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AMS\2026\RAB dan Gambar\"/>
    </mc:Choice>
  </mc:AlternateContent>
  <xr:revisionPtr revIDLastSave="0" documentId="13_ncr:1_{D4B59075-76E6-41FD-B2DB-40F1F88A8494}" xr6:coauthVersionLast="47" xr6:coauthVersionMax="47" xr10:uidLastSave="{00000000-0000-0000-0000-000000000000}"/>
  <bookViews>
    <workbookView xWindow="-108" yWindow="-108" windowWidth="23256" windowHeight="13176" tabRatio="598" firstSheet="5" activeTab="8" xr2:uid="{00000000-000D-0000-FFFF-FFFF00000000}"/>
  </bookViews>
  <sheets>
    <sheet name="TABEL BESI" sheetId="47" state="hidden" r:id="rId1"/>
    <sheet name="Perhitungan Volume" sheetId="48" state="hidden" r:id="rId2"/>
    <sheet name="Upah Bahan" sheetId="1" r:id="rId3"/>
    <sheet name="AHSP MCK" sheetId="46" r:id="rId4"/>
    <sheet name="SMKK" sheetId="51" r:id="rId5"/>
    <sheet name="Vol" sheetId="49" r:id="rId6"/>
    <sheet name="Harsat MCK" sheetId="50" state="hidden" r:id="rId7"/>
    <sheet name="Harga Satuan" sheetId="27" r:id="rId8"/>
    <sheet name="RAB" sheetId="52" r:id="rId9"/>
    <sheet name="RAB (2)" sheetId="53" r:id="rId10"/>
    <sheet name="RAB (3)" sheetId="54" r:id="rId11"/>
    <sheet name="Persiapan" sheetId="2" state="hidden" r:id="rId12"/>
    <sheet name="Galian Tanah" sheetId="3" state="hidden" r:id="rId13"/>
    <sheet name="Timbunan Pemadatan" sheetId="4" state="hidden" r:id="rId14"/>
    <sheet name="Angkut Material" sheetId="28" state="hidden" r:id="rId15"/>
    <sheet name="Geotekstil &amp; Geomembran " sheetId="29" state="hidden" r:id="rId16"/>
    <sheet name="Pembongkaran" sheetId="5" state="hidden" r:id="rId17"/>
    <sheet name="Rangka Atap" sheetId="9" state="hidden" r:id="rId18"/>
    <sheet name="Beton" sheetId="8" state="hidden" r:id="rId19"/>
    <sheet name="Pondasi" sheetId="7" state="hidden" r:id="rId20"/>
    <sheet name="BAJA" sheetId="30" state="hidden" r:id="rId21"/>
    <sheet name="Beton Pracetak" sheetId="31" state="hidden" r:id="rId22"/>
    <sheet name="Beton Prategang " sheetId="32" state="hidden" r:id="rId23"/>
    <sheet name="Struktur Kayu" sheetId="18" state="hidden" r:id="rId24"/>
    <sheet name="Dinding Penahan Tanah " sheetId="33" state="hidden" r:id="rId25"/>
    <sheet name="Penutup Atap" sheetId="11" state="hidden" r:id="rId26"/>
    <sheet name="Plafon" sheetId="13" state="hidden" r:id="rId27"/>
    <sheet name="Pasangan Dinding" sheetId="10" state="hidden" r:id="rId28"/>
    <sheet name="Plesteran Dan Acian" sheetId="12" state="hidden" r:id="rId29"/>
    <sheet name="Pengecatan dan Pelituran" sheetId="19" state="hidden" r:id="rId30"/>
    <sheet name="Penutup Lantai dan Dinding" sheetId="14" state="hidden" r:id="rId31"/>
    <sheet name="Pintu dan Jendela" sheetId="15" state="hidden" r:id="rId32"/>
    <sheet name="Kaca" sheetId="16" state="hidden" r:id="rId33"/>
    <sheet name="Besi dan Aluminium" sheetId="17" state="hidden" r:id="rId34"/>
    <sheet name="Kayu" sheetId="34" state="hidden" r:id="rId35"/>
    <sheet name="Ornamen" sheetId="35" state="hidden" r:id="rId36"/>
    <sheet name="Signage" sheetId="20" state="hidden" r:id="rId37"/>
    <sheet name="Sanitair" sheetId="21" state="hidden" r:id="rId38"/>
    <sheet name="Lansekap" sheetId="43" state="hidden" r:id="rId39"/>
    <sheet name="Jaringan Listrik" sheetId="26" state="hidden" r:id="rId40"/>
    <sheet name="Perpipaan dan proteksi kebakar " sheetId="25" state="hidden" r:id="rId41"/>
    <sheet name="Sistem Air Minum" sheetId="22" state="hidden" r:id="rId42"/>
    <sheet name="Sistem Air Limbah" sheetId="23" state="hidden" r:id="rId43"/>
    <sheet name="Bak Kontrol" sheetId="24" state="hidden" r:id="rId44"/>
    <sheet name="Perpipaan dalam Gedung " sheetId="37" state="hidden" r:id="rId45"/>
    <sheet name="Sistem Air Hujan" sheetId="38" state="hidden" r:id="rId46"/>
    <sheet name="Jalan Pada Pemukiman" sheetId="39" state="hidden" r:id="rId47"/>
    <sheet name="Drainase" sheetId="40" state="hidden" r:id="rId48"/>
    <sheet name="Jaringan Pipa Luar Gedung" sheetId="41" state="hidden" r:id="rId49"/>
    <sheet name="Strutur Risha " sheetId="42" state="hidden" r:id="rId50"/>
  </sheets>
  <externalReferences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\F" localSheetId="1">#REF!</definedName>
    <definedName name="\F">#REF!</definedName>
    <definedName name="\I" localSheetId="1">#REF!</definedName>
    <definedName name="\I">#REF!</definedName>
    <definedName name="\p">#REF!</definedName>
    <definedName name="_______DIV1" localSheetId="1">#REF!</definedName>
    <definedName name="_______DIV1">#REF!</definedName>
    <definedName name="_______DIV10" localSheetId="1">#REF!</definedName>
    <definedName name="_______DIV10">#REF!</definedName>
    <definedName name="_______DIV11" localSheetId="1">#REF!</definedName>
    <definedName name="_______DIV11">#REF!</definedName>
    <definedName name="_______DIV2" localSheetId="1">#REF!</definedName>
    <definedName name="_______DIV2">#REF!</definedName>
    <definedName name="_______DIV3" localSheetId="1">#REF!</definedName>
    <definedName name="_______DIV3">#REF!</definedName>
    <definedName name="_______DIV4" localSheetId="1">#REF!</definedName>
    <definedName name="_______DIV4">#REF!</definedName>
    <definedName name="_______DIV5" localSheetId="1">#REF!</definedName>
    <definedName name="_______DIV5">#REF!</definedName>
    <definedName name="_______DIV6" localSheetId="1">#REF!</definedName>
    <definedName name="_______DIV6">#REF!</definedName>
    <definedName name="_______DIV7" localSheetId="1">#REF!</definedName>
    <definedName name="_______DIV7">#REF!</definedName>
    <definedName name="_______DIV8" localSheetId="1">#REF!</definedName>
    <definedName name="_______DIV8">#REF!</definedName>
    <definedName name="_______DIV9" localSheetId="1">#REF!</definedName>
    <definedName name="_______DIV9">#REF!</definedName>
    <definedName name="_______HAL1" localSheetId="1">#REF!</definedName>
    <definedName name="_______HAL1">#REF!</definedName>
    <definedName name="_______HAL2" localSheetId="1">#REF!</definedName>
    <definedName name="_______HAL2">#REF!</definedName>
    <definedName name="_______HAL3" localSheetId="1">#REF!</definedName>
    <definedName name="_______HAL3">#REF!</definedName>
    <definedName name="_______HAL4" localSheetId="1">#REF!</definedName>
    <definedName name="_______HAL4">#REF!</definedName>
    <definedName name="_______HAL5" localSheetId="1">#REF!</definedName>
    <definedName name="_______HAL5">#REF!</definedName>
    <definedName name="_______HAL6" localSheetId="1">#REF!</definedName>
    <definedName name="_______HAL6">#REF!</definedName>
    <definedName name="_______HAL7" localSheetId="1">#REF!</definedName>
    <definedName name="_______HAL7">#REF!</definedName>
    <definedName name="_______HAL8" localSheetId="1">#REF!</definedName>
    <definedName name="_______HAL8">#REF!</definedName>
    <definedName name="______DIV1" localSheetId="1">#REF!</definedName>
    <definedName name="______DIV1">#REF!</definedName>
    <definedName name="______DIV10" localSheetId="1">#REF!</definedName>
    <definedName name="______DIV10">#REF!</definedName>
    <definedName name="______DIV11" localSheetId="1">#REF!</definedName>
    <definedName name="______DIV11">#REF!</definedName>
    <definedName name="______DIV2" localSheetId="1">#REF!</definedName>
    <definedName name="______DIV2">#REF!</definedName>
    <definedName name="______DIV3" localSheetId="1">#REF!</definedName>
    <definedName name="______DIV3">#REF!</definedName>
    <definedName name="______DIV4" localSheetId="1">#REF!</definedName>
    <definedName name="______DIV4">#REF!</definedName>
    <definedName name="______DIV5" localSheetId="1">#REF!</definedName>
    <definedName name="______DIV5">#REF!</definedName>
    <definedName name="______DIV6" localSheetId="1">#REF!</definedName>
    <definedName name="______DIV6">#REF!</definedName>
    <definedName name="______DIV7" localSheetId="1">#REF!</definedName>
    <definedName name="______DIV7">#REF!</definedName>
    <definedName name="______DIV8" localSheetId="1">#REF!</definedName>
    <definedName name="______DIV8">#REF!</definedName>
    <definedName name="______DIV9" localSheetId="1">#REF!</definedName>
    <definedName name="______DIV9">#REF!</definedName>
    <definedName name="______HAL1" localSheetId="1">#REF!</definedName>
    <definedName name="______HAL1">#REF!</definedName>
    <definedName name="______HAL2" localSheetId="1">#REF!</definedName>
    <definedName name="______HAL2">#REF!</definedName>
    <definedName name="______HAL3" localSheetId="1">#REF!</definedName>
    <definedName name="______HAL3">#REF!</definedName>
    <definedName name="______HAL4" localSheetId="1">#REF!</definedName>
    <definedName name="______HAL4">#REF!</definedName>
    <definedName name="______HAL5" localSheetId="1">#REF!</definedName>
    <definedName name="______HAL5">#REF!</definedName>
    <definedName name="______HAL6" localSheetId="1">#REF!</definedName>
    <definedName name="______HAL6">#REF!</definedName>
    <definedName name="______HAL7" localSheetId="1">#REF!</definedName>
    <definedName name="______HAL7">#REF!</definedName>
    <definedName name="______HAL8" localSheetId="1">#REF!</definedName>
    <definedName name="______HAL8">#REF!</definedName>
    <definedName name="_____DIV10" localSheetId="1">#REF!</definedName>
    <definedName name="_____DIV10">#REF!</definedName>
    <definedName name="_____DIV11" localSheetId="1">#REF!</definedName>
    <definedName name="_____DIV11">#REF!</definedName>
    <definedName name="_____DIV2" localSheetId="1">#REF!</definedName>
    <definedName name="_____DIV2">#REF!</definedName>
    <definedName name="_____DIV4" localSheetId="1">#REF!</definedName>
    <definedName name="_____DIV4">#REF!</definedName>
    <definedName name="_____DIV7" localSheetId="1">#REF!</definedName>
    <definedName name="_____DIV7">#REF!</definedName>
    <definedName name="_____DIV8" localSheetId="1">#REF!</definedName>
    <definedName name="_____DIV8">#REF!</definedName>
    <definedName name="_____DIV9" localSheetId="1">#REF!</definedName>
    <definedName name="_____DIV9">#REF!</definedName>
    <definedName name="_____HAL4" localSheetId="1">#REF!</definedName>
    <definedName name="_____HAL4">#REF!</definedName>
    <definedName name="_____HAL5" localSheetId="1">#REF!</definedName>
    <definedName name="_____HAL5">#REF!</definedName>
    <definedName name="_____HAL6" localSheetId="1">#REF!</definedName>
    <definedName name="_____HAL6">#REF!</definedName>
    <definedName name="_____HAL7" localSheetId="1">#REF!</definedName>
    <definedName name="_____HAL7">#REF!</definedName>
    <definedName name="____DIV1" localSheetId="1">#REF!</definedName>
    <definedName name="____DIV1">#REF!</definedName>
    <definedName name="____DIV10" localSheetId="1">#REF!</definedName>
    <definedName name="____DIV10">#REF!</definedName>
    <definedName name="____DIV11" localSheetId="1">#REF!</definedName>
    <definedName name="____DIV11">#REF!</definedName>
    <definedName name="____DIV2" localSheetId="1">#REF!</definedName>
    <definedName name="____DIV2">#REF!</definedName>
    <definedName name="____DIV3" localSheetId="1">#REF!</definedName>
    <definedName name="____DIV3">#REF!</definedName>
    <definedName name="____DIV4" localSheetId="1">#REF!</definedName>
    <definedName name="____DIV4">#REF!</definedName>
    <definedName name="____DIV5" localSheetId="1">#REF!</definedName>
    <definedName name="____DIV5">#REF!</definedName>
    <definedName name="____DIV6" localSheetId="1">#REF!</definedName>
    <definedName name="____DIV6">#REF!</definedName>
    <definedName name="____DIV7" localSheetId="1">#REF!</definedName>
    <definedName name="____DIV7">#REF!</definedName>
    <definedName name="____DIV8" localSheetId="1">#REF!</definedName>
    <definedName name="____DIV8">#REF!</definedName>
    <definedName name="____DIV9" localSheetId="1">#REF!</definedName>
    <definedName name="____DIV9">#REF!</definedName>
    <definedName name="____HAL1" localSheetId="1">#REF!</definedName>
    <definedName name="____HAL1">#REF!</definedName>
    <definedName name="____HAL2" localSheetId="1">#REF!</definedName>
    <definedName name="____HAL2">#REF!</definedName>
    <definedName name="____HAL3" localSheetId="1">#REF!</definedName>
    <definedName name="____HAL3">#REF!</definedName>
    <definedName name="____HAL4" localSheetId="1">#REF!</definedName>
    <definedName name="____HAL4">#REF!</definedName>
    <definedName name="____HAL5" localSheetId="1">#REF!</definedName>
    <definedName name="____HAL5">#REF!</definedName>
    <definedName name="____HAL6" localSheetId="1">#REF!</definedName>
    <definedName name="____HAL6">#REF!</definedName>
    <definedName name="____HAL7" localSheetId="1">#REF!</definedName>
    <definedName name="____HAL7">#REF!</definedName>
    <definedName name="____HAL8" localSheetId="1">#REF!</definedName>
    <definedName name="____HAL8">#REF!</definedName>
    <definedName name="___DIV1" localSheetId="1">#REF!</definedName>
    <definedName name="___DIV1">#REF!</definedName>
    <definedName name="___DIV3" localSheetId="1">#REF!</definedName>
    <definedName name="___DIV3">#REF!</definedName>
    <definedName name="___DIV5" localSheetId="1">#REF!</definedName>
    <definedName name="___DIV5">#REF!</definedName>
    <definedName name="___DIV6" localSheetId="1">#REF!</definedName>
    <definedName name="___DIV6">#REF!</definedName>
    <definedName name="___HAL1" localSheetId="1">#REF!</definedName>
    <definedName name="___HAL1">#REF!</definedName>
    <definedName name="___HAL2" localSheetId="1">#REF!</definedName>
    <definedName name="___HAL2">#REF!</definedName>
    <definedName name="___HAL3" localSheetId="1">#REF!</definedName>
    <definedName name="___HAL3">#REF!</definedName>
    <definedName name="___HAL8" localSheetId="1">#REF!</definedName>
    <definedName name="___HAL8">#REF!</definedName>
    <definedName name="___Ibr1">#REF!</definedName>
    <definedName name="___lmb1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X" localSheetId="1" hidden="1">#REF!</definedName>
    <definedName name="__123Graph_X" hidden="1">#REF!</definedName>
    <definedName name="__asb5">[1]BAHAN!$E$78</definedName>
    <definedName name="__BAB2">#REF!</definedName>
    <definedName name="__BAB3">'[2]met bab3'!#REF!</definedName>
    <definedName name="__BAB7">#REF!</definedName>
    <definedName name="__BAB8">'[2]anal bab8'!#REF!</definedName>
    <definedName name="__cor175">#REF!</definedName>
    <definedName name="__cor225">#REF!</definedName>
    <definedName name="__cor300">#REF!</definedName>
    <definedName name="__DIV1" localSheetId="1">#REF!</definedName>
    <definedName name="__DIV1">#REF!</definedName>
    <definedName name="__DIV10" localSheetId="1">#REF!</definedName>
    <definedName name="__DIV10">#REF!</definedName>
    <definedName name="__DIV11" localSheetId="1">#REF!</definedName>
    <definedName name="__DIV11">#REF!</definedName>
    <definedName name="__DIV2" localSheetId="1">#REF!</definedName>
    <definedName name="__DIV2">#REF!</definedName>
    <definedName name="__DIV3" localSheetId="1">#REF!</definedName>
    <definedName name="__DIV3">#REF!</definedName>
    <definedName name="__DIV4" localSheetId="1">#REF!</definedName>
    <definedName name="__DIV4">#REF!</definedName>
    <definedName name="__DIV5" localSheetId="1">#REF!</definedName>
    <definedName name="__DIV5">#REF!</definedName>
    <definedName name="__DIV6" localSheetId="1">#REF!</definedName>
    <definedName name="__DIV6">#REF!</definedName>
    <definedName name="__DIV7" localSheetId="1">#REF!</definedName>
    <definedName name="__DIV7">#REF!</definedName>
    <definedName name="__DIV8" localSheetId="1">#REF!</definedName>
    <definedName name="__DIV8">#REF!</definedName>
    <definedName name="__DIV9" localSheetId="1">#REF!</definedName>
    <definedName name="__DIV9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grv20">[1]BAHAN!$E$116</definedName>
    <definedName name="__grv30">[1]BAHAN!#REF!</definedName>
    <definedName name="__HAL1" localSheetId="1">#REF!</definedName>
    <definedName name="__HAL1">#REF!</definedName>
    <definedName name="__HAL2" localSheetId="1">#REF!</definedName>
    <definedName name="__HAL2">#REF!</definedName>
    <definedName name="__HAL3" localSheetId="1">#REF!</definedName>
    <definedName name="__HAL3">#REF!</definedName>
    <definedName name="__HAL4" localSheetId="1">#REF!</definedName>
    <definedName name="__HAL4">#REF!</definedName>
    <definedName name="__HAL5" localSheetId="1">#REF!</definedName>
    <definedName name="__HAL5">#REF!</definedName>
    <definedName name="__HAL6" localSheetId="1">#REF!</definedName>
    <definedName name="__HAL6">#REF!</definedName>
    <definedName name="__HAL7" localSheetId="1">#REF!</definedName>
    <definedName name="__HAL7">#REF!</definedName>
    <definedName name="__HAL8" localSheetId="1">#REF!</definedName>
    <definedName name="__HAL8">#REF!</definedName>
    <definedName name="__Ibr1">#REF!</definedName>
    <definedName name="__IV100000">#REF!</definedName>
    <definedName name="__kc3">[1]BAHAN!$E$192</definedName>
    <definedName name="__kc5">[1]BAHAN!$E$193</definedName>
    <definedName name="__LL01">#REF!</definedName>
    <definedName name="__LL02">#REF!</definedName>
    <definedName name="__LL03">#REF!</definedName>
    <definedName name="__LL04">#REF!</definedName>
    <definedName name="__LL05">#REF!</definedName>
    <definedName name="__LL06">#REF!</definedName>
    <definedName name="__LL07">#REF!</definedName>
    <definedName name="__LL08">#REF!</definedName>
    <definedName name="__LL09">#REF!</definedName>
    <definedName name="__lmb1">#REF!</definedName>
    <definedName name="__MB01">#REF!</definedName>
    <definedName name="__MB02">#REF!</definedName>
    <definedName name="__MB06">#REF!</definedName>
    <definedName name="__MB07">#REF!</definedName>
    <definedName name="__MB10">#REF!</definedName>
    <definedName name="__MB11">#REF!</definedName>
    <definedName name="__MB12">#REF!</definedName>
    <definedName name="__MB13">#REF!</definedName>
    <definedName name="__MB14">#REF!</definedName>
    <definedName name="__MB15">#REF!</definedName>
    <definedName name="__MB16">#REF!</definedName>
    <definedName name="__MB18">#REF!</definedName>
    <definedName name="__MB19">#REF!</definedName>
    <definedName name="__MB20">#REF!</definedName>
    <definedName name="__MB21">#REF!</definedName>
    <definedName name="__MB22">#REF!</definedName>
    <definedName name="__MB24">#REF!</definedName>
    <definedName name="__MB28">#REF!</definedName>
    <definedName name="__MB35">#REF!</definedName>
    <definedName name="__MB44">#REF!</definedName>
    <definedName name="__MDE01">'[3]HARGA ALAT'!$BO$27</definedName>
    <definedName name="__MDE02">'[3]HARGA ALAT'!$BO$47</definedName>
    <definedName name="__MDE03">'[3]HARGA ALAT'!$BO$67</definedName>
    <definedName name="__MDE04">'[3]HARGA ALAT'!$BO$87</definedName>
    <definedName name="__MDE05">'[3]HARGA ALAT'!$BO$107</definedName>
    <definedName name="__MDE06">'[3]HARGA ALAT'!$BO$127</definedName>
    <definedName name="__MDE07">'[3]HARGA ALAT'!$BO$147</definedName>
    <definedName name="__MDE08">'[3]HARGA ALAT'!$BO$167</definedName>
    <definedName name="__MDE09">'[3]HARGA ALAT'!$BO$187</definedName>
    <definedName name="__MDE10">'[3]HARGA ALAT'!$BO$207</definedName>
    <definedName name="__MDE11">'[3]HARGA ALAT'!$BO$227</definedName>
    <definedName name="__MDE12">'[3]HARGA ALAT'!$BO$247</definedName>
    <definedName name="__MDE13">'[3]HARGA ALAT'!$BO$267</definedName>
    <definedName name="__MDE14">'[3]HARGA ALAT'!$BO$287</definedName>
    <definedName name="__MDE15">'[3]HARGA ALAT'!$BO$307</definedName>
    <definedName name="__MDE16">'[3]HARGA ALAT'!$BO$327</definedName>
    <definedName name="__MDE17">'[3]HARGA ALAT'!$BO$347</definedName>
    <definedName name="__MDE18">'[3]HARGA ALAT'!$BO$367</definedName>
    <definedName name="__MDE19">'[3]HARGA ALAT'!$BO$387</definedName>
    <definedName name="__MDE20">'[3]HARGA ALAT'!$BO$407</definedName>
    <definedName name="__MDE21">'[3]HARGA ALAT'!$BO$427</definedName>
    <definedName name="__MDE22">'[3]HARGA ALAT'!$BO$447</definedName>
    <definedName name="__MDE23">'[3]HARGA ALAT'!$BO$467</definedName>
    <definedName name="__MDE24">'[3]HARGA ALAT'!$BO$487</definedName>
    <definedName name="__MDE25">'[3]HARGA ALAT'!$BO$507</definedName>
    <definedName name="__MDE26">'[3]HARGA ALAT'!$BO$527</definedName>
    <definedName name="__MDE27">'[3]HARGA ALAT'!$BO$547</definedName>
    <definedName name="__MDE28">'[3]HARGA ALAT'!$BO$567</definedName>
    <definedName name="__MDE29">'[3]HARGA ALAT'!$BO$587</definedName>
    <definedName name="__MDE30">'[3]HARGA ALAT'!$BO$607</definedName>
    <definedName name="__MDE31">'[3]HARGA ALAT'!$BO$627</definedName>
    <definedName name="__MDE32">'[3]HARGA ALAT'!$BO$647</definedName>
    <definedName name="__MDE33">'[3]HARGA ALAT'!$BO$667</definedName>
    <definedName name="__MDE34">'[3]HARGA ALAT'!$BO$698</definedName>
    <definedName name="__ME01">'[3]HARGA ALAT'!$BO$26</definedName>
    <definedName name="__ME02">'[3]HARGA ALAT'!$BO$46</definedName>
    <definedName name="__ME03">'[3]HARGA ALAT'!$BO$66</definedName>
    <definedName name="__ME04">'[3]HARGA ALAT'!$BO$86</definedName>
    <definedName name="__ME05">'[3]HARGA ALAT'!$BO$106</definedName>
    <definedName name="__ME06">'[3]HARGA ALAT'!$BO$126</definedName>
    <definedName name="__ME07">'[3]HARGA ALAT'!$BO$146</definedName>
    <definedName name="__ME08">'[3]HARGA ALAT'!$BO$166</definedName>
    <definedName name="__ME09">'[3]HARGA ALAT'!$BO$186</definedName>
    <definedName name="__ME10">'[3]HARGA ALAT'!$BO$206</definedName>
    <definedName name="__ME11">'[3]HARGA ALAT'!$BO$226</definedName>
    <definedName name="__ME12">'[3]HARGA ALAT'!$BO$246</definedName>
    <definedName name="__ME13">'[3]HARGA ALAT'!$BO$266</definedName>
    <definedName name="__ME14">'[3]HARGA ALAT'!$BO$286</definedName>
    <definedName name="__ME15">'[3]HARGA ALAT'!$BO$306</definedName>
    <definedName name="__ME16">'[3]HARGA ALAT'!$BO$326</definedName>
    <definedName name="__ME17">'[3]HARGA ALAT'!$BO$346</definedName>
    <definedName name="__ME18">'[3]HARGA ALAT'!$BO$366</definedName>
    <definedName name="__ME19">'[3]HARGA ALAT'!$BO$386</definedName>
    <definedName name="__ME20">'[3]HARGA ALAT'!$BO$406</definedName>
    <definedName name="__ME21">'[3]HARGA ALAT'!$BO$426</definedName>
    <definedName name="__ME22">'[3]HARGA ALAT'!$BO$446</definedName>
    <definedName name="__ME23">'[3]HARGA ALAT'!$BO$466</definedName>
    <definedName name="__ME24">'[3]HARGA ALAT'!$BO$486</definedName>
    <definedName name="__ME25">'[3]HARGA ALAT'!$BO$506</definedName>
    <definedName name="__ME26">'[3]HARGA ALAT'!$BO$526</definedName>
    <definedName name="__ME27">'[3]HARGA ALAT'!$BO$546</definedName>
    <definedName name="__ME28">'[3]HARGA ALAT'!$BO$566</definedName>
    <definedName name="__ME29">'[3]HARGA ALAT'!$BO$586</definedName>
    <definedName name="__ME30">'[3]HARGA ALAT'!$BO$606</definedName>
    <definedName name="__ME31">'[3]HARGA ALAT'!$BO$626</definedName>
    <definedName name="__ME32">'[3]HARGA ALAT'!$BO$646</definedName>
    <definedName name="__ME33">'[3]HARGA ALAT'!$BO$666</definedName>
    <definedName name="__ME34">'[3]HARGA ALAT'!$BO$697</definedName>
    <definedName name="__mix175">[1]BAHAN!$E$20</definedName>
    <definedName name="__mix225">[1]BAHAN!$E$21</definedName>
    <definedName name="__mix300">[1]BAHAN!$E$22</definedName>
    <definedName name="__MM01">#REF!</definedName>
    <definedName name="__MM02">#REF!</definedName>
    <definedName name="__MM03">#REF!</definedName>
    <definedName name="__MM04">#REF!</definedName>
    <definedName name="__MM05">#REF!</definedName>
    <definedName name="__MM06">#REF!</definedName>
    <definedName name="__MM07">#REF!</definedName>
    <definedName name="__MM08">#REF!</definedName>
    <definedName name="__MM1">#REF!</definedName>
    <definedName name="__MM10">#REF!</definedName>
    <definedName name="__MM11">#REF!</definedName>
    <definedName name="__MM12">#REF!</definedName>
    <definedName name="__MM13">#REF!</definedName>
    <definedName name="__MM14">#REF!</definedName>
    <definedName name="__MM15">#REF!</definedName>
    <definedName name="__MM16">#REF!</definedName>
    <definedName name="__MM18">#REF!</definedName>
    <definedName name="__MM19">#REF!</definedName>
    <definedName name="__MM20">#REF!</definedName>
    <definedName name="__MM21">#REF!</definedName>
    <definedName name="__MM22">#REF!</definedName>
    <definedName name="__MM24">#REF!</definedName>
    <definedName name="__MM28">#REF!</definedName>
    <definedName name="__MM35">#REF!</definedName>
    <definedName name="__MM37">#REF!</definedName>
    <definedName name="__MM38">#REF!</definedName>
    <definedName name="__MM39">#REF!</definedName>
    <definedName name="__MM44">#REF!</definedName>
    <definedName name="__MM46">#REF!</definedName>
    <definedName name="__pb1">#REF!</definedName>
    <definedName name="__pek2">#REF!</definedName>
    <definedName name="__pk13">[1]BAHAN!$E$187</definedName>
    <definedName name="__pk47">[1]BAHAN!$E$188</definedName>
    <definedName name="__pk8">[1]BAHAN!$E$189</definedName>
    <definedName name="__pvc05">[1]BAHAN!$E$125</definedName>
    <definedName name="__pvc4">[1]BAHAN!$E$131</definedName>
    <definedName name="__rst20">[1]BAHAN!#REF!</definedName>
    <definedName name="__rst30">[1]BAHAN!#REF!</definedName>
    <definedName name="__tg20">[1]BAHAN!#REF!</definedName>
    <definedName name="__tg30">[1]BAHAN!#REF!</definedName>
    <definedName name="__ZZ1">#REF!</definedName>
    <definedName name="__ZZ4">#REF!</definedName>
    <definedName name="_1" localSheetId="1">#REF!</definedName>
    <definedName name="_1">#REF!</definedName>
    <definedName name="_1_20" localSheetId="1">#REF!</definedName>
    <definedName name="_1_20">#REF!</definedName>
    <definedName name="_1Excel_BuiltIn_Print_Area_3_1">#REF!</definedName>
    <definedName name="_2" localSheetId="1">'[4]ANALISA PEK.UMUM'!#REF!</definedName>
    <definedName name="_2">'[4]ANALISA PEK.UMUM'!#REF!</definedName>
    <definedName name="_2Excel_BuiltIn_Print_Area_4_1">#REF!</definedName>
    <definedName name="_3Excel_BuiltIn_Print_Area_5_1">#REF!</definedName>
    <definedName name="_4Excel_BuiltIn_Print_Area_7_1">#REF!</definedName>
    <definedName name="_5Excel_BuiltIn_Print_Titles_3_1">#REF!</definedName>
    <definedName name="_6Excel_BuiltIn_Print_Titles_4_1">#REF!</definedName>
    <definedName name="_7Excel_BuiltIn_Print_Titles_5_1">#REF!</definedName>
    <definedName name="_asb5">[5]BAHAN!$G$88</definedName>
    <definedName name="_BAB2">#REF!</definedName>
    <definedName name="_BAB3">'[2]met bab3'!#REF!</definedName>
    <definedName name="_BAB7">#REF!</definedName>
    <definedName name="_BAB8">'[2]anal bab8'!#REF!</definedName>
    <definedName name="_C" localSheetId="1">'[4]ANALISA PEK.UMUM'!#REF!</definedName>
    <definedName name="_C">'[4]ANALISA PEK.UMUM'!#REF!</definedName>
    <definedName name="_cor175">#N/A</definedName>
    <definedName name="_cor225">#N/A</definedName>
    <definedName name="_cor300">#N/A</definedName>
    <definedName name="_dia15" localSheetId="1">#REF!</definedName>
    <definedName name="_dia15">#REF!</definedName>
    <definedName name="_dia20" localSheetId="1">#REF!</definedName>
    <definedName name="_dia20">#REF!</definedName>
    <definedName name="_dia25" localSheetId="1">#REF!</definedName>
    <definedName name="_dia25">#REF!</definedName>
    <definedName name="_dia30" localSheetId="1">#REF!</definedName>
    <definedName name="_dia30">#REF!</definedName>
    <definedName name="_dia40" localSheetId="1">#REF!</definedName>
    <definedName name="_dia40">#REF!</definedName>
    <definedName name="_dia45" localSheetId="1">#REF!</definedName>
    <definedName name="_dia45">#REF!</definedName>
    <definedName name="_dia50" localSheetId="1">#REF!</definedName>
    <definedName name="_dia50">#REF!</definedName>
    <definedName name="_dia55" localSheetId="1">#REF!</definedName>
    <definedName name="_dia55">#REF!</definedName>
    <definedName name="_dia60" localSheetId="1">#REF!</definedName>
    <definedName name="_dia60">#REF!</definedName>
    <definedName name="_dia65" localSheetId="1">#REF!</definedName>
    <definedName name="_dia65">#REF!</definedName>
    <definedName name="_dia70" localSheetId="1">#REF!</definedName>
    <definedName name="_dia70">#REF!</definedName>
    <definedName name="_dia75" localSheetId="1">#REF!</definedName>
    <definedName name="_dia75">#REF!</definedName>
    <definedName name="_dip02" localSheetId="1">#REF!</definedName>
    <definedName name="_dip02">#REF!</definedName>
    <definedName name="_DIV1" localSheetId="1">#REF!</definedName>
    <definedName name="_DIV1">#REF!</definedName>
    <definedName name="_DIV10" localSheetId="1">#REF!</definedName>
    <definedName name="_DIV10">#REF!</definedName>
    <definedName name="_DIV11" localSheetId="1">#REF!</definedName>
    <definedName name="_DIV11">#REF!</definedName>
    <definedName name="_DIV2" localSheetId="1">#REF!</definedName>
    <definedName name="_DIV2">#REF!</definedName>
    <definedName name="_DIV3" localSheetId="1">#REF!</definedName>
    <definedName name="_DIV3">#REF!</definedName>
    <definedName name="_DIV4" localSheetId="1">#REF!</definedName>
    <definedName name="_DIV4">#REF!</definedName>
    <definedName name="_DIV5" localSheetId="1">#REF!</definedName>
    <definedName name="_DIV5">#REF!</definedName>
    <definedName name="_DIV6" localSheetId="1">#REF!</definedName>
    <definedName name="_DIV6">#REF!</definedName>
    <definedName name="_DIV7" localSheetId="1">#REF!</definedName>
    <definedName name="_DIV7">#REF!</definedName>
    <definedName name="_DIV8" localSheetId="1">#REF!</definedName>
    <definedName name="_DIV8">#REF!</definedName>
    <definedName name="_DIV9" localSheetId="1">#REF!</definedName>
    <definedName name="_DIV9">#REF!</definedName>
    <definedName name="_EEE01" localSheetId="1">#REF!</definedName>
    <definedName name="_EEE01">#REF!</definedName>
    <definedName name="_EEE02" localSheetId="1">#REF!</definedName>
    <definedName name="_EEE02">#REF!</definedName>
    <definedName name="_EEE03" localSheetId="1">#REF!</definedName>
    <definedName name="_EEE03">#REF!</definedName>
    <definedName name="_EEE04" localSheetId="1">#REF!</definedName>
    <definedName name="_EEE04">#REF!</definedName>
    <definedName name="_EEE05" localSheetId="1">#REF!</definedName>
    <definedName name="_EEE05">#REF!</definedName>
    <definedName name="_EEE06" localSheetId="1">#REF!</definedName>
    <definedName name="_EEE06">#REF!</definedName>
    <definedName name="_EEE07" localSheetId="1">#REF!</definedName>
    <definedName name="_EEE07">#REF!</definedName>
    <definedName name="_EEE08">#REF!</definedName>
    <definedName name="_EEE09" localSheetId="1">#REF!</definedName>
    <definedName name="_EEE09">#REF!</definedName>
    <definedName name="_EEE10">#REF!</definedName>
    <definedName name="_EEE11" localSheetId="1">#REF!</definedName>
    <definedName name="_EEE11">#REF!</definedName>
    <definedName name="_EEE12" localSheetId="1">#REF!</definedName>
    <definedName name="_EEE12">#REF!</definedName>
    <definedName name="_EEE13" localSheetId="1">#REF!</definedName>
    <definedName name="_EEE13">#REF!</definedName>
    <definedName name="_EEE14" localSheetId="1">#REF!</definedName>
    <definedName name="_EEE14">#REF!</definedName>
    <definedName name="_EEE15">#REF!</definedName>
    <definedName name="_EEE16" localSheetId="1">#REF!</definedName>
    <definedName name="_EEE16">#REF!</definedName>
    <definedName name="_EEE17">#REF!</definedName>
    <definedName name="_EEE18" localSheetId="1">#REF!</definedName>
    <definedName name="_EEE18">#REF!</definedName>
    <definedName name="_EEE19" localSheetId="1">#REF!</definedName>
    <definedName name="_EEE19">#REF!</definedName>
    <definedName name="_EEE20" localSheetId="1">#REF!</definedName>
    <definedName name="_EEE20">#REF!</definedName>
    <definedName name="_EEE21" localSheetId="1">#REF!</definedName>
    <definedName name="_EEE21">#REF!</definedName>
    <definedName name="_EEE22" localSheetId="1">#REF!</definedName>
    <definedName name="_EEE22">#REF!</definedName>
    <definedName name="_EEE23">#REF!</definedName>
    <definedName name="_EEE24" localSheetId="1">#REF!</definedName>
    <definedName name="_EEE24">#REF!</definedName>
    <definedName name="_EEE25" localSheetId="1">#REF!</definedName>
    <definedName name="_EEE25">#REF!</definedName>
    <definedName name="_EEE26" localSheetId="1">#REF!</definedName>
    <definedName name="_EEE26">#REF!</definedName>
    <definedName name="_EEE27" localSheetId="1">#REF!</definedName>
    <definedName name="_EEE27">#REF!</definedName>
    <definedName name="_EEE28" localSheetId="1">#REF!</definedName>
    <definedName name="_EEE28">#REF!</definedName>
    <definedName name="_EEE29" localSheetId="1">#REF!</definedName>
    <definedName name="_EEE29">#REF!</definedName>
    <definedName name="_EEE30" localSheetId="1">#REF!</definedName>
    <definedName name="_EEE30">#REF!</definedName>
    <definedName name="_EEE31" localSheetId="1">#REF!</definedName>
    <definedName name="_EEE31">#REF!</definedName>
    <definedName name="_EEE32" localSheetId="1">#REF!</definedName>
    <definedName name="_EEE32">#REF!</definedName>
    <definedName name="_EEE33" localSheetId="1">#REF!</definedName>
    <definedName name="_EEE33">#REF!</definedName>
    <definedName name="_Fill" localSheetId="1" hidden="1">#REF!</definedName>
    <definedName name="_Fill" hidden="1">#REF!</definedName>
    <definedName name="_grv20">[5]BAHAN!$G$128</definedName>
    <definedName name="_HAL1" localSheetId="1">#REF!</definedName>
    <definedName name="_HAL1">#REF!</definedName>
    <definedName name="_HAL2" localSheetId="1">#REF!</definedName>
    <definedName name="_HAL2">#REF!</definedName>
    <definedName name="_HAL3" localSheetId="1">#REF!</definedName>
    <definedName name="_HAL3">#REF!</definedName>
    <definedName name="_HAL4" localSheetId="1">#REF!</definedName>
    <definedName name="_HAL4">#REF!</definedName>
    <definedName name="_HAL5" localSheetId="1">#REF!</definedName>
    <definedName name="_HAL5">#REF!</definedName>
    <definedName name="_HAL6" localSheetId="1">#REF!</definedName>
    <definedName name="_HAL6">#REF!</definedName>
    <definedName name="_HAL7" localSheetId="1">#REF!</definedName>
    <definedName name="_HAL7">#REF!</definedName>
    <definedName name="_HAL8" localSheetId="1">#REF!</definedName>
    <definedName name="_HAL8">#REF!</definedName>
    <definedName name="_Ibr1">#REF!</definedName>
    <definedName name="_IF_C10__0_AND_" localSheetId="1">#REF!</definedName>
    <definedName name="_IF_C10__0_AND_">#REF!</definedName>
    <definedName name="_IF_C12__0_AND_" localSheetId="1">#REF!</definedName>
    <definedName name="_IF_C12__0_AND_">#REF!</definedName>
    <definedName name="_IF_C14__0_AND_" localSheetId="1">#REF!</definedName>
    <definedName name="_IF_C14__0_AND_">#REF!</definedName>
    <definedName name="_IF_C22__0_AND_" localSheetId="1">#REF!</definedName>
    <definedName name="_IF_C22__0_AND_">#REF!</definedName>
    <definedName name="_IF_C24__0_AND_" localSheetId="1">#REF!</definedName>
    <definedName name="_IF_C24__0_AND_">#REF!</definedName>
    <definedName name="_IF_C28__0_AND_" localSheetId="1">#REF!</definedName>
    <definedName name="_IF_C28__0_AND_">#REF!</definedName>
    <definedName name="_IF_C30__0_AND_" localSheetId="1">#REF!</definedName>
    <definedName name="_IF_C30__0_AND_">#REF!</definedName>
    <definedName name="_IF_C7__0_AND_D" localSheetId="1">#REF!</definedName>
    <definedName name="_IF_C7__0_AND_D">#REF!</definedName>
    <definedName name="_IF_C8__0_AND_D" localSheetId="1">#REF!</definedName>
    <definedName name="_IF_C8__0_AND_D">#REF!</definedName>
    <definedName name="_IF_H10_1__BRAN" localSheetId="1">#REF!</definedName>
    <definedName name="_IF_H10_1__BRAN">#REF!</definedName>
    <definedName name="_IF_H10_2__BRAN" localSheetId="1">#REF!</definedName>
    <definedName name="_IF_H10_2__BRAN">#REF!</definedName>
    <definedName name="_IF_H12_1__BRAN" localSheetId="1">#REF!</definedName>
    <definedName name="_IF_H12_1__BRAN">#REF!</definedName>
    <definedName name="_IF_H12_2__BRAN" localSheetId="1">#REF!</definedName>
    <definedName name="_IF_H12_2__BRAN">#REF!</definedName>
    <definedName name="_IF_H14_1__BRAN" localSheetId="1">#REF!</definedName>
    <definedName name="_IF_H14_1__BRAN">#REF!</definedName>
    <definedName name="_IF_H14_2__BRAN" localSheetId="1">#REF!</definedName>
    <definedName name="_IF_H14_2__BRAN">#REF!</definedName>
    <definedName name="_IF_H16_1__BRAN" localSheetId="1">#REF!</definedName>
    <definedName name="_IF_H16_1__BRAN">#REF!</definedName>
    <definedName name="_IF_H18_1__BRAN" localSheetId="1">#REF!</definedName>
    <definedName name="_IF_H18_1__BRAN">#REF!</definedName>
    <definedName name="_IF_H22_1__BRAN" localSheetId="1">#REF!</definedName>
    <definedName name="_IF_H22_1__BRAN">#REF!</definedName>
    <definedName name="_IF_H22_2__BRAN" localSheetId="1">#REF!</definedName>
    <definedName name="_IF_H22_2__BRAN">#REF!</definedName>
    <definedName name="_IF_H24_1__BRAN" localSheetId="1">#REF!</definedName>
    <definedName name="_IF_H24_1__BRAN">#REF!</definedName>
    <definedName name="_IF_H24_2__BRAN" localSheetId="1">#REF!</definedName>
    <definedName name="_IF_H24_2__BRAN">#REF!</definedName>
    <definedName name="_IF_H28_1__BRAN" localSheetId="1">#REF!</definedName>
    <definedName name="_IF_H28_1__BRAN">#REF!</definedName>
    <definedName name="_IF_H28_2__BRAN" localSheetId="1">#REF!</definedName>
    <definedName name="_IF_H28_2__BRAN">#REF!</definedName>
    <definedName name="_IF_H30_1__BRAN" localSheetId="1">#REF!</definedName>
    <definedName name="_IF_H30_1__BRAN">#REF!</definedName>
    <definedName name="_IF_H30_2__BRAN" localSheetId="1">#REF!</definedName>
    <definedName name="_IF_H30_2__BRAN">#REF!</definedName>
    <definedName name="_IF_H8_1__BRANC" localSheetId="1">#REF!</definedName>
    <definedName name="_IF_H8_1__BRANC">#REF!</definedName>
    <definedName name="_IF_H8_2__BRANC" localSheetId="1">#REF!</definedName>
    <definedName name="_IF_H8_2__BRANC">#REF!</definedName>
    <definedName name="_IF_I7_1__BRANC" localSheetId="1">#REF!</definedName>
    <definedName name="_IF_I7_1__BRANC">#REF!</definedName>
    <definedName name="_IF_I7_2__BRANC" localSheetId="1">#REF!</definedName>
    <definedName name="_IF_I7_2__BRANC">#REF!</definedName>
    <definedName name="_IV100000">#REF!</definedName>
    <definedName name="_kc3">[5]BAHAN!$G$206</definedName>
    <definedName name="_kc5">[5]BAHAN!$G$207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mb1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DE01" localSheetId="1">#REF!</definedName>
    <definedName name="_MDE01">#REF!</definedName>
    <definedName name="_MDE02" localSheetId="1">#REF!</definedName>
    <definedName name="_MDE02">#REF!</definedName>
    <definedName name="_MDE03" localSheetId="1">#REF!</definedName>
    <definedName name="_MDE03">#REF!</definedName>
    <definedName name="_MDE04" localSheetId="1">#REF!</definedName>
    <definedName name="_MDE04">#REF!</definedName>
    <definedName name="_MDE05" localSheetId="1">#REF!</definedName>
    <definedName name="_MDE05">#REF!</definedName>
    <definedName name="_MDE06" localSheetId="1">#REF!</definedName>
    <definedName name="_MDE06">#REF!</definedName>
    <definedName name="_MDE07" localSheetId="1">#REF!</definedName>
    <definedName name="_MDE07">#REF!</definedName>
    <definedName name="_MDE08" localSheetId="1">#REF!</definedName>
    <definedName name="_MDE08">#REF!</definedName>
    <definedName name="_MDE09" localSheetId="1">#REF!</definedName>
    <definedName name="_MDE09">#REF!</definedName>
    <definedName name="_MDE10" localSheetId="1">#REF!</definedName>
    <definedName name="_MDE10">#REF!</definedName>
    <definedName name="_MDE11" localSheetId="1">#REF!</definedName>
    <definedName name="_MDE11">#REF!</definedName>
    <definedName name="_MDE12" localSheetId="1">#REF!</definedName>
    <definedName name="_MDE12">#REF!</definedName>
    <definedName name="_MDE13" localSheetId="1">#REF!</definedName>
    <definedName name="_MDE13">#REF!</definedName>
    <definedName name="_MDE14" localSheetId="1">#REF!</definedName>
    <definedName name="_MDE14">#REF!</definedName>
    <definedName name="_MDE15" localSheetId="1">#REF!</definedName>
    <definedName name="_MDE15">#REF!</definedName>
    <definedName name="_MDE16" localSheetId="1">#REF!</definedName>
    <definedName name="_MDE16">#REF!</definedName>
    <definedName name="_MDE17" localSheetId="1">#REF!</definedName>
    <definedName name="_MDE17">#REF!</definedName>
    <definedName name="_MDE18" localSheetId="1">#REF!</definedName>
    <definedName name="_MDE18">#REF!</definedName>
    <definedName name="_MDE19" localSheetId="1">#REF!</definedName>
    <definedName name="_MDE19">#REF!</definedName>
    <definedName name="_MDE20" localSheetId="1">#REF!</definedName>
    <definedName name="_MDE20">#REF!</definedName>
    <definedName name="_MDE21" localSheetId="1">#REF!</definedName>
    <definedName name="_MDE21">#REF!</definedName>
    <definedName name="_MDE22" localSheetId="1">#REF!</definedName>
    <definedName name="_MDE22">#REF!</definedName>
    <definedName name="_MDE23" localSheetId="1">#REF!</definedName>
    <definedName name="_MDE23">#REF!</definedName>
    <definedName name="_MDE24" localSheetId="1">#REF!</definedName>
    <definedName name="_MDE24">#REF!</definedName>
    <definedName name="_MDE25" localSheetId="1">#REF!</definedName>
    <definedName name="_MDE25">#REF!</definedName>
    <definedName name="_MDE26" localSheetId="1">#REF!</definedName>
    <definedName name="_MDE26">#REF!</definedName>
    <definedName name="_MDE27" localSheetId="1">#REF!</definedName>
    <definedName name="_MDE27">#REF!</definedName>
    <definedName name="_MDE28" localSheetId="1">#REF!</definedName>
    <definedName name="_MDE28">#REF!</definedName>
    <definedName name="_MDE29" localSheetId="1">#REF!</definedName>
    <definedName name="_MDE29">#REF!</definedName>
    <definedName name="_MDE30" localSheetId="1">#REF!</definedName>
    <definedName name="_MDE30">#REF!</definedName>
    <definedName name="_MDE31" localSheetId="1">#REF!</definedName>
    <definedName name="_MDE31">#REF!</definedName>
    <definedName name="_MDE32" localSheetId="1">#REF!</definedName>
    <definedName name="_MDE32">#REF!</definedName>
    <definedName name="_MDE33" localSheetId="1">#REF!</definedName>
    <definedName name="_MDE33">#REF!</definedName>
    <definedName name="_MDE34" localSheetId="1">#REF!</definedName>
    <definedName name="_MDE34">#REF!</definedName>
    <definedName name="_MDE36" localSheetId="1">#REF!</definedName>
    <definedName name="_MDE36">#REF!</definedName>
    <definedName name="_MDE37" localSheetId="1">#REF!</definedName>
    <definedName name="_MDE37">#REF!</definedName>
    <definedName name="_MDE38" localSheetId="1">#REF!</definedName>
    <definedName name="_MDE38">#REF!</definedName>
    <definedName name="_MDE39" localSheetId="1">#REF!</definedName>
    <definedName name="_MDE39">#REF!</definedName>
    <definedName name="_MDE40" localSheetId="1">#REF!</definedName>
    <definedName name="_MDE40">#REF!</definedName>
    <definedName name="_MDE41" localSheetId="1">#REF!</definedName>
    <definedName name="_MDE41">#REF!</definedName>
    <definedName name="_MDE42" localSheetId="1">#REF!</definedName>
    <definedName name="_MDE42">#REF!</definedName>
    <definedName name="_MDE43" localSheetId="1">#REF!</definedName>
    <definedName name="_MDE43">#REF!</definedName>
    <definedName name="_MDE44" localSheetId="1">#REF!</definedName>
    <definedName name="_MDE44">#REF!</definedName>
    <definedName name="_MDE45" localSheetId="1">#REF!</definedName>
    <definedName name="_MDE45">#REF!</definedName>
    <definedName name="_MDE46" localSheetId="1">#REF!</definedName>
    <definedName name="_MDE46">#REF!</definedName>
    <definedName name="_MDE47" localSheetId="1">#REF!</definedName>
    <definedName name="_MDE47">#REF!</definedName>
    <definedName name="_MDE48" localSheetId="1">#REF!</definedName>
    <definedName name="_MDE48">#REF!</definedName>
    <definedName name="_MDE49" localSheetId="1">#REF!</definedName>
    <definedName name="_MDE49">#REF!</definedName>
    <definedName name="_MDE50" localSheetId="1">#REF!</definedName>
    <definedName name="_MDE50">#REF!</definedName>
    <definedName name="_MDE51" localSheetId="1">#REF!</definedName>
    <definedName name="_MDE51">#REF!</definedName>
    <definedName name="_MDE52" localSheetId="1">#REF!</definedName>
    <definedName name="_MDE52">#REF!</definedName>
    <definedName name="_MDE53" localSheetId="1">#REF!</definedName>
    <definedName name="_MDE53">#REF!</definedName>
    <definedName name="_MDE54" localSheetId="1">#REF!</definedName>
    <definedName name="_MDE54">#REF!</definedName>
    <definedName name="_MDE55" localSheetId="1">#REF!</definedName>
    <definedName name="_MDE55">#REF!</definedName>
    <definedName name="_MDE56" localSheetId="1">#REF!</definedName>
    <definedName name="_MDE56">#REF!</definedName>
    <definedName name="_MDE57" localSheetId="1">#REF!</definedName>
    <definedName name="_MDE57">#REF!</definedName>
    <definedName name="_MDE58" localSheetId="1">#REF!</definedName>
    <definedName name="_MDE58">#REF!</definedName>
    <definedName name="_MDE59" localSheetId="1">#REF!</definedName>
    <definedName name="_MDE59">#REF!</definedName>
    <definedName name="_MDE60" localSheetId="1">#REF!</definedName>
    <definedName name="_MDE60">#REF!</definedName>
    <definedName name="_MDE61" localSheetId="1">#REF!</definedName>
    <definedName name="_MDE61">#REF!</definedName>
    <definedName name="_MDE62" localSheetId="1">#REF!</definedName>
    <definedName name="_MDE62">#REF!</definedName>
    <definedName name="_MDE63" localSheetId="1">#REF!</definedName>
    <definedName name="_MDE63">#REF!</definedName>
    <definedName name="_MDE64" localSheetId="1">#REF!</definedName>
    <definedName name="_MDE64">#REF!</definedName>
    <definedName name="_MDE65" localSheetId="1">#REF!</definedName>
    <definedName name="_MDE65">#REF!</definedName>
    <definedName name="_MDE66" localSheetId="1">#REF!</definedName>
    <definedName name="_MDE66">#REF!</definedName>
    <definedName name="_MDE67" localSheetId="1">#REF!</definedName>
    <definedName name="_MDE67">#REF!</definedName>
    <definedName name="_MDE68" localSheetId="1">#REF!</definedName>
    <definedName name="_MDE68">#REF!</definedName>
    <definedName name="_ME01" localSheetId="1">#REF!</definedName>
    <definedName name="_ME01">#REF!</definedName>
    <definedName name="_ME02" localSheetId="1">#REF!</definedName>
    <definedName name="_ME02">#REF!</definedName>
    <definedName name="_ME03" localSheetId="1">#REF!</definedName>
    <definedName name="_ME03">#REF!</definedName>
    <definedName name="_ME04" localSheetId="1">#REF!</definedName>
    <definedName name="_ME04">#REF!</definedName>
    <definedName name="_ME05" localSheetId="1">#REF!</definedName>
    <definedName name="_ME05">#REF!</definedName>
    <definedName name="_ME06" localSheetId="1">#REF!</definedName>
    <definedName name="_ME06">#REF!</definedName>
    <definedName name="_ME07" localSheetId="1">#REF!</definedName>
    <definedName name="_ME07">#REF!</definedName>
    <definedName name="_ME08" localSheetId="1">#REF!</definedName>
    <definedName name="_ME08">#REF!</definedName>
    <definedName name="_ME09" localSheetId="1">#REF!</definedName>
    <definedName name="_ME09">#REF!</definedName>
    <definedName name="_ME10" localSheetId="1">#REF!</definedName>
    <definedName name="_ME10">#REF!</definedName>
    <definedName name="_ME11" localSheetId="1">#REF!</definedName>
    <definedName name="_ME11">#REF!</definedName>
    <definedName name="_ME12" localSheetId="1">#REF!</definedName>
    <definedName name="_ME12">#REF!</definedName>
    <definedName name="_ME13" localSheetId="1">#REF!</definedName>
    <definedName name="_ME13">#REF!</definedName>
    <definedName name="_ME14" localSheetId="1">#REF!</definedName>
    <definedName name="_ME14">#REF!</definedName>
    <definedName name="_ME15" localSheetId="1">#REF!</definedName>
    <definedName name="_ME15">#REF!</definedName>
    <definedName name="_ME16" localSheetId="1">#REF!</definedName>
    <definedName name="_ME16">#REF!</definedName>
    <definedName name="_ME17" localSheetId="1">#REF!</definedName>
    <definedName name="_ME17">#REF!</definedName>
    <definedName name="_ME18" localSheetId="1">#REF!</definedName>
    <definedName name="_ME18">#REF!</definedName>
    <definedName name="_ME19" localSheetId="1">#REF!</definedName>
    <definedName name="_ME19">#REF!</definedName>
    <definedName name="_ME20" localSheetId="1">#REF!</definedName>
    <definedName name="_ME20">#REF!</definedName>
    <definedName name="_ME21" localSheetId="1">#REF!</definedName>
    <definedName name="_ME21">#REF!</definedName>
    <definedName name="_ME22" localSheetId="1">#REF!</definedName>
    <definedName name="_ME22">#REF!</definedName>
    <definedName name="_ME23" localSheetId="1">#REF!</definedName>
    <definedName name="_ME23">#REF!</definedName>
    <definedName name="_ME24" localSheetId="1">#REF!</definedName>
    <definedName name="_ME24">#REF!</definedName>
    <definedName name="_ME25" localSheetId="1">#REF!</definedName>
    <definedName name="_ME25">#REF!</definedName>
    <definedName name="_ME26" localSheetId="1">#REF!</definedName>
    <definedName name="_ME26">#REF!</definedName>
    <definedName name="_ME27" localSheetId="1">#REF!</definedName>
    <definedName name="_ME27">#REF!</definedName>
    <definedName name="_ME28" localSheetId="1">#REF!</definedName>
    <definedName name="_ME28">#REF!</definedName>
    <definedName name="_ME29" localSheetId="1">#REF!</definedName>
    <definedName name="_ME29">#REF!</definedName>
    <definedName name="_ME30" localSheetId="1">#REF!</definedName>
    <definedName name="_ME30">#REF!</definedName>
    <definedName name="_ME31" localSheetId="1">#REF!</definedName>
    <definedName name="_ME31">#REF!</definedName>
    <definedName name="_ME32" localSheetId="1">#REF!</definedName>
    <definedName name="_ME32">#REF!</definedName>
    <definedName name="_ME33" localSheetId="1">#REF!</definedName>
    <definedName name="_ME33">#REF!</definedName>
    <definedName name="_ME34" localSheetId="1">#REF!</definedName>
    <definedName name="_ME34">#REF!</definedName>
    <definedName name="_ME36" localSheetId="1">#REF!</definedName>
    <definedName name="_ME36">#REF!</definedName>
    <definedName name="_ME37" localSheetId="1">#REF!</definedName>
    <definedName name="_ME37">#REF!</definedName>
    <definedName name="_ME38" localSheetId="1">#REF!</definedName>
    <definedName name="_ME38">#REF!</definedName>
    <definedName name="_ME39" localSheetId="1">#REF!</definedName>
    <definedName name="_ME39">#REF!</definedName>
    <definedName name="_ME40" localSheetId="1">#REF!</definedName>
    <definedName name="_ME40">#REF!</definedName>
    <definedName name="_ME41" localSheetId="1">#REF!</definedName>
    <definedName name="_ME41">#REF!</definedName>
    <definedName name="_ME42" localSheetId="1">#REF!</definedName>
    <definedName name="_ME42">#REF!</definedName>
    <definedName name="_ME43" localSheetId="1">#REF!</definedName>
    <definedName name="_ME43">#REF!</definedName>
    <definedName name="_ME44" localSheetId="1">#REF!</definedName>
    <definedName name="_ME44">#REF!</definedName>
    <definedName name="_ME45" localSheetId="1">#REF!</definedName>
    <definedName name="_ME45">#REF!</definedName>
    <definedName name="_ME46" localSheetId="1">#REF!</definedName>
    <definedName name="_ME46">#REF!</definedName>
    <definedName name="_ME47" localSheetId="1">#REF!</definedName>
    <definedName name="_ME47">#REF!</definedName>
    <definedName name="_ME48" localSheetId="1">#REF!</definedName>
    <definedName name="_ME48">#REF!</definedName>
    <definedName name="_ME49" localSheetId="1">#REF!</definedName>
    <definedName name="_ME49">#REF!</definedName>
    <definedName name="_ME50" localSheetId="1">#REF!</definedName>
    <definedName name="_ME50">#REF!</definedName>
    <definedName name="_ME51" localSheetId="1">#REF!</definedName>
    <definedName name="_ME51">#REF!</definedName>
    <definedName name="_ME52" localSheetId="1">#REF!</definedName>
    <definedName name="_ME52">#REF!</definedName>
    <definedName name="_ME53" localSheetId="1">#REF!</definedName>
    <definedName name="_ME53">#REF!</definedName>
    <definedName name="_ME54" localSheetId="1">#REF!</definedName>
    <definedName name="_ME54">#REF!</definedName>
    <definedName name="_ME55" localSheetId="1">#REF!</definedName>
    <definedName name="_ME55">#REF!</definedName>
    <definedName name="_ME56" localSheetId="1">#REF!</definedName>
    <definedName name="_ME56">#REF!</definedName>
    <definedName name="_ME57" localSheetId="1">#REF!</definedName>
    <definedName name="_ME57">#REF!</definedName>
    <definedName name="_ME58" localSheetId="1">#REF!</definedName>
    <definedName name="_ME58">#REF!</definedName>
    <definedName name="_ME59" localSheetId="1">#REF!</definedName>
    <definedName name="_ME59">#REF!</definedName>
    <definedName name="_ME60" localSheetId="1">#REF!</definedName>
    <definedName name="_ME60">#REF!</definedName>
    <definedName name="_ME61" localSheetId="1">#REF!</definedName>
    <definedName name="_ME61">#REF!</definedName>
    <definedName name="_ME62" localSheetId="1">#REF!</definedName>
    <definedName name="_ME62">#REF!</definedName>
    <definedName name="_ME63" localSheetId="1">#REF!</definedName>
    <definedName name="_ME63">#REF!</definedName>
    <definedName name="_ME64" localSheetId="1">#REF!</definedName>
    <definedName name="_ME64">#REF!</definedName>
    <definedName name="_ME65" localSheetId="1">#REF!</definedName>
    <definedName name="_ME65">#REF!</definedName>
    <definedName name="_ME66" localSheetId="1">#REF!</definedName>
    <definedName name="_ME66">#REF!</definedName>
    <definedName name="_ME67" localSheetId="1">#REF!</definedName>
    <definedName name="_ME67">#REF!</definedName>
    <definedName name="_ME68" localSheetId="1">#REF!</definedName>
    <definedName name="_ME68">#REF!</definedName>
    <definedName name="_mix175">[6]BAHAN!$E$22</definedName>
    <definedName name="_mix225">[6]BAHAN!$E$23</definedName>
    <definedName name="_mix300">[6]BAHAN!$E$24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Order1" hidden="1">255</definedName>
    <definedName name="_Order2" hidden="1">255</definedName>
    <definedName name="_pan1" localSheetId="1">#REF!</definedName>
    <definedName name="_pan1">#REF!</definedName>
    <definedName name="_pan2" localSheetId="1">#REF!</definedName>
    <definedName name="_pan2">#REF!</definedName>
    <definedName name="_pb1">#REF!</definedName>
    <definedName name="_pbs05">[5]BAHAN!$G$140</definedName>
    <definedName name="_pbs1">[5]BAHAN!$G$142</definedName>
    <definedName name="_pbs15">[5]BAHAN!$G$143</definedName>
    <definedName name="_pbs3">[5]BAHAN!$G$145</definedName>
    <definedName name="_pbs34">[5]BAHAN!$G$141</definedName>
    <definedName name="_pbs4">[5]BAHAN!$G$146</definedName>
    <definedName name="_pc40" localSheetId="1">#REF!</definedName>
    <definedName name="_pc40">#REF!</definedName>
    <definedName name="_pc50" localSheetId="1">#REF!</definedName>
    <definedName name="_pc50">#REF!</definedName>
    <definedName name="_pek2" localSheetId="1">#REF!</definedName>
    <definedName name="_pek2" localSheetId="4">[5]UPAH!#REF!</definedName>
    <definedName name="_pek2">#REF!</definedName>
    <definedName name="_pek3" localSheetId="1">#REF!</definedName>
    <definedName name="_pek3">#REF!</definedName>
    <definedName name="_pk13">[5]BAHAN!$G$194</definedName>
    <definedName name="_pk47">[5]BAHAN!$G$195</definedName>
    <definedName name="_pk8">[5]BAHAN!$G$196</definedName>
    <definedName name="_ply9">[5]BAHAN!$G$93</definedName>
    <definedName name="_pvc05" localSheetId="1">#REF!</definedName>
    <definedName name="_pvc05" localSheetId="4">[5]BAHAN!$G$130</definedName>
    <definedName name="_pvc05">#REF!</definedName>
    <definedName name="_pvc1" localSheetId="1">#REF!</definedName>
    <definedName name="_pvc1" localSheetId="4">[5]BAHAN!$G$132</definedName>
    <definedName name="_pvc1">#REF!</definedName>
    <definedName name="_pvc105" localSheetId="1">#REF!</definedName>
    <definedName name="_pvc105">#REF!</definedName>
    <definedName name="_pvc15">[5]BAHAN!$G$133</definedName>
    <definedName name="_pvc2" localSheetId="1">#REF!</definedName>
    <definedName name="_pvc2" localSheetId="4">[5]BAHAN!$G$134</definedName>
    <definedName name="_pvc2">#REF!</definedName>
    <definedName name="_pvc205" localSheetId="1">#REF!</definedName>
    <definedName name="_pvc205">#REF!</definedName>
    <definedName name="_pvc25">[5]BAHAN!$G$135</definedName>
    <definedName name="_pvc3" localSheetId="1">#REF!</definedName>
    <definedName name="_pvc3" localSheetId="4">[5]BAHAN!$G$136</definedName>
    <definedName name="_pvc3">#REF!</definedName>
    <definedName name="_pvc34" localSheetId="1">#REF!</definedName>
    <definedName name="_pvc34" localSheetId="4">[5]BAHAN!$G$131</definedName>
    <definedName name="_pvc34">#REF!</definedName>
    <definedName name="_pvc4" localSheetId="1">#REF!</definedName>
    <definedName name="_pvc4" localSheetId="4">[5]BAHAN!$G$137</definedName>
    <definedName name="_pvc4">#REF!</definedName>
    <definedName name="_rst20">[5]BAHAN!#REF!</definedName>
    <definedName name="_rst30">[5]BAHAN!#REF!</definedName>
    <definedName name="_Sort" localSheetId="1" hidden="1">#REF!</definedName>
    <definedName name="_Sort" hidden="1">#REF!</definedName>
    <definedName name="_tg20">[5]BAHAN!#REF!</definedName>
    <definedName name="_tg30">[5]BAHAN!#REF!</definedName>
    <definedName name="_uk1013" localSheetId="1">#REF!</definedName>
    <definedName name="_uk1013">#REF!</definedName>
    <definedName name="_uk1015" localSheetId="1">#REF!</definedName>
    <definedName name="_uk1015">#REF!</definedName>
    <definedName name="_uk1020" localSheetId="1">#REF!</definedName>
    <definedName name="_uk1020">#REF!</definedName>
    <definedName name="_uk1025" localSheetId="1">#REF!</definedName>
    <definedName name="_uk1025">#REF!</definedName>
    <definedName name="_uk1030" localSheetId="1">#REF!</definedName>
    <definedName name="_uk1030">#REF!</definedName>
    <definedName name="_uk1213" localSheetId="1">#REF!</definedName>
    <definedName name="_uk1213">#REF!</definedName>
    <definedName name="_uk1215" localSheetId="1">#REF!</definedName>
    <definedName name="_uk1215">#REF!</definedName>
    <definedName name="_uk1220" localSheetId="1">#REF!</definedName>
    <definedName name="_uk1220">#REF!</definedName>
    <definedName name="_uk1225" localSheetId="1">#REF!</definedName>
    <definedName name="_uk1225">#REF!</definedName>
    <definedName name="_uk1230" localSheetId="1">#REF!</definedName>
    <definedName name="_uk1230">#REF!</definedName>
    <definedName name="_uk1313" localSheetId="1">#REF!</definedName>
    <definedName name="_uk1313">#REF!</definedName>
    <definedName name="_uk1315" localSheetId="1">#REF!</definedName>
    <definedName name="_uk1315">#REF!</definedName>
    <definedName name="_uk1525" localSheetId="1">#REF!</definedName>
    <definedName name="_uk1525">#REF!</definedName>
    <definedName name="_uk2035" localSheetId="1">#REF!</definedName>
    <definedName name="_uk2035">#REF!</definedName>
    <definedName name="_uk2045" localSheetId="1">#REF!</definedName>
    <definedName name="_uk2045">#REF!</definedName>
    <definedName name="_uk2050" localSheetId="1">#REF!</definedName>
    <definedName name="_uk2050">#REF!</definedName>
    <definedName name="_uk2055" localSheetId="1">#REF!</definedName>
    <definedName name="_uk2055">#REF!</definedName>
    <definedName name="_uk2060" localSheetId="1">#REF!</definedName>
    <definedName name="_uk2060">#REF!</definedName>
    <definedName name="_uk2070" localSheetId="1">#REF!</definedName>
    <definedName name="_uk2070">#REF!</definedName>
    <definedName name="_uk2535" localSheetId="1">#REF!</definedName>
    <definedName name="_uk2535">#REF!</definedName>
    <definedName name="_uk2540" localSheetId="1">#REF!</definedName>
    <definedName name="_uk2540">#REF!</definedName>
    <definedName name="_uk2545" localSheetId="1">#REF!</definedName>
    <definedName name="_uk2545">#REF!</definedName>
    <definedName name="_uk2550" localSheetId="1">#REF!</definedName>
    <definedName name="_uk2550">#REF!</definedName>
    <definedName name="_uk2555" localSheetId="1">#REF!</definedName>
    <definedName name="_uk2555">#REF!</definedName>
    <definedName name="_uk2565" localSheetId="1">#REF!</definedName>
    <definedName name="_uk2565">#REF!</definedName>
    <definedName name="_uk2570" localSheetId="1">#REF!</definedName>
    <definedName name="_uk2570">#REF!</definedName>
    <definedName name="_uk3035" localSheetId="1">#REF!</definedName>
    <definedName name="_uk3035">#REF!</definedName>
    <definedName name="_uk3040" localSheetId="1">#REF!</definedName>
    <definedName name="_uk3040">#REF!</definedName>
    <definedName name="_uk3045" localSheetId="1">#REF!</definedName>
    <definedName name="_uk3045">#REF!</definedName>
    <definedName name="_uk3050" localSheetId="1">#REF!</definedName>
    <definedName name="_uk3050">#REF!</definedName>
    <definedName name="_uk3055" localSheetId="1">#REF!</definedName>
    <definedName name="_uk3055">#REF!</definedName>
    <definedName name="_uk3060" localSheetId="1">#REF!</definedName>
    <definedName name="_uk3060">#REF!</definedName>
    <definedName name="_uk3075" localSheetId="1">#REF!</definedName>
    <definedName name="_uk3075">#REF!</definedName>
    <definedName name="_uk3535" localSheetId="1">#REF!</definedName>
    <definedName name="_uk3535">#REF!</definedName>
    <definedName name="_uk3540" localSheetId="1">#REF!</definedName>
    <definedName name="_uk3540">#REF!</definedName>
    <definedName name="_uk3545" localSheetId="1">#REF!</definedName>
    <definedName name="_uk3545">#REF!</definedName>
    <definedName name="_uk3550" localSheetId="1">#REF!</definedName>
    <definedName name="_uk3550">#REF!</definedName>
    <definedName name="_uk3555" localSheetId="1">#REF!</definedName>
    <definedName name="_uk3555">#REF!</definedName>
    <definedName name="_uk3560" localSheetId="1">#REF!</definedName>
    <definedName name="_uk3560">#REF!</definedName>
    <definedName name="_uk3570" localSheetId="1">#REF!</definedName>
    <definedName name="_uk3570">#REF!</definedName>
    <definedName name="_uk3575" localSheetId="1">#REF!</definedName>
    <definedName name="_uk3575">#REF!</definedName>
    <definedName name="_uk3580" localSheetId="1">#REF!</definedName>
    <definedName name="_uk3580">#REF!</definedName>
    <definedName name="_uk4040" localSheetId="1">#REF!</definedName>
    <definedName name="_uk4040">#REF!</definedName>
    <definedName name="_uk4045" localSheetId="1">#REF!</definedName>
    <definedName name="_uk4045">#REF!</definedName>
    <definedName name="_uk4055" localSheetId="1">#REF!</definedName>
    <definedName name="_uk4055">#REF!</definedName>
    <definedName name="_uk4060" localSheetId="1">#REF!</definedName>
    <definedName name="_uk4060">#REF!</definedName>
    <definedName name="_uk4070" localSheetId="1">#REF!</definedName>
    <definedName name="_uk4070">#REF!</definedName>
    <definedName name="_uk4075" localSheetId="1">#REF!</definedName>
    <definedName name="_uk4075">#REF!</definedName>
    <definedName name="_uk4080" localSheetId="1">#REF!</definedName>
    <definedName name="_uk4080">#REF!</definedName>
    <definedName name="_uk4545" localSheetId="1">#REF!</definedName>
    <definedName name="_uk4545">#REF!</definedName>
    <definedName name="_uk4550" localSheetId="1">#REF!</definedName>
    <definedName name="_uk4550">#REF!</definedName>
    <definedName name="_uk4555" localSheetId="1">#REF!</definedName>
    <definedName name="_uk4555">#REF!</definedName>
    <definedName name="_uk4560" localSheetId="1">#REF!</definedName>
    <definedName name="_uk4560">#REF!</definedName>
    <definedName name="_uk4570" localSheetId="1">#REF!</definedName>
    <definedName name="_uk4570">#REF!</definedName>
    <definedName name="_uk4575" localSheetId="1">#REF!</definedName>
    <definedName name="_uk4575">#REF!</definedName>
    <definedName name="_uk4580" localSheetId="1">#REF!</definedName>
    <definedName name="_uk4580">#REF!</definedName>
    <definedName name="_uk4590" localSheetId="1">#REF!</definedName>
    <definedName name="_uk4590">#REF!</definedName>
    <definedName name="_uk5055" localSheetId="1">#REF!</definedName>
    <definedName name="_uk5055">#REF!</definedName>
    <definedName name="_uk5060" localSheetId="1">#REF!</definedName>
    <definedName name="_uk5060">#REF!</definedName>
    <definedName name="_uk5070" localSheetId="1">#REF!</definedName>
    <definedName name="_uk5070">#REF!</definedName>
    <definedName name="_uk5075" localSheetId="1">#REF!</definedName>
    <definedName name="_uk5075">#REF!</definedName>
    <definedName name="_uk5080" localSheetId="1">#REF!</definedName>
    <definedName name="_uk5080">#REF!</definedName>
    <definedName name="_uk5090" localSheetId="1">#REF!</definedName>
    <definedName name="_uk5090">#REF!</definedName>
    <definedName name="_UK7070" localSheetId="1">#REF!</definedName>
    <definedName name="_UK7070">#REF!</definedName>
    <definedName name="_ZZ1">#REF!</definedName>
    <definedName name="_ZZ4">#REF!</definedName>
    <definedName name="a">#REF!</definedName>
    <definedName name="A.1" localSheetId="1">#REF!</definedName>
    <definedName name="A.1">#REF!</definedName>
    <definedName name="a.10" localSheetId="1">#REF!</definedName>
    <definedName name="a.10">#REF!</definedName>
    <definedName name="A.100.04">[7]Analisa!$J$17</definedName>
    <definedName name="A.100.06">[7]Analisa!$J$33</definedName>
    <definedName name="A.100.07">[7]Analisa!$J$46</definedName>
    <definedName name="A.100.08">[7]Analisa!$J$56</definedName>
    <definedName name="A.12" localSheetId="1">#REF!</definedName>
    <definedName name="A.12">#REF!</definedName>
    <definedName name="A.18" localSheetId="1">#REF!</definedName>
    <definedName name="A.18">#REF!</definedName>
    <definedName name="A.2" localSheetId="1">#REF!</definedName>
    <definedName name="A.2">#REF!</definedName>
    <definedName name="A.200.01.1">[7]Analisa!$J$65</definedName>
    <definedName name="A.200.02.1">[7]Analisa!$J$75</definedName>
    <definedName name="A.200.02.3">[7]Analisa!$J$85</definedName>
    <definedName name="A.200.02.4">[7]Analisa!$J$108</definedName>
    <definedName name="A.3" localSheetId="1">#REF!</definedName>
    <definedName name="A.3">#REF!</definedName>
    <definedName name="A.300.01.1">[7]Analisa!$J$119</definedName>
    <definedName name="A.300.01.2">[7]Analisa!$J$133</definedName>
    <definedName name="A.400.01.1">[7]Analisa!$J$147</definedName>
    <definedName name="A.400.02.1">[7]Analisa!$J$169</definedName>
    <definedName name="A.400.02.11">[7]Analisa!$J$314</definedName>
    <definedName name="A.400.02.4">[7]Analisa!$J$217</definedName>
    <definedName name="A.400.02.6">[7]Analisa!$J$239</definedName>
    <definedName name="A.400.02.8">[7]Analisa!$J$283</definedName>
    <definedName name="A.430.02.2">[7]Analisa!$J$363</definedName>
    <definedName name="A.430.03.2">[7]Analisa!$J$402</definedName>
    <definedName name="A.5" localSheetId="1">#REF!</definedName>
    <definedName name="A.5">#REF!</definedName>
    <definedName name="A.500.01.4">[7]Analisa!$J$415</definedName>
    <definedName name="A.500.02.4">[7]Analisa!$J$430</definedName>
    <definedName name="A.500.04.1">[7]Analisa!$J$455</definedName>
    <definedName name="A.500.04.2">[7]Analisa!$J$469</definedName>
    <definedName name="A.600.01.1">[7]Analisa!$J$500</definedName>
    <definedName name="A.700.01.4">[7]Analisa!$J$512</definedName>
    <definedName name="A.700.03.1">[7]Analisa!$J$539</definedName>
    <definedName name="A.830.02.2">[7]Analisa!$J$597</definedName>
    <definedName name="A.830.03.1">[7]Analisa!$J$612</definedName>
    <definedName name="A.850.01.2">[7]Analisa!$J$882</definedName>
    <definedName name="A.850.03.1">[7]Analisa!$J$896</definedName>
    <definedName name="A.850.03.2">[7]Analisa!$J$910</definedName>
    <definedName name="A.850.03.3">[7]Analisa!$J$923</definedName>
    <definedName name="A.999.02">[7]Analisa!$J$975</definedName>
    <definedName name="A.999.04">[7]Analisa!$J$984</definedName>
    <definedName name="A.999.07">[7]Analisa!$J$1015</definedName>
    <definedName name="A.999.08">[7]Analisa!$J$1025</definedName>
    <definedName name="A.BM.01">[7]Analisa!$J$641</definedName>
    <definedName name="A.CJ.02">[7]Analisa!$J$626</definedName>
    <definedName name="A.G.01.1">[7]Analisa!$J$745</definedName>
    <definedName name="A.G.01.2">[7]Analisa!$J$772</definedName>
    <definedName name="A.G.01.3">[7]Analisa!$J$781</definedName>
    <definedName name="A.G.02.1">[7]Analisa!$J$790</definedName>
    <definedName name="A.G.02.2">[7]Analisa!$J$799</definedName>
    <definedName name="A.G.02.3">[7]Analisa!$J$808</definedName>
    <definedName name="A.J.04">[7]Analisa!$J$715</definedName>
    <definedName name="A.KJ.03">[7]Analisa!$J$736</definedName>
    <definedName name="A.KS.04">[7]Analisa!$J$655</definedName>
    <definedName name="A.PK.04">[7]Analisa!$J$703</definedName>
    <definedName name="A.PP.04">[7]Analisa!$J$688</definedName>
    <definedName name="A_001" localSheetId="1">'[4]ANALISA PEK.UMUM'!#REF!</definedName>
    <definedName name="A_001">'[4]ANALISA PEK.UMUM'!#REF!</definedName>
    <definedName name="A_002" localSheetId="1">'[4]ANALISA PEK.UMUM'!#REF!</definedName>
    <definedName name="A_002">'[4]ANALISA PEK.UMUM'!#REF!</definedName>
    <definedName name="A_003" localSheetId="1">'[4]ANALISA PEK.UMUM'!#REF!</definedName>
    <definedName name="A_003">'[4]ANALISA PEK.UMUM'!#REF!</definedName>
    <definedName name="A_004" localSheetId="1">'[4]ANALISA PEK.UMUM'!#REF!</definedName>
    <definedName name="A_004">'[4]ANALISA PEK.UMUM'!#REF!</definedName>
    <definedName name="A_007" localSheetId="1">'[4]ANALISA PEK.UMUM'!#REF!</definedName>
    <definedName name="A_007">'[4]ANALISA PEK.UMUM'!#REF!</definedName>
    <definedName name="A_015" localSheetId="1">'[4]ANALISA PEK.UMUM'!#REF!</definedName>
    <definedName name="A_015">'[4]ANALISA PEK.UMUM'!#REF!</definedName>
    <definedName name="A_027" localSheetId="1">'[4]ANALISA PEK.UMUM'!#REF!</definedName>
    <definedName name="A_027">'[4]ANALISA PEK.UMUM'!#REF!</definedName>
    <definedName name="A_028" localSheetId="1">'[4]ANALISA PEK.UMUM'!#REF!</definedName>
    <definedName name="A_028">'[4]ANALISA PEK.UMUM'!#REF!</definedName>
    <definedName name="A_030" localSheetId="1">'[4]ANALISA PEK.UMUM'!#REF!</definedName>
    <definedName name="A_030">'[4]ANALISA PEK.UMUM'!#REF!</definedName>
    <definedName name="A_031" localSheetId="1">'[4]ANALISA PEK.UMUM'!#REF!</definedName>
    <definedName name="A_031">'[4]ANALISA PEK.UMUM'!#REF!</definedName>
    <definedName name="A_036" localSheetId="1">'[4]ANALISA PEK.UMUM'!#REF!</definedName>
    <definedName name="A_036">'[4]ANALISA PEK.UMUM'!#REF!</definedName>
    <definedName name="A_039" localSheetId="1">'[4]ANALISA PEK.UMUM'!#REF!</definedName>
    <definedName name="A_039">'[4]ANALISA PEK.UMUM'!#REF!</definedName>
    <definedName name="A_041" localSheetId="1">'[4]ANALISA PEK.UMUM'!#REF!</definedName>
    <definedName name="A_041">'[4]ANALISA PEK.UMUM'!#REF!</definedName>
    <definedName name="A_046" localSheetId="1">'[4]ANALISA PEK.UMUM'!#REF!</definedName>
    <definedName name="A_046">'[4]ANALISA PEK.UMUM'!#REF!</definedName>
    <definedName name="A_047" localSheetId="1">'[4]ANALISA PEK.UMUM'!#REF!</definedName>
    <definedName name="A_047">'[4]ANALISA PEK.UMUM'!#REF!</definedName>
    <definedName name="A_049" localSheetId="1">'[4]ANALISA PEK.UMUM'!#REF!</definedName>
    <definedName name="A_049">'[4]ANALISA PEK.UMUM'!#REF!</definedName>
    <definedName name="A_050" localSheetId="1">'[4]ANALISA PEK.UMUM'!#REF!</definedName>
    <definedName name="A_050">'[4]ANALISA PEK.UMUM'!#REF!</definedName>
    <definedName name="A_054" localSheetId="1">'[4]ANALISA PEK.UMUM'!#REF!</definedName>
    <definedName name="A_054">'[4]ANALISA PEK.UMUM'!#REF!</definedName>
    <definedName name="A_056" localSheetId="1">'[4]ANALISA PEK.UMUM'!#REF!</definedName>
    <definedName name="A_056">'[4]ANALISA PEK.UMUM'!#REF!</definedName>
    <definedName name="A_058" localSheetId="1">'[4]ANALISA PEK.UMUM'!#REF!</definedName>
    <definedName name="A_058">'[4]ANALISA PEK.UMUM'!#REF!</definedName>
    <definedName name="A_059" localSheetId="1">'[4]ANALISA PEK.UMUM'!#REF!</definedName>
    <definedName name="A_059">'[4]ANALISA PEK.UMUM'!#REF!</definedName>
    <definedName name="A_061" localSheetId="1">'[4]ANALISA PEK.UMUM'!#REF!</definedName>
    <definedName name="A_061">'[4]ANALISA PEK.UMUM'!#REF!</definedName>
    <definedName name="A_062" localSheetId="1">'[4]ANALISA PEK.UMUM'!#REF!</definedName>
    <definedName name="A_062">'[4]ANALISA PEK.UMUM'!#REF!</definedName>
    <definedName name="A_064" localSheetId="1">'[4]ANALISA PEK.UMUM'!#REF!</definedName>
    <definedName name="A_064">'[4]ANALISA PEK.UMUM'!#REF!</definedName>
    <definedName name="A_065" localSheetId="1">'[4]ANALISA PEK.UMUM'!#REF!</definedName>
    <definedName name="A_065">'[4]ANALISA PEK.UMUM'!#REF!</definedName>
    <definedName name="A_071" localSheetId="1">'[4]ANALISA PEK.UMUM'!#REF!</definedName>
    <definedName name="A_071">'[4]ANALISA PEK.UMUM'!#REF!</definedName>
    <definedName name="A_072" localSheetId="1">'[4]ANALISA PEK.UMUM'!#REF!</definedName>
    <definedName name="A_072">'[4]ANALISA PEK.UMUM'!#REF!</definedName>
    <definedName name="A_074" localSheetId="1">'[4]ANALISA PEK.UMUM'!#REF!</definedName>
    <definedName name="A_074">'[4]ANALISA PEK.UMUM'!#REF!</definedName>
    <definedName name="A_076" localSheetId="1">'[4]ANALISA PEK.UMUM'!#REF!</definedName>
    <definedName name="A_076">'[4]ANALISA PEK.UMUM'!#REF!</definedName>
    <definedName name="A_079" localSheetId="1">'[4]ANALISA PEK.UMUM'!#REF!</definedName>
    <definedName name="A_079">'[4]ANALISA PEK.UMUM'!#REF!</definedName>
    <definedName name="A_080" localSheetId="1">'[4]ANALISA PEK.UMUM'!#REF!</definedName>
    <definedName name="A_080">'[4]ANALISA PEK.UMUM'!#REF!</definedName>
    <definedName name="A_081" localSheetId="1">'[4]ANALISA PEK.UMUM'!#REF!</definedName>
    <definedName name="A_081">'[4]ANALISA PEK.UMUM'!#REF!</definedName>
    <definedName name="A_087" localSheetId="1">'[4]ANALISA PEK.UMUM'!#REF!</definedName>
    <definedName name="A_087">'[4]ANALISA PEK.UMUM'!#REF!</definedName>
    <definedName name="A_088" localSheetId="1">'[4]ANALISA PEK.UMUM'!#REF!</definedName>
    <definedName name="A_088">'[4]ANALISA PEK.UMUM'!#REF!</definedName>
    <definedName name="A_089" localSheetId="1">'[4]ANALISA PEK.UMUM'!#REF!</definedName>
    <definedName name="A_089">'[4]ANALISA PEK.UMUM'!#REF!</definedName>
    <definedName name="A_097" localSheetId="1">'[4]ANALISA PEK.UMUM'!#REF!</definedName>
    <definedName name="A_097">'[4]ANALISA PEK.UMUM'!#REF!</definedName>
    <definedName name="A_100" localSheetId="1">'[4]ANALISA PEK.UMUM'!#REF!</definedName>
    <definedName name="A_100">'[4]ANALISA PEK.UMUM'!#REF!</definedName>
    <definedName name="A_101" localSheetId="1">'[4]ANALISA PEK.UMUM'!#REF!</definedName>
    <definedName name="A_101">'[4]ANALISA PEK.UMUM'!#REF!</definedName>
    <definedName name="A_102" localSheetId="1">'[4]ANALISA PEK.UMUM'!#REF!</definedName>
    <definedName name="A_102">'[4]ANALISA PEK.UMUM'!#REF!</definedName>
    <definedName name="A_102r" localSheetId="1">'[4]ANALISA PEK.UMUM'!#REF!</definedName>
    <definedName name="A_102r">'[4]ANALISA PEK.UMUM'!#REF!</definedName>
    <definedName name="A_103" localSheetId="1">'[4]ANALISA PEK.UMUM'!#REF!</definedName>
    <definedName name="A_103">'[4]ANALISA PEK.UMUM'!#REF!</definedName>
    <definedName name="A_105" localSheetId="1">'[4]ANALISA PEK.UMUM'!#REF!</definedName>
    <definedName name="A_105">'[4]ANALISA PEK.UMUM'!#REF!</definedName>
    <definedName name="A_106r" localSheetId="1">'[4]ANALISA PEK.UMUM'!#REF!</definedName>
    <definedName name="A_106r">'[4]ANALISA PEK.UMUM'!#REF!</definedName>
    <definedName name="A_108" localSheetId="1">'[4]ANALISA PEK.UMUM'!#REF!</definedName>
    <definedName name="A_108">'[4]ANALISA PEK.UMUM'!#REF!</definedName>
    <definedName name="A_111" localSheetId="1">'[4]ANALISA PEK.UMUM'!#REF!</definedName>
    <definedName name="A_111">'[4]ANALISA PEK.UMUM'!#REF!</definedName>
    <definedName name="A_112" localSheetId="1">'[4]ANALISA PEK.UMUM'!#REF!</definedName>
    <definedName name="A_112">'[4]ANALISA PEK.UMUM'!#REF!</definedName>
    <definedName name="A_113r" localSheetId="1">'[4]ANALISA PEK.UMUM'!#REF!</definedName>
    <definedName name="A_113r">'[4]ANALISA PEK.UMUM'!#REF!</definedName>
    <definedName name="A_116" localSheetId="1">'[4]ANALISA PEK.UMUM'!#REF!</definedName>
    <definedName name="A_116">'[4]ANALISA PEK.UMUM'!#REF!</definedName>
    <definedName name="A_116r" localSheetId="1">'[4]ANALISA PEK.UMUM'!#REF!</definedName>
    <definedName name="A_116r">'[4]ANALISA PEK.UMUM'!#REF!</definedName>
    <definedName name="A_117" localSheetId="1">'[4]ANALISA PEK.UMUM'!#REF!</definedName>
    <definedName name="A_117">'[4]ANALISA PEK.UMUM'!#REF!</definedName>
    <definedName name="A_118" localSheetId="1">'[4]ANALISA PEK.UMUM'!#REF!</definedName>
    <definedName name="A_118">'[4]ANALISA PEK.UMUM'!#REF!</definedName>
    <definedName name="A_119" localSheetId="1">'[4]ANALISA PEK.UMUM'!#REF!</definedName>
    <definedName name="A_119">'[4]ANALISA PEK.UMUM'!#REF!</definedName>
    <definedName name="A_119r" localSheetId="1">'[4]ANALISA PEK.UMUM'!#REF!</definedName>
    <definedName name="A_119r">'[4]ANALISA PEK.UMUM'!#REF!</definedName>
    <definedName name="A_120" localSheetId="1">'[4]ANALISA PEK.UMUM'!#REF!</definedName>
    <definedName name="A_120">'[4]ANALISA PEK.UMUM'!#REF!</definedName>
    <definedName name="A_124" localSheetId="1">'[4]ANALISA PEK.UMUM'!#REF!</definedName>
    <definedName name="A_124">'[4]ANALISA PEK.UMUM'!#REF!</definedName>
    <definedName name="A_124r" localSheetId="1">'[4]ANALISA PEK.UMUM'!#REF!</definedName>
    <definedName name="A_124r">'[4]ANALISA PEK.UMUM'!#REF!</definedName>
    <definedName name="A_137" localSheetId="1">'[4]ANALISA PEK.UMUM'!#REF!</definedName>
    <definedName name="A_137">'[4]ANALISA PEK.UMUM'!#REF!</definedName>
    <definedName name="A_141" localSheetId="1">'[4]ANALISA PEK.UMUM'!#REF!</definedName>
    <definedName name="A_141">'[4]ANALISA PEK.UMUM'!#REF!</definedName>
    <definedName name="A_143" localSheetId="1">'[4]ANALISA PEK.UMUM'!#REF!</definedName>
    <definedName name="A_143">'[4]ANALISA PEK.UMUM'!#REF!</definedName>
    <definedName name="A_143r" localSheetId="1">'[4]ANALISA PEK.UMUM'!#REF!</definedName>
    <definedName name="A_143r">'[4]ANALISA PEK.UMUM'!#REF!</definedName>
    <definedName name="A_144" localSheetId="1">'[4]ANALISA PEK.UMUM'!#REF!</definedName>
    <definedName name="A_144">'[4]ANALISA PEK.UMUM'!#REF!</definedName>
    <definedName name="a_2r" localSheetId="1">'[4]ANALISA PEK.UMUM'!#REF!</definedName>
    <definedName name="a_2r">'[4]ANALISA PEK.UMUM'!#REF!</definedName>
    <definedName name="A_46009" localSheetId="1">'[4]ANALISA PEK.UMUM'!#REF!</definedName>
    <definedName name="A_46009">'[4]ANALISA PEK.UMUM'!#REF!</definedName>
    <definedName name="A_46012" localSheetId="1">'[4]ANALISA PEK.UMUM'!#REF!</definedName>
    <definedName name="A_46012">'[4]ANALISA PEK.UMUM'!#REF!</definedName>
    <definedName name="A_46020" localSheetId="1">'[4]ANALISA PEK.UMUM'!#REF!</definedName>
    <definedName name="A_46020">'[4]ANALISA PEK.UMUM'!#REF!</definedName>
    <definedName name="A_65002" localSheetId="1">'[4]ANALISA PEK.UMUM'!#REF!</definedName>
    <definedName name="A_65002">'[4]ANALISA PEK.UMUM'!#REF!</definedName>
    <definedName name="A_65003" localSheetId="1">'[4]ANALISA PEK.UMUM'!#REF!</definedName>
    <definedName name="A_65003">'[4]ANALISA PEK.UMUM'!#REF!</definedName>
    <definedName name="A_85002" localSheetId="1">'[4]ANALISA PEK.UMUM'!#REF!</definedName>
    <definedName name="A_85002">'[4]ANALISA PEK.UMUM'!#REF!</definedName>
    <definedName name="A_85005" localSheetId="1">'[4]ANALISA PEK.UMUM'!#REF!</definedName>
    <definedName name="A_85005">'[4]ANALISA PEK.UMUM'!#REF!</definedName>
    <definedName name="A_85006" localSheetId="1">'[4]ANALISA PEK.UMUM'!#REF!</definedName>
    <definedName name="A_85006">'[4]ANALISA PEK.UMUM'!#REF!</definedName>
    <definedName name="A_85007" localSheetId="1">'[4]ANALISA PEK.UMUM'!#REF!</definedName>
    <definedName name="A_85007">'[4]ANALISA PEK.UMUM'!#REF!</definedName>
    <definedName name="A_85008" localSheetId="1">'[4]ANALISA PEK.UMUM'!#REF!</definedName>
    <definedName name="A_85008">'[4]ANALISA PEK.UMUM'!#REF!</definedName>
    <definedName name="A_85009" localSheetId="1">'[4]ANALISA PEK.UMUM'!#REF!</definedName>
    <definedName name="A_85009">'[4]ANALISA PEK.UMUM'!#REF!</definedName>
    <definedName name="A_85016" localSheetId="1">'[4]ANALISA PEK.UMUM'!#REF!</definedName>
    <definedName name="A_85016">'[4]ANALISA PEK.UMUM'!#REF!</definedName>
    <definedName name="A_85017" localSheetId="1">'[4]ANALISA PEK.UMUM'!#REF!</definedName>
    <definedName name="A_85017">'[4]ANALISA PEK.UMUM'!#REF!</definedName>
    <definedName name="A_90013" localSheetId="1">'[4]ANALISA PEK.UMUM'!#REF!</definedName>
    <definedName name="A_90013">'[4]ANALISA PEK.UMUM'!#REF!</definedName>
    <definedName name="A_90018" localSheetId="1">'[4]ANALISA PEK.UMUM'!#REF!</definedName>
    <definedName name="A_90018">'[4]ANALISA PEK.UMUM'!#REF!</definedName>
    <definedName name="A_90019" localSheetId="1">'[4]ANALISA PEK.UMUM'!#REF!</definedName>
    <definedName name="A_90019">'[4]ANALISA PEK.UMUM'!#REF!</definedName>
    <definedName name="A_Bekisting_Biasa">'[8]Analisis Harga Sat'!$J$166</definedName>
    <definedName name="A_Beton_camp_123">'[8]Analisis Harga Sat'!$J$139</definedName>
    <definedName name="A_Beton135">'[8]Analisis Harga Sat'!$J$126</definedName>
    <definedName name="A_Galian_Tanah_Biasa">'[8]Analisis Harga Sat'!$J$26</definedName>
    <definedName name="A_Galian_Tanah_Keras">'[8]Analisis Harga Sat'!$J$34</definedName>
    <definedName name="A_Pembesian">'[8]Analisis Harga Sat'!$J$152</definedName>
    <definedName name="A_Pembuangan_Perataan_Sisa_Galian">'[8]Analisis Harga Sat'!$J$67</definedName>
    <definedName name="A_Penyambungan_PipaD1">'[8]Analisis Harga Sat'!$J$248</definedName>
    <definedName name="A_Penyambungan_PipaD15">'[8]Analisis Harga Sat'!$J$239</definedName>
    <definedName name="A_Urugan_Tanah_Kembali">'[8]Analisis Harga Sat'!$J$59</definedName>
    <definedName name="aa" localSheetId="1">#REF!</definedName>
    <definedName name="aa">#REF!</definedName>
    <definedName name="AA_05">'[9]HRG BHN'!$G$18</definedName>
    <definedName name="AA_10">'[9]HRG BHN'!$G$24</definedName>
    <definedName name="AA_12">'[9]HRG BHN'!$G$26</definedName>
    <definedName name="aaa" localSheetId="1">#REF!</definedName>
    <definedName name="aaa">#REF!</definedName>
    <definedName name="ab" localSheetId="1">#REF!</definedName>
    <definedName name="ab" localSheetId="4">'[10]Sat~Bahu'!$C$49</definedName>
    <definedName name="ab">#REF!</definedName>
    <definedName name="abantu">'[10]Sat~Bahu'!$C$76</definedName>
    <definedName name="ABC" localSheetId="1">#REF!</definedName>
    <definedName name="ABC">#REF!</definedName>
    <definedName name="AC">'[11]Sat~Bahu'!$C$49</definedName>
    <definedName name="aciabeton15">#REF!</definedName>
    <definedName name="acian">#REF!</definedName>
    <definedName name="acian2">#REF!</definedName>
    <definedName name="acianpropil13">#REF!</definedName>
    <definedName name="acidak">#REF!</definedName>
    <definedName name="addakwah">#REF!</definedName>
    <definedName name="ADM" localSheetId="1">#REF!</definedName>
    <definedName name="ADM">#REF!</definedName>
    <definedName name="AGG">#REF!</definedName>
    <definedName name="AGREGAT" localSheetId="1">#REF!</definedName>
    <definedName name="AGREGAT">#REF!</definedName>
    <definedName name="AGREGATA" localSheetId="1">#REF!</definedName>
    <definedName name="AGREGATA">#REF!</definedName>
    <definedName name="AGREGATB" localSheetId="1">#REF!</definedName>
    <definedName name="AGREGATB">#REF!</definedName>
    <definedName name="AGREGATC" localSheetId="1">#REF!</definedName>
    <definedName name="AGREGATC">#REF!</definedName>
    <definedName name="ahs" localSheetId="1">#REF!</definedName>
    <definedName name="ahs">#REF!</definedName>
    <definedName name="AI" localSheetId="1">#REF!</definedName>
    <definedName name="AI">#REF!</definedName>
    <definedName name="aibon">[5]BAHAN!$G$152</definedName>
    <definedName name="AII" localSheetId="1">#REF!</definedName>
    <definedName name="AII">#REF!</definedName>
    <definedName name="AIII" localSheetId="1">#REF!</definedName>
    <definedName name="AIII">#REF!</definedName>
    <definedName name="air">[5]BAHAN!$G$24</definedName>
    <definedName name="Air_compressor" localSheetId="1">#REF!</definedName>
    <definedName name="Air_compressor">#REF!</definedName>
    <definedName name="Air_keras">[12]DATA1!$I$22</definedName>
    <definedName name="AIV" localSheetId="1">#REF!</definedName>
    <definedName name="AIV">#REF!</definedName>
    <definedName name="AIX" localSheetId="1">#REF!</definedName>
    <definedName name="AIX">#REF!</definedName>
    <definedName name="akep">[13]BAHAN!$G$181</definedName>
    <definedName name="Akustik" localSheetId="1">#REF!</definedName>
    <definedName name="Akustik">#REF!</definedName>
    <definedName name="akustikarmstrong" localSheetId="1">#REF!</definedName>
    <definedName name="akustikarmstrong">#REF!</definedName>
    <definedName name="alangalang" localSheetId="1">#REF!</definedName>
    <definedName name="alangalang">#REF!</definedName>
    <definedName name="ALAT">#REF!</definedName>
    <definedName name="Alat_bantu_gali">[12]DATA!$G$42</definedName>
    <definedName name="Alat_bantu_kuda2_baja_IWF">[12]DATA1!$I$7</definedName>
    <definedName name="Alat_bantu_lantai">[12]DATA1!$I$41</definedName>
    <definedName name="Alat_bantu_stemper">[12]DATA!$G$44</definedName>
    <definedName name="alatbantu" localSheetId="1">#REF!</definedName>
    <definedName name="alatbantu">#REF!</definedName>
    <definedName name="ALATUTAMA" localSheetId="1">#REF!</definedName>
    <definedName name="ALATUTAMA">#REF!</definedName>
    <definedName name="alba">[5]BAHAN!$G$66</definedName>
    <definedName name="alba2.20">#REF!</definedName>
    <definedName name="albidayah">#REF!</definedName>
    <definedName name="alfajar">#REF!</definedName>
    <definedName name="alhidayah">#REF!</definedName>
    <definedName name="alhidayah2">#REF!</definedName>
    <definedName name="alikhlas">#REF!</definedName>
    <definedName name="alkhoer">#REF!</definedName>
    <definedName name="almf">[5]BAHAN!$G$248</definedName>
    <definedName name="aloha">[14]REKAP!$I$28</definedName>
    <definedName name="ALPA">'[2]met bab3'!#REF!</definedName>
    <definedName name="als">[5]BAHAN!$G$247</definedName>
    <definedName name="altb">[1]BAHAN!$E$245</definedName>
    <definedName name="Aluminium" localSheetId="1">#REF!</definedName>
    <definedName name="Aluminium">#REF!</definedName>
    <definedName name="aluminiumfoil" localSheetId="1">#REF!</definedName>
    <definedName name="aluminiumfoil">#REF!</definedName>
    <definedName name="AMP" localSheetId="1">#REF!</definedName>
    <definedName name="AMP" localSheetId="4">[5]ANALISA!#REF!</definedName>
    <definedName name="AMP">#REF!</definedName>
    <definedName name="ampelas" localSheetId="4">#N/A</definedName>
    <definedName name="Ampelas">[12]BAHAN!$D$95</definedName>
    <definedName name="ampl">[5]BAHAN!$G$49</definedName>
    <definedName name="amplas" localSheetId="1">#REF!</definedName>
    <definedName name="amplas">#REF!</definedName>
    <definedName name="anaktangga1728" localSheetId="1">#REF!</definedName>
    <definedName name="anaktangga1728">#REF!</definedName>
    <definedName name="anaktangga1729" localSheetId="1">#REF!</definedName>
    <definedName name="anaktangga1729">#REF!</definedName>
    <definedName name="anaktangga1730" localSheetId="1">#REF!</definedName>
    <definedName name="anaktangga1730">#REF!</definedName>
    <definedName name="anaktangga1731" localSheetId="1">#REF!</definedName>
    <definedName name="anaktangga1731">#REF!</definedName>
    <definedName name="anaktangga1732" localSheetId="1">#REF!</definedName>
    <definedName name="anaktangga1732">#REF!</definedName>
    <definedName name="anaktangga1733" localSheetId="1">#REF!</definedName>
    <definedName name="anaktangga1733">#REF!</definedName>
    <definedName name="anaktangga1734" localSheetId="1">#REF!</definedName>
    <definedName name="anaktangga1734">#REF!</definedName>
    <definedName name="anaktangga1735" localSheetId="1">#REF!</definedName>
    <definedName name="anaktangga1735">#REF!</definedName>
    <definedName name="anaktangga1828" localSheetId="1">#REF!</definedName>
    <definedName name="anaktangga1828">#REF!</definedName>
    <definedName name="anaktangga1829" localSheetId="1">#REF!</definedName>
    <definedName name="anaktangga1829">#REF!</definedName>
    <definedName name="anaktangga1830" localSheetId="1">#REF!</definedName>
    <definedName name="anaktangga1830">#REF!</definedName>
    <definedName name="anaktangga1831" localSheetId="1">#REF!</definedName>
    <definedName name="anaktangga1831">#REF!</definedName>
    <definedName name="anaktangga1832" localSheetId="1">#REF!</definedName>
    <definedName name="anaktangga1832">#REF!</definedName>
    <definedName name="anaktangga1833" localSheetId="1">#REF!</definedName>
    <definedName name="anaktangga1833">#REF!</definedName>
    <definedName name="anaktangga1834" localSheetId="1">#REF!</definedName>
    <definedName name="anaktangga1834">#REF!</definedName>
    <definedName name="anaktangga1835" localSheetId="1">#REF!</definedName>
    <definedName name="anaktangga1835">#REF!</definedName>
    <definedName name="anaktangga1928" localSheetId="1">#REF!</definedName>
    <definedName name="anaktangga1928">#REF!</definedName>
    <definedName name="anaktangga1929" localSheetId="1">#REF!</definedName>
    <definedName name="anaktangga1929">#REF!</definedName>
    <definedName name="anaktangga1930" localSheetId="1">#REF!</definedName>
    <definedName name="anaktangga1930">#REF!</definedName>
    <definedName name="anaktangga1931" localSheetId="1">#REF!</definedName>
    <definedName name="anaktangga1931">#REF!</definedName>
    <definedName name="anaktangga1932" localSheetId="1">#REF!</definedName>
    <definedName name="anaktangga1932">#REF!</definedName>
    <definedName name="anaktangga1933" localSheetId="1">#REF!</definedName>
    <definedName name="anaktangga1933">#REF!</definedName>
    <definedName name="anaktangga1934" localSheetId="1">#REF!</definedName>
    <definedName name="anaktangga1934">#REF!</definedName>
    <definedName name="anaktangga1935" localSheetId="1">#REF!</definedName>
    <definedName name="anaktangga1935">#REF!</definedName>
    <definedName name="anaktangga2028" localSheetId="1">#REF!</definedName>
    <definedName name="anaktangga2028">#REF!</definedName>
    <definedName name="anaktangga2029" localSheetId="1">#REF!</definedName>
    <definedName name="anaktangga2029">#REF!</definedName>
    <definedName name="anaktangga2031" localSheetId="1">#REF!</definedName>
    <definedName name="anaktangga2031">#REF!</definedName>
    <definedName name="anaktangga2032" localSheetId="1">#REF!</definedName>
    <definedName name="anaktangga2032">#REF!</definedName>
    <definedName name="anaktangga2033" localSheetId="1">#REF!</definedName>
    <definedName name="anaktangga2033">#REF!</definedName>
    <definedName name="anaktangga2034" localSheetId="1">#REF!</definedName>
    <definedName name="anaktangga2034">#REF!</definedName>
    <definedName name="anaktangga2035" localSheetId="1">#REF!</definedName>
    <definedName name="anaktangga2035">#REF!</definedName>
    <definedName name="Anal2" localSheetId="1">#REF!</definedName>
    <definedName name="Anal2">#REF!</definedName>
    <definedName name="ANALBAHAN">#REF!</definedName>
    <definedName name="ANALHSA">#REF!</definedName>
    <definedName name="analisa" localSheetId="1">#REF!</definedName>
    <definedName name="analisa">#REF!</definedName>
    <definedName name="AnalisaSTR">#REF!</definedName>
    <definedName name="analisis">[15]BAHAN!$E$110</definedName>
    <definedName name="angan">[16]bil!$C$2:$C$12</definedName>
    <definedName name="angkert" localSheetId="1">#REF!</definedName>
    <definedName name="angkert">#REF!</definedName>
    <definedName name="ANJINGGGG" localSheetId="1">#REF!</definedName>
    <definedName name="ANJINGGGG">#REF!</definedName>
    <definedName name="AP">#REF!</definedName>
    <definedName name="APA">'[2]met bab3'!#REF!</definedName>
    <definedName name="area" localSheetId="4">#REF!</definedName>
    <definedName name="area">'[17]Harsat Upah:Perhitungan Besi'!$A$1</definedName>
    <definedName name="AS">'[11]Sat~Bahu'!$C$76</definedName>
    <definedName name="as.1000">'[10]Sat~Bahu'!$C$102</definedName>
    <definedName name="as.200">'[10]Sat~Bahu'!$C$103</definedName>
    <definedName name="asbes">#REF!</definedName>
    <definedName name="asbesgel">#REF!</definedName>
    <definedName name="asbesgelombang" localSheetId="1">#REF!</definedName>
    <definedName name="asbesgelombang">#REF!</definedName>
    <definedName name="asbesgelombnang" localSheetId="1">#REF!</definedName>
    <definedName name="asbesgelombnang">#REF!</definedName>
    <definedName name="asgel5">[5]BAHAN!$G$236</definedName>
    <definedName name="aspal" localSheetId="1">#REF!</definedName>
    <definedName name="aspal">#REF!</definedName>
    <definedName name="Asphalt_Finisher" localSheetId="1">#REF!</definedName>
    <definedName name="Asphalt_Finisher">#REF!</definedName>
    <definedName name="ASSASUL">#REF!</definedName>
    <definedName name="Atap_Asbes_Gel._Besar_5_mm_80_x_180">[12]BAHAN!$D$461</definedName>
    <definedName name="Atap_Genteng_Plentong_pres_Bakar_KW_1">[12]BAHAN!$D$465</definedName>
    <definedName name="atapaluminiumgelombang055" localSheetId="1">#REF!</definedName>
    <definedName name="atapaluminiumgelombang055">#REF!</definedName>
    <definedName name="atb" localSheetId="1">#REF!</definedName>
    <definedName name="atb" localSheetId="4">'[10]Sat~Bahu'!$C$86</definedName>
    <definedName name="atb">#REF!</definedName>
    <definedName name="AV" localSheetId="1">#REF!</definedName>
    <definedName name="AV">#REF!</definedName>
    <definedName name="AVI" localSheetId="1">#REF!</definedName>
    <definedName name="AVI">#REF!</definedName>
    <definedName name="AVII" localSheetId="1">#REF!</definedName>
    <definedName name="AVII">#REF!</definedName>
    <definedName name="AVIII" localSheetId="1">#REF!</definedName>
    <definedName name="AVIII">#REF!</definedName>
    <definedName name="AX" localSheetId="1">#REF!</definedName>
    <definedName name="AX">#REF!</definedName>
    <definedName name="AZ">#REF!</definedName>
    <definedName name="b" localSheetId="1">#REF!</definedName>
    <definedName name="b">#REF!</definedName>
    <definedName name="b.belah">#REF!</definedName>
    <definedName name="B.Jambi">#REF!</definedName>
    <definedName name="B.SARI">[5]ANALISA!#REF!</definedName>
    <definedName name="b.super.5.10">#REF!</definedName>
    <definedName name="B_3r" localSheetId="1">'[4]ANALISA PEK.UMUM'!#REF!</definedName>
    <definedName name="B_3r">'[4]ANALISA PEK.UMUM'!#REF!</definedName>
    <definedName name="ba">#REF!</definedName>
    <definedName name="badan_jalan" localSheetId="1">#REF!</definedName>
    <definedName name="badan_jalan">#REF!</definedName>
    <definedName name="badkip" localSheetId="1">#REF!</definedName>
    <definedName name="badkip">#REF!</definedName>
    <definedName name="bagpro1" localSheetId="1">#REF!</definedName>
    <definedName name="bagpro1">#REF!</definedName>
    <definedName name="BAHAN" localSheetId="4">#REF!</definedName>
    <definedName name="bahan">[18]h.satuan!$C$26:$C$120</definedName>
    <definedName name="BAHAN?">'[19]Harsat Bahan'!$A$6:$E$693</definedName>
    <definedName name="Bahan_plafond_enternit_4_mm">[12]BAHAN!$D$144</definedName>
    <definedName name="Bahan_Plafond_GRC">[12]BAHAN!$D$149</definedName>
    <definedName name="Bahan_Plitur_kripik__Sirlak_india">[12]BAHAN!$D$84</definedName>
    <definedName name="bahan175">#N/A</definedName>
    <definedName name="bahan2">[18]h.satuan!$C$26:$F$120</definedName>
    <definedName name="bahan225">#N/A</definedName>
    <definedName name="bahanbesi">#N/A</definedName>
    <definedName name="bahanpapan">#N/A</definedName>
    <definedName name="bahanredy225">'[20]ANALISA (2)'!$H$235</definedName>
    <definedName name="bahanstoot">#N/A</definedName>
    <definedName name="BAHU" localSheetId="1">#REF!</definedName>
    <definedName name="BAHU">#REF!</definedName>
    <definedName name="BAJA">#REF!</definedName>
    <definedName name="bak" localSheetId="1">#REF!</definedName>
    <definedName name="bak" localSheetId="4">[5]BAHAN!$G$227</definedName>
    <definedName name="bak">#REF!</definedName>
    <definedName name="bakcp">[5]ANALISA!#REF!</definedName>
    <definedName name="bakcp2">'[20]ANALISA (5)'!#REF!</definedName>
    <definedName name="bakcuciteraso" localSheetId="1">#REF!</definedName>
    <definedName name="bakcuciteraso">#REF!</definedName>
    <definedName name="bakkm">[5]BAHAN!#REF!</definedName>
    <definedName name="bakkontrol" localSheetId="1">#REF!</definedName>
    <definedName name="bakkontrol">'Bak Kontrol'!$C$3:$I$75</definedName>
    <definedName name="balok1010" localSheetId="1">#REF!</definedName>
    <definedName name="balok1010">#REF!</definedName>
    <definedName name="balok1013" localSheetId="1">#REF!</definedName>
    <definedName name="balok1013">#REF!</definedName>
    <definedName name="balok1015" localSheetId="1">#REF!</definedName>
    <definedName name="balok1015">#REF!</definedName>
    <definedName name="balok1020" localSheetId="1">#REF!</definedName>
    <definedName name="balok1020">#REF!</definedName>
    <definedName name="balok1025" localSheetId="1">#REF!</definedName>
    <definedName name="balok1025">#REF!</definedName>
    <definedName name="balok1030" localSheetId="1">#REF!</definedName>
    <definedName name="balok1030">#REF!</definedName>
    <definedName name="balok1213" localSheetId="1">#REF!</definedName>
    <definedName name="balok1213">#REF!</definedName>
    <definedName name="balok1215" localSheetId="1">#REF!</definedName>
    <definedName name="balok1215">#REF!</definedName>
    <definedName name="balok1220" localSheetId="1">#REF!</definedName>
    <definedName name="balok1220">#REF!</definedName>
    <definedName name="balok1225" localSheetId="1">#REF!</definedName>
    <definedName name="balok1225">#REF!</definedName>
    <definedName name="balok1230" localSheetId="1">#REF!</definedName>
    <definedName name="balok1230">#REF!</definedName>
    <definedName name="balok1313" localSheetId="1">#REF!</definedName>
    <definedName name="balok1313">#REF!</definedName>
    <definedName name="balok1315" localSheetId="1">#REF!</definedName>
    <definedName name="balok1315">#REF!</definedName>
    <definedName name="balok1515" localSheetId="1">#REF!</definedName>
    <definedName name="balok1515">#REF!</definedName>
    <definedName name="balok1520" localSheetId="1">#REF!</definedName>
    <definedName name="balok1520">#REF!</definedName>
    <definedName name="balok1525" localSheetId="1">#REF!</definedName>
    <definedName name="balok1525">#REF!</definedName>
    <definedName name="balok1530" localSheetId="1">#REF!</definedName>
    <definedName name="balok1530">#REF!</definedName>
    <definedName name="balok2020" localSheetId="1">#REF!</definedName>
    <definedName name="balok2020">#REF!</definedName>
    <definedName name="balok2025" localSheetId="1">#REF!</definedName>
    <definedName name="balok2025">#REF!</definedName>
    <definedName name="balok2030" localSheetId="1">#REF!</definedName>
    <definedName name="balok2030">#REF!</definedName>
    <definedName name="balok2035" localSheetId="1">#REF!</definedName>
    <definedName name="balok2035">#REF!</definedName>
    <definedName name="balok2040" localSheetId="1">#REF!</definedName>
    <definedName name="balok2040">#REF!</definedName>
    <definedName name="balok2045" localSheetId="1">#REF!</definedName>
    <definedName name="balok2045">#REF!</definedName>
    <definedName name="balok2050" localSheetId="1">#REF!</definedName>
    <definedName name="balok2050">#REF!</definedName>
    <definedName name="balok2055" localSheetId="1">#REF!</definedName>
    <definedName name="balok2055">#REF!</definedName>
    <definedName name="balok2060" localSheetId="1">#REF!</definedName>
    <definedName name="balok2060">#REF!</definedName>
    <definedName name="balok2070" localSheetId="1">#REF!</definedName>
    <definedName name="balok2070">#REF!</definedName>
    <definedName name="balok225">#REF!</definedName>
    <definedName name="balok2530" localSheetId="1">#REF!</definedName>
    <definedName name="balok2530">#REF!</definedName>
    <definedName name="balok2535" localSheetId="1">#REF!</definedName>
    <definedName name="balok2535">#REF!</definedName>
    <definedName name="balok2540" localSheetId="1">#REF!</definedName>
    <definedName name="balok2540">#REF!</definedName>
    <definedName name="balok2545" localSheetId="1">#REF!</definedName>
    <definedName name="balok2545">#REF!</definedName>
    <definedName name="balok2550" localSheetId="1">#REF!</definedName>
    <definedName name="balok2550">#REF!</definedName>
    <definedName name="balok2555" localSheetId="1">#REF!</definedName>
    <definedName name="balok2555">#REF!</definedName>
    <definedName name="balok2560" localSheetId="1">#REF!</definedName>
    <definedName name="balok2560">#REF!</definedName>
    <definedName name="balok2565" localSheetId="1">#REF!</definedName>
    <definedName name="balok2565">#REF!</definedName>
    <definedName name="balok2570" localSheetId="1">#REF!</definedName>
    <definedName name="balok2570">#REF!</definedName>
    <definedName name="balok3035" localSheetId="1">#REF!</definedName>
    <definedName name="balok3035">#REF!</definedName>
    <definedName name="balok3040" localSheetId="1">#REF!</definedName>
    <definedName name="balok3040">#REF!</definedName>
    <definedName name="balok3045" localSheetId="1">#REF!</definedName>
    <definedName name="balok3045">#REF!</definedName>
    <definedName name="balok3050" localSheetId="1">#REF!</definedName>
    <definedName name="balok3050">#REF!</definedName>
    <definedName name="balok3055" localSheetId="1">#REF!</definedName>
    <definedName name="balok3055">#REF!</definedName>
    <definedName name="balok3060" localSheetId="1">#REF!</definedName>
    <definedName name="balok3060">#REF!</definedName>
    <definedName name="balok3070" localSheetId="1">#REF!</definedName>
    <definedName name="balok3070">#REF!</definedName>
    <definedName name="balok3075" localSheetId="1">#REF!</definedName>
    <definedName name="balok3075">#REF!</definedName>
    <definedName name="balok3535" localSheetId="1">#REF!</definedName>
    <definedName name="balok3535">#REF!</definedName>
    <definedName name="balok3540" localSheetId="1">#REF!</definedName>
    <definedName name="balok3540">#REF!</definedName>
    <definedName name="balok3545" localSheetId="1">#REF!</definedName>
    <definedName name="balok3545">#REF!</definedName>
    <definedName name="balok3550" localSheetId="1">#REF!</definedName>
    <definedName name="balok3550">#REF!</definedName>
    <definedName name="balok3555" localSheetId="1">#REF!</definedName>
    <definedName name="balok3555">#REF!</definedName>
    <definedName name="balok3560" localSheetId="1">#REF!</definedName>
    <definedName name="balok3560">#REF!</definedName>
    <definedName name="balok3570" localSheetId="1">#REF!</definedName>
    <definedName name="balok3570">#REF!</definedName>
    <definedName name="balok3575" localSheetId="1">#REF!</definedName>
    <definedName name="balok3575">#REF!</definedName>
    <definedName name="balok3580" localSheetId="1">#REF!</definedName>
    <definedName name="balok3580">#REF!</definedName>
    <definedName name="balok4040" localSheetId="1">#REF!</definedName>
    <definedName name="balok4040">#REF!</definedName>
    <definedName name="balok4045" localSheetId="1">#REF!</definedName>
    <definedName name="balok4045">#REF!</definedName>
    <definedName name="balok4050" localSheetId="1">#REF!</definedName>
    <definedName name="balok4050">#REF!</definedName>
    <definedName name="balok4055" localSheetId="1">#REF!</definedName>
    <definedName name="balok4055">#REF!</definedName>
    <definedName name="balok4060" localSheetId="1">#REF!</definedName>
    <definedName name="balok4060">#REF!</definedName>
    <definedName name="balok4070" localSheetId="1">#REF!</definedName>
    <definedName name="balok4070">#REF!</definedName>
    <definedName name="balok4075" localSheetId="1">#REF!</definedName>
    <definedName name="balok4075">#REF!</definedName>
    <definedName name="balok4080" localSheetId="1">#REF!</definedName>
    <definedName name="balok4080">#REF!</definedName>
    <definedName name="balok4545" localSheetId="1">#REF!</definedName>
    <definedName name="balok4545">#REF!</definedName>
    <definedName name="balok4550" localSheetId="1">#REF!</definedName>
    <definedName name="balok4550">#REF!</definedName>
    <definedName name="balok4555" localSheetId="1">#REF!</definedName>
    <definedName name="balok4555">#REF!</definedName>
    <definedName name="balok4560" localSheetId="1">#REF!</definedName>
    <definedName name="balok4560">#REF!</definedName>
    <definedName name="balok4570" localSheetId="1">#REF!</definedName>
    <definedName name="balok4570">#REF!</definedName>
    <definedName name="balok4575" localSheetId="1">#REF!</definedName>
    <definedName name="balok4575">#REF!</definedName>
    <definedName name="balok4580" localSheetId="1">#REF!</definedName>
    <definedName name="balok4580">#REF!</definedName>
    <definedName name="balok4590" localSheetId="1">#REF!</definedName>
    <definedName name="balok4590">#REF!</definedName>
    <definedName name="balok5050" localSheetId="1">#REF!</definedName>
    <definedName name="balok5050">#REF!</definedName>
    <definedName name="balok5055" localSheetId="1">#REF!</definedName>
    <definedName name="balok5055">#REF!</definedName>
    <definedName name="balok5060" localSheetId="1">#REF!</definedName>
    <definedName name="balok5060">#REF!</definedName>
    <definedName name="balok5070" localSheetId="1">#REF!</definedName>
    <definedName name="balok5070">#REF!</definedName>
    <definedName name="balok5075" localSheetId="1">#REF!</definedName>
    <definedName name="balok5075">#REF!</definedName>
    <definedName name="balok5080" localSheetId="1">#REF!</definedName>
    <definedName name="balok5080">#REF!</definedName>
    <definedName name="balok5090" localSheetId="1">#REF!</definedName>
    <definedName name="balok5090">#REF!</definedName>
    <definedName name="Bambu" localSheetId="1">#REF!</definedName>
    <definedName name="Bambu">#REF!</definedName>
    <definedName name="bata">#REF!</definedName>
    <definedName name="Bata_Merah" localSheetId="1">[12]BAHAN!#REF!</definedName>
    <definedName name="Bata_Merah">[12]BAHAN!#REF!</definedName>
    <definedName name="Bata_Merah_Bakar" localSheetId="1">[12]BAHAN!#REF!</definedName>
    <definedName name="Bata_Merah_Bakar">[12]BAHAN!#REF!</definedName>
    <definedName name="Bata_Merah_Bakar_Kelas_I">[12]BAHAN!$D$33</definedName>
    <definedName name="bata13">#REF!</definedName>
    <definedName name="bata15">#REF!</definedName>
    <definedName name="bata40">#REF!</definedName>
    <definedName name="batacok">[5]BAHAN!$G$16</definedName>
    <definedName name="batacote" localSheetId="1">#REF!</definedName>
    <definedName name="batacote">#REF!</definedName>
    <definedName name="batako">#REF!</definedName>
    <definedName name="batamerah" localSheetId="1">#REF!</definedName>
    <definedName name="batamerah" localSheetId="4">[5]ANALISA!#REF!</definedName>
    <definedName name="batamerah">#REF!</definedName>
    <definedName name="batapelapisdinding" localSheetId="1">#REF!</definedName>
    <definedName name="batapelapisdinding">#REF!</definedName>
    <definedName name="batapelapisklinker" localSheetId="1">#REF!</definedName>
    <definedName name="batapelapisklinker">#REF!</definedName>
    <definedName name="batasuper" localSheetId="1">#REF!</definedName>
    <definedName name="batasuper">#REF!</definedName>
    <definedName name="batu.jogja">#REF!</definedName>
    <definedName name="batu_belah_pondasi">[12]BAHAN!$D$23</definedName>
    <definedName name="Batu_Bronjol___Untuk_Bronjong">[12]BAHAN!$D$24</definedName>
    <definedName name="Batu_Gosok___Apung">[12]BAHAN!$D$18</definedName>
    <definedName name="Batu_Kali" localSheetId="1">[12]BAHAN!#REF!</definedName>
    <definedName name="Batu_Kali">[12]BAHAN!#REF!</definedName>
    <definedName name="Batu_Pecah_Mesin__1_2">[12]BAHAN!$D$19</definedName>
    <definedName name="Batu_Pecah_Mesin__2_3">[12]BAHAN!$D$20</definedName>
    <definedName name="Batu_Pecah_Mesin_2_3" localSheetId="1">[12]BAHAN!#REF!</definedName>
    <definedName name="Batu_Pecah_Mesin_2_3">[12]BAHAN!#REF!</definedName>
    <definedName name="batuapung" localSheetId="1">#REF!</definedName>
    <definedName name="batuapung">#REF!</definedName>
    <definedName name="batubelah" localSheetId="1">#REF!</definedName>
    <definedName name="batubelah">#REF!</definedName>
    <definedName name="batugranito" localSheetId="1">#REF!</definedName>
    <definedName name="batugranito">#REF!</definedName>
    <definedName name="batukali" localSheetId="1">#REF!</definedName>
    <definedName name="batukali">#REF!</definedName>
    <definedName name="batupecah" localSheetId="1">#REF!</definedName>
    <definedName name="batupecah">#REF!</definedName>
    <definedName name="batuporos" localSheetId="1">#REF!</definedName>
    <definedName name="batuporos">#REF!</definedName>
    <definedName name="Batupuru" localSheetId="1">#REF!</definedName>
    <definedName name="Batupuru">#REF!</definedName>
    <definedName name="batuslate">#REF!</definedName>
    <definedName name="batutempelhitam" localSheetId="1">#REF!</definedName>
    <definedName name="batutempelhitam">#REF!</definedName>
    <definedName name="batuteraso" localSheetId="1">#REF!</definedName>
    <definedName name="batuteraso">#REF!</definedName>
    <definedName name="bb" localSheetId="1">#REF!</definedName>
    <definedName name="BB" localSheetId="4">[5]ANALISA!#REF!</definedName>
    <definedName name="bb">#REF!</definedName>
    <definedName name="bb.05">'[10]Sat~Bahu'!$C$41</definedName>
    <definedName name="bb.1">'[10]Sat~Bahu'!$C$40</definedName>
    <definedName name="bb.10">'[10]Sat~Bahu'!$C$35</definedName>
    <definedName name="bb.2">'[10]Sat~Bahu'!$C$39</definedName>
    <definedName name="bb.3">'[10]Sat~Bahu'!$C$38</definedName>
    <definedName name="bb.5">'[10]Sat~Bahu'!$C$37</definedName>
    <definedName name="BB_03">'[21]HRG BHN'!#REF!</definedName>
    <definedName name="BB_04">'[21]HRG BHN'!#REF!</definedName>
    <definedName name="BB_06">'[21]HRG BHN'!#REF!</definedName>
    <definedName name="bbasbes">#REF!</definedName>
    <definedName name="bbasgel">[5]BAHAN!$G$256</definedName>
    <definedName name="bbgsgt">[5]BAHAN!#REF!</definedName>
    <definedName name="bbm" localSheetId="1">#REF!</definedName>
    <definedName name="bbm">#REF!</definedName>
    <definedName name="bbsplt">[5]BAHAN!#REF!</definedName>
    <definedName name="bcor">#REF!</definedName>
    <definedName name="bcp">[5]BAHAN!$G$154</definedName>
    <definedName name="begisting" localSheetId="1">#REF!</definedName>
    <definedName name="begisting">#REF!</definedName>
    <definedName name="bek.ap">'[22]Sat~Bahu'!#REF!</definedName>
    <definedName name="bekism">#N/A</definedName>
    <definedName name="bekisp">#N/A</definedName>
    <definedName name="Bensin" localSheetId="1">#REF!</definedName>
    <definedName name="Bensin">#REF!</definedName>
    <definedName name="bersih">[5]SATUAN!$I$15</definedName>
    <definedName name="Besi_Beton_U_24_Rata___Rata">[12]BAHAN!$D$247</definedName>
    <definedName name="Besi_Beton_U_39___U_32_Rata___Rata">[12]BAHAN!$D$248</definedName>
    <definedName name="Besi_Pipa_Hitam_Ø_1_1_2__t_0.4_mm">[12]BAHAN!$D$353</definedName>
    <definedName name="Besi_Pipa_Hitam_Ø_1_1_2__t_1_mm">[12]BAHAN!$D$352</definedName>
    <definedName name="Besi_Pipa_Hitam_Ø_2__t_2_mm">[12]BAHAN!$D$354</definedName>
    <definedName name="Besi_Pipa_Hitam_Ø_3__t_2_mm">[12]BAHAN!$D$355</definedName>
    <definedName name="Besi_Pipa_Hitam_Ø_4__t_2_mm">[12]BAHAN!$D$356</definedName>
    <definedName name="Besi_Pipa_Hitam_Ø_6__t_2_mm">[12]BAHAN!$D$357</definedName>
    <definedName name="Besi_siku_rata___rata">[12]BAHAN!$D$256</definedName>
    <definedName name="besi10.sii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#N/A</definedName>
    <definedName name="besi39">#N/A</definedName>
    <definedName name="besi6.sii">#REF!</definedName>
    <definedName name="besi6sii">#REF!</definedName>
    <definedName name="besi8sii">#REF!</definedName>
    <definedName name="besibeton" localSheetId="1">#REF!</definedName>
    <definedName name="besibeton">#REF!</definedName>
    <definedName name="besidanaluminium">'Besi dan Aluminium'!$C$3:$I$104</definedName>
    <definedName name="besijaringkawatbaja" localSheetId="1">#REF!</definedName>
    <definedName name="besijaringkawatbaja">#REF!</definedName>
    <definedName name="besipolos" localSheetId="1">#REF!</definedName>
    <definedName name="besipolos">#REF!</definedName>
    <definedName name="besipresstressedpolos" localSheetId="1">#REF!</definedName>
    <definedName name="besipresstressedpolos">#REF!</definedName>
    <definedName name="besiprofilWF" localSheetId="1">#REF!</definedName>
    <definedName name="besiprofilWF">#REF!</definedName>
    <definedName name="besistrip" localSheetId="1">#REF!</definedName>
    <definedName name="besistrip">#REF!</definedName>
    <definedName name="besiulir" localSheetId="1">#REF!</definedName>
    <definedName name="besiulir">#REF!</definedName>
    <definedName name="beton" localSheetId="1">#REF!</definedName>
    <definedName name="beton">Beton!$C$3:$I$1134</definedName>
    <definedName name="beton.225m">#REF!</definedName>
    <definedName name="beton.tumbuk">#REF!</definedName>
    <definedName name="beton175m">#REF!</definedName>
    <definedName name="beton175R">#REF!</definedName>
    <definedName name="beton2" localSheetId="1">#REF!</definedName>
    <definedName name="beton2">#REF!</definedName>
    <definedName name="beton225r">#REF!</definedName>
    <definedName name="beton250m">#REF!</definedName>
    <definedName name="beton250r">#REF!</definedName>
    <definedName name="betoncor">[5]ANALISA!#REF!</definedName>
    <definedName name="bgbgl">[5]BAHAN!#REF!</definedName>
    <definedName name="bgblt">[5]BAHAN!$G$250</definedName>
    <definedName name="bgsgl">[5]BAHAN!#REF!</definedName>
    <definedName name="bgsgt">[5]BAHAN!#REF!</definedName>
    <definedName name="bgsp">[5]BAHAN!$G$251</definedName>
    <definedName name="Bh" localSheetId="1">#REF!</definedName>
    <definedName name="Bh">#REF!</definedName>
    <definedName name="BhnMulti9mm">'[20]ANALISA (2)'!$H$346</definedName>
    <definedName name="BI" localSheetId="1">#REF!</definedName>
    <definedName name="BI">#REF!</definedName>
    <definedName name="BII" localSheetId="1">#REF!</definedName>
    <definedName name="BII">#REF!</definedName>
    <definedName name="BIII" localSheetId="1">#REF!</definedName>
    <definedName name="BIII">#REF!</definedName>
    <definedName name="bil">[16]bil!$B$2:$B$12</definedName>
    <definedName name="bilik">#REF!</definedName>
    <definedName name="bilikbambu" localSheetId="1">#REF!</definedName>
    <definedName name="bilikbambu">#REF!</definedName>
    <definedName name="BIV" localSheetId="1">#REF!</definedName>
    <definedName name="BIV">#REF!</definedName>
    <definedName name="bjls25" localSheetId="1">#REF!</definedName>
    <definedName name="bjls25">#REF!</definedName>
    <definedName name="bjls30" localSheetId="1">#REF!</definedName>
    <definedName name="bjls30">#REF!</definedName>
    <definedName name="bkjtw">#REF!</definedName>
    <definedName name="bkmberg">#REF!</definedName>
    <definedName name="bkmbw">#REF!</definedName>
    <definedName name="bkmn">#REF!</definedName>
    <definedName name="bkmorando">[5]ANALISA!#REF!</definedName>
    <definedName name="bkmwberg">#REF!</definedName>
    <definedName name="blkbjr">[5]ANALISA!#REF!</definedName>
    <definedName name="blkbor">[5]ANALISA!#REF!</definedName>
    <definedName name="blkht1">[5]BAHAN!$G$64</definedName>
    <definedName name="blkht2">[5]ANALISA!#REF!</definedName>
    <definedName name="blkkmp">[5]ANALISA!#REF!</definedName>
    <definedName name="blksam">[5]ANALISA!#REF!</definedName>
    <definedName name="BLKT">'[10]Sat~Bahu'!$C$18</definedName>
    <definedName name="bln">#REF!</definedName>
    <definedName name="BLT">'[10]Sat~Bahu'!$C$19</definedName>
    <definedName name="BLTT">'[10]Sat~Bahu'!$C$17</definedName>
    <definedName name="blw">'[10]Sat~Bahu'!$C$113</definedName>
    <definedName name="bmorandowr">[5]ANALISA!#REF!</definedName>
    <definedName name="bojong1">#REF!</definedName>
    <definedName name="bojongsari">#REF!</definedName>
    <definedName name="BOJONGSARI1">[5]ANALISA!#REF!</definedName>
    <definedName name="bojongsari2">#REF!</definedName>
    <definedName name="bondbeam" localSheetId="1">#REF!</definedName>
    <definedName name="bondbeam">#REF!</definedName>
    <definedName name="Bonenk" localSheetId="1">#REF!</definedName>
    <definedName name="Bonenk">#REF!</definedName>
    <definedName name="bongkarbegisting" localSheetId="1">#REF!</definedName>
    <definedName name="bongkarbegisting">#REF!</definedName>
    <definedName name="border">#REF!</definedName>
    <definedName name="borneo4.6">#REF!</definedName>
    <definedName name="borneo5.10">#REF!</definedName>
    <definedName name="borneo5.7">#REF!</definedName>
    <definedName name="borneo6.12">#REF!</definedName>
    <definedName name="borneobalok">#N/A</definedName>
    <definedName name="bouwplnk">#REF!</definedName>
    <definedName name="BSB">[5]ANALISA!#REF!</definedName>
    <definedName name="bsbtn">[5]BAHAN!$G$158</definedName>
    <definedName name="bssk">[5]BAHAN!$G$164</definedName>
    <definedName name="BSSP">[5]ANALISA!#REF!</definedName>
    <definedName name="btapg">[5]BAHAN!$G$59</definedName>
    <definedName name="btb">'[10]Sat~Bahu'!$C$67</definedName>
    <definedName name="bthj">[5]BAHAN!#REF!</definedName>
    <definedName name="btkr">[5]BAHAN!#REF!</definedName>
    <definedName name="btkrw">[5]BAHAN!#REF!</definedName>
    <definedName name="BTM">[5]ANALISA!#REF!</definedName>
    <definedName name="btmr">[5]BAHAN!#REF!</definedName>
    <definedName name="btmrh">[5]BAHAN!$G$18</definedName>
    <definedName name="btn" localSheetId="1">#REF!</definedName>
    <definedName name="btn">#REF!</definedName>
    <definedName name="btp">'[10]Sat~Bahu'!$C$48</definedName>
    <definedName name="btpb">'[10]Sat~Bahu'!$C$32</definedName>
    <definedName name="btpch">[5]BAHAN!$G$14</definedName>
    <definedName name="btponda">[5]BAHAN!$G$15</definedName>
    <definedName name="btrip">[5]BAHAN!$G$167</definedName>
    <definedName name="btth">[5]BAHAN!$G$114</definedName>
    <definedName name="Bubung_Murando_Glasur">[12]BAHAN!$D$490</definedName>
    <definedName name="Bubung_Murando_Natural">[12]BAHAN!$D$489</definedName>
    <definedName name="Bubungan_Genteng_Keramik">[12]BAHAN!$D$491</definedName>
    <definedName name="bubunganasbesgelombang" localSheetId="1">#REF!</definedName>
    <definedName name="bubunganasbesgelombang">#REF!</definedName>
    <definedName name="bubunganasbesnok" localSheetId="1">#REF!</definedName>
    <definedName name="bubunganasbesnok">#REF!</definedName>
    <definedName name="bubungangentengbesar" localSheetId="1">#REF!</definedName>
    <definedName name="bubungangentengbesar">#REF!</definedName>
    <definedName name="bubungangentengbeton" localSheetId="1">#REF!</definedName>
    <definedName name="bubungangentengbeton">#REF!</definedName>
    <definedName name="bubungangentengkodok" localSheetId="1">#REF!</definedName>
    <definedName name="bubungangentengkodok">#REF!</definedName>
    <definedName name="bubungangentengmetal" localSheetId="1">#REF!</definedName>
    <definedName name="bubungangentengmetal">#REF!</definedName>
    <definedName name="bubungangentengmonier" localSheetId="1">#REF!</definedName>
    <definedName name="bubungangentengmonier">#REF!</definedName>
    <definedName name="bubungangentengpalentong" localSheetId="1">#REF!</definedName>
    <definedName name="bubungangentengpalentong">#REF!</definedName>
    <definedName name="bubungangentengpalentongbesar" localSheetId="1">#REF!</definedName>
    <definedName name="bubungangentengpalentongbesar">#REF!</definedName>
    <definedName name="bubunganstelgelombang" localSheetId="1">#REF!</definedName>
    <definedName name="bubunganstelgelombang">#REF!</definedName>
    <definedName name="bubunganstelgelombang092" localSheetId="1">#REF!</definedName>
    <definedName name="bubunganstelgelombang092">#REF!</definedName>
    <definedName name="bubunganstelgelombang105" localSheetId="1">#REF!</definedName>
    <definedName name="bubunganstelgelombang105">#REF!</definedName>
    <definedName name="bubunganstelgelombang108" localSheetId="1">#REF!</definedName>
    <definedName name="bubunganstelgelombang108">#REF!</definedName>
    <definedName name="bubungasbes">[5]ANALISA!#REF!</definedName>
    <definedName name="bubungbtn">#REF!</definedName>
    <definedName name="budibakti">#REF!</definedName>
    <definedName name="BUDIBAKTI1">[5]ANALISA!#REF!</definedName>
    <definedName name="budidaya">#REF!</definedName>
    <definedName name="buis20">[5]BAHAN!#REF!</definedName>
    <definedName name="buis30">[5]BAHAN!#REF!</definedName>
    <definedName name="buisbeton">#REF!</definedName>
    <definedName name="Bulldozer" localSheetId="1">#REF!</definedName>
    <definedName name="Bulldozer">#REF!</definedName>
    <definedName name="Bunbungan_Genteng_beton">[12]BAHAN!$D$488</definedName>
    <definedName name="bungasari">#REF!</definedName>
    <definedName name="bungkuskolom">#REF!</definedName>
    <definedName name="buniwangi">#REF!</definedName>
    <definedName name="BV" localSheetId="1">#REF!</definedName>
    <definedName name="BV">#REF!</definedName>
    <definedName name="BVI" localSheetId="1">#REF!</definedName>
    <definedName name="BVI">#REF!</definedName>
    <definedName name="BVII" localSheetId="1">#REF!</definedName>
    <definedName name="BVII">#REF!</definedName>
    <definedName name="BVIII" localSheetId="1">#REF!</definedName>
    <definedName name="BVIII">#REF!</definedName>
    <definedName name="bvlam">#REF!</definedName>
    <definedName name="c.23">[23]analisa!$I$3978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10">'[12]ANALISA PEK.UMUM'!$G$408</definedName>
    <definedName name="C_11" localSheetId="1">'[4]ANALISA PEK.UMUM'!#REF!</definedName>
    <definedName name="C_11">'[4]ANALISA PEK.UMUM'!#REF!</definedName>
    <definedName name="C_12" localSheetId="1">'[4]ANALISA PEK.UMUM'!#REF!</definedName>
    <definedName name="C_12">'[4]ANALISA PEK.UMUM'!#REF!</definedName>
    <definedName name="C_13" localSheetId="1">'[4]ANALISA PEK.UMUM'!#REF!</definedName>
    <definedName name="C_13">'[4]ANALISA PEK.UMUM'!#REF!</definedName>
    <definedName name="C_14" localSheetId="1">'[4]ANALISA PEK.UMUM'!#REF!</definedName>
    <definedName name="C_14">'[4]ANALISA PEK.UMUM'!#REF!</definedName>
    <definedName name="C_15" localSheetId="1">'[4]ANALISA PEK.UMUM'!#REF!</definedName>
    <definedName name="C_15">'[4]ANALISA PEK.UMUM'!#REF!</definedName>
    <definedName name="C_16" localSheetId="1">'[4]ANALISA PEK.UMUM'!#REF!</definedName>
    <definedName name="C_16">'[4]ANALISA PEK.UMUM'!#REF!</definedName>
    <definedName name="C_17" localSheetId="1">'[4]ANALISA PEK.UMUM'!#REF!</definedName>
    <definedName name="C_17">'[4]ANALISA PEK.UMUM'!#REF!</definedName>
    <definedName name="C_18" localSheetId="1">'[4]ANALISA PEK.UMUM'!#REF!</definedName>
    <definedName name="C_18">'[4]ANALISA PEK.UMUM'!#REF!</definedName>
    <definedName name="C_19">'[12]ANALISA PEK.UMUM'!$G$422</definedName>
    <definedName name="C_2">'[12]ANALISA PEK.UMUM'!$G$304</definedName>
    <definedName name="C_20">'[12]ANALISA PEK.UMUM'!$G$436</definedName>
    <definedName name="C_21">'[12]ANALISA PEK.UMUM'!$G$450</definedName>
    <definedName name="C_22">'[12]ANALISA PEK.UMUM'!$G$463</definedName>
    <definedName name="C_3">'[12]ANALISA PEK.UMUM'!$G$318</definedName>
    <definedName name="C_4">'[12]ANALISA PEK.UMUM'!$G$332</definedName>
    <definedName name="C_5">'[12]ANALISA PEK.UMUM'!$G$346</definedName>
    <definedName name="C_6">'[12]ANALISA PEK.UMUM'!$G$358</definedName>
    <definedName name="C_6\" localSheetId="1">'[4]ANALISA PEK.UMUM'!#REF!</definedName>
    <definedName name="C_6\">'[4]ANALISA PEK.UMUM'!#REF!</definedName>
    <definedName name="C_7">'[12]ANALISA PEK.UMUM'!$G$370</definedName>
    <definedName name="C_8">'[12]ANALISA PEK.UMUM'!$G$382</definedName>
    <definedName name="C_9">'[12]ANALISA PEK.UMUM'!$G$395</definedName>
    <definedName name="cab">'[10]Sat~Bahu'!#REF!</definedName>
    <definedName name="Campuran_untuk_Kedap_Air__AM">[12]BAHAN!$D$227</definedName>
    <definedName name="canopi">#REF!</definedName>
    <definedName name="cat">#REF!</definedName>
    <definedName name="Cat_Besi_Duco_Danaglos__ICI">[12]BAHAN!$D$103</definedName>
    <definedName name="Cat_Besi_Glotex" localSheetId="1">[12]BAHAN!#REF!</definedName>
    <definedName name="Cat_Besi_Glotex">[12]BAHAN!#REF!</definedName>
    <definedName name="cat_Besi_Sieve">[12]BAHAN!$D$102</definedName>
    <definedName name="Cat_Dasar_ICI_untuk_interior__2_Pelapis">[12]BAHAN!$D$64</definedName>
    <definedName name="Cat_Kayu_Glotex" localSheetId="1">[12]BAHAN!#REF!</definedName>
    <definedName name="Cat_Kayu_Glotex">[12]BAHAN!#REF!</definedName>
    <definedName name="Cat_Kayu_Sieve">[12]BAHAN!$D$100</definedName>
    <definedName name="Cat_Minyak">[12]BAHAN!$D$101</definedName>
    <definedName name="Cat_tembok_ICI_Eksterior__Beton">[12]BAHAN!$D$61</definedName>
    <definedName name="Cat_Tembok_ICI_Interior__Plafond_dan_Dinding">[12]BAHAN!$D$62</definedName>
    <definedName name="Cat_Tembok_Sanlex">[12]BAHAN!$D$65</definedName>
    <definedName name="Cat_Tembok_Vinilex">[12]BAHAN!$D$63</definedName>
    <definedName name="catantara" localSheetId="1">#REF!</definedName>
    <definedName name="catantara">#REF!</definedName>
    <definedName name="catbesi">#REF!</definedName>
    <definedName name="catdasar" localSheetId="1">#REF!</definedName>
    <definedName name="catdasar">#REF!</definedName>
    <definedName name="catdinding">#REF!</definedName>
    <definedName name="catdindingbaru">[5]ANALISA!#REF!</definedName>
    <definedName name="catdindingdalam">#REF!</definedName>
    <definedName name="catdindingluar">#REF!</definedName>
    <definedName name="catduko">#REF!</definedName>
    <definedName name="catkayu">#REF!</definedName>
    <definedName name="catkayubaru">[5]ANALISA!#REF!</definedName>
    <definedName name="catkayuulang">[5]ANALISA!#REF!</definedName>
    <definedName name="catkilat" localSheetId="1">#REF!</definedName>
    <definedName name="catkilat">#REF!</definedName>
    <definedName name="catlangit">#REF!</definedName>
    <definedName name="catlist">#REF!</definedName>
    <definedName name="catluar">#REF!</definedName>
    <definedName name="catmeni" localSheetId="1">#REF!</definedName>
    <definedName name="catmeni">#REF!</definedName>
    <definedName name="catpenutup" localSheetId="1">#REF!</definedName>
    <definedName name="catpenutup">#REF!</definedName>
    <definedName name="catpenutup2kali" localSheetId="1">#REF!</definedName>
    <definedName name="catpenutup2kali">#REF!</definedName>
    <definedName name="catplafond">#REF!</definedName>
    <definedName name="cattembok" localSheetId="1">#REF!</definedName>
    <definedName name="cattembok">#REF!</definedName>
    <definedName name="cc" localSheetId="1">#REF!</definedName>
    <definedName name="cc">#REF!</definedName>
    <definedName name="CC_02">'[21]HRG BHN'!#REF!</definedName>
    <definedName name="CC_03">'[21]HRG BHN'!#REF!</definedName>
    <definedName name="CC_06A">'[21]HRG BHN'!#REF!</definedName>
    <definedName name="CC_13A">'[9]HRG BHN'!$G$71</definedName>
    <definedName name="CC_17A">'[9]HRG BHN'!$G$84</definedName>
    <definedName name="CC_18">'[9]HRG BHN'!$G$85</definedName>
    <definedName name="CC_23">'[9]HRG BHN'!$G$93</definedName>
    <definedName name="cendana">#REF!</definedName>
    <definedName name="cfr" localSheetId="1">#REF!</definedName>
    <definedName name="cfr">#REF!</definedName>
    <definedName name="cikaret">#REF!</definedName>
    <definedName name="CIKARET1">[5]ANALISA!#REF!</definedName>
    <definedName name="cikondang">#REF!</definedName>
    <definedName name="cilangkap">#REF!</definedName>
    <definedName name="cintasari">#REF!</definedName>
    <definedName name="cipanas">#REF!</definedName>
    <definedName name="CIPANAS2">[5]ANALISA!#REF!</definedName>
    <definedName name="cipetir">#REF!</definedName>
    <definedName name="cirenda">#REF!</definedName>
    <definedName name="ckayu">[5]BAHAN!$G$30</definedName>
    <definedName name="CKB">[5]ANALISA!#REF!</definedName>
    <definedName name="ckl">[5]ANALISA!#REF!</definedName>
    <definedName name="Clam">[12]DATA1!$I$23</definedName>
    <definedName name="Closet.c420">#REF!</definedName>
    <definedName name="Closet.ddk">#REF!</definedName>
    <definedName name="closet.jkok">#REF!</definedName>
    <definedName name="Closet_Duduk_Warna_Standard__TOTO_C_240_Lengkap">[12]BAHAN!$D$443</definedName>
    <definedName name="Closet_Jongkok_Poslin_warna__TOTO">[12]BAHAN!$D$440</definedName>
    <definedName name="clsddk">[5]BAHAN!$G$217</definedName>
    <definedName name="clstd">[5]BAHAN!$G$215</definedName>
    <definedName name="CMS">#REF!</definedName>
    <definedName name="comp">'[10]Sat~Bahu'!$C$111</definedName>
    <definedName name="compondgypsum" localSheetId="1">#REF!</definedName>
    <definedName name="compondgypsum">#REF!</definedName>
    <definedName name="COMPRESSOR" localSheetId="1">#REF!</definedName>
    <definedName name="COMPRESSOR">#REF!</definedName>
    <definedName name="conblok" localSheetId="1">#REF!</definedName>
    <definedName name="conblok">#REF!</definedName>
    <definedName name="concrete">'[24]WF '!#REF!</definedName>
    <definedName name="Concrete_Mixer" localSheetId="1">#REF!</definedName>
    <definedName name="Concrete_Mixer">#REF!</definedName>
    <definedName name="Concrete_Vibrator" localSheetId="1">#REF!</definedName>
    <definedName name="Concrete_Vibrator">#REF!</definedName>
    <definedName name="CONCRETEMIXER" localSheetId="1">#REF!</definedName>
    <definedName name="CONCRETEMIXER">#REF!</definedName>
    <definedName name="CONCRETEVIBRO" localSheetId="1">#REF!</definedName>
    <definedName name="CONCRETEVIBRO">#REF!</definedName>
    <definedName name="Consumable_mate">[12]DATA1!$I$30</definedName>
    <definedName name="Consumable_tool">[12]DATA1!$I$29</definedName>
    <definedName name="CorBeton175" localSheetId="1">'[25]An. Beton'!#REF!</definedName>
    <definedName name="CorBeton175">'[25]An. Beton'!#REF!</definedName>
    <definedName name="CorBeton225" localSheetId="1">'[25]An. Beton'!#REF!</definedName>
    <definedName name="CorBeton225">'[25]An. Beton'!#REF!</definedName>
    <definedName name="coveartistik" localSheetId="1">#REF!</definedName>
    <definedName name="coveartistik">#REF!</definedName>
    <definedName name="CRANE" localSheetId="1">#REF!</definedName>
    <definedName name="CRANE">#REF!</definedName>
    <definedName name="CRS">#REF!</definedName>
    <definedName name="CT">[5]ANALISA!#REF!</definedName>
    <definedName name="ctembok">[5]BAHAN!$G$28</definedName>
    <definedName name="Cutting_Pipe">[12]DATA1!$I$37</definedName>
    <definedName name="Cutting_Wheel">[12]DATA1!$I$26</definedName>
    <definedName name="cv">'[10]Sat~Bahu'!$C$101</definedName>
    <definedName name="cycllop">#REF!</definedName>
    <definedName name="D" localSheetId="1">'[4]ANALISA PEK.UMUM'!#REF!</definedName>
    <definedName name="D" localSheetId="4">#REF!</definedName>
    <definedName name="D">'[4]ANALISA PEK.UMUM'!#REF!</definedName>
    <definedName name="d.10" localSheetId="1">#REF!</definedName>
    <definedName name="d.10">#REF!</definedName>
    <definedName name="d.12" localSheetId="1">#REF!</definedName>
    <definedName name="d.12">#REF!</definedName>
    <definedName name="d.14" localSheetId="1">#REF!</definedName>
    <definedName name="d.14">#REF!</definedName>
    <definedName name="d.16" localSheetId="1">#REF!</definedName>
    <definedName name="d.16">#REF!</definedName>
    <definedName name="d.19" localSheetId="1">#REF!</definedName>
    <definedName name="d.19">#REF!</definedName>
    <definedName name="d.20" localSheetId="1">#REF!</definedName>
    <definedName name="d.20">#REF!</definedName>
    <definedName name="d.22" localSheetId="1">#REF!</definedName>
    <definedName name="d.22">#REF!</definedName>
    <definedName name="d.25" localSheetId="1">#REF!</definedName>
    <definedName name="d.25">#REF!</definedName>
    <definedName name="d.6" localSheetId="1">#REF!</definedName>
    <definedName name="d.6">#REF!</definedName>
    <definedName name="d.8" localSheetId="1">#REF!</definedName>
    <definedName name="d.8">#REF!</definedName>
    <definedName name="D_2r" localSheetId="1">'[4]ANALISA PEK.UMUM'!#REF!</definedName>
    <definedName name="D_2r">'[4]ANALISA PEK.UMUM'!#REF!</definedName>
    <definedName name="DAERAH" localSheetId="1">#REF!</definedName>
    <definedName name="DAERAH">#REF!</definedName>
    <definedName name="daftar_harga" localSheetId="1">#REF!</definedName>
    <definedName name="daftar_harga">#REF!</definedName>
    <definedName name="DAFTARSEWA" localSheetId="1">#REF!</definedName>
    <definedName name="DAFTARSEWA">#REF!</definedName>
    <definedName name="DARULARKOM">#REF!</definedName>
    <definedName name="DATA" localSheetId="1">#REF!</definedName>
    <definedName name="DATA">#REF!</definedName>
    <definedName name="Data.1">[26]DATA!$B$10</definedName>
    <definedName name="Data.2">[26]DATA!$B$12</definedName>
    <definedName name="Data.3">[26]DATA!$B$13</definedName>
    <definedName name="Data.4">[26]DATA!$B$19</definedName>
    <definedName name="Data.5">[26]DATA!$B$20</definedName>
    <definedName name="date" localSheetId="1">#REF!</definedName>
    <definedName name="date">#REF!</definedName>
    <definedName name="Dati1" localSheetId="1">#REF!</definedName>
    <definedName name="Dati1">#REF!</definedName>
    <definedName name="Dati2" localSheetId="1">#REF!</definedName>
    <definedName name="Dati2">#REF!</definedName>
    <definedName name="daunpintukaca">#REF!</definedName>
    <definedName name="daunpintuteak">#REF!</definedName>
    <definedName name="DAYWORKS" localSheetId="1">#REF!</definedName>
    <definedName name="DAYWORKS">#REF!</definedName>
    <definedName name="db" localSheetId="1">#REF!</definedName>
    <definedName name="db">#REF!</definedName>
    <definedName name="DD" localSheetId="1">#REF!</definedName>
    <definedName name="dd" localSheetId="4">[27]UPAH!$G$24</definedName>
    <definedName name="DD">#REF!</definedName>
    <definedName name="DD_01">'[21]HRG BHN'!#REF!</definedName>
    <definedName name="DD_01A">'[21]HRG BHN'!#REF!</definedName>
    <definedName name="DD_01B">'[21]HRG BHN'!#REF!</definedName>
    <definedName name="dempul" localSheetId="1">#REF!</definedName>
    <definedName name="dempul">#REF!</definedName>
    <definedName name="Dempul_halus__imfra__Wood_filler">[12]BAHAN!$D$87</definedName>
    <definedName name="Dempul_Plitur">[12]BAHAN!$D$86</definedName>
    <definedName name="dempulgypsum" localSheetId="1">#REF!</definedName>
    <definedName name="dempulgypsum">#REF!</definedName>
    <definedName name="dempulplastik">#N/A</definedName>
    <definedName name="dewi2">#REF!</definedName>
    <definedName name="dewi6">#REF!</definedName>
    <definedName name="dgf">[20]BAHAN!#REF!</definedName>
    <definedName name="dgn_dip" localSheetId="1">#REF!</definedName>
    <definedName name="dgn_dip">#REF!</definedName>
    <definedName name="dia15c615" localSheetId="1">#REF!</definedName>
    <definedName name="dia15c615">#REF!</definedName>
    <definedName name="dia15c815" localSheetId="1">#REF!</definedName>
    <definedName name="dia15c815">#REF!</definedName>
    <definedName name="dia20c615" localSheetId="1">#REF!</definedName>
    <definedName name="dia20c615">#REF!</definedName>
    <definedName name="dia20c815" localSheetId="1">#REF!</definedName>
    <definedName name="dia20c815">#REF!</definedName>
    <definedName name="dia25c615" localSheetId="1">#REF!</definedName>
    <definedName name="dia25c615">#REF!</definedName>
    <definedName name="dia25c815" localSheetId="1">#REF!</definedName>
    <definedName name="dia25c815">#REF!</definedName>
    <definedName name="dia30c615" localSheetId="1">#REF!</definedName>
    <definedName name="dia30c615">#REF!</definedName>
    <definedName name="dia30c815" localSheetId="1">#REF!</definedName>
    <definedName name="dia30c815">#REF!</definedName>
    <definedName name="dia35c615" localSheetId="1">#REF!</definedName>
    <definedName name="dia35c615">#REF!</definedName>
    <definedName name="dia35c815" localSheetId="1">#REF!</definedName>
    <definedName name="dia35c815">#REF!</definedName>
    <definedName name="dia40c615" localSheetId="1">#REF!</definedName>
    <definedName name="dia40c615">#REF!</definedName>
    <definedName name="dia40c815" localSheetId="1">#REF!</definedName>
    <definedName name="dia40c815">#REF!</definedName>
    <definedName name="dia45c615" localSheetId="1">#REF!</definedName>
    <definedName name="dia45c615">#REF!</definedName>
    <definedName name="dia45c815" localSheetId="1">#REF!</definedName>
    <definedName name="dia45c815">#REF!</definedName>
    <definedName name="dia50c615" localSheetId="1">#REF!</definedName>
    <definedName name="dia50c615">#REF!</definedName>
    <definedName name="dia50c815" localSheetId="1">#REF!</definedName>
    <definedName name="dia50c815">#REF!</definedName>
    <definedName name="dia55c615" localSheetId="1">#REF!</definedName>
    <definedName name="dia55c615">#REF!</definedName>
    <definedName name="dia55c815" localSheetId="1">#REF!</definedName>
    <definedName name="dia55c815">#REF!</definedName>
    <definedName name="dia60c615" localSheetId="1">#REF!</definedName>
    <definedName name="dia60c615">#REF!</definedName>
    <definedName name="dia60c815" localSheetId="1">#REF!</definedName>
    <definedName name="dia60c815">#REF!</definedName>
    <definedName name="dia65c615" localSheetId="1">#REF!</definedName>
    <definedName name="dia65c615">#REF!</definedName>
    <definedName name="dia65c815" localSheetId="1">#REF!</definedName>
    <definedName name="dia65c815">#REF!</definedName>
    <definedName name="dia70c615" localSheetId="1">#REF!</definedName>
    <definedName name="dia70c615">#REF!</definedName>
    <definedName name="dia70c815" localSheetId="1">#REF!</definedName>
    <definedName name="dia70c815">#REF!</definedName>
    <definedName name="dia75c615" localSheetId="1">#REF!</definedName>
    <definedName name="dia75c615">#REF!</definedName>
    <definedName name="dia75c815" localSheetId="1">#REF!</definedName>
    <definedName name="dia75c815">#REF!</definedName>
    <definedName name="Dibulatkan" localSheetId="1">'[4]ANALISA PEK.UMUM'!#REF!</definedName>
    <definedName name="Dibulatkan">'[4]ANALISA PEK.UMUM'!#REF!</definedName>
    <definedName name="DIHIT_FOOT" localSheetId="1">'[4]ANALISA PEK.UMUM'!#REF!</definedName>
    <definedName name="DIHIT_FOOT">'[4]ANALISA PEK.UMUM'!#REF!</definedName>
    <definedName name="dinding20">#REF!</definedName>
    <definedName name="dindingbronjong">#REF!</definedName>
    <definedName name="dindingpemisah">[5]ANALISA!#REF!</definedName>
    <definedName name="dindingulang">#REF!</definedName>
    <definedName name="direksi">[5]SATUAN!#REF!</definedName>
    <definedName name="dirgud">[5]SATUAN!#REF!</definedName>
    <definedName name="dk">[5]BAHAN!$G$268</definedName>
    <definedName name="dmpky">[5]BAHAN!$G$33</definedName>
    <definedName name="dolken" localSheetId="1">#REF!</definedName>
    <definedName name="dolken">#REF!</definedName>
    <definedName name="Dolken_5_7" localSheetId="1">[12]BAHAN!#REF!</definedName>
    <definedName name="Dolken_5_7">[12]BAHAN!#REF!</definedName>
    <definedName name="Dolken_7_10" localSheetId="1">[12]BAHAN!#REF!</definedName>
    <definedName name="Dolken_7_10">[12]BAHAN!#REF!</definedName>
    <definedName name="doorcloser" localSheetId="1">#REF!</definedName>
    <definedName name="doorcloser">#REF!</definedName>
    <definedName name="doorholder" localSheetId="1">#REF!</definedName>
    <definedName name="doorholder">#REF!</definedName>
    <definedName name="doorstop" localSheetId="1">#REF!</definedName>
    <definedName name="doorstop">#REF!</definedName>
    <definedName name="dozer">'[10]Sat~Bahu'!$C$91</definedName>
    <definedName name="DR" localSheetId="1">#REF!</definedName>
    <definedName name="DR">#REF!</definedName>
    <definedName name="dragon">[5]BAHAN!#REF!</definedName>
    <definedName name="DRAINASE" localSheetId="1">#REF!</definedName>
    <definedName name="DRAINASE">#REF!</definedName>
    <definedName name="Drilling">[12]DATA1!$I$28</definedName>
    <definedName name="drkeet">#REF!</definedName>
    <definedName name="ds">[5]BAHAN!$G$270</definedName>
    <definedName name="dsd">#REF!</definedName>
    <definedName name="dt.35">'[10]Sat~Bahu'!$C$108</definedName>
    <definedName name="Dt.5">'[10]Sat~Bahu'!$C$107</definedName>
    <definedName name="dump_truck" localSheetId="1">#REF!</definedName>
    <definedName name="dump_truck">#REF!</definedName>
    <definedName name="DUMPTRUCK1" localSheetId="1">#REF!</definedName>
    <definedName name="DUMPTRUCK1">#REF!</definedName>
    <definedName name="DUMPTRUCK2" localSheetId="1">#REF!</definedName>
    <definedName name="DUMPTRUCK2">#REF!</definedName>
    <definedName name="e" localSheetId="1">#REF!</definedName>
    <definedName name="e">#REF!</definedName>
    <definedName name="E.001">#REF!</definedName>
    <definedName name="E.010">#REF!</definedName>
    <definedName name="e.020">#REF!</definedName>
    <definedName name="E.05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91">[28]bahan!$E$94</definedName>
    <definedName name="e.092">[28]bahan!$E$95</definedName>
    <definedName name="e.153">#REF!</definedName>
    <definedName name="e.154">#REF!</definedName>
    <definedName name="e.157">#REF!</definedName>
    <definedName name="e.182">#REF!</definedName>
    <definedName name="e.211">#REF!</definedName>
    <definedName name="E.212">#REF!</definedName>
    <definedName name="e.221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E_01">'[21]HRG BHN'!#REF!</definedName>
    <definedName name="EE_02">'[9]HRG BHN'!$G$116</definedName>
    <definedName name="EE_04C">'[9]HRG BHN'!$G$132</definedName>
    <definedName name="EE_18">'[9]HRG BHN'!$G$164</definedName>
    <definedName name="EE_20">'[9]HRG BHN'!$G$166</definedName>
    <definedName name="EE_30">'[21]HRG BHN'!#REF!</definedName>
    <definedName name="EE_31">'[21]HRG BHN'!#REF!</definedName>
    <definedName name="EE_32">'[21]HRG BHN'!#REF!</definedName>
    <definedName name="EE_33">'[21]HRG BHN'!#REF!</definedName>
    <definedName name="EE_34">'[21]HRG BHN'!#REF!</definedName>
    <definedName name="EE_35">'[21]HRG BHN'!#REF!</definedName>
    <definedName name="eee">'[29]Anl-BM'!$G$11</definedName>
    <definedName name="engjnd">[5]BAHAN!$G$266</definedName>
    <definedName name="engpnt">[5]BAHAN!$G$267</definedName>
    <definedName name="engptr">[5]BAHAN!#REF!</definedName>
    <definedName name="Engsel_Jendela_Unilon">[12]BAHAN!$D$603</definedName>
    <definedName name="Engsel_Patrun">[12]BAHAN!$D$604</definedName>
    <definedName name="Engsel_Pintu_SES_Terpasang">[12]BAHAN!$D$294</definedName>
    <definedName name="Engsel_Pintu_Unilon_Standard">[12]BAHAN!$D$602</definedName>
    <definedName name="engsel3" localSheetId="1">#REF!</definedName>
    <definedName name="engsel3">#REF!</definedName>
    <definedName name="engsel4" localSheetId="1">#REF!</definedName>
    <definedName name="engsel4">#REF!</definedName>
    <definedName name="engselangin" localSheetId="1">#REF!</definedName>
    <definedName name="engselangin">#REF!</definedName>
    <definedName name="engseljendela" localSheetId="1">#REF!</definedName>
    <definedName name="engseljendela">#REF!</definedName>
    <definedName name="engselpintu" localSheetId="1">#REF!</definedName>
    <definedName name="engselpintu">#REF!</definedName>
    <definedName name="ET">[5]ANALISA!#REF!</definedName>
    <definedName name="eternit">#REF!</definedName>
    <definedName name="Excavator" localSheetId="1">#REF!</definedName>
    <definedName name="Excavator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7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f" localSheetId="1">#REF!</definedName>
    <definedName name="f">#REF!</definedName>
    <definedName name="F.16" localSheetId="1">#REF!</definedName>
    <definedName name="F.16">#REF!</definedName>
    <definedName name="F.16.a" localSheetId="1">#REF!</definedName>
    <definedName name="F.16.a">#REF!</definedName>
    <definedName name="F.21" localSheetId="1">#REF!</definedName>
    <definedName name="F.21">#REF!</definedName>
    <definedName name="F.21.a" localSheetId="1">#REF!</definedName>
    <definedName name="F.21.a">#REF!</definedName>
    <definedName name="F.22." localSheetId="1">#REF!</definedName>
    <definedName name="F.22.">#REF!</definedName>
    <definedName name="F.22a" localSheetId="1">#REF!</definedName>
    <definedName name="F.22a">#REF!</definedName>
    <definedName name="F.23" localSheetId="1">#REF!</definedName>
    <definedName name="F.23">#REF!</definedName>
    <definedName name="F.26" localSheetId="1">#REF!</definedName>
    <definedName name="F.26">#REF!</definedName>
    <definedName name="F.26.ii" localSheetId="1">#REF!</definedName>
    <definedName name="F.26.ii">#REF!</definedName>
    <definedName name="F.27" localSheetId="1">#REF!</definedName>
    <definedName name="F.27">#REF!</definedName>
    <definedName name="F.30" localSheetId="1">#REF!</definedName>
    <definedName name="F.30">#REF!</definedName>
    <definedName name="F.30.a" localSheetId="1">#REF!</definedName>
    <definedName name="F.30.a">#REF!</definedName>
    <definedName name="F.33.b.i" localSheetId="1">#REF!</definedName>
    <definedName name="F.33.b.i">#REF!</definedName>
    <definedName name="f.33.b.ii" localSheetId="1">#REF!</definedName>
    <definedName name="f.33.b.ii">#REF!</definedName>
    <definedName name="F.33.b.iii" localSheetId="1">#REF!</definedName>
    <definedName name="F.33.b.iii">#REF!</definedName>
    <definedName name="F.34" localSheetId="1">#REF!</definedName>
    <definedName name="F.34">#REF!</definedName>
    <definedName name="F.35" localSheetId="1">#REF!</definedName>
    <definedName name="F.35">#REF!</definedName>
    <definedName name="f.37i" localSheetId="1">#REF!</definedName>
    <definedName name="f.37i">#REF!</definedName>
    <definedName name="F.38" localSheetId="1">#REF!</definedName>
    <definedName name="F.38">#REF!</definedName>
    <definedName name="F.39" localSheetId="1">#REF!</definedName>
    <definedName name="F.39">#REF!</definedName>
    <definedName name="f.drain">#REF!</definedName>
    <definedName name="fasadekayu">#REF!</definedName>
    <definedName name="Fax" localSheetId="1">#REF!</definedName>
    <definedName name="Fax">#REF!</definedName>
    <definedName name="fd">[5]BAHAN!$G$139</definedName>
    <definedName name="feltexkarpetwool" localSheetId="1">#REF!</definedName>
    <definedName name="feltexkarpetwool">#REF!</definedName>
    <definedName name="FF_14">'[21]HRG BHN'!#REF!</definedName>
    <definedName name="FF_15">'[21]HRG BHN'!#REF!</definedName>
    <definedName name="FF_16">'[21]HRG BHN'!#REF!</definedName>
    <definedName name="FF_17">'[21]HRG BHN'!#REF!</definedName>
    <definedName name="FF_18">'[21]HRG BHN'!#REF!</definedName>
    <definedName name="FF_19">'[21]HRG BHN'!#REF!</definedName>
    <definedName name="FF_20">'[21]HRG BHN'!#REF!</definedName>
    <definedName name="FF_20A">'[21]HRG BHN'!#REF!</definedName>
    <definedName name="FF_21">'[21]HRG BHN'!#REF!</definedName>
    <definedName name="FF_21B">'[21]HRG BHN'!#REF!</definedName>
    <definedName name="FF_30">'[9]HRG BHN'!$G$230</definedName>
    <definedName name="FF_33">'[21]HRG BHN'!#REF!</definedName>
    <definedName name="FF_33A">'[21]HRG BHN'!#REF!</definedName>
    <definedName name="FF_34">'[21]HRG BHN'!#REF!</definedName>
    <definedName name="FF_35">'[21]HRG BHN'!#REF!</definedName>
    <definedName name="FF_36">'[21]HRG BHN'!#REF!</definedName>
    <definedName name="FF_37">'[21]HRG BHN'!#REF!</definedName>
    <definedName name="FINISHER" localSheetId="1">#REF!</definedName>
    <definedName name="FINISHER">#REF!</definedName>
    <definedName name="FLATBEDTRUCK" localSheetId="1">#REF!</definedName>
    <definedName name="FLATBEDTRUCK">#REF!</definedName>
    <definedName name="Flincote" localSheetId="1">[12]BAHAN!#REF!</definedName>
    <definedName name="Flincote">[12]BAHAN!#REF!</definedName>
    <definedName name="floorhardener">#REF!</definedName>
    <definedName name="floorhardenerferrovak" localSheetId="1">#REF!</definedName>
    <definedName name="floorhardenerferrovak">#REF!</definedName>
    <definedName name="floorhardenermastercron" localSheetId="1">#REF!</definedName>
    <definedName name="floorhardenermastercron">#REF!</definedName>
    <definedName name="flordrain" localSheetId="1">#REF!</definedName>
    <definedName name="flordrain">#REF!</definedName>
    <definedName name="FORM21" localSheetId="1">#REF!</definedName>
    <definedName name="FORM21">#REF!</definedName>
    <definedName name="FORM22E" localSheetId="1">#REF!</definedName>
    <definedName name="FORM22E">#REF!</definedName>
    <definedName name="FORM22L" localSheetId="1">#REF!</definedName>
    <definedName name="FORM22L">#REF!</definedName>
    <definedName name="FORM231" localSheetId="1">#REF!</definedName>
    <definedName name="FORM231">#REF!</definedName>
    <definedName name="FORM232" localSheetId="1">#REF!</definedName>
    <definedName name="FORM232">#REF!</definedName>
    <definedName name="FORM233" localSheetId="1">#REF!</definedName>
    <definedName name="FORM233">#REF!</definedName>
    <definedName name="Form234" localSheetId="1">#REF!</definedName>
    <definedName name="Form234">#REF!</definedName>
    <definedName name="Form235" localSheetId="1">#REF!</definedName>
    <definedName name="Form235">#REF!</definedName>
    <definedName name="Form236" localSheetId="1">#REF!</definedName>
    <definedName name="Form236">#REF!</definedName>
    <definedName name="FORM241" localSheetId="1">#REF!</definedName>
    <definedName name="FORM241">#REF!</definedName>
    <definedName name="FORM242" localSheetId="1">#REF!</definedName>
    <definedName name="FORM242">#REF!</definedName>
    <definedName name="FORM243" localSheetId="1">#REF!</definedName>
    <definedName name="FORM243">#REF!</definedName>
    <definedName name="FORM311" localSheetId="1">#REF!</definedName>
    <definedName name="FORM311">#REF!</definedName>
    <definedName name="FORM312" localSheetId="1">#REF!</definedName>
    <definedName name="FORM312">#REF!</definedName>
    <definedName name="FORM313" localSheetId="1">#REF!</definedName>
    <definedName name="FORM313">#REF!</definedName>
    <definedName name="FORM314" localSheetId="1">#REF!</definedName>
    <definedName name="FORM314">#REF!</definedName>
    <definedName name="FORM315" localSheetId="1">#REF!</definedName>
    <definedName name="FORM315">#REF!</definedName>
    <definedName name="FORM319" localSheetId="1">#REF!</definedName>
    <definedName name="FORM319">#REF!</definedName>
    <definedName name="FORM322" localSheetId="1">#REF!</definedName>
    <definedName name="FORM322">#REF!</definedName>
    <definedName name="FORM323" localSheetId="1">#REF!</definedName>
    <definedName name="FORM323">#REF!</definedName>
    <definedName name="FORM323L" localSheetId="1">#REF!</definedName>
    <definedName name="FORM323L">#REF!</definedName>
    <definedName name="FORM324" localSheetId="1">#REF!</definedName>
    <definedName name="FORM324">#REF!</definedName>
    <definedName name="FORM331" localSheetId="1">#REF!</definedName>
    <definedName name="FORM331">#REF!</definedName>
    <definedName name="FORM346" localSheetId="1">#REF!</definedName>
    <definedName name="FORM346">#REF!</definedName>
    <definedName name="FORM421" localSheetId="1">#REF!</definedName>
    <definedName name="FORM421">#REF!</definedName>
    <definedName name="FORM422" localSheetId="1">#REF!</definedName>
    <definedName name="FORM422">#REF!</definedName>
    <definedName name="FORM423" localSheetId="1">#REF!</definedName>
    <definedName name="FORM423">#REF!</definedName>
    <definedName name="FORM424" localSheetId="1">#REF!</definedName>
    <definedName name="FORM424">#REF!</definedName>
    <definedName name="FORM425" localSheetId="1">#REF!</definedName>
    <definedName name="FORM425">#REF!</definedName>
    <definedName name="FORM426" localSheetId="1">#REF!</definedName>
    <definedName name="FORM426">#REF!</definedName>
    <definedName name="FORM427" localSheetId="1">#REF!</definedName>
    <definedName name="FORM427">#REF!</definedName>
    <definedName name="FORM511" localSheetId="1">#REF!</definedName>
    <definedName name="FORM511">#REF!</definedName>
    <definedName name="FORM512" localSheetId="1">#REF!</definedName>
    <definedName name="FORM512">#REF!</definedName>
    <definedName name="FORM521" localSheetId="1">#REF!</definedName>
    <definedName name="FORM521">#REF!</definedName>
    <definedName name="FORM522" localSheetId="1">#REF!</definedName>
    <definedName name="FORM522">#REF!</definedName>
    <definedName name="FORM541" localSheetId="1">#REF!</definedName>
    <definedName name="FORM541">#REF!</definedName>
    <definedName name="FORM542" localSheetId="1">#REF!</definedName>
    <definedName name="FORM542">#REF!</definedName>
    <definedName name="FORM611" localSheetId="1">#REF!</definedName>
    <definedName name="FORM611">#REF!</definedName>
    <definedName name="FORM612" localSheetId="1">#REF!</definedName>
    <definedName name="FORM612">#REF!</definedName>
    <definedName name="FORM621" localSheetId="1">#REF!</definedName>
    <definedName name="FORM621">#REF!</definedName>
    <definedName name="FORM622" localSheetId="1">#REF!</definedName>
    <definedName name="FORM622">#REF!</definedName>
    <definedName name="FORM623" localSheetId="1">#REF!</definedName>
    <definedName name="FORM623">#REF!</definedName>
    <definedName name="FORM631" localSheetId="1">#REF!</definedName>
    <definedName name="FORM631">#REF!</definedName>
    <definedName name="FORM632" localSheetId="1">#REF!</definedName>
    <definedName name="FORM632">#REF!</definedName>
    <definedName name="FORM633" localSheetId="1">#REF!</definedName>
    <definedName name="FORM633">#REF!</definedName>
    <definedName name="FORM634" localSheetId="1">#REF!</definedName>
    <definedName name="FORM634">#REF!</definedName>
    <definedName name="FORM635" localSheetId="1">#REF!</definedName>
    <definedName name="FORM635">#REF!</definedName>
    <definedName name="FORM635A" localSheetId="1">#REF!</definedName>
    <definedName name="FORM635A">#REF!</definedName>
    <definedName name="FORM636" localSheetId="1">#REF!</definedName>
    <definedName name="FORM636">#REF!</definedName>
    <definedName name="FORM641L" localSheetId="1">#REF!</definedName>
    <definedName name="FORM641L">#REF!</definedName>
    <definedName name="FORM642" localSheetId="1">#REF!</definedName>
    <definedName name="FORM642">#REF!</definedName>
    <definedName name="FORM65" localSheetId="1">#REF!</definedName>
    <definedName name="FORM65">#REF!</definedName>
    <definedName name="FORM66PERATA" localSheetId="1">#REF!</definedName>
    <definedName name="FORM66PERATA">#REF!</definedName>
    <definedName name="FORM66PERMUKAAN" localSheetId="1">#REF!</definedName>
    <definedName name="FORM66PERMUKAAN">#REF!</definedName>
    <definedName name="FORM7101" localSheetId="1">#REF!</definedName>
    <definedName name="FORM7101">#REF!</definedName>
    <definedName name="FORM7102" localSheetId="1">#REF!</definedName>
    <definedName name="FORM7102">#REF!</definedName>
    <definedName name="FORM7103" localSheetId="1">#REF!</definedName>
    <definedName name="FORM7103">#REF!</definedName>
    <definedName name="FORM711" localSheetId="1">#REF!</definedName>
    <definedName name="FORM711">#REF!</definedName>
    <definedName name="FORM712" localSheetId="1">#REF!</definedName>
    <definedName name="FORM712">#REF!</definedName>
    <definedName name="FORM713" localSheetId="1">#REF!</definedName>
    <definedName name="FORM713">#REF!</definedName>
    <definedName name="FORM714" localSheetId="1">#REF!</definedName>
    <definedName name="FORM714">#REF!</definedName>
    <definedName name="FORM715" localSheetId="1">#REF!</definedName>
    <definedName name="FORM715">#REF!</definedName>
    <definedName name="FORM716" localSheetId="1">#REF!</definedName>
    <definedName name="FORM716">#REF!</definedName>
    <definedName name="FORM717" localSheetId="1">#REF!</definedName>
    <definedName name="FORM717">#REF!</definedName>
    <definedName name="FORM718" localSheetId="1">#REF!</definedName>
    <definedName name="FORM718">#REF!</definedName>
    <definedName name="FORM721" localSheetId="1">#REF!</definedName>
    <definedName name="FORM721">#REF!</definedName>
    <definedName name="FORM731" localSheetId="1">#REF!</definedName>
    <definedName name="FORM731">#REF!</definedName>
    <definedName name="FORM732" localSheetId="1">#REF!</definedName>
    <definedName name="FORM732">#REF!</definedName>
    <definedName name="FORM733" localSheetId="1">#REF!</definedName>
    <definedName name="FORM733">#REF!</definedName>
    <definedName name="FORM734" localSheetId="1">#REF!</definedName>
    <definedName name="FORM734">#REF!</definedName>
    <definedName name="FORM735" localSheetId="1">#REF!</definedName>
    <definedName name="FORM735">#REF!</definedName>
    <definedName name="FORM744" localSheetId="1">#REF!</definedName>
    <definedName name="FORM744">#REF!</definedName>
    <definedName name="FORM745" localSheetId="1">#REF!</definedName>
    <definedName name="FORM745">#REF!</definedName>
    <definedName name="FORM7610" localSheetId="1">#REF!</definedName>
    <definedName name="FORM7610">#REF!</definedName>
    <definedName name="FORM7612a" localSheetId="1">#REF!</definedName>
    <definedName name="FORM7612a">#REF!</definedName>
    <definedName name="FORM7612b" localSheetId="1">#REF!</definedName>
    <definedName name="FORM7612b">#REF!</definedName>
    <definedName name="FORM7612c" localSheetId="1">#REF!</definedName>
    <definedName name="FORM7612c">#REF!</definedName>
    <definedName name="FORM7613a" localSheetId="1">#REF!</definedName>
    <definedName name="FORM7613a">#REF!</definedName>
    <definedName name="FORM7613b" localSheetId="1">#REF!</definedName>
    <definedName name="FORM7613b">#REF!</definedName>
    <definedName name="FORM7613c" localSheetId="1">#REF!</definedName>
    <definedName name="FORM7613c">#REF!</definedName>
    <definedName name="FORM7614a" localSheetId="1">#REF!</definedName>
    <definedName name="FORM7614a">#REF!</definedName>
    <definedName name="FORM7614b" localSheetId="1">#REF!</definedName>
    <definedName name="FORM7614b">#REF!</definedName>
    <definedName name="FORM7614c" localSheetId="1">#REF!</definedName>
    <definedName name="FORM7614c">#REF!</definedName>
    <definedName name="FORM7614d" localSheetId="1">#REF!</definedName>
    <definedName name="FORM7614d">#REF!</definedName>
    <definedName name="FORM7614e" localSheetId="1">#REF!</definedName>
    <definedName name="FORM7614e">#REF!</definedName>
    <definedName name="FORM7618" localSheetId="1">#REF!</definedName>
    <definedName name="FORM7618">#REF!</definedName>
    <definedName name="FORM7619" localSheetId="1">#REF!</definedName>
    <definedName name="FORM7619">#REF!</definedName>
    <definedName name="FORM768" localSheetId="1">#REF!</definedName>
    <definedName name="FORM768">#REF!</definedName>
    <definedName name="FORM769" localSheetId="1">#REF!</definedName>
    <definedName name="FORM769">#REF!</definedName>
    <definedName name="FORM76X" localSheetId="1">#REF!</definedName>
    <definedName name="FORM76X">#REF!</definedName>
    <definedName name="FORM771a" localSheetId="1">#REF!</definedName>
    <definedName name="FORM771a">#REF!</definedName>
    <definedName name="FORM771b" localSheetId="1">#REF!</definedName>
    <definedName name="FORM771b">#REF!</definedName>
    <definedName name="FORM771c" localSheetId="1">#REF!</definedName>
    <definedName name="FORM771c">#REF!</definedName>
    <definedName name="FORM771d" localSheetId="1">#REF!</definedName>
    <definedName name="FORM771d">#REF!</definedName>
    <definedName name="FORM772a" localSheetId="1">#REF!</definedName>
    <definedName name="FORM772a">#REF!</definedName>
    <definedName name="FORM772b" localSheetId="1">#REF!</definedName>
    <definedName name="FORM772b">#REF!</definedName>
    <definedName name="FORM772c" localSheetId="1">#REF!</definedName>
    <definedName name="FORM772c">#REF!</definedName>
    <definedName name="FORM772d" localSheetId="1">#REF!</definedName>
    <definedName name="FORM772d">#REF!</definedName>
    <definedName name="FORM79manual" localSheetId="1">#REF!</definedName>
    <definedName name="FORM79manual">#REF!</definedName>
    <definedName name="FORM79mekanis" localSheetId="1">#REF!</definedName>
    <definedName name="FORM79mekanis">#REF!</definedName>
    <definedName name="FORMGEOTEKSTIL" localSheetId="1">#REF!</definedName>
    <definedName name="FORMGEOTEKSTIL">#REF!</definedName>
    <definedName name="formica" localSheetId="1">#REF!</definedName>
    <definedName name="formica">#REF!</definedName>
    <definedName name="Formika_ukuran_120_x_240" localSheetId="1">[12]BAHAN!#REF!</definedName>
    <definedName name="Formika_ukuran_120_x_240">[12]BAHAN!#REF!</definedName>
    <definedName name="Formika_Ukuran_pintu">[12]BAHAN!$D$178</definedName>
    <definedName name="fox">[5]BAHAN!$G$151</definedName>
    <definedName name="FULVIMIXER" localSheetId="1">#REF!</definedName>
    <definedName name="FULVIMIXER">#REF!</definedName>
    <definedName name="G" localSheetId="1">#REF!</definedName>
    <definedName name="G">#REF!</definedName>
    <definedName name="G.1" localSheetId="1">#REF!</definedName>
    <definedName name="G.1">#REF!</definedName>
    <definedName name="G.2" localSheetId="1">#REF!</definedName>
    <definedName name="G.2">#REF!</definedName>
    <definedName name="G.32" localSheetId="1">#REF!</definedName>
    <definedName name="G.32">#REF!</definedName>
    <definedName name="G.32.c" localSheetId="1">#REF!</definedName>
    <definedName name="G.32.c">#REF!</definedName>
    <definedName name="G.32.l" localSheetId="1">#REF!</definedName>
    <definedName name="G.32.l">#REF!</definedName>
    <definedName name="G.32.m" localSheetId="1">#REF!</definedName>
    <definedName name="G.32.m">#REF!</definedName>
    <definedName name="G.32I" localSheetId="1">#REF!</definedName>
    <definedName name="G.32I">#REF!</definedName>
    <definedName name="G.33.e" localSheetId="1">#REF!</definedName>
    <definedName name="G.33.e">#REF!</definedName>
    <definedName name="G.33.g" localSheetId="1">#REF!</definedName>
    <definedName name="G.33.g">#REF!</definedName>
    <definedName name="G.33.h" localSheetId="1">#REF!</definedName>
    <definedName name="G.33.h">#REF!</definedName>
    <definedName name="G.33.i" localSheetId="1">#REF!</definedName>
    <definedName name="G.33.i">#REF!</definedName>
    <definedName name="G.33.m" localSheetId="1">#REF!</definedName>
    <definedName name="G.33.m">#REF!</definedName>
    <definedName name="G.33g" localSheetId="1">#REF!</definedName>
    <definedName name="G.33g">#REF!</definedName>
    <definedName name="G.4" localSheetId="1">#REF!</definedName>
    <definedName name="G.4">#REF!</definedName>
    <definedName name="G.41" localSheetId="1">#REF!</definedName>
    <definedName name="G.41">#REF!</definedName>
    <definedName name="G.44" localSheetId="1">#REF!</definedName>
    <definedName name="G.44">#REF!</definedName>
    <definedName name="G.5.a" localSheetId="1">#REF!</definedName>
    <definedName name="G.5.a">#REF!</definedName>
    <definedName name="G.5.b" localSheetId="1">#REF!</definedName>
    <definedName name="G.5.b">#REF!</definedName>
    <definedName name="G.5.c" localSheetId="1">#REF!</definedName>
    <definedName name="G.5.c">#REF!</definedName>
    <definedName name="G.50.g" localSheetId="1">#REF!</definedName>
    <definedName name="G.50.g">#REF!</definedName>
    <definedName name="G.50.H" localSheetId="1">#REF!</definedName>
    <definedName name="G.50.H">#REF!</definedName>
    <definedName name="G.50.i" localSheetId="1">#REF!</definedName>
    <definedName name="G.50.i">#REF!</definedName>
    <definedName name="G.50.k" localSheetId="1">#REF!</definedName>
    <definedName name="G.50.k">#REF!</definedName>
    <definedName name="G.50.p" localSheetId="1">#REF!</definedName>
    <definedName name="G.50.p">#REF!</definedName>
    <definedName name="G.50.q" localSheetId="1">#REF!</definedName>
    <definedName name="G.50.q">#REF!</definedName>
    <definedName name="g.50a">[30]ANALISA!$I$1102</definedName>
    <definedName name="g.50ba">[23]analisa!$I$4053</definedName>
    <definedName name="G.50BT">#REF!</definedName>
    <definedName name="G.50C">[23]analisa!$I$2515</definedName>
    <definedName name="G.50D">[23]analisa!$I$3322</definedName>
    <definedName name="G.50H" localSheetId="1">#REF!</definedName>
    <definedName name="G.50H">#REF!</definedName>
    <definedName name="G.50I">[23]analisa!$I$2589</definedName>
    <definedName name="g.50krm">[23]analisa!$I$4128</definedName>
    <definedName name="G.50TB">[23]analisa!$I$4350</definedName>
    <definedName name="G.51.c" localSheetId="1">#REF!</definedName>
    <definedName name="G.51.c">#REF!</definedName>
    <definedName name="G.51.d" localSheetId="1">#REF!</definedName>
    <definedName name="G.51.d">#REF!</definedName>
    <definedName name="G.61" localSheetId="1">#REF!</definedName>
    <definedName name="G.61">#REF!</definedName>
    <definedName name="G.67" localSheetId="1">#REF!</definedName>
    <definedName name="G.67">#REF!</definedName>
    <definedName name="G.Kramik">#REF!</definedName>
    <definedName name="G_3" localSheetId="1">'[4]ANALISA PEK.UMUM'!#REF!</definedName>
    <definedName name="G_3">'[4]ANALISA PEK.UMUM'!#REF!</definedName>
    <definedName name="G_3_A">[31]Sheet1!$G$1361</definedName>
    <definedName name="G_3_B">[31]Sheet1!$G$1372</definedName>
    <definedName name="g_3_c">'[32]ANALISA PEK.UMUM'!$G$815</definedName>
    <definedName name="G_3A" localSheetId="1">'[4]ANALISA PEK.UMUM'!#REF!</definedName>
    <definedName name="G_3A">'[4]ANALISA PEK.UMUM'!#REF!</definedName>
    <definedName name="G_3B" localSheetId="1">'[4]ANALISA PEK.UMUM'!#REF!</definedName>
    <definedName name="G_3B">'[4]ANALISA PEK.UMUM'!#REF!</definedName>
    <definedName name="G_4" localSheetId="1">'[4]ANALISA PEK.UMUM'!#REF!</definedName>
    <definedName name="G_4">'[4]ANALISA PEK.UMUM'!#REF!</definedName>
    <definedName name="G_5" localSheetId="1">'[4]ANALISA PEK.UMUM'!#REF!</definedName>
    <definedName name="G_5">'[4]ANALISA PEK.UMUM'!#REF!</definedName>
    <definedName name="g_7_a">'[32]ANALISA PEK.UMUM'!$G$878</definedName>
    <definedName name="g_8_a">[31]Sheet1!$G$1438</definedName>
    <definedName name="G_9_A">[31]Sheet1!$G$1460</definedName>
    <definedName name="gali">#REF!</definedName>
    <definedName name="galian">#REF!</definedName>
    <definedName name="galiantanah">'Galian Tanah'!$C$3:$J$461</definedName>
    <definedName name="galitnh">[5]SATUAN!#REF!</definedName>
    <definedName name="gcampaka">#REF!</definedName>
    <definedName name="Gemuk" localSheetId="1">#REF!</definedName>
    <definedName name="Gemuk">#REF!</definedName>
    <definedName name="Generator_Set" localSheetId="1">#REF!</definedName>
    <definedName name="Generator_Set">#REF!</definedName>
    <definedName name="GENSET" localSheetId="1">#REF!</definedName>
    <definedName name="GENSET">#REF!</definedName>
    <definedName name="Genteng_Beton_Natural">[12]BAHAN!$D$480</definedName>
    <definedName name="Genteng_Bubungan_Ex_Jatiwangi_Segi_Tiga_glazuur">[12]BAHAN!$D$469</definedName>
    <definedName name="Genteng_Keramik_Glasur_Standard_14_5___m2">[12]BAHAN!$D$483</definedName>
    <definedName name="Genteng_Murando_Glasur_1m2___20_bh">[12]BAHAN!$D$487</definedName>
    <definedName name="Genteng_Murando_Natural_1m2___20_bh">[12]BAHAN!$D$486</definedName>
    <definedName name="Genteng_Plentong_ex_jatiwangi">[12]BAHAN!$D$470</definedName>
    <definedName name="gentengaspal" localSheetId="1">#REF!</definedName>
    <definedName name="gentengaspal">#REF!</definedName>
    <definedName name="gentengbeton" localSheetId="1">#REF!</definedName>
    <definedName name="gentengbeton">#REF!</definedName>
    <definedName name="gentengbtn">#REF!</definedName>
    <definedName name="gentengdecrabond" localSheetId="1">#REF!</definedName>
    <definedName name="gentengdecrabond">#REF!</definedName>
    <definedName name="gentengkodok" localSheetId="1">#REF!</definedName>
    <definedName name="gentengkodok">#REF!</definedName>
    <definedName name="gentengmetal" localSheetId="1">#REF!</definedName>
    <definedName name="gentengmetal">#REF!</definedName>
    <definedName name="gentengmonier" localSheetId="1">#REF!</definedName>
    <definedName name="gentengmonier">#REF!</definedName>
    <definedName name="gentengpalentong" localSheetId="1">#REF!</definedName>
    <definedName name="gentengpalentong">#REF!</definedName>
    <definedName name="gentengpalentongbesar" localSheetId="1">#REF!</definedName>
    <definedName name="gentengpalentongbesar">#REF!</definedName>
    <definedName name="gentengpaletong" localSheetId="1">#REF!</definedName>
    <definedName name="gentengpaletong">#REF!</definedName>
    <definedName name="gentengpaletongbesar" localSheetId="1">#REF!</definedName>
    <definedName name="gentengpaletongbesar">#REF!</definedName>
    <definedName name="GENZET" localSheetId="1">#REF!</definedName>
    <definedName name="GENZET">#REF!</definedName>
    <definedName name="GENZETPANEL" localSheetId="1">#REF!</definedName>
    <definedName name="GENZETPANEL">#REF!</definedName>
    <definedName name="Gerindel">[12]DATA1!$I$27</definedName>
    <definedName name="GG_10A">'[21]HRG BHN'!#REF!</definedName>
    <definedName name="GG_10B">'[21]HRG BHN'!#REF!</definedName>
    <definedName name="GG_10C">'[21]HRG BHN'!#REF!</definedName>
    <definedName name="GG_10D">'[21]HRG BHN'!#REF!</definedName>
    <definedName name="GG_11">'[21]HRG BHN'!#REF!</definedName>
    <definedName name="gkjtw">#REF!</definedName>
    <definedName name="gkmberg">#REF!</definedName>
    <definedName name="gkmbw">#REF!</definedName>
    <definedName name="gkmn">#REF!</definedName>
    <definedName name="gkmorando">[5]ANALISA!#REF!</definedName>
    <definedName name="gkmwberg">#REF!</definedName>
    <definedName name="glsgn">[5]BAHAN!$G$209</definedName>
    <definedName name="glsln">[5]BAHAN!#REF!</definedName>
    <definedName name="gording10.0" localSheetId="1">#REF!</definedName>
    <definedName name="gording10.0">#REF!</definedName>
    <definedName name="gording10.5" localSheetId="1">#REF!</definedName>
    <definedName name="gording10.5">#REF!</definedName>
    <definedName name="gording11.0" localSheetId="1">#REF!</definedName>
    <definedName name="gording11.0">#REF!</definedName>
    <definedName name="gording11.5" localSheetId="1">#REF!</definedName>
    <definedName name="gording11.5">#REF!</definedName>
    <definedName name="gording12.0" localSheetId="1">#REF!</definedName>
    <definedName name="gording12.0">#REF!</definedName>
    <definedName name="gording2.5" localSheetId="1">#REF!</definedName>
    <definedName name="gording2.5">#REF!</definedName>
    <definedName name="gording3.0" localSheetId="1">#REF!</definedName>
    <definedName name="gording3.0">#REF!</definedName>
    <definedName name="gording3.5" localSheetId="1">#REF!</definedName>
    <definedName name="gording3.5">#REF!</definedName>
    <definedName name="gording4.0" localSheetId="1">#REF!</definedName>
    <definedName name="gording4.0">#REF!</definedName>
    <definedName name="gording4.5" localSheetId="1">#REF!</definedName>
    <definedName name="gording4.5">#REF!</definedName>
    <definedName name="gording5.0" localSheetId="1">#REF!</definedName>
    <definedName name="gording5.0">#REF!</definedName>
    <definedName name="gording5.5" localSheetId="1">#REF!</definedName>
    <definedName name="gording5.5">#REF!</definedName>
    <definedName name="gording6.0" localSheetId="1">#REF!</definedName>
    <definedName name="gording6.0">#REF!</definedName>
    <definedName name="gording6.5" localSheetId="1">#REF!</definedName>
    <definedName name="gording6.5">#REF!</definedName>
    <definedName name="gording612" localSheetId="1">#REF!</definedName>
    <definedName name="gording612">#REF!</definedName>
    <definedName name="gording7.0" localSheetId="1">#REF!</definedName>
    <definedName name="gording7.0">#REF!</definedName>
    <definedName name="gording7.5" localSheetId="1">#REF!</definedName>
    <definedName name="gording7.5">#REF!</definedName>
    <definedName name="gording8.0" localSheetId="1">#REF!</definedName>
    <definedName name="gording8.0">#REF!</definedName>
    <definedName name="gording8.5" localSheetId="1">#REF!</definedName>
    <definedName name="gording8.5">#REF!</definedName>
    <definedName name="gording9.0" localSheetId="1">#REF!</definedName>
    <definedName name="gording9.0">#REF!</definedName>
    <definedName name="gording9.5" localSheetId="1">#REF!</definedName>
    <definedName name="gording9.5">#REF!</definedName>
    <definedName name="gpek" localSheetId="1">#REF!</definedName>
    <definedName name="gpek">#REF!</definedName>
    <definedName name="gr.20">#REF!</definedName>
    <definedName name="GR.50">#REF!</definedName>
    <definedName name="GRADER" localSheetId="1">#REF!</definedName>
    <definedName name="grader" localSheetId="4">'[10]Sat~Bahu'!$C$92</definedName>
    <definedName name="GRADER">#REF!</definedName>
    <definedName name="Grafel_U_20_cm">[12]BAHAN!$D$230</definedName>
    <definedName name="Grafel_U_30_cm">[12]BAHAN!$D$231</definedName>
    <definedName name="grafel30" localSheetId="1">#REF!</definedName>
    <definedName name="grafel30">#REF!</definedName>
    <definedName name="Granit_Alam_DN_Ukuran_Besar">[12]BAHAN!$D$215</definedName>
    <definedName name="Granit_Alam_DN_Ukuran_Kecil">[12]BAHAN!$D$216</definedName>
    <definedName name="Granit_Alam_LN_Ukuran_Besar">[12]BAHAN!$D$213</definedName>
    <definedName name="Granit_Alam_LN_Ukuran_Kecil">[12]BAHAN!$D$214</definedName>
    <definedName name="Granito_Tile_Essenza_60_x_60__Polis">[12]BAHAN!$D$224</definedName>
    <definedName name="Granito_Tile_Essenza_Ukuran_40_x_40_Polis">[12]BAHAN!$D$217</definedName>
    <definedName name="GRAVEL" localSheetId="1">#REF!</definedName>
    <definedName name="GRAVEL">#REF!</definedName>
    <definedName name="grc">#REF!</definedName>
    <definedName name="grendel3" localSheetId="1">#REF!</definedName>
    <definedName name="grendel3">#REF!</definedName>
    <definedName name="grendel4" localSheetId="1">#REF!</definedName>
    <definedName name="grendel4">#REF!</definedName>
    <definedName name="grendeltanam" localSheetId="1">#REF!</definedName>
    <definedName name="grendeltanam">#REF!</definedName>
    <definedName name="GROUNDTANK" localSheetId="1">#REF!</definedName>
    <definedName name="GROUNDTANK">#REF!</definedName>
    <definedName name="grsb20">[5]BAHAN!#REF!</definedName>
    <definedName name="grsb30">[5]BAHAN!#REF!</definedName>
    <definedName name="GTB">[5]ANALISA!#REF!</definedName>
    <definedName name="GTBB">[5]ANALISA!#REF!</definedName>
    <definedName name="GTBM">[5]ANALISA!#REF!</definedName>
    <definedName name="Gtcadas">'[20]ANALISA (2)'!$G$99</definedName>
    <definedName name="gtgmet">[5]BAHAN!$G$243</definedName>
    <definedName name="GTM">[5]ANALISA!#REF!</definedName>
    <definedName name="gvlam">#REF!</definedName>
    <definedName name="gymfloor" localSheetId="1">#REF!</definedName>
    <definedName name="gymfloor">#REF!</definedName>
    <definedName name="gyp">[5]BAHAN!$G$100</definedName>
    <definedName name="Gypsum" localSheetId="1">#REF!</definedName>
    <definedName name="Gypsum">#REF!</definedName>
    <definedName name="gypsum.9">#REF!</definedName>
    <definedName name="gypsum.prf">#REF!</definedName>
    <definedName name="Gypsum_uk._1200_x_2400_x_12_mm">[31]REKAPITULASI!$D$152</definedName>
    <definedName name="Gypsum_uk._1200_x_2400_x_9_mm">[31]REKAPITULASI!$D$150</definedName>
    <definedName name="Gypsum_uk._1200_x_2700_x_9_mm">[31]REKAPITULASI!$D$151</definedName>
    <definedName name="Gypsum9" localSheetId="1">#REF!</definedName>
    <definedName name="Gypsum9">#REF!</definedName>
    <definedName name="Gypsum9mm" localSheetId="1">#REF!</definedName>
    <definedName name="Gypsum9mm">#REF!</definedName>
    <definedName name="H.10" localSheetId="1">#REF!</definedName>
    <definedName name="H.10">#REF!</definedName>
    <definedName name="H.10.a" localSheetId="1">#REF!</definedName>
    <definedName name="H.10.a">#REF!</definedName>
    <definedName name="H.10.i" localSheetId="1">#REF!</definedName>
    <definedName name="H.10.i">#REF!</definedName>
    <definedName name="H.15" localSheetId="1">#REF!</definedName>
    <definedName name="H.15">#REF!</definedName>
    <definedName name="H.2" localSheetId="1">#REF!</definedName>
    <definedName name="H.2">#REF!</definedName>
    <definedName name="H.6" localSheetId="1">#REF!</definedName>
    <definedName name="H.6">#REF!</definedName>
    <definedName name="H.8.a.ii" localSheetId="1">#REF!</definedName>
    <definedName name="H.8.a.ii">#REF!</definedName>
    <definedName name="H.9" localSheetId="1">#REF!</definedName>
    <definedName name="H.9">#REF!</definedName>
    <definedName name="H.9a" localSheetId="1">#REF!</definedName>
    <definedName name="H.9a">#REF!</definedName>
    <definedName name="h_abu">#REF!</definedName>
    <definedName name="h_balok_borneo">#REF!</definedName>
    <definedName name="H_Bata_Merah">'[8]Daf Harg Satuan Bahan'!$E$26</definedName>
    <definedName name="h_batako_kecil">#REF!</definedName>
    <definedName name="H_Batu_Belah">'[8]Daf Harg Satuan Bahan'!$E$25</definedName>
    <definedName name="h_batu_bronjol">#REF!</definedName>
    <definedName name="h_batu_gosok">#REF!</definedName>
    <definedName name="h_batu_koral">#REF!</definedName>
    <definedName name="h_batu_pinggir_besar">#REF!</definedName>
    <definedName name="h_batu_pinggir_beton">#REF!</definedName>
    <definedName name="h_batu_pinggir_beton_besar">#REF!</definedName>
    <definedName name="h_batu_pinggir_beton_kecil">#REF!</definedName>
    <definedName name="h_batu_pinggir_kecil">#REF!</definedName>
    <definedName name="h_batu_telor">#REF!</definedName>
    <definedName name="h_batu_tempel">#REF!</definedName>
    <definedName name="h_batu_tempel_hitam">#REF!</definedName>
    <definedName name="H_Besi_Beton">'[8]Daf Harg Satuan Bahan'!$E$27</definedName>
    <definedName name="H_Besi_Profil_Plat">'[8]Daf Harg Satuan Bahan'!$E$30</definedName>
    <definedName name="H_Besi_Siku">'[8]Daf Harg Satuan Bahan'!$E$31</definedName>
    <definedName name="H_Kawat_Beton">'[8]Daf Harg Satuan Bahan'!$E$28</definedName>
    <definedName name="H_Kayu_Bekisting">'[8]Daf Harg Satuan Bahan'!$E$38</definedName>
    <definedName name="H_Kayu_Stoot">'[8]Daf Harg Satuan Bahan'!$E$41</definedName>
    <definedName name="h_kenek_truk">#REF!</definedName>
    <definedName name="H_Kep_Tukang">'[8]Daf Harg Satuan Bahan'!$E$15</definedName>
    <definedName name="h_kepala_tukang_batu">#REF!</definedName>
    <definedName name="h_kepala_tukang_besi_beton">#REF!</definedName>
    <definedName name="h_kepala_tukang_besi_profil">#REF!</definedName>
    <definedName name="h_kepala_tukang_cat_plitur">#REF!</definedName>
    <definedName name="h_kepala_tukang_kayu">#REF!</definedName>
    <definedName name="H_Mandor">'[8]Daf Harg Satuan Bahan'!$E$14</definedName>
    <definedName name="h_operator_alat_besar">#REF!</definedName>
    <definedName name="H_Paku">'[8]Daf Harg Satuan Bahan'!$E$29</definedName>
    <definedName name="h_papan_borneo">#REF!</definedName>
    <definedName name="H_Pasir_Beton">'[8]Daf Harg Satuan Bahan'!$E$22</definedName>
    <definedName name="H_Pasir_Pasang">'[8]Daf Harg Satuan Bahan'!$E$21</definedName>
    <definedName name="h_pasir_teras">#REF!</definedName>
    <definedName name="H_Pasir_Urug">'[8]Daf Harg Satuan Bahan'!$E$20</definedName>
    <definedName name="H_Pekerja">'[8]Daf Harg Satuan Bahan'!$E$9</definedName>
    <definedName name="h_pekerja_setengah_terampil">#REF!</definedName>
    <definedName name="h_pekerja_terampil">#REF!</definedName>
    <definedName name="h_pembantu_operator">#REF!</definedName>
    <definedName name="h_penjaga_malam">#REF!</definedName>
    <definedName name="H_Pipa_GI_dia._4__untuk_selubung">'[8]HaRGA SAT pIPA'!$D$5</definedName>
    <definedName name="H_PipaGI_15">'[8]HaRGA SAT pIPA'!$D$10</definedName>
    <definedName name="H_SemenPC">'[8]Daf Harg Satuan Bahan'!$E$24</definedName>
    <definedName name="h_sirtu">#REF!</definedName>
    <definedName name="h_sopir_truk">#REF!</definedName>
    <definedName name="H_Split">'[8]Daf Harg Satuan Bahan'!$E$23</definedName>
    <definedName name="h_split_dua_tiga">#REF!</definedName>
    <definedName name="h_split_duatiga">#REF!</definedName>
    <definedName name="h_split_lima_tujuh">#REF!</definedName>
    <definedName name="h_split_limatujuh">#REF!</definedName>
    <definedName name="h_split_satu_dua">#REF!</definedName>
    <definedName name="h_split_setengah">#REF!</definedName>
    <definedName name="h_split_tiga_lima">#REF!</definedName>
    <definedName name="h_split_tigalima">#REF!</definedName>
    <definedName name="H_Tkg_Batu">'[8]Daf Harg Satuan Bahan'!$E$10</definedName>
    <definedName name="H_Tkg_Besi">'[8]Daf Harg Satuan Bahan'!$E$12</definedName>
    <definedName name="H_Tkg_Kayu">'[8]Daf Harg Satuan Bahan'!$E$11</definedName>
    <definedName name="H_Tkg_Pipa">'[8]Daf Harg Satuan Bahan'!$E$13</definedName>
    <definedName name="h_tukang_batu_setengah_terampil">#REF!</definedName>
    <definedName name="h_tukang_batu_terampil">#REF!</definedName>
    <definedName name="h_tukang_besi_beton_setengah_terampil">#REF!</definedName>
    <definedName name="h_tukang_besi_beton_terampil">#REF!</definedName>
    <definedName name="h_tukang_besi_profil_setengah_terampil">#REF!</definedName>
    <definedName name="h_tukang_besi_profil_terampil">#REF!</definedName>
    <definedName name="h_tukang_cat_plitur_setengah_terampil">#REF!</definedName>
    <definedName name="h_tukang_cat_plitur_terampil">#REF!</definedName>
    <definedName name="h_tukang_gali">#REF!</definedName>
    <definedName name="h_tukang_kayu_setengah_terampil">#REF!</definedName>
    <definedName name="h_tukang_kayu_terampil">#REF!</definedName>
    <definedName name="hab">'[10]Sat~Bahu'!$H$49</definedName>
    <definedName name="habantu">'[10]Sat~Bahu'!$H$76</definedName>
    <definedName name="Hak_Angin_Sendok_Stainless___Kuningan">[12]BAHAN!$D$598</definedName>
    <definedName name="hakangin" localSheetId="1">#REF!</definedName>
    <definedName name="hakangin">#REF!</definedName>
    <definedName name="hakatk">[5]BAHAN!#REF!</definedName>
    <definedName name="hakbs">[5]BAHAN!$G$262</definedName>
    <definedName name="Hand_Compactor" localSheetId="1">#REF!</definedName>
    <definedName name="Hand_Compactor">#REF!</definedName>
    <definedName name="HARGA" localSheetId="1">#REF!</definedName>
    <definedName name="HARGA">#REF!</definedName>
    <definedName name="has.200">'[10]Sat~Bahu'!$H$103</definedName>
    <definedName name="hasb">'[33]Sat~Bahu'!$H$50</definedName>
    <definedName name="hatb">'[10]Sat~Bahu'!$H$86</definedName>
    <definedName name="hbb.05">'[10]Sat~Bahu'!$H$41</definedName>
    <definedName name="hbb.1">'[10]Sat~Bahu'!$H$40</definedName>
    <definedName name="hbb.10">'[10]Sat~Bahu'!$H$35</definedName>
    <definedName name="hbb.2">'[10]Sat~Bahu'!$H$39</definedName>
    <definedName name="hbb.3">'[10]Sat~Bahu'!$H$38</definedName>
    <definedName name="hbb.5">'[10]Sat~Bahu'!$H$37</definedName>
    <definedName name="hblw">'[10]Sat~Bahu'!$H$113</definedName>
    <definedName name="hbtb">'[10]Sat~Bahu'!$H$67</definedName>
    <definedName name="hbtp">'[10]Sat~Bahu'!$H$48</definedName>
    <definedName name="hbtpb">'[10]Sat~Bahu'!$H$32</definedName>
    <definedName name="hcab">'[10]Sat~Bahu'!#REF!</definedName>
    <definedName name="hcomp">'[10]Sat~Bahu'!$H$111</definedName>
    <definedName name="hcs">#REF!</definedName>
    <definedName name="hcslab">'[24]WF '!#REF!</definedName>
    <definedName name="hcv">'[10]Sat~Bahu'!$H$101</definedName>
    <definedName name="hdozer">'[10]Sat~Bahu'!$H$91</definedName>
    <definedName name="hdt.35">'[10]Sat~Bahu'!$H$108</definedName>
    <definedName name="hdt.5">'[10]Sat~Bahu'!$H$107</definedName>
    <definedName name="he">#REF!</definedName>
    <definedName name="hgrader">'[10]Sat~Bahu'!$H$92</definedName>
    <definedName name="hhrs">'[10]Sat~Bahu'!$H$87</definedName>
    <definedName name="hinis">#REF!</definedName>
    <definedName name="hkb">'[10]Sat~Bahu'!$H$62</definedName>
    <definedName name="hkgb">'[10]Sat~Bahu'!$H$29</definedName>
    <definedName name="hkpb">'[10]Sat~Bahu'!$H$58</definedName>
    <definedName name="hks">'[10]Sat~Bahu'!$H$30</definedName>
    <definedName name="hkup">'[10]Sat~Bahu'!$H$77</definedName>
    <definedName name="HM">#REF!</definedName>
    <definedName name="hmg.3r">'[10]Sat~Bahu'!$H$96</definedName>
    <definedName name="hmgb">'[10]Sat~Bahu'!$H$98</definedName>
    <definedName name="hmgrk">'[10]Sat~Bahu'!$H$99</definedName>
    <definedName name="hmgt">'[10]Sat~Bahu'!$H$97</definedName>
    <definedName name="hmp.182">'[10]Sat~Bahu'!$H$104</definedName>
    <definedName name="hmt">'[10]Sat~Bahu'!$H$53</definedName>
    <definedName name="hollow24" localSheetId="1">#REF!</definedName>
    <definedName name="hollow24">#REF!</definedName>
    <definedName name="hollow44" localSheetId="1">#REF!</definedName>
    <definedName name="hollow44">#REF!</definedName>
    <definedName name="hollowblok" localSheetId="1">#REF!</definedName>
    <definedName name="hollowblok">#REF!</definedName>
    <definedName name="Hospital_plint">[12]BAHAN!$D$203</definedName>
    <definedName name="hpav">'[10]Sat~Bahu'!$H$82</definedName>
    <definedName name="hpb.125">'[10]Sat~Bahu'!$H$109</definedName>
    <definedName name="hpb.200hp">'[10]Sat~Bahu'!$H$93</definedName>
    <definedName name="hpc">'[10]Sat~Bahu'!$H$55</definedName>
    <definedName name="hpj">'[10]Sat~Bahu'!$H$66</definedName>
    <definedName name="hpsaub">'[10]Sat~Bahu'!$H$46</definedName>
    <definedName name="hpsp">'[10]Sat~Bahu'!$H$47</definedName>
    <definedName name="hpsu">'[10]Sat~Bahu'!$H$45</definedName>
    <definedName name="hptdll">'[10]Sat~Bahu'!$H$114</definedName>
    <definedName name="hQ">'[10]Sat~Bahu'!$H$28</definedName>
    <definedName name="hrs">'[10]Sat~Bahu'!$C$87</definedName>
    <definedName name="hs.1000">'[10]Sat~Bahu'!$H$102</definedName>
    <definedName name="HSA">#REF!</definedName>
    <definedName name="HSAA">#REF!</definedName>
    <definedName name="HSAH">#REF!</definedName>
    <definedName name="HSAK">#REF!</definedName>
    <definedName name="hstam">'[10]Sat~Bahu'!$H$100</definedName>
    <definedName name="hstpb">'[10]Sat~Bahu'!$H$31</definedName>
    <definedName name="htanki">'[10]Sat~Bahu'!$H$105</definedName>
    <definedName name="htnh">'[10]Sat~Bahu'!$H$88</definedName>
    <definedName name="htrailer">'[10]Sat~Bahu'!$H$106</definedName>
    <definedName name="hwl.80hp">'[10]Sat~Bahu'!$H$94</definedName>
    <definedName name="hwp.5">'[10]Sat~Bahu'!$H$112</definedName>
    <definedName name="hwt.60hp">'[10]Sat~Bahu'!$H$95</definedName>
    <definedName name="I.2.a" localSheetId="1">#REF!</definedName>
    <definedName name="I.2.a">#REF!</definedName>
    <definedName name="I.2.b" localSheetId="1">#REF!</definedName>
    <definedName name="I.2.b">#REF!</definedName>
    <definedName name="I.2.c" localSheetId="1">#REF!</definedName>
    <definedName name="I.2.c">#REF!</definedName>
    <definedName name="I.2.d" localSheetId="1">#REF!</definedName>
    <definedName name="I.2.d">#REF!</definedName>
    <definedName name="I.A" localSheetId="1">#REF!</definedName>
    <definedName name="I.A">#REF!</definedName>
    <definedName name="I_10_A">[31]Sheet1!$G$1721</definedName>
    <definedName name="I_10_B">[31]Sheet1!$G$1733</definedName>
    <definedName name="I_11_A">[31]Sheet1!$G$1755</definedName>
    <definedName name="I_12_A">[31]Sheet1!$G$1784</definedName>
    <definedName name="I_14" localSheetId="1">'[4]ANALISA PEK.UMUM'!#REF!</definedName>
    <definedName name="I_14">'[4]ANALISA PEK.UMUM'!#REF!</definedName>
    <definedName name="I_15" localSheetId="1">'[4]ANALISA PEK.UMUM'!#REF!</definedName>
    <definedName name="I_15">'[4]ANALISA PEK.UMUM'!#REF!</definedName>
    <definedName name="I_16" localSheetId="1">'[4]ANALISA PEK.UMUM'!#REF!</definedName>
    <definedName name="I_16">'[4]ANALISA PEK.UMUM'!#REF!</definedName>
    <definedName name="I_17" localSheetId="1">'[4]ANALISA PEK.UMUM'!#REF!</definedName>
    <definedName name="I_17">'[4]ANALISA PEK.UMUM'!#REF!</definedName>
    <definedName name="icon">#REF!</definedName>
    <definedName name="IDRUS" localSheetId="1">#REF!</definedName>
    <definedName name="IDRUS">#REF!</definedName>
    <definedName name="II_01D">'[21]HRG BHN'!#REF!</definedName>
    <definedName name="II_12">'[21]HRG BHN'!#REF!</definedName>
    <definedName name="II_13">'[21]HRG BHN'!#REF!</definedName>
    <definedName name="II_14">'[21]HRG BHN'!#REF!</definedName>
    <definedName name="ijk">[5]BAHAN!$G$273</definedName>
    <definedName name="Injuk">[12]BAHAN!$D$244</definedName>
    <definedName name="Insullation">[12]DATA1!$I$32</definedName>
    <definedName name="IRA" localSheetId="1">#REF!</definedName>
    <definedName name="IRA">#REF!</definedName>
    <definedName name="islamiyah">#REF!</definedName>
    <definedName name="iwf">[5]BAHAN!$G$166</definedName>
    <definedName name="IWF_Ex_DN_SII">[12]BAHAN!$D$251</definedName>
    <definedName name="j.1" localSheetId="1">#REF!</definedName>
    <definedName name="j.1">#REF!</definedName>
    <definedName name="j.2" localSheetId="1">#REF!</definedName>
    <definedName name="j.2">#REF!</definedName>
    <definedName name="J.210">#REF!</definedName>
    <definedName name="JACKHAMMER" localSheetId="1">#REF!</definedName>
    <definedName name="JACKHAMMER">#REF!</definedName>
    <definedName name="jadahaddddddd" localSheetId="1">#REF!</definedName>
    <definedName name="jadahaddddddd">#REF!</definedName>
    <definedName name="jalan" localSheetId="1">#REF!</definedName>
    <definedName name="jalan">#REF!</definedName>
    <definedName name="jalusi">#REF!</definedName>
    <definedName name="jambudipa">#REF!</definedName>
    <definedName name="jamkerja" localSheetId="1">#REF!</definedName>
    <definedName name="jamkerja">#REF!</definedName>
    <definedName name="jamtandem" localSheetId="1">#REF!</definedName>
    <definedName name="jamtandem">#REF!</definedName>
    <definedName name="jaringanlistrik">'Jaringan Listrik'!$C$3:$I$2946</definedName>
    <definedName name="Jarum_Penangkal_Petir_16">[12]BAHAN!$D$574</definedName>
    <definedName name="jembatan" localSheetId="1">#REF!</definedName>
    <definedName name="jembatan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tas">#REF!</definedName>
    <definedName name="Jendelabesibaja" localSheetId="1">#REF!</definedName>
    <definedName name="Jendelabesibaja">#REF!</definedName>
    <definedName name="jendelanako" localSheetId="1">#REF!</definedName>
    <definedName name="jendelanako">#REF!</definedName>
    <definedName name="jetpm">[5]BAHAN!$G$231</definedName>
    <definedName name="JJ_19C">'[21]HRG BHN'!#REF!</definedName>
    <definedName name="JJ_20">'[9]HRG BHN'!$G$409</definedName>
    <definedName name="JJ_21">'[21]HRG BHN'!#REF!</definedName>
    <definedName name="JJ_21A">'[9]HRG BHN'!$G$410</definedName>
    <definedName name="JJ_21B">'[21]HRG BHN'!#REF!</definedName>
    <definedName name="JJ_23">'[21]HRG BHN'!#REF!</definedName>
    <definedName name="Jl._Selaparang_No._52_Mataram" localSheetId="1">#REF!</definedName>
    <definedName name="Jl._Selaparang_No._52_Mataram">#REF!</definedName>
    <definedName name="jointape" localSheetId="1">#REF!</definedName>
    <definedName name="jointape">#REF!</definedName>
    <definedName name="JUDUL" localSheetId="1">'[17]Harsat Bahan'!#REF!</definedName>
    <definedName name="JUDUL" localSheetId="4">#REF!</definedName>
    <definedName name="JUDUL">'[17]Harsat Bahan'!#REF!</definedName>
    <definedName name="jum" localSheetId="1">#REF!</definedName>
    <definedName name="jum">#REF!</definedName>
    <definedName name="jumlah" localSheetId="1">#REF!</definedName>
    <definedName name="jumlah">#REF!</definedName>
    <definedName name="Jumlah_I" localSheetId="1">#REF!</definedName>
    <definedName name="Jumlah_I">#REF!</definedName>
    <definedName name="Jumlah_II" localSheetId="1">#REF!</definedName>
    <definedName name="Jumlah_II">#REF!</definedName>
    <definedName name="Jumlah_III" localSheetId="1">#REF!</definedName>
    <definedName name="Jumlah_III">#REF!</definedName>
    <definedName name="Jumlah_IV" localSheetId="1">#REF!</definedName>
    <definedName name="Jumlah_IV">#REF!</definedName>
    <definedName name="Jumlah_V" localSheetId="1">#REF!</definedName>
    <definedName name="Jumlah_V">#REF!</definedName>
    <definedName name="Jumlah_VI" localSheetId="1">#REF!</definedName>
    <definedName name="Jumlah_VI">#REF!</definedName>
    <definedName name="k" localSheetId="1">#REF!</definedName>
    <definedName name="K" localSheetId="4">'[10]Sat~Bahu'!$C$16</definedName>
    <definedName name="k">#REF!</definedName>
    <definedName name="k.027">'[6]analisa (2)'!$I$3759</definedName>
    <definedName name="k.030">[23]analisa!$I$3614</definedName>
    <definedName name="K.1" localSheetId="1">#REF!</definedName>
    <definedName name="K.1">#REF!</definedName>
    <definedName name="K.110">[23]analisa!$I$72</definedName>
    <definedName name="K.210">[23]analisa!$I$146</definedName>
    <definedName name="K.220">[23]analisa!$I$220</definedName>
    <definedName name="K.224">[23]analisa!$I$294</definedName>
    <definedName name="K.225">[23]analisa!$I$368</definedName>
    <definedName name="K.225B">[23]analisa!$I$4424</definedName>
    <definedName name="k.225c">[28]analisa!$I$4274</definedName>
    <definedName name="K.225TNH">[23]analisa!$I$3396</definedName>
    <definedName name="k.25" localSheetId="1">#REF!</definedName>
    <definedName name="k.25">#REF!</definedName>
    <definedName name="K.310">[23]analisa!$I$442</definedName>
    <definedName name="k.310bk">[23]analisa!$I$4942</definedName>
    <definedName name="K.311">[23]analisa!$I$516</definedName>
    <definedName name="K.320">[23]analisa!$I$590</definedName>
    <definedName name="K.321">[23]analisa!$I$664</definedName>
    <definedName name="K.341">#REF!</definedName>
    <definedName name="K.342">[23]analisa!$I$2663</definedName>
    <definedName name="k.40.40.roman.crk">#REF!</definedName>
    <definedName name="k.410">#REF!</definedName>
    <definedName name="K.410A">[23]analisa!$I$738</definedName>
    <definedName name="K.410B">[23]analisa!$I$812</definedName>
    <definedName name="k.410bk">#REF!</definedName>
    <definedName name="k.411">#REF!</definedName>
    <definedName name="K.420">[23]analisa!$I$886</definedName>
    <definedName name="k.422">[23]analisa!$I$3105</definedName>
    <definedName name="K.424">[23]analisa!$I$960</definedName>
    <definedName name="k.510">#REF!</definedName>
    <definedName name="k.512">#REF!</definedName>
    <definedName name="k.513">#REF!</definedName>
    <definedName name="K.514">[23]analisa!$I$1034</definedName>
    <definedName name="K.515">[23]analisa!$I$1108</definedName>
    <definedName name="k.515bk">#REF!</definedName>
    <definedName name="K.516">[23]analisa!$I$1182</definedName>
    <definedName name="k.516b">[23]analisa!$I$3469</definedName>
    <definedName name="K.516C">#REF!</definedName>
    <definedName name="K.520">[23]analisa!$I$1256</definedName>
    <definedName name="k.520a">#REF!</definedName>
    <definedName name="k.520b">#REF!</definedName>
    <definedName name="k.521">[23]analisa!$I$1330</definedName>
    <definedName name="K.522">[23]analisa!$I$1404</definedName>
    <definedName name="k.523">[23]analisa!$I$1478</definedName>
    <definedName name="k.523bk">[23]analisa!$I$4868</definedName>
    <definedName name="K.528">[23]analisa!$I$1552</definedName>
    <definedName name="K.529">[23]analisa!$I$3031</definedName>
    <definedName name="K.612">[23]analisa!$I$1626</definedName>
    <definedName name="K.615">#REF!</definedName>
    <definedName name="K.615C">#REF!</definedName>
    <definedName name="k.616">[23]analisa!$I$3176</definedName>
    <definedName name="k.616a">[23]analisa!#REF!</definedName>
    <definedName name="k.617">[23]analisa!$I$3248</definedName>
    <definedName name="K.618">[23]analisa!$I$1701</definedName>
    <definedName name="k.618s">[23]analisa!$I$2811</definedName>
    <definedName name="k.619">[23]analisa!$I$2884</definedName>
    <definedName name="k.620">[23]analisa!$I$2957</definedName>
    <definedName name="k.621">#REF!</definedName>
    <definedName name="k.631">[23]analisa!$I$3685</definedName>
    <definedName name="K.636">[23]analisa!$I$1775</definedName>
    <definedName name="K.637">#REF!</definedName>
    <definedName name="k.638">#REF!</definedName>
    <definedName name="k.640">[23]analisa!$I$1849</definedName>
    <definedName name="K.641">[23]analisa!$I$1923</definedName>
    <definedName name="k.642">[23]analisa!$I$3833</definedName>
    <definedName name="k.705">#REF!</definedName>
    <definedName name="K.710">[23]analisa!$I$1997</definedName>
    <definedName name="K.715">[23]analisa!$I$2071</definedName>
    <definedName name="K.715B">#REF!</definedName>
    <definedName name="k.719">#REF!</definedName>
    <definedName name="K.720">[23]analisa!$I$2145</definedName>
    <definedName name="K.723">[23]analisa!$I$2219</definedName>
    <definedName name="K.724">[23]analisa!$I$2293</definedName>
    <definedName name="K.725">[23]analisa!$I$2367</definedName>
    <definedName name="k.810">[23]analisa!$I$2737</definedName>
    <definedName name="K.815">#REF!</definedName>
    <definedName name="k.815a">[23]analisa!$I$2441</definedName>
    <definedName name="k.815b">[23]analisa!$I$3543</definedName>
    <definedName name="k.860">[23]analisa!$I$4646</definedName>
    <definedName name="k.880">#REF!</definedName>
    <definedName name="K.BAJ">#REF!</definedName>
    <definedName name="k.beton">#REF!</definedName>
    <definedName name="k.ddg.20.25.rmn.crk">#REF!</definedName>
    <definedName name="k.ddg.rmn.20.25.pls">#REF!</definedName>
    <definedName name="k.dp">#REF!</definedName>
    <definedName name="K.KRB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10">[31]Sheet1!$G$2305</definedName>
    <definedName name="k_11">[31]Sheet1!$G$2312</definedName>
    <definedName name="k_8">[31]Sheet1!$G$2291</definedName>
    <definedName name="k_9">[31]Sheet1!$G$2298</definedName>
    <definedName name="kab">'[10]Sat~Bahu'!$F$49</definedName>
    <definedName name="kabantu">'[10]Sat~Bahu'!$F$76</definedName>
    <definedName name="kaca">Kaca!$C$3:$I$259</definedName>
    <definedName name="kaca.es">#REF!</definedName>
    <definedName name="kaca.p.5">#REF!</definedName>
    <definedName name="Kaca_Polos_5_mm___ASAHI">[12]BAHAN!$D$312</definedName>
    <definedName name="kaca12" localSheetId="1">#REF!</definedName>
    <definedName name="kaca12">#REF!</definedName>
    <definedName name="kaca3" localSheetId="1">#REF!</definedName>
    <definedName name="kaca3">#REF!</definedName>
    <definedName name="kaca5" localSheetId="1">#REF!</definedName>
    <definedName name="kaca5">#REF!</definedName>
    <definedName name="kaca8" localSheetId="1">#REF!</definedName>
    <definedName name="kaca8">#REF!</definedName>
    <definedName name="kacacermin5" localSheetId="1">#REF!</definedName>
    <definedName name="kacacermin5">#REF!</definedName>
    <definedName name="kacacermin6" localSheetId="1">#REF!</definedName>
    <definedName name="kacacermin6">#REF!</definedName>
    <definedName name="kacacermin8" localSheetId="1">#REF!</definedName>
    <definedName name="kacacermin8">#REF!</definedName>
    <definedName name="kacapatri5" localSheetId="1">#REF!</definedName>
    <definedName name="kacapatri5">#REF!</definedName>
    <definedName name="kacapolos3mm" localSheetId="1">#REF!</definedName>
    <definedName name="kacapolos3mm">#REF!</definedName>
    <definedName name="kacapolos5mm" localSheetId="1">#REF!</definedName>
    <definedName name="kacapolos5mm">#REF!</definedName>
    <definedName name="kacawireglass5" localSheetId="1">#REF!</definedName>
    <definedName name="kacawireglass5">#REF!</definedName>
    <definedName name="kalkarium" localSheetId="1">#REF!</definedName>
    <definedName name="kalkarium">#REF!</definedName>
    <definedName name="kalmn">[5]BAHAN!$G$168</definedName>
    <definedName name="kalmw">[5]BAHAN!$G$169</definedName>
    <definedName name="kamprot">#REF!</definedName>
    <definedName name="kansteen" localSheetId="1">#REF!</definedName>
    <definedName name="kansteen">#REF!</definedName>
    <definedName name="kantordireksi">[14]REKAP!$I$15</definedName>
    <definedName name="Kapur" localSheetId="1">#REF!</definedName>
    <definedName name="Kapur">#REF!</definedName>
    <definedName name="Kapur_padam">[12]BAHAN!$D$53</definedName>
    <definedName name="kapursirih" localSheetId="1">#REF!</definedName>
    <definedName name="kapursirih">#REF!</definedName>
    <definedName name="karp">[5]BAHAN!$G$115</definedName>
    <definedName name="karpet" localSheetId="1">#REF!</definedName>
    <definedName name="karpet">#REF!</definedName>
    <definedName name="karpetwooldannilon" localSheetId="1">#REF!</definedName>
    <definedName name="karpetwooldannilon">#REF!</definedName>
    <definedName name="kas.200">'[10]Sat~Bahu'!$G$103</definedName>
    <definedName name="Kas0_5_7_Borneo_SP__2_x_pakai__50">[12]DATA1!$I$15</definedName>
    <definedName name="KASARHALUS" localSheetId="1">#REF!</definedName>
    <definedName name="KASARHALUS">#REF!</definedName>
    <definedName name="kasau57" localSheetId="1">#REF!</definedName>
    <definedName name="kasau57">#REF!</definedName>
    <definedName name="kaso">[5]ANALISA!#REF!</definedName>
    <definedName name="KASOPL">[5]ANALISA!#REF!</definedName>
    <definedName name="kasoreng">#REF!</definedName>
    <definedName name="katb">'[10]Sat~Bahu'!$F$86</definedName>
    <definedName name="Kawat_BC___Tembaga">[12]BAHAN!$D$575</definedName>
    <definedName name="Kawat_Beton">[12]BAHAN!$D$258</definedName>
    <definedName name="Kawat_Bronjong_4_mm">[12]BAHAN!$D$261</definedName>
    <definedName name="KAWATBERONJONG">#REF!</definedName>
    <definedName name="kawatbeton" localSheetId="1">#REF!</definedName>
    <definedName name="kawatbeton">#REF!</definedName>
    <definedName name="kawatburung" localSheetId="1">#REF!</definedName>
    <definedName name="kawatburung">#REF!</definedName>
    <definedName name="kawatduri" localSheetId="1">#REF!</definedName>
    <definedName name="kawatduri">#REF!</definedName>
    <definedName name="kawatharmonika" localSheetId="1">#REF!</definedName>
    <definedName name="kawatharmonika">#REF!</definedName>
    <definedName name="kawatjaring" localSheetId="1">#REF!</definedName>
    <definedName name="kawatjaring">#REF!</definedName>
    <definedName name="kawatkassa" localSheetId="1">#REF!</definedName>
    <definedName name="kawatkassa">#REF!</definedName>
    <definedName name="kawatnyamuk" localSheetId="1">#REF!</definedName>
    <definedName name="kawatnyamuk">#REF!</definedName>
    <definedName name="kawatsengpolos" localSheetId="1">#REF!</definedName>
    <definedName name="kawatsengpolos">#REF!</definedName>
    <definedName name="kayu">'Struktur Kayu'!$C$3:$J$48</definedName>
    <definedName name="Kayu_Balok_Borneo_Super">[12]BAHAN!$D$115</definedName>
    <definedName name="Kayu_Balok_Kamper_Banjar">[12]BAHAN!$D$119</definedName>
    <definedName name="Kayu_Balok_Kamper_Medan__Kruing">[12]BAHAN!$D$117</definedName>
    <definedName name="Kayu_Balok_Kamper_Samarinda">[12]BAHAN!$D$121</definedName>
    <definedName name="Kayu_Balok_Kamper_singkil">[12]BAHAN!$D$111</definedName>
    <definedName name="Kayu_jati_Jatim_Tua_dia._40_cm">[12]BAHAN!$D$124</definedName>
    <definedName name="Kayu_Papan_Borneo_super">[12]BAHAN!$D$116</definedName>
    <definedName name="kayu_papan_cor__borneo" localSheetId="1">[12]BAHAN!#REF!</definedName>
    <definedName name="kayu_papan_cor__borneo">[12]BAHAN!#REF!</definedName>
    <definedName name="kayu_papan_kamper_banjar">[12]BAHAN!$D$120</definedName>
    <definedName name="Kayu_papan_Kamper_Samarinda">[12]BAHAN!$D$122</definedName>
    <definedName name="Kayu_Papan_Kamper_Singkil">[12]BAHAN!$D$112</definedName>
    <definedName name="Kayu_Reng_2_3_Kamper_Medan" localSheetId="1">[12]BAHAN!#REF!</definedName>
    <definedName name="Kayu_Reng_2_3_Kamper_Medan">[12]BAHAN!#REF!</definedName>
    <definedName name="Kayu_Reng_3_4_Borneo_Super" localSheetId="1">[12]BAHAN!#REF!</definedName>
    <definedName name="Kayu_Reng_3_4_Borneo_Super">[12]BAHAN!#REF!</definedName>
    <definedName name="Kayu_Reng_3_4_Kamper_Medan" localSheetId="1">[12]BAHAN!#REF!</definedName>
    <definedName name="Kayu_Reng_3_4_Kamper_Medan">[12]BAHAN!#REF!</definedName>
    <definedName name="kayu_stoot_dinding__2_x_pakai_75">[12]DATA1!$I$19</definedName>
    <definedName name="Kayu_Terentang" localSheetId="1">[12]BAHAN!#REF!</definedName>
    <definedName name="Kayu_Terentang">[12]BAHAN!#REF!</definedName>
    <definedName name="kayu1212" localSheetId="1">#REF!</definedName>
    <definedName name="kayu1212">#REF!</definedName>
    <definedName name="kayu34" localSheetId="1">#REF!</definedName>
    <definedName name="kayu34">#REF!</definedName>
    <definedName name="kayu57" localSheetId="1">#REF!</definedName>
    <definedName name="kayu57">#REF!</definedName>
    <definedName name="kayu613" localSheetId="1">#REF!</definedName>
    <definedName name="kayu613">#REF!</definedName>
    <definedName name="kayu812" localSheetId="1">#REF!</definedName>
    <definedName name="kayu812">#REF!</definedName>
    <definedName name="kayu815" localSheetId="1">#REF!</definedName>
    <definedName name="kayu815">#REF!</definedName>
    <definedName name="kayualbasiah" localSheetId="1">#REF!</definedName>
    <definedName name="kayualbasiah">#REF!</definedName>
    <definedName name="kayubakar" localSheetId="1">#REF!</definedName>
    <definedName name="kayubakar">#REF!</definedName>
    <definedName name="kayuborneo" localSheetId="1">#REF!</definedName>
    <definedName name="kayuborneo">#REF!</definedName>
    <definedName name="kayubulian" localSheetId="1">#REF!</definedName>
    <definedName name="kayubulian">#REF!</definedName>
    <definedName name="kayudamarlaut" localSheetId="1">#REF!</definedName>
    <definedName name="kayudamarlaut">#REF!</definedName>
    <definedName name="kayujati" localSheetId="1">#REF!</definedName>
    <definedName name="kayujati">#REF!</definedName>
    <definedName name="kayukamper" localSheetId="1">#REF!</definedName>
    <definedName name="kayukamper">#REF!</definedName>
    <definedName name="kayukelas2" localSheetId="1">#REF!</definedName>
    <definedName name="kayukelas2">#REF!</definedName>
    <definedName name="kayukruing" localSheetId="1">#REF!</definedName>
    <definedName name="kayukruing">#REF!</definedName>
    <definedName name="kayukudakuda" localSheetId="1">#REF!</definedName>
    <definedName name="kayukudakuda">#REF!</definedName>
    <definedName name="kayukulim" localSheetId="1">#REF!</definedName>
    <definedName name="kayukulim">#REF!</definedName>
    <definedName name="kayumarsawa" localSheetId="1">#REF!</definedName>
    <definedName name="kayumarsawa">#REF!</definedName>
    <definedName name="kayuramin" localSheetId="1">#REF!</definedName>
    <definedName name="kayuramin">#REF!</definedName>
    <definedName name="kayutembesu" localSheetId="1">#REF!</definedName>
    <definedName name="kayutembesu">#REF!</definedName>
    <definedName name="kayuterentang" localSheetId="1">#REF!</definedName>
    <definedName name="kayuterentang">#REF!</definedName>
    <definedName name="kayuulang">#REF!</definedName>
    <definedName name="kb">'[10]Sat~Bahu'!$C$62</definedName>
    <definedName name="kbb.05">'[10]Sat~Bahu'!$F$41</definedName>
    <definedName name="kbb.1">'[10]Sat~Bahu'!$F$40</definedName>
    <definedName name="kbb.10">'[10]Sat~Bahu'!$F$35</definedName>
    <definedName name="kbb.2">'[10]Sat~Bahu'!$F$39</definedName>
    <definedName name="kbb.3">'[10]Sat~Bahu'!$F$38</definedName>
    <definedName name="kbb.5">'[10]Sat~Bahu'!$F$37</definedName>
    <definedName name="kbbs">[5]BAHAN!$G$71</definedName>
    <definedName name="kbkb">[5]BAHAN!$G$69</definedName>
    <definedName name="kbks">[5]BAHAN!$G$67</definedName>
    <definedName name="KBLKT">'[10]Sat~Bahu'!$G$18</definedName>
    <definedName name="KBLT">'[10]Sat~Bahu'!$G$19</definedName>
    <definedName name="KBLTT">'[10]Sat~Bahu'!$G$17</definedName>
    <definedName name="kblw">'[10]Sat~Bahu'!$G$113</definedName>
    <definedName name="kbtb">'[10]Sat~Bahu'!$F$67</definedName>
    <definedName name="kbtp">'[10]Sat~Bahu'!$F$48</definedName>
    <definedName name="kbtpb">'[10]Sat~Bahu'!$F$32</definedName>
    <definedName name="kcab">'[10]Sat~Bahu'!#REF!</definedName>
    <definedName name="kcomp">'[10]Sat~Bahu'!$G$111</definedName>
    <definedName name="kcpln">[5]BAHAN!#REF!</definedName>
    <definedName name="kcptr">[5]BAHAN!#REF!</definedName>
    <definedName name="kcv">'[10]Sat~Bahu'!$G$101</definedName>
    <definedName name="kdozer">'[10]Sat~Bahu'!$G$91</definedName>
    <definedName name="kdt.35">'[10]Sat~Bahu'!$G$108</definedName>
    <definedName name="kdt.5">'[10]Sat~Bahu'!$G$107</definedName>
    <definedName name="kenek">#REF!</definedName>
    <definedName name="KENEK_TRUK">#REF!</definedName>
    <definedName name="Kep_Tk_Batu">[34]Upah!$C$12</definedName>
    <definedName name="Kep_Tk_Cat">[35]Upah!$D$21</definedName>
    <definedName name="KEPALA_TUKANG_BATU" localSheetId="4">#REF!</definedName>
    <definedName name="Kepala_Tukang_Batu">[12]UPAH!$D$12</definedName>
    <definedName name="KEPALA_TUKANG_BESI_BETON" localSheetId="4">#REF!</definedName>
    <definedName name="Kepala_Tukang_Besi_Beton">[12]UPAH!$D$21</definedName>
    <definedName name="KEPALA_TUKANG_BESI_PROFIL" localSheetId="4">#REF!</definedName>
    <definedName name="Kepala_Tukang_Besi_Profil">[12]UPAH!$D$24</definedName>
    <definedName name="KEPALA_TUKANG_CAT__PLITUR">#REF!</definedName>
    <definedName name="Kepala_Tukang_Cat_Pelitur">[12]UPAH!$D$18</definedName>
    <definedName name="KEPALA_TUKANG_KAYU" localSheetId="4">#REF!</definedName>
    <definedName name="Kepala_Tukang_Kayu">[12]UPAH!$D$15</definedName>
    <definedName name="keptkbatu">#N/A</definedName>
    <definedName name="KEPTKCAT">#N/A</definedName>
    <definedName name="keptkkayu">#N/A</definedName>
    <definedName name="Ker.L13">#REF!</definedName>
    <definedName name="Keramik_10_x_20_dan_20_x_20_KW_1_DN_Putih__Polos">[12]BAHAN!$D$194</definedName>
    <definedName name="Keramik_10_x_20_KW_I_DN_Corak___Warna___Anti_Slip">[12]BAHAN!$D$195</definedName>
    <definedName name="Keramik_20_x_20__KM__KW_I_DN_Corak___Warna___Anti_Slip">[12]BAHAN!$D$196</definedName>
    <definedName name="Keramik_20_x_20__KM__KWI_DN_Putih_Polos">[12]BAHAN!$D$197</definedName>
    <definedName name="Keramik_30_x_30_KW_I_DN_putih_polos">[12]BAHAN!$D$199</definedName>
    <definedName name="Keramik_30_x_30_KW_I_DN_Warna_Corak___ANTI_SLIP">[12]BAHAN!$D$200</definedName>
    <definedName name="Keramik_Tile_10_x_30">[12]BAHAN!$D$202</definedName>
    <definedName name="keramik20">#REF!</definedName>
    <definedName name="keramik30">#REF!</definedName>
    <definedName name="keramik30x30" localSheetId="1">#REF!</definedName>
    <definedName name="keramik30x30">#REF!</definedName>
    <definedName name="keramik40">#REF!</definedName>
    <definedName name="kerikil" localSheetId="1">#REF!</definedName>
    <definedName name="kerikil">#REF!</definedName>
    <definedName name="KEROSENE">#REF!</definedName>
    <definedName name="kgb">'[10]Sat~Bahu'!$C$29</definedName>
    <definedName name="kgrader">'[10]Sat~Bahu'!$G$92</definedName>
    <definedName name="khrs">'[10]Sat~Bahu'!$F$87</definedName>
    <definedName name="KI" localSheetId="1">#REF!</definedName>
    <definedName name="KI">#REF!</definedName>
    <definedName name="kipayung">#REF!</definedName>
    <definedName name="KK">'[10]Sat~Bahu'!$G$16</definedName>
    <definedName name="kkb">'[10]Sat~Bahu'!$F$62</definedName>
    <definedName name="kkgb">'[10]Sat~Bahu'!$F$29</definedName>
    <definedName name="kkpb">'[10]Sat~Bahu'!$F$58</definedName>
    <definedName name="kks">'[10]Sat~Bahu'!$F$30</definedName>
    <definedName name="KKT">'[10]Sat~Bahu'!$G$9</definedName>
    <definedName name="kkup">'[10]Sat~Bahu'!$F$77</definedName>
    <definedName name="klosetduduk" localSheetId="1">#REF!</definedName>
    <definedName name="klosetduduk">#REF!</definedName>
    <definedName name="klosetjongkok" localSheetId="1">#REF!</definedName>
    <definedName name="klosetjongkok">#REF!</definedName>
    <definedName name="KLSB" localSheetId="1">#REF!</definedName>
    <definedName name="KLSB">#REF!</definedName>
    <definedName name="KM">#REF!</definedName>
    <definedName name="kmg.3r">'[10]Sat~Bahu'!$G$96</definedName>
    <definedName name="kmgb">'[10]Sat~Bahu'!$G$98</definedName>
    <definedName name="kmgrk">'[10]Sat~Bahu'!$G$99</definedName>
    <definedName name="kmgt">'[10]Sat~Bahu'!$G$97</definedName>
    <definedName name="KML">'[10]Sat~Bahu'!$G$6</definedName>
    <definedName name="kmp.182">'[10]Sat~Bahu'!$G$104</definedName>
    <definedName name="kmp.banjar">#REF!</definedName>
    <definedName name="kmt">'[10]Sat~Bahu'!$F$53</definedName>
    <definedName name="kodok">[5]BAHAN!#REF!</definedName>
    <definedName name="kodokgls">[5]BAHAN!#REF!</definedName>
    <definedName name="KODTK">'[10]Sat~Bahu'!$G$10</definedName>
    <definedName name="kolom1010" localSheetId="1">#REF!</definedName>
    <definedName name="kolom1010">#REF!</definedName>
    <definedName name="kolom1013" localSheetId="1">#REF!</definedName>
    <definedName name="kolom1013">#REF!</definedName>
    <definedName name="kolom1015" localSheetId="1">#REF!</definedName>
    <definedName name="kolom1015">#REF!</definedName>
    <definedName name="kolom1020" localSheetId="1">#REF!</definedName>
    <definedName name="kolom1020">#REF!</definedName>
    <definedName name="kolom1025" localSheetId="1">#REF!</definedName>
    <definedName name="kolom1025">#REF!</definedName>
    <definedName name="kolom1030" localSheetId="1">#REF!</definedName>
    <definedName name="kolom1030">#REF!</definedName>
    <definedName name="kolom1213" localSheetId="1">#REF!</definedName>
    <definedName name="kolom1213">#REF!</definedName>
    <definedName name="kolom1215" localSheetId="1">#REF!</definedName>
    <definedName name="kolom1215">#REF!</definedName>
    <definedName name="kolom1220" localSheetId="1">#REF!</definedName>
    <definedName name="kolom1220">#REF!</definedName>
    <definedName name="kolom1225" localSheetId="1">#REF!</definedName>
    <definedName name="kolom1225">#REF!</definedName>
    <definedName name="kolom1230" localSheetId="1">#REF!</definedName>
    <definedName name="kolom1230">#REF!</definedName>
    <definedName name="kolom1313" localSheetId="1">#REF!</definedName>
    <definedName name="kolom1313">#REF!</definedName>
    <definedName name="kolom1315" localSheetId="1">#REF!</definedName>
    <definedName name="kolom1315">#REF!</definedName>
    <definedName name="kolom1515" localSheetId="1">#REF!</definedName>
    <definedName name="kolom1515">#REF!</definedName>
    <definedName name="kolom1520" localSheetId="1">#REF!</definedName>
    <definedName name="kolom1520">#REF!</definedName>
    <definedName name="kolom1525" localSheetId="1">#REF!</definedName>
    <definedName name="kolom1525">#REF!</definedName>
    <definedName name="kolom1530" localSheetId="1">#REF!</definedName>
    <definedName name="kolom1530">#REF!</definedName>
    <definedName name="kolom2020" localSheetId="1">#REF!</definedName>
    <definedName name="kolom2020">#REF!</definedName>
    <definedName name="kolom2025" localSheetId="1">#REF!</definedName>
    <definedName name="kolom2025">#REF!</definedName>
    <definedName name="kolom2030" localSheetId="1">#REF!</definedName>
    <definedName name="kolom2030">#REF!</definedName>
    <definedName name="kolom2035" localSheetId="1">#REF!</definedName>
    <definedName name="kolom2035">#REF!</definedName>
    <definedName name="kolom2040" localSheetId="1">#REF!</definedName>
    <definedName name="kolom2040">#REF!</definedName>
    <definedName name="kolom2045" localSheetId="1">#REF!</definedName>
    <definedName name="kolom2045">#REF!</definedName>
    <definedName name="kolom2050" localSheetId="1">#REF!</definedName>
    <definedName name="kolom2050">#REF!</definedName>
    <definedName name="kolom2055" localSheetId="1">#REF!</definedName>
    <definedName name="kolom2055">#REF!</definedName>
    <definedName name="kolom2060" localSheetId="1">#REF!</definedName>
    <definedName name="kolom2060">#REF!</definedName>
    <definedName name="kolom2530" localSheetId="1">#REF!</definedName>
    <definedName name="kolom2530">#REF!</definedName>
    <definedName name="kolom2535" localSheetId="1">#REF!</definedName>
    <definedName name="kolom2535">#REF!</definedName>
    <definedName name="kolom2540" localSheetId="1">#REF!</definedName>
    <definedName name="kolom2540">#REF!</definedName>
    <definedName name="kolom2545" localSheetId="1">#REF!</definedName>
    <definedName name="kolom2545">#REF!</definedName>
    <definedName name="kolom2550" localSheetId="1">#REF!</definedName>
    <definedName name="kolom2550">#REF!</definedName>
    <definedName name="kolom2555" localSheetId="1">#REF!</definedName>
    <definedName name="kolom2555">#REF!</definedName>
    <definedName name="kolom2560" localSheetId="1">#REF!</definedName>
    <definedName name="kolom2560">#REF!</definedName>
    <definedName name="kolom2565" localSheetId="1">#REF!</definedName>
    <definedName name="kolom2565">#REF!</definedName>
    <definedName name="kolom2570" localSheetId="1">#REF!</definedName>
    <definedName name="kolom2570">#REF!</definedName>
    <definedName name="kolom3030" localSheetId="1">#REF!</definedName>
    <definedName name="kolom3030">#REF!</definedName>
    <definedName name="kolom3035" localSheetId="1">#REF!</definedName>
    <definedName name="kolom3035">#REF!</definedName>
    <definedName name="kolom3040" localSheetId="1">#REF!</definedName>
    <definedName name="kolom3040">#REF!</definedName>
    <definedName name="kolom3045" localSheetId="1">#REF!</definedName>
    <definedName name="kolom3045">#REF!</definedName>
    <definedName name="kolom3050" localSheetId="1">#REF!</definedName>
    <definedName name="kolom3050">#REF!</definedName>
    <definedName name="kolom3055" localSheetId="1">#REF!</definedName>
    <definedName name="kolom3055">#REF!</definedName>
    <definedName name="kolom3060" localSheetId="1">#REF!</definedName>
    <definedName name="kolom3060">#REF!</definedName>
    <definedName name="kolom3070" localSheetId="1">#REF!</definedName>
    <definedName name="kolom3070">#REF!</definedName>
    <definedName name="kolom3075" localSheetId="1">#REF!</definedName>
    <definedName name="kolom3075">#REF!</definedName>
    <definedName name="kolom3535" localSheetId="1">#REF!</definedName>
    <definedName name="kolom3535">#REF!</definedName>
    <definedName name="kolom3540" localSheetId="1">#REF!</definedName>
    <definedName name="kolom3540">#REF!</definedName>
    <definedName name="kolom3545" localSheetId="1">#REF!</definedName>
    <definedName name="kolom3545">#REF!</definedName>
    <definedName name="kolom3550" localSheetId="1">#REF!</definedName>
    <definedName name="kolom3550">#REF!</definedName>
    <definedName name="kolom3555" localSheetId="1">#REF!</definedName>
    <definedName name="kolom3555">#REF!</definedName>
    <definedName name="kolom3560" localSheetId="1">#REF!</definedName>
    <definedName name="kolom3560">#REF!</definedName>
    <definedName name="kolom3570" localSheetId="1">#REF!</definedName>
    <definedName name="kolom3570">#REF!</definedName>
    <definedName name="kolom3575" localSheetId="1">#REF!</definedName>
    <definedName name="kolom3575">#REF!</definedName>
    <definedName name="kolom3580" localSheetId="1">#REF!</definedName>
    <definedName name="kolom3580">#REF!</definedName>
    <definedName name="kolom4040" localSheetId="1">#REF!</definedName>
    <definedName name="kolom4040">#REF!</definedName>
    <definedName name="kolom4045" localSheetId="1">#REF!</definedName>
    <definedName name="kolom4045">#REF!</definedName>
    <definedName name="kolom4050" localSheetId="1">#REF!</definedName>
    <definedName name="kolom4050">#REF!</definedName>
    <definedName name="kolom4055" localSheetId="1">#REF!</definedName>
    <definedName name="kolom4055">#REF!</definedName>
    <definedName name="kolom4060" localSheetId="1">#REF!</definedName>
    <definedName name="kolom4060">#REF!</definedName>
    <definedName name="kolom4070" localSheetId="1">#REF!</definedName>
    <definedName name="kolom4070">#REF!</definedName>
    <definedName name="kolom4075" localSheetId="1">#REF!</definedName>
    <definedName name="kolom4075">#REF!</definedName>
    <definedName name="kolom4080" localSheetId="1">#REF!</definedName>
    <definedName name="kolom4080">#REF!</definedName>
    <definedName name="kolom4545" localSheetId="1">#REF!</definedName>
    <definedName name="kolom4545">#REF!</definedName>
    <definedName name="kolom4550" localSheetId="1">#REF!</definedName>
    <definedName name="kolom4550">#REF!</definedName>
    <definedName name="kolom4555" localSheetId="1">#REF!</definedName>
    <definedName name="kolom4555">#REF!</definedName>
    <definedName name="kolom4560" localSheetId="1">#REF!</definedName>
    <definedName name="kolom4560">#REF!</definedName>
    <definedName name="kolom4570" localSheetId="1">#REF!</definedName>
    <definedName name="kolom4570">#REF!</definedName>
    <definedName name="kolom4575" localSheetId="1">#REF!</definedName>
    <definedName name="kolom4575">#REF!</definedName>
    <definedName name="kolom4580" localSheetId="1">#REF!</definedName>
    <definedName name="kolom4580">#REF!</definedName>
    <definedName name="kolom4590" localSheetId="1">#REF!</definedName>
    <definedName name="kolom4590">#REF!</definedName>
    <definedName name="kolom5055" localSheetId="1">#REF!</definedName>
    <definedName name="kolom5055">#REF!</definedName>
    <definedName name="kolom5060" localSheetId="1">#REF!</definedName>
    <definedName name="kolom5060">#REF!</definedName>
    <definedName name="kolom5070" localSheetId="1">#REF!</definedName>
    <definedName name="kolom5070">#REF!</definedName>
    <definedName name="kolom5075" localSheetId="1">#REF!</definedName>
    <definedName name="kolom5075">#REF!</definedName>
    <definedName name="kolom5080" localSheetId="1">#REF!</definedName>
    <definedName name="kolom5080">#REF!</definedName>
    <definedName name="kolom5090" localSheetId="1">#REF!</definedName>
    <definedName name="kolom5090">#REF!</definedName>
    <definedName name="kolombetonpracetak" localSheetId="1">#REF!</definedName>
    <definedName name="kolombetonpracetak">#REF!</definedName>
    <definedName name="kolomdia15" localSheetId="1">#REF!</definedName>
    <definedName name="kolomdia15">#REF!</definedName>
    <definedName name="kolomdia20" localSheetId="1">#REF!</definedName>
    <definedName name="kolomdia20">#REF!</definedName>
    <definedName name="kolomdia25" localSheetId="1">#REF!</definedName>
    <definedName name="kolomdia25">#REF!</definedName>
    <definedName name="kolomdia30" localSheetId="1">#REF!</definedName>
    <definedName name="kolomdia30">#REF!</definedName>
    <definedName name="kolomdia35" localSheetId="1">#REF!</definedName>
    <definedName name="kolomdia35">#REF!</definedName>
    <definedName name="kolomdia40" localSheetId="1">#REF!</definedName>
    <definedName name="kolomdia40">#REF!</definedName>
    <definedName name="kolomdia45" localSheetId="1">#REF!</definedName>
    <definedName name="kolomdia45">#REF!</definedName>
    <definedName name="kolomdia50" localSheetId="1">#REF!</definedName>
    <definedName name="kolomdia50">#REF!</definedName>
    <definedName name="kolomdia55" localSheetId="1">#REF!</definedName>
    <definedName name="kolomdia55">#REF!</definedName>
    <definedName name="kolomdia60" localSheetId="1">#REF!</definedName>
    <definedName name="kolomdia60">#REF!</definedName>
    <definedName name="kolomdia65" localSheetId="1">#REF!</definedName>
    <definedName name="kolomdia65">#REF!</definedName>
    <definedName name="kolomdia70" localSheetId="1">#REF!</definedName>
    <definedName name="kolomdia70">#REF!</definedName>
    <definedName name="kolomdia75" localSheetId="1">#REF!</definedName>
    <definedName name="kolomdia75">#REF!</definedName>
    <definedName name="kompresor" localSheetId="1">#REF!</definedName>
    <definedName name="kompresor">#REF!</definedName>
    <definedName name="Kontraktor" localSheetId="1">#REF!</definedName>
    <definedName name="Kontraktor">#REF!</definedName>
    <definedName name="koralbeton" localSheetId="1">#REF!</definedName>
    <definedName name="koralbeton">#REF!</definedName>
    <definedName name="KOT">'[10]Sat~Bahu'!$G$11</definedName>
    <definedName name="kpav">'[10]Sat~Bahu'!$F$82</definedName>
    <definedName name="KPAYUNG">[5]ANALISA!#REF!</definedName>
    <definedName name="kpb">'[10]Sat~Bahu'!$C$58</definedName>
    <definedName name="kpb.125">'[10]Sat~Bahu'!$G$109</definedName>
    <definedName name="kpb.200HP">'[10]Sat~Bahu'!$G$93</definedName>
    <definedName name="kpb.500">'[10]Sat~Bahu'!$G$110</definedName>
    <definedName name="kpbs">[5]BAHAN!$G$72</definedName>
    <definedName name="kpc">'[10]Sat~Bahu'!$F$55</definedName>
    <definedName name="kpj">'[10]Sat~Bahu'!$F$66</definedName>
    <definedName name="kpkb">[5]BAHAN!$G$70</definedName>
    <definedName name="kpks">[5]BAHAN!$G$68</definedName>
    <definedName name="KPO">'[10]Sat~Bahu'!$G$13</definedName>
    <definedName name="kpsaub">'[10]Sat~Bahu'!$F$46</definedName>
    <definedName name="kpsp">'[10]Sat~Bahu'!$F$47</definedName>
    <definedName name="kpsu">'[10]Sat~Bahu'!$F$45</definedName>
    <definedName name="kptdll">'[10]Sat~Bahu'!$G$114</definedName>
    <definedName name="kQ">'[10]Sat~Bahu'!$F$28</definedName>
    <definedName name="kran.bbk">#REF!</definedName>
    <definedName name="kran.ddg">#REF!</definedName>
    <definedName name="kranair" localSheetId="1">#REF!</definedName>
    <definedName name="kranair">#REF!</definedName>
    <definedName name="KRB">[5]ANALISA!#REF!</definedName>
    <definedName name="kris" localSheetId="1">#REF!</definedName>
    <definedName name="kris">#REF!</definedName>
    <definedName name="krm">#REF!</definedName>
    <definedName name="krmk10">[5]BAHAN!#REF!</definedName>
    <definedName name="krmk10wr">[5]BAHAN!#REF!</definedName>
    <definedName name="krmk20">[5]BAHAN!$G$107</definedName>
    <definedName name="krmk20wr">[5]BAHAN!$G$108</definedName>
    <definedName name="krmk30">[5]BAHAN!$G$109</definedName>
    <definedName name="krmk30wr">[5]BAHAN!$G$110</definedName>
    <definedName name="krmk40">[5]BAHAN!$G$111</definedName>
    <definedName name="krmk40wr">[5]BAHAN!$G$112</definedName>
    <definedName name="krnkn">[5]BAHAN!$G$213</definedName>
    <definedName name="ks">'[10]Sat~Bahu'!$C$30</definedName>
    <definedName name="ks.1000">'[10]Sat~Bahu'!$G$102</definedName>
    <definedName name="ks57kbj">[5]BAHAN!#REF!</definedName>
    <definedName name="ks57km">[5]BAHAN!#REF!</definedName>
    <definedName name="ks57ras">[5]BAHAN!$G$80</definedName>
    <definedName name="KST">'[10]Sat~Bahu'!$G$14</definedName>
    <definedName name="kstam">'[10]Sat~Bahu'!$G$100</definedName>
    <definedName name="kstpb">'[10]Sat~Bahu'!$F$31</definedName>
    <definedName name="kt">'[10]Sat~Bahu'!$C$9</definedName>
    <definedName name="ktanki">'[10]Sat~Bahu'!$G$105</definedName>
    <definedName name="KTB" localSheetId="4">[5]ANALISA!#REF!</definedName>
    <definedName name="KTB">'[17]Harsat Upah'!$E$9</definedName>
    <definedName name="KTBB">'[17]Harsat Upah'!$E$15</definedName>
    <definedName name="KTBP">'[17]Harsat Upah'!$E$17</definedName>
    <definedName name="KTC">'[17]Harsat Upah'!$E$13</definedName>
    <definedName name="ktk" localSheetId="4">[5]UPAH!$G$11</definedName>
    <definedName name="KTK">'[17]Harsat Upah'!$E$11</definedName>
    <definedName name="ktnh">'[10]Sat~Bahu'!$F$88</definedName>
    <definedName name="ktrailer">'[10]Sat~Bahu'!$G$106</definedName>
    <definedName name="KUANTITAS" localSheetId="1">#REF!</definedName>
    <definedName name="KUANTITAS">#REF!</definedName>
    <definedName name="kuas" localSheetId="1">#REF!</definedName>
    <definedName name="kuas">#REF!</definedName>
    <definedName name="kudakamper">[5]ANALISA!#REF!</definedName>
    <definedName name="kudakayu">#REF!</definedName>
    <definedName name="kudakls2">#REF!</definedName>
    <definedName name="kudakru">#REF!</definedName>
    <definedName name="kudakuda10" localSheetId="1">#REF!</definedName>
    <definedName name="kudakuda10">#REF!</definedName>
    <definedName name="kudakuda10.0" localSheetId="1">#REF!</definedName>
    <definedName name="kudakuda10.0">#REF!</definedName>
    <definedName name="kudakuda10.5" localSheetId="1">#REF!</definedName>
    <definedName name="kudakuda10.5">#REF!</definedName>
    <definedName name="kudakuda100" localSheetId="1">#REF!</definedName>
    <definedName name="kudakuda100">#REF!</definedName>
    <definedName name="kudakuda105" localSheetId="1">#REF!</definedName>
    <definedName name="kudakuda105">#REF!</definedName>
    <definedName name="kudakuda11" localSheetId="1">#REF!</definedName>
    <definedName name="kudakuda11">#REF!</definedName>
    <definedName name="kudakuda11.0" localSheetId="1">#REF!</definedName>
    <definedName name="kudakuda11.0">#REF!</definedName>
    <definedName name="kudakuda11.5" localSheetId="1">#REF!</definedName>
    <definedName name="kudakuda11.5">#REF!</definedName>
    <definedName name="kudakuda12" localSheetId="1">#REF!</definedName>
    <definedName name="kudakuda12">#REF!</definedName>
    <definedName name="kudakuda12.0" localSheetId="1">#REF!</definedName>
    <definedName name="kudakuda12.0">#REF!</definedName>
    <definedName name="kudakuda2.5" localSheetId="1">#REF!</definedName>
    <definedName name="kudakuda2.5">#REF!</definedName>
    <definedName name="kudakuda25" localSheetId="1">#REF!</definedName>
    <definedName name="kudakuda25">#REF!</definedName>
    <definedName name="kudakuda3.0" localSheetId="1">#REF!</definedName>
    <definedName name="kudakuda3.0">#REF!</definedName>
    <definedName name="kudakuda3.5" localSheetId="1">#REF!</definedName>
    <definedName name="kudakuda3.5">#REF!</definedName>
    <definedName name="kudakuda30" localSheetId="1">#REF!</definedName>
    <definedName name="kudakuda30">#REF!</definedName>
    <definedName name="kudakuda35" localSheetId="1">#REF!</definedName>
    <definedName name="kudakuda35">#REF!</definedName>
    <definedName name="kudakuda4.0" localSheetId="1">#REF!</definedName>
    <definedName name="kudakuda4.0">#REF!</definedName>
    <definedName name="kudakuda4.5" localSheetId="1">#REF!</definedName>
    <definedName name="kudakuda4.5">#REF!</definedName>
    <definedName name="kudakuda40" localSheetId="1">#REF!</definedName>
    <definedName name="kudakuda40">#REF!</definedName>
    <definedName name="kudakuda45" localSheetId="1">#REF!</definedName>
    <definedName name="kudakuda45">#REF!</definedName>
    <definedName name="kudakuda5.0" localSheetId="1">#REF!</definedName>
    <definedName name="kudakuda5.0">#REF!</definedName>
    <definedName name="kudakuda5.5" localSheetId="1">#REF!</definedName>
    <definedName name="kudakuda5.5">#REF!</definedName>
    <definedName name="kudakuda50" localSheetId="1">#REF!</definedName>
    <definedName name="kudakuda50">#REF!</definedName>
    <definedName name="kudakuda55" localSheetId="1">#REF!</definedName>
    <definedName name="kudakuda55">#REF!</definedName>
    <definedName name="kudakuda6.0" localSheetId="1">#REF!</definedName>
    <definedName name="kudakuda6.0">#REF!</definedName>
    <definedName name="kudakuda6.5" localSheetId="1">#REF!</definedName>
    <definedName name="kudakuda6.5">#REF!</definedName>
    <definedName name="kudakuda60" localSheetId="1">#REF!</definedName>
    <definedName name="kudakuda60">#REF!</definedName>
    <definedName name="kudakuda65" localSheetId="1">#REF!</definedName>
    <definedName name="kudakuda65">#REF!</definedName>
    <definedName name="kudakuda7.0" localSheetId="1">#REF!</definedName>
    <definedName name="kudakuda7.0">#REF!</definedName>
    <definedName name="kudakuda7.5" localSheetId="1">#REF!</definedName>
    <definedName name="kudakuda7.5">#REF!</definedName>
    <definedName name="kudakuda70" localSheetId="1">#REF!</definedName>
    <definedName name="kudakuda70">#REF!</definedName>
    <definedName name="kudakuda75" localSheetId="1">#REF!</definedName>
    <definedName name="kudakuda75">#REF!</definedName>
    <definedName name="kudakuda8.0" localSheetId="1">#REF!</definedName>
    <definedName name="kudakuda8.0">#REF!</definedName>
    <definedName name="kudakuda8.5" localSheetId="1">#REF!</definedName>
    <definedName name="kudakuda8.5">#REF!</definedName>
    <definedName name="kudakuda80" localSheetId="1">#REF!</definedName>
    <definedName name="kudakuda80">#REF!</definedName>
    <definedName name="kudakuda85" localSheetId="1">#REF!</definedName>
    <definedName name="kudakuda85">#REF!</definedName>
    <definedName name="kudakuda9.5" localSheetId="1">#REF!</definedName>
    <definedName name="kudakuda9.5">#REF!</definedName>
    <definedName name="kudakuda90" localSheetId="1">#REF!</definedName>
    <definedName name="kudakuda90">#REF!</definedName>
    <definedName name="kudakuda95" localSheetId="1">#REF!</definedName>
    <definedName name="kudakuda95">#REF!</definedName>
    <definedName name="kudamedan">#REF!</definedName>
    <definedName name="kuk">[13]BAHAN!$G$179</definedName>
    <definedName name="Kunci_2_Slaag_Ancor_Asli">[12]BAHAN!$D$586</definedName>
    <definedName name="Kunci_KM_Bulat_Kualitas_Biasa">[12]BAHAN!$D$588</definedName>
    <definedName name="kunci1">[5]BAHAN!#REF!</definedName>
    <definedName name="kunci1slag" localSheetId="1">#REF!</definedName>
    <definedName name="kunci1slag">#REF!</definedName>
    <definedName name="kunci2">[5]BAHAN!$G$260</definedName>
    <definedName name="kunci2slag" localSheetId="1">#REF!</definedName>
    <definedName name="kunci2slag">#REF!</definedName>
    <definedName name="kuncialfa" localSheetId="1">#REF!</definedName>
    <definedName name="kuncialfa">#REF!</definedName>
    <definedName name="kuncilemari" localSheetId="1">#REF!</definedName>
    <definedName name="kuncilemari">#REF!</definedName>
    <definedName name="kunciselot" localSheetId="1">#REF!</definedName>
    <definedName name="kunciselot">#REF!</definedName>
    <definedName name="kuncisilinder" localSheetId="1">#REF!</definedName>
    <definedName name="kuncisilinder">#REF!</definedName>
    <definedName name="kuncitanam" localSheetId="1">#REF!</definedName>
    <definedName name="kuncitanam">#REF!</definedName>
    <definedName name="kuncitanamantik" localSheetId="1">#REF!</definedName>
    <definedName name="kuncitanamantik">#REF!</definedName>
    <definedName name="kuncitanambiasa" localSheetId="1">#REF!</definedName>
    <definedName name="kuncitanambiasa">#REF!</definedName>
    <definedName name="kuncitanamkamarmandi" localSheetId="1">#REF!</definedName>
    <definedName name="kuncitanamkamarmandi">#REF!</definedName>
    <definedName name="kunciwc">[5]BAHAN!$G$261</definedName>
    <definedName name="kup">'[10]Sat~Bahu'!$C$77</definedName>
    <definedName name="kusen">#REF!</definedName>
    <definedName name="kusen.alum">#REF!</definedName>
    <definedName name="Kusen_Alumunium_Warna_1.3_mm_t_1_3_mm___4">[12]BAHAN!$D$286</definedName>
    <definedName name="kusen613" localSheetId="1">#REF!</definedName>
    <definedName name="kusen613">#REF!</definedName>
    <definedName name="kusenal">#REF!</definedName>
    <definedName name="kusenkamper">[5]ANALISA!#REF!</definedName>
    <definedName name="kusenkayu">#REF!</definedName>
    <definedName name="kusenkls2">#REF!</definedName>
    <definedName name="kusensamar">#REF!</definedName>
    <definedName name="kutamanis">#REF!</definedName>
    <definedName name="kwas">[5]BAHAN!$G$38</definedName>
    <definedName name="Kwas_3">[12]BAHAN!$D$78</definedName>
    <definedName name="kwas3">#N/A</definedName>
    <definedName name="kwbtn">[5]BAHAN!$G$159</definedName>
    <definedName name="kwl.80hp">'[10]Sat~Bahu'!$G$94</definedName>
    <definedName name="kwp.5">'[10]Sat~Bahu'!$G$112</definedName>
    <definedName name="kwt.60hp">'[10]Sat~Bahu'!$G$95</definedName>
    <definedName name="kwtlas">[5]BAHAN!$G$163</definedName>
    <definedName name="KYB">[5]ANALISA!#REF!</definedName>
    <definedName name="KYK">[5]ANALISA!#REF!</definedName>
    <definedName name="l.061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9">#REF!</definedName>
    <definedName name="l.101">#REF!</definedName>
    <definedName name="l.103">#REF!</definedName>
    <definedName name="l.106">#REF!</definedName>
    <definedName name="L.11." localSheetId="1">#REF!</definedName>
    <definedName name="L.11.">#REF!</definedName>
    <definedName name="L.12." localSheetId="1">#REF!</definedName>
    <definedName name="L.12.">#REF!</definedName>
    <definedName name="L.12.a" localSheetId="1">#REF!</definedName>
    <definedName name="L.12.a">#REF!</definedName>
    <definedName name="L.4." localSheetId="1">#REF!</definedName>
    <definedName name="L.4.">#REF!</definedName>
    <definedName name="L.5" localSheetId="1">#REF!</definedName>
    <definedName name="L.5">#REF!</definedName>
    <definedName name="L.5." localSheetId="1">#REF!</definedName>
    <definedName name="L.5.">#REF!</definedName>
    <definedName name="L.6." localSheetId="1">#REF!</definedName>
    <definedName name="L.6.">#REF!</definedName>
    <definedName name="L.7." localSheetId="1">#REF!</definedName>
    <definedName name="L.7.">#REF!</definedName>
    <definedName name="L.8." localSheetId="1">#REF!</definedName>
    <definedName name="L.8.">#REF!</definedName>
    <definedName name="L.9." localSheetId="1">#REF!</definedName>
    <definedName name="L.9.">#REF!</definedName>
    <definedName name="L.SARI">[5]ANALISA!#REF!</definedName>
    <definedName name="LAINLAIN" localSheetId="1">#REF!</definedName>
    <definedName name="LAINLAIN">#REF!</definedName>
    <definedName name="langitbaru">[5]ANALISA!#REF!</definedName>
    <definedName name="langitulang">#REF!</definedName>
    <definedName name="Lantai_kerja">[12]DATA1!$I$40</definedName>
    <definedName name="lantai20">#REF!</definedName>
    <definedName name="lantai30">#REF!</definedName>
    <definedName name="lantaibeton225">[5]ANALISA!#REF!</definedName>
    <definedName name="lantaibtn225">#REF!</definedName>
    <definedName name="lantaipapan">#REF!</definedName>
    <definedName name="lem" localSheetId="1">#REF!</definedName>
    <definedName name="lem">#REF!</definedName>
    <definedName name="Lem_Kuning" localSheetId="1">[12]BAHAN!#REF!</definedName>
    <definedName name="Lem_Kuning">[12]BAHAN!#REF!</definedName>
    <definedName name="Lem_Kuning__aibond">[12]BAHAN!$D$305</definedName>
    <definedName name="Lem_Putih" localSheetId="1">[12]BAHAN!#REF!</definedName>
    <definedName name="Lem_Putih">[12]BAHAN!#REF!</definedName>
    <definedName name="Lem_putih__FOX">[12]DATA1!$I$39</definedName>
    <definedName name="lemkayu" localSheetId="1">#REF!</definedName>
    <definedName name="lemkayu">#REF!</definedName>
    <definedName name="Lempengan_rumput_biasa__teki">[12]DATA1!$I$20</definedName>
    <definedName name="lemvinyl" localSheetId="1">#REF!</definedName>
    <definedName name="lemvinyl">#REF!</definedName>
    <definedName name="Levelling_Lantai">[12]BAHAN!$D$205</definedName>
    <definedName name="lgs">[5]ANALISA!#REF!</definedName>
    <definedName name="limbangan">#REF!</definedName>
    <definedName name="lis" localSheetId="1">#REF!</definedName>
    <definedName name="lis">#REF!</definedName>
    <definedName name="lisgyp">[5]BAHAN!$G$101</definedName>
    <definedName name="lisplafond" localSheetId="1">#REF!</definedName>
    <definedName name="lisplafond">#REF!</definedName>
    <definedName name="lisplang">#REF!</definedName>
    <definedName name="lisplanggrc" localSheetId="1">#REF!</definedName>
    <definedName name="lisplanggrc">#REF!</definedName>
    <definedName name="lisplank">[5]ANALISA!#REF!</definedName>
    <definedName name="list" localSheetId="1">#REF!</definedName>
    <definedName name="list">#REF!</definedName>
    <definedName name="List_Profil">[12]DATA!$G$51</definedName>
    <definedName name="List_profil_kamper_2_cm">[12]BAHAN!$D$133</definedName>
    <definedName name="List_Profil_kamper_4_cm">[12]BAHAN!$D$134</definedName>
    <definedName name="listplafondkayu" localSheetId="1">#REF!</definedName>
    <definedName name="listplafondkayu">#REF!</definedName>
    <definedName name="listplafongypsum" localSheetId="1">#REF!</definedName>
    <definedName name="listplafongypsum">#REF!</definedName>
    <definedName name="LOKASI" localSheetId="1">[36]analisa!#REF!</definedName>
    <definedName name="LOKASI">[36]analisa!#REF!</definedName>
    <definedName name="LOS">[5]SATUAN!#REF!</definedName>
    <definedName name="Los_B" localSheetId="1">#REF!</definedName>
    <definedName name="Los_B">#REF!</definedName>
    <definedName name="ltkerja">#REF!</definedName>
    <definedName name="Lts">#REF!</definedName>
    <definedName name="Luas" localSheetId="1">#REF!</definedName>
    <definedName name="Luas">#REF!</definedName>
    <definedName name="m" localSheetId="4">#N/A</definedName>
    <definedName name="M">'[17]Harsat Upah'!$E$18</definedName>
    <definedName name="m.012">#REF!</definedName>
    <definedName name="m.012a">#REF!</definedName>
    <definedName name="m.012b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5">#REF!</definedName>
    <definedName name="M.080">#REF!</definedName>
    <definedName name="M.162">#REF!</definedName>
    <definedName name="M.166">#REF!</definedName>
    <definedName name="M.167">#REF!</definedName>
    <definedName name="M.170">#REF!</definedName>
    <definedName name="M.180">#REF!</definedName>
    <definedName name="M.181">#REF!</definedName>
    <definedName name="m.cat">#REF!</definedName>
    <definedName name="m.wf">#REF!</definedName>
    <definedName name="m_10">[31]Sheet1!$G$2752</definedName>
    <definedName name="m_11">[31]Sheet1!$G$2759</definedName>
    <definedName name="m_8">[31]Sheet1!$G$2738</definedName>
    <definedName name="m_9">[31]Sheet1!$G$2745</definedName>
    <definedName name="M_A_N_D_O_R">#REF!</definedName>
    <definedName name="man">[5]UPAH!$G$10</definedName>
    <definedName name="mandor" localSheetId="4">#REF!</definedName>
    <definedName name="Mandor">[34]Upah!$C$25</definedName>
    <definedName name="MARGA2">[5]ANALISA!#REF!</definedName>
    <definedName name="margaluyu">#REF!</definedName>
    <definedName name="marmer" localSheetId="1">#REF!</definedName>
    <definedName name="marmer">#REF!</definedName>
    <definedName name="Marmer_Alam__Lampung_Ukuran_Besar">[12]BAHAN!$D$219</definedName>
    <definedName name="Marmer_Alam__Lampung_Ukuran_Kecil">[12]BAHAN!$D$220</definedName>
    <definedName name="Marmer_Alam_Citatah_Ukuran_Besar">[12]BAHAN!$D$221</definedName>
    <definedName name="Marmer_Alam_Citatah_Ukuran_Kecil">[12]BAHAN!$D$222</definedName>
    <definedName name="MAS">[5]ANALISA!#REF!</definedName>
    <definedName name="material" localSheetId="1">#REF!</definedName>
    <definedName name="material">#REF!</definedName>
    <definedName name="matlaut">#REF!</definedName>
    <definedName name="MAX">#REF!</definedName>
    <definedName name="MB">[5]ANALISA!#REF!</definedName>
    <definedName name="MB01A">#REF!</definedName>
    <definedName name="MCT">[5]ANALISA!#REF!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KANIKAL" localSheetId="1">#REF!</definedName>
    <definedName name="MEKANIKAL">#REF!</definedName>
    <definedName name="melamik" localSheetId="4">#REF!</definedName>
    <definedName name="Melamik">[12]BAHAN!$D$92</definedName>
    <definedName name="MEMEK" localSheetId="1">#REF!</definedName>
    <definedName name="MEMEK">#REF!</definedName>
    <definedName name="meni">[5]BAHAN!$G$34</definedName>
    <definedName name="meni.kayu">#REF!</definedName>
    <definedName name="Meni_besi">[12]BAHAN!$D$97</definedName>
    <definedName name="meni_kayu">[12]DATA1!$I$10</definedName>
    <definedName name="menibesi" localSheetId="1">#REF!</definedName>
    <definedName name="menibesi">#REF!</definedName>
    <definedName name="Mesin_las">[12]DATA1!$I$25</definedName>
    <definedName name="Mesin_snay">[12]DATA1!$I$33</definedName>
    <definedName name="mg.3r">'[10]Sat~Bahu'!$C$96</definedName>
    <definedName name="mgb">'[10]Sat~Bahu'!$C$98</definedName>
    <definedName name="mgrk">'[10]Sat~Bahu'!$C$99</definedName>
    <definedName name="mgt">'[10]Sat~Bahu'!$C$97</definedName>
    <definedName name="MINOR" localSheetId="1">#REF!</definedName>
    <definedName name="MINOR">#REF!</definedName>
    <definedName name="Minyak_Tanah">[12]BAHAN!$D$728</definedName>
    <definedName name="minyakbekisting" localSheetId="1">#REF!</definedName>
    <definedName name="minyakbekisting">#REF!</definedName>
    <definedName name="minyakcat" localSheetId="1">#REF!</definedName>
    <definedName name="minyakcat">#REF!</definedName>
    <definedName name="MINYAKPELUMAS">#REF!</definedName>
    <definedName name="minyaksolar" localSheetId="1">#REF!</definedName>
    <definedName name="minyaksolar">#REF!</definedName>
    <definedName name="mirxa" localSheetId="1">#REF!</definedName>
    <definedName name="mirxa">#REF!</definedName>
    <definedName name="MK">[5]ANALISA!#REF!</definedName>
    <definedName name="ML">'[10]Sat~Bahu'!$C$6</definedName>
    <definedName name="mlex.w">#REF!</definedName>
    <definedName name="MM_01">'[21]HRG BHN'!#REF!</definedName>
    <definedName name="MM_02">'[21]HRG BHN'!#REF!</definedName>
    <definedName name="MM01A">#REF!</definedName>
    <definedName name="MM03A">#REF!</definedName>
    <definedName name="MOBILISASI" localSheetId="1">#REF!</definedName>
    <definedName name="MOBILISASI">#REF!</definedName>
    <definedName name="mor">[5]BAHAN!$G$238</definedName>
    <definedName name="morandowarna">[5]ANALISA!#REF!</definedName>
    <definedName name="morg">[5]BAHAN!$G$239</definedName>
    <definedName name="morgls">[5]BAHAN!#REF!</definedName>
    <definedName name="morw">[5]BAHAN!$G$240</definedName>
    <definedName name="mowi.w.shield">#REF!</definedName>
    <definedName name="mowi.ws">#REF!</definedName>
    <definedName name="mp.182">'[10]Sat~Bahu'!$C$104</definedName>
    <definedName name="mrtl">[5]ANALISA!#REF!</definedName>
    <definedName name="mt">'[10]Sat~Bahu'!$C$53</definedName>
    <definedName name="multi.18">#REF!</definedName>
    <definedName name="multi.4">#REF!</definedName>
    <definedName name="multi.6">#REF!</definedName>
    <definedName name="multi.9">#REF!</definedName>
    <definedName name="Multiplek_12_mm__2_x_pakai__75">[12]DATA1!$I$18</definedName>
    <definedName name="Multiplek_12_mm_120_x_241" localSheetId="1">[12]BAHAN!#REF!</definedName>
    <definedName name="Multiplek_12_mm_120_x_241">[12]BAHAN!#REF!</definedName>
    <definedName name="Multiplek_9_mm__2_x_pakai__75">[12]DATA1!$I$17</definedName>
    <definedName name="MUSLIMIN">#REF!</definedName>
    <definedName name="N" localSheetId="1">#REF!</definedName>
    <definedName name="N">#REF!</definedName>
    <definedName name="nako">[5]BAHAN!#REF!</definedName>
    <definedName name="name" localSheetId="1">#REF!</definedName>
    <definedName name="name">#REF!</definedName>
    <definedName name="neglasari">#REF!</definedName>
    <definedName name="ngsel4" localSheetId="1">#REF!</definedName>
    <definedName name="ngsel4">#REF!</definedName>
    <definedName name="nkgtm">[5]BAHAN!$G$255</definedName>
    <definedName name="No_paket" localSheetId="1">#REF!</definedName>
    <definedName name="No_paket">#REF!</definedName>
    <definedName name="Nok">#REF!</definedName>
    <definedName name="nokgentengaspal" localSheetId="1">#REF!</definedName>
    <definedName name="nokgentengaspal">#REF!</definedName>
    <definedName name="nokk">[5]BAHAN!#REF!</definedName>
    <definedName name="noknat">[5]BAHAN!#REF!</definedName>
    <definedName name="nokpaten092" localSheetId="1">#REF!</definedName>
    <definedName name="nokpaten092">#REF!</definedName>
    <definedName name="nokpaten105" localSheetId="1">#REF!</definedName>
    <definedName name="nokpaten105">#REF!</definedName>
    <definedName name="nokpaten108" localSheetId="1">#REF!</definedName>
    <definedName name="nokpaten108">#REF!</definedName>
    <definedName name="nokstandar" localSheetId="1">#REF!</definedName>
    <definedName name="nokstandar">#REF!</definedName>
    <definedName name="nokstelrata092" localSheetId="1">#REF!</definedName>
    <definedName name="nokstelrata092">#REF!</definedName>
    <definedName name="nokstelrata105" localSheetId="1">#REF!</definedName>
    <definedName name="nokstelrata105">#REF!</definedName>
    <definedName name="nokwr">[5]BAHAN!#REF!</definedName>
    <definedName name="nurulfalah">#REF!</definedName>
    <definedName name="nurulhuda">#REF!</definedName>
    <definedName name="O">'[17]Harsat Upah'!$E$19</definedName>
    <definedName name="oe" localSheetId="1">#REF!</definedName>
    <definedName name="oe">#REF!</definedName>
    <definedName name="OE.1" localSheetId="1">#REF!</definedName>
    <definedName name="OE.1">#REF!</definedName>
    <definedName name="ohp" localSheetId="1">#REF!</definedName>
    <definedName name="ohp">#REF!</definedName>
    <definedName name="ok" localSheetId="1">[12]BAHAN!#REF!</definedName>
    <definedName name="ok" localSheetId="4">#REF!</definedName>
    <definedName name="ok">[12]BAHAN!#REF!</definedName>
    <definedName name="Oker">[12]BAHAN!$D$79</definedName>
    <definedName name="Oker_Putih">[12]BAHAN!$D$80</definedName>
    <definedName name="OKT">'[10]Sat~Bahu'!$C$12</definedName>
    <definedName name="Ongkos_Pasang_Papan_Nama">[12]DATA1!$I$4</definedName>
    <definedName name="Onkos_Pasang_gudang">[12]DATA!$G$15</definedName>
    <definedName name="OO_02">'[9]HRG BHN'!$G$546</definedName>
    <definedName name="op">[1]UPAH!$E$21</definedName>
    <definedName name="Operator" localSheetId="1">#REF!</definedName>
    <definedName name="Operator">#REF!</definedName>
    <definedName name="OPERATOR_ALAT_BESAR">#REF!</definedName>
    <definedName name="OT">'[10]Sat~Bahu'!$C$11</definedName>
    <definedName name="p" localSheetId="4">#N/A</definedName>
    <definedName name="P">'[17]Harsat Upah'!$E$7</definedName>
    <definedName name="p.bI">#REF!</definedName>
    <definedName name="p.kmp.smrd.3.20">#REF!</definedName>
    <definedName name="p.triplek">#REF!</definedName>
    <definedName name="P_E_K_E_R_J_A">#REF!</definedName>
    <definedName name="pa">#REF!</definedName>
    <definedName name="pagar2m" localSheetId="1">#REF!</definedName>
    <definedName name="pagar2m">#REF!</definedName>
    <definedName name="PAGARDEPAN" localSheetId="1">#REF!</definedName>
    <definedName name="PAGARDEPAN">#REF!</definedName>
    <definedName name="PAGARSAMPING" localSheetId="1">#REF!</definedName>
    <definedName name="PAGARSAMPING">#REF!</definedName>
    <definedName name="pagarseng2m" localSheetId="1">#REF!</definedName>
    <definedName name="pagarseng2m">#REF!</definedName>
    <definedName name="paku">#N/A</definedName>
    <definedName name="Paku_1_cm_s_d_3_cm">[12]BAHAN!$D$326</definedName>
    <definedName name="Paku_4_cm_s_d_7_cm">[12]BAHAN!$D$327</definedName>
    <definedName name="Paku_5___7">[12]BAHAN!$D$328</definedName>
    <definedName name="PAKU_5__7">[12]BAHAN!$D$328</definedName>
    <definedName name="Paku_8___12">[12]BAHAN!$D$329</definedName>
    <definedName name="Paku_sekrup_asbes" localSheetId="1">[12]BAHAN!#REF!</definedName>
    <definedName name="Paku_sekrup_asbes">[12]BAHAN!#REF!</definedName>
    <definedName name="Paku_Triplek">[12]BAHAN!$D$334</definedName>
    <definedName name="paku5.7.10">#REF!</definedName>
    <definedName name="pakubiasa" localSheetId="1">#REF!</definedName>
    <definedName name="pakubiasa">#REF!</definedName>
    <definedName name="pakubulian" localSheetId="1">#REF!</definedName>
    <definedName name="pakubulian">#REF!</definedName>
    <definedName name="pakugalvanis" localSheetId="1">#REF!</definedName>
    <definedName name="pakugalvanis">#REF!</definedName>
    <definedName name="pakugentengmetal" localSheetId="1">#REF!</definedName>
    <definedName name="pakugentengmetal">#REF!</definedName>
    <definedName name="pakugypsum" localSheetId="1">#REF!</definedName>
    <definedName name="pakugypsum">#REF!</definedName>
    <definedName name="pakuhak15cm" localSheetId="1">#REF!</definedName>
    <definedName name="pakuhak15cm">#REF!</definedName>
    <definedName name="pakuhalus" localSheetId="1">#REF!</definedName>
    <definedName name="pakuhalus">#REF!</definedName>
    <definedName name="pakupancing" localSheetId="1">#REF!</definedName>
    <definedName name="pakupancing">#REF!</definedName>
    <definedName name="pakuseng" localSheetId="1">#REF!</definedName>
    <definedName name="pakuseng">#REF!</definedName>
    <definedName name="pakusirap" localSheetId="1">#REF!</definedName>
    <definedName name="pakusirap">#REF!</definedName>
    <definedName name="pakuskrup" localSheetId="1">#REF!</definedName>
    <definedName name="pakuskrup">#REF!</definedName>
    <definedName name="pakusumbat" localSheetId="1">#REF!</definedName>
    <definedName name="pakusumbat">#REF!</definedName>
    <definedName name="pan" localSheetId="1">#REF!</definedName>
    <definedName name="pan">#REF!</definedName>
    <definedName name="panelbetonpracetak" localSheetId="1">#REF!</definedName>
    <definedName name="panelbetonpracetak">#REF!</definedName>
    <definedName name="papan.m.3.20">#REF!</definedName>
    <definedName name="Papan_terentang__2_x_pakai__75">[12]DATA1!$I$16</definedName>
    <definedName name="papanbekisting" localSheetId="1">#REF!</definedName>
    <definedName name="papanbekisting">#REF!</definedName>
    <definedName name="Papanbouplank" localSheetId="1">#REF!</definedName>
    <definedName name="Papanbouplank">#REF!</definedName>
    <definedName name="papanbulian" localSheetId="1">#REF!</definedName>
    <definedName name="papanbulian">#REF!</definedName>
    <definedName name="papanjelutung" localSheetId="1">#REF!</definedName>
    <definedName name="papanjelutung">#REF!</definedName>
    <definedName name="parkay">#REF!</definedName>
    <definedName name="parquetjati" localSheetId="1">#REF!</definedName>
    <definedName name="parquetjati">#REF!</definedName>
    <definedName name="PASANG_ENGSEL_JENDELA" localSheetId="1">#REF!</definedName>
    <definedName name="PASANG_ENGSEL_JENDELA">#REF!</definedName>
    <definedName name="Pasang_Lantai_Vinyl_Type_M_Floor">[12]BAHAN!$D$204</definedName>
    <definedName name="pasanganbatamerah1_2" localSheetId="1">#REF!</definedName>
    <definedName name="pasanganbatamerah1_2">#REF!</definedName>
    <definedName name="pasangdinding">'Pasangan Dinding'!$C$3:$I$516</definedName>
    <definedName name="pasir" localSheetId="1">#REF!</definedName>
    <definedName name="pasir">#REF!</definedName>
    <definedName name="Pasir_Beton">[12]BAHAN!$D$16</definedName>
    <definedName name="Pasir_Pasang">[12]BAHAN!$D$14</definedName>
    <definedName name="Pasir_Pasang_Kali">[12]BAHAN!$D$13</definedName>
    <definedName name="pasir_urug">[12]BAHAN!$D$10</definedName>
    <definedName name="PASIRBCAMP">#REF!</definedName>
    <definedName name="pasirbeton" localSheetId="1">#REF!</definedName>
    <definedName name="pasirbeton">#REF!</definedName>
    <definedName name="pasirpasang" localSheetId="1">#REF!</definedName>
    <definedName name="pasirpasang">#REF!</definedName>
    <definedName name="pasirsilika" localSheetId="1">#REF!</definedName>
    <definedName name="pasirsilika">#REF!</definedName>
    <definedName name="pasirurug" localSheetId="1">#REF!</definedName>
    <definedName name="pasirurug">#REF!</definedName>
    <definedName name="pav">'[10]Sat~Bahu'!$C$82</definedName>
    <definedName name="Paving6" localSheetId="1">#REF!</definedName>
    <definedName name="Paving6">#REF!</definedName>
    <definedName name="pavnat6">[5]BAHAN!$G$122</definedName>
    <definedName name="pavnat8">[5]BAHAN!$G$123</definedName>
    <definedName name="pavwr6">[5]BAHAN!$G$124</definedName>
    <definedName name="pavwr8">[5]BAHAN!$G$125</definedName>
    <definedName name="pb.125">'[10]Sat~Bahu'!$C$109</definedName>
    <definedName name="pb.200hp">'[10]Sat~Bahu'!$C$93</definedName>
    <definedName name="pb.500">'[10]Sat~Bahu'!$C$110</definedName>
    <definedName name="pbk">[5]BAHAN!$G$118</definedName>
    <definedName name="pc">[5]BAHAN!$G$21</definedName>
    <definedName name="PC__50__Kg">[12]DATA1!$I$38</definedName>
    <definedName name="PC__50_Kg">[12]DATA1!$I$38</definedName>
    <definedName name="pcputih">[5]ANALISA!#REF!</definedName>
    <definedName name="pcw">[5]BAHAN!$G$22</definedName>
    <definedName name="pcwrn">[5]ANALISA!#REF!</definedName>
    <definedName name="PDAM" localSheetId="1">#REF!</definedName>
    <definedName name="PDAM">#REF!</definedName>
    <definedName name="pearlstone">#REF!</definedName>
    <definedName name="Pedestrian" localSheetId="1">#REF!</definedName>
    <definedName name="Pedestrian">#REF!</definedName>
    <definedName name="PEDESTRIANROLLER" localSheetId="1">#REF!</definedName>
    <definedName name="PEDESTRIANROLLER">#REF!</definedName>
    <definedName name="pek">[5]UPAH!$G$16</definedName>
    <definedName name="pekerja" localSheetId="4">[37]upah!$F$8</definedName>
    <definedName name="Pekerja">[12]UPAH!$D$6</definedName>
    <definedName name="PEKERJA_SETENGAH_TERAMPIL" localSheetId="4">#REF!</definedName>
    <definedName name="Pekerja_Setengah_Terampil">[12]UPAH!$D$7</definedName>
    <definedName name="PEKERJA_SETENGAH_TRAMPIL">#REF!</definedName>
    <definedName name="Pekerja_T">[34]Upah!$C$9</definedName>
    <definedName name="PEKERJA_TERAMPIL" localSheetId="4">#REF!</definedName>
    <definedName name="Pekerja_Terampil">[12]UPAH!$D$8</definedName>
    <definedName name="Pekerjaan1" localSheetId="1">#REF!</definedName>
    <definedName name="Pekerjaan1">#REF!</definedName>
    <definedName name="peksetengah">#N/A</definedName>
    <definedName name="Pelaksana">'[38]L. Hr'!$R$79</definedName>
    <definedName name="Pelapis_Alkali_ICI__Cat_dasar_Beton_Eksterior">[12]BAHAN!$D$67</definedName>
    <definedName name="PELATRAMBU">#REF!</definedName>
    <definedName name="PELUMAS">#REF!</definedName>
    <definedName name="Pemasangan_kunci_2_slaag_Royal_lengkap" localSheetId="1">[12]BAHAN!#REF!</definedName>
    <definedName name="Pemasangan_kunci_2_slaag_Royal_lengkap">[12]BAHAN!#REF!</definedName>
    <definedName name="Pembantu_operator" localSheetId="1">#REF!</definedName>
    <definedName name="Pembantu_operator">#REF!</definedName>
    <definedName name="PEMBANTU_OPERATOR__MEKANIK">#REF!</definedName>
    <definedName name="pembantutkbatu">#N/A</definedName>
    <definedName name="pembongkaran">Pembongkaran!$C$3:$J$146</definedName>
    <definedName name="pemisah">#REF!</definedName>
    <definedName name="peng" localSheetId="1">#REF!</definedName>
    <definedName name="peng">#REF!</definedName>
    <definedName name="pengecatandanpelitur">'Pengecatan dan Pelituran'!$C$3:$I$484</definedName>
    <definedName name="pengencer" localSheetId="1">#REF!</definedName>
    <definedName name="pengencer">#REF!</definedName>
    <definedName name="pengki">[5]ANALISA!#REF!</definedName>
    <definedName name="PENJAGA_MALAM">#REF!</definedName>
    <definedName name="Pentanahan_Penangkal_Petir">[12]BAHAN!$D$576</definedName>
    <definedName name="Penulisan">[12]DATA1!$I$5</definedName>
    <definedName name="penutupatap">'Penutup Atap'!$C$3:$I$994</definedName>
    <definedName name="penutuplantaidandinding">'Penutup Lantai dan Dinding'!$C$3:$I$2035</definedName>
    <definedName name="Peralatan_direksi">[12]DATA!$G$9</definedName>
    <definedName name="Peralatan_lainya">[12]DATA!$G$11</definedName>
    <definedName name="Peralatan_los">[12]DATA!$G$8</definedName>
    <definedName name="Peralatan_site">[12]DATA!$G$7</definedName>
    <definedName name="Peralatan_spencer">[12]DATA!$G$10</definedName>
    <definedName name="PERANCAH">#REF!</definedName>
    <definedName name="perancahkayu" localSheetId="1">#REF!</definedName>
    <definedName name="perancahkayu">#REF!</definedName>
    <definedName name="perpipaangedung">'Perpipaan dan proteksi kebakar '!$C$3:$I$366</definedName>
    <definedName name="persiapan">Persiapan!$C$5:$K$682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aluminium" localSheetId="1">#REF!</definedName>
    <definedName name="pintualuminium">#REF!</definedName>
    <definedName name="pintubesibaja" localSheetId="1">#REF!</definedName>
    <definedName name="pintubesibaja">#REF!</definedName>
    <definedName name="pintudanjendela">'Pintu dan Jendela'!$C$3:$I$973</definedName>
    <definedName name="pintugulungbesi" localSheetId="1">#REF!</definedName>
    <definedName name="pintugulungbesi">#REF!</definedName>
    <definedName name="pintulipat" localSheetId="1">#REF!</definedName>
    <definedName name="pintulipat">#REF!</definedName>
    <definedName name="pintusunscreenalluminium" localSheetId="1">#REF!</definedName>
    <definedName name="pintusunscreenalluminium">#REF!</definedName>
    <definedName name="Pipa_GIP_Medium_A_Ø_1______6_m1">[12]BAHAN!$D$360</definedName>
    <definedName name="Pipa_GIP_Medium_A_Ø_1_1_2____6_m1">[12]BAHAN!$D$362</definedName>
    <definedName name="Pipa_GIP_Medium_A_Ø_1_1_4_____6_m1">[12]BAHAN!$D$361</definedName>
    <definedName name="Pipa_GIP_Medium_A_Ø_1_2_____6_m1">[12]BAHAN!$D$358</definedName>
    <definedName name="Pipa_GIP_Medium_A_Ø_2_____6_m1">[12]BAHAN!$D$364</definedName>
    <definedName name="Pipa_GIP_Medium_A_Ø_2_1_2____6_m1">[12]BAHAN!$D$365</definedName>
    <definedName name="Pipa_GIP_Medium_A_Ø_3_____6_m1">[12]BAHAN!$D$366</definedName>
    <definedName name="Pipa_GIP_Medium_A_Ø_3_4_____6_m1">[12]BAHAN!$D$359</definedName>
    <definedName name="Pipa_GIP_Medium_A_Ø_4_____6_m1">[12]BAHAN!$D$367</definedName>
    <definedName name="Pipa_PVC__MASPION_ABU_Ø_1_1_2___AW">[12]BAHAN!$D$393</definedName>
    <definedName name="Pipa_PVC__MASPION_ABU_Ø_3___AW">[12]BAHAN!$D$396</definedName>
    <definedName name="Pipa_PVC__MASPION_ABU_Ø_4___AW">[12]BAHAN!$D$397</definedName>
    <definedName name="Pipa_PVC_RUCIKA_type_AW____Ø_1">[12]BAHAN!$D$380</definedName>
    <definedName name="Pipa_PVC_RUCIKA_type_AW____Ø_1_1_2">[12]BAHAN!$D$382</definedName>
    <definedName name="Pipa_PVC_RUCIKA_type_AW____Ø_1_1_4">[12]BAHAN!$D$381</definedName>
    <definedName name="Pipa_PVC_RUCIKA_type_AW____Ø_2">[12]BAHAN!$D$383</definedName>
    <definedName name="Pipa_PVC_RUCIKA_type_AW____Ø_2_1_2">[12]BAHAN!$D$384</definedName>
    <definedName name="Pipa_PVC_RUCIKA_type_AW____Ø_3">[12]BAHAN!$D$385</definedName>
    <definedName name="Pipa_PVC_RUCIKA_type_AW____Ø_3_4">[12]BAHAN!$D$379</definedName>
    <definedName name="Pipa_PVC_RUCIKA_type_AW____Ø_4">[12]BAHAN!$D$386</definedName>
    <definedName name="Pipa_PVC_RUCIKA_type_AW____Ø_6">[12]BAHAN!$D$387</definedName>
    <definedName name="Pipa_PVC_RUCIKA_type_AW____Ø_8">[12]BAHAN!$D$388</definedName>
    <definedName name="Pipa_PVC_RUCIKA_type_AW__Ø_1_2">[12]BAHAN!$D$378</definedName>
    <definedName name="pipabeton" localSheetId="1">#REF!</definedName>
    <definedName name="pipabeton">#REF!</definedName>
    <definedName name="pipagalvanis" localSheetId="1">#REF!</definedName>
    <definedName name="pipagalvanis">#REF!</definedName>
    <definedName name="pipatanah" localSheetId="1">#REF!</definedName>
    <definedName name="pipatanah">#REF!</definedName>
    <definedName name="pj">'[10]Sat~Bahu'!$C$66</definedName>
    <definedName name="Pjgsloof" localSheetId="1">#REF!</definedName>
    <definedName name="Pjgsloof">#REF!</definedName>
    <definedName name="PKC">[5]ANALISA!#REF!</definedName>
    <definedName name="pkgyp">[5]BAHAN!$G$197</definedName>
    <definedName name="pkpcg">[5]BAHAN!$G$198</definedName>
    <definedName name="plafon">Plafon!$C$3:$I$285</definedName>
    <definedName name="plafond">#REF!</definedName>
    <definedName name="plamir">[5]BAHAN!$G$32</definedName>
    <definedName name="Plamir_tembok">[12]BAHAN!$D$60</definedName>
    <definedName name="plamirtembok" localSheetId="1">#REF!</definedName>
    <definedName name="plamirtembok">#REF!</definedName>
    <definedName name="plamour" localSheetId="1">#REF!</definedName>
    <definedName name="plamour">#REF!</definedName>
    <definedName name="plamur">#REF!</definedName>
    <definedName name="plamur.matex">#REF!</definedName>
    <definedName name="plastik">#REF!</definedName>
    <definedName name="plastikaerator" localSheetId="1">#REF!</definedName>
    <definedName name="plastikaerator">#REF!</definedName>
    <definedName name="PLAT">#REF!</definedName>
    <definedName name="Plat_Alumunium_0.3_mm">[12]BAHAN!$D$278</definedName>
    <definedName name="Plat_Bed_Truck" localSheetId="1">#REF!</definedName>
    <definedName name="Plat_Bed_Truck">#REF!</definedName>
    <definedName name="Plat_Besi_2_mm_s_d_5_mm">[12]BAHAN!$D$302</definedName>
    <definedName name="plat10" localSheetId="1">#REF!</definedName>
    <definedName name="plat10">#REF!</definedName>
    <definedName name="plat11" localSheetId="1">#REF!</definedName>
    <definedName name="plat11">#REF!</definedName>
    <definedName name="plat12" localSheetId="1">#REF!</definedName>
    <definedName name="plat12">#REF!</definedName>
    <definedName name="plat13" localSheetId="1">#REF!</definedName>
    <definedName name="plat13">#REF!</definedName>
    <definedName name="plat14" localSheetId="1">#REF!</definedName>
    <definedName name="plat14">#REF!</definedName>
    <definedName name="plat15" localSheetId="1">#REF!</definedName>
    <definedName name="plat15">#REF!</definedName>
    <definedName name="plat16" localSheetId="1">#REF!</definedName>
    <definedName name="plat16">#REF!</definedName>
    <definedName name="plat17" localSheetId="1">#REF!</definedName>
    <definedName name="plat17">#REF!</definedName>
    <definedName name="plat18" localSheetId="1">#REF!</definedName>
    <definedName name="plat18">#REF!</definedName>
    <definedName name="plat19" localSheetId="1">#REF!</definedName>
    <definedName name="plat19">#REF!</definedName>
    <definedName name="plat20" localSheetId="1">#REF!</definedName>
    <definedName name="plat20">#REF!</definedName>
    <definedName name="plat5" localSheetId="1">#REF!</definedName>
    <definedName name="plat5">#REF!</definedName>
    <definedName name="plat6" localSheetId="1">#REF!</definedName>
    <definedName name="plat6">#REF!</definedName>
    <definedName name="plat7" localSheetId="1">#REF!</definedName>
    <definedName name="plat7">#REF!</definedName>
    <definedName name="plat8" localSheetId="1">#REF!</definedName>
    <definedName name="plat8">#REF!</definedName>
    <definedName name="plat9" localSheetId="1">#REF!</definedName>
    <definedName name="plat9">#REF!</definedName>
    <definedName name="platasbes" localSheetId="1">#REF!</definedName>
    <definedName name="platasbes">#REF!</definedName>
    <definedName name="platasbes35mm" localSheetId="1">#REF!</definedName>
    <definedName name="platasbes35mm">#REF!</definedName>
    <definedName name="platasbes4mm" localSheetId="1">#REF!</definedName>
    <definedName name="platasbes4mm">#REF!</definedName>
    <definedName name="platasbes5mm" localSheetId="1">#REF!</definedName>
    <definedName name="platasbes5mm">#REF!</definedName>
    <definedName name="platasbes6mm" localSheetId="1">#REF!</definedName>
    <definedName name="platasbes6mm">#REF!</definedName>
    <definedName name="plester13">#REF!</definedName>
    <definedName name="plester15">#REF!</definedName>
    <definedName name="plesteranacian">'Plesteran Dan Acian'!$C$3:$I$276</definedName>
    <definedName name="plesterwater">#REF!</definedName>
    <definedName name="plin">[5]BAHAN!$G$113</definedName>
    <definedName name="Plint_keramik_10_x_20">[12]BAHAN!$D$201</definedName>
    <definedName name="plintkeramikartistik1010" localSheetId="1">#REF!</definedName>
    <definedName name="plintkeramikartistik1010">#REF!</definedName>
    <definedName name="plintkeramikartistik1020" localSheetId="1">#REF!</definedName>
    <definedName name="plintkeramikartistik1020">#REF!</definedName>
    <definedName name="plintkeramikartistik520" localSheetId="1">#REF!</definedName>
    <definedName name="plintkeramikartistik520">#REF!</definedName>
    <definedName name="plintubingranito1030" localSheetId="1">#REF!</definedName>
    <definedName name="plintubingranito1030">#REF!</definedName>
    <definedName name="plintubingranito1040" localSheetId="1">#REF!</definedName>
    <definedName name="plintubingranito1040">#REF!</definedName>
    <definedName name="plintubinkeramikartistik1020" localSheetId="1">#REF!</definedName>
    <definedName name="plintubinkeramikartistik1020">#REF!</definedName>
    <definedName name="plintubinpcabuabu1030" localSheetId="1">#REF!</definedName>
    <definedName name="plintubinpcabuabu1030">#REF!</definedName>
    <definedName name="plintubinpcabuabu1040" localSheetId="1">#REF!</definedName>
    <definedName name="plintubinpcabuabu1040">#REF!</definedName>
    <definedName name="plintubinpcabuabu1520" localSheetId="1">#REF!</definedName>
    <definedName name="plintubinpcabuabu1520">#REF!</definedName>
    <definedName name="plintubinteraluxkerang1040" localSheetId="1">#REF!</definedName>
    <definedName name="plintubinteraluxkerang1040">#REF!</definedName>
    <definedName name="plintubinteraluxkerang1060" localSheetId="1">#REF!</definedName>
    <definedName name="plintubinteraluxkerang1060">#REF!</definedName>
    <definedName name="plintubinteraluxmarmer1030" localSheetId="1">#REF!</definedName>
    <definedName name="plintubinteraluxmarmer1030">#REF!</definedName>
    <definedName name="plintubinteraluxmarmer1040" localSheetId="1">#REF!</definedName>
    <definedName name="plintubinteraluxmarmer1040">#REF!</definedName>
    <definedName name="plintubinteraluxmarmer1060" localSheetId="1">#REF!</definedName>
    <definedName name="plintubinteraluxmarmer1060">#REF!</definedName>
    <definedName name="plintubinteraso1030" localSheetId="1">#REF!</definedName>
    <definedName name="plintubinteraso1030">#REF!</definedName>
    <definedName name="plintubinteraso1040" localSheetId="1">#REF!</definedName>
    <definedName name="plintubinteraso1040">#REF!</definedName>
    <definedName name="plintubinwarna1020" localSheetId="1">#REF!</definedName>
    <definedName name="plintubinwarna1020">#REF!</definedName>
    <definedName name="plintubinwarna1030" localSheetId="1">#REF!</definedName>
    <definedName name="plintubinwarna1030">#REF!</definedName>
    <definedName name="plintubinwarna1040" localSheetId="1">#REF!</definedName>
    <definedName name="plintubinwarna1040">#REF!</definedName>
    <definedName name="PLK">[5]ANALISA!#REF!</definedName>
    <definedName name="plms">[5]BAHAN!$G$52</definedName>
    <definedName name="plt">[5]BAHAN!$G$40</definedName>
    <definedName name="pltg">[5]BAHAN!$G$237</definedName>
    <definedName name="pltgkb">[5]BAHAN!#REF!</definedName>
    <definedName name="pltgls">[5]BAHAN!#REF!</definedName>
    <definedName name="pltgwr10">[5]BAHAN!#REF!</definedName>
    <definedName name="pltgwr15">[5]BAHAN!#REF!</definedName>
    <definedName name="plywood4mm" localSheetId="1">#REF!</definedName>
    <definedName name="plywood4mm">#REF!</definedName>
    <definedName name="plywood6mm" localSheetId="1">#REF!</definedName>
    <definedName name="plywood6mm">#REF!</definedName>
    <definedName name="plywood9mm" localSheetId="1">#REF!</definedName>
    <definedName name="plywood9mm">#REF!</definedName>
    <definedName name="pmp">[5]BAHAN!#REF!</definedName>
    <definedName name="pmunding">#REF!</definedName>
    <definedName name="Pneumatic_Jack_Hummer" localSheetId="1">#REF!</definedName>
    <definedName name="Pneumatic_Jack_Hummer">#REF!</definedName>
    <definedName name="PO" localSheetId="4">'[10]Sat~Bahu'!$C$13</definedName>
    <definedName name="PO">'[39]Harsat Upah'!$E$20</definedName>
    <definedName name="politur" localSheetId="1">#REF!</definedName>
    <definedName name="politur">#REF!</definedName>
    <definedName name="pondasi">Pondasi!$C$3:$J$607</definedName>
    <definedName name="pondasi225">#REF!</definedName>
    <definedName name="pondljr">[5]SATUAN!$I$19</definedName>
    <definedName name="pop">[1]UPAH!$E$22</definedName>
    <definedName name="PORS">[5]ANALISA!#REF!</definedName>
    <definedName name="pp">[5]BAHAN!$G$269</definedName>
    <definedName name="ppasang">#N/A</definedName>
    <definedName name="ppn.m.3.20.serut">#REF!</definedName>
    <definedName name="ppn2.30">#REF!</definedName>
    <definedName name="ppn3.30">#REF!</definedName>
    <definedName name="ppnbjr">[5]ANALISA!#REF!</definedName>
    <definedName name="ppnbor">[5]ANALISA!#REF!</definedName>
    <definedName name="ppnht1">[5]BAHAN!$G$65</definedName>
    <definedName name="ppnht2">[5]ANALISA!#REF!</definedName>
    <definedName name="ppnkmp">[5]ANALISA!#REF!</definedName>
    <definedName name="ppnsam">[5]ANALISA!#REF!</definedName>
    <definedName name="primecoat" localSheetId="1">#REF!</definedName>
    <definedName name="primecoat">#REF!</definedName>
    <definedName name="print" localSheetId="1">#REF!</definedName>
    <definedName name="print">#REF!</definedName>
    <definedName name="_xlnm.Print_Area" localSheetId="7">'Harga Satuan'!$A$1:$H$2601</definedName>
    <definedName name="_xlnm.Print_Area" localSheetId="1">'Perhitungan Volume'!$A$1:$O$171</definedName>
    <definedName name="_xlnm.Print_Area">#REF!</definedName>
    <definedName name="Print_Area_MI" localSheetId="1">#REF!</definedName>
    <definedName name="PRINT_AREA_MI" localSheetId="4">'[21]HRG BHN'!#REF!</definedName>
    <definedName name="Print_Area_MI">#REF!</definedName>
    <definedName name="_xlnm.Print_Titles" localSheetId="1">'Perhitungan Volume'!$11:$12</definedName>
    <definedName name="Print_Titles_MI" localSheetId="1">#REF!</definedName>
    <definedName name="Print_Titles_MI">#REF!</definedName>
    <definedName name="profil">[5]BAHAN!$G$73</definedName>
    <definedName name="profilalumuniumT" localSheetId="1">#REF!</definedName>
    <definedName name="profilalumuniumT">#REF!</definedName>
    <definedName name="program" localSheetId="1">#REF!</definedName>
    <definedName name="program">#REF!</definedName>
    <definedName name="program1" localSheetId="1">#REF!</definedName>
    <definedName name="program1">#REF!</definedName>
    <definedName name="progres" localSheetId="1">#REF!</definedName>
    <definedName name="progres">#REF!</definedName>
    <definedName name="Propinsi" localSheetId="1">#REF!</definedName>
    <definedName name="Propinsi">#REF!</definedName>
    <definedName name="PROSES1" localSheetId="1">#REF!</definedName>
    <definedName name="PROSES1">#REF!</definedName>
    <definedName name="proyek" localSheetId="1">#REF!</definedName>
    <definedName name="proyek">#REF!</definedName>
    <definedName name="Proyek1" localSheetId="1">#REF!</definedName>
    <definedName name="Proyek1">#REF!</definedName>
    <definedName name="psaub">'[10]Sat~Bahu'!$C$46</definedName>
    <definedName name="PSB">[5]ANALISA!#REF!</definedName>
    <definedName name="psbtn">[5]BAHAN!$G$13</definedName>
    <definedName name="psp">'[10]Sat~Bahu'!$C$47</definedName>
    <definedName name="PSPM">[12]DATA!$G$30</definedName>
    <definedName name="pspsg">[5]BAHAN!$G$12</definedName>
    <definedName name="Psr.psg">#REF!</definedName>
    <definedName name="psr.trs">#REF!</definedName>
    <definedName name="PST" localSheetId="1">'[17]Harsat Upah'!#REF!</definedName>
    <definedName name="pst" localSheetId="4">[5]UPAH!#REF!</definedName>
    <definedName name="PST">'[17]Harsat Upah'!#REF!</definedName>
    <definedName name="PSU">[5]ANALISA!#REF!</definedName>
    <definedName name="PT" localSheetId="1">'[17]Harsat Upah'!#REF!</definedName>
    <definedName name="pt" localSheetId="4">#N/A</definedName>
    <definedName name="PT">'[17]Harsat Upah'!#REF!</definedName>
    <definedName name="ptdll">'[10]Sat~Bahu'!$C$114</definedName>
    <definedName name="punya" localSheetId="1">#REF!</definedName>
    <definedName name="punya">#REF!</definedName>
    <definedName name="purug">[5]BAHAN!$G$10</definedName>
    <definedName name="PUSAT" localSheetId="1">#REF!</definedName>
    <definedName name="PUSAT">#REF!</definedName>
    <definedName name="puzzdilth" localSheetId="1">#REF!</definedName>
    <definedName name="puzzdilth">#REF!</definedName>
    <definedName name="PVB">#REF!</definedName>
    <definedName name="pvc.0.5.mas.d">#REF!</definedName>
    <definedName name="pvc.0.7.5.Mas.d">#REF!</definedName>
    <definedName name="pvc.1.M.abu">#REF!</definedName>
    <definedName name="pvc.2.5.Mas.d">#REF!</definedName>
    <definedName name="pvc.2.mas.d">#REF!</definedName>
    <definedName name="pvc.3.mas.d">#REF!</definedName>
    <definedName name="pvc.4.mas.d">#REF!</definedName>
    <definedName name="pvc1.2.aw">#REF!</definedName>
    <definedName name="pvc1.2.wav.aw">#REF!</definedName>
    <definedName name="pvc2d">#REF!</definedName>
    <definedName name="pvc3.4.aw">#REF!</definedName>
    <definedName name="pvc3d">#REF!</definedName>
    <definedName name="pvc3medB" localSheetId="1">#REF!</definedName>
    <definedName name="pvc3medB">#REF!</definedName>
    <definedName name="pvc4d">#REF!</definedName>
    <definedName name="pvc4medA" localSheetId="1">#REF!</definedName>
    <definedName name="pvc4medA">#REF!</definedName>
    <definedName name="q" localSheetId="1">#REF!</definedName>
    <definedName name="Q" localSheetId="4">'[10]Sat~Bahu'!$C$28</definedName>
    <definedName name="q">#REF!</definedName>
    <definedName name="rahayu">#REF!</definedName>
    <definedName name="ramset" localSheetId="1">#REF!</definedName>
    <definedName name="ramset">#REF!</definedName>
    <definedName name="rangkaatap">'Rangka Atap'!$C$4:$J$199</definedName>
    <definedName name="rapidrant" localSheetId="1">#REF!</definedName>
    <definedName name="rapidrant">#REF!</definedName>
    <definedName name="rb">'[40]Harsat Bahan'!$A$8:$E$874</definedName>
    <definedName name="Readymix_beton_k_175__tampa_pompa__selang">[12]BAHAN!$D$50</definedName>
    <definedName name="readymix_beton_k_225__tampa_pompa__selang">[12]BAHAN!$D$49</definedName>
    <definedName name="readymix_beton_k_300__tampa_pompa__selang">[12]BAHAN!$D$48</definedName>
    <definedName name="rekap" localSheetId="1">#REF!</definedName>
    <definedName name="REKAP" localSheetId="4">[5]ANALISA!#REF!</definedName>
    <definedName name="rekap">#REF!</definedName>
    <definedName name="relpintudorong" localSheetId="1">#REF!</definedName>
    <definedName name="relpintudorong">#REF!</definedName>
    <definedName name="reng">#REF!</definedName>
    <definedName name="reng23kb">[5]BAHAN!#REF!</definedName>
    <definedName name="reng23ras">[5]BAHAN!$G$82</definedName>
    <definedName name="reng34" localSheetId="1">#REF!</definedName>
    <definedName name="reng34">#REF!</definedName>
    <definedName name="reng34km">[5]BAHAN!#REF!</definedName>
    <definedName name="reng34ras">[5]BAHAN!$G$83</definedName>
    <definedName name="residu" localSheetId="1">#REF!</definedName>
    <definedName name="residu">#REF!</definedName>
    <definedName name="RINCIANSEWA" localSheetId="1">#REF!</definedName>
    <definedName name="RINCIANSEWA">#REF!</definedName>
    <definedName name="RINCIANSEWA2" localSheetId="1">#REF!</definedName>
    <definedName name="RINCIANSEWA2">#REF!</definedName>
    <definedName name="Rol_Cat_Tembok" localSheetId="1">[12]BAHAN!#REF!</definedName>
    <definedName name="Rol_Cat_Tembok">[12]BAHAN!#REF!</definedName>
    <definedName name="rolcat">[5]BAHAN!$G$35</definedName>
    <definedName name="Roller_Vibrator" localSheetId="1">#REF!</definedName>
    <definedName name="Roller_Vibrator">#REF!</definedName>
    <definedName name="rollingdoor" localSheetId="1">#REF!</definedName>
    <definedName name="rollingdoor">#REF!</definedName>
    <definedName name="roltcat" localSheetId="1">#REF!</definedName>
    <definedName name="roltcat">#REF!</definedName>
    <definedName name="rooflightfiibreglass" localSheetId="1">#REF!</definedName>
    <definedName name="rooflightfiibreglass">#REF!</definedName>
    <definedName name="Rool_Cat_Tembok">[12]BAHAN!$D$71</definedName>
    <definedName name="ros">[5]BAHAN!$G$19</definedName>
    <definedName name="roster" localSheetId="1">#REF!</definedName>
    <definedName name="roster">#REF!</definedName>
    <definedName name="roster_beton_20_20">[12]BAHAN!$D$36</definedName>
    <definedName name="RRRRR" localSheetId="1">#REF!</definedName>
    <definedName name="RRRRR">#REF!</definedName>
    <definedName name="rsd">[5]BAHAN!$G$54</definedName>
    <definedName name="RUANGPOMPA" localSheetId="1">#REF!</definedName>
    <definedName name="RUANGPOMPA">#REF!</definedName>
    <definedName name="rubbercorrugate" localSheetId="1">#REF!</definedName>
    <definedName name="rubbercorrugate">#REF!</definedName>
    <definedName name="RUTIN" localSheetId="1">#REF!</definedName>
    <definedName name="RUTIN">#REF!</definedName>
    <definedName name="s" localSheetId="1">#REF!</definedName>
    <definedName name="s">#REF!</definedName>
    <definedName name="s.tukang">#REF!</definedName>
    <definedName name="s.warna">#REF!</definedName>
    <definedName name="sa">[5]BAHAN!$G$57</definedName>
    <definedName name="sab">'[10]Sat~Bahu'!$G$49</definedName>
    <definedName name="sabantu">'[10]Sat~Bahu'!$G$76</definedName>
    <definedName name="sabun" localSheetId="1">#REF!</definedName>
    <definedName name="sabun">#REF!</definedName>
    <definedName name="SALURAN" localSheetId="1">#REF!</definedName>
    <definedName name="SALURAN">#REF!</definedName>
    <definedName name="Sambungan_Pipa_PVC_Jenis_AW_4___TY">[12]BAHAN!$D$410</definedName>
    <definedName name="sanitair">Sanitair!$C$3:$I$414</definedName>
    <definedName name="sanyo">[5]BAHAN!$G$230</definedName>
    <definedName name="sarogol">#REF!</definedName>
    <definedName name="satb">'[10]Sat~Bahu'!$G$86</definedName>
    <definedName name="satker" localSheetId="1">#REF!</definedName>
    <definedName name="satker">#REF!</definedName>
    <definedName name="satker1" localSheetId="1">#REF!</definedName>
    <definedName name="satker1">#REF!</definedName>
    <definedName name="satu">[41]PENAWARAN!$V$73:$W$1074</definedName>
    <definedName name="SAV" localSheetId="1">#REF!</definedName>
    <definedName name="SAV">#REF!</definedName>
    <definedName name="sbb.05">'[10]Sat~Bahu'!$G$41</definedName>
    <definedName name="sbb.1">'[10]Sat~Bahu'!$G$40</definedName>
    <definedName name="sbb.10">'[10]Sat~Bahu'!$G$35</definedName>
    <definedName name="sbb.2">'[10]Sat~Bahu'!$G$39</definedName>
    <definedName name="sbb.3">'[10]Sat~Bahu'!$G$38</definedName>
    <definedName name="sbb.5">'[10]Sat~Bahu'!$G$37</definedName>
    <definedName name="sbn">[5]BAHAN!$G$58</definedName>
    <definedName name="sbtb">'[10]Sat~Bahu'!$G$67</definedName>
    <definedName name="sbtp">'[10]Sat~Bahu'!$G$48</definedName>
    <definedName name="scab">'[10]Sat~Bahu'!#REF!</definedName>
    <definedName name="sddg">[20]ANALISA!#REF!</definedName>
    <definedName name="sdtbk">[5]ANALISA!#REF!</definedName>
    <definedName name="sealent" localSheetId="1">#REF!</definedName>
    <definedName name="sealent">#REF!</definedName>
    <definedName name="sealer">#REF!</definedName>
    <definedName name="sealer.mowi">#REF!</definedName>
    <definedName name="sealer.vini">#REF!</definedName>
    <definedName name="sealtape" localSheetId="1">#REF!</definedName>
    <definedName name="sealtape">#REF!</definedName>
    <definedName name="sekarang" localSheetId="1">#REF!</definedName>
    <definedName name="sekarang">#REF!</definedName>
    <definedName name="Semen">#REF!</definedName>
    <definedName name="semen_warna">[12]BAHAN!$D$54</definedName>
    <definedName name="semen50" localSheetId="1">#REF!</definedName>
    <definedName name="semen50">#REF!</definedName>
    <definedName name="semenpc">#N/A</definedName>
    <definedName name="sementahanasam" localSheetId="1">#REF!</definedName>
    <definedName name="sementahanasam">#REF!</definedName>
    <definedName name="semenwarna" localSheetId="1">#REF!</definedName>
    <definedName name="semenwarna">#REF!</definedName>
    <definedName name="Seng_Glb_BJLS_28___80_x_180_cm">[12]BAHAN!$D$611</definedName>
    <definedName name="Seng_Glb_BJLS_30">[12]BAHAN!$D$610</definedName>
    <definedName name="Seng_Plat_BJLS_30_lbr_90_cm___1_rol_50_m" localSheetId="1">[12]BAHAN!#REF!</definedName>
    <definedName name="Seng_Plat_BJLS_30_lbr_90_cm___1_rol_50_m">[12]BAHAN!#REF!</definedName>
    <definedName name="sengbjls25" localSheetId="1">#REF!</definedName>
    <definedName name="sengbjls25">#REF!</definedName>
    <definedName name="senggel">[5]ANALISA!#REF!</definedName>
    <definedName name="senggol">#REF!</definedName>
    <definedName name="SENGPL">[5]ANALISA!#REF!</definedName>
    <definedName name="sengplatbjls24" localSheetId="1">#REF!</definedName>
    <definedName name="sengplatbjls24">#REF!</definedName>
    <definedName name="sengplatbjls25" localSheetId="1">#REF!</definedName>
    <definedName name="sengplatbjls25">#REF!</definedName>
    <definedName name="sengplatbjls28" localSheetId="1">#REF!</definedName>
    <definedName name="sengplatbjls28">#REF!</definedName>
    <definedName name="sengplatbjls30" localSheetId="1">#REF!</definedName>
    <definedName name="sengplatbjls30">#REF!</definedName>
    <definedName name="sgel">[5]BAHAN!$G$245</definedName>
    <definedName name="shrs">'[10]Sat~Bahu'!$G$87</definedName>
    <definedName name="siap1" localSheetId="1">#REF!</definedName>
    <definedName name="siap1">#REF!</definedName>
    <definedName name="signage">Signage!$C$3:$I$120</definedName>
    <definedName name="sikp">[5]ANALISA!#REF!</definedName>
    <definedName name="Silicont_Sielent">[12]BAHAN!$D$307</definedName>
    <definedName name="simpang">#REF!</definedName>
    <definedName name="SIPIL" localSheetId="1">#REF!</definedName>
    <definedName name="SIPIL">#REF!</definedName>
    <definedName name="sirap" localSheetId="1">#REF!</definedName>
    <definedName name="sirap">#REF!</definedName>
    <definedName name="Sirap_Kelas_I___80___m2">[12]BAHAN!$D$481</definedName>
    <definedName name="sirlak" localSheetId="1">#REF!</definedName>
    <definedName name="sirlak">#REF!</definedName>
    <definedName name="sirtu" localSheetId="1">#REF!</definedName>
    <definedName name="sirtu" localSheetId="4">[5]BAHAN!$G$11</definedName>
    <definedName name="sirtu">#REF!</definedName>
    <definedName name="sistemairlimbah">'Sistem Air Limbah'!$C$3:$I$177</definedName>
    <definedName name="sistemairminum">'Sistem Air Minum'!$C$3:$I$643</definedName>
    <definedName name="SITE" localSheetId="1">#REF!</definedName>
    <definedName name="SITE">#REF!</definedName>
    <definedName name="sK.1" localSheetId="1">#REF!</definedName>
    <definedName name="sK.1">#REF!</definedName>
    <definedName name="skb">'[10]Sat~Bahu'!$G$62</definedName>
    <definedName name="skgb">'[10]Sat~Bahu'!$G$29</definedName>
    <definedName name="skp">[5]ANALISA!#REF!</definedName>
    <definedName name="skpb">'[10]Sat~Bahu'!$G$58</definedName>
    <definedName name="skr">[5]BAHAN!$G$203</definedName>
    <definedName name="Skrup" localSheetId="1">#REF!</definedName>
    <definedName name="Skrup">#REF!</definedName>
    <definedName name="sks">'[10]Sat~Bahu'!$G$30</definedName>
    <definedName name="skup">'[10]Sat~Bahu'!$G$77</definedName>
    <definedName name="sln">[5]BAHAN!$G$153</definedName>
    <definedName name="sloof1010" localSheetId="1">#REF!</definedName>
    <definedName name="sloof1010">#REF!</definedName>
    <definedName name="sloof1013" localSheetId="1">#REF!</definedName>
    <definedName name="sloof1013">#REF!</definedName>
    <definedName name="sloof1015" localSheetId="1">#REF!</definedName>
    <definedName name="sloof1015">#REF!</definedName>
    <definedName name="sloof1020" localSheetId="1">#REF!</definedName>
    <definedName name="sloof1020">#REF!</definedName>
    <definedName name="sloof1025" localSheetId="1">#REF!</definedName>
    <definedName name="sloof1025">#REF!</definedName>
    <definedName name="sloof1030" localSheetId="1">#REF!</definedName>
    <definedName name="sloof1030">#REF!</definedName>
    <definedName name="sloof1213" localSheetId="1">#REF!</definedName>
    <definedName name="sloof1213">#REF!</definedName>
    <definedName name="sloof1215" localSheetId="1">#REF!</definedName>
    <definedName name="sloof1215">#REF!</definedName>
    <definedName name="sloof1220" localSheetId="1">#REF!</definedName>
    <definedName name="sloof1220">#REF!</definedName>
    <definedName name="sloof1225" localSheetId="1">#REF!</definedName>
    <definedName name="sloof1225">#REF!</definedName>
    <definedName name="sloof1230" localSheetId="1">#REF!</definedName>
    <definedName name="sloof1230">#REF!</definedName>
    <definedName name="sloof1313" localSheetId="1">#REF!</definedName>
    <definedName name="sloof1313">#REF!</definedName>
    <definedName name="sloof1315" localSheetId="1">#REF!</definedName>
    <definedName name="sloof1315">#REF!</definedName>
    <definedName name="sloof1515" localSheetId="1">#REF!</definedName>
    <definedName name="sloof1515">#REF!</definedName>
    <definedName name="sloof1520" localSheetId="1">#REF!</definedName>
    <definedName name="sloof1520">#REF!</definedName>
    <definedName name="sloof1525" localSheetId="1">#REF!</definedName>
    <definedName name="sloof1525">#REF!</definedName>
    <definedName name="sloof1530" localSheetId="1">#REF!</definedName>
    <definedName name="sloof1530">#REF!</definedName>
    <definedName name="sloof175">#REF!</definedName>
    <definedName name="sloof2020" localSheetId="1">#REF!</definedName>
    <definedName name="sloof2020">#REF!</definedName>
    <definedName name="sloof2025" localSheetId="1">#REF!</definedName>
    <definedName name="sloof2025">#REF!</definedName>
    <definedName name="sloof2030" localSheetId="1">#REF!</definedName>
    <definedName name="sloof2030">#REF!</definedName>
    <definedName name="sloof2035" localSheetId="1">#REF!</definedName>
    <definedName name="sloof2035">#REF!</definedName>
    <definedName name="sloof2040" localSheetId="1">#REF!</definedName>
    <definedName name="sloof2040">#REF!</definedName>
    <definedName name="sloof2045" localSheetId="1">#REF!</definedName>
    <definedName name="sloof2045">#REF!</definedName>
    <definedName name="sloof2050" localSheetId="1">#REF!</definedName>
    <definedName name="sloof2050">#REF!</definedName>
    <definedName name="sloof2055" localSheetId="1">#REF!</definedName>
    <definedName name="sloof2055">#REF!</definedName>
    <definedName name="sloof2060" localSheetId="1">#REF!</definedName>
    <definedName name="sloof2060">#REF!</definedName>
    <definedName name="sloof2070" localSheetId="1">#REF!</definedName>
    <definedName name="sloof2070">#REF!</definedName>
    <definedName name="sloof2525" localSheetId="1">#REF!</definedName>
    <definedName name="sloof2525">#REF!</definedName>
    <definedName name="sloof2530" localSheetId="1">#REF!</definedName>
    <definedName name="sloof2530">#REF!</definedName>
    <definedName name="sloof2535" localSheetId="1">#REF!</definedName>
    <definedName name="sloof2535">#REF!</definedName>
    <definedName name="sloof2540" localSheetId="1">#REF!</definedName>
    <definedName name="sloof2540">#REF!</definedName>
    <definedName name="sloof2545" localSheetId="1">#REF!</definedName>
    <definedName name="sloof2545">#REF!</definedName>
    <definedName name="sloof2550" localSheetId="1">#REF!</definedName>
    <definedName name="sloof2550">#REF!</definedName>
    <definedName name="sloof2555" localSheetId="1">#REF!</definedName>
    <definedName name="sloof2555">#REF!</definedName>
    <definedName name="sloof2560" localSheetId="1">#REF!</definedName>
    <definedName name="sloof2560">#REF!</definedName>
    <definedName name="sloof2565" localSheetId="1">#REF!</definedName>
    <definedName name="sloof2565">#REF!</definedName>
    <definedName name="sloof2570" localSheetId="1">#REF!</definedName>
    <definedName name="sloof2570">#REF!</definedName>
    <definedName name="sloof3030" localSheetId="1">#REF!</definedName>
    <definedName name="sloof3030">#REF!</definedName>
    <definedName name="sloof3035" localSheetId="1">#REF!</definedName>
    <definedName name="sloof3035">#REF!</definedName>
    <definedName name="sloof3040" localSheetId="1">#REF!</definedName>
    <definedName name="sloof3040">#REF!</definedName>
    <definedName name="sloof3045" localSheetId="1">#REF!</definedName>
    <definedName name="sloof3045">#REF!</definedName>
    <definedName name="sloof3050" localSheetId="1">#REF!</definedName>
    <definedName name="sloof3050">#REF!</definedName>
    <definedName name="sloof3055" localSheetId="1">#REF!</definedName>
    <definedName name="sloof3055">#REF!</definedName>
    <definedName name="sloof3060" localSheetId="1">#REF!</definedName>
    <definedName name="sloof3060">#REF!</definedName>
    <definedName name="sloof3070" localSheetId="1">#REF!</definedName>
    <definedName name="sloof3070">#REF!</definedName>
    <definedName name="sloof3075" localSheetId="1">#REF!</definedName>
    <definedName name="sloof3075">#REF!</definedName>
    <definedName name="sloof3535" localSheetId="1">#REF!</definedName>
    <definedName name="sloof3535">#REF!</definedName>
    <definedName name="sloof3540" localSheetId="1">#REF!</definedName>
    <definedName name="sloof3540">#REF!</definedName>
    <definedName name="sloof3545" localSheetId="1">#REF!</definedName>
    <definedName name="sloof3545">#REF!</definedName>
    <definedName name="sloof3550" localSheetId="1">#REF!</definedName>
    <definedName name="sloof3550">#REF!</definedName>
    <definedName name="sloof3555" localSheetId="1">#REF!</definedName>
    <definedName name="sloof3555">#REF!</definedName>
    <definedName name="sloof3560" localSheetId="1">#REF!</definedName>
    <definedName name="sloof3560">#REF!</definedName>
    <definedName name="sloof3570" localSheetId="1">#REF!</definedName>
    <definedName name="sloof3570">#REF!</definedName>
    <definedName name="sloof3575" localSheetId="1">#REF!</definedName>
    <definedName name="sloof3575">#REF!</definedName>
    <definedName name="sloof3580" localSheetId="1">#REF!</definedName>
    <definedName name="sloof3580">#REF!</definedName>
    <definedName name="sloof4040" localSheetId="1">#REF!</definedName>
    <definedName name="sloof4040">#REF!</definedName>
    <definedName name="sloof4045" localSheetId="1">#REF!</definedName>
    <definedName name="sloof4045">#REF!</definedName>
    <definedName name="sloof4050" localSheetId="1">#REF!</definedName>
    <definedName name="sloof4050">#REF!</definedName>
    <definedName name="sloof4055" localSheetId="1">#REF!</definedName>
    <definedName name="sloof4055">#REF!</definedName>
    <definedName name="sloof4060" localSheetId="1">#REF!</definedName>
    <definedName name="sloof4060">#REF!</definedName>
    <definedName name="sloof4070" localSheetId="1">#REF!</definedName>
    <definedName name="sloof4070">#REF!</definedName>
    <definedName name="sloof4075" localSheetId="1">#REF!</definedName>
    <definedName name="sloof4075">#REF!</definedName>
    <definedName name="sloof4080" localSheetId="1">#REF!</definedName>
    <definedName name="sloof4080">#REF!</definedName>
    <definedName name="sloof4545" localSheetId="1">#REF!</definedName>
    <definedName name="sloof4545">#REF!</definedName>
    <definedName name="sloof4550" localSheetId="1">#REF!</definedName>
    <definedName name="sloof4550">#REF!</definedName>
    <definedName name="sloof4555" localSheetId="1">#REF!</definedName>
    <definedName name="sloof4555">#REF!</definedName>
    <definedName name="sloof4560" localSheetId="1">#REF!</definedName>
    <definedName name="sloof4560">#REF!</definedName>
    <definedName name="sloof4570" localSheetId="1">#REF!</definedName>
    <definedName name="sloof4570">#REF!</definedName>
    <definedName name="sloof4575" localSheetId="1">#REF!</definedName>
    <definedName name="sloof4575">#REF!</definedName>
    <definedName name="sloof4580" localSheetId="1">#REF!</definedName>
    <definedName name="sloof4580">#REF!</definedName>
    <definedName name="sloof4590" localSheetId="1">#REF!</definedName>
    <definedName name="sloof4590">#REF!</definedName>
    <definedName name="sloof5050" localSheetId="1">#REF!</definedName>
    <definedName name="sloof5050">#REF!</definedName>
    <definedName name="sloof5055" localSheetId="1">#REF!</definedName>
    <definedName name="sloof5055">#REF!</definedName>
    <definedName name="sloof5060" localSheetId="1">#REF!</definedName>
    <definedName name="sloof5060">#REF!</definedName>
    <definedName name="sloof5070" localSheetId="1">#REF!</definedName>
    <definedName name="sloof5070">#REF!</definedName>
    <definedName name="sloof5075" localSheetId="1">#REF!</definedName>
    <definedName name="sloof5075">#REF!</definedName>
    <definedName name="sloof5080" localSheetId="1">#REF!</definedName>
    <definedName name="sloof5080">#REF!</definedName>
    <definedName name="sloof5090" localSheetId="1">#REF!</definedName>
    <definedName name="sloof5090">#REF!</definedName>
    <definedName name="Sloot_Jendela_Tunggal">[12]BAHAN!$D$601</definedName>
    <definedName name="Sloot_Pintu_berikut__Rantai">[12]BAHAN!$D$600</definedName>
    <definedName name="slotp">[5]BAHAN!$G$263</definedName>
    <definedName name="slr">[5]BAHAN!$G$56</definedName>
    <definedName name="smt">'[10]Sat~Bahu'!$G$53</definedName>
    <definedName name="sodaapi" localSheetId="1">#REF!</definedName>
    <definedName name="sodaapi">#REF!</definedName>
    <definedName name="sofboard" localSheetId="1">#REF!</definedName>
    <definedName name="sofboard">#REF!</definedName>
    <definedName name="SOLAR">#REF!</definedName>
    <definedName name="Solatif_ledeng" localSheetId="1">[12]BAHAN!#REF!</definedName>
    <definedName name="Solatif_ledeng">[12]BAHAN!#REF!</definedName>
    <definedName name="solignum">[12]DATA!$G$40</definedName>
    <definedName name="SOPIR_TRUK">#REF!</definedName>
    <definedName name="Sp.da" localSheetId="1">#REF!</definedName>
    <definedName name="Sp.da">#REF!</definedName>
    <definedName name="sp.db" localSheetId="1">#REF!</definedName>
    <definedName name="sp.db">#REF!</definedName>
    <definedName name="sp.dc" localSheetId="1">#REF!</definedName>
    <definedName name="sp.dc">#REF!</definedName>
    <definedName name="SP.III.14" localSheetId="1">#REF!</definedName>
    <definedName name="SP.III.14">#REF!</definedName>
    <definedName name="Sp.III.14." localSheetId="1">#REF!</definedName>
    <definedName name="Sp.III.14.">#REF!</definedName>
    <definedName name="SP.III.14A" localSheetId="1">#REF!</definedName>
    <definedName name="SP.III.14A">#REF!</definedName>
    <definedName name="SP.III.14B" localSheetId="1">#REF!</definedName>
    <definedName name="SP.III.14B">#REF!</definedName>
    <definedName name="Sp.III.16." localSheetId="1">#REF!</definedName>
    <definedName name="Sp.III.16.">#REF!</definedName>
    <definedName name="Sp.III.17." localSheetId="1">#REF!</definedName>
    <definedName name="Sp.III.17.">#REF!</definedName>
    <definedName name="Sp.III.18." localSheetId="1">#REF!</definedName>
    <definedName name="Sp.III.18.">#REF!</definedName>
    <definedName name="Sp.III.19." localSheetId="1">#REF!</definedName>
    <definedName name="Sp.III.19.">#REF!</definedName>
    <definedName name="Sp.IV.14.a" localSheetId="1">#REF!</definedName>
    <definedName name="Sp.IV.14.a">#REF!</definedName>
    <definedName name="Sp.IV.16.a" localSheetId="1">#REF!</definedName>
    <definedName name="Sp.IV.16.a">#REF!</definedName>
    <definedName name="Sp.IV.19.a" localSheetId="1">#REF!</definedName>
    <definedName name="Sp.IV.19.a">#REF!</definedName>
    <definedName name="Sp.IX" localSheetId="1">#REF!</definedName>
    <definedName name="Sp.IX">#REF!</definedName>
    <definedName name="Sp.IX.a" localSheetId="1">#REF!</definedName>
    <definedName name="Sp.IX.a">#REF!</definedName>
    <definedName name="Sp.V" localSheetId="1">#REF!</definedName>
    <definedName name="Sp.V">#REF!</definedName>
    <definedName name="Sp.V.1" localSheetId="1">#REF!</definedName>
    <definedName name="Sp.V.1">#REF!</definedName>
    <definedName name="sp.vd.i" localSheetId="1">#REF!</definedName>
    <definedName name="sp.vd.i">#REF!</definedName>
    <definedName name="sp.vd.ii" localSheetId="1">#REF!</definedName>
    <definedName name="sp.vd.ii">#REF!</definedName>
    <definedName name="sp.vd.iii" localSheetId="1">#REF!</definedName>
    <definedName name="sp.vd.iii">#REF!</definedName>
    <definedName name="sp.vd.iv" localSheetId="1">#REF!</definedName>
    <definedName name="sp.vd.iv">#REF!</definedName>
    <definedName name="sp.vd.v" localSheetId="1">#REF!</definedName>
    <definedName name="sp.vd.v">#REF!</definedName>
    <definedName name="SP.VII.a" localSheetId="1">#REF!</definedName>
    <definedName name="SP.VII.a">#REF!</definedName>
    <definedName name="Sp.VII.b" localSheetId="1">#REF!</definedName>
    <definedName name="Sp.VII.b">#REF!</definedName>
    <definedName name="Sp.Viv" localSheetId="1">#REF!</definedName>
    <definedName name="Sp.Viv">#REF!</definedName>
    <definedName name="sp.vo" localSheetId="1">#REF!</definedName>
    <definedName name="sp.vo">#REF!</definedName>
    <definedName name="Sp.Vp" localSheetId="1">#REF!</definedName>
    <definedName name="Sp.Vp">#REF!</definedName>
    <definedName name="sp.vpa" localSheetId="1">#REF!</definedName>
    <definedName name="sp.vpa">#REF!</definedName>
    <definedName name="sp.vpb" localSheetId="1">#REF!</definedName>
    <definedName name="sp.vpb">#REF!</definedName>
    <definedName name="Sp.Vu" localSheetId="1">#REF!</definedName>
    <definedName name="Sp.Vu">#REF!</definedName>
    <definedName name="sp.vv" localSheetId="1">#REF!</definedName>
    <definedName name="sp.vv">#REF!</definedName>
    <definedName name="Sp.Vvi" localSheetId="1">#REF!</definedName>
    <definedName name="Sp.Vvi">#REF!</definedName>
    <definedName name="Sp.Y4" localSheetId="1">#REF!</definedName>
    <definedName name="Sp.Y4">#REF!</definedName>
    <definedName name="spav">'[10]Sat~Bahu'!$G$82</definedName>
    <definedName name="spc">'[10]Sat~Bahu'!$G$55</definedName>
    <definedName name="spirtus" localSheetId="1">#REF!</definedName>
    <definedName name="spirtus">#REF!</definedName>
    <definedName name="spj">'[10]Sat~Bahu'!$G$66</definedName>
    <definedName name="SPL" localSheetId="1">#REF!</definedName>
    <definedName name="SPL">#REF!</definedName>
    <definedName name="splat">[5]BAHAN!$G$246</definedName>
    <definedName name="Split_pecah_mesin_2_3" localSheetId="1">[12]BAHAN!#REF!</definedName>
    <definedName name="Split_pecah_mesin_2_3">[12]BAHAN!#REF!</definedName>
    <definedName name="split1.2">#REF!</definedName>
    <definedName name="split2.3">#REF!</definedName>
    <definedName name="Sprayer" localSheetId="1">#REF!</definedName>
    <definedName name="Sprayer">#REF!</definedName>
    <definedName name="springknip" localSheetId="1">#REF!</definedName>
    <definedName name="springknip">#REF!</definedName>
    <definedName name="spsaub">'[10]Sat~Bahu'!$G$46</definedName>
    <definedName name="spsp">'[10]Sat~Bahu'!$G$47</definedName>
    <definedName name="spsu">'[10]Sat~Bahu'!$G$45</definedName>
    <definedName name="sQ">'[10]Sat~Bahu'!$G$28</definedName>
    <definedName name="SS">#REF!</definedName>
    <definedName name="sstpb">'[10]Sat~Bahu'!$G$31</definedName>
    <definedName name="st">[5]BAHAN!$G$221</definedName>
    <definedName name="STA_1" localSheetId="1">#REF!</definedName>
    <definedName name="STA_1">#REF!</definedName>
    <definedName name="STA_10" localSheetId="1">#REF!</definedName>
    <definedName name="STA_10">#REF!</definedName>
    <definedName name="STA_11" localSheetId="1">#REF!</definedName>
    <definedName name="STA_11">#REF!</definedName>
    <definedName name="STA_12" localSheetId="1">#REF!</definedName>
    <definedName name="STA_12">#REF!</definedName>
    <definedName name="STA_13" localSheetId="1">#REF!</definedName>
    <definedName name="STA_13">#REF!</definedName>
    <definedName name="STA_2" localSheetId="1">#REF!</definedName>
    <definedName name="STA_2">#REF!</definedName>
    <definedName name="STA_3" localSheetId="1">#REF!</definedName>
    <definedName name="STA_3">#REF!</definedName>
    <definedName name="STA_4" localSheetId="1">#REF!</definedName>
    <definedName name="STA_4">#REF!</definedName>
    <definedName name="STA_5" localSheetId="1">#REF!</definedName>
    <definedName name="STA_5">#REF!</definedName>
    <definedName name="STA_6" localSheetId="1">#REF!</definedName>
    <definedName name="STA_6">#REF!</definedName>
    <definedName name="STA_7" localSheetId="1">#REF!</definedName>
    <definedName name="STA_7">#REF!</definedName>
    <definedName name="STA_8" localSheetId="1">#REF!</definedName>
    <definedName name="STA_8">#REF!</definedName>
    <definedName name="STA_9" localSheetId="1">#REF!</definedName>
    <definedName name="STA_9">#REF!</definedName>
    <definedName name="stairnzing">#REF!</definedName>
    <definedName name="stam">'[10]Sat~Bahu'!$C$100</definedName>
    <definedName name="STB_1" localSheetId="1">#REF!</definedName>
    <definedName name="STB_1">#REF!</definedName>
    <definedName name="STB_2" localSheetId="1">#REF!</definedName>
    <definedName name="STB_2">#REF!</definedName>
    <definedName name="STB_3" localSheetId="1">#REF!</definedName>
    <definedName name="STB_3">#REF!</definedName>
    <definedName name="STB_4" localSheetId="1">#REF!</definedName>
    <definedName name="STB_4">#REF!</definedName>
    <definedName name="STB_5" localSheetId="1">#REF!</definedName>
    <definedName name="STB_5">#REF!</definedName>
    <definedName name="STB_6" localSheetId="1">#REF!</definedName>
    <definedName name="STB_6">#REF!</definedName>
    <definedName name="STB_7" localSheetId="1">#REF!</definedName>
    <definedName name="STB_7">#REF!</definedName>
    <definedName name="STB_8" localSheetId="1">#REF!</definedName>
    <definedName name="STB_8">#REF!</definedName>
    <definedName name="STC_1" localSheetId="1">#REF!</definedName>
    <definedName name="STC_1">#REF!</definedName>
    <definedName name="STC_10" localSheetId="1">#REF!</definedName>
    <definedName name="STC_10">#REF!</definedName>
    <definedName name="STC_11" localSheetId="1">#REF!</definedName>
    <definedName name="STC_11">#REF!</definedName>
    <definedName name="STC_12" localSheetId="1">#REF!</definedName>
    <definedName name="STC_12">#REF!</definedName>
    <definedName name="STC_13" localSheetId="1">#REF!</definedName>
    <definedName name="STC_13">#REF!</definedName>
    <definedName name="STC_14" localSheetId="1">#REF!</definedName>
    <definedName name="STC_14">#REF!</definedName>
    <definedName name="STC_15" localSheetId="1">#REF!</definedName>
    <definedName name="STC_15">#REF!</definedName>
    <definedName name="STC_16" localSheetId="1">#REF!</definedName>
    <definedName name="STC_16">#REF!</definedName>
    <definedName name="STC_2" localSheetId="1">#REF!</definedName>
    <definedName name="STC_2">#REF!</definedName>
    <definedName name="STC_3" localSheetId="1">#REF!</definedName>
    <definedName name="STC_3">#REF!</definedName>
    <definedName name="STC_4" localSheetId="1">#REF!</definedName>
    <definedName name="STC_4">#REF!</definedName>
    <definedName name="STC_5" localSheetId="1">#REF!</definedName>
    <definedName name="STC_5">#REF!</definedName>
    <definedName name="STC_6" localSheetId="1">#REF!</definedName>
    <definedName name="STC_6">#REF!</definedName>
    <definedName name="STC_7" localSheetId="1">#REF!</definedName>
    <definedName name="STC_7">#REF!</definedName>
    <definedName name="STC_8" localSheetId="1">#REF!</definedName>
    <definedName name="STC_8">#REF!</definedName>
    <definedName name="STC_9" localSheetId="1">#REF!</definedName>
    <definedName name="STC_9">#REF!</definedName>
    <definedName name="STD_1" localSheetId="1">#REF!</definedName>
    <definedName name="STD_1">#REF!</definedName>
    <definedName name="STD_10" localSheetId="1">#REF!</definedName>
    <definedName name="STD_10">#REF!</definedName>
    <definedName name="STD_11" localSheetId="1">#REF!</definedName>
    <definedName name="STD_11">#REF!</definedName>
    <definedName name="STD_12" localSheetId="1">#REF!</definedName>
    <definedName name="STD_12">#REF!</definedName>
    <definedName name="STD_13" localSheetId="1">#REF!</definedName>
    <definedName name="STD_13">#REF!</definedName>
    <definedName name="STD_14" localSheetId="1">#REF!</definedName>
    <definedName name="STD_14">#REF!</definedName>
    <definedName name="STD_15" localSheetId="1">#REF!</definedName>
    <definedName name="STD_15">#REF!</definedName>
    <definedName name="STD_16" localSheetId="1">#REF!</definedName>
    <definedName name="STD_16">#REF!</definedName>
    <definedName name="STD_17" localSheetId="1">#REF!</definedName>
    <definedName name="STD_17">#REF!</definedName>
    <definedName name="STD_18" localSheetId="1">#REF!</definedName>
    <definedName name="STD_18">#REF!</definedName>
    <definedName name="STD_19" localSheetId="1">#REF!</definedName>
    <definedName name="STD_19">#REF!</definedName>
    <definedName name="STD_2" localSheetId="1">#REF!</definedName>
    <definedName name="STD_2">#REF!</definedName>
    <definedName name="STD_20" localSheetId="1">#REF!</definedName>
    <definedName name="STD_20">#REF!</definedName>
    <definedName name="STD_21" localSheetId="1">#REF!</definedName>
    <definedName name="STD_21">#REF!</definedName>
    <definedName name="STD_22" localSheetId="1">#REF!</definedName>
    <definedName name="STD_22">#REF!</definedName>
    <definedName name="STD_23" localSheetId="1">#REF!</definedName>
    <definedName name="STD_23">#REF!</definedName>
    <definedName name="STD_24" localSheetId="1">#REF!</definedName>
    <definedName name="STD_24">#REF!</definedName>
    <definedName name="STD_25" localSheetId="1">#REF!</definedName>
    <definedName name="STD_25">#REF!</definedName>
    <definedName name="STD_26" localSheetId="1">#REF!</definedName>
    <definedName name="STD_26">#REF!</definedName>
    <definedName name="STD_27" localSheetId="1">#REF!</definedName>
    <definedName name="STD_27">#REF!</definedName>
    <definedName name="STD_28" localSheetId="1">#REF!</definedName>
    <definedName name="STD_28">#REF!</definedName>
    <definedName name="STD_29" localSheetId="1">#REF!</definedName>
    <definedName name="STD_29">#REF!</definedName>
    <definedName name="STD_3" localSheetId="1">#REF!</definedName>
    <definedName name="STD_3">#REF!</definedName>
    <definedName name="STD_4" localSheetId="1">#REF!</definedName>
    <definedName name="STD_4">#REF!</definedName>
    <definedName name="STD_5" localSheetId="1">#REF!</definedName>
    <definedName name="STD_5">#REF!</definedName>
    <definedName name="STD_6" localSheetId="1">#REF!</definedName>
    <definedName name="STD_6">#REF!</definedName>
    <definedName name="STD_7" localSheetId="1">#REF!</definedName>
    <definedName name="STD_7">#REF!</definedName>
    <definedName name="STD_8" localSheetId="1">#REF!</definedName>
    <definedName name="STD_8">#REF!</definedName>
    <definedName name="STD_9" localSheetId="1">#REF!</definedName>
    <definedName name="STD_9">#REF!</definedName>
    <definedName name="STE_1" localSheetId="1">#REF!</definedName>
    <definedName name="STE_1">#REF!</definedName>
    <definedName name="STE_10" localSheetId="1">#REF!</definedName>
    <definedName name="STE_10">#REF!</definedName>
    <definedName name="STE_2" localSheetId="1">#REF!</definedName>
    <definedName name="STE_2">#REF!</definedName>
    <definedName name="STE_3" localSheetId="1">#REF!</definedName>
    <definedName name="STE_3">#REF!</definedName>
    <definedName name="STE_4" localSheetId="1">#REF!</definedName>
    <definedName name="STE_4">#REF!</definedName>
    <definedName name="STE_5" localSheetId="1">#REF!</definedName>
    <definedName name="STE_5">#REF!</definedName>
    <definedName name="STE_6" localSheetId="1">#REF!</definedName>
    <definedName name="STE_6">#REF!</definedName>
    <definedName name="STE_7" localSheetId="1">#REF!</definedName>
    <definedName name="STE_7">#REF!</definedName>
    <definedName name="STE_8" localSheetId="1">#REF!</definedName>
    <definedName name="STE_8">#REF!</definedName>
    <definedName name="STE_9" localSheetId="1">#REF!</definedName>
    <definedName name="STE_9">#REF!</definedName>
    <definedName name="steel">'[24]WF '!#REF!</definedName>
    <definedName name="Steger_work">[12]DATA1!$I$11</definedName>
    <definedName name="stnh">'[10]Sat~Bahu'!$G$88</definedName>
    <definedName name="STONECRUSHER" localSheetId="1">#REF!</definedName>
    <definedName name="STONECRUSHER">#REF!</definedName>
    <definedName name="stoot">#N/A</definedName>
    <definedName name="stpb">'[10]Sat~Bahu'!$C$31</definedName>
    <definedName name="stpkrn">[5]BAHAN!#REF!</definedName>
    <definedName name="strorox" localSheetId="1">#REF!</definedName>
    <definedName name="strorox">#REF!</definedName>
    <definedName name="STRUKTUR" localSheetId="1">#REF!</definedName>
    <definedName name="STRUKTUR">#REF!</definedName>
    <definedName name="sudut10" localSheetId="1">#REF!</definedName>
    <definedName name="sudut10">#REF!</definedName>
    <definedName name="sudut15" localSheetId="1">#REF!</definedName>
    <definedName name="sudut15">#REF!</definedName>
    <definedName name="sudut25" localSheetId="1">#REF!</definedName>
    <definedName name="sudut25">#REF!</definedName>
    <definedName name="sudut30" localSheetId="1">#REF!</definedName>
    <definedName name="sudut30">#REF!</definedName>
    <definedName name="sudut35" localSheetId="1">#REF!</definedName>
    <definedName name="sudut35">#REF!</definedName>
    <definedName name="sudut40" localSheetId="1">#REF!</definedName>
    <definedName name="sudut40">#REF!</definedName>
    <definedName name="sudut50" localSheetId="1">#REF!</definedName>
    <definedName name="sudut50">#REF!</definedName>
    <definedName name="sudut55" localSheetId="1">#REF!</definedName>
    <definedName name="sudut55">#REF!</definedName>
    <definedName name="sudut60" localSheetId="1">#REF!</definedName>
    <definedName name="sudut60">#REF!</definedName>
    <definedName name="sudut65" localSheetId="1">#REF!</definedName>
    <definedName name="sudut65">#REF!</definedName>
    <definedName name="sudut70" localSheetId="1">#REF!</definedName>
    <definedName name="sudut70">#REF!</definedName>
    <definedName name="sudut75" localSheetId="1">#REF!</definedName>
    <definedName name="sudut75">#REF!</definedName>
    <definedName name="sudut80" localSheetId="1">#REF!</definedName>
    <definedName name="sudut80">#REF!</definedName>
    <definedName name="sukatani">#REF!</definedName>
    <definedName name="SUMBER">#REF!</definedName>
    <definedName name="sunloid">#REF!</definedName>
    <definedName name="Supprot_hargger">[12]DATA1!$I$24</definedName>
    <definedName name="T" localSheetId="1">#REF!</definedName>
    <definedName name="T">#REF!</definedName>
    <definedName name="t.sabun">#REF!</definedName>
    <definedName name="TA." localSheetId="1">#REF!</definedName>
    <definedName name="TA.">#REF!</definedName>
    <definedName name="talangseng">#REF!</definedName>
    <definedName name="taliijuk" localSheetId="1">#REF!</definedName>
    <definedName name="taliijuk">#REF!</definedName>
    <definedName name="TALUD" localSheetId="1">#REF!</definedName>
    <definedName name="TALUD">#REF!</definedName>
    <definedName name="TAMPER" localSheetId="1">#REF!</definedName>
    <definedName name="TAMPER">#REF!</definedName>
    <definedName name="tanah" localSheetId="1">#REF!</definedName>
    <definedName name="tanah">#REF!</definedName>
    <definedName name="tanah_liat">[12]BAHAN!$D$55</definedName>
    <definedName name="tanahliat" localSheetId="1">#REF!</definedName>
    <definedName name="tanahliat">#REF!</definedName>
    <definedName name="Tandem_Roller" localSheetId="1">#REF!</definedName>
    <definedName name="Tandem_Roller">#REF!</definedName>
    <definedName name="TANDEMROLLER" localSheetId="1">#REF!</definedName>
    <definedName name="TANDEMROLLER">#REF!</definedName>
    <definedName name="tankfb05">[5]BAHAN!$G$225</definedName>
    <definedName name="tankfb1">[5]BAHAN!$G$226</definedName>
    <definedName name="tankfb2">[5]BAHAN!#REF!</definedName>
    <definedName name="tanki">'[10]Sat~Bahu'!$C$105</definedName>
    <definedName name="tapak100140" localSheetId="1">#REF!</definedName>
    <definedName name="tapak100140">#REF!</definedName>
    <definedName name="tapak100150" localSheetId="1">#REF!</definedName>
    <definedName name="tapak100150">#REF!</definedName>
    <definedName name="tapak120120" localSheetId="1">#REF!</definedName>
    <definedName name="tapak120120">#REF!</definedName>
    <definedName name="tapak120140" localSheetId="1">#REF!</definedName>
    <definedName name="tapak120140">#REF!</definedName>
    <definedName name="tapak120150" localSheetId="1">#REF!</definedName>
    <definedName name="tapak120150">#REF!</definedName>
    <definedName name="tapak120160" localSheetId="1">#REF!</definedName>
    <definedName name="tapak120160">#REF!</definedName>
    <definedName name="tapak120175" localSheetId="1">#REF!</definedName>
    <definedName name="tapak120175">#REF!</definedName>
    <definedName name="tapak120180" localSheetId="1">#REF!</definedName>
    <definedName name="tapak120180">#REF!</definedName>
    <definedName name="tapak120200" localSheetId="1">#REF!</definedName>
    <definedName name="tapak120200">#REF!</definedName>
    <definedName name="tapak125125" localSheetId="1">#REF!</definedName>
    <definedName name="tapak125125">#REF!</definedName>
    <definedName name="tapak125140" localSheetId="1">#REF!</definedName>
    <definedName name="tapak125140">#REF!</definedName>
    <definedName name="tapak125150" localSheetId="1">#REF!</definedName>
    <definedName name="tapak125150">#REF!</definedName>
    <definedName name="tapak125160" localSheetId="1">#REF!</definedName>
    <definedName name="tapak125160">#REF!</definedName>
    <definedName name="tapak125175" localSheetId="1">#REF!</definedName>
    <definedName name="tapak125175">#REF!</definedName>
    <definedName name="tapak125180" localSheetId="1">#REF!</definedName>
    <definedName name="tapak125180">#REF!</definedName>
    <definedName name="tapak125200" localSheetId="1">#REF!</definedName>
    <definedName name="tapak125200">#REF!</definedName>
    <definedName name="tapak140140" localSheetId="1">#REF!</definedName>
    <definedName name="tapak140140">#REF!</definedName>
    <definedName name="tapak140150" localSheetId="1">#REF!</definedName>
    <definedName name="tapak140150">#REF!</definedName>
    <definedName name="tapak140160" localSheetId="1">#REF!</definedName>
    <definedName name="tapak140160">#REF!</definedName>
    <definedName name="tapak140175" localSheetId="1">#REF!</definedName>
    <definedName name="tapak140175">#REF!</definedName>
    <definedName name="tapak140180" localSheetId="1">#REF!</definedName>
    <definedName name="tapak140180">#REF!</definedName>
    <definedName name="tapak140200" localSheetId="1">#REF!</definedName>
    <definedName name="tapak140200">#REF!</definedName>
    <definedName name="tapak150150" localSheetId="1">#REF!</definedName>
    <definedName name="tapak150150">#REF!</definedName>
    <definedName name="tapak150160" localSheetId="1">#REF!</definedName>
    <definedName name="tapak150160">#REF!</definedName>
    <definedName name="tapak150170" localSheetId="1">#REF!</definedName>
    <definedName name="tapak150170">#REF!</definedName>
    <definedName name="tapak150180" localSheetId="1">#REF!</definedName>
    <definedName name="tapak150180">#REF!</definedName>
    <definedName name="tapak150200" localSheetId="1">#REF!</definedName>
    <definedName name="tapak150200">#REF!</definedName>
    <definedName name="tapak150220" localSheetId="1">#REF!</definedName>
    <definedName name="tapak150220">#REF!</definedName>
    <definedName name="tapak160160" localSheetId="1">#REF!</definedName>
    <definedName name="tapak160160">#REF!</definedName>
    <definedName name="tapak160170" localSheetId="1">#REF!</definedName>
    <definedName name="tapak160170">#REF!</definedName>
    <definedName name="tapak160175" localSheetId="1">#REF!</definedName>
    <definedName name="tapak160175">#REF!</definedName>
    <definedName name="tapak160180" localSheetId="1">#REF!</definedName>
    <definedName name="tapak160180">#REF!</definedName>
    <definedName name="tapak160200" localSheetId="1">#REF!</definedName>
    <definedName name="tapak160200">#REF!</definedName>
    <definedName name="tapak160220" localSheetId="1">#REF!</definedName>
    <definedName name="tapak160220">#REF!</definedName>
    <definedName name="tapak200200" localSheetId="1">#REF!</definedName>
    <definedName name="tapak200200">#REF!</definedName>
    <definedName name="tapak3060" localSheetId="1">#REF!</definedName>
    <definedName name="tapak3060">#REF!</definedName>
    <definedName name="tapak3070" localSheetId="1">#REF!</definedName>
    <definedName name="tapak3070">#REF!</definedName>
    <definedName name="tapak5050" localSheetId="1">#REF!</definedName>
    <definedName name="tapak5050">#REF!</definedName>
    <definedName name="tapak5060" localSheetId="1">#REF!</definedName>
    <definedName name="tapak5060">#REF!</definedName>
    <definedName name="tapak5075" localSheetId="1">#REF!</definedName>
    <definedName name="tapak5075">#REF!</definedName>
    <definedName name="tapak60100" localSheetId="1">#REF!</definedName>
    <definedName name="tapak60100">#REF!</definedName>
    <definedName name="tapak60120" localSheetId="1">#REF!</definedName>
    <definedName name="tapak60120">#REF!</definedName>
    <definedName name="tapak6075" localSheetId="1">#REF!</definedName>
    <definedName name="tapak6075">#REF!</definedName>
    <definedName name="tapak6080" localSheetId="1">#REF!</definedName>
    <definedName name="tapak6080">#REF!</definedName>
    <definedName name="tapak80100" localSheetId="1">#REF!</definedName>
    <definedName name="tapak80100">#REF!</definedName>
    <definedName name="tapak80120" localSheetId="1">#REF!</definedName>
    <definedName name="tapak80120">#REF!</definedName>
    <definedName name="tapak80160" localSheetId="1">#REF!</definedName>
    <definedName name="tapak80160">#REF!</definedName>
    <definedName name="tapak8080" localSheetId="1">#REF!</definedName>
    <definedName name="tapak8080">#REF!</definedName>
    <definedName name="tarikanjendela" localSheetId="1">#REF!</definedName>
    <definedName name="tarikanjendela">#REF!</definedName>
    <definedName name="tarikanpintu" localSheetId="1">#REF!</definedName>
    <definedName name="tarikanpintu">#REF!</definedName>
    <definedName name="tasik2" localSheetId="1">#REF!</definedName>
    <definedName name="tasik2">#REF!</definedName>
    <definedName name="tb" localSheetId="4">#REF!</definedName>
    <definedName name="TB">'[17]Harsat Upah'!$E$8</definedName>
    <definedName name="TBBST">'[17]Harsat Upah'!$E$14</definedName>
    <definedName name="TBBT" localSheetId="1">'[17]Harsat Upah'!#REF!</definedName>
    <definedName name="TBBT">'[17]Harsat Upah'!#REF!</definedName>
    <definedName name="TBPT" localSheetId="1">'[17]Harsat Upah'!#REF!</definedName>
    <definedName name="TBPT">'[17]Harsat Upah'!#REF!</definedName>
    <definedName name="TBST" localSheetId="1">'[17]Harsat Upah'!#REF!</definedName>
    <definedName name="TBST">'[17]Harsat Upah'!#REF!</definedName>
    <definedName name="TBT" localSheetId="1">'[17]Harsat Upah'!#REF!</definedName>
    <definedName name="TBT">'[17]Harsat Upah'!#REF!</definedName>
    <definedName name="TC">'[17]Harsat Upah'!$E$12</definedName>
    <definedName name="TCT" localSheetId="1">'[17]Harsat Upah'!#REF!</definedName>
    <definedName name="TCT">'[17]Harsat Upah'!#REF!</definedName>
    <definedName name="teak">[5]BAHAN!$G$50</definedName>
    <definedName name="Teak_wood_4_mm_120_x_240">[12]BAHAN!$D$168</definedName>
    <definedName name="Teak_wood_ukuran_pintu_4_mm">[12]BAHAN!$D$172</definedName>
    <definedName name="teakoil" localSheetId="1">#REF!</definedName>
    <definedName name="teakoil">#REF!</definedName>
    <definedName name="Teakplywood_4_mm_120_x_240" localSheetId="1">[12]BAHAN!#REF!</definedName>
    <definedName name="Teakplywood_4_mm_120_x_240">[12]BAHAN!#REF!</definedName>
    <definedName name="Teakplywood_4_mm_ukuran_pintu" localSheetId="1">[12]BAHAN!#REF!</definedName>
    <definedName name="Teakplywood_4_mm_ukuran_pintu">[12]BAHAN!#REF!</definedName>
    <definedName name="teakwood4mm" localSheetId="1">#REF!</definedName>
    <definedName name="teakwood4mm">#REF!</definedName>
    <definedName name="teakwood6mm" localSheetId="1">#REF!</definedName>
    <definedName name="teakwood6mm">#REF!</definedName>
    <definedName name="teakwood9mm" localSheetId="1">#REF!</definedName>
    <definedName name="teakwood9mm">#REF!</definedName>
    <definedName name="teakwpt">[5]BAHAN!$G$94</definedName>
    <definedName name="tebal10" localSheetId="1">#REF!</definedName>
    <definedName name="tebal10">#REF!</definedName>
    <definedName name="tebal11" localSheetId="1">#REF!</definedName>
    <definedName name="tebal11">#REF!</definedName>
    <definedName name="tebal12" localSheetId="1">#REF!</definedName>
    <definedName name="tebal12">#REF!</definedName>
    <definedName name="tebal13" localSheetId="1">#REF!</definedName>
    <definedName name="tebal13">#REF!</definedName>
    <definedName name="tebal14" localSheetId="1">#REF!</definedName>
    <definedName name="tebal14">#REF!</definedName>
    <definedName name="tebal15" localSheetId="1">#REF!</definedName>
    <definedName name="tebal15">#REF!</definedName>
    <definedName name="tebal16" localSheetId="1">#REF!</definedName>
    <definedName name="tebal16">#REF!</definedName>
    <definedName name="tebal17" localSheetId="1">#REF!</definedName>
    <definedName name="tebal17">#REF!</definedName>
    <definedName name="tebal18" localSheetId="1">#REF!</definedName>
    <definedName name="tebal18">#REF!</definedName>
    <definedName name="tebal19" localSheetId="1">#REF!</definedName>
    <definedName name="tebal19">#REF!</definedName>
    <definedName name="tebal20" localSheetId="1">#REF!</definedName>
    <definedName name="tebal20">#REF!</definedName>
    <definedName name="tebal5" localSheetId="1">#REF!</definedName>
    <definedName name="tebal5">#REF!</definedName>
    <definedName name="tebal6" localSheetId="1">#REF!</definedName>
    <definedName name="tebal6">#REF!</definedName>
    <definedName name="tebal7" localSheetId="1">#REF!</definedName>
    <definedName name="tebal7">#REF!</definedName>
    <definedName name="tebal8" localSheetId="1">#REF!</definedName>
    <definedName name="tebal8">#REF!</definedName>
    <definedName name="tebal9" localSheetId="1">#REF!</definedName>
    <definedName name="tebal9">#REF!</definedName>
    <definedName name="tebalbata" localSheetId="1">#REF!</definedName>
    <definedName name="tebalbata">#REF!</definedName>
    <definedName name="tebaldinding" localSheetId="1">#REF!</definedName>
    <definedName name="tebaldinding">#REF!</definedName>
    <definedName name="tegel20">#REF!</definedName>
    <definedName name="tegel30">#REF!</definedName>
    <definedName name="tegelabu20">[5]ANALISA!#REF!</definedName>
    <definedName name="tegelabu30">[5]ANALISA!#REF!</definedName>
    <definedName name="tegelpc20x20" localSheetId="1">#REF!</definedName>
    <definedName name="tegelpc20x20">#REF!</definedName>
    <definedName name="tegelplin20x20" localSheetId="1">#REF!</definedName>
    <definedName name="tegelplin20x20">#REF!</definedName>
    <definedName name="tegelplinpc10x20" localSheetId="1">#REF!</definedName>
    <definedName name="tegelplinpc10x20">#REF!</definedName>
    <definedName name="tegelplinteraso10x30" localSheetId="1">#REF!</definedName>
    <definedName name="tegelplinteraso10x30">#REF!</definedName>
    <definedName name="tegelporselen" localSheetId="1">#REF!</definedName>
    <definedName name="tegelporselen">#REF!</definedName>
    <definedName name="tegelporselen10x20warna" localSheetId="1">#REF!</definedName>
    <definedName name="tegelporselen10x20warna">#REF!</definedName>
    <definedName name="tegelporselen11x11" localSheetId="1">#REF!</definedName>
    <definedName name="tegelporselen11x11">#REF!</definedName>
    <definedName name="tegelporselen11x11warna" localSheetId="1">#REF!</definedName>
    <definedName name="tegelporselen11x11warna">#REF!</definedName>
    <definedName name="tegelporselen15x15" localSheetId="1">#REF!</definedName>
    <definedName name="tegelporselen15x15">#REF!</definedName>
    <definedName name="tegelporselen15x15warna" localSheetId="1">#REF!</definedName>
    <definedName name="tegelporselen15x15warna">#REF!</definedName>
    <definedName name="tegelporselen20x20warna" localSheetId="1">#REF!</definedName>
    <definedName name="tegelporselen20x20warna">#REF!</definedName>
    <definedName name="tegelteraso30x30" localSheetId="1">#REF!</definedName>
    <definedName name="tegelteraso30x30">#REF!</definedName>
    <definedName name="tegelteraso40x40" localSheetId="1">#REF!</definedName>
    <definedName name="tegelteraso40x40">#REF!</definedName>
    <definedName name="Telp" localSheetId="1">#REF!</definedName>
    <definedName name="Telp">#REF!</definedName>
    <definedName name="tempatcucipiring" localSheetId="1">#REF!</definedName>
    <definedName name="tempatcucipiring">#REF!</definedName>
    <definedName name="TENAGA">#REF!</definedName>
    <definedName name="terasocor" localSheetId="1">#REF!</definedName>
    <definedName name="terasocor">#REF!</definedName>
    <definedName name="terntang">#REF!</definedName>
    <definedName name="Terpentin">[12]BAHAN!$D$88</definedName>
    <definedName name="terpt">[5]BAHAN!$G$47</definedName>
    <definedName name="tg" localSheetId="4">[1]UPAH!$E$20</definedName>
    <definedName name="TG">'[42]Harsat Upah'!$E$12</definedName>
    <definedName name="tg.1da" localSheetId="1">#REF!</definedName>
    <definedName name="tg.1da">#REF!</definedName>
    <definedName name="tg.1e" localSheetId="1">#REF!</definedName>
    <definedName name="tg.1e">#REF!</definedName>
    <definedName name="tg.1f" localSheetId="1">#REF!</definedName>
    <definedName name="tg.1f">#REF!</definedName>
    <definedName name="tg.1g" localSheetId="1">#REF!</definedName>
    <definedName name="tg.1g">#REF!</definedName>
    <definedName name="tg.2" localSheetId="1">#REF!</definedName>
    <definedName name="tg.2">#REF!</definedName>
    <definedName name="tg.32e" localSheetId="1">#REF!</definedName>
    <definedName name="tg.32e">#REF!</definedName>
    <definedName name="tg.33g" localSheetId="1">#REF!</definedName>
    <definedName name="tg.33g">#REF!</definedName>
    <definedName name="tg.33i" localSheetId="1">#REF!</definedName>
    <definedName name="tg.33i">#REF!</definedName>
    <definedName name="tg.41" localSheetId="1">#REF!</definedName>
    <definedName name="tg.41">#REF!</definedName>
    <definedName name="tg.44" localSheetId="1">#REF!</definedName>
    <definedName name="tg.44">#REF!</definedName>
    <definedName name="tg.50b" localSheetId="1">#REF!</definedName>
    <definedName name="tg.50b">#REF!</definedName>
    <definedName name="tg.50k" localSheetId="1">#REF!</definedName>
    <definedName name="tg.50k">#REF!</definedName>
    <definedName name="tg.51c" localSheetId="1">#REF!</definedName>
    <definedName name="tg.51c">#REF!</definedName>
    <definedName name="tg.56" localSheetId="1">#REF!</definedName>
    <definedName name="tg.56">#REF!</definedName>
    <definedName name="tg.61" localSheetId="1">#REF!</definedName>
    <definedName name="tg.61">#REF!</definedName>
    <definedName name="tgbdk30">[5]BAHAN!#REF!</definedName>
    <definedName name="tgbsh20">[5]BAHAN!#REF!</definedName>
    <definedName name="tgbsh30">[5]BAHAN!#REF!</definedName>
    <definedName name="TGL" localSheetId="1">#REF!</definedName>
    <definedName name="TGL">#REF!</definedName>
    <definedName name="tgwafel20">[5]BAHAN!#REF!</definedName>
    <definedName name="tgwafel30">[5]BAHAN!#REF!</definedName>
    <definedName name="tgwrn20">[5]BAHAN!#REF!</definedName>
    <definedName name="tgwrn30">[5]BAHAN!#REF!</definedName>
    <definedName name="th.10" localSheetId="1">#REF!</definedName>
    <definedName name="th.10">#REF!</definedName>
    <definedName name="th.15" localSheetId="1">#REF!</definedName>
    <definedName name="th.15">#REF!</definedName>
    <definedName name="th.2" localSheetId="1">#REF!</definedName>
    <definedName name="th.2">#REF!</definedName>
    <definedName name="th.2a" localSheetId="1">#REF!</definedName>
    <definedName name="th.2a">#REF!</definedName>
    <definedName name="th.6" localSheetId="1">#REF!</definedName>
    <definedName name="th.6">#REF!</definedName>
    <definedName name="th.6a" localSheetId="1">#REF!</definedName>
    <definedName name="th.6a">#REF!</definedName>
    <definedName name="th.8" localSheetId="1">#REF!</definedName>
    <definedName name="th.8">#REF!</definedName>
    <definedName name="th.8a" localSheetId="1">#REF!</definedName>
    <definedName name="th.8a">#REF!</definedName>
    <definedName name="th.9" localSheetId="1">#REF!</definedName>
    <definedName name="th.9">#REF!</definedName>
    <definedName name="thlalu" localSheetId="1">#REF!</definedName>
    <definedName name="thlalu">#REF!</definedName>
    <definedName name="THREEWHEELROLLER" localSheetId="1">#REF!</definedName>
    <definedName name="THREEWHEELROLLER">#REF!</definedName>
    <definedName name="ti.2a" localSheetId="1">#REF!</definedName>
    <definedName name="ti.2a">#REF!</definedName>
    <definedName name="timah_patri">[12]DATA1!$I$21</definedName>
    <definedName name="timbunanpemadatan">'Timbunan Pemadatan'!$C$3:$J$154</definedName>
    <definedName name="Tiner_B">[12]BAHAN!$D$90</definedName>
    <definedName name="tinerb">#N/A</definedName>
    <definedName name="Tinner" localSheetId="1">[12]BAHAN!#REF!</definedName>
    <definedName name="Tinner">[12]BAHAN!#REF!</definedName>
    <definedName name="tipar">#REF!</definedName>
    <definedName name="TIREROLLER" localSheetId="1">#REF!</definedName>
    <definedName name="TIREROLLER">#REF!</definedName>
    <definedName name="titik" localSheetId="1">#REF!</definedName>
    <definedName name="titik">#REF!</definedName>
    <definedName name="titiklamput" localSheetId="1">#REF!</definedName>
    <definedName name="titiklamput">#REF!</definedName>
    <definedName name="tk" localSheetId="4">[5]BAHAN!$G$265</definedName>
    <definedName name="TK">'[17]Harsat Upah'!$E$10</definedName>
    <definedName name="tk.batut" localSheetId="1">#REF!</definedName>
    <definedName name="tk.batut">#REF!</definedName>
    <definedName name="tk.besit" localSheetId="1">#REF!</definedName>
    <definedName name="tk.besit">#REF!</definedName>
    <definedName name="tk.catt" localSheetId="1">#REF!</definedName>
    <definedName name="tk.catt">#REF!</definedName>
    <definedName name="tk.kayut" localSheetId="1">#REF!</definedName>
    <definedName name="tk.kayut">#REF!</definedName>
    <definedName name="TK_01">'[9]HRG BHN'!$G$607</definedName>
    <definedName name="TK_03A">'[9]HRG BHN'!$G$610</definedName>
    <definedName name="TK_03B">'[9]HRG BHN'!$G$611</definedName>
    <definedName name="TK_04A">'[9]HRG BHN'!$G$616</definedName>
    <definedName name="TK_04B">'[9]HRG BHN'!$G$617</definedName>
    <definedName name="TK_05">'[9]HRG BHN'!$G$613</definedName>
    <definedName name="TK_05A">'[9]HRG BHN'!$G$619</definedName>
    <definedName name="TK_09">'[9]HRG BHN'!$G$627</definedName>
    <definedName name="TK_13">'[9]HRG BHN'!$G$632</definedName>
    <definedName name="Tk_Batu_T">[34]Upah!$C$11</definedName>
    <definedName name="Tk_Cat_ST">[35]Upah!$D$19</definedName>
    <definedName name="tkb">[5]UPAH!$G$14</definedName>
    <definedName name="TKBS">[5]ANALISA!#REF!</definedName>
    <definedName name="tkc">[5]UPAH!$G$15</definedName>
    <definedName name="tkcatmelamik">#N/A</definedName>
    <definedName name="tkg">#REF!</definedName>
    <definedName name="TKK">[5]ANALISA!#REF!</definedName>
    <definedName name="TKR">[5]ANALISA!#REF!</definedName>
    <definedName name="TKRK">[5]ANALISA!#REF!</definedName>
    <definedName name="TKST">'[17]Harsat Upah'!$E$10</definedName>
    <definedName name="TKT" localSheetId="1">'[17]Harsat Upah'!#REF!</definedName>
    <definedName name="tkt" localSheetId="4">[5]UPAH!$G$12</definedName>
    <definedName name="TKT">'[17]Harsat Upah'!#REF!</definedName>
    <definedName name="tktayuhalus">#N/A</definedName>
    <definedName name="tky">[5]UPAH!$G$13</definedName>
    <definedName name="tl" localSheetId="1">#REF!</definedName>
    <definedName name="tl">#REF!</definedName>
    <definedName name="tnh">'[10]Sat~Bahu'!$C$88</definedName>
    <definedName name="TO">[5]ANALISA!#REF!</definedName>
    <definedName name="Tool__kunci_pipa">[12]DATA1!$I$34</definedName>
    <definedName name="total_I" localSheetId="1">#REF!</definedName>
    <definedName name="total_I">#REF!</definedName>
    <definedName name="total_II" localSheetId="1">#REF!</definedName>
    <definedName name="total_II">#REF!</definedName>
    <definedName name="TOWER" localSheetId="1">#REF!</definedName>
    <definedName name="TOWER">#REF!</definedName>
    <definedName name="tp80x80" localSheetId="1">#REF!</definedName>
    <definedName name="tp80x80">#REF!</definedName>
    <definedName name="TPBST">'[17]Harsat Upah'!$E$16</definedName>
    <definedName name="tpgyp">[5]BAHAN!$G$102</definedName>
    <definedName name="Track_Loader" localSheetId="1">#REF!</definedName>
    <definedName name="Track_Loader">#REF!</definedName>
    <definedName name="TRACKLOADER" localSheetId="1">#REF!</definedName>
    <definedName name="TRACKLOADER">#REF!</definedName>
    <definedName name="trailer">'[10]Sat~Bahu'!$C$106</definedName>
    <definedName name="TRAILLER" localSheetId="1">#REF!</definedName>
    <definedName name="TRAILLER">#REF!</definedName>
    <definedName name="TRIP">[5]ANALISA!#REF!</definedName>
    <definedName name="trip3">[5]BAHAN!$G$89</definedName>
    <definedName name="trip4">[5]BAHAN!$G$90</definedName>
    <definedName name="triplek">#REF!</definedName>
    <definedName name="Triplek_3_mm_120_x_240">[12]BAHAN!$D$153</definedName>
    <definedName name="Triplek_4_mm_120_x_240">[12]BAHAN!$D$154</definedName>
    <definedName name="Triplek_6_mm_120_x_240">[12]BAHAN!$D$156</definedName>
    <definedName name="Tripleks_4_mm_Ukuran_Pintu">[12]BAHAN!$D$155</definedName>
    <definedName name="triplekt" localSheetId="1">#REF!</definedName>
    <definedName name="triplekt">#REF!</definedName>
    <definedName name="trippt">[5]BAHAN!$G$91</definedName>
    <definedName name="trplektalumunium" localSheetId="1">#REF!</definedName>
    <definedName name="trplektalumunium">#REF!</definedName>
    <definedName name="tsp.53" localSheetId="1">#REF!</definedName>
    <definedName name="tsp.53">#REF!</definedName>
    <definedName name="tsp.5e" localSheetId="1">#REF!</definedName>
    <definedName name="tsp.5e">#REF!</definedName>
    <definedName name="tsp.iv" localSheetId="1">#REF!</definedName>
    <definedName name="tsp.iv">#REF!</definedName>
    <definedName name="tsp.ix" localSheetId="1">#REF!</definedName>
    <definedName name="tsp.ix">#REF!</definedName>
    <definedName name="tsp.ixa" localSheetId="1">#REF!</definedName>
    <definedName name="tsp.ixa">#REF!</definedName>
    <definedName name="tsp.ixb" localSheetId="1">#REF!</definedName>
    <definedName name="tsp.ixb">#REF!</definedName>
    <definedName name="tsp.v" localSheetId="1">#REF!</definedName>
    <definedName name="tsp.v">#REF!</definedName>
    <definedName name="tsp.va" localSheetId="1">#REF!</definedName>
    <definedName name="tsp.va">#REF!</definedName>
    <definedName name="tsp.vb" localSheetId="1">#REF!</definedName>
    <definedName name="tsp.vb">#REF!</definedName>
    <definedName name="tsp.vc" localSheetId="1">#REF!</definedName>
    <definedName name="tsp.vc">#REF!</definedName>
    <definedName name="tsp.vd" localSheetId="1">#REF!</definedName>
    <definedName name="tsp.vd">#REF!</definedName>
    <definedName name="tsp.vf" localSheetId="1">#REF!</definedName>
    <definedName name="tsp.vf">#REF!</definedName>
    <definedName name="tsp.viib" localSheetId="1">#REF!</definedName>
    <definedName name="tsp.viib">#REF!</definedName>
    <definedName name="tsp.viic" localSheetId="1">#REF!</definedName>
    <definedName name="tsp.viic">#REF!</definedName>
    <definedName name="tsp.y4" localSheetId="1">#REF!</definedName>
    <definedName name="tsp.y4">#REF!</definedName>
    <definedName name="tst">[5]UPAH!#REF!</definedName>
    <definedName name="tukang">#REF!</definedName>
    <definedName name="TUKANG_BATU_SETENGAH_TERAMPIL" localSheetId="4">#REF!</definedName>
    <definedName name="Tukang_Batu_Setengah_Terampil">[12]UPAH!$D$10</definedName>
    <definedName name="TUKANG_BATU_TERAMPIL" localSheetId="4">#REF!</definedName>
    <definedName name="Tukang_Batu_Terampil">[12]UPAH!$D$11</definedName>
    <definedName name="TUKANG_BESI_BETON_SETENGAH_TERAMPIL" localSheetId="4">#REF!</definedName>
    <definedName name="Tukang_Besi_Beton_Setengah_Terampil">[12]UPAH!$D$19</definedName>
    <definedName name="TUKANG_BESI_BETON_TERAMPIL" localSheetId="4">#REF!</definedName>
    <definedName name="Tukang_Besi_Beton_Terampil">[12]UPAH!$D$20</definedName>
    <definedName name="TUKANG_BESI_PROFIL_SETENGAH_TERAMPIL" localSheetId="4">#REF!</definedName>
    <definedName name="Tukang_Besi_Profil_Setengah_Terampil">[12]UPAH!$D$22</definedName>
    <definedName name="TUKANG_BESI_PROFIL_TERAMPIL" localSheetId="4">#REF!</definedName>
    <definedName name="Tukang_Besi_Profil_Terampil">[12]UPAH!$D$23</definedName>
    <definedName name="TUKANG_CAT__PLITUR_SETENGAH_TERAMPIL">#REF!</definedName>
    <definedName name="TUKANG_CAT__PLITUR_TERAMPIL">#REF!</definedName>
    <definedName name="Tukang_Cat_Pelitur_Setengah_Terampil">[12]UPAH!$D$16</definedName>
    <definedName name="Tukang_Cat_Pelitur_Terampil">[12]UPAH!$D$17</definedName>
    <definedName name="TUKANG_GALI" localSheetId="4">#REF!</definedName>
    <definedName name="Tukang_gali">[12]UPAH!$D$9</definedName>
    <definedName name="TUKANG_KAYU_SETENGAH_TERAMPIL" localSheetId="4">#REF!</definedName>
    <definedName name="Tukang_Kayu_Setengah_Terampil">[12]UPAH!$D$13</definedName>
    <definedName name="TUKANG_KAYU_TERAMPIL" localSheetId="4">#REF!</definedName>
    <definedName name="Tukang_Kayu_Terampil">[12]UPAH!$D$14</definedName>
    <definedName name="Tukang_pipa">[12]DATA1!$I$35</definedName>
    <definedName name="tukangbatut" localSheetId="1">#REF!</definedName>
    <definedName name="tukangbatut">#REF!</definedName>
    <definedName name="tukangcatt" localSheetId="1">#REF!</definedName>
    <definedName name="tukangcatt">#REF!</definedName>
    <definedName name="tukangkayut" localSheetId="1">#REF!</definedName>
    <definedName name="tukangkayut">#REF!</definedName>
    <definedName name="tukng">#REF!</definedName>
    <definedName name="turbo">[5]BAHAN!#REF!</definedName>
    <definedName name="turbogls">[5]BAHAN!#REF!</definedName>
    <definedName name="tw.1" localSheetId="1">#REF!</definedName>
    <definedName name="tw.1">#REF!</definedName>
    <definedName name="tw.1a" localSheetId="1">#REF!</definedName>
    <definedName name="tw.1a">#REF!</definedName>
    <definedName name="tw.1b" localSheetId="1">#REF!</definedName>
    <definedName name="tw.1b">#REF!</definedName>
    <definedName name="tw.3" localSheetId="1">#REF!</definedName>
    <definedName name="tw.3">#REF!</definedName>
    <definedName name="tw.6" localSheetId="1">#REF!</definedName>
    <definedName name="tw.6">#REF!</definedName>
    <definedName name="tw.7" localSheetId="1">#REF!</definedName>
    <definedName name="tw.7">#REF!</definedName>
    <definedName name="u.bekisting">#REF!</definedName>
    <definedName name="u.besi">#REF!</definedName>
    <definedName name="u.cor">#REF!</definedName>
    <definedName name="Ubin_abu___abu_20_20" localSheetId="1">[12]BAHAN!#REF!</definedName>
    <definedName name="Ubin_abu___abu_20_20">[12]BAHAN!#REF!</definedName>
    <definedName name="ubingranito30" localSheetId="1">#REF!</definedName>
    <definedName name="ubingranito30">#REF!</definedName>
    <definedName name="ubingranito40" localSheetId="1">#REF!</definedName>
    <definedName name="ubingranito40">#REF!</definedName>
    <definedName name="ubinkeramik1020" localSheetId="1">#REF!</definedName>
    <definedName name="ubinkeramik1020">#REF!</definedName>
    <definedName name="ubinkeramik1033" localSheetId="1">#REF!</definedName>
    <definedName name="ubinkeramik1033">#REF!</definedName>
    <definedName name="ubinkeramik1515" localSheetId="1">#REF!</definedName>
    <definedName name="ubinkeramik1515">#REF!</definedName>
    <definedName name="ubinkeramik1520" localSheetId="1">#REF!</definedName>
    <definedName name="ubinkeramik1520">#REF!</definedName>
    <definedName name="ubinkeramik2020" localSheetId="1">#REF!</definedName>
    <definedName name="ubinkeramik2020">#REF!</definedName>
    <definedName name="ubinkeramik2525" localSheetId="1">#REF!</definedName>
    <definedName name="ubinkeramik2525">#REF!</definedName>
    <definedName name="ubinkeramik3333" localSheetId="1">#REF!</definedName>
    <definedName name="ubinkeramik3333">#REF!</definedName>
    <definedName name="ubinkeramikantislip3333" localSheetId="1">#REF!</definedName>
    <definedName name="ubinkeramikantislip3333">#REF!</definedName>
    <definedName name="ubinkeramikartistik1010" localSheetId="1">#REF!</definedName>
    <definedName name="ubinkeramikartistik1010">#REF!</definedName>
    <definedName name="ubinkeramikartistik1020" localSheetId="1">#REF!</definedName>
    <definedName name="ubinkeramikartistik1020">#REF!</definedName>
    <definedName name="ubinkeramikartistik520" localSheetId="1">#REF!</definedName>
    <definedName name="ubinkeramikartistik520">#REF!</definedName>
    <definedName name="ubinmosaik3030" localSheetId="1">#REF!</definedName>
    <definedName name="ubinmosaik3030">#REF!</definedName>
    <definedName name="ubinpcabuabu20" localSheetId="1">#REF!</definedName>
    <definedName name="ubinpcabuabu20">#REF!</definedName>
    <definedName name="ubinpcabuabu30" localSheetId="1">#REF!</definedName>
    <definedName name="ubinpcabuabu30">#REF!</definedName>
    <definedName name="ubinpcabuabu40" localSheetId="1">#REF!</definedName>
    <definedName name="ubinpcabuabu40">#REF!</definedName>
    <definedName name="ubintahanasam" localSheetId="1">#REF!</definedName>
    <definedName name="ubintahanasam">#REF!</definedName>
    <definedName name="ubinteraluxkerang30" localSheetId="1">#REF!</definedName>
    <definedName name="ubinteraluxkerang30">#REF!</definedName>
    <definedName name="ubinteraluxkerang40" localSheetId="1">#REF!</definedName>
    <definedName name="ubinteraluxkerang40">#REF!</definedName>
    <definedName name="ubinteraluxkerang60" localSheetId="1">#REF!</definedName>
    <definedName name="ubinteraluxkerang60">#REF!</definedName>
    <definedName name="ubinteraluxmarmer30" localSheetId="1">#REF!</definedName>
    <definedName name="ubinteraluxmarmer30">#REF!</definedName>
    <definedName name="ubinteraluxmarmer40" localSheetId="1">#REF!</definedName>
    <definedName name="ubinteraluxmarmer40">#REF!</definedName>
    <definedName name="ubinteraluxmarmer60" localSheetId="1">#REF!</definedName>
    <definedName name="ubinteraluxmarmer60">#REF!</definedName>
    <definedName name="ubinteraso30" localSheetId="1">#REF!</definedName>
    <definedName name="ubinteraso30">#REF!</definedName>
    <definedName name="ubinteraso40" localSheetId="1">#REF!</definedName>
    <definedName name="ubinteraso40">#REF!</definedName>
    <definedName name="ubinwarna20" localSheetId="1">#REF!</definedName>
    <definedName name="ubinwarna20">#REF!</definedName>
    <definedName name="ubinwarna30" localSheetId="1">#REF!</definedName>
    <definedName name="ubinwarna30">#REF!</definedName>
    <definedName name="ubinwarna40" localSheetId="1">#REF!</definedName>
    <definedName name="ubinwarna40">#REF!</definedName>
    <definedName name="UBLKT">'[10]Sat~Bahu'!$H$18</definedName>
    <definedName name="UBLT">'[10]Sat~Bahu'!$H$19</definedName>
    <definedName name="UBLTT">'[10]Sat~Bahu'!$H$17</definedName>
    <definedName name="UK">'[10]Sat~Bahu'!$H$16</definedName>
    <definedName name="uk1010c615" localSheetId="1">#REF!</definedName>
    <definedName name="uk1010c615">#REF!</definedName>
    <definedName name="uk1010c815" localSheetId="1">#REF!</definedName>
    <definedName name="uk1010c815">#REF!</definedName>
    <definedName name="uk1013c615" localSheetId="1">#REF!</definedName>
    <definedName name="uk1013c615">#REF!</definedName>
    <definedName name="uk1013c815" localSheetId="1">#REF!</definedName>
    <definedName name="uk1013c815">#REF!</definedName>
    <definedName name="uk1015c615" localSheetId="1">#REF!</definedName>
    <definedName name="uk1015c615">#REF!</definedName>
    <definedName name="uk1015c815" localSheetId="1">#REF!</definedName>
    <definedName name="uk1015c815">#REF!</definedName>
    <definedName name="uk1020c615" localSheetId="1">#REF!</definedName>
    <definedName name="uk1020c615">#REF!</definedName>
    <definedName name="uk1020c815" localSheetId="1">#REF!</definedName>
    <definedName name="uk1020c815">#REF!</definedName>
    <definedName name="uk1025c615" localSheetId="1">#REF!</definedName>
    <definedName name="uk1025c615">#REF!</definedName>
    <definedName name="uk1025c815" localSheetId="1">#REF!</definedName>
    <definedName name="uk1025c815">#REF!</definedName>
    <definedName name="uk1030c615" localSheetId="1">#REF!</definedName>
    <definedName name="uk1030c615">#REF!</definedName>
    <definedName name="uk1030c815" localSheetId="1">#REF!</definedName>
    <definedName name="uk1030c815">#REF!</definedName>
    <definedName name="uk1213c615" localSheetId="1">#REF!</definedName>
    <definedName name="uk1213c615">#REF!</definedName>
    <definedName name="uk1213c815" localSheetId="1">#REF!</definedName>
    <definedName name="uk1213c815">#REF!</definedName>
    <definedName name="uk1215c615" localSheetId="1">#REF!</definedName>
    <definedName name="uk1215c615">#REF!</definedName>
    <definedName name="uk1215c815" localSheetId="1">#REF!</definedName>
    <definedName name="uk1215c815">#REF!</definedName>
    <definedName name="uk1220c615" localSheetId="1">#REF!</definedName>
    <definedName name="uk1220c615">#REF!</definedName>
    <definedName name="uk1220c815" localSheetId="1">#REF!</definedName>
    <definedName name="uk1220c815">#REF!</definedName>
    <definedName name="uk1225c615" localSheetId="1">#REF!</definedName>
    <definedName name="uk1225c615">#REF!</definedName>
    <definedName name="uk1225c815" localSheetId="1">#REF!</definedName>
    <definedName name="uk1225c815">#REF!</definedName>
    <definedName name="uk1230c615" localSheetId="1">#REF!</definedName>
    <definedName name="uk1230c615">#REF!</definedName>
    <definedName name="uk1230c815" localSheetId="1">#REF!</definedName>
    <definedName name="uk1230c815">#REF!</definedName>
    <definedName name="uk1313c615" localSheetId="1">#REF!</definedName>
    <definedName name="uk1313c615">#REF!</definedName>
    <definedName name="uk1313c815" localSheetId="1">#REF!</definedName>
    <definedName name="uk1313c815">#REF!</definedName>
    <definedName name="uk1315c615" localSheetId="1">#REF!</definedName>
    <definedName name="uk1315c615">#REF!</definedName>
    <definedName name="uk1315c815" localSheetId="1">#REF!</definedName>
    <definedName name="uk1315c815">#REF!</definedName>
    <definedName name="uk1515c615" localSheetId="1">#REF!</definedName>
    <definedName name="uk1515c615">#REF!</definedName>
    <definedName name="uk1515c815" localSheetId="1">#REF!</definedName>
    <definedName name="uk1515c815">#REF!</definedName>
    <definedName name="uk1520c615" localSheetId="1">#REF!</definedName>
    <definedName name="uk1520c615">#REF!</definedName>
    <definedName name="uk1520c815" localSheetId="1">#REF!</definedName>
    <definedName name="uk1520c815">#REF!</definedName>
    <definedName name="uk1525c615" localSheetId="1">#REF!</definedName>
    <definedName name="uk1525c615">#REF!</definedName>
    <definedName name="uk1525c815" localSheetId="1">#REF!</definedName>
    <definedName name="uk1525c815">#REF!</definedName>
    <definedName name="uk1530c615" localSheetId="1">#REF!</definedName>
    <definedName name="uk1530c615">#REF!</definedName>
    <definedName name="uk1530c815" localSheetId="1">#REF!</definedName>
    <definedName name="uk1530c815">#REF!</definedName>
    <definedName name="uk2020c615" localSheetId="1">#REF!</definedName>
    <definedName name="uk2020c615">#REF!</definedName>
    <definedName name="uk2020c815" localSheetId="1">#REF!</definedName>
    <definedName name="uk2020c815">#REF!</definedName>
    <definedName name="uk2025c615" localSheetId="1">#REF!</definedName>
    <definedName name="uk2025c615">#REF!</definedName>
    <definedName name="uk2025c815" localSheetId="1">#REF!</definedName>
    <definedName name="uk2025c815">#REF!</definedName>
    <definedName name="uk2030c615" localSheetId="1">#REF!</definedName>
    <definedName name="uk2030c615">#REF!</definedName>
    <definedName name="uk2030c815" localSheetId="1">#REF!</definedName>
    <definedName name="uk2030c815">#REF!</definedName>
    <definedName name="uk2035c615" localSheetId="1">#REF!</definedName>
    <definedName name="uk2035c615">#REF!</definedName>
    <definedName name="uk2035c815" localSheetId="1">#REF!</definedName>
    <definedName name="uk2035c815">#REF!</definedName>
    <definedName name="uk2040c615" localSheetId="1">#REF!</definedName>
    <definedName name="uk2040c615">#REF!</definedName>
    <definedName name="uk2040c815" localSheetId="1">#REF!</definedName>
    <definedName name="uk2040c815">#REF!</definedName>
    <definedName name="uk2045c615" localSheetId="1">#REF!</definedName>
    <definedName name="uk2045c615">#REF!</definedName>
    <definedName name="uk2045c815" localSheetId="1">#REF!</definedName>
    <definedName name="uk2045c815">#REF!</definedName>
    <definedName name="uk2050c615" localSheetId="1">#REF!</definedName>
    <definedName name="uk2050c615">#REF!</definedName>
    <definedName name="uk2050c815" localSheetId="1">#REF!</definedName>
    <definedName name="uk2050c815">#REF!</definedName>
    <definedName name="uk2055c615" localSheetId="1">#REF!</definedName>
    <definedName name="uk2055c615">#REF!</definedName>
    <definedName name="uk2055c815" localSheetId="1">#REF!</definedName>
    <definedName name="uk2055c815">#REF!</definedName>
    <definedName name="uk2060c615" localSheetId="1">#REF!</definedName>
    <definedName name="uk2060c615">#REF!</definedName>
    <definedName name="uk2060c815" localSheetId="1">#REF!</definedName>
    <definedName name="uk2060c815">#REF!</definedName>
    <definedName name="uk2070c615" localSheetId="1">#REF!</definedName>
    <definedName name="uk2070c615">#REF!</definedName>
    <definedName name="uk2070c815" localSheetId="1">#REF!</definedName>
    <definedName name="uk2070c815">#REF!</definedName>
    <definedName name="uk2525c615" localSheetId="1">#REF!</definedName>
    <definedName name="uk2525c615">#REF!</definedName>
    <definedName name="uk2525c815" localSheetId="1">#REF!</definedName>
    <definedName name="uk2525c815">#REF!</definedName>
    <definedName name="uk2530c615" localSheetId="1">#REF!</definedName>
    <definedName name="uk2530c615">#REF!</definedName>
    <definedName name="uk2530c815" localSheetId="1">#REF!</definedName>
    <definedName name="uk2530c815">#REF!</definedName>
    <definedName name="uk2535c615" localSheetId="1">#REF!</definedName>
    <definedName name="uk2535c615">#REF!</definedName>
    <definedName name="uk2535c815" localSheetId="1">#REF!</definedName>
    <definedName name="uk2535c815">#REF!</definedName>
    <definedName name="uk2540c615" localSheetId="1">#REF!</definedName>
    <definedName name="uk2540c615">#REF!</definedName>
    <definedName name="uk2540c815" localSheetId="1">#REF!</definedName>
    <definedName name="uk2540c815">#REF!</definedName>
    <definedName name="uk2545c615" localSheetId="1">#REF!</definedName>
    <definedName name="uk2545c615">#REF!</definedName>
    <definedName name="uk2545c815" localSheetId="1">#REF!</definedName>
    <definedName name="uk2545c815">#REF!</definedName>
    <definedName name="uk2550c615" localSheetId="1">#REF!</definedName>
    <definedName name="uk2550c615">#REF!</definedName>
    <definedName name="uk2550c815" localSheetId="1">#REF!</definedName>
    <definedName name="uk2550c815">#REF!</definedName>
    <definedName name="uk2555c615" localSheetId="1">#REF!</definedName>
    <definedName name="uk2555c615">#REF!</definedName>
    <definedName name="uk2555c815" localSheetId="1">#REF!</definedName>
    <definedName name="uk2555c815">#REF!</definedName>
    <definedName name="uk2560c615" localSheetId="1">#REF!</definedName>
    <definedName name="uk2560c615">#REF!</definedName>
    <definedName name="uk2560c815" localSheetId="1">#REF!</definedName>
    <definedName name="uk2560c815">#REF!</definedName>
    <definedName name="uk2565c615" localSheetId="1">#REF!</definedName>
    <definedName name="uk2565c615">#REF!</definedName>
    <definedName name="uk2565c815" localSheetId="1">#REF!</definedName>
    <definedName name="uk2565c815">#REF!</definedName>
    <definedName name="uk2570c615" localSheetId="1">#REF!</definedName>
    <definedName name="uk2570c615">#REF!</definedName>
    <definedName name="uk2570c815" localSheetId="1">#REF!</definedName>
    <definedName name="uk2570c815">#REF!</definedName>
    <definedName name="uk3030c615" localSheetId="1">#REF!</definedName>
    <definedName name="uk3030c615">#REF!</definedName>
    <definedName name="uk3030c815" localSheetId="1">#REF!</definedName>
    <definedName name="uk3030c815">#REF!</definedName>
    <definedName name="uk3035c615" localSheetId="1">#REF!</definedName>
    <definedName name="uk3035c615">#REF!</definedName>
    <definedName name="uk3035c815" localSheetId="1">#REF!</definedName>
    <definedName name="uk3035c815">#REF!</definedName>
    <definedName name="uk3040c615" localSheetId="1">#REF!</definedName>
    <definedName name="uk3040c615">#REF!</definedName>
    <definedName name="uk3040c815" localSheetId="1">#REF!</definedName>
    <definedName name="uk3040c815">#REF!</definedName>
    <definedName name="uk3045c615" localSheetId="1">#REF!</definedName>
    <definedName name="uk3045c615">#REF!</definedName>
    <definedName name="uk3045c815" localSheetId="1">#REF!</definedName>
    <definedName name="uk3045c815">#REF!</definedName>
    <definedName name="uk3050c615" localSheetId="1">#REF!</definedName>
    <definedName name="uk3050c615">#REF!</definedName>
    <definedName name="uk3050c815" localSheetId="1">#REF!</definedName>
    <definedName name="uk3050c815">#REF!</definedName>
    <definedName name="uk3055c615" localSheetId="1">#REF!</definedName>
    <definedName name="uk3055c615">#REF!</definedName>
    <definedName name="uk3055c815" localSheetId="1">#REF!</definedName>
    <definedName name="uk3055c815">#REF!</definedName>
    <definedName name="uk3060c615" localSheetId="1">#REF!</definedName>
    <definedName name="uk3060c615">#REF!</definedName>
    <definedName name="uk3060c815" localSheetId="1">#REF!</definedName>
    <definedName name="uk3060c815">#REF!</definedName>
    <definedName name="uk3070c615" localSheetId="1">#REF!</definedName>
    <definedName name="uk3070c615">#REF!</definedName>
    <definedName name="uk3070c815" localSheetId="1">#REF!</definedName>
    <definedName name="uk3070c815">#REF!</definedName>
    <definedName name="uk3075c615" localSheetId="1">#REF!</definedName>
    <definedName name="uk3075c615">#REF!</definedName>
    <definedName name="uk3075c815" localSheetId="1">#REF!</definedName>
    <definedName name="uk3075c815">#REF!</definedName>
    <definedName name="uk3535c615" localSheetId="1">#REF!</definedName>
    <definedName name="uk3535c615">#REF!</definedName>
    <definedName name="uk3535c815" localSheetId="1">#REF!</definedName>
    <definedName name="uk3535c815">#REF!</definedName>
    <definedName name="uk3540c615" localSheetId="1">#REF!</definedName>
    <definedName name="uk3540c615">#REF!</definedName>
    <definedName name="uk3540c815" localSheetId="1">#REF!</definedName>
    <definedName name="uk3540c815">#REF!</definedName>
    <definedName name="uk3545c615" localSheetId="1">#REF!</definedName>
    <definedName name="uk3545c615">#REF!</definedName>
    <definedName name="uk3545c815" localSheetId="1">#REF!</definedName>
    <definedName name="uk3545c815">#REF!</definedName>
    <definedName name="uk3550c615" localSheetId="1">#REF!</definedName>
    <definedName name="uk3550c615">#REF!</definedName>
    <definedName name="uk3550c815" localSheetId="1">#REF!</definedName>
    <definedName name="uk3550c815">#REF!</definedName>
    <definedName name="uk3555c615" localSheetId="1">#REF!</definedName>
    <definedName name="uk3555c615">#REF!</definedName>
    <definedName name="uk3555c815" localSheetId="1">#REF!</definedName>
    <definedName name="uk3555c815">#REF!</definedName>
    <definedName name="uk3560c615" localSheetId="1">#REF!</definedName>
    <definedName name="uk3560c615">#REF!</definedName>
    <definedName name="uk3560c815" localSheetId="1">#REF!</definedName>
    <definedName name="uk3560c815">#REF!</definedName>
    <definedName name="uk3570c615" localSheetId="1">#REF!</definedName>
    <definedName name="uk3570c615">#REF!</definedName>
    <definedName name="uk3570c815" localSheetId="1">#REF!</definedName>
    <definedName name="uk3570c815">#REF!</definedName>
    <definedName name="uk3575c615" localSheetId="1">#REF!</definedName>
    <definedName name="uk3575c615">#REF!</definedName>
    <definedName name="uk3575c815" localSheetId="1">#REF!</definedName>
    <definedName name="uk3575c815">#REF!</definedName>
    <definedName name="uk3580c615" localSheetId="1">#REF!</definedName>
    <definedName name="uk3580c615">#REF!</definedName>
    <definedName name="uk3580c815" localSheetId="1">#REF!</definedName>
    <definedName name="uk3580c815">#REF!</definedName>
    <definedName name="uk4040c615" localSheetId="1">#REF!</definedName>
    <definedName name="uk4040c615">#REF!</definedName>
    <definedName name="uk4040c815" localSheetId="1">#REF!</definedName>
    <definedName name="uk4040c815">#REF!</definedName>
    <definedName name="uk4045c615" localSheetId="1">#REF!</definedName>
    <definedName name="uk4045c615">#REF!</definedName>
    <definedName name="uk4045c815" localSheetId="1">#REF!</definedName>
    <definedName name="uk4045c815">#REF!</definedName>
    <definedName name="uk4050c615" localSheetId="1">#REF!</definedName>
    <definedName name="uk4050c615">#REF!</definedName>
    <definedName name="uk4050c815" localSheetId="1">#REF!</definedName>
    <definedName name="uk4050c815">#REF!</definedName>
    <definedName name="uk4055c615" localSheetId="1">#REF!</definedName>
    <definedName name="uk4055c615">#REF!</definedName>
    <definedName name="uk4055c815" localSheetId="1">#REF!</definedName>
    <definedName name="uk4055c815">#REF!</definedName>
    <definedName name="uk4060c615" localSheetId="1">#REF!</definedName>
    <definedName name="uk4060c615">#REF!</definedName>
    <definedName name="uk4060c815" localSheetId="1">#REF!</definedName>
    <definedName name="uk4060c815">#REF!</definedName>
    <definedName name="uk4070c615" localSheetId="1">#REF!</definedName>
    <definedName name="uk4070c615">#REF!</definedName>
    <definedName name="uk4070c815" localSheetId="1">#REF!</definedName>
    <definedName name="uk4070c815">#REF!</definedName>
    <definedName name="uk4075c615" localSheetId="1">#REF!</definedName>
    <definedName name="uk4075c615">#REF!</definedName>
    <definedName name="uk4075c815" localSheetId="1">#REF!</definedName>
    <definedName name="uk4075c815">#REF!</definedName>
    <definedName name="uk4080c615" localSheetId="1">#REF!</definedName>
    <definedName name="uk4080c615">#REF!</definedName>
    <definedName name="uk4080c815" localSheetId="1">#REF!</definedName>
    <definedName name="uk4080c815">#REF!</definedName>
    <definedName name="uk4545c615" localSheetId="1">#REF!</definedName>
    <definedName name="uk4545c615">#REF!</definedName>
    <definedName name="uk4545c815" localSheetId="1">#REF!</definedName>
    <definedName name="uk4545c815">#REF!</definedName>
    <definedName name="uk4550c615" localSheetId="1">#REF!</definedName>
    <definedName name="uk4550c615">#REF!</definedName>
    <definedName name="uk4550c815" localSheetId="1">#REF!</definedName>
    <definedName name="uk4550c815">#REF!</definedName>
    <definedName name="uk4555c615" localSheetId="1">#REF!</definedName>
    <definedName name="uk4555c615">#REF!</definedName>
    <definedName name="uk4555c815" localSheetId="1">#REF!</definedName>
    <definedName name="uk4555c815">#REF!</definedName>
    <definedName name="uk4560c615" localSheetId="1">#REF!</definedName>
    <definedName name="uk4560c615">#REF!</definedName>
    <definedName name="uk4560c815" localSheetId="1">#REF!</definedName>
    <definedName name="uk4560c815">#REF!</definedName>
    <definedName name="uk4570c615" localSheetId="1">#REF!</definedName>
    <definedName name="uk4570c615">#REF!</definedName>
    <definedName name="uk4570c815" localSheetId="1">#REF!</definedName>
    <definedName name="uk4570c815">#REF!</definedName>
    <definedName name="uk4575c615" localSheetId="1">#REF!</definedName>
    <definedName name="uk4575c615">#REF!</definedName>
    <definedName name="uk4575c815" localSheetId="1">#REF!</definedName>
    <definedName name="uk4575c815">#REF!</definedName>
    <definedName name="uk4580c615" localSheetId="1">#REF!</definedName>
    <definedName name="uk4580c615">#REF!</definedName>
    <definedName name="uk4580c815" localSheetId="1">#REF!</definedName>
    <definedName name="uk4580c815">#REF!</definedName>
    <definedName name="uk4590c615" localSheetId="1">#REF!</definedName>
    <definedName name="uk4590c615">#REF!</definedName>
    <definedName name="uk4590c815" localSheetId="1">#REF!</definedName>
    <definedName name="uk4590c815">#REF!</definedName>
    <definedName name="uk5050c615" localSheetId="1">#REF!</definedName>
    <definedName name="uk5050c615">#REF!</definedName>
    <definedName name="uk5050c815" localSheetId="1">#REF!</definedName>
    <definedName name="uk5050c815">#REF!</definedName>
    <definedName name="uk5055c615" localSheetId="1">#REF!</definedName>
    <definedName name="uk5055c615">#REF!</definedName>
    <definedName name="uk5055c815" localSheetId="1">#REF!</definedName>
    <definedName name="uk5055c815">#REF!</definedName>
    <definedName name="uk5060c615" localSheetId="1">#REF!</definedName>
    <definedName name="uk5060c615">#REF!</definedName>
    <definedName name="uk5060c815" localSheetId="1">#REF!</definedName>
    <definedName name="uk5060c815">#REF!</definedName>
    <definedName name="uk5070c615" localSheetId="1">#REF!</definedName>
    <definedName name="uk5070c615">#REF!</definedName>
    <definedName name="uk5070c815" localSheetId="1">#REF!</definedName>
    <definedName name="uk5070c815">#REF!</definedName>
    <definedName name="uk5075c615" localSheetId="1">#REF!</definedName>
    <definedName name="uk5075c615">#REF!</definedName>
    <definedName name="uk5075c815" localSheetId="1">#REF!</definedName>
    <definedName name="uk5075c815">#REF!</definedName>
    <definedName name="uk5080c615" localSheetId="1">#REF!</definedName>
    <definedName name="uk5080c615">#REF!</definedName>
    <definedName name="uk5080c815" localSheetId="1">#REF!</definedName>
    <definedName name="uk5080c815">#REF!</definedName>
    <definedName name="uk5090c615" localSheetId="1">#REF!</definedName>
    <definedName name="uk5090c615">#REF!</definedName>
    <definedName name="uk5090c815" localSheetId="1">#REF!</definedName>
    <definedName name="uk5090c815">#REF!</definedName>
    <definedName name="uk6060c615" localSheetId="1">#REF!</definedName>
    <definedName name="uk6060c615">#REF!</definedName>
    <definedName name="uk6060c815" localSheetId="1">#REF!</definedName>
    <definedName name="uk6060c815">#REF!</definedName>
    <definedName name="uk7070c615" localSheetId="1">#REF!</definedName>
    <definedName name="uk7070c615">#REF!</definedName>
    <definedName name="uk7070c815" localSheetId="1">#REF!</definedName>
    <definedName name="uk7070c815">#REF!</definedName>
    <definedName name="UKT">'[10]Sat~Bahu'!$H$9</definedName>
    <definedName name="UML">'[10]Sat~Bahu'!$H$6</definedName>
    <definedName name="umur" localSheetId="1">#REF!</definedName>
    <definedName name="umur">#REF!</definedName>
    <definedName name="UOKT">'[10]Sat~Bahu'!$H$12</definedName>
    <definedName name="UOT">'[10]Sat~Bahu'!$H$11</definedName>
    <definedName name="UPAH" localSheetId="4">#REF!</definedName>
    <definedName name="upah">[18]h.satuan!$C$14:$C$23</definedName>
    <definedName name="upah175">#N/A</definedName>
    <definedName name="upah2">[18]h.satuan!$C$14:$F$23</definedName>
    <definedName name="upah225">#N/A</definedName>
    <definedName name="upahbahan">'Upah Bahan'!$F$9:$H$2831</definedName>
    <definedName name="upahbesi">#N/A</definedName>
    <definedName name="upahcorbeton" localSheetId="1">#REF!</definedName>
    <definedName name="upahcorbeton">#REF!</definedName>
    <definedName name="upahpapan">#N/A</definedName>
    <definedName name="upahredy">'[20]ANALISA (2)'!$J$234</definedName>
    <definedName name="upahstoot">#N/A</definedName>
    <definedName name="upasir" localSheetId="1">'[43]C. Analisa '!#REF!</definedName>
    <definedName name="upasir">'[43]C. Analisa '!#REF!</definedName>
    <definedName name="Uphmulti9mm">'[20]ANALISA (2)'!$I$346</definedName>
    <definedName name="UPO">'[10]Sat~Bahu'!$H$13</definedName>
    <definedName name="URAIAN" localSheetId="1">#REF!</definedName>
    <definedName name="URAIAN">#REF!</definedName>
    <definedName name="URAIAN21" localSheetId="1">#REF!</definedName>
    <definedName name="URAIAN21">#REF!</definedName>
    <definedName name="URAIAN22E" localSheetId="1">#REF!</definedName>
    <definedName name="URAIAN22E">#REF!</definedName>
    <definedName name="URAIAN22L" localSheetId="1">#REF!</definedName>
    <definedName name="URAIAN22L">#REF!</definedName>
    <definedName name="URAIAN231" localSheetId="1">#REF!</definedName>
    <definedName name="URAIAN231">#REF!</definedName>
    <definedName name="URAIAN232" localSheetId="1">#REF!</definedName>
    <definedName name="URAIAN232">#REF!</definedName>
    <definedName name="URAIAN233" localSheetId="1">#REF!</definedName>
    <definedName name="URAIAN233">#REF!</definedName>
    <definedName name="Uraian234" localSheetId="1">#REF!</definedName>
    <definedName name="Uraian234">#REF!</definedName>
    <definedName name="Uraian235" localSheetId="1">#REF!</definedName>
    <definedName name="Uraian235">#REF!</definedName>
    <definedName name="Uraian236" localSheetId="1">#REF!</definedName>
    <definedName name="Uraian236">#REF!</definedName>
    <definedName name="URAIAN241" localSheetId="1">#REF!</definedName>
    <definedName name="URAIAN241">#REF!</definedName>
    <definedName name="URAIAN242" localSheetId="1">#REF!</definedName>
    <definedName name="URAIAN242">#REF!</definedName>
    <definedName name="URAIAN243" localSheetId="1">#REF!</definedName>
    <definedName name="URAIAN243">#REF!</definedName>
    <definedName name="Uraian311" localSheetId="1">#REF!</definedName>
    <definedName name="Uraian311">#REF!</definedName>
    <definedName name="Uraian312" localSheetId="1">#REF!</definedName>
    <definedName name="Uraian312">#REF!</definedName>
    <definedName name="Uraian313" localSheetId="1">#REF!</definedName>
    <definedName name="Uraian313">#REF!</definedName>
    <definedName name="Uraian314" localSheetId="1">#REF!</definedName>
    <definedName name="Uraian314">#REF!</definedName>
    <definedName name="Uraian315" localSheetId="1">#REF!</definedName>
    <definedName name="Uraian315">#REF!</definedName>
    <definedName name="Uraian319" localSheetId="1">#REF!</definedName>
    <definedName name="Uraian319">#REF!</definedName>
    <definedName name="Uraian322" localSheetId="1">#REF!</definedName>
    <definedName name="Uraian322">#REF!</definedName>
    <definedName name="Uraian323" localSheetId="1">#REF!</definedName>
    <definedName name="Uraian323">#REF!</definedName>
    <definedName name="URAIAN323L" localSheetId="1">#REF!</definedName>
    <definedName name="URAIAN323L">#REF!</definedName>
    <definedName name="Uraian324" localSheetId="1">#REF!</definedName>
    <definedName name="Uraian324">#REF!</definedName>
    <definedName name="Uraian331" localSheetId="1">#REF!</definedName>
    <definedName name="Uraian331">#REF!</definedName>
    <definedName name="Uraian346" localSheetId="1">#REF!</definedName>
    <definedName name="Uraian346">#REF!</definedName>
    <definedName name="URAIAN421" localSheetId="1">#REF!</definedName>
    <definedName name="URAIAN421">#REF!</definedName>
    <definedName name="URAIAN422" localSheetId="1">#REF!</definedName>
    <definedName name="URAIAN422">#REF!</definedName>
    <definedName name="URAIAN423" localSheetId="1">#REF!</definedName>
    <definedName name="URAIAN423">#REF!</definedName>
    <definedName name="URAIAN424" localSheetId="1">#REF!</definedName>
    <definedName name="URAIAN424">#REF!</definedName>
    <definedName name="URAIAN425" localSheetId="1">#REF!</definedName>
    <definedName name="URAIAN425">#REF!</definedName>
    <definedName name="URAIAN426" localSheetId="1">#REF!</definedName>
    <definedName name="URAIAN426">#REF!</definedName>
    <definedName name="URAIAN427" localSheetId="1">#REF!</definedName>
    <definedName name="URAIAN427">#REF!</definedName>
    <definedName name="URAIAN511" localSheetId="1">#REF!</definedName>
    <definedName name="URAIAN511">#REF!</definedName>
    <definedName name="URAIAN512" localSheetId="1">#REF!</definedName>
    <definedName name="URAIAN512">#REF!</definedName>
    <definedName name="URAIAN521" localSheetId="1">#REF!</definedName>
    <definedName name="URAIAN521">#REF!</definedName>
    <definedName name="URAIAN522" localSheetId="1">#REF!</definedName>
    <definedName name="URAIAN522">#REF!</definedName>
    <definedName name="URAIAN541" localSheetId="1">#REF!</definedName>
    <definedName name="URAIAN541">#REF!</definedName>
    <definedName name="URAIAN542" localSheetId="1">#REF!</definedName>
    <definedName name="URAIAN542">#REF!</definedName>
    <definedName name="URAIAN611" localSheetId="1">#REF!</definedName>
    <definedName name="URAIAN611">#REF!</definedName>
    <definedName name="URAIAN612" localSheetId="1">#REF!</definedName>
    <definedName name="URAIAN612">#REF!</definedName>
    <definedName name="URAIAN621" localSheetId="1">#REF!</definedName>
    <definedName name="URAIAN621">#REF!</definedName>
    <definedName name="URAIAN622" localSheetId="1">#REF!</definedName>
    <definedName name="URAIAN622">#REF!</definedName>
    <definedName name="URAIAN623" localSheetId="1">#REF!</definedName>
    <definedName name="URAIAN623">#REF!</definedName>
    <definedName name="URAIAN631" localSheetId="1">#REF!</definedName>
    <definedName name="URAIAN631">#REF!</definedName>
    <definedName name="URAIAN632" localSheetId="1">#REF!</definedName>
    <definedName name="URAIAN632">#REF!</definedName>
    <definedName name="URAIAN633" localSheetId="1">#REF!</definedName>
    <definedName name="URAIAN633">#REF!</definedName>
    <definedName name="URAIAN634" localSheetId="1">#REF!</definedName>
    <definedName name="URAIAN634">#REF!</definedName>
    <definedName name="URAIAN635" localSheetId="1">#REF!</definedName>
    <definedName name="URAIAN635">#REF!</definedName>
    <definedName name="URAIAN635A" localSheetId="1">#REF!</definedName>
    <definedName name="URAIAN635A">#REF!</definedName>
    <definedName name="URAIAN636" localSheetId="1">#REF!</definedName>
    <definedName name="URAIAN636">#REF!</definedName>
    <definedName name="URAIAN641L" localSheetId="1">#REF!</definedName>
    <definedName name="URAIAN641L">#REF!</definedName>
    <definedName name="URAIAN642" localSheetId="1">#REF!</definedName>
    <definedName name="URAIAN642">#REF!</definedName>
    <definedName name="URAIAN65" localSheetId="1">#REF!</definedName>
    <definedName name="URAIAN65">#REF!</definedName>
    <definedName name="URAIAN66PERATA" localSheetId="1">#REF!</definedName>
    <definedName name="URAIAN66PERATA">#REF!</definedName>
    <definedName name="URAIAN66PERMUKAAN" localSheetId="1">#REF!</definedName>
    <definedName name="URAIAN66PERMUKAAN">#REF!</definedName>
    <definedName name="URAIAN7101" localSheetId="1">#REF!</definedName>
    <definedName name="URAIAN7101">#REF!</definedName>
    <definedName name="URAIAN7102" localSheetId="1">#REF!</definedName>
    <definedName name="URAIAN7102">#REF!</definedName>
    <definedName name="URAIAN7103" localSheetId="1">#REF!</definedName>
    <definedName name="URAIAN7103">#REF!</definedName>
    <definedName name="URAIAN711" localSheetId="1">#REF!</definedName>
    <definedName name="URAIAN711">#REF!</definedName>
    <definedName name="URAIAN712" localSheetId="1">#REF!</definedName>
    <definedName name="URAIAN712">#REF!</definedName>
    <definedName name="URAIAN713" localSheetId="1">#REF!</definedName>
    <definedName name="URAIAN713">#REF!</definedName>
    <definedName name="URAIAN714" localSheetId="1">#REF!</definedName>
    <definedName name="URAIAN714">#REF!</definedName>
    <definedName name="URAIAN715" localSheetId="1">#REF!</definedName>
    <definedName name="URAIAN715">#REF!</definedName>
    <definedName name="URAIAN716" localSheetId="1">#REF!</definedName>
    <definedName name="URAIAN716">#REF!</definedName>
    <definedName name="URAIAN717" localSheetId="1">#REF!</definedName>
    <definedName name="URAIAN717">#REF!</definedName>
    <definedName name="URAIAN718" localSheetId="1">#REF!</definedName>
    <definedName name="URAIAN718">#REF!</definedName>
    <definedName name="URAIAN721" localSheetId="1">#REF!</definedName>
    <definedName name="URAIAN721">#REF!</definedName>
    <definedName name="URAIAN731" localSheetId="1">#REF!</definedName>
    <definedName name="URAIAN731">#REF!</definedName>
    <definedName name="URAIAN732" localSheetId="1">#REF!</definedName>
    <definedName name="URAIAN732">#REF!</definedName>
    <definedName name="URAIAN733" localSheetId="1">#REF!</definedName>
    <definedName name="URAIAN733">#REF!</definedName>
    <definedName name="URAIAN734" localSheetId="1">#REF!</definedName>
    <definedName name="URAIAN734">#REF!</definedName>
    <definedName name="URAIAN735" localSheetId="1">#REF!</definedName>
    <definedName name="URAIAN735">#REF!</definedName>
    <definedName name="URAIAN744" localSheetId="1">#REF!</definedName>
    <definedName name="URAIAN744">#REF!</definedName>
    <definedName name="URAIAN745" localSheetId="1">#REF!</definedName>
    <definedName name="URAIAN745">#REF!</definedName>
    <definedName name="URAIAN7610" localSheetId="1">#REF!</definedName>
    <definedName name="URAIAN7610">#REF!</definedName>
    <definedName name="URAIAN7612a" localSheetId="1">#REF!</definedName>
    <definedName name="URAIAN7612a">#REF!</definedName>
    <definedName name="URAIAN7612b" localSheetId="1">#REF!</definedName>
    <definedName name="URAIAN7612b">#REF!</definedName>
    <definedName name="URAIAN7612c" localSheetId="1">#REF!</definedName>
    <definedName name="URAIAN7612c">#REF!</definedName>
    <definedName name="URAIAN7613a" localSheetId="1">#REF!</definedName>
    <definedName name="URAIAN7613a">#REF!</definedName>
    <definedName name="URAIAN7613b" localSheetId="1">#REF!</definedName>
    <definedName name="URAIAN7613b">#REF!</definedName>
    <definedName name="URAIAN7613c" localSheetId="1">#REF!</definedName>
    <definedName name="URAIAN7613c">#REF!</definedName>
    <definedName name="URAIAN7614a" localSheetId="1">#REF!</definedName>
    <definedName name="URAIAN7614a">#REF!</definedName>
    <definedName name="URAIAN7614b" localSheetId="1">#REF!</definedName>
    <definedName name="URAIAN7614b">#REF!</definedName>
    <definedName name="URAIAN7614d" localSheetId="1">#REF!</definedName>
    <definedName name="URAIAN7614d">#REF!</definedName>
    <definedName name="URAIAN7614e" localSheetId="1">#REF!</definedName>
    <definedName name="URAIAN7614e">#REF!</definedName>
    <definedName name="URAIAN7618" localSheetId="1">#REF!</definedName>
    <definedName name="URAIAN7618">#REF!</definedName>
    <definedName name="URAIAN7619" localSheetId="1">#REF!</definedName>
    <definedName name="URAIAN7619">#REF!</definedName>
    <definedName name="URAIAN768" localSheetId="1">#REF!</definedName>
    <definedName name="URAIAN768">#REF!</definedName>
    <definedName name="URAIAN769" localSheetId="1">#REF!</definedName>
    <definedName name="URAIAN769">#REF!</definedName>
    <definedName name="URAIAN76x" localSheetId="1">#REF!</definedName>
    <definedName name="URAIAN76x">#REF!</definedName>
    <definedName name="URAIAN771a" localSheetId="1">#REF!</definedName>
    <definedName name="URAIAN771a">#REF!</definedName>
    <definedName name="URAIAN771b" localSheetId="1">#REF!</definedName>
    <definedName name="URAIAN771b">#REF!</definedName>
    <definedName name="URAIAN771c" localSheetId="1">#REF!</definedName>
    <definedName name="URAIAN771c">#REF!</definedName>
    <definedName name="URAIAN771d" localSheetId="1">#REF!</definedName>
    <definedName name="URAIAN771d">#REF!</definedName>
    <definedName name="URAIAN772a" localSheetId="1">#REF!</definedName>
    <definedName name="URAIAN772a">#REF!</definedName>
    <definedName name="URAIAN772b" localSheetId="1">#REF!</definedName>
    <definedName name="URAIAN772b">#REF!</definedName>
    <definedName name="URAIAN772c" localSheetId="1">#REF!</definedName>
    <definedName name="URAIAN772c">#REF!</definedName>
    <definedName name="URAIAN772d" localSheetId="1">#REF!</definedName>
    <definedName name="URAIAN772d">#REF!</definedName>
    <definedName name="URAIAN79manual" localSheetId="1">#REF!</definedName>
    <definedName name="URAIAN79manual">#REF!</definedName>
    <definedName name="URAIAN79mekanis" localSheetId="1">#REF!</definedName>
    <definedName name="URAIAN79mekanis">#REF!</definedName>
    <definedName name="URAIANGEOTEKSTIL" localSheetId="1">#REF!</definedName>
    <definedName name="URAIANGEOTEKSTIL">#REF!</definedName>
    <definedName name="urgkmb">[5]SATUAN!$I$27</definedName>
    <definedName name="urgpsr5">[5]SATUAN!$I$30</definedName>
    <definedName name="urinoir" localSheetId="1">#REF!</definedName>
    <definedName name="urinoir">#REF!</definedName>
    <definedName name="urnor">[5]BAHAN!$G$219</definedName>
    <definedName name="urug">#REF!</definedName>
    <definedName name="uruganpasir">[5]ANALISA!#REF!</definedName>
    <definedName name="urugantanah">[5]ANALISA!#REF!</definedName>
    <definedName name="urugpasir">#REF!</definedName>
    <definedName name="usd" localSheetId="1">#REF!</definedName>
    <definedName name="usd">#REF!</definedName>
    <definedName name="UST">'[10]Sat~Bahu'!$H$14</definedName>
    <definedName name="UTAIAN7614c" localSheetId="1">#REF!</definedName>
    <definedName name="UTAIAN7614c">#REF!</definedName>
    <definedName name="UTK">'[10]Sat~Bahu'!$H$10</definedName>
    <definedName name="V" localSheetId="1">#REF!</definedName>
    <definedName name="V">#REF!</definedName>
    <definedName name="vbv">[44]BAHAN!#REF!</definedName>
    <definedName name="venetionblinds" localSheetId="1">#REF!</definedName>
    <definedName name="venetionblinds">#REF!</definedName>
    <definedName name="ver">[5]BAHAN!$G$51</definedName>
    <definedName name="vernis" localSheetId="1">#REF!</definedName>
    <definedName name="vernis">#REF!</definedName>
    <definedName name="vertikalsblinds" localSheetId="1">#REF!</definedName>
    <definedName name="vertikalsblinds">#REF!</definedName>
    <definedName name="VIBROROLLER" localSheetId="1">#REF!</definedName>
    <definedName name="VIBROROLLER">#REF!</definedName>
    <definedName name="vinylasbes" localSheetId="1">#REF!</definedName>
    <definedName name="vinylasbes">#REF!</definedName>
    <definedName name="vinylkaret3030" localSheetId="1">#REF!</definedName>
    <definedName name="vinylkaret3030">#REF!</definedName>
    <definedName name="vinylkaretklII" localSheetId="1">#REF!</definedName>
    <definedName name="vinylkaretklII">#REF!</definedName>
    <definedName name="vinylmotifkembang" localSheetId="1">#REF!</definedName>
    <definedName name="vinylmotifkembang">#REF!</definedName>
    <definedName name="vinylwallcovering" localSheetId="1">#REF!</definedName>
    <definedName name="vinylwallcovering">#REF!</definedName>
    <definedName name="vlam">[5]BAHAN!#REF!</definedName>
    <definedName name="VOLUME" localSheetId="1">#REF!</definedName>
    <definedName name="VOLUME">#REF!</definedName>
    <definedName name="W" localSheetId="1">#REF!</definedName>
    <definedName name="W">#REF!</definedName>
    <definedName name="w.1" localSheetId="1">#REF!</definedName>
    <definedName name="w.1">#REF!</definedName>
    <definedName name="w.1a" localSheetId="1">#REF!</definedName>
    <definedName name="w.1a">#REF!</definedName>
    <definedName name="w.1b" localSheetId="1">#REF!</definedName>
    <definedName name="w.1b">#REF!</definedName>
    <definedName name="w.3" localSheetId="1">#REF!</definedName>
    <definedName name="w.3">#REF!</definedName>
    <definedName name="w.6" localSheetId="1">#REF!</definedName>
    <definedName name="w.6">#REF!</definedName>
    <definedName name="w.7" localSheetId="1">#REF!</definedName>
    <definedName name="w.7">#REF!</definedName>
    <definedName name="w.stain">#REF!</definedName>
    <definedName name="wallpaper" localSheetId="1">#REF!</definedName>
    <definedName name="wallpaper">#REF!</definedName>
    <definedName name="washtafel">#REF!</definedName>
    <definedName name="wastafel" localSheetId="1">#REF!</definedName>
    <definedName name="wastafel">#REF!</definedName>
    <definedName name="Wastafel_Lengkap_TOTO_LW_230">[12]BAHAN!$D$438</definedName>
    <definedName name="wastpl">[5]BAHAN!$G$220</definedName>
    <definedName name="water.prof">#REF!</definedName>
    <definedName name="Water_Pump_4" localSheetId="1">#REF!</definedName>
    <definedName name="Water_Pump_4">#REF!</definedName>
    <definedName name="Water_Tank" localSheetId="1">#REF!</definedName>
    <definedName name="Water_Tank">#REF!</definedName>
    <definedName name="waterdrainaksesoris" localSheetId="1">#REF!</definedName>
    <definedName name="waterdrainaksesoris">#REF!</definedName>
    <definedName name="WATERPUMP" localSheetId="1">#REF!</definedName>
    <definedName name="WATERPUMP">#REF!</definedName>
    <definedName name="waterstop150" localSheetId="1">#REF!</definedName>
    <definedName name="waterstop150">#REF!</definedName>
    <definedName name="waterstop200" localSheetId="1">#REF!</definedName>
    <definedName name="waterstop200">#REF!</definedName>
    <definedName name="waterstop230" localSheetId="1">#REF!</definedName>
    <definedName name="waterstop230">#REF!</definedName>
    <definedName name="waterstop250" localSheetId="1">#REF!</definedName>
    <definedName name="waterstop250">#REF!</definedName>
    <definedName name="waterstop300" localSheetId="1">#REF!</definedName>
    <definedName name="waterstop300">#REF!</definedName>
    <definedName name="waterstop320" localSheetId="1">#REF!</definedName>
    <definedName name="waterstop320">#REF!</definedName>
    <definedName name="WATERTANKER" localSheetId="1">#REF!</definedName>
    <definedName name="WATERTANKER">#REF!</definedName>
    <definedName name="wd">[5]BAHAN!$G$155</definedName>
    <definedName name="Wheel_Loader" localSheetId="1">#REF!</definedName>
    <definedName name="Wheel_Loader">#REF!</definedName>
    <definedName name="WHEELLOADER" localSheetId="1">#REF!</definedName>
    <definedName name="WHEELLOADER">#REF!</definedName>
    <definedName name="wl.80hp">'[10]Sat~Bahu'!$C$94</definedName>
    <definedName name="Wood_Filer__Infra" localSheetId="1">[12]BAHAN!#REF!</definedName>
    <definedName name="Wood_Filer__Infra">[12]BAHAN!#REF!</definedName>
    <definedName name="Wp.5">'[10]Sat~Bahu'!$C$112</definedName>
    <definedName name="wppr">[5]BAHAN!$G$119</definedName>
    <definedName name="wstpt">[5]BAHAN!#REF!</definedName>
    <definedName name="wstwr">[5]BAHAN!#REF!</definedName>
    <definedName name="wt.60hp">'[10]Sat~Bahu'!$C$95</definedName>
    <definedName name="WTP">'[29]Anl-BM'!$H$6</definedName>
    <definedName name="xxx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B30" i="52" l="1"/>
  <c r="B17" i="52"/>
  <c r="F299" i="52"/>
  <c r="F320" i="52"/>
  <c r="F178" i="52"/>
  <c r="F157" i="52"/>
  <c r="F293" i="52"/>
  <c r="F294" i="52"/>
  <c r="F307" i="52"/>
  <c r="F306" i="52" s="1"/>
  <c r="F300" i="52"/>
  <c r="F290" i="52"/>
  <c r="F291" i="52" s="1"/>
  <c r="F292" i="52" s="1"/>
  <c r="F158" i="52"/>
  <c r="F357" i="52"/>
  <c r="H357" i="52" s="1"/>
  <c r="F356" i="52"/>
  <c r="H356" i="52" s="1"/>
  <c r="F355" i="52"/>
  <c r="F354" i="52"/>
  <c r="F344" i="52"/>
  <c r="F315" i="52"/>
  <c r="F313" i="52"/>
  <c r="F314" i="52" s="1"/>
  <c r="F321" i="52" s="1"/>
  <c r="F148" i="52"/>
  <c r="F149" i="52" s="1"/>
  <c r="F150" i="52" s="1"/>
  <c r="C42" i="52"/>
  <c r="B42" i="52"/>
  <c r="C41" i="52"/>
  <c r="B41" i="52"/>
  <c r="C40" i="52"/>
  <c r="B40" i="52"/>
  <c r="C39" i="52"/>
  <c r="B39" i="52"/>
  <c r="C38" i="52"/>
  <c r="B38" i="52"/>
  <c r="C37" i="52"/>
  <c r="B37" i="52"/>
  <c r="C36" i="52"/>
  <c r="B36" i="52"/>
  <c r="B35" i="52"/>
  <c r="C35" i="52"/>
  <c r="C34" i="52"/>
  <c r="B34" i="52"/>
  <c r="C33" i="52"/>
  <c r="B33" i="52"/>
  <c r="C32" i="52"/>
  <c r="B32" i="52"/>
  <c r="B31" i="52"/>
  <c r="C31" i="52"/>
  <c r="C30" i="52"/>
  <c r="C17" i="52"/>
  <c r="H376" i="52"/>
  <c r="H375" i="52"/>
  <c r="G374" i="52"/>
  <c r="G373" i="52"/>
  <c r="F373" i="52"/>
  <c r="G368" i="52"/>
  <c r="G367" i="52"/>
  <c r="G366" i="52"/>
  <c r="G365" i="52"/>
  <c r="G364" i="52"/>
  <c r="G363" i="52"/>
  <c r="G358" i="52"/>
  <c r="G355" i="52"/>
  <c r="G354" i="52"/>
  <c r="G353" i="52"/>
  <c r="G352" i="52"/>
  <c r="G351" i="52"/>
  <c r="G350" i="52"/>
  <c r="G349" i="52"/>
  <c r="G348" i="52"/>
  <c r="G347" i="52"/>
  <c r="G346" i="52"/>
  <c r="G345" i="52"/>
  <c r="G344" i="52"/>
  <c r="G343" i="52"/>
  <c r="G342" i="52"/>
  <c r="H341" i="52"/>
  <c r="G336" i="52"/>
  <c r="G335" i="52"/>
  <c r="H335" i="52" s="1"/>
  <c r="G334" i="52"/>
  <c r="H334" i="52" s="1"/>
  <c r="G332" i="52"/>
  <c r="H332" i="52" s="1"/>
  <c r="G331" i="52"/>
  <c r="H331" i="52" s="1"/>
  <c r="G330" i="52"/>
  <c r="G329" i="52"/>
  <c r="H329" i="52" s="1"/>
  <c r="G328" i="52"/>
  <c r="G327" i="52"/>
  <c r="H327" i="52" s="1"/>
  <c r="G326" i="52"/>
  <c r="H326" i="52" s="1"/>
  <c r="G321" i="52"/>
  <c r="G320" i="52"/>
  <c r="G315" i="52"/>
  <c r="G314" i="52"/>
  <c r="G313" i="52"/>
  <c r="G308" i="52"/>
  <c r="H308" i="52" s="1"/>
  <c r="G307" i="52"/>
  <c r="G306" i="52"/>
  <c r="G301" i="52"/>
  <c r="G300" i="52"/>
  <c r="G299" i="52"/>
  <c r="G294" i="52"/>
  <c r="G293" i="52"/>
  <c r="G292" i="52"/>
  <c r="G291" i="52"/>
  <c r="G290" i="52"/>
  <c r="H285" i="52"/>
  <c r="G284" i="52"/>
  <c r="G283" i="52"/>
  <c r="G282" i="52"/>
  <c r="H282" i="52" s="1"/>
  <c r="G279" i="52"/>
  <c r="H279" i="52" s="1"/>
  <c r="G278" i="52"/>
  <c r="H278" i="52" s="1"/>
  <c r="G277" i="52"/>
  <c r="G274" i="52"/>
  <c r="G273" i="52"/>
  <c r="H273" i="52" s="1"/>
  <c r="G272" i="52"/>
  <c r="G271" i="52"/>
  <c r="H271" i="52" s="1"/>
  <c r="G268" i="52"/>
  <c r="H268" i="52" s="1"/>
  <c r="G267" i="52"/>
  <c r="G266" i="52"/>
  <c r="G265" i="52"/>
  <c r="H265" i="52" s="1"/>
  <c r="G261" i="52"/>
  <c r="G260" i="52"/>
  <c r="G259" i="52"/>
  <c r="G256" i="52"/>
  <c r="H256" i="52" s="1"/>
  <c r="G255" i="52"/>
  <c r="G254" i="52"/>
  <c r="G253" i="52"/>
  <c r="G247" i="52"/>
  <c r="G242" i="52"/>
  <c r="H242" i="52" s="1"/>
  <c r="G241" i="52"/>
  <c r="G240" i="52"/>
  <c r="H240" i="52" s="1"/>
  <c r="G239" i="52"/>
  <c r="F231" i="52"/>
  <c r="F179" i="52"/>
  <c r="F173" i="52"/>
  <c r="F171" i="52"/>
  <c r="F172" i="52" s="1"/>
  <c r="F165" i="52"/>
  <c r="F152" i="52"/>
  <c r="F151" i="52"/>
  <c r="D70" i="52"/>
  <c r="D74" i="52"/>
  <c r="D73" i="52"/>
  <c r="D72" i="52"/>
  <c r="D71" i="52"/>
  <c r="D69" i="52"/>
  <c r="D68" i="52"/>
  <c r="D67" i="52"/>
  <c r="H215" i="52"/>
  <c r="H214" i="52"/>
  <c r="H234" i="52"/>
  <c r="G372" i="46"/>
  <c r="G366" i="46"/>
  <c r="H366" i="46" s="1"/>
  <c r="G363" i="46"/>
  <c r="H363" i="46" s="1"/>
  <c r="G362" i="46"/>
  <c r="H362" i="46" s="1"/>
  <c r="G361" i="46"/>
  <c r="H361" i="46" s="1"/>
  <c r="G360" i="46"/>
  <c r="H360" i="46" s="1"/>
  <c r="I117" i="46"/>
  <c r="I118" i="46" s="1"/>
  <c r="G220" i="54"/>
  <c r="S218" i="54"/>
  <c r="Q218" i="54"/>
  <c r="P218" i="54"/>
  <c r="O218" i="54"/>
  <c r="E218" i="54"/>
  <c r="E200" i="54"/>
  <c r="E196" i="54"/>
  <c r="F195" i="54"/>
  <c r="G195" i="54" s="1"/>
  <c r="E195" i="54"/>
  <c r="E198" i="54" s="1"/>
  <c r="E199" i="54" s="1"/>
  <c r="E194" i="54"/>
  <c r="E192" i="54"/>
  <c r="E191" i="54"/>
  <c r="E189" i="54"/>
  <c r="E190" i="54" s="1"/>
  <c r="G188" i="54"/>
  <c r="S162" i="54"/>
  <c r="Q162" i="54"/>
  <c r="P162" i="54"/>
  <c r="O162" i="54"/>
  <c r="E162" i="54"/>
  <c r="P161" i="54"/>
  <c r="P168" i="54" s="1"/>
  <c r="O161" i="54"/>
  <c r="O168" i="54" s="1"/>
  <c r="E161" i="54"/>
  <c r="E168" i="54" s="1"/>
  <c r="S160" i="54"/>
  <c r="S161" i="54" s="1"/>
  <c r="S168" i="54" s="1"/>
  <c r="Q160" i="54"/>
  <c r="Q161" i="54" s="1"/>
  <c r="Q168" i="54" s="1"/>
  <c r="P160" i="54"/>
  <c r="O160" i="54"/>
  <c r="E155" i="54"/>
  <c r="E154" i="54"/>
  <c r="E153" i="54"/>
  <c r="S147" i="54"/>
  <c r="Q147" i="54"/>
  <c r="P147" i="54"/>
  <c r="O147" i="54"/>
  <c r="E147" i="54"/>
  <c r="S146" i="54"/>
  <c r="Q146" i="54"/>
  <c r="P146" i="54"/>
  <c r="O146" i="54"/>
  <c r="E146" i="54"/>
  <c r="S141" i="54"/>
  <c r="Q141" i="54"/>
  <c r="P141" i="54"/>
  <c r="O141" i="54"/>
  <c r="E141" i="54"/>
  <c r="S140" i="54"/>
  <c r="Q140" i="54"/>
  <c r="P140" i="54"/>
  <c r="O140" i="54"/>
  <c r="E140" i="54"/>
  <c r="S137" i="54"/>
  <c r="S138" i="54" s="1"/>
  <c r="Q137" i="54"/>
  <c r="Q138" i="54" s="1"/>
  <c r="P137" i="54"/>
  <c r="P138" i="54" s="1"/>
  <c r="O137" i="54"/>
  <c r="O138" i="54" s="1"/>
  <c r="E137" i="54"/>
  <c r="E138" i="54" s="1"/>
  <c r="E139" i="54" s="1"/>
  <c r="Q132" i="54"/>
  <c r="P132" i="54"/>
  <c r="O132" i="54"/>
  <c r="G132" i="54"/>
  <c r="S126" i="54"/>
  <c r="Q126" i="54"/>
  <c r="P126" i="54"/>
  <c r="O126" i="54"/>
  <c r="S125" i="54"/>
  <c r="Q125" i="54"/>
  <c r="P125" i="54"/>
  <c r="O125" i="54"/>
  <c r="S121" i="54"/>
  <c r="Q121" i="54"/>
  <c r="P121" i="54"/>
  <c r="O121" i="54"/>
  <c r="E121" i="54"/>
  <c r="S115" i="54"/>
  <c r="Q115" i="54"/>
  <c r="P115" i="54"/>
  <c r="O115" i="54"/>
  <c r="E115" i="54"/>
  <c r="S108" i="54"/>
  <c r="S107" i="54"/>
  <c r="S103" i="54"/>
  <c r="Q103" i="54"/>
  <c r="P103" i="54"/>
  <c r="O103" i="54"/>
  <c r="E103" i="54"/>
  <c r="Q94" i="54"/>
  <c r="P94" i="54"/>
  <c r="O94" i="54"/>
  <c r="E94" i="54"/>
  <c r="Q86" i="54"/>
  <c r="Q87" i="54" s="1"/>
  <c r="P86" i="54"/>
  <c r="P87" i="54" s="1"/>
  <c r="O86" i="54"/>
  <c r="E86" i="54"/>
  <c r="E87" i="54" s="1"/>
  <c r="G83" i="54"/>
  <c r="F15" i="54" s="1"/>
  <c r="G15" i="54" s="1"/>
  <c r="G81" i="54"/>
  <c r="G80" i="54"/>
  <c r="G79" i="54"/>
  <c r="G78" i="54"/>
  <c r="G77" i="54"/>
  <c r="G76" i="54"/>
  <c r="G75" i="54"/>
  <c r="R70" i="54"/>
  <c r="Q70" i="54"/>
  <c r="P70" i="54"/>
  <c r="O70" i="54"/>
  <c r="E70" i="54"/>
  <c r="G69" i="54"/>
  <c r="B63" i="54"/>
  <c r="B62" i="54"/>
  <c r="B61" i="54"/>
  <c r="B60" i="54"/>
  <c r="B59" i="54"/>
  <c r="B58" i="54"/>
  <c r="B57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H321" i="52" l="1"/>
  <c r="H306" i="52"/>
  <c r="H291" i="52"/>
  <c r="H292" i="52"/>
  <c r="H294" i="52"/>
  <c r="H314" i="52"/>
  <c r="H328" i="52"/>
  <c r="H241" i="52"/>
  <c r="H260" i="52"/>
  <c r="H299" i="52"/>
  <c r="H330" i="52"/>
  <c r="H350" i="52"/>
  <c r="H300" i="52"/>
  <c r="H320" i="52"/>
  <c r="H247" i="52"/>
  <c r="H249" i="52" s="1"/>
  <c r="G32" i="52" s="1"/>
  <c r="H32" i="52" s="1"/>
  <c r="H346" i="52"/>
  <c r="H307" i="52"/>
  <c r="H254" i="52"/>
  <c r="H239" i="52"/>
  <c r="H255" i="52"/>
  <c r="H290" i="52"/>
  <c r="H364" i="52"/>
  <c r="H277" i="52"/>
  <c r="H354" i="52"/>
  <c r="H373" i="52"/>
  <c r="H365" i="52"/>
  <c r="H266" i="52"/>
  <c r="H272" i="52"/>
  <c r="H283" i="52"/>
  <c r="H355" i="52"/>
  <c r="H366" i="52"/>
  <c r="H253" i="52"/>
  <c r="H259" i="52"/>
  <c r="H293" i="52"/>
  <c r="H301" i="52"/>
  <c r="H313" i="52"/>
  <c r="H315" i="52"/>
  <c r="H267" i="52"/>
  <c r="H284" i="52"/>
  <c r="H374" i="52"/>
  <c r="H358" i="52"/>
  <c r="H367" i="52"/>
  <c r="H344" i="52"/>
  <c r="H368" i="52"/>
  <c r="H336" i="52"/>
  <c r="H363" i="52"/>
  <c r="H261" i="52"/>
  <c r="H364" i="46"/>
  <c r="Q167" i="54"/>
  <c r="Q139" i="54"/>
  <c r="O139" i="54"/>
  <c r="O167" i="54"/>
  <c r="P167" i="54"/>
  <c r="P139" i="54"/>
  <c r="S139" i="54"/>
  <c r="S167" i="54"/>
  <c r="P89" i="54"/>
  <c r="E160" i="54"/>
  <c r="O87" i="54"/>
  <c r="O89" i="54" s="1"/>
  <c r="E89" i="54"/>
  <c r="Q89" i="54"/>
  <c r="H296" i="52" l="1"/>
  <c r="H310" i="52"/>
  <c r="G36" i="52" s="1"/>
  <c r="H323" i="52"/>
  <c r="G38" i="52" s="1"/>
  <c r="H303" i="52"/>
  <c r="G35" i="52" s="1"/>
  <c r="H35" i="52" s="1"/>
  <c r="H244" i="52"/>
  <c r="G31" i="52" s="1"/>
  <c r="H31" i="52" s="1"/>
  <c r="H317" i="52"/>
  <c r="G37" i="52" s="1"/>
  <c r="H378" i="52"/>
  <c r="G42" i="52" s="1"/>
  <c r="H42" i="52" s="1"/>
  <c r="H287" i="52"/>
  <c r="G33" i="52" s="1"/>
  <c r="H370" i="52"/>
  <c r="G41" i="52" s="1"/>
  <c r="H41" i="52" s="1"/>
  <c r="G34" i="52"/>
  <c r="H34" i="52" s="1"/>
  <c r="F202" i="53"/>
  <c r="F200" i="53"/>
  <c r="F199" i="53"/>
  <c r="F198" i="53"/>
  <c r="F197" i="53"/>
  <c r="F196" i="53"/>
  <c r="F195" i="53"/>
  <c r="G195" i="53" s="1"/>
  <c r="F189" i="53"/>
  <c r="F121" i="53"/>
  <c r="G221" i="53"/>
  <c r="S219" i="53"/>
  <c r="Q219" i="53"/>
  <c r="P219" i="53"/>
  <c r="O219" i="53"/>
  <c r="E219" i="53"/>
  <c r="E200" i="53"/>
  <c r="E198" i="53"/>
  <c r="E199" i="53" s="1"/>
  <c r="E196" i="53"/>
  <c r="E195" i="53"/>
  <c r="E194" i="53"/>
  <c r="E192" i="53"/>
  <c r="E191" i="53"/>
  <c r="E189" i="53"/>
  <c r="E190" i="53" s="1"/>
  <c r="G188" i="53"/>
  <c r="S162" i="53"/>
  <c r="Q162" i="53"/>
  <c r="P162" i="53"/>
  <c r="O162" i="53"/>
  <c r="E162" i="53"/>
  <c r="S160" i="53"/>
  <c r="S161" i="53" s="1"/>
  <c r="S168" i="53" s="1"/>
  <c r="Q160" i="53"/>
  <c r="Q161" i="53" s="1"/>
  <c r="Q168" i="53" s="1"/>
  <c r="P160" i="53"/>
  <c r="P161" i="53" s="1"/>
  <c r="P168" i="53" s="1"/>
  <c r="O160" i="53"/>
  <c r="O161" i="53" s="1"/>
  <c r="O168" i="53" s="1"/>
  <c r="E155" i="53"/>
  <c r="E153" i="53"/>
  <c r="E161" i="53" s="1"/>
  <c r="S147" i="53"/>
  <c r="Q147" i="53"/>
  <c r="P147" i="53"/>
  <c r="O147" i="53"/>
  <c r="E147" i="53"/>
  <c r="S146" i="53"/>
  <c r="Q146" i="53"/>
  <c r="P146" i="53"/>
  <c r="O146" i="53"/>
  <c r="E146" i="53"/>
  <c r="S141" i="53"/>
  <c r="Q141" i="53"/>
  <c r="P141" i="53"/>
  <c r="O141" i="53"/>
  <c r="E141" i="53"/>
  <c r="S140" i="53"/>
  <c r="Q140" i="53"/>
  <c r="P140" i="53"/>
  <c r="O140" i="53"/>
  <c r="E140" i="53"/>
  <c r="S137" i="53"/>
  <c r="S138" i="53" s="1"/>
  <c r="Q137" i="53"/>
  <c r="P137" i="53"/>
  <c r="O137" i="53"/>
  <c r="E137" i="53"/>
  <c r="Q132" i="53"/>
  <c r="P132" i="53"/>
  <c r="O132" i="53"/>
  <c r="G132" i="53"/>
  <c r="S126" i="53"/>
  <c r="Q126" i="53"/>
  <c r="P126" i="53"/>
  <c r="O126" i="53"/>
  <c r="S125" i="53"/>
  <c r="Q125" i="53"/>
  <c r="P125" i="53"/>
  <c r="O125" i="53"/>
  <c r="S121" i="53"/>
  <c r="Q121" i="53"/>
  <c r="P121" i="53"/>
  <c r="O121" i="53"/>
  <c r="E121" i="53"/>
  <c r="S115" i="53"/>
  <c r="Q115" i="53"/>
  <c r="P115" i="53"/>
  <c r="O115" i="53"/>
  <c r="E115" i="53"/>
  <c r="S108" i="53"/>
  <c r="S107" i="53"/>
  <c r="S103" i="53"/>
  <c r="Q103" i="53"/>
  <c r="P103" i="53"/>
  <c r="O103" i="53"/>
  <c r="E103" i="53"/>
  <c r="Q94" i="53"/>
  <c r="P94" i="53"/>
  <c r="O94" i="53"/>
  <c r="E94" i="53"/>
  <c r="Q86" i="53"/>
  <c r="Q87" i="53" s="1"/>
  <c r="P86" i="53"/>
  <c r="O86" i="53"/>
  <c r="O87" i="53" s="1"/>
  <c r="E86" i="53"/>
  <c r="E87" i="53" s="1"/>
  <c r="G81" i="53"/>
  <c r="G80" i="53"/>
  <c r="G79" i="53"/>
  <c r="G78" i="53"/>
  <c r="G77" i="53"/>
  <c r="G76" i="53"/>
  <c r="G75" i="53"/>
  <c r="R70" i="53"/>
  <c r="Q70" i="53"/>
  <c r="P70" i="53"/>
  <c r="O70" i="53"/>
  <c r="E70" i="53"/>
  <c r="G69" i="53"/>
  <c r="B63" i="53"/>
  <c r="B62" i="53"/>
  <c r="B61" i="53"/>
  <c r="B60" i="53"/>
  <c r="B59" i="53"/>
  <c r="B58" i="53"/>
  <c r="B57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E89" i="53" l="1"/>
  <c r="E154" i="53"/>
  <c r="E138" i="53"/>
  <c r="E139" i="53" s="1"/>
  <c r="O138" i="53"/>
  <c r="O139" i="53" s="1"/>
  <c r="P138" i="53"/>
  <c r="P167" i="53" s="1"/>
  <c r="G213" i="53"/>
  <c r="G83" i="53"/>
  <c r="F15" i="53" s="1"/>
  <c r="G15" i="53" s="1"/>
  <c r="Q138" i="53"/>
  <c r="Q167" i="53" s="1"/>
  <c r="O167" i="53"/>
  <c r="E168" i="53"/>
  <c r="E160" i="53"/>
  <c r="S167" i="53"/>
  <c r="S139" i="53"/>
  <c r="O89" i="53"/>
  <c r="P87" i="53"/>
  <c r="P89" i="53" s="1"/>
  <c r="Q89" i="53"/>
  <c r="Q139" i="53" l="1"/>
  <c r="P139" i="53"/>
  <c r="T231" i="52" l="1"/>
  <c r="T173" i="52"/>
  <c r="T171" i="52"/>
  <c r="T172" i="52" s="1"/>
  <c r="T179" i="52" s="1"/>
  <c r="T158" i="52"/>
  <c r="T157" i="52"/>
  <c r="T152" i="52"/>
  <c r="T151" i="52"/>
  <c r="T148" i="52"/>
  <c r="T149" i="52" s="1"/>
  <c r="B30" i="49"/>
  <c r="B29" i="49"/>
  <c r="T136" i="52"/>
  <c r="T137" i="52"/>
  <c r="T119" i="52"/>
  <c r="T118" i="52"/>
  <c r="T132" i="52"/>
  <c r="T126" i="52"/>
  <c r="T114" i="52"/>
  <c r="T150" i="52" l="1"/>
  <c r="T178" i="52"/>
  <c r="G1514" i="46"/>
  <c r="H1514" i="46" s="1"/>
  <c r="G1510" i="46"/>
  <c r="G1499" i="46"/>
  <c r="H1499" i="46" s="1"/>
  <c r="G1498" i="46"/>
  <c r="H1498" i="46" s="1"/>
  <c r="G1497" i="46"/>
  <c r="H1497" i="46" s="1"/>
  <c r="G1496" i="46"/>
  <c r="H1496" i="46" s="1"/>
  <c r="J137" i="46"/>
  <c r="G1490" i="46"/>
  <c r="K1485" i="46"/>
  <c r="G1481" i="46"/>
  <c r="H1481" i="46" s="1"/>
  <c r="G1480" i="46"/>
  <c r="H1480" i="46" s="1"/>
  <c r="G1479" i="46"/>
  <c r="H1479" i="46" s="1"/>
  <c r="G1478" i="46"/>
  <c r="H1478" i="46" s="1"/>
  <c r="H1515" i="46" l="1"/>
  <c r="H1516" i="46" s="1"/>
  <c r="H1500" i="46"/>
  <c r="H1482" i="46"/>
  <c r="S81" i="52"/>
  <c r="R173" i="52"/>
  <c r="Q158" i="52"/>
  <c r="R158" i="52"/>
  <c r="R148" i="52"/>
  <c r="R132" i="52"/>
  <c r="R114" i="52"/>
  <c r="Q105" i="52"/>
  <c r="R105" i="52"/>
  <c r="R97" i="52"/>
  <c r="R81" i="52"/>
  <c r="R231" i="52"/>
  <c r="R171" i="52"/>
  <c r="R172" i="52" s="1"/>
  <c r="R179" i="52" s="1"/>
  <c r="R157" i="52"/>
  <c r="R152" i="52"/>
  <c r="R151" i="52"/>
  <c r="R143" i="52"/>
  <c r="R137" i="52"/>
  <c r="R136" i="52"/>
  <c r="R126" i="52"/>
  <c r="Q231" i="52"/>
  <c r="Q173" i="52"/>
  <c r="Q171" i="52"/>
  <c r="Q172" i="52" s="1"/>
  <c r="Q179" i="52" s="1"/>
  <c r="Q157" i="52"/>
  <c r="Q152" i="52"/>
  <c r="Q151" i="52"/>
  <c r="Q126" i="52"/>
  <c r="Q148" i="52"/>
  <c r="Q143" i="52"/>
  <c r="Q137" i="52"/>
  <c r="Q136" i="52"/>
  <c r="Q132" i="52"/>
  <c r="Q114" i="52"/>
  <c r="Q97" i="52"/>
  <c r="Q98" i="52" s="1"/>
  <c r="Q100" i="52" s="1"/>
  <c r="Q81" i="52"/>
  <c r="P231" i="52"/>
  <c r="P173" i="52"/>
  <c r="P171" i="52"/>
  <c r="P172" i="52" s="1"/>
  <c r="P179" i="52" s="1"/>
  <c r="P158" i="52"/>
  <c r="P157" i="52"/>
  <c r="P152" i="52"/>
  <c r="P151" i="52"/>
  <c r="P148" i="52"/>
  <c r="P143" i="52"/>
  <c r="P137" i="52"/>
  <c r="P136" i="52"/>
  <c r="P132" i="52"/>
  <c r="P126" i="52"/>
  <c r="P114" i="52"/>
  <c r="P81" i="52"/>
  <c r="B90" i="49"/>
  <c r="B67" i="49"/>
  <c r="B66" i="49"/>
  <c r="P105" i="52"/>
  <c r="P97" i="52"/>
  <c r="H1517" i="46" l="1"/>
  <c r="H1518" i="46" s="1"/>
  <c r="Q149" i="52"/>
  <c r="Q150" i="52" s="1"/>
  <c r="R149" i="52"/>
  <c r="R150" i="52" s="1"/>
  <c r="P98" i="52"/>
  <c r="P100" i="52" s="1"/>
  <c r="P149" i="52"/>
  <c r="R178" i="52"/>
  <c r="R98" i="52"/>
  <c r="R100" i="52" s="1"/>
  <c r="Q178" i="52" l="1"/>
  <c r="H1519" i="46"/>
  <c r="K1513" i="46" s="1"/>
  <c r="G333" i="52" s="1"/>
  <c r="H333" i="52" s="1"/>
  <c r="H338" i="52" s="1"/>
  <c r="G39" i="52" s="1"/>
  <c r="P150" i="52"/>
  <c r="P178" i="52"/>
  <c r="F207" i="52" l="1"/>
  <c r="F349" i="52" s="1"/>
  <c r="H349" i="52" s="1"/>
  <c r="F206" i="52"/>
  <c r="F348" i="52" s="1"/>
  <c r="H348" i="52" s="1"/>
  <c r="F200" i="52"/>
  <c r="F211" i="52"/>
  <c r="F353" i="52" s="1"/>
  <c r="H353" i="52" s="1"/>
  <c r="F205" i="52"/>
  <c r="F347" i="52" s="1"/>
  <c r="H347" i="52" s="1"/>
  <c r="F203" i="52"/>
  <c r="F345" i="52" s="1"/>
  <c r="H345" i="52" s="1"/>
  <c r="F201" i="52" l="1"/>
  <c r="F343" i="52" s="1"/>
  <c r="H343" i="52" s="1"/>
  <c r="F342" i="52"/>
  <c r="H342" i="52" s="1"/>
  <c r="F209" i="52"/>
  <c r="B74" i="52"/>
  <c r="B73" i="52"/>
  <c r="B72" i="52"/>
  <c r="B71" i="52"/>
  <c r="B69" i="52"/>
  <c r="B68" i="52"/>
  <c r="B67" i="52"/>
  <c r="C29" i="52"/>
  <c r="B29" i="52"/>
  <c r="C28" i="52"/>
  <c r="B28" i="52"/>
  <c r="C27" i="52"/>
  <c r="B27" i="52"/>
  <c r="C26" i="52"/>
  <c r="B26" i="52"/>
  <c r="C25" i="52"/>
  <c r="B25" i="52"/>
  <c r="C24" i="52"/>
  <c r="B24" i="52"/>
  <c r="C23" i="52"/>
  <c r="B23" i="52"/>
  <c r="C22" i="52"/>
  <c r="B22" i="52"/>
  <c r="C21" i="52"/>
  <c r="B21" i="52"/>
  <c r="C20" i="52"/>
  <c r="B20" i="52"/>
  <c r="C19" i="52"/>
  <c r="B19" i="52"/>
  <c r="C18" i="52"/>
  <c r="B18" i="52"/>
  <c r="C16" i="52"/>
  <c r="B16" i="52"/>
  <c r="C15" i="52"/>
  <c r="B15" i="52"/>
  <c r="H233" i="52"/>
  <c r="H199" i="52"/>
  <c r="H143" i="52"/>
  <c r="H92" i="52"/>
  <c r="H91" i="52"/>
  <c r="H90" i="52"/>
  <c r="H89" i="52"/>
  <c r="H88" i="52"/>
  <c r="H87" i="52"/>
  <c r="H86" i="52"/>
  <c r="H80" i="52"/>
  <c r="G246" i="46"/>
  <c r="G241" i="46"/>
  <c r="H241" i="46" s="1"/>
  <c r="G235" i="46"/>
  <c r="H235" i="46" s="1"/>
  <c r="G234" i="46"/>
  <c r="H234" i="46" s="1"/>
  <c r="G233" i="46"/>
  <c r="H233" i="46" s="1"/>
  <c r="G232" i="46"/>
  <c r="H232" i="46" s="1"/>
  <c r="I24" i="50"/>
  <c r="I23" i="50"/>
  <c r="B81" i="49"/>
  <c r="B85" i="49" s="1"/>
  <c r="B89" i="49" s="1"/>
  <c r="E9" i="50"/>
  <c r="H63" i="1"/>
  <c r="E10" i="50"/>
  <c r="E24" i="50"/>
  <c r="E32" i="50"/>
  <c r="F210" i="52" l="1"/>
  <c r="F352" i="52" s="1"/>
  <c r="H352" i="52" s="1"/>
  <c r="F351" i="52"/>
  <c r="H351" i="52" s="1"/>
  <c r="H360" i="52" s="1"/>
  <c r="G40" i="52" s="1"/>
  <c r="H94" i="52"/>
  <c r="G16" i="52" s="1"/>
  <c r="H16" i="52" s="1"/>
  <c r="H236" i="46"/>
  <c r="B91" i="49"/>
  <c r="B92" i="49" s="1"/>
  <c r="B93" i="49" s="1"/>
  <c r="B86" i="49"/>
  <c r="B88" i="49" s="1"/>
  <c r="G91" i="50"/>
  <c r="G87" i="50"/>
  <c r="G86" i="50"/>
  <c r="G85" i="50"/>
  <c r="G84" i="50"/>
  <c r="G80" i="50"/>
  <c r="G79" i="50"/>
  <c r="F80" i="50"/>
  <c r="F79" i="50"/>
  <c r="F91" i="50"/>
  <c r="F87" i="50"/>
  <c r="F86" i="50"/>
  <c r="F85" i="50"/>
  <c r="F84" i="50"/>
  <c r="M64" i="51"/>
  <c r="I64" i="51"/>
  <c r="M63" i="51"/>
  <c r="I63" i="51"/>
  <c r="L62" i="51"/>
  <c r="H62" i="51"/>
  <c r="I62" i="51" s="1"/>
  <c r="L61" i="51"/>
  <c r="H61" i="51"/>
  <c r="L60" i="51"/>
  <c r="H60" i="51"/>
  <c r="I60" i="51" s="1"/>
  <c r="M59" i="51"/>
  <c r="I59" i="51"/>
  <c r="L58" i="51"/>
  <c r="H58" i="51"/>
  <c r="M58" i="51" s="1"/>
  <c r="D58" i="51"/>
  <c r="M54" i="51"/>
  <c r="I54" i="51"/>
  <c r="M53" i="51"/>
  <c r="I53" i="51"/>
  <c r="I55" i="51" s="1"/>
  <c r="L49" i="51"/>
  <c r="H49" i="51"/>
  <c r="I49" i="51" s="1"/>
  <c r="L48" i="51"/>
  <c r="H48" i="51"/>
  <c r="L47" i="51"/>
  <c r="H47" i="51"/>
  <c r="L46" i="51"/>
  <c r="H46" i="51"/>
  <c r="M46" i="51" s="1"/>
  <c r="L42" i="51"/>
  <c r="M42" i="51" s="1"/>
  <c r="M43" i="51" s="1"/>
  <c r="I42" i="51"/>
  <c r="I43" i="51" s="1"/>
  <c r="M39" i="51"/>
  <c r="L35" i="51"/>
  <c r="M35" i="51" s="1"/>
  <c r="M36" i="51" s="1"/>
  <c r="I35" i="51"/>
  <c r="I36" i="51" s="1"/>
  <c r="L31" i="51"/>
  <c r="M31" i="51" s="1"/>
  <c r="L30" i="51"/>
  <c r="M30" i="51" s="1"/>
  <c r="L29" i="51"/>
  <c r="M29" i="51" s="1"/>
  <c r="L28" i="51"/>
  <c r="M28" i="51" s="1"/>
  <c r="L26" i="51"/>
  <c r="H26" i="51"/>
  <c r="L21" i="51"/>
  <c r="H21" i="51"/>
  <c r="M21" i="51" s="1"/>
  <c r="L20" i="51"/>
  <c r="H20" i="51"/>
  <c r="I20" i="51" s="1"/>
  <c r="L19" i="51"/>
  <c r="H19" i="51"/>
  <c r="M18" i="51"/>
  <c r="G18" i="51"/>
  <c r="I18" i="51" s="1"/>
  <c r="M17" i="51"/>
  <c r="I17" i="51"/>
  <c r="M11" i="51"/>
  <c r="M14" i="51" s="1"/>
  <c r="I11" i="51"/>
  <c r="I14" i="51" s="1"/>
  <c r="M60" i="51" l="1"/>
  <c r="M20" i="51"/>
  <c r="M26" i="51"/>
  <c r="M47" i="51"/>
  <c r="M49" i="51"/>
  <c r="M62" i="51"/>
  <c r="M19" i="51"/>
  <c r="M22" i="51" s="1"/>
  <c r="M48" i="51"/>
  <c r="M61" i="51"/>
  <c r="I19" i="51"/>
  <c r="G28" i="51"/>
  <c r="I61" i="51"/>
  <c r="I48" i="51"/>
  <c r="I21" i="51"/>
  <c r="I26" i="51"/>
  <c r="I46" i="51"/>
  <c r="I47" i="51"/>
  <c r="I58" i="51"/>
  <c r="I22" i="51" l="1"/>
  <c r="I65" i="51"/>
  <c r="G29" i="51"/>
  <c r="I28" i="51"/>
  <c r="I50" i="51"/>
  <c r="G30" i="51" l="1"/>
  <c r="I29" i="51"/>
  <c r="I30" i="51" l="1"/>
  <c r="G31" i="51"/>
  <c r="I31" i="51" s="1"/>
  <c r="I32" i="51" s="1"/>
  <c r="I67" i="51" s="1"/>
  <c r="J1166" i="1" l="1"/>
  <c r="H1166" i="1" s="1"/>
  <c r="J1040" i="1"/>
  <c r="H1040" i="1" s="1"/>
  <c r="I1228" i="1" l="1"/>
  <c r="H64" i="1"/>
  <c r="E22" i="50"/>
  <c r="E23" i="50"/>
  <c r="E38" i="50"/>
  <c r="E33" i="50" s="1"/>
  <c r="E34" i="50" s="1"/>
  <c r="E27" i="50"/>
  <c r="E11" i="50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100" i="1"/>
  <c r="G75" i="50"/>
  <c r="G74" i="50"/>
  <c r="E73" i="50"/>
  <c r="E69" i="50"/>
  <c r="E68" i="50"/>
  <c r="E71" i="50" s="1"/>
  <c r="E67" i="50"/>
  <c r="E65" i="50"/>
  <c r="E62" i="50"/>
  <c r="E63" i="50" s="1"/>
  <c r="E39" i="50"/>
  <c r="E37" i="50"/>
  <c r="E26" i="50"/>
  <c r="E14" i="50"/>
  <c r="B56" i="49"/>
  <c r="B51" i="49"/>
  <c r="B55" i="49" s="1"/>
  <c r="B57" i="49" l="1"/>
  <c r="B58" i="49" s="1"/>
  <c r="B59" i="49" s="1"/>
  <c r="B68" i="49"/>
  <c r="B71" i="49" s="1"/>
  <c r="E72" i="50"/>
  <c r="E13" i="50"/>
  <c r="E25" i="50"/>
  <c r="B52" i="49"/>
  <c r="B54" i="49" s="1"/>
  <c r="B69" i="49" l="1"/>
  <c r="E35" i="50"/>
  <c r="E29" i="50"/>
  <c r="E36" i="50" l="1"/>
  <c r="J2820" i="1" l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H2363" i="1" s="1"/>
  <c r="J2362" i="1"/>
  <c r="H2362" i="1" s="1"/>
  <c r="J2361" i="1"/>
  <c r="H2361" i="1" s="1"/>
  <c r="J2360" i="1"/>
  <c r="H2360" i="1" s="1"/>
  <c r="J2359" i="1"/>
  <c r="H2359" i="1" s="1"/>
  <c r="J2358" i="1"/>
  <c r="H2358" i="1" s="1"/>
  <c r="J2357" i="1"/>
  <c r="H2357" i="1" s="1"/>
  <c r="J2356" i="1"/>
  <c r="H2356" i="1" s="1"/>
  <c r="J2355" i="1"/>
  <c r="H2355" i="1" s="1"/>
  <c r="J2354" i="1"/>
  <c r="H2354" i="1" s="1"/>
  <c r="J2353" i="1"/>
  <c r="H2353" i="1" s="1"/>
  <c r="J2352" i="1"/>
  <c r="H2352" i="1" s="1"/>
  <c r="J2351" i="1"/>
  <c r="H2351" i="1" s="1"/>
  <c r="J2350" i="1"/>
  <c r="H2350" i="1" s="1"/>
  <c r="J2349" i="1"/>
  <c r="H2349" i="1" s="1"/>
  <c r="J2348" i="1"/>
  <c r="H2348" i="1" s="1"/>
  <c r="J2347" i="1"/>
  <c r="H2347" i="1" s="1"/>
  <c r="J2346" i="1"/>
  <c r="H2346" i="1" s="1"/>
  <c r="J2345" i="1"/>
  <c r="H2345" i="1" s="1"/>
  <c r="J2344" i="1"/>
  <c r="H2344" i="1" s="1"/>
  <c r="J2343" i="1"/>
  <c r="H2343" i="1" s="1"/>
  <c r="J2342" i="1"/>
  <c r="H2342" i="1" s="1"/>
  <c r="J2341" i="1"/>
  <c r="H2341" i="1" s="1"/>
  <c r="J2340" i="1"/>
  <c r="H2340" i="1" s="1"/>
  <c r="J2339" i="1"/>
  <c r="H2339" i="1" s="1"/>
  <c r="J2338" i="1"/>
  <c r="H2338" i="1" s="1"/>
  <c r="J2337" i="1"/>
  <c r="H2337" i="1" s="1"/>
  <c r="J2336" i="1"/>
  <c r="H2336" i="1" s="1"/>
  <c r="J2335" i="1"/>
  <c r="H2335" i="1" s="1"/>
  <c r="J2334" i="1"/>
  <c r="H2334" i="1" s="1"/>
  <c r="J2333" i="1"/>
  <c r="H2333" i="1" s="1"/>
  <c r="J2332" i="1"/>
  <c r="H2332" i="1" s="1"/>
  <c r="J2331" i="1"/>
  <c r="H2331" i="1" s="1"/>
  <c r="J2330" i="1"/>
  <c r="H2330" i="1" s="1"/>
  <c r="J2329" i="1"/>
  <c r="H2329" i="1" s="1"/>
  <c r="J2328" i="1"/>
  <c r="H2328" i="1" s="1"/>
  <c r="J2327" i="1"/>
  <c r="H2327" i="1" s="1"/>
  <c r="J2326" i="1"/>
  <c r="H2326" i="1" s="1"/>
  <c r="J2325" i="1"/>
  <c r="H2325" i="1" s="1"/>
  <c r="J2324" i="1"/>
  <c r="H2324" i="1" s="1"/>
  <c r="J2323" i="1"/>
  <c r="H2323" i="1" s="1"/>
  <c r="J2322" i="1"/>
  <c r="H2322" i="1" s="1"/>
  <c r="J2321" i="1"/>
  <c r="H2321" i="1" s="1"/>
  <c r="J2320" i="1"/>
  <c r="H2320" i="1" s="1"/>
  <c r="J2319" i="1"/>
  <c r="H2319" i="1" s="1"/>
  <c r="J2318" i="1"/>
  <c r="H2318" i="1" s="1"/>
  <c r="J2317" i="1"/>
  <c r="H2317" i="1" s="1"/>
  <c r="J2316" i="1"/>
  <c r="H2316" i="1" s="1"/>
  <c r="J2315" i="1"/>
  <c r="H2315" i="1" s="1"/>
  <c r="J2314" i="1"/>
  <c r="H2314" i="1" s="1"/>
  <c r="J2313" i="1"/>
  <c r="H2313" i="1" s="1"/>
  <c r="J2312" i="1"/>
  <c r="H2312" i="1" s="1"/>
  <c r="J2311" i="1"/>
  <c r="H2311" i="1" s="1"/>
  <c r="J2310" i="1"/>
  <c r="H2310" i="1" s="1"/>
  <c r="J2309" i="1"/>
  <c r="H2309" i="1" s="1"/>
  <c r="J2308" i="1"/>
  <c r="H2308" i="1" s="1"/>
  <c r="J2307" i="1"/>
  <c r="H2307" i="1" s="1"/>
  <c r="J2306" i="1"/>
  <c r="H2306" i="1" s="1"/>
  <c r="J2305" i="1"/>
  <c r="H2305" i="1" s="1"/>
  <c r="J2304" i="1"/>
  <c r="H2304" i="1" s="1"/>
  <c r="J2303" i="1"/>
  <c r="H2303" i="1" s="1"/>
  <c r="J2302" i="1"/>
  <c r="H2302" i="1" s="1"/>
  <c r="J2301" i="1"/>
  <c r="H2301" i="1" s="1"/>
  <c r="J2300" i="1"/>
  <c r="H2300" i="1" s="1"/>
  <c r="J2299" i="1"/>
  <c r="H2299" i="1" s="1"/>
  <c r="J2298" i="1"/>
  <c r="H2298" i="1" s="1"/>
  <c r="J2297" i="1"/>
  <c r="H2297" i="1" s="1"/>
  <c r="J2296" i="1"/>
  <c r="H2296" i="1" s="1"/>
  <c r="J2295" i="1"/>
  <c r="H2295" i="1" s="1"/>
  <c r="J2294" i="1"/>
  <c r="H2294" i="1" s="1"/>
  <c r="J2293" i="1"/>
  <c r="H2293" i="1" s="1"/>
  <c r="J2292" i="1"/>
  <c r="H2292" i="1" s="1"/>
  <c r="J2291" i="1"/>
  <c r="H2291" i="1" s="1"/>
  <c r="J2290" i="1"/>
  <c r="H2290" i="1" s="1"/>
  <c r="J2289" i="1"/>
  <c r="H2289" i="1" s="1"/>
  <c r="J2288" i="1"/>
  <c r="H2288" i="1" s="1"/>
  <c r="J2287" i="1"/>
  <c r="H2287" i="1" s="1"/>
  <c r="J2286" i="1"/>
  <c r="H2286" i="1" s="1"/>
  <c r="J2285" i="1"/>
  <c r="H2285" i="1" s="1"/>
  <c r="J2284" i="1"/>
  <c r="H2284" i="1" s="1"/>
  <c r="J2283" i="1"/>
  <c r="H2283" i="1" s="1"/>
  <c r="J2282" i="1"/>
  <c r="H2282" i="1" s="1"/>
  <c r="J2281" i="1"/>
  <c r="H2281" i="1" s="1"/>
  <c r="J2280" i="1"/>
  <c r="H2280" i="1" s="1"/>
  <c r="J2279" i="1"/>
  <c r="H2279" i="1" s="1"/>
  <c r="J2278" i="1"/>
  <c r="H2278" i="1" s="1"/>
  <c r="J2277" i="1"/>
  <c r="H2277" i="1" s="1"/>
  <c r="J2276" i="1"/>
  <c r="H2276" i="1" s="1"/>
  <c r="J2275" i="1"/>
  <c r="H2275" i="1" s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H2073" i="1" s="1"/>
  <c r="J2072" i="1"/>
  <c r="H2072" i="1" s="1"/>
  <c r="J2071" i="1"/>
  <c r="H2071" i="1" s="1"/>
  <c r="J2070" i="1"/>
  <c r="H2070" i="1" s="1"/>
  <c r="J2069" i="1"/>
  <c r="H2069" i="1" s="1"/>
  <c r="J2068" i="1"/>
  <c r="H2068" i="1" s="1"/>
  <c r="J2067" i="1"/>
  <c r="H2067" i="1" s="1"/>
  <c r="J2066" i="1"/>
  <c r="H2066" i="1" s="1"/>
  <c r="J2065" i="1"/>
  <c r="H2065" i="1" s="1"/>
  <c r="J2064" i="1"/>
  <c r="H2064" i="1" s="1"/>
  <c r="J2063" i="1"/>
  <c r="H2063" i="1" s="1"/>
  <c r="J2062" i="1"/>
  <c r="H2062" i="1" s="1"/>
  <c r="J2061" i="1"/>
  <c r="H2061" i="1" s="1"/>
  <c r="J2060" i="1"/>
  <c r="H2060" i="1" s="1"/>
  <c r="J2059" i="1"/>
  <c r="H2059" i="1" s="1"/>
  <c r="J2058" i="1"/>
  <c r="H2058" i="1" s="1"/>
  <c r="J2057" i="1"/>
  <c r="H2057" i="1" s="1"/>
  <c r="J2056" i="1"/>
  <c r="H2056" i="1" s="1"/>
  <c r="J2055" i="1"/>
  <c r="H2055" i="1" s="1"/>
  <c r="J2054" i="1"/>
  <c r="H2054" i="1" s="1"/>
  <c r="J2053" i="1"/>
  <c r="H2053" i="1" s="1"/>
  <c r="J2052" i="1"/>
  <c r="H2052" i="1" s="1"/>
  <c r="J2051" i="1"/>
  <c r="H2051" i="1" s="1"/>
  <c r="J2050" i="1"/>
  <c r="H2050" i="1" s="1"/>
  <c r="J2049" i="1"/>
  <c r="H2049" i="1" s="1"/>
  <c r="J2048" i="1"/>
  <c r="H2048" i="1" s="1"/>
  <c r="J2047" i="1"/>
  <c r="H2047" i="1" s="1"/>
  <c r="J2046" i="1"/>
  <c r="H2046" i="1" s="1"/>
  <c r="J2045" i="1"/>
  <c r="H2045" i="1" s="1"/>
  <c r="J2044" i="1"/>
  <c r="H2044" i="1" s="1"/>
  <c r="J2043" i="1"/>
  <c r="H2043" i="1" s="1"/>
  <c r="J2042" i="1"/>
  <c r="H2042" i="1" s="1"/>
  <c r="J2041" i="1"/>
  <c r="H2041" i="1" s="1"/>
  <c r="J2040" i="1"/>
  <c r="H2040" i="1" s="1"/>
  <c r="J2039" i="1"/>
  <c r="H2039" i="1" s="1"/>
  <c r="J2038" i="1"/>
  <c r="H2038" i="1" s="1"/>
  <c r="J2037" i="1"/>
  <c r="H2037" i="1" s="1"/>
  <c r="J2036" i="1"/>
  <c r="H2036" i="1" s="1"/>
  <c r="J2035" i="1"/>
  <c r="H2035" i="1" s="1"/>
  <c r="J2034" i="1"/>
  <c r="H2034" i="1" s="1"/>
  <c r="J2033" i="1"/>
  <c r="H2033" i="1" s="1"/>
  <c r="J2032" i="1"/>
  <c r="H2032" i="1" s="1"/>
  <c r="J2031" i="1"/>
  <c r="H2031" i="1" s="1"/>
  <c r="J2030" i="1"/>
  <c r="H2030" i="1" s="1"/>
  <c r="J2029" i="1"/>
  <c r="H2029" i="1" s="1"/>
  <c r="J2028" i="1"/>
  <c r="H2028" i="1" s="1"/>
  <c r="J2027" i="1"/>
  <c r="H2027" i="1" s="1"/>
  <c r="J2026" i="1"/>
  <c r="H2026" i="1" s="1"/>
  <c r="J2025" i="1"/>
  <c r="H2025" i="1" s="1"/>
  <c r="J2024" i="1"/>
  <c r="H2024" i="1" s="1"/>
  <c r="J2023" i="1"/>
  <c r="H2023" i="1" s="1"/>
  <c r="J2022" i="1"/>
  <c r="H2022" i="1" s="1"/>
  <c r="J2021" i="1"/>
  <c r="J2020" i="1"/>
  <c r="H2020" i="1" s="1"/>
  <c r="J2019" i="1"/>
  <c r="J2018" i="1"/>
  <c r="J2017" i="1"/>
  <c r="H2017" i="1" s="1"/>
  <c r="J2016" i="1"/>
  <c r="H2016" i="1" s="1"/>
  <c r="J2015" i="1"/>
  <c r="H2015" i="1" s="1"/>
  <c r="J2014" i="1"/>
  <c r="H2014" i="1" s="1"/>
  <c r="J2013" i="1"/>
  <c r="H2013" i="1" s="1"/>
  <c r="J2012" i="1"/>
  <c r="H2012" i="1" s="1"/>
  <c r="J2011" i="1"/>
  <c r="H2011" i="1" s="1"/>
  <c r="J2010" i="1"/>
  <c r="H2010" i="1" s="1"/>
  <c r="J2009" i="1"/>
  <c r="H2009" i="1" s="1"/>
  <c r="J2008" i="1"/>
  <c r="H2008" i="1" s="1"/>
  <c r="J2007" i="1"/>
  <c r="H2007" i="1" s="1"/>
  <c r="J2006" i="1"/>
  <c r="H2006" i="1" s="1"/>
  <c r="J2005" i="1"/>
  <c r="H2005" i="1" s="1"/>
  <c r="J2004" i="1"/>
  <c r="H2004" i="1" s="1"/>
  <c r="J2003" i="1"/>
  <c r="H2003" i="1" s="1"/>
  <c r="J2002" i="1"/>
  <c r="H2002" i="1" s="1"/>
  <c r="J2001" i="1"/>
  <c r="H2001" i="1" s="1"/>
  <c r="J2000" i="1"/>
  <c r="H2000" i="1" s="1"/>
  <c r="J1999" i="1"/>
  <c r="H1999" i="1" s="1"/>
  <c r="J1998" i="1"/>
  <c r="H1998" i="1" s="1"/>
  <c r="J1997" i="1"/>
  <c r="H1997" i="1" s="1"/>
  <c r="J1996" i="1"/>
  <c r="H1996" i="1" s="1"/>
  <c r="J1995" i="1"/>
  <c r="H1995" i="1" s="1"/>
  <c r="J1994" i="1"/>
  <c r="H1994" i="1" s="1"/>
  <c r="J1993" i="1"/>
  <c r="H1993" i="1" s="1"/>
  <c r="J1992" i="1"/>
  <c r="H1992" i="1" s="1"/>
  <c r="J1991" i="1"/>
  <c r="H1991" i="1" s="1"/>
  <c r="J1990" i="1"/>
  <c r="H1990" i="1" s="1"/>
  <c r="J1989" i="1"/>
  <c r="H1989" i="1" s="1"/>
  <c r="J1988" i="1"/>
  <c r="H1988" i="1" s="1"/>
  <c r="J1987" i="1"/>
  <c r="H1987" i="1" s="1"/>
  <c r="J1986" i="1"/>
  <c r="H1986" i="1" s="1"/>
  <c r="J1985" i="1"/>
  <c r="H1985" i="1" s="1"/>
  <c r="J1984" i="1"/>
  <c r="H1984" i="1" s="1"/>
  <c r="J1983" i="1"/>
  <c r="H1983" i="1" s="1"/>
  <c r="J1982" i="1"/>
  <c r="H1982" i="1" s="1"/>
  <c r="J1981" i="1"/>
  <c r="H1981" i="1" s="1"/>
  <c r="J1980" i="1"/>
  <c r="H1980" i="1" s="1"/>
  <c r="J1979" i="1"/>
  <c r="H1979" i="1" s="1"/>
  <c r="J1978" i="1"/>
  <c r="H1978" i="1" s="1"/>
  <c r="J1977" i="1"/>
  <c r="H1977" i="1" s="1"/>
  <c r="J1976" i="1"/>
  <c r="H1976" i="1" s="1"/>
  <c r="J1975" i="1"/>
  <c r="H1975" i="1" s="1"/>
  <c r="J1974" i="1"/>
  <c r="H1974" i="1" s="1"/>
  <c r="J1973" i="1"/>
  <c r="H1973" i="1" s="1"/>
  <c r="J1972" i="1"/>
  <c r="H1972" i="1" s="1"/>
  <c r="J1971" i="1"/>
  <c r="H1971" i="1" s="1"/>
  <c r="J1970" i="1"/>
  <c r="H1970" i="1" s="1"/>
  <c r="J1969" i="1"/>
  <c r="H1969" i="1" s="1"/>
  <c r="J1968" i="1"/>
  <c r="H1968" i="1" s="1"/>
  <c r="J1967" i="1"/>
  <c r="H1967" i="1" s="1"/>
  <c r="J1966" i="1"/>
  <c r="H1966" i="1" s="1"/>
  <c r="J1965" i="1"/>
  <c r="H1965" i="1" s="1"/>
  <c r="J1964" i="1"/>
  <c r="H1964" i="1" s="1"/>
  <c r="J1963" i="1"/>
  <c r="H1963" i="1" s="1"/>
  <c r="J1962" i="1"/>
  <c r="H1962" i="1" s="1"/>
  <c r="J1961" i="1"/>
  <c r="H1961" i="1" s="1"/>
  <c r="J1960" i="1"/>
  <c r="H1960" i="1" s="1"/>
  <c r="J1959" i="1"/>
  <c r="H1959" i="1" s="1"/>
  <c r="J1958" i="1"/>
  <c r="H1958" i="1" s="1"/>
  <c r="J1957" i="1"/>
  <c r="H1957" i="1" s="1"/>
  <c r="J1956" i="1"/>
  <c r="H1956" i="1" s="1"/>
  <c r="J1955" i="1"/>
  <c r="H1955" i="1" s="1"/>
  <c r="J1954" i="1"/>
  <c r="H1954" i="1" s="1"/>
  <c r="J1953" i="1"/>
  <c r="H1953" i="1" s="1"/>
  <c r="J1952" i="1"/>
  <c r="H1952" i="1" s="1"/>
  <c r="J1951" i="1"/>
  <c r="H1951" i="1" s="1"/>
  <c r="J1950" i="1"/>
  <c r="H1950" i="1" s="1"/>
  <c r="J1949" i="1"/>
  <c r="H1949" i="1" s="1"/>
  <c r="J1948" i="1"/>
  <c r="H1948" i="1" s="1"/>
  <c r="J1947" i="1"/>
  <c r="H1947" i="1" s="1"/>
  <c r="J1946" i="1"/>
  <c r="H1946" i="1" s="1"/>
  <c r="J1945" i="1"/>
  <c r="H1945" i="1" s="1"/>
  <c r="J1944" i="1"/>
  <c r="H1944" i="1" s="1"/>
  <c r="J1943" i="1"/>
  <c r="H1943" i="1" s="1"/>
  <c r="J1942" i="1"/>
  <c r="H1942" i="1" s="1"/>
  <c r="J1941" i="1"/>
  <c r="H1941" i="1" s="1"/>
  <c r="J1940" i="1"/>
  <c r="H1940" i="1" s="1"/>
  <c r="J1939" i="1"/>
  <c r="H1939" i="1" s="1"/>
  <c r="J1938" i="1"/>
  <c r="H1938" i="1" s="1"/>
  <c r="J1937" i="1"/>
  <c r="H1937" i="1" s="1"/>
  <c r="J1936" i="1"/>
  <c r="H1936" i="1" s="1"/>
  <c r="J1935" i="1"/>
  <c r="H1935" i="1" s="1"/>
  <c r="J1934" i="1"/>
  <c r="H1934" i="1" s="1"/>
  <c r="J1933" i="1"/>
  <c r="H1933" i="1" s="1"/>
  <c r="J1932" i="1"/>
  <c r="H1932" i="1" s="1"/>
  <c r="J1931" i="1"/>
  <c r="H1931" i="1" s="1"/>
  <c r="J1930" i="1"/>
  <c r="H1930" i="1" s="1"/>
  <c r="J1929" i="1"/>
  <c r="H1929" i="1" s="1"/>
  <c r="J1928" i="1"/>
  <c r="H1928" i="1" s="1"/>
  <c r="J1927" i="1"/>
  <c r="H1927" i="1" s="1"/>
  <c r="J1926" i="1"/>
  <c r="H1926" i="1" s="1"/>
  <c r="J1925" i="1"/>
  <c r="H1925" i="1" s="1"/>
  <c r="J1924" i="1"/>
  <c r="H1924" i="1" s="1"/>
  <c r="J1923" i="1"/>
  <c r="H1923" i="1" s="1"/>
  <c r="J1922" i="1"/>
  <c r="H1922" i="1" s="1"/>
  <c r="J1921" i="1"/>
  <c r="H1921" i="1" s="1"/>
  <c r="J1920" i="1"/>
  <c r="H1920" i="1" s="1"/>
  <c r="J1919" i="1"/>
  <c r="H1919" i="1" s="1"/>
  <c r="J1918" i="1"/>
  <c r="H1918" i="1" s="1"/>
  <c r="J1917" i="1"/>
  <c r="H1917" i="1" s="1"/>
  <c r="J1916" i="1"/>
  <c r="H1916" i="1" s="1"/>
  <c r="J1915" i="1"/>
  <c r="H1915" i="1" s="1"/>
  <c r="J1914" i="1"/>
  <c r="H1914" i="1" s="1"/>
  <c r="J1913" i="1"/>
  <c r="H1913" i="1" s="1"/>
  <c r="J1912" i="1"/>
  <c r="H1912" i="1" s="1"/>
  <c r="J1911" i="1"/>
  <c r="H1911" i="1" s="1"/>
  <c r="J1910" i="1"/>
  <c r="H1910" i="1" s="1"/>
  <c r="J1909" i="1"/>
  <c r="H1909" i="1" s="1"/>
  <c r="J1908" i="1"/>
  <c r="H1908" i="1" s="1"/>
  <c r="J1907" i="1"/>
  <c r="H1907" i="1" s="1"/>
  <c r="J1906" i="1"/>
  <c r="H1906" i="1" s="1"/>
  <c r="J1905" i="1"/>
  <c r="H1905" i="1" s="1"/>
  <c r="J1904" i="1"/>
  <c r="H1904" i="1" s="1"/>
  <c r="J1903" i="1"/>
  <c r="H1903" i="1" s="1"/>
  <c r="J1902" i="1"/>
  <c r="H1902" i="1" s="1"/>
  <c r="J1901" i="1"/>
  <c r="H1901" i="1" s="1"/>
  <c r="J1900" i="1"/>
  <c r="H1900" i="1" s="1"/>
  <c r="J1899" i="1"/>
  <c r="H1899" i="1" s="1"/>
  <c r="J1898" i="1"/>
  <c r="H1898" i="1" s="1"/>
  <c r="J1897" i="1"/>
  <c r="H1897" i="1" s="1"/>
  <c r="J1896" i="1"/>
  <c r="H1896" i="1" s="1"/>
  <c r="J1895" i="1"/>
  <c r="H1895" i="1" s="1"/>
  <c r="J1894" i="1"/>
  <c r="H1894" i="1" s="1"/>
  <c r="J1893" i="1"/>
  <c r="H1893" i="1" s="1"/>
  <c r="J1892" i="1"/>
  <c r="H1892" i="1" s="1"/>
  <c r="J1891" i="1"/>
  <c r="H1891" i="1" s="1"/>
  <c r="J1890" i="1"/>
  <c r="H1890" i="1" s="1"/>
  <c r="J1889" i="1"/>
  <c r="H1889" i="1" s="1"/>
  <c r="J1888" i="1"/>
  <c r="H1888" i="1" s="1"/>
  <c r="J1887" i="1"/>
  <c r="H1887" i="1" s="1"/>
  <c r="J1886" i="1"/>
  <c r="H1886" i="1" s="1"/>
  <c r="J1885" i="1"/>
  <c r="H1885" i="1" s="1"/>
  <c r="J1884" i="1"/>
  <c r="H1884" i="1" s="1"/>
  <c r="J1883" i="1"/>
  <c r="H1883" i="1" s="1"/>
  <c r="J1882" i="1"/>
  <c r="H1882" i="1" s="1"/>
  <c r="J1881" i="1"/>
  <c r="H1881" i="1" s="1"/>
  <c r="J1880" i="1"/>
  <c r="H1880" i="1" s="1"/>
  <c r="J1879" i="1"/>
  <c r="H1879" i="1" s="1"/>
  <c r="J1878" i="1"/>
  <c r="H1878" i="1" s="1"/>
  <c r="J1877" i="1"/>
  <c r="H1877" i="1" s="1"/>
  <c r="J1876" i="1"/>
  <c r="H1876" i="1" s="1"/>
  <c r="J1875" i="1"/>
  <c r="H1875" i="1" s="1"/>
  <c r="J1874" i="1"/>
  <c r="H1874" i="1" s="1"/>
  <c r="J1873" i="1"/>
  <c r="H1873" i="1" s="1"/>
  <c r="J1872" i="1"/>
  <c r="H1872" i="1" s="1"/>
  <c r="J1871" i="1"/>
  <c r="H1871" i="1" s="1"/>
  <c r="J1870" i="1"/>
  <c r="H1870" i="1" s="1"/>
  <c r="J1869" i="1"/>
  <c r="H1869" i="1" s="1"/>
  <c r="J1868" i="1"/>
  <c r="H1868" i="1" s="1"/>
  <c r="J1867" i="1"/>
  <c r="H1867" i="1" s="1"/>
  <c r="J1866" i="1"/>
  <c r="H1866" i="1" s="1"/>
  <c r="J1865" i="1"/>
  <c r="H1865" i="1" s="1"/>
  <c r="J1864" i="1"/>
  <c r="H1864" i="1" s="1"/>
  <c r="J1863" i="1"/>
  <c r="H1863" i="1" s="1"/>
  <c r="J1862" i="1"/>
  <c r="H1862" i="1" s="1"/>
  <c r="J1861" i="1"/>
  <c r="H1861" i="1" s="1"/>
  <c r="J1860" i="1"/>
  <c r="H1860" i="1" s="1"/>
  <c r="J1859" i="1"/>
  <c r="H1859" i="1" s="1"/>
  <c r="J1858" i="1"/>
  <c r="H1858" i="1" s="1"/>
  <c r="J1857" i="1"/>
  <c r="H1857" i="1" s="1"/>
  <c r="J1856" i="1"/>
  <c r="H1856" i="1" s="1"/>
  <c r="J1855" i="1"/>
  <c r="H1855" i="1" s="1"/>
  <c r="J1854" i="1"/>
  <c r="H1854" i="1" s="1"/>
  <c r="J1853" i="1"/>
  <c r="J1852" i="1"/>
  <c r="H1852" i="1" s="1"/>
  <c r="J1851" i="1"/>
  <c r="H1851" i="1" s="1"/>
  <c r="J1850" i="1"/>
  <c r="H1850" i="1" s="1"/>
  <c r="J1849" i="1"/>
  <c r="H1849" i="1" s="1"/>
  <c r="J1848" i="1"/>
  <c r="H1848" i="1" s="1"/>
  <c r="J1847" i="1"/>
  <c r="H1847" i="1" s="1"/>
  <c r="J1846" i="1"/>
  <c r="H1846" i="1" s="1"/>
  <c r="J1845" i="1"/>
  <c r="H1845" i="1" s="1"/>
  <c r="J1844" i="1"/>
  <c r="H1844" i="1" s="1"/>
  <c r="J1843" i="1"/>
  <c r="H1843" i="1" s="1"/>
  <c r="J1842" i="1"/>
  <c r="H1842" i="1" s="1"/>
  <c r="J1841" i="1"/>
  <c r="H1841" i="1" s="1"/>
  <c r="J1840" i="1"/>
  <c r="H1840" i="1" s="1"/>
  <c r="J1839" i="1"/>
  <c r="H1839" i="1" s="1"/>
  <c r="J1838" i="1"/>
  <c r="H1838" i="1" s="1"/>
  <c r="J1837" i="1"/>
  <c r="H1837" i="1" s="1"/>
  <c r="J1836" i="1"/>
  <c r="H1836" i="1" s="1"/>
  <c r="J1835" i="1"/>
  <c r="H1835" i="1" s="1"/>
  <c r="J1834" i="1"/>
  <c r="H1834" i="1" s="1"/>
  <c r="J1833" i="1"/>
  <c r="H1833" i="1" s="1"/>
  <c r="J1832" i="1"/>
  <c r="H1832" i="1" s="1"/>
  <c r="J1831" i="1"/>
  <c r="H1831" i="1" s="1"/>
  <c r="J1830" i="1"/>
  <c r="H1830" i="1" s="1"/>
  <c r="J1829" i="1"/>
  <c r="H1829" i="1" s="1"/>
  <c r="J1828" i="1"/>
  <c r="H1828" i="1" s="1"/>
  <c r="J1827" i="1"/>
  <c r="H1827" i="1" s="1"/>
  <c r="J1826" i="1"/>
  <c r="H1826" i="1" s="1"/>
  <c r="J1825" i="1"/>
  <c r="H1825" i="1" s="1"/>
  <c r="J1824" i="1"/>
  <c r="H1824" i="1" s="1"/>
  <c r="J1823" i="1"/>
  <c r="H1823" i="1" s="1"/>
  <c r="J1822" i="1"/>
  <c r="H1822" i="1" s="1"/>
  <c r="J1821" i="1"/>
  <c r="H1821" i="1" s="1"/>
  <c r="J1820" i="1"/>
  <c r="H1820" i="1" s="1"/>
  <c r="J1819" i="1"/>
  <c r="H1819" i="1" s="1"/>
  <c r="J1818" i="1"/>
  <c r="H1818" i="1" s="1"/>
  <c r="J1817" i="1"/>
  <c r="H1817" i="1" s="1"/>
  <c r="J1816" i="1"/>
  <c r="H1816" i="1" s="1"/>
  <c r="J1815" i="1"/>
  <c r="H1815" i="1" s="1"/>
  <c r="J1814" i="1"/>
  <c r="H1814" i="1" s="1"/>
  <c r="J1813" i="1"/>
  <c r="H1813" i="1" s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H1722" i="1" s="1"/>
  <c r="J1721" i="1"/>
  <c r="H1721" i="1" s="1"/>
  <c r="J1720" i="1"/>
  <c r="H1720" i="1" s="1"/>
  <c r="J1719" i="1"/>
  <c r="H1719" i="1" s="1"/>
  <c r="J1718" i="1"/>
  <c r="H1718" i="1" s="1"/>
  <c r="J1717" i="1"/>
  <c r="H1717" i="1" s="1"/>
  <c r="J1716" i="1"/>
  <c r="H1716" i="1" s="1"/>
  <c r="J1715" i="1"/>
  <c r="H1715" i="1" s="1"/>
  <c r="J1714" i="1"/>
  <c r="H1714" i="1" s="1"/>
  <c r="J1713" i="1"/>
  <c r="H1713" i="1" s="1"/>
  <c r="J1712" i="1"/>
  <c r="H1712" i="1" s="1"/>
  <c r="J1711" i="1"/>
  <c r="H1711" i="1" s="1"/>
  <c r="J1710" i="1"/>
  <c r="H1710" i="1" s="1"/>
  <c r="J1709" i="1"/>
  <c r="H1709" i="1" s="1"/>
  <c r="J1708" i="1"/>
  <c r="H1708" i="1" s="1"/>
  <c r="J1707" i="1"/>
  <c r="H1707" i="1" s="1"/>
  <c r="J1706" i="1"/>
  <c r="H1706" i="1" s="1"/>
  <c r="J1705" i="1"/>
  <c r="H1705" i="1" s="1"/>
  <c r="J1704" i="1"/>
  <c r="H1704" i="1" s="1"/>
  <c r="J1703" i="1"/>
  <c r="H1703" i="1" s="1"/>
  <c r="J1702" i="1"/>
  <c r="H1702" i="1" s="1"/>
  <c r="J1701" i="1"/>
  <c r="H1701" i="1" s="1"/>
  <c r="J1700" i="1"/>
  <c r="H1700" i="1" s="1"/>
  <c r="J1699" i="1"/>
  <c r="H1699" i="1" s="1"/>
  <c r="J1698" i="1"/>
  <c r="H1698" i="1" s="1"/>
  <c r="J1697" i="1"/>
  <c r="H1697" i="1" s="1"/>
  <c r="J1696" i="1"/>
  <c r="H1696" i="1" s="1"/>
  <c r="J1695" i="1"/>
  <c r="H1695" i="1" s="1"/>
  <c r="J1694" i="1"/>
  <c r="H1694" i="1" s="1"/>
  <c r="J1693" i="1"/>
  <c r="H1693" i="1" s="1"/>
  <c r="J1692" i="1"/>
  <c r="H1692" i="1" s="1"/>
  <c r="J1691" i="1"/>
  <c r="H1691" i="1" s="1"/>
  <c r="J1690" i="1"/>
  <c r="H1690" i="1" s="1"/>
  <c r="J1689" i="1"/>
  <c r="H1689" i="1" s="1"/>
  <c r="J1688" i="1"/>
  <c r="H1688" i="1" s="1"/>
  <c r="J1687" i="1"/>
  <c r="H1687" i="1" s="1"/>
  <c r="J1686" i="1"/>
  <c r="H1686" i="1" s="1"/>
  <c r="J1685" i="1"/>
  <c r="H1685" i="1" s="1"/>
  <c r="J1684" i="1"/>
  <c r="H1684" i="1" s="1"/>
  <c r="J1683" i="1"/>
  <c r="H1683" i="1" s="1"/>
  <c r="J1682" i="1"/>
  <c r="H1682" i="1" s="1"/>
  <c r="J1681" i="1"/>
  <c r="H1681" i="1" s="1"/>
  <c r="J1680" i="1"/>
  <c r="H1680" i="1" s="1"/>
  <c r="J1679" i="1"/>
  <c r="H1679" i="1" s="1"/>
  <c r="J1678" i="1"/>
  <c r="H1678" i="1" s="1"/>
  <c r="J1677" i="1"/>
  <c r="H1677" i="1" s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H1660" i="1" s="1"/>
  <c r="G1503" i="46" s="1"/>
  <c r="H1503" i="46" s="1"/>
  <c r="J1659" i="1"/>
  <c r="J1658" i="1"/>
  <c r="J1657" i="1"/>
  <c r="J1656" i="1"/>
  <c r="J1655" i="1"/>
  <c r="J1654" i="1"/>
  <c r="J1653" i="1"/>
  <c r="J1652" i="1"/>
  <c r="H1652" i="1" s="1"/>
  <c r="J1651" i="1"/>
  <c r="H1651" i="1" s="1"/>
  <c r="J1650" i="1"/>
  <c r="H1650" i="1" s="1"/>
  <c r="J1649" i="1"/>
  <c r="H1649" i="1" s="1"/>
  <c r="J1648" i="1"/>
  <c r="H1648" i="1" s="1"/>
  <c r="J1647" i="1"/>
  <c r="H1647" i="1" s="1"/>
  <c r="J1646" i="1"/>
  <c r="H1646" i="1" s="1"/>
  <c r="J1645" i="1"/>
  <c r="H1645" i="1" s="1"/>
  <c r="J1644" i="1"/>
  <c r="H1644" i="1" s="1"/>
  <c r="J1643" i="1"/>
  <c r="H1643" i="1" s="1"/>
  <c r="J1642" i="1"/>
  <c r="H1642" i="1" s="1"/>
  <c r="J1641" i="1"/>
  <c r="H1641" i="1" s="1"/>
  <c r="J1640" i="1"/>
  <c r="H1640" i="1" s="1"/>
  <c r="J1639" i="1"/>
  <c r="H1639" i="1" s="1"/>
  <c r="J1638" i="1"/>
  <c r="H1638" i="1" s="1"/>
  <c r="J1637" i="1"/>
  <c r="H1637" i="1" s="1"/>
  <c r="J1636" i="1"/>
  <c r="H1636" i="1" s="1"/>
  <c r="J1635" i="1"/>
  <c r="H1635" i="1" s="1"/>
  <c r="J1634" i="1"/>
  <c r="H1634" i="1" s="1"/>
  <c r="J1633" i="1"/>
  <c r="H1633" i="1" s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H1606" i="1" s="1"/>
  <c r="J1605" i="1"/>
  <c r="H1605" i="1" s="1"/>
  <c r="J1604" i="1"/>
  <c r="H1604" i="1" s="1"/>
  <c r="J1603" i="1"/>
  <c r="H1603" i="1" s="1"/>
  <c r="J1602" i="1"/>
  <c r="H1602" i="1" s="1"/>
  <c r="J1601" i="1"/>
  <c r="H1601" i="1" s="1"/>
  <c r="J1600" i="1"/>
  <c r="H1600" i="1" s="1"/>
  <c r="J1599" i="1"/>
  <c r="H1599" i="1" s="1"/>
  <c r="J1598" i="1"/>
  <c r="H1598" i="1" s="1"/>
  <c r="J1597" i="1"/>
  <c r="H1597" i="1" s="1"/>
  <c r="J1596" i="1"/>
  <c r="H1596" i="1" s="1"/>
  <c r="J1595" i="1"/>
  <c r="H1595" i="1" s="1"/>
  <c r="J1594" i="1"/>
  <c r="H1594" i="1" s="1"/>
  <c r="J1593" i="1"/>
  <c r="H1593" i="1" s="1"/>
  <c r="J1592" i="1"/>
  <c r="H1592" i="1" s="1"/>
  <c r="J1591" i="1"/>
  <c r="H1591" i="1" s="1"/>
  <c r="J1590" i="1"/>
  <c r="H1590" i="1" s="1"/>
  <c r="J1589" i="1"/>
  <c r="H1589" i="1" s="1"/>
  <c r="J1588" i="1"/>
  <c r="H1588" i="1" s="1"/>
  <c r="J1587" i="1"/>
  <c r="H1587" i="1" s="1"/>
  <c r="J1586" i="1"/>
  <c r="H1586" i="1" s="1"/>
  <c r="J1585" i="1"/>
  <c r="H1585" i="1" s="1"/>
  <c r="J1584" i="1"/>
  <c r="H1584" i="1" s="1"/>
  <c r="J1583" i="1"/>
  <c r="H1583" i="1" s="1"/>
  <c r="J1582" i="1"/>
  <c r="H1582" i="1" s="1"/>
  <c r="J1581" i="1"/>
  <c r="H1581" i="1" s="1"/>
  <c r="J1580" i="1"/>
  <c r="H1580" i="1" s="1"/>
  <c r="J1579" i="1"/>
  <c r="H1579" i="1" s="1"/>
  <c r="J1578" i="1"/>
  <c r="H1578" i="1" s="1"/>
  <c r="J1577" i="1"/>
  <c r="H1577" i="1" s="1"/>
  <c r="J1576" i="1"/>
  <c r="H1576" i="1" s="1"/>
  <c r="J1575" i="1"/>
  <c r="H1575" i="1" s="1"/>
  <c r="J1574" i="1"/>
  <c r="H1574" i="1" s="1"/>
  <c r="J1573" i="1"/>
  <c r="H1573" i="1" s="1"/>
  <c r="J1572" i="1"/>
  <c r="H1572" i="1" s="1"/>
  <c r="J1571" i="1"/>
  <c r="H1571" i="1" s="1"/>
  <c r="J1570" i="1"/>
  <c r="H1570" i="1" s="1"/>
  <c r="J1569" i="1"/>
  <c r="H1569" i="1" s="1"/>
  <c r="J1568" i="1"/>
  <c r="H1568" i="1" s="1"/>
  <c r="J1567" i="1"/>
  <c r="H1567" i="1" s="1"/>
  <c r="J1566" i="1"/>
  <c r="H1566" i="1" s="1"/>
  <c r="J1565" i="1"/>
  <c r="H1565" i="1" s="1"/>
  <c r="J1564" i="1"/>
  <c r="H1564" i="1" s="1"/>
  <c r="J1563" i="1"/>
  <c r="H1563" i="1" s="1"/>
  <c r="J1562" i="1"/>
  <c r="H1562" i="1" s="1"/>
  <c r="J1561" i="1"/>
  <c r="H1561" i="1" s="1"/>
  <c r="J1560" i="1"/>
  <c r="H1560" i="1" s="1"/>
  <c r="J1559" i="1"/>
  <c r="H1559" i="1" s="1"/>
  <c r="J1558" i="1"/>
  <c r="H1558" i="1" s="1"/>
  <c r="J1557" i="1"/>
  <c r="H1557" i="1" s="1"/>
  <c r="J1556" i="1"/>
  <c r="H1556" i="1" s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H1501" i="1" s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H1434" i="1" s="1"/>
  <c r="J1433" i="1"/>
  <c r="H1433" i="1" s="1"/>
  <c r="J1432" i="1"/>
  <c r="H1432" i="1" s="1"/>
  <c r="J1431" i="1"/>
  <c r="H1431" i="1" s="1"/>
  <c r="J1430" i="1"/>
  <c r="H1430" i="1" s="1"/>
  <c r="J1429" i="1"/>
  <c r="H1429" i="1" s="1"/>
  <c r="J1428" i="1"/>
  <c r="H1428" i="1" s="1"/>
  <c r="J1427" i="1"/>
  <c r="H1427" i="1" s="1"/>
  <c r="J1426" i="1"/>
  <c r="H1426" i="1" s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H1366" i="1" s="1"/>
  <c r="J1365" i="1"/>
  <c r="H1365" i="1" s="1"/>
  <c r="J1364" i="1"/>
  <c r="H1364" i="1" s="1"/>
  <c r="J1363" i="1"/>
  <c r="H1363" i="1" s="1"/>
  <c r="G238" i="46" s="1"/>
  <c r="H238" i="46" s="1"/>
  <c r="J1362" i="1"/>
  <c r="H1362" i="1" s="1"/>
  <c r="J1361" i="1"/>
  <c r="H1361" i="1" s="1"/>
  <c r="J1360" i="1"/>
  <c r="H1360" i="1" s="1"/>
  <c r="J1359" i="1"/>
  <c r="H1359" i="1" s="1"/>
  <c r="J1358" i="1"/>
  <c r="H1358" i="1" s="1"/>
  <c r="J1357" i="1"/>
  <c r="H1357" i="1" s="1"/>
  <c r="J1356" i="1"/>
  <c r="H1356" i="1" s="1"/>
  <c r="J1355" i="1"/>
  <c r="H1355" i="1" s="1"/>
  <c r="J1354" i="1"/>
  <c r="H1354" i="1" s="1"/>
  <c r="J1353" i="1"/>
  <c r="H1353" i="1" s="1"/>
  <c r="J1352" i="1"/>
  <c r="H1352" i="1" s="1"/>
  <c r="J1351" i="1"/>
  <c r="H1351" i="1" s="1"/>
  <c r="J1350" i="1"/>
  <c r="H1350" i="1" s="1"/>
  <c r="J1349" i="1"/>
  <c r="H1349" i="1" s="1"/>
  <c r="J1348" i="1"/>
  <c r="H1348" i="1" s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H1170" i="1" s="1"/>
  <c r="J1169" i="1"/>
  <c r="J1168" i="1"/>
  <c r="J1167" i="1"/>
  <c r="J1165" i="1"/>
  <c r="H1165" i="1" s="1"/>
  <c r="J1164" i="1"/>
  <c r="J1163" i="1"/>
  <c r="J1162" i="1"/>
  <c r="J1161" i="1"/>
  <c r="J1160" i="1"/>
  <c r="J1159" i="1"/>
  <c r="J1158" i="1"/>
  <c r="J1157" i="1"/>
  <c r="J1156" i="1"/>
  <c r="H1156" i="1" s="1"/>
  <c r="J1155" i="1"/>
  <c r="H1155" i="1" s="1"/>
  <c r="J1154" i="1"/>
  <c r="H1154" i="1" s="1"/>
  <c r="J1153" i="1"/>
  <c r="H1153" i="1" s="1"/>
  <c r="J1152" i="1"/>
  <c r="H1152" i="1" s="1"/>
  <c r="J1151" i="1"/>
  <c r="H1151" i="1" s="1"/>
  <c r="J1150" i="1"/>
  <c r="H1150" i="1" s="1"/>
  <c r="J1149" i="1"/>
  <c r="H1149" i="1" s="1"/>
  <c r="J1148" i="1"/>
  <c r="H1148" i="1" s="1"/>
  <c r="J1147" i="1"/>
  <c r="H1147" i="1" s="1"/>
  <c r="J1146" i="1"/>
  <c r="H1146" i="1" s="1"/>
  <c r="J1145" i="1"/>
  <c r="H1145" i="1" s="1"/>
  <c r="J1144" i="1"/>
  <c r="H1144" i="1" s="1"/>
  <c r="J1143" i="1"/>
  <c r="H1143" i="1" s="1"/>
  <c r="J1142" i="1"/>
  <c r="H1142" i="1" s="1"/>
  <c r="J1141" i="1"/>
  <c r="H1141" i="1" s="1"/>
  <c r="J1140" i="1"/>
  <c r="H1140" i="1" s="1"/>
  <c r="J1139" i="1"/>
  <c r="H1139" i="1" s="1"/>
  <c r="J1138" i="1"/>
  <c r="H1138" i="1" s="1"/>
  <c r="J1137" i="1"/>
  <c r="H1137" i="1" s="1"/>
  <c r="J1136" i="1"/>
  <c r="H1136" i="1" s="1"/>
  <c r="J1135" i="1"/>
  <c r="H1135" i="1" s="1"/>
  <c r="J1134" i="1"/>
  <c r="H1134" i="1" s="1"/>
  <c r="J1133" i="1"/>
  <c r="H1133" i="1" s="1"/>
  <c r="J1132" i="1"/>
  <c r="H1132" i="1" s="1"/>
  <c r="J1131" i="1"/>
  <c r="H1131" i="1" s="1"/>
  <c r="J1130" i="1"/>
  <c r="H1130" i="1" s="1"/>
  <c r="J1129" i="1"/>
  <c r="H1129" i="1" s="1"/>
  <c r="J1128" i="1"/>
  <c r="H1128" i="1" s="1"/>
  <c r="J1127" i="1"/>
  <c r="H1127" i="1" s="1"/>
  <c r="J1126" i="1"/>
  <c r="H1126" i="1" s="1"/>
  <c r="J1125" i="1"/>
  <c r="H1125" i="1" s="1"/>
  <c r="J1124" i="1"/>
  <c r="H1124" i="1" s="1"/>
  <c r="J1123" i="1"/>
  <c r="H1123" i="1" s="1"/>
  <c r="J1122" i="1"/>
  <c r="H1122" i="1" s="1"/>
  <c r="J1121" i="1"/>
  <c r="H1121" i="1" s="1"/>
  <c r="J1120" i="1"/>
  <c r="H1120" i="1" s="1"/>
  <c r="J1119" i="1"/>
  <c r="H1119" i="1" s="1"/>
  <c r="J1118" i="1"/>
  <c r="H1118" i="1" s="1"/>
  <c r="J1117" i="1"/>
  <c r="H1117" i="1" s="1"/>
  <c r="J1116" i="1"/>
  <c r="H1116" i="1" s="1"/>
  <c r="J1115" i="1"/>
  <c r="H1115" i="1" s="1"/>
  <c r="J1114" i="1"/>
  <c r="H1114" i="1" s="1"/>
  <c r="J1113" i="1"/>
  <c r="H1113" i="1" s="1"/>
  <c r="J1112" i="1"/>
  <c r="H1112" i="1" s="1"/>
  <c r="J1111" i="1"/>
  <c r="H1111" i="1" s="1"/>
  <c r="J1110" i="1"/>
  <c r="H1110" i="1" s="1"/>
  <c r="J1109" i="1"/>
  <c r="H1109" i="1" s="1"/>
  <c r="J1108" i="1"/>
  <c r="H1108" i="1" s="1"/>
  <c r="J1107" i="1"/>
  <c r="H1107" i="1" s="1"/>
  <c r="J1106" i="1"/>
  <c r="H1106" i="1" s="1"/>
  <c r="J1105" i="1"/>
  <c r="H1105" i="1" s="1"/>
  <c r="J1104" i="1"/>
  <c r="H1104" i="1" s="1"/>
  <c r="J1103" i="1"/>
  <c r="H1103" i="1" s="1"/>
  <c r="J1102" i="1"/>
  <c r="H1102" i="1" s="1"/>
  <c r="J1101" i="1"/>
  <c r="H1101" i="1" s="1"/>
  <c r="J1100" i="1"/>
  <c r="H1100" i="1" s="1"/>
  <c r="J1099" i="1"/>
  <c r="H1099" i="1" s="1"/>
  <c r="J1098" i="1"/>
  <c r="H1098" i="1" s="1"/>
  <c r="J1097" i="1"/>
  <c r="H1097" i="1" s="1"/>
  <c r="J1096" i="1"/>
  <c r="H1096" i="1" s="1"/>
  <c r="J1095" i="1"/>
  <c r="H1095" i="1" s="1"/>
  <c r="J1094" i="1"/>
  <c r="H1094" i="1" s="1"/>
  <c r="J1093" i="1"/>
  <c r="H1093" i="1" s="1"/>
  <c r="J1092" i="1"/>
  <c r="H1092" i="1" s="1"/>
  <c r="J1091" i="1"/>
  <c r="H1091" i="1" s="1"/>
  <c r="J1090" i="1"/>
  <c r="H1090" i="1" s="1"/>
  <c r="J1089" i="1"/>
  <c r="H1089" i="1" s="1"/>
  <c r="J1088" i="1"/>
  <c r="H1088" i="1" s="1"/>
  <c r="J1087" i="1"/>
  <c r="H1087" i="1" s="1"/>
  <c r="J1086" i="1"/>
  <c r="H1086" i="1" s="1"/>
  <c r="J1085" i="1"/>
  <c r="H1085" i="1" s="1"/>
  <c r="J1084" i="1"/>
  <c r="H1084" i="1" s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6" i="1"/>
  <c r="H1026" i="1" s="1"/>
  <c r="J1025" i="1"/>
  <c r="H1025" i="1" s="1"/>
  <c r="J1023" i="1"/>
  <c r="H1023" i="1" s="1"/>
  <c r="H20" i="46" s="1"/>
  <c r="J1022" i="1"/>
  <c r="H1022" i="1" s="1"/>
  <c r="J1021" i="1"/>
  <c r="H1021" i="1" s="1"/>
  <c r="J1020" i="1"/>
  <c r="H1020" i="1" s="1"/>
  <c r="J1019" i="1"/>
  <c r="H1019" i="1" s="1"/>
  <c r="J1018" i="1"/>
  <c r="H1018" i="1" s="1"/>
  <c r="J1017" i="1"/>
  <c r="H1017" i="1" s="1"/>
  <c r="J1016" i="1"/>
  <c r="H1016" i="1" s="1"/>
  <c r="J1015" i="1"/>
  <c r="H1015" i="1" s="1"/>
  <c r="J1014" i="1"/>
  <c r="H1014" i="1" s="1"/>
  <c r="J1013" i="1"/>
  <c r="H1013" i="1" s="1"/>
  <c r="J1012" i="1"/>
  <c r="H1012" i="1" s="1"/>
  <c r="G1485" i="46" s="1"/>
  <c r="H1485" i="46" s="1"/>
  <c r="J1011" i="1"/>
  <c r="H1011" i="1" s="1"/>
  <c r="J1010" i="1"/>
  <c r="H1010" i="1" s="1"/>
  <c r="J1009" i="1"/>
  <c r="H1009" i="1" s="1"/>
  <c r="J1008" i="1"/>
  <c r="H1008" i="1" s="1"/>
  <c r="J1007" i="1"/>
  <c r="H1007" i="1" s="1"/>
  <c r="J1006" i="1"/>
  <c r="H1006" i="1" s="1"/>
  <c r="J1005" i="1"/>
  <c r="H1005" i="1" s="1"/>
  <c r="J1004" i="1"/>
  <c r="H1004" i="1" s="1"/>
  <c r="J1003" i="1"/>
  <c r="H1003" i="1" s="1"/>
  <c r="J1002" i="1"/>
  <c r="H1002" i="1" s="1"/>
  <c r="J1001" i="1"/>
  <c r="H1001" i="1" s="1"/>
  <c r="J1000" i="1"/>
  <c r="H1000" i="1" s="1"/>
  <c r="J999" i="1"/>
  <c r="H999" i="1" s="1"/>
  <c r="J998" i="1"/>
  <c r="H998" i="1" s="1"/>
  <c r="J997" i="1"/>
  <c r="H997" i="1" s="1"/>
  <c r="J996" i="1"/>
  <c r="H996" i="1" s="1"/>
  <c r="J995" i="1"/>
  <c r="H995" i="1" s="1"/>
  <c r="J994" i="1"/>
  <c r="H994" i="1" s="1"/>
  <c r="J993" i="1"/>
  <c r="H993" i="1" s="1"/>
  <c r="J992" i="1"/>
  <c r="H992" i="1" s="1"/>
  <c r="J991" i="1"/>
  <c r="H991" i="1" s="1"/>
  <c r="G1484" i="46" s="1"/>
  <c r="H1484" i="46" s="1"/>
  <c r="J990" i="1"/>
  <c r="H990" i="1" s="1"/>
  <c r="J989" i="1"/>
  <c r="H989" i="1" s="1"/>
  <c r="J988" i="1"/>
  <c r="H988" i="1" s="1"/>
  <c r="J987" i="1"/>
  <c r="H987" i="1" s="1"/>
  <c r="J986" i="1"/>
  <c r="H986" i="1" s="1"/>
  <c r="J985" i="1"/>
  <c r="H985" i="1" s="1"/>
  <c r="J984" i="1"/>
  <c r="H984" i="1" s="1"/>
  <c r="J983" i="1"/>
  <c r="H983" i="1" s="1"/>
  <c r="J982" i="1"/>
  <c r="H982" i="1" s="1"/>
  <c r="J981" i="1"/>
  <c r="H981" i="1" s="1"/>
  <c r="J980" i="1"/>
  <c r="H980" i="1" s="1"/>
  <c r="J979" i="1"/>
  <c r="H979" i="1" s="1"/>
  <c r="J978" i="1"/>
  <c r="H978" i="1" s="1"/>
  <c r="J977" i="1"/>
  <c r="H977" i="1" s="1"/>
  <c r="J976" i="1"/>
  <c r="H976" i="1" s="1"/>
  <c r="J975" i="1"/>
  <c r="H975" i="1" s="1"/>
  <c r="J974" i="1"/>
  <c r="H974" i="1" s="1"/>
  <c r="J973" i="1"/>
  <c r="H973" i="1" s="1"/>
  <c r="J972" i="1"/>
  <c r="H972" i="1" s="1"/>
  <c r="J971" i="1"/>
  <c r="H971" i="1" s="1"/>
  <c r="J970" i="1"/>
  <c r="H970" i="1" s="1"/>
  <c r="J969" i="1"/>
  <c r="H969" i="1" s="1"/>
  <c r="J968" i="1"/>
  <c r="H968" i="1" s="1"/>
  <c r="J967" i="1"/>
  <c r="H967" i="1" s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H225" i="1" s="1"/>
  <c r="J224" i="1"/>
  <c r="H224" i="1" s="1"/>
  <c r="J223" i="1"/>
  <c r="H223" i="1" s="1"/>
  <c r="J222" i="1"/>
  <c r="H222" i="1" s="1"/>
  <c r="J221" i="1"/>
  <c r="H221" i="1" s="1"/>
  <c r="J220" i="1"/>
  <c r="H220" i="1" s="1"/>
  <c r="J219" i="1"/>
  <c r="H219" i="1" s="1"/>
  <c r="J218" i="1"/>
  <c r="H218" i="1" s="1"/>
  <c r="J217" i="1"/>
  <c r="H217" i="1" s="1"/>
  <c r="J216" i="1"/>
  <c r="H216" i="1" s="1"/>
  <c r="J215" i="1"/>
  <c r="H215" i="1" s="1"/>
  <c r="J214" i="1"/>
  <c r="H214" i="1" s="1"/>
  <c r="J213" i="1"/>
  <c r="H213" i="1" s="1"/>
  <c r="J212" i="1"/>
  <c r="H212" i="1" s="1"/>
  <c r="J211" i="1"/>
  <c r="H211" i="1" s="1"/>
  <c r="J210" i="1"/>
  <c r="H210" i="1" s="1"/>
  <c r="J209" i="1"/>
  <c r="H209" i="1" s="1"/>
  <c r="J208" i="1"/>
  <c r="H208" i="1" s="1"/>
  <c r="J207" i="1"/>
  <c r="H207" i="1" s="1"/>
  <c r="J206" i="1"/>
  <c r="H206" i="1" s="1"/>
  <c r="J205" i="1"/>
  <c r="H205" i="1" s="1"/>
  <c r="J204" i="1"/>
  <c r="H204" i="1" s="1"/>
  <c r="J203" i="1"/>
  <c r="H203" i="1" s="1"/>
  <c r="J202" i="1"/>
  <c r="H202" i="1" s="1"/>
  <c r="J201" i="1"/>
  <c r="H201" i="1" s="1"/>
  <c r="J200" i="1"/>
  <c r="H200" i="1" s="1"/>
  <c r="J199" i="1"/>
  <c r="H199" i="1" s="1"/>
  <c r="J198" i="1"/>
  <c r="H198" i="1" s="1"/>
  <c r="J197" i="1"/>
  <c r="H197" i="1" s="1"/>
  <c r="J196" i="1"/>
  <c r="H196" i="1" s="1"/>
  <c r="J195" i="1"/>
  <c r="H195" i="1" s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H177" i="1" s="1"/>
  <c r="G1505" i="46" s="1"/>
  <c r="H1505" i="46" s="1"/>
  <c r="J176" i="1"/>
  <c r="H176" i="1" s="1"/>
  <c r="J175" i="1"/>
  <c r="H175" i="1" s="1"/>
  <c r="J174" i="1"/>
  <c r="H174" i="1" s="1"/>
  <c r="J173" i="1"/>
  <c r="H173" i="1" s="1"/>
  <c r="J172" i="1"/>
  <c r="H172" i="1" s="1"/>
  <c r="J171" i="1"/>
  <c r="H171" i="1" s="1"/>
  <c r="J170" i="1"/>
  <c r="H170" i="1" s="1"/>
  <c r="J169" i="1"/>
  <c r="H169" i="1" s="1"/>
  <c r="J168" i="1"/>
  <c r="H168" i="1" s="1"/>
  <c r="J167" i="1"/>
  <c r="H167" i="1" s="1"/>
  <c r="J166" i="1"/>
  <c r="H166" i="1" s="1"/>
  <c r="J165" i="1"/>
  <c r="H165" i="1" s="1"/>
  <c r="J164" i="1"/>
  <c r="H164" i="1" s="1"/>
  <c r="J163" i="1"/>
  <c r="H163" i="1" s="1"/>
  <c r="J162" i="1"/>
  <c r="H162" i="1" s="1"/>
  <c r="J161" i="1"/>
  <c r="H161" i="1" s="1"/>
  <c r="J160" i="1"/>
  <c r="H160" i="1" s="1"/>
  <c r="J159" i="1"/>
  <c r="H159" i="1" s="1"/>
  <c r="J158" i="1"/>
  <c r="H158" i="1" s="1"/>
  <c r="J157" i="1"/>
  <c r="H157" i="1" s="1"/>
  <c r="J156" i="1"/>
  <c r="H156" i="1" s="1"/>
  <c r="J155" i="1"/>
  <c r="H155" i="1" s="1"/>
  <c r="J154" i="1"/>
  <c r="H154" i="1" s="1"/>
  <c r="J153" i="1"/>
  <c r="H153" i="1" s="1"/>
  <c r="G254" i="39" s="1"/>
  <c r="J152" i="1"/>
  <c r="H152" i="1" s="1"/>
  <c r="G1004" i="46" s="1"/>
  <c r="J151" i="1"/>
  <c r="H151" i="1" s="1"/>
  <c r="J150" i="1"/>
  <c r="H150" i="1" s="1"/>
  <c r="J149" i="1"/>
  <c r="H149" i="1" s="1"/>
  <c r="J148" i="1"/>
  <c r="H148" i="1" s="1"/>
  <c r="J147" i="1"/>
  <c r="H147" i="1" s="1"/>
  <c r="J146" i="1"/>
  <c r="H146" i="1" s="1"/>
  <c r="J145" i="1"/>
  <c r="H145" i="1" s="1"/>
  <c r="G1504" i="46" s="1"/>
  <c r="H1504" i="46" s="1"/>
  <c r="J144" i="1"/>
  <c r="H144" i="1" s="1"/>
  <c r="J143" i="1"/>
  <c r="H143" i="1" s="1"/>
  <c r="J142" i="1"/>
  <c r="H142" i="1" s="1"/>
  <c r="J141" i="1"/>
  <c r="H141" i="1" s="1"/>
  <c r="J139" i="1"/>
  <c r="H139" i="1" s="1"/>
  <c r="J138" i="1"/>
  <c r="H138" i="1" s="1"/>
  <c r="J137" i="1"/>
  <c r="H137" i="1" s="1"/>
  <c r="J136" i="1"/>
  <c r="H136" i="1" s="1"/>
  <c r="J135" i="1"/>
  <c r="H135" i="1" s="1"/>
  <c r="J134" i="1"/>
  <c r="H134" i="1" s="1"/>
  <c r="J133" i="1"/>
  <c r="H133" i="1" s="1"/>
  <c r="J132" i="1"/>
  <c r="H132" i="1" s="1"/>
  <c r="J131" i="1"/>
  <c r="H131" i="1" s="1"/>
  <c r="J130" i="1"/>
  <c r="H130" i="1" s="1"/>
  <c r="J129" i="1"/>
  <c r="H129" i="1" s="1"/>
  <c r="J128" i="1"/>
  <c r="H128" i="1" s="1"/>
  <c r="J127" i="1"/>
  <c r="H127" i="1" s="1"/>
  <c r="J126" i="1"/>
  <c r="H126" i="1" s="1"/>
  <c r="J125" i="1"/>
  <c r="H125" i="1" s="1"/>
  <c r="J124" i="1"/>
  <c r="H124" i="1" s="1"/>
  <c r="J123" i="1"/>
  <c r="H123" i="1" s="1"/>
  <c r="J122" i="1"/>
  <c r="H122" i="1" s="1"/>
  <c r="J121" i="1"/>
  <c r="H121" i="1" s="1"/>
  <c r="J120" i="1"/>
  <c r="H120" i="1" s="1"/>
  <c r="J119" i="1"/>
  <c r="H119" i="1" s="1"/>
  <c r="J118" i="1"/>
  <c r="H118" i="1" s="1"/>
  <c r="J117" i="1"/>
  <c r="H117" i="1" s="1"/>
  <c r="J116" i="1"/>
  <c r="H116" i="1" s="1"/>
  <c r="J115" i="1"/>
  <c r="H115" i="1" s="1"/>
  <c r="J114" i="1"/>
  <c r="H114" i="1" s="1"/>
  <c r="J113" i="1"/>
  <c r="H113" i="1" s="1"/>
  <c r="J112" i="1"/>
  <c r="H112" i="1" s="1"/>
  <c r="J111" i="1"/>
  <c r="H111" i="1" s="1"/>
  <c r="J110" i="1"/>
  <c r="H110" i="1" s="1"/>
  <c r="J109" i="1"/>
  <c r="H109" i="1" s="1"/>
  <c r="J108" i="1"/>
  <c r="H108" i="1" s="1"/>
  <c r="J107" i="1"/>
  <c r="H107" i="1" s="1"/>
  <c r="J106" i="1"/>
  <c r="H106" i="1" s="1"/>
  <c r="J105" i="1"/>
  <c r="H105" i="1" s="1"/>
  <c r="J104" i="1"/>
  <c r="H104" i="1" s="1"/>
  <c r="J103" i="1"/>
  <c r="H103" i="1" s="1"/>
  <c r="J102" i="1"/>
  <c r="H102" i="1" s="1"/>
  <c r="J101" i="1"/>
  <c r="H101" i="1" s="1"/>
  <c r="G239" i="46" s="1"/>
  <c r="H239" i="46" s="1"/>
  <c r="J100" i="1"/>
  <c r="J99" i="1"/>
  <c r="H99" i="1" s="1"/>
  <c r="J98" i="1"/>
  <c r="H98" i="1" s="1"/>
  <c r="J97" i="1"/>
  <c r="H97" i="1" s="1"/>
  <c r="J96" i="1"/>
  <c r="H96" i="1" s="1"/>
  <c r="J95" i="1"/>
  <c r="H95" i="1" s="1"/>
  <c r="J94" i="1"/>
  <c r="H94" i="1" s="1"/>
  <c r="J93" i="1"/>
  <c r="H93" i="1" s="1"/>
  <c r="J92" i="1"/>
  <c r="H92" i="1" s="1"/>
  <c r="J91" i="1"/>
  <c r="H91" i="1" s="1"/>
  <c r="G240" i="46" s="1"/>
  <c r="H240" i="46" s="1"/>
  <c r="J90" i="1"/>
  <c r="H90" i="1" s="1"/>
  <c r="J89" i="1"/>
  <c r="H89" i="1" s="1"/>
  <c r="J88" i="1"/>
  <c r="H88" i="1" s="1"/>
  <c r="J87" i="1"/>
  <c r="H87" i="1" s="1"/>
  <c r="J86" i="1"/>
  <c r="H86" i="1" s="1"/>
  <c r="J85" i="1"/>
  <c r="H85" i="1" s="1"/>
  <c r="J84" i="1"/>
  <c r="H84" i="1" s="1"/>
  <c r="J83" i="1"/>
  <c r="H83" i="1" s="1"/>
  <c r="J82" i="1"/>
  <c r="H82" i="1" s="1"/>
  <c r="J81" i="1"/>
  <c r="H81" i="1" s="1"/>
  <c r="J80" i="1"/>
  <c r="H80" i="1" s="1"/>
  <c r="J79" i="1"/>
  <c r="H79" i="1" s="1"/>
  <c r="J78" i="1"/>
  <c r="H78" i="1" s="1"/>
  <c r="J77" i="1"/>
  <c r="H77" i="1" s="1"/>
  <c r="J76" i="1"/>
  <c r="H76" i="1" s="1"/>
  <c r="J75" i="1"/>
  <c r="H75" i="1" s="1"/>
  <c r="J74" i="1"/>
  <c r="H74" i="1" s="1"/>
  <c r="J73" i="1"/>
  <c r="H73" i="1" s="1"/>
  <c r="J72" i="1"/>
  <c r="H72" i="1" s="1"/>
  <c r="J71" i="1"/>
  <c r="H71" i="1" s="1"/>
  <c r="J70" i="1"/>
  <c r="H70" i="1" s="1"/>
  <c r="J69" i="1"/>
  <c r="H69" i="1" s="1"/>
  <c r="J68" i="1"/>
  <c r="H68" i="1" s="1"/>
  <c r="J67" i="1"/>
  <c r="H67" i="1" s="1"/>
  <c r="J66" i="1"/>
  <c r="H66" i="1" s="1"/>
  <c r="J65" i="1"/>
  <c r="H65" i="1" s="1"/>
  <c r="J64" i="1"/>
  <c r="J63" i="1"/>
  <c r="J56" i="1"/>
  <c r="H56" i="1" s="1"/>
  <c r="I1026" i="1"/>
  <c r="I1027" i="1" s="1"/>
  <c r="J1027" i="1" s="1"/>
  <c r="H1027" i="1" s="1"/>
  <c r="G1502" i="46" s="1"/>
  <c r="H1502" i="46" s="1"/>
  <c r="I1024" i="1"/>
  <c r="J1024" i="1" s="1"/>
  <c r="H1024" i="1" s="1"/>
  <c r="G367" i="46" s="1"/>
  <c r="H367" i="46" s="1"/>
  <c r="H368" i="46" s="1"/>
  <c r="H371" i="46" s="1"/>
  <c r="H372" i="46" s="1"/>
  <c r="H373" i="46" s="1"/>
  <c r="K357" i="46" s="1"/>
  <c r="I967" i="1"/>
  <c r="I140" i="1"/>
  <c r="J140" i="1" s="1"/>
  <c r="H140" i="1" s="1"/>
  <c r="H1506" i="46" l="1"/>
  <c r="H1509" i="46" s="1"/>
  <c r="H1510" i="46" s="1"/>
  <c r="H1511" i="46" s="1"/>
  <c r="K1493" i="46" s="1"/>
  <c r="H1486" i="46"/>
  <c r="H1489" i="46" s="1"/>
  <c r="H1490" i="46" s="1"/>
  <c r="H1491" i="46" s="1"/>
  <c r="K1475" i="46" s="1"/>
  <c r="H242" i="46"/>
  <c r="H245" i="46" s="1"/>
  <c r="H246" i="46" s="1"/>
  <c r="H247" i="46" s="1"/>
  <c r="K229" i="46" s="1"/>
  <c r="L1203" i="46"/>
  <c r="N1062" i="46"/>
  <c r="L1123" i="46" l="1"/>
  <c r="L1373" i="46"/>
  <c r="G1388" i="46"/>
  <c r="G1383" i="46"/>
  <c r="H1383" i="46" s="1"/>
  <c r="G1382" i="46"/>
  <c r="H1382" i="46" s="1"/>
  <c r="G1379" i="46"/>
  <c r="H1379" i="46" s="1"/>
  <c r="G1378" i="46"/>
  <c r="H1378" i="46" s="1"/>
  <c r="G1377" i="46"/>
  <c r="H1377" i="46" s="1"/>
  <c r="G1376" i="46"/>
  <c r="H1376" i="46" s="1"/>
  <c r="L1356" i="46"/>
  <c r="L1246" i="46"/>
  <c r="L1220" i="46"/>
  <c r="L1202" i="46"/>
  <c r="L1161" i="46"/>
  <c r="L1101" i="46"/>
  <c r="L1062" i="46"/>
  <c r="L1016" i="46"/>
  <c r="L1030" i="46" s="1"/>
  <c r="H1380" i="46" l="1"/>
  <c r="H1384" i="46"/>
  <c r="H1387" i="46" l="1"/>
  <c r="H1388" i="46" s="1"/>
  <c r="H1389" i="46" s="1"/>
  <c r="K1373" i="46" s="1"/>
  <c r="M1373" i="46" s="1"/>
  <c r="N1373" i="46" s="1"/>
  <c r="G1472" i="46" l="1"/>
  <c r="G1449" i="46"/>
  <c r="G1424" i="46"/>
  <c r="G1406" i="46"/>
  <c r="G1370" i="46"/>
  <c r="G1353" i="46"/>
  <c r="G1333" i="46"/>
  <c r="G1312" i="46"/>
  <c r="G1294" i="46"/>
  <c r="G1268" i="46"/>
  <c r="G1243" i="46"/>
  <c r="G1217" i="46"/>
  <c r="G1199" i="46"/>
  <c r="G1179" i="46"/>
  <c r="G1158" i="46"/>
  <c r="G1140" i="46"/>
  <c r="G1120" i="46"/>
  <c r="H1098" i="46"/>
  <c r="G1079" i="46"/>
  <c r="G1059" i="46"/>
  <c r="H1041" i="46"/>
  <c r="H1027" i="46"/>
  <c r="G1012" i="46"/>
  <c r="G988" i="46"/>
  <c r="G971" i="46"/>
  <c r="G954" i="46"/>
  <c r="G937" i="46"/>
  <c r="G920" i="46"/>
  <c r="G902" i="46"/>
  <c r="G884" i="46"/>
  <c r="G866" i="46"/>
  <c r="G848" i="46"/>
  <c r="G830" i="46"/>
  <c r="G812" i="46"/>
  <c r="G786" i="46"/>
  <c r="G769" i="46"/>
  <c r="G752" i="46"/>
  <c r="G735" i="46"/>
  <c r="G718" i="46"/>
  <c r="G701" i="46"/>
  <c r="G683" i="46"/>
  <c r="G666" i="46"/>
  <c r="G648" i="46"/>
  <c r="G629" i="46"/>
  <c r="G611" i="46"/>
  <c r="G591" i="46"/>
  <c r="G571" i="46"/>
  <c r="G553" i="46"/>
  <c r="G535" i="46"/>
  <c r="G518" i="46"/>
  <c r="G500" i="46"/>
  <c r="G482" i="46"/>
  <c r="G463" i="46"/>
  <c r="G444" i="46"/>
  <c r="G426" i="46"/>
  <c r="G408" i="46"/>
  <c r="G390" i="46"/>
  <c r="G353" i="46"/>
  <c r="H335" i="46"/>
  <c r="G317" i="46"/>
  <c r="G291" i="46"/>
  <c r="G266" i="46"/>
  <c r="G226" i="46"/>
  <c r="G205" i="46"/>
  <c r="G184" i="46"/>
  <c r="G162" i="46"/>
  <c r="G143" i="46"/>
  <c r="H125" i="46"/>
  <c r="H107" i="46"/>
  <c r="H93" i="46"/>
  <c r="H77" i="46"/>
  <c r="H63" i="46"/>
  <c r="H49" i="46"/>
  <c r="H29" i="46"/>
  <c r="F1466" i="46"/>
  <c r="F1464" i="46"/>
  <c r="K1463" i="46"/>
  <c r="K1462" i="46"/>
  <c r="D1462" i="46"/>
  <c r="G1462" i="46" s="1"/>
  <c r="F1461" i="46"/>
  <c r="G1467" i="46"/>
  <c r="H1467" i="46" s="1"/>
  <c r="G1466" i="46"/>
  <c r="G1465" i="46"/>
  <c r="H1465" i="46" s="1"/>
  <c r="G1464" i="46"/>
  <c r="G1461" i="46"/>
  <c r="G1458" i="46"/>
  <c r="H1458" i="46" s="1"/>
  <c r="G1457" i="46"/>
  <c r="H1457" i="46" s="1"/>
  <c r="G1456" i="46"/>
  <c r="H1456" i="46" s="1"/>
  <c r="G1455" i="46"/>
  <c r="H1455" i="46" s="1"/>
  <c r="F1443" i="46"/>
  <c r="F1441" i="46"/>
  <c r="K1438" i="46"/>
  <c r="K1437" i="46"/>
  <c r="D1437" i="46"/>
  <c r="G1437" i="46" s="1"/>
  <c r="F1436" i="46"/>
  <c r="G1444" i="46"/>
  <c r="H1444" i="46" s="1"/>
  <c r="G1443" i="46"/>
  <c r="G1442" i="46"/>
  <c r="G1441" i="46"/>
  <c r="G1439" i="46"/>
  <c r="H1439" i="46" s="1"/>
  <c r="G1438" i="46"/>
  <c r="H1438" i="46" s="1"/>
  <c r="G1436" i="46"/>
  <c r="G1433" i="46"/>
  <c r="H1433" i="46" s="1"/>
  <c r="G1432" i="46"/>
  <c r="H1432" i="46" s="1"/>
  <c r="G1431" i="46"/>
  <c r="H1431" i="46" s="1"/>
  <c r="G1430" i="46"/>
  <c r="H1430" i="46" s="1"/>
  <c r="G1419" i="46"/>
  <c r="F1419" i="46"/>
  <c r="G1418" i="46"/>
  <c r="F1418" i="46"/>
  <c r="G1415" i="46"/>
  <c r="H1415" i="46" s="1"/>
  <c r="G1414" i="46"/>
  <c r="H1414" i="46" s="1"/>
  <c r="G1412" i="46"/>
  <c r="H1412" i="46" s="1"/>
  <c r="G1401" i="46"/>
  <c r="H1401" i="46" s="1"/>
  <c r="G1400" i="46"/>
  <c r="H1400" i="46" s="1"/>
  <c r="G1397" i="46"/>
  <c r="H1397" i="46" s="1"/>
  <c r="G1396" i="46"/>
  <c r="H1396" i="46" s="1"/>
  <c r="D1395" i="46"/>
  <c r="G1395" i="46" s="1"/>
  <c r="H1395" i="46" s="1"/>
  <c r="G1394" i="46"/>
  <c r="H1394" i="46" s="1"/>
  <c r="G1365" i="46"/>
  <c r="H1365" i="46" s="1"/>
  <c r="H1366" i="46" s="1"/>
  <c r="G1362" i="46"/>
  <c r="H1362" i="46" s="1"/>
  <c r="G1361" i="46"/>
  <c r="H1361" i="46" s="1"/>
  <c r="G1360" i="46"/>
  <c r="H1360" i="46" s="1"/>
  <c r="G1359" i="46"/>
  <c r="H1359" i="46" s="1"/>
  <c r="G1348" i="46"/>
  <c r="H1348" i="46" s="1"/>
  <c r="G1347" i="46"/>
  <c r="H1347" i="46" s="1"/>
  <c r="G1346" i="46"/>
  <c r="H1346" i="46" s="1"/>
  <c r="G1345" i="46"/>
  <c r="H1345" i="46" s="1"/>
  <c r="G1342" i="46"/>
  <c r="H1342" i="46" s="1"/>
  <c r="G1341" i="46"/>
  <c r="H1341" i="46" s="1"/>
  <c r="G1340" i="46"/>
  <c r="H1340" i="46" s="1"/>
  <c r="G1339" i="46"/>
  <c r="H1339" i="46" s="1"/>
  <c r="G1328" i="46"/>
  <c r="H1328" i="46" s="1"/>
  <c r="G1327" i="46"/>
  <c r="H1327" i="46" s="1"/>
  <c r="G1326" i="46"/>
  <c r="H1326" i="46" s="1"/>
  <c r="G1325" i="46"/>
  <c r="H1325" i="46" s="1"/>
  <c r="G1324" i="46"/>
  <c r="H1324" i="46" s="1"/>
  <c r="G1321" i="46"/>
  <c r="H1321" i="46" s="1"/>
  <c r="G1320" i="46"/>
  <c r="H1320" i="46" s="1"/>
  <c r="G1319" i="46"/>
  <c r="H1319" i="46" s="1"/>
  <c r="G1318" i="46"/>
  <c r="H1318" i="46" s="1"/>
  <c r="G1307" i="46"/>
  <c r="H1307" i="46" s="1"/>
  <c r="G1306" i="46"/>
  <c r="H1306" i="46" s="1"/>
  <c r="G1303" i="46"/>
  <c r="H1303" i="46" s="1"/>
  <c r="G1302" i="46"/>
  <c r="H1302" i="46" s="1"/>
  <c r="G1301" i="46"/>
  <c r="H1301" i="46" s="1"/>
  <c r="G1300" i="46"/>
  <c r="H1300" i="46" s="1"/>
  <c r="G1238" i="46"/>
  <c r="H1238" i="46" s="1"/>
  <c r="G1237" i="46"/>
  <c r="H1237" i="46" s="1"/>
  <c r="G1236" i="46"/>
  <c r="H1236" i="46" s="1"/>
  <c r="G1235" i="46"/>
  <c r="H1235" i="46" s="1"/>
  <c r="G1234" i="46"/>
  <c r="H1234" i="46" s="1"/>
  <c r="G1233" i="46"/>
  <c r="H1233" i="46" s="1"/>
  <c r="G1232" i="46"/>
  <c r="H1232" i="46" s="1"/>
  <c r="G1231" i="46"/>
  <c r="H1231" i="46" s="1"/>
  <c r="G1228" i="46"/>
  <c r="H1228" i="46" s="1"/>
  <c r="G1227" i="46"/>
  <c r="H1227" i="46" s="1"/>
  <c r="G1226" i="46"/>
  <c r="H1226" i="46" s="1"/>
  <c r="G1225" i="46"/>
  <c r="H1225" i="46" s="1"/>
  <c r="G1224" i="46"/>
  <c r="H1224" i="46" s="1"/>
  <c r="G1223" i="46"/>
  <c r="H1223" i="46" s="1"/>
  <c r="G1289" i="46"/>
  <c r="H1289" i="46" s="1"/>
  <c r="G1288" i="46"/>
  <c r="H1288" i="46" s="1"/>
  <c r="G1287" i="46"/>
  <c r="H1287" i="46" s="1"/>
  <c r="G1286" i="46"/>
  <c r="H1286" i="46" s="1"/>
  <c r="G1285" i="46"/>
  <c r="H1285" i="46" s="1"/>
  <c r="G1284" i="46"/>
  <c r="H1284" i="46" s="1"/>
  <c r="G1283" i="46"/>
  <c r="H1283" i="46" s="1"/>
  <c r="G1282" i="46"/>
  <c r="H1282" i="46" s="1"/>
  <c r="G1279" i="46"/>
  <c r="H1279" i="46" s="1"/>
  <c r="G1278" i="46"/>
  <c r="H1278" i="46" s="1"/>
  <c r="G1277" i="46"/>
  <c r="H1277" i="46" s="1"/>
  <c r="G1276" i="46"/>
  <c r="H1276" i="46" s="1"/>
  <c r="G1275" i="46"/>
  <c r="H1275" i="46" s="1"/>
  <c r="G1274" i="46"/>
  <c r="H1274" i="46" s="1"/>
  <c r="G1263" i="46"/>
  <c r="H1263" i="46" s="1"/>
  <c r="G1262" i="46"/>
  <c r="H1262" i="46" s="1"/>
  <c r="G1261" i="46"/>
  <c r="H1261" i="46" s="1"/>
  <c r="G1260" i="46"/>
  <c r="H1260" i="46" s="1"/>
  <c r="G1259" i="46"/>
  <c r="H1259" i="46" s="1"/>
  <c r="G1258" i="46"/>
  <c r="H1258" i="46" s="1"/>
  <c r="G1257" i="46"/>
  <c r="H1257" i="46" s="1"/>
  <c r="G1254" i="46"/>
  <c r="H1254" i="46" s="1"/>
  <c r="G1253" i="46"/>
  <c r="H1253" i="46" s="1"/>
  <c r="G1252" i="46"/>
  <c r="H1252" i="46" s="1"/>
  <c r="G1251" i="46"/>
  <c r="H1251" i="46" s="1"/>
  <c r="G1250" i="46"/>
  <c r="H1250" i="46" s="1"/>
  <c r="G1249" i="46"/>
  <c r="H1249" i="46" s="1"/>
  <c r="G1212" i="46"/>
  <c r="H1212" i="46" s="1"/>
  <c r="G1211" i="46"/>
  <c r="H1211" i="46" s="1"/>
  <c r="G1208" i="46"/>
  <c r="H1208" i="46" s="1"/>
  <c r="G1207" i="46"/>
  <c r="H1207" i="46" s="1"/>
  <c r="G1206" i="46"/>
  <c r="H1206" i="46" s="1"/>
  <c r="G1205" i="46"/>
  <c r="H1205" i="46" s="1"/>
  <c r="G1174" i="46"/>
  <c r="H1174" i="46" s="1"/>
  <c r="G1173" i="46"/>
  <c r="H1173" i="46" s="1"/>
  <c r="G1172" i="46"/>
  <c r="H1172" i="46" s="1"/>
  <c r="G1171" i="46"/>
  <c r="H1171" i="46" s="1"/>
  <c r="G1170" i="46"/>
  <c r="H1170" i="46" s="1"/>
  <c r="G1167" i="46"/>
  <c r="H1167" i="46" s="1"/>
  <c r="G1166" i="46"/>
  <c r="H1166" i="46" s="1"/>
  <c r="G1165" i="46"/>
  <c r="H1165" i="46" s="1"/>
  <c r="G1164" i="46"/>
  <c r="H1164" i="46" s="1"/>
  <c r="G1185" i="46"/>
  <c r="H1185" i="46" s="1"/>
  <c r="G1186" i="46"/>
  <c r="H1186" i="46" s="1"/>
  <c r="G1187" i="46"/>
  <c r="H1187" i="46" s="1"/>
  <c r="G1188" i="46"/>
  <c r="H1188" i="46" s="1"/>
  <c r="G1191" i="46"/>
  <c r="H1191" i="46" s="1"/>
  <c r="G1192" i="46"/>
  <c r="H1192" i="46" s="1"/>
  <c r="G1193" i="46"/>
  <c r="H1193" i="46" s="1"/>
  <c r="G1194" i="46"/>
  <c r="H1194" i="46" s="1"/>
  <c r="G1153" i="46"/>
  <c r="H1153" i="46" s="1"/>
  <c r="G1152" i="46"/>
  <c r="H1152" i="46" s="1"/>
  <c r="G1149" i="46"/>
  <c r="H1149" i="46" s="1"/>
  <c r="G1148" i="46"/>
  <c r="H1148" i="46" s="1"/>
  <c r="G1147" i="46"/>
  <c r="H1147" i="46" s="1"/>
  <c r="G1146" i="46"/>
  <c r="H1146" i="46" s="1"/>
  <c r="G1135" i="46"/>
  <c r="H1135" i="46" s="1"/>
  <c r="G1134" i="46"/>
  <c r="H1134" i="46" s="1"/>
  <c r="G1133" i="46"/>
  <c r="H1133" i="46" s="1"/>
  <c r="G1132" i="46"/>
  <c r="H1132" i="46" s="1"/>
  <c r="G1129" i="46"/>
  <c r="H1129" i="46" s="1"/>
  <c r="G1128" i="46"/>
  <c r="H1128" i="46" s="1"/>
  <c r="G1127" i="46"/>
  <c r="H1127" i="46" s="1"/>
  <c r="G1126" i="46"/>
  <c r="H1126" i="46" s="1"/>
  <c r="G1524" i="46"/>
  <c r="H1524" i="46" s="1"/>
  <c r="G1115" i="46"/>
  <c r="H1115" i="46" s="1"/>
  <c r="G1114" i="46"/>
  <c r="H1114" i="46" s="1"/>
  <c r="G1113" i="46"/>
  <c r="H1113" i="46" s="1"/>
  <c r="G1112" i="46"/>
  <c r="H1112" i="46" s="1"/>
  <c r="G1111" i="46"/>
  <c r="H1111" i="46" s="1"/>
  <c r="G1110" i="46"/>
  <c r="H1110" i="46" s="1"/>
  <c r="G1107" i="46"/>
  <c r="H1107" i="46" s="1"/>
  <c r="G1106" i="46"/>
  <c r="H1106" i="46" s="1"/>
  <c r="G1105" i="46"/>
  <c r="H1105" i="46" s="1"/>
  <c r="G1104" i="46"/>
  <c r="H1104" i="46" s="1"/>
  <c r="H1088" i="46"/>
  <c r="I1088" i="46" s="1"/>
  <c r="H1087" i="46"/>
  <c r="I1087" i="46" s="1"/>
  <c r="H1086" i="46"/>
  <c r="I1086" i="46" s="1"/>
  <c r="H1085" i="46"/>
  <c r="I1085" i="46" s="1"/>
  <c r="H1092" i="46"/>
  <c r="I1092" i="46" s="1"/>
  <c r="H1091" i="46"/>
  <c r="G1074" i="46"/>
  <c r="H1074" i="46" s="1"/>
  <c r="G1073" i="46"/>
  <c r="H1073" i="46" s="1"/>
  <c r="G1072" i="46"/>
  <c r="H1072" i="46" s="1"/>
  <c r="G1071" i="46"/>
  <c r="H1071" i="46" s="1"/>
  <c r="G1068" i="46"/>
  <c r="H1068" i="46" s="1"/>
  <c r="G1067" i="46"/>
  <c r="H1067" i="46" s="1"/>
  <c r="G1066" i="46"/>
  <c r="H1066" i="46" s="1"/>
  <c r="G1065" i="46"/>
  <c r="H1065" i="46" s="1"/>
  <c r="G1054" i="46"/>
  <c r="H1054" i="46" s="1"/>
  <c r="G1053" i="46"/>
  <c r="H1053" i="46" s="1"/>
  <c r="G1050" i="46"/>
  <c r="H1050" i="46" s="1"/>
  <c r="G1049" i="46"/>
  <c r="H1049" i="46" s="1"/>
  <c r="G1048" i="46"/>
  <c r="H1048" i="46" s="1"/>
  <c r="G1047" i="46"/>
  <c r="H1047" i="46" s="1"/>
  <c r="I1039" i="46"/>
  <c r="I1037" i="46"/>
  <c r="H1034" i="46"/>
  <c r="I1034" i="46" s="1"/>
  <c r="H1033" i="46"/>
  <c r="I1033" i="46" s="1"/>
  <c r="H1020" i="46"/>
  <c r="I1020" i="46" s="1"/>
  <c r="H1019" i="46"/>
  <c r="I1019" i="46" s="1"/>
  <c r="D1534" i="46"/>
  <c r="D1533" i="46"/>
  <c r="D1532" i="46"/>
  <c r="B34" i="49"/>
  <c r="C34" i="49" s="1"/>
  <c r="B37" i="49" s="1"/>
  <c r="B33" i="49"/>
  <c r="C33" i="49" s="1"/>
  <c r="B36" i="49" s="1"/>
  <c r="D1531" i="46"/>
  <c r="B21" i="49"/>
  <c r="C21" i="49" s="1"/>
  <c r="B24" i="49" s="1"/>
  <c r="B20" i="49"/>
  <c r="C20" i="49" s="1"/>
  <c r="B23" i="49" s="1"/>
  <c r="B8" i="49"/>
  <c r="C8" i="49" s="1"/>
  <c r="B11" i="49" s="1"/>
  <c r="B7" i="49"/>
  <c r="C7" i="49" s="1"/>
  <c r="B10" i="49" s="1"/>
  <c r="F61" i="48"/>
  <c r="F60" i="48"/>
  <c r="F64" i="48" s="1"/>
  <c r="N64" i="48" s="1"/>
  <c r="N65" i="48" s="1"/>
  <c r="N66" i="48" s="1"/>
  <c r="G168" i="48"/>
  <c r="A157" i="48"/>
  <c r="Q155" i="48"/>
  <c r="A155" i="48"/>
  <c r="A152" i="48"/>
  <c r="N127" i="48"/>
  <c r="F127" i="48"/>
  <c r="N126" i="48"/>
  <c r="F118" i="48"/>
  <c r="N118" i="48" s="1"/>
  <c r="N122" i="48" s="1"/>
  <c r="N117" i="48"/>
  <c r="N121" i="48" s="1"/>
  <c r="A117" i="48"/>
  <c r="A118" i="48" s="1"/>
  <c r="N116" i="48"/>
  <c r="F115" i="48"/>
  <c r="N115" i="48" s="1"/>
  <c r="L113" i="48"/>
  <c r="L112" i="48"/>
  <c r="N111" i="48"/>
  <c r="N112" i="48" s="1"/>
  <c r="F106" i="48"/>
  <c r="F107" i="48" s="1"/>
  <c r="N104" i="48"/>
  <c r="N105" i="48" s="1"/>
  <c r="N103" i="48"/>
  <c r="N102" i="48"/>
  <c r="N101" i="48"/>
  <c r="N100" i="48"/>
  <c r="N97" i="48"/>
  <c r="N98" i="48" s="1"/>
  <c r="Q95" i="48"/>
  <c r="N89" i="48"/>
  <c r="R86" i="48"/>
  <c r="R87" i="48" s="1"/>
  <c r="R85" i="48"/>
  <c r="F80" i="48"/>
  <c r="N80" i="48" s="1"/>
  <c r="F75" i="48"/>
  <c r="N75" i="48" s="1"/>
  <c r="N76" i="48" s="1"/>
  <c r="N77" i="48" s="1"/>
  <c r="F72" i="48"/>
  <c r="Q71" i="48"/>
  <c r="F70" i="48"/>
  <c r="N70" i="48" s="1"/>
  <c r="N68" i="48"/>
  <c r="Q61" i="48"/>
  <c r="Q60" i="48"/>
  <c r="N59" i="48"/>
  <c r="N58" i="48"/>
  <c r="Q57" i="48"/>
  <c r="N52" i="48"/>
  <c r="F46" i="48"/>
  <c r="F56" i="48" s="1"/>
  <c r="N56" i="48" s="1"/>
  <c r="Q41" i="48"/>
  <c r="N38" i="48"/>
  <c r="R36" i="48"/>
  <c r="R37" i="48" s="1"/>
  <c r="P35" i="48"/>
  <c r="Q35" i="48" s="1"/>
  <c r="C29" i="48"/>
  <c r="A29" i="48"/>
  <c r="F28" i="48"/>
  <c r="N28" i="48" s="1"/>
  <c r="N29" i="48" s="1"/>
  <c r="N30" i="48" s="1"/>
  <c r="N27" i="48"/>
  <c r="A26" i="48"/>
  <c r="Q25" i="48"/>
  <c r="L26" i="48" s="1"/>
  <c r="L28" i="48" s="1"/>
  <c r="H25" i="48"/>
  <c r="Q24" i="48"/>
  <c r="Q22" i="48"/>
  <c r="Q21" i="48"/>
  <c r="I21" i="48"/>
  <c r="G21" i="48"/>
  <c r="F20" i="48"/>
  <c r="F25" i="48" s="1"/>
  <c r="N17" i="48"/>
  <c r="N16" i="48"/>
  <c r="Q13" i="48"/>
  <c r="F1437" i="46" l="1"/>
  <c r="H1437" i="46" s="1"/>
  <c r="B12" i="49"/>
  <c r="B13" i="49" s="1"/>
  <c r="H1466" i="46"/>
  <c r="F1462" i="46"/>
  <c r="H1462" i="46" s="1"/>
  <c r="H1464" i="46"/>
  <c r="H1441" i="46"/>
  <c r="B38" i="49"/>
  <c r="H1461" i="46"/>
  <c r="H1459" i="46"/>
  <c r="H1434" i="46"/>
  <c r="H1436" i="46"/>
  <c r="H1443" i="46"/>
  <c r="H1418" i="46"/>
  <c r="H1419" i="46"/>
  <c r="D1413" i="46"/>
  <c r="G1413" i="46" s="1"/>
  <c r="H1413" i="46" s="1"/>
  <c r="H1416" i="46" s="1"/>
  <c r="H1402" i="46"/>
  <c r="H1398" i="46"/>
  <c r="H1363" i="46"/>
  <c r="H1369" i="46" s="1"/>
  <c r="H1304" i="46"/>
  <c r="H1343" i="46"/>
  <c r="H1329" i="46"/>
  <c r="H1308" i="46"/>
  <c r="H1349" i="46"/>
  <c r="H1322" i="46"/>
  <c r="H1229" i="46"/>
  <c r="H1239" i="46"/>
  <c r="H1280" i="46"/>
  <c r="H1255" i="46"/>
  <c r="H1290" i="46"/>
  <c r="H1264" i="46"/>
  <c r="H1209" i="46"/>
  <c r="H1168" i="46"/>
  <c r="H1213" i="46"/>
  <c r="H1175" i="46"/>
  <c r="H1195" i="46"/>
  <c r="H1150" i="46"/>
  <c r="H1154" i="46"/>
  <c r="H1130" i="46"/>
  <c r="H1136" i="46"/>
  <c r="H1108" i="46"/>
  <c r="H1116" i="46"/>
  <c r="I1091" i="46"/>
  <c r="I1093" i="46" s="1"/>
  <c r="I1089" i="46"/>
  <c r="H1069" i="46"/>
  <c r="H1075" i="46"/>
  <c r="H1055" i="46"/>
  <c r="H1051" i="46"/>
  <c r="I1035" i="46"/>
  <c r="I1040" i="46" s="1"/>
  <c r="I1041" i="46" s="1"/>
  <c r="I1042" i="46" s="1"/>
  <c r="K1030" i="46" s="1"/>
  <c r="M1030" i="46" s="1"/>
  <c r="N1030" i="46" s="1"/>
  <c r="I1021" i="46"/>
  <c r="I1026" i="46" s="1"/>
  <c r="I1027" i="46" s="1"/>
  <c r="I1028" i="46" s="1"/>
  <c r="K1016" i="46" s="1"/>
  <c r="M1016" i="46" s="1"/>
  <c r="B25" i="49"/>
  <c r="B26" i="49" s="1"/>
  <c r="D26" i="49" s="1"/>
  <c r="N25" i="48"/>
  <c r="F33" i="48"/>
  <c r="F26" i="48"/>
  <c r="N26" i="48" s="1"/>
  <c r="F123" i="48" s="1"/>
  <c r="N123" i="48" s="1"/>
  <c r="N107" i="48"/>
  <c r="F108" i="48"/>
  <c r="N20" i="48"/>
  <c r="N47" i="48"/>
  <c r="N48" i="48" s="1"/>
  <c r="N49" i="48" s="1"/>
  <c r="N46" i="48"/>
  <c r="F21" i="48"/>
  <c r="N21" i="48" s="1"/>
  <c r="N22" i="48" s="1"/>
  <c r="F99" i="48"/>
  <c r="N99" i="48" s="1"/>
  <c r="F53" i="48"/>
  <c r="N53" i="48" s="1"/>
  <c r="N54" i="48" s="1"/>
  <c r="N55" i="48" s="1"/>
  <c r="N78" i="48" s="1"/>
  <c r="Q26" i="48"/>
  <c r="N106" i="48"/>
  <c r="F47" i="48"/>
  <c r="E64" i="50" l="1"/>
  <c r="B39" i="49"/>
  <c r="F1442" i="46" s="1"/>
  <c r="H1442" i="46" s="1"/>
  <c r="H1445" i="46" s="1"/>
  <c r="H1448" i="46" s="1"/>
  <c r="H1449" i="46" s="1"/>
  <c r="H1450" i="46" s="1"/>
  <c r="K1427" i="46" s="1"/>
  <c r="N1016" i="46"/>
  <c r="L1044" i="46"/>
  <c r="B42" i="49"/>
  <c r="B44" i="49" s="1"/>
  <c r="H1405" i="46"/>
  <c r="H1406" i="46" s="1"/>
  <c r="H1407" i="46" s="1"/>
  <c r="K1391" i="46" s="1"/>
  <c r="M1391" i="46" s="1"/>
  <c r="N1391" i="46" s="1"/>
  <c r="H1468" i="46"/>
  <c r="H1471" i="46" s="1"/>
  <c r="H1472" i="46" s="1"/>
  <c r="H1473" i="46" s="1"/>
  <c r="K1452" i="46" s="1"/>
  <c r="H1420" i="46"/>
  <c r="H1423" i="46" s="1"/>
  <c r="H1424" i="46" s="1"/>
  <c r="H1425" i="46" s="1"/>
  <c r="K1409" i="46" s="1"/>
  <c r="M1409" i="46" s="1"/>
  <c r="N1409" i="46" s="1"/>
  <c r="H1370" i="46"/>
  <c r="H1371" i="46" s="1"/>
  <c r="K1356" i="46" s="1"/>
  <c r="M1356" i="46" s="1"/>
  <c r="N1356" i="46" s="1"/>
  <c r="H1332" i="46"/>
  <c r="H1333" i="46" s="1"/>
  <c r="H1334" i="46" s="1"/>
  <c r="K1315" i="46" s="1"/>
  <c r="H1242" i="46"/>
  <c r="H1243" i="46" s="1"/>
  <c r="H1244" i="46" s="1"/>
  <c r="K1220" i="46" s="1"/>
  <c r="N1220" i="46" s="1"/>
  <c r="H1352" i="46"/>
  <c r="H1353" i="46" s="1"/>
  <c r="H1354" i="46" s="1"/>
  <c r="K1336" i="46" s="1"/>
  <c r="H1311" i="46"/>
  <c r="H1312" i="46" s="1"/>
  <c r="H1313" i="46" s="1"/>
  <c r="K1297" i="46" s="1"/>
  <c r="H1293" i="46"/>
  <c r="H1294" i="46" s="1"/>
  <c r="H1295" i="46" s="1"/>
  <c r="K1271" i="46" s="1"/>
  <c r="H1216" i="46"/>
  <c r="H1217" i="46" s="1"/>
  <c r="H1218" i="46" s="1"/>
  <c r="H1267" i="46"/>
  <c r="H1268" i="46" s="1"/>
  <c r="H1269" i="46" s="1"/>
  <c r="K1246" i="46" s="1"/>
  <c r="N1246" i="46" s="1"/>
  <c r="H1178" i="46"/>
  <c r="H1179" i="46" s="1"/>
  <c r="H1180" i="46" s="1"/>
  <c r="K1161" i="46" s="1"/>
  <c r="M1161" i="46" s="1"/>
  <c r="N1161" i="46" s="1"/>
  <c r="H1157" i="46"/>
  <c r="H1158" i="46" s="1"/>
  <c r="H1159" i="46" s="1"/>
  <c r="K1143" i="46" s="1"/>
  <c r="H1139" i="46"/>
  <c r="H1140" i="46" s="1"/>
  <c r="H1141" i="46" s="1"/>
  <c r="K1123" i="46" s="1"/>
  <c r="M1123" i="46" s="1"/>
  <c r="H1119" i="46"/>
  <c r="H1120" i="46" s="1"/>
  <c r="H1121" i="46" s="1"/>
  <c r="K1101" i="46" s="1"/>
  <c r="I1097" i="46"/>
  <c r="H1078" i="46"/>
  <c r="H1079" i="46" s="1"/>
  <c r="H1080" i="46" s="1"/>
  <c r="K1062" i="46" s="1"/>
  <c r="M1062" i="46" s="1"/>
  <c r="H1058" i="46"/>
  <c r="H1059" i="46" s="1"/>
  <c r="H1060" i="46" s="1"/>
  <c r="K1044" i="46" s="1"/>
  <c r="N108" i="48"/>
  <c r="N110" i="48" s="1"/>
  <c r="F113" i="48"/>
  <c r="N113" i="48" s="1"/>
  <c r="N33" i="48"/>
  <c r="F44" i="48"/>
  <c r="N44" i="48" s="1"/>
  <c r="F39" i="48"/>
  <c r="N39" i="48" s="1"/>
  <c r="N40" i="48" s="1"/>
  <c r="N41" i="48" s="1"/>
  <c r="F84" i="48"/>
  <c r="F34" i="48"/>
  <c r="N34" i="48" s="1"/>
  <c r="K1202" i="46" l="1"/>
  <c r="M1202" i="46" s="1"/>
  <c r="G661" i="46"/>
  <c r="N1044" i="46"/>
  <c r="M1101" i="46"/>
  <c r="M1044" i="46"/>
  <c r="I1098" i="46"/>
  <c r="I1099" i="46" s="1"/>
  <c r="K1082" i="46" s="1"/>
  <c r="P34" i="48"/>
  <c r="N35" i="48"/>
  <c r="N36" i="48" s="1"/>
  <c r="F90" i="48"/>
  <c r="N90" i="48" s="1"/>
  <c r="N91" i="48" s="1"/>
  <c r="N92" i="48" s="1"/>
  <c r="F93" i="48"/>
  <c r="N93" i="48" s="1"/>
  <c r="F85" i="48"/>
  <c r="N85" i="48" s="1"/>
  <c r="N86" i="48" s="1"/>
  <c r="N87" i="48" s="1"/>
  <c r="N84" i="48"/>
  <c r="N42" i="48"/>
  <c r="N1202" i="46" l="1"/>
  <c r="G191" i="53"/>
  <c r="N1410" i="46"/>
  <c r="M1410" i="46"/>
  <c r="H1189" i="46"/>
  <c r="H1198" i="46" s="1"/>
  <c r="N94" i="48"/>
  <c r="H1199" i="46" l="1"/>
  <c r="H1200" i="46" s="1"/>
  <c r="K1182" i="46" s="1"/>
  <c r="L1532" i="46" l="1"/>
  <c r="L1531" i="46"/>
  <c r="L1530" i="46"/>
  <c r="E1530" i="46"/>
  <c r="D1530" i="46"/>
  <c r="L1533" i="46" l="1"/>
  <c r="G1544" i="46" l="1"/>
  <c r="H1544" i="46" s="1"/>
  <c r="G1543" i="46"/>
  <c r="H1543" i="46" s="1"/>
  <c r="G1535" i="46"/>
  <c r="H1535" i="46" s="1"/>
  <c r="G1534" i="46"/>
  <c r="H1534" i="46" s="1"/>
  <c r="G1533" i="46"/>
  <c r="H1533" i="46" s="1"/>
  <c r="G1532" i="46"/>
  <c r="H1532" i="46" s="1"/>
  <c r="G1531" i="46"/>
  <c r="H1531" i="46" s="1"/>
  <c r="G1530" i="46"/>
  <c r="H1530" i="46" s="1"/>
  <c r="G1527" i="46"/>
  <c r="H1527" i="46" s="1"/>
  <c r="G1526" i="46"/>
  <c r="H1526" i="46" s="1"/>
  <c r="G1525" i="46"/>
  <c r="H1525" i="46" s="1"/>
  <c r="G1009" i="46"/>
  <c r="H1009" i="46" s="1"/>
  <c r="G1008" i="46"/>
  <c r="H1008" i="46" s="1"/>
  <c r="G1005" i="46"/>
  <c r="H1005" i="46" s="1"/>
  <c r="H1004" i="46"/>
  <c r="G1003" i="46"/>
  <c r="H1003" i="46" s="1"/>
  <c r="G1001" i="46"/>
  <c r="H1001" i="46" s="1"/>
  <c r="G1000" i="46"/>
  <c r="H1000" i="46" s="1"/>
  <c r="G997" i="46"/>
  <c r="H997" i="46" s="1"/>
  <c r="G996" i="46"/>
  <c r="H996" i="46" s="1"/>
  <c r="G995" i="46"/>
  <c r="H995" i="46" s="1"/>
  <c r="G994" i="46"/>
  <c r="H994" i="46" s="1"/>
  <c r="G983" i="46"/>
  <c r="H983" i="46" s="1"/>
  <c r="H984" i="46" s="1"/>
  <c r="G980" i="46"/>
  <c r="H980" i="46" s="1"/>
  <c r="G979" i="46"/>
  <c r="H979" i="46" s="1"/>
  <c r="G977" i="46"/>
  <c r="H977" i="46" s="1"/>
  <c r="H88" i="46"/>
  <c r="I88" i="46" s="1"/>
  <c r="I89" i="46" s="1"/>
  <c r="H85" i="46"/>
  <c r="I85" i="46" s="1"/>
  <c r="H84" i="46"/>
  <c r="I84" i="46" s="1"/>
  <c r="G966" i="46"/>
  <c r="H966" i="46" s="1"/>
  <c r="H967" i="46" s="1"/>
  <c r="G963" i="46"/>
  <c r="H963" i="46" s="1"/>
  <c r="G962" i="46"/>
  <c r="H962" i="46" s="1"/>
  <c r="D961" i="46"/>
  <c r="G961" i="46" s="1"/>
  <c r="H961" i="46" s="1"/>
  <c r="G960" i="46"/>
  <c r="H960" i="46" s="1"/>
  <c r="G949" i="46"/>
  <c r="H949" i="46" s="1"/>
  <c r="H950" i="46" s="1"/>
  <c r="G946" i="46"/>
  <c r="H946" i="46" s="1"/>
  <c r="G945" i="46"/>
  <c r="H945" i="46" s="1"/>
  <c r="G943" i="46"/>
  <c r="H943" i="46" s="1"/>
  <c r="G932" i="46"/>
  <c r="H932" i="46" s="1"/>
  <c r="H933" i="46" s="1"/>
  <c r="G929" i="46"/>
  <c r="H929" i="46" s="1"/>
  <c r="G928" i="46"/>
  <c r="H928" i="46" s="1"/>
  <c r="D927" i="46"/>
  <c r="D944" i="46" s="1"/>
  <c r="G944" i="46" s="1"/>
  <c r="H944" i="46" s="1"/>
  <c r="G926" i="46"/>
  <c r="H926" i="46" s="1"/>
  <c r="G915" i="46"/>
  <c r="G914" i="46"/>
  <c r="G911" i="46"/>
  <c r="H911" i="46" s="1"/>
  <c r="G910" i="46"/>
  <c r="H910" i="46" s="1"/>
  <c r="G908" i="46"/>
  <c r="H908" i="46" s="1"/>
  <c r="G897" i="46"/>
  <c r="F897" i="46"/>
  <c r="F915" i="46" s="1"/>
  <c r="G896" i="46"/>
  <c r="F896" i="46"/>
  <c r="G893" i="46"/>
  <c r="H893" i="46" s="1"/>
  <c r="G892" i="46"/>
  <c r="H892" i="46" s="1"/>
  <c r="G890" i="46"/>
  <c r="H890" i="46" s="1"/>
  <c r="G879" i="46"/>
  <c r="H879" i="46" s="1"/>
  <c r="G878" i="46"/>
  <c r="H878" i="46" s="1"/>
  <c r="G875" i="46"/>
  <c r="H875" i="46" s="1"/>
  <c r="G874" i="46"/>
  <c r="H874" i="46" s="1"/>
  <c r="G872" i="46"/>
  <c r="H872" i="46" s="1"/>
  <c r="G861" i="46"/>
  <c r="H861" i="46" s="1"/>
  <c r="G860" i="46"/>
  <c r="H860" i="46" s="1"/>
  <c r="G857" i="46"/>
  <c r="H857" i="46" s="1"/>
  <c r="G856" i="46"/>
  <c r="H856" i="46" s="1"/>
  <c r="D855" i="46"/>
  <c r="D873" i="46" s="1"/>
  <c r="G854" i="46"/>
  <c r="H854" i="46" s="1"/>
  <c r="G843" i="46"/>
  <c r="H843" i="46" s="1"/>
  <c r="G842" i="46"/>
  <c r="H842" i="46" s="1"/>
  <c r="G839" i="46"/>
  <c r="H839" i="46" s="1"/>
  <c r="G838" i="46"/>
  <c r="H838" i="46" s="1"/>
  <c r="G837" i="46"/>
  <c r="H837" i="46" s="1"/>
  <c r="G836" i="46"/>
  <c r="H836" i="46" s="1"/>
  <c r="H828" i="46"/>
  <c r="G825" i="46"/>
  <c r="H825" i="46" s="1"/>
  <c r="G824" i="46"/>
  <c r="H824" i="46" s="1"/>
  <c r="G821" i="46"/>
  <c r="H821" i="46" s="1"/>
  <c r="G820" i="46"/>
  <c r="H820" i="46" s="1"/>
  <c r="G819" i="46"/>
  <c r="H819" i="46" s="1"/>
  <c r="G818" i="46"/>
  <c r="H818" i="46" s="1"/>
  <c r="H810" i="46"/>
  <c r="G807" i="46"/>
  <c r="H807" i="46" s="1"/>
  <c r="G806" i="46"/>
  <c r="H806" i="46" s="1"/>
  <c r="G805" i="46"/>
  <c r="H805" i="46" s="1"/>
  <c r="G804" i="46"/>
  <c r="H804" i="46" s="1"/>
  <c r="G803" i="46"/>
  <c r="H803" i="46" s="1"/>
  <c r="G802" i="46"/>
  <c r="H802" i="46" s="1"/>
  <c r="G801" i="46"/>
  <c r="H801" i="46" s="1"/>
  <c r="G800" i="46"/>
  <c r="H800" i="46" s="1"/>
  <c r="G799" i="46"/>
  <c r="H799" i="46" s="1"/>
  <c r="G798" i="46"/>
  <c r="H798" i="46" s="1"/>
  <c r="G795" i="46"/>
  <c r="H795" i="46" s="1"/>
  <c r="G794" i="46"/>
  <c r="H794" i="46" s="1"/>
  <c r="G793" i="46"/>
  <c r="H793" i="46" s="1"/>
  <c r="G792" i="46"/>
  <c r="H792" i="46" s="1"/>
  <c r="H784" i="46"/>
  <c r="G781" i="46"/>
  <c r="H781" i="46" s="1"/>
  <c r="H782" i="46" s="1"/>
  <c r="G778" i="46"/>
  <c r="H778" i="46" s="1"/>
  <c r="G777" i="46"/>
  <c r="H777" i="46" s="1"/>
  <c r="G776" i="46"/>
  <c r="H776" i="46" s="1"/>
  <c r="G775" i="46"/>
  <c r="H775" i="46" s="1"/>
  <c r="H767" i="46"/>
  <c r="G764" i="46"/>
  <c r="H764" i="46" s="1"/>
  <c r="H765" i="46" s="1"/>
  <c r="G761" i="46"/>
  <c r="H761" i="46" s="1"/>
  <c r="G760" i="46"/>
  <c r="H760" i="46" s="1"/>
  <c r="G759" i="46"/>
  <c r="H759" i="46" s="1"/>
  <c r="G758" i="46"/>
  <c r="H758" i="46" s="1"/>
  <c r="H750" i="46"/>
  <c r="G747" i="46"/>
  <c r="H747" i="46" s="1"/>
  <c r="H748" i="46" s="1"/>
  <c r="G744" i="46"/>
  <c r="H744" i="46" s="1"/>
  <c r="G743" i="46"/>
  <c r="H743" i="46" s="1"/>
  <c r="G742" i="46"/>
  <c r="H742" i="46" s="1"/>
  <c r="G741" i="46"/>
  <c r="H741" i="46" s="1"/>
  <c r="H733" i="46"/>
  <c r="G730" i="46"/>
  <c r="H730" i="46" s="1"/>
  <c r="H731" i="46" s="1"/>
  <c r="G727" i="46"/>
  <c r="H727" i="46" s="1"/>
  <c r="G726" i="46"/>
  <c r="H726" i="46" s="1"/>
  <c r="G725" i="46"/>
  <c r="H725" i="46" s="1"/>
  <c r="G724" i="46"/>
  <c r="H724" i="46" s="1"/>
  <c r="G713" i="46"/>
  <c r="H713" i="46" s="1"/>
  <c r="H714" i="46" s="1"/>
  <c r="G710" i="46"/>
  <c r="H710" i="46" s="1"/>
  <c r="G709" i="46"/>
  <c r="H709" i="46" s="1"/>
  <c r="D708" i="46"/>
  <c r="G707" i="46"/>
  <c r="H707" i="46" s="1"/>
  <c r="G696" i="46"/>
  <c r="H696" i="46" s="1"/>
  <c r="G695" i="46"/>
  <c r="H695" i="46" s="1"/>
  <c r="G692" i="46"/>
  <c r="H692" i="46" s="1"/>
  <c r="G691" i="46"/>
  <c r="H691" i="46" s="1"/>
  <c r="G690" i="46"/>
  <c r="H690" i="46" s="1"/>
  <c r="G689" i="46"/>
  <c r="H689" i="46" s="1"/>
  <c r="G678" i="46"/>
  <c r="H678" i="46" s="1"/>
  <c r="H679" i="46" s="1"/>
  <c r="G675" i="46"/>
  <c r="H675" i="46" s="1"/>
  <c r="G674" i="46"/>
  <c r="H674" i="46" s="1"/>
  <c r="G673" i="46"/>
  <c r="H673" i="46" s="1"/>
  <c r="G672" i="46"/>
  <c r="H672" i="46" s="1"/>
  <c r="G660" i="46"/>
  <c r="H660" i="46" s="1"/>
  <c r="G657" i="46"/>
  <c r="H657" i="46" s="1"/>
  <c r="G656" i="46"/>
  <c r="H656" i="46" s="1"/>
  <c r="G655" i="46"/>
  <c r="H655" i="46" s="1"/>
  <c r="G654" i="46"/>
  <c r="H654" i="46" s="1"/>
  <c r="G643" i="46"/>
  <c r="H643" i="46" s="1"/>
  <c r="G642" i="46"/>
  <c r="H642" i="46" s="1"/>
  <c r="G641" i="46"/>
  <c r="H641" i="46" s="1"/>
  <c r="G638" i="46"/>
  <c r="H638" i="46" s="1"/>
  <c r="G637" i="46"/>
  <c r="H637" i="46" s="1"/>
  <c r="G636" i="46"/>
  <c r="H636" i="46" s="1"/>
  <c r="G635" i="46"/>
  <c r="H635" i="46" s="1"/>
  <c r="G624" i="46"/>
  <c r="H624" i="46" s="1"/>
  <c r="G623" i="46"/>
  <c r="H623" i="46" s="1"/>
  <c r="G620" i="46"/>
  <c r="H620" i="46" s="1"/>
  <c r="G619" i="46"/>
  <c r="H619" i="46" s="1"/>
  <c r="G618" i="46"/>
  <c r="H618" i="46" s="1"/>
  <c r="G617" i="46"/>
  <c r="H617" i="46" s="1"/>
  <c r="G606" i="46"/>
  <c r="H606" i="46" s="1"/>
  <c r="G605" i="46"/>
  <c r="H605" i="46" s="1"/>
  <c r="G604" i="46"/>
  <c r="H604" i="46" s="1"/>
  <c r="G603" i="46"/>
  <c r="H603" i="46" s="1"/>
  <c r="G600" i="46"/>
  <c r="H600" i="46" s="1"/>
  <c r="G599" i="46"/>
  <c r="H599" i="46" s="1"/>
  <c r="G598" i="46"/>
  <c r="H598" i="46" s="1"/>
  <c r="G597" i="46"/>
  <c r="H597" i="46" s="1"/>
  <c r="G586" i="46"/>
  <c r="H586" i="46" s="1"/>
  <c r="G585" i="46"/>
  <c r="H585" i="46" s="1"/>
  <c r="G584" i="46"/>
  <c r="H584" i="46" s="1"/>
  <c r="G583" i="46"/>
  <c r="H583" i="46" s="1"/>
  <c r="G580" i="46"/>
  <c r="H580" i="46" s="1"/>
  <c r="G579" i="46"/>
  <c r="H579" i="46" s="1"/>
  <c r="G578" i="46"/>
  <c r="H578" i="46" s="1"/>
  <c r="G577" i="46"/>
  <c r="H577" i="46" s="1"/>
  <c r="G566" i="46"/>
  <c r="H566" i="46" s="1"/>
  <c r="G565" i="46"/>
  <c r="H565" i="46" s="1"/>
  <c r="G562" i="46"/>
  <c r="H562" i="46" s="1"/>
  <c r="G561" i="46"/>
  <c r="H561" i="46" s="1"/>
  <c r="G560" i="46"/>
  <c r="H560" i="46" s="1"/>
  <c r="G559" i="46"/>
  <c r="H559" i="46" s="1"/>
  <c r="G548" i="46"/>
  <c r="H548" i="46" s="1"/>
  <c r="G547" i="46"/>
  <c r="H547" i="46" s="1"/>
  <c r="G544" i="46"/>
  <c r="H544" i="46" s="1"/>
  <c r="G543" i="46"/>
  <c r="H543" i="46" s="1"/>
  <c r="G542" i="46"/>
  <c r="H542" i="46" s="1"/>
  <c r="G541" i="46"/>
  <c r="H541" i="46" s="1"/>
  <c r="G530" i="46"/>
  <c r="H530" i="46" s="1"/>
  <c r="H531" i="46" s="1"/>
  <c r="G527" i="46"/>
  <c r="H527" i="46" s="1"/>
  <c r="G526" i="46"/>
  <c r="H526" i="46" s="1"/>
  <c r="G525" i="46"/>
  <c r="H525" i="46" s="1"/>
  <c r="G524" i="46"/>
  <c r="H524" i="46" s="1"/>
  <c r="G513" i="46"/>
  <c r="H513" i="46" s="1"/>
  <c r="G512" i="46"/>
  <c r="H512" i="46" s="1"/>
  <c r="G509" i="46"/>
  <c r="H509" i="46" s="1"/>
  <c r="G508" i="46"/>
  <c r="H508" i="46" s="1"/>
  <c r="G507" i="46"/>
  <c r="H507" i="46" s="1"/>
  <c r="G506" i="46"/>
  <c r="H506" i="46" s="1"/>
  <c r="G495" i="46"/>
  <c r="H495" i="46" s="1"/>
  <c r="G494" i="46"/>
  <c r="H494" i="46" s="1"/>
  <c r="G491" i="46"/>
  <c r="H491" i="46" s="1"/>
  <c r="G490" i="46"/>
  <c r="H490" i="46" s="1"/>
  <c r="G489" i="46"/>
  <c r="H489" i="46" s="1"/>
  <c r="G488" i="46"/>
  <c r="H488" i="46" s="1"/>
  <c r="G477" i="46"/>
  <c r="H477" i="46" s="1"/>
  <c r="G476" i="46"/>
  <c r="H476" i="46" s="1"/>
  <c r="G475" i="46"/>
  <c r="H475" i="46" s="1"/>
  <c r="G472" i="46"/>
  <c r="H472" i="46" s="1"/>
  <c r="G471" i="46"/>
  <c r="H471" i="46" s="1"/>
  <c r="G470" i="46"/>
  <c r="H470" i="46" s="1"/>
  <c r="G469" i="46"/>
  <c r="H469" i="46" s="1"/>
  <c r="G458" i="46"/>
  <c r="H458" i="46" s="1"/>
  <c r="G457" i="46"/>
  <c r="H457" i="46" s="1"/>
  <c r="G456" i="46"/>
  <c r="H456" i="46" s="1"/>
  <c r="G453" i="46"/>
  <c r="H453" i="46" s="1"/>
  <c r="G452" i="46"/>
  <c r="H452" i="46" s="1"/>
  <c r="G451" i="46"/>
  <c r="H451" i="46" s="1"/>
  <c r="G450" i="46"/>
  <c r="H450" i="46" s="1"/>
  <c r="G439" i="46"/>
  <c r="H439" i="46" s="1"/>
  <c r="G438" i="46"/>
  <c r="H438" i="46" s="1"/>
  <c r="G435" i="46"/>
  <c r="H435" i="46" s="1"/>
  <c r="G434" i="46"/>
  <c r="H434" i="46" s="1"/>
  <c r="G433" i="46"/>
  <c r="H433" i="46" s="1"/>
  <c r="G432" i="46"/>
  <c r="H432" i="46" s="1"/>
  <c r="G421" i="46"/>
  <c r="H421" i="46" s="1"/>
  <c r="G420" i="46"/>
  <c r="H420" i="46" s="1"/>
  <c r="G417" i="46"/>
  <c r="H417" i="46" s="1"/>
  <c r="G416" i="46"/>
  <c r="H416" i="46" s="1"/>
  <c r="G415" i="46"/>
  <c r="H415" i="46" s="1"/>
  <c r="G414" i="46"/>
  <c r="H414" i="46" s="1"/>
  <c r="G385" i="46"/>
  <c r="H385" i="46" s="1"/>
  <c r="G384" i="46"/>
  <c r="H384" i="46" s="1"/>
  <c r="G381" i="46"/>
  <c r="H381" i="46" s="1"/>
  <c r="G380" i="46"/>
  <c r="H380" i="46" s="1"/>
  <c r="G379" i="46"/>
  <c r="H379" i="46" s="1"/>
  <c r="G378" i="46"/>
  <c r="H378" i="46" s="1"/>
  <c r="G403" i="46"/>
  <c r="H403" i="46" s="1"/>
  <c r="G402" i="46"/>
  <c r="H402" i="46" s="1"/>
  <c r="G399" i="46"/>
  <c r="H399" i="46" s="1"/>
  <c r="G398" i="46"/>
  <c r="H398" i="46" s="1"/>
  <c r="G397" i="46"/>
  <c r="H397" i="46" s="1"/>
  <c r="G396" i="46"/>
  <c r="H396" i="46" s="1"/>
  <c r="G348" i="46"/>
  <c r="H348" i="46" s="1"/>
  <c r="G347" i="46"/>
  <c r="H347" i="46" s="1"/>
  <c r="G344" i="46"/>
  <c r="H344" i="46" s="1"/>
  <c r="G343" i="46"/>
  <c r="H343" i="46" s="1"/>
  <c r="G342" i="46"/>
  <c r="H342" i="46" s="1"/>
  <c r="G341" i="46"/>
  <c r="H341" i="46" s="1"/>
  <c r="H330" i="46"/>
  <c r="I330" i="46" s="1"/>
  <c r="H329" i="46"/>
  <c r="I329" i="46" s="1"/>
  <c r="H328" i="46"/>
  <c r="I328" i="46" s="1"/>
  <c r="H325" i="46"/>
  <c r="I325" i="46" s="1"/>
  <c r="H324" i="46"/>
  <c r="I324" i="46" s="1"/>
  <c r="H323" i="46"/>
  <c r="I323" i="46" s="1"/>
  <c r="G312" i="46"/>
  <c r="H312" i="46" s="1"/>
  <c r="G311" i="46"/>
  <c r="H311" i="46" s="1"/>
  <c r="G310" i="46"/>
  <c r="H310" i="46" s="1"/>
  <c r="G309" i="46"/>
  <c r="H309" i="46" s="1"/>
  <c r="G308" i="46"/>
  <c r="H308" i="46" s="1"/>
  <c r="G307" i="46"/>
  <c r="H307" i="46" s="1"/>
  <c r="G306" i="46"/>
  <c r="H306" i="46" s="1"/>
  <c r="G305" i="46"/>
  <c r="H305" i="46" s="1"/>
  <c r="G302" i="46"/>
  <c r="H302" i="46" s="1"/>
  <c r="G301" i="46"/>
  <c r="H301" i="46" s="1"/>
  <c r="G300" i="46"/>
  <c r="H300" i="46" s="1"/>
  <c r="G299" i="46"/>
  <c r="H299" i="46" s="1"/>
  <c r="G298" i="46"/>
  <c r="H298" i="46" s="1"/>
  <c r="G297" i="46"/>
  <c r="H297" i="46" s="1"/>
  <c r="G286" i="46"/>
  <c r="H286" i="46" s="1"/>
  <c r="G285" i="46"/>
  <c r="H285" i="46" s="1"/>
  <c r="G284" i="46"/>
  <c r="H284" i="46" s="1"/>
  <c r="G283" i="46"/>
  <c r="H283" i="46" s="1"/>
  <c r="G282" i="46"/>
  <c r="H282" i="46" s="1"/>
  <c r="G281" i="46"/>
  <c r="H281" i="46" s="1"/>
  <c r="G280" i="46"/>
  <c r="H280" i="46" s="1"/>
  <c r="G277" i="46"/>
  <c r="H277" i="46" s="1"/>
  <c r="G276" i="46"/>
  <c r="H276" i="46" s="1"/>
  <c r="G275" i="46"/>
  <c r="H275" i="46" s="1"/>
  <c r="G274" i="46"/>
  <c r="H274" i="46" s="1"/>
  <c r="G273" i="46"/>
  <c r="H273" i="46" s="1"/>
  <c r="G272" i="46"/>
  <c r="H272" i="46" s="1"/>
  <c r="G261" i="46"/>
  <c r="H261" i="46" s="1"/>
  <c r="G260" i="46"/>
  <c r="H260" i="46" s="1"/>
  <c r="G259" i="46"/>
  <c r="H259" i="46" s="1"/>
  <c r="G258" i="46"/>
  <c r="H258" i="46" s="1"/>
  <c r="G255" i="46"/>
  <c r="H255" i="46" s="1"/>
  <c r="G254" i="46"/>
  <c r="H254" i="46" s="1"/>
  <c r="G253" i="46"/>
  <c r="H253" i="46" s="1"/>
  <c r="G252" i="46"/>
  <c r="H252" i="46" s="1"/>
  <c r="G221" i="46"/>
  <c r="H221" i="46" s="1"/>
  <c r="G220" i="46"/>
  <c r="H220" i="46" s="1"/>
  <c r="G219" i="46"/>
  <c r="H219" i="46" s="1"/>
  <c r="G218" i="46"/>
  <c r="H218" i="46" s="1"/>
  <c r="G217" i="46"/>
  <c r="H217" i="46" s="1"/>
  <c r="G214" i="46"/>
  <c r="H214" i="46" s="1"/>
  <c r="G213" i="46"/>
  <c r="H213" i="46" s="1"/>
  <c r="G212" i="46"/>
  <c r="H212" i="46" s="1"/>
  <c r="G211" i="46"/>
  <c r="H211" i="46" s="1"/>
  <c r="G200" i="46"/>
  <c r="H200" i="46" s="1"/>
  <c r="G199" i="46"/>
  <c r="H199" i="46" s="1"/>
  <c r="G198" i="46"/>
  <c r="H198" i="46" s="1"/>
  <c r="G197" i="46"/>
  <c r="H197" i="46" s="1"/>
  <c r="G196" i="46"/>
  <c r="H196" i="46" s="1"/>
  <c r="G193" i="46"/>
  <c r="H193" i="46" s="1"/>
  <c r="G192" i="46"/>
  <c r="H192" i="46" s="1"/>
  <c r="G191" i="46"/>
  <c r="H191" i="46" s="1"/>
  <c r="G190" i="46"/>
  <c r="H190" i="46" s="1"/>
  <c r="G179" i="46"/>
  <c r="H179" i="46" s="1"/>
  <c r="G178" i="46"/>
  <c r="H178" i="46" s="1"/>
  <c r="G177" i="46"/>
  <c r="H177" i="46" s="1"/>
  <c r="G176" i="46"/>
  <c r="H176" i="46" s="1"/>
  <c r="G175" i="46"/>
  <c r="H175" i="46" s="1"/>
  <c r="G172" i="46"/>
  <c r="H172" i="46" s="1"/>
  <c r="G171" i="46"/>
  <c r="H171" i="46" s="1"/>
  <c r="G170" i="46"/>
  <c r="H170" i="46" s="1"/>
  <c r="G169" i="46"/>
  <c r="H169" i="46" s="1"/>
  <c r="G157" i="46"/>
  <c r="H157" i="46" s="1"/>
  <c r="G156" i="46"/>
  <c r="H156" i="46" s="1"/>
  <c r="G155" i="46"/>
  <c r="H155" i="46" s="1"/>
  <c r="G152" i="46"/>
  <c r="H152" i="46" s="1"/>
  <c r="G151" i="46"/>
  <c r="H151" i="46" s="1"/>
  <c r="G150" i="46"/>
  <c r="H150" i="46" s="1"/>
  <c r="G149" i="46"/>
  <c r="H149" i="46" s="1"/>
  <c r="G138" i="46"/>
  <c r="H138" i="46" s="1"/>
  <c r="G137" i="46"/>
  <c r="H137" i="46" s="1"/>
  <c r="G134" i="46"/>
  <c r="H134" i="46" s="1"/>
  <c r="G133" i="46"/>
  <c r="H133" i="46" s="1"/>
  <c r="G132" i="46"/>
  <c r="H132" i="46" s="1"/>
  <c r="G131" i="46"/>
  <c r="H131" i="46" s="1"/>
  <c r="I120" i="46"/>
  <c r="I121" i="46" s="1"/>
  <c r="H116" i="46"/>
  <c r="H115" i="46"/>
  <c r="H114" i="46"/>
  <c r="H113" i="46"/>
  <c r="I105" i="46"/>
  <c r="I103" i="46"/>
  <c r="H100" i="46"/>
  <c r="I100" i="46" s="1"/>
  <c r="H99" i="46"/>
  <c r="I99" i="46" s="1"/>
  <c r="H70" i="46"/>
  <c r="I70" i="46" s="1"/>
  <c r="H69" i="46"/>
  <c r="I69" i="46" s="1"/>
  <c r="H56" i="46"/>
  <c r="I56" i="46" s="1"/>
  <c r="H55" i="46"/>
  <c r="I55" i="46" s="1"/>
  <c r="H46" i="46"/>
  <c r="J46" i="46" s="1"/>
  <c r="J47" i="46" s="1"/>
  <c r="H43" i="46"/>
  <c r="J43" i="46" s="1"/>
  <c r="H42" i="46"/>
  <c r="J42" i="46" s="1"/>
  <c r="H41" i="46"/>
  <c r="J41" i="46" s="1"/>
  <c r="H38" i="46"/>
  <c r="J38" i="46" s="1"/>
  <c r="H37" i="46"/>
  <c r="J37" i="46" s="1"/>
  <c r="H36" i="46"/>
  <c r="J36" i="46" s="1"/>
  <c r="H35" i="46"/>
  <c r="J35" i="46" s="1"/>
  <c r="J20" i="46"/>
  <c r="H24" i="46"/>
  <c r="J24" i="46" s="1"/>
  <c r="H23" i="46"/>
  <c r="J23" i="46" s="1"/>
  <c r="H22" i="46"/>
  <c r="J22" i="46" s="1"/>
  <c r="H21" i="46"/>
  <c r="J21" i="46" s="1"/>
  <c r="H19" i="46"/>
  <c r="J19" i="46" s="1"/>
  <c r="H18" i="46"/>
  <c r="J18" i="46" s="1"/>
  <c r="H17" i="46"/>
  <c r="J17" i="46" s="1"/>
  <c r="H16" i="46"/>
  <c r="J16" i="46" s="1"/>
  <c r="H15" i="46"/>
  <c r="J15" i="46" s="1"/>
  <c r="H14" i="46"/>
  <c r="J14" i="46" s="1"/>
  <c r="H11" i="46"/>
  <c r="J11" i="46" s="1"/>
  <c r="H10" i="46"/>
  <c r="J10" i="46" s="1"/>
  <c r="H9" i="46"/>
  <c r="J9" i="46" s="1"/>
  <c r="H8" i="46"/>
  <c r="J8" i="46" s="1"/>
  <c r="G708" i="46" l="1"/>
  <c r="H708" i="46" s="1"/>
  <c r="H711" i="46" s="1"/>
  <c r="H717" i="46" s="1"/>
  <c r="J12" i="46"/>
  <c r="H1528" i="46"/>
  <c r="H1545" i="46"/>
  <c r="H1541" i="46"/>
  <c r="H1010" i="46"/>
  <c r="H998" i="46"/>
  <c r="H697" i="46"/>
  <c r="D978" i="46"/>
  <c r="G978" i="46" s="1"/>
  <c r="H978" i="46" s="1"/>
  <c r="H981" i="46" s="1"/>
  <c r="H987" i="46" s="1"/>
  <c r="H988" i="46" s="1"/>
  <c r="G855" i="46"/>
  <c r="H855" i="46" s="1"/>
  <c r="H858" i="46" s="1"/>
  <c r="H896" i="46"/>
  <c r="H587" i="46"/>
  <c r="H436" i="46"/>
  <c r="H549" i="46"/>
  <c r="H625" i="46"/>
  <c r="H915" i="46"/>
  <c r="H796" i="46"/>
  <c r="H440" i="46"/>
  <c r="H386" i="46"/>
  <c r="H528" i="46"/>
  <c r="H534" i="46" s="1"/>
  <c r="G873" i="46"/>
  <c r="H873" i="46" s="1"/>
  <c r="H876" i="46" s="1"/>
  <c r="D891" i="46"/>
  <c r="I86" i="46"/>
  <c r="I92" i="46" s="1"/>
  <c r="I101" i="46"/>
  <c r="I106" i="46" s="1"/>
  <c r="I107" i="46" s="1"/>
  <c r="I108" i="46" s="1"/>
  <c r="K96" i="46" s="1"/>
  <c r="H180" i="46"/>
  <c r="H510" i="46"/>
  <c r="H745" i="46"/>
  <c r="H751" i="46" s="1"/>
  <c r="H752" i="46" s="1"/>
  <c r="H753" i="46" s="1"/>
  <c r="K738" i="46" s="1"/>
  <c r="F211" i="54" s="1"/>
  <c r="H808" i="46"/>
  <c r="H382" i="46"/>
  <c r="H826" i="46"/>
  <c r="H563" i="46"/>
  <c r="H601" i="46"/>
  <c r="H639" i="46"/>
  <c r="H862" i="46"/>
  <c r="H194" i="46"/>
  <c r="H897" i="46"/>
  <c r="H567" i="46"/>
  <c r="H644" i="46"/>
  <c r="H728" i="46"/>
  <c r="H734" i="46" s="1"/>
  <c r="H459" i="46"/>
  <c r="H658" i="46"/>
  <c r="H496" i="46"/>
  <c r="H621" i="46"/>
  <c r="F914" i="46"/>
  <c r="H914" i="46" s="1"/>
  <c r="H422" i="46"/>
  <c r="H822" i="46"/>
  <c r="H964" i="46"/>
  <c r="H970" i="46" s="1"/>
  <c r="H971" i="46" s="1"/>
  <c r="H947" i="46"/>
  <c r="H953" i="46" s="1"/>
  <c r="H954" i="46" s="1"/>
  <c r="G927" i="46"/>
  <c r="H927" i="46" s="1"/>
  <c r="H930" i="46" s="1"/>
  <c r="H936" i="46" s="1"/>
  <c r="H937" i="46" s="1"/>
  <c r="H880" i="46"/>
  <c r="H840" i="46"/>
  <c r="H844" i="46"/>
  <c r="H779" i="46"/>
  <c r="H785" i="46" s="1"/>
  <c r="H762" i="46"/>
  <c r="H768" i="46" s="1"/>
  <c r="H693" i="46"/>
  <c r="H676" i="46"/>
  <c r="H682" i="46" s="1"/>
  <c r="H607" i="46"/>
  <c r="H581" i="46"/>
  <c r="H545" i="46"/>
  <c r="H514" i="46"/>
  <c r="H492" i="46"/>
  <c r="H473" i="46"/>
  <c r="H478" i="46"/>
  <c r="H454" i="46"/>
  <c r="H418" i="46"/>
  <c r="J44" i="46"/>
  <c r="I71" i="46"/>
  <c r="I76" i="46" s="1"/>
  <c r="I77" i="46" s="1"/>
  <c r="I78" i="46" s="1"/>
  <c r="K66" i="46" s="1"/>
  <c r="F87" i="54" s="1"/>
  <c r="H349" i="46"/>
  <c r="H278" i="46"/>
  <c r="H313" i="46"/>
  <c r="H256" i="46"/>
  <c r="H139" i="46"/>
  <c r="J39" i="46"/>
  <c r="I124" i="46"/>
  <c r="H215" i="46"/>
  <c r="I331" i="46"/>
  <c r="H222" i="46"/>
  <c r="H400" i="46"/>
  <c r="H404" i="46"/>
  <c r="H345" i="46"/>
  <c r="I326" i="46"/>
  <c r="H287" i="46"/>
  <c r="H303" i="46"/>
  <c r="H262" i="46"/>
  <c r="H153" i="46"/>
  <c r="H158" i="46"/>
  <c r="H173" i="46"/>
  <c r="H201" i="46"/>
  <c r="H135" i="46"/>
  <c r="I57" i="46"/>
  <c r="I62" i="46" s="1"/>
  <c r="J25" i="46"/>
  <c r="F180" i="54" l="1"/>
  <c r="G180" i="54" s="1"/>
  <c r="G211" i="54"/>
  <c r="G87" i="54"/>
  <c r="F190" i="54"/>
  <c r="F89" i="54"/>
  <c r="F46" i="50"/>
  <c r="G46" i="50" s="1"/>
  <c r="G98" i="52"/>
  <c r="F190" i="53"/>
  <c r="F89" i="53"/>
  <c r="G100" i="52"/>
  <c r="G201" i="52"/>
  <c r="G224" i="52"/>
  <c r="H224" i="52" s="1"/>
  <c r="F11" i="50"/>
  <c r="G11" i="50" s="1"/>
  <c r="F13" i="50"/>
  <c r="G13" i="50" s="1"/>
  <c r="F63" i="50"/>
  <c r="G63" i="50" s="1"/>
  <c r="H1546" i="46"/>
  <c r="H1547" i="46" s="1"/>
  <c r="H1548" i="46" s="1"/>
  <c r="H552" i="46"/>
  <c r="H553" i="46" s="1"/>
  <c r="H554" i="46" s="1"/>
  <c r="K538" i="46" s="1"/>
  <c r="H590" i="46"/>
  <c r="H591" i="46" s="1"/>
  <c r="H592" i="46" s="1"/>
  <c r="K574" i="46" s="1"/>
  <c r="F146" i="54" s="1"/>
  <c r="H700" i="46"/>
  <c r="H701" i="46" s="1"/>
  <c r="H702" i="46" s="1"/>
  <c r="K686" i="46" s="1"/>
  <c r="F178" i="54" s="1"/>
  <c r="H425" i="46"/>
  <c r="H426" i="46" s="1"/>
  <c r="H427" i="46" s="1"/>
  <c r="K411" i="46" s="1"/>
  <c r="F162" i="54" s="1"/>
  <c r="H570" i="46"/>
  <c r="H571" i="46" s="1"/>
  <c r="H572" i="46" s="1"/>
  <c r="K556" i="46" s="1"/>
  <c r="F168" i="54" s="1"/>
  <c r="H443" i="46"/>
  <c r="H444" i="46" s="1"/>
  <c r="H445" i="46" s="1"/>
  <c r="K429" i="46" s="1"/>
  <c r="F160" i="54" s="1"/>
  <c r="H898" i="46"/>
  <c r="H517" i="46"/>
  <c r="H518" i="46" s="1"/>
  <c r="H519" i="46" s="1"/>
  <c r="K503" i="46" s="1"/>
  <c r="H610" i="46"/>
  <c r="H611" i="46" s="1"/>
  <c r="H612" i="46" s="1"/>
  <c r="K594" i="46" s="1"/>
  <c r="F147" i="54" s="1"/>
  <c r="H183" i="46"/>
  <c r="H184" i="46" s="1"/>
  <c r="H185" i="46" s="1"/>
  <c r="K166" i="46" s="1"/>
  <c r="H829" i="46"/>
  <c r="H830" i="46" s="1"/>
  <c r="H831" i="46" s="1"/>
  <c r="K815" i="46" s="1"/>
  <c r="F213" i="54" s="1"/>
  <c r="H389" i="46"/>
  <c r="H390" i="46" s="1"/>
  <c r="H391" i="46" s="1"/>
  <c r="K375" i="46" s="1"/>
  <c r="F155" i="54" s="1"/>
  <c r="H628" i="46"/>
  <c r="H629" i="46" s="1"/>
  <c r="H630" i="46" s="1"/>
  <c r="K614" i="46" s="1"/>
  <c r="F218" i="54" s="1"/>
  <c r="H989" i="46"/>
  <c r="K974" i="46" s="1"/>
  <c r="H499" i="46"/>
  <c r="H500" i="46" s="1"/>
  <c r="H501" i="46" s="1"/>
  <c r="K485" i="46" s="1"/>
  <c r="F137" i="54" s="1"/>
  <c r="H204" i="46"/>
  <c r="H205" i="46" s="1"/>
  <c r="H206" i="46" s="1"/>
  <c r="K187" i="46" s="1"/>
  <c r="H847" i="46"/>
  <c r="H848" i="46" s="1"/>
  <c r="H849" i="46" s="1"/>
  <c r="K833" i="46" s="1"/>
  <c r="F174" i="54" s="1"/>
  <c r="H161" i="46"/>
  <c r="H162" i="46" s="1"/>
  <c r="H163" i="46" s="1"/>
  <c r="K146" i="46" s="1"/>
  <c r="H883" i="46"/>
  <c r="H884" i="46" s="1"/>
  <c r="H885" i="46" s="1"/>
  <c r="K869" i="46" s="1"/>
  <c r="F201" i="54" s="1"/>
  <c r="H865" i="46"/>
  <c r="H866" i="46" s="1"/>
  <c r="H867" i="46" s="1"/>
  <c r="K851" i="46" s="1"/>
  <c r="F175" i="54" s="1"/>
  <c r="H316" i="46"/>
  <c r="H317" i="46" s="1"/>
  <c r="H318" i="46" s="1"/>
  <c r="K294" i="46" s="1"/>
  <c r="H916" i="46"/>
  <c r="H811" i="46"/>
  <c r="H812" i="46" s="1"/>
  <c r="H813" i="46" s="1"/>
  <c r="K789" i="46" s="1"/>
  <c r="F209" i="54" s="1"/>
  <c r="H225" i="46"/>
  <c r="H226" i="46" s="1"/>
  <c r="H227" i="46" s="1"/>
  <c r="K208" i="46" s="1"/>
  <c r="H462" i="46"/>
  <c r="H463" i="46" s="1"/>
  <c r="H464" i="46" s="1"/>
  <c r="K447" i="46" s="1"/>
  <c r="F141" i="54" s="1"/>
  <c r="H352" i="46"/>
  <c r="H353" i="46" s="1"/>
  <c r="H354" i="46" s="1"/>
  <c r="K338" i="46" s="1"/>
  <c r="F154" i="54" s="1"/>
  <c r="H290" i="46"/>
  <c r="H291" i="46" s="1"/>
  <c r="H292" i="46" s="1"/>
  <c r="K269" i="46" s="1"/>
  <c r="I334" i="46"/>
  <c r="I335" i="46" s="1"/>
  <c r="I336" i="46" s="1"/>
  <c r="K320" i="46" s="1"/>
  <c r="F94" i="54" s="1"/>
  <c r="H647" i="46"/>
  <c r="H142" i="46"/>
  <c r="H143" i="46" s="1"/>
  <c r="H144" i="46" s="1"/>
  <c r="K128" i="46" s="1"/>
  <c r="J48" i="46"/>
  <c r="J49" i="46" s="1"/>
  <c r="J50" i="46" s="1"/>
  <c r="K32" i="46" s="1"/>
  <c r="I93" i="46"/>
  <c r="I94" i="46" s="1"/>
  <c r="K81" i="46" s="1"/>
  <c r="F88" i="54" s="1"/>
  <c r="G891" i="46"/>
  <c r="H891" i="46" s="1"/>
  <c r="H894" i="46" s="1"/>
  <c r="D909" i="46"/>
  <c r="H972" i="46"/>
  <c r="K957" i="46" s="1"/>
  <c r="H938" i="46"/>
  <c r="K923" i="46" s="1"/>
  <c r="H955" i="46"/>
  <c r="K940" i="46" s="1"/>
  <c r="F183" i="54" s="1"/>
  <c r="H786" i="46"/>
  <c r="H787" i="46" s="1"/>
  <c r="K772" i="46" s="1"/>
  <c r="H769" i="46"/>
  <c r="H770" i="46" s="1"/>
  <c r="K755" i="46" s="1"/>
  <c r="F212" i="54" s="1"/>
  <c r="H735" i="46"/>
  <c r="H736" i="46" s="1"/>
  <c r="K721" i="46" s="1"/>
  <c r="F210" i="54" s="1"/>
  <c r="H718" i="46"/>
  <c r="H719" i="46" s="1"/>
  <c r="K704" i="46" s="1"/>
  <c r="H683" i="46"/>
  <c r="H684" i="46" s="1"/>
  <c r="K669" i="46" s="1"/>
  <c r="F179" i="54" s="1"/>
  <c r="H535" i="46"/>
  <c r="H536" i="46" s="1"/>
  <c r="K521" i="46" s="1"/>
  <c r="H481" i="46"/>
  <c r="H265" i="46"/>
  <c r="H266" i="46" s="1"/>
  <c r="H267" i="46" s="1"/>
  <c r="J28" i="46"/>
  <c r="J29" i="46" s="1"/>
  <c r="J30" i="46" s="1"/>
  <c r="H407" i="46"/>
  <c r="I125" i="46"/>
  <c r="I126" i="46" s="1"/>
  <c r="K110" i="46" s="1"/>
  <c r="F153" i="54" s="1"/>
  <c r="I63" i="46"/>
  <c r="I64" i="46" s="1"/>
  <c r="K52" i="46" s="1"/>
  <c r="F193" i="54" l="1"/>
  <c r="G193" i="54" s="1"/>
  <c r="F124" i="54"/>
  <c r="G124" i="54" s="1"/>
  <c r="F106" i="54"/>
  <c r="G106" i="54" s="1"/>
  <c r="F106" i="53"/>
  <c r="G106" i="53" s="1"/>
  <c r="F180" i="53"/>
  <c r="G180" i="53" s="1"/>
  <c r="F193" i="53"/>
  <c r="G193" i="53" s="1"/>
  <c r="F191" i="54"/>
  <c r="G191" i="54" s="1"/>
  <c r="F124" i="53"/>
  <c r="G124" i="53" s="1"/>
  <c r="F129" i="54"/>
  <c r="G129" i="54" s="1"/>
  <c r="F130" i="53"/>
  <c r="G130" i="53" s="1"/>
  <c r="F130" i="54"/>
  <c r="G130" i="54" s="1"/>
  <c r="F203" i="53"/>
  <c r="G203" i="53" s="1"/>
  <c r="F203" i="54"/>
  <c r="G203" i="54" s="1"/>
  <c r="F129" i="53"/>
  <c r="G129" i="53" s="1"/>
  <c r="G209" i="54"/>
  <c r="G81" i="52"/>
  <c r="F118" i="54"/>
  <c r="F112" i="54"/>
  <c r="F100" i="54"/>
  <c r="G94" i="54"/>
  <c r="G96" i="54" s="1"/>
  <c r="F17" i="54" s="1"/>
  <c r="G17" i="54" s="1"/>
  <c r="G213" i="54"/>
  <c r="G154" i="54"/>
  <c r="G147" i="54"/>
  <c r="F107" i="54"/>
  <c r="F194" i="54"/>
  <c r="F125" i="54"/>
  <c r="G212" i="54"/>
  <c r="F208" i="53"/>
  <c r="G208" i="53" s="1"/>
  <c r="F208" i="54"/>
  <c r="G160" i="54"/>
  <c r="G141" i="54"/>
  <c r="G168" i="54"/>
  <c r="G89" i="54"/>
  <c r="G162" i="54"/>
  <c r="G190" i="54"/>
  <c r="G155" i="54"/>
  <c r="F139" i="54"/>
  <c r="F198" i="54"/>
  <c r="G210" i="54"/>
  <c r="F199" i="54"/>
  <c r="F138" i="54"/>
  <c r="F197" i="54"/>
  <c r="F103" i="54"/>
  <c r="F121" i="54"/>
  <c r="G175" i="54"/>
  <c r="F182" i="53"/>
  <c r="G182" i="53" s="1"/>
  <c r="F182" i="54"/>
  <c r="G201" i="54"/>
  <c r="G178" i="54"/>
  <c r="G146" i="54"/>
  <c r="G137" i="54"/>
  <c r="G218" i="54"/>
  <c r="F115" i="54"/>
  <c r="F196" i="54"/>
  <c r="G179" i="54"/>
  <c r="F113" i="53"/>
  <c r="G113" i="53" s="1"/>
  <c r="F113" i="54"/>
  <c r="F181" i="53"/>
  <c r="G181" i="53" s="1"/>
  <c r="F181" i="54"/>
  <c r="G183" i="54"/>
  <c r="F101" i="53"/>
  <c r="G101" i="53" s="1"/>
  <c r="F101" i="54"/>
  <c r="F189" i="54"/>
  <c r="F86" i="54"/>
  <c r="G174" i="54"/>
  <c r="F200" i="54"/>
  <c r="F167" i="54"/>
  <c r="G153" i="54"/>
  <c r="G88" i="54"/>
  <c r="F119" i="53"/>
  <c r="G119" i="53" s="1"/>
  <c r="F119" i="54"/>
  <c r="G154" i="53"/>
  <c r="G89" i="53"/>
  <c r="G201" i="53"/>
  <c r="G210" i="53"/>
  <c r="G118" i="52"/>
  <c r="H118" i="52" s="1"/>
  <c r="F107" i="53"/>
  <c r="F125" i="53"/>
  <c r="G190" i="53"/>
  <c r="G87" i="53"/>
  <c r="G146" i="53"/>
  <c r="G99" i="52"/>
  <c r="F88" i="53"/>
  <c r="G148" i="52"/>
  <c r="H148" i="52" s="1"/>
  <c r="G147" i="53"/>
  <c r="G160" i="53"/>
  <c r="G70" i="53"/>
  <c r="G72" i="53" s="1"/>
  <c r="G155" i="53"/>
  <c r="G179" i="53"/>
  <c r="G209" i="53"/>
  <c r="G168" i="53"/>
  <c r="G211" i="53"/>
  <c r="G178" i="53"/>
  <c r="G174" i="53"/>
  <c r="G164" i="52"/>
  <c r="F118" i="53"/>
  <c r="F112" i="53"/>
  <c r="F100" i="53"/>
  <c r="G219" i="53"/>
  <c r="G94" i="53"/>
  <c r="G96" i="53" s="1"/>
  <c r="F17" i="53" s="1"/>
  <c r="G17" i="53" s="1"/>
  <c r="G214" i="53"/>
  <c r="G141" i="53"/>
  <c r="G212" i="53"/>
  <c r="G194" i="52"/>
  <c r="H194" i="52" s="1"/>
  <c r="H38" i="52" s="1"/>
  <c r="F183" i="53"/>
  <c r="G175" i="53"/>
  <c r="G162" i="53"/>
  <c r="G216" i="52"/>
  <c r="H216" i="52" s="1"/>
  <c r="G117" i="52"/>
  <c r="H117" i="52" s="1"/>
  <c r="G206" i="52"/>
  <c r="H206" i="52" s="1"/>
  <c r="G191" i="52"/>
  <c r="H191" i="52" s="1"/>
  <c r="G202" i="52"/>
  <c r="H202" i="52" s="1"/>
  <c r="G204" i="52"/>
  <c r="H204" i="52" s="1"/>
  <c r="G135" i="52"/>
  <c r="G193" i="52"/>
  <c r="H193" i="52" s="1"/>
  <c r="F50" i="50"/>
  <c r="G50" i="50" s="1"/>
  <c r="G226" i="52"/>
  <c r="H226" i="52" s="1"/>
  <c r="F19" i="50"/>
  <c r="G19" i="50" s="1"/>
  <c r="G130" i="52"/>
  <c r="H130" i="52" s="1"/>
  <c r="F15" i="50"/>
  <c r="G15" i="50" s="1"/>
  <c r="G140" i="52"/>
  <c r="H140" i="52" s="1"/>
  <c r="G111" i="52"/>
  <c r="H111" i="52" s="1"/>
  <c r="G129" i="52"/>
  <c r="H129" i="52" s="1"/>
  <c r="G123" i="52"/>
  <c r="H123" i="52" s="1"/>
  <c r="F39" i="50"/>
  <c r="G39" i="50" s="1"/>
  <c r="G231" i="52"/>
  <c r="H231" i="52" s="1"/>
  <c r="H40" i="52" s="1"/>
  <c r="F24" i="50"/>
  <c r="G24" i="50" s="1"/>
  <c r="G105" i="52"/>
  <c r="H105" i="52" s="1"/>
  <c r="H107" i="52" s="1"/>
  <c r="G19" i="52" s="1"/>
  <c r="H19" i="52" s="1"/>
  <c r="F42" i="50"/>
  <c r="G42" i="50" s="1"/>
  <c r="G190" i="52"/>
  <c r="H190" i="52" s="1"/>
  <c r="G126" i="52"/>
  <c r="H126" i="52" s="1"/>
  <c r="G207" i="52"/>
  <c r="H207" i="52" s="1"/>
  <c r="F25" i="50"/>
  <c r="G25" i="50" s="1"/>
  <c r="G165" i="52"/>
  <c r="H165" i="52" s="1"/>
  <c r="F44" i="50"/>
  <c r="G44" i="50" s="1"/>
  <c r="G192" i="52"/>
  <c r="H192" i="52" s="1"/>
  <c r="F38" i="50"/>
  <c r="G38" i="50" s="1"/>
  <c r="G158" i="52"/>
  <c r="H158" i="52" s="1"/>
  <c r="H33" i="52" s="1"/>
  <c r="G205" i="52"/>
  <c r="H205" i="52" s="1"/>
  <c r="G136" i="52"/>
  <c r="H136" i="52" s="1"/>
  <c r="F47" i="50"/>
  <c r="G47" i="50" s="1"/>
  <c r="G225" i="52"/>
  <c r="H225" i="52" s="1"/>
  <c r="F48" i="50"/>
  <c r="G48" i="50" s="1"/>
  <c r="G221" i="52"/>
  <c r="H221" i="52" s="1"/>
  <c r="F29" i="50"/>
  <c r="G29" i="50" s="1"/>
  <c r="G171" i="52"/>
  <c r="H171" i="52" s="1"/>
  <c r="F26" i="50"/>
  <c r="G26" i="50" s="1"/>
  <c r="G166" i="52"/>
  <c r="H166" i="52" s="1"/>
  <c r="F43" i="50"/>
  <c r="G43" i="50" s="1"/>
  <c r="G189" i="52"/>
  <c r="H189" i="52" s="1"/>
  <c r="F18" i="50"/>
  <c r="G18" i="50" s="1"/>
  <c r="G124" i="52"/>
  <c r="H124" i="52" s="1"/>
  <c r="F30" i="50"/>
  <c r="G30" i="50" s="1"/>
  <c r="G152" i="52"/>
  <c r="H152" i="52" s="1"/>
  <c r="F45" i="50"/>
  <c r="G45" i="50" s="1"/>
  <c r="G223" i="52"/>
  <c r="H223" i="52" s="1"/>
  <c r="G210" i="52"/>
  <c r="H210" i="52" s="1"/>
  <c r="G149" i="52"/>
  <c r="H149" i="52" s="1"/>
  <c r="F49" i="50"/>
  <c r="G49" i="50" s="1"/>
  <c r="G222" i="52"/>
  <c r="H222" i="52" s="1"/>
  <c r="G132" i="52"/>
  <c r="G114" i="52"/>
  <c r="H114" i="52" s="1"/>
  <c r="G208" i="52"/>
  <c r="H208" i="52" s="1"/>
  <c r="F36" i="50"/>
  <c r="G36" i="50" s="1"/>
  <c r="G179" i="52"/>
  <c r="H179" i="52" s="1"/>
  <c r="F52" i="50"/>
  <c r="G52" i="50" s="1"/>
  <c r="G186" i="52"/>
  <c r="H186" i="52" s="1"/>
  <c r="F28" i="50"/>
  <c r="G28" i="50" s="1"/>
  <c r="G173" i="52"/>
  <c r="H173" i="52" s="1"/>
  <c r="G141" i="52"/>
  <c r="H141" i="52" s="1"/>
  <c r="G112" i="52"/>
  <c r="H112" i="52" s="1"/>
  <c r="F37" i="50"/>
  <c r="G37" i="50" s="1"/>
  <c r="G157" i="52"/>
  <c r="H157" i="52" s="1"/>
  <c r="G209" i="52"/>
  <c r="H209" i="52" s="1"/>
  <c r="H39" i="52" s="1"/>
  <c r="G150" i="52"/>
  <c r="H150" i="52" s="1"/>
  <c r="F53" i="50"/>
  <c r="G53" i="50" s="1"/>
  <c r="G212" i="52"/>
  <c r="H212" i="52" s="1"/>
  <c r="G200" i="52"/>
  <c r="G97" i="52"/>
  <c r="F51" i="50"/>
  <c r="G51" i="50" s="1"/>
  <c r="G185" i="52"/>
  <c r="H185" i="52" s="1"/>
  <c r="G178" i="52"/>
  <c r="H178" i="52" s="1"/>
  <c r="G211" i="52"/>
  <c r="H211" i="52" s="1"/>
  <c r="H100" i="52"/>
  <c r="H98" i="52"/>
  <c r="F10" i="50"/>
  <c r="G10" i="50" s="1"/>
  <c r="F12" i="50"/>
  <c r="G12" i="50" s="1"/>
  <c r="F14" i="50"/>
  <c r="G14" i="50" s="1"/>
  <c r="F9" i="50"/>
  <c r="G9" i="50" s="1"/>
  <c r="F64" i="50"/>
  <c r="G64" i="50" s="1"/>
  <c r="F76" i="50"/>
  <c r="F66" i="50"/>
  <c r="G66" i="50" s="1"/>
  <c r="K249" i="46"/>
  <c r="I267" i="46"/>
  <c r="F33" i="50"/>
  <c r="G33" i="50" s="1"/>
  <c r="F72" i="50"/>
  <c r="G72" i="50" s="1"/>
  <c r="F20" i="50"/>
  <c r="G20" i="50" s="1"/>
  <c r="F67" i="50"/>
  <c r="G67" i="50" s="1"/>
  <c r="F35" i="50"/>
  <c r="G35" i="50" s="1"/>
  <c r="F73" i="50"/>
  <c r="G73" i="50" s="1"/>
  <c r="F34" i="50"/>
  <c r="G34" i="50" s="1"/>
  <c r="F71" i="50"/>
  <c r="G71" i="50" s="1"/>
  <c r="F23" i="50"/>
  <c r="G23" i="50" s="1"/>
  <c r="F70" i="50"/>
  <c r="G70" i="50" s="1"/>
  <c r="F22" i="50"/>
  <c r="G22" i="50" s="1"/>
  <c r="F69" i="50"/>
  <c r="G69" i="50" s="1"/>
  <c r="F32" i="50"/>
  <c r="G32" i="50" s="1"/>
  <c r="F68" i="50"/>
  <c r="G68" i="50" s="1"/>
  <c r="F62" i="50"/>
  <c r="G62" i="50" s="1"/>
  <c r="F21" i="50"/>
  <c r="G21" i="50" s="1"/>
  <c r="G909" i="46"/>
  <c r="H909" i="46" s="1"/>
  <c r="H912" i="46" s="1"/>
  <c r="H919" i="46" s="1"/>
  <c r="H920" i="46" s="1"/>
  <c r="H921" i="46" s="1"/>
  <c r="K905" i="46" s="1"/>
  <c r="F58" i="50"/>
  <c r="G58" i="50" s="1"/>
  <c r="F56" i="50"/>
  <c r="G56" i="50" s="1"/>
  <c r="F59" i="50"/>
  <c r="G59" i="50" s="1"/>
  <c r="F57" i="50"/>
  <c r="G57" i="50" s="1"/>
  <c r="F16" i="50"/>
  <c r="G16" i="50" s="1"/>
  <c r="F17" i="50"/>
  <c r="G17" i="50" s="1"/>
  <c r="K5" i="46"/>
  <c r="H901" i="46"/>
  <c r="H902" i="46" s="1"/>
  <c r="H903" i="46" s="1"/>
  <c r="K887" i="46" s="1"/>
  <c r="F176" i="54" s="1"/>
  <c r="H648" i="46"/>
  <c r="H649" i="46" s="1"/>
  <c r="K632" i="46" s="1"/>
  <c r="H482" i="46"/>
  <c r="H483" i="46" s="1"/>
  <c r="K466" i="46" s="1"/>
  <c r="F140" i="54" s="1"/>
  <c r="H408" i="46"/>
  <c r="H409" i="46" s="1"/>
  <c r="K393" i="46" s="1"/>
  <c r="F161" i="54" s="1"/>
  <c r="G157" i="54" l="1"/>
  <c r="F21" i="54" s="1"/>
  <c r="G21" i="54" s="1"/>
  <c r="G86" i="54"/>
  <c r="G91" i="54" s="1"/>
  <c r="F16" i="54" s="1"/>
  <c r="G16" i="54" s="1"/>
  <c r="G199" i="54"/>
  <c r="G121" i="54"/>
  <c r="G200" i="54"/>
  <c r="G197" i="54"/>
  <c r="G189" i="54"/>
  <c r="G101" i="54"/>
  <c r="G100" i="54"/>
  <c r="G107" i="54"/>
  <c r="G208" i="54"/>
  <c r="G215" i="54" s="1"/>
  <c r="F26" i="54" s="1"/>
  <c r="G26" i="54" s="1"/>
  <c r="G112" i="54"/>
  <c r="G139" i="54"/>
  <c r="G118" i="54"/>
  <c r="F220" i="53"/>
  <c r="G220" i="53" s="1"/>
  <c r="G223" i="53" s="1"/>
  <c r="F27" i="53" s="1"/>
  <c r="G27" i="53" s="1"/>
  <c r="F219" i="54"/>
  <c r="G176" i="54"/>
  <c r="G167" i="54"/>
  <c r="G170" i="54" s="1"/>
  <c r="F23" i="54" s="1"/>
  <c r="G23" i="54" s="1"/>
  <c r="F126" i="54"/>
  <c r="F102" i="54"/>
  <c r="F108" i="54"/>
  <c r="F131" i="54"/>
  <c r="F192" i="54"/>
  <c r="F120" i="54"/>
  <c r="F114" i="54"/>
  <c r="G103" i="54"/>
  <c r="G119" i="54"/>
  <c r="G181" i="54"/>
  <c r="G70" i="54"/>
  <c r="G72" i="54" s="1"/>
  <c r="G140" i="54"/>
  <c r="G196" i="54"/>
  <c r="G115" i="54"/>
  <c r="G138" i="54"/>
  <c r="G125" i="54"/>
  <c r="F177" i="54"/>
  <c r="F202" i="54"/>
  <c r="G198" i="54"/>
  <c r="G161" i="54"/>
  <c r="G164" i="54" s="1"/>
  <c r="F22" i="54" s="1"/>
  <c r="G22" i="54" s="1"/>
  <c r="G113" i="54"/>
  <c r="G182" i="54"/>
  <c r="G194" i="54"/>
  <c r="G161" i="53"/>
  <c r="G176" i="53"/>
  <c r="G112" i="53"/>
  <c r="F14" i="53"/>
  <c r="G14" i="53" s="1"/>
  <c r="G194" i="53"/>
  <c r="G167" i="53"/>
  <c r="G170" i="53" s="1"/>
  <c r="F23" i="53" s="1"/>
  <c r="G23" i="53" s="1"/>
  <c r="G153" i="53"/>
  <c r="G157" i="53" s="1"/>
  <c r="F21" i="53" s="1"/>
  <c r="G21" i="53" s="1"/>
  <c r="G216" i="53"/>
  <c r="F26" i="53" s="1"/>
  <c r="G26" i="53" s="1"/>
  <c r="G196" i="53"/>
  <c r="G88" i="53"/>
  <c r="G197" i="53"/>
  <c r="G121" i="53"/>
  <c r="G103" i="53"/>
  <c r="G164" i="53"/>
  <c r="F22" i="53" s="1"/>
  <c r="G22" i="53" s="1"/>
  <c r="G118" i="53"/>
  <c r="G183" i="53"/>
  <c r="G115" i="53"/>
  <c r="G137" i="53"/>
  <c r="G107" i="53"/>
  <c r="G86" i="53"/>
  <c r="G189" i="53"/>
  <c r="G100" i="53"/>
  <c r="G199" i="53"/>
  <c r="G119" i="52"/>
  <c r="H119" i="52" s="1"/>
  <c r="F126" i="53"/>
  <c r="F108" i="53"/>
  <c r="F102" i="53"/>
  <c r="F131" i="53"/>
  <c r="F114" i="53"/>
  <c r="F120" i="53"/>
  <c r="G138" i="53"/>
  <c r="G125" i="53"/>
  <c r="G140" i="53"/>
  <c r="G200" i="53"/>
  <c r="G139" i="53"/>
  <c r="G198" i="53"/>
  <c r="F31" i="50"/>
  <c r="G31" i="50" s="1"/>
  <c r="G151" i="52"/>
  <c r="H151" i="52" s="1"/>
  <c r="H228" i="52"/>
  <c r="G28" i="52" s="1"/>
  <c r="H28" i="52" s="1"/>
  <c r="F27" i="50"/>
  <c r="G27" i="50" s="1"/>
  <c r="G172" i="52"/>
  <c r="H172" i="52" s="1"/>
  <c r="H175" i="52" s="1"/>
  <c r="G24" i="52" s="1"/>
  <c r="H24" i="52" s="1"/>
  <c r="F40" i="50"/>
  <c r="G40" i="50" s="1"/>
  <c r="G232" i="52"/>
  <c r="H232" i="52" s="1"/>
  <c r="H236" i="52" s="1"/>
  <c r="F55" i="50"/>
  <c r="G55" i="50" s="1"/>
  <c r="G188" i="52"/>
  <c r="H188" i="52" s="1"/>
  <c r="H37" i="52" s="1"/>
  <c r="G213" i="52"/>
  <c r="H213" i="52" s="1"/>
  <c r="F54" i="50"/>
  <c r="G54" i="50" s="1"/>
  <c r="G187" i="52"/>
  <c r="H187" i="52" s="1"/>
  <c r="F65" i="50"/>
  <c r="G65" i="50" s="1"/>
  <c r="G142" i="52"/>
  <c r="H142" i="52" s="1"/>
  <c r="G113" i="52"/>
  <c r="H113" i="52" s="1"/>
  <c r="G137" i="52"/>
  <c r="H137" i="52" s="1"/>
  <c r="G203" i="52"/>
  <c r="H203" i="52" s="1"/>
  <c r="G131" i="52"/>
  <c r="H131" i="52" s="1"/>
  <c r="G125" i="52"/>
  <c r="H125" i="52" s="1"/>
  <c r="H181" i="52"/>
  <c r="H81" i="52"/>
  <c r="H83" i="52" s="1"/>
  <c r="G15" i="52" s="1"/>
  <c r="H15" i="52" s="1"/>
  <c r="H97" i="52"/>
  <c r="H99" i="52"/>
  <c r="H164" i="52"/>
  <c r="H168" i="52" s="1"/>
  <c r="G23" i="52" s="1"/>
  <c r="H23" i="52" s="1"/>
  <c r="H201" i="52"/>
  <c r="H135" i="52"/>
  <c r="G8" i="50"/>
  <c r="K2736" i="1"/>
  <c r="K2687" i="1"/>
  <c r="K2673" i="1"/>
  <c r="K2276" i="1"/>
  <c r="K1374" i="1"/>
  <c r="K1373" i="1"/>
  <c r="K859" i="1"/>
  <c r="K853" i="1"/>
  <c r="K657" i="1"/>
  <c r="K655" i="1"/>
  <c r="K653" i="1"/>
  <c r="K651" i="1"/>
  <c r="K648" i="1"/>
  <c r="K646" i="1"/>
  <c r="K644" i="1"/>
  <c r="K642" i="1"/>
  <c r="K640" i="1"/>
  <c r="K638" i="1"/>
  <c r="K636" i="1"/>
  <c r="K634" i="1"/>
  <c r="K632" i="1"/>
  <c r="K630" i="1"/>
  <c r="K628" i="1"/>
  <c r="K626" i="1"/>
  <c r="K624" i="1"/>
  <c r="K622" i="1"/>
  <c r="K620" i="1"/>
  <c r="K618" i="1"/>
  <c r="K616" i="1"/>
  <c r="K614" i="1"/>
  <c r="K612" i="1"/>
  <c r="K610" i="1"/>
  <c r="K608" i="1"/>
  <c r="K606" i="1"/>
  <c r="K604" i="1"/>
  <c r="K602" i="1"/>
  <c r="K600" i="1"/>
  <c r="K598" i="1"/>
  <c r="K596" i="1"/>
  <c r="K594" i="1"/>
  <c r="K592" i="1"/>
  <c r="K590" i="1"/>
  <c r="K588" i="1"/>
  <c r="K586" i="1"/>
  <c r="K584" i="1"/>
  <c r="K582" i="1"/>
  <c r="K580" i="1"/>
  <c r="K578" i="1"/>
  <c r="K576" i="1"/>
  <c r="K574" i="1"/>
  <c r="K572" i="1"/>
  <c r="K570" i="1"/>
  <c r="K568" i="1"/>
  <c r="K566" i="1"/>
  <c r="K564" i="1"/>
  <c r="K562" i="1"/>
  <c r="K560" i="1"/>
  <c r="K558" i="1"/>
  <c r="K556" i="1"/>
  <c r="K554" i="1"/>
  <c r="K544" i="1"/>
  <c r="K542" i="1"/>
  <c r="K540" i="1"/>
  <c r="K538" i="1"/>
  <c r="K536" i="1"/>
  <c r="K534" i="1"/>
  <c r="K532" i="1"/>
  <c r="K530" i="1"/>
  <c r="K528" i="1"/>
  <c r="K526" i="1"/>
  <c r="K524" i="1"/>
  <c r="K522" i="1"/>
  <c r="K365" i="1"/>
  <c r="K57" i="1"/>
  <c r="K28" i="1"/>
  <c r="K26" i="1"/>
  <c r="K25" i="1"/>
  <c r="B251" i="1"/>
  <c r="C1121" i="27"/>
  <c r="C391" i="27"/>
  <c r="F391" i="27" s="1"/>
  <c r="C392" i="27"/>
  <c r="C380" i="27"/>
  <c r="C381" i="27"/>
  <c r="G381" i="27" s="1"/>
  <c r="C382" i="27"/>
  <c r="C383" i="27"/>
  <c r="C384" i="27"/>
  <c r="C385" i="27"/>
  <c r="C386" i="27"/>
  <c r="C387" i="27"/>
  <c r="C388" i="27"/>
  <c r="C389" i="27"/>
  <c r="C390" i="27"/>
  <c r="C378" i="27"/>
  <c r="C379" i="27"/>
  <c r="B153" i="27"/>
  <c r="C153" i="27" s="1"/>
  <c r="B152" i="27"/>
  <c r="C152" i="27" s="1"/>
  <c r="B136" i="27"/>
  <c r="C136" i="27" s="1"/>
  <c r="B135" i="27"/>
  <c r="C135" i="27" s="1"/>
  <c r="B134" i="27"/>
  <c r="C134" i="27" s="1"/>
  <c r="B133" i="27"/>
  <c r="C133" i="27" s="1"/>
  <c r="B132" i="27"/>
  <c r="C132" i="27" s="1"/>
  <c r="B131" i="27"/>
  <c r="C131" i="27" s="1"/>
  <c r="B130" i="27"/>
  <c r="C130" i="27" s="1"/>
  <c r="B129" i="27"/>
  <c r="C129" i="27" s="1"/>
  <c r="B128" i="27"/>
  <c r="C128" i="27" s="1"/>
  <c r="B127" i="27"/>
  <c r="C127" i="27" s="1"/>
  <c r="B126" i="27"/>
  <c r="C126" i="27" s="1"/>
  <c r="B125" i="27"/>
  <c r="C125" i="27" s="1"/>
  <c r="B124" i="27"/>
  <c r="C124" i="27" s="1"/>
  <c r="B123" i="27"/>
  <c r="C123" i="27" s="1"/>
  <c r="B122" i="27"/>
  <c r="C122" i="27" s="1"/>
  <c r="B121" i="27"/>
  <c r="C121" i="27" s="1"/>
  <c r="B120" i="27"/>
  <c r="C120" i="27" s="1"/>
  <c r="B119" i="27"/>
  <c r="C119" i="27" s="1"/>
  <c r="B118" i="27"/>
  <c r="C118" i="27" s="1"/>
  <c r="B117" i="27"/>
  <c r="C117" i="27" s="1"/>
  <c r="B116" i="27"/>
  <c r="C116" i="27" s="1"/>
  <c r="B115" i="27"/>
  <c r="C115" i="27" s="1"/>
  <c r="B114" i="27"/>
  <c r="C114" i="27" s="1"/>
  <c r="B113" i="27"/>
  <c r="C113" i="27" s="1"/>
  <c r="C1776" i="27"/>
  <c r="B112" i="27"/>
  <c r="C112" i="27" s="1"/>
  <c r="B111" i="27"/>
  <c r="C111" i="27" s="1"/>
  <c r="B110" i="27"/>
  <c r="C110" i="27" s="1"/>
  <c r="B109" i="27"/>
  <c r="C109" i="27" s="1"/>
  <c r="B108" i="27"/>
  <c r="C108" i="27" s="1"/>
  <c r="B107" i="27"/>
  <c r="C107" i="27" s="1"/>
  <c r="B106" i="27"/>
  <c r="C106" i="27" s="1"/>
  <c r="B105" i="27"/>
  <c r="C105" i="27" s="1"/>
  <c r="B104" i="27"/>
  <c r="C104" i="27" s="1"/>
  <c r="B103" i="27"/>
  <c r="C103" i="27" s="1"/>
  <c r="B102" i="27"/>
  <c r="C102" i="27" s="1"/>
  <c r="B101" i="27"/>
  <c r="C101" i="27" s="1"/>
  <c r="B100" i="27"/>
  <c r="C100" i="27" s="1"/>
  <c r="B99" i="27"/>
  <c r="C99" i="27" s="1"/>
  <c r="B98" i="27"/>
  <c r="C98" i="27" s="1"/>
  <c r="B97" i="27"/>
  <c r="C97" i="27" s="1"/>
  <c r="B96" i="27"/>
  <c r="C96" i="27" s="1"/>
  <c r="B95" i="27"/>
  <c r="C95" i="27" s="1"/>
  <c r="B94" i="27"/>
  <c r="C94" i="27" s="1"/>
  <c r="B93" i="27"/>
  <c r="C93" i="27" s="1"/>
  <c r="B92" i="27"/>
  <c r="C92" i="27" s="1"/>
  <c r="B91" i="27"/>
  <c r="C91" i="27" s="1"/>
  <c r="B90" i="27"/>
  <c r="C90" i="27" s="1"/>
  <c r="B89" i="27"/>
  <c r="C89" i="27" s="1"/>
  <c r="B88" i="27"/>
  <c r="C88" i="27" s="1"/>
  <c r="B87" i="27"/>
  <c r="C87" i="27" s="1"/>
  <c r="B86" i="27"/>
  <c r="C86" i="27" s="1"/>
  <c r="B85" i="27"/>
  <c r="C85" i="27" s="1"/>
  <c r="B84" i="27"/>
  <c r="C84" i="27" s="1"/>
  <c r="B83" i="27"/>
  <c r="C83" i="27" s="1"/>
  <c r="B82" i="27"/>
  <c r="C82" i="27" s="1"/>
  <c r="B81" i="27"/>
  <c r="C81" i="27" s="1"/>
  <c r="B80" i="27"/>
  <c r="C80" i="27" s="1"/>
  <c r="B79" i="27"/>
  <c r="C79" i="27" s="1"/>
  <c r="B78" i="27"/>
  <c r="C78" i="27" s="1"/>
  <c r="B77" i="27"/>
  <c r="C77" i="27" s="1"/>
  <c r="B76" i="27"/>
  <c r="C76" i="27" s="1"/>
  <c r="B75" i="27"/>
  <c r="C75" i="27" s="1"/>
  <c r="B74" i="27"/>
  <c r="C74" i="27" s="1"/>
  <c r="B73" i="27"/>
  <c r="C73" i="27" s="1"/>
  <c r="B72" i="27"/>
  <c r="C72" i="27" s="1"/>
  <c r="B71" i="27"/>
  <c r="C71" i="27" s="1"/>
  <c r="B70" i="27"/>
  <c r="C70" i="27" s="1"/>
  <c r="B69" i="27"/>
  <c r="C69" i="27" s="1"/>
  <c r="B68" i="27"/>
  <c r="C68" i="27" s="1"/>
  <c r="B67" i="27"/>
  <c r="C67" i="27" s="1"/>
  <c r="B66" i="27"/>
  <c r="C66" i="27" s="1"/>
  <c r="B65" i="27"/>
  <c r="C65" i="27" s="1"/>
  <c r="B64" i="27"/>
  <c r="C64" i="27" s="1"/>
  <c r="B63" i="27"/>
  <c r="C63" i="27" s="1"/>
  <c r="B62" i="27"/>
  <c r="C62" i="27" s="1"/>
  <c r="B61" i="27"/>
  <c r="C61" i="27" s="1"/>
  <c r="B60" i="27"/>
  <c r="C60" i="27" s="1"/>
  <c r="B59" i="27"/>
  <c r="C59" i="27" s="1"/>
  <c r="B58" i="27"/>
  <c r="C58" i="27" s="1"/>
  <c r="B57" i="27"/>
  <c r="C57" i="27" s="1"/>
  <c r="B56" i="27"/>
  <c r="C56" i="27" s="1"/>
  <c r="B55" i="27"/>
  <c r="C55" i="27" s="1"/>
  <c r="B54" i="27"/>
  <c r="C54" i="27" s="1"/>
  <c r="B53" i="27"/>
  <c r="C53" i="27" s="1"/>
  <c r="B52" i="27"/>
  <c r="C52" i="27" s="1"/>
  <c r="B51" i="27"/>
  <c r="C51" i="27" s="1"/>
  <c r="B50" i="27"/>
  <c r="C50" i="27" s="1"/>
  <c r="B49" i="27"/>
  <c r="C49" i="27" s="1"/>
  <c r="B48" i="27"/>
  <c r="C48" i="27" s="1"/>
  <c r="B47" i="27"/>
  <c r="C47" i="27" s="1"/>
  <c r="B46" i="27"/>
  <c r="C46" i="27" s="1"/>
  <c r="B45" i="27"/>
  <c r="C45" i="27" s="1"/>
  <c r="B44" i="27"/>
  <c r="C44" i="27" s="1"/>
  <c r="B43" i="27"/>
  <c r="C43" i="27" s="1"/>
  <c r="B42" i="27"/>
  <c r="C42" i="27" s="1"/>
  <c r="B41" i="27"/>
  <c r="C41" i="27" s="1"/>
  <c r="G41" i="27" s="1"/>
  <c r="B40" i="27"/>
  <c r="C40" i="27" s="1"/>
  <c r="G40" i="27" s="1"/>
  <c r="B39" i="27"/>
  <c r="C39" i="27" s="1"/>
  <c r="F39" i="27" s="1"/>
  <c r="B38" i="27"/>
  <c r="C38" i="27" s="1"/>
  <c r="B37" i="27"/>
  <c r="C37" i="27" s="1"/>
  <c r="B36" i="27"/>
  <c r="C36" i="27" s="1"/>
  <c r="B35" i="27"/>
  <c r="C35" i="27" s="1"/>
  <c r="B34" i="27"/>
  <c r="C34" i="27" s="1"/>
  <c r="G34" i="27" s="1"/>
  <c r="B33" i="27"/>
  <c r="C33" i="27" s="1"/>
  <c r="G33" i="27" s="1"/>
  <c r="B32" i="27"/>
  <c r="C32" i="27" s="1"/>
  <c r="F32" i="27" s="1"/>
  <c r="B31" i="27"/>
  <c r="C31" i="27" s="1"/>
  <c r="G31" i="27" s="1"/>
  <c r="B30" i="27"/>
  <c r="C30" i="27" s="1"/>
  <c r="G30" i="27" s="1"/>
  <c r="B29" i="27"/>
  <c r="C29" i="27" s="1"/>
  <c r="F29" i="27" s="1"/>
  <c r="B28" i="27"/>
  <c r="C28" i="27" s="1"/>
  <c r="G28" i="27" s="1"/>
  <c r="B27" i="27"/>
  <c r="C27" i="27" s="1"/>
  <c r="F27" i="27" s="1"/>
  <c r="B26" i="27"/>
  <c r="C26" i="27" s="1"/>
  <c r="F26" i="27" s="1"/>
  <c r="B25" i="27"/>
  <c r="C25" i="27" s="1"/>
  <c r="B24" i="27"/>
  <c r="C24" i="27" s="1"/>
  <c r="B23" i="27"/>
  <c r="C23" i="27" s="1"/>
  <c r="F23" i="27" s="1"/>
  <c r="B22" i="27"/>
  <c r="C22" i="27" s="1"/>
  <c r="B21" i="27"/>
  <c r="C21" i="27" s="1"/>
  <c r="B20" i="27"/>
  <c r="C20" i="27" s="1"/>
  <c r="G20" i="27" s="1"/>
  <c r="B19" i="27"/>
  <c r="C19" i="27" s="1"/>
  <c r="F19" i="27" s="1"/>
  <c r="B18" i="27"/>
  <c r="C18" i="27" s="1"/>
  <c r="F18" i="27" s="1"/>
  <c r="B17" i="27"/>
  <c r="C17" i="27" s="1"/>
  <c r="F17" i="27" s="1"/>
  <c r="B16" i="27"/>
  <c r="C16" i="27" s="1"/>
  <c r="B15" i="27"/>
  <c r="C15" i="27" s="1"/>
  <c r="B14" i="27"/>
  <c r="C14" i="27" s="1"/>
  <c r="B13" i="27"/>
  <c r="C13" i="27" s="1"/>
  <c r="F13" i="27" s="1"/>
  <c r="B12" i="27"/>
  <c r="C12" i="27" s="1"/>
  <c r="F12" i="27" s="1"/>
  <c r="B11" i="27"/>
  <c r="C11" i="27" s="1"/>
  <c r="G11" i="27" s="1"/>
  <c r="B10" i="27"/>
  <c r="C10" i="27" s="1"/>
  <c r="B9" i="27"/>
  <c r="C9" i="27" s="1"/>
  <c r="B8" i="27"/>
  <c r="C8" i="27" s="1"/>
  <c r="B7" i="27"/>
  <c r="C7" i="27" s="1"/>
  <c r="B2600" i="27"/>
  <c r="C2600" i="27" s="1"/>
  <c r="B2599" i="27"/>
  <c r="C2599" i="27" s="1"/>
  <c r="B2598" i="27"/>
  <c r="C2598" i="27" s="1"/>
  <c r="B2597" i="27"/>
  <c r="C2597" i="27" s="1"/>
  <c r="B2596" i="27"/>
  <c r="C2596" i="27" s="1"/>
  <c r="B2595" i="27"/>
  <c r="C2595" i="27" s="1"/>
  <c r="B2594" i="27"/>
  <c r="C2594" i="27" s="1"/>
  <c r="B2593" i="27"/>
  <c r="C2593" i="27" s="1"/>
  <c r="B2592" i="27"/>
  <c r="C2592" i="27" s="1"/>
  <c r="B2591" i="27"/>
  <c r="C2591" i="27" s="1"/>
  <c r="B2590" i="27"/>
  <c r="C2590" i="27" s="1"/>
  <c r="B2589" i="27"/>
  <c r="C2589" i="27" s="1"/>
  <c r="B2588" i="27"/>
  <c r="C2588" i="27" s="1"/>
  <c r="B2587" i="27"/>
  <c r="C2587" i="27" s="1"/>
  <c r="B2586" i="27"/>
  <c r="C2586" i="27" s="1"/>
  <c r="B2585" i="27"/>
  <c r="C2585" i="27" s="1"/>
  <c r="B2584" i="27"/>
  <c r="C2584" i="27" s="1"/>
  <c r="B2583" i="27"/>
  <c r="C2583" i="27" s="1"/>
  <c r="B2582" i="27"/>
  <c r="C2582" i="27" s="1"/>
  <c r="B2581" i="27"/>
  <c r="C2581" i="27" s="1"/>
  <c r="B2580" i="27"/>
  <c r="C2580" i="27" s="1"/>
  <c r="B2579" i="27"/>
  <c r="C2579" i="27" s="1"/>
  <c r="B2578" i="27"/>
  <c r="C2578" i="27" s="1"/>
  <c r="B2577" i="27"/>
  <c r="C2577" i="27" s="1"/>
  <c r="B2576" i="27"/>
  <c r="C2576" i="27" s="1"/>
  <c r="B2575" i="27"/>
  <c r="C2575" i="27" s="1"/>
  <c r="B2574" i="27"/>
  <c r="C2574" i="27" s="1"/>
  <c r="B2573" i="27"/>
  <c r="C2573" i="27" s="1"/>
  <c r="B2572" i="27"/>
  <c r="C2572" i="27" s="1"/>
  <c r="B2571" i="27"/>
  <c r="C2571" i="27" s="1"/>
  <c r="B2570" i="27"/>
  <c r="C2570" i="27" s="1"/>
  <c r="B2569" i="27"/>
  <c r="C2569" i="27" s="1"/>
  <c r="B2568" i="27"/>
  <c r="C2568" i="27" s="1"/>
  <c r="B2567" i="27"/>
  <c r="C2567" i="27" s="1"/>
  <c r="B2566" i="27"/>
  <c r="C2566" i="27" s="1"/>
  <c r="B2565" i="27"/>
  <c r="C2565" i="27" s="1"/>
  <c r="B2564" i="27"/>
  <c r="C2564" i="27" s="1"/>
  <c r="B2563" i="27"/>
  <c r="C2563" i="27" s="1"/>
  <c r="B2562" i="27"/>
  <c r="C2562" i="27" s="1"/>
  <c r="B2561" i="27"/>
  <c r="C2561" i="27" s="1"/>
  <c r="B2560" i="27"/>
  <c r="C2560" i="27" s="1"/>
  <c r="B2559" i="27"/>
  <c r="C2559" i="27" s="1"/>
  <c r="B2558" i="27"/>
  <c r="C2558" i="27" s="1"/>
  <c r="B2557" i="27"/>
  <c r="C2557" i="27" s="1"/>
  <c r="B2556" i="27"/>
  <c r="C2556" i="27" s="1"/>
  <c r="B2555" i="27"/>
  <c r="C2555" i="27" s="1"/>
  <c r="B2554" i="27"/>
  <c r="C2554" i="27" s="1"/>
  <c r="B2553" i="27"/>
  <c r="C2553" i="27" s="1"/>
  <c r="B2552" i="27"/>
  <c r="C2552" i="27" s="1"/>
  <c r="B2551" i="27"/>
  <c r="C2551" i="27" s="1"/>
  <c r="B2550" i="27"/>
  <c r="C2550" i="27" s="1"/>
  <c r="B2549" i="27"/>
  <c r="C2549" i="27" s="1"/>
  <c r="B2548" i="27"/>
  <c r="C2548" i="27" s="1"/>
  <c r="B2547" i="27"/>
  <c r="C2547" i="27" s="1"/>
  <c r="B2546" i="27"/>
  <c r="C2546" i="27" s="1"/>
  <c r="B2545" i="27"/>
  <c r="C2545" i="27" s="1"/>
  <c r="B2544" i="27"/>
  <c r="C2544" i="27" s="1"/>
  <c r="B2543" i="27"/>
  <c r="C2543" i="27" s="1"/>
  <c r="B2542" i="27"/>
  <c r="C2542" i="27" s="1"/>
  <c r="B2541" i="27"/>
  <c r="C2541" i="27" s="1"/>
  <c r="B2540" i="27"/>
  <c r="C2540" i="27" s="1"/>
  <c r="B2539" i="27"/>
  <c r="C2539" i="27" s="1"/>
  <c r="B2538" i="27"/>
  <c r="C2538" i="27" s="1"/>
  <c r="B2537" i="27"/>
  <c r="C2537" i="27" s="1"/>
  <c r="B2536" i="27"/>
  <c r="C2536" i="27" s="1"/>
  <c r="B2535" i="27"/>
  <c r="C2535" i="27" s="1"/>
  <c r="B2534" i="27"/>
  <c r="C2534" i="27" s="1"/>
  <c r="B2533" i="27"/>
  <c r="C2533" i="27" s="1"/>
  <c r="B2532" i="27"/>
  <c r="C2532" i="27" s="1"/>
  <c r="B2531" i="27"/>
  <c r="C2531" i="27" s="1"/>
  <c r="B2530" i="27"/>
  <c r="C2530" i="27" s="1"/>
  <c r="B2529" i="27"/>
  <c r="C2529" i="27" s="1"/>
  <c r="B2528" i="27"/>
  <c r="C2528" i="27" s="1"/>
  <c r="B2527" i="27"/>
  <c r="C2527" i="27" s="1"/>
  <c r="B2526" i="27"/>
  <c r="C2526" i="27" s="1"/>
  <c r="B2525" i="27"/>
  <c r="C2525" i="27" s="1"/>
  <c r="B2524" i="27"/>
  <c r="C2524" i="27" s="1"/>
  <c r="B2523" i="27"/>
  <c r="C2523" i="27" s="1"/>
  <c r="B2522" i="27"/>
  <c r="C2522" i="27" s="1"/>
  <c r="B2521" i="27"/>
  <c r="C2521" i="27" s="1"/>
  <c r="B2520" i="27"/>
  <c r="C2520" i="27" s="1"/>
  <c r="B2519" i="27"/>
  <c r="C2519" i="27" s="1"/>
  <c r="B2518" i="27"/>
  <c r="C2518" i="27" s="1"/>
  <c r="B2517" i="27"/>
  <c r="C2517" i="27" s="1"/>
  <c r="B2516" i="27"/>
  <c r="C2516" i="27" s="1"/>
  <c r="B2515" i="27"/>
  <c r="C2515" i="27" s="1"/>
  <c r="B2514" i="27"/>
  <c r="C2514" i="27" s="1"/>
  <c r="B2513" i="27"/>
  <c r="C2513" i="27" s="1"/>
  <c r="B2512" i="27"/>
  <c r="C2512" i="27" s="1"/>
  <c r="B2511" i="27"/>
  <c r="C2511" i="27" s="1"/>
  <c r="B2510" i="27"/>
  <c r="C2510" i="27" s="1"/>
  <c r="B2509" i="27"/>
  <c r="C2509" i="27" s="1"/>
  <c r="B2508" i="27"/>
  <c r="C2508" i="27" s="1"/>
  <c r="B2507" i="27"/>
  <c r="C2507" i="27" s="1"/>
  <c r="B2506" i="27"/>
  <c r="C2506" i="27" s="1"/>
  <c r="B2505" i="27"/>
  <c r="C2505" i="27" s="1"/>
  <c r="B2504" i="27"/>
  <c r="C2504" i="27" s="1"/>
  <c r="B2503" i="27"/>
  <c r="C2503" i="27" s="1"/>
  <c r="B2502" i="27"/>
  <c r="C2502" i="27" s="1"/>
  <c r="B2501" i="27"/>
  <c r="C2501" i="27" s="1"/>
  <c r="B2500" i="27"/>
  <c r="C2500" i="27" s="1"/>
  <c r="B2499" i="27"/>
  <c r="C2499" i="27" s="1"/>
  <c r="B2498" i="27"/>
  <c r="C2498" i="27" s="1"/>
  <c r="B2497" i="27"/>
  <c r="C2497" i="27" s="1"/>
  <c r="B2496" i="27"/>
  <c r="C2496" i="27" s="1"/>
  <c r="B2495" i="27"/>
  <c r="C2495" i="27" s="1"/>
  <c r="B2494" i="27"/>
  <c r="C2494" i="27" s="1"/>
  <c r="B2493" i="27"/>
  <c r="C2493" i="27" s="1"/>
  <c r="B2492" i="27"/>
  <c r="C2492" i="27" s="1"/>
  <c r="B2491" i="27"/>
  <c r="C2491" i="27" s="1"/>
  <c r="B2490" i="27"/>
  <c r="C2490" i="27" s="1"/>
  <c r="B2489" i="27"/>
  <c r="C2489" i="27" s="1"/>
  <c r="B2488" i="27"/>
  <c r="C2488" i="27" s="1"/>
  <c r="B2487" i="27"/>
  <c r="C2487" i="27" s="1"/>
  <c r="B2486" i="27"/>
  <c r="C2486" i="27" s="1"/>
  <c r="B2485" i="27"/>
  <c r="C2485" i="27" s="1"/>
  <c r="B2484" i="27"/>
  <c r="C2484" i="27" s="1"/>
  <c r="B2483" i="27"/>
  <c r="C2483" i="27" s="1"/>
  <c r="B2482" i="27"/>
  <c r="C2482" i="27" s="1"/>
  <c r="B2481" i="27"/>
  <c r="C2481" i="27" s="1"/>
  <c r="B2480" i="27"/>
  <c r="C2480" i="27" s="1"/>
  <c r="B2479" i="27"/>
  <c r="C2479" i="27" s="1"/>
  <c r="B2478" i="27"/>
  <c r="C2478" i="27" s="1"/>
  <c r="B2477" i="27"/>
  <c r="C2477" i="27" s="1"/>
  <c r="B2476" i="27"/>
  <c r="C2476" i="27" s="1"/>
  <c r="B2475" i="27"/>
  <c r="C2475" i="27" s="1"/>
  <c r="B2474" i="27"/>
  <c r="C2474" i="27" s="1"/>
  <c r="B2473" i="27"/>
  <c r="C2473" i="27" s="1"/>
  <c r="B2472" i="27"/>
  <c r="C2472" i="27" s="1"/>
  <c r="B2471" i="27"/>
  <c r="C2471" i="27" s="1"/>
  <c r="B2470" i="27"/>
  <c r="C2470" i="27" s="1"/>
  <c r="B2469" i="27"/>
  <c r="C2469" i="27" s="1"/>
  <c r="B2468" i="27"/>
  <c r="C2468" i="27" s="1"/>
  <c r="B2467" i="27"/>
  <c r="C2467" i="27" s="1"/>
  <c r="B2466" i="27"/>
  <c r="C2466" i="27" s="1"/>
  <c r="B2465" i="27"/>
  <c r="C2465" i="27" s="1"/>
  <c r="B2464" i="27"/>
  <c r="C2464" i="27" s="1"/>
  <c r="B2463" i="27"/>
  <c r="C2463" i="27" s="1"/>
  <c r="B2462" i="27"/>
  <c r="C2462" i="27" s="1"/>
  <c r="B2461" i="27"/>
  <c r="C2461" i="27" s="1"/>
  <c r="B2460" i="27"/>
  <c r="C2460" i="27" s="1"/>
  <c r="B2459" i="27"/>
  <c r="C2459" i="27" s="1"/>
  <c r="B2458" i="27"/>
  <c r="C2458" i="27" s="1"/>
  <c r="B2457" i="27"/>
  <c r="C2457" i="27" s="1"/>
  <c r="B2456" i="27"/>
  <c r="C2456" i="27" s="1"/>
  <c r="B2455" i="27"/>
  <c r="C2455" i="27" s="1"/>
  <c r="B2454" i="27"/>
  <c r="C2454" i="27" s="1"/>
  <c r="B2453" i="27"/>
  <c r="C2453" i="27" s="1"/>
  <c r="B2452" i="27"/>
  <c r="C2452" i="27" s="1"/>
  <c r="B2451" i="27"/>
  <c r="C2451" i="27" s="1"/>
  <c r="B2450" i="27"/>
  <c r="C2450" i="27" s="1"/>
  <c r="B2449" i="27"/>
  <c r="C2449" i="27" s="1"/>
  <c r="B2448" i="27"/>
  <c r="C2448" i="27" s="1"/>
  <c r="B2447" i="27"/>
  <c r="C2447" i="27" s="1"/>
  <c r="B2446" i="27"/>
  <c r="C2446" i="27" s="1"/>
  <c r="B2445" i="27"/>
  <c r="C2445" i="27" s="1"/>
  <c r="B2444" i="27"/>
  <c r="C2444" i="27" s="1"/>
  <c r="B2443" i="27"/>
  <c r="C2443" i="27" s="1"/>
  <c r="B2442" i="27"/>
  <c r="C2442" i="27" s="1"/>
  <c r="B2441" i="27"/>
  <c r="C2441" i="27" s="1"/>
  <c r="B2440" i="27"/>
  <c r="C2440" i="27" s="1"/>
  <c r="B2439" i="27"/>
  <c r="C2439" i="27" s="1"/>
  <c r="B2438" i="27"/>
  <c r="C2438" i="27" s="1"/>
  <c r="B2437" i="27"/>
  <c r="C2437" i="27" s="1"/>
  <c r="B2436" i="27"/>
  <c r="C2436" i="27" s="1"/>
  <c r="B2435" i="27"/>
  <c r="C2435" i="27" s="1"/>
  <c r="B2434" i="27"/>
  <c r="C2434" i="27" s="1"/>
  <c r="B2433" i="27"/>
  <c r="C2433" i="27" s="1"/>
  <c r="B2432" i="27"/>
  <c r="C2432" i="27" s="1"/>
  <c r="B2431" i="27"/>
  <c r="C2431" i="27" s="1"/>
  <c r="B2430" i="27"/>
  <c r="C2430" i="27" s="1"/>
  <c r="B2429" i="27"/>
  <c r="C2429" i="27" s="1"/>
  <c r="B2428" i="27"/>
  <c r="C2428" i="27" s="1"/>
  <c r="B2427" i="27"/>
  <c r="C2427" i="27" s="1"/>
  <c r="B2426" i="27"/>
  <c r="C2426" i="27" s="1"/>
  <c r="B2425" i="27"/>
  <c r="C2425" i="27" s="1"/>
  <c r="B2424" i="27"/>
  <c r="C2424" i="27" s="1"/>
  <c r="B2423" i="27"/>
  <c r="C2423" i="27" s="1"/>
  <c r="B2422" i="27"/>
  <c r="C2422" i="27" s="1"/>
  <c r="B2421" i="27"/>
  <c r="C2421" i="27" s="1"/>
  <c r="B2420" i="27"/>
  <c r="C2420" i="27" s="1"/>
  <c r="B2419" i="27"/>
  <c r="C2419" i="27" s="1"/>
  <c r="B2418" i="27"/>
  <c r="C2418" i="27" s="1"/>
  <c r="B2417" i="27"/>
  <c r="C2417" i="27" s="1"/>
  <c r="B2416" i="27"/>
  <c r="C2416" i="27" s="1"/>
  <c r="B2415" i="27"/>
  <c r="C2415" i="27" s="1"/>
  <c r="B2414" i="27"/>
  <c r="C2414" i="27" s="1"/>
  <c r="B2413" i="27"/>
  <c r="C2413" i="27" s="1"/>
  <c r="B2412" i="27"/>
  <c r="C2412" i="27" s="1"/>
  <c r="B2411" i="27"/>
  <c r="C2411" i="27" s="1"/>
  <c r="B2410" i="27"/>
  <c r="C2410" i="27" s="1"/>
  <c r="B2409" i="27"/>
  <c r="C2409" i="27" s="1"/>
  <c r="B2408" i="27"/>
  <c r="C2408" i="27" s="1"/>
  <c r="B2407" i="27"/>
  <c r="C2407" i="27" s="1"/>
  <c r="B2406" i="27"/>
  <c r="C2406" i="27" s="1"/>
  <c r="B2405" i="27"/>
  <c r="C2405" i="27" s="1"/>
  <c r="B2404" i="27"/>
  <c r="C2404" i="27" s="1"/>
  <c r="B2403" i="27"/>
  <c r="C2403" i="27" s="1"/>
  <c r="B2402" i="27"/>
  <c r="C2402" i="27" s="1"/>
  <c r="B2401" i="27"/>
  <c r="C2401" i="27" s="1"/>
  <c r="B2400" i="27"/>
  <c r="C2400" i="27" s="1"/>
  <c r="B2399" i="27"/>
  <c r="C2399" i="27" s="1"/>
  <c r="B2398" i="27"/>
  <c r="C2398" i="27" s="1"/>
  <c r="B2397" i="27"/>
  <c r="C2397" i="27" s="1"/>
  <c r="B2396" i="27"/>
  <c r="C2396" i="27" s="1"/>
  <c r="B2395" i="27"/>
  <c r="C2395" i="27" s="1"/>
  <c r="B2394" i="27"/>
  <c r="C2394" i="27" s="1"/>
  <c r="B2393" i="27"/>
  <c r="C2393" i="27" s="1"/>
  <c r="B2392" i="27"/>
  <c r="C2392" i="27" s="1"/>
  <c r="B2391" i="27"/>
  <c r="C2391" i="27" s="1"/>
  <c r="B2390" i="27"/>
  <c r="C2390" i="27" s="1"/>
  <c r="B2389" i="27"/>
  <c r="C2389" i="27" s="1"/>
  <c r="B2388" i="27"/>
  <c r="C2388" i="27" s="1"/>
  <c r="B2387" i="27"/>
  <c r="C2387" i="27" s="1"/>
  <c r="B2386" i="27"/>
  <c r="C2386" i="27" s="1"/>
  <c r="B2385" i="27"/>
  <c r="C2385" i="27" s="1"/>
  <c r="B2384" i="27"/>
  <c r="C2384" i="27" s="1"/>
  <c r="B2383" i="27"/>
  <c r="C2383" i="27" s="1"/>
  <c r="B2382" i="27"/>
  <c r="C2382" i="27" s="1"/>
  <c r="B2381" i="27"/>
  <c r="C2381" i="27" s="1"/>
  <c r="B2380" i="27"/>
  <c r="C2380" i="27" s="1"/>
  <c r="B2379" i="27"/>
  <c r="C2379" i="27" s="1"/>
  <c r="B2378" i="27"/>
  <c r="C2378" i="27" s="1"/>
  <c r="B2377" i="27"/>
  <c r="C2377" i="27" s="1"/>
  <c r="B2376" i="27"/>
  <c r="C2376" i="27" s="1"/>
  <c r="B2375" i="27"/>
  <c r="C2375" i="27" s="1"/>
  <c r="B2374" i="27"/>
  <c r="C2374" i="27" s="1"/>
  <c r="B2373" i="27"/>
  <c r="C2373" i="27" s="1"/>
  <c r="B2372" i="27"/>
  <c r="C2372" i="27" s="1"/>
  <c r="B2371" i="27"/>
  <c r="C2371" i="27" s="1"/>
  <c r="B2370" i="27"/>
  <c r="C2370" i="27" s="1"/>
  <c r="B2369" i="27"/>
  <c r="C2369" i="27" s="1"/>
  <c r="B2368" i="27"/>
  <c r="C2368" i="27" s="1"/>
  <c r="B2367" i="27"/>
  <c r="C2367" i="27" s="1"/>
  <c r="B2366" i="27"/>
  <c r="C2366" i="27" s="1"/>
  <c r="B2365" i="27"/>
  <c r="C2365" i="27" s="1"/>
  <c r="B2364" i="27"/>
  <c r="C2364" i="27" s="1"/>
  <c r="B2363" i="27"/>
  <c r="C2363" i="27" s="1"/>
  <c r="B2362" i="27"/>
  <c r="C2362" i="27" s="1"/>
  <c r="B2361" i="27"/>
  <c r="C2361" i="27" s="1"/>
  <c r="B2360" i="27"/>
  <c r="C2360" i="27" s="1"/>
  <c r="B2359" i="27"/>
  <c r="C2359" i="27" s="1"/>
  <c r="B2358" i="27"/>
  <c r="C2358" i="27" s="1"/>
  <c r="B2357" i="27"/>
  <c r="C2357" i="27" s="1"/>
  <c r="B2356" i="27"/>
  <c r="C2356" i="27" s="1"/>
  <c r="B2355" i="27"/>
  <c r="C2355" i="27" s="1"/>
  <c r="B2354" i="27"/>
  <c r="C2354" i="27" s="1"/>
  <c r="B2353" i="27"/>
  <c r="C2353" i="27" s="1"/>
  <c r="B2352" i="27"/>
  <c r="C2352" i="27" s="1"/>
  <c r="B2351" i="27"/>
  <c r="C2351" i="27" s="1"/>
  <c r="B2350" i="27"/>
  <c r="C2350" i="27" s="1"/>
  <c r="B2349" i="27"/>
  <c r="C2349" i="27" s="1"/>
  <c r="B2348" i="27"/>
  <c r="C2348" i="27" s="1"/>
  <c r="B2347" i="27"/>
  <c r="C2347" i="27" s="1"/>
  <c r="B2346" i="27"/>
  <c r="C2346" i="27" s="1"/>
  <c r="B2345" i="27"/>
  <c r="C2345" i="27" s="1"/>
  <c r="B2344" i="27"/>
  <c r="C2344" i="27" s="1"/>
  <c r="B2343" i="27"/>
  <c r="C2343" i="27" s="1"/>
  <c r="B2342" i="27"/>
  <c r="C2342" i="27" s="1"/>
  <c r="B2341" i="27"/>
  <c r="C2341" i="27" s="1"/>
  <c r="B2340" i="27"/>
  <c r="C2340" i="27" s="1"/>
  <c r="B2339" i="27"/>
  <c r="C2339" i="27" s="1"/>
  <c r="B2338" i="27"/>
  <c r="C2338" i="27" s="1"/>
  <c r="B2337" i="27"/>
  <c r="C2337" i="27" s="1"/>
  <c r="B2336" i="27"/>
  <c r="C2336" i="27" s="1"/>
  <c r="B2335" i="27"/>
  <c r="C2335" i="27" s="1"/>
  <c r="B2334" i="27"/>
  <c r="C2334" i="27" s="1"/>
  <c r="B2333" i="27"/>
  <c r="C2333" i="27" s="1"/>
  <c r="B2332" i="27"/>
  <c r="C2332" i="27" s="1"/>
  <c r="B2331" i="27"/>
  <c r="C2331" i="27" s="1"/>
  <c r="B2330" i="27"/>
  <c r="C2330" i="27" s="1"/>
  <c r="B2329" i="27"/>
  <c r="C2329" i="27" s="1"/>
  <c r="B2328" i="27"/>
  <c r="C2328" i="27" s="1"/>
  <c r="B2327" i="27"/>
  <c r="C2327" i="27" s="1"/>
  <c r="B2326" i="27"/>
  <c r="C2326" i="27" s="1"/>
  <c r="B2325" i="27"/>
  <c r="C2325" i="27" s="1"/>
  <c r="B2324" i="27"/>
  <c r="C2324" i="27" s="1"/>
  <c r="B2323" i="27"/>
  <c r="C2323" i="27" s="1"/>
  <c r="B2322" i="27"/>
  <c r="C2322" i="27" s="1"/>
  <c r="B2321" i="27"/>
  <c r="C2321" i="27" s="1"/>
  <c r="B2320" i="27"/>
  <c r="C2320" i="27" s="1"/>
  <c r="B2319" i="27"/>
  <c r="C2319" i="27" s="1"/>
  <c r="B2318" i="27"/>
  <c r="C2318" i="27" s="1"/>
  <c r="B2317" i="27"/>
  <c r="C2317" i="27" s="1"/>
  <c r="B2316" i="27"/>
  <c r="C2316" i="27" s="1"/>
  <c r="B2315" i="27"/>
  <c r="C2315" i="27" s="1"/>
  <c r="B2314" i="27"/>
  <c r="C2314" i="27" s="1"/>
  <c r="B2313" i="27"/>
  <c r="C2313" i="27" s="1"/>
  <c r="B2312" i="27"/>
  <c r="C2312" i="27" s="1"/>
  <c r="B2311" i="27"/>
  <c r="C2311" i="27" s="1"/>
  <c r="B2310" i="27"/>
  <c r="C2310" i="27" s="1"/>
  <c r="H2265" i="41"/>
  <c r="H2169" i="41"/>
  <c r="H1836" i="41"/>
  <c r="H1788" i="41"/>
  <c r="H1756" i="41"/>
  <c r="H1724" i="41"/>
  <c r="H1708" i="41"/>
  <c r="H1676" i="41"/>
  <c r="H1644" i="41"/>
  <c r="H379" i="41"/>
  <c r="H285" i="41"/>
  <c r="H32" i="41"/>
  <c r="H16" i="41"/>
  <c r="B2309" i="27"/>
  <c r="C2309" i="27" s="1"/>
  <c r="B2308" i="27"/>
  <c r="C2308" i="27" s="1"/>
  <c r="B2307" i="27"/>
  <c r="C2307" i="27" s="1"/>
  <c r="B2306" i="27"/>
  <c r="C2306" i="27" s="1"/>
  <c r="B2305" i="27"/>
  <c r="C2305" i="27" s="1"/>
  <c r="B2304" i="27"/>
  <c r="C2304" i="27" s="1"/>
  <c r="B2303" i="27"/>
  <c r="C2303" i="27" s="1"/>
  <c r="B2302" i="27"/>
  <c r="C2302" i="27" s="1"/>
  <c r="B2301" i="27"/>
  <c r="C2301" i="27" s="1"/>
  <c r="B2300" i="27"/>
  <c r="C2300" i="27" s="1"/>
  <c r="B2299" i="27"/>
  <c r="C2299" i="27" s="1"/>
  <c r="B2298" i="27"/>
  <c r="C2298" i="27" s="1"/>
  <c r="B2297" i="27"/>
  <c r="C2297" i="27" s="1"/>
  <c r="B2296" i="27"/>
  <c r="C2296" i="27" s="1"/>
  <c r="B2295" i="27"/>
  <c r="C2295" i="27" s="1"/>
  <c r="B2294" i="27"/>
  <c r="C2294" i="27" s="1"/>
  <c r="B2293" i="27"/>
  <c r="C2293" i="27" s="1"/>
  <c r="B2292" i="27"/>
  <c r="C2292" i="27" s="1"/>
  <c r="B2291" i="27"/>
  <c r="C2291" i="27" s="1"/>
  <c r="B2290" i="27"/>
  <c r="C2290" i="27" s="1"/>
  <c r="B2289" i="27"/>
  <c r="C2289" i="27" s="1"/>
  <c r="B2288" i="27"/>
  <c r="C2288" i="27" s="1"/>
  <c r="B2287" i="27"/>
  <c r="C2287" i="27" s="1"/>
  <c r="B2286" i="27"/>
  <c r="C2286" i="27" s="1"/>
  <c r="B2285" i="27"/>
  <c r="C2285" i="27" s="1"/>
  <c r="B2284" i="27"/>
  <c r="C2284" i="27" s="1"/>
  <c r="B2283" i="27"/>
  <c r="C2283" i="27" s="1"/>
  <c r="B2282" i="27"/>
  <c r="C2282" i="27" s="1"/>
  <c r="B2281" i="27"/>
  <c r="C2281" i="27" s="1"/>
  <c r="B2280" i="27"/>
  <c r="C2280" i="27" s="1"/>
  <c r="B2279" i="27"/>
  <c r="C2279" i="27" s="1"/>
  <c r="B2278" i="27"/>
  <c r="C2278" i="27" s="1"/>
  <c r="B2277" i="27"/>
  <c r="C2277" i="27" s="1"/>
  <c r="B2276" i="27"/>
  <c r="C2276" i="27" s="1"/>
  <c r="B2275" i="27"/>
  <c r="C2275" i="27" s="1"/>
  <c r="B2274" i="27"/>
  <c r="C2274" i="27" s="1"/>
  <c r="B2273" i="27"/>
  <c r="C2273" i="27" s="1"/>
  <c r="B2272" i="27"/>
  <c r="C2272" i="27" s="1"/>
  <c r="B2271" i="27"/>
  <c r="C2271" i="27" s="1"/>
  <c r="B2270" i="27"/>
  <c r="C2270" i="27" s="1"/>
  <c r="B2269" i="27"/>
  <c r="C2269" i="27" s="1"/>
  <c r="B2268" i="27"/>
  <c r="C2268" i="27" s="1"/>
  <c r="B2267" i="27"/>
  <c r="C2267" i="27" s="1"/>
  <c r="B2266" i="27"/>
  <c r="C2266" i="27" s="1"/>
  <c r="B2265" i="27"/>
  <c r="C2265" i="27" s="1"/>
  <c r="B2264" i="27"/>
  <c r="C2264" i="27" s="1"/>
  <c r="B2263" i="27"/>
  <c r="C2263" i="27" s="1"/>
  <c r="B2262" i="27"/>
  <c r="C2262" i="27" s="1"/>
  <c r="B2261" i="27"/>
  <c r="C2261" i="27" s="1"/>
  <c r="B2260" i="27"/>
  <c r="C2260" i="27" s="1"/>
  <c r="B2259" i="27"/>
  <c r="C2259" i="27" s="1"/>
  <c r="B2258" i="27"/>
  <c r="C2258" i="27" s="1"/>
  <c r="B2257" i="27"/>
  <c r="C2257" i="27" s="1"/>
  <c r="B2256" i="27"/>
  <c r="C2256" i="27" s="1"/>
  <c r="B2255" i="27"/>
  <c r="C2255" i="27" s="1"/>
  <c r="B2254" i="27"/>
  <c r="C2254" i="27" s="1"/>
  <c r="B2253" i="27"/>
  <c r="C2253" i="27" s="1"/>
  <c r="B2252" i="27"/>
  <c r="C2252" i="27" s="1"/>
  <c r="B2251" i="27"/>
  <c r="C2251" i="27" s="1"/>
  <c r="B2250" i="27"/>
  <c r="C2250" i="27" s="1"/>
  <c r="B2249" i="27"/>
  <c r="C2249" i="27" s="1"/>
  <c r="B2248" i="27"/>
  <c r="C2248" i="27" s="1"/>
  <c r="B2247" i="27"/>
  <c r="C2247" i="27" s="1"/>
  <c r="B2246" i="27"/>
  <c r="C2246" i="27" s="1"/>
  <c r="B2245" i="27"/>
  <c r="C2245" i="27" s="1"/>
  <c r="B2244" i="27"/>
  <c r="C2244" i="27" s="1"/>
  <c r="B2243" i="27"/>
  <c r="C2243" i="27" s="1"/>
  <c r="B2242" i="27"/>
  <c r="C2242" i="27" s="1"/>
  <c r="B2241" i="27"/>
  <c r="C2241" i="27" s="1"/>
  <c r="B2240" i="27"/>
  <c r="C2240" i="27" s="1"/>
  <c r="B2239" i="27"/>
  <c r="C2239" i="27" s="1"/>
  <c r="B2238" i="27"/>
  <c r="C2238" i="27" s="1"/>
  <c r="B2237" i="27"/>
  <c r="C2237" i="27" s="1"/>
  <c r="B2236" i="27"/>
  <c r="C2236" i="27" s="1"/>
  <c r="B2235" i="27"/>
  <c r="C2235" i="27" s="1"/>
  <c r="B2234" i="27"/>
  <c r="C2234" i="27" s="1"/>
  <c r="B2233" i="27"/>
  <c r="C2233" i="27" s="1"/>
  <c r="B2232" i="27"/>
  <c r="C2232" i="27" s="1"/>
  <c r="B2231" i="27"/>
  <c r="C2231" i="27" s="1"/>
  <c r="B2230" i="27"/>
  <c r="C2230" i="27" s="1"/>
  <c r="B2229" i="27"/>
  <c r="C2229" i="27" s="1"/>
  <c r="B2228" i="27"/>
  <c r="C2228" i="27" s="1"/>
  <c r="B2227" i="27"/>
  <c r="C2227" i="27" s="1"/>
  <c r="B2226" i="27"/>
  <c r="C2226" i="27" s="1"/>
  <c r="B2225" i="27"/>
  <c r="C2225" i="27" s="1"/>
  <c r="B2224" i="27"/>
  <c r="C2224" i="27" s="1"/>
  <c r="B2223" i="27"/>
  <c r="C2223" i="27" s="1"/>
  <c r="B2222" i="27"/>
  <c r="C2222" i="27" s="1"/>
  <c r="B2221" i="27"/>
  <c r="C2221" i="27" s="1"/>
  <c r="B2220" i="27"/>
  <c r="C2220" i="27" s="1"/>
  <c r="B2219" i="27"/>
  <c r="C2219" i="27" s="1"/>
  <c r="B2218" i="27"/>
  <c r="C2218" i="27" s="1"/>
  <c r="B2217" i="27"/>
  <c r="C2217" i="27" s="1"/>
  <c r="B2216" i="27"/>
  <c r="C2216" i="27" s="1"/>
  <c r="B2215" i="27"/>
  <c r="C2215" i="27" s="1"/>
  <c r="B2214" i="27"/>
  <c r="C2214" i="27" s="1"/>
  <c r="B2213" i="27"/>
  <c r="C2213" i="27" s="1"/>
  <c r="B2212" i="27"/>
  <c r="C2212" i="27" s="1"/>
  <c r="B2211" i="27"/>
  <c r="C2211" i="27" s="1"/>
  <c r="B2210" i="27"/>
  <c r="C2210" i="27" s="1"/>
  <c r="B2209" i="27"/>
  <c r="C2209" i="27" s="1"/>
  <c r="B2208" i="27"/>
  <c r="C2208" i="27" s="1"/>
  <c r="B2207" i="27"/>
  <c r="C2207" i="27" s="1"/>
  <c r="B2206" i="27"/>
  <c r="C2206" i="27" s="1"/>
  <c r="B2205" i="27"/>
  <c r="C2205" i="27" s="1"/>
  <c r="B2204" i="27"/>
  <c r="C2204" i="27" s="1"/>
  <c r="B2203" i="27"/>
  <c r="C2203" i="27" s="1"/>
  <c r="B2202" i="27"/>
  <c r="C2202" i="27" s="1"/>
  <c r="B2201" i="27"/>
  <c r="C2201" i="27" s="1"/>
  <c r="B2200" i="27"/>
  <c r="C2200" i="27" s="1"/>
  <c r="B2199" i="27"/>
  <c r="C2199" i="27" s="1"/>
  <c r="B2198" i="27"/>
  <c r="C2198" i="27" s="1"/>
  <c r="B2197" i="27"/>
  <c r="C2197" i="27" s="1"/>
  <c r="B2196" i="27"/>
  <c r="C2196" i="27" s="1"/>
  <c r="B2195" i="27"/>
  <c r="C2195" i="27" s="1"/>
  <c r="B2194" i="27"/>
  <c r="C2194" i="27" s="1"/>
  <c r="B2193" i="27"/>
  <c r="C2193" i="27" s="1"/>
  <c r="B2192" i="27"/>
  <c r="C2192" i="27" s="1"/>
  <c r="B2191" i="27"/>
  <c r="C2191" i="27" s="1"/>
  <c r="B2190" i="27"/>
  <c r="C2190" i="27" s="1"/>
  <c r="B2189" i="27"/>
  <c r="C2189" i="27" s="1"/>
  <c r="B2188" i="27"/>
  <c r="C2188" i="27" s="1"/>
  <c r="B2187" i="27"/>
  <c r="C2187" i="27" s="1"/>
  <c r="B2186" i="27"/>
  <c r="C2186" i="27" s="1"/>
  <c r="B2185" i="27"/>
  <c r="C2185" i="27" s="1"/>
  <c r="B2184" i="27"/>
  <c r="C2184" i="27" s="1"/>
  <c r="B2183" i="27"/>
  <c r="C2183" i="27" s="1"/>
  <c r="B2182" i="27"/>
  <c r="C2182" i="27" s="1"/>
  <c r="B2181" i="27"/>
  <c r="C2181" i="27" s="1"/>
  <c r="B2180" i="27"/>
  <c r="C2180" i="27" s="1"/>
  <c r="B2179" i="27"/>
  <c r="C2179" i="27" s="1"/>
  <c r="B2178" i="27"/>
  <c r="C2178" i="27" s="1"/>
  <c r="B2177" i="27"/>
  <c r="C2177" i="27" s="1"/>
  <c r="B2176" i="27"/>
  <c r="C2176" i="27" s="1"/>
  <c r="B2175" i="27"/>
  <c r="C2175" i="27" s="1"/>
  <c r="B2174" i="27"/>
  <c r="C2174" i="27" s="1"/>
  <c r="B2173" i="27"/>
  <c r="C2173" i="27" s="1"/>
  <c r="B2172" i="27"/>
  <c r="C2172" i="27" s="1"/>
  <c r="B2171" i="27"/>
  <c r="C2171" i="27" s="1"/>
  <c r="B2170" i="27"/>
  <c r="C2170" i="27" s="1"/>
  <c r="B2169" i="27"/>
  <c r="C2169" i="27" s="1"/>
  <c r="B2168" i="27"/>
  <c r="C2168" i="27" s="1"/>
  <c r="B2167" i="27"/>
  <c r="C2167" i="27" s="1"/>
  <c r="B2166" i="27"/>
  <c r="C2166" i="27" s="1"/>
  <c r="B2165" i="27"/>
  <c r="C2165" i="27" s="1"/>
  <c r="B2164" i="27"/>
  <c r="C2164" i="27" s="1"/>
  <c r="B2163" i="27"/>
  <c r="C2163" i="27" s="1"/>
  <c r="B2162" i="27"/>
  <c r="C2162" i="27" s="1"/>
  <c r="B2161" i="27"/>
  <c r="C2161" i="27" s="1"/>
  <c r="B2160" i="27"/>
  <c r="C2160" i="27" s="1"/>
  <c r="B2159" i="27"/>
  <c r="C2159" i="27" s="1"/>
  <c r="B2158" i="27"/>
  <c r="C2158" i="27" s="1"/>
  <c r="B2157" i="27"/>
  <c r="C2157" i="27" s="1"/>
  <c r="B2156" i="27"/>
  <c r="C2156" i="27" s="1"/>
  <c r="B2155" i="27"/>
  <c r="C2155" i="27" s="1"/>
  <c r="B2154" i="27"/>
  <c r="C2154" i="27" s="1"/>
  <c r="B2153" i="27"/>
  <c r="C2153" i="27" s="1"/>
  <c r="B2152" i="27"/>
  <c r="C2152" i="27" s="1"/>
  <c r="B2151" i="27"/>
  <c r="C2151" i="27" s="1"/>
  <c r="B2150" i="27"/>
  <c r="C2150" i="27" s="1"/>
  <c r="B2149" i="27"/>
  <c r="C2149" i="27" s="1"/>
  <c r="B2148" i="27"/>
  <c r="C2148" i="27" s="1"/>
  <c r="B2147" i="27"/>
  <c r="C2147" i="27" s="1"/>
  <c r="B2146" i="27"/>
  <c r="C2146" i="27" s="1"/>
  <c r="B2145" i="27"/>
  <c r="C2145" i="27" s="1"/>
  <c r="B2144" i="27"/>
  <c r="C2144" i="27" s="1"/>
  <c r="B2143" i="27"/>
  <c r="C2143" i="27" s="1"/>
  <c r="B2142" i="27"/>
  <c r="C2142" i="27" s="1"/>
  <c r="B2141" i="27"/>
  <c r="C2141" i="27" s="1"/>
  <c r="B2140" i="27"/>
  <c r="C2140" i="27" s="1"/>
  <c r="B2139" i="27"/>
  <c r="C2139" i="27" s="1"/>
  <c r="B2138" i="27"/>
  <c r="C2138" i="27" s="1"/>
  <c r="B2137" i="27"/>
  <c r="C2137" i="27" s="1"/>
  <c r="B2136" i="27"/>
  <c r="C2136" i="27" s="1"/>
  <c r="B2135" i="27"/>
  <c r="C2135" i="27" s="1"/>
  <c r="B2134" i="27"/>
  <c r="C2134" i="27" s="1"/>
  <c r="B2133" i="27"/>
  <c r="C2133" i="27" s="1"/>
  <c r="B2132" i="27"/>
  <c r="C2132" i="27" s="1"/>
  <c r="B2131" i="27"/>
  <c r="C2131" i="27" s="1"/>
  <c r="B2130" i="27"/>
  <c r="C2130" i="27" s="1"/>
  <c r="B2129" i="27"/>
  <c r="C2129" i="27" s="1"/>
  <c r="B2128" i="27"/>
  <c r="C2128" i="27" s="1"/>
  <c r="B2127" i="27"/>
  <c r="C2127" i="27" s="1"/>
  <c r="B2126" i="27"/>
  <c r="C2126" i="27" s="1"/>
  <c r="B2125" i="27"/>
  <c r="C2125" i="27" s="1"/>
  <c r="B2124" i="27"/>
  <c r="C2124" i="27" s="1"/>
  <c r="B2123" i="27"/>
  <c r="C2123" i="27" s="1"/>
  <c r="B2122" i="27"/>
  <c r="C2122" i="27" s="1"/>
  <c r="B2121" i="27"/>
  <c r="C2121" i="27" s="1"/>
  <c r="B2120" i="27"/>
  <c r="C2120" i="27" s="1"/>
  <c r="B2119" i="27"/>
  <c r="C2119" i="27" s="1"/>
  <c r="B2118" i="27"/>
  <c r="C2118" i="27" s="1"/>
  <c r="B2117" i="27"/>
  <c r="C2117" i="27" s="1"/>
  <c r="B2116" i="27"/>
  <c r="C2116" i="27" s="1"/>
  <c r="B2115" i="27"/>
  <c r="C2115" i="27" s="1"/>
  <c r="B2114" i="27"/>
  <c r="C2114" i="27" s="1"/>
  <c r="B2113" i="27"/>
  <c r="C2113" i="27" s="1"/>
  <c r="B2112" i="27"/>
  <c r="C2112" i="27" s="1"/>
  <c r="B2111" i="27"/>
  <c r="C2111" i="27" s="1"/>
  <c r="B2110" i="27"/>
  <c r="C2110" i="27" s="1"/>
  <c r="B2109" i="27"/>
  <c r="C2109" i="27" s="1"/>
  <c r="B2108" i="27"/>
  <c r="C2108" i="27" s="1"/>
  <c r="B2107" i="27"/>
  <c r="C2107" i="27" s="1"/>
  <c r="B2106" i="27"/>
  <c r="C2106" i="27" s="1"/>
  <c r="B2105" i="27"/>
  <c r="C2105" i="27" s="1"/>
  <c r="B2104" i="27"/>
  <c r="C2104" i="27" s="1"/>
  <c r="B2103" i="27"/>
  <c r="C2103" i="27" s="1"/>
  <c r="B2102" i="27"/>
  <c r="C2102" i="27" s="1"/>
  <c r="B2101" i="27"/>
  <c r="C2101" i="27" s="1"/>
  <c r="B2100" i="27"/>
  <c r="C2100" i="27" s="1"/>
  <c r="B2099" i="27"/>
  <c r="C2099" i="27" s="1"/>
  <c r="B2098" i="27"/>
  <c r="C2098" i="27" s="1"/>
  <c r="B2097" i="27"/>
  <c r="C2097" i="27" s="1"/>
  <c r="B2096" i="27"/>
  <c r="C2096" i="27" s="1"/>
  <c r="B2095" i="27"/>
  <c r="C2095" i="27" s="1"/>
  <c r="B2094" i="27"/>
  <c r="C2094" i="27" s="1"/>
  <c r="B2093" i="27"/>
  <c r="C2093" i="27" s="1"/>
  <c r="B2092" i="27"/>
  <c r="C2092" i="27" s="1"/>
  <c r="B2091" i="27"/>
  <c r="C2091" i="27" s="1"/>
  <c r="B2090" i="27"/>
  <c r="C2090" i="27" s="1"/>
  <c r="B2089" i="27"/>
  <c r="C2089" i="27" s="1"/>
  <c r="B2088" i="27"/>
  <c r="C2088" i="27" s="1"/>
  <c r="B2087" i="27"/>
  <c r="C2087" i="27" s="1"/>
  <c r="B2086" i="27"/>
  <c r="C2086" i="27" s="1"/>
  <c r="B2085" i="27"/>
  <c r="C2085" i="27" s="1"/>
  <c r="B2084" i="27"/>
  <c r="C2084" i="27" s="1"/>
  <c r="B2083" i="27"/>
  <c r="C2083" i="27" s="1"/>
  <c r="B2082" i="27"/>
  <c r="C2082" i="27" s="1"/>
  <c r="B2081" i="27"/>
  <c r="C2081" i="27" s="1"/>
  <c r="B2080" i="27"/>
  <c r="C2080" i="27" s="1"/>
  <c r="B2079" i="27"/>
  <c r="C2079" i="27" s="1"/>
  <c r="B2078" i="27"/>
  <c r="C2078" i="27" s="1"/>
  <c r="B2077" i="27"/>
  <c r="C2077" i="27" s="1"/>
  <c r="B2076" i="27"/>
  <c r="C2076" i="27" s="1"/>
  <c r="B2075" i="27"/>
  <c r="C2075" i="27" s="1"/>
  <c r="B2074" i="27"/>
  <c r="C2074" i="27" s="1"/>
  <c r="B2073" i="27"/>
  <c r="C2073" i="27" s="1"/>
  <c r="B2072" i="27"/>
  <c r="C2072" i="27" s="1"/>
  <c r="B2071" i="27"/>
  <c r="C2071" i="27" s="1"/>
  <c r="B2070" i="27"/>
  <c r="C2070" i="27" s="1"/>
  <c r="B2069" i="27"/>
  <c r="C2069" i="27" s="1"/>
  <c r="B2068" i="27"/>
  <c r="C2068" i="27" s="1"/>
  <c r="B2067" i="27"/>
  <c r="C2067" i="27" s="1"/>
  <c r="B2066" i="27"/>
  <c r="C2066" i="27" s="1"/>
  <c r="B2065" i="27"/>
  <c r="C2065" i="27" s="1"/>
  <c r="B2064" i="27"/>
  <c r="C2064" i="27" s="1"/>
  <c r="B2063" i="27"/>
  <c r="C2063" i="27" s="1"/>
  <c r="B2062" i="27"/>
  <c r="C2062" i="27" s="1"/>
  <c r="B2061" i="27"/>
  <c r="C2061" i="27" s="1"/>
  <c r="B2060" i="27"/>
  <c r="C2060" i="27" s="1"/>
  <c r="B2059" i="27"/>
  <c r="C2059" i="27" s="1"/>
  <c r="B2058" i="27"/>
  <c r="C2058" i="27" s="1"/>
  <c r="B2057" i="27"/>
  <c r="C2057" i="27" s="1"/>
  <c r="B2056" i="27"/>
  <c r="C2056" i="27" s="1"/>
  <c r="B2055" i="27"/>
  <c r="C2055" i="27" s="1"/>
  <c r="B2054" i="27"/>
  <c r="C2054" i="27" s="1"/>
  <c r="B2053" i="27"/>
  <c r="C2053" i="27" s="1"/>
  <c r="B2052" i="27"/>
  <c r="C2052" i="27" s="1"/>
  <c r="B2051" i="27"/>
  <c r="C2051" i="27" s="1"/>
  <c r="B2050" i="27"/>
  <c r="C2050" i="27" s="1"/>
  <c r="B2049" i="27"/>
  <c r="C2049" i="27" s="1"/>
  <c r="B2048" i="27"/>
  <c r="C2048" i="27" s="1"/>
  <c r="B2047" i="27"/>
  <c r="C2047" i="27" s="1"/>
  <c r="B2046" i="27"/>
  <c r="C2046" i="27" s="1"/>
  <c r="B2045" i="27"/>
  <c r="C2045" i="27" s="1"/>
  <c r="B2044" i="27"/>
  <c r="C2044" i="27" s="1"/>
  <c r="B2043" i="27"/>
  <c r="C2043" i="27" s="1"/>
  <c r="B2042" i="27"/>
  <c r="C2042" i="27" s="1"/>
  <c r="B2041" i="27"/>
  <c r="C2041" i="27" s="1"/>
  <c r="B2040" i="27"/>
  <c r="C2040" i="27" s="1"/>
  <c r="B2039" i="27"/>
  <c r="C2039" i="27" s="1"/>
  <c r="B2038" i="27"/>
  <c r="C2038" i="27" s="1"/>
  <c r="B2037" i="27"/>
  <c r="C2037" i="27" s="1"/>
  <c r="B2036" i="27"/>
  <c r="C2036" i="27" s="1"/>
  <c r="B2035" i="27"/>
  <c r="C2035" i="27" s="1"/>
  <c r="B2034" i="27"/>
  <c r="C2034" i="27" s="1"/>
  <c r="B2033" i="27"/>
  <c r="C2033" i="27" s="1"/>
  <c r="B2032" i="27"/>
  <c r="C2032" i="27" s="1"/>
  <c r="B2031" i="27"/>
  <c r="C2031" i="27" s="1"/>
  <c r="B2030" i="27"/>
  <c r="C2030" i="27" s="1"/>
  <c r="B2029" i="27"/>
  <c r="C2029" i="27" s="1"/>
  <c r="B2028" i="27"/>
  <c r="C2028" i="27" s="1"/>
  <c r="B2027" i="27"/>
  <c r="C2027" i="27" s="1"/>
  <c r="B2026" i="27"/>
  <c r="C2026" i="27" s="1"/>
  <c r="B2025" i="27"/>
  <c r="C2025" i="27" s="1"/>
  <c r="B2024" i="27"/>
  <c r="C2024" i="27" s="1"/>
  <c r="B2023" i="27"/>
  <c r="C2023" i="27" s="1"/>
  <c r="B2022" i="27"/>
  <c r="C2022" i="27" s="1"/>
  <c r="B2021" i="27"/>
  <c r="C2021" i="27" s="1"/>
  <c r="B2020" i="27"/>
  <c r="C2020" i="27" s="1"/>
  <c r="B2019" i="27"/>
  <c r="C2019" i="27" s="1"/>
  <c r="B2018" i="27"/>
  <c r="C2018" i="27" s="1"/>
  <c r="B2017" i="27"/>
  <c r="C2017" i="27" s="1"/>
  <c r="B2016" i="27"/>
  <c r="C2016" i="27" s="1"/>
  <c r="B2015" i="27"/>
  <c r="C2015" i="27" s="1"/>
  <c r="B2014" i="27"/>
  <c r="C2014" i="27" s="1"/>
  <c r="B2013" i="27"/>
  <c r="C2013" i="27" s="1"/>
  <c r="B2012" i="27"/>
  <c r="C2012" i="27" s="1"/>
  <c r="B2011" i="27"/>
  <c r="C2011" i="27" s="1"/>
  <c r="B2010" i="27"/>
  <c r="C2010" i="27" s="1"/>
  <c r="B2009" i="27"/>
  <c r="C2009" i="27" s="1"/>
  <c r="B2008" i="27"/>
  <c r="C2008" i="27" s="1"/>
  <c r="B2007" i="27"/>
  <c r="C2007" i="27" s="1"/>
  <c r="B2006" i="27"/>
  <c r="C2006" i="27" s="1"/>
  <c r="B2005" i="27"/>
  <c r="C2005" i="27" s="1"/>
  <c r="B2004" i="27"/>
  <c r="C2004" i="27" s="1"/>
  <c r="B2003" i="27"/>
  <c r="C2003" i="27" s="1"/>
  <c r="B2002" i="27"/>
  <c r="C2002" i="27" s="1"/>
  <c r="B2001" i="27"/>
  <c r="C2001" i="27" s="1"/>
  <c r="B2000" i="27"/>
  <c r="C2000" i="27" s="1"/>
  <c r="B1999" i="27"/>
  <c r="C1999" i="27" s="1"/>
  <c r="B1998" i="27"/>
  <c r="C1998" i="27" s="1"/>
  <c r="B1997" i="27"/>
  <c r="C1997" i="27" s="1"/>
  <c r="B1996" i="27"/>
  <c r="C1996" i="27" s="1"/>
  <c r="B1995" i="27"/>
  <c r="C1995" i="27" s="1"/>
  <c r="B1994" i="27"/>
  <c r="C1994" i="27" s="1"/>
  <c r="B1993" i="27"/>
  <c r="C1993" i="27" s="1"/>
  <c r="B1992" i="27"/>
  <c r="C1992" i="27" s="1"/>
  <c r="B1991" i="27"/>
  <c r="C1991" i="27" s="1"/>
  <c r="B1990" i="27"/>
  <c r="C1990" i="27" s="1"/>
  <c r="B1989" i="27"/>
  <c r="C1989" i="27" s="1"/>
  <c r="B1988" i="27"/>
  <c r="C1988" i="27" s="1"/>
  <c r="B1987" i="27"/>
  <c r="C1987" i="27" s="1"/>
  <c r="B1986" i="27"/>
  <c r="C1986" i="27" s="1"/>
  <c r="B1985" i="27"/>
  <c r="C1985" i="27" s="1"/>
  <c r="B1984" i="27"/>
  <c r="C1984" i="27" s="1"/>
  <c r="B1983" i="27"/>
  <c r="C1983" i="27" s="1"/>
  <c r="B1982" i="27"/>
  <c r="C1982" i="27" s="1"/>
  <c r="B1981" i="27"/>
  <c r="C1981" i="27" s="1"/>
  <c r="B1980" i="27"/>
  <c r="C1980" i="27" s="1"/>
  <c r="B1979" i="27"/>
  <c r="C1979" i="27" s="1"/>
  <c r="B1978" i="27"/>
  <c r="C1978" i="27" s="1"/>
  <c r="B1977" i="27"/>
  <c r="C1977" i="27" s="1"/>
  <c r="B1976" i="27"/>
  <c r="C1976" i="27" s="1"/>
  <c r="B1975" i="27"/>
  <c r="C1975" i="27" s="1"/>
  <c r="B1974" i="27"/>
  <c r="C1974" i="27" s="1"/>
  <c r="B1973" i="27"/>
  <c r="C1973" i="27" s="1"/>
  <c r="B1972" i="27"/>
  <c r="C1972" i="27" s="1"/>
  <c r="B1971" i="27"/>
  <c r="C1971" i="27" s="1"/>
  <c r="B1970" i="27"/>
  <c r="C1970" i="27" s="1"/>
  <c r="B1969" i="27"/>
  <c r="C1969" i="27" s="1"/>
  <c r="B1968" i="27"/>
  <c r="C1968" i="27" s="1"/>
  <c r="B1967" i="27"/>
  <c r="C1967" i="27" s="1"/>
  <c r="B1966" i="27"/>
  <c r="C1966" i="27" s="1"/>
  <c r="B1965" i="27"/>
  <c r="C1965" i="27" s="1"/>
  <c r="B1964" i="27"/>
  <c r="C1964" i="27" s="1"/>
  <c r="B1963" i="27"/>
  <c r="C1963" i="27" s="1"/>
  <c r="B1962" i="27"/>
  <c r="C1962" i="27" s="1"/>
  <c r="B1961" i="27"/>
  <c r="C1961" i="27" s="1"/>
  <c r="B1960" i="27"/>
  <c r="C1960" i="27" s="1"/>
  <c r="B1959" i="27"/>
  <c r="C1959" i="27" s="1"/>
  <c r="B1958" i="27"/>
  <c r="C1958" i="27" s="1"/>
  <c r="B1957" i="27"/>
  <c r="C1957" i="27" s="1"/>
  <c r="B1956" i="27"/>
  <c r="C1956" i="27" s="1"/>
  <c r="B1955" i="27"/>
  <c r="C1955" i="27" s="1"/>
  <c r="B1954" i="27"/>
  <c r="C1954" i="27" s="1"/>
  <c r="B1953" i="27"/>
  <c r="C1953" i="27" s="1"/>
  <c r="B1952" i="27"/>
  <c r="C1952" i="27" s="1"/>
  <c r="B1951" i="27"/>
  <c r="C1951" i="27" s="1"/>
  <c r="B1950" i="27"/>
  <c r="C1950" i="27" s="1"/>
  <c r="B1949" i="27"/>
  <c r="C1949" i="27" s="1"/>
  <c r="B1948" i="27"/>
  <c r="C1948" i="27" s="1"/>
  <c r="B1947" i="27"/>
  <c r="C1947" i="27" s="1"/>
  <c r="B1946" i="27"/>
  <c r="C1946" i="27" s="1"/>
  <c r="B1945" i="27"/>
  <c r="C1945" i="27" s="1"/>
  <c r="B1944" i="27"/>
  <c r="C1944" i="27" s="1"/>
  <c r="B1943" i="27"/>
  <c r="C1943" i="27" s="1"/>
  <c r="B1942" i="27"/>
  <c r="C1942" i="27" s="1"/>
  <c r="B1941" i="27"/>
  <c r="C1941" i="27" s="1"/>
  <c r="B1940" i="27"/>
  <c r="C1940" i="27" s="1"/>
  <c r="B1939" i="27"/>
  <c r="C1939" i="27" s="1"/>
  <c r="B1938" i="27"/>
  <c r="C1938" i="27" s="1"/>
  <c r="B1937" i="27"/>
  <c r="C1937" i="27" s="1"/>
  <c r="B1936" i="27"/>
  <c r="C1936" i="27" s="1"/>
  <c r="B1935" i="27"/>
  <c r="C1935" i="27" s="1"/>
  <c r="B1934" i="27"/>
  <c r="C1934" i="27" s="1"/>
  <c r="B1933" i="27"/>
  <c r="C1933" i="27" s="1"/>
  <c r="B1932" i="27"/>
  <c r="C1932" i="27" s="1"/>
  <c r="B1931" i="27"/>
  <c r="C1931" i="27" s="1"/>
  <c r="B1930" i="27"/>
  <c r="C1930" i="27" s="1"/>
  <c r="B1929" i="27"/>
  <c r="C1929" i="27" s="1"/>
  <c r="B1928" i="27"/>
  <c r="C1928" i="27" s="1"/>
  <c r="B1927" i="27"/>
  <c r="C1927" i="27" s="1"/>
  <c r="B1926" i="27"/>
  <c r="C1926" i="27" s="1"/>
  <c r="B1925" i="27"/>
  <c r="C1925" i="27" s="1"/>
  <c r="B1924" i="27"/>
  <c r="C1924" i="27" s="1"/>
  <c r="B1923" i="27"/>
  <c r="C1923" i="27" s="1"/>
  <c r="B1922" i="27"/>
  <c r="C1922" i="27" s="1"/>
  <c r="B1921" i="27"/>
  <c r="C1921" i="27" s="1"/>
  <c r="B1920" i="27"/>
  <c r="C1920" i="27" s="1"/>
  <c r="B1919" i="27"/>
  <c r="C1919" i="27" s="1"/>
  <c r="B1918" i="27"/>
  <c r="C1918" i="27" s="1"/>
  <c r="B1917" i="27"/>
  <c r="C1917" i="27" s="1"/>
  <c r="B1916" i="27"/>
  <c r="C1916" i="27" s="1"/>
  <c r="B1915" i="27"/>
  <c r="C1915" i="27" s="1"/>
  <c r="B1914" i="27"/>
  <c r="C1914" i="27" s="1"/>
  <c r="B1913" i="27"/>
  <c r="C1913" i="27" s="1"/>
  <c r="B1912" i="27"/>
  <c r="C1912" i="27" s="1"/>
  <c r="B1911" i="27"/>
  <c r="C1911" i="27" s="1"/>
  <c r="B1910" i="27"/>
  <c r="C1910" i="27" s="1"/>
  <c r="B1909" i="27"/>
  <c r="C1909" i="27" s="1"/>
  <c r="B1908" i="27"/>
  <c r="C1908" i="27" s="1"/>
  <c r="B1907" i="27"/>
  <c r="C1907" i="27" s="1"/>
  <c r="B1906" i="27"/>
  <c r="C1906" i="27" s="1"/>
  <c r="B1905" i="27"/>
  <c r="C1905" i="27" s="1"/>
  <c r="B1904" i="27"/>
  <c r="C1904" i="27" s="1"/>
  <c r="B1903" i="27"/>
  <c r="C1903" i="27" s="1"/>
  <c r="B1902" i="27"/>
  <c r="C1902" i="27" s="1"/>
  <c r="B1901" i="27"/>
  <c r="C1901" i="27" s="1"/>
  <c r="B1900" i="27"/>
  <c r="C1900" i="27" s="1"/>
  <c r="B1899" i="27"/>
  <c r="C1899" i="27" s="1"/>
  <c r="B1898" i="27"/>
  <c r="C1898" i="27" s="1"/>
  <c r="B1897" i="27"/>
  <c r="C1897" i="27" s="1"/>
  <c r="B1896" i="27"/>
  <c r="C1896" i="27" s="1"/>
  <c r="B1895" i="27"/>
  <c r="C1895" i="27" s="1"/>
  <c r="B1894" i="27"/>
  <c r="C1894" i="27" s="1"/>
  <c r="B1893" i="27"/>
  <c r="C1893" i="27" s="1"/>
  <c r="B1892" i="27"/>
  <c r="C1892" i="27" s="1"/>
  <c r="B1891" i="27"/>
  <c r="C1891" i="27" s="1"/>
  <c r="B1890" i="27"/>
  <c r="C1890" i="27" s="1"/>
  <c r="B1889" i="27"/>
  <c r="C1889" i="27" s="1"/>
  <c r="B1888" i="27"/>
  <c r="C1888" i="27" s="1"/>
  <c r="B1887" i="27"/>
  <c r="C1887" i="27" s="1"/>
  <c r="B1886" i="27"/>
  <c r="C1886" i="27" s="1"/>
  <c r="B1885" i="27"/>
  <c r="C1885" i="27" s="1"/>
  <c r="B1884" i="27"/>
  <c r="C1884" i="27" s="1"/>
  <c r="B1883" i="27"/>
  <c r="C1883" i="27" s="1"/>
  <c r="B1882" i="27"/>
  <c r="C1882" i="27" s="1"/>
  <c r="B1881" i="27"/>
  <c r="C1881" i="27" s="1"/>
  <c r="B1880" i="27"/>
  <c r="C1880" i="27" s="1"/>
  <c r="B1879" i="27"/>
  <c r="C1879" i="27" s="1"/>
  <c r="B1878" i="27"/>
  <c r="C1878" i="27" s="1"/>
  <c r="B1877" i="27"/>
  <c r="C1877" i="27" s="1"/>
  <c r="B1876" i="27"/>
  <c r="C1876" i="27" s="1"/>
  <c r="B1875" i="27"/>
  <c r="C1875" i="27" s="1"/>
  <c r="B1874" i="27"/>
  <c r="C1874" i="27" s="1"/>
  <c r="B1873" i="27"/>
  <c r="C1873" i="27" s="1"/>
  <c r="B1872" i="27"/>
  <c r="C1872" i="27" s="1"/>
  <c r="B1871" i="27"/>
  <c r="C1871" i="27" s="1"/>
  <c r="B1870" i="27"/>
  <c r="C1870" i="27" s="1"/>
  <c r="B1869" i="27"/>
  <c r="C1869" i="27" s="1"/>
  <c r="B1868" i="27"/>
  <c r="C1868" i="27" s="1"/>
  <c r="B1867" i="27"/>
  <c r="C1867" i="27" s="1"/>
  <c r="B1866" i="27"/>
  <c r="C1866" i="27" s="1"/>
  <c r="B1865" i="27"/>
  <c r="C1865" i="27" s="1"/>
  <c r="B1864" i="27"/>
  <c r="C1864" i="27" s="1"/>
  <c r="B1863" i="27"/>
  <c r="C1863" i="27" s="1"/>
  <c r="B1862" i="27"/>
  <c r="C1862" i="27" s="1"/>
  <c r="B1861" i="27"/>
  <c r="C1861" i="27" s="1"/>
  <c r="B1860" i="27"/>
  <c r="C1860" i="27" s="1"/>
  <c r="B1859" i="27"/>
  <c r="C1859" i="27" s="1"/>
  <c r="B1858" i="27"/>
  <c r="C1858" i="27" s="1"/>
  <c r="B1857" i="27"/>
  <c r="C1857" i="27" s="1"/>
  <c r="B1856" i="27"/>
  <c r="C1856" i="27" s="1"/>
  <c r="B1855" i="27"/>
  <c r="C1855" i="27" s="1"/>
  <c r="B1854" i="27"/>
  <c r="C1854" i="27" s="1"/>
  <c r="B1853" i="27"/>
  <c r="C1853" i="27" s="1"/>
  <c r="B1852" i="27"/>
  <c r="C1852" i="27" s="1"/>
  <c r="B1851" i="27"/>
  <c r="C1851" i="27" s="1"/>
  <c r="B1850" i="27"/>
  <c r="C1850" i="27" s="1"/>
  <c r="B1849" i="27"/>
  <c r="C1849" i="27" s="1"/>
  <c r="B1848" i="27"/>
  <c r="C1848" i="27" s="1"/>
  <c r="B1847" i="27"/>
  <c r="C1847" i="27" s="1"/>
  <c r="B1846" i="27"/>
  <c r="C1846" i="27" s="1"/>
  <c r="B1845" i="27"/>
  <c r="C1845" i="27" s="1"/>
  <c r="B1844" i="27"/>
  <c r="C1844" i="27" s="1"/>
  <c r="B1843" i="27"/>
  <c r="C1843" i="27" s="1"/>
  <c r="B1842" i="27"/>
  <c r="C1842" i="27" s="1"/>
  <c r="B1841" i="27"/>
  <c r="C1841" i="27" s="1"/>
  <c r="B1840" i="27"/>
  <c r="C1840" i="27" s="1"/>
  <c r="G1955" i="37"/>
  <c r="H1955" i="37" s="1"/>
  <c r="H1956" i="37" s="1"/>
  <c r="G1952" i="37"/>
  <c r="H1952" i="37" s="1"/>
  <c r="G1951" i="37"/>
  <c r="H1951" i="37" s="1"/>
  <c r="G1950" i="37"/>
  <c r="H1950" i="37" s="1"/>
  <c r="G1949" i="37"/>
  <c r="H1949" i="37" s="1"/>
  <c r="G1938" i="37"/>
  <c r="H1938" i="37" s="1"/>
  <c r="H1939" i="37" s="1"/>
  <c r="G1935" i="37"/>
  <c r="H1935" i="37" s="1"/>
  <c r="G1934" i="37"/>
  <c r="H1934" i="37" s="1"/>
  <c r="G1933" i="37"/>
  <c r="H1933" i="37" s="1"/>
  <c r="G1932" i="37"/>
  <c r="H1932" i="37" s="1"/>
  <c r="G1921" i="37"/>
  <c r="H1921" i="37" s="1"/>
  <c r="H1922" i="37" s="1"/>
  <c r="G1918" i="37"/>
  <c r="H1918" i="37" s="1"/>
  <c r="G1917" i="37"/>
  <c r="H1917" i="37" s="1"/>
  <c r="G1916" i="37"/>
  <c r="H1916" i="37" s="1"/>
  <c r="G1915" i="37"/>
  <c r="H1915" i="37" s="1"/>
  <c r="G1904" i="37"/>
  <c r="H1904" i="37" s="1"/>
  <c r="H1905" i="37" s="1"/>
  <c r="G1901" i="37"/>
  <c r="H1901" i="37" s="1"/>
  <c r="G1900" i="37"/>
  <c r="H1900" i="37" s="1"/>
  <c r="G1899" i="37"/>
  <c r="H1899" i="37" s="1"/>
  <c r="G1898" i="37"/>
  <c r="H1898" i="37" s="1"/>
  <c r="G1884" i="37"/>
  <c r="H1884" i="37" s="1"/>
  <c r="G1883" i="37"/>
  <c r="H1883" i="37" s="1"/>
  <c r="G1882" i="37"/>
  <c r="H1882" i="37" s="1"/>
  <c r="G1881" i="37"/>
  <c r="H1881" i="37" s="1"/>
  <c r="G1870" i="37"/>
  <c r="H1870" i="37" s="1"/>
  <c r="H1871" i="37" s="1"/>
  <c r="G1867" i="37"/>
  <c r="H1867" i="37" s="1"/>
  <c r="G1866" i="37"/>
  <c r="H1866" i="37" s="1"/>
  <c r="G1865" i="37"/>
  <c r="H1865" i="37" s="1"/>
  <c r="G1864" i="37"/>
  <c r="H1864" i="37" s="1"/>
  <c r="G1853" i="37"/>
  <c r="H1853" i="37" s="1"/>
  <c r="H1854" i="37" s="1"/>
  <c r="G1850" i="37"/>
  <c r="H1850" i="37" s="1"/>
  <c r="G1849" i="37"/>
  <c r="H1849" i="37" s="1"/>
  <c r="G1848" i="37"/>
  <c r="H1848" i="37" s="1"/>
  <c r="G1847" i="37"/>
  <c r="H1847" i="37" s="1"/>
  <c r="G1836" i="37"/>
  <c r="H1836" i="37" s="1"/>
  <c r="H1837" i="37" s="1"/>
  <c r="G1833" i="37"/>
  <c r="H1833" i="37" s="1"/>
  <c r="G1832" i="37"/>
  <c r="H1832" i="37" s="1"/>
  <c r="G1831" i="37"/>
  <c r="H1831" i="37" s="1"/>
  <c r="G1830" i="37"/>
  <c r="H1830" i="37" s="1"/>
  <c r="G1819" i="37"/>
  <c r="H1819" i="37" s="1"/>
  <c r="H1820" i="37" s="1"/>
  <c r="G1816" i="37"/>
  <c r="H1816" i="37" s="1"/>
  <c r="G1815" i="37"/>
  <c r="H1815" i="37" s="1"/>
  <c r="G1814" i="37"/>
  <c r="H1814" i="37" s="1"/>
  <c r="G1813" i="37"/>
  <c r="H1813" i="37" s="1"/>
  <c r="G1802" i="37"/>
  <c r="H1802" i="37" s="1"/>
  <c r="H1803" i="37" s="1"/>
  <c r="G1799" i="37"/>
  <c r="H1799" i="37" s="1"/>
  <c r="G1798" i="37"/>
  <c r="H1798" i="37" s="1"/>
  <c r="G1797" i="37"/>
  <c r="H1797" i="37" s="1"/>
  <c r="G1796" i="37"/>
  <c r="H1796" i="37" s="1"/>
  <c r="G1785" i="37"/>
  <c r="H1785" i="37" s="1"/>
  <c r="H1786" i="37" s="1"/>
  <c r="G1782" i="37"/>
  <c r="H1782" i="37" s="1"/>
  <c r="G1781" i="37"/>
  <c r="H1781" i="37" s="1"/>
  <c r="G1780" i="37"/>
  <c r="H1780" i="37" s="1"/>
  <c r="G1779" i="37"/>
  <c r="H1779" i="37" s="1"/>
  <c r="G1768" i="37"/>
  <c r="H1768" i="37" s="1"/>
  <c r="H1769" i="37" s="1"/>
  <c r="G1765" i="37"/>
  <c r="H1765" i="37" s="1"/>
  <c r="G1764" i="37"/>
  <c r="H1764" i="37" s="1"/>
  <c r="G1763" i="37"/>
  <c r="H1763" i="37" s="1"/>
  <c r="G1762" i="37"/>
  <c r="H1762" i="37" s="1"/>
  <c r="G1751" i="37"/>
  <c r="H1751" i="37" s="1"/>
  <c r="H1752" i="37" s="1"/>
  <c r="G1748" i="37"/>
  <c r="H1748" i="37" s="1"/>
  <c r="G1747" i="37"/>
  <c r="H1747" i="37" s="1"/>
  <c r="G1746" i="37"/>
  <c r="H1746" i="37" s="1"/>
  <c r="G1745" i="37"/>
  <c r="H1745" i="37" s="1"/>
  <c r="G1734" i="37"/>
  <c r="H1734" i="37" s="1"/>
  <c r="H1735" i="37" s="1"/>
  <c r="G1731" i="37"/>
  <c r="H1731" i="37" s="1"/>
  <c r="G1730" i="37"/>
  <c r="H1730" i="37" s="1"/>
  <c r="G1729" i="37"/>
  <c r="H1729" i="37" s="1"/>
  <c r="G1728" i="37"/>
  <c r="H1728" i="37" s="1"/>
  <c r="G1717" i="37"/>
  <c r="H1717" i="37" s="1"/>
  <c r="H1718" i="37" s="1"/>
  <c r="G1714" i="37"/>
  <c r="H1714" i="37" s="1"/>
  <c r="G1713" i="37"/>
  <c r="H1713" i="37" s="1"/>
  <c r="G1712" i="37"/>
  <c r="H1712" i="37" s="1"/>
  <c r="G1711" i="37"/>
  <c r="H1711" i="37" s="1"/>
  <c r="G1697" i="37"/>
  <c r="H1697" i="37" s="1"/>
  <c r="G1696" i="37"/>
  <c r="H1696" i="37" s="1"/>
  <c r="G1695" i="37"/>
  <c r="H1695" i="37" s="1"/>
  <c r="G1694" i="37"/>
  <c r="H1694" i="37" s="1"/>
  <c r="B1839" i="27"/>
  <c r="B1838" i="27"/>
  <c r="B1837" i="27"/>
  <c r="B1836" i="27"/>
  <c r="C1836" i="27" s="1"/>
  <c r="B1835" i="27"/>
  <c r="C1835" i="27" s="1"/>
  <c r="B1834" i="27"/>
  <c r="C1834" i="27" s="1"/>
  <c r="B1833" i="27"/>
  <c r="C1833" i="27" s="1"/>
  <c r="B1832" i="27"/>
  <c r="C1832" i="27" s="1"/>
  <c r="B1831" i="27"/>
  <c r="C1831" i="27" s="1"/>
  <c r="B1830" i="27"/>
  <c r="C1830" i="27" s="1"/>
  <c r="B1829" i="27"/>
  <c r="C1829" i="27" s="1"/>
  <c r="B1828" i="27"/>
  <c r="C1828" i="27" s="1"/>
  <c r="B1827" i="27"/>
  <c r="C1827" i="27" s="1"/>
  <c r="B1826" i="27"/>
  <c r="C1826" i="27" s="1"/>
  <c r="B1825" i="27"/>
  <c r="C1825" i="27" s="1"/>
  <c r="B1824" i="27"/>
  <c r="C1824" i="27" s="1"/>
  <c r="B1823" i="27"/>
  <c r="C1823" i="27" s="1"/>
  <c r="B1822" i="27"/>
  <c r="B1821" i="27"/>
  <c r="B1820" i="27"/>
  <c r="C1820" i="27" s="1"/>
  <c r="B1819" i="27"/>
  <c r="C1819" i="27" s="1"/>
  <c r="G214" i="23"/>
  <c r="H214" i="23" s="1"/>
  <c r="G215" i="23"/>
  <c r="H215" i="23" s="1"/>
  <c r="B1818" i="27"/>
  <c r="C1818" i="27" s="1"/>
  <c r="B1817" i="27"/>
  <c r="C1817" i="27" s="1"/>
  <c r="B1816" i="27"/>
  <c r="C1816" i="27" s="1"/>
  <c r="B1815" i="27"/>
  <c r="C1815" i="27" s="1"/>
  <c r="B1814" i="27"/>
  <c r="C1814" i="27" s="1"/>
  <c r="B1813" i="27"/>
  <c r="C1813" i="27" s="1"/>
  <c r="B1812" i="27"/>
  <c r="C1812" i="27" s="1"/>
  <c r="B1811" i="27"/>
  <c r="C1811" i="27" s="1"/>
  <c r="B1810" i="27"/>
  <c r="C1810" i="27" s="1"/>
  <c r="B1809" i="27"/>
  <c r="C1809" i="27" s="1"/>
  <c r="B1808" i="27"/>
  <c r="C1808" i="27" s="1"/>
  <c r="B1807" i="27"/>
  <c r="C1807" i="27" s="1"/>
  <c r="B1806" i="27"/>
  <c r="C1806" i="27" s="1"/>
  <c r="B1805" i="27"/>
  <c r="C1805" i="27" s="1"/>
  <c r="B1804" i="27"/>
  <c r="C1804" i="27" s="1"/>
  <c r="B1803" i="27"/>
  <c r="C1803" i="27" s="1"/>
  <c r="B1802" i="27"/>
  <c r="C1802" i="27" s="1"/>
  <c r="B1801" i="27"/>
  <c r="C1801" i="27" s="1"/>
  <c r="B1800" i="27"/>
  <c r="C1800" i="27" s="1"/>
  <c r="B1799" i="27"/>
  <c r="C1799" i="27" s="1"/>
  <c r="B1798" i="27"/>
  <c r="C1798" i="27" s="1"/>
  <c r="B1797" i="27"/>
  <c r="C1797" i="27" s="1"/>
  <c r="B1796" i="27"/>
  <c r="C1796" i="27" s="1"/>
  <c r="B1795" i="27"/>
  <c r="C1795" i="27" s="1"/>
  <c r="B1794" i="27"/>
  <c r="C1794" i="27" s="1"/>
  <c r="B1793" i="27"/>
  <c r="C1793" i="27" s="1"/>
  <c r="B1792" i="27"/>
  <c r="C1792" i="27" s="1"/>
  <c r="B1791" i="27"/>
  <c r="C1791" i="27" s="1"/>
  <c r="B1790" i="27"/>
  <c r="C1790" i="27" s="1"/>
  <c r="B1789" i="27"/>
  <c r="C1789" i="27" s="1"/>
  <c r="B1788" i="27"/>
  <c r="C1788" i="27" s="1"/>
  <c r="B1787" i="27"/>
  <c r="C1787" i="27" s="1"/>
  <c r="B1786" i="27"/>
  <c r="C1786" i="27" s="1"/>
  <c r="B1785" i="27"/>
  <c r="C1785" i="27" s="1"/>
  <c r="B1784" i="27"/>
  <c r="C1784" i="27" s="1"/>
  <c r="B1783" i="27"/>
  <c r="C1783" i="27" s="1"/>
  <c r="B1782" i="27"/>
  <c r="C1782" i="27" s="1"/>
  <c r="B1781" i="27"/>
  <c r="C1781" i="27" s="1"/>
  <c r="B1780" i="27"/>
  <c r="C1780" i="27" s="1"/>
  <c r="B1779" i="27"/>
  <c r="C1779" i="27" s="1"/>
  <c r="B1778" i="27"/>
  <c r="B1777" i="27"/>
  <c r="C1777" i="27" s="1"/>
  <c r="B1776" i="27"/>
  <c r="G283" i="22"/>
  <c r="H283" i="22" s="1"/>
  <c r="G282" i="22"/>
  <c r="H282" i="22" s="1"/>
  <c r="G280" i="22"/>
  <c r="H280" i="22" s="1"/>
  <c r="G266" i="22"/>
  <c r="H266" i="22" s="1"/>
  <c r="G265" i="22"/>
  <c r="H265" i="22" s="1"/>
  <c r="G263" i="22"/>
  <c r="H263" i="22" s="1"/>
  <c r="B1775" i="27"/>
  <c r="C1775" i="27" s="1"/>
  <c r="B1774" i="27"/>
  <c r="C1774" i="27" s="1"/>
  <c r="B1773" i="27"/>
  <c r="C1773" i="27" s="1"/>
  <c r="B1772" i="27"/>
  <c r="C1772" i="27" s="1"/>
  <c r="B1771" i="27"/>
  <c r="C1771" i="27" s="1"/>
  <c r="B1770" i="27"/>
  <c r="C1770" i="27" s="1"/>
  <c r="B1769" i="27"/>
  <c r="C1769" i="27" s="1"/>
  <c r="B1768" i="27"/>
  <c r="C1768" i="27" s="1"/>
  <c r="B1767" i="27"/>
  <c r="C1767" i="27" s="1"/>
  <c r="B1766" i="27"/>
  <c r="C1766" i="27" s="1"/>
  <c r="B1765" i="27"/>
  <c r="C1765" i="27" s="1"/>
  <c r="B1764" i="27"/>
  <c r="C1764" i="27" s="1"/>
  <c r="B1763" i="27"/>
  <c r="C1763" i="27" s="1"/>
  <c r="B1762" i="27"/>
  <c r="C1762" i="27" s="1"/>
  <c r="B1761" i="27"/>
  <c r="C1761" i="27" s="1"/>
  <c r="B1760" i="27"/>
  <c r="C1760" i="27" s="1"/>
  <c r="B1759" i="27"/>
  <c r="C1759" i="27" s="1"/>
  <c r="B1758" i="27"/>
  <c r="C1758" i="27" s="1"/>
  <c r="B1757" i="27"/>
  <c r="C1757" i="27" s="1"/>
  <c r="B1756" i="27"/>
  <c r="C1756" i="27" s="1"/>
  <c r="B1755" i="27"/>
  <c r="C1755" i="27" s="1"/>
  <c r="B1754" i="27"/>
  <c r="C1754" i="27" s="1"/>
  <c r="B1753" i="27"/>
  <c r="C1753" i="27" s="1"/>
  <c r="B1752" i="27"/>
  <c r="C1752" i="27" s="1"/>
  <c r="B1751" i="27"/>
  <c r="C1751" i="27" s="1"/>
  <c r="B1750" i="27"/>
  <c r="C1750" i="27" s="1"/>
  <c r="B1749" i="27"/>
  <c r="C1749" i="27" s="1"/>
  <c r="B1748" i="27"/>
  <c r="C1748" i="27" s="1"/>
  <c r="B1747" i="27"/>
  <c r="C1747" i="27" s="1"/>
  <c r="B1746" i="27"/>
  <c r="C1746" i="27" s="1"/>
  <c r="B1745" i="27"/>
  <c r="C1745" i="27" s="1"/>
  <c r="B1744" i="27"/>
  <c r="C1744" i="27" s="1"/>
  <c r="B1743" i="27"/>
  <c r="C1743" i="27" s="1"/>
  <c r="B1742" i="27"/>
  <c r="C1742" i="27" s="1"/>
  <c r="B1741" i="27"/>
  <c r="C1741" i="27" s="1"/>
  <c r="B1740" i="27"/>
  <c r="C1740" i="27" s="1"/>
  <c r="B1739" i="27"/>
  <c r="C1739" i="27" s="1"/>
  <c r="B1738" i="27"/>
  <c r="C1738" i="27" s="1"/>
  <c r="B1737" i="27"/>
  <c r="C1737" i="27" s="1"/>
  <c r="B1736" i="27"/>
  <c r="C1736" i="27" s="1"/>
  <c r="B1735" i="27"/>
  <c r="C1735" i="27" s="1"/>
  <c r="B1734" i="27"/>
  <c r="C1734" i="27" s="1"/>
  <c r="B1733" i="27"/>
  <c r="C1733" i="27" s="1"/>
  <c r="B1732" i="27"/>
  <c r="C1732" i="27" s="1"/>
  <c r="B1731" i="27"/>
  <c r="C1731" i="27" s="1"/>
  <c r="B1730" i="27"/>
  <c r="C1730" i="27" s="1"/>
  <c r="B1729" i="27"/>
  <c r="C1729" i="27" s="1"/>
  <c r="B1728" i="27"/>
  <c r="C1728" i="27" s="1"/>
  <c r="B1727" i="27"/>
  <c r="C1727" i="27" s="1"/>
  <c r="B1726" i="27"/>
  <c r="C1726" i="27" s="1"/>
  <c r="B1725" i="27"/>
  <c r="C1725" i="27" s="1"/>
  <c r="B1724" i="27"/>
  <c r="C1724" i="27" s="1"/>
  <c r="B1723" i="27"/>
  <c r="C1723" i="27" s="1"/>
  <c r="B1722" i="27"/>
  <c r="C1722" i="27" s="1"/>
  <c r="B1721" i="27"/>
  <c r="C1721" i="27" s="1"/>
  <c r="B1720" i="27"/>
  <c r="C1720" i="27" s="1"/>
  <c r="B1719" i="27"/>
  <c r="C1719" i="27" s="1"/>
  <c r="B1718" i="27"/>
  <c r="C1718" i="27" s="1"/>
  <c r="B1717" i="27"/>
  <c r="C1717" i="27" s="1"/>
  <c r="B1715" i="27"/>
  <c r="C1715" i="27" s="1"/>
  <c r="B1716" i="27"/>
  <c r="C1716" i="27" s="1"/>
  <c r="B1714" i="27"/>
  <c r="C1714" i="27" s="1"/>
  <c r="B1713" i="27"/>
  <c r="C1713" i="27" s="1"/>
  <c r="B1712" i="27"/>
  <c r="C1712" i="27" s="1"/>
  <c r="B1711" i="27"/>
  <c r="C1711" i="27" s="1"/>
  <c r="B1710" i="27"/>
  <c r="C1710" i="27" s="1"/>
  <c r="B1709" i="27"/>
  <c r="C1709" i="27" s="1"/>
  <c r="B1708" i="27"/>
  <c r="C1708" i="27" s="1"/>
  <c r="B1707" i="27"/>
  <c r="C1707" i="27" s="1"/>
  <c r="B1706" i="27"/>
  <c r="C1706" i="27" s="1"/>
  <c r="B1705" i="27"/>
  <c r="C1705" i="27" s="1"/>
  <c r="B1704" i="27"/>
  <c r="C1704" i="27" s="1"/>
  <c r="B1703" i="27"/>
  <c r="C1703" i="27" s="1"/>
  <c r="B1702" i="27"/>
  <c r="C1702" i="27" s="1"/>
  <c r="B1701" i="27"/>
  <c r="C1701" i="27" s="1"/>
  <c r="B1700" i="27"/>
  <c r="C1700" i="27" s="1"/>
  <c r="B1699" i="27"/>
  <c r="C1699" i="27" s="1"/>
  <c r="B1698" i="27"/>
  <c r="C1698" i="27" s="1"/>
  <c r="B1697" i="27"/>
  <c r="C1697" i="27" s="1"/>
  <c r="B1696" i="27"/>
  <c r="C1696" i="27" s="1"/>
  <c r="B1695" i="27"/>
  <c r="C1695" i="27" s="1"/>
  <c r="B1694" i="27"/>
  <c r="C1694" i="27" s="1"/>
  <c r="B1693" i="27"/>
  <c r="C1693" i="27" s="1"/>
  <c r="B1692" i="27"/>
  <c r="C1692" i="27" s="1"/>
  <c r="B1691" i="27"/>
  <c r="C1691" i="27" s="1"/>
  <c r="B1690" i="27"/>
  <c r="C1690" i="27" s="1"/>
  <c r="B1689" i="27"/>
  <c r="C1689" i="27" s="1"/>
  <c r="B1688" i="27"/>
  <c r="C1688" i="27" s="1"/>
  <c r="B1687" i="27"/>
  <c r="C1687" i="27" s="1"/>
  <c r="B1686" i="27"/>
  <c r="C1686" i="27" s="1"/>
  <c r="B1685" i="27"/>
  <c r="C1685" i="27" s="1"/>
  <c r="B1684" i="27"/>
  <c r="C1684" i="27" s="1"/>
  <c r="B1683" i="27"/>
  <c r="C1683" i="27" s="1"/>
  <c r="B1682" i="27"/>
  <c r="C1682" i="27" s="1"/>
  <c r="B1681" i="27"/>
  <c r="C1681" i="27" s="1"/>
  <c r="B1680" i="27"/>
  <c r="C1680" i="27" s="1"/>
  <c r="B1679" i="27"/>
  <c r="C1679" i="27" s="1"/>
  <c r="B1678" i="27"/>
  <c r="C1678" i="27" s="1"/>
  <c r="B1677" i="27"/>
  <c r="C1677" i="27" s="1"/>
  <c r="B1676" i="27"/>
  <c r="C1676" i="27" s="1"/>
  <c r="B1675" i="27"/>
  <c r="C1675" i="27" s="1"/>
  <c r="B1674" i="27"/>
  <c r="C1674" i="27" s="1"/>
  <c r="B1673" i="27"/>
  <c r="C1673" i="27" s="1"/>
  <c r="B1672" i="27"/>
  <c r="C1672" i="27" s="1"/>
  <c r="B1671" i="27"/>
  <c r="C1671" i="27" s="1"/>
  <c r="B1670" i="27"/>
  <c r="C1670" i="27" s="1"/>
  <c r="B1669" i="27"/>
  <c r="C1669" i="27" s="1"/>
  <c r="B1668" i="27"/>
  <c r="C1668" i="27" s="1"/>
  <c r="B1667" i="27"/>
  <c r="C1667" i="27" s="1"/>
  <c r="B1666" i="27"/>
  <c r="C1666" i="27" s="1"/>
  <c r="B1665" i="27"/>
  <c r="C1665" i="27" s="1"/>
  <c r="B1664" i="27"/>
  <c r="C1664" i="27" s="1"/>
  <c r="B1663" i="27"/>
  <c r="C1663" i="27" s="1"/>
  <c r="B1662" i="27"/>
  <c r="C1662" i="27" s="1"/>
  <c r="B1661" i="27"/>
  <c r="C1661" i="27" s="1"/>
  <c r="B1660" i="27"/>
  <c r="C1660" i="27" s="1"/>
  <c r="B1659" i="27"/>
  <c r="C1659" i="27" s="1"/>
  <c r="B1658" i="27"/>
  <c r="C1658" i="27" s="1"/>
  <c r="B1657" i="27"/>
  <c r="C1657" i="27" s="1"/>
  <c r="B1656" i="27"/>
  <c r="C1656" i="27" s="1"/>
  <c r="E1656" i="27" s="1"/>
  <c r="B1655" i="27"/>
  <c r="C1655" i="27" s="1"/>
  <c r="E1655" i="27" s="1"/>
  <c r="B1654" i="27"/>
  <c r="C1654" i="27" s="1"/>
  <c r="B1653" i="27"/>
  <c r="C1653" i="27" s="1"/>
  <c r="B1652" i="27"/>
  <c r="C1652" i="27" s="1"/>
  <c r="B1651" i="27"/>
  <c r="C1651" i="27" s="1"/>
  <c r="B1650" i="27"/>
  <c r="C1650" i="27" s="1"/>
  <c r="B1649" i="27"/>
  <c r="C1649" i="27" s="1"/>
  <c r="B1648" i="27"/>
  <c r="C1648" i="27" s="1"/>
  <c r="B1647" i="27"/>
  <c r="C1647" i="27" s="1"/>
  <c r="B1646" i="27"/>
  <c r="C1646" i="27" s="1"/>
  <c r="B1645" i="27"/>
  <c r="C1645" i="27" s="1"/>
  <c r="B1644" i="27"/>
  <c r="C1644" i="27" s="1"/>
  <c r="B1643" i="27"/>
  <c r="C1643" i="27" s="1"/>
  <c r="B1642" i="27"/>
  <c r="C1642" i="27" s="1"/>
  <c r="B1641" i="27"/>
  <c r="C1641" i="27" s="1"/>
  <c r="B1640" i="27"/>
  <c r="C1640" i="27" s="1"/>
  <c r="B1639" i="27"/>
  <c r="C1639" i="27" s="1"/>
  <c r="B1638" i="27"/>
  <c r="C1638" i="27" s="1"/>
  <c r="B1637" i="27"/>
  <c r="C1637" i="27" s="1"/>
  <c r="B1636" i="27"/>
  <c r="C1636" i="27" s="1"/>
  <c r="B1635" i="27"/>
  <c r="C1635" i="27" s="1"/>
  <c r="B1634" i="27"/>
  <c r="C1634" i="27" s="1"/>
  <c r="B1633" i="27"/>
  <c r="C1633" i="27" s="1"/>
  <c r="B1632" i="27"/>
  <c r="C1632" i="27" s="1"/>
  <c r="B1631" i="27"/>
  <c r="C1631" i="27" s="1"/>
  <c r="B1630" i="27"/>
  <c r="C1630" i="27" s="1"/>
  <c r="B1629" i="27"/>
  <c r="C1629" i="27" s="1"/>
  <c r="B1628" i="27"/>
  <c r="C1628" i="27" s="1"/>
  <c r="B1627" i="27"/>
  <c r="C1627" i="27" s="1"/>
  <c r="B1626" i="27"/>
  <c r="C1626" i="27" s="1"/>
  <c r="B1625" i="27"/>
  <c r="C1625" i="27" s="1"/>
  <c r="B1624" i="27"/>
  <c r="C1624" i="27" s="1"/>
  <c r="B1623" i="27"/>
  <c r="C1623" i="27" s="1"/>
  <c r="B1622" i="27"/>
  <c r="C1622" i="27" s="1"/>
  <c r="B1621" i="27"/>
  <c r="C1621" i="27" s="1"/>
  <c r="B1620" i="27"/>
  <c r="C1620" i="27" s="1"/>
  <c r="B1619" i="27"/>
  <c r="C1619" i="27" s="1"/>
  <c r="B1618" i="27"/>
  <c r="C1618" i="27" s="1"/>
  <c r="B1617" i="27"/>
  <c r="C1617" i="27" s="1"/>
  <c r="B1616" i="27"/>
  <c r="C1616" i="27" s="1"/>
  <c r="B1615" i="27"/>
  <c r="C1615" i="27" s="1"/>
  <c r="B1614" i="27"/>
  <c r="C1614" i="27" s="1"/>
  <c r="B1613" i="27"/>
  <c r="C1613" i="27" s="1"/>
  <c r="B1612" i="27"/>
  <c r="C1612" i="27" s="1"/>
  <c r="B1611" i="27"/>
  <c r="C1611" i="27" s="1"/>
  <c r="B1610" i="27"/>
  <c r="C1610" i="27" s="1"/>
  <c r="B1609" i="27"/>
  <c r="C1609" i="27" s="1"/>
  <c r="B1608" i="27"/>
  <c r="C1608" i="27" s="1"/>
  <c r="B1607" i="27"/>
  <c r="C1607" i="27" s="1"/>
  <c r="B1606" i="27"/>
  <c r="C1606" i="27" s="1"/>
  <c r="B1605" i="27"/>
  <c r="C1605" i="27" s="1"/>
  <c r="B1604" i="27"/>
  <c r="C1604" i="27" s="1"/>
  <c r="B1603" i="27"/>
  <c r="C1603" i="27" s="1"/>
  <c r="B1602" i="27"/>
  <c r="C1602" i="27" s="1"/>
  <c r="B1601" i="27"/>
  <c r="C1601" i="27" s="1"/>
  <c r="B1600" i="27"/>
  <c r="C1600" i="27" s="1"/>
  <c r="B1599" i="27"/>
  <c r="C1599" i="27" s="1"/>
  <c r="B1598" i="27"/>
  <c r="C1598" i="27" s="1"/>
  <c r="B1597" i="27"/>
  <c r="C1597" i="27" s="1"/>
  <c r="B1596" i="27"/>
  <c r="C1596" i="27" s="1"/>
  <c r="B1595" i="27"/>
  <c r="C1595" i="27" s="1"/>
  <c r="B1594" i="27"/>
  <c r="C1594" i="27" s="1"/>
  <c r="B1593" i="27"/>
  <c r="C1593" i="27" s="1"/>
  <c r="B1592" i="27"/>
  <c r="C1592" i="27" s="1"/>
  <c r="B1591" i="27"/>
  <c r="C1591" i="27" s="1"/>
  <c r="B1590" i="27"/>
  <c r="B1589" i="27"/>
  <c r="C1589" i="27" s="1"/>
  <c r="B1588" i="27"/>
  <c r="C1588" i="27" s="1"/>
  <c r="B1587" i="27"/>
  <c r="C1587" i="27" s="1"/>
  <c r="B1586" i="27"/>
  <c r="C1586" i="27" s="1"/>
  <c r="B1585" i="27"/>
  <c r="C1585" i="27" s="1"/>
  <c r="B1584" i="27"/>
  <c r="C1584" i="27" s="1"/>
  <c r="B1583" i="27"/>
  <c r="C1583" i="27" s="1"/>
  <c r="B1582" i="27"/>
  <c r="C1582" i="27" s="1"/>
  <c r="B1581" i="27"/>
  <c r="C1581" i="27" s="1"/>
  <c r="B1580" i="27"/>
  <c r="C1580" i="27" s="1"/>
  <c r="B1579" i="27"/>
  <c r="C1579" i="27" s="1"/>
  <c r="B1578" i="27"/>
  <c r="C1578" i="27" s="1"/>
  <c r="B1577" i="27"/>
  <c r="C1577" i="27" s="1"/>
  <c r="B1576" i="27"/>
  <c r="C1576" i="27" s="1"/>
  <c r="B1575" i="27"/>
  <c r="C1575" i="27" s="1"/>
  <c r="B1574" i="27"/>
  <c r="C1574" i="27" s="1"/>
  <c r="B1573" i="27"/>
  <c r="C1573" i="27" s="1"/>
  <c r="B1572" i="27"/>
  <c r="C1572" i="27" s="1"/>
  <c r="B1571" i="27"/>
  <c r="C1571" i="27" s="1"/>
  <c r="B1570" i="27"/>
  <c r="C1570" i="27" s="1"/>
  <c r="B1569" i="27"/>
  <c r="C1569" i="27" s="1"/>
  <c r="B1568" i="27"/>
  <c r="C1568" i="27" s="1"/>
  <c r="B1567" i="27"/>
  <c r="C1567" i="27" s="1"/>
  <c r="B1566" i="27"/>
  <c r="C1566" i="27" s="1"/>
  <c r="B1565" i="27"/>
  <c r="C1565" i="27" s="1"/>
  <c r="B1564" i="27"/>
  <c r="C1564" i="27" s="1"/>
  <c r="B1563" i="27"/>
  <c r="C1563" i="27" s="1"/>
  <c r="B1562" i="27"/>
  <c r="C1562" i="27" s="1"/>
  <c r="B1561" i="27"/>
  <c r="C1561" i="27" s="1"/>
  <c r="B1560" i="27"/>
  <c r="C1560" i="27" s="1"/>
  <c r="B1559" i="27"/>
  <c r="C1559" i="27" s="1"/>
  <c r="B1558" i="27"/>
  <c r="C1558" i="27" s="1"/>
  <c r="B1557" i="27"/>
  <c r="C1557" i="27" s="1"/>
  <c r="B1556" i="27"/>
  <c r="C1556" i="27" s="1"/>
  <c r="B1555" i="27"/>
  <c r="C1555" i="27" s="1"/>
  <c r="B1554" i="27"/>
  <c r="C1554" i="27" s="1"/>
  <c r="B1553" i="27"/>
  <c r="C1553" i="27" s="1"/>
  <c r="B1552" i="27"/>
  <c r="C1552" i="27" s="1"/>
  <c r="B1551" i="27"/>
  <c r="C1551" i="27" s="1"/>
  <c r="B1550" i="27"/>
  <c r="C1550" i="27" s="1"/>
  <c r="B1549" i="27"/>
  <c r="C1549" i="27" s="1"/>
  <c r="B1548" i="27"/>
  <c r="C1548" i="27" s="1"/>
  <c r="B1547" i="27"/>
  <c r="C1547" i="27" s="1"/>
  <c r="E1547" i="27" s="1"/>
  <c r="B1546" i="27"/>
  <c r="C1546" i="27" s="1"/>
  <c r="B1545" i="27"/>
  <c r="C1545" i="27" s="1"/>
  <c r="B1544" i="27"/>
  <c r="C1544" i="27" s="1"/>
  <c r="B1543" i="27"/>
  <c r="C1543" i="27" s="1"/>
  <c r="B1542" i="27"/>
  <c r="C1542" i="27" s="1"/>
  <c r="B1541" i="27"/>
  <c r="C1541" i="27" s="1"/>
  <c r="B1540" i="27"/>
  <c r="C1540" i="27" s="1"/>
  <c r="B1539" i="27"/>
  <c r="C1539" i="27" s="1"/>
  <c r="B1538" i="27"/>
  <c r="C1538" i="27" s="1"/>
  <c r="B1537" i="27"/>
  <c r="C1537" i="27" s="1"/>
  <c r="B1536" i="27"/>
  <c r="C1536" i="27" s="1"/>
  <c r="B1535" i="27"/>
  <c r="C1535" i="27" s="1"/>
  <c r="B1534" i="27"/>
  <c r="C1534" i="27" s="1"/>
  <c r="B1533" i="27"/>
  <c r="C1533" i="27" s="1"/>
  <c r="B1532" i="27"/>
  <c r="C1532" i="27" s="1"/>
  <c r="B1531" i="27"/>
  <c r="C1531" i="27" s="1"/>
  <c r="B1530" i="27"/>
  <c r="C1530" i="27" s="1"/>
  <c r="B1529" i="27"/>
  <c r="C1529" i="27" s="1"/>
  <c r="B1528" i="27"/>
  <c r="C1528" i="27" s="1"/>
  <c r="B1527" i="27"/>
  <c r="C1527" i="27" s="1"/>
  <c r="B1526" i="27"/>
  <c r="C1526" i="27" s="1"/>
  <c r="B1525" i="27"/>
  <c r="C1525" i="27" s="1"/>
  <c r="B1524" i="27"/>
  <c r="C1524" i="27" s="1"/>
  <c r="B1523" i="27"/>
  <c r="C1523" i="27" s="1"/>
  <c r="B1522" i="27"/>
  <c r="C1522" i="27" s="1"/>
  <c r="B1521" i="27"/>
  <c r="C1521" i="27" s="1"/>
  <c r="B1520" i="27"/>
  <c r="C1520" i="27" s="1"/>
  <c r="B1519" i="27"/>
  <c r="C1519" i="27" s="1"/>
  <c r="B1518" i="27"/>
  <c r="C1518" i="27" s="1"/>
  <c r="B1517" i="27"/>
  <c r="C1517" i="27" s="1"/>
  <c r="B1516" i="27"/>
  <c r="C1516" i="27" s="1"/>
  <c r="B1515" i="27"/>
  <c r="C1515" i="27" s="1"/>
  <c r="B1514" i="27"/>
  <c r="C1514" i="27" s="1"/>
  <c r="B1513" i="27"/>
  <c r="C1513" i="27" s="1"/>
  <c r="B1512" i="27"/>
  <c r="C1512" i="27" s="1"/>
  <c r="B1511" i="27"/>
  <c r="C1511" i="27" s="1"/>
  <c r="B1510" i="27"/>
  <c r="C1510" i="27" s="1"/>
  <c r="B1509" i="27"/>
  <c r="C1509" i="27" s="1"/>
  <c r="B1508" i="27"/>
  <c r="C1508" i="27" s="1"/>
  <c r="B1507" i="27"/>
  <c r="C1507" i="27" s="1"/>
  <c r="B1506" i="27"/>
  <c r="C1506" i="27" s="1"/>
  <c r="B1505" i="27"/>
  <c r="C1505" i="27" s="1"/>
  <c r="B1504" i="27"/>
  <c r="C1504" i="27" s="1"/>
  <c r="B1503" i="27"/>
  <c r="C1503" i="27" s="1"/>
  <c r="B1502" i="27"/>
  <c r="C1502" i="27" s="1"/>
  <c r="B1501" i="27"/>
  <c r="C1501" i="27" s="1"/>
  <c r="B1500" i="27"/>
  <c r="C1500" i="27" s="1"/>
  <c r="B1499" i="27"/>
  <c r="C1499" i="27" s="1"/>
  <c r="E1499" i="27" s="1"/>
  <c r="B1498" i="27"/>
  <c r="C1498" i="27" s="1"/>
  <c r="B1497" i="27"/>
  <c r="C1497" i="27" s="1"/>
  <c r="B1496" i="27"/>
  <c r="C1496" i="27" s="1"/>
  <c r="B1495" i="27"/>
  <c r="C1495" i="27" s="1"/>
  <c r="B1494" i="27"/>
  <c r="C1494" i="27" s="1"/>
  <c r="B1493" i="27"/>
  <c r="C1493" i="27" s="1"/>
  <c r="B1492" i="27"/>
  <c r="C1492" i="27" s="1"/>
  <c r="B1491" i="27"/>
  <c r="C1491" i="27" s="1"/>
  <c r="B1490" i="27"/>
  <c r="C1490" i="27" s="1"/>
  <c r="B1489" i="27"/>
  <c r="C1489" i="27" s="1"/>
  <c r="B1488" i="27"/>
  <c r="C1488" i="27" s="1"/>
  <c r="B1487" i="27"/>
  <c r="C1487" i="27" s="1"/>
  <c r="B1486" i="27"/>
  <c r="C1486" i="27" s="1"/>
  <c r="B1485" i="27"/>
  <c r="C1485" i="27" s="1"/>
  <c r="B1484" i="27"/>
  <c r="C1484" i="27" s="1"/>
  <c r="B1483" i="27"/>
  <c r="C1483" i="27" s="1"/>
  <c r="B1482" i="27"/>
  <c r="C1482" i="27" s="1"/>
  <c r="B1481" i="27"/>
  <c r="C1481" i="27" s="1"/>
  <c r="B1480" i="27"/>
  <c r="C1480" i="27" s="1"/>
  <c r="B1479" i="27"/>
  <c r="C1479" i="27" s="1"/>
  <c r="B1478" i="27"/>
  <c r="C1478" i="27" s="1"/>
  <c r="B1477" i="27"/>
  <c r="C1477" i="27" s="1"/>
  <c r="B1476" i="27"/>
  <c r="C1476" i="27" s="1"/>
  <c r="B1475" i="27"/>
  <c r="C1475" i="27" s="1"/>
  <c r="B1474" i="27"/>
  <c r="C1474" i="27" s="1"/>
  <c r="B1473" i="27"/>
  <c r="C1473" i="27" s="1"/>
  <c r="B1472" i="27"/>
  <c r="C1472" i="27" s="1"/>
  <c r="B1471" i="27"/>
  <c r="C1471" i="27" s="1"/>
  <c r="B1470" i="27"/>
  <c r="C1470" i="27" s="1"/>
  <c r="B1469" i="27"/>
  <c r="C1469" i="27" s="1"/>
  <c r="B1468" i="27"/>
  <c r="C1468" i="27" s="1"/>
  <c r="B1467" i="27"/>
  <c r="C1467" i="27" s="1"/>
  <c r="B1466" i="27"/>
  <c r="C1466" i="27" s="1"/>
  <c r="B1465" i="27"/>
  <c r="C1465" i="27" s="1"/>
  <c r="B1464" i="27"/>
  <c r="C1464" i="27" s="1"/>
  <c r="B1463" i="27"/>
  <c r="C1463" i="27" s="1"/>
  <c r="B1462" i="27"/>
  <c r="C1462" i="27" s="1"/>
  <c r="B1461" i="27"/>
  <c r="C1461" i="27" s="1"/>
  <c r="B1460" i="27"/>
  <c r="C1460" i="27" s="1"/>
  <c r="B1459" i="27"/>
  <c r="C1459" i="27" s="1"/>
  <c r="B1458" i="27"/>
  <c r="C1458" i="27" s="1"/>
  <c r="B1457" i="27"/>
  <c r="C1457" i="27" s="1"/>
  <c r="B1456" i="27"/>
  <c r="C1456" i="27" s="1"/>
  <c r="B1455" i="27"/>
  <c r="C1455" i="27" s="1"/>
  <c r="B1454" i="27"/>
  <c r="C1454" i="27" s="1"/>
  <c r="B1453" i="27"/>
  <c r="C1453" i="27" s="1"/>
  <c r="B1452" i="27"/>
  <c r="C1452" i="27" s="1"/>
  <c r="B1451" i="27"/>
  <c r="C1451" i="27" s="1"/>
  <c r="B1450" i="27"/>
  <c r="C1450" i="27" s="1"/>
  <c r="B1449" i="27"/>
  <c r="C1449" i="27" s="1"/>
  <c r="B1448" i="27"/>
  <c r="C1448" i="27" s="1"/>
  <c r="B1447" i="27"/>
  <c r="C1447" i="27" s="1"/>
  <c r="B1446" i="27"/>
  <c r="C1446" i="27" s="1"/>
  <c r="B1445" i="27"/>
  <c r="C1445" i="27" s="1"/>
  <c r="B1444" i="27"/>
  <c r="C1444" i="27" s="1"/>
  <c r="B1443" i="27"/>
  <c r="C1443" i="27" s="1"/>
  <c r="B1442" i="27"/>
  <c r="C1442" i="27" s="1"/>
  <c r="B1441" i="27"/>
  <c r="C1441" i="27" s="1"/>
  <c r="B1440" i="27"/>
  <c r="C1440" i="27" s="1"/>
  <c r="B1439" i="27"/>
  <c r="C1439" i="27" s="1"/>
  <c r="B1438" i="27"/>
  <c r="C1438" i="27" s="1"/>
  <c r="B1437" i="27"/>
  <c r="C1437" i="27" s="1"/>
  <c r="B1436" i="27"/>
  <c r="C1436" i="27" s="1"/>
  <c r="B1435" i="27"/>
  <c r="C1435" i="27" s="1"/>
  <c r="B1434" i="27"/>
  <c r="C1434" i="27" s="1"/>
  <c r="B1433" i="27"/>
  <c r="C1433" i="27" s="1"/>
  <c r="B1432" i="27"/>
  <c r="C1432" i="27" s="1"/>
  <c r="B1431" i="27"/>
  <c r="C1431" i="27" s="1"/>
  <c r="B1430" i="27"/>
  <c r="C1430" i="27" s="1"/>
  <c r="B1429" i="27"/>
  <c r="C1429" i="27" s="1"/>
  <c r="B1428" i="27"/>
  <c r="C1428" i="27" s="1"/>
  <c r="B1427" i="27"/>
  <c r="C1427" i="27" s="1"/>
  <c r="B1426" i="27"/>
  <c r="C1426" i="27" s="1"/>
  <c r="B1425" i="27"/>
  <c r="C1425" i="27" s="1"/>
  <c r="B1424" i="27"/>
  <c r="C1424" i="27" s="1"/>
  <c r="B1423" i="27"/>
  <c r="C1423" i="27" s="1"/>
  <c r="B1422" i="27"/>
  <c r="C1422" i="27" s="1"/>
  <c r="B1421" i="27"/>
  <c r="C1421" i="27" s="1"/>
  <c r="B1420" i="27"/>
  <c r="C1420" i="27" s="1"/>
  <c r="B1419" i="27"/>
  <c r="C1419" i="27" s="1"/>
  <c r="B1418" i="27"/>
  <c r="C1418" i="27" s="1"/>
  <c r="B1417" i="27"/>
  <c r="C1417" i="27" s="1"/>
  <c r="B1416" i="27"/>
  <c r="C1416" i="27" s="1"/>
  <c r="B1415" i="27"/>
  <c r="C1415" i="27" s="1"/>
  <c r="B1414" i="27"/>
  <c r="C1414" i="27" s="1"/>
  <c r="B1413" i="27"/>
  <c r="C1413" i="27" s="1"/>
  <c r="B1412" i="27"/>
  <c r="C1412" i="27" s="1"/>
  <c r="B1411" i="27"/>
  <c r="C1411" i="27" s="1"/>
  <c r="B1410" i="27"/>
  <c r="C1410" i="27" s="1"/>
  <c r="B1409" i="27"/>
  <c r="C1409" i="27" s="1"/>
  <c r="B1408" i="27"/>
  <c r="C1408" i="27" s="1"/>
  <c r="B1407" i="27"/>
  <c r="C1407" i="27" s="1"/>
  <c r="B1406" i="27"/>
  <c r="C1406" i="27" s="1"/>
  <c r="B1405" i="27"/>
  <c r="C1405" i="27" s="1"/>
  <c r="B1404" i="27"/>
  <c r="C1404" i="27" s="1"/>
  <c r="B1403" i="27"/>
  <c r="C1403" i="27" s="1"/>
  <c r="B1402" i="27"/>
  <c r="C1402" i="27" s="1"/>
  <c r="B1401" i="27"/>
  <c r="C1401" i="27" s="1"/>
  <c r="B1400" i="27"/>
  <c r="C1400" i="27" s="1"/>
  <c r="B1399" i="27"/>
  <c r="C1399" i="27" s="1"/>
  <c r="B1398" i="27"/>
  <c r="C1398" i="27" s="1"/>
  <c r="B1397" i="27"/>
  <c r="C1397" i="27" s="1"/>
  <c r="B1396" i="27"/>
  <c r="C1396" i="27" s="1"/>
  <c r="B1395" i="27"/>
  <c r="C1395" i="27" s="1"/>
  <c r="B1394" i="27"/>
  <c r="C1394" i="27" s="1"/>
  <c r="B1393" i="27"/>
  <c r="C1393" i="27" s="1"/>
  <c r="B1392" i="27"/>
  <c r="C1392" i="27" s="1"/>
  <c r="B1391" i="27"/>
  <c r="C1391" i="27" s="1"/>
  <c r="B1390" i="27"/>
  <c r="C1390" i="27" s="1"/>
  <c r="B1389" i="27"/>
  <c r="C1389" i="27" s="1"/>
  <c r="B1388" i="27"/>
  <c r="C1388" i="27" s="1"/>
  <c r="B1387" i="27"/>
  <c r="C1387" i="27" s="1"/>
  <c r="B1386" i="27"/>
  <c r="C1386" i="27" s="1"/>
  <c r="B1385" i="27"/>
  <c r="C1385" i="27" s="1"/>
  <c r="B1384" i="27"/>
  <c r="C1384" i="27" s="1"/>
  <c r="B1383" i="27"/>
  <c r="C1383" i="27" s="1"/>
  <c r="B1382" i="27"/>
  <c r="C1382" i="27" s="1"/>
  <c r="B1381" i="27"/>
  <c r="C1381" i="27" s="1"/>
  <c r="B1380" i="27"/>
  <c r="C1380" i="27" s="1"/>
  <c r="B1379" i="27"/>
  <c r="C1379" i="27" s="1"/>
  <c r="B1378" i="27"/>
  <c r="C1378" i="27" s="1"/>
  <c r="B1377" i="27"/>
  <c r="C1377" i="27" s="1"/>
  <c r="B1376" i="27"/>
  <c r="C1376" i="27" s="1"/>
  <c r="B1375" i="27"/>
  <c r="C1375" i="27" s="1"/>
  <c r="B1374" i="27"/>
  <c r="C1374" i="27" s="1"/>
  <c r="B1373" i="27"/>
  <c r="C1373" i="27" s="1"/>
  <c r="B1372" i="27"/>
  <c r="C1372" i="27" s="1"/>
  <c r="B1371" i="27"/>
  <c r="C1371" i="27" s="1"/>
  <c r="B1370" i="27"/>
  <c r="C1370" i="27" s="1"/>
  <c r="B1369" i="27"/>
  <c r="C1369" i="27" s="1"/>
  <c r="B1368" i="27"/>
  <c r="C1368" i="27" s="1"/>
  <c r="B1367" i="27"/>
  <c r="C1367" i="27" s="1"/>
  <c r="B1366" i="27"/>
  <c r="C1366" i="27" s="1"/>
  <c r="B1365" i="27"/>
  <c r="C1365" i="27" s="1"/>
  <c r="B1364" i="27"/>
  <c r="C1364" i="27" s="1"/>
  <c r="B1363" i="27"/>
  <c r="C1363" i="27" s="1"/>
  <c r="B1362" i="27"/>
  <c r="C1362" i="27" s="1"/>
  <c r="B1361" i="27"/>
  <c r="C1361" i="27" s="1"/>
  <c r="B1360" i="27"/>
  <c r="C1360" i="27" s="1"/>
  <c r="B1359" i="27"/>
  <c r="C1359" i="27" s="1"/>
  <c r="B1358" i="27"/>
  <c r="C1358" i="27" s="1"/>
  <c r="B1357" i="27"/>
  <c r="C1357" i="27" s="1"/>
  <c r="B1356" i="27"/>
  <c r="C1356" i="27" s="1"/>
  <c r="B1355" i="27"/>
  <c r="C1355" i="27" s="1"/>
  <c r="B1354" i="27"/>
  <c r="C1354" i="27" s="1"/>
  <c r="B1353" i="27"/>
  <c r="C1353" i="27" s="1"/>
  <c r="B1352" i="27"/>
  <c r="C1352" i="27" s="1"/>
  <c r="B1351" i="27"/>
  <c r="C1351" i="27" s="1"/>
  <c r="B1350" i="27"/>
  <c r="C1350" i="27" s="1"/>
  <c r="B1349" i="27"/>
  <c r="C1349" i="27" s="1"/>
  <c r="B1348" i="27"/>
  <c r="C1348" i="27" s="1"/>
  <c r="B1347" i="27"/>
  <c r="C1347" i="27" s="1"/>
  <c r="B1346" i="27"/>
  <c r="C1346" i="27" s="1"/>
  <c r="B1345" i="27"/>
  <c r="C1345" i="27" s="1"/>
  <c r="B1344" i="27"/>
  <c r="C1344" i="27" s="1"/>
  <c r="B1343" i="27"/>
  <c r="C1343" i="27" s="1"/>
  <c r="B1342" i="27"/>
  <c r="C1342" i="27" s="1"/>
  <c r="B1341" i="27"/>
  <c r="C1341" i="27" s="1"/>
  <c r="B1340" i="27"/>
  <c r="C1340" i="27" s="1"/>
  <c r="B1339" i="27"/>
  <c r="C1339" i="27" s="1"/>
  <c r="B1338" i="27"/>
  <c r="C1338" i="27" s="1"/>
  <c r="B1337" i="27"/>
  <c r="C1337" i="27" s="1"/>
  <c r="B1336" i="27"/>
  <c r="C1336" i="27" s="1"/>
  <c r="B1335" i="27"/>
  <c r="C1335" i="27" s="1"/>
  <c r="B1334" i="27"/>
  <c r="C1334" i="27" s="1"/>
  <c r="B1333" i="27"/>
  <c r="C1333" i="27" s="1"/>
  <c r="B1332" i="27"/>
  <c r="C1332" i="27" s="1"/>
  <c r="B1331" i="27"/>
  <c r="C1331" i="27" s="1"/>
  <c r="B1330" i="27"/>
  <c r="C1330" i="27" s="1"/>
  <c r="B1329" i="27"/>
  <c r="C1329" i="27" s="1"/>
  <c r="B1328" i="27"/>
  <c r="C1328" i="27" s="1"/>
  <c r="B1327" i="27"/>
  <c r="C1327" i="27" s="1"/>
  <c r="B1326" i="27"/>
  <c r="C1326" i="27" s="1"/>
  <c r="B1325" i="27"/>
  <c r="C1325" i="27" s="1"/>
  <c r="B1324" i="27"/>
  <c r="C1324" i="27" s="1"/>
  <c r="B1323" i="27"/>
  <c r="C1323" i="27" s="1"/>
  <c r="B1322" i="27"/>
  <c r="C1322" i="27" s="1"/>
  <c r="B1321" i="27"/>
  <c r="C1321" i="27" s="1"/>
  <c r="B1320" i="27"/>
  <c r="C1320" i="27" s="1"/>
  <c r="B1319" i="27"/>
  <c r="C1319" i="27" s="1"/>
  <c r="B1318" i="27"/>
  <c r="C1318" i="27" s="1"/>
  <c r="B1317" i="27"/>
  <c r="C1317" i="27" s="1"/>
  <c r="B1316" i="27"/>
  <c r="C1316" i="27" s="1"/>
  <c r="B1315" i="27"/>
  <c r="C1315" i="27" s="1"/>
  <c r="B1314" i="27"/>
  <c r="C1314" i="27" s="1"/>
  <c r="B1313" i="27"/>
  <c r="C1313" i="27" s="1"/>
  <c r="B1312" i="27"/>
  <c r="C1312" i="27" s="1"/>
  <c r="B1311" i="27"/>
  <c r="C1311" i="27" s="1"/>
  <c r="B1310" i="27"/>
  <c r="C1310" i="27" s="1"/>
  <c r="B1309" i="27"/>
  <c r="C1309" i="27" s="1"/>
  <c r="B1308" i="27"/>
  <c r="C1308" i="27" s="1"/>
  <c r="B1307" i="27"/>
  <c r="C1307" i="27" s="1"/>
  <c r="B1306" i="27"/>
  <c r="C1306" i="27" s="1"/>
  <c r="B1305" i="27"/>
  <c r="C1305" i="27" s="1"/>
  <c r="B1304" i="27"/>
  <c r="C1304" i="27" s="1"/>
  <c r="B1303" i="27"/>
  <c r="C1303" i="27" s="1"/>
  <c r="B1302" i="27"/>
  <c r="C1302" i="27" s="1"/>
  <c r="B1301" i="27"/>
  <c r="C1301" i="27" s="1"/>
  <c r="B1300" i="27"/>
  <c r="C1300" i="27" s="1"/>
  <c r="B1299" i="27"/>
  <c r="C1299" i="27" s="1"/>
  <c r="B1298" i="27"/>
  <c r="C1298" i="27" s="1"/>
  <c r="B1297" i="27"/>
  <c r="C1297" i="27" s="1"/>
  <c r="B1296" i="27"/>
  <c r="C1296" i="27" s="1"/>
  <c r="B1295" i="27"/>
  <c r="C1295" i="27" s="1"/>
  <c r="B1294" i="27"/>
  <c r="C1294" i="27" s="1"/>
  <c r="B1293" i="27"/>
  <c r="C1293" i="27" s="1"/>
  <c r="B1292" i="27"/>
  <c r="C1292" i="27" s="1"/>
  <c r="B1291" i="27"/>
  <c r="C1291" i="27" s="1"/>
  <c r="B1290" i="27"/>
  <c r="C1290" i="27" s="1"/>
  <c r="B1289" i="27"/>
  <c r="C1289" i="27" s="1"/>
  <c r="B1288" i="27"/>
  <c r="C1288" i="27" s="1"/>
  <c r="B1287" i="27"/>
  <c r="C1287" i="27" s="1"/>
  <c r="B1286" i="27"/>
  <c r="C1286" i="27" s="1"/>
  <c r="B1285" i="27"/>
  <c r="C1285" i="27" s="1"/>
  <c r="B1284" i="27"/>
  <c r="C1284" i="27" s="1"/>
  <c r="B1283" i="27"/>
  <c r="C1283" i="27" s="1"/>
  <c r="B1282" i="27"/>
  <c r="C1282" i="27" s="1"/>
  <c r="B1281" i="27"/>
  <c r="C1281" i="27" s="1"/>
  <c r="B1280" i="27"/>
  <c r="C1280" i="27" s="1"/>
  <c r="B1279" i="27"/>
  <c r="C1279" i="27" s="1"/>
  <c r="B1278" i="27"/>
  <c r="C1278" i="27" s="1"/>
  <c r="B1277" i="27"/>
  <c r="C1277" i="27" s="1"/>
  <c r="B1276" i="27"/>
  <c r="C1276" i="27" s="1"/>
  <c r="B1275" i="27"/>
  <c r="C1275" i="27" s="1"/>
  <c r="B1274" i="27"/>
  <c r="C1274" i="27" s="1"/>
  <c r="B1273" i="27"/>
  <c r="C1273" i="27" s="1"/>
  <c r="B1272" i="27"/>
  <c r="C1272" i="27" s="1"/>
  <c r="B1271" i="27"/>
  <c r="C1271" i="27" s="1"/>
  <c r="B1270" i="27"/>
  <c r="C1270" i="27" s="1"/>
  <c r="B1269" i="27"/>
  <c r="C1269" i="27" s="1"/>
  <c r="B1268" i="27"/>
  <c r="C1268" i="27" s="1"/>
  <c r="B1267" i="27"/>
  <c r="C1267" i="27" s="1"/>
  <c r="B1266" i="27"/>
  <c r="C1266" i="27" s="1"/>
  <c r="B1265" i="27"/>
  <c r="C1265" i="27" s="1"/>
  <c r="B1264" i="27"/>
  <c r="C1264" i="27" s="1"/>
  <c r="B1263" i="27"/>
  <c r="C1263" i="27" s="1"/>
  <c r="B1262" i="27"/>
  <c r="C1262" i="27" s="1"/>
  <c r="B1261" i="27"/>
  <c r="C1261" i="27" s="1"/>
  <c r="B1260" i="27"/>
  <c r="C1260" i="27" s="1"/>
  <c r="B1259" i="27"/>
  <c r="C1259" i="27" s="1"/>
  <c r="B1258" i="27"/>
  <c r="C1258" i="27" s="1"/>
  <c r="B1257" i="27"/>
  <c r="C1257" i="27" s="1"/>
  <c r="B1256" i="27"/>
  <c r="C1256" i="27" s="1"/>
  <c r="B1255" i="27"/>
  <c r="C1255" i="27" s="1"/>
  <c r="B1254" i="27"/>
  <c r="C1254" i="27" s="1"/>
  <c r="B1253" i="27"/>
  <c r="C1253" i="27" s="1"/>
  <c r="B1252" i="27"/>
  <c r="C1252" i="27" s="1"/>
  <c r="B1251" i="27"/>
  <c r="C1251" i="27" s="1"/>
  <c r="B1250" i="27"/>
  <c r="C1250" i="27" s="1"/>
  <c r="B1249" i="27"/>
  <c r="C1249" i="27" s="1"/>
  <c r="B1248" i="27"/>
  <c r="C1248" i="27" s="1"/>
  <c r="B1247" i="27"/>
  <c r="C1247" i="27" s="1"/>
  <c r="B1246" i="27"/>
  <c r="C1246" i="27" s="1"/>
  <c r="B1245" i="27"/>
  <c r="C1245" i="27" s="1"/>
  <c r="B1244" i="27"/>
  <c r="C1244" i="27" s="1"/>
  <c r="B1243" i="27"/>
  <c r="C1243" i="27" s="1"/>
  <c r="B1242" i="27"/>
  <c r="C1242" i="27" s="1"/>
  <c r="B1241" i="27"/>
  <c r="C1241" i="27" s="1"/>
  <c r="B1240" i="27"/>
  <c r="C1240" i="27" s="1"/>
  <c r="B1239" i="27"/>
  <c r="C1239" i="27" s="1"/>
  <c r="B1238" i="27"/>
  <c r="C1238" i="27" s="1"/>
  <c r="B1237" i="27"/>
  <c r="C1237" i="27" s="1"/>
  <c r="B1236" i="27"/>
  <c r="C1236" i="27" s="1"/>
  <c r="B1235" i="27"/>
  <c r="C1235" i="27" s="1"/>
  <c r="B1234" i="27"/>
  <c r="C1234" i="27" s="1"/>
  <c r="B1233" i="27"/>
  <c r="C1233" i="27" s="1"/>
  <c r="B1232" i="27"/>
  <c r="C1232" i="27" s="1"/>
  <c r="B1231" i="27"/>
  <c r="C1231" i="27" s="1"/>
  <c r="B1230" i="27"/>
  <c r="C1230" i="27" s="1"/>
  <c r="B1229" i="27"/>
  <c r="C1229" i="27" s="1"/>
  <c r="B1228" i="27"/>
  <c r="C1228" i="27" s="1"/>
  <c r="B1227" i="27"/>
  <c r="C1227" i="27" s="1"/>
  <c r="B1226" i="27"/>
  <c r="C1226" i="27" s="1"/>
  <c r="B1225" i="27"/>
  <c r="C1225" i="27" s="1"/>
  <c r="B1224" i="27"/>
  <c r="C1224" i="27" s="1"/>
  <c r="B1223" i="27"/>
  <c r="C1223" i="27" s="1"/>
  <c r="B1222" i="27"/>
  <c r="C1222" i="27" s="1"/>
  <c r="B1221" i="27"/>
  <c r="C1221" i="27" s="1"/>
  <c r="B1220" i="27"/>
  <c r="C1220" i="27" s="1"/>
  <c r="B1219" i="27"/>
  <c r="C1219" i="27" s="1"/>
  <c r="B1218" i="27"/>
  <c r="C1218" i="27" s="1"/>
  <c r="B1217" i="27"/>
  <c r="C1217" i="27" s="1"/>
  <c r="B1216" i="27"/>
  <c r="C1216" i="27" s="1"/>
  <c r="B1215" i="27"/>
  <c r="C1215" i="27" s="1"/>
  <c r="B1214" i="27"/>
  <c r="C1214" i="27" s="1"/>
  <c r="B1213" i="27"/>
  <c r="C1213" i="27" s="1"/>
  <c r="B1212" i="27"/>
  <c r="C1212" i="27" s="1"/>
  <c r="B1211" i="27"/>
  <c r="C1211" i="27" s="1"/>
  <c r="B1210" i="27"/>
  <c r="C1210" i="27" s="1"/>
  <c r="B1209" i="27"/>
  <c r="C1209" i="27" s="1"/>
  <c r="B1208" i="27"/>
  <c r="C1208" i="27" s="1"/>
  <c r="B1207" i="27"/>
  <c r="C1207" i="27" s="1"/>
  <c r="B1206" i="27"/>
  <c r="C1206" i="27" s="1"/>
  <c r="B1205" i="27"/>
  <c r="C1205" i="27" s="1"/>
  <c r="B1204" i="27"/>
  <c r="C1204" i="27" s="1"/>
  <c r="B1203" i="27"/>
  <c r="C1203" i="27" s="1"/>
  <c r="B1202" i="27"/>
  <c r="C1202" i="27" s="1"/>
  <c r="B1201" i="27"/>
  <c r="C1201" i="27" s="1"/>
  <c r="B1187" i="27"/>
  <c r="C1187" i="27" s="1"/>
  <c r="B1185" i="27"/>
  <c r="C1185" i="27" s="1"/>
  <c r="B1184" i="27"/>
  <c r="C1184" i="27" s="1"/>
  <c r="B1183" i="27"/>
  <c r="C1183" i="27" s="1"/>
  <c r="B1182" i="27"/>
  <c r="C1182" i="27" s="1"/>
  <c r="B1181" i="27"/>
  <c r="C1181" i="27" s="1"/>
  <c r="B1180" i="27"/>
  <c r="C1180" i="27" s="1"/>
  <c r="B1179" i="27"/>
  <c r="C1179" i="27" s="1"/>
  <c r="B1178" i="27"/>
  <c r="C1178" i="27" s="1"/>
  <c r="B1177" i="27"/>
  <c r="C1177" i="27" s="1"/>
  <c r="B1176" i="27"/>
  <c r="C1176" i="27" s="1"/>
  <c r="B1175" i="27"/>
  <c r="C1175" i="27" s="1"/>
  <c r="B1174" i="27"/>
  <c r="C1174" i="27" s="1"/>
  <c r="B1173" i="27"/>
  <c r="C1173" i="27" s="1"/>
  <c r="B1172" i="27"/>
  <c r="C1172" i="27" s="1"/>
  <c r="B1171" i="27"/>
  <c r="C1171" i="27" s="1"/>
  <c r="B1170" i="27"/>
  <c r="C1170" i="27" s="1"/>
  <c r="B1169" i="27"/>
  <c r="C1169" i="27" s="1"/>
  <c r="B1168" i="27"/>
  <c r="C1168" i="27" s="1"/>
  <c r="B1167" i="27"/>
  <c r="C1167" i="27" s="1"/>
  <c r="B1166" i="27"/>
  <c r="C1166" i="27" s="1"/>
  <c r="B1165" i="27"/>
  <c r="C1165" i="27" s="1"/>
  <c r="B1164" i="27"/>
  <c r="C1164" i="27" s="1"/>
  <c r="B1163" i="27"/>
  <c r="C1163" i="27" s="1"/>
  <c r="B1162" i="27"/>
  <c r="C1162" i="27" s="1"/>
  <c r="B1161" i="27"/>
  <c r="C1161" i="27" s="1"/>
  <c r="B1160" i="27"/>
  <c r="C1160" i="27" s="1"/>
  <c r="B1159" i="27"/>
  <c r="C1159" i="27" s="1"/>
  <c r="B1158" i="27"/>
  <c r="C1158" i="27" s="1"/>
  <c r="B1157" i="27"/>
  <c r="C1157" i="27" s="1"/>
  <c r="B1156" i="27"/>
  <c r="C1156" i="27" s="1"/>
  <c r="B1155" i="27"/>
  <c r="C1155" i="27" s="1"/>
  <c r="B1154" i="27"/>
  <c r="C1154" i="27" s="1"/>
  <c r="B1153" i="27"/>
  <c r="C1153" i="27" s="1"/>
  <c r="B1152" i="27"/>
  <c r="C1152" i="27" s="1"/>
  <c r="B1151" i="27"/>
  <c r="C1151" i="27" s="1"/>
  <c r="B1150" i="27"/>
  <c r="C1150" i="27" s="1"/>
  <c r="B1149" i="27"/>
  <c r="C1149" i="27" s="1"/>
  <c r="H6505" i="26"/>
  <c r="G5089" i="26"/>
  <c r="H5087" i="26"/>
  <c r="G5084" i="26"/>
  <c r="H5084" i="26" s="1"/>
  <c r="G5083" i="26"/>
  <c r="H5083" i="26" s="1"/>
  <c r="G5082" i="26"/>
  <c r="H5082" i="26" s="1"/>
  <c r="G5081" i="26"/>
  <c r="H5081" i="26" s="1"/>
  <c r="G5080" i="26"/>
  <c r="H5080" i="26" s="1"/>
  <c r="G5079" i="26"/>
  <c r="H5079" i="26" s="1"/>
  <c r="G5078" i="26"/>
  <c r="H5078" i="26" s="1"/>
  <c r="G5077" i="26"/>
  <c r="H5077" i="26" s="1"/>
  <c r="G5073" i="26"/>
  <c r="H5073" i="26" s="1"/>
  <c r="G5072" i="26"/>
  <c r="H5072" i="26" s="1"/>
  <c r="G5071" i="26"/>
  <c r="H5071" i="26" s="1"/>
  <c r="G5070" i="26"/>
  <c r="H5070" i="26" s="1"/>
  <c r="G4865" i="26"/>
  <c r="H4863" i="26"/>
  <c r="G4857" i="26"/>
  <c r="H4857" i="26" s="1"/>
  <c r="G4856" i="26"/>
  <c r="H4856" i="26" s="1"/>
  <c r="G4855" i="26"/>
  <c r="H4855" i="26" s="1"/>
  <c r="G4854" i="26"/>
  <c r="H4854" i="26" s="1"/>
  <c r="G4400" i="26"/>
  <c r="G4395" i="26"/>
  <c r="H4395" i="26" s="1"/>
  <c r="H4396" i="26" s="1"/>
  <c r="G4392" i="26"/>
  <c r="H4392" i="26" s="1"/>
  <c r="G4391" i="26"/>
  <c r="H4391" i="26" s="1"/>
  <c r="G4390" i="26"/>
  <c r="H4390" i="26" s="1"/>
  <c r="G4389" i="26"/>
  <c r="H4389" i="26" s="1"/>
  <c r="G4383" i="26"/>
  <c r="G4378" i="26"/>
  <c r="H4378" i="26" s="1"/>
  <c r="H4379" i="26" s="1"/>
  <c r="G4375" i="26"/>
  <c r="H4375" i="26" s="1"/>
  <c r="G4374" i="26"/>
  <c r="H4374" i="26" s="1"/>
  <c r="G4373" i="26"/>
  <c r="H4373" i="26" s="1"/>
  <c r="G4372" i="26"/>
  <c r="H4372" i="26" s="1"/>
  <c r="G4366" i="26"/>
  <c r="G4361" i="26"/>
  <c r="H4361" i="26" s="1"/>
  <c r="H4362" i="26" s="1"/>
  <c r="G4358" i="26"/>
  <c r="H4358" i="26" s="1"/>
  <c r="G4357" i="26"/>
  <c r="H4357" i="26" s="1"/>
  <c r="G4356" i="26"/>
  <c r="H4356" i="26" s="1"/>
  <c r="G4355" i="26"/>
  <c r="H4355" i="26" s="1"/>
  <c r="G4338" i="26"/>
  <c r="H4338" i="26" s="1"/>
  <c r="G4339" i="26"/>
  <c r="H4339" i="26" s="1"/>
  <c r="G4340" i="26"/>
  <c r="H4340" i="26" s="1"/>
  <c r="G4341" i="26"/>
  <c r="H4341" i="26" s="1"/>
  <c r="G4344" i="26"/>
  <c r="H4344" i="26" s="1"/>
  <c r="H4345" i="26" s="1"/>
  <c r="G4349" i="26"/>
  <c r="G4332" i="26"/>
  <c r="G4327" i="26"/>
  <c r="H4327" i="26" s="1"/>
  <c r="H4328" i="26" s="1"/>
  <c r="G4324" i="26"/>
  <c r="H4324" i="26" s="1"/>
  <c r="G4323" i="26"/>
  <c r="H4323" i="26" s="1"/>
  <c r="G4322" i="26"/>
  <c r="H4322" i="26" s="1"/>
  <c r="G4321" i="26"/>
  <c r="H4321" i="26" s="1"/>
  <c r="G4315" i="26"/>
  <c r="G4310" i="26"/>
  <c r="H4310" i="26" s="1"/>
  <c r="H4311" i="26" s="1"/>
  <c r="G4307" i="26"/>
  <c r="H4307" i="26" s="1"/>
  <c r="G4306" i="26"/>
  <c r="H4306" i="26" s="1"/>
  <c r="G4305" i="26"/>
  <c r="H4305" i="26" s="1"/>
  <c r="G4304" i="26"/>
  <c r="H4304" i="26" s="1"/>
  <c r="G4298" i="26"/>
  <c r="G4293" i="26"/>
  <c r="H4293" i="26" s="1"/>
  <c r="H4294" i="26" s="1"/>
  <c r="G4290" i="26"/>
  <c r="H4290" i="26" s="1"/>
  <c r="G4289" i="26"/>
  <c r="H4289" i="26" s="1"/>
  <c r="G4288" i="26"/>
  <c r="H4288" i="26" s="1"/>
  <c r="G4287" i="26"/>
  <c r="H4287" i="26" s="1"/>
  <c r="G4281" i="26"/>
  <c r="G4276" i="26"/>
  <c r="H4276" i="26" s="1"/>
  <c r="H4277" i="26" s="1"/>
  <c r="G4273" i="26"/>
  <c r="H4273" i="26" s="1"/>
  <c r="G4272" i="26"/>
  <c r="H4272" i="26" s="1"/>
  <c r="G4271" i="26"/>
  <c r="H4271" i="26" s="1"/>
  <c r="G4270" i="26"/>
  <c r="H4270" i="26" s="1"/>
  <c r="G4264" i="26"/>
  <c r="G4259" i="26"/>
  <c r="H4259" i="26" s="1"/>
  <c r="H4260" i="26" s="1"/>
  <c r="G4256" i="26"/>
  <c r="H4256" i="26" s="1"/>
  <c r="G4255" i="26"/>
  <c r="H4255" i="26" s="1"/>
  <c r="G4254" i="26"/>
  <c r="H4254" i="26" s="1"/>
  <c r="G4253" i="26"/>
  <c r="H4253" i="26" s="1"/>
  <c r="G4247" i="26"/>
  <c r="G4242" i="26"/>
  <c r="H4242" i="26" s="1"/>
  <c r="H4243" i="26" s="1"/>
  <c r="G4239" i="26"/>
  <c r="H4239" i="26" s="1"/>
  <c r="G4238" i="26"/>
  <c r="H4238" i="26" s="1"/>
  <c r="G4237" i="26"/>
  <c r="H4237" i="26" s="1"/>
  <c r="G4236" i="26"/>
  <c r="H4236" i="26" s="1"/>
  <c r="G4230" i="26"/>
  <c r="G4225" i="26"/>
  <c r="H4225" i="26" s="1"/>
  <c r="H4226" i="26" s="1"/>
  <c r="G4222" i="26"/>
  <c r="H4222" i="26" s="1"/>
  <c r="G4221" i="26"/>
  <c r="H4221" i="26" s="1"/>
  <c r="G4220" i="26"/>
  <c r="H4220" i="26" s="1"/>
  <c r="G4219" i="26"/>
  <c r="H4219" i="26" s="1"/>
  <c r="G4213" i="26"/>
  <c r="G4208" i="26"/>
  <c r="H4208" i="26" s="1"/>
  <c r="H4209" i="26" s="1"/>
  <c r="G4205" i="26"/>
  <c r="H4205" i="26" s="1"/>
  <c r="G4204" i="26"/>
  <c r="H4204" i="26" s="1"/>
  <c r="G4203" i="26"/>
  <c r="H4203" i="26" s="1"/>
  <c r="G4202" i="26"/>
  <c r="H4202" i="26" s="1"/>
  <c r="G4196" i="26"/>
  <c r="G4191" i="26"/>
  <c r="H4191" i="26" s="1"/>
  <c r="H4192" i="26" s="1"/>
  <c r="G4188" i="26"/>
  <c r="H4188" i="26" s="1"/>
  <c r="G4187" i="26"/>
  <c r="H4187" i="26" s="1"/>
  <c r="G4186" i="26"/>
  <c r="H4186" i="26" s="1"/>
  <c r="G4185" i="26"/>
  <c r="H4185" i="26" s="1"/>
  <c r="G4179" i="26"/>
  <c r="G4174" i="26"/>
  <c r="H4174" i="26" s="1"/>
  <c r="H4175" i="26" s="1"/>
  <c r="G4171" i="26"/>
  <c r="H4171" i="26" s="1"/>
  <c r="G4170" i="26"/>
  <c r="H4170" i="26" s="1"/>
  <c r="G4169" i="26"/>
  <c r="H4169" i="26" s="1"/>
  <c r="G4168" i="26"/>
  <c r="H4168" i="26" s="1"/>
  <c r="G4162" i="26"/>
  <c r="G4157" i="26"/>
  <c r="H4157" i="26" s="1"/>
  <c r="H4158" i="26" s="1"/>
  <c r="G4154" i="26"/>
  <c r="H4154" i="26" s="1"/>
  <c r="G4153" i="26"/>
  <c r="H4153" i="26" s="1"/>
  <c r="G4152" i="26"/>
  <c r="H4152" i="26" s="1"/>
  <c r="G4151" i="26"/>
  <c r="H4151" i="26" s="1"/>
  <c r="G4145" i="26"/>
  <c r="G4140" i="26"/>
  <c r="H4140" i="26" s="1"/>
  <c r="H4141" i="26" s="1"/>
  <c r="G4137" i="26"/>
  <c r="H4137" i="26" s="1"/>
  <c r="G4136" i="26"/>
  <c r="H4136" i="26" s="1"/>
  <c r="G4135" i="26"/>
  <c r="H4135" i="26" s="1"/>
  <c r="G4134" i="26"/>
  <c r="H4134" i="26" s="1"/>
  <c r="G4128" i="26"/>
  <c r="G4123" i="26"/>
  <c r="H4123" i="26" s="1"/>
  <c r="H4124" i="26" s="1"/>
  <c r="G4120" i="26"/>
  <c r="H4120" i="26" s="1"/>
  <c r="G4119" i="26"/>
  <c r="H4119" i="26" s="1"/>
  <c r="G4118" i="26"/>
  <c r="H4118" i="26" s="1"/>
  <c r="G4117" i="26"/>
  <c r="H4117" i="26" s="1"/>
  <c r="G4111" i="26"/>
  <c r="G4106" i="26"/>
  <c r="H4106" i="26" s="1"/>
  <c r="H4107" i="26" s="1"/>
  <c r="G4103" i="26"/>
  <c r="H4103" i="26" s="1"/>
  <c r="G4102" i="26"/>
  <c r="H4102" i="26" s="1"/>
  <c r="G4101" i="26"/>
  <c r="H4101" i="26" s="1"/>
  <c r="G4100" i="26"/>
  <c r="H4100" i="26" s="1"/>
  <c r="G4094" i="26"/>
  <c r="G4089" i="26"/>
  <c r="H4089" i="26" s="1"/>
  <c r="H4090" i="26" s="1"/>
  <c r="G4086" i="26"/>
  <c r="H4086" i="26" s="1"/>
  <c r="G4085" i="26"/>
  <c r="H4085" i="26" s="1"/>
  <c r="G4084" i="26"/>
  <c r="H4084" i="26" s="1"/>
  <c r="G4083" i="26"/>
  <c r="H4083" i="26" s="1"/>
  <c r="G4077" i="26"/>
  <c r="G4072" i="26"/>
  <c r="H4072" i="26" s="1"/>
  <c r="H4073" i="26" s="1"/>
  <c r="G4069" i="26"/>
  <c r="H4069" i="26" s="1"/>
  <c r="G4068" i="26"/>
  <c r="H4068" i="26" s="1"/>
  <c r="G4067" i="26"/>
  <c r="H4067" i="26" s="1"/>
  <c r="G4066" i="26"/>
  <c r="H4066" i="26" s="1"/>
  <c r="G4060" i="26"/>
  <c r="G4055" i="26"/>
  <c r="H4055" i="26" s="1"/>
  <c r="H4056" i="26" s="1"/>
  <c r="G4052" i="26"/>
  <c r="H4052" i="26" s="1"/>
  <c r="G4051" i="26"/>
  <c r="H4051" i="26" s="1"/>
  <c r="G4050" i="26"/>
  <c r="H4050" i="26" s="1"/>
  <c r="G4049" i="26"/>
  <c r="H4049" i="26" s="1"/>
  <c r="G4043" i="26"/>
  <c r="G4038" i="26"/>
  <c r="H4038" i="26" s="1"/>
  <c r="H4039" i="26" s="1"/>
  <c r="G4035" i="26"/>
  <c r="H4035" i="26" s="1"/>
  <c r="G4034" i="26"/>
  <c r="H4034" i="26" s="1"/>
  <c r="G4033" i="26"/>
  <c r="H4033" i="26" s="1"/>
  <c r="G4032" i="26"/>
  <c r="H4032" i="26" s="1"/>
  <c r="G4026" i="26"/>
  <c r="G4021" i="26"/>
  <c r="H4021" i="26" s="1"/>
  <c r="H4022" i="26" s="1"/>
  <c r="G4018" i="26"/>
  <c r="H4018" i="26" s="1"/>
  <c r="G4017" i="26"/>
  <c r="H4017" i="26" s="1"/>
  <c r="G4016" i="26"/>
  <c r="H4016" i="26" s="1"/>
  <c r="G4015" i="26"/>
  <c r="H4015" i="26" s="1"/>
  <c r="G4009" i="26"/>
  <c r="G4004" i="26"/>
  <c r="H4004" i="26" s="1"/>
  <c r="H4005" i="26" s="1"/>
  <c r="G4001" i="26"/>
  <c r="H4001" i="26" s="1"/>
  <c r="G4000" i="26"/>
  <c r="H4000" i="26" s="1"/>
  <c r="G3999" i="26"/>
  <c r="H3999" i="26" s="1"/>
  <c r="G3998" i="26"/>
  <c r="H3998" i="26" s="1"/>
  <c r="G3992" i="26"/>
  <c r="G3987" i="26"/>
  <c r="H3987" i="26" s="1"/>
  <c r="H3988" i="26" s="1"/>
  <c r="G3984" i="26"/>
  <c r="H3984" i="26" s="1"/>
  <c r="G3983" i="26"/>
  <c r="H3983" i="26" s="1"/>
  <c r="G3982" i="26"/>
  <c r="H3982" i="26" s="1"/>
  <c r="G3981" i="26"/>
  <c r="H3981" i="26" s="1"/>
  <c r="G3975" i="26"/>
  <c r="G3970" i="26"/>
  <c r="H3970" i="26" s="1"/>
  <c r="H3971" i="26" s="1"/>
  <c r="G3967" i="26"/>
  <c r="H3967" i="26" s="1"/>
  <c r="G3966" i="26"/>
  <c r="H3966" i="26" s="1"/>
  <c r="G3965" i="26"/>
  <c r="H3965" i="26" s="1"/>
  <c r="G3964" i="26"/>
  <c r="H3964" i="26" s="1"/>
  <c r="G3958" i="26"/>
  <c r="G3953" i="26"/>
  <c r="H3953" i="26" s="1"/>
  <c r="H3954" i="26" s="1"/>
  <c r="G3950" i="26"/>
  <c r="H3950" i="26" s="1"/>
  <c r="G3949" i="26"/>
  <c r="H3949" i="26" s="1"/>
  <c r="G3948" i="26"/>
  <c r="H3948" i="26" s="1"/>
  <c r="G3947" i="26"/>
  <c r="H3947" i="26" s="1"/>
  <c r="G3941" i="26"/>
  <c r="G3936" i="26"/>
  <c r="H3936" i="26" s="1"/>
  <c r="H3937" i="26" s="1"/>
  <c r="G3933" i="26"/>
  <c r="H3933" i="26" s="1"/>
  <c r="G3932" i="26"/>
  <c r="H3932" i="26" s="1"/>
  <c r="G3931" i="26"/>
  <c r="H3931" i="26" s="1"/>
  <c r="G3930" i="26"/>
  <c r="H3930" i="26" s="1"/>
  <c r="G3924" i="26"/>
  <c r="G3919" i="26"/>
  <c r="H3919" i="26" s="1"/>
  <c r="H3920" i="26" s="1"/>
  <c r="G3916" i="26"/>
  <c r="H3916" i="26" s="1"/>
  <c r="G3915" i="26"/>
  <c r="H3915" i="26" s="1"/>
  <c r="G3914" i="26"/>
  <c r="H3914" i="26" s="1"/>
  <c r="G3913" i="26"/>
  <c r="H3913" i="26" s="1"/>
  <c r="G3907" i="26"/>
  <c r="G3902" i="26"/>
  <c r="H3902" i="26" s="1"/>
  <c r="H3903" i="26" s="1"/>
  <c r="G3899" i="26"/>
  <c r="H3899" i="26" s="1"/>
  <c r="G3898" i="26"/>
  <c r="H3898" i="26" s="1"/>
  <c r="G3897" i="26"/>
  <c r="H3897" i="26" s="1"/>
  <c r="G3896" i="26"/>
  <c r="H3896" i="26" s="1"/>
  <c r="G3890" i="26"/>
  <c r="G3885" i="26"/>
  <c r="H3885" i="26" s="1"/>
  <c r="H3886" i="26" s="1"/>
  <c r="G3882" i="26"/>
  <c r="H3882" i="26" s="1"/>
  <c r="G3881" i="26"/>
  <c r="H3881" i="26" s="1"/>
  <c r="G3880" i="26"/>
  <c r="H3880" i="26" s="1"/>
  <c r="G3879" i="26"/>
  <c r="H3879" i="26" s="1"/>
  <c r="G3873" i="26"/>
  <c r="G3868" i="26"/>
  <c r="H3868" i="26" s="1"/>
  <c r="H3869" i="26" s="1"/>
  <c r="G3865" i="26"/>
  <c r="H3865" i="26" s="1"/>
  <c r="G3864" i="26"/>
  <c r="H3864" i="26" s="1"/>
  <c r="G3863" i="26"/>
  <c r="H3863" i="26" s="1"/>
  <c r="G3862" i="26"/>
  <c r="H3862" i="26" s="1"/>
  <c r="G3856" i="26"/>
  <c r="G3851" i="26"/>
  <c r="H3851" i="26" s="1"/>
  <c r="H3852" i="26" s="1"/>
  <c r="G3848" i="26"/>
  <c r="H3848" i="26" s="1"/>
  <c r="G3847" i="26"/>
  <c r="H3847" i="26" s="1"/>
  <c r="G3846" i="26"/>
  <c r="H3846" i="26" s="1"/>
  <c r="G3845" i="26"/>
  <c r="H3845" i="26" s="1"/>
  <c r="G3839" i="26"/>
  <c r="G3834" i="26"/>
  <c r="H3834" i="26" s="1"/>
  <c r="H3835" i="26" s="1"/>
  <c r="G3831" i="26"/>
  <c r="H3831" i="26" s="1"/>
  <c r="G3830" i="26"/>
  <c r="H3830" i="26" s="1"/>
  <c r="G3829" i="26"/>
  <c r="H3829" i="26" s="1"/>
  <c r="G3828" i="26"/>
  <c r="H3828" i="26" s="1"/>
  <c r="G3822" i="26"/>
  <c r="G3817" i="26"/>
  <c r="H3817" i="26" s="1"/>
  <c r="H3818" i="26" s="1"/>
  <c r="G3814" i="26"/>
  <c r="H3814" i="26" s="1"/>
  <c r="G3813" i="26"/>
  <c r="H3813" i="26" s="1"/>
  <c r="G3812" i="26"/>
  <c r="H3812" i="26" s="1"/>
  <c r="G3811" i="26"/>
  <c r="H3811" i="26" s="1"/>
  <c r="G3805" i="26"/>
  <c r="G3800" i="26"/>
  <c r="H3800" i="26" s="1"/>
  <c r="H3801" i="26" s="1"/>
  <c r="G3797" i="26"/>
  <c r="H3797" i="26" s="1"/>
  <c r="G3796" i="26"/>
  <c r="H3796" i="26" s="1"/>
  <c r="G3795" i="26"/>
  <c r="H3795" i="26" s="1"/>
  <c r="G3794" i="26"/>
  <c r="H3794" i="26" s="1"/>
  <c r="G3788" i="26"/>
  <c r="G3783" i="26"/>
  <c r="H3783" i="26" s="1"/>
  <c r="H3784" i="26" s="1"/>
  <c r="G3780" i="26"/>
  <c r="H3780" i="26" s="1"/>
  <c r="G3779" i="26"/>
  <c r="H3779" i="26" s="1"/>
  <c r="G3778" i="26"/>
  <c r="H3778" i="26" s="1"/>
  <c r="G3777" i="26"/>
  <c r="H3777" i="26" s="1"/>
  <c r="G3771" i="26"/>
  <c r="G3766" i="26"/>
  <c r="H3766" i="26" s="1"/>
  <c r="H3767" i="26" s="1"/>
  <c r="G3763" i="26"/>
  <c r="H3763" i="26" s="1"/>
  <c r="G3762" i="26"/>
  <c r="H3762" i="26" s="1"/>
  <c r="G3761" i="26"/>
  <c r="H3761" i="26" s="1"/>
  <c r="G3760" i="26"/>
  <c r="H3760" i="26" s="1"/>
  <c r="G3754" i="26"/>
  <c r="G3749" i="26"/>
  <c r="H3749" i="26" s="1"/>
  <c r="H3750" i="26" s="1"/>
  <c r="G3746" i="26"/>
  <c r="H3746" i="26" s="1"/>
  <c r="G3745" i="26"/>
  <c r="H3745" i="26" s="1"/>
  <c r="G3744" i="26"/>
  <c r="H3744" i="26" s="1"/>
  <c r="G3743" i="26"/>
  <c r="H3743" i="26" s="1"/>
  <c r="G3737" i="26"/>
  <c r="G3732" i="26"/>
  <c r="H3732" i="26" s="1"/>
  <c r="H3733" i="26" s="1"/>
  <c r="G3729" i="26"/>
  <c r="H3729" i="26" s="1"/>
  <c r="G3728" i="26"/>
  <c r="H3728" i="26" s="1"/>
  <c r="G3727" i="26"/>
  <c r="H3727" i="26" s="1"/>
  <c r="G3726" i="26"/>
  <c r="H3726" i="26" s="1"/>
  <c r="G3720" i="26"/>
  <c r="G3715" i="26"/>
  <c r="H3715" i="26" s="1"/>
  <c r="H3716" i="26" s="1"/>
  <c r="G3712" i="26"/>
  <c r="H3712" i="26" s="1"/>
  <c r="G3711" i="26"/>
  <c r="H3711" i="26" s="1"/>
  <c r="G3710" i="26"/>
  <c r="H3710" i="26" s="1"/>
  <c r="G3709" i="26"/>
  <c r="H3709" i="26" s="1"/>
  <c r="G3703" i="26"/>
  <c r="G3698" i="26"/>
  <c r="H3698" i="26" s="1"/>
  <c r="H3699" i="26" s="1"/>
  <c r="G3695" i="26"/>
  <c r="H3695" i="26" s="1"/>
  <c r="G3694" i="26"/>
  <c r="H3694" i="26" s="1"/>
  <c r="G3693" i="26"/>
  <c r="H3693" i="26" s="1"/>
  <c r="G3692" i="26"/>
  <c r="H3692" i="26" s="1"/>
  <c r="G3686" i="26"/>
  <c r="G3681" i="26"/>
  <c r="H3681" i="26" s="1"/>
  <c r="H3682" i="26" s="1"/>
  <c r="G3678" i="26"/>
  <c r="H3678" i="26" s="1"/>
  <c r="G3677" i="26"/>
  <c r="H3677" i="26" s="1"/>
  <c r="G3676" i="26"/>
  <c r="H3676" i="26" s="1"/>
  <c r="G3675" i="26"/>
  <c r="H3675" i="26" s="1"/>
  <c r="G3669" i="26"/>
  <c r="G3664" i="26"/>
  <c r="H3664" i="26" s="1"/>
  <c r="H3665" i="26" s="1"/>
  <c r="G3661" i="26"/>
  <c r="H3661" i="26" s="1"/>
  <c r="G3660" i="26"/>
  <c r="H3660" i="26" s="1"/>
  <c r="G3659" i="26"/>
  <c r="H3659" i="26" s="1"/>
  <c r="G3658" i="26"/>
  <c r="H3658" i="26" s="1"/>
  <c r="G3652" i="26"/>
  <c r="G3647" i="26"/>
  <c r="H3647" i="26" s="1"/>
  <c r="H3648" i="26" s="1"/>
  <c r="G3644" i="26"/>
  <c r="H3644" i="26" s="1"/>
  <c r="G3643" i="26"/>
  <c r="H3643" i="26" s="1"/>
  <c r="G3642" i="26"/>
  <c r="H3642" i="26" s="1"/>
  <c r="G3641" i="26"/>
  <c r="H3641" i="26" s="1"/>
  <c r="G3635" i="26"/>
  <c r="G3630" i="26"/>
  <c r="H3630" i="26" s="1"/>
  <c r="H3631" i="26" s="1"/>
  <c r="G3627" i="26"/>
  <c r="H3627" i="26" s="1"/>
  <c r="G3626" i="26"/>
  <c r="H3626" i="26" s="1"/>
  <c r="G3625" i="26"/>
  <c r="H3625" i="26" s="1"/>
  <c r="G3624" i="26"/>
  <c r="H3624" i="26" s="1"/>
  <c r="G3618" i="26"/>
  <c r="G3613" i="26"/>
  <c r="H3613" i="26" s="1"/>
  <c r="H3614" i="26" s="1"/>
  <c r="G3610" i="26"/>
  <c r="H3610" i="26" s="1"/>
  <c r="G3609" i="26"/>
  <c r="H3609" i="26" s="1"/>
  <c r="G3608" i="26"/>
  <c r="H3608" i="26" s="1"/>
  <c r="G3607" i="26"/>
  <c r="H3607" i="26" s="1"/>
  <c r="G3601" i="26"/>
  <c r="G3596" i="26"/>
  <c r="H3596" i="26" s="1"/>
  <c r="H3597" i="26" s="1"/>
  <c r="G3593" i="26"/>
  <c r="H3593" i="26" s="1"/>
  <c r="G3592" i="26"/>
  <c r="H3592" i="26" s="1"/>
  <c r="G3591" i="26"/>
  <c r="H3591" i="26" s="1"/>
  <c r="G3590" i="26"/>
  <c r="H3590" i="26" s="1"/>
  <c r="G3584" i="26"/>
  <c r="G3579" i="26"/>
  <c r="H3579" i="26" s="1"/>
  <c r="H3580" i="26" s="1"/>
  <c r="G3576" i="26"/>
  <c r="H3576" i="26" s="1"/>
  <c r="G3575" i="26"/>
  <c r="H3575" i="26" s="1"/>
  <c r="G3574" i="26"/>
  <c r="H3574" i="26" s="1"/>
  <c r="G3573" i="26"/>
  <c r="H3573" i="26" s="1"/>
  <c r="G3567" i="26"/>
  <c r="G3562" i="26"/>
  <c r="H3562" i="26" s="1"/>
  <c r="H3563" i="26" s="1"/>
  <c r="G3559" i="26"/>
  <c r="H3559" i="26" s="1"/>
  <c r="G3558" i="26"/>
  <c r="H3558" i="26" s="1"/>
  <c r="G3557" i="26"/>
  <c r="H3557" i="26" s="1"/>
  <c r="G3556" i="26"/>
  <c r="H3556" i="26" s="1"/>
  <c r="G3550" i="26"/>
  <c r="G3545" i="26"/>
  <c r="H3545" i="26" s="1"/>
  <c r="H3546" i="26" s="1"/>
  <c r="G3542" i="26"/>
  <c r="H3542" i="26" s="1"/>
  <c r="G3541" i="26"/>
  <c r="H3541" i="26" s="1"/>
  <c r="G3540" i="26"/>
  <c r="H3540" i="26" s="1"/>
  <c r="G3539" i="26"/>
  <c r="H3539" i="26" s="1"/>
  <c r="G3533" i="26"/>
  <c r="G3528" i="26"/>
  <c r="H3528" i="26" s="1"/>
  <c r="H3529" i="26" s="1"/>
  <c r="G3525" i="26"/>
  <c r="H3525" i="26" s="1"/>
  <c r="G3524" i="26"/>
  <c r="H3524" i="26" s="1"/>
  <c r="G3523" i="26"/>
  <c r="H3523" i="26" s="1"/>
  <c r="G3522" i="26"/>
  <c r="H3522" i="26" s="1"/>
  <c r="G3516" i="26"/>
  <c r="G3511" i="26"/>
  <c r="H3511" i="26" s="1"/>
  <c r="H3512" i="26" s="1"/>
  <c r="G3508" i="26"/>
  <c r="H3508" i="26" s="1"/>
  <c r="G3507" i="26"/>
  <c r="H3507" i="26" s="1"/>
  <c r="G3506" i="26"/>
  <c r="H3506" i="26" s="1"/>
  <c r="G3505" i="26"/>
  <c r="H3505" i="26" s="1"/>
  <c r="G3499" i="26"/>
  <c r="G3494" i="26"/>
  <c r="H3494" i="26" s="1"/>
  <c r="H3495" i="26" s="1"/>
  <c r="G3491" i="26"/>
  <c r="H3491" i="26" s="1"/>
  <c r="G3490" i="26"/>
  <c r="H3490" i="26" s="1"/>
  <c r="G3489" i="26"/>
  <c r="H3489" i="26" s="1"/>
  <c r="G3488" i="26"/>
  <c r="H3488" i="26" s="1"/>
  <c r="G3482" i="26"/>
  <c r="G3477" i="26"/>
  <c r="H3477" i="26" s="1"/>
  <c r="H3478" i="26" s="1"/>
  <c r="G3474" i="26"/>
  <c r="H3474" i="26" s="1"/>
  <c r="G3473" i="26"/>
  <c r="H3473" i="26" s="1"/>
  <c r="G3472" i="26"/>
  <c r="H3472" i="26" s="1"/>
  <c r="G3471" i="26"/>
  <c r="H3471" i="26" s="1"/>
  <c r="G3465" i="26"/>
  <c r="G3460" i="26"/>
  <c r="H3460" i="26" s="1"/>
  <c r="H3461" i="26" s="1"/>
  <c r="G3457" i="26"/>
  <c r="H3457" i="26" s="1"/>
  <c r="G3456" i="26"/>
  <c r="H3456" i="26" s="1"/>
  <c r="G3455" i="26"/>
  <c r="H3455" i="26" s="1"/>
  <c r="G3454" i="26"/>
  <c r="H3454" i="26" s="1"/>
  <c r="G3448" i="26"/>
  <c r="G3443" i="26"/>
  <c r="H3443" i="26" s="1"/>
  <c r="H3444" i="26" s="1"/>
  <c r="G3440" i="26"/>
  <c r="H3440" i="26" s="1"/>
  <c r="G3439" i="26"/>
  <c r="H3439" i="26" s="1"/>
  <c r="G3438" i="26"/>
  <c r="H3438" i="26" s="1"/>
  <c r="G3437" i="26"/>
  <c r="H3437" i="26" s="1"/>
  <c r="G3431" i="26"/>
  <c r="G3426" i="26"/>
  <c r="H3426" i="26" s="1"/>
  <c r="H3427" i="26" s="1"/>
  <c r="G3423" i="26"/>
  <c r="H3423" i="26" s="1"/>
  <c r="G3422" i="26"/>
  <c r="H3422" i="26" s="1"/>
  <c r="G3421" i="26"/>
  <c r="H3421" i="26" s="1"/>
  <c r="G3420" i="26"/>
  <c r="H3420" i="26" s="1"/>
  <c r="G3414" i="26"/>
  <c r="G3409" i="26"/>
  <c r="H3409" i="26" s="1"/>
  <c r="H3410" i="26" s="1"/>
  <c r="G3406" i="26"/>
  <c r="H3406" i="26" s="1"/>
  <c r="G3405" i="26"/>
  <c r="H3405" i="26" s="1"/>
  <c r="G3404" i="26"/>
  <c r="H3404" i="26" s="1"/>
  <c r="G3403" i="26"/>
  <c r="H3403" i="26" s="1"/>
  <c r="G3397" i="26"/>
  <c r="G3392" i="26"/>
  <c r="H3392" i="26" s="1"/>
  <c r="H3393" i="26" s="1"/>
  <c r="G3389" i="26"/>
  <c r="H3389" i="26" s="1"/>
  <c r="G3388" i="26"/>
  <c r="H3388" i="26" s="1"/>
  <c r="G3387" i="26"/>
  <c r="H3387" i="26" s="1"/>
  <c r="G3386" i="26"/>
  <c r="H3386" i="26" s="1"/>
  <c r="G3380" i="26"/>
  <c r="G3375" i="26"/>
  <c r="H3375" i="26" s="1"/>
  <c r="H3376" i="26" s="1"/>
  <c r="G3372" i="26"/>
  <c r="H3372" i="26" s="1"/>
  <c r="G3371" i="26"/>
  <c r="H3371" i="26" s="1"/>
  <c r="G3370" i="26"/>
  <c r="H3370" i="26" s="1"/>
  <c r="G3369" i="26"/>
  <c r="H3369" i="26" s="1"/>
  <c r="G3363" i="26"/>
  <c r="G3358" i="26"/>
  <c r="H3358" i="26" s="1"/>
  <c r="H3359" i="26" s="1"/>
  <c r="G3355" i="26"/>
  <c r="H3355" i="26" s="1"/>
  <c r="G3354" i="26"/>
  <c r="H3354" i="26" s="1"/>
  <c r="G3353" i="26"/>
  <c r="H3353" i="26" s="1"/>
  <c r="G3352" i="26"/>
  <c r="H3352" i="26" s="1"/>
  <c r="G3346" i="26"/>
  <c r="G3341" i="26"/>
  <c r="H3341" i="26" s="1"/>
  <c r="H3342" i="26" s="1"/>
  <c r="G3338" i="26"/>
  <c r="H3338" i="26" s="1"/>
  <c r="G3337" i="26"/>
  <c r="H3337" i="26" s="1"/>
  <c r="G3336" i="26"/>
  <c r="H3336" i="26" s="1"/>
  <c r="G3335" i="26"/>
  <c r="H3335" i="26" s="1"/>
  <c r="G3329" i="26"/>
  <c r="G3324" i="26"/>
  <c r="H3324" i="26" s="1"/>
  <c r="H3325" i="26" s="1"/>
  <c r="G3321" i="26"/>
  <c r="H3321" i="26" s="1"/>
  <c r="G3320" i="26"/>
  <c r="H3320" i="26" s="1"/>
  <c r="G3319" i="26"/>
  <c r="H3319" i="26" s="1"/>
  <c r="G3318" i="26"/>
  <c r="H3318" i="26" s="1"/>
  <c r="G3312" i="26"/>
  <c r="G3307" i="26"/>
  <c r="H3307" i="26" s="1"/>
  <c r="H3308" i="26" s="1"/>
  <c r="G3304" i="26"/>
  <c r="H3304" i="26" s="1"/>
  <c r="G3303" i="26"/>
  <c r="H3303" i="26" s="1"/>
  <c r="G3302" i="26"/>
  <c r="H3302" i="26" s="1"/>
  <c r="G3301" i="26"/>
  <c r="H3301" i="26" s="1"/>
  <c r="G3295" i="26"/>
  <c r="G3290" i="26"/>
  <c r="H3290" i="26" s="1"/>
  <c r="H3291" i="26" s="1"/>
  <c r="G3287" i="26"/>
  <c r="H3287" i="26" s="1"/>
  <c r="G3286" i="26"/>
  <c r="H3286" i="26" s="1"/>
  <c r="G3285" i="26"/>
  <c r="H3285" i="26" s="1"/>
  <c r="G3284" i="26"/>
  <c r="H3284" i="26" s="1"/>
  <c r="G3278" i="26"/>
  <c r="G3273" i="26"/>
  <c r="H3273" i="26" s="1"/>
  <c r="H3274" i="26" s="1"/>
  <c r="G3270" i="26"/>
  <c r="H3270" i="26" s="1"/>
  <c r="G3269" i="26"/>
  <c r="H3269" i="26" s="1"/>
  <c r="G3268" i="26"/>
  <c r="H3268" i="26" s="1"/>
  <c r="G3267" i="26"/>
  <c r="H3267" i="26" s="1"/>
  <c r="G3261" i="26"/>
  <c r="G3256" i="26"/>
  <c r="H3256" i="26" s="1"/>
  <c r="H3257" i="26" s="1"/>
  <c r="G3253" i="26"/>
  <c r="H3253" i="26" s="1"/>
  <c r="G3252" i="26"/>
  <c r="H3252" i="26" s="1"/>
  <c r="G3251" i="26"/>
  <c r="H3251" i="26" s="1"/>
  <c r="G3250" i="26"/>
  <c r="H3250" i="26" s="1"/>
  <c r="G3244" i="26"/>
  <c r="G3239" i="26"/>
  <c r="H3239" i="26" s="1"/>
  <c r="H3240" i="26" s="1"/>
  <c r="G3236" i="26"/>
  <c r="H3236" i="26" s="1"/>
  <c r="G3235" i="26"/>
  <c r="H3235" i="26" s="1"/>
  <c r="G3234" i="26"/>
  <c r="H3234" i="26" s="1"/>
  <c r="G3233" i="26"/>
  <c r="H3233" i="26" s="1"/>
  <c r="G3227" i="26"/>
  <c r="G3222" i="26"/>
  <c r="H3222" i="26" s="1"/>
  <c r="H3223" i="26" s="1"/>
  <c r="G3219" i="26"/>
  <c r="H3219" i="26" s="1"/>
  <c r="G3218" i="26"/>
  <c r="H3218" i="26" s="1"/>
  <c r="G3217" i="26"/>
  <c r="H3217" i="26" s="1"/>
  <c r="G3216" i="26"/>
  <c r="H3216" i="26" s="1"/>
  <c r="G3210" i="26"/>
  <c r="G3205" i="26"/>
  <c r="H3205" i="26" s="1"/>
  <c r="H3206" i="26" s="1"/>
  <c r="G3202" i="26"/>
  <c r="H3202" i="26" s="1"/>
  <c r="G3201" i="26"/>
  <c r="H3201" i="26" s="1"/>
  <c r="G3200" i="26"/>
  <c r="H3200" i="26" s="1"/>
  <c r="G3199" i="26"/>
  <c r="H3199" i="26" s="1"/>
  <c r="G4408" i="26"/>
  <c r="H4408" i="26" s="1"/>
  <c r="G3193" i="26"/>
  <c r="G3188" i="26"/>
  <c r="H3188" i="26" s="1"/>
  <c r="H3189" i="26" s="1"/>
  <c r="G3185" i="26"/>
  <c r="H3185" i="26" s="1"/>
  <c r="G3184" i="26"/>
  <c r="H3184" i="26" s="1"/>
  <c r="G3183" i="26"/>
  <c r="H3183" i="26" s="1"/>
  <c r="G3182" i="26"/>
  <c r="H3182" i="26" s="1"/>
  <c r="G3176" i="26"/>
  <c r="G3171" i="26"/>
  <c r="H3171" i="26" s="1"/>
  <c r="H3172" i="26" s="1"/>
  <c r="G3168" i="26"/>
  <c r="H3168" i="26" s="1"/>
  <c r="G3167" i="26"/>
  <c r="H3167" i="26" s="1"/>
  <c r="G3166" i="26"/>
  <c r="H3166" i="26" s="1"/>
  <c r="G3165" i="26"/>
  <c r="H3165" i="26" s="1"/>
  <c r="G3159" i="26"/>
  <c r="G3154" i="26"/>
  <c r="H3154" i="26" s="1"/>
  <c r="H3155" i="26" s="1"/>
  <c r="G3151" i="26"/>
  <c r="H3151" i="26" s="1"/>
  <c r="G3150" i="26"/>
  <c r="H3150" i="26" s="1"/>
  <c r="G3149" i="26"/>
  <c r="H3149" i="26" s="1"/>
  <c r="G3148" i="26"/>
  <c r="H3148" i="26" s="1"/>
  <c r="G3142" i="26"/>
  <c r="G3137" i="26"/>
  <c r="H3137" i="26" s="1"/>
  <c r="H3138" i="26" s="1"/>
  <c r="G3134" i="26"/>
  <c r="H3134" i="26" s="1"/>
  <c r="G3133" i="26"/>
  <c r="H3133" i="26" s="1"/>
  <c r="G3132" i="26"/>
  <c r="H3132" i="26" s="1"/>
  <c r="G3131" i="26"/>
  <c r="H3131" i="26" s="1"/>
  <c r="G3125" i="26"/>
  <c r="G3120" i="26"/>
  <c r="H3120" i="26" s="1"/>
  <c r="H3121" i="26" s="1"/>
  <c r="G3117" i="26"/>
  <c r="H3117" i="26" s="1"/>
  <c r="G3116" i="26"/>
  <c r="H3116" i="26" s="1"/>
  <c r="G3115" i="26"/>
  <c r="H3115" i="26" s="1"/>
  <c r="G3114" i="26"/>
  <c r="H3114" i="26" s="1"/>
  <c r="G3108" i="26"/>
  <c r="G3103" i="26"/>
  <c r="H3103" i="26" s="1"/>
  <c r="H3104" i="26" s="1"/>
  <c r="G3100" i="26"/>
  <c r="H3100" i="26" s="1"/>
  <c r="G3099" i="26"/>
  <c r="H3099" i="26" s="1"/>
  <c r="G3098" i="26"/>
  <c r="H3098" i="26" s="1"/>
  <c r="G3097" i="26"/>
  <c r="H3097" i="26" s="1"/>
  <c r="G3091" i="26"/>
  <c r="G3086" i="26"/>
  <c r="H3086" i="26" s="1"/>
  <c r="H3087" i="26" s="1"/>
  <c r="G3083" i="26"/>
  <c r="H3083" i="26" s="1"/>
  <c r="G3082" i="26"/>
  <c r="H3082" i="26" s="1"/>
  <c r="G3081" i="26"/>
  <c r="H3081" i="26" s="1"/>
  <c r="G3080" i="26"/>
  <c r="H3080" i="26" s="1"/>
  <c r="G3074" i="26"/>
  <c r="G3069" i="26"/>
  <c r="H3069" i="26" s="1"/>
  <c r="H3070" i="26" s="1"/>
  <c r="G3066" i="26"/>
  <c r="H3066" i="26" s="1"/>
  <c r="G3065" i="26"/>
  <c r="H3065" i="26" s="1"/>
  <c r="G3064" i="26"/>
  <c r="H3064" i="26" s="1"/>
  <c r="G3063" i="26"/>
  <c r="H3063" i="26" s="1"/>
  <c r="G3057" i="26"/>
  <c r="G3052" i="26"/>
  <c r="H3052" i="26" s="1"/>
  <c r="H3053" i="26" s="1"/>
  <c r="G3049" i="26"/>
  <c r="H3049" i="26" s="1"/>
  <c r="G3048" i="26"/>
  <c r="H3048" i="26" s="1"/>
  <c r="G3047" i="26"/>
  <c r="H3047" i="26" s="1"/>
  <c r="G3046" i="26"/>
  <c r="H3046" i="26" s="1"/>
  <c r="G3040" i="26"/>
  <c r="G3035" i="26"/>
  <c r="H3035" i="26" s="1"/>
  <c r="H3036" i="26" s="1"/>
  <c r="G3032" i="26"/>
  <c r="H3032" i="26" s="1"/>
  <c r="G3031" i="26"/>
  <c r="H3031" i="26" s="1"/>
  <c r="G3030" i="26"/>
  <c r="H3030" i="26" s="1"/>
  <c r="G3029" i="26"/>
  <c r="H3029" i="26" s="1"/>
  <c r="G3023" i="26"/>
  <c r="G3018" i="26"/>
  <c r="H3018" i="26" s="1"/>
  <c r="H3019" i="26" s="1"/>
  <c r="G3015" i="26"/>
  <c r="H3015" i="26" s="1"/>
  <c r="G3014" i="26"/>
  <c r="H3014" i="26" s="1"/>
  <c r="G3013" i="26"/>
  <c r="H3013" i="26" s="1"/>
  <c r="G3012" i="26"/>
  <c r="H3012" i="26" s="1"/>
  <c r="G3006" i="26"/>
  <c r="G3001" i="26"/>
  <c r="H3001" i="26" s="1"/>
  <c r="H3002" i="26" s="1"/>
  <c r="G2998" i="26"/>
  <c r="H2998" i="26" s="1"/>
  <c r="G2997" i="26"/>
  <c r="H2997" i="26" s="1"/>
  <c r="G2996" i="26"/>
  <c r="H2996" i="26" s="1"/>
  <c r="G2995" i="26"/>
  <c r="H2995" i="26" s="1"/>
  <c r="G2937" i="26"/>
  <c r="G2932" i="26"/>
  <c r="H2932" i="26" s="1"/>
  <c r="H2933" i="26" s="1"/>
  <c r="G2929" i="26"/>
  <c r="H2929" i="26" s="1"/>
  <c r="G2928" i="26"/>
  <c r="H2928" i="26" s="1"/>
  <c r="G2927" i="26"/>
  <c r="H2927" i="26" s="1"/>
  <c r="G2926" i="26"/>
  <c r="H2926" i="26" s="1"/>
  <c r="G2920" i="26"/>
  <c r="G2915" i="26"/>
  <c r="H2915" i="26" s="1"/>
  <c r="H2916" i="26" s="1"/>
  <c r="G2912" i="26"/>
  <c r="H2912" i="26" s="1"/>
  <c r="G2911" i="26"/>
  <c r="H2911" i="26" s="1"/>
  <c r="G2910" i="26"/>
  <c r="H2910" i="26" s="1"/>
  <c r="G2909" i="26"/>
  <c r="H2909" i="26" s="1"/>
  <c r="G2903" i="26"/>
  <c r="G2898" i="26"/>
  <c r="H2898" i="26" s="1"/>
  <c r="H2899" i="26" s="1"/>
  <c r="G2895" i="26"/>
  <c r="H2895" i="26" s="1"/>
  <c r="G2894" i="26"/>
  <c r="H2894" i="26" s="1"/>
  <c r="G2893" i="26"/>
  <c r="H2893" i="26" s="1"/>
  <c r="G2892" i="26"/>
  <c r="H2892" i="26" s="1"/>
  <c r="G2886" i="26"/>
  <c r="G2881" i="26"/>
  <c r="H2881" i="26" s="1"/>
  <c r="H2882" i="26" s="1"/>
  <c r="G2878" i="26"/>
  <c r="H2878" i="26" s="1"/>
  <c r="G2877" i="26"/>
  <c r="H2877" i="26" s="1"/>
  <c r="G2876" i="26"/>
  <c r="H2876" i="26" s="1"/>
  <c r="G2875" i="26"/>
  <c r="H2875" i="26" s="1"/>
  <c r="G2869" i="26"/>
  <c r="G2864" i="26"/>
  <c r="H2864" i="26" s="1"/>
  <c r="H2865" i="26" s="1"/>
  <c r="G2861" i="26"/>
  <c r="H2861" i="26" s="1"/>
  <c r="G2860" i="26"/>
  <c r="H2860" i="26" s="1"/>
  <c r="G2859" i="26"/>
  <c r="H2859" i="26" s="1"/>
  <c r="G2858" i="26"/>
  <c r="H2858" i="26" s="1"/>
  <c r="G2852" i="26"/>
  <c r="G2847" i="26"/>
  <c r="H2847" i="26" s="1"/>
  <c r="H2848" i="26" s="1"/>
  <c r="G2844" i="26"/>
  <c r="H2844" i="26" s="1"/>
  <c r="G2843" i="26"/>
  <c r="H2843" i="26" s="1"/>
  <c r="G2842" i="26"/>
  <c r="H2842" i="26" s="1"/>
  <c r="G2841" i="26"/>
  <c r="H2841" i="26" s="1"/>
  <c r="G2835" i="26"/>
  <c r="G2830" i="26"/>
  <c r="H2830" i="26" s="1"/>
  <c r="H2831" i="26" s="1"/>
  <c r="G2827" i="26"/>
  <c r="H2827" i="26" s="1"/>
  <c r="G2826" i="26"/>
  <c r="H2826" i="26" s="1"/>
  <c r="G2825" i="26"/>
  <c r="H2825" i="26" s="1"/>
  <c r="G2824" i="26"/>
  <c r="H2824" i="26" s="1"/>
  <c r="G2818" i="26"/>
  <c r="G2813" i="26"/>
  <c r="H2813" i="26" s="1"/>
  <c r="H2814" i="26" s="1"/>
  <c r="G2810" i="26"/>
  <c r="H2810" i="26" s="1"/>
  <c r="G2809" i="26"/>
  <c r="H2809" i="26" s="1"/>
  <c r="G2808" i="26"/>
  <c r="H2808" i="26" s="1"/>
  <c r="G2807" i="26"/>
  <c r="H2807" i="26" s="1"/>
  <c r="G2801" i="26"/>
  <c r="G2796" i="26"/>
  <c r="H2796" i="26" s="1"/>
  <c r="H2797" i="26" s="1"/>
  <c r="G2793" i="26"/>
  <c r="H2793" i="26" s="1"/>
  <c r="G2792" i="26"/>
  <c r="H2792" i="26" s="1"/>
  <c r="G2791" i="26"/>
  <c r="H2791" i="26" s="1"/>
  <c r="G2790" i="26"/>
  <c r="H2790" i="26" s="1"/>
  <c r="G2784" i="26"/>
  <c r="G2779" i="26"/>
  <c r="H2779" i="26" s="1"/>
  <c r="H2780" i="26" s="1"/>
  <c r="G2776" i="26"/>
  <c r="H2776" i="26" s="1"/>
  <c r="G2775" i="26"/>
  <c r="H2775" i="26" s="1"/>
  <c r="G2774" i="26"/>
  <c r="H2774" i="26" s="1"/>
  <c r="G2773" i="26"/>
  <c r="H2773" i="26" s="1"/>
  <c r="G2767" i="26"/>
  <c r="G2762" i="26"/>
  <c r="H2762" i="26" s="1"/>
  <c r="H2763" i="26" s="1"/>
  <c r="G2759" i="26"/>
  <c r="H2759" i="26" s="1"/>
  <c r="G2758" i="26"/>
  <c r="H2758" i="26" s="1"/>
  <c r="G2757" i="26"/>
  <c r="H2757" i="26" s="1"/>
  <c r="G2756" i="26"/>
  <c r="H2756" i="26" s="1"/>
  <c r="G2750" i="26"/>
  <c r="G2742" i="26"/>
  <c r="H2742" i="26" s="1"/>
  <c r="G2741" i="26"/>
  <c r="H2741" i="26" s="1"/>
  <c r="G2740" i="26"/>
  <c r="H2740" i="26" s="1"/>
  <c r="G2739" i="26"/>
  <c r="H2739" i="26" s="1"/>
  <c r="G2733" i="26"/>
  <c r="G2728" i="26"/>
  <c r="H2728" i="26" s="1"/>
  <c r="H2729" i="26" s="1"/>
  <c r="G2725" i="26"/>
  <c r="H2725" i="26" s="1"/>
  <c r="G2724" i="26"/>
  <c r="H2724" i="26" s="1"/>
  <c r="G2723" i="26"/>
  <c r="H2723" i="26" s="1"/>
  <c r="G2722" i="26"/>
  <c r="H2722" i="26" s="1"/>
  <c r="G2716" i="26"/>
  <c r="G2711" i="26"/>
  <c r="H2711" i="26" s="1"/>
  <c r="H2712" i="26" s="1"/>
  <c r="G2708" i="26"/>
  <c r="H2708" i="26" s="1"/>
  <c r="G2707" i="26"/>
  <c r="H2707" i="26" s="1"/>
  <c r="G2706" i="26"/>
  <c r="H2706" i="26" s="1"/>
  <c r="G2705" i="26"/>
  <c r="H2705" i="26" s="1"/>
  <c r="G2699" i="26"/>
  <c r="G2694" i="26"/>
  <c r="H2694" i="26" s="1"/>
  <c r="H2695" i="26" s="1"/>
  <c r="G2691" i="26"/>
  <c r="H2691" i="26" s="1"/>
  <c r="G2690" i="26"/>
  <c r="H2690" i="26" s="1"/>
  <c r="G2689" i="26"/>
  <c r="H2689" i="26" s="1"/>
  <c r="G2688" i="26"/>
  <c r="H2688" i="26" s="1"/>
  <c r="G2682" i="26"/>
  <c r="G2677" i="26"/>
  <c r="H2677" i="26" s="1"/>
  <c r="H2678" i="26" s="1"/>
  <c r="G2674" i="26"/>
  <c r="H2674" i="26" s="1"/>
  <c r="G2673" i="26"/>
  <c r="H2673" i="26" s="1"/>
  <c r="G2672" i="26"/>
  <c r="H2672" i="26" s="1"/>
  <c r="G2671" i="26"/>
  <c r="H2671" i="26" s="1"/>
  <c r="G2665" i="26"/>
  <c r="G2660" i="26"/>
  <c r="H2660" i="26" s="1"/>
  <c r="H2661" i="26" s="1"/>
  <c r="G2657" i="26"/>
  <c r="H2657" i="26" s="1"/>
  <c r="G2656" i="26"/>
  <c r="H2656" i="26" s="1"/>
  <c r="G2655" i="26"/>
  <c r="H2655" i="26" s="1"/>
  <c r="G2654" i="26"/>
  <c r="H2654" i="26" s="1"/>
  <c r="G2648" i="26"/>
  <c r="G2643" i="26"/>
  <c r="H2643" i="26" s="1"/>
  <c r="H2644" i="26" s="1"/>
  <c r="G2640" i="26"/>
  <c r="H2640" i="26" s="1"/>
  <c r="G2639" i="26"/>
  <c r="H2639" i="26" s="1"/>
  <c r="G2638" i="26"/>
  <c r="H2638" i="26" s="1"/>
  <c r="G2637" i="26"/>
  <c r="H2637" i="26" s="1"/>
  <c r="G2944" i="26"/>
  <c r="H2944" i="26" s="1"/>
  <c r="G2945" i="26"/>
  <c r="H2945" i="26" s="1"/>
  <c r="G2946" i="26"/>
  <c r="H2946" i="26" s="1"/>
  <c r="G2631" i="26"/>
  <c r="G2626" i="26"/>
  <c r="H2626" i="26" s="1"/>
  <c r="H2627" i="26" s="1"/>
  <c r="G2623" i="26"/>
  <c r="H2623" i="26" s="1"/>
  <c r="G2622" i="26"/>
  <c r="H2622" i="26" s="1"/>
  <c r="G2621" i="26"/>
  <c r="H2621" i="26" s="1"/>
  <c r="G2620" i="26"/>
  <c r="H2620" i="26" s="1"/>
  <c r="G2613" i="26"/>
  <c r="G2608" i="26"/>
  <c r="H2608" i="26" s="1"/>
  <c r="H2609" i="26" s="1"/>
  <c r="G2605" i="26"/>
  <c r="H2605" i="26" s="1"/>
  <c r="G2604" i="26"/>
  <c r="H2604" i="26" s="1"/>
  <c r="G2603" i="26"/>
  <c r="H2603" i="26" s="1"/>
  <c r="G2602" i="26"/>
  <c r="H2602" i="26" s="1"/>
  <c r="G2596" i="26"/>
  <c r="G2591" i="26"/>
  <c r="H2591" i="26" s="1"/>
  <c r="H2592" i="26" s="1"/>
  <c r="G2588" i="26"/>
  <c r="H2588" i="26" s="1"/>
  <c r="G2587" i="26"/>
  <c r="H2587" i="26" s="1"/>
  <c r="G2586" i="26"/>
  <c r="H2586" i="26" s="1"/>
  <c r="G2585" i="26"/>
  <c r="H2585" i="26" s="1"/>
  <c r="G2579" i="26"/>
  <c r="G2574" i="26"/>
  <c r="H2574" i="26" s="1"/>
  <c r="H2575" i="26" s="1"/>
  <c r="G2571" i="26"/>
  <c r="H2571" i="26" s="1"/>
  <c r="G2570" i="26"/>
  <c r="H2570" i="26" s="1"/>
  <c r="G2569" i="26"/>
  <c r="H2569" i="26" s="1"/>
  <c r="G2568" i="26"/>
  <c r="H2568" i="26" s="1"/>
  <c r="G2562" i="26"/>
  <c r="G2554" i="26"/>
  <c r="H2554" i="26" s="1"/>
  <c r="G2553" i="26"/>
  <c r="H2553" i="26" s="1"/>
  <c r="G2552" i="26"/>
  <c r="H2552" i="26" s="1"/>
  <c r="G2551" i="26"/>
  <c r="H2551" i="26" s="1"/>
  <c r="G2545" i="26"/>
  <c r="G2537" i="26"/>
  <c r="H2537" i="26" s="1"/>
  <c r="G2536" i="26"/>
  <c r="H2536" i="26" s="1"/>
  <c r="G2535" i="26"/>
  <c r="H2535" i="26" s="1"/>
  <c r="G2534" i="26"/>
  <c r="H2534" i="26" s="1"/>
  <c r="B1148" i="27"/>
  <c r="C1148" i="27" s="1"/>
  <c r="B1147" i="27"/>
  <c r="C1147" i="27" s="1"/>
  <c r="B1146" i="27"/>
  <c r="C1146" i="27" s="1"/>
  <c r="B1145" i="27"/>
  <c r="C1145" i="27" s="1"/>
  <c r="B1144" i="27"/>
  <c r="C1144" i="27" s="1"/>
  <c r="B1143" i="27"/>
  <c r="C1143" i="27" s="1"/>
  <c r="B1142" i="27"/>
  <c r="C1142" i="27" s="1"/>
  <c r="B1141" i="27"/>
  <c r="C1141" i="27" s="1"/>
  <c r="B1140" i="27"/>
  <c r="C1140" i="27" s="1"/>
  <c r="B1139" i="27"/>
  <c r="C1139" i="27" s="1"/>
  <c r="B1138" i="27"/>
  <c r="C1138" i="27" s="1"/>
  <c r="B1137" i="27"/>
  <c r="C1137" i="27" s="1"/>
  <c r="B1136" i="27"/>
  <c r="C1136" i="27" s="1"/>
  <c r="B1135" i="27"/>
  <c r="C1135" i="27" s="1"/>
  <c r="B1134" i="27"/>
  <c r="C1134" i="27" s="1"/>
  <c r="B1133" i="27"/>
  <c r="C1133" i="27" s="1"/>
  <c r="B1132" i="27"/>
  <c r="C1132" i="27" s="1"/>
  <c r="B1131" i="27"/>
  <c r="C1131" i="27" s="1"/>
  <c r="B1130" i="27"/>
  <c r="C1130" i="27" s="1"/>
  <c r="B1129" i="27"/>
  <c r="C1129" i="27" s="1"/>
  <c r="B1128" i="27"/>
  <c r="C1128" i="27" s="1"/>
  <c r="B1127" i="27"/>
  <c r="C1127" i="27" s="1"/>
  <c r="B1126" i="27"/>
  <c r="C1126" i="27" s="1"/>
  <c r="B1125" i="27"/>
  <c r="C1125" i="27" s="1"/>
  <c r="B1124" i="27"/>
  <c r="C1124" i="27" s="1"/>
  <c r="B1123" i="27"/>
  <c r="C1123" i="27" s="1"/>
  <c r="B1122" i="27"/>
  <c r="C1122" i="27" s="1"/>
  <c r="B1120" i="27"/>
  <c r="C1120" i="27" s="1"/>
  <c r="B1119" i="27"/>
  <c r="C1119" i="27" s="1"/>
  <c r="B1118" i="27"/>
  <c r="C1118" i="27" s="1"/>
  <c r="B1117" i="27"/>
  <c r="C1117" i="27" s="1"/>
  <c r="B1116" i="27"/>
  <c r="C1116" i="27" s="1"/>
  <c r="B1115" i="27"/>
  <c r="C1115" i="27" s="1"/>
  <c r="B1114" i="27"/>
  <c r="C1114" i="27" s="1"/>
  <c r="B1113" i="27"/>
  <c r="C1113" i="27" s="1"/>
  <c r="B1112" i="27"/>
  <c r="C1112" i="27" s="1"/>
  <c r="B1111" i="27"/>
  <c r="C1111" i="27" s="1"/>
  <c r="B1110" i="27"/>
  <c r="C1110" i="27" s="1"/>
  <c r="B1109" i="27"/>
  <c r="C1109" i="27" s="1"/>
  <c r="B1108" i="27"/>
  <c r="C1108" i="27" s="1"/>
  <c r="B1107" i="27"/>
  <c r="C1107" i="27" s="1"/>
  <c r="B1106" i="27"/>
  <c r="C1106" i="27" s="1"/>
  <c r="B1105" i="27"/>
  <c r="C1105" i="27" s="1"/>
  <c r="B1104" i="27"/>
  <c r="C1104" i="27" s="1"/>
  <c r="B1103" i="27"/>
  <c r="C1103" i="27" s="1"/>
  <c r="B1102" i="27"/>
  <c r="C1102" i="27" s="1"/>
  <c r="B1101" i="27"/>
  <c r="C1101" i="27" s="1"/>
  <c r="B1100" i="27"/>
  <c r="C1100" i="27" s="1"/>
  <c r="B1099" i="27"/>
  <c r="C1099" i="27" s="1"/>
  <c r="B1098" i="27"/>
  <c r="C1098" i="27" s="1"/>
  <c r="B1097" i="27"/>
  <c r="C1097" i="27" s="1"/>
  <c r="B1096" i="27"/>
  <c r="C1096" i="27" s="1"/>
  <c r="B1095" i="27"/>
  <c r="C1095" i="27" s="1"/>
  <c r="B1094" i="27"/>
  <c r="C1094" i="27" s="1"/>
  <c r="B1093" i="27"/>
  <c r="C1093" i="27" s="1"/>
  <c r="B1092" i="27"/>
  <c r="C1092" i="27" s="1"/>
  <c r="B1091" i="27"/>
  <c r="C1091" i="27" s="1"/>
  <c r="B1090" i="27"/>
  <c r="C1090" i="27" s="1"/>
  <c r="B1089" i="27"/>
  <c r="C1089" i="27" s="1"/>
  <c r="B1088" i="27"/>
  <c r="C1088" i="27" s="1"/>
  <c r="B1087" i="27"/>
  <c r="C1087" i="27" s="1"/>
  <c r="B1086" i="27"/>
  <c r="C1086" i="27" s="1"/>
  <c r="B1085" i="27"/>
  <c r="C1085" i="27" s="1"/>
  <c r="B1084" i="27"/>
  <c r="C1084" i="27" s="1"/>
  <c r="B1083" i="27"/>
  <c r="C1083" i="27" s="1"/>
  <c r="B1082" i="27"/>
  <c r="C1082" i="27" s="1"/>
  <c r="B1081" i="27"/>
  <c r="C1081" i="27" s="1"/>
  <c r="B1080" i="27"/>
  <c r="C1080" i="27" s="1"/>
  <c r="B1079" i="27"/>
  <c r="C1079" i="27" s="1"/>
  <c r="B1078" i="27"/>
  <c r="C1078" i="27" s="1"/>
  <c r="B1077" i="27"/>
  <c r="C1077" i="27" s="1"/>
  <c r="B1076" i="27"/>
  <c r="C1076" i="27" s="1"/>
  <c r="B1075" i="27"/>
  <c r="C1075" i="27" s="1"/>
  <c r="B1074" i="27"/>
  <c r="C1074" i="27" s="1"/>
  <c r="B1073" i="27"/>
  <c r="C1073" i="27" s="1"/>
  <c r="B1072" i="27"/>
  <c r="C1072" i="27" s="1"/>
  <c r="B1071" i="27"/>
  <c r="C1071" i="27" s="1"/>
  <c r="B1070" i="27"/>
  <c r="C1070" i="27" s="1"/>
  <c r="B1069" i="27"/>
  <c r="C1069" i="27" s="1"/>
  <c r="B1068" i="27"/>
  <c r="C1068" i="27" s="1"/>
  <c r="B1067" i="27"/>
  <c r="C1067" i="27" s="1"/>
  <c r="B1066" i="27"/>
  <c r="C1066" i="27" s="1"/>
  <c r="B1065" i="27"/>
  <c r="C1065" i="27" s="1"/>
  <c r="B1064" i="27"/>
  <c r="C1064" i="27" s="1"/>
  <c r="B1063" i="27"/>
  <c r="C1063" i="27" s="1"/>
  <c r="B1062" i="27"/>
  <c r="C1062" i="27" s="1"/>
  <c r="B1061" i="27"/>
  <c r="C1061" i="27" s="1"/>
  <c r="B1060" i="27"/>
  <c r="C1060" i="27" s="1"/>
  <c r="B1059" i="27"/>
  <c r="C1059" i="27" s="1"/>
  <c r="B1058" i="27"/>
  <c r="C1058" i="27" s="1"/>
  <c r="B1057" i="27"/>
  <c r="C1057" i="27" s="1"/>
  <c r="B1056" i="27"/>
  <c r="C1056" i="27" s="1"/>
  <c r="B1055" i="27"/>
  <c r="C1055" i="27" s="1"/>
  <c r="B1054" i="27"/>
  <c r="C1054" i="27" s="1"/>
  <c r="B1053" i="27"/>
  <c r="C1053" i="27" s="1"/>
  <c r="B1052" i="27"/>
  <c r="C1052" i="27" s="1"/>
  <c r="B1051" i="27"/>
  <c r="C1051" i="27" s="1"/>
  <c r="B1050" i="27"/>
  <c r="C1050" i="27" s="1"/>
  <c r="B1049" i="27"/>
  <c r="C1049" i="27" s="1"/>
  <c r="B1048" i="27"/>
  <c r="C1048" i="27" s="1"/>
  <c r="B1047" i="27"/>
  <c r="C1047" i="27" s="1"/>
  <c r="B1046" i="27"/>
  <c r="C1046" i="27" s="1"/>
  <c r="B1045" i="27"/>
  <c r="C1045" i="27" s="1"/>
  <c r="B1044" i="27"/>
  <c r="C1044" i="27" s="1"/>
  <c r="B1043" i="27"/>
  <c r="C1043" i="27" s="1"/>
  <c r="B1042" i="27"/>
  <c r="C1042" i="27" s="1"/>
  <c r="B1041" i="27"/>
  <c r="C1041" i="27" s="1"/>
  <c r="B1040" i="27"/>
  <c r="C1040" i="27" s="1"/>
  <c r="B1039" i="27"/>
  <c r="C1039" i="27" s="1"/>
  <c r="B1038" i="27"/>
  <c r="C1038" i="27" s="1"/>
  <c r="B1037" i="27"/>
  <c r="C1037" i="27" s="1"/>
  <c r="B1036" i="27"/>
  <c r="C1036" i="27" s="1"/>
  <c r="B1035" i="27"/>
  <c r="C1035" i="27" s="1"/>
  <c r="B1034" i="27"/>
  <c r="C1034" i="27" s="1"/>
  <c r="B1033" i="27"/>
  <c r="C1033" i="27" s="1"/>
  <c r="B1032" i="27"/>
  <c r="C1032" i="27" s="1"/>
  <c r="B1031" i="27"/>
  <c r="C1031" i="27" s="1"/>
  <c r="B1030" i="27"/>
  <c r="C1030" i="27" s="1"/>
  <c r="B1029" i="27"/>
  <c r="C1029" i="27" s="1"/>
  <c r="B1028" i="27"/>
  <c r="C1028" i="27" s="1"/>
  <c r="B1027" i="27"/>
  <c r="C1027" i="27" s="1"/>
  <c r="B1026" i="27"/>
  <c r="C1026" i="27" s="1"/>
  <c r="B1025" i="27"/>
  <c r="C1025" i="27" s="1"/>
  <c r="B1024" i="27"/>
  <c r="C1024" i="27" s="1"/>
  <c r="B1023" i="27"/>
  <c r="C1023" i="27" s="1"/>
  <c r="B1022" i="27"/>
  <c r="C1022" i="27" s="1"/>
  <c r="B1021" i="27"/>
  <c r="C1021" i="27" s="1"/>
  <c r="B1020" i="27"/>
  <c r="C1020" i="27" s="1"/>
  <c r="B1019" i="27"/>
  <c r="C1019" i="27" s="1"/>
  <c r="B1018" i="27"/>
  <c r="C1018" i="27" s="1"/>
  <c r="B1017" i="27"/>
  <c r="C1017" i="27" s="1"/>
  <c r="B1016" i="27"/>
  <c r="C1016" i="27" s="1"/>
  <c r="B1015" i="27"/>
  <c r="C1015" i="27" s="1"/>
  <c r="B1014" i="27"/>
  <c r="C1014" i="27" s="1"/>
  <c r="B1013" i="27"/>
  <c r="C1013" i="27" s="1"/>
  <c r="B1012" i="27"/>
  <c r="C1012" i="27" s="1"/>
  <c r="B1011" i="27"/>
  <c r="C1011" i="27" s="1"/>
  <c r="B1010" i="27"/>
  <c r="C1010" i="27" s="1"/>
  <c r="B1009" i="27"/>
  <c r="C1009" i="27" s="1"/>
  <c r="B1008" i="27"/>
  <c r="C1008" i="27" s="1"/>
  <c r="B1007" i="27"/>
  <c r="C1007" i="27" s="1"/>
  <c r="B1006" i="27"/>
  <c r="C1006" i="27" s="1"/>
  <c r="B1005" i="27"/>
  <c r="C1005" i="27" s="1"/>
  <c r="B1004" i="27"/>
  <c r="C1004" i="27" s="1"/>
  <c r="B1003" i="27"/>
  <c r="C1003" i="27" s="1"/>
  <c r="B1002" i="27"/>
  <c r="C1002" i="27" s="1"/>
  <c r="B1001" i="27"/>
  <c r="C1001" i="27" s="1"/>
  <c r="B1000" i="27"/>
  <c r="C1000" i="27" s="1"/>
  <c r="B999" i="27"/>
  <c r="C999" i="27" s="1"/>
  <c r="B998" i="27"/>
  <c r="C998" i="27" s="1"/>
  <c r="B997" i="27"/>
  <c r="C997" i="27" s="1"/>
  <c r="B996" i="27"/>
  <c r="C996" i="27" s="1"/>
  <c r="B995" i="27"/>
  <c r="C995" i="27" s="1"/>
  <c r="B994" i="27"/>
  <c r="C994" i="27" s="1"/>
  <c r="B993" i="27"/>
  <c r="C993" i="27" s="1"/>
  <c r="B992" i="27"/>
  <c r="C992" i="27" s="1"/>
  <c r="B991" i="27"/>
  <c r="C991" i="27" s="1"/>
  <c r="B990" i="27"/>
  <c r="C990" i="27" s="1"/>
  <c r="B989" i="27"/>
  <c r="C989" i="27" s="1"/>
  <c r="B988" i="27"/>
  <c r="C988" i="27" s="1"/>
  <c r="B987" i="27"/>
  <c r="C987" i="27" s="1"/>
  <c r="B986" i="27"/>
  <c r="C986" i="27" s="1"/>
  <c r="B985" i="27"/>
  <c r="C985" i="27" s="1"/>
  <c r="B984" i="27"/>
  <c r="C984" i="27" s="1"/>
  <c r="B983" i="27"/>
  <c r="C983" i="27" s="1"/>
  <c r="B982" i="27"/>
  <c r="C982" i="27" s="1"/>
  <c r="B981" i="27"/>
  <c r="C981" i="27" s="1"/>
  <c r="B980" i="27"/>
  <c r="C980" i="27" s="1"/>
  <c r="B979" i="27"/>
  <c r="C979" i="27" s="1"/>
  <c r="B978" i="27"/>
  <c r="C978" i="27" s="1"/>
  <c r="B977" i="27"/>
  <c r="C977" i="27" s="1"/>
  <c r="B976" i="27"/>
  <c r="C976" i="27" s="1"/>
  <c r="B975" i="27"/>
  <c r="C975" i="27" s="1"/>
  <c r="B974" i="27"/>
  <c r="C974" i="27" s="1"/>
  <c r="B973" i="27"/>
  <c r="C973" i="27" s="1"/>
  <c r="B972" i="27"/>
  <c r="C972" i="27" s="1"/>
  <c r="B971" i="27"/>
  <c r="C971" i="27" s="1"/>
  <c r="B970" i="27"/>
  <c r="C970" i="27" s="1"/>
  <c r="B969" i="27"/>
  <c r="C969" i="27" s="1"/>
  <c r="B968" i="27"/>
  <c r="C968" i="27" s="1"/>
  <c r="B967" i="27"/>
  <c r="C967" i="27" s="1"/>
  <c r="B966" i="27"/>
  <c r="C966" i="27" s="1"/>
  <c r="B965" i="27"/>
  <c r="C965" i="27" s="1"/>
  <c r="B964" i="27"/>
  <c r="C964" i="27" s="1"/>
  <c r="B963" i="27"/>
  <c r="C963" i="27" s="1"/>
  <c r="B962" i="27"/>
  <c r="C962" i="27" s="1"/>
  <c r="B961" i="27"/>
  <c r="C961" i="27" s="1"/>
  <c r="B960" i="27"/>
  <c r="C960" i="27" s="1"/>
  <c r="B959" i="27"/>
  <c r="C959" i="27" s="1"/>
  <c r="B958" i="27"/>
  <c r="C958" i="27" s="1"/>
  <c r="B957" i="27"/>
  <c r="C957" i="27" s="1"/>
  <c r="B956" i="27"/>
  <c r="C956" i="27" s="1"/>
  <c r="B955" i="27"/>
  <c r="C955" i="27" s="1"/>
  <c r="B954" i="27"/>
  <c r="C954" i="27" s="1"/>
  <c r="B953" i="27"/>
  <c r="C953" i="27" s="1"/>
  <c r="B952" i="27"/>
  <c r="C952" i="27" s="1"/>
  <c r="B951" i="27"/>
  <c r="C951" i="27" s="1"/>
  <c r="B950" i="27"/>
  <c r="C950" i="27" s="1"/>
  <c r="B949" i="27"/>
  <c r="C949" i="27" s="1"/>
  <c r="B948" i="27"/>
  <c r="C948" i="27" s="1"/>
  <c r="B947" i="27"/>
  <c r="C947" i="27" s="1"/>
  <c r="B946" i="27"/>
  <c r="C946" i="27" s="1"/>
  <c r="B945" i="27"/>
  <c r="C945" i="27" s="1"/>
  <c r="B944" i="27"/>
  <c r="C944" i="27" s="1"/>
  <c r="B943" i="27"/>
  <c r="C943" i="27" s="1"/>
  <c r="B942" i="27"/>
  <c r="C942" i="27" s="1"/>
  <c r="B941" i="27"/>
  <c r="C941" i="27" s="1"/>
  <c r="B940" i="27"/>
  <c r="C940" i="27" s="1"/>
  <c r="B939" i="27"/>
  <c r="C939" i="27" s="1"/>
  <c r="B938" i="27"/>
  <c r="C938" i="27" s="1"/>
  <c r="B937" i="27"/>
  <c r="C937" i="27" s="1"/>
  <c r="B936" i="27"/>
  <c r="C936" i="27" s="1"/>
  <c r="B935" i="27"/>
  <c r="C935" i="27" s="1"/>
  <c r="B934" i="27"/>
  <c r="C934" i="27" s="1"/>
  <c r="B933" i="27"/>
  <c r="C933" i="27" s="1"/>
  <c r="B932" i="27"/>
  <c r="C932" i="27" s="1"/>
  <c r="B931" i="27"/>
  <c r="C931" i="27" s="1"/>
  <c r="B930" i="27"/>
  <c r="C930" i="27" s="1"/>
  <c r="B929" i="27"/>
  <c r="C929" i="27" s="1"/>
  <c r="B928" i="27"/>
  <c r="C928" i="27" s="1"/>
  <c r="B927" i="27"/>
  <c r="C927" i="27" s="1"/>
  <c r="B926" i="27"/>
  <c r="C926" i="27" s="1"/>
  <c r="B925" i="27"/>
  <c r="C925" i="27" s="1"/>
  <c r="B924" i="27"/>
  <c r="C924" i="27" s="1"/>
  <c r="B923" i="27"/>
  <c r="C923" i="27" s="1"/>
  <c r="B922" i="27"/>
  <c r="C922" i="27" s="1"/>
  <c r="B921" i="27"/>
  <c r="C921" i="27" s="1"/>
  <c r="B920" i="27"/>
  <c r="C920" i="27" s="1"/>
  <c r="B919" i="27"/>
  <c r="C919" i="27" s="1"/>
  <c r="B918" i="27"/>
  <c r="C918" i="27" s="1"/>
  <c r="B917" i="27"/>
  <c r="C917" i="27" s="1"/>
  <c r="B916" i="27"/>
  <c r="C916" i="27" s="1"/>
  <c r="B915" i="27"/>
  <c r="C915" i="27" s="1"/>
  <c r="B914" i="27"/>
  <c r="C914" i="27" s="1"/>
  <c r="B913" i="27"/>
  <c r="C913" i="27" s="1"/>
  <c r="B912" i="27"/>
  <c r="C912" i="27" s="1"/>
  <c r="B911" i="27"/>
  <c r="C911" i="27" s="1"/>
  <c r="B910" i="27"/>
  <c r="C910" i="27" s="1"/>
  <c r="B909" i="27"/>
  <c r="C909" i="27" s="1"/>
  <c r="B908" i="27"/>
  <c r="C908" i="27" s="1"/>
  <c r="B907" i="27"/>
  <c r="C907" i="27" s="1"/>
  <c r="B906" i="27"/>
  <c r="C906" i="27" s="1"/>
  <c r="B905" i="27"/>
  <c r="C905" i="27" s="1"/>
  <c r="B904" i="27"/>
  <c r="C904" i="27" s="1"/>
  <c r="B903" i="27"/>
  <c r="C903" i="27" s="1"/>
  <c r="B902" i="27"/>
  <c r="C902" i="27" s="1"/>
  <c r="B901" i="27"/>
  <c r="C901" i="27" s="1"/>
  <c r="B900" i="27"/>
  <c r="C900" i="27" s="1"/>
  <c r="B899" i="27"/>
  <c r="C899" i="27" s="1"/>
  <c r="B898" i="27"/>
  <c r="C898" i="27" s="1"/>
  <c r="B897" i="27"/>
  <c r="C897" i="27" s="1"/>
  <c r="B896" i="27"/>
  <c r="C896" i="27" s="1"/>
  <c r="B895" i="27"/>
  <c r="C895" i="27" s="1"/>
  <c r="B894" i="27"/>
  <c r="C894" i="27" s="1"/>
  <c r="B893" i="27"/>
  <c r="C893" i="27" s="1"/>
  <c r="B892" i="27"/>
  <c r="C892" i="27" s="1"/>
  <c r="B891" i="27"/>
  <c r="C891" i="27" s="1"/>
  <c r="B890" i="27"/>
  <c r="C890" i="27" s="1"/>
  <c r="B889" i="27"/>
  <c r="C889" i="27" s="1"/>
  <c r="B888" i="27"/>
  <c r="C888" i="27" s="1"/>
  <c r="B887" i="27"/>
  <c r="C887" i="27" s="1"/>
  <c r="B886" i="27"/>
  <c r="C886" i="27" s="1"/>
  <c r="B885" i="27"/>
  <c r="C885" i="27" s="1"/>
  <c r="B884" i="27"/>
  <c r="C884" i="27" s="1"/>
  <c r="B883" i="27"/>
  <c r="C883" i="27" s="1"/>
  <c r="B882" i="27"/>
  <c r="C882" i="27" s="1"/>
  <c r="B881" i="27"/>
  <c r="C881" i="27" s="1"/>
  <c r="B880" i="27"/>
  <c r="C880" i="27" s="1"/>
  <c r="B879" i="27"/>
  <c r="C879" i="27" s="1"/>
  <c r="B878" i="27"/>
  <c r="C878" i="27" s="1"/>
  <c r="B877" i="27"/>
  <c r="C877" i="27" s="1"/>
  <c r="B876" i="27"/>
  <c r="C876" i="27" s="1"/>
  <c r="B875" i="27"/>
  <c r="C875" i="27" s="1"/>
  <c r="B874" i="27"/>
  <c r="C874" i="27" s="1"/>
  <c r="B873" i="27"/>
  <c r="C873" i="27" s="1"/>
  <c r="B872" i="27"/>
  <c r="C872" i="27" s="1"/>
  <c r="B871" i="27"/>
  <c r="C871" i="27" s="1"/>
  <c r="B870" i="27"/>
  <c r="C870" i="27" s="1"/>
  <c r="B869" i="27"/>
  <c r="C869" i="27" s="1"/>
  <c r="B868" i="27"/>
  <c r="C868" i="27" s="1"/>
  <c r="B867" i="27"/>
  <c r="C867" i="27" s="1"/>
  <c r="B866" i="27"/>
  <c r="C866" i="27" s="1"/>
  <c r="B865" i="27"/>
  <c r="C865" i="27" s="1"/>
  <c r="B864" i="27"/>
  <c r="C864" i="27" s="1"/>
  <c r="B863" i="27"/>
  <c r="C863" i="27" s="1"/>
  <c r="B862" i="27"/>
  <c r="C862" i="27" s="1"/>
  <c r="B861" i="27"/>
  <c r="C861" i="27" s="1"/>
  <c r="B860" i="27"/>
  <c r="C860" i="27" s="1"/>
  <c r="B859" i="27"/>
  <c r="C859" i="27" s="1"/>
  <c r="B858" i="27"/>
  <c r="C858" i="27" s="1"/>
  <c r="B857" i="27"/>
  <c r="C857" i="27" s="1"/>
  <c r="B856" i="27"/>
  <c r="C856" i="27" s="1"/>
  <c r="B855" i="27"/>
  <c r="C855" i="27" s="1"/>
  <c r="B854" i="27"/>
  <c r="C854" i="27" s="1"/>
  <c r="B853" i="27"/>
  <c r="C853" i="27" s="1"/>
  <c r="B852" i="27"/>
  <c r="C852" i="27" s="1"/>
  <c r="B851" i="27"/>
  <c r="C851" i="27" s="1"/>
  <c r="B850" i="27"/>
  <c r="C850" i="27" s="1"/>
  <c r="B849" i="27"/>
  <c r="C849" i="27" s="1"/>
  <c r="B848" i="27"/>
  <c r="C848" i="27" s="1"/>
  <c r="B847" i="27"/>
  <c r="C847" i="27" s="1"/>
  <c r="B846" i="27"/>
  <c r="C846" i="27" s="1"/>
  <c r="B845" i="27"/>
  <c r="C845" i="27" s="1"/>
  <c r="B844" i="27"/>
  <c r="C844" i="27" s="1"/>
  <c r="B843" i="27"/>
  <c r="C843" i="27" s="1"/>
  <c r="B842" i="27"/>
  <c r="C842" i="27" s="1"/>
  <c r="B841" i="27"/>
  <c r="C841" i="27" s="1"/>
  <c r="F378" i="27"/>
  <c r="F379" i="27"/>
  <c r="B840" i="27"/>
  <c r="C840" i="27" s="1"/>
  <c r="B839" i="27"/>
  <c r="C839" i="27" s="1"/>
  <c r="B838" i="27"/>
  <c r="C838" i="27" s="1"/>
  <c r="B837" i="27"/>
  <c r="C837" i="27" s="1"/>
  <c r="B836" i="27"/>
  <c r="C836" i="27" s="1"/>
  <c r="B835" i="27"/>
  <c r="C835" i="27" s="1"/>
  <c r="B834" i="27"/>
  <c r="C834" i="27" s="1"/>
  <c r="B833" i="27"/>
  <c r="C833" i="27" s="1"/>
  <c r="B832" i="27"/>
  <c r="C832" i="27" s="1"/>
  <c r="E832" i="27" s="1"/>
  <c r="B831" i="27"/>
  <c r="C831" i="27" s="1"/>
  <c r="B830" i="27"/>
  <c r="C830" i="27" s="1"/>
  <c r="E830" i="27" s="1"/>
  <c r="B829" i="27"/>
  <c r="C829" i="27" s="1"/>
  <c r="B828" i="27"/>
  <c r="C828" i="27" s="1"/>
  <c r="B827" i="27"/>
  <c r="C827" i="27" s="1"/>
  <c r="B826" i="27"/>
  <c r="C826" i="27" s="1"/>
  <c r="F826" i="27" s="1"/>
  <c r="B825" i="27"/>
  <c r="C825" i="27" s="1"/>
  <c r="F825" i="27" s="1"/>
  <c r="B824" i="27"/>
  <c r="C824" i="27" s="1"/>
  <c r="F824" i="27" s="1"/>
  <c r="B823" i="27"/>
  <c r="C823" i="27" s="1"/>
  <c r="F823" i="27" s="1"/>
  <c r="B822" i="27"/>
  <c r="C822" i="27" s="1"/>
  <c r="F822" i="27" s="1"/>
  <c r="B821" i="27"/>
  <c r="C821" i="27" s="1"/>
  <c r="F821" i="27" s="1"/>
  <c r="B820" i="27"/>
  <c r="C820" i="27" s="1"/>
  <c r="F820" i="27" s="1"/>
  <c r="B819" i="27"/>
  <c r="C819" i="27" s="1"/>
  <c r="F819" i="27" s="1"/>
  <c r="B818" i="27"/>
  <c r="C818" i="27" s="1"/>
  <c r="F818" i="27" s="1"/>
  <c r="B817" i="27"/>
  <c r="C817" i="27" s="1"/>
  <c r="B816" i="27"/>
  <c r="C816" i="27" s="1"/>
  <c r="B815" i="27"/>
  <c r="C815" i="27" s="1"/>
  <c r="B814" i="27"/>
  <c r="C814" i="27" s="1"/>
  <c r="B813" i="27"/>
  <c r="C813" i="27" s="1"/>
  <c r="B812" i="27"/>
  <c r="C812" i="27" s="1"/>
  <c r="B811" i="27"/>
  <c r="C811" i="27" s="1"/>
  <c r="B810" i="27"/>
  <c r="C810" i="27" s="1"/>
  <c r="H7742" i="43"/>
  <c r="H7718" i="43"/>
  <c r="H7716" i="43"/>
  <c r="G7713" i="43"/>
  <c r="H7713" i="43" s="1"/>
  <c r="H7702" i="43"/>
  <c r="H7700" i="43"/>
  <c r="G7697" i="43"/>
  <c r="H7697" i="43" s="1"/>
  <c r="H7686" i="43"/>
  <c r="H7684" i="43"/>
  <c r="G7681" i="43"/>
  <c r="H7681" i="43" s="1"/>
  <c r="G7680" i="43"/>
  <c r="H7680" i="43" s="1"/>
  <c r="G7666" i="43"/>
  <c r="H7666" i="43" s="1"/>
  <c r="G7665" i="43"/>
  <c r="H7665" i="43" s="1"/>
  <c r="G7662" i="43"/>
  <c r="H7662" i="43" s="1"/>
  <c r="G7648" i="43"/>
  <c r="H7648" i="43" s="1"/>
  <c r="G7647" i="43"/>
  <c r="H7647" i="43" s="1"/>
  <c r="G7644" i="43"/>
  <c r="H7644" i="43" s="1"/>
  <c r="G7630" i="43"/>
  <c r="H7630" i="43" s="1"/>
  <c r="G7629" i="43"/>
  <c r="H7629" i="43" s="1"/>
  <c r="G7626" i="43"/>
  <c r="H7626" i="43" s="1"/>
  <c r="H7612" i="43"/>
  <c r="G7609" i="43"/>
  <c r="H7609" i="43" s="1"/>
  <c r="G7607" i="43"/>
  <c r="H7607" i="43" s="1"/>
  <c r="H7598" i="43"/>
  <c r="H7596" i="43"/>
  <c r="G7593" i="43"/>
  <c r="H7593" i="43" s="1"/>
  <c r="G7591" i="43"/>
  <c r="H7591" i="43" s="1"/>
  <c r="H7582" i="43"/>
  <c r="H7580" i="43"/>
  <c r="G7577" i="43"/>
  <c r="H7577" i="43" s="1"/>
  <c r="H7565" i="43"/>
  <c r="H7563" i="43"/>
  <c r="G7560" i="43"/>
  <c r="H7560" i="43" s="1"/>
  <c r="H28" i="1"/>
  <c r="H7549" i="43"/>
  <c r="H7547" i="43"/>
  <c r="G7544" i="43"/>
  <c r="H7544" i="43" s="1"/>
  <c r="H7532" i="43"/>
  <c r="H7530" i="43"/>
  <c r="G7527" i="43"/>
  <c r="H7527" i="43" s="1"/>
  <c r="H7513" i="43"/>
  <c r="H7511" i="43"/>
  <c r="G7508" i="43"/>
  <c r="H7508" i="43" s="1"/>
  <c r="H7493" i="43"/>
  <c r="H7495" i="43"/>
  <c r="G7490" i="43"/>
  <c r="H7490" i="43" s="1"/>
  <c r="H7478" i="43"/>
  <c r="G7475" i="43"/>
  <c r="H7475" i="43" s="1"/>
  <c r="G7474" i="43"/>
  <c r="H7474" i="43" s="1"/>
  <c r="G7471" i="43"/>
  <c r="H7471" i="43" s="1"/>
  <c r="G7470" i="43"/>
  <c r="H7470" i="43" s="1"/>
  <c r="H7461" i="43"/>
  <c r="G7458" i="43"/>
  <c r="H7458" i="43" s="1"/>
  <c r="G7457" i="43"/>
  <c r="H7457" i="43" s="1"/>
  <c r="G7454" i="43"/>
  <c r="H7454" i="43" s="1"/>
  <c r="G7453" i="43"/>
  <c r="H7453" i="43" s="1"/>
  <c r="G7434" i="43"/>
  <c r="H7434" i="43" s="1"/>
  <c r="G7416" i="43"/>
  <c r="H7416" i="43" s="1"/>
  <c r="G7398" i="43"/>
  <c r="H7398" i="43" s="1"/>
  <c r="G7381" i="43"/>
  <c r="H7381" i="43" s="1"/>
  <c r="G7365" i="43"/>
  <c r="H7365" i="43" s="1"/>
  <c r="G7439" i="43"/>
  <c r="H7439" i="43" s="1"/>
  <c r="G7435" i="43"/>
  <c r="H7435" i="43" s="1"/>
  <c r="G7421" i="43"/>
  <c r="H7421" i="43" s="1"/>
  <c r="G7420" i="43"/>
  <c r="H7420" i="43" s="1"/>
  <c r="G7417" i="43"/>
  <c r="H7417" i="43" s="1"/>
  <c r="G7403" i="43"/>
  <c r="H7403" i="43" s="1"/>
  <c r="G7402" i="43"/>
  <c r="H7402" i="43" s="1"/>
  <c r="G7399" i="43"/>
  <c r="H7399" i="43" s="1"/>
  <c r="H7388" i="43"/>
  <c r="G7385" i="43"/>
  <c r="H7385" i="43" s="1"/>
  <c r="H7386" i="43" s="1"/>
  <c r="G7382" i="43"/>
  <c r="H7382" i="43" s="1"/>
  <c r="H7372" i="43"/>
  <c r="G7369" i="43"/>
  <c r="H7369" i="43" s="1"/>
  <c r="H7370" i="43" s="1"/>
  <c r="G7366" i="43"/>
  <c r="H7366" i="43" s="1"/>
  <c r="H7355" i="43"/>
  <c r="G7352" i="43"/>
  <c r="H7352" i="43" s="1"/>
  <c r="H7353" i="43" s="1"/>
  <c r="G7349" i="43"/>
  <c r="H7349" i="43" s="1"/>
  <c r="G7348" i="43"/>
  <c r="H7348" i="43" s="1"/>
  <c r="H7339" i="43"/>
  <c r="G7336" i="43"/>
  <c r="H7336" i="43" s="1"/>
  <c r="H7337" i="43" s="1"/>
  <c r="G7333" i="43"/>
  <c r="H7333" i="43" s="1"/>
  <c r="G7332" i="43"/>
  <c r="H7332" i="43" s="1"/>
  <c r="H7321" i="43"/>
  <c r="G7318" i="43"/>
  <c r="H7318" i="43" s="1"/>
  <c r="H7319" i="43" s="1"/>
  <c r="G7315" i="43"/>
  <c r="H7315" i="43" s="1"/>
  <c r="G7314" i="43"/>
  <c r="H7314" i="43" s="1"/>
  <c r="H7305" i="43"/>
  <c r="G7302" i="43"/>
  <c r="H7302" i="43" s="1"/>
  <c r="H7303" i="43" s="1"/>
  <c r="G7299" i="43"/>
  <c r="H7299" i="43" s="1"/>
  <c r="G7298" i="43"/>
  <c r="H7298" i="43" s="1"/>
  <c r="H7289" i="43"/>
  <c r="G7286" i="43"/>
  <c r="H7286" i="43" s="1"/>
  <c r="H7287" i="43" s="1"/>
  <c r="G7283" i="43"/>
  <c r="H7283" i="43" s="1"/>
  <c r="G7282" i="43"/>
  <c r="H7282" i="43" s="1"/>
  <c r="G7269" i="43"/>
  <c r="H7269" i="43" s="1"/>
  <c r="H7270" i="43" s="1"/>
  <c r="G7266" i="43"/>
  <c r="H7266" i="43" s="1"/>
  <c r="G7265" i="43"/>
  <c r="H7265" i="43" s="1"/>
  <c r="G7252" i="43"/>
  <c r="H7252" i="43" s="1"/>
  <c r="H7253" i="43" s="1"/>
  <c r="G7249" i="43"/>
  <c r="H7249" i="43" s="1"/>
  <c r="G7248" i="43"/>
  <c r="H7248" i="43" s="1"/>
  <c r="G7235" i="43"/>
  <c r="H7235" i="43" s="1"/>
  <c r="H7236" i="43" s="1"/>
  <c r="G7232" i="43"/>
  <c r="H7232" i="43" s="1"/>
  <c r="G7231" i="43"/>
  <c r="H7231" i="43" s="1"/>
  <c r="H7221" i="43"/>
  <c r="G7218" i="43"/>
  <c r="H7218" i="43" s="1"/>
  <c r="H7219" i="43" s="1"/>
  <c r="G7215" i="43"/>
  <c r="H7215" i="43" s="1"/>
  <c r="G7214" i="43"/>
  <c r="H7214" i="43" s="1"/>
  <c r="H7205" i="43"/>
  <c r="G7202" i="43"/>
  <c r="H7202" i="43" s="1"/>
  <c r="H7203" i="43" s="1"/>
  <c r="G7199" i="43"/>
  <c r="H7199" i="43" s="1"/>
  <c r="G7198" i="43"/>
  <c r="H7198" i="43" s="1"/>
  <c r="H7189" i="43"/>
  <c r="G7186" i="43"/>
  <c r="H7186" i="43" s="1"/>
  <c r="H7187" i="43" s="1"/>
  <c r="G7183" i="43"/>
  <c r="H7183" i="43" s="1"/>
  <c r="G7182" i="43"/>
  <c r="H7182" i="43" s="1"/>
  <c r="H7172" i="43"/>
  <c r="G7169" i="43"/>
  <c r="H7169" i="43" s="1"/>
  <c r="H7170" i="43" s="1"/>
  <c r="G7166" i="43"/>
  <c r="H7166" i="43" s="1"/>
  <c r="G7165" i="43"/>
  <c r="H7165" i="43" s="1"/>
  <c r="H7155" i="43"/>
  <c r="G7152" i="43"/>
  <c r="H7152" i="43" s="1"/>
  <c r="H7153" i="43" s="1"/>
  <c r="G7149" i="43"/>
  <c r="H7149" i="43" s="1"/>
  <c r="G7148" i="43"/>
  <c r="H7148" i="43" s="1"/>
  <c r="H7139" i="43"/>
  <c r="G7136" i="43"/>
  <c r="H7136" i="43" s="1"/>
  <c r="H7137" i="43" s="1"/>
  <c r="G7133" i="43"/>
  <c r="H7133" i="43" s="1"/>
  <c r="G7132" i="43"/>
  <c r="H7132" i="43" s="1"/>
  <c r="H7123" i="43"/>
  <c r="G7120" i="43"/>
  <c r="H7120" i="43" s="1"/>
  <c r="H7121" i="43" s="1"/>
  <c r="G7117" i="43"/>
  <c r="H7117" i="43" s="1"/>
  <c r="G7116" i="43"/>
  <c r="H7116" i="43" s="1"/>
  <c r="G7102" i="43"/>
  <c r="H7102" i="43" s="1"/>
  <c r="H7103" i="43" s="1"/>
  <c r="G7099" i="43"/>
  <c r="H7099" i="43" s="1"/>
  <c r="G7098" i="43"/>
  <c r="H7098" i="43" s="1"/>
  <c r="G7085" i="43"/>
  <c r="H7085" i="43" s="1"/>
  <c r="H7086" i="43" s="1"/>
  <c r="G7082" i="43"/>
  <c r="H7082" i="43" s="1"/>
  <c r="G7081" i="43"/>
  <c r="H7081" i="43" s="1"/>
  <c r="G7068" i="43"/>
  <c r="H7068" i="43" s="1"/>
  <c r="H7069" i="43" s="1"/>
  <c r="G7065" i="43"/>
  <c r="H7065" i="43" s="1"/>
  <c r="G7064" i="43"/>
  <c r="H7064" i="43" s="1"/>
  <c r="G7051" i="43"/>
  <c r="H7051" i="43" s="1"/>
  <c r="H7052" i="43" s="1"/>
  <c r="G7048" i="43"/>
  <c r="H7048" i="43" s="1"/>
  <c r="G7047" i="43"/>
  <c r="H7047" i="43" s="1"/>
  <c r="G7033" i="43"/>
  <c r="H7033" i="43" s="1"/>
  <c r="H7034" i="43" s="1"/>
  <c r="G7030" i="43"/>
  <c r="H7030" i="43" s="1"/>
  <c r="G7029" i="43"/>
  <c r="H7029" i="43" s="1"/>
  <c r="G7012" i="43"/>
  <c r="H7012" i="43" s="1"/>
  <c r="G6995" i="43"/>
  <c r="H6995" i="43" s="1"/>
  <c r="G6980" i="43"/>
  <c r="H6980" i="43" s="1"/>
  <c r="G6964" i="43"/>
  <c r="H6964" i="43" s="1"/>
  <c r="G6949" i="43"/>
  <c r="H6949" i="43" s="1"/>
  <c r="H6939" i="43"/>
  <c r="G6933" i="43"/>
  <c r="H6933" i="43" s="1"/>
  <c r="G6867" i="43"/>
  <c r="H6867" i="43" s="1"/>
  <c r="G6868" i="43"/>
  <c r="H6868" i="43" s="1"/>
  <c r="G6866" i="43"/>
  <c r="H6866" i="43" s="1"/>
  <c r="G6863" i="43"/>
  <c r="H6863" i="43" s="1"/>
  <c r="G6862" i="43"/>
  <c r="H6862" i="43" s="1"/>
  <c r="G6850" i="43"/>
  <c r="H6850" i="43" s="1"/>
  <c r="G6849" i="43"/>
  <c r="H6849" i="43" s="1"/>
  <c r="G6846" i="43"/>
  <c r="H6846" i="43" s="1"/>
  <c r="G6845" i="43"/>
  <c r="H6845" i="43" s="1"/>
  <c r="G6832" i="43"/>
  <c r="H6832" i="43" s="1"/>
  <c r="G6831" i="43"/>
  <c r="H6831" i="43" s="1"/>
  <c r="G6828" i="43"/>
  <c r="H6828" i="43" s="1"/>
  <c r="G6827" i="43"/>
  <c r="H6827" i="43" s="1"/>
  <c r="G6814" i="43"/>
  <c r="H6814" i="43" s="1"/>
  <c r="G6813" i="43"/>
  <c r="H6813" i="43" s="1"/>
  <c r="G6810" i="43"/>
  <c r="H6810" i="43" s="1"/>
  <c r="G6809" i="43"/>
  <c r="H6809" i="43" s="1"/>
  <c r="G6795" i="43"/>
  <c r="H6795" i="43" s="1"/>
  <c r="G6796" i="43"/>
  <c r="H6796" i="43" s="1"/>
  <c r="G6794" i="43"/>
  <c r="H6794" i="43" s="1"/>
  <c r="G6791" i="43"/>
  <c r="H6791" i="43" s="1"/>
  <c r="G6790" i="43"/>
  <c r="H6790" i="43" s="1"/>
  <c r="G6777" i="43"/>
  <c r="H6777" i="43" s="1"/>
  <c r="G6776" i="43"/>
  <c r="H6776" i="43" s="1"/>
  <c r="G6773" i="43"/>
  <c r="H6773" i="43" s="1"/>
  <c r="G6772" i="43"/>
  <c r="H6772" i="43" s="1"/>
  <c r="G6759" i="43"/>
  <c r="H6759" i="43" s="1"/>
  <c r="G6758" i="43"/>
  <c r="H6758" i="43" s="1"/>
  <c r="G6755" i="43"/>
  <c r="H6755" i="43" s="1"/>
  <c r="G6754" i="43"/>
  <c r="H6754" i="43" s="1"/>
  <c r="G6741" i="43"/>
  <c r="H6741" i="43" s="1"/>
  <c r="G6742" i="43"/>
  <c r="H6742" i="43" s="1"/>
  <c r="G6740" i="43"/>
  <c r="H6740" i="43" s="1"/>
  <c r="G6737" i="43"/>
  <c r="H6737" i="43" s="1"/>
  <c r="G6736" i="43"/>
  <c r="H6736" i="43" s="1"/>
  <c r="G6723" i="43"/>
  <c r="H6723" i="43" s="1"/>
  <c r="G6722" i="43"/>
  <c r="H6722" i="43" s="1"/>
  <c r="G6719" i="43"/>
  <c r="H6719" i="43" s="1"/>
  <c r="G6718" i="43"/>
  <c r="H6718" i="43" s="1"/>
  <c r="H6670" i="43"/>
  <c r="G6667" i="43"/>
  <c r="H6667" i="43" s="1"/>
  <c r="G6666" i="43"/>
  <c r="H6666" i="43" s="1"/>
  <c r="G6665" i="43"/>
  <c r="H6665" i="43" s="1"/>
  <c r="G6664" i="43"/>
  <c r="H6664" i="43" s="1"/>
  <c r="G6663" i="43"/>
  <c r="H6663" i="43" s="1"/>
  <c r="G6662" i="43"/>
  <c r="H6662" i="43" s="1"/>
  <c r="G6661" i="43"/>
  <c r="H6661" i="43" s="1"/>
  <c r="G6658" i="43"/>
  <c r="H6658" i="43" s="1"/>
  <c r="G6655" i="43"/>
  <c r="H6655" i="43" s="1"/>
  <c r="G6639" i="43"/>
  <c r="H6639" i="43" s="1"/>
  <c r="G6638" i="43"/>
  <c r="H6638" i="43" s="1"/>
  <c r="G6637" i="43"/>
  <c r="H6637" i="43" s="1"/>
  <c r="G6636" i="43"/>
  <c r="H6636" i="43" s="1"/>
  <c r="G6635" i="43"/>
  <c r="H6635" i="43" s="1"/>
  <c r="G6634" i="43"/>
  <c r="H6634" i="43" s="1"/>
  <c r="G6633" i="43"/>
  <c r="H6633" i="43" s="1"/>
  <c r="G6630" i="43"/>
  <c r="H6630" i="43" s="1"/>
  <c r="G6627" i="43"/>
  <c r="H6627" i="43" s="1"/>
  <c r="H6615" i="43"/>
  <c r="G6612" i="43"/>
  <c r="H6612" i="43" s="1"/>
  <c r="G6611" i="43"/>
  <c r="H6611" i="43" s="1"/>
  <c r="G6610" i="43"/>
  <c r="H6610" i="43" s="1"/>
  <c r="G6609" i="43"/>
  <c r="H6609" i="43" s="1"/>
  <c r="G6608" i="43"/>
  <c r="H6608" i="43" s="1"/>
  <c r="G6607" i="43"/>
  <c r="H6607" i="43" s="1"/>
  <c r="G6606" i="43"/>
  <c r="H6606" i="43" s="1"/>
  <c r="G6603" i="43"/>
  <c r="H6603" i="43" s="1"/>
  <c r="G6600" i="43"/>
  <c r="H6600" i="43" s="1"/>
  <c r="G6584" i="43"/>
  <c r="H6584" i="43" s="1"/>
  <c r="G6583" i="43"/>
  <c r="H6583" i="43" s="1"/>
  <c r="G6582" i="43"/>
  <c r="H6582" i="43" s="1"/>
  <c r="G6581" i="43"/>
  <c r="H6581" i="43" s="1"/>
  <c r="G6580" i="43"/>
  <c r="H6580" i="43" s="1"/>
  <c r="G6579" i="43"/>
  <c r="H6579" i="43" s="1"/>
  <c r="G6578" i="43"/>
  <c r="H6578" i="43" s="1"/>
  <c r="G6575" i="43"/>
  <c r="H6575" i="43" s="1"/>
  <c r="G6572" i="43"/>
  <c r="H6572" i="43" s="1"/>
  <c r="H6560" i="43"/>
  <c r="G6557" i="43"/>
  <c r="H6557" i="43" s="1"/>
  <c r="G6556" i="43"/>
  <c r="H6556" i="43" s="1"/>
  <c r="G6555" i="43"/>
  <c r="H6555" i="43" s="1"/>
  <c r="G6554" i="43"/>
  <c r="H6554" i="43" s="1"/>
  <c r="G6553" i="43"/>
  <c r="H6553" i="43" s="1"/>
  <c r="G6552" i="43"/>
  <c r="H6552" i="43" s="1"/>
  <c r="G6551" i="43"/>
  <c r="H6551" i="43" s="1"/>
  <c r="G6548" i="43"/>
  <c r="H6548" i="43" s="1"/>
  <c r="G6545" i="43"/>
  <c r="H6545" i="43" s="1"/>
  <c r="G6529" i="43"/>
  <c r="H6529" i="43" s="1"/>
  <c r="G6528" i="43"/>
  <c r="H6528" i="43" s="1"/>
  <c r="G6527" i="43"/>
  <c r="H6527" i="43" s="1"/>
  <c r="G6526" i="43"/>
  <c r="H6526" i="43" s="1"/>
  <c r="G6525" i="43"/>
  <c r="H6525" i="43" s="1"/>
  <c r="G6524" i="43"/>
  <c r="H6524" i="43" s="1"/>
  <c r="G6523" i="43"/>
  <c r="H6523" i="43" s="1"/>
  <c r="G6520" i="43"/>
  <c r="H6520" i="43" s="1"/>
  <c r="G6517" i="43"/>
  <c r="H6517" i="43" s="1"/>
  <c r="H6505" i="43"/>
  <c r="G6502" i="43"/>
  <c r="H6502" i="43" s="1"/>
  <c r="G6501" i="43"/>
  <c r="H6501" i="43" s="1"/>
  <c r="G6500" i="43"/>
  <c r="H6500" i="43" s="1"/>
  <c r="G6499" i="43"/>
  <c r="H6499" i="43" s="1"/>
  <c r="G6498" i="43"/>
  <c r="H6498" i="43" s="1"/>
  <c r="G6497" i="43"/>
  <c r="H6497" i="43" s="1"/>
  <c r="G6496" i="43"/>
  <c r="H6496" i="43" s="1"/>
  <c r="G6493" i="43"/>
  <c r="H6493" i="43" s="1"/>
  <c r="G6490" i="43"/>
  <c r="H6490" i="43" s="1"/>
  <c r="G6474" i="43"/>
  <c r="H6474" i="43" s="1"/>
  <c r="G6473" i="43"/>
  <c r="H6473" i="43" s="1"/>
  <c r="G6472" i="43"/>
  <c r="H6472" i="43" s="1"/>
  <c r="G6471" i="43"/>
  <c r="H6471" i="43" s="1"/>
  <c r="G6470" i="43"/>
  <c r="H6470" i="43" s="1"/>
  <c r="G6469" i="43"/>
  <c r="H6469" i="43" s="1"/>
  <c r="G6468" i="43"/>
  <c r="H6468" i="43" s="1"/>
  <c r="G6465" i="43"/>
  <c r="H6465" i="43" s="1"/>
  <c r="G6462" i="43"/>
  <c r="H6462" i="43" s="1"/>
  <c r="H6450" i="43"/>
  <c r="G6447" i="43"/>
  <c r="H6447" i="43" s="1"/>
  <c r="G6446" i="43"/>
  <c r="H6446" i="43" s="1"/>
  <c r="G6445" i="43"/>
  <c r="H6445" i="43" s="1"/>
  <c r="G6444" i="43"/>
  <c r="H6444" i="43" s="1"/>
  <c r="G6443" i="43"/>
  <c r="H6443" i="43" s="1"/>
  <c r="G6442" i="43"/>
  <c r="H6442" i="43" s="1"/>
  <c r="G6441" i="43"/>
  <c r="H6441" i="43" s="1"/>
  <c r="G6438" i="43"/>
  <c r="H6438" i="43" s="1"/>
  <c r="G6435" i="43"/>
  <c r="H6435" i="43" s="1"/>
  <c r="G6419" i="43"/>
  <c r="H6419" i="43" s="1"/>
  <c r="G6418" i="43"/>
  <c r="H6418" i="43" s="1"/>
  <c r="G6417" i="43"/>
  <c r="H6417" i="43" s="1"/>
  <c r="G6416" i="43"/>
  <c r="H6416" i="43" s="1"/>
  <c r="G6415" i="43"/>
  <c r="H6415" i="43" s="1"/>
  <c r="G6414" i="43"/>
  <c r="H6414" i="43" s="1"/>
  <c r="G6413" i="43"/>
  <c r="H6413" i="43" s="1"/>
  <c r="G6410" i="43"/>
  <c r="H6410" i="43" s="1"/>
  <c r="G6407" i="43"/>
  <c r="H6407" i="43" s="1"/>
  <c r="H6395" i="43"/>
  <c r="G6392" i="43"/>
  <c r="H6392" i="43" s="1"/>
  <c r="G6391" i="43"/>
  <c r="H6391" i="43" s="1"/>
  <c r="G6390" i="43"/>
  <c r="H6390" i="43" s="1"/>
  <c r="G6389" i="43"/>
  <c r="H6389" i="43" s="1"/>
  <c r="G6388" i="43"/>
  <c r="H6388" i="43" s="1"/>
  <c r="G6387" i="43"/>
  <c r="H6387" i="43" s="1"/>
  <c r="G6386" i="43"/>
  <c r="H6386" i="43" s="1"/>
  <c r="G6383" i="43"/>
  <c r="H6383" i="43" s="1"/>
  <c r="G6380" i="43"/>
  <c r="H6380" i="43" s="1"/>
  <c r="H6339" i="43"/>
  <c r="G6355" i="43"/>
  <c r="H6355" i="43" s="1"/>
  <c r="G6336" i="43"/>
  <c r="H6336" i="43" s="1"/>
  <c r="G6335" i="43"/>
  <c r="H6335" i="43" s="1"/>
  <c r="H6334" i="43"/>
  <c r="G6330" i="43"/>
  <c r="H6330" i="43" s="1"/>
  <c r="G6327" i="43"/>
  <c r="H6327" i="43" s="1"/>
  <c r="H6315" i="43"/>
  <c r="G6312" i="43"/>
  <c r="H6312" i="43" s="1"/>
  <c r="G6311" i="43"/>
  <c r="H6311" i="43" s="1"/>
  <c r="H6310" i="43"/>
  <c r="G6306" i="43"/>
  <c r="H6306" i="43" s="1"/>
  <c r="G6303" i="43"/>
  <c r="H6303" i="43" s="1"/>
  <c r="H6291" i="43"/>
  <c r="G6288" i="43"/>
  <c r="H6288" i="43" s="1"/>
  <c r="G6287" i="43"/>
  <c r="H6287" i="43" s="1"/>
  <c r="H6286" i="43"/>
  <c r="G6282" i="43"/>
  <c r="H6282" i="43" s="1"/>
  <c r="G6279" i="43"/>
  <c r="H6279" i="43" s="1"/>
  <c r="G6255" i="43"/>
  <c r="H6255" i="43" s="1"/>
  <c r="H6267" i="43"/>
  <c r="G6264" i="43"/>
  <c r="H6264" i="43" s="1"/>
  <c r="G6263" i="43"/>
  <c r="H6263" i="43" s="1"/>
  <c r="H6262" i="43"/>
  <c r="G6261" i="43"/>
  <c r="H6261" i="43" s="1"/>
  <c r="G6258" i="43"/>
  <c r="H6258" i="43" s="1"/>
  <c r="H6242" i="43"/>
  <c r="G6239" i="43"/>
  <c r="H6239" i="43" s="1"/>
  <c r="G6238" i="43"/>
  <c r="H6238" i="43" s="1"/>
  <c r="G6237" i="43"/>
  <c r="H6237" i="43" s="1"/>
  <c r="H6236" i="43"/>
  <c r="G6235" i="43"/>
  <c r="H6235" i="43" s="1"/>
  <c r="G6231" i="43"/>
  <c r="H6231" i="43" s="1"/>
  <c r="H6217" i="43"/>
  <c r="G6214" i="43"/>
  <c r="H6214" i="43" s="1"/>
  <c r="G6213" i="43"/>
  <c r="H6213" i="43" s="1"/>
  <c r="G6212" i="43"/>
  <c r="H6212" i="43" s="1"/>
  <c r="H6211" i="43"/>
  <c r="G6210" i="43"/>
  <c r="H6210" i="43" s="1"/>
  <c r="G6206" i="43"/>
  <c r="H6206" i="43" s="1"/>
  <c r="H6192" i="43"/>
  <c r="G6189" i="43"/>
  <c r="H6189" i="43" s="1"/>
  <c r="G6188" i="43"/>
  <c r="H6188" i="43" s="1"/>
  <c r="G6187" i="43"/>
  <c r="H6187" i="43" s="1"/>
  <c r="H6186" i="43"/>
  <c r="G6185" i="43"/>
  <c r="H6185" i="43" s="1"/>
  <c r="G6181" i="43"/>
  <c r="H6181" i="43" s="1"/>
  <c r="H6167" i="43"/>
  <c r="G6164" i="43"/>
  <c r="H6164" i="43" s="1"/>
  <c r="G6163" i="43"/>
  <c r="H6163" i="43" s="1"/>
  <c r="G6162" i="43"/>
  <c r="H6162" i="43" s="1"/>
  <c r="H6161" i="43"/>
  <c r="G6160" i="43"/>
  <c r="H6160" i="43" s="1"/>
  <c r="G6156" i="43"/>
  <c r="H6156" i="43" s="1"/>
  <c r="H6142" i="43"/>
  <c r="G6139" i="43"/>
  <c r="H6139" i="43" s="1"/>
  <c r="G6138" i="43"/>
  <c r="H6138" i="43" s="1"/>
  <c r="G6137" i="43"/>
  <c r="H6137" i="43" s="1"/>
  <c r="H6136" i="43"/>
  <c r="G6135" i="43"/>
  <c r="H6135" i="43" s="1"/>
  <c r="G6131" i="43"/>
  <c r="H6131" i="43" s="1"/>
  <c r="H6116" i="43"/>
  <c r="G6113" i="43"/>
  <c r="H6113" i="43" s="1"/>
  <c r="G6112" i="43"/>
  <c r="H6112" i="43" s="1"/>
  <c r="G6111" i="43"/>
  <c r="H6111" i="43" s="1"/>
  <c r="H6110" i="43"/>
  <c r="G6109" i="43"/>
  <c r="H6109" i="43" s="1"/>
  <c r="G6105" i="43"/>
  <c r="H6105" i="43" s="1"/>
  <c r="H6091" i="43"/>
  <c r="G6088" i="43"/>
  <c r="H6088" i="43" s="1"/>
  <c r="G6087" i="43"/>
  <c r="H6087" i="43" s="1"/>
  <c r="G6086" i="43"/>
  <c r="H6086" i="43" s="1"/>
  <c r="H6085" i="43"/>
  <c r="G6084" i="43"/>
  <c r="H6084" i="43" s="1"/>
  <c r="G6080" i="43"/>
  <c r="H6080" i="43" s="1"/>
  <c r="H6066" i="43"/>
  <c r="G6063" i="43"/>
  <c r="H6063" i="43" s="1"/>
  <c r="G6062" i="43"/>
  <c r="H6062" i="43" s="1"/>
  <c r="G6061" i="43"/>
  <c r="H6061" i="43" s="1"/>
  <c r="H6060" i="43"/>
  <c r="G6059" i="43"/>
  <c r="H6059" i="43" s="1"/>
  <c r="G6055" i="43"/>
  <c r="H6055" i="43" s="1"/>
  <c r="H6041" i="43"/>
  <c r="G6038" i="43"/>
  <c r="H6038" i="43" s="1"/>
  <c r="G6037" i="43"/>
  <c r="H6037" i="43" s="1"/>
  <c r="G6036" i="43"/>
  <c r="H6036" i="43" s="1"/>
  <c r="H6035" i="43"/>
  <c r="G6034" i="43"/>
  <c r="H6034" i="43" s="1"/>
  <c r="G6030" i="43"/>
  <c r="H6030" i="43" s="1"/>
  <c r="H6016" i="43"/>
  <c r="G6013" i="43"/>
  <c r="H6013" i="43" s="1"/>
  <c r="G6012" i="43"/>
  <c r="H6012" i="43" s="1"/>
  <c r="G6011" i="43"/>
  <c r="H6011" i="43" s="1"/>
  <c r="H6010" i="43"/>
  <c r="G6009" i="43"/>
  <c r="H6009" i="43" s="1"/>
  <c r="G6005" i="43"/>
  <c r="H6005" i="43" s="1"/>
  <c r="H5991" i="43"/>
  <c r="G5988" i="43"/>
  <c r="H5988" i="43" s="1"/>
  <c r="G5987" i="43"/>
  <c r="H5987" i="43" s="1"/>
  <c r="G5986" i="43"/>
  <c r="H5986" i="43" s="1"/>
  <c r="H5985" i="43"/>
  <c r="G5984" i="43"/>
  <c r="H5984" i="43" s="1"/>
  <c r="G5980" i="43"/>
  <c r="H5980" i="43" s="1"/>
  <c r="H5966" i="43"/>
  <c r="G5963" i="43"/>
  <c r="H5963" i="43" s="1"/>
  <c r="G5962" i="43"/>
  <c r="H5962" i="43" s="1"/>
  <c r="G5961" i="43"/>
  <c r="H5961" i="43" s="1"/>
  <c r="H5960" i="43"/>
  <c r="G5959" i="43"/>
  <c r="H5959" i="43" s="1"/>
  <c r="G5955" i="43"/>
  <c r="H5955" i="43" s="1"/>
  <c r="H5941" i="43"/>
  <c r="G5938" i="43"/>
  <c r="H5938" i="43" s="1"/>
  <c r="G5937" i="43"/>
  <c r="H5937" i="43" s="1"/>
  <c r="G5936" i="43"/>
  <c r="H5936" i="43" s="1"/>
  <c r="H5935" i="43"/>
  <c r="G5934" i="43"/>
  <c r="H5934" i="43" s="1"/>
  <c r="G5930" i="43"/>
  <c r="H5930" i="43" s="1"/>
  <c r="H5916" i="43"/>
  <c r="G5913" i="43"/>
  <c r="H5913" i="43" s="1"/>
  <c r="G5912" i="43"/>
  <c r="H5912" i="43" s="1"/>
  <c r="G5911" i="43"/>
  <c r="H5911" i="43" s="1"/>
  <c r="H5910" i="43"/>
  <c r="G5909" i="43"/>
  <c r="H5909" i="43" s="1"/>
  <c r="G5905" i="43"/>
  <c r="H5905" i="43" s="1"/>
  <c r="H5891" i="43"/>
  <c r="G5888" i="43"/>
  <c r="H5888" i="43" s="1"/>
  <c r="G5887" i="43"/>
  <c r="H5887" i="43" s="1"/>
  <c r="G5886" i="43"/>
  <c r="H5886" i="43" s="1"/>
  <c r="H5885" i="43"/>
  <c r="G5884" i="43"/>
  <c r="H5884" i="43" s="1"/>
  <c r="G5880" i="43"/>
  <c r="H5880" i="43" s="1"/>
  <c r="H5866" i="43"/>
  <c r="G5863" i="43"/>
  <c r="H5863" i="43" s="1"/>
  <c r="G5862" i="43"/>
  <c r="H5862" i="43" s="1"/>
  <c r="G5861" i="43"/>
  <c r="H5861" i="43" s="1"/>
  <c r="H5860" i="43"/>
  <c r="G5859" i="43"/>
  <c r="H5859" i="43" s="1"/>
  <c r="G5855" i="43"/>
  <c r="H5855" i="43" s="1"/>
  <c r="H5841" i="43"/>
  <c r="G5838" i="43"/>
  <c r="H5838" i="43" s="1"/>
  <c r="G5837" i="43"/>
  <c r="H5837" i="43" s="1"/>
  <c r="G5836" i="43"/>
  <c r="H5836" i="43" s="1"/>
  <c r="H5835" i="43"/>
  <c r="G5834" i="43"/>
  <c r="H5834" i="43" s="1"/>
  <c r="G5830" i="43"/>
  <c r="H5830" i="43" s="1"/>
  <c r="H5816" i="43"/>
  <c r="G5813" i="43"/>
  <c r="H5813" i="43" s="1"/>
  <c r="G5812" i="43"/>
  <c r="H5812" i="43" s="1"/>
  <c r="G5811" i="43"/>
  <c r="H5811" i="43" s="1"/>
  <c r="H5810" i="43"/>
  <c r="G5809" i="43"/>
  <c r="H5809" i="43" s="1"/>
  <c r="G5805" i="43"/>
  <c r="H5805" i="43" s="1"/>
  <c r="H5791" i="43"/>
  <c r="G5788" i="43"/>
  <c r="H5788" i="43" s="1"/>
  <c r="G5787" i="43"/>
  <c r="H5787" i="43" s="1"/>
  <c r="G5786" i="43"/>
  <c r="H5786" i="43" s="1"/>
  <c r="H5785" i="43"/>
  <c r="G5784" i="43"/>
  <c r="H5784" i="43" s="1"/>
  <c r="G5780" i="43"/>
  <c r="H5780" i="43" s="1"/>
  <c r="H5766" i="43"/>
  <c r="G5763" i="43"/>
  <c r="H5763" i="43" s="1"/>
  <c r="G5762" i="43"/>
  <c r="H5762" i="43" s="1"/>
  <c r="G5761" i="43"/>
  <c r="H5761" i="43" s="1"/>
  <c r="H5760" i="43"/>
  <c r="G5759" i="43"/>
  <c r="H5759" i="43" s="1"/>
  <c r="G5755" i="43"/>
  <c r="H5755" i="43" s="1"/>
  <c r="H5741" i="43"/>
  <c r="G5738" i="43"/>
  <c r="H5738" i="43" s="1"/>
  <c r="G5737" i="43"/>
  <c r="H5737" i="43" s="1"/>
  <c r="G5736" i="43"/>
  <c r="H5736" i="43" s="1"/>
  <c r="H5735" i="43"/>
  <c r="G5734" i="43"/>
  <c r="H5734" i="43" s="1"/>
  <c r="G5730" i="43"/>
  <c r="H5730" i="43" s="1"/>
  <c r="H5716" i="43"/>
  <c r="G5713" i="43"/>
  <c r="H5713" i="43" s="1"/>
  <c r="G5712" i="43"/>
  <c r="H5712" i="43" s="1"/>
  <c r="G5711" i="43"/>
  <c r="H5711" i="43" s="1"/>
  <c r="H5710" i="43"/>
  <c r="G5709" i="43"/>
  <c r="H5709" i="43" s="1"/>
  <c r="G5705" i="43"/>
  <c r="H5705" i="43" s="1"/>
  <c r="H5691" i="43"/>
  <c r="G5688" i="43"/>
  <c r="H5688" i="43" s="1"/>
  <c r="G5687" i="43"/>
  <c r="H5687" i="43" s="1"/>
  <c r="G5686" i="43"/>
  <c r="H5686" i="43" s="1"/>
  <c r="H5685" i="43"/>
  <c r="G5684" i="43"/>
  <c r="H5684" i="43" s="1"/>
  <c r="G5680" i="43"/>
  <c r="H5680" i="43" s="1"/>
  <c r="H5666" i="43"/>
  <c r="G5663" i="43"/>
  <c r="H5663" i="43" s="1"/>
  <c r="G5662" i="43"/>
  <c r="H5662" i="43" s="1"/>
  <c r="G5661" i="43"/>
  <c r="H5661" i="43" s="1"/>
  <c r="H5660" i="43"/>
  <c r="G5659" i="43"/>
  <c r="H5659" i="43" s="1"/>
  <c r="G5655" i="43"/>
  <c r="H5655" i="43" s="1"/>
  <c r="H5640" i="43"/>
  <c r="G5637" i="43"/>
  <c r="H5637" i="43" s="1"/>
  <c r="G5636" i="43"/>
  <c r="H5636" i="43" s="1"/>
  <c r="G5635" i="43"/>
  <c r="H5635" i="43" s="1"/>
  <c r="H5634" i="43"/>
  <c r="G5633" i="43"/>
  <c r="H5633" i="43" s="1"/>
  <c r="G5629" i="43"/>
  <c r="H5629" i="43" s="1"/>
  <c r="H5615" i="43"/>
  <c r="G5612" i="43"/>
  <c r="H5612" i="43" s="1"/>
  <c r="G5611" i="43"/>
  <c r="H5611" i="43" s="1"/>
  <c r="G5610" i="43"/>
  <c r="H5610" i="43" s="1"/>
  <c r="H5609" i="43"/>
  <c r="G5608" i="43"/>
  <c r="H5608" i="43" s="1"/>
  <c r="G5604" i="43"/>
  <c r="H5604" i="43" s="1"/>
  <c r="H5590" i="43"/>
  <c r="G5587" i="43"/>
  <c r="H5587" i="43" s="1"/>
  <c r="G5586" i="43"/>
  <c r="H5586" i="43" s="1"/>
  <c r="G5585" i="43"/>
  <c r="H5585" i="43" s="1"/>
  <c r="H5584" i="43"/>
  <c r="G5583" i="43"/>
  <c r="H5583" i="43" s="1"/>
  <c r="G5579" i="43"/>
  <c r="H5579" i="43" s="1"/>
  <c r="H5565" i="43"/>
  <c r="G5562" i="43"/>
  <c r="H5562" i="43" s="1"/>
  <c r="G5561" i="43"/>
  <c r="H5561" i="43" s="1"/>
  <c r="G5560" i="43"/>
  <c r="H5560" i="43" s="1"/>
  <c r="H5559" i="43"/>
  <c r="G5558" i="43"/>
  <c r="H5558" i="43" s="1"/>
  <c r="G5554" i="43"/>
  <c r="H5554" i="43" s="1"/>
  <c r="H5540" i="43"/>
  <c r="G5537" i="43"/>
  <c r="H5537" i="43" s="1"/>
  <c r="G5536" i="43"/>
  <c r="H5536" i="43" s="1"/>
  <c r="G5535" i="43"/>
  <c r="H5535" i="43" s="1"/>
  <c r="H5534" i="43"/>
  <c r="G5533" i="43"/>
  <c r="H5533" i="43" s="1"/>
  <c r="G5529" i="43"/>
  <c r="H5529" i="43" s="1"/>
  <c r="H5515" i="43"/>
  <c r="G5512" i="43"/>
  <c r="H5512" i="43" s="1"/>
  <c r="G5511" i="43"/>
  <c r="H5511" i="43" s="1"/>
  <c r="G5510" i="43"/>
  <c r="H5510" i="43" s="1"/>
  <c r="H5509" i="43"/>
  <c r="G5508" i="43"/>
  <c r="H5508" i="43" s="1"/>
  <c r="G5504" i="43"/>
  <c r="H5504" i="43" s="1"/>
  <c r="H5490" i="43"/>
  <c r="G5487" i="43"/>
  <c r="H5487" i="43" s="1"/>
  <c r="G5486" i="43"/>
  <c r="H5486" i="43" s="1"/>
  <c r="G5485" i="43"/>
  <c r="H5485" i="43" s="1"/>
  <c r="H5484" i="43"/>
  <c r="G5483" i="43"/>
  <c r="H5483" i="43" s="1"/>
  <c r="G5479" i="43"/>
  <c r="H5479" i="43" s="1"/>
  <c r="H5465" i="43"/>
  <c r="G5462" i="43"/>
  <c r="H5462" i="43" s="1"/>
  <c r="G5461" i="43"/>
  <c r="H5461" i="43" s="1"/>
  <c r="G5460" i="43"/>
  <c r="H5460" i="43" s="1"/>
  <c r="H5459" i="43"/>
  <c r="G5458" i="43"/>
  <c r="H5458" i="43" s="1"/>
  <c r="G5454" i="43"/>
  <c r="H5454" i="43" s="1"/>
  <c r="H5440" i="43"/>
  <c r="G5437" i="43"/>
  <c r="H5437" i="43" s="1"/>
  <c r="G5436" i="43"/>
  <c r="H5436" i="43" s="1"/>
  <c r="G5435" i="43"/>
  <c r="H5435" i="43" s="1"/>
  <c r="H5434" i="43"/>
  <c r="G5433" i="43"/>
  <c r="H5433" i="43" s="1"/>
  <c r="G5429" i="43"/>
  <c r="H5429" i="43" s="1"/>
  <c r="H5415" i="43"/>
  <c r="G5412" i="43"/>
  <c r="H5412" i="43" s="1"/>
  <c r="G5411" i="43"/>
  <c r="H5411" i="43" s="1"/>
  <c r="G5410" i="43"/>
  <c r="H5410" i="43" s="1"/>
  <c r="H5409" i="43"/>
  <c r="G5408" i="43"/>
  <c r="H5408" i="43" s="1"/>
  <c r="G5404" i="43"/>
  <c r="H5404" i="43" s="1"/>
  <c r="H5390" i="43"/>
  <c r="G5387" i="43"/>
  <c r="H5387" i="43" s="1"/>
  <c r="G5386" i="43"/>
  <c r="H5386" i="43" s="1"/>
  <c r="G5385" i="43"/>
  <c r="H5385" i="43" s="1"/>
  <c r="H5384" i="43"/>
  <c r="G5383" i="43"/>
  <c r="H5383" i="43" s="1"/>
  <c r="G5379" i="43"/>
  <c r="H5379" i="43" s="1"/>
  <c r="H5365" i="43"/>
  <c r="G5362" i="43"/>
  <c r="H5362" i="43" s="1"/>
  <c r="G5361" i="43"/>
  <c r="H5361" i="43" s="1"/>
  <c r="G5360" i="43"/>
  <c r="H5360" i="43" s="1"/>
  <c r="H5359" i="43"/>
  <c r="G5358" i="43"/>
  <c r="H5358" i="43" s="1"/>
  <c r="G5354" i="43"/>
  <c r="H5354" i="43" s="1"/>
  <c r="H5340" i="43"/>
  <c r="G5337" i="43"/>
  <c r="H5337" i="43" s="1"/>
  <c r="G5336" i="43"/>
  <c r="H5336" i="43" s="1"/>
  <c r="G5335" i="43"/>
  <c r="H5335" i="43" s="1"/>
  <c r="H5334" i="43"/>
  <c r="G5333" i="43"/>
  <c r="H5333" i="43" s="1"/>
  <c r="G5329" i="43"/>
  <c r="H5329" i="43" s="1"/>
  <c r="H5315" i="43"/>
  <c r="G5312" i="43"/>
  <c r="H5312" i="43" s="1"/>
  <c r="G5311" i="43"/>
  <c r="H5311" i="43" s="1"/>
  <c r="G5310" i="43"/>
  <c r="H5310" i="43" s="1"/>
  <c r="H5309" i="43"/>
  <c r="G5308" i="43"/>
  <c r="H5308" i="43" s="1"/>
  <c r="G5304" i="43"/>
  <c r="H5304" i="43" s="1"/>
  <c r="H5290" i="43"/>
  <c r="G5287" i="43"/>
  <c r="H5287" i="43" s="1"/>
  <c r="G5286" i="43"/>
  <c r="H5286" i="43" s="1"/>
  <c r="G5285" i="43"/>
  <c r="H5285" i="43" s="1"/>
  <c r="H5284" i="43"/>
  <c r="G5283" i="43"/>
  <c r="H5283" i="43" s="1"/>
  <c r="G5279" i="43"/>
  <c r="H5279" i="43" s="1"/>
  <c r="H5265" i="43"/>
  <c r="G5262" i="43"/>
  <c r="H5262" i="43" s="1"/>
  <c r="G5261" i="43"/>
  <c r="H5261" i="43" s="1"/>
  <c r="G5260" i="43"/>
  <c r="H5260" i="43" s="1"/>
  <c r="H5259" i="43"/>
  <c r="G5258" i="43"/>
  <c r="H5258" i="43" s="1"/>
  <c r="G5254" i="43"/>
  <c r="H5254" i="43" s="1"/>
  <c r="H5240" i="43"/>
  <c r="G5237" i="43"/>
  <c r="H5237" i="43" s="1"/>
  <c r="G5236" i="43"/>
  <c r="H5236" i="43" s="1"/>
  <c r="G5235" i="43"/>
  <c r="H5235" i="43" s="1"/>
  <c r="H5234" i="43"/>
  <c r="G5233" i="43"/>
  <c r="H5233" i="43" s="1"/>
  <c r="G5229" i="43"/>
  <c r="H5229" i="43" s="1"/>
  <c r="H5215" i="43"/>
  <c r="G5212" i="43"/>
  <c r="H5212" i="43" s="1"/>
  <c r="G5211" i="43"/>
  <c r="H5211" i="43" s="1"/>
  <c r="G5210" i="43"/>
  <c r="H5210" i="43" s="1"/>
  <c r="H5209" i="43"/>
  <c r="G5208" i="43"/>
  <c r="H5208" i="43" s="1"/>
  <c r="G5204" i="43"/>
  <c r="H5204" i="43" s="1"/>
  <c r="H5190" i="43"/>
  <c r="G5187" i="43"/>
  <c r="H5187" i="43" s="1"/>
  <c r="G5186" i="43"/>
  <c r="H5186" i="43" s="1"/>
  <c r="G5185" i="43"/>
  <c r="H5185" i="43" s="1"/>
  <c r="H5184" i="43"/>
  <c r="G5183" i="43"/>
  <c r="H5183" i="43" s="1"/>
  <c r="G5179" i="43"/>
  <c r="H5179" i="43" s="1"/>
  <c r="H5165" i="43"/>
  <c r="G5162" i="43"/>
  <c r="H5162" i="43" s="1"/>
  <c r="G5161" i="43"/>
  <c r="H5161" i="43" s="1"/>
  <c r="G5160" i="43"/>
  <c r="H5160" i="43" s="1"/>
  <c r="H5159" i="43"/>
  <c r="G5158" i="43"/>
  <c r="H5158" i="43" s="1"/>
  <c r="G5154" i="43"/>
  <c r="H5154" i="43" s="1"/>
  <c r="H5140" i="43"/>
  <c r="G5137" i="43"/>
  <c r="H5137" i="43" s="1"/>
  <c r="G5136" i="43"/>
  <c r="H5136" i="43" s="1"/>
  <c r="G5135" i="43"/>
  <c r="H5135" i="43" s="1"/>
  <c r="H5134" i="43"/>
  <c r="G5133" i="43"/>
  <c r="H5133" i="43" s="1"/>
  <c r="G5129" i="43"/>
  <c r="H5129" i="43" s="1"/>
  <c r="H5115" i="43"/>
  <c r="G5112" i="43"/>
  <c r="H5112" i="43" s="1"/>
  <c r="G5111" i="43"/>
  <c r="H5111" i="43" s="1"/>
  <c r="G5110" i="43"/>
  <c r="H5110" i="43" s="1"/>
  <c r="H5109" i="43"/>
  <c r="G5108" i="43"/>
  <c r="H5108" i="43" s="1"/>
  <c r="G5104" i="43"/>
  <c r="H5104" i="43" s="1"/>
  <c r="H5089" i="43"/>
  <c r="G5086" i="43"/>
  <c r="H5086" i="43" s="1"/>
  <c r="G5085" i="43"/>
  <c r="H5085" i="43" s="1"/>
  <c r="G5084" i="43"/>
  <c r="H5084" i="43" s="1"/>
  <c r="H5083" i="43"/>
  <c r="G5082" i="43"/>
  <c r="H5082" i="43" s="1"/>
  <c r="G5078" i="43"/>
  <c r="H5078" i="43" s="1"/>
  <c r="H5064" i="43"/>
  <c r="G5061" i="43"/>
  <c r="H5061" i="43" s="1"/>
  <c r="G5060" i="43"/>
  <c r="H5060" i="43" s="1"/>
  <c r="G5059" i="43"/>
  <c r="H5059" i="43" s="1"/>
  <c r="H5058" i="43"/>
  <c r="G5057" i="43"/>
  <c r="H5057" i="43" s="1"/>
  <c r="G5053" i="43"/>
  <c r="H5053" i="43" s="1"/>
  <c r="H5039" i="43"/>
  <c r="G5036" i="43"/>
  <c r="H5036" i="43" s="1"/>
  <c r="G5035" i="43"/>
  <c r="H5035" i="43" s="1"/>
  <c r="G5034" i="43"/>
  <c r="H5034" i="43" s="1"/>
  <c r="H5033" i="43"/>
  <c r="G5032" i="43"/>
  <c r="H5032" i="43" s="1"/>
  <c r="G5028" i="43"/>
  <c r="H5028" i="43" s="1"/>
  <c r="H5014" i="43"/>
  <c r="G5011" i="43"/>
  <c r="H5011" i="43" s="1"/>
  <c r="G5010" i="43"/>
  <c r="H5010" i="43" s="1"/>
  <c r="G5009" i="43"/>
  <c r="H5009" i="43" s="1"/>
  <c r="H5008" i="43"/>
  <c r="G5007" i="43"/>
  <c r="H5007" i="43" s="1"/>
  <c r="G5003" i="43"/>
  <c r="H5003" i="43" s="1"/>
  <c r="H4988" i="43"/>
  <c r="G4985" i="43"/>
  <c r="H4985" i="43" s="1"/>
  <c r="G4984" i="43"/>
  <c r="H4984" i="43" s="1"/>
  <c r="G4983" i="43"/>
  <c r="H4983" i="43" s="1"/>
  <c r="H4982" i="43"/>
  <c r="G4981" i="43"/>
  <c r="H4981" i="43" s="1"/>
  <c r="G4977" i="43"/>
  <c r="H4977" i="43" s="1"/>
  <c r="H4963" i="43"/>
  <c r="G4960" i="43"/>
  <c r="H4960" i="43" s="1"/>
  <c r="G4959" i="43"/>
  <c r="H4959" i="43" s="1"/>
  <c r="G4958" i="43"/>
  <c r="H4958" i="43" s="1"/>
  <c r="H4957" i="43"/>
  <c r="G4956" i="43"/>
  <c r="H4956" i="43" s="1"/>
  <c r="G4952" i="43"/>
  <c r="H4952" i="43" s="1"/>
  <c r="H4938" i="43"/>
  <c r="G4935" i="43"/>
  <c r="H4935" i="43" s="1"/>
  <c r="G4934" i="43"/>
  <c r="H4934" i="43" s="1"/>
  <c r="G4933" i="43"/>
  <c r="H4933" i="43" s="1"/>
  <c r="H4932" i="43"/>
  <c r="G4931" i="43"/>
  <c r="H4931" i="43" s="1"/>
  <c r="G4927" i="43"/>
  <c r="H4927" i="43" s="1"/>
  <c r="H4913" i="43"/>
  <c r="G4910" i="43"/>
  <c r="H4910" i="43" s="1"/>
  <c r="G4909" i="43"/>
  <c r="H4909" i="43" s="1"/>
  <c r="G4908" i="43"/>
  <c r="H4908" i="43" s="1"/>
  <c r="H4907" i="43"/>
  <c r="G4906" i="43"/>
  <c r="H4906" i="43" s="1"/>
  <c r="G4902" i="43"/>
  <c r="H4902" i="43" s="1"/>
  <c r="H4888" i="43"/>
  <c r="G4885" i="43"/>
  <c r="H4885" i="43" s="1"/>
  <c r="G4884" i="43"/>
  <c r="H4884" i="43" s="1"/>
  <c r="G4883" i="43"/>
  <c r="H4883" i="43" s="1"/>
  <c r="H4882" i="43"/>
  <c r="G4881" i="43"/>
  <c r="H4881" i="43" s="1"/>
  <c r="G4877" i="43"/>
  <c r="H4877" i="43" s="1"/>
  <c r="H4863" i="43"/>
  <c r="G4860" i="43"/>
  <c r="H4860" i="43" s="1"/>
  <c r="G4859" i="43"/>
  <c r="H4859" i="43" s="1"/>
  <c r="G4858" i="43"/>
  <c r="H4858" i="43" s="1"/>
  <c r="H4857" i="43"/>
  <c r="G4856" i="43"/>
  <c r="H4856" i="43" s="1"/>
  <c r="G4852" i="43"/>
  <c r="H4852" i="43" s="1"/>
  <c r="H4838" i="43"/>
  <c r="G4835" i="43"/>
  <c r="H4835" i="43" s="1"/>
  <c r="G4834" i="43"/>
  <c r="H4834" i="43" s="1"/>
  <c r="G4833" i="43"/>
  <c r="H4833" i="43" s="1"/>
  <c r="H4832" i="43"/>
  <c r="G4831" i="43"/>
  <c r="H4831" i="43" s="1"/>
  <c r="G4827" i="43"/>
  <c r="H4827" i="43" s="1"/>
  <c r="H4813" i="43"/>
  <c r="G4810" i="43"/>
  <c r="H4810" i="43" s="1"/>
  <c r="G4809" i="43"/>
  <c r="H4809" i="43" s="1"/>
  <c r="G4808" i="43"/>
  <c r="H4808" i="43" s="1"/>
  <c r="H4807" i="43"/>
  <c r="G4806" i="43"/>
  <c r="H4806" i="43" s="1"/>
  <c r="G4802" i="43"/>
  <c r="H4802" i="43" s="1"/>
  <c r="H4788" i="43"/>
  <c r="G4785" i="43"/>
  <c r="H4785" i="43" s="1"/>
  <c r="G4784" i="43"/>
  <c r="H4784" i="43" s="1"/>
  <c r="G4783" i="43"/>
  <c r="H4783" i="43" s="1"/>
  <c r="H4782" i="43"/>
  <c r="G4781" i="43"/>
  <c r="H4781" i="43" s="1"/>
  <c r="G4777" i="43"/>
  <c r="H4777" i="43" s="1"/>
  <c r="H4763" i="43"/>
  <c r="G4760" i="43"/>
  <c r="H4760" i="43" s="1"/>
  <c r="G4759" i="43"/>
  <c r="H4759" i="43" s="1"/>
  <c r="G4758" i="43"/>
  <c r="H4758" i="43" s="1"/>
  <c r="H4757" i="43"/>
  <c r="G4756" i="43"/>
  <c r="H4756" i="43" s="1"/>
  <c r="G4752" i="43"/>
  <c r="H4752" i="43" s="1"/>
  <c r="H4738" i="43"/>
  <c r="G4735" i="43"/>
  <c r="H4735" i="43" s="1"/>
  <c r="G4734" i="43"/>
  <c r="H4734" i="43" s="1"/>
  <c r="G4733" i="43"/>
  <c r="H4733" i="43" s="1"/>
  <c r="H4732" i="43"/>
  <c r="G4731" i="43"/>
  <c r="H4731" i="43" s="1"/>
  <c r="G4727" i="43"/>
  <c r="H4727" i="43" s="1"/>
  <c r="H4713" i="43"/>
  <c r="G4710" i="43"/>
  <c r="H4710" i="43" s="1"/>
  <c r="G4709" i="43"/>
  <c r="H4709" i="43" s="1"/>
  <c r="G4708" i="43"/>
  <c r="H4708" i="43" s="1"/>
  <c r="H4707" i="43"/>
  <c r="G4706" i="43"/>
  <c r="H4706" i="43" s="1"/>
  <c r="G4702" i="43"/>
  <c r="H4702" i="43" s="1"/>
  <c r="H4688" i="43"/>
  <c r="G4685" i="43"/>
  <c r="H4685" i="43" s="1"/>
  <c r="G4684" i="43"/>
  <c r="H4684" i="43" s="1"/>
  <c r="G4683" i="43"/>
  <c r="H4683" i="43" s="1"/>
  <c r="H4682" i="43"/>
  <c r="G4681" i="43"/>
  <c r="H4681" i="43" s="1"/>
  <c r="G4677" i="43"/>
  <c r="H4677" i="43" s="1"/>
  <c r="H4663" i="43"/>
  <c r="G4660" i="43"/>
  <c r="H4660" i="43" s="1"/>
  <c r="G4659" i="43"/>
  <c r="H4659" i="43" s="1"/>
  <c r="G4658" i="43"/>
  <c r="H4658" i="43" s="1"/>
  <c r="H4657" i="43"/>
  <c r="G4656" i="43"/>
  <c r="H4656" i="43" s="1"/>
  <c r="G4652" i="43"/>
  <c r="H4652" i="43" s="1"/>
  <c r="G4632" i="43"/>
  <c r="H4632" i="43" s="1"/>
  <c r="G4631" i="43"/>
  <c r="H4631" i="43" s="1"/>
  <c r="G4630" i="43"/>
  <c r="H4630" i="43" s="1"/>
  <c r="H4629" i="43"/>
  <c r="G4628" i="43"/>
  <c r="H4628" i="43" s="1"/>
  <c r="G4627" i="43"/>
  <c r="H4627" i="43" s="1"/>
  <c r="H4626" i="43"/>
  <c r="G4625" i="43"/>
  <c r="H4625" i="43" s="1"/>
  <c r="G4621" i="43"/>
  <c r="H4621" i="43" s="1"/>
  <c r="G4618" i="43"/>
  <c r="H4618" i="43" s="1"/>
  <c r="G4602" i="43"/>
  <c r="H4602" i="43" s="1"/>
  <c r="G4601" i="43"/>
  <c r="H4601" i="43" s="1"/>
  <c r="G4600" i="43"/>
  <c r="H4600" i="43" s="1"/>
  <c r="H4599" i="43"/>
  <c r="G4598" i="43"/>
  <c r="H4598" i="43" s="1"/>
  <c r="G4597" i="43"/>
  <c r="H4597" i="43" s="1"/>
  <c r="H4596" i="43"/>
  <c r="G4595" i="43"/>
  <c r="H4595" i="43" s="1"/>
  <c r="G4591" i="43"/>
  <c r="H4591" i="43" s="1"/>
  <c r="G4588" i="43"/>
  <c r="H4588" i="43" s="1"/>
  <c r="G4572" i="43"/>
  <c r="H4572" i="43" s="1"/>
  <c r="G4571" i="43"/>
  <c r="H4571" i="43" s="1"/>
  <c r="G4570" i="43"/>
  <c r="H4570" i="43" s="1"/>
  <c r="H4569" i="43"/>
  <c r="G4568" i="43"/>
  <c r="H4568" i="43" s="1"/>
  <c r="G4567" i="43"/>
  <c r="H4567" i="43" s="1"/>
  <c r="H4566" i="43"/>
  <c r="G4565" i="43"/>
  <c r="H4565" i="43" s="1"/>
  <c r="G4561" i="43"/>
  <c r="H4561" i="43" s="1"/>
  <c r="G4558" i="43"/>
  <c r="H4558" i="43" s="1"/>
  <c r="G4542" i="43"/>
  <c r="H4542" i="43" s="1"/>
  <c r="G4541" i="43"/>
  <c r="H4541" i="43" s="1"/>
  <c r="G4540" i="43"/>
  <c r="H4540" i="43" s="1"/>
  <c r="H4539" i="43"/>
  <c r="G4538" i="43"/>
  <c r="H4538" i="43" s="1"/>
  <c r="G4537" i="43"/>
  <c r="H4537" i="43" s="1"/>
  <c r="H4536" i="43"/>
  <c r="G4535" i="43"/>
  <c r="H4535" i="43" s="1"/>
  <c r="G4531" i="43"/>
  <c r="H4531" i="43" s="1"/>
  <c r="G4528" i="43"/>
  <c r="H4528" i="43" s="1"/>
  <c r="G4512" i="43"/>
  <c r="H4512" i="43" s="1"/>
  <c r="G4511" i="43"/>
  <c r="H4511" i="43" s="1"/>
  <c r="G4510" i="43"/>
  <c r="H4510" i="43" s="1"/>
  <c r="H4509" i="43"/>
  <c r="G4508" i="43"/>
  <c r="H4508" i="43" s="1"/>
  <c r="G4507" i="43"/>
  <c r="H4507" i="43" s="1"/>
  <c r="H4506" i="43"/>
  <c r="G4505" i="43"/>
  <c r="H4505" i="43" s="1"/>
  <c r="G4501" i="43"/>
  <c r="H4501" i="43" s="1"/>
  <c r="G4498" i="43"/>
  <c r="H4498" i="43" s="1"/>
  <c r="G4481" i="43"/>
  <c r="H4481" i="43" s="1"/>
  <c r="G4480" i="43"/>
  <c r="H4480" i="43" s="1"/>
  <c r="G4479" i="43"/>
  <c r="H4479" i="43" s="1"/>
  <c r="H4478" i="43"/>
  <c r="G4477" i="43"/>
  <c r="H4477" i="43" s="1"/>
  <c r="G4476" i="43"/>
  <c r="H4476" i="43" s="1"/>
  <c r="H4475" i="43"/>
  <c r="G4474" i="43"/>
  <c r="H4474" i="43" s="1"/>
  <c r="G4470" i="43"/>
  <c r="H4470" i="43" s="1"/>
  <c r="G4467" i="43"/>
  <c r="H4467" i="43" s="1"/>
  <c r="G4451" i="43"/>
  <c r="H4451" i="43" s="1"/>
  <c r="G4450" i="43"/>
  <c r="H4450" i="43" s="1"/>
  <c r="G4449" i="43"/>
  <c r="H4449" i="43" s="1"/>
  <c r="H4448" i="43"/>
  <c r="G4447" i="43"/>
  <c r="H4447" i="43" s="1"/>
  <c r="G4446" i="43"/>
  <c r="H4446" i="43" s="1"/>
  <c r="H4445" i="43"/>
  <c r="G4444" i="43"/>
  <c r="H4444" i="43" s="1"/>
  <c r="G4440" i="43"/>
  <c r="H4440" i="43" s="1"/>
  <c r="G4437" i="43"/>
  <c r="H4437" i="43" s="1"/>
  <c r="G4421" i="43"/>
  <c r="H4421" i="43" s="1"/>
  <c r="G4420" i="43"/>
  <c r="H4420" i="43" s="1"/>
  <c r="G4419" i="43"/>
  <c r="H4419" i="43" s="1"/>
  <c r="H4418" i="43"/>
  <c r="G4417" i="43"/>
  <c r="H4417" i="43" s="1"/>
  <c r="G4416" i="43"/>
  <c r="H4416" i="43" s="1"/>
  <c r="H4415" i="43"/>
  <c r="G4414" i="43"/>
  <c r="H4414" i="43" s="1"/>
  <c r="G4410" i="43"/>
  <c r="H4410" i="43" s="1"/>
  <c r="G4407" i="43"/>
  <c r="H4407" i="43" s="1"/>
  <c r="G4391" i="43"/>
  <c r="H4391" i="43" s="1"/>
  <c r="G4390" i="43"/>
  <c r="H4390" i="43" s="1"/>
  <c r="G4389" i="43"/>
  <c r="H4389" i="43" s="1"/>
  <c r="H4388" i="43"/>
  <c r="G4387" i="43"/>
  <c r="H4387" i="43" s="1"/>
  <c r="G4386" i="43"/>
  <c r="H4386" i="43" s="1"/>
  <c r="H4385" i="43"/>
  <c r="G4384" i="43"/>
  <c r="H4384" i="43" s="1"/>
  <c r="G4380" i="43"/>
  <c r="H4380" i="43" s="1"/>
  <c r="G4377" i="43"/>
  <c r="H4377" i="43" s="1"/>
  <c r="G4361" i="43"/>
  <c r="H4361" i="43" s="1"/>
  <c r="G4360" i="43"/>
  <c r="H4360" i="43" s="1"/>
  <c r="G4359" i="43"/>
  <c r="H4359" i="43" s="1"/>
  <c r="H4358" i="43"/>
  <c r="G4357" i="43"/>
  <c r="H4357" i="43" s="1"/>
  <c r="G4356" i="43"/>
  <c r="H4356" i="43" s="1"/>
  <c r="H4355" i="43"/>
  <c r="G4354" i="43"/>
  <c r="H4354" i="43" s="1"/>
  <c r="G4350" i="43"/>
  <c r="H4350" i="43" s="1"/>
  <c r="G4347" i="43"/>
  <c r="H4347" i="43" s="1"/>
  <c r="G4330" i="43"/>
  <c r="H4330" i="43" s="1"/>
  <c r="G4329" i="43"/>
  <c r="H4329" i="43" s="1"/>
  <c r="G4328" i="43"/>
  <c r="H4328" i="43" s="1"/>
  <c r="H4327" i="43"/>
  <c r="G4326" i="43"/>
  <c r="H4326" i="43" s="1"/>
  <c r="G4325" i="43"/>
  <c r="H4325" i="43" s="1"/>
  <c r="H4324" i="43"/>
  <c r="G4323" i="43"/>
  <c r="H4323" i="43" s="1"/>
  <c r="G4319" i="43"/>
  <c r="H4319" i="43" s="1"/>
  <c r="G4316" i="43"/>
  <c r="H4316" i="43" s="1"/>
  <c r="G4300" i="43"/>
  <c r="H4300" i="43" s="1"/>
  <c r="G4299" i="43"/>
  <c r="H4299" i="43" s="1"/>
  <c r="G4298" i="43"/>
  <c r="H4298" i="43" s="1"/>
  <c r="H4297" i="43"/>
  <c r="G4296" i="43"/>
  <c r="H4296" i="43" s="1"/>
  <c r="G4295" i="43"/>
  <c r="H4295" i="43" s="1"/>
  <c r="H4294" i="43"/>
  <c r="G4293" i="43"/>
  <c r="H4293" i="43" s="1"/>
  <c r="G4289" i="43"/>
  <c r="H4289" i="43" s="1"/>
  <c r="G4286" i="43"/>
  <c r="H4286" i="43" s="1"/>
  <c r="G4270" i="43"/>
  <c r="H4270" i="43" s="1"/>
  <c r="G4269" i="43"/>
  <c r="H4269" i="43" s="1"/>
  <c r="G4268" i="43"/>
  <c r="H4268" i="43" s="1"/>
  <c r="H4267" i="43"/>
  <c r="G4266" i="43"/>
  <c r="H4266" i="43" s="1"/>
  <c r="G4265" i="43"/>
  <c r="H4265" i="43" s="1"/>
  <c r="H4264" i="43"/>
  <c r="G4263" i="43"/>
  <c r="H4263" i="43" s="1"/>
  <c r="G4259" i="43"/>
  <c r="H4259" i="43" s="1"/>
  <c r="G4256" i="43"/>
  <c r="H4256" i="43" s="1"/>
  <c r="G4240" i="43"/>
  <c r="H4240" i="43" s="1"/>
  <c r="G4239" i="43"/>
  <c r="H4239" i="43" s="1"/>
  <c r="G4238" i="43"/>
  <c r="H4238" i="43" s="1"/>
  <c r="H4237" i="43"/>
  <c r="G4236" i="43"/>
  <c r="H4236" i="43" s="1"/>
  <c r="G4235" i="43"/>
  <c r="H4235" i="43" s="1"/>
  <c r="H4234" i="43"/>
  <c r="G4233" i="43"/>
  <c r="H4233" i="43" s="1"/>
  <c r="G4229" i="43"/>
  <c r="H4229" i="43" s="1"/>
  <c r="G4226" i="43"/>
  <c r="H4226" i="43" s="1"/>
  <c r="G4210" i="43"/>
  <c r="H4210" i="43" s="1"/>
  <c r="G4209" i="43"/>
  <c r="H4209" i="43" s="1"/>
  <c r="G4208" i="43"/>
  <c r="H4208" i="43" s="1"/>
  <c r="H4207" i="43"/>
  <c r="G4206" i="43"/>
  <c r="H4206" i="43" s="1"/>
  <c r="G4205" i="43"/>
  <c r="H4205" i="43" s="1"/>
  <c r="H4204" i="43"/>
  <c r="G4203" i="43"/>
  <c r="H4203" i="43" s="1"/>
  <c r="G4199" i="43"/>
  <c r="H4199" i="43" s="1"/>
  <c r="G4196" i="43"/>
  <c r="H4196" i="43" s="1"/>
  <c r="G4179" i="43"/>
  <c r="H4179" i="43" s="1"/>
  <c r="G4178" i="43"/>
  <c r="H4178" i="43" s="1"/>
  <c r="G4177" i="43"/>
  <c r="H4177" i="43" s="1"/>
  <c r="H4176" i="43"/>
  <c r="G4175" i="43"/>
  <c r="H4175" i="43" s="1"/>
  <c r="G4174" i="43"/>
  <c r="H4174" i="43" s="1"/>
  <c r="H4173" i="43"/>
  <c r="G4172" i="43"/>
  <c r="H4172" i="43" s="1"/>
  <c r="G4171" i="43"/>
  <c r="H4171" i="43" s="1"/>
  <c r="G4168" i="43"/>
  <c r="H4168" i="43" s="1"/>
  <c r="G4165" i="43"/>
  <c r="H4165" i="43" s="1"/>
  <c r="G4149" i="43"/>
  <c r="H4149" i="43" s="1"/>
  <c r="G4148" i="43"/>
  <c r="H4148" i="43" s="1"/>
  <c r="G4147" i="43"/>
  <c r="H4147" i="43" s="1"/>
  <c r="H4146" i="43"/>
  <c r="G4145" i="43"/>
  <c r="H4145" i="43" s="1"/>
  <c r="G4144" i="43"/>
  <c r="H4144" i="43" s="1"/>
  <c r="H4143" i="43"/>
  <c r="G4142" i="43"/>
  <c r="H4142" i="43" s="1"/>
  <c r="G4141" i="43"/>
  <c r="H4141" i="43" s="1"/>
  <c r="G4138" i="43"/>
  <c r="H4138" i="43" s="1"/>
  <c r="G4135" i="43"/>
  <c r="H4135" i="43" s="1"/>
  <c r="G4119" i="43"/>
  <c r="H4119" i="43" s="1"/>
  <c r="G4118" i="43"/>
  <c r="H4118" i="43" s="1"/>
  <c r="G4117" i="43"/>
  <c r="H4117" i="43" s="1"/>
  <c r="H4116" i="43"/>
  <c r="G4115" i="43"/>
  <c r="H4115" i="43" s="1"/>
  <c r="G4114" i="43"/>
  <c r="H4114" i="43" s="1"/>
  <c r="H4113" i="43"/>
  <c r="G4112" i="43"/>
  <c r="H4112" i="43" s="1"/>
  <c r="G4111" i="43"/>
  <c r="H4111" i="43" s="1"/>
  <c r="G4108" i="43"/>
  <c r="H4108" i="43" s="1"/>
  <c r="G4105" i="43"/>
  <c r="H4105" i="43" s="1"/>
  <c r="G4089" i="43"/>
  <c r="H4089" i="43" s="1"/>
  <c r="G4088" i="43"/>
  <c r="H4088" i="43" s="1"/>
  <c r="G4087" i="43"/>
  <c r="H4087" i="43" s="1"/>
  <c r="H4086" i="43"/>
  <c r="G4085" i="43"/>
  <c r="H4085" i="43" s="1"/>
  <c r="G4084" i="43"/>
  <c r="H4084" i="43" s="1"/>
  <c r="H4083" i="43"/>
  <c r="G4082" i="43"/>
  <c r="H4082" i="43" s="1"/>
  <c r="G4081" i="43"/>
  <c r="H4081" i="43" s="1"/>
  <c r="G4078" i="43"/>
  <c r="H4078" i="43" s="1"/>
  <c r="G4075" i="43"/>
  <c r="H4075" i="43" s="1"/>
  <c r="G4059" i="43"/>
  <c r="H4059" i="43" s="1"/>
  <c r="G4058" i="43"/>
  <c r="H4058" i="43" s="1"/>
  <c r="G4057" i="43"/>
  <c r="H4057" i="43" s="1"/>
  <c r="H4056" i="43"/>
  <c r="G4055" i="43"/>
  <c r="H4055" i="43" s="1"/>
  <c r="G4054" i="43"/>
  <c r="H4054" i="43" s="1"/>
  <c r="H4053" i="43"/>
  <c r="G4052" i="43"/>
  <c r="H4052" i="43" s="1"/>
  <c r="G4051" i="43"/>
  <c r="H4051" i="43" s="1"/>
  <c r="G4048" i="43"/>
  <c r="H4048" i="43" s="1"/>
  <c r="G4045" i="43"/>
  <c r="H4045" i="43" s="1"/>
  <c r="H4032" i="43"/>
  <c r="G4029" i="43"/>
  <c r="H4029" i="43" s="1"/>
  <c r="G4028" i="43"/>
  <c r="H4028" i="43" s="1"/>
  <c r="G4027" i="43"/>
  <c r="H4027" i="43" s="1"/>
  <c r="H4026" i="43"/>
  <c r="G4025" i="43"/>
  <c r="H4025" i="43" s="1"/>
  <c r="G4024" i="43"/>
  <c r="H4024" i="43" s="1"/>
  <c r="H4023" i="43"/>
  <c r="G4022" i="43"/>
  <c r="H4022" i="43" s="1"/>
  <c r="G4018" i="43"/>
  <c r="H4018" i="43" s="1"/>
  <c r="G4015" i="43"/>
  <c r="H4015" i="43" s="1"/>
  <c r="H4003" i="43"/>
  <c r="G4000" i="43"/>
  <c r="H4000" i="43" s="1"/>
  <c r="G3999" i="43"/>
  <c r="H3999" i="43" s="1"/>
  <c r="G3998" i="43"/>
  <c r="H3998" i="43" s="1"/>
  <c r="H3997" i="43"/>
  <c r="G3996" i="43"/>
  <c r="H3996" i="43" s="1"/>
  <c r="G3995" i="43"/>
  <c r="H3995" i="43" s="1"/>
  <c r="H3994" i="43"/>
  <c r="G3993" i="43"/>
  <c r="H3993" i="43" s="1"/>
  <c r="G3989" i="43"/>
  <c r="H3989" i="43" s="1"/>
  <c r="G3986" i="43"/>
  <c r="H3986" i="43" s="1"/>
  <c r="H3974" i="43"/>
  <c r="G3971" i="43"/>
  <c r="H3971" i="43" s="1"/>
  <c r="G3970" i="43"/>
  <c r="H3970" i="43" s="1"/>
  <c r="G3969" i="43"/>
  <c r="H3969" i="43" s="1"/>
  <c r="H3968" i="43"/>
  <c r="G3967" i="43"/>
  <c r="H3967" i="43" s="1"/>
  <c r="G3966" i="43"/>
  <c r="H3966" i="43" s="1"/>
  <c r="H3965" i="43"/>
  <c r="G3964" i="43"/>
  <c r="H3964" i="43" s="1"/>
  <c r="G3960" i="43"/>
  <c r="H3960" i="43" s="1"/>
  <c r="G3957" i="43"/>
  <c r="H3957" i="43" s="1"/>
  <c r="H3945" i="43"/>
  <c r="G3942" i="43"/>
  <c r="H3942" i="43" s="1"/>
  <c r="G3941" i="43"/>
  <c r="H3941" i="43" s="1"/>
  <c r="G3940" i="43"/>
  <c r="H3940" i="43" s="1"/>
  <c r="H3939" i="43"/>
  <c r="G3938" i="43"/>
  <c r="H3938" i="43" s="1"/>
  <c r="G3937" i="43"/>
  <c r="H3937" i="43" s="1"/>
  <c r="H3936" i="43"/>
  <c r="G3935" i="43"/>
  <c r="H3935" i="43" s="1"/>
  <c r="G3934" i="43"/>
  <c r="H3934" i="43" s="1"/>
  <c r="G3931" i="43"/>
  <c r="H3931" i="43" s="1"/>
  <c r="G3928" i="43"/>
  <c r="H3928" i="43" s="1"/>
  <c r="H3916" i="43"/>
  <c r="G3913" i="43"/>
  <c r="H3913" i="43" s="1"/>
  <c r="G3912" i="43"/>
  <c r="H3912" i="43" s="1"/>
  <c r="G3911" i="43"/>
  <c r="H3911" i="43" s="1"/>
  <c r="H3910" i="43"/>
  <c r="G3909" i="43"/>
  <c r="H3909" i="43" s="1"/>
  <c r="G3908" i="43"/>
  <c r="H3908" i="43" s="1"/>
  <c r="H3907" i="43"/>
  <c r="G3906" i="43"/>
  <c r="H3906" i="43" s="1"/>
  <c r="G3902" i="43"/>
  <c r="H3902" i="43" s="1"/>
  <c r="G3899" i="43"/>
  <c r="H3899" i="43" s="1"/>
  <c r="H3887" i="43"/>
  <c r="G3884" i="43"/>
  <c r="H3884" i="43" s="1"/>
  <c r="G3883" i="43"/>
  <c r="H3883" i="43" s="1"/>
  <c r="G3882" i="43"/>
  <c r="H3882" i="43" s="1"/>
  <c r="H3881" i="43"/>
  <c r="G3880" i="43"/>
  <c r="H3880" i="43" s="1"/>
  <c r="G3879" i="43"/>
  <c r="H3879" i="43" s="1"/>
  <c r="H3878" i="43"/>
  <c r="G3877" i="43"/>
  <c r="H3877" i="43" s="1"/>
  <c r="G3873" i="43"/>
  <c r="H3873" i="43" s="1"/>
  <c r="G3870" i="43"/>
  <c r="H3870" i="43" s="1"/>
  <c r="H3858" i="43"/>
  <c r="G3855" i="43"/>
  <c r="H3855" i="43" s="1"/>
  <c r="G3854" i="43"/>
  <c r="H3854" i="43" s="1"/>
  <c r="G3853" i="43"/>
  <c r="H3853" i="43" s="1"/>
  <c r="H3852" i="43"/>
  <c r="G3851" i="43"/>
  <c r="H3851" i="43" s="1"/>
  <c r="G3850" i="43"/>
  <c r="H3850" i="43" s="1"/>
  <c r="H3849" i="43"/>
  <c r="G3848" i="43"/>
  <c r="H3848" i="43" s="1"/>
  <c r="G3844" i="43"/>
  <c r="H3844" i="43" s="1"/>
  <c r="G3841" i="43"/>
  <c r="H3841" i="43" s="1"/>
  <c r="H3828" i="43"/>
  <c r="G3825" i="43"/>
  <c r="H3825" i="43" s="1"/>
  <c r="G3824" i="43"/>
  <c r="H3824" i="43" s="1"/>
  <c r="G3823" i="43"/>
  <c r="H3823" i="43" s="1"/>
  <c r="H3822" i="43"/>
  <c r="G3821" i="43"/>
  <c r="H3821" i="43" s="1"/>
  <c r="G3820" i="43"/>
  <c r="H3820" i="43" s="1"/>
  <c r="H3819" i="43"/>
  <c r="G3818" i="43"/>
  <c r="H3818" i="43" s="1"/>
  <c r="G3817" i="43"/>
  <c r="H3817" i="43" s="1"/>
  <c r="G3814" i="43"/>
  <c r="H3814" i="43" s="1"/>
  <c r="G3811" i="43"/>
  <c r="H3811" i="43" s="1"/>
  <c r="H3799" i="43"/>
  <c r="G3796" i="43"/>
  <c r="H3796" i="43" s="1"/>
  <c r="G3795" i="43"/>
  <c r="H3795" i="43" s="1"/>
  <c r="G3794" i="43"/>
  <c r="H3794" i="43" s="1"/>
  <c r="H3793" i="43"/>
  <c r="G3792" i="43"/>
  <c r="H3792" i="43" s="1"/>
  <c r="G3791" i="43"/>
  <c r="H3791" i="43" s="1"/>
  <c r="H3790" i="43"/>
  <c r="G3789" i="43"/>
  <c r="H3789" i="43" s="1"/>
  <c r="G3788" i="43"/>
  <c r="H3788" i="43" s="1"/>
  <c r="G3785" i="43"/>
  <c r="H3785" i="43" s="1"/>
  <c r="G3782" i="43"/>
  <c r="H3782" i="43" s="1"/>
  <c r="H3770" i="43"/>
  <c r="G3767" i="43"/>
  <c r="H3767" i="43" s="1"/>
  <c r="G3766" i="43"/>
  <c r="H3766" i="43" s="1"/>
  <c r="G3765" i="43"/>
  <c r="H3765" i="43" s="1"/>
  <c r="H3764" i="43"/>
  <c r="G3763" i="43"/>
  <c r="H3763" i="43" s="1"/>
  <c r="G3762" i="43"/>
  <c r="H3762" i="43" s="1"/>
  <c r="H3761" i="43"/>
  <c r="G3760" i="43"/>
  <c r="H3760" i="43" s="1"/>
  <c r="G3759" i="43"/>
  <c r="H3759" i="43" s="1"/>
  <c r="G3756" i="43"/>
  <c r="H3756" i="43" s="1"/>
  <c r="G3753" i="43"/>
  <c r="H3753" i="43" s="1"/>
  <c r="H3741" i="43"/>
  <c r="G3738" i="43"/>
  <c r="H3738" i="43" s="1"/>
  <c r="G3737" i="43"/>
  <c r="H3737" i="43" s="1"/>
  <c r="G3736" i="43"/>
  <c r="H3736" i="43" s="1"/>
  <c r="H3735" i="43"/>
  <c r="G3734" i="43"/>
  <c r="H3734" i="43" s="1"/>
  <c r="G3733" i="43"/>
  <c r="H3733" i="43" s="1"/>
  <c r="H3732" i="43"/>
  <c r="G3731" i="43"/>
  <c r="H3731" i="43" s="1"/>
  <c r="G3730" i="43"/>
  <c r="H3730" i="43" s="1"/>
  <c r="G3727" i="43"/>
  <c r="H3727" i="43" s="1"/>
  <c r="G3724" i="43"/>
  <c r="H3724" i="43" s="1"/>
  <c r="H3712" i="43"/>
  <c r="G3709" i="43"/>
  <c r="H3709" i="43" s="1"/>
  <c r="G3708" i="43"/>
  <c r="H3708" i="43" s="1"/>
  <c r="G3707" i="43"/>
  <c r="H3707" i="43" s="1"/>
  <c r="H3706" i="43"/>
  <c r="G3705" i="43"/>
  <c r="H3705" i="43" s="1"/>
  <c r="G3704" i="43"/>
  <c r="H3704" i="43" s="1"/>
  <c r="H3703" i="43"/>
  <c r="G3702" i="43"/>
  <c r="H3702" i="43" s="1"/>
  <c r="G3701" i="43"/>
  <c r="H3701" i="43" s="1"/>
  <c r="G3698" i="43"/>
  <c r="H3698" i="43" s="1"/>
  <c r="G3695" i="43"/>
  <c r="H3695" i="43" s="1"/>
  <c r="H3683" i="43"/>
  <c r="G3680" i="43"/>
  <c r="H3680" i="43" s="1"/>
  <c r="G3679" i="43"/>
  <c r="H3679" i="43" s="1"/>
  <c r="G3678" i="43"/>
  <c r="H3678" i="43" s="1"/>
  <c r="H3677" i="43"/>
  <c r="G3676" i="43"/>
  <c r="H3676" i="43" s="1"/>
  <c r="G3675" i="43"/>
  <c r="H3675" i="43" s="1"/>
  <c r="H3674" i="43"/>
  <c r="G3673" i="43"/>
  <c r="H3673" i="43" s="1"/>
  <c r="G3672" i="43"/>
  <c r="H3672" i="43" s="1"/>
  <c r="G3669" i="43"/>
  <c r="H3669" i="43" s="1"/>
  <c r="G3666" i="43"/>
  <c r="H3666" i="43" s="1"/>
  <c r="H3654" i="43"/>
  <c r="G3651" i="43"/>
  <c r="H3651" i="43" s="1"/>
  <c r="G3650" i="43"/>
  <c r="H3650" i="43" s="1"/>
  <c r="G3649" i="43"/>
  <c r="H3649" i="43" s="1"/>
  <c r="H3648" i="43"/>
  <c r="G3647" i="43"/>
  <c r="H3647" i="43" s="1"/>
  <c r="G3646" i="43"/>
  <c r="H3646" i="43" s="1"/>
  <c r="H3645" i="43"/>
  <c r="G3644" i="43"/>
  <c r="H3644" i="43" s="1"/>
  <c r="G3640" i="43"/>
  <c r="H3640" i="43" s="1"/>
  <c r="G3637" i="43"/>
  <c r="H3637" i="43" s="1"/>
  <c r="G3617" i="43"/>
  <c r="H3617" i="43" s="1"/>
  <c r="G3616" i="43"/>
  <c r="H3616" i="43" s="1"/>
  <c r="G3615" i="43"/>
  <c r="H3615" i="43" s="1"/>
  <c r="H3614" i="43"/>
  <c r="G3613" i="43"/>
  <c r="H3613" i="43" s="1"/>
  <c r="G3612" i="43"/>
  <c r="H3612" i="43" s="1"/>
  <c r="H3611" i="43"/>
  <c r="G3610" i="43"/>
  <c r="H3610" i="43" s="1"/>
  <c r="G3606" i="43"/>
  <c r="H3606" i="43" s="1"/>
  <c r="G3603" i="43"/>
  <c r="H3603" i="43" s="1"/>
  <c r="G3587" i="43"/>
  <c r="H3587" i="43" s="1"/>
  <c r="G3586" i="43"/>
  <c r="H3586" i="43" s="1"/>
  <c r="G3585" i="43"/>
  <c r="H3585" i="43" s="1"/>
  <c r="H3584" i="43"/>
  <c r="G3583" i="43"/>
  <c r="H3583" i="43" s="1"/>
  <c r="G3582" i="43"/>
  <c r="H3582" i="43" s="1"/>
  <c r="H3581" i="43"/>
  <c r="G3580" i="43"/>
  <c r="H3580" i="43" s="1"/>
  <c r="G3576" i="43"/>
  <c r="H3576" i="43" s="1"/>
  <c r="G3573" i="43"/>
  <c r="H3573" i="43" s="1"/>
  <c r="G3557" i="43"/>
  <c r="H3557" i="43" s="1"/>
  <c r="G3556" i="43"/>
  <c r="H3556" i="43" s="1"/>
  <c r="G3555" i="43"/>
  <c r="H3555" i="43" s="1"/>
  <c r="H3554" i="43"/>
  <c r="G3553" i="43"/>
  <c r="H3553" i="43" s="1"/>
  <c r="G3552" i="43"/>
  <c r="H3552" i="43" s="1"/>
  <c r="H3551" i="43"/>
  <c r="G3550" i="43"/>
  <c r="H3550" i="43" s="1"/>
  <c r="G3546" i="43"/>
  <c r="H3546" i="43" s="1"/>
  <c r="G3543" i="43"/>
  <c r="H3543" i="43" s="1"/>
  <c r="G3527" i="43"/>
  <c r="H3527" i="43" s="1"/>
  <c r="G3526" i="43"/>
  <c r="H3526" i="43" s="1"/>
  <c r="G3525" i="43"/>
  <c r="H3525" i="43" s="1"/>
  <c r="H3524" i="43"/>
  <c r="G3523" i="43"/>
  <c r="H3523" i="43" s="1"/>
  <c r="G3522" i="43"/>
  <c r="H3522" i="43" s="1"/>
  <c r="H3521" i="43"/>
  <c r="G3520" i="43"/>
  <c r="H3520" i="43" s="1"/>
  <c r="G3519" i="43"/>
  <c r="H3519" i="43" s="1"/>
  <c r="G3516" i="43"/>
  <c r="H3516" i="43" s="1"/>
  <c r="G3513" i="43"/>
  <c r="H3513" i="43" s="1"/>
  <c r="G3497" i="43"/>
  <c r="H3497" i="43" s="1"/>
  <c r="G3496" i="43"/>
  <c r="H3496" i="43" s="1"/>
  <c r="G3495" i="43"/>
  <c r="H3495" i="43" s="1"/>
  <c r="H3494" i="43"/>
  <c r="G3493" i="43"/>
  <c r="H3493" i="43" s="1"/>
  <c r="G3492" i="43"/>
  <c r="H3492" i="43" s="1"/>
  <c r="H3491" i="43"/>
  <c r="G3490" i="43"/>
  <c r="H3490" i="43" s="1"/>
  <c r="G3486" i="43"/>
  <c r="H3486" i="43" s="1"/>
  <c r="G3483" i="43"/>
  <c r="H3483" i="43" s="1"/>
  <c r="G3467" i="43"/>
  <c r="H3467" i="43" s="1"/>
  <c r="G3466" i="43"/>
  <c r="H3466" i="43" s="1"/>
  <c r="G3465" i="43"/>
  <c r="H3465" i="43" s="1"/>
  <c r="H3464" i="43"/>
  <c r="G3463" i="43"/>
  <c r="H3463" i="43" s="1"/>
  <c r="G3462" i="43"/>
  <c r="H3462" i="43" s="1"/>
  <c r="H3461" i="43"/>
  <c r="G3460" i="43"/>
  <c r="H3460" i="43" s="1"/>
  <c r="G3456" i="43"/>
  <c r="H3456" i="43" s="1"/>
  <c r="G3453" i="43"/>
  <c r="H3453" i="43" s="1"/>
  <c r="G3437" i="43"/>
  <c r="H3437" i="43" s="1"/>
  <c r="G3436" i="43"/>
  <c r="H3436" i="43" s="1"/>
  <c r="G3435" i="43"/>
  <c r="H3435" i="43" s="1"/>
  <c r="H3434" i="43"/>
  <c r="G3433" i="43"/>
  <c r="H3433" i="43" s="1"/>
  <c r="G3432" i="43"/>
  <c r="H3432" i="43" s="1"/>
  <c r="H3431" i="43"/>
  <c r="G3430" i="43"/>
  <c r="H3430" i="43" s="1"/>
  <c r="G3429" i="43"/>
  <c r="H3429" i="43" s="1"/>
  <c r="G3426" i="43"/>
  <c r="H3426" i="43" s="1"/>
  <c r="G3423" i="43"/>
  <c r="H3423" i="43" s="1"/>
  <c r="G3406" i="43"/>
  <c r="H3406" i="43" s="1"/>
  <c r="G3405" i="43"/>
  <c r="H3405" i="43" s="1"/>
  <c r="G3404" i="43"/>
  <c r="H3404" i="43" s="1"/>
  <c r="H3403" i="43"/>
  <c r="G3402" i="43"/>
  <c r="H3402" i="43" s="1"/>
  <c r="G3401" i="43"/>
  <c r="H3401" i="43" s="1"/>
  <c r="H3400" i="43"/>
  <c r="G3399" i="43"/>
  <c r="H3399" i="43" s="1"/>
  <c r="G3395" i="43"/>
  <c r="H3395" i="43" s="1"/>
  <c r="G3392" i="43"/>
  <c r="H3392" i="43" s="1"/>
  <c r="G3376" i="43"/>
  <c r="H3376" i="43" s="1"/>
  <c r="G3375" i="43"/>
  <c r="H3375" i="43" s="1"/>
  <c r="G3374" i="43"/>
  <c r="H3374" i="43" s="1"/>
  <c r="H3373" i="43"/>
  <c r="G3372" i="43"/>
  <c r="H3372" i="43" s="1"/>
  <c r="G3371" i="43"/>
  <c r="H3371" i="43" s="1"/>
  <c r="H3370" i="43"/>
  <c r="G3369" i="43"/>
  <c r="H3369" i="43" s="1"/>
  <c r="G3365" i="43"/>
  <c r="H3365" i="43" s="1"/>
  <c r="G3362" i="43"/>
  <c r="H3362" i="43" s="1"/>
  <c r="G3346" i="43"/>
  <c r="H3346" i="43" s="1"/>
  <c r="G3345" i="43"/>
  <c r="H3345" i="43" s="1"/>
  <c r="G3344" i="43"/>
  <c r="H3344" i="43" s="1"/>
  <c r="H3343" i="43"/>
  <c r="G3342" i="43"/>
  <c r="H3342" i="43" s="1"/>
  <c r="G3341" i="43"/>
  <c r="H3341" i="43" s="1"/>
  <c r="H3340" i="43"/>
  <c r="G3339" i="43"/>
  <c r="H3339" i="43" s="1"/>
  <c r="G3335" i="43"/>
  <c r="H3335" i="43" s="1"/>
  <c r="G3332" i="43"/>
  <c r="H3332" i="43" s="1"/>
  <c r="G3316" i="43"/>
  <c r="H3316" i="43" s="1"/>
  <c r="G3315" i="43"/>
  <c r="H3315" i="43" s="1"/>
  <c r="G3314" i="43"/>
  <c r="H3314" i="43" s="1"/>
  <c r="H3313" i="43"/>
  <c r="G3312" i="43"/>
  <c r="H3312" i="43" s="1"/>
  <c r="G3311" i="43"/>
  <c r="H3311" i="43" s="1"/>
  <c r="H3310" i="43"/>
  <c r="G3309" i="43"/>
  <c r="H3309" i="43" s="1"/>
  <c r="G3305" i="43"/>
  <c r="H3305" i="43" s="1"/>
  <c r="G3302" i="43"/>
  <c r="H3302" i="43" s="1"/>
  <c r="G3286" i="43"/>
  <c r="H3286" i="43" s="1"/>
  <c r="G3285" i="43"/>
  <c r="H3285" i="43" s="1"/>
  <c r="G3284" i="43"/>
  <c r="H3284" i="43" s="1"/>
  <c r="H3283" i="43"/>
  <c r="G3282" i="43"/>
  <c r="H3282" i="43" s="1"/>
  <c r="G3281" i="43"/>
  <c r="H3281" i="43" s="1"/>
  <c r="H3280" i="43"/>
  <c r="G3279" i="43"/>
  <c r="H3279" i="43" s="1"/>
  <c r="G3275" i="43"/>
  <c r="H3275" i="43" s="1"/>
  <c r="G3272" i="43"/>
  <c r="H3272" i="43" s="1"/>
  <c r="G3256" i="43"/>
  <c r="H3256" i="43" s="1"/>
  <c r="G3255" i="43"/>
  <c r="H3255" i="43" s="1"/>
  <c r="G3254" i="43"/>
  <c r="H3254" i="43" s="1"/>
  <c r="H3253" i="43"/>
  <c r="G3252" i="43"/>
  <c r="H3252" i="43" s="1"/>
  <c r="G3251" i="43"/>
  <c r="H3251" i="43" s="1"/>
  <c r="H3250" i="43"/>
  <c r="G3249" i="43"/>
  <c r="H3249" i="43" s="1"/>
  <c r="G3248" i="43"/>
  <c r="H3248" i="43" s="1"/>
  <c r="G3245" i="43"/>
  <c r="H3245" i="43" s="1"/>
  <c r="G3242" i="43"/>
  <c r="H3242" i="43" s="1"/>
  <c r="G3226" i="43"/>
  <c r="H3226" i="43" s="1"/>
  <c r="G3225" i="43"/>
  <c r="H3225" i="43" s="1"/>
  <c r="G3224" i="43"/>
  <c r="H3224" i="43" s="1"/>
  <c r="H3223" i="43"/>
  <c r="G3222" i="43"/>
  <c r="H3222" i="43" s="1"/>
  <c r="H3220" i="43"/>
  <c r="G3219" i="43"/>
  <c r="H3219" i="43" s="1"/>
  <c r="G3218" i="43"/>
  <c r="H3218" i="43" s="1"/>
  <c r="G3215" i="43"/>
  <c r="H3215" i="43" s="1"/>
  <c r="G3212" i="43"/>
  <c r="H3212" i="43" s="1"/>
  <c r="G3195" i="43"/>
  <c r="H3195" i="43" s="1"/>
  <c r="G3194" i="43"/>
  <c r="H3194" i="43" s="1"/>
  <c r="G3193" i="43"/>
  <c r="H3193" i="43" s="1"/>
  <c r="H3192" i="43"/>
  <c r="G3191" i="43"/>
  <c r="H3191" i="43" s="1"/>
  <c r="G3190" i="43"/>
  <c r="H3190" i="43" s="1"/>
  <c r="H3189" i="43"/>
  <c r="G3188" i="43"/>
  <c r="H3188" i="43" s="1"/>
  <c r="G3184" i="43"/>
  <c r="H3184" i="43" s="1"/>
  <c r="G3181" i="43"/>
  <c r="H3181" i="43" s="1"/>
  <c r="G3165" i="43"/>
  <c r="H3165" i="43" s="1"/>
  <c r="G3164" i="43"/>
  <c r="H3164" i="43" s="1"/>
  <c r="G3163" i="43"/>
  <c r="H3163" i="43" s="1"/>
  <c r="H3162" i="43"/>
  <c r="G3161" i="43"/>
  <c r="H3161" i="43" s="1"/>
  <c r="G3160" i="43"/>
  <c r="H3160" i="43" s="1"/>
  <c r="H3159" i="43"/>
  <c r="G3158" i="43"/>
  <c r="H3158" i="43" s="1"/>
  <c r="G3154" i="43"/>
  <c r="H3154" i="43" s="1"/>
  <c r="G3151" i="43"/>
  <c r="H3151" i="43" s="1"/>
  <c r="G3135" i="43"/>
  <c r="H3135" i="43" s="1"/>
  <c r="G3134" i="43"/>
  <c r="H3134" i="43" s="1"/>
  <c r="G3133" i="43"/>
  <c r="H3133" i="43" s="1"/>
  <c r="H3132" i="43"/>
  <c r="G3131" i="43"/>
  <c r="H3131" i="43" s="1"/>
  <c r="G3130" i="43"/>
  <c r="H3130" i="43" s="1"/>
  <c r="H3129" i="43"/>
  <c r="G3128" i="43"/>
  <c r="H3128" i="43" s="1"/>
  <c r="G3124" i="43"/>
  <c r="H3124" i="43" s="1"/>
  <c r="G3121" i="43"/>
  <c r="H3121" i="43" s="1"/>
  <c r="G3105" i="43"/>
  <c r="H3105" i="43" s="1"/>
  <c r="G3104" i="43"/>
  <c r="H3104" i="43" s="1"/>
  <c r="G3103" i="43"/>
  <c r="H3103" i="43" s="1"/>
  <c r="H3102" i="43"/>
  <c r="G3101" i="43"/>
  <c r="H3101" i="43" s="1"/>
  <c r="G3100" i="43"/>
  <c r="H3100" i="43" s="1"/>
  <c r="H3099" i="43"/>
  <c r="G3098" i="43"/>
  <c r="H3098" i="43" s="1"/>
  <c r="G3094" i="43"/>
  <c r="H3094" i="43" s="1"/>
  <c r="G3091" i="43"/>
  <c r="H3091" i="43" s="1"/>
  <c r="G3075" i="43"/>
  <c r="H3075" i="43" s="1"/>
  <c r="G3074" i="43"/>
  <c r="H3074" i="43" s="1"/>
  <c r="G3073" i="43"/>
  <c r="H3073" i="43" s="1"/>
  <c r="H3072" i="43"/>
  <c r="G3071" i="43"/>
  <c r="H3071" i="43" s="1"/>
  <c r="G3070" i="43"/>
  <c r="H3070" i="43" s="1"/>
  <c r="H3069" i="43"/>
  <c r="G3068" i="43"/>
  <c r="H3068" i="43" s="1"/>
  <c r="G3064" i="43"/>
  <c r="H3064" i="43" s="1"/>
  <c r="G3061" i="43"/>
  <c r="H3061" i="43" s="1"/>
  <c r="G3045" i="43"/>
  <c r="H3045" i="43" s="1"/>
  <c r="G3044" i="43"/>
  <c r="H3044" i="43" s="1"/>
  <c r="G3043" i="43"/>
  <c r="H3043" i="43" s="1"/>
  <c r="H3042" i="43"/>
  <c r="G3041" i="43"/>
  <c r="H3041" i="43" s="1"/>
  <c r="G3040" i="43"/>
  <c r="H3040" i="43" s="1"/>
  <c r="H3039" i="43"/>
  <c r="G3038" i="43"/>
  <c r="H3038" i="43" s="1"/>
  <c r="G3037" i="43"/>
  <c r="H3037" i="43" s="1"/>
  <c r="G3034" i="43"/>
  <c r="H3034" i="43" s="1"/>
  <c r="G3031" i="43"/>
  <c r="H3031" i="43" s="1"/>
  <c r="G3015" i="43"/>
  <c r="H3015" i="43" s="1"/>
  <c r="G3014" i="43"/>
  <c r="H3014" i="43" s="1"/>
  <c r="G3013" i="43"/>
  <c r="H3013" i="43" s="1"/>
  <c r="H3012" i="43"/>
  <c r="G3011" i="43"/>
  <c r="H3011" i="43" s="1"/>
  <c r="G3010" i="43"/>
  <c r="H3010" i="43" s="1"/>
  <c r="H3009" i="43"/>
  <c r="G3008" i="43"/>
  <c r="H3008" i="43" s="1"/>
  <c r="G3004" i="43"/>
  <c r="H3004" i="43" s="1"/>
  <c r="G3001" i="43"/>
  <c r="H3001" i="43" s="1"/>
  <c r="H1256" i="43"/>
  <c r="H892" i="43"/>
  <c r="G2985" i="43"/>
  <c r="H2985" i="43" s="1"/>
  <c r="G2984" i="43"/>
  <c r="H2984" i="43" s="1"/>
  <c r="G2983" i="43"/>
  <c r="H2983" i="43" s="1"/>
  <c r="H2982" i="43"/>
  <c r="G2981" i="43"/>
  <c r="H2981" i="43" s="1"/>
  <c r="G2980" i="43"/>
  <c r="H2980" i="43" s="1"/>
  <c r="H2979" i="43"/>
  <c r="G2978" i="43"/>
  <c r="H2978" i="43" s="1"/>
  <c r="G2977" i="43"/>
  <c r="H2977" i="43" s="1"/>
  <c r="G2974" i="43"/>
  <c r="H2974" i="43" s="1"/>
  <c r="G2971" i="43"/>
  <c r="H2971" i="43" s="1"/>
  <c r="H2958" i="43"/>
  <c r="G2955" i="43"/>
  <c r="H2955" i="43" s="1"/>
  <c r="G2954" i="43"/>
  <c r="H2954" i="43" s="1"/>
  <c r="G2953" i="43"/>
  <c r="H2953" i="43" s="1"/>
  <c r="H2952" i="43"/>
  <c r="G2951" i="43"/>
  <c r="H2951" i="43" s="1"/>
  <c r="G2950" i="43"/>
  <c r="H2950" i="43" s="1"/>
  <c r="H2949" i="43"/>
  <c r="G2948" i="43"/>
  <c r="H2948" i="43" s="1"/>
  <c r="G2944" i="43"/>
  <c r="H2944" i="43" s="1"/>
  <c r="G2941" i="43"/>
  <c r="H2941" i="43" s="1"/>
  <c r="H2929" i="43"/>
  <c r="G2926" i="43"/>
  <c r="H2926" i="43" s="1"/>
  <c r="G2925" i="43"/>
  <c r="H2925" i="43" s="1"/>
  <c r="G2924" i="43"/>
  <c r="H2924" i="43" s="1"/>
  <c r="H2923" i="43"/>
  <c r="G2922" i="43"/>
  <c r="H2922" i="43" s="1"/>
  <c r="G2921" i="43"/>
  <c r="H2921" i="43" s="1"/>
  <c r="H2920" i="43"/>
  <c r="G2919" i="43"/>
  <c r="H2919" i="43" s="1"/>
  <c r="G2915" i="43"/>
  <c r="H2915" i="43" s="1"/>
  <c r="G2912" i="43"/>
  <c r="H2912" i="43" s="1"/>
  <c r="H2900" i="43"/>
  <c r="G2897" i="43"/>
  <c r="H2897" i="43" s="1"/>
  <c r="G2896" i="43"/>
  <c r="H2896" i="43" s="1"/>
  <c r="G2895" i="43"/>
  <c r="H2895" i="43" s="1"/>
  <c r="H2894" i="43"/>
  <c r="G2893" i="43"/>
  <c r="H2893" i="43" s="1"/>
  <c r="G2892" i="43"/>
  <c r="H2892" i="43" s="1"/>
  <c r="H2891" i="43"/>
  <c r="G2890" i="43"/>
  <c r="H2890" i="43" s="1"/>
  <c r="G2886" i="43"/>
  <c r="H2886" i="43" s="1"/>
  <c r="G2883" i="43"/>
  <c r="H2883" i="43" s="1"/>
  <c r="H2871" i="43"/>
  <c r="G2868" i="43"/>
  <c r="H2868" i="43" s="1"/>
  <c r="G2867" i="43"/>
  <c r="H2867" i="43" s="1"/>
  <c r="G2866" i="43"/>
  <c r="H2866" i="43" s="1"/>
  <c r="H2865" i="43"/>
  <c r="G2864" i="43"/>
  <c r="H2864" i="43" s="1"/>
  <c r="G2863" i="43"/>
  <c r="H2863" i="43" s="1"/>
  <c r="H2862" i="43"/>
  <c r="G2861" i="43"/>
  <c r="H2861" i="43" s="1"/>
  <c r="G2857" i="43"/>
  <c r="H2857" i="43" s="1"/>
  <c r="G2854" i="43"/>
  <c r="H2854" i="43" s="1"/>
  <c r="H2842" i="43"/>
  <c r="G2839" i="43"/>
  <c r="H2839" i="43" s="1"/>
  <c r="G2838" i="43"/>
  <c r="H2838" i="43" s="1"/>
  <c r="G2837" i="43"/>
  <c r="H2837" i="43" s="1"/>
  <c r="H2836" i="43"/>
  <c r="G2835" i="43"/>
  <c r="H2835" i="43" s="1"/>
  <c r="G2834" i="43"/>
  <c r="H2834" i="43" s="1"/>
  <c r="H2833" i="43"/>
  <c r="G2832" i="43"/>
  <c r="H2832" i="43" s="1"/>
  <c r="G2831" i="43"/>
  <c r="H2831" i="43" s="1"/>
  <c r="G2828" i="43"/>
  <c r="H2828" i="43" s="1"/>
  <c r="G2825" i="43"/>
  <c r="H2825" i="43" s="1"/>
  <c r="H2813" i="43"/>
  <c r="G2810" i="43"/>
  <c r="H2810" i="43" s="1"/>
  <c r="G2809" i="43"/>
  <c r="H2809" i="43" s="1"/>
  <c r="G2808" i="43"/>
  <c r="H2808" i="43" s="1"/>
  <c r="H2807" i="43"/>
  <c r="G2806" i="43"/>
  <c r="H2806" i="43" s="1"/>
  <c r="G2805" i="43"/>
  <c r="H2805" i="43" s="1"/>
  <c r="H2804" i="43"/>
  <c r="G2803" i="43"/>
  <c r="H2803" i="43" s="1"/>
  <c r="G2799" i="43"/>
  <c r="H2799" i="43" s="1"/>
  <c r="G2796" i="43"/>
  <c r="H2796" i="43" s="1"/>
  <c r="H2784" i="43"/>
  <c r="G2781" i="43"/>
  <c r="H2781" i="43" s="1"/>
  <c r="G2780" i="43"/>
  <c r="H2780" i="43" s="1"/>
  <c r="G2779" i="43"/>
  <c r="H2779" i="43" s="1"/>
  <c r="H2778" i="43"/>
  <c r="G2777" i="43"/>
  <c r="H2777" i="43" s="1"/>
  <c r="G2776" i="43"/>
  <c r="H2776" i="43" s="1"/>
  <c r="H2775" i="43"/>
  <c r="G2774" i="43"/>
  <c r="H2774" i="43" s="1"/>
  <c r="G2770" i="43"/>
  <c r="H2770" i="43" s="1"/>
  <c r="G2767" i="43"/>
  <c r="H2767" i="43" s="1"/>
  <c r="H2755" i="43"/>
  <c r="G2752" i="43"/>
  <c r="H2752" i="43" s="1"/>
  <c r="G2751" i="43"/>
  <c r="H2751" i="43" s="1"/>
  <c r="G2750" i="43"/>
  <c r="H2750" i="43" s="1"/>
  <c r="H2749" i="43"/>
  <c r="G2748" i="43"/>
  <c r="H2748" i="43" s="1"/>
  <c r="G2747" i="43"/>
  <c r="H2747" i="43" s="1"/>
  <c r="H2746" i="43"/>
  <c r="G2745" i="43"/>
  <c r="H2745" i="43" s="1"/>
  <c r="G2741" i="43"/>
  <c r="H2741" i="43" s="1"/>
  <c r="G2738" i="43"/>
  <c r="H2738" i="43" s="1"/>
  <c r="H2726" i="43"/>
  <c r="G2723" i="43"/>
  <c r="H2723" i="43" s="1"/>
  <c r="G2722" i="43"/>
  <c r="H2722" i="43" s="1"/>
  <c r="G2721" i="43"/>
  <c r="H2721" i="43" s="1"/>
  <c r="H2720" i="43"/>
  <c r="G2719" i="43"/>
  <c r="H2719" i="43" s="1"/>
  <c r="G2718" i="43"/>
  <c r="H2718" i="43" s="1"/>
  <c r="H2717" i="43"/>
  <c r="G2716" i="43"/>
  <c r="H2716" i="43" s="1"/>
  <c r="G2712" i="43"/>
  <c r="H2712" i="43" s="1"/>
  <c r="G2709" i="43"/>
  <c r="H2709" i="43" s="1"/>
  <c r="H2696" i="43"/>
  <c r="G2693" i="43"/>
  <c r="H2693" i="43" s="1"/>
  <c r="G2692" i="43"/>
  <c r="H2692" i="43" s="1"/>
  <c r="G2691" i="43"/>
  <c r="H2691" i="43" s="1"/>
  <c r="H2690" i="43"/>
  <c r="G2689" i="43"/>
  <c r="H2689" i="43" s="1"/>
  <c r="G2688" i="43"/>
  <c r="H2688" i="43" s="1"/>
  <c r="H2687" i="43"/>
  <c r="G2686" i="43"/>
  <c r="H2686" i="43" s="1"/>
  <c r="G2682" i="43"/>
  <c r="H2682" i="43" s="1"/>
  <c r="G2679" i="43"/>
  <c r="H2679" i="43" s="1"/>
  <c r="H2667" i="43"/>
  <c r="G2664" i="43"/>
  <c r="H2664" i="43" s="1"/>
  <c r="G2663" i="43"/>
  <c r="H2663" i="43" s="1"/>
  <c r="G2662" i="43"/>
  <c r="H2662" i="43" s="1"/>
  <c r="H2661" i="43"/>
  <c r="G2660" i="43"/>
  <c r="H2660" i="43" s="1"/>
  <c r="G2659" i="43"/>
  <c r="H2659" i="43" s="1"/>
  <c r="H2658" i="43"/>
  <c r="G2657" i="43"/>
  <c r="H2657" i="43" s="1"/>
  <c r="G2653" i="43"/>
  <c r="H2653" i="43" s="1"/>
  <c r="G2650" i="43"/>
  <c r="H2650" i="43" s="1"/>
  <c r="H2638" i="43"/>
  <c r="G2635" i="43"/>
  <c r="H2635" i="43" s="1"/>
  <c r="G2634" i="43"/>
  <c r="H2634" i="43" s="1"/>
  <c r="G2633" i="43"/>
  <c r="H2633" i="43" s="1"/>
  <c r="H2632" i="43"/>
  <c r="G2631" i="43"/>
  <c r="H2631" i="43" s="1"/>
  <c r="G2630" i="43"/>
  <c r="H2630" i="43" s="1"/>
  <c r="H2629" i="43"/>
  <c r="G2628" i="43"/>
  <c r="H2628" i="43" s="1"/>
  <c r="G2627" i="43"/>
  <c r="H2627" i="43" s="1"/>
  <c r="G2624" i="43"/>
  <c r="H2624" i="43" s="1"/>
  <c r="G2621" i="43"/>
  <c r="H2621" i="43" s="1"/>
  <c r="H2609" i="43"/>
  <c r="G2606" i="43"/>
  <c r="H2606" i="43" s="1"/>
  <c r="G2605" i="43"/>
  <c r="H2605" i="43" s="1"/>
  <c r="G2604" i="43"/>
  <c r="H2604" i="43" s="1"/>
  <c r="H2603" i="43"/>
  <c r="G2602" i="43"/>
  <c r="H2602" i="43" s="1"/>
  <c r="G2601" i="43"/>
  <c r="H2601" i="43" s="1"/>
  <c r="H2600" i="43"/>
  <c r="G2599" i="43"/>
  <c r="H2599" i="43" s="1"/>
  <c r="G2595" i="43"/>
  <c r="H2595" i="43" s="1"/>
  <c r="G2592" i="43"/>
  <c r="H2592" i="43" s="1"/>
  <c r="H2580" i="43"/>
  <c r="G2577" i="43"/>
  <c r="H2577" i="43" s="1"/>
  <c r="G2576" i="43"/>
  <c r="H2576" i="43" s="1"/>
  <c r="G2575" i="43"/>
  <c r="H2575" i="43" s="1"/>
  <c r="H2574" i="43"/>
  <c r="G2573" i="43"/>
  <c r="H2573" i="43" s="1"/>
  <c r="H2571" i="43"/>
  <c r="G2570" i="43"/>
  <c r="H2570" i="43" s="1"/>
  <c r="G2566" i="43"/>
  <c r="H2566" i="43" s="1"/>
  <c r="G2563" i="43"/>
  <c r="H2563" i="43" s="1"/>
  <c r="H2550" i="43"/>
  <c r="G2547" i="43"/>
  <c r="H2547" i="43" s="1"/>
  <c r="G2546" i="43"/>
  <c r="H2546" i="43" s="1"/>
  <c r="G2545" i="43"/>
  <c r="H2545" i="43" s="1"/>
  <c r="H2544" i="43"/>
  <c r="G2543" i="43"/>
  <c r="H2543" i="43" s="1"/>
  <c r="G2542" i="43"/>
  <c r="H2542" i="43" s="1"/>
  <c r="H2541" i="43"/>
  <c r="G2540" i="43"/>
  <c r="H2540" i="43" s="1"/>
  <c r="G2536" i="43"/>
  <c r="H2536" i="43" s="1"/>
  <c r="G2533" i="43"/>
  <c r="H2533" i="43" s="1"/>
  <c r="H2521" i="43"/>
  <c r="G2518" i="43"/>
  <c r="H2518" i="43" s="1"/>
  <c r="G2517" i="43"/>
  <c r="H2517" i="43" s="1"/>
  <c r="G2516" i="43"/>
  <c r="H2516" i="43" s="1"/>
  <c r="H2515" i="43"/>
  <c r="G2514" i="43"/>
  <c r="H2514" i="43" s="1"/>
  <c r="G2513" i="43"/>
  <c r="H2513" i="43" s="1"/>
  <c r="H2512" i="43"/>
  <c r="G2511" i="43"/>
  <c r="H2511" i="43" s="1"/>
  <c r="G2507" i="43"/>
  <c r="H2507" i="43" s="1"/>
  <c r="G2504" i="43"/>
  <c r="H2504" i="43" s="1"/>
  <c r="H2492" i="43"/>
  <c r="G2489" i="43"/>
  <c r="H2489" i="43" s="1"/>
  <c r="G2488" i="43"/>
  <c r="H2488" i="43" s="1"/>
  <c r="G2487" i="43"/>
  <c r="H2487" i="43" s="1"/>
  <c r="H2486" i="43"/>
  <c r="G2485" i="43"/>
  <c r="H2485" i="43" s="1"/>
  <c r="G2484" i="43"/>
  <c r="H2484" i="43" s="1"/>
  <c r="H2483" i="43"/>
  <c r="G2482" i="43"/>
  <c r="H2482" i="43" s="1"/>
  <c r="G2478" i="43"/>
  <c r="H2478" i="43" s="1"/>
  <c r="G2475" i="43"/>
  <c r="H2475" i="43" s="1"/>
  <c r="H2463" i="43"/>
  <c r="G2460" i="43"/>
  <c r="H2460" i="43" s="1"/>
  <c r="G2459" i="43"/>
  <c r="H2459" i="43" s="1"/>
  <c r="G2458" i="43"/>
  <c r="H2458" i="43" s="1"/>
  <c r="H2457" i="43"/>
  <c r="G2456" i="43"/>
  <c r="H2456" i="43" s="1"/>
  <c r="G2455" i="43"/>
  <c r="H2455" i="43" s="1"/>
  <c r="H2454" i="43"/>
  <c r="G2453" i="43"/>
  <c r="H2453" i="43" s="1"/>
  <c r="G2449" i="43"/>
  <c r="H2449" i="43" s="1"/>
  <c r="G2446" i="43"/>
  <c r="H2446" i="43" s="1"/>
  <c r="H2434" i="43"/>
  <c r="G2431" i="43"/>
  <c r="H2431" i="43" s="1"/>
  <c r="G2430" i="43"/>
  <c r="H2430" i="43" s="1"/>
  <c r="G2429" i="43"/>
  <c r="H2429" i="43" s="1"/>
  <c r="H2428" i="43"/>
  <c r="G2427" i="43"/>
  <c r="H2427" i="43" s="1"/>
  <c r="G2426" i="43"/>
  <c r="H2426" i="43" s="1"/>
  <c r="H2425" i="43"/>
  <c r="G2424" i="43"/>
  <c r="H2424" i="43" s="1"/>
  <c r="G2420" i="43"/>
  <c r="H2420" i="43" s="1"/>
  <c r="G2417" i="43"/>
  <c r="H2417" i="43" s="1"/>
  <c r="H2405" i="43"/>
  <c r="G2402" i="43"/>
  <c r="H2402" i="43" s="1"/>
  <c r="G2401" i="43"/>
  <c r="H2401" i="43" s="1"/>
  <c r="G2400" i="43"/>
  <c r="H2400" i="43" s="1"/>
  <c r="H2399" i="43"/>
  <c r="G2398" i="43"/>
  <c r="H2398" i="43" s="1"/>
  <c r="G2397" i="43"/>
  <c r="H2397" i="43" s="1"/>
  <c r="H2396" i="43"/>
  <c r="G2395" i="43"/>
  <c r="H2395" i="43" s="1"/>
  <c r="G2394" i="43"/>
  <c r="H2394" i="43" s="1"/>
  <c r="G2391" i="43"/>
  <c r="H2391" i="43" s="1"/>
  <c r="G2388" i="43"/>
  <c r="H2388" i="43" s="1"/>
  <c r="H2376" i="43"/>
  <c r="G2373" i="43"/>
  <c r="H2373" i="43" s="1"/>
  <c r="G2372" i="43"/>
  <c r="H2372" i="43" s="1"/>
  <c r="G2371" i="43"/>
  <c r="H2371" i="43" s="1"/>
  <c r="H2370" i="43"/>
  <c r="G2369" i="43"/>
  <c r="H2369" i="43" s="1"/>
  <c r="G2368" i="43"/>
  <c r="H2368" i="43" s="1"/>
  <c r="H2367" i="43"/>
  <c r="G2366" i="43"/>
  <c r="H2366" i="43" s="1"/>
  <c r="G2362" i="43"/>
  <c r="H2362" i="43" s="1"/>
  <c r="G2359" i="43"/>
  <c r="H2359" i="43" s="1"/>
  <c r="H2347" i="43"/>
  <c r="G2344" i="43"/>
  <c r="H2344" i="43" s="1"/>
  <c r="G2343" i="43"/>
  <c r="H2343" i="43" s="1"/>
  <c r="G2342" i="43"/>
  <c r="H2342" i="43" s="1"/>
  <c r="H2341" i="43"/>
  <c r="G2340" i="43"/>
  <c r="H2340" i="43" s="1"/>
  <c r="G2339" i="43"/>
  <c r="H2339" i="43" s="1"/>
  <c r="H2338" i="43"/>
  <c r="G2337" i="43"/>
  <c r="H2337" i="43" s="1"/>
  <c r="G2333" i="43"/>
  <c r="H2333" i="43" s="1"/>
  <c r="G2330" i="43"/>
  <c r="H2330" i="43" s="1"/>
  <c r="H2318" i="43"/>
  <c r="G2315" i="43"/>
  <c r="H2315" i="43" s="1"/>
  <c r="G2314" i="43"/>
  <c r="H2314" i="43" s="1"/>
  <c r="G2313" i="43"/>
  <c r="H2313" i="43" s="1"/>
  <c r="H2312" i="43"/>
  <c r="G2311" i="43"/>
  <c r="H2311" i="43" s="1"/>
  <c r="G2310" i="43"/>
  <c r="H2310" i="43" s="1"/>
  <c r="H2309" i="43"/>
  <c r="G2308" i="43"/>
  <c r="H2308" i="43" s="1"/>
  <c r="G2304" i="43"/>
  <c r="H2304" i="43" s="1"/>
  <c r="G2301" i="43"/>
  <c r="H2301" i="43" s="1"/>
  <c r="H2289" i="43"/>
  <c r="G2286" i="43"/>
  <c r="H2286" i="43" s="1"/>
  <c r="G2285" i="43"/>
  <c r="H2285" i="43" s="1"/>
  <c r="G2284" i="43"/>
  <c r="H2284" i="43" s="1"/>
  <c r="H2283" i="43"/>
  <c r="G2282" i="43"/>
  <c r="H2282" i="43" s="1"/>
  <c r="G2281" i="43"/>
  <c r="H2281" i="43" s="1"/>
  <c r="H2280" i="43"/>
  <c r="G2279" i="43"/>
  <c r="H2279" i="43" s="1"/>
  <c r="G2275" i="43"/>
  <c r="H2275" i="43" s="1"/>
  <c r="G2272" i="43"/>
  <c r="H2272" i="43" s="1"/>
  <c r="H2260" i="43"/>
  <c r="G2257" i="43"/>
  <c r="H2257" i="43" s="1"/>
  <c r="G2256" i="43"/>
  <c r="H2256" i="43" s="1"/>
  <c r="G2255" i="43"/>
  <c r="H2255" i="43" s="1"/>
  <c r="H2254" i="43"/>
  <c r="G2253" i="43"/>
  <c r="H2253" i="43" s="1"/>
  <c r="G2252" i="43"/>
  <c r="H2252" i="43" s="1"/>
  <c r="H2251" i="43"/>
  <c r="G2250" i="43"/>
  <c r="H2250" i="43" s="1"/>
  <c r="G2246" i="43"/>
  <c r="H2246" i="43" s="1"/>
  <c r="G2243" i="43"/>
  <c r="H2243" i="43" s="1"/>
  <c r="H2231" i="43"/>
  <c r="G2228" i="43"/>
  <c r="H2228" i="43" s="1"/>
  <c r="G2227" i="43"/>
  <c r="H2227" i="43" s="1"/>
  <c r="G2226" i="43"/>
  <c r="H2226" i="43" s="1"/>
  <c r="H2225" i="43"/>
  <c r="G2224" i="43"/>
  <c r="H2224" i="43" s="1"/>
  <c r="G2223" i="43"/>
  <c r="H2223" i="43" s="1"/>
  <c r="H2222" i="43"/>
  <c r="G2221" i="43"/>
  <c r="H2221" i="43" s="1"/>
  <c r="G2217" i="43"/>
  <c r="H2217" i="43" s="1"/>
  <c r="G2214" i="43"/>
  <c r="H2214" i="43" s="1"/>
  <c r="H2202" i="43"/>
  <c r="G2199" i="43"/>
  <c r="H2199" i="43" s="1"/>
  <c r="G2198" i="43"/>
  <c r="H2198" i="43" s="1"/>
  <c r="G2197" i="43"/>
  <c r="H2197" i="43" s="1"/>
  <c r="H2196" i="43"/>
  <c r="G2195" i="43"/>
  <c r="H2195" i="43" s="1"/>
  <c r="G2194" i="43"/>
  <c r="H2194" i="43" s="1"/>
  <c r="H2193" i="43"/>
  <c r="G2192" i="43"/>
  <c r="H2192" i="43" s="1"/>
  <c r="G2188" i="43"/>
  <c r="H2188" i="43" s="1"/>
  <c r="G2185" i="43"/>
  <c r="H2185" i="43" s="1"/>
  <c r="H2173" i="43"/>
  <c r="G2170" i="43"/>
  <c r="H2170" i="43" s="1"/>
  <c r="G2169" i="43"/>
  <c r="H2169" i="43" s="1"/>
  <c r="G2168" i="43"/>
  <c r="H2168" i="43" s="1"/>
  <c r="H2167" i="43"/>
  <c r="G2166" i="43"/>
  <c r="H2166" i="43" s="1"/>
  <c r="G2165" i="43"/>
  <c r="H2165" i="43" s="1"/>
  <c r="H2164" i="43"/>
  <c r="G2163" i="43"/>
  <c r="H2163" i="43" s="1"/>
  <c r="G2159" i="43"/>
  <c r="H2159" i="43" s="1"/>
  <c r="G2156" i="43"/>
  <c r="H2156" i="43" s="1"/>
  <c r="H2144" i="43"/>
  <c r="G2141" i="43"/>
  <c r="H2141" i="43" s="1"/>
  <c r="G2140" i="43"/>
  <c r="H2140" i="43" s="1"/>
  <c r="G2139" i="43"/>
  <c r="H2139" i="43" s="1"/>
  <c r="H2138" i="43"/>
  <c r="G2137" i="43"/>
  <c r="H2137" i="43" s="1"/>
  <c r="G2136" i="43"/>
  <c r="H2136" i="43" s="1"/>
  <c r="H2135" i="43"/>
  <c r="G2134" i="43"/>
  <c r="H2134" i="43" s="1"/>
  <c r="G2130" i="43"/>
  <c r="H2130" i="43" s="1"/>
  <c r="G2127" i="43"/>
  <c r="H2127" i="43" s="1"/>
  <c r="H2115" i="43"/>
  <c r="G2112" i="43"/>
  <c r="H2112" i="43" s="1"/>
  <c r="G2111" i="43"/>
  <c r="H2111" i="43" s="1"/>
  <c r="G2110" i="43"/>
  <c r="H2110" i="43" s="1"/>
  <c r="H2109" i="43"/>
  <c r="G2108" i="43"/>
  <c r="H2108" i="43" s="1"/>
  <c r="G2107" i="43"/>
  <c r="H2107" i="43" s="1"/>
  <c r="H2106" i="43"/>
  <c r="G2105" i="43"/>
  <c r="H2105" i="43" s="1"/>
  <c r="G2101" i="43"/>
  <c r="H2101" i="43" s="1"/>
  <c r="G2098" i="43"/>
  <c r="H2098" i="43" s="1"/>
  <c r="H2086" i="43"/>
  <c r="G2083" i="43"/>
  <c r="H2083" i="43" s="1"/>
  <c r="G2082" i="43"/>
  <c r="H2082" i="43" s="1"/>
  <c r="G2081" i="43"/>
  <c r="H2081" i="43" s="1"/>
  <c r="H2080" i="43"/>
  <c r="G2079" i="43"/>
  <c r="H2079" i="43" s="1"/>
  <c r="G2078" i="43"/>
  <c r="H2078" i="43" s="1"/>
  <c r="H2077" i="43"/>
  <c r="G2076" i="43"/>
  <c r="H2076" i="43" s="1"/>
  <c r="G2075" i="43"/>
  <c r="H2075" i="43" s="1"/>
  <c r="G2072" i="43"/>
  <c r="H2072" i="43" s="1"/>
  <c r="G2069" i="43"/>
  <c r="H2069" i="43" s="1"/>
  <c r="H2057" i="43"/>
  <c r="G2054" i="43"/>
  <c r="H2054" i="43" s="1"/>
  <c r="G2053" i="43"/>
  <c r="H2053" i="43" s="1"/>
  <c r="G2052" i="43"/>
  <c r="H2052" i="43" s="1"/>
  <c r="H2051" i="43"/>
  <c r="G2050" i="43"/>
  <c r="H2050" i="43" s="1"/>
  <c r="G2049" i="43"/>
  <c r="H2049" i="43" s="1"/>
  <c r="H2048" i="43"/>
  <c r="G2047" i="43"/>
  <c r="H2047" i="43" s="1"/>
  <c r="G2043" i="43"/>
  <c r="H2043" i="43" s="1"/>
  <c r="G2040" i="43"/>
  <c r="H2040" i="43" s="1"/>
  <c r="H2027" i="43"/>
  <c r="G2024" i="43"/>
  <c r="H2024" i="43" s="1"/>
  <c r="G2023" i="43"/>
  <c r="H2023" i="43" s="1"/>
  <c r="G2022" i="43"/>
  <c r="H2022" i="43" s="1"/>
  <c r="H2021" i="43"/>
  <c r="G2020" i="43"/>
  <c r="H2020" i="43" s="1"/>
  <c r="G2019" i="43"/>
  <c r="H2019" i="43" s="1"/>
  <c r="H2018" i="43"/>
  <c r="G2017" i="43"/>
  <c r="H2017" i="43" s="1"/>
  <c r="G2016" i="43"/>
  <c r="H2016" i="43" s="1"/>
  <c r="G2013" i="43"/>
  <c r="H2013" i="43" s="1"/>
  <c r="G2010" i="43"/>
  <c r="H2010" i="43" s="1"/>
  <c r="H1998" i="43"/>
  <c r="G1995" i="43"/>
  <c r="H1995" i="43" s="1"/>
  <c r="G1994" i="43"/>
  <c r="H1994" i="43" s="1"/>
  <c r="G1993" i="43"/>
  <c r="H1993" i="43" s="1"/>
  <c r="H1992" i="43"/>
  <c r="G1991" i="43"/>
  <c r="H1991" i="43" s="1"/>
  <c r="G1990" i="43"/>
  <c r="H1990" i="43" s="1"/>
  <c r="H1989" i="43"/>
  <c r="G1988" i="43"/>
  <c r="H1988" i="43" s="1"/>
  <c r="G1987" i="43"/>
  <c r="H1987" i="43" s="1"/>
  <c r="G1984" i="43"/>
  <c r="H1984" i="43" s="1"/>
  <c r="G1981" i="43"/>
  <c r="H1981" i="43" s="1"/>
  <c r="H1969" i="43"/>
  <c r="G1966" i="43"/>
  <c r="H1966" i="43" s="1"/>
  <c r="G1965" i="43"/>
  <c r="H1965" i="43" s="1"/>
  <c r="G1964" i="43"/>
  <c r="H1964" i="43" s="1"/>
  <c r="H1963" i="43"/>
  <c r="G1962" i="43"/>
  <c r="H1962" i="43" s="1"/>
  <c r="G1961" i="43"/>
  <c r="H1961" i="43" s="1"/>
  <c r="H1960" i="43"/>
  <c r="G1959" i="43"/>
  <c r="H1959" i="43" s="1"/>
  <c r="G1958" i="43"/>
  <c r="H1958" i="43" s="1"/>
  <c r="G1955" i="43"/>
  <c r="H1955" i="43" s="1"/>
  <c r="G1952" i="43"/>
  <c r="H1952" i="43" s="1"/>
  <c r="H1940" i="43"/>
  <c r="G1937" i="43"/>
  <c r="H1937" i="43" s="1"/>
  <c r="G1936" i="43"/>
  <c r="H1936" i="43" s="1"/>
  <c r="G1935" i="43"/>
  <c r="H1935" i="43" s="1"/>
  <c r="H1934" i="43"/>
  <c r="G1933" i="43"/>
  <c r="H1933" i="43" s="1"/>
  <c r="G1932" i="43"/>
  <c r="H1932" i="43" s="1"/>
  <c r="H1931" i="43"/>
  <c r="G1930" i="43"/>
  <c r="H1930" i="43" s="1"/>
  <c r="G1929" i="43"/>
  <c r="H1929" i="43" s="1"/>
  <c r="G1926" i="43"/>
  <c r="H1926" i="43" s="1"/>
  <c r="G1923" i="43"/>
  <c r="H1923" i="43" s="1"/>
  <c r="H1911" i="43"/>
  <c r="G1908" i="43"/>
  <c r="H1908" i="43" s="1"/>
  <c r="G1907" i="43"/>
  <c r="H1907" i="43" s="1"/>
  <c r="G1906" i="43"/>
  <c r="H1906" i="43" s="1"/>
  <c r="H1905" i="43"/>
  <c r="G1904" i="43"/>
  <c r="H1904" i="43" s="1"/>
  <c r="G1903" i="43"/>
  <c r="H1903" i="43" s="1"/>
  <c r="H1902" i="43"/>
  <c r="G1901" i="43"/>
  <c r="H1901" i="43" s="1"/>
  <c r="G1900" i="43"/>
  <c r="H1900" i="43" s="1"/>
  <c r="G1897" i="43"/>
  <c r="H1897" i="43" s="1"/>
  <c r="G1894" i="43"/>
  <c r="H1894" i="43" s="1"/>
  <c r="H1882" i="43"/>
  <c r="G1879" i="43"/>
  <c r="H1879" i="43" s="1"/>
  <c r="G1878" i="43"/>
  <c r="H1878" i="43" s="1"/>
  <c r="G1877" i="43"/>
  <c r="H1877" i="43" s="1"/>
  <c r="H1876" i="43"/>
  <c r="G1875" i="43"/>
  <c r="H1875" i="43" s="1"/>
  <c r="G1874" i="43"/>
  <c r="H1874" i="43" s="1"/>
  <c r="H1873" i="43"/>
  <c r="G1872" i="43"/>
  <c r="H1872" i="43" s="1"/>
  <c r="G1871" i="43"/>
  <c r="H1871" i="43" s="1"/>
  <c r="G1868" i="43"/>
  <c r="H1868" i="43" s="1"/>
  <c r="G1865" i="43"/>
  <c r="H1865" i="43" s="1"/>
  <c r="H1853" i="43"/>
  <c r="G1850" i="43"/>
  <c r="H1850" i="43" s="1"/>
  <c r="G1849" i="43"/>
  <c r="H1849" i="43" s="1"/>
  <c r="G1848" i="43"/>
  <c r="H1848" i="43" s="1"/>
  <c r="H1847" i="43"/>
  <c r="G1846" i="43"/>
  <c r="H1846" i="43" s="1"/>
  <c r="G1845" i="43"/>
  <c r="H1845" i="43" s="1"/>
  <c r="H1844" i="43"/>
  <c r="G1843" i="43"/>
  <c r="H1843" i="43" s="1"/>
  <c r="G1842" i="43"/>
  <c r="H1842" i="43" s="1"/>
  <c r="G1839" i="43"/>
  <c r="H1839" i="43" s="1"/>
  <c r="G1836" i="43"/>
  <c r="H1836" i="43" s="1"/>
  <c r="H1824" i="43"/>
  <c r="G1821" i="43"/>
  <c r="H1821" i="43" s="1"/>
  <c r="G1820" i="43"/>
  <c r="H1820" i="43" s="1"/>
  <c r="G1819" i="43"/>
  <c r="H1819" i="43" s="1"/>
  <c r="H1818" i="43"/>
  <c r="G1817" i="43"/>
  <c r="H1817" i="43" s="1"/>
  <c r="G1816" i="43"/>
  <c r="H1816" i="43" s="1"/>
  <c r="H1815" i="43"/>
  <c r="G1814" i="43"/>
  <c r="H1814" i="43" s="1"/>
  <c r="G1813" i="43"/>
  <c r="H1813" i="43" s="1"/>
  <c r="G1810" i="43"/>
  <c r="H1810" i="43" s="1"/>
  <c r="G1807" i="43"/>
  <c r="H1807" i="43" s="1"/>
  <c r="H1795" i="43"/>
  <c r="G1792" i="43"/>
  <c r="H1792" i="43" s="1"/>
  <c r="G1791" i="43"/>
  <c r="H1791" i="43" s="1"/>
  <c r="G1790" i="43"/>
  <c r="H1790" i="43" s="1"/>
  <c r="H1789" i="43"/>
  <c r="G1788" i="43"/>
  <c r="H1788" i="43" s="1"/>
  <c r="G1787" i="43"/>
  <c r="H1787" i="43" s="1"/>
  <c r="H1786" i="43"/>
  <c r="G1785" i="43"/>
  <c r="H1785" i="43" s="1"/>
  <c r="G1781" i="43"/>
  <c r="H1781" i="43" s="1"/>
  <c r="G1778" i="43"/>
  <c r="H1778" i="43" s="1"/>
  <c r="H1766" i="43"/>
  <c r="G1763" i="43"/>
  <c r="H1763" i="43" s="1"/>
  <c r="G1762" i="43"/>
  <c r="H1762" i="43" s="1"/>
  <c r="G1761" i="43"/>
  <c r="H1761" i="43" s="1"/>
  <c r="H1760" i="43"/>
  <c r="G1759" i="43"/>
  <c r="H1759" i="43" s="1"/>
  <c r="G1758" i="43"/>
  <c r="H1758" i="43" s="1"/>
  <c r="H1757" i="43"/>
  <c r="G1756" i="43"/>
  <c r="H1756" i="43" s="1"/>
  <c r="G1755" i="43"/>
  <c r="H1755" i="43" s="1"/>
  <c r="G1752" i="43"/>
  <c r="H1752" i="43" s="1"/>
  <c r="G1749" i="43"/>
  <c r="H1749" i="43" s="1"/>
  <c r="G1720" i="43"/>
  <c r="H1720" i="43" s="1"/>
  <c r="H1737" i="43"/>
  <c r="G1734" i="43"/>
  <c r="H1734" i="43" s="1"/>
  <c r="G1733" i="43"/>
  <c r="H1733" i="43" s="1"/>
  <c r="G1732" i="43"/>
  <c r="H1732" i="43" s="1"/>
  <c r="H1731" i="43"/>
  <c r="G1730" i="43"/>
  <c r="H1730" i="43" s="1"/>
  <c r="H1728" i="43"/>
  <c r="G1727" i="43"/>
  <c r="H1727" i="43" s="1"/>
  <c r="G1723" i="43"/>
  <c r="H1723" i="43" s="1"/>
  <c r="H1707" i="43"/>
  <c r="G1704" i="43"/>
  <c r="H1704" i="43" s="1"/>
  <c r="G1703" i="43"/>
  <c r="H1703" i="43" s="1"/>
  <c r="G1702" i="43"/>
  <c r="H1702" i="43" s="1"/>
  <c r="H1701" i="43"/>
  <c r="G1700" i="43"/>
  <c r="H1700" i="43" s="1"/>
  <c r="G1699" i="43"/>
  <c r="H1699" i="43" s="1"/>
  <c r="H1698" i="43"/>
  <c r="G1697" i="43"/>
  <c r="H1697" i="43" s="1"/>
  <c r="G1696" i="43"/>
  <c r="H1696" i="43" s="1"/>
  <c r="G1693" i="43"/>
  <c r="H1693" i="43" s="1"/>
  <c r="H1679" i="43"/>
  <c r="G1676" i="43"/>
  <c r="H1676" i="43" s="1"/>
  <c r="G1675" i="43"/>
  <c r="H1675" i="43" s="1"/>
  <c r="G1674" i="43"/>
  <c r="H1674" i="43" s="1"/>
  <c r="H1673" i="43"/>
  <c r="G1672" i="43"/>
  <c r="H1672" i="43" s="1"/>
  <c r="G1671" i="43"/>
  <c r="H1671" i="43" s="1"/>
  <c r="H1670" i="43"/>
  <c r="G1669" i="43"/>
  <c r="H1669" i="43" s="1"/>
  <c r="G1665" i="43"/>
  <c r="H1665" i="43" s="1"/>
  <c r="H1651" i="43"/>
  <c r="G1648" i="43"/>
  <c r="H1648" i="43" s="1"/>
  <c r="G1647" i="43"/>
  <c r="H1647" i="43" s="1"/>
  <c r="G1646" i="43"/>
  <c r="H1646" i="43" s="1"/>
  <c r="H1645" i="43"/>
  <c r="G1644" i="43"/>
  <c r="H1644" i="43" s="1"/>
  <c r="G1643" i="43"/>
  <c r="H1643" i="43" s="1"/>
  <c r="H1642" i="43"/>
  <c r="G1641" i="43"/>
  <c r="H1641" i="43" s="1"/>
  <c r="G1637" i="43"/>
  <c r="H1637" i="43" s="1"/>
  <c r="H1623" i="43"/>
  <c r="G1620" i="43"/>
  <c r="H1620" i="43" s="1"/>
  <c r="G1619" i="43"/>
  <c r="H1619" i="43" s="1"/>
  <c r="G1618" i="43"/>
  <c r="H1618" i="43" s="1"/>
  <c r="H1617" i="43"/>
  <c r="G1616" i="43"/>
  <c r="H1616" i="43" s="1"/>
  <c r="G1615" i="43"/>
  <c r="H1615" i="43" s="1"/>
  <c r="H1614" i="43"/>
  <c r="G1613" i="43"/>
  <c r="H1613" i="43" s="1"/>
  <c r="G1609" i="43"/>
  <c r="H1609" i="43" s="1"/>
  <c r="H1595" i="43"/>
  <c r="G1592" i="43"/>
  <c r="H1592" i="43" s="1"/>
  <c r="G1591" i="43"/>
  <c r="H1591" i="43" s="1"/>
  <c r="G1590" i="43"/>
  <c r="H1590" i="43" s="1"/>
  <c r="H1589" i="43"/>
  <c r="G1588" i="43"/>
  <c r="H1588" i="43" s="1"/>
  <c r="G1587" i="43"/>
  <c r="H1587" i="43" s="1"/>
  <c r="H1586" i="43"/>
  <c r="G1585" i="43"/>
  <c r="H1585" i="43" s="1"/>
  <c r="G1581" i="43"/>
  <c r="H1581" i="43" s="1"/>
  <c r="H1567" i="43"/>
  <c r="G1564" i="43"/>
  <c r="H1564" i="43" s="1"/>
  <c r="G1563" i="43"/>
  <c r="H1563" i="43" s="1"/>
  <c r="G1562" i="43"/>
  <c r="H1562" i="43" s="1"/>
  <c r="H1561" i="43"/>
  <c r="G1560" i="43"/>
  <c r="H1560" i="43" s="1"/>
  <c r="G1559" i="43"/>
  <c r="H1559" i="43" s="1"/>
  <c r="H1558" i="43"/>
  <c r="G1557" i="43"/>
  <c r="H1557" i="43" s="1"/>
  <c r="G1553" i="43"/>
  <c r="H1553" i="43" s="1"/>
  <c r="H1539" i="43"/>
  <c r="G1536" i="43"/>
  <c r="H1536" i="43" s="1"/>
  <c r="G1535" i="43"/>
  <c r="H1535" i="43" s="1"/>
  <c r="G1534" i="43"/>
  <c r="H1534" i="43" s="1"/>
  <c r="H1533" i="43"/>
  <c r="G1532" i="43"/>
  <c r="H1532" i="43" s="1"/>
  <c r="G1531" i="43"/>
  <c r="H1531" i="43" s="1"/>
  <c r="H1530" i="43"/>
  <c r="G1529" i="43"/>
  <c r="H1529" i="43" s="1"/>
  <c r="G1525" i="43"/>
  <c r="H1525" i="43" s="1"/>
  <c r="H1511" i="43"/>
  <c r="G1508" i="43"/>
  <c r="H1508" i="43" s="1"/>
  <c r="G1507" i="43"/>
  <c r="H1507" i="43" s="1"/>
  <c r="G1506" i="43"/>
  <c r="H1506" i="43" s="1"/>
  <c r="H1505" i="43"/>
  <c r="G1504" i="43"/>
  <c r="H1504" i="43" s="1"/>
  <c r="G1503" i="43"/>
  <c r="H1503" i="43" s="1"/>
  <c r="H1502" i="43"/>
  <c r="G1501" i="43"/>
  <c r="H1501" i="43" s="1"/>
  <c r="G1497" i="43"/>
  <c r="H1497" i="43" s="1"/>
  <c r="H1483" i="43"/>
  <c r="G1480" i="43"/>
  <c r="H1480" i="43" s="1"/>
  <c r="G1479" i="43"/>
  <c r="H1479" i="43" s="1"/>
  <c r="G1478" i="43"/>
  <c r="H1478" i="43" s="1"/>
  <c r="H1477" i="43"/>
  <c r="G1476" i="43"/>
  <c r="H1476" i="43" s="1"/>
  <c r="G1475" i="43"/>
  <c r="H1475" i="43" s="1"/>
  <c r="H1474" i="43"/>
  <c r="G1473" i="43"/>
  <c r="H1473" i="43" s="1"/>
  <c r="G1469" i="43"/>
  <c r="H1469" i="43" s="1"/>
  <c r="H1454" i="43"/>
  <c r="G1451" i="43"/>
  <c r="H1451" i="43" s="1"/>
  <c r="G1450" i="43"/>
  <c r="H1450" i="43" s="1"/>
  <c r="G1449" i="43"/>
  <c r="H1449" i="43" s="1"/>
  <c r="H1448" i="43"/>
  <c r="G1447" i="43"/>
  <c r="H1447" i="43" s="1"/>
  <c r="G1446" i="43"/>
  <c r="H1446" i="43" s="1"/>
  <c r="H1445" i="43"/>
  <c r="G1444" i="43"/>
  <c r="H1444" i="43" s="1"/>
  <c r="G1440" i="43"/>
  <c r="H1440" i="43" s="1"/>
  <c r="H1426" i="43"/>
  <c r="G1423" i="43"/>
  <c r="H1423" i="43" s="1"/>
  <c r="G1422" i="43"/>
  <c r="H1422" i="43" s="1"/>
  <c r="G1421" i="43"/>
  <c r="H1421" i="43" s="1"/>
  <c r="H1420" i="43"/>
  <c r="G1419" i="43"/>
  <c r="H1419" i="43" s="1"/>
  <c r="G1418" i="43"/>
  <c r="H1418" i="43" s="1"/>
  <c r="H1417" i="43"/>
  <c r="G1416" i="43"/>
  <c r="H1416" i="43" s="1"/>
  <c r="G1412" i="43"/>
  <c r="H1412" i="43" s="1"/>
  <c r="H1398" i="43"/>
  <c r="G1395" i="43"/>
  <c r="H1395" i="43" s="1"/>
  <c r="G1394" i="43"/>
  <c r="H1394" i="43" s="1"/>
  <c r="G1393" i="43"/>
  <c r="H1393" i="43" s="1"/>
  <c r="H1392" i="43"/>
  <c r="G1391" i="43"/>
  <c r="H1391" i="43" s="1"/>
  <c r="G1390" i="43"/>
  <c r="H1390" i="43" s="1"/>
  <c r="H1389" i="43"/>
  <c r="G1388" i="43"/>
  <c r="H1388" i="43" s="1"/>
  <c r="G1384" i="43"/>
  <c r="H1384" i="43" s="1"/>
  <c r="G1356" i="43"/>
  <c r="H1356" i="43" s="1"/>
  <c r="H1340" i="43"/>
  <c r="G1337" i="43"/>
  <c r="H1337" i="43" s="1"/>
  <c r="G1336" i="43"/>
  <c r="H1336" i="43" s="1"/>
  <c r="G1335" i="43"/>
  <c r="H1335" i="43" s="1"/>
  <c r="H1334" i="43"/>
  <c r="G1333" i="43"/>
  <c r="H1333" i="43" s="1"/>
  <c r="G1332" i="43"/>
  <c r="H1332" i="43" s="1"/>
  <c r="H1331" i="43"/>
  <c r="G1330" i="43"/>
  <c r="H1330" i="43" s="1"/>
  <c r="G1329" i="43"/>
  <c r="H1329" i="43" s="1"/>
  <c r="G1326" i="43"/>
  <c r="H1326" i="43" s="1"/>
  <c r="H1312" i="43"/>
  <c r="G1309" i="43"/>
  <c r="H1309" i="43" s="1"/>
  <c r="G1308" i="43"/>
  <c r="H1308" i="43" s="1"/>
  <c r="G1307" i="43"/>
  <c r="H1307" i="43" s="1"/>
  <c r="H1306" i="43"/>
  <c r="G1305" i="43"/>
  <c r="H1305" i="43" s="1"/>
  <c r="G1304" i="43"/>
  <c r="H1304" i="43" s="1"/>
  <c r="H1303" i="43"/>
  <c r="G1302" i="43"/>
  <c r="H1302" i="43" s="1"/>
  <c r="G1301" i="43"/>
  <c r="H1301" i="43" s="1"/>
  <c r="G1298" i="43"/>
  <c r="H1298" i="43" s="1"/>
  <c r="H1284" i="43"/>
  <c r="G1281" i="43"/>
  <c r="H1281" i="43" s="1"/>
  <c r="G1280" i="43"/>
  <c r="H1280" i="43" s="1"/>
  <c r="G1279" i="43"/>
  <c r="H1279" i="43" s="1"/>
  <c r="H1278" i="43"/>
  <c r="G1277" i="43"/>
  <c r="H1277" i="43" s="1"/>
  <c r="G1276" i="43"/>
  <c r="H1276" i="43" s="1"/>
  <c r="H1275" i="43"/>
  <c r="G1274" i="43"/>
  <c r="H1274" i="43" s="1"/>
  <c r="G1273" i="43"/>
  <c r="H1273" i="43" s="1"/>
  <c r="G1270" i="43"/>
  <c r="H1270" i="43" s="1"/>
  <c r="G1253" i="43"/>
  <c r="H1253" i="43" s="1"/>
  <c r="G1252" i="43"/>
  <c r="H1252" i="43" s="1"/>
  <c r="G1251" i="43"/>
  <c r="H1251" i="43" s="1"/>
  <c r="H1250" i="43"/>
  <c r="G1249" i="43"/>
  <c r="H1249" i="43" s="1"/>
  <c r="G1248" i="43"/>
  <c r="H1248" i="43" s="1"/>
  <c r="H1247" i="43"/>
  <c r="G1246" i="43"/>
  <c r="H1246" i="43" s="1"/>
  <c r="G1245" i="43"/>
  <c r="H1245" i="43" s="1"/>
  <c r="G1242" i="43"/>
  <c r="H1242" i="43" s="1"/>
  <c r="H1228" i="43"/>
  <c r="G1225" i="43"/>
  <c r="H1225" i="43" s="1"/>
  <c r="G1224" i="43"/>
  <c r="H1224" i="43" s="1"/>
  <c r="G1223" i="43"/>
  <c r="H1223" i="43" s="1"/>
  <c r="H1222" i="43"/>
  <c r="G1221" i="43"/>
  <c r="H1221" i="43" s="1"/>
  <c r="G1220" i="43"/>
  <c r="H1220" i="43" s="1"/>
  <c r="H1219" i="43"/>
  <c r="G1218" i="43"/>
  <c r="H1218" i="43" s="1"/>
  <c r="G1214" i="43"/>
  <c r="H1214" i="43" s="1"/>
  <c r="H1200" i="43"/>
  <c r="G1197" i="43"/>
  <c r="H1197" i="43" s="1"/>
  <c r="G1196" i="43"/>
  <c r="H1196" i="43" s="1"/>
  <c r="G1195" i="43"/>
  <c r="H1195" i="43" s="1"/>
  <c r="H1194" i="43"/>
  <c r="G1193" i="43"/>
  <c r="H1193" i="43" s="1"/>
  <c r="G1192" i="43"/>
  <c r="H1192" i="43" s="1"/>
  <c r="H1191" i="43"/>
  <c r="G1190" i="43"/>
  <c r="H1190" i="43" s="1"/>
  <c r="G1189" i="43"/>
  <c r="H1189" i="43" s="1"/>
  <c r="G1186" i="43"/>
  <c r="H1186" i="43" s="1"/>
  <c r="H1172" i="43"/>
  <c r="G1169" i="43"/>
  <c r="H1169" i="43" s="1"/>
  <c r="G1168" i="43"/>
  <c r="H1168" i="43" s="1"/>
  <c r="G1167" i="43"/>
  <c r="H1167" i="43" s="1"/>
  <c r="H1166" i="43"/>
  <c r="G1165" i="43"/>
  <c r="H1165" i="43" s="1"/>
  <c r="G1164" i="43"/>
  <c r="H1164" i="43" s="1"/>
  <c r="H1163" i="43"/>
  <c r="G1162" i="43"/>
  <c r="H1162" i="43" s="1"/>
  <c r="G1161" i="43"/>
  <c r="H1161" i="43" s="1"/>
  <c r="G1158" i="43"/>
  <c r="H1158" i="43" s="1"/>
  <c r="H1144" i="43"/>
  <c r="G1141" i="43"/>
  <c r="H1141" i="43" s="1"/>
  <c r="G1140" i="43"/>
  <c r="H1140" i="43" s="1"/>
  <c r="G1139" i="43"/>
  <c r="H1139" i="43" s="1"/>
  <c r="H1138" i="43"/>
  <c r="G1137" i="43"/>
  <c r="H1137" i="43" s="1"/>
  <c r="G1136" i="43"/>
  <c r="H1136" i="43" s="1"/>
  <c r="H1135" i="43"/>
  <c r="G1134" i="43"/>
  <c r="H1134" i="43" s="1"/>
  <c r="G1133" i="43"/>
  <c r="H1133" i="43" s="1"/>
  <c r="G1130" i="43"/>
  <c r="H1130" i="43" s="1"/>
  <c r="H1116" i="43"/>
  <c r="G1113" i="43"/>
  <c r="H1113" i="43" s="1"/>
  <c r="G1112" i="43"/>
  <c r="H1112" i="43" s="1"/>
  <c r="G1111" i="43"/>
  <c r="H1111" i="43" s="1"/>
  <c r="H1110" i="43"/>
  <c r="G1109" i="43"/>
  <c r="H1109" i="43" s="1"/>
  <c r="G1108" i="43"/>
  <c r="H1108" i="43" s="1"/>
  <c r="H1107" i="43"/>
  <c r="G1106" i="43"/>
  <c r="H1106" i="43" s="1"/>
  <c r="G1105" i="43"/>
  <c r="H1105" i="43" s="1"/>
  <c r="G1102" i="43"/>
  <c r="H1102" i="43" s="1"/>
  <c r="H1088" i="43"/>
  <c r="G1085" i="43"/>
  <c r="H1085" i="43" s="1"/>
  <c r="G1084" i="43"/>
  <c r="H1084" i="43" s="1"/>
  <c r="G1083" i="43"/>
  <c r="H1083" i="43" s="1"/>
  <c r="H1082" i="43"/>
  <c r="G1081" i="43"/>
  <c r="H1081" i="43" s="1"/>
  <c r="G1080" i="43"/>
  <c r="H1080" i="43" s="1"/>
  <c r="H1079" i="43"/>
  <c r="G1078" i="43"/>
  <c r="H1078" i="43" s="1"/>
  <c r="G1077" i="43"/>
  <c r="H1077" i="43" s="1"/>
  <c r="G1074" i="43"/>
  <c r="H1074" i="43" s="1"/>
  <c r="H1060" i="43"/>
  <c r="G1057" i="43"/>
  <c r="H1057" i="43" s="1"/>
  <c r="G1056" i="43"/>
  <c r="H1056" i="43" s="1"/>
  <c r="G1055" i="43"/>
  <c r="H1055" i="43" s="1"/>
  <c r="H1054" i="43"/>
  <c r="G1053" i="43"/>
  <c r="H1053" i="43" s="1"/>
  <c r="G1052" i="43"/>
  <c r="H1052" i="43" s="1"/>
  <c r="H1051" i="43"/>
  <c r="G1050" i="43"/>
  <c r="H1050" i="43" s="1"/>
  <c r="G1046" i="43"/>
  <c r="H1046" i="43" s="1"/>
  <c r="H1032" i="43"/>
  <c r="G1029" i="43"/>
  <c r="H1029" i="43" s="1"/>
  <c r="G1028" i="43"/>
  <c r="H1028" i="43" s="1"/>
  <c r="G1027" i="43"/>
  <c r="H1027" i="43" s="1"/>
  <c r="H1026" i="43"/>
  <c r="G1025" i="43"/>
  <c r="H1025" i="43" s="1"/>
  <c r="G1024" i="43"/>
  <c r="H1024" i="43" s="1"/>
  <c r="H1023" i="43"/>
  <c r="G1022" i="43"/>
  <c r="H1022" i="43" s="1"/>
  <c r="G1018" i="43"/>
  <c r="H1018" i="43" s="1"/>
  <c r="H1004" i="43"/>
  <c r="G1001" i="43"/>
  <c r="H1001" i="43" s="1"/>
  <c r="G1000" i="43"/>
  <c r="H1000" i="43" s="1"/>
  <c r="G999" i="43"/>
  <c r="H999" i="43" s="1"/>
  <c r="H998" i="43"/>
  <c r="G997" i="43"/>
  <c r="H997" i="43" s="1"/>
  <c r="G996" i="43"/>
  <c r="H996" i="43" s="1"/>
  <c r="H995" i="43"/>
  <c r="G994" i="43"/>
  <c r="H994" i="43" s="1"/>
  <c r="G990" i="43"/>
  <c r="H990" i="43" s="1"/>
  <c r="H976" i="43"/>
  <c r="G973" i="43"/>
  <c r="H973" i="43" s="1"/>
  <c r="G972" i="43"/>
  <c r="H972" i="43" s="1"/>
  <c r="G971" i="43"/>
  <c r="H971" i="43" s="1"/>
  <c r="H970" i="43"/>
  <c r="G969" i="43"/>
  <c r="H969" i="43" s="1"/>
  <c r="G968" i="43"/>
  <c r="H968" i="43" s="1"/>
  <c r="H967" i="43"/>
  <c r="G966" i="43"/>
  <c r="H966" i="43" s="1"/>
  <c r="G962" i="43"/>
  <c r="H962" i="43" s="1"/>
  <c r="H948" i="43"/>
  <c r="G945" i="43"/>
  <c r="H945" i="43" s="1"/>
  <c r="G944" i="43"/>
  <c r="H944" i="43" s="1"/>
  <c r="G943" i="43"/>
  <c r="H943" i="43" s="1"/>
  <c r="H942" i="43"/>
  <c r="G941" i="43"/>
  <c r="H941" i="43" s="1"/>
  <c r="G940" i="43"/>
  <c r="H940" i="43" s="1"/>
  <c r="H939" i="43"/>
  <c r="G938" i="43"/>
  <c r="H938" i="43" s="1"/>
  <c r="G934" i="43"/>
  <c r="H934" i="43" s="1"/>
  <c r="H920" i="43"/>
  <c r="G917" i="43"/>
  <c r="H917" i="43" s="1"/>
  <c r="G916" i="43"/>
  <c r="H916" i="43" s="1"/>
  <c r="G915" i="43"/>
  <c r="H915" i="43" s="1"/>
  <c r="H914" i="43"/>
  <c r="G913" i="43"/>
  <c r="H913" i="43" s="1"/>
  <c r="G912" i="43"/>
  <c r="H912" i="43" s="1"/>
  <c r="H911" i="43"/>
  <c r="G910" i="43"/>
  <c r="H910" i="43" s="1"/>
  <c r="G906" i="43"/>
  <c r="H906" i="43" s="1"/>
  <c r="H26" i="1"/>
  <c r="G7559" i="43" s="1"/>
  <c r="H7559" i="43" s="1"/>
  <c r="H25" i="1"/>
  <c r="G7558" i="43" s="1"/>
  <c r="H7558" i="43" s="1"/>
  <c r="H862" i="43"/>
  <c r="H856" i="43"/>
  <c r="H857" i="43" s="1"/>
  <c r="H849" i="43"/>
  <c r="G811" i="43"/>
  <c r="F811" i="43"/>
  <c r="G810" i="43"/>
  <c r="F810" i="43"/>
  <c r="I801" i="43"/>
  <c r="I802" i="43" s="1"/>
  <c r="I788" i="43"/>
  <c r="I790" i="43" s="1"/>
  <c r="I791" i="43" s="1"/>
  <c r="I792" i="43" s="1"/>
  <c r="F817" i="43" s="1"/>
  <c r="G756" i="43"/>
  <c r="H756" i="43" s="1"/>
  <c r="H757" i="43" s="1"/>
  <c r="G753" i="43"/>
  <c r="F753" i="43"/>
  <c r="G752" i="43"/>
  <c r="F752" i="43"/>
  <c r="I743" i="43"/>
  <c r="I744" i="43" s="1"/>
  <c r="I730" i="43"/>
  <c r="I732" i="43" s="1"/>
  <c r="I733" i="43" s="1"/>
  <c r="I734" i="43" s="1"/>
  <c r="F759" i="43" s="1"/>
  <c r="G695" i="43"/>
  <c r="F695" i="43"/>
  <c r="G694" i="43"/>
  <c r="F694" i="43"/>
  <c r="I685" i="43"/>
  <c r="I686" i="43" s="1"/>
  <c r="I672" i="43"/>
  <c r="I674" i="43" s="1"/>
  <c r="I675" i="43" s="1"/>
  <c r="I676" i="43" s="1"/>
  <c r="F701" i="43" s="1"/>
  <c r="G636" i="43"/>
  <c r="F636" i="43"/>
  <c r="G635" i="43"/>
  <c r="F635" i="43"/>
  <c r="I626" i="43"/>
  <c r="I627" i="43" s="1"/>
  <c r="I613" i="43"/>
  <c r="I615" i="43" s="1"/>
  <c r="I616" i="43" s="1"/>
  <c r="I617" i="43" s="1"/>
  <c r="F642" i="43" s="1"/>
  <c r="G580" i="43"/>
  <c r="H580" i="43" s="1"/>
  <c r="H581" i="43" s="1"/>
  <c r="G577" i="43"/>
  <c r="F577" i="43"/>
  <c r="G576" i="43"/>
  <c r="F576" i="43"/>
  <c r="I567" i="43"/>
  <c r="I568" i="43" s="1"/>
  <c r="I554" i="43"/>
  <c r="I556" i="43" s="1"/>
  <c r="G523" i="43"/>
  <c r="G517" i="43"/>
  <c r="F517" i="43"/>
  <c r="G516" i="43"/>
  <c r="F516" i="43"/>
  <c r="I506" i="43"/>
  <c r="I507" i="43" s="1"/>
  <c r="I508" i="43" s="1"/>
  <c r="F524" i="43" s="1"/>
  <c r="I492" i="43"/>
  <c r="I494" i="43" s="1"/>
  <c r="I495" i="43" s="1"/>
  <c r="I496" i="43" s="1"/>
  <c r="F523" i="43" s="1"/>
  <c r="G461" i="43"/>
  <c r="G455" i="43"/>
  <c r="F455" i="43"/>
  <c r="G454" i="43"/>
  <c r="F454" i="43"/>
  <c r="I444" i="43"/>
  <c r="I445" i="43" s="1"/>
  <c r="I446" i="43" s="1"/>
  <c r="F462" i="43" s="1"/>
  <c r="I430" i="43"/>
  <c r="I432" i="43" s="1"/>
  <c r="I433" i="43" s="1"/>
  <c r="I434" i="43" s="1"/>
  <c r="F461" i="43" s="1"/>
  <c r="G399" i="43"/>
  <c r="G393" i="43"/>
  <c r="F393" i="43"/>
  <c r="G392" i="43"/>
  <c r="F392" i="43"/>
  <c r="I382" i="43"/>
  <c r="I383" i="43" s="1"/>
  <c r="I384" i="43" s="1"/>
  <c r="F400" i="43" s="1"/>
  <c r="I368" i="43"/>
  <c r="I370" i="43" s="1"/>
  <c r="I371" i="43" s="1"/>
  <c r="I372" i="43" s="1"/>
  <c r="F399" i="43" s="1"/>
  <c r="G337" i="43"/>
  <c r="G331" i="43"/>
  <c r="F331" i="43"/>
  <c r="G330" i="43"/>
  <c r="F330" i="43"/>
  <c r="I320" i="43"/>
  <c r="I321" i="43" s="1"/>
  <c r="I322" i="43" s="1"/>
  <c r="F338" i="43" s="1"/>
  <c r="I306" i="43"/>
  <c r="I308" i="43" s="1"/>
  <c r="F270" i="43"/>
  <c r="F269" i="43"/>
  <c r="G276" i="43"/>
  <c r="G270" i="43"/>
  <c r="G269" i="43"/>
  <c r="I260" i="43"/>
  <c r="I261" i="43" s="1"/>
  <c r="I247" i="43"/>
  <c r="I249" i="43" s="1"/>
  <c r="I250" i="43" s="1"/>
  <c r="I251" i="43" s="1"/>
  <c r="F276" i="43" s="1"/>
  <c r="F211" i="43"/>
  <c r="F210" i="43"/>
  <c r="G211" i="43"/>
  <c r="G210" i="43"/>
  <c r="I201" i="43"/>
  <c r="I202" i="43" s="1"/>
  <c r="I188" i="43"/>
  <c r="I190" i="43" s="1"/>
  <c r="I191" i="43" s="1"/>
  <c r="I192" i="43" s="1"/>
  <c r="F217" i="43" s="1"/>
  <c r="G151" i="43"/>
  <c r="H151" i="43" s="1"/>
  <c r="G150" i="43"/>
  <c r="H150" i="43" s="1"/>
  <c r="I140" i="43"/>
  <c r="I141" i="43" s="1"/>
  <c r="I127" i="43"/>
  <c r="I129" i="43" s="1"/>
  <c r="I130" i="43" s="1"/>
  <c r="I131" i="43" s="1"/>
  <c r="G90" i="43"/>
  <c r="H90" i="43" s="1"/>
  <c r="G89" i="43"/>
  <c r="H89" i="43" s="1"/>
  <c r="I79" i="43"/>
  <c r="I80" i="43" s="1"/>
  <c r="I66" i="43"/>
  <c r="I68" i="43" s="1"/>
  <c r="I69" i="43" s="1"/>
  <c r="I70" i="43" s="1"/>
  <c r="N31" i="43"/>
  <c r="O31" i="43"/>
  <c r="P31" i="43"/>
  <c r="N30" i="43"/>
  <c r="O30" i="43"/>
  <c r="P30" i="43"/>
  <c r="N29" i="43"/>
  <c r="O29" i="43"/>
  <c r="P29" i="43"/>
  <c r="N28" i="43"/>
  <c r="O28" i="43"/>
  <c r="O25" i="43"/>
  <c r="P25" i="43"/>
  <c r="K25" i="43"/>
  <c r="L25" i="43"/>
  <c r="M25" i="43"/>
  <c r="N25" i="43"/>
  <c r="N19" i="43"/>
  <c r="N23" i="43" s="1"/>
  <c r="O19" i="43"/>
  <c r="O23" i="43" s="1"/>
  <c r="P19" i="43"/>
  <c r="P23" i="43" s="1"/>
  <c r="P37" i="43"/>
  <c r="P28" i="43" s="1"/>
  <c r="P38" i="43"/>
  <c r="P39" i="43"/>
  <c r="M31" i="43"/>
  <c r="K29" i="43"/>
  <c r="K28" i="43"/>
  <c r="L39" i="43"/>
  <c r="L38" i="43"/>
  <c r="M38" i="43" s="1"/>
  <c r="L37" i="43"/>
  <c r="L33" i="43"/>
  <c r="M33" i="43" s="1"/>
  <c r="N33" i="43" s="1"/>
  <c r="O33" i="43" s="1"/>
  <c r="P33" i="43" s="1"/>
  <c r="L32" i="43"/>
  <c r="M32" i="43" s="1"/>
  <c r="N32" i="43" s="1"/>
  <c r="O32" i="43" s="1"/>
  <c r="P32" i="43" s="1"/>
  <c r="L31" i="43"/>
  <c r="L30" i="43"/>
  <c r="M30" i="43"/>
  <c r="M29" i="43"/>
  <c r="L19" i="43"/>
  <c r="L23" i="43" s="1"/>
  <c r="M19" i="43"/>
  <c r="M23" i="43" s="1"/>
  <c r="K19" i="43"/>
  <c r="K23" i="43" s="1"/>
  <c r="K31" i="43"/>
  <c r="K30" i="43"/>
  <c r="H167" i="20"/>
  <c r="H148" i="20"/>
  <c r="B772" i="27"/>
  <c r="C772" i="27" s="1"/>
  <c r="G75" i="20"/>
  <c r="G70" i="20"/>
  <c r="H70" i="20" s="1"/>
  <c r="H71" i="20" s="1"/>
  <c r="G67" i="20"/>
  <c r="H67" i="20" s="1"/>
  <c r="G66" i="20"/>
  <c r="H66" i="20" s="1"/>
  <c r="G65" i="20"/>
  <c r="H65" i="20" s="1"/>
  <c r="G64" i="20"/>
  <c r="H64" i="20" s="1"/>
  <c r="G94" i="17"/>
  <c r="H94" i="17" s="1"/>
  <c r="H95" i="17" s="1"/>
  <c r="G72" i="17"/>
  <c r="H72" i="17" s="1"/>
  <c r="H73" i="17" s="1"/>
  <c r="B730" i="27"/>
  <c r="C730" i="27" s="1"/>
  <c r="G802" i="15"/>
  <c r="H802" i="15" s="1"/>
  <c r="H803" i="15" s="1"/>
  <c r="G824" i="15"/>
  <c r="G817" i="15"/>
  <c r="H817" i="15" s="1"/>
  <c r="G814" i="15"/>
  <c r="H814" i="15" s="1"/>
  <c r="G813" i="15"/>
  <c r="H813" i="15" s="1"/>
  <c r="G812" i="15"/>
  <c r="H812" i="15" s="1"/>
  <c r="G811" i="15"/>
  <c r="H811" i="15" s="1"/>
  <c r="G17" i="15"/>
  <c r="H17" i="15" s="1"/>
  <c r="H18" i="15" s="1"/>
  <c r="G378" i="27"/>
  <c r="G379" i="27"/>
  <c r="G382" i="27"/>
  <c r="G383" i="27"/>
  <c r="G384" i="27"/>
  <c r="G385" i="27"/>
  <c r="G386" i="27"/>
  <c r="G387" i="27"/>
  <c r="G388" i="27"/>
  <c r="G389" i="27"/>
  <c r="G390" i="27"/>
  <c r="G392" i="27"/>
  <c r="F382" i="27"/>
  <c r="F383" i="27"/>
  <c r="F384" i="27"/>
  <c r="F385" i="27"/>
  <c r="F386" i="27"/>
  <c r="F387" i="27"/>
  <c r="F388" i="27"/>
  <c r="F389" i="27"/>
  <c r="F390" i="27"/>
  <c r="F392" i="27"/>
  <c r="H36" i="30"/>
  <c r="I36" i="30" s="1"/>
  <c r="I37" i="30" s="1"/>
  <c r="H33" i="30"/>
  <c r="I33" i="30" s="1"/>
  <c r="B199" i="27"/>
  <c r="C199" i="27" s="1"/>
  <c r="G158" i="8"/>
  <c r="G155" i="8"/>
  <c r="H155" i="8" s="1"/>
  <c r="G154" i="8"/>
  <c r="H154" i="8" s="1"/>
  <c r="G151" i="8"/>
  <c r="H151" i="8" s="1"/>
  <c r="G150" i="8"/>
  <c r="H150" i="8" s="1"/>
  <c r="G147" i="8"/>
  <c r="H147" i="8" s="1"/>
  <c r="G146" i="8"/>
  <c r="H146" i="8" s="1"/>
  <c r="D145" i="8"/>
  <c r="G144" i="8"/>
  <c r="H144" i="8" s="1"/>
  <c r="B197" i="27"/>
  <c r="C197" i="27" s="1"/>
  <c r="G117" i="8"/>
  <c r="G112" i="8"/>
  <c r="H112" i="8" s="1"/>
  <c r="G111" i="8"/>
  <c r="H111" i="8" s="1"/>
  <c r="G108" i="8"/>
  <c r="H108" i="8" s="1"/>
  <c r="G107" i="8"/>
  <c r="H107" i="8" s="1"/>
  <c r="G106" i="8"/>
  <c r="H106" i="8" s="1"/>
  <c r="G105" i="8"/>
  <c r="H105" i="8" s="1"/>
  <c r="B196" i="27"/>
  <c r="C196" i="27" s="1"/>
  <c r="B195" i="27"/>
  <c r="C195" i="27" s="1"/>
  <c r="G81" i="8"/>
  <c r="G78" i="8"/>
  <c r="H78" i="8" s="1"/>
  <c r="G77" i="8"/>
  <c r="H77" i="8" s="1"/>
  <c r="G74" i="8"/>
  <c r="H74" i="8" s="1"/>
  <c r="G73" i="8"/>
  <c r="H73" i="8" s="1"/>
  <c r="G70" i="8"/>
  <c r="H70" i="8" s="1"/>
  <c r="G69" i="8"/>
  <c r="H69" i="8" s="1"/>
  <c r="D68" i="8"/>
  <c r="G67" i="8"/>
  <c r="H67" i="8" s="1"/>
  <c r="B193" i="27"/>
  <c r="C193" i="27" s="1"/>
  <c r="G39" i="8"/>
  <c r="G34" i="8"/>
  <c r="H34" i="8" s="1"/>
  <c r="G30" i="8"/>
  <c r="H30" i="8" s="1"/>
  <c r="G29" i="8"/>
  <c r="H29" i="8" s="1"/>
  <c r="G28" i="8"/>
  <c r="H28" i="8" s="1"/>
  <c r="G27" i="8"/>
  <c r="H27" i="8" s="1"/>
  <c r="F30" i="27"/>
  <c r="F14" i="27"/>
  <c r="F15" i="27"/>
  <c r="F16" i="27"/>
  <c r="F21" i="27"/>
  <c r="F22" i="27"/>
  <c r="F33" i="27"/>
  <c r="F34" i="27"/>
  <c r="F35" i="27"/>
  <c r="F36" i="27"/>
  <c r="F37" i="27"/>
  <c r="F38" i="27"/>
  <c r="F41" i="27"/>
  <c r="G35" i="27"/>
  <c r="G36" i="27"/>
  <c r="G37" i="27"/>
  <c r="G38" i="27"/>
  <c r="G39" i="27"/>
  <c r="G13" i="27"/>
  <c r="G14" i="27"/>
  <c r="G15" i="27"/>
  <c r="G16" i="27"/>
  <c r="G21" i="27"/>
  <c r="G22" i="27"/>
  <c r="G192" i="8"/>
  <c r="J290" i="2"/>
  <c r="J289" i="2"/>
  <c r="J275" i="2"/>
  <c r="J274" i="2"/>
  <c r="J273" i="2"/>
  <c r="E16" i="27"/>
  <c r="G9333" i="26"/>
  <c r="H9331" i="26"/>
  <c r="G9328" i="26"/>
  <c r="H9328" i="26" s="1"/>
  <c r="G9327" i="26"/>
  <c r="H9327" i="26" s="1"/>
  <c r="G9326" i="26"/>
  <c r="H9326" i="26" s="1"/>
  <c r="G9325" i="26"/>
  <c r="H9325" i="26" s="1"/>
  <c r="G9322" i="26"/>
  <c r="H9322" i="26" s="1"/>
  <c r="G9321" i="26"/>
  <c r="H9321" i="26" s="1"/>
  <c r="G9320" i="26"/>
  <c r="H9320" i="26" s="1"/>
  <c r="G9319" i="26"/>
  <c r="H9319" i="26" s="1"/>
  <c r="G9313" i="26"/>
  <c r="H9311" i="26"/>
  <c r="G9308" i="26"/>
  <c r="H9308" i="26" s="1"/>
  <c r="G9307" i="26"/>
  <c r="H9307" i="26" s="1"/>
  <c r="G9306" i="26"/>
  <c r="H9306" i="26" s="1"/>
  <c r="G9305" i="26"/>
  <c r="H9305" i="26" s="1"/>
  <c r="G9302" i="26"/>
  <c r="H9302" i="26" s="1"/>
  <c r="G9301" i="26"/>
  <c r="H9301" i="26" s="1"/>
  <c r="G9300" i="26"/>
  <c r="H9300" i="26" s="1"/>
  <c r="G9299" i="26"/>
  <c r="H9299" i="26" s="1"/>
  <c r="G9285" i="26"/>
  <c r="H9285" i="26" s="1"/>
  <c r="G9292" i="26"/>
  <c r="H9290" i="26"/>
  <c r="G9281" i="26"/>
  <c r="H9281" i="26" s="1"/>
  <c r="G9280" i="26"/>
  <c r="H9280" i="26" s="1"/>
  <c r="G9279" i="26"/>
  <c r="H9279" i="26" s="1"/>
  <c r="G9278" i="26"/>
  <c r="H9278" i="26" s="1"/>
  <c r="G9271" i="26"/>
  <c r="H9269" i="26"/>
  <c r="G9266" i="26"/>
  <c r="H9266" i="26" s="1"/>
  <c r="H9267" i="26" s="1"/>
  <c r="G9263" i="26"/>
  <c r="H9263" i="26" s="1"/>
  <c r="G9262" i="26"/>
  <c r="H9262" i="26" s="1"/>
  <c r="G9261" i="26"/>
  <c r="H9261" i="26" s="1"/>
  <c r="G9260" i="26"/>
  <c r="H9260" i="26" s="1"/>
  <c r="G9254" i="26"/>
  <c r="H9252" i="26"/>
  <c r="G9249" i="26"/>
  <c r="H9249" i="26" s="1"/>
  <c r="H9250" i="26" s="1"/>
  <c r="G9246" i="26"/>
  <c r="H9246" i="26" s="1"/>
  <c r="G9245" i="26"/>
  <c r="H9245" i="26" s="1"/>
  <c r="G9244" i="26"/>
  <c r="H9244" i="26" s="1"/>
  <c r="G9243" i="26"/>
  <c r="H9243" i="26" s="1"/>
  <c r="G9237" i="26"/>
  <c r="H9235" i="26"/>
  <c r="G9232" i="26"/>
  <c r="H9232" i="26" s="1"/>
  <c r="H9233" i="26" s="1"/>
  <c r="G9229" i="26"/>
  <c r="H9229" i="26" s="1"/>
  <c r="G9228" i="26"/>
  <c r="H9228" i="26" s="1"/>
  <c r="G9227" i="26"/>
  <c r="H9227" i="26" s="1"/>
  <c r="G9226" i="26"/>
  <c r="H9226" i="26" s="1"/>
  <c r="G9220" i="26"/>
  <c r="H9218" i="26"/>
  <c r="G9215" i="26"/>
  <c r="H9215" i="26" s="1"/>
  <c r="H9216" i="26" s="1"/>
  <c r="G9212" i="26"/>
  <c r="H9212" i="26" s="1"/>
  <c r="G9211" i="26"/>
  <c r="H9211" i="26" s="1"/>
  <c r="G9210" i="26"/>
  <c r="H9210" i="26" s="1"/>
  <c r="G9209" i="26"/>
  <c r="H9209" i="26" s="1"/>
  <c r="G9203" i="26"/>
  <c r="H9201" i="26"/>
  <c r="G9198" i="26"/>
  <c r="H9198" i="26" s="1"/>
  <c r="H9199" i="26" s="1"/>
  <c r="G9195" i="26"/>
  <c r="H9195" i="26" s="1"/>
  <c r="G9194" i="26"/>
  <c r="H9194" i="26" s="1"/>
  <c r="G9193" i="26"/>
  <c r="H9193" i="26" s="1"/>
  <c r="G9192" i="26"/>
  <c r="H9192" i="26" s="1"/>
  <c r="G9186" i="26"/>
  <c r="H9184" i="26"/>
  <c r="G9181" i="26"/>
  <c r="H9181" i="26" s="1"/>
  <c r="H9182" i="26" s="1"/>
  <c r="G9178" i="26"/>
  <c r="H9178" i="26" s="1"/>
  <c r="G9177" i="26"/>
  <c r="H9177" i="26" s="1"/>
  <c r="G9176" i="26"/>
  <c r="H9176" i="26" s="1"/>
  <c r="G9175" i="26"/>
  <c r="H9175" i="26" s="1"/>
  <c r="G9169" i="26"/>
  <c r="H9167" i="26"/>
  <c r="G9164" i="26"/>
  <c r="H9164" i="26" s="1"/>
  <c r="H9165" i="26" s="1"/>
  <c r="G9161" i="26"/>
  <c r="H9161" i="26" s="1"/>
  <c r="G9160" i="26"/>
  <c r="H9160" i="26" s="1"/>
  <c r="G9159" i="26"/>
  <c r="H9159" i="26" s="1"/>
  <c r="G9158" i="26"/>
  <c r="H9158" i="26" s="1"/>
  <c r="G9152" i="26"/>
  <c r="H9150" i="26"/>
  <c r="G9147" i="26"/>
  <c r="H9147" i="26" s="1"/>
  <c r="H9148" i="26" s="1"/>
  <c r="G9144" i="26"/>
  <c r="H9144" i="26" s="1"/>
  <c r="G9143" i="26"/>
  <c r="H9143" i="26" s="1"/>
  <c r="G9142" i="26"/>
  <c r="H9142" i="26" s="1"/>
  <c r="G9141" i="26"/>
  <c r="H9141" i="26" s="1"/>
  <c r="G9135" i="26"/>
  <c r="H9133" i="26"/>
  <c r="G9130" i="26"/>
  <c r="H9130" i="26" s="1"/>
  <c r="H9131" i="26" s="1"/>
  <c r="G9127" i="26"/>
  <c r="H9127" i="26" s="1"/>
  <c r="G9126" i="26"/>
  <c r="H9126" i="26" s="1"/>
  <c r="G9125" i="26"/>
  <c r="H9125" i="26" s="1"/>
  <c r="G9124" i="26"/>
  <c r="H9124" i="26" s="1"/>
  <c r="G9118" i="26"/>
  <c r="H9116" i="26"/>
  <c r="G9113" i="26"/>
  <c r="H9113" i="26" s="1"/>
  <c r="H9114" i="26" s="1"/>
  <c r="G9110" i="26"/>
  <c r="H9110" i="26" s="1"/>
  <c r="G9109" i="26"/>
  <c r="H9109" i="26" s="1"/>
  <c r="G9108" i="26"/>
  <c r="H9108" i="26" s="1"/>
  <c r="G9107" i="26"/>
  <c r="H9107" i="26" s="1"/>
  <c r="G9101" i="26"/>
  <c r="H9099" i="26"/>
  <c r="G9096" i="26"/>
  <c r="H9096" i="26" s="1"/>
  <c r="H9097" i="26" s="1"/>
  <c r="G9093" i="26"/>
  <c r="H9093" i="26" s="1"/>
  <c r="G9092" i="26"/>
  <c r="H9092" i="26" s="1"/>
  <c r="G9091" i="26"/>
  <c r="H9091" i="26" s="1"/>
  <c r="G9090" i="26"/>
  <c r="H9090" i="26" s="1"/>
  <c r="G9084" i="26"/>
  <c r="H9082" i="26"/>
  <c r="G9079" i="26"/>
  <c r="H9079" i="26" s="1"/>
  <c r="H9080" i="26" s="1"/>
  <c r="G9076" i="26"/>
  <c r="H9076" i="26" s="1"/>
  <c r="G9075" i="26"/>
  <c r="H9075" i="26" s="1"/>
  <c r="G9074" i="26"/>
  <c r="H9074" i="26" s="1"/>
  <c r="G9073" i="26"/>
  <c r="H9073" i="26" s="1"/>
  <c r="G9067" i="26"/>
  <c r="H9065" i="26"/>
  <c r="G9062" i="26"/>
  <c r="H9062" i="26" s="1"/>
  <c r="H9063" i="26" s="1"/>
  <c r="G9059" i="26"/>
  <c r="H9059" i="26" s="1"/>
  <c r="G9058" i="26"/>
  <c r="H9058" i="26" s="1"/>
  <c r="G9057" i="26"/>
  <c r="H9057" i="26" s="1"/>
  <c r="G9056" i="26"/>
  <c r="H9056" i="26" s="1"/>
  <c r="G9049" i="26"/>
  <c r="H9047" i="26"/>
  <c r="G9044" i="26"/>
  <c r="H9044" i="26" s="1"/>
  <c r="H9045" i="26" s="1"/>
  <c r="G9041" i="26"/>
  <c r="H9041" i="26" s="1"/>
  <c r="G9040" i="26"/>
  <c r="H9040" i="26" s="1"/>
  <c r="G9039" i="26"/>
  <c r="H9039" i="26" s="1"/>
  <c r="G9038" i="26"/>
  <c r="H9038" i="26" s="1"/>
  <c r="G9032" i="26"/>
  <c r="H9030" i="26"/>
  <c r="G9027" i="26"/>
  <c r="H9027" i="26" s="1"/>
  <c r="H9028" i="26" s="1"/>
  <c r="G9024" i="26"/>
  <c r="H9024" i="26" s="1"/>
  <c r="G9023" i="26"/>
  <c r="H9023" i="26" s="1"/>
  <c r="G9022" i="26"/>
  <c r="H9022" i="26" s="1"/>
  <c r="G9021" i="26"/>
  <c r="H9021" i="26" s="1"/>
  <c r="G9015" i="26"/>
  <c r="H9013" i="26"/>
  <c r="G9010" i="26"/>
  <c r="H9010" i="26" s="1"/>
  <c r="H9011" i="26" s="1"/>
  <c r="G9007" i="26"/>
  <c r="H9007" i="26" s="1"/>
  <c r="G9006" i="26"/>
  <c r="H9006" i="26" s="1"/>
  <c r="G9005" i="26"/>
  <c r="H9005" i="26" s="1"/>
  <c r="G9004" i="26"/>
  <c r="H9004" i="26" s="1"/>
  <c r="G8998" i="26"/>
  <c r="H8996" i="26"/>
  <c r="G8993" i="26"/>
  <c r="H8993" i="26" s="1"/>
  <c r="H8994" i="26" s="1"/>
  <c r="G8990" i="26"/>
  <c r="H8990" i="26" s="1"/>
  <c r="G8989" i="26"/>
  <c r="H8989" i="26" s="1"/>
  <c r="G8988" i="26"/>
  <c r="H8988" i="26" s="1"/>
  <c r="G8987" i="26"/>
  <c r="H8987" i="26" s="1"/>
  <c r="G8980" i="26"/>
  <c r="H8978" i="26"/>
  <c r="G8975" i="26"/>
  <c r="H8975" i="26" s="1"/>
  <c r="H8976" i="26" s="1"/>
  <c r="G8972" i="26"/>
  <c r="H8972" i="26" s="1"/>
  <c r="G8971" i="26"/>
  <c r="H8971" i="26" s="1"/>
  <c r="G8970" i="26"/>
  <c r="H8970" i="26" s="1"/>
  <c r="G8969" i="26"/>
  <c r="H8969" i="26" s="1"/>
  <c r="G8962" i="26"/>
  <c r="H8960" i="26"/>
  <c r="G8957" i="26"/>
  <c r="H8957" i="26" s="1"/>
  <c r="H8958" i="26" s="1"/>
  <c r="G8954" i="26"/>
  <c r="H8954" i="26" s="1"/>
  <c r="G8953" i="26"/>
  <c r="H8953" i="26" s="1"/>
  <c r="G8952" i="26"/>
  <c r="H8952" i="26" s="1"/>
  <c r="G8951" i="26"/>
  <c r="H8951" i="26" s="1"/>
  <c r="G8945" i="26"/>
  <c r="H8943" i="26"/>
  <c r="G8940" i="26"/>
  <c r="H8940" i="26" s="1"/>
  <c r="H8941" i="26" s="1"/>
  <c r="G8937" i="26"/>
  <c r="H8937" i="26" s="1"/>
  <c r="G8936" i="26"/>
  <c r="H8936" i="26" s="1"/>
  <c r="G8935" i="26"/>
  <c r="H8935" i="26" s="1"/>
  <c r="G8934" i="26"/>
  <c r="H8934" i="26" s="1"/>
  <c r="G8927" i="26"/>
  <c r="H8925" i="26"/>
  <c r="G8922" i="26"/>
  <c r="H8922" i="26" s="1"/>
  <c r="H8923" i="26" s="1"/>
  <c r="G8919" i="26"/>
  <c r="H8919" i="26" s="1"/>
  <c r="G8918" i="26"/>
  <c r="H8918" i="26" s="1"/>
  <c r="G8917" i="26"/>
  <c r="H8917" i="26" s="1"/>
  <c r="G8916" i="26"/>
  <c r="H8916" i="26" s="1"/>
  <c r="G8910" i="26"/>
  <c r="H8908" i="26"/>
  <c r="G8905" i="26"/>
  <c r="H8905" i="26" s="1"/>
  <c r="H8906" i="26" s="1"/>
  <c r="G8902" i="26"/>
  <c r="H8902" i="26" s="1"/>
  <c r="G8901" i="26"/>
  <c r="H8901" i="26" s="1"/>
  <c r="G8900" i="26"/>
  <c r="H8900" i="26" s="1"/>
  <c r="G8899" i="26"/>
  <c r="H8899" i="26" s="1"/>
  <c r="G8893" i="26"/>
  <c r="H8891" i="26"/>
  <c r="G8888" i="26"/>
  <c r="H8888" i="26" s="1"/>
  <c r="H8889" i="26" s="1"/>
  <c r="G8885" i="26"/>
  <c r="H8885" i="26" s="1"/>
  <c r="G8884" i="26"/>
  <c r="H8884" i="26" s="1"/>
  <c r="G8883" i="26"/>
  <c r="H8883" i="26" s="1"/>
  <c r="G8882" i="26"/>
  <c r="H8882" i="26" s="1"/>
  <c r="G8876" i="26"/>
  <c r="H8874" i="26"/>
  <c r="G8871" i="26"/>
  <c r="H8871" i="26" s="1"/>
  <c r="H8872" i="26" s="1"/>
  <c r="G8868" i="26"/>
  <c r="H8868" i="26" s="1"/>
  <c r="G8867" i="26"/>
  <c r="H8867" i="26" s="1"/>
  <c r="G8866" i="26"/>
  <c r="H8866" i="26" s="1"/>
  <c r="G8865" i="26"/>
  <c r="H8865" i="26" s="1"/>
  <c r="G8859" i="26"/>
  <c r="H8857" i="26"/>
  <c r="G8854" i="26"/>
  <c r="H8854" i="26" s="1"/>
  <c r="H8855" i="26" s="1"/>
  <c r="G8851" i="26"/>
  <c r="H8851" i="26" s="1"/>
  <c r="G8850" i="26"/>
  <c r="H8850" i="26" s="1"/>
  <c r="G8849" i="26"/>
  <c r="H8849" i="26" s="1"/>
  <c r="G8848" i="26"/>
  <c r="H8848" i="26" s="1"/>
  <c r="G8842" i="26"/>
  <c r="H8840" i="26"/>
  <c r="G8837" i="26"/>
  <c r="H8837" i="26" s="1"/>
  <c r="H8838" i="26" s="1"/>
  <c r="G8834" i="26"/>
  <c r="H8834" i="26" s="1"/>
  <c r="G8833" i="26"/>
  <c r="H8833" i="26" s="1"/>
  <c r="G8832" i="26"/>
  <c r="H8832" i="26" s="1"/>
  <c r="G8831" i="26"/>
  <c r="H8831" i="26" s="1"/>
  <c r="G8824" i="26"/>
  <c r="H8822" i="26"/>
  <c r="G8819" i="26"/>
  <c r="H8819" i="26" s="1"/>
  <c r="H8820" i="26" s="1"/>
  <c r="G8816" i="26"/>
  <c r="H8816" i="26" s="1"/>
  <c r="G8815" i="26"/>
  <c r="H8815" i="26" s="1"/>
  <c r="G8814" i="26"/>
  <c r="H8814" i="26" s="1"/>
  <c r="G8813" i="26"/>
  <c r="H8813" i="26" s="1"/>
  <c r="G8807" i="26"/>
  <c r="H8805" i="26"/>
  <c r="G8802" i="26"/>
  <c r="H8802" i="26" s="1"/>
  <c r="H8803" i="26" s="1"/>
  <c r="G8799" i="26"/>
  <c r="H8799" i="26" s="1"/>
  <c r="G8798" i="26"/>
  <c r="H8798" i="26" s="1"/>
  <c r="G8797" i="26"/>
  <c r="H8797" i="26" s="1"/>
  <c r="G8796" i="26"/>
  <c r="H8796" i="26" s="1"/>
  <c r="G8790" i="26"/>
  <c r="H8788" i="26"/>
  <c r="G8785" i="26"/>
  <c r="H8785" i="26" s="1"/>
  <c r="H8786" i="26" s="1"/>
  <c r="G8782" i="26"/>
  <c r="H8782" i="26" s="1"/>
  <c r="G8781" i="26"/>
  <c r="H8781" i="26" s="1"/>
  <c r="G8780" i="26"/>
  <c r="H8780" i="26" s="1"/>
  <c r="G8779" i="26"/>
  <c r="H8779" i="26" s="1"/>
  <c r="G8773" i="26"/>
  <c r="H8771" i="26"/>
  <c r="G8768" i="26"/>
  <c r="H8768" i="26" s="1"/>
  <c r="H8769" i="26" s="1"/>
  <c r="G8765" i="26"/>
  <c r="H8765" i="26" s="1"/>
  <c r="G8764" i="26"/>
  <c r="H8764" i="26" s="1"/>
  <c r="G8763" i="26"/>
  <c r="H8763" i="26" s="1"/>
  <c r="G8762" i="26"/>
  <c r="H8762" i="26" s="1"/>
  <c r="G8756" i="26"/>
  <c r="H8754" i="26"/>
  <c r="G8751" i="26"/>
  <c r="H8751" i="26" s="1"/>
  <c r="H8752" i="26" s="1"/>
  <c r="G8748" i="26"/>
  <c r="H8748" i="26" s="1"/>
  <c r="G8747" i="26"/>
  <c r="H8747" i="26" s="1"/>
  <c r="G8746" i="26"/>
  <c r="H8746" i="26" s="1"/>
  <c r="G8745" i="26"/>
  <c r="H8745" i="26" s="1"/>
  <c r="G8739" i="26"/>
  <c r="H8737" i="26"/>
  <c r="G8734" i="26"/>
  <c r="H8734" i="26" s="1"/>
  <c r="H8735" i="26" s="1"/>
  <c r="G8731" i="26"/>
  <c r="H8731" i="26" s="1"/>
  <c r="G8730" i="26"/>
  <c r="H8730" i="26" s="1"/>
  <c r="G8729" i="26"/>
  <c r="H8729" i="26" s="1"/>
  <c r="G8728" i="26"/>
  <c r="H8728" i="26" s="1"/>
  <c r="G8722" i="26"/>
  <c r="H8720" i="26"/>
  <c r="G8717" i="26"/>
  <c r="H8717" i="26" s="1"/>
  <c r="H8718" i="26" s="1"/>
  <c r="G8714" i="26"/>
  <c r="H8714" i="26" s="1"/>
  <c r="G8713" i="26"/>
  <c r="H8713" i="26" s="1"/>
  <c r="G8712" i="26"/>
  <c r="H8712" i="26" s="1"/>
  <c r="G8711" i="26"/>
  <c r="H8711" i="26" s="1"/>
  <c r="G8705" i="26"/>
  <c r="H8703" i="26"/>
  <c r="G8700" i="26"/>
  <c r="H8700" i="26" s="1"/>
  <c r="H8701" i="26" s="1"/>
  <c r="G8697" i="26"/>
  <c r="H8697" i="26" s="1"/>
  <c r="G8696" i="26"/>
  <c r="H8696" i="26" s="1"/>
  <c r="G8695" i="26"/>
  <c r="H8695" i="26" s="1"/>
  <c r="G8694" i="26"/>
  <c r="H8694" i="26" s="1"/>
  <c r="G8688" i="26"/>
  <c r="H8686" i="26"/>
  <c r="G8683" i="26"/>
  <c r="H8683" i="26" s="1"/>
  <c r="H8684" i="26" s="1"/>
  <c r="G8680" i="26"/>
  <c r="H8680" i="26" s="1"/>
  <c r="G8679" i="26"/>
  <c r="H8679" i="26" s="1"/>
  <c r="G8678" i="26"/>
  <c r="H8678" i="26" s="1"/>
  <c r="G8677" i="26"/>
  <c r="H8677" i="26" s="1"/>
  <c r="G8671" i="26"/>
  <c r="H8669" i="26"/>
  <c r="G8666" i="26"/>
  <c r="H8666" i="26" s="1"/>
  <c r="H8667" i="26" s="1"/>
  <c r="G8663" i="26"/>
  <c r="H8663" i="26" s="1"/>
  <c r="G8662" i="26"/>
  <c r="H8662" i="26" s="1"/>
  <c r="G8661" i="26"/>
  <c r="H8661" i="26" s="1"/>
  <c r="G8660" i="26"/>
  <c r="H8660" i="26" s="1"/>
  <c r="G8653" i="26"/>
  <c r="H8651" i="26"/>
  <c r="G8648" i="26"/>
  <c r="H8648" i="26" s="1"/>
  <c r="H8649" i="26" s="1"/>
  <c r="G8645" i="26"/>
  <c r="H8645" i="26" s="1"/>
  <c r="G8644" i="26"/>
  <c r="H8644" i="26" s="1"/>
  <c r="G8643" i="26"/>
  <c r="H8643" i="26" s="1"/>
  <c r="G8642" i="26"/>
  <c r="H8642" i="26" s="1"/>
  <c r="G8636" i="26"/>
  <c r="H8634" i="26"/>
  <c r="G8631" i="26"/>
  <c r="H8631" i="26" s="1"/>
  <c r="H8632" i="26" s="1"/>
  <c r="G8628" i="26"/>
  <c r="H8628" i="26" s="1"/>
  <c r="G8627" i="26"/>
  <c r="H8627" i="26" s="1"/>
  <c r="G8626" i="26"/>
  <c r="H8626" i="26" s="1"/>
  <c r="G8625" i="26"/>
  <c r="H8625" i="26" s="1"/>
  <c r="G8619" i="26"/>
  <c r="H8617" i="26"/>
  <c r="G8614" i="26"/>
  <c r="H8614" i="26" s="1"/>
  <c r="H8615" i="26" s="1"/>
  <c r="G8611" i="26"/>
  <c r="H8611" i="26" s="1"/>
  <c r="G8610" i="26"/>
  <c r="H8610" i="26" s="1"/>
  <c r="G8609" i="26"/>
  <c r="H8609" i="26" s="1"/>
  <c r="G8608" i="26"/>
  <c r="H8608" i="26" s="1"/>
  <c r="G8602" i="26"/>
  <c r="H8600" i="26"/>
  <c r="G8597" i="26"/>
  <c r="H8597" i="26" s="1"/>
  <c r="H8598" i="26" s="1"/>
  <c r="G8594" i="26"/>
  <c r="H8594" i="26" s="1"/>
  <c r="G8593" i="26"/>
  <c r="H8593" i="26" s="1"/>
  <c r="G8592" i="26"/>
  <c r="H8592" i="26" s="1"/>
  <c r="G8591" i="26"/>
  <c r="H8591" i="26" s="1"/>
  <c r="G8585" i="26"/>
  <c r="H8583" i="26"/>
  <c r="G8580" i="26"/>
  <c r="H8580" i="26" s="1"/>
  <c r="H8581" i="26" s="1"/>
  <c r="G8577" i="26"/>
  <c r="H8577" i="26" s="1"/>
  <c r="G8576" i="26"/>
  <c r="H8576" i="26" s="1"/>
  <c r="G8575" i="26"/>
  <c r="H8575" i="26" s="1"/>
  <c r="G8574" i="26"/>
  <c r="H8574" i="26" s="1"/>
  <c r="G8567" i="26"/>
  <c r="H8565" i="26"/>
  <c r="G8562" i="26"/>
  <c r="H8562" i="26" s="1"/>
  <c r="H8563" i="26" s="1"/>
  <c r="G8559" i="26"/>
  <c r="H8559" i="26" s="1"/>
  <c r="G8558" i="26"/>
  <c r="H8558" i="26" s="1"/>
  <c r="G8557" i="26"/>
  <c r="H8557" i="26" s="1"/>
  <c r="G8556" i="26"/>
  <c r="H8556" i="26" s="1"/>
  <c r="G8550" i="26"/>
  <c r="H8548" i="26"/>
  <c r="G8545" i="26"/>
  <c r="H8545" i="26" s="1"/>
  <c r="H8546" i="26" s="1"/>
  <c r="G8542" i="26"/>
  <c r="H8542" i="26" s="1"/>
  <c r="G8541" i="26"/>
  <c r="H8541" i="26" s="1"/>
  <c r="G8540" i="26"/>
  <c r="H8540" i="26" s="1"/>
  <c r="G8539" i="26"/>
  <c r="H8539" i="26" s="1"/>
  <c r="G8532" i="26"/>
  <c r="H8530" i="26"/>
  <c r="G8527" i="26"/>
  <c r="H8527" i="26" s="1"/>
  <c r="H8528" i="26" s="1"/>
  <c r="G8524" i="26"/>
  <c r="H8524" i="26" s="1"/>
  <c r="G8523" i="26"/>
  <c r="H8523" i="26" s="1"/>
  <c r="G8522" i="26"/>
  <c r="H8522" i="26" s="1"/>
  <c r="G8521" i="26"/>
  <c r="H8521" i="26" s="1"/>
  <c r="G8514" i="26"/>
  <c r="H8512" i="26"/>
  <c r="G8509" i="26"/>
  <c r="H8509" i="26" s="1"/>
  <c r="H8510" i="26" s="1"/>
  <c r="G8506" i="26"/>
  <c r="H8506" i="26" s="1"/>
  <c r="G8505" i="26"/>
  <c r="H8505" i="26" s="1"/>
  <c r="G8504" i="26"/>
  <c r="H8504" i="26" s="1"/>
  <c r="G8503" i="26"/>
  <c r="H8503" i="26" s="1"/>
  <c r="H8494" i="26"/>
  <c r="G8491" i="26"/>
  <c r="H8491" i="26" s="1"/>
  <c r="G8496" i="26"/>
  <c r="G8490" i="26"/>
  <c r="H8490" i="26" s="1"/>
  <c r="G8487" i="26"/>
  <c r="H8487" i="26" s="1"/>
  <c r="G8486" i="26"/>
  <c r="H8486" i="26" s="1"/>
  <c r="G8485" i="26"/>
  <c r="H8485" i="26" s="1"/>
  <c r="G8484" i="26"/>
  <c r="H8484" i="26" s="1"/>
  <c r="G8478" i="26"/>
  <c r="H8476" i="26"/>
  <c r="G8473" i="26"/>
  <c r="H8473" i="26" s="1"/>
  <c r="H8474" i="26" s="1"/>
  <c r="G8470" i="26"/>
  <c r="H8470" i="26" s="1"/>
  <c r="G8469" i="26"/>
  <c r="H8469" i="26" s="1"/>
  <c r="G8468" i="26"/>
  <c r="H8468" i="26" s="1"/>
  <c r="G8467" i="26"/>
  <c r="H8467" i="26" s="1"/>
  <c r="G8460" i="26"/>
  <c r="H8458" i="26"/>
  <c r="G8455" i="26"/>
  <c r="H8455" i="26" s="1"/>
  <c r="H8456" i="26" s="1"/>
  <c r="G8452" i="26"/>
  <c r="H8452" i="26" s="1"/>
  <c r="G8451" i="26"/>
  <c r="H8451" i="26" s="1"/>
  <c r="G8450" i="26"/>
  <c r="H8450" i="26" s="1"/>
  <c r="G8449" i="26"/>
  <c r="H8449" i="26" s="1"/>
  <c r="G8443" i="26"/>
  <c r="H8441" i="26"/>
  <c r="G8438" i="26"/>
  <c r="H8438" i="26" s="1"/>
  <c r="H8439" i="26" s="1"/>
  <c r="G8435" i="26"/>
  <c r="H8435" i="26" s="1"/>
  <c r="G8434" i="26"/>
  <c r="H8434" i="26" s="1"/>
  <c r="G8433" i="26"/>
  <c r="H8433" i="26" s="1"/>
  <c r="G8432" i="26"/>
  <c r="H8432" i="26" s="1"/>
  <c r="G8425" i="26"/>
  <c r="H8423" i="26"/>
  <c r="G8420" i="26"/>
  <c r="H8420" i="26" s="1"/>
  <c r="H8421" i="26" s="1"/>
  <c r="G8417" i="26"/>
  <c r="H8417" i="26" s="1"/>
  <c r="G8416" i="26"/>
  <c r="H8416" i="26" s="1"/>
  <c r="G8415" i="26"/>
  <c r="H8415" i="26" s="1"/>
  <c r="G8414" i="26"/>
  <c r="H8414" i="26" s="1"/>
  <c r="G8408" i="26"/>
  <c r="H8406" i="26"/>
  <c r="G8403" i="26"/>
  <c r="H8403" i="26" s="1"/>
  <c r="H8404" i="26" s="1"/>
  <c r="G8400" i="26"/>
  <c r="H8400" i="26" s="1"/>
  <c r="G8399" i="26"/>
  <c r="H8399" i="26" s="1"/>
  <c r="G8398" i="26"/>
  <c r="H8398" i="26" s="1"/>
  <c r="G8397" i="26"/>
  <c r="H8397" i="26" s="1"/>
  <c r="G8391" i="26"/>
  <c r="H8389" i="26"/>
  <c r="G8386" i="26"/>
  <c r="H8386" i="26" s="1"/>
  <c r="H8387" i="26" s="1"/>
  <c r="G8383" i="26"/>
  <c r="H8383" i="26" s="1"/>
  <c r="G8382" i="26"/>
  <c r="H8382" i="26" s="1"/>
  <c r="G8381" i="26"/>
  <c r="H8381" i="26" s="1"/>
  <c r="G8380" i="26"/>
  <c r="H8380" i="26" s="1"/>
  <c r="G8374" i="26"/>
  <c r="H8372" i="26"/>
  <c r="G8369" i="26"/>
  <c r="H8369" i="26" s="1"/>
  <c r="H8370" i="26" s="1"/>
  <c r="G8366" i="26"/>
  <c r="H8366" i="26" s="1"/>
  <c r="G8365" i="26"/>
  <c r="H8365" i="26" s="1"/>
  <c r="G8364" i="26"/>
  <c r="H8364" i="26" s="1"/>
  <c r="G8363" i="26"/>
  <c r="H8363" i="26" s="1"/>
  <c r="G8354" i="26"/>
  <c r="H8352" i="26"/>
  <c r="G8349" i="26"/>
  <c r="H8349" i="26" s="1"/>
  <c r="G8345" i="26"/>
  <c r="H8345" i="26" s="1"/>
  <c r="G8344" i="26"/>
  <c r="H8344" i="26" s="1"/>
  <c r="G8343" i="26"/>
  <c r="H8343" i="26" s="1"/>
  <c r="G8342" i="26"/>
  <c r="H8342" i="26" s="1"/>
  <c r="G8330" i="26"/>
  <c r="H8330" i="26" s="1"/>
  <c r="G8335" i="26"/>
  <c r="H8333" i="26"/>
  <c r="G8329" i="26"/>
  <c r="H8329" i="26" s="1"/>
  <c r="G8326" i="26"/>
  <c r="H8326" i="26" s="1"/>
  <c r="G8325" i="26"/>
  <c r="H8325" i="26" s="1"/>
  <c r="G8324" i="26"/>
  <c r="H8324" i="26" s="1"/>
  <c r="G8323" i="26"/>
  <c r="H8323" i="26" s="1"/>
  <c r="G8317" i="26"/>
  <c r="H8315" i="26"/>
  <c r="G8312" i="26"/>
  <c r="H8312" i="26" s="1"/>
  <c r="H8313" i="26" s="1"/>
  <c r="G8309" i="26"/>
  <c r="H8309" i="26" s="1"/>
  <c r="G8308" i="26"/>
  <c r="H8308" i="26" s="1"/>
  <c r="G8307" i="26"/>
  <c r="H8307" i="26" s="1"/>
  <c r="G8306" i="26"/>
  <c r="H8306" i="26" s="1"/>
  <c r="G8299" i="26"/>
  <c r="H8297" i="26"/>
  <c r="G8294" i="26"/>
  <c r="H8294" i="26" s="1"/>
  <c r="H8295" i="26" s="1"/>
  <c r="G8291" i="26"/>
  <c r="H8291" i="26" s="1"/>
  <c r="G8290" i="26"/>
  <c r="H8290" i="26" s="1"/>
  <c r="G8289" i="26"/>
  <c r="H8289" i="26" s="1"/>
  <c r="G8288" i="26"/>
  <c r="H8288" i="26" s="1"/>
  <c r="G8282" i="26"/>
  <c r="H8280" i="26"/>
  <c r="G8277" i="26"/>
  <c r="H8277" i="26" s="1"/>
  <c r="H8278" i="26" s="1"/>
  <c r="G8274" i="26"/>
  <c r="H8274" i="26" s="1"/>
  <c r="G8273" i="26"/>
  <c r="H8273" i="26" s="1"/>
  <c r="G8272" i="26"/>
  <c r="H8272" i="26" s="1"/>
  <c r="G8271" i="26"/>
  <c r="H8271" i="26" s="1"/>
  <c r="G8258" i="26"/>
  <c r="H8258" i="26" s="1"/>
  <c r="G8260" i="26"/>
  <c r="H8260" i="26" s="1"/>
  <c r="G8259" i="26"/>
  <c r="H8259" i="26" s="1"/>
  <c r="G8257" i="26"/>
  <c r="H8257" i="26" s="1"/>
  <c r="G8256" i="26"/>
  <c r="H8256" i="26" s="1"/>
  <c r="G8255" i="26"/>
  <c r="H8255" i="26" s="1"/>
  <c r="G8265" i="26"/>
  <c r="H8263" i="26"/>
  <c r="G8252" i="26"/>
  <c r="H8252" i="26" s="1"/>
  <c r="G8251" i="26"/>
  <c r="H8251" i="26" s="1"/>
  <c r="G8250" i="26"/>
  <c r="H8250" i="26" s="1"/>
  <c r="G8249" i="26"/>
  <c r="H8249" i="26" s="1"/>
  <c r="G8241" i="26"/>
  <c r="H8239" i="26"/>
  <c r="G8236" i="26"/>
  <c r="H8236" i="26" s="1"/>
  <c r="H8237" i="26" s="1"/>
  <c r="G8233" i="26"/>
  <c r="H8233" i="26" s="1"/>
  <c r="G8232" i="26"/>
  <c r="H8232" i="26" s="1"/>
  <c r="G8231" i="26"/>
  <c r="H8231" i="26" s="1"/>
  <c r="G8230" i="26"/>
  <c r="H8230" i="26" s="1"/>
  <c r="G8224" i="26"/>
  <c r="H8222" i="26"/>
  <c r="G8219" i="26"/>
  <c r="H8219" i="26" s="1"/>
  <c r="H8220" i="26" s="1"/>
  <c r="G8216" i="26"/>
  <c r="H8216" i="26" s="1"/>
  <c r="G8215" i="26"/>
  <c r="H8215" i="26" s="1"/>
  <c r="G8214" i="26"/>
  <c r="H8214" i="26" s="1"/>
  <c r="G8213" i="26"/>
  <c r="H8213" i="26" s="1"/>
  <c r="G8206" i="26"/>
  <c r="H8204" i="26"/>
  <c r="G8201" i="26"/>
  <c r="H8201" i="26" s="1"/>
  <c r="H8202" i="26" s="1"/>
  <c r="G8198" i="26"/>
  <c r="H8198" i="26" s="1"/>
  <c r="G8197" i="26"/>
  <c r="H8197" i="26" s="1"/>
  <c r="G8196" i="26"/>
  <c r="H8196" i="26" s="1"/>
  <c r="G8195" i="26"/>
  <c r="H8195" i="26" s="1"/>
  <c r="G8188" i="26"/>
  <c r="H8186" i="26"/>
  <c r="G8183" i="26"/>
  <c r="H8183" i="26" s="1"/>
  <c r="H8184" i="26" s="1"/>
  <c r="G8180" i="26"/>
  <c r="H8180" i="26" s="1"/>
  <c r="G8179" i="26"/>
  <c r="H8179" i="26" s="1"/>
  <c r="G8178" i="26"/>
  <c r="H8178" i="26" s="1"/>
  <c r="G8177" i="26"/>
  <c r="H8177" i="26" s="1"/>
  <c r="G8154" i="26"/>
  <c r="H8152" i="26"/>
  <c r="G8149" i="26"/>
  <c r="H8149" i="26" s="1"/>
  <c r="H8150" i="26" s="1"/>
  <c r="G8146" i="26"/>
  <c r="H8146" i="26" s="1"/>
  <c r="G8145" i="26"/>
  <c r="H8145" i="26" s="1"/>
  <c r="G8144" i="26"/>
  <c r="H8144" i="26" s="1"/>
  <c r="G8143" i="26"/>
  <c r="H8143" i="26" s="1"/>
  <c r="G8171" i="26"/>
  <c r="H8169" i="26"/>
  <c r="G8163" i="26"/>
  <c r="H8163" i="26" s="1"/>
  <c r="G8162" i="26"/>
  <c r="H8162" i="26" s="1"/>
  <c r="G8161" i="26"/>
  <c r="H8161" i="26" s="1"/>
  <c r="G8160" i="26"/>
  <c r="H8160" i="26" s="1"/>
  <c r="G8132" i="26"/>
  <c r="H8132" i="26" s="1"/>
  <c r="G8131" i="26"/>
  <c r="H8131" i="26" s="1"/>
  <c r="G8130" i="26"/>
  <c r="H8130" i="26" s="1"/>
  <c r="G8129" i="26"/>
  <c r="H8129" i="26" s="1"/>
  <c r="G8137" i="26"/>
  <c r="H8135" i="26"/>
  <c r="G8126" i="26"/>
  <c r="H8126" i="26" s="1"/>
  <c r="G8125" i="26"/>
  <c r="H8125" i="26" s="1"/>
  <c r="G8124" i="26"/>
  <c r="H8124" i="26" s="1"/>
  <c r="G8123" i="26"/>
  <c r="H8123" i="26" s="1"/>
  <c r="G8116" i="26"/>
  <c r="H8114" i="26"/>
  <c r="G8111" i="26"/>
  <c r="H8111" i="26" s="1"/>
  <c r="H8112" i="26" s="1"/>
  <c r="G8108" i="26"/>
  <c r="H8108" i="26" s="1"/>
  <c r="G8107" i="26"/>
  <c r="H8107" i="26" s="1"/>
  <c r="G8106" i="26"/>
  <c r="H8106" i="26" s="1"/>
  <c r="G8105" i="26"/>
  <c r="H8105" i="26" s="1"/>
  <c r="G8098" i="26"/>
  <c r="H8096" i="26"/>
  <c r="G8093" i="26"/>
  <c r="H8093" i="26" s="1"/>
  <c r="H8094" i="26" s="1"/>
  <c r="G8090" i="26"/>
  <c r="H8090" i="26" s="1"/>
  <c r="G8089" i="26"/>
  <c r="H8089" i="26" s="1"/>
  <c r="G8088" i="26"/>
  <c r="H8088" i="26" s="1"/>
  <c r="G8087" i="26"/>
  <c r="H8087" i="26" s="1"/>
  <c r="G8080" i="26"/>
  <c r="H8078" i="26"/>
  <c r="G8075" i="26"/>
  <c r="H8075" i="26" s="1"/>
  <c r="H8076" i="26" s="1"/>
  <c r="G8072" i="26"/>
  <c r="H8072" i="26" s="1"/>
  <c r="G8071" i="26"/>
  <c r="H8071" i="26" s="1"/>
  <c r="G8070" i="26"/>
  <c r="H8070" i="26" s="1"/>
  <c r="G8069" i="26"/>
  <c r="H8069" i="26" s="1"/>
  <c r="G8057" i="26"/>
  <c r="H8057" i="26" s="1"/>
  <c r="G8056" i="26"/>
  <c r="H8056" i="26" s="1"/>
  <c r="G8055" i="26"/>
  <c r="H8055" i="26" s="1"/>
  <c r="G8054" i="26"/>
  <c r="H8054" i="26" s="1"/>
  <c r="G8053" i="26"/>
  <c r="H8053" i="26" s="1"/>
  <c r="G8052" i="26"/>
  <c r="H8052" i="26" s="1"/>
  <c r="G8063" i="26"/>
  <c r="H8061" i="26"/>
  <c r="G8058" i="26"/>
  <c r="H8058" i="26" s="1"/>
  <c r="G8049" i="26"/>
  <c r="H8049" i="26" s="1"/>
  <c r="G8048" i="26"/>
  <c r="H8048" i="26" s="1"/>
  <c r="G8047" i="26"/>
  <c r="H8047" i="26" s="1"/>
  <c r="G8046" i="26"/>
  <c r="H8046" i="26" s="1"/>
  <c r="G8040" i="26"/>
  <c r="H8038" i="26"/>
  <c r="G8035" i="26"/>
  <c r="H8035" i="26" s="1"/>
  <c r="H8036" i="26" s="1"/>
  <c r="G8032" i="26"/>
  <c r="H8032" i="26" s="1"/>
  <c r="G8031" i="26"/>
  <c r="H8031" i="26" s="1"/>
  <c r="G8030" i="26"/>
  <c r="H8030" i="26" s="1"/>
  <c r="G8029" i="26"/>
  <c r="H8029" i="26" s="1"/>
  <c r="G8023" i="26"/>
  <c r="H8021" i="26"/>
  <c r="G8018" i="26"/>
  <c r="H8018" i="26" s="1"/>
  <c r="H8019" i="26" s="1"/>
  <c r="G8015" i="26"/>
  <c r="H8015" i="26" s="1"/>
  <c r="G8014" i="26"/>
  <c r="H8014" i="26" s="1"/>
  <c r="G8013" i="26"/>
  <c r="H8013" i="26" s="1"/>
  <c r="G8012" i="26"/>
  <c r="H8012" i="26" s="1"/>
  <c r="G8006" i="26"/>
  <c r="H8004" i="26"/>
  <c r="G8001" i="26"/>
  <c r="H8001" i="26" s="1"/>
  <c r="H8002" i="26" s="1"/>
  <c r="G7998" i="26"/>
  <c r="H7998" i="26" s="1"/>
  <c r="G7997" i="26"/>
  <c r="H7997" i="26" s="1"/>
  <c r="G7996" i="26"/>
  <c r="H7996" i="26" s="1"/>
  <c r="G7995" i="26"/>
  <c r="H7995" i="26" s="1"/>
  <c r="G7989" i="26"/>
  <c r="H7987" i="26"/>
  <c r="G7984" i="26"/>
  <c r="H7984" i="26" s="1"/>
  <c r="H7985" i="26" s="1"/>
  <c r="G7981" i="26"/>
  <c r="H7981" i="26" s="1"/>
  <c r="G7980" i="26"/>
  <c r="H7980" i="26" s="1"/>
  <c r="G7979" i="26"/>
  <c r="H7979" i="26" s="1"/>
  <c r="G7978" i="26"/>
  <c r="H7978" i="26" s="1"/>
  <c r="G7972" i="26"/>
  <c r="H7970" i="26"/>
  <c r="G7967" i="26"/>
  <c r="H7967" i="26" s="1"/>
  <c r="H7968" i="26" s="1"/>
  <c r="G7964" i="26"/>
  <c r="H7964" i="26" s="1"/>
  <c r="G7963" i="26"/>
  <c r="H7963" i="26" s="1"/>
  <c r="G7962" i="26"/>
  <c r="H7962" i="26" s="1"/>
  <c r="G7961" i="26"/>
  <c r="H7961" i="26" s="1"/>
  <c r="G7955" i="26"/>
  <c r="H7953" i="26"/>
  <c r="G7950" i="26"/>
  <c r="H7950" i="26" s="1"/>
  <c r="H7951" i="26" s="1"/>
  <c r="G7947" i="26"/>
  <c r="H7947" i="26" s="1"/>
  <c r="G7946" i="26"/>
  <c r="H7946" i="26" s="1"/>
  <c r="G7945" i="26"/>
  <c r="H7945" i="26" s="1"/>
  <c r="G7944" i="26"/>
  <c r="H7944" i="26" s="1"/>
  <c r="G7927" i="26"/>
  <c r="H7927" i="26" s="1"/>
  <c r="G7928" i="26"/>
  <c r="H7928" i="26" s="1"/>
  <c r="G7929" i="26"/>
  <c r="H7929" i="26" s="1"/>
  <c r="G7930" i="26"/>
  <c r="H7930" i="26" s="1"/>
  <c r="G7931" i="26"/>
  <c r="H7931" i="26" s="1"/>
  <c r="G7932" i="26"/>
  <c r="H7932" i="26" s="1"/>
  <c r="G7926" i="26"/>
  <c r="H7926" i="26" s="1"/>
  <c r="G7937" i="26"/>
  <c r="H7935" i="26"/>
  <c r="G7923" i="26"/>
  <c r="H7923" i="26" s="1"/>
  <c r="G7922" i="26"/>
  <c r="H7922" i="26" s="1"/>
  <c r="G7921" i="26"/>
  <c r="H7921" i="26" s="1"/>
  <c r="G7920" i="26"/>
  <c r="H7920" i="26" s="1"/>
  <c r="G7914" i="26"/>
  <c r="H7912" i="26"/>
  <c r="G7909" i="26"/>
  <c r="H7909" i="26" s="1"/>
  <c r="H7910" i="26" s="1"/>
  <c r="G7906" i="26"/>
  <c r="H7906" i="26" s="1"/>
  <c r="G7905" i="26"/>
  <c r="H7905" i="26" s="1"/>
  <c r="G7904" i="26"/>
  <c r="H7904" i="26" s="1"/>
  <c r="G7903" i="26"/>
  <c r="H7903" i="26" s="1"/>
  <c r="G7897" i="26"/>
  <c r="H7895" i="26"/>
  <c r="G7892" i="26"/>
  <c r="H7892" i="26" s="1"/>
  <c r="H7893" i="26" s="1"/>
  <c r="G7889" i="26"/>
  <c r="H7889" i="26" s="1"/>
  <c r="G7888" i="26"/>
  <c r="H7888" i="26" s="1"/>
  <c r="G7887" i="26"/>
  <c r="H7887" i="26" s="1"/>
  <c r="G7886" i="26"/>
  <c r="H7886" i="26" s="1"/>
  <c r="G7879" i="26"/>
  <c r="H7877" i="26"/>
  <c r="G7874" i="26"/>
  <c r="H7874" i="26" s="1"/>
  <c r="H7875" i="26" s="1"/>
  <c r="G7871" i="26"/>
  <c r="H7871" i="26" s="1"/>
  <c r="G7870" i="26"/>
  <c r="H7870" i="26" s="1"/>
  <c r="G7869" i="26"/>
  <c r="H7869" i="26" s="1"/>
  <c r="G7868" i="26"/>
  <c r="H7868" i="26" s="1"/>
  <c r="G7862" i="26"/>
  <c r="H7860" i="26"/>
  <c r="G7857" i="26"/>
  <c r="H7857" i="26" s="1"/>
  <c r="H7858" i="26" s="1"/>
  <c r="G7854" i="26"/>
  <c r="H7854" i="26" s="1"/>
  <c r="G7853" i="26"/>
  <c r="H7853" i="26" s="1"/>
  <c r="G7852" i="26"/>
  <c r="H7852" i="26" s="1"/>
  <c r="G7851" i="26"/>
  <c r="H7851" i="26" s="1"/>
  <c r="G7845" i="26"/>
  <c r="H7843" i="26"/>
  <c r="G7840" i="26"/>
  <c r="H7840" i="26" s="1"/>
  <c r="H7841" i="26" s="1"/>
  <c r="G7837" i="26"/>
  <c r="H7837" i="26" s="1"/>
  <c r="G7836" i="26"/>
  <c r="H7836" i="26" s="1"/>
  <c r="G7835" i="26"/>
  <c r="H7835" i="26" s="1"/>
  <c r="G7834" i="26"/>
  <c r="H7834" i="26" s="1"/>
  <c r="G7828" i="26"/>
  <c r="H7826" i="26"/>
  <c r="G7823" i="26"/>
  <c r="H7823" i="26" s="1"/>
  <c r="H7824" i="26" s="1"/>
  <c r="G7820" i="26"/>
  <c r="H7820" i="26" s="1"/>
  <c r="G7819" i="26"/>
  <c r="H7819" i="26" s="1"/>
  <c r="G7818" i="26"/>
  <c r="H7818" i="26" s="1"/>
  <c r="G7817" i="26"/>
  <c r="H7817" i="26" s="1"/>
  <c r="G7800" i="26"/>
  <c r="H7800" i="26" s="1"/>
  <c r="G7801" i="26"/>
  <c r="H7801" i="26" s="1"/>
  <c r="G7804" i="26"/>
  <c r="H7804" i="26" s="1"/>
  <c r="G7809" i="26"/>
  <c r="H7807" i="26"/>
  <c r="G7803" i="26"/>
  <c r="H7803" i="26" s="1"/>
  <c r="G7802" i="26"/>
  <c r="H7802" i="26" s="1"/>
  <c r="G7799" i="26"/>
  <c r="H7799" i="26" s="1"/>
  <c r="G7798" i="26"/>
  <c r="H7798" i="26" s="1"/>
  <c r="G7797" i="26"/>
  <c r="H7797" i="26" s="1"/>
  <c r="G7796" i="26"/>
  <c r="H7796" i="26" s="1"/>
  <c r="G7793" i="26"/>
  <c r="H7793" i="26" s="1"/>
  <c r="G7792" i="26"/>
  <c r="H7792" i="26" s="1"/>
  <c r="G7791" i="26"/>
  <c r="H7791" i="26" s="1"/>
  <c r="G7790" i="26"/>
  <c r="H7790" i="26" s="1"/>
  <c r="G7774" i="26"/>
  <c r="H7774" i="26" s="1"/>
  <c r="G7775" i="26"/>
  <c r="H7775" i="26" s="1"/>
  <c r="G7776" i="26"/>
  <c r="H7776" i="26" s="1"/>
  <c r="G7777" i="26"/>
  <c r="H7777" i="26" s="1"/>
  <c r="G7778" i="26"/>
  <c r="H7778" i="26" s="1"/>
  <c r="G7779" i="26"/>
  <c r="H7779" i="26" s="1"/>
  <c r="G7784" i="26"/>
  <c r="H7782" i="26"/>
  <c r="G7773" i="26"/>
  <c r="H7773" i="26" s="1"/>
  <c r="G7770" i="26"/>
  <c r="H7770" i="26" s="1"/>
  <c r="G7769" i="26"/>
  <c r="H7769" i="26" s="1"/>
  <c r="G7768" i="26"/>
  <c r="H7768" i="26" s="1"/>
  <c r="G7767" i="26"/>
  <c r="H7767" i="26" s="1"/>
  <c r="G7755" i="26"/>
  <c r="H7755" i="26" s="1"/>
  <c r="G7760" i="26"/>
  <c r="H7758" i="26"/>
  <c r="G7754" i="26"/>
  <c r="H7754" i="26" s="1"/>
  <c r="G7751" i="26"/>
  <c r="H7751" i="26" s="1"/>
  <c r="G7750" i="26"/>
  <c r="H7750" i="26" s="1"/>
  <c r="G7749" i="26"/>
  <c r="H7749" i="26" s="1"/>
  <c r="G7748" i="26"/>
  <c r="H7748" i="26" s="1"/>
  <c r="G7742" i="26"/>
  <c r="H7740" i="26"/>
  <c r="G7737" i="26"/>
  <c r="H7737" i="26" s="1"/>
  <c r="H7738" i="26" s="1"/>
  <c r="G7734" i="26"/>
  <c r="H7734" i="26" s="1"/>
  <c r="G7733" i="26"/>
  <c r="H7733" i="26" s="1"/>
  <c r="G7732" i="26"/>
  <c r="H7732" i="26" s="1"/>
  <c r="G7731" i="26"/>
  <c r="H7731" i="26" s="1"/>
  <c r="G7725" i="26"/>
  <c r="H7723" i="26"/>
  <c r="G7720" i="26"/>
  <c r="H7720" i="26" s="1"/>
  <c r="H7721" i="26" s="1"/>
  <c r="G7717" i="26"/>
  <c r="H7717" i="26" s="1"/>
  <c r="G7716" i="26"/>
  <c r="H7716" i="26" s="1"/>
  <c r="G7715" i="26"/>
  <c r="H7715" i="26" s="1"/>
  <c r="G7714" i="26"/>
  <c r="H7714" i="26" s="1"/>
  <c r="G7707" i="26"/>
  <c r="H7705" i="26"/>
  <c r="G7702" i="26"/>
  <c r="H7702" i="26" s="1"/>
  <c r="H7703" i="26" s="1"/>
  <c r="G7699" i="26"/>
  <c r="H7699" i="26" s="1"/>
  <c r="G7698" i="26"/>
  <c r="H7698" i="26" s="1"/>
  <c r="G7697" i="26"/>
  <c r="H7697" i="26" s="1"/>
  <c r="G7696" i="26"/>
  <c r="H7696" i="26" s="1"/>
  <c r="G7690" i="26"/>
  <c r="H7688" i="26"/>
  <c r="G7685" i="26"/>
  <c r="H7685" i="26" s="1"/>
  <c r="H7686" i="26" s="1"/>
  <c r="G7682" i="26"/>
  <c r="H7682" i="26" s="1"/>
  <c r="G7681" i="26"/>
  <c r="H7681" i="26" s="1"/>
  <c r="G7680" i="26"/>
  <c r="H7680" i="26" s="1"/>
  <c r="G7679" i="26"/>
  <c r="H7679" i="26" s="1"/>
  <c r="G7672" i="26"/>
  <c r="H7670" i="26"/>
  <c r="G7667" i="26"/>
  <c r="H7667" i="26" s="1"/>
  <c r="H7668" i="26" s="1"/>
  <c r="G7664" i="26"/>
  <c r="H7664" i="26" s="1"/>
  <c r="G7663" i="26"/>
  <c r="H7663" i="26" s="1"/>
  <c r="G7662" i="26"/>
  <c r="H7662" i="26" s="1"/>
  <c r="G7661" i="26"/>
  <c r="H7661" i="26" s="1"/>
  <c r="G7655" i="26"/>
  <c r="H7653" i="26"/>
  <c r="G7650" i="26"/>
  <c r="H7650" i="26" s="1"/>
  <c r="H7651" i="26" s="1"/>
  <c r="G7647" i="26"/>
  <c r="H7647" i="26" s="1"/>
  <c r="G7646" i="26"/>
  <c r="H7646" i="26" s="1"/>
  <c r="G7645" i="26"/>
  <c r="H7645" i="26" s="1"/>
  <c r="G7644" i="26"/>
  <c r="H7644" i="26" s="1"/>
  <c r="H7635" i="26"/>
  <c r="G7637" i="26"/>
  <c r="G7632" i="26"/>
  <c r="H7632" i="26" s="1"/>
  <c r="H7633" i="26" s="1"/>
  <c r="G7629" i="26"/>
  <c r="H7629" i="26" s="1"/>
  <c r="G7628" i="26"/>
  <c r="H7628" i="26" s="1"/>
  <c r="G7627" i="26"/>
  <c r="H7627" i="26" s="1"/>
  <c r="G7626" i="26"/>
  <c r="H7626" i="26" s="1"/>
  <c r="G7619" i="26"/>
  <c r="H7617" i="26"/>
  <c r="G7614" i="26"/>
  <c r="H7614" i="26" s="1"/>
  <c r="H7615" i="26" s="1"/>
  <c r="G7611" i="26"/>
  <c r="H7611" i="26" s="1"/>
  <c r="G7610" i="26"/>
  <c r="H7610" i="26" s="1"/>
  <c r="G7609" i="26"/>
  <c r="H7609" i="26" s="1"/>
  <c r="G7608" i="26"/>
  <c r="H7608" i="26" s="1"/>
  <c r="G7602" i="26"/>
  <c r="H7600" i="26"/>
  <c r="G7597" i="26"/>
  <c r="H7597" i="26" s="1"/>
  <c r="H7598" i="26" s="1"/>
  <c r="G7594" i="26"/>
  <c r="H7594" i="26" s="1"/>
  <c r="G7593" i="26"/>
  <c r="H7593" i="26" s="1"/>
  <c r="G7592" i="26"/>
  <c r="H7592" i="26" s="1"/>
  <c r="G7591" i="26"/>
  <c r="H7591" i="26" s="1"/>
  <c r="G7585" i="26"/>
  <c r="H7583" i="26"/>
  <c r="G7580" i="26"/>
  <c r="H7580" i="26" s="1"/>
  <c r="H7581" i="26" s="1"/>
  <c r="G7577" i="26"/>
  <c r="H7577" i="26" s="1"/>
  <c r="G7576" i="26"/>
  <c r="H7576" i="26" s="1"/>
  <c r="G7575" i="26"/>
  <c r="H7575" i="26" s="1"/>
  <c r="G7574" i="26"/>
  <c r="H7574" i="26" s="1"/>
  <c r="G7568" i="26"/>
  <c r="H7566" i="26"/>
  <c r="G7563" i="26"/>
  <c r="H7563" i="26" s="1"/>
  <c r="H7564" i="26" s="1"/>
  <c r="G7560" i="26"/>
  <c r="H7560" i="26" s="1"/>
  <c r="G7559" i="26"/>
  <c r="H7559" i="26" s="1"/>
  <c r="G7558" i="26"/>
  <c r="H7558" i="26" s="1"/>
  <c r="G7557" i="26"/>
  <c r="H7557" i="26" s="1"/>
  <c r="G7551" i="26"/>
  <c r="H7549" i="26"/>
  <c r="G7546" i="26"/>
  <c r="H7546" i="26" s="1"/>
  <c r="H7547" i="26" s="1"/>
  <c r="G7543" i="26"/>
  <c r="H7543" i="26" s="1"/>
  <c r="G7542" i="26"/>
  <c r="H7542" i="26" s="1"/>
  <c r="G7541" i="26"/>
  <c r="H7541" i="26" s="1"/>
  <c r="G7540" i="26"/>
  <c r="H7540" i="26" s="1"/>
  <c r="G7534" i="26"/>
  <c r="H7532" i="26"/>
  <c r="G7529" i="26"/>
  <c r="H7529" i="26" s="1"/>
  <c r="H7530" i="26" s="1"/>
  <c r="G7526" i="26"/>
  <c r="H7526" i="26" s="1"/>
  <c r="G7525" i="26"/>
  <c r="H7525" i="26" s="1"/>
  <c r="G7524" i="26"/>
  <c r="H7524" i="26" s="1"/>
  <c r="G7523" i="26"/>
  <c r="H7523" i="26" s="1"/>
  <c r="G7517" i="26"/>
  <c r="H7515" i="26"/>
  <c r="G7512" i="26"/>
  <c r="H7512" i="26" s="1"/>
  <c r="H7513" i="26" s="1"/>
  <c r="G7509" i="26"/>
  <c r="H7509" i="26" s="1"/>
  <c r="G7508" i="26"/>
  <c r="H7508" i="26" s="1"/>
  <c r="G7507" i="26"/>
  <c r="H7507" i="26" s="1"/>
  <c r="G7506" i="26"/>
  <c r="H7506" i="26" s="1"/>
  <c r="G7500" i="26"/>
  <c r="H7498" i="26"/>
  <c r="G7495" i="26"/>
  <c r="H7495" i="26" s="1"/>
  <c r="H7496" i="26" s="1"/>
  <c r="G7492" i="26"/>
  <c r="H7492" i="26" s="1"/>
  <c r="G7491" i="26"/>
  <c r="H7491" i="26" s="1"/>
  <c r="G7490" i="26"/>
  <c r="H7490" i="26" s="1"/>
  <c r="G7489" i="26"/>
  <c r="H7489" i="26" s="1"/>
  <c r="G7483" i="26"/>
  <c r="H7481" i="26"/>
  <c r="G7478" i="26"/>
  <c r="H7478" i="26" s="1"/>
  <c r="H7479" i="26" s="1"/>
  <c r="G7475" i="26"/>
  <c r="H7475" i="26" s="1"/>
  <c r="G7474" i="26"/>
  <c r="H7474" i="26" s="1"/>
  <c r="G7473" i="26"/>
  <c r="H7473" i="26" s="1"/>
  <c r="G7472" i="26"/>
  <c r="H7472" i="26" s="1"/>
  <c r="G7458" i="26"/>
  <c r="H7458" i="26" s="1"/>
  <c r="G7459" i="26"/>
  <c r="H7459" i="26" s="1"/>
  <c r="G7460" i="26"/>
  <c r="H7460" i="26" s="1"/>
  <c r="G7457" i="26"/>
  <c r="H7457" i="26" s="1"/>
  <c r="G7456" i="26"/>
  <c r="H7456" i="26" s="1"/>
  <c r="G7455" i="26"/>
  <c r="H7455" i="26" s="1"/>
  <c r="G7454" i="26"/>
  <c r="H7454" i="26" s="1"/>
  <c r="G7465" i="26"/>
  <c r="H7463" i="26"/>
  <c r="G7451" i="26"/>
  <c r="H7451" i="26" s="1"/>
  <c r="G7450" i="26"/>
  <c r="H7450" i="26" s="1"/>
  <c r="G7449" i="26"/>
  <c r="H7449" i="26" s="1"/>
  <c r="G7448" i="26"/>
  <c r="H7448" i="26" s="1"/>
  <c r="G7441" i="26"/>
  <c r="H7439" i="26"/>
  <c r="G7436" i="26"/>
  <c r="H7436" i="26" s="1"/>
  <c r="H7437" i="26" s="1"/>
  <c r="G7433" i="26"/>
  <c r="H7433" i="26" s="1"/>
  <c r="G7432" i="26"/>
  <c r="H7432" i="26" s="1"/>
  <c r="G7431" i="26"/>
  <c r="H7431" i="26" s="1"/>
  <c r="G7430" i="26"/>
  <c r="H7430" i="26" s="1"/>
  <c r="G7424" i="26"/>
  <c r="H7422" i="26"/>
  <c r="G7419" i="26"/>
  <c r="H7419" i="26" s="1"/>
  <c r="H7420" i="26" s="1"/>
  <c r="G7416" i="26"/>
  <c r="H7416" i="26" s="1"/>
  <c r="G7415" i="26"/>
  <c r="H7415" i="26" s="1"/>
  <c r="G7414" i="26"/>
  <c r="H7414" i="26" s="1"/>
  <c r="G7413" i="26"/>
  <c r="H7413" i="26" s="1"/>
  <c r="G7406" i="26"/>
  <c r="H7404" i="26"/>
  <c r="G7398" i="26"/>
  <c r="H7398" i="26" s="1"/>
  <c r="G7397" i="26"/>
  <c r="H7397" i="26" s="1"/>
  <c r="G7396" i="26"/>
  <c r="H7396" i="26" s="1"/>
  <c r="G7395" i="26"/>
  <c r="H7395" i="26" s="1"/>
  <c r="G7389" i="26"/>
  <c r="H7387" i="26"/>
  <c r="G7384" i="26"/>
  <c r="H7384" i="26" s="1"/>
  <c r="G7383" i="26"/>
  <c r="H7383" i="26" s="1"/>
  <c r="G7380" i="26"/>
  <c r="H7380" i="26" s="1"/>
  <c r="G7379" i="26"/>
  <c r="H7379" i="26" s="1"/>
  <c r="G7378" i="26"/>
  <c r="H7378" i="26" s="1"/>
  <c r="G7377" i="26"/>
  <c r="H7377" i="26" s="1"/>
  <c r="G7364" i="26"/>
  <c r="H7364" i="26" s="1"/>
  <c r="G7370" i="26"/>
  <c r="H7368" i="26"/>
  <c r="G7365" i="26"/>
  <c r="H7365" i="26" s="1"/>
  <c r="G7361" i="26"/>
  <c r="H7361" i="26" s="1"/>
  <c r="G7360" i="26"/>
  <c r="H7360" i="26" s="1"/>
  <c r="G7359" i="26"/>
  <c r="H7359" i="26" s="1"/>
  <c r="G7358" i="26"/>
  <c r="H7358" i="26" s="1"/>
  <c r="G7351" i="26"/>
  <c r="H7349" i="26"/>
  <c r="G7346" i="26"/>
  <c r="H7346" i="26" s="1"/>
  <c r="H7347" i="26" s="1"/>
  <c r="G7343" i="26"/>
  <c r="H7343" i="26" s="1"/>
  <c r="G7342" i="26"/>
  <c r="H7342" i="26" s="1"/>
  <c r="G7341" i="26"/>
  <c r="H7341" i="26" s="1"/>
  <c r="G7340" i="26"/>
  <c r="H7340" i="26" s="1"/>
  <c r="G7328" i="26"/>
  <c r="H7328" i="26" s="1"/>
  <c r="G7333" i="26"/>
  <c r="H7331" i="26"/>
  <c r="G7327" i="26"/>
  <c r="H7327" i="26" s="1"/>
  <c r="G7324" i="26"/>
  <c r="H7324" i="26" s="1"/>
  <c r="G7323" i="26"/>
  <c r="H7323" i="26" s="1"/>
  <c r="G7322" i="26"/>
  <c r="H7322" i="26" s="1"/>
  <c r="G7321" i="26"/>
  <c r="H7321" i="26" s="1"/>
  <c r="G7315" i="26"/>
  <c r="H7313" i="26"/>
  <c r="G7310" i="26"/>
  <c r="H7310" i="26" s="1"/>
  <c r="H7311" i="26" s="1"/>
  <c r="G7307" i="26"/>
  <c r="H7307" i="26" s="1"/>
  <c r="G7306" i="26"/>
  <c r="H7306" i="26" s="1"/>
  <c r="G7305" i="26"/>
  <c r="H7305" i="26" s="1"/>
  <c r="G7304" i="26"/>
  <c r="H7304" i="26" s="1"/>
  <c r="G7297" i="26"/>
  <c r="H7295" i="26"/>
  <c r="G7292" i="26"/>
  <c r="H7292" i="26" s="1"/>
  <c r="H7293" i="26" s="1"/>
  <c r="G7289" i="26"/>
  <c r="H7289" i="26" s="1"/>
  <c r="G7288" i="26"/>
  <c r="H7288" i="26" s="1"/>
  <c r="G7287" i="26"/>
  <c r="H7287" i="26" s="1"/>
  <c r="G7286" i="26"/>
  <c r="H7286" i="26" s="1"/>
  <c r="G7280" i="26"/>
  <c r="H7278" i="26"/>
  <c r="G7275" i="26"/>
  <c r="H7275" i="26" s="1"/>
  <c r="H7276" i="26" s="1"/>
  <c r="G7272" i="26"/>
  <c r="H7272" i="26" s="1"/>
  <c r="G7271" i="26"/>
  <c r="H7271" i="26" s="1"/>
  <c r="G7270" i="26"/>
  <c r="H7270" i="26" s="1"/>
  <c r="G7269" i="26"/>
  <c r="H7269" i="26" s="1"/>
  <c r="G7262" i="26"/>
  <c r="H7260" i="26"/>
  <c r="G7257" i="26"/>
  <c r="H7257" i="26" s="1"/>
  <c r="H7258" i="26" s="1"/>
  <c r="G7254" i="26"/>
  <c r="H7254" i="26" s="1"/>
  <c r="G7253" i="26"/>
  <c r="H7253" i="26" s="1"/>
  <c r="G7252" i="26"/>
  <c r="H7252" i="26" s="1"/>
  <c r="G7251" i="26"/>
  <c r="H7251" i="26" s="1"/>
  <c r="G7245" i="26"/>
  <c r="H7243" i="26"/>
  <c r="G7240" i="26"/>
  <c r="H7240" i="26" s="1"/>
  <c r="H7241" i="26" s="1"/>
  <c r="G7237" i="26"/>
  <c r="H7237" i="26" s="1"/>
  <c r="G7236" i="26"/>
  <c r="H7236" i="26" s="1"/>
  <c r="G7235" i="26"/>
  <c r="H7235" i="26" s="1"/>
  <c r="G7234" i="26"/>
  <c r="H7234" i="26" s="1"/>
  <c r="G7227" i="26"/>
  <c r="H7225" i="26"/>
  <c r="G7222" i="26"/>
  <c r="H7222" i="26" s="1"/>
  <c r="H7223" i="26" s="1"/>
  <c r="G7219" i="26"/>
  <c r="H7219" i="26" s="1"/>
  <c r="G7218" i="26"/>
  <c r="H7218" i="26" s="1"/>
  <c r="G7217" i="26"/>
  <c r="H7217" i="26" s="1"/>
  <c r="G7216" i="26"/>
  <c r="H7216" i="26" s="1"/>
  <c r="G7210" i="26"/>
  <c r="H7208" i="26"/>
  <c r="G7205" i="26"/>
  <c r="H7205" i="26" s="1"/>
  <c r="H7206" i="26" s="1"/>
  <c r="G7202" i="26"/>
  <c r="H7202" i="26" s="1"/>
  <c r="G7201" i="26"/>
  <c r="H7201" i="26" s="1"/>
  <c r="G7200" i="26"/>
  <c r="H7200" i="26" s="1"/>
  <c r="G7199" i="26"/>
  <c r="H7199" i="26" s="1"/>
  <c r="G7193" i="26"/>
  <c r="H7191" i="26"/>
  <c r="G7188" i="26"/>
  <c r="H7188" i="26" s="1"/>
  <c r="H7189" i="26" s="1"/>
  <c r="G7185" i="26"/>
  <c r="H7185" i="26" s="1"/>
  <c r="G7184" i="26"/>
  <c r="H7184" i="26" s="1"/>
  <c r="G7183" i="26"/>
  <c r="H7183" i="26" s="1"/>
  <c r="G7182" i="26"/>
  <c r="H7182" i="26" s="1"/>
  <c r="G7176" i="26"/>
  <c r="H7174" i="26"/>
  <c r="G7171" i="26"/>
  <c r="H7171" i="26" s="1"/>
  <c r="H7172" i="26" s="1"/>
  <c r="G7168" i="26"/>
  <c r="H7168" i="26" s="1"/>
  <c r="G7167" i="26"/>
  <c r="H7167" i="26" s="1"/>
  <c r="G7166" i="26"/>
  <c r="H7166" i="26" s="1"/>
  <c r="G7165" i="26"/>
  <c r="H7165" i="26" s="1"/>
  <c r="G7159" i="26"/>
  <c r="H7157" i="26"/>
  <c r="G7154" i="26"/>
  <c r="H7154" i="26" s="1"/>
  <c r="H7155" i="26" s="1"/>
  <c r="G7151" i="26"/>
  <c r="H7151" i="26" s="1"/>
  <c r="G7150" i="26"/>
  <c r="H7150" i="26" s="1"/>
  <c r="G7149" i="26"/>
  <c r="H7149" i="26" s="1"/>
  <c r="G7148" i="26"/>
  <c r="H7148" i="26" s="1"/>
  <c r="G7142" i="26"/>
  <c r="H7140" i="26"/>
  <c r="G7137" i="26"/>
  <c r="H7137" i="26" s="1"/>
  <c r="H7138" i="26" s="1"/>
  <c r="G7134" i="26"/>
  <c r="H7134" i="26" s="1"/>
  <c r="G7133" i="26"/>
  <c r="H7133" i="26" s="1"/>
  <c r="G7132" i="26"/>
  <c r="H7132" i="26" s="1"/>
  <c r="G7131" i="26"/>
  <c r="H7131" i="26" s="1"/>
  <c r="G7125" i="26"/>
  <c r="H7123" i="26"/>
  <c r="G7120" i="26"/>
  <c r="H7120" i="26" s="1"/>
  <c r="H7121" i="26" s="1"/>
  <c r="G7117" i="26"/>
  <c r="H7117" i="26" s="1"/>
  <c r="G7116" i="26"/>
  <c r="H7116" i="26" s="1"/>
  <c r="G7115" i="26"/>
  <c r="H7115" i="26" s="1"/>
  <c r="G7114" i="26"/>
  <c r="H7114" i="26" s="1"/>
  <c r="G7108" i="26"/>
  <c r="H7106" i="26"/>
  <c r="G7103" i="26"/>
  <c r="H7103" i="26" s="1"/>
  <c r="H7104" i="26" s="1"/>
  <c r="G7100" i="26"/>
  <c r="H7100" i="26" s="1"/>
  <c r="G7099" i="26"/>
  <c r="H7099" i="26" s="1"/>
  <c r="G7098" i="26"/>
  <c r="H7098" i="26" s="1"/>
  <c r="G7097" i="26"/>
  <c r="H7097" i="26" s="1"/>
  <c r="G7090" i="26"/>
  <c r="H7088" i="26"/>
  <c r="G7085" i="26"/>
  <c r="H7085" i="26" s="1"/>
  <c r="H7086" i="26" s="1"/>
  <c r="G7082" i="26"/>
  <c r="H7082" i="26" s="1"/>
  <c r="G7081" i="26"/>
  <c r="H7081" i="26" s="1"/>
  <c r="G7080" i="26"/>
  <c r="H7080" i="26" s="1"/>
  <c r="G7079" i="26"/>
  <c r="H7079" i="26" s="1"/>
  <c r="G7073" i="26"/>
  <c r="H7071" i="26"/>
  <c r="G7068" i="26"/>
  <c r="H7068" i="26" s="1"/>
  <c r="H7069" i="26" s="1"/>
  <c r="G7065" i="26"/>
  <c r="H7065" i="26" s="1"/>
  <c r="G7064" i="26"/>
  <c r="H7064" i="26" s="1"/>
  <c r="G7063" i="26"/>
  <c r="H7063" i="26" s="1"/>
  <c r="G7062" i="26"/>
  <c r="H7062" i="26" s="1"/>
  <c r="G7055" i="26"/>
  <c r="H7053" i="26"/>
  <c r="G7050" i="26"/>
  <c r="H7050" i="26" s="1"/>
  <c r="H7051" i="26" s="1"/>
  <c r="G7047" i="26"/>
  <c r="H7047" i="26" s="1"/>
  <c r="G7046" i="26"/>
  <c r="H7046" i="26" s="1"/>
  <c r="G7045" i="26"/>
  <c r="H7045" i="26" s="1"/>
  <c r="G7044" i="26"/>
  <c r="H7044" i="26" s="1"/>
  <c r="G7038" i="26"/>
  <c r="H7036" i="26"/>
  <c r="G7033" i="26"/>
  <c r="H7033" i="26" s="1"/>
  <c r="H7034" i="26" s="1"/>
  <c r="G7030" i="26"/>
  <c r="H7030" i="26" s="1"/>
  <c r="G7029" i="26"/>
  <c r="H7029" i="26" s="1"/>
  <c r="G7028" i="26"/>
  <c r="H7028" i="26" s="1"/>
  <c r="G7027" i="26"/>
  <c r="H7027" i="26" s="1"/>
  <c r="G7021" i="26"/>
  <c r="H7019" i="26"/>
  <c r="G7016" i="26"/>
  <c r="H7016" i="26" s="1"/>
  <c r="H7017" i="26" s="1"/>
  <c r="G7013" i="26"/>
  <c r="H7013" i="26" s="1"/>
  <c r="G7012" i="26"/>
  <c r="H7012" i="26" s="1"/>
  <c r="G7011" i="26"/>
  <c r="H7011" i="26" s="1"/>
  <c r="G7010" i="26"/>
  <c r="H7010" i="26" s="1"/>
  <c r="G7003" i="26"/>
  <c r="H7001" i="26"/>
  <c r="G6998" i="26"/>
  <c r="H6998" i="26" s="1"/>
  <c r="H6999" i="26" s="1"/>
  <c r="G6995" i="26"/>
  <c r="H6995" i="26" s="1"/>
  <c r="G6994" i="26"/>
  <c r="H6994" i="26" s="1"/>
  <c r="G6993" i="26"/>
  <c r="H6993" i="26" s="1"/>
  <c r="G6992" i="26"/>
  <c r="H6992" i="26" s="1"/>
  <c r="G6986" i="26"/>
  <c r="H6984" i="26"/>
  <c r="G6981" i="26"/>
  <c r="H6981" i="26" s="1"/>
  <c r="H6982" i="26" s="1"/>
  <c r="G6978" i="26"/>
  <c r="H6978" i="26" s="1"/>
  <c r="G6977" i="26"/>
  <c r="H6977" i="26" s="1"/>
  <c r="G6976" i="26"/>
  <c r="H6976" i="26" s="1"/>
  <c r="G6975" i="26"/>
  <c r="H6975" i="26" s="1"/>
  <c r="G6969" i="26"/>
  <c r="H6967" i="26"/>
  <c r="G6964" i="26"/>
  <c r="H6964" i="26" s="1"/>
  <c r="G6963" i="26"/>
  <c r="H6963" i="26" s="1"/>
  <c r="G6962" i="26"/>
  <c r="H6962" i="26" s="1"/>
  <c r="G6961" i="26"/>
  <c r="H6961" i="26" s="1"/>
  <c r="G6960" i="26"/>
  <c r="H6960" i="26" s="1"/>
  <c r="G6959" i="26"/>
  <c r="H6959" i="26" s="1"/>
  <c r="G6958" i="26"/>
  <c r="H6958" i="26" s="1"/>
  <c r="G6955" i="26"/>
  <c r="H6955" i="26" s="1"/>
  <c r="G6954" i="26"/>
  <c r="H6954" i="26" s="1"/>
  <c r="G6953" i="26"/>
  <c r="H6953" i="26" s="1"/>
  <c r="G6952" i="26"/>
  <c r="H6952" i="26" s="1"/>
  <c r="G6945" i="26"/>
  <c r="H6943" i="26"/>
  <c r="G6940" i="26"/>
  <c r="H6940" i="26" s="1"/>
  <c r="G6939" i="26"/>
  <c r="H6939" i="26" s="1"/>
  <c r="G6938" i="26"/>
  <c r="H6938" i="26" s="1"/>
  <c r="G6937" i="26"/>
  <c r="H6937" i="26" s="1"/>
  <c r="G6936" i="26"/>
  <c r="H6936" i="26" s="1"/>
  <c r="G6935" i="26"/>
  <c r="H6935" i="26" s="1"/>
  <c r="G6934" i="26"/>
  <c r="H6934" i="26" s="1"/>
  <c r="G6931" i="26"/>
  <c r="H6931" i="26" s="1"/>
  <c r="G6930" i="26"/>
  <c r="H6930" i="26" s="1"/>
  <c r="G6929" i="26"/>
  <c r="H6929" i="26" s="1"/>
  <c r="G6928" i="26"/>
  <c r="H6928" i="26" s="1"/>
  <c r="G6921" i="26"/>
  <c r="H6919" i="26"/>
  <c r="G6916" i="26"/>
  <c r="H6916" i="26" s="1"/>
  <c r="G6915" i="26"/>
  <c r="H6915" i="26" s="1"/>
  <c r="G6914" i="26"/>
  <c r="H6914" i="26" s="1"/>
  <c r="G6913" i="26"/>
  <c r="H6913" i="26" s="1"/>
  <c r="G6912" i="26"/>
  <c r="H6912" i="26" s="1"/>
  <c r="G6911" i="26"/>
  <c r="H6911" i="26" s="1"/>
  <c r="G6910" i="26"/>
  <c r="H6910" i="26" s="1"/>
  <c r="G6907" i="26"/>
  <c r="H6907" i="26" s="1"/>
  <c r="G6906" i="26"/>
  <c r="H6906" i="26" s="1"/>
  <c r="G6905" i="26"/>
  <c r="H6905" i="26" s="1"/>
  <c r="G6904" i="26"/>
  <c r="H6904" i="26" s="1"/>
  <c r="G6898" i="26"/>
  <c r="H6896" i="26"/>
  <c r="G6893" i="26"/>
  <c r="H6893" i="26" s="1"/>
  <c r="G6892" i="26"/>
  <c r="H6892" i="26" s="1"/>
  <c r="G6891" i="26"/>
  <c r="H6891" i="26" s="1"/>
  <c r="G6890" i="26"/>
  <c r="H6890" i="26" s="1"/>
  <c r="G6889" i="26"/>
  <c r="H6889" i="26" s="1"/>
  <c r="G6888" i="26"/>
  <c r="H6888" i="26" s="1"/>
  <c r="G6887" i="26"/>
  <c r="H6887" i="26" s="1"/>
  <c r="G6884" i="26"/>
  <c r="H6884" i="26" s="1"/>
  <c r="G6883" i="26"/>
  <c r="H6883" i="26" s="1"/>
  <c r="G6882" i="26"/>
  <c r="H6882" i="26" s="1"/>
  <c r="G6881" i="26"/>
  <c r="H6881" i="26" s="1"/>
  <c r="G6875" i="26"/>
  <c r="H6873" i="26"/>
  <c r="G6870" i="26"/>
  <c r="H6870" i="26" s="1"/>
  <c r="G6869" i="26"/>
  <c r="H6869" i="26" s="1"/>
  <c r="G6868" i="26"/>
  <c r="H6868" i="26" s="1"/>
  <c r="G6867" i="26"/>
  <c r="H6867" i="26" s="1"/>
  <c r="G6866" i="26"/>
  <c r="H6866" i="26" s="1"/>
  <c r="G6865" i="26"/>
  <c r="H6865" i="26" s="1"/>
  <c r="G6864" i="26"/>
  <c r="H6864" i="26" s="1"/>
  <c r="G6861" i="26"/>
  <c r="H6861" i="26" s="1"/>
  <c r="G6860" i="26"/>
  <c r="H6860" i="26" s="1"/>
  <c r="G6859" i="26"/>
  <c r="H6859" i="26" s="1"/>
  <c r="G6858" i="26"/>
  <c r="H6858" i="26" s="1"/>
  <c r="G6852" i="26"/>
  <c r="H6850" i="26"/>
  <c r="G6847" i="26"/>
  <c r="H6847" i="26" s="1"/>
  <c r="G6846" i="26"/>
  <c r="H6846" i="26" s="1"/>
  <c r="G6845" i="26"/>
  <c r="H6845" i="26" s="1"/>
  <c r="G6844" i="26"/>
  <c r="H6844" i="26" s="1"/>
  <c r="G6843" i="26"/>
  <c r="H6843" i="26" s="1"/>
  <c r="G6842" i="26"/>
  <c r="H6842" i="26" s="1"/>
  <c r="G6841" i="26"/>
  <c r="H6841" i="26" s="1"/>
  <c r="G6838" i="26"/>
  <c r="H6838" i="26" s="1"/>
  <c r="G6837" i="26"/>
  <c r="H6837" i="26" s="1"/>
  <c r="G6836" i="26"/>
  <c r="H6836" i="26" s="1"/>
  <c r="G6835" i="26"/>
  <c r="H6835" i="26" s="1"/>
  <c r="G6828" i="26"/>
  <c r="H6826" i="26"/>
  <c r="G6823" i="26"/>
  <c r="H6823" i="26" s="1"/>
  <c r="G6822" i="26"/>
  <c r="H6822" i="26" s="1"/>
  <c r="G6821" i="26"/>
  <c r="H6821" i="26" s="1"/>
  <c r="G6820" i="26"/>
  <c r="H6820" i="26" s="1"/>
  <c r="G6819" i="26"/>
  <c r="H6819" i="26" s="1"/>
  <c r="G6818" i="26"/>
  <c r="H6818" i="26" s="1"/>
  <c r="G6817" i="26"/>
  <c r="H6817" i="26" s="1"/>
  <c r="G6814" i="26"/>
  <c r="H6814" i="26" s="1"/>
  <c r="G6813" i="26"/>
  <c r="H6813" i="26" s="1"/>
  <c r="G6812" i="26"/>
  <c r="H6812" i="26" s="1"/>
  <c r="G6811" i="26"/>
  <c r="H6811" i="26" s="1"/>
  <c r="G6795" i="26"/>
  <c r="H6795" i="26" s="1"/>
  <c r="G6796" i="26"/>
  <c r="H6796" i="26" s="1"/>
  <c r="G6797" i="26"/>
  <c r="H6797" i="26" s="1"/>
  <c r="G6798" i="26"/>
  <c r="H6798" i="26" s="1"/>
  <c r="G6799" i="26"/>
  <c r="H6799" i="26" s="1"/>
  <c r="G6800" i="26"/>
  <c r="H6800" i="26" s="1"/>
  <c r="G6794" i="26"/>
  <c r="H6794" i="26" s="1"/>
  <c r="G6805" i="26"/>
  <c r="H6803" i="26"/>
  <c r="G6791" i="26"/>
  <c r="H6791" i="26" s="1"/>
  <c r="G6790" i="26"/>
  <c r="H6790" i="26" s="1"/>
  <c r="G6789" i="26"/>
  <c r="H6789" i="26" s="1"/>
  <c r="G6788" i="26"/>
  <c r="H6788" i="26" s="1"/>
  <c r="G6782" i="26"/>
  <c r="H6780" i="26"/>
  <c r="G6777" i="26"/>
  <c r="H6777" i="26" s="1"/>
  <c r="H6778" i="26" s="1"/>
  <c r="G6774" i="26"/>
  <c r="H6774" i="26" s="1"/>
  <c r="G6773" i="26"/>
  <c r="H6773" i="26" s="1"/>
  <c r="G6772" i="26"/>
  <c r="H6772" i="26" s="1"/>
  <c r="G6771" i="26"/>
  <c r="H6771" i="26" s="1"/>
  <c r="G6765" i="26"/>
  <c r="H6763" i="26"/>
  <c r="G6760" i="26"/>
  <c r="H6760" i="26" s="1"/>
  <c r="H6761" i="26" s="1"/>
  <c r="G6757" i="26"/>
  <c r="H6757" i="26" s="1"/>
  <c r="G6756" i="26"/>
  <c r="H6756" i="26" s="1"/>
  <c r="G6755" i="26"/>
  <c r="H6755" i="26" s="1"/>
  <c r="G6754" i="26"/>
  <c r="H6754" i="26" s="1"/>
  <c r="G6748" i="26"/>
  <c r="H6746" i="26"/>
  <c r="G6743" i="26"/>
  <c r="H6743" i="26" s="1"/>
  <c r="H6744" i="26" s="1"/>
  <c r="G6740" i="26"/>
  <c r="H6740" i="26" s="1"/>
  <c r="G6739" i="26"/>
  <c r="H6739" i="26" s="1"/>
  <c r="G6738" i="26"/>
  <c r="H6738" i="26" s="1"/>
  <c r="G6737" i="26"/>
  <c r="H6737" i="26" s="1"/>
  <c r="G6731" i="26"/>
  <c r="H6729" i="26"/>
  <c r="G6726" i="26"/>
  <c r="H6726" i="26" s="1"/>
  <c r="H6727" i="26" s="1"/>
  <c r="G6723" i="26"/>
  <c r="H6723" i="26" s="1"/>
  <c r="G6722" i="26"/>
  <c r="H6722" i="26" s="1"/>
  <c r="G6721" i="26"/>
  <c r="H6721" i="26" s="1"/>
  <c r="G6720" i="26"/>
  <c r="H6720" i="26" s="1"/>
  <c r="G6714" i="26"/>
  <c r="H6712" i="26"/>
  <c r="G6709" i="26"/>
  <c r="H6709" i="26" s="1"/>
  <c r="H6710" i="26" s="1"/>
  <c r="G6706" i="26"/>
  <c r="H6706" i="26" s="1"/>
  <c r="G6705" i="26"/>
  <c r="H6705" i="26" s="1"/>
  <c r="G6704" i="26"/>
  <c r="H6704" i="26" s="1"/>
  <c r="G6703" i="26"/>
  <c r="H6703" i="26" s="1"/>
  <c r="G6697" i="26"/>
  <c r="H6695" i="26"/>
  <c r="G6692" i="26"/>
  <c r="H6692" i="26" s="1"/>
  <c r="H6693" i="26" s="1"/>
  <c r="G6689" i="26"/>
  <c r="H6689" i="26" s="1"/>
  <c r="G6688" i="26"/>
  <c r="H6688" i="26" s="1"/>
  <c r="G6687" i="26"/>
  <c r="H6687" i="26" s="1"/>
  <c r="G6686" i="26"/>
  <c r="H6686" i="26" s="1"/>
  <c r="G6680" i="26"/>
  <c r="H6678" i="26"/>
  <c r="G6675" i="26"/>
  <c r="H6675" i="26" s="1"/>
  <c r="H6676" i="26" s="1"/>
  <c r="G6672" i="26"/>
  <c r="H6672" i="26" s="1"/>
  <c r="G6671" i="26"/>
  <c r="H6671" i="26" s="1"/>
  <c r="G6670" i="26"/>
  <c r="H6670" i="26" s="1"/>
  <c r="G6669" i="26"/>
  <c r="H6669" i="26" s="1"/>
  <c r="G6663" i="26"/>
  <c r="H6661" i="26"/>
  <c r="G6658" i="26"/>
  <c r="H6658" i="26" s="1"/>
  <c r="H6659" i="26" s="1"/>
  <c r="G6655" i="26"/>
  <c r="H6655" i="26" s="1"/>
  <c r="G6654" i="26"/>
  <c r="H6654" i="26" s="1"/>
  <c r="G6653" i="26"/>
  <c r="H6653" i="26" s="1"/>
  <c r="G6652" i="26"/>
  <c r="H6652" i="26" s="1"/>
  <c r="G6646" i="26"/>
  <c r="H6644" i="26"/>
  <c r="G6641" i="26"/>
  <c r="H6641" i="26" s="1"/>
  <c r="H6642" i="26" s="1"/>
  <c r="G6638" i="26"/>
  <c r="H6638" i="26" s="1"/>
  <c r="G6637" i="26"/>
  <c r="H6637" i="26" s="1"/>
  <c r="G6636" i="26"/>
  <c r="H6636" i="26" s="1"/>
  <c r="G6635" i="26"/>
  <c r="H6635" i="26" s="1"/>
  <c r="G6629" i="26"/>
  <c r="H6627" i="26"/>
  <c r="G6624" i="26"/>
  <c r="H6624" i="26" s="1"/>
  <c r="H6625" i="26" s="1"/>
  <c r="G6621" i="26"/>
  <c r="H6621" i="26" s="1"/>
  <c r="G6620" i="26"/>
  <c r="H6620" i="26" s="1"/>
  <c r="G6619" i="26"/>
  <c r="H6619" i="26" s="1"/>
  <c r="G6618" i="26"/>
  <c r="H6618" i="26" s="1"/>
  <c r="G6612" i="26"/>
  <c r="H6610" i="26"/>
  <c r="G6607" i="26"/>
  <c r="H6607" i="26" s="1"/>
  <c r="H6608" i="26" s="1"/>
  <c r="G6604" i="26"/>
  <c r="H6604" i="26" s="1"/>
  <c r="G6603" i="26"/>
  <c r="H6603" i="26" s="1"/>
  <c r="G6602" i="26"/>
  <c r="H6602" i="26" s="1"/>
  <c r="G6601" i="26"/>
  <c r="H6601" i="26" s="1"/>
  <c r="G6594" i="26"/>
  <c r="H6592" i="26"/>
  <c r="G6589" i="26"/>
  <c r="H6589" i="26" s="1"/>
  <c r="H6590" i="26" s="1"/>
  <c r="G6586" i="26"/>
  <c r="H6586" i="26" s="1"/>
  <c r="G6585" i="26"/>
  <c r="H6585" i="26" s="1"/>
  <c r="G6584" i="26"/>
  <c r="H6584" i="26" s="1"/>
  <c r="G6583" i="26"/>
  <c r="H6583" i="26" s="1"/>
  <c r="G6577" i="26"/>
  <c r="H6575" i="26"/>
  <c r="G6572" i="26"/>
  <c r="H6572" i="26" s="1"/>
  <c r="H6573" i="26" s="1"/>
  <c r="G6569" i="26"/>
  <c r="H6569" i="26" s="1"/>
  <c r="G6568" i="26"/>
  <c r="H6568" i="26" s="1"/>
  <c r="G6567" i="26"/>
  <c r="H6567" i="26" s="1"/>
  <c r="G6566" i="26"/>
  <c r="H6566" i="26" s="1"/>
  <c r="G6560" i="26"/>
  <c r="H6558" i="26"/>
  <c r="G6555" i="26"/>
  <c r="H6555" i="26" s="1"/>
  <c r="H6556" i="26" s="1"/>
  <c r="G6552" i="26"/>
  <c r="H6552" i="26" s="1"/>
  <c r="G6551" i="26"/>
  <c r="H6551" i="26" s="1"/>
  <c r="G6550" i="26"/>
  <c r="H6550" i="26" s="1"/>
  <c r="G6549" i="26"/>
  <c r="H6549" i="26" s="1"/>
  <c r="G6543" i="26"/>
  <c r="H6541" i="26"/>
  <c r="G6538" i="26"/>
  <c r="H6538" i="26" s="1"/>
  <c r="H6539" i="26" s="1"/>
  <c r="G6535" i="26"/>
  <c r="H6535" i="26" s="1"/>
  <c r="G6534" i="26"/>
  <c r="H6534" i="26" s="1"/>
  <c r="G6533" i="26"/>
  <c r="H6533" i="26" s="1"/>
  <c r="G6532" i="26"/>
  <c r="H6532" i="26" s="1"/>
  <c r="G6526" i="26"/>
  <c r="H6524" i="26"/>
  <c r="G6521" i="26"/>
  <c r="H6521" i="26" s="1"/>
  <c r="H6522" i="26" s="1"/>
  <c r="G6518" i="26"/>
  <c r="H6518" i="26" s="1"/>
  <c r="G6517" i="26"/>
  <c r="H6517" i="26" s="1"/>
  <c r="G6516" i="26"/>
  <c r="H6516" i="26" s="1"/>
  <c r="G6515" i="26"/>
  <c r="H6515" i="26" s="1"/>
  <c r="G6507" i="26"/>
  <c r="G6502" i="26"/>
  <c r="H6502" i="26" s="1"/>
  <c r="H6503" i="26" s="1"/>
  <c r="G6499" i="26"/>
  <c r="H6499" i="26" s="1"/>
  <c r="G6498" i="26"/>
  <c r="H6498" i="26" s="1"/>
  <c r="G6497" i="26"/>
  <c r="H6497" i="26" s="1"/>
  <c r="G6496" i="26"/>
  <c r="H6496" i="26" s="1"/>
  <c r="G6488" i="26"/>
  <c r="H6486" i="26"/>
  <c r="G6483" i="26"/>
  <c r="H6483" i="26" s="1"/>
  <c r="H6484" i="26" s="1"/>
  <c r="G6480" i="26"/>
  <c r="H6480" i="26" s="1"/>
  <c r="G6479" i="26"/>
  <c r="H6479" i="26" s="1"/>
  <c r="G6478" i="26"/>
  <c r="H6478" i="26" s="1"/>
  <c r="G6477" i="26"/>
  <c r="H6477" i="26" s="1"/>
  <c r="G6471" i="26"/>
  <c r="H6469" i="26"/>
  <c r="G6466" i="26"/>
  <c r="H6466" i="26" s="1"/>
  <c r="H6467" i="26" s="1"/>
  <c r="G6463" i="26"/>
  <c r="H6463" i="26" s="1"/>
  <c r="G6462" i="26"/>
  <c r="H6462" i="26" s="1"/>
  <c r="G6461" i="26"/>
  <c r="H6461" i="26" s="1"/>
  <c r="G6460" i="26"/>
  <c r="H6460" i="26" s="1"/>
  <c r="G6453" i="26"/>
  <c r="H6451" i="26"/>
  <c r="G6448" i="26"/>
  <c r="H6448" i="26" s="1"/>
  <c r="H6449" i="26" s="1"/>
  <c r="G6445" i="26"/>
  <c r="H6445" i="26" s="1"/>
  <c r="G6444" i="26"/>
  <c r="H6444" i="26" s="1"/>
  <c r="G6443" i="26"/>
  <c r="H6443" i="26" s="1"/>
  <c r="G6442" i="26"/>
  <c r="H6442" i="26" s="1"/>
  <c r="G6430" i="26"/>
  <c r="H6430" i="26" s="1"/>
  <c r="G6429" i="26"/>
  <c r="H6429" i="26" s="1"/>
  <c r="G6425" i="26"/>
  <c r="H6425" i="26" s="1"/>
  <c r="G6426" i="26"/>
  <c r="H6426" i="26" s="1"/>
  <c r="G6435" i="26"/>
  <c r="H6433" i="26"/>
  <c r="G6424" i="26"/>
  <c r="H6424" i="26" s="1"/>
  <c r="G6423" i="26"/>
  <c r="H6423" i="26" s="1"/>
  <c r="H6415" i="26"/>
  <c r="H6413" i="26"/>
  <c r="G6417" i="26"/>
  <c r="G6410" i="26"/>
  <c r="H6410" i="26" s="1"/>
  <c r="G6409" i="26"/>
  <c r="H6409" i="26" s="1"/>
  <c r="G6408" i="26"/>
  <c r="H6408" i="26" s="1"/>
  <c r="H6399" i="26"/>
  <c r="G6401" i="26"/>
  <c r="G6396" i="26"/>
  <c r="H6396" i="26" s="1"/>
  <c r="H6397" i="26" s="1"/>
  <c r="G6393" i="26"/>
  <c r="H6393" i="26" s="1"/>
  <c r="G6392" i="26"/>
  <c r="H6392" i="26" s="1"/>
  <c r="G6391" i="26"/>
  <c r="H6391" i="26" s="1"/>
  <c r="G6390" i="26"/>
  <c r="H6390" i="26" s="1"/>
  <c r="G6384" i="26"/>
  <c r="G6378" i="26"/>
  <c r="H6378" i="26" s="1"/>
  <c r="G6377" i="26"/>
  <c r="H6377" i="26" s="1"/>
  <c r="G6374" i="26"/>
  <c r="H6374" i="26" s="1"/>
  <c r="G6373" i="26"/>
  <c r="H6373" i="26" s="1"/>
  <c r="G6372" i="26"/>
  <c r="H6372" i="26" s="1"/>
  <c r="G6371" i="26"/>
  <c r="H6371" i="26" s="1"/>
  <c r="G6364" i="26"/>
  <c r="H6362" i="26"/>
  <c r="G6359" i="26"/>
  <c r="H6359" i="26" s="1"/>
  <c r="G6358" i="26"/>
  <c r="H6358" i="26" s="1"/>
  <c r="G6357" i="26"/>
  <c r="H6357" i="26" s="1"/>
  <c r="G6354" i="26"/>
  <c r="H6354" i="26" s="1"/>
  <c r="G6353" i="26"/>
  <c r="H6353" i="26" s="1"/>
  <c r="G6352" i="26"/>
  <c r="H6352" i="26" s="1"/>
  <c r="G6351" i="26"/>
  <c r="H6351" i="26" s="1"/>
  <c r="G6344" i="26"/>
  <c r="H6342" i="26"/>
  <c r="G6339" i="26"/>
  <c r="H6339" i="26" s="1"/>
  <c r="G6338" i="26"/>
  <c r="H6338" i="26" s="1"/>
  <c r="G6337" i="26"/>
  <c r="H6337" i="26" s="1"/>
  <c r="G6334" i="26"/>
  <c r="H6334" i="26" s="1"/>
  <c r="G6333" i="26"/>
  <c r="H6333" i="26" s="1"/>
  <c r="G6332" i="26"/>
  <c r="H6332" i="26" s="1"/>
  <c r="G6331" i="26"/>
  <c r="H6331" i="26" s="1"/>
  <c r="G6315" i="26"/>
  <c r="H6315" i="26" s="1"/>
  <c r="G6316" i="26"/>
  <c r="H6316" i="26" s="1"/>
  <c r="G6317" i="26"/>
  <c r="H6317" i="26" s="1"/>
  <c r="G6318" i="26"/>
  <c r="H6318" i="26" s="1"/>
  <c r="G6319" i="26"/>
  <c r="H6319" i="26" s="1"/>
  <c r="G6320" i="26"/>
  <c r="H6320" i="26" s="1"/>
  <c r="G6325" i="26"/>
  <c r="H6323" i="26"/>
  <c r="G6314" i="26"/>
  <c r="H6314" i="26" s="1"/>
  <c r="G6311" i="26"/>
  <c r="H6311" i="26" s="1"/>
  <c r="G6310" i="26"/>
  <c r="H6310" i="26" s="1"/>
  <c r="G6309" i="26"/>
  <c r="H6309" i="26" s="1"/>
  <c r="G6308" i="26"/>
  <c r="H6308" i="26" s="1"/>
  <c r="G6295" i="26"/>
  <c r="H6295" i="26" s="1"/>
  <c r="G6296" i="26"/>
  <c r="H6296" i="26" s="1"/>
  <c r="G6297" i="26"/>
  <c r="H6297" i="26" s="1"/>
  <c r="G6302" i="26"/>
  <c r="H6300" i="26"/>
  <c r="G6294" i="26"/>
  <c r="H6294" i="26" s="1"/>
  <c r="G6291" i="26"/>
  <c r="H6291" i="26" s="1"/>
  <c r="G6290" i="26"/>
  <c r="H6290" i="26" s="1"/>
  <c r="G6289" i="26"/>
  <c r="H6289" i="26" s="1"/>
  <c r="G6288" i="26"/>
  <c r="H6288" i="26" s="1"/>
  <c r="G6282" i="26"/>
  <c r="H6280" i="26"/>
  <c r="G6277" i="26"/>
  <c r="H6277" i="26" s="1"/>
  <c r="G6276" i="26"/>
  <c r="H6276" i="26" s="1"/>
  <c r="G6275" i="26"/>
  <c r="H6275" i="26" s="1"/>
  <c r="G6272" i="26"/>
  <c r="H6272" i="26" s="1"/>
  <c r="G6271" i="26"/>
  <c r="H6271" i="26" s="1"/>
  <c r="G6270" i="26"/>
  <c r="H6270" i="26" s="1"/>
  <c r="G6269" i="26"/>
  <c r="H6269" i="26" s="1"/>
  <c r="G6253" i="26"/>
  <c r="H6253" i="26" s="1"/>
  <c r="G6254" i="26"/>
  <c r="H6254" i="26" s="1"/>
  <c r="G6255" i="26"/>
  <c r="H6255" i="26" s="1"/>
  <c r="G6256" i="26"/>
  <c r="H6256" i="26" s="1"/>
  <c r="G6257" i="26"/>
  <c r="H6257" i="26" s="1"/>
  <c r="G6258" i="26"/>
  <c r="H6258" i="26" s="1"/>
  <c r="G6263" i="26"/>
  <c r="H6261" i="26"/>
  <c r="G6252" i="26"/>
  <c r="H6252" i="26" s="1"/>
  <c r="G6249" i="26"/>
  <c r="H6249" i="26" s="1"/>
  <c r="G6248" i="26"/>
  <c r="H6248" i="26" s="1"/>
  <c r="G6247" i="26"/>
  <c r="H6247" i="26" s="1"/>
  <c r="G6246" i="26"/>
  <c r="H6246" i="26" s="1"/>
  <c r="G6231" i="26"/>
  <c r="H6231" i="26" s="1"/>
  <c r="G6232" i="26"/>
  <c r="H6232" i="26" s="1"/>
  <c r="G6233" i="26"/>
  <c r="H6233" i="26" s="1"/>
  <c r="G6239" i="26"/>
  <c r="H6237" i="26"/>
  <c r="G6234" i="26"/>
  <c r="H6234" i="26" s="1"/>
  <c r="G6228" i="26"/>
  <c r="H6228" i="26" s="1"/>
  <c r="G6227" i="26"/>
  <c r="H6227" i="26" s="1"/>
  <c r="G6226" i="26"/>
  <c r="H6226" i="26" s="1"/>
  <c r="G6225" i="26"/>
  <c r="H6225" i="26" s="1"/>
  <c r="G6218" i="26"/>
  <c r="H6216" i="26"/>
  <c r="G6213" i="26"/>
  <c r="H6213" i="26" s="1"/>
  <c r="H6214" i="26" s="1"/>
  <c r="G6210" i="26"/>
  <c r="H6210" i="26" s="1"/>
  <c r="G6209" i="26"/>
  <c r="H6209" i="26" s="1"/>
  <c r="G6208" i="26"/>
  <c r="H6208" i="26" s="1"/>
  <c r="G6207" i="26"/>
  <c r="H6207" i="26" s="1"/>
  <c r="G6200" i="26"/>
  <c r="H6198" i="26"/>
  <c r="G6195" i="26"/>
  <c r="H6195" i="26" s="1"/>
  <c r="H6196" i="26" s="1"/>
  <c r="G6192" i="26"/>
  <c r="H6192" i="26" s="1"/>
  <c r="G6191" i="26"/>
  <c r="H6191" i="26" s="1"/>
  <c r="G6190" i="26"/>
  <c r="H6190" i="26" s="1"/>
  <c r="G6189" i="26"/>
  <c r="H6189" i="26" s="1"/>
  <c r="G6182" i="26"/>
  <c r="H6180" i="26"/>
  <c r="G6177" i="26"/>
  <c r="H6177" i="26" s="1"/>
  <c r="H6178" i="26" s="1"/>
  <c r="G6174" i="26"/>
  <c r="H6174" i="26" s="1"/>
  <c r="G6173" i="26"/>
  <c r="H6173" i="26" s="1"/>
  <c r="G6172" i="26"/>
  <c r="H6172" i="26" s="1"/>
  <c r="G6171" i="26"/>
  <c r="H6171" i="26" s="1"/>
  <c r="G6165" i="26"/>
  <c r="H6163" i="26"/>
  <c r="G6160" i="26"/>
  <c r="H6160" i="26" s="1"/>
  <c r="H6161" i="26" s="1"/>
  <c r="G6157" i="26"/>
  <c r="H6157" i="26" s="1"/>
  <c r="G6156" i="26"/>
  <c r="H6156" i="26" s="1"/>
  <c r="G6155" i="26"/>
  <c r="H6155" i="26" s="1"/>
  <c r="G6154" i="26"/>
  <c r="H6154" i="26" s="1"/>
  <c r="G6148" i="26"/>
  <c r="H6146" i="26"/>
  <c r="G6143" i="26"/>
  <c r="H6143" i="26" s="1"/>
  <c r="G6142" i="26"/>
  <c r="H6142" i="26" s="1"/>
  <c r="G6139" i="26"/>
  <c r="H6139" i="26" s="1"/>
  <c r="G6138" i="26"/>
  <c r="H6138" i="26" s="1"/>
  <c r="G6137" i="26"/>
  <c r="H6137" i="26" s="1"/>
  <c r="G6136" i="26"/>
  <c r="H6136" i="26" s="1"/>
  <c r="G6130" i="26"/>
  <c r="H6128" i="26"/>
  <c r="G6125" i="26"/>
  <c r="H6125" i="26" s="1"/>
  <c r="G6124" i="26"/>
  <c r="H6124" i="26" s="1"/>
  <c r="G6123" i="26"/>
  <c r="H6123" i="26" s="1"/>
  <c r="G6120" i="26"/>
  <c r="H6120" i="26" s="1"/>
  <c r="G6119" i="26"/>
  <c r="H6119" i="26" s="1"/>
  <c r="G6118" i="26"/>
  <c r="H6118" i="26" s="1"/>
  <c r="G6117" i="26"/>
  <c r="H6117" i="26" s="1"/>
  <c r="G6105" i="26"/>
  <c r="H6105" i="26" s="1"/>
  <c r="G6111" i="26"/>
  <c r="H6109" i="26"/>
  <c r="G6106" i="26"/>
  <c r="H6106" i="26" s="1"/>
  <c r="G6104" i="26"/>
  <c r="H6104" i="26" s="1"/>
  <c r="G6101" i="26"/>
  <c r="H6101" i="26" s="1"/>
  <c r="G6100" i="26"/>
  <c r="H6100" i="26" s="1"/>
  <c r="G6099" i="26"/>
  <c r="H6099" i="26" s="1"/>
  <c r="G6098" i="26"/>
  <c r="H6098" i="26" s="1"/>
  <c r="G6086" i="26"/>
  <c r="H6086" i="26" s="1"/>
  <c r="G6092" i="26"/>
  <c r="H6090" i="26"/>
  <c r="G6087" i="26"/>
  <c r="H6087" i="26" s="1"/>
  <c r="G6085" i="26"/>
  <c r="H6085" i="26" s="1"/>
  <c r="G6082" i="26"/>
  <c r="H6082" i="26" s="1"/>
  <c r="G6081" i="26"/>
  <c r="H6081" i="26" s="1"/>
  <c r="G6080" i="26"/>
  <c r="H6080" i="26" s="1"/>
  <c r="G6079" i="26"/>
  <c r="H6079" i="26" s="1"/>
  <c r="G6060" i="26"/>
  <c r="H6060" i="26" s="1"/>
  <c r="G6061" i="26"/>
  <c r="H6061" i="26" s="1"/>
  <c r="G6062" i="26"/>
  <c r="H6062" i="26" s="1"/>
  <c r="G6063" i="26"/>
  <c r="H6063" i="26" s="1"/>
  <c r="G6066" i="26"/>
  <c r="H6066" i="26" s="1"/>
  <c r="G6067" i="26"/>
  <c r="H6067" i="26" s="1"/>
  <c r="H6070" i="26"/>
  <c r="G6072" i="26"/>
  <c r="G6048" i="26"/>
  <c r="H6048" i="26" s="1"/>
  <c r="G6054" i="26"/>
  <c r="H6052" i="26"/>
  <c r="G6049" i="26"/>
  <c r="H6049" i="26" s="1"/>
  <c r="G6047" i="26"/>
  <c r="H6047" i="26" s="1"/>
  <c r="G6044" i="26"/>
  <c r="H6044" i="26" s="1"/>
  <c r="G6043" i="26"/>
  <c r="H6043" i="26" s="1"/>
  <c r="G6042" i="26"/>
  <c r="H6042" i="26" s="1"/>
  <c r="G6041" i="26"/>
  <c r="H6041" i="26" s="1"/>
  <c r="G6030" i="26"/>
  <c r="H6030" i="26" s="1"/>
  <c r="G6035" i="26"/>
  <c r="H6033" i="26"/>
  <c r="G6029" i="26"/>
  <c r="H6029" i="26" s="1"/>
  <c r="G6026" i="26"/>
  <c r="H6026" i="26" s="1"/>
  <c r="G6025" i="26"/>
  <c r="H6025" i="26" s="1"/>
  <c r="G6024" i="26"/>
  <c r="H6024" i="26" s="1"/>
  <c r="G6023" i="26"/>
  <c r="H6023" i="26" s="1"/>
  <c r="G6016" i="26"/>
  <c r="H6014" i="26"/>
  <c r="G6011" i="26"/>
  <c r="H6011" i="26" s="1"/>
  <c r="H6012" i="26" s="1"/>
  <c r="G6008" i="26"/>
  <c r="H6008" i="26" s="1"/>
  <c r="G6007" i="26"/>
  <c r="H6007" i="26" s="1"/>
  <c r="G6006" i="26"/>
  <c r="H6006" i="26" s="1"/>
  <c r="G6005" i="26"/>
  <c r="H6005" i="26" s="1"/>
  <c r="G5999" i="26"/>
  <c r="H5997" i="26"/>
  <c r="G5994" i="26"/>
  <c r="H5994" i="26" s="1"/>
  <c r="G5993" i="26"/>
  <c r="H5993" i="26" s="1"/>
  <c r="G5990" i="26"/>
  <c r="H5990" i="26" s="1"/>
  <c r="G5989" i="26"/>
  <c r="H5989" i="26" s="1"/>
  <c r="G5988" i="26"/>
  <c r="H5988" i="26" s="1"/>
  <c r="G5987" i="26"/>
  <c r="H5987" i="26" s="1"/>
  <c r="G5981" i="26"/>
  <c r="H5979" i="26"/>
  <c r="G5976" i="26"/>
  <c r="H5976" i="26" s="1"/>
  <c r="G5975" i="26"/>
  <c r="H5975" i="26" s="1"/>
  <c r="G5972" i="26"/>
  <c r="H5972" i="26" s="1"/>
  <c r="G5971" i="26"/>
  <c r="H5971" i="26" s="1"/>
  <c r="G5970" i="26"/>
  <c r="H5970" i="26" s="1"/>
  <c r="G5969" i="26"/>
  <c r="H5969" i="26" s="1"/>
  <c r="G5958" i="26"/>
  <c r="H5958" i="26" s="1"/>
  <c r="G5963" i="26"/>
  <c r="H5961" i="26"/>
  <c r="G5957" i="26"/>
  <c r="H5957" i="26" s="1"/>
  <c r="G5954" i="26"/>
  <c r="H5954" i="26" s="1"/>
  <c r="G5953" i="26"/>
  <c r="H5953" i="26" s="1"/>
  <c r="G5952" i="26"/>
  <c r="H5952" i="26" s="1"/>
  <c r="G5951" i="26"/>
  <c r="H5951" i="26" s="1"/>
  <c r="G5945" i="26"/>
  <c r="H5943" i="26"/>
  <c r="G5940" i="26"/>
  <c r="H5940" i="26" s="1"/>
  <c r="H5941" i="26" s="1"/>
  <c r="G5937" i="26"/>
  <c r="H5937" i="26" s="1"/>
  <c r="G5936" i="26"/>
  <c r="H5936" i="26" s="1"/>
  <c r="G5935" i="26"/>
  <c r="H5935" i="26" s="1"/>
  <c r="G5934" i="26"/>
  <c r="H5934" i="26" s="1"/>
  <c r="G5922" i="26"/>
  <c r="H5922" i="26" s="1"/>
  <c r="G5927" i="26"/>
  <c r="H5925" i="26"/>
  <c r="G5921" i="26"/>
  <c r="H5921" i="26" s="1"/>
  <c r="G5918" i="26"/>
  <c r="H5918" i="26" s="1"/>
  <c r="G5917" i="26"/>
  <c r="H5917" i="26" s="1"/>
  <c r="G5916" i="26"/>
  <c r="H5916" i="26" s="1"/>
  <c r="G5915" i="26"/>
  <c r="H5915" i="26" s="1"/>
  <c r="G5909" i="26"/>
  <c r="H5907" i="26"/>
  <c r="G5904" i="26"/>
  <c r="H5904" i="26" s="1"/>
  <c r="H5905" i="26" s="1"/>
  <c r="G5901" i="26"/>
  <c r="H5901" i="26" s="1"/>
  <c r="G5900" i="26"/>
  <c r="H5900" i="26" s="1"/>
  <c r="G5899" i="26"/>
  <c r="H5899" i="26" s="1"/>
  <c r="G5898" i="26"/>
  <c r="H5898" i="26" s="1"/>
  <c r="G5891" i="26"/>
  <c r="H5889" i="26"/>
  <c r="G5883" i="26"/>
  <c r="H5883" i="26" s="1"/>
  <c r="G5882" i="26"/>
  <c r="H5882" i="26" s="1"/>
  <c r="G5881" i="26"/>
  <c r="H5881" i="26" s="1"/>
  <c r="G5880" i="26"/>
  <c r="H5880" i="26" s="1"/>
  <c r="G5874" i="26"/>
  <c r="H5872" i="26"/>
  <c r="G5869" i="26"/>
  <c r="H5869" i="26" s="1"/>
  <c r="H5870" i="26" s="1"/>
  <c r="G5866" i="26"/>
  <c r="H5866" i="26" s="1"/>
  <c r="G5865" i="26"/>
  <c r="H5865" i="26" s="1"/>
  <c r="G5864" i="26"/>
  <c r="H5864" i="26" s="1"/>
  <c r="G5863" i="26"/>
  <c r="H5863" i="26" s="1"/>
  <c r="G5857" i="26"/>
  <c r="H5855" i="26"/>
  <c r="G5852" i="26"/>
  <c r="H5852" i="26" s="1"/>
  <c r="H5853" i="26" s="1"/>
  <c r="G5849" i="26"/>
  <c r="H5849" i="26" s="1"/>
  <c r="G5848" i="26"/>
  <c r="H5848" i="26" s="1"/>
  <c r="G5847" i="26"/>
  <c r="H5847" i="26" s="1"/>
  <c r="G5846" i="26"/>
  <c r="H5846" i="26" s="1"/>
  <c r="G5834" i="26"/>
  <c r="H5834" i="26" s="1"/>
  <c r="G5840" i="26"/>
  <c r="H5838" i="26"/>
  <c r="G5835" i="26"/>
  <c r="H5835" i="26" s="1"/>
  <c r="G5831" i="26"/>
  <c r="H5831" i="26" s="1"/>
  <c r="G5830" i="26"/>
  <c r="H5830" i="26" s="1"/>
  <c r="G5829" i="26"/>
  <c r="H5829" i="26" s="1"/>
  <c r="G5828" i="26"/>
  <c r="H5828" i="26" s="1"/>
  <c r="G5822" i="26"/>
  <c r="H5820" i="26"/>
  <c r="G5817" i="26"/>
  <c r="H5817" i="26" s="1"/>
  <c r="H5818" i="26" s="1"/>
  <c r="G5814" i="26"/>
  <c r="H5814" i="26" s="1"/>
  <c r="G5813" i="26"/>
  <c r="H5813" i="26" s="1"/>
  <c r="G5812" i="26"/>
  <c r="H5812" i="26" s="1"/>
  <c r="G5811" i="26"/>
  <c r="H5811" i="26" s="1"/>
  <c r="H154" i="52" l="1"/>
  <c r="G21" i="52" s="1"/>
  <c r="H21" i="52" s="1"/>
  <c r="G25" i="52"/>
  <c r="H25" i="52" s="1"/>
  <c r="H36" i="52"/>
  <c r="O42" i="52" s="1"/>
  <c r="G143" i="54"/>
  <c r="F19" i="54" s="1"/>
  <c r="G19" i="54" s="1"/>
  <c r="G202" i="54"/>
  <c r="G219" i="54"/>
  <c r="G222" i="54" s="1"/>
  <c r="F27" i="54" s="1"/>
  <c r="G27" i="54" s="1"/>
  <c r="G177" i="54"/>
  <c r="G114" i="54"/>
  <c r="G120" i="54"/>
  <c r="G192" i="54"/>
  <c r="G131" i="54"/>
  <c r="G108" i="54"/>
  <c r="G102" i="54"/>
  <c r="G126" i="54"/>
  <c r="G29" i="52"/>
  <c r="H29" i="52" s="1"/>
  <c r="F14" i="54"/>
  <c r="G14" i="54" s="1"/>
  <c r="G91" i="53"/>
  <c r="F16" i="53" s="1"/>
  <c r="G16" i="53" s="1"/>
  <c r="G108" i="53"/>
  <c r="G126" i="53"/>
  <c r="G120" i="53"/>
  <c r="G114" i="53"/>
  <c r="G192" i="53"/>
  <c r="G202" i="53"/>
  <c r="G131" i="53"/>
  <c r="G143" i="53"/>
  <c r="F19" i="53" s="1"/>
  <c r="G19" i="53" s="1"/>
  <c r="G177" i="53"/>
  <c r="G102" i="53"/>
  <c r="H145" i="52"/>
  <c r="G20" i="52" s="1"/>
  <c r="H20" i="52" s="1"/>
  <c r="H102" i="52"/>
  <c r="G18" i="52" s="1"/>
  <c r="H18" i="52" s="1"/>
  <c r="H200" i="52"/>
  <c r="H218" i="52" s="1"/>
  <c r="G27" i="52" s="1"/>
  <c r="H27" i="52" s="1"/>
  <c r="F10" i="27"/>
  <c r="H211" i="43"/>
  <c r="G391" i="27"/>
  <c r="L26" i="43"/>
  <c r="N26" i="43"/>
  <c r="H210" i="43"/>
  <c r="M26" i="43"/>
  <c r="P26" i="43"/>
  <c r="G68" i="8"/>
  <c r="H68" i="8" s="1"/>
  <c r="H71" i="8" s="1"/>
  <c r="G145" i="8"/>
  <c r="H145" i="8" s="1"/>
  <c r="H148" i="8" s="1"/>
  <c r="H269" i="43"/>
  <c r="H864" i="43"/>
  <c r="K26" i="43"/>
  <c r="F40" i="27"/>
  <c r="F381" i="27"/>
  <c r="G23" i="27"/>
  <c r="G10" i="27"/>
  <c r="G32" i="27"/>
  <c r="F20" i="27"/>
  <c r="G27" i="27"/>
  <c r="F31" i="27"/>
  <c r="G29" i="27"/>
  <c r="G19" i="27"/>
  <c r="F11" i="27"/>
  <c r="G26" i="27"/>
  <c r="F28" i="27"/>
  <c r="G18" i="27"/>
  <c r="G12" i="27"/>
  <c r="G17" i="27"/>
  <c r="F380" i="27"/>
  <c r="G380" i="27"/>
  <c r="F25" i="27"/>
  <c r="G25" i="27"/>
  <c r="O26" i="43"/>
  <c r="H270" i="43"/>
  <c r="F120" i="27"/>
  <c r="G121" i="27"/>
  <c r="F121" i="27"/>
  <c r="C1590" i="27"/>
  <c r="E1590" i="27" s="1"/>
  <c r="C1778" i="27"/>
  <c r="E1778" i="27" s="1"/>
  <c r="C1821" i="27"/>
  <c r="F1821" i="27" s="1"/>
  <c r="C1822" i="27"/>
  <c r="G1822" i="27" s="1"/>
  <c r="C1837" i="27"/>
  <c r="G1837" i="27" s="1"/>
  <c r="C1838" i="27"/>
  <c r="F1838" i="27" s="1"/>
  <c r="C1839" i="27"/>
  <c r="F1839" i="27" s="1"/>
  <c r="G2310" i="27"/>
  <c r="F2310" i="27"/>
  <c r="G2312" i="27"/>
  <c r="F2312" i="27"/>
  <c r="G2311" i="27"/>
  <c r="F2311" i="27"/>
  <c r="G2314" i="27"/>
  <c r="F2314" i="27"/>
  <c r="G2313" i="27"/>
  <c r="F2313" i="27"/>
  <c r="G2335" i="27"/>
  <c r="F2335" i="27"/>
  <c r="G2334" i="27"/>
  <c r="F2334" i="27"/>
  <c r="G2333" i="27"/>
  <c r="F2333" i="27"/>
  <c r="G2332" i="27"/>
  <c r="F2332" i="27"/>
  <c r="G2331" i="27"/>
  <c r="F2331" i="27"/>
  <c r="G2330" i="27"/>
  <c r="F2330" i="27"/>
  <c r="G2329" i="27"/>
  <c r="F2329" i="27"/>
  <c r="G2328" i="27"/>
  <c r="F2328" i="27"/>
  <c r="G2327" i="27"/>
  <c r="F2327" i="27"/>
  <c r="G2326" i="27"/>
  <c r="F2326" i="27"/>
  <c r="G2325" i="27"/>
  <c r="F2325" i="27"/>
  <c r="G2324" i="27"/>
  <c r="F2324" i="27"/>
  <c r="G2323" i="27"/>
  <c r="F2323" i="27"/>
  <c r="G2322" i="27"/>
  <c r="F2322" i="27"/>
  <c r="G2321" i="27"/>
  <c r="F2321" i="27"/>
  <c r="G2320" i="27"/>
  <c r="F2320" i="27"/>
  <c r="G2319" i="27"/>
  <c r="F2319" i="27"/>
  <c r="G2318" i="27"/>
  <c r="F2318" i="27"/>
  <c r="G2317" i="27"/>
  <c r="F2317" i="27"/>
  <c r="G2316" i="27"/>
  <c r="F2316" i="27"/>
  <c r="G2315" i="27"/>
  <c r="F2315" i="27"/>
  <c r="G2339" i="27"/>
  <c r="F2339" i="27"/>
  <c r="G2338" i="27"/>
  <c r="F2338" i="27"/>
  <c r="G2337" i="27"/>
  <c r="F2337" i="27"/>
  <c r="G2336" i="27"/>
  <c r="F2336" i="27"/>
  <c r="G2354" i="27"/>
  <c r="F2354" i="27"/>
  <c r="G2353" i="27"/>
  <c r="F2353" i="27"/>
  <c r="G2352" i="27"/>
  <c r="F2352" i="27"/>
  <c r="G2351" i="27"/>
  <c r="F2351" i="27"/>
  <c r="G2350" i="27"/>
  <c r="F2350" i="27"/>
  <c r="G2349" i="27"/>
  <c r="F2349" i="27"/>
  <c r="G2348" i="27"/>
  <c r="F2348" i="27"/>
  <c r="G2347" i="27"/>
  <c r="F2347" i="27"/>
  <c r="G2346" i="27"/>
  <c r="F2346" i="27"/>
  <c r="G2345" i="27"/>
  <c r="F2345" i="27"/>
  <c r="G2344" i="27"/>
  <c r="F2344" i="27"/>
  <c r="G2343" i="27"/>
  <c r="F2343" i="27"/>
  <c r="G2342" i="27"/>
  <c r="F2342" i="27"/>
  <c r="G2341" i="27"/>
  <c r="F2341" i="27"/>
  <c r="G2340" i="27"/>
  <c r="F2340" i="27"/>
  <c r="G2370" i="27"/>
  <c r="F2370" i="27"/>
  <c r="G2369" i="27"/>
  <c r="F2369" i="27"/>
  <c r="G2368" i="27"/>
  <c r="F2368" i="27"/>
  <c r="G2367" i="27"/>
  <c r="F2367" i="27"/>
  <c r="G2366" i="27"/>
  <c r="F2366" i="27"/>
  <c r="G2365" i="27"/>
  <c r="F2365" i="27"/>
  <c r="G2364" i="27"/>
  <c r="F2364" i="27"/>
  <c r="G2363" i="27"/>
  <c r="F2363" i="27"/>
  <c r="G2362" i="27"/>
  <c r="F2362" i="27"/>
  <c r="G2361" i="27"/>
  <c r="F2361" i="27"/>
  <c r="G2360" i="27"/>
  <c r="F2360" i="27"/>
  <c r="G2359" i="27"/>
  <c r="F2359" i="27"/>
  <c r="G2358" i="27"/>
  <c r="F2358" i="27"/>
  <c r="G2357" i="27"/>
  <c r="F2357" i="27"/>
  <c r="G2356" i="27"/>
  <c r="F2356" i="27"/>
  <c r="G2355" i="27"/>
  <c r="F2355" i="27"/>
  <c r="G2382" i="27"/>
  <c r="F2382" i="27"/>
  <c r="G2381" i="27"/>
  <c r="F2381" i="27"/>
  <c r="G2380" i="27"/>
  <c r="F2380" i="27"/>
  <c r="G2379" i="27"/>
  <c r="F2379" i="27"/>
  <c r="G2378" i="27"/>
  <c r="F2378" i="27"/>
  <c r="G2377" i="27"/>
  <c r="F2377" i="27"/>
  <c r="G2376" i="27"/>
  <c r="F2376" i="27"/>
  <c r="G2375" i="27"/>
  <c r="F2375" i="27"/>
  <c r="G2374" i="27"/>
  <c r="F2374" i="27"/>
  <c r="G2373" i="27"/>
  <c r="F2373" i="27"/>
  <c r="G2372" i="27"/>
  <c r="F2372" i="27"/>
  <c r="G2371" i="27"/>
  <c r="F2371" i="27"/>
  <c r="G2392" i="27"/>
  <c r="F2392" i="27"/>
  <c r="G2391" i="27"/>
  <c r="F2391" i="27"/>
  <c r="G2390" i="27"/>
  <c r="F2390" i="27"/>
  <c r="G2389" i="27"/>
  <c r="F2389" i="27"/>
  <c r="G2388" i="27"/>
  <c r="F2388" i="27"/>
  <c r="G2387" i="27"/>
  <c r="F2387" i="27"/>
  <c r="G2386" i="27"/>
  <c r="F2386" i="27"/>
  <c r="G2385" i="27"/>
  <c r="F2385" i="27"/>
  <c r="G2384" i="27"/>
  <c r="F2384" i="27"/>
  <c r="G2383" i="27"/>
  <c r="F2383" i="27"/>
  <c r="G2401" i="27"/>
  <c r="F2401" i="27"/>
  <c r="G2400" i="27"/>
  <c r="F2400" i="27"/>
  <c r="G2399" i="27"/>
  <c r="F2399" i="27"/>
  <c r="G2398" i="27"/>
  <c r="F2398" i="27"/>
  <c r="G2397" i="27"/>
  <c r="F2397" i="27"/>
  <c r="G2396" i="27"/>
  <c r="F2396" i="27"/>
  <c r="G2395" i="27"/>
  <c r="F2395" i="27"/>
  <c r="G2394" i="27"/>
  <c r="F2394" i="27"/>
  <c r="G2393" i="27"/>
  <c r="F2393" i="27"/>
  <c r="G2418" i="27"/>
  <c r="F2418" i="27"/>
  <c r="G2417" i="27"/>
  <c r="F2417" i="27"/>
  <c r="G2416" i="27"/>
  <c r="F2416" i="27"/>
  <c r="G2415" i="27"/>
  <c r="F2415" i="27"/>
  <c r="G2414" i="27"/>
  <c r="F2414" i="27"/>
  <c r="G2413" i="27"/>
  <c r="F2413" i="27"/>
  <c r="G2412" i="27"/>
  <c r="F2412" i="27"/>
  <c r="G2411" i="27"/>
  <c r="F2411" i="27"/>
  <c r="G2410" i="27"/>
  <c r="F2410" i="27"/>
  <c r="G2409" i="27"/>
  <c r="F2409" i="27"/>
  <c r="G2408" i="27"/>
  <c r="F2408" i="27"/>
  <c r="G2407" i="27"/>
  <c r="F2407" i="27"/>
  <c r="G2406" i="27"/>
  <c r="F2406" i="27"/>
  <c r="G2405" i="27"/>
  <c r="F2405" i="27"/>
  <c r="G2404" i="27"/>
  <c r="F2404" i="27"/>
  <c r="G2403" i="27"/>
  <c r="F2403" i="27"/>
  <c r="G2402" i="27"/>
  <c r="F2402" i="27"/>
  <c r="G2433" i="27"/>
  <c r="F2433" i="27"/>
  <c r="G2432" i="27"/>
  <c r="F2432" i="27"/>
  <c r="G2431" i="27"/>
  <c r="F2431" i="27"/>
  <c r="G2430" i="27"/>
  <c r="F2430" i="27"/>
  <c r="G2429" i="27"/>
  <c r="F2429" i="27"/>
  <c r="G2428" i="27"/>
  <c r="F2428" i="27"/>
  <c r="G2427" i="27"/>
  <c r="F2427" i="27"/>
  <c r="G2426" i="27"/>
  <c r="F2426" i="27"/>
  <c r="G2425" i="27"/>
  <c r="F2425" i="27"/>
  <c r="G2424" i="27"/>
  <c r="F2424" i="27"/>
  <c r="G2423" i="27"/>
  <c r="F2423" i="27"/>
  <c r="G2422" i="27"/>
  <c r="F2422" i="27"/>
  <c r="G2421" i="27"/>
  <c r="F2421" i="27"/>
  <c r="G2420" i="27"/>
  <c r="F2420" i="27"/>
  <c r="G2419" i="27"/>
  <c r="F2419" i="27"/>
  <c r="G2445" i="27"/>
  <c r="F2445" i="27"/>
  <c r="G2444" i="27"/>
  <c r="F2444" i="27"/>
  <c r="G2443" i="27"/>
  <c r="F2443" i="27"/>
  <c r="G2442" i="27"/>
  <c r="F2442" i="27"/>
  <c r="G2441" i="27"/>
  <c r="F2441" i="27"/>
  <c r="G2440" i="27"/>
  <c r="F2440" i="27"/>
  <c r="G2439" i="27"/>
  <c r="F2439" i="27"/>
  <c r="G2438" i="27"/>
  <c r="F2438" i="27"/>
  <c r="G2437" i="27"/>
  <c r="F2437" i="27"/>
  <c r="G2436" i="27"/>
  <c r="F2436" i="27"/>
  <c r="G2435" i="27"/>
  <c r="F2435" i="27"/>
  <c r="G2434" i="27"/>
  <c r="F2434" i="27"/>
  <c r="G2462" i="27"/>
  <c r="F2462" i="27"/>
  <c r="G2461" i="27"/>
  <c r="F2461" i="27"/>
  <c r="G2460" i="27"/>
  <c r="F2460" i="27"/>
  <c r="G2459" i="27"/>
  <c r="F2459" i="27"/>
  <c r="G2458" i="27"/>
  <c r="F2458" i="27"/>
  <c r="G2457" i="27"/>
  <c r="F2457" i="27"/>
  <c r="G2456" i="27"/>
  <c r="F2456" i="27"/>
  <c r="G2455" i="27"/>
  <c r="F2455" i="27"/>
  <c r="G2454" i="27"/>
  <c r="F2454" i="27"/>
  <c r="G2453" i="27"/>
  <c r="F2453" i="27"/>
  <c r="G2452" i="27"/>
  <c r="F2452" i="27"/>
  <c r="G2451" i="27"/>
  <c r="F2451" i="27"/>
  <c r="G2450" i="27"/>
  <c r="F2450" i="27"/>
  <c r="G2449" i="27"/>
  <c r="F2449" i="27"/>
  <c r="G2448" i="27"/>
  <c r="F2448" i="27"/>
  <c r="G2447" i="27"/>
  <c r="F2447" i="27"/>
  <c r="G2446" i="27"/>
  <c r="F2446" i="27"/>
  <c r="G2479" i="27"/>
  <c r="F2479" i="27"/>
  <c r="G2478" i="27"/>
  <c r="F2478" i="27"/>
  <c r="G2477" i="27"/>
  <c r="F2477" i="27"/>
  <c r="G2476" i="27"/>
  <c r="F2476" i="27"/>
  <c r="G2475" i="27"/>
  <c r="F2475" i="27"/>
  <c r="G2474" i="27"/>
  <c r="F2474" i="27"/>
  <c r="G2473" i="27"/>
  <c r="F2473" i="27"/>
  <c r="G2472" i="27"/>
  <c r="F2472" i="27"/>
  <c r="G2471" i="27"/>
  <c r="F2471" i="27"/>
  <c r="G2470" i="27"/>
  <c r="F2470" i="27"/>
  <c r="G2469" i="27"/>
  <c r="F2469" i="27"/>
  <c r="G2468" i="27"/>
  <c r="F2468" i="27"/>
  <c r="G2467" i="27"/>
  <c r="F2467" i="27"/>
  <c r="G2466" i="27"/>
  <c r="F2466" i="27"/>
  <c r="G2465" i="27"/>
  <c r="F2465" i="27"/>
  <c r="G2464" i="27"/>
  <c r="F2464" i="27"/>
  <c r="G2463" i="27"/>
  <c r="F2463" i="27"/>
  <c r="G2489" i="27"/>
  <c r="F2489" i="27"/>
  <c r="G2488" i="27"/>
  <c r="F2488" i="27"/>
  <c r="G2487" i="27"/>
  <c r="F2487" i="27"/>
  <c r="G2486" i="27"/>
  <c r="F2486" i="27"/>
  <c r="G2485" i="27"/>
  <c r="F2485" i="27"/>
  <c r="G2484" i="27"/>
  <c r="F2484" i="27"/>
  <c r="G2483" i="27"/>
  <c r="F2483" i="27"/>
  <c r="G2482" i="27"/>
  <c r="F2482" i="27"/>
  <c r="G2481" i="27"/>
  <c r="F2481" i="27"/>
  <c r="G2480" i="27"/>
  <c r="F2480" i="27"/>
  <c r="G2507" i="27"/>
  <c r="F2507" i="27"/>
  <c r="G2506" i="27"/>
  <c r="F2506" i="27"/>
  <c r="G2505" i="27"/>
  <c r="F2505" i="27"/>
  <c r="G2504" i="27"/>
  <c r="F2504" i="27"/>
  <c r="G2503" i="27"/>
  <c r="F2503" i="27"/>
  <c r="G2502" i="27"/>
  <c r="F2502" i="27"/>
  <c r="G2501" i="27"/>
  <c r="F2501" i="27"/>
  <c r="G2500" i="27"/>
  <c r="F2500" i="27"/>
  <c r="G2499" i="27"/>
  <c r="F2499" i="27"/>
  <c r="G2498" i="27"/>
  <c r="F2498" i="27"/>
  <c r="G2497" i="27"/>
  <c r="F2497" i="27"/>
  <c r="G2496" i="27"/>
  <c r="F2496" i="27"/>
  <c r="G2495" i="27"/>
  <c r="F2495" i="27"/>
  <c r="G2494" i="27"/>
  <c r="F2494" i="27"/>
  <c r="G2493" i="27"/>
  <c r="F2493" i="27"/>
  <c r="G2492" i="27"/>
  <c r="F2492" i="27"/>
  <c r="G2491" i="27"/>
  <c r="F2491" i="27"/>
  <c r="G2490" i="27"/>
  <c r="F2490" i="27"/>
  <c r="G2522" i="27"/>
  <c r="F2522" i="27"/>
  <c r="G2521" i="27"/>
  <c r="F2521" i="27"/>
  <c r="G2520" i="27"/>
  <c r="F2520" i="27"/>
  <c r="G2519" i="27"/>
  <c r="F2519" i="27"/>
  <c r="G2518" i="27"/>
  <c r="F2518" i="27"/>
  <c r="G2517" i="27"/>
  <c r="F2517" i="27"/>
  <c r="G2516" i="27"/>
  <c r="F2516" i="27"/>
  <c r="G2515" i="27"/>
  <c r="F2515" i="27"/>
  <c r="G2514" i="27"/>
  <c r="F2514" i="27"/>
  <c r="G2513" i="27"/>
  <c r="F2513" i="27"/>
  <c r="G2512" i="27"/>
  <c r="F2512" i="27"/>
  <c r="G2511" i="27"/>
  <c r="F2511" i="27"/>
  <c r="G2510" i="27"/>
  <c r="F2510" i="27"/>
  <c r="G2509" i="27"/>
  <c r="F2509" i="27"/>
  <c r="G2508" i="27"/>
  <c r="F2508" i="27"/>
  <c r="G2536" i="27"/>
  <c r="F2536" i="27"/>
  <c r="G2535" i="27"/>
  <c r="F2535" i="27"/>
  <c r="G2534" i="27"/>
  <c r="F2534" i="27"/>
  <c r="G2533" i="27"/>
  <c r="F2533" i="27"/>
  <c r="G2532" i="27"/>
  <c r="F2532" i="27"/>
  <c r="G2531" i="27"/>
  <c r="F2531" i="27"/>
  <c r="G2530" i="27"/>
  <c r="F2530" i="27"/>
  <c r="G2529" i="27"/>
  <c r="F2529" i="27"/>
  <c r="G2528" i="27"/>
  <c r="F2528" i="27"/>
  <c r="G2527" i="27"/>
  <c r="F2527" i="27"/>
  <c r="G2526" i="27"/>
  <c r="F2526" i="27"/>
  <c r="G2525" i="27"/>
  <c r="F2525" i="27"/>
  <c r="G2524" i="27"/>
  <c r="F2524" i="27"/>
  <c r="G2523" i="27"/>
  <c r="F2523" i="27"/>
  <c r="G2551" i="27"/>
  <c r="F2551" i="27"/>
  <c r="G2550" i="27"/>
  <c r="F2550" i="27"/>
  <c r="G2549" i="27"/>
  <c r="F2549" i="27"/>
  <c r="G2548" i="27"/>
  <c r="F2548" i="27"/>
  <c r="G2547" i="27"/>
  <c r="F2547" i="27"/>
  <c r="G2546" i="27"/>
  <c r="F2546" i="27"/>
  <c r="G2545" i="27"/>
  <c r="F2545" i="27"/>
  <c r="G2544" i="27"/>
  <c r="F2544" i="27"/>
  <c r="G2543" i="27"/>
  <c r="F2543" i="27"/>
  <c r="G2542" i="27"/>
  <c r="F2542" i="27"/>
  <c r="G2541" i="27"/>
  <c r="F2541" i="27"/>
  <c r="G2540" i="27"/>
  <c r="F2540" i="27"/>
  <c r="G2539" i="27"/>
  <c r="F2539" i="27"/>
  <c r="G2538" i="27"/>
  <c r="F2538" i="27"/>
  <c r="G2537" i="27"/>
  <c r="F2537" i="27"/>
  <c r="G2562" i="27"/>
  <c r="F2562" i="27"/>
  <c r="G2561" i="27"/>
  <c r="F2561" i="27"/>
  <c r="G2560" i="27"/>
  <c r="F2560" i="27"/>
  <c r="G2559" i="27"/>
  <c r="F2559" i="27"/>
  <c r="G2558" i="27"/>
  <c r="F2558" i="27"/>
  <c r="G2557" i="27"/>
  <c r="F2557" i="27"/>
  <c r="G2556" i="27"/>
  <c r="F2556" i="27"/>
  <c r="G2555" i="27"/>
  <c r="F2555" i="27"/>
  <c r="G2554" i="27"/>
  <c r="F2554" i="27"/>
  <c r="G2553" i="27"/>
  <c r="F2553" i="27"/>
  <c r="G2552" i="27"/>
  <c r="F2552" i="27"/>
  <c r="G2582" i="27"/>
  <c r="F2582" i="27"/>
  <c r="G2581" i="27"/>
  <c r="F2581" i="27"/>
  <c r="G2580" i="27"/>
  <c r="F2580" i="27"/>
  <c r="G2579" i="27"/>
  <c r="F2579" i="27"/>
  <c r="G2578" i="27"/>
  <c r="F2578" i="27"/>
  <c r="G2577" i="27"/>
  <c r="F2577" i="27"/>
  <c r="G2576" i="27"/>
  <c r="F2576" i="27"/>
  <c r="G2575" i="27"/>
  <c r="F2575" i="27"/>
  <c r="G2574" i="27"/>
  <c r="F2574" i="27"/>
  <c r="G2573" i="27"/>
  <c r="F2573" i="27"/>
  <c r="G2572" i="27"/>
  <c r="F2572" i="27"/>
  <c r="G2571" i="27"/>
  <c r="F2571" i="27"/>
  <c r="G2570" i="27"/>
  <c r="F2570" i="27"/>
  <c r="G2569" i="27"/>
  <c r="F2569" i="27"/>
  <c r="G2568" i="27"/>
  <c r="F2568" i="27"/>
  <c r="G2567" i="27"/>
  <c r="F2567" i="27"/>
  <c r="G2566" i="27"/>
  <c r="F2566" i="27"/>
  <c r="G2565" i="27"/>
  <c r="F2565" i="27"/>
  <c r="G2564" i="27"/>
  <c r="F2564" i="27"/>
  <c r="G2563" i="27"/>
  <c r="F2563" i="27"/>
  <c r="G2583" i="27"/>
  <c r="F2583" i="27"/>
  <c r="G2584" i="27"/>
  <c r="F2584" i="27"/>
  <c r="G2585" i="27"/>
  <c r="F2585" i="27"/>
  <c r="F2587" i="27"/>
  <c r="G2587" i="27"/>
  <c r="F2600" i="27"/>
  <c r="G2600" i="27"/>
  <c r="F2599" i="27"/>
  <c r="G2599" i="27"/>
  <c r="F2598" i="27"/>
  <c r="G2598" i="27"/>
  <c r="E2598" i="27"/>
  <c r="F2597" i="27"/>
  <c r="G2597" i="27"/>
  <c r="F2596" i="27"/>
  <c r="G2596" i="27"/>
  <c r="F2595" i="27"/>
  <c r="G2595" i="27"/>
  <c r="E2595" i="27"/>
  <c r="F2594" i="27"/>
  <c r="G2594" i="27"/>
  <c r="F2593" i="27"/>
  <c r="G2593" i="27"/>
  <c r="F2592" i="27"/>
  <c r="G2592" i="27"/>
  <c r="F2591" i="27"/>
  <c r="G2591" i="27"/>
  <c r="F2590" i="27"/>
  <c r="G2590" i="27"/>
  <c r="F2589" i="27"/>
  <c r="G2589" i="27"/>
  <c r="F2588" i="27"/>
  <c r="G2588" i="27"/>
  <c r="G2586" i="27"/>
  <c r="F2586" i="27"/>
  <c r="H1698" i="37"/>
  <c r="H1715" i="37"/>
  <c r="H1721" i="37" s="1"/>
  <c r="H1783" i="37"/>
  <c r="H1789" i="37" s="1"/>
  <c r="H1851" i="37"/>
  <c r="H1857" i="37" s="1"/>
  <c r="H1936" i="37"/>
  <c r="H1942" i="37" s="1"/>
  <c r="H1732" i="37"/>
  <c r="H1738" i="37" s="1"/>
  <c r="H1800" i="37"/>
  <c r="H1806" i="37" s="1"/>
  <c r="H1868" i="37"/>
  <c r="H1874" i="37" s="1"/>
  <c r="H1953" i="37"/>
  <c r="H1959" i="37" s="1"/>
  <c r="H1749" i="37"/>
  <c r="H1817" i="37"/>
  <c r="H1823" i="37" s="1"/>
  <c r="H1885" i="37"/>
  <c r="H1902" i="37"/>
  <c r="H1908" i="37" s="1"/>
  <c r="H1766" i="37"/>
  <c r="H1772" i="37" s="1"/>
  <c r="H1834" i="37"/>
  <c r="H1840" i="37" s="1"/>
  <c r="H1919" i="37"/>
  <c r="H1925" i="37" s="1"/>
  <c r="G1842" i="27"/>
  <c r="F1842" i="27"/>
  <c r="G1843" i="27"/>
  <c r="F1843" i="27"/>
  <c r="G1870" i="27"/>
  <c r="F1870" i="27"/>
  <c r="G1869" i="27"/>
  <c r="F1869" i="27"/>
  <c r="G1868" i="27"/>
  <c r="F1868" i="27"/>
  <c r="G1867" i="27"/>
  <c r="F1867" i="27"/>
  <c r="G1866" i="27"/>
  <c r="F1866" i="27"/>
  <c r="G1865" i="27"/>
  <c r="F1865" i="27"/>
  <c r="G1864" i="27"/>
  <c r="F1864" i="27"/>
  <c r="G1863" i="27"/>
  <c r="F1863" i="27"/>
  <c r="G1862" i="27"/>
  <c r="F1862" i="27"/>
  <c r="G1861" i="27"/>
  <c r="F1861" i="27"/>
  <c r="G1860" i="27"/>
  <c r="F1860" i="27"/>
  <c r="G1859" i="27"/>
  <c r="F1859" i="27"/>
  <c r="G1858" i="27"/>
  <c r="F1858" i="27"/>
  <c r="G1857" i="27"/>
  <c r="F1857" i="27"/>
  <c r="G1856" i="27"/>
  <c r="F1856" i="27"/>
  <c r="G1855" i="27"/>
  <c r="F1855" i="27"/>
  <c r="G1854" i="27"/>
  <c r="F1854" i="27"/>
  <c r="G1853" i="27"/>
  <c r="F1853" i="27"/>
  <c r="G1852" i="27"/>
  <c r="F1852" i="27"/>
  <c r="G1851" i="27"/>
  <c r="F1851" i="27"/>
  <c r="G1850" i="27"/>
  <c r="F1850" i="27"/>
  <c r="G1849" i="27"/>
  <c r="F1849" i="27"/>
  <c r="G1848" i="27"/>
  <c r="F1848" i="27"/>
  <c r="G1847" i="27"/>
  <c r="F1847" i="27"/>
  <c r="G1846" i="27"/>
  <c r="F1846" i="27"/>
  <c r="G1845" i="27"/>
  <c r="F1845" i="27"/>
  <c r="G1844" i="27"/>
  <c r="F1844" i="27"/>
  <c r="G1878" i="27"/>
  <c r="F1878" i="27"/>
  <c r="G1877" i="27"/>
  <c r="F1877" i="27"/>
  <c r="G1876" i="27"/>
  <c r="F1876" i="27"/>
  <c r="G1875" i="27"/>
  <c r="F1875" i="27"/>
  <c r="G1874" i="27"/>
  <c r="F1874" i="27"/>
  <c r="G1873" i="27"/>
  <c r="F1873" i="27"/>
  <c r="G1872" i="27"/>
  <c r="F1872" i="27"/>
  <c r="G1871" i="27"/>
  <c r="F1871" i="27"/>
  <c r="G1900" i="27"/>
  <c r="F1900" i="27"/>
  <c r="G1899" i="27"/>
  <c r="F1899" i="27"/>
  <c r="G1898" i="27"/>
  <c r="F1898" i="27"/>
  <c r="G1897" i="27"/>
  <c r="F1897" i="27"/>
  <c r="G1896" i="27"/>
  <c r="F1896" i="27"/>
  <c r="G1895" i="27"/>
  <c r="F1895" i="27"/>
  <c r="G1894" i="27"/>
  <c r="F1894" i="27"/>
  <c r="G1893" i="27"/>
  <c r="F1893" i="27"/>
  <c r="G1892" i="27"/>
  <c r="F1892" i="27"/>
  <c r="G1891" i="27"/>
  <c r="F1891" i="27"/>
  <c r="G1890" i="27"/>
  <c r="F1890" i="27"/>
  <c r="G1889" i="27"/>
  <c r="F1889" i="27"/>
  <c r="G1888" i="27"/>
  <c r="F1888" i="27"/>
  <c r="G1887" i="27"/>
  <c r="F1887" i="27"/>
  <c r="G1886" i="27"/>
  <c r="F1886" i="27"/>
  <c r="G1885" i="27"/>
  <c r="F1885" i="27"/>
  <c r="G1884" i="27"/>
  <c r="F1884" i="27"/>
  <c r="G1883" i="27"/>
  <c r="F1883" i="27"/>
  <c r="G1882" i="27"/>
  <c r="F1882" i="27"/>
  <c r="G1881" i="27"/>
  <c r="F1881" i="27"/>
  <c r="G1880" i="27"/>
  <c r="F1880" i="27"/>
  <c r="G1879" i="27"/>
  <c r="F1879" i="27"/>
  <c r="G1923" i="27"/>
  <c r="F1923" i="27"/>
  <c r="G1922" i="27"/>
  <c r="F1922" i="27"/>
  <c r="G1921" i="27"/>
  <c r="F1921" i="27"/>
  <c r="G1920" i="27"/>
  <c r="F1920" i="27"/>
  <c r="G1919" i="27"/>
  <c r="F1919" i="27"/>
  <c r="G1918" i="27"/>
  <c r="F1918" i="27"/>
  <c r="G1917" i="27"/>
  <c r="F1917" i="27"/>
  <c r="G1916" i="27"/>
  <c r="F1916" i="27"/>
  <c r="G1915" i="27"/>
  <c r="F1915" i="27"/>
  <c r="G1914" i="27"/>
  <c r="F1914" i="27"/>
  <c r="G1913" i="27"/>
  <c r="F1913" i="27"/>
  <c r="G1912" i="27"/>
  <c r="F1912" i="27"/>
  <c r="G1911" i="27"/>
  <c r="F1911" i="27"/>
  <c r="G1910" i="27"/>
  <c r="F1910" i="27"/>
  <c r="G1909" i="27"/>
  <c r="F1909" i="27"/>
  <c r="G1908" i="27"/>
  <c r="F1908" i="27"/>
  <c r="G1907" i="27"/>
  <c r="F1907" i="27"/>
  <c r="G1906" i="27"/>
  <c r="F1906" i="27"/>
  <c r="G1905" i="27"/>
  <c r="F1905" i="27"/>
  <c r="G1904" i="27"/>
  <c r="F1904" i="27"/>
  <c r="G1903" i="27"/>
  <c r="F1903" i="27"/>
  <c r="G1902" i="27"/>
  <c r="F1902" i="27"/>
  <c r="G1901" i="27"/>
  <c r="F1901" i="27"/>
  <c r="G1945" i="27"/>
  <c r="F1945" i="27"/>
  <c r="G1944" i="27"/>
  <c r="F1944" i="27"/>
  <c r="G1943" i="27"/>
  <c r="F1943" i="27"/>
  <c r="G1942" i="27"/>
  <c r="F1942" i="27"/>
  <c r="G1941" i="27"/>
  <c r="F1941" i="27"/>
  <c r="G1940" i="27"/>
  <c r="F1940" i="27"/>
  <c r="G1939" i="27"/>
  <c r="F1939" i="27"/>
  <c r="G1938" i="27"/>
  <c r="F1938" i="27"/>
  <c r="G1937" i="27"/>
  <c r="F1937" i="27"/>
  <c r="G1936" i="27"/>
  <c r="F1936" i="27"/>
  <c r="G1935" i="27"/>
  <c r="F1935" i="27"/>
  <c r="G1934" i="27"/>
  <c r="F1934" i="27"/>
  <c r="G1933" i="27"/>
  <c r="F1933" i="27"/>
  <c r="G1932" i="27"/>
  <c r="F1932" i="27"/>
  <c r="G1931" i="27"/>
  <c r="F1931" i="27"/>
  <c r="G1930" i="27"/>
  <c r="F1930" i="27"/>
  <c r="G1929" i="27"/>
  <c r="F1929" i="27"/>
  <c r="G1928" i="27"/>
  <c r="F1928" i="27"/>
  <c r="G1927" i="27"/>
  <c r="F1927" i="27"/>
  <c r="G1926" i="27"/>
  <c r="F1926" i="27"/>
  <c r="G1925" i="27"/>
  <c r="F1925" i="27"/>
  <c r="G1924" i="27"/>
  <c r="F1924" i="27"/>
  <c r="G1962" i="27"/>
  <c r="F1962" i="27"/>
  <c r="G1961" i="27"/>
  <c r="F1961" i="27"/>
  <c r="G1960" i="27"/>
  <c r="F1960" i="27"/>
  <c r="G1959" i="27"/>
  <c r="F1959" i="27"/>
  <c r="E1958" i="27"/>
  <c r="G1958" i="27"/>
  <c r="F1958" i="27"/>
  <c r="G1957" i="27"/>
  <c r="F1957" i="27"/>
  <c r="G1956" i="27"/>
  <c r="F1956" i="27"/>
  <c r="G1955" i="27"/>
  <c r="F1955" i="27"/>
  <c r="G1954" i="27"/>
  <c r="F1954" i="27"/>
  <c r="G1953" i="27"/>
  <c r="F1953" i="27"/>
  <c r="G1952" i="27"/>
  <c r="F1952" i="27"/>
  <c r="G1951" i="27"/>
  <c r="F1951" i="27"/>
  <c r="G1950" i="27"/>
  <c r="F1950" i="27"/>
  <c r="G1949" i="27"/>
  <c r="F1949" i="27"/>
  <c r="G1948" i="27"/>
  <c r="F1948" i="27"/>
  <c r="G1947" i="27"/>
  <c r="F1947" i="27"/>
  <c r="G1946" i="27"/>
  <c r="F1946" i="27"/>
  <c r="G1963" i="27"/>
  <c r="F1963" i="27"/>
  <c r="G1964" i="27"/>
  <c r="F1964" i="27"/>
  <c r="G1965" i="27"/>
  <c r="F1965" i="27"/>
  <c r="G1966" i="27"/>
  <c r="F1966" i="27"/>
  <c r="G1993" i="27"/>
  <c r="F1993" i="27"/>
  <c r="G1992" i="27"/>
  <c r="F1992" i="27"/>
  <c r="G1991" i="27"/>
  <c r="F1991" i="27"/>
  <c r="G1990" i="27"/>
  <c r="F1990" i="27"/>
  <c r="G1989" i="27"/>
  <c r="F1989" i="27"/>
  <c r="G1988" i="27"/>
  <c r="F1988" i="27"/>
  <c r="G1987" i="27"/>
  <c r="F1987" i="27"/>
  <c r="G1986" i="27"/>
  <c r="F1986" i="27"/>
  <c r="G1985" i="27"/>
  <c r="F1985" i="27"/>
  <c r="G1984" i="27"/>
  <c r="F1984" i="27"/>
  <c r="G1983" i="27"/>
  <c r="F1983" i="27"/>
  <c r="G1982" i="27"/>
  <c r="F1982" i="27"/>
  <c r="G1981" i="27"/>
  <c r="F1981" i="27"/>
  <c r="G1980" i="27"/>
  <c r="F1980" i="27"/>
  <c r="E1980" i="27"/>
  <c r="G1979" i="27"/>
  <c r="F1979" i="27"/>
  <c r="G1978" i="27"/>
  <c r="F1978" i="27"/>
  <c r="G1977" i="27"/>
  <c r="F1977" i="27"/>
  <c r="G1976" i="27"/>
  <c r="F1976" i="27"/>
  <c r="G1975" i="27"/>
  <c r="F1975" i="27"/>
  <c r="G1974" i="27"/>
  <c r="F1974" i="27"/>
  <c r="G1973" i="27"/>
  <c r="F1973" i="27"/>
  <c r="G1972" i="27"/>
  <c r="F1972" i="27"/>
  <c r="G1971" i="27"/>
  <c r="F1971" i="27"/>
  <c r="G1970" i="27"/>
  <c r="F1970" i="27"/>
  <c r="G1969" i="27"/>
  <c r="F1969" i="27"/>
  <c r="G1968" i="27"/>
  <c r="F1968" i="27"/>
  <c r="G1967" i="27"/>
  <c r="F1967" i="27"/>
  <c r="G2025" i="27"/>
  <c r="F2025" i="27"/>
  <c r="G2024" i="27"/>
  <c r="F2024" i="27"/>
  <c r="G2023" i="27"/>
  <c r="F2023" i="27"/>
  <c r="G2022" i="27"/>
  <c r="F2022" i="27"/>
  <c r="G2021" i="27"/>
  <c r="F2021" i="27"/>
  <c r="G2020" i="27"/>
  <c r="F2020" i="27"/>
  <c r="G2019" i="27"/>
  <c r="F2019" i="27"/>
  <c r="G2018" i="27"/>
  <c r="F2018" i="27"/>
  <c r="G2017" i="27"/>
  <c r="F2017" i="27"/>
  <c r="G2016" i="27"/>
  <c r="F2016" i="27"/>
  <c r="G2015" i="27"/>
  <c r="F2015" i="27"/>
  <c r="G2014" i="27"/>
  <c r="F2014" i="27"/>
  <c r="G2013" i="27"/>
  <c r="F2013" i="27"/>
  <c r="G2012" i="27"/>
  <c r="F2012" i="27"/>
  <c r="G2011" i="27"/>
  <c r="F2011" i="27"/>
  <c r="G2010" i="27"/>
  <c r="F2010" i="27"/>
  <c r="G2009" i="27"/>
  <c r="F2009" i="27"/>
  <c r="G2008" i="27"/>
  <c r="F2008" i="27"/>
  <c r="G2007" i="27"/>
  <c r="F2007" i="27"/>
  <c r="G2006" i="27"/>
  <c r="F2006" i="27"/>
  <c r="G2005" i="27"/>
  <c r="F2005" i="27"/>
  <c r="G2004" i="27"/>
  <c r="F2004" i="27"/>
  <c r="G2003" i="27"/>
  <c r="F2003" i="27"/>
  <c r="G2002" i="27"/>
  <c r="F2002" i="27"/>
  <c r="G2001" i="27"/>
  <c r="F2001" i="27"/>
  <c r="G2000" i="27"/>
  <c r="F2000" i="27"/>
  <c r="G1999" i="27"/>
  <c r="F1999" i="27"/>
  <c r="G1998" i="27"/>
  <c r="F1998" i="27"/>
  <c r="G1997" i="27"/>
  <c r="F1997" i="27"/>
  <c r="G1996" i="27"/>
  <c r="F1996" i="27"/>
  <c r="G1995" i="27"/>
  <c r="F1995" i="27"/>
  <c r="G1994" i="27"/>
  <c r="F1994" i="27"/>
  <c r="G2047" i="27"/>
  <c r="F2047" i="27"/>
  <c r="G2046" i="27"/>
  <c r="F2046" i="27"/>
  <c r="G2045" i="27"/>
  <c r="F2045" i="27"/>
  <c r="G2044" i="27"/>
  <c r="F2044" i="27"/>
  <c r="G2043" i="27"/>
  <c r="F2043" i="27"/>
  <c r="G2042" i="27"/>
  <c r="F2042" i="27"/>
  <c r="G2041" i="27"/>
  <c r="F2041" i="27"/>
  <c r="G2040" i="27"/>
  <c r="F2040" i="27"/>
  <c r="G2039" i="27"/>
  <c r="F2039" i="27"/>
  <c r="G2038" i="27"/>
  <c r="F2038" i="27"/>
  <c r="G2037" i="27"/>
  <c r="F2037" i="27"/>
  <c r="G2036" i="27"/>
  <c r="F2036" i="27"/>
  <c r="G2035" i="27"/>
  <c r="F2035" i="27"/>
  <c r="G2034" i="27"/>
  <c r="F2034" i="27"/>
  <c r="G2033" i="27"/>
  <c r="F2033" i="27"/>
  <c r="G2032" i="27"/>
  <c r="F2032" i="27"/>
  <c r="G2031" i="27"/>
  <c r="F2031" i="27"/>
  <c r="G2030" i="27"/>
  <c r="F2030" i="27"/>
  <c r="G2029" i="27"/>
  <c r="F2029" i="27"/>
  <c r="G2028" i="27"/>
  <c r="F2028" i="27"/>
  <c r="G2027" i="27"/>
  <c r="F2027" i="27"/>
  <c r="G2026" i="27"/>
  <c r="F2026" i="27"/>
  <c r="G2083" i="27"/>
  <c r="F2083" i="27"/>
  <c r="G2082" i="27"/>
  <c r="F2082" i="27"/>
  <c r="G2081" i="27"/>
  <c r="F2081" i="27"/>
  <c r="G2080" i="27"/>
  <c r="F2080" i="27"/>
  <c r="G2079" i="27"/>
  <c r="F2079" i="27"/>
  <c r="G2078" i="27"/>
  <c r="F2078" i="27"/>
  <c r="G2077" i="27"/>
  <c r="F2077" i="27"/>
  <c r="G2076" i="27"/>
  <c r="F2076" i="27"/>
  <c r="G2075" i="27"/>
  <c r="F2075" i="27"/>
  <c r="G2074" i="27"/>
  <c r="F2074" i="27"/>
  <c r="G2073" i="27"/>
  <c r="F2073" i="27"/>
  <c r="G2072" i="27"/>
  <c r="F2072" i="27"/>
  <c r="G2071" i="27"/>
  <c r="F2071" i="27"/>
  <c r="G2070" i="27"/>
  <c r="F2070" i="27"/>
  <c r="G2069" i="27"/>
  <c r="F2069" i="27"/>
  <c r="G2068" i="27"/>
  <c r="F2068" i="27"/>
  <c r="G2067" i="27"/>
  <c r="F2067" i="27"/>
  <c r="G2066" i="27"/>
  <c r="F2066" i="27"/>
  <c r="G2065" i="27"/>
  <c r="F2065" i="27"/>
  <c r="G2064" i="27"/>
  <c r="F2064" i="27"/>
  <c r="G2063" i="27"/>
  <c r="F2063" i="27"/>
  <c r="G2062" i="27"/>
  <c r="F2062" i="27"/>
  <c r="G2061" i="27"/>
  <c r="F2061" i="27"/>
  <c r="G2060" i="27"/>
  <c r="F2060" i="27"/>
  <c r="G2059" i="27"/>
  <c r="F2059" i="27"/>
  <c r="G2058" i="27"/>
  <c r="F2058" i="27"/>
  <c r="G2057" i="27"/>
  <c r="F2057" i="27"/>
  <c r="G2056" i="27"/>
  <c r="F2056" i="27"/>
  <c r="G2055" i="27"/>
  <c r="F2055" i="27"/>
  <c r="G2054" i="27"/>
  <c r="F2054" i="27"/>
  <c r="G2053" i="27"/>
  <c r="F2053" i="27"/>
  <c r="G2052" i="27"/>
  <c r="F2052" i="27"/>
  <c r="G2051" i="27"/>
  <c r="F2051" i="27"/>
  <c r="G2050" i="27"/>
  <c r="F2050" i="27"/>
  <c r="G2049" i="27"/>
  <c r="F2049" i="27"/>
  <c r="G2048" i="27"/>
  <c r="F2048" i="27"/>
  <c r="G2107" i="27"/>
  <c r="F2107" i="27"/>
  <c r="G2106" i="27"/>
  <c r="F2106" i="27"/>
  <c r="G2105" i="27"/>
  <c r="F2105" i="27"/>
  <c r="G2104" i="27"/>
  <c r="F2104" i="27"/>
  <c r="G2103" i="27"/>
  <c r="F2103" i="27"/>
  <c r="G2102" i="27"/>
  <c r="F2102" i="27"/>
  <c r="G2101" i="27"/>
  <c r="F2101" i="27"/>
  <c r="G2100" i="27"/>
  <c r="F2100" i="27"/>
  <c r="G2099" i="27"/>
  <c r="F2099" i="27"/>
  <c r="G2098" i="27"/>
  <c r="F2098" i="27"/>
  <c r="G2097" i="27"/>
  <c r="F2097" i="27"/>
  <c r="G2096" i="27"/>
  <c r="F2096" i="27"/>
  <c r="G2095" i="27"/>
  <c r="F2095" i="27"/>
  <c r="G2094" i="27"/>
  <c r="F2094" i="27"/>
  <c r="G2093" i="27"/>
  <c r="F2093" i="27"/>
  <c r="G2092" i="27"/>
  <c r="F2092" i="27"/>
  <c r="G2091" i="27"/>
  <c r="F2091" i="27"/>
  <c r="G2090" i="27"/>
  <c r="F2090" i="27"/>
  <c r="G2089" i="27"/>
  <c r="F2089" i="27"/>
  <c r="G2088" i="27"/>
  <c r="F2088" i="27"/>
  <c r="G2087" i="27"/>
  <c r="F2087" i="27"/>
  <c r="G2086" i="27"/>
  <c r="F2086" i="27"/>
  <c r="G2085" i="27"/>
  <c r="F2085" i="27"/>
  <c r="G2084" i="27"/>
  <c r="F2084" i="27"/>
  <c r="G2131" i="27"/>
  <c r="F2131" i="27"/>
  <c r="G2130" i="27"/>
  <c r="F2130" i="27"/>
  <c r="G2129" i="27"/>
  <c r="F2129" i="27"/>
  <c r="G2128" i="27"/>
  <c r="F2128" i="27"/>
  <c r="G2127" i="27"/>
  <c r="F2127" i="27"/>
  <c r="G2126" i="27"/>
  <c r="F2126" i="27"/>
  <c r="G2125" i="27"/>
  <c r="F2125" i="27"/>
  <c r="G2124" i="27"/>
  <c r="F2124" i="27"/>
  <c r="G2123" i="27"/>
  <c r="F2123" i="27"/>
  <c r="G2122" i="27"/>
  <c r="F2122" i="27"/>
  <c r="G2121" i="27"/>
  <c r="F2121" i="27"/>
  <c r="G2120" i="27"/>
  <c r="F2120" i="27"/>
  <c r="G2119" i="27"/>
  <c r="F2119" i="27"/>
  <c r="G2118" i="27"/>
  <c r="F2118" i="27"/>
  <c r="G2117" i="27"/>
  <c r="F2117" i="27"/>
  <c r="G2116" i="27"/>
  <c r="F2116" i="27"/>
  <c r="G2115" i="27"/>
  <c r="F2115" i="27"/>
  <c r="G2114" i="27"/>
  <c r="F2114" i="27"/>
  <c r="G2113" i="27"/>
  <c r="F2113" i="27"/>
  <c r="G2112" i="27"/>
  <c r="F2112" i="27"/>
  <c r="G2111" i="27"/>
  <c r="F2111" i="27"/>
  <c r="G2110" i="27"/>
  <c r="F2110" i="27"/>
  <c r="G2109" i="27"/>
  <c r="F2109" i="27"/>
  <c r="G2108" i="27"/>
  <c r="F2108" i="27"/>
  <c r="G2162" i="27"/>
  <c r="F2162" i="27"/>
  <c r="G2161" i="27"/>
  <c r="F2161" i="27"/>
  <c r="G2160" i="27"/>
  <c r="F2160" i="27"/>
  <c r="G2159" i="27"/>
  <c r="F2159" i="27"/>
  <c r="G2158" i="27"/>
  <c r="F2158" i="27"/>
  <c r="G2157" i="27"/>
  <c r="F2157" i="27"/>
  <c r="G2156" i="27"/>
  <c r="F2156" i="27"/>
  <c r="G2155" i="27"/>
  <c r="F2155" i="27"/>
  <c r="G2154" i="27"/>
  <c r="F2154" i="27"/>
  <c r="G2153" i="27"/>
  <c r="F2153" i="27"/>
  <c r="G2152" i="27"/>
  <c r="F2152" i="27"/>
  <c r="G2151" i="27"/>
  <c r="F2151" i="27"/>
  <c r="G2150" i="27"/>
  <c r="F2150" i="27"/>
  <c r="G2149" i="27"/>
  <c r="F2149" i="27"/>
  <c r="G2148" i="27"/>
  <c r="F2148" i="27"/>
  <c r="G2147" i="27"/>
  <c r="F2147" i="27"/>
  <c r="G2146" i="27"/>
  <c r="F2146" i="27"/>
  <c r="G2145" i="27"/>
  <c r="F2145" i="27"/>
  <c r="G2144" i="27"/>
  <c r="F2144" i="27"/>
  <c r="G2143" i="27"/>
  <c r="F2143" i="27"/>
  <c r="G2142" i="27"/>
  <c r="F2142" i="27"/>
  <c r="G2141" i="27"/>
  <c r="F2141" i="27"/>
  <c r="G2140" i="27"/>
  <c r="F2140" i="27"/>
  <c r="G2139" i="27"/>
  <c r="F2139" i="27"/>
  <c r="G2138" i="27"/>
  <c r="F2138" i="27"/>
  <c r="G2137" i="27"/>
  <c r="F2137" i="27"/>
  <c r="G2136" i="27"/>
  <c r="F2136" i="27"/>
  <c r="G2135" i="27"/>
  <c r="F2135" i="27"/>
  <c r="G2134" i="27"/>
  <c r="F2134" i="27"/>
  <c r="G2133" i="27"/>
  <c r="F2133" i="27"/>
  <c r="G2132" i="27"/>
  <c r="F2132" i="27"/>
  <c r="F2174" i="27"/>
  <c r="G2174" i="27"/>
  <c r="G2173" i="27"/>
  <c r="F2173" i="27"/>
  <c r="G2172" i="27"/>
  <c r="F2172" i="27"/>
  <c r="G2171" i="27"/>
  <c r="F2171" i="27"/>
  <c r="G2170" i="27"/>
  <c r="F2170" i="27"/>
  <c r="G2169" i="27"/>
  <c r="F2169" i="27"/>
  <c r="G2168" i="27"/>
  <c r="F2168" i="27"/>
  <c r="G2167" i="27"/>
  <c r="F2167" i="27"/>
  <c r="G2166" i="27"/>
  <c r="F2166" i="27"/>
  <c r="G2165" i="27"/>
  <c r="F2165" i="27"/>
  <c r="G2164" i="27"/>
  <c r="F2164" i="27"/>
  <c r="G2163" i="27"/>
  <c r="F2163" i="27"/>
  <c r="G2176" i="27"/>
  <c r="F2176" i="27"/>
  <c r="G2177" i="27"/>
  <c r="F2177" i="27"/>
  <c r="G2178" i="27"/>
  <c r="F2178" i="27"/>
  <c r="G2179" i="27"/>
  <c r="F2179" i="27"/>
  <c r="G2180" i="27"/>
  <c r="F2180" i="27"/>
  <c r="G2181" i="27"/>
  <c r="F2181" i="27"/>
  <c r="G2207" i="27"/>
  <c r="F2207" i="27"/>
  <c r="G2206" i="27"/>
  <c r="F2206" i="27"/>
  <c r="G2205" i="27"/>
  <c r="F2205" i="27"/>
  <c r="G2204" i="27"/>
  <c r="F2204" i="27"/>
  <c r="G2203" i="27"/>
  <c r="F2203" i="27"/>
  <c r="G2202" i="27"/>
  <c r="F2202" i="27"/>
  <c r="G2201" i="27"/>
  <c r="F2201" i="27"/>
  <c r="G2200" i="27"/>
  <c r="F2200" i="27"/>
  <c r="G2199" i="27"/>
  <c r="F2199" i="27"/>
  <c r="G2198" i="27"/>
  <c r="F2198" i="27"/>
  <c r="G2197" i="27"/>
  <c r="F2197" i="27"/>
  <c r="G2196" i="27"/>
  <c r="F2196" i="27"/>
  <c r="G2195" i="27"/>
  <c r="F2195" i="27"/>
  <c r="G2194" i="27"/>
  <c r="F2194" i="27"/>
  <c r="G2193" i="27"/>
  <c r="F2193" i="27"/>
  <c r="G2192" i="27"/>
  <c r="F2192" i="27"/>
  <c r="G2191" i="27"/>
  <c r="F2191" i="27"/>
  <c r="G2190" i="27"/>
  <c r="F2190" i="27"/>
  <c r="G2189" i="27"/>
  <c r="F2189" i="27"/>
  <c r="G2188" i="27"/>
  <c r="F2188" i="27"/>
  <c r="G2187" i="27"/>
  <c r="F2187" i="27"/>
  <c r="G2186" i="27"/>
  <c r="F2186" i="27"/>
  <c r="G2185" i="27"/>
  <c r="F2185" i="27"/>
  <c r="G2184" i="27"/>
  <c r="F2184" i="27"/>
  <c r="G2183" i="27"/>
  <c r="F2183" i="27"/>
  <c r="G2182" i="27"/>
  <c r="F2182" i="27"/>
  <c r="G2208" i="27"/>
  <c r="F2208" i="27"/>
  <c r="G2209" i="27"/>
  <c r="F2209" i="27"/>
  <c r="G2221" i="27"/>
  <c r="F2221" i="27"/>
  <c r="G2220" i="27"/>
  <c r="F2220" i="27"/>
  <c r="G2219" i="27"/>
  <c r="F2219" i="27"/>
  <c r="G2218" i="27"/>
  <c r="F2218" i="27"/>
  <c r="G2217" i="27"/>
  <c r="F2217" i="27"/>
  <c r="G2216" i="27"/>
  <c r="F2216" i="27"/>
  <c r="G2215" i="27"/>
  <c r="F2215" i="27"/>
  <c r="G2214" i="27"/>
  <c r="F2214" i="27"/>
  <c r="G2213" i="27"/>
  <c r="F2213" i="27"/>
  <c r="G2212" i="27"/>
  <c r="F2212" i="27"/>
  <c r="G2211" i="27"/>
  <c r="F2211" i="27"/>
  <c r="E2210" i="27"/>
  <c r="G2210" i="27"/>
  <c r="F2210" i="27"/>
  <c r="G2244" i="27"/>
  <c r="F2244" i="27"/>
  <c r="G2243" i="27"/>
  <c r="F2243" i="27"/>
  <c r="G2242" i="27"/>
  <c r="F2242" i="27"/>
  <c r="G2241" i="27"/>
  <c r="F2241" i="27"/>
  <c r="G2240" i="27"/>
  <c r="F2240" i="27"/>
  <c r="G2239" i="27"/>
  <c r="F2239" i="27"/>
  <c r="G2238" i="27"/>
  <c r="F2238" i="27"/>
  <c r="G2237" i="27"/>
  <c r="F2237" i="27"/>
  <c r="G2236" i="27"/>
  <c r="F2236" i="27"/>
  <c r="G2235" i="27"/>
  <c r="F2235" i="27"/>
  <c r="G2234" i="27"/>
  <c r="F2234" i="27"/>
  <c r="G2233" i="27"/>
  <c r="F2233" i="27"/>
  <c r="G2232" i="27"/>
  <c r="F2232" i="27"/>
  <c r="G2231" i="27"/>
  <c r="F2231" i="27"/>
  <c r="G2230" i="27"/>
  <c r="F2230" i="27"/>
  <c r="G2229" i="27"/>
  <c r="F2229" i="27"/>
  <c r="G2228" i="27"/>
  <c r="F2228" i="27"/>
  <c r="G2227" i="27"/>
  <c r="F2227" i="27"/>
  <c r="G2226" i="27"/>
  <c r="F2226" i="27"/>
  <c r="G2225" i="27"/>
  <c r="F2225" i="27"/>
  <c r="G2224" i="27"/>
  <c r="F2224" i="27"/>
  <c r="G2223" i="27"/>
  <c r="F2223" i="27"/>
  <c r="G2222" i="27"/>
  <c r="F2222" i="27"/>
  <c r="G2266" i="27"/>
  <c r="F2266" i="27"/>
  <c r="G2265" i="27"/>
  <c r="F2265" i="27"/>
  <c r="G2264" i="27"/>
  <c r="F2264" i="27"/>
  <c r="G2263" i="27"/>
  <c r="F2263" i="27"/>
  <c r="G2262" i="27"/>
  <c r="F2262" i="27"/>
  <c r="G2261" i="27"/>
  <c r="F2261" i="27"/>
  <c r="G2260" i="27"/>
  <c r="F2260" i="27"/>
  <c r="G2259" i="27"/>
  <c r="F2259" i="27"/>
  <c r="G2258" i="27"/>
  <c r="F2258" i="27"/>
  <c r="G2257" i="27"/>
  <c r="F2257" i="27"/>
  <c r="G2256" i="27"/>
  <c r="F2256" i="27"/>
  <c r="G2255" i="27"/>
  <c r="F2255" i="27"/>
  <c r="G2254" i="27"/>
  <c r="F2254" i="27"/>
  <c r="G2253" i="27"/>
  <c r="F2253" i="27"/>
  <c r="G2252" i="27"/>
  <c r="F2252" i="27"/>
  <c r="G2251" i="27"/>
  <c r="F2251" i="27"/>
  <c r="G2250" i="27"/>
  <c r="F2250" i="27"/>
  <c r="G2249" i="27"/>
  <c r="F2249" i="27"/>
  <c r="G2248" i="27"/>
  <c r="F2248" i="27"/>
  <c r="G2247" i="27"/>
  <c r="F2247" i="27"/>
  <c r="G2246" i="27"/>
  <c r="F2246" i="27"/>
  <c r="G2245" i="27"/>
  <c r="F2245" i="27"/>
  <c r="G2290" i="27"/>
  <c r="F2290" i="27"/>
  <c r="G2289" i="27"/>
  <c r="F2289" i="27"/>
  <c r="G2288" i="27"/>
  <c r="F2288" i="27"/>
  <c r="G2287" i="27"/>
  <c r="F2287" i="27"/>
  <c r="G2286" i="27"/>
  <c r="F2286" i="27"/>
  <c r="G2285" i="27"/>
  <c r="F2285" i="27"/>
  <c r="G2284" i="27"/>
  <c r="F2284" i="27"/>
  <c r="G2283" i="27"/>
  <c r="F2283" i="27"/>
  <c r="G2282" i="27"/>
  <c r="F2282" i="27"/>
  <c r="G2281" i="27"/>
  <c r="F2281" i="27"/>
  <c r="G2280" i="27"/>
  <c r="F2280" i="27"/>
  <c r="G2279" i="27"/>
  <c r="F2279" i="27"/>
  <c r="G2278" i="27"/>
  <c r="F2278" i="27"/>
  <c r="G2277" i="27"/>
  <c r="F2277" i="27"/>
  <c r="G2276" i="27"/>
  <c r="F2276" i="27"/>
  <c r="G2275" i="27"/>
  <c r="F2275" i="27"/>
  <c r="G2274" i="27"/>
  <c r="F2274" i="27"/>
  <c r="G2273" i="27"/>
  <c r="F2273" i="27"/>
  <c r="G2272" i="27"/>
  <c r="F2272" i="27"/>
  <c r="G2271" i="27"/>
  <c r="F2271" i="27"/>
  <c r="G2270" i="27"/>
  <c r="F2270" i="27"/>
  <c r="G2269" i="27"/>
  <c r="F2269" i="27"/>
  <c r="G2268" i="27"/>
  <c r="F2268" i="27"/>
  <c r="G2267" i="27"/>
  <c r="F2267" i="27"/>
  <c r="G2309" i="27"/>
  <c r="F2309" i="27"/>
  <c r="G2308" i="27"/>
  <c r="F2308" i="27"/>
  <c r="G2307" i="27"/>
  <c r="F2307" i="27"/>
  <c r="G2306" i="27"/>
  <c r="F2306" i="27"/>
  <c r="G2305" i="27"/>
  <c r="F2305" i="27"/>
  <c r="G2304" i="27"/>
  <c r="F2304" i="27"/>
  <c r="G2303" i="27"/>
  <c r="F2303" i="27"/>
  <c r="G2302" i="27"/>
  <c r="F2302" i="27"/>
  <c r="G2301" i="27"/>
  <c r="F2301" i="27"/>
  <c r="G2300" i="27"/>
  <c r="F2300" i="27"/>
  <c r="G2299" i="27"/>
  <c r="F2299" i="27"/>
  <c r="G2298" i="27"/>
  <c r="F2298" i="27"/>
  <c r="G2297" i="27"/>
  <c r="F2297" i="27"/>
  <c r="G2296" i="27"/>
  <c r="F2296" i="27"/>
  <c r="G2295" i="27"/>
  <c r="F2295" i="27"/>
  <c r="G2294" i="27"/>
  <c r="F2294" i="27"/>
  <c r="G2293" i="27"/>
  <c r="F2293" i="27"/>
  <c r="G2292" i="27"/>
  <c r="F2292" i="27"/>
  <c r="G2291" i="27"/>
  <c r="F2291" i="27"/>
  <c r="H1755" i="37"/>
  <c r="H7404" i="43"/>
  <c r="H7459" i="43"/>
  <c r="H6760" i="43"/>
  <c r="H6778" i="43"/>
  <c r="H7083" i="43"/>
  <c r="H7267" i="43"/>
  <c r="H7472" i="43"/>
  <c r="H7631" i="43"/>
  <c r="H7682" i="43"/>
  <c r="H7687" i="43" s="1"/>
  <c r="H68" i="20"/>
  <c r="H74" i="20" s="1"/>
  <c r="H7422" i="43"/>
  <c r="H4342" i="26"/>
  <c r="H4348" i="26" s="1"/>
  <c r="H4349" i="26" s="1"/>
  <c r="H4350" i="26" s="1"/>
  <c r="I4335" i="26" s="1"/>
  <c r="F1820" i="27"/>
  <c r="G1820" i="27"/>
  <c r="H2777" i="26"/>
  <c r="H2783" i="26" s="1"/>
  <c r="H2811" i="26"/>
  <c r="H2817" i="26" s="1"/>
  <c r="H2845" i="26"/>
  <c r="H2851" i="26" s="1"/>
  <c r="H2879" i="26"/>
  <c r="H2885" i="26" s="1"/>
  <c r="H2913" i="26"/>
  <c r="H2919" i="26" s="1"/>
  <c r="H2999" i="26"/>
  <c r="H3005" i="26" s="1"/>
  <c r="H3033" i="26"/>
  <c r="H3039" i="26" s="1"/>
  <c r="H3067" i="26"/>
  <c r="H3073" i="26" s="1"/>
  <c r="H3101" i="26"/>
  <c r="H3107" i="26" s="1"/>
  <c r="H3135" i="26"/>
  <c r="H3141" i="26" s="1"/>
  <c r="H3169" i="26"/>
  <c r="H3175" i="26" s="1"/>
  <c r="H3220" i="26"/>
  <c r="H3226" i="26" s="1"/>
  <c r="H3458" i="26"/>
  <c r="H3464" i="26" s="1"/>
  <c r="H3492" i="26"/>
  <c r="H3498" i="26" s="1"/>
  <c r="H3526" i="26"/>
  <c r="H3532" i="26" s="1"/>
  <c r="H3560" i="26"/>
  <c r="H3566" i="26" s="1"/>
  <c r="H3594" i="26"/>
  <c r="H3600" i="26" s="1"/>
  <c r="H3628" i="26"/>
  <c r="H3634" i="26" s="1"/>
  <c r="H3662" i="26"/>
  <c r="H3668" i="26" s="1"/>
  <c r="H3696" i="26"/>
  <c r="H3702" i="26" s="1"/>
  <c r="H3730" i="26"/>
  <c r="H3736" i="26" s="1"/>
  <c r="H3764" i="26"/>
  <c r="H3770" i="26" s="1"/>
  <c r="H3798" i="26"/>
  <c r="H3804" i="26" s="1"/>
  <c r="H3832" i="26"/>
  <c r="H3838" i="26" s="1"/>
  <c r="H3866" i="26"/>
  <c r="H3872" i="26" s="1"/>
  <c r="H3900" i="26"/>
  <c r="H3906" i="26" s="1"/>
  <c r="H3934" i="26"/>
  <c r="H3940" i="26" s="1"/>
  <c r="H3968" i="26"/>
  <c r="H3974" i="26" s="1"/>
  <c r="H4002" i="26"/>
  <c r="H4008" i="26" s="1"/>
  <c r="H4036" i="26"/>
  <c r="H4042" i="26" s="1"/>
  <c r="H4070" i="26"/>
  <c r="H4076" i="26" s="1"/>
  <c r="H4104" i="26"/>
  <c r="H4110" i="26" s="1"/>
  <c r="H4138" i="26"/>
  <c r="H4144" i="26" s="1"/>
  <c r="H4172" i="26"/>
  <c r="H4178" i="26" s="1"/>
  <c r="H4206" i="26"/>
  <c r="H4212" i="26" s="1"/>
  <c r="H4240" i="26"/>
  <c r="H4246" i="26" s="1"/>
  <c r="H4274" i="26"/>
  <c r="H4280" i="26" s="1"/>
  <c r="H4308" i="26"/>
  <c r="H4314" i="26" s="1"/>
  <c r="H4359" i="26"/>
  <c r="H4365" i="26" s="1"/>
  <c r="H4393" i="26"/>
  <c r="H4399" i="26" s="1"/>
  <c r="H5074" i="26"/>
  <c r="H6797" i="43"/>
  <c r="H331" i="43"/>
  <c r="H454" i="43"/>
  <c r="H577" i="43"/>
  <c r="H810" i="43"/>
  <c r="H1142" i="43"/>
  <c r="H1310" i="43"/>
  <c r="H3046" i="43"/>
  <c r="H3438" i="43"/>
  <c r="H3943" i="43"/>
  <c r="H4090" i="43"/>
  <c r="H6448" i="43"/>
  <c r="H6585" i="43"/>
  <c r="H6668" i="43"/>
  <c r="H6720" i="43"/>
  <c r="H6738" i="43"/>
  <c r="H6815" i="43"/>
  <c r="H6833" i="43"/>
  <c r="H6851" i="43"/>
  <c r="H6869" i="43"/>
  <c r="H7066" i="43"/>
  <c r="H7250" i="43"/>
  <c r="H3118" i="26"/>
  <c r="H3124" i="26" s="1"/>
  <c r="H3152" i="26"/>
  <c r="H3158" i="26" s="1"/>
  <c r="H3186" i="26"/>
  <c r="H3192" i="26" s="1"/>
  <c r="H3475" i="26"/>
  <c r="H3481" i="26" s="1"/>
  <c r="H3509" i="26"/>
  <c r="H3515" i="26" s="1"/>
  <c r="H3543" i="26"/>
  <c r="H3549" i="26" s="1"/>
  <c r="H3577" i="26"/>
  <c r="H3583" i="26" s="1"/>
  <c r="H3611" i="26"/>
  <c r="H3617" i="26" s="1"/>
  <c r="H3645" i="26"/>
  <c r="H3651" i="26" s="1"/>
  <c r="H3679" i="26"/>
  <c r="H3685" i="26" s="1"/>
  <c r="H3713" i="26"/>
  <c r="H3719" i="26" s="1"/>
  <c r="H3747" i="26"/>
  <c r="H3753" i="26" s="1"/>
  <c r="H3781" i="26"/>
  <c r="H3787" i="26" s="1"/>
  <c r="H3815" i="26"/>
  <c r="H3821" i="26" s="1"/>
  <c r="H3849" i="26"/>
  <c r="H3855" i="26" s="1"/>
  <c r="H3883" i="26"/>
  <c r="H3889" i="26" s="1"/>
  <c r="H3917" i="26"/>
  <c r="H3923" i="26" s="1"/>
  <c r="H3951" i="26"/>
  <c r="H3957" i="26" s="1"/>
  <c r="H3985" i="26"/>
  <c r="H3991" i="26" s="1"/>
  <c r="H4019" i="26"/>
  <c r="H4025" i="26" s="1"/>
  <c r="H4053" i="26"/>
  <c r="H4059" i="26" s="1"/>
  <c r="H4087" i="26"/>
  <c r="H4093" i="26" s="1"/>
  <c r="H4121" i="26"/>
  <c r="H4127" i="26" s="1"/>
  <c r="H4155" i="26"/>
  <c r="H4161" i="26" s="1"/>
  <c r="H4189" i="26"/>
  <c r="H4195" i="26" s="1"/>
  <c r="H4223" i="26"/>
  <c r="H4229" i="26" s="1"/>
  <c r="H4257" i="26"/>
  <c r="H4263" i="26" s="1"/>
  <c r="H4291" i="26"/>
  <c r="H4297" i="26" s="1"/>
  <c r="H4325" i="26"/>
  <c r="H4331" i="26" s="1"/>
  <c r="H4376" i="26"/>
  <c r="H4382" i="26" s="1"/>
  <c r="H4858" i="26"/>
  <c r="E1820" i="27"/>
  <c r="G1839" i="27"/>
  <c r="H6500" i="26"/>
  <c r="H6506" i="26" s="1"/>
  <c r="H79" i="8"/>
  <c r="H152" i="8"/>
  <c r="H392" i="43"/>
  <c r="H523" i="43"/>
  <c r="H517" i="43"/>
  <c r="H635" i="43"/>
  <c r="H695" i="43"/>
  <c r="H752" i="43"/>
  <c r="G1779" i="27"/>
  <c r="F1779" i="27"/>
  <c r="G1780" i="27"/>
  <c r="F1780" i="27"/>
  <c r="G1716" i="27"/>
  <c r="F1716" i="27"/>
  <c r="G1727" i="27"/>
  <c r="F1727" i="27"/>
  <c r="G1726" i="27"/>
  <c r="F1726" i="27"/>
  <c r="G1725" i="27"/>
  <c r="F1725" i="27"/>
  <c r="G1724" i="27"/>
  <c r="F1724" i="27"/>
  <c r="G1723" i="27"/>
  <c r="F1723" i="27"/>
  <c r="G1722" i="27"/>
  <c r="F1722" i="27"/>
  <c r="G1721" i="27"/>
  <c r="F1721" i="27"/>
  <c r="G1720" i="27"/>
  <c r="F1720" i="27"/>
  <c r="G1719" i="27"/>
  <c r="F1719" i="27"/>
  <c r="G1718" i="27"/>
  <c r="F1718" i="27"/>
  <c r="G1717" i="27"/>
  <c r="F1717" i="27"/>
  <c r="G1153" i="27"/>
  <c r="F1153" i="27"/>
  <c r="G1154" i="27"/>
  <c r="F1154" i="27"/>
  <c r="H7400" i="43"/>
  <c r="H7418" i="43"/>
  <c r="G833" i="27"/>
  <c r="F833" i="27"/>
  <c r="F834" i="27"/>
  <c r="G834" i="27"/>
  <c r="E834" i="27"/>
  <c r="F835" i="27"/>
  <c r="G835" i="27"/>
  <c r="F836" i="27"/>
  <c r="G836" i="27"/>
  <c r="E836" i="27"/>
  <c r="F837" i="27"/>
  <c r="G837" i="27"/>
  <c r="F838" i="27"/>
  <c r="G838" i="27"/>
  <c r="E838" i="27"/>
  <c r="F839" i="27"/>
  <c r="G839" i="27"/>
  <c r="E840" i="27"/>
  <c r="F840" i="27"/>
  <c r="G840" i="27"/>
  <c r="F841" i="27"/>
  <c r="G841" i="27"/>
  <c r="E841" i="27"/>
  <c r="F842" i="27"/>
  <c r="G842" i="27"/>
  <c r="E842" i="27"/>
  <c r="F843" i="27"/>
  <c r="G843" i="27"/>
  <c r="F844" i="27"/>
  <c r="G844" i="27"/>
  <c r="F845" i="27"/>
  <c r="G845" i="27"/>
  <c r="F846" i="27"/>
  <c r="G846" i="27"/>
  <c r="F847" i="27"/>
  <c r="G847" i="27"/>
  <c r="F848" i="27"/>
  <c r="G848" i="27"/>
  <c r="F849" i="27"/>
  <c r="G849" i="27"/>
  <c r="F850" i="27"/>
  <c r="G850" i="27"/>
  <c r="F851" i="27"/>
  <c r="G851" i="27"/>
  <c r="F852" i="27"/>
  <c r="G852" i="27"/>
  <c r="F853" i="27"/>
  <c r="G853" i="27"/>
  <c r="F854" i="27"/>
  <c r="G854" i="27"/>
  <c r="F855" i="27"/>
  <c r="G855" i="27"/>
  <c r="F856" i="27"/>
  <c r="G856" i="27"/>
  <c r="F857" i="27"/>
  <c r="G857" i="27"/>
  <c r="F858" i="27"/>
  <c r="G858" i="27"/>
  <c r="F859" i="27"/>
  <c r="G859" i="27"/>
  <c r="F860" i="27"/>
  <c r="G860" i="27"/>
  <c r="E860" i="27"/>
  <c r="F861" i="27"/>
  <c r="G861" i="27"/>
  <c r="F862" i="27"/>
  <c r="G862" i="27"/>
  <c r="F863" i="27"/>
  <c r="G863" i="27"/>
  <c r="F864" i="27"/>
  <c r="G864" i="27"/>
  <c r="F865" i="27"/>
  <c r="G865" i="27"/>
  <c r="F866" i="27"/>
  <c r="G866" i="27"/>
  <c r="F867" i="27"/>
  <c r="G867" i="27"/>
  <c r="F868" i="27"/>
  <c r="G868" i="27"/>
  <c r="F869" i="27"/>
  <c r="G869" i="27"/>
  <c r="F870" i="27"/>
  <c r="G870" i="27"/>
  <c r="F871" i="27"/>
  <c r="G871" i="27"/>
  <c r="F872" i="27"/>
  <c r="G872" i="27"/>
  <c r="F873" i="27"/>
  <c r="G873" i="27"/>
  <c r="F874" i="27"/>
  <c r="G874" i="27"/>
  <c r="E874" i="27"/>
  <c r="F875" i="27"/>
  <c r="G875" i="27"/>
  <c r="F876" i="27"/>
  <c r="G876" i="27"/>
  <c r="F877" i="27"/>
  <c r="G877" i="27"/>
  <c r="F878" i="27"/>
  <c r="G878" i="27"/>
  <c r="F879" i="27"/>
  <c r="G879" i="27"/>
  <c r="F880" i="27"/>
  <c r="G880" i="27"/>
  <c r="F881" i="27"/>
  <c r="G881" i="27"/>
  <c r="F882" i="27"/>
  <c r="G882" i="27"/>
  <c r="F883" i="27"/>
  <c r="G883" i="27"/>
  <c r="F884" i="27"/>
  <c r="G884" i="27"/>
  <c r="F885" i="27"/>
  <c r="G885" i="27"/>
  <c r="F886" i="27"/>
  <c r="G886" i="27"/>
  <c r="E886" i="27"/>
  <c r="F887" i="27"/>
  <c r="G887" i="27"/>
  <c r="F888" i="27"/>
  <c r="G888" i="27"/>
  <c r="F889" i="27"/>
  <c r="G889" i="27"/>
  <c r="F890" i="27"/>
  <c r="G890" i="27"/>
  <c r="F891" i="27"/>
  <c r="G891" i="27"/>
  <c r="F892" i="27"/>
  <c r="G892" i="27"/>
  <c r="F893" i="27"/>
  <c r="G893" i="27"/>
  <c r="F894" i="27"/>
  <c r="G894" i="27"/>
  <c r="F895" i="27"/>
  <c r="G895" i="27"/>
  <c r="F896" i="27"/>
  <c r="G896" i="27"/>
  <c r="F897" i="27"/>
  <c r="G897" i="27"/>
  <c r="F898" i="27"/>
  <c r="G898" i="27"/>
  <c r="F899" i="27"/>
  <c r="G899" i="27"/>
  <c r="F900" i="27"/>
  <c r="G900" i="27"/>
  <c r="F901" i="27"/>
  <c r="G901" i="27"/>
  <c r="F902" i="27"/>
  <c r="G902" i="27"/>
  <c r="F903" i="27"/>
  <c r="G903" i="27"/>
  <c r="F904" i="27"/>
  <c r="G904" i="27"/>
  <c r="F905" i="27"/>
  <c r="G905" i="27"/>
  <c r="E905" i="27"/>
  <c r="F906" i="27"/>
  <c r="G906" i="27"/>
  <c r="F907" i="27"/>
  <c r="G907" i="27"/>
  <c r="F908" i="27"/>
  <c r="G908" i="27"/>
  <c r="F909" i="27"/>
  <c r="G909" i="27"/>
  <c r="F910" i="27"/>
  <c r="G910" i="27"/>
  <c r="F911" i="27"/>
  <c r="G911" i="27"/>
  <c r="F912" i="27"/>
  <c r="G912" i="27"/>
  <c r="F913" i="27"/>
  <c r="G913" i="27"/>
  <c r="F914" i="27"/>
  <c r="G914" i="27"/>
  <c r="F915" i="27"/>
  <c r="G915" i="27"/>
  <c r="F916" i="27"/>
  <c r="G916" i="27"/>
  <c r="F917" i="27"/>
  <c r="G917" i="27"/>
  <c r="F918" i="27"/>
  <c r="G918" i="27"/>
  <c r="F919" i="27"/>
  <c r="G919" i="27"/>
  <c r="F920" i="27"/>
  <c r="G920" i="27"/>
  <c r="E920" i="27"/>
  <c r="F921" i="27"/>
  <c r="G921" i="27"/>
  <c r="F922" i="27"/>
  <c r="G922" i="27"/>
  <c r="F923" i="27"/>
  <c r="G923" i="27"/>
  <c r="F924" i="27"/>
  <c r="G924" i="27"/>
  <c r="F925" i="27"/>
  <c r="G925" i="27"/>
  <c r="F926" i="27"/>
  <c r="G926" i="27"/>
  <c r="F927" i="27"/>
  <c r="G927" i="27"/>
  <c r="F928" i="27"/>
  <c r="G928" i="27"/>
  <c r="F929" i="27"/>
  <c r="G929" i="27"/>
  <c r="E929" i="27"/>
  <c r="F930" i="27"/>
  <c r="G930" i="27"/>
  <c r="F931" i="27"/>
  <c r="G931" i="27"/>
  <c r="F932" i="27"/>
  <c r="G932" i="27"/>
  <c r="F933" i="27"/>
  <c r="G933" i="27"/>
  <c r="F934" i="27"/>
  <c r="G934" i="27"/>
  <c r="F935" i="27"/>
  <c r="G935" i="27"/>
  <c r="F936" i="27"/>
  <c r="G936" i="27"/>
  <c r="F937" i="27"/>
  <c r="G937" i="27"/>
  <c r="E937" i="27"/>
  <c r="F938" i="27"/>
  <c r="G938" i="27"/>
  <c r="F939" i="27"/>
  <c r="G939" i="27"/>
  <c r="F940" i="27"/>
  <c r="G940" i="27"/>
  <c r="F941" i="27"/>
  <c r="G941" i="27"/>
  <c r="F942" i="27"/>
  <c r="G942" i="27"/>
  <c r="F943" i="27"/>
  <c r="G943" i="27"/>
  <c r="F944" i="27"/>
  <c r="G944" i="27"/>
  <c r="F945" i="27"/>
  <c r="G945" i="27"/>
  <c r="E945" i="27"/>
  <c r="F946" i="27"/>
  <c r="G946" i="27"/>
  <c r="E946" i="27"/>
  <c r="F947" i="27"/>
  <c r="G947" i="27"/>
  <c r="F948" i="27"/>
  <c r="G948" i="27"/>
  <c r="F949" i="27"/>
  <c r="G949" i="27"/>
  <c r="F950" i="27"/>
  <c r="G950" i="27"/>
  <c r="F951" i="27"/>
  <c r="G951" i="27"/>
  <c r="F952" i="27"/>
  <c r="G952" i="27"/>
  <c r="F953" i="27"/>
  <c r="G953" i="27"/>
  <c r="F954" i="27"/>
  <c r="G954" i="27"/>
  <c r="F955" i="27"/>
  <c r="G955" i="27"/>
  <c r="F956" i="27"/>
  <c r="G956" i="27"/>
  <c r="F957" i="27"/>
  <c r="G957" i="27"/>
  <c r="F958" i="27"/>
  <c r="G958" i="27"/>
  <c r="F959" i="27"/>
  <c r="G959" i="27"/>
  <c r="F960" i="27"/>
  <c r="G960" i="27"/>
  <c r="F961" i="27"/>
  <c r="G961" i="27"/>
  <c r="E961" i="27"/>
  <c r="F962" i="27"/>
  <c r="G962" i="27"/>
  <c r="F963" i="27"/>
  <c r="G963" i="27"/>
  <c r="F964" i="27"/>
  <c r="G964" i="27"/>
  <c r="F965" i="27"/>
  <c r="G965" i="27"/>
  <c r="F966" i="27"/>
  <c r="G966" i="27"/>
  <c r="F967" i="27"/>
  <c r="G967" i="27"/>
  <c r="E967" i="27"/>
  <c r="F968" i="27"/>
  <c r="G968" i="27"/>
  <c r="F969" i="27"/>
  <c r="G969" i="27"/>
  <c r="F970" i="27"/>
  <c r="G970" i="27"/>
  <c r="F971" i="27"/>
  <c r="G971" i="27"/>
  <c r="F972" i="27"/>
  <c r="G972" i="27"/>
  <c r="F973" i="27"/>
  <c r="G973" i="27"/>
  <c r="E973" i="27"/>
  <c r="F974" i="27"/>
  <c r="G974" i="27"/>
  <c r="F975" i="27"/>
  <c r="G975" i="27"/>
  <c r="F976" i="27"/>
  <c r="G976" i="27"/>
  <c r="F977" i="27"/>
  <c r="G977" i="27"/>
  <c r="F978" i="27"/>
  <c r="G978" i="27"/>
  <c r="F979" i="27"/>
  <c r="G979" i="27"/>
  <c r="E979" i="27"/>
  <c r="F980" i="27"/>
  <c r="G980" i="27"/>
  <c r="F981" i="27"/>
  <c r="G981" i="27"/>
  <c r="F982" i="27"/>
  <c r="G982" i="27"/>
  <c r="F983" i="27"/>
  <c r="G983" i="27"/>
  <c r="F984" i="27"/>
  <c r="G984" i="27"/>
  <c r="F985" i="27"/>
  <c r="G985" i="27"/>
  <c r="E985" i="27"/>
  <c r="F986" i="27"/>
  <c r="G986" i="27"/>
  <c r="E986" i="27"/>
  <c r="F987" i="27"/>
  <c r="G987" i="27"/>
  <c r="F988" i="27"/>
  <c r="G988" i="27"/>
  <c r="F989" i="27"/>
  <c r="G989" i="27"/>
  <c r="F990" i="27"/>
  <c r="G990" i="27"/>
  <c r="F991" i="27"/>
  <c r="G991" i="27"/>
  <c r="F992" i="27"/>
  <c r="G992" i="27"/>
  <c r="F993" i="27"/>
  <c r="G993" i="27"/>
  <c r="F994" i="27"/>
  <c r="G994" i="27"/>
  <c r="F995" i="27"/>
  <c r="G995" i="27"/>
  <c r="F996" i="27"/>
  <c r="G996" i="27"/>
  <c r="F997" i="27"/>
  <c r="G997" i="27"/>
  <c r="F998" i="27"/>
  <c r="G998" i="27"/>
  <c r="F999" i="27"/>
  <c r="G999" i="27"/>
  <c r="F1000" i="27"/>
  <c r="G1000" i="27"/>
  <c r="F1001" i="27"/>
  <c r="G1001" i="27"/>
  <c r="E1001" i="27"/>
  <c r="F1002" i="27"/>
  <c r="G1002" i="27"/>
  <c r="F1003" i="27"/>
  <c r="G1003" i="27"/>
  <c r="F1004" i="27"/>
  <c r="G1004" i="27"/>
  <c r="F1005" i="27"/>
  <c r="G1005" i="27"/>
  <c r="F1006" i="27"/>
  <c r="G1006" i="27"/>
  <c r="F1007" i="27"/>
  <c r="G1007" i="27"/>
  <c r="F1008" i="27"/>
  <c r="G1008" i="27"/>
  <c r="F1009" i="27"/>
  <c r="G1009" i="27"/>
  <c r="F1010" i="27"/>
  <c r="G1010" i="27"/>
  <c r="F1011" i="27"/>
  <c r="G1011" i="27"/>
  <c r="F1012" i="27"/>
  <c r="G1012" i="27"/>
  <c r="F1013" i="27"/>
  <c r="G1013" i="27"/>
  <c r="F1014" i="27"/>
  <c r="G1014" i="27"/>
  <c r="F1015" i="27"/>
  <c r="G1015" i="27"/>
  <c r="F1016" i="27"/>
  <c r="G1016" i="27"/>
  <c r="F1017" i="27"/>
  <c r="G1017" i="27"/>
  <c r="F1018" i="27"/>
  <c r="G1018" i="27"/>
  <c r="F1019" i="27"/>
  <c r="G1019" i="27"/>
  <c r="F1020" i="27"/>
  <c r="G1020" i="27"/>
  <c r="F1021" i="27"/>
  <c r="G1021" i="27"/>
  <c r="F1022" i="27"/>
  <c r="G1022" i="27"/>
  <c r="F1023" i="27"/>
  <c r="G1023" i="27"/>
  <c r="F1024" i="27"/>
  <c r="G1024" i="27"/>
  <c r="F1025" i="27"/>
  <c r="G1025" i="27"/>
  <c r="F1026" i="27"/>
  <c r="G1026" i="27"/>
  <c r="F1027" i="27"/>
  <c r="G1027" i="27"/>
  <c r="F1028" i="27"/>
  <c r="G1028" i="27"/>
  <c r="E1028" i="27"/>
  <c r="F1029" i="27"/>
  <c r="G1029" i="27"/>
  <c r="F1030" i="27"/>
  <c r="G1030" i="27"/>
  <c r="F1031" i="27"/>
  <c r="G1031" i="27"/>
  <c r="F1032" i="27"/>
  <c r="G1032" i="27"/>
  <c r="F1033" i="27"/>
  <c r="G1033" i="27"/>
  <c r="F1034" i="27"/>
  <c r="G1034" i="27"/>
  <c r="F1035" i="27"/>
  <c r="G1035" i="27"/>
  <c r="F1036" i="27"/>
  <c r="G1036" i="27"/>
  <c r="F1037" i="27"/>
  <c r="G1037" i="27"/>
  <c r="F1038" i="27"/>
  <c r="G1038" i="27"/>
  <c r="F1039" i="27"/>
  <c r="G1039" i="27"/>
  <c r="F1040" i="27"/>
  <c r="G1040" i="27"/>
  <c r="F1041" i="27"/>
  <c r="G1041" i="27"/>
  <c r="F1042" i="27"/>
  <c r="G1042" i="27"/>
  <c r="F1043" i="27"/>
  <c r="G1043" i="27"/>
  <c r="F1044" i="27"/>
  <c r="G1044" i="27"/>
  <c r="F1045" i="27"/>
  <c r="G1045" i="27"/>
  <c r="F1046" i="27"/>
  <c r="G1046" i="27"/>
  <c r="F1047" i="27"/>
  <c r="G1047" i="27"/>
  <c r="F1048" i="27"/>
  <c r="G1048" i="27"/>
  <c r="E1048" i="27"/>
  <c r="F1049" i="27"/>
  <c r="G1049" i="27"/>
  <c r="F1050" i="27"/>
  <c r="G1050" i="27"/>
  <c r="F1051" i="27"/>
  <c r="G1051" i="27"/>
  <c r="F1052" i="27"/>
  <c r="G1052" i="27"/>
  <c r="F1053" i="27"/>
  <c r="G1053" i="27"/>
  <c r="F1054" i="27"/>
  <c r="G1054" i="27"/>
  <c r="E1054" i="27"/>
  <c r="F1055" i="27"/>
  <c r="G1055" i="27"/>
  <c r="F1056" i="27"/>
  <c r="G1056" i="27"/>
  <c r="F1057" i="27"/>
  <c r="G1057" i="27"/>
  <c r="F1058" i="27"/>
  <c r="G1058" i="27"/>
  <c r="F1059" i="27"/>
  <c r="G1059" i="27"/>
  <c r="E1059" i="27"/>
  <c r="F1060" i="27"/>
  <c r="G1060" i="27"/>
  <c r="F1061" i="27"/>
  <c r="G1061" i="27"/>
  <c r="F1062" i="27"/>
  <c r="G1062" i="27"/>
  <c r="F1063" i="27"/>
  <c r="G1063" i="27"/>
  <c r="F1064" i="27"/>
  <c r="G1064" i="27"/>
  <c r="F1065" i="27"/>
  <c r="G1065" i="27"/>
  <c r="F1066" i="27"/>
  <c r="G1066" i="27"/>
  <c r="F1067" i="27"/>
  <c r="G1067" i="27"/>
  <c r="F1068" i="27"/>
  <c r="G1068" i="27"/>
  <c r="F1069" i="27"/>
  <c r="G1069" i="27"/>
  <c r="F1070" i="27"/>
  <c r="G1070" i="27"/>
  <c r="F1071" i="27"/>
  <c r="G1071" i="27"/>
  <c r="F1072" i="27"/>
  <c r="G1072" i="27"/>
  <c r="E1072" i="27"/>
  <c r="F1073" i="27"/>
  <c r="G1073" i="27"/>
  <c r="E1073" i="27"/>
  <c r="F1074" i="27"/>
  <c r="G1074" i="27"/>
  <c r="F1075" i="27"/>
  <c r="G1075" i="27"/>
  <c r="F1076" i="27"/>
  <c r="G1076" i="27"/>
  <c r="F1077" i="27"/>
  <c r="G1077" i="27"/>
  <c r="F1078" i="27"/>
  <c r="G1078" i="27"/>
  <c r="F1079" i="27"/>
  <c r="G1079" i="27"/>
  <c r="F1080" i="27"/>
  <c r="G1080" i="27"/>
  <c r="F1081" i="27"/>
  <c r="G1081" i="27"/>
  <c r="F1082" i="27"/>
  <c r="G1082" i="27"/>
  <c r="F1083" i="27"/>
  <c r="G1083" i="27"/>
  <c r="F1084" i="27"/>
  <c r="G1084" i="27"/>
  <c r="E1084" i="27"/>
  <c r="F1085" i="27"/>
  <c r="G1085" i="27"/>
  <c r="F1086" i="27"/>
  <c r="G1086" i="27"/>
  <c r="E1086" i="27"/>
  <c r="F1087" i="27"/>
  <c r="G1087" i="27"/>
  <c r="F1088" i="27"/>
  <c r="G1088" i="27"/>
  <c r="E1088" i="27"/>
  <c r="F1089" i="27"/>
  <c r="G1089" i="27"/>
  <c r="F1090" i="27"/>
  <c r="G1090" i="27"/>
  <c r="F1091" i="27"/>
  <c r="G1091" i="27"/>
  <c r="F1092" i="27"/>
  <c r="G1092" i="27"/>
  <c r="F1093" i="27"/>
  <c r="G1093" i="27"/>
  <c r="F1094" i="27"/>
  <c r="G1094" i="27"/>
  <c r="E1094" i="27"/>
  <c r="F1095" i="27"/>
  <c r="G1095" i="27"/>
  <c r="F1096" i="27"/>
  <c r="G1096" i="27"/>
  <c r="F1097" i="27"/>
  <c r="G1097" i="27"/>
  <c r="F1098" i="27"/>
  <c r="G1098" i="27"/>
  <c r="F1099" i="27"/>
  <c r="G1099" i="27"/>
  <c r="F1100" i="27"/>
  <c r="G1100" i="27"/>
  <c r="F1101" i="27"/>
  <c r="G1101" i="27"/>
  <c r="F1102" i="27"/>
  <c r="G1102" i="27"/>
  <c r="F1103" i="27"/>
  <c r="G1103" i="27"/>
  <c r="F1104" i="27"/>
  <c r="G1104" i="27"/>
  <c r="F1105" i="27"/>
  <c r="G1105" i="27"/>
  <c r="E1105" i="27"/>
  <c r="F1106" i="27"/>
  <c r="G1106" i="27"/>
  <c r="F1107" i="27"/>
  <c r="G1107" i="27"/>
  <c r="F1108" i="27"/>
  <c r="G1108" i="27"/>
  <c r="F1109" i="27"/>
  <c r="G1109" i="27"/>
  <c r="E1109" i="27"/>
  <c r="F1110" i="27"/>
  <c r="G1110" i="27"/>
  <c r="F1111" i="27"/>
  <c r="G1111" i="27"/>
  <c r="F1112" i="27"/>
  <c r="G1112" i="27"/>
  <c r="F1113" i="27"/>
  <c r="G1113" i="27"/>
  <c r="F1114" i="27"/>
  <c r="G1114" i="27"/>
  <c r="F1115" i="27"/>
  <c r="G1115" i="27"/>
  <c r="F1117" i="27"/>
  <c r="G1117" i="27"/>
  <c r="E1117" i="27"/>
  <c r="F1118" i="27"/>
  <c r="G1118" i="27"/>
  <c r="F1119" i="27"/>
  <c r="G1119" i="27"/>
  <c r="F1120" i="27"/>
  <c r="G1120" i="27"/>
  <c r="E1120" i="27"/>
  <c r="F1121" i="27"/>
  <c r="G1121" i="27"/>
  <c r="F1122" i="27"/>
  <c r="G1122" i="27"/>
  <c r="F1123" i="27"/>
  <c r="G1123" i="27"/>
  <c r="E1123" i="27"/>
  <c r="F1124" i="27"/>
  <c r="G1124" i="27"/>
  <c r="F1125" i="27"/>
  <c r="G1125" i="27"/>
  <c r="F1126" i="27"/>
  <c r="G1126" i="27"/>
  <c r="F1127" i="27"/>
  <c r="G1127" i="27"/>
  <c r="F1128" i="27"/>
  <c r="G1128" i="27"/>
  <c r="F1129" i="27"/>
  <c r="G1129" i="27"/>
  <c r="E1129" i="27"/>
  <c r="F1130" i="27"/>
  <c r="G1130" i="27"/>
  <c r="F1131" i="27"/>
  <c r="G1131" i="27"/>
  <c r="F1132" i="27"/>
  <c r="G1132" i="27"/>
  <c r="F1133" i="27"/>
  <c r="G1133" i="27"/>
  <c r="F1134" i="27"/>
  <c r="G1134" i="27"/>
  <c r="F1135" i="27"/>
  <c r="G1135" i="27"/>
  <c r="F1136" i="27"/>
  <c r="G1136" i="27"/>
  <c r="F1137" i="27"/>
  <c r="G1137" i="27"/>
  <c r="F1138" i="27"/>
  <c r="G1138" i="27"/>
  <c r="E1138" i="27"/>
  <c r="F1139" i="27"/>
  <c r="G1139" i="27"/>
  <c r="F1140" i="27"/>
  <c r="G1140" i="27"/>
  <c r="F1141" i="27"/>
  <c r="G1141" i="27"/>
  <c r="F1142" i="27"/>
  <c r="G1142" i="27"/>
  <c r="E1142" i="27"/>
  <c r="F1143" i="27"/>
  <c r="G1143" i="27"/>
  <c r="F1144" i="27"/>
  <c r="G1144" i="27"/>
  <c r="E1144" i="27"/>
  <c r="F1145" i="27"/>
  <c r="G1145" i="27"/>
  <c r="F1146" i="27"/>
  <c r="G1146" i="27"/>
  <c r="F1148" i="27"/>
  <c r="G1148" i="27"/>
  <c r="H3254" i="26"/>
  <c r="H3260" i="26" s="1"/>
  <c r="H3288" i="26"/>
  <c r="H3294" i="26" s="1"/>
  <c r="H3322" i="26"/>
  <c r="H3328" i="26" s="1"/>
  <c r="H3356" i="26"/>
  <c r="H3362" i="26" s="1"/>
  <c r="H3390" i="26"/>
  <c r="H3396" i="26" s="1"/>
  <c r="H3424" i="26"/>
  <c r="H3430" i="26" s="1"/>
  <c r="H815" i="15"/>
  <c r="H271" i="43"/>
  <c r="H1114" i="43"/>
  <c r="H1282" i="43"/>
  <c r="H1705" i="43"/>
  <c r="H2084" i="43"/>
  <c r="H2840" i="43"/>
  <c r="H2986" i="43"/>
  <c r="H4060" i="43"/>
  <c r="H4180" i="43"/>
  <c r="H6265" i="43"/>
  <c r="H6393" i="43"/>
  <c r="H6530" i="43"/>
  <c r="H6613" i="43"/>
  <c r="H2538" i="26"/>
  <c r="H2589" i="26"/>
  <c r="H2595" i="26" s="1"/>
  <c r="H2624" i="26"/>
  <c r="H2630" i="26" s="1"/>
  <c r="H2641" i="26"/>
  <c r="H2647" i="26" s="1"/>
  <c r="H2675" i="26"/>
  <c r="H2681" i="26" s="1"/>
  <c r="H2709" i="26"/>
  <c r="H2715" i="26" s="1"/>
  <c r="H2743" i="26"/>
  <c r="H7756" i="26"/>
  <c r="H31" i="8"/>
  <c r="H75" i="8"/>
  <c r="H156" i="8"/>
  <c r="H330" i="43"/>
  <c r="H461" i="43"/>
  <c r="H455" i="43"/>
  <c r="H576" i="43"/>
  <c r="H811" i="43"/>
  <c r="H1086" i="43"/>
  <c r="H1198" i="43"/>
  <c r="H1822" i="43"/>
  <c r="H1851" i="43"/>
  <c r="H1880" i="43"/>
  <c r="H1909" i="43"/>
  <c r="H1938" i="43"/>
  <c r="H1967" i="43"/>
  <c r="H1996" i="43"/>
  <c r="H2025" i="43"/>
  <c r="H4150" i="43"/>
  <c r="H6475" i="43"/>
  <c r="H6558" i="43"/>
  <c r="H6724" i="43"/>
  <c r="H6743" i="43"/>
  <c r="H6756" i="43"/>
  <c r="H6774" i="43"/>
  <c r="H6792" i="43"/>
  <c r="H7049" i="43"/>
  <c r="H7118" i="43"/>
  <c r="H7124" i="43" s="1"/>
  <c r="H7134" i="43"/>
  <c r="H7140" i="43" s="1"/>
  <c r="H7150" i="43"/>
  <c r="H7156" i="43" s="1"/>
  <c r="H7167" i="43"/>
  <c r="H7173" i="43" s="1"/>
  <c r="H7184" i="43"/>
  <c r="H7190" i="43" s="1"/>
  <c r="H7200" i="43"/>
  <c r="H7206" i="43" s="1"/>
  <c r="H7216" i="43"/>
  <c r="H7222" i="43" s="1"/>
  <c r="H7233" i="43"/>
  <c r="H7476" i="43"/>
  <c r="H7667" i="43"/>
  <c r="H2555" i="26"/>
  <c r="H2760" i="26"/>
  <c r="H2766" i="26" s="1"/>
  <c r="H2794" i="26"/>
  <c r="H2800" i="26" s="1"/>
  <c r="H2828" i="26"/>
  <c r="H2834" i="26" s="1"/>
  <c r="H2862" i="26"/>
  <c r="H2868" i="26" s="1"/>
  <c r="H2896" i="26"/>
  <c r="H2902" i="26" s="1"/>
  <c r="H2930" i="26"/>
  <c r="H2936" i="26" s="1"/>
  <c r="H3016" i="26"/>
  <c r="H3022" i="26" s="1"/>
  <c r="H3050" i="26"/>
  <c r="H3056" i="26" s="1"/>
  <c r="H3084" i="26"/>
  <c r="H3090" i="26" s="1"/>
  <c r="H3203" i="26"/>
  <c r="H3209" i="26" s="1"/>
  <c r="H3237" i="26"/>
  <c r="H3243" i="26" s="1"/>
  <c r="H3271" i="26"/>
  <c r="H3277" i="26" s="1"/>
  <c r="H3305" i="26"/>
  <c r="H3311" i="26" s="1"/>
  <c r="H3339" i="26"/>
  <c r="H3345" i="26" s="1"/>
  <c r="H3373" i="26"/>
  <c r="H3379" i="26" s="1"/>
  <c r="H3407" i="26"/>
  <c r="H3413" i="26" s="1"/>
  <c r="H3441" i="26"/>
  <c r="H3447" i="26" s="1"/>
  <c r="H5977" i="26"/>
  <c r="H109" i="8"/>
  <c r="H113" i="8"/>
  <c r="H152" i="43"/>
  <c r="H212" i="43"/>
  <c r="H276" i="43"/>
  <c r="H277" i="43" s="1"/>
  <c r="H399" i="43"/>
  <c r="H393" i="43"/>
  <c r="H516" i="43"/>
  <c r="H636" i="43"/>
  <c r="H694" i="43"/>
  <c r="H753" i="43"/>
  <c r="H7561" i="43"/>
  <c r="H7566" i="43" s="1"/>
  <c r="H1170" i="43"/>
  <c r="H1254" i="43"/>
  <c r="H1338" i="43"/>
  <c r="H1764" i="43"/>
  <c r="H2403" i="43"/>
  <c r="H2636" i="43"/>
  <c r="H3257" i="43"/>
  <c r="H3528" i="43"/>
  <c r="H3681" i="43"/>
  <c r="H3710" i="43"/>
  <c r="H3739" i="43"/>
  <c r="H3768" i="43"/>
  <c r="H3797" i="43"/>
  <c r="H3826" i="43"/>
  <c r="H4120" i="43"/>
  <c r="H6420" i="43"/>
  <c r="H6503" i="43"/>
  <c r="H6640" i="43"/>
  <c r="H6811" i="43"/>
  <c r="H6829" i="43"/>
  <c r="H6847" i="43"/>
  <c r="H6864" i="43"/>
  <c r="H7031" i="43"/>
  <c r="H7100" i="43"/>
  <c r="H7284" i="43"/>
  <c r="H7290" i="43" s="1"/>
  <c r="H7300" i="43"/>
  <c r="H7306" i="43" s="1"/>
  <c r="H7316" i="43"/>
  <c r="H7322" i="43" s="1"/>
  <c r="H7334" i="43"/>
  <c r="H7340" i="43" s="1"/>
  <c r="H7350" i="43"/>
  <c r="H7356" i="43" s="1"/>
  <c r="H7367" i="43"/>
  <c r="H7373" i="43" s="1"/>
  <c r="H7383" i="43"/>
  <c r="H7389" i="43" s="1"/>
  <c r="H7436" i="43"/>
  <c r="H7455" i="43"/>
  <c r="H7649" i="43"/>
  <c r="H2572" i="26"/>
  <c r="H2578" i="26" s="1"/>
  <c r="H2606" i="26"/>
  <c r="H2612" i="26" s="1"/>
  <c r="H2658" i="26"/>
  <c r="H2664" i="26" s="1"/>
  <c r="H2692" i="26"/>
  <c r="H2698" i="26" s="1"/>
  <c r="H2726" i="26"/>
  <c r="H2732" i="26" s="1"/>
  <c r="G7712" i="43"/>
  <c r="H7712" i="43" s="1"/>
  <c r="H7714" i="43" s="1"/>
  <c r="H7719" i="43" s="1"/>
  <c r="G7696" i="43"/>
  <c r="H7696" i="43" s="1"/>
  <c r="H7698" i="43" s="1"/>
  <c r="H7703" i="43" s="1"/>
  <c r="G7661" i="43"/>
  <c r="H7661" i="43" s="1"/>
  <c r="H7663" i="43" s="1"/>
  <c r="G7643" i="43"/>
  <c r="H7643" i="43" s="1"/>
  <c r="H7645" i="43" s="1"/>
  <c r="G7625" i="43"/>
  <c r="H7625" i="43" s="1"/>
  <c r="H7627" i="43" s="1"/>
  <c r="G813" i="27"/>
  <c r="F813" i="27"/>
  <c r="E813" i="27"/>
  <c r="G814" i="27"/>
  <c r="F814" i="27"/>
  <c r="E814" i="27"/>
  <c r="G815" i="27"/>
  <c r="F815" i="27"/>
  <c r="G816" i="27"/>
  <c r="F816" i="27"/>
  <c r="E816" i="27"/>
  <c r="G817" i="27"/>
  <c r="F817" i="27"/>
  <c r="G818" i="27"/>
  <c r="E818" i="27"/>
  <c r="G819" i="27"/>
  <c r="G820" i="27"/>
  <c r="E820" i="27"/>
  <c r="G821" i="27"/>
  <c r="G822" i="27"/>
  <c r="E822" i="27"/>
  <c r="G823" i="27"/>
  <c r="G824" i="27"/>
  <c r="E824" i="27"/>
  <c r="G825" i="27"/>
  <c r="G826" i="27"/>
  <c r="E826" i="27"/>
  <c r="G827" i="27"/>
  <c r="F827" i="27"/>
  <c r="G828" i="27"/>
  <c r="F828" i="27"/>
  <c r="E828" i="27"/>
  <c r="G829" i="27"/>
  <c r="F829" i="27"/>
  <c r="G830" i="27"/>
  <c r="F830" i="27"/>
  <c r="G832" i="27"/>
  <c r="F832" i="27"/>
  <c r="G831" i="27"/>
  <c r="F831" i="27"/>
  <c r="G7608" i="43"/>
  <c r="H7608" i="43" s="1"/>
  <c r="H7610" i="43" s="1"/>
  <c r="G7592" i="43"/>
  <c r="H7592" i="43" s="1"/>
  <c r="H7594" i="43" s="1"/>
  <c r="H7599" i="43" s="1"/>
  <c r="G7576" i="43"/>
  <c r="H7576" i="43" s="1"/>
  <c r="H7578" i="43" s="1"/>
  <c r="H7583" i="43" s="1"/>
  <c r="G7543" i="43"/>
  <c r="H7543" i="43" s="1"/>
  <c r="G7525" i="43"/>
  <c r="H7525" i="43" s="1"/>
  <c r="G7506" i="43"/>
  <c r="H7506" i="43" s="1"/>
  <c r="G7488" i="43"/>
  <c r="H7488" i="43" s="1"/>
  <c r="G7526" i="43"/>
  <c r="H7526" i="43" s="1"/>
  <c r="G7507" i="43"/>
  <c r="H7507" i="43" s="1"/>
  <c r="G7489" i="43"/>
  <c r="H7489" i="43" s="1"/>
  <c r="G6656" i="43"/>
  <c r="H6656" i="43" s="1"/>
  <c r="G6628" i="43"/>
  <c r="H6628" i="43" s="1"/>
  <c r="G6601" i="43"/>
  <c r="H6601" i="43" s="1"/>
  <c r="G6573" i="43"/>
  <c r="H6573" i="43" s="1"/>
  <c r="G6546" i="43"/>
  <c r="H6546" i="43" s="1"/>
  <c r="G6518" i="43"/>
  <c r="H6518" i="43" s="1"/>
  <c r="G6491" i="43"/>
  <c r="H6491" i="43" s="1"/>
  <c r="G6463" i="43"/>
  <c r="H6463" i="43" s="1"/>
  <c r="G6436" i="43"/>
  <c r="H6436" i="43" s="1"/>
  <c r="G6408" i="43"/>
  <c r="H6408" i="43" s="1"/>
  <c r="G6381" i="43"/>
  <c r="H6381" i="43" s="1"/>
  <c r="G6353" i="43"/>
  <c r="G6657" i="43"/>
  <c r="H6657" i="43" s="1"/>
  <c r="G6629" i="43"/>
  <c r="H6629" i="43" s="1"/>
  <c r="G6602" i="43"/>
  <c r="H6602" i="43" s="1"/>
  <c r="G6574" i="43"/>
  <c r="H6574" i="43" s="1"/>
  <c r="G6547" i="43"/>
  <c r="H6547" i="43" s="1"/>
  <c r="G6519" i="43"/>
  <c r="H6519" i="43" s="1"/>
  <c r="G6492" i="43"/>
  <c r="H6492" i="43" s="1"/>
  <c r="G6464" i="43"/>
  <c r="H6464" i="43" s="1"/>
  <c r="G6437" i="43"/>
  <c r="H6437" i="43" s="1"/>
  <c r="G6409" i="43"/>
  <c r="H6409" i="43" s="1"/>
  <c r="G6382" i="43"/>
  <c r="H6382" i="43" s="1"/>
  <c r="G6354" i="43"/>
  <c r="H6354" i="43" s="1"/>
  <c r="G6304" i="43"/>
  <c r="H6304" i="43" s="1"/>
  <c r="G6328" i="43"/>
  <c r="H6328" i="43" s="1"/>
  <c r="G6305" i="43"/>
  <c r="H6305" i="43" s="1"/>
  <c r="G6329" i="43"/>
  <c r="H6329" i="43" s="1"/>
  <c r="G6280" i="43"/>
  <c r="H6280" i="43" s="1"/>
  <c r="G6256" i="43"/>
  <c r="H6256" i="43" s="1"/>
  <c r="G6281" i="43"/>
  <c r="H6281" i="43" s="1"/>
  <c r="G6257" i="43"/>
  <c r="H6257" i="43" s="1"/>
  <c r="G6204" i="43"/>
  <c r="H6204" i="43" s="1"/>
  <c r="G6229" i="43"/>
  <c r="H6229" i="43" s="1"/>
  <c r="G6205" i="43"/>
  <c r="H6205" i="43" s="1"/>
  <c r="G6230" i="43"/>
  <c r="H6230" i="43" s="1"/>
  <c r="G6154" i="43"/>
  <c r="H6154" i="43" s="1"/>
  <c r="G6179" i="43"/>
  <c r="H6179" i="43" s="1"/>
  <c r="G6155" i="43"/>
  <c r="H6155" i="43" s="1"/>
  <c r="G6180" i="43"/>
  <c r="H6180" i="43" s="1"/>
  <c r="G6103" i="43"/>
  <c r="H6103" i="43" s="1"/>
  <c r="G6129" i="43"/>
  <c r="H6129" i="43" s="1"/>
  <c r="G6104" i="43"/>
  <c r="H6104" i="43" s="1"/>
  <c r="G6130" i="43"/>
  <c r="H6130" i="43" s="1"/>
  <c r="G6053" i="43"/>
  <c r="H6053" i="43" s="1"/>
  <c r="G6078" i="43"/>
  <c r="H6078" i="43" s="1"/>
  <c r="G6054" i="43"/>
  <c r="H6054" i="43" s="1"/>
  <c r="G6079" i="43"/>
  <c r="H6079" i="43" s="1"/>
  <c r="G6003" i="43"/>
  <c r="H6003" i="43" s="1"/>
  <c r="G6028" i="43"/>
  <c r="H6028" i="43" s="1"/>
  <c r="G6004" i="43"/>
  <c r="H6004" i="43" s="1"/>
  <c r="G6029" i="43"/>
  <c r="H6029" i="43" s="1"/>
  <c r="G5953" i="43"/>
  <c r="H5953" i="43" s="1"/>
  <c r="G5978" i="43"/>
  <c r="H5978" i="43" s="1"/>
  <c r="G5954" i="43"/>
  <c r="H5954" i="43" s="1"/>
  <c r="G5979" i="43"/>
  <c r="H5979" i="43" s="1"/>
  <c r="G5903" i="43"/>
  <c r="H5903" i="43" s="1"/>
  <c r="G5928" i="43"/>
  <c r="H5928" i="43" s="1"/>
  <c r="G5904" i="43"/>
  <c r="H5904" i="43" s="1"/>
  <c r="G5929" i="43"/>
  <c r="H5929" i="43" s="1"/>
  <c r="G5853" i="43"/>
  <c r="H5853" i="43" s="1"/>
  <c r="G5878" i="43"/>
  <c r="H5878" i="43" s="1"/>
  <c r="G5854" i="43"/>
  <c r="H5854" i="43" s="1"/>
  <c r="G5879" i="43"/>
  <c r="H5879" i="43" s="1"/>
  <c r="G5803" i="43"/>
  <c r="H5803" i="43" s="1"/>
  <c r="G5828" i="43"/>
  <c r="H5828" i="43" s="1"/>
  <c r="G5804" i="43"/>
  <c r="H5804" i="43" s="1"/>
  <c r="G5829" i="43"/>
  <c r="H5829" i="43" s="1"/>
  <c r="G5753" i="43"/>
  <c r="H5753" i="43" s="1"/>
  <c r="G5778" i="43"/>
  <c r="H5778" i="43" s="1"/>
  <c r="G5754" i="43"/>
  <c r="H5754" i="43" s="1"/>
  <c r="G5779" i="43"/>
  <c r="H5779" i="43" s="1"/>
  <c r="G5703" i="43"/>
  <c r="H5703" i="43" s="1"/>
  <c r="G5728" i="43"/>
  <c r="H5728" i="43" s="1"/>
  <c r="G5704" i="43"/>
  <c r="H5704" i="43" s="1"/>
  <c r="G5729" i="43"/>
  <c r="H5729" i="43" s="1"/>
  <c r="G5653" i="43"/>
  <c r="H5653" i="43" s="1"/>
  <c r="G5678" i="43"/>
  <c r="H5678" i="43" s="1"/>
  <c r="G5654" i="43"/>
  <c r="H5654" i="43" s="1"/>
  <c r="G5679" i="43"/>
  <c r="H5679" i="43" s="1"/>
  <c r="G5602" i="43"/>
  <c r="H5602" i="43" s="1"/>
  <c r="G5627" i="43"/>
  <c r="H5627" i="43" s="1"/>
  <c r="G5603" i="43"/>
  <c r="H5603" i="43" s="1"/>
  <c r="G5628" i="43"/>
  <c r="H5628" i="43" s="1"/>
  <c r="G5552" i="43"/>
  <c r="H5552" i="43" s="1"/>
  <c r="G5577" i="43"/>
  <c r="H5577" i="43" s="1"/>
  <c r="G5553" i="43"/>
  <c r="H5553" i="43" s="1"/>
  <c r="G5578" i="43"/>
  <c r="H5578" i="43" s="1"/>
  <c r="G5502" i="43"/>
  <c r="H5502" i="43" s="1"/>
  <c r="G5527" i="43"/>
  <c r="H5527" i="43" s="1"/>
  <c r="G5503" i="43"/>
  <c r="H5503" i="43" s="1"/>
  <c r="G5528" i="43"/>
  <c r="H5528" i="43" s="1"/>
  <c r="G5452" i="43"/>
  <c r="H5452" i="43" s="1"/>
  <c r="G5477" i="43"/>
  <c r="H5477" i="43" s="1"/>
  <c r="G5453" i="43"/>
  <c r="H5453" i="43" s="1"/>
  <c r="G5478" i="43"/>
  <c r="H5478" i="43" s="1"/>
  <c r="G5402" i="43"/>
  <c r="H5402" i="43" s="1"/>
  <c r="G5427" i="43"/>
  <c r="H5427" i="43" s="1"/>
  <c r="G5403" i="43"/>
  <c r="H5403" i="43" s="1"/>
  <c r="G5428" i="43"/>
  <c r="H5428" i="43" s="1"/>
  <c r="G5352" i="43"/>
  <c r="H5352" i="43" s="1"/>
  <c r="G5377" i="43"/>
  <c r="H5377" i="43" s="1"/>
  <c r="G5353" i="43"/>
  <c r="H5353" i="43" s="1"/>
  <c r="G5378" i="43"/>
  <c r="H5378" i="43" s="1"/>
  <c r="G5302" i="43"/>
  <c r="H5302" i="43" s="1"/>
  <c r="G5327" i="43"/>
  <c r="H5327" i="43" s="1"/>
  <c r="G5303" i="43"/>
  <c r="H5303" i="43" s="1"/>
  <c r="G5328" i="43"/>
  <c r="H5328" i="43" s="1"/>
  <c r="G5252" i="43"/>
  <c r="H5252" i="43" s="1"/>
  <c r="G5277" i="43"/>
  <c r="H5277" i="43" s="1"/>
  <c r="G5253" i="43"/>
  <c r="H5253" i="43" s="1"/>
  <c r="G5278" i="43"/>
  <c r="H5278" i="43" s="1"/>
  <c r="G5202" i="43"/>
  <c r="H5202" i="43" s="1"/>
  <c r="G5227" i="43"/>
  <c r="H5227" i="43" s="1"/>
  <c r="G5203" i="43"/>
  <c r="H5203" i="43" s="1"/>
  <c r="G5228" i="43"/>
  <c r="H5228" i="43" s="1"/>
  <c r="G5152" i="43"/>
  <c r="H5152" i="43" s="1"/>
  <c r="G5177" i="43"/>
  <c r="H5177" i="43" s="1"/>
  <c r="G5153" i="43"/>
  <c r="H5153" i="43" s="1"/>
  <c r="G5178" i="43"/>
  <c r="H5178" i="43" s="1"/>
  <c r="G5102" i="43"/>
  <c r="H5102" i="43" s="1"/>
  <c r="G5127" i="43"/>
  <c r="H5127" i="43" s="1"/>
  <c r="G5103" i="43"/>
  <c r="H5103" i="43" s="1"/>
  <c r="G5128" i="43"/>
  <c r="H5128" i="43" s="1"/>
  <c r="G5051" i="43"/>
  <c r="H5051" i="43" s="1"/>
  <c r="G5076" i="43"/>
  <c r="H5076" i="43" s="1"/>
  <c r="G5052" i="43"/>
  <c r="H5052" i="43" s="1"/>
  <c r="G5077" i="43"/>
  <c r="H5077" i="43" s="1"/>
  <c r="G5001" i="43"/>
  <c r="H5001" i="43" s="1"/>
  <c r="G5026" i="43"/>
  <c r="H5026" i="43" s="1"/>
  <c r="G5002" i="43"/>
  <c r="H5002" i="43" s="1"/>
  <c r="G5027" i="43"/>
  <c r="H5027" i="43" s="1"/>
  <c r="G4950" i="43"/>
  <c r="H4950" i="43" s="1"/>
  <c r="G4975" i="43"/>
  <c r="H4975" i="43" s="1"/>
  <c r="G4951" i="43"/>
  <c r="H4951" i="43" s="1"/>
  <c r="G4976" i="43"/>
  <c r="H4976" i="43" s="1"/>
  <c r="G4900" i="43"/>
  <c r="H4900" i="43" s="1"/>
  <c r="G4925" i="43"/>
  <c r="H4925" i="43" s="1"/>
  <c r="G4901" i="43"/>
  <c r="H4901" i="43" s="1"/>
  <c r="G4926" i="43"/>
  <c r="H4926" i="43" s="1"/>
  <c r="G4850" i="43"/>
  <c r="H4850" i="43" s="1"/>
  <c r="G4875" i="43"/>
  <c r="H4875" i="43" s="1"/>
  <c r="G4851" i="43"/>
  <c r="H4851" i="43" s="1"/>
  <c r="G4876" i="43"/>
  <c r="H4876" i="43" s="1"/>
  <c r="G4800" i="43"/>
  <c r="H4800" i="43" s="1"/>
  <c r="G4825" i="43"/>
  <c r="H4825" i="43" s="1"/>
  <c r="G4801" i="43"/>
  <c r="H4801" i="43" s="1"/>
  <c r="G4826" i="43"/>
  <c r="H4826" i="43" s="1"/>
  <c r="G4750" i="43"/>
  <c r="H4750" i="43" s="1"/>
  <c r="G4775" i="43"/>
  <c r="H4775" i="43" s="1"/>
  <c r="G4751" i="43"/>
  <c r="H4751" i="43" s="1"/>
  <c r="G4776" i="43"/>
  <c r="H4776" i="43" s="1"/>
  <c r="G4700" i="43"/>
  <c r="H4700" i="43" s="1"/>
  <c r="G4725" i="43"/>
  <c r="H4725" i="43" s="1"/>
  <c r="G4701" i="43"/>
  <c r="H4701" i="43" s="1"/>
  <c r="G4726" i="43"/>
  <c r="H4726" i="43" s="1"/>
  <c r="G4650" i="43"/>
  <c r="H4650" i="43" s="1"/>
  <c r="G4675" i="43"/>
  <c r="H4675" i="43" s="1"/>
  <c r="G4651" i="43"/>
  <c r="H4651" i="43" s="1"/>
  <c r="G4676" i="43"/>
  <c r="H4676" i="43" s="1"/>
  <c r="G4589" i="43"/>
  <c r="H4589" i="43" s="1"/>
  <c r="G4619" i="43"/>
  <c r="H4619" i="43" s="1"/>
  <c r="G4590" i="43"/>
  <c r="H4590" i="43" s="1"/>
  <c r="G4620" i="43"/>
  <c r="H4620" i="43" s="1"/>
  <c r="G4529" i="43"/>
  <c r="H4529" i="43" s="1"/>
  <c r="G4559" i="43"/>
  <c r="H4559" i="43" s="1"/>
  <c r="G4530" i="43"/>
  <c r="H4530" i="43" s="1"/>
  <c r="G4560" i="43"/>
  <c r="H4560" i="43" s="1"/>
  <c r="G4468" i="43"/>
  <c r="H4468" i="43" s="1"/>
  <c r="G4499" i="43"/>
  <c r="H4499" i="43" s="1"/>
  <c r="G4469" i="43"/>
  <c r="H4469" i="43" s="1"/>
  <c r="G4500" i="43"/>
  <c r="H4500" i="43" s="1"/>
  <c r="G4408" i="43"/>
  <c r="H4408" i="43" s="1"/>
  <c r="G4438" i="43"/>
  <c r="H4438" i="43" s="1"/>
  <c r="G4409" i="43"/>
  <c r="H4409" i="43" s="1"/>
  <c r="G4439" i="43"/>
  <c r="H4439" i="43" s="1"/>
  <c r="G4348" i="43"/>
  <c r="H4348" i="43" s="1"/>
  <c r="G4378" i="43"/>
  <c r="H4378" i="43" s="1"/>
  <c r="G4349" i="43"/>
  <c r="H4349" i="43" s="1"/>
  <c r="G4379" i="43"/>
  <c r="H4379" i="43" s="1"/>
  <c r="G4287" i="43"/>
  <c r="H4287" i="43" s="1"/>
  <c r="G4317" i="43"/>
  <c r="H4317" i="43" s="1"/>
  <c r="G4288" i="43"/>
  <c r="H4288" i="43" s="1"/>
  <c r="G4318" i="43"/>
  <c r="H4318" i="43" s="1"/>
  <c r="G4227" i="43"/>
  <c r="H4227" i="43" s="1"/>
  <c r="G4257" i="43"/>
  <c r="H4257" i="43" s="1"/>
  <c r="G4228" i="43"/>
  <c r="H4228" i="43" s="1"/>
  <c r="G4258" i="43"/>
  <c r="H4258" i="43" s="1"/>
  <c r="G4197" i="43"/>
  <c r="H4197" i="43" s="1"/>
  <c r="G4166" i="43"/>
  <c r="H4166" i="43" s="1"/>
  <c r="G4136" i="43"/>
  <c r="H4136" i="43" s="1"/>
  <c r="G4106" i="43"/>
  <c r="H4106" i="43" s="1"/>
  <c r="G4076" i="43"/>
  <c r="H4076" i="43" s="1"/>
  <c r="G4046" i="43"/>
  <c r="H4046" i="43" s="1"/>
  <c r="G4198" i="43"/>
  <c r="H4198" i="43" s="1"/>
  <c r="G4167" i="43"/>
  <c r="H4167" i="43" s="1"/>
  <c r="G4137" i="43"/>
  <c r="H4137" i="43" s="1"/>
  <c r="G4107" i="43"/>
  <c r="H4107" i="43" s="1"/>
  <c r="G4077" i="43"/>
  <c r="H4077" i="43" s="1"/>
  <c r="G4047" i="43"/>
  <c r="H4047" i="43" s="1"/>
  <c r="G3987" i="43"/>
  <c r="H3987" i="43" s="1"/>
  <c r="G4016" i="43"/>
  <c r="H4016" i="43" s="1"/>
  <c r="G3988" i="43"/>
  <c r="H3988" i="43" s="1"/>
  <c r="G4017" i="43"/>
  <c r="H4017" i="43" s="1"/>
  <c r="G3958" i="43"/>
  <c r="H3958" i="43" s="1"/>
  <c r="G3929" i="43"/>
  <c r="H3929" i="43" s="1"/>
  <c r="G3959" i="43"/>
  <c r="H3959" i="43" s="1"/>
  <c r="G3930" i="43"/>
  <c r="H3930" i="43" s="1"/>
  <c r="G3871" i="43"/>
  <c r="H3871" i="43" s="1"/>
  <c r="G3900" i="43"/>
  <c r="H3900" i="43" s="1"/>
  <c r="G3872" i="43"/>
  <c r="H3872" i="43" s="1"/>
  <c r="G3901" i="43"/>
  <c r="H3901" i="43" s="1"/>
  <c r="G3842" i="43"/>
  <c r="H3842" i="43" s="1"/>
  <c r="G3812" i="43"/>
  <c r="H3812" i="43" s="1"/>
  <c r="G3783" i="43"/>
  <c r="H3783" i="43" s="1"/>
  <c r="G3754" i="43"/>
  <c r="H3754" i="43" s="1"/>
  <c r="G3725" i="43"/>
  <c r="H3725" i="43" s="1"/>
  <c r="G3696" i="43"/>
  <c r="H3696" i="43" s="1"/>
  <c r="G3667" i="43"/>
  <c r="H3667" i="43" s="1"/>
  <c r="G3843" i="43"/>
  <c r="H3843" i="43" s="1"/>
  <c r="G3813" i="43"/>
  <c r="H3813" i="43" s="1"/>
  <c r="G3784" i="43"/>
  <c r="H3784" i="43" s="1"/>
  <c r="G3755" i="43"/>
  <c r="H3755" i="43" s="1"/>
  <c r="G3726" i="43"/>
  <c r="H3726" i="43" s="1"/>
  <c r="G3697" i="43"/>
  <c r="H3697" i="43" s="1"/>
  <c r="G3668" i="43"/>
  <c r="H3668" i="43" s="1"/>
  <c r="G3638" i="43"/>
  <c r="H3638" i="43" s="1"/>
  <c r="G3639" i="43"/>
  <c r="H3639" i="43" s="1"/>
  <c r="G3574" i="43"/>
  <c r="H3574" i="43" s="1"/>
  <c r="G3604" i="43"/>
  <c r="H3604" i="43" s="1"/>
  <c r="G3575" i="43"/>
  <c r="H3575" i="43" s="1"/>
  <c r="G3605" i="43"/>
  <c r="H3605" i="43" s="1"/>
  <c r="G3484" i="43"/>
  <c r="H3484" i="43" s="1"/>
  <c r="G3544" i="43"/>
  <c r="H3544" i="43" s="1"/>
  <c r="G3514" i="43"/>
  <c r="H3514" i="43" s="1"/>
  <c r="G3485" i="43"/>
  <c r="H3485" i="43" s="1"/>
  <c r="G3545" i="43"/>
  <c r="H3545" i="43" s="1"/>
  <c r="G3515" i="43"/>
  <c r="H3515" i="43" s="1"/>
  <c r="G3454" i="43"/>
  <c r="H3454" i="43" s="1"/>
  <c r="G3424" i="43"/>
  <c r="H3424" i="43" s="1"/>
  <c r="G3455" i="43"/>
  <c r="H3455" i="43" s="1"/>
  <c r="G3425" i="43"/>
  <c r="H3425" i="43" s="1"/>
  <c r="G3363" i="43"/>
  <c r="H3363" i="43" s="1"/>
  <c r="G3393" i="43"/>
  <c r="H3393" i="43" s="1"/>
  <c r="G3364" i="43"/>
  <c r="H3364" i="43" s="1"/>
  <c r="G3394" i="43"/>
  <c r="H3394" i="43" s="1"/>
  <c r="G3303" i="43"/>
  <c r="H3303" i="43" s="1"/>
  <c r="G3333" i="43"/>
  <c r="H3333" i="43" s="1"/>
  <c r="G3304" i="43"/>
  <c r="H3304" i="43" s="1"/>
  <c r="G3334" i="43"/>
  <c r="H3334" i="43" s="1"/>
  <c r="G3213" i="43"/>
  <c r="H3213" i="43" s="1"/>
  <c r="G3273" i="43"/>
  <c r="H3273" i="43" s="1"/>
  <c r="G3243" i="43"/>
  <c r="H3243" i="43" s="1"/>
  <c r="G3214" i="43"/>
  <c r="H3214" i="43" s="1"/>
  <c r="G3274" i="43"/>
  <c r="H3274" i="43" s="1"/>
  <c r="G3244" i="43"/>
  <c r="H3244" i="43" s="1"/>
  <c r="G3152" i="43"/>
  <c r="H3152" i="43" s="1"/>
  <c r="G3182" i="43"/>
  <c r="H3182" i="43" s="1"/>
  <c r="G3153" i="43"/>
  <c r="H3153" i="43" s="1"/>
  <c r="G3183" i="43"/>
  <c r="H3183" i="43" s="1"/>
  <c r="G3092" i="43"/>
  <c r="H3092" i="43" s="1"/>
  <c r="G3122" i="43"/>
  <c r="H3122" i="43" s="1"/>
  <c r="G3093" i="43"/>
  <c r="H3093" i="43" s="1"/>
  <c r="G3123" i="43"/>
  <c r="H3123" i="43" s="1"/>
  <c r="G3002" i="43"/>
  <c r="H3002" i="43" s="1"/>
  <c r="G3062" i="43"/>
  <c r="H3062" i="43" s="1"/>
  <c r="G3032" i="43"/>
  <c r="H3032" i="43" s="1"/>
  <c r="G3003" i="43"/>
  <c r="H3003" i="43" s="1"/>
  <c r="G3063" i="43"/>
  <c r="H3063" i="43" s="1"/>
  <c r="G3033" i="43"/>
  <c r="H3033" i="43" s="1"/>
  <c r="H91" i="43"/>
  <c r="G2942" i="43"/>
  <c r="H2942" i="43" s="1"/>
  <c r="G2972" i="43"/>
  <c r="H2972" i="43" s="1"/>
  <c r="G2943" i="43"/>
  <c r="H2943" i="43" s="1"/>
  <c r="G2973" i="43"/>
  <c r="H2973" i="43" s="1"/>
  <c r="G2884" i="43"/>
  <c r="H2884" i="43" s="1"/>
  <c r="G2913" i="43"/>
  <c r="H2913" i="43" s="1"/>
  <c r="G2885" i="43"/>
  <c r="H2885" i="43" s="1"/>
  <c r="G2914" i="43"/>
  <c r="H2914" i="43" s="1"/>
  <c r="G2797" i="43"/>
  <c r="H2797" i="43" s="1"/>
  <c r="G2855" i="43"/>
  <c r="H2855" i="43" s="1"/>
  <c r="G2826" i="43"/>
  <c r="H2826" i="43" s="1"/>
  <c r="G2798" i="43"/>
  <c r="H2798" i="43" s="1"/>
  <c r="G2856" i="43"/>
  <c r="H2856" i="43" s="1"/>
  <c r="G2827" i="43"/>
  <c r="H2827" i="43" s="1"/>
  <c r="G2739" i="43"/>
  <c r="H2739" i="43" s="1"/>
  <c r="G2768" i="43"/>
  <c r="H2768" i="43" s="1"/>
  <c r="G2740" i="43"/>
  <c r="H2740" i="43" s="1"/>
  <c r="G2769" i="43"/>
  <c r="H2769" i="43" s="1"/>
  <c r="G2680" i="43"/>
  <c r="H2680" i="43" s="1"/>
  <c r="G2710" i="43"/>
  <c r="H2710" i="43" s="1"/>
  <c r="G2681" i="43"/>
  <c r="H2681" i="43" s="1"/>
  <c r="G2711" i="43"/>
  <c r="H2711" i="43" s="1"/>
  <c r="G2651" i="43"/>
  <c r="H2651" i="43" s="1"/>
  <c r="G2622" i="43"/>
  <c r="H2622" i="43" s="1"/>
  <c r="G2652" i="43"/>
  <c r="H2652" i="43" s="1"/>
  <c r="G2623" i="43"/>
  <c r="H2623" i="43" s="1"/>
  <c r="G2564" i="43"/>
  <c r="H2564" i="43" s="1"/>
  <c r="G2593" i="43"/>
  <c r="H2593" i="43" s="1"/>
  <c r="G2565" i="43"/>
  <c r="H2565" i="43" s="1"/>
  <c r="G2594" i="43"/>
  <c r="H2594" i="43" s="1"/>
  <c r="G2505" i="43"/>
  <c r="H2505" i="43" s="1"/>
  <c r="G2534" i="43"/>
  <c r="H2534" i="43" s="1"/>
  <c r="G2506" i="43"/>
  <c r="H2506" i="43" s="1"/>
  <c r="G2535" i="43"/>
  <c r="H2535" i="43" s="1"/>
  <c r="G2447" i="43"/>
  <c r="H2447" i="43" s="1"/>
  <c r="G2476" i="43"/>
  <c r="H2476" i="43" s="1"/>
  <c r="G2448" i="43"/>
  <c r="H2448" i="43" s="1"/>
  <c r="G2477" i="43"/>
  <c r="H2477" i="43" s="1"/>
  <c r="G2360" i="43"/>
  <c r="H2360" i="43" s="1"/>
  <c r="G2418" i="43"/>
  <c r="H2418" i="43" s="1"/>
  <c r="G2389" i="43"/>
  <c r="H2389" i="43" s="1"/>
  <c r="G2361" i="43"/>
  <c r="H2361" i="43" s="1"/>
  <c r="G2419" i="43"/>
  <c r="H2419" i="43" s="1"/>
  <c r="G2390" i="43"/>
  <c r="H2390" i="43" s="1"/>
  <c r="G2302" i="43"/>
  <c r="H2302" i="43" s="1"/>
  <c r="G2331" i="43"/>
  <c r="H2331" i="43" s="1"/>
  <c r="G2303" i="43"/>
  <c r="H2303" i="43" s="1"/>
  <c r="G2332" i="43"/>
  <c r="H2332" i="43" s="1"/>
  <c r="G2244" i="43"/>
  <c r="H2244" i="43" s="1"/>
  <c r="G2273" i="43"/>
  <c r="H2273" i="43" s="1"/>
  <c r="G2245" i="43"/>
  <c r="H2245" i="43" s="1"/>
  <c r="G2274" i="43"/>
  <c r="H2274" i="43" s="1"/>
  <c r="G2186" i="43"/>
  <c r="H2186" i="43" s="1"/>
  <c r="G2215" i="43"/>
  <c r="H2215" i="43" s="1"/>
  <c r="G2187" i="43"/>
  <c r="H2187" i="43" s="1"/>
  <c r="G2216" i="43"/>
  <c r="H2216" i="43" s="1"/>
  <c r="G2128" i="43"/>
  <c r="H2128" i="43" s="1"/>
  <c r="G2157" i="43"/>
  <c r="H2157" i="43" s="1"/>
  <c r="G2129" i="43"/>
  <c r="H2129" i="43" s="1"/>
  <c r="G2158" i="43"/>
  <c r="H2158" i="43" s="1"/>
  <c r="G2099" i="43"/>
  <c r="H2099" i="43" s="1"/>
  <c r="G2070" i="43"/>
  <c r="H2070" i="43" s="1"/>
  <c r="G2100" i="43"/>
  <c r="H2100" i="43" s="1"/>
  <c r="G2071" i="43"/>
  <c r="H2071" i="43" s="1"/>
  <c r="G2041" i="43"/>
  <c r="H2041" i="43" s="1"/>
  <c r="G2011" i="43"/>
  <c r="H2011" i="43" s="1"/>
  <c r="G1982" i="43"/>
  <c r="H1982" i="43" s="1"/>
  <c r="G1953" i="43"/>
  <c r="H1953" i="43" s="1"/>
  <c r="G1924" i="43"/>
  <c r="H1924" i="43" s="1"/>
  <c r="G1895" i="43"/>
  <c r="H1895" i="43" s="1"/>
  <c r="G1866" i="43"/>
  <c r="H1866" i="43" s="1"/>
  <c r="G1837" i="43"/>
  <c r="H1837" i="43" s="1"/>
  <c r="G1808" i="43"/>
  <c r="H1808" i="43" s="1"/>
  <c r="G2042" i="43"/>
  <c r="H2042" i="43" s="1"/>
  <c r="G2012" i="43"/>
  <c r="H2012" i="43" s="1"/>
  <c r="G1983" i="43"/>
  <c r="H1983" i="43" s="1"/>
  <c r="G1954" i="43"/>
  <c r="H1954" i="43" s="1"/>
  <c r="G1925" i="43"/>
  <c r="H1925" i="43" s="1"/>
  <c r="G1896" i="43"/>
  <c r="H1896" i="43" s="1"/>
  <c r="G1867" i="43"/>
  <c r="H1867" i="43" s="1"/>
  <c r="G1838" i="43"/>
  <c r="H1838" i="43" s="1"/>
  <c r="G1809" i="43"/>
  <c r="H1809" i="43" s="1"/>
  <c r="G1779" i="43"/>
  <c r="H1779" i="43" s="1"/>
  <c r="G1750" i="43"/>
  <c r="H1750" i="43" s="1"/>
  <c r="G1780" i="43"/>
  <c r="H1780" i="43" s="1"/>
  <c r="G1751" i="43"/>
  <c r="H1751" i="43" s="1"/>
  <c r="G1663" i="43"/>
  <c r="H1663" i="43" s="1"/>
  <c r="G1721" i="43"/>
  <c r="H1721" i="43" s="1"/>
  <c r="G1691" i="43"/>
  <c r="H1691" i="43" s="1"/>
  <c r="G1664" i="43"/>
  <c r="H1664" i="43" s="1"/>
  <c r="G1722" i="43"/>
  <c r="H1722" i="43" s="1"/>
  <c r="G1692" i="43"/>
  <c r="H1692" i="43" s="1"/>
  <c r="G1607" i="43"/>
  <c r="H1607" i="43" s="1"/>
  <c r="G1635" i="43"/>
  <c r="H1635" i="43" s="1"/>
  <c r="G1608" i="43"/>
  <c r="H1608" i="43" s="1"/>
  <c r="G1636" i="43"/>
  <c r="H1636" i="43" s="1"/>
  <c r="G1551" i="43"/>
  <c r="H1551" i="43" s="1"/>
  <c r="G1579" i="43"/>
  <c r="H1579" i="43" s="1"/>
  <c r="G1552" i="43"/>
  <c r="H1552" i="43" s="1"/>
  <c r="G1580" i="43"/>
  <c r="H1580" i="43" s="1"/>
  <c r="G1495" i="43"/>
  <c r="H1495" i="43" s="1"/>
  <c r="G1523" i="43"/>
  <c r="H1523" i="43" s="1"/>
  <c r="G1496" i="43"/>
  <c r="H1496" i="43" s="1"/>
  <c r="G1524" i="43"/>
  <c r="H1524" i="43" s="1"/>
  <c r="G1438" i="43"/>
  <c r="H1438" i="43" s="1"/>
  <c r="G1467" i="43"/>
  <c r="H1467" i="43" s="1"/>
  <c r="G1439" i="43"/>
  <c r="H1439" i="43" s="1"/>
  <c r="G1468" i="43"/>
  <c r="H1468" i="43" s="1"/>
  <c r="G1382" i="43"/>
  <c r="H1382" i="43" s="1"/>
  <c r="G1410" i="43"/>
  <c r="H1410" i="43" s="1"/>
  <c r="G1383" i="43"/>
  <c r="H1383" i="43" s="1"/>
  <c r="G1411" i="43"/>
  <c r="H1411" i="43" s="1"/>
  <c r="G1324" i="43"/>
  <c r="H1324" i="43" s="1"/>
  <c r="G1296" i="43"/>
  <c r="H1296" i="43" s="1"/>
  <c r="G1268" i="43"/>
  <c r="H1268" i="43" s="1"/>
  <c r="G1240" i="43"/>
  <c r="H1240" i="43" s="1"/>
  <c r="G1355" i="43"/>
  <c r="H1355" i="43" s="1"/>
  <c r="G1325" i="43"/>
  <c r="H1325" i="43" s="1"/>
  <c r="G1297" i="43"/>
  <c r="H1297" i="43" s="1"/>
  <c r="G1269" i="43"/>
  <c r="H1269" i="43" s="1"/>
  <c r="G1241" i="43"/>
  <c r="H1241" i="43" s="1"/>
  <c r="G1212" i="43"/>
  <c r="H1212" i="43" s="1"/>
  <c r="G1184" i="43"/>
  <c r="H1184" i="43" s="1"/>
  <c r="G1156" i="43"/>
  <c r="H1156" i="43" s="1"/>
  <c r="G1128" i="43"/>
  <c r="H1128" i="43" s="1"/>
  <c r="G1100" i="43"/>
  <c r="H1100" i="43" s="1"/>
  <c r="G1072" i="43"/>
  <c r="H1072" i="43" s="1"/>
  <c r="G1213" i="43"/>
  <c r="H1213" i="43" s="1"/>
  <c r="G1185" i="43"/>
  <c r="H1185" i="43" s="1"/>
  <c r="G1157" i="43"/>
  <c r="H1157" i="43" s="1"/>
  <c r="G1129" i="43"/>
  <c r="H1129" i="43" s="1"/>
  <c r="G1101" i="43"/>
  <c r="H1101" i="43" s="1"/>
  <c r="G1073" i="43"/>
  <c r="H1073" i="43" s="1"/>
  <c r="G1016" i="43"/>
  <c r="H1016" i="43" s="1"/>
  <c r="G1044" i="43"/>
  <c r="H1044" i="43" s="1"/>
  <c r="G1017" i="43"/>
  <c r="H1017" i="43" s="1"/>
  <c r="G1045" i="43"/>
  <c r="H1045" i="43" s="1"/>
  <c r="G960" i="43"/>
  <c r="H960" i="43" s="1"/>
  <c r="G988" i="43"/>
  <c r="H988" i="43" s="1"/>
  <c r="G961" i="43"/>
  <c r="H961" i="43" s="1"/>
  <c r="G989" i="43"/>
  <c r="H989" i="43" s="1"/>
  <c r="G904" i="43"/>
  <c r="H904" i="43" s="1"/>
  <c r="G932" i="43"/>
  <c r="H932" i="43" s="1"/>
  <c r="G905" i="43"/>
  <c r="H905" i="43" s="1"/>
  <c r="G933" i="43"/>
  <c r="H933" i="43" s="1"/>
  <c r="I557" i="43"/>
  <c r="I558" i="43" s="1"/>
  <c r="F583" i="43" s="1"/>
  <c r="I309" i="43"/>
  <c r="I310" i="43" s="1"/>
  <c r="F337" i="43" s="1"/>
  <c r="H337" i="43" s="1"/>
  <c r="P34" i="43"/>
  <c r="P35" i="43" s="1"/>
  <c r="H2687" i="1" s="1"/>
  <c r="O34" i="43"/>
  <c r="O35" i="43" s="1"/>
  <c r="H2673" i="1" s="1"/>
  <c r="G524" i="43" s="1"/>
  <c r="H524" i="43" s="1"/>
  <c r="N34" i="43"/>
  <c r="N35" i="43" s="1"/>
  <c r="K2662" i="1" s="1"/>
  <c r="L28" i="43"/>
  <c r="M37" i="43"/>
  <c r="M28" i="43" s="1"/>
  <c r="M34" i="43" s="1"/>
  <c r="M35" i="43" s="1"/>
  <c r="L29" i="43"/>
  <c r="M39" i="43"/>
  <c r="K34" i="43"/>
  <c r="K35" i="43" s="1"/>
  <c r="G772" i="27"/>
  <c r="F772" i="27"/>
  <c r="G730" i="27"/>
  <c r="F730" i="27"/>
  <c r="G193" i="27"/>
  <c r="F193" i="27"/>
  <c r="E1472" i="27"/>
  <c r="E1498" i="27"/>
  <c r="E1543" i="27"/>
  <c r="E1546" i="27"/>
  <c r="E1602" i="27"/>
  <c r="E1622" i="27"/>
  <c r="E1630" i="27"/>
  <c r="E1648" i="27"/>
  <c r="E1666" i="27"/>
  <c r="E1711" i="27"/>
  <c r="J276" i="2"/>
  <c r="H6312" i="26"/>
  <c r="H6656" i="26"/>
  <c r="H6662" i="26" s="1"/>
  <c r="H6885" i="26"/>
  <c r="H7118" i="26"/>
  <c r="H7124" i="26" s="1"/>
  <c r="H7308" i="26"/>
  <c r="H7314" i="26" s="1"/>
  <c r="H7476" i="26"/>
  <c r="H7482" i="26" s="1"/>
  <c r="H7683" i="26"/>
  <c r="H7689" i="26" s="1"/>
  <c r="H7771" i="26"/>
  <c r="H6298" i="26"/>
  <c r="H8346" i="26"/>
  <c r="H8492" i="26"/>
  <c r="H8646" i="26"/>
  <c r="H8652" i="26" s="1"/>
  <c r="H6335" i="26"/>
  <c r="H6775" i="26"/>
  <c r="H6781" i="26" s="1"/>
  <c r="H7872" i="26"/>
  <c r="H7878" i="26" s="1"/>
  <c r="H8091" i="26"/>
  <c r="H8097" i="26" s="1"/>
  <c r="H8471" i="26"/>
  <c r="H8477" i="26" s="1"/>
  <c r="H8560" i="26"/>
  <c r="H8566" i="26" s="1"/>
  <c r="H6360" i="26"/>
  <c r="H7152" i="26"/>
  <c r="H7158" i="26" s="1"/>
  <c r="H7510" i="26"/>
  <c r="H7516" i="26" s="1"/>
  <c r="H6481" i="26"/>
  <c r="H6487" i="26" s="1"/>
  <c r="H6570" i="26"/>
  <c r="H6576" i="26" s="1"/>
  <c r="H6908" i="26"/>
  <c r="H7031" i="26"/>
  <c r="H7037" i="26" s="1"/>
  <c r="H7794" i="26"/>
  <c r="H7982" i="26"/>
  <c r="H7988" i="26" s="1"/>
  <c r="H8164" i="26"/>
  <c r="H8629" i="26"/>
  <c r="H8635" i="26" s="1"/>
  <c r="H8835" i="26"/>
  <c r="H8841" i="26" s="1"/>
  <c r="H9042" i="26"/>
  <c r="H9048" i="26" s="1"/>
  <c r="H9247" i="26"/>
  <c r="H9253" i="26" s="1"/>
  <c r="H6140" i="26"/>
  <c r="H6229" i="26"/>
  <c r="H6464" i="26"/>
  <c r="H6470" i="26" s="1"/>
  <c r="H6553" i="26"/>
  <c r="H6559" i="26" s="1"/>
  <c r="H7014" i="26"/>
  <c r="H7020" i="26" s="1"/>
  <c r="H7203" i="26"/>
  <c r="H7209" i="26" s="1"/>
  <c r="H7381" i="26"/>
  <c r="H7578" i="26"/>
  <c r="H7584" i="26" s="1"/>
  <c r="H7855" i="26"/>
  <c r="H7861" i="26" s="1"/>
  <c r="H7965" i="26"/>
  <c r="H7971" i="26" s="1"/>
  <c r="H8073" i="26"/>
  <c r="H8079" i="26" s="1"/>
  <c r="H6758" i="26"/>
  <c r="H6764" i="26" s="1"/>
  <c r="H6088" i="26"/>
  <c r="H8869" i="26"/>
  <c r="H8875" i="26" s="1"/>
  <c r="H9077" i="26"/>
  <c r="H9083" i="26" s="1"/>
  <c r="H9282" i="26"/>
  <c r="H6278" i="26"/>
  <c r="H6411" i="26"/>
  <c r="H6416" i="26" s="1"/>
  <c r="H6431" i="26"/>
  <c r="H8133" i="26"/>
  <c r="H7329" i="26"/>
  <c r="H8234" i="26"/>
  <c r="H8240" i="26" s="1"/>
  <c r="H8436" i="26"/>
  <c r="H8442" i="26" s="1"/>
  <c r="H8525" i="26"/>
  <c r="H8531" i="26" s="1"/>
  <c r="H8732" i="26"/>
  <c r="H8738" i="26" s="1"/>
  <c r="H8938" i="26"/>
  <c r="H8944" i="26" s="1"/>
  <c r="H9145" i="26"/>
  <c r="H9151" i="26" s="1"/>
  <c r="H9323" i="26"/>
  <c r="H6941" i="26"/>
  <c r="H6050" i="26"/>
  <c r="H6375" i="26"/>
  <c r="H6673" i="26"/>
  <c r="H6679" i="26" s="1"/>
  <c r="H6965" i="26"/>
  <c r="H7135" i="26"/>
  <c r="H7141" i="26" s="1"/>
  <c r="H7325" i="26"/>
  <c r="H7493" i="26"/>
  <c r="H7499" i="26" s="1"/>
  <c r="H7700" i="26"/>
  <c r="H7706" i="26" s="1"/>
  <c r="H8253" i="26"/>
  <c r="H8453" i="26"/>
  <c r="H8459" i="26" s="1"/>
  <c r="H8543" i="26"/>
  <c r="H8549" i="26" s="1"/>
  <c r="H8749" i="26"/>
  <c r="H8755" i="26" s="1"/>
  <c r="H8955" i="26"/>
  <c r="H8961" i="26" s="1"/>
  <c r="H9162" i="26"/>
  <c r="H9168" i="26" s="1"/>
  <c r="H9309" i="26"/>
  <c r="H5995" i="26"/>
  <c r="H6259" i="26"/>
  <c r="H6587" i="26"/>
  <c r="H6593" i="26" s="1"/>
  <c r="H6792" i="26"/>
  <c r="H7048" i="26"/>
  <c r="H7054" i="26" s="1"/>
  <c r="H7238" i="26"/>
  <c r="H7244" i="26" s="1"/>
  <c r="H7417" i="26"/>
  <c r="H7423" i="26" s="1"/>
  <c r="H7612" i="26"/>
  <c r="H7618" i="26" s="1"/>
  <c r="H7890" i="26"/>
  <c r="H7896" i="26" s="1"/>
  <c r="H7999" i="26"/>
  <c r="H8005" i="26" s="1"/>
  <c r="H8109" i="26"/>
  <c r="H8115" i="26" s="1"/>
  <c r="H8147" i="26"/>
  <c r="H8153" i="26" s="1"/>
  <c r="H8275" i="26"/>
  <c r="H8281" i="26" s="1"/>
  <c r="H8367" i="26"/>
  <c r="H8373" i="26" s="1"/>
  <c r="H8664" i="26"/>
  <c r="H8670" i="26" s="1"/>
  <c r="H8783" i="26"/>
  <c r="H8789" i="26" s="1"/>
  <c r="H8991" i="26"/>
  <c r="H8997" i="26" s="1"/>
  <c r="H9196" i="26"/>
  <c r="H9202" i="26" s="1"/>
  <c r="H7527" i="26"/>
  <c r="H7533" i="26" s="1"/>
  <c r="H7735" i="26"/>
  <c r="H7741" i="26" s="1"/>
  <c r="H8331" i="26"/>
  <c r="H8488" i="26"/>
  <c r="H8578" i="26"/>
  <c r="H8584" i="26" s="1"/>
  <c r="H6144" i="26"/>
  <c r="H6355" i="26"/>
  <c r="H6622" i="26"/>
  <c r="H6628" i="26" s="1"/>
  <c r="H6839" i="26"/>
  <c r="H7083" i="26"/>
  <c r="H7089" i="26" s="1"/>
  <c r="H7273" i="26"/>
  <c r="H7279" i="26" s="1"/>
  <c r="H7362" i="26"/>
  <c r="H7385" i="26"/>
  <c r="H7452" i="26"/>
  <c r="H7648" i="26"/>
  <c r="H7654" i="26" s="1"/>
  <c r="H7924" i="26"/>
  <c r="H8033" i="26"/>
  <c r="H8039" i="26" s="1"/>
  <c r="H8199" i="26"/>
  <c r="H8205" i="26" s="1"/>
  <c r="H8310" i="26"/>
  <c r="H8316" i="26" s="1"/>
  <c r="H8401" i="26"/>
  <c r="H8407" i="26" s="1"/>
  <c r="H8698" i="26"/>
  <c r="H8704" i="26" s="1"/>
  <c r="H8903" i="26"/>
  <c r="H8909" i="26" s="1"/>
  <c r="H9111" i="26"/>
  <c r="H9117" i="26" s="1"/>
  <c r="H6707" i="26"/>
  <c r="H6713" i="26" s="1"/>
  <c r="H6815" i="26"/>
  <c r="H6379" i="26"/>
  <c r="H6446" i="26"/>
  <c r="H6452" i="26" s="1"/>
  <c r="H6536" i="26"/>
  <c r="H6542" i="26" s="1"/>
  <c r="H6741" i="26"/>
  <c r="H6747" i="26" s="1"/>
  <c r="H6862" i="26"/>
  <c r="H6996" i="26"/>
  <c r="H7002" i="26" s="1"/>
  <c r="H7186" i="26"/>
  <c r="H7192" i="26" s="1"/>
  <c r="H7561" i="26"/>
  <c r="H7567" i="26" s="1"/>
  <c r="H7838" i="26"/>
  <c r="H7844" i="26" s="1"/>
  <c r="H7948" i="26"/>
  <c r="H7954" i="26" s="1"/>
  <c r="H8612" i="26"/>
  <c r="H8618" i="26" s="1"/>
  <c r="H8817" i="26"/>
  <c r="H8823" i="26" s="1"/>
  <c r="H9025" i="26"/>
  <c r="H9031" i="26" s="1"/>
  <c r="H9230" i="26"/>
  <c r="H9236" i="26" s="1"/>
  <c r="H7220" i="26"/>
  <c r="H7226" i="26" s="1"/>
  <c r="H7595" i="26"/>
  <c r="H7601" i="26" s="1"/>
  <c r="H8261" i="26"/>
  <c r="H8852" i="26"/>
  <c r="H8858" i="26" s="1"/>
  <c r="H9060" i="26"/>
  <c r="H9066" i="26" s="1"/>
  <c r="H9264" i="26"/>
  <c r="H9270" i="26" s="1"/>
  <c r="H6824" i="26"/>
  <c r="H6801" i="26"/>
  <c r="H6848" i="26"/>
  <c r="H6932" i="26"/>
  <c r="H7399" i="26"/>
  <c r="H7718" i="26"/>
  <c r="H7724" i="26" s="1"/>
  <c r="H8766" i="26"/>
  <c r="H8772" i="26" s="1"/>
  <c r="H8973" i="26"/>
  <c r="H8979" i="26" s="1"/>
  <c r="H9179" i="26"/>
  <c r="H9185" i="26" s="1"/>
  <c r="H5902" i="26"/>
  <c r="H5908" i="26" s="1"/>
  <c r="H6083" i="26"/>
  <c r="H6158" i="26"/>
  <c r="H6164" i="26" s="1"/>
  <c r="H6292" i="26"/>
  <c r="H6394" i="26"/>
  <c r="H6400" i="26" s="1"/>
  <c r="H6690" i="26"/>
  <c r="H6696" i="26" s="1"/>
  <c r="H6107" i="26"/>
  <c r="H6427" i="26"/>
  <c r="H6605" i="26"/>
  <c r="H6611" i="26" s="1"/>
  <c r="H6871" i="26"/>
  <c r="H6956" i="26"/>
  <c r="H7066" i="26"/>
  <c r="H7072" i="26" s="1"/>
  <c r="H7255" i="26"/>
  <c r="H7261" i="26" s="1"/>
  <c r="H7344" i="26"/>
  <c r="H7350" i="26" s="1"/>
  <c r="H7434" i="26"/>
  <c r="H7440" i="26" s="1"/>
  <c r="H7630" i="26"/>
  <c r="H7636" i="26" s="1"/>
  <c r="H7907" i="26"/>
  <c r="H7913" i="26" s="1"/>
  <c r="H8016" i="26"/>
  <c r="H8022" i="26" s="1"/>
  <c r="H8127" i="26"/>
  <c r="H8181" i="26"/>
  <c r="H8187" i="26" s="1"/>
  <c r="H8292" i="26"/>
  <c r="H8298" i="26" s="1"/>
  <c r="H8384" i="26"/>
  <c r="H8390" i="26" s="1"/>
  <c r="H8681" i="26"/>
  <c r="H8687" i="26" s="1"/>
  <c r="H8886" i="26"/>
  <c r="H8892" i="26" s="1"/>
  <c r="H9094" i="26"/>
  <c r="H9100" i="26" s="1"/>
  <c r="H9303" i="26"/>
  <c r="H6250" i="26"/>
  <c r="H6321" i="26"/>
  <c r="H6519" i="26"/>
  <c r="H6525" i="26" s="1"/>
  <c r="H6724" i="26"/>
  <c r="H6730" i="26" s="1"/>
  <c r="H6894" i="26"/>
  <c r="H6979" i="26"/>
  <c r="H6985" i="26" s="1"/>
  <c r="H7169" i="26"/>
  <c r="H7175" i="26" s="1"/>
  <c r="H7461" i="26"/>
  <c r="H7544" i="26"/>
  <c r="H7550" i="26" s="1"/>
  <c r="H7752" i="26"/>
  <c r="H7780" i="26"/>
  <c r="H7821" i="26"/>
  <c r="H7827" i="26" s="1"/>
  <c r="H7933" i="26"/>
  <c r="H8595" i="26"/>
  <c r="H8601" i="26" s="1"/>
  <c r="H8800" i="26"/>
  <c r="H8806" i="26" s="1"/>
  <c r="H9008" i="26"/>
  <c r="H9014" i="26" s="1"/>
  <c r="H9213" i="26"/>
  <c r="H9219" i="26" s="1"/>
  <c r="H6273" i="26"/>
  <c r="H6340" i="26"/>
  <c r="H6639" i="26"/>
  <c r="H6645" i="26" s="1"/>
  <c r="H6917" i="26"/>
  <c r="H7101" i="26"/>
  <c r="H7107" i="26" s="1"/>
  <c r="H7290" i="26"/>
  <c r="H7296" i="26" s="1"/>
  <c r="H7665" i="26"/>
  <c r="H7671" i="26" s="1"/>
  <c r="H7805" i="26"/>
  <c r="H8050" i="26"/>
  <c r="H8217" i="26"/>
  <c r="H8223" i="26" s="1"/>
  <c r="H8327" i="26"/>
  <c r="H8418" i="26"/>
  <c r="H8424" i="26" s="1"/>
  <c r="H8507" i="26"/>
  <c r="H8513" i="26" s="1"/>
  <c r="H8715" i="26"/>
  <c r="H8721" i="26" s="1"/>
  <c r="H8920" i="26"/>
  <c r="H8926" i="26" s="1"/>
  <c r="H9128" i="26"/>
  <c r="H9134" i="26" s="1"/>
  <c r="H9329" i="26"/>
  <c r="H8059" i="26"/>
  <c r="H7366" i="26"/>
  <c r="H6235" i="26"/>
  <c r="H6211" i="26"/>
  <c r="H6217" i="26" s="1"/>
  <c r="H6031" i="26"/>
  <c r="H6045" i="26"/>
  <c r="H5884" i="26"/>
  <c r="H5959" i="26"/>
  <c r="H5973" i="26"/>
  <c r="H5991" i="26"/>
  <c r="H6009" i="26"/>
  <c r="H6015" i="26" s="1"/>
  <c r="H6193" i="26"/>
  <c r="H6199" i="26" s="1"/>
  <c r="H6027" i="26"/>
  <c r="H6102" i="26"/>
  <c r="H5955" i="26"/>
  <c r="H5919" i="26"/>
  <c r="H5923" i="26"/>
  <c r="H5938" i="26"/>
  <c r="H5944" i="26" s="1"/>
  <c r="H6121" i="26"/>
  <c r="H6126" i="26"/>
  <c r="H6175" i="26"/>
  <c r="H6181" i="26" s="1"/>
  <c r="H6068" i="26"/>
  <c r="H6064" i="26"/>
  <c r="H5867" i="26"/>
  <c r="H5873" i="26" s="1"/>
  <c r="H5874" i="26" s="1"/>
  <c r="H5875" i="26" s="1"/>
  <c r="I5860" i="26" s="1"/>
  <c r="H5836" i="26"/>
  <c r="H5832" i="26"/>
  <c r="H5850" i="26"/>
  <c r="H5856" i="26" s="1"/>
  <c r="H5857" i="26" s="1"/>
  <c r="H5858" i="26" s="1"/>
  <c r="I5843" i="26" s="1"/>
  <c r="H5815" i="26"/>
  <c r="H5821" i="26" s="1"/>
  <c r="G5805" i="26"/>
  <c r="H5803" i="26"/>
  <c r="G5800" i="26"/>
  <c r="H5800" i="26" s="1"/>
  <c r="H5801" i="26" s="1"/>
  <c r="G5797" i="26"/>
  <c r="H5797" i="26" s="1"/>
  <c r="G5796" i="26"/>
  <c r="H5796" i="26" s="1"/>
  <c r="G5795" i="26"/>
  <c r="H5795" i="26" s="1"/>
  <c r="G5794" i="26"/>
  <c r="H5794" i="26" s="1"/>
  <c r="G5781" i="26"/>
  <c r="H5781" i="26" s="1"/>
  <c r="G5787" i="26"/>
  <c r="H5785" i="26"/>
  <c r="G5782" i="26"/>
  <c r="H5782" i="26" s="1"/>
  <c r="G5780" i="26"/>
  <c r="H5780" i="26" s="1"/>
  <c r="G5777" i="26"/>
  <c r="H5777" i="26" s="1"/>
  <c r="G5776" i="26"/>
  <c r="H5776" i="26" s="1"/>
  <c r="G5775" i="26"/>
  <c r="H5775" i="26" s="1"/>
  <c r="G5774" i="26"/>
  <c r="H5774" i="26" s="1"/>
  <c r="G5767" i="26"/>
  <c r="H5765" i="26"/>
  <c r="G5762" i="26"/>
  <c r="H5762" i="26" s="1"/>
  <c r="G5761" i="26"/>
  <c r="H5761" i="26" s="1"/>
  <c r="G5758" i="26"/>
  <c r="H5758" i="26" s="1"/>
  <c r="G5757" i="26"/>
  <c r="H5757" i="26" s="1"/>
  <c r="G5756" i="26"/>
  <c r="H5756" i="26" s="1"/>
  <c r="G5755" i="26"/>
  <c r="H5755" i="26" s="1"/>
  <c r="G5743" i="26"/>
  <c r="H5743" i="26" s="1"/>
  <c r="G5749" i="26"/>
  <c r="H5747" i="26"/>
  <c r="G5744" i="26"/>
  <c r="H5744" i="26" s="1"/>
  <c r="G5742" i="26"/>
  <c r="H5742" i="26" s="1"/>
  <c r="G5739" i="26"/>
  <c r="H5739" i="26" s="1"/>
  <c r="G5738" i="26"/>
  <c r="H5738" i="26" s="1"/>
  <c r="G5737" i="26"/>
  <c r="H5737" i="26" s="1"/>
  <c r="G5736" i="26"/>
  <c r="H5736" i="26" s="1"/>
  <c r="G5724" i="26"/>
  <c r="H5724" i="26" s="1"/>
  <c r="G5730" i="26"/>
  <c r="H5728" i="26"/>
  <c r="G5725" i="26"/>
  <c r="H5725" i="26" s="1"/>
  <c r="G5721" i="26"/>
  <c r="H5721" i="26" s="1"/>
  <c r="G5720" i="26"/>
  <c r="H5720" i="26" s="1"/>
  <c r="G5719" i="26"/>
  <c r="H5719" i="26" s="1"/>
  <c r="G5718" i="26"/>
  <c r="H5718" i="26" s="1"/>
  <c r="G5712" i="26"/>
  <c r="H5710" i="26"/>
  <c r="G5707" i="26"/>
  <c r="H5707" i="26" s="1"/>
  <c r="H5708" i="26" s="1"/>
  <c r="G5704" i="26"/>
  <c r="H5704" i="26" s="1"/>
  <c r="G5703" i="26"/>
  <c r="H5703" i="26" s="1"/>
  <c r="G5702" i="26"/>
  <c r="H5702" i="26" s="1"/>
  <c r="G5701" i="26"/>
  <c r="H5701" i="26" s="1"/>
  <c r="G5695" i="26"/>
  <c r="H5693" i="26"/>
  <c r="G5690" i="26"/>
  <c r="H5690" i="26" s="1"/>
  <c r="G5689" i="26"/>
  <c r="H5689" i="26" s="1"/>
  <c r="G5688" i="26"/>
  <c r="H5688" i="26" s="1"/>
  <c r="G5687" i="26"/>
  <c r="H5687" i="26" s="1"/>
  <c r="G5686" i="26"/>
  <c r="H5686" i="26" s="1"/>
  <c r="G5685" i="26"/>
  <c r="H5685" i="26" s="1"/>
  <c r="G5684" i="26"/>
  <c r="H5684" i="26" s="1"/>
  <c r="G5683" i="26"/>
  <c r="H5683" i="26" s="1"/>
  <c r="G5682" i="26"/>
  <c r="H5682" i="26" s="1"/>
  <c r="G5681" i="26"/>
  <c r="H5681" i="26" s="1"/>
  <c r="G5678" i="26"/>
  <c r="H5678" i="26" s="1"/>
  <c r="G5677" i="26"/>
  <c r="H5677" i="26" s="1"/>
  <c r="G5676" i="26"/>
  <c r="H5676" i="26" s="1"/>
  <c r="G5675" i="26"/>
  <c r="H5675" i="26" s="1"/>
  <c r="G5655" i="26"/>
  <c r="H5655" i="26" s="1"/>
  <c r="G5656" i="26"/>
  <c r="H5656" i="26" s="1"/>
  <c r="G5657" i="26"/>
  <c r="H5657" i="26" s="1"/>
  <c r="G5658" i="26"/>
  <c r="H5658" i="26" s="1"/>
  <c r="G5659" i="26"/>
  <c r="H5659" i="26" s="1"/>
  <c r="G5660" i="26"/>
  <c r="H5660" i="26" s="1"/>
  <c r="G5661" i="26"/>
  <c r="H5661" i="26" s="1"/>
  <c r="G5662" i="26"/>
  <c r="H5662" i="26" s="1"/>
  <c r="G5663" i="26"/>
  <c r="H5663" i="26" s="1"/>
  <c r="G5664" i="26"/>
  <c r="H5664" i="26" s="1"/>
  <c r="G5669" i="26"/>
  <c r="H5667" i="26"/>
  <c r="G5652" i="26"/>
  <c r="H5652" i="26" s="1"/>
  <c r="G5651" i="26"/>
  <c r="H5651" i="26" s="1"/>
  <c r="G5650" i="26"/>
  <c r="H5650" i="26" s="1"/>
  <c r="G5649" i="26"/>
  <c r="H5649" i="26" s="1"/>
  <c r="G5641" i="26"/>
  <c r="H5639" i="26"/>
  <c r="G5636" i="26"/>
  <c r="H5636" i="26" s="1"/>
  <c r="H5637" i="26" s="1"/>
  <c r="G5633" i="26"/>
  <c r="H5633" i="26" s="1"/>
  <c r="G5632" i="26"/>
  <c r="H5632" i="26" s="1"/>
  <c r="G5631" i="26"/>
  <c r="H5631" i="26" s="1"/>
  <c r="G5630" i="26"/>
  <c r="H5630" i="26" s="1"/>
  <c r="G5624" i="26"/>
  <c r="H5622" i="26"/>
  <c r="G5619" i="26"/>
  <c r="H5619" i="26" s="1"/>
  <c r="H5620" i="26" s="1"/>
  <c r="G5616" i="26"/>
  <c r="H5616" i="26" s="1"/>
  <c r="G5615" i="26"/>
  <c r="H5615" i="26" s="1"/>
  <c r="G5614" i="26"/>
  <c r="H5614" i="26" s="1"/>
  <c r="G5613" i="26"/>
  <c r="H5613" i="26" s="1"/>
  <c r="G5607" i="26"/>
  <c r="H5605" i="26"/>
  <c r="G5602" i="26"/>
  <c r="H5602" i="26" s="1"/>
  <c r="H5603" i="26" s="1"/>
  <c r="G5599" i="26"/>
  <c r="H5599" i="26" s="1"/>
  <c r="G5598" i="26"/>
  <c r="H5598" i="26" s="1"/>
  <c r="G5597" i="26"/>
  <c r="H5597" i="26" s="1"/>
  <c r="G5596" i="26"/>
  <c r="H5596" i="26" s="1"/>
  <c r="G5590" i="26"/>
  <c r="H5588" i="26"/>
  <c r="G5585" i="26"/>
  <c r="H5585" i="26" s="1"/>
  <c r="H5586" i="26" s="1"/>
  <c r="G5582" i="26"/>
  <c r="H5582" i="26" s="1"/>
  <c r="G5581" i="26"/>
  <c r="H5581" i="26" s="1"/>
  <c r="G5580" i="26"/>
  <c r="H5580" i="26" s="1"/>
  <c r="G5579" i="26"/>
  <c r="H5579" i="26" s="1"/>
  <c r="G5573" i="26"/>
  <c r="H5571" i="26"/>
  <c r="G5568" i="26"/>
  <c r="H5568" i="26" s="1"/>
  <c r="H5569" i="26" s="1"/>
  <c r="G5565" i="26"/>
  <c r="H5565" i="26" s="1"/>
  <c r="G5564" i="26"/>
  <c r="H5564" i="26" s="1"/>
  <c r="G5563" i="26"/>
  <c r="H5563" i="26" s="1"/>
  <c r="G5562" i="26"/>
  <c r="H5562" i="26" s="1"/>
  <c r="G205" i="54" l="1"/>
  <c r="F25" i="54" s="1"/>
  <c r="G25" i="54" s="1"/>
  <c r="G134" i="54"/>
  <c r="F18" i="54" s="1"/>
  <c r="G18" i="54" s="1"/>
  <c r="G134" i="53"/>
  <c r="F18" i="53" s="1"/>
  <c r="G18" i="53" s="1"/>
  <c r="G205" i="53"/>
  <c r="F25" i="53" s="1"/>
  <c r="G25" i="53" s="1"/>
  <c r="H754" i="43"/>
  <c r="G1821" i="27"/>
  <c r="H332" i="43"/>
  <c r="H696" i="43"/>
  <c r="F1837" i="27"/>
  <c r="H394" i="43"/>
  <c r="H525" i="43"/>
  <c r="H7479" i="43"/>
  <c r="H7480" i="43" s="1"/>
  <c r="H7481" i="43" s="1"/>
  <c r="R7467" i="43" s="1"/>
  <c r="E1510" i="27"/>
  <c r="G1838" i="27"/>
  <c r="E1511" i="27"/>
  <c r="H518" i="43"/>
  <c r="H637" i="43"/>
  <c r="H6343" i="26"/>
  <c r="H6344" i="26" s="1"/>
  <c r="H6345" i="26" s="1"/>
  <c r="I6328" i="26" s="1"/>
  <c r="F1822" i="27"/>
  <c r="H812" i="43"/>
  <c r="H578" i="43"/>
  <c r="H157" i="8"/>
  <c r="H158" i="8" s="1"/>
  <c r="H159" i="8" s="1"/>
  <c r="I141" i="8" s="1"/>
  <c r="H456" i="43"/>
  <c r="H1960" i="37"/>
  <c r="H1961" i="37" s="1"/>
  <c r="I1946" i="37" s="1"/>
  <c r="H1943" i="37"/>
  <c r="H1944" i="37" s="1"/>
  <c r="I1929" i="37" s="1"/>
  <c r="H1926" i="37"/>
  <c r="H1927" i="37" s="1"/>
  <c r="I1912" i="37" s="1"/>
  <c r="H1909" i="37"/>
  <c r="H1910" i="37" s="1"/>
  <c r="I1895" i="37" s="1"/>
  <c r="H1875" i="37"/>
  <c r="H1876" i="37" s="1"/>
  <c r="I1861" i="37" s="1"/>
  <c r="H1858" i="37"/>
  <c r="H1859" i="37" s="1"/>
  <c r="I1844" i="37" s="1"/>
  <c r="H1841" i="37"/>
  <c r="H1842" i="37" s="1"/>
  <c r="I1827" i="37" s="1"/>
  <c r="H1824" i="37"/>
  <c r="H1825" i="37" s="1"/>
  <c r="I1810" i="37" s="1"/>
  <c r="H1807" i="37"/>
  <c r="H1808" i="37" s="1"/>
  <c r="I1793" i="37" s="1"/>
  <c r="H1790" i="37"/>
  <c r="H1791" i="37" s="1"/>
  <c r="I1776" i="37" s="1"/>
  <c r="H1773" i="37"/>
  <c r="H1774" i="37" s="1"/>
  <c r="I1759" i="37" s="1"/>
  <c r="H1756" i="37"/>
  <c r="H1757" i="37" s="1"/>
  <c r="I1742" i="37" s="1"/>
  <c r="H1739" i="37"/>
  <c r="H1740" i="37" s="1"/>
  <c r="I1725" i="37" s="1"/>
  <c r="H1722" i="37"/>
  <c r="H1723" i="37" s="1"/>
  <c r="I1708" i="37" s="1"/>
  <c r="H5980" i="26"/>
  <c r="H5981" i="26" s="1"/>
  <c r="H5982" i="26" s="1"/>
  <c r="I5966" i="26" s="1"/>
  <c r="H3457" i="43"/>
  <c r="H3216" i="43"/>
  <c r="H6576" i="43"/>
  <c r="H6466" i="43"/>
  <c r="H7491" i="43"/>
  <c r="H7496" i="43" s="1"/>
  <c r="H7497" i="43" s="1"/>
  <c r="H7498" i="43" s="1"/>
  <c r="R7485" i="43" s="1"/>
  <c r="H116" i="8"/>
  <c r="H117" i="8" s="1"/>
  <c r="H118" i="8" s="1"/>
  <c r="I102" i="8" s="1"/>
  <c r="H6281" i="26"/>
  <c r="H6282" i="26" s="1"/>
  <c r="H6283" i="26" s="1"/>
  <c r="I6266" i="26" s="1"/>
  <c r="H6324" i="26"/>
  <c r="H6325" i="26" s="1"/>
  <c r="H6326" i="26" s="1"/>
  <c r="I6305" i="26" s="1"/>
  <c r="H6301" i="26"/>
  <c r="H6302" i="26" s="1"/>
  <c r="H6303" i="26" s="1"/>
  <c r="I6285" i="26" s="1"/>
  <c r="H6147" i="26"/>
  <c r="H6148" i="26" s="1"/>
  <c r="H6149" i="26" s="1"/>
  <c r="I6133" i="26" s="1"/>
  <c r="H3670" i="43"/>
  <c r="H3684" i="43" s="1"/>
  <c r="H3685" i="43" s="1"/>
  <c r="H3686" i="43" s="1"/>
  <c r="R3663" i="43" s="1"/>
  <c r="H3786" i="43"/>
  <c r="H3800" i="43" s="1"/>
  <c r="H3801" i="43" s="1"/>
  <c r="H3802" i="43" s="1"/>
  <c r="R3779" i="43" s="1"/>
  <c r="H4139" i="43"/>
  <c r="H3035" i="43"/>
  <c r="H6411" i="43"/>
  <c r="H6604" i="43"/>
  <c r="H6616" i="43" s="1"/>
  <c r="H6617" i="43" s="1"/>
  <c r="H6618" i="43" s="1"/>
  <c r="R6597" i="43" s="1"/>
  <c r="H7759" i="26"/>
  <c r="H7760" i="26" s="1"/>
  <c r="H7761" i="26" s="1"/>
  <c r="I7745" i="26" s="1"/>
  <c r="H3845" i="43"/>
  <c r="H4622" i="43"/>
  <c r="H6053" i="26"/>
  <c r="H6054" i="26" s="1"/>
  <c r="H6055" i="26" s="1"/>
  <c r="I6038" i="26" s="1"/>
  <c r="H3306" i="43"/>
  <c r="H3366" i="43"/>
  <c r="H3517" i="43"/>
  <c r="H3757" i="43"/>
  <c r="H3771" i="43" s="1"/>
  <c r="H3772" i="43" s="1"/>
  <c r="H3773" i="43" s="1"/>
  <c r="R3750" i="43" s="1"/>
  <c r="H3990" i="43"/>
  <c r="H4049" i="43"/>
  <c r="H4169" i="43"/>
  <c r="H4502" i="43"/>
  <c r="H6827" i="26"/>
  <c r="H6828" i="26" s="1"/>
  <c r="H6829" i="26" s="1"/>
  <c r="I6808" i="26" s="1"/>
  <c r="H3095" i="43"/>
  <c r="H3155" i="43"/>
  <c r="H4351" i="43"/>
  <c r="H4411" i="43"/>
  <c r="H4532" i="43"/>
  <c r="H6331" i="43"/>
  <c r="H80" i="8"/>
  <c r="H81" i="8" s="1"/>
  <c r="H82" i="8" s="1"/>
  <c r="I64" i="8" s="1"/>
  <c r="H3065" i="43"/>
  <c r="H3246" i="43"/>
  <c r="H3487" i="43"/>
  <c r="H3607" i="43"/>
  <c r="H3641" i="43"/>
  <c r="H3728" i="43"/>
  <c r="H3742" i="43" s="1"/>
  <c r="H3743" i="43" s="1"/>
  <c r="H3744" i="43" s="1"/>
  <c r="R3721" i="43" s="1"/>
  <c r="H3903" i="43"/>
  <c r="H4230" i="43"/>
  <c r="H6384" i="43"/>
  <c r="H6396" i="43" s="1"/>
  <c r="H6397" i="43" s="1"/>
  <c r="H6398" i="43" s="1"/>
  <c r="R6377" i="43" s="1"/>
  <c r="H6494" i="43"/>
  <c r="H6506" i="43" s="1"/>
  <c r="H6507" i="43" s="1"/>
  <c r="H6508" i="43" s="1"/>
  <c r="R6487" i="43" s="1"/>
  <c r="H6521" i="43"/>
  <c r="H6631" i="43"/>
  <c r="H8334" i="26"/>
  <c r="H8335" i="26" s="1"/>
  <c r="H8336" i="26" s="1"/>
  <c r="I8320" i="26" s="1"/>
  <c r="H7464" i="26"/>
  <c r="H7465" i="26" s="1"/>
  <c r="H7466" i="26" s="1"/>
  <c r="I7445" i="26" s="1"/>
  <c r="H9312" i="26"/>
  <c r="H9313" i="26" s="1"/>
  <c r="H9314" i="26" s="1"/>
  <c r="I9296" i="26" s="1"/>
  <c r="H6091" i="26"/>
  <c r="H6092" i="26" s="1"/>
  <c r="H6093" i="26" s="1"/>
  <c r="I6076" i="26" s="1"/>
  <c r="H6851" i="26"/>
  <c r="H6852" i="26" s="1"/>
  <c r="H6853" i="26" s="1"/>
  <c r="I6832" i="26" s="1"/>
  <c r="H3005" i="43"/>
  <c r="H4079" i="43"/>
  <c r="H4200" i="43"/>
  <c r="H4320" i="43"/>
  <c r="H8136" i="26"/>
  <c r="H8137" i="26" s="1"/>
  <c r="H8138" i="26" s="1"/>
  <c r="I8120" i="26" s="1"/>
  <c r="H7783" i="26"/>
  <c r="H7784" i="26" s="1"/>
  <c r="H7785" i="26" s="1"/>
  <c r="I7764" i="26" s="1"/>
  <c r="H6804" i="26"/>
  <c r="H6805" i="26" s="1"/>
  <c r="H6806" i="26" s="1"/>
  <c r="I6785" i="26" s="1"/>
  <c r="H907" i="43"/>
  <c r="H3932" i="43"/>
  <c r="H3946" i="43" s="1"/>
  <c r="H3947" i="43" s="1"/>
  <c r="H3948" i="43" s="1"/>
  <c r="R3925" i="43" s="1"/>
  <c r="H4400" i="26"/>
  <c r="H4401" i="26" s="1"/>
  <c r="I4386" i="26" s="1"/>
  <c r="H4383" i="26"/>
  <c r="H4384" i="26" s="1"/>
  <c r="I4369" i="26" s="1"/>
  <c r="H4366" i="26"/>
  <c r="H4367" i="26" s="1"/>
  <c r="I4352" i="26" s="1"/>
  <c r="H4332" i="26"/>
  <c r="H4333" i="26" s="1"/>
  <c r="I4318" i="26" s="1"/>
  <c r="H4315" i="26"/>
  <c r="H4316" i="26" s="1"/>
  <c r="I4301" i="26" s="1"/>
  <c r="H4298" i="26"/>
  <c r="H4299" i="26" s="1"/>
  <c r="I4284" i="26" s="1"/>
  <c r="H4281" i="26"/>
  <c r="H4282" i="26" s="1"/>
  <c r="I4267" i="26" s="1"/>
  <c r="H4264" i="26"/>
  <c r="H4265" i="26" s="1"/>
  <c r="I4250" i="26" s="1"/>
  <c r="H4247" i="26"/>
  <c r="H4248" i="26" s="1"/>
  <c r="I4233" i="26" s="1"/>
  <c r="H4230" i="26"/>
  <c r="H4231" i="26" s="1"/>
  <c r="I4216" i="26" s="1"/>
  <c r="H4213" i="26"/>
  <c r="H4214" i="26" s="1"/>
  <c r="I4199" i="26" s="1"/>
  <c r="H4196" i="26"/>
  <c r="H4197" i="26" s="1"/>
  <c r="I4182" i="26" s="1"/>
  <c r="H4179" i="26"/>
  <c r="H4180" i="26" s="1"/>
  <c r="I4165" i="26" s="1"/>
  <c r="H4162" i="26"/>
  <c r="H4163" i="26" s="1"/>
  <c r="I4148" i="26" s="1"/>
  <c r="H4145" i="26"/>
  <c r="H4146" i="26" s="1"/>
  <c r="I4131" i="26" s="1"/>
  <c r="H4128" i="26"/>
  <c r="H4129" i="26" s="1"/>
  <c r="I4114" i="26" s="1"/>
  <c r="H4111" i="26"/>
  <c r="H4112" i="26" s="1"/>
  <c r="I4097" i="26" s="1"/>
  <c r="H4094" i="26"/>
  <c r="H4095" i="26" s="1"/>
  <c r="I4080" i="26" s="1"/>
  <c r="H4077" i="26"/>
  <c r="H4078" i="26" s="1"/>
  <c r="I4063" i="26" s="1"/>
  <c r="H4060" i="26"/>
  <c r="H4061" i="26" s="1"/>
  <c r="I4046" i="26" s="1"/>
  <c r="H4043" i="26"/>
  <c r="H4044" i="26" s="1"/>
  <c r="I4029" i="26" s="1"/>
  <c r="H4026" i="26"/>
  <c r="H4027" i="26" s="1"/>
  <c r="I4012" i="26" s="1"/>
  <c r="H4009" i="26"/>
  <c r="H4010" i="26" s="1"/>
  <c r="I3995" i="26" s="1"/>
  <c r="H3992" i="26"/>
  <c r="H3993" i="26" s="1"/>
  <c r="I3978" i="26" s="1"/>
  <c r="H3975" i="26"/>
  <c r="H3976" i="26" s="1"/>
  <c r="I3961" i="26" s="1"/>
  <c r="H3958" i="26"/>
  <c r="H3959" i="26" s="1"/>
  <c r="I3944" i="26" s="1"/>
  <c r="H3941" i="26"/>
  <c r="H3942" i="26" s="1"/>
  <c r="I3927" i="26" s="1"/>
  <c r="H3924" i="26"/>
  <c r="H3925" i="26" s="1"/>
  <c r="I3910" i="26" s="1"/>
  <c r="H3907" i="26"/>
  <c r="H3908" i="26" s="1"/>
  <c r="I3893" i="26" s="1"/>
  <c r="H3890" i="26"/>
  <c r="H3891" i="26" s="1"/>
  <c r="I3876" i="26" s="1"/>
  <c r="H3873" i="26"/>
  <c r="H3874" i="26" s="1"/>
  <c r="I3859" i="26" s="1"/>
  <c r="H3856" i="26"/>
  <c r="H3857" i="26" s="1"/>
  <c r="I3842" i="26" s="1"/>
  <c r="H3839" i="26"/>
  <c r="H3840" i="26" s="1"/>
  <c r="I3825" i="26" s="1"/>
  <c r="H3822" i="26"/>
  <c r="H3823" i="26" s="1"/>
  <c r="I3808" i="26" s="1"/>
  <c r="H3805" i="26"/>
  <c r="H3806" i="26" s="1"/>
  <c r="I3791" i="26" s="1"/>
  <c r="H3788" i="26"/>
  <c r="H3789" i="26" s="1"/>
  <c r="I3774" i="26" s="1"/>
  <c r="H3771" i="26"/>
  <c r="H3772" i="26" s="1"/>
  <c r="I3757" i="26" s="1"/>
  <c r="H3754" i="26"/>
  <c r="H3755" i="26" s="1"/>
  <c r="I3740" i="26" s="1"/>
  <c r="H3737" i="26"/>
  <c r="H3738" i="26" s="1"/>
  <c r="I3723" i="26" s="1"/>
  <c r="H3720" i="26"/>
  <c r="H3721" i="26" s="1"/>
  <c r="I3706" i="26" s="1"/>
  <c r="H3703" i="26"/>
  <c r="H3704" i="26" s="1"/>
  <c r="I3689" i="26" s="1"/>
  <c r="H3686" i="26"/>
  <c r="H3687" i="26" s="1"/>
  <c r="I3672" i="26" s="1"/>
  <c r="H3669" i="26"/>
  <c r="H3670" i="26" s="1"/>
  <c r="I3655" i="26" s="1"/>
  <c r="H3652" i="26"/>
  <c r="H3653" i="26" s="1"/>
  <c r="I3638" i="26" s="1"/>
  <c r="H3635" i="26"/>
  <c r="H3636" i="26" s="1"/>
  <c r="I3621" i="26" s="1"/>
  <c r="H3618" i="26"/>
  <c r="H3619" i="26" s="1"/>
  <c r="I3604" i="26" s="1"/>
  <c r="H3601" i="26"/>
  <c r="H3602" i="26" s="1"/>
  <c r="I3587" i="26" s="1"/>
  <c r="H3584" i="26"/>
  <c r="H3585" i="26" s="1"/>
  <c r="I3570" i="26" s="1"/>
  <c r="H3567" i="26"/>
  <c r="H3568" i="26" s="1"/>
  <c r="I3553" i="26" s="1"/>
  <c r="H3550" i="26"/>
  <c r="H3551" i="26" s="1"/>
  <c r="I3536" i="26" s="1"/>
  <c r="H3533" i="26"/>
  <c r="H3534" i="26" s="1"/>
  <c r="I3519" i="26" s="1"/>
  <c r="H3516" i="26"/>
  <c r="H3517" i="26" s="1"/>
  <c r="I3502" i="26" s="1"/>
  <c r="H3499" i="26"/>
  <c r="H3500" i="26" s="1"/>
  <c r="I3485" i="26" s="1"/>
  <c r="H6434" i="26"/>
  <c r="H6435" i="26" s="1"/>
  <c r="H6436" i="26" s="1"/>
  <c r="I6420" i="26" s="1"/>
  <c r="H3125" i="43"/>
  <c r="H3185" i="43"/>
  <c r="H3336" i="43"/>
  <c r="H3396" i="43"/>
  <c r="H3427" i="43"/>
  <c r="H3547" i="43"/>
  <c r="H3577" i="43"/>
  <c r="H3699" i="43"/>
  <c r="H3713" i="43" s="1"/>
  <c r="H3714" i="43" s="1"/>
  <c r="H3715" i="43" s="1"/>
  <c r="R3692" i="43" s="1"/>
  <c r="H3815" i="43"/>
  <c r="H3829" i="43" s="1"/>
  <c r="H3830" i="43" s="1"/>
  <c r="H3831" i="43" s="1"/>
  <c r="R3808" i="43" s="1"/>
  <c r="H3874" i="43"/>
  <c r="H3961" i="43"/>
  <c r="H4019" i="43"/>
  <c r="H4109" i="43"/>
  <c r="H4260" i="43"/>
  <c r="H4290" i="43"/>
  <c r="H4441" i="43"/>
  <c r="H4471" i="43"/>
  <c r="H4562" i="43"/>
  <c r="H4592" i="43"/>
  <c r="H6439" i="43"/>
  <c r="H6451" i="43" s="1"/>
  <c r="H6452" i="43" s="1"/>
  <c r="H6453" i="43" s="1"/>
  <c r="R6432" i="43" s="1"/>
  <c r="H6549" i="43"/>
  <c r="H6561" i="43" s="1"/>
  <c r="H6562" i="43" s="1"/>
  <c r="H6563" i="43" s="1"/>
  <c r="R6542" i="43" s="1"/>
  <c r="H6659" i="43"/>
  <c r="H6671" i="43" s="1"/>
  <c r="H6672" i="43" s="1"/>
  <c r="H6673" i="43" s="1"/>
  <c r="R6652" i="43" s="1"/>
  <c r="H6238" i="26"/>
  <c r="H6239" i="26" s="1"/>
  <c r="H6240" i="26" s="1"/>
  <c r="I6222" i="26" s="1"/>
  <c r="H7808" i="26"/>
  <c r="H7809" i="26" s="1"/>
  <c r="H7810" i="26" s="1"/>
  <c r="I7787" i="26" s="1"/>
  <c r="H7936" i="26"/>
  <c r="H7937" i="26" s="1"/>
  <c r="H7938" i="26" s="1"/>
  <c r="I7917" i="26" s="1"/>
  <c r="H6897" i="26"/>
  <c r="H6898" i="26" s="1"/>
  <c r="H6899" i="26" s="1"/>
  <c r="I6878" i="26" s="1"/>
  <c r="H6944" i="26"/>
  <c r="H6945" i="26" s="1"/>
  <c r="H6946" i="26" s="1"/>
  <c r="I6925" i="26" s="1"/>
  <c r="H7388" i="26"/>
  <c r="H7389" i="26" s="1"/>
  <c r="H7390" i="26" s="1"/>
  <c r="I7374" i="26" s="1"/>
  <c r="H3482" i="26"/>
  <c r="H3483" i="26" s="1"/>
  <c r="I3468" i="26" s="1"/>
  <c r="H3465" i="26"/>
  <c r="H3466" i="26" s="1"/>
  <c r="I3451" i="26" s="1"/>
  <c r="H3448" i="26"/>
  <c r="H3449" i="26" s="1"/>
  <c r="I3434" i="26" s="1"/>
  <c r="H3431" i="26"/>
  <c r="H3432" i="26" s="1"/>
  <c r="I3417" i="26" s="1"/>
  <c r="H3414" i="26"/>
  <c r="H3415" i="26" s="1"/>
  <c r="I3400" i="26" s="1"/>
  <c r="H3397" i="26"/>
  <c r="H3398" i="26" s="1"/>
  <c r="I3383" i="26" s="1"/>
  <c r="H3380" i="26"/>
  <c r="H3381" i="26" s="1"/>
  <c r="I3366" i="26" s="1"/>
  <c r="H3363" i="26"/>
  <c r="H3364" i="26" s="1"/>
  <c r="I3349" i="26" s="1"/>
  <c r="H3346" i="26"/>
  <c r="H3347" i="26" s="1"/>
  <c r="I3332" i="26" s="1"/>
  <c r="H3329" i="26"/>
  <c r="H3330" i="26" s="1"/>
  <c r="I3315" i="26" s="1"/>
  <c r="H3312" i="26"/>
  <c r="H3313" i="26" s="1"/>
  <c r="I3298" i="26" s="1"/>
  <c r="H3295" i="26"/>
  <c r="H3296" i="26" s="1"/>
  <c r="I3281" i="26" s="1"/>
  <c r="H3278" i="26"/>
  <c r="H3279" i="26" s="1"/>
  <c r="I3264" i="26" s="1"/>
  <c r="H3261" i="26"/>
  <c r="H3262" i="26" s="1"/>
  <c r="I3247" i="26" s="1"/>
  <c r="H3244" i="26"/>
  <c r="H3245" i="26" s="1"/>
  <c r="I3230" i="26" s="1"/>
  <c r="H3227" i="26"/>
  <c r="H3228" i="26" s="1"/>
  <c r="I3213" i="26" s="1"/>
  <c r="H3210" i="26"/>
  <c r="H3211" i="26" s="1"/>
  <c r="I3196" i="26" s="1"/>
  <c r="H3193" i="26"/>
  <c r="H3194" i="26" s="1"/>
  <c r="I3179" i="26" s="1"/>
  <c r="H3176" i="26"/>
  <c r="H3177" i="26" s="1"/>
  <c r="I3162" i="26" s="1"/>
  <c r="H3159" i="26"/>
  <c r="H3160" i="26" s="1"/>
  <c r="I3145" i="26" s="1"/>
  <c r="H3142" i="26"/>
  <c r="H3143" i="26" s="1"/>
  <c r="I3128" i="26" s="1"/>
  <c r="H3125" i="26"/>
  <c r="H3126" i="26" s="1"/>
  <c r="I3111" i="26" s="1"/>
  <c r="H3108" i="26"/>
  <c r="H3109" i="26" s="1"/>
  <c r="I3094" i="26" s="1"/>
  <c r="H3091" i="26"/>
  <c r="H3092" i="26" s="1"/>
  <c r="I3077" i="26" s="1"/>
  <c r="H3074" i="26"/>
  <c r="H3075" i="26" s="1"/>
  <c r="I3060" i="26" s="1"/>
  <c r="H3057" i="26"/>
  <c r="H3058" i="26" s="1"/>
  <c r="I3043" i="26" s="1"/>
  <c r="H3040" i="26"/>
  <c r="H3041" i="26" s="1"/>
  <c r="I3026" i="26" s="1"/>
  <c r="H3023" i="26"/>
  <c r="H3024" i="26" s="1"/>
  <c r="I3009" i="26" s="1"/>
  <c r="H3006" i="26"/>
  <c r="H3007" i="26" s="1"/>
  <c r="I2992" i="26" s="1"/>
  <c r="H2937" i="26"/>
  <c r="H2938" i="26" s="1"/>
  <c r="I2923" i="26" s="1"/>
  <c r="H2920" i="26"/>
  <c r="H2921" i="26" s="1"/>
  <c r="I2906" i="26" s="1"/>
  <c r="H2903" i="26"/>
  <c r="H2904" i="26" s="1"/>
  <c r="I2889" i="26" s="1"/>
  <c r="H2886" i="26"/>
  <c r="H2887" i="26" s="1"/>
  <c r="I2872" i="26" s="1"/>
  <c r="H2869" i="26"/>
  <c r="H2870" i="26" s="1"/>
  <c r="I2855" i="26" s="1"/>
  <c r="H2852" i="26"/>
  <c r="H2853" i="26" s="1"/>
  <c r="I2838" i="26" s="1"/>
  <c r="H2835" i="26"/>
  <c r="H2836" i="26" s="1"/>
  <c r="I2821" i="26" s="1"/>
  <c r="H2818" i="26"/>
  <c r="H2819" i="26" s="1"/>
  <c r="I2804" i="26" s="1"/>
  <c r="H2801" i="26"/>
  <c r="H2802" i="26" s="1"/>
  <c r="I2787" i="26" s="1"/>
  <c r="H2784" i="26"/>
  <c r="H2785" i="26" s="1"/>
  <c r="I2770" i="26" s="1"/>
  <c r="H2767" i="26"/>
  <c r="H2768" i="26" s="1"/>
  <c r="I2753" i="26" s="1"/>
  <c r="H2733" i="26"/>
  <c r="H2734" i="26" s="1"/>
  <c r="I2719" i="26" s="1"/>
  <c r="H2716" i="26"/>
  <c r="H2717" i="26" s="1"/>
  <c r="I2702" i="26" s="1"/>
  <c r="H2699" i="26"/>
  <c r="H2700" i="26" s="1"/>
  <c r="I2685" i="26" s="1"/>
  <c r="H2682" i="26"/>
  <c r="H2683" i="26" s="1"/>
  <c r="I2668" i="26" s="1"/>
  <c r="H2665" i="26"/>
  <c r="H2666" i="26" s="1"/>
  <c r="I2651" i="26" s="1"/>
  <c r="H2648" i="26"/>
  <c r="H2649" i="26" s="1"/>
  <c r="I2634" i="26" s="1"/>
  <c r="H2631" i="26"/>
  <c r="H2632" i="26" s="1"/>
  <c r="I2617" i="26" s="1"/>
  <c r="H2613" i="26"/>
  <c r="H2614" i="26" s="1"/>
  <c r="I2599" i="26" s="1"/>
  <c r="H2596" i="26"/>
  <c r="H2597" i="26" s="1"/>
  <c r="I2582" i="26" s="1"/>
  <c r="H2579" i="26"/>
  <c r="H2580" i="26" s="1"/>
  <c r="I2565" i="26" s="1"/>
  <c r="H7720" i="43"/>
  <c r="H7721" i="43" s="1"/>
  <c r="R7709" i="43" s="1"/>
  <c r="H7704" i="43"/>
  <c r="H7705" i="43" s="1"/>
  <c r="R7693" i="43" s="1"/>
  <c r="H7688" i="43"/>
  <c r="H7689" i="43" s="1"/>
  <c r="R7677" i="43" s="1"/>
  <c r="H7600" i="43"/>
  <c r="H7601" i="43" s="1"/>
  <c r="R7588" i="43" s="1"/>
  <c r="H7584" i="43"/>
  <c r="H7585" i="43" s="1"/>
  <c r="R7573" i="43" s="1"/>
  <c r="H7567" i="43"/>
  <c r="H7568" i="43" s="1"/>
  <c r="R7555" i="43" s="1"/>
  <c r="H7509" i="43"/>
  <c r="H7514" i="43" s="1"/>
  <c r="H7515" i="43" s="1"/>
  <c r="H7516" i="43" s="1"/>
  <c r="R7503" i="43" s="1"/>
  <c r="H7528" i="43"/>
  <c r="H7533" i="43" s="1"/>
  <c r="H7534" i="43" s="1"/>
  <c r="H7535" i="43" s="1"/>
  <c r="R7522" i="43" s="1"/>
  <c r="H7545" i="43"/>
  <c r="H7550" i="43" s="1"/>
  <c r="H7551" i="43" s="1"/>
  <c r="H7552" i="43" s="1"/>
  <c r="R7540" i="43" s="1"/>
  <c r="H7390" i="43"/>
  <c r="H7391" i="43" s="1"/>
  <c r="R7378" i="43" s="1"/>
  <c r="H7374" i="43"/>
  <c r="H7375" i="43" s="1"/>
  <c r="R7362" i="43" s="1"/>
  <c r="H7357" i="43"/>
  <c r="H7358" i="43" s="1"/>
  <c r="R7345" i="43" s="1"/>
  <c r="H7341" i="43"/>
  <c r="H7342" i="43" s="1"/>
  <c r="R7329" i="43" s="1"/>
  <c r="H7323" i="43"/>
  <c r="H7324" i="43" s="1"/>
  <c r="R7311" i="43" s="1"/>
  <c r="H7307" i="43"/>
  <c r="H7308" i="43" s="1"/>
  <c r="R7295" i="43" s="1"/>
  <c r="H7291" i="43"/>
  <c r="H7292" i="43" s="1"/>
  <c r="R7279" i="43" s="1"/>
  <c r="H7223" i="43"/>
  <c r="H7224" i="43" s="1"/>
  <c r="R7211" i="43" s="1"/>
  <c r="H7207" i="43"/>
  <c r="H7208" i="43" s="1"/>
  <c r="R7195" i="43" s="1"/>
  <c r="H7191" i="43"/>
  <c r="H7192" i="43" s="1"/>
  <c r="R7179" i="43" s="1"/>
  <c r="H7174" i="43"/>
  <c r="H7175" i="43" s="1"/>
  <c r="R7162" i="43" s="1"/>
  <c r="H7157" i="43"/>
  <c r="H7158" i="43" s="1"/>
  <c r="R7145" i="43" s="1"/>
  <c r="H7141" i="43"/>
  <c r="H7142" i="43" s="1"/>
  <c r="R7129" i="43" s="1"/>
  <c r="H7125" i="43"/>
  <c r="H7126" i="43" s="1"/>
  <c r="R7113" i="43" s="1"/>
  <c r="H6259" i="43"/>
  <c r="H6268" i="43" s="1"/>
  <c r="H6269" i="43" s="1"/>
  <c r="H6270" i="43" s="1"/>
  <c r="R6252" i="43" s="1"/>
  <c r="H6283" i="43"/>
  <c r="H6307" i="43"/>
  <c r="H6232" i="43"/>
  <c r="H6207" i="43"/>
  <c r="H6182" i="43"/>
  <c r="H6157" i="43"/>
  <c r="H6132" i="43"/>
  <c r="H6106" i="43"/>
  <c r="H6081" i="43"/>
  <c r="H6056" i="43"/>
  <c r="H6031" i="43"/>
  <c r="H6006" i="43"/>
  <c r="H5981" i="43"/>
  <c r="H5956" i="43"/>
  <c r="H5931" i="43"/>
  <c r="H5906" i="43"/>
  <c r="H5881" i="43"/>
  <c r="H5856" i="43"/>
  <c r="H5831" i="43"/>
  <c r="H5806" i="43"/>
  <c r="H5781" i="43"/>
  <c r="H5756" i="43"/>
  <c r="H5731" i="43"/>
  <c r="H5706" i="43"/>
  <c r="H5681" i="43"/>
  <c r="H5656" i="43"/>
  <c r="H5630" i="43"/>
  <c r="H5605" i="43"/>
  <c r="H5580" i="43"/>
  <c r="H5555" i="43"/>
  <c r="H5530" i="43"/>
  <c r="H5505" i="43"/>
  <c r="H5480" i="43"/>
  <c r="H5455" i="43"/>
  <c r="H5430" i="43"/>
  <c r="H5405" i="43"/>
  <c r="H5380" i="43"/>
  <c r="H5355" i="43"/>
  <c r="H5330" i="43"/>
  <c r="H5305" i="43"/>
  <c r="H5280" i="43"/>
  <c r="H5255" i="43"/>
  <c r="H5230" i="43"/>
  <c r="H5205" i="43"/>
  <c r="H5180" i="43"/>
  <c r="H5155" i="43"/>
  <c r="H5130" i="43"/>
  <c r="H5105" i="43"/>
  <c r="H5079" i="43"/>
  <c r="H5054" i="43"/>
  <c r="H5029" i="43"/>
  <c r="H5004" i="43"/>
  <c r="H4978" i="43"/>
  <c r="H4953" i="43"/>
  <c r="H4928" i="43"/>
  <c r="H4903" i="43"/>
  <c r="H4878" i="43"/>
  <c r="H4853" i="43"/>
  <c r="H4828" i="43"/>
  <c r="H4803" i="43"/>
  <c r="H4778" i="43"/>
  <c r="H4753" i="43"/>
  <c r="H4728" i="43"/>
  <c r="H4703" i="43"/>
  <c r="H4678" i="43"/>
  <c r="H4653" i="43"/>
  <c r="H4381" i="43"/>
  <c r="H3276" i="43"/>
  <c r="H2975" i="43"/>
  <c r="H935" i="43"/>
  <c r="H991" i="43"/>
  <c r="H963" i="43"/>
  <c r="H1047" i="43"/>
  <c r="H1019" i="43"/>
  <c r="H1075" i="43"/>
  <c r="H1089" i="43" s="1"/>
  <c r="H1090" i="43" s="1"/>
  <c r="H1091" i="43" s="1"/>
  <c r="H1103" i="43"/>
  <c r="H1117" i="43" s="1"/>
  <c r="H1118" i="43" s="1"/>
  <c r="H1119" i="43" s="1"/>
  <c r="H1131" i="43"/>
  <c r="H1145" i="43" s="1"/>
  <c r="H1146" i="43" s="1"/>
  <c r="H1147" i="43" s="1"/>
  <c r="H1159" i="43"/>
  <c r="H1173" i="43" s="1"/>
  <c r="H1174" i="43" s="1"/>
  <c r="H1175" i="43" s="1"/>
  <c r="H1187" i="43"/>
  <c r="H1201" i="43" s="1"/>
  <c r="H1202" i="43" s="1"/>
  <c r="H1203" i="43" s="1"/>
  <c r="H1215" i="43"/>
  <c r="H1243" i="43"/>
  <c r="H1257" i="43" s="1"/>
  <c r="H1258" i="43" s="1"/>
  <c r="H1259" i="43" s="1"/>
  <c r="H1271" i="43"/>
  <c r="H1285" i="43" s="1"/>
  <c r="H1286" i="43" s="1"/>
  <c r="H1287" i="43" s="1"/>
  <c r="H1299" i="43"/>
  <c r="H1313" i="43" s="1"/>
  <c r="H1314" i="43" s="1"/>
  <c r="H1315" i="43" s="1"/>
  <c r="H1327" i="43"/>
  <c r="H1341" i="43" s="1"/>
  <c r="H1342" i="43" s="1"/>
  <c r="H1343" i="43" s="1"/>
  <c r="H1413" i="43"/>
  <c r="H1385" i="43"/>
  <c r="H1470" i="43"/>
  <c r="H1441" i="43"/>
  <c r="H1526" i="43"/>
  <c r="H1498" i="43"/>
  <c r="H1582" i="43"/>
  <c r="H1554" i="43"/>
  <c r="H1638" i="43"/>
  <c r="H1610" i="43"/>
  <c r="H1694" i="43"/>
  <c r="H1708" i="43" s="1"/>
  <c r="H1709" i="43" s="1"/>
  <c r="H1710" i="43" s="1"/>
  <c r="R1688" i="43" s="1"/>
  <c r="H1724" i="43"/>
  <c r="H1666" i="43"/>
  <c r="H1753" i="43"/>
  <c r="H1767" i="43" s="1"/>
  <c r="H1768" i="43" s="1"/>
  <c r="H1769" i="43" s="1"/>
  <c r="R1746" i="43" s="1"/>
  <c r="H1782" i="43"/>
  <c r="H1811" i="43"/>
  <c r="H1825" i="43" s="1"/>
  <c r="H1826" i="43" s="1"/>
  <c r="H1827" i="43" s="1"/>
  <c r="R1804" i="43" s="1"/>
  <c r="H1840" i="43"/>
  <c r="H1854" i="43" s="1"/>
  <c r="H1855" i="43" s="1"/>
  <c r="H1856" i="43" s="1"/>
  <c r="R1833" i="43" s="1"/>
  <c r="H1869" i="43"/>
  <c r="H1883" i="43" s="1"/>
  <c r="H1884" i="43" s="1"/>
  <c r="H1885" i="43" s="1"/>
  <c r="R1862" i="43" s="1"/>
  <c r="H1898" i="43"/>
  <c r="H1912" i="43" s="1"/>
  <c r="H1913" i="43" s="1"/>
  <c r="H1914" i="43" s="1"/>
  <c r="R1891" i="43" s="1"/>
  <c r="H1927" i="43"/>
  <c r="H1941" i="43" s="1"/>
  <c r="H1942" i="43" s="1"/>
  <c r="H1943" i="43" s="1"/>
  <c r="R1920" i="43" s="1"/>
  <c r="H1956" i="43"/>
  <c r="H1970" i="43" s="1"/>
  <c r="H1971" i="43" s="1"/>
  <c r="H1972" i="43" s="1"/>
  <c r="R1949" i="43" s="1"/>
  <c r="H1985" i="43"/>
  <c r="H1999" i="43" s="1"/>
  <c r="H2000" i="43" s="1"/>
  <c r="H2001" i="43" s="1"/>
  <c r="R1978" i="43" s="1"/>
  <c r="H2014" i="43"/>
  <c r="H2028" i="43" s="1"/>
  <c r="H2029" i="43" s="1"/>
  <c r="H2030" i="43" s="1"/>
  <c r="R2007" i="43" s="1"/>
  <c r="H2044" i="43"/>
  <c r="H2073" i="43"/>
  <c r="H2087" i="43" s="1"/>
  <c r="H2088" i="43" s="1"/>
  <c r="H2089" i="43" s="1"/>
  <c r="R2066" i="43" s="1"/>
  <c r="H2102" i="43"/>
  <c r="H2160" i="43"/>
  <c r="H2131" i="43"/>
  <c r="H2218" i="43"/>
  <c r="H2189" i="43"/>
  <c r="H2276" i="43"/>
  <c r="H2247" i="43"/>
  <c r="H2334" i="43"/>
  <c r="H2305" i="43"/>
  <c r="H2392" i="43"/>
  <c r="H2406" i="43" s="1"/>
  <c r="H2407" i="43" s="1"/>
  <c r="H2408" i="43" s="1"/>
  <c r="R2385" i="43" s="1"/>
  <c r="H2421" i="43"/>
  <c r="H2363" i="43"/>
  <c r="H2479" i="43"/>
  <c r="H2450" i="43"/>
  <c r="H2537" i="43"/>
  <c r="H2508" i="43"/>
  <c r="H2596" i="43"/>
  <c r="H2567" i="43"/>
  <c r="H2625" i="43"/>
  <c r="H2639" i="43" s="1"/>
  <c r="H2640" i="43" s="1"/>
  <c r="H2641" i="43" s="1"/>
  <c r="R2618" i="43" s="1"/>
  <c r="H2654" i="43"/>
  <c r="H2713" i="43"/>
  <c r="H2683" i="43"/>
  <c r="H2771" i="43"/>
  <c r="H2742" i="43"/>
  <c r="H2829" i="43"/>
  <c r="H2843" i="43" s="1"/>
  <c r="H2844" i="43" s="1"/>
  <c r="H2845" i="43" s="1"/>
  <c r="R2822" i="43" s="1"/>
  <c r="H2858" i="43"/>
  <c r="H2800" i="43"/>
  <c r="H2916" i="43"/>
  <c r="H2887" i="43"/>
  <c r="H2945" i="43"/>
  <c r="G759" i="43"/>
  <c r="H759" i="43" s="1"/>
  <c r="H760" i="43" s="1"/>
  <c r="H761" i="43" s="1"/>
  <c r="H762" i="43" s="1"/>
  <c r="H763" i="43" s="1"/>
  <c r="R749" i="43" s="1"/>
  <c r="G817" i="43"/>
  <c r="H817" i="43" s="1"/>
  <c r="H818" i="43" s="1"/>
  <c r="G642" i="43"/>
  <c r="H642" i="43" s="1"/>
  <c r="H643" i="43" s="1"/>
  <c r="G701" i="43"/>
  <c r="H701" i="43" s="1"/>
  <c r="H702" i="43" s="1"/>
  <c r="G400" i="43"/>
  <c r="H400" i="43" s="1"/>
  <c r="H401" i="43" s="1"/>
  <c r="G462" i="43"/>
  <c r="H462" i="43" s="1"/>
  <c r="H463" i="43" s="1"/>
  <c r="L34" i="43"/>
  <c r="L35" i="43" s="1"/>
  <c r="H2662" i="1" s="1"/>
  <c r="G157" i="43" s="1"/>
  <c r="H157" i="43" s="1"/>
  <c r="H158" i="43" s="1"/>
  <c r="H75" i="20"/>
  <c r="H76" i="20" s="1"/>
  <c r="I61" i="20" s="1"/>
  <c r="H6034" i="26"/>
  <c r="H6035" i="26" s="1"/>
  <c r="H6036" i="26" s="1"/>
  <c r="I6020" i="26" s="1"/>
  <c r="H6874" i="26"/>
  <c r="H6875" i="26" s="1"/>
  <c r="H6876" i="26" s="1"/>
  <c r="I6855" i="26" s="1"/>
  <c r="H8495" i="26"/>
  <c r="H8496" i="26" s="1"/>
  <c r="H8497" i="26" s="1"/>
  <c r="I8481" i="26" s="1"/>
  <c r="H6262" i="26"/>
  <c r="H6263" i="26" s="1"/>
  <c r="H6264" i="26" s="1"/>
  <c r="I6243" i="26" s="1"/>
  <c r="H7332" i="26"/>
  <c r="H7333" i="26" s="1"/>
  <c r="H7334" i="26" s="1"/>
  <c r="I7318" i="26" s="1"/>
  <c r="H5926" i="26"/>
  <c r="H5927" i="26" s="1"/>
  <c r="H5928" i="26" s="1"/>
  <c r="I5912" i="26" s="1"/>
  <c r="H5839" i="26"/>
  <c r="H5840" i="26" s="1"/>
  <c r="H5841" i="26" s="1"/>
  <c r="I5825" i="26" s="1"/>
  <c r="H6363" i="26"/>
  <c r="H6364" i="26" s="1"/>
  <c r="H6365" i="26" s="1"/>
  <c r="I6348" i="26" s="1"/>
  <c r="H5998" i="26"/>
  <c r="H5999" i="26" s="1"/>
  <c r="H6000" i="26" s="1"/>
  <c r="I5984" i="26" s="1"/>
  <c r="H6129" i="26"/>
  <c r="H6130" i="26" s="1"/>
  <c r="H6131" i="26" s="1"/>
  <c r="I6114" i="26" s="1"/>
  <c r="H6920" i="26"/>
  <c r="H6921" i="26" s="1"/>
  <c r="H6922" i="26" s="1"/>
  <c r="I6901" i="26" s="1"/>
  <c r="H6110" i="26"/>
  <c r="H6111" i="26" s="1"/>
  <c r="H6112" i="26" s="1"/>
  <c r="I6095" i="26" s="1"/>
  <c r="H9332" i="26"/>
  <c r="H9333" i="26" s="1"/>
  <c r="H9334" i="26" s="1"/>
  <c r="I9316" i="26" s="1"/>
  <c r="H8264" i="26"/>
  <c r="H8265" i="26" s="1"/>
  <c r="H8266" i="26" s="1"/>
  <c r="I8246" i="26" s="1"/>
  <c r="H6968" i="26"/>
  <c r="H6969" i="26" s="1"/>
  <c r="H6970" i="26" s="1"/>
  <c r="I6949" i="26" s="1"/>
  <c r="H5962" i="26"/>
  <c r="H5963" i="26" s="1"/>
  <c r="H5964" i="26" s="1"/>
  <c r="I5948" i="26" s="1"/>
  <c r="H7369" i="26"/>
  <c r="H7370" i="26" s="1"/>
  <c r="H7371" i="26" s="1"/>
  <c r="I7355" i="26" s="1"/>
  <c r="H8062" i="26"/>
  <c r="H8063" i="26" s="1"/>
  <c r="H8064" i="26" s="1"/>
  <c r="I8043" i="26" s="1"/>
  <c r="H9271" i="26"/>
  <c r="H9272" i="26" s="1"/>
  <c r="I9257" i="26" s="1"/>
  <c r="H9254" i="26"/>
  <c r="H9255" i="26" s="1"/>
  <c r="I9240" i="26" s="1"/>
  <c r="H9237" i="26"/>
  <c r="H9238" i="26" s="1"/>
  <c r="I9223" i="26" s="1"/>
  <c r="H9220" i="26"/>
  <c r="H9221" i="26" s="1"/>
  <c r="I9206" i="26" s="1"/>
  <c r="H9203" i="26"/>
  <c r="H9204" i="26" s="1"/>
  <c r="I9189" i="26" s="1"/>
  <c r="H9186" i="26"/>
  <c r="H9187" i="26" s="1"/>
  <c r="I9172" i="26" s="1"/>
  <c r="H9169" i="26"/>
  <c r="H9170" i="26" s="1"/>
  <c r="I9155" i="26" s="1"/>
  <c r="H9152" i="26"/>
  <c r="H9153" i="26" s="1"/>
  <c r="I9138" i="26" s="1"/>
  <c r="H9135" i="26"/>
  <c r="H9136" i="26" s="1"/>
  <c r="I9121" i="26" s="1"/>
  <c r="H9118" i="26"/>
  <c r="H9119" i="26" s="1"/>
  <c r="I9104" i="26" s="1"/>
  <c r="H9101" i="26"/>
  <c r="H9102" i="26" s="1"/>
  <c r="I9087" i="26" s="1"/>
  <c r="H9084" i="26"/>
  <c r="H9085" i="26" s="1"/>
  <c r="I9070" i="26" s="1"/>
  <c r="H9067" i="26"/>
  <c r="H9068" i="26" s="1"/>
  <c r="I9053" i="26" s="1"/>
  <c r="H9049" i="26"/>
  <c r="H9050" i="26" s="1"/>
  <c r="I9035" i="26" s="1"/>
  <c r="H9032" i="26"/>
  <c r="H9033" i="26" s="1"/>
  <c r="I9018" i="26" s="1"/>
  <c r="H9015" i="26"/>
  <c r="H9016" i="26" s="1"/>
  <c r="I9001" i="26" s="1"/>
  <c r="H8998" i="26"/>
  <c r="H8999" i="26" s="1"/>
  <c r="I8984" i="26" s="1"/>
  <c r="H8980" i="26"/>
  <c r="H8981" i="26" s="1"/>
  <c r="I8966" i="26" s="1"/>
  <c r="H8962" i="26"/>
  <c r="H8963" i="26" s="1"/>
  <c r="I8948" i="26" s="1"/>
  <c r="H8945" i="26"/>
  <c r="H8946" i="26" s="1"/>
  <c r="I8931" i="26" s="1"/>
  <c r="H8927" i="26"/>
  <c r="H8928" i="26" s="1"/>
  <c r="I8913" i="26" s="1"/>
  <c r="H8910" i="26"/>
  <c r="H8911" i="26" s="1"/>
  <c r="I8896" i="26" s="1"/>
  <c r="H8893" i="26"/>
  <c r="H8894" i="26" s="1"/>
  <c r="I8879" i="26" s="1"/>
  <c r="H8876" i="26"/>
  <c r="H8877" i="26" s="1"/>
  <c r="I8862" i="26" s="1"/>
  <c r="H8859" i="26"/>
  <c r="H8860" i="26" s="1"/>
  <c r="I8845" i="26" s="1"/>
  <c r="H8842" i="26"/>
  <c r="H8843" i="26" s="1"/>
  <c r="I8828" i="26" s="1"/>
  <c r="H8824" i="26"/>
  <c r="H8825" i="26" s="1"/>
  <c r="I8810" i="26" s="1"/>
  <c r="H8807" i="26"/>
  <c r="H8808" i="26" s="1"/>
  <c r="I8793" i="26" s="1"/>
  <c r="H8790" i="26"/>
  <c r="H8791" i="26" s="1"/>
  <c r="I8776" i="26" s="1"/>
  <c r="H8773" i="26"/>
  <c r="H8774" i="26" s="1"/>
  <c r="I8759" i="26" s="1"/>
  <c r="H8756" i="26"/>
  <c r="H8757" i="26" s="1"/>
  <c r="I8742" i="26" s="1"/>
  <c r="H8739" i="26"/>
  <c r="H8740" i="26" s="1"/>
  <c r="I8725" i="26" s="1"/>
  <c r="H8722" i="26"/>
  <c r="H8723" i="26" s="1"/>
  <c r="I8708" i="26" s="1"/>
  <c r="H8705" i="26"/>
  <c r="H8706" i="26" s="1"/>
  <c r="I8691" i="26" s="1"/>
  <c r="H8688" i="26"/>
  <c r="H8689" i="26" s="1"/>
  <c r="I8674" i="26" s="1"/>
  <c r="H8671" i="26"/>
  <c r="H8672" i="26" s="1"/>
  <c r="I8657" i="26" s="1"/>
  <c r="H8653" i="26"/>
  <c r="H8654" i="26" s="1"/>
  <c r="I8639" i="26" s="1"/>
  <c r="H8636" i="26"/>
  <c r="H8637" i="26" s="1"/>
  <c r="I8622" i="26" s="1"/>
  <c r="H8619" i="26"/>
  <c r="H8620" i="26" s="1"/>
  <c r="I8605" i="26" s="1"/>
  <c r="H8602" i="26"/>
  <c r="H8603" i="26" s="1"/>
  <c r="I8588" i="26" s="1"/>
  <c r="H8585" i="26"/>
  <c r="H8586" i="26" s="1"/>
  <c r="I8571" i="26" s="1"/>
  <c r="H8567" i="26"/>
  <c r="H8568" i="26" s="1"/>
  <c r="I8553" i="26" s="1"/>
  <c r="H8550" i="26"/>
  <c r="H8551" i="26" s="1"/>
  <c r="I8536" i="26" s="1"/>
  <c r="H8532" i="26"/>
  <c r="H8533" i="26" s="1"/>
  <c r="I8518" i="26" s="1"/>
  <c r="H8514" i="26"/>
  <c r="H8515" i="26" s="1"/>
  <c r="I8500" i="26" s="1"/>
  <c r="H8478" i="26"/>
  <c r="H8479" i="26" s="1"/>
  <c r="I8464" i="26" s="1"/>
  <c r="H8460" i="26"/>
  <c r="H8461" i="26" s="1"/>
  <c r="I8446" i="26" s="1"/>
  <c r="H8443" i="26"/>
  <c r="H8444" i="26" s="1"/>
  <c r="I8429" i="26" s="1"/>
  <c r="H8425" i="26"/>
  <c r="H8426" i="26" s="1"/>
  <c r="I8411" i="26" s="1"/>
  <c r="H8408" i="26"/>
  <c r="H8409" i="26" s="1"/>
  <c r="I8394" i="26" s="1"/>
  <c r="H8391" i="26"/>
  <c r="H8392" i="26" s="1"/>
  <c r="I8377" i="26" s="1"/>
  <c r="H8374" i="26"/>
  <c r="H8375" i="26" s="1"/>
  <c r="I8360" i="26" s="1"/>
  <c r="H8317" i="26"/>
  <c r="H8318" i="26" s="1"/>
  <c r="I8303" i="26" s="1"/>
  <c r="H8299" i="26"/>
  <c r="H8300" i="26" s="1"/>
  <c r="I8285" i="26" s="1"/>
  <c r="H8282" i="26"/>
  <c r="H8283" i="26" s="1"/>
  <c r="I8268" i="26" s="1"/>
  <c r="H8241" i="26"/>
  <c r="H8242" i="26" s="1"/>
  <c r="I8227" i="26" s="1"/>
  <c r="H8224" i="26"/>
  <c r="H8225" i="26" s="1"/>
  <c r="I8210" i="26" s="1"/>
  <c r="H8206" i="26"/>
  <c r="H8207" i="26" s="1"/>
  <c r="I8192" i="26" s="1"/>
  <c r="H8188" i="26"/>
  <c r="H8189" i="26" s="1"/>
  <c r="I8174" i="26" s="1"/>
  <c r="H8154" i="26"/>
  <c r="H8155" i="26" s="1"/>
  <c r="I8140" i="26" s="1"/>
  <c r="H8116" i="26"/>
  <c r="H8117" i="26" s="1"/>
  <c r="I8102" i="26" s="1"/>
  <c r="H8098" i="26"/>
  <c r="H8099" i="26" s="1"/>
  <c r="I8084" i="26" s="1"/>
  <c r="H8080" i="26"/>
  <c r="H8081" i="26" s="1"/>
  <c r="I8066" i="26" s="1"/>
  <c r="H8040" i="26"/>
  <c r="H8041" i="26" s="1"/>
  <c r="I8026" i="26" s="1"/>
  <c r="H8023" i="26"/>
  <c r="H8024" i="26" s="1"/>
  <c r="I8009" i="26" s="1"/>
  <c r="H8006" i="26"/>
  <c r="H8007" i="26" s="1"/>
  <c r="I7992" i="26" s="1"/>
  <c r="H7989" i="26"/>
  <c r="H7990" i="26" s="1"/>
  <c r="I7975" i="26" s="1"/>
  <c r="H7972" i="26"/>
  <c r="H7973" i="26" s="1"/>
  <c r="I7958" i="26" s="1"/>
  <c r="H7955" i="26"/>
  <c r="H7956" i="26" s="1"/>
  <c r="I7941" i="26" s="1"/>
  <c r="H7914" i="26"/>
  <c r="H7915" i="26" s="1"/>
  <c r="I7900" i="26" s="1"/>
  <c r="H7897" i="26"/>
  <c r="H7898" i="26" s="1"/>
  <c r="I7883" i="26" s="1"/>
  <c r="H7879" i="26"/>
  <c r="H7880" i="26" s="1"/>
  <c r="I7865" i="26" s="1"/>
  <c r="H7862" i="26"/>
  <c r="H7863" i="26" s="1"/>
  <c r="I7848" i="26" s="1"/>
  <c r="H7845" i="26"/>
  <c r="H7846" i="26" s="1"/>
  <c r="I7831" i="26" s="1"/>
  <c r="H7828" i="26"/>
  <c r="H7829" i="26" s="1"/>
  <c r="I7814" i="26" s="1"/>
  <c r="H7742" i="26"/>
  <c r="H7743" i="26" s="1"/>
  <c r="I7728" i="26" s="1"/>
  <c r="H7725" i="26"/>
  <c r="H7726" i="26" s="1"/>
  <c r="I7711" i="26" s="1"/>
  <c r="H7707" i="26"/>
  <c r="H7708" i="26" s="1"/>
  <c r="I7693" i="26" s="1"/>
  <c r="H7690" i="26"/>
  <c r="H7691" i="26" s="1"/>
  <c r="I7676" i="26" s="1"/>
  <c r="H7672" i="26"/>
  <c r="H7673" i="26" s="1"/>
  <c r="I7658" i="26" s="1"/>
  <c r="H7637" i="26"/>
  <c r="H7638" i="26" s="1"/>
  <c r="I7623" i="26" s="1"/>
  <c r="H7655" i="26"/>
  <c r="H7656" i="26" s="1"/>
  <c r="I7641" i="26" s="1"/>
  <c r="H7619" i="26"/>
  <c r="H7620" i="26" s="1"/>
  <c r="I7605" i="26" s="1"/>
  <c r="H7602" i="26"/>
  <c r="H7603" i="26" s="1"/>
  <c r="I7588" i="26" s="1"/>
  <c r="H7585" i="26"/>
  <c r="H7586" i="26" s="1"/>
  <c r="I7571" i="26" s="1"/>
  <c r="H7568" i="26"/>
  <c r="H7569" i="26" s="1"/>
  <c r="I7554" i="26" s="1"/>
  <c r="H7551" i="26"/>
  <c r="H7552" i="26" s="1"/>
  <c r="I7537" i="26" s="1"/>
  <c r="H7534" i="26"/>
  <c r="H7535" i="26" s="1"/>
  <c r="I7520" i="26" s="1"/>
  <c r="H7517" i="26"/>
  <c r="H7518" i="26" s="1"/>
  <c r="I7503" i="26" s="1"/>
  <c r="H7500" i="26"/>
  <c r="H7501" i="26" s="1"/>
  <c r="I7486" i="26" s="1"/>
  <c r="H7483" i="26"/>
  <c r="H7484" i="26" s="1"/>
  <c r="I7469" i="26" s="1"/>
  <c r="H7441" i="26"/>
  <c r="H7442" i="26" s="1"/>
  <c r="I7427" i="26" s="1"/>
  <c r="H7424" i="26"/>
  <c r="H7425" i="26" s="1"/>
  <c r="I7410" i="26" s="1"/>
  <c r="H7351" i="26"/>
  <c r="H7352" i="26" s="1"/>
  <c r="I7337" i="26" s="1"/>
  <c r="H7315" i="26"/>
  <c r="H7316" i="26" s="1"/>
  <c r="I7301" i="26" s="1"/>
  <c r="H7297" i="26"/>
  <c r="H7298" i="26" s="1"/>
  <c r="I7283" i="26" s="1"/>
  <c r="H7280" i="26"/>
  <c r="H7281" i="26" s="1"/>
  <c r="I7266" i="26" s="1"/>
  <c r="H7262" i="26"/>
  <c r="H7263" i="26" s="1"/>
  <c r="I7248" i="26" s="1"/>
  <c r="H7245" i="26"/>
  <c r="H7246" i="26" s="1"/>
  <c r="I7231" i="26" s="1"/>
  <c r="H7227" i="26"/>
  <c r="H7228" i="26" s="1"/>
  <c r="I7213" i="26" s="1"/>
  <c r="H7210" i="26"/>
  <c r="H7211" i="26" s="1"/>
  <c r="I7196" i="26" s="1"/>
  <c r="H7193" i="26"/>
  <c r="H7194" i="26" s="1"/>
  <c r="I7179" i="26" s="1"/>
  <c r="H7176" i="26"/>
  <c r="H7177" i="26" s="1"/>
  <c r="I7162" i="26" s="1"/>
  <c r="H7159" i="26"/>
  <c r="H7160" i="26" s="1"/>
  <c r="I7145" i="26" s="1"/>
  <c r="H7142" i="26"/>
  <c r="H7143" i="26" s="1"/>
  <c r="I7128" i="26" s="1"/>
  <c r="H7125" i="26"/>
  <c r="H7126" i="26" s="1"/>
  <c r="I7111" i="26" s="1"/>
  <c r="H7108" i="26"/>
  <c r="H7109" i="26" s="1"/>
  <c r="I7094" i="26" s="1"/>
  <c r="H7090" i="26"/>
  <c r="H7091" i="26" s="1"/>
  <c r="I7076" i="26" s="1"/>
  <c r="H7073" i="26"/>
  <c r="H7074" i="26" s="1"/>
  <c r="I7059" i="26" s="1"/>
  <c r="H7055" i="26"/>
  <c r="H7056" i="26" s="1"/>
  <c r="I7041" i="26" s="1"/>
  <c r="H7038" i="26"/>
  <c r="H7039" i="26" s="1"/>
  <c r="I7024" i="26" s="1"/>
  <c r="H7021" i="26"/>
  <c r="H7022" i="26" s="1"/>
  <c r="I7007" i="26" s="1"/>
  <c r="H7003" i="26"/>
  <c r="H7004" i="26" s="1"/>
  <c r="I6989" i="26" s="1"/>
  <c r="H6986" i="26"/>
  <c r="H6987" i="26" s="1"/>
  <c r="I6972" i="26" s="1"/>
  <c r="H6782" i="26"/>
  <c r="H6783" i="26" s="1"/>
  <c r="I6768" i="26" s="1"/>
  <c r="H6765" i="26"/>
  <c r="H6766" i="26" s="1"/>
  <c r="I6751" i="26" s="1"/>
  <c r="H6748" i="26"/>
  <c r="H6749" i="26" s="1"/>
  <c r="I6734" i="26" s="1"/>
  <c r="H6731" i="26"/>
  <c r="H6732" i="26" s="1"/>
  <c r="I6717" i="26" s="1"/>
  <c r="H6714" i="26"/>
  <c r="H6715" i="26" s="1"/>
  <c r="I6700" i="26" s="1"/>
  <c r="H6697" i="26"/>
  <c r="H6698" i="26" s="1"/>
  <c r="I6683" i="26" s="1"/>
  <c r="H6680" i="26"/>
  <c r="H6681" i="26" s="1"/>
  <c r="I6666" i="26" s="1"/>
  <c r="H6663" i="26"/>
  <c r="H6664" i="26" s="1"/>
  <c r="I6649" i="26" s="1"/>
  <c r="H6646" i="26"/>
  <c r="H6647" i="26" s="1"/>
  <c r="I6632" i="26" s="1"/>
  <c r="H6629" i="26"/>
  <c r="H6630" i="26" s="1"/>
  <c r="I6615" i="26" s="1"/>
  <c r="H6612" i="26"/>
  <c r="H6613" i="26" s="1"/>
  <c r="I6598" i="26" s="1"/>
  <c r="H6594" i="26"/>
  <c r="H6595" i="26" s="1"/>
  <c r="I6580" i="26" s="1"/>
  <c r="H6577" i="26"/>
  <c r="H6578" i="26" s="1"/>
  <c r="I6563" i="26" s="1"/>
  <c r="H6560" i="26"/>
  <c r="H6561" i="26" s="1"/>
  <c r="I6546" i="26" s="1"/>
  <c r="H6543" i="26"/>
  <c r="H6544" i="26" s="1"/>
  <c r="I6529" i="26" s="1"/>
  <c r="H6526" i="26"/>
  <c r="H6527" i="26" s="1"/>
  <c r="I6512" i="26" s="1"/>
  <c r="H6507" i="26"/>
  <c r="H6508" i="26" s="1"/>
  <c r="I6493" i="26" s="1"/>
  <c r="H6488" i="26"/>
  <c r="H6489" i="26" s="1"/>
  <c r="I6474" i="26" s="1"/>
  <c r="H6471" i="26"/>
  <c r="H6472" i="26" s="1"/>
  <c r="I6457" i="26" s="1"/>
  <c r="H6453" i="26"/>
  <c r="H6454" i="26" s="1"/>
  <c r="I6439" i="26" s="1"/>
  <c r="H6417" i="26"/>
  <c r="H6418" i="26" s="1"/>
  <c r="I6405" i="26" s="1"/>
  <c r="H6401" i="26"/>
  <c r="H6402" i="26" s="1"/>
  <c r="I6387" i="26" s="1"/>
  <c r="H6218" i="26"/>
  <c r="H6219" i="26" s="1"/>
  <c r="I6204" i="26" s="1"/>
  <c r="H6200" i="26"/>
  <c r="H6201" i="26" s="1"/>
  <c r="I6186" i="26" s="1"/>
  <c r="H6182" i="26"/>
  <c r="H6183" i="26" s="1"/>
  <c r="I6168" i="26" s="1"/>
  <c r="H6165" i="26"/>
  <c r="H6166" i="26" s="1"/>
  <c r="I6151" i="26" s="1"/>
  <c r="H6071" i="26"/>
  <c r="H6016" i="26"/>
  <c r="H6017" i="26" s="1"/>
  <c r="I6002" i="26" s="1"/>
  <c r="H5945" i="26"/>
  <c r="H5946" i="26" s="1"/>
  <c r="I5931" i="26" s="1"/>
  <c r="H5909" i="26"/>
  <c r="H5910" i="26" s="1"/>
  <c r="I5895" i="26" s="1"/>
  <c r="H5822" i="26"/>
  <c r="H5823" i="26" s="1"/>
  <c r="I5808" i="26" s="1"/>
  <c r="H5798" i="26"/>
  <c r="H5804" i="26" s="1"/>
  <c r="H5778" i="26"/>
  <c r="H5783" i="26"/>
  <c r="H5759" i="26"/>
  <c r="H5763" i="26"/>
  <c r="H5726" i="26"/>
  <c r="H5722" i="26"/>
  <c r="H5740" i="26"/>
  <c r="H5745" i="26"/>
  <c r="H5705" i="26"/>
  <c r="H5711" i="26" s="1"/>
  <c r="H5653" i="26"/>
  <c r="H5691" i="26"/>
  <c r="H5679" i="26"/>
  <c r="H5665" i="26"/>
  <c r="H5634" i="26"/>
  <c r="H5640" i="26" s="1"/>
  <c r="H5617" i="26"/>
  <c r="H5623" i="26" s="1"/>
  <c r="H5600" i="26"/>
  <c r="H5606" i="26" s="1"/>
  <c r="H5583" i="26"/>
  <c r="H5589" i="26" s="1"/>
  <c r="H5566" i="26"/>
  <c r="H5572" i="26" s="1"/>
  <c r="G5556" i="26"/>
  <c r="H5554" i="26"/>
  <c r="G5551" i="26"/>
  <c r="H5551" i="26" s="1"/>
  <c r="H5552" i="26" s="1"/>
  <c r="G5548" i="26"/>
  <c r="H5548" i="26" s="1"/>
  <c r="G5547" i="26"/>
  <c r="H5547" i="26" s="1"/>
  <c r="G5546" i="26"/>
  <c r="H5546" i="26" s="1"/>
  <c r="G5545" i="26"/>
  <c r="H5545" i="26" s="1"/>
  <c r="G5538" i="26"/>
  <c r="H5536" i="26"/>
  <c r="G5533" i="26"/>
  <c r="H5533" i="26" s="1"/>
  <c r="H5534" i="26" s="1"/>
  <c r="G5530" i="26"/>
  <c r="H5530" i="26" s="1"/>
  <c r="G5529" i="26"/>
  <c r="H5529" i="26" s="1"/>
  <c r="G5528" i="26"/>
  <c r="H5528" i="26" s="1"/>
  <c r="G5527" i="26"/>
  <c r="H5527" i="26" s="1"/>
  <c r="G5521" i="26"/>
  <c r="H5519" i="26"/>
  <c r="G5516" i="26"/>
  <c r="H5516" i="26" s="1"/>
  <c r="H5517" i="26" s="1"/>
  <c r="G5513" i="26"/>
  <c r="H5513" i="26" s="1"/>
  <c r="G5512" i="26"/>
  <c r="H5512" i="26" s="1"/>
  <c r="G5511" i="26"/>
  <c r="H5511" i="26" s="1"/>
  <c r="G5510" i="26"/>
  <c r="H5510" i="26" s="1"/>
  <c r="G5503" i="26"/>
  <c r="H5501" i="26"/>
  <c r="G5498" i="26"/>
  <c r="H5498" i="26" s="1"/>
  <c r="H5499" i="26" s="1"/>
  <c r="G5495" i="26"/>
  <c r="H5495" i="26" s="1"/>
  <c r="G5494" i="26"/>
  <c r="H5494" i="26" s="1"/>
  <c r="G5493" i="26"/>
  <c r="H5493" i="26" s="1"/>
  <c r="G5492" i="26"/>
  <c r="H5492" i="26" s="1"/>
  <c r="G5486" i="26"/>
  <c r="H5484" i="26"/>
  <c r="G5481" i="26"/>
  <c r="H5481" i="26" s="1"/>
  <c r="H5482" i="26" s="1"/>
  <c r="G5478" i="26"/>
  <c r="H5478" i="26" s="1"/>
  <c r="G5477" i="26"/>
  <c r="H5477" i="26" s="1"/>
  <c r="G5476" i="26"/>
  <c r="H5476" i="26" s="1"/>
  <c r="G5475" i="26"/>
  <c r="H5475" i="26" s="1"/>
  <c r="G5469" i="26"/>
  <c r="H5467" i="26"/>
  <c r="G5464" i="26"/>
  <c r="H5464" i="26" s="1"/>
  <c r="H5465" i="26" s="1"/>
  <c r="G5461" i="26"/>
  <c r="H5461" i="26" s="1"/>
  <c r="G5460" i="26"/>
  <c r="H5460" i="26" s="1"/>
  <c r="G5459" i="26"/>
  <c r="H5459" i="26" s="1"/>
  <c r="G5458" i="26"/>
  <c r="H5458" i="26" s="1"/>
  <c r="G5452" i="26"/>
  <c r="H5450" i="26"/>
  <c r="G5447" i="26"/>
  <c r="H5447" i="26" s="1"/>
  <c r="H5448" i="26" s="1"/>
  <c r="G5444" i="26"/>
  <c r="H5444" i="26" s="1"/>
  <c r="G5443" i="26"/>
  <c r="H5443" i="26" s="1"/>
  <c r="G5442" i="26"/>
  <c r="H5442" i="26" s="1"/>
  <c r="G5441" i="26"/>
  <c r="H5441" i="26" s="1"/>
  <c r="G5435" i="26"/>
  <c r="H5433" i="26"/>
  <c r="G5430" i="26"/>
  <c r="H5430" i="26" s="1"/>
  <c r="H5431" i="26" s="1"/>
  <c r="G5427" i="26"/>
  <c r="H5427" i="26" s="1"/>
  <c r="G5426" i="26"/>
  <c r="H5426" i="26" s="1"/>
  <c r="G5425" i="26"/>
  <c r="H5425" i="26" s="1"/>
  <c r="G5424" i="26"/>
  <c r="H5424" i="26" s="1"/>
  <c r="G5418" i="26"/>
  <c r="H5416" i="26"/>
  <c r="G5413" i="26"/>
  <c r="H5413" i="26" s="1"/>
  <c r="H5414" i="26" s="1"/>
  <c r="G5410" i="26"/>
  <c r="H5410" i="26" s="1"/>
  <c r="G5409" i="26"/>
  <c r="H5409" i="26" s="1"/>
  <c r="G5408" i="26"/>
  <c r="H5408" i="26" s="1"/>
  <c r="G5407" i="26"/>
  <c r="H5407" i="26" s="1"/>
  <c r="G5401" i="26"/>
  <c r="H5399" i="26"/>
  <c r="G5396" i="26"/>
  <c r="H5396" i="26" s="1"/>
  <c r="H5397" i="26" s="1"/>
  <c r="G5393" i="26"/>
  <c r="H5393" i="26" s="1"/>
  <c r="G5392" i="26"/>
  <c r="H5392" i="26" s="1"/>
  <c r="G5391" i="26"/>
  <c r="H5391" i="26" s="1"/>
  <c r="G5390" i="26"/>
  <c r="H5390" i="26" s="1"/>
  <c r="G5384" i="26"/>
  <c r="H5382" i="26"/>
  <c r="G5379" i="26"/>
  <c r="H5379" i="26" s="1"/>
  <c r="H5380" i="26" s="1"/>
  <c r="G5376" i="26"/>
  <c r="H5376" i="26" s="1"/>
  <c r="G5375" i="26"/>
  <c r="H5375" i="26" s="1"/>
  <c r="G5374" i="26"/>
  <c r="H5374" i="26" s="1"/>
  <c r="G5373" i="26"/>
  <c r="H5373" i="26" s="1"/>
  <c r="G5367" i="26"/>
  <c r="H5365" i="26"/>
  <c r="G5362" i="26"/>
  <c r="H5362" i="26" s="1"/>
  <c r="H5363" i="26" s="1"/>
  <c r="G5359" i="26"/>
  <c r="H5359" i="26" s="1"/>
  <c r="G5358" i="26"/>
  <c r="H5358" i="26" s="1"/>
  <c r="G5357" i="26"/>
  <c r="H5357" i="26" s="1"/>
  <c r="G5356" i="26"/>
  <c r="H5356" i="26" s="1"/>
  <c r="G5350" i="26"/>
  <c r="H5348" i="26"/>
  <c r="G5345" i="26"/>
  <c r="H5345" i="26" s="1"/>
  <c r="H5346" i="26" s="1"/>
  <c r="G5342" i="26"/>
  <c r="H5342" i="26" s="1"/>
  <c r="G5341" i="26"/>
  <c r="H5341" i="26" s="1"/>
  <c r="G5340" i="26"/>
  <c r="H5340" i="26" s="1"/>
  <c r="G5339" i="26"/>
  <c r="H5339" i="26" s="1"/>
  <c r="G5333" i="26"/>
  <c r="H5331" i="26"/>
  <c r="G5328" i="26"/>
  <c r="H5328" i="26" s="1"/>
  <c r="H5329" i="26" s="1"/>
  <c r="G5325" i="26"/>
  <c r="H5325" i="26" s="1"/>
  <c r="G5324" i="26"/>
  <c r="H5324" i="26" s="1"/>
  <c r="G5323" i="26"/>
  <c r="H5323" i="26" s="1"/>
  <c r="G5322" i="26"/>
  <c r="H5322" i="26" s="1"/>
  <c r="G5315" i="26"/>
  <c r="H5313" i="26"/>
  <c r="G5310" i="26"/>
  <c r="H5310" i="26" s="1"/>
  <c r="H5311" i="26" s="1"/>
  <c r="G5307" i="26"/>
  <c r="H5307" i="26" s="1"/>
  <c r="G5306" i="26"/>
  <c r="H5306" i="26" s="1"/>
  <c r="G5305" i="26"/>
  <c r="H5305" i="26" s="1"/>
  <c r="G5304" i="26"/>
  <c r="H5304" i="26" s="1"/>
  <c r="G5298" i="26"/>
  <c r="H5296" i="26"/>
  <c r="G5293" i="26"/>
  <c r="H5293" i="26" s="1"/>
  <c r="H5294" i="26" s="1"/>
  <c r="G5290" i="26"/>
  <c r="H5290" i="26" s="1"/>
  <c r="G5289" i="26"/>
  <c r="H5289" i="26" s="1"/>
  <c r="G5288" i="26"/>
  <c r="H5288" i="26" s="1"/>
  <c r="G5287" i="26"/>
  <c r="H5287" i="26" s="1"/>
  <c r="G5281" i="26"/>
  <c r="H5279" i="26"/>
  <c r="G5276" i="26"/>
  <c r="H5276" i="26" s="1"/>
  <c r="H5277" i="26" s="1"/>
  <c r="G5273" i="26"/>
  <c r="H5273" i="26" s="1"/>
  <c r="G5272" i="26"/>
  <c r="H5272" i="26" s="1"/>
  <c r="G5271" i="26"/>
  <c r="H5271" i="26" s="1"/>
  <c r="G5270" i="26"/>
  <c r="H5270" i="26" s="1"/>
  <c r="G5264" i="26"/>
  <c r="H5262" i="26"/>
  <c r="G5259" i="26"/>
  <c r="H5259" i="26" s="1"/>
  <c r="H5260" i="26" s="1"/>
  <c r="G5256" i="26"/>
  <c r="H5256" i="26" s="1"/>
  <c r="G5255" i="26"/>
  <c r="H5255" i="26" s="1"/>
  <c r="G5254" i="26"/>
  <c r="H5254" i="26" s="1"/>
  <c r="G5253" i="26"/>
  <c r="H5253" i="26" s="1"/>
  <c r="G5247" i="26"/>
  <c r="H5245" i="26"/>
  <c r="G5242" i="26"/>
  <c r="H5242" i="26" s="1"/>
  <c r="H5243" i="26" s="1"/>
  <c r="G5239" i="26"/>
  <c r="H5239" i="26" s="1"/>
  <c r="G5238" i="26"/>
  <c r="H5238" i="26" s="1"/>
  <c r="G5237" i="26"/>
  <c r="H5237" i="26" s="1"/>
  <c r="G5236" i="26"/>
  <c r="H5236" i="26" s="1"/>
  <c r="G5229" i="26"/>
  <c r="H5227" i="26"/>
  <c r="G5224" i="26"/>
  <c r="H5224" i="26" s="1"/>
  <c r="H5225" i="26" s="1"/>
  <c r="G5221" i="26"/>
  <c r="H5221" i="26" s="1"/>
  <c r="G5220" i="26"/>
  <c r="H5220" i="26" s="1"/>
  <c r="G5219" i="26"/>
  <c r="H5219" i="26" s="1"/>
  <c r="G5218" i="26"/>
  <c r="H5218" i="26" s="1"/>
  <c r="G5211" i="26"/>
  <c r="H5209" i="26"/>
  <c r="G5206" i="26"/>
  <c r="H5206" i="26" s="1"/>
  <c r="G5205" i="26"/>
  <c r="H5205" i="26" s="1"/>
  <c r="G5204" i="26"/>
  <c r="H5204" i="26" s="1"/>
  <c r="G5203" i="26"/>
  <c r="H5203" i="26" s="1"/>
  <c r="G5202" i="26"/>
  <c r="H5202" i="26" s="1"/>
  <c r="G5201" i="26"/>
  <c r="H5201" i="26" s="1"/>
  <c r="G5200" i="26"/>
  <c r="H5200" i="26" s="1"/>
  <c r="G5199" i="26"/>
  <c r="H5199" i="26" s="1"/>
  <c r="G5196" i="26"/>
  <c r="H5196" i="26" s="1"/>
  <c r="G5195" i="26"/>
  <c r="H5195" i="26" s="1"/>
  <c r="G5194" i="26"/>
  <c r="H5194" i="26" s="1"/>
  <c r="G5193" i="26"/>
  <c r="H5193" i="26" s="1"/>
  <c r="G5175" i="26"/>
  <c r="H5185" i="26"/>
  <c r="G7739" i="43"/>
  <c r="H7739" i="43" s="1"/>
  <c r="G7738" i="43"/>
  <c r="H7738" i="43" s="1"/>
  <c r="G7737" i="43"/>
  <c r="H7737" i="43" s="1"/>
  <c r="G7736" i="43"/>
  <c r="H7736" i="43" s="1"/>
  <c r="G7733" i="43"/>
  <c r="H7733" i="43" s="1"/>
  <c r="G7732" i="43"/>
  <c r="H7732" i="43" s="1"/>
  <c r="G7731" i="43"/>
  <c r="H7731" i="43" s="1"/>
  <c r="G7730" i="43"/>
  <c r="H7730" i="43" s="1"/>
  <c r="G7015" i="43"/>
  <c r="H7015" i="43" s="1"/>
  <c r="H7016" i="43" s="1"/>
  <c r="G7011" i="43"/>
  <c r="H7011" i="43" s="1"/>
  <c r="H7013" i="43" s="1"/>
  <c r="H7001" i="43"/>
  <c r="G6998" i="43"/>
  <c r="H6998" i="43" s="1"/>
  <c r="H6999" i="43" s="1"/>
  <c r="G6994" i="43"/>
  <c r="H6994" i="43" s="1"/>
  <c r="H6996" i="43" s="1"/>
  <c r="H6986" i="43"/>
  <c r="G6983" i="43"/>
  <c r="H6983" i="43" s="1"/>
  <c r="H6984" i="43" s="1"/>
  <c r="G6979" i="43"/>
  <c r="H6979" i="43" s="1"/>
  <c r="H6981" i="43" s="1"/>
  <c r="H6970" i="43"/>
  <c r="G6967" i="43"/>
  <c r="H6967" i="43" s="1"/>
  <c r="H6968" i="43" s="1"/>
  <c r="G6963" i="43"/>
  <c r="H6963" i="43" s="1"/>
  <c r="H6965" i="43" s="1"/>
  <c r="H6955" i="43"/>
  <c r="G6952" i="43"/>
  <c r="H6952" i="43" s="1"/>
  <c r="H6953" i="43" s="1"/>
  <c r="G6948" i="43"/>
  <c r="H6948" i="43" s="1"/>
  <c r="H6950" i="43" s="1"/>
  <c r="G6936" i="43"/>
  <c r="H6936" i="43" s="1"/>
  <c r="H6937" i="43" s="1"/>
  <c r="G6932" i="43"/>
  <c r="H6932" i="43" s="1"/>
  <c r="H6934" i="43" s="1"/>
  <c r="G6919" i="43"/>
  <c r="H6919" i="43" s="1"/>
  <c r="H6920" i="43" s="1"/>
  <c r="G6916" i="43"/>
  <c r="H6916" i="43" s="1"/>
  <c r="G6915" i="43"/>
  <c r="H6915" i="43" s="1"/>
  <c r="G6902" i="43"/>
  <c r="H6902" i="43" s="1"/>
  <c r="G6901" i="43"/>
  <c r="H6901" i="43" s="1"/>
  <c r="G6898" i="43"/>
  <c r="H6898" i="43" s="1"/>
  <c r="G6897" i="43"/>
  <c r="H6897" i="43" s="1"/>
  <c r="G6885" i="43"/>
  <c r="H6885" i="43" s="1"/>
  <c r="H6886" i="43" s="1"/>
  <c r="G6882" i="43"/>
  <c r="H6882" i="43" s="1"/>
  <c r="G6881" i="43"/>
  <c r="H6881" i="43" s="1"/>
  <c r="G6705" i="43"/>
  <c r="H6705" i="43" s="1"/>
  <c r="G6704" i="43"/>
  <c r="H6704" i="43" s="1"/>
  <c r="G6701" i="43"/>
  <c r="H6701" i="43" s="1"/>
  <c r="G6700" i="43"/>
  <c r="H6700" i="43" s="1"/>
  <c r="G6359" i="43"/>
  <c r="H6359" i="43" s="1"/>
  <c r="G6360" i="43"/>
  <c r="H6360" i="43" s="1"/>
  <c r="G6361" i="43"/>
  <c r="H6361" i="43" s="1"/>
  <c r="G6362" i="43"/>
  <c r="H6362" i="43" s="1"/>
  <c r="G6363" i="43"/>
  <c r="H6363" i="43" s="1"/>
  <c r="G6364" i="43"/>
  <c r="H6364" i="43" s="1"/>
  <c r="G6358" i="43"/>
  <c r="H6353" i="43"/>
  <c r="G6352" i="43"/>
  <c r="H6352" i="43" s="1"/>
  <c r="H1370" i="43"/>
  <c r="G1367" i="43"/>
  <c r="H1367" i="43" s="1"/>
  <c r="G1366" i="43"/>
  <c r="H1366" i="43" s="1"/>
  <c r="G1365" i="43"/>
  <c r="H1365" i="43" s="1"/>
  <c r="H1364" i="43"/>
  <c r="G1363" i="43"/>
  <c r="H1363" i="43" s="1"/>
  <c r="G1362" i="43"/>
  <c r="H1362" i="43" s="1"/>
  <c r="H1361" i="43"/>
  <c r="G1360" i="43"/>
  <c r="H1360" i="43" s="1"/>
  <c r="G1354" i="43"/>
  <c r="H1354" i="43" s="1"/>
  <c r="H1357" i="43" s="1"/>
  <c r="H883" i="43"/>
  <c r="H886" i="43"/>
  <c r="G876" i="43"/>
  <c r="G878" i="43"/>
  <c r="H878" i="43" s="1"/>
  <c r="H859" i="1"/>
  <c r="F1841" i="27"/>
  <c r="F1840" i="27"/>
  <c r="F1778" i="27"/>
  <c r="F1776" i="27"/>
  <c r="G994" i="25"/>
  <c r="G1715" i="27"/>
  <c r="B1200" i="27"/>
  <c r="C1200" i="27" s="1"/>
  <c r="B1199" i="27"/>
  <c r="C1199" i="27" s="1"/>
  <c r="B1198" i="27"/>
  <c r="C1198" i="27" s="1"/>
  <c r="B1197" i="27"/>
  <c r="C1197" i="27" s="1"/>
  <c r="B1196" i="27"/>
  <c r="C1196" i="27" s="1"/>
  <c r="B1195" i="27"/>
  <c r="C1195" i="27" s="1"/>
  <c r="B1194" i="27"/>
  <c r="C1194" i="27" s="1"/>
  <c r="B1193" i="27"/>
  <c r="C1193" i="27" s="1"/>
  <c r="B1192" i="27"/>
  <c r="C1192" i="27" s="1"/>
  <c r="B1191" i="27"/>
  <c r="C1191" i="27" s="1"/>
  <c r="B1190" i="27"/>
  <c r="C1190" i="27" s="1"/>
  <c r="B1189" i="27"/>
  <c r="C1189" i="27" s="1"/>
  <c r="B1188" i="27"/>
  <c r="C1188" i="27" s="1"/>
  <c r="B1186" i="27"/>
  <c r="C1186" i="27" s="1"/>
  <c r="E1517" i="27" l="1"/>
  <c r="E1549" i="27"/>
  <c r="E1573" i="27"/>
  <c r="E1589" i="27"/>
  <c r="E1613" i="27"/>
  <c r="E1634" i="27"/>
  <c r="E1659" i="27"/>
  <c r="E1677" i="27"/>
  <c r="E1693" i="27"/>
  <c r="E1709" i="27"/>
  <c r="E1532" i="27"/>
  <c r="E883" i="27"/>
  <c r="E1108" i="27"/>
  <c r="E1145" i="27"/>
  <c r="E1521" i="27"/>
  <c r="E1955" i="27"/>
  <c r="E1519" i="27"/>
  <c r="E1550" i="27"/>
  <c r="E1574" i="27"/>
  <c r="E1591" i="27"/>
  <c r="E1612" i="27"/>
  <c r="E1635" i="27"/>
  <c r="E1660" i="27"/>
  <c r="E1678" i="27"/>
  <c r="E1694" i="27"/>
  <c r="E1710" i="27"/>
  <c r="E1664" i="27"/>
  <c r="E882" i="27"/>
  <c r="E1113" i="27"/>
  <c r="E1146" i="27"/>
  <c r="E1713" i="27"/>
  <c r="E1956" i="27"/>
  <c r="E1523" i="27"/>
  <c r="E1551" i="27"/>
  <c r="E1575" i="27"/>
  <c r="E1592" i="27"/>
  <c r="E1614" i="27"/>
  <c r="E1636" i="27"/>
  <c r="E1661" i="27"/>
  <c r="E1679" i="27"/>
  <c r="E1695" i="27"/>
  <c r="E1637" i="27"/>
  <c r="E1568" i="27"/>
  <c r="E899" i="27"/>
  <c r="E881" i="27"/>
  <c r="E1114" i="27"/>
  <c r="E1601" i="27"/>
  <c r="E1957" i="27"/>
  <c r="E1552" i="27"/>
  <c r="E1576" i="27"/>
  <c r="E1593" i="27"/>
  <c r="E1615" i="27"/>
  <c r="E1638" i="27"/>
  <c r="E1662" i="27"/>
  <c r="E1680" i="27"/>
  <c r="E1696" i="27"/>
  <c r="E1596" i="27"/>
  <c r="E1520" i="27"/>
  <c r="E915" i="27"/>
  <c r="E880" i="27"/>
  <c r="E1115" i="27"/>
  <c r="E1653" i="27"/>
  <c r="E1619" i="27"/>
  <c r="E1527" i="27"/>
  <c r="E1553" i="27"/>
  <c r="E1577" i="27"/>
  <c r="E1595" i="27"/>
  <c r="E1616" i="27"/>
  <c r="E1639" i="27"/>
  <c r="E1663" i="27"/>
  <c r="E1681" i="27"/>
  <c r="E1697" i="27"/>
  <c r="E1516" i="27"/>
  <c r="E879" i="27"/>
  <c r="E1118" i="27"/>
  <c r="E1597" i="27"/>
  <c r="E1069" i="27"/>
  <c r="E1528" i="27"/>
  <c r="E1554" i="27"/>
  <c r="E1578" i="27"/>
  <c r="E1599" i="27"/>
  <c r="E1617" i="27"/>
  <c r="E1640" i="27"/>
  <c r="E1665" i="27"/>
  <c r="E1682" i="27"/>
  <c r="E1698" i="27"/>
  <c r="E1572" i="27"/>
  <c r="E772" i="27"/>
  <c r="E878" i="27"/>
  <c r="E1119" i="27"/>
  <c r="E1571" i="27"/>
  <c r="E1943" i="27"/>
  <c r="E1529" i="27"/>
  <c r="E1555" i="27"/>
  <c r="E1579" i="27"/>
  <c r="E1600" i="27"/>
  <c r="E1618" i="27"/>
  <c r="E1642" i="27"/>
  <c r="E1667" i="27"/>
  <c r="E1683" i="27"/>
  <c r="E1699" i="27"/>
  <c r="E1649" i="27"/>
  <c r="E1121" i="27"/>
  <c r="E1569" i="27"/>
  <c r="E957" i="27"/>
  <c r="E1065" i="27"/>
  <c r="E1944" i="27"/>
  <c r="E1530" i="27"/>
  <c r="E1556" i="27"/>
  <c r="E1580" i="27"/>
  <c r="E1603" i="27"/>
  <c r="E1623" i="27"/>
  <c r="E1644" i="27"/>
  <c r="E1668" i="27"/>
  <c r="E1684" i="27"/>
  <c r="E1700" i="27"/>
  <c r="E1714" i="27"/>
  <c r="E876" i="27"/>
  <c r="E1122" i="27"/>
  <c r="E1629" i="27"/>
  <c r="E953" i="27"/>
  <c r="E1061" i="27"/>
  <c r="E1566" i="27"/>
  <c r="E1945" i="27"/>
  <c r="E1128" i="27"/>
  <c r="E1621" i="27"/>
  <c r="E949" i="27"/>
  <c r="E1565" i="27"/>
  <c r="E952" i="27"/>
  <c r="E1946" i="27"/>
  <c r="E1536" i="27"/>
  <c r="E1557" i="27"/>
  <c r="E1581" i="27"/>
  <c r="E1604" i="27"/>
  <c r="E1645" i="27"/>
  <c r="E1669" i="27"/>
  <c r="E1685" i="27"/>
  <c r="E1701" i="27"/>
  <c r="E1524" i="27"/>
  <c r="E1539" i="27"/>
  <c r="E1558" i="27"/>
  <c r="E1582" i="27"/>
  <c r="E1605" i="27"/>
  <c r="E1625" i="27"/>
  <c r="E1646" i="27"/>
  <c r="E1670" i="27"/>
  <c r="E1686" i="27"/>
  <c r="E1702" i="27"/>
  <c r="E1570" i="27"/>
  <c r="E908" i="27"/>
  <c r="E1055" i="27"/>
  <c r="E1133" i="27"/>
  <c r="E1531" i="27"/>
  <c r="E1620" i="27"/>
  <c r="E948" i="27"/>
  <c r="E1947" i="27"/>
  <c r="E1540" i="27"/>
  <c r="E1559" i="27"/>
  <c r="E1583" i="27"/>
  <c r="E1606" i="27"/>
  <c r="E1626" i="27"/>
  <c r="E1647" i="27"/>
  <c r="E1671" i="27"/>
  <c r="E1687" i="27"/>
  <c r="E1703" i="27"/>
  <c r="E1525" i="27"/>
  <c r="E1101" i="27"/>
  <c r="E1132" i="27"/>
  <c r="E1071" i="27"/>
  <c r="E1641" i="27"/>
  <c r="E950" i="27"/>
  <c r="E1526" i="27"/>
  <c r="E1948" i="27"/>
  <c r="E1624" i="27"/>
  <c r="E1541" i="27"/>
  <c r="E1560" i="27"/>
  <c r="E1584" i="27"/>
  <c r="E1607" i="27"/>
  <c r="E1627" i="27"/>
  <c r="E1650" i="27"/>
  <c r="E1672" i="27"/>
  <c r="E1688" i="27"/>
  <c r="E1704" i="27"/>
  <c r="E1518" i="27"/>
  <c r="E1102" i="27"/>
  <c r="E1067" i="27"/>
  <c r="E1534" i="27"/>
  <c r="E1949" i="27"/>
  <c r="E1542" i="27"/>
  <c r="E1561" i="27"/>
  <c r="E1585" i="27"/>
  <c r="E1608" i="27"/>
  <c r="E1628" i="27"/>
  <c r="E1651" i="27"/>
  <c r="E1673" i="27"/>
  <c r="E1689" i="27"/>
  <c r="E1705" i="27"/>
  <c r="E1537" i="27"/>
  <c r="E837" i="27"/>
  <c r="E888" i="27"/>
  <c r="E1103" i="27"/>
  <c r="E1134" i="27"/>
  <c r="E1063" i="27"/>
  <c r="E951" i="27"/>
  <c r="E1535" i="27"/>
  <c r="E1950" i="27"/>
  <c r="E1508" i="27"/>
  <c r="E1544" i="27"/>
  <c r="E1562" i="27"/>
  <c r="E1586" i="27"/>
  <c r="E1609" i="27"/>
  <c r="E1631" i="27"/>
  <c r="E1652" i="27"/>
  <c r="E1674" i="27"/>
  <c r="E1690" i="27"/>
  <c r="E1706" i="27"/>
  <c r="E1509" i="27"/>
  <c r="E1104" i="27"/>
  <c r="E1135" i="27"/>
  <c r="E1533" i="27"/>
  <c r="E1951" i="27"/>
  <c r="E1952" i="27"/>
  <c r="E1513" i="27"/>
  <c r="E1545" i="27"/>
  <c r="E1563" i="27"/>
  <c r="E1587" i="27"/>
  <c r="E1610" i="27"/>
  <c r="E1632" i="27"/>
  <c r="E1657" i="27"/>
  <c r="E1675" i="27"/>
  <c r="E1691" i="27"/>
  <c r="E1707" i="27"/>
  <c r="E1514" i="27"/>
  <c r="E1106" i="27"/>
  <c r="E1136" i="27"/>
  <c r="E1515" i="27"/>
  <c r="E1548" i="27"/>
  <c r="E1564" i="27"/>
  <c r="E1588" i="27"/>
  <c r="E1611" i="27"/>
  <c r="E1633" i="27"/>
  <c r="E1658" i="27"/>
  <c r="E1676" i="27"/>
  <c r="E1692" i="27"/>
  <c r="E1708" i="27"/>
  <c r="E1594" i="27"/>
  <c r="E1107" i="27"/>
  <c r="E1143" i="27"/>
  <c r="E1567" i="27"/>
  <c r="E1954" i="27"/>
  <c r="H7734" i="43"/>
  <c r="H7740" i="43"/>
  <c r="H6356" i="43"/>
  <c r="H6917" i="43"/>
  <c r="E884" i="27"/>
  <c r="E885" i="27"/>
  <c r="E1130" i="27"/>
  <c r="E1131" i="27"/>
  <c r="R1321" i="43"/>
  <c r="L1321" i="43"/>
  <c r="R1293" i="43"/>
  <c r="L1293" i="43"/>
  <c r="R1265" i="43"/>
  <c r="L1265" i="43"/>
  <c r="R1237" i="43"/>
  <c r="L1237" i="43"/>
  <c r="R1181" i="43"/>
  <c r="L1181" i="43"/>
  <c r="R1153" i="43"/>
  <c r="L1153" i="43"/>
  <c r="R1125" i="43"/>
  <c r="L1125" i="43"/>
  <c r="R1097" i="43"/>
  <c r="L1097" i="43"/>
  <c r="R1069" i="43"/>
  <c r="L1069" i="43"/>
  <c r="H876" i="43"/>
  <c r="F1715" i="27"/>
  <c r="E1871" i="27"/>
  <c r="E1904" i="27"/>
  <c r="E1925" i="27"/>
  <c r="E1990" i="27"/>
  <c r="E2005" i="27"/>
  <c r="E2021" i="27"/>
  <c r="E2036" i="27"/>
  <c r="E2052" i="27"/>
  <c r="E2069" i="27"/>
  <c r="E2080" i="27"/>
  <c r="E2093" i="27"/>
  <c r="E2101" i="27"/>
  <c r="E2115" i="27"/>
  <c r="E2123" i="27"/>
  <c r="E2133" i="27"/>
  <c r="E2140" i="27"/>
  <c r="E2144" i="27"/>
  <c r="E2151" i="27"/>
  <c r="E2158" i="27"/>
  <c r="E2160" i="27"/>
  <c r="E2162" i="27"/>
  <c r="E2164" i="27"/>
  <c r="E2166" i="27"/>
  <c r="E2168" i="27"/>
  <c r="E2171" i="27"/>
  <c r="E2180" i="27"/>
  <c r="E2189" i="27"/>
  <c r="E2194" i="27"/>
  <c r="E2195" i="27"/>
  <c r="E2200" i="27"/>
  <c r="E2205" i="27"/>
  <c r="E2238" i="27"/>
  <c r="E2266" i="27"/>
  <c r="E2278" i="27"/>
  <c r="E2291" i="27"/>
  <c r="E2292" i="27"/>
  <c r="E2301" i="27"/>
  <c r="E2312" i="27"/>
  <c r="E2335" i="27"/>
  <c r="E2352" i="27"/>
  <c r="E2353" i="27"/>
  <c r="E2376" i="27"/>
  <c r="E2393" i="27"/>
  <c r="E2394" i="27"/>
  <c r="E2417" i="27"/>
  <c r="E2434" i="27"/>
  <c r="E2435" i="27"/>
  <c r="E2451" i="27"/>
  <c r="E2467" i="27"/>
  <c r="E2468" i="27"/>
  <c r="E2485" i="27"/>
  <c r="E2502" i="27"/>
  <c r="E2503" i="27"/>
  <c r="E2513" i="27"/>
  <c r="E2514" i="27"/>
  <c r="E2534" i="27"/>
  <c r="E2559" i="27"/>
  <c r="H6072" i="26"/>
  <c r="H6073" i="26" s="1"/>
  <c r="I6057" i="26" s="1"/>
  <c r="H5786" i="26"/>
  <c r="H5787" i="26" s="1"/>
  <c r="H5788" i="26" s="1"/>
  <c r="I5771" i="26" s="1"/>
  <c r="H5805" i="26"/>
  <c r="H5806" i="26" s="1"/>
  <c r="I5791" i="26" s="1"/>
  <c r="H5729" i="26"/>
  <c r="H5730" i="26" s="1"/>
  <c r="H5731" i="26" s="1"/>
  <c r="I5715" i="26" s="1"/>
  <c r="H5748" i="26"/>
  <c r="H5749" i="26" s="1"/>
  <c r="H5750" i="26" s="1"/>
  <c r="I5733" i="26" s="1"/>
  <c r="H5766" i="26"/>
  <c r="H5767" i="26" s="1"/>
  <c r="H5768" i="26" s="1"/>
  <c r="I5752" i="26" s="1"/>
  <c r="H5712" i="26"/>
  <c r="H5713" i="26" s="1"/>
  <c r="I5698" i="26" s="1"/>
  <c r="H5694" i="26"/>
  <c r="H5668" i="26"/>
  <c r="H5669" i="26" s="1"/>
  <c r="H5670" i="26" s="1"/>
  <c r="I5646" i="26" s="1"/>
  <c r="H5641" i="26"/>
  <c r="H5642" i="26" s="1"/>
  <c r="I5627" i="26" s="1"/>
  <c r="H5624" i="26"/>
  <c r="H5625" i="26" s="1"/>
  <c r="I5610" i="26" s="1"/>
  <c r="H5607" i="26"/>
  <c r="H5608" i="26" s="1"/>
  <c r="I5593" i="26" s="1"/>
  <c r="H5590" i="26"/>
  <c r="H5591" i="26" s="1"/>
  <c r="I5576" i="26" s="1"/>
  <c r="H6706" i="43"/>
  <c r="H5240" i="26"/>
  <c r="H5246" i="26" s="1"/>
  <c r="H5308" i="26"/>
  <c r="H5314" i="26" s="1"/>
  <c r="H5377" i="26"/>
  <c r="H5383" i="26" s="1"/>
  <c r="H5445" i="26"/>
  <c r="H5451" i="26" s="1"/>
  <c r="H5514" i="26"/>
  <c r="H5520" i="26" s="1"/>
  <c r="H6903" i="43"/>
  <c r="H5573" i="26"/>
  <c r="H5574" i="26" s="1"/>
  <c r="I5559" i="26" s="1"/>
  <c r="H5222" i="26"/>
  <c r="H5228" i="26" s="1"/>
  <c r="H5291" i="26"/>
  <c r="H5297" i="26" s="1"/>
  <c r="H5360" i="26"/>
  <c r="H5366" i="26" s="1"/>
  <c r="H5428" i="26"/>
  <c r="H5434" i="26" s="1"/>
  <c r="H5496" i="26"/>
  <c r="H5502" i="26" s="1"/>
  <c r="H6702" i="43"/>
  <c r="H6883" i="43"/>
  <c r="H6899" i="43"/>
  <c r="H5274" i="26"/>
  <c r="H5280" i="26" s="1"/>
  <c r="H5343" i="26"/>
  <c r="H5349" i="26" s="1"/>
  <c r="H5411" i="26"/>
  <c r="H5417" i="26" s="1"/>
  <c r="H5479" i="26"/>
  <c r="H5485" i="26" s="1"/>
  <c r="H5549" i="26"/>
  <c r="H5555" i="26" s="1"/>
  <c r="H5197" i="26"/>
  <c r="H5207" i="26"/>
  <c r="H5257" i="26"/>
  <c r="H5263" i="26" s="1"/>
  <c r="H5326" i="26"/>
  <c r="H5332" i="26" s="1"/>
  <c r="H5394" i="26"/>
  <c r="H5400" i="26" s="1"/>
  <c r="H5462" i="26"/>
  <c r="H5468" i="26" s="1"/>
  <c r="H5531" i="26"/>
  <c r="H5537" i="26" s="1"/>
  <c r="H7002" i="43"/>
  <c r="H6987" i="43"/>
  <c r="H6971" i="43"/>
  <c r="H6956" i="43"/>
  <c r="H6940" i="43"/>
  <c r="H6358" i="43"/>
  <c r="H6365" i="43" s="1"/>
  <c r="B809" i="27"/>
  <c r="C809" i="27" s="1"/>
  <c r="B808" i="27"/>
  <c r="C808" i="27" s="1"/>
  <c r="B807" i="27"/>
  <c r="C807" i="27" s="1"/>
  <c r="B806" i="27"/>
  <c r="C806" i="27" s="1"/>
  <c r="B805" i="27"/>
  <c r="C805" i="27" s="1"/>
  <c r="B804" i="27"/>
  <c r="C804" i="27" s="1"/>
  <c r="B803" i="27"/>
  <c r="C803" i="27" s="1"/>
  <c r="B802" i="27"/>
  <c r="C802" i="27" s="1"/>
  <c r="B801" i="27"/>
  <c r="C801" i="27" s="1"/>
  <c r="B800" i="27"/>
  <c r="C800" i="27" s="1"/>
  <c r="B799" i="27"/>
  <c r="C799" i="27" s="1"/>
  <c r="B798" i="27"/>
  <c r="C798" i="27" s="1"/>
  <c r="B797" i="27"/>
  <c r="C797" i="27" s="1"/>
  <c r="B796" i="27"/>
  <c r="C796" i="27" s="1"/>
  <c r="B795" i="27"/>
  <c r="C795" i="27" s="1"/>
  <c r="B794" i="27"/>
  <c r="C794" i="27" s="1"/>
  <c r="B793" i="27"/>
  <c r="C793" i="27" s="1"/>
  <c r="B792" i="27"/>
  <c r="C792" i="27" s="1"/>
  <c r="B791" i="27"/>
  <c r="C791" i="27" s="1"/>
  <c r="B790" i="27"/>
  <c r="C790" i="27" s="1"/>
  <c r="B789" i="27"/>
  <c r="C789" i="27" s="1"/>
  <c r="B788" i="27"/>
  <c r="C788" i="27" s="1"/>
  <c r="B787" i="27"/>
  <c r="C787" i="27" s="1"/>
  <c r="B786" i="27"/>
  <c r="C786" i="27" s="1"/>
  <c r="B785" i="27"/>
  <c r="C785" i="27" s="1"/>
  <c r="B784" i="27"/>
  <c r="C784" i="27" s="1"/>
  <c r="B783" i="27"/>
  <c r="C783" i="27" s="1"/>
  <c r="B779" i="27"/>
  <c r="C779" i="27" s="1"/>
  <c r="B780" i="27"/>
  <c r="C780" i="27" s="1"/>
  <c r="B782" i="27"/>
  <c r="C782" i="27" s="1"/>
  <c r="B781" i="27"/>
  <c r="C781" i="27" s="1"/>
  <c r="B777" i="27"/>
  <c r="C777" i="27" s="1"/>
  <c r="F777" i="27" s="1"/>
  <c r="B776" i="27"/>
  <c r="C776" i="27" s="1"/>
  <c r="F776" i="27" s="1"/>
  <c r="B775" i="27"/>
  <c r="C775" i="27" s="1"/>
  <c r="F775" i="27" s="1"/>
  <c r="B774" i="27"/>
  <c r="C774" i="27" s="1"/>
  <c r="F774" i="27" s="1"/>
  <c r="B773" i="27"/>
  <c r="C773" i="27" s="1"/>
  <c r="F773" i="27" s="1"/>
  <c r="B771" i="27"/>
  <c r="C771" i="27" s="1"/>
  <c r="F771" i="27" s="1"/>
  <c r="B770" i="27"/>
  <c r="C770" i="27" s="1"/>
  <c r="F770" i="27" s="1"/>
  <c r="B769" i="27"/>
  <c r="C769" i="27" s="1"/>
  <c r="B768" i="27"/>
  <c r="C768" i="27" s="1"/>
  <c r="B767" i="27"/>
  <c r="C767" i="27" s="1"/>
  <c r="B766" i="27"/>
  <c r="C766" i="27" s="1"/>
  <c r="B765" i="27"/>
  <c r="C765" i="27" s="1"/>
  <c r="B764" i="27"/>
  <c r="C764" i="27" s="1"/>
  <c r="B763" i="27"/>
  <c r="C763" i="27" s="1"/>
  <c r="B762" i="27"/>
  <c r="C762" i="27" s="1"/>
  <c r="B761" i="27"/>
  <c r="C761" i="27" s="1"/>
  <c r="B760" i="27"/>
  <c r="C760" i="27" s="1"/>
  <c r="B759" i="27"/>
  <c r="C759" i="27" s="1"/>
  <c r="B758" i="27"/>
  <c r="C758" i="27" s="1"/>
  <c r="B757" i="27"/>
  <c r="C757" i="27" s="1"/>
  <c r="B756" i="27"/>
  <c r="C756" i="27" s="1"/>
  <c r="B755" i="27"/>
  <c r="C755" i="27" s="1"/>
  <c r="B754" i="27"/>
  <c r="C754" i="27" s="1"/>
  <c r="B753" i="27"/>
  <c r="C753" i="27" s="1"/>
  <c r="B752" i="27"/>
  <c r="C752" i="27" s="1"/>
  <c r="B751" i="27"/>
  <c r="C751" i="27" s="1"/>
  <c r="B750" i="27"/>
  <c r="C750" i="27" s="1"/>
  <c r="B749" i="27"/>
  <c r="C749" i="27" s="1"/>
  <c r="B748" i="27"/>
  <c r="C748" i="27" s="1"/>
  <c r="B747" i="27"/>
  <c r="C747" i="27" s="1"/>
  <c r="B746" i="27"/>
  <c r="C746" i="27" s="1"/>
  <c r="B745" i="27"/>
  <c r="C745" i="27" s="1"/>
  <c r="B744" i="27"/>
  <c r="C744" i="27" s="1"/>
  <c r="B743" i="27"/>
  <c r="C743" i="27" s="1"/>
  <c r="B742" i="27"/>
  <c r="C742" i="27" s="1"/>
  <c r="B741" i="27"/>
  <c r="C741" i="27" s="1"/>
  <c r="B740" i="27"/>
  <c r="C740" i="27" s="1"/>
  <c r="B739" i="27"/>
  <c r="C739" i="27" s="1"/>
  <c r="B738" i="27"/>
  <c r="C738" i="27" s="1"/>
  <c r="B737" i="27"/>
  <c r="C737" i="27" s="1"/>
  <c r="B736" i="27"/>
  <c r="C736" i="27" s="1"/>
  <c r="B735" i="27"/>
  <c r="C735" i="27" s="1"/>
  <c r="B734" i="27"/>
  <c r="C734" i="27" s="1"/>
  <c r="B733" i="27"/>
  <c r="C733" i="27" s="1"/>
  <c r="B732" i="27"/>
  <c r="C732" i="27" s="1"/>
  <c r="B731" i="27"/>
  <c r="C731" i="27" s="1"/>
  <c r="G731" i="27" s="1"/>
  <c r="B729" i="27"/>
  <c r="C729" i="27" s="1"/>
  <c r="B728" i="27"/>
  <c r="C728" i="27" s="1"/>
  <c r="B727" i="27"/>
  <c r="C727" i="27" s="1"/>
  <c r="B726" i="27"/>
  <c r="C726" i="27" s="1"/>
  <c r="B725" i="27"/>
  <c r="C725" i="27" s="1"/>
  <c r="B724" i="27"/>
  <c r="C724" i="27" s="1"/>
  <c r="B723" i="27"/>
  <c r="C723" i="27" s="1"/>
  <c r="B722" i="27"/>
  <c r="C722" i="27" s="1"/>
  <c r="B721" i="27"/>
  <c r="C721" i="27" s="1"/>
  <c r="B720" i="27"/>
  <c r="C720" i="27" s="1"/>
  <c r="B719" i="27"/>
  <c r="C719" i="27" s="1"/>
  <c r="B718" i="27"/>
  <c r="C718" i="27" s="1"/>
  <c r="B716" i="27"/>
  <c r="C716" i="27" s="1"/>
  <c r="B717" i="27"/>
  <c r="C717" i="27" s="1"/>
  <c r="B715" i="27"/>
  <c r="C715" i="27" s="1"/>
  <c r="B714" i="27"/>
  <c r="C714" i="27" s="1"/>
  <c r="B713" i="27"/>
  <c r="C713" i="27" s="1"/>
  <c r="B712" i="27"/>
  <c r="C712" i="27" s="1"/>
  <c r="B711" i="27"/>
  <c r="C711" i="27" s="1"/>
  <c r="B710" i="27"/>
  <c r="C710" i="27" s="1"/>
  <c r="B709" i="27"/>
  <c r="C709" i="27" s="1"/>
  <c r="B707" i="27"/>
  <c r="C707" i="27" s="1"/>
  <c r="B708" i="27"/>
  <c r="C708" i="27" s="1"/>
  <c r="B706" i="27"/>
  <c r="C706" i="27" s="1"/>
  <c r="B705" i="27"/>
  <c r="C705" i="27" s="1"/>
  <c r="B703" i="27"/>
  <c r="C703" i="27" s="1"/>
  <c r="B704" i="27"/>
  <c r="C704" i="27" s="1"/>
  <c r="B702" i="27"/>
  <c r="C702" i="27" s="1"/>
  <c r="B701" i="27"/>
  <c r="C701" i="27" s="1"/>
  <c r="B700" i="27"/>
  <c r="C700" i="27" s="1"/>
  <c r="B699" i="27"/>
  <c r="C699" i="27" s="1"/>
  <c r="B698" i="27"/>
  <c r="C698" i="27" s="1"/>
  <c r="B697" i="27"/>
  <c r="C697" i="27" s="1"/>
  <c r="B696" i="27"/>
  <c r="C696" i="27" s="1"/>
  <c r="B695" i="27"/>
  <c r="C695" i="27" s="1"/>
  <c r="B694" i="27"/>
  <c r="C694" i="27" s="1"/>
  <c r="B693" i="27"/>
  <c r="C693" i="27" s="1"/>
  <c r="B692" i="27"/>
  <c r="C692" i="27" s="1"/>
  <c r="B691" i="27"/>
  <c r="C691" i="27" s="1"/>
  <c r="B690" i="27"/>
  <c r="C690" i="27" s="1"/>
  <c r="B689" i="27"/>
  <c r="C689" i="27" s="1"/>
  <c r="B688" i="27"/>
  <c r="C688" i="27" s="1"/>
  <c r="B687" i="27"/>
  <c r="C687" i="27" s="1"/>
  <c r="B686" i="27"/>
  <c r="C686" i="27" s="1"/>
  <c r="B685" i="27"/>
  <c r="C685" i="27" s="1"/>
  <c r="B684" i="27"/>
  <c r="C684" i="27" s="1"/>
  <c r="B683" i="27"/>
  <c r="C683" i="27" s="1"/>
  <c r="B682" i="27"/>
  <c r="C682" i="27" s="1"/>
  <c r="B670" i="27"/>
  <c r="C670" i="27" s="1"/>
  <c r="B681" i="27"/>
  <c r="C681" i="27" s="1"/>
  <c r="B680" i="27"/>
  <c r="C680" i="27" s="1"/>
  <c r="B678" i="27"/>
  <c r="C678" i="27" s="1"/>
  <c r="B679" i="27"/>
  <c r="C679" i="27" s="1"/>
  <c r="B677" i="27"/>
  <c r="C677" i="27" s="1"/>
  <c r="B676" i="27"/>
  <c r="C676" i="27" s="1"/>
  <c r="B675" i="27"/>
  <c r="C675" i="27" s="1"/>
  <c r="B674" i="27"/>
  <c r="C674" i="27" s="1"/>
  <c r="B673" i="27"/>
  <c r="C673" i="27" s="1"/>
  <c r="B672" i="27"/>
  <c r="C672" i="27" s="1"/>
  <c r="B671" i="27"/>
  <c r="C671" i="27" s="1"/>
  <c r="B669" i="27"/>
  <c r="C669" i="27" s="1"/>
  <c r="B668" i="27"/>
  <c r="C668" i="27" s="1"/>
  <c r="B666" i="27"/>
  <c r="C666" i="27" s="1"/>
  <c r="B667" i="27"/>
  <c r="C667" i="27" s="1"/>
  <c r="B665" i="27"/>
  <c r="C665" i="27" s="1"/>
  <c r="B664" i="27"/>
  <c r="C664" i="27" s="1"/>
  <c r="B662" i="27"/>
  <c r="C662" i="27" s="1"/>
  <c r="B663" i="27"/>
  <c r="C663" i="27" s="1"/>
  <c r="B661" i="27"/>
  <c r="C661" i="27" s="1"/>
  <c r="B660" i="27"/>
  <c r="C660" i="27" s="1"/>
  <c r="B659" i="27"/>
  <c r="C659" i="27" s="1"/>
  <c r="B658" i="27"/>
  <c r="C658" i="27" s="1"/>
  <c r="B657" i="27"/>
  <c r="C657" i="27" s="1"/>
  <c r="B656" i="27"/>
  <c r="C656" i="27" s="1"/>
  <c r="B655" i="27"/>
  <c r="C655" i="27" s="1"/>
  <c r="B654" i="27"/>
  <c r="C654" i="27" s="1"/>
  <c r="B653" i="27"/>
  <c r="C653" i="27" s="1"/>
  <c r="B652" i="27"/>
  <c r="C652" i="27" s="1"/>
  <c r="B651" i="27"/>
  <c r="C651" i="27" s="1"/>
  <c r="B650" i="27"/>
  <c r="C650" i="27" s="1"/>
  <c r="G650" i="27" s="1"/>
  <c r="B649" i="27"/>
  <c r="C649" i="27" s="1"/>
  <c r="B648" i="27"/>
  <c r="C648" i="27" s="1"/>
  <c r="B647" i="27"/>
  <c r="C647" i="27" s="1"/>
  <c r="B646" i="27"/>
  <c r="C646" i="27" s="1"/>
  <c r="B645" i="27"/>
  <c r="C645" i="27" s="1"/>
  <c r="B644" i="27"/>
  <c r="C644" i="27" s="1"/>
  <c r="B643" i="27"/>
  <c r="C643" i="27" s="1"/>
  <c r="B642" i="27"/>
  <c r="C642" i="27" s="1"/>
  <c r="B641" i="27"/>
  <c r="C641" i="27" s="1"/>
  <c r="B640" i="27"/>
  <c r="C640" i="27" s="1"/>
  <c r="B639" i="27"/>
  <c r="C639" i="27" s="1"/>
  <c r="B638" i="27"/>
  <c r="C638" i="27" s="1"/>
  <c r="B637" i="27"/>
  <c r="C637" i="27" s="1"/>
  <c r="B635" i="27"/>
  <c r="C635" i="27" s="1"/>
  <c r="B636" i="27"/>
  <c r="C636" i="27" s="1"/>
  <c r="B634" i="27"/>
  <c r="C634" i="27" s="1"/>
  <c r="B633" i="27"/>
  <c r="C633" i="27" s="1"/>
  <c r="B632" i="27"/>
  <c r="C632" i="27" s="1"/>
  <c r="B631" i="27"/>
  <c r="C631" i="27" s="1"/>
  <c r="B630" i="27"/>
  <c r="C630" i="27" s="1"/>
  <c r="B629" i="27"/>
  <c r="C629" i="27" s="1"/>
  <c r="B627" i="27"/>
  <c r="C627" i="27" s="1"/>
  <c r="B628" i="27"/>
  <c r="C628" i="27" s="1"/>
  <c r="B626" i="27"/>
  <c r="C626" i="27" s="1"/>
  <c r="B625" i="27"/>
  <c r="C625" i="27" s="1"/>
  <c r="B623" i="27"/>
  <c r="C623" i="27" s="1"/>
  <c r="B624" i="27"/>
  <c r="C624" i="27" s="1"/>
  <c r="B622" i="27"/>
  <c r="C622" i="27" s="1"/>
  <c r="B621" i="27"/>
  <c r="C621" i="27" s="1"/>
  <c r="B620" i="27"/>
  <c r="C620" i="27" s="1"/>
  <c r="B619" i="27"/>
  <c r="C619" i="27" s="1"/>
  <c r="B618" i="27"/>
  <c r="C618" i="27" s="1"/>
  <c r="B616" i="27"/>
  <c r="C616" i="27" s="1"/>
  <c r="B617" i="27"/>
  <c r="C617" i="27" s="1"/>
  <c r="B615" i="27"/>
  <c r="C615" i="27" s="1"/>
  <c r="B614" i="27"/>
  <c r="C614" i="27" s="1"/>
  <c r="B613" i="27"/>
  <c r="C613" i="27" s="1"/>
  <c r="B612" i="27"/>
  <c r="C612" i="27" s="1"/>
  <c r="B611" i="27"/>
  <c r="C611" i="27" s="1"/>
  <c r="B610" i="27"/>
  <c r="C610" i="27" s="1"/>
  <c r="B609" i="27"/>
  <c r="C609" i="27" s="1"/>
  <c r="B608" i="27"/>
  <c r="C608" i="27" s="1"/>
  <c r="B606" i="27"/>
  <c r="C606" i="27" s="1"/>
  <c r="B607" i="27"/>
  <c r="C607" i="27" s="1"/>
  <c r="B605" i="27"/>
  <c r="C605" i="27" s="1"/>
  <c r="B604" i="27"/>
  <c r="C604" i="27" s="1"/>
  <c r="B603" i="27"/>
  <c r="C603" i="27" s="1"/>
  <c r="B602" i="27"/>
  <c r="C602" i="27" s="1"/>
  <c r="B601" i="27"/>
  <c r="C601" i="27" s="1"/>
  <c r="B599" i="27"/>
  <c r="C599" i="27" s="1"/>
  <c r="B600" i="27"/>
  <c r="C600" i="27" s="1"/>
  <c r="B598" i="27"/>
  <c r="C598" i="27" s="1"/>
  <c r="B597" i="27"/>
  <c r="C597" i="27" s="1"/>
  <c r="B596" i="27"/>
  <c r="C596" i="27" s="1"/>
  <c r="B595" i="27"/>
  <c r="C595" i="27" s="1"/>
  <c r="B594" i="27"/>
  <c r="C594" i="27" s="1"/>
  <c r="B593" i="27"/>
  <c r="C593" i="27" s="1"/>
  <c r="B592" i="27"/>
  <c r="C592" i="27" s="1"/>
  <c r="B591" i="27"/>
  <c r="C591" i="27" s="1"/>
  <c r="B590" i="27"/>
  <c r="C590" i="27" s="1"/>
  <c r="B589" i="27"/>
  <c r="C589" i="27" s="1"/>
  <c r="B588" i="27"/>
  <c r="C588" i="27" s="1"/>
  <c r="B586" i="27"/>
  <c r="C586" i="27" s="1"/>
  <c r="B587" i="27"/>
  <c r="C587" i="27" s="1"/>
  <c r="B585" i="27"/>
  <c r="C585" i="27" s="1"/>
  <c r="B584" i="27"/>
  <c r="C584" i="27" s="1"/>
  <c r="B583" i="27"/>
  <c r="C583" i="27" s="1"/>
  <c r="B582" i="27"/>
  <c r="C582" i="27" s="1"/>
  <c r="B580" i="27"/>
  <c r="C580" i="27" s="1"/>
  <c r="B581" i="27"/>
  <c r="C581" i="27" s="1"/>
  <c r="B579" i="27"/>
  <c r="C579" i="27" s="1"/>
  <c r="E1504" i="27" l="1"/>
  <c r="E1507" i="27"/>
  <c r="E1506" i="27"/>
  <c r="E851" i="27"/>
  <c r="E1522" i="27"/>
  <c r="E1502" i="27"/>
  <c r="E852" i="27"/>
  <c r="E853" i="27"/>
  <c r="E1494" i="27"/>
  <c r="E1495" i="27"/>
  <c r="E854" i="27"/>
  <c r="E1496" i="27"/>
  <c r="E1497" i="27"/>
  <c r="E856" i="27"/>
  <c r="E1500" i="27"/>
  <c r="E857" i="27"/>
  <c r="E1493" i="27"/>
  <c r="E1505" i="27"/>
  <c r="E858" i="27"/>
  <c r="E1503" i="27"/>
  <c r="E850" i="27"/>
  <c r="E859" i="27"/>
  <c r="H7743" i="43"/>
  <c r="H7744" i="43" s="1"/>
  <c r="H7745" i="43" s="1"/>
  <c r="R7727" i="43" s="1"/>
  <c r="G781" i="27"/>
  <c r="F781" i="27"/>
  <c r="G782" i="27"/>
  <c r="F782" i="27"/>
  <c r="G783" i="27"/>
  <c r="F783" i="27"/>
  <c r="G784" i="27"/>
  <c r="F784" i="27"/>
  <c r="G785" i="27"/>
  <c r="F785" i="27"/>
  <c r="G786" i="27"/>
  <c r="F786" i="27"/>
  <c r="G787" i="27"/>
  <c r="F787" i="27"/>
  <c r="G788" i="27"/>
  <c r="F788" i="27"/>
  <c r="G789" i="27"/>
  <c r="F789" i="27"/>
  <c r="G790" i="27"/>
  <c r="F790" i="27"/>
  <c r="G791" i="27"/>
  <c r="F791" i="27"/>
  <c r="G792" i="27"/>
  <c r="F792" i="27"/>
  <c r="G793" i="27"/>
  <c r="F793" i="27"/>
  <c r="G794" i="27"/>
  <c r="F794" i="27"/>
  <c r="G795" i="27"/>
  <c r="F795" i="27"/>
  <c r="G796" i="27"/>
  <c r="F796" i="27"/>
  <c r="G797" i="27"/>
  <c r="F797" i="27"/>
  <c r="G798" i="27"/>
  <c r="F798" i="27"/>
  <c r="G799" i="27"/>
  <c r="F799" i="27"/>
  <c r="G800" i="27"/>
  <c r="F800" i="27"/>
  <c r="G801" i="27"/>
  <c r="F801" i="27"/>
  <c r="G802" i="27"/>
  <c r="F802" i="27"/>
  <c r="G803" i="27"/>
  <c r="F803" i="27"/>
  <c r="G804" i="27"/>
  <c r="F804" i="27"/>
  <c r="G805" i="27"/>
  <c r="F805" i="27"/>
  <c r="G806" i="27"/>
  <c r="F806" i="27"/>
  <c r="G807" i="27"/>
  <c r="F807" i="27"/>
  <c r="G808" i="27"/>
  <c r="F808" i="27"/>
  <c r="G809" i="27"/>
  <c r="F809" i="27"/>
  <c r="G766" i="27"/>
  <c r="F766" i="27"/>
  <c r="G579" i="27"/>
  <c r="F579" i="27"/>
  <c r="G581" i="27"/>
  <c r="F581" i="27"/>
  <c r="G580" i="27"/>
  <c r="F580" i="27"/>
  <c r="G582" i="27"/>
  <c r="F582" i="27"/>
  <c r="G583" i="27"/>
  <c r="F583" i="27"/>
  <c r="G584" i="27"/>
  <c r="F584" i="27"/>
  <c r="G585" i="27"/>
  <c r="F585" i="27"/>
  <c r="G587" i="27"/>
  <c r="F587" i="27"/>
  <c r="G586" i="27"/>
  <c r="F586" i="27"/>
  <c r="G588" i="27"/>
  <c r="F588" i="27"/>
  <c r="G589" i="27"/>
  <c r="F589" i="27"/>
  <c r="G590" i="27"/>
  <c r="F590" i="27"/>
  <c r="G591" i="27"/>
  <c r="F591" i="27"/>
  <c r="G592" i="27"/>
  <c r="F592" i="27"/>
  <c r="G593" i="27"/>
  <c r="F593" i="27"/>
  <c r="G594" i="27"/>
  <c r="F594" i="27"/>
  <c r="G595" i="27"/>
  <c r="F595" i="27"/>
  <c r="G596" i="27"/>
  <c r="F596" i="27"/>
  <c r="G597" i="27"/>
  <c r="F597" i="27"/>
  <c r="G598" i="27"/>
  <c r="F598" i="27"/>
  <c r="G600" i="27"/>
  <c r="F600" i="27"/>
  <c r="G599" i="27"/>
  <c r="F599" i="27"/>
  <c r="G601" i="27"/>
  <c r="F601" i="27"/>
  <c r="G602" i="27"/>
  <c r="F602" i="27"/>
  <c r="G603" i="27"/>
  <c r="F603" i="27"/>
  <c r="G604" i="27"/>
  <c r="F604" i="27"/>
  <c r="G605" i="27"/>
  <c r="F605" i="27"/>
  <c r="G607" i="27"/>
  <c r="F607" i="27"/>
  <c r="G606" i="27"/>
  <c r="F606" i="27"/>
  <c r="G608" i="27"/>
  <c r="F608" i="27"/>
  <c r="G609" i="27"/>
  <c r="F609" i="27"/>
  <c r="G610" i="27"/>
  <c r="F610" i="27"/>
  <c r="G611" i="27"/>
  <c r="F611" i="27"/>
  <c r="G612" i="27"/>
  <c r="F612" i="27"/>
  <c r="G613" i="27"/>
  <c r="F613" i="27"/>
  <c r="G614" i="27"/>
  <c r="F614" i="27"/>
  <c r="G615" i="27"/>
  <c r="F615" i="27"/>
  <c r="G617" i="27"/>
  <c r="F617" i="27"/>
  <c r="G616" i="27"/>
  <c r="F616" i="27"/>
  <c r="G618" i="27"/>
  <c r="F618" i="27"/>
  <c r="G619" i="27"/>
  <c r="F619" i="27"/>
  <c r="G620" i="27"/>
  <c r="F620" i="27"/>
  <c r="G621" i="27"/>
  <c r="F621" i="27"/>
  <c r="G622" i="27"/>
  <c r="F622" i="27"/>
  <c r="G624" i="27"/>
  <c r="F624" i="27"/>
  <c r="G623" i="27"/>
  <c r="F623" i="27"/>
  <c r="G625" i="27"/>
  <c r="F625" i="27"/>
  <c r="G626" i="27"/>
  <c r="F626" i="27"/>
  <c r="G627" i="27"/>
  <c r="F627" i="27"/>
  <c r="G628" i="27"/>
  <c r="F628" i="27"/>
  <c r="G629" i="27"/>
  <c r="F629" i="27"/>
  <c r="G630" i="27"/>
  <c r="F630" i="27"/>
  <c r="G631" i="27"/>
  <c r="F631" i="27"/>
  <c r="G632" i="27"/>
  <c r="F632" i="27"/>
  <c r="G633" i="27"/>
  <c r="F633" i="27"/>
  <c r="G634" i="27"/>
  <c r="F634" i="27"/>
  <c r="G636" i="27"/>
  <c r="F636" i="27"/>
  <c r="G635" i="27"/>
  <c r="F635" i="27"/>
  <c r="G637" i="27"/>
  <c r="F637" i="27"/>
  <c r="G638" i="27"/>
  <c r="F638" i="27"/>
  <c r="G639" i="27"/>
  <c r="F639" i="27"/>
  <c r="G640" i="27"/>
  <c r="F640" i="27"/>
  <c r="G641" i="27"/>
  <c r="F641" i="27"/>
  <c r="G642" i="27"/>
  <c r="F642" i="27"/>
  <c r="G643" i="27"/>
  <c r="F643" i="27"/>
  <c r="G644" i="27"/>
  <c r="F644" i="27"/>
  <c r="G645" i="27"/>
  <c r="F645" i="27"/>
  <c r="G646" i="27"/>
  <c r="F646" i="27"/>
  <c r="G647" i="27"/>
  <c r="F647" i="27"/>
  <c r="G648" i="27"/>
  <c r="F648" i="27"/>
  <c r="G651" i="27"/>
  <c r="F651" i="27"/>
  <c r="G652" i="27"/>
  <c r="F652" i="27"/>
  <c r="G653" i="27"/>
  <c r="F653" i="27"/>
  <c r="G654" i="27"/>
  <c r="F654" i="27"/>
  <c r="G655" i="27"/>
  <c r="F655" i="27"/>
  <c r="G656" i="27"/>
  <c r="F656" i="27"/>
  <c r="G657" i="27"/>
  <c r="F657" i="27"/>
  <c r="G658" i="27"/>
  <c r="F658" i="27"/>
  <c r="G659" i="27"/>
  <c r="F659" i="27"/>
  <c r="G660" i="27"/>
  <c r="F660" i="27"/>
  <c r="G661" i="27"/>
  <c r="F661" i="27"/>
  <c r="G663" i="27"/>
  <c r="F663" i="27"/>
  <c r="G662" i="27"/>
  <c r="F662" i="27"/>
  <c r="G664" i="27"/>
  <c r="F664" i="27"/>
  <c r="G665" i="27"/>
  <c r="F665" i="27"/>
  <c r="G667" i="27"/>
  <c r="F667" i="27"/>
  <c r="G666" i="27"/>
  <c r="F666" i="27"/>
  <c r="G668" i="27"/>
  <c r="F668" i="27"/>
  <c r="G669" i="27"/>
  <c r="F669" i="27"/>
  <c r="G671" i="27"/>
  <c r="F671" i="27"/>
  <c r="G672" i="27"/>
  <c r="F672" i="27"/>
  <c r="G673" i="27"/>
  <c r="F673" i="27"/>
  <c r="G674" i="27"/>
  <c r="F674" i="27"/>
  <c r="G675" i="27"/>
  <c r="F675" i="27"/>
  <c r="G676" i="27"/>
  <c r="F676" i="27"/>
  <c r="G677" i="27"/>
  <c r="F677" i="27"/>
  <c r="G678" i="27"/>
  <c r="F678" i="27"/>
  <c r="G679" i="27"/>
  <c r="F679" i="27"/>
  <c r="G680" i="27"/>
  <c r="F680" i="27"/>
  <c r="F681" i="27"/>
  <c r="G681" i="27"/>
  <c r="G670" i="27"/>
  <c r="F670" i="27"/>
  <c r="G763" i="27"/>
  <c r="F763" i="27"/>
  <c r="G764" i="27"/>
  <c r="F764" i="27"/>
  <c r="G769" i="27"/>
  <c r="F769" i="27"/>
  <c r="G770" i="27"/>
  <c r="G771" i="27"/>
  <c r="G773" i="27"/>
  <c r="G774" i="27"/>
  <c r="G775" i="27"/>
  <c r="G776" i="27"/>
  <c r="G777" i="27"/>
  <c r="F1151" i="27"/>
  <c r="G1151" i="27"/>
  <c r="F1152" i="27"/>
  <c r="G1152" i="27"/>
  <c r="G684" i="27"/>
  <c r="F684" i="27"/>
  <c r="G685" i="27"/>
  <c r="F685" i="27"/>
  <c r="G686" i="27"/>
  <c r="F686" i="27"/>
  <c r="G687" i="27"/>
  <c r="F687" i="27"/>
  <c r="G688" i="27"/>
  <c r="F688" i="27"/>
  <c r="G689" i="27"/>
  <c r="F689" i="27"/>
  <c r="G690" i="27"/>
  <c r="F690" i="27"/>
  <c r="G691" i="27"/>
  <c r="F691" i="27"/>
  <c r="G692" i="27"/>
  <c r="F692" i="27"/>
  <c r="G693" i="27"/>
  <c r="F693" i="27"/>
  <c r="G694" i="27"/>
  <c r="F694" i="27"/>
  <c r="G695" i="27"/>
  <c r="F695" i="27"/>
  <c r="G696" i="27"/>
  <c r="F696" i="27"/>
  <c r="G697" i="27"/>
  <c r="F697" i="27"/>
  <c r="G698" i="27"/>
  <c r="F698" i="27"/>
  <c r="G699" i="27"/>
  <c r="F699" i="27"/>
  <c r="G700" i="27"/>
  <c r="F700" i="27"/>
  <c r="G701" i="27"/>
  <c r="F701" i="27"/>
  <c r="G702" i="27"/>
  <c r="F702" i="27"/>
  <c r="G704" i="27"/>
  <c r="F704" i="27"/>
  <c r="G703" i="27"/>
  <c r="F703" i="27"/>
  <c r="G705" i="27"/>
  <c r="F705" i="27"/>
  <c r="G706" i="27"/>
  <c r="F706" i="27"/>
  <c r="G708" i="27"/>
  <c r="F708" i="27"/>
  <c r="G707" i="27"/>
  <c r="F707" i="27"/>
  <c r="G709" i="27"/>
  <c r="F709" i="27"/>
  <c r="G710" i="27"/>
  <c r="F710" i="27"/>
  <c r="G711" i="27"/>
  <c r="F711" i="27"/>
  <c r="G712" i="27"/>
  <c r="F712" i="27"/>
  <c r="G713" i="27"/>
  <c r="F713" i="27"/>
  <c r="G714" i="27"/>
  <c r="F714" i="27"/>
  <c r="G715" i="27"/>
  <c r="F715" i="27"/>
  <c r="G717" i="27"/>
  <c r="F717" i="27"/>
  <c r="G716" i="27"/>
  <c r="F716" i="27"/>
  <c r="G718" i="27"/>
  <c r="F718" i="27"/>
  <c r="G719" i="27"/>
  <c r="F719" i="27"/>
  <c r="G720" i="27"/>
  <c r="F720" i="27"/>
  <c r="G721" i="27"/>
  <c r="F721" i="27"/>
  <c r="G722" i="27"/>
  <c r="F722" i="27"/>
  <c r="G723" i="27"/>
  <c r="F723" i="27"/>
  <c r="G724" i="27"/>
  <c r="F724" i="27"/>
  <c r="G725" i="27"/>
  <c r="F725" i="27"/>
  <c r="G726" i="27"/>
  <c r="F726" i="27"/>
  <c r="G727" i="27"/>
  <c r="F727" i="27"/>
  <c r="G728" i="27"/>
  <c r="F728" i="27"/>
  <c r="G729" i="27"/>
  <c r="F729" i="27"/>
  <c r="F731" i="27"/>
  <c r="G732" i="27"/>
  <c r="F732" i="27"/>
  <c r="G733" i="27"/>
  <c r="F733" i="27"/>
  <c r="G734" i="27"/>
  <c r="F734" i="27"/>
  <c r="G735" i="27"/>
  <c r="F735" i="27"/>
  <c r="G736" i="27"/>
  <c r="F736" i="27"/>
  <c r="G737" i="27"/>
  <c r="F737" i="27"/>
  <c r="G738" i="27"/>
  <c r="F738" i="27"/>
  <c r="G739" i="27"/>
  <c r="F739" i="27"/>
  <c r="G741" i="27"/>
  <c r="F741" i="27"/>
  <c r="G742" i="27"/>
  <c r="F742" i="27"/>
  <c r="G743" i="27"/>
  <c r="F743" i="27"/>
  <c r="G744" i="27"/>
  <c r="F744" i="27"/>
  <c r="G745" i="27"/>
  <c r="F745" i="27"/>
  <c r="G746" i="27"/>
  <c r="F746" i="27"/>
  <c r="G747" i="27"/>
  <c r="F747" i="27"/>
  <c r="G748" i="27"/>
  <c r="F748" i="27"/>
  <c r="G749" i="27"/>
  <c r="F749" i="27"/>
  <c r="G750" i="27"/>
  <c r="F750" i="27"/>
  <c r="G751" i="27"/>
  <c r="F751" i="27"/>
  <c r="G752" i="27"/>
  <c r="F752" i="27"/>
  <c r="G753" i="27"/>
  <c r="F753" i="27"/>
  <c r="G754" i="27"/>
  <c r="F754" i="27"/>
  <c r="G756" i="27"/>
  <c r="F756" i="27"/>
  <c r="G757" i="27"/>
  <c r="F757" i="27"/>
  <c r="G758" i="27"/>
  <c r="F758" i="27"/>
  <c r="G759" i="27"/>
  <c r="F759" i="27"/>
  <c r="G760" i="27"/>
  <c r="F760" i="27"/>
  <c r="G761" i="27"/>
  <c r="F761" i="27"/>
  <c r="E1151" i="27"/>
  <c r="E1152" i="27"/>
  <c r="H5695" i="26"/>
  <c r="H5696" i="26" s="1"/>
  <c r="I5672" i="26" s="1"/>
  <c r="H5210" i="26"/>
  <c r="H5211" i="26" s="1"/>
  <c r="H5212" i="26" s="1"/>
  <c r="I5190" i="26" s="1"/>
  <c r="H5556" i="26"/>
  <c r="H5557" i="26" s="1"/>
  <c r="I5542" i="26" s="1"/>
  <c r="H5538" i="26"/>
  <c r="H5539" i="26" s="1"/>
  <c r="I5524" i="26" s="1"/>
  <c r="H5521" i="26"/>
  <c r="H5522" i="26" s="1"/>
  <c r="I5507" i="26" s="1"/>
  <c r="H5503" i="26"/>
  <c r="H5504" i="26" s="1"/>
  <c r="I5489" i="26" s="1"/>
  <c r="H5486" i="26"/>
  <c r="H5487" i="26" s="1"/>
  <c r="I5472" i="26" s="1"/>
  <c r="H5469" i="26"/>
  <c r="H5470" i="26" s="1"/>
  <c r="I5455" i="26" s="1"/>
  <c r="H5452" i="26"/>
  <c r="H5453" i="26" s="1"/>
  <c r="I5438" i="26" s="1"/>
  <c r="H5435" i="26"/>
  <c r="H5436" i="26" s="1"/>
  <c r="I5421" i="26" s="1"/>
  <c r="H5418" i="26"/>
  <c r="H5419" i="26" s="1"/>
  <c r="I5404" i="26" s="1"/>
  <c r="H5401" i="26"/>
  <c r="H5402" i="26" s="1"/>
  <c r="I5387" i="26" s="1"/>
  <c r="H5384" i="26"/>
  <c r="H5385" i="26" s="1"/>
  <c r="I5370" i="26" s="1"/>
  <c r="H5367" i="26"/>
  <c r="H5368" i="26" s="1"/>
  <c r="I5353" i="26" s="1"/>
  <c r="H5350" i="26"/>
  <c r="H5351" i="26" s="1"/>
  <c r="I5336" i="26" s="1"/>
  <c r="H5333" i="26"/>
  <c r="H5334" i="26" s="1"/>
  <c r="I5319" i="26" s="1"/>
  <c r="H5315" i="26"/>
  <c r="H5316" i="26" s="1"/>
  <c r="I5301" i="26" s="1"/>
  <c r="H5298" i="26"/>
  <c r="H5299" i="26" s="1"/>
  <c r="I5284" i="26" s="1"/>
  <c r="H5281" i="26"/>
  <c r="H5282" i="26" s="1"/>
  <c r="I5267" i="26" s="1"/>
  <c r="H5264" i="26"/>
  <c r="H5265" i="26" s="1"/>
  <c r="I5250" i="26" s="1"/>
  <c r="H5247" i="26"/>
  <c r="H5248" i="26" s="1"/>
  <c r="I5233" i="26" s="1"/>
  <c r="H5229" i="26"/>
  <c r="H5230" i="26" s="1"/>
  <c r="I5215" i="26" s="1"/>
  <c r="H7003" i="43"/>
  <c r="H7004" i="43" s="1"/>
  <c r="R6991" i="43" s="1"/>
  <c r="H6988" i="43"/>
  <c r="H6989" i="43" s="1"/>
  <c r="R6976" i="43" s="1"/>
  <c r="H6972" i="43"/>
  <c r="H6973" i="43" s="1"/>
  <c r="R6960" i="43" s="1"/>
  <c r="H6957" i="43"/>
  <c r="H6941" i="43"/>
  <c r="B578" i="27"/>
  <c r="C578" i="27" s="1"/>
  <c r="B577" i="27"/>
  <c r="C577" i="27" s="1"/>
  <c r="B576" i="27"/>
  <c r="C576" i="27" s="1"/>
  <c r="B575" i="27"/>
  <c r="C575" i="27" s="1"/>
  <c r="B574" i="27"/>
  <c r="C574" i="27" s="1"/>
  <c r="B573" i="27"/>
  <c r="C573" i="27" s="1"/>
  <c r="B571" i="27"/>
  <c r="C571" i="27" s="1"/>
  <c r="B572" i="27"/>
  <c r="C572" i="27" s="1"/>
  <c r="B570" i="27"/>
  <c r="C570" i="27" s="1"/>
  <c r="B569" i="27"/>
  <c r="C569" i="27" s="1"/>
  <c r="B568" i="27"/>
  <c r="C568" i="27" s="1"/>
  <c r="B567" i="27"/>
  <c r="C567" i="27" s="1"/>
  <c r="B566" i="27"/>
  <c r="C566" i="27" s="1"/>
  <c r="B565" i="27"/>
  <c r="C565" i="27" s="1"/>
  <c r="B564" i="27"/>
  <c r="C564" i="27" s="1"/>
  <c r="B563" i="27"/>
  <c r="C563" i="27" s="1"/>
  <c r="B562" i="27"/>
  <c r="C562" i="27" s="1"/>
  <c r="B561" i="27"/>
  <c r="C561" i="27" s="1"/>
  <c r="B560" i="27"/>
  <c r="C560" i="27" s="1"/>
  <c r="B559" i="27"/>
  <c r="C559" i="27" s="1"/>
  <c r="B558" i="27"/>
  <c r="C558" i="27" s="1"/>
  <c r="B557" i="27"/>
  <c r="C557" i="27" s="1"/>
  <c r="B556" i="27"/>
  <c r="C556" i="27" s="1"/>
  <c r="B555" i="27"/>
  <c r="C555" i="27" s="1"/>
  <c r="B554" i="27"/>
  <c r="C554" i="27" s="1"/>
  <c r="B553" i="27"/>
  <c r="C553" i="27" s="1"/>
  <c r="B552" i="27"/>
  <c r="C552" i="27" s="1"/>
  <c r="B551" i="27"/>
  <c r="C551" i="27" s="1"/>
  <c r="B550" i="27"/>
  <c r="C550" i="27" s="1"/>
  <c r="B549" i="27"/>
  <c r="C549" i="27" s="1"/>
  <c r="B548" i="27"/>
  <c r="C548" i="27" s="1"/>
  <c r="B547" i="27"/>
  <c r="C547" i="27" s="1"/>
  <c r="B545" i="27"/>
  <c r="C545" i="27" s="1"/>
  <c r="B546" i="27"/>
  <c r="C546" i="27" s="1"/>
  <c r="B544" i="27"/>
  <c r="C544" i="27" s="1"/>
  <c r="B542" i="27"/>
  <c r="C542" i="27" s="1"/>
  <c r="B543" i="27"/>
  <c r="C543" i="27" s="1"/>
  <c r="B541" i="27"/>
  <c r="C541" i="27" s="1"/>
  <c r="B540" i="27"/>
  <c r="C540" i="27" s="1"/>
  <c r="B539" i="27"/>
  <c r="C539" i="27" s="1"/>
  <c r="B538" i="27"/>
  <c r="C538" i="27" s="1"/>
  <c r="B537" i="27"/>
  <c r="C537" i="27" s="1"/>
  <c r="B536" i="27"/>
  <c r="C536" i="27" s="1"/>
  <c r="B535" i="27"/>
  <c r="C535" i="27" s="1"/>
  <c r="B534" i="27"/>
  <c r="C534" i="27" s="1"/>
  <c r="B533" i="27"/>
  <c r="C533" i="27" s="1"/>
  <c r="B532" i="27"/>
  <c r="C532" i="27" s="1"/>
  <c r="B531" i="27"/>
  <c r="C531" i="27" s="1"/>
  <c r="B530" i="27"/>
  <c r="C530" i="27" s="1"/>
  <c r="B529" i="27"/>
  <c r="C529" i="27" s="1"/>
  <c r="B528" i="27"/>
  <c r="C528" i="27" s="1"/>
  <c r="B527" i="27"/>
  <c r="C527" i="27" s="1"/>
  <c r="B526" i="27"/>
  <c r="C526" i="27" s="1"/>
  <c r="B525" i="27"/>
  <c r="C525" i="27" s="1"/>
  <c r="B524" i="27"/>
  <c r="C524" i="27" s="1"/>
  <c r="B523" i="27"/>
  <c r="C523" i="27" s="1"/>
  <c r="B522" i="27"/>
  <c r="C522" i="27" s="1"/>
  <c r="B521" i="27"/>
  <c r="C521" i="27" s="1"/>
  <c r="B520" i="27"/>
  <c r="C520" i="27" s="1"/>
  <c r="B519" i="27"/>
  <c r="C519" i="27" s="1"/>
  <c r="B518" i="27"/>
  <c r="C518" i="27" s="1"/>
  <c r="B517" i="27"/>
  <c r="C517" i="27" s="1"/>
  <c r="B516" i="27"/>
  <c r="C516" i="27" s="1"/>
  <c r="B515" i="27"/>
  <c r="C515" i="27" s="1"/>
  <c r="B513" i="27"/>
  <c r="C513" i="27" s="1"/>
  <c r="B514" i="27"/>
  <c r="C514" i="27" s="1"/>
  <c r="B512" i="27"/>
  <c r="C512" i="27" s="1"/>
  <c r="B510" i="27"/>
  <c r="C510" i="27" s="1"/>
  <c r="B511" i="27"/>
  <c r="C511" i="27" s="1"/>
  <c r="B509" i="27"/>
  <c r="C509" i="27" s="1"/>
  <c r="B508" i="27"/>
  <c r="C508" i="27" s="1"/>
  <c r="B506" i="27"/>
  <c r="C506" i="27" s="1"/>
  <c r="B507" i="27"/>
  <c r="C507" i="27" s="1"/>
  <c r="B505" i="27"/>
  <c r="C505" i="27" s="1"/>
  <c r="B504" i="27"/>
  <c r="C504" i="27" s="1"/>
  <c r="B503" i="27"/>
  <c r="C503" i="27" s="1"/>
  <c r="B502" i="27"/>
  <c r="C502" i="27" s="1"/>
  <c r="B500" i="27"/>
  <c r="C500" i="27" s="1"/>
  <c r="B501" i="27"/>
  <c r="C501" i="27" s="1"/>
  <c r="B499" i="27"/>
  <c r="C499" i="27" s="1"/>
  <c r="B498" i="27"/>
  <c r="C498" i="27" s="1"/>
  <c r="B497" i="27"/>
  <c r="C497" i="27" s="1"/>
  <c r="B496" i="27"/>
  <c r="C496" i="27" s="1"/>
  <c r="B495" i="27"/>
  <c r="C495" i="27" s="1"/>
  <c r="B493" i="27"/>
  <c r="C493" i="27" s="1"/>
  <c r="B494" i="27"/>
  <c r="C494" i="27" s="1"/>
  <c r="B492" i="27"/>
  <c r="C492" i="27" s="1"/>
  <c r="B491" i="27"/>
  <c r="C491" i="27" s="1"/>
  <c r="B490" i="27"/>
  <c r="C490" i="27" s="1"/>
  <c r="B489" i="27"/>
  <c r="C489" i="27" s="1"/>
  <c r="B488" i="27"/>
  <c r="C488" i="27" s="1"/>
  <c r="B487" i="27"/>
  <c r="C487" i="27" s="1"/>
  <c r="B486" i="27"/>
  <c r="C486" i="27" s="1"/>
  <c r="B485" i="27"/>
  <c r="C485" i="27" s="1"/>
  <c r="B482" i="27"/>
  <c r="C482" i="27" s="1"/>
  <c r="B484" i="27"/>
  <c r="C484" i="27" s="1"/>
  <c r="B483" i="27"/>
  <c r="C483" i="27" s="1"/>
  <c r="B481" i="27"/>
  <c r="C481" i="27" s="1"/>
  <c r="B480" i="27"/>
  <c r="C480" i="27" s="1"/>
  <c r="B479" i="27"/>
  <c r="C479" i="27" s="1"/>
  <c r="B478" i="27"/>
  <c r="C478" i="27" s="1"/>
  <c r="B477" i="27"/>
  <c r="C477" i="27" s="1"/>
  <c r="B476" i="27"/>
  <c r="C476" i="27" s="1"/>
  <c r="B475" i="27"/>
  <c r="C475" i="27" s="1"/>
  <c r="B474" i="27"/>
  <c r="C474" i="27" s="1"/>
  <c r="B473" i="27"/>
  <c r="C473" i="27" s="1"/>
  <c r="B472" i="27"/>
  <c r="C472" i="27" s="1"/>
  <c r="B471" i="27"/>
  <c r="C471" i="27" s="1"/>
  <c r="B470" i="27"/>
  <c r="C470" i="27" s="1"/>
  <c r="B469" i="27"/>
  <c r="C469" i="27" s="1"/>
  <c r="B468" i="27"/>
  <c r="C468" i="27" s="1"/>
  <c r="B467" i="27"/>
  <c r="C467" i="27" s="1"/>
  <c r="B466" i="27"/>
  <c r="C466" i="27" s="1"/>
  <c r="B465" i="27"/>
  <c r="C465" i="27" s="1"/>
  <c r="B464" i="27"/>
  <c r="C464" i="27" s="1"/>
  <c r="B463" i="27"/>
  <c r="C463" i="27" s="1"/>
  <c r="B462" i="27"/>
  <c r="C462" i="27" s="1"/>
  <c r="B461" i="27"/>
  <c r="C461" i="27" s="1"/>
  <c r="B460" i="27"/>
  <c r="C460" i="27" s="1"/>
  <c r="B459" i="27"/>
  <c r="C459" i="27" s="1"/>
  <c r="B458" i="27"/>
  <c r="C458" i="27" s="1"/>
  <c r="B457" i="27"/>
  <c r="C457" i="27" s="1"/>
  <c r="B456" i="27"/>
  <c r="C456" i="27" s="1"/>
  <c r="B455" i="27"/>
  <c r="C455" i="27" s="1"/>
  <c r="B454" i="27"/>
  <c r="C454" i="27" s="1"/>
  <c r="B453" i="27"/>
  <c r="C453" i="27" s="1"/>
  <c r="B452" i="27"/>
  <c r="C452" i="27" s="1"/>
  <c r="B451" i="27"/>
  <c r="C451" i="27" s="1"/>
  <c r="B450" i="27"/>
  <c r="C450" i="27" s="1"/>
  <c r="B449" i="27"/>
  <c r="C449" i="27" s="1"/>
  <c r="B448" i="27"/>
  <c r="C448" i="27" s="1"/>
  <c r="B447" i="27"/>
  <c r="C447" i="27" s="1"/>
  <c r="B446" i="27"/>
  <c r="C446" i="27" s="1"/>
  <c r="B445" i="27"/>
  <c r="C445" i="27" s="1"/>
  <c r="B444" i="27"/>
  <c r="C444" i="27" s="1"/>
  <c r="B443" i="27"/>
  <c r="C443" i="27" s="1"/>
  <c r="B442" i="27"/>
  <c r="C442" i="27" s="1"/>
  <c r="B441" i="27"/>
  <c r="C441" i="27" s="1"/>
  <c r="B440" i="27"/>
  <c r="C440" i="27" s="1"/>
  <c r="B439" i="27"/>
  <c r="C439" i="27" s="1"/>
  <c r="B438" i="27"/>
  <c r="C438" i="27" s="1"/>
  <c r="B437" i="27"/>
  <c r="C437" i="27" s="1"/>
  <c r="B436" i="27"/>
  <c r="C436" i="27" s="1"/>
  <c r="B435" i="27"/>
  <c r="C435" i="27" s="1"/>
  <c r="B434" i="27"/>
  <c r="C434" i="27" s="1"/>
  <c r="B433" i="27"/>
  <c r="C433" i="27" s="1"/>
  <c r="B432" i="27"/>
  <c r="C432" i="27" s="1"/>
  <c r="B431" i="27"/>
  <c r="C431" i="27" s="1"/>
  <c r="B430" i="27"/>
  <c r="C430" i="27" s="1"/>
  <c r="B429" i="27"/>
  <c r="C429" i="27" s="1"/>
  <c r="B428" i="27"/>
  <c r="C428" i="27" s="1"/>
  <c r="B427" i="27"/>
  <c r="C427" i="27" s="1"/>
  <c r="B426" i="27"/>
  <c r="C426" i="27" s="1"/>
  <c r="B425" i="27"/>
  <c r="C425" i="27" s="1"/>
  <c r="B424" i="27"/>
  <c r="C424" i="27" s="1"/>
  <c r="B423" i="27"/>
  <c r="C423" i="27" s="1"/>
  <c r="B422" i="27"/>
  <c r="C422" i="27" s="1"/>
  <c r="B421" i="27"/>
  <c r="C421" i="27" s="1"/>
  <c r="B420" i="27"/>
  <c r="C420" i="27" s="1"/>
  <c r="B419" i="27"/>
  <c r="C419" i="27" s="1"/>
  <c r="B418" i="27"/>
  <c r="C418" i="27" s="1"/>
  <c r="B417" i="27"/>
  <c r="C417" i="27" s="1"/>
  <c r="B416" i="27"/>
  <c r="C416" i="27" s="1"/>
  <c r="B415" i="27"/>
  <c r="C415" i="27" s="1"/>
  <c r="B414" i="27"/>
  <c r="C414" i="27" s="1"/>
  <c r="B413" i="27"/>
  <c r="C413" i="27" s="1"/>
  <c r="B412" i="27"/>
  <c r="C412" i="27" s="1"/>
  <c r="B411" i="27"/>
  <c r="C411" i="27" s="1"/>
  <c r="B410" i="27"/>
  <c r="C410" i="27" s="1"/>
  <c r="B409" i="27"/>
  <c r="C409" i="27" s="1"/>
  <c r="B408" i="27"/>
  <c r="C408" i="27" s="1"/>
  <c r="B407" i="27"/>
  <c r="C407" i="27" s="1"/>
  <c r="B406" i="27"/>
  <c r="C406" i="27" s="1"/>
  <c r="B405" i="27"/>
  <c r="C405" i="27" s="1"/>
  <c r="B404" i="27"/>
  <c r="C404" i="27" s="1"/>
  <c r="B403" i="27"/>
  <c r="C403" i="27" s="1"/>
  <c r="B402" i="27"/>
  <c r="C402" i="27" s="1"/>
  <c r="B401" i="27"/>
  <c r="C401" i="27" s="1"/>
  <c r="B400" i="27"/>
  <c r="C400" i="27" s="1"/>
  <c r="B399" i="27"/>
  <c r="C399" i="27" s="1"/>
  <c r="B398" i="27"/>
  <c r="C398" i="27" s="1"/>
  <c r="B397" i="27"/>
  <c r="C397" i="27" s="1"/>
  <c r="E1474" i="27" l="1"/>
  <c r="E1490" i="27"/>
  <c r="E1475" i="27"/>
  <c r="E1491" i="27"/>
  <c r="E1473" i="27"/>
  <c r="E1476" i="27"/>
  <c r="E1492" i="27"/>
  <c r="E1477" i="27"/>
  <c r="E1471" i="27"/>
  <c r="E1148" i="27"/>
  <c r="E1479" i="27"/>
  <c r="E1480" i="27"/>
  <c r="E1481" i="27"/>
  <c r="E1482" i="27"/>
  <c r="E1483" i="27"/>
  <c r="E1478" i="27"/>
  <c r="E1484" i="27"/>
  <c r="E1485" i="27"/>
  <c r="E1501" i="27"/>
  <c r="E1093" i="27"/>
  <c r="E1488" i="27"/>
  <c r="E1091" i="27"/>
  <c r="E1486" i="27"/>
  <c r="E1092" i="27"/>
  <c r="E1487" i="27"/>
  <c r="E1489" i="27"/>
  <c r="G578" i="27"/>
  <c r="F578" i="27"/>
  <c r="G462" i="27"/>
  <c r="F462" i="27"/>
  <c r="G463" i="27"/>
  <c r="F463" i="27"/>
  <c r="G464" i="27"/>
  <c r="F464" i="27"/>
  <c r="G465" i="27"/>
  <c r="F465" i="27"/>
  <c r="G466" i="27"/>
  <c r="F466" i="27"/>
  <c r="G467" i="27"/>
  <c r="F467" i="27"/>
  <c r="G468" i="27"/>
  <c r="F468" i="27"/>
  <c r="G469" i="27"/>
  <c r="F469" i="27"/>
  <c r="G470" i="27"/>
  <c r="F470" i="27"/>
  <c r="G471" i="27"/>
  <c r="F471" i="27"/>
  <c r="G472" i="27"/>
  <c r="F472" i="27"/>
  <c r="G473" i="27"/>
  <c r="F473" i="27"/>
  <c r="G474" i="27"/>
  <c r="F474" i="27"/>
  <c r="G475" i="27"/>
  <c r="F475" i="27"/>
  <c r="G476" i="27"/>
  <c r="F476" i="27"/>
  <c r="G477" i="27"/>
  <c r="F477" i="27"/>
  <c r="G478" i="27"/>
  <c r="F478" i="27"/>
  <c r="G479" i="27"/>
  <c r="F479" i="27"/>
  <c r="G480" i="27"/>
  <c r="F480" i="27"/>
  <c r="G483" i="27"/>
  <c r="F483" i="27"/>
  <c r="G484" i="27"/>
  <c r="F484" i="27"/>
  <c r="G485" i="27"/>
  <c r="F485" i="27"/>
  <c r="G486" i="27"/>
  <c r="F486" i="27"/>
  <c r="G487" i="27"/>
  <c r="F487" i="27"/>
  <c r="G488" i="27"/>
  <c r="F488" i="27"/>
  <c r="G489" i="27"/>
  <c r="F489" i="27"/>
  <c r="G490" i="27"/>
  <c r="F490" i="27"/>
  <c r="G491" i="27"/>
  <c r="F491" i="27"/>
  <c r="G492" i="27"/>
  <c r="F492" i="27"/>
  <c r="G494" i="27"/>
  <c r="F494" i="27"/>
  <c r="G493" i="27"/>
  <c r="F493" i="27"/>
  <c r="G495" i="27"/>
  <c r="F495" i="27"/>
  <c r="G496" i="27"/>
  <c r="F496" i="27"/>
  <c r="G497" i="27"/>
  <c r="F497" i="27"/>
  <c r="G498" i="27"/>
  <c r="F498" i="27"/>
  <c r="G499" i="27"/>
  <c r="F499" i="27"/>
  <c r="G501" i="27"/>
  <c r="F501" i="27"/>
  <c r="G500" i="27"/>
  <c r="F500" i="27"/>
  <c r="G502" i="27"/>
  <c r="F502" i="27"/>
  <c r="G503" i="27"/>
  <c r="F503" i="27"/>
  <c r="G504" i="27"/>
  <c r="F504" i="27"/>
  <c r="G505" i="27"/>
  <c r="F505" i="27"/>
  <c r="G507" i="27"/>
  <c r="F507" i="27"/>
  <c r="G506" i="27"/>
  <c r="F506" i="27"/>
  <c r="G508" i="27"/>
  <c r="F508" i="27"/>
  <c r="G509" i="27"/>
  <c r="F509" i="27"/>
  <c r="G511" i="27"/>
  <c r="F511" i="27"/>
  <c r="G510" i="27"/>
  <c r="F510" i="27"/>
  <c r="G512" i="27"/>
  <c r="F512" i="27"/>
  <c r="G514" i="27"/>
  <c r="F514" i="27"/>
  <c r="G513" i="27"/>
  <c r="F513" i="27"/>
  <c r="G516" i="27"/>
  <c r="F516" i="27"/>
  <c r="G517" i="27"/>
  <c r="F517" i="27"/>
  <c r="G518" i="27"/>
  <c r="F518" i="27"/>
  <c r="G519" i="27"/>
  <c r="F519" i="27"/>
  <c r="G520" i="27"/>
  <c r="F520" i="27"/>
  <c r="G521" i="27"/>
  <c r="F521" i="27"/>
  <c r="G522" i="27"/>
  <c r="F522" i="27"/>
  <c r="G523" i="27"/>
  <c r="F523" i="27"/>
  <c r="G524" i="27"/>
  <c r="F524" i="27"/>
  <c r="G525" i="27"/>
  <c r="F525" i="27"/>
  <c r="G526" i="27"/>
  <c r="F526" i="27"/>
  <c r="G527" i="27"/>
  <c r="F527" i="27"/>
  <c r="G528" i="27"/>
  <c r="F528" i="27"/>
  <c r="G529" i="27"/>
  <c r="F529" i="27"/>
  <c r="G530" i="27"/>
  <c r="F530" i="27"/>
  <c r="G531" i="27"/>
  <c r="F531" i="27"/>
  <c r="G533" i="27"/>
  <c r="F533" i="27"/>
  <c r="G534" i="27"/>
  <c r="F534" i="27"/>
  <c r="G535" i="27"/>
  <c r="F535" i="27"/>
  <c r="G536" i="27"/>
  <c r="F536" i="27"/>
  <c r="G537" i="27"/>
  <c r="F537" i="27"/>
  <c r="G538" i="27"/>
  <c r="F538" i="27"/>
  <c r="G539" i="27"/>
  <c r="F539" i="27"/>
  <c r="G540" i="27"/>
  <c r="F540" i="27"/>
  <c r="G541" i="27"/>
  <c r="F541" i="27"/>
  <c r="G543" i="27"/>
  <c r="F543" i="27"/>
  <c r="G544" i="27"/>
  <c r="F544" i="27"/>
  <c r="G546" i="27"/>
  <c r="F546" i="27"/>
  <c r="G547" i="27"/>
  <c r="F547" i="27"/>
  <c r="G548" i="27"/>
  <c r="F548" i="27"/>
  <c r="G549" i="27"/>
  <c r="F549" i="27"/>
  <c r="G550" i="27"/>
  <c r="F550" i="27"/>
  <c r="G551" i="27"/>
  <c r="F551" i="27"/>
  <c r="G552" i="27"/>
  <c r="F552" i="27"/>
  <c r="G553" i="27"/>
  <c r="F553" i="27"/>
  <c r="G554" i="27"/>
  <c r="F554" i="27"/>
  <c r="G555" i="27"/>
  <c r="F555" i="27"/>
  <c r="G556" i="27"/>
  <c r="F556" i="27"/>
  <c r="G557" i="27"/>
  <c r="F557" i="27"/>
  <c r="G558" i="27"/>
  <c r="F558" i="27"/>
  <c r="G559" i="27"/>
  <c r="F559" i="27"/>
  <c r="G560" i="27"/>
  <c r="F560" i="27"/>
  <c r="G563" i="27"/>
  <c r="F563" i="27"/>
  <c r="G564" i="27"/>
  <c r="F564" i="27"/>
  <c r="G565" i="27"/>
  <c r="F565" i="27"/>
  <c r="G566" i="27"/>
  <c r="F566" i="27"/>
  <c r="G567" i="27"/>
  <c r="F567" i="27"/>
  <c r="G568" i="27"/>
  <c r="F568" i="27"/>
  <c r="G569" i="27"/>
  <c r="F569" i="27"/>
  <c r="G570" i="27"/>
  <c r="F570" i="27"/>
  <c r="G572" i="27"/>
  <c r="F572" i="27"/>
  <c r="G571" i="27"/>
  <c r="F571" i="27"/>
  <c r="G573" i="27"/>
  <c r="F573" i="27"/>
  <c r="G574" i="27"/>
  <c r="F574" i="27"/>
  <c r="G575" i="27"/>
  <c r="F575" i="27"/>
  <c r="G576" i="27"/>
  <c r="F576" i="27"/>
  <c r="G577" i="27"/>
  <c r="F577" i="27"/>
  <c r="G397" i="27"/>
  <c r="F397" i="27"/>
  <c r="G398" i="27"/>
  <c r="F398" i="27"/>
  <c r="G399" i="27"/>
  <c r="F399" i="27"/>
  <c r="G400" i="27"/>
  <c r="F400" i="27"/>
  <c r="G401" i="27"/>
  <c r="F401" i="27"/>
  <c r="G402" i="27"/>
  <c r="F402" i="27"/>
  <c r="G403" i="27"/>
  <c r="F403" i="27"/>
  <c r="G404" i="27"/>
  <c r="F404" i="27"/>
  <c r="G405" i="27"/>
  <c r="F405" i="27"/>
  <c r="G406" i="27"/>
  <c r="F406" i="27"/>
  <c r="G407" i="27"/>
  <c r="F407" i="27"/>
  <c r="G408" i="27"/>
  <c r="F408" i="27"/>
  <c r="G409" i="27"/>
  <c r="F409" i="27"/>
  <c r="G410" i="27"/>
  <c r="F410" i="27"/>
  <c r="G411" i="27"/>
  <c r="F411" i="27"/>
  <c r="G412" i="27"/>
  <c r="F412" i="27"/>
  <c r="G413" i="27"/>
  <c r="F413" i="27"/>
  <c r="G414" i="27"/>
  <c r="F414" i="27"/>
  <c r="G415" i="27"/>
  <c r="F415" i="27"/>
  <c r="G416" i="27"/>
  <c r="F416" i="27"/>
  <c r="G417" i="27"/>
  <c r="F417" i="27"/>
  <c r="G418" i="27"/>
  <c r="F418" i="27"/>
  <c r="G419" i="27"/>
  <c r="F419" i="27"/>
  <c r="G420" i="27"/>
  <c r="F420" i="27"/>
  <c r="G421" i="27"/>
  <c r="F421" i="27"/>
  <c r="G422" i="27"/>
  <c r="F422" i="27"/>
  <c r="G423" i="27"/>
  <c r="F423" i="27"/>
  <c r="G424" i="27"/>
  <c r="F424" i="27"/>
  <c r="G425" i="27"/>
  <c r="F425" i="27"/>
  <c r="G426" i="27"/>
  <c r="F426" i="27"/>
  <c r="G427" i="27"/>
  <c r="F427" i="27"/>
  <c r="G428" i="27"/>
  <c r="F428" i="27"/>
  <c r="G429" i="27"/>
  <c r="F429" i="27"/>
  <c r="G430" i="27"/>
  <c r="F430" i="27"/>
  <c r="G431" i="27"/>
  <c r="F431" i="27"/>
  <c r="G432" i="27"/>
  <c r="F432" i="27"/>
  <c r="G433" i="27"/>
  <c r="F433" i="27"/>
  <c r="G434" i="27"/>
  <c r="F434" i="27"/>
  <c r="G435" i="27"/>
  <c r="F435" i="27"/>
  <c r="G436" i="27"/>
  <c r="F436" i="27"/>
  <c r="G437" i="27"/>
  <c r="F437" i="27"/>
  <c r="G438" i="27"/>
  <c r="F438" i="27"/>
  <c r="G439" i="27"/>
  <c r="F439" i="27"/>
  <c r="G440" i="27"/>
  <c r="F440" i="27"/>
  <c r="G441" i="27"/>
  <c r="F441" i="27"/>
  <c r="G442" i="27"/>
  <c r="F442" i="27"/>
  <c r="G443" i="27"/>
  <c r="F443" i="27"/>
  <c r="G444" i="27"/>
  <c r="F444" i="27"/>
  <c r="G445" i="27"/>
  <c r="F445" i="27"/>
  <c r="G446" i="27"/>
  <c r="F446" i="27"/>
  <c r="G447" i="27"/>
  <c r="F447" i="27"/>
  <c r="G448" i="27"/>
  <c r="F448" i="27"/>
  <c r="G449" i="27"/>
  <c r="F449" i="27"/>
  <c r="G450" i="27"/>
  <c r="F450" i="27"/>
  <c r="G451" i="27"/>
  <c r="F451" i="27"/>
  <c r="G452" i="27"/>
  <c r="F452" i="27"/>
  <c r="G453" i="27"/>
  <c r="F453" i="27"/>
  <c r="G454" i="27"/>
  <c r="F454" i="27"/>
  <c r="G455" i="27"/>
  <c r="F455" i="27"/>
  <c r="G456" i="27"/>
  <c r="F456" i="27"/>
  <c r="G457" i="27"/>
  <c r="F457" i="27"/>
  <c r="G458" i="27"/>
  <c r="F458" i="27"/>
  <c r="G459" i="27"/>
  <c r="F459" i="27"/>
  <c r="E469" i="27"/>
  <c r="H6958" i="43"/>
  <c r="R6945" i="43" s="1"/>
  <c r="H6942" i="43"/>
  <c r="R6929" i="43" s="1"/>
  <c r="B396" i="27"/>
  <c r="C396" i="27" s="1"/>
  <c r="B395" i="27"/>
  <c r="C395" i="27" s="1"/>
  <c r="B394" i="27"/>
  <c r="C394" i="27" s="1"/>
  <c r="B393" i="27"/>
  <c r="C393" i="27" s="1"/>
  <c r="B377" i="27"/>
  <c r="C377" i="27" s="1"/>
  <c r="B376" i="27"/>
  <c r="C376" i="27" s="1"/>
  <c r="B375" i="27"/>
  <c r="C375" i="27" s="1"/>
  <c r="B374" i="27"/>
  <c r="C374" i="27" s="1"/>
  <c r="B373" i="27"/>
  <c r="C373" i="27" s="1"/>
  <c r="B372" i="27"/>
  <c r="C372" i="27" s="1"/>
  <c r="B371" i="27"/>
  <c r="C371" i="27" s="1"/>
  <c r="B370" i="27"/>
  <c r="C370" i="27" s="1"/>
  <c r="B369" i="27"/>
  <c r="C369" i="27" s="1"/>
  <c r="B368" i="27"/>
  <c r="C368" i="27" s="1"/>
  <c r="H15" i="31"/>
  <c r="B367" i="27"/>
  <c r="C367" i="27" s="1"/>
  <c r="B366" i="27"/>
  <c r="C366" i="27" s="1"/>
  <c r="B365" i="27"/>
  <c r="C365" i="27" s="1"/>
  <c r="B364" i="27"/>
  <c r="C364" i="27" s="1"/>
  <c r="B363" i="27"/>
  <c r="C363" i="27" s="1"/>
  <c r="B362" i="27"/>
  <c r="C362" i="27" s="1"/>
  <c r="B361" i="27"/>
  <c r="C361" i="27" s="1"/>
  <c r="B360" i="27"/>
  <c r="C360" i="27" s="1"/>
  <c r="B359" i="27"/>
  <c r="C359" i="27" s="1"/>
  <c r="B358" i="27"/>
  <c r="C358" i="27" s="1"/>
  <c r="B357" i="27"/>
  <c r="C357" i="27" s="1"/>
  <c r="B356" i="27"/>
  <c r="C356" i="27" s="1"/>
  <c r="B355" i="27"/>
  <c r="C355" i="27" s="1"/>
  <c r="B354" i="27"/>
  <c r="C354" i="27" s="1"/>
  <c r="B353" i="27"/>
  <c r="C353" i="27" s="1"/>
  <c r="B352" i="27"/>
  <c r="C352" i="27" s="1"/>
  <c r="B351" i="27"/>
  <c r="C351" i="27" s="1"/>
  <c r="B350" i="27"/>
  <c r="C350" i="27" s="1"/>
  <c r="B349" i="27"/>
  <c r="C349" i="27" s="1"/>
  <c r="B348" i="27"/>
  <c r="C348" i="27" s="1"/>
  <c r="B347" i="27"/>
  <c r="C347" i="27" s="1"/>
  <c r="B346" i="27"/>
  <c r="C346" i="27" s="1"/>
  <c r="B345" i="27"/>
  <c r="C345" i="27" s="1"/>
  <c r="B344" i="27"/>
  <c r="C344" i="27" s="1"/>
  <c r="B343" i="27"/>
  <c r="C343" i="27" s="1"/>
  <c r="B342" i="27"/>
  <c r="C342" i="27" s="1"/>
  <c r="B341" i="27"/>
  <c r="C341" i="27" s="1"/>
  <c r="B340" i="27"/>
  <c r="C340" i="27" s="1"/>
  <c r="B339" i="27"/>
  <c r="C339" i="27" s="1"/>
  <c r="B338" i="27"/>
  <c r="C338" i="27" s="1"/>
  <c r="B337" i="27"/>
  <c r="C337" i="27" s="1"/>
  <c r="B336" i="27"/>
  <c r="C336" i="27" s="1"/>
  <c r="B335" i="27"/>
  <c r="C335" i="27" s="1"/>
  <c r="B334" i="27"/>
  <c r="C334" i="27" s="1"/>
  <c r="B333" i="27"/>
  <c r="C333" i="27" s="1"/>
  <c r="B332" i="27"/>
  <c r="C332" i="27" s="1"/>
  <c r="B331" i="27"/>
  <c r="C331" i="27" s="1"/>
  <c r="B330" i="27"/>
  <c r="C330" i="27" s="1"/>
  <c r="B329" i="27"/>
  <c r="C329" i="27" s="1"/>
  <c r="B328" i="27"/>
  <c r="C328" i="27" s="1"/>
  <c r="B327" i="27"/>
  <c r="C327" i="27" s="1"/>
  <c r="B326" i="27"/>
  <c r="C326" i="27" s="1"/>
  <c r="B325" i="27"/>
  <c r="C325" i="27" s="1"/>
  <c r="B324" i="27"/>
  <c r="C324" i="27" s="1"/>
  <c r="B323" i="27"/>
  <c r="C323" i="27" s="1"/>
  <c r="B322" i="27"/>
  <c r="C322" i="27" s="1"/>
  <c r="B321" i="27"/>
  <c r="C321" i="27" s="1"/>
  <c r="B320" i="27"/>
  <c r="C320" i="27" s="1"/>
  <c r="B319" i="27"/>
  <c r="C319" i="27" s="1"/>
  <c r="B318" i="27"/>
  <c r="C318" i="27" s="1"/>
  <c r="B317" i="27"/>
  <c r="C317" i="27" s="1"/>
  <c r="B316" i="27"/>
  <c r="C316" i="27" s="1"/>
  <c r="B315" i="27"/>
  <c r="C315" i="27" s="1"/>
  <c r="B314" i="27"/>
  <c r="C314" i="27" s="1"/>
  <c r="B313" i="27"/>
  <c r="C313" i="27" s="1"/>
  <c r="B312" i="27"/>
  <c r="C312" i="27" s="1"/>
  <c r="B311" i="27"/>
  <c r="C311" i="27" s="1"/>
  <c r="B310" i="27"/>
  <c r="C310" i="27" s="1"/>
  <c r="B309" i="27"/>
  <c r="C309" i="27" s="1"/>
  <c r="B308" i="27"/>
  <c r="C308" i="27" s="1"/>
  <c r="B307" i="27"/>
  <c r="C307" i="27" s="1"/>
  <c r="B306" i="27"/>
  <c r="C306" i="27" s="1"/>
  <c r="B305" i="27"/>
  <c r="C305" i="27" s="1"/>
  <c r="B304" i="27"/>
  <c r="C304" i="27" s="1"/>
  <c r="B303" i="27"/>
  <c r="C303" i="27" s="1"/>
  <c r="B302" i="27"/>
  <c r="C302" i="27" s="1"/>
  <c r="B301" i="27"/>
  <c r="C301" i="27" s="1"/>
  <c r="B300" i="27"/>
  <c r="C300" i="27" s="1"/>
  <c r="B299" i="27"/>
  <c r="C299" i="27" s="1"/>
  <c r="B298" i="27"/>
  <c r="C298" i="27" s="1"/>
  <c r="B297" i="27"/>
  <c r="C297" i="27" s="1"/>
  <c r="B296" i="27"/>
  <c r="C296" i="27" s="1"/>
  <c r="B295" i="27"/>
  <c r="C295" i="27" s="1"/>
  <c r="B294" i="27"/>
  <c r="C294" i="27" s="1"/>
  <c r="B293" i="27"/>
  <c r="C293" i="27" s="1"/>
  <c r="B292" i="27"/>
  <c r="C292" i="27" s="1"/>
  <c r="B291" i="27"/>
  <c r="C291" i="27" s="1"/>
  <c r="B290" i="27"/>
  <c r="C290" i="27" s="1"/>
  <c r="B289" i="27"/>
  <c r="C289" i="27" s="1"/>
  <c r="B288" i="27"/>
  <c r="C288" i="27" s="1"/>
  <c r="B287" i="27"/>
  <c r="C287" i="27" s="1"/>
  <c r="B286" i="27"/>
  <c r="C286" i="27" s="1"/>
  <c r="B285" i="27"/>
  <c r="C285" i="27" s="1"/>
  <c r="B284" i="27"/>
  <c r="C284" i="27" s="1"/>
  <c r="B283" i="27"/>
  <c r="C283" i="27" s="1"/>
  <c r="B282" i="27"/>
  <c r="C282" i="27" s="1"/>
  <c r="B281" i="27"/>
  <c r="C281" i="27" s="1"/>
  <c r="B280" i="27"/>
  <c r="C280" i="27" s="1"/>
  <c r="B279" i="27"/>
  <c r="C279" i="27" s="1"/>
  <c r="B278" i="27"/>
  <c r="C278" i="27" s="1"/>
  <c r="B277" i="27"/>
  <c r="C277" i="27" s="1"/>
  <c r="B276" i="27"/>
  <c r="C276" i="27" s="1"/>
  <c r="B275" i="27"/>
  <c r="C275" i="27" s="1"/>
  <c r="B274" i="27"/>
  <c r="C274" i="27" s="1"/>
  <c r="B273" i="27"/>
  <c r="C273" i="27" s="1"/>
  <c r="B272" i="27"/>
  <c r="C272" i="27" s="1"/>
  <c r="B271" i="27"/>
  <c r="C271" i="27" s="1"/>
  <c r="B270" i="27"/>
  <c r="C270" i="27" s="1"/>
  <c r="B269" i="27"/>
  <c r="C269" i="27" s="1"/>
  <c r="B268" i="27"/>
  <c r="C268" i="27" s="1"/>
  <c r="B267" i="27"/>
  <c r="C267" i="27" s="1"/>
  <c r="B266" i="27"/>
  <c r="C266" i="27" s="1"/>
  <c r="B265" i="27"/>
  <c r="C265" i="27" s="1"/>
  <c r="B264" i="27"/>
  <c r="C264" i="27" s="1"/>
  <c r="B263" i="27"/>
  <c r="C263" i="27" s="1"/>
  <c r="B262" i="27"/>
  <c r="C262" i="27" s="1"/>
  <c r="B261" i="27"/>
  <c r="C261" i="27" s="1"/>
  <c r="B260" i="27"/>
  <c r="C260" i="27" s="1"/>
  <c r="B259" i="27"/>
  <c r="C259" i="27" s="1"/>
  <c r="B258" i="27"/>
  <c r="C258" i="27" s="1"/>
  <c r="B257" i="27"/>
  <c r="C257" i="27" s="1"/>
  <c r="B256" i="27"/>
  <c r="C256" i="27" s="1"/>
  <c r="B255" i="27"/>
  <c r="C255" i="27" s="1"/>
  <c r="B254" i="27"/>
  <c r="C254" i="27" s="1"/>
  <c r="B253" i="27"/>
  <c r="C253" i="27" s="1"/>
  <c r="B252" i="27"/>
  <c r="C252" i="27" s="1"/>
  <c r="B251" i="27"/>
  <c r="C251" i="27" s="1"/>
  <c r="B250" i="27"/>
  <c r="C250" i="27" s="1"/>
  <c r="B249" i="27"/>
  <c r="C249" i="27" s="1"/>
  <c r="B248" i="27"/>
  <c r="C248" i="27" s="1"/>
  <c r="B247" i="27"/>
  <c r="C247" i="27" s="1"/>
  <c r="B246" i="27"/>
  <c r="C246" i="27" s="1"/>
  <c r="B245" i="27"/>
  <c r="C245" i="27" s="1"/>
  <c r="B244" i="27"/>
  <c r="C244" i="27" s="1"/>
  <c r="B243" i="27"/>
  <c r="C243" i="27" s="1"/>
  <c r="B242" i="27"/>
  <c r="C242" i="27" s="1"/>
  <c r="B241" i="27"/>
  <c r="C241" i="27" s="1"/>
  <c r="B240" i="27"/>
  <c r="C240" i="27" s="1"/>
  <c r="B239" i="27"/>
  <c r="C239" i="27" s="1"/>
  <c r="B238" i="27"/>
  <c r="C238" i="27" s="1"/>
  <c r="B237" i="27"/>
  <c r="C237" i="27" s="1"/>
  <c r="B236" i="27"/>
  <c r="C236" i="27" s="1"/>
  <c r="B235" i="27"/>
  <c r="C235" i="27" s="1"/>
  <c r="B234" i="27"/>
  <c r="C234" i="27" s="1"/>
  <c r="B233" i="27"/>
  <c r="C233" i="27" s="1"/>
  <c r="B232" i="27"/>
  <c r="C232" i="27" s="1"/>
  <c r="B231" i="27"/>
  <c r="C231" i="27" s="1"/>
  <c r="B230" i="27"/>
  <c r="C230" i="27" s="1"/>
  <c r="B229" i="27"/>
  <c r="C229" i="27" s="1"/>
  <c r="B228" i="27"/>
  <c r="C228" i="27" s="1"/>
  <c r="B227" i="27"/>
  <c r="C227" i="27" s="1"/>
  <c r="B226" i="27"/>
  <c r="C226" i="27" s="1"/>
  <c r="B225" i="27"/>
  <c r="C225" i="27" s="1"/>
  <c r="B224" i="27"/>
  <c r="C224" i="27" s="1"/>
  <c r="B223" i="27"/>
  <c r="C223" i="27" s="1"/>
  <c r="B222" i="27"/>
  <c r="C222" i="27" s="1"/>
  <c r="B221" i="27"/>
  <c r="C221" i="27" s="1"/>
  <c r="B220" i="27"/>
  <c r="C220" i="27" s="1"/>
  <c r="B219" i="27"/>
  <c r="C219" i="27" s="1"/>
  <c r="B218" i="27"/>
  <c r="C218" i="27" s="1"/>
  <c r="B217" i="27"/>
  <c r="C217" i="27" s="1"/>
  <c r="B216" i="27"/>
  <c r="C216" i="27" s="1"/>
  <c r="B215" i="27"/>
  <c r="C215" i="27" s="1"/>
  <c r="B214" i="27"/>
  <c r="C214" i="27" s="1"/>
  <c r="B213" i="27"/>
  <c r="C213" i="27" s="1"/>
  <c r="B212" i="27"/>
  <c r="C212" i="27" s="1"/>
  <c r="B211" i="27"/>
  <c r="C211" i="27" s="1"/>
  <c r="B210" i="27"/>
  <c r="C210" i="27" s="1"/>
  <c r="B209" i="27"/>
  <c r="C209" i="27" s="1"/>
  <c r="B208" i="27"/>
  <c r="C208" i="27" s="1"/>
  <c r="B207" i="27"/>
  <c r="C207" i="27" s="1"/>
  <c r="B206" i="27"/>
  <c r="C206" i="27" s="1"/>
  <c r="B205" i="27"/>
  <c r="C205" i="27" s="1"/>
  <c r="B204" i="27"/>
  <c r="C204" i="27" s="1"/>
  <c r="B203" i="27"/>
  <c r="C203" i="27" s="1"/>
  <c r="B202" i="27"/>
  <c r="C202" i="27" s="1"/>
  <c r="B201" i="27"/>
  <c r="C201" i="27" s="1"/>
  <c r="B200" i="27"/>
  <c r="C200" i="27" s="1"/>
  <c r="B198" i="27"/>
  <c r="C198" i="27" s="1"/>
  <c r="B194" i="27"/>
  <c r="C194" i="27" s="1"/>
  <c r="G194" i="27" s="1"/>
  <c r="B192" i="27"/>
  <c r="C192" i="27" s="1"/>
  <c r="B191" i="27"/>
  <c r="C191" i="27" s="1"/>
  <c r="B190" i="27"/>
  <c r="C190" i="27" s="1"/>
  <c r="B189" i="27"/>
  <c r="C189" i="27" s="1"/>
  <c r="B188" i="27"/>
  <c r="C188" i="27" s="1"/>
  <c r="B187" i="27"/>
  <c r="C187" i="27" s="1"/>
  <c r="B186" i="27"/>
  <c r="C186" i="27" s="1"/>
  <c r="B185" i="27"/>
  <c r="C185" i="27" s="1"/>
  <c r="B184" i="27"/>
  <c r="C184" i="27" s="1"/>
  <c r="B183" i="27"/>
  <c r="C183" i="27" s="1"/>
  <c r="B182" i="27"/>
  <c r="C182" i="27" s="1"/>
  <c r="B181" i="27"/>
  <c r="C181" i="27" s="1"/>
  <c r="B180" i="27"/>
  <c r="C180" i="27" s="1"/>
  <c r="B179" i="27"/>
  <c r="C179" i="27" s="1"/>
  <c r="B178" i="27"/>
  <c r="C178" i="27" s="1"/>
  <c r="B177" i="27"/>
  <c r="C177" i="27" s="1"/>
  <c r="B176" i="27"/>
  <c r="C176" i="27" s="1"/>
  <c r="B175" i="27"/>
  <c r="C175" i="27" s="1"/>
  <c r="B174" i="27"/>
  <c r="C174" i="27" s="1"/>
  <c r="B173" i="27"/>
  <c r="C173" i="27" s="1"/>
  <c r="B172" i="27"/>
  <c r="C172" i="27" s="1"/>
  <c r="B171" i="27"/>
  <c r="C171" i="27" s="1"/>
  <c r="B170" i="27"/>
  <c r="C170" i="27" s="1"/>
  <c r="B169" i="27"/>
  <c r="C169" i="27" s="1"/>
  <c r="B168" i="27"/>
  <c r="C168" i="27" s="1"/>
  <c r="B167" i="27"/>
  <c r="C167" i="27" s="1"/>
  <c r="B166" i="27"/>
  <c r="C166" i="27" s="1"/>
  <c r="B165" i="27"/>
  <c r="C165" i="27" s="1"/>
  <c r="B164" i="27"/>
  <c r="C164" i="27" s="1"/>
  <c r="B163" i="27"/>
  <c r="C163" i="27" s="1"/>
  <c r="B162" i="27"/>
  <c r="C162" i="27" s="1"/>
  <c r="B161" i="27"/>
  <c r="C161" i="27" s="1"/>
  <c r="H86" i="29"/>
  <c r="I86" i="29" s="1"/>
  <c r="I87" i="29" s="1"/>
  <c r="H68" i="29"/>
  <c r="I68" i="29" s="1"/>
  <c r="B160" i="27"/>
  <c r="C160" i="27" s="1"/>
  <c r="B159" i="27"/>
  <c r="C159" i="27" s="1"/>
  <c r="B158" i="27"/>
  <c r="C158" i="27" s="1"/>
  <c r="B157" i="27"/>
  <c r="C157" i="27" s="1"/>
  <c r="B156" i="27"/>
  <c r="C156" i="27" s="1"/>
  <c r="B155" i="27"/>
  <c r="C155" i="27" s="1"/>
  <c r="B154" i="27"/>
  <c r="C154" i="27" s="1"/>
  <c r="B151" i="27"/>
  <c r="C151" i="27" s="1"/>
  <c r="B150" i="27"/>
  <c r="C150" i="27" s="1"/>
  <c r="B149" i="27"/>
  <c r="C149" i="27" s="1"/>
  <c r="B148" i="27"/>
  <c r="C148" i="27" s="1"/>
  <c r="B147" i="27"/>
  <c r="C147" i="27" s="1"/>
  <c r="B146" i="27"/>
  <c r="C146" i="27" s="1"/>
  <c r="B145" i="27"/>
  <c r="C145" i="27" s="1"/>
  <c r="B144" i="27"/>
  <c r="C144" i="27" s="1"/>
  <c r="B143" i="27"/>
  <c r="C143" i="27" s="1"/>
  <c r="B142" i="27"/>
  <c r="C142" i="27" s="1"/>
  <c r="B141" i="27"/>
  <c r="C141" i="27" s="1"/>
  <c r="B140" i="27"/>
  <c r="C140" i="27" s="1"/>
  <c r="B139" i="27"/>
  <c r="C139" i="27" s="1"/>
  <c r="B138" i="27"/>
  <c r="C138" i="27" s="1"/>
  <c r="B137" i="27"/>
  <c r="C137" i="27" s="1"/>
  <c r="G131" i="27"/>
  <c r="I147" i="4"/>
  <c r="F42" i="27"/>
  <c r="H242" i="42"/>
  <c r="H240" i="42"/>
  <c r="G235" i="42"/>
  <c r="H235" i="42" s="1"/>
  <c r="G236" i="42"/>
  <c r="H236" i="42" s="1"/>
  <c r="G237" i="42"/>
  <c r="H237" i="42" s="1"/>
  <c r="G234" i="42"/>
  <c r="H234" i="42" s="1"/>
  <c r="G206" i="42"/>
  <c r="H206" i="42" s="1"/>
  <c r="G207" i="42"/>
  <c r="H207" i="42" s="1"/>
  <c r="G208" i="42"/>
  <c r="H208" i="42" s="1"/>
  <c r="G205" i="42"/>
  <c r="H205" i="42" s="1"/>
  <c r="H226" i="42"/>
  <c r="H188" i="42"/>
  <c r="H195" i="42"/>
  <c r="H179" i="42"/>
  <c r="G174" i="42"/>
  <c r="H174" i="42" s="1"/>
  <c r="G175" i="42"/>
  <c r="H175" i="42" s="1"/>
  <c r="G176" i="42"/>
  <c r="H176" i="42" s="1"/>
  <c r="G169" i="42"/>
  <c r="H169" i="42" s="1"/>
  <c r="G168" i="42"/>
  <c r="H168" i="42" s="1"/>
  <c r="H158" i="42"/>
  <c r="H149" i="42"/>
  <c r="H141" i="42"/>
  <c r="H131" i="42"/>
  <c r="H112" i="42"/>
  <c r="H122" i="42"/>
  <c r="H104" i="42"/>
  <c r="G101" i="42"/>
  <c r="H101" i="42" s="1"/>
  <c r="H102" i="42" s="1"/>
  <c r="G98" i="42"/>
  <c r="H98" i="42" s="1"/>
  <c r="G97" i="42"/>
  <c r="H97" i="42" s="1"/>
  <c r="G96" i="42"/>
  <c r="H96" i="42" s="1"/>
  <c r="H88" i="42"/>
  <c r="G85" i="42"/>
  <c r="H85" i="42" s="1"/>
  <c r="H86" i="42" s="1"/>
  <c r="G82" i="42"/>
  <c r="H82" i="42" s="1"/>
  <c r="G81" i="42"/>
  <c r="H81" i="42" s="1"/>
  <c r="G80" i="42"/>
  <c r="H80" i="42" s="1"/>
  <c r="H72" i="42"/>
  <c r="G69" i="42"/>
  <c r="H69" i="42" s="1"/>
  <c r="H70" i="42" s="1"/>
  <c r="G66" i="42"/>
  <c r="H66" i="42" s="1"/>
  <c r="G65" i="42"/>
  <c r="H65" i="42" s="1"/>
  <c r="G64" i="42"/>
  <c r="H64" i="42" s="1"/>
  <c r="G52" i="42"/>
  <c r="H52" i="42" s="1"/>
  <c r="G51" i="42"/>
  <c r="H51" i="42" s="1"/>
  <c r="G48" i="42"/>
  <c r="H48" i="42" s="1"/>
  <c r="G47" i="42"/>
  <c r="H47" i="42" s="1"/>
  <c r="G46" i="42"/>
  <c r="H46" i="42" s="1"/>
  <c r="G45" i="42"/>
  <c r="H45" i="42" s="1"/>
  <c r="G33" i="42"/>
  <c r="H33" i="42" s="1"/>
  <c r="G32" i="42"/>
  <c r="H32" i="42" s="1"/>
  <c r="G29" i="42"/>
  <c r="H29" i="42" s="1"/>
  <c r="G28" i="42"/>
  <c r="H28" i="42" s="1"/>
  <c r="G27" i="42"/>
  <c r="H27" i="42" s="1"/>
  <c r="G26" i="42"/>
  <c r="H26" i="42" s="1"/>
  <c r="G13" i="42"/>
  <c r="H13" i="42" s="1"/>
  <c r="G9" i="42"/>
  <c r="H9" i="42" s="1"/>
  <c r="G14" i="42"/>
  <c r="H14" i="42" s="1"/>
  <c r="G10" i="42"/>
  <c r="H10" i="42" s="1"/>
  <c r="G8" i="42"/>
  <c r="H8" i="42" s="1"/>
  <c r="G7" i="42"/>
  <c r="H7" i="42" s="1"/>
  <c r="H4285" i="41"/>
  <c r="G4279" i="41"/>
  <c r="H4279" i="41" s="1"/>
  <c r="G4278" i="41"/>
  <c r="H4278" i="41" s="1"/>
  <c r="G4277" i="41"/>
  <c r="H4277" i="41" s="1"/>
  <c r="H4268" i="41"/>
  <c r="G4262" i="41"/>
  <c r="H4262" i="41" s="1"/>
  <c r="G4261" i="41"/>
  <c r="H4261" i="41" s="1"/>
  <c r="G4260" i="41"/>
  <c r="H4260" i="41" s="1"/>
  <c r="H4252" i="41"/>
  <c r="G4246" i="41"/>
  <c r="H4246" i="41" s="1"/>
  <c r="G4245" i="41"/>
  <c r="H4245" i="41" s="1"/>
  <c r="G4244" i="41"/>
  <c r="H4244" i="41" s="1"/>
  <c r="H4235" i="41"/>
  <c r="G4229" i="41"/>
  <c r="H4229" i="41" s="1"/>
  <c r="G4228" i="41"/>
  <c r="H4228" i="41" s="1"/>
  <c r="G4227" i="41"/>
  <c r="H4227" i="41" s="1"/>
  <c r="H4219" i="41"/>
  <c r="G4213" i="41"/>
  <c r="H4213" i="41" s="1"/>
  <c r="G4212" i="41"/>
  <c r="H4212" i="41" s="1"/>
  <c r="G4211" i="41"/>
  <c r="H4211" i="41" s="1"/>
  <c r="H4203" i="41"/>
  <c r="G4197" i="41"/>
  <c r="H4197" i="41" s="1"/>
  <c r="G4196" i="41"/>
  <c r="H4196" i="41" s="1"/>
  <c r="G4195" i="41"/>
  <c r="H4195" i="41" s="1"/>
  <c r="H4187" i="41"/>
  <c r="G4181" i="41"/>
  <c r="H4181" i="41" s="1"/>
  <c r="G4180" i="41"/>
  <c r="H4180" i="41" s="1"/>
  <c r="G4179" i="41"/>
  <c r="H4179" i="41" s="1"/>
  <c r="H4171" i="41"/>
  <c r="G4165" i="41"/>
  <c r="H4165" i="41" s="1"/>
  <c r="G4164" i="41"/>
  <c r="H4164" i="41" s="1"/>
  <c r="G4163" i="41"/>
  <c r="H4163" i="41" s="1"/>
  <c r="H4154" i="41"/>
  <c r="G4148" i="41"/>
  <c r="H4148" i="41" s="1"/>
  <c r="G4147" i="41"/>
  <c r="H4147" i="41" s="1"/>
  <c r="G4146" i="41"/>
  <c r="H4146" i="41" s="1"/>
  <c r="E1090" i="27" l="1"/>
  <c r="E1089" i="27"/>
  <c r="F377" i="27"/>
  <c r="G377" i="27"/>
  <c r="G396" i="27"/>
  <c r="F396" i="27"/>
  <c r="G52" i="27"/>
  <c r="F52" i="27"/>
  <c r="G53" i="27"/>
  <c r="F53" i="27"/>
  <c r="G54" i="27"/>
  <c r="F54" i="27"/>
  <c r="G55" i="27"/>
  <c r="F55" i="27"/>
  <c r="G56" i="27"/>
  <c r="F56" i="27"/>
  <c r="G57" i="27"/>
  <c r="F57" i="27"/>
  <c r="G58" i="27"/>
  <c r="F58" i="27"/>
  <c r="G59" i="27"/>
  <c r="F59" i="27"/>
  <c r="G60" i="27"/>
  <c r="F60" i="27"/>
  <c r="G61" i="27"/>
  <c r="F61" i="27"/>
  <c r="G62" i="27"/>
  <c r="F62" i="27"/>
  <c r="G63" i="27"/>
  <c r="F63" i="27"/>
  <c r="G64" i="27"/>
  <c r="F64" i="27"/>
  <c r="G67" i="27"/>
  <c r="F67" i="27"/>
  <c r="G68" i="27"/>
  <c r="F68" i="27"/>
  <c r="G69" i="27"/>
  <c r="F69" i="27"/>
  <c r="G70" i="27"/>
  <c r="F70" i="27"/>
  <c r="G71" i="27"/>
  <c r="F71" i="27"/>
  <c r="G72" i="27"/>
  <c r="F72" i="27"/>
  <c r="G73" i="27"/>
  <c r="F73" i="27"/>
  <c r="G74" i="27"/>
  <c r="F74" i="27"/>
  <c r="G75" i="27"/>
  <c r="F75" i="27"/>
  <c r="G77" i="27"/>
  <c r="F77" i="27"/>
  <c r="G78" i="27"/>
  <c r="F78" i="27"/>
  <c r="G79" i="27"/>
  <c r="F79" i="27"/>
  <c r="G80" i="27"/>
  <c r="F80" i="27"/>
  <c r="G81" i="27"/>
  <c r="F81" i="27"/>
  <c r="G82" i="27"/>
  <c r="F82" i="27"/>
  <c r="G83" i="27"/>
  <c r="F83" i="27"/>
  <c r="G84" i="27"/>
  <c r="F84" i="27"/>
  <c r="G85" i="27"/>
  <c r="F85" i="27"/>
  <c r="G86" i="27"/>
  <c r="F86" i="27"/>
  <c r="G88" i="27"/>
  <c r="F88" i="27"/>
  <c r="G89" i="27"/>
  <c r="F89" i="27"/>
  <c r="G90" i="27"/>
  <c r="F90" i="27"/>
  <c r="G91" i="27"/>
  <c r="F91" i="27"/>
  <c r="F92" i="27"/>
  <c r="G92" i="27"/>
  <c r="F93" i="27"/>
  <c r="G93" i="27"/>
  <c r="G94" i="27"/>
  <c r="F94" i="27"/>
  <c r="G95" i="27"/>
  <c r="F95" i="27"/>
  <c r="G96" i="27"/>
  <c r="F96" i="27"/>
  <c r="G97" i="27"/>
  <c r="F97" i="27"/>
  <c r="G98" i="27"/>
  <c r="F98" i="27"/>
  <c r="G99" i="27"/>
  <c r="F99" i="27"/>
  <c r="G101" i="27"/>
  <c r="F101" i="27"/>
  <c r="G102" i="27"/>
  <c r="F102" i="27"/>
  <c r="G103" i="27"/>
  <c r="F103" i="27"/>
  <c r="G104" i="27"/>
  <c r="F104" i="27"/>
  <c r="G105" i="27"/>
  <c r="F105" i="27"/>
  <c r="G106" i="27"/>
  <c r="F106" i="27"/>
  <c r="G107" i="27"/>
  <c r="F107" i="27"/>
  <c r="G108" i="27"/>
  <c r="F108" i="27"/>
  <c r="G109" i="27"/>
  <c r="F109" i="27"/>
  <c r="G110" i="27"/>
  <c r="F110" i="27"/>
  <c r="G111" i="27"/>
  <c r="F111" i="27"/>
  <c r="G112" i="27"/>
  <c r="F112" i="27"/>
  <c r="G115" i="27"/>
  <c r="F115" i="27"/>
  <c r="G116" i="27"/>
  <c r="F116" i="27"/>
  <c r="G117" i="27"/>
  <c r="F117" i="27"/>
  <c r="G118" i="27"/>
  <c r="F118" i="27"/>
  <c r="G119" i="27"/>
  <c r="F119" i="27"/>
  <c r="G120" i="27"/>
  <c r="G122" i="27"/>
  <c r="F122" i="27"/>
  <c r="G123" i="27"/>
  <c r="F123" i="27"/>
  <c r="G124" i="27"/>
  <c r="F124" i="27"/>
  <c r="G125" i="27"/>
  <c r="F125" i="27"/>
  <c r="G126" i="27"/>
  <c r="F126" i="27"/>
  <c r="G127" i="27"/>
  <c r="F127" i="27"/>
  <c r="G128" i="27"/>
  <c r="F128" i="27"/>
  <c r="G129" i="27"/>
  <c r="F129" i="27"/>
  <c r="G130" i="27"/>
  <c r="F130" i="27"/>
  <c r="G134" i="27"/>
  <c r="F134" i="27"/>
  <c r="G135" i="27"/>
  <c r="F135" i="27"/>
  <c r="G136" i="27"/>
  <c r="F136" i="27"/>
  <c r="G137" i="27"/>
  <c r="F137" i="27"/>
  <c r="G138" i="27"/>
  <c r="F138" i="27"/>
  <c r="G139" i="27"/>
  <c r="F139" i="27"/>
  <c r="G140" i="27"/>
  <c r="F140" i="27"/>
  <c r="G141" i="27"/>
  <c r="F141" i="27"/>
  <c r="G142" i="27"/>
  <c r="F142" i="27"/>
  <c r="G143" i="27"/>
  <c r="F143" i="27"/>
  <c r="G144" i="27"/>
  <c r="F144" i="27"/>
  <c r="G145" i="27"/>
  <c r="F145" i="27"/>
  <c r="G146" i="27"/>
  <c r="F146" i="27"/>
  <c r="G147" i="27"/>
  <c r="F147" i="27"/>
  <c r="G148" i="27"/>
  <c r="F148" i="27"/>
  <c r="G149" i="27"/>
  <c r="F149" i="27"/>
  <c r="G150" i="27"/>
  <c r="F150" i="27"/>
  <c r="G151" i="27"/>
  <c r="F151" i="27"/>
  <c r="G339" i="27"/>
  <c r="F339" i="27"/>
  <c r="G340" i="27"/>
  <c r="F340" i="27"/>
  <c r="G341" i="27"/>
  <c r="F341" i="27"/>
  <c r="G342" i="27"/>
  <c r="F342" i="27"/>
  <c r="G343" i="27"/>
  <c r="F343" i="27"/>
  <c r="G344" i="27"/>
  <c r="F344" i="27"/>
  <c r="G345" i="27"/>
  <c r="F345" i="27"/>
  <c r="G346" i="27"/>
  <c r="F346" i="27"/>
  <c r="G347" i="27"/>
  <c r="F347" i="27"/>
  <c r="G348" i="27"/>
  <c r="F348" i="27"/>
  <c r="G349" i="27"/>
  <c r="F349" i="27"/>
  <c r="G350" i="27"/>
  <c r="F350" i="27"/>
  <c r="G351" i="27"/>
  <c r="F351" i="27"/>
  <c r="G352" i="27"/>
  <c r="F352" i="27"/>
  <c r="G353" i="27"/>
  <c r="F353" i="27"/>
  <c r="G354" i="27"/>
  <c r="F354" i="27"/>
  <c r="G355" i="27"/>
  <c r="F355" i="27"/>
  <c r="G356" i="27"/>
  <c r="F356" i="27"/>
  <c r="G357" i="27"/>
  <c r="F357" i="27"/>
  <c r="G358" i="27"/>
  <c r="F358" i="27"/>
  <c r="G359" i="27"/>
  <c r="F359" i="27"/>
  <c r="G360" i="27"/>
  <c r="F360" i="27"/>
  <c r="G361" i="27"/>
  <c r="F361" i="27"/>
  <c r="G362" i="27"/>
  <c r="F362" i="27"/>
  <c r="G363" i="27"/>
  <c r="F363" i="27"/>
  <c r="G364" i="27"/>
  <c r="F364" i="27"/>
  <c r="G365" i="27"/>
  <c r="F365" i="27"/>
  <c r="G366" i="27"/>
  <c r="F366" i="27"/>
  <c r="G367" i="27"/>
  <c r="F367" i="27"/>
  <c r="G369" i="27"/>
  <c r="F369" i="27"/>
  <c r="G373" i="27"/>
  <c r="F373" i="27"/>
  <c r="G374" i="27"/>
  <c r="F374" i="27"/>
  <c r="G375" i="27"/>
  <c r="F375" i="27"/>
  <c r="G263" i="27"/>
  <c r="F263" i="27"/>
  <c r="G264" i="27"/>
  <c r="F264" i="27"/>
  <c r="G265" i="27"/>
  <c r="F265" i="27"/>
  <c r="G266" i="27"/>
  <c r="F266" i="27"/>
  <c r="G267" i="27"/>
  <c r="F267" i="27"/>
  <c r="G268" i="27"/>
  <c r="F268" i="27"/>
  <c r="G269" i="27"/>
  <c r="F269" i="27"/>
  <c r="G270" i="27"/>
  <c r="F270" i="27"/>
  <c r="G271" i="27"/>
  <c r="F271" i="27"/>
  <c r="G272" i="27"/>
  <c r="F272" i="27"/>
  <c r="G273" i="27"/>
  <c r="F273" i="27"/>
  <c r="G274" i="27"/>
  <c r="F274" i="27"/>
  <c r="G275" i="27"/>
  <c r="F275" i="27"/>
  <c r="G276" i="27"/>
  <c r="F276" i="27"/>
  <c r="G277" i="27"/>
  <c r="F277" i="27"/>
  <c r="G278" i="27"/>
  <c r="F278" i="27"/>
  <c r="G279" i="27"/>
  <c r="F279" i="27"/>
  <c r="G280" i="27"/>
  <c r="F280" i="27"/>
  <c r="G281" i="27"/>
  <c r="F281" i="27"/>
  <c r="G282" i="27"/>
  <c r="F282" i="27"/>
  <c r="G283" i="27"/>
  <c r="F283" i="27"/>
  <c r="G284" i="27"/>
  <c r="F284" i="27"/>
  <c r="G285" i="27"/>
  <c r="F285" i="27"/>
  <c r="G286" i="27"/>
  <c r="F286" i="27"/>
  <c r="G287" i="27"/>
  <c r="F287" i="27"/>
  <c r="G288" i="27"/>
  <c r="F288" i="27"/>
  <c r="G289" i="27"/>
  <c r="F289" i="27"/>
  <c r="G290" i="27"/>
  <c r="F290" i="27"/>
  <c r="G291" i="27"/>
  <c r="F291" i="27"/>
  <c r="G292" i="27"/>
  <c r="F292" i="27"/>
  <c r="G293" i="27"/>
  <c r="F293" i="27"/>
  <c r="G294" i="27"/>
  <c r="F294" i="27"/>
  <c r="G295" i="27"/>
  <c r="F295" i="27"/>
  <c r="G296" i="27"/>
  <c r="F296" i="27"/>
  <c r="G297" i="27"/>
  <c r="F297" i="27"/>
  <c r="G298" i="27"/>
  <c r="F298" i="27"/>
  <c r="G299" i="27"/>
  <c r="F299" i="27"/>
  <c r="G300" i="27"/>
  <c r="F300" i="27"/>
  <c r="G301" i="27"/>
  <c r="F301" i="27"/>
  <c r="E302" i="27"/>
  <c r="G302" i="27"/>
  <c r="F302" i="27"/>
  <c r="G303" i="27"/>
  <c r="F303" i="27"/>
  <c r="G304" i="27"/>
  <c r="F304" i="27"/>
  <c r="G305" i="27"/>
  <c r="F305" i="27"/>
  <c r="G306" i="27"/>
  <c r="F306" i="27"/>
  <c r="G307" i="27"/>
  <c r="F307" i="27"/>
  <c r="G308" i="27"/>
  <c r="F308" i="27"/>
  <c r="G309" i="27"/>
  <c r="F309" i="27"/>
  <c r="G310" i="27"/>
  <c r="F310" i="27"/>
  <c r="G311" i="27"/>
  <c r="F311" i="27"/>
  <c r="G312" i="27"/>
  <c r="F312" i="27"/>
  <c r="G313" i="27"/>
  <c r="F313" i="27"/>
  <c r="G314" i="27"/>
  <c r="F314" i="27"/>
  <c r="G315" i="27"/>
  <c r="F315" i="27"/>
  <c r="G316" i="27"/>
  <c r="F316" i="27"/>
  <c r="G317" i="27"/>
  <c r="F317" i="27"/>
  <c r="G318" i="27"/>
  <c r="F318" i="27"/>
  <c r="G319" i="27"/>
  <c r="F319" i="27"/>
  <c r="G320" i="27"/>
  <c r="F320" i="27"/>
  <c r="G321" i="27"/>
  <c r="F321" i="27"/>
  <c r="G322" i="27"/>
  <c r="F322" i="27"/>
  <c r="G323" i="27"/>
  <c r="F323" i="27"/>
  <c r="G324" i="27"/>
  <c r="F324" i="27"/>
  <c r="G325" i="27"/>
  <c r="F325" i="27"/>
  <c r="G326" i="27"/>
  <c r="F326" i="27"/>
  <c r="G327" i="27"/>
  <c r="F327" i="27"/>
  <c r="G328" i="27"/>
  <c r="F328" i="27"/>
  <c r="G331" i="27"/>
  <c r="F331" i="27"/>
  <c r="G332" i="27"/>
  <c r="F332" i="27"/>
  <c r="G333" i="27"/>
  <c r="F333" i="27"/>
  <c r="G334" i="27"/>
  <c r="F334" i="27"/>
  <c r="G335" i="27"/>
  <c r="F335" i="27"/>
  <c r="G336" i="27"/>
  <c r="F336" i="27"/>
  <c r="G43" i="27"/>
  <c r="F43" i="27"/>
  <c r="G44" i="27"/>
  <c r="F44" i="27"/>
  <c r="G45" i="27"/>
  <c r="F45" i="27"/>
  <c r="G46" i="27"/>
  <c r="F46" i="27"/>
  <c r="G47" i="27"/>
  <c r="F47" i="27"/>
  <c r="G48" i="27"/>
  <c r="F48" i="27"/>
  <c r="F131" i="27"/>
  <c r="G153" i="27"/>
  <c r="F153" i="27"/>
  <c r="G154" i="27"/>
  <c r="F154" i="27"/>
  <c r="G155" i="27"/>
  <c r="F155" i="27"/>
  <c r="G156" i="27"/>
  <c r="F156" i="27"/>
  <c r="F157" i="27"/>
  <c r="G157" i="27"/>
  <c r="F158" i="27"/>
  <c r="G158" i="27"/>
  <c r="F159" i="27"/>
  <c r="G159" i="27"/>
  <c r="F160" i="27"/>
  <c r="G160" i="27"/>
  <c r="G162" i="27"/>
  <c r="F162" i="27"/>
  <c r="G163" i="27"/>
  <c r="F163" i="27"/>
  <c r="G164" i="27"/>
  <c r="F164" i="27"/>
  <c r="G165" i="27"/>
  <c r="F165" i="27"/>
  <c r="G166" i="27"/>
  <c r="F166" i="27"/>
  <c r="G167" i="27"/>
  <c r="F167" i="27"/>
  <c r="G168" i="27"/>
  <c r="F168" i="27"/>
  <c r="G169" i="27"/>
  <c r="F169" i="27"/>
  <c r="G170" i="27"/>
  <c r="F170" i="27"/>
  <c r="G171" i="27"/>
  <c r="F171" i="27"/>
  <c r="G172" i="27"/>
  <c r="F172" i="27"/>
  <c r="G178" i="27"/>
  <c r="F178" i="27"/>
  <c r="G179" i="27"/>
  <c r="F179" i="27"/>
  <c r="G192" i="27"/>
  <c r="F192" i="27"/>
  <c r="F194" i="27"/>
  <c r="G174" i="27"/>
  <c r="F174" i="27"/>
  <c r="G173" i="27"/>
  <c r="F173" i="27"/>
  <c r="E42" i="27"/>
  <c r="G42" i="27"/>
  <c r="H67" i="42"/>
  <c r="H73" i="42" s="1"/>
  <c r="H74" i="42" s="1"/>
  <c r="H53" i="42"/>
  <c r="H83" i="42"/>
  <c r="H89" i="42" s="1"/>
  <c r="H170" i="42"/>
  <c r="H49" i="42"/>
  <c r="H34" i="42"/>
  <c r="H99" i="42"/>
  <c r="H105" i="42" s="1"/>
  <c r="H106" i="42" s="1"/>
  <c r="H209" i="42"/>
  <c r="H238" i="42"/>
  <c r="H243" i="42" s="1"/>
  <c r="H244" i="42" s="1"/>
  <c r="H245" i="42" s="1"/>
  <c r="I231" i="42" s="1"/>
  <c r="H11" i="42"/>
  <c r="H15" i="42"/>
  <c r="H30" i="42"/>
  <c r="H4280" i="41"/>
  <c r="H4166" i="41"/>
  <c r="H4263" i="41"/>
  <c r="H4247" i="41"/>
  <c r="H4230" i="41"/>
  <c r="H4214" i="41"/>
  <c r="H4198" i="41"/>
  <c r="H4182" i="41"/>
  <c r="H4149" i="41"/>
  <c r="H4138" i="41"/>
  <c r="G4132" i="41"/>
  <c r="H4132" i="41" s="1"/>
  <c r="G4131" i="41"/>
  <c r="H4131" i="41" s="1"/>
  <c r="G4130" i="41"/>
  <c r="H4130" i="41" s="1"/>
  <c r="H4122" i="41"/>
  <c r="G4116" i="41"/>
  <c r="H4116" i="41" s="1"/>
  <c r="G4115" i="41"/>
  <c r="H4115" i="41" s="1"/>
  <c r="G4114" i="41"/>
  <c r="H4114" i="41" s="1"/>
  <c r="H4106" i="41"/>
  <c r="G4100" i="41"/>
  <c r="H4100" i="41" s="1"/>
  <c r="G4099" i="41"/>
  <c r="H4099" i="41" s="1"/>
  <c r="G4098" i="41"/>
  <c r="H4098" i="41" s="1"/>
  <c r="G4088" i="41"/>
  <c r="H4088" i="41" s="1"/>
  <c r="G4082" i="41"/>
  <c r="H4082" i="41" s="1"/>
  <c r="G4081" i="41"/>
  <c r="H4081" i="41" s="1"/>
  <c r="G4080" i="41"/>
  <c r="H4080" i="41" s="1"/>
  <c r="G4070" i="41"/>
  <c r="H4070" i="41" s="1"/>
  <c r="G4064" i="41"/>
  <c r="H4064" i="41" s="1"/>
  <c r="G4063" i="41"/>
  <c r="H4063" i="41" s="1"/>
  <c r="G4062" i="41"/>
  <c r="H4062" i="41" s="1"/>
  <c r="G4052" i="41"/>
  <c r="H4052" i="41" s="1"/>
  <c r="G4046" i="41"/>
  <c r="H4046" i="41" s="1"/>
  <c r="G4045" i="41"/>
  <c r="H4045" i="41" s="1"/>
  <c r="G4044" i="41"/>
  <c r="H4044" i="41" s="1"/>
  <c r="G4034" i="41"/>
  <c r="H4034" i="41" s="1"/>
  <c r="G4028" i="41"/>
  <c r="H4028" i="41" s="1"/>
  <c r="G4027" i="41"/>
  <c r="H4027" i="41" s="1"/>
  <c r="G4026" i="41"/>
  <c r="H4026" i="41" s="1"/>
  <c r="G4016" i="41"/>
  <c r="H4016" i="41" s="1"/>
  <c r="G4010" i="41"/>
  <c r="H4010" i="41" s="1"/>
  <c r="G4009" i="41"/>
  <c r="H4009" i="41" s="1"/>
  <c r="G4008" i="41"/>
  <c r="H4008" i="41" s="1"/>
  <c r="G3998" i="41"/>
  <c r="H3998" i="41" s="1"/>
  <c r="G3992" i="41"/>
  <c r="H3992" i="41" s="1"/>
  <c r="G3991" i="41"/>
  <c r="H3991" i="41" s="1"/>
  <c r="G3990" i="41"/>
  <c r="H3990" i="41" s="1"/>
  <c r="G3979" i="41"/>
  <c r="H3979" i="41" s="1"/>
  <c r="G3973" i="41"/>
  <c r="H3973" i="41" s="1"/>
  <c r="G3972" i="41"/>
  <c r="H3972" i="41" s="1"/>
  <c r="G3971" i="41"/>
  <c r="H3971" i="41" s="1"/>
  <c r="G3962" i="41"/>
  <c r="H3962" i="41" s="1"/>
  <c r="H3963" i="41" s="1"/>
  <c r="G3956" i="41"/>
  <c r="H3956" i="41" s="1"/>
  <c r="G3955" i="41"/>
  <c r="H3955" i="41" s="1"/>
  <c r="G3954" i="41"/>
  <c r="H3954" i="41" s="1"/>
  <c r="G3945" i="41"/>
  <c r="H3945" i="41" s="1"/>
  <c r="H3946" i="41" s="1"/>
  <c r="G3939" i="41"/>
  <c r="H3939" i="41" s="1"/>
  <c r="G3938" i="41"/>
  <c r="H3938" i="41" s="1"/>
  <c r="G3937" i="41"/>
  <c r="H3937" i="41" s="1"/>
  <c r="G3928" i="41"/>
  <c r="H3928" i="41" s="1"/>
  <c r="H3929" i="41" s="1"/>
  <c r="G3922" i="41"/>
  <c r="H3922" i="41" s="1"/>
  <c r="G3921" i="41"/>
  <c r="H3921" i="41" s="1"/>
  <c r="G3920" i="41"/>
  <c r="H3920" i="41" s="1"/>
  <c r="G3911" i="41"/>
  <c r="H3911" i="41" s="1"/>
  <c r="H3912" i="41" s="1"/>
  <c r="G3905" i="41"/>
  <c r="H3905" i="41" s="1"/>
  <c r="G3904" i="41"/>
  <c r="H3904" i="41" s="1"/>
  <c r="G3903" i="41"/>
  <c r="H3903" i="41" s="1"/>
  <c r="G3894" i="41"/>
  <c r="H3894" i="41" s="1"/>
  <c r="H3895" i="41" s="1"/>
  <c r="G3888" i="41"/>
  <c r="H3888" i="41" s="1"/>
  <c r="G3887" i="41"/>
  <c r="H3887" i="41" s="1"/>
  <c r="G3886" i="41"/>
  <c r="H3886" i="41" s="1"/>
  <c r="H3876" i="41"/>
  <c r="G3870" i="41"/>
  <c r="H3870" i="41" s="1"/>
  <c r="G3869" i="41"/>
  <c r="H3869" i="41" s="1"/>
  <c r="G3868" i="41"/>
  <c r="H3868" i="41" s="1"/>
  <c r="H3860" i="41"/>
  <c r="G3854" i="41"/>
  <c r="H3854" i="41" s="1"/>
  <c r="G3853" i="41"/>
  <c r="H3853" i="41" s="1"/>
  <c r="G3852" i="41"/>
  <c r="H3852" i="41" s="1"/>
  <c r="H3844" i="41"/>
  <c r="G3838" i="41"/>
  <c r="H3838" i="41" s="1"/>
  <c r="G3837" i="41"/>
  <c r="H3837" i="41" s="1"/>
  <c r="G3836" i="41"/>
  <c r="H3836" i="41" s="1"/>
  <c r="H3827" i="41"/>
  <c r="G3821" i="41"/>
  <c r="H3821" i="41" s="1"/>
  <c r="G3820" i="41"/>
  <c r="H3820" i="41" s="1"/>
  <c r="G3819" i="41"/>
  <c r="H3819" i="41" s="1"/>
  <c r="H3811" i="41"/>
  <c r="G3805" i="41"/>
  <c r="H3805" i="41" s="1"/>
  <c r="G3804" i="41"/>
  <c r="H3804" i="41" s="1"/>
  <c r="G3803" i="41"/>
  <c r="H3803" i="41" s="1"/>
  <c r="H3795" i="41"/>
  <c r="G3789" i="41"/>
  <c r="H3789" i="41" s="1"/>
  <c r="G3788" i="41"/>
  <c r="H3788" i="41" s="1"/>
  <c r="G3787" i="41"/>
  <c r="H3787" i="41" s="1"/>
  <c r="H3779" i="41"/>
  <c r="G3773" i="41"/>
  <c r="H3773" i="41" s="1"/>
  <c r="G3772" i="41"/>
  <c r="H3772" i="41" s="1"/>
  <c r="G3771" i="41"/>
  <c r="H3771" i="41" s="1"/>
  <c r="H3763" i="41"/>
  <c r="G3757" i="41"/>
  <c r="H3757" i="41" s="1"/>
  <c r="G3756" i="41"/>
  <c r="H3756" i="41" s="1"/>
  <c r="G3755" i="41"/>
  <c r="H3755" i="41" s="1"/>
  <c r="H3747" i="41"/>
  <c r="G3741" i="41"/>
  <c r="H3741" i="41" s="1"/>
  <c r="G3740" i="41"/>
  <c r="H3740" i="41" s="1"/>
  <c r="G3739" i="41"/>
  <c r="H3739" i="41" s="1"/>
  <c r="H3731" i="41"/>
  <c r="G3723" i="41"/>
  <c r="H3723" i="41" s="1"/>
  <c r="G3724" i="41"/>
  <c r="H3724" i="41" s="1"/>
  <c r="G3725" i="41"/>
  <c r="H3725" i="41" s="1"/>
  <c r="G3713" i="41"/>
  <c r="H3713" i="41" s="1"/>
  <c r="G3707" i="41"/>
  <c r="H3707" i="41" s="1"/>
  <c r="G3706" i="41"/>
  <c r="H3706" i="41" s="1"/>
  <c r="G3705" i="41"/>
  <c r="H3705" i="41" s="1"/>
  <c r="G3694" i="41"/>
  <c r="H3694" i="41" s="1"/>
  <c r="G3688" i="41"/>
  <c r="H3688" i="41" s="1"/>
  <c r="G3687" i="41"/>
  <c r="H3687" i="41" s="1"/>
  <c r="G3686" i="41"/>
  <c r="H3686" i="41" s="1"/>
  <c r="G3676" i="41"/>
  <c r="H3676" i="41" s="1"/>
  <c r="G3670" i="41"/>
  <c r="H3670" i="41" s="1"/>
  <c r="G3669" i="41"/>
  <c r="H3669" i="41" s="1"/>
  <c r="G3668" i="41"/>
  <c r="H3668" i="41" s="1"/>
  <c r="G3658" i="41"/>
  <c r="H3658" i="41" s="1"/>
  <c r="G3652" i="41"/>
  <c r="H3652" i="41" s="1"/>
  <c r="G3651" i="41"/>
  <c r="H3651" i="41" s="1"/>
  <c r="G3650" i="41"/>
  <c r="H3650" i="41" s="1"/>
  <c r="G3640" i="41"/>
  <c r="H3640" i="41" s="1"/>
  <c r="G3634" i="41"/>
  <c r="H3634" i="41" s="1"/>
  <c r="G3633" i="41"/>
  <c r="H3633" i="41" s="1"/>
  <c r="G3632" i="41"/>
  <c r="H3632" i="41" s="1"/>
  <c r="G3614" i="41"/>
  <c r="H3614" i="41" s="1"/>
  <c r="G3615" i="41"/>
  <c r="H3615" i="41" s="1"/>
  <c r="G3616" i="41"/>
  <c r="H3616" i="41" s="1"/>
  <c r="G3622" i="41"/>
  <c r="H3622" i="41" s="1"/>
  <c r="G3604" i="41"/>
  <c r="H3604" i="41" s="1"/>
  <c r="G3598" i="41"/>
  <c r="H3598" i="41" s="1"/>
  <c r="G3597" i="41"/>
  <c r="H3597" i="41" s="1"/>
  <c r="G3596" i="41"/>
  <c r="H3596" i="41" s="1"/>
  <c r="G3587" i="41"/>
  <c r="H3587" i="41" s="1"/>
  <c r="H3588" i="41" s="1"/>
  <c r="G3581" i="41"/>
  <c r="H3581" i="41" s="1"/>
  <c r="G3580" i="41"/>
  <c r="H3580" i="41" s="1"/>
  <c r="G3579" i="41"/>
  <c r="H3579" i="41" s="1"/>
  <c r="G3570" i="41"/>
  <c r="H3570" i="41" s="1"/>
  <c r="H3571" i="41" s="1"/>
  <c r="G3564" i="41"/>
  <c r="H3564" i="41" s="1"/>
  <c r="G3563" i="41"/>
  <c r="H3563" i="41" s="1"/>
  <c r="G3562" i="41"/>
  <c r="H3562" i="41" s="1"/>
  <c r="G3553" i="41"/>
  <c r="H3553" i="41" s="1"/>
  <c r="H3554" i="41" s="1"/>
  <c r="G3547" i="41"/>
  <c r="H3547" i="41" s="1"/>
  <c r="G3546" i="41"/>
  <c r="H3546" i="41" s="1"/>
  <c r="G3545" i="41"/>
  <c r="H3545" i="41" s="1"/>
  <c r="G3536" i="41"/>
  <c r="H3536" i="41" s="1"/>
  <c r="H3537" i="41" s="1"/>
  <c r="G3530" i="41"/>
  <c r="H3530" i="41" s="1"/>
  <c r="G3529" i="41"/>
  <c r="H3529" i="41" s="1"/>
  <c r="G3528" i="41"/>
  <c r="H3528" i="41" s="1"/>
  <c r="G3519" i="41"/>
  <c r="H3519" i="41" s="1"/>
  <c r="H3520" i="41" s="1"/>
  <c r="G3513" i="41"/>
  <c r="H3513" i="41" s="1"/>
  <c r="G3512" i="41"/>
  <c r="H3512" i="41" s="1"/>
  <c r="G3511" i="41"/>
  <c r="H3511" i="41" s="1"/>
  <c r="G3501" i="41"/>
  <c r="H3501" i="41" s="1"/>
  <c r="H3502" i="41" s="1"/>
  <c r="G3495" i="41"/>
  <c r="H3495" i="41" s="1"/>
  <c r="G3494" i="41"/>
  <c r="H3494" i="41" s="1"/>
  <c r="G3493" i="41"/>
  <c r="H3493" i="41" s="1"/>
  <c r="G3483" i="41"/>
  <c r="H3483" i="41" s="1"/>
  <c r="H3484" i="41" s="1"/>
  <c r="G3477" i="41"/>
  <c r="H3477" i="41" s="1"/>
  <c r="G3476" i="41"/>
  <c r="H3476" i="41" s="1"/>
  <c r="G3475" i="41"/>
  <c r="H3475" i="41" s="1"/>
  <c r="H3462" i="41"/>
  <c r="G3459" i="41"/>
  <c r="H3459" i="41" s="1"/>
  <c r="G3458" i="41"/>
  <c r="H3458" i="41" s="1"/>
  <c r="G3457" i="41"/>
  <c r="H3457" i="41" s="1"/>
  <c r="H3446" i="41"/>
  <c r="G3443" i="41"/>
  <c r="H3443" i="41" s="1"/>
  <c r="G3442" i="41"/>
  <c r="H3442" i="41" s="1"/>
  <c r="G3441" i="41"/>
  <c r="H3441" i="41" s="1"/>
  <c r="H3429" i="41"/>
  <c r="G3426" i="41"/>
  <c r="H3426" i="41" s="1"/>
  <c r="G3425" i="41"/>
  <c r="H3425" i="41" s="1"/>
  <c r="G3424" i="41"/>
  <c r="H3424" i="41" s="1"/>
  <c r="H3413" i="41"/>
  <c r="G3410" i="41"/>
  <c r="H3410" i="41" s="1"/>
  <c r="G3409" i="41"/>
  <c r="H3409" i="41" s="1"/>
  <c r="G3408" i="41"/>
  <c r="H3408" i="41" s="1"/>
  <c r="H3397" i="41"/>
  <c r="G3394" i="41"/>
  <c r="H3394" i="41" s="1"/>
  <c r="G3393" i="41"/>
  <c r="H3393" i="41" s="1"/>
  <c r="G3392" i="41"/>
  <c r="H3392" i="41" s="1"/>
  <c r="H3381" i="41"/>
  <c r="G3378" i="41"/>
  <c r="H3378" i="41" s="1"/>
  <c r="G3377" i="41"/>
  <c r="H3377" i="41" s="1"/>
  <c r="G3376" i="41"/>
  <c r="H3376" i="41" s="1"/>
  <c r="H3365" i="41"/>
  <c r="G3362" i="41"/>
  <c r="H3362" i="41" s="1"/>
  <c r="G3361" i="41"/>
  <c r="H3361" i="41" s="1"/>
  <c r="G3360" i="41"/>
  <c r="H3360" i="41" s="1"/>
  <c r="G3351" i="41"/>
  <c r="H3351" i="41" s="1"/>
  <c r="G3349" i="41"/>
  <c r="H3349" i="41" s="1"/>
  <c r="G3348" i="41"/>
  <c r="H3348" i="41" s="1"/>
  <c r="H3346" i="41"/>
  <c r="G3343" i="41"/>
  <c r="H3343" i="41" s="1"/>
  <c r="G3342" i="41"/>
  <c r="H3342" i="41" s="1"/>
  <c r="G3341" i="41"/>
  <c r="H3341" i="41" s="1"/>
  <c r="G3331" i="41"/>
  <c r="H3331" i="41" s="1"/>
  <c r="G3329" i="41"/>
  <c r="H3329" i="41" s="1"/>
  <c r="G3328" i="41"/>
  <c r="H3328" i="41" s="1"/>
  <c r="H3326" i="41"/>
  <c r="G3323" i="41"/>
  <c r="H3323" i="41" s="1"/>
  <c r="G3322" i="41"/>
  <c r="H3322" i="41" s="1"/>
  <c r="G3321" i="41"/>
  <c r="H3321" i="41" s="1"/>
  <c r="G3312" i="41"/>
  <c r="H3312" i="41" s="1"/>
  <c r="G3310" i="41"/>
  <c r="H3310" i="41" s="1"/>
  <c r="G3309" i="41"/>
  <c r="H3309" i="41" s="1"/>
  <c r="H3307" i="41"/>
  <c r="G3304" i="41"/>
  <c r="H3304" i="41" s="1"/>
  <c r="G3303" i="41"/>
  <c r="H3303" i="41" s="1"/>
  <c r="G3302" i="41"/>
  <c r="H3302" i="41" s="1"/>
  <c r="G3293" i="41"/>
  <c r="H3293" i="41" s="1"/>
  <c r="G3291" i="41"/>
  <c r="H3291" i="41" s="1"/>
  <c r="G3290" i="41"/>
  <c r="H3290" i="41" s="1"/>
  <c r="H3288" i="41"/>
  <c r="G3285" i="41"/>
  <c r="H3285" i="41" s="1"/>
  <c r="G3284" i="41"/>
  <c r="H3284" i="41" s="1"/>
  <c r="G3283" i="41"/>
  <c r="H3283" i="41" s="1"/>
  <c r="G3274" i="41"/>
  <c r="H3274" i="41" s="1"/>
  <c r="G3272" i="41"/>
  <c r="H3272" i="41" s="1"/>
  <c r="G3271" i="41"/>
  <c r="H3271" i="41" s="1"/>
  <c r="H3269" i="41"/>
  <c r="G3266" i="41"/>
  <c r="H3266" i="41" s="1"/>
  <c r="G3265" i="41"/>
  <c r="H3265" i="41" s="1"/>
  <c r="G3264" i="41"/>
  <c r="H3264" i="41" s="1"/>
  <c r="G3255" i="41"/>
  <c r="H3255" i="41" s="1"/>
  <c r="G3253" i="41"/>
  <c r="H3253" i="41" s="1"/>
  <c r="G3252" i="41"/>
  <c r="H3252" i="41" s="1"/>
  <c r="H3250" i="41"/>
  <c r="G3247" i="41"/>
  <c r="H3247" i="41" s="1"/>
  <c r="G3246" i="41"/>
  <c r="H3246" i="41" s="1"/>
  <c r="G3245" i="41"/>
  <c r="H3245" i="41" s="1"/>
  <c r="G3236" i="41"/>
  <c r="H3236" i="41" s="1"/>
  <c r="G3234" i="41"/>
  <c r="H3234" i="41" s="1"/>
  <c r="G3233" i="41"/>
  <c r="H3233" i="41" s="1"/>
  <c r="H3231" i="41"/>
  <c r="G3228" i="41"/>
  <c r="H3228" i="41" s="1"/>
  <c r="G3227" i="41"/>
  <c r="H3227" i="41" s="1"/>
  <c r="G3226" i="41"/>
  <c r="H3226" i="41" s="1"/>
  <c r="G3217" i="41"/>
  <c r="H3217" i="41" s="1"/>
  <c r="G3215" i="41"/>
  <c r="H3215" i="41" s="1"/>
  <c r="G3214" i="41"/>
  <c r="H3214" i="41" s="1"/>
  <c r="H3212" i="41"/>
  <c r="G3209" i="41"/>
  <c r="H3209" i="41" s="1"/>
  <c r="G3208" i="41"/>
  <c r="H3208" i="41" s="1"/>
  <c r="G3207" i="41"/>
  <c r="H3207" i="41" s="1"/>
  <c r="G3198" i="41"/>
  <c r="H3198" i="41" s="1"/>
  <c r="G3196" i="41"/>
  <c r="H3196" i="41" s="1"/>
  <c r="G3195" i="41"/>
  <c r="H3195" i="41" s="1"/>
  <c r="H3193" i="41"/>
  <c r="G3190" i="41"/>
  <c r="H3190" i="41" s="1"/>
  <c r="G3189" i="41"/>
  <c r="H3189" i="41" s="1"/>
  <c r="G3188" i="41"/>
  <c r="H3188" i="41" s="1"/>
  <c r="G3179" i="41"/>
  <c r="H3179" i="41" s="1"/>
  <c r="G3177" i="41"/>
  <c r="H3177" i="41" s="1"/>
  <c r="G3176" i="41"/>
  <c r="H3176" i="41" s="1"/>
  <c r="H3174" i="41"/>
  <c r="G3171" i="41"/>
  <c r="H3171" i="41" s="1"/>
  <c r="G3170" i="41"/>
  <c r="H3170" i="41" s="1"/>
  <c r="G3169" i="41"/>
  <c r="H3169" i="41" s="1"/>
  <c r="G3160" i="41"/>
  <c r="H3160" i="41" s="1"/>
  <c r="G3158" i="41"/>
  <c r="H3158" i="41" s="1"/>
  <c r="G3157" i="41"/>
  <c r="H3157" i="41" s="1"/>
  <c r="H3155" i="41"/>
  <c r="G3152" i="41"/>
  <c r="H3152" i="41" s="1"/>
  <c r="G3151" i="41"/>
  <c r="H3151" i="41" s="1"/>
  <c r="G3150" i="41"/>
  <c r="H3150" i="41" s="1"/>
  <c r="H3136" i="41"/>
  <c r="G3141" i="41"/>
  <c r="H3141" i="41" s="1"/>
  <c r="G3138" i="41"/>
  <c r="H3138" i="41" s="1"/>
  <c r="G3133" i="41"/>
  <c r="H3133" i="41" s="1"/>
  <c r="G3132" i="41"/>
  <c r="H3132" i="41" s="1"/>
  <c r="G3131" i="41"/>
  <c r="H3131" i="41" s="1"/>
  <c r="H3121" i="41"/>
  <c r="G3118" i="41"/>
  <c r="H3118" i="41" s="1"/>
  <c r="G3117" i="41"/>
  <c r="H3117" i="41" s="1"/>
  <c r="G3116" i="41"/>
  <c r="H3116" i="41" s="1"/>
  <c r="G3112" i="41"/>
  <c r="H3112" i="41" s="1"/>
  <c r="G3111" i="41"/>
  <c r="H3111" i="41" s="1"/>
  <c r="G3110" i="41"/>
  <c r="H3110" i="41" s="1"/>
  <c r="G3109" i="41"/>
  <c r="H3109" i="41" s="1"/>
  <c r="H3101" i="41"/>
  <c r="G3098" i="41"/>
  <c r="H3098" i="41" s="1"/>
  <c r="G3097" i="41"/>
  <c r="H3097" i="41" s="1"/>
  <c r="G3096" i="41"/>
  <c r="H3096" i="41" s="1"/>
  <c r="G3092" i="41"/>
  <c r="H3092" i="41" s="1"/>
  <c r="G3091" i="41"/>
  <c r="H3091" i="41" s="1"/>
  <c r="G3090" i="41"/>
  <c r="H3090" i="41" s="1"/>
  <c r="G3089" i="41"/>
  <c r="H3089" i="41" s="1"/>
  <c r="H3081" i="41"/>
  <c r="G3078" i="41"/>
  <c r="H3078" i="41" s="1"/>
  <c r="G3077" i="41"/>
  <c r="H3077" i="41" s="1"/>
  <c r="G3076" i="41"/>
  <c r="H3076" i="41" s="1"/>
  <c r="G3072" i="41"/>
  <c r="H3072" i="41" s="1"/>
  <c r="G3071" i="41"/>
  <c r="H3071" i="41" s="1"/>
  <c r="G3070" i="41"/>
  <c r="H3070" i="41" s="1"/>
  <c r="G3069" i="41"/>
  <c r="H3069" i="41" s="1"/>
  <c r="H3061" i="41"/>
  <c r="G3058" i="41"/>
  <c r="H3058" i="41" s="1"/>
  <c r="G3057" i="41"/>
  <c r="H3057" i="41" s="1"/>
  <c r="G3056" i="41"/>
  <c r="H3056" i="41" s="1"/>
  <c r="G3052" i="41"/>
  <c r="H3052" i="41" s="1"/>
  <c r="G3051" i="41"/>
  <c r="H3051" i="41" s="1"/>
  <c r="G3050" i="41"/>
  <c r="H3050" i="41" s="1"/>
  <c r="G3049" i="41"/>
  <c r="H3049" i="41" s="1"/>
  <c r="H3041" i="41"/>
  <c r="G3038" i="41"/>
  <c r="H3038" i="41" s="1"/>
  <c r="G3037" i="41"/>
  <c r="H3037" i="41" s="1"/>
  <c r="G3036" i="41"/>
  <c r="H3036" i="41" s="1"/>
  <c r="G3032" i="41"/>
  <c r="H3032" i="41" s="1"/>
  <c r="G3031" i="41"/>
  <c r="H3031" i="41" s="1"/>
  <c r="G3030" i="41"/>
  <c r="H3030" i="41" s="1"/>
  <c r="G3029" i="41"/>
  <c r="H3029" i="41" s="1"/>
  <c r="H3021" i="41"/>
  <c r="G3018" i="41"/>
  <c r="H3018" i="41" s="1"/>
  <c r="G3017" i="41"/>
  <c r="H3017" i="41" s="1"/>
  <c r="G3016" i="41"/>
  <c r="H3016" i="41" s="1"/>
  <c r="G3012" i="41"/>
  <c r="H3012" i="41" s="1"/>
  <c r="G3011" i="41"/>
  <c r="H3011" i="41" s="1"/>
  <c r="G3010" i="41"/>
  <c r="H3010" i="41" s="1"/>
  <c r="G3009" i="41"/>
  <c r="H3009" i="41" s="1"/>
  <c r="H3001" i="41"/>
  <c r="G2998" i="41"/>
  <c r="H2998" i="41" s="1"/>
  <c r="G2997" i="41"/>
  <c r="H2997" i="41" s="1"/>
  <c r="G2996" i="41"/>
  <c r="H2996" i="41" s="1"/>
  <c r="G2992" i="41"/>
  <c r="H2992" i="41" s="1"/>
  <c r="G2991" i="41"/>
  <c r="H2991" i="41" s="1"/>
  <c r="G2990" i="41"/>
  <c r="H2990" i="41" s="1"/>
  <c r="G2989" i="41"/>
  <c r="H2989" i="41" s="1"/>
  <c r="H2981" i="41"/>
  <c r="G2978" i="41"/>
  <c r="H2978" i="41" s="1"/>
  <c r="G2977" i="41"/>
  <c r="H2977" i="41" s="1"/>
  <c r="G2976" i="41"/>
  <c r="H2976" i="41" s="1"/>
  <c r="G2972" i="41"/>
  <c r="H2972" i="41" s="1"/>
  <c r="G2971" i="41"/>
  <c r="H2971" i="41" s="1"/>
  <c r="G2970" i="41"/>
  <c r="H2970" i="41" s="1"/>
  <c r="G2969" i="41"/>
  <c r="H2969" i="41" s="1"/>
  <c r="H2961" i="41"/>
  <c r="G2958" i="41"/>
  <c r="H2958" i="41" s="1"/>
  <c r="G2957" i="41"/>
  <c r="H2957" i="41" s="1"/>
  <c r="G2956" i="41"/>
  <c r="H2956" i="41" s="1"/>
  <c r="G2951" i="41"/>
  <c r="H2951" i="41" s="1"/>
  <c r="G2952" i="41"/>
  <c r="H2952" i="41" s="1"/>
  <c r="G2950" i="41"/>
  <c r="H2950" i="41" s="1"/>
  <c r="G2949" i="41"/>
  <c r="H2949" i="41" s="1"/>
  <c r="G2938" i="41"/>
  <c r="H2938" i="41" s="1"/>
  <c r="H2939" i="41" s="1"/>
  <c r="H2936" i="41"/>
  <c r="G2933" i="41"/>
  <c r="H2933" i="41" s="1"/>
  <c r="G2932" i="41"/>
  <c r="H2932" i="41" s="1"/>
  <c r="G2931" i="41"/>
  <c r="H2931" i="41" s="1"/>
  <c r="G2922" i="41"/>
  <c r="H2922" i="41" s="1"/>
  <c r="H2923" i="41" s="1"/>
  <c r="H2920" i="41"/>
  <c r="G2917" i="41"/>
  <c r="H2917" i="41" s="1"/>
  <c r="G2916" i="41"/>
  <c r="H2916" i="41" s="1"/>
  <c r="G2915" i="41"/>
  <c r="H2915" i="41" s="1"/>
  <c r="G2906" i="41"/>
  <c r="H2906" i="41" s="1"/>
  <c r="H2907" i="41" s="1"/>
  <c r="H2904" i="41"/>
  <c r="G2901" i="41"/>
  <c r="H2901" i="41" s="1"/>
  <c r="G2900" i="41"/>
  <c r="H2900" i="41" s="1"/>
  <c r="G2899" i="41"/>
  <c r="H2899" i="41" s="1"/>
  <c r="G2890" i="41"/>
  <c r="H2890" i="41" s="1"/>
  <c r="H2891" i="41" s="1"/>
  <c r="H2888" i="41"/>
  <c r="G2885" i="41"/>
  <c r="H2885" i="41" s="1"/>
  <c r="G2884" i="41"/>
  <c r="H2884" i="41" s="1"/>
  <c r="G2883" i="41"/>
  <c r="H2883" i="41" s="1"/>
  <c r="G2874" i="41"/>
  <c r="H2874" i="41" s="1"/>
  <c r="H2875" i="41" s="1"/>
  <c r="H2872" i="41"/>
  <c r="G2869" i="41"/>
  <c r="H2869" i="41" s="1"/>
  <c r="G2868" i="41"/>
  <c r="H2868" i="41" s="1"/>
  <c r="G2867" i="41"/>
  <c r="H2867" i="41" s="1"/>
  <c r="G2858" i="41"/>
  <c r="H2858" i="41" s="1"/>
  <c r="H2859" i="41" s="1"/>
  <c r="H2856" i="41"/>
  <c r="G2853" i="41"/>
  <c r="H2853" i="41" s="1"/>
  <c r="G2852" i="41"/>
  <c r="H2852" i="41" s="1"/>
  <c r="G2851" i="41"/>
  <c r="H2851" i="41" s="1"/>
  <c r="G2842" i="41"/>
  <c r="H2842" i="41" s="1"/>
  <c r="H2843" i="41" s="1"/>
  <c r="H2840" i="41"/>
  <c r="G2837" i="41"/>
  <c r="H2837" i="41" s="1"/>
  <c r="G2836" i="41"/>
  <c r="H2836" i="41" s="1"/>
  <c r="G2835" i="41"/>
  <c r="H2835" i="41" s="1"/>
  <c r="G2826" i="41"/>
  <c r="H2826" i="41" s="1"/>
  <c r="H2827" i="41" s="1"/>
  <c r="H2824" i="41"/>
  <c r="G2821" i="41"/>
  <c r="H2821" i="41" s="1"/>
  <c r="G2820" i="41"/>
  <c r="H2820" i="41" s="1"/>
  <c r="G2819" i="41"/>
  <c r="H2819" i="41" s="1"/>
  <c r="G2810" i="41"/>
  <c r="H2810" i="41" s="1"/>
  <c r="H2811" i="41" s="1"/>
  <c r="H2808" i="41"/>
  <c r="G2805" i="41"/>
  <c r="H2805" i="41" s="1"/>
  <c r="G2804" i="41"/>
  <c r="H2804" i="41" s="1"/>
  <c r="G2803" i="41"/>
  <c r="H2803" i="41" s="1"/>
  <c r="G2794" i="41"/>
  <c r="H2794" i="41" s="1"/>
  <c r="H2795" i="41" s="1"/>
  <c r="H2792" i="41"/>
  <c r="G2789" i="41"/>
  <c r="H2789" i="41" s="1"/>
  <c r="G2788" i="41"/>
  <c r="H2788" i="41" s="1"/>
  <c r="G2787" i="41"/>
  <c r="H2787" i="41" s="1"/>
  <c r="G2778" i="41"/>
  <c r="H2778" i="41" s="1"/>
  <c r="H2779" i="41" s="1"/>
  <c r="H2776" i="41"/>
  <c r="G2773" i="41"/>
  <c r="H2773" i="41" s="1"/>
  <c r="G2772" i="41"/>
  <c r="H2772" i="41" s="1"/>
  <c r="G2771" i="41"/>
  <c r="H2771" i="41" s="1"/>
  <c r="G2762" i="41"/>
  <c r="H2762" i="41" s="1"/>
  <c r="H2763" i="41" s="1"/>
  <c r="H2760" i="41"/>
  <c r="G2757" i="41"/>
  <c r="H2757" i="41" s="1"/>
  <c r="G2756" i="41"/>
  <c r="H2756" i="41" s="1"/>
  <c r="G2755" i="41"/>
  <c r="H2755" i="41" s="1"/>
  <c r="G2746" i="41"/>
  <c r="H2746" i="41" s="1"/>
  <c r="H2747" i="41" s="1"/>
  <c r="H2744" i="41"/>
  <c r="G2741" i="41"/>
  <c r="H2741" i="41" s="1"/>
  <c r="G2740" i="41"/>
  <c r="H2740" i="41" s="1"/>
  <c r="G2739" i="41"/>
  <c r="H2739" i="41" s="1"/>
  <c r="G2730" i="41"/>
  <c r="H2730" i="41" s="1"/>
  <c r="H2731" i="41" s="1"/>
  <c r="H2728" i="41"/>
  <c r="G2725" i="41"/>
  <c r="H2725" i="41" s="1"/>
  <c r="G2724" i="41"/>
  <c r="H2724" i="41" s="1"/>
  <c r="G2723" i="41"/>
  <c r="H2723" i="41" s="1"/>
  <c r="G2714" i="41"/>
  <c r="H2714" i="41" s="1"/>
  <c r="H2715" i="41" s="1"/>
  <c r="H2712" i="41"/>
  <c r="G2709" i="41"/>
  <c r="H2709" i="41" s="1"/>
  <c r="G2708" i="41"/>
  <c r="H2708" i="41" s="1"/>
  <c r="G2707" i="41"/>
  <c r="H2707" i="41" s="1"/>
  <c r="H2695" i="41"/>
  <c r="G2697" i="41"/>
  <c r="H2697" i="41" s="1"/>
  <c r="H2698" i="41" s="1"/>
  <c r="G2692" i="41"/>
  <c r="H2692" i="41" s="1"/>
  <c r="G2691" i="41"/>
  <c r="H2691" i="41" s="1"/>
  <c r="G2690" i="41"/>
  <c r="H2690" i="41" s="1"/>
  <c r="G2680" i="41"/>
  <c r="H2680" i="41" s="1"/>
  <c r="G2679" i="41"/>
  <c r="H2679" i="41" s="1"/>
  <c r="G2673" i="41"/>
  <c r="H2673" i="41" s="1"/>
  <c r="G2672" i="41"/>
  <c r="H2672" i="41" s="1"/>
  <c r="G2671" i="41"/>
  <c r="H2671" i="41" s="1"/>
  <c r="G2662" i="41"/>
  <c r="H2662" i="41" s="1"/>
  <c r="G2661" i="41"/>
  <c r="H2661" i="41" s="1"/>
  <c r="G2655" i="41"/>
  <c r="H2655" i="41" s="1"/>
  <c r="G2654" i="41"/>
  <c r="H2654" i="41" s="1"/>
  <c r="G2653" i="41"/>
  <c r="H2653" i="41" s="1"/>
  <c r="G2644" i="41"/>
  <c r="H2644" i="41" s="1"/>
  <c r="G2643" i="41"/>
  <c r="H2643" i="41" s="1"/>
  <c r="G2637" i="41"/>
  <c r="H2637" i="41" s="1"/>
  <c r="G2636" i="41"/>
  <c r="H2636" i="41" s="1"/>
  <c r="G2635" i="41"/>
  <c r="H2635" i="41" s="1"/>
  <c r="G2626" i="41"/>
  <c r="H2626" i="41" s="1"/>
  <c r="G2625" i="41"/>
  <c r="H2625" i="41" s="1"/>
  <c r="G2619" i="41"/>
  <c r="H2619" i="41" s="1"/>
  <c r="G2618" i="41"/>
  <c r="H2618" i="41" s="1"/>
  <c r="G2617" i="41"/>
  <c r="H2617" i="41" s="1"/>
  <c r="G2608" i="41"/>
  <c r="H2608" i="41" s="1"/>
  <c r="G2607" i="41"/>
  <c r="H2607" i="41" s="1"/>
  <c r="G2601" i="41"/>
  <c r="H2601" i="41" s="1"/>
  <c r="G2600" i="41"/>
  <c r="H2600" i="41" s="1"/>
  <c r="G2599" i="41"/>
  <c r="H2599" i="41" s="1"/>
  <c r="G2590" i="41"/>
  <c r="H2590" i="41" s="1"/>
  <c r="G2589" i="41"/>
  <c r="H2589" i="41" s="1"/>
  <c r="G2583" i="41"/>
  <c r="H2583" i="41" s="1"/>
  <c r="G2582" i="41"/>
  <c r="H2582" i="41" s="1"/>
  <c r="G2581" i="41"/>
  <c r="H2581" i="41" s="1"/>
  <c r="G2535" i="41"/>
  <c r="H2535" i="41" s="1"/>
  <c r="G2572" i="41"/>
  <c r="H2572" i="41" s="1"/>
  <c r="G2571" i="41"/>
  <c r="H2571" i="41" s="1"/>
  <c r="G2565" i="41"/>
  <c r="H2565" i="41" s="1"/>
  <c r="G2564" i="41"/>
  <c r="H2564" i="41" s="1"/>
  <c r="G2563" i="41"/>
  <c r="H2563" i="41" s="1"/>
  <c r="G2553" i="41"/>
  <c r="H2553" i="41" s="1"/>
  <c r="G2554" i="41"/>
  <c r="H2554" i="41" s="1"/>
  <c r="G2547" i="41"/>
  <c r="H2547" i="41" s="1"/>
  <c r="G2546" i="41"/>
  <c r="H2546" i="41" s="1"/>
  <c r="G2545" i="41"/>
  <c r="H2545" i="41" s="1"/>
  <c r="G2536" i="41"/>
  <c r="H2536" i="41" s="1"/>
  <c r="G2529" i="41"/>
  <c r="H2529" i="41" s="1"/>
  <c r="G2528" i="41"/>
  <c r="H2528" i="41" s="1"/>
  <c r="G2527" i="41"/>
  <c r="H2527" i="41" s="1"/>
  <c r="G2518" i="41"/>
  <c r="H2518" i="41" s="1"/>
  <c r="H2519" i="41" s="1"/>
  <c r="G2512" i="41"/>
  <c r="H2512" i="41" s="1"/>
  <c r="G2511" i="41"/>
  <c r="H2511" i="41" s="1"/>
  <c r="G2510" i="41"/>
  <c r="H2510" i="41" s="1"/>
  <c r="G2501" i="41"/>
  <c r="H2501" i="41" s="1"/>
  <c r="H2502" i="41" s="1"/>
  <c r="G2495" i="41"/>
  <c r="H2495" i="41" s="1"/>
  <c r="G2494" i="41"/>
  <c r="H2494" i="41" s="1"/>
  <c r="G2493" i="41"/>
  <c r="H2493" i="41" s="1"/>
  <c r="G2484" i="41"/>
  <c r="H2484" i="41" s="1"/>
  <c r="H2485" i="41" s="1"/>
  <c r="G2478" i="41"/>
  <c r="H2478" i="41" s="1"/>
  <c r="G2477" i="41"/>
  <c r="H2477" i="41" s="1"/>
  <c r="G2476" i="41"/>
  <c r="H2476" i="41" s="1"/>
  <c r="G2467" i="41"/>
  <c r="H2467" i="41" s="1"/>
  <c r="H2468" i="41" s="1"/>
  <c r="G2461" i="41"/>
  <c r="H2461" i="41" s="1"/>
  <c r="G2460" i="41"/>
  <c r="H2460" i="41" s="1"/>
  <c r="G2459" i="41"/>
  <c r="H2459" i="41" s="1"/>
  <c r="G2450" i="41"/>
  <c r="H2450" i="41" s="1"/>
  <c r="H2451" i="41" s="1"/>
  <c r="G2444" i="41"/>
  <c r="H2444" i="41" s="1"/>
  <c r="G2443" i="41"/>
  <c r="H2443" i="41" s="1"/>
  <c r="G2442" i="41"/>
  <c r="H2442" i="41" s="1"/>
  <c r="G2432" i="41"/>
  <c r="H2432" i="41" s="1"/>
  <c r="H2433" i="41" s="1"/>
  <c r="G2429" i="41"/>
  <c r="H2429" i="41" s="1"/>
  <c r="H2430" i="41" s="1"/>
  <c r="G2426" i="41"/>
  <c r="H2426" i="41" s="1"/>
  <c r="G2425" i="41"/>
  <c r="H2425" i="41" s="1"/>
  <c r="G2424" i="41"/>
  <c r="H2424" i="41" s="1"/>
  <c r="G2412" i="41"/>
  <c r="H2412" i="41" s="1"/>
  <c r="H2413" i="41" s="1"/>
  <c r="G2415" i="41"/>
  <c r="H2415" i="41" s="1"/>
  <c r="H2416" i="41" s="1"/>
  <c r="G2409" i="41"/>
  <c r="H2409" i="41" s="1"/>
  <c r="G2408" i="41"/>
  <c r="H2408" i="41" s="1"/>
  <c r="G2407" i="41"/>
  <c r="H2407" i="41" s="1"/>
  <c r="G2396" i="41"/>
  <c r="H2396" i="41" s="1"/>
  <c r="H2397" i="41" s="1"/>
  <c r="H2394" i="41"/>
  <c r="G2391" i="41"/>
  <c r="H2391" i="41" s="1"/>
  <c r="G2390" i="41"/>
  <c r="H2390" i="41" s="1"/>
  <c r="G2389" i="41"/>
  <c r="H2389" i="41" s="1"/>
  <c r="G2380" i="41"/>
  <c r="H2380" i="41" s="1"/>
  <c r="H2381" i="41" s="1"/>
  <c r="H2378" i="41"/>
  <c r="G2375" i="41"/>
  <c r="H2375" i="41" s="1"/>
  <c r="G2374" i="41"/>
  <c r="H2374" i="41" s="1"/>
  <c r="G2373" i="41"/>
  <c r="H2373" i="41" s="1"/>
  <c r="G2364" i="41"/>
  <c r="H2364" i="41" s="1"/>
  <c r="H2365" i="41" s="1"/>
  <c r="H2362" i="41"/>
  <c r="G2359" i="41"/>
  <c r="H2359" i="41" s="1"/>
  <c r="G2358" i="41"/>
  <c r="H2358" i="41" s="1"/>
  <c r="G2357" i="41"/>
  <c r="H2357" i="41" s="1"/>
  <c r="G2348" i="41"/>
  <c r="H2348" i="41" s="1"/>
  <c r="H2349" i="41" s="1"/>
  <c r="H2346" i="41"/>
  <c r="G2343" i="41"/>
  <c r="H2343" i="41" s="1"/>
  <c r="G2342" i="41"/>
  <c r="H2342" i="41" s="1"/>
  <c r="G2341" i="41"/>
  <c r="H2341" i="41" s="1"/>
  <c r="G2331" i="41"/>
  <c r="H2331" i="41" s="1"/>
  <c r="H2332" i="41" s="1"/>
  <c r="H2329" i="41"/>
  <c r="G2326" i="41"/>
  <c r="H2326" i="41" s="1"/>
  <c r="G2325" i="41"/>
  <c r="H2325" i="41" s="1"/>
  <c r="G2324" i="41"/>
  <c r="H2324" i="41" s="1"/>
  <c r="G2315" i="41"/>
  <c r="H2315" i="41" s="1"/>
  <c r="H2316" i="41" s="1"/>
  <c r="H2313" i="41"/>
  <c r="G2310" i="41"/>
  <c r="H2310" i="41" s="1"/>
  <c r="G2309" i="41"/>
  <c r="H2309" i="41" s="1"/>
  <c r="G2308" i="41"/>
  <c r="H2308" i="41" s="1"/>
  <c r="G2299" i="41"/>
  <c r="H2299" i="41" s="1"/>
  <c r="H2300" i="41" s="1"/>
  <c r="H2297" i="41"/>
  <c r="G2294" i="41"/>
  <c r="H2294" i="41" s="1"/>
  <c r="G2293" i="41"/>
  <c r="H2293" i="41" s="1"/>
  <c r="G2292" i="41"/>
  <c r="H2292" i="41" s="1"/>
  <c r="G2283" i="41"/>
  <c r="H2283" i="41" s="1"/>
  <c r="H2284" i="41" s="1"/>
  <c r="H2281" i="41"/>
  <c r="G2278" i="41"/>
  <c r="H2278" i="41" s="1"/>
  <c r="G2277" i="41"/>
  <c r="H2277" i="41" s="1"/>
  <c r="G2276" i="41"/>
  <c r="H2276" i="41" s="1"/>
  <c r="G2267" i="41"/>
  <c r="H2267" i="41" s="1"/>
  <c r="H2268" i="41" s="1"/>
  <c r="G2262" i="41"/>
  <c r="H2262" i="41" s="1"/>
  <c r="G2261" i="41"/>
  <c r="H2261" i="41" s="1"/>
  <c r="G2260" i="41"/>
  <c r="H2260" i="41" s="1"/>
  <c r="G2251" i="41"/>
  <c r="H2251" i="41" s="1"/>
  <c r="H2252" i="41" s="1"/>
  <c r="H2249" i="41"/>
  <c r="G2246" i="41"/>
  <c r="H2246" i="41" s="1"/>
  <c r="G2245" i="41"/>
  <c r="H2245" i="41" s="1"/>
  <c r="G2244" i="41"/>
  <c r="H2244" i="41" s="1"/>
  <c r="G2235" i="41"/>
  <c r="H2235" i="41" s="1"/>
  <c r="H2236" i="41" s="1"/>
  <c r="H2233" i="41"/>
  <c r="G2230" i="41"/>
  <c r="H2230" i="41" s="1"/>
  <c r="G2229" i="41"/>
  <c r="H2229" i="41" s="1"/>
  <c r="G2228" i="41"/>
  <c r="H2228" i="41" s="1"/>
  <c r="G2219" i="41"/>
  <c r="H2219" i="41" s="1"/>
  <c r="H2220" i="41" s="1"/>
  <c r="H2217" i="41"/>
  <c r="G2214" i="41"/>
  <c r="H2214" i="41" s="1"/>
  <c r="G2213" i="41"/>
  <c r="H2213" i="41" s="1"/>
  <c r="G2212" i="41"/>
  <c r="H2212" i="41" s="1"/>
  <c r="G2203" i="41"/>
  <c r="H2203" i="41" s="1"/>
  <c r="H2204" i="41" s="1"/>
  <c r="H2201" i="41"/>
  <c r="G2198" i="41"/>
  <c r="H2198" i="41" s="1"/>
  <c r="G2197" i="41"/>
  <c r="H2197" i="41" s="1"/>
  <c r="G2196" i="41"/>
  <c r="H2196" i="41" s="1"/>
  <c r="G2187" i="41"/>
  <c r="H2187" i="41" s="1"/>
  <c r="H2188" i="41" s="1"/>
  <c r="H2185" i="41"/>
  <c r="G2182" i="41"/>
  <c r="H2182" i="41" s="1"/>
  <c r="G2181" i="41"/>
  <c r="H2181" i="41" s="1"/>
  <c r="G2180" i="41"/>
  <c r="H2180" i="41" s="1"/>
  <c r="G2171" i="41"/>
  <c r="H2171" i="41" s="1"/>
  <c r="H2172" i="41" s="1"/>
  <c r="G2166" i="41"/>
  <c r="H2166" i="41" s="1"/>
  <c r="G2165" i="41"/>
  <c r="H2165" i="41" s="1"/>
  <c r="G2164" i="41"/>
  <c r="H2164" i="41" s="1"/>
  <c r="G2153" i="41"/>
  <c r="H2153" i="41" s="1"/>
  <c r="G2152" i="41"/>
  <c r="H2152" i="41" s="1"/>
  <c r="G2146" i="41"/>
  <c r="H2146" i="41" s="1"/>
  <c r="G2145" i="41"/>
  <c r="H2145" i="41" s="1"/>
  <c r="G2144" i="41"/>
  <c r="H2144" i="41" s="1"/>
  <c r="G2135" i="41"/>
  <c r="H2135" i="41" s="1"/>
  <c r="G2134" i="41"/>
  <c r="H2134" i="41" s="1"/>
  <c r="G2128" i="41"/>
  <c r="H2128" i="41" s="1"/>
  <c r="G2127" i="41"/>
  <c r="H2127" i="41" s="1"/>
  <c r="G2126" i="41"/>
  <c r="H2126" i="41" s="1"/>
  <c r="G2117" i="41"/>
  <c r="H2117" i="41" s="1"/>
  <c r="G2116" i="41"/>
  <c r="H2116" i="41" s="1"/>
  <c r="G2110" i="41"/>
  <c r="H2110" i="41" s="1"/>
  <c r="G2109" i="41"/>
  <c r="H2109" i="41" s="1"/>
  <c r="G2108" i="41"/>
  <c r="H2108" i="41" s="1"/>
  <c r="G2099" i="41"/>
  <c r="H2099" i="41" s="1"/>
  <c r="G2098" i="41"/>
  <c r="H2098" i="41" s="1"/>
  <c r="G2092" i="41"/>
  <c r="H2092" i="41" s="1"/>
  <c r="G2091" i="41"/>
  <c r="H2091" i="41" s="1"/>
  <c r="G2090" i="41"/>
  <c r="H2090" i="41" s="1"/>
  <c r="G2081" i="41"/>
  <c r="H2081" i="41" s="1"/>
  <c r="G2080" i="41"/>
  <c r="H2080" i="41" s="1"/>
  <c r="G2074" i="41"/>
  <c r="H2074" i="41" s="1"/>
  <c r="G2073" i="41"/>
  <c r="H2073" i="41" s="1"/>
  <c r="G2072" i="41"/>
  <c r="H2072" i="41" s="1"/>
  <c r="G2063" i="41"/>
  <c r="H2063" i="41" s="1"/>
  <c r="G2062" i="41"/>
  <c r="H2062" i="41" s="1"/>
  <c r="G2056" i="41"/>
  <c r="H2056" i="41" s="1"/>
  <c r="G2055" i="41"/>
  <c r="H2055" i="41" s="1"/>
  <c r="G2054" i="41"/>
  <c r="H2054" i="41" s="1"/>
  <c r="G2045" i="41"/>
  <c r="H2045" i="41" s="1"/>
  <c r="G2044" i="41"/>
  <c r="H2044" i="41" s="1"/>
  <c r="G2038" i="41"/>
  <c r="H2038" i="41" s="1"/>
  <c r="G2037" i="41"/>
  <c r="H2037" i="41" s="1"/>
  <c r="G2036" i="41"/>
  <c r="H2036" i="41" s="1"/>
  <c r="G2027" i="41"/>
  <c r="H2027" i="41" s="1"/>
  <c r="G2026" i="41"/>
  <c r="H2026" i="41" s="1"/>
  <c r="G2020" i="41"/>
  <c r="H2020" i="41" s="1"/>
  <c r="G2019" i="41"/>
  <c r="H2019" i="41" s="1"/>
  <c r="G2018" i="41"/>
  <c r="H2018" i="41" s="1"/>
  <c r="G2008" i="41"/>
  <c r="H2008" i="41" s="1"/>
  <c r="G2009" i="41"/>
  <c r="H2009" i="41" s="1"/>
  <c r="G2002" i="41"/>
  <c r="H2002" i="41" s="1"/>
  <c r="G2001" i="41"/>
  <c r="H2001" i="41" s="1"/>
  <c r="G2000" i="41"/>
  <c r="H2000" i="41" s="1"/>
  <c r="G1991" i="41"/>
  <c r="H1991" i="41" s="1"/>
  <c r="H1992" i="41" s="1"/>
  <c r="G1985" i="41"/>
  <c r="H1985" i="41" s="1"/>
  <c r="G1984" i="41"/>
  <c r="H1984" i="41" s="1"/>
  <c r="G1983" i="41"/>
  <c r="H1983" i="41" s="1"/>
  <c r="G1974" i="41"/>
  <c r="H1974" i="41" s="1"/>
  <c r="H1975" i="41" s="1"/>
  <c r="G1968" i="41"/>
  <c r="H1968" i="41" s="1"/>
  <c r="G1967" i="41"/>
  <c r="H1967" i="41" s="1"/>
  <c r="G1966" i="41"/>
  <c r="H1966" i="41" s="1"/>
  <c r="G1957" i="41"/>
  <c r="H1957" i="41" s="1"/>
  <c r="H1958" i="41" s="1"/>
  <c r="G1951" i="41"/>
  <c r="H1951" i="41" s="1"/>
  <c r="G1950" i="41"/>
  <c r="H1950" i="41" s="1"/>
  <c r="G1949" i="41"/>
  <c r="H1949" i="41" s="1"/>
  <c r="G1940" i="41"/>
  <c r="H1940" i="41" s="1"/>
  <c r="H1941" i="41" s="1"/>
  <c r="G1934" i="41"/>
  <c r="H1934" i="41" s="1"/>
  <c r="G1933" i="41"/>
  <c r="H1933" i="41" s="1"/>
  <c r="G1932" i="41"/>
  <c r="H1932" i="41" s="1"/>
  <c r="G1923" i="41"/>
  <c r="H1923" i="41" s="1"/>
  <c r="H1924" i="41" s="1"/>
  <c r="G1917" i="41"/>
  <c r="H1917" i="41" s="1"/>
  <c r="G1916" i="41"/>
  <c r="H1916" i="41" s="1"/>
  <c r="G1915" i="41"/>
  <c r="H1915" i="41" s="1"/>
  <c r="G1906" i="41"/>
  <c r="H1906" i="41" s="1"/>
  <c r="H1907" i="41" s="1"/>
  <c r="G1900" i="41"/>
  <c r="H1900" i="41" s="1"/>
  <c r="G1899" i="41"/>
  <c r="H1899" i="41" s="1"/>
  <c r="G1898" i="41"/>
  <c r="H1898" i="41" s="1"/>
  <c r="G1887" i="41"/>
  <c r="H1887" i="41" s="1"/>
  <c r="H1888" i="41" s="1"/>
  <c r="H1885" i="41"/>
  <c r="G1882" i="41"/>
  <c r="H1882" i="41" s="1"/>
  <c r="G1881" i="41"/>
  <c r="H1881" i="41" s="1"/>
  <c r="G1880" i="41"/>
  <c r="H1880" i="41" s="1"/>
  <c r="G1871" i="41"/>
  <c r="H1871" i="41" s="1"/>
  <c r="H1872" i="41" s="1"/>
  <c r="H1869" i="41"/>
  <c r="G1866" i="41"/>
  <c r="H1866" i="41" s="1"/>
  <c r="G1865" i="41"/>
  <c r="H1865" i="41" s="1"/>
  <c r="G1864" i="41"/>
  <c r="H1864" i="41" s="1"/>
  <c r="G1855" i="41"/>
  <c r="H1855" i="41" s="1"/>
  <c r="H1856" i="41" s="1"/>
  <c r="H1853" i="41"/>
  <c r="G1850" i="41"/>
  <c r="H1850" i="41" s="1"/>
  <c r="G1849" i="41"/>
  <c r="H1849" i="41" s="1"/>
  <c r="G1848" i="41"/>
  <c r="H1848" i="41" s="1"/>
  <c r="G1838" i="41"/>
  <c r="H1838" i="41" s="1"/>
  <c r="H1839" i="41" s="1"/>
  <c r="G1833" i="41"/>
  <c r="H1833" i="41" s="1"/>
  <c r="G1832" i="41"/>
  <c r="H1832" i="41" s="1"/>
  <c r="G1831" i="41"/>
  <c r="H1831" i="41" s="1"/>
  <c r="G1822" i="41"/>
  <c r="H1822" i="41" s="1"/>
  <c r="H1823" i="41" s="1"/>
  <c r="H1820" i="41"/>
  <c r="G1817" i="41"/>
  <c r="H1817" i="41" s="1"/>
  <c r="G1816" i="41"/>
  <c r="H1816" i="41" s="1"/>
  <c r="G1815" i="41"/>
  <c r="H1815" i="41" s="1"/>
  <c r="G1806" i="41"/>
  <c r="H1806" i="41" s="1"/>
  <c r="H1807" i="41" s="1"/>
  <c r="H1804" i="41"/>
  <c r="G1801" i="41"/>
  <c r="H1801" i="41" s="1"/>
  <c r="G1800" i="41"/>
  <c r="H1800" i="41" s="1"/>
  <c r="G1799" i="41"/>
  <c r="H1799" i="41" s="1"/>
  <c r="G1790" i="41"/>
  <c r="H1790" i="41" s="1"/>
  <c r="H1791" i="41" s="1"/>
  <c r="G1785" i="41"/>
  <c r="H1785" i="41" s="1"/>
  <c r="G1784" i="41"/>
  <c r="H1784" i="41" s="1"/>
  <c r="G1783" i="41"/>
  <c r="H1783" i="41" s="1"/>
  <c r="G1774" i="41"/>
  <c r="H1774" i="41" s="1"/>
  <c r="H1775" i="41" s="1"/>
  <c r="H1772" i="41"/>
  <c r="G1769" i="41"/>
  <c r="H1769" i="41" s="1"/>
  <c r="G1768" i="41"/>
  <c r="H1768" i="41" s="1"/>
  <c r="G1767" i="41"/>
  <c r="H1767" i="41" s="1"/>
  <c r="G1758" i="41"/>
  <c r="H1758" i="41" s="1"/>
  <c r="H1759" i="41" s="1"/>
  <c r="G1753" i="41"/>
  <c r="H1753" i="41" s="1"/>
  <c r="G1752" i="41"/>
  <c r="H1752" i="41" s="1"/>
  <c r="G1751" i="41"/>
  <c r="H1751" i="41" s="1"/>
  <c r="G1742" i="41"/>
  <c r="H1742" i="41" s="1"/>
  <c r="H1743" i="41" s="1"/>
  <c r="H1740" i="41"/>
  <c r="G1737" i="41"/>
  <c r="H1737" i="41" s="1"/>
  <c r="G1736" i="41"/>
  <c r="H1736" i="41" s="1"/>
  <c r="G1735" i="41"/>
  <c r="H1735" i="41" s="1"/>
  <c r="G1726" i="41"/>
  <c r="H1726" i="41" s="1"/>
  <c r="H1727" i="41" s="1"/>
  <c r="G1721" i="41"/>
  <c r="H1721" i="41" s="1"/>
  <c r="G1720" i="41"/>
  <c r="H1720" i="41" s="1"/>
  <c r="G1719" i="41"/>
  <c r="H1719" i="41" s="1"/>
  <c r="G1710" i="41"/>
  <c r="H1710" i="41" s="1"/>
  <c r="H1711" i="41" s="1"/>
  <c r="G1705" i="41"/>
  <c r="H1705" i="41" s="1"/>
  <c r="G1704" i="41"/>
  <c r="H1704" i="41" s="1"/>
  <c r="G1703" i="41"/>
  <c r="H1703" i="41" s="1"/>
  <c r="G1694" i="41"/>
  <c r="H1694" i="41" s="1"/>
  <c r="H1695" i="41" s="1"/>
  <c r="H1692" i="41"/>
  <c r="G1689" i="41"/>
  <c r="H1689" i="41" s="1"/>
  <c r="G1688" i="41"/>
  <c r="H1688" i="41" s="1"/>
  <c r="G1687" i="41"/>
  <c r="H1687" i="41" s="1"/>
  <c r="G1678" i="41"/>
  <c r="H1678" i="41" s="1"/>
  <c r="H1679" i="41" s="1"/>
  <c r="G1673" i="41"/>
  <c r="H1673" i="41" s="1"/>
  <c r="G1672" i="41"/>
  <c r="H1672" i="41" s="1"/>
  <c r="G1671" i="41"/>
  <c r="H1671" i="41" s="1"/>
  <c r="G1662" i="41"/>
  <c r="H1662" i="41" s="1"/>
  <c r="H1663" i="41" s="1"/>
  <c r="H1660" i="41"/>
  <c r="G1657" i="41"/>
  <c r="H1657" i="41" s="1"/>
  <c r="G1656" i="41"/>
  <c r="H1656" i="41" s="1"/>
  <c r="G1655" i="41"/>
  <c r="H1655" i="41" s="1"/>
  <c r="G1646" i="41"/>
  <c r="H1646" i="41" s="1"/>
  <c r="H1647" i="41" s="1"/>
  <c r="G1641" i="41"/>
  <c r="H1641" i="41" s="1"/>
  <c r="G1640" i="41"/>
  <c r="H1640" i="41" s="1"/>
  <c r="G1639" i="41"/>
  <c r="H1639" i="41" s="1"/>
  <c r="H1630" i="41"/>
  <c r="G1624" i="41"/>
  <c r="H1624" i="41" s="1"/>
  <c r="G1623" i="41"/>
  <c r="H1623" i="41" s="1"/>
  <c r="G1622" i="41"/>
  <c r="H1622" i="41" s="1"/>
  <c r="H1614" i="41"/>
  <c r="G1611" i="41"/>
  <c r="H1611" i="41" s="1"/>
  <c r="H1612" i="41" s="1"/>
  <c r="G1608" i="41"/>
  <c r="H1608" i="41" s="1"/>
  <c r="G1607" i="41"/>
  <c r="H1607" i="41" s="1"/>
  <c r="G1606" i="41"/>
  <c r="H1606" i="41" s="1"/>
  <c r="H1598" i="41"/>
  <c r="G1595" i="41"/>
  <c r="H1595" i="41" s="1"/>
  <c r="H1596" i="41" s="1"/>
  <c r="G1592" i="41"/>
  <c r="H1592" i="41" s="1"/>
  <c r="G1591" i="41"/>
  <c r="H1591" i="41" s="1"/>
  <c r="G1590" i="41"/>
  <c r="H1590" i="41" s="1"/>
  <c r="H1582" i="41"/>
  <c r="G1576" i="41"/>
  <c r="H1576" i="41" s="1"/>
  <c r="G1575" i="41"/>
  <c r="H1575" i="41" s="1"/>
  <c r="G1574" i="41"/>
  <c r="H1574" i="41" s="1"/>
  <c r="H1549" i="41"/>
  <c r="H1565" i="41"/>
  <c r="G1559" i="41"/>
  <c r="H1559" i="41" s="1"/>
  <c r="G1558" i="41"/>
  <c r="H1558" i="41" s="1"/>
  <c r="G1557" i="41"/>
  <c r="H1557" i="41" s="1"/>
  <c r="G1543" i="41"/>
  <c r="H1543" i="41" s="1"/>
  <c r="G1542" i="41"/>
  <c r="H1542" i="41" s="1"/>
  <c r="G1541" i="41"/>
  <c r="H1541" i="41" s="1"/>
  <c r="H365" i="1"/>
  <c r="G1526" i="41"/>
  <c r="H1526" i="41" s="1"/>
  <c r="G1525" i="41"/>
  <c r="H1525" i="41" s="1"/>
  <c r="G1524" i="41"/>
  <c r="H1524" i="41" s="1"/>
  <c r="G1509" i="41"/>
  <c r="H1509" i="41" s="1"/>
  <c r="G1508" i="41"/>
  <c r="H1508" i="41" s="1"/>
  <c r="G1507" i="41"/>
  <c r="H1507" i="41" s="1"/>
  <c r="G1492" i="41"/>
  <c r="H1492" i="41" s="1"/>
  <c r="G1491" i="41"/>
  <c r="H1491" i="41" s="1"/>
  <c r="G1490" i="41"/>
  <c r="H1490" i="41" s="1"/>
  <c r="G1475" i="41"/>
  <c r="H1475" i="41" s="1"/>
  <c r="G1474" i="41"/>
  <c r="H1474" i="41" s="1"/>
  <c r="G1473" i="41"/>
  <c r="H1473" i="41" s="1"/>
  <c r="G1458" i="41"/>
  <c r="H1458" i="41" s="1"/>
  <c r="G1457" i="41"/>
  <c r="H1457" i="41" s="1"/>
  <c r="G1456" i="41"/>
  <c r="H1456" i="41" s="1"/>
  <c r="G1441" i="41"/>
  <c r="H1441" i="41" s="1"/>
  <c r="G1440" i="41"/>
  <c r="H1440" i="41" s="1"/>
  <c r="G1439" i="41"/>
  <c r="H1439" i="41" s="1"/>
  <c r="G1424" i="41"/>
  <c r="H1424" i="41" s="1"/>
  <c r="G1423" i="41"/>
  <c r="H1423" i="41" s="1"/>
  <c r="G1422" i="41"/>
  <c r="H1422" i="41" s="1"/>
  <c r="G1407" i="41"/>
  <c r="H1407" i="41" s="1"/>
  <c r="G1406" i="41"/>
  <c r="H1406" i="41" s="1"/>
  <c r="G1405" i="41"/>
  <c r="H1405" i="41" s="1"/>
  <c r="G1390" i="41"/>
  <c r="H1390" i="41" s="1"/>
  <c r="G1389" i="41"/>
  <c r="H1389" i="41" s="1"/>
  <c r="G1388" i="41"/>
  <c r="H1388" i="41" s="1"/>
  <c r="G1373" i="41"/>
  <c r="H1373" i="41" s="1"/>
  <c r="G1372" i="41"/>
  <c r="H1372" i="41" s="1"/>
  <c r="G1371" i="41"/>
  <c r="H1371" i="41" s="1"/>
  <c r="G1355" i="41"/>
  <c r="H1355" i="41" s="1"/>
  <c r="G1354" i="41"/>
  <c r="H1354" i="41" s="1"/>
  <c r="G1353" i="41"/>
  <c r="H1353" i="41" s="1"/>
  <c r="G1338" i="41"/>
  <c r="H1338" i="41" s="1"/>
  <c r="G1337" i="41"/>
  <c r="H1337" i="41" s="1"/>
  <c r="G1336" i="41"/>
  <c r="H1336" i="41" s="1"/>
  <c r="G1321" i="41"/>
  <c r="H1321" i="41" s="1"/>
  <c r="G1320" i="41"/>
  <c r="H1320" i="41" s="1"/>
  <c r="G1319" i="41"/>
  <c r="H1319" i="41" s="1"/>
  <c r="G1303" i="41"/>
  <c r="H1303" i="41" s="1"/>
  <c r="G1302" i="41"/>
  <c r="H1302" i="41" s="1"/>
  <c r="G1301" i="41"/>
  <c r="H1301" i="41" s="1"/>
  <c r="G1286" i="41"/>
  <c r="H1286" i="41" s="1"/>
  <c r="G1285" i="41"/>
  <c r="H1285" i="41" s="1"/>
  <c r="G1284" i="41"/>
  <c r="H1284" i="41" s="1"/>
  <c r="G1269" i="41"/>
  <c r="H1269" i="41" s="1"/>
  <c r="G1268" i="41"/>
  <c r="H1268" i="41" s="1"/>
  <c r="G1267" i="41"/>
  <c r="H1267" i="41" s="1"/>
  <c r="H1254" i="41"/>
  <c r="G1251" i="41"/>
  <c r="H1251" i="41" s="1"/>
  <c r="G1250" i="41"/>
  <c r="H1250" i="41" s="1"/>
  <c r="G1249" i="41"/>
  <c r="H1249" i="41" s="1"/>
  <c r="H1238" i="41"/>
  <c r="G1235" i="41"/>
  <c r="H1235" i="41" s="1"/>
  <c r="G1234" i="41"/>
  <c r="H1234" i="41" s="1"/>
  <c r="G1233" i="41"/>
  <c r="H1233" i="41" s="1"/>
  <c r="H1221" i="41"/>
  <c r="G1218" i="41"/>
  <c r="H1218" i="41" s="1"/>
  <c r="G1217" i="41"/>
  <c r="H1217" i="41" s="1"/>
  <c r="G1216" i="41"/>
  <c r="H1216" i="41" s="1"/>
  <c r="H1205" i="41"/>
  <c r="G1202" i="41"/>
  <c r="H1202" i="41" s="1"/>
  <c r="G1201" i="41"/>
  <c r="H1201" i="41" s="1"/>
  <c r="G1200" i="41"/>
  <c r="H1200" i="41" s="1"/>
  <c r="H1189" i="41"/>
  <c r="G1186" i="41"/>
  <c r="H1186" i="41" s="1"/>
  <c r="G1185" i="41"/>
  <c r="H1185" i="41" s="1"/>
  <c r="G1184" i="41"/>
  <c r="H1184" i="41" s="1"/>
  <c r="H1173" i="41"/>
  <c r="G1170" i="41"/>
  <c r="H1170" i="41" s="1"/>
  <c r="G1169" i="41"/>
  <c r="H1169" i="41" s="1"/>
  <c r="G1168" i="41"/>
  <c r="H1168" i="41" s="1"/>
  <c r="H1157" i="41"/>
  <c r="G1154" i="41"/>
  <c r="H1154" i="41" s="1"/>
  <c r="G1153" i="41"/>
  <c r="H1153" i="41" s="1"/>
  <c r="G1152" i="41"/>
  <c r="H1152" i="41" s="1"/>
  <c r="H1141" i="41"/>
  <c r="G1138" i="41"/>
  <c r="H1138" i="41" s="1"/>
  <c r="G1137" i="41"/>
  <c r="H1137" i="41" s="1"/>
  <c r="G1136" i="41"/>
  <c r="H1136" i="41" s="1"/>
  <c r="H1125" i="41"/>
  <c r="G1122" i="41"/>
  <c r="H1122" i="41" s="1"/>
  <c r="G1121" i="41"/>
  <c r="H1121" i="41" s="1"/>
  <c r="G1120" i="41"/>
  <c r="H1120" i="41" s="1"/>
  <c r="H1109" i="41"/>
  <c r="G1106" i="41"/>
  <c r="H1106" i="41" s="1"/>
  <c r="G1105" i="41"/>
  <c r="H1105" i="41" s="1"/>
  <c r="G1104" i="41"/>
  <c r="H1104" i="41" s="1"/>
  <c r="H1093" i="41"/>
  <c r="G1090" i="41"/>
  <c r="H1090" i="41" s="1"/>
  <c r="G1089" i="41"/>
  <c r="H1089" i="41" s="1"/>
  <c r="G1088" i="41"/>
  <c r="H1088" i="41" s="1"/>
  <c r="H1077" i="41"/>
  <c r="G1074" i="41"/>
  <c r="H1074" i="41" s="1"/>
  <c r="G1073" i="41"/>
  <c r="H1073" i="41" s="1"/>
  <c r="G1072" i="41"/>
  <c r="H1072" i="41" s="1"/>
  <c r="H1061" i="41"/>
  <c r="G1058" i="41"/>
  <c r="H1058" i="41" s="1"/>
  <c r="G1057" i="41"/>
  <c r="H1057" i="41" s="1"/>
  <c r="G1056" i="41"/>
  <c r="H1056" i="41" s="1"/>
  <c r="H1045" i="41"/>
  <c r="G1042" i="41"/>
  <c r="H1042" i="41" s="1"/>
  <c r="G1041" i="41"/>
  <c r="H1041" i="41" s="1"/>
  <c r="G1040" i="41"/>
  <c r="H1040" i="41" s="1"/>
  <c r="H1029" i="41"/>
  <c r="G1026" i="41"/>
  <c r="H1026" i="41" s="1"/>
  <c r="G1025" i="41"/>
  <c r="H1025" i="41" s="1"/>
  <c r="G1024" i="41"/>
  <c r="H1024" i="41" s="1"/>
  <c r="H1013" i="41"/>
  <c r="G1010" i="41"/>
  <c r="H1010" i="41" s="1"/>
  <c r="G1009" i="41"/>
  <c r="H1009" i="41" s="1"/>
  <c r="G1008" i="41"/>
  <c r="H1008" i="41" s="1"/>
  <c r="G991" i="41"/>
  <c r="H991" i="41" s="1"/>
  <c r="G992" i="41"/>
  <c r="H992" i="41" s="1"/>
  <c r="G993" i="41"/>
  <c r="H993" i="41" s="1"/>
  <c r="H999" i="41"/>
  <c r="H983" i="41"/>
  <c r="G977" i="41"/>
  <c r="H977" i="41" s="1"/>
  <c r="G976" i="41"/>
  <c r="H976" i="41" s="1"/>
  <c r="G975" i="41"/>
  <c r="H975" i="41" s="1"/>
  <c r="H967" i="41"/>
  <c r="G961" i="41"/>
  <c r="H961" i="41" s="1"/>
  <c r="G960" i="41"/>
  <c r="H960" i="41" s="1"/>
  <c r="G959" i="41"/>
  <c r="H959" i="41" s="1"/>
  <c r="H951" i="41"/>
  <c r="G945" i="41"/>
  <c r="H945" i="41" s="1"/>
  <c r="G944" i="41"/>
  <c r="H944" i="41" s="1"/>
  <c r="G943" i="41"/>
  <c r="H943" i="41" s="1"/>
  <c r="H935" i="41"/>
  <c r="G929" i="41"/>
  <c r="H929" i="41" s="1"/>
  <c r="G928" i="41"/>
  <c r="H928" i="41" s="1"/>
  <c r="G927" i="41"/>
  <c r="H927" i="41" s="1"/>
  <c r="H918" i="41"/>
  <c r="G912" i="41"/>
  <c r="H912" i="41" s="1"/>
  <c r="G911" i="41"/>
  <c r="H911" i="41" s="1"/>
  <c r="G910" i="41"/>
  <c r="H910" i="41" s="1"/>
  <c r="G895" i="41"/>
  <c r="H895" i="41" s="1"/>
  <c r="G894" i="41"/>
  <c r="H894" i="41" s="1"/>
  <c r="G893" i="41"/>
  <c r="H893" i="41" s="1"/>
  <c r="G878" i="41"/>
  <c r="H878" i="41" s="1"/>
  <c r="G877" i="41"/>
  <c r="H877" i="41" s="1"/>
  <c r="G876" i="41"/>
  <c r="H876" i="41" s="1"/>
  <c r="G861" i="41"/>
  <c r="H861" i="41" s="1"/>
  <c r="G860" i="41"/>
  <c r="H860" i="41" s="1"/>
  <c r="G859" i="41"/>
  <c r="H859" i="41" s="1"/>
  <c r="G843" i="41"/>
  <c r="H843" i="41" s="1"/>
  <c r="G842" i="41"/>
  <c r="H842" i="41" s="1"/>
  <c r="G841" i="41"/>
  <c r="H841" i="41" s="1"/>
  <c r="G826" i="41"/>
  <c r="H826" i="41" s="1"/>
  <c r="G825" i="41"/>
  <c r="H825" i="41" s="1"/>
  <c r="G824" i="41"/>
  <c r="H824" i="41" s="1"/>
  <c r="G809" i="41"/>
  <c r="H809" i="41" s="1"/>
  <c r="G808" i="41"/>
  <c r="H808" i="41" s="1"/>
  <c r="G807" i="41"/>
  <c r="H807" i="41" s="1"/>
  <c r="G792" i="41"/>
  <c r="H792" i="41" s="1"/>
  <c r="G791" i="41"/>
  <c r="H791" i="41" s="1"/>
  <c r="G790" i="41"/>
  <c r="H790" i="41" s="1"/>
  <c r="G775" i="41"/>
  <c r="H775" i="41" s="1"/>
  <c r="G774" i="41"/>
  <c r="H774" i="41" s="1"/>
  <c r="G773" i="41"/>
  <c r="H773" i="41" s="1"/>
  <c r="G758" i="41"/>
  <c r="H758" i="41" s="1"/>
  <c r="G757" i="41"/>
  <c r="H757" i="41" s="1"/>
  <c r="G756" i="41"/>
  <c r="H756" i="41" s="1"/>
  <c r="G740" i="41"/>
  <c r="H740" i="41" s="1"/>
  <c r="G739" i="41"/>
  <c r="H739" i="41" s="1"/>
  <c r="G738" i="41"/>
  <c r="H738" i="41" s="1"/>
  <c r="G723" i="41"/>
  <c r="H723" i="41" s="1"/>
  <c r="G722" i="41"/>
  <c r="H722" i="41" s="1"/>
  <c r="G721" i="41"/>
  <c r="H721" i="41" s="1"/>
  <c r="G705" i="41"/>
  <c r="H705" i="41" s="1"/>
  <c r="G704" i="41"/>
  <c r="H704" i="41" s="1"/>
  <c r="G703" i="41"/>
  <c r="H703" i="41" s="1"/>
  <c r="G688" i="41"/>
  <c r="H688" i="41" s="1"/>
  <c r="G687" i="41"/>
  <c r="H687" i="41" s="1"/>
  <c r="G686" i="41"/>
  <c r="H686" i="41" s="1"/>
  <c r="G671" i="41"/>
  <c r="H671" i="41" s="1"/>
  <c r="G670" i="41"/>
  <c r="H670" i="41" s="1"/>
  <c r="G669" i="41"/>
  <c r="H669" i="41" s="1"/>
  <c r="G654" i="41"/>
  <c r="H654" i="41" s="1"/>
  <c r="G653" i="41"/>
  <c r="H653" i="41" s="1"/>
  <c r="G652" i="41"/>
  <c r="H652" i="41" s="1"/>
  <c r="G637" i="41"/>
  <c r="H637" i="41" s="1"/>
  <c r="G636" i="41"/>
  <c r="H636" i="41" s="1"/>
  <c r="G635" i="41"/>
  <c r="H635" i="41" s="1"/>
  <c r="H622" i="41"/>
  <c r="G619" i="41"/>
  <c r="H619" i="41" s="1"/>
  <c r="G618" i="41"/>
  <c r="H618" i="41" s="1"/>
  <c r="G617" i="41"/>
  <c r="H617" i="41" s="1"/>
  <c r="H606" i="41"/>
  <c r="G603" i="41"/>
  <c r="H603" i="41" s="1"/>
  <c r="G602" i="41"/>
  <c r="H602" i="41" s="1"/>
  <c r="G601" i="41"/>
  <c r="H601" i="41" s="1"/>
  <c r="H590" i="41"/>
  <c r="G587" i="41"/>
  <c r="H587" i="41" s="1"/>
  <c r="G586" i="41"/>
  <c r="H586" i="41" s="1"/>
  <c r="G585" i="41"/>
  <c r="H585" i="41" s="1"/>
  <c r="H574" i="41"/>
  <c r="G571" i="41"/>
  <c r="H571" i="41" s="1"/>
  <c r="G570" i="41"/>
  <c r="H570" i="41" s="1"/>
  <c r="G569" i="41"/>
  <c r="H569" i="41" s="1"/>
  <c r="H558" i="41"/>
  <c r="G555" i="41"/>
  <c r="H555" i="41" s="1"/>
  <c r="G554" i="41"/>
  <c r="H554" i="41" s="1"/>
  <c r="G553" i="41"/>
  <c r="H553" i="41" s="1"/>
  <c r="H542" i="41"/>
  <c r="G539" i="41"/>
  <c r="H539" i="41" s="1"/>
  <c r="G538" i="41"/>
  <c r="H538" i="41" s="1"/>
  <c r="G537" i="41"/>
  <c r="H537" i="41" s="1"/>
  <c r="H526" i="41"/>
  <c r="G523" i="41"/>
  <c r="H523" i="41" s="1"/>
  <c r="G522" i="41"/>
  <c r="H522" i="41" s="1"/>
  <c r="G521" i="41"/>
  <c r="H521" i="41" s="1"/>
  <c r="H510" i="41"/>
  <c r="G507" i="41"/>
  <c r="H507" i="41" s="1"/>
  <c r="G506" i="41"/>
  <c r="H506" i="41" s="1"/>
  <c r="G505" i="41"/>
  <c r="H505" i="41" s="1"/>
  <c r="H494" i="41"/>
  <c r="G491" i="41"/>
  <c r="H491" i="41" s="1"/>
  <c r="G490" i="41"/>
  <c r="H490" i="41" s="1"/>
  <c r="G489" i="41"/>
  <c r="H489" i="41" s="1"/>
  <c r="H478" i="41"/>
  <c r="G475" i="41"/>
  <c r="H475" i="41" s="1"/>
  <c r="G474" i="41"/>
  <c r="H474" i="41" s="1"/>
  <c r="G473" i="41"/>
  <c r="H473" i="41" s="1"/>
  <c r="H462" i="41"/>
  <c r="G459" i="41"/>
  <c r="H459" i="41" s="1"/>
  <c r="G458" i="41"/>
  <c r="H458" i="41" s="1"/>
  <c r="G457" i="41"/>
  <c r="H457" i="41" s="1"/>
  <c r="H445" i="41"/>
  <c r="G442" i="41"/>
  <c r="H442" i="41" s="1"/>
  <c r="G441" i="41"/>
  <c r="H441" i="41" s="1"/>
  <c r="G440" i="41"/>
  <c r="H440" i="41" s="1"/>
  <c r="H428" i="41"/>
  <c r="G425" i="41"/>
  <c r="H425" i="41" s="1"/>
  <c r="G424" i="41"/>
  <c r="H424" i="41" s="1"/>
  <c r="G423" i="41"/>
  <c r="H423" i="41" s="1"/>
  <c r="H411" i="41"/>
  <c r="G408" i="41"/>
  <c r="H408" i="41" s="1"/>
  <c r="G407" i="41"/>
  <c r="H407" i="41" s="1"/>
  <c r="G406" i="41"/>
  <c r="H406" i="41" s="1"/>
  <c r="H395" i="41"/>
  <c r="G392" i="41"/>
  <c r="H392" i="41" s="1"/>
  <c r="G391" i="41"/>
  <c r="H391" i="41" s="1"/>
  <c r="G390" i="41"/>
  <c r="H390" i="41" s="1"/>
  <c r="G376" i="41"/>
  <c r="H376" i="41" s="1"/>
  <c r="G375" i="41"/>
  <c r="H375" i="41" s="1"/>
  <c r="G374" i="41"/>
  <c r="H374" i="41" s="1"/>
  <c r="H365" i="41"/>
  <c r="G359" i="41"/>
  <c r="H359" i="41" s="1"/>
  <c r="G358" i="41"/>
  <c r="H358" i="41" s="1"/>
  <c r="G357" i="41"/>
  <c r="H357" i="41" s="1"/>
  <c r="H349" i="41"/>
  <c r="G343" i="41"/>
  <c r="H343" i="41" s="1"/>
  <c r="G342" i="41"/>
  <c r="H342" i="41" s="1"/>
  <c r="G341" i="41"/>
  <c r="H341" i="41" s="1"/>
  <c r="H333" i="41"/>
  <c r="G327" i="41"/>
  <c r="H327" i="41" s="1"/>
  <c r="G326" i="41"/>
  <c r="H326" i="41" s="1"/>
  <c r="G325" i="41"/>
  <c r="H325" i="41" s="1"/>
  <c r="H317" i="41"/>
  <c r="G311" i="41"/>
  <c r="H311" i="41" s="1"/>
  <c r="G310" i="41"/>
  <c r="H310" i="41" s="1"/>
  <c r="G309" i="41"/>
  <c r="H309" i="41" s="1"/>
  <c r="H301" i="41"/>
  <c r="G295" i="41"/>
  <c r="H295" i="41" s="1"/>
  <c r="G294" i="41"/>
  <c r="H294" i="41" s="1"/>
  <c r="G293" i="41"/>
  <c r="H293" i="41" s="1"/>
  <c r="G279" i="41"/>
  <c r="H279" i="41" s="1"/>
  <c r="G278" i="41"/>
  <c r="H278" i="41" s="1"/>
  <c r="G277" i="41"/>
  <c r="H277" i="41" s="1"/>
  <c r="G262" i="41"/>
  <c r="H262" i="41" s="1"/>
  <c r="G261" i="41"/>
  <c r="H261" i="41" s="1"/>
  <c r="G260" i="41"/>
  <c r="H260" i="41" s="1"/>
  <c r="G245" i="41"/>
  <c r="H245" i="41" s="1"/>
  <c r="G244" i="41"/>
  <c r="H244" i="41" s="1"/>
  <c r="G243" i="41"/>
  <c r="H243" i="41" s="1"/>
  <c r="G227" i="41"/>
  <c r="H227" i="41" s="1"/>
  <c r="G226" i="41"/>
  <c r="H226" i="41" s="1"/>
  <c r="G225" i="41"/>
  <c r="H225" i="41" s="1"/>
  <c r="G210" i="41"/>
  <c r="H210" i="41" s="1"/>
  <c r="G209" i="41"/>
  <c r="H209" i="41" s="1"/>
  <c r="G208" i="41"/>
  <c r="H208" i="41" s="1"/>
  <c r="G193" i="41"/>
  <c r="H193" i="41" s="1"/>
  <c r="G192" i="41"/>
  <c r="H192" i="41" s="1"/>
  <c r="G191" i="41"/>
  <c r="H191" i="41" s="1"/>
  <c r="G176" i="41"/>
  <c r="H176" i="41" s="1"/>
  <c r="G175" i="41"/>
  <c r="H175" i="41" s="1"/>
  <c r="G174" i="41"/>
  <c r="H174" i="41" s="1"/>
  <c r="G159" i="41"/>
  <c r="H159" i="41" s="1"/>
  <c r="G158" i="41"/>
  <c r="H158" i="41" s="1"/>
  <c r="G157" i="41"/>
  <c r="H157" i="41" s="1"/>
  <c r="G141" i="41"/>
  <c r="H141" i="41" s="1"/>
  <c r="G140" i="41"/>
  <c r="H140" i="41" s="1"/>
  <c r="G139" i="41"/>
  <c r="H139" i="41" s="1"/>
  <c r="G124" i="41"/>
  <c r="H124" i="41" s="1"/>
  <c r="G123" i="41"/>
  <c r="H123" i="41" s="1"/>
  <c r="G122" i="41"/>
  <c r="H122" i="41" s="1"/>
  <c r="G107" i="41"/>
  <c r="H107" i="41" s="1"/>
  <c r="G106" i="41"/>
  <c r="H106" i="41" s="1"/>
  <c r="G105" i="41"/>
  <c r="H105" i="41" s="1"/>
  <c r="G90" i="41"/>
  <c r="H90" i="41" s="1"/>
  <c r="G89" i="41"/>
  <c r="H89" i="41" s="1"/>
  <c r="G88" i="41"/>
  <c r="H88" i="41" s="1"/>
  <c r="H80" i="41"/>
  <c r="G74" i="41"/>
  <c r="H74" i="41" s="1"/>
  <c r="G73" i="41"/>
  <c r="H73" i="41" s="1"/>
  <c r="G72" i="41"/>
  <c r="H72" i="41" s="1"/>
  <c r="H64" i="41"/>
  <c r="G58" i="41"/>
  <c r="H58" i="41" s="1"/>
  <c r="G57" i="41"/>
  <c r="H57" i="41" s="1"/>
  <c r="G56" i="41"/>
  <c r="H56" i="41" s="1"/>
  <c r="H48" i="41"/>
  <c r="G42" i="41"/>
  <c r="H42" i="41" s="1"/>
  <c r="G41" i="41"/>
  <c r="H41" i="41" s="1"/>
  <c r="G40" i="41"/>
  <c r="H40" i="41" s="1"/>
  <c r="G26" i="41"/>
  <c r="H26" i="41" s="1"/>
  <c r="G25" i="41"/>
  <c r="H25" i="41" s="1"/>
  <c r="G24" i="41"/>
  <c r="H24" i="41" s="1"/>
  <c r="G10" i="41"/>
  <c r="H10" i="41" s="1"/>
  <c r="G9" i="41"/>
  <c r="H9" i="41" s="1"/>
  <c r="G8" i="41"/>
  <c r="H8" i="41" s="1"/>
  <c r="G1769" i="40"/>
  <c r="H1769" i="40" s="1"/>
  <c r="G1768" i="40"/>
  <c r="H1768" i="40" s="1"/>
  <c r="G1767" i="40"/>
  <c r="H1767" i="40" s="1"/>
  <c r="G1764" i="40"/>
  <c r="H1764" i="40" s="1"/>
  <c r="G1763" i="40"/>
  <c r="H1763" i="40" s="1"/>
  <c r="G1762" i="40"/>
  <c r="H1762" i="40" s="1"/>
  <c r="G1750" i="40"/>
  <c r="H1750" i="40" s="1"/>
  <c r="G1749" i="40"/>
  <c r="H1749" i="40" s="1"/>
  <c r="G1748" i="40"/>
  <c r="H1748" i="40" s="1"/>
  <c r="G1745" i="40"/>
  <c r="H1745" i="40" s="1"/>
  <c r="G1744" i="40"/>
  <c r="H1744" i="40" s="1"/>
  <c r="G1743" i="40"/>
  <c r="H1743" i="40" s="1"/>
  <c r="G1730" i="40"/>
  <c r="H1730" i="40" s="1"/>
  <c r="G1729" i="40"/>
  <c r="H1729" i="40" s="1"/>
  <c r="G1728" i="40"/>
  <c r="H1728" i="40" s="1"/>
  <c r="G1725" i="40"/>
  <c r="H1725" i="40" s="1"/>
  <c r="G1724" i="40"/>
  <c r="H1724" i="40" s="1"/>
  <c r="G1723" i="40"/>
  <c r="H1723" i="40" s="1"/>
  <c r="G1711" i="40"/>
  <c r="H1711" i="40" s="1"/>
  <c r="G1710" i="40"/>
  <c r="H1710" i="40" s="1"/>
  <c r="G1709" i="40"/>
  <c r="H1709" i="40" s="1"/>
  <c r="G1706" i="40"/>
  <c r="H1706" i="40" s="1"/>
  <c r="G1705" i="40"/>
  <c r="H1705" i="40" s="1"/>
  <c r="G1704" i="40"/>
  <c r="H1704" i="40" s="1"/>
  <c r="G1691" i="40"/>
  <c r="H1691" i="40" s="1"/>
  <c r="G1690" i="40"/>
  <c r="H1690" i="40" s="1"/>
  <c r="G1689" i="40"/>
  <c r="H1689" i="40" s="1"/>
  <c r="G1686" i="40"/>
  <c r="H1686" i="40" s="1"/>
  <c r="G1685" i="40"/>
  <c r="H1685" i="40" s="1"/>
  <c r="G1684" i="40"/>
  <c r="H1684" i="40" s="1"/>
  <c r="G1672" i="40"/>
  <c r="H1672" i="40" s="1"/>
  <c r="G1671" i="40"/>
  <c r="H1671" i="40" s="1"/>
  <c r="G1670" i="40"/>
  <c r="H1670" i="40" s="1"/>
  <c r="G1667" i="40"/>
  <c r="H1667" i="40" s="1"/>
  <c r="G1666" i="40"/>
  <c r="H1666" i="40" s="1"/>
  <c r="G1665" i="40"/>
  <c r="H1665" i="40" s="1"/>
  <c r="G1653" i="40"/>
  <c r="H1653" i="40" s="1"/>
  <c r="G1652" i="40"/>
  <c r="H1652" i="40" s="1"/>
  <c r="G1651" i="40"/>
  <c r="H1651" i="40" s="1"/>
  <c r="G1648" i="40"/>
  <c r="H1648" i="40" s="1"/>
  <c r="G1647" i="40"/>
  <c r="H1647" i="40" s="1"/>
  <c r="G1646" i="40"/>
  <c r="H1646" i="40" s="1"/>
  <c r="G1634" i="40"/>
  <c r="H1634" i="40" s="1"/>
  <c r="G1633" i="40"/>
  <c r="H1633" i="40" s="1"/>
  <c r="G1632" i="40"/>
  <c r="H1632" i="40" s="1"/>
  <c r="G1629" i="40"/>
  <c r="H1629" i="40" s="1"/>
  <c r="G1628" i="40"/>
  <c r="H1628" i="40" s="1"/>
  <c r="G1627" i="40"/>
  <c r="H1627" i="40" s="1"/>
  <c r="G1613" i="40"/>
  <c r="H1613" i="40" s="1"/>
  <c r="G1612" i="40"/>
  <c r="H1612" i="40" s="1"/>
  <c r="G1609" i="40"/>
  <c r="H1609" i="40" s="1"/>
  <c r="G1608" i="40"/>
  <c r="H1608" i="40" s="1"/>
  <c r="G1607" i="40"/>
  <c r="H1607" i="40" s="1"/>
  <c r="E2600" i="27" l="1"/>
  <c r="H2774" i="41"/>
  <c r="H2780" i="41" s="1"/>
  <c r="H2537" i="41"/>
  <c r="H2530" i="41"/>
  <c r="H1754" i="41"/>
  <c r="H1760" i="41" s="1"/>
  <c r="H2263" i="41"/>
  <c r="H2269" i="41" s="1"/>
  <c r="H1706" i="41"/>
  <c r="H1712" i="41" s="1"/>
  <c r="H1713" i="41" s="1"/>
  <c r="H1722" i="41"/>
  <c r="H1728" i="41" s="1"/>
  <c r="H1729" i="41" s="1"/>
  <c r="H1730" i="41" s="1"/>
  <c r="H1738" i="41"/>
  <c r="H1744" i="41" s="1"/>
  <c r="H1745" i="41" s="1"/>
  <c r="H1834" i="41"/>
  <c r="H1840" i="41" s="1"/>
  <c r="H2167" i="41"/>
  <c r="H2173" i="41" s="1"/>
  <c r="H2174" i="41" s="1"/>
  <c r="H1642" i="41"/>
  <c r="H1648" i="41" s="1"/>
  <c r="H1786" i="41"/>
  <c r="H1792" i="41" s="1"/>
  <c r="H1270" i="41"/>
  <c r="H1560" i="41"/>
  <c r="H1674" i="41"/>
  <c r="H1680" i="41" s="1"/>
  <c r="H1901" i="41"/>
  <c r="H2003" i="41"/>
  <c r="H2010" i="41"/>
  <c r="H107" i="42"/>
  <c r="H90" i="42"/>
  <c r="H91" i="42" s="1"/>
  <c r="H75" i="42"/>
  <c r="I61" i="42" s="1"/>
  <c r="H2573" i="41"/>
  <c r="H2627" i="41"/>
  <c r="H3153" i="41"/>
  <c r="H3229" i="41"/>
  <c r="H3305" i="41"/>
  <c r="H3726" i="41"/>
  <c r="H2445" i="41"/>
  <c r="H2462" i="41"/>
  <c r="H2479" i="41"/>
  <c r="H2496" i="41"/>
  <c r="H2513" i="41"/>
  <c r="H2548" i="41"/>
  <c r="H2602" i="41"/>
  <c r="H2674" i="41"/>
  <c r="H2726" i="41"/>
  <c r="H2732" i="41" s="1"/>
  <c r="H2790" i="41"/>
  <c r="H2796" i="41" s="1"/>
  <c r="H2854" i="41"/>
  <c r="H2860" i="41" s="1"/>
  <c r="H2918" i="41"/>
  <c r="H2924" i="41" s="1"/>
  <c r="H2620" i="41"/>
  <c r="H2645" i="41"/>
  <c r="H2693" i="41"/>
  <c r="H2742" i="41"/>
  <c r="H2748" i="41" s="1"/>
  <c r="H2806" i="41"/>
  <c r="H2812" i="41" s="1"/>
  <c r="H2870" i="41"/>
  <c r="H2876" i="41" s="1"/>
  <c r="H2934" i="41"/>
  <c r="H2940" i="41" s="1"/>
  <c r="H3210" i="41"/>
  <c r="H3286" i="41"/>
  <c r="H3363" i="41"/>
  <c r="H3379" i="41"/>
  <c r="H3395" i="41"/>
  <c r="H3411" i="41"/>
  <c r="H3427" i="41"/>
  <c r="H3444" i="41"/>
  <c r="H3460" i="41"/>
  <c r="H3478" i="41"/>
  <c r="H3496" i="41"/>
  <c r="H3514" i="41"/>
  <c r="H3531" i="41"/>
  <c r="H3548" i="41"/>
  <c r="H3565" i="41"/>
  <c r="H3582" i="41"/>
  <c r="H3599" i="41"/>
  <c r="H3774" i="41"/>
  <c r="H3839" i="41"/>
  <c r="H3906" i="41"/>
  <c r="H3923" i="41"/>
  <c r="H3974" i="41"/>
  <c r="H4011" i="41"/>
  <c r="H4047" i="41"/>
  <c r="H4083" i="41"/>
  <c r="H4133" i="41"/>
  <c r="H1155" i="41"/>
  <c r="H1219" i="41"/>
  <c r="H1304" i="41"/>
  <c r="H1322" i="41"/>
  <c r="H1339" i="41"/>
  <c r="H1356" i="41"/>
  <c r="H1374" i="41"/>
  <c r="H1391" i="41"/>
  <c r="H1408" i="41"/>
  <c r="H1425" i="41"/>
  <c r="H1442" i="41"/>
  <c r="H1459" i="41"/>
  <c r="H1476" i="41"/>
  <c r="H1493" i="41"/>
  <c r="H1510" i="41"/>
  <c r="H1527" i="41"/>
  <c r="H3617" i="41"/>
  <c r="H1577" i="41"/>
  <c r="H1770" i="41"/>
  <c r="H1776" i="41" s="1"/>
  <c r="H1918" i="41"/>
  <c r="H1935" i="41"/>
  <c r="H1952" i="41"/>
  <c r="H1969" i="41"/>
  <c r="H1986" i="41"/>
  <c r="H2199" i="41"/>
  <c r="H2205" i="41" s="1"/>
  <c r="H2327" i="41"/>
  <c r="H2333" i="41" s="1"/>
  <c r="H2392" i="41"/>
  <c r="H2398" i="41" s="1"/>
  <c r="H2566" i="41"/>
  <c r="H3790" i="41"/>
  <c r="H3855" i="41"/>
  <c r="H2410" i="41"/>
  <c r="H2417" i="41" s="1"/>
  <c r="H2591" i="41"/>
  <c r="H2638" i="41"/>
  <c r="H2663" i="41"/>
  <c r="H2758" i="41"/>
  <c r="H2764" i="41" s="1"/>
  <c r="H2822" i="41"/>
  <c r="H2828" i="41" s="1"/>
  <c r="H2886" i="41"/>
  <c r="H2892" i="41" s="1"/>
  <c r="H2953" i="41"/>
  <c r="H2973" i="41"/>
  <c r="H2993" i="41"/>
  <c r="H3013" i="41"/>
  <c r="H3033" i="41"/>
  <c r="H3053" i="41"/>
  <c r="H3073" i="41"/>
  <c r="H3093" i="41"/>
  <c r="H3113" i="41"/>
  <c r="H3134" i="41"/>
  <c r="H3191" i="41"/>
  <c r="H3267" i="41"/>
  <c r="H3344" i="41"/>
  <c r="H3635" i="41"/>
  <c r="H3653" i="41"/>
  <c r="H3671" i="41"/>
  <c r="H3689" i="41"/>
  <c r="H3708" i="41"/>
  <c r="H3742" i="41"/>
  <c r="H3806" i="41"/>
  <c r="H3871" i="41"/>
  <c r="H3940" i="41"/>
  <c r="H3993" i="41"/>
  <c r="H4029" i="41"/>
  <c r="H4065" i="41"/>
  <c r="H4101" i="41"/>
  <c r="H2427" i="41"/>
  <c r="H2434" i="41" s="1"/>
  <c r="H2435" i="41" s="1"/>
  <c r="H2584" i="41"/>
  <c r="H2609" i="41"/>
  <c r="H2656" i="41"/>
  <c r="H2681" i="41"/>
  <c r="H2710" i="41"/>
  <c r="H2716" i="41" s="1"/>
  <c r="H2838" i="41"/>
  <c r="H2844" i="41" s="1"/>
  <c r="H2902" i="41"/>
  <c r="H2908" i="41" s="1"/>
  <c r="H3172" i="41"/>
  <c r="H3248" i="41"/>
  <c r="H3324" i="41"/>
  <c r="H3758" i="41"/>
  <c r="H3822" i="41"/>
  <c r="H3889" i="41"/>
  <c r="H3957" i="41"/>
  <c r="H4117" i="41"/>
  <c r="H2555" i="41"/>
  <c r="H1544" i="41"/>
  <c r="H1593" i="41"/>
  <c r="H1599" i="41" s="1"/>
  <c r="H1658" i="41"/>
  <c r="H1664" i="41" s="1"/>
  <c r="H1851" i="41"/>
  <c r="H1857" i="41" s="1"/>
  <c r="H2021" i="41"/>
  <c r="H2028" i="41"/>
  <c r="H2057" i="41"/>
  <c r="H2064" i="41"/>
  <c r="H2093" i="41"/>
  <c r="H2100" i="41"/>
  <c r="H2129" i="41"/>
  <c r="H2136" i="41"/>
  <c r="H2215" i="41"/>
  <c r="H2221" i="41" s="1"/>
  <c r="H2279" i="41"/>
  <c r="H2285" i="41" s="1"/>
  <c r="H2344" i="41"/>
  <c r="H2350" i="41" s="1"/>
  <c r="H1770" i="40"/>
  <c r="H160" i="41"/>
  <c r="H228" i="41"/>
  <c r="H655" i="41"/>
  <c r="H724" i="41"/>
  <c r="H793" i="41"/>
  <c r="H862" i="41"/>
  <c r="H1609" i="41"/>
  <c r="H1615" i="41" s="1"/>
  <c r="H1802" i="41"/>
  <c r="H1808" i="41" s="1"/>
  <c r="H1867" i="41"/>
  <c r="H1873" i="41" s="1"/>
  <c r="H2231" i="41"/>
  <c r="H2237" i="41" s="1"/>
  <c r="H2295" i="41"/>
  <c r="H2301" i="41" s="1"/>
  <c r="H2360" i="41"/>
  <c r="H2366" i="41" s="1"/>
  <c r="H1654" i="40"/>
  <c r="H1692" i="40"/>
  <c r="H1731" i="40"/>
  <c r="H1625" i="41"/>
  <c r="H1690" i="41"/>
  <c r="H1696" i="41" s="1"/>
  <c r="H1818" i="41"/>
  <c r="H1824" i="41" s="1"/>
  <c r="H1883" i="41"/>
  <c r="H1889" i="41" s="1"/>
  <c r="H2039" i="41"/>
  <c r="H2046" i="41"/>
  <c r="H2075" i="41"/>
  <c r="H2082" i="41"/>
  <c r="H2111" i="41"/>
  <c r="H2118" i="41"/>
  <c r="H2147" i="41"/>
  <c r="H2154" i="41"/>
  <c r="H2183" i="41"/>
  <c r="H2189" i="41" s="1"/>
  <c r="H2247" i="41"/>
  <c r="H2253" i="41" s="1"/>
  <c r="H2311" i="41"/>
  <c r="H2317" i="41" s="1"/>
  <c r="H2376" i="41"/>
  <c r="H2382" i="41" s="1"/>
  <c r="H994" i="41"/>
  <c r="H1649" i="40"/>
  <c r="H1687" i="40"/>
  <c r="H1726" i="40"/>
  <c r="H1765" i="40"/>
  <c r="H142" i="41"/>
  <c r="H211" i="41"/>
  <c r="H280" i="41"/>
  <c r="H296" i="41"/>
  <c r="H312" i="41"/>
  <c r="H328" i="41"/>
  <c r="H344" i="41"/>
  <c r="H360" i="41"/>
  <c r="H377" i="41"/>
  <c r="H393" i="41"/>
  <c r="H409" i="41"/>
  <c r="H426" i="41"/>
  <c r="H443" i="41"/>
  <c r="H460" i="41"/>
  <c r="H476" i="41"/>
  <c r="H492" i="41"/>
  <c r="H508" i="41"/>
  <c r="H524" i="41"/>
  <c r="H540" i="41"/>
  <c r="H556" i="41"/>
  <c r="H572" i="41"/>
  <c r="H588" i="41"/>
  <c r="H604" i="41"/>
  <c r="H620" i="41"/>
  <c r="H638" i="41"/>
  <c r="H706" i="41"/>
  <c r="H776" i="41"/>
  <c r="H844" i="41"/>
  <c r="H913" i="41"/>
  <c r="H930" i="41"/>
  <c r="H946" i="41"/>
  <c r="H962" i="41"/>
  <c r="H978" i="41"/>
  <c r="H1011" i="41"/>
  <c r="H1027" i="41"/>
  <c r="H1043" i="41"/>
  <c r="H1059" i="41"/>
  <c r="H1075" i="41"/>
  <c r="H1091" i="41"/>
  <c r="H1107" i="41"/>
  <c r="H1171" i="41"/>
  <c r="H1236" i="41"/>
  <c r="H1751" i="40"/>
  <c r="H108" i="41"/>
  <c r="H125" i="41"/>
  <c r="H194" i="41"/>
  <c r="H263" i="41"/>
  <c r="H689" i="41"/>
  <c r="H759" i="41"/>
  <c r="H827" i="41"/>
  <c r="H896" i="41"/>
  <c r="H1123" i="41"/>
  <c r="H1187" i="41"/>
  <c r="H1252" i="41"/>
  <c r="H1287" i="41"/>
  <c r="H1635" i="40"/>
  <c r="H1673" i="40"/>
  <c r="H1712" i="40"/>
  <c r="H1630" i="40"/>
  <c r="H1668" i="40"/>
  <c r="H1707" i="40"/>
  <c r="H1746" i="40"/>
  <c r="H11" i="41"/>
  <c r="H27" i="41"/>
  <c r="H43" i="41"/>
  <c r="H59" i="41"/>
  <c r="H75" i="41"/>
  <c r="H91" i="41"/>
  <c r="H177" i="41"/>
  <c r="H246" i="41"/>
  <c r="H672" i="41"/>
  <c r="H741" i="41"/>
  <c r="H810" i="41"/>
  <c r="H879" i="41"/>
  <c r="H1139" i="41"/>
  <c r="H1203" i="41"/>
  <c r="H1610" i="40"/>
  <c r="G1594" i="40"/>
  <c r="H1594" i="40" s="1"/>
  <c r="G1593" i="40"/>
  <c r="H1593" i="40" s="1"/>
  <c r="G1592" i="40"/>
  <c r="H1592" i="40" s="1"/>
  <c r="G1589" i="40"/>
  <c r="H1589" i="40" s="1"/>
  <c r="G1588" i="40"/>
  <c r="H1588" i="40" s="1"/>
  <c r="G1587" i="40"/>
  <c r="H1587" i="40" s="1"/>
  <c r="E2589" i="27" l="1"/>
  <c r="G136" i="42"/>
  <c r="H136" i="42" s="1"/>
  <c r="I77" i="42"/>
  <c r="G153" i="42"/>
  <c r="H153" i="42" s="1"/>
  <c r="I93" i="42"/>
  <c r="G117" i="42"/>
  <c r="H117" i="42" s="1"/>
  <c r="H2925" i="41"/>
  <c r="H2926" i="41" s="1"/>
  <c r="I2912" i="41" s="1"/>
  <c r="H2941" i="41"/>
  <c r="H2942" i="41" s="1"/>
  <c r="I2928" i="41" s="1"/>
  <c r="H2909" i="41"/>
  <c r="H2910" i="41" s="1"/>
  <c r="I2896" i="41" s="1"/>
  <c r="H2893" i="41"/>
  <c r="H2894" i="41" s="1"/>
  <c r="I2880" i="41" s="1"/>
  <c r="H2877" i="41"/>
  <c r="H2878" i="41" s="1"/>
  <c r="I2864" i="41" s="1"/>
  <c r="H2861" i="41"/>
  <c r="H2862" i="41" s="1"/>
  <c r="I2848" i="41" s="1"/>
  <c r="H2845" i="41"/>
  <c r="H2846" i="41" s="1"/>
  <c r="I2832" i="41" s="1"/>
  <c r="H2829" i="41"/>
  <c r="H2830" i="41" s="1"/>
  <c r="I2816" i="41" s="1"/>
  <c r="H2813" i="41"/>
  <c r="H2814" i="41" s="1"/>
  <c r="I2800" i="41" s="1"/>
  <c r="H2797" i="41"/>
  <c r="H2798" i="41" s="1"/>
  <c r="I2784" i="41" s="1"/>
  <c r="H2781" i="41"/>
  <c r="H2782" i="41" s="1"/>
  <c r="I2768" i="41" s="1"/>
  <c r="H2765" i="41"/>
  <c r="H2766" i="41" s="1"/>
  <c r="I2752" i="41" s="1"/>
  <c r="H2749" i="41"/>
  <c r="H2750" i="41" s="1"/>
  <c r="I2736" i="41" s="1"/>
  <c r="H2733" i="41"/>
  <c r="H2734" i="41" s="1"/>
  <c r="I2720" i="41" s="1"/>
  <c r="H2717" i="41"/>
  <c r="H2718" i="41" s="1"/>
  <c r="I2704" i="41" s="1"/>
  <c r="H2436" i="41"/>
  <c r="I2421" i="41" s="1"/>
  <c r="H2418" i="41"/>
  <c r="H2419" i="41" s="1"/>
  <c r="I2404" i="41" s="1"/>
  <c r="H2399" i="41"/>
  <c r="H2400" i="41" s="1"/>
  <c r="I2386" i="41" s="1"/>
  <c r="H2383" i="41"/>
  <c r="H2384" i="41" s="1"/>
  <c r="I2370" i="41" s="1"/>
  <c r="H2367" i="41"/>
  <c r="H2368" i="41" s="1"/>
  <c r="I2354" i="41" s="1"/>
  <c r="H2351" i="41"/>
  <c r="H2352" i="41" s="1"/>
  <c r="I2338" i="41" s="1"/>
  <c r="H2334" i="41"/>
  <c r="H2335" i="41" s="1"/>
  <c r="I2321" i="41" s="1"/>
  <c r="H2318" i="41"/>
  <c r="H2319" i="41" s="1"/>
  <c r="I2305" i="41" s="1"/>
  <c r="H2302" i="41"/>
  <c r="H2303" i="41" s="1"/>
  <c r="I2289" i="41" s="1"/>
  <c r="H2286" i="41"/>
  <c r="H2287" i="41" s="1"/>
  <c r="I2273" i="41" s="1"/>
  <c r="H2270" i="41"/>
  <c r="H2271" i="41" s="1"/>
  <c r="I2257" i="41" s="1"/>
  <c r="H2254" i="41"/>
  <c r="H2255" i="41" s="1"/>
  <c r="I2241" i="41" s="1"/>
  <c r="H2238" i="41"/>
  <c r="H2239" i="41" s="1"/>
  <c r="I2225" i="41" s="1"/>
  <c r="H2222" i="41"/>
  <c r="H2223" i="41" s="1"/>
  <c r="I2209" i="41" s="1"/>
  <c r="H2206" i="41"/>
  <c r="H2207" i="41" s="1"/>
  <c r="I2193" i="41" s="1"/>
  <c r="H2190" i="41"/>
  <c r="H2191" i="41" s="1"/>
  <c r="I2177" i="41" s="1"/>
  <c r="H2175" i="41"/>
  <c r="I2161" i="41" s="1"/>
  <c r="H1649" i="41"/>
  <c r="H1650" i="41" s="1"/>
  <c r="I1636" i="41" s="1"/>
  <c r="H1890" i="41"/>
  <c r="H1891" i="41" s="1"/>
  <c r="I1877" i="41" s="1"/>
  <c r="H1874" i="41"/>
  <c r="H1875" i="41" s="1"/>
  <c r="I1861" i="41" s="1"/>
  <c r="H1858" i="41"/>
  <c r="H1859" i="41" s="1"/>
  <c r="I1845" i="41" s="1"/>
  <c r="H1841" i="41"/>
  <c r="H1842" i="41" s="1"/>
  <c r="I1828" i="41" s="1"/>
  <c r="H1825" i="41"/>
  <c r="H1826" i="41" s="1"/>
  <c r="I1812" i="41" s="1"/>
  <c r="H1809" i="41"/>
  <c r="H1810" i="41" s="1"/>
  <c r="I1796" i="41" s="1"/>
  <c r="H1793" i="41"/>
  <c r="H1794" i="41" s="1"/>
  <c r="I1780" i="41" s="1"/>
  <c r="H1777" i="41"/>
  <c r="H1778" i="41" s="1"/>
  <c r="I1764" i="41" s="1"/>
  <c r="H1761" i="41"/>
  <c r="H1762" i="41" s="1"/>
  <c r="I1748" i="41" s="1"/>
  <c r="H1746" i="41"/>
  <c r="I1732" i="41" s="1"/>
  <c r="I1716" i="41"/>
  <c r="H1714" i="41"/>
  <c r="I1700" i="41" s="1"/>
  <c r="H1697" i="41"/>
  <c r="H1698" i="41" s="1"/>
  <c r="I1684" i="41" s="1"/>
  <c r="H1681" i="41"/>
  <c r="H1682" i="41" s="1"/>
  <c r="I1668" i="41" s="1"/>
  <c r="H1665" i="41"/>
  <c r="H1666" i="41" s="1"/>
  <c r="I1652" i="41" s="1"/>
  <c r="H1616" i="41"/>
  <c r="H1617" i="41" s="1"/>
  <c r="I1603" i="41" s="1"/>
  <c r="H1600" i="41"/>
  <c r="H1601" i="41" s="1"/>
  <c r="I1587" i="41" s="1"/>
  <c r="H1595" i="40"/>
  <c r="H1590" i="40"/>
  <c r="G1575" i="40"/>
  <c r="H1575" i="40" s="1"/>
  <c r="G1574" i="40"/>
  <c r="H1574" i="40" s="1"/>
  <c r="G1573" i="40"/>
  <c r="H1573" i="40" s="1"/>
  <c r="G1570" i="40"/>
  <c r="H1570" i="40" s="1"/>
  <c r="G1569" i="40"/>
  <c r="H1569" i="40" s="1"/>
  <c r="G1568" i="40"/>
  <c r="H1568" i="40" s="1"/>
  <c r="G1556" i="40"/>
  <c r="H1556" i="40" s="1"/>
  <c r="G1555" i="40"/>
  <c r="H1555" i="40" s="1"/>
  <c r="G1554" i="40"/>
  <c r="H1554" i="40" s="1"/>
  <c r="G1551" i="40"/>
  <c r="H1551" i="40" s="1"/>
  <c r="G1550" i="40"/>
  <c r="H1550" i="40" s="1"/>
  <c r="G1549" i="40"/>
  <c r="H1549" i="40" s="1"/>
  <c r="G1537" i="40"/>
  <c r="H1537" i="40" s="1"/>
  <c r="G1536" i="40"/>
  <c r="H1536" i="40" s="1"/>
  <c r="G1535" i="40"/>
  <c r="H1535" i="40" s="1"/>
  <c r="G1532" i="40"/>
  <c r="H1532" i="40" s="1"/>
  <c r="G1531" i="40"/>
  <c r="H1531" i="40" s="1"/>
  <c r="G1530" i="40"/>
  <c r="H1530" i="40" s="1"/>
  <c r="G1518" i="40"/>
  <c r="H1518" i="40" s="1"/>
  <c r="G1517" i="40"/>
  <c r="H1517" i="40" s="1"/>
  <c r="G1516" i="40"/>
  <c r="H1516" i="40" s="1"/>
  <c r="G1513" i="40"/>
  <c r="H1513" i="40" s="1"/>
  <c r="G1512" i="40"/>
  <c r="H1512" i="40" s="1"/>
  <c r="G1511" i="40"/>
  <c r="H1511" i="40" s="1"/>
  <c r="G1499" i="40"/>
  <c r="H1499" i="40" s="1"/>
  <c r="G1498" i="40"/>
  <c r="H1498" i="40" s="1"/>
  <c r="G1497" i="40"/>
  <c r="H1497" i="40" s="1"/>
  <c r="G1494" i="40"/>
  <c r="H1494" i="40" s="1"/>
  <c r="G1493" i="40"/>
  <c r="H1493" i="40" s="1"/>
  <c r="G1492" i="40"/>
  <c r="H1492" i="40" s="1"/>
  <c r="G1479" i="40"/>
  <c r="H1479" i="40" s="1"/>
  <c r="G1478" i="40"/>
  <c r="H1478" i="40" s="1"/>
  <c r="G1475" i="40"/>
  <c r="H1475" i="40" s="1"/>
  <c r="G1474" i="40"/>
  <c r="H1474" i="40" s="1"/>
  <c r="G1473" i="40"/>
  <c r="H1473" i="40" s="1"/>
  <c r="G1400" i="40"/>
  <c r="H1400" i="40" s="1"/>
  <c r="G1379" i="40"/>
  <c r="H1379" i="40" s="1"/>
  <c r="H1380" i="40" s="1"/>
  <c r="G1462" i="40"/>
  <c r="H1462" i="40" s="1"/>
  <c r="H1463" i="40" s="1"/>
  <c r="G1459" i="40"/>
  <c r="H1459" i="40" s="1"/>
  <c r="H1458" i="40"/>
  <c r="G1457" i="40"/>
  <c r="H1457" i="40" s="1"/>
  <c r="G1456" i="40"/>
  <c r="H1456" i="40" s="1"/>
  <c r="G1453" i="40"/>
  <c r="H1453" i="40" s="1"/>
  <c r="G1452" i="40"/>
  <c r="H1452" i="40" s="1"/>
  <c r="G1451" i="40"/>
  <c r="H1451" i="40" s="1"/>
  <c r="G1441" i="40"/>
  <c r="H1441" i="40" s="1"/>
  <c r="H1442" i="40" s="1"/>
  <c r="G1438" i="40"/>
  <c r="H1438" i="40" s="1"/>
  <c r="H1437" i="40"/>
  <c r="G1436" i="40"/>
  <c r="H1436" i="40" s="1"/>
  <c r="G1435" i="40"/>
  <c r="H1435" i="40" s="1"/>
  <c r="G1432" i="40"/>
  <c r="H1432" i="40" s="1"/>
  <c r="G1431" i="40"/>
  <c r="H1431" i="40" s="1"/>
  <c r="G1430" i="40"/>
  <c r="H1430" i="40" s="1"/>
  <c r="G1420" i="40"/>
  <c r="H1420" i="40" s="1"/>
  <c r="H1421" i="40" s="1"/>
  <c r="G1417" i="40"/>
  <c r="H1417" i="40" s="1"/>
  <c r="H1416" i="40"/>
  <c r="G1415" i="40"/>
  <c r="H1415" i="40" s="1"/>
  <c r="G1414" i="40"/>
  <c r="H1414" i="40" s="1"/>
  <c r="G1411" i="40"/>
  <c r="H1411" i="40" s="1"/>
  <c r="G1410" i="40"/>
  <c r="H1410" i="40" s="1"/>
  <c r="G1409" i="40"/>
  <c r="H1409" i="40" s="1"/>
  <c r="H1401" i="40"/>
  <c r="G1397" i="40"/>
  <c r="H1397" i="40" s="1"/>
  <c r="H1396" i="40"/>
  <c r="G1395" i="40"/>
  <c r="H1395" i="40" s="1"/>
  <c r="G1394" i="40"/>
  <c r="H1394" i="40" s="1"/>
  <c r="G1391" i="40"/>
  <c r="H1391" i="40" s="1"/>
  <c r="G1390" i="40"/>
  <c r="H1390" i="40" s="1"/>
  <c r="G1389" i="40"/>
  <c r="H1389" i="40" s="1"/>
  <c r="G1376" i="40"/>
  <c r="H1376" i="40" s="1"/>
  <c r="H1375" i="40"/>
  <c r="G1374" i="40"/>
  <c r="H1374" i="40" s="1"/>
  <c r="G1373" i="40"/>
  <c r="H1373" i="40" s="1"/>
  <c r="G1370" i="40"/>
  <c r="H1370" i="40" s="1"/>
  <c r="G1369" i="40"/>
  <c r="H1369" i="40" s="1"/>
  <c r="G1368" i="40"/>
  <c r="H1368" i="40" s="1"/>
  <c r="H1360" i="40"/>
  <c r="H1356" i="40"/>
  <c r="G1355" i="40"/>
  <c r="H1355" i="40" s="1"/>
  <c r="G1354" i="40"/>
  <c r="H1354" i="40" s="1"/>
  <c r="G1351" i="40"/>
  <c r="H1351" i="40" s="1"/>
  <c r="G1350" i="40"/>
  <c r="H1350" i="40" s="1"/>
  <c r="G1349" i="40"/>
  <c r="H1349" i="40" s="1"/>
  <c r="G1340" i="40"/>
  <c r="H1340" i="40" s="1"/>
  <c r="H1341" i="40" s="1"/>
  <c r="H1336" i="40"/>
  <c r="G1335" i="40"/>
  <c r="H1335" i="40" s="1"/>
  <c r="G1334" i="40"/>
  <c r="H1334" i="40" s="1"/>
  <c r="G1331" i="40"/>
  <c r="H1331" i="40" s="1"/>
  <c r="G1330" i="40"/>
  <c r="H1330" i="40" s="1"/>
  <c r="G1329" i="40"/>
  <c r="H1329" i="40" s="1"/>
  <c r="G1319" i="40"/>
  <c r="H1319" i="40" s="1"/>
  <c r="H1320" i="40" s="1"/>
  <c r="G1316" i="40"/>
  <c r="H1316" i="40" s="1"/>
  <c r="H1315" i="40"/>
  <c r="G1314" i="40"/>
  <c r="H1314" i="40" s="1"/>
  <c r="G1313" i="40"/>
  <c r="H1313" i="40" s="1"/>
  <c r="G1310" i="40"/>
  <c r="H1310" i="40" s="1"/>
  <c r="G1309" i="40"/>
  <c r="H1309" i="40" s="1"/>
  <c r="G1308" i="40"/>
  <c r="H1308" i="40" s="1"/>
  <c r="G1298" i="40"/>
  <c r="H1298" i="40" s="1"/>
  <c r="H1299" i="40" s="1"/>
  <c r="G1295" i="40"/>
  <c r="H1295" i="40" s="1"/>
  <c r="H1294" i="40"/>
  <c r="G1293" i="40"/>
  <c r="H1293" i="40" s="1"/>
  <c r="G1292" i="40"/>
  <c r="H1292" i="40" s="1"/>
  <c r="G1289" i="40"/>
  <c r="H1289" i="40" s="1"/>
  <c r="G1288" i="40"/>
  <c r="H1288" i="40" s="1"/>
  <c r="G1287" i="40"/>
  <c r="H1287" i="40" s="1"/>
  <c r="H1279" i="40"/>
  <c r="H1275" i="40"/>
  <c r="G1274" i="40"/>
  <c r="H1274" i="40" s="1"/>
  <c r="G1273" i="40"/>
  <c r="H1273" i="40" s="1"/>
  <c r="G1270" i="40"/>
  <c r="H1270" i="40" s="1"/>
  <c r="G1269" i="40"/>
  <c r="H1269" i="40" s="1"/>
  <c r="G1268" i="40"/>
  <c r="H1268" i="40" s="1"/>
  <c r="H1259" i="40"/>
  <c r="G1256" i="40"/>
  <c r="H1256" i="40" s="1"/>
  <c r="H1255" i="40"/>
  <c r="G1254" i="40"/>
  <c r="H1254" i="40" s="1"/>
  <c r="G1253" i="40"/>
  <c r="H1253" i="40" s="1"/>
  <c r="G1250" i="40"/>
  <c r="H1250" i="40" s="1"/>
  <c r="G1249" i="40"/>
  <c r="H1249" i="40" s="1"/>
  <c r="G1248" i="40"/>
  <c r="H1248" i="40" s="1"/>
  <c r="H1235" i="40"/>
  <c r="G1234" i="40"/>
  <c r="H1234" i="40" s="1"/>
  <c r="G1236" i="40"/>
  <c r="H1236" i="40" s="1"/>
  <c r="H1239" i="40"/>
  <c r="G1233" i="40"/>
  <c r="H1233" i="40" s="1"/>
  <c r="G1230" i="40"/>
  <c r="H1230" i="40" s="1"/>
  <c r="G1229" i="40"/>
  <c r="H1229" i="40" s="1"/>
  <c r="G1228" i="40"/>
  <c r="H1228" i="40" s="1"/>
  <c r="H1219" i="40"/>
  <c r="G1211" i="40"/>
  <c r="H1211" i="40" s="1"/>
  <c r="G1212" i="40"/>
  <c r="H1212" i="40" s="1"/>
  <c r="G1210" i="40"/>
  <c r="H1210" i="40" s="1"/>
  <c r="G1209" i="40"/>
  <c r="H1209" i="40" s="1"/>
  <c r="G1200" i="40"/>
  <c r="H1200" i="40" s="1"/>
  <c r="H1201" i="40" s="1"/>
  <c r="G1197" i="40"/>
  <c r="H1197" i="40" s="1"/>
  <c r="H1198" i="40" s="1"/>
  <c r="G1194" i="40"/>
  <c r="H1194" i="40" s="1"/>
  <c r="G1193" i="40"/>
  <c r="H1193" i="40" s="1"/>
  <c r="G1192" i="40"/>
  <c r="H1192" i="40" s="1"/>
  <c r="G1183" i="40"/>
  <c r="H1183" i="40" s="1"/>
  <c r="H1184" i="40" s="1"/>
  <c r="G1180" i="40"/>
  <c r="H1180" i="40" s="1"/>
  <c r="H1181" i="40" s="1"/>
  <c r="G1177" i="40"/>
  <c r="H1177" i="40" s="1"/>
  <c r="G1176" i="40"/>
  <c r="H1176" i="40" s="1"/>
  <c r="G1175" i="40"/>
  <c r="H1175" i="40" s="1"/>
  <c r="G1163" i="40"/>
  <c r="H1163" i="40" s="1"/>
  <c r="H1164" i="40" s="1"/>
  <c r="G1160" i="40"/>
  <c r="H1160" i="40" s="1"/>
  <c r="G1159" i="40"/>
  <c r="H1159" i="40" s="1"/>
  <c r="G1158" i="40"/>
  <c r="H1158" i="40" s="1"/>
  <c r="H1150" i="40"/>
  <c r="G1147" i="40"/>
  <c r="H1147" i="40" s="1"/>
  <c r="H1148" i="40" s="1"/>
  <c r="G1144" i="40"/>
  <c r="H1144" i="40" s="1"/>
  <c r="G1143" i="40"/>
  <c r="H1143" i="40" s="1"/>
  <c r="G1142" i="40"/>
  <c r="H1142" i="40" s="1"/>
  <c r="H1134" i="40"/>
  <c r="G1131" i="40"/>
  <c r="H1131" i="40" s="1"/>
  <c r="H1132" i="40" s="1"/>
  <c r="G1128" i="40"/>
  <c r="H1128" i="40" s="1"/>
  <c r="G1127" i="40"/>
  <c r="H1127" i="40" s="1"/>
  <c r="G1126" i="40"/>
  <c r="H1126" i="40" s="1"/>
  <c r="H1118" i="40"/>
  <c r="G1115" i="40"/>
  <c r="H1115" i="40" s="1"/>
  <c r="H1116" i="40" s="1"/>
  <c r="G1112" i="40"/>
  <c r="H1112" i="40" s="1"/>
  <c r="G1111" i="40"/>
  <c r="H1111" i="40" s="1"/>
  <c r="G1110" i="40"/>
  <c r="H1110" i="40" s="1"/>
  <c r="H1102" i="40"/>
  <c r="G1099" i="40"/>
  <c r="H1099" i="40" s="1"/>
  <c r="H1100" i="40" s="1"/>
  <c r="G1096" i="40"/>
  <c r="H1096" i="40" s="1"/>
  <c r="G1095" i="40"/>
  <c r="H1095" i="40" s="1"/>
  <c r="G1094" i="40"/>
  <c r="H1094" i="40" s="1"/>
  <c r="H1086" i="40"/>
  <c r="G1083" i="40"/>
  <c r="H1083" i="40" s="1"/>
  <c r="H1084" i="40" s="1"/>
  <c r="G1080" i="40"/>
  <c r="H1080" i="40" s="1"/>
  <c r="G1079" i="40"/>
  <c r="H1079" i="40" s="1"/>
  <c r="G1078" i="40"/>
  <c r="H1078" i="40" s="1"/>
  <c r="H1069" i="40"/>
  <c r="G1066" i="40"/>
  <c r="H1066" i="40" s="1"/>
  <c r="H1067" i="40" s="1"/>
  <c r="G1063" i="40"/>
  <c r="H1063" i="40" s="1"/>
  <c r="G1062" i="40"/>
  <c r="H1062" i="40" s="1"/>
  <c r="G1061" i="40"/>
  <c r="H1061" i="40" s="1"/>
  <c r="H1052" i="40"/>
  <c r="G1049" i="40"/>
  <c r="H1049" i="40" s="1"/>
  <c r="H1050" i="40" s="1"/>
  <c r="G1046" i="40"/>
  <c r="H1046" i="40" s="1"/>
  <c r="G1045" i="40"/>
  <c r="H1045" i="40" s="1"/>
  <c r="G1044" i="40"/>
  <c r="H1044" i="40" s="1"/>
  <c r="G1031" i="40"/>
  <c r="H1031" i="40" s="1"/>
  <c r="G1030" i="40"/>
  <c r="H1030" i="40" s="1"/>
  <c r="G1029" i="40"/>
  <c r="H1029" i="40" s="1"/>
  <c r="G1026" i="40"/>
  <c r="H1026" i="40" s="1"/>
  <c r="G1025" i="40"/>
  <c r="H1025" i="40" s="1"/>
  <c r="G1024" i="40"/>
  <c r="H1024" i="40" s="1"/>
  <c r="G1012" i="40"/>
  <c r="H1012" i="40" s="1"/>
  <c r="G1011" i="40"/>
  <c r="H1011" i="40" s="1"/>
  <c r="G1010" i="40"/>
  <c r="H1010" i="40" s="1"/>
  <c r="G1007" i="40"/>
  <c r="H1007" i="40" s="1"/>
  <c r="G1006" i="40"/>
  <c r="H1006" i="40" s="1"/>
  <c r="G1005" i="40"/>
  <c r="H1005" i="40" s="1"/>
  <c r="G993" i="40"/>
  <c r="H993" i="40" s="1"/>
  <c r="G992" i="40"/>
  <c r="H992" i="40" s="1"/>
  <c r="G991" i="40"/>
  <c r="H991" i="40" s="1"/>
  <c r="G988" i="40"/>
  <c r="H988" i="40" s="1"/>
  <c r="G987" i="40"/>
  <c r="H987" i="40" s="1"/>
  <c r="G986" i="40"/>
  <c r="H986" i="40" s="1"/>
  <c r="G974" i="40"/>
  <c r="H974" i="40" s="1"/>
  <c r="G973" i="40"/>
  <c r="H973" i="40" s="1"/>
  <c r="G972" i="40"/>
  <c r="H972" i="40" s="1"/>
  <c r="G969" i="40"/>
  <c r="H969" i="40" s="1"/>
  <c r="G968" i="40"/>
  <c r="H968" i="40" s="1"/>
  <c r="G967" i="40"/>
  <c r="H967" i="40" s="1"/>
  <c r="G955" i="40"/>
  <c r="H955" i="40" s="1"/>
  <c r="G954" i="40"/>
  <c r="H954" i="40" s="1"/>
  <c r="G953" i="40"/>
  <c r="H953" i="40" s="1"/>
  <c r="G950" i="40"/>
  <c r="H950" i="40" s="1"/>
  <c r="G949" i="40"/>
  <c r="H949" i="40" s="1"/>
  <c r="G948" i="40"/>
  <c r="H948" i="40" s="1"/>
  <c r="G936" i="40"/>
  <c r="H936" i="40" s="1"/>
  <c r="G935" i="40"/>
  <c r="H935" i="40" s="1"/>
  <c r="G934" i="40"/>
  <c r="H934" i="40" s="1"/>
  <c r="G931" i="40"/>
  <c r="H931" i="40" s="1"/>
  <c r="G930" i="40"/>
  <c r="H930" i="40" s="1"/>
  <c r="G929" i="40"/>
  <c r="H929" i="40" s="1"/>
  <c r="G917" i="40"/>
  <c r="H917" i="40" s="1"/>
  <c r="G916" i="40"/>
  <c r="H916" i="40" s="1"/>
  <c r="G915" i="40"/>
  <c r="H915" i="40" s="1"/>
  <c r="G912" i="40"/>
  <c r="H912" i="40" s="1"/>
  <c r="G911" i="40"/>
  <c r="H911" i="40" s="1"/>
  <c r="G910" i="40"/>
  <c r="H910" i="40" s="1"/>
  <c r="G898" i="40"/>
  <c r="H898" i="40" s="1"/>
  <c r="G897" i="40"/>
  <c r="H897" i="40" s="1"/>
  <c r="G896" i="40"/>
  <c r="H896" i="40" s="1"/>
  <c r="G893" i="40"/>
  <c r="H893" i="40" s="1"/>
  <c r="G892" i="40"/>
  <c r="H892" i="40" s="1"/>
  <c r="G891" i="40"/>
  <c r="H891" i="40" s="1"/>
  <c r="G879" i="40"/>
  <c r="H879" i="40" s="1"/>
  <c r="G878" i="40"/>
  <c r="H878" i="40" s="1"/>
  <c r="G877" i="40"/>
  <c r="H877" i="40" s="1"/>
  <c r="G874" i="40"/>
  <c r="H874" i="40" s="1"/>
  <c r="G873" i="40"/>
  <c r="H873" i="40" s="1"/>
  <c r="G872" i="40"/>
  <c r="H872" i="40" s="1"/>
  <c r="G860" i="40"/>
  <c r="H860" i="40" s="1"/>
  <c r="G859" i="40"/>
  <c r="H859" i="40" s="1"/>
  <c r="G858" i="40"/>
  <c r="H858" i="40" s="1"/>
  <c r="G855" i="40"/>
  <c r="H855" i="40" s="1"/>
  <c r="G854" i="40"/>
  <c r="H854" i="40" s="1"/>
  <c r="G853" i="40"/>
  <c r="H853" i="40" s="1"/>
  <c r="G841" i="40"/>
  <c r="H841" i="40" s="1"/>
  <c r="G840" i="40"/>
  <c r="H840" i="40" s="1"/>
  <c r="G839" i="40"/>
  <c r="H839" i="40" s="1"/>
  <c r="G836" i="40"/>
  <c r="H836" i="40" s="1"/>
  <c r="G835" i="40"/>
  <c r="H835" i="40" s="1"/>
  <c r="G834" i="40"/>
  <c r="H834" i="40" s="1"/>
  <c r="G822" i="40"/>
  <c r="H822" i="40" s="1"/>
  <c r="G821" i="40"/>
  <c r="H821" i="40" s="1"/>
  <c r="G820" i="40"/>
  <c r="H820" i="40" s="1"/>
  <c r="G817" i="40"/>
  <c r="H817" i="40" s="1"/>
  <c r="G816" i="40"/>
  <c r="H816" i="40" s="1"/>
  <c r="G815" i="40"/>
  <c r="H815" i="40" s="1"/>
  <c r="G802" i="40"/>
  <c r="H802" i="40" s="1"/>
  <c r="G801" i="40"/>
  <c r="H801" i="40" s="1"/>
  <c r="G800" i="40"/>
  <c r="H800" i="40" s="1"/>
  <c r="G797" i="40"/>
  <c r="H797" i="40" s="1"/>
  <c r="G796" i="40"/>
  <c r="H796" i="40" s="1"/>
  <c r="G795" i="40"/>
  <c r="H795" i="40" s="1"/>
  <c r="G783" i="40"/>
  <c r="H783" i="40" s="1"/>
  <c r="G782" i="40"/>
  <c r="H782" i="40" s="1"/>
  <c r="G781" i="40"/>
  <c r="H781" i="40" s="1"/>
  <c r="G778" i="40"/>
  <c r="H778" i="40" s="1"/>
  <c r="G777" i="40"/>
  <c r="H777" i="40" s="1"/>
  <c r="G776" i="40"/>
  <c r="H776" i="40" s="1"/>
  <c r="G764" i="40"/>
  <c r="H764" i="40" s="1"/>
  <c r="G763" i="40"/>
  <c r="H763" i="40" s="1"/>
  <c r="G762" i="40"/>
  <c r="H762" i="40" s="1"/>
  <c r="G759" i="40"/>
  <c r="H759" i="40" s="1"/>
  <c r="G758" i="40"/>
  <c r="H758" i="40" s="1"/>
  <c r="G757" i="40"/>
  <c r="H757" i="40" s="1"/>
  <c r="G745" i="40"/>
  <c r="H745" i="40" s="1"/>
  <c r="G744" i="40"/>
  <c r="H744" i="40" s="1"/>
  <c r="G743" i="40"/>
  <c r="H743" i="40" s="1"/>
  <c r="G740" i="40"/>
  <c r="H740" i="40" s="1"/>
  <c r="G739" i="40"/>
  <c r="H739" i="40" s="1"/>
  <c r="G738" i="40"/>
  <c r="H738" i="40" s="1"/>
  <c r="G726" i="40"/>
  <c r="H726" i="40" s="1"/>
  <c r="G725" i="40"/>
  <c r="H725" i="40" s="1"/>
  <c r="G724" i="40"/>
  <c r="H724" i="40" s="1"/>
  <c r="G721" i="40"/>
  <c r="H721" i="40" s="1"/>
  <c r="G720" i="40"/>
  <c r="H720" i="40" s="1"/>
  <c r="G719" i="40"/>
  <c r="H719" i="40" s="1"/>
  <c r="G707" i="40"/>
  <c r="H707" i="40" s="1"/>
  <c r="G706" i="40"/>
  <c r="H706" i="40" s="1"/>
  <c r="G705" i="40"/>
  <c r="H705" i="40" s="1"/>
  <c r="G702" i="40"/>
  <c r="H702" i="40" s="1"/>
  <c r="G701" i="40"/>
  <c r="H701" i="40" s="1"/>
  <c r="G700" i="40"/>
  <c r="H700" i="40" s="1"/>
  <c r="G688" i="40"/>
  <c r="H688" i="40" s="1"/>
  <c r="G687" i="40"/>
  <c r="H687" i="40" s="1"/>
  <c r="G686" i="40"/>
  <c r="H686" i="40" s="1"/>
  <c r="G683" i="40"/>
  <c r="H683" i="40" s="1"/>
  <c r="G682" i="40"/>
  <c r="H682" i="40" s="1"/>
  <c r="G681" i="40"/>
  <c r="H681" i="40" s="1"/>
  <c r="G669" i="40"/>
  <c r="H669" i="40" s="1"/>
  <c r="G668" i="40"/>
  <c r="H668" i="40" s="1"/>
  <c r="G667" i="40"/>
  <c r="H667" i="40" s="1"/>
  <c r="G664" i="40"/>
  <c r="H664" i="40" s="1"/>
  <c r="G663" i="40"/>
  <c r="H663" i="40" s="1"/>
  <c r="G662" i="40"/>
  <c r="H662" i="40" s="1"/>
  <c r="G650" i="40"/>
  <c r="H650" i="40" s="1"/>
  <c r="G649" i="40"/>
  <c r="H649" i="40" s="1"/>
  <c r="G648" i="40"/>
  <c r="H648" i="40" s="1"/>
  <c r="G645" i="40"/>
  <c r="H645" i="40" s="1"/>
  <c r="G644" i="40"/>
  <c r="H644" i="40" s="1"/>
  <c r="G643" i="40"/>
  <c r="H643" i="40" s="1"/>
  <c r="G631" i="40"/>
  <c r="H631" i="40" s="1"/>
  <c r="G630" i="40"/>
  <c r="H630" i="40" s="1"/>
  <c r="G629" i="40"/>
  <c r="H629" i="40" s="1"/>
  <c r="G626" i="40"/>
  <c r="H626" i="40" s="1"/>
  <c r="G625" i="40"/>
  <c r="H625" i="40" s="1"/>
  <c r="G624" i="40"/>
  <c r="H624" i="40" s="1"/>
  <c r="G612" i="40"/>
  <c r="H612" i="40" s="1"/>
  <c r="G611" i="40"/>
  <c r="H611" i="40" s="1"/>
  <c r="G610" i="40"/>
  <c r="H610" i="40" s="1"/>
  <c r="G607" i="40"/>
  <c r="H607" i="40" s="1"/>
  <c r="G606" i="40"/>
  <c r="H606" i="40" s="1"/>
  <c r="G605" i="40"/>
  <c r="H605" i="40" s="1"/>
  <c r="G593" i="40"/>
  <c r="H593" i="40" s="1"/>
  <c r="G592" i="40"/>
  <c r="H592" i="40" s="1"/>
  <c r="G591" i="40"/>
  <c r="H591" i="40" s="1"/>
  <c r="G588" i="40"/>
  <c r="H588" i="40" s="1"/>
  <c r="G587" i="40"/>
  <c r="H587" i="40" s="1"/>
  <c r="G586" i="40"/>
  <c r="H586" i="40" s="1"/>
  <c r="G574" i="40"/>
  <c r="H574" i="40" s="1"/>
  <c r="G573" i="40"/>
  <c r="H573" i="40" s="1"/>
  <c r="G572" i="40"/>
  <c r="H572" i="40" s="1"/>
  <c r="G569" i="40"/>
  <c r="H569" i="40" s="1"/>
  <c r="G568" i="40"/>
  <c r="H568" i="40" s="1"/>
  <c r="G567" i="40"/>
  <c r="H567" i="40" s="1"/>
  <c r="G555" i="40"/>
  <c r="H555" i="40" s="1"/>
  <c r="G554" i="40"/>
  <c r="H554" i="40" s="1"/>
  <c r="G553" i="40"/>
  <c r="H553" i="40" s="1"/>
  <c r="G550" i="40"/>
  <c r="H550" i="40" s="1"/>
  <c r="G549" i="40"/>
  <c r="H549" i="40" s="1"/>
  <c r="G548" i="40"/>
  <c r="H548" i="40" s="1"/>
  <c r="G536" i="40"/>
  <c r="H536" i="40" s="1"/>
  <c r="G535" i="40"/>
  <c r="H535" i="40" s="1"/>
  <c r="G531" i="40"/>
  <c r="H531" i="40" s="1"/>
  <c r="G530" i="40"/>
  <c r="H530" i="40" s="1"/>
  <c r="G529" i="40"/>
  <c r="H529" i="40" s="1"/>
  <c r="G516" i="40"/>
  <c r="H516" i="40" s="1"/>
  <c r="G515" i="40"/>
  <c r="H515" i="40" s="1"/>
  <c r="G514" i="40"/>
  <c r="H514" i="40" s="1"/>
  <c r="G511" i="40"/>
  <c r="H511" i="40" s="1"/>
  <c r="G510" i="40"/>
  <c r="H510" i="40" s="1"/>
  <c r="G509" i="40"/>
  <c r="H509" i="40" s="1"/>
  <c r="G497" i="40"/>
  <c r="H497" i="40" s="1"/>
  <c r="G496" i="40"/>
  <c r="H496" i="40" s="1"/>
  <c r="G495" i="40"/>
  <c r="H495" i="40" s="1"/>
  <c r="G492" i="40"/>
  <c r="H492" i="40" s="1"/>
  <c r="G491" i="40"/>
  <c r="H491" i="40" s="1"/>
  <c r="G490" i="40"/>
  <c r="H490" i="40" s="1"/>
  <c r="G471" i="40"/>
  <c r="H471" i="40" s="1"/>
  <c r="G472" i="40"/>
  <c r="H472" i="40" s="1"/>
  <c r="G473" i="40"/>
  <c r="H473" i="40" s="1"/>
  <c r="G476" i="40"/>
  <c r="H476" i="40" s="1"/>
  <c r="G477" i="40"/>
  <c r="H477" i="40" s="1"/>
  <c r="G478" i="40"/>
  <c r="H478" i="40" s="1"/>
  <c r="G459" i="40"/>
  <c r="H459" i="40" s="1"/>
  <c r="G458" i="40"/>
  <c r="H458" i="40" s="1"/>
  <c r="G457" i="40"/>
  <c r="H457" i="40" s="1"/>
  <c r="G454" i="40"/>
  <c r="H454" i="40" s="1"/>
  <c r="G453" i="40"/>
  <c r="H453" i="40" s="1"/>
  <c r="G452" i="40"/>
  <c r="H452" i="40" s="1"/>
  <c r="G440" i="40"/>
  <c r="H440" i="40" s="1"/>
  <c r="G439" i="40"/>
  <c r="H439" i="40" s="1"/>
  <c r="G438" i="40"/>
  <c r="H438" i="40" s="1"/>
  <c r="G435" i="40"/>
  <c r="H435" i="40" s="1"/>
  <c r="G434" i="40"/>
  <c r="H434" i="40" s="1"/>
  <c r="G433" i="40"/>
  <c r="H433" i="40" s="1"/>
  <c r="G420" i="40"/>
  <c r="H420" i="40" s="1"/>
  <c r="G419" i="40"/>
  <c r="H419" i="40" s="1"/>
  <c r="G416" i="40"/>
  <c r="H416" i="40" s="1"/>
  <c r="G415" i="40"/>
  <c r="H415" i="40" s="1"/>
  <c r="G414" i="40"/>
  <c r="H414" i="40" s="1"/>
  <c r="G402" i="40"/>
  <c r="H402" i="40" s="1"/>
  <c r="G401" i="40"/>
  <c r="H401" i="40" s="1"/>
  <c r="G400" i="40"/>
  <c r="H400" i="40" s="1"/>
  <c r="G397" i="40"/>
  <c r="H397" i="40" s="1"/>
  <c r="G396" i="40"/>
  <c r="H396" i="40" s="1"/>
  <c r="G395" i="40"/>
  <c r="H395" i="40" s="1"/>
  <c r="G383" i="40"/>
  <c r="H383" i="40" s="1"/>
  <c r="G382" i="40"/>
  <c r="H382" i="40" s="1"/>
  <c r="G381" i="40"/>
  <c r="H381" i="40" s="1"/>
  <c r="G378" i="40"/>
  <c r="H378" i="40" s="1"/>
  <c r="G377" i="40"/>
  <c r="H377" i="40" s="1"/>
  <c r="G376" i="40"/>
  <c r="H376" i="40" s="1"/>
  <c r="G363" i="40"/>
  <c r="H363" i="40" s="1"/>
  <c r="G362" i="40"/>
  <c r="H362" i="40" s="1"/>
  <c r="G361" i="40"/>
  <c r="H361" i="40" s="1"/>
  <c r="G358" i="40"/>
  <c r="H358" i="40" s="1"/>
  <c r="G357" i="40"/>
  <c r="H357" i="40" s="1"/>
  <c r="G356" i="40"/>
  <c r="H356" i="40" s="1"/>
  <c r="G343" i="40"/>
  <c r="H343" i="40" s="1"/>
  <c r="G342" i="40"/>
  <c r="H342" i="40" s="1"/>
  <c r="G341" i="40"/>
  <c r="H341" i="40" s="1"/>
  <c r="G338" i="40"/>
  <c r="H338" i="40" s="1"/>
  <c r="G337" i="40"/>
  <c r="H337" i="40" s="1"/>
  <c r="G336" i="40"/>
  <c r="H336" i="40" s="1"/>
  <c r="G324" i="40"/>
  <c r="H324" i="40" s="1"/>
  <c r="G323" i="40"/>
  <c r="H323" i="40" s="1"/>
  <c r="G322" i="40"/>
  <c r="H322" i="40" s="1"/>
  <c r="G319" i="40"/>
  <c r="H319" i="40" s="1"/>
  <c r="G318" i="40"/>
  <c r="H318" i="40" s="1"/>
  <c r="G317" i="40"/>
  <c r="H317" i="40" s="1"/>
  <c r="G304" i="40"/>
  <c r="H304" i="40" s="1"/>
  <c r="G303" i="40"/>
  <c r="H303" i="40" s="1"/>
  <c r="G302" i="40"/>
  <c r="H302" i="40" s="1"/>
  <c r="G299" i="40"/>
  <c r="H299" i="40" s="1"/>
  <c r="G298" i="40"/>
  <c r="H298" i="40" s="1"/>
  <c r="G297" i="40"/>
  <c r="H297" i="40" s="1"/>
  <c r="G285" i="40"/>
  <c r="H285" i="40" s="1"/>
  <c r="G284" i="40"/>
  <c r="H284" i="40" s="1"/>
  <c r="G283" i="40"/>
  <c r="H283" i="40" s="1"/>
  <c r="G280" i="40"/>
  <c r="H280" i="40" s="1"/>
  <c r="G279" i="40"/>
  <c r="H279" i="40" s="1"/>
  <c r="G278" i="40"/>
  <c r="H278" i="40" s="1"/>
  <c r="G265" i="40"/>
  <c r="H265" i="40" s="1"/>
  <c r="G264" i="40"/>
  <c r="H264" i="40" s="1"/>
  <c r="G263" i="40"/>
  <c r="H263" i="40" s="1"/>
  <c r="G260" i="40"/>
  <c r="H260" i="40" s="1"/>
  <c r="G259" i="40"/>
  <c r="H259" i="40" s="1"/>
  <c r="G258" i="40"/>
  <c r="H258" i="40" s="1"/>
  <c r="G246" i="40"/>
  <c r="H246" i="40" s="1"/>
  <c r="G245" i="40"/>
  <c r="H245" i="40" s="1"/>
  <c r="G244" i="40"/>
  <c r="H244" i="40" s="1"/>
  <c r="G241" i="40"/>
  <c r="H241" i="40" s="1"/>
  <c r="G240" i="40"/>
  <c r="H240" i="40" s="1"/>
  <c r="G239" i="40"/>
  <c r="H239" i="40" s="1"/>
  <c r="G227" i="40"/>
  <c r="H227" i="40" s="1"/>
  <c r="G226" i="40"/>
  <c r="H226" i="40" s="1"/>
  <c r="G225" i="40"/>
  <c r="H225" i="40" s="1"/>
  <c r="G222" i="40"/>
  <c r="H222" i="40" s="1"/>
  <c r="G221" i="40"/>
  <c r="H221" i="40" s="1"/>
  <c r="G220" i="40"/>
  <c r="H220" i="40" s="1"/>
  <c r="G208" i="40"/>
  <c r="H208" i="40" s="1"/>
  <c r="G207" i="40"/>
  <c r="H207" i="40" s="1"/>
  <c r="G206" i="40"/>
  <c r="H206" i="40" s="1"/>
  <c r="G203" i="40"/>
  <c r="H203" i="40" s="1"/>
  <c r="G202" i="40"/>
  <c r="H202" i="40" s="1"/>
  <c r="G201" i="40"/>
  <c r="H201" i="40" s="1"/>
  <c r="G188" i="40"/>
  <c r="H188" i="40" s="1"/>
  <c r="G187" i="40"/>
  <c r="H187" i="40" s="1"/>
  <c r="G186" i="40"/>
  <c r="H186" i="40" s="1"/>
  <c r="G183" i="40"/>
  <c r="H183" i="40" s="1"/>
  <c r="G182" i="40"/>
  <c r="H182" i="40" s="1"/>
  <c r="G181" i="40"/>
  <c r="H181" i="40" s="1"/>
  <c r="G168" i="40"/>
  <c r="H168" i="40" s="1"/>
  <c r="G167" i="40"/>
  <c r="H167" i="40" s="1"/>
  <c r="G166" i="40"/>
  <c r="H166" i="40" s="1"/>
  <c r="G163" i="40"/>
  <c r="H163" i="40" s="1"/>
  <c r="G162" i="40"/>
  <c r="H162" i="40" s="1"/>
  <c r="G161" i="40"/>
  <c r="H161" i="40" s="1"/>
  <c r="G149" i="40"/>
  <c r="H149" i="40" s="1"/>
  <c r="G148" i="40"/>
  <c r="H148" i="40" s="1"/>
  <c r="G147" i="40"/>
  <c r="H147" i="40" s="1"/>
  <c r="G144" i="40"/>
  <c r="H144" i="40" s="1"/>
  <c r="G143" i="40"/>
  <c r="H143" i="40" s="1"/>
  <c r="G142" i="40"/>
  <c r="H142" i="40" s="1"/>
  <c r="G130" i="40"/>
  <c r="H130" i="40" s="1"/>
  <c r="G129" i="40"/>
  <c r="H129" i="40" s="1"/>
  <c r="G128" i="40"/>
  <c r="H128" i="40" s="1"/>
  <c r="G125" i="40"/>
  <c r="H125" i="40" s="1"/>
  <c r="G124" i="40"/>
  <c r="H124" i="40" s="1"/>
  <c r="G123" i="40"/>
  <c r="H123" i="40" s="1"/>
  <c r="G110" i="40"/>
  <c r="H110" i="40" s="1"/>
  <c r="G109" i="40"/>
  <c r="H109" i="40" s="1"/>
  <c r="G108" i="40"/>
  <c r="H108" i="40" s="1"/>
  <c r="G105" i="40"/>
  <c r="H105" i="40" s="1"/>
  <c r="G104" i="40"/>
  <c r="H104" i="40" s="1"/>
  <c r="G103" i="40"/>
  <c r="H103" i="40" s="1"/>
  <c r="G91" i="40"/>
  <c r="H91" i="40" s="1"/>
  <c r="G90" i="40"/>
  <c r="H90" i="40" s="1"/>
  <c r="G89" i="40"/>
  <c r="H89" i="40" s="1"/>
  <c r="G86" i="40"/>
  <c r="H86" i="40" s="1"/>
  <c r="G85" i="40"/>
  <c r="H85" i="40" s="1"/>
  <c r="G84" i="40"/>
  <c r="H84" i="40" s="1"/>
  <c r="G72" i="40"/>
  <c r="H72" i="40" s="1"/>
  <c r="G71" i="40"/>
  <c r="H71" i="40" s="1"/>
  <c r="G70" i="40"/>
  <c r="H70" i="40" s="1"/>
  <c r="G67" i="40"/>
  <c r="H67" i="40" s="1"/>
  <c r="G66" i="40"/>
  <c r="H66" i="40" s="1"/>
  <c r="G65" i="40"/>
  <c r="H65" i="40" s="1"/>
  <c r="G53" i="40"/>
  <c r="H53" i="40" s="1"/>
  <c r="G52" i="40"/>
  <c r="H52" i="40" s="1"/>
  <c r="G51" i="40"/>
  <c r="H51" i="40" s="1"/>
  <c r="G48" i="40"/>
  <c r="H48" i="40" s="1"/>
  <c r="G47" i="40"/>
  <c r="H47" i="40" s="1"/>
  <c r="G46" i="40"/>
  <c r="H46" i="40" s="1"/>
  <c r="E2426" i="27" l="1"/>
  <c r="E2459" i="27"/>
  <c r="E2493" i="27"/>
  <c r="E2427" i="27"/>
  <c r="E2460" i="27"/>
  <c r="E2494" i="27"/>
  <c r="E2428" i="27"/>
  <c r="E2461" i="27"/>
  <c r="E2495" i="27"/>
  <c r="E2429" i="27"/>
  <c r="E2462" i="27"/>
  <c r="E2496" i="27"/>
  <c r="E2430" i="27"/>
  <c r="E2463" i="27"/>
  <c r="E2497" i="27"/>
  <c r="E2431" i="27"/>
  <c r="E2464" i="27"/>
  <c r="E2498" i="27"/>
  <c r="E2432" i="27"/>
  <c r="E2465" i="27"/>
  <c r="E2499" i="27"/>
  <c r="E2414" i="27"/>
  <c r="E2433" i="27"/>
  <c r="E2466" i="27"/>
  <c r="E2501" i="27"/>
  <c r="E2415" i="27"/>
  <c r="E2418" i="27"/>
  <c r="E2469" i="27"/>
  <c r="E2500" i="27"/>
  <c r="E2419" i="27"/>
  <c r="E2452" i="27"/>
  <c r="E2470" i="27"/>
  <c r="E2420" i="27"/>
  <c r="E2453" i="27"/>
  <c r="E2487" i="27"/>
  <c r="E2591" i="27"/>
  <c r="E2421" i="27"/>
  <c r="E2454" i="27"/>
  <c r="E2488" i="27"/>
  <c r="E2422" i="27"/>
  <c r="E2489" i="27"/>
  <c r="E2590" i="27"/>
  <c r="E2423" i="27"/>
  <c r="E2490" i="27"/>
  <c r="E2424" i="27"/>
  <c r="E2457" i="27"/>
  <c r="E2491" i="27"/>
  <c r="E2425" i="27"/>
  <c r="E2458" i="27"/>
  <c r="E2492" i="27"/>
  <c r="E2455" i="27"/>
  <c r="E2456" i="27"/>
  <c r="H875" i="40"/>
  <c r="H913" i="40"/>
  <c r="H951" i="40"/>
  <c r="H989" i="40"/>
  <c r="H1027" i="40"/>
  <c r="H1081" i="40"/>
  <c r="H1087" i="40" s="1"/>
  <c r="H1145" i="40"/>
  <c r="H1151" i="40" s="1"/>
  <c r="H1231" i="40"/>
  <c r="H1251" i="40"/>
  <c r="H1271" i="40"/>
  <c r="H1377" i="40"/>
  <c r="H1392" i="40"/>
  <c r="H1412" i="40"/>
  <c r="H1433" i="40"/>
  <c r="H1454" i="40"/>
  <c r="H92" i="40"/>
  <c r="H131" i="40"/>
  <c r="H169" i="40"/>
  <c r="H209" i="40"/>
  <c r="H247" i="40"/>
  <c r="H87" i="40"/>
  <c r="H126" i="40"/>
  <c r="H164" i="40"/>
  <c r="H204" i="40"/>
  <c r="H242" i="40"/>
  <c r="H281" i="40"/>
  <c r="H320" i="40"/>
  <c r="H359" i="40"/>
  <c r="H398" i="40"/>
  <c r="H460" i="40"/>
  <c r="H474" i="40"/>
  <c r="H498" i="40"/>
  <c r="H570" i="40"/>
  <c r="H608" i="40"/>
  <c r="H646" i="40"/>
  <c r="H684" i="40"/>
  <c r="H722" i="40"/>
  <c r="H760" i="40"/>
  <c r="H798" i="40"/>
  <c r="H837" i="40"/>
  <c r="H1514" i="40"/>
  <c r="H1237" i="40"/>
  <c r="H1476" i="40"/>
  <c r="H1500" i="40"/>
  <c r="H1576" i="40"/>
  <c r="H479" i="40"/>
  <c r="H73" i="40"/>
  <c r="H111" i="40"/>
  <c r="H150" i="40"/>
  <c r="H189" i="40"/>
  <c r="H228" i="40"/>
  <c r="H266" i="40"/>
  <c r="H305" i="40"/>
  <c r="H344" i="40"/>
  <c r="H384" i="40"/>
  <c r="H455" i="40"/>
  <c r="H493" i="40"/>
  <c r="H532" i="40"/>
  <c r="H556" i="40"/>
  <c r="H594" i="40"/>
  <c r="H632" i="40"/>
  <c r="H670" i="40"/>
  <c r="H708" i="40"/>
  <c r="H746" i="40"/>
  <c r="H784" i="40"/>
  <c r="H823" i="40"/>
  <c r="H861" i="40"/>
  <c r="H899" i="40"/>
  <c r="H937" i="40"/>
  <c r="H975" i="40"/>
  <c r="H1013" i="40"/>
  <c r="H1097" i="40"/>
  <c r="H1103" i="40" s="1"/>
  <c r="H1161" i="40"/>
  <c r="H1178" i="40"/>
  <c r="H1185" i="40" s="1"/>
  <c r="H1371" i="40"/>
  <c r="H1495" i="40"/>
  <c r="H1557" i="40"/>
  <c r="H1571" i="40"/>
  <c r="H68" i="40"/>
  <c r="H106" i="40"/>
  <c r="H145" i="40"/>
  <c r="H184" i="40"/>
  <c r="H223" i="40"/>
  <c r="H261" i="40"/>
  <c r="H300" i="40"/>
  <c r="H339" i="40"/>
  <c r="H379" i="40"/>
  <c r="H417" i="40"/>
  <c r="H441" i="40"/>
  <c r="H517" i="40"/>
  <c r="H551" i="40"/>
  <c r="H589" i="40"/>
  <c r="H627" i="40"/>
  <c r="H665" i="40"/>
  <c r="H703" i="40"/>
  <c r="H741" i="40"/>
  <c r="H779" i="40"/>
  <c r="H818" i="40"/>
  <c r="H856" i="40"/>
  <c r="H894" i="40"/>
  <c r="H932" i="40"/>
  <c r="H970" i="40"/>
  <c r="H1008" i="40"/>
  <c r="H1047" i="40"/>
  <c r="H1053" i="40" s="1"/>
  <c r="H1113" i="40"/>
  <c r="H1119" i="40" s="1"/>
  <c r="H1195" i="40"/>
  <c r="H1202" i="40" s="1"/>
  <c r="H1296" i="40"/>
  <c r="H1317" i="40"/>
  <c r="H1352" i="40"/>
  <c r="H1538" i="40"/>
  <c r="H1552" i="40"/>
  <c r="H286" i="40"/>
  <c r="H325" i="40"/>
  <c r="H364" i="40"/>
  <c r="H403" i="40"/>
  <c r="H436" i="40"/>
  <c r="H512" i="40"/>
  <c r="H575" i="40"/>
  <c r="H613" i="40"/>
  <c r="H651" i="40"/>
  <c r="H689" i="40"/>
  <c r="H727" i="40"/>
  <c r="H765" i="40"/>
  <c r="H803" i="40"/>
  <c r="H842" i="40"/>
  <c r="H880" i="40"/>
  <c r="H918" i="40"/>
  <c r="H956" i="40"/>
  <c r="H994" i="40"/>
  <c r="H1032" i="40"/>
  <c r="H1064" i="40"/>
  <c r="H1070" i="40" s="1"/>
  <c r="H1129" i="40"/>
  <c r="H1135" i="40" s="1"/>
  <c r="H1213" i="40"/>
  <c r="H1257" i="40"/>
  <c r="H1290" i="40"/>
  <c r="H1311" i="40"/>
  <c r="H1332" i="40"/>
  <c r="H1398" i="40"/>
  <c r="H1418" i="40"/>
  <c r="H1439" i="40"/>
  <c r="H1460" i="40"/>
  <c r="H1519" i="40"/>
  <c r="H1533" i="40"/>
  <c r="H54" i="40"/>
  <c r="H49" i="40"/>
  <c r="G34" i="40"/>
  <c r="H34" i="40" s="1"/>
  <c r="G33" i="40"/>
  <c r="H33" i="40" s="1"/>
  <c r="G32" i="40"/>
  <c r="H32" i="40" s="1"/>
  <c r="G29" i="40"/>
  <c r="H29" i="40" s="1"/>
  <c r="G28" i="40"/>
  <c r="H28" i="40" s="1"/>
  <c r="G27" i="40"/>
  <c r="H27" i="40" s="1"/>
  <c r="G9" i="40"/>
  <c r="H9" i="40" s="1"/>
  <c r="G10" i="40"/>
  <c r="H10" i="40" s="1"/>
  <c r="G15" i="40"/>
  <c r="H15" i="40" s="1"/>
  <c r="G14" i="40"/>
  <c r="H14" i="40" s="1"/>
  <c r="G13" i="40"/>
  <c r="H13" i="40" s="1"/>
  <c r="G8" i="40"/>
  <c r="H8" i="40" s="1"/>
  <c r="G492" i="39"/>
  <c r="H492" i="39" s="1"/>
  <c r="G491" i="39"/>
  <c r="H491" i="39" s="1"/>
  <c r="G486" i="39"/>
  <c r="H486" i="39" s="1"/>
  <c r="G485" i="39"/>
  <c r="H485" i="39" s="1"/>
  <c r="G484" i="39"/>
  <c r="H484" i="39" s="1"/>
  <c r="G483" i="39"/>
  <c r="H483" i="39" s="1"/>
  <c r="G480" i="39"/>
  <c r="H480" i="39" s="1"/>
  <c r="G479" i="39"/>
  <c r="H479" i="39" s="1"/>
  <c r="H1300" i="40" l="1"/>
  <c r="H1422" i="40"/>
  <c r="H1423" i="40" s="1"/>
  <c r="H1424" i="40" s="1"/>
  <c r="I1406" i="40" s="1"/>
  <c r="H1260" i="40"/>
  <c r="H1261" i="40" s="1"/>
  <c r="H1262" i="40" s="1"/>
  <c r="I1245" i="40" s="1"/>
  <c r="H1381" i="40"/>
  <c r="H1382" i="40" s="1"/>
  <c r="H1383" i="40" s="1"/>
  <c r="I1365" i="40" s="1"/>
  <c r="H1443" i="40"/>
  <c r="H1444" i="40" s="1"/>
  <c r="H1445" i="40" s="1"/>
  <c r="I1427" i="40" s="1"/>
  <c r="H1402" i="40"/>
  <c r="H1403" i="40" s="1"/>
  <c r="H1404" i="40" s="1"/>
  <c r="I1386" i="40" s="1"/>
  <c r="H1240" i="40"/>
  <c r="H1241" i="40" s="1"/>
  <c r="H1242" i="40" s="1"/>
  <c r="I1225" i="40" s="1"/>
  <c r="H1464" i="40"/>
  <c r="H1465" i="40" s="1"/>
  <c r="H1466" i="40" s="1"/>
  <c r="I1448" i="40" s="1"/>
  <c r="H1321" i="40"/>
  <c r="H1322" i="40" s="1"/>
  <c r="H1323" i="40" s="1"/>
  <c r="I1305" i="40" s="1"/>
  <c r="H1301" i="40"/>
  <c r="H1302" i="40" s="1"/>
  <c r="I1284" i="40" s="1"/>
  <c r="H1203" i="40"/>
  <c r="H1204" i="40" s="1"/>
  <c r="I1189" i="40" s="1"/>
  <c r="H1186" i="40"/>
  <c r="H1187" i="40" s="1"/>
  <c r="I1172" i="40" s="1"/>
  <c r="H1152" i="40"/>
  <c r="H1153" i="40" s="1"/>
  <c r="I1139" i="40" s="1"/>
  <c r="H1136" i="40"/>
  <c r="H1137" i="40" s="1"/>
  <c r="I1123" i="40" s="1"/>
  <c r="H1120" i="40"/>
  <c r="H1121" i="40" s="1"/>
  <c r="I1107" i="40" s="1"/>
  <c r="H1104" i="40"/>
  <c r="H1105" i="40" s="1"/>
  <c r="I1091" i="40" s="1"/>
  <c r="H1088" i="40"/>
  <c r="H1089" i="40" s="1"/>
  <c r="I1075" i="40" s="1"/>
  <c r="H1054" i="40"/>
  <c r="H1055" i="40" s="1"/>
  <c r="I1041" i="40" s="1"/>
  <c r="H1071" i="40"/>
  <c r="H1072" i="40" s="1"/>
  <c r="I1058" i="40" s="1"/>
  <c r="H30" i="40"/>
  <c r="H35" i="40"/>
  <c r="H481" i="39"/>
  <c r="H11" i="40"/>
  <c r="H16" i="40"/>
  <c r="H487" i="39"/>
  <c r="G458" i="39"/>
  <c r="H458" i="39" s="1"/>
  <c r="G467" i="39"/>
  <c r="H467" i="39" s="1"/>
  <c r="G461" i="39"/>
  <c r="H461" i="39" s="1"/>
  <c r="G460" i="39"/>
  <c r="H460" i="39" s="1"/>
  <c r="G459" i="39"/>
  <c r="H459" i="39" s="1"/>
  <c r="G455" i="39"/>
  <c r="H455" i="39" s="1"/>
  <c r="G454" i="39"/>
  <c r="H454" i="39" s="1"/>
  <c r="G444" i="39"/>
  <c r="H444" i="39" s="1"/>
  <c r="G443" i="39"/>
  <c r="H443" i="39" s="1"/>
  <c r="G438" i="39"/>
  <c r="H438" i="39" s="1"/>
  <c r="G437" i="39"/>
  <c r="H437" i="39" s="1"/>
  <c r="G436" i="39"/>
  <c r="H436" i="39" s="1"/>
  <c r="G435" i="39"/>
  <c r="H435" i="39" s="1"/>
  <c r="G434" i="39"/>
  <c r="H434" i="39" s="1"/>
  <c r="G433" i="39"/>
  <c r="H433" i="39" s="1"/>
  <c r="G432" i="39"/>
  <c r="H432" i="39" s="1"/>
  <c r="G429" i="39"/>
  <c r="H429" i="39" s="1"/>
  <c r="G428" i="39"/>
  <c r="H428" i="39" s="1"/>
  <c r="G427" i="39"/>
  <c r="H427" i="39" s="1"/>
  <c r="G426" i="39"/>
  <c r="H426" i="39" s="1"/>
  <c r="G417" i="39"/>
  <c r="H417" i="39" s="1"/>
  <c r="G416" i="39"/>
  <c r="H416" i="39" s="1"/>
  <c r="G413" i="39"/>
  <c r="H413" i="39" s="1"/>
  <c r="G412" i="39"/>
  <c r="H412" i="39" s="1"/>
  <c r="G411" i="39"/>
  <c r="H411" i="39" s="1"/>
  <c r="G410" i="39"/>
  <c r="H410" i="39" s="1"/>
  <c r="G409" i="39"/>
  <c r="H409" i="39" s="1"/>
  <c r="G408" i="39"/>
  <c r="H408" i="39" s="1"/>
  <c r="G407" i="39"/>
  <c r="H407" i="39" s="1"/>
  <c r="G404" i="39"/>
  <c r="H404" i="39" s="1"/>
  <c r="G403" i="39"/>
  <c r="H403" i="39" s="1"/>
  <c r="G402" i="39"/>
  <c r="H402" i="39" s="1"/>
  <c r="G401" i="39"/>
  <c r="H401" i="39" s="1"/>
  <c r="H1374" i="1"/>
  <c r="G440" i="39" s="1"/>
  <c r="H440" i="39" s="1"/>
  <c r="H1373" i="1"/>
  <c r="G439" i="39" s="1"/>
  <c r="H439" i="39" s="1"/>
  <c r="G386" i="39"/>
  <c r="H386" i="39" s="1"/>
  <c r="G392" i="39"/>
  <c r="H392" i="39" s="1"/>
  <c r="G391" i="39"/>
  <c r="H391" i="39" s="1"/>
  <c r="G383" i="39"/>
  <c r="H383" i="39" s="1"/>
  <c r="G382" i="39"/>
  <c r="H382" i="39" s="1"/>
  <c r="G381" i="39"/>
  <c r="H381" i="39" s="1"/>
  <c r="G380" i="39"/>
  <c r="H380" i="39" s="1"/>
  <c r="G379" i="39"/>
  <c r="H379" i="39" s="1"/>
  <c r="G378" i="39"/>
  <c r="H378" i="39" s="1"/>
  <c r="G377" i="39"/>
  <c r="H377" i="39" s="1"/>
  <c r="G375" i="39"/>
  <c r="H375" i="39" s="1"/>
  <c r="G374" i="39"/>
  <c r="H374" i="39" s="1"/>
  <c r="G371" i="39"/>
  <c r="H371" i="39" s="1"/>
  <c r="G370" i="39"/>
  <c r="H370" i="39" s="1"/>
  <c r="G369" i="39"/>
  <c r="H369" i="39" s="1"/>
  <c r="G368" i="39"/>
  <c r="H368" i="39" s="1"/>
  <c r="G351" i="39"/>
  <c r="H351" i="39" s="1"/>
  <c r="G357" i="39"/>
  <c r="H357" i="39" s="1"/>
  <c r="G345" i="39"/>
  <c r="H345" i="39" s="1"/>
  <c r="G346" i="39"/>
  <c r="H346" i="39" s="1"/>
  <c r="G347" i="39"/>
  <c r="H347" i="39" s="1"/>
  <c r="G348" i="39"/>
  <c r="H348" i="39" s="1"/>
  <c r="G349" i="39"/>
  <c r="H349" i="39" s="1"/>
  <c r="G350" i="39"/>
  <c r="H350" i="39" s="1"/>
  <c r="G352" i="39"/>
  <c r="H352" i="39" s="1"/>
  <c r="G358" i="39"/>
  <c r="H358" i="39" s="1"/>
  <c r="G343" i="39"/>
  <c r="H343" i="39" s="1"/>
  <c r="G342" i="39"/>
  <c r="H342" i="39" s="1"/>
  <c r="G339" i="39"/>
  <c r="H339" i="39" s="1"/>
  <c r="G338" i="39"/>
  <c r="H338" i="39" s="1"/>
  <c r="G337" i="39"/>
  <c r="H337" i="39" s="1"/>
  <c r="G336" i="39"/>
  <c r="H336" i="39" s="1"/>
  <c r="G326" i="39"/>
  <c r="G322" i="39"/>
  <c r="H322" i="39" s="1"/>
  <c r="G323" i="39"/>
  <c r="H323" i="39" s="1"/>
  <c r="G321" i="39"/>
  <c r="H321" i="39" s="1"/>
  <c r="G320" i="39"/>
  <c r="H320" i="39" s="1"/>
  <c r="G317" i="39"/>
  <c r="H317" i="39" s="1"/>
  <c r="G316" i="39"/>
  <c r="H316" i="39" s="1"/>
  <c r="G315" i="39"/>
  <c r="H315" i="39" s="1"/>
  <c r="G314" i="39"/>
  <c r="H314" i="39" s="1"/>
  <c r="H306" i="39"/>
  <c r="G303" i="39"/>
  <c r="H303" i="39" s="1"/>
  <c r="G302" i="39"/>
  <c r="H302" i="39" s="1"/>
  <c r="G301" i="39"/>
  <c r="H301" i="39" s="1"/>
  <c r="G298" i="39"/>
  <c r="H298" i="39" s="1"/>
  <c r="G297" i="39"/>
  <c r="H297" i="39" s="1"/>
  <c r="G296" i="39"/>
  <c r="H296" i="39" s="1"/>
  <c r="G295" i="39"/>
  <c r="H295" i="39" s="1"/>
  <c r="G285" i="39"/>
  <c r="H285" i="39" s="1"/>
  <c r="G279" i="39"/>
  <c r="H279" i="39" s="1"/>
  <c r="G280" i="39"/>
  <c r="H280" i="39" s="1"/>
  <c r="G278" i="39"/>
  <c r="H278" i="39" s="1"/>
  <c r="G277" i="39"/>
  <c r="H277" i="39" s="1"/>
  <c r="G275" i="39"/>
  <c r="H275" i="39" s="1"/>
  <c r="G274" i="39"/>
  <c r="H274" i="39" s="1"/>
  <c r="G271" i="39"/>
  <c r="H271" i="39" s="1"/>
  <c r="G270" i="39"/>
  <c r="H270" i="39" s="1"/>
  <c r="G269" i="39"/>
  <c r="H269" i="39" s="1"/>
  <c r="G268" i="39"/>
  <c r="H268" i="39" s="1"/>
  <c r="H57" i="1"/>
  <c r="G1002" i="46" s="1"/>
  <c r="H1002" i="46" s="1"/>
  <c r="H1006" i="46" s="1"/>
  <c r="H1011" i="46" s="1"/>
  <c r="G253" i="39"/>
  <c r="H253" i="39" s="1"/>
  <c r="H254" i="39"/>
  <c r="G255" i="39"/>
  <c r="H255" i="39" s="1"/>
  <c r="G246" i="39"/>
  <c r="H246" i="39" s="1"/>
  <c r="G247" i="39"/>
  <c r="H247" i="39" s="1"/>
  <c r="G251" i="39"/>
  <c r="H251" i="39" s="1"/>
  <c r="G250" i="39"/>
  <c r="H250" i="39" s="1"/>
  <c r="G245" i="39"/>
  <c r="H245" i="39" s="1"/>
  <c r="G244" i="39"/>
  <c r="H244" i="39" s="1"/>
  <c r="H233" i="39"/>
  <c r="G230" i="39"/>
  <c r="H230" i="39" s="1"/>
  <c r="G229" i="39"/>
  <c r="H229" i="39" s="1"/>
  <c r="G228" i="39"/>
  <c r="H228" i="39" s="1"/>
  <c r="G225" i="39"/>
  <c r="H225" i="39" s="1"/>
  <c r="G224" i="39"/>
  <c r="H224" i="39" s="1"/>
  <c r="G223" i="39"/>
  <c r="H223" i="39" s="1"/>
  <c r="H215" i="39"/>
  <c r="G212" i="39"/>
  <c r="H212" i="39" s="1"/>
  <c r="G211" i="39"/>
  <c r="H211" i="39" s="1"/>
  <c r="G210" i="39"/>
  <c r="H210" i="39" s="1"/>
  <c r="G207" i="39"/>
  <c r="H207" i="39" s="1"/>
  <c r="G206" i="39"/>
  <c r="H206" i="39" s="1"/>
  <c r="G205" i="39"/>
  <c r="H205" i="39" s="1"/>
  <c r="H197" i="39"/>
  <c r="G194" i="39"/>
  <c r="H194" i="39" s="1"/>
  <c r="G193" i="39"/>
  <c r="H193" i="39" s="1"/>
  <c r="G192" i="39"/>
  <c r="H192" i="39" s="1"/>
  <c r="G189" i="39"/>
  <c r="H189" i="39" s="1"/>
  <c r="G188" i="39"/>
  <c r="H188" i="39" s="1"/>
  <c r="G187" i="39"/>
  <c r="H187" i="39" s="1"/>
  <c r="H178" i="39"/>
  <c r="G175" i="39"/>
  <c r="H175" i="39" s="1"/>
  <c r="G174" i="39"/>
  <c r="H174" i="39" s="1"/>
  <c r="G173" i="39"/>
  <c r="H173" i="39" s="1"/>
  <c r="G170" i="39"/>
  <c r="H170" i="39" s="1"/>
  <c r="G169" i="39"/>
  <c r="H169" i="39" s="1"/>
  <c r="G168" i="39"/>
  <c r="H168" i="39" s="1"/>
  <c r="G154" i="39"/>
  <c r="H154" i="39" s="1"/>
  <c r="G153" i="39"/>
  <c r="H153" i="39" s="1"/>
  <c r="G152" i="39"/>
  <c r="H152" i="39" s="1"/>
  <c r="G149" i="39"/>
  <c r="H149" i="39" s="1"/>
  <c r="G148" i="39"/>
  <c r="H148" i="39" s="1"/>
  <c r="G147" i="39"/>
  <c r="H147" i="39" s="1"/>
  <c r="G146" i="39"/>
  <c r="H146" i="39" s="1"/>
  <c r="G134" i="39"/>
  <c r="H134" i="39" s="1"/>
  <c r="G133" i="39"/>
  <c r="H133" i="39" s="1"/>
  <c r="G132" i="39"/>
  <c r="H132" i="39" s="1"/>
  <c r="G129" i="39"/>
  <c r="H129" i="39" s="1"/>
  <c r="G128" i="39"/>
  <c r="H128" i="39" s="1"/>
  <c r="G127" i="39"/>
  <c r="H127" i="39" s="1"/>
  <c r="G126" i="39"/>
  <c r="H126" i="39" s="1"/>
  <c r="H118" i="39"/>
  <c r="G115" i="39"/>
  <c r="H115" i="39" s="1"/>
  <c r="G114" i="39"/>
  <c r="H114" i="39" s="1"/>
  <c r="G113" i="39"/>
  <c r="H113" i="39" s="1"/>
  <c r="G110" i="39"/>
  <c r="H110" i="39" s="1"/>
  <c r="G109" i="39"/>
  <c r="H109" i="39" s="1"/>
  <c r="G108" i="39"/>
  <c r="H108" i="39" s="1"/>
  <c r="G107" i="39"/>
  <c r="H107" i="39" s="1"/>
  <c r="H1012" i="46" l="1"/>
  <c r="H1013" i="46" s="1"/>
  <c r="K991" i="46" s="1"/>
  <c r="G252" i="39"/>
  <c r="H252" i="39" s="1"/>
  <c r="H256" i="39" s="1"/>
  <c r="E2271" i="27"/>
  <c r="E2272" i="27"/>
  <c r="E2273" i="27"/>
  <c r="E2275" i="27"/>
  <c r="E2276" i="27"/>
  <c r="E2282" i="27"/>
  <c r="E2288" i="27"/>
  <c r="E2283" i="27"/>
  <c r="E2290" i="27"/>
  <c r="E2279" i="27"/>
  <c r="E2287" i="27"/>
  <c r="E2289" i="27"/>
  <c r="E2268" i="27"/>
  <c r="E2286" i="27"/>
  <c r="E2267" i="27"/>
  <c r="E2280" i="27"/>
  <c r="E2269" i="27"/>
  <c r="E2270" i="27"/>
  <c r="H418" i="39"/>
  <c r="H456" i="39"/>
  <c r="H445" i="39"/>
  <c r="H462" i="39"/>
  <c r="H405" i="39"/>
  <c r="H414" i="39"/>
  <c r="H372" i="39"/>
  <c r="H430" i="39"/>
  <c r="H441" i="39"/>
  <c r="G376" i="39"/>
  <c r="H376" i="39" s="1"/>
  <c r="G344" i="39"/>
  <c r="H344" i="39" s="1"/>
  <c r="H353" i="39" s="1"/>
  <c r="G276" i="39"/>
  <c r="H276" i="39" s="1"/>
  <c r="H281" i="39" s="1"/>
  <c r="H340" i="39"/>
  <c r="H326" i="39"/>
  <c r="H327" i="39" s="1"/>
  <c r="H318" i="39"/>
  <c r="H324" i="39"/>
  <c r="H272" i="39"/>
  <c r="H304" i="39"/>
  <c r="H299" i="39"/>
  <c r="H248" i="39"/>
  <c r="H208" i="39"/>
  <c r="H226" i="39"/>
  <c r="H231" i="39"/>
  <c r="H213" i="39"/>
  <c r="H190" i="39"/>
  <c r="H176" i="39"/>
  <c r="H195" i="39"/>
  <c r="H111" i="39"/>
  <c r="H171" i="39"/>
  <c r="H155" i="39"/>
  <c r="H150" i="39"/>
  <c r="H130" i="39"/>
  <c r="H135" i="39"/>
  <c r="H116" i="39"/>
  <c r="F148" i="53" l="1"/>
  <c r="G148" i="53" s="1"/>
  <c r="G150" i="53" s="1"/>
  <c r="F148" i="54"/>
  <c r="F60" i="50"/>
  <c r="G60" i="50" s="1"/>
  <c r="G159" i="52"/>
  <c r="H419" i="39"/>
  <c r="H420" i="39" s="1"/>
  <c r="H421" i="39" s="1"/>
  <c r="I398" i="39" s="1"/>
  <c r="H446" i="39"/>
  <c r="H447" i="39" s="1"/>
  <c r="H448" i="39" s="1"/>
  <c r="I423" i="39" s="1"/>
  <c r="H328" i="39"/>
  <c r="H329" i="39" s="1"/>
  <c r="H307" i="39"/>
  <c r="H216" i="39"/>
  <c r="H217" i="39" s="1"/>
  <c r="H218" i="39" s="1"/>
  <c r="I202" i="39" s="1"/>
  <c r="H234" i="39"/>
  <c r="H235" i="39" s="1"/>
  <c r="H236" i="39" s="1"/>
  <c r="I220" i="39" s="1"/>
  <c r="H179" i="39"/>
  <c r="H180" i="39" s="1"/>
  <c r="H181" i="39" s="1"/>
  <c r="I165" i="39" s="1"/>
  <c r="H198" i="39"/>
  <c r="H199" i="39" s="1"/>
  <c r="H200" i="39" s="1"/>
  <c r="I184" i="39" s="1"/>
  <c r="H119" i="39"/>
  <c r="H120" i="39" s="1"/>
  <c r="H121" i="39" s="1"/>
  <c r="I104" i="39" s="1"/>
  <c r="G148" i="54" l="1"/>
  <c r="G150" i="54" s="1"/>
  <c r="F20" i="53"/>
  <c r="G20" i="53" s="1"/>
  <c r="H159" i="52"/>
  <c r="H161" i="52" s="1"/>
  <c r="E2191" i="27"/>
  <c r="E2186" i="27"/>
  <c r="E2193" i="27"/>
  <c r="E2190" i="27"/>
  <c r="E2192" i="27"/>
  <c r="E2204" i="27"/>
  <c r="E2203" i="27"/>
  <c r="H330" i="39"/>
  <c r="I311" i="39" s="1"/>
  <c r="H308" i="39"/>
  <c r="H309" i="39" s="1"/>
  <c r="I292" i="39" s="1"/>
  <c r="F20" i="54" l="1"/>
  <c r="G20" i="54" s="1"/>
  <c r="G22" i="52"/>
  <c r="H22" i="52" s="1"/>
  <c r="E2199" i="27"/>
  <c r="E2198" i="27"/>
  <c r="H99" i="39"/>
  <c r="G96" i="39"/>
  <c r="H96" i="39" s="1"/>
  <c r="G95" i="39"/>
  <c r="H95" i="39" s="1"/>
  <c r="G94" i="39"/>
  <c r="H94" i="39" s="1"/>
  <c r="G91" i="39"/>
  <c r="H91" i="39" s="1"/>
  <c r="G90" i="39"/>
  <c r="H90" i="39" s="1"/>
  <c r="G89" i="39"/>
  <c r="H89" i="39" s="1"/>
  <c r="G88" i="39"/>
  <c r="H88" i="39" s="1"/>
  <c r="H97" i="39" l="1"/>
  <c r="H92" i="39"/>
  <c r="G76" i="39"/>
  <c r="H76" i="39" s="1"/>
  <c r="G75" i="39"/>
  <c r="H75" i="39" s="1"/>
  <c r="G74" i="39"/>
  <c r="H74" i="39" s="1"/>
  <c r="G71" i="39"/>
  <c r="H71" i="39" s="1"/>
  <c r="G70" i="39"/>
  <c r="H70" i="39" s="1"/>
  <c r="G69" i="39"/>
  <c r="H69" i="39" s="1"/>
  <c r="G68" i="39"/>
  <c r="H68" i="39" s="1"/>
  <c r="G56" i="39"/>
  <c r="H56" i="39" s="1"/>
  <c r="G55" i="39"/>
  <c r="H55" i="39" s="1"/>
  <c r="G54" i="39"/>
  <c r="H54" i="39" s="1"/>
  <c r="G51" i="39"/>
  <c r="H51" i="39" s="1"/>
  <c r="G50" i="39"/>
  <c r="H50" i="39" s="1"/>
  <c r="G49" i="39"/>
  <c r="H49" i="39" s="1"/>
  <c r="G48" i="39"/>
  <c r="H48" i="39" s="1"/>
  <c r="G37" i="39"/>
  <c r="H37" i="39" s="1"/>
  <c r="G36" i="39"/>
  <c r="H36" i="39" s="1"/>
  <c r="G35" i="39"/>
  <c r="H35" i="39" s="1"/>
  <c r="G32" i="39"/>
  <c r="H32" i="39" s="1"/>
  <c r="G31" i="39"/>
  <c r="H31" i="39" s="1"/>
  <c r="G30" i="39"/>
  <c r="H30" i="39" s="1"/>
  <c r="G29" i="39"/>
  <c r="H29" i="39" s="1"/>
  <c r="G12" i="39"/>
  <c r="H12" i="39" s="1"/>
  <c r="G11" i="39"/>
  <c r="H11" i="39" s="1"/>
  <c r="G10" i="39"/>
  <c r="H10" i="39" s="1"/>
  <c r="G9" i="39"/>
  <c r="H9" i="39" s="1"/>
  <c r="H16" i="38"/>
  <c r="G14" i="38"/>
  <c r="H14" i="38" s="1"/>
  <c r="G15" i="38"/>
  <c r="H15" i="38" s="1"/>
  <c r="G17" i="38"/>
  <c r="H17" i="38" s="1"/>
  <c r="G18" i="38"/>
  <c r="H18" i="38" s="1"/>
  <c r="G19" i="38"/>
  <c r="H19" i="38" s="1"/>
  <c r="G20" i="38"/>
  <c r="H20" i="38" s="1"/>
  <c r="G13" i="38"/>
  <c r="H13" i="38" s="1"/>
  <c r="G10" i="38"/>
  <c r="H10" i="38" s="1"/>
  <c r="G9" i="38"/>
  <c r="H9" i="38" s="1"/>
  <c r="G8" i="38"/>
  <c r="H8" i="38" s="1"/>
  <c r="G7" i="38"/>
  <c r="H7" i="38" s="1"/>
  <c r="G5220" i="37"/>
  <c r="H5220" i="37" s="1"/>
  <c r="H5221" i="37" s="1"/>
  <c r="G5217" i="37"/>
  <c r="H5217" i="37" s="1"/>
  <c r="G5216" i="37"/>
  <c r="H5216" i="37" s="1"/>
  <c r="G5215" i="37"/>
  <c r="H5215" i="37" s="1"/>
  <c r="G5214" i="37"/>
  <c r="H5214" i="37" s="1"/>
  <c r="G5203" i="37"/>
  <c r="H5203" i="37" s="1"/>
  <c r="H5204" i="37" s="1"/>
  <c r="G5200" i="37"/>
  <c r="H5200" i="37" s="1"/>
  <c r="G5199" i="37"/>
  <c r="H5199" i="37" s="1"/>
  <c r="G5198" i="37"/>
  <c r="H5198" i="37" s="1"/>
  <c r="G5197" i="37"/>
  <c r="H5197" i="37" s="1"/>
  <c r="G5186" i="37"/>
  <c r="H5186" i="37" s="1"/>
  <c r="H5187" i="37" s="1"/>
  <c r="G5183" i="37"/>
  <c r="H5183" i="37" s="1"/>
  <c r="G5182" i="37"/>
  <c r="H5182" i="37" s="1"/>
  <c r="G5181" i="37"/>
  <c r="H5181" i="37" s="1"/>
  <c r="G5180" i="37"/>
  <c r="H5180" i="37" s="1"/>
  <c r="G5168" i="37"/>
  <c r="H5168" i="37" s="1"/>
  <c r="H5169" i="37" s="1"/>
  <c r="G5165" i="37"/>
  <c r="H5165" i="37" s="1"/>
  <c r="G5164" i="37"/>
  <c r="H5164" i="37" s="1"/>
  <c r="G5163" i="37"/>
  <c r="H5163" i="37" s="1"/>
  <c r="G5162" i="37"/>
  <c r="H5162" i="37" s="1"/>
  <c r="G5151" i="37"/>
  <c r="H5151" i="37" s="1"/>
  <c r="H5152" i="37" s="1"/>
  <c r="G5148" i="37"/>
  <c r="H5148" i="37" s="1"/>
  <c r="G5147" i="37"/>
  <c r="H5147" i="37" s="1"/>
  <c r="G5146" i="37"/>
  <c r="H5146" i="37" s="1"/>
  <c r="G5145" i="37"/>
  <c r="H5145" i="37" s="1"/>
  <c r="H853" i="1"/>
  <c r="G5133" i="37" s="1"/>
  <c r="H5133" i="37" s="1"/>
  <c r="H5134" i="37" s="1"/>
  <c r="G5130" i="37"/>
  <c r="H5130" i="37" s="1"/>
  <c r="G5129" i="37"/>
  <c r="H5129" i="37" s="1"/>
  <c r="G5128" i="37"/>
  <c r="H5128" i="37" s="1"/>
  <c r="G5127" i="37"/>
  <c r="H5127" i="37" s="1"/>
  <c r="G5115" i="37"/>
  <c r="H5115" i="37" s="1"/>
  <c r="H5116" i="37" s="1"/>
  <c r="G5112" i="37"/>
  <c r="H5112" i="37" s="1"/>
  <c r="G5111" i="37"/>
  <c r="H5111" i="37" s="1"/>
  <c r="G5110" i="37"/>
  <c r="H5110" i="37" s="1"/>
  <c r="G5109" i="37"/>
  <c r="H5109" i="37" s="1"/>
  <c r="G5094" i="37"/>
  <c r="H5094" i="37" s="1"/>
  <c r="G5093" i="37"/>
  <c r="H5093" i="37" s="1"/>
  <c r="G5092" i="37"/>
  <c r="H5092" i="37" s="1"/>
  <c r="G5091" i="37"/>
  <c r="H5091" i="37" s="1"/>
  <c r="G5079" i="37"/>
  <c r="H5079" i="37" s="1"/>
  <c r="H5080" i="37" s="1"/>
  <c r="G5076" i="37"/>
  <c r="H5076" i="37" s="1"/>
  <c r="G5075" i="37"/>
  <c r="H5075" i="37" s="1"/>
  <c r="G5074" i="37"/>
  <c r="H5074" i="37" s="1"/>
  <c r="G5073" i="37"/>
  <c r="H5073" i="37" s="1"/>
  <c r="G5061" i="37"/>
  <c r="H5061" i="37" s="1"/>
  <c r="H5062" i="37" s="1"/>
  <c r="G5058" i="37"/>
  <c r="H5058" i="37" s="1"/>
  <c r="G5057" i="37"/>
  <c r="H5057" i="37" s="1"/>
  <c r="G5056" i="37"/>
  <c r="H5056" i="37" s="1"/>
  <c r="G5055" i="37"/>
  <c r="H5055" i="37" s="1"/>
  <c r="G5042" i="37"/>
  <c r="H5042" i="37" s="1"/>
  <c r="H5043" i="37" s="1"/>
  <c r="G5039" i="37"/>
  <c r="H5039" i="37" s="1"/>
  <c r="G5038" i="37"/>
  <c r="H5038" i="37" s="1"/>
  <c r="G5037" i="37"/>
  <c r="H5037" i="37" s="1"/>
  <c r="G5036" i="37"/>
  <c r="H5036" i="37" s="1"/>
  <c r="G5025" i="37"/>
  <c r="H5025" i="37" s="1"/>
  <c r="H5026" i="37" s="1"/>
  <c r="G5022" i="37"/>
  <c r="H5022" i="37" s="1"/>
  <c r="G5021" i="37"/>
  <c r="H5021" i="37" s="1"/>
  <c r="G5020" i="37"/>
  <c r="H5020" i="37" s="1"/>
  <c r="G5019" i="37"/>
  <c r="H5019" i="37" s="1"/>
  <c r="G5008" i="37"/>
  <c r="H5008" i="37" s="1"/>
  <c r="H5009" i="37" s="1"/>
  <c r="G5005" i="37"/>
  <c r="H5005" i="37" s="1"/>
  <c r="G5004" i="37"/>
  <c r="H5004" i="37" s="1"/>
  <c r="G5003" i="37"/>
  <c r="H5003" i="37" s="1"/>
  <c r="G5002" i="37"/>
  <c r="H5002" i="37" s="1"/>
  <c r="G4991" i="37"/>
  <c r="H4991" i="37" s="1"/>
  <c r="H4992" i="37" s="1"/>
  <c r="G4988" i="37"/>
  <c r="H4988" i="37" s="1"/>
  <c r="G4987" i="37"/>
  <c r="H4987" i="37" s="1"/>
  <c r="G4986" i="37"/>
  <c r="H4986" i="37" s="1"/>
  <c r="G4985" i="37"/>
  <c r="H4985" i="37" s="1"/>
  <c r="G4971" i="37"/>
  <c r="H4971" i="37" s="1"/>
  <c r="G4970" i="37"/>
  <c r="H4970" i="37" s="1"/>
  <c r="G4969" i="37"/>
  <c r="H4969" i="37" s="1"/>
  <c r="G4968" i="37"/>
  <c r="H4968" i="37" s="1"/>
  <c r="G4954" i="37"/>
  <c r="H4954" i="37" s="1"/>
  <c r="G4953" i="37"/>
  <c r="H4953" i="37" s="1"/>
  <c r="G4952" i="37"/>
  <c r="H4952" i="37" s="1"/>
  <c r="G4951" i="37"/>
  <c r="H4951" i="37" s="1"/>
  <c r="G4936" i="37"/>
  <c r="H4936" i="37" s="1"/>
  <c r="G4935" i="37"/>
  <c r="H4935" i="37" s="1"/>
  <c r="G4934" i="37"/>
  <c r="H4934" i="37" s="1"/>
  <c r="G4933" i="37"/>
  <c r="H4933" i="37" s="1"/>
  <c r="G4918" i="37"/>
  <c r="H4918" i="37" s="1"/>
  <c r="G4917" i="37"/>
  <c r="H4917" i="37" s="1"/>
  <c r="G4916" i="37"/>
  <c r="H4916" i="37" s="1"/>
  <c r="G4915" i="37"/>
  <c r="H4915" i="37" s="1"/>
  <c r="G4901" i="37"/>
  <c r="H4901" i="37" s="1"/>
  <c r="G4900" i="37"/>
  <c r="H4900" i="37" s="1"/>
  <c r="G4899" i="37"/>
  <c r="H4899" i="37" s="1"/>
  <c r="G4898" i="37"/>
  <c r="H4898" i="37" s="1"/>
  <c r="G4884" i="37"/>
  <c r="H4884" i="37" s="1"/>
  <c r="G4883" i="37"/>
  <c r="H4883" i="37" s="1"/>
  <c r="G4882" i="37"/>
  <c r="H4882" i="37" s="1"/>
  <c r="G4881" i="37"/>
  <c r="H4881" i="37" s="1"/>
  <c r="G4867" i="37"/>
  <c r="H4867" i="37" s="1"/>
  <c r="G4866" i="37"/>
  <c r="H4866" i="37" s="1"/>
  <c r="G4865" i="37"/>
  <c r="H4865" i="37" s="1"/>
  <c r="G4864" i="37"/>
  <c r="H4864" i="37" s="1"/>
  <c r="G4850" i="37"/>
  <c r="H4850" i="37" s="1"/>
  <c r="G4849" i="37"/>
  <c r="H4849" i="37" s="1"/>
  <c r="G4848" i="37"/>
  <c r="H4848" i="37" s="1"/>
  <c r="G4847" i="37"/>
  <c r="H4847" i="37" s="1"/>
  <c r="G4835" i="37"/>
  <c r="H4835" i="37" s="1"/>
  <c r="H4836" i="37" s="1"/>
  <c r="G4832" i="37"/>
  <c r="H4832" i="37" s="1"/>
  <c r="G4831" i="37"/>
  <c r="H4831" i="37" s="1"/>
  <c r="G4830" i="37"/>
  <c r="H4830" i="37" s="1"/>
  <c r="G4829" i="37"/>
  <c r="H4829" i="37" s="1"/>
  <c r="G4818" i="37"/>
  <c r="H4818" i="37" s="1"/>
  <c r="H4819" i="37" s="1"/>
  <c r="G4815" i="37"/>
  <c r="H4815" i="37" s="1"/>
  <c r="G4814" i="37"/>
  <c r="H4814" i="37" s="1"/>
  <c r="G4813" i="37"/>
  <c r="H4813" i="37" s="1"/>
  <c r="G4812" i="37"/>
  <c r="H4812" i="37" s="1"/>
  <c r="G4801" i="37"/>
  <c r="H4801" i="37" s="1"/>
  <c r="H4802" i="37" s="1"/>
  <c r="G4798" i="37"/>
  <c r="H4798" i="37" s="1"/>
  <c r="G4797" i="37"/>
  <c r="H4797" i="37" s="1"/>
  <c r="G4796" i="37"/>
  <c r="H4796" i="37" s="1"/>
  <c r="G4795" i="37"/>
  <c r="H4795" i="37" s="1"/>
  <c r="G4783" i="37"/>
  <c r="H4783" i="37" s="1"/>
  <c r="H4784" i="37" s="1"/>
  <c r="G4780" i="37"/>
  <c r="H4780" i="37" s="1"/>
  <c r="G4779" i="37"/>
  <c r="H4779" i="37" s="1"/>
  <c r="G4778" i="37"/>
  <c r="H4778" i="37" s="1"/>
  <c r="G4777" i="37"/>
  <c r="H4777" i="37" s="1"/>
  <c r="G4766" i="37"/>
  <c r="H4766" i="37" s="1"/>
  <c r="H4767" i="37" s="1"/>
  <c r="G4763" i="37"/>
  <c r="H4763" i="37" s="1"/>
  <c r="G4762" i="37"/>
  <c r="H4762" i="37" s="1"/>
  <c r="G4761" i="37"/>
  <c r="H4761" i="37" s="1"/>
  <c r="G4760" i="37"/>
  <c r="H4760" i="37" s="1"/>
  <c r="G4749" i="37"/>
  <c r="H4749" i="37" s="1"/>
  <c r="H4750" i="37" s="1"/>
  <c r="G4746" i="37"/>
  <c r="H4746" i="37" s="1"/>
  <c r="G4745" i="37"/>
  <c r="H4745" i="37" s="1"/>
  <c r="G4744" i="37"/>
  <c r="H4744" i="37" s="1"/>
  <c r="G4743" i="37"/>
  <c r="H4743" i="37" s="1"/>
  <c r="G4732" i="37"/>
  <c r="H4732" i="37" s="1"/>
  <c r="H4733" i="37" s="1"/>
  <c r="G4729" i="37"/>
  <c r="H4729" i="37" s="1"/>
  <c r="G4728" i="37"/>
  <c r="H4728" i="37" s="1"/>
  <c r="G4727" i="37"/>
  <c r="H4727" i="37" s="1"/>
  <c r="G4726" i="37"/>
  <c r="H4726" i="37" s="1"/>
  <c r="G4715" i="37"/>
  <c r="H4715" i="37" s="1"/>
  <c r="H4716" i="37" s="1"/>
  <c r="G4712" i="37"/>
  <c r="H4712" i="37" s="1"/>
  <c r="G4711" i="37"/>
  <c r="H4711" i="37" s="1"/>
  <c r="G4710" i="37"/>
  <c r="H4710" i="37" s="1"/>
  <c r="G4709" i="37"/>
  <c r="H4709" i="37" s="1"/>
  <c r="G4698" i="37"/>
  <c r="H4698" i="37" s="1"/>
  <c r="H4699" i="37" s="1"/>
  <c r="G4695" i="37"/>
  <c r="H4695" i="37" s="1"/>
  <c r="G4694" i="37"/>
  <c r="H4694" i="37" s="1"/>
  <c r="G4693" i="37"/>
  <c r="H4693" i="37" s="1"/>
  <c r="G4692" i="37"/>
  <c r="H4692" i="37" s="1"/>
  <c r="G4680" i="37"/>
  <c r="H4680" i="37" s="1"/>
  <c r="H4681" i="37" s="1"/>
  <c r="G4677" i="37"/>
  <c r="H4677" i="37" s="1"/>
  <c r="G4676" i="37"/>
  <c r="H4676" i="37" s="1"/>
  <c r="G4675" i="37"/>
  <c r="H4675" i="37" s="1"/>
  <c r="G4674" i="37"/>
  <c r="H4674" i="37" s="1"/>
  <c r="G4663" i="37"/>
  <c r="H4663" i="37" s="1"/>
  <c r="H4664" i="37" s="1"/>
  <c r="G4660" i="37"/>
  <c r="H4660" i="37" s="1"/>
  <c r="G4659" i="37"/>
  <c r="H4659" i="37" s="1"/>
  <c r="G4658" i="37"/>
  <c r="H4658" i="37" s="1"/>
  <c r="G4657" i="37"/>
  <c r="H4657" i="37" s="1"/>
  <c r="G4646" i="37"/>
  <c r="H4646" i="37" s="1"/>
  <c r="H4647" i="37" s="1"/>
  <c r="G4643" i="37"/>
  <c r="H4643" i="37" s="1"/>
  <c r="G4642" i="37"/>
  <c r="H4642" i="37" s="1"/>
  <c r="G4641" i="37"/>
  <c r="H4641" i="37" s="1"/>
  <c r="G4640" i="37"/>
  <c r="H4640" i="37" s="1"/>
  <c r="G4629" i="37"/>
  <c r="H4629" i="37" s="1"/>
  <c r="H4630" i="37" s="1"/>
  <c r="G4626" i="37"/>
  <c r="H4626" i="37" s="1"/>
  <c r="G4625" i="37"/>
  <c r="H4625" i="37" s="1"/>
  <c r="G4624" i="37"/>
  <c r="H4624" i="37" s="1"/>
  <c r="G4623" i="37"/>
  <c r="H4623" i="37" s="1"/>
  <c r="G4612" i="37"/>
  <c r="H4612" i="37" s="1"/>
  <c r="H4613" i="37" s="1"/>
  <c r="G4609" i="37"/>
  <c r="H4609" i="37" s="1"/>
  <c r="G4608" i="37"/>
  <c r="H4608" i="37" s="1"/>
  <c r="G4607" i="37"/>
  <c r="H4607" i="37" s="1"/>
  <c r="G4606" i="37"/>
  <c r="H4606" i="37" s="1"/>
  <c r="G4595" i="37"/>
  <c r="H4595" i="37" s="1"/>
  <c r="H4596" i="37" s="1"/>
  <c r="G4592" i="37"/>
  <c r="H4592" i="37" s="1"/>
  <c r="G4591" i="37"/>
  <c r="H4591" i="37" s="1"/>
  <c r="G4590" i="37"/>
  <c r="H4590" i="37" s="1"/>
  <c r="G4589" i="37"/>
  <c r="H4589" i="37" s="1"/>
  <c r="G4578" i="37"/>
  <c r="H4578" i="37" s="1"/>
  <c r="H4579" i="37" s="1"/>
  <c r="G4575" i="37"/>
  <c r="H4575" i="37" s="1"/>
  <c r="G4574" i="37"/>
  <c r="H4574" i="37" s="1"/>
  <c r="G4573" i="37"/>
  <c r="H4573" i="37" s="1"/>
  <c r="G4572" i="37"/>
  <c r="H4572" i="37" s="1"/>
  <c r="G4561" i="37"/>
  <c r="H4561" i="37" s="1"/>
  <c r="H4562" i="37" s="1"/>
  <c r="G4558" i="37"/>
  <c r="H4558" i="37" s="1"/>
  <c r="G4557" i="37"/>
  <c r="H4557" i="37" s="1"/>
  <c r="G4556" i="37"/>
  <c r="H4556" i="37" s="1"/>
  <c r="G4555" i="37"/>
  <c r="H4555" i="37" s="1"/>
  <c r="G4540" i="37"/>
  <c r="H4540" i="37" s="1"/>
  <c r="G4539" i="37"/>
  <c r="H4539" i="37" s="1"/>
  <c r="G4538" i="37"/>
  <c r="H4538" i="37" s="1"/>
  <c r="G4537" i="37"/>
  <c r="H4537" i="37" s="1"/>
  <c r="G4525" i="37"/>
  <c r="H4525" i="37" s="1"/>
  <c r="H4526" i="37" s="1"/>
  <c r="G4522" i="37"/>
  <c r="H4522" i="37" s="1"/>
  <c r="G4521" i="37"/>
  <c r="H4521" i="37" s="1"/>
  <c r="G4520" i="37"/>
  <c r="H4520" i="37" s="1"/>
  <c r="G4519" i="37"/>
  <c r="H4519" i="37" s="1"/>
  <c r="G4508" i="37"/>
  <c r="H4508" i="37" s="1"/>
  <c r="H4509" i="37" s="1"/>
  <c r="G4505" i="37"/>
  <c r="H4505" i="37" s="1"/>
  <c r="G4504" i="37"/>
  <c r="H4504" i="37" s="1"/>
  <c r="G4503" i="37"/>
  <c r="H4503" i="37" s="1"/>
  <c r="G4502" i="37"/>
  <c r="H4502" i="37" s="1"/>
  <c r="G4488" i="37"/>
  <c r="H4488" i="37" s="1"/>
  <c r="G4487" i="37"/>
  <c r="H4487" i="37" s="1"/>
  <c r="G4486" i="37"/>
  <c r="H4486" i="37" s="1"/>
  <c r="G4485" i="37"/>
  <c r="H4485" i="37" s="1"/>
  <c r="G4474" i="37"/>
  <c r="H4474" i="37" s="1"/>
  <c r="H4475" i="37" s="1"/>
  <c r="G4471" i="37"/>
  <c r="H4471" i="37" s="1"/>
  <c r="G4470" i="37"/>
  <c r="H4470" i="37" s="1"/>
  <c r="G4469" i="37"/>
  <c r="H4469" i="37" s="1"/>
  <c r="G4468" i="37"/>
  <c r="H4468" i="37" s="1"/>
  <c r="G4457" i="37"/>
  <c r="H4457" i="37" s="1"/>
  <c r="H4458" i="37" s="1"/>
  <c r="G4454" i="37"/>
  <c r="H4454" i="37" s="1"/>
  <c r="G4453" i="37"/>
  <c r="H4453" i="37" s="1"/>
  <c r="G4452" i="37"/>
  <c r="H4452" i="37" s="1"/>
  <c r="G4451" i="37"/>
  <c r="H4451" i="37" s="1"/>
  <c r="G4440" i="37"/>
  <c r="H4440" i="37" s="1"/>
  <c r="H4441" i="37" s="1"/>
  <c r="G4437" i="37"/>
  <c r="H4437" i="37" s="1"/>
  <c r="G4436" i="37"/>
  <c r="H4436" i="37" s="1"/>
  <c r="G4435" i="37"/>
  <c r="H4435" i="37" s="1"/>
  <c r="G4434" i="37"/>
  <c r="H4434" i="37" s="1"/>
  <c r="G4423" i="37"/>
  <c r="H4423" i="37" s="1"/>
  <c r="H4424" i="37" s="1"/>
  <c r="G4420" i="37"/>
  <c r="H4420" i="37" s="1"/>
  <c r="G4419" i="37"/>
  <c r="H4419" i="37" s="1"/>
  <c r="G4418" i="37"/>
  <c r="H4418" i="37" s="1"/>
  <c r="G4417" i="37"/>
  <c r="H4417" i="37" s="1"/>
  <c r="G4402" i="37"/>
  <c r="H4402" i="37" s="1"/>
  <c r="G4401" i="37"/>
  <c r="H4401" i="37" s="1"/>
  <c r="G4400" i="37"/>
  <c r="H4400" i="37" s="1"/>
  <c r="G4399" i="37"/>
  <c r="H4399" i="37" s="1"/>
  <c r="G4385" i="37"/>
  <c r="H4385" i="37" s="1"/>
  <c r="G4384" i="37"/>
  <c r="H4384" i="37" s="1"/>
  <c r="G4383" i="37"/>
  <c r="H4383" i="37" s="1"/>
  <c r="G4382" i="37"/>
  <c r="H4382" i="37" s="1"/>
  <c r="G4368" i="37"/>
  <c r="H4368" i="37" s="1"/>
  <c r="G4367" i="37"/>
  <c r="H4367" i="37" s="1"/>
  <c r="G4366" i="37"/>
  <c r="H4366" i="37" s="1"/>
  <c r="G4365" i="37"/>
  <c r="H4365" i="37" s="1"/>
  <c r="G4351" i="37"/>
  <c r="H4351" i="37" s="1"/>
  <c r="G4350" i="37"/>
  <c r="H4350" i="37" s="1"/>
  <c r="G4349" i="37"/>
  <c r="H4349" i="37" s="1"/>
  <c r="G4348" i="37"/>
  <c r="H4348" i="37" s="1"/>
  <c r="G4334" i="37"/>
  <c r="H4334" i="37" s="1"/>
  <c r="G4333" i="37"/>
  <c r="H4333" i="37" s="1"/>
  <c r="G4332" i="37"/>
  <c r="H4332" i="37" s="1"/>
  <c r="G4331" i="37"/>
  <c r="H4331" i="37" s="1"/>
  <c r="G4317" i="37"/>
  <c r="H4317" i="37" s="1"/>
  <c r="G4316" i="37"/>
  <c r="H4316" i="37" s="1"/>
  <c r="G4315" i="37"/>
  <c r="H4315" i="37" s="1"/>
  <c r="G4314" i="37"/>
  <c r="H4314" i="37" s="1"/>
  <c r="G4248" i="37"/>
  <c r="H4248" i="37" s="1"/>
  <c r="G4247" i="37"/>
  <c r="H4247" i="37" s="1"/>
  <c r="G4246" i="37"/>
  <c r="H4246" i="37" s="1"/>
  <c r="G4245" i="37"/>
  <c r="H4245" i="37" s="1"/>
  <c r="G4213" i="37"/>
  <c r="H4213" i="37" s="1"/>
  <c r="G4212" i="37"/>
  <c r="H4212" i="37" s="1"/>
  <c r="G4211" i="37"/>
  <c r="H4211" i="37" s="1"/>
  <c r="G4210" i="37"/>
  <c r="H4210" i="37" s="1"/>
  <c r="G4300" i="37"/>
  <c r="H4300" i="37" s="1"/>
  <c r="G4299" i="37"/>
  <c r="H4299" i="37" s="1"/>
  <c r="G4298" i="37"/>
  <c r="H4298" i="37" s="1"/>
  <c r="G4297" i="37"/>
  <c r="H4297" i="37" s="1"/>
  <c r="G4283" i="37"/>
  <c r="H4283" i="37" s="1"/>
  <c r="G4282" i="37"/>
  <c r="H4282" i="37" s="1"/>
  <c r="G4281" i="37"/>
  <c r="H4281" i="37" s="1"/>
  <c r="G4280" i="37"/>
  <c r="H4280" i="37" s="1"/>
  <c r="G4266" i="37"/>
  <c r="H4266" i="37" s="1"/>
  <c r="G4265" i="37"/>
  <c r="H4265" i="37" s="1"/>
  <c r="G4264" i="37"/>
  <c r="H4264" i="37" s="1"/>
  <c r="G4263" i="37"/>
  <c r="H4263" i="37" s="1"/>
  <c r="G4231" i="37"/>
  <c r="H4231" i="37" s="1"/>
  <c r="G4230" i="37"/>
  <c r="H4230" i="37" s="1"/>
  <c r="G4229" i="37"/>
  <c r="H4229" i="37" s="1"/>
  <c r="G4228" i="37"/>
  <c r="H4228" i="37" s="1"/>
  <c r="G4196" i="37"/>
  <c r="H4196" i="37" s="1"/>
  <c r="G4195" i="37"/>
  <c r="H4195" i="37" s="1"/>
  <c r="G4194" i="37"/>
  <c r="H4194" i="37" s="1"/>
  <c r="G4193" i="37"/>
  <c r="H4193" i="37" s="1"/>
  <c r="G4180" i="37"/>
  <c r="H4180" i="37" s="1"/>
  <c r="G4176" i="37"/>
  <c r="H4176" i="37" s="1"/>
  <c r="G4175" i="37"/>
  <c r="H4175" i="37" s="1"/>
  <c r="G4174" i="37"/>
  <c r="H4174" i="37" s="1"/>
  <c r="G4173" i="37"/>
  <c r="H4173" i="37" s="1"/>
  <c r="G4162" i="37"/>
  <c r="H4162" i="37" s="1"/>
  <c r="G4158" i="37"/>
  <c r="H4158" i="37" s="1"/>
  <c r="G4157" i="37"/>
  <c r="H4157" i="37" s="1"/>
  <c r="G4156" i="37"/>
  <c r="H4156" i="37" s="1"/>
  <c r="G4155" i="37"/>
  <c r="H4155" i="37" s="1"/>
  <c r="G4144" i="37"/>
  <c r="H4144" i="37" s="1"/>
  <c r="G4140" i="37"/>
  <c r="H4140" i="37" s="1"/>
  <c r="G4139" i="37"/>
  <c r="H4139" i="37" s="1"/>
  <c r="G4138" i="37"/>
  <c r="H4138" i="37" s="1"/>
  <c r="G4137" i="37"/>
  <c r="H4137" i="37" s="1"/>
  <c r="G4126" i="37"/>
  <c r="H4126" i="37" s="1"/>
  <c r="G4122" i="37"/>
  <c r="H4122" i="37" s="1"/>
  <c r="G4121" i="37"/>
  <c r="H4121" i="37" s="1"/>
  <c r="G4120" i="37"/>
  <c r="H4120" i="37" s="1"/>
  <c r="G4119" i="37"/>
  <c r="H4119" i="37" s="1"/>
  <c r="G4108" i="37"/>
  <c r="H4108" i="37" s="1"/>
  <c r="G4104" i="37"/>
  <c r="H4104" i="37" s="1"/>
  <c r="G4103" i="37"/>
  <c r="H4103" i="37" s="1"/>
  <c r="G4102" i="37"/>
  <c r="H4102" i="37" s="1"/>
  <c r="G4101" i="37"/>
  <c r="H4101" i="37" s="1"/>
  <c r="G4090" i="37"/>
  <c r="H4090" i="37" s="1"/>
  <c r="G4086" i="37"/>
  <c r="H4086" i="37" s="1"/>
  <c r="G4085" i="37"/>
  <c r="H4085" i="37" s="1"/>
  <c r="G4084" i="37"/>
  <c r="H4084" i="37" s="1"/>
  <c r="G4083" i="37"/>
  <c r="H4083" i="37" s="1"/>
  <c r="G4072" i="37"/>
  <c r="H4072" i="37" s="1"/>
  <c r="G4068" i="37"/>
  <c r="H4068" i="37" s="1"/>
  <c r="G4067" i="37"/>
  <c r="H4067" i="37" s="1"/>
  <c r="G4066" i="37"/>
  <c r="H4066" i="37" s="1"/>
  <c r="G4065" i="37"/>
  <c r="H4065" i="37" s="1"/>
  <c r="G4053" i="37"/>
  <c r="H4053" i="37" s="1"/>
  <c r="H4054" i="37" s="1"/>
  <c r="G4050" i="37"/>
  <c r="H4050" i="37" s="1"/>
  <c r="G4049" i="37"/>
  <c r="H4049" i="37" s="1"/>
  <c r="G4048" i="37"/>
  <c r="H4048" i="37" s="1"/>
  <c r="G4047" i="37"/>
  <c r="H4047" i="37" s="1"/>
  <c r="G4036" i="37"/>
  <c r="H4036" i="37" s="1"/>
  <c r="H4037" i="37" s="1"/>
  <c r="G4033" i="37"/>
  <c r="H4033" i="37" s="1"/>
  <c r="G4032" i="37"/>
  <c r="H4032" i="37" s="1"/>
  <c r="G4031" i="37"/>
  <c r="H4031" i="37" s="1"/>
  <c r="G4030" i="37"/>
  <c r="H4030" i="37" s="1"/>
  <c r="G4019" i="37"/>
  <c r="H4019" i="37" s="1"/>
  <c r="H4020" i="37" s="1"/>
  <c r="G4016" i="37"/>
  <c r="H4016" i="37" s="1"/>
  <c r="G4015" i="37"/>
  <c r="H4015" i="37" s="1"/>
  <c r="G4014" i="37"/>
  <c r="H4014" i="37" s="1"/>
  <c r="G4013" i="37"/>
  <c r="H4013" i="37" s="1"/>
  <c r="G4002" i="37"/>
  <c r="H4002" i="37" s="1"/>
  <c r="H4003" i="37" s="1"/>
  <c r="G3999" i="37"/>
  <c r="H3999" i="37" s="1"/>
  <c r="G3998" i="37"/>
  <c r="H3998" i="37" s="1"/>
  <c r="G3997" i="37"/>
  <c r="H3997" i="37" s="1"/>
  <c r="G3996" i="37"/>
  <c r="H3996" i="37" s="1"/>
  <c r="G3985" i="37"/>
  <c r="H3985" i="37" s="1"/>
  <c r="H3986" i="37" s="1"/>
  <c r="G3982" i="37"/>
  <c r="H3982" i="37" s="1"/>
  <c r="G3981" i="37"/>
  <c r="H3981" i="37" s="1"/>
  <c r="G3980" i="37"/>
  <c r="H3980" i="37" s="1"/>
  <c r="G3979" i="37"/>
  <c r="H3979" i="37" s="1"/>
  <c r="G3968" i="37"/>
  <c r="H3968" i="37" s="1"/>
  <c r="H3969" i="37" s="1"/>
  <c r="G3965" i="37"/>
  <c r="H3965" i="37" s="1"/>
  <c r="G3964" i="37"/>
  <c r="H3964" i="37" s="1"/>
  <c r="G3963" i="37"/>
  <c r="H3963" i="37" s="1"/>
  <c r="G3962" i="37"/>
  <c r="H3962" i="37" s="1"/>
  <c r="G3951" i="37"/>
  <c r="H3951" i="37" s="1"/>
  <c r="H3952" i="37" s="1"/>
  <c r="G3948" i="37"/>
  <c r="H3948" i="37" s="1"/>
  <c r="G3947" i="37"/>
  <c r="H3947" i="37" s="1"/>
  <c r="G3946" i="37"/>
  <c r="H3946" i="37" s="1"/>
  <c r="G3945" i="37"/>
  <c r="H3945" i="37" s="1"/>
  <c r="G3934" i="37"/>
  <c r="H3934" i="37" s="1"/>
  <c r="H3935" i="37" s="1"/>
  <c r="G3931" i="37"/>
  <c r="H3931" i="37" s="1"/>
  <c r="G3930" i="37"/>
  <c r="H3930" i="37" s="1"/>
  <c r="G3929" i="37"/>
  <c r="H3929" i="37" s="1"/>
  <c r="G3928" i="37"/>
  <c r="H3928" i="37" s="1"/>
  <c r="G3916" i="37"/>
  <c r="H3916" i="37" s="1"/>
  <c r="H3917" i="37" s="1"/>
  <c r="G3913" i="37"/>
  <c r="H3913" i="37" s="1"/>
  <c r="G3912" i="37"/>
  <c r="H3912" i="37" s="1"/>
  <c r="G3911" i="37"/>
  <c r="H3911" i="37" s="1"/>
  <c r="G3910" i="37"/>
  <c r="H3910" i="37" s="1"/>
  <c r="G3899" i="37"/>
  <c r="H3899" i="37" s="1"/>
  <c r="H3900" i="37" s="1"/>
  <c r="G3896" i="37"/>
  <c r="H3896" i="37" s="1"/>
  <c r="G3895" i="37"/>
  <c r="H3895" i="37" s="1"/>
  <c r="G3894" i="37"/>
  <c r="H3894" i="37" s="1"/>
  <c r="G3893" i="37"/>
  <c r="H3893" i="37" s="1"/>
  <c r="G3882" i="37"/>
  <c r="H3882" i="37" s="1"/>
  <c r="H3883" i="37" s="1"/>
  <c r="G3879" i="37"/>
  <c r="H3879" i="37" s="1"/>
  <c r="G3878" i="37"/>
  <c r="H3878" i="37" s="1"/>
  <c r="G3877" i="37"/>
  <c r="H3877" i="37" s="1"/>
  <c r="G3876" i="37"/>
  <c r="H3876" i="37" s="1"/>
  <c r="G3865" i="37"/>
  <c r="H3865" i="37" s="1"/>
  <c r="H3866" i="37" s="1"/>
  <c r="G3862" i="37"/>
  <c r="H3862" i="37" s="1"/>
  <c r="G3861" i="37"/>
  <c r="H3861" i="37" s="1"/>
  <c r="G3860" i="37"/>
  <c r="H3860" i="37" s="1"/>
  <c r="G3859" i="37"/>
  <c r="H3859" i="37" s="1"/>
  <c r="G3844" i="37"/>
  <c r="H3844" i="37" s="1"/>
  <c r="G3843" i="37"/>
  <c r="H3843" i="37" s="1"/>
  <c r="G3842" i="37"/>
  <c r="H3842" i="37" s="1"/>
  <c r="G3841" i="37"/>
  <c r="H3841" i="37" s="1"/>
  <c r="G3827" i="37"/>
  <c r="H3827" i="37" s="1"/>
  <c r="G3826" i="37"/>
  <c r="H3826" i="37" s="1"/>
  <c r="G3825" i="37"/>
  <c r="H3825" i="37" s="1"/>
  <c r="G3824" i="37"/>
  <c r="H3824" i="37" s="1"/>
  <c r="G3810" i="37"/>
  <c r="H3810" i="37" s="1"/>
  <c r="G3809" i="37"/>
  <c r="H3809" i="37" s="1"/>
  <c r="G3808" i="37"/>
  <c r="H3808" i="37" s="1"/>
  <c r="G3807" i="37"/>
  <c r="H3807" i="37" s="1"/>
  <c r="G3792" i="37"/>
  <c r="H3792" i="37" s="1"/>
  <c r="G3791" i="37"/>
  <c r="H3791" i="37" s="1"/>
  <c r="G3790" i="37"/>
  <c r="H3790" i="37" s="1"/>
  <c r="G3789" i="37"/>
  <c r="H3789" i="37" s="1"/>
  <c r="G3775" i="37"/>
  <c r="H3775" i="37" s="1"/>
  <c r="G3774" i="37"/>
  <c r="H3774" i="37" s="1"/>
  <c r="G3773" i="37"/>
  <c r="H3773" i="37" s="1"/>
  <c r="G3772" i="37"/>
  <c r="H3772" i="37" s="1"/>
  <c r="G3758" i="37"/>
  <c r="H3758" i="37" s="1"/>
  <c r="G3757" i="37"/>
  <c r="H3757" i="37" s="1"/>
  <c r="G3756" i="37"/>
  <c r="H3756" i="37" s="1"/>
  <c r="G3755" i="37"/>
  <c r="H3755" i="37" s="1"/>
  <c r="G3741" i="37"/>
  <c r="H3741" i="37" s="1"/>
  <c r="G3740" i="37"/>
  <c r="H3740" i="37" s="1"/>
  <c r="G3739" i="37"/>
  <c r="H3739" i="37" s="1"/>
  <c r="G3738" i="37"/>
  <c r="H3738" i="37" s="1"/>
  <c r="G3724" i="37"/>
  <c r="H3724" i="37" s="1"/>
  <c r="G3723" i="37"/>
  <c r="H3723" i="37" s="1"/>
  <c r="G3722" i="37"/>
  <c r="H3722" i="37" s="1"/>
  <c r="G3721" i="37"/>
  <c r="H3721" i="37" s="1"/>
  <c r="G3707" i="37"/>
  <c r="H3707" i="37" s="1"/>
  <c r="G3706" i="37"/>
  <c r="H3706" i="37" s="1"/>
  <c r="G3705" i="37"/>
  <c r="H3705" i="37" s="1"/>
  <c r="G3704" i="37"/>
  <c r="H3704" i="37" s="1"/>
  <c r="G3690" i="37"/>
  <c r="H3690" i="37" s="1"/>
  <c r="G3689" i="37"/>
  <c r="H3689" i="37" s="1"/>
  <c r="G3688" i="37"/>
  <c r="H3688" i="37" s="1"/>
  <c r="G3687" i="37"/>
  <c r="H3687" i="37" s="1"/>
  <c r="G3672" i="37"/>
  <c r="H3672" i="37" s="1"/>
  <c r="G3671" i="37"/>
  <c r="H3671" i="37" s="1"/>
  <c r="G3670" i="37"/>
  <c r="H3670" i="37" s="1"/>
  <c r="G3669" i="37"/>
  <c r="H3669" i="37" s="1"/>
  <c r="G3655" i="37"/>
  <c r="H3655" i="37" s="1"/>
  <c r="G3654" i="37"/>
  <c r="H3654" i="37" s="1"/>
  <c r="G3653" i="37"/>
  <c r="H3653" i="37" s="1"/>
  <c r="G3652" i="37"/>
  <c r="H3652" i="37" s="1"/>
  <c r="G3638" i="37"/>
  <c r="H3638" i="37" s="1"/>
  <c r="G3637" i="37"/>
  <c r="H3637" i="37" s="1"/>
  <c r="G3636" i="37"/>
  <c r="H3636" i="37" s="1"/>
  <c r="G3635" i="37"/>
  <c r="H3635" i="37" s="1"/>
  <c r="G3621" i="37"/>
  <c r="H3621" i="37" s="1"/>
  <c r="G3620" i="37"/>
  <c r="H3620" i="37" s="1"/>
  <c r="G3619" i="37"/>
  <c r="H3619" i="37" s="1"/>
  <c r="G3618" i="37"/>
  <c r="H3618" i="37" s="1"/>
  <c r="G3603" i="37"/>
  <c r="H3603" i="37" s="1"/>
  <c r="G3602" i="37"/>
  <c r="H3602" i="37" s="1"/>
  <c r="G3601" i="37"/>
  <c r="H3601" i="37" s="1"/>
  <c r="G3600" i="37"/>
  <c r="H3600" i="37" s="1"/>
  <c r="G3586" i="37"/>
  <c r="H3586" i="37" s="1"/>
  <c r="G3585" i="37"/>
  <c r="H3585" i="37" s="1"/>
  <c r="G3584" i="37"/>
  <c r="H3584" i="37" s="1"/>
  <c r="G3583" i="37"/>
  <c r="H3583" i="37" s="1"/>
  <c r="G3569" i="37"/>
  <c r="H3569" i="37" s="1"/>
  <c r="G3568" i="37"/>
  <c r="H3568" i="37" s="1"/>
  <c r="G3567" i="37"/>
  <c r="H3567" i="37" s="1"/>
  <c r="G3566" i="37"/>
  <c r="H3566" i="37" s="1"/>
  <c r="G3552" i="37"/>
  <c r="H3552" i="37" s="1"/>
  <c r="G3551" i="37"/>
  <c r="H3551" i="37" s="1"/>
  <c r="G3550" i="37"/>
  <c r="H3550" i="37" s="1"/>
  <c r="G3549" i="37"/>
  <c r="H3549" i="37" s="1"/>
  <c r="G3535" i="37"/>
  <c r="H3535" i="37" s="1"/>
  <c r="G3534" i="37"/>
  <c r="H3534" i="37" s="1"/>
  <c r="G3533" i="37"/>
  <c r="H3533" i="37" s="1"/>
  <c r="G3532" i="37"/>
  <c r="H3532" i="37" s="1"/>
  <c r="G3518" i="37"/>
  <c r="H3518" i="37" s="1"/>
  <c r="G3517" i="37"/>
  <c r="H3517" i="37" s="1"/>
  <c r="G3516" i="37"/>
  <c r="H3516" i="37" s="1"/>
  <c r="G3515" i="37"/>
  <c r="H3515" i="37" s="1"/>
  <c r="G3501" i="37"/>
  <c r="H3501" i="37" s="1"/>
  <c r="G3500" i="37"/>
  <c r="H3500" i="37" s="1"/>
  <c r="G3499" i="37"/>
  <c r="H3499" i="37" s="1"/>
  <c r="G3498" i="37"/>
  <c r="H3498" i="37" s="1"/>
  <c r="G3484" i="37"/>
  <c r="H3484" i="37" s="1"/>
  <c r="G3483" i="37"/>
  <c r="H3483" i="37" s="1"/>
  <c r="G3482" i="37"/>
  <c r="H3482" i="37" s="1"/>
  <c r="G3481" i="37"/>
  <c r="H3481" i="37" s="1"/>
  <c r="G3466" i="37"/>
  <c r="H3466" i="37" s="1"/>
  <c r="G3465" i="37"/>
  <c r="H3465" i="37" s="1"/>
  <c r="G3464" i="37"/>
  <c r="H3464" i="37" s="1"/>
  <c r="G3463" i="37"/>
  <c r="H3463" i="37" s="1"/>
  <c r="G3449" i="37"/>
  <c r="H3449" i="37" s="1"/>
  <c r="G3448" i="37"/>
  <c r="H3448" i="37" s="1"/>
  <c r="G3447" i="37"/>
  <c r="H3447" i="37" s="1"/>
  <c r="G3446" i="37"/>
  <c r="H3446" i="37" s="1"/>
  <c r="G3432" i="37"/>
  <c r="H3432" i="37" s="1"/>
  <c r="G3431" i="37"/>
  <c r="H3431" i="37" s="1"/>
  <c r="G3430" i="37"/>
  <c r="H3430" i="37" s="1"/>
  <c r="G3429" i="37"/>
  <c r="H3429" i="37" s="1"/>
  <c r="G3415" i="37"/>
  <c r="H3415" i="37" s="1"/>
  <c r="G3414" i="37"/>
  <c r="H3414" i="37" s="1"/>
  <c r="G3413" i="37"/>
  <c r="H3413" i="37" s="1"/>
  <c r="G3412" i="37"/>
  <c r="H3412" i="37" s="1"/>
  <c r="G3396" i="37"/>
  <c r="H3396" i="37" s="1"/>
  <c r="G3395" i="37"/>
  <c r="H3395" i="37" s="1"/>
  <c r="G3394" i="37"/>
  <c r="H3394" i="37" s="1"/>
  <c r="G3393" i="37"/>
  <c r="H3393" i="37" s="1"/>
  <c r="G3379" i="37"/>
  <c r="H3379" i="37" s="1"/>
  <c r="G3378" i="37"/>
  <c r="H3378" i="37" s="1"/>
  <c r="G3377" i="37"/>
  <c r="H3377" i="37" s="1"/>
  <c r="G3376" i="37"/>
  <c r="H3376" i="37" s="1"/>
  <c r="G3362" i="37"/>
  <c r="H3362" i="37" s="1"/>
  <c r="G3361" i="37"/>
  <c r="H3361" i="37" s="1"/>
  <c r="G3360" i="37"/>
  <c r="H3360" i="37" s="1"/>
  <c r="G3359" i="37"/>
  <c r="H3359" i="37" s="1"/>
  <c r="G3344" i="37"/>
  <c r="H3344" i="37" s="1"/>
  <c r="G3343" i="37"/>
  <c r="H3343" i="37" s="1"/>
  <c r="G3342" i="37"/>
  <c r="H3342" i="37" s="1"/>
  <c r="G3341" i="37"/>
  <c r="H3341" i="37" s="1"/>
  <c r="G3327" i="37"/>
  <c r="H3327" i="37" s="1"/>
  <c r="G3326" i="37"/>
  <c r="H3326" i="37" s="1"/>
  <c r="G3325" i="37"/>
  <c r="H3325" i="37" s="1"/>
  <c r="G3324" i="37"/>
  <c r="H3324" i="37" s="1"/>
  <c r="G3310" i="37"/>
  <c r="H3310" i="37" s="1"/>
  <c r="G3309" i="37"/>
  <c r="H3309" i="37" s="1"/>
  <c r="G3308" i="37"/>
  <c r="H3308" i="37" s="1"/>
  <c r="G3307" i="37"/>
  <c r="H3307" i="37" s="1"/>
  <c r="G3293" i="37"/>
  <c r="H3293" i="37" s="1"/>
  <c r="G3292" i="37"/>
  <c r="H3292" i="37" s="1"/>
  <c r="G3291" i="37"/>
  <c r="H3291" i="37" s="1"/>
  <c r="G3290" i="37"/>
  <c r="H3290" i="37" s="1"/>
  <c r="G3276" i="37"/>
  <c r="H3276" i="37" s="1"/>
  <c r="G3275" i="37"/>
  <c r="H3275" i="37" s="1"/>
  <c r="G3274" i="37"/>
  <c r="H3274" i="37" s="1"/>
  <c r="G3273" i="37"/>
  <c r="H3273" i="37" s="1"/>
  <c r="G3259" i="37"/>
  <c r="H3259" i="37" s="1"/>
  <c r="G3258" i="37"/>
  <c r="H3258" i="37" s="1"/>
  <c r="G3257" i="37"/>
  <c r="H3257" i="37" s="1"/>
  <c r="G3256" i="37"/>
  <c r="H3256" i="37" s="1"/>
  <c r="G3242" i="37"/>
  <c r="H3242" i="37" s="1"/>
  <c r="G3241" i="37"/>
  <c r="H3241" i="37" s="1"/>
  <c r="G3240" i="37"/>
  <c r="H3240" i="37" s="1"/>
  <c r="G3239" i="37"/>
  <c r="H3239" i="37" s="1"/>
  <c r="G3225" i="37"/>
  <c r="H3225" i="37" s="1"/>
  <c r="G3224" i="37"/>
  <c r="H3224" i="37" s="1"/>
  <c r="G3223" i="37"/>
  <c r="H3223" i="37" s="1"/>
  <c r="G3222" i="37"/>
  <c r="H3222" i="37" s="1"/>
  <c r="G3207" i="37"/>
  <c r="H3207" i="37" s="1"/>
  <c r="G3206" i="37"/>
  <c r="H3206" i="37" s="1"/>
  <c r="G3205" i="37"/>
  <c r="H3205" i="37" s="1"/>
  <c r="G3204" i="37"/>
  <c r="H3204" i="37" s="1"/>
  <c r="G3193" i="37"/>
  <c r="H3193" i="37" s="1"/>
  <c r="H3194" i="37" s="1"/>
  <c r="G3190" i="37"/>
  <c r="H3190" i="37" s="1"/>
  <c r="G3189" i="37"/>
  <c r="H3189" i="37" s="1"/>
  <c r="G3188" i="37"/>
  <c r="H3188" i="37" s="1"/>
  <c r="G3187" i="37"/>
  <c r="H3187" i="37" s="1"/>
  <c r="G3173" i="37"/>
  <c r="H3173" i="37" s="1"/>
  <c r="G3172" i="37"/>
  <c r="H3172" i="37" s="1"/>
  <c r="G3171" i="37"/>
  <c r="H3171" i="37" s="1"/>
  <c r="G3170" i="37"/>
  <c r="H3170" i="37" s="1"/>
  <c r="G3156" i="37"/>
  <c r="H3156" i="37" s="1"/>
  <c r="G3155" i="37"/>
  <c r="H3155" i="37" s="1"/>
  <c r="G3154" i="37"/>
  <c r="H3154" i="37" s="1"/>
  <c r="G3153" i="37"/>
  <c r="H3153" i="37" s="1"/>
  <c r="G3137" i="37"/>
  <c r="H3137" i="37" s="1"/>
  <c r="G3136" i="37"/>
  <c r="H3136" i="37" s="1"/>
  <c r="G3135" i="37"/>
  <c r="H3135" i="37" s="1"/>
  <c r="G3134" i="37"/>
  <c r="H3134" i="37" s="1"/>
  <c r="G3120" i="37"/>
  <c r="H3120" i="37" s="1"/>
  <c r="G3119" i="37"/>
  <c r="H3119" i="37" s="1"/>
  <c r="G3118" i="37"/>
  <c r="H3118" i="37" s="1"/>
  <c r="G3117" i="37"/>
  <c r="H3117" i="37" s="1"/>
  <c r="G3102" i="37"/>
  <c r="H3102" i="37" s="1"/>
  <c r="G3101" i="37"/>
  <c r="H3101" i="37" s="1"/>
  <c r="G3100" i="37"/>
  <c r="H3100" i="37" s="1"/>
  <c r="G3099" i="37"/>
  <c r="H3099" i="37" s="1"/>
  <c r="G3085" i="37"/>
  <c r="H3085" i="37" s="1"/>
  <c r="G3084" i="37"/>
  <c r="H3084" i="37" s="1"/>
  <c r="G3083" i="37"/>
  <c r="H3083" i="37" s="1"/>
  <c r="G3082" i="37"/>
  <c r="H3082" i="37" s="1"/>
  <c r="G3068" i="37"/>
  <c r="H3068" i="37" s="1"/>
  <c r="G3067" i="37"/>
  <c r="H3067" i="37" s="1"/>
  <c r="G3066" i="37"/>
  <c r="H3066" i="37" s="1"/>
  <c r="G3065" i="37"/>
  <c r="H3065" i="37" s="1"/>
  <c r="G3051" i="37"/>
  <c r="H3051" i="37" s="1"/>
  <c r="G3050" i="37"/>
  <c r="H3050" i="37" s="1"/>
  <c r="G3049" i="37"/>
  <c r="H3049" i="37" s="1"/>
  <c r="G3048" i="37"/>
  <c r="H3048" i="37" s="1"/>
  <c r="G3034" i="37"/>
  <c r="H3034" i="37" s="1"/>
  <c r="G3033" i="37"/>
  <c r="H3033" i="37" s="1"/>
  <c r="G3032" i="37"/>
  <c r="H3032" i="37" s="1"/>
  <c r="G3031" i="37"/>
  <c r="H3031" i="37" s="1"/>
  <c r="G3017" i="37"/>
  <c r="H3017" i="37" s="1"/>
  <c r="G3016" i="37"/>
  <c r="H3016" i="37" s="1"/>
  <c r="G3015" i="37"/>
  <c r="H3015" i="37" s="1"/>
  <c r="G3014" i="37"/>
  <c r="H3014" i="37" s="1"/>
  <c r="G3000" i="37"/>
  <c r="H3000" i="37" s="1"/>
  <c r="G2999" i="37"/>
  <c r="H2999" i="37" s="1"/>
  <c r="G2998" i="37"/>
  <c r="H2998" i="37" s="1"/>
  <c r="G2997" i="37"/>
  <c r="H2997" i="37" s="1"/>
  <c r="G2983" i="37"/>
  <c r="H2983" i="37" s="1"/>
  <c r="G2982" i="37"/>
  <c r="H2982" i="37" s="1"/>
  <c r="G2981" i="37"/>
  <c r="H2981" i="37" s="1"/>
  <c r="G2980" i="37"/>
  <c r="H2980" i="37" s="1"/>
  <c r="G2965" i="37"/>
  <c r="H2965" i="37" s="1"/>
  <c r="G2964" i="37"/>
  <c r="H2964" i="37" s="1"/>
  <c r="G2963" i="37"/>
  <c r="H2963" i="37" s="1"/>
  <c r="G2962" i="37"/>
  <c r="H2962" i="37" s="1"/>
  <c r="G2948" i="37"/>
  <c r="H2948" i="37" s="1"/>
  <c r="G2947" i="37"/>
  <c r="H2947" i="37" s="1"/>
  <c r="G2946" i="37"/>
  <c r="H2946" i="37" s="1"/>
  <c r="G2945" i="37"/>
  <c r="H2945" i="37" s="1"/>
  <c r="G2899" i="37"/>
  <c r="H2899" i="37" s="1"/>
  <c r="H2900" i="37" s="1"/>
  <c r="G2931" i="37"/>
  <c r="H2931" i="37" s="1"/>
  <c r="G2930" i="37"/>
  <c r="H2930" i="37" s="1"/>
  <c r="G2929" i="37"/>
  <c r="H2929" i="37" s="1"/>
  <c r="G2928" i="37"/>
  <c r="H2928" i="37" s="1"/>
  <c r="G2914" i="37"/>
  <c r="H2914" i="37" s="1"/>
  <c r="G2913" i="37"/>
  <c r="H2913" i="37" s="1"/>
  <c r="G2912" i="37"/>
  <c r="H2912" i="37" s="1"/>
  <c r="G2911" i="37"/>
  <c r="H2911" i="37" s="1"/>
  <c r="G2896" i="37"/>
  <c r="H2896" i="37" s="1"/>
  <c r="G2895" i="37"/>
  <c r="H2895" i="37" s="1"/>
  <c r="G2894" i="37"/>
  <c r="H2894" i="37" s="1"/>
  <c r="G2893" i="37"/>
  <c r="H2893" i="37" s="1"/>
  <c r="G2882" i="37"/>
  <c r="H2882" i="37" s="1"/>
  <c r="H2883" i="37" s="1"/>
  <c r="G2879" i="37"/>
  <c r="H2879" i="37" s="1"/>
  <c r="G2878" i="37"/>
  <c r="H2878" i="37" s="1"/>
  <c r="G2877" i="37"/>
  <c r="H2877" i="37" s="1"/>
  <c r="G2876" i="37"/>
  <c r="H2876" i="37" s="1"/>
  <c r="G2865" i="37"/>
  <c r="H2865" i="37" s="1"/>
  <c r="H2866" i="37" s="1"/>
  <c r="G2862" i="37"/>
  <c r="H2862" i="37" s="1"/>
  <c r="G2861" i="37"/>
  <c r="H2861" i="37" s="1"/>
  <c r="G2860" i="37"/>
  <c r="H2860" i="37" s="1"/>
  <c r="G2859" i="37"/>
  <c r="H2859" i="37" s="1"/>
  <c r="G2847" i="37"/>
  <c r="H2847" i="37" s="1"/>
  <c r="H2848" i="37" s="1"/>
  <c r="G2844" i="37"/>
  <c r="H2844" i="37" s="1"/>
  <c r="G2843" i="37"/>
  <c r="H2843" i="37" s="1"/>
  <c r="G2842" i="37"/>
  <c r="H2842" i="37" s="1"/>
  <c r="G2841" i="37"/>
  <c r="H2841" i="37" s="1"/>
  <c r="G2830" i="37"/>
  <c r="H2830" i="37" s="1"/>
  <c r="H2831" i="37" s="1"/>
  <c r="G2827" i="37"/>
  <c r="H2827" i="37" s="1"/>
  <c r="G2826" i="37"/>
  <c r="H2826" i="37" s="1"/>
  <c r="G2825" i="37"/>
  <c r="H2825" i="37" s="1"/>
  <c r="G2824" i="37"/>
  <c r="H2824" i="37" s="1"/>
  <c r="G2810" i="37"/>
  <c r="H2810" i="37" s="1"/>
  <c r="G2809" i="37"/>
  <c r="H2809" i="37" s="1"/>
  <c r="G2808" i="37"/>
  <c r="H2808" i="37" s="1"/>
  <c r="G2807" i="37"/>
  <c r="H2807" i="37" s="1"/>
  <c r="G2796" i="37"/>
  <c r="H2796" i="37" s="1"/>
  <c r="H2797" i="37" s="1"/>
  <c r="G2793" i="37"/>
  <c r="H2793" i="37" s="1"/>
  <c r="G2792" i="37"/>
  <c r="H2792" i="37" s="1"/>
  <c r="G2791" i="37"/>
  <c r="H2791" i="37" s="1"/>
  <c r="G2790" i="37"/>
  <c r="H2790" i="37" s="1"/>
  <c r="G2779" i="37"/>
  <c r="H2779" i="37" s="1"/>
  <c r="H2780" i="37" s="1"/>
  <c r="G2776" i="37"/>
  <c r="H2776" i="37" s="1"/>
  <c r="G2775" i="37"/>
  <c r="H2775" i="37" s="1"/>
  <c r="G2774" i="37"/>
  <c r="H2774" i="37" s="1"/>
  <c r="G2773" i="37"/>
  <c r="H2773" i="37" s="1"/>
  <c r="G2762" i="37"/>
  <c r="H2762" i="37" s="1"/>
  <c r="H2763" i="37" s="1"/>
  <c r="G2759" i="37"/>
  <c r="H2759" i="37" s="1"/>
  <c r="G2758" i="37"/>
  <c r="H2758" i="37" s="1"/>
  <c r="G2757" i="37"/>
  <c r="H2757" i="37" s="1"/>
  <c r="G2756" i="37"/>
  <c r="H2756" i="37" s="1"/>
  <c r="G2745" i="37"/>
  <c r="H2745" i="37" s="1"/>
  <c r="H2746" i="37" s="1"/>
  <c r="G2742" i="37"/>
  <c r="H2742" i="37" s="1"/>
  <c r="G2741" i="37"/>
  <c r="H2741" i="37" s="1"/>
  <c r="G2740" i="37"/>
  <c r="H2740" i="37" s="1"/>
  <c r="G2739" i="37"/>
  <c r="H2739" i="37" s="1"/>
  <c r="G2728" i="37"/>
  <c r="H2728" i="37" s="1"/>
  <c r="H2729" i="37" s="1"/>
  <c r="G2725" i="37"/>
  <c r="H2725" i="37" s="1"/>
  <c r="G2724" i="37"/>
  <c r="H2724" i="37" s="1"/>
  <c r="G2723" i="37"/>
  <c r="H2723" i="37" s="1"/>
  <c r="G2722" i="37"/>
  <c r="H2722" i="37" s="1"/>
  <c r="G2710" i="37"/>
  <c r="H2710" i="37" s="1"/>
  <c r="H2711" i="37" s="1"/>
  <c r="G2707" i="37"/>
  <c r="H2707" i="37" s="1"/>
  <c r="G2706" i="37"/>
  <c r="H2706" i="37" s="1"/>
  <c r="G2705" i="37"/>
  <c r="H2705" i="37" s="1"/>
  <c r="G2704" i="37"/>
  <c r="H2704" i="37" s="1"/>
  <c r="G2693" i="37"/>
  <c r="H2693" i="37" s="1"/>
  <c r="H2694" i="37" s="1"/>
  <c r="G2690" i="37"/>
  <c r="H2690" i="37" s="1"/>
  <c r="G2689" i="37"/>
  <c r="H2689" i="37" s="1"/>
  <c r="G2688" i="37"/>
  <c r="H2688" i="37" s="1"/>
  <c r="G2687" i="37"/>
  <c r="H2687" i="37" s="1"/>
  <c r="G2675" i="37"/>
  <c r="H2675" i="37" s="1"/>
  <c r="H2676" i="37" s="1"/>
  <c r="G2672" i="37"/>
  <c r="H2672" i="37" s="1"/>
  <c r="G2671" i="37"/>
  <c r="H2671" i="37" s="1"/>
  <c r="G2670" i="37"/>
  <c r="H2670" i="37" s="1"/>
  <c r="G2669" i="37"/>
  <c r="H2669" i="37" s="1"/>
  <c r="G2657" i="37"/>
  <c r="H2657" i="37" s="1"/>
  <c r="H2658" i="37" s="1"/>
  <c r="G2654" i="37"/>
  <c r="H2654" i="37" s="1"/>
  <c r="G2653" i="37"/>
  <c r="H2653" i="37" s="1"/>
  <c r="G2652" i="37"/>
  <c r="H2652" i="37" s="1"/>
  <c r="G2651" i="37"/>
  <c r="H2651" i="37" s="1"/>
  <c r="G2636" i="37"/>
  <c r="H2636" i="37" s="1"/>
  <c r="G2635" i="37"/>
  <c r="H2635" i="37" s="1"/>
  <c r="G2634" i="37"/>
  <c r="H2634" i="37" s="1"/>
  <c r="G2633" i="37"/>
  <c r="H2633" i="37" s="1"/>
  <c r="G2619" i="37"/>
  <c r="H2619" i="37" s="1"/>
  <c r="G2618" i="37"/>
  <c r="H2618" i="37" s="1"/>
  <c r="G2617" i="37"/>
  <c r="H2617" i="37" s="1"/>
  <c r="G2616" i="37"/>
  <c r="H2616" i="37" s="1"/>
  <c r="G2602" i="37"/>
  <c r="H2602" i="37" s="1"/>
  <c r="G2601" i="37"/>
  <c r="H2601" i="37" s="1"/>
  <c r="G2600" i="37"/>
  <c r="H2600" i="37" s="1"/>
  <c r="G2599" i="37"/>
  <c r="H2599" i="37" s="1"/>
  <c r="G2585" i="37"/>
  <c r="H2585" i="37" s="1"/>
  <c r="G2584" i="37"/>
  <c r="H2584" i="37" s="1"/>
  <c r="G2583" i="37"/>
  <c r="H2583" i="37" s="1"/>
  <c r="G2582" i="37"/>
  <c r="H2582" i="37" s="1"/>
  <c r="G2568" i="37"/>
  <c r="H2568" i="37" s="1"/>
  <c r="G2567" i="37"/>
  <c r="H2567" i="37" s="1"/>
  <c r="G2566" i="37"/>
  <c r="H2566" i="37" s="1"/>
  <c r="G2565" i="37"/>
  <c r="H2565" i="37" s="1"/>
  <c r="G2551" i="37"/>
  <c r="H2551" i="37" s="1"/>
  <c r="G2550" i="37"/>
  <c r="H2550" i="37" s="1"/>
  <c r="G2549" i="37"/>
  <c r="H2549" i="37" s="1"/>
  <c r="G2548" i="37"/>
  <c r="H2548" i="37" s="1"/>
  <c r="G2533" i="37"/>
  <c r="H2533" i="37" s="1"/>
  <c r="G2532" i="37"/>
  <c r="H2532" i="37" s="1"/>
  <c r="G2531" i="37"/>
  <c r="H2531" i="37" s="1"/>
  <c r="G2530" i="37"/>
  <c r="H2530" i="37" s="1"/>
  <c r="G2516" i="37"/>
  <c r="H2516" i="37" s="1"/>
  <c r="G2515" i="37"/>
  <c r="H2515" i="37" s="1"/>
  <c r="G2514" i="37"/>
  <c r="H2514" i="37" s="1"/>
  <c r="G2513" i="37"/>
  <c r="H2513" i="37" s="1"/>
  <c r="G2499" i="37"/>
  <c r="H2499" i="37" s="1"/>
  <c r="G2498" i="37"/>
  <c r="H2498" i="37" s="1"/>
  <c r="G2497" i="37"/>
  <c r="H2497" i="37" s="1"/>
  <c r="G2496" i="37"/>
  <c r="H2496" i="37" s="1"/>
  <c r="G2482" i="37"/>
  <c r="H2482" i="37" s="1"/>
  <c r="G2481" i="37"/>
  <c r="H2481" i="37" s="1"/>
  <c r="G2480" i="37"/>
  <c r="H2480" i="37" s="1"/>
  <c r="G2479" i="37"/>
  <c r="H2479" i="37" s="1"/>
  <c r="G2465" i="37"/>
  <c r="H2465" i="37" s="1"/>
  <c r="G2464" i="37"/>
  <c r="H2464" i="37" s="1"/>
  <c r="G2463" i="37"/>
  <c r="H2463" i="37" s="1"/>
  <c r="G2462" i="37"/>
  <c r="H2462" i="37" s="1"/>
  <c r="G2448" i="37"/>
  <c r="H2448" i="37" s="1"/>
  <c r="G2447" i="37"/>
  <c r="H2447" i="37" s="1"/>
  <c r="G2446" i="37"/>
  <c r="H2446" i="37" s="1"/>
  <c r="G2445" i="37"/>
  <c r="H2445" i="37" s="1"/>
  <c r="G2431" i="37"/>
  <c r="H2431" i="37" s="1"/>
  <c r="G2430" i="37"/>
  <c r="H2430" i="37" s="1"/>
  <c r="G2429" i="37"/>
  <c r="H2429" i="37" s="1"/>
  <c r="G2428" i="37"/>
  <c r="H2428" i="37" s="1"/>
  <c r="G2417" i="37"/>
  <c r="H2417" i="37" s="1"/>
  <c r="H2418" i="37" s="1"/>
  <c r="G2414" i="37"/>
  <c r="H2414" i="37" s="1"/>
  <c r="G2413" i="37"/>
  <c r="H2413" i="37" s="1"/>
  <c r="G2412" i="37"/>
  <c r="H2412" i="37" s="1"/>
  <c r="G2411" i="37"/>
  <c r="H2411" i="37" s="1"/>
  <c r="G2396" i="37"/>
  <c r="H2396" i="37" s="1"/>
  <c r="G2395" i="37"/>
  <c r="H2395" i="37" s="1"/>
  <c r="G2394" i="37"/>
  <c r="H2394" i="37" s="1"/>
  <c r="G2393" i="37"/>
  <c r="H2393" i="37" s="1"/>
  <c r="G2379" i="37"/>
  <c r="H2379" i="37" s="1"/>
  <c r="G2378" i="37"/>
  <c r="H2378" i="37" s="1"/>
  <c r="G2377" i="37"/>
  <c r="H2377" i="37" s="1"/>
  <c r="G2376" i="37"/>
  <c r="H2376" i="37" s="1"/>
  <c r="G2362" i="37"/>
  <c r="H2362" i="37" s="1"/>
  <c r="G2361" i="37"/>
  <c r="H2361" i="37" s="1"/>
  <c r="G2360" i="37"/>
  <c r="H2360" i="37" s="1"/>
  <c r="G2359" i="37"/>
  <c r="H2359" i="37" s="1"/>
  <c r="G2344" i="37"/>
  <c r="H2344" i="37" s="1"/>
  <c r="G2343" i="37"/>
  <c r="H2343" i="37" s="1"/>
  <c r="G2342" i="37"/>
  <c r="H2342" i="37" s="1"/>
  <c r="G2341" i="37"/>
  <c r="H2341" i="37" s="1"/>
  <c r="G2327" i="37"/>
  <c r="H2327" i="37" s="1"/>
  <c r="G2326" i="37"/>
  <c r="H2326" i="37" s="1"/>
  <c r="G2325" i="37"/>
  <c r="H2325" i="37" s="1"/>
  <c r="G2324" i="37"/>
  <c r="H2324" i="37" s="1"/>
  <c r="G2310" i="37"/>
  <c r="H2310" i="37" s="1"/>
  <c r="G2309" i="37"/>
  <c r="H2309" i="37" s="1"/>
  <c r="G2308" i="37"/>
  <c r="H2308" i="37" s="1"/>
  <c r="G2307" i="37"/>
  <c r="H2307" i="37" s="1"/>
  <c r="G2293" i="37"/>
  <c r="H2293" i="37" s="1"/>
  <c r="G2292" i="37"/>
  <c r="H2292" i="37" s="1"/>
  <c r="G2291" i="37"/>
  <c r="H2291" i="37" s="1"/>
  <c r="G2290" i="37"/>
  <c r="H2290" i="37" s="1"/>
  <c r="G2276" i="37"/>
  <c r="H2276" i="37" s="1"/>
  <c r="G2275" i="37"/>
  <c r="H2275" i="37" s="1"/>
  <c r="G2274" i="37"/>
  <c r="H2274" i="37" s="1"/>
  <c r="G2273" i="37"/>
  <c r="H2273" i="37" s="1"/>
  <c r="G2262" i="37"/>
  <c r="H2262" i="37" s="1"/>
  <c r="H2263" i="37" s="1"/>
  <c r="G2259" i="37"/>
  <c r="H2259" i="37" s="1"/>
  <c r="G2258" i="37"/>
  <c r="H2258" i="37" s="1"/>
  <c r="G2257" i="37"/>
  <c r="H2257" i="37" s="1"/>
  <c r="G2256" i="37"/>
  <c r="H2256" i="37" s="1"/>
  <c r="G2243" i="37"/>
  <c r="H2243" i="37" s="1"/>
  <c r="H2244" i="37" s="1"/>
  <c r="G2240" i="37"/>
  <c r="H2240" i="37" s="1"/>
  <c r="G2239" i="37"/>
  <c r="H2239" i="37" s="1"/>
  <c r="G2238" i="37"/>
  <c r="H2238" i="37" s="1"/>
  <c r="G2237" i="37"/>
  <c r="H2237" i="37" s="1"/>
  <c r="G2226" i="37"/>
  <c r="H2226" i="37" s="1"/>
  <c r="H2227" i="37" s="1"/>
  <c r="G2223" i="37"/>
  <c r="H2223" i="37" s="1"/>
  <c r="G2222" i="37"/>
  <c r="H2222" i="37" s="1"/>
  <c r="G2221" i="37"/>
  <c r="H2221" i="37" s="1"/>
  <c r="G2220" i="37"/>
  <c r="H2220" i="37" s="1"/>
  <c r="G2209" i="37"/>
  <c r="H2209" i="37" s="1"/>
  <c r="H2210" i="37" s="1"/>
  <c r="G2206" i="37"/>
  <c r="H2206" i="37" s="1"/>
  <c r="G2205" i="37"/>
  <c r="H2205" i="37" s="1"/>
  <c r="G2204" i="37"/>
  <c r="H2204" i="37" s="1"/>
  <c r="G2203" i="37"/>
  <c r="H2203" i="37" s="1"/>
  <c r="G2192" i="37"/>
  <c r="H2192" i="37" s="1"/>
  <c r="H2193" i="37" s="1"/>
  <c r="G2189" i="37"/>
  <c r="H2189" i="37" s="1"/>
  <c r="G2188" i="37"/>
  <c r="H2188" i="37" s="1"/>
  <c r="G2187" i="37"/>
  <c r="H2187" i="37" s="1"/>
  <c r="G2186" i="37"/>
  <c r="H2186" i="37" s="1"/>
  <c r="G2175" i="37"/>
  <c r="H2175" i="37" s="1"/>
  <c r="H2176" i="37" s="1"/>
  <c r="G2172" i="37"/>
  <c r="H2172" i="37" s="1"/>
  <c r="G2171" i="37"/>
  <c r="H2171" i="37" s="1"/>
  <c r="G2170" i="37"/>
  <c r="H2170" i="37" s="1"/>
  <c r="G2169" i="37"/>
  <c r="H2169" i="37" s="1"/>
  <c r="G2158" i="37"/>
  <c r="H2158" i="37" s="1"/>
  <c r="H2159" i="37" s="1"/>
  <c r="G2155" i="37"/>
  <c r="H2155" i="37" s="1"/>
  <c r="G2154" i="37"/>
  <c r="H2154" i="37" s="1"/>
  <c r="G2153" i="37"/>
  <c r="H2153" i="37" s="1"/>
  <c r="G2152" i="37"/>
  <c r="H2152" i="37" s="1"/>
  <c r="G2141" i="37"/>
  <c r="H2141" i="37" s="1"/>
  <c r="H2142" i="37" s="1"/>
  <c r="G2138" i="37"/>
  <c r="H2138" i="37" s="1"/>
  <c r="G2137" i="37"/>
  <c r="H2137" i="37" s="1"/>
  <c r="G2136" i="37"/>
  <c r="H2136" i="37" s="1"/>
  <c r="G2135" i="37"/>
  <c r="H2135" i="37" s="1"/>
  <c r="G2123" i="37"/>
  <c r="H2123" i="37" s="1"/>
  <c r="H2124" i="37" s="1"/>
  <c r="G2120" i="37"/>
  <c r="H2120" i="37" s="1"/>
  <c r="G2119" i="37"/>
  <c r="H2119" i="37" s="1"/>
  <c r="G2118" i="37"/>
  <c r="H2118" i="37" s="1"/>
  <c r="G2117" i="37"/>
  <c r="H2117" i="37" s="1"/>
  <c r="G2106" i="37"/>
  <c r="H2106" i="37" s="1"/>
  <c r="H2107" i="37" s="1"/>
  <c r="G2103" i="37"/>
  <c r="H2103" i="37" s="1"/>
  <c r="G2102" i="37"/>
  <c r="H2102" i="37" s="1"/>
  <c r="G2101" i="37"/>
  <c r="H2101" i="37" s="1"/>
  <c r="G2100" i="37"/>
  <c r="H2100" i="37" s="1"/>
  <c r="G2089" i="37"/>
  <c r="H2089" i="37" s="1"/>
  <c r="H2090" i="37" s="1"/>
  <c r="G2086" i="37"/>
  <c r="H2086" i="37" s="1"/>
  <c r="G2085" i="37"/>
  <c r="H2085" i="37" s="1"/>
  <c r="G2084" i="37"/>
  <c r="H2084" i="37" s="1"/>
  <c r="G2083" i="37"/>
  <c r="H2083" i="37" s="1"/>
  <c r="G2072" i="37"/>
  <c r="H2072" i="37" s="1"/>
  <c r="H2073" i="37" s="1"/>
  <c r="G2069" i="37"/>
  <c r="H2069" i="37" s="1"/>
  <c r="G2068" i="37"/>
  <c r="H2068" i="37" s="1"/>
  <c r="G2067" i="37"/>
  <c r="H2067" i="37" s="1"/>
  <c r="G2066" i="37"/>
  <c r="H2066" i="37" s="1"/>
  <c r="G2055" i="37"/>
  <c r="H2055" i="37" s="1"/>
  <c r="H2056" i="37" s="1"/>
  <c r="G2052" i="37"/>
  <c r="H2052" i="37" s="1"/>
  <c r="G2051" i="37"/>
  <c r="H2051" i="37" s="1"/>
  <c r="G2050" i="37"/>
  <c r="H2050" i="37" s="1"/>
  <c r="G2049" i="37"/>
  <c r="H2049" i="37" s="1"/>
  <c r="G2037" i="37"/>
  <c r="H2037" i="37" s="1"/>
  <c r="H2038" i="37" s="1"/>
  <c r="G2034" i="37"/>
  <c r="H2034" i="37" s="1"/>
  <c r="G2033" i="37"/>
  <c r="H2033" i="37" s="1"/>
  <c r="G2032" i="37"/>
  <c r="H2032" i="37" s="1"/>
  <c r="G2031" i="37"/>
  <c r="H2031" i="37" s="1"/>
  <c r="G2020" i="37"/>
  <c r="H2020" i="37" s="1"/>
  <c r="G2017" i="37"/>
  <c r="H2017" i="37" s="1"/>
  <c r="G2016" i="37"/>
  <c r="H2016" i="37" s="1"/>
  <c r="G2015" i="37"/>
  <c r="H2015" i="37" s="1"/>
  <c r="G2014" i="37"/>
  <c r="H2014" i="37" s="1"/>
  <c r="H38" i="39" l="1"/>
  <c r="H52" i="39"/>
  <c r="H57" i="39"/>
  <c r="H2949" i="37"/>
  <c r="H2966" i="37"/>
  <c r="H2984" i="37"/>
  <c r="H3001" i="37"/>
  <c r="H3018" i="37"/>
  <c r="H3035" i="37"/>
  <c r="H3052" i="37"/>
  <c r="H3069" i="37"/>
  <c r="H3086" i="37"/>
  <c r="H3103" i="37"/>
  <c r="H3121" i="37"/>
  <c r="H3138" i="37"/>
  <c r="H3157" i="37"/>
  <c r="H3174" i="37"/>
  <c r="H3191" i="37"/>
  <c r="H3197" i="37" s="1"/>
  <c r="H3914" i="37"/>
  <c r="H3920" i="37" s="1"/>
  <c r="H3983" i="37"/>
  <c r="H3989" i="37" s="1"/>
  <c r="H4051" i="37"/>
  <c r="H4057" i="37" s="1"/>
  <c r="H4123" i="37"/>
  <c r="H4197" i="37"/>
  <c r="H4232" i="37"/>
  <c r="H4267" i="37"/>
  <c r="H4284" i="37"/>
  <c r="H4301" i="37"/>
  <c r="H4214" i="37"/>
  <c r="H4249" i="37"/>
  <c r="H4318" i="37"/>
  <c r="H4335" i="37"/>
  <c r="H4352" i="37"/>
  <c r="H4369" i="37"/>
  <c r="H4386" i="37"/>
  <c r="H4403" i="37"/>
  <c r="H4421" i="37"/>
  <c r="H4427" i="37" s="1"/>
  <c r="H4489" i="37"/>
  <c r="H4506" i="37"/>
  <c r="H4512" i="37" s="1"/>
  <c r="H4593" i="37"/>
  <c r="H4599" i="37" s="1"/>
  <c r="H4661" i="37"/>
  <c r="H4667" i="37" s="1"/>
  <c r="H4730" i="37"/>
  <c r="H4736" i="37" s="1"/>
  <c r="H4799" i="37"/>
  <c r="H4805" i="37" s="1"/>
  <c r="H5006" i="37"/>
  <c r="H5012" i="37" s="1"/>
  <c r="H5077" i="37"/>
  <c r="H5083" i="37" s="1"/>
  <c r="H5149" i="37"/>
  <c r="H5155" i="37" s="1"/>
  <c r="H5218" i="37"/>
  <c r="H5224" i="37" s="1"/>
  <c r="H2277" i="37"/>
  <c r="H2294" i="37"/>
  <c r="H2311" i="37"/>
  <c r="H2328" i="37"/>
  <c r="H2345" i="37"/>
  <c r="H2363" i="37"/>
  <c r="H2380" i="37"/>
  <c r="H2397" i="37"/>
  <c r="H2415" i="37"/>
  <c r="H2421" i="37" s="1"/>
  <c r="H2708" i="37"/>
  <c r="H2714" i="37" s="1"/>
  <c r="H2777" i="37"/>
  <c r="H2783" i="37" s="1"/>
  <c r="H2863" i="37"/>
  <c r="H2869" i="37" s="1"/>
  <c r="H72" i="39"/>
  <c r="H77" i="39"/>
  <c r="H100" i="39"/>
  <c r="H101" i="39" s="1"/>
  <c r="H102" i="39" s="1"/>
  <c r="I85" i="39" s="1"/>
  <c r="H2449" i="37"/>
  <c r="H2483" i="37"/>
  <c r="H2500" i="37"/>
  <c r="H2517" i="37"/>
  <c r="H2552" i="37"/>
  <c r="H2569" i="37"/>
  <c r="H2586" i="37"/>
  <c r="H2603" i="37"/>
  <c r="H2620" i="37"/>
  <c r="H2637" i="37"/>
  <c r="H2655" i="37"/>
  <c r="H2661" i="37" s="1"/>
  <c r="H2726" i="37"/>
  <c r="H2732" i="37" s="1"/>
  <c r="H2794" i="37"/>
  <c r="H2800" i="37" s="1"/>
  <c r="H2880" i="37"/>
  <c r="H2886" i="37" s="1"/>
  <c r="H3208" i="37"/>
  <c r="H3226" i="37"/>
  <c r="H3243" i="37"/>
  <c r="H3260" i="37"/>
  <c r="H3277" i="37"/>
  <c r="H3294" i="37"/>
  <c r="H3311" i="37"/>
  <c r="H3328" i="37"/>
  <c r="H3345" i="37"/>
  <c r="H3363" i="37"/>
  <c r="H3380" i="37"/>
  <c r="H3397" i="37"/>
  <c r="H3416" i="37"/>
  <c r="H3433" i="37"/>
  <c r="H3450" i="37"/>
  <c r="H3467" i="37"/>
  <c r="H3485" i="37"/>
  <c r="H3502" i="37"/>
  <c r="H3519" i="37"/>
  <c r="H3536" i="37"/>
  <c r="H3553" i="37"/>
  <c r="H3570" i="37"/>
  <c r="H3587" i="37"/>
  <c r="H3604" i="37"/>
  <c r="H3622" i="37"/>
  <c r="H3639" i="37"/>
  <c r="H3656" i="37"/>
  <c r="H3673" i="37"/>
  <c r="H3691" i="37"/>
  <c r="H3708" i="37"/>
  <c r="H3725" i="37"/>
  <c r="H3742" i="37"/>
  <c r="H3759" i="37"/>
  <c r="H3776" i="37"/>
  <c r="H3793" i="37"/>
  <c r="H3811" i="37"/>
  <c r="H3828" i="37"/>
  <c r="H3845" i="37"/>
  <c r="H3863" i="37"/>
  <c r="H3869" i="37" s="1"/>
  <c r="H3932" i="37"/>
  <c r="H3938" i="37" s="1"/>
  <c r="H4000" i="37"/>
  <c r="H4006" i="37" s="1"/>
  <c r="H4069" i="37"/>
  <c r="H4141" i="37"/>
  <c r="H4438" i="37"/>
  <c r="H4444" i="37" s="1"/>
  <c r="H4523" i="37"/>
  <c r="H4529" i="37" s="1"/>
  <c r="H4610" i="37"/>
  <c r="H4616" i="37" s="1"/>
  <c r="H4678" i="37"/>
  <c r="H4684" i="37" s="1"/>
  <c r="H4747" i="37"/>
  <c r="H4753" i="37" s="1"/>
  <c r="H4816" i="37"/>
  <c r="H4822" i="37" s="1"/>
  <c r="H5023" i="37"/>
  <c r="H5029" i="37" s="1"/>
  <c r="H5095" i="37"/>
  <c r="H5113" i="37"/>
  <c r="H5119" i="37" s="1"/>
  <c r="H5166" i="37"/>
  <c r="H5172" i="37" s="1"/>
  <c r="H11" i="38"/>
  <c r="H21" i="38"/>
  <c r="H13" i="39"/>
  <c r="H33" i="39"/>
  <c r="H2432" i="37"/>
  <c r="H2466" i="37"/>
  <c r="H2534" i="37"/>
  <c r="H2673" i="37"/>
  <c r="H2679" i="37" s="1"/>
  <c r="H2743" i="37"/>
  <c r="H2749" i="37" s="1"/>
  <c r="H2811" i="37"/>
  <c r="H2828" i="37"/>
  <c r="H2834" i="37" s="1"/>
  <c r="H2897" i="37"/>
  <c r="H2903" i="37" s="1"/>
  <c r="H3880" i="37"/>
  <c r="H3886" i="37" s="1"/>
  <c r="H3949" i="37"/>
  <c r="H3955" i="37" s="1"/>
  <c r="H4017" i="37"/>
  <c r="H4023" i="37" s="1"/>
  <c r="H4087" i="37"/>
  <c r="H4159" i="37"/>
  <c r="H4455" i="37"/>
  <c r="H4461" i="37" s="1"/>
  <c r="H4541" i="37"/>
  <c r="H4559" i="37"/>
  <c r="H4565" i="37" s="1"/>
  <c r="H4627" i="37"/>
  <c r="H4633" i="37" s="1"/>
  <c r="H4696" i="37"/>
  <c r="H4702" i="37" s="1"/>
  <c r="H4764" i="37"/>
  <c r="H4770" i="37" s="1"/>
  <c r="H4833" i="37"/>
  <c r="H4839" i="37" s="1"/>
  <c r="H5040" i="37"/>
  <c r="H5046" i="37" s="1"/>
  <c r="H5131" i="37"/>
  <c r="H5137" i="37" s="1"/>
  <c r="H5184" i="37"/>
  <c r="H5190" i="37" s="1"/>
  <c r="H2691" i="37"/>
  <c r="H2697" i="37" s="1"/>
  <c r="H2760" i="37"/>
  <c r="H2766" i="37" s="1"/>
  <c r="H2845" i="37"/>
  <c r="H2851" i="37" s="1"/>
  <c r="H2915" i="37"/>
  <c r="H2932" i="37"/>
  <c r="H3897" i="37"/>
  <c r="H3903" i="37" s="1"/>
  <c r="H3966" i="37"/>
  <c r="H3972" i="37" s="1"/>
  <c r="H4034" i="37"/>
  <c r="H4040" i="37" s="1"/>
  <c r="H4105" i="37"/>
  <c r="H4177" i="37"/>
  <c r="H4472" i="37"/>
  <c r="H4478" i="37" s="1"/>
  <c r="H4576" i="37"/>
  <c r="H4582" i="37" s="1"/>
  <c r="H4644" i="37"/>
  <c r="H4650" i="37" s="1"/>
  <c r="H4713" i="37"/>
  <c r="H4719" i="37" s="1"/>
  <c r="H4781" i="37"/>
  <c r="H4787" i="37" s="1"/>
  <c r="H4851" i="37"/>
  <c r="H4868" i="37"/>
  <c r="H4885" i="37"/>
  <c r="H4902" i="37"/>
  <c r="H4919" i="37"/>
  <c r="H4937" i="37"/>
  <c r="H4955" i="37"/>
  <c r="H4972" i="37"/>
  <c r="H4989" i="37"/>
  <c r="H4995" i="37" s="1"/>
  <c r="H5059" i="37"/>
  <c r="H5065" i="37" s="1"/>
  <c r="H5201" i="37"/>
  <c r="H5207" i="37" s="1"/>
  <c r="H2260" i="37"/>
  <c r="H2266" i="37" s="1"/>
  <c r="H2241" i="37"/>
  <c r="H2247" i="37" s="1"/>
  <c r="H2224" i="37"/>
  <c r="H2230" i="37" s="1"/>
  <c r="H2231" i="37" s="1"/>
  <c r="H2232" i="37" s="1"/>
  <c r="I2217" i="37" s="1"/>
  <c r="H2207" i="37"/>
  <c r="H2213" i="37" s="1"/>
  <c r="H2190" i="37"/>
  <c r="H2196" i="37" s="1"/>
  <c r="H2173" i="37"/>
  <c r="H2179" i="37" s="1"/>
  <c r="H2156" i="37"/>
  <c r="H2162" i="37" s="1"/>
  <c r="H2163" i="37" s="1"/>
  <c r="H2164" i="37" s="1"/>
  <c r="I2149" i="37" s="1"/>
  <c r="H2139" i="37"/>
  <c r="H2145" i="37" s="1"/>
  <c r="H2121" i="37"/>
  <c r="H2127" i="37" s="1"/>
  <c r="H2104" i="37"/>
  <c r="H2110" i="37" s="1"/>
  <c r="H2087" i="37"/>
  <c r="H2093" i="37" s="1"/>
  <c r="H2070" i="37"/>
  <c r="H2076" i="37" s="1"/>
  <c r="H2053" i="37"/>
  <c r="H2059" i="37" s="1"/>
  <c r="H2035" i="37"/>
  <c r="H2041" i="37" s="1"/>
  <c r="H2042" i="37" s="1"/>
  <c r="H2043" i="37" s="1"/>
  <c r="I2028" i="37" s="1"/>
  <c r="H2018" i="37"/>
  <c r="H2021" i="37"/>
  <c r="G1997" i="37"/>
  <c r="H1997" i="37" s="1"/>
  <c r="G1996" i="37"/>
  <c r="H1996" i="37" s="1"/>
  <c r="G1995" i="37"/>
  <c r="H1995" i="37" s="1"/>
  <c r="G1994" i="37"/>
  <c r="H1994" i="37" s="1"/>
  <c r="G1991" i="37"/>
  <c r="H1991" i="37" s="1"/>
  <c r="G1990" i="37"/>
  <c r="H1990" i="37" s="1"/>
  <c r="G1989" i="37"/>
  <c r="H1989" i="37" s="1"/>
  <c r="G1988" i="37"/>
  <c r="H1988" i="37" s="1"/>
  <c r="G1975" i="37"/>
  <c r="H1975" i="37" s="1"/>
  <c r="G1976" i="37"/>
  <c r="H1976" i="37" s="1"/>
  <c r="G1977" i="37"/>
  <c r="H1977" i="37" s="1"/>
  <c r="G1971" i="37"/>
  <c r="H1971" i="37" s="1"/>
  <c r="G1970" i="37"/>
  <c r="H1970" i="37" s="1"/>
  <c r="G1969" i="37"/>
  <c r="H1969" i="37" s="1"/>
  <c r="G1968" i="37"/>
  <c r="H1968" i="37" s="1"/>
  <c r="H657" i="1"/>
  <c r="H655" i="1"/>
  <c r="H651" i="1"/>
  <c r="H653" i="1"/>
  <c r="G1649" i="37" s="1"/>
  <c r="H1649" i="37" s="1"/>
  <c r="H1650" i="37" s="1"/>
  <c r="G1683" i="37"/>
  <c r="H1683" i="37" s="1"/>
  <c r="H1684" i="37" s="1"/>
  <c r="G1680" i="37"/>
  <c r="H1680" i="37" s="1"/>
  <c r="G1679" i="37"/>
  <c r="H1679" i="37" s="1"/>
  <c r="G1678" i="37"/>
  <c r="H1678" i="37" s="1"/>
  <c r="G1677" i="37"/>
  <c r="H1677" i="37" s="1"/>
  <c r="G1666" i="37"/>
  <c r="H1666" i="37" s="1"/>
  <c r="H1667" i="37" s="1"/>
  <c r="G1663" i="37"/>
  <c r="H1663" i="37" s="1"/>
  <c r="G1662" i="37"/>
  <c r="H1662" i="37" s="1"/>
  <c r="G1661" i="37"/>
  <c r="H1661" i="37" s="1"/>
  <c r="G1660" i="37"/>
  <c r="H1660" i="37" s="1"/>
  <c r="G1646" i="37"/>
  <c r="H1646" i="37" s="1"/>
  <c r="G1645" i="37"/>
  <c r="H1645" i="37" s="1"/>
  <c r="G1644" i="37"/>
  <c r="H1644" i="37" s="1"/>
  <c r="G1643" i="37"/>
  <c r="H1643" i="37" s="1"/>
  <c r="G1632" i="37"/>
  <c r="H1632" i="37" s="1"/>
  <c r="H1633" i="37" s="1"/>
  <c r="G1629" i="37"/>
  <c r="H1629" i="37" s="1"/>
  <c r="G1628" i="37"/>
  <c r="H1628" i="37" s="1"/>
  <c r="G1627" i="37"/>
  <c r="H1627" i="37" s="1"/>
  <c r="G1626" i="37"/>
  <c r="H1626" i="37" s="1"/>
  <c r="G1612" i="37"/>
  <c r="H1612" i="37" s="1"/>
  <c r="G1611" i="37"/>
  <c r="H1611" i="37" s="1"/>
  <c r="G1610" i="37"/>
  <c r="H1610" i="37" s="1"/>
  <c r="G1609" i="37"/>
  <c r="H1609" i="37" s="1"/>
  <c r="G1595" i="37"/>
  <c r="H1595" i="37" s="1"/>
  <c r="G1594" i="37"/>
  <c r="H1594" i="37" s="1"/>
  <c r="G1593" i="37"/>
  <c r="H1593" i="37" s="1"/>
  <c r="G1592" i="37"/>
  <c r="H1592" i="37" s="1"/>
  <c r="G1578" i="37"/>
  <c r="H1578" i="37" s="1"/>
  <c r="G1577" i="37"/>
  <c r="H1577" i="37" s="1"/>
  <c r="G1576" i="37"/>
  <c r="H1576" i="37" s="1"/>
  <c r="G1575" i="37"/>
  <c r="H1575" i="37" s="1"/>
  <c r="G1561" i="37"/>
  <c r="H1561" i="37" s="1"/>
  <c r="G1560" i="37"/>
  <c r="H1560" i="37" s="1"/>
  <c r="G1559" i="37"/>
  <c r="H1559" i="37" s="1"/>
  <c r="G1558" i="37"/>
  <c r="H1558" i="37" s="1"/>
  <c r="G1544" i="37"/>
  <c r="H1544" i="37" s="1"/>
  <c r="G1543" i="37"/>
  <c r="H1543" i="37" s="1"/>
  <c r="G1542" i="37"/>
  <c r="H1542" i="37" s="1"/>
  <c r="G1541" i="37"/>
  <c r="H1541" i="37" s="1"/>
  <c r="H648" i="1"/>
  <c r="H646" i="1"/>
  <c r="H644" i="1"/>
  <c r="H642" i="1"/>
  <c r="H640" i="1"/>
  <c r="H638" i="1"/>
  <c r="G1527" i="37"/>
  <c r="H1527" i="37" s="1"/>
  <c r="G1526" i="37"/>
  <c r="H1526" i="37" s="1"/>
  <c r="G1525" i="37"/>
  <c r="H1525" i="37" s="1"/>
  <c r="G1524" i="37"/>
  <c r="H1524" i="37" s="1"/>
  <c r="H636" i="1"/>
  <c r="G1513" i="37" s="1"/>
  <c r="H1513" i="37" s="1"/>
  <c r="H1514" i="37" s="1"/>
  <c r="G1510" i="37"/>
  <c r="H1510" i="37" s="1"/>
  <c r="G1509" i="37"/>
  <c r="H1509" i="37" s="1"/>
  <c r="G1508" i="37"/>
  <c r="H1508" i="37" s="1"/>
  <c r="G1507" i="37"/>
  <c r="H1507" i="37" s="1"/>
  <c r="H634" i="1"/>
  <c r="G1493" i="37"/>
  <c r="H1493" i="37" s="1"/>
  <c r="G1492" i="37"/>
  <c r="H1492" i="37" s="1"/>
  <c r="G1491" i="37"/>
  <c r="H1491" i="37" s="1"/>
  <c r="G1490" i="37"/>
  <c r="H1490" i="37" s="1"/>
  <c r="H632" i="1"/>
  <c r="G1479" i="37" s="1"/>
  <c r="H1479" i="37" s="1"/>
  <c r="H1480" i="37" s="1"/>
  <c r="G1476" i="37"/>
  <c r="H1476" i="37" s="1"/>
  <c r="G1475" i="37"/>
  <c r="H1475" i="37" s="1"/>
  <c r="G1474" i="37"/>
  <c r="H1474" i="37" s="1"/>
  <c r="G1473" i="37"/>
  <c r="H1473" i="37" s="1"/>
  <c r="H630" i="1"/>
  <c r="G1462" i="37" s="1"/>
  <c r="H1462" i="37" s="1"/>
  <c r="H1463" i="37" s="1"/>
  <c r="G1459" i="37"/>
  <c r="H1459" i="37" s="1"/>
  <c r="G1458" i="37"/>
  <c r="H1458" i="37" s="1"/>
  <c r="G1457" i="37"/>
  <c r="H1457" i="37" s="1"/>
  <c r="G1456" i="37"/>
  <c r="H1456" i="37" s="1"/>
  <c r="H628" i="1"/>
  <c r="G1445" i="37"/>
  <c r="H1445" i="37" s="1"/>
  <c r="H1446" i="37" s="1"/>
  <c r="G1442" i="37"/>
  <c r="H1442" i="37" s="1"/>
  <c r="G1441" i="37"/>
  <c r="H1441" i="37" s="1"/>
  <c r="G1440" i="37"/>
  <c r="H1440" i="37" s="1"/>
  <c r="G1439" i="37"/>
  <c r="H1439" i="37" s="1"/>
  <c r="H626" i="1"/>
  <c r="G1425" i="37"/>
  <c r="H1425" i="37" s="1"/>
  <c r="G1424" i="37"/>
  <c r="H1424" i="37" s="1"/>
  <c r="G1423" i="37"/>
  <c r="H1423" i="37" s="1"/>
  <c r="G1422" i="37"/>
  <c r="H1422" i="37" s="1"/>
  <c r="H624" i="1"/>
  <c r="G1406" i="37"/>
  <c r="H1406" i="37" s="1"/>
  <c r="G1405" i="37"/>
  <c r="H1405" i="37" s="1"/>
  <c r="G1404" i="37"/>
  <c r="H1404" i="37" s="1"/>
  <c r="G1403" i="37"/>
  <c r="H1403" i="37" s="1"/>
  <c r="H622" i="1"/>
  <c r="G1392" i="37" s="1"/>
  <c r="H1392" i="37" s="1"/>
  <c r="H1393" i="37" s="1"/>
  <c r="G1389" i="37"/>
  <c r="H1389" i="37" s="1"/>
  <c r="G1388" i="37"/>
  <c r="H1388" i="37" s="1"/>
  <c r="G1387" i="37"/>
  <c r="H1387" i="37" s="1"/>
  <c r="G1386" i="37"/>
  <c r="H1386" i="37" s="1"/>
  <c r="H620" i="1"/>
  <c r="G1375" i="37" s="1"/>
  <c r="H1375" i="37" s="1"/>
  <c r="H1376" i="37" s="1"/>
  <c r="G1372" i="37"/>
  <c r="H1372" i="37" s="1"/>
  <c r="G1371" i="37"/>
  <c r="H1371" i="37" s="1"/>
  <c r="G1370" i="37"/>
  <c r="H1370" i="37" s="1"/>
  <c r="G1369" i="37"/>
  <c r="H1369" i="37" s="1"/>
  <c r="H618" i="1"/>
  <c r="G1358" i="37" s="1"/>
  <c r="H1358" i="37" s="1"/>
  <c r="H1359" i="37" s="1"/>
  <c r="G1355" i="37"/>
  <c r="H1355" i="37" s="1"/>
  <c r="G1354" i="37"/>
  <c r="H1354" i="37" s="1"/>
  <c r="G1353" i="37"/>
  <c r="H1353" i="37" s="1"/>
  <c r="G1352" i="37"/>
  <c r="H1352" i="37" s="1"/>
  <c r="H616" i="1"/>
  <c r="G1341" i="37" s="1"/>
  <c r="H1341" i="37" s="1"/>
  <c r="H1342" i="37" s="1"/>
  <c r="G1338" i="37"/>
  <c r="H1338" i="37" s="1"/>
  <c r="G1337" i="37"/>
  <c r="H1337" i="37" s="1"/>
  <c r="G1336" i="37"/>
  <c r="H1336" i="37" s="1"/>
  <c r="G1335" i="37"/>
  <c r="H1335" i="37" s="1"/>
  <c r="H614" i="1"/>
  <c r="G1324" i="37" s="1"/>
  <c r="H1324" i="37" s="1"/>
  <c r="H1325" i="37" s="1"/>
  <c r="G1321" i="37"/>
  <c r="H1321" i="37" s="1"/>
  <c r="G1320" i="37"/>
  <c r="H1320" i="37" s="1"/>
  <c r="G1319" i="37"/>
  <c r="H1319" i="37" s="1"/>
  <c r="G1318" i="37"/>
  <c r="H1318" i="37" s="1"/>
  <c r="H612" i="1"/>
  <c r="G1307" i="37" s="1"/>
  <c r="H1307" i="37" s="1"/>
  <c r="H1308" i="37" s="1"/>
  <c r="G1304" i="37"/>
  <c r="H1304" i="37" s="1"/>
  <c r="G1303" i="37"/>
  <c r="H1303" i="37" s="1"/>
  <c r="G1302" i="37"/>
  <c r="H1302" i="37" s="1"/>
  <c r="G1301" i="37"/>
  <c r="H1301" i="37" s="1"/>
  <c r="H610" i="1"/>
  <c r="G1290" i="37" s="1"/>
  <c r="H1290" i="37" s="1"/>
  <c r="H1291" i="37" s="1"/>
  <c r="G1287" i="37"/>
  <c r="H1287" i="37" s="1"/>
  <c r="G1286" i="37"/>
  <c r="H1286" i="37" s="1"/>
  <c r="G1285" i="37"/>
  <c r="H1285" i="37" s="1"/>
  <c r="G1284" i="37"/>
  <c r="H1284" i="37" s="1"/>
  <c r="H608" i="1"/>
  <c r="G1269" i="37"/>
  <c r="H1269" i="37" s="1"/>
  <c r="G1268" i="37"/>
  <c r="H1268" i="37" s="1"/>
  <c r="G1267" i="37"/>
  <c r="H1267" i="37" s="1"/>
  <c r="G1266" i="37"/>
  <c r="H1266" i="37" s="1"/>
  <c r="H606" i="1"/>
  <c r="G1255" i="37"/>
  <c r="H1255" i="37" s="1"/>
  <c r="H1256" i="37" s="1"/>
  <c r="G1252" i="37"/>
  <c r="H1252" i="37" s="1"/>
  <c r="G1251" i="37"/>
  <c r="H1251" i="37" s="1"/>
  <c r="G1250" i="37"/>
  <c r="H1250" i="37" s="1"/>
  <c r="G1249" i="37"/>
  <c r="H1249" i="37" s="1"/>
  <c r="E2185" i="27" l="1"/>
  <c r="E1974" i="27"/>
  <c r="E1978" i="27"/>
  <c r="E1967" i="27"/>
  <c r="G1428" i="37"/>
  <c r="H1428" i="37" s="1"/>
  <c r="H1429" i="37" s="1"/>
  <c r="G1409" i="37"/>
  <c r="H1409" i="37" s="1"/>
  <c r="H1410" i="37" s="1"/>
  <c r="H41" i="39"/>
  <c r="H42" i="39" s="1"/>
  <c r="H43" i="39" s="1"/>
  <c r="I26" i="39" s="1"/>
  <c r="H24" i="38"/>
  <c r="H25" i="38" s="1"/>
  <c r="H26" i="38" s="1"/>
  <c r="I4" i="38" s="1"/>
  <c r="H5225" i="37"/>
  <c r="H5226" i="37" s="1"/>
  <c r="I5211" i="37" s="1"/>
  <c r="H5208" i="37"/>
  <c r="H5209" i="37" s="1"/>
  <c r="I5194" i="37" s="1"/>
  <c r="H5191" i="37"/>
  <c r="H5192" i="37" s="1"/>
  <c r="I5177" i="37" s="1"/>
  <c r="H5173" i="37"/>
  <c r="H5174" i="37" s="1"/>
  <c r="I5159" i="37" s="1"/>
  <c r="H5156" i="37"/>
  <c r="H5157" i="37" s="1"/>
  <c r="I5142" i="37" s="1"/>
  <c r="H5138" i="37"/>
  <c r="H5139" i="37" s="1"/>
  <c r="I5124" i="37" s="1"/>
  <c r="H5120" i="37"/>
  <c r="H5121" i="37" s="1"/>
  <c r="I5106" i="37" s="1"/>
  <c r="H5084" i="37"/>
  <c r="H5085" i="37" s="1"/>
  <c r="I5070" i="37" s="1"/>
  <c r="H5066" i="37"/>
  <c r="H5067" i="37" s="1"/>
  <c r="I5052" i="37" s="1"/>
  <c r="H5047" i="37"/>
  <c r="H5048" i="37" s="1"/>
  <c r="I5033" i="37" s="1"/>
  <c r="H5030" i="37"/>
  <c r="H5031" i="37" s="1"/>
  <c r="I5016" i="37" s="1"/>
  <c r="H5013" i="37"/>
  <c r="H5014" i="37" s="1"/>
  <c r="I4999" i="37" s="1"/>
  <c r="H4996" i="37"/>
  <c r="H4997" i="37" s="1"/>
  <c r="I4982" i="37" s="1"/>
  <c r="H4840" i="37"/>
  <c r="H4841" i="37" s="1"/>
  <c r="I4826" i="37" s="1"/>
  <c r="H4823" i="37"/>
  <c r="H4824" i="37" s="1"/>
  <c r="I4809" i="37" s="1"/>
  <c r="H4806" i="37"/>
  <c r="H4807" i="37" s="1"/>
  <c r="I4792" i="37" s="1"/>
  <c r="H4788" i="37"/>
  <c r="H4789" i="37" s="1"/>
  <c r="I4774" i="37" s="1"/>
  <c r="H4771" i="37"/>
  <c r="H4772" i="37" s="1"/>
  <c r="I4757" i="37" s="1"/>
  <c r="H4754" i="37"/>
  <c r="H4755" i="37" s="1"/>
  <c r="I4740" i="37" s="1"/>
  <c r="H4737" i="37"/>
  <c r="H4738" i="37" s="1"/>
  <c r="I4723" i="37" s="1"/>
  <c r="H4720" i="37"/>
  <c r="H4721" i="37" s="1"/>
  <c r="I4706" i="37" s="1"/>
  <c r="H4703" i="37"/>
  <c r="H4704" i="37" s="1"/>
  <c r="I4689" i="37" s="1"/>
  <c r="H4685" i="37"/>
  <c r="H4686" i="37" s="1"/>
  <c r="I4671" i="37" s="1"/>
  <c r="H4668" i="37"/>
  <c r="H4669" i="37" s="1"/>
  <c r="I4654" i="37" s="1"/>
  <c r="H4651" i="37"/>
  <c r="H4652" i="37" s="1"/>
  <c r="I4637" i="37" s="1"/>
  <c r="H4634" i="37"/>
  <c r="H4635" i="37" s="1"/>
  <c r="I4620" i="37" s="1"/>
  <c r="H4617" i="37"/>
  <c r="H4618" i="37" s="1"/>
  <c r="I4603" i="37" s="1"/>
  <c r="H4600" i="37"/>
  <c r="H4601" i="37" s="1"/>
  <c r="I4586" i="37" s="1"/>
  <c r="H4583" i="37"/>
  <c r="H4584" i="37" s="1"/>
  <c r="I4569" i="37" s="1"/>
  <c r="H4566" i="37"/>
  <c r="H4567" i="37" s="1"/>
  <c r="I4552" i="37" s="1"/>
  <c r="H4530" i="37"/>
  <c r="H4531" i="37" s="1"/>
  <c r="I4516" i="37" s="1"/>
  <c r="H4513" i="37"/>
  <c r="H4514" i="37" s="1"/>
  <c r="I4499" i="37" s="1"/>
  <c r="H4479" i="37"/>
  <c r="H4480" i="37" s="1"/>
  <c r="I4465" i="37" s="1"/>
  <c r="H4462" i="37"/>
  <c r="H4463" i="37" s="1"/>
  <c r="I4448" i="37" s="1"/>
  <c r="H4445" i="37"/>
  <c r="H4446" i="37" s="1"/>
  <c r="I4431" i="37" s="1"/>
  <c r="H4428" i="37"/>
  <c r="H4429" i="37" s="1"/>
  <c r="I4414" i="37" s="1"/>
  <c r="H4058" i="37"/>
  <c r="H4059" i="37" s="1"/>
  <c r="I4044" i="37" s="1"/>
  <c r="H4041" i="37"/>
  <c r="H4042" i="37" s="1"/>
  <c r="I4027" i="37" s="1"/>
  <c r="H4024" i="37"/>
  <c r="H4025" i="37" s="1"/>
  <c r="I4010" i="37" s="1"/>
  <c r="H4007" i="37"/>
  <c r="H4008" i="37" s="1"/>
  <c r="I3993" i="37" s="1"/>
  <c r="H3990" i="37"/>
  <c r="H3991" i="37" s="1"/>
  <c r="I3976" i="37" s="1"/>
  <c r="H3973" i="37"/>
  <c r="H3974" i="37" s="1"/>
  <c r="I3959" i="37" s="1"/>
  <c r="H3956" i="37"/>
  <c r="H3957" i="37" s="1"/>
  <c r="I3942" i="37" s="1"/>
  <c r="H3939" i="37"/>
  <c r="H3940" i="37" s="1"/>
  <c r="I3925" i="37" s="1"/>
  <c r="H3921" i="37"/>
  <c r="H3922" i="37" s="1"/>
  <c r="I3907" i="37" s="1"/>
  <c r="H3904" i="37"/>
  <c r="H3905" i="37" s="1"/>
  <c r="I3890" i="37" s="1"/>
  <c r="H3887" i="37"/>
  <c r="H3888" i="37" s="1"/>
  <c r="I3873" i="37" s="1"/>
  <c r="H3870" i="37"/>
  <c r="H3871" i="37" s="1"/>
  <c r="I3856" i="37" s="1"/>
  <c r="H3198" i="37"/>
  <c r="H3199" i="37" s="1"/>
  <c r="I3184" i="37" s="1"/>
  <c r="H2904" i="37"/>
  <c r="H2905" i="37" s="1"/>
  <c r="I2890" i="37" s="1"/>
  <c r="H2887" i="37"/>
  <c r="H2888" i="37" s="1"/>
  <c r="I2873" i="37" s="1"/>
  <c r="H2870" i="37"/>
  <c r="H2871" i="37" s="1"/>
  <c r="I2856" i="37" s="1"/>
  <c r="H2852" i="37"/>
  <c r="H2853" i="37" s="1"/>
  <c r="I2838" i="37" s="1"/>
  <c r="H2835" i="37"/>
  <c r="H2836" i="37" s="1"/>
  <c r="I2821" i="37" s="1"/>
  <c r="H2801" i="37"/>
  <c r="H2802" i="37" s="1"/>
  <c r="I2787" i="37" s="1"/>
  <c r="H2784" i="37"/>
  <c r="H2785" i="37" s="1"/>
  <c r="I2770" i="37" s="1"/>
  <c r="H2767" i="37"/>
  <c r="H2768" i="37" s="1"/>
  <c r="I2753" i="37" s="1"/>
  <c r="H2750" i="37"/>
  <c r="H2751" i="37" s="1"/>
  <c r="I2736" i="37" s="1"/>
  <c r="H2733" i="37"/>
  <c r="H2734" i="37" s="1"/>
  <c r="I2719" i="37" s="1"/>
  <c r="H2715" i="37"/>
  <c r="H2716" i="37" s="1"/>
  <c r="I2701" i="37" s="1"/>
  <c r="H2698" i="37"/>
  <c r="H2699" i="37" s="1"/>
  <c r="I2684" i="37" s="1"/>
  <c r="H2680" i="37"/>
  <c r="H2681" i="37" s="1"/>
  <c r="I2666" i="37" s="1"/>
  <c r="H2662" i="37"/>
  <c r="H2663" i="37" s="1"/>
  <c r="I2648" i="37" s="1"/>
  <c r="H2422" i="37"/>
  <c r="H2423" i="37" s="1"/>
  <c r="I2408" i="37" s="1"/>
  <c r="H2267" i="37"/>
  <c r="H2268" i="37" s="1"/>
  <c r="I2253" i="37" s="1"/>
  <c r="H2248" i="37"/>
  <c r="H2249" i="37" s="1"/>
  <c r="I2234" i="37" s="1"/>
  <c r="H2214" i="37"/>
  <c r="H2215" i="37" s="1"/>
  <c r="I2200" i="37" s="1"/>
  <c r="H2197" i="37"/>
  <c r="H2198" i="37" s="1"/>
  <c r="I2183" i="37" s="1"/>
  <c r="H2180" i="37"/>
  <c r="H2181" i="37" s="1"/>
  <c r="I2166" i="37" s="1"/>
  <c r="H2146" i="37"/>
  <c r="H2147" i="37" s="1"/>
  <c r="I2132" i="37" s="1"/>
  <c r="H2128" i="37"/>
  <c r="H2129" i="37" s="1"/>
  <c r="I2114" i="37" s="1"/>
  <c r="H2111" i="37"/>
  <c r="H2112" i="37" s="1"/>
  <c r="I2097" i="37" s="1"/>
  <c r="H2094" i="37"/>
  <c r="H2095" i="37" s="1"/>
  <c r="I2080" i="37" s="1"/>
  <c r="H2077" i="37"/>
  <c r="H2078" i="37" s="1"/>
  <c r="I2063" i="37" s="1"/>
  <c r="H2060" i="37"/>
  <c r="H2061" i="37" s="1"/>
  <c r="I2046" i="37" s="1"/>
  <c r="H2024" i="37"/>
  <c r="H2025" i="37" s="1"/>
  <c r="H2026" i="37" s="1"/>
  <c r="I2011" i="37" s="1"/>
  <c r="H1443" i="37"/>
  <c r="H1449" i="37" s="1"/>
  <c r="H1477" i="37"/>
  <c r="H1483" i="37" s="1"/>
  <c r="H1511" i="37"/>
  <c r="H1517" i="37" s="1"/>
  <c r="H1545" i="37"/>
  <c r="H1562" i="37"/>
  <c r="H1579" i="37"/>
  <c r="H1596" i="37"/>
  <c r="H1613" i="37"/>
  <c r="H1630" i="37"/>
  <c r="H1636" i="37" s="1"/>
  <c r="H1972" i="37"/>
  <c r="H1992" i="37"/>
  <c r="H1998" i="37"/>
  <c r="H1647" i="37"/>
  <c r="H1653" i="37" s="1"/>
  <c r="H1460" i="37"/>
  <c r="H1466" i="37" s="1"/>
  <c r="H1494" i="37"/>
  <c r="H1528" i="37"/>
  <c r="H1664" i="37"/>
  <c r="H1670" i="37" s="1"/>
  <c r="H1681" i="37"/>
  <c r="H1687" i="37" s="1"/>
  <c r="G1530" i="37"/>
  <c r="H1530" i="37" s="1"/>
  <c r="H1531" i="37" s="1"/>
  <c r="G1547" i="37"/>
  <c r="H1547" i="37" s="1"/>
  <c r="H1548" i="37" s="1"/>
  <c r="G1564" i="37"/>
  <c r="H1564" i="37" s="1"/>
  <c r="H1565" i="37" s="1"/>
  <c r="G1581" i="37"/>
  <c r="H1581" i="37" s="1"/>
  <c r="H1582" i="37" s="1"/>
  <c r="G1598" i="37"/>
  <c r="H1598" i="37" s="1"/>
  <c r="H1599" i="37" s="1"/>
  <c r="G1615" i="37"/>
  <c r="H1615" i="37" s="1"/>
  <c r="H1616" i="37" s="1"/>
  <c r="H1426" i="37"/>
  <c r="H1407" i="37"/>
  <c r="H1390" i="37"/>
  <c r="H1396" i="37" s="1"/>
  <c r="H1373" i="37"/>
  <c r="H1379" i="37" s="1"/>
  <c r="H1356" i="37"/>
  <c r="H1362" i="37" s="1"/>
  <c r="H1339" i="37"/>
  <c r="H1345" i="37" s="1"/>
  <c r="H1322" i="37"/>
  <c r="H1328" i="37" s="1"/>
  <c r="H1305" i="37"/>
  <c r="H1311" i="37" s="1"/>
  <c r="H1288" i="37"/>
  <c r="H1294" i="37" s="1"/>
  <c r="H1270" i="37"/>
  <c r="H1253" i="37"/>
  <c r="H1259" i="37" s="1"/>
  <c r="H1260" i="37" s="1"/>
  <c r="H1261" i="37" s="1"/>
  <c r="I1246" i="37" s="1"/>
  <c r="H604" i="1"/>
  <c r="G1238" i="37" s="1"/>
  <c r="H1238" i="37" s="1"/>
  <c r="H1239" i="37" s="1"/>
  <c r="G1235" i="37"/>
  <c r="H1235" i="37" s="1"/>
  <c r="G1234" i="37"/>
  <c r="H1234" i="37" s="1"/>
  <c r="G1233" i="37"/>
  <c r="H1233" i="37" s="1"/>
  <c r="G1232" i="37"/>
  <c r="H1232" i="37" s="1"/>
  <c r="H602" i="1"/>
  <c r="G1218" i="37"/>
  <c r="H1218" i="37" s="1"/>
  <c r="G1217" i="37"/>
  <c r="H1217" i="37" s="1"/>
  <c r="G1216" i="37"/>
  <c r="H1216" i="37" s="1"/>
  <c r="G1215" i="37"/>
  <c r="H1215" i="37" s="1"/>
  <c r="H600" i="1"/>
  <c r="G1204" i="37" s="1"/>
  <c r="H1204" i="37" s="1"/>
  <c r="H1205" i="37" s="1"/>
  <c r="G1201" i="37"/>
  <c r="H1201" i="37" s="1"/>
  <c r="G1200" i="37"/>
  <c r="H1200" i="37" s="1"/>
  <c r="G1199" i="37"/>
  <c r="H1199" i="37" s="1"/>
  <c r="G1198" i="37"/>
  <c r="H1198" i="37" s="1"/>
  <c r="H598" i="1"/>
  <c r="G1187" i="37" s="1"/>
  <c r="H1187" i="37" s="1"/>
  <c r="H1188" i="37" s="1"/>
  <c r="G1184" i="37"/>
  <c r="H1184" i="37" s="1"/>
  <c r="G1183" i="37"/>
  <c r="H1183" i="37" s="1"/>
  <c r="G1182" i="37"/>
  <c r="H1182" i="37" s="1"/>
  <c r="G1181" i="37"/>
  <c r="H1181" i="37" s="1"/>
  <c r="H596" i="1"/>
  <c r="G1170" i="37"/>
  <c r="H1170" i="37" s="1"/>
  <c r="H1171" i="37" s="1"/>
  <c r="G1167" i="37"/>
  <c r="H1167" i="37" s="1"/>
  <c r="G1166" i="37"/>
  <c r="H1166" i="37" s="1"/>
  <c r="G1165" i="37"/>
  <c r="H1165" i="37" s="1"/>
  <c r="G1164" i="37"/>
  <c r="H1164" i="37" s="1"/>
  <c r="H594" i="1"/>
  <c r="G1150" i="37"/>
  <c r="H1150" i="37" s="1"/>
  <c r="G1149" i="37"/>
  <c r="H1149" i="37" s="1"/>
  <c r="G1148" i="37"/>
  <c r="H1148" i="37" s="1"/>
  <c r="G1147" i="37"/>
  <c r="H1147" i="37" s="1"/>
  <c r="H592" i="1"/>
  <c r="G1136" i="37" s="1"/>
  <c r="H1136" i="37" s="1"/>
  <c r="H1137" i="37" s="1"/>
  <c r="G1133" i="37"/>
  <c r="H1133" i="37" s="1"/>
  <c r="G1132" i="37"/>
  <c r="H1132" i="37" s="1"/>
  <c r="G1131" i="37"/>
  <c r="H1131" i="37" s="1"/>
  <c r="G1130" i="37"/>
  <c r="H1130" i="37" s="1"/>
  <c r="H590" i="1"/>
  <c r="G1119" i="37"/>
  <c r="H1119" i="37" s="1"/>
  <c r="H1120" i="37" s="1"/>
  <c r="G1116" i="37"/>
  <c r="H1116" i="37" s="1"/>
  <c r="G1115" i="37"/>
  <c r="H1115" i="37" s="1"/>
  <c r="G1114" i="37"/>
  <c r="H1114" i="37" s="1"/>
  <c r="G1113" i="37"/>
  <c r="H1113" i="37" s="1"/>
  <c r="H588" i="1"/>
  <c r="G1102" i="37" s="1"/>
  <c r="H1102" i="37" s="1"/>
  <c r="H1103" i="37" s="1"/>
  <c r="G1099" i="37"/>
  <c r="H1099" i="37" s="1"/>
  <c r="G1098" i="37"/>
  <c r="H1098" i="37" s="1"/>
  <c r="G1097" i="37"/>
  <c r="H1097" i="37" s="1"/>
  <c r="G1096" i="37"/>
  <c r="H1096" i="37" s="1"/>
  <c r="H586" i="1"/>
  <c r="G1085" i="37" s="1"/>
  <c r="H1085" i="37" s="1"/>
  <c r="H1086" i="37" s="1"/>
  <c r="G1082" i="37"/>
  <c r="H1082" i="37" s="1"/>
  <c r="G1081" i="37"/>
  <c r="H1081" i="37" s="1"/>
  <c r="G1080" i="37"/>
  <c r="H1080" i="37" s="1"/>
  <c r="G1079" i="37"/>
  <c r="H1079" i="37" s="1"/>
  <c r="H584" i="1"/>
  <c r="G1064" i="37"/>
  <c r="H1064" i="37" s="1"/>
  <c r="G1063" i="37"/>
  <c r="H1063" i="37" s="1"/>
  <c r="G1062" i="37"/>
  <c r="H1062" i="37" s="1"/>
  <c r="G1061" i="37"/>
  <c r="H1061" i="37" s="1"/>
  <c r="H582" i="1"/>
  <c r="G1050" i="37" s="1"/>
  <c r="H1050" i="37" s="1"/>
  <c r="H1051" i="37" s="1"/>
  <c r="G1047" i="37"/>
  <c r="H1047" i="37" s="1"/>
  <c r="G1046" i="37"/>
  <c r="H1046" i="37" s="1"/>
  <c r="G1045" i="37"/>
  <c r="H1045" i="37" s="1"/>
  <c r="G1044" i="37"/>
  <c r="H1044" i="37" s="1"/>
  <c r="H580" i="1"/>
  <c r="G1033" i="37" s="1"/>
  <c r="H1033" i="37" s="1"/>
  <c r="H1034" i="37" s="1"/>
  <c r="G1030" i="37"/>
  <c r="H1030" i="37" s="1"/>
  <c r="G1029" i="37"/>
  <c r="H1029" i="37" s="1"/>
  <c r="G1028" i="37"/>
  <c r="H1028" i="37" s="1"/>
  <c r="G1027" i="37"/>
  <c r="H1027" i="37" s="1"/>
  <c r="H578" i="1"/>
  <c r="G1016" i="37"/>
  <c r="H1016" i="37" s="1"/>
  <c r="H1017" i="37" s="1"/>
  <c r="G1013" i="37"/>
  <c r="H1013" i="37" s="1"/>
  <c r="G1012" i="37"/>
  <c r="H1012" i="37" s="1"/>
  <c r="G1011" i="37"/>
  <c r="H1011" i="37" s="1"/>
  <c r="G1010" i="37"/>
  <c r="H1010" i="37" s="1"/>
  <c r="H576" i="1"/>
  <c r="G999" i="37" s="1"/>
  <c r="H999" i="37" s="1"/>
  <c r="H1000" i="37" s="1"/>
  <c r="G996" i="37"/>
  <c r="H996" i="37" s="1"/>
  <c r="G995" i="37"/>
  <c r="H995" i="37" s="1"/>
  <c r="G994" i="37"/>
  <c r="H994" i="37" s="1"/>
  <c r="G993" i="37"/>
  <c r="H993" i="37" s="1"/>
  <c r="H574" i="1"/>
  <c r="G982" i="37" s="1"/>
  <c r="H982" i="37" s="1"/>
  <c r="H983" i="37" s="1"/>
  <c r="G979" i="37"/>
  <c r="H979" i="37" s="1"/>
  <c r="G978" i="37"/>
  <c r="H978" i="37" s="1"/>
  <c r="G977" i="37"/>
  <c r="H977" i="37" s="1"/>
  <c r="G976" i="37"/>
  <c r="H976" i="37" s="1"/>
  <c r="H572" i="1"/>
  <c r="G965" i="37" s="1"/>
  <c r="H965" i="37" s="1"/>
  <c r="H966" i="37" s="1"/>
  <c r="G962" i="37"/>
  <c r="H962" i="37" s="1"/>
  <c r="G961" i="37"/>
  <c r="H961" i="37" s="1"/>
  <c r="G960" i="37"/>
  <c r="H960" i="37" s="1"/>
  <c r="G959" i="37"/>
  <c r="H959" i="37" s="1"/>
  <c r="H570" i="1"/>
  <c r="G948" i="37" s="1"/>
  <c r="H948" i="37" s="1"/>
  <c r="H949" i="37" s="1"/>
  <c r="G945" i="37"/>
  <c r="H945" i="37" s="1"/>
  <c r="G944" i="37"/>
  <c r="H944" i="37" s="1"/>
  <c r="G943" i="37"/>
  <c r="H943" i="37" s="1"/>
  <c r="G942" i="37"/>
  <c r="H942" i="37" s="1"/>
  <c r="H568" i="1"/>
  <c r="G931" i="37" s="1"/>
  <c r="H931" i="37" s="1"/>
  <c r="H932" i="37" s="1"/>
  <c r="G928" i="37"/>
  <c r="H928" i="37" s="1"/>
  <c r="G927" i="37"/>
  <c r="H927" i="37" s="1"/>
  <c r="G926" i="37"/>
  <c r="H926" i="37" s="1"/>
  <c r="G925" i="37"/>
  <c r="H925" i="37" s="1"/>
  <c r="H566" i="1"/>
  <c r="G914" i="37" s="1"/>
  <c r="H914" i="37" s="1"/>
  <c r="H915" i="37" s="1"/>
  <c r="G911" i="37"/>
  <c r="H911" i="37" s="1"/>
  <c r="G910" i="37"/>
  <c r="H910" i="37" s="1"/>
  <c r="G909" i="37"/>
  <c r="H909" i="37" s="1"/>
  <c r="G908" i="37"/>
  <c r="H908" i="37" s="1"/>
  <c r="H564" i="1"/>
  <c r="G897" i="37" s="1"/>
  <c r="H897" i="37" s="1"/>
  <c r="H898" i="37" s="1"/>
  <c r="G894" i="37"/>
  <c r="H894" i="37" s="1"/>
  <c r="G893" i="37"/>
  <c r="H893" i="37" s="1"/>
  <c r="G892" i="37"/>
  <c r="H892" i="37" s="1"/>
  <c r="G891" i="37"/>
  <c r="H891" i="37" s="1"/>
  <c r="H562" i="1"/>
  <c r="G880" i="37" s="1"/>
  <c r="H880" i="37" s="1"/>
  <c r="H881" i="37" s="1"/>
  <c r="G877" i="37"/>
  <c r="H877" i="37" s="1"/>
  <c r="G876" i="37"/>
  <c r="H876" i="37" s="1"/>
  <c r="G875" i="37"/>
  <c r="H875" i="37" s="1"/>
  <c r="G874" i="37"/>
  <c r="H874" i="37" s="1"/>
  <c r="H560" i="1"/>
  <c r="G860" i="37"/>
  <c r="H860" i="37" s="1"/>
  <c r="G859" i="37"/>
  <c r="H859" i="37" s="1"/>
  <c r="G858" i="37"/>
  <c r="H858" i="37" s="1"/>
  <c r="G857" i="37"/>
  <c r="H857" i="37" s="1"/>
  <c r="H558" i="1"/>
  <c r="G843" i="37"/>
  <c r="H843" i="37" s="1"/>
  <c r="G842" i="37"/>
  <c r="H842" i="37" s="1"/>
  <c r="G841" i="37"/>
  <c r="H841" i="37" s="1"/>
  <c r="G840" i="37"/>
  <c r="H840" i="37" s="1"/>
  <c r="H556" i="1"/>
  <c r="G826" i="37"/>
  <c r="H826" i="37" s="1"/>
  <c r="G825" i="37"/>
  <c r="H825" i="37" s="1"/>
  <c r="G824" i="37"/>
  <c r="H824" i="37" s="1"/>
  <c r="G823" i="37"/>
  <c r="H823" i="37" s="1"/>
  <c r="H554" i="1"/>
  <c r="G809" i="37"/>
  <c r="H809" i="37" s="1"/>
  <c r="G808" i="37"/>
  <c r="H808" i="37" s="1"/>
  <c r="G807" i="37"/>
  <c r="H807" i="37" s="1"/>
  <c r="G806" i="37"/>
  <c r="H806" i="37" s="1"/>
  <c r="G792" i="37"/>
  <c r="H792" i="37" s="1"/>
  <c r="G791" i="37"/>
  <c r="H791" i="37" s="1"/>
  <c r="G790" i="37"/>
  <c r="H790" i="37" s="1"/>
  <c r="G789" i="37"/>
  <c r="H789" i="37" s="1"/>
  <c r="G775" i="37"/>
  <c r="H775" i="37" s="1"/>
  <c r="G774" i="37"/>
  <c r="H774" i="37" s="1"/>
  <c r="G773" i="37"/>
  <c r="H773" i="37" s="1"/>
  <c r="G772" i="37"/>
  <c r="H772" i="37" s="1"/>
  <c r="G758" i="37"/>
  <c r="H758" i="37" s="1"/>
  <c r="G757" i="37"/>
  <c r="H757" i="37" s="1"/>
  <c r="G756" i="37"/>
  <c r="H756" i="37" s="1"/>
  <c r="G755" i="37"/>
  <c r="H755" i="37" s="1"/>
  <c r="G741" i="37"/>
  <c r="H741" i="37" s="1"/>
  <c r="G740" i="37"/>
  <c r="H740" i="37" s="1"/>
  <c r="G739" i="37"/>
  <c r="H739" i="37" s="1"/>
  <c r="G738" i="37"/>
  <c r="H738" i="37" s="1"/>
  <c r="G723" i="37"/>
  <c r="H723" i="37" s="1"/>
  <c r="G722" i="37"/>
  <c r="H722" i="37" s="1"/>
  <c r="G721" i="37"/>
  <c r="H721" i="37" s="1"/>
  <c r="G720" i="37"/>
  <c r="H720" i="37" s="1"/>
  <c r="G706" i="37"/>
  <c r="H706" i="37" s="1"/>
  <c r="G705" i="37"/>
  <c r="H705" i="37" s="1"/>
  <c r="G704" i="37"/>
  <c r="H704" i="37" s="1"/>
  <c r="G703" i="37"/>
  <c r="H703" i="37" s="1"/>
  <c r="G689" i="37"/>
  <c r="H689" i="37" s="1"/>
  <c r="G688" i="37"/>
  <c r="H688" i="37" s="1"/>
  <c r="G687" i="37"/>
  <c r="H687" i="37" s="1"/>
  <c r="G686" i="37"/>
  <c r="H686" i="37" s="1"/>
  <c r="G672" i="37"/>
  <c r="H672" i="37" s="1"/>
  <c r="G671" i="37"/>
  <c r="H671" i="37" s="1"/>
  <c r="G670" i="37"/>
  <c r="H670" i="37" s="1"/>
  <c r="G669" i="37"/>
  <c r="H669" i="37" s="1"/>
  <c r="G655" i="37"/>
  <c r="H655" i="37" s="1"/>
  <c r="G654" i="37"/>
  <c r="H654" i="37" s="1"/>
  <c r="G653" i="37"/>
  <c r="H653" i="37" s="1"/>
  <c r="G652" i="37"/>
  <c r="H652" i="37" s="1"/>
  <c r="H532" i="1"/>
  <c r="G638" i="37"/>
  <c r="H638" i="37" s="1"/>
  <c r="G637" i="37"/>
  <c r="H637" i="37" s="1"/>
  <c r="G636" i="37"/>
  <c r="H636" i="37" s="1"/>
  <c r="G635" i="37"/>
  <c r="H635" i="37" s="1"/>
  <c r="G621" i="37"/>
  <c r="H621" i="37" s="1"/>
  <c r="G620" i="37"/>
  <c r="H620" i="37" s="1"/>
  <c r="G619" i="37"/>
  <c r="H619" i="37" s="1"/>
  <c r="G618" i="37"/>
  <c r="H618" i="37" s="1"/>
  <c r="G604" i="37"/>
  <c r="H604" i="37" s="1"/>
  <c r="G603" i="37"/>
  <c r="H603" i="37" s="1"/>
  <c r="G602" i="37"/>
  <c r="H602" i="37" s="1"/>
  <c r="G601" i="37"/>
  <c r="H601" i="37" s="1"/>
  <c r="G584" i="37"/>
  <c r="H584" i="37" s="1"/>
  <c r="G585" i="37"/>
  <c r="H585" i="37" s="1"/>
  <c r="G586" i="37"/>
  <c r="H586" i="37" s="1"/>
  <c r="G587" i="37"/>
  <c r="H587" i="37" s="1"/>
  <c r="H524" i="1"/>
  <c r="G570" i="37"/>
  <c r="H570" i="37" s="1"/>
  <c r="G569" i="37"/>
  <c r="H569" i="37" s="1"/>
  <c r="G568" i="37"/>
  <c r="H568" i="37" s="1"/>
  <c r="G567" i="37"/>
  <c r="H567" i="37" s="1"/>
  <c r="G553" i="37"/>
  <c r="H553" i="37" s="1"/>
  <c r="G552" i="37"/>
  <c r="H552" i="37" s="1"/>
  <c r="G551" i="37"/>
  <c r="H551" i="37" s="1"/>
  <c r="G550" i="37"/>
  <c r="H550" i="37" s="1"/>
  <c r="H544" i="1"/>
  <c r="H542" i="1"/>
  <c r="H540" i="1"/>
  <c r="H538" i="1"/>
  <c r="H536" i="1"/>
  <c r="H534" i="1"/>
  <c r="H530" i="1"/>
  <c r="H528" i="1"/>
  <c r="H526" i="1"/>
  <c r="H522" i="1"/>
  <c r="G607" i="37" s="1"/>
  <c r="H607" i="37" s="1"/>
  <c r="H608" i="37" s="1"/>
  <c r="G535" i="37"/>
  <c r="H535" i="37" s="1"/>
  <c r="G534" i="37"/>
  <c r="H534" i="37" s="1"/>
  <c r="G533" i="37"/>
  <c r="H533" i="37" s="1"/>
  <c r="G532" i="37"/>
  <c r="H532" i="37" s="1"/>
  <c r="G516" i="37"/>
  <c r="H516" i="37" s="1"/>
  <c r="G515" i="37"/>
  <c r="H515" i="37" s="1"/>
  <c r="G514" i="37"/>
  <c r="H514" i="37" s="1"/>
  <c r="G513" i="37"/>
  <c r="H513" i="37" s="1"/>
  <c r="G498" i="37"/>
  <c r="H498" i="37" s="1"/>
  <c r="G497" i="37"/>
  <c r="H497" i="37" s="1"/>
  <c r="G496" i="37"/>
  <c r="H496" i="37" s="1"/>
  <c r="G495" i="37"/>
  <c r="H495" i="37" s="1"/>
  <c r="G480" i="37"/>
  <c r="H480" i="37" s="1"/>
  <c r="G479" i="37"/>
  <c r="H479" i="37" s="1"/>
  <c r="G478" i="37"/>
  <c r="H478" i="37" s="1"/>
  <c r="G477" i="37"/>
  <c r="H477" i="37" s="1"/>
  <c r="G462" i="37"/>
  <c r="H462" i="37" s="1"/>
  <c r="G461" i="37"/>
  <c r="H461" i="37" s="1"/>
  <c r="G460" i="37"/>
  <c r="H460" i="37" s="1"/>
  <c r="G459" i="37"/>
  <c r="H459" i="37" s="1"/>
  <c r="G444" i="37"/>
  <c r="H444" i="37" s="1"/>
  <c r="G443" i="37"/>
  <c r="H443" i="37" s="1"/>
  <c r="G442" i="37"/>
  <c r="H442" i="37" s="1"/>
  <c r="G441" i="37"/>
  <c r="H441" i="37" s="1"/>
  <c r="G426" i="37"/>
  <c r="H426" i="37" s="1"/>
  <c r="G425" i="37"/>
  <c r="H425" i="37" s="1"/>
  <c r="G424" i="37"/>
  <c r="H424" i="37" s="1"/>
  <c r="G423" i="37"/>
  <c r="H423" i="37" s="1"/>
  <c r="G408" i="37"/>
  <c r="H408" i="37" s="1"/>
  <c r="G407" i="37"/>
  <c r="H407" i="37" s="1"/>
  <c r="G406" i="37"/>
  <c r="H406" i="37" s="1"/>
  <c r="G405" i="37"/>
  <c r="H405" i="37" s="1"/>
  <c r="G390" i="37"/>
  <c r="H390" i="37" s="1"/>
  <c r="G389" i="37"/>
  <c r="H389" i="37" s="1"/>
  <c r="G388" i="37"/>
  <c r="H388" i="37" s="1"/>
  <c r="G387" i="37"/>
  <c r="H387" i="37" s="1"/>
  <c r="G375" i="37"/>
  <c r="H375" i="37" s="1"/>
  <c r="H376" i="37" s="1"/>
  <c r="G372" i="37"/>
  <c r="H372" i="37" s="1"/>
  <c r="G371" i="37"/>
  <c r="H371" i="37" s="1"/>
  <c r="G370" i="37"/>
  <c r="H370" i="37" s="1"/>
  <c r="G369" i="37"/>
  <c r="H369" i="37" s="1"/>
  <c r="G354" i="37"/>
  <c r="H354" i="37" s="1"/>
  <c r="G353" i="37"/>
  <c r="H353" i="37" s="1"/>
  <c r="G352" i="37"/>
  <c r="H352" i="37" s="1"/>
  <c r="G351" i="37"/>
  <c r="H351" i="37" s="1"/>
  <c r="G336" i="37"/>
  <c r="H336" i="37" s="1"/>
  <c r="G335" i="37"/>
  <c r="H335" i="37" s="1"/>
  <c r="G334" i="37"/>
  <c r="H334" i="37" s="1"/>
  <c r="G333" i="37"/>
  <c r="H333" i="37" s="1"/>
  <c r="G318" i="37"/>
  <c r="H318" i="37" s="1"/>
  <c r="G317" i="37"/>
  <c r="H317" i="37" s="1"/>
  <c r="G316" i="37"/>
  <c r="H316" i="37" s="1"/>
  <c r="G315" i="37"/>
  <c r="H315" i="37" s="1"/>
  <c r="G300" i="37"/>
  <c r="H300" i="37" s="1"/>
  <c r="G299" i="37"/>
  <c r="H299" i="37" s="1"/>
  <c r="G298" i="37"/>
  <c r="H298" i="37" s="1"/>
  <c r="G297" i="37"/>
  <c r="H297" i="37" s="1"/>
  <c r="G282" i="37"/>
  <c r="H282" i="37" s="1"/>
  <c r="G281" i="37"/>
  <c r="H281" i="37" s="1"/>
  <c r="G280" i="37"/>
  <c r="H280" i="37" s="1"/>
  <c r="G279" i="37"/>
  <c r="H279" i="37" s="1"/>
  <c r="G264" i="37"/>
  <c r="H264" i="37" s="1"/>
  <c r="G263" i="37"/>
  <c r="H263" i="37" s="1"/>
  <c r="G262" i="37"/>
  <c r="H262" i="37" s="1"/>
  <c r="G261" i="37"/>
  <c r="H261" i="37" s="1"/>
  <c r="G246" i="37"/>
  <c r="H246" i="37" s="1"/>
  <c r="G245" i="37"/>
  <c r="H245" i="37" s="1"/>
  <c r="G244" i="37"/>
  <c r="H244" i="37" s="1"/>
  <c r="G243" i="37"/>
  <c r="H243" i="37" s="1"/>
  <c r="G228" i="37"/>
  <c r="H228" i="37" s="1"/>
  <c r="G227" i="37"/>
  <c r="H227" i="37" s="1"/>
  <c r="G226" i="37"/>
  <c r="H226" i="37" s="1"/>
  <c r="G225" i="37"/>
  <c r="H225" i="37" s="1"/>
  <c r="G210" i="37"/>
  <c r="H210" i="37" s="1"/>
  <c r="G209" i="37"/>
  <c r="H209" i="37" s="1"/>
  <c r="G208" i="37"/>
  <c r="H208" i="37" s="1"/>
  <c r="G207" i="37"/>
  <c r="H207" i="37" s="1"/>
  <c r="G192" i="37"/>
  <c r="H192" i="37" s="1"/>
  <c r="G191" i="37"/>
  <c r="H191" i="37" s="1"/>
  <c r="G190" i="37"/>
  <c r="H190" i="37" s="1"/>
  <c r="G189" i="37"/>
  <c r="H189" i="37" s="1"/>
  <c r="G173" i="37"/>
  <c r="H173" i="37" s="1"/>
  <c r="G172" i="37"/>
  <c r="H172" i="37" s="1"/>
  <c r="G171" i="37"/>
  <c r="H171" i="37" s="1"/>
  <c r="G170" i="37"/>
  <c r="H170" i="37" s="1"/>
  <c r="G155" i="37"/>
  <c r="H155" i="37" s="1"/>
  <c r="G154" i="37"/>
  <c r="H154" i="37" s="1"/>
  <c r="G153" i="37"/>
  <c r="H153" i="37" s="1"/>
  <c r="G152" i="37"/>
  <c r="H152" i="37" s="1"/>
  <c r="G137" i="37"/>
  <c r="H137" i="37" s="1"/>
  <c r="G136" i="37"/>
  <c r="H136" i="37" s="1"/>
  <c r="G135" i="37"/>
  <c r="H135" i="37" s="1"/>
  <c r="G134" i="37"/>
  <c r="H134" i="37" s="1"/>
  <c r="G118" i="37"/>
  <c r="H118" i="37" s="1"/>
  <c r="G117" i="37"/>
  <c r="H117" i="37" s="1"/>
  <c r="G116" i="37"/>
  <c r="H116" i="37" s="1"/>
  <c r="G115" i="37"/>
  <c r="H115" i="37" s="1"/>
  <c r="G100" i="37"/>
  <c r="H100" i="37" s="1"/>
  <c r="G99" i="37"/>
  <c r="H99" i="37" s="1"/>
  <c r="G98" i="37"/>
  <c r="H98" i="37" s="1"/>
  <c r="G97" i="37"/>
  <c r="H97" i="37" s="1"/>
  <c r="G82" i="37"/>
  <c r="H82" i="37" s="1"/>
  <c r="G81" i="37"/>
  <c r="H81" i="37" s="1"/>
  <c r="G80" i="37"/>
  <c r="H80" i="37" s="1"/>
  <c r="G79" i="37"/>
  <c r="H79" i="37" s="1"/>
  <c r="G63" i="37"/>
  <c r="H63" i="37" s="1"/>
  <c r="G62" i="37"/>
  <c r="H62" i="37" s="1"/>
  <c r="G61" i="37"/>
  <c r="H61" i="37" s="1"/>
  <c r="G60" i="37"/>
  <c r="H60" i="37" s="1"/>
  <c r="G45" i="37"/>
  <c r="H45" i="37" s="1"/>
  <c r="G44" i="37"/>
  <c r="H44" i="37" s="1"/>
  <c r="G43" i="37"/>
  <c r="H43" i="37" s="1"/>
  <c r="G42" i="37"/>
  <c r="H42" i="37" s="1"/>
  <c r="G28" i="37"/>
  <c r="H28" i="37" s="1"/>
  <c r="G27" i="37"/>
  <c r="H27" i="37" s="1"/>
  <c r="G26" i="37"/>
  <c r="H26" i="37" s="1"/>
  <c r="G25" i="37"/>
  <c r="H25" i="37" s="1"/>
  <c r="G13" i="37"/>
  <c r="H13" i="37" s="1"/>
  <c r="H14" i="37" s="1"/>
  <c r="G10" i="37"/>
  <c r="H10" i="37" s="1"/>
  <c r="G9" i="37"/>
  <c r="H9" i="37" s="1"/>
  <c r="G8" i="37"/>
  <c r="H8" i="37" s="1"/>
  <c r="G7" i="37"/>
  <c r="H7" i="37" s="1"/>
  <c r="G223" i="23"/>
  <c r="G218" i="23"/>
  <c r="H218" i="23" s="1"/>
  <c r="G217" i="23"/>
  <c r="H217" i="23" s="1"/>
  <c r="G213" i="23"/>
  <c r="H213" i="23" s="1"/>
  <c r="G210" i="23"/>
  <c r="H210" i="23" s="1"/>
  <c r="G209" i="23"/>
  <c r="H209" i="23" s="1"/>
  <c r="G208" i="23"/>
  <c r="H208" i="23" s="1"/>
  <c r="G207" i="23"/>
  <c r="H207" i="23" s="1"/>
  <c r="E1976" i="27" l="1"/>
  <c r="E2018" i="27"/>
  <c r="E2116" i="27"/>
  <c r="E2136" i="27"/>
  <c r="E2170" i="27"/>
  <c r="E1977" i="27"/>
  <c r="E2019" i="27"/>
  <c r="E2117" i="27"/>
  <c r="E2137" i="27"/>
  <c r="E2172" i="27"/>
  <c r="E1979" i="27"/>
  <c r="E2020" i="27"/>
  <c r="E2118" i="27"/>
  <c r="E2138" i="27"/>
  <c r="E2173" i="27"/>
  <c r="E1981" i="27"/>
  <c r="E2119" i="27"/>
  <c r="E2139" i="27"/>
  <c r="E2174" i="27"/>
  <c r="E1991" i="27"/>
  <c r="E2081" i="27"/>
  <c r="E2121" i="27"/>
  <c r="E2141" i="27"/>
  <c r="E2177" i="27"/>
  <c r="E1915" i="27"/>
  <c r="E2006" i="27"/>
  <c r="E2082" i="27"/>
  <c r="E2122" i="27"/>
  <c r="E2142" i="27"/>
  <c r="E2182" i="27"/>
  <c r="E2007" i="27"/>
  <c r="E2083" i="27"/>
  <c r="E2125" i="27"/>
  <c r="E2143" i="27"/>
  <c r="E2008" i="27"/>
  <c r="E2084" i="27"/>
  <c r="E2126" i="27"/>
  <c r="E2154" i="27"/>
  <c r="E1966" i="27"/>
  <c r="E2009" i="27"/>
  <c r="E2085" i="27"/>
  <c r="E2127" i="27"/>
  <c r="E2155" i="27"/>
  <c r="E1968" i="27"/>
  <c r="E2010" i="27"/>
  <c r="E2086" i="27"/>
  <c r="E2128" i="27"/>
  <c r="E2156" i="27"/>
  <c r="E1969" i="27"/>
  <c r="E2011" i="27"/>
  <c r="E2087" i="27"/>
  <c r="E2129" i="27"/>
  <c r="E2157" i="27"/>
  <c r="E1970" i="27"/>
  <c r="E2012" i="27"/>
  <c r="E2088" i="27"/>
  <c r="E2130" i="27"/>
  <c r="E2159" i="27"/>
  <c r="E1971" i="27"/>
  <c r="E2013" i="27"/>
  <c r="E2131" i="27"/>
  <c r="E2161" i="27"/>
  <c r="E1972" i="27"/>
  <c r="E2014" i="27"/>
  <c r="E2132" i="27"/>
  <c r="E2165" i="27"/>
  <c r="E1973" i="27"/>
  <c r="E2016" i="27"/>
  <c r="E2091" i="27"/>
  <c r="E2134" i="27"/>
  <c r="E2167" i="27"/>
  <c r="H1432" i="37"/>
  <c r="H1433" i="37" s="1"/>
  <c r="H1434" i="37" s="1"/>
  <c r="I1419" i="37" s="1"/>
  <c r="E1975" i="27"/>
  <c r="E2017" i="27"/>
  <c r="E2092" i="27"/>
  <c r="E2135" i="27"/>
  <c r="E2169" i="27"/>
  <c r="H1413" i="37"/>
  <c r="H1414" i="37" s="1"/>
  <c r="H1415" i="37" s="1"/>
  <c r="I1400" i="37" s="1"/>
  <c r="H1585" i="37"/>
  <c r="H1586" i="37" s="1"/>
  <c r="H1587" i="37" s="1"/>
  <c r="I1572" i="37" s="1"/>
  <c r="H1568" i="37"/>
  <c r="H1569" i="37" s="1"/>
  <c r="H1570" i="37" s="1"/>
  <c r="I1555" i="37" s="1"/>
  <c r="H1534" i="37"/>
  <c r="H1535" i="37" s="1"/>
  <c r="H1536" i="37" s="1"/>
  <c r="I1521" i="37" s="1"/>
  <c r="H2001" i="37"/>
  <c r="H2002" i="37" s="1"/>
  <c r="H2003" i="37" s="1"/>
  <c r="I1985" i="37" s="1"/>
  <c r="H1602" i="37"/>
  <c r="H1603" i="37" s="1"/>
  <c r="H1604" i="37" s="1"/>
  <c r="I1589" i="37" s="1"/>
  <c r="H1619" i="37"/>
  <c r="H1620" i="37" s="1"/>
  <c r="H1621" i="37" s="1"/>
  <c r="I1606" i="37" s="1"/>
  <c r="H1551" i="37"/>
  <c r="H1552" i="37" s="1"/>
  <c r="H1553" i="37" s="1"/>
  <c r="I1538" i="37" s="1"/>
  <c r="H1688" i="37"/>
  <c r="H1689" i="37" s="1"/>
  <c r="I1674" i="37" s="1"/>
  <c r="H1671" i="37"/>
  <c r="H1672" i="37" s="1"/>
  <c r="I1657" i="37" s="1"/>
  <c r="H1654" i="37"/>
  <c r="H1655" i="37" s="1"/>
  <c r="I1640" i="37" s="1"/>
  <c r="H1637" i="37"/>
  <c r="H1638" i="37" s="1"/>
  <c r="I1623" i="37" s="1"/>
  <c r="H1518" i="37"/>
  <c r="H1519" i="37" s="1"/>
  <c r="I1504" i="37" s="1"/>
  <c r="H1484" i="37"/>
  <c r="H1485" i="37" s="1"/>
  <c r="I1470" i="37" s="1"/>
  <c r="H1450" i="37"/>
  <c r="H1451" i="37" s="1"/>
  <c r="I1436" i="37" s="1"/>
  <c r="H1467" i="37"/>
  <c r="H1468" i="37" s="1"/>
  <c r="I1453" i="37" s="1"/>
  <c r="H1397" i="37"/>
  <c r="H1398" i="37" s="1"/>
  <c r="I1383" i="37" s="1"/>
  <c r="H1380" i="37"/>
  <c r="H1381" i="37" s="1"/>
  <c r="I1366" i="37" s="1"/>
  <c r="H1363" i="37"/>
  <c r="H1364" i="37" s="1"/>
  <c r="I1349" i="37" s="1"/>
  <c r="H1346" i="37"/>
  <c r="H1347" i="37" s="1"/>
  <c r="I1332" i="37" s="1"/>
  <c r="H1329" i="37"/>
  <c r="H1330" i="37" s="1"/>
  <c r="I1315" i="37" s="1"/>
  <c r="H1312" i="37"/>
  <c r="H1313" i="37" s="1"/>
  <c r="I1298" i="37" s="1"/>
  <c r="H1295" i="37"/>
  <c r="H1296" i="37" s="1"/>
  <c r="I1281" i="37" s="1"/>
  <c r="H156" i="37"/>
  <c r="H229" i="37"/>
  <c r="H301" i="37"/>
  <c r="H373" i="37"/>
  <c r="H379" i="37" s="1"/>
  <c r="H445" i="37"/>
  <c r="H517" i="37"/>
  <c r="H554" i="37"/>
  <c r="H571" i="37"/>
  <c r="H1100" i="37"/>
  <c r="H1106" i="37" s="1"/>
  <c r="H1134" i="37"/>
  <c r="H1140" i="37" s="1"/>
  <c r="H1168" i="37"/>
  <c r="H1174" i="37" s="1"/>
  <c r="H1202" i="37"/>
  <c r="H1208" i="37" s="1"/>
  <c r="H11" i="37"/>
  <c r="H17" i="37" s="1"/>
  <c r="H83" i="37"/>
  <c r="H759" i="37"/>
  <c r="H588" i="37"/>
  <c r="H29" i="37"/>
  <c r="H101" i="37"/>
  <c r="H174" i="37"/>
  <c r="H247" i="37"/>
  <c r="H319" i="37"/>
  <c r="H391" i="37"/>
  <c r="H463" i="37"/>
  <c r="H536" i="37"/>
  <c r="H776" i="37"/>
  <c r="H827" i="37"/>
  <c r="H861" i="37"/>
  <c r="H895" i="37"/>
  <c r="H901" i="37" s="1"/>
  <c r="H929" i="37"/>
  <c r="H935" i="37" s="1"/>
  <c r="H963" i="37"/>
  <c r="H969" i="37" s="1"/>
  <c r="H997" i="37"/>
  <c r="H1003" i="37" s="1"/>
  <c r="H1031" i="37"/>
  <c r="H1037" i="37" s="1"/>
  <c r="H1065" i="37"/>
  <c r="H46" i="37"/>
  <c r="H119" i="37"/>
  <c r="H193" i="37"/>
  <c r="H265" i="37"/>
  <c r="H337" i="37"/>
  <c r="H409" i="37"/>
  <c r="H481" i="37"/>
  <c r="H605" i="37"/>
  <c r="H611" i="37" s="1"/>
  <c r="H622" i="37"/>
  <c r="H639" i="37"/>
  <c r="H793" i="37"/>
  <c r="H1083" i="37"/>
  <c r="H1089" i="37" s="1"/>
  <c r="H1117" i="37"/>
  <c r="H1123" i="37" s="1"/>
  <c r="H1185" i="37"/>
  <c r="H1191" i="37" s="1"/>
  <c r="H1219" i="37"/>
  <c r="H64" i="37"/>
  <c r="H138" i="37"/>
  <c r="H211" i="37"/>
  <c r="H283" i="37"/>
  <c r="H355" i="37"/>
  <c r="H427" i="37"/>
  <c r="H499" i="37"/>
  <c r="H656" i="37"/>
  <c r="H673" i="37"/>
  <c r="H690" i="37"/>
  <c r="H707" i="37"/>
  <c r="H724" i="37"/>
  <c r="H742" i="37"/>
  <c r="H810" i="37"/>
  <c r="H844" i="37"/>
  <c r="H878" i="37"/>
  <c r="H884" i="37" s="1"/>
  <c r="H912" i="37"/>
  <c r="H918" i="37" s="1"/>
  <c r="H946" i="37"/>
  <c r="H952" i="37" s="1"/>
  <c r="H980" i="37"/>
  <c r="H986" i="37" s="1"/>
  <c r="H1014" i="37"/>
  <c r="H1020" i="37" s="1"/>
  <c r="H1048" i="37"/>
  <c r="H1054" i="37" s="1"/>
  <c r="H1236" i="37"/>
  <c r="H1242" i="37" s="1"/>
  <c r="H1151" i="37"/>
  <c r="H211" i="23"/>
  <c r="G182" i="23"/>
  <c r="H182" i="23" s="1"/>
  <c r="G201" i="23"/>
  <c r="G185" i="23"/>
  <c r="H185" i="23" s="1"/>
  <c r="G184" i="23"/>
  <c r="H184" i="23" s="1"/>
  <c r="G183" i="23"/>
  <c r="H183" i="23" s="1"/>
  <c r="G105" i="23"/>
  <c r="G100" i="23"/>
  <c r="H100" i="23" s="1"/>
  <c r="H101" i="23" s="1"/>
  <c r="G97" i="23"/>
  <c r="H97" i="23" s="1"/>
  <c r="G96" i="23"/>
  <c r="H96" i="23" s="1"/>
  <c r="G94" i="23"/>
  <c r="H94" i="23" s="1"/>
  <c r="G8" i="23"/>
  <c r="H8" i="23" s="1"/>
  <c r="G623" i="22"/>
  <c r="H623" i="22" s="1"/>
  <c r="G537" i="22"/>
  <c r="H537" i="22" s="1"/>
  <c r="G503" i="22"/>
  <c r="H503" i="22" s="1"/>
  <c r="G457" i="22"/>
  <c r="H457" i="22" s="1"/>
  <c r="H458" i="22" s="1"/>
  <c r="G454" i="22"/>
  <c r="H454" i="22" s="1"/>
  <c r="G453" i="22"/>
  <c r="H453" i="22" s="1"/>
  <c r="G451" i="22"/>
  <c r="H451" i="22" s="1"/>
  <c r="E1926" i="27" l="1"/>
  <c r="E1936" i="27"/>
  <c r="E1937" i="27"/>
  <c r="E1960" i="27"/>
  <c r="E1932" i="27"/>
  <c r="E1920" i="27"/>
  <c r="E1934" i="27"/>
  <c r="E1924" i="27"/>
  <c r="E1935" i="27"/>
  <c r="E1927" i="27"/>
  <c r="E1919" i="27"/>
  <c r="E1921" i="27"/>
  <c r="E1922" i="27"/>
  <c r="E1928" i="27"/>
  <c r="E1929" i="27"/>
  <c r="E1931" i="27"/>
  <c r="E1923" i="27"/>
  <c r="E1938" i="27"/>
  <c r="E1939" i="27"/>
  <c r="E1940" i="27"/>
  <c r="E1917" i="27"/>
  <c r="E1941" i="27"/>
  <c r="E1918" i="27"/>
  <c r="E1933" i="27"/>
  <c r="H1243" i="37"/>
  <c r="H1244" i="37" s="1"/>
  <c r="I1229" i="37" s="1"/>
  <c r="H1209" i="37"/>
  <c r="H1210" i="37" s="1"/>
  <c r="I1195" i="37" s="1"/>
  <c r="H1192" i="37"/>
  <c r="H1193" i="37" s="1"/>
  <c r="I1178" i="37" s="1"/>
  <c r="H1175" i="37"/>
  <c r="H1176" i="37" s="1"/>
  <c r="I1161" i="37" s="1"/>
  <c r="H1141" i="37"/>
  <c r="H1142" i="37" s="1"/>
  <c r="I1127" i="37" s="1"/>
  <c r="H1124" i="37"/>
  <c r="H1125" i="37" s="1"/>
  <c r="I1110" i="37" s="1"/>
  <c r="H1107" i="37"/>
  <c r="H1108" i="37" s="1"/>
  <c r="I1093" i="37" s="1"/>
  <c r="H1090" i="37"/>
  <c r="H1091" i="37" s="1"/>
  <c r="I1076" i="37" s="1"/>
  <c r="H1055" i="37"/>
  <c r="H1056" i="37" s="1"/>
  <c r="I1041" i="37" s="1"/>
  <c r="H1038" i="37"/>
  <c r="H1039" i="37" s="1"/>
  <c r="I1024" i="37" s="1"/>
  <c r="H1021" i="37"/>
  <c r="H1022" i="37" s="1"/>
  <c r="I1007" i="37" s="1"/>
  <c r="H1004" i="37"/>
  <c r="H1005" i="37" s="1"/>
  <c r="I990" i="37" s="1"/>
  <c r="H987" i="37"/>
  <c r="H988" i="37" s="1"/>
  <c r="I973" i="37" s="1"/>
  <c r="H970" i="37"/>
  <c r="H971" i="37" s="1"/>
  <c r="I956" i="37" s="1"/>
  <c r="H953" i="37"/>
  <c r="H954" i="37" s="1"/>
  <c r="I939" i="37" s="1"/>
  <c r="H936" i="37"/>
  <c r="H937" i="37" s="1"/>
  <c r="I922" i="37" s="1"/>
  <c r="H919" i="37"/>
  <c r="H920" i="37" s="1"/>
  <c r="I905" i="37" s="1"/>
  <c r="H902" i="37"/>
  <c r="H903" i="37" s="1"/>
  <c r="I888" i="37" s="1"/>
  <c r="H885" i="37"/>
  <c r="H886" i="37" s="1"/>
  <c r="I871" i="37" s="1"/>
  <c r="H612" i="37"/>
  <c r="H613" i="37" s="1"/>
  <c r="I598" i="37" s="1"/>
  <c r="H380" i="37"/>
  <c r="H381" i="37" s="1"/>
  <c r="I366" i="37" s="1"/>
  <c r="H18" i="37"/>
  <c r="H19" i="37" s="1"/>
  <c r="I4" i="37" s="1"/>
  <c r="H186" i="23"/>
  <c r="G303" i="22"/>
  <c r="H303" i="22" s="1"/>
  <c r="H304" i="22" s="1"/>
  <c r="G300" i="22"/>
  <c r="H300" i="22" s="1"/>
  <c r="G299" i="22"/>
  <c r="H299" i="22" s="1"/>
  <c r="G297" i="22"/>
  <c r="H297" i="22" s="1"/>
  <c r="G249" i="22"/>
  <c r="H249" i="22" s="1"/>
  <c r="G248" i="22"/>
  <c r="H248" i="22" s="1"/>
  <c r="G246" i="22"/>
  <c r="H246" i="22" s="1"/>
  <c r="G1016" i="25"/>
  <c r="G1008" i="25"/>
  <c r="H1008" i="25" s="1"/>
  <c r="G1007" i="25"/>
  <c r="H1007" i="25" s="1"/>
  <c r="G1006" i="25"/>
  <c r="H1006" i="25" s="1"/>
  <c r="G1005" i="25"/>
  <c r="H1005" i="25" s="1"/>
  <c r="G999" i="25"/>
  <c r="H994" i="25"/>
  <c r="H995" i="25" s="1"/>
  <c r="G991" i="25"/>
  <c r="H991" i="25" s="1"/>
  <c r="G990" i="25"/>
  <c r="H990" i="25" s="1"/>
  <c r="G989" i="25"/>
  <c r="H989" i="25" s="1"/>
  <c r="G988" i="25"/>
  <c r="H988" i="25" s="1"/>
  <c r="G960" i="25"/>
  <c r="G977" i="25"/>
  <c r="G982" i="25"/>
  <c r="G974" i="25"/>
  <c r="H974" i="25" s="1"/>
  <c r="G973" i="25"/>
  <c r="H973" i="25" s="1"/>
  <c r="G972" i="25"/>
  <c r="H972" i="25" s="1"/>
  <c r="G971" i="25"/>
  <c r="H971" i="25" s="1"/>
  <c r="G965" i="25"/>
  <c r="G957" i="25"/>
  <c r="H957" i="25" s="1"/>
  <c r="G956" i="25"/>
  <c r="H956" i="25" s="1"/>
  <c r="G955" i="25"/>
  <c r="H955" i="25" s="1"/>
  <c r="G954" i="25"/>
  <c r="H954" i="25" s="1"/>
  <c r="G947" i="25"/>
  <c r="G942" i="25"/>
  <c r="H942" i="25" s="1"/>
  <c r="H943" i="25" s="1"/>
  <c r="G939" i="25"/>
  <c r="H939" i="25" s="1"/>
  <c r="G938" i="25"/>
  <c r="H938" i="25" s="1"/>
  <c r="G937" i="25"/>
  <c r="H937" i="25" s="1"/>
  <c r="G936" i="25"/>
  <c r="H936" i="25" s="1"/>
  <c r="G929" i="25"/>
  <c r="G924" i="25"/>
  <c r="H924" i="25" s="1"/>
  <c r="H925" i="25" s="1"/>
  <c r="G921" i="25"/>
  <c r="H921" i="25" s="1"/>
  <c r="G920" i="25"/>
  <c r="H920" i="25" s="1"/>
  <c r="G919" i="25"/>
  <c r="H919" i="25" s="1"/>
  <c r="G918" i="25"/>
  <c r="H918" i="25" s="1"/>
  <c r="E1899" i="27" l="1"/>
  <c r="E1900" i="27"/>
  <c r="E1902" i="27"/>
  <c r="E1895" i="27"/>
  <c r="E1907" i="27"/>
  <c r="E1906" i="27"/>
  <c r="E1862" i="27"/>
  <c r="E1908" i="27"/>
  <c r="E1896" i="27"/>
  <c r="E1876" i="27"/>
  <c r="E1910" i="27"/>
  <c r="E1897" i="27"/>
  <c r="E1901" i="27"/>
  <c r="E1905" i="27"/>
  <c r="E1892" i="27"/>
  <c r="E1911" i="27"/>
  <c r="E1842" i="27"/>
  <c r="E1893" i="27"/>
  <c r="E1912" i="27"/>
  <c r="E1898" i="27"/>
  <c r="E1894" i="27"/>
  <c r="E1914" i="27"/>
  <c r="H975" i="25"/>
  <c r="H1009" i="25"/>
  <c r="H992" i="25"/>
  <c r="H998" i="25" s="1"/>
  <c r="H958" i="25"/>
  <c r="H940" i="25"/>
  <c r="H946" i="25" s="1"/>
  <c r="H922" i="25"/>
  <c r="H928" i="25" s="1"/>
  <c r="G912" i="25"/>
  <c r="G907" i="25"/>
  <c r="H907" i="25" s="1"/>
  <c r="H908" i="25" s="1"/>
  <c r="G904" i="25"/>
  <c r="H904" i="25" s="1"/>
  <c r="G903" i="25"/>
  <c r="H903" i="25" s="1"/>
  <c r="G902" i="25"/>
  <c r="H902" i="25" s="1"/>
  <c r="G901" i="25"/>
  <c r="H901" i="25" s="1"/>
  <c r="G895" i="25"/>
  <c r="G890" i="25"/>
  <c r="H890" i="25" s="1"/>
  <c r="H891" i="25" s="1"/>
  <c r="G887" i="25"/>
  <c r="H887" i="25" s="1"/>
  <c r="G886" i="25"/>
  <c r="H886" i="25" s="1"/>
  <c r="G885" i="25"/>
  <c r="H885" i="25" s="1"/>
  <c r="G884" i="25"/>
  <c r="H884" i="25" s="1"/>
  <c r="G877" i="25"/>
  <c r="G872" i="25"/>
  <c r="H872" i="25" s="1"/>
  <c r="H873" i="25" s="1"/>
  <c r="G869" i="25"/>
  <c r="H869" i="25" s="1"/>
  <c r="G868" i="25"/>
  <c r="H868" i="25" s="1"/>
  <c r="G867" i="25"/>
  <c r="H867" i="25" s="1"/>
  <c r="G866" i="25"/>
  <c r="H866" i="25" s="1"/>
  <c r="G859" i="25"/>
  <c r="G854" i="25"/>
  <c r="H854" i="25" s="1"/>
  <c r="H855" i="25" s="1"/>
  <c r="G851" i="25"/>
  <c r="H851" i="25" s="1"/>
  <c r="G850" i="25"/>
  <c r="H850" i="25" s="1"/>
  <c r="G849" i="25"/>
  <c r="H849" i="25" s="1"/>
  <c r="G848" i="25"/>
  <c r="H848" i="25" s="1"/>
  <c r="G842" i="25"/>
  <c r="G837" i="25"/>
  <c r="H837" i="25" s="1"/>
  <c r="H838" i="25" s="1"/>
  <c r="G834" i="25"/>
  <c r="H834" i="25" s="1"/>
  <c r="G833" i="25"/>
  <c r="H833" i="25" s="1"/>
  <c r="G832" i="25"/>
  <c r="H832" i="25" s="1"/>
  <c r="G831" i="25"/>
  <c r="H831" i="25" s="1"/>
  <c r="G824" i="25"/>
  <c r="G819" i="25"/>
  <c r="H819" i="25" s="1"/>
  <c r="H820" i="25" s="1"/>
  <c r="G816" i="25"/>
  <c r="H816" i="25" s="1"/>
  <c r="G815" i="25"/>
  <c r="H815" i="25" s="1"/>
  <c r="G814" i="25"/>
  <c r="H814" i="25" s="1"/>
  <c r="G813" i="25"/>
  <c r="H813" i="25" s="1"/>
  <c r="G807" i="25"/>
  <c r="G802" i="25"/>
  <c r="H802" i="25" s="1"/>
  <c r="H803" i="25" s="1"/>
  <c r="G799" i="25"/>
  <c r="H799" i="25" s="1"/>
  <c r="G798" i="25"/>
  <c r="H798" i="25" s="1"/>
  <c r="G797" i="25"/>
  <c r="H797" i="25" s="1"/>
  <c r="G796" i="25"/>
  <c r="H796" i="25" s="1"/>
  <c r="G789" i="25"/>
  <c r="G784" i="25"/>
  <c r="H784" i="25" s="1"/>
  <c r="H785" i="25" s="1"/>
  <c r="G781" i="25"/>
  <c r="H781" i="25" s="1"/>
  <c r="G780" i="25"/>
  <c r="H780" i="25" s="1"/>
  <c r="G779" i="25"/>
  <c r="H779" i="25" s="1"/>
  <c r="G778" i="25"/>
  <c r="H778" i="25" s="1"/>
  <c r="G771" i="25"/>
  <c r="G766" i="25"/>
  <c r="H766" i="25" s="1"/>
  <c r="H767" i="25" s="1"/>
  <c r="G763" i="25"/>
  <c r="H763" i="25" s="1"/>
  <c r="G762" i="25"/>
  <c r="H762" i="25" s="1"/>
  <c r="G761" i="25"/>
  <c r="H761" i="25" s="1"/>
  <c r="G760" i="25"/>
  <c r="H760" i="25" s="1"/>
  <c r="G753" i="25"/>
  <c r="G748" i="25"/>
  <c r="H748" i="25" s="1"/>
  <c r="H749" i="25" s="1"/>
  <c r="G745" i="25"/>
  <c r="H745" i="25" s="1"/>
  <c r="G744" i="25"/>
  <c r="H744" i="25" s="1"/>
  <c r="G743" i="25"/>
  <c r="H743" i="25" s="1"/>
  <c r="G742" i="25"/>
  <c r="H742" i="25" s="1"/>
  <c r="G736" i="25"/>
  <c r="G731" i="25"/>
  <c r="H731" i="25" s="1"/>
  <c r="H732" i="25" s="1"/>
  <c r="G728" i="25"/>
  <c r="H728" i="25" s="1"/>
  <c r="G727" i="25"/>
  <c r="H727" i="25" s="1"/>
  <c r="G726" i="25"/>
  <c r="H726" i="25" s="1"/>
  <c r="G725" i="25"/>
  <c r="H725" i="25" s="1"/>
  <c r="G718" i="25"/>
  <c r="G713" i="25"/>
  <c r="H713" i="25" s="1"/>
  <c r="H714" i="25" s="1"/>
  <c r="G710" i="25"/>
  <c r="H710" i="25" s="1"/>
  <c r="G709" i="25"/>
  <c r="H709" i="25" s="1"/>
  <c r="G708" i="25"/>
  <c r="H708" i="25" s="1"/>
  <c r="G707" i="25"/>
  <c r="H707" i="25" s="1"/>
  <c r="G700" i="25"/>
  <c r="G695" i="25"/>
  <c r="H695" i="25" s="1"/>
  <c r="H696" i="25" s="1"/>
  <c r="G692" i="25"/>
  <c r="H692" i="25" s="1"/>
  <c r="G691" i="25"/>
  <c r="H691" i="25" s="1"/>
  <c r="G690" i="25"/>
  <c r="H690" i="25" s="1"/>
  <c r="G689" i="25"/>
  <c r="H689" i="25" s="1"/>
  <c r="G682" i="25"/>
  <c r="G677" i="25"/>
  <c r="H677" i="25" s="1"/>
  <c r="H678" i="25" s="1"/>
  <c r="G674" i="25"/>
  <c r="H674" i="25" s="1"/>
  <c r="G673" i="25"/>
  <c r="H673" i="25" s="1"/>
  <c r="G672" i="25"/>
  <c r="H672" i="25" s="1"/>
  <c r="G671" i="25"/>
  <c r="H671" i="25" s="1"/>
  <c r="G664" i="25"/>
  <c r="G659" i="25"/>
  <c r="H659" i="25" s="1"/>
  <c r="H660" i="25" s="1"/>
  <c r="G656" i="25"/>
  <c r="H656" i="25" s="1"/>
  <c r="G655" i="25"/>
  <c r="H655" i="25" s="1"/>
  <c r="G654" i="25"/>
  <c r="H654" i="25" s="1"/>
  <c r="G653" i="25"/>
  <c r="H653" i="25" s="1"/>
  <c r="G646" i="25"/>
  <c r="G638" i="25"/>
  <c r="H638" i="25" s="1"/>
  <c r="G637" i="25"/>
  <c r="H637" i="25" s="1"/>
  <c r="G636" i="25"/>
  <c r="H636" i="25" s="1"/>
  <c r="G635" i="25"/>
  <c r="H635" i="25" s="1"/>
  <c r="G628" i="25"/>
  <c r="G623" i="25"/>
  <c r="H623" i="25" s="1"/>
  <c r="G622" i="25"/>
  <c r="H622" i="25" s="1"/>
  <c r="G621" i="25"/>
  <c r="H621" i="25" s="1"/>
  <c r="G620" i="25"/>
  <c r="H620" i="25" s="1"/>
  <c r="G619" i="25"/>
  <c r="H619" i="25" s="1"/>
  <c r="G618" i="25"/>
  <c r="H618" i="25" s="1"/>
  <c r="G615" i="25"/>
  <c r="H615" i="25" s="1"/>
  <c r="G614" i="25"/>
  <c r="H614" i="25" s="1"/>
  <c r="G613" i="25"/>
  <c r="H613" i="25" s="1"/>
  <c r="G612" i="25"/>
  <c r="H612" i="25" s="1"/>
  <c r="G605" i="25"/>
  <c r="G600" i="25"/>
  <c r="H600" i="25" s="1"/>
  <c r="G599" i="25"/>
  <c r="H599" i="25" s="1"/>
  <c r="G598" i="25"/>
  <c r="H598" i="25" s="1"/>
  <c r="G597" i="25"/>
  <c r="H597" i="25" s="1"/>
  <c r="G596" i="25"/>
  <c r="H596" i="25" s="1"/>
  <c r="G595" i="25"/>
  <c r="H595" i="25" s="1"/>
  <c r="G592" i="25"/>
  <c r="H592" i="25" s="1"/>
  <c r="G591" i="25"/>
  <c r="H591" i="25" s="1"/>
  <c r="G590" i="25"/>
  <c r="H590" i="25" s="1"/>
  <c r="G589" i="25"/>
  <c r="H589" i="25" s="1"/>
  <c r="G583" i="25"/>
  <c r="G578" i="25"/>
  <c r="H578" i="25" s="1"/>
  <c r="G577" i="25"/>
  <c r="H577" i="25" s="1"/>
  <c r="G576" i="25"/>
  <c r="H576" i="25" s="1"/>
  <c r="G575" i="25"/>
  <c r="H575" i="25" s="1"/>
  <c r="G574" i="25"/>
  <c r="H574" i="25" s="1"/>
  <c r="G573" i="25"/>
  <c r="H573" i="25" s="1"/>
  <c r="G570" i="25"/>
  <c r="H570" i="25" s="1"/>
  <c r="G569" i="25"/>
  <c r="H569" i="25" s="1"/>
  <c r="G568" i="25"/>
  <c r="H568" i="25" s="1"/>
  <c r="G567" i="25"/>
  <c r="H567" i="25" s="1"/>
  <c r="H999" i="25" l="1"/>
  <c r="H1000" i="25" s="1"/>
  <c r="I985" i="25" s="1"/>
  <c r="H947" i="25"/>
  <c r="H948" i="25" s="1"/>
  <c r="I933" i="25" s="1"/>
  <c r="H675" i="25"/>
  <c r="H681" i="25" s="1"/>
  <c r="H711" i="25"/>
  <c r="H717" i="25" s="1"/>
  <c r="H746" i="25"/>
  <c r="H752" i="25" s="1"/>
  <c r="H782" i="25"/>
  <c r="H788" i="25" s="1"/>
  <c r="H789" i="25" s="1"/>
  <c r="H817" i="25"/>
  <c r="H823" i="25" s="1"/>
  <c r="H852" i="25"/>
  <c r="H858" i="25" s="1"/>
  <c r="H888" i="25"/>
  <c r="H894" i="25" s="1"/>
  <c r="H929" i="25"/>
  <c r="H930" i="25" s="1"/>
  <c r="I915" i="25" s="1"/>
  <c r="H639" i="25"/>
  <c r="H657" i="25"/>
  <c r="H663" i="25" s="1"/>
  <c r="H693" i="25"/>
  <c r="H699" i="25" s="1"/>
  <c r="H729" i="25"/>
  <c r="H735" i="25" s="1"/>
  <c r="H764" i="25"/>
  <c r="H770" i="25" s="1"/>
  <c r="H800" i="25"/>
  <c r="H806" i="25" s="1"/>
  <c r="H835" i="25"/>
  <c r="H841" i="25" s="1"/>
  <c r="H870" i="25"/>
  <c r="H876" i="25" s="1"/>
  <c r="H905" i="25"/>
  <c r="H911" i="25" s="1"/>
  <c r="H624" i="25"/>
  <c r="H616" i="25"/>
  <c r="H593" i="25"/>
  <c r="H601" i="25"/>
  <c r="H579" i="25"/>
  <c r="H571" i="25"/>
  <c r="G559" i="25"/>
  <c r="G554" i="25"/>
  <c r="H554" i="25" s="1"/>
  <c r="G553" i="25"/>
  <c r="H553" i="25" s="1"/>
  <c r="G552" i="25"/>
  <c r="H552" i="25" s="1"/>
  <c r="G551" i="25"/>
  <c r="H551" i="25" s="1"/>
  <c r="G550" i="25"/>
  <c r="H550" i="25" s="1"/>
  <c r="G549" i="25"/>
  <c r="H549" i="25" s="1"/>
  <c r="G546" i="25"/>
  <c r="H546" i="25" s="1"/>
  <c r="G545" i="25"/>
  <c r="H545" i="25" s="1"/>
  <c r="G544" i="25"/>
  <c r="H544" i="25" s="1"/>
  <c r="G543" i="25"/>
  <c r="H543" i="25" s="1"/>
  <c r="G526" i="25"/>
  <c r="H526" i="25" s="1"/>
  <c r="G527" i="25"/>
  <c r="H527" i="25" s="1"/>
  <c r="G528" i="25"/>
  <c r="H528" i="25" s="1"/>
  <c r="G529" i="25"/>
  <c r="H529" i="25" s="1"/>
  <c r="G530" i="25"/>
  <c r="H530" i="25" s="1"/>
  <c r="G531" i="25"/>
  <c r="H531" i="25" s="1"/>
  <c r="G536" i="25"/>
  <c r="G523" i="25"/>
  <c r="H523" i="25" s="1"/>
  <c r="G522" i="25"/>
  <c r="H522" i="25" s="1"/>
  <c r="G521" i="25"/>
  <c r="H521" i="25" s="1"/>
  <c r="G520" i="25"/>
  <c r="H520" i="25" s="1"/>
  <c r="G514" i="25"/>
  <c r="G509" i="25"/>
  <c r="H509" i="25" s="1"/>
  <c r="H510" i="25" s="1"/>
  <c r="G506" i="25"/>
  <c r="H506" i="25" s="1"/>
  <c r="G505" i="25"/>
  <c r="H505" i="25" s="1"/>
  <c r="G504" i="25"/>
  <c r="H504" i="25" s="1"/>
  <c r="G503" i="25"/>
  <c r="H503" i="25" s="1"/>
  <c r="G497" i="25"/>
  <c r="G492" i="25"/>
  <c r="H492" i="25" s="1"/>
  <c r="H493" i="25" s="1"/>
  <c r="G489" i="25"/>
  <c r="H489" i="25" s="1"/>
  <c r="G488" i="25"/>
  <c r="H488" i="25" s="1"/>
  <c r="G487" i="25"/>
  <c r="H487" i="25" s="1"/>
  <c r="G486" i="25"/>
  <c r="H486" i="25" s="1"/>
  <c r="H912" i="25" l="1"/>
  <c r="H913" i="25" s="1"/>
  <c r="I898" i="25" s="1"/>
  <c r="H895" i="25"/>
  <c r="H896" i="25" s="1"/>
  <c r="I881" i="25" s="1"/>
  <c r="H877" i="25"/>
  <c r="H878" i="25" s="1"/>
  <c r="I863" i="25" s="1"/>
  <c r="H859" i="25"/>
  <c r="H860" i="25" s="1"/>
  <c r="I845" i="25" s="1"/>
  <c r="H842" i="25"/>
  <c r="H843" i="25" s="1"/>
  <c r="I828" i="25" s="1"/>
  <c r="H824" i="25"/>
  <c r="H825" i="25" s="1"/>
  <c r="I810" i="25" s="1"/>
  <c r="H807" i="25"/>
  <c r="H808" i="25" s="1"/>
  <c r="I793" i="25" s="1"/>
  <c r="H790" i="25"/>
  <c r="I775" i="25" s="1"/>
  <c r="H771" i="25"/>
  <c r="H772" i="25" s="1"/>
  <c r="I757" i="25" s="1"/>
  <c r="H753" i="25"/>
  <c r="H754" i="25" s="1"/>
  <c r="I739" i="25" s="1"/>
  <c r="H736" i="25"/>
  <c r="H737" i="25" s="1"/>
  <c r="I722" i="25" s="1"/>
  <c r="H718" i="25"/>
  <c r="H719" i="25" s="1"/>
  <c r="I704" i="25" s="1"/>
  <c r="H682" i="25"/>
  <c r="H683" i="25" s="1"/>
  <c r="I668" i="25" s="1"/>
  <c r="H700" i="25"/>
  <c r="H701" i="25" s="1"/>
  <c r="I686" i="25" s="1"/>
  <c r="H664" i="25"/>
  <c r="H665" i="25" s="1"/>
  <c r="I650" i="25" s="1"/>
  <c r="H627" i="25"/>
  <c r="H628" i="25" s="1"/>
  <c r="H629" i="25" s="1"/>
  <c r="I609" i="25" s="1"/>
  <c r="H582" i="25"/>
  <c r="H583" i="25" s="1"/>
  <c r="H584" i="25" s="1"/>
  <c r="I564" i="25" s="1"/>
  <c r="H604" i="25"/>
  <c r="H605" i="25" s="1"/>
  <c r="H606" i="25" s="1"/>
  <c r="I586" i="25" s="1"/>
  <c r="H524" i="25"/>
  <c r="H532" i="25"/>
  <c r="H547" i="25"/>
  <c r="H555" i="25"/>
  <c r="H507" i="25"/>
  <c r="H513" i="25" s="1"/>
  <c r="H514" i="25" s="1"/>
  <c r="H490" i="25"/>
  <c r="H496" i="25" s="1"/>
  <c r="G480" i="25"/>
  <c r="G475" i="25"/>
  <c r="H475" i="25" s="1"/>
  <c r="H476" i="25" s="1"/>
  <c r="G472" i="25"/>
  <c r="H472" i="25" s="1"/>
  <c r="G471" i="25"/>
  <c r="H471" i="25" s="1"/>
  <c r="G470" i="25"/>
  <c r="H470" i="25" s="1"/>
  <c r="G469" i="25"/>
  <c r="H469" i="25" s="1"/>
  <c r="G462" i="25"/>
  <c r="G457" i="25"/>
  <c r="H457" i="25" s="1"/>
  <c r="H458" i="25" s="1"/>
  <c r="G454" i="25"/>
  <c r="H454" i="25" s="1"/>
  <c r="G453" i="25"/>
  <c r="H453" i="25" s="1"/>
  <c r="G452" i="25"/>
  <c r="H452" i="25" s="1"/>
  <c r="G451" i="25"/>
  <c r="H451" i="25" s="1"/>
  <c r="G444" i="25"/>
  <c r="G439" i="25"/>
  <c r="H439" i="25" s="1"/>
  <c r="H440" i="25" s="1"/>
  <c r="G436" i="25"/>
  <c r="H436" i="25" s="1"/>
  <c r="G435" i="25"/>
  <c r="H435" i="25" s="1"/>
  <c r="G434" i="25"/>
  <c r="H434" i="25" s="1"/>
  <c r="G433" i="25"/>
  <c r="H433" i="25" s="1"/>
  <c r="G427" i="25"/>
  <c r="G422" i="25"/>
  <c r="H422" i="25" s="1"/>
  <c r="H423" i="25" s="1"/>
  <c r="G419" i="25"/>
  <c r="H419" i="25" s="1"/>
  <c r="G418" i="25"/>
  <c r="H418" i="25" s="1"/>
  <c r="G417" i="25"/>
  <c r="H417" i="25" s="1"/>
  <c r="G416" i="25"/>
  <c r="H416" i="25" s="1"/>
  <c r="H535" i="25" l="1"/>
  <c r="H536" i="25" s="1"/>
  <c r="H537" i="25" s="1"/>
  <c r="H558" i="25"/>
  <c r="H559" i="25" s="1"/>
  <c r="H560" i="25" s="1"/>
  <c r="I540" i="25" s="1"/>
  <c r="H515" i="25"/>
  <c r="I500" i="25" s="1"/>
  <c r="H497" i="25"/>
  <c r="H498" i="25" s="1"/>
  <c r="I483" i="25" s="1"/>
  <c r="H473" i="25"/>
  <c r="H479" i="25" s="1"/>
  <c r="H420" i="25"/>
  <c r="H426" i="25" s="1"/>
  <c r="H427" i="25" s="1"/>
  <c r="H428" i="25" s="1"/>
  <c r="H455" i="25"/>
  <c r="H461" i="25" s="1"/>
  <c r="H437" i="25"/>
  <c r="H443" i="25" s="1"/>
  <c r="G410" i="25"/>
  <c r="G405" i="25"/>
  <c r="H405" i="25" s="1"/>
  <c r="H406" i="25" s="1"/>
  <c r="G402" i="25"/>
  <c r="H402" i="25" s="1"/>
  <c r="G401" i="25"/>
  <c r="H401" i="25" s="1"/>
  <c r="G400" i="25"/>
  <c r="H400" i="25" s="1"/>
  <c r="G399" i="25"/>
  <c r="H399" i="25" s="1"/>
  <c r="G393" i="25"/>
  <c r="G388" i="25"/>
  <c r="H388" i="25" s="1"/>
  <c r="H389" i="25" s="1"/>
  <c r="G385" i="25"/>
  <c r="H385" i="25" s="1"/>
  <c r="G384" i="25"/>
  <c r="H384" i="25" s="1"/>
  <c r="G383" i="25"/>
  <c r="H383" i="25" s="1"/>
  <c r="G382" i="25"/>
  <c r="H382" i="25" s="1"/>
  <c r="G370" i="25"/>
  <c r="G375" i="25"/>
  <c r="G367" i="25"/>
  <c r="H367" i="25" s="1"/>
  <c r="G366" i="25"/>
  <c r="H366" i="25" s="1"/>
  <c r="G364" i="25"/>
  <c r="H364" i="25" s="1"/>
  <c r="G350" i="25"/>
  <c r="G332" i="25"/>
  <c r="G314" i="25"/>
  <c r="G296" i="25"/>
  <c r="G278" i="25"/>
  <c r="G260" i="25"/>
  <c r="G242" i="25"/>
  <c r="H242" i="25" s="1"/>
  <c r="G224" i="25"/>
  <c r="H224" i="25" s="1"/>
  <c r="G205" i="25"/>
  <c r="G206" i="25"/>
  <c r="H206" i="25" s="1"/>
  <c r="G193" i="25"/>
  <c r="G188" i="25"/>
  <c r="G187" i="25"/>
  <c r="H187" i="25" s="1"/>
  <c r="G186" i="25"/>
  <c r="H186" i="25" s="1"/>
  <c r="G183" i="25"/>
  <c r="H183" i="25" s="1"/>
  <c r="G182" i="25"/>
  <c r="H182" i="25" s="1"/>
  <c r="G181" i="25"/>
  <c r="H181" i="25" s="1"/>
  <c r="G180" i="25"/>
  <c r="H180" i="25" s="1"/>
  <c r="G174" i="25"/>
  <c r="G169" i="25"/>
  <c r="G168" i="25"/>
  <c r="H168" i="25" s="1"/>
  <c r="G167" i="25"/>
  <c r="H167" i="25" s="1"/>
  <c r="G164" i="25"/>
  <c r="H164" i="25" s="1"/>
  <c r="G163" i="25"/>
  <c r="H163" i="25" s="1"/>
  <c r="G162" i="25"/>
  <c r="H162" i="25" s="1"/>
  <c r="G161" i="25"/>
  <c r="H161" i="25" s="1"/>
  <c r="G154" i="25"/>
  <c r="G149" i="25"/>
  <c r="G148" i="25"/>
  <c r="H148" i="25" s="1"/>
  <c r="G147" i="25"/>
  <c r="H147" i="25" s="1"/>
  <c r="G144" i="25"/>
  <c r="H144" i="25" s="1"/>
  <c r="G143" i="25"/>
  <c r="H143" i="25" s="1"/>
  <c r="G142" i="25"/>
  <c r="H142" i="25" s="1"/>
  <c r="G141" i="25"/>
  <c r="H141" i="25" s="1"/>
  <c r="G135" i="25"/>
  <c r="G130" i="25"/>
  <c r="G129" i="25"/>
  <c r="H129" i="25" s="1"/>
  <c r="G128" i="25"/>
  <c r="H128" i="25" s="1"/>
  <c r="G125" i="25"/>
  <c r="H125" i="25" s="1"/>
  <c r="G124" i="25"/>
  <c r="H124" i="25" s="1"/>
  <c r="G123" i="25"/>
  <c r="H123" i="25" s="1"/>
  <c r="G122" i="25"/>
  <c r="H122" i="25" s="1"/>
  <c r="G116" i="25"/>
  <c r="G111" i="25"/>
  <c r="G110" i="25"/>
  <c r="H110" i="25" s="1"/>
  <c r="G109" i="25"/>
  <c r="H109" i="25" s="1"/>
  <c r="G106" i="25"/>
  <c r="H106" i="25" s="1"/>
  <c r="G105" i="25"/>
  <c r="H105" i="25" s="1"/>
  <c r="G104" i="25"/>
  <c r="H104" i="25" s="1"/>
  <c r="G103" i="25"/>
  <c r="H103" i="25" s="1"/>
  <c r="G97" i="25"/>
  <c r="G92" i="25"/>
  <c r="G91" i="25"/>
  <c r="H91" i="25" s="1"/>
  <c r="G90" i="25"/>
  <c r="H90" i="25" s="1"/>
  <c r="G87" i="25"/>
  <c r="H87" i="25" s="1"/>
  <c r="G86" i="25"/>
  <c r="H86" i="25" s="1"/>
  <c r="G85" i="25"/>
  <c r="H85" i="25" s="1"/>
  <c r="G84" i="25"/>
  <c r="H84" i="25" s="1"/>
  <c r="G77" i="25"/>
  <c r="G72" i="25"/>
  <c r="G71" i="25"/>
  <c r="H71" i="25" s="1"/>
  <c r="G70" i="25"/>
  <c r="H70" i="25" s="1"/>
  <c r="G67" i="25"/>
  <c r="H67" i="25" s="1"/>
  <c r="G66" i="25"/>
  <c r="H66" i="25" s="1"/>
  <c r="G65" i="25"/>
  <c r="H65" i="25" s="1"/>
  <c r="G64" i="25"/>
  <c r="H64" i="25" s="1"/>
  <c r="G58" i="25"/>
  <c r="G53" i="25"/>
  <c r="G52" i="25"/>
  <c r="H52" i="25" s="1"/>
  <c r="G51" i="25"/>
  <c r="H51" i="25" s="1"/>
  <c r="G48" i="25"/>
  <c r="H48" i="25" s="1"/>
  <c r="G47" i="25"/>
  <c r="H47" i="25" s="1"/>
  <c r="G46" i="25"/>
  <c r="H46" i="25" s="1"/>
  <c r="G45" i="25"/>
  <c r="H45" i="25" s="1"/>
  <c r="G39" i="25"/>
  <c r="G34" i="25"/>
  <c r="G33" i="25"/>
  <c r="H33" i="25" s="1"/>
  <c r="G32" i="25"/>
  <c r="H32" i="25" s="1"/>
  <c r="G29" i="25"/>
  <c r="H29" i="25" s="1"/>
  <c r="G28" i="25"/>
  <c r="H28" i="25" s="1"/>
  <c r="G27" i="25"/>
  <c r="H27" i="25" s="1"/>
  <c r="G26" i="25"/>
  <c r="H26" i="25" s="1"/>
  <c r="G14" i="25"/>
  <c r="H14" i="25" s="1"/>
  <c r="G15" i="25"/>
  <c r="G20" i="25"/>
  <c r="G10" i="25"/>
  <c r="H10" i="25" s="1"/>
  <c r="G9" i="25"/>
  <c r="H9" i="25" s="1"/>
  <c r="G8" i="25"/>
  <c r="H8" i="25" s="1"/>
  <c r="G7" i="25"/>
  <c r="H7" i="25" s="1"/>
  <c r="G5187" i="26"/>
  <c r="G5172" i="26"/>
  <c r="H5172" i="26" s="1"/>
  <c r="G5171" i="26"/>
  <c r="H5171" i="26" s="1"/>
  <c r="G5170" i="26"/>
  <c r="H5170" i="26" s="1"/>
  <c r="G5169" i="26"/>
  <c r="H5169" i="26" s="1"/>
  <c r="G5160" i="26"/>
  <c r="H5158" i="26"/>
  <c r="G5155" i="26"/>
  <c r="H5155" i="26" s="1"/>
  <c r="H5156" i="26" s="1"/>
  <c r="G5152" i="26"/>
  <c r="H5152" i="26" s="1"/>
  <c r="G5151" i="26"/>
  <c r="H5151" i="26" s="1"/>
  <c r="G5150" i="26"/>
  <c r="H5150" i="26" s="1"/>
  <c r="G5149" i="26"/>
  <c r="H5149" i="26" s="1"/>
  <c r="G5143" i="26"/>
  <c r="H5141" i="26"/>
  <c r="G5138" i="26"/>
  <c r="H5138" i="26" s="1"/>
  <c r="H5139" i="26" s="1"/>
  <c r="G5135" i="26"/>
  <c r="H5135" i="26" s="1"/>
  <c r="G5134" i="26"/>
  <c r="H5134" i="26" s="1"/>
  <c r="G5133" i="26"/>
  <c r="H5133" i="26" s="1"/>
  <c r="G5132" i="26"/>
  <c r="H5132" i="26" s="1"/>
  <c r="G5126" i="26"/>
  <c r="H5124" i="26"/>
  <c r="G5121" i="26"/>
  <c r="H5121" i="26" s="1"/>
  <c r="H5122" i="26" s="1"/>
  <c r="G5118" i="26"/>
  <c r="H5118" i="26" s="1"/>
  <c r="G5117" i="26"/>
  <c r="H5117" i="26" s="1"/>
  <c r="G5116" i="26"/>
  <c r="H5116" i="26" s="1"/>
  <c r="G5115" i="26"/>
  <c r="H5115" i="26" s="1"/>
  <c r="G5109" i="26"/>
  <c r="H5107" i="26"/>
  <c r="G5101" i="26"/>
  <c r="H5101" i="26" s="1"/>
  <c r="G5100" i="26"/>
  <c r="H5100" i="26" s="1"/>
  <c r="G5099" i="26"/>
  <c r="H5099" i="26" s="1"/>
  <c r="G5098" i="26"/>
  <c r="H5098" i="26" s="1"/>
  <c r="G5051" i="26"/>
  <c r="H5051" i="26" s="1"/>
  <c r="G5064" i="26"/>
  <c r="H5062" i="26"/>
  <c r="G5048" i="26"/>
  <c r="H5048" i="26" s="1"/>
  <c r="G5047" i="26"/>
  <c r="H5047" i="26" s="1"/>
  <c r="G5046" i="26"/>
  <c r="H5046" i="26" s="1"/>
  <c r="G5045" i="26"/>
  <c r="H5045" i="26" s="1"/>
  <c r="G5039" i="26"/>
  <c r="H5037" i="26"/>
  <c r="G5031" i="26"/>
  <c r="H5031" i="26" s="1"/>
  <c r="G5030" i="26"/>
  <c r="H5030" i="26" s="1"/>
  <c r="G5029" i="26"/>
  <c r="H5029" i="26" s="1"/>
  <c r="G5028" i="26"/>
  <c r="H5028" i="26" s="1"/>
  <c r="G5022" i="26"/>
  <c r="H5020" i="26"/>
  <c r="G5017" i="26"/>
  <c r="H5017" i="26" s="1"/>
  <c r="H5018" i="26" s="1"/>
  <c r="G5014" i="26"/>
  <c r="H5014" i="26" s="1"/>
  <c r="G5013" i="26"/>
  <c r="H5013" i="26" s="1"/>
  <c r="G5012" i="26"/>
  <c r="H5012" i="26" s="1"/>
  <c r="G5011" i="26"/>
  <c r="H5011" i="26" s="1"/>
  <c r="G5005" i="26"/>
  <c r="H5003" i="26"/>
  <c r="G4997" i="26"/>
  <c r="H4997" i="26" s="1"/>
  <c r="G4996" i="26"/>
  <c r="H4996" i="26" s="1"/>
  <c r="G4995" i="26"/>
  <c r="H4995" i="26" s="1"/>
  <c r="G4994" i="26"/>
  <c r="H4994" i="26" s="1"/>
  <c r="G4988" i="26"/>
  <c r="H4986" i="26"/>
  <c r="G4983" i="26"/>
  <c r="H4983" i="26" s="1"/>
  <c r="H4984" i="26" s="1"/>
  <c r="G4980" i="26"/>
  <c r="H4980" i="26" s="1"/>
  <c r="G4979" i="26"/>
  <c r="H4979" i="26" s="1"/>
  <c r="G4978" i="26"/>
  <c r="H4978" i="26" s="1"/>
  <c r="G4977" i="26"/>
  <c r="H4977" i="26" s="1"/>
  <c r="G4971" i="26"/>
  <c r="H4969" i="26"/>
  <c r="G4966" i="26"/>
  <c r="H4966" i="26" s="1"/>
  <c r="H4967" i="26" s="1"/>
  <c r="G4963" i="26"/>
  <c r="H4963" i="26" s="1"/>
  <c r="G4962" i="26"/>
  <c r="H4962" i="26" s="1"/>
  <c r="G4961" i="26"/>
  <c r="H4961" i="26" s="1"/>
  <c r="G4960" i="26"/>
  <c r="H4960" i="26" s="1"/>
  <c r="G4954" i="26"/>
  <c r="H4952" i="26"/>
  <c r="G4949" i="26"/>
  <c r="H4949" i="26" s="1"/>
  <c r="H4950" i="26" s="1"/>
  <c r="G4946" i="26"/>
  <c r="H4946" i="26" s="1"/>
  <c r="G4945" i="26"/>
  <c r="H4945" i="26" s="1"/>
  <c r="G4944" i="26"/>
  <c r="H4944" i="26" s="1"/>
  <c r="G4943" i="26"/>
  <c r="H4943" i="26" s="1"/>
  <c r="G4937" i="26"/>
  <c r="H4935" i="26"/>
  <c r="G4932" i="26"/>
  <c r="H4932" i="26" s="1"/>
  <c r="H4933" i="26" s="1"/>
  <c r="G4929" i="26"/>
  <c r="H4929" i="26" s="1"/>
  <c r="G4928" i="26"/>
  <c r="H4928" i="26" s="1"/>
  <c r="G4927" i="26"/>
  <c r="H4927" i="26" s="1"/>
  <c r="G4926" i="26"/>
  <c r="H4926" i="26" s="1"/>
  <c r="G4920" i="26"/>
  <c r="H4918" i="26"/>
  <c r="G4915" i="26"/>
  <c r="H4915" i="26" s="1"/>
  <c r="H4916" i="26" s="1"/>
  <c r="G4912" i="26"/>
  <c r="H4912" i="26" s="1"/>
  <c r="G4911" i="26"/>
  <c r="H4911" i="26" s="1"/>
  <c r="G4910" i="26"/>
  <c r="H4910" i="26" s="1"/>
  <c r="G4909" i="26"/>
  <c r="H4909" i="26" s="1"/>
  <c r="G4903" i="26"/>
  <c r="H4901" i="26"/>
  <c r="G4898" i="26"/>
  <c r="H4898" i="26" s="1"/>
  <c r="H4899" i="26" s="1"/>
  <c r="G4895" i="26"/>
  <c r="H4895" i="26" s="1"/>
  <c r="G4894" i="26"/>
  <c r="H4894" i="26" s="1"/>
  <c r="G4893" i="26"/>
  <c r="H4893" i="26" s="1"/>
  <c r="G4892" i="26"/>
  <c r="H4892" i="26" s="1"/>
  <c r="G4884" i="26"/>
  <c r="H4882" i="26"/>
  <c r="G4876" i="26"/>
  <c r="H4876" i="26" s="1"/>
  <c r="G4875" i="26"/>
  <c r="H4875" i="26" s="1"/>
  <c r="G4874" i="26"/>
  <c r="H4874" i="26" s="1"/>
  <c r="G4873" i="26"/>
  <c r="H4873" i="26" s="1"/>
  <c r="G4848" i="26"/>
  <c r="H4846" i="26"/>
  <c r="G4840" i="26"/>
  <c r="H4840" i="26" s="1"/>
  <c r="G4839" i="26"/>
  <c r="H4839" i="26" s="1"/>
  <c r="G4838" i="26"/>
  <c r="H4838" i="26" s="1"/>
  <c r="G4837" i="26"/>
  <c r="H4837" i="26" s="1"/>
  <c r="H4829" i="26"/>
  <c r="H5173" i="26" l="1"/>
  <c r="I517" i="25"/>
  <c r="H480" i="25"/>
  <c r="H481" i="25" s="1"/>
  <c r="I466" i="25" s="1"/>
  <c r="H462" i="25"/>
  <c r="H463" i="25" s="1"/>
  <c r="I448" i="25" s="1"/>
  <c r="H444" i="25"/>
  <c r="H445" i="25" s="1"/>
  <c r="I430" i="25" s="1"/>
  <c r="H4998" i="26"/>
  <c r="H5119" i="26"/>
  <c r="H5125" i="26" s="1"/>
  <c r="H386" i="25"/>
  <c r="H392" i="25" s="1"/>
  <c r="I413" i="25"/>
  <c r="H4981" i="26"/>
  <c r="H4987" i="26" s="1"/>
  <c r="H5032" i="26"/>
  <c r="H30" i="25"/>
  <c r="H49" i="25"/>
  <c r="H68" i="25"/>
  <c r="H88" i="25"/>
  <c r="H107" i="25"/>
  <c r="H126" i="25"/>
  <c r="H145" i="25"/>
  <c r="H165" i="25"/>
  <c r="H184" i="25"/>
  <c r="H4964" i="26"/>
  <c r="H4970" i="26" s="1"/>
  <c r="H5102" i="26"/>
  <c r="H5153" i="26"/>
  <c r="H5159" i="26" s="1"/>
  <c r="H403" i="25"/>
  <c r="H409" i="25" s="1"/>
  <c r="H5015" i="26"/>
  <c r="H5021" i="26" s="1"/>
  <c r="H11" i="25"/>
  <c r="H5049" i="26"/>
  <c r="H5136" i="26"/>
  <c r="H5142" i="26" s="1"/>
  <c r="H188" i="25"/>
  <c r="H189" i="25" s="1"/>
  <c r="H169" i="25"/>
  <c r="H170" i="25" s="1"/>
  <c r="H149" i="25"/>
  <c r="H150" i="25" s="1"/>
  <c r="H130" i="25"/>
  <c r="H131" i="25" s="1"/>
  <c r="H111" i="25"/>
  <c r="H112" i="25" s="1"/>
  <c r="H92" i="25"/>
  <c r="H93" i="25" s="1"/>
  <c r="H72" i="25"/>
  <c r="H73" i="25" s="1"/>
  <c r="H53" i="25"/>
  <c r="H54" i="25" s="1"/>
  <c r="H34" i="25"/>
  <c r="H4947" i="26"/>
  <c r="H4953" i="26" s="1"/>
  <c r="H4930" i="26"/>
  <c r="H4936" i="26" s="1"/>
  <c r="H4913" i="26"/>
  <c r="H4919" i="26" s="1"/>
  <c r="H4877" i="26"/>
  <c r="H4841" i="26"/>
  <c r="H4896" i="26"/>
  <c r="H4902" i="26" s="1"/>
  <c r="G4831" i="26"/>
  <c r="G4823" i="26"/>
  <c r="H4823" i="26" s="1"/>
  <c r="G4822" i="26"/>
  <c r="H4822" i="26" s="1"/>
  <c r="G4821" i="26"/>
  <c r="H4821" i="26" s="1"/>
  <c r="G4820" i="26"/>
  <c r="H4820" i="26" s="1"/>
  <c r="H76" i="25" l="1"/>
  <c r="H77" i="25" s="1"/>
  <c r="H78" i="25" s="1"/>
  <c r="I61" i="25" s="1"/>
  <c r="H153" i="25"/>
  <c r="H154" i="25" s="1"/>
  <c r="H155" i="25" s="1"/>
  <c r="I138" i="25" s="1"/>
  <c r="H96" i="25"/>
  <c r="H97" i="25" s="1"/>
  <c r="H98" i="25" s="1"/>
  <c r="I81" i="25" s="1"/>
  <c r="H173" i="25"/>
  <c r="H174" i="25" s="1"/>
  <c r="H175" i="25" s="1"/>
  <c r="I158" i="25" s="1"/>
  <c r="H57" i="25"/>
  <c r="H58" i="25" s="1"/>
  <c r="H59" i="25" s="1"/>
  <c r="I42" i="25" s="1"/>
  <c r="H134" i="25"/>
  <c r="H135" i="25" s="1"/>
  <c r="H136" i="25" s="1"/>
  <c r="I119" i="25" s="1"/>
  <c r="H192" i="25"/>
  <c r="H193" i="25" s="1"/>
  <c r="H194" i="25" s="1"/>
  <c r="I177" i="25" s="1"/>
  <c r="H115" i="25"/>
  <c r="H116" i="25" s="1"/>
  <c r="H117" i="25" s="1"/>
  <c r="I100" i="25" s="1"/>
  <c r="H410" i="25"/>
  <c r="H411" i="25" s="1"/>
  <c r="I396" i="25" s="1"/>
  <c r="H393" i="25"/>
  <c r="H394" i="25" s="1"/>
  <c r="I379" i="25" s="1"/>
  <c r="H35" i="25"/>
  <c r="H38" i="25" s="1"/>
  <c r="H39" i="25" s="1"/>
  <c r="H40" i="25" s="1"/>
  <c r="I23" i="25" s="1"/>
  <c r="H5160" i="26"/>
  <c r="H5161" i="26" s="1"/>
  <c r="I5146" i="26" s="1"/>
  <c r="H5143" i="26"/>
  <c r="H5144" i="26" s="1"/>
  <c r="I5129" i="26" s="1"/>
  <c r="H5126" i="26"/>
  <c r="H5127" i="26" s="1"/>
  <c r="I5112" i="26" s="1"/>
  <c r="H5022" i="26"/>
  <c r="H5023" i="26" s="1"/>
  <c r="I5008" i="26" s="1"/>
  <c r="H4988" i="26"/>
  <c r="H4989" i="26" s="1"/>
  <c r="I4974" i="26" s="1"/>
  <c r="H4971" i="26"/>
  <c r="H4972" i="26" s="1"/>
  <c r="I4957" i="26" s="1"/>
  <c r="H4954" i="26"/>
  <c r="H4955" i="26" s="1"/>
  <c r="I4940" i="26" s="1"/>
  <c r="H4937" i="26"/>
  <c r="H4938" i="26" s="1"/>
  <c r="I4923" i="26" s="1"/>
  <c r="H4920" i="26"/>
  <c r="H4921" i="26" s="1"/>
  <c r="I4906" i="26" s="1"/>
  <c r="H4903" i="26"/>
  <c r="H4904" i="26" s="1"/>
  <c r="I4889" i="26" s="1"/>
  <c r="H4824" i="26"/>
  <c r="G4813" i="26"/>
  <c r="G4804" i="26"/>
  <c r="H4804" i="26" s="1"/>
  <c r="G4803" i="26"/>
  <c r="H4803" i="26" s="1"/>
  <c r="G4802" i="26"/>
  <c r="H4802" i="26" s="1"/>
  <c r="G4801" i="26"/>
  <c r="H4801" i="26" s="1"/>
  <c r="G4795" i="26"/>
  <c r="G4786" i="26"/>
  <c r="H4786" i="26" s="1"/>
  <c r="G4785" i="26"/>
  <c r="H4785" i="26" s="1"/>
  <c r="G4784" i="26"/>
  <c r="H4784" i="26" s="1"/>
  <c r="G4783" i="26"/>
  <c r="H4783" i="26" s="1"/>
  <c r="G4771" i="26"/>
  <c r="G4762" i="26"/>
  <c r="H4762" i="26" s="1"/>
  <c r="G4761" i="26"/>
  <c r="H4761" i="26" s="1"/>
  <c r="G4760" i="26"/>
  <c r="H4760" i="26" s="1"/>
  <c r="G4759" i="26"/>
  <c r="H4759" i="26" s="1"/>
  <c r="G4751" i="26"/>
  <c r="G4743" i="26"/>
  <c r="H4743" i="26" s="1"/>
  <c r="G4742" i="26"/>
  <c r="H4742" i="26" s="1"/>
  <c r="G4741" i="26"/>
  <c r="H4741" i="26" s="1"/>
  <c r="G4740" i="26"/>
  <c r="H4740" i="26" s="1"/>
  <c r="G4733" i="26"/>
  <c r="G4725" i="26"/>
  <c r="H4725" i="26" s="1"/>
  <c r="G4724" i="26"/>
  <c r="H4724" i="26" s="1"/>
  <c r="G4723" i="26"/>
  <c r="H4723" i="26" s="1"/>
  <c r="G4722" i="26"/>
  <c r="H4722" i="26" s="1"/>
  <c r="G4715" i="26"/>
  <c r="G4707" i="26"/>
  <c r="H4707" i="26" s="1"/>
  <c r="G4706" i="26"/>
  <c r="H4706" i="26" s="1"/>
  <c r="G4705" i="26"/>
  <c r="H4705" i="26" s="1"/>
  <c r="G4704" i="26"/>
  <c r="H4704" i="26" s="1"/>
  <c r="G4697" i="26"/>
  <c r="G4689" i="26"/>
  <c r="H4689" i="26" s="1"/>
  <c r="G4688" i="26"/>
  <c r="H4688" i="26" s="1"/>
  <c r="G4687" i="26"/>
  <c r="H4687" i="26" s="1"/>
  <c r="G4686" i="26"/>
  <c r="H4686" i="26" s="1"/>
  <c r="G4679" i="26"/>
  <c r="G4671" i="26"/>
  <c r="H4671" i="26" s="1"/>
  <c r="G4670" i="26"/>
  <c r="H4670" i="26" s="1"/>
  <c r="G4669" i="26"/>
  <c r="H4669" i="26" s="1"/>
  <c r="G4668" i="26"/>
  <c r="H4668" i="26" s="1"/>
  <c r="G4661" i="26"/>
  <c r="G4653" i="26"/>
  <c r="H4653" i="26" s="1"/>
  <c r="G4652" i="26"/>
  <c r="H4652" i="26" s="1"/>
  <c r="G4651" i="26"/>
  <c r="H4651" i="26" s="1"/>
  <c r="G4650" i="26"/>
  <c r="H4650" i="26" s="1"/>
  <c r="G4643" i="26"/>
  <c r="G4635" i="26"/>
  <c r="H4635" i="26" s="1"/>
  <c r="G4634" i="26"/>
  <c r="H4634" i="26" s="1"/>
  <c r="G4633" i="26"/>
  <c r="H4633" i="26" s="1"/>
  <c r="G4632" i="26"/>
  <c r="H4632" i="26" s="1"/>
  <c r="G4626" i="26"/>
  <c r="G4618" i="26"/>
  <c r="H4618" i="26" s="1"/>
  <c r="G4617" i="26"/>
  <c r="H4617" i="26" s="1"/>
  <c r="G4616" i="26"/>
  <c r="H4616" i="26" s="1"/>
  <c r="G4615" i="26"/>
  <c r="H4615" i="26" s="1"/>
  <c r="G4608" i="26"/>
  <c r="G4600" i="26"/>
  <c r="H4600" i="26" s="1"/>
  <c r="G4599" i="26"/>
  <c r="H4599" i="26" s="1"/>
  <c r="G4598" i="26"/>
  <c r="H4598" i="26" s="1"/>
  <c r="G4597" i="26"/>
  <c r="H4597" i="26" s="1"/>
  <c r="G4590" i="26"/>
  <c r="G4582" i="26"/>
  <c r="H4582" i="26" s="1"/>
  <c r="G4581" i="26"/>
  <c r="H4581" i="26" s="1"/>
  <c r="G4580" i="26"/>
  <c r="H4580" i="26" s="1"/>
  <c r="G4579" i="26"/>
  <c r="H4579" i="26" s="1"/>
  <c r="G4572" i="26"/>
  <c r="G4564" i="26"/>
  <c r="H4564" i="26" s="1"/>
  <c r="G4563" i="26"/>
  <c r="H4563" i="26" s="1"/>
  <c r="G4562" i="26"/>
  <c r="H4562" i="26" s="1"/>
  <c r="G4561" i="26"/>
  <c r="H4561" i="26" s="1"/>
  <c r="G4555" i="26"/>
  <c r="G4547" i="26"/>
  <c r="H4547" i="26" s="1"/>
  <c r="G4546" i="26"/>
  <c r="H4546" i="26" s="1"/>
  <c r="G4545" i="26"/>
  <c r="H4545" i="26" s="1"/>
  <c r="G4544" i="26"/>
  <c r="H4544" i="26" s="1"/>
  <c r="G4538" i="26"/>
  <c r="G4530" i="26"/>
  <c r="H4530" i="26" s="1"/>
  <c r="G4529" i="26"/>
  <c r="H4529" i="26" s="1"/>
  <c r="G4528" i="26"/>
  <c r="H4528" i="26" s="1"/>
  <c r="G4527" i="26"/>
  <c r="H4527" i="26" s="1"/>
  <c r="G4521" i="26"/>
  <c r="G4513" i="26"/>
  <c r="H4513" i="26" s="1"/>
  <c r="G4512" i="26"/>
  <c r="H4512" i="26" s="1"/>
  <c r="G4511" i="26"/>
  <c r="H4511" i="26" s="1"/>
  <c r="G4510" i="26"/>
  <c r="H4510" i="26" s="1"/>
  <c r="G4504" i="26"/>
  <c r="G4496" i="26"/>
  <c r="H4496" i="26" s="1"/>
  <c r="G4495" i="26"/>
  <c r="H4495" i="26" s="1"/>
  <c r="G4494" i="26"/>
  <c r="H4494" i="26" s="1"/>
  <c r="G4493" i="26"/>
  <c r="H4493" i="26" s="1"/>
  <c r="G4487" i="26"/>
  <c r="G4479" i="26"/>
  <c r="H4479" i="26" s="1"/>
  <c r="G4478" i="26"/>
  <c r="H4478" i="26" s="1"/>
  <c r="G4477" i="26"/>
  <c r="H4477" i="26" s="1"/>
  <c r="G4476" i="26"/>
  <c r="H4476" i="26" s="1"/>
  <c r="G4470" i="26"/>
  <c r="G4462" i="26"/>
  <c r="H4462" i="26" s="1"/>
  <c r="G4461" i="26"/>
  <c r="H4461" i="26" s="1"/>
  <c r="G4460" i="26"/>
  <c r="H4460" i="26" s="1"/>
  <c r="G4459" i="26"/>
  <c r="H4459" i="26" s="1"/>
  <c r="G4453" i="26"/>
  <c r="G4445" i="26"/>
  <c r="H4445" i="26" s="1"/>
  <c r="G4444" i="26"/>
  <c r="H4444" i="26" s="1"/>
  <c r="G4443" i="26"/>
  <c r="H4443" i="26" s="1"/>
  <c r="G4442" i="26"/>
  <c r="H4442" i="26" s="1"/>
  <c r="G4436" i="26"/>
  <c r="G4428" i="26"/>
  <c r="H4428" i="26" s="1"/>
  <c r="G4427" i="26"/>
  <c r="H4427" i="26" s="1"/>
  <c r="G4426" i="26"/>
  <c r="H4426" i="26" s="1"/>
  <c r="G4425" i="26"/>
  <c r="H4425" i="26" s="1"/>
  <c r="G4419" i="26"/>
  <c r="G4411" i="26"/>
  <c r="H4411" i="26" s="1"/>
  <c r="G4410" i="26"/>
  <c r="H4410" i="26" s="1"/>
  <c r="G4409" i="26"/>
  <c r="H4409" i="26" s="1"/>
  <c r="G2989" i="26"/>
  <c r="G2984" i="26"/>
  <c r="H2984" i="26" s="1"/>
  <c r="H2985" i="26" s="1"/>
  <c r="G2981" i="26"/>
  <c r="H2981" i="26" s="1"/>
  <c r="G2980" i="26"/>
  <c r="H2980" i="26" s="1"/>
  <c r="G2979" i="26"/>
  <c r="H2979" i="26" s="1"/>
  <c r="G2978" i="26"/>
  <c r="H2978" i="26" s="1"/>
  <c r="G2972" i="26"/>
  <c r="G2967" i="26"/>
  <c r="H2967" i="26" s="1"/>
  <c r="H2968" i="26" s="1"/>
  <c r="G2964" i="26"/>
  <c r="H2964" i="26" s="1"/>
  <c r="G2963" i="26"/>
  <c r="H2963" i="26" s="1"/>
  <c r="G2962" i="26"/>
  <c r="H2962" i="26" s="1"/>
  <c r="G2961" i="26"/>
  <c r="H2961" i="26" s="1"/>
  <c r="G2955" i="26"/>
  <c r="G2950" i="26"/>
  <c r="H2950" i="26" s="1"/>
  <c r="H2951" i="26" s="1"/>
  <c r="G2947" i="26"/>
  <c r="H2947" i="26" s="1"/>
  <c r="G2507" i="26"/>
  <c r="G2499" i="26"/>
  <c r="H2499" i="26" s="1"/>
  <c r="G2498" i="26"/>
  <c r="H2498" i="26" s="1"/>
  <c r="D2497" i="26"/>
  <c r="G2497" i="26" s="1"/>
  <c r="H2497" i="26" s="1"/>
  <c r="G2496" i="26"/>
  <c r="H2496" i="26" s="1"/>
  <c r="G2490" i="26"/>
  <c r="G2485" i="26"/>
  <c r="H2485" i="26" s="1"/>
  <c r="H2486" i="26" s="1"/>
  <c r="G2482" i="26"/>
  <c r="H2482" i="26" s="1"/>
  <c r="G2481" i="26"/>
  <c r="H2481" i="26" s="1"/>
  <c r="D2480" i="26"/>
  <c r="G2480" i="26" s="1"/>
  <c r="H2480" i="26" s="1"/>
  <c r="G2479" i="26"/>
  <c r="H2479" i="26" s="1"/>
  <c r="G2473" i="26"/>
  <c r="G2468" i="26"/>
  <c r="H2468" i="26" s="1"/>
  <c r="H2469" i="26" s="1"/>
  <c r="G2465" i="26"/>
  <c r="H2465" i="26" s="1"/>
  <c r="G2464" i="26"/>
  <c r="H2464" i="26" s="1"/>
  <c r="D2463" i="26"/>
  <c r="G2463" i="26" s="1"/>
  <c r="H2463" i="26" s="1"/>
  <c r="G2462" i="26"/>
  <c r="H2462" i="26" s="1"/>
  <c r="G2284" i="26"/>
  <c r="G2279" i="26"/>
  <c r="H2279" i="26" s="1"/>
  <c r="H2280" i="26" s="1"/>
  <c r="G2276" i="26"/>
  <c r="H2276" i="26" s="1"/>
  <c r="G2275" i="26"/>
  <c r="H2275" i="26" s="1"/>
  <c r="G2274" i="26"/>
  <c r="H2274" i="26" s="1"/>
  <c r="G2273" i="26"/>
  <c r="H2273" i="26" s="1"/>
  <c r="G2254" i="26"/>
  <c r="H2254" i="26" s="1"/>
  <c r="G2255" i="26"/>
  <c r="H2255" i="26" s="1"/>
  <c r="G2256" i="26"/>
  <c r="H2256" i="26" s="1"/>
  <c r="G2257" i="26"/>
  <c r="H2257" i="26" s="1"/>
  <c r="G2260" i="26"/>
  <c r="H2260" i="26" s="1"/>
  <c r="G2261" i="26"/>
  <c r="H2261" i="26" s="1"/>
  <c r="G2266" i="26"/>
  <c r="G2247" i="26"/>
  <c r="G2242" i="26"/>
  <c r="H2242" i="26" s="1"/>
  <c r="H2243" i="26" s="1"/>
  <c r="G2239" i="26"/>
  <c r="H2239" i="26" s="1"/>
  <c r="G2238" i="26"/>
  <c r="H2238" i="26" s="1"/>
  <c r="G2237" i="26"/>
  <c r="H2237" i="26" s="1"/>
  <c r="G2236" i="26"/>
  <c r="H2236" i="26" s="1"/>
  <c r="G2229" i="26"/>
  <c r="G2221" i="26"/>
  <c r="H2221" i="26" s="1"/>
  <c r="G2220" i="26"/>
  <c r="H2220" i="26" s="1"/>
  <c r="G2219" i="26"/>
  <c r="H2219" i="26" s="1"/>
  <c r="G2218" i="26"/>
  <c r="H2218" i="26" s="1"/>
  <c r="E1717" i="27" l="1"/>
  <c r="E1721" i="27"/>
  <c r="E1725" i="27"/>
  <c r="E1722" i="27"/>
  <c r="E1718" i="27"/>
  <c r="E1724" i="27"/>
  <c r="E1720" i="27"/>
  <c r="E1723" i="27"/>
  <c r="E1719" i="27"/>
  <c r="H2222" i="26"/>
  <c r="H2240" i="26"/>
  <c r="H2246" i="26" s="1"/>
  <c r="H2262" i="26"/>
  <c r="H2466" i="26"/>
  <c r="H2472" i="26" s="1"/>
  <c r="H2500" i="26"/>
  <c r="H2258" i="26"/>
  <c r="H2948" i="26"/>
  <c r="H2954" i="26" s="1"/>
  <c r="H4429" i="26"/>
  <c r="H4497" i="26"/>
  <c r="H4565" i="26"/>
  <c r="H4636" i="26"/>
  <c r="H4672" i="26"/>
  <c r="H4708" i="26"/>
  <c r="H4744" i="26"/>
  <c r="H4805" i="26"/>
  <c r="H2982" i="26"/>
  <c r="H2988" i="26" s="1"/>
  <c r="H4463" i="26"/>
  <c r="H4531" i="26"/>
  <c r="H4601" i="26"/>
  <c r="H2277" i="26"/>
  <c r="H2283" i="26" s="1"/>
  <c r="H2483" i="26"/>
  <c r="H2489" i="26" s="1"/>
  <c r="H4787" i="26"/>
  <c r="H2965" i="26"/>
  <c r="H2971" i="26" s="1"/>
  <c r="H4412" i="26"/>
  <c r="H4446" i="26"/>
  <c r="H4480" i="26"/>
  <c r="H4514" i="26"/>
  <c r="H4548" i="26"/>
  <c r="H4583" i="26"/>
  <c r="H4619" i="26"/>
  <c r="H4654" i="26"/>
  <c r="H4690" i="26"/>
  <c r="H4726" i="26"/>
  <c r="H4763" i="26"/>
  <c r="G1813" i="26"/>
  <c r="G1739" i="26"/>
  <c r="G1603" i="26"/>
  <c r="H1603" i="26" s="1"/>
  <c r="G1535" i="26"/>
  <c r="H1535" i="26" s="1"/>
  <c r="G1541" i="26"/>
  <c r="G1518" i="26"/>
  <c r="H1518" i="26" s="1"/>
  <c r="G1421" i="26"/>
  <c r="G1404" i="26"/>
  <c r="H1404" i="26" s="1"/>
  <c r="H1405" i="26" s="1"/>
  <c r="G1387" i="26"/>
  <c r="H1387" i="26" s="1"/>
  <c r="H1388" i="26" s="1"/>
  <c r="G1381" i="26"/>
  <c r="H1381" i="26" s="1"/>
  <c r="H2247" i="26" l="1"/>
  <c r="H2248" i="26" s="1"/>
  <c r="I2233" i="26" s="1"/>
  <c r="H2265" i="26"/>
  <c r="H2266" i="26" s="1"/>
  <c r="H2267" i="26" s="1"/>
  <c r="I2251" i="26" s="1"/>
  <c r="H2989" i="26"/>
  <c r="H2990" i="26" s="1"/>
  <c r="I2975" i="26" s="1"/>
  <c r="H2972" i="26"/>
  <c r="H2973" i="26" s="1"/>
  <c r="I2958" i="26" s="1"/>
  <c r="H2955" i="26"/>
  <c r="H2956" i="26" s="1"/>
  <c r="I2941" i="26" s="1"/>
  <c r="H2490" i="26"/>
  <c r="H2491" i="26" s="1"/>
  <c r="I2476" i="26" s="1"/>
  <c r="H2473" i="26"/>
  <c r="H2474" i="26" s="1"/>
  <c r="I2459" i="26" s="1"/>
  <c r="H2284" i="26"/>
  <c r="H2285" i="26" s="1"/>
  <c r="I2270" i="26" s="1"/>
  <c r="G1067" i="26"/>
  <c r="G1059" i="26"/>
  <c r="H1059" i="26" s="1"/>
  <c r="G1058" i="26"/>
  <c r="H1058" i="26" s="1"/>
  <c r="G1057" i="26"/>
  <c r="H1057" i="26" s="1"/>
  <c r="G1056" i="26"/>
  <c r="H1056" i="26" s="1"/>
  <c r="G1050" i="26"/>
  <c r="G1042" i="26"/>
  <c r="H1042" i="26" s="1"/>
  <c r="G1041" i="26"/>
  <c r="H1041" i="26" s="1"/>
  <c r="G1039" i="26"/>
  <c r="H1039" i="26" s="1"/>
  <c r="G1033" i="26"/>
  <c r="G1028" i="26"/>
  <c r="H1028" i="26" s="1"/>
  <c r="G1027" i="26"/>
  <c r="H1027" i="26" s="1"/>
  <c r="G1024" i="26"/>
  <c r="H1024" i="26" s="1"/>
  <c r="G1023" i="26"/>
  <c r="H1023" i="26" s="1"/>
  <c r="G1021" i="26"/>
  <c r="H1021" i="26" s="1"/>
  <c r="G1014" i="26"/>
  <c r="G1009" i="26"/>
  <c r="H1009" i="26" s="1"/>
  <c r="G1005" i="26"/>
  <c r="H1005" i="26" s="1"/>
  <c r="G1004" i="26"/>
  <c r="H1004" i="26" s="1"/>
  <c r="G1003" i="26"/>
  <c r="H1003" i="26" s="1"/>
  <c r="G1002" i="26"/>
  <c r="H1002" i="26" s="1"/>
  <c r="G995" i="26"/>
  <c r="G989" i="26"/>
  <c r="H989" i="26" s="1"/>
  <c r="G986" i="26"/>
  <c r="H986" i="26" s="1"/>
  <c r="G985" i="26"/>
  <c r="H985" i="26" s="1"/>
  <c r="G984" i="26"/>
  <c r="H984" i="26" s="1"/>
  <c r="G983" i="26"/>
  <c r="H983" i="26" s="1"/>
  <c r="G976" i="26"/>
  <c r="G971" i="26"/>
  <c r="H971" i="26" s="1"/>
  <c r="G967" i="26"/>
  <c r="H967" i="26" s="1"/>
  <c r="G966" i="26"/>
  <c r="H966" i="26" s="1"/>
  <c r="G964" i="26"/>
  <c r="H964" i="26" s="1"/>
  <c r="G843" i="26"/>
  <c r="H843" i="26" s="1"/>
  <c r="G826" i="26"/>
  <c r="H826" i="26" s="1"/>
  <c r="G780" i="26"/>
  <c r="H780" i="26" s="1"/>
  <c r="G576" i="26"/>
  <c r="H576" i="26" s="1"/>
  <c r="G485" i="26"/>
  <c r="H485" i="26" s="1"/>
  <c r="G471" i="26"/>
  <c r="G389" i="26"/>
  <c r="G349" i="26"/>
  <c r="G185" i="26"/>
  <c r="G355" i="21"/>
  <c r="H355" i="21" s="1"/>
  <c r="H356" i="21" s="1"/>
  <c r="G349" i="21"/>
  <c r="H349" i="21" s="1"/>
  <c r="G332" i="21"/>
  <c r="H332" i="21" s="1"/>
  <c r="G320" i="21"/>
  <c r="H320" i="21" s="1"/>
  <c r="G303" i="21"/>
  <c r="H303" i="21" s="1"/>
  <c r="G302" i="21"/>
  <c r="H302" i="21" s="1"/>
  <c r="G258" i="21"/>
  <c r="H258" i="21" s="1"/>
  <c r="G236" i="21"/>
  <c r="H236" i="21" s="1"/>
  <c r="G217" i="21"/>
  <c r="H217" i="21" s="1"/>
  <c r="G198" i="21"/>
  <c r="G178" i="21"/>
  <c r="H178" i="21" s="1"/>
  <c r="G160" i="21"/>
  <c r="H160" i="21" s="1"/>
  <c r="G141" i="21"/>
  <c r="H141" i="21" s="1"/>
  <c r="G122" i="21"/>
  <c r="H122" i="21" s="1"/>
  <c r="G109" i="21"/>
  <c r="H109" i="21" s="1"/>
  <c r="G103" i="21"/>
  <c r="H103" i="21" s="1"/>
  <c r="G85" i="21"/>
  <c r="H85" i="21" s="1"/>
  <c r="G68" i="21"/>
  <c r="G67" i="21"/>
  <c r="H67" i="21" s="1"/>
  <c r="G55" i="21"/>
  <c r="H55" i="21" s="1"/>
  <c r="G54" i="21"/>
  <c r="H54" i="21" s="1"/>
  <c r="G53" i="21"/>
  <c r="H53" i="21" s="1"/>
  <c r="G60" i="21"/>
  <c r="G49" i="21"/>
  <c r="H49" i="21" s="1"/>
  <c r="G48" i="21"/>
  <c r="H48" i="21" s="1"/>
  <c r="G47" i="21"/>
  <c r="H47" i="21" s="1"/>
  <c r="G46" i="21"/>
  <c r="H46" i="21" s="1"/>
  <c r="G28" i="21"/>
  <c r="H28" i="21" s="1"/>
  <c r="G40" i="21"/>
  <c r="G35" i="21"/>
  <c r="H35" i="21" s="1"/>
  <c r="G34" i="21"/>
  <c r="H34" i="21" s="1"/>
  <c r="G31" i="21"/>
  <c r="H31" i="21" s="1"/>
  <c r="G30" i="21"/>
  <c r="H30" i="21" s="1"/>
  <c r="G29" i="21"/>
  <c r="H29" i="21" s="1"/>
  <c r="G8" i="21"/>
  <c r="H8" i="21" s="1"/>
  <c r="G21" i="21"/>
  <c r="G16" i="21"/>
  <c r="H16" i="21" s="1"/>
  <c r="G15" i="21"/>
  <c r="H15" i="21" s="1"/>
  <c r="G14" i="21"/>
  <c r="H14" i="21" s="1"/>
  <c r="G11" i="21"/>
  <c r="H11" i="21" s="1"/>
  <c r="G10" i="21"/>
  <c r="H10" i="21" s="1"/>
  <c r="G9" i="21"/>
  <c r="H9" i="21" s="1"/>
  <c r="G169" i="20"/>
  <c r="G164" i="20"/>
  <c r="H164" i="20" s="1"/>
  <c r="G160" i="20"/>
  <c r="H160" i="20" s="1"/>
  <c r="G159" i="20"/>
  <c r="H159" i="20" s="1"/>
  <c r="G158" i="20"/>
  <c r="H158" i="20" s="1"/>
  <c r="G157" i="20"/>
  <c r="H157" i="20" s="1"/>
  <c r="G138" i="20"/>
  <c r="H138" i="20" s="1"/>
  <c r="G150" i="20"/>
  <c r="G141" i="20"/>
  <c r="H141" i="20" s="1"/>
  <c r="G140" i="20"/>
  <c r="H140" i="20" s="1"/>
  <c r="G139" i="20"/>
  <c r="H139" i="20" s="1"/>
  <c r="G128" i="20"/>
  <c r="H128" i="20" s="1"/>
  <c r="H129" i="20" s="1"/>
  <c r="G131" i="20"/>
  <c r="G121" i="20"/>
  <c r="H121" i="20" s="1"/>
  <c r="G120" i="20"/>
  <c r="H120" i="20" s="1"/>
  <c r="G119" i="20"/>
  <c r="H119" i="20" s="1"/>
  <c r="G118" i="20"/>
  <c r="H118" i="20" s="1"/>
  <c r="G58" i="20"/>
  <c r="G50" i="20"/>
  <c r="H50" i="20" s="1"/>
  <c r="G49" i="20"/>
  <c r="H49" i="20" s="1"/>
  <c r="G48" i="20"/>
  <c r="H48" i="20" s="1"/>
  <c r="G47" i="20"/>
  <c r="H47" i="20" s="1"/>
  <c r="G35" i="20"/>
  <c r="H35" i="20" s="1"/>
  <c r="H2736" i="1"/>
  <c r="G28" i="20"/>
  <c r="H28" i="20" s="1"/>
  <c r="G41" i="20"/>
  <c r="G34" i="20"/>
  <c r="H34" i="20" s="1"/>
  <c r="G31" i="20"/>
  <c r="H31" i="20" s="1"/>
  <c r="G30" i="20"/>
  <c r="H30" i="20" s="1"/>
  <c r="G29" i="20"/>
  <c r="H29" i="20" s="1"/>
  <c r="G8" i="20"/>
  <c r="H8" i="20" s="1"/>
  <c r="G13" i="35"/>
  <c r="G9" i="35"/>
  <c r="H9" i="35" s="1"/>
  <c r="G8" i="35"/>
  <c r="H8" i="35" s="1"/>
  <c r="G7" i="35"/>
  <c r="H7" i="35" s="1"/>
  <c r="G6" i="35"/>
  <c r="H6" i="35" s="1"/>
  <c r="G35" i="34"/>
  <c r="H35" i="34" s="1"/>
  <c r="G36" i="34"/>
  <c r="H36" i="34" s="1"/>
  <c r="G34" i="34"/>
  <c r="H34" i="34" s="1"/>
  <c r="G33" i="34"/>
  <c r="H33" i="34" s="1"/>
  <c r="G32" i="34"/>
  <c r="H32" i="34" s="1"/>
  <c r="G29" i="34"/>
  <c r="H29" i="34" s="1"/>
  <c r="G28" i="34"/>
  <c r="H28" i="34" s="1"/>
  <c r="G27" i="34"/>
  <c r="H27" i="34" s="1"/>
  <c r="G26" i="34"/>
  <c r="H26" i="34" s="1"/>
  <c r="G14" i="34"/>
  <c r="H14" i="34" s="1"/>
  <c r="G13" i="34"/>
  <c r="H13" i="34" s="1"/>
  <c r="G15" i="34"/>
  <c r="H15" i="34" s="1"/>
  <c r="G12" i="34"/>
  <c r="H12" i="34" s="1"/>
  <c r="G9" i="34"/>
  <c r="H9" i="34" s="1"/>
  <c r="G8" i="34"/>
  <c r="H8" i="34" s="1"/>
  <c r="G7" i="34"/>
  <c r="H7" i="34" s="1"/>
  <c r="G6" i="34"/>
  <c r="H6" i="34" s="1"/>
  <c r="G116" i="17"/>
  <c r="G107" i="17"/>
  <c r="H107" i="17" s="1"/>
  <c r="G106" i="17"/>
  <c r="H106" i="17" s="1"/>
  <c r="G105" i="17"/>
  <c r="H105" i="17" s="1"/>
  <c r="G104" i="17"/>
  <c r="H104" i="17" s="1"/>
  <c r="G221" i="16"/>
  <c r="H221" i="16" s="1"/>
  <c r="G120" i="16"/>
  <c r="H120" i="16" s="1"/>
  <c r="H121" i="16" s="1"/>
  <c r="G114" i="16"/>
  <c r="G96" i="16"/>
  <c r="H96" i="16" s="1"/>
  <c r="G66" i="16"/>
  <c r="H66" i="16" s="1"/>
  <c r="G60" i="16"/>
  <c r="H60" i="16" s="1"/>
  <c r="G48" i="16"/>
  <c r="H48" i="16" s="1"/>
  <c r="G42" i="16"/>
  <c r="H42" i="16" s="1"/>
  <c r="G24" i="16"/>
  <c r="H24" i="16" s="1"/>
  <c r="G980" i="15"/>
  <c r="G972" i="15"/>
  <c r="H972" i="15" s="1"/>
  <c r="G971" i="15"/>
  <c r="H971" i="15" s="1"/>
  <c r="G970" i="15"/>
  <c r="H970" i="15" s="1"/>
  <c r="G969" i="15"/>
  <c r="H969" i="15" s="1"/>
  <c r="G882" i="15"/>
  <c r="H882" i="15" s="1"/>
  <c r="G841" i="15"/>
  <c r="G836" i="15"/>
  <c r="H836" i="15" s="1"/>
  <c r="H837" i="15" s="1"/>
  <c r="G833" i="15"/>
  <c r="H833" i="15" s="1"/>
  <c r="G832" i="15"/>
  <c r="H832" i="15" s="1"/>
  <c r="G831" i="15"/>
  <c r="H831" i="15" s="1"/>
  <c r="G830" i="15"/>
  <c r="H830" i="15" s="1"/>
  <c r="G805" i="15"/>
  <c r="G797" i="15"/>
  <c r="H797" i="15" s="1"/>
  <c r="G794" i="15"/>
  <c r="H794" i="15" s="1"/>
  <c r="G793" i="15"/>
  <c r="H793" i="15" s="1"/>
  <c r="G792" i="15"/>
  <c r="H792" i="15" s="1"/>
  <c r="G791" i="15"/>
  <c r="H791" i="15" s="1"/>
  <c r="G783" i="15"/>
  <c r="G775" i="15"/>
  <c r="H775" i="15" s="1"/>
  <c r="G774" i="15"/>
  <c r="H774" i="15" s="1"/>
  <c r="G773" i="15"/>
  <c r="H773" i="15" s="1"/>
  <c r="G772" i="15"/>
  <c r="H772" i="15" s="1"/>
  <c r="G765" i="15"/>
  <c r="G760" i="15"/>
  <c r="G757" i="15"/>
  <c r="H757" i="15" s="1"/>
  <c r="G756" i="15"/>
  <c r="H756" i="15" s="1"/>
  <c r="G755" i="15"/>
  <c r="H755" i="15" s="1"/>
  <c r="G754" i="15"/>
  <c r="H754" i="15" s="1"/>
  <c r="G747" i="15"/>
  <c r="G742" i="15"/>
  <c r="H742" i="15" s="1"/>
  <c r="H743" i="15" s="1"/>
  <c r="G739" i="15"/>
  <c r="H739" i="15" s="1"/>
  <c r="G738" i="15"/>
  <c r="H738" i="15" s="1"/>
  <c r="G737" i="15"/>
  <c r="H737" i="15" s="1"/>
  <c r="G736" i="15"/>
  <c r="H736" i="15" s="1"/>
  <c r="G729" i="15"/>
  <c r="G724" i="15"/>
  <c r="H724" i="15" s="1"/>
  <c r="H725" i="15" s="1"/>
  <c r="G721" i="15"/>
  <c r="H721" i="15" s="1"/>
  <c r="G720" i="15"/>
  <c r="H720" i="15" s="1"/>
  <c r="G719" i="15"/>
  <c r="H719" i="15" s="1"/>
  <c r="G718" i="15"/>
  <c r="H718" i="15" s="1"/>
  <c r="G711" i="15"/>
  <c r="G706" i="15"/>
  <c r="H706" i="15" s="1"/>
  <c r="H707" i="15" s="1"/>
  <c r="G703" i="15"/>
  <c r="H703" i="15" s="1"/>
  <c r="G702" i="15"/>
  <c r="H702" i="15" s="1"/>
  <c r="G701" i="15"/>
  <c r="H701" i="15" s="1"/>
  <c r="G700" i="15"/>
  <c r="H700" i="15" s="1"/>
  <c r="G682" i="15"/>
  <c r="H682" i="15" s="1"/>
  <c r="G693" i="15"/>
  <c r="G688" i="15"/>
  <c r="H688" i="15" s="1"/>
  <c r="H689" i="15" s="1"/>
  <c r="G685" i="15"/>
  <c r="H685" i="15" s="1"/>
  <c r="G684" i="15"/>
  <c r="H684" i="15" s="1"/>
  <c r="G683" i="15"/>
  <c r="H683" i="15" s="1"/>
  <c r="G670" i="15"/>
  <c r="H670" i="15" s="1"/>
  <c r="H671" i="15" s="1"/>
  <c r="G664" i="15"/>
  <c r="H664" i="15" s="1"/>
  <c r="G636" i="15"/>
  <c r="H636" i="15" s="1"/>
  <c r="H637" i="15" s="1"/>
  <c r="G630" i="15"/>
  <c r="H630" i="15" s="1"/>
  <c r="G619" i="15"/>
  <c r="H619" i="15" s="1"/>
  <c r="H620" i="15" s="1"/>
  <c r="G613" i="15"/>
  <c r="H613" i="15" s="1"/>
  <c r="G596" i="15"/>
  <c r="H596" i="15" s="1"/>
  <c r="G582" i="15"/>
  <c r="G581" i="15"/>
  <c r="G580" i="15"/>
  <c r="G579" i="15"/>
  <c r="G571" i="15"/>
  <c r="G566" i="15"/>
  <c r="H566" i="15" s="1"/>
  <c r="H567" i="15" s="1"/>
  <c r="G563" i="15"/>
  <c r="H563" i="15" s="1"/>
  <c r="G562" i="15"/>
  <c r="H562" i="15" s="1"/>
  <c r="G561" i="15"/>
  <c r="H561" i="15" s="1"/>
  <c r="G560" i="15"/>
  <c r="H560" i="15" s="1"/>
  <c r="G542" i="15"/>
  <c r="H542" i="15" s="1"/>
  <c r="G553" i="15"/>
  <c r="G548" i="15"/>
  <c r="H548" i="15" s="1"/>
  <c r="H549" i="15" s="1"/>
  <c r="G545" i="15"/>
  <c r="H545" i="15" s="1"/>
  <c r="G544" i="15"/>
  <c r="H544" i="15" s="1"/>
  <c r="G543" i="15"/>
  <c r="H543" i="15" s="1"/>
  <c r="G526" i="15"/>
  <c r="G525" i="15"/>
  <c r="G524" i="15"/>
  <c r="G523" i="15"/>
  <c r="H523" i="15" s="1"/>
  <c r="G510" i="15"/>
  <c r="G504" i="15"/>
  <c r="H504" i="15" s="1"/>
  <c r="G485" i="15"/>
  <c r="H485" i="15" s="1"/>
  <c r="G466" i="15"/>
  <c r="G453" i="15"/>
  <c r="H453" i="15" s="1"/>
  <c r="G447" i="15"/>
  <c r="H447" i="15" s="1"/>
  <c r="G434" i="15"/>
  <c r="H434" i="15" s="1"/>
  <c r="G428" i="15"/>
  <c r="H428" i="15" s="1"/>
  <c r="G420" i="15"/>
  <c r="G415" i="15"/>
  <c r="H415" i="15" s="1"/>
  <c r="H416" i="15" s="1"/>
  <c r="G412" i="15"/>
  <c r="H412" i="15" s="1"/>
  <c r="G411" i="15"/>
  <c r="H411" i="15" s="1"/>
  <c r="G410" i="15"/>
  <c r="H410" i="15" s="1"/>
  <c r="G409" i="15"/>
  <c r="H409" i="15" s="1"/>
  <c r="G403" i="15"/>
  <c r="G398" i="15"/>
  <c r="H398" i="15" s="1"/>
  <c r="H399" i="15" s="1"/>
  <c r="G395" i="15"/>
  <c r="H395" i="15" s="1"/>
  <c r="G394" i="15"/>
  <c r="H394" i="15" s="1"/>
  <c r="G393" i="15"/>
  <c r="H393" i="15" s="1"/>
  <c r="G392" i="15"/>
  <c r="H392" i="15" s="1"/>
  <c r="G375" i="15"/>
  <c r="H375" i="15" s="1"/>
  <c r="G374" i="15"/>
  <c r="H374" i="15" s="1"/>
  <c r="G373" i="15"/>
  <c r="H373" i="15" s="1"/>
  <c r="G372" i="15"/>
  <c r="H372" i="15" s="1"/>
  <c r="G354" i="15"/>
  <c r="H354" i="15" s="1"/>
  <c r="G347" i="15"/>
  <c r="G342" i="15"/>
  <c r="H342" i="15" s="1"/>
  <c r="H343" i="15" s="1"/>
  <c r="G339" i="15"/>
  <c r="H339" i="15" s="1"/>
  <c r="G338" i="15"/>
  <c r="H338" i="15" s="1"/>
  <c r="G337" i="15"/>
  <c r="H337" i="15" s="1"/>
  <c r="G336" i="15"/>
  <c r="H336" i="15" s="1"/>
  <c r="G325" i="15"/>
  <c r="H325" i="15" s="1"/>
  <c r="H326" i="15" s="1"/>
  <c r="G319" i="15"/>
  <c r="H319" i="15" s="1"/>
  <c r="G322" i="15"/>
  <c r="H322" i="15" s="1"/>
  <c r="G321" i="15"/>
  <c r="H321" i="15" s="1"/>
  <c r="G320" i="15"/>
  <c r="H320" i="15" s="1"/>
  <c r="G330" i="15"/>
  <c r="G305" i="15"/>
  <c r="H305" i="15" s="1"/>
  <c r="G302" i="15"/>
  <c r="G301" i="15"/>
  <c r="G300" i="15"/>
  <c r="G299" i="15"/>
  <c r="H299" i="15" s="1"/>
  <c r="G288" i="15"/>
  <c r="H288" i="15" s="1"/>
  <c r="H289" i="15" s="1"/>
  <c r="G285" i="15"/>
  <c r="G284" i="15"/>
  <c r="G283" i="15"/>
  <c r="G282" i="15"/>
  <c r="H282" i="15" s="1"/>
  <c r="G266" i="15"/>
  <c r="G263" i="15"/>
  <c r="H263" i="15" s="1"/>
  <c r="G271" i="15"/>
  <c r="H271" i="15" s="1"/>
  <c r="G270" i="15"/>
  <c r="H270" i="15" s="1"/>
  <c r="G269" i="15"/>
  <c r="H269" i="15" s="1"/>
  <c r="G265" i="15"/>
  <c r="G264" i="15"/>
  <c r="G252" i="15"/>
  <c r="H252" i="15" s="1"/>
  <c r="H253" i="15" s="1"/>
  <c r="G249" i="15"/>
  <c r="H249" i="15" s="1"/>
  <c r="G248" i="15"/>
  <c r="H248" i="15" s="1"/>
  <c r="G247" i="15"/>
  <c r="H247" i="15" s="1"/>
  <c r="G246" i="15"/>
  <c r="H246" i="15" s="1"/>
  <c r="G234" i="15"/>
  <c r="G233" i="15"/>
  <c r="G232" i="15"/>
  <c r="G229" i="15"/>
  <c r="H229" i="15" s="1"/>
  <c r="G228" i="15"/>
  <c r="H228" i="15" s="1"/>
  <c r="G227" i="15"/>
  <c r="H227" i="15" s="1"/>
  <c r="G226" i="15"/>
  <c r="H226" i="15" s="1"/>
  <c r="G215" i="15"/>
  <c r="G209" i="15"/>
  <c r="G208" i="15"/>
  <c r="G207" i="15"/>
  <c r="H207" i="15" s="1"/>
  <c r="G206" i="15"/>
  <c r="H206" i="15" s="1"/>
  <c r="G195" i="15"/>
  <c r="G194" i="15"/>
  <c r="H194" i="15" s="1"/>
  <c r="G188" i="15"/>
  <c r="H188" i="15" s="1"/>
  <c r="G170" i="15"/>
  <c r="H170" i="15" s="1"/>
  <c r="G154" i="15"/>
  <c r="G153" i="15"/>
  <c r="G152" i="15"/>
  <c r="H152" i="15" s="1"/>
  <c r="G141" i="15"/>
  <c r="H141" i="15" s="1"/>
  <c r="G140" i="15"/>
  <c r="H140" i="15" s="1"/>
  <c r="G49" i="15"/>
  <c r="G26" i="15"/>
  <c r="G2036" i="14"/>
  <c r="H2036" i="14" s="1"/>
  <c r="G2037" i="14"/>
  <c r="H2037" i="14" s="1"/>
  <c r="G2042" i="14"/>
  <c r="G2032" i="14"/>
  <c r="H2032" i="14" s="1"/>
  <c r="G2031" i="14"/>
  <c r="H2031" i="14" s="1"/>
  <c r="G2030" i="14"/>
  <c r="H2030" i="14" s="1"/>
  <c r="G2029" i="14"/>
  <c r="H2029" i="14" s="1"/>
  <c r="G1991" i="14"/>
  <c r="H1991" i="14" s="1"/>
  <c r="G1955" i="14"/>
  <c r="H1955" i="14" s="1"/>
  <c r="G1880" i="14"/>
  <c r="G1872" i="14"/>
  <c r="H1872" i="14" s="1"/>
  <c r="G1860" i="14"/>
  <c r="H1860" i="14" s="1"/>
  <c r="G1821" i="14"/>
  <c r="H1821" i="14" s="1"/>
  <c r="G1734" i="14"/>
  <c r="H1734" i="14" s="1"/>
  <c r="G1714" i="14"/>
  <c r="H1714" i="14" s="1"/>
  <c r="G1727" i="14"/>
  <c r="G1722" i="14"/>
  <c r="H1722" i="14" s="1"/>
  <c r="G1721" i="14"/>
  <c r="H1721" i="14" s="1"/>
  <c r="G1720" i="14"/>
  <c r="H1720" i="14" s="1"/>
  <c r="G1717" i="14"/>
  <c r="H1717" i="14" s="1"/>
  <c r="G1716" i="14"/>
  <c r="H1716" i="14" s="1"/>
  <c r="G1715" i="14"/>
  <c r="H1715" i="14" s="1"/>
  <c r="G1708" i="14"/>
  <c r="G1703" i="14"/>
  <c r="H1703" i="14" s="1"/>
  <c r="G1702" i="14"/>
  <c r="H1702" i="14" s="1"/>
  <c r="G1701" i="14"/>
  <c r="H1701" i="14" s="1"/>
  <c r="G1698" i="14"/>
  <c r="H1698" i="14" s="1"/>
  <c r="G1697" i="14"/>
  <c r="H1697" i="14" s="1"/>
  <c r="G1696" i="14"/>
  <c r="H1696" i="14" s="1"/>
  <c r="G1695" i="14"/>
  <c r="H1695" i="14" s="1"/>
  <c r="G1689" i="14"/>
  <c r="G1684" i="14"/>
  <c r="H1684" i="14" s="1"/>
  <c r="G1683" i="14"/>
  <c r="H1683" i="14" s="1"/>
  <c r="G1682" i="14"/>
  <c r="H1682" i="14" s="1"/>
  <c r="G1679" i="14"/>
  <c r="H1679" i="14" s="1"/>
  <c r="G1678" i="14"/>
  <c r="H1678" i="14" s="1"/>
  <c r="G1677" i="14"/>
  <c r="H1677" i="14" s="1"/>
  <c r="G1676" i="14"/>
  <c r="H1676" i="14" s="1"/>
  <c r="G1638" i="14"/>
  <c r="H1638" i="14" s="1"/>
  <c r="G1597" i="14"/>
  <c r="H1597" i="14" s="1"/>
  <c r="G1583" i="14"/>
  <c r="H1583" i="14" s="1"/>
  <c r="G1584" i="14"/>
  <c r="G1585" i="14"/>
  <c r="G1586" i="14"/>
  <c r="G1577" i="14"/>
  <c r="H1577" i="14" s="1"/>
  <c r="G1563" i="14"/>
  <c r="G1540" i="14"/>
  <c r="G1539" i="14"/>
  <c r="G1538" i="14"/>
  <c r="H1538" i="14" s="1"/>
  <c r="G1537" i="14"/>
  <c r="H1537" i="14" s="1"/>
  <c r="G1528" i="14"/>
  <c r="G1523" i="14"/>
  <c r="H1523" i="14" s="1"/>
  <c r="G1522" i="14"/>
  <c r="H1522" i="14" s="1"/>
  <c r="G1521" i="14"/>
  <c r="H1521" i="14" s="1"/>
  <c r="G1520" i="14"/>
  <c r="H1520" i="14" s="1"/>
  <c r="G1517" i="14"/>
  <c r="H1517" i="14" s="1"/>
  <c r="G1516" i="14"/>
  <c r="H1516" i="14" s="1"/>
  <c r="G1515" i="14"/>
  <c r="H1515" i="14" s="1"/>
  <c r="G1514" i="14"/>
  <c r="H1514" i="14" s="1"/>
  <c r="G1502" i="14"/>
  <c r="H1502" i="14" s="1"/>
  <c r="G1501" i="14"/>
  <c r="H1501" i="14" s="1"/>
  <c r="G1500" i="14"/>
  <c r="H1500" i="14" s="1"/>
  <c r="G1499" i="14"/>
  <c r="H1499" i="14" s="1"/>
  <c r="G1507" i="14"/>
  <c r="G1496" i="14"/>
  <c r="H1496" i="14" s="1"/>
  <c r="G1495" i="14"/>
  <c r="H1495" i="14" s="1"/>
  <c r="G1494" i="14"/>
  <c r="H1494" i="14" s="1"/>
  <c r="G1493" i="14"/>
  <c r="H1493" i="14" s="1"/>
  <c r="G1484" i="14"/>
  <c r="H1484" i="14" s="1"/>
  <c r="H1485" i="14" s="1"/>
  <c r="G1481" i="14"/>
  <c r="G1480" i="14"/>
  <c r="H1480" i="14" s="1"/>
  <c r="G1458" i="14"/>
  <c r="G1457" i="14"/>
  <c r="H1457" i="14" s="1"/>
  <c r="G1446" i="14"/>
  <c r="H1446" i="14" s="1"/>
  <c r="H1447" i="14" s="1"/>
  <c r="G1440" i="14"/>
  <c r="H1440" i="14" s="1"/>
  <c r="G1404" i="14"/>
  <c r="H1404" i="14" s="1"/>
  <c r="G1368" i="14"/>
  <c r="H1368" i="14" s="1"/>
  <c r="G1350" i="14"/>
  <c r="H1350" i="14" s="1"/>
  <c r="G1339" i="14"/>
  <c r="H1339" i="14" s="1"/>
  <c r="G1338" i="14"/>
  <c r="H1338" i="14" s="1"/>
  <c r="G1332" i="14"/>
  <c r="H1332" i="14" s="1"/>
  <c r="G1314" i="14"/>
  <c r="G1297" i="14"/>
  <c r="H1297" i="14" s="1"/>
  <c r="G1296" i="14"/>
  <c r="H1296" i="14" s="1"/>
  <c r="G1295" i="14"/>
  <c r="H1295" i="14" s="1"/>
  <c r="G1294" i="14"/>
  <c r="H1294" i="14" s="1"/>
  <c r="G1281" i="14"/>
  <c r="G1279" i="14"/>
  <c r="G1278" i="14"/>
  <c r="H1278" i="14" s="1"/>
  <c r="G1273" i="14"/>
  <c r="G1272" i="14"/>
  <c r="H304" i="21" l="1"/>
  <c r="H142" i="20"/>
  <c r="H12" i="21"/>
  <c r="H17" i="21"/>
  <c r="H36" i="21"/>
  <c r="H50" i="21"/>
  <c r="H1029" i="26"/>
  <c r="H376" i="15"/>
  <c r="H722" i="15"/>
  <c r="H728" i="15" s="1"/>
  <c r="H758" i="15"/>
  <c r="H795" i="15"/>
  <c r="H10" i="34"/>
  <c r="H16" i="34"/>
  <c r="H30" i="34"/>
  <c r="H37" i="34"/>
  <c r="H36" i="20"/>
  <c r="H51" i="20"/>
  <c r="H161" i="20"/>
  <c r="H987" i="26"/>
  <c r="H250" i="15"/>
  <c r="H256" i="15" s="1"/>
  <c r="H272" i="15"/>
  <c r="H1006" i="26"/>
  <c r="H1060" i="26"/>
  <c r="G1022" i="26"/>
  <c r="H1022" i="26" s="1"/>
  <c r="H1025" i="26" s="1"/>
  <c r="D1040" i="26"/>
  <c r="G1040" i="26" s="1"/>
  <c r="H1040" i="26" s="1"/>
  <c r="H1043" i="26" s="1"/>
  <c r="H32" i="21"/>
  <c r="H122" i="20"/>
  <c r="H230" i="15"/>
  <c r="H340" i="15"/>
  <c r="H346" i="15" s="1"/>
  <c r="H396" i="15"/>
  <c r="H402" i="15" s="1"/>
  <c r="H973" i="15"/>
  <c r="H10" i="35"/>
  <c r="H1723" i="14"/>
  <c r="H2033" i="14"/>
  <c r="H704" i="15"/>
  <c r="H710" i="15" s="1"/>
  <c r="H740" i="15"/>
  <c r="H746" i="15" s="1"/>
  <c r="H776" i="15"/>
  <c r="H834" i="15"/>
  <c r="H840" i="15" s="1"/>
  <c r="H1680" i="14"/>
  <c r="H1685" i="14"/>
  <c r="H1699" i="14"/>
  <c r="H1704" i="14"/>
  <c r="H142" i="15"/>
  <c r="H413" i="15"/>
  <c r="H419" i="15" s="1"/>
  <c r="H564" i="15"/>
  <c r="H570" i="15" s="1"/>
  <c r="H108" i="17"/>
  <c r="H32" i="20"/>
  <c r="H760" i="15"/>
  <c r="H761" i="15" s="1"/>
  <c r="H686" i="15"/>
  <c r="H692" i="15" s="1"/>
  <c r="H546" i="15"/>
  <c r="H552" i="15" s="1"/>
  <c r="H323" i="15"/>
  <c r="H329" i="15" s="1"/>
  <c r="H1718" i="14"/>
  <c r="H1497" i="14"/>
  <c r="H1503" i="14"/>
  <c r="H1518" i="14"/>
  <c r="H1524" i="14"/>
  <c r="H1340" i="14"/>
  <c r="H1298" i="14"/>
  <c r="G1286" i="14"/>
  <c r="H1281" i="14"/>
  <c r="G1280" i="14"/>
  <c r="H1280" i="14" s="1"/>
  <c r="H1279" i="14"/>
  <c r="G1275" i="14"/>
  <c r="H1275" i="14" s="1"/>
  <c r="G1274" i="14"/>
  <c r="H1274" i="14" s="1"/>
  <c r="H1273" i="14"/>
  <c r="H1272" i="14"/>
  <c r="H1726" i="14" l="1"/>
  <c r="H1727" i="14" s="1"/>
  <c r="H1728" i="14" s="1"/>
  <c r="I1711" i="14" s="1"/>
  <c r="H764" i="15"/>
  <c r="H765" i="15" s="1"/>
  <c r="H766" i="15" s="1"/>
  <c r="I751" i="15" s="1"/>
  <c r="H40" i="34"/>
  <c r="H41" i="34" s="1"/>
  <c r="H1032" i="26"/>
  <c r="H1033" i="26" s="1"/>
  <c r="H1034" i="26" s="1"/>
  <c r="I1018" i="26" s="1"/>
  <c r="H19" i="34"/>
  <c r="H20" i="34" s="1"/>
  <c r="H21" i="34" s="1"/>
  <c r="I3" i="34" s="1"/>
  <c r="H20" i="21"/>
  <c r="H21" i="21" s="1"/>
  <c r="H22" i="21" s="1"/>
  <c r="I5" i="21" s="1"/>
  <c r="H1707" i="14"/>
  <c r="H1708" i="14" s="1"/>
  <c r="H1709" i="14" s="1"/>
  <c r="I1692" i="14" s="1"/>
  <c r="H39" i="21"/>
  <c r="H40" i="21" s="1"/>
  <c r="H41" i="21" s="1"/>
  <c r="I25" i="21" s="1"/>
  <c r="H1688" i="14"/>
  <c r="H1689" i="14" s="1"/>
  <c r="H1690" i="14" s="1"/>
  <c r="I1673" i="14" s="1"/>
  <c r="H841" i="15"/>
  <c r="H842" i="15" s="1"/>
  <c r="I827" i="15" s="1"/>
  <c r="H747" i="15"/>
  <c r="H748" i="15" s="1"/>
  <c r="I733" i="15" s="1"/>
  <c r="H729" i="15"/>
  <c r="H730" i="15" s="1"/>
  <c r="I715" i="15" s="1"/>
  <c r="H711" i="15"/>
  <c r="H712" i="15" s="1"/>
  <c r="I697" i="15" s="1"/>
  <c r="H693" i="15"/>
  <c r="H694" i="15" s="1"/>
  <c r="I679" i="15" s="1"/>
  <c r="H571" i="15"/>
  <c r="H572" i="15" s="1"/>
  <c r="I557" i="15" s="1"/>
  <c r="H553" i="15"/>
  <c r="H554" i="15" s="1"/>
  <c r="I539" i="15" s="1"/>
  <c r="H420" i="15"/>
  <c r="H421" i="15" s="1"/>
  <c r="I406" i="15" s="1"/>
  <c r="H403" i="15"/>
  <c r="H404" i="15" s="1"/>
  <c r="I389" i="15" s="1"/>
  <c r="H347" i="15"/>
  <c r="H348" i="15" s="1"/>
  <c r="I333" i="15" s="1"/>
  <c r="H330" i="15"/>
  <c r="H331" i="15" s="1"/>
  <c r="H1527" i="14"/>
  <c r="H1528" i="14" s="1"/>
  <c r="H1529" i="14" s="1"/>
  <c r="I1511" i="14" s="1"/>
  <c r="H1506" i="14"/>
  <c r="H1507" i="14" s="1"/>
  <c r="H1508" i="14" s="1"/>
  <c r="I1490" i="14" s="1"/>
  <c r="H1282" i="14"/>
  <c r="H1276" i="14"/>
  <c r="G1165" i="14"/>
  <c r="G1160" i="14"/>
  <c r="H1160" i="14" s="1"/>
  <c r="G1159" i="14"/>
  <c r="H1159" i="14" s="1"/>
  <c r="G1158" i="14"/>
  <c r="H1158" i="14" s="1"/>
  <c r="G1157" i="14"/>
  <c r="H1157" i="14" s="1"/>
  <c r="G1154" i="14"/>
  <c r="H1154" i="14" s="1"/>
  <c r="G1153" i="14"/>
  <c r="H1153" i="14" s="1"/>
  <c r="G1152" i="14"/>
  <c r="H1152" i="14" s="1"/>
  <c r="G1151" i="14"/>
  <c r="H1151" i="14" s="1"/>
  <c r="E647" i="27" l="1"/>
  <c r="E660" i="27"/>
  <c r="E661" i="27"/>
  <c r="E763" i="27"/>
  <c r="E648" i="27"/>
  <c r="E659" i="27"/>
  <c r="H42" i="34"/>
  <c r="I23" i="34" s="1"/>
  <c r="H1285" i="14"/>
  <c r="H1286" i="14" s="1"/>
  <c r="H1287" i="14" s="1"/>
  <c r="H1161" i="14"/>
  <c r="H1155" i="14"/>
  <c r="G711" i="14"/>
  <c r="G643" i="14"/>
  <c r="H643" i="14" s="1"/>
  <c r="G644" i="14"/>
  <c r="H644" i="14" s="1"/>
  <c r="G645" i="14"/>
  <c r="H645" i="14" s="1"/>
  <c r="G646" i="14"/>
  <c r="H646" i="14" s="1"/>
  <c r="G649" i="14"/>
  <c r="H649" i="14" s="1"/>
  <c r="G650" i="14"/>
  <c r="H650" i="14" s="1"/>
  <c r="G651" i="14"/>
  <c r="H651" i="14" s="1"/>
  <c r="G652" i="14"/>
  <c r="H652" i="14" s="1"/>
  <c r="G657" i="14"/>
  <c r="G637" i="14"/>
  <c r="G632" i="14"/>
  <c r="H632" i="14" s="1"/>
  <c r="G631" i="14"/>
  <c r="H631" i="14" s="1"/>
  <c r="G630" i="14"/>
  <c r="H630" i="14" s="1"/>
  <c r="G629" i="14"/>
  <c r="H629" i="14" s="1"/>
  <c r="G626" i="14"/>
  <c r="H626" i="14" s="1"/>
  <c r="G625" i="14"/>
  <c r="H625" i="14" s="1"/>
  <c r="G624" i="14"/>
  <c r="H624" i="14" s="1"/>
  <c r="G623" i="14"/>
  <c r="H623" i="14" s="1"/>
  <c r="G616" i="14"/>
  <c r="G611" i="14"/>
  <c r="H611" i="14" s="1"/>
  <c r="G610" i="14"/>
  <c r="H610" i="14" s="1"/>
  <c r="G609" i="14"/>
  <c r="H609" i="14" s="1"/>
  <c r="G608" i="14"/>
  <c r="H608" i="14" s="1"/>
  <c r="G605" i="14"/>
  <c r="H605" i="14" s="1"/>
  <c r="G604" i="14"/>
  <c r="H604" i="14" s="1"/>
  <c r="G603" i="14"/>
  <c r="H603" i="14" s="1"/>
  <c r="G602" i="14"/>
  <c r="H602" i="14" s="1"/>
  <c r="G596" i="14"/>
  <c r="G591" i="14"/>
  <c r="H591" i="14" s="1"/>
  <c r="G590" i="14"/>
  <c r="H590" i="14" s="1"/>
  <c r="G589" i="14"/>
  <c r="H589" i="14" s="1"/>
  <c r="G588" i="14"/>
  <c r="H588" i="14" s="1"/>
  <c r="G585" i="14"/>
  <c r="H585" i="14" s="1"/>
  <c r="G584" i="14"/>
  <c r="H584" i="14" s="1"/>
  <c r="G583" i="14"/>
  <c r="H583" i="14" s="1"/>
  <c r="G582" i="14"/>
  <c r="H582" i="14" s="1"/>
  <c r="G576" i="14"/>
  <c r="G571" i="14"/>
  <c r="H571" i="14" s="1"/>
  <c r="G570" i="14"/>
  <c r="H570" i="14" s="1"/>
  <c r="G569" i="14"/>
  <c r="H569" i="14" s="1"/>
  <c r="G568" i="14"/>
  <c r="H568" i="14" s="1"/>
  <c r="G565" i="14"/>
  <c r="H565" i="14" s="1"/>
  <c r="G564" i="14"/>
  <c r="H564" i="14" s="1"/>
  <c r="G563" i="14"/>
  <c r="H563" i="14" s="1"/>
  <c r="G562" i="14"/>
  <c r="H562" i="14" s="1"/>
  <c r="G556" i="14"/>
  <c r="G551" i="14"/>
  <c r="H551" i="14" s="1"/>
  <c r="G550" i="14"/>
  <c r="H550" i="14" s="1"/>
  <c r="G549" i="14"/>
  <c r="H549" i="14" s="1"/>
  <c r="G545" i="14"/>
  <c r="H545" i="14" s="1"/>
  <c r="G544" i="14"/>
  <c r="H544" i="14" s="1"/>
  <c r="G543" i="14"/>
  <c r="H543" i="14" s="1"/>
  <c r="G542" i="14"/>
  <c r="H542" i="14" s="1"/>
  <c r="G447" i="14"/>
  <c r="H447" i="14" s="1"/>
  <c r="G406" i="14"/>
  <c r="H406" i="14" s="1"/>
  <c r="G400" i="14"/>
  <c r="H400" i="14" s="1"/>
  <c r="G369" i="14"/>
  <c r="H369" i="14" s="1"/>
  <c r="G368" i="14"/>
  <c r="H368" i="14" s="1"/>
  <c r="G365" i="14"/>
  <c r="G364" i="14"/>
  <c r="G363" i="14"/>
  <c r="G362" i="14"/>
  <c r="H362" i="14" s="1"/>
  <c r="G331" i="14"/>
  <c r="G322" i="14"/>
  <c r="H322" i="14" s="1"/>
  <c r="E764" i="27" l="1"/>
  <c r="H1164" i="14"/>
  <c r="H1165" i="14" s="1"/>
  <c r="H1166" i="14" s="1"/>
  <c r="I1148" i="14" s="1"/>
  <c r="H653" i="14"/>
  <c r="H647" i="14"/>
  <c r="H633" i="14"/>
  <c r="H627" i="14"/>
  <c r="H606" i="14"/>
  <c r="H572" i="14"/>
  <c r="H612" i="14"/>
  <c r="H586" i="14"/>
  <c r="H592" i="14"/>
  <c r="H566" i="14"/>
  <c r="H546" i="14"/>
  <c r="H370" i="14"/>
  <c r="G267" i="14"/>
  <c r="H267" i="14" s="1"/>
  <c r="G261" i="14"/>
  <c r="H261" i="14" s="1"/>
  <c r="E628" i="27" l="1"/>
  <c r="H636" i="14"/>
  <c r="H637" i="14" s="1"/>
  <c r="H638" i="14" s="1"/>
  <c r="I620" i="14" s="1"/>
  <c r="H656" i="14"/>
  <c r="H615" i="14"/>
  <c r="H616" i="14" s="1"/>
  <c r="H617" i="14" s="1"/>
  <c r="I599" i="14" s="1"/>
  <c r="H575" i="14"/>
  <c r="H576" i="14" s="1"/>
  <c r="H577" i="14" s="1"/>
  <c r="I559" i="14" s="1"/>
  <c r="H595" i="14"/>
  <c r="H596" i="14" s="1"/>
  <c r="H597" i="14" s="1"/>
  <c r="I579" i="14" s="1"/>
  <c r="G161" i="14"/>
  <c r="G430" i="19"/>
  <c r="G421" i="19"/>
  <c r="H421" i="19" s="1"/>
  <c r="G420" i="19"/>
  <c r="H420" i="19" s="1"/>
  <c r="G419" i="19"/>
  <c r="H419" i="19" s="1"/>
  <c r="G418" i="19"/>
  <c r="H418" i="19" s="1"/>
  <c r="G104" i="19"/>
  <c r="H104" i="19" s="1"/>
  <c r="H105" i="19" s="1"/>
  <c r="G7" i="19"/>
  <c r="H7" i="19" s="1"/>
  <c r="G285" i="12"/>
  <c r="G277" i="12"/>
  <c r="H277" i="12" s="1"/>
  <c r="G276" i="12"/>
  <c r="H276" i="12" s="1"/>
  <c r="G275" i="12"/>
  <c r="H275" i="12" s="1"/>
  <c r="G274" i="12"/>
  <c r="H274" i="12" s="1"/>
  <c r="G168" i="12"/>
  <c r="G167" i="12"/>
  <c r="G67" i="12"/>
  <c r="H67" i="12" s="1"/>
  <c r="G61" i="12"/>
  <c r="H61" i="12" s="1"/>
  <c r="G7" i="12"/>
  <c r="H7" i="12" s="1"/>
  <c r="G527" i="10"/>
  <c r="G522" i="10"/>
  <c r="H522" i="10" s="1"/>
  <c r="G521" i="10"/>
  <c r="H521" i="10" s="1"/>
  <c r="G520" i="10"/>
  <c r="H520" i="10" s="1"/>
  <c r="G519" i="10"/>
  <c r="H519" i="10" s="1"/>
  <c r="G516" i="10"/>
  <c r="H516" i="10" s="1"/>
  <c r="G515" i="10"/>
  <c r="H515" i="10" s="1"/>
  <c r="G514" i="10"/>
  <c r="H514" i="10" s="1"/>
  <c r="G513" i="10"/>
  <c r="H513" i="10" s="1"/>
  <c r="G492" i="10"/>
  <c r="G481" i="10"/>
  <c r="H481" i="10" s="1"/>
  <c r="G453" i="10"/>
  <c r="H453" i="10" s="1"/>
  <c r="G409" i="10"/>
  <c r="G404" i="10"/>
  <c r="H404" i="10" s="1"/>
  <c r="G403" i="10"/>
  <c r="H403" i="10" s="1"/>
  <c r="G402" i="10"/>
  <c r="H402" i="10" s="1"/>
  <c r="G399" i="10"/>
  <c r="H399" i="10" s="1"/>
  <c r="G398" i="10"/>
  <c r="H398" i="10" s="1"/>
  <c r="G397" i="10"/>
  <c r="H397" i="10" s="1"/>
  <c r="G396" i="10"/>
  <c r="H396" i="10" s="1"/>
  <c r="G279" i="10"/>
  <c r="H279" i="10" s="1"/>
  <c r="G179" i="10"/>
  <c r="H179" i="10" s="1"/>
  <c r="G160" i="10"/>
  <c r="H160" i="10" s="1"/>
  <c r="G141" i="10"/>
  <c r="H141" i="10" s="1"/>
  <c r="G14" i="10"/>
  <c r="H14" i="10" s="1"/>
  <c r="G8" i="10"/>
  <c r="H8" i="10" s="1"/>
  <c r="G294" i="13"/>
  <c r="G288" i="13"/>
  <c r="H288" i="13" s="1"/>
  <c r="G285" i="13"/>
  <c r="H285" i="13" s="1"/>
  <c r="G284" i="13"/>
  <c r="H284" i="13" s="1"/>
  <c r="G283" i="13"/>
  <c r="H283" i="13" s="1"/>
  <c r="G282" i="13"/>
  <c r="H282" i="13" s="1"/>
  <c r="G167" i="13"/>
  <c r="G162" i="13"/>
  <c r="H162" i="13" s="1"/>
  <c r="G161" i="13"/>
  <c r="H161" i="13" s="1"/>
  <c r="G158" i="13"/>
  <c r="H158" i="13" s="1"/>
  <c r="G157" i="13"/>
  <c r="H157" i="13" s="1"/>
  <c r="G156" i="13"/>
  <c r="H156" i="13" s="1"/>
  <c r="G155" i="13"/>
  <c r="H155" i="13" s="1"/>
  <c r="G149" i="13"/>
  <c r="G144" i="13"/>
  <c r="H144" i="13" s="1"/>
  <c r="G143" i="13"/>
  <c r="H143" i="13" s="1"/>
  <c r="G140" i="13"/>
  <c r="H140" i="13" s="1"/>
  <c r="G139" i="13"/>
  <c r="H139" i="13" s="1"/>
  <c r="G138" i="13"/>
  <c r="H138" i="13" s="1"/>
  <c r="G137" i="13"/>
  <c r="H137" i="13" s="1"/>
  <c r="G106" i="13"/>
  <c r="H106" i="13" s="1"/>
  <c r="G105" i="13"/>
  <c r="H105" i="13" s="1"/>
  <c r="G80" i="13"/>
  <c r="H80" i="13" s="1"/>
  <c r="G65" i="13"/>
  <c r="H65" i="13" s="1"/>
  <c r="G59" i="13"/>
  <c r="H59" i="13" s="1"/>
  <c r="G31" i="13"/>
  <c r="H31" i="13" s="1"/>
  <c r="H32" i="13" s="1"/>
  <c r="G1057" i="11"/>
  <c r="G1052" i="11"/>
  <c r="H1052" i="11" s="1"/>
  <c r="H1053" i="11" s="1"/>
  <c r="G1049" i="11"/>
  <c r="H1049" i="11" s="1"/>
  <c r="G1048" i="11"/>
  <c r="H1048" i="11" s="1"/>
  <c r="G1047" i="11"/>
  <c r="H1047" i="11" s="1"/>
  <c r="G1046" i="11"/>
  <c r="H1046" i="11" s="1"/>
  <c r="G1039" i="11"/>
  <c r="G1034" i="11"/>
  <c r="H1034" i="11" s="1"/>
  <c r="H1035" i="11" s="1"/>
  <c r="G1031" i="11"/>
  <c r="H1031" i="11" s="1"/>
  <c r="G1030" i="11"/>
  <c r="H1030" i="11" s="1"/>
  <c r="G1029" i="11"/>
  <c r="H1029" i="11" s="1"/>
  <c r="G1028" i="11"/>
  <c r="H1028" i="11" s="1"/>
  <c r="G1022" i="11"/>
  <c r="G1017" i="11"/>
  <c r="H1017" i="11" s="1"/>
  <c r="H1018" i="11" s="1"/>
  <c r="G1014" i="11"/>
  <c r="H1014" i="11" s="1"/>
  <c r="G1013" i="11"/>
  <c r="H1013" i="11" s="1"/>
  <c r="G1012" i="11"/>
  <c r="H1012" i="11" s="1"/>
  <c r="G1011" i="11"/>
  <c r="H1011" i="11" s="1"/>
  <c r="E595" i="27" l="1"/>
  <c r="E594" i="27"/>
  <c r="E596" i="27"/>
  <c r="E597" i="27"/>
  <c r="H657" i="14"/>
  <c r="H658" i="14" s="1"/>
  <c r="I640" i="14" s="1"/>
  <c r="H278" i="12"/>
  <c r="H422" i="19"/>
  <c r="H523" i="10"/>
  <c r="H517" i="10"/>
  <c r="H400" i="10"/>
  <c r="H405" i="10"/>
  <c r="H286" i="13"/>
  <c r="H159" i="13"/>
  <c r="H163" i="13"/>
  <c r="H141" i="13"/>
  <c r="H145" i="13"/>
  <c r="H1050" i="11"/>
  <c r="H1056" i="11" s="1"/>
  <c r="H107" i="13"/>
  <c r="H1015" i="11"/>
  <c r="H1021" i="11" s="1"/>
  <c r="H1022" i="11" s="1"/>
  <c r="H1023" i="11" s="1"/>
  <c r="H1032" i="11"/>
  <c r="H1038" i="11" s="1"/>
  <c r="E598" i="27" l="1"/>
  <c r="H526" i="10"/>
  <c r="H527" i="10" s="1"/>
  <c r="H528" i="10" s="1"/>
  <c r="I510" i="10" s="1"/>
  <c r="H408" i="10"/>
  <c r="H409" i="10" s="1"/>
  <c r="H410" i="10" s="1"/>
  <c r="I393" i="10" s="1"/>
  <c r="H148" i="13"/>
  <c r="H149" i="13" s="1"/>
  <c r="H150" i="13" s="1"/>
  <c r="I134" i="13" s="1"/>
  <c r="H166" i="13"/>
  <c r="H167" i="13" s="1"/>
  <c r="H168" i="13" s="1"/>
  <c r="I152" i="13" s="1"/>
  <c r="H1057" i="11"/>
  <c r="H1058" i="11" s="1"/>
  <c r="I1043" i="11" s="1"/>
  <c r="H1039" i="11"/>
  <c r="H1040" i="11" s="1"/>
  <c r="I1025" i="11" s="1"/>
  <c r="I1008" i="11"/>
  <c r="G1004" i="11"/>
  <c r="G999" i="11"/>
  <c r="H999" i="11" s="1"/>
  <c r="G998" i="11"/>
  <c r="H998" i="11" s="1"/>
  <c r="G995" i="11"/>
  <c r="H995" i="11" s="1"/>
  <c r="G994" i="11"/>
  <c r="H994" i="11" s="1"/>
  <c r="G993" i="11"/>
  <c r="H993" i="11" s="1"/>
  <c r="G992" i="11"/>
  <c r="H992" i="11" s="1"/>
  <c r="G980" i="11"/>
  <c r="G979" i="11"/>
  <c r="G919" i="11"/>
  <c r="H919" i="11" s="1"/>
  <c r="G852" i="11"/>
  <c r="G851" i="11"/>
  <c r="G631" i="11"/>
  <c r="H631" i="11" s="1"/>
  <c r="G626" i="11"/>
  <c r="H626" i="11" s="1"/>
  <c r="G625" i="11"/>
  <c r="H625" i="11" s="1"/>
  <c r="G572" i="11"/>
  <c r="G571" i="11"/>
  <c r="H571" i="11" s="1"/>
  <c r="G559" i="11"/>
  <c r="H559" i="11" s="1"/>
  <c r="G558" i="11"/>
  <c r="H558" i="11" s="1"/>
  <c r="G540" i="11"/>
  <c r="H540" i="11" s="1"/>
  <c r="G534" i="11"/>
  <c r="H534" i="11" s="1"/>
  <c r="G523" i="11"/>
  <c r="H523" i="11" s="1"/>
  <c r="G522" i="11"/>
  <c r="H522" i="11" s="1"/>
  <c r="G519" i="11"/>
  <c r="H519" i="11" s="1"/>
  <c r="G518" i="11"/>
  <c r="H518" i="11" s="1"/>
  <c r="G517" i="11"/>
  <c r="H517" i="11" s="1"/>
  <c r="G516" i="11"/>
  <c r="H516" i="11" s="1"/>
  <c r="G504" i="11"/>
  <c r="H504" i="11" s="1"/>
  <c r="G501" i="11"/>
  <c r="G500" i="11"/>
  <c r="G499" i="11"/>
  <c r="G498" i="11"/>
  <c r="H498" i="11" s="1"/>
  <c r="G487" i="11"/>
  <c r="H487" i="11" s="1"/>
  <c r="G486" i="11"/>
  <c r="H486" i="11" s="1"/>
  <c r="G483" i="11"/>
  <c r="G482" i="11"/>
  <c r="G481" i="11"/>
  <c r="G480" i="11"/>
  <c r="H480" i="11" s="1"/>
  <c r="G411" i="11"/>
  <c r="H411" i="11" s="1"/>
  <c r="G410" i="11"/>
  <c r="H410" i="11" s="1"/>
  <c r="G409" i="11"/>
  <c r="H409" i="11" s="1"/>
  <c r="G408" i="11"/>
  <c r="H408" i="11" s="1"/>
  <c r="G390" i="11"/>
  <c r="H390" i="11" s="1"/>
  <c r="G354" i="11"/>
  <c r="H354" i="11" s="1"/>
  <c r="G339" i="11"/>
  <c r="H339" i="11" s="1"/>
  <c r="G338" i="11"/>
  <c r="H338" i="11" s="1"/>
  <c r="G337" i="11"/>
  <c r="H337" i="11" s="1"/>
  <c r="G336" i="11"/>
  <c r="H336" i="11" s="1"/>
  <c r="G325" i="11"/>
  <c r="H325" i="11" s="1"/>
  <c r="G324" i="11"/>
  <c r="H324" i="11" s="1"/>
  <c r="G303" i="11"/>
  <c r="G302" i="11"/>
  <c r="G301" i="11"/>
  <c r="G300" i="11"/>
  <c r="G213" i="11"/>
  <c r="G212" i="11"/>
  <c r="G211" i="11"/>
  <c r="G210" i="11"/>
  <c r="H210" i="11" s="1"/>
  <c r="G198" i="11"/>
  <c r="H198" i="11" s="1"/>
  <c r="G162" i="11"/>
  <c r="G159" i="11"/>
  <c r="G158" i="11"/>
  <c r="G157" i="11"/>
  <c r="G156" i="11"/>
  <c r="G144" i="11"/>
  <c r="G143" i="11"/>
  <c r="G142" i="11"/>
  <c r="G141" i="11"/>
  <c r="G140" i="11"/>
  <c r="G102" i="11"/>
  <c r="H102" i="11" s="1"/>
  <c r="G104" i="11"/>
  <c r="G103" i="11"/>
  <c r="G99" i="11"/>
  <c r="H99" i="11" s="1"/>
  <c r="G98" i="11"/>
  <c r="H98" i="11" s="1"/>
  <c r="G97" i="11"/>
  <c r="H97" i="11" s="1"/>
  <c r="G96" i="11"/>
  <c r="H96" i="11" s="1"/>
  <c r="G85" i="11"/>
  <c r="H85" i="11" s="1"/>
  <c r="G84" i="11"/>
  <c r="H84" i="11" s="1"/>
  <c r="G83" i="11"/>
  <c r="H83" i="11" s="1"/>
  <c r="G66" i="11"/>
  <c r="H66" i="11" s="1"/>
  <c r="G65" i="11"/>
  <c r="H65" i="11" s="1"/>
  <c r="G45" i="11"/>
  <c r="G44" i="11"/>
  <c r="G43" i="11"/>
  <c r="G42" i="11"/>
  <c r="G14" i="11"/>
  <c r="H14" i="11" s="1"/>
  <c r="H15" i="11" s="1"/>
  <c r="I289" i="33"/>
  <c r="H282" i="33"/>
  <c r="I282" i="33" s="1"/>
  <c r="H281" i="33"/>
  <c r="I281" i="33" s="1"/>
  <c r="H280" i="33"/>
  <c r="I280" i="33" s="1"/>
  <c r="I271" i="33"/>
  <c r="H268" i="33"/>
  <c r="I268" i="33" s="1"/>
  <c r="H263" i="33"/>
  <c r="I263" i="33" s="1"/>
  <c r="H262" i="33"/>
  <c r="I262" i="33" s="1"/>
  <c r="H261" i="33"/>
  <c r="I261" i="33" s="1"/>
  <c r="I252" i="33"/>
  <c r="H245" i="33"/>
  <c r="I245" i="33" s="1"/>
  <c r="H244" i="33"/>
  <c r="I244" i="33" s="1"/>
  <c r="H243" i="33"/>
  <c r="I243" i="33" s="1"/>
  <c r="H232" i="33"/>
  <c r="I232" i="33" s="1"/>
  <c r="I235" i="33"/>
  <c r="H227" i="33"/>
  <c r="I227" i="33" s="1"/>
  <c r="H226" i="33"/>
  <c r="I226" i="33" s="1"/>
  <c r="H225" i="33"/>
  <c r="I225" i="33" s="1"/>
  <c r="I216" i="33"/>
  <c r="H209" i="33"/>
  <c r="I209" i="33" s="1"/>
  <c r="H208" i="33"/>
  <c r="I208" i="33" s="1"/>
  <c r="H207" i="33"/>
  <c r="I207" i="33" s="1"/>
  <c r="I199" i="33"/>
  <c r="H196" i="33"/>
  <c r="I196" i="33" s="1"/>
  <c r="H191" i="33"/>
  <c r="I191" i="33" s="1"/>
  <c r="H190" i="33"/>
  <c r="I190" i="33" s="1"/>
  <c r="H189" i="33"/>
  <c r="I189" i="33" s="1"/>
  <c r="I181" i="33"/>
  <c r="H174" i="33"/>
  <c r="I174" i="33" s="1"/>
  <c r="H173" i="33"/>
  <c r="I173" i="33" s="1"/>
  <c r="H172" i="33"/>
  <c r="I172" i="33" s="1"/>
  <c r="I163" i="33"/>
  <c r="H160" i="33"/>
  <c r="I160" i="33" s="1"/>
  <c r="H155" i="33"/>
  <c r="I155" i="33" s="1"/>
  <c r="H154" i="33"/>
  <c r="I154" i="33" s="1"/>
  <c r="H153" i="33"/>
  <c r="I153" i="33" s="1"/>
  <c r="H137" i="33"/>
  <c r="I137" i="33" s="1"/>
  <c r="H136" i="33"/>
  <c r="I136" i="33" s="1"/>
  <c r="H135" i="33"/>
  <c r="I135" i="33" s="1"/>
  <c r="I144" i="33"/>
  <c r="I126" i="33"/>
  <c r="H123" i="33"/>
  <c r="I123" i="33" s="1"/>
  <c r="H118" i="33"/>
  <c r="I118" i="33" s="1"/>
  <c r="H117" i="33"/>
  <c r="I117" i="33" s="1"/>
  <c r="H116" i="33"/>
  <c r="I116" i="33" s="1"/>
  <c r="I107" i="33"/>
  <c r="H100" i="33"/>
  <c r="I100" i="33" s="1"/>
  <c r="H99" i="33"/>
  <c r="I99" i="33" s="1"/>
  <c r="H98" i="33"/>
  <c r="I98" i="33" s="1"/>
  <c r="I89" i="33"/>
  <c r="H86" i="33"/>
  <c r="I86" i="33" s="1"/>
  <c r="H80" i="33"/>
  <c r="I80" i="33" s="1"/>
  <c r="E472" i="27" l="1"/>
  <c r="E471" i="27"/>
  <c r="H326" i="11"/>
  <c r="H488" i="11"/>
  <c r="H996" i="11"/>
  <c r="H1000" i="11"/>
  <c r="H340" i="11"/>
  <c r="H520" i="11"/>
  <c r="H524" i="11"/>
  <c r="H560" i="11"/>
  <c r="I283" i="33"/>
  <c r="H412" i="11"/>
  <c r="H67" i="11"/>
  <c r="H86" i="11"/>
  <c r="H100" i="11"/>
  <c r="I246" i="33"/>
  <c r="I264" i="33"/>
  <c r="I210" i="33"/>
  <c r="I228" i="33"/>
  <c r="I175" i="33"/>
  <c r="I192" i="33"/>
  <c r="I119" i="33"/>
  <c r="I156" i="33"/>
  <c r="I138" i="33"/>
  <c r="I101" i="33"/>
  <c r="H81" i="33"/>
  <c r="I81" i="33" s="1"/>
  <c r="H79" i="33"/>
  <c r="I79" i="33" s="1"/>
  <c r="I70" i="33"/>
  <c r="H67" i="33"/>
  <c r="I67" i="33" s="1"/>
  <c r="H62" i="33"/>
  <c r="I62" i="33" s="1"/>
  <c r="H61" i="33"/>
  <c r="I61" i="33" s="1"/>
  <c r="H66" i="33"/>
  <c r="I66" i="33" s="1"/>
  <c r="H63" i="33"/>
  <c r="I63" i="33" s="1"/>
  <c r="H60" i="33"/>
  <c r="I60" i="33" s="1"/>
  <c r="I51" i="33"/>
  <c r="H45" i="33"/>
  <c r="I45" i="33" s="1"/>
  <c r="H44" i="33"/>
  <c r="I44" i="33" s="1"/>
  <c r="I35" i="33"/>
  <c r="H26" i="33"/>
  <c r="I26" i="33" s="1"/>
  <c r="H25" i="33"/>
  <c r="I25" i="33" s="1"/>
  <c r="I16" i="33"/>
  <c r="H7" i="33"/>
  <c r="I7" i="33" s="1"/>
  <c r="H6" i="33"/>
  <c r="I6" i="33" s="1"/>
  <c r="I55" i="18"/>
  <c r="H46" i="18"/>
  <c r="I46" i="18" s="1"/>
  <c r="H57" i="18"/>
  <c r="H47" i="18"/>
  <c r="I47" i="18" s="1"/>
  <c r="H45" i="18"/>
  <c r="I45" i="18" s="1"/>
  <c r="H44" i="18"/>
  <c r="I44" i="18" s="1"/>
  <c r="I48" i="18" l="1"/>
  <c r="H1003" i="11"/>
  <c r="H1004" i="11" s="1"/>
  <c r="H1005" i="11" s="1"/>
  <c r="I989" i="11" s="1"/>
  <c r="I82" i="33"/>
  <c r="I68" i="33"/>
  <c r="I64" i="33"/>
  <c r="I8" i="33"/>
  <c r="I46" i="33"/>
  <c r="I27" i="33"/>
  <c r="I71" i="33" l="1"/>
  <c r="I72" i="33" s="1"/>
  <c r="I73" i="33" s="1"/>
  <c r="J57" i="33" s="1"/>
  <c r="H13" i="32"/>
  <c r="I13" i="32" s="1"/>
  <c r="H12" i="32"/>
  <c r="I12" i="32" s="1"/>
  <c r="H9" i="32"/>
  <c r="I9" i="32" s="1"/>
  <c r="H8" i="32"/>
  <c r="I8" i="32" s="1"/>
  <c r="H7" i="32"/>
  <c r="I7" i="32" s="1"/>
  <c r="H6" i="32"/>
  <c r="I6" i="32" s="1"/>
  <c r="I466" i="31"/>
  <c r="H463" i="31"/>
  <c r="I463" i="31" s="1"/>
  <c r="H461" i="31"/>
  <c r="I461" i="31" s="1"/>
  <c r="H460" i="31"/>
  <c r="I460" i="31" s="1"/>
  <c r="H457" i="31"/>
  <c r="I457" i="31" s="1"/>
  <c r="H456" i="31"/>
  <c r="I456" i="31" s="1"/>
  <c r="H455" i="31"/>
  <c r="I455" i="31" s="1"/>
  <c r="H454" i="31"/>
  <c r="I454" i="31" s="1"/>
  <c r="I445" i="31"/>
  <c r="H442" i="31"/>
  <c r="I442" i="31" s="1"/>
  <c r="H440" i="31"/>
  <c r="I440" i="31" s="1"/>
  <c r="H439" i="31"/>
  <c r="I439" i="31" s="1"/>
  <c r="H436" i="31"/>
  <c r="I436" i="31" s="1"/>
  <c r="H435" i="31"/>
  <c r="I435" i="31" s="1"/>
  <c r="H434" i="31"/>
  <c r="I434" i="31" s="1"/>
  <c r="H433" i="31"/>
  <c r="I433" i="31" s="1"/>
  <c r="I424" i="31"/>
  <c r="H421" i="31"/>
  <c r="I421" i="31" s="1"/>
  <c r="H419" i="31"/>
  <c r="I419" i="31" s="1"/>
  <c r="H418" i="31"/>
  <c r="I418" i="31" s="1"/>
  <c r="H415" i="31"/>
  <c r="I415" i="31" s="1"/>
  <c r="H414" i="31"/>
  <c r="I414" i="31" s="1"/>
  <c r="H413" i="31"/>
  <c r="I413" i="31" s="1"/>
  <c r="H412" i="31"/>
  <c r="I412" i="31" s="1"/>
  <c r="I403" i="31"/>
  <c r="H400" i="31"/>
  <c r="I400" i="31" s="1"/>
  <c r="H398" i="31"/>
  <c r="I398" i="31" s="1"/>
  <c r="H397" i="31"/>
  <c r="I397" i="31" s="1"/>
  <c r="H394" i="31"/>
  <c r="I394" i="31" s="1"/>
  <c r="H393" i="31"/>
  <c r="I393" i="31" s="1"/>
  <c r="H392" i="31"/>
  <c r="I392" i="31" s="1"/>
  <c r="H391" i="31"/>
  <c r="I391" i="31" s="1"/>
  <c r="H373" i="31"/>
  <c r="I373" i="31" s="1"/>
  <c r="I381" i="31"/>
  <c r="I379" i="31"/>
  <c r="H376" i="31"/>
  <c r="I376" i="31" s="1"/>
  <c r="H375" i="31"/>
  <c r="I375" i="31" s="1"/>
  <c r="H374" i="31"/>
  <c r="I374" i="31" s="1"/>
  <c r="I362" i="31"/>
  <c r="I364" i="31"/>
  <c r="H359" i="31"/>
  <c r="I359" i="31" s="1"/>
  <c r="H358" i="31"/>
  <c r="I358" i="31" s="1"/>
  <c r="H357" i="31"/>
  <c r="I357" i="31" s="1"/>
  <c r="I343" i="31"/>
  <c r="H340" i="31"/>
  <c r="I340" i="31" s="1"/>
  <c r="H339" i="31"/>
  <c r="I339" i="31" s="1"/>
  <c r="H338" i="31"/>
  <c r="I338" i="31" s="1"/>
  <c r="H337" i="31"/>
  <c r="I337" i="31" s="1"/>
  <c r="H336" i="31"/>
  <c r="I336" i="31" s="1"/>
  <c r="I322" i="31"/>
  <c r="H319" i="31"/>
  <c r="I319" i="31" s="1"/>
  <c r="H318" i="31"/>
  <c r="I318" i="31" s="1"/>
  <c r="H317" i="31"/>
  <c r="I317" i="31" s="1"/>
  <c r="H316" i="31"/>
  <c r="I316" i="31" s="1"/>
  <c r="H315" i="31"/>
  <c r="I315" i="31" s="1"/>
  <c r="I302" i="31"/>
  <c r="H299" i="31"/>
  <c r="I299" i="31" s="1"/>
  <c r="H298" i="31"/>
  <c r="I298" i="31" s="1"/>
  <c r="H297" i="31"/>
  <c r="I297" i="31" s="1"/>
  <c r="H296" i="31"/>
  <c r="I296" i="31" s="1"/>
  <c r="H295" i="31"/>
  <c r="I295" i="31" s="1"/>
  <c r="I283" i="31"/>
  <c r="H280" i="31"/>
  <c r="I280" i="31" s="1"/>
  <c r="H279" i="31"/>
  <c r="I279" i="31" s="1"/>
  <c r="H278" i="31"/>
  <c r="I278" i="31" s="1"/>
  <c r="H277" i="31"/>
  <c r="I277" i="31" s="1"/>
  <c r="H276" i="31"/>
  <c r="I276" i="31" s="1"/>
  <c r="E380" i="27" l="1"/>
  <c r="I395" i="31"/>
  <c r="I10" i="32"/>
  <c r="I14" i="32"/>
  <c r="I416" i="31"/>
  <c r="I437" i="31"/>
  <c r="I458" i="31"/>
  <c r="I377" i="31"/>
  <c r="I382" i="31" s="1"/>
  <c r="I383" i="31" s="1"/>
  <c r="I360" i="31"/>
  <c r="I365" i="31" s="1"/>
  <c r="I366" i="31" s="1"/>
  <c r="I367" i="31" s="1"/>
  <c r="I281" i="31"/>
  <c r="I341" i="31"/>
  <c r="I320" i="31"/>
  <c r="I300" i="31"/>
  <c r="I262" i="31"/>
  <c r="H257" i="31"/>
  <c r="I257" i="31" s="1"/>
  <c r="H255" i="31"/>
  <c r="I255" i="31" s="1"/>
  <c r="H259" i="31"/>
  <c r="I259" i="31" s="1"/>
  <c r="H258" i="31"/>
  <c r="I258" i="31" s="1"/>
  <c r="H256" i="31"/>
  <c r="I256" i="31" s="1"/>
  <c r="I242" i="31"/>
  <c r="H239" i="31"/>
  <c r="I239" i="31" s="1"/>
  <c r="H238" i="31"/>
  <c r="I238" i="31" s="1"/>
  <c r="H237" i="31"/>
  <c r="I237" i="31" s="1"/>
  <c r="I225" i="31"/>
  <c r="H222" i="31"/>
  <c r="I222" i="31" s="1"/>
  <c r="H221" i="31"/>
  <c r="I221" i="31" s="1"/>
  <c r="H220" i="31"/>
  <c r="I220" i="31" s="1"/>
  <c r="I208" i="31"/>
  <c r="H205" i="31"/>
  <c r="I205" i="31" s="1"/>
  <c r="H204" i="31"/>
  <c r="I204" i="31" s="1"/>
  <c r="H203" i="31"/>
  <c r="I203" i="31" s="1"/>
  <c r="I192" i="31"/>
  <c r="I190" i="31"/>
  <c r="H187" i="31"/>
  <c r="I187" i="31" s="1"/>
  <c r="H186" i="31"/>
  <c r="I186" i="31" s="1"/>
  <c r="H185" i="31"/>
  <c r="I185" i="31" s="1"/>
  <c r="H184" i="31"/>
  <c r="I184" i="31" s="1"/>
  <c r="H183" i="31"/>
  <c r="I183" i="31" s="1"/>
  <c r="I174" i="31"/>
  <c r="I172" i="31"/>
  <c r="H169" i="31"/>
  <c r="I169" i="31" s="1"/>
  <c r="H168" i="31"/>
  <c r="I168" i="31" s="1"/>
  <c r="H167" i="31"/>
  <c r="I167" i="31" s="1"/>
  <c r="H166" i="31"/>
  <c r="I166" i="31" s="1"/>
  <c r="H165" i="31"/>
  <c r="I165" i="31" s="1"/>
  <c r="H149" i="31"/>
  <c r="I156" i="31"/>
  <c r="I154" i="31"/>
  <c r="H151" i="31"/>
  <c r="I151" i="31" s="1"/>
  <c r="H150" i="31"/>
  <c r="I150" i="31" s="1"/>
  <c r="H148" i="31"/>
  <c r="I148" i="31" s="1"/>
  <c r="H147" i="31"/>
  <c r="I147" i="31" s="1"/>
  <c r="I137" i="31"/>
  <c r="I135" i="31"/>
  <c r="H132" i="31"/>
  <c r="I132" i="31" s="1"/>
  <c r="H131" i="31"/>
  <c r="I131" i="31" s="1"/>
  <c r="H130" i="31"/>
  <c r="I130" i="31" s="1"/>
  <c r="H129" i="31"/>
  <c r="I129" i="31" s="1"/>
  <c r="I119" i="31"/>
  <c r="I117" i="31"/>
  <c r="H114" i="31"/>
  <c r="I114" i="31" s="1"/>
  <c r="H113" i="31"/>
  <c r="I113" i="31" s="1"/>
  <c r="H112" i="31"/>
  <c r="I112" i="31" s="1"/>
  <c r="H111" i="31"/>
  <c r="I111" i="31" s="1"/>
  <c r="I102" i="31"/>
  <c r="I100" i="31"/>
  <c r="H97" i="31"/>
  <c r="I97" i="31" s="1"/>
  <c r="H96" i="31"/>
  <c r="I96" i="31" s="1"/>
  <c r="H95" i="31"/>
  <c r="I95" i="31" s="1"/>
  <c r="H94" i="31"/>
  <c r="I94" i="31" s="1"/>
  <c r="H81" i="31"/>
  <c r="H82" i="31"/>
  <c r="I82" i="31" s="1"/>
  <c r="H80" i="31"/>
  <c r="I80" i="31" s="1"/>
  <c r="H77" i="31"/>
  <c r="I77" i="31" s="1"/>
  <c r="H76" i="31"/>
  <c r="I76" i="31" s="1"/>
  <c r="H75" i="31"/>
  <c r="I75" i="31" s="1"/>
  <c r="H74" i="31"/>
  <c r="I74" i="31" s="1"/>
  <c r="H61" i="31"/>
  <c r="I61" i="31" s="1"/>
  <c r="H60" i="31"/>
  <c r="I60" i="31" s="1"/>
  <c r="H58" i="31"/>
  <c r="I58" i="31" s="1"/>
  <c r="H55" i="31"/>
  <c r="I55" i="31" s="1"/>
  <c r="H54" i="31"/>
  <c r="I54" i="31" s="1"/>
  <c r="H53" i="31"/>
  <c r="I53" i="31" s="1"/>
  <c r="H52" i="31"/>
  <c r="I52" i="31" s="1"/>
  <c r="H39" i="31"/>
  <c r="I39" i="31" s="1"/>
  <c r="H38" i="31"/>
  <c r="I38" i="31" s="1"/>
  <c r="H36" i="31"/>
  <c r="I36" i="31" s="1"/>
  <c r="H33" i="31"/>
  <c r="I33" i="31" s="1"/>
  <c r="H32" i="31"/>
  <c r="I32" i="31" s="1"/>
  <c r="H31" i="31"/>
  <c r="I31" i="31" s="1"/>
  <c r="H30" i="31"/>
  <c r="I30" i="31" s="1"/>
  <c r="H17" i="31"/>
  <c r="I17" i="31" s="1"/>
  <c r="I15" i="31"/>
  <c r="H10" i="31"/>
  <c r="I10" i="31" s="1"/>
  <c r="H9" i="31"/>
  <c r="I9" i="31" s="1"/>
  <c r="H8" i="31"/>
  <c r="I8" i="31" s="1"/>
  <c r="H7" i="31"/>
  <c r="I7" i="31" s="1"/>
  <c r="H116" i="30"/>
  <c r="H108" i="30"/>
  <c r="I108" i="30" s="1"/>
  <c r="H107" i="30"/>
  <c r="I107" i="30" s="1"/>
  <c r="H106" i="30"/>
  <c r="I106" i="30" s="1"/>
  <c r="H105" i="30"/>
  <c r="I105" i="30" s="1"/>
  <c r="H98" i="30"/>
  <c r="H92" i="30"/>
  <c r="I92" i="30" s="1"/>
  <c r="H88" i="30"/>
  <c r="I88" i="30" s="1"/>
  <c r="H87" i="30"/>
  <c r="I87" i="30" s="1"/>
  <c r="H86" i="30"/>
  <c r="I86" i="30" s="1"/>
  <c r="H85" i="30"/>
  <c r="I85" i="30" s="1"/>
  <c r="H78" i="30"/>
  <c r="H72" i="30"/>
  <c r="I72" i="30" s="1"/>
  <c r="H68" i="30"/>
  <c r="I68" i="30" s="1"/>
  <c r="H67" i="30"/>
  <c r="I67" i="30" s="1"/>
  <c r="H66" i="30"/>
  <c r="I66" i="30" s="1"/>
  <c r="H65" i="30"/>
  <c r="I65" i="30" s="1"/>
  <c r="H58" i="30"/>
  <c r="H49" i="30"/>
  <c r="I49" i="30" s="1"/>
  <c r="H48" i="30"/>
  <c r="I48" i="30" s="1"/>
  <c r="H47" i="30"/>
  <c r="I47" i="30" s="1"/>
  <c r="H46" i="30"/>
  <c r="I46" i="30" s="1"/>
  <c r="H39" i="30"/>
  <c r="H32" i="30"/>
  <c r="I32" i="30" s="1"/>
  <c r="I34" i="30" s="1"/>
  <c r="H29" i="30"/>
  <c r="I29" i="30" s="1"/>
  <c r="H28" i="30"/>
  <c r="I28" i="30" s="1"/>
  <c r="H27" i="30"/>
  <c r="I27" i="30" s="1"/>
  <c r="H8" i="30"/>
  <c r="I8" i="30" s="1"/>
  <c r="H21" i="30"/>
  <c r="H14" i="30"/>
  <c r="I14" i="30" s="1"/>
  <c r="H10" i="30"/>
  <c r="I10" i="30" s="1"/>
  <c r="H9" i="30"/>
  <c r="I9" i="30" s="1"/>
  <c r="H7" i="30"/>
  <c r="I7" i="30" s="1"/>
  <c r="H1144" i="7"/>
  <c r="H1135" i="7"/>
  <c r="I1135" i="7" s="1"/>
  <c r="H1134" i="7"/>
  <c r="I1134" i="7" s="1"/>
  <c r="H1133" i="7"/>
  <c r="I1133" i="7" s="1"/>
  <c r="H1126" i="7"/>
  <c r="H1117" i="7"/>
  <c r="I1117" i="7" s="1"/>
  <c r="H1116" i="7"/>
  <c r="I1116" i="7" s="1"/>
  <c r="H1115" i="7"/>
  <c r="I1115" i="7" s="1"/>
  <c r="H1108" i="7"/>
  <c r="H1099" i="7"/>
  <c r="I1099" i="7" s="1"/>
  <c r="H1098" i="7"/>
  <c r="I1098" i="7" s="1"/>
  <c r="H1097" i="7"/>
  <c r="I1097" i="7" s="1"/>
  <c r="H1090" i="7"/>
  <c r="H1081" i="7"/>
  <c r="I1081" i="7" s="1"/>
  <c r="H1080" i="7"/>
  <c r="I1080" i="7" s="1"/>
  <c r="H1079" i="7"/>
  <c r="I1079" i="7" s="1"/>
  <c r="H1072" i="7"/>
  <c r="H1063" i="7"/>
  <c r="I1063" i="7" s="1"/>
  <c r="H1062" i="7"/>
  <c r="I1062" i="7" s="1"/>
  <c r="H1061" i="7"/>
  <c r="I1061" i="7" s="1"/>
  <c r="H1053" i="7"/>
  <c r="H1044" i="7"/>
  <c r="I1044" i="7" s="1"/>
  <c r="H1043" i="7"/>
  <c r="I1043" i="7" s="1"/>
  <c r="H1042" i="7"/>
  <c r="I1042" i="7" s="1"/>
  <c r="H1034" i="7"/>
  <c r="H1028" i="7"/>
  <c r="I1028" i="7" s="1"/>
  <c r="I1029" i="7" s="1"/>
  <c r="H1025" i="7"/>
  <c r="I1025" i="7" s="1"/>
  <c r="H1024" i="7"/>
  <c r="I1024" i="7" s="1"/>
  <c r="H1023" i="7"/>
  <c r="I1023" i="7" s="1"/>
  <c r="H1015" i="7"/>
  <c r="H1009" i="7"/>
  <c r="I1009" i="7" s="1"/>
  <c r="I1010" i="7" s="1"/>
  <c r="H1006" i="7"/>
  <c r="I1006" i="7" s="1"/>
  <c r="H1005" i="7"/>
  <c r="I1005" i="7" s="1"/>
  <c r="H1004" i="7"/>
  <c r="I1004" i="7" s="1"/>
  <c r="H996" i="7"/>
  <c r="H990" i="7"/>
  <c r="I990" i="7" s="1"/>
  <c r="I991" i="7" s="1"/>
  <c r="H987" i="7"/>
  <c r="I987" i="7" s="1"/>
  <c r="H986" i="7"/>
  <c r="I986" i="7" s="1"/>
  <c r="H985" i="7"/>
  <c r="I985" i="7" s="1"/>
  <c r="H972" i="7"/>
  <c r="I972" i="7" s="1"/>
  <c r="I973" i="7" s="1"/>
  <c r="H978" i="7"/>
  <c r="H969" i="7"/>
  <c r="I969" i="7" s="1"/>
  <c r="H968" i="7"/>
  <c r="I968" i="7" s="1"/>
  <c r="H967" i="7"/>
  <c r="I967" i="7" s="1"/>
  <c r="H960" i="7"/>
  <c r="H949" i="7"/>
  <c r="I949" i="7" s="1"/>
  <c r="H948" i="7"/>
  <c r="I948" i="7" s="1"/>
  <c r="H947" i="7"/>
  <c r="I947" i="7" s="1"/>
  <c r="H940" i="7"/>
  <c r="H929" i="7"/>
  <c r="I929" i="7" s="1"/>
  <c r="H928" i="7"/>
  <c r="I928" i="7" s="1"/>
  <c r="H927" i="7"/>
  <c r="I927" i="7" s="1"/>
  <c r="H921" i="7"/>
  <c r="H910" i="7"/>
  <c r="I910" i="7" s="1"/>
  <c r="H909" i="7"/>
  <c r="I909" i="7" s="1"/>
  <c r="H908" i="7"/>
  <c r="I908" i="7" s="1"/>
  <c r="H902" i="7"/>
  <c r="H891" i="7"/>
  <c r="I891" i="7" s="1"/>
  <c r="H890" i="7"/>
  <c r="I890" i="7" s="1"/>
  <c r="H889" i="7"/>
  <c r="I889" i="7" s="1"/>
  <c r="H883" i="7"/>
  <c r="H872" i="7"/>
  <c r="I872" i="7" s="1"/>
  <c r="H871" i="7"/>
  <c r="I871" i="7" s="1"/>
  <c r="H870" i="7"/>
  <c r="I870" i="7" s="1"/>
  <c r="H863" i="7"/>
  <c r="H852" i="7"/>
  <c r="I852" i="7" s="1"/>
  <c r="H851" i="7"/>
  <c r="I851" i="7" s="1"/>
  <c r="H850" i="7"/>
  <c r="I850" i="7" s="1"/>
  <c r="H843" i="7"/>
  <c r="H832" i="7"/>
  <c r="I832" i="7" s="1"/>
  <c r="H831" i="7"/>
  <c r="I831" i="7" s="1"/>
  <c r="H830" i="7"/>
  <c r="I830" i="7" s="1"/>
  <c r="H823" i="7"/>
  <c r="H812" i="7"/>
  <c r="I812" i="7" s="1"/>
  <c r="H811" i="7"/>
  <c r="I811" i="7" s="1"/>
  <c r="H810" i="7"/>
  <c r="I810" i="7" s="1"/>
  <c r="H802" i="7"/>
  <c r="H791" i="7"/>
  <c r="I791" i="7" s="1"/>
  <c r="H790" i="7"/>
  <c r="I790" i="7" s="1"/>
  <c r="H789" i="7"/>
  <c r="I789" i="7" s="1"/>
  <c r="H782" i="7"/>
  <c r="H771" i="7"/>
  <c r="I771" i="7" s="1"/>
  <c r="H770" i="7"/>
  <c r="I770" i="7" s="1"/>
  <c r="H769" i="7"/>
  <c r="I769" i="7" s="1"/>
  <c r="H762" i="7"/>
  <c r="H751" i="7"/>
  <c r="I751" i="7" s="1"/>
  <c r="H750" i="7"/>
  <c r="I750" i="7" s="1"/>
  <c r="H749" i="7"/>
  <c r="I749" i="7" s="1"/>
  <c r="H742" i="7"/>
  <c r="H731" i="7"/>
  <c r="I731" i="7" s="1"/>
  <c r="H730" i="7"/>
  <c r="I730" i="7" s="1"/>
  <c r="H729" i="7"/>
  <c r="I729" i="7" s="1"/>
  <c r="H723" i="7"/>
  <c r="H712" i="7"/>
  <c r="I712" i="7" s="1"/>
  <c r="H711" i="7"/>
  <c r="I711" i="7" s="1"/>
  <c r="H710" i="7"/>
  <c r="I710" i="7" s="1"/>
  <c r="H653" i="7"/>
  <c r="I653" i="7" s="1"/>
  <c r="H652" i="7"/>
  <c r="I652" i="7" s="1"/>
  <c r="H651" i="7"/>
  <c r="I651" i="7" s="1"/>
  <c r="H637" i="7"/>
  <c r="I637" i="7" s="1"/>
  <c r="H636" i="7"/>
  <c r="I636" i="7" s="1"/>
  <c r="H635" i="7"/>
  <c r="I635" i="7" s="1"/>
  <c r="H621" i="7"/>
  <c r="I621" i="7" s="1"/>
  <c r="H620" i="7"/>
  <c r="I620" i="7" s="1"/>
  <c r="H619" i="7"/>
  <c r="I619" i="7" s="1"/>
  <c r="H605" i="7"/>
  <c r="I605" i="7" s="1"/>
  <c r="H604" i="7"/>
  <c r="I604" i="7" s="1"/>
  <c r="H603" i="7"/>
  <c r="I603" i="7" s="1"/>
  <c r="H703" i="7"/>
  <c r="H692" i="7"/>
  <c r="I692" i="7" s="1"/>
  <c r="H691" i="7"/>
  <c r="I691" i="7" s="1"/>
  <c r="H690" i="7"/>
  <c r="I690" i="7" s="1"/>
  <c r="H671" i="7"/>
  <c r="I671" i="7" s="1"/>
  <c r="H670" i="7"/>
  <c r="I670" i="7" s="1"/>
  <c r="H669" i="7"/>
  <c r="I669" i="7" s="1"/>
  <c r="H682" i="7"/>
  <c r="H661" i="7"/>
  <c r="H658" i="7"/>
  <c r="I658" i="7" s="1"/>
  <c r="I659" i="7" s="1"/>
  <c r="H645" i="7"/>
  <c r="H642" i="7"/>
  <c r="I642" i="7" s="1"/>
  <c r="I643" i="7" s="1"/>
  <c r="H629" i="7"/>
  <c r="H626" i="7"/>
  <c r="I626" i="7" s="1"/>
  <c r="I627" i="7" s="1"/>
  <c r="H613" i="7"/>
  <c r="H610" i="7"/>
  <c r="I610" i="7" s="1"/>
  <c r="I611" i="7" s="1"/>
  <c r="H412" i="7"/>
  <c r="I412" i="7" s="1"/>
  <c r="H408" i="7"/>
  <c r="I408" i="7" s="1"/>
  <c r="I409" i="7" s="1"/>
  <c r="H339" i="7"/>
  <c r="H338" i="7"/>
  <c r="I338" i="7" s="1"/>
  <c r="H324" i="7"/>
  <c r="I324" i="7" s="1"/>
  <c r="H179" i="7"/>
  <c r="I179" i="7" s="1"/>
  <c r="G998" i="8"/>
  <c r="H998" i="8" s="1"/>
  <c r="I30" i="30" l="1"/>
  <c r="I693" i="7"/>
  <c r="I713" i="7"/>
  <c r="I732" i="7"/>
  <c r="I752" i="7"/>
  <c r="I772" i="7"/>
  <c r="I792" i="7"/>
  <c r="I813" i="7"/>
  <c r="I833" i="7"/>
  <c r="I853" i="7"/>
  <c r="I873" i="7"/>
  <c r="I892" i="7"/>
  <c r="I930" i="7"/>
  <c r="I950" i="7"/>
  <c r="I970" i="7"/>
  <c r="I11" i="30"/>
  <c r="I1045" i="7"/>
  <c r="I1118" i="7"/>
  <c r="I89" i="30"/>
  <c r="I672" i="7"/>
  <c r="I988" i="7"/>
  <c r="I34" i="31"/>
  <c r="I260" i="31"/>
  <c r="I622" i="7"/>
  <c r="I628" i="7" s="1"/>
  <c r="I1026" i="7"/>
  <c r="I69" i="30"/>
  <c r="I109" i="30"/>
  <c r="I384" i="31"/>
  <c r="J370" i="31" s="1"/>
  <c r="I223" i="31"/>
  <c r="I240" i="31"/>
  <c r="I98" i="31"/>
  <c r="I103" i="31" s="1"/>
  <c r="I104" i="31" s="1"/>
  <c r="I133" i="31"/>
  <c r="I138" i="31" s="1"/>
  <c r="I188" i="31"/>
  <c r="I193" i="31" s="1"/>
  <c r="J354" i="31"/>
  <c r="I654" i="7"/>
  <c r="I660" i="7" s="1"/>
  <c r="I911" i="7"/>
  <c r="I11" i="31"/>
  <c r="I78" i="31"/>
  <c r="I170" i="31"/>
  <c r="I175" i="31" s="1"/>
  <c r="I176" i="31" s="1"/>
  <c r="I1007" i="7"/>
  <c r="I1064" i="7"/>
  <c r="I1082" i="7"/>
  <c r="I1100" i="7"/>
  <c r="I1136" i="7"/>
  <c r="I56" i="31"/>
  <c r="I115" i="31"/>
  <c r="I120" i="31" s="1"/>
  <c r="I638" i="7"/>
  <c r="I644" i="7" s="1"/>
  <c r="I50" i="30"/>
  <c r="I206" i="31"/>
  <c r="I606" i="7"/>
  <c r="I612" i="7" s="1"/>
  <c r="I613" i="7" s="1"/>
  <c r="I614" i="7" s="1"/>
  <c r="H73" i="9"/>
  <c r="H68" i="9"/>
  <c r="I68" i="9" s="1"/>
  <c r="H64" i="9"/>
  <c r="I64" i="9" s="1"/>
  <c r="H63" i="9"/>
  <c r="I63" i="9" s="1"/>
  <c r="D62" i="9"/>
  <c r="H62" i="9" s="1"/>
  <c r="I62" i="9" s="1"/>
  <c r="H61" i="9"/>
  <c r="I61" i="9" s="1"/>
  <c r="H49" i="9"/>
  <c r="I49" i="9" s="1"/>
  <c r="H48" i="9"/>
  <c r="I48" i="9" s="1"/>
  <c r="H54" i="9"/>
  <c r="H45" i="9"/>
  <c r="I45" i="9" s="1"/>
  <c r="H44" i="9"/>
  <c r="I44" i="9" s="1"/>
  <c r="H42" i="9"/>
  <c r="I42" i="9" s="1"/>
  <c r="H220" i="5"/>
  <c r="I218" i="5"/>
  <c r="H213" i="5"/>
  <c r="I213" i="5" s="1"/>
  <c r="H212" i="5"/>
  <c r="I212" i="5" s="1"/>
  <c r="H211" i="5"/>
  <c r="I211" i="5" s="1"/>
  <c r="H210" i="5"/>
  <c r="I210" i="5" s="1"/>
  <c r="I202" i="5"/>
  <c r="H204" i="5"/>
  <c r="H197" i="5"/>
  <c r="I197" i="5" s="1"/>
  <c r="H196" i="5"/>
  <c r="I196" i="5" s="1"/>
  <c r="H195" i="5"/>
  <c r="I195" i="5" s="1"/>
  <c r="H194" i="5"/>
  <c r="I194" i="5" s="1"/>
  <c r="H188" i="5"/>
  <c r="H179" i="5"/>
  <c r="I179" i="5" s="1"/>
  <c r="H178" i="5"/>
  <c r="I178" i="5" s="1"/>
  <c r="H177" i="5"/>
  <c r="I177" i="5" s="1"/>
  <c r="H176" i="5"/>
  <c r="I176" i="5" s="1"/>
  <c r="H170" i="5"/>
  <c r="H161" i="5"/>
  <c r="I161" i="5" s="1"/>
  <c r="H160" i="5"/>
  <c r="I160" i="5" s="1"/>
  <c r="H159" i="5"/>
  <c r="I159" i="5" s="1"/>
  <c r="H158" i="5"/>
  <c r="I149" i="5"/>
  <c r="H143" i="5"/>
  <c r="I143" i="5" s="1"/>
  <c r="H142" i="5"/>
  <c r="I142" i="5" s="1"/>
  <c r="H151" i="5"/>
  <c r="H144" i="5"/>
  <c r="I144" i="5" s="1"/>
  <c r="H141" i="5"/>
  <c r="I141" i="5" s="1"/>
  <c r="H95" i="5"/>
  <c r="I95" i="5" s="1"/>
  <c r="H94" i="5"/>
  <c r="I94" i="5" s="1"/>
  <c r="H60" i="5"/>
  <c r="I60" i="5" s="1"/>
  <c r="H8" i="5"/>
  <c r="I8" i="5" s="1"/>
  <c r="H7" i="5"/>
  <c r="I7" i="5" s="1"/>
  <c r="H137" i="29"/>
  <c r="I137" i="29" s="1"/>
  <c r="H139" i="29"/>
  <c r="I139" i="29" s="1"/>
  <c r="H138" i="29"/>
  <c r="I138" i="29" s="1"/>
  <c r="H136" i="29"/>
  <c r="I136" i="29" s="1"/>
  <c r="H135" i="29"/>
  <c r="I135" i="29" s="1"/>
  <c r="H117" i="29"/>
  <c r="I117" i="29" s="1"/>
  <c r="H118" i="29"/>
  <c r="I118" i="29" s="1"/>
  <c r="H116" i="29"/>
  <c r="I116" i="29" s="1"/>
  <c r="H115" i="29"/>
  <c r="H98" i="29"/>
  <c r="I98" i="29" s="1"/>
  <c r="H97" i="29"/>
  <c r="I97" i="29" s="1"/>
  <c r="H96" i="29"/>
  <c r="I96" i="29" s="1"/>
  <c r="H80" i="29"/>
  <c r="I80" i="29" s="1"/>
  <c r="H79" i="29"/>
  <c r="I79" i="29" s="1"/>
  <c r="H78" i="29"/>
  <c r="I78" i="29" s="1"/>
  <c r="H62" i="29"/>
  <c r="I62" i="29" s="1"/>
  <c r="H61" i="29"/>
  <c r="I61" i="29" s="1"/>
  <c r="H60" i="29"/>
  <c r="I60" i="29" s="1"/>
  <c r="H44" i="29"/>
  <c r="I44" i="29" s="1"/>
  <c r="H43" i="29"/>
  <c r="I43" i="29" s="1"/>
  <c r="H42" i="29"/>
  <c r="I42" i="29" s="1"/>
  <c r="H25" i="29"/>
  <c r="I25" i="29" s="1"/>
  <c r="H24" i="29"/>
  <c r="I24" i="29" s="1"/>
  <c r="H23" i="29"/>
  <c r="I23" i="29" s="1"/>
  <c r="H7" i="29"/>
  <c r="I7" i="29" s="1"/>
  <c r="H8" i="29"/>
  <c r="I8" i="29" s="1"/>
  <c r="H6" i="29"/>
  <c r="I6" i="29" s="1"/>
  <c r="I251" i="28"/>
  <c r="H248" i="28"/>
  <c r="I248" i="28" s="1"/>
  <c r="H247" i="28"/>
  <c r="I247" i="28" s="1"/>
  <c r="I234" i="28"/>
  <c r="H231" i="28"/>
  <c r="I231" i="28" s="1"/>
  <c r="H230" i="28"/>
  <c r="I230" i="28" s="1"/>
  <c r="I218" i="28"/>
  <c r="H215" i="28"/>
  <c r="I215" i="28" s="1"/>
  <c r="H214" i="28"/>
  <c r="I214" i="28" s="1"/>
  <c r="I202" i="28"/>
  <c r="H199" i="28"/>
  <c r="I199" i="28" s="1"/>
  <c r="H198" i="28"/>
  <c r="I198" i="28" s="1"/>
  <c r="I187" i="28"/>
  <c r="H184" i="28"/>
  <c r="I184" i="28" s="1"/>
  <c r="H183" i="28"/>
  <c r="I183" i="28" s="1"/>
  <c r="I174" i="28"/>
  <c r="I172" i="28"/>
  <c r="H169" i="28"/>
  <c r="I169" i="28" s="1"/>
  <c r="H168" i="28"/>
  <c r="I168" i="28" s="1"/>
  <c r="I159" i="28"/>
  <c r="I157" i="28"/>
  <c r="H154" i="28"/>
  <c r="I154" i="28" s="1"/>
  <c r="H153" i="28"/>
  <c r="I153" i="28" s="1"/>
  <c r="I144" i="28"/>
  <c r="I142" i="28"/>
  <c r="H139" i="28"/>
  <c r="I139" i="28" s="1"/>
  <c r="H138" i="28"/>
  <c r="I138" i="28" s="1"/>
  <c r="I129" i="28"/>
  <c r="I127" i="28"/>
  <c r="H124" i="28"/>
  <c r="I124" i="28" s="1"/>
  <c r="H123" i="28"/>
  <c r="I123" i="28" s="1"/>
  <c r="I114" i="28"/>
  <c r="I112" i="28"/>
  <c r="H109" i="28"/>
  <c r="I109" i="28" s="1"/>
  <c r="H108" i="28"/>
  <c r="I108" i="28" s="1"/>
  <c r="I99" i="28"/>
  <c r="I97" i="28"/>
  <c r="H94" i="28"/>
  <c r="I94" i="28" s="1"/>
  <c r="H93" i="28"/>
  <c r="I93" i="28" s="1"/>
  <c r="I85" i="28"/>
  <c r="I83" i="28"/>
  <c r="H80" i="28"/>
  <c r="I80" i="28" s="1"/>
  <c r="H79" i="28"/>
  <c r="I79" i="28" s="1"/>
  <c r="I70" i="28"/>
  <c r="I68" i="28"/>
  <c r="H65" i="28"/>
  <c r="I65" i="28" s="1"/>
  <c r="H64" i="28"/>
  <c r="I64" i="28" s="1"/>
  <c r="I56" i="28"/>
  <c r="I54" i="28"/>
  <c r="H51" i="28"/>
  <c r="I51" i="28" s="1"/>
  <c r="H50" i="28"/>
  <c r="I50" i="28" s="1"/>
  <c r="I42" i="28"/>
  <c r="I40" i="28"/>
  <c r="H37" i="28"/>
  <c r="I37" i="28" s="1"/>
  <c r="H36" i="28"/>
  <c r="I36" i="28" s="1"/>
  <c r="I28" i="28"/>
  <c r="I26" i="28"/>
  <c r="H23" i="28"/>
  <c r="I23" i="28" s="1"/>
  <c r="H22" i="28"/>
  <c r="I22" i="28" s="1"/>
  <c r="I13" i="28"/>
  <c r="I11" i="28"/>
  <c r="H8" i="28"/>
  <c r="I8" i="28" s="1"/>
  <c r="H7" i="28"/>
  <c r="I7" i="28" s="1"/>
  <c r="E362" i="27" l="1"/>
  <c r="E361" i="27"/>
  <c r="I38" i="30"/>
  <c r="I39" i="30" s="1"/>
  <c r="I81" i="29"/>
  <c r="I185" i="28"/>
  <c r="I63" i="29"/>
  <c r="I45" i="29"/>
  <c r="I140" i="29"/>
  <c r="I26" i="29"/>
  <c r="I9" i="5"/>
  <c r="I99" i="29"/>
  <c r="I96" i="5"/>
  <c r="I214" i="5"/>
  <c r="I219" i="5" s="1"/>
  <c r="I220" i="5" s="1"/>
  <c r="I221" i="5" s="1"/>
  <c r="J207" i="5" s="1"/>
  <c r="I145" i="5"/>
  <c r="I150" i="5" s="1"/>
  <c r="I151" i="5" s="1"/>
  <c r="I152" i="5" s="1"/>
  <c r="J138" i="5" s="1"/>
  <c r="I50" i="9"/>
  <c r="I194" i="31"/>
  <c r="I195" i="31" s="1"/>
  <c r="I177" i="31"/>
  <c r="J162" i="31" s="1"/>
  <c r="I139" i="31"/>
  <c r="I140" i="31" s="1"/>
  <c r="J126" i="31" s="1"/>
  <c r="I121" i="31"/>
  <c r="I122" i="31" s="1"/>
  <c r="J108" i="31" s="1"/>
  <c r="I105" i="31"/>
  <c r="J91" i="31" s="1"/>
  <c r="I661" i="7"/>
  <c r="I662" i="7" s="1"/>
  <c r="J648" i="7" s="1"/>
  <c r="I645" i="7"/>
  <c r="I646" i="7" s="1"/>
  <c r="J632" i="7" s="1"/>
  <c r="I629" i="7"/>
  <c r="I630" i="7" s="1"/>
  <c r="J616" i="7" s="1"/>
  <c r="J600" i="7"/>
  <c r="I65" i="9"/>
  <c r="I198" i="5"/>
  <c r="I203" i="5" s="1"/>
  <c r="I204" i="5" s="1"/>
  <c r="I205" i="5" s="1"/>
  <c r="J191" i="5" s="1"/>
  <c r="I180" i="5"/>
  <c r="I158" i="5"/>
  <c r="I162" i="5" s="1"/>
  <c r="I115" i="29"/>
  <c r="I119" i="29" s="1"/>
  <c r="I24" i="28"/>
  <c r="I29" i="28" s="1"/>
  <c r="I30" i="28" s="1"/>
  <c r="I31" i="28" s="1"/>
  <c r="J19" i="28" s="1"/>
  <c r="I66" i="28"/>
  <c r="I71" i="28" s="1"/>
  <c r="I72" i="28" s="1"/>
  <c r="I73" i="28" s="1"/>
  <c r="J61" i="28" s="1"/>
  <c r="I81" i="28"/>
  <c r="I86" i="28" s="1"/>
  <c r="I87" i="28" s="1"/>
  <c r="I88" i="28" s="1"/>
  <c r="J76" i="28" s="1"/>
  <c r="I125" i="28"/>
  <c r="I130" i="28" s="1"/>
  <c r="I131" i="28" s="1"/>
  <c r="I132" i="28" s="1"/>
  <c r="J120" i="28" s="1"/>
  <c r="I140" i="28"/>
  <c r="I145" i="28" s="1"/>
  <c r="I146" i="28" s="1"/>
  <c r="I147" i="28" s="1"/>
  <c r="J135" i="28" s="1"/>
  <c r="I155" i="28"/>
  <c r="I160" i="28" s="1"/>
  <c r="I161" i="28" s="1"/>
  <c r="I162" i="28" s="1"/>
  <c r="J150" i="28" s="1"/>
  <c r="I170" i="28"/>
  <c r="I175" i="28" s="1"/>
  <c r="I176" i="28" s="1"/>
  <c r="I177" i="28" s="1"/>
  <c r="J165" i="28" s="1"/>
  <c r="I200" i="28"/>
  <c r="I216" i="28"/>
  <c r="I232" i="28"/>
  <c r="I249" i="28"/>
  <c r="I9" i="29"/>
  <c r="I110" i="28"/>
  <c r="I115" i="28" s="1"/>
  <c r="I95" i="28"/>
  <c r="I100" i="28" s="1"/>
  <c r="I101" i="28" s="1"/>
  <c r="I102" i="28" s="1"/>
  <c r="J90" i="28" s="1"/>
  <c r="I52" i="28"/>
  <c r="I57" i="28" s="1"/>
  <c r="I58" i="28" s="1"/>
  <c r="I59" i="28" s="1"/>
  <c r="J47" i="28" s="1"/>
  <c r="I38" i="28"/>
  <c r="I43" i="28" s="1"/>
  <c r="I9" i="28"/>
  <c r="I14" i="28" s="1"/>
  <c r="H230" i="4"/>
  <c r="H224" i="4"/>
  <c r="I224" i="4" s="1"/>
  <c r="I225" i="4" s="1"/>
  <c r="H221" i="4"/>
  <c r="I221" i="4" s="1"/>
  <c r="H220" i="4"/>
  <c r="I220" i="4" s="1"/>
  <c r="H204" i="4"/>
  <c r="I204" i="4" s="1"/>
  <c r="H203" i="4"/>
  <c r="I203" i="4" s="1"/>
  <c r="H213" i="4"/>
  <c r="H195" i="4"/>
  <c r="I190" i="4"/>
  <c r="I188" i="4"/>
  <c r="H181" i="4"/>
  <c r="I176" i="4"/>
  <c r="I174" i="4"/>
  <c r="H167" i="4"/>
  <c r="I162" i="4"/>
  <c r="I160" i="4"/>
  <c r="I149" i="4"/>
  <c r="H154" i="4"/>
  <c r="H109" i="4"/>
  <c r="H101" i="4"/>
  <c r="I101" i="4" s="1"/>
  <c r="H100" i="4"/>
  <c r="I100" i="4" s="1"/>
  <c r="H93" i="4"/>
  <c r="H85" i="4"/>
  <c r="I85" i="4" s="1"/>
  <c r="H84" i="4"/>
  <c r="I84" i="4" s="1"/>
  <c r="H77" i="4"/>
  <c r="H72" i="4"/>
  <c r="I72" i="4" s="1"/>
  <c r="I73" i="4" s="1"/>
  <c r="H69" i="4"/>
  <c r="I69" i="4" s="1"/>
  <c r="H68" i="4"/>
  <c r="I68" i="4" s="1"/>
  <c r="H714" i="3"/>
  <c r="I714" i="3" s="1"/>
  <c r="H713" i="3"/>
  <c r="I713" i="3" s="1"/>
  <c r="H699" i="3"/>
  <c r="I699" i="3" s="1"/>
  <c r="H698" i="3"/>
  <c r="I698" i="3" s="1"/>
  <c r="H684" i="3"/>
  <c r="I684" i="3" s="1"/>
  <c r="H683" i="3"/>
  <c r="I683" i="3" s="1"/>
  <c r="H669" i="3"/>
  <c r="I669" i="3" s="1"/>
  <c r="H668" i="3"/>
  <c r="I668" i="3" s="1"/>
  <c r="H653" i="3"/>
  <c r="I653" i="3" s="1"/>
  <c r="H652" i="3"/>
  <c r="I652" i="3" s="1"/>
  <c r="H639" i="3"/>
  <c r="I639" i="3" s="1"/>
  <c r="H638" i="3"/>
  <c r="I638" i="3" s="1"/>
  <c r="H624" i="3"/>
  <c r="I624" i="3" s="1"/>
  <c r="H623" i="3"/>
  <c r="I623" i="3" s="1"/>
  <c r="H610" i="3"/>
  <c r="I610" i="3" s="1"/>
  <c r="H609" i="3"/>
  <c r="I609" i="3" s="1"/>
  <c r="H596" i="3"/>
  <c r="I596" i="3" s="1"/>
  <c r="H595" i="3"/>
  <c r="I595" i="3" s="1"/>
  <c r="H582" i="3"/>
  <c r="I582" i="3" s="1"/>
  <c r="H581" i="3"/>
  <c r="I581" i="3" s="1"/>
  <c r="H158" i="3"/>
  <c r="I158" i="3" s="1"/>
  <c r="I159" i="3" s="1"/>
  <c r="H153" i="3"/>
  <c r="I153" i="3" s="1"/>
  <c r="H152" i="3"/>
  <c r="I152" i="3" s="1"/>
  <c r="H564" i="3"/>
  <c r="I564" i="3" s="1"/>
  <c r="H563" i="3"/>
  <c r="I563" i="3" s="1"/>
  <c r="H549" i="3"/>
  <c r="I549" i="3" s="1"/>
  <c r="H548" i="3"/>
  <c r="I548" i="3" s="1"/>
  <c r="H534" i="3"/>
  <c r="I534" i="3" s="1"/>
  <c r="H533" i="3"/>
  <c r="I533" i="3" s="1"/>
  <c r="H518" i="3"/>
  <c r="I518" i="3" s="1"/>
  <c r="H517" i="3"/>
  <c r="I517" i="3" s="1"/>
  <c r="H503" i="3"/>
  <c r="I503" i="3" s="1"/>
  <c r="H502" i="3"/>
  <c r="I502" i="3" s="1"/>
  <c r="H489" i="3"/>
  <c r="I489" i="3" s="1"/>
  <c r="H488" i="3"/>
  <c r="I488" i="3" s="1"/>
  <c r="H475" i="3"/>
  <c r="I475" i="3" s="1"/>
  <c r="H474" i="3"/>
  <c r="I474" i="3" s="1"/>
  <c r="H461" i="3"/>
  <c r="I461" i="3" s="1"/>
  <c r="H460" i="3"/>
  <c r="I460" i="3" s="1"/>
  <c r="H446" i="3"/>
  <c r="I446" i="3" s="1"/>
  <c r="H445" i="3"/>
  <c r="I445" i="3" s="1"/>
  <c r="H432" i="3"/>
  <c r="I432" i="3" s="1"/>
  <c r="H431" i="3"/>
  <c r="I431" i="3" s="1"/>
  <c r="H415" i="3"/>
  <c r="I415" i="3" s="1"/>
  <c r="H414" i="3"/>
  <c r="I414" i="3" s="1"/>
  <c r="H400" i="3"/>
  <c r="I400" i="3" s="1"/>
  <c r="H399" i="3"/>
  <c r="I399" i="3" s="1"/>
  <c r="H385" i="3"/>
  <c r="I385" i="3" s="1"/>
  <c r="H384" i="3"/>
  <c r="I384" i="3" s="1"/>
  <c r="H370" i="3"/>
  <c r="I370" i="3" s="1"/>
  <c r="H369" i="3"/>
  <c r="I369" i="3" s="1"/>
  <c r="H354" i="3"/>
  <c r="I354" i="3" s="1"/>
  <c r="H353" i="3"/>
  <c r="I353" i="3" s="1"/>
  <c r="H340" i="3"/>
  <c r="I340" i="3" s="1"/>
  <c r="H339" i="3"/>
  <c r="I339" i="3" s="1"/>
  <c r="H326" i="3"/>
  <c r="I326" i="3" s="1"/>
  <c r="H325" i="3"/>
  <c r="I325" i="3" s="1"/>
  <c r="H311" i="3"/>
  <c r="I311" i="3" s="1"/>
  <c r="H310" i="3"/>
  <c r="I310" i="3" s="1"/>
  <c r="H293" i="3"/>
  <c r="I293" i="3" s="1"/>
  <c r="H292" i="3"/>
  <c r="I292" i="3" s="1"/>
  <c r="H277" i="3"/>
  <c r="I277" i="3" s="1"/>
  <c r="H276" i="3"/>
  <c r="I276" i="3" s="1"/>
  <c r="H261" i="3"/>
  <c r="I261" i="3" s="1"/>
  <c r="H260" i="3"/>
  <c r="I260" i="3" s="1"/>
  <c r="H246" i="3"/>
  <c r="I246" i="3" s="1"/>
  <c r="H245" i="3"/>
  <c r="I245" i="3" s="1"/>
  <c r="H230" i="3"/>
  <c r="I230" i="3" s="1"/>
  <c r="H229" i="3"/>
  <c r="I229" i="3" s="1"/>
  <c r="H215" i="3"/>
  <c r="I215" i="3" s="1"/>
  <c r="H214" i="3"/>
  <c r="I214" i="3" s="1"/>
  <c r="H201" i="3"/>
  <c r="I201" i="3" s="1"/>
  <c r="H200" i="3"/>
  <c r="I200" i="3" s="1"/>
  <c r="H187" i="3"/>
  <c r="I187" i="3" s="1"/>
  <c r="H186" i="3"/>
  <c r="I186" i="3" s="1"/>
  <c r="H175" i="3"/>
  <c r="I175" i="3" s="1"/>
  <c r="I176" i="3" s="1"/>
  <c r="H170" i="3"/>
  <c r="I170" i="3" s="1"/>
  <c r="H169" i="3"/>
  <c r="I169" i="3" s="1"/>
  <c r="H143" i="3"/>
  <c r="I143" i="3" s="1"/>
  <c r="I144" i="3" s="1"/>
  <c r="H138" i="3"/>
  <c r="I138" i="3" s="1"/>
  <c r="H137" i="3"/>
  <c r="I137" i="3" s="1"/>
  <c r="H128" i="3"/>
  <c r="I128" i="3" s="1"/>
  <c r="I129" i="3" s="1"/>
  <c r="H123" i="3"/>
  <c r="I123" i="3" s="1"/>
  <c r="H122" i="3"/>
  <c r="I122" i="3" s="1"/>
  <c r="H108" i="3"/>
  <c r="I108" i="3" s="1"/>
  <c r="H107" i="3"/>
  <c r="I107" i="3" s="1"/>
  <c r="H94" i="3"/>
  <c r="I94" i="3" s="1"/>
  <c r="H93" i="3"/>
  <c r="I93" i="3" s="1"/>
  <c r="H80" i="3"/>
  <c r="I80" i="3" s="1"/>
  <c r="H79" i="3"/>
  <c r="I79" i="3" s="1"/>
  <c r="H66" i="3"/>
  <c r="I66" i="3" s="1"/>
  <c r="H65" i="3"/>
  <c r="I65" i="3" s="1"/>
  <c r="H52" i="3"/>
  <c r="I52" i="3" s="1"/>
  <c r="H51" i="3"/>
  <c r="I51" i="3" s="1"/>
  <c r="H38" i="3"/>
  <c r="I38" i="3" s="1"/>
  <c r="H37" i="3"/>
  <c r="I37" i="3" s="1"/>
  <c r="H24" i="3"/>
  <c r="I24" i="3" s="1"/>
  <c r="H23" i="3"/>
  <c r="I23" i="3" s="1"/>
  <c r="H10" i="3"/>
  <c r="I10" i="3" s="1"/>
  <c r="H9" i="3"/>
  <c r="I40" i="30" l="1"/>
  <c r="J24" i="30" s="1"/>
  <c r="E170" i="27"/>
  <c r="E137" i="27"/>
  <c r="E174" i="27"/>
  <c r="E140" i="27"/>
  <c r="E173" i="27"/>
  <c r="E298" i="27"/>
  <c r="E299" i="27"/>
  <c r="E300" i="27"/>
  <c r="E301" i="27"/>
  <c r="E145" i="27"/>
  <c r="E144" i="27"/>
  <c r="E344" i="27"/>
  <c r="E143" i="27"/>
  <c r="E345" i="27"/>
  <c r="E142" i="27"/>
  <c r="E346" i="27"/>
  <c r="E139" i="27"/>
  <c r="E349" i="27"/>
  <c r="E138" i="27"/>
  <c r="E135" i="27"/>
  <c r="I685" i="3"/>
  <c r="I262" i="3"/>
  <c r="I294" i="3"/>
  <c r="I416" i="3"/>
  <c r="I565" i="3"/>
  <c r="I247" i="3"/>
  <c r="I278" i="3"/>
  <c r="I312" i="3"/>
  <c r="I317" i="3" s="1"/>
  <c r="I318" i="3" s="1"/>
  <c r="I319" i="3" s="1"/>
  <c r="J307" i="3" s="1"/>
  <c r="I371" i="3"/>
  <c r="I519" i="3"/>
  <c r="I670" i="3"/>
  <c r="I86" i="4"/>
  <c r="J180" i="31"/>
  <c r="G155" i="42"/>
  <c r="H155" i="42" s="1"/>
  <c r="G138" i="42"/>
  <c r="H138" i="42" s="1"/>
  <c r="G119" i="42"/>
  <c r="H119" i="42" s="1"/>
  <c r="I222" i="4"/>
  <c r="I700" i="3"/>
  <c r="I597" i="3"/>
  <c r="I602" i="3" s="1"/>
  <c r="I603" i="3" s="1"/>
  <c r="I604" i="3" s="1"/>
  <c r="J592" i="3" s="1"/>
  <c r="I625" i="3"/>
  <c r="I630" i="3" s="1"/>
  <c r="I631" i="3" s="1"/>
  <c r="I632" i="3" s="1"/>
  <c r="J620" i="3" s="1"/>
  <c r="I654" i="3"/>
  <c r="I659" i="3" s="1"/>
  <c r="I660" i="3" s="1"/>
  <c r="I661" i="3" s="1"/>
  <c r="J649" i="3" s="1"/>
  <c r="I715" i="3"/>
  <c r="I205" i="4"/>
  <c r="I116" i="28"/>
  <c r="I117" i="28" s="1"/>
  <c r="J105" i="28" s="1"/>
  <c r="I44" i="28"/>
  <c r="I45" i="28" s="1"/>
  <c r="J33" i="28" s="1"/>
  <c r="I15" i="28"/>
  <c r="I16" i="28" s="1"/>
  <c r="J4" i="28" s="1"/>
  <c r="I583" i="3"/>
  <c r="I588" i="3" s="1"/>
  <c r="I589" i="3" s="1"/>
  <c r="I590" i="3" s="1"/>
  <c r="J578" i="3" s="1"/>
  <c r="I611" i="3"/>
  <c r="I616" i="3" s="1"/>
  <c r="I617" i="3" s="1"/>
  <c r="I618" i="3" s="1"/>
  <c r="J606" i="3" s="1"/>
  <c r="I640" i="3"/>
  <c r="I645" i="3" s="1"/>
  <c r="I646" i="3" s="1"/>
  <c r="I647" i="3" s="1"/>
  <c r="J635" i="3" s="1"/>
  <c r="I70" i="4"/>
  <c r="I76" i="4" s="1"/>
  <c r="I77" i="4" s="1"/>
  <c r="I78" i="4" s="1"/>
  <c r="J65" i="4" s="1"/>
  <c r="I102" i="4"/>
  <c r="I154" i="3"/>
  <c r="I160" i="3" s="1"/>
  <c r="I447" i="3"/>
  <c r="I452" i="3" s="1"/>
  <c r="I453" i="3" s="1"/>
  <c r="I454" i="3" s="1"/>
  <c r="J442" i="3" s="1"/>
  <c r="I476" i="3"/>
  <c r="I481" i="3" s="1"/>
  <c r="I482" i="3" s="1"/>
  <c r="I483" i="3" s="1"/>
  <c r="J471" i="3" s="1"/>
  <c r="I535" i="3"/>
  <c r="I462" i="3"/>
  <c r="I467" i="3" s="1"/>
  <c r="I468" i="3" s="1"/>
  <c r="I469" i="3" s="1"/>
  <c r="J457" i="3" s="1"/>
  <c r="I504" i="3"/>
  <c r="I509" i="3" s="1"/>
  <c r="I510" i="3" s="1"/>
  <c r="I511" i="3" s="1"/>
  <c r="J499" i="3" s="1"/>
  <c r="I550" i="3"/>
  <c r="I490" i="3"/>
  <c r="I495" i="3" s="1"/>
  <c r="I401" i="3"/>
  <c r="I433" i="3"/>
  <c r="I438" i="3" s="1"/>
  <c r="I439" i="3" s="1"/>
  <c r="I231" i="3"/>
  <c r="I236" i="3" s="1"/>
  <c r="I237" i="3" s="1"/>
  <c r="I238" i="3" s="1"/>
  <c r="J226" i="3" s="1"/>
  <c r="I386" i="3"/>
  <c r="I355" i="3"/>
  <c r="I360" i="3" s="1"/>
  <c r="I341" i="3"/>
  <c r="I346" i="3" s="1"/>
  <c r="I347" i="3" s="1"/>
  <c r="I348" i="3" s="1"/>
  <c r="J336" i="3" s="1"/>
  <c r="I327" i="3"/>
  <c r="I332" i="3" s="1"/>
  <c r="I333" i="3" s="1"/>
  <c r="I334" i="3" s="1"/>
  <c r="J322" i="3" s="1"/>
  <c r="I216" i="3"/>
  <c r="I221" i="3" s="1"/>
  <c r="I222" i="3" s="1"/>
  <c r="I202" i="3"/>
  <c r="I207" i="3" s="1"/>
  <c r="I208" i="3" s="1"/>
  <c r="I209" i="3" s="1"/>
  <c r="J197" i="3" s="1"/>
  <c r="I81" i="3"/>
  <c r="I86" i="3" s="1"/>
  <c r="I87" i="3" s="1"/>
  <c r="I25" i="3"/>
  <c r="I30" i="3" s="1"/>
  <c r="I53" i="3"/>
  <c r="I58" i="3" s="1"/>
  <c r="I59" i="3" s="1"/>
  <c r="I60" i="3" s="1"/>
  <c r="I109" i="3"/>
  <c r="I114" i="3" s="1"/>
  <c r="I115" i="3" s="1"/>
  <c r="I116" i="3" s="1"/>
  <c r="I39" i="3"/>
  <c r="I44" i="3" s="1"/>
  <c r="I67" i="3"/>
  <c r="I72" i="3" s="1"/>
  <c r="I95" i="3"/>
  <c r="I100" i="3" s="1"/>
  <c r="I124" i="3"/>
  <c r="I130" i="3" s="1"/>
  <c r="I139" i="3"/>
  <c r="I145" i="3" s="1"/>
  <c r="I171" i="3"/>
  <c r="I177" i="3" s="1"/>
  <c r="I188" i="3"/>
  <c r="I193" i="3" s="1"/>
  <c r="I9" i="3"/>
  <c r="I11" i="3" s="1"/>
  <c r="I16" i="3" s="1"/>
  <c r="I17" i="3" s="1"/>
  <c r="I18" i="3" s="1"/>
  <c r="H644" i="2" s="1"/>
  <c r="H664" i="2" s="1"/>
  <c r="H678" i="2"/>
  <c r="J676" i="2"/>
  <c r="H658" i="2"/>
  <c r="J656" i="2"/>
  <c r="H631" i="2"/>
  <c r="J631" i="2" s="1"/>
  <c r="H638" i="2"/>
  <c r="H632" i="2"/>
  <c r="J632" i="2" s="1"/>
  <c r="H628" i="2"/>
  <c r="J628" i="2" s="1"/>
  <c r="H627" i="2"/>
  <c r="J627" i="2" s="1"/>
  <c r="H626" i="2"/>
  <c r="J626" i="2" s="1"/>
  <c r="H625" i="2"/>
  <c r="J625" i="2" s="1"/>
  <c r="H618" i="2"/>
  <c r="H615" i="2"/>
  <c r="J615" i="2" s="1"/>
  <c r="J616" i="2" s="1"/>
  <c r="H612" i="2"/>
  <c r="J612" i="2" s="1"/>
  <c r="H611" i="2"/>
  <c r="J611" i="2" s="1"/>
  <c r="H608" i="2"/>
  <c r="J608" i="2" s="1"/>
  <c r="H607" i="2"/>
  <c r="J607" i="2" s="1"/>
  <c r="H606" i="2"/>
  <c r="J606" i="2" s="1"/>
  <c r="H605" i="2"/>
  <c r="J605" i="2" s="1"/>
  <c r="E94" i="27" l="1"/>
  <c r="E91" i="27"/>
  <c r="E103" i="27"/>
  <c r="E68" i="27"/>
  <c r="E107" i="27"/>
  <c r="E105" i="27"/>
  <c r="E79" i="27"/>
  <c r="E106" i="27"/>
  <c r="E350" i="27"/>
  <c r="E90" i="27"/>
  <c r="E104" i="27"/>
  <c r="E102" i="27"/>
  <c r="E92" i="27"/>
  <c r="E332" i="27"/>
  <c r="E80" i="27"/>
  <c r="E70" i="27"/>
  <c r="E134" i="27"/>
  <c r="E136" i="27"/>
  <c r="E141" i="27"/>
  <c r="E78" i="27"/>
  <c r="J6" i="3"/>
  <c r="J104" i="3"/>
  <c r="J48" i="3"/>
  <c r="I161" i="3"/>
  <c r="I162" i="3" s="1"/>
  <c r="I496" i="3"/>
  <c r="I497" i="3" s="1"/>
  <c r="J485" i="3" s="1"/>
  <c r="I440" i="3"/>
  <c r="J428" i="3" s="1"/>
  <c r="I361" i="3"/>
  <c r="I362" i="3" s="1"/>
  <c r="J350" i="3" s="1"/>
  <c r="I31" i="3"/>
  <c r="I32" i="3" s="1"/>
  <c r="I223" i="3"/>
  <c r="J211" i="3" s="1"/>
  <c r="I88" i="3"/>
  <c r="I178" i="3"/>
  <c r="I179" i="3" s="1"/>
  <c r="I73" i="3"/>
  <c r="I74" i="3" s="1"/>
  <c r="I146" i="3"/>
  <c r="I147" i="3" s="1"/>
  <c r="I45" i="3"/>
  <c r="I46" i="3" s="1"/>
  <c r="I131" i="3"/>
  <c r="I132" i="3" s="1"/>
  <c r="I194" i="3"/>
  <c r="I195" i="3" s="1"/>
  <c r="J183" i="3" s="1"/>
  <c r="I101" i="3"/>
  <c r="I102" i="3" s="1"/>
  <c r="J629" i="2"/>
  <c r="J633" i="2"/>
  <c r="J613" i="2"/>
  <c r="J609" i="2"/>
  <c r="H546" i="2"/>
  <c r="J546" i="2" s="1"/>
  <c r="H555" i="2"/>
  <c r="H552" i="2"/>
  <c r="J552" i="2" s="1"/>
  <c r="J553" i="2" s="1"/>
  <c r="H547" i="2"/>
  <c r="J547" i="2" s="1"/>
  <c r="H530" i="2"/>
  <c r="J530" i="2" s="1"/>
  <c r="H539" i="2"/>
  <c r="H536" i="2"/>
  <c r="J536" i="2" s="1"/>
  <c r="J537" i="2" s="1"/>
  <c r="H531" i="2"/>
  <c r="J531" i="2" s="1"/>
  <c r="H521" i="2"/>
  <c r="J521" i="2" s="1"/>
  <c r="J522" i="2" s="1"/>
  <c r="H516" i="2"/>
  <c r="J516" i="2" s="1"/>
  <c r="H515" i="2"/>
  <c r="J515" i="2" s="1"/>
  <c r="H524" i="2"/>
  <c r="H500" i="2"/>
  <c r="J500" i="2" s="1"/>
  <c r="H499" i="2"/>
  <c r="J499" i="2" s="1"/>
  <c r="H460" i="2"/>
  <c r="J460" i="2" s="1"/>
  <c r="J461" i="2" s="1"/>
  <c r="H415" i="2"/>
  <c r="J415" i="2" s="1"/>
  <c r="J416" i="2" s="1"/>
  <c r="H177" i="2"/>
  <c r="J177" i="2" s="1"/>
  <c r="H295" i="2"/>
  <c r="J295" i="2" s="1"/>
  <c r="J296" i="2" s="1"/>
  <c r="J291" i="2"/>
  <c r="H298" i="2"/>
  <c r="J292" i="2"/>
  <c r="J293" i="2" s="1"/>
  <c r="J297" i="2" s="1"/>
  <c r="H278" i="2"/>
  <c r="J278" i="2" s="1"/>
  <c r="J279" i="2" s="1"/>
  <c r="J280" i="2" s="1"/>
  <c r="H281" i="2"/>
  <c r="H250" i="2"/>
  <c r="J250" i="2" s="1"/>
  <c r="H249" i="2"/>
  <c r="J249" i="2" s="1"/>
  <c r="H267" i="2"/>
  <c r="E93" i="27" l="1"/>
  <c r="E81" i="27"/>
  <c r="E55" i="27"/>
  <c r="E52" i="27"/>
  <c r="E59" i="27"/>
  <c r="E69" i="27"/>
  <c r="E89" i="27"/>
  <c r="E67" i="27"/>
  <c r="J90" i="3"/>
  <c r="J119" i="3"/>
  <c r="J34" i="3"/>
  <c r="J134" i="3"/>
  <c r="J62" i="3"/>
  <c r="J166" i="3"/>
  <c r="J76" i="3"/>
  <c r="J20" i="3"/>
  <c r="J149" i="3"/>
  <c r="J517" i="2"/>
  <c r="J523" i="2" s="1"/>
  <c r="J524" i="2" s="1"/>
  <c r="J525" i="2" s="1"/>
  <c r="J617" i="2"/>
  <c r="J618" i="2" s="1"/>
  <c r="J619" i="2" s="1"/>
  <c r="J548" i="2"/>
  <c r="J554" i="2" s="1"/>
  <c r="J555" i="2" s="1"/>
  <c r="J556" i="2" s="1"/>
  <c r="J532" i="2"/>
  <c r="J538" i="2" s="1"/>
  <c r="J251" i="2"/>
  <c r="E53" i="27" l="1"/>
  <c r="E57" i="27"/>
  <c r="E64" i="27"/>
  <c r="E63" i="27"/>
  <c r="E62" i="27"/>
  <c r="E56" i="27"/>
  <c r="E54" i="27"/>
  <c r="E61" i="27"/>
  <c r="E58" i="27"/>
  <c r="K543" i="2"/>
  <c r="K602" i="2"/>
  <c r="K512" i="2"/>
  <c r="J298" i="2"/>
  <c r="J299" i="2" s="1"/>
  <c r="K286" i="2" s="1"/>
  <c r="J539" i="2"/>
  <c r="J540" i="2" s="1"/>
  <c r="J281" i="2"/>
  <c r="J282" i="2" s="1"/>
  <c r="E23" i="27" l="1"/>
  <c r="E39" i="27"/>
  <c r="E45" i="27"/>
  <c r="E41" i="27"/>
  <c r="K527" i="2"/>
  <c r="K270" i="2"/>
  <c r="E22" i="27" l="1"/>
  <c r="E40" i="27"/>
  <c r="H243" i="2"/>
  <c r="H234" i="2"/>
  <c r="J234" i="2" s="1"/>
  <c r="H232" i="2"/>
  <c r="J232" i="2" s="1"/>
  <c r="H225" i="2"/>
  <c r="J225" i="2" s="1"/>
  <c r="H224" i="2"/>
  <c r="J224" i="2" s="1"/>
  <c r="H223" i="2"/>
  <c r="J223" i="2" s="1"/>
  <c r="H222" i="2"/>
  <c r="J222" i="2" s="1"/>
  <c r="H204" i="2"/>
  <c r="J204" i="2" s="1"/>
  <c r="H176" i="2"/>
  <c r="J176" i="2" s="1"/>
  <c r="H183" i="2"/>
  <c r="H178" i="2"/>
  <c r="J178" i="2" s="1"/>
  <c r="H173" i="2"/>
  <c r="J173" i="2" s="1"/>
  <c r="H170" i="2"/>
  <c r="J170" i="2" s="1"/>
  <c r="H169" i="2"/>
  <c r="J169" i="2" s="1"/>
  <c r="H168" i="2"/>
  <c r="J168" i="2" s="1"/>
  <c r="H167" i="2"/>
  <c r="J167" i="2" s="1"/>
  <c r="H152" i="2"/>
  <c r="H145" i="2"/>
  <c r="J145" i="2" s="1"/>
  <c r="H158" i="2"/>
  <c r="H149" i="2"/>
  <c r="J149" i="2" s="1"/>
  <c r="H146" i="2"/>
  <c r="J146" i="2" s="1"/>
  <c r="H144" i="2"/>
  <c r="J144" i="2" s="1"/>
  <c r="H143" i="2"/>
  <c r="J143" i="2" s="1"/>
  <c r="H142" i="2"/>
  <c r="J142" i="2" s="1"/>
  <c r="H128" i="2"/>
  <c r="J128" i="2" s="1"/>
  <c r="H95" i="2"/>
  <c r="H88" i="2"/>
  <c r="J88" i="2" s="1"/>
  <c r="H87" i="2"/>
  <c r="J87" i="2" s="1"/>
  <c r="H84" i="2"/>
  <c r="J84" i="2" s="1"/>
  <c r="H83" i="2"/>
  <c r="J83" i="2" s="1"/>
  <c r="H82" i="2"/>
  <c r="J82" i="2" s="1"/>
  <c r="H81" i="2"/>
  <c r="J81" i="2" s="1"/>
  <c r="H592" i="2"/>
  <c r="J592" i="2" s="1"/>
  <c r="H591" i="2"/>
  <c r="J591" i="2" s="1"/>
  <c r="H590" i="2"/>
  <c r="J590" i="2" s="1"/>
  <c r="H587" i="2"/>
  <c r="J587" i="2" s="1"/>
  <c r="H586" i="2"/>
  <c r="J586" i="2" s="1"/>
  <c r="H585" i="2"/>
  <c r="J585" i="2" s="1"/>
  <c r="H584" i="2"/>
  <c r="J584" i="2" s="1"/>
  <c r="G1460" i="26"/>
  <c r="G2528" i="26"/>
  <c r="G2455" i="26"/>
  <c r="G2438" i="26"/>
  <c r="G2421" i="26"/>
  <c r="G2404" i="26"/>
  <c r="G2387" i="26"/>
  <c r="G2370" i="26"/>
  <c r="G2353" i="26"/>
  <c r="G2336" i="26"/>
  <c r="G2319" i="26"/>
  <c r="G2302" i="26"/>
  <c r="G2211" i="26"/>
  <c r="G2177" i="26"/>
  <c r="G2160" i="26"/>
  <c r="G2143" i="26"/>
  <c r="G2126" i="26"/>
  <c r="G2109" i="26"/>
  <c r="G2092" i="26"/>
  <c r="G2075" i="26"/>
  <c r="G2057" i="26"/>
  <c r="G2040" i="26"/>
  <c r="G2023" i="26"/>
  <c r="G2006" i="26"/>
  <c r="G1989" i="26"/>
  <c r="G1972" i="26"/>
  <c r="G1955" i="26"/>
  <c r="G1937" i="26"/>
  <c r="G1920" i="26"/>
  <c r="G1903" i="26"/>
  <c r="G1886" i="26"/>
  <c r="G1869" i="26"/>
  <c r="G1852" i="26"/>
  <c r="G1835" i="26"/>
  <c r="G1818" i="26"/>
  <c r="G1801" i="26"/>
  <c r="G1784" i="26"/>
  <c r="G1767" i="26"/>
  <c r="G1750" i="26"/>
  <c r="G1733" i="26"/>
  <c r="G1716" i="26"/>
  <c r="G1699" i="26"/>
  <c r="G1682" i="26"/>
  <c r="G1665" i="26"/>
  <c r="G1648" i="26"/>
  <c r="G1631" i="26"/>
  <c r="G1614" i="26"/>
  <c r="G1597" i="26"/>
  <c r="G1580" i="26"/>
  <c r="G1563" i="26"/>
  <c r="G1546" i="26"/>
  <c r="G1529" i="26"/>
  <c r="G1512" i="26"/>
  <c r="G1495" i="26"/>
  <c r="G1478" i="26"/>
  <c r="G1443" i="26"/>
  <c r="G1426" i="26"/>
  <c r="G1409" i="26"/>
  <c r="G1392" i="26"/>
  <c r="G1375" i="26"/>
  <c r="G1340" i="26"/>
  <c r="G1358" i="26"/>
  <c r="G1323" i="26"/>
  <c r="G1306" i="26"/>
  <c r="G1289" i="26"/>
  <c r="G1272" i="26"/>
  <c r="G1255" i="26"/>
  <c r="G1238" i="26"/>
  <c r="G1221" i="26"/>
  <c r="G1204" i="26"/>
  <c r="G1187" i="26"/>
  <c r="G1170" i="26"/>
  <c r="G1153" i="26"/>
  <c r="G1136" i="26"/>
  <c r="G1119" i="26"/>
  <c r="G1102" i="26"/>
  <c r="G1085" i="26"/>
  <c r="G958" i="26"/>
  <c r="G940" i="26"/>
  <c r="G922" i="26"/>
  <c r="G905" i="26"/>
  <c r="G888" i="26"/>
  <c r="G871" i="26"/>
  <c r="G854" i="26"/>
  <c r="G837" i="26"/>
  <c r="G819" i="26"/>
  <c r="G802" i="26"/>
  <c r="G785" i="26"/>
  <c r="G768" i="26"/>
  <c r="G751" i="26"/>
  <c r="G734" i="26"/>
  <c r="G717" i="26"/>
  <c r="G700" i="26"/>
  <c r="G683" i="26"/>
  <c r="G666" i="26"/>
  <c r="G649" i="26"/>
  <c r="G632" i="26"/>
  <c r="G615" i="26"/>
  <c r="G598" i="26"/>
  <c r="G581" i="26"/>
  <c r="G564" i="26"/>
  <c r="G547" i="26"/>
  <c r="G530" i="26"/>
  <c r="G513" i="26"/>
  <c r="G496" i="26"/>
  <c r="G479" i="26"/>
  <c r="G462" i="26"/>
  <c r="G445" i="26"/>
  <c r="G428" i="26"/>
  <c r="G411" i="26"/>
  <c r="G394" i="26"/>
  <c r="G377" i="26"/>
  <c r="G360" i="26"/>
  <c r="G343" i="26"/>
  <c r="G326" i="26"/>
  <c r="G309" i="26"/>
  <c r="G292" i="26"/>
  <c r="G275" i="26"/>
  <c r="G258" i="26"/>
  <c r="G241" i="26"/>
  <c r="G224" i="26"/>
  <c r="G207" i="26"/>
  <c r="G190" i="26"/>
  <c r="G173" i="26"/>
  <c r="G156" i="26"/>
  <c r="G139" i="26"/>
  <c r="G122" i="26"/>
  <c r="G105" i="26"/>
  <c r="G88" i="26"/>
  <c r="G71" i="26"/>
  <c r="G54" i="26"/>
  <c r="G37" i="26"/>
  <c r="G2523" i="26"/>
  <c r="H2523" i="26" s="1"/>
  <c r="G2522" i="26"/>
  <c r="H2522" i="26" s="1"/>
  <c r="G2521" i="26"/>
  <c r="H2521" i="26" s="1"/>
  <c r="G2520" i="26"/>
  <c r="H2520" i="26" s="1"/>
  <c r="G2517" i="26"/>
  <c r="H2517" i="26" s="1"/>
  <c r="G2516" i="26"/>
  <c r="H2516" i="26" s="1"/>
  <c r="G2514" i="26"/>
  <c r="H2514" i="26" s="1"/>
  <c r="G2450" i="26"/>
  <c r="H2450" i="26" s="1"/>
  <c r="H2451" i="26" s="1"/>
  <c r="G2447" i="26"/>
  <c r="H2447" i="26" s="1"/>
  <c r="G2446" i="26"/>
  <c r="H2446" i="26" s="1"/>
  <c r="G2444" i="26"/>
  <c r="H2444" i="26" s="1"/>
  <c r="G2433" i="26"/>
  <c r="H2433" i="26" s="1"/>
  <c r="H2434" i="26" s="1"/>
  <c r="G2430" i="26"/>
  <c r="H2430" i="26" s="1"/>
  <c r="G2429" i="26"/>
  <c r="H2429" i="26" s="1"/>
  <c r="G2427" i="26"/>
  <c r="H2427" i="26" s="1"/>
  <c r="G2416" i="26"/>
  <c r="H2416" i="26" s="1"/>
  <c r="H2417" i="26" s="1"/>
  <c r="G2413" i="26"/>
  <c r="H2413" i="26" s="1"/>
  <c r="G2412" i="26"/>
  <c r="H2412" i="26" s="1"/>
  <c r="G2410" i="26"/>
  <c r="H2410" i="26" s="1"/>
  <c r="G2399" i="26"/>
  <c r="H2399" i="26" s="1"/>
  <c r="H2400" i="26" s="1"/>
  <c r="G2396" i="26"/>
  <c r="H2396" i="26" s="1"/>
  <c r="G2395" i="26"/>
  <c r="H2395" i="26" s="1"/>
  <c r="G2393" i="26"/>
  <c r="H2393" i="26" s="1"/>
  <c r="G2382" i="26"/>
  <c r="H2382" i="26" s="1"/>
  <c r="H2383" i="26" s="1"/>
  <c r="G2379" i="26"/>
  <c r="H2379" i="26" s="1"/>
  <c r="G2378" i="26"/>
  <c r="H2378" i="26" s="1"/>
  <c r="G2376" i="26"/>
  <c r="H2376" i="26" s="1"/>
  <c r="G2365" i="26"/>
  <c r="H2365" i="26" s="1"/>
  <c r="H2366" i="26" s="1"/>
  <c r="G2362" i="26"/>
  <c r="H2362" i="26" s="1"/>
  <c r="G2361" i="26"/>
  <c r="H2361" i="26" s="1"/>
  <c r="G2359" i="26"/>
  <c r="H2359" i="26" s="1"/>
  <c r="G2348" i="26"/>
  <c r="H2348" i="26" s="1"/>
  <c r="H2349" i="26" s="1"/>
  <c r="G2345" i="26"/>
  <c r="H2345" i="26" s="1"/>
  <c r="G2344" i="26"/>
  <c r="H2344" i="26" s="1"/>
  <c r="G2342" i="26"/>
  <c r="H2342" i="26" s="1"/>
  <c r="G2331" i="26"/>
  <c r="H2331" i="26" s="1"/>
  <c r="H2332" i="26" s="1"/>
  <c r="G2328" i="26"/>
  <c r="H2328" i="26" s="1"/>
  <c r="G2327" i="26"/>
  <c r="H2327" i="26" s="1"/>
  <c r="G2325" i="26"/>
  <c r="H2325" i="26" s="1"/>
  <c r="G2314" i="26"/>
  <c r="H2314" i="26" s="1"/>
  <c r="H2315" i="26" s="1"/>
  <c r="G2311" i="26"/>
  <c r="H2311" i="26" s="1"/>
  <c r="G2310" i="26"/>
  <c r="H2310" i="26" s="1"/>
  <c r="G2308" i="26"/>
  <c r="H2308" i="26" s="1"/>
  <c r="G2297" i="26"/>
  <c r="H2297" i="26" s="1"/>
  <c r="H2298" i="26" s="1"/>
  <c r="G2294" i="26"/>
  <c r="H2294" i="26" s="1"/>
  <c r="G2293" i="26"/>
  <c r="H2293" i="26" s="1"/>
  <c r="G2291" i="26"/>
  <c r="H2291" i="26" s="1"/>
  <c r="G2206" i="26"/>
  <c r="H2206" i="26" s="1"/>
  <c r="H2207" i="26" s="1"/>
  <c r="G2203" i="26"/>
  <c r="H2203" i="26" s="1"/>
  <c r="G2202" i="26"/>
  <c r="H2202" i="26" s="1"/>
  <c r="G2200" i="26"/>
  <c r="H2200" i="26" s="1"/>
  <c r="G2189" i="26"/>
  <c r="H2189" i="26" s="1"/>
  <c r="H2190" i="26" s="1"/>
  <c r="G2186" i="26"/>
  <c r="H2186" i="26" s="1"/>
  <c r="G2185" i="26"/>
  <c r="H2185" i="26" s="1"/>
  <c r="G2183" i="26"/>
  <c r="H2183" i="26" s="1"/>
  <c r="G2172" i="26"/>
  <c r="H2172" i="26" s="1"/>
  <c r="H2173" i="26" s="1"/>
  <c r="G2169" i="26"/>
  <c r="H2169" i="26" s="1"/>
  <c r="G2168" i="26"/>
  <c r="H2168" i="26" s="1"/>
  <c r="G2166" i="26"/>
  <c r="H2166" i="26" s="1"/>
  <c r="G2155" i="26"/>
  <c r="H2155" i="26" s="1"/>
  <c r="H2156" i="26" s="1"/>
  <c r="G2152" i="26"/>
  <c r="H2152" i="26" s="1"/>
  <c r="G2151" i="26"/>
  <c r="H2151" i="26" s="1"/>
  <c r="G2149" i="26"/>
  <c r="H2149" i="26" s="1"/>
  <c r="G2138" i="26"/>
  <c r="H2138" i="26" s="1"/>
  <c r="H2139" i="26" s="1"/>
  <c r="G2135" i="26"/>
  <c r="H2135" i="26" s="1"/>
  <c r="G2134" i="26"/>
  <c r="H2134" i="26" s="1"/>
  <c r="G2132" i="26"/>
  <c r="H2132" i="26" s="1"/>
  <c r="G2121" i="26"/>
  <c r="H2121" i="26" s="1"/>
  <c r="H2122" i="26" s="1"/>
  <c r="G2118" i="26"/>
  <c r="H2118" i="26" s="1"/>
  <c r="G2117" i="26"/>
  <c r="H2117" i="26" s="1"/>
  <c r="G2115" i="26"/>
  <c r="H2115" i="26" s="1"/>
  <c r="G2104" i="26"/>
  <c r="H2104" i="26" s="1"/>
  <c r="H2105" i="26" s="1"/>
  <c r="G2101" i="26"/>
  <c r="H2101" i="26" s="1"/>
  <c r="G2100" i="26"/>
  <c r="H2100" i="26" s="1"/>
  <c r="G2098" i="26"/>
  <c r="H2098" i="26" s="1"/>
  <c r="G2087" i="26"/>
  <c r="H2087" i="26" s="1"/>
  <c r="H2088" i="26" s="1"/>
  <c r="G2084" i="26"/>
  <c r="H2084" i="26" s="1"/>
  <c r="G2083" i="26"/>
  <c r="H2083" i="26" s="1"/>
  <c r="G2081" i="26"/>
  <c r="H2081" i="26" s="1"/>
  <c r="G2070" i="26"/>
  <c r="H2070" i="26" s="1"/>
  <c r="H2071" i="26" s="1"/>
  <c r="G2067" i="26"/>
  <c r="H2067" i="26" s="1"/>
  <c r="G2066" i="26"/>
  <c r="H2066" i="26" s="1"/>
  <c r="G2064" i="26"/>
  <c r="H2064" i="26" s="1"/>
  <c r="G2052" i="26"/>
  <c r="H2052" i="26" s="1"/>
  <c r="H2053" i="26" s="1"/>
  <c r="G2049" i="26"/>
  <c r="H2049" i="26" s="1"/>
  <c r="G2048" i="26"/>
  <c r="H2048" i="26" s="1"/>
  <c r="G2046" i="26"/>
  <c r="H2046" i="26" s="1"/>
  <c r="G2035" i="26"/>
  <c r="H2035" i="26" s="1"/>
  <c r="G2032" i="26"/>
  <c r="H2032" i="26" s="1"/>
  <c r="G2031" i="26"/>
  <c r="H2031" i="26" s="1"/>
  <c r="G2029" i="26"/>
  <c r="H2029" i="26" s="1"/>
  <c r="G2018" i="26"/>
  <c r="H2018" i="26" s="1"/>
  <c r="H2019" i="26" s="1"/>
  <c r="G2015" i="26"/>
  <c r="H2015" i="26" s="1"/>
  <c r="G2014" i="26"/>
  <c r="H2014" i="26" s="1"/>
  <c r="G2012" i="26"/>
  <c r="H2012" i="26" s="1"/>
  <c r="G2001" i="26"/>
  <c r="H2001" i="26" s="1"/>
  <c r="H2002" i="26" s="1"/>
  <c r="G1998" i="26"/>
  <c r="H1998" i="26" s="1"/>
  <c r="G1997" i="26"/>
  <c r="H1997" i="26" s="1"/>
  <c r="G1995" i="26"/>
  <c r="H1995" i="26" s="1"/>
  <c r="G1984" i="26"/>
  <c r="H1984" i="26" s="1"/>
  <c r="H1985" i="26" s="1"/>
  <c r="G1981" i="26"/>
  <c r="H1981" i="26" s="1"/>
  <c r="G1980" i="26"/>
  <c r="H1980" i="26" s="1"/>
  <c r="G1978" i="26"/>
  <c r="H1978" i="26" s="1"/>
  <c r="G1967" i="26"/>
  <c r="H1967" i="26" s="1"/>
  <c r="H1968" i="26" s="1"/>
  <c r="G1964" i="26"/>
  <c r="H1964" i="26" s="1"/>
  <c r="G1963" i="26"/>
  <c r="H1963" i="26" s="1"/>
  <c r="G1961" i="26"/>
  <c r="H1961" i="26" s="1"/>
  <c r="G1950" i="26"/>
  <c r="H1950" i="26" s="1"/>
  <c r="H1951" i="26" s="1"/>
  <c r="G1947" i="26"/>
  <c r="H1947" i="26" s="1"/>
  <c r="G1946" i="26"/>
  <c r="H1946" i="26" s="1"/>
  <c r="G1944" i="26"/>
  <c r="H1944" i="26" s="1"/>
  <c r="G1932" i="26"/>
  <c r="H1932" i="26" s="1"/>
  <c r="H1933" i="26" s="1"/>
  <c r="G1929" i="26"/>
  <c r="H1929" i="26" s="1"/>
  <c r="G1928" i="26"/>
  <c r="H1928" i="26" s="1"/>
  <c r="G1926" i="26"/>
  <c r="H1926" i="26" s="1"/>
  <c r="G1915" i="26"/>
  <c r="H1915" i="26" s="1"/>
  <c r="H1916" i="26" s="1"/>
  <c r="G1912" i="26"/>
  <c r="H1912" i="26" s="1"/>
  <c r="G1911" i="26"/>
  <c r="H1911" i="26" s="1"/>
  <c r="G1909" i="26"/>
  <c r="H1909" i="26" s="1"/>
  <c r="G1898" i="26"/>
  <c r="H1898" i="26" s="1"/>
  <c r="H1899" i="26" s="1"/>
  <c r="G1895" i="26"/>
  <c r="H1895" i="26" s="1"/>
  <c r="G1894" i="26"/>
  <c r="H1894" i="26" s="1"/>
  <c r="G1892" i="26"/>
  <c r="H1892" i="26" s="1"/>
  <c r="G1881" i="26"/>
  <c r="H1881" i="26" s="1"/>
  <c r="H1882" i="26" s="1"/>
  <c r="G1878" i="26"/>
  <c r="H1878" i="26" s="1"/>
  <c r="G1877" i="26"/>
  <c r="H1877" i="26" s="1"/>
  <c r="G1875" i="26"/>
  <c r="H1875" i="26" s="1"/>
  <c r="G1864" i="26"/>
  <c r="H1864" i="26" s="1"/>
  <c r="H1865" i="26" s="1"/>
  <c r="G1861" i="26"/>
  <c r="H1861" i="26" s="1"/>
  <c r="G1860" i="26"/>
  <c r="H1860" i="26" s="1"/>
  <c r="G1858" i="26"/>
  <c r="H1858" i="26" s="1"/>
  <c r="G1847" i="26"/>
  <c r="H1847" i="26" s="1"/>
  <c r="H1848" i="26" s="1"/>
  <c r="G1844" i="26"/>
  <c r="H1844" i="26" s="1"/>
  <c r="G1843" i="26"/>
  <c r="H1843" i="26" s="1"/>
  <c r="G1841" i="26"/>
  <c r="H1841" i="26" s="1"/>
  <c r="G1830" i="26"/>
  <c r="H1830" i="26" s="1"/>
  <c r="H1831" i="26" s="1"/>
  <c r="G1827" i="26"/>
  <c r="H1827" i="26" s="1"/>
  <c r="G1826" i="26"/>
  <c r="H1826" i="26" s="1"/>
  <c r="G1824" i="26"/>
  <c r="H1824" i="26" s="1"/>
  <c r="H1813" i="26"/>
  <c r="H1814" i="26" s="1"/>
  <c r="G1810" i="26"/>
  <c r="H1810" i="26" s="1"/>
  <c r="G1809" i="26"/>
  <c r="H1809" i="26" s="1"/>
  <c r="G1807" i="26"/>
  <c r="H1807" i="26" s="1"/>
  <c r="G1796" i="26"/>
  <c r="H1796" i="26" s="1"/>
  <c r="H1797" i="26" s="1"/>
  <c r="G1793" i="26"/>
  <c r="H1793" i="26" s="1"/>
  <c r="G1792" i="26"/>
  <c r="H1792" i="26" s="1"/>
  <c r="G1790" i="26"/>
  <c r="H1790" i="26" s="1"/>
  <c r="G1779" i="26"/>
  <c r="H1779" i="26" s="1"/>
  <c r="H1780" i="26" s="1"/>
  <c r="G1776" i="26"/>
  <c r="H1776" i="26" s="1"/>
  <c r="G1775" i="26"/>
  <c r="H1775" i="26" s="1"/>
  <c r="G1773" i="26"/>
  <c r="H1773" i="26" s="1"/>
  <c r="G1762" i="26"/>
  <c r="H1762" i="26" s="1"/>
  <c r="H1763" i="26" s="1"/>
  <c r="G1759" i="26"/>
  <c r="H1759" i="26" s="1"/>
  <c r="G1758" i="26"/>
  <c r="H1758" i="26" s="1"/>
  <c r="G1756" i="26"/>
  <c r="H1756" i="26" s="1"/>
  <c r="G1745" i="26"/>
  <c r="G1742" i="26"/>
  <c r="H1742" i="26" s="1"/>
  <c r="G1741" i="26"/>
  <c r="H1741" i="26" s="1"/>
  <c r="H1739" i="26"/>
  <c r="G1728" i="26"/>
  <c r="H1728" i="26" s="1"/>
  <c r="H1729" i="26" s="1"/>
  <c r="G1725" i="26"/>
  <c r="H1725" i="26" s="1"/>
  <c r="G1724" i="26"/>
  <c r="H1724" i="26" s="1"/>
  <c r="G1722" i="26"/>
  <c r="H1722" i="26" s="1"/>
  <c r="G1711" i="26"/>
  <c r="H1711" i="26" s="1"/>
  <c r="H1712" i="26" s="1"/>
  <c r="G1708" i="26"/>
  <c r="H1708" i="26" s="1"/>
  <c r="G1707" i="26"/>
  <c r="H1707" i="26" s="1"/>
  <c r="G1705" i="26"/>
  <c r="H1705" i="26" s="1"/>
  <c r="G1694" i="26"/>
  <c r="H1694" i="26" s="1"/>
  <c r="H1695" i="26" s="1"/>
  <c r="G1691" i="26"/>
  <c r="H1691" i="26" s="1"/>
  <c r="G1690" i="26"/>
  <c r="H1690" i="26" s="1"/>
  <c r="G1688" i="26"/>
  <c r="H1688" i="26" s="1"/>
  <c r="G1677" i="26"/>
  <c r="H1677" i="26" s="1"/>
  <c r="H1678" i="26" s="1"/>
  <c r="G1674" i="26"/>
  <c r="H1674" i="26" s="1"/>
  <c r="G1673" i="26"/>
  <c r="H1673" i="26" s="1"/>
  <c r="G1671" i="26"/>
  <c r="H1671" i="26" s="1"/>
  <c r="G1660" i="26"/>
  <c r="H1660" i="26" s="1"/>
  <c r="H1661" i="26" s="1"/>
  <c r="G1657" i="26"/>
  <c r="H1657" i="26" s="1"/>
  <c r="G1656" i="26"/>
  <c r="H1656" i="26" s="1"/>
  <c r="G1654" i="26"/>
  <c r="H1654" i="26" s="1"/>
  <c r="G1643" i="26"/>
  <c r="H1643" i="26" s="1"/>
  <c r="H1644" i="26" s="1"/>
  <c r="G1640" i="26"/>
  <c r="H1640" i="26" s="1"/>
  <c r="G1639" i="26"/>
  <c r="H1639" i="26" s="1"/>
  <c r="G1637" i="26"/>
  <c r="H1637" i="26" s="1"/>
  <c r="G1626" i="26"/>
  <c r="H1626" i="26" s="1"/>
  <c r="H1627" i="26" s="1"/>
  <c r="G1623" i="26"/>
  <c r="H1623" i="26" s="1"/>
  <c r="G1622" i="26"/>
  <c r="H1622" i="26" s="1"/>
  <c r="G1620" i="26"/>
  <c r="H1620" i="26" s="1"/>
  <c r="G1609" i="26"/>
  <c r="H1609" i="26" s="1"/>
  <c r="H1610" i="26" s="1"/>
  <c r="G1606" i="26"/>
  <c r="H1606" i="26" s="1"/>
  <c r="G1605" i="26"/>
  <c r="H1605" i="26" s="1"/>
  <c r="G1592" i="26"/>
  <c r="G1589" i="26"/>
  <c r="H1589" i="26" s="1"/>
  <c r="G1588" i="26"/>
  <c r="H1588" i="26" s="1"/>
  <c r="G1586" i="26"/>
  <c r="H1586" i="26" s="1"/>
  <c r="G1575" i="26"/>
  <c r="H1575" i="26" s="1"/>
  <c r="H1576" i="26" s="1"/>
  <c r="G1572" i="26"/>
  <c r="H1572" i="26" s="1"/>
  <c r="G1571" i="26"/>
  <c r="H1571" i="26" s="1"/>
  <c r="G1569" i="26"/>
  <c r="H1569" i="26" s="1"/>
  <c r="G1558" i="26"/>
  <c r="H1558" i="26" s="1"/>
  <c r="H1559" i="26" s="1"/>
  <c r="G1555" i="26"/>
  <c r="H1555" i="26" s="1"/>
  <c r="G1554" i="26"/>
  <c r="H1554" i="26" s="1"/>
  <c r="G1552" i="26"/>
  <c r="H1552" i="26" s="1"/>
  <c r="H1541" i="26"/>
  <c r="H1542" i="26" s="1"/>
  <c r="G1538" i="26"/>
  <c r="H1538" i="26" s="1"/>
  <c r="G1537" i="26"/>
  <c r="H1537" i="26" s="1"/>
  <c r="G1524" i="26"/>
  <c r="G1521" i="26"/>
  <c r="H1521" i="26" s="1"/>
  <c r="G1520" i="26"/>
  <c r="H1520" i="26" s="1"/>
  <c r="G1507" i="26"/>
  <c r="G1504" i="26"/>
  <c r="H1504" i="26" s="1"/>
  <c r="G1503" i="26"/>
  <c r="H1503" i="26" s="1"/>
  <c r="G1501" i="26"/>
  <c r="H1501" i="26" s="1"/>
  <c r="G1490" i="26"/>
  <c r="G1487" i="26"/>
  <c r="H1487" i="26" s="1"/>
  <c r="G1486" i="26"/>
  <c r="H1486" i="26" s="1"/>
  <c r="G1484" i="26"/>
  <c r="H1484" i="26" s="1"/>
  <c r="G1473" i="26"/>
  <c r="H1473" i="26" s="1"/>
  <c r="H1474" i="26" s="1"/>
  <c r="G1470" i="26"/>
  <c r="H1470" i="26" s="1"/>
  <c r="G1469" i="26"/>
  <c r="H1469" i="26" s="1"/>
  <c r="G1467" i="26"/>
  <c r="H1467" i="26" s="1"/>
  <c r="G1455" i="26"/>
  <c r="H1455" i="26" s="1"/>
  <c r="G1452" i="26"/>
  <c r="H1452" i="26" s="1"/>
  <c r="G1451" i="26"/>
  <c r="H1451" i="26" s="1"/>
  <c r="G1449" i="26"/>
  <c r="H1449" i="26" s="1"/>
  <c r="G1438" i="26"/>
  <c r="H1438" i="26" s="1"/>
  <c r="H1439" i="26" s="1"/>
  <c r="G1435" i="26"/>
  <c r="H1435" i="26" s="1"/>
  <c r="G1434" i="26"/>
  <c r="H1434" i="26" s="1"/>
  <c r="G1432" i="26"/>
  <c r="H1432" i="26" s="1"/>
  <c r="H1421" i="26"/>
  <c r="H1422" i="26" s="1"/>
  <c r="G1418" i="26"/>
  <c r="H1418" i="26" s="1"/>
  <c r="G1417" i="26"/>
  <c r="H1417" i="26" s="1"/>
  <c r="G1415" i="26"/>
  <c r="H1415" i="26" s="1"/>
  <c r="G1401" i="26"/>
  <c r="H1401" i="26" s="1"/>
  <c r="G1400" i="26"/>
  <c r="H1400" i="26" s="1"/>
  <c r="G1398" i="26"/>
  <c r="H1398" i="26" s="1"/>
  <c r="G1384" i="26"/>
  <c r="H1384" i="26" s="1"/>
  <c r="G1383" i="26"/>
  <c r="H1383" i="26" s="1"/>
  <c r="G1370" i="26"/>
  <c r="H1370" i="26" s="1"/>
  <c r="H1371" i="26" s="1"/>
  <c r="G1367" i="26"/>
  <c r="H1367" i="26" s="1"/>
  <c r="G1366" i="26"/>
  <c r="H1366" i="26" s="1"/>
  <c r="G1364" i="26"/>
  <c r="H1364" i="26" s="1"/>
  <c r="G1353" i="26"/>
  <c r="H1353" i="26" s="1"/>
  <c r="H1354" i="26" s="1"/>
  <c r="G1350" i="26"/>
  <c r="H1350" i="26" s="1"/>
  <c r="G1349" i="26"/>
  <c r="H1349" i="26" s="1"/>
  <c r="G1347" i="26"/>
  <c r="H1347" i="26" s="1"/>
  <c r="G1335" i="26"/>
  <c r="H1335" i="26" s="1"/>
  <c r="H1336" i="26" s="1"/>
  <c r="G1332" i="26"/>
  <c r="H1332" i="26" s="1"/>
  <c r="G1331" i="26"/>
  <c r="H1331" i="26" s="1"/>
  <c r="G1329" i="26"/>
  <c r="H1329" i="26" s="1"/>
  <c r="G1318" i="26"/>
  <c r="H1318" i="26" s="1"/>
  <c r="H1319" i="26" s="1"/>
  <c r="G1315" i="26"/>
  <c r="H1315" i="26" s="1"/>
  <c r="G1314" i="26"/>
  <c r="H1314" i="26" s="1"/>
  <c r="G1312" i="26"/>
  <c r="H1312" i="26" s="1"/>
  <c r="G1301" i="26"/>
  <c r="H1301" i="26" s="1"/>
  <c r="H1302" i="26" s="1"/>
  <c r="G1298" i="26"/>
  <c r="H1298" i="26" s="1"/>
  <c r="G1297" i="26"/>
  <c r="H1297" i="26" s="1"/>
  <c r="G1295" i="26"/>
  <c r="H1295" i="26" s="1"/>
  <c r="G1284" i="26"/>
  <c r="H1284" i="26" s="1"/>
  <c r="H1285" i="26" s="1"/>
  <c r="G1281" i="26"/>
  <c r="H1281" i="26" s="1"/>
  <c r="G1280" i="26"/>
  <c r="H1280" i="26" s="1"/>
  <c r="G1278" i="26"/>
  <c r="H1278" i="26" s="1"/>
  <c r="G1267" i="26"/>
  <c r="G1264" i="26"/>
  <c r="H1264" i="26" s="1"/>
  <c r="G1263" i="26"/>
  <c r="H1263" i="26" s="1"/>
  <c r="G1261" i="26"/>
  <c r="H1261" i="26" s="1"/>
  <c r="G1250" i="26"/>
  <c r="H1250" i="26" s="1"/>
  <c r="H1251" i="26" s="1"/>
  <c r="G1247" i="26"/>
  <c r="H1247" i="26" s="1"/>
  <c r="G1246" i="26"/>
  <c r="H1246" i="26" s="1"/>
  <c r="G1244" i="26"/>
  <c r="H1244" i="26" s="1"/>
  <c r="G1233" i="26"/>
  <c r="H1233" i="26" s="1"/>
  <c r="H1234" i="26" s="1"/>
  <c r="G1230" i="26"/>
  <c r="H1230" i="26" s="1"/>
  <c r="G1229" i="26"/>
  <c r="H1229" i="26" s="1"/>
  <c r="G1227" i="26"/>
  <c r="H1227" i="26" s="1"/>
  <c r="G1216" i="26"/>
  <c r="H1216" i="26" s="1"/>
  <c r="H1217" i="26" s="1"/>
  <c r="G1213" i="26"/>
  <c r="H1213" i="26" s="1"/>
  <c r="G1212" i="26"/>
  <c r="H1212" i="26" s="1"/>
  <c r="G1210" i="26"/>
  <c r="H1210" i="26" s="1"/>
  <c r="G1199" i="26"/>
  <c r="H1199" i="26" s="1"/>
  <c r="H1200" i="26" s="1"/>
  <c r="G1196" i="26"/>
  <c r="H1196" i="26" s="1"/>
  <c r="G1195" i="26"/>
  <c r="H1195" i="26" s="1"/>
  <c r="G1193" i="26"/>
  <c r="H1193" i="26" s="1"/>
  <c r="G1182" i="26"/>
  <c r="H1182" i="26" s="1"/>
  <c r="H1183" i="26" s="1"/>
  <c r="G1179" i="26"/>
  <c r="H1179" i="26" s="1"/>
  <c r="G1178" i="26"/>
  <c r="H1178" i="26" s="1"/>
  <c r="G1176" i="26"/>
  <c r="H1176" i="26" s="1"/>
  <c r="G1165" i="26"/>
  <c r="H1165" i="26" s="1"/>
  <c r="H1166" i="26" s="1"/>
  <c r="G1162" i="26"/>
  <c r="H1162" i="26" s="1"/>
  <c r="G1161" i="26"/>
  <c r="H1161" i="26" s="1"/>
  <c r="G1159" i="26"/>
  <c r="H1159" i="26" s="1"/>
  <c r="G1148" i="26"/>
  <c r="H1148" i="26" s="1"/>
  <c r="H1149" i="26" s="1"/>
  <c r="G1145" i="26"/>
  <c r="H1145" i="26" s="1"/>
  <c r="G1144" i="26"/>
  <c r="H1144" i="26" s="1"/>
  <c r="G1142" i="26"/>
  <c r="H1142" i="26" s="1"/>
  <c r="G1131" i="26"/>
  <c r="H1131" i="26" s="1"/>
  <c r="H1132" i="26" s="1"/>
  <c r="G1128" i="26"/>
  <c r="H1128" i="26" s="1"/>
  <c r="G1127" i="26"/>
  <c r="H1127" i="26" s="1"/>
  <c r="G1125" i="26"/>
  <c r="H1125" i="26" s="1"/>
  <c r="G1114" i="26"/>
  <c r="G1111" i="26"/>
  <c r="H1111" i="26" s="1"/>
  <c r="G1110" i="26"/>
  <c r="H1110" i="26" s="1"/>
  <c r="G1108" i="26"/>
  <c r="H1108" i="26" s="1"/>
  <c r="G1097" i="26"/>
  <c r="H1097" i="26" s="1"/>
  <c r="H1098" i="26" s="1"/>
  <c r="G1094" i="26"/>
  <c r="H1094" i="26" s="1"/>
  <c r="G1093" i="26"/>
  <c r="H1093" i="26" s="1"/>
  <c r="G1091" i="26"/>
  <c r="H1091" i="26" s="1"/>
  <c r="G1080" i="26"/>
  <c r="H1080" i="26" s="1"/>
  <c r="H1081" i="26" s="1"/>
  <c r="G1077" i="26"/>
  <c r="H1077" i="26" s="1"/>
  <c r="G1076" i="26"/>
  <c r="H1076" i="26" s="1"/>
  <c r="G1074" i="26"/>
  <c r="H1074" i="26" s="1"/>
  <c r="G953" i="26"/>
  <c r="H953" i="26" s="1"/>
  <c r="G952" i="26"/>
  <c r="H952" i="26" s="1"/>
  <c r="G949" i="26"/>
  <c r="H949" i="26" s="1"/>
  <c r="G948" i="26"/>
  <c r="H948" i="26" s="1"/>
  <c r="G946" i="26"/>
  <c r="H946" i="26" s="1"/>
  <c r="G935" i="26"/>
  <c r="H935" i="26" s="1"/>
  <c r="G934" i="26"/>
  <c r="H934" i="26" s="1"/>
  <c r="G931" i="26"/>
  <c r="H931" i="26" s="1"/>
  <c r="G930" i="26"/>
  <c r="H930" i="26" s="1"/>
  <c r="G928" i="26"/>
  <c r="H928" i="26" s="1"/>
  <c r="G917" i="26"/>
  <c r="H917" i="26" s="1"/>
  <c r="H918" i="26" s="1"/>
  <c r="G914" i="26"/>
  <c r="H914" i="26" s="1"/>
  <c r="G913" i="26"/>
  <c r="H913" i="26" s="1"/>
  <c r="G911" i="26"/>
  <c r="H911" i="26" s="1"/>
  <c r="G900" i="26"/>
  <c r="H900" i="26" s="1"/>
  <c r="H901" i="26" s="1"/>
  <c r="G897" i="26"/>
  <c r="H897" i="26" s="1"/>
  <c r="G896" i="26"/>
  <c r="H896" i="26" s="1"/>
  <c r="G894" i="26"/>
  <c r="H894" i="26" s="1"/>
  <c r="G883" i="26"/>
  <c r="G880" i="26"/>
  <c r="H880" i="26" s="1"/>
  <c r="G879" i="26"/>
  <c r="H879" i="26" s="1"/>
  <c r="G877" i="26"/>
  <c r="H877" i="26" s="1"/>
  <c r="G866" i="26"/>
  <c r="H866" i="26" s="1"/>
  <c r="H867" i="26" s="1"/>
  <c r="G863" i="26"/>
  <c r="H863" i="26" s="1"/>
  <c r="G862" i="26"/>
  <c r="H862" i="26" s="1"/>
  <c r="G860" i="26"/>
  <c r="H860" i="26" s="1"/>
  <c r="G849" i="26"/>
  <c r="H849" i="26" s="1"/>
  <c r="H850" i="26" s="1"/>
  <c r="G846" i="26"/>
  <c r="H846" i="26" s="1"/>
  <c r="G845" i="26"/>
  <c r="H845" i="26" s="1"/>
  <c r="G832" i="26"/>
  <c r="H832" i="26" s="1"/>
  <c r="H833" i="26" s="1"/>
  <c r="G829" i="26"/>
  <c r="H829" i="26" s="1"/>
  <c r="G828" i="26"/>
  <c r="H828" i="26" s="1"/>
  <c r="G814" i="26"/>
  <c r="H814" i="26" s="1"/>
  <c r="H815" i="26" s="1"/>
  <c r="G811" i="26"/>
  <c r="H811" i="26" s="1"/>
  <c r="G810" i="26"/>
  <c r="H810" i="26" s="1"/>
  <c r="G808" i="26"/>
  <c r="H808" i="26" s="1"/>
  <c r="G797" i="26"/>
  <c r="G794" i="26"/>
  <c r="H794" i="26" s="1"/>
  <c r="G793" i="26"/>
  <c r="H793" i="26" s="1"/>
  <c r="G791" i="26"/>
  <c r="H791" i="26" s="1"/>
  <c r="H781" i="26"/>
  <c r="G777" i="26"/>
  <c r="H777" i="26" s="1"/>
  <c r="G776" i="26"/>
  <c r="H776" i="26" s="1"/>
  <c r="G774" i="26"/>
  <c r="H774" i="26" s="1"/>
  <c r="G763" i="26"/>
  <c r="H763" i="26" s="1"/>
  <c r="H764" i="26" s="1"/>
  <c r="G760" i="26"/>
  <c r="H760" i="26" s="1"/>
  <c r="G759" i="26"/>
  <c r="H759" i="26" s="1"/>
  <c r="G757" i="26"/>
  <c r="H757" i="26" s="1"/>
  <c r="G746" i="26"/>
  <c r="G743" i="26"/>
  <c r="H743" i="26" s="1"/>
  <c r="G742" i="26"/>
  <c r="H742" i="26" s="1"/>
  <c r="G740" i="26"/>
  <c r="H740" i="26" s="1"/>
  <c r="G729" i="26"/>
  <c r="G726" i="26"/>
  <c r="H726" i="26" s="1"/>
  <c r="G725" i="26"/>
  <c r="H725" i="26" s="1"/>
  <c r="G723" i="26"/>
  <c r="H723" i="26" s="1"/>
  <c r="G712" i="26"/>
  <c r="G709" i="26"/>
  <c r="H709" i="26" s="1"/>
  <c r="G708" i="26"/>
  <c r="H708" i="26" s="1"/>
  <c r="G706" i="26"/>
  <c r="H706" i="26" s="1"/>
  <c r="G695" i="26"/>
  <c r="H695" i="26" s="1"/>
  <c r="H696" i="26" s="1"/>
  <c r="G692" i="26"/>
  <c r="H692" i="26" s="1"/>
  <c r="G691" i="26"/>
  <c r="H691" i="26" s="1"/>
  <c r="G689" i="26"/>
  <c r="H689" i="26" s="1"/>
  <c r="G678" i="26"/>
  <c r="H678" i="26" s="1"/>
  <c r="H679" i="26" s="1"/>
  <c r="G675" i="26"/>
  <c r="H675" i="26" s="1"/>
  <c r="G674" i="26"/>
  <c r="H674" i="26" s="1"/>
  <c r="G672" i="26"/>
  <c r="H672" i="26" s="1"/>
  <c r="G661" i="26"/>
  <c r="H661" i="26" s="1"/>
  <c r="H662" i="26" s="1"/>
  <c r="G658" i="26"/>
  <c r="H658" i="26" s="1"/>
  <c r="G657" i="26"/>
  <c r="H657" i="26" s="1"/>
  <c r="G655" i="26"/>
  <c r="H655" i="26" s="1"/>
  <c r="G644" i="26"/>
  <c r="G641" i="26"/>
  <c r="H641" i="26" s="1"/>
  <c r="G640" i="26"/>
  <c r="H640" i="26" s="1"/>
  <c r="G638" i="26"/>
  <c r="H638" i="26" s="1"/>
  <c r="G627" i="26"/>
  <c r="H627" i="26" s="1"/>
  <c r="H628" i="26" s="1"/>
  <c r="G624" i="26"/>
  <c r="H624" i="26" s="1"/>
  <c r="G623" i="26"/>
  <c r="H623" i="26" s="1"/>
  <c r="G621" i="26"/>
  <c r="H621" i="26" s="1"/>
  <c r="G610" i="26"/>
  <c r="H610" i="26" s="1"/>
  <c r="H611" i="26" s="1"/>
  <c r="G607" i="26"/>
  <c r="H607" i="26" s="1"/>
  <c r="G606" i="26"/>
  <c r="H606" i="26" s="1"/>
  <c r="G604" i="26"/>
  <c r="H604" i="26" s="1"/>
  <c r="G593" i="26"/>
  <c r="H593" i="26" s="1"/>
  <c r="H594" i="26" s="1"/>
  <c r="G590" i="26"/>
  <c r="H590" i="26" s="1"/>
  <c r="G589" i="26"/>
  <c r="H589" i="26" s="1"/>
  <c r="G587" i="26"/>
  <c r="H587" i="26" s="1"/>
  <c r="H577" i="26"/>
  <c r="G573" i="26"/>
  <c r="H573" i="26" s="1"/>
  <c r="G572" i="26"/>
  <c r="H572" i="26" s="1"/>
  <c r="G570" i="26"/>
  <c r="H570" i="26" s="1"/>
  <c r="G559" i="26"/>
  <c r="H559" i="26" s="1"/>
  <c r="H560" i="26" s="1"/>
  <c r="G556" i="26"/>
  <c r="H556" i="26" s="1"/>
  <c r="G555" i="26"/>
  <c r="H555" i="26" s="1"/>
  <c r="G553" i="26"/>
  <c r="H553" i="26" s="1"/>
  <c r="G542" i="26"/>
  <c r="H542" i="26" s="1"/>
  <c r="H543" i="26" s="1"/>
  <c r="G539" i="26"/>
  <c r="H539" i="26" s="1"/>
  <c r="G538" i="26"/>
  <c r="H538" i="26" s="1"/>
  <c r="G536" i="26"/>
  <c r="H536" i="26" s="1"/>
  <c r="G525" i="26"/>
  <c r="H525" i="26" s="1"/>
  <c r="H526" i="26" s="1"/>
  <c r="G522" i="26"/>
  <c r="H522" i="26" s="1"/>
  <c r="G521" i="26"/>
  <c r="H521" i="26" s="1"/>
  <c r="G519" i="26"/>
  <c r="H519" i="26" s="1"/>
  <c r="G508" i="26"/>
  <c r="H508" i="26" s="1"/>
  <c r="H509" i="26" s="1"/>
  <c r="G505" i="26"/>
  <c r="H505" i="26" s="1"/>
  <c r="G504" i="26"/>
  <c r="H504" i="26" s="1"/>
  <c r="G502" i="26"/>
  <c r="H502" i="26" s="1"/>
  <c r="G491" i="26"/>
  <c r="H491" i="26" s="1"/>
  <c r="H492" i="26" s="1"/>
  <c r="G488" i="26"/>
  <c r="H488" i="26" s="1"/>
  <c r="G487" i="26"/>
  <c r="H487" i="26" s="1"/>
  <c r="G474" i="26"/>
  <c r="H474" i="26" s="1"/>
  <c r="H475" i="26" s="1"/>
  <c r="H471" i="26"/>
  <c r="G470" i="26"/>
  <c r="H470" i="26" s="1"/>
  <c r="G468" i="26"/>
  <c r="H468" i="26" s="1"/>
  <c r="G457" i="26"/>
  <c r="G454" i="26"/>
  <c r="H454" i="26" s="1"/>
  <c r="G453" i="26"/>
  <c r="H453" i="26" s="1"/>
  <c r="G451" i="26"/>
  <c r="H451" i="26" s="1"/>
  <c r="G440" i="26"/>
  <c r="G437" i="26"/>
  <c r="H437" i="26" s="1"/>
  <c r="G436" i="26"/>
  <c r="H436" i="26" s="1"/>
  <c r="G434" i="26"/>
  <c r="H434" i="26" s="1"/>
  <c r="G423" i="26"/>
  <c r="H423" i="26" s="1"/>
  <c r="H424" i="26" s="1"/>
  <c r="G420" i="26"/>
  <c r="H420" i="26" s="1"/>
  <c r="G419" i="26"/>
  <c r="H419" i="26" s="1"/>
  <c r="G417" i="26"/>
  <c r="H417" i="26" s="1"/>
  <c r="G406" i="26"/>
  <c r="H406" i="26" s="1"/>
  <c r="H407" i="26" s="1"/>
  <c r="G403" i="26"/>
  <c r="H403" i="26" s="1"/>
  <c r="G402" i="26"/>
  <c r="H402" i="26" s="1"/>
  <c r="G400" i="26"/>
  <c r="H400" i="26" s="1"/>
  <c r="H389" i="26"/>
  <c r="H390" i="26" s="1"/>
  <c r="G386" i="26"/>
  <c r="H386" i="26" s="1"/>
  <c r="G385" i="26"/>
  <c r="H385" i="26" s="1"/>
  <c r="G383" i="26"/>
  <c r="H383" i="26" s="1"/>
  <c r="G372" i="26"/>
  <c r="H372" i="26" s="1"/>
  <c r="H373" i="26" s="1"/>
  <c r="G369" i="26"/>
  <c r="H369" i="26" s="1"/>
  <c r="G368" i="26"/>
  <c r="H368" i="26" s="1"/>
  <c r="G366" i="26"/>
  <c r="H366" i="26" s="1"/>
  <c r="G355" i="26"/>
  <c r="H355" i="26" s="1"/>
  <c r="H356" i="26" s="1"/>
  <c r="G352" i="26"/>
  <c r="H352" i="26" s="1"/>
  <c r="G351" i="26"/>
  <c r="H351" i="26" s="1"/>
  <c r="H349" i="26"/>
  <c r="G338" i="26"/>
  <c r="H338" i="26" s="1"/>
  <c r="H339" i="26" s="1"/>
  <c r="G335" i="26"/>
  <c r="H335" i="26" s="1"/>
  <c r="G334" i="26"/>
  <c r="H334" i="26" s="1"/>
  <c r="G332" i="26"/>
  <c r="H332" i="26" s="1"/>
  <c r="G321" i="26"/>
  <c r="H321" i="26" s="1"/>
  <c r="H322" i="26" s="1"/>
  <c r="G318" i="26"/>
  <c r="H318" i="26" s="1"/>
  <c r="G317" i="26"/>
  <c r="H317" i="26" s="1"/>
  <c r="G315" i="26"/>
  <c r="H315" i="26" s="1"/>
  <c r="G304" i="26"/>
  <c r="H304" i="26" s="1"/>
  <c r="H305" i="26" s="1"/>
  <c r="G301" i="26"/>
  <c r="H301" i="26" s="1"/>
  <c r="G300" i="26"/>
  <c r="H300" i="26" s="1"/>
  <c r="G298" i="26"/>
  <c r="H298" i="26" s="1"/>
  <c r="G287" i="26"/>
  <c r="G284" i="26"/>
  <c r="H284" i="26" s="1"/>
  <c r="G283" i="26"/>
  <c r="H283" i="26" s="1"/>
  <c r="G281" i="26"/>
  <c r="H281" i="26" s="1"/>
  <c r="G270" i="26"/>
  <c r="H270" i="26" s="1"/>
  <c r="H271" i="26" s="1"/>
  <c r="G267" i="26"/>
  <c r="H267" i="26" s="1"/>
  <c r="G266" i="26"/>
  <c r="H266" i="26" s="1"/>
  <c r="G264" i="26"/>
  <c r="H264" i="26" s="1"/>
  <c r="G253" i="26"/>
  <c r="H253" i="26" s="1"/>
  <c r="H254" i="26" s="1"/>
  <c r="G250" i="26"/>
  <c r="H250" i="26" s="1"/>
  <c r="G249" i="26"/>
  <c r="H249" i="26" s="1"/>
  <c r="G247" i="26"/>
  <c r="H247" i="26" s="1"/>
  <c r="G236" i="26"/>
  <c r="H236" i="26" s="1"/>
  <c r="H237" i="26" s="1"/>
  <c r="G233" i="26"/>
  <c r="H233" i="26" s="1"/>
  <c r="G232" i="26"/>
  <c r="H232" i="26" s="1"/>
  <c r="G230" i="26"/>
  <c r="H230" i="26" s="1"/>
  <c r="G219" i="26"/>
  <c r="H219" i="26" s="1"/>
  <c r="H220" i="26" s="1"/>
  <c r="G216" i="26"/>
  <c r="H216" i="26" s="1"/>
  <c r="G215" i="26"/>
  <c r="H215" i="26" s="1"/>
  <c r="G213" i="26"/>
  <c r="H213" i="26" s="1"/>
  <c r="G202" i="26"/>
  <c r="H202" i="26" s="1"/>
  <c r="H203" i="26" s="1"/>
  <c r="G199" i="26"/>
  <c r="H199" i="26" s="1"/>
  <c r="G198" i="26"/>
  <c r="H198" i="26" s="1"/>
  <c r="G196" i="26"/>
  <c r="H196" i="26" s="1"/>
  <c r="H185" i="26"/>
  <c r="H186" i="26" s="1"/>
  <c r="G182" i="26"/>
  <c r="H182" i="26" s="1"/>
  <c r="G181" i="26"/>
  <c r="H181" i="26" s="1"/>
  <c r="G179" i="26"/>
  <c r="H179" i="26" s="1"/>
  <c r="G168" i="26"/>
  <c r="H168" i="26" s="1"/>
  <c r="H169" i="26" s="1"/>
  <c r="G165" i="26"/>
  <c r="H165" i="26" s="1"/>
  <c r="G164" i="26"/>
  <c r="H164" i="26" s="1"/>
  <c r="G162" i="26"/>
  <c r="H162" i="26" s="1"/>
  <c r="G151" i="26"/>
  <c r="H151" i="26" s="1"/>
  <c r="H152" i="26" s="1"/>
  <c r="G148" i="26"/>
  <c r="H148" i="26" s="1"/>
  <c r="G147" i="26"/>
  <c r="H147" i="26" s="1"/>
  <c r="G145" i="26"/>
  <c r="H145" i="26" s="1"/>
  <c r="G134" i="26"/>
  <c r="H134" i="26" s="1"/>
  <c r="H135" i="26" s="1"/>
  <c r="G131" i="26"/>
  <c r="H131" i="26" s="1"/>
  <c r="G130" i="26"/>
  <c r="H130" i="26" s="1"/>
  <c r="G128" i="26"/>
  <c r="H128" i="26" s="1"/>
  <c r="G117" i="26"/>
  <c r="G114" i="26"/>
  <c r="H114" i="26" s="1"/>
  <c r="G113" i="26"/>
  <c r="H113" i="26" s="1"/>
  <c r="G111" i="26"/>
  <c r="H111" i="26" s="1"/>
  <c r="G100" i="26"/>
  <c r="G97" i="26"/>
  <c r="H97" i="26" s="1"/>
  <c r="G96" i="26"/>
  <c r="H96" i="26" s="1"/>
  <c r="G94" i="26"/>
  <c r="H94" i="26" s="1"/>
  <c r="G83" i="26"/>
  <c r="H83" i="26" s="1"/>
  <c r="H84" i="26" s="1"/>
  <c r="G80" i="26"/>
  <c r="H80" i="26" s="1"/>
  <c r="G79" i="26"/>
  <c r="H79" i="26" s="1"/>
  <c r="G77" i="26"/>
  <c r="H77" i="26" s="1"/>
  <c r="G66" i="26"/>
  <c r="H66" i="26" s="1"/>
  <c r="H67" i="26" s="1"/>
  <c r="G63" i="26"/>
  <c r="H63" i="26" s="1"/>
  <c r="G62" i="26"/>
  <c r="H62" i="26" s="1"/>
  <c r="G60" i="26"/>
  <c r="H60" i="26" s="1"/>
  <c r="G49" i="26"/>
  <c r="G46" i="26"/>
  <c r="H46" i="26" s="1"/>
  <c r="G45" i="26"/>
  <c r="H45" i="26" s="1"/>
  <c r="G43" i="26"/>
  <c r="H43" i="26" s="1"/>
  <c r="G32" i="26"/>
  <c r="H32" i="26" s="1"/>
  <c r="H33" i="26" s="1"/>
  <c r="G29" i="26"/>
  <c r="H29" i="26" s="1"/>
  <c r="G28" i="26"/>
  <c r="H28" i="26" s="1"/>
  <c r="G26" i="26"/>
  <c r="H26" i="26" s="1"/>
  <c r="G20" i="26"/>
  <c r="G15" i="26"/>
  <c r="H15" i="26" s="1"/>
  <c r="H16" i="26" s="1"/>
  <c r="G12" i="26"/>
  <c r="H12" i="26" s="1"/>
  <c r="G11" i="26"/>
  <c r="H11" i="26" s="1"/>
  <c r="G10" i="26"/>
  <c r="H10" i="26" s="1"/>
  <c r="G9" i="26"/>
  <c r="H9" i="26" s="1"/>
  <c r="F440" i="26"/>
  <c r="F287" i="26"/>
  <c r="F100" i="26"/>
  <c r="D27" i="26"/>
  <c r="G355" i="25"/>
  <c r="G337" i="25"/>
  <c r="G319" i="25"/>
  <c r="G301" i="25"/>
  <c r="G283" i="25"/>
  <c r="G265" i="25"/>
  <c r="G247" i="25"/>
  <c r="G229" i="25"/>
  <c r="G211" i="25"/>
  <c r="G346" i="25"/>
  <c r="H346" i="25" s="1"/>
  <c r="G345" i="25"/>
  <c r="H345" i="25" s="1"/>
  <c r="G343" i="25"/>
  <c r="H343" i="25" s="1"/>
  <c r="G328" i="25"/>
  <c r="H328" i="25" s="1"/>
  <c r="G327" i="25"/>
  <c r="H327" i="25" s="1"/>
  <c r="G325" i="25"/>
  <c r="H325" i="25" s="1"/>
  <c r="G313" i="25"/>
  <c r="G310" i="25"/>
  <c r="H310" i="25" s="1"/>
  <c r="G309" i="25"/>
  <c r="H309" i="25" s="1"/>
  <c r="G307" i="25"/>
  <c r="H307" i="25" s="1"/>
  <c r="G295" i="25"/>
  <c r="G292" i="25"/>
  <c r="H292" i="25" s="1"/>
  <c r="G291" i="25"/>
  <c r="H291" i="25" s="1"/>
  <c r="G289" i="25"/>
  <c r="H289" i="25" s="1"/>
  <c r="G277" i="25"/>
  <c r="G274" i="25"/>
  <c r="H274" i="25" s="1"/>
  <c r="G273" i="25"/>
  <c r="H273" i="25" s="1"/>
  <c r="G271" i="25"/>
  <c r="H271" i="25" s="1"/>
  <c r="G259" i="25"/>
  <c r="G256" i="25"/>
  <c r="H256" i="25" s="1"/>
  <c r="G255" i="25"/>
  <c r="H255" i="25" s="1"/>
  <c r="G253" i="25"/>
  <c r="H253" i="25" s="1"/>
  <c r="G241" i="25"/>
  <c r="H241" i="25" s="1"/>
  <c r="G238" i="25"/>
  <c r="H238" i="25" s="1"/>
  <c r="G237" i="25"/>
  <c r="H237" i="25" s="1"/>
  <c r="G235" i="25"/>
  <c r="H235" i="25" s="1"/>
  <c r="G223" i="25"/>
  <c r="H223" i="25" s="1"/>
  <c r="G220" i="25"/>
  <c r="H220" i="25" s="1"/>
  <c r="G219" i="25"/>
  <c r="H219" i="25" s="1"/>
  <c r="G217" i="25"/>
  <c r="H217" i="25" s="1"/>
  <c r="H205" i="25"/>
  <c r="H207" i="25" s="1"/>
  <c r="G202" i="25"/>
  <c r="H202" i="25" s="1"/>
  <c r="G201" i="25"/>
  <c r="H201" i="25" s="1"/>
  <c r="G200" i="25"/>
  <c r="H200" i="25" s="1"/>
  <c r="G199" i="25"/>
  <c r="H199" i="25" s="1"/>
  <c r="F259" i="25"/>
  <c r="D218" i="25"/>
  <c r="G67" i="24"/>
  <c r="G45" i="24"/>
  <c r="G62" i="24"/>
  <c r="H62" i="24" s="1"/>
  <c r="G61" i="24"/>
  <c r="H61" i="24" s="1"/>
  <c r="G60" i="24"/>
  <c r="H60" i="24" s="1"/>
  <c r="G59" i="24"/>
  <c r="H59" i="24" s="1"/>
  <c r="G57" i="24"/>
  <c r="H57" i="24" s="1"/>
  <c r="G54" i="24"/>
  <c r="H54" i="24" s="1"/>
  <c r="G53" i="24"/>
  <c r="H53" i="24" s="1"/>
  <c r="G52" i="24"/>
  <c r="H52" i="24" s="1"/>
  <c r="G51" i="24"/>
  <c r="H51" i="24" s="1"/>
  <c r="G40" i="24"/>
  <c r="H40" i="24" s="1"/>
  <c r="G39" i="24"/>
  <c r="H39" i="24" s="1"/>
  <c r="G38" i="24"/>
  <c r="H38" i="24" s="1"/>
  <c r="G37" i="24"/>
  <c r="H37" i="24" s="1"/>
  <c r="G35" i="24"/>
  <c r="H35" i="24" s="1"/>
  <c r="G32" i="24"/>
  <c r="H32" i="24" s="1"/>
  <c r="G31" i="24"/>
  <c r="H31" i="24" s="1"/>
  <c r="G30" i="24"/>
  <c r="H30" i="24" s="1"/>
  <c r="G29" i="24"/>
  <c r="H29" i="24" s="1"/>
  <c r="G18" i="24"/>
  <c r="H18" i="24" s="1"/>
  <c r="G17" i="24"/>
  <c r="H17" i="24" s="1"/>
  <c r="G16" i="24"/>
  <c r="H16" i="24" s="1"/>
  <c r="G15" i="24"/>
  <c r="H15" i="24" s="1"/>
  <c r="G13" i="24"/>
  <c r="H13" i="24" s="1"/>
  <c r="G10" i="24"/>
  <c r="H10" i="24" s="1"/>
  <c r="G9" i="24"/>
  <c r="H9" i="24" s="1"/>
  <c r="G8" i="24"/>
  <c r="H8" i="24" s="1"/>
  <c r="G7" i="24"/>
  <c r="H7" i="24" s="1"/>
  <c r="G23" i="24"/>
  <c r="G175" i="23"/>
  <c r="G158" i="23"/>
  <c r="G141" i="23"/>
  <c r="G123" i="23"/>
  <c r="G88" i="23"/>
  <c r="G71" i="23"/>
  <c r="G54" i="23"/>
  <c r="G37" i="23"/>
  <c r="G19" i="23"/>
  <c r="G170" i="23"/>
  <c r="H170" i="23" s="1"/>
  <c r="H171" i="23" s="1"/>
  <c r="G167" i="23"/>
  <c r="H167" i="23" s="1"/>
  <c r="G166" i="23"/>
  <c r="H166" i="23" s="1"/>
  <c r="G164" i="23"/>
  <c r="H164" i="23" s="1"/>
  <c r="G153" i="23"/>
  <c r="H153" i="23" s="1"/>
  <c r="H154" i="23" s="1"/>
  <c r="G150" i="23"/>
  <c r="H150" i="23" s="1"/>
  <c r="G149" i="23"/>
  <c r="H149" i="23" s="1"/>
  <c r="G147" i="23"/>
  <c r="H147" i="23" s="1"/>
  <c r="G136" i="23"/>
  <c r="H136" i="23" s="1"/>
  <c r="H137" i="23" s="1"/>
  <c r="G133" i="23"/>
  <c r="H133" i="23" s="1"/>
  <c r="G132" i="23"/>
  <c r="H132" i="23" s="1"/>
  <c r="G130" i="23"/>
  <c r="H130" i="23" s="1"/>
  <c r="G118" i="23"/>
  <c r="H118" i="23" s="1"/>
  <c r="H119" i="23" s="1"/>
  <c r="G115" i="23"/>
  <c r="H115" i="23" s="1"/>
  <c r="G114" i="23"/>
  <c r="H114" i="23" s="1"/>
  <c r="G112" i="23"/>
  <c r="H112" i="23" s="1"/>
  <c r="G83" i="23"/>
  <c r="H83" i="23" s="1"/>
  <c r="H84" i="23" s="1"/>
  <c r="G80" i="23"/>
  <c r="H80" i="23" s="1"/>
  <c r="G79" i="23"/>
  <c r="H79" i="23" s="1"/>
  <c r="G77" i="23"/>
  <c r="H77" i="23" s="1"/>
  <c r="G66" i="23"/>
  <c r="G63" i="23"/>
  <c r="H63" i="23" s="1"/>
  <c r="G62" i="23"/>
  <c r="H62" i="23" s="1"/>
  <c r="G60" i="23"/>
  <c r="H60" i="23" s="1"/>
  <c r="G49" i="23"/>
  <c r="G46" i="23"/>
  <c r="H46" i="23" s="1"/>
  <c r="G45" i="23"/>
  <c r="H45" i="23" s="1"/>
  <c r="G43" i="23"/>
  <c r="H43" i="23" s="1"/>
  <c r="G32" i="23"/>
  <c r="G29" i="23"/>
  <c r="H29" i="23" s="1"/>
  <c r="G28" i="23"/>
  <c r="H28" i="23" s="1"/>
  <c r="G26" i="23"/>
  <c r="H26" i="23" s="1"/>
  <c r="G14" i="23"/>
  <c r="H14" i="23" s="1"/>
  <c r="H15" i="23" s="1"/>
  <c r="G11" i="23"/>
  <c r="H11" i="23" s="1"/>
  <c r="G10" i="23"/>
  <c r="H10" i="23" s="1"/>
  <c r="G9" i="23"/>
  <c r="H9" i="23" s="1"/>
  <c r="F32" i="23"/>
  <c r="F49" i="23" s="1"/>
  <c r="F66" i="23" s="1"/>
  <c r="D27" i="23"/>
  <c r="G629" i="22"/>
  <c r="G626" i="22"/>
  <c r="H626" i="22" s="1"/>
  <c r="G625" i="22"/>
  <c r="H625" i="22" s="1"/>
  <c r="G612" i="22"/>
  <c r="G609" i="22"/>
  <c r="H609" i="22" s="1"/>
  <c r="G608" i="22"/>
  <c r="H608" i="22" s="1"/>
  <c r="G606" i="22"/>
  <c r="H606" i="22" s="1"/>
  <c r="G595" i="22"/>
  <c r="G592" i="22"/>
  <c r="H592" i="22" s="1"/>
  <c r="G591" i="22"/>
  <c r="H591" i="22" s="1"/>
  <c r="G589" i="22"/>
  <c r="H589" i="22" s="1"/>
  <c r="G578" i="22"/>
  <c r="G575" i="22"/>
  <c r="H575" i="22" s="1"/>
  <c r="G574" i="22"/>
  <c r="H574" i="22" s="1"/>
  <c r="G572" i="22"/>
  <c r="H572" i="22" s="1"/>
  <c r="G561" i="22"/>
  <c r="G558" i="22"/>
  <c r="H558" i="22" s="1"/>
  <c r="G557" i="22"/>
  <c r="H557" i="22" s="1"/>
  <c r="G555" i="22"/>
  <c r="H555" i="22" s="1"/>
  <c r="G543" i="22"/>
  <c r="G540" i="22"/>
  <c r="H540" i="22" s="1"/>
  <c r="G539" i="22"/>
  <c r="H539" i="22" s="1"/>
  <c r="G526" i="22"/>
  <c r="G523" i="22"/>
  <c r="H523" i="22" s="1"/>
  <c r="G522" i="22"/>
  <c r="H522" i="22" s="1"/>
  <c r="G520" i="22"/>
  <c r="H520" i="22" s="1"/>
  <c r="G509" i="22"/>
  <c r="G506" i="22"/>
  <c r="H506" i="22" s="1"/>
  <c r="G505" i="22"/>
  <c r="H505" i="22" s="1"/>
  <c r="G492" i="22"/>
  <c r="H492" i="22" s="1"/>
  <c r="H493" i="22" s="1"/>
  <c r="G489" i="22"/>
  <c r="H489" i="22" s="1"/>
  <c r="G488" i="22"/>
  <c r="H488" i="22" s="1"/>
  <c r="G486" i="22"/>
  <c r="H486" i="22" s="1"/>
  <c r="G475" i="22"/>
  <c r="H475" i="22" s="1"/>
  <c r="H476" i="22" s="1"/>
  <c r="G472" i="22"/>
  <c r="H472" i="22" s="1"/>
  <c r="G471" i="22"/>
  <c r="H471" i="22" s="1"/>
  <c r="G469" i="22"/>
  <c r="H469" i="22" s="1"/>
  <c r="G440" i="22"/>
  <c r="G437" i="22"/>
  <c r="H437" i="22" s="1"/>
  <c r="G436" i="22"/>
  <c r="H436" i="22" s="1"/>
  <c r="G434" i="22"/>
  <c r="H434" i="22" s="1"/>
  <c r="G423" i="22"/>
  <c r="H423" i="22" s="1"/>
  <c r="H424" i="22" s="1"/>
  <c r="G420" i="22"/>
  <c r="H420" i="22" s="1"/>
  <c r="G419" i="22"/>
  <c r="H419" i="22" s="1"/>
  <c r="G417" i="22"/>
  <c r="H417" i="22" s="1"/>
  <c r="G406" i="22"/>
  <c r="G403" i="22"/>
  <c r="H403" i="22" s="1"/>
  <c r="G402" i="22"/>
  <c r="H402" i="22" s="1"/>
  <c r="G400" i="22"/>
  <c r="H400" i="22" s="1"/>
  <c r="G389" i="22"/>
  <c r="G386" i="22"/>
  <c r="H386" i="22" s="1"/>
  <c r="G385" i="22"/>
  <c r="H385" i="22" s="1"/>
  <c r="G383" i="22"/>
  <c r="H383" i="22" s="1"/>
  <c r="G372" i="22"/>
  <c r="H372" i="22" s="1"/>
  <c r="H373" i="22" s="1"/>
  <c r="G369" i="22"/>
  <c r="H369" i="22" s="1"/>
  <c r="G368" i="22"/>
  <c r="H368" i="22" s="1"/>
  <c r="G366" i="22"/>
  <c r="H366" i="22" s="1"/>
  <c r="G355" i="22"/>
  <c r="G352" i="22"/>
  <c r="H352" i="22" s="1"/>
  <c r="G351" i="22"/>
  <c r="H351" i="22" s="1"/>
  <c r="G349" i="22"/>
  <c r="H349" i="22" s="1"/>
  <c r="G338" i="22"/>
  <c r="G335" i="22"/>
  <c r="H335" i="22" s="1"/>
  <c r="G334" i="22"/>
  <c r="H334" i="22" s="1"/>
  <c r="G333" i="22"/>
  <c r="H333" i="22" s="1"/>
  <c r="G332" i="22"/>
  <c r="H332" i="22" s="1"/>
  <c r="G321" i="22"/>
  <c r="H321" i="22" s="1"/>
  <c r="H322" i="22" s="1"/>
  <c r="G318" i="22"/>
  <c r="H318" i="22" s="1"/>
  <c r="G317" i="22"/>
  <c r="H317" i="22" s="1"/>
  <c r="G316" i="22"/>
  <c r="H316" i="22" s="1"/>
  <c r="G315" i="22"/>
  <c r="H315" i="22" s="1"/>
  <c r="G235" i="22"/>
  <c r="G232" i="22"/>
  <c r="H232" i="22" s="1"/>
  <c r="G231" i="22"/>
  <c r="H231" i="22" s="1"/>
  <c r="G229" i="22"/>
  <c r="H229" i="22" s="1"/>
  <c r="G218" i="22"/>
  <c r="G215" i="22"/>
  <c r="H215" i="22" s="1"/>
  <c r="G214" i="22"/>
  <c r="H214" i="22" s="1"/>
  <c r="G212" i="22"/>
  <c r="H212" i="22" s="1"/>
  <c r="G201" i="22"/>
  <c r="H201" i="22" s="1"/>
  <c r="H202" i="22" s="1"/>
  <c r="G198" i="22"/>
  <c r="H198" i="22" s="1"/>
  <c r="G197" i="22"/>
  <c r="H197" i="22" s="1"/>
  <c r="G195" i="22"/>
  <c r="H195" i="22" s="1"/>
  <c r="G184" i="22"/>
  <c r="H184" i="22" s="1"/>
  <c r="H185" i="22" s="1"/>
  <c r="G181" i="22"/>
  <c r="H181" i="22" s="1"/>
  <c r="G180" i="22"/>
  <c r="H180" i="22" s="1"/>
  <c r="G178" i="22"/>
  <c r="H178" i="22" s="1"/>
  <c r="G167" i="22"/>
  <c r="G164" i="22"/>
  <c r="H164" i="22" s="1"/>
  <c r="G163" i="22"/>
  <c r="H163" i="22" s="1"/>
  <c r="G161" i="22"/>
  <c r="H161" i="22" s="1"/>
  <c r="G150" i="22"/>
  <c r="G147" i="22"/>
  <c r="H147" i="22" s="1"/>
  <c r="G146" i="22"/>
  <c r="H146" i="22" s="1"/>
  <c r="G144" i="22"/>
  <c r="H144" i="22" s="1"/>
  <c r="G133" i="22"/>
  <c r="H133" i="22" s="1"/>
  <c r="H134" i="22" s="1"/>
  <c r="G130" i="22"/>
  <c r="H130" i="22" s="1"/>
  <c r="G129" i="22"/>
  <c r="H129" i="22" s="1"/>
  <c r="G127" i="22"/>
  <c r="H127" i="22" s="1"/>
  <c r="G116" i="22"/>
  <c r="H116" i="22" s="1"/>
  <c r="H117" i="22" s="1"/>
  <c r="G113" i="22"/>
  <c r="H113" i="22" s="1"/>
  <c r="G112" i="22"/>
  <c r="H112" i="22" s="1"/>
  <c r="G110" i="22"/>
  <c r="H110" i="22" s="1"/>
  <c r="G99" i="22"/>
  <c r="G96" i="22"/>
  <c r="H96" i="22" s="1"/>
  <c r="G95" i="22"/>
  <c r="H95" i="22" s="1"/>
  <c r="G93" i="22"/>
  <c r="H93" i="22" s="1"/>
  <c r="G82" i="22"/>
  <c r="G79" i="22"/>
  <c r="H79" i="22" s="1"/>
  <c r="G78" i="22"/>
  <c r="H78" i="22" s="1"/>
  <c r="G76" i="22"/>
  <c r="H76" i="22" s="1"/>
  <c r="G65" i="22"/>
  <c r="H65" i="22" s="1"/>
  <c r="H66" i="22" s="1"/>
  <c r="G62" i="22"/>
  <c r="H62" i="22" s="1"/>
  <c r="G61" i="22"/>
  <c r="H61" i="22" s="1"/>
  <c r="G59" i="22"/>
  <c r="H59" i="22" s="1"/>
  <c r="G48" i="22"/>
  <c r="H48" i="22" s="1"/>
  <c r="H49" i="22" s="1"/>
  <c r="G45" i="22"/>
  <c r="H45" i="22" s="1"/>
  <c r="G44" i="22"/>
  <c r="H44" i="22" s="1"/>
  <c r="G42" i="22"/>
  <c r="H42" i="22" s="1"/>
  <c r="G31" i="22"/>
  <c r="H31" i="22" s="1"/>
  <c r="H32" i="22" s="1"/>
  <c r="G28" i="22"/>
  <c r="H28" i="22" s="1"/>
  <c r="G27" i="22"/>
  <c r="H27" i="22" s="1"/>
  <c r="G25" i="22"/>
  <c r="H25" i="22" s="1"/>
  <c r="G14" i="22"/>
  <c r="H14" i="22" s="1"/>
  <c r="H15" i="22" s="1"/>
  <c r="G11" i="22"/>
  <c r="H11" i="22" s="1"/>
  <c r="G10" i="22"/>
  <c r="H10" i="22" s="1"/>
  <c r="G9" i="22"/>
  <c r="H9" i="22" s="1"/>
  <c r="G8" i="22"/>
  <c r="H8" i="22" s="1"/>
  <c r="G19" i="22"/>
  <c r="G412" i="21"/>
  <c r="G395" i="21"/>
  <c r="G430" i="21"/>
  <c r="G377" i="21"/>
  <c r="G360" i="21"/>
  <c r="G343" i="21"/>
  <c r="G326" i="21"/>
  <c r="G308" i="21"/>
  <c r="G289" i="21"/>
  <c r="G271" i="21"/>
  <c r="G252" i="21"/>
  <c r="G230" i="21"/>
  <c r="G211" i="21"/>
  <c r="G192" i="21"/>
  <c r="G172" i="21"/>
  <c r="G153" i="21"/>
  <c r="G135" i="21"/>
  <c r="G115" i="21"/>
  <c r="G97" i="21"/>
  <c r="G79" i="21"/>
  <c r="G407" i="21"/>
  <c r="G404" i="21"/>
  <c r="G403" i="21"/>
  <c r="G402" i="21"/>
  <c r="G401" i="21"/>
  <c r="G390" i="21"/>
  <c r="G387" i="21"/>
  <c r="G386" i="21"/>
  <c r="G385" i="21"/>
  <c r="G384" i="21"/>
  <c r="G425" i="21"/>
  <c r="G421" i="21"/>
  <c r="G420" i="21"/>
  <c r="G419" i="21"/>
  <c r="G418" i="21"/>
  <c r="G372" i="21"/>
  <c r="G369" i="21"/>
  <c r="G368" i="21"/>
  <c r="G367" i="21"/>
  <c r="G366" i="21"/>
  <c r="G352" i="21"/>
  <c r="G351" i="21"/>
  <c r="G350" i="21"/>
  <c r="G338" i="21"/>
  <c r="G335" i="21"/>
  <c r="G334" i="21"/>
  <c r="G333" i="21"/>
  <c r="G321" i="21"/>
  <c r="G317" i="21"/>
  <c r="G316" i="21"/>
  <c r="G315" i="21"/>
  <c r="G314" i="21"/>
  <c r="G299" i="21"/>
  <c r="G298" i="21"/>
  <c r="G297" i="21"/>
  <c r="G296" i="21"/>
  <c r="G284" i="21"/>
  <c r="G281" i="21"/>
  <c r="G280" i="21"/>
  <c r="G279" i="21"/>
  <c r="G278" i="21"/>
  <c r="G266" i="21"/>
  <c r="G265" i="21"/>
  <c r="G264" i="21"/>
  <c r="H264" i="21" s="1"/>
  <c r="G261" i="21"/>
  <c r="G260" i="21"/>
  <c r="G259" i="21"/>
  <c r="G247" i="21"/>
  <c r="G246" i="21"/>
  <c r="G245" i="21"/>
  <c r="G244" i="21"/>
  <c r="G243" i="21"/>
  <c r="G239" i="21"/>
  <c r="G238" i="21"/>
  <c r="G237" i="21"/>
  <c r="G225" i="21"/>
  <c r="G224" i="21"/>
  <c r="G223" i="21"/>
  <c r="H223" i="21" s="1"/>
  <c r="G220" i="21"/>
  <c r="G219" i="21"/>
  <c r="G218" i="21"/>
  <c r="G205" i="21"/>
  <c r="G206" i="21"/>
  <c r="G204" i="21"/>
  <c r="G201" i="21"/>
  <c r="G200" i="21"/>
  <c r="G199" i="21"/>
  <c r="G187" i="21"/>
  <c r="G186" i="21"/>
  <c r="G184" i="21"/>
  <c r="G181" i="21"/>
  <c r="G180" i="21"/>
  <c r="G179" i="21"/>
  <c r="G167" i="21"/>
  <c r="H167" i="21" s="1"/>
  <c r="G166" i="21"/>
  <c r="H166" i="21" s="1"/>
  <c r="G163" i="21"/>
  <c r="G162" i="21"/>
  <c r="G161" i="21"/>
  <c r="G148" i="21"/>
  <c r="G147" i="21"/>
  <c r="G144" i="21"/>
  <c r="G143" i="21"/>
  <c r="G142" i="21"/>
  <c r="G130" i="21"/>
  <c r="G128" i="21"/>
  <c r="G125" i="21"/>
  <c r="G124" i="21"/>
  <c r="G123" i="21"/>
  <c r="G110" i="21"/>
  <c r="G106" i="21"/>
  <c r="G105" i="21"/>
  <c r="G104" i="21"/>
  <c r="G91" i="21"/>
  <c r="G88" i="21"/>
  <c r="G87" i="21"/>
  <c r="G86" i="21"/>
  <c r="G74" i="21"/>
  <c r="G73" i="21"/>
  <c r="G70" i="21"/>
  <c r="G69" i="21"/>
  <c r="F526" i="22"/>
  <c r="F543" i="22" s="1"/>
  <c r="F440" i="22"/>
  <c r="F389" i="22"/>
  <c r="F406" i="22" s="1"/>
  <c r="D350" i="22"/>
  <c r="F338" i="22"/>
  <c r="F355" i="22" s="1"/>
  <c r="F218" i="22"/>
  <c r="F235" i="22" s="1"/>
  <c r="F150" i="22"/>
  <c r="F167" i="22" s="1"/>
  <c r="F82" i="22"/>
  <c r="D26" i="22"/>
  <c r="G1781" i="27" l="1"/>
  <c r="F1781" i="27"/>
  <c r="G1823" i="27"/>
  <c r="F1823" i="27"/>
  <c r="G1728" i="27"/>
  <c r="F1728" i="27"/>
  <c r="G1155" i="27"/>
  <c r="F1155" i="27"/>
  <c r="F1777" i="27"/>
  <c r="G27" i="23"/>
  <c r="H27" i="23" s="1"/>
  <c r="H30" i="23" s="1"/>
  <c r="G27" i="26"/>
  <c r="H27" i="26" s="1"/>
  <c r="H33" i="24"/>
  <c r="H11" i="24"/>
  <c r="H12" i="23"/>
  <c r="H18" i="23" s="1"/>
  <c r="H338" i="22"/>
  <c r="H339" i="22" s="1"/>
  <c r="H543" i="22"/>
  <c r="H544" i="22" s="1"/>
  <c r="H509" i="22"/>
  <c r="H510" i="22" s="1"/>
  <c r="H167" i="22"/>
  <c r="H168" i="22" s="1"/>
  <c r="H336" i="22"/>
  <c r="H12" i="22"/>
  <c r="H18" i="22" s="1"/>
  <c r="H203" i="25"/>
  <c r="H210" i="25" s="1"/>
  <c r="H211" i="25" s="1"/>
  <c r="H1592" i="26"/>
  <c r="H1593" i="26" s="1"/>
  <c r="H1524" i="26"/>
  <c r="H1525" i="26" s="1"/>
  <c r="H1490" i="26"/>
  <c r="H1491" i="26" s="1"/>
  <c r="H1507" i="26"/>
  <c r="H1508" i="26" s="1"/>
  <c r="H1745" i="26"/>
  <c r="H1746" i="26" s="1"/>
  <c r="H1456" i="26"/>
  <c r="H168" i="21"/>
  <c r="H1267" i="26"/>
  <c r="H1268" i="26" s="1"/>
  <c r="H13" i="26"/>
  <c r="H19" i="26" s="1"/>
  <c r="H20" i="26" s="1"/>
  <c r="H1114" i="26"/>
  <c r="H1115" i="26" s="1"/>
  <c r="H883" i="26"/>
  <c r="H884" i="26" s="1"/>
  <c r="H644" i="26"/>
  <c r="H645" i="26" s="1"/>
  <c r="H712" i="26"/>
  <c r="H713" i="26" s="1"/>
  <c r="H729" i="26"/>
  <c r="H730" i="26" s="1"/>
  <c r="H746" i="26"/>
  <c r="H747" i="26" s="1"/>
  <c r="H797" i="26"/>
  <c r="H798" i="26" s="1"/>
  <c r="H49" i="26"/>
  <c r="H50" i="26" s="1"/>
  <c r="D43" i="22"/>
  <c r="G26" i="22"/>
  <c r="H26" i="22" s="1"/>
  <c r="H29" i="22" s="1"/>
  <c r="H35" i="22" s="1"/>
  <c r="D367" i="22"/>
  <c r="G367" i="22" s="1"/>
  <c r="H367" i="22" s="1"/>
  <c r="H370" i="22" s="1"/>
  <c r="H376" i="22" s="1"/>
  <c r="G350" i="22"/>
  <c r="H350" i="22" s="1"/>
  <c r="H353" i="22" s="1"/>
  <c r="D236" i="25"/>
  <c r="G218" i="25"/>
  <c r="H218" i="25" s="1"/>
  <c r="H221" i="25" s="1"/>
  <c r="J171" i="2"/>
  <c r="J588" i="2"/>
  <c r="J593" i="2"/>
  <c r="J226" i="2"/>
  <c r="J85" i="2"/>
  <c r="J147" i="2"/>
  <c r="H55" i="24"/>
  <c r="H954" i="26"/>
  <c r="D44" i="26"/>
  <c r="H936" i="26"/>
  <c r="H287" i="26"/>
  <c r="H288" i="26" s="1"/>
  <c r="H440" i="26"/>
  <c r="H441" i="26" s="1"/>
  <c r="H2036" i="26"/>
  <c r="H100" i="26"/>
  <c r="H101" i="26" s="1"/>
  <c r="F117" i="26"/>
  <c r="H117" i="26" s="1"/>
  <c r="H118" i="26" s="1"/>
  <c r="F457" i="26"/>
  <c r="H457" i="26" s="1"/>
  <c r="H458" i="26" s="1"/>
  <c r="H2524" i="26"/>
  <c r="H225" i="25"/>
  <c r="F277" i="25"/>
  <c r="H259" i="25"/>
  <c r="H66" i="23"/>
  <c r="H67" i="23" s="1"/>
  <c r="H49" i="23"/>
  <c r="H50" i="23" s="1"/>
  <c r="D44" i="23"/>
  <c r="H32" i="23"/>
  <c r="H33" i="23" s="1"/>
  <c r="H235" i="22"/>
  <c r="H236" i="22" s="1"/>
  <c r="H82" i="22"/>
  <c r="H83" i="22" s="1"/>
  <c r="H355" i="22"/>
  <c r="H356" i="22" s="1"/>
  <c r="H526" i="22"/>
  <c r="H527" i="22" s="1"/>
  <c r="H150" i="22"/>
  <c r="H151" i="22" s="1"/>
  <c r="H440" i="22"/>
  <c r="H441" i="22" s="1"/>
  <c r="H389" i="22"/>
  <c r="H390" i="22" s="1"/>
  <c r="H406" i="22"/>
  <c r="H407" i="22" s="1"/>
  <c r="H218" i="22"/>
  <c r="H219" i="22" s="1"/>
  <c r="F99" i="22"/>
  <c r="H99" i="22" s="1"/>
  <c r="H100" i="22" s="1"/>
  <c r="H319" i="22"/>
  <c r="H325" i="22" s="1"/>
  <c r="F561" i="22"/>
  <c r="H407" i="21"/>
  <c r="H408" i="21" s="1"/>
  <c r="H404" i="21"/>
  <c r="H403" i="21"/>
  <c r="H402" i="21"/>
  <c r="H401" i="21"/>
  <c r="H390" i="21"/>
  <c r="H391" i="21" s="1"/>
  <c r="H387" i="21"/>
  <c r="H386" i="21"/>
  <c r="H385" i="21"/>
  <c r="H384" i="21"/>
  <c r="H425" i="21"/>
  <c r="H426" i="21" s="1"/>
  <c r="H421" i="21"/>
  <c r="H420" i="21"/>
  <c r="H419" i="21"/>
  <c r="H418" i="21"/>
  <c r="H372" i="21"/>
  <c r="H373" i="21" s="1"/>
  <c r="H369" i="21"/>
  <c r="H368" i="21"/>
  <c r="H367" i="21"/>
  <c r="H366" i="21"/>
  <c r="H352" i="21"/>
  <c r="H351" i="21"/>
  <c r="H350" i="21"/>
  <c r="H338" i="21"/>
  <c r="H339" i="21" s="1"/>
  <c r="H335" i="21"/>
  <c r="H334" i="21"/>
  <c r="H333" i="21"/>
  <c r="H321" i="21"/>
  <c r="H322" i="21" s="1"/>
  <c r="H317" i="21"/>
  <c r="H316" i="21"/>
  <c r="H315" i="21"/>
  <c r="H314" i="21"/>
  <c r="H299" i="21"/>
  <c r="H298" i="21"/>
  <c r="H297" i="21"/>
  <c r="H296" i="21"/>
  <c r="H284" i="21"/>
  <c r="H285" i="21" s="1"/>
  <c r="H281" i="21"/>
  <c r="H280" i="21"/>
  <c r="H279" i="21"/>
  <c r="H278" i="21"/>
  <c r="H266" i="21"/>
  <c r="H265" i="21"/>
  <c r="H261" i="21"/>
  <c r="H260" i="21"/>
  <c r="H259" i="21"/>
  <c r="H247" i="21"/>
  <c r="H246" i="21"/>
  <c r="H245" i="21"/>
  <c r="H244" i="21"/>
  <c r="H243" i="21"/>
  <c r="H239" i="21"/>
  <c r="H238" i="21"/>
  <c r="H237" i="21"/>
  <c r="H225" i="21"/>
  <c r="H224" i="21"/>
  <c r="H220" i="21"/>
  <c r="H219" i="21"/>
  <c r="H218" i="21"/>
  <c r="H206" i="21"/>
  <c r="H205" i="21"/>
  <c r="H204" i="21"/>
  <c r="H201" i="21"/>
  <c r="H200" i="21"/>
  <c r="H199" i="21"/>
  <c r="H198" i="21"/>
  <c r="H187" i="21"/>
  <c r="H186" i="21"/>
  <c r="H184" i="21"/>
  <c r="H181" i="21"/>
  <c r="H180" i="21"/>
  <c r="H179" i="21"/>
  <c r="H163" i="21"/>
  <c r="H162" i="21"/>
  <c r="H161" i="21"/>
  <c r="H148" i="21"/>
  <c r="H147" i="21"/>
  <c r="H144" i="21"/>
  <c r="H143" i="21"/>
  <c r="H142" i="21"/>
  <c r="H130" i="21"/>
  <c r="H128" i="21"/>
  <c r="H125" i="21"/>
  <c r="H124" i="21"/>
  <c r="H123" i="21"/>
  <c r="H110" i="21"/>
  <c r="H111" i="21" s="1"/>
  <c r="H106" i="21"/>
  <c r="H105" i="21"/>
  <c r="H104" i="21"/>
  <c r="H91" i="21"/>
  <c r="H88" i="21"/>
  <c r="H87" i="21"/>
  <c r="H86" i="21"/>
  <c r="H73" i="21"/>
  <c r="H70" i="21"/>
  <c r="H69" i="21"/>
  <c r="H68" i="21"/>
  <c r="G111" i="20"/>
  <c r="G94" i="20"/>
  <c r="G21" i="20"/>
  <c r="G106" i="20"/>
  <c r="H106" i="20" s="1"/>
  <c r="H107" i="20" s="1"/>
  <c r="G103" i="20"/>
  <c r="H103" i="20" s="1"/>
  <c r="G102" i="20"/>
  <c r="H102" i="20" s="1"/>
  <c r="G101" i="20"/>
  <c r="H101" i="20" s="1"/>
  <c r="G100" i="20"/>
  <c r="H100" i="20" s="1"/>
  <c r="G89" i="20"/>
  <c r="H89" i="20" s="1"/>
  <c r="G88" i="20"/>
  <c r="H88" i="20" s="1"/>
  <c r="G87" i="20"/>
  <c r="H87" i="20" s="1"/>
  <c r="G84" i="20"/>
  <c r="H84" i="20" s="1"/>
  <c r="G83" i="20"/>
  <c r="H83" i="20" s="1"/>
  <c r="G82" i="20"/>
  <c r="H82" i="20" s="1"/>
  <c r="G81" i="20"/>
  <c r="H81" i="20" s="1"/>
  <c r="G15" i="20"/>
  <c r="H15" i="20" s="1"/>
  <c r="G11" i="20"/>
  <c r="H11" i="20" s="1"/>
  <c r="G10" i="20"/>
  <c r="H10" i="20" s="1"/>
  <c r="G9" i="20"/>
  <c r="H9" i="20" s="1"/>
  <c r="G469" i="19"/>
  <c r="G447" i="19"/>
  <c r="G412" i="19"/>
  <c r="G393" i="19"/>
  <c r="G374" i="19"/>
  <c r="G353" i="19"/>
  <c r="G333" i="19"/>
  <c r="G313" i="19"/>
  <c r="G292" i="19"/>
  <c r="G274" i="19"/>
  <c r="G255" i="19"/>
  <c r="G236" i="19"/>
  <c r="G218" i="19"/>
  <c r="G199" i="19"/>
  <c r="G181" i="19"/>
  <c r="G162" i="19"/>
  <c r="G143" i="19"/>
  <c r="G128" i="19"/>
  <c r="G109" i="19"/>
  <c r="G92" i="19"/>
  <c r="G69" i="19"/>
  <c r="G46" i="19"/>
  <c r="G31" i="19"/>
  <c r="G16" i="19"/>
  <c r="G464" i="19"/>
  <c r="H464" i="19" s="1"/>
  <c r="G463" i="19"/>
  <c r="H463" i="19" s="1"/>
  <c r="G462" i="19"/>
  <c r="H462" i="19" s="1"/>
  <c r="G461" i="19"/>
  <c r="H461" i="19" s="1"/>
  <c r="G460" i="19"/>
  <c r="H460" i="19" s="1"/>
  <c r="G459" i="19"/>
  <c r="H459" i="19" s="1"/>
  <c r="G456" i="19"/>
  <c r="H456" i="19" s="1"/>
  <c r="G455" i="19"/>
  <c r="H455" i="19" s="1"/>
  <c r="G454" i="19"/>
  <c r="H454" i="19" s="1"/>
  <c r="G453" i="19"/>
  <c r="H453" i="19" s="1"/>
  <c r="G442" i="19"/>
  <c r="H442" i="19" s="1"/>
  <c r="H443" i="19" s="1"/>
  <c r="G439" i="19"/>
  <c r="H439" i="19" s="1"/>
  <c r="G438" i="19"/>
  <c r="H438" i="19" s="1"/>
  <c r="G437" i="19"/>
  <c r="H437" i="19" s="1"/>
  <c r="G436" i="19"/>
  <c r="H436" i="19" s="1"/>
  <c r="G407" i="19"/>
  <c r="H407" i="19" s="1"/>
  <c r="G406" i="19"/>
  <c r="H406" i="19" s="1"/>
  <c r="G403" i="19"/>
  <c r="H403" i="19" s="1"/>
  <c r="G402" i="19"/>
  <c r="H402" i="19" s="1"/>
  <c r="G401" i="19"/>
  <c r="H401" i="19" s="1"/>
  <c r="G400" i="19"/>
  <c r="H400" i="19" s="1"/>
  <c r="G388" i="19"/>
  <c r="H388" i="19" s="1"/>
  <c r="G387" i="19"/>
  <c r="H387" i="19" s="1"/>
  <c r="G386" i="19"/>
  <c r="H386" i="19" s="1"/>
  <c r="G383" i="19"/>
  <c r="H383" i="19" s="1"/>
  <c r="G382" i="19"/>
  <c r="H382" i="19" s="1"/>
  <c r="G381" i="19"/>
  <c r="H381" i="19" s="1"/>
  <c r="G380" i="19"/>
  <c r="H380" i="19" s="1"/>
  <c r="G369" i="19"/>
  <c r="H369" i="19" s="1"/>
  <c r="G368" i="19"/>
  <c r="H368" i="19" s="1"/>
  <c r="G367" i="19"/>
  <c r="H367" i="19" s="1"/>
  <c r="G366" i="19"/>
  <c r="H366" i="19" s="1"/>
  <c r="G365" i="19"/>
  <c r="H365" i="19" s="1"/>
  <c r="G362" i="19"/>
  <c r="H362" i="19" s="1"/>
  <c r="G361" i="19"/>
  <c r="H361" i="19" s="1"/>
  <c r="G360" i="19"/>
  <c r="H360" i="19" s="1"/>
  <c r="G359" i="19"/>
  <c r="H359" i="19" s="1"/>
  <c r="G348" i="19"/>
  <c r="H348" i="19" s="1"/>
  <c r="G347" i="19"/>
  <c r="H347" i="19" s="1"/>
  <c r="G346" i="19"/>
  <c r="H346" i="19" s="1"/>
  <c r="G345" i="19"/>
  <c r="H345" i="19" s="1"/>
  <c r="G342" i="19"/>
  <c r="H342" i="19" s="1"/>
  <c r="G341" i="19"/>
  <c r="H341" i="19" s="1"/>
  <c r="G340" i="19"/>
  <c r="H340" i="19" s="1"/>
  <c r="G339" i="19"/>
  <c r="H339" i="19" s="1"/>
  <c r="G328" i="19"/>
  <c r="H328" i="19" s="1"/>
  <c r="G327" i="19"/>
  <c r="H327" i="19" s="1"/>
  <c r="G326" i="19"/>
  <c r="H326" i="19" s="1"/>
  <c r="G325" i="19"/>
  <c r="H325" i="19" s="1"/>
  <c r="G322" i="19"/>
  <c r="H322" i="19" s="1"/>
  <c r="G321" i="19"/>
  <c r="H321" i="19" s="1"/>
  <c r="G320" i="19"/>
  <c r="H320" i="19" s="1"/>
  <c r="G319" i="19"/>
  <c r="H319" i="19" s="1"/>
  <c r="G308" i="19"/>
  <c r="H308" i="19" s="1"/>
  <c r="G307" i="19"/>
  <c r="H307" i="19" s="1"/>
  <c r="G306" i="19"/>
  <c r="H306" i="19" s="1"/>
  <c r="G305" i="19"/>
  <c r="H305" i="19" s="1"/>
  <c r="G304" i="19"/>
  <c r="H304" i="19" s="1"/>
  <c r="G301" i="19"/>
  <c r="H301" i="19" s="1"/>
  <c r="G300" i="19"/>
  <c r="H300" i="19" s="1"/>
  <c r="G299" i="19"/>
  <c r="H299" i="19" s="1"/>
  <c r="G298" i="19"/>
  <c r="H298" i="19" s="1"/>
  <c r="G287" i="19"/>
  <c r="H287" i="19" s="1"/>
  <c r="G286" i="19"/>
  <c r="H286" i="19" s="1"/>
  <c r="G283" i="19"/>
  <c r="H283" i="19" s="1"/>
  <c r="G282" i="19"/>
  <c r="H282" i="19" s="1"/>
  <c r="G281" i="19"/>
  <c r="H281" i="19" s="1"/>
  <c r="G280" i="19"/>
  <c r="H280" i="19" s="1"/>
  <c r="G269" i="19"/>
  <c r="H269" i="19" s="1"/>
  <c r="G268" i="19"/>
  <c r="H268" i="19" s="1"/>
  <c r="G267" i="19"/>
  <c r="H267" i="19" s="1"/>
  <c r="G264" i="19"/>
  <c r="H264" i="19" s="1"/>
  <c r="G263" i="19"/>
  <c r="H263" i="19" s="1"/>
  <c r="G262" i="19"/>
  <c r="H262" i="19" s="1"/>
  <c r="G261" i="19"/>
  <c r="H261" i="19" s="1"/>
  <c r="G250" i="19"/>
  <c r="H250" i="19" s="1"/>
  <c r="G249" i="19"/>
  <c r="H249" i="19" s="1"/>
  <c r="G248" i="19"/>
  <c r="H248" i="19" s="1"/>
  <c r="G245" i="19"/>
  <c r="H245" i="19" s="1"/>
  <c r="G244" i="19"/>
  <c r="H244" i="19" s="1"/>
  <c r="G243" i="19"/>
  <c r="H243" i="19" s="1"/>
  <c r="G242" i="19"/>
  <c r="H242" i="19" s="1"/>
  <c r="G231" i="19"/>
  <c r="H231" i="19" s="1"/>
  <c r="G230" i="19"/>
  <c r="H230" i="19" s="1"/>
  <c r="G227" i="19"/>
  <c r="H227" i="19" s="1"/>
  <c r="G226" i="19"/>
  <c r="H226" i="19" s="1"/>
  <c r="G225" i="19"/>
  <c r="H225" i="19" s="1"/>
  <c r="G224" i="19"/>
  <c r="H224" i="19" s="1"/>
  <c r="G213" i="19"/>
  <c r="H213" i="19" s="1"/>
  <c r="G212" i="19"/>
  <c r="H212" i="19" s="1"/>
  <c r="G209" i="19"/>
  <c r="H209" i="19" s="1"/>
  <c r="G208" i="19"/>
  <c r="H208" i="19" s="1"/>
  <c r="G207" i="19"/>
  <c r="H207" i="19" s="1"/>
  <c r="G206" i="19"/>
  <c r="H206" i="19" s="1"/>
  <c r="G194" i="19"/>
  <c r="H194" i="19" s="1"/>
  <c r="G193" i="19"/>
  <c r="H193" i="19" s="1"/>
  <c r="G190" i="19"/>
  <c r="H190" i="19" s="1"/>
  <c r="G189" i="19"/>
  <c r="H189" i="19" s="1"/>
  <c r="G188" i="19"/>
  <c r="H188" i="19" s="1"/>
  <c r="G187" i="19"/>
  <c r="H187" i="19" s="1"/>
  <c r="G176" i="19"/>
  <c r="H176" i="19" s="1"/>
  <c r="G175" i="19"/>
  <c r="H175" i="19" s="1"/>
  <c r="G172" i="19"/>
  <c r="H172" i="19" s="1"/>
  <c r="G171" i="19"/>
  <c r="H171" i="19" s="1"/>
  <c r="G170" i="19"/>
  <c r="H170" i="19" s="1"/>
  <c r="G169" i="19"/>
  <c r="H169" i="19" s="1"/>
  <c r="G157" i="19"/>
  <c r="H157" i="19" s="1"/>
  <c r="G156" i="19"/>
  <c r="H156" i="19" s="1"/>
  <c r="G155" i="19"/>
  <c r="H155" i="19" s="1"/>
  <c r="G152" i="19"/>
  <c r="H152" i="19" s="1"/>
  <c r="G151" i="19"/>
  <c r="H151" i="19" s="1"/>
  <c r="G150" i="19"/>
  <c r="H150" i="19" s="1"/>
  <c r="G149" i="19"/>
  <c r="H149" i="19" s="1"/>
  <c r="G138" i="19"/>
  <c r="H138" i="19" s="1"/>
  <c r="H139" i="19" s="1"/>
  <c r="G135" i="19"/>
  <c r="H135" i="19" s="1"/>
  <c r="G134" i="19"/>
  <c r="H134" i="19" s="1"/>
  <c r="G123" i="19"/>
  <c r="H123" i="19" s="1"/>
  <c r="G122" i="19"/>
  <c r="H122" i="19" s="1"/>
  <c r="G121" i="19"/>
  <c r="H121" i="19" s="1"/>
  <c r="G118" i="19"/>
  <c r="H118" i="19" s="1"/>
  <c r="G117" i="19"/>
  <c r="H117" i="19" s="1"/>
  <c r="G116" i="19"/>
  <c r="H116" i="19" s="1"/>
  <c r="G115" i="19"/>
  <c r="H115" i="19" s="1"/>
  <c r="G101" i="19"/>
  <c r="H101" i="19" s="1"/>
  <c r="G100" i="19"/>
  <c r="H100" i="19" s="1"/>
  <c r="G99" i="19"/>
  <c r="H99" i="19" s="1"/>
  <c r="G98" i="19"/>
  <c r="H98" i="19" s="1"/>
  <c r="G87" i="19"/>
  <c r="H87" i="19" s="1"/>
  <c r="G86" i="19"/>
  <c r="H86" i="19" s="1"/>
  <c r="G85" i="19"/>
  <c r="H85" i="19" s="1"/>
  <c r="G84" i="19"/>
  <c r="H84" i="19" s="1"/>
  <c r="G83" i="19"/>
  <c r="H83" i="19" s="1"/>
  <c r="G82" i="19"/>
  <c r="H82" i="19" s="1"/>
  <c r="G81" i="19"/>
  <c r="H81" i="19" s="1"/>
  <c r="G78" i="19"/>
  <c r="H78" i="19" s="1"/>
  <c r="G77" i="19"/>
  <c r="H77" i="19" s="1"/>
  <c r="G76" i="19"/>
  <c r="H76" i="19" s="1"/>
  <c r="G75" i="19"/>
  <c r="H75" i="19" s="1"/>
  <c r="G64" i="19"/>
  <c r="H64" i="19" s="1"/>
  <c r="G63" i="19"/>
  <c r="H63" i="19" s="1"/>
  <c r="G62" i="19"/>
  <c r="H62" i="19" s="1"/>
  <c r="G61" i="19"/>
  <c r="H61" i="19" s="1"/>
  <c r="G60" i="19"/>
  <c r="H60" i="19" s="1"/>
  <c r="G59" i="19"/>
  <c r="H59" i="19" s="1"/>
  <c r="G58" i="19"/>
  <c r="H58" i="19" s="1"/>
  <c r="G55" i="19"/>
  <c r="H55" i="19" s="1"/>
  <c r="G54" i="19"/>
  <c r="H54" i="19" s="1"/>
  <c r="G53" i="19"/>
  <c r="H53" i="19" s="1"/>
  <c r="G52" i="19"/>
  <c r="H52" i="19" s="1"/>
  <c r="G41" i="19"/>
  <c r="H41" i="19" s="1"/>
  <c r="H42" i="19" s="1"/>
  <c r="G38" i="19"/>
  <c r="H38" i="19" s="1"/>
  <c r="G37" i="19"/>
  <c r="H37" i="19" s="1"/>
  <c r="G26" i="19"/>
  <c r="H26" i="19" s="1"/>
  <c r="H27" i="19" s="1"/>
  <c r="G23" i="19"/>
  <c r="H23" i="19" s="1"/>
  <c r="G22" i="19"/>
  <c r="H22" i="19" s="1"/>
  <c r="G11" i="19"/>
  <c r="H11" i="19" s="1"/>
  <c r="H12" i="19" s="1"/>
  <c r="G8" i="19"/>
  <c r="H8" i="19" s="1"/>
  <c r="H9" i="19" s="1"/>
  <c r="H38" i="18"/>
  <c r="H19" i="18"/>
  <c r="H27" i="18"/>
  <c r="I27" i="18" s="1"/>
  <c r="H26" i="18"/>
  <c r="I26" i="18" s="1"/>
  <c r="H25" i="18"/>
  <c r="I25" i="18" s="1"/>
  <c r="H9" i="18"/>
  <c r="I9" i="18" s="1"/>
  <c r="H8" i="18"/>
  <c r="I8" i="18" s="1"/>
  <c r="H7" i="18"/>
  <c r="I7" i="18" s="1"/>
  <c r="G97" i="17"/>
  <c r="G75" i="17"/>
  <c r="G54" i="17"/>
  <c r="G37" i="17"/>
  <c r="G19" i="17"/>
  <c r="G91" i="17"/>
  <c r="H91" i="17" s="1"/>
  <c r="G90" i="17"/>
  <c r="H90" i="17" s="1"/>
  <c r="G89" i="17"/>
  <c r="H89" i="17" s="1"/>
  <c r="G88" i="17"/>
  <c r="H88" i="17" s="1"/>
  <c r="G87" i="17"/>
  <c r="H87" i="17" s="1"/>
  <c r="G84" i="17"/>
  <c r="H84" i="17" s="1"/>
  <c r="G83" i="17"/>
  <c r="H83" i="17" s="1"/>
  <c r="G82" i="17"/>
  <c r="H82" i="17" s="1"/>
  <c r="G81" i="17"/>
  <c r="H81" i="17" s="1"/>
  <c r="G69" i="17"/>
  <c r="H69" i="17" s="1"/>
  <c r="G68" i="17"/>
  <c r="H68" i="17" s="1"/>
  <c r="G67" i="17"/>
  <c r="H67" i="17" s="1"/>
  <c r="G66" i="17"/>
  <c r="H66" i="17" s="1"/>
  <c r="G63" i="17"/>
  <c r="H63" i="17" s="1"/>
  <c r="G62" i="17"/>
  <c r="H62" i="17" s="1"/>
  <c r="G61" i="17"/>
  <c r="H61" i="17" s="1"/>
  <c r="G60" i="17"/>
  <c r="H60" i="17" s="1"/>
  <c r="G48" i="17"/>
  <c r="H48" i="17" s="1"/>
  <c r="H49" i="17" s="1"/>
  <c r="G45" i="17"/>
  <c r="H45" i="17" s="1"/>
  <c r="G44" i="17"/>
  <c r="H44" i="17" s="1"/>
  <c r="G43" i="17"/>
  <c r="H43" i="17" s="1"/>
  <c r="G32" i="17"/>
  <c r="H32" i="17" s="1"/>
  <c r="G31" i="17"/>
  <c r="H31" i="17" s="1"/>
  <c r="G28" i="17"/>
  <c r="H28" i="17" s="1"/>
  <c r="G27" i="17"/>
  <c r="H27" i="17" s="1"/>
  <c r="G26" i="17"/>
  <c r="H26" i="17" s="1"/>
  <c r="G25" i="17"/>
  <c r="H25" i="17" s="1"/>
  <c r="G14" i="17"/>
  <c r="H14" i="17" s="1"/>
  <c r="G13" i="17"/>
  <c r="H13" i="17" s="1"/>
  <c r="G10" i="17"/>
  <c r="H10" i="17" s="1"/>
  <c r="G9" i="17"/>
  <c r="H9" i="17" s="1"/>
  <c r="G8" i="17"/>
  <c r="H8" i="17" s="1"/>
  <c r="G7" i="17"/>
  <c r="H7" i="17" s="1"/>
  <c r="G253" i="16"/>
  <c r="G233" i="16"/>
  <c r="G215" i="16"/>
  <c r="G195" i="16"/>
  <c r="G177" i="16"/>
  <c r="G159" i="16"/>
  <c r="G142" i="16"/>
  <c r="G125" i="16"/>
  <c r="G108" i="16"/>
  <c r="G90" i="16"/>
  <c r="G72" i="16"/>
  <c r="G54" i="16"/>
  <c r="G36" i="16"/>
  <c r="G18" i="16"/>
  <c r="G248" i="16"/>
  <c r="H248" i="16" s="1"/>
  <c r="G247" i="16"/>
  <c r="H247" i="16" s="1"/>
  <c r="G246" i="16"/>
  <c r="H246" i="16" s="1"/>
  <c r="G243" i="16"/>
  <c r="H243" i="16" s="1"/>
  <c r="G242" i="16"/>
  <c r="H242" i="16" s="1"/>
  <c r="G241" i="16"/>
  <c r="H241" i="16" s="1"/>
  <c r="G240" i="16"/>
  <c r="H240" i="16" s="1"/>
  <c r="G239" i="16"/>
  <c r="H239" i="16" s="1"/>
  <c r="G228" i="16"/>
  <c r="H228" i="16" s="1"/>
  <c r="G227" i="16"/>
  <c r="H227" i="16" s="1"/>
  <c r="G224" i="16"/>
  <c r="H224" i="16" s="1"/>
  <c r="G223" i="16"/>
  <c r="H223" i="16" s="1"/>
  <c r="G222" i="16"/>
  <c r="H222" i="16" s="1"/>
  <c r="G210" i="16"/>
  <c r="H210" i="16" s="1"/>
  <c r="G209" i="16"/>
  <c r="H209" i="16" s="1"/>
  <c r="G208" i="16"/>
  <c r="H208" i="16" s="1"/>
  <c r="G205" i="16"/>
  <c r="H205" i="16" s="1"/>
  <c r="G204" i="16"/>
  <c r="H204" i="16" s="1"/>
  <c r="G203" i="16"/>
  <c r="H203" i="16" s="1"/>
  <c r="G202" i="16"/>
  <c r="H202" i="16" s="1"/>
  <c r="G201" i="16"/>
  <c r="H201" i="16" s="1"/>
  <c r="G190" i="16"/>
  <c r="H190" i="16" s="1"/>
  <c r="G189" i="16"/>
  <c r="H189" i="16" s="1"/>
  <c r="G186" i="16"/>
  <c r="H186" i="16" s="1"/>
  <c r="G185" i="16"/>
  <c r="H185" i="16" s="1"/>
  <c r="G184" i="16"/>
  <c r="H184" i="16" s="1"/>
  <c r="G183" i="16"/>
  <c r="H183" i="16" s="1"/>
  <c r="G172" i="16"/>
  <c r="H172" i="16" s="1"/>
  <c r="G171" i="16"/>
  <c r="H171" i="16" s="1"/>
  <c r="G168" i="16"/>
  <c r="H168" i="16" s="1"/>
  <c r="G167" i="16"/>
  <c r="H167" i="16" s="1"/>
  <c r="G166" i="16"/>
  <c r="H166" i="16" s="1"/>
  <c r="G165" i="16"/>
  <c r="H165" i="16" s="1"/>
  <c r="G154" i="16"/>
  <c r="H154" i="16" s="1"/>
  <c r="H155" i="16" s="1"/>
  <c r="G151" i="16"/>
  <c r="H151" i="16" s="1"/>
  <c r="G150" i="16"/>
  <c r="H150" i="16" s="1"/>
  <c r="G149" i="16"/>
  <c r="H149" i="16" s="1"/>
  <c r="G148" i="16"/>
  <c r="H148" i="16" s="1"/>
  <c r="G137" i="16"/>
  <c r="H137" i="16" s="1"/>
  <c r="H138" i="16" s="1"/>
  <c r="G134" i="16"/>
  <c r="H134" i="16" s="1"/>
  <c r="G133" i="16"/>
  <c r="H133" i="16" s="1"/>
  <c r="G132" i="16"/>
  <c r="H132" i="16" s="1"/>
  <c r="G131" i="16"/>
  <c r="H131" i="16" s="1"/>
  <c r="G117" i="16"/>
  <c r="H117" i="16" s="1"/>
  <c r="H124" i="16" s="1"/>
  <c r="G116" i="16"/>
  <c r="H116" i="16" s="1"/>
  <c r="G115" i="16"/>
  <c r="H115" i="16" s="1"/>
  <c r="H114" i="16"/>
  <c r="G103" i="16"/>
  <c r="H103" i="16" s="1"/>
  <c r="G102" i="16"/>
  <c r="H102" i="16" s="1"/>
  <c r="G99" i="16"/>
  <c r="H99" i="16" s="1"/>
  <c r="G98" i="16"/>
  <c r="H98" i="16" s="1"/>
  <c r="G97" i="16"/>
  <c r="H97" i="16" s="1"/>
  <c r="G85" i="16"/>
  <c r="H85" i="16" s="1"/>
  <c r="G84" i="16"/>
  <c r="H84" i="16" s="1"/>
  <c r="G81" i="16"/>
  <c r="H81" i="16" s="1"/>
  <c r="G80" i="16"/>
  <c r="H80" i="16" s="1"/>
  <c r="G79" i="16"/>
  <c r="H79" i="16" s="1"/>
  <c r="G78" i="16"/>
  <c r="H78" i="16" s="1"/>
  <c r="G67" i="16"/>
  <c r="H67" i="16" s="1"/>
  <c r="H68" i="16" s="1"/>
  <c r="G63" i="16"/>
  <c r="H63" i="16" s="1"/>
  <c r="G62" i="16"/>
  <c r="H62" i="16" s="1"/>
  <c r="G61" i="16"/>
  <c r="H61" i="16" s="1"/>
  <c r="G49" i="16"/>
  <c r="H49" i="16" s="1"/>
  <c r="H50" i="16" s="1"/>
  <c r="G45" i="16"/>
  <c r="H45" i="16" s="1"/>
  <c r="G44" i="16"/>
  <c r="H44" i="16" s="1"/>
  <c r="G43" i="16"/>
  <c r="H43" i="16" s="1"/>
  <c r="G31" i="16"/>
  <c r="H31" i="16" s="1"/>
  <c r="G30" i="16"/>
  <c r="H30" i="16" s="1"/>
  <c r="G27" i="16"/>
  <c r="H27" i="16" s="1"/>
  <c r="G26" i="16"/>
  <c r="H26" i="16" s="1"/>
  <c r="G25" i="16"/>
  <c r="H25" i="16" s="1"/>
  <c r="G13" i="16"/>
  <c r="G10" i="16"/>
  <c r="H10" i="16" s="1"/>
  <c r="G9" i="16"/>
  <c r="H9" i="16" s="1"/>
  <c r="G8" i="16"/>
  <c r="H8" i="16" s="1"/>
  <c r="G7" i="16"/>
  <c r="H7" i="16" s="1"/>
  <c r="G962" i="15"/>
  <c r="G945" i="15"/>
  <c r="G928" i="15"/>
  <c r="G910" i="15"/>
  <c r="G893" i="15"/>
  <c r="G876" i="15"/>
  <c r="G859" i="15"/>
  <c r="G675" i="15"/>
  <c r="G658" i="15"/>
  <c r="G641" i="15"/>
  <c r="G624" i="15"/>
  <c r="G607" i="15"/>
  <c r="G590" i="15"/>
  <c r="G535" i="15"/>
  <c r="G517" i="15"/>
  <c r="G498" i="15"/>
  <c r="G479" i="15"/>
  <c r="G460" i="15"/>
  <c r="G441" i="15"/>
  <c r="G385" i="15"/>
  <c r="G366" i="15"/>
  <c r="G312" i="15"/>
  <c r="G293" i="15"/>
  <c r="G276" i="15"/>
  <c r="G257" i="15"/>
  <c r="H257" i="15" s="1"/>
  <c r="H258" i="15" s="1"/>
  <c r="G240" i="15"/>
  <c r="G220" i="15"/>
  <c r="G200" i="15"/>
  <c r="G182" i="15"/>
  <c r="G164" i="15"/>
  <c r="G146" i="15"/>
  <c r="G128" i="15"/>
  <c r="G110" i="15"/>
  <c r="G91" i="15"/>
  <c r="G72" i="15"/>
  <c r="G54" i="15"/>
  <c r="G37" i="15"/>
  <c r="G20" i="15"/>
  <c r="G957" i="15"/>
  <c r="G954" i="15"/>
  <c r="H954" i="15" s="1"/>
  <c r="G953" i="15"/>
  <c r="H953" i="15" s="1"/>
  <c r="G952" i="15"/>
  <c r="H952" i="15" s="1"/>
  <c r="G951" i="15"/>
  <c r="H951" i="15" s="1"/>
  <c r="G940" i="15"/>
  <c r="H940" i="15" s="1"/>
  <c r="H941" i="15" s="1"/>
  <c r="G937" i="15"/>
  <c r="H937" i="15" s="1"/>
  <c r="G936" i="15"/>
  <c r="H936" i="15" s="1"/>
  <c r="G935" i="15"/>
  <c r="H935" i="15" s="1"/>
  <c r="G934" i="15"/>
  <c r="H934" i="15" s="1"/>
  <c r="G923" i="15"/>
  <c r="H923" i="15" s="1"/>
  <c r="H924" i="15" s="1"/>
  <c r="G920" i="15"/>
  <c r="H920" i="15" s="1"/>
  <c r="G919" i="15"/>
  <c r="H919" i="15" s="1"/>
  <c r="G918" i="15"/>
  <c r="H918" i="15" s="1"/>
  <c r="G917" i="15"/>
  <c r="H917" i="15" s="1"/>
  <c r="G905" i="15"/>
  <c r="H905" i="15" s="1"/>
  <c r="H906" i="15" s="1"/>
  <c r="G902" i="15"/>
  <c r="H902" i="15" s="1"/>
  <c r="G901" i="15"/>
  <c r="H901" i="15" s="1"/>
  <c r="G900" i="15"/>
  <c r="H900" i="15" s="1"/>
  <c r="G899" i="15"/>
  <c r="H899" i="15" s="1"/>
  <c r="G888" i="15"/>
  <c r="H888" i="15" s="1"/>
  <c r="H889" i="15" s="1"/>
  <c r="G885" i="15"/>
  <c r="H885" i="15" s="1"/>
  <c r="G884" i="15"/>
  <c r="H884" i="15" s="1"/>
  <c r="G883" i="15"/>
  <c r="H883" i="15" s="1"/>
  <c r="G871" i="15"/>
  <c r="H871" i="15" s="1"/>
  <c r="H872" i="15" s="1"/>
  <c r="G868" i="15"/>
  <c r="H868" i="15" s="1"/>
  <c r="G867" i="15"/>
  <c r="H867" i="15" s="1"/>
  <c r="G866" i="15"/>
  <c r="H866" i="15" s="1"/>
  <c r="G865" i="15"/>
  <c r="H865" i="15" s="1"/>
  <c r="G854" i="15"/>
  <c r="G851" i="15"/>
  <c r="H851" i="15" s="1"/>
  <c r="G850" i="15"/>
  <c r="H850" i="15" s="1"/>
  <c r="G849" i="15"/>
  <c r="H849" i="15" s="1"/>
  <c r="G848" i="15"/>
  <c r="H848" i="15" s="1"/>
  <c r="G667" i="15"/>
  <c r="H667" i="15" s="1"/>
  <c r="G666" i="15"/>
  <c r="H666" i="15" s="1"/>
  <c r="G665" i="15"/>
  <c r="H665" i="15" s="1"/>
  <c r="G653" i="15"/>
  <c r="G650" i="15"/>
  <c r="H650" i="15" s="1"/>
  <c r="G649" i="15"/>
  <c r="H649" i="15" s="1"/>
  <c r="G648" i="15"/>
  <c r="H648" i="15" s="1"/>
  <c r="G647" i="15"/>
  <c r="H647" i="15" s="1"/>
  <c r="G633" i="15"/>
  <c r="H633" i="15" s="1"/>
  <c r="G632" i="15"/>
  <c r="H632" i="15" s="1"/>
  <c r="G631" i="15"/>
  <c r="H631" i="15" s="1"/>
  <c r="G616" i="15"/>
  <c r="H616" i="15" s="1"/>
  <c r="G615" i="15"/>
  <c r="H615" i="15" s="1"/>
  <c r="G614" i="15"/>
  <c r="H614" i="15" s="1"/>
  <c r="G602" i="15"/>
  <c r="H602" i="15" s="1"/>
  <c r="H603" i="15" s="1"/>
  <c r="G599" i="15"/>
  <c r="H599" i="15" s="1"/>
  <c r="G598" i="15"/>
  <c r="H598" i="15" s="1"/>
  <c r="G597" i="15"/>
  <c r="H597" i="15" s="1"/>
  <c r="G585" i="15"/>
  <c r="H585" i="15" s="1"/>
  <c r="H586" i="15" s="1"/>
  <c r="H582" i="15"/>
  <c r="H581" i="15"/>
  <c r="H580" i="15"/>
  <c r="H579" i="15"/>
  <c r="G530" i="15"/>
  <c r="H530" i="15" s="1"/>
  <c r="G529" i="15"/>
  <c r="H529" i="15" s="1"/>
  <c r="H526" i="15"/>
  <c r="H525" i="15"/>
  <c r="H524" i="15"/>
  <c r="G512" i="15"/>
  <c r="H512" i="15" s="1"/>
  <c r="H510" i="15"/>
  <c r="G507" i="15"/>
  <c r="H507" i="15" s="1"/>
  <c r="G506" i="15"/>
  <c r="H506" i="15" s="1"/>
  <c r="G505" i="15"/>
  <c r="H505" i="15" s="1"/>
  <c r="G493" i="15"/>
  <c r="H493" i="15" s="1"/>
  <c r="G491" i="15"/>
  <c r="H491" i="15" s="1"/>
  <c r="G488" i="15"/>
  <c r="H488" i="15" s="1"/>
  <c r="G487" i="15"/>
  <c r="H487" i="15" s="1"/>
  <c r="G486" i="15"/>
  <c r="H486" i="15" s="1"/>
  <c r="G474" i="15"/>
  <c r="H474" i="15" s="1"/>
  <c r="G472" i="15"/>
  <c r="H472" i="15" s="1"/>
  <c r="G469" i="15"/>
  <c r="H469" i="15" s="1"/>
  <c r="G468" i="15"/>
  <c r="H468" i="15" s="1"/>
  <c r="G467" i="15"/>
  <c r="H467" i="15" s="1"/>
  <c r="H466" i="15"/>
  <c r="G455" i="15"/>
  <c r="H455" i="15" s="1"/>
  <c r="G450" i="15"/>
  <c r="H450" i="15" s="1"/>
  <c r="G449" i="15"/>
  <c r="H449" i="15" s="1"/>
  <c r="G448" i="15"/>
  <c r="H448" i="15" s="1"/>
  <c r="G436" i="15"/>
  <c r="H436" i="15" s="1"/>
  <c r="G435" i="15"/>
  <c r="H435" i="15" s="1"/>
  <c r="G431" i="15"/>
  <c r="H431" i="15" s="1"/>
  <c r="G430" i="15"/>
  <c r="H430" i="15" s="1"/>
  <c r="G429" i="15"/>
  <c r="H429" i="15" s="1"/>
  <c r="G380" i="15"/>
  <c r="H380" i="15" s="1"/>
  <c r="G379" i="15"/>
  <c r="H379" i="15" s="1"/>
  <c r="G361" i="15"/>
  <c r="H361" i="15" s="1"/>
  <c r="G357" i="15"/>
  <c r="H357" i="15" s="1"/>
  <c r="G356" i="15"/>
  <c r="H356" i="15" s="1"/>
  <c r="G355" i="15"/>
  <c r="H355" i="15" s="1"/>
  <c r="G307" i="15"/>
  <c r="H307" i="15" s="1"/>
  <c r="G306" i="15"/>
  <c r="H306" i="15" s="1"/>
  <c r="H302" i="15"/>
  <c r="H301" i="15"/>
  <c r="H300" i="15"/>
  <c r="H285" i="15"/>
  <c r="H284" i="15"/>
  <c r="H283" i="15"/>
  <c r="H266" i="15"/>
  <c r="H265" i="15"/>
  <c r="H264" i="15"/>
  <c r="H234" i="15"/>
  <c r="H233" i="15"/>
  <c r="H232" i="15"/>
  <c r="G214" i="15"/>
  <c r="H214" i="15" s="1"/>
  <c r="G213" i="15"/>
  <c r="H213" i="15" s="1"/>
  <c r="G212" i="15"/>
  <c r="H212" i="15" s="1"/>
  <c r="H209" i="15"/>
  <c r="H208" i="15"/>
  <c r="H195" i="15"/>
  <c r="H196" i="15" s="1"/>
  <c r="G191" i="15"/>
  <c r="H191" i="15" s="1"/>
  <c r="G190" i="15"/>
  <c r="H190" i="15" s="1"/>
  <c r="G189" i="15"/>
  <c r="H189" i="15" s="1"/>
  <c r="G177" i="15"/>
  <c r="H177" i="15" s="1"/>
  <c r="G176" i="15"/>
  <c r="H176" i="15" s="1"/>
  <c r="G173" i="15"/>
  <c r="H173" i="15" s="1"/>
  <c r="G172" i="15"/>
  <c r="H172" i="15" s="1"/>
  <c r="G171" i="15"/>
  <c r="H171" i="15" s="1"/>
  <c r="G159" i="15"/>
  <c r="H159" i="15" s="1"/>
  <c r="G158" i="15"/>
  <c r="H158" i="15" s="1"/>
  <c r="G155" i="15"/>
  <c r="H155" i="15" s="1"/>
  <c r="H154" i="15"/>
  <c r="H153" i="15"/>
  <c r="G137" i="15"/>
  <c r="H137" i="15" s="1"/>
  <c r="G136" i="15"/>
  <c r="H136" i="15" s="1"/>
  <c r="G135" i="15"/>
  <c r="H135" i="15" s="1"/>
  <c r="G134" i="15"/>
  <c r="H134" i="15" s="1"/>
  <c r="G123" i="15"/>
  <c r="H123" i="15" s="1"/>
  <c r="G122" i="15"/>
  <c r="H122" i="15" s="1"/>
  <c r="G119" i="15"/>
  <c r="H119" i="15" s="1"/>
  <c r="G118" i="15"/>
  <c r="H118" i="15" s="1"/>
  <c r="G117" i="15"/>
  <c r="H117" i="15" s="1"/>
  <c r="G116" i="15"/>
  <c r="H116" i="15" s="1"/>
  <c r="G105" i="15"/>
  <c r="H105" i="15" s="1"/>
  <c r="G104" i="15"/>
  <c r="H104" i="15" s="1"/>
  <c r="G103" i="15"/>
  <c r="H103" i="15" s="1"/>
  <c r="G100" i="15"/>
  <c r="H100" i="15" s="1"/>
  <c r="G99" i="15"/>
  <c r="H99" i="15" s="1"/>
  <c r="G98" i="15"/>
  <c r="H98" i="15" s="1"/>
  <c r="G97" i="15"/>
  <c r="H97" i="15" s="1"/>
  <c r="G86" i="15"/>
  <c r="H86" i="15" s="1"/>
  <c r="G85" i="15"/>
  <c r="H85" i="15" s="1"/>
  <c r="G84" i="15"/>
  <c r="H84" i="15" s="1"/>
  <c r="G81" i="15"/>
  <c r="H81" i="15" s="1"/>
  <c r="G80" i="15"/>
  <c r="H80" i="15" s="1"/>
  <c r="G79" i="15"/>
  <c r="H79" i="15" s="1"/>
  <c r="G78" i="15"/>
  <c r="H78" i="15" s="1"/>
  <c r="G67" i="15"/>
  <c r="H67" i="15" s="1"/>
  <c r="G66" i="15"/>
  <c r="H66" i="15" s="1"/>
  <c r="G63" i="15"/>
  <c r="H63" i="15" s="1"/>
  <c r="G62" i="15"/>
  <c r="H62" i="15" s="1"/>
  <c r="G61" i="15"/>
  <c r="H61" i="15" s="1"/>
  <c r="G60" i="15"/>
  <c r="H60" i="15" s="1"/>
  <c r="H49" i="15"/>
  <c r="H50" i="15" s="1"/>
  <c r="G46" i="15"/>
  <c r="H46" i="15" s="1"/>
  <c r="G45" i="15"/>
  <c r="H45" i="15" s="1"/>
  <c r="G44" i="15"/>
  <c r="H44" i="15" s="1"/>
  <c r="G43" i="15"/>
  <c r="H43" i="15" s="1"/>
  <c r="G32" i="15"/>
  <c r="H32" i="15" s="1"/>
  <c r="H33" i="15" s="1"/>
  <c r="G29" i="15"/>
  <c r="H29" i="15" s="1"/>
  <c r="G28" i="15"/>
  <c r="H28" i="15" s="1"/>
  <c r="G27" i="15"/>
  <c r="H27" i="15" s="1"/>
  <c r="H26" i="15"/>
  <c r="G14" i="15"/>
  <c r="H14" i="15" s="1"/>
  <c r="H15" i="15" s="1"/>
  <c r="G11" i="15"/>
  <c r="H11" i="15" s="1"/>
  <c r="G10" i="15"/>
  <c r="H10" i="15" s="1"/>
  <c r="G9" i="15"/>
  <c r="H9" i="15" s="1"/>
  <c r="G8" i="15"/>
  <c r="H8" i="15" s="1"/>
  <c r="G2022" i="14"/>
  <c r="G2004" i="14"/>
  <c r="G1984" i="14"/>
  <c r="G1963" i="14"/>
  <c r="G1943" i="14"/>
  <c r="G1923" i="14"/>
  <c r="G1905" i="14"/>
  <c r="G1886" i="14"/>
  <c r="G1866" i="14"/>
  <c r="G1847" i="14"/>
  <c r="G1828" i="14"/>
  <c r="G1809" i="14"/>
  <c r="G1788" i="14"/>
  <c r="G1768" i="14"/>
  <c r="G1748" i="14"/>
  <c r="G1670" i="14"/>
  <c r="G1651" i="14"/>
  <c r="G1632" i="14"/>
  <c r="G1611" i="14"/>
  <c r="G1591" i="14"/>
  <c r="G1571" i="14"/>
  <c r="G1551" i="14"/>
  <c r="G1487" i="14"/>
  <c r="G1468" i="14"/>
  <c r="G1451" i="14"/>
  <c r="G1434" i="14"/>
  <c r="G1416" i="14"/>
  <c r="G1398" i="14"/>
  <c r="G1380" i="14"/>
  <c r="G1362" i="14"/>
  <c r="G1344" i="14"/>
  <c r="G1326" i="14"/>
  <c r="G1308" i="14"/>
  <c r="G1266" i="14"/>
  <c r="G1246" i="14"/>
  <c r="G1226" i="14"/>
  <c r="G1206" i="14"/>
  <c r="G1185" i="14"/>
  <c r="G1144" i="14"/>
  <c r="G1124" i="14"/>
  <c r="G1104" i="14"/>
  <c r="G1082" i="14"/>
  <c r="G1062" i="14"/>
  <c r="G1042" i="14"/>
  <c r="G1022" i="14"/>
  <c r="G1002" i="14"/>
  <c r="G982" i="14"/>
  <c r="G960" i="14"/>
  <c r="G940" i="14"/>
  <c r="G920" i="14"/>
  <c r="G900" i="14"/>
  <c r="G880" i="14"/>
  <c r="G860" i="14"/>
  <c r="G840" i="14"/>
  <c r="G820" i="14"/>
  <c r="G800" i="14"/>
  <c r="G779" i="14"/>
  <c r="G759" i="14"/>
  <c r="G739" i="14"/>
  <c r="G719" i="14"/>
  <c r="G699" i="14"/>
  <c r="G679" i="14"/>
  <c r="G535" i="14"/>
  <c r="G515" i="14"/>
  <c r="G495" i="14"/>
  <c r="G475" i="14"/>
  <c r="G455" i="14"/>
  <c r="G435" i="14"/>
  <c r="G414" i="14"/>
  <c r="G394" i="14"/>
  <c r="G374" i="14"/>
  <c r="G21" i="14"/>
  <c r="G2013" i="14"/>
  <c r="H2013" i="14" s="1"/>
  <c r="G2012" i="14"/>
  <c r="H2012" i="14" s="1"/>
  <c r="G2011" i="14"/>
  <c r="H2011" i="14" s="1"/>
  <c r="G2010" i="14"/>
  <c r="H2010" i="14" s="1"/>
  <c r="G1999" i="14"/>
  <c r="H1999" i="14" s="1"/>
  <c r="G1998" i="14"/>
  <c r="H1998" i="14" s="1"/>
  <c r="G1997" i="14"/>
  <c r="H1997" i="14" s="1"/>
  <c r="G1994" i="14"/>
  <c r="H1994" i="14" s="1"/>
  <c r="G1993" i="14"/>
  <c r="H1993" i="14" s="1"/>
  <c r="G1992" i="14"/>
  <c r="H1992" i="14" s="1"/>
  <c r="G1979" i="14"/>
  <c r="H1979" i="14" s="1"/>
  <c r="G1978" i="14"/>
  <c r="H1978" i="14" s="1"/>
  <c r="G1977" i="14"/>
  <c r="H1977" i="14" s="1"/>
  <c r="G1975" i="14"/>
  <c r="H1975" i="14" s="1"/>
  <c r="G1972" i="14"/>
  <c r="H1972" i="14" s="1"/>
  <c r="G1971" i="14"/>
  <c r="H1971" i="14" s="1"/>
  <c r="G1970" i="14"/>
  <c r="H1970" i="14" s="1"/>
  <c r="G1969" i="14"/>
  <c r="H1969" i="14" s="1"/>
  <c r="G1958" i="14"/>
  <c r="H1958" i="14" s="1"/>
  <c r="G1957" i="14"/>
  <c r="H1957" i="14" s="1"/>
  <c r="G1956" i="14"/>
  <c r="H1956" i="14" s="1"/>
  <c r="G1952" i="14"/>
  <c r="H1952" i="14" s="1"/>
  <c r="G1951" i="14"/>
  <c r="H1951" i="14" s="1"/>
  <c r="G1950" i="14"/>
  <c r="H1950" i="14" s="1"/>
  <c r="G1949" i="14"/>
  <c r="H1949" i="14" s="1"/>
  <c r="G1938" i="14"/>
  <c r="H1938" i="14" s="1"/>
  <c r="G1936" i="14"/>
  <c r="H1936" i="14" s="1"/>
  <c r="G1935" i="14"/>
  <c r="H1935" i="14" s="1"/>
  <c r="G1932" i="14"/>
  <c r="H1932" i="14" s="1"/>
  <c r="G1931" i="14"/>
  <c r="H1931" i="14" s="1"/>
  <c r="G1930" i="14"/>
  <c r="H1930" i="14" s="1"/>
  <c r="G1929" i="14"/>
  <c r="H1929" i="14" s="1"/>
  <c r="G1917" i="14"/>
  <c r="H1917" i="14" s="1"/>
  <c r="G1914" i="14"/>
  <c r="H1914" i="14" s="1"/>
  <c r="G1913" i="14"/>
  <c r="H1913" i="14" s="1"/>
  <c r="G1912" i="14"/>
  <c r="H1912" i="14" s="1"/>
  <c r="G1911" i="14"/>
  <c r="H1911" i="14" s="1"/>
  <c r="G1900" i="14"/>
  <c r="H1900" i="14" s="1"/>
  <c r="G1898" i="14"/>
  <c r="H1898" i="14" s="1"/>
  <c r="G1895" i="14"/>
  <c r="H1895" i="14" s="1"/>
  <c r="G1894" i="14"/>
  <c r="H1894" i="14" s="1"/>
  <c r="G1893" i="14"/>
  <c r="H1893" i="14" s="1"/>
  <c r="G1892" i="14"/>
  <c r="H1892" i="14" s="1"/>
  <c r="G1881" i="14"/>
  <c r="H1881" i="14" s="1"/>
  <c r="G1878" i="14"/>
  <c r="H1878" i="14" s="1"/>
  <c r="G1875" i="14"/>
  <c r="H1875" i="14" s="1"/>
  <c r="G1874" i="14"/>
  <c r="H1874" i="14" s="1"/>
  <c r="G1873" i="14"/>
  <c r="H1873" i="14" s="1"/>
  <c r="G1861" i="14"/>
  <c r="H1861" i="14" s="1"/>
  <c r="H1862" i="14" s="1"/>
  <c r="G1857" i="14"/>
  <c r="H1857" i="14" s="1"/>
  <c r="G1856" i="14"/>
  <c r="H1856" i="14" s="1"/>
  <c r="G1855" i="14"/>
  <c r="H1855" i="14" s="1"/>
  <c r="G1854" i="14"/>
  <c r="H1854" i="14" s="1"/>
  <c r="G1842" i="14"/>
  <c r="H1842" i="14" s="1"/>
  <c r="G1840" i="14"/>
  <c r="H1840" i="14" s="1"/>
  <c r="G1837" i="14"/>
  <c r="H1837" i="14" s="1"/>
  <c r="G1836" i="14"/>
  <c r="H1836" i="14" s="1"/>
  <c r="G1835" i="14"/>
  <c r="H1835" i="14" s="1"/>
  <c r="G1834" i="14"/>
  <c r="H1834" i="14" s="1"/>
  <c r="G1823" i="14"/>
  <c r="H1823" i="14" s="1"/>
  <c r="G1818" i="14"/>
  <c r="H1818" i="14" s="1"/>
  <c r="G1817" i="14"/>
  <c r="H1817" i="14" s="1"/>
  <c r="G1816" i="14"/>
  <c r="H1816" i="14" s="1"/>
  <c r="G1815" i="14"/>
  <c r="H1815" i="14" s="1"/>
  <c r="G1804" i="14"/>
  <c r="H1804" i="14" s="1"/>
  <c r="G1803" i="14"/>
  <c r="H1803" i="14" s="1"/>
  <c r="G1801" i="14"/>
  <c r="H1801" i="14" s="1"/>
  <c r="G1798" i="14"/>
  <c r="H1798" i="14" s="1"/>
  <c r="G1797" i="14"/>
  <c r="H1797" i="14" s="1"/>
  <c r="G1796" i="14"/>
  <c r="H1796" i="14" s="1"/>
  <c r="G1795" i="14"/>
  <c r="H1795" i="14" s="1"/>
  <c r="G1783" i="14"/>
  <c r="H1783" i="14" s="1"/>
  <c r="G1782" i="14"/>
  <c r="H1782" i="14" s="1"/>
  <c r="G1780" i="14"/>
  <c r="H1780" i="14" s="1"/>
  <c r="G1777" i="14"/>
  <c r="H1777" i="14" s="1"/>
  <c r="G1776" i="14"/>
  <c r="H1776" i="14" s="1"/>
  <c r="G1775" i="14"/>
  <c r="H1775" i="14" s="1"/>
  <c r="G1774" i="14"/>
  <c r="H1774" i="14" s="1"/>
  <c r="G1763" i="14"/>
  <c r="H1763" i="14" s="1"/>
  <c r="G1762" i="14"/>
  <c r="H1762" i="14" s="1"/>
  <c r="G1760" i="14"/>
  <c r="H1760" i="14" s="1"/>
  <c r="G1757" i="14"/>
  <c r="H1757" i="14" s="1"/>
  <c r="G1756" i="14"/>
  <c r="H1756" i="14" s="1"/>
  <c r="G1755" i="14"/>
  <c r="H1755" i="14" s="1"/>
  <c r="G1754" i="14"/>
  <c r="H1754" i="14" s="1"/>
  <c r="G1743" i="14"/>
  <c r="H1743" i="14" s="1"/>
  <c r="G1742" i="14"/>
  <c r="H1742" i="14" s="1"/>
  <c r="G1740" i="14"/>
  <c r="H1740" i="14" s="1"/>
  <c r="G1737" i="14"/>
  <c r="H1737" i="14" s="1"/>
  <c r="G1736" i="14"/>
  <c r="H1736" i="14" s="1"/>
  <c r="G1735" i="14"/>
  <c r="H1735" i="14" s="1"/>
  <c r="G1665" i="14"/>
  <c r="H1665" i="14" s="1"/>
  <c r="G1663" i="14"/>
  <c r="H1663" i="14" s="1"/>
  <c r="G1660" i="14"/>
  <c r="H1660" i="14" s="1"/>
  <c r="G1659" i="14"/>
  <c r="H1659" i="14" s="1"/>
  <c r="G1658" i="14"/>
  <c r="H1658" i="14" s="1"/>
  <c r="G1657" i="14"/>
  <c r="H1657" i="14" s="1"/>
  <c r="G1646" i="14"/>
  <c r="H1646" i="14" s="1"/>
  <c r="G1644" i="14"/>
  <c r="H1644" i="14" s="1"/>
  <c r="G1641" i="14"/>
  <c r="H1641" i="14" s="1"/>
  <c r="G1640" i="14"/>
  <c r="H1640" i="14" s="1"/>
  <c r="G1639" i="14"/>
  <c r="H1639" i="14" s="1"/>
  <c r="G1627" i="14"/>
  <c r="H1627" i="14" s="1"/>
  <c r="G1625" i="14"/>
  <c r="H1625" i="14" s="1"/>
  <c r="G1622" i="14"/>
  <c r="H1622" i="14" s="1"/>
  <c r="G1621" i="14"/>
  <c r="H1621" i="14" s="1"/>
  <c r="G1620" i="14"/>
  <c r="H1620" i="14" s="1"/>
  <c r="G1619" i="14"/>
  <c r="H1619" i="14" s="1"/>
  <c r="G1606" i="14"/>
  <c r="H1606" i="14" s="1"/>
  <c r="G1605" i="14"/>
  <c r="H1605" i="14" s="1"/>
  <c r="G1603" i="14"/>
  <c r="H1603" i="14" s="1"/>
  <c r="G1600" i="14"/>
  <c r="H1600" i="14" s="1"/>
  <c r="G1599" i="14"/>
  <c r="H1599" i="14" s="1"/>
  <c r="G1598" i="14"/>
  <c r="H1598" i="14" s="1"/>
  <c r="H1586" i="14"/>
  <c r="H1585" i="14"/>
  <c r="G1580" i="14"/>
  <c r="H1580" i="14" s="1"/>
  <c r="G1579" i="14"/>
  <c r="H1579" i="14" s="1"/>
  <c r="G1578" i="14"/>
  <c r="H1578" i="14" s="1"/>
  <c r="G1566" i="14"/>
  <c r="H1566" i="14" s="1"/>
  <c r="G1565" i="14"/>
  <c r="H1565" i="14" s="1"/>
  <c r="H1563" i="14"/>
  <c r="G1560" i="14"/>
  <c r="H1560" i="14" s="1"/>
  <c r="G1559" i="14"/>
  <c r="H1559" i="14" s="1"/>
  <c r="G1558" i="14"/>
  <c r="H1558" i="14" s="1"/>
  <c r="G1557" i="14"/>
  <c r="H1557" i="14" s="1"/>
  <c r="G1546" i="14"/>
  <c r="H1546" i="14" s="1"/>
  <c r="G1545" i="14"/>
  <c r="H1545" i="14" s="1"/>
  <c r="G1543" i="14"/>
  <c r="H1543" i="14" s="1"/>
  <c r="H1540" i="14"/>
  <c r="H1539" i="14"/>
  <c r="H1481" i="14"/>
  <c r="H1482" i="14" s="1"/>
  <c r="G1477" i="14"/>
  <c r="H1477" i="14" s="1"/>
  <c r="G1476" i="14"/>
  <c r="H1476" i="14" s="1"/>
  <c r="G1475" i="14"/>
  <c r="H1475" i="14" s="1"/>
  <c r="G1474" i="14"/>
  <c r="H1474" i="14" s="1"/>
  <c r="G1463" i="14"/>
  <c r="H1463" i="14" s="1"/>
  <c r="H1464" i="14" s="1"/>
  <c r="G1460" i="14"/>
  <c r="H1460" i="14" s="1"/>
  <c r="G1459" i="14"/>
  <c r="H1459" i="14" s="1"/>
  <c r="H1458" i="14"/>
  <c r="G1443" i="14"/>
  <c r="H1443" i="14" s="1"/>
  <c r="G1442" i="14"/>
  <c r="H1442" i="14" s="1"/>
  <c r="G1441" i="14"/>
  <c r="H1441" i="14" s="1"/>
  <c r="G1429" i="14"/>
  <c r="H1429" i="14" s="1"/>
  <c r="G1428" i="14"/>
  <c r="H1428" i="14" s="1"/>
  <c r="G1425" i="14"/>
  <c r="H1425" i="14" s="1"/>
  <c r="G1424" i="14"/>
  <c r="H1424" i="14" s="1"/>
  <c r="G1423" i="14"/>
  <c r="H1423" i="14" s="1"/>
  <c r="G1422" i="14"/>
  <c r="H1422" i="14" s="1"/>
  <c r="G1411" i="14"/>
  <c r="H1411" i="14" s="1"/>
  <c r="G1410" i="14"/>
  <c r="H1410" i="14" s="1"/>
  <c r="G1407" i="14"/>
  <c r="H1407" i="14" s="1"/>
  <c r="G1406" i="14"/>
  <c r="H1406" i="14" s="1"/>
  <c r="G1405" i="14"/>
  <c r="H1405" i="14" s="1"/>
  <c r="G1393" i="14"/>
  <c r="H1393" i="14" s="1"/>
  <c r="G1392" i="14"/>
  <c r="H1392" i="14" s="1"/>
  <c r="G1389" i="14"/>
  <c r="H1389" i="14" s="1"/>
  <c r="G1388" i="14"/>
  <c r="H1388" i="14" s="1"/>
  <c r="G1387" i="14"/>
  <c r="H1387" i="14" s="1"/>
  <c r="G1386" i="14"/>
  <c r="H1386" i="14" s="1"/>
  <c r="G1375" i="14"/>
  <c r="H1375" i="14" s="1"/>
  <c r="G1374" i="14"/>
  <c r="H1374" i="14" s="1"/>
  <c r="G1371" i="14"/>
  <c r="H1371" i="14" s="1"/>
  <c r="G1370" i="14"/>
  <c r="H1370" i="14" s="1"/>
  <c r="G1369" i="14"/>
  <c r="H1369" i="14" s="1"/>
  <c r="G1357" i="14"/>
  <c r="H1357" i="14" s="1"/>
  <c r="G1356" i="14"/>
  <c r="H1356" i="14" s="1"/>
  <c r="G1353" i="14"/>
  <c r="H1353" i="14" s="1"/>
  <c r="G1352" i="14"/>
  <c r="H1352" i="14" s="1"/>
  <c r="G1351" i="14"/>
  <c r="H1351" i="14" s="1"/>
  <c r="G1335" i="14"/>
  <c r="H1335" i="14" s="1"/>
  <c r="G1334" i="14"/>
  <c r="H1334" i="14" s="1"/>
  <c r="G1333" i="14"/>
  <c r="H1333" i="14" s="1"/>
  <c r="G1321" i="14"/>
  <c r="H1321" i="14" s="1"/>
  <c r="G1320" i="14"/>
  <c r="H1320" i="14" s="1"/>
  <c r="G1317" i="14"/>
  <c r="H1317" i="14" s="1"/>
  <c r="G1316" i="14"/>
  <c r="H1316" i="14" s="1"/>
  <c r="G1315" i="14"/>
  <c r="H1315" i="14" s="1"/>
  <c r="H1314" i="14"/>
  <c r="G1303" i="14"/>
  <c r="H1303" i="14" s="1"/>
  <c r="G1302" i="14"/>
  <c r="H1302" i="14" s="1"/>
  <c r="G1300" i="14"/>
  <c r="H1300" i="14" s="1"/>
  <c r="G1261" i="14"/>
  <c r="H1261" i="14" s="1"/>
  <c r="G1260" i="14"/>
  <c r="H1260" i="14" s="1"/>
  <c r="G1258" i="14"/>
  <c r="H1258" i="14" s="1"/>
  <c r="G1255" i="14"/>
  <c r="H1255" i="14" s="1"/>
  <c r="G1254" i="14"/>
  <c r="H1254" i="14" s="1"/>
  <c r="G1253" i="14"/>
  <c r="H1253" i="14" s="1"/>
  <c r="G1252" i="14"/>
  <c r="H1252" i="14" s="1"/>
  <c r="G1241" i="14"/>
  <c r="H1241" i="14" s="1"/>
  <c r="G1240" i="14"/>
  <c r="H1240" i="14" s="1"/>
  <c r="G1238" i="14"/>
  <c r="H1238" i="14" s="1"/>
  <c r="G1235" i="14"/>
  <c r="H1235" i="14" s="1"/>
  <c r="G1234" i="14"/>
  <c r="H1234" i="14" s="1"/>
  <c r="G1233" i="14"/>
  <c r="H1233" i="14" s="1"/>
  <c r="G1232" i="14"/>
  <c r="H1232" i="14" s="1"/>
  <c r="G1221" i="14"/>
  <c r="H1221" i="14" s="1"/>
  <c r="G1220" i="14"/>
  <c r="H1220" i="14" s="1"/>
  <c r="G1218" i="14"/>
  <c r="H1218" i="14" s="1"/>
  <c r="G1215" i="14"/>
  <c r="H1215" i="14" s="1"/>
  <c r="G1214" i="14"/>
  <c r="H1214" i="14" s="1"/>
  <c r="G1213" i="14"/>
  <c r="H1213" i="14" s="1"/>
  <c r="G1212" i="14"/>
  <c r="H1212" i="14" s="1"/>
  <c r="G1201" i="14"/>
  <c r="H1201" i="14" s="1"/>
  <c r="G1200" i="14"/>
  <c r="H1200" i="14" s="1"/>
  <c r="G1198" i="14"/>
  <c r="H1198" i="14" s="1"/>
  <c r="G1195" i="14"/>
  <c r="H1195" i="14" s="1"/>
  <c r="G1194" i="14"/>
  <c r="H1194" i="14" s="1"/>
  <c r="G1193" i="14"/>
  <c r="H1193" i="14" s="1"/>
  <c r="G1192" i="14"/>
  <c r="H1192" i="14" s="1"/>
  <c r="G1180" i="14"/>
  <c r="H1180" i="14" s="1"/>
  <c r="G1179" i="14"/>
  <c r="H1179" i="14" s="1"/>
  <c r="G1177" i="14"/>
  <c r="H1177" i="14" s="1"/>
  <c r="G1174" i="14"/>
  <c r="H1174" i="14" s="1"/>
  <c r="G1173" i="14"/>
  <c r="H1173" i="14" s="1"/>
  <c r="G1172" i="14"/>
  <c r="H1172" i="14" s="1"/>
  <c r="G1171" i="14"/>
  <c r="H1171" i="14" s="1"/>
  <c r="G1139" i="14"/>
  <c r="H1139" i="14" s="1"/>
  <c r="G1138" i="14"/>
  <c r="H1138" i="14" s="1"/>
  <c r="G1136" i="14"/>
  <c r="H1136" i="14" s="1"/>
  <c r="G1133" i="14"/>
  <c r="H1133" i="14" s="1"/>
  <c r="G1132" i="14"/>
  <c r="H1132" i="14" s="1"/>
  <c r="G1131" i="14"/>
  <c r="H1131" i="14" s="1"/>
  <c r="G1130" i="14"/>
  <c r="H1130" i="14" s="1"/>
  <c r="G1119" i="14"/>
  <c r="H1119" i="14" s="1"/>
  <c r="G1118" i="14"/>
  <c r="H1118" i="14" s="1"/>
  <c r="G1116" i="14"/>
  <c r="H1116" i="14" s="1"/>
  <c r="G1113" i="14"/>
  <c r="H1113" i="14" s="1"/>
  <c r="G1112" i="14"/>
  <c r="H1112" i="14" s="1"/>
  <c r="G1111" i="14"/>
  <c r="H1111" i="14" s="1"/>
  <c r="G1110" i="14"/>
  <c r="H1110" i="14" s="1"/>
  <c r="G1099" i="14"/>
  <c r="H1099" i="14" s="1"/>
  <c r="G1098" i="14"/>
  <c r="H1098" i="14" s="1"/>
  <c r="G1096" i="14"/>
  <c r="H1096" i="14" s="1"/>
  <c r="G1093" i="14"/>
  <c r="H1093" i="14" s="1"/>
  <c r="G1092" i="14"/>
  <c r="H1092" i="14" s="1"/>
  <c r="G1091" i="14"/>
  <c r="H1091" i="14" s="1"/>
  <c r="G1090" i="14"/>
  <c r="H1090" i="14" s="1"/>
  <c r="G1077" i="14"/>
  <c r="H1077" i="14" s="1"/>
  <c r="G1076" i="14"/>
  <c r="H1076" i="14" s="1"/>
  <c r="G1074" i="14"/>
  <c r="H1074" i="14" s="1"/>
  <c r="G1071" i="14"/>
  <c r="H1071" i="14" s="1"/>
  <c r="G1070" i="14"/>
  <c r="H1070" i="14" s="1"/>
  <c r="G1069" i="14"/>
  <c r="H1069" i="14" s="1"/>
  <c r="G1068" i="14"/>
  <c r="H1068" i="14" s="1"/>
  <c r="G1057" i="14"/>
  <c r="H1057" i="14" s="1"/>
  <c r="G1056" i="14"/>
  <c r="H1056" i="14" s="1"/>
  <c r="G1054" i="14"/>
  <c r="H1054" i="14" s="1"/>
  <c r="G1051" i="14"/>
  <c r="H1051" i="14" s="1"/>
  <c r="G1050" i="14"/>
  <c r="H1050" i="14" s="1"/>
  <c r="G1049" i="14"/>
  <c r="H1049" i="14" s="1"/>
  <c r="G1048" i="14"/>
  <c r="H1048" i="14" s="1"/>
  <c r="G1037" i="14"/>
  <c r="H1037" i="14" s="1"/>
  <c r="G1036" i="14"/>
  <c r="H1036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17" i="14"/>
  <c r="H1017" i="14" s="1"/>
  <c r="G1016" i="14"/>
  <c r="H1016" i="14" s="1"/>
  <c r="G1014" i="14"/>
  <c r="H1014" i="14" s="1"/>
  <c r="G1011" i="14"/>
  <c r="H1011" i="14" s="1"/>
  <c r="G1010" i="14"/>
  <c r="H1010" i="14" s="1"/>
  <c r="G1009" i="14"/>
  <c r="H1009" i="14" s="1"/>
  <c r="G1008" i="14"/>
  <c r="H1008" i="14" s="1"/>
  <c r="G997" i="14"/>
  <c r="H997" i="14" s="1"/>
  <c r="G996" i="14"/>
  <c r="H996" i="14" s="1"/>
  <c r="G994" i="14"/>
  <c r="H994" i="14" s="1"/>
  <c r="G991" i="14"/>
  <c r="H991" i="14" s="1"/>
  <c r="G990" i="14"/>
  <c r="H990" i="14" s="1"/>
  <c r="G989" i="14"/>
  <c r="H989" i="14" s="1"/>
  <c r="G988" i="14"/>
  <c r="H988" i="14" s="1"/>
  <c r="G977" i="14"/>
  <c r="H977" i="14" s="1"/>
  <c r="G976" i="14"/>
  <c r="H976" i="14" s="1"/>
  <c r="G974" i="14"/>
  <c r="H974" i="14" s="1"/>
  <c r="G971" i="14"/>
  <c r="H971" i="14" s="1"/>
  <c r="G970" i="14"/>
  <c r="H970" i="14" s="1"/>
  <c r="G969" i="14"/>
  <c r="H969" i="14" s="1"/>
  <c r="G968" i="14"/>
  <c r="H968" i="14" s="1"/>
  <c r="G955" i="14"/>
  <c r="H955" i="14" s="1"/>
  <c r="G954" i="14"/>
  <c r="H954" i="14" s="1"/>
  <c r="G952" i="14"/>
  <c r="H952" i="14" s="1"/>
  <c r="G949" i="14"/>
  <c r="H949" i="14" s="1"/>
  <c r="G948" i="14"/>
  <c r="H948" i="14" s="1"/>
  <c r="G947" i="14"/>
  <c r="H947" i="14" s="1"/>
  <c r="G946" i="14"/>
  <c r="H946" i="14" s="1"/>
  <c r="G935" i="14"/>
  <c r="H935" i="14" s="1"/>
  <c r="G934" i="14"/>
  <c r="H934" i="14" s="1"/>
  <c r="G932" i="14"/>
  <c r="H932" i="14" s="1"/>
  <c r="G929" i="14"/>
  <c r="H929" i="14" s="1"/>
  <c r="G928" i="14"/>
  <c r="H928" i="14" s="1"/>
  <c r="G927" i="14"/>
  <c r="H927" i="14" s="1"/>
  <c r="G926" i="14"/>
  <c r="H926" i="14" s="1"/>
  <c r="G915" i="14"/>
  <c r="H915" i="14" s="1"/>
  <c r="G914" i="14"/>
  <c r="H914" i="14" s="1"/>
  <c r="G912" i="14"/>
  <c r="H912" i="14" s="1"/>
  <c r="G909" i="14"/>
  <c r="H909" i="14" s="1"/>
  <c r="G908" i="14"/>
  <c r="H908" i="14" s="1"/>
  <c r="G907" i="14"/>
  <c r="H907" i="14" s="1"/>
  <c r="G906" i="14"/>
  <c r="H906" i="14" s="1"/>
  <c r="G895" i="14"/>
  <c r="H895" i="14" s="1"/>
  <c r="G894" i="14"/>
  <c r="H894" i="14" s="1"/>
  <c r="G892" i="14"/>
  <c r="H892" i="14" s="1"/>
  <c r="G889" i="14"/>
  <c r="H889" i="14" s="1"/>
  <c r="G888" i="14"/>
  <c r="H888" i="14" s="1"/>
  <c r="G887" i="14"/>
  <c r="H887" i="14" s="1"/>
  <c r="G886" i="14"/>
  <c r="H886" i="14" s="1"/>
  <c r="G875" i="14"/>
  <c r="H875" i="14" s="1"/>
  <c r="G874" i="14"/>
  <c r="H874" i="14" s="1"/>
  <c r="G872" i="14"/>
  <c r="H872" i="14" s="1"/>
  <c r="G869" i="14"/>
  <c r="H869" i="14" s="1"/>
  <c r="G868" i="14"/>
  <c r="H868" i="14" s="1"/>
  <c r="G867" i="14"/>
  <c r="H867" i="14" s="1"/>
  <c r="G866" i="14"/>
  <c r="H866" i="14" s="1"/>
  <c r="G855" i="14"/>
  <c r="H855" i="14" s="1"/>
  <c r="G854" i="14"/>
  <c r="H854" i="14" s="1"/>
  <c r="G852" i="14"/>
  <c r="H852" i="14" s="1"/>
  <c r="G849" i="14"/>
  <c r="H849" i="14" s="1"/>
  <c r="G848" i="14"/>
  <c r="H848" i="14" s="1"/>
  <c r="G847" i="14"/>
  <c r="H847" i="14" s="1"/>
  <c r="G846" i="14"/>
  <c r="H846" i="14" s="1"/>
  <c r="G835" i="14"/>
  <c r="H835" i="14" s="1"/>
  <c r="G834" i="14"/>
  <c r="H834" i="14" s="1"/>
  <c r="G832" i="14"/>
  <c r="H832" i="14" s="1"/>
  <c r="G829" i="14"/>
  <c r="H829" i="14" s="1"/>
  <c r="G828" i="14"/>
  <c r="H828" i="14" s="1"/>
  <c r="G827" i="14"/>
  <c r="H827" i="14" s="1"/>
  <c r="G826" i="14"/>
  <c r="H826" i="14" s="1"/>
  <c r="G815" i="14"/>
  <c r="H815" i="14" s="1"/>
  <c r="G814" i="14"/>
  <c r="H814" i="14" s="1"/>
  <c r="G812" i="14"/>
  <c r="H812" i="14" s="1"/>
  <c r="G809" i="14"/>
  <c r="H809" i="14" s="1"/>
  <c r="G808" i="14"/>
  <c r="H808" i="14" s="1"/>
  <c r="G807" i="14"/>
  <c r="H807" i="14" s="1"/>
  <c r="G806" i="14"/>
  <c r="H806" i="14" s="1"/>
  <c r="G795" i="14"/>
  <c r="H795" i="14" s="1"/>
  <c r="G794" i="14"/>
  <c r="H794" i="14" s="1"/>
  <c r="G792" i="14"/>
  <c r="H792" i="14" s="1"/>
  <c r="G789" i="14"/>
  <c r="H789" i="14" s="1"/>
  <c r="G788" i="14"/>
  <c r="H788" i="14" s="1"/>
  <c r="G787" i="14"/>
  <c r="H787" i="14" s="1"/>
  <c r="G786" i="14"/>
  <c r="H786" i="14" s="1"/>
  <c r="G774" i="14"/>
  <c r="H774" i="14" s="1"/>
  <c r="G773" i="14"/>
  <c r="H773" i="14" s="1"/>
  <c r="G771" i="14"/>
  <c r="H771" i="14" s="1"/>
  <c r="G768" i="14"/>
  <c r="H768" i="14" s="1"/>
  <c r="G767" i="14"/>
  <c r="H767" i="14" s="1"/>
  <c r="G766" i="14"/>
  <c r="H766" i="14" s="1"/>
  <c r="G765" i="14"/>
  <c r="H765" i="14" s="1"/>
  <c r="G754" i="14"/>
  <c r="H754" i="14" s="1"/>
  <c r="G753" i="14"/>
  <c r="H753" i="14" s="1"/>
  <c r="G751" i="14"/>
  <c r="H751" i="14" s="1"/>
  <c r="G748" i="14"/>
  <c r="H748" i="14" s="1"/>
  <c r="G747" i="14"/>
  <c r="H747" i="14" s="1"/>
  <c r="G746" i="14"/>
  <c r="H746" i="14" s="1"/>
  <c r="G745" i="14"/>
  <c r="H745" i="14" s="1"/>
  <c r="G734" i="14"/>
  <c r="H734" i="14" s="1"/>
  <c r="G733" i="14"/>
  <c r="H733" i="14" s="1"/>
  <c r="G731" i="14"/>
  <c r="H731" i="14" s="1"/>
  <c r="G728" i="14"/>
  <c r="H728" i="14" s="1"/>
  <c r="G727" i="14"/>
  <c r="H727" i="14" s="1"/>
  <c r="G726" i="14"/>
  <c r="H726" i="14" s="1"/>
  <c r="G725" i="14"/>
  <c r="H725" i="14" s="1"/>
  <c r="G714" i="14"/>
  <c r="H714" i="14" s="1"/>
  <c r="G713" i="14"/>
  <c r="H713" i="14" s="1"/>
  <c r="H711" i="14"/>
  <c r="G708" i="14"/>
  <c r="H708" i="14" s="1"/>
  <c r="G707" i="14"/>
  <c r="H707" i="14" s="1"/>
  <c r="G706" i="14"/>
  <c r="H706" i="14" s="1"/>
  <c r="G705" i="14"/>
  <c r="H705" i="14" s="1"/>
  <c r="G694" i="14"/>
  <c r="H694" i="14" s="1"/>
  <c r="G693" i="14"/>
  <c r="H693" i="14" s="1"/>
  <c r="G691" i="14"/>
  <c r="H691" i="14" s="1"/>
  <c r="G688" i="14"/>
  <c r="H688" i="14" s="1"/>
  <c r="G687" i="14"/>
  <c r="H687" i="14" s="1"/>
  <c r="G686" i="14"/>
  <c r="H686" i="14" s="1"/>
  <c r="G685" i="14"/>
  <c r="H685" i="14" s="1"/>
  <c r="G674" i="14"/>
  <c r="H674" i="14" s="1"/>
  <c r="G673" i="14"/>
  <c r="H673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530" i="14"/>
  <c r="H530" i="14" s="1"/>
  <c r="G529" i="14"/>
  <c r="H529" i="14" s="1"/>
  <c r="G527" i="14"/>
  <c r="H527" i="14" s="1"/>
  <c r="G524" i="14"/>
  <c r="H524" i="14" s="1"/>
  <c r="G523" i="14"/>
  <c r="H523" i="14" s="1"/>
  <c r="G522" i="14"/>
  <c r="H522" i="14" s="1"/>
  <c r="G521" i="14"/>
  <c r="H521" i="14" s="1"/>
  <c r="G510" i="14"/>
  <c r="H510" i="14" s="1"/>
  <c r="G509" i="14"/>
  <c r="H509" i="14" s="1"/>
  <c r="G507" i="14"/>
  <c r="H507" i="14" s="1"/>
  <c r="G504" i="14"/>
  <c r="H504" i="14" s="1"/>
  <c r="G503" i="14"/>
  <c r="H503" i="14" s="1"/>
  <c r="G502" i="14"/>
  <c r="H502" i="14" s="1"/>
  <c r="G501" i="14"/>
  <c r="H501" i="14" s="1"/>
  <c r="G490" i="14"/>
  <c r="H490" i="14" s="1"/>
  <c r="G489" i="14"/>
  <c r="H489" i="14" s="1"/>
  <c r="G487" i="14"/>
  <c r="H487" i="14" s="1"/>
  <c r="G484" i="14"/>
  <c r="H484" i="14" s="1"/>
  <c r="G483" i="14"/>
  <c r="H483" i="14" s="1"/>
  <c r="G482" i="14"/>
  <c r="H482" i="14" s="1"/>
  <c r="G481" i="14"/>
  <c r="H481" i="14" s="1"/>
  <c r="G470" i="14"/>
  <c r="H470" i="14" s="1"/>
  <c r="G469" i="14"/>
  <c r="H469" i="14" s="1"/>
  <c r="G467" i="14"/>
  <c r="H467" i="14" s="1"/>
  <c r="G464" i="14"/>
  <c r="H464" i="14" s="1"/>
  <c r="G463" i="14"/>
  <c r="H463" i="14" s="1"/>
  <c r="G462" i="14"/>
  <c r="H462" i="14" s="1"/>
  <c r="G461" i="14"/>
  <c r="H461" i="14" s="1"/>
  <c r="G450" i="14"/>
  <c r="H450" i="14" s="1"/>
  <c r="G449" i="14"/>
  <c r="H449" i="14" s="1"/>
  <c r="G444" i="14"/>
  <c r="H444" i="14" s="1"/>
  <c r="G443" i="14"/>
  <c r="H443" i="14" s="1"/>
  <c r="G442" i="14"/>
  <c r="H442" i="14" s="1"/>
  <c r="G441" i="14"/>
  <c r="H441" i="14" s="1"/>
  <c r="G430" i="14"/>
  <c r="H430" i="14" s="1"/>
  <c r="G429" i="14"/>
  <c r="H429" i="14" s="1"/>
  <c r="G427" i="14"/>
  <c r="H427" i="14" s="1"/>
  <c r="G424" i="14"/>
  <c r="H424" i="14" s="1"/>
  <c r="G423" i="14"/>
  <c r="H423" i="14" s="1"/>
  <c r="G422" i="14"/>
  <c r="H422" i="14" s="1"/>
  <c r="G421" i="14"/>
  <c r="H421" i="14" s="1"/>
  <c r="G409" i="14"/>
  <c r="H409" i="14" s="1"/>
  <c r="G408" i="14"/>
  <c r="H408" i="14" s="1"/>
  <c r="G403" i="14"/>
  <c r="H403" i="14" s="1"/>
  <c r="G402" i="14"/>
  <c r="H402" i="14" s="1"/>
  <c r="G401" i="14"/>
  <c r="H401" i="14" s="1"/>
  <c r="G389" i="14"/>
  <c r="H389" i="14" s="1"/>
  <c r="G388" i="14"/>
  <c r="H388" i="14" s="1"/>
  <c r="G386" i="14"/>
  <c r="H386" i="14" s="1"/>
  <c r="G383" i="14"/>
  <c r="H383" i="14" s="1"/>
  <c r="G382" i="14"/>
  <c r="H382" i="14" s="1"/>
  <c r="G381" i="14"/>
  <c r="H381" i="14" s="1"/>
  <c r="G380" i="14"/>
  <c r="H380" i="14" s="1"/>
  <c r="H365" i="14"/>
  <c r="H364" i="14"/>
  <c r="H363" i="14"/>
  <c r="G351" i="14"/>
  <c r="H351" i="14" s="1"/>
  <c r="G350" i="14"/>
  <c r="H350" i="14" s="1"/>
  <c r="G348" i="14"/>
  <c r="H348" i="14" s="1"/>
  <c r="G345" i="14"/>
  <c r="H345" i="14" s="1"/>
  <c r="G344" i="14"/>
  <c r="H344" i="14" s="1"/>
  <c r="G343" i="14"/>
  <c r="H343" i="14" s="1"/>
  <c r="G342" i="14"/>
  <c r="H342" i="14" s="1"/>
  <c r="H331" i="14"/>
  <c r="G330" i="14"/>
  <c r="H330" i="14" s="1"/>
  <c r="G328" i="14"/>
  <c r="H328" i="14" s="1"/>
  <c r="G325" i="14"/>
  <c r="H325" i="14" s="1"/>
  <c r="G324" i="14"/>
  <c r="H324" i="14" s="1"/>
  <c r="G323" i="14"/>
  <c r="H323" i="14" s="1"/>
  <c r="G310" i="14"/>
  <c r="H310" i="14" s="1"/>
  <c r="G309" i="14"/>
  <c r="H309" i="14" s="1"/>
  <c r="G307" i="14"/>
  <c r="H307" i="14" s="1"/>
  <c r="G304" i="14"/>
  <c r="H304" i="14" s="1"/>
  <c r="G303" i="14"/>
  <c r="H303" i="14" s="1"/>
  <c r="G302" i="14"/>
  <c r="H302" i="14" s="1"/>
  <c r="G301" i="14"/>
  <c r="H301" i="14" s="1"/>
  <c r="G290" i="14"/>
  <c r="H290" i="14" s="1"/>
  <c r="G289" i="14"/>
  <c r="H289" i="14" s="1"/>
  <c r="G287" i="14"/>
  <c r="H287" i="14" s="1"/>
  <c r="G284" i="14"/>
  <c r="H284" i="14" s="1"/>
  <c r="G283" i="14"/>
  <c r="H283" i="14" s="1"/>
  <c r="G282" i="14"/>
  <c r="H282" i="14" s="1"/>
  <c r="G281" i="14"/>
  <c r="H281" i="14" s="1"/>
  <c r="G270" i="14"/>
  <c r="H270" i="14" s="1"/>
  <c r="G269" i="14"/>
  <c r="H269" i="14" s="1"/>
  <c r="G264" i="14"/>
  <c r="H264" i="14" s="1"/>
  <c r="G263" i="14"/>
  <c r="H263" i="14" s="1"/>
  <c r="G262" i="14"/>
  <c r="H262" i="14" s="1"/>
  <c r="G250" i="14"/>
  <c r="H250" i="14" s="1"/>
  <c r="G249" i="14"/>
  <c r="H249" i="14" s="1"/>
  <c r="G247" i="14"/>
  <c r="H247" i="14" s="1"/>
  <c r="G244" i="14"/>
  <c r="H244" i="14" s="1"/>
  <c r="G243" i="14"/>
  <c r="H243" i="14" s="1"/>
  <c r="G242" i="14"/>
  <c r="H242" i="14" s="1"/>
  <c r="G241" i="14"/>
  <c r="H241" i="14" s="1"/>
  <c r="G230" i="14"/>
  <c r="H230" i="14" s="1"/>
  <c r="G229" i="14"/>
  <c r="H229" i="14" s="1"/>
  <c r="G227" i="14"/>
  <c r="H227" i="14" s="1"/>
  <c r="G224" i="14"/>
  <c r="H224" i="14" s="1"/>
  <c r="G223" i="14"/>
  <c r="H223" i="14" s="1"/>
  <c r="G222" i="14"/>
  <c r="H222" i="14" s="1"/>
  <c r="G221" i="14"/>
  <c r="H221" i="14" s="1"/>
  <c r="G210" i="14"/>
  <c r="H210" i="14" s="1"/>
  <c r="G209" i="14"/>
  <c r="H209" i="14" s="1"/>
  <c r="G207" i="14"/>
  <c r="H207" i="14" s="1"/>
  <c r="G204" i="14"/>
  <c r="H204" i="14" s="1"/>
  <c r="G203" i="14"/>
  <c r="H203" i="14" s="1"/>
  <c r="G202" i="14"/>
  <c r="H202" i="14" s="1"/>
  <c r="G201" i="14"/>
  <c r="H201" i="14" s="1"/>
  <c r="G190" i="14"/>
  <c r="H190" i="14" s="1"/>
  <c r="G189" i="14"/>
  <c r="H189" i="14" s="1"/>
  <c r="G187" i="14"/>
  <c r="H187" i="14" s="1"/>
  <c r="G184" i="14"/>
  <c r="H184" i="14" s="1"/>
  <c r="G183" i="14"/>
  <c r="H183" i="14" s="1"/>
  <c r="G182" i="14"/>
  <c r="H182" i="14" s="1"/>
  <c r="G181" i="14"/>
  <c r="H181" i="14" s="1"/>
  <c r="G170" i="14"/>
  <c r="H170" i="14" s="1"/>
  <c r="G169" i="14"/>
  <c r="H169" i="14" s="1"/>
  <c r="G167" i="14"/>
  <c r="H167" i="14" s="1"/>
  <c r="G164" i="14"/>
  <c r="H164" i="14" s="1"/>
  <c r="G163" i="14"/>
  <c r="H163" i="14" s="1"/>
  <c r="G162" i="14"/>
  <c r="H162" i="14" s="1"/>
  <c r="H161" i="14"/>
  <c r="G149" i="14"/>
  <c r="H149" i="14" s="1"/>
  <c r="G147" i="14"/>
  <c r="H147" i="14" s="1"/>
  <c r="G144" i="14"/>
  <c r="H144" i="14" s="1"/>
  <c r="G143" i="14"/>
  <c r="H143" i="14" s="1"/>
  <c r="G142" i="14"/>
  <c r="H142" i="14" s="1"/>
  <c r="G141" i="14"/>
  <c r="H141" i="14" s="1"/>
  <c r="G130" i="14"/>
  <c r="H130" i="14" s="1"/>
  <c r="G128" i="14"/>
  <c r="H128" i="14" s="1"/>
  <c r="G125" i="14"/>
  <c r="H125" i="14" s="1"/>
  <c r="G124" i="14"/>
  <c r="H124" i="14" s="1"/>
  <c r="G123" i="14"/>
  <c r="H123" i="14" s="1"/>
  <c r="G122" i="14"/>
  <c r="H122" i="14" s="1"/>
  <c r="G111" i="14"/>
  <c r="H111" i="14" s="1"/>
  <c r="G109" i="14"/>
  <c r="H109" i="14" s="1"/>
  <c r="G106" i="14"/>
  <c r="H106" i="14" s="1"/>
  <c r="G105" i="14"/>
  <c r="H105" i="14" s="1"/>
  <c r="G104" i="14"/>
  <c r="H104" i="14" s="1"/>
  <c r="G103" i="14"/>
  <c r="H103" i="14" s="1"/>
  <c r="G92" i="14"/>
  <c r="H92" i="14" s="1"/>
  <c r="G90" i="14"/>
  <c r="H90" i="14" s="1"/>
  <c r="G87" i="14"/>
  <c r="H87" i="14" s="1"/>
  <c r="G86" i="14"/>
  <c r="H86" i="14" s="1"/>
  <c r="G85" i="14"/>
  <c r="H85" i="14" s="1"/>
  <c r="G84" i="14"/>
  <c r="H84" i="14" s="1"/>
  <c r="G73" i="14"/>
  <c r="H73" i="14" s="1"/>
  <c r="G71" i="14"/>
  <c r="H71" i="14" s="1"/>
  <c r="G68" i="14"/>
  <c r="H68" i="14" s="1"/>
  <c r="G67" i="14"/>
  <c r="H67" i="14" s="1"/>
  <c r="G66" i="14"/>
  <c r="H66" i="14" s="1"/>
  <c r="G65" i="14"/>
  <c r="H65" i="14" s="1"/>
  <c r="G54" i="14"/>
  <c r="H54" i="14" s="1"/>
  <c r="G52" i="14"/>
  <c r="H52" i="14" s="1"/>
  <c r="G49" i="14"/>
  <c r="H49" i="14" s="1"/>
  <c r="G48" i="14"/>
  <c r="H48" i="14" s="1"/>
  <c r="G47" i="14"/>
  <c r="H47" i="14" s="1"/>
  <c r="G46" i="14"/>
  <c r="H46" i="14" s="1"/>
  <c r="G35" i="14"/>
  <c r="H35" i="14" s="1"/>
  <c r="G33" i="14"/>
  <c r="H33" i="14" s="1"/>
  <c r="G30" i="14"/>
  <c r="H30" i="14" s="1"/>
  <c r="G29" i="14"/>
  <c r="H29" i="14" s="1"/>
  <c r="G28" i="14"/>
  <c r="H28" i="14" s="1"/>
  <c r="G27" i="14"/>
  <c r="H27" i="14" s="1"/>
  <c r="G16" i="14"/>
  <c r="H16" i="14" s="1"/>
  <c r="G14" i="14"/>
  <c r="H14" i="14" s="1"/>
  <c r="G11" i="14"/>
  <c r="H11" i="14" s="1"/>
  <c r="G10" i="14"/>
  <c r="H10" i="14" s="1"/>
  <c r="G9" i="14"/>
  <c r="H9" i="14" s="1"/>
  <c r="G8" i="14"/>
  <c r="H8" i="14" s="1"/>
  <c r="G276" i="13"/>
  <c r="G258" i="13"/>
  <c r="G239" i="13"/>
  <c r="G221" i="13"/>
  <c r="G203" i="13"/>
  <c r="G185" i="13"/>
  <c r="G130" i="13"/>
  <c r="G111" i="13"/>
  <c r="G92" i="13"/>
  <c r="G73" i="13"/>
  <c r="G53" i="13"/>
  <c r="G36" i="13"/>
  <c r="G19" i="13"/>
  <c r="G267" i="13"/>
  <c r="H267" i="13" s="1"/>
  <c r="G266" i="13"/>
  <c r="H266" i="13" s="1"/>
  <c r="G265" i="13"/>
  <c r="H265" i="13" s="1"/>
  <c r="G264" i="13"/>
  <c r="H264" i="13" s="1"/>
  <c r="G253" i="13"/>
  <c r="H253" i="13" s="1"/>
  <c r="G252" i="13"/>
  <c r="H252" i="13" s="1"/>
  <c r="G249" i="13"/>
  <c r="H249" i="13" s="1"/>
  <c r="G248" i="13"/>
  <c r="H248" i="13" s="1"/>
  <c r="G247" i="13"/>
  <c r="H247" i="13" s="1"/>
  <c r="G246" i="13"/>
  <c r="H246" i="13" s="1"/>
  <c r="G234" i="13"/>
  <c r="H234" i="13" s="1"/>
  <c r="G233" i="13"/>
  <c r="H233" i="13" s="1"/>
  <c r="G230" i="13"/>
  <c r="H230" i="13" s="1"/>
  <c r="G229" i="13"/>
  <c r="H229" i="13" s="1"/>
  <c r="G228" i="13"/>
  <c r="H228" i="13" s="1"/>
  <c r="G227" i="13"/>
  <c r="H227" i="13" s="1"/>
  <c r="G216" i="13"/>
  <c r="H216" i="13" s="1"/>
  <c r="G215" i="13"/>
  <c r="H215" i="13" s="1"/>
  <c r="G212" i="13"/>
  <c r="H212" i="13" s="1"/>
  <c r="G211" i="13"/>
  <c r="H211" i="13" s="1"/>
  <c r="G210" i="13"/>
  <c r="H210" i="13" s="1"/>
  <c r="G209" i="13"/>
  <c r="H209" i="13" s="1"/>
  <c r="G198" i="13"/>
  <c r="H198" i="13" s="1"/>
  <c r="G197" i="13"/>
  <c r="H197" i="13" s="1"/>
  <c r="G194" i="13"/>
  <c r="H194" i="13" s="1"/>
  <c r="G193" i="13"/>
  <c r="H193" i="13" s="1"/>
  <c r="G192" i="13"/>
  <c r="H192" i="13" s="1"/>
  <c r="G191" i="13"/>
  <c r="H191" i="13" s="1"/>
  <c r="G180" i="13"/>
  <c r="H180" i="13" s="1"/>
  <c r="G179" i="13"/>
  <c r="H179" i="13" s="1"/>
  <c r="G176" i="13"/>
  <c r="H176" i="13" s="1"/>
  <c r="G175" i="13"/>
  <c r="H175" i="13" s="1"/>
  <c r="G174" i="13"/>
  <c r="H174" i="13" s="1"/>
  <c r="G173" i="13"/>
  <c r="H173" i="13" s="1"/>
  <c r="G125" i="13"/>
  <c r="H125" i="13" s="1"/>
  <c r="G121" i="13"/>
  <c r="H121" i="13" s="1"/>
  <c r="G120" i="13"/>
  <c r="H120" i="13" s="1"/>
  <c r="G119" i="13"/>
  <c r="H119" i="13" s="1"/>
  <c r="G118" i="13"/>
  <c r="H118" i="13" s="1"/>
  <c r="G102" i="13"/>
  <c r="H102" i="13" s="1"/>
  <c r="G101" i="13"/>
  <c r="H101" i="13" s="1"/>
  <c r="G100" i="13"/>
  <c r="H100" i="13" s="1"/>
  <c r="G99" i="13"/>
  <c r="H99" i="13" s="1"/>
  <c r="G87" i="13"/>
  <c r="H87" i="13" s="1"/>
  <c r="G86" i="13"/>
  <c r="H86" i="13" s="1"/>
  <c r="G83" i="13"/>
  <c r="H83" i="13" s="1"/>
  <c r="G82" i="13"/>
  <c r="H82" i="13" s="1"/>
  <c r="G81" i="13"/>
  <c r="H81" i="13" s="1"/>
  <c r="G68" i="13"/>
  <c r="H68" i="13" s="1"/>
  <c r="G67" i="13"/>
  <c r="H67" i="13" s="1"/>
  <c r="G66" i="13"/>
  <c r="H66" i="13" s="1"/>
  <c r="G62" i="13"/>
  <c r="H62" i="13" s="1"/>
  <c r="G61" i="13"/>
  <c r="H61" i="13" s="1"/>
  <c r="G60" i="13"/>
  <c r="H60" i="13" s="1"/>
  <c r="G48" i="13"/>
  <c r="H48" i="13" s="1"/>
  <c r="H49" i="13" s="1"/>
  <c r="G45" i="13"/>
  <c r="H45" i="13" s="1"/>
  <c r="G44" i="13"/>
  <c r="H44" i="13" s="1"/>
  <c r="G43" i="13"/>
  <c r="H43" i="13" s="1"/>
  <c r="G42" i="13"/>
  <c r="H42" i="13" s="1"/>
  <c r="G28" i="13"/>
  <c r="H28" i="13" s="1"/>
  <c r="G27" i="13"/>
  <c r="H27" i="13" s="1"/>
  <c r="G26" i="13"/>
  <c r="H26" i="13" s="1"/>
  <c r="G25" i="13"/>
  <c r="H25" i="13" s="1"/>
  <c r="G14" i="13"/>
  <c r="H14" i="13" s="1"/>
  <c r="H15" i="13" s="1"/>
  <c r="G11" i="13"/>
  <c r="H11" i="13" s="1"/>
  <c r="G10" i="13"/>
  <c r="H10" i="13" s="1"/>
  <c r="G9" i="13"/>
  <c r="H9" i="13" s="1"/>
  <c r="G8" i="13"/>
  <c r="H8" i="13" s="1"/>
  <c r="G267" i="12"/>
  <c r="G250" i="12"/>
  <c r="G233" i="12"/>
  <c r="G215" i="12"/>
  <c r="G197" i="12"/>
  <c r="G179" i="12"/>
  <c r="G161" i="12"/>
  <c r="G143" i="12"/>
  <c r="G126" i="12"/>
  <c r="G109" i="12"/>
  <c r="G91" i="12"/>
  <c r="G73" i="12"/>
  <c r="G55" i="12"/>
  <c r="G37" i="12"/>
  <c r="G19" i="12"/>
  <c r="G259" i="12"/>
  <c r="H259" i="12" s="1"/>
  <c r="G258" i="12"/>
  <c r="H258" i="12" s="1"/>
  <c r="G257" i="12"/>
  <c r="H257" i="12" s="1"/>
  <c r="G256" i="12"/>
  <c r="H256" i="12" s="1"/>
  <c r="G242" i="12"/>
  <c r="H242" i="12" s="1"/>
  <c r="G241" i="12"/>
  <c r="H241" i="12" s="1"/>
  <c r="G240" i="12"/>
  <c r="H240" i="12" s="1"/>
  <c r="G239" i="12"/>
  <c r="H239" i="12" s="1"/>
  <c r="G228" i="12"/>
  <c r="H228" i="12" s="1"/>
  <c r="G224" i="12"/>
  <c r="H224" i="12" s="1"/>
  <c r="G223" i="12"/>
  <c r="H223" i="12" s="1"/>
  <c r="G222" i="12"/>
  <c r="H222" i="12" s="1"/>
  <c r="G221" i="12"/>
  <c r="H221" i="12" s="1"/>
  <c r="G210" i="12"/>
  <c r="H210" i="12" s="1"/>
  <c r="G206" i="12"/>
  <c r="H206" i="12" s="1"/>
  <c r="G205" i="12"/>
  <c r="H205" i="12" s="1"/>
  <c r="G204" i="12"/>
  <c r="H204" i="12" s="1"/>
  <c r="G203" i="12"/>
  <c r="H203" i="12" s="1"/>
  <c r="G192" i="12"/>
  <c r="H192" i="12" s="1"/>
  <c r="G188" i="12"/>
  <c r="H188" i="12" s="1"/>
  <c r="G187" i="12"/>
  <c r="H187" i="12" s="1"/>
  <c r="G186" i="12"/>
  <c r="H186" i="12" s="1"/>
  <c r="G185" i="12"/>
  <c r="H185" i="12" s="1"/>
  <c r="G174" i="12"/>
  <c r="H174" i="12" s="1"/>
  <c r="G170" i="12"/>
  <c r="H170" i="12" s="1"/>
  <c r="G169" i="12"/>
  <c r="H169" i="12" s="1"/>
  <c r="H168" i="12"/>
  <c r="H167" i="12"/>
  <c r="G156" i="12"/>
  <c r="H156" i="12" s="1"/>
  <c r="G152" i="12"/>
  <c r="H152" i="12" s="1"/>
  <c r="G151" i="12"/>
  <c r="H151" i="12" s="1"/>
  <c r="G150" i="12"/>
  <c r="H150" i="12" s="1"/>
  <c r="G149" i="12"/>
  <c r="H149" i="12" s="1"/>
  <c r="G135" i="12"/>
  <c r="H135" i="12" s="1"/>
  <c r="G134" i="12"/>
  <c r="H134" i="12" s="1"/>
  <c r="G133" i="12"/>
  <c r="H133" i="12" s="1"/>
  <c r="G132" i="12"/>
  <c r="H132" i="12" s="1"/>
  <c r="G121" i="12"/>
  <c r="H121" i="12" s="1"/>
  <c r="H122" i="12" s="1"/>
  <c r="G118" i="12"/>
  <c r="H118" i="12" s="1"/>
  <c r="G117" i="12"/>
  <c r="H117" i="12" s="1"/>
  <c r="G116" i="12"/>
  <c r="H116" i="12" s="1"/>
  <c r="G115" i="12"/>
  <c r="H115" i="12" s="1"/>
  <c r="G104" i="12"/>
  <c r="H104" i="12" s="1"/>
  <c r="G100" i="12"/>
  <c r="H100" i="12" s="1"/>
  <c r="G99" i="12"/>
  <c r="H99" i="12" s="1"/>
  <c r="G98" i="12"/>
  <c r="H98" i="12" s="1"/>
  <c r="G97" i="12"/>
  <c r="H97" i="12" s="1"/>
  <c r="G86" i="12"/>
  <c r="H86" i="12" s="1"/>
  <c r="G82" i="12"/>
  <c r="H82" i="12" s="1"/>
  <c r="G81" i="12"/>
  <c r="H81" i="12" s="1"/>
  <c r="G80" i="12"/>
  <c r="H80" i="12" s="1"/>
  <c r="G79" i="12"/>
  <c r="H79" i="12" s="1"/>
  <c r="G68" i="12"/>
  <c r="H68" i="12" s="1"/>
  <c r="H69" i="12" s="1"/>
  <c r="G64" i="12"/>
  <c r="H64" i="12" s="1"/>
  <c r="G63" i="12"/>
  <c r="H63" i="12" s="1"/>
  <c r="G62" i="12"/>
  <c r="H62" i="12" s="1"/>
  <c r="G50" i="12"/>
  <c r="H50" i="12" s="1"/>
  <c r="G46" i="12"/>
  <c r="H46" i="12" s="1"/>
  <c r="G45" i="12"/>
  <c r="H45" i="12" s="1"/>
  <c r="G44" i="12"/>
  <c r="H44" i="12" s="1"/>
  <c r="G43" i="12"/>
  <c r="H43" i="12" s="1"/>
  <c r="G32" i="12"/>
  <c r="H32" i="12" s="1"/>
  <c r="G28" i="12"/>
  <c r="H28" i="12" s="1"/>
  <c r="G27" i="12"/>
  <c r="H27" i="12" s="1"/>
  <c r="G26" i="12"/>
  <c r="H26" i="12" s="1"/>
  <c r="G25" i="12"/>
  <c r="H25" i="12" s="1"/>
  <c r="G14" i="12"/>
  <c r="H14" i="12" s="1"/>
  <c r="G10" i="12"/>
  <c r="H10" i="12" s="1"/>
  <c r="G9" i="12"/>
  <c r="H9" i="12" s="1"/>
  <c r="G8" i="12"/>
  <c r="H8" i="12" s="1"/>
  <c r="G985" i="11"/>
  <c r="G967" i="11"/>
  <c r="G949" i="11"/>
  <c r="G931" i="11"/>
  <c r="G913" i="11"/>
  <c r="G894" i="11"/>
  <c r="G874" i="11"/>
  <c r="G857" i="11"/>
  <c r="G839" i="11"/>
  <c r="G821" i="11"/>
  <c r="G803" i="11"/>
  <c r="G784" i="11"/>
  <c r="G766" i="11"/>
  <c r="G748" i="11"/>
  <c r="G730" i="11"/>
  <c r="G711" i="11"/>
  <c r="G693" i="11"/>
  <c r="G675" i="11"/>
  <c r="G655" i="11"/>
  <c r="G637" i="11"/>
  <c r="G619" i="11"/>
  <c r="G601" i="11"/>
  <c r="G583" i="11"/>
  <c r="G564" i="11"/>
  <c r="G546" i="11"/>
  <c r="G528" i="11"/>
  <c r="G510" i="11"/>
  <c r="G492" i="11"/>
  <c r="G474" i="11"/>
  <c r="G456" i="11"/>
  <c r="G438" i="11"/>
  <c r="G420" i="11"/>
  <c r="G402" i="11"/>
  <c r="G384" i="11"/>
  <c r="G366" i="11"/>
  <c r="G348" i="11"/>
  <c r="G330" i="11"/>
  <c r="G312" i="11"/>
  <c r="G294" i="11"/>
  <c r="G276" i="11"/>
  <c r="G258" i="11"/>
  <c r="G240" i="11"/>
  <c r="G222" i="11"/>
  <c r="G204" i="11"/>
  <c r="G186" i="11"/>
  <c r="G168" i="11"/>
  <c r="G149" i="11"/>
  <c r="G128" i="11"/>
  <c r="G109" i="11"/>
  <c r="G90" i="11"/>
  <c r="G71" i="11"/>
  <c r="G53" i="11"/>
  <c r="G36" i="11"/>
  <c r="G19" i="11"/>
  <c r="H980" i="11"/>
  <c r="H979" i="11"/>
  <c r="G976" i="11"/>
  <c r="H976" i="11" s="1"/>
  <c r="G975" i="11"/>
  <c r="H975" i="11" s="1"/>
  <c r="G974" i="11"/>
  <c r="H974" i="11" s="1"/>
  <c r="G973" i="11"/>
  <c r="H973" i="11" s="1"/>
  <c r="G962" i="11"/>
  <c r="H962" i="11" s="1"/>
  <c r="G961" i="11"/>
  <c r="H961" i="11" s="1"/>
  <c r="G958" i="11"/>
  <c r="H958" i="11" s="1"/>
  <c r="G957" i="11"/>
  <c r="H957" i="11" s="1"/>
  <c r="G956" i="11"/>
  <c r="H956" i="11" s="1"/>
  <c r="G955" i="11"/>
  <c r="H955" i="11" s="1"/>
  <c r="G944" i="11"/>
  <c r="H944" i="11" s="1"/>
  <c r="G943" i="11"/>
  <c r="H943" i="11" s="1"/>
  <c r="G940" i="11"/>
  <c r="H940" i="11" s="1"/>
  <c r="G939" i="11"/>
  <c r="H939" i="11" s="1"/>
  <c r="G938" i="11"/>
  <c r="H938" i="11" s="1"/>
  <c r="G937" i="11"/>
  <c r="H937" i="11" s="1"/>
  <c r="G926" i="11"/>
  <c r="H926" i="11" s="1"/>
  <c r="G925" i="11"/>
  <c r="H925" i="11" s="1"/>
  <c r="G922" i="11"/>
  <c r="H922" i="11" s="1"/>
  <c r="G921" i="11"/>
  <c r="H921" i="11" s="1"/>
  <c r="G920" i="11"/>
  <c r="H920" i="11" s="1"/>
  <c r="G908" i="11"/>
  <c r="H908" i="11" s="1"/>
  <c r="G907" i="11"/>
  <c r="H907" i="11" s="1"/>
  <c r="G906" i="11"/>
  <c r="H906" i="11" s="1"/>
  <c r="G903" i="11"/>
  <c r="H903" i="11" s="1"/>
  <c r="G902" i="11"/>
  <c r="H902" i="11" s="1"/>
  <c r="G901" i="11"/>
  <c r="H901" i="11" s="1"/>
  <c r="G900" i="11"/>
  <c r="H900" i="11" s="1"/>
  <c r="G889" i="11"/>
  <c r="H889" i="11" s="1"/>
  <c r="G888" i="11"/>
  <c r="H888" i="11" s="1"/>
  <c r="G884" i="11"/>
  <c r="H884" i="11" s="1"/>
  <c r="G883" i="11"/>
  <c r="H883" i="11" s="1"/>
  <c r="G882" i="11"/>
  <c r="H882" i="11" s="1"/>
  <c r="G881" i="11"/>
  <c r="H881" i="11" s="1"/>
  <c r="G869" i="11"/>
  <c r="H869" i="11" s="1"/>
  <c r="H870" i="11" s="1"/>
  <c r="G866" i="11"/>
  <c r="H866" i="11" s="1"/>
  <c r="G865" i="11"/>
  <c r="H865" i="11" s="1"/>
  <c r="G864" i="11"/>
  <c r="H864" i="11" s="1"/>
  <c r="G863" i="11"/>
  <c r="H863" i="11" s="1"/>
  <c r="H852" i="11"/>
  <c r="H851" i="11"/>
  <c r="G848" i="11"/>
  <c r="H848" i="11" s="1"/>
  <c r="G847" i="11"/>
  <c r="H847" i="11" s="1"/>
  <c r="G846" i="11"/>
  <c r="H846" i="11" s="1"/>
  <c r="G845" i="11"/>
  <c r="H845" i="11" s="1"/>
  <c r="G834" i="11"/>
  <c r="H834" i="11" s="1"/>
  <c r="H835" i="11" s="1"/>
  <c r="G831" i="11"/>
  <c r="H831" i="11" s="1"/>
  <c r="G830" i="11"/>
  <c r="H830" i="11" s="1"/>
  <c r="G829" i="11"/>
  <c r="H829" i="11" s="1"/>
  <c r="G828" i="11"/>
  <c r="H828" i="11" s="1"/>
  <c r="G816" i="11"/>
  <c r="H816" i="11" s="1"/>
  <c r="G815" i="11"/>
  <c r="H815" i="11" s="1"/>
  <c r="G812" i="11"/>
  <c r="H812" i="11" s="1"/>
  <c r="G811" i="11"/>
  <c r="H811" i="11" s="1"/>
  <c r="G810" i="11"/>
  <c r="H810" i="11" s="1"/>
  <c r="G809" i="11"/>
  <c r="H809" i="11" s="1"/>
  <c r="G798" i="11"/>
  <c r="H798" i="11" s="1"/>
  <c r="G797" i="11"/>
  <c r="H797" i="11" s="1"/>
  <c r="G796" i="11"/>
  <c r="H796" i="11" s="1"/>
  <c r="G793" i="11"/>
  <c r="H793" i="11" s="1"/>
  <c r="G792" i="11"/>
  <c r="H792" i="11" s="1"/>
  <c r="G791" i="11"/>
  <c r="H791" i="11" s="1"/>
  <c r="G790" i="11"/>
  <c r="H790" i="11" s="1"/>
  <c r="G779" i="11"/>
  <c r="H779" i="11" s="1"/>
  <c r="G778" i="11"/>
  <c r="H778" i="11" s="1"/>
  <c r="G775" i="11"/>
  <c r="H775" i="11" s="1"/>
  <c r="G774" i="11"/>
  <c r="H774" i="11" s="1"/>
  <c r="G773" i="11"/>
  <c r="H773" i="11" s="1"/>
  <c r="G772" i="11"/>
  <c r="H772" i="11" s="1"/>
  <c r="G761" i="11"/>
  <c r="H761" i="11" s="1"/>
  <c r="G760" i="11"/>
  <c r="H760" i="11" s="1"/>
  <c r="G757" i="11"/>
  <c r="H757" i="11" s="1"/>
  <c r="G756" i="11"/>
  <c r="H756" i="11" s="1"/>
  <c r="G755" i="11"/>
  <c r="H755" i="11" s="1"/>
  <c r="G754" i="11"/>
  <c r="H754" i="11" s="1"/>
  <c r="G743" i="11"/>
  <c r="H743" i="11" s="1"/>
  <c r="G742" i="11"/>
  <c r="H742" i="11" s="1"/>
  <c r="G739" i="11"/>
  <c r="H739" i="11" s="1"/>
  <c r="G738" i="11"/>
  <c r="H738" i="11" s="1"/>
  <c r="G737" i="11"/>
  <c r="H737" i="11" s="1"/>
  <c r="G736" i="11"/>
  <c r="H736" i="11" s="1"/>
  <c r="G725" i="11"/>
  <c r="H725" i="11" s="1"/>
  <c r="G724" i="11"/>
  <c r="H724" i="11" s="1"/>
  <c r="G721" i="11"/>
  <c r="H721" i="11" s="1"/>
  <c r="G720" i="11"/>
  <c r="H720" i="11" s="1"/>
  <c r="G719" i="11"/>
  <c r="H719" i="11" s="1"/>
  <c r="G718" i="11"/>
  <c r="H718" i="11" s="1"/>
  <c r="G706" i="11"/>
  <c r="H706" i="11" s="1"/>
  <c r="G705" i="11"/>
  <c r="H705" i="11" s="1"/>
  <c r="G702" i="11"/>
  <c r="H702" i="11" s="1"/>
  <c r="G701" i="11"/>
  <c r="H701" i="11" s="1"/>
  <c r="G700" i="11"/>
  <c r="H700" i="11" s="1"/>
  <c r="G699" i="11"/>
  <c r="H699" i="11" s="1"/>
  <c r="G688" i="11"/>
  <c r="H688" i="11" s="1"/>
  <c r="G687" i="11"/>
  <c r="H687" i="11" s="1"/>
  <c r="G684" i="11"/>
  <c r="H684" i="11" s="1"/>
  <c r="G683" i="11"/>
  <c r="H683" i="11" s="1"/>
  <c r="G682" i="11"/>
  <c r="H682" i="11" s="1"/>
  <c r="G681" i="11"/>
  <c r="H681" i="11" s="1"/>
  <c r="G670" i="11"/>
  <c r="H670" i="11" s="1"/>
  <c r="G669" i="11"/>
  <c r="H669" i="11" s="1"/>
  <c r="G668" i="11"/>
  <c r="H668" i="11" s="1"/>
  <c r="G667" i="11"/>
  <c r="H667" i="11" s="1"/>
  <c r="G664" i="11"/>
  <c r="H664" i="11" s="1"/>
  <c r="G663" i="11"/>
  <c r="H663" i="11" s="1"/>
  <c r="G662" i="11"/>
  <c r="H662" i="11" s="1"/>
  <c r="G661" i="11"/>
  <c r="H661" i="11" s="1"/>
  <c r="G650" i="11"/>
  <c r="H650" i="11" s="1"/>
  <c r="G649" i="11"/>
  <c r="H649" i="11" s="1"/>
  <c r="G646" i="11"/>
  <c r="H646" i="11" s="1"/>
  <c r="G645" i="11"/>
  <c r="H645" i="11" s="1"/>
  <c r="G644" i="11"/>
  <c r="H644" i="11" s="1"/>
  <c r="G643" i="11"/>
  <c r="H643" i="11" s="1"/>
  <c r="G632" i="11"/>
  <c r="H632" i="11" s="1"/>
  <c r="H633" i="11" s="1"/>
  <c r="G628" i="11"/>
  <c r="H628" i="11" s="1"/>
  <c r="G627" i="11"/>
  <c r="H627" i="11" s="1"/>
  <c r="G614" i="11"/>
  <c r="H614" i="11" s="1"/>
  <c r="G613" i="11"/>
  <c r="H613" i="11" s="1"/>
  <c r="G610" i="11"/>
  <c r="H610" i="11" s="1"/>
  <c r="G609" i="11"/>
  <c r="H609" i="11" s="1"/>
  <c r="G608" i="11"/>
  <c r="H608" i="11" s="1"/>
  <c r="G607" i="11"/>
  <c r="H607" i="11" s="1"/>
  <c r="G596" i="11"/>
  <c r="H596" i="11" s="1"/>
  <c r="G595" i="11"/>
  <c r="H595" i="11" s="1"/>
  <c r="G592" i="11"/>
  <c r="H592" i="11" s="1"/>
  <c r="G591" i="11"/>
  <c r="H591" i="11" s="1"/>
  <c r="G590" i="11"/>
  <c r="H590" i="11" s="1"/>
  <c r="G589" i="11"/>
  <c r="H589" i="11" s="1"/>
  <c r="G578" i="11"/>
  <c r="H578" i="11" s="1"/>
  <c r="G577" i="11"/>
  <c r="H577" i="11" s="1"/>
  <c r="G574" i="11"/>
  <c r="H574" i="11" s="1"/>
  <c r="G573" i="11"/>
  <c r="H573" i="11" s="1"/>
  <c r="H572" i="11"/>
  <c r="G555" i="11"/>
  <c r="H555" i="11" s="1"/>
  <c r="G554" i="11"/>
  <c r="H554" i="11" s="1"/>
  <c r="G553" i="11"/>
  <c r="H553" i="11" s="1"/>
  <c r="G552" i="11"/>
  <c r="H552" i="11" s="1"/>
  <c r="G541" i="11"/>
  <c r="H541" i="11" s="1"/>
  <c r="H542" i="11" s="1"/>
  <c r="G537" i="11"/>
  <c r="H537" i="11" s="1"/>
  <c r="G536" i="11"/>
  <c r="H536" i="11" s="1"/>
  <c r="G535" i="11"/>
  <c r="H535" i="11" s="1"/>
  <c r="G505" i="11"/>
  <c r="H505" i="11" s="1"/>
  <c r="H506" i="11" s="1"/>
  <c r="H501" i="11"/>
  <c r="H500" i="11"/>
  <c r="H499" i="11"/>
  <c r="H483" i="11"/>
  <c r="H482" i="11"/>
  <c r="H481" i="11"/>
  <c r="G469" i="11"/>
  <c r="H469" i="11" s="1"/>
  <c r="G468" i="11"/>
  <c r="H468" i="11" s="1"/>
  <c r="G465" i="11"/>
  <c r="H465" i="11" s="1"/>
  <c r="G464" i="11"/>
  <c r="H464" i="11" s="1"/>
  <c r="G463" i="11"/>
  <c r="H463" i="11" s="1"/>
  <c r="G462" i="11"/>
  <c r="H462" i="11" s="1"/>
  <c r="G451" i="11"/>
  <c r="H451" i="11" s="1"/>
  <c r="G450" i="11"/>
  <c r="H450" i="11" s="1"/>
  <c r="G447" i="11"/>
  <c r="H447" i="11" s="1"/>
  <c r="G446" i="11"/>
  <c r="H446" i="11" s="1"/>
  <c r="G445" i="11"/>
  <c r="H445" i="11" s="1"/>
  <c r="G444" i="11"/>
  <c r="H444" i="11" s="1"/>
  <c r="G433" i="11"/>
  <c r="H433" i="11" s="1"/>
  <c r="G432" i="11"/>
  <c r="H432" i="11" s="1"/>
  <c r="G429" i="11"/>
  <c r="H429" i="11" s="1"/>
  <c r="G428" i="11"/>
  <c r="H428" i="11" s="1"/>
  <c r="G427" i="11"/>
  <c r="H427" i="11" s="1"/>
  <c r="G426" i="11"/>
  <c r="H426" i="11" s="1"/>
  <c r="G415" i="11"/>
  <c r="H415" i="11" s="1"/>
  <c r="G414" i="11"/>
  <c r="H414" i="11" s="1"/>
  <c r="G397" i="11"/>
  <c r="H397" i="11" s="1"/>
  <c r="G396" i="11"/>
  <c r="H396" i="11" s="1"/>
  <c r="G393" i="11"/>
  <c r="H393" i="11" s="1"/>
  <c r="G392" i="11"/>
  <c r="H392" i="11" s="1"/>
  <c r="G391" i="11"/>
  <c r="H391" i="11" s="1"/>
  <c r="G379" i="11"/>
  <c r="H379" i="11" s="1"/>
  <c r="G378" i="11"/>
  <c r="H378" i="11" s="1"/>
  <c r="G375" i="11"/>
  <c r="H375" i="11" s="1"/>
  <c r="G374" i="11"/>
  <c r="H374" i="11" s="1"/>
  <c r="G373" i="11"/>
  <c r="H373" i="11" s="1"/>
  <c r="G372" i="11"/>
  <c r="H372" i="11" s="1"/>
  <c r="G361" i="11"/>
  <c r="H361" i="11" s="1"/>
  <c r="G360" i="11"/>
  <c r="H360" i="11" s="1"/>
  <c r="G357" i="11"/>
  <c r="H357" i="11" s="1"/>
  <c r="G356" i="11"/>
  <c r="H356" i="11" s="1"/>
  <c r="G355" i="11"/>
  <c r="H355" i="11" s="1"/>
  <c r="G343" i="11"/>
  <c r="H343" i="11" s="1"/>
  <c r="G342" i="11"/>
  <c r="H342" i="11" s="1"/>
  <c r="G321" i="11"/>
  <c r="H321" i="11" s="1"/>
  <c r="G320" i="11"/>
  <c r="H320" i="11" s="1"/>
  <c r="G319" i="11"/>
  <c r="H319" i="11" s="1"/>
  <c r="G318" i="11"/>
  <c r="H318" i="11" s="1"/>
  <c r="G307" i="11"/>
  <c r="H307" i="11" s="1"/>
  <c r="G306" i="11"/>
  <c r="H306" i="11" s="1"/>
  <c r="H303" i="11"/>
  <c r="H302" i="11"/>
  <c r="H301" i="11"/>
  <c r="H300" i="11"/>
  <c r="G289" i="11"/>
  <c r="H289" i="11" s="1"/>
  <c r="G288" i="11"/>
  <c r="H288" i="11" s="1"/>
  <c r="G285" i="11"/>
  <c r="H285" i="11" s="1"/>
  <c r="G284" i="11"/>
  <c r="H284" i="11" s="1"/>
  <c r="G283" i="11"/>
  <c r="H283" i="11" s="1"/>
  <c r="G282" i="11"/>
  <c r="H282" i="11" s="1"/>
  <c r="G271" i="11"/>
  <c r="H271" i="11" s="1"/>
  <c r="G270" i="11"/>
  <c r="H270" i="11" s="1"/>
  <c r="G267" i="11"/>
  <c r="H267" i="11" s="1"/>
  <c r="G266" i="11"/>
  <c r="H266" i="11" s="1"/>
  <c r="G265" i="11"/>
  <c r="H265" i="11" s="1"/>
  <c r="G264" i="11"/>
  <c r="H264" i="11" s="1"/>
  <c r="G253" i="11"/>
  <c r="H253" i="11" s="1"/>
  <c r="G252" i="11"/>
  <c r="H252" i="11" s="1"/>
  <c r="G249" i="11"/>
  <c r="H249" i="11" s="1"/>
  <c r="G248" i="11"/>
  <c r="H248" i="11" s="1"/>
  <c r="G247" i="11"/>
  <c r="H247" i="11" s="1"/>
  <c r="G246" i="11"/>
  <c r="H246" i="11" s="1"/>
  <c r="G235" i="11"/>
  <c r="H235" i="11" s="1"/>
  <c r="G234" i="11"/>
  <c r="H234" i="11" s="1"/>
  <c r="G231" i="11"/>
  <c r="H231" i="11" s="1"/>
  <c r="G230" i="11"/>
  <c r="H230" i="11" s="1"/>
  <c r="G229" i="11"/>
  <c r="H229" i="11" s="1"/>
  <c r="G228" i="11"/>
  <c r="H228" i="11" s="1"/>
  <c r="G217" i="11"/>
  <c r="H217" i="11" s="1"/>
  <c r="G216" i="11"/>
  <c r="H216" i="11" s="1"/>
  <c r="H213" i="11"/>
  <c r="H212" i="11"/>
  <c r="H211" i="11"/>
  <c r="G199" i="11"/>
  <c r="H199" i="11" s="1"/>
  <c r="H200" i="11" s="1"/>
  <c r="G195" i="11"/>
  <c r="H195" i="11" s="1"/>
  <c r="G194" i="11"/>
  <c r="H194" i="11" s="1"/>
  <c r="G193" i="11"/>
  <c r="H193" i="11" s="1"/>
  <c r="G192" i="11"/>
  <c r="H192" i="11" s="1"/>
  <c r="G181" i="11"/>
  <c r="H181" i="11" s="1"/>
  <c r="G180" i="11"/>
  <c r="H180" i="11" s="1"/>
  <c r="G177" i="11"/>
  <c r="H177" i="11" s="1"/>
  <c r="G176" i="11"/>
  <c r="H176" i="11" s="1"/>
  <c r="G175" i="11"/>
  <c r="H175" i="11" s="1"/>
  <c r="G174" i="11"/>
  <c r="H174" i="11" s="1"/>
  <c r="G163" i="11"/>
  <c r="H163" i="11" s="1"/>
  <c r="H162" i="11"/>
  <c r="H159" i="11"/>
  <c r="H158" i="11"/>
  <c r="H157" i="11"/>
  <c r="H156" i="11"/>
  <c r="H144" i="11"/>
  <c r="H143" i="11"/>
  <c r="H141" i="11"/>
  <c r="H140" i="11"/>
  <c r="G137" i="11"/>
  <c r="H137" i="11" s="1"/>
  <c r="G136" i="11"/>
  <c r="H136" i="11" s="1"/>
  <c r="G135" i="11"/>
  <c r="H135" i="11" s="1"/>
  <c r="G134" i="11"/>
  <c r="H134" i="11" s="1"/>
  <c r="G123" i="11"/>
  <c r="H123" i="11" s="1"/>
  <c r="G121" i="11"/>
  <c r="H121" i="11" s="1"/>
  <c r="G118" i="11"/>
  <c r="H118" i="11" s="1"/>
  <c r="G117" i="11"/>
  <c r="H117" i="11" s="1"/>
  <c r="G116" i="11"/>
  <c r="H116" i="11" s="1"/>
  <c r="G115" i="11"/>
  <c r="H115" i="11" s="1"/>
  <c r="H104" i="11"/>
  <c r="G80" i="11"/>
  <c r="H80" i="11" s="1"/>
  <c r="G79" i="11"/>
  <c r="H79" i="11" s="1"/>
  <c r="G78" i="11"/>
  <c r="H78" i="11" s="1"/>
  <c r="G77" i="11"/>
  <c r="H77" i="11" s="1"/>
  <c r="G62" i="11"/>
  <c r="H62" i="11" s="1"/>
  <c r="G61" i="11"/>
  <c r="H61" i="11" s="1"/>
  <c r="G60" i="11"/>
  <c r="H60" i="11" s="1"/>
  <c r="G59" i="11"/>
  <c r="H59" i="11" s="1"/>
  <c r="G48" i="11"/>
  <c r="H48" i="11" s="1"/>
  <c r="H49" i="11" s="1"/>
  <c r="H45" i="11"/>
  <c r="H44" i="11"/>
  <c r="H43" i="11"/>
  <c r="H42" i="11"/>
  <c r="G31" i="11"/>
  <c r="H31" i="11" s="1"/>
  <c r="H32" i="11" s="1"/>
  <c r="G28" i="11"/>
  <c r="H28" i="11" s="1"/>
  <c r="G27" i="11"/>
  <c r="H27" i="11" s="1"/>
  <c r="G26" i="11"/>
  <c r="H26" i="11" s="1"/>
  <c r="G25" i="11"/>
  <c r="H25" i="11" s="1"/>
  <c r="G11" i="11"/>
  <c r="H11" i="11" s="1"/>
  <c r="G10" i="11"/>
  <c r="H10" i="11" s="1"/>
  <c r="G9" i="11"/>
  <c r="H9" i="11" s="1"/>
  <c r="G8" i="11"/>
  <c r="H8" i="11" s="1"/>
  <c r="G506" i="10"/>
  <c r="G486" i="10"/>
  <c r="G465" i="10"/>
  <c r="G447" i="10"/>
  <c r="G429" i="10"/>
  <c r="G390" i="10"/>
  <c r="G371" i="10"/>
  <c r="G352" i="10"/>
  <c r="G333" i="10"/>
  <c r="G313" i="10"/>
  <c r="G293" i="10"/>
  <c r="G273" i="10"/>
  <c r="G253" i="10"/>
  <c r="G233" i="10"/>
  <c r="G213" i="10"/>
  <c r="G192" i="10"/>
  <c r="G173" i="10"/>
  <c r="G154" i="10"/>
  <c r="G135" i="10"/>
  <c r="G116" i="10"/>
  <c r="G97" i="10"/>
  <c r="G78" i="10"/>
  <c r="G59" i="10"/>
  <c r="G40" i="10"/>
  <c r="G21" i="10"/>
  <c r="G501" i="10"/>
  <c r="H501" i="10" s="1"/>
  <c r="G500" i="10"/>
  <c r="H500" i="10" s="1"/>
  <c r="G498" i="10"/>
  <c r="H498" i="10" s="1"/>
  <c r="G495" i="10"/>
  <c r="H495" i="10" s="1"/>
  <c r="G494" i="10"/>
  <c r="H494" i="10" s="1"/>
  <c r="G493" i="10"/>
  <c r="H493" i="10" s="1"/>
  <c r="H492" i="10"/>
  <c r="G480" i="10"/>
  <c r="H480" i="10" s="1"/>
  <c r="G478" i="10"/>
  <c r="H478" i="10" s="1"/>
  <c r="G475" i="10"/>
  <c r="H475" i="10" s="1"/>
  <c r="G474" i="10"/>
  <c r="H474" i="10" s="1"/>
  <c r="G473" i="10"/>
  <c r="H473" i="10" s="1"/>
  <c r="G472" i="10"/>
  <c r="H472" i="10" s="1"/>
  <c r="G460" i="10"/>
  <c r="H460" i="10" s="1"/>
  <c r="G459" i="10"/>
  <c r="H459" i="10" s="1"/>
  <c r="G456" i="10"/>
  <c r="H456" i="10" s="1"/>
  <c r="G455" i="10"/>
  <c r="H455" i="10" s="1"/>
  <c r="G454" i="10"/>
  <c r="H454" i="10" s="1"/>
  <c r="G442" i="10"/>
  <c r="H442" i="10" s="1"/>
  <c r="G441" i="10"/>
  <c r="H441" i="10" s="1"/>
  <c r="G438" i="10"/>
  <c r="H438" i="10" s="1"/>
  <c r="G437" i="10"/>
  <c r="H437" i="10" s="1"/>
  <c r="G436" i="10"/>
  <c r="H436" i="10" s="1"/>
  <c r="G435" i="10"/>
  <c r="H435" i="10" s="1"/>
  <c r="G424" i="10"/>
  <c r="H424" i="10" s="1"/>
  <c r="G423" i="10"/>
  <c r="H423" i="10" s="1"/>
  <c r="G420" i="10"/>
  <c r="H420" i="10" s="1"/>
  <c r="G419" i="10"/>
  <c r="H419" i="10" s="1"/>
  <c r="G418" i="10"/>
  <c r="H418" i="10" s="1"/>
  <c r="G417" i="10"/>
  <c r="H417" i="10" s="1"/>
  <c r="G385" i="10"/>
  <c r="H385" i="10" s="1"/>
  <c r="G383" i="10"/>
  <c r="H383" i="10" s="1"/>
  <c r="G380" i="10"/>
  <c r="H380" i="10" s="1"/>
  <c r="G379" i="10"/>
  <c r="H379" i="10" s="1"/>
  <c r="G378" i="10"/>
  <c r="H378" i="10" s="1"/>
  <c r="G377" i="10"/>
  <c r="H377" i="10" s="1"/>
  <c r="G366" i="10"/>
  <c r="H366" i="10" s="1"/>
  <c r="G364" i="10"/>
  <c r="H364" i="10" s="1"/>
  <c r="G361" i="10"/>
  <c r="H361" i="10" s="1"/>
  <c r="G360" i="10"/>
  <c r="H360" i="10" s="1"/>
  <c r="G359" i="10"/>
  <c r="H359" i="10" s="1"/>
  <c r="G358" i="10"/>
  <c r="H358" i="10" s="1"/>
  <c r="G347" i="10"/>
  <c r="H347" i="10" s="1"/>
  <c r="G345" i="10"/>
  <c r="H345" i="10" s="1"/>
  <c r="G342" i="10"/>
  <c r="H342" i="10" s="1"/>
  <c r="G341" i="10"/>
  <c r="H341" i="10" s="1"/>
  <c r="G340" i="10"/>
  <c r="H340" i="10" s="1"/>
  <c r="G339" i="10"/>
  <c r="H339" i="10" s="1"/>
  <c r="G328" i="10"/>
  <c r="H328" i="10" s="1"/>
  <c r="G326" i="10"/>
  <c r="H326" i="10" s="1"/>
  <c r="G323" i="10"/>
  <c r="H323" i="10" s="1"/>
  <c r="G322" i="10"/>
  <c r="H322" i="10" s="1"/>
  <c r="G321" i="10"/>
  <c r="H321" i="10" s="1"/>
  <c r="G320" i="10"/>
  <c r="H320" i="10" s="1"/>
  <c r="G308" i="10"/>
  <c r="H308" i="10" s="1"/>
  <c r="G307" i="10"/>
  <c r="H307" i="10" s="1"/>
  <c r="G305" i="10"/>
  <c r="H305" i="10" s="1"/>
  <c r="G302" i="10"/>
  <c r="H302" i="10" s="1"/>
  <c r="G301" i="10"/>
  <c r="H301" i="10" s="1"/>
  <c r="G300" i="10"/>
  <c r="H300" i="10" s="1"/>
  <c r="G299" i="10"/>
  <c r="H299" i="10" s="1"/>
  <c r="G288" i="10"/>
  <c r="H288" i="10" s="1"/>
  <c r="G287" i="10"/>
  <c r="H287" i="10" s="1"/>
  <c r="G285" i="10"/>
  <c r="H285" i="10" s="1"/>
  <c r="G282" i="10"/>
  <c r="H282" i="10" s="1"/>
  <c r="G281" i="10"/>
  <c r="H281" i="10" s="1"/>
  <c r="G280" i="10"/>
  <c r="H280" i="10" s="1"/>
  <c r="G268" i="10"/>
  <c r="H268" i="10" s="1"/>
  <c r="G267" i="10"/>
  <c r="H267" i="10" s="1"/>
  <c r="G265" i="10"/>
  <c r="H265" i="10" s="1"/>
  <c r="G262" i="10"/>
  <c r="H262" i="10" s="1"/>
  <c r="G261" i="10"/>
  <c r="H261" i="10" s="1"/>
  <c r="G260" i="10"/>
  <c r="H260" i="10" s="1"/>
  <c r="G259" i="10"/>
  <c r="H259" i="10" s="1"/>
  <c r="G248" i="10"/>
  <c r="H248" i="10" s="1"/>
  <c r="G247" i="10"/>
  <c r="H247" i="10" s="1"/>
  <c r="G245" i="10"/>
  <c r="H245" i="10" s="1"/>
  <c r="G242" i="10"/>
  <c r="H242" i="10" s="1"/>
  <c r="G241" i="10"/>
  <c r="H241" i="10" s="1"/>
  <c r="G240" i="10"/>
  <c r="H240" i="10" s="1"/>
  <c r="G239" i="10"/>
  <c r="H239" i="10" s="1"/>
  <c r="G228" i="10"/>
  <c r="H228" i="10" s="1"/>
  <c r="G227" i="10"/>
  <c r="H227" i="10" s="1"/>
  <c r="G225" i="10"/>
  <c r="H225" i="10" s="1"/>
  <c r="G222" i="10"/>
  <c r="H222" i="10" s="1"/>
  <c r="G221" i="10"/>
  <c r="H221" i="10" s="1"/>
  <c r="G220" i="10"/>
  <c r="H220" i="10" s="1"/>
  <c r="G219" i="10"/>
  <c r="H219" i="10" s="1"/>
  <c r="G208" i="10"/>
  <c r="H208" i="10" s="1"/>
  <c r="G207" i="10"/>
  <c r="H207" i="10" s="1"/>
  <c r="G205" i="10"/>
  <c r="H205" i="10" s="1"/>
  <c r="G202" i="10"/>
  <c r="H202" i="10" s="1"/>
  <c r="G201" i="10"/>
  <c r="H201" i="10" s="1"/>
  <c r="G200" i="10"/>
  <c r="H200" i="10" s="1"/>
  <c r="G199" i="10"/>
  <c r="H199" i="10" s="1"/>
  <c r="G187" i="10"/>
  <c r="H187" i="10" s="1"/>
  <c r="G185" i="10"/>
  <c r="H185" i="10" s="1"/>
  <c r="G182" i="10"/>
  <c r="H182" i="10" s="1"/>
  <c r="G181" i="10"/>
  <c r="H181" i="10" s="1"/>
  <c r="G180" i="10"/>
  <c r="H180" i="10" s="1"/>
  <c r="G168" i="10"/>
  <c r="H168" i="10" s="1"/>
  <c r="G166" i="10"/>
  <c r="H166" i="10" s="1"/>
  <c r="G163" i="10"/>
  <c r="H163" i="10" s="1"/>
  <c r="G162" i="10"/>
  <c r="H162" i="10" s="1"/>
  <c r="G161" i="10"/>
  <c r="H161" i="10" s="1"/>
  <c r="G149" i="10"/>
  <c r="H149" i="10" s="1"/>
  <c r="G147" i="10"/>
  <c r="H147" i="10" s="1"/>
  <c r="G144" i="10"/>
  <c r="H144" i="10" s="1"/>
  <c r="G143" i="10"/>
  <c r="H143" i="10" s="1"/>
  <c r="G142" i="10"/>
  <c r="H142" i="10" s="1"/>
  <c r="G130" i="10"/>
  <c r="H130" i="10" s="1"/>
  <c r="G128" i="10"/>
  <c r="H128" i="10" s="1"/>
  <c r="G125" i="10"/>
  <c r="H125" i="10" s="1"/>
  <c r="G124" i="10"/>
  <c r="H124" i="10" s="1"/>
  <c r="G123" i="10"/>
  <c r="H123" i="10" s="1"/>
  <c r="G122" i="10"/>
  <c r="H122" i="10" s="1"/>
  <c r="G111" i="10"/>
  <c r="H111" i="10" s="1"/>
  <c r="G109" i="10"/>
  <c r="H109" i="10" s="1"/>
  <c r="G106" i="10"/>
  <c r="H106" i="10" s="1"/>
  <c r="G105" i="10"/>
  <c r="H105" i="10" s="1"/>
  <c r="G104" i="10"/>
  <c r="H104" i="10" s="1"/>
  <c r="G103" i="10"/>
  <c r="H103" i="10" s="1"/>
  <c r="G92" i="10"/>
  <c r="H92" i="10" s="1"/>
  <c r="G90" i="10"/>
  <c r="H90" i="10" s="1"/>
  <c r="G87" i="10"/>
  <c r="H87" i="10" s="1"/>
  <c r="G86" i="10"/>
  <c r="H86" i="10" s="1"/>
  <c r="G85" i="10"/>
  <c r="H85" i="10" s="1"/>
  <c r="G84" i="10"/>
  <c r="H84" i="10" s="1"/>
  <c r="G73" i="10"/>
  <c r="H73" i="10" s="1"/>
  <c r="G71" i="10"/>
  <c r="H71" i="10" s="1"/>
  <c r="G68" i="10"/>
  <c r="H68" i="10" s="1"/>
  <c r="G67" i="10"/>
  <c r="H67" i="10" s="1"/>
  <c r="G66" i="10"/>
  <c r="H66" i="10" s="1"/>
  <c r="G65" i="10"/>
  <c r="H65" i="10" s="1"/>
  <c r="G54" i="10"/>
  <c r="H54" i="10" s="1"/>
  <c r="G52" i="10"/>
  <c r="H52" i="10" s="1"/>
  <c r="G49" i="10"/>
  <c r="H49" i="10" s="1"/>
  <c r="G48" i="10"/>
  <c r="H48" i="10" s="1"/>
  <c r="G47" i="10"/>
  <c r="H47" i="10" s="1"/>
  <c r="G46" i="10"/>
  <c r="H46" i="10" s="1"/>
  <c r="G35" i="10"/>
  <c r="H35" i="10" s="1"/>
  <c r="G33" i="10"/>
  <c r="H33" i="10" s="1"/>
  <c r="G30" i="10"/>
  <c r="H30" i="10" s="1"/>
  <c r="G29" i="10"/>
  <c r="H29" i="10" s="1"/>
  <c r="G28" i="10"/>
  <c r="H28" i="10" s="1"/>
  <c r="G27" i="10"/>
  <c r="H27" i="10" s="1"/>
  <c r="G16" i="10"/>
  <c r="H16" i="10" s="1"/>
  <c r="G11" i="10"/>
  <c r="H11" i="10" s="1"/>
  <c r="G10" i="10"/>
  <c r="H10" i="10" s="1"/>
  <c r="G9" i="10"/>
  <c r="H9" i="10" s="1"/>
  <c r="H189" i="9"/>
  <c r="H171" i="9"/>
  <c r="H152" i="9"/>
  <c r="H133" i="9"/>
  <c r="H114" i="9"/>
  <c r="H95" i="9"/>
  <c r="H36" i="9"/>
  <c r="H19" i="9"/>
  <c r="H184" i="9"/>
  <c r="I184" i="9" s="1"/>
  <c r="H183" i="9"/>
  <c r="I183" i="9" s="1"/>
  <c r="H180" i="9"/>
  <c r="I180" i="9" s="1"/>
  <c r="H179" i="9"/>
  <c r="I179" i="9" s="1"/>
  <c r="H178" i="9"/>
  <c r="I178" i="9" s="1"/>
  <c r="H177" i="9"/>
  <c r="I177" i="9" s="1"/>
  <c r="H166" i="9"/>
  <c r="I166" i="9" s="1"/>
  <c r="H165" i="9"/>
  <c r="I165" i="9" s="1"/>
  <c r="H161" i="9"/>
  <c r="I161" i="9" s="1"/>
  <c r="H160" i="9"/>
  <c r="I160" i="9" s="1"/>
  <c r="H159" i="9"/>
  <c r="I159" i="9" s="1"/>
  <c r="H158" i="9"/>
  <c r="I158" i="9" s="1"/>
  <c r="H147" i="9"/>
  <c r="I147" i="9" s="1"/>
  <c r="H146" i="9"/>
  <c r="I146" i="9" s="1"/>
  <c r="H142" i="9"/>
  <c r="I142" i="9" s="1"/>
  <c r="H141" i="9"/>
  <c r="I141" i="9" s="1"/>
  <c r="H140" i="9"/>
  <c r="I140" i="9" s="1"/>
  <c r="H139" i="9"/>
  <c r="I139" i="9" s="1"/>
  <c r="H127" i="9"/>
  <c r="I127" i="9" s="1"/>
  <c r="H126" i="9"/>
  <c r="I126" i="9" s="1"/>
  <c r="H123" i="9"/>
  <c r="I123" i="9" s="1"/>
  <c r="H122" i="9"/>
  <c r="I122" i="9" s="1"/>
  <c r="H121" i="9"/>
  <c r="I121" i="9" s="1"/>
  <c r="H120" i="9"/>
  <c r="I120" i="9" s="1"/>
  <c r="H108" i="9"/>
  <c r="I108" i="9" s="1"/>
  <c r="H107" i="9"/>
  <c r="I107" i="9" s="1"/>
  <c r="H104" i="9"/>
  <c r="I104" i="9" s="1"/>
  <c r="H103" i="9"/>
  <c r="I103" i="9" s="1"/>
  <c r="H102" i="9"/>
  <c r="I102" i="9" s="1"/>
  <c r="H101" i="9"/>
  <c r="I101" i="9" s="1"/>
  <c r="H89" i="9"/>
  <c r="I89" i="9" s="1"/>
  <c r="H88" i="9"/>
  <c r="I88" i="9" s="1"/>
  <c r="H85" i="9"/>
  <c r="I85" i="9" s="1"/>
  <c r="H84" i="9"/>
  <c r="I84" i="9" s="1"/>
  <c r="H83" i="9"/>
  <c r="I83" i="9" s="1"/>
  <c r="H82" i="9"/>
  <c r="I82" i="9" s="1"/>
  <c r="H31" i="9"/>
  <c r="I31" i="9" s="1"/>
  <c r="I32" i="9" s="1"/>
  <c r="H28" i="9"/>
  <c r="I28" i="9" s="1"/>
  <c r="H27" i="9"/>
  <c r="I27" i="9" s="1"/>
  <c r="H25" i="9"/>
  <c r="I25" i="9" s="1"/>
  <c r="H14" i="9"/>
  <c r="I14" i="9" s="1"/>
  <c r="I15" i="9" s="1"/>
  <c r="H11" i="9"/>
  <c r="I11" i="9" s="1"/>
  <c r="H10" i="9"/>
  <c r="I10" i="9" s="1"/>
  <c r="H9" i="9"/>
  <c r="I9" i="9" s="1"/>
  <c r="H8" i="9"/>
  <c r="I8" i="9" s="1"/>
  <c r="D26" i="9"/>
  <c r="G1123" i="8"/>
  <c r="G1108" i="8"/>
  <c r="G1089" i="8"/>
  <c r="G1063" i="8"/>
  <c r="G1036" i="8"/>
  <c r="G1020" i="8"/>
  <c r="G1004" i="8"/>
  <c r="G986" i="8"/>
  <c r="G971" i="8"/>
  <c r="G955" i="8"/>
  <c r="G939" i="8"/>
  <c r="G924" i="8"/>
  <c r="G909" i="8"/>
  <c r="G894" i="8"/>
  <c r="G880" i="8"/>
  <c r="G863" i="8"/>
  <c r="G845" i="8"/>
  <c r="G822" i="8"/>
  <c r="G798" i="8"/>
  <c r="G777" i="8"/>
  <c r="G756" i="8"/>
  <c r="G735" i="8"/>
  <c r="G714" i="8"/>
  <c r="G693" i="8"/>
  <c r="G672" i="8"/>
  <c r="G651" i="8"/>
  <c r="G629" i="8"/>
  <c r="G606" i="8"/>
  <c r="G586" i="8"/>
  <c r="G566" i="8"/>
  <c r="G546" i="8"/>
  <c r="G526" i="8"/>
  <c r="G506" i="8"/>
  <c r="G485" i="8"/>
  <c r="G471" i="8"/>
  <c r="G457" i="8"/>
  <c r="G438" i="8"/>
  <c r="G417" i="8"/>
  <c r="G395" i="8"/>
  <c r="G374" i="8"/>
  <c r="G353" i="8"/>
  <c r="G331" i="8"/>
  <c r="G312" i="8"/>
  <c r="G292" i="8"/>
  <c r="G274" i="8"/>
  <c r="G257" i="8"/>
  <c r="G239" i="8"/>
  <c r="G223" i="8"/>
  <c r="G209" i="8"/>
  <c r="G195" i="8"/>
  <c r="G176" i="8"/>
  <c r="G138" i="8"/>
  <c r="G99" i="8"/>
  <c r="G61" i="8"/>
  <c r="G21" i="8"/>
  <c r="H596" i="7"/>
  <c r="H580" i="7"/>
  <c r="H564" i="7"/>
  <c r="H548" i="7"/>
  <c r="H530" i="7"/>
  <c r="H514" i="7"/>
  <c r="H498" i="7"/>
  <c r="H482" i="7"/>
  <c r="H464" i="7"/>
  <c r="H448" i="7"/>
  <c r="H432" i="7"/>
  <c r="H416" i="7"/>
  <c r="H398" i="7"/>
  <c r="H382" i="7"/>
  <c r="H366" i="7"/>
  <c r="H350" i="7"/>
  <c r="H330" i="7"/>
  <c r="H310" i="7"/>
  <c r="H289" i="7"/>
  <c r="H269" i="7"/>
  <c r="H248" i="7"/>
  <c r="H228" i="7"/>
  <c r="H206" i="7"/>
  <c r="H186" i="7"/>
  <c r="H167" i="7"/>
  <c r="H148" i="7"/>
  <c r="H130" i="7"/>
  <c r="H111" i="7"/>
  <c r="H93" i="7"/>
  <c r="H74" i="7"/>
  <c r="H56" i="7"/>
  <c r="H37" i="7"/>
  <c r="H19" i="7"/>
  <c r="H135" i="5"/>
  <c r="H120" i="5"/>
  <c r="H103" i="5"/>
  <c r="H88" i="5"/>
  <c r="H73" i="5"/>
  <c r="H54" i="5"/>
  <c r="H35" i="5"/>
  <c r="H18" i="5"/>
  <c r="H598" i="2"/>
  <c r="H578" i="2"/>
  <c r="H508" i="2"/>
  <c r="H493" i="2"/>
  <c r="H478" i="2"/>
  <c r="H463" i="2"/>
  <c r="H448" i="2"/>
  <c r="H433" i="2"/>
  <c r="H418" i="2"/>
  <c r="H403" i="2"/>
  <c r="H388" i="2"/>
  <c r="H373" i="2"/>
  <c r="H358" i="2"/>
  <c r="H343" i="2"/>
  <c r="H329" i="2"/>
  <c r="H216" i="2"/>
  <c r="H133" i="2"/>
  <c r="H112" i="2"/>
  <c r="H75" i="2"/>
  <c r="H51" i="2"/>
  <c r="H139" i="4"/>
  <c r="H124" i="4"/>
  <c r="H61" i="4"/>
  <c r="H46" i="4"/>
  <c r="H31" i="4"/>
  <c r="H16" i="4"/>
  <c r="G1116" i="8"/>
  <c r="H1116" i="8" s="1"/>
  <c r="H1117" i="8" s="1"/>
  <c r="G1103" i="8"/>
  <c r="H1103" i="8" s="1"/>
  <c r="G1102" i="8"/>
  <c r="H1102" i="8" s="1"/>
  <c r="G1099" i="8"/>
  <c r="H1099" i="8" s="1"/>
  <c r="G1098" i="8"/>
  <c r="H1098" i="8" s="1"/>
  <c r="G1097" i="8"/>
  <c r="H1097" i="8" s="1"/>
  <c r="G1096" i="8"/>
  <c r="H1096" i="8" s="1"/>
  <c r="G1084" i="8"/>
  <c r="H1084" i="8" s="1"/>
  <c r="G1083" i="8"/>
  <c r="H1083" i="8" s="1"/>
  <c r="G1081" i="8"/>
  <c r="H1081" i="8" s="1"/>
  <c r="G1080" i="8"/>
  <c r="H1080" i="8" s="1"/>
  <c r="G1079" i="8"/>
  <c r="H1079" i="8" s="1"/>
  <c r="G1077" i="8"/>
  <c r="H1077" i="8" s="1"/>
  <c r="G1074" i="8"/>
  <c r="H1074" i="8" s="1"/>
  <c r="G1073" i="8"/>
  <c r="H1073" i="8" s="1"/>
  <c r="G1072" i="8"/>
  <c r="H1072" i="8" s="1"/>
  <c r="G1071" i="8"/>
  <c r="H1071" i="8" s="1"/>
  <c r="G1070" i="8"/>
  <c r="H1070" i="8" s="1"/>
  <c r="G1069" i="8"/>
  <c r="H1069" i="8" s="1"/>
  <c r="G1058" i="8"/>
  <c r="H1058" i="8" s="1"/>
  <c r="G1057" i="8"/>
  <c r="H1057" i="8" s="1"/>
  <c r="G1055" i="8"/>
  <c r="H1055" i="8" s="1"/>
  <c r="G1054" i="8"/>
  <c r="H1054" i="8" s="1"/>
  <c r="G1052" i="8"/>
  <c r="H1052" i="8" s="1"/>
  <c r="G1049" i="8"/>
  <c r="H1049" i="8" s="1"/>
  <c r="G1048" i="8"/>
  <c r="H1048" i="8" s="1"/>
  <c r="G1047" i="8"/>
  <c r="H1047" i="8" s="1"/>
  <c r="G1046" i="8"/>
  <c r="H1046" i="8" s="1"/>
  <c r="G1045" i="8"/>
  <c r="H1045" i="8" s="1"/>
  <c r="G1044" i="8"/>
  <c r="H1044" i="8" s="1"/>
  <c r="G1031" i="8"/>
  <c r="H1031" i="8" s="1"/>
  <c r="H1032" i="8" s="1"/>
  <c r="G1028" i="8"/>
  <c r="H1028" i="8" s="1"/>
  <c r="G1027" i="8"/>
  <c r="H1027" i="8" s="1"/>
  <c r="G1015" i="8"/>
  <c r="H1015" i="8" s="1"/>
  <c r="H1016" i="8" s="1"/>
  <c r="G1012" i="8"/>
  <c r="H1012" i="8" s="1"/>
  <c r="G1011" i="8"/>
  <c r="H1011" i="8" s="1"/>
  <c r="G999" i="8"/>
  <c r="H999" i="8" s="1"/>
  <c r="H1000" i="8" s="1"/>
  <c r="G995" i="8"/>
  <c r="H995" i="8" s="1"/>
  <c r="G994" i="8"/>
  <c r="H994" i="8" s="1"/>
  <c r="G983" i="8"/>
  <c r="H983" i="8" s="1"/>
  <c r="H984" i="8" s="1"/>
  <c r="G978" i="8"/>
  <c r="H978" i="8" s="1"/>
  <c r="G977" i="8"/>
  <c r="H977" i="8" s="1"/>
  <c r="G964" i="8"/>
  <c r="H964" i="8" s="1"/>
  <c r="G963" i="8"/>
  <c r="H963" i="8" s="1"/>
  <c r="G952" i="8"/>
  <c r="H952" i="8" s="1"/>
  <c r="H953" i="8" s="1"/>
  <c r="G947" i="8"/>
  <c r="H947" i="8" s="1"/>
  <c r="G946" i="8"/>
  <c r="H946" i="8" s="1"/>
  <c r="G936" i="8"/>
  <c r="H936" i="8" s="1"/>
  <c r="H937" i="8" s="1"/>
  <c r="G931" i="8"/>
  <c r="H931" i="8" s="1"/>
  <c r="G930" i="8"/>
  <c r="H930" i="8" s="1"/>
  <c r="G921" i="8"/>
  <c r="G916" i="8"/>
  <c r="H916" i="8" s="1"/>
  <c r="G915" i="8"/>
  <c r="H915" i="8" s="1"/>
  <c r="G906" i="8"/>
  <c r="H906" i="8" s="1"/>
  <c r="H907" i="8" s="1"/>
  <c r="G901" i="8"/>
  <c r="H901" i="8" s="1"/>
  <c r="G900" i="8"/>
  <c r="H900" i="8" s="1"/>
  <c r="G887" i="8"/>
  <c r="H887" i="8" s="1"/>
  <c r="G886" i="8"/>
  <c r="H886" i="8" s="1"/>
  <c r="G873" i="8"/>
  <c r="H873" i="8" s="1"/>
  <c r="G872" i="8"/>
  <c r="H872" i="8" s="1"/>
  <c r="G858" i="8"/>
  <c r="H858" i="8" s="1"/>
  <c r="H859" i="8" s="1"/>
  <c r="G855" i="8"/>
  <c r="H855" i="8" s="1"/>
  <c r="G854" i="8"/>
  <c r="H854" i="8" s="1"/>
  <c r="G853" i="8"/>
  <c r="H853" i="8" s="1"/>
  <c r="G852" i="8"/>
  <c r="H852" i="8" s="1"/>
  <c r="G837" i="8"/>
  <c r="H837" i="8" s="1"/>
  <c r="G839" i="8"/>
  <c r="H839" i="8" s="1"/>
  <c r="G838" i="8"/>
  <c r="H838" i="8" s="1"/>
  <c r="G836" i="8"/>
  <c r="H836" i="8" s="1"/>
  <c r="G832" i="8"/>
  <c r="H832" i="8" s="1"/>
  <c r="G831" i="8"/>
  <c r="H831" i="8" s="1"/>
  <c r="G830" i="8"/>
  <c r="H830" i="8" s="1"/>
  <c r="G829" i="8"/>
  <c r="H829" i="8" s="1"/>
  <c r="G814" i="8"/>
  <c r="H814" i="8" s="1"/>
  <c r="G816" i="8"/>
  <c r="H816" i="8" s="1"/>
  <c r="G815" i="8"/>
  <c r="H815" i="8" s="1"/>
  <c r="G813" i="8"/>
  <c r="H813" i="8" s="1"/>
  <c r="G809" i="8"/>
  <c r="H809" i="8" s="1"/>
  <c r="G808" i="8"/>
  <c r="H808" i="8" s="1"/>
  <c r="G807" i="8"/>
  <c r="H807" i="8" s="1"/>
  <c r="G806" i="8"/>
  <c r="H806" i="8" s="1"/>
  <c r="G791" i="8"/>
  <c r="H791" i="8" s="1"/>
  <c r="G792" i="8"/>
  <c r="H792" i="8" s="1"/>
  <c r="G790" i="8"/>
  <c r="H790" i="8" s="1"/>
  <c r="G786" i="8"/>
  <c r="H786" i="8" s="1"/>
  <c r="G785" i="8"/>
  <c r="H785" i="8" s="1"/>
  <c r="G784" i="8"/>
  <c r="H784" i="8" s="1"/>
  <c r="G783" i="8"/>
  <c r="H783" i="8" s="1"/>
  <c r="G770" i="8"/>
  <c r="H770" i="8" s="1"/>
  <c r="G771" i="8"/>
  <c r="H771" i="8" s="1"/>
  <c r="G769" i="8"/>
  <c r="H769" i="8" s="1"/>
  <c r="G765" i="8"/>
  <c r="H765" i="8" s="1"/>
  <c r="G764" i="8"/>
  <c r="H764" i="8" s="1"/>
  <c r="G763" i="8"/>
  <c r="H763" i="8" s="1"/>
  <c r="G762" i="8"/>
  <c r="H762" i="8" s="1"/>
  <c r="G749" i="8"/>
  <c r="H749" i="8" s="1"/>
  <c r="G750" i="8"/>
  <c r="H750" i="8" s="1"/>
  <c r="G748" i="8"/>
  <c r="H748" i="8" s="1"/>
  <c r="G744" i="8"/>
  <c r="H744" i="8" s="1"/>
  <c r="G743" i="8"/>
  <c r="H743" i="8" s="1"/>
  <c r="G742" i="8"/>
  <c r="H742" i="8" s="1"/>
  <c r="G741" i="8"/>
  <c r="H741" i="8" s="1"/>
  <c r="G728" i="8"/>
  <c r="H728" i="8" s="1"/>
  <c r="G729" i="8"/>
  <c r="H729" i="8" s="1"/>
  <c r="G727" i="8"/>
  <c r="H727" i="8" s="1"/>
  <c r="G723" i="8"/>
  <c r="H723" i="8" s="1"/>
  <c r="G722" i="8"/>
  <c r="H722" i="8" s="1"/>
  <c r="G721" i="8"/>
  <c r="H721" i="8" s="1"/>
  <c r="G720" i="8"/>
  <c r="H720" i="8" s="1"/>
  <c r="G707" i="8"/>
  <c r="H707" i="8" s="1"/>
  <c r="G708" i="8"/>
  <c r="H708" i="8" s="1"/>
  <c r="G706" i="8"/>
  <c r="H706" i="8" s="1"/>
  <c r="G702" i="8"/>
  <c r="H702" i="8" s="1"/>
  <c r="G701" i="8"/>
  <c r="H701" i="8" s="1"/>
  <c r="G700" i="8"/>
  <c r="H700" i="8" s="1"/>
  <c r="G699" i="8"/>
  <c r="H699" i="8" s="1"/>
  <c r="G686" i="8"/>
  <c r="H686" i="8" s="1"/>
  <c r="G687" i="8"/>
  <c r="H687" i="8" s="1"/>
  <c r="G685" i="8"/>
  <c r="H685" i="8" s="1"/>
  <c r="G681" i="8"/>
  <c r="H681" i="8" s="1"/>
  <c r="G680" i="8"/>
  <c r="H680" i="8" s="1"/>
  <c r="G679" i="8"/>
  <c r="H679" i="8" s="1"/>
  <c r="G678" i="8"/>
  <c r="H678" i="8" s="1"/>
  <c r="G665" i="8"/>
  <c r="H665" i="8" s="1"/>
  <c r="G666" i="8"/>
  <c r="H666" i="8" s="1"/>
  <c r="G664" i="8"/>
  <c r="H664" i="8" s="1"/>
  <c r="G660" i="8"/>
  <c r="H660" i="8" s="1"/>
  <c r="G659" i="8"/>
  <c r="H659" i="8" s="1"/>
  <c r="G658" i="8"/>
  <c r="H658" i="8" s="1"/>
  <c r="G657" i="8"/>
  <c r="H657" i="8" s="1"/>
  <c r="G644" i="8"/>
  <c r="H644" i="8" s="1"/>
  <c r="G645" i="8"/>
  <c r="H645" i="8" s="1"/>
  <c r="G643" i="8"/>
  <c r="H643" i="8" s="1"/>
  <c r="G639" i="8"/>
  <c r="H639" i="8" s="1"/>
  <c r="G638" i="8"/>
  <c r="H638" i="8" s="1"/>
  <c r="G637" i="8"/>
  <c r="H637" i="8" s="1"/>
  <c r="G636" i="8"/>
  <c r="H636" i="8" s="1"/>
  <c r="G622" i="8"/>
  <c r="H622" i="8" s="1"/>
  <c r="G623" i="8"/>
  <c r="H623" i="8" s="1"/>
  <c r="G621" i="8"/>
  <c r="H621" i="8" s="1"/>
  <c r="G617" i="8"/>
  <c r="H617" i="8" s="1"/>
  <c r="G616" i="8"/>
  <c r="H616" i="8" s="1"/>
  <c r="G615" i="8"/>
  <c r="H615" i="8" s="1"/>
  <c r="G614" i="8"/>
  <c r="H614" i="8" s="1"/>
  <c r="G600" i="8"/>
  <c r="H600" i="8" s="1"/>
  <c r="G601" i="8"/>
  <c r="H601" i="8" s="1"/>
  <c r="G599" i="8"/>
  <c r="H599" i="8" s="1"/>
  <c r="G595" i="8"/>
  <c r="H595" i="8" s="1"/>
  <c r="G594" i="8"/>
  <c r="H594" i="8" s="1"/>
  <c r="G593" i="8"/>
  <c r="H593" i="8" s="1"/>
  <c r="G592" i="8"/>
  <c r="H592" i="8" s="1"/>
  <c r="G580" i="8"/>
  <c r="H580" i="8" s="1"/>
  <c r="G581" i="8"/>
  <c r="H581" i="8" s="1"/>
  <c r="G579" i="8"/>
  <c r="H579" i="8" s="1"/>
  <c r="G575" i="8"/>
  <c r="H575" i="8" s="1"/>
  <c r="G574" i="8"/>
  <c r="H574" i="8" s="1"/>
  <c r="G573" i="8"/>
  <c r="H573" i="8" s="1"/>
  <c r="G572" i="8"/>
  <c r="H572" i="8" s="1"/>
  <c r="G560" i="8"/>
  <c r="H560" i="8" s="1"/>
  <c r="G561" i="8"/>
  <c r="H561" i="8" s="1"/>
  <c r="G559" i="8"/>
  <c r="H559" i="8" s="1"/>
  <c r="G555" i="8"/>
  <c r="H555" i="8" s="1"/>
  <c r="G554" i="8"/>
  <c r="H554" i="8" s="1"/>
  <c r="G553" i="8"/>
  <c r="H553" i="8" s="1"/>
  <c r="G552" i="8"/>
  <c r="H552" i="8" s="1"/>
  <c r="G540" i="8"/>
  <c r="H540" i="8" s="1"/>
  <c r="G539" i="8"/>
  <c r="H539" i="8" s="1"/>
  <c r="G541" i="8"/>
  <c r="H541" i="8" s="1"/>
  <c r="G535" i="8"/>
  <c r="H535" i="8" s="1"/>
  <c r="G534" i="8"/>
  <c r="H534" i="8" s="1"/>
  <c r="G533" i="8"/>
  <c r="H533" i="8" s="1"/>
  <c r="G532" i="8"/>
  <c r="H532" i="8" s="1"/>
  <c r="G520" i="8"/>
  <c r="H520" i="8" s="1"/>
  <c r="G521" i="8"/>
  <c r="H521" i="8" s="1"/>
  <c r="G519" i="8"/>
  <c r="H519" i="8" s="1"/>
  <c r="G515" i="8"/>
  <c r="H515" i="8" s="1"/>
  <c r="G514" i="8"/>
  <c r="H514" i="8" s="1"/>
  <c r="G513" i="8"/>
  <c r="H513" i="8" s="1"/>
  <c r="G512" i="8"/>
  <c r="H512" i="8" s="1"/>
  <c r="G500" i="8"/>
  <c r="H500" i="8" s="1"/>
  <c r="G501" i="8"/>
  <c r="H501" i="8" s="1"/>
  <c r="G499" i="8"/>
  <c r="H499" i="8" s="1"/>
  <c r="G495" i="8"/>
  <c r="H495" i="8" s="1"/>
  <c r="G494" i="8"/>
  <c r="H494" i="8" s="1"/>
  <c r="G493" i="8"/>
  <c r="H493" i="8" s="1"/>
  <c r="G492" i="8"/>
  <c r="H492" i="8" s="1"/>
  <c r="G478" i="8"/>
  <c r="H478" i="8" s="1"/>
  <c r="G477" i="8"/>
  <c r="H477" i="8" s="1"/>
  <c r="G464" i="8"/>
  <c r="H464" i="8" s="1"/>
  <c r="G463" i="8"/>
  <c r="H463" i="8" s="1"/>
  <c r="G452" i="8"/>
  <c r="H452" i="8" s="1"/>
  <c r="G450" i="8"/>
  <c r="H450" i="8" s="1"/>
  <c r="G447" i="8"/>
  <c r="H447" i="8" s="1"/>
  <c r="G446" i="8"/>
  <c r="H446" i="8" s="1"/>
  <c r="G445" i="8"/>
  <c r="H445" i="8" s="1"/>
  <c r="G444" i="8"/>
  <c r="H444" i="8" s="1"/>
  <c r="G433" i="8"/>
  <c r="H433" i="8" s="1"/>
  <c r="G432" i="8"/>
  <c r="H432" i="8" s="1"/>
  <c r="G431" i="8"/>
  <c r="H431" i="8" s="1"/>
  <c r="G430" i="8"/>
  <c r="H430" i="8" s="1"/>
  <c r="G429" i="8"/>
  <c r="H429" i="8" s="1"/>
  <c r="G426" i="8"/>
  <c r="H426" i="8" s="1"/>
  <c r="G425" i="8"/>
  <c r="H425" i="8" s="1"/>
  <c r="G424" i="8"/>
  <c r="H424" i="8" s="1"/>
  <c r="G423" i="8"/>
  <c r="H423" i="8" s="1"/>
  <c r="G412" i="8"/>
  <c r="H412" i="8" s="1"/>
  <c r="G411" i="8"/>
  <c r="H411" i="8" s="1"/>
  <c r="G410" i="8"/>
  <c r="H410" i="8" s="1"/>
  <c r="G409" i="8"/>
  <c r="H409" i="8" s="1"/>
  <c r="G408" i="8"/>
  <c r="H408" i="8" s="1"/>
  <c r="G407" i="8"/>
  <c r="H407" i="8" s="1"/>
  <c r="G404" i="8"/>
  <c r="H404" i="8" s="1"/>
  <c r="G403" i="8"/>
  <c r="H403" i="8" s="1"/>
  <c r="G402" i="8"/>
  <c r="H402" i="8" s="1"/>
  <c r="G401" i="8"/>
  <c r="H401" i="8" s="1"/>
  <c r="G390" i="8"/>
  <c r="H390" i="8" s="1"/>
  <c r="G389" i="8"/>
  <c r="H389" i="8" s="1"/>
  <c r="G388" i="8"/>
  <c r="H388" i="8" s="1"/>
  <c r="G387" i="8"/>
  <c r="H387" i="8" s="1"/>
  <c r="G386" i="8"/>
  <c r="H386" i="8" s="1"/>
  <c r="G383" i="8"/>
  <c r="H383" i="8" s="1"/>
  <c r="G382" i="8"/>
  <c r="H382" i="8" s="1"/>
  <c r="G381" i="8"/>
  <c r="H381" i="8" s="1"/>
  <c r="G380" i="8"/>
  <c r="H380" i="8" s="1"/>
  <c r="G369" i="8"/>
  <c r="H369" i="8" s="1"/>
  <c r="G368" i="8"/>
  <c r="H368" i="8" s="1"/>
  <c r="G367" i="8"/>
  <c r="H367" i="8" s="1"/>
  <c r="G366" i="8"/>
  <c r="H366" i="8" s="1"/>
  <c r="G362" i="8"/>
  <c r="H362" i="8" s="1"/>
  <c r="G361" i="8"/>
  <c r="H361" i="8" s="1"/>
  <c r="G360" i="8"/>
  <c r="H360" i="8" s="1"/>
  <c r="G359" i="8"/>
  <c r="H359" i="8" s="1"/>
  <c r="G348" i="8"/>
  <c r="H348" i="8" s="1"/>
  <c r="G347" i="8"/>
  <c r="H347" i="8" s="1"/>
  <c r="G346" i="8"/>
  <c r="H346" i="8" s="1"/>
  <c r="G345" i="8"/>
  <c r="H345" i="8" s="1"/>
  <c r="G341" i="8"/>
  <c r="H341" i="8" s="1"/>
  <c r="G340" i="8"/>
  <c r="H340" i="8" s="1"/>
  <c r="G339" i="8"/>
  <c r="H339" i="8" s="1"/>
  <c r="G338" i="8"/>
  <c r="H338" i="8" s="1"/>
  <c r="G326" i="8"/>
  <c r="H326" i="8" s="1"/>
  <c r="G324" i="8"/>
  <c r="H324" i="8" s="1"/>
  <c r="G321" i="8"/>
  <c r="H321" i="8" s="1"/>
  <c r="G320" i="8"/>
  <c r="H320" i="8" s="1"/>
  <c r="G319" i="8"/>
  <c r="H319" i="8" s="1"/>
  <c r="G318" i="8"/>
  <c r="H318" i="8" s="1"/>
  <c r="G307" i="8"/>
  <c r="H307" i="8" s="1"/>
  <c r="G306" i="8"/>
  <c r="H306" i="8" s="1"/>
  <c r="G305" i="8"/>
  <c r="H305" i="8" s="1"/>
  <c r="G302" i="8"/>
  <c r="H302" i="8" s="1"/>
  <c r="G301" i="8"/>
  <c r="H301" i="8" s="1"/>
  <c r="G300" i="8"/>
  <c r="H300" i="8" s="1"/>
  <c r="G299" i="8"/>
  <c r="H299" i="8" s="1"/>
  <c r="G287" i="8"/>
  <c r="H287" i="8" s="1"/>
  <c r="G286" i="8"/>
  <c r="H286" i="8" s="1"/>
  <c r="G283" i="8"/>
  <c r="H283" i="8" s="1"/>
  <c r="G282" i="8"/>
  <c r="H282" i="8" s="1"/>
  <c r="G281" i="8"/>
  <c r="H281" i="8" s="1"/>
  <c r="G280" i="8"/>
  <c r="H280" i="8" s="1"/>
  <c r="G269" i="8"/>
  <c r="H269" i="8" s="1"/>
  <c r="H270" i="8" s="1"/>
  <c r="G266" i="8"/>
  <c r="H266" i="8" s="1"/>
  <c r="G265" i="8"/>
  <c r="H265" i="8" s="1"/>
  <c r="G264" i="8"/>
  <c r="H264" i="8" s="1"/>
  <c r="G263" i="8"/>
  <c r="H263" i="8" s="1"/>
  <c r="G252" i="8"/>
  <c r="H252" i="8" s="1"/>
  <c r="H253" i="8" s="1"/>
  <c r="G249" i="8"/>
  <c r="H249" i="8" s="1"/>
  <c r="G248" i="8"/>
  <c r="H248" i="8" s="1"/>
  <c r="G247" i="8"/>
  <c r="H247" i="8" s="1"/>
  <c r="G246" i="8"/>
  <c r="H246" i="8" s="1"/>
  <c r="G231" i="8"/>
  <c r="H231" i="8" s="1"/>
  <c r="G230" i="8"/>
  <c r="H230" i="8" s="1"/>
  <c r="G229" i="8"/>
  <c r="H229" i="8" s="1"/>
  <c r="G216" i="8"/>
  <c r="H216" i="8" s="1"/>
  <c r="G215" i="8"/>
  <c r="H215" i="8" s="1"/>
  <c r="G202" i="8"/>
  <c r="H202" i="8" s="1"/>
  <c r="G201" i="8"/>
  <c r="H201" i="8" s="1"/>
  <c r="G189" i="8"/>
  <c r="H189" i="8" s="1"/>
  <c r="G188" i="8"/>
  <c r="H188" i="8" s="1"/>
  <c r="G185" i="8"/>
  <c r="H185" i="8" s="1"/>
  <c r="G184" i="8"/>
  <c r="H184" i="8" s="1"/>
  <c r="G182" i="8"/>
  <c r="H182" i="8" s="1"/>
  <c r="G171" i="8"/>
  <c r="H171" i="8" s="1"/>
  <c r="G170" i="8"/>
  <c r="H170" i="8" s="1"/>
  <c r="G167" i="8"/>
  <c r="H167" i="8" s="1"/>
  <c r="G166" i="8"/>
  <c r="H166" i="8" s="1"/>
  <c r="G164" i="8"/>
  <c r="H164" i="8" s="1"/>
  <c r="G135" i="8"/>
  <c r="H135" i="8" s="1"/>
  <c r="G134" i="8"/>
  <c r="H134" i="8" s="1"/>
  <c r="G131" i="8"/>
  <c r="H131" i="8" s="1"/>
  <c r="G130" i="8"/>
  <c r="H130" i="8" s="1"/>
  <c r="G127" i="8"/>
  <c r="H127" i="8" s="1"/>
  <c r="G126" i="8"/>
  <c r="H126" i="8" s="1"/>
  <c r="G124" i="8"/>
  <c r="H124" i="8" s="1"/>
  <c r="G94" i="8"/>
  <c r="H94" i="8" s="1"/>
  <c r="G93" i="8"/>
  <c r="H93" i="8" s="1"/>
  <c r="G90" i="8"/>
  <c r="H90" i="8" s="1"/>
  <c r="G89" i="8"/>
  <c r="H89" i="8" s="1"/>
  <c r="G88" i="8"/>
  <c r="H88" i="8" s="1"/>
  <c r="G87" i="8"/>
  <c r="H87" i="8" s="1"/>
  <c r="G58" i="8"/>
  <c r="H58" i="8" s="1"/>
  <c r="G57" i="8"/>
  <c r="H57" i="8" s="1"/>
  <c r="G54" i="8"/>
  <c r="H54" i="8" s="1"/>
  <c r="G50" i="8"/>
  <c r="H50" i="8" s="1"/>
  <c r="G49" i="8"/>
  <c r="H49" i="8" s="1"/>
  <c r="G47" i="8"/>
  <c r="H47" i="8" s="1"/>
  <c r="G16" i="8"/>
  <c r="H16" i="8" s="1"/>
  <c r="G15" i="8"/>
  <c r="H15" i="8" s="1"/>
  <c r="G12" i="8"/>
  <c r="H12" i="8" s="1"/>
  <c r="G11" i="8"/>
  <c r="H11" i="8" s="1"/>
  <c r="G10" i="8"/>
  <c r="H10" i="8" s="1"/>
  <c r="G9" i="8"/>
  <c r="H9" i="8" s="1"/>
  <c r="H192" i="8"/>
  <c r="H193" i="8" s="1"/>
  <c r="D125" i="8"/>
  <c r="D48" i="8"/>
  <c r="H593" i="7"/>
  <c r="I593" i="7" s="1"/>
  <c r="H587" i="7"/>
  <c r="I587" i="7" s="1"/>
  <c r="H586" i="7"/>
  <c r="I586" i="7" s="1"/>
  <c r="H577" i="7"/>
  <c r="I577" i="7" s="1"/>
  <c r="H571" i="7"/>
  <c r="I571" i="7" s="1"/>
  <c r="H570" i="7"/>
  <c r="I570" i="7" s="1"/>
  <c r="H561" i="7"/>
  <c r="I561" i="7" s="1"/>
  <c r="H555" i="7"/>
  <c r="I555" i="7" s="1"/>
  <c r="H554" i="7"/>
  <c r="I554" i="7" s="1"/>
  <c r="H544" i="7"/>
  <c r="I544" i="7" s="1"/>
  <c r="H540" i="7"/>
  <c r="I540" i="7" s="1"/>
  <c r="I541" i="7" s="1"/>
  <c r="H537" i="7"/>
  <c r="I537" i="7" s="1"/>
  <c r="H536" i="7"/>
  <c r="I536" i="7" s="1"/>
  <c r="H527" i="7"/>
  <c r="I527" i="7" s="1"/>
  <c r="H521" i="7"/>
  <c r="I521" i="7" s="1"/>
  <c r="H520" i="7"/>
  <c r="I520" i="7" s="1"/>
  <c r="H511" i="7"/>
  <c r="I511" i="7" s="1"/>
  <c r="H505" i="7"/>
  <c r="I505" i="7" s="1"/>
  <c r="H504" i="7"/>
  <c r="I504" i="7" s="1"/>
  <c r="H495" i="7"/>
  <c r="I495" i="7" s="1"/>
  <c r="H489" i="7"/>
  <c r="I489" i="7" s="1"/>
  <c r="H488" i="7"/>
  <c r="I488" i="7" s="1"/>
  <c r="H478" i="7"/>
  <c r="I478" i="7" s="1"/>
  <c r="H474" i="7"/>
  <c r="H471" i="7"/>
  <c r="I471" i="7" s="1"/>
  <c r="H470" i="7"/>
  <c r="I470" i="7" s="1"/>
  <c r="H461" i="7"/>
  <c r="I461" i="7" s="1"/>
  <c r="H455" i="7"/>
  <c r="I455" i="7" s="1"/>
  <c r="H454" i="7"/>
  <c r="I454" i="7" s="1"/>
  <c r="H445" i="7"/>
  <c r="I445" i="7" s="1"/>
  <c r="H439" i="7"/>
  <c r="I439" i="7" s="1"/>
  <c r="H438" i="7"/>
  <c r="I438" i="7" s="1"/>
  <c r="H429" i="7"/>
  <c r="I429" i="7" s="1"/>
  <c r="H423" i="7"/>
  <c r="I423" i="7" s="1"/>
  <c r="H422" i="7"/>
  <c r="I422" i="7" s="1"/>
  <c r="H405" i="7"/>
  <c r="I405" i="7" s="1"/>
  <c r="H404" i="7"/>
  <c r="I404" i="7" s="1"/>
  <c r="H395" i="7"/>
  <c r="I395" i="7" s="1"/>
  <c r="H389" i="7"/>
  <c r="I389" i="7" s="1"/>
  <c r="H388" i="7"/>
  <c r="I388" i="7" s="1"/>
  <c r="H379" i="7"/>
  <c r="I379" i="7" s="1"/>
  <c r="H373" i="7"/>
  <c r="I373" i="7" s="1"/>
  <c r="H372" i="7"/>
  <c r="I372" i="7" s="1"/>
  <c r="H363" i="7"/>
  <c r="I363" i="7" s="1"/>
  <c r="H357" i="7"/>
  <c r="I357" i="7" s="1"/>
  <c r="H356" i="7"/>
  <c r="I356" i="7" s="1"/>
  <c r="H346" i="7"/>
  <c r="I346" i="7" s="1"/>
  <c r="H342" i="7"/>
  <c r="I342" i="7" s="1"/>
  <c r="I343" i="7" s="1"/>
  <c r="I339" i="7"/>
  <c r="I340" i="7" s="1"/>
  <c r="H325" i="7"/>
  <c r="I325" i="7" s="1"/>
  <c r="H322" i="7"/>
  <c r="I322" i="7" s="1"/>
  <c r="H319" i="7"/>
  <c r="I319" i="7" s="1"/>
  <c r="H318" i="7"/>
  <c r="I318" i="7" s="1"/>
  <c r="H317" i="7"/>
  <c r="I317" i="7" s="1"/>
  <c r="H316" i="7"/>
  <c r="I316" i="7" s="1"/>
  <c r="H304" i="7"/>
  <c r="I304" i="7" s="1"/>
  <c r="H303" i="7"/>
  <c r="I303" i="7" s="1"/>
  <c r="H302" i="7"/>
  <c r="I302" i="7" s="1"/>
  <c r="H300" i="7"/>
  <c r="I300" i="7" s="1"/>
  <c r="H297" i="7"/>
  <c r="I297" i="7" s="1"/>
  <c r="H296" i="7"/>
  <c r="I296" i="7" s="1"/>
  <c r="H295" i="7"/>
  <c r="I295" i="7" s="1"/>
  <c r="H284" i="7"/>
  <c r="I284" i="7" s="1"/>
  <c r="H283" i="7"/>
  <c r="I283" i="7" s="1"/>
  <c r="H282" i="7"/>
  <c r="I282" i="7" s="1"/>
  <c r="H280" i="7"/>
  <c r="I280" i="7" s="1"/>
  <c r="H277" i="7"/>
  <c r="I277" i="7" s="1"/>
  <c r="H276" i="7"/>
  <c r="I276" i="7" s="1"/>
  <c r="H275" i="7"/>
  <c r="I275" i="7" s="1"/>
  <c r="H262" i="7"/>
  <c r="I262" i="7" s="1"/>
  <c r="H261" i="7"/>
  <c r="I261" i="7" s="1"/>
  <c r="H263" i="7"/>
  <c r="I263" i="7" s="1"/>
  <c r="H259" i="7"/>
  <c r="I259" i="7" s="1"/>
  <c r="H256" i="7"/>
  <c r="I256" i="7" s="1"/>
  <c r="H255" i="7"/>
  <c r="I255" i="7" s="1"/>
  <c r="H254" i="7"/>
  <c r="I254" i="7" s="1"/>
  <c r="H242" i="7"/>
  <c r="I242" i="7" s="1"/>
  <c r="H241" i="7"/>
  <c r="I241" i="7" s="1"/>
  <c r="H243" i="7"/>
  <c r="I243" i="7" s="1"/>
  <c r="H239" i="7"/>
  <c r="I239" i="7" s="1"/>
  <c r="H236" i="7"/>
  <c r="I236" i="7" s="1"/>
  <c r="H235" i="7"/>
  <c r="I235" i="7" s="1"/>
  <c r="H234" i="7"/>
  <c r="I234" i="7" s="1"/>
  <c r="H222" i="7"/>
  <c r="I222" i="7" s="1"/>
  <c r="H221" i="7"/>
  <c r="I221" i="7" s="1"/>
  <c r="H223" i="7"/>
  <c r="I223" i="7" s="1"/>
  <c r="H219" i="7"/>
  <c r="I219" i="7" s="1"/>
  <c r="H216" i="7"/>
  <c r="I216" i="7" s="1"/>
  <c r="H215" i="7"/>
  <c r="I215" i="7" s="1"/>
  <c r="H214" i="7"/>
  <c r="I214" i="7" s="1"/>
  <c r="H200" i="7"/>
  <c r="I200" i="7" s="1"/>
  <c r="H198" i="7"/>
  <c r="I198" i="7" s="1"/>
  <c r="H195" i="7"/>
  <c r="I195" i="7" s="1"/>
  <c r="H194" i="7"/>
  <c r="I194" i="7" s="1"/>
  <c r="H193" i="7"/>
  <c r="I193" i="7" s="1"/>
  <c r="H181" i="7"/>
  <c r="I181" i="7" s="1"/>
  <c r="H176" i="7"/>
  <c r="I176" i="7" s="1"/>
  <c r="H175" i="7"/>
  <c r="I175" i="7" s="1"/>
  <c r="H174" i="7"/>
  <c r="I174" i="7" s="1"/>
  <c r="H161" i="7"/>
  <c r="I161" i="7" s="1"/>
  <c r="H159" i="7"/>
  <c r="I159" i="7" s="1"/>
  <c r="H156" i="7"/>
  <c r="I156" i="7" s="1"/>
  <c r="H155" i="7"/>
  <c r="I155" i="7" s="1"/>
  <c r="H154" i="7"/>
  <c r="I154" i="7" s="1"/>
  <c r="H143" i="7"/>
  <c r="I143" i="7" s="1"/>
  <c r="H141" i="7"/>
  <c r="I141" i="7" s="1"/>
  <c r="H138" i="7"/>
  <c r="I138" i="7" s="1"/>
  <c r="H137" i="7"/>
  <c r="I137" i="7" s="1"/>
  <c r="H136" i="7"/>
  <c r="I136" i="7" s="1"/>
  <c r="H124" i="7"/>
  <c r="I124" i="7" s="1"/>
  <c r="H122" i="7"/>
  <c r="I122" i="7" s="1"/>
  <c r="H119" i="7"/>
  <c r="I119" i="7" s="1"/>
  <c r="H118" i="7"/>
  <c r="I118" i="7" s="1"/>
  <c r="H117" i="7"/>
  <c r="I117" i="7" s="1"/>
  <c r="H106" i="7"/>
  <c r="I106" i="7" s="1"/>
  <c r="H104" i="7"/>
  <c r="I104" i="7" s="1"/>
  <c r="H101" i="7"/>
  <c r="I101" i="7" s="1"/>
  <c r="H100" i="7"/>
  <c r="I100" i="7" s="1"/>
  <c r="H99" i="7"/>
  <c r="I99" i="7" s="1"/>
  <c r="H87" i="7"/>
  <c r="I87" i="7" s="1"/>
  <c r="H85" i="7"/>
  <c r="I85" i="7" s="1"/>
  <c r="H82" i="7"/>
  <c r="I82" i="7" s="1"/>
  <c r="H81" i="7"/>
  <c r="I81" i="7" s="1"/>
  <c r="H80" i="7"/>
  <c r="I80" i="7" s="1"/>
  <c r="H69" i="7"/>
  <c r="I69" i="7" s="1"/>
  <c r="H67" i="7"/>
  <c r="I67" i="7" s="1"/>
  <c r="H64" i="7"/>
  <c r="I64" i="7" s="1"/>
  <c r="H63" i="7"/>
  <c r="I63" i="7" s="1"/>
  <c r="H62" i="7"/>
  <c r="I62" i="7" s="1"/>
  <c r="H50" i="7"/>
  <c r="I50" i="7" s="1"/>
  <c r="H48" i="7"/>
  <c r="I48" i="7" s="1"/>
  <c r="H45" i="7"/>
  <c r="I45" i="7" s="1"/>
  <c r="H44" i="7"/>
  <c r="I44" i="7" s="1"/>
  <c r="H43" i="7"/>
  <c r="I43" i="7" s="1"/>
  <c r="H32" i="7"/>
  <c r="I32" i="7" s="1"/>
  <c r="H30" i="7"/>
  <c r="I30" i="7" s="1"/>
  <c r="H27" i="7"/>
  <c r="I27" i="7" s="1"/>
  <c r="H26" i="7"/>
  <c r="I26" i="7" s="1"/>
  <c r="H25" i="7"/>
  <c r="I25" i="7" s="1"/>
  <c r="H14" i="7"/>
  <c r="I14" i="7" s="1"/>
  <c r="H13" i="7"/>
  <c r="I13" i="7" s="1"/>
  <c r="H10" i="7"/>
  <c r="I10" i="7" s="1"/>
  <c r="H9" i="7"/>
  <c r="I9" i="7" s="1"/>
  <c r="H8" i="7"/>
  <c r="I8" i="7" s="1"/>
  <c r="H7" i="7"/>
  <c r="I7" i="7" s="1"/>
  <c r="H132" i="5"/>
  <c r="I132" i="5" s="1"/>
  <c r="I133" i="5" s="1"/>
  <c r="H127" i="5"/>
  <c r="I127" i="5" s="1"/>
  <c r="H126" i="5"/>
  <c r="I126" i="5" s="1"/>
  <c r="H110" i="5"/>
  <c r="I110" i="5" s="1"/>
  <c r="H109" i="5"/>
  <c r="I109" i="5" s="1"/>
  <c r="H100" i="5"/>
  <c r="I100" i="5" s="1"/>
  <c r="I101" i="5" s="1"/>
  <c r="H85" i="5"/>
  <c r="I85" i="5" s="1"/>
  <c r="I86" i="5" s="1"/>
  <c r="H80" i="5"/>
  <c r="I80" i="5" s="1"/>
  <c r="H79" i="5"/>
  <c r="I79" i="5" s="1"/>
  <c r="H64" i="5"/>
  <c r="I64" i="5" s="1"/>
  <c r="I65" i="5" s="1"/>
  <c r="H61" i="5"/>
  <c r="I61" i="5" s="1"/>
  <c r="I62" i="5" s="1"/>
  <c r="H45" i="5"/>
  <c r="I45" i="5" s="1"/>
  <c r="I46" i="5" s="1"/>
  <c r="H42" i="5"/>
  <c r="I42" i="5" s="1"/>
  <c r="H41" i="5"/>
  <c r="I41" i="5" s="1"/>
  <c r="H32" i="5"/>
  <c r="I32" i="5" s="1"/>
  <c r="I33" i="5" s="1"/>
  <c r="H27" i="5"/>
  <c r="I27" i="5" s="1"/>
  <c r="H26" i="5"/>
  <c r="I26" i="5" s="1"/>
  <c r="H134" i="4"/>
  <c r="I134" i="4" s="1"/>
  <c r="I135" i="4" s="1"/>
  <c r="H131" i="4"/>
  <c r="I131" i="4" s="1"/>
  <c r="H130" i="4"/>
  <c r="I130" i="4" s="1"/>
  <c r="H117" i="4"/>
  <c r="I117" i="4" s="1"/>
  <c r="H116" i="4"/>
  <c r="I116" i="4" s="1"/>
  <c r="H56" i="4"/>
  <c r="I56" i="4" s="1"/>
  <c r="I57" i="4" s="1"/>
  <c r="H53" i="4"/>
  <c r="I53" i="4" s="1"/>
  <c r="H52" i="4"/>
  <c r="I52" i="4" s="1"/>
  <c r="H41" i="4"/>
  <c r="I41" i="4" s="1"/>
  <c r="I42" i="4" s="1"/>
  <c r="H38" i="4"/>
  <c r="I38" i="4" s="1"/>
  <c r="H37" i="4"/>
  <c r="I37" i="4" s="1"/>
  <c r="H26" i="4"/>
  <c r="I26" i="4" s="1"/>
  <c r="I27" i="4" s="1"/>
  <c r="H23" i="4"/>
  <c r="I23" i="4" s="1"/>
  <c r="H22" i="4"/>
  <c r="I22" i="4" s="1"/>
  <c r="H9" i="4"/>
  <c r="I9" i="4" s="1"/>
  <c r="H8" i="4"/>
  <c r="I8" i="4" s="1"/>
  <c r="E119" i="27"/>
  <c r="H595" i="2"/>
  <c r="J595" i="2" s="1"/>
  <c r="J596" i="2" s="1"/>
  <c r="H315" i="2"/>
  <c r="H27" i="2"/>
  <c r="H571" i="2"/>
  <c r="J571" i="2" s="1"/>
  <c r="H570" i="2"/>
  <c r="J570" i="2" s="1"/>
  <c r="H567" i="2"/>
  <c r="J567" i="2" s="1"/>
  <c r="H566" i="2"/>
  <c r="J566" i="2" s="1"/>
  <c r="H565" i="2"/>
  <c r="J565" i="2" s="1"/>
  <c r="H564" i="2"/>
  <c r="J564" i="2" s="1"/>
  <c r="H563" i="2"/>
  <c r="J563" i="2" s="1"/>
  <c r="H505" i="2"/>
  <c r="J505" i="2" s="1"/>
  <c r="J506" i="2" s="1"/>
  <c r="H490" i="2"/>
  <c r="J490" i="2" s="1"/>
  <c r="J491" i="2" s="1"/>
  <c r="H485" i="2"/>
  <c r="J485" i="2" s="1"/>
  <c r="H484" i="2"/>
  <c r="J484" i="2" s="1"/>
  <c r="H475" i="2"/>
  <c r="J475" i="2" s="1"/>
  <c r="J476" i="2" s="1"/>
  <c r="H470" i="2"/>
  <c r="J470" i="2" s="1"/>
  <c r="H469" i="2"/>
  <c r="J469" i="2" s="1"/>
  <c r="H455" i="2"/>
  <c r="J455" i="2" s="1"/>
  <c r="H454" i="2"/>
  <c r="J454" i="2" s="1"/>
  <c r="H445" i="2"/>
  <c r="H440" i="2"/>
  <c r="J440" i="2" s="1"/>
  <c r="H439" i="2"/>
  <c r="J439" i="2" s="1"/>
  <c r="H430" i="2"/>
  <c r="J430" i="2" s="1"/>
  <c r="J431" i="2" s="1"/>
  <c r="H425" i="2"/>
  <c r="J425" i="2" s="1"/>
  <c r="H424" i="2"/>
  <c r="J424" i="2" s="1"/>
  <c r="H410" i="2"/>
  <c r="J410" i="2" s="1"/>
  <c r="H409" i="2"/>
  <c r="J409" i="2" s="1"/>
  <c r="H395" i="2"/>
  <c r="J395" i="2" s="1"/>
  <c r="H394" i="2"/>
  <c r="J394" i="2" s="1"/>
  <c r="H380" i="2"/>
  <c r="J380" i="2" s="1"/>
  <c r="H379" i="2"/>
  <c r="J379" i="2" s="1"/>
  <c r="H370" i="2"/>
  <c r="J370" i="2" s="1"/>
  <c r="J371" i="2" s="1"/>
  <c r="H365" i="2"/>
  <c r="J365" i="2" s="1"/>
  <c r="H364" i="2"/>
  <c r="J364" i="2" s="1"/>
  <c r="H355" i="2"/>
  <c r="J355" i="2" s="1"/>
  <c r="J356" i="2" s="1"/>
  <c r="H350" i="2"/>
  <c r="J350" i="2" s="1"/>
  <c r="H349" i="2"/>
  <c r="J349" i="2" s="1"/>
  <c r="H336" i="2"/>
  <c r="J336" i="2" s="1"/>
  <c r="H335" i="2"/>
  <c r="J335" i="2" s="1"/>
  <c r="H322" i="2"/>
  <c r="J322" i="2" s="1"/>
  <c r="H321" i="2"/>
  <c r="J321" i="2" s="1"/>
  <c r="H308" i="2"/>
  <c r="J308" i="2" s="1"/>
  <c r="H307" i="2"/>
  <c r="J307" i="2" s="1"/>
  <c r="H211" i="2"/>
  <c r="J211" i="2" s="1"/>
  <c r="H210" i="2"/>
  <c r="J210" i="2" s="1"/>
  <c r="H209" i="2"/>
  <c r="J209" i="2" s="1"/>
  <c r="H208" i="2"/>
  <c r="J208" i="2" s="1"/>
  <c r="H207" i="2"/>
  <c r="J207" i="2" s="1"/>
  <c r="H206" i="2"/>
  <c r="J206" i="2" s="1"/>
  <c r="H205" i="2"/>
  <c r="J205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5" i="2"/>
  <c r="J195" i="2" s="1"/>
  <c r="H194" i="2"/>
  <c r="J194" i="2" s="1"/>
  <c r="H193" i="2"/>
  <c r="J193" i="2" s="1"/>
  <c r="H192" i="2"/>
  <c r="J192" i="2" s="1"/>
  <c r="H191" i="2"/>
  <c r="J191" i="2" s="1"/>
  <c r="H127" i="2"/>
  <c r="J127" i="2" s="1"/>
  <c r="H126" i="2"/>
  <c r="J126" i="2" s="1"/>
  <c r="H125" i="2"/>
  <c r="J125" i="2" s="1"/>
  <c r="H124" i="2"/>
  <c r="J124" i="2" s="1"/>
  <c r="H121" i="2"/>
  <c r="J121" i="2" s="1"/>
  <c r="H120" i="2"/>
  <c r="J120" i="2" s="1"/>
  <c r="H119" i="2"/>
  <c r="J119" i="2" s="1"/>
  <c r="H118" i="2"/>
  <c r="J118" i="2" s="1"/>
  <c r="H107" i="2"/>
  <c r="H104" i="2"/>
  <c r="J104" i="2" s="1"/>
  <c r="H103" i="2"/>
  <c r="J103" i="2" s="1"/>
  <c r="H102" i="2"/>
  <c r="J102" i="2" s="1"/>
  <c r="H101" i="2"/>
  <c r="J101" i="2" s="1"/>
  <c r="H70" i="2"/>
  <c r="J70" i="2" s="1"/>
  <c r="H69" i="2"/>
  <c r="H68" i="2"/>
  <c r="H67" i="2"/>
  <c r="J67" i="2" s="1"/>
  <c r="H66" i="2"/>
  <c r="J66" i="2" s="1"/>
  <c r="H65" i="2"/>
  <c r="J65" i="2" s="1"/>
  <c r="H64" i="2"/>
  <c r="J64" i="2" s="1"/>
  <c r="H61" i="2"/>
  <c r="J61" i="2" s="1"/>
  <c r="H60" i="2"/>
  <c r="J60" i="2" s="1"/>
  <c r="H59" i="2"/>
  <c r="J59" i="2" s="1"/>
  <c r="H58" i="2"/>
  <c r="J58" i="2" s="1"/>
  <c r="H57" i="2"/>
  <c r="J57" i="2" s="1"/>
  <c r="H46" i="2"/>
  <c r="J46" i="2" s="1"/>
  <c r="H45" i="2"/>
  <c r="H44" i="2"/>
  <c r="H43" i="2"/>
  <c r="J43" i="2" s="1"/>
  <c r="H42" i="2"/>
  <c r="J42" i="2" s="1"/>
  <c r="H40" i="2"/>
  <c r="J40" i="2" s="1"/>
  <c r="H37" i="2"/>
  <c r="J37" i="2" s="1"/>
  <c r="H36" i="2"/>
  <c r="J36" i="2" s="1"/>
  <c r="H35" i="2"/>
  <c r="J35" i="2" s="1"/>
  <c r="H34" i="2"/>
  <c r="J34" i="2" s="1"/>
  <c r="H33" i="2"/>
  <c r="J3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2" i="2"/>
  <c r="J12" i="2" s="1"/>
  <c r="H11" i="2"/>
  <c r="J11" i="2" s="1"/>
  <c r="H10" i="2"/>
  <c r="J10" i="2" s="1"/>
  <c r="H9" i="2"/>
  <c r="J9" i="2" s="1"/>
  <c r="H8" i="2"/>
  <c r="J8" i="2" s="1"/>
  <c r="G69" i="2"/>
  <c r="G68" i="2"/>
  <c r="D254" i="25" l="1"/>
  <c r="D165" i="8"/>
  <c r="D384" i="22"/>
  <c r="G384" i="22" s="1"/>
  <c r="G1627" i="41"/>
  <c r="H1627" i="41" s="1"/>
  <c r="H1628" i="41" s="1"/>
  <c r="H1631" i="41" s="1"/>
  <c r="H1632" i="41" s="1"/>
  <c r="H1633" i="41" s="1"/>
  <c r="I1619" i="41" s="1"/>
  <c r="G1579" i="41"/>
  <c r="H1579" i="41" s="1"/>
  <c r="H1580" i="41" s="1"/>
  <c r="H1583" i="41" s="1"/>
  <c r="H1584" i="41" s="1"/>
  <c r="H1585" i="41" s="1"/>
  <c r="I1571" i="41" s="1"/>
  <c r="G1562" i="41"/>
  <c r="H1562" i="41" s="1"/>
  <c r="G1546" i="41"/>
  <c r="H1546" i="41" s="1"/>
  <c r="G1887" i="37"/>
  <c r="H1887" i="37" s="1"/>
  <c r="H1888" i="37" s="1"/>
  <c r="H1891" i="37" s="1"/>
  <c r="H1892" i="37" s="1"/>
  <c r="H1893" i="37" s="1"/>
  <c r="I1878" i="37" s="1"/>
  <c r="G1700" i="37"/>
  <c r="H1700" i="37" s="1"/>
  <c r="H1701" i="37" s="1"/>
  <c r="H1704" i="37" s="1"/>
  <c r="H1705" i="37" s="1"/>
  <c r="H1706" i="37" s="1"/>
  <c r="I1691" i="37" s="1"/>
  <c r="G1496" i="37"/>
  <c r="H1496" i="37" s="1"/>
  <c r="H1497" i="37" s="1"/>
  <c r="H1500" i="37" s="1"/>
  <c r="H1501" i="37" s="1"/>
  <c r="H1502" i="37" s="1"/>
  <c r="I1487" i="37" s="1"/>
  <c r="G1272" i="37"/>
  <c r="H1272" i="37" s="1"/>
  <c r="H1273" i="37" s="1"/>
  <c r="H1276" i="37" s="1"/>
  <c r="H1277" i="37" s="1"/>
  <c r="H1278" i="37" s="1"/>
  <c r="I1263" i="37" s="1"/>
  <c r="G1153" i="37"/>
  <c r="H1153" i="37" s="1"/>
  <c r="H1154" i="37" s="1"/>
  <c r="H1157" i="37" s="1"/>
  <c r="G863" i="37"/>
  <c r="H863" i="37" s="1"/>
  <c r="H864" i="37" s="1"/>
  <c r="H867" i="37" s="1"/>
  <c r="H868" i="37" s="1"/>
  <c r="H869" i="37" s="1"/>
  <c r="I854" i="37" s="1"/>
  <c r="G846" i="37"/>
  <c r="H846" i="37" s="1"/>
  <c r="H847" i="37" s="1"/>
  <c r="H850" i="37" s="1"/>
  <c r="H851" i="37" s="1"/>
  <c r="H852" i="37" s="1"/>
  <c r="I837" i="37" s="1"/>
  <c r="G829" i="37"/>
  <c r="H829" i="37" s="1"/>
  <c r="H830" i="37" s="1"/>
  <c r="H833" i="37" s="1"/>
  <c r="H834" i="37" s="1"/>
  <c r="H835" i="37" s="1"/>
  <c r="I820" i="37" s="1"/>
  <c r="G812" i="37"/>
  <c r="H812" i="37" s="1"/>
  <c r="H813" i="37" s="1"/>
  <c r="H816" i="37" s="1"/>
  <c r="H817" i="37" s="1"/>
  <c r="H818" i="37" s="1"/>
  <c r="I803" i="37" s="1"/>
  <c r="G795" i="37"/>
  <c r="H795" i="37" s="1"/>
  <c r="H796" i="37" s="1"/>
  <c r="H799" i="37" s="1"/>
  <c r="H800" i="37" s="1"/>
  <c r="H801" i="37" s="1"/>
  <c r="I786" i="37" s="1"/>
  <c r="G778" i="37"/>
  <c r="H778" i="37" s="1"/>
  <c r="H779" i="37" s="1"/>
  <c r="H782" i="37" s="1"/>
  <c r="H783" i="37" s="1"/>
  <c r="H784" i="37" s="1"/>
  <c r="I769" i="37" s="1"/>
  <c r="G761" i="37"/>
  <c r="H761" i="37" s="1"/>
  <c r="H762" i="37" s="1"/>
  <c r="H765" i="37" s="1"/>
  <c r="H766" i="37" s="1"/>
  <c r="H767" i="37" s="1"/>
  <c r="I752" i="37" s="1"/>
  <c r="G744" i="37"/>
  <c r="H744" i="37" s="1"/>
  <c r="H745" i="37" s="1"/>
  <c r="H748" i="37" s="1"/>
  <c r="H749" i="37" s="1"/>
  <c r="H750" i="37" s="1"/>
  <c r="I735" i="37" s="1"/>
  <c r="G726" i="37"/>
  <c r="H726" i="37" s="1"/>
  <c r="H727" i="37" s="1"/>
  <c r="H730" i="37" s="1"/>
  <c r="H731" i="37" s="1"/>
  <c r="H732" i="37" s="1"/>
  <c r="I717" i="37" s="1"/>
  <c r="G709" i="37"/>
  <c r="H709" i="37" s="1"/>
  <c r="H710" i="37" s="1"/>
  <c r="H713" i="37" s="1"/>
  <c r="H714" i="37" s="1"/>
  <c r="H715" i="37" s="1"/>
  <c r="I700" i="37" s="1"/>
  <c r="G692" i="37"/>
  <c r="H692" i="37" s="1"/>
  <c r="H693" i="37" s="1"/>
  <c r="H696" i="37" s="1"/>
  <c r="H697" i="37" s="1"/>
  <c r="H698" i="37" s="1"/>
  <c r="I683" i="37" s="1"/>
  <c r="G675" i="37"/>
  <c r="H675" i="37" s="1"/>
  <c r="H676" i="37" s="1"/>
  <c r="H679" i="37" s="1"/>
  <c r="H680" i="37" s="1"/>
  <c r="H681" i="37" s="1"/>
  <c r="I666" i="37" s="1"/>
  <c r="G658" i="37"/>
  <c r="H658" i="37" s="1"/>
  <c r="H659" i="37" s="1"/>
  <c r="H662" i="37" s="1"/>
  <c r="H663" i="37" s="1"/>
  <c r="H664" i="37" s="1"/>
  <c r="I649" i="37" s="1"/>
  <c r="G641" i="37"/>
  <c r="H641" i="37" s="1"/>
  <c r="H642" i="37" s="1"/>
  <c r="H645" i="37" s="1"/>
  <c r="H646" i="37" s="1"/>
  <c r="H647" i="37" s="1"/>
  <c r="I632" i="37" s="1"/>
  <c r="G624" i="37"/>
  <c r="H624" i="37" s="1"/>
  <c r="H625" i="37" s="1"/>
  <c r="H628" i="37" s="1"/>
  <c r="H629" i="37" s="1"/>
  <c r="H630" i="37" s="1"/>
  <c r="I615" i="37" s="1"/>
  <c r="G573" i="37"/>
  <c r="H573" i="37" s="1"/>
  <c r="H574" i="37" s="1"/>
  <c r="H577" i="37" s="1"/>
  <c r="H578" i="37" s="1"/>
  <c r="H579" i="37" s="1"/>
  <c r="I564" i="37" s="1"/>
  <c r="G590" i="37"/>
  <c r="H590" i="37" s="1"/>
  <c r="H591" i="37" s="1"/>
  <c r="H594" i="37" s="1"/>
  <c r="H595" i="37" s="1"/>
  <c r="H596" i="37" s="1"/>
  <c r="I581" i="37" s="1"/>
  <c r="G556" i="37"/>
  <c r="H556" i="37" s="1"/>
  <c r="H557" i="37" s="1"/>
  <c r="H560" i="37" s="1"/>
  <c r="H561" i="37" s="1"/>
  <c r="H562" i="37" s="1"/>
  <c r="I547" i="37" s="1"/>
  <c r="G538" i="37"/>
  <c r="H538" i="37" s="1"/>
  <c r="H539" i="37" s="1"/>
  <c r="H542" i="37" s="1"/>
  <c r="H543" i="37" s="1"/>
  <c r="H544" i="37" s="1"/>
  <c r="I529" i="37" s="1"/>
  <c r="G519" i="37"/>
  <c r="H519" i="37" s="1"/>
  <c r="H520" i="37" s="1"/>
  <c r="H523" i="37" s="1"/>
  <c r="H524" i="37" s="1"/>
  <c r="H525" i="37" s="1"/>
  <c r="I510" i="37" s="1"/>
  <c r="G501" i="37"/>
  <c r="H501" i="37" s="1"/>
  <c r="H502" i="37" s="1"/>
  <c r="H505" i="37" s="1"/>
  <c r="H506" i="37" s="1"/>
  <c r="H507" i="37" s="1"/>
  <c r="I492" i="37" s="1"/>
  <c r="G483" i="37"/>
  <c r="H483" i="37" s="1"/>
  <c r="H484" i="37" s="1"/>
  <c r="H487" i="37" s="1"/>
  <c r="H488" i="37" s="1"/>
  <c r="H489" i="37" s="1"/>
  <c r="I474" i="37" s="1"/>
  <c r="G465" i="37"/>
  <c r="H465" i="37" s="1"/>
  <c r="H466" i="37" s="1"/>
  <c r="H469" i="37" s="1"/>
  <c r="H470" i="37" s="1"/>
  <c r="H471" i="37" s="1"/>
  <c r="I456" i="37" s="1"/>
  <c r="G447" i="37"/>
  <c r="H447" i="37" s="1"/>
  <c r="H448" i="37" s="1"/>
  <c r="H451" i="37" s="1"/>
  <c r="H452" i="37" s="1"/>
  <c r="H453" i="37" s="1"/>
  <c r="I438" i="37" s="1"/>
  <c r="G429" i="37"/>
  <c r="H429" i="37" s="1"/>
  <c r="H430" i="37" s="1"/>
  <c r="H433" i="37" s="1"/>
  <c r="H434" i="37" s="1"/>
  <c r="H435" i="37" s="1"/>
  <c r="I420" i="37" s="1"/>
  <c r="G411" i="37"/>
  <c r="H411" i="37" s="1"/>
  <c r="H412" i="37" s="1"/>
  <c r="H415" i="37" s="1"/>
  <c r="H416" i="37" s="1"/>
  <c r="H417" i="37" s="1"/>
  <c r="I402" i="37" s="1"/>
  <c r="G393" i="37"/>
  <c r="H393" i="37" s="1"/>
  <c r="H394" i="37" s="1"/>
  <c r="H397" i="37" s="1"/>
  <c r="H398" i="37" s="1"/>
  <c r="H399" i="37" s="1"/>
  <c r="I384" i="37" s="1"/>
  <c r="G357" i="37"/>
  <c r="H357" i="37" s="1"/>
  <c r="H358" i="37" s="1"/>
  <c r="H361" i="37" s="1"/>
  <c r="H362" i="37" s="1"/>
  <c r="H363" i="37" s="1"/>
  <c r="I348" i="37" s="1"/>
  <c r="G339" i="37"/>
  <c r="H339" i="37" s="1"/>
  <c r="H340" i="37" s="1"/>
  <c r="H343" i="37" s="1"/>
  <c r="H344" i="37" s="1"/>
  <c r="H345" i="37" s="1"/>
  <c r="I330" i="37" s="1"/>
  <c r="G321" i="37"/>
  <c r="H321" i="37" s="1"/>
  <c r="H322" i="37" s="1"/>
  <c r="H325" i="37" s="1"/>
  <c r="H326" i="37" s="1"/>
  <c r="H327" i="37" s="1"/>
  <c r="I312" i="37" s="1"/>
  <c r="G303" i="37"/>
  <c r="H303" i="37" s="1"/>
  <c r="H304" i="37" s="1"/>
  <c r="H307" i="37" s="1"/>
  <c r="H308" i="37" s="1"/>
  <c r="H309" i="37" s="1"/>
  <c r="I294" i="37" s="1"/>
  <c r="G285" i="37"/>
  <c r="H285" i="37" s="1"/>
  <c r="H286" i="37" s="1"/>
  <c r="H289" i="37" s="1"/>
  <c r="H290" i="37" s="1"/>
  <c r="H291" i="37" s="1"/>
  <c r="I276" i="37" s="1"/>
  <c r="G267" i="37"/>
  <c r="H267" i="37" s="1"/>
  <c r="H268" i="37" s="1"/>
  <c r="H271" i="37" s="1"/>
  <c r="H272" i="37" s="1"/>
  <c r="H273" i="37" s="1"/>
  <c r="I258" i="37" s="1"/>
  <c r="G249" i="37"/>
  <c r="H249" i="37" s="1"/>
  <c r="H250" i="37" s="1"/>
  <c r="H253" i="37" s="1"/>
  <c r="H254" i="37" s="1"/>
  <c r="H255" i="37" s="1"/>
  <c r="I240" i="37" s="1"/>
  <c r="G231" i="37"/>
  <c r="H231" i="37" s="1"/>
  <c r="H232" i="37" s="1"/>
  <c r="H235" i="37" s="1"/>
  <c r="H236" i="37" s="1"/>
  <c r="H237" i="37" s="1"/>
  <c r="I222" i="37" s="1"/>
  <c r="G213" i="37"/>
  <c r="H213" i="37" s="1"/>
  <c r="H214" i="37" s="1"/>
  <c r="H217" i="37" s="1"/>
  <c r="H218" i="37" s="1"/>
  <c r="H219" i="37" s="1"/>
  <c r="I204" i="37" s="1"/>
  <c r="G195" i="37"/>
  <c r="H195" i="37" s="1"/>
  <c r="H196" i="37" s="1"/>
  <c r="H199" i="37" s="1"/>
  <c r="H200" i="37" s="1"/>
  <c r="H201" i="37" s="1"/>
  <c r="I186" i="37" s="1"/>
  <c r="G176" i="37"/>
  <c r="H176" i="37" s="1"/>
  <c r="H177" i="37" s="1"/>
  <c r="H180" i="37" s="1"/>
  <c r="H181" i="37" s="1"/>
  <c r="H182" i="37" s="1"/>
  <c r="I167" i="37" s="1"/>
  <c r="G158" i="37"/>
  <c r="H158" i="37" s="1"/>
  <c r="H159" i="37" s="1"/>
  <c r="H162" i="37" s="1"/>
  <c r="H163" i="37" s="1"/>
  <c r="H164" i="37" s="1"/>
  <c r="I149" i="37" s="1"/>
  <c r="G140" i="37"/>
  <c r="H140" i="37" s="1"/>
  <c r="H141" i="37" s="1"/>
  <c r="H144" i="37" s="1"/>
  <c r="H145" i="37" s="1"/>
  <c r="H146" i="37" s="1"/>
  <c r="I131" i="37" s="1"/>
  <c r="G121" i="37"/>
  <c r="H121" i="37" s="1"/>
  <c r="H122" i="37" s="1"/>
  <c r="H125" i="37" s="1"/>
  <c r="H126" i="37" s="1"/>
  <c r="H127" i="37" s="1"/>
  <c r="I112" i="37" s="1"/>
  <c r="G103" i="37"/>
  <c r="H103" i="37" s="1"/>
  <c r="H104" i="37" s="1"/>
  <c r="H107" i="37" s="1"/>
  <c r="G85" i="37"/>
  <c r="H85" i="37" s="1"/>
  <c r="H86" i="37" s="1"/>
  <c r="H89" i="37" s="1"/>
  <c r="H90" i="37" s="1"/>
  <c r="H91" i="37" s="1"/>
  <c r="I76" i="37" s="1"/>
  <c r="G66" i="37"/>
  <c r="H66" i="37" s="1"/>
  <c r="H67" i="37" s="1"/>
  <c r="H70" i="37" s="1"/>
  <c r="H71" i="37" s="1"/>
  <c r="H72" i="37" s="1"/>
  <c r="I57" i="37" s="1"/>
  <c r="G48" i="37"/>
  <c r="H48" i="37" s="1"/>
  <c r="H49" i="37" s="1"/>
  <c r="H52" i="37" s="1"/>
  <c r="H53" i="37" s="1"/>
  <c r="H54" i="37" s="1"/>
  <c r="I39" i="37" s="1"/>
  <c r="G286" i="22"/>
  <c r="H286" i="22" s="1"/>
  <c r="H287" i="22" s="1"/>
  <c r="G31" i="37"/>
  <c r="H31" i="37" s="1"/>
  <c r="H32" i="37" s="1"/>
  <c r="H35" i="37" s="1"/>
  <c r="H36" i="37" s="1"/>
  <c r="H37" i="37" s="1"/>
  <c r="I22" i="37" s="1"/>
  <c r="F1824" i="27"/>
  <c r="G1824" i="27"/>
  <c r="G1730" i="27"/>
  <c r="F1730" i="27"/>
  <c r="G1729" i="27"/>
  <c r="F1729" i="27"/>
  <c r="D60" i="22"/>
  <c r="G1783" i="27"/>
  <c r="F1783" i="27"/>
  <c r="G1782" i="27"/>
  <c r="F1782" i="27"/>
  <c r="J23" i="2"/>
  <c r="J38" i="2"/>
  <c r="G269" i="22"/>
  <c r="H269" i="22" s="1"/>
  <c r="H270" i="22" s="1"/>
  <c r="G349" i="25"/>
  <c r="G331" i="25"/>
  <c r="G1156" i="27"/>
  <c r="F1156" i="27"/>
  <c r="G5076" i="26"/>
  <c r="H5076" i="26" s="1"/>
  <c r="G4860" i="26"/>
  <c r="H4860" i="26" s="1"/>
  <c r="H4861" i="26" s="1"/>
  <c r="H4864" i="26" s="1"/>
  <c r="H4865" i="26" s="1"/>
  <c r="H4866" i="26" s="1"/>
  <c r="I4851" i="26" s="1"/>
  <c r="G199" i="27"/>
  <c r="F199" i="27"/>
  <c r="E199" i="27"/>
  <c r="G180" i="27"/>
  <c r="F180" i="27"/>
  <c r="J13" i="2"/>
  <c r="G2745" i="26"/>
  <c r="H2745" i="26" s="1"/>
  <c r="H2746" i="26" s="1"/>
  <c r="H2749" i="26" s="1"/>
  <c r="H2750" i="26" s="1"/>
  <c r="H2751" i="26" s="1"/>
  <c r="I2736" i="26" s="1"/>
  <c r="G2557" i="26"/>
  <c r="H2557" i="26" s="1"/>
  <c r="H2558" i="26" s="1"/>
  <c r="H2561" i="26" s="1"/>
  <c r="H2562" i="26" s="1"/>
  <c r="H2563" i="26" s="1"/>
  <c r="I2548" i="26" s="1"/>
  <c r="G2540" i="26"/>
  <c r="H2540" i="26" s="1"/>
  <c r="H2541" i="26" s="1"/>
  <c r="H2544" i="26" s="1"/>
  <c r="H2545" i="26" s="1"/>
  <c r="H2546" i="26" s="1"/>
  <c r="I2531" i="26" s="1"/>
  <c r="G7669" i="43"/>
  <c r="H7669" i="43" s="1"/>
  <c r="H7670" i="43" s="1"/>
  <c r="H7671" i="43" s="1"/>
  <c r="H7672" i="43" s="1"/>
  <c r="H7673" i="43" s="1"/>
  <c r="R7658" i="43" s="1"/>
  <c r="G7651" i="43"/>
  <c r="H7651" i="43" s="1"/>
  <c r="H7652" i="43" s="1"/>
  <c r="H7653" i="43" s="1"/>
  <c r="H7654" i="43" s="1"/>
  <c r="H7655" i="43" s="1"/>
  <c r="R7640" i="43" s="1"/>
  <c r="G7633" i="43"/>
  <c r="H7633" i="43" s="1"/>
  <c r="H7634" i="43" s="1"/>
  <c r="H7635" i="43" s="1"/>
  <c r="H7636" i="43" s="1"/>
  <c r="H7637" i="43" s="1"/>
  <c r="R7622" i="43" s="1"/>
  <c r="G7614" i="43"/>
  <c r="H7614" i="43" s="1"/>
  <c r="H7615" i="43" s="1"/>
  <c r="H7616" i="43" s="1"/>
  <c r="H7617" i="43" s="1"/>
  <c r="H7618" i="43" s="1"/>
  <c r="R7604" i="43" s="1"/>
  <c r="H7462" i="43"/>
  <c r="H7463" i="43" s="1"/>
  <c r="H7464" i="43" s="1"/>
  <c r="R7450" i="43" s="1"/>
  <c r="G7442" i="43"/>
  <c r="H7442" i="43" s="1"/>
  <c r="H7443" i="43" s="1"/>
  <c r="G7438" i="43"/>
  <c r="H7438" i="43" s="1"/>
  <c r="H7440" i="43" s="1"/>
  <c r="G7424" i="43"/>
  <c r="H7424" i="43" s="1"/>
  <c r="H7425" i="43" s="1"/>
  <c r="H7426" i="43" s="1"/>
  <c r="H7427" i="43" s="1"/>
  <c r="H7428" i="43" s="1"/>
  <c r="R7413" i="43" s="1"/>
  <c r="G7406" i="43"/>
  <c r="H7406" i="43" s="1"/>
  <c r="H7407" i="43" s="1"/>
  <c r="H7408" i="43" s="1"/>
  <c r="H7409" i="43" s="1"/>
  <c r="H7410" i="43" s="1"/>
  <c r="R7395" i="43" s="1"/>
  <c r="G7272" i="43"/>
  <c r="H7272" i="43" s="1"/>
  <c r="H7273" i="43" s="1"/>
  <c r="H7274" i="43" s="1"/>
  <c r="H7275" i="43" s="1"/>
  <c r="H7276" i="43" s="1"/>
  <c r="R7262" i="43" s="1"/>
  <c r="G7255" i="43"/>
  <c r="H7255" i="43" s="1"/>
  <c r="H7256" i="43" s="1"/>
  <c r="H7257" i="43" s="1"/>
  <c r="H7258" i="43" s="1"/>
  <c r="H7259" i="43" s="1"/>
  <c r="R7245" i="43" s="1"/>
  <c r="G7238" i="43"/>
  <c r="H7238" i="43" s="1"/>
  <c r="H7239" i="43" s="1"/>
  <c r="H7240" i="43" s="1"/>
  <c r="H7241" i="43" s="1"/>
  <c r="H7242" i="43" s="1"/>
  <c r="R7228" i="43" s="1"/>
  <c r="G7105" i="43"/>
  <c r="H7105" i="43" s="1"/>
  <c r="H7106" i="43" s="1"/>
  <c r="H7107" i="43" s="1"/>
  <c r="H7108" i="43" s="1"/>
  <c r="H7109" i="43" s="1"/>
  <c r="R7095" i="43" s="1"/>
  <c r="G7088" i="43"/>
  <c r="H7088" i="43" s="1"/>
  <c r="H7089" i="43" s="1"/>
  <c r="H7090" i="43" s="1"/>
  <c r="H7091" i="43" s="1"/>
  <c r="H7092" i="43" s="1"/>
  <c r="R7078" i="43" s="1"/>
  <c r="G7071" i="43"/>
  <c r="H7071" i="43" s="1"/>
  <c r="H7072" i="43" s="1"/>
  <c r="H7073" i="43" s="1"/>
  <c r="H7074" i="43" s="1"/>
  <c r="H7075" i="43" s="1"/>
  <c r="R7061" i="43" s="1"/>
  <c r="G7054" i="43"/>
  <c r="H7054" i="43" s="1"/>
  <c r="H7055" i="43" s="1"/>
  <c r="H7056" i="43" s="1"/>
  <c r="H7057" i="43" s="1"/>
  <c r="H7058" i="43" s="1"/>
  <c r="R7044" i="43" s="1"/>
  <c r="G7036" i="43"/>
  <c r="H7036" i="43" s="1"/>
  <c r="H7037" i="43" s="1"/>
  <c r="H7038" i="43" s="1"/>
  <c r="H7039" i="43" s="1"/>
  <c r="H7040" i="43" s="1"/>
  <c r="R7026" i="43" s="1"/>
  <c r="G6871" i="43"/>
  <c r="H6871" i="43" s="1"/>
  <c r="H6872" i="43" s="1"/>
  <c r="H6873" i="43" s="1"/>
  <c r="H6874" i="43" s="1"/>
  <c r="H6875" i="43" s="1"/>
  <c r="R6859" i="43" s="1"/>
  <c r="G6853" i="43"/>
  <c r="H6853" i="43" s="1"/>
  <c r="H6854" i="43" s="1"/>
  <c r="H6855" i="43" s="1"/>
  <c r="H6856" i="43" s="1"/>
  <c r="H6857" i="43" s="1"/>
  <c r="R6842" i="43" s="1"/>
  <c r="G6835" i="43"/>
  <c r="H6835" i="43" s="1"/>
  <c r="H6836" i="43" s="1"/>
  <c r="H6837" i="43" s="1"/>
  <c r="H6838" i="43" s="1"/>
  <c r="H6839" i="43" s="1"/>
  <c r="R6824" i="43" s="1"/>
  <c r="G6817" i="43"/>
  <c r="H6817" i="43" s="1"/>
  <c r="H6818" i="43" s="1"/>
  <c r="H6819" i="43" s="1"/>
  <c r="H6820" i="43" s="1"/>
  <c r="H6821" i="43" s="1"/>
  <c r="R6806" i="43" s="1"/>
  <c r="G6799" i="43"/>
  <c r="H6799" i="43" s="1"/>
  <c r="H6800" i="43" s="1"/>
  <c r="H6801" i="43" s="1"/>
  <c r="H6802" i="43" s="1"/>
  <c r="H6803" i="43" s="1"/>
  <c r="R6787" i="43" s="1"/>
  <c r="G6780" i="43"/>
  <c r="H6780" i="43" s="1"/>
  <c r="H6781" i="43" s="1"/>
  <c r="H6782" i="43" s="1"/>
  <c r="H6783" i="43" s="1"/>
  <c r="H6784" i="43" s="1"/>
  <c r="R6769" i="43" s="1"/>
  <c r="G6762" i="43"/>
  <c r="H6762" i="43" s="1"/>
  <c r="H6763" i="43" s="1"/>
  <c r="H6764" i="43" s="1"/>
  <c r="H6765" i="43" s="1"/>
  <c r="H6766" i="43" s="1"/>
  <c r="R6751" i="43" s="1"/>
  <c r="G6745" i="43"/>
  <c r="H6745" i="43" s="1"/>
  <c r="H6746" i="43" s="1"/>
  <c r="H6747" i="43" s="1"/>
  <c r="H6748" i="43" s="1"/>
  <c r="H6749" i="43" s="1"/>
  <c r="R6733" i="43" s="1"/>
  <c r="G6726" i="43"/>
  <c r="H6726" i="43" s="1"/>
  <c r="H6727" i="43" s="1"/>
  <c r="H6728" i="43" s="1"/>
  <c r="H6729" i="43" s="1"/>
  <c r="H6730" i="43" s="1"/>
  <c r="R6715" i="43" s="1"/>
  <c r="G6642" i="43"/>
  <c r="H6642" i="43" s="1"/>
  <c r="H6643" i="43" s="1"/>
  <c r="H6644" i="43" s="1"/>
  <c r="H6645" i="43" s="1"/>
  <c r="H6646" i="43" s="1"/>
  <c r="R6624" i="43" s="1"/>
  <c r="G6587" i="43"/>
  <c r="H6587" i="43" s="1"/>
  <c r="H6588" i="43" s="1"/>
  <c r="H6589" i="43" s="1"/>
  <c r="H6590" i="43" s="1"/>
  <c r="H6591" i="43" s="1"/>
  <c r="R6569" i="43" s="1"/>
  <c r="G6532" i="43"/>
  <c r="H6532" i="43" s="1"/>
  <c r="H6533" i="43" s="1"/>
  <c r="H6534" i="43" s="1"/>
  <c r="H6535" i="43" s="1"/>
  <c r="H6536" i="43" s="1"/>
  <c r="R6514" i="43" s="1"/>
  <c r="G6477" i="43"/>
  <c r="H6477" i="43" s="1"/>
  <c r="H6478" i="43" s="1"/>
  <c r="H6479" i="43" s="1"/>
  <c r="H6480" i="43" s="1"/>
  <c r="H6481" i="43" s="1"/>
  <c r="R6459" i="43" s="1"/>
  <c r="G6422" i="43"/>
  <c r="H6422" i="43" s="1"/>
  <c r="H6423" i="43" s="1"/>
  <c r="H6424" i="43" s="1"/>
  <c r="H6425" i="43" s="1"/>
  <c r="H6426" i="43" s="1"/>
  <c r="R6404" i="43" s="1"/>
  <c r="G6333" i="43"/>
  <c r="H6333" i="43" s="1"/>
  <c r="G6309" i="43"/>
  <c r="H6309" i="43" s="1"/>
  <c r="H6313" i="43" s="1"/>
  <c r="H6316" i="43" s="1"/>
  <c r="H6317" i="43" s="1"/>
  <c r="H6318" i="43" s="1"/>
  <c r="R6300" i="43" s="1"/>
  <c r="G6285" i="43"/>
  <c r="H6285" i="43" s="1"/>
  <c r="H6289" i="43" s="1"/>
  <c r="H6292" i="43" s="1"/>
  <c r="H6293" i="43" s="1"/>
  <c r="H6294" i="43" s="1"/>
  <c r="R6276" i="43" s="1"/>
  <c r="G814" i="43"/>
  <c r="H814" i="43" s="1"/>
  <c r="H815" i="43" s="1"/>
  <c r="H819" i="43" s="1"/>
  <c r="H820" i="43" s="1"/>
  <c r="H821" i="43" s="1"/>
  <c r="R807" i="43" s="1"/>
  <c r="G6234" i="43"/>
  <c r="H6234" i="43" s="1"/>
  <c r="H6240" i="43" s="1"/>
  <c r="H6243" i="43" s="1"/>
  <c r="H6244" i="43" s="1"/>
  <c r="H6245" i="43" s="1"/>
  <c r="R6226" i="43" s="1"/>
  <c r="G6209" i="43"/>
  <c r="H6209" i="43" s="1"/>
  <c r="H6215" i="43" s="1"/>
  <c r="H6218" i="43" s="1"/>
  <c r="H6219" i="43" s="1"/>
  <c r="H6220" i="43" s="1"/>
  <c r="R6201" i="43" s="1"/>
  <c r="G6184" i="43"/>
  <c r="H6184" i="43" s="1"/>
  <c r="H6190" i="43" s="1"/>
  <c r="H6193" i="43" s="1"/>
  <c r="H6194" i="43" s="1"/>
  <c r="H6195" i="43" s="1"/>
  <c r="R6176" i="43" s="1"/>
  <c r="G6159" i="43"/>
  <c r="H6159" i="43" s="1"/>
  <c r="H6165" i="43" s="1"/>
  <c r="H6168" i="43" s="1"/>
  <c r="H6169" i="43" s="1"/>
  <c r="H6170" i="43" s="1"/>
  <c r="R6151" i="43" s="1"/>
  <c r="G6134" i="43"/>
  <c r="H6134" i="43" s="1"/>
  <c r="H6140" i="43" s="1"/>
  <c r="H6143" i="43" s="1"/>
  <c r="H6144" i="43" s="1"/>
  <c r="H6145" i="43" s="1"/>
  <c r="R6126" i="43" s="1"/>
  <c r="G6108" i="43"/>
  <c r="H6108" i="43" s="1"/>
  <c r="H6114" i="43" s="1"/>
  <c r="H6117" i="43" s="1"/>
  <c r="H6118" i="43" s="1"/>
  <c r="H6119" i="43" s="1"/>
  <c r="R6100" i="43" s="1"/>
  <c r="G6083" i="43"/>
  <c r="H6083" i="43" s="1"/>
  <c r="H6089" i="43" s="1"/>
  <c r="H6092" i="43" s="1"/>
  <c r="H6093" i="43" s="1"/>
  <c r="H6094" i="43" s="1"/>
  <c r="R6075" i="43" s="1"/>
  <c r="G6058" i="43"/>
  <c r="H6058" i="43" s="1"/>
  <c r="H6064" i="43" s="1"/>
  <c r="H6067" i="43" s="1"/>
  <c r="H6068" i="43" s="1"/>
  <c r="H6069" i="43" s="1"/>
  <c r="R6050" i="43" s="1"/>
  <c r="G6033" i="43"/>
  <c r="H6033" i="43" s="1"/>
  <c r="H6039" i="43" s="1"/>
  <c r="H6042" i="43" s="1"/>
  <c r="H6043" i="43" s="1"/>
  <c r="H6044" i="43" s="1"/>
  <c r="R6025" i="43" s="1"/>
  <c r="G6008" i="43"/>
  <c r="H6008" i="43" s="1"/>
  <c r="H6014" i="43" s="1"/>
  <c r="H6017" i="43" s="1"/>
  <c r="H6018" i="43" s="1"/>
  <c r="H6019" i="43" s="1"/>
  <c r="R6000" i="43" s="1"/>
  <c r="G5983" i="43"/>
  <c r="H5983" i="43" s="1"/>
  <c r="H5989" i="43" s="1"/>
  <c r="H5992" i="43" s="1"/>
  <c r="H5993" i="43" s="1"/>
  <c r="H5994" i="43" s="1"/>
  <c r="R5975" i="43" s="1"/>
  <c r="G5958" i="43"/>
  <c r="H5958" i="43" s="1"/>
  <c r="H5964" i="43" s="1"/>
  <c r="H5967" i="43" s="1"/>
  <c r="H5968" i="43" s="1"/>
  <c r="H5969" i="43" s="1"/>
  <c r="R5950" i="43" s="1"/>
  <c r="G5933" i="43"/>
  <c r="H5933" i="43" s="1"/>
  <c r="H5939" i="43" s="1"/>
  <c r="H5942" i="43" s="1"/>
  <c r="H5943" i="43" s="1"/>
  <c r="H5944" i="43" s="1"/>
  <c r="R5925" i="43" s="1"/>
  <c r="G5908" i="43"/>
  <c r="H5908" i="43" s="1"/>
  <c r="H5914" i="43" s="1"/>
  <c r="H5917" i="43" s="1"/>
  <c r="H5918" i="43" s="1"/>
  <c r="H5919" i="43" s="1"/>
  <c r="R5900" i="43" s="1"/>
  <c r="G5883" i="43"/>
  <c r="H5883" i="43" s="1"/>
  <c r="H5889" i="43" s="1"/>
  <c r="H5892" i="43" s="1"/>
  <c r="H5893" i="43" s="1"/>
  <c r="H5894" i="43" s="1"/>
  <c r="R5875" i="43" s="1"/>
  <c r="G5858" i="43"/>
  <c r="H5858" i="43" s="1"/>
  <c r="H5864" i="43" s="1"/>
  <c r="H5867" i="43" s="1"/>
  <c r="H5868" i="43" s="1"/>
  <c r="H5869" i="43" s="1"/>
  <c r="R5850" i="43" s="1"/>
  <c r="G5833" i="43"/>
  <c r="H5833" i="43" s="1"/>
  <c r="H5839" i="43" s="1"/>
  <c r="H5842" i="43" s="1"/>
  <c r="H5843" i="43" s="1"/>
  <c r="H5844" i="43" s="1"/>
  <c r="R5825" i="43" s="1"/>
  <c r="G5808" i="43"/>
  <c r="H5808" i="43" s="1"/>
  <c r="H5814" i="43" s="1"/>
  <c r="H5817" i="43" s="1"/>
  <c r="H5818" i="43" s="1"/>
  <c r="H5819" i="43" s="1"/>
  <c r="R5800" i="43" s="1"/>
  <c r="G5783" i="43"/>
  <c r="H5783" i="43" s="1"/>
  <c r="H5789" i="43" s="1"/>
  <c r="H5792" i="43" s="1"/>
  <c r="H5793" i="43" s="1"/>
  <c r="H5794" i="43" s="1"/>
  <c r="R5775" i="43" s="1"/>
  <c r="G5758" i="43"/>
  <c r="H5758" i="43" s="1"/>
  <c r="H5764" i="43" s="1"/>
  <c r="H5767" i="43" s="1"/>
  <c r="H5768" i="43" s="1"/>
  <c r="H5769" i="43" s="1"/>
  <c r="R5750" i="43" s="1"/>
  <c r="G5733" i="43"/>
  <c r="H5733" i="43" s="1"/>
  <c r="H5739" i="43" s="1"/>
  <c r="H5742" i="43" s="1"/>
  <c r="H5743" i="43" s="1"/>
  <c r="H5744" i="43" s="1"/>
  <c r="R5725" i="43" s="1"/>
  <c r="G5708" i="43"/>
  <c r="H5708" i="43" s="1"/>
  <c r="H5714" i="43" s="1"/>
  <c r="H5717" i="43" s="1"/>
  <c r="H5718" i="43" s="1"/>
  <c r="H5719" i="43" s="1"/>
  <c r="R5700" i="43" s="1"/>
  <c r="G5683" i="43"/>
  <c r="H5683" i="43" s="1"/>
  <c r="H5689" i="43" s="1"/>
  <c r="H5692" i="43" s="1"/>
  <c r="H5693" i="43" s="1"/>
  <c r="H5694" i="43" s="1"/>
  <c r="R5675" i="43" s="1"/>
  <c r="G5658" i="43"/>
  <c r="H5658" i="43" s="1"/>
  <c r="G5632" i="43"/>
  <c r="H5632" i="43" s="1"/>
  <c r="H5638" i="43" s="1"/>
  <c r="H5641" i="43" s="1"/>
  <c r="H5642" i="43" s="1"/>
  <c r="H5643" i="43" s="1"/>
  <c r="R5624" i="43" s="1"/>
  <c r="G5607" i="43"/>
  <c r="H5607" i="43" s="1"/>
  <c r="H5613" i="43" s="1"/>
  <c r="H5616" i="43" s="1"/>
  <c r="H5617" i="43" s="1"/>
  <c r="H5618" i="43" s="1"/>
  <c r="R5599" i="43" s="1"/>
  <c r="G5582" i="43"/>
  <c r="H5582" i="43" s="1"/>
  <c r="H5588" i="43" s="1"/>
  <c r="H5591" i="43" s="1"/>
  <c r="H5592" i="43" s="1"/>
  <c r="H5593" i="43" s="1"/>
  <c r="R5574" i="43" s="1"/>
  <c r="G5532" i="43"/>
  <c r="H5532" i="43" s="1"/>
  <c r="H5538" i="43" s="1"/>
  <c r="H5541" i="43" s="1"/>
  <c r="H5542" i="43" s="1"/>
  <c r="H5543" i="43" s="1"/>
  <c r="R5524" i="43" s="1"/>
  <c r="G5557" i="43"/>
  <c r="H5557" i="43" s="1"/>
  <c r="H5563" i="43" s="1"/>
  <c r="H5566" i="43" s="1"/>
  <c r="H5567" i="43" s="1"/>
  <c r="H5568" i="43" s="1"/>
  <c r="R5549" i="43" s="1"/>
  <c r="G5507" i="43"/>
  <c r="H5507" i="43" s="1"/>
  <c r="H5513" i="43" s="1"/>
  <c r="H5516" i="43" s="1"/>
  <c r="H5517" i="43" s="1"/>
  <c r="H5518" i="43" s="1"/>
  <c r="R5499" i="43" s="1"/>
  <c r="G5482" i="43"/>
  <c r="H5482" i="43" s="1"/>
  <c r="H5488" i="43" s="1"/>
  <c r="H5491" i="43" s="1"/>
  <c r="H5492" i="43" s="1"/>
  <c r="H5493" i="43" s="1"/>
  <c r="R5474" i="43" s="1"/>
  <c r="G5457" i="43"/>
  <c r="H5457" i="43" s="1"/>
  <c r="H5463" i="43" s="1"/>
  <c r="H5466" i="43" s="1"/>
  <c r="H5467" i="43" s="1"/>
  <c r="H5468" i="43" s="1"/>
  <c r="R5449" i="43" s="1"/>
  <c r="G5432" i="43"/>
  <c r="H5432" i="43" s="1"/>
  <c r="H5438" i="43" s="1"/>
  <c r="H5441" i="43" s="1"/>
  <c r="H5442" i="43" s="1"/>
  <c r="H5443" i="43" s="1"/>
  <c r="R5424" i="43" s="1"/>
  <c r="G5407" i="43"/>
  <c r="H5407" i="43" s="1"/>
  <c r="H5413" i="43" s="1"/>
  <c r="H5416" i="43" s="1"/>
  <c r="H5417" i="43" s="1"/>
  <c r="H5418" i="43" s="1"/>
  <c r="R5399" i="43" s="1"/>
  <c r="G5382" i="43"/>
  <c r="H5382" i="43" s="1"/>
  <c r="H5388" i="43" s="1"/>
  <c r="H5391" i="43" s="1"/>
  <c r="H5392" i="43" s="1"/>
  <c r="H5393" i="43" s="1"/>
  <c r="R5374" i="43" s="1"/>
  <c r="G5332" i="43"/>
  <c r="H5332" i="43" s="1"/>
  <c r="H5338" i="43" s="1"/>
  <c r="H5341" i="43" s="1"/>
  <c r="H5342" i="43" s="1"/>
  <c r="H5343" i="43" s="1"/>
  <c r="R5324" i="43" s="1"/>
  <c r="G5357" i="43"/>
  <c r="H5357" i="43" s="1"/>
  <c r="H5363" i="43" s="1"/>
  <c r="H5366" i="43" s="1"/>
  <c r="H5367" i="43" s="1"/>
  <c r="H5368" i="43" s="1"/>
  <c r="R5349" i="43" s="1"/>
  <c r="G5307" i="43"/>
  <c r="H5307" i="43" s="1"/>
  <c r="H5313" i="43" s="1"/>
  <c r="H5316" i="43" s="1"/>
  <c r="H5317" i="43" s="1"/>
  <c r="H5318" i="43" s="1"/>
  <c r="R5299" i="43" s="1"/>
  <c r="G5282" i="43"/>
  <c r="H5282" i="43" s="1"/>
  <c r="H5288" i="43" s="1"/>
  <c r="H5291" i="43" s="1"/>
  <c r="H5292" i="43" s="1"/>
  <c r="H5293" i="43" s="1"/>
  <c r="R5274" i="43" s="1"/>
  <c r="G5257" i="43"/>
  <c r="H5257" i="43" s="1"/>
  <c r="H5263" i="43" s="1"/>
  <c r="H5266" i="43" s="1"/>
  <c r="H5267" i="43" s="1"/>
  <c r="H5268" i="43" s="1"/>
  <c r="R5249" i="43" s="1"/>
  <c r="G5207" i="43"/>
  <c r="H5207" i="43" s="1"/>
  <c r="H5213" i="43" s="1"/>
  <c r="H5216" i="43" s="1"/>
  <c r="H5217" i="43" s="1"/>
  <c r="H5218" i="43" s="1"/>
  <c r="R5199" i="43" s="1"/>
  <c r="G5232" i="43"/>
  <c r="H5232" i="43" s="1"/>
  <c r="H5238" i="43" s="1"/>
  <c r="H5241" i="43" s="1"/>
  <c r="H5242" i="43" s="1"/>
  <c r="H5243" i="43" s="1"/>
  <c r="R5224" i="43" s="1"/>
  <c r="G5182" i="43"/>
  <c r="H5182" i="43" s="1"/>
  <c r="H5188" i="43" s="1"/>
  <c r="H5191" i="43" s="1"/>
  <c r="H5192" i="43" s="1"/>
  <c r="H5193" i="43" s="1"/>
  <c r="R5174" i="43" s="1"/>
  <c r="G5132" i="43"/>
  <c r="H5132" i="43" s="1"/>
  <c r="H5138" i="43" s="1"/>
  <c r="H5141" i="43" s="1"/>
  <c r="H5142" i="43" s="1"/>
  <c r="H5143" i="43" s="1"/>
  <c r="R5124" i="43" s="1"/>
  <c r="G5157" i="43"/>
  <c r="H5157" i="43" s="1"/>
  <c r="H5163" i="43" s="1"/>
  <c r="H5166" i="43" s="1"/>
  <c r="H5167" i="43" s="1"/>
  <c r="H5168" i="43" s="1"/>
  <c r="R5149" i="43" s="1"/>
  <c r="G5107" i="43"/>
  <c r="H5107" i="43" s="1"/>
  <c r="H5113" i="43" s="1"/>
  <c r="H5116" i="43" s="1"/>
  <c r="H5117" i="43" s="1"/>
  <c r="H5118" i="43" s="1"/>
  <c r="R5099" i="43" s="1"/>
  <c r="G5081" i="43"/>
  <c r="H5081" i="43" s="1"/>
  <c r="H5087" i="43" s="1"/>
  <c r="H5090" i="43" s="1"/>
  <c r="H5091" i="43" s="1"/>
  <c r="H5092" i="43" s="1"/>
  <c r="R5073" i="43" s="1"/>
  <c r="G5056" i="43"/>
  <c r="H5056" i="43" s="1"/>
  <c r="H5062" i="43" s="1"/>
  <c r="H5065" i="43" s="1"/>
  <c r="H5066" i="43" s="1"/>
  <c r="H5067" i="43" s="1"/>
  <c r="R5048" i="43" s="1"/>
  <c r="G5031" i="43"/>
  <c r="H5031" i="43" s="1"/>
  <c r="H5037" i="43" s="1"/>
  <c r="H5040" i="43" s="1"/>
  <c r="H5041" i="43" s="1"/>
  <c r="H5042" i="43" s="1"/>
  <c r="R5023" i="43" s="1"/>
  <c r="G5006" i="43"/>
  <c r="H5006" i="43" s="1"/>
  <c r="H5012" i="43" s="1"/>
  <c r="H5015" i="43" s="1"/>
  <c r="H5016" i="43" s="1"/>
  <c r="H5017" i="43" s="1"/>
  <c r="R4998" i="43" s="1"/>
  <c r="G4980" i="43"/>
  <c r="H4980" i="43" s="1"/>
  <c r="H4986" i="43" s="1"/>
  <c r="H4989" i="43" s="1"/>
  <c r="H4990" i="43" s="1"/>
  <c r="H4991" i="43" s="1"/>
  <c r="R4972" i="43" s="1"/>
  <c r="G4955" i="43"/>
  <c r="H4955" i="43" s="1"/>
  <c r="H4961" i="43" s="1"/>
  <c r="H4964" i="43" s="1"/>
  <c r="H4965" i="43" s="1"/>
  <c r="H4966" i="43" s="1"/>
  <c r="R4947" i="43" s="1"/>
  <c r="G4930" i="43"/>
  <c r="H4930" i="43" s="1"/>
  <c r="H4936" i="43" s="1"/>
  <c r="H4939" i="43" s="1"/>
  <c r="H4940" i="43" s="1"/>
  <c r="H4941" i="43" s="1"/>
  <c r="R4922" i="43" s="1"/>
  <c r="G4905" i="43"/>
  <c r="H4905" i="43" s="1"/>
  <c r="H4911" i="43" s="1"/>
  <c r="H4914" i="43" s="1"/>
  <c r="H4915" i="43" s="1"/>
  <c r="H4916" i="43" s="1"/>
  <c r="R4897" i="43" s="1"/>
  <c r="G4880" i="43"/>
  <c r="H4880" i="43" s="1"/>
  <c r="H4886" i="43" s="1"/>
  <c r="H4889" i="43" s="1"/>
  <c r="H4890" i="43" s="1"/>
  <c r="H4891" i="43" s="1"/>
  <c r="R4872" i="43" s="1"/>
  <c r="G4855" i="43"/>
  <c r="H4855" i="43" s="1"/>
  <c r="H4861" i="43" s="1"/>
  <c r="H4864" i="43" s="1"/>
  <c r="H4865" i="43" s="1"/>
  <c r="H4866" i="43" s="1"/>
  <c r="R4847" i="43" s="1"/>
  <c r="G4830" i="43"/>
  <c r="H4830" i="43" s="1"/>
  <c r="H4836" i="43" s="1"/>
  <c r="H4839" i="43" s="1"/>
  <c r="H4840" i="43" s="1"/>
  <c r="H4841" i="43" s="1"/>
  <c r="R4822" i="43" s="1"/>
  <c r="G4805" i="43"/>
  <c r="H4805" i="43" s="1"/>
  <c r="H4811" i="43" s="1"/>
  <c r="H4814" i="43" s="1"/>
  <c r="H4815" i="43" s="1"/>
  <c r="H4816" i="43" s="1"/>
  <c r="R4797" i="43" s="1"/>
  <c r="G4780" i="43"/>
  <c r="H4780" i="43" s="1"/>
  <c r="H4786" i="43" s="1"/>
  <c r="H4789" i="43" s="1"/>
  <c r="H4790" i="43" s="1"/>
  <c r="H4791" i="43" s="1"/>
  <c r="R4772" i="43" s="1"/>
  <c r="G4755" i="43"/>
  <c r="H4755" i="43" s="1"/>
  <c r="H4761" i="43" s="1"/>
  <c r="H4764" i="43" s="1"/>
  <c r="H4765" i="43" s="1"/>
  <c r="H4766" i="43" s="1"/>
  <c r="R4747" i="43" s="1"/>
  <c r="G4730" i="43"/>
  <c r="H4730" i="43" s="1"/>
  <c r="H4736" i="43" s="1"/>
  <c r="H4739" i="43" s="1"/>
  <c r="H4740" i="43" s="1"/>
  <c r="H4741" i="43" s="1"/>
  <c r="R4722" i="43" s="1"/>
  <c r="G4705" i="43"/>
  <c r="H4705" i="43" s="1"/>
  <c r="H4711" i="43" s="1"/>
  <c r="H4714" i="43" s="1"/>
  <c r="H4715" i="43" s="1"/>
  <c r="H4716" i="43" s="1"/>
  <c r="R4697" i="43" s="1"/>
  <c r="G4680" i="43"/>
  <c r="H4680" i="43" s="1"/>
  <c r="G4655" i="43"/>
  <c r="H4655" i="43" s="1"/>
  <c r="H4661" i="43" s="1"/>
  <c r="H4664" i="43" s="1"/>
  <c r="G4635" i="43"/>
  <c r="H4635" i="43" s="1"/>
  <c r="H4636" i="43" s="1"/>
  <c r="G4624" i="43"/>
  <c r="H4624" i="43" s="1"/>
  <c r="H4633" i="43" s="1"/>
  <c r="G4605" i="43"/>
  <c r="H4605" i="43" s="1"/>
  <c r="H4606" i="43" s="1"/>
  <c r="G4594" i="43"/>
  <c r="H4594" i="43" s="1"/>
  <c r="H4603" i="43" s="1"/>
  <c r="G4575" i="43"/>
  <c r="H4575" i="43" s="1"/>
  <c r="H4576" i="43" s="1"/>
  <c r="G4564" i="43"/>
  <c r="H4564" i="43" s="1"/>
  <c r="H4573" i="43" s="1"/>
  <c r="G4545" i="43"/>
  <c r="H4545" i="43" s="1"/>
  <c r="H4546" i="43" s="1"/>
  <c r="G4534" i="43"/>
  <c r="H4534" i="43" s="1"/>
  <c r="H4543" i="43" s="1"/>
  <c r="G4515" i="43"/>
  <c r="H4515" i="43" s="1"/>
  <c r="H4516" i="43" s="1"/>
  <c r="G4504" i="43"/>
  <c r="H4504" i="43" s="1"/>
  <c r="H4513" i="43" s="1"/>
  <c r="G4484" i="43"/>
  <c r="H4484" i="43" s="1"/>
  <c r="H4485" i="43" s="1"/>
  <c r="G4473" i="43"/>
  <c r="H4473" i="43" s="1"/>
  <c r="H4482" i="43" s="1"/>
  <c r="G4454" i="43"/>
  <c r="H4454" i="43" s="1"/>
  <c r="H4455" i="43" s="1"/>
  <c r="G4443" i="43"/>
  <c r="H4443" i="43" s="1"/>
  <c r="H4452" i="43" s="1"/>
  <c r="G4424" i="43"/>
  <c r="H4424" i="43" s="1"/>
  <c r="H4425" i="43" s="1"/>
  <c r="G4413" i="43"/>
  <c r="H4413" i="43" s="1"/>
  <c r="H4422" i="43" s="1"/>
  <c r="G4394" i="43"/>
  <c r="H4394" i="43" s="1"/>
  <c r="H4395" i="43" s="1"/>
  <c r="G4383" i="43"/>
  <c r="H4383" i="43" s="1"/>
  <c r="H4392" i="43" s="1"/>
  <c r="G4364" i="43"/>
  <c r="H4364" i="43" s="1"/>
  <c r="H4365" i="43" s="1"/>
  <c r="G4333" i="43"/>
  <c r="H4333" i="43" s="1"/>
  <c r="H4334" i="43" s="1"/>
  <c r="G4303" i="43"/>
  <c r="H4303" i="43" s="1"/>
  <c r="H4304" i="43" s="1"/>
  <c r="G4273" i="43"/>
  <c r="H4273" i="43" s="1"/>
  <c r="H4274" i="43" s="1"/>
  <c r="G4243" i="43"/>
  <c r="H4243" i="43" s="1"/>
  <c r="H4244" i="43" s="1"/>
  <c r="G4213" i="43"/>
  <c r="H4213" i="43" s="1"/>
  <c r="H4214" i="43" s="1"/>
  <c r="G4182" i="43"/>
  <c r="H4182" i="43" s="1"/>
  <c r="H4183" i="43" s="1"/>
  <c r="H4184" i="43" s="1"/>
  <c r="H4185" i="43" s="1"/>
  <c r="H4186" i="43" s="1"/>
  <c r="R4162" i="43" s="1"/>
  <c r="G4152" i="43"/>
  <c r="H4152" i="43" s="1"/>
  <c r="H4153" i="43" s="1"/>
  <c r="H4154" i="43" s="1"/>
  <c r="H4155" i="43" s="1"/>
  <c r="H4156" i="43" s="1"/>
  <c r="R4132" i="43" s="1"/>
  <c r="G4122" i="43"/>
  <c r="H4122" i="43" s="1"/>
  <c r="H4123" i="43" s="1"/>
  <c r="H4124" i="43" s="1"/>
  <c r="H4125" i="43" s="1"/>
  <c r="H4126" i="43" s="1"/>
  <c r="R4102" i="43" s="1"/>
  <c r="G4092" i="43"/>
  <c r="H4092" i="43" s="1"/>
  <c r="H4093" i="43" s="1"/>
  <c r="H4094" i="43" s="1"/>
  <c r="H4095" i="43" s="1"/>
  <c r="H4096" i="43" s="1"/>
  <c r="R4072" i="43" s="1"/>
  <c r="G4062" i="43"/>
  <c r="H4062" i="43" s="1"/>
  <c r="H4063" i="43" s="1"/>
  <c r="H4064" i="43" s="1"/>
  <c r="H4065" i="43" s="1"/>
  <c r="H4066" i="43" s="1"/>
  <c r="R4042" i="43" s="1"/>
  <c r="G4353" i="43"/>
  <c r="H4353" i="43" s="1"/>
  <c r="G4322" i="43"/>
  <c r="H4322" i="43" s="1"/>
  <c r="H4331" i="43" s="1"/>
  <c r="G4292" i="43"/>
  <c r="H4292" i="43" s="1"/>
  <c r="H4301" i="43" s="1"/>
  <c r="G4262" i="43"/>
  <c r="H4262" i="43" s="1"/>
  <c r="H4271" i="43" s="1"/>
  <c r="G4232" i="43"/>
  <c r="H4232" i="43" s="1"/>
  <c r="H4241" i="43" s="1"/>
  <c r="G4202" i="43"/>
  <c r="H4202" i="43" s="1"/>
  <c r="H4211" i="43" s="1"/>
  <c r="G4021" i="43"/>
  <c r="H4021" i="43" s="1"/>
  <c r="H4030" i="43" s="1"/>
  <c r="H4033" i="43" s="1"/>
  <c r="H4034" i="43" s="1"/>
  <c r="H4035" i="43" s="1"/>
  <c r="R4012" i="43" s="1"/>
  <c r="G3992" i="43"/>
  <c r="H3992" i="43" s="1"/>
  <c r="H4001" i="43" s="1"/>
  <c r="H4004" i="43" s="1"/>
  <c r="H4005" i="43" s="1"/>
  <c r="H4006" i="43" s="1"/>
  <c r="R3983" i="43" s="1"/>
  <c r="G3963" i="43"/>
  <c r="H3963" i="43" s="1"/>
  <c r="H3972" i="43" s="1"/>
  <c r="H3975" i="43" s="1"/>
  <c r="H3976" i="43" s="1"/>
  <c r="H3977" i="43" s="1"/>
  <c r="R3954" i="43" s="1"/>
  <c r="G3905" i="43"/>
  <c r="H3905" i="43" s="1"/>
  <c r="H3914" i="43" s="1"/>
  <c r="H3917" i="43" s="1"/>
  <c r="H3918" i="43" s="1"/>
  <c r="H3919" i="43" s="1"/>
  <c r="R3896" i="43" s="1"/>
  <c r="G3847" i="43"/>
  <c r="H3847" i="43" s="1"/>
  <c r="H3856" i="43" s="1"/>
  <c r="H3859" i="43" s="1"/>
  <c r="H3860" i="43" s="1"/>
  <c r="H3861" i="43" s="1"/>
  <c r="R3838" i="43" s="1"/>
  <c r="E954" i="27" s="1"/>
  <c r="G3876" i="43"/>
  <c r="H3876" i="43" s="1"/>
  <c r="H3885" i="43" s="1"/>
  <c r="H3888" i="43" s="1"/>
  <c r="H3889" i="43" s="1"/>
  <c r="H3890" i="43" s="1"/>
  <c r="R3867" i="43" s="1"/>
  <c r="G3643" i="43"/>
  <c r="H3643" i="43" s="1"/>
  <c r="H3652" i="43" s="1"/>
  <c r="H3655" i="43" s="1"/>
  <c r="H3656" i="43" s="1"/>
  <c r="H3657" i="43" s="1"/>
  <c r="R3634" i="43" s="1"/>
  <c r="G3620" i="43"/>
  <c r="H3620" i="43" s="1"/>
  <c r="H3621" i="43" s="1"/>
  <c r="G3609" i="43"/>
  <c r="H3609" i="43" s="1"/>
  <c r="H3618" i="43" s="1"/>
  <c r="G3590" i="43"/>
  <c r="H3590" i="43" s="1"/>
  <c r="H3591" i="43" s="1"/>
  <c r="G3579" i="43"/>
  <c r="H3579" i="43" s="1"/>
  <c r="H3588" i="43" s="1"/>
  <c r="G3560" i="43"/>
  <c r="H3560" i="43" s="1"/>
  <c r="H3561" i="43" s="1"/>
  <c r="G3549" i="43"/>
  <c r="H3549" i="43" s="1"/>
  <c r="H3558" i="43" s="1"/>
  <c r="G3530" i="43"/>
  <c r="H3530" i="43" s="1"/>
  <c r="H3531" i="43" s="1"/>
  <c r="H3532" i="43" s="1"/>
  <c r="H3533" i="43" s="1"/>
  <c r="H3534" i="43" s="1"/>
  <c r="R3510" i="43" s="1"/>
  <c r="G3500" i="43"/>
  <c r="H3500" i="43" s="1"/>
  <c r="H3501" i="43" s="1"/>
  <c r="G3489" i="43"/>
  <c r="H3489" i="43" s="1"/>
  <c r="H3498" i="43" s="1"/>
  <c r="G3470" i="43"/>
  <c r="H3470" i="43" s="1"/>
  <c r="H3471" i="43" s="1"/>
  <c r="G3459" i="43"/>
  <c r="H3459" i="43" s="1"/>
  <c r="H3468" i="43" s="1"/>
  <c r="G3440" i="43"/>
  <c r="H3440" i="43" s="1"/>
  <c r="H3441" i="43" s="1"/>
  <c r="H3442" i="43" s="1"/>
  <c r="H3443" i="43" s="1"/>
  <c r="H3444" i="43" s="1"/>
  <c r="R3420" i="43" s="1"/>
  <c r="G3409" i="43"/>
  <c r="H3409" i="43" s="1"/>
  <c r="H3410" i="43" s="1"/>
  <c r="G3398" i="43"/>
  <c r="H3398" i="43" s="1"/>
  <c r="H3407" i="43" s="1"/>
  <c r="G3379" i="43"/>
  <c r="H3379" i="43" s="1"/>
  <c r="H3380" i="43" s="1"/>
  <c r="G3368" i="43"/>
  <c r="H3368" i="43" s="1"/>
  <c r="H3377" i="43" s="1"/>
  <c r="G3349" i="43"/>
  <c r="H3349" i="43" s="1"/>
  <c r="H3350" i="43" s="1"/>
  <c r="G3338" i="43"/>
  <c r="H3338" i="43" s="1"/>
  <c r="H3347" i="43" s="1"/>
  <c r="G3319" i="43"/>
  <c r="H3319" i="43" s="1"/>
  <c r="H3320" i="43" s="1"/>
  <c r="G3308" i="43"/>
  <c r="H3308" i="43" s="1"/>
  <c r="H3317" i="43" s="1"/>
  <c r="G3289" i="43"/>
  <c r="H3289" i="43" s="1"/>
  <c r="H3290" i="43" s="1"/>
  <c r="G3278" i="43"/>
  <c r="H3278" i="43" s="1"/>
  <c r="H3287" i="43" s="1"/>
  <c r="G3259" i="43"/>
  <c r="H3259" i="43" s="1"/>
  <c r="H3260" i="43" s="1"/>
  <c r="H3261" i="43" s="1"/>
  <c r="H3262" i="43" s="1"/>
  <c r="H3263" i="43" s="1"/>
  <c r="R3239" i="43" s="1"/>
  <c r="G3229" i="43"/>
  <c r="H3229" i="43" s="1"/>
  <c r="H3230" i="43" s="1"/>
  <c r="G3221" i="43"/>
  <c r="H3221" i="43" s="1"/>
  <c r="H3227" i="43" s="1"/>
  <c r="G3198" i="43"/>
  <c r="H3198" i="43" s="1"/>
  <c r="H3199" i="43" s="1"/>
  <c r="G3187" i="43"/>
  <c r="H3187" i="43" s="1"/>
  <c r="H3196" i="43" s="1"/>
  <c r="G3168" i="43"/>
  <c r="H3168" i="43" s="1"/>
  <c r="H3169" i="43" s="1"/>
  <c r="G3157" i="43"/>
  <c r="H3157" i="43" s="1"/>
  <c r="H3166" i="43" s="1"/>
  <c r="G3138" i="43"/>
  <c r="H3138" i="43" s="1"/>
  <c r="H3139" i="43" s="1"/>
  <c r="G3127" i="43"/>
  <c r="H3127" i="43" s="1"/>
  <c r="H3136" i="43" s="1"/>
  <c r="G3108" i="43"/>
  <c r="H3108" i="43" s="1"/>
  <c r="H3109" i="43" s="1"/>
  <c r="G3097" i="43"/>
  <c r="H3097" i="43" s="1"/>
  <c r="H3106" i="43" s="1"/>
  <c r="G3078" i="43"/>
  <c r="H3078" i="43" s="1"/>
  <c r="H3079" i="43" s="1"/>
  <c r="G3067" i="43"/>
  <c r="H3067" i="43" s="1"/>
  <c r="H3076" i="43" s="1"/>
  <c r="G3048" i="43"/>
  <c r="H3048" i="43" s="1"/>
  <c r="H3049" i="43" s="1"/>
  <c r="H3050" i="43" s="1"/>
  <c r="H3051" i="43" s="1"/>
  <c r="H3052" i="43" s="1"/>
  <c r="R3028" i="43" s="1"/>
  <c r="G3018" i="43"/>
  <c r="H3018" i="43" s="1"/>
  <c r="H3019" i="43" s="1"/>
  <c r="G3007" i="43"/>
  <c r="H3007" i="43" s="1"/>
  <c r="H3016" i="43" s="1"/>
  <c r="G2988" i="43"/>
  <c r="H2988" i="43" s="1"/>
  <c r="G2947" i="43"/>
  <c r="H2947" i="43" s="1"/>
  <c r="G2918" i="43"/>
  <c r="H2918" i="43" s="1"/>
  <c r="H2927" i="43" s="1"/>
  <c r="H2930" i="43" s="1"/>
  <c r="H2931" i="43" s="1"/>
  <c r="H2932" i="43" s="1"/>
  <c r="R2909" i="43" s="1"/>
  <c r="G2889" i="43"/>
  <c r="H2889" i="43" s="1"/>
  <c r="G2860" i="43"/>
  <c r="H2860" i="43" s="1"/>
  <c r="G2802" i="43"/>
  <c r="H2802" i="43" s="1"/>
  <c r="G2773" i="43"/>
  <c r="H2773" i="43" s="1"/>
  <c r="G2744" i="43"/>
  <c r="H2744" i="43" s="1"/>
  <c r="G2715" i="43"/>
  <c r="H2715" i="43" s="1"/>
  <c r="G2685" i="43"/>
  <c r="H2685" i="43" s="1"/>
  <c r="G2656" i="43"/>
  <c r="H2656" i="43" s="1"/>
  <c r="G2598" i="43"/>
  <c r="H2598" i="43" s="1"/>
  <c r="G2569" i="43"/>
  <c r="H2569" i="43" s="1"/>
  <c r="G2572" i="43"/>
  <c r="H2572" i="43" s="1"/>
  <c r="G2539" i="43"/>
  <c r="H2539" i="43" s="1"/>
  <c r="G2510" i="43"/>
  <c r="H2510" i="43" s="1"/>
  <c r="G2481" i="43"/>
  <c r="H2481" i="43" s="1"/>
  <c r="G2452" i="43"/>
  <c r="H2452" i="43" s="1"/>
  <c r="G2423" i="43"/>
  <c r="H2423" i="43" s="1"/>
  <c r="G2365" i="43"/>
  <c r="H2365" i="43" s="1"/>
  <c r="G2336" i="43"/>
  <c r="H2336" i="43" s="1"/>
  <c r="G2307" i="43"/>
  <c r="H2307" i="43" s="1"/>
  <c r="G2278" i="43"/>
  <c r="H2278" i="43" s="1"/>
  <c r="G2249" i="43"/>
  <c r="H2249" i="43" s="1"/>
  <c r="G2220" i="43"/>
  <c r="H2220" i="43" s="1"/>
  <c r="G2191" i="43"/>
  <c r="H2191" i="43" s="1"/>
  <c r="G2162" i="43"/>
  <c r="H2162" i="43" s="1"/>
  <c r="G2133" i="43"/>
  <c r="H2133" i="43" s="1"/>
  <c r="G2104" i="43"/>
  <c r="H2104" i="43" s="1"/>
  <c r="G2046" i="43"/>
  <c r="H2046" i="43" s="1"/>
  <c r="G1784" i="43"/>
  <c r="H1784" i="43" s="1"/>
  <c r="G1729" i="43"/>
  <c r="H1729" i="43" s="1"/>
  <c r="G1726" i="43"/>
  <c r="H1726" i="43" s="1"/>
  <c r="G1668" i="43"/>
  <c r="H1668" i="43" s="1"/>
  <c r="G1640" i="43"/>
  <c r="H1640" i="43" s="1"/>
  <c r="G1612" i="43"/>
  <c r="H1612" i="43" s="1"/>
  <c r="G1584" i="43"/>
  <c r="H1584" i="43" s="1"/>
  <c r="G1556" i="43"/>
  <c r="H1556" i="43" s="1"/>
  <c r="G1528" i="43"/>
  <c r="H1528" i="43" s="1"/>
  <c r="G1500" i="43"/>
  <c r="H1500" i="43" s="1"/>
  <c r="G1472" i="43"/>
  <c r="H1472" i="43" s="1"/>
  <c r="G1443" i="43"/>
  <c r="H1443" i="43" s="1"/>
  <c r="G1415" i="43"/>
  <c r="H1415" i="43" s="1"/>
  <c r="G1387" i="43"/>
  <c r="H1387" i="43" s="1"/>
  <c r="G1359" i="43"/>
  <c r="H1359" i="43" s="1"/>
  <c r="G1217" i="43"/>
  <c r="H1217" i="43" s="1"/>
  <c r="G1049" i="43"/>
  <c r="H1049" i="43" s="1"/>
  <c r="G1021" i="43"/>
  <c r="H1021" i="43" s="1"/>
  <c r="G993" i="43"/>
  <c r="H993" i="43" s="1"/>
  <c r="G965" i="43"/>
  <c r="H965" i="43" s="1"/>
  <c r="G937" i="43"/>
  <c r="H937" i="43" s="1"/>
  <c r="G909" i="43"/>
  <c r="H909" i="43" s="1"/>
  <c r="G877" i="43"/>
  <c r="H877" i="43" s="1"/>
  <c r="H879" i="43" s="1"/>
  <c r="G884" i="43"/>
  <c r="H884" i="43" s="1"/>
  <c r="G698" i="43"/>
  <c r="H698" i="43" s="1"/>
  <c r="G639" i="43"/>
  <c r="H639" i="43" s="1"/>
  <c r="G583" i="43"/>
  <c r="H583" i="43" s="1"/>
  <c r="H584" i="43" s="1"/>
  <c r="H585" i="43" s="1"/>
  <c r="H586" i="43" s="1"/>
  <c r="H587" i="43" s="1"/>
  <c r="R573" i="43" s="1"/>
  <c r="G520" i="43"/>
  <c r="H520" i="43" s="1"/>
  <c r="G458" i="43"/>
  <c r="H458" i="43" s="1"/>
  <c r="G396" i="43"/>
  <c r="H396" i="43" s="1"/>
  <c r="G338" i="43"/>
  <c r="H338" i="43" s="1"/>
  <c r="H339" i="43" s="1"/>
  <c r="G334" i="43"/>
  <c r="H334" i="43" s="1"/>
  <c r="G273" i="43"/>
  <c r="H273" i="43" s="1"/>
  <c r="G217" i="43"/>
  <c r="H217" i="43" s="1"/>
  <c r="H218" i="43" s="1"/>
  <c r="G214" i="43"/>
  <c r="H214" i="43" s="1"/>
  <c r="G154" i="43"/>
  <c r="H154" i="43" s="1"/>
  <c r="G96" i="43"/>
  <c r="H96" i="43" s="1"/>
  <c r="H97" i="43" s="1"/>
  <c r="G93" i="43"/>
  <c r="H93" i="43" s="1"/>
  <c r="G145" i="20"/>
  <c r="H145" i="20" s="1"/>
  <c r="G53" i="20"/>
  <c r="H53" i="20" s="1"/>
  <c r="H54" i="20" s="1"/>
  <c r="H57" i="20" s="1"/>
  <c r="H58" i="20" s="1"/>
  <c r="H59" i="20" s="1"/>
  <c r="I44" i="20" s="1"/>
  <c r="G14" i="20"/>
  <c r="H14" i="20" s="1"/>
  <c r="H16" i="20" s="1"/>
  <c r="G819" i="15"/>
  <c r="H819" i="15" s="1"/>
  <c r="G818" i="15"/>
  <c r="H818" i="15" s="1"/>
  <c r="G778" i="15"/>
  <c r="H778" i="15" s="1"/>
  <c r="H779" i="15" s="1"/>
  <c r="H782" i="15" s="1"/>
  <c r="G378" i="15"/>
  <c r="H378" i="15" s="1"/>
  <c r="H381" i="15" s="1"/>
  <c r="H384" i="15" s="1"/>
  <c r="H385" i="15" s="1"/>
  <c r="H386" i="15" s="1"/>
  <c r="G360" i="15"/>
  <c r="H360" i="15" s="1"/>
  <c r="H362" i="15" s="1"/>
  <c r="G289" i="13"/>
  <c r="H289" i="13" s="1"/>
  <c r="H290" i="13" s="1"/>
  <c r="H293" i="13" s="1"/>
  <c r="H294" i="13" s="1"/>
  <c r="H295" i="13" s="1"/>
  <c r="I279" i="13" s="1"/>
  <c r="G2016" i="14"/>
  <c r="H2016" i="14" s="1"/>
  <c r="G425" i="19"/>
  <c r="H425" i="19" s="1"/>
  <c r="G424" i="19"/>
  <c r="H424" i="19" s="1"/>
  <c r="G55" i="42"/>
  <c r="H55" i="42" s="1"/>
  <c r="H56" i="42" s="1"/>
  <c r="H57" i="42" s="1"/>
  <c r="G36" i="42"/>
  <c r="H36" i="42" s="1"/>
  <c r="H37" i="42" s="1"/>
  <c r="H38" i="42" s="1"/>
  <c r="H39" i="42" s="1"/>
  <c r="H40" i="42" s="1"/>
  <c r="G17" i="42"/>
  <c r="H17" i="42" s="1"/>
  <c r="H18" i="42" s="1"/>
  <c r="H19" i="42" s="1"/>
  <c r="H20" i="42" s="1"/>
  <c r="H21" i="42" s="1"/>
  <c r="G51" i="17"/>
  <c r="H51" i="17" s="1"/>
  <c r="H52" i="17" s="1"/>
  <c r="G197" i="27"/>
  <c r="F197" i="27"/>
  <c r="E197" i="27"/>
  <c r="G195" i="27"/>
  <c r="F195" i="27"/>
  <c r="E195" i="27"/>
  <c r="G196" i="27"/>
  <c r="F196" i="27"/>
  <c r="G53" i="8"/>
  <c r="H53" i="8" s="1"/>
  <c r="H55" i="8" s="1"/>
  <c r="G33" i="8"/>
  <c r="H33" i="8" s="1"/>
  <c r="H35" i="8" s="1"/>
  <c r="H38" i="8" s="1"/>
  <c r="H39" i="8" s="1"/>
  <c r="H40" i="8" s="1"/>
  <c r="I24" i="8" s="1"/>
  <c r="G48" i="8"/>
  <c r="H48" i="8" s="1"/>
  <c r="H51" i="8" s="1"/>
  <c r="G198" i="27"/>
  <c r="F198" i="27"/>
  <c r="G200" i="27"/>
  <c r="F200" i="27"/>
  <c r="G201" i="27"/>
  <c r="F201" i="27"/>
  <c r="G125" i="8"/>
  <c r="H125" i="8" s="1"/>
  <c r="H128" i="8" s="1"/>
  <c r="G9284" i="26"/>
  <c r="H9284" i="26" s="1"/>
  <c r="G9286" i="26"/>
  <c r="H9286" i="26" s="1"/>
  <c r="G9287" i="26"/>
  <c r="H9287" i="26" s="1"/>
  <c r="G8348" i="26"/>
  <c r="H8348" i="26" s="1"/>
  <c r="G8166" i="26"/>
  <c r="H8166" i="26" s="1"/>
  <c r="H8167" i="26" s="1"/>
  <c r="H8170" i="26" s="1"/>
  <c r="H8171" i="26" s="1"/>
  <c r="H8172" i="26" s="1"/>
  <c r="I8157" i="26" s="1"/>
  <c r="G7401" i="26"/>
  <c r="H7401" i="26" s="1"/>
  <c r="G6381" i="26"/>
  <c r="H6381" i="26" s="1"/>
  <c r="G5886" i="26"/>
  <c r="H5886" i="26" s="1"/>
  <c r="H5887" i="26" s="1"/>
  <c r="H5890" i="26" s="1"/>
  <c r="H5891" i="26" s="1"/>
  <c r="H5892" i="26" s="1"/>
  <c r="I5877" i="26" s="1"/>
  <c r="G44" i="23"/>
  <c r="H44" i="23" s="1"/>
  <c r="H47" i="23" s="1"/>
  <c r="H53" i="23" s="1"/>
  <c r="H54" i="23" s="1"/>
  <c r="G236" i="25"/>
  <c r="H236" i="25" s="1"/>
  <c r="H239" i="25" s="1"/>
  <c r="G43" i="22"/>
  <c r="H43" i="22" s="1"/>
  <c r="H46" i="22" s="1"/>
  <c r="H52" i="22" s="1"/>
  <c r="H53" i="22" s="1"/>
  <c r="H54" i="22" s="1"/>
  <c r="I39" i="22" s="1"/>
  <c r="G5176" i="26"/>
  <c r="H5176" i="26" s="1"/>
  <c r="G5177" i="26"/>
  <c r="H5177" i="26" s="1"/>
  <c r="G5178" i="26"/>
  <c r="H5178" i="26" s="1"/>
  <c r="G5179" i="26"/>
  <c r="H5179" i="26" s="1"/>
  <c r="G5180" i="26"/>
  <c r="H5180" i="26" s="1"/>
  <c r="G5181" i="26"/>
  <c r="H5181" i="26" s="1"/>
  <c r="G5182" i="26"/>
  <c r="H5182" i="26" s="1"/>
  <c r="H5175" i="26"/>
  <c r="G7018" i="43"/>
  <c r="H7018" i="43" s="1"/>
  <c r="H7019" i="43" s="1"/>
  <c r="H7020" i="43" s="1"/>
  <c r="H7021" i="43" s="1"/>
  <c r="H7022" i="43" s="1"/>
  <c r="R7008" i="43" s="1"/>
  <c r="G6922" i="43"/>
  <c r="H6922" i="43" s="1"/>
  <c r="G6905" i="43"/>
  <c r="H6905" i="43" s="1"/>
  <c r="H6906" i="43" s="1"/>
  <c r="H6907" i="43" s="1"/>
  <c r="H6908" i="43" s="1"/>
  <c r="H6909" i="43" s="1"/>
  <c r="L6894" i="43" s="1"/>
  <c r="G6888" i="43"/>
  <c r="H6888" i="43" s="1"/>
  <c r="H6889" i="43" s="1"/>
  <c r="H6890" i="43" s="1"/>
  <c r="H6891" i="43" s="1"/>
  <c r="H6892" i="43" s="1"/>
  <c r="R6878" i="43" s="1"/>
  <c r="G6708" i="43"/>
  <c r="H6708" i="43" s="1"/>
  <c r="H6709" i="43" s="1"/>
  <c r="H6710" i="43" s="1"/>
  <c r="H6711" i="43" s="1"/>
  <c r="H6712" i="43" s="1"/>
  <c r="R6697" i="43" s="1"/>
  <c r="G6367" i="43"/>
  <c r="H6367" i="43" s="1"/>
  <c r="H6368" i="43" s="1"/>
  <c r="H6369" i="43" s="1"/>
  <c r="H6370" i="43" s="1"/>
  <c r="H6371" i="43" s="1"/>
  <c r="G889" i="43"/>
  <c r="H889" i="43" s="1"/>
  <c r="G888" i="43"/>
  <c r="H888" i="43" s="1"/>
  <c r="G887" i="43"/>
  <c r="H887" i="43" s="1"/>
  <c r="G885" i="43"/>
  <c r="H885" i="43" s="1"/>
  <c r="G882" i="43"/>
  <c r="H882" i="43" s="1"/>
  <c r="G881" i="43"/>
  <c r="H881" i="43" s="1"/>
  <c r="E782" i="27"/>
  <c r="E785" i="27"/>
  <c r="E789" i="27"/>
  <c r="E792" i="27"/>
  <c r="E799" i="27"/>
  <c r="E801" i="27"/>
  <c r="E783" i="27"/>
  <c r="E781" i="27"/>
  <c r="G44" i="26"/>
  <c r="H44" i="26" s="1"/>
  <c r="I28" i="18"/>
  <c r="E505" i="27"/>
  <c r="E514" i="27"/>
  <c r="E437" i="27"/>
  <c r="E456" i="27"/>
  <c r="E457" i="27"/>
  <c r="E458" i="27"/>
  <c r="E459" i="27"/>
  <c r="E702" i="27"/>
  <c r="E706" i="27"/>
  <c r="E714" i="27"/>
  <c r="E715" i="27"/>
  <c r="E723" i="27"/>
  <c r="E724" i="27"/>
  <c r="E725" i="27"/>
  <c r="E726" i="27"/>
  <c r="E727" i="27"/>
  <c r="E731" i="27"/>
  <c r="E556" i="27"/>
  <c r="I11" i="7"/>
  <c r="I15" i="7"/>
  <c r="I65" i="7"/>
  <c r="I28" i="7"/>
  <c r="I10" i="18"/>
  <c r="I46" i="7"/>
  <c r="G223" i="42"/>
  <c r="H223" i="42" s="1"/>
  <c r="G222" i="42"/>
  <c r="H222" i="42" s="1"/>
  <c r="G220" i="42"/>
  <c r="H220" i="42" s="1"/>
  <c r="G219" i="42"/>
  <c r="H219" i="42" s="1"/>
  <c r="G218" i="42"/>
  <c r="H218" i="42" s="1"/>
  <c r="G217" i="42"/>
  <c r="H217" i="42" s="1"/>
  <c r="G213" i="42"/>
  <c r="H213" i="42" s="1"/>
  <c r="G214" i="42"/>
  <c r="H214" i="42" s="1"/>
  <c r="G215" i="42"/>
  <c r="H215" i="42" s="1"/>
  <c r="I202" i="42" s="1"/>
  <c r="G212" i="42"/>
  <c r="H212" i="42" s="1"/>
  <c r="G173" i="42"/>
  <c r="H173" i="42" s="1"/>
  <c r="G172" i="42"/>
  <c r="H172" i="42" s="1"/>
  <c r="G4282" i="41"/>
  <c r="H4282" i="41" s="1"/>
  <c r="H4283" i="41" s="1"/>
  <c r="H4286" i="41" s="1"/>
  <c r="G4265" i="41"/>
  <c r="H4265" i="41" s="1"/>
  <c r="H4266" i="41" s="1"/>
  <c r="H4269" i="41" s="1"/>
  <c r="G4249" i="41"/>
  <c r="H4249" i="41" s="1"/>
  <c r="H4250" i="41" s="1"/>
  <c r="H4253" i="41" s="1"/>
  <c r="G4232" i="41"/>
  <c r="H4232" i="41" s="1"/>
  <c r="H4233" i="41" s="1"/>
  <c r="H4236" i="41" s="1"/>
  <c r="G4216" i="41"/>
  <c r="H4216" i="41" s="1"/>
  <c r="H4217" i="41" s="1"/>
  <c r="H4220" i="41" s="1"/>
  <c r="G4200" i="41"/>
  <c r="H4200" i="41" s="1"/>
  <c r="H4201" i="41" s="1"/>
  <c r="H4204" i="41" s="1"/>
  <c r="G4184" i="41"/>
  <c r="H4184" i="41" s="1"/>
  <c r="H4185" i="41" s="1"/>
  <c r="H4188" i="41" s="1"/>
  <c r="G4168" i="41"/>
  <c r="H4168" i="41" s="1"/>
  <c r="H4169" i="41" s="1"/>
  <c r="H4172" i="41" s="1"/>
  <c r="G4151" i="41"/>
  <c r="H4151" i="41" s="1"/>
  <c r="H4152" i="41" s="1"/>
  <c r="H4155" i="41" s="1"/>
  <c r="G4135" i="41"/>
  <c r="H4135" i="41" s="1"/>
  <c r="H4136" i="41" s="1"/>
  <c r="H4139" i="41" s="1"/>
  <c r="G4085" i="41"/>
  <c r="H4085" i="41" s="1"/>
  <c r="H4086" i="41" s="1"/>
  <c r="G4071" i="41"/>
  <c r="H4071" i="41" s="1"/>
  <c r="H4072" i="41" s="1"/>
  <c r="G4049" i="41"/>
  <c r="H4049" i="41" s="1"/>
  <c r="H4050" i="41" s="1"/>
  <c r="G4035" i="41"/>
  <c r="H4035" i="41" s="1"/>
  <c r="H4036" i="41" s="1"/>
  <c r="G4013" i="41"/>
  <c r="H4013" i="41" s="1"/>
  <c r="H4014" i="41" s="1"/>
  <c r="G3999" i="41"/>
  <c r="H3999" i="41" s="1"/>
  <c r="H4000" i="41" s="1"/>
  <c r="G3976" i="41"/>
  <c r="H3976" i="41" s="1"/>
  <c r="H3977" i="41" s="1"/>
  <c r="G3908" i="41"/>
  <c r="H3908" i="41" s="1"/>
  <c r="H3909" i="41" s="1"/>
  <c r="H3913" i="41" s="1"/>
  <c r="G3841" i="41"/>
  <c r="H3841" i="41" s="1"/>
  <c r="H3842" i="41" s="1"/>
  <c r="H3845" i="41" s="1"/>
  <c r="G3776" i="41"/>
  <c r="H3776" i="41" s="1"/>
  <c r="H3777" i="41" s="1"/>
  <c r="H3780" i="41" s="1"/>
  <c r="G3925" i="41"/>
  <c r="H3925" i="41" s="1"/>
  <c r="H3926" i="41" s="1"/>
  <c r="H3930" i="41" s="1"/>
  <c r="G4119" i="41"/>
  <c r="H4119" i="41" s="1"/>
  <c r="H4120" i="41" s="1"/>
  <c r="H4123" i="41" s="1"/>
  <c r="G3959" i="41"/>
  <c r="H3959" i="41" s="1"/>
  <c r="H3960" i="41" s="1"/>
  <c r="H3964" i="41" s="1"/>
  <c r="G3891" i="41"/>
  <c r="H3891" i="41" s="1"/>
  <c r="H3892" i="41" s="1"/>
  <c r="H3896" i="41" s="1"/>
  <c r="G3824" i="41"/>
  <c r="H3824" i="41" s="1"/>
  <c r="H3825" i="41" s="1"/>
  <c r="H3828" i="41" s="1"/>
  <c r="G3760" i="41"/>
  <c r="H3760" i="41" s="1"/>
  <c r="H3761" i="41" s="1"/>
  <c r="H3764" i="41" s="1"/>
  <c r="G3792" i="41"/>
  <c r="H3792" i="41" s="1"/>
  <c r="H3793" i="41" s="1"/>
  <c r="H3796" i="41" s="1"/>
  <c r="G4103" i="41"/>
  <c r="H4103" i="41" s="1"/>
  <c r="H4104" i="41" s="1"/>
  <c r="H4107" i="41" s="1"/>
  <c r="G4089" i="41"/>
  <c r="H4089" i="41" s="1"/>
  <c r="H4090" i="41" s="1"/>
  <c r="G4067" i="41"/>
  <c r="H4067" i="41" s="1"/>
  <c r="H4068" i="41" s="1"/>
  <c r="G4053" i="41"/>
  <c r="H4053" i="41" s="1"/>
  <c r="H4054" i="41" s="1"/>
  <c r="G4031" i="41"/>
  <c r="H4031" i="41" s="1"/>
  <c r="H4032" i="41" s="1"/>
  <c r="G4017" i="41"/>
  <c r="H4017" i="41" s="1"/>
  <c r="H4018" i="41" s="1"/>
  <c r="G3995" i="41"/>
  <c r="H3995" i="41" s="1"/>
  <c r="H3996" i="41" s="1"/>
  <c r="G3942" i="41"/>
  <c r="H3942" i="41" s="1"/>
  <c r="H3943" i="41" s="1"/>
  <c r="H3947" i="41" s="1"/>
  <c r="G3873" i="41"/>
  <c r="H3873" i="41" s="1"/>
  <c r="H3874" i="41" s="1"/>
  <c r="H3877" i="41" s="1"/>
  <c r="G3808" i="41"/>
  <c r="H3808" i="41" s="1"/>
  <c r="H3809" i="41" s="1"/>
  <c r="H3812" i="41" s="1"/>
  <c r="G3744" i="41"/>
  <c r="H3744" i="41" s="1"/>
  <c r="H3745" i="41" s="1"/>
  <c r="H3748" i="41" s="1"/>
  <c r="G3980" i="41"/>
  <c r="H3980" i="41" s="1"/>
  <c r="H3981" i="41" s="1"/>
  <c r="G3857" i="41"/>
  <c r="H3857" i="41" s="1"/>
  <c r="H3858" i="41" s="1"/>
  <c r="H3861" i="41" s="1"/>
  <c r="G3728" i="41"/>
  <c r="H3728" i="41" s="1"/>
  <c r="H3729" i="41" s="1"/>
  <c r="H3732" i="41" s="1"/>
  <c r="G3714" i="41"/>
  <c r="H3714" i="41" s="1"/>
  <c r="H3715" i="41" s="1"/>
  <c r="G3710" i="41"/>
  <c r="H3710" i="41" s="1"/>
  <c r="H3711" i="41" s="1"/>
  <c r="G3695" i="41"/>
  <c r="H3695" i="41" s="1"/>
  <c r="H3696" i="41" s="1"/>
  <c r="G3691" i="41"/>
  <c r="H3691" i="41" s="1"/>
  <c r="H3692" i="41" s="1"/>
  <c r="G3677" i="41"/>
  <c r="H3677" i="41" s="1"/>
  <c r="H3678" i="41" s="1"/>
  <c r="G3673" i="41"/>
  <c r="H3673" i="41" s="1"/>
  <c r="H3674" i="41" s="1"/>
  <c r="G3659" i="41"/>
  <c r="H3659" i="41" s="1"/>
  <c r="H3660" i="41" s="1"/>
  <c r="G3655" i="41"/>
  <c r="H3655" i="41" s="1"/>
  <c r="H3656" i="41" s="1"/>
  <c r="G3641" i="41"/>
  <c r="H3641" i="41" s="1"/>
  <c r="H3642" i="41" s="1"/>
  <c r="G3637" i="41"/>
  <c r="H3637" i="41" s="1"/>
  <c r="H3638" i="41" s="1"/>
  <c r="G3619" i="41"/>
  <c r="H3619" i="41" s="1"/>
  <c r="H3620" i="41" s="1"/>
  <c r="G3623" i="41"/>
  <c r="H3623" i="41" s="1"/>
  <c r="H3624" i="41" s="1"/>
  <c r="G3605" i="41"/>
  <c r="H3605" i="41" s="1"/>
  <c r="H3606" i="41" s="1"/>
  <c r="G3601" i="41"/>
  <c r="H3601" i="41" s="1"/>
  <c r="H3602" i="41" s="1"/>
  <c r="G3584" i="41"/>
  <c r="H3584" i="41" s="1"/>
  <c r="H3585" i="41" s="1"/>
  <c r="H3589" i="41" s="1"/>
  <c r="G3567" i="41"/>
  <c r="H3567" i="41" s="1"/>
  <c r="H3568" i="41" s="1"/>
  <c r="H3572" i="41" s="1"/>
  <c r="G3550" i="41"/>
  <c r="H3550" i="41" s="1"/>
  <c r="H3551" i="41" s="1"/>
  <c r="H3555" i="41" s="1"/>
  <c r="G3533" i="41"/>
  <c r="H3533" i="41" s="1"/>
  <c r="H3534" i="41" s="1"/>
  <c r="H3538" i="41" s="1"/>
  <c r="G3516" i="41"/>
  <c r="H3516" i="41" s="1"/>
  <c r="H3517" i="41" s="1"/>
  <c r="H3521" i="41" s="1"/>
  <c r="G3498" i="41"/>
  <c r="H3498" i="41" s="1"/>
  <c r="H3499" i="41" s="1"/>
  <c r="H3503" i="41" s="1"/>
  <c r="G3480" i="41"/>
  <c r="H3480" i="41" s="1"/>
  <c r="H3481" i="41" s="1"/>
  <c r="H3485" i="41" s="1"/>
  <c r="H3486" i="41" s="1"/>
  <c r="H3487" i="41" s="1"/>
  <c r="I3472" i="41" s="1"/>
  <c r="G3464" i="41"/>
  <c r="H3464" i="41" s="1"/>
  <c r="H3465" i="41" s="1"/>
  <c r="H3466" i="41" s="1"/>
  <c r="H3467" i="41" s="1"/>
  <c r="H3468" i="41" s="1"/>
  <c r="I3454" i="41" s="1"/>
  <c r="G3448" i="41"/>
  <c r="H3448" i="41" s="1"/>
  <c r="H3449" i="41" s="1"/>
  <c r="H3450" i="41" s="1"/>
  <c r="H3451" i="41" s="1"/>
  <c r="H3452" i="41" s="1"/>
  <c r="I3438" i="41" s="1"/>
  <c r="G3431" i="41"/>
  <c r="H3431" i="41" s="1"/>
  <c r="H3432" i="41" s="1"/>
  <c r="H3433" i="41" s="1"/>
  <c r="H3434" i="41" s="1"/>
  <c r="H3435" i="41" s="1"/>
  <c r="I3421" i="41" s="1"/>
  <c r="G3415" i="41"/>
  <c r="H3415" i="41" s="1"/>
  <c r="H3416" i="41" s="1"/>
  <c r="H3417" i="41" s="1"/>
  <c r="H3418" i="41" s="1"/>
  <c r="H3419" i="41" s="1"/>
  <c r="I3405" i="41" s="1"/>
  <c r="G3399" i="41"/>
  <c r="H3399" i="41" s="1"/>
  <c r="H3400" i="41" s="1"/>
  <c r="H3401" i="41" s="1"/>
  <c r="H3402" i="41" s="1"/>
  <c r="H3403" i="41" s="1"/>
  <c r="I3389" i="41" s="1"/>
  <c r="G3383" i="41"/>
  <c r="H3383" i="41" s="1"/>
  <c r="H3384" i="41" s="1"/>
  <c r="H3385" i="41" s="1"/>
  <c r="H3386" i="41" s="1"/>
  <c r="H3387" i="41" s="1"/>
  <c r="I3373" i="41" s="1"/>
  <c r="G3367" i="41"/>
  <c r="H3367" i="41" s="1"/>
  <c r="H3368" i="41" s="1"/>
  <c r="H3369" i="41" s="1"/>
  <c r="H3370" i="41" s="1"/>
  <c r="H3371" i="41" s="1"/>
  <c r="I3357" i="41" s="1"/>
  <c r="G3350" i="41"/>
  <c r="H3350" i="41" s="1"/>
  <c r="H3352" i="41" s="1"/>
  <c r="H3353" i="41" s="1"/>
  <c r="H3354" i="41" s="1"/>
  <c r="H3355" i="41" s="1"/>
  <c r="I3338" i="41" s="1"/>
  <c r="G3330" i="41"/>
  <c r="H3330" i="41" s="1"/>
  <c r="H3332" i="41" s="1"/>
  <c r="H3333" i="41" s="1"/>
  <c r="H3334" i="41" s="1"/>
  <c r="H3335" i="41" s="1"/>
  <c r="I3318" i="41" s="1"/>
  <c r="G3311" i="41"/>
  <c r="H3311" i="41" s="1"/>
  <c r="H3313" i="41" s="1"/>
  <c r="H3314" i="41" s="1"/>
  <c r="H3315" i="41" s="1"/>
  <c r="H3316" i="41" s="1"/>
  <c r="I3299" i="41" s="1"/>
  <c r="G3292" i="41"/>
  <c r="H3292" i="41" s="1"/>
  <c r="H3294" i="41" s="1"/>
  <c r="H3295" i="41" s="1"/>
  <c r="H3296" i="41" s="1"/>
  <c r="H3297" i="41" s="1"/>
  <c r="I3280" i="41" s="1"/>
  <c r="G3273" i="41"/>
  <c r="H3273" i="41" s="1"/>
  <c r="H3275" i="41" s="1"/>
  <c r="H3276" i="41" s="1"/>
  <c r="H3277" i="41" s="1"/>
  <c r="H3278" i="41" s="1"/>
  <c r="I3261" i="41" s="1"/>
  <c r="G3254" i="41"/>
  <c r="H3254" i="41" s="1"/>
  <c r="H3256" i="41" s="1"/>
  <c r="H3257" i="41" s="1"/>
  <c r="H3258" i="41" s="1"/>
  <c r="H3259" i="41" s="1"/>
  <c r="I3242" i="41" s="1"/>
  <c r="G3235" i="41"/>
  <c r="H3235" i="41" s="1"/>
  <c r="H3237" i="41" s="1"/>
  <c r="H3238" i="41" s="1"/>
  <c r="H3239" i="41" s="1"/>
  <c r="H3240" i="41" s="1"/>
  <c r="I3223" i="41" s="1"/>
  <c r="G3216" i="41"/>
  <c r="H3216" i="41" s="1"/>
  <c r="H3218" i="41" s="1"/>
  <c r="H3219" i="41" s="1"/>
  <c r="H3220" i="41" s="1"/>
  <c r="H3221" i="41" s="1"/>
  <c r="I3204" i="41" s="1"/>
  <c r="G3197" i="41"/>
  <c r="H3197" i="41" s="1"/>
  <c r="H3199" i="41" s="1"/>
  <c r="H3200" i="41" s="1"/>
  <c r="H3201" i="41" s="1"/>
  <c r="H3202" i="41" s="1"/>
  <c r="I3185" i="41" s="1"/>
  <c r="G3178" i="41"/>
  <c r="H3178" i="41" s="1"/>
  <c r="H3180" i="41" s="1"/>
  <c r="H3181" i="41" s="1"/>
  <c r="H3182" i="41" s="1"/>
  <c r="H3183" i="41" s="1"/>
  <c r="I3166" i="41" s="1"/>
  <c r="G3159" i="41"/>
  <c r="H3159" i="41" s="1"/>
  <c r="H3161" i="41" s="1"/>
  <c r="H3162" i="41" s="1"/>
  <c r="H3163" i="41" s="1"/>
  <c r="H3164" i="41" s="1"/>
  <c r="I3147" i="41" s="1"/>
  <c r="G3139" i="41"/>
  <c r="H3139" i="41" s="1"/>
  <c r="G3140" i="41"/>
  <c r="H3140" i="41" s="1"/>
  <c r="G3115" i="41"/>
  <c r="H3115" i="41" s="1"/>
  <c r="H3119" i="41" s="1"/>
  <c r="H3122" i="41" s="1"/>
  <c r="G3095" i="41"/>
  <c r="H3095" i="41" s="1"/>
  <c r="H3099" i="41" s="1"/>
  <c r="H3102" i="41" s="1"/>
  <c r="G3075" i="41"/>
  <c r="H3075" i="41" s="1"/>
  <c r="H3079" i="41" s="1"/>
  <c r="H3082" i="41" s="1"/>
  <c r="G3055" i="41"/>
  <c r="H3055" i="41" s="1"/>
  <c r="H3059" i="41" s="1"/>
  <c r="H3062" i="41" s="1"/>
  <c r="G3035" i="41"/>
  <c r="H3035" i="41" s="1"/>
  <c r="H3039" i="41" s="1"/>
  <c r="H3042" i="41" s="1"/>
  <c r="G3015" i="41"/>
  <c r="H3015" i="41" s="1"/>
  <c r="H3019" i="41" s="1"/>
  <c r="H3022" i="41" s="1"/>
  <c r="G2995" i="41"/>
  <c r="H2995" i="41" s="1"/>
  <c r="H2999" i="41" s="1"/>
  <c r="H3002" i="41" s="1"/>
  <c r="G2975" i="41"/>
  <c r="H2975" i="41" s="1"/>
  <c r="H2979" i="41" s="1"/>
  <c r="H2982" i="41" s="1"/>
  <c r="G2955" i="41"/>
  <c r="H2955" i="41" s="1"/>
  <c r="H2959" i="41" s="1"/>
  <c r="H2962" i="41" s="1"/>
  <c r="H2963" i="41" s="1"/>
  <c r="H2964" i="41" s="1"/>
  <c r="I2946" i="41" s="1"/>
  <c r="H2699" i="41"/>
  <c r="G2676" i="41"/>
  <c r="H2676" i="41" s="1"/>
  <c r="H2677" i="41" s="1"/>
  <c r="H2682" i="41" s="1"/>
  <c r="G2658" i="41"/>
  <c r="H2658" i="41" s="1"/>
  <c r="H2659" i="41" s="1"/>
  <c r="H2664" i="41" s="1"/>
  <c r="G2640" i="41"/>
  <c r="H2640" i="41" s="1"/>
  <c r="H2641" i="41" s="1"/>
  <c r="H2646" i="41" s="1"/>
  <c r="G2622" i="41"/>
  <c r="H2622" i="41" s="1"/>
  <c r="H2623" i="41" s="1"/>
  <c r="H2628" i="41" s="1"/>
  <c r="G2604" i="41"/>
  <c r="H2604" i="41" s="1"/>
  <c r="G2586" i="41"/>
  <c r="H2586" i="41" s="1"/>
  <c r="H2587" i="41" s="1"/>
  <c r="H2592" i="41" s="1"/>
  <c r="G2568" i="41"/>
  <c r="H2568" i="41" s="1"/>
  <c r="H2569" i="41" s="1"/>
  <c r="H2574" i="41" s="1"/>
  <c r="G2550" i="41"/>
  <c r="H2550" i="41" s="1"/>
  <c r="H2551" i="41" s="1"/>
  <c r="H2556" i="41" s="1"/>
  <c r="G2532" i="41"/>
  <c r="H2532" i="41" s="1"/>
  <c r="H2533" i="41" s="1"/>
  <c r="H2538" i="41" s="1"/>
  <c r="G2515" i="41"/>
  <c r="H2515" i="41" s="1"/>
  <c r="H2516" i="41" s="1"/>
  <c r="H2520" i="41" s="1"/>
  <c r="G2498" i="41"/>
  <c r="H2498" i="41" s="1"/>
  <c r="H2499" i="41" s="1"/>
  <c r="H2503" i="41" s="1"/>
  <c r="G2481" i="41"/>
  <c r="H2481" i="41" s="1"/>
  <c r="H2482" i="41" s="1"/>
  <c r="H2486" i="41" s="1"/>
  <c r="G2464" i="41"/>
  <c r="H2464" i="41" s="1"/>
  <c r="H2465" i="41" s="1"/>
  <c r="H2469" i="41" s="1"/>
  <c r="H2470" i="41" s="1"/>
  <c r="H2471" i="41" s="1"/>
  <c r="I2456" i="41" s="1"/>
  <c r="G2447" i="41"/>
  <c r="H2447" i="41" s="1"/>
  <c r="H2448" i="41" s="1"/>
  <c r="H2452" i="41" s="1"/>
  <c r="H2453" i="41" s="1"/>
  <c r="H2454" i="41" s="1"/>
  <c r="I2439" i="41" s="1"/>
  <c r="G2059" i="41"/>
  <c r="H2059" i="41" s="1"/>
  <c r="H2060" i="41" s="1"/>
  <c r="H2065" i="41" s="1"/>
  <c r="G2149" i="41"/>
  <c r="H2149" i="41" s="1"/>
  <c r="H2150" i="41" s="1"/>
  <c r="H2155" i="41" s="1"/>
  <c r="G2113" i="41"/>
  <c r="H2113" i="41" s="1"/>
  <c r="H2114" i="41" s="1"/>
  <c r="H2119" i="41" s="1"/>
  <c r="G2077" i="41"/>
  <c r="H2077" i="41" s="1"/>
  <c r="H2078" i="41" s="1"/>
  <c r="H2083" i="41" s="1"/>
  <c r="G2041" i="41"/>
  <c r="H2041" i="41" s="1"/>
  <c r="H2042" i="41" s="1"/>
  <c r="H2047" i="41" s="1"/>
  <c r="G2023" i="41"/>
  <c r="H2023" i="41" s="1"/>
  <c r="H2024" i="41" s="1"/>
  <c r="H2029" i="41" s="1"/>
  <c r="G2131" i="41"/>
  <c r="H2131" i="41" s="1"/>
  <c r="H2132" i="41" s="1"/>
  <c r="H2137" i="41" s="1"/>
  <c r="G2095" i="41"/>
  <c r="H2095" i="41" s="1"/>
  <c r="H2096" i="41" s="1"/>
  <c r="H2101" i="41" s="1"/>
  <c r="G2005" i="41"/>
  <c r="G1988" i="41"/>
  <c r="H1988" i="41" s="1"/>
  <c r="H1989" i="41" s="1"/>
  <c r="H1993" i="41" s="1"/>
  <c r="G1971" i="41"/>
  <c r="H1971" i="41" s="1"/>
  <c r="H1972" i="41" s="1"/>
  <c r="H1976" i="41" s="1"/>
  <c r="G1954" i="41"/>
  <c r="H1954" i="41" s="1"/>
  <c r="H1955" i="41" s="1"/>
  <c r="H1959" i="41" s="1"/>
  <c r="G1937" i="41"/>
  <c r="H1937" i="41" s="1"/>
  <c r="H1938" i="41" s="1"/>
  <c r="H1942" i="41" s="1"/>
  <c r="G1920" i="41"/>
  <c r="H1920" i="41" s="1"/>
  <c r="H1921" i="41" s="1"/>
  <c r="H1925" i="41" s="1"/>
  <c r="G1903" i="41"/>
  <c r="H1903" i="41" s="1"/>
  <c r="H1904" i="41" s="1"/>
  <c r="H1908" i="41" s="1"/>
  <c r="H1909" i="41" s="1"/>
  <c r="G1532" i="41"/>
  <c r="H1532" i="41" s="1"/>
  <c r="H1533" i="41" s="1"/>
  <c r="G1529" i="41"/>
  <c r="H1529" i="41" s="1"/>
  <c r="H1530" i="41" s="1"/>
  <c r="G1515" i="41"/>
  <c r="H1515" i="41" s="1"/>
  <c r="H1516" i="41" s="1"/>
  <c r="G1512" i="41"/>
  <c r="H1512" i="41" s="1"/>
  <c r="H1513" i="41" s="1"/>
  <c r="G1498" i="41"/>
  <c r="H1498" i="41" s="1"/>
  <c r="H1499" i="41" s="1"/>
  <c r="G1495" i="41"/>
  <c r="H1495" i="41" s="1"/>
  <c r="H1496" i="41" s="1"/>
  <c r="G1481" i="41"/>
  <c r="H1481" i="41" s="1"/>
  <c r="H1482" i="41" s="1"/>
  <c r="G1478" i="41"/>
  <c r="H1478" i="41" s="1"/>
  <c r="H1479" i="41" s="1"/>
  <c r="G1464" i="41"/>
  <c r="H1464" i="41" s="1"/>
  <c r="H1465" i="41" s="1"/>
  <c r="G1461" i="41"/>
  <c r="H1461" i="41" s="1"/>
  <c r="H1462" i="41" s="1"/>
  <c r="G1447" i="41"/>
  <c r="H1447" i="41" s="1"/>
  <c r="H1448" i="41" s="1"/>
  <c r="G1444" i="41"/>
  <c r="H1444" i="41" s="1"/>
  <c r="H1445" i="41" s="1"/>
  <c r="G1430" i="41"/>
  <c r="H1430" i="41" s="1"/>
  <c r="H1431" i="41" s="1"/>
  <c r="G1427" i="41"/>
  <c r="H1427" i="41" s="1"/>
  <c r="H1428" i="41" s="1"/>
  <c r="G1413" i="41"/>
  <c r="H1413" i="41" s="1"/>
  <c r="H1414" i="41" s="1"/>
  <c r="G1410" i="41"/>
  <c r="H1410" i="41" s="1"/>
  <c r="H1411" i="41" s="1"/>
  <c r="G1396" i="41"/>
  <c r="H1396" i="41" s="1"/>
  <c r="H1397" i="41" s="1"/>
  <c r="G1393" i="41"/>
  <c r="H1393" i="41" s="1"/>
  <c r="H1394" i="41" s="1"/>
  <c r="G1379" i="41"/>
  <c r="H1379" i="41" s="1"/>
  <c r="G1376" i="41"/>
  <c r="H1376" i="41" s="1"/>
  <c r="H1377" i="41" s="1"/>
  <c r="G1361" i="41"/>
  <c r="H1361" i="41" s="1"/>
  <c r="H1362" i="41" s="1"/>
  <c r="G1358" i="41"/>
  <c r="H1358" i="41" s="1"/>
  <c r="H1359" i="41" s="1"/>
  <c r="G1344" i="41"/>
  <c r="H1344" i="41" s="1"/>
  <c r="H1345" i="41" s="1"/>
  <c r="G1341" i="41"/>
  <c r="H1341" i="41" s="1"/>
  <c r="H1342" i="41" s="1"/>
  <c r="G1327" i="41"/>
  <c r="H1327" i="41" s="1"/>
  <c r="H1328" i="41" s="1"/>
  <c r="G1324" i="41"/>
  <c r="H1324" i="41" s="1"/>
  <c r="H1325" i="41" s="1"/>
  <c r="G1309" i="41"/>
  <c r="H1309" i="41" s="1"/>
  <c r="H1310" i="41" s="1"/>
  <c r="G1306" i="41"/>
  <c r="H1306" i="41" s="1"/>
  <c r="H1307" i="41" s="1"/>
  <c r="G1292" i="41"/>
  <c r="H1292" i="41" s="1"/>
  <c r="H1293" i="41" s="1"/>
  <c r="G1275" i="41"/>
  <c r="H1275" i="41" s="1"/>
  <c r="H1276" i="41" s="1"/>
  <c r="G1207" i="41"/>
  <c r="H1207" i="41" s="1"/>
  <c r="H1208" i="41" s="1"/>
  <c r="H1209" i="41" s="1"/>
  <c r="G1143" i="41"/>
  <c r="H1143" i="41" s="1"/>
  <c r="H1144" i="41" s="1"/>
  <c r="H1145" i="41" s="1"/>
  <c r="G1159" i="41"/>
  <c r="H1159" i="41" s="1"/>
  <c r="H1160" i="41" s="1"/>
  <c r="H1161" i="41" s="1"/>
  <c r="G1256" i="41"/>
  <c r="H1256" i="41" s="1"/>
  <c r="H1257" i="41" s="1"/>
  <c r="H1258" i="41" s="1"/>
  <c r="G1191" i="41"/>
  <c r="H1191" i="41" s="1"/>
  <c r="H1192" i="41" s="1"/>
  <c r="H1193" i="41" s="1"/>
  <c r="G1127" i="41"/>
  <c r="H1127" i="41" s="1"/>
  <c r="H1128" i="41" s="1"/>
  <c r="H1129" i="41" s="1"/>
  <c r="G1289" i="41"/>
  <c r="H1289" i="41" s="1"/>
  <c r="H1290" i="41" s="1"/>
  <c r="G1240" i="41"/>
  <c r="H1240" i="41" s="1"/>
  <c r="H1241" i="41" s="1"/>
  <c r="H1242" i="41" s="1"/>
  <c r="G1175" i="41"/>
  <c r="H1175" i="41" s="1"/>
  <c r="H1176" i="41" s="1"/>
  <c r="H1177" i="41" s="1"/>
  <c r="G1111" i="41"/>
  <c r="H1111" i="41" s="1"/>
  <c r="H1112" i="41" s="1"/>
  <c r="H1113" i="41" s="1"/>
  <c r="G1272" i="41"/>
  <c r="H1272" i="41" s="1"/>
  <c r="H1273" i="41" s="1"/>
  <c r="G1223" i="41"/>
  <c r="H1223" i="41" s="1"/>
  <c r="H1224" i="41" s="1"/>
  <c r="H1225" i="41" s="1"/>
  <c r="G1095" i="41"/>
  <c r="H1095" i="41" s="1"/>
  <c r="H1096" i="41" s="1"/>
  <c r="H1097" i="41" s="1"/>
  <c r="G1079" i="41"/>
  <c r="H1079" i="41" s="1"/>
  <c r="H1080" i="41" s="1"/>
  <c r="H1081" i="41" s="1"/>
  <c r="G1063" i="41"/>
  <c r="H1063" i="41" s="1"/>
  <c r="H1064" i="41" s="1"/>
  <c r="H1065" i="41" s="1"/>
  <c r="G1047" i="41"/>
  <c r="H1047" i="41" s="1"/>
  <c r="H1048" i="41" s="1"/>
  <c r="H1049" i="41" s="1"/>
  <c r="G1031" i="41"/>
  <c r="H1031" i="41" s="1"/>
  <c r="H1032" i="41" s="1"/>
  <c r="H1033" i="41" s="1"/>
  <c r="G1015" i="41"/>
  <c r="H1015" i="41" s="1"/>
  <c r="H1016" i="41" s="1"/>
  <c r="H1017" i="41" s="1"/>
  <c r="H1018" i="41" s="1"/>
  <c r="H1019" i="41" s="1"/>
  <c r="I1005" i="41" s="1"/>
  <c r="G996" i="41"/>
  <c r="H996" i="41" s="1"/>
  <c r="H997" i="41" s="1"/>
  <c r="H1000" i="41" s="1"/>
  <c r="G980" i="41"/>
  <c r="H980" i="41" s="1"/>
  <c r="H981" i="41" s="1"/>
  <c r="H984" i="41" s="1"/>
  <c r="G964" i="41"/>
  <c r="H964" i="41" s="1"/>
  <c r="H965" i="41" s="1"/>
  <c r="H968" i="41" s="1"/>
  <c r="G948" i="41"/>
  <c r="H948" i="41" s="1"/>
  <c r="H949" i="41" s="1"/>
  <c r="H952" i="41" s="1"/>
  <c r="G932" i="41"/>
  <c r="H932" i="41" s="1"/>
  <c r="H933" i="41" s="1"/>
  <c r="H936" i="41" s="1"/>
  <c r="G915" i="41"/>
  <c r="H915" i="41" s="1"/>
  <c r="H916" i="41" s="1"/>
  <c r="H919" i="41" s="1"/>
  <c r="G901" i="41"/>
  <c r="H901" i="41" s="1"/>
  <c r="H902" i="41" s="1"/>
  <c r="G898" i="41"/>
  <c r="H898" i="41" s="1"/>
  <c r="H899" i="41" s="1"/>
  <c r="G884" i="41"/>
  <c r="H884" i="41" s="1"/>
  <c r="H885" i="41" s="1"/>
  <c r="G881" i="41"/>
  <c r="H881" i="41" s="1"/>
  <c r="H882" i="41" s="1"/>
  <c r="G867" i="41"/>
  <c r="H867" i="41" s="1"/>
  <c r="H868" i="41" s="1"/>
  <c r="G864" i="41"/>
  <c r="H864" i="41" s="1"/>
  <c r="H865" i="41" s="1"/>
  <c r="G849" i="41"/>
  <c r="H849" i="41" s="1"/>
  <c r="H850" i="41" s="1"/>
  <c r="G846" i="41"/>
  <c r="H846" i="41" s="1"/>
  <c r="H847" i="41" s="1"/>
  <c r="G832" i="41"/>
  <c r="H832" i="41" s="1"/>
  <c r="H833" i="41" s="1"/>
  <c r="G829" i="41"/>
  <c r="H829" i="41" s="1"/>
  <c r="H830" i="41" s="1"/>
  <c r="G815" i="41"/>
  <c r="H815" i="41" s="1"/>
  <c r="H816" i="41" s="1"/>
  <c r="G812" i="41"/>
  <c r="H812" i="41" s="1"/>
  <c r="H813" i="41" s="1"/>
  <c r="G798" i="41"/>
  <c r="H798" i="41" s="1"/>
  <c r="H799" i="41" s="1"/>
  <c r="G795" i="41"/>
  <c r="H795" i="41" s="1"/>
  <c r="H796" i="41" s="1"/>
  <c r="G781" i="41"/>
  <c r="H781" i="41" s="1"/>
  <c r="H782" i="41" s="1"/>
  <c r="G778" i="41"/>
  <c r="H778" i="41" s="1"/>
  <c r="H779" i="41" s="1"/>
  <c r="G764" i="41"/>
  <c r="H764" i="41" s="1"/>
  <c r="H765" i="41" s="1"/>
  <c r="G761" i="41"/>
  <c r="H761" i="41" s="1"/>
  <c r="H762" i="41" s="1"/>
  <c r="G746" i="41"/>
  <c r="H746" i="41" s="1"/>
  <c r="H747" i="41" s="1"/>
  <c r="G743" i="41"/>
  <c r="H743" i="41" s="1"/>
  <c r="H744" i="41" s="1"/>
  <c r="G729" i="41"/>
  <c r="H729" i="41" s="1"/>
  <c r="H730" i="41" s="1"/>
  <c r="G726" i="41"/>
  <c r="H726" i="41" s="1"/>
  <c r="H727" i="41" s="1"/>
  <c r="G711" i="41"/>
  <c r="H711" i="41" s="1"/>
  <c r="H712" i="41" s="1"/>
  <c r="G708" i="41"/>
  <c r="H708" i="41" s="1"/>
  <c r="H709" i="41" s="1"/>
  <c r="G694" i="41"/>
  <c r="H694" i="41" s="1"/>
  <c r="H695" i="41" s="1"/>
  <c r="G691" i="41"/>
  <c r="H691" i="41" s="1"/>
  <c r="H692" i="41" s="1"/>
  <c r="G677" i="41"/>
  <c r="H677" i="41" s="1"/>
  <c r="H678" i="41" s="1"/>
  <c r="G674" i="41"/>
  <c r="H674" i="41" s="1"/>
  <c r="H675" i="41" s="1"/>
  <c r="G660" i="41"/>
  <c r="H660" i="41" s="1"/>
  <c r="H661" i="41" s="1"/>
  <c r="G657" i="41"/>
  <c r="H657" i="41" s="1"/>
  <c r="H658" i="41" s="1"/>
  <c r="G640" i="41"/>
  <c r="H640" i="41" s="1"/>
  <c r="H641" i="41" s="1"/>
  <c r="G643" i="41"/>
  <c r="H643" i="41" s="1"/>
  <c r="H644" i="41" s="1"/>
  <c r="G624" i="41"/>
  <c r="H624" i="41" s="1"/>
  <c r="H625" i="41" s="1"/>
  <c r="H626" i="41" s="1"/>
  <c r="G608" i="41"/>
  <c r="H608" i="41" s="1"/>
  <c r="H609" i="41" s="1"/>
  <c r="H610" i="41" s="1"/>
  <c r="G592" i="41"/>
  <c r="H592" i="41" s="1"/>
  <c r="H593" i="41" s="1"/>
  <c r="H594" i="41" s="1"/>
  <c r="G576" i="41"/>
  <c r="H576" i="41" s="1"/>
  <c r="H577" i="41" s="1"/>
  <c r="H578" i="41" s="1"/>
  <c r="G560" i="41"/>
  <c r="H560" i="41" s="1"/>
  <c r="H561" i="41" s="1"/>
  <c r="H562" i="41" s="1"/>
  <c r="G544" i="41"/>
  <c r="H544" i="41" s="1"/>
  <c r="H545" i="41" s="1"/>
  <c r="H546" i="41" s="1"/>
  <c r="G528" i="41"/>
  <c r="H528" i="41" s="1"/>
  <c r="H529" i="41" s="1"/>
  <c r="H530" i="41" s="1"/>
  <c r="G512" i="41"/>
  <c r="H512" i="41" s="1"/>
  <c r="H513" i="41" s="1"/>
  <c r="H514" i="41" s="1"/>
  <c r="G496" i="41"/>
  <c r="H496" i="41" s="1"/>
  <c r="H497" i="41" s="1"/>
  <c r="H498" i="41" s="1"/>
  <c r="G480" i="41"/>
  <c r="H480" i="41" s="1"/>
  <c r="H481" i="41" s="1"/>
  <c r="H482" i="41" s="1"/>
  <c r="G464" i="41"/>
  <c r="H464" i="41" s="1"/>
  <c r="H465" i="41" s="1"/>
  <c r="H466" i="41" s="1"/>
  <c r="G447" i="41"/>
  <c r="H447" i="41" s="1"/>
  <c r="H448" i="41" s="1"/>
  <c r="H449" i="41" s="1"/>
  <c r="G430" i="41"/>
  <c r="H430" i="41" s="1"/>
  <c r="H431" i="41" s="1"/>
  <c r="H432" i="41" s="1"/>
  <c r="G413" i="41"/>
  <c r="H413" i="41" s="1"/>
  <c r="H414" i="41" s="1"/>
  <c r="H415" i="41" s="1"/>
  <c r="G397" i="41"/>
  <c r="H397" i="41" s="1"/>
  <c r="H398" i="41" s="1"/>
  <c r="H399" i="41" s="1"/>
  <c r="G381" i="41"/>
  <c r="H381" i="41" s="1"/>
  <c r="G362" i="41"/>
  <c r="H362" i="41" s="1"/>
  <c r="H363" i="41" s="1"/>
  <c r="H366" i="41" s="1"/>
  <c r="G346" i="41"/>
  <c r="H346" i="41" s="1"/>
  <c r="H347" i="41" s="1"/>
  <c r="H350" i="41" s="1"/>
  <c r="G330" i="41"/>
  <c r="H330" i="41" s="1"/>
  <c r="H331" i="41" s="1"/>
  <c r="H334" i="41" s="1"/>
  <c r="G314" i="41"/>
  <c r="H314" i="41" s="1"/>
  <c r="H315" i="41" s="1"/>
  <c r="H318" i="41" s="1"/>
  <c r="G298" i="41"/>
  <c r="H298" i="41" s="1"/>
  <c r="H299" i="41" s="1"/>
  <c r="H302" i="41" s="1"/>
  <c r="G282" i="41"/>
  <c r="H282" i="41" s="1"/>
  <c r="G268" i="41"/>
  <c r="H268" i="41" s="1"/>
  <c r="H269" i="41" s="1"/>
  <c r="G265" i="41"/>
  <c r="H265" i="41" s="1"/>
  <c r="H266" i="41" s="1"/>
  <c r="G251" i="41"/>
  <c r="H251" i="41" s="1"/>
  <c r="H252" i="41" s="1"/>
  <c r="G248" i="41"/>
  <c r="H248" i="41" s="1"/>
  <c r="H249" i="41" s="1"/>
  <c r="G233" i="41"/>
  <c r="H233" i="41" s="1"/>
  <c r="H234" i="41" s="1"/>
  <c r="G230" i="41"/>
  <c r="H230" i="41" s="1"/>
  <c r="H231" i="41" s="1"/>
  <c r="G216" i="41"/>
  <c r="H216" i="41" s="1"/>
  <c r="H217" i="41" s="1"/>
  <c r="G213" i="41"/>
  <c r="H213" i="41" s="1"/>
  <c r="H214" i="41" s="1"/>
  <c r="G199" i="41"/>
  <c r="H199" i="41" s="1"/>
  <c r="H200" i="41" s="1"/>
  <c r="G196" i="41"/>
  <c r="H196" i="41" s="1"/>
  <c r="H197" i="41" s="1"/>
  <c r="G182" i="41"/>
  <c r="H182" i="41" s="1"/>
  <c r="H183" i="41" s="1"/>
  <c r="G179" i="41"/>
  <c r="H179" i="41" s="1"/>
  <c r="H180" i="41" s="1"/>
  <c r="G165" i="41"/>
  <c r="H165" i="41" s="1"/>
  <c r="H166" i="41" s="1"/>
  <c r="G162" i="41"/>
  <c r="H162" i="41" s="1"/>
  <c r="H163" i="41" s="1"/>
  <c r="G147" i="41"/>
  <c r="H147" i="41" s="1"/>
  <c r="H148" i="41" s="1"/>
  <c r="G144" i="41"/>
  <c r="H144" i="41" s="1"/>
  <c r="H145" i="41" s="1"/>
  <c r="G130" i="41"/>
  <c r="H130" i="41" s="1"/>
  <c r="H131" i="41" s="1"/>
  <c r="G127" i="41"/>
  <c r="H127" i="41" s="1"/>
  <c r="H128" i="41" s="1"/>
  <c r="G113" i="41"/>
  <c r="H113" i="41" s="1"/>
  <c r="H114" i="41" s="1"/>
  <c r="G96" i="41"/>
  <c r="H96" i="41" s="1"/>
  <c r="H97" i="41" s="1"/>
  <c r="G110" i="41"/>
  <c r="H110" i="41" s="1"/>
  <c r="H111" i="41" s="1"/>
  <c r="G93" i="41"/>
  <c r="H93" i="41" s="1"/>
  <c r="H94" i="41" s="1"/>
  <c r="G77" i="41"/>
  <c r="H77" i="41" s="1"/>
  <c r="H78" i="41" s="1"/>
  <c r="H81" i="41" s="1"/>
  <c r="G61" i="41"/>
  <c r="H61" i="41" s="1"/>
  <c r="H62" i="41" s="1"/>
  <c r="H65" i="41" s="1"/>
  <c r="G45" i="41"/>
  <c r="H45" i="41" s="1"/>
  <c r="H46" i="41" s="1"/>
  <c r="H49" i="41" s="1"/>
  <c r="G29" i="41"/>
  <c r="H29" i="41" s="1"/>
  <c r="G13" i="41"/>
  <c r="H13" i="41" s="1"/>
  <c r="G1772" i="40"/>
  <c r="H1772" i="40" s="1"/>
  <c r="H1773" i="40" s="1"/>
  <c r="H1774" i="40" s="1"/>
  <c r="H1775" i="40" s="1"/>
  <c r="H1776" i="40" s="1"/>
  <c r="I1759" i="40" s="1"/>
  <c r="G1753" i="40"/>
  <c r="H1753" i="40" s="1"/>
  <c r="H1754" i="40" s="1"/>
  <c r="H1755" i="40" s="1"/>
  <c r="H1756" i="40" s="1"/>
  <c r="H1757" i="40" s="1"/>
  <c r="I1740" i="40" s="1"/>
  <c r="G1733" i="40"/>
  <c r="H1733" i="40" s="1"/>
  <c r="H1734" i="40" s="1"/>
  <c r="H1735" i="40" s="1"/>
  <c r="H1736" i="40" s="1"/>
  <c r="H1737" i="40" s="1"/>
  <c r="I1720" i="40" s="1"/>
  <c r="G1714" i="40"/>
  <c r="H1714" i="40" s="1"/>
  <c r="H1715" i="40" s="1"/>
  <c r="H1716" i="40" s="1"/>
  <c r="H1717" i="40" s="1"/>
  <c r="H1718" i="40" s="1"/>
  <c r="I1701" i="40" s="1"/>
  <c r="G1694" i="40"/>
  <c r="H1694" i="40" s="1"/>
  <c r="H1695" i="40" s="1"/>
  <c r="H1696" i="40" s="1"/>
  <c r="H1697" i="40" s="1"/>
  <c r="H1698" i="40" s="1"/>
  <c r="I1681" i="40" s="1"/>
  <c r="G1675" i="40"/>
  <c r="H1675" i="40" s="1"/>
  <c r="H1676" i="40" s="1"/>
  <c r="H1677" i="40" s="1"/>
  <c r="H1678" i="40" s="1"/>
  <c r="H1679" i="40" s="1"/>
  <c r="I1662" i="40" s="1"/>
  <c r="G1656" i="40"/>
  <c r="H1656" i="40" s="1"/>
  <c r="H1657" i="40" s="1"/>
  <c r="H1658" i="40" s="1"/>
  <c r="H1659" i="40" s="1"/>
  <c r="H1660" i="40" s="1"/>
  <c r="I1643" i="40" s="1"/>
  <c r="G1637" i="40"/>
  <c r="H1637" i="40" s="1"/>
  <c r="H1638" i="40" s="1"/>
  <c r="H1639" i="40" s="1"/>
  <c r="H1640" i="40" s="1"/>
  <c r="H1641" i="40" s="1"/>
  <c r="I1624" i="40" s="1"/>
  <c r="G1617" i="40"/>
  <c r="H1617" i="40" s="1"/>
  <c r="H1618" i="40" s="1"/>
  <c r="G1614" i="40"/>
  <c r="H1614" i="40" s="1"/>
  <c r="H1615" i="40" s="1"/>
  <c r="G1597" i="40"/>
  <c r="H1597" i="40" s="1"/>
  <c r="H1598" i="40" s="1"/>
  <c r="H1599" i="40" s="1"/>
  <c r="H1600" i="40" s="1"/>
  <c r="H1601" i="40" s="1"/>
  <c r="I1584" i="40" s="1"/>
  <c r="G1578" i="40"/>
  <c r="H1578" i="40" s="1"/>
  <c r="H1579" i="40" s="1"/>
  <c r="H1580" i="40" s="1"/>
  <c r="H1581" i="40" s="1"/>
  <c r="H1582" i="40" s="1"/>
  <c r="I1565" i="40" s="1"/>
  <c r="G1502" i="40"/>
  <c r="H1502" i="40" s="1"/>
  <c r="H1503" i="40" s="1"/>
  <c r="H1504" i="40" s="1"/>
  <c r="H1505" i="40" s="1"/>
  <c r="H1506" i="40" s="1"/>
  <c r="I1489" i="40" s="1"/>
  <c r="G1521" i="40"/>
  <c r="H1521" i="40" s="1"/>
  <c r="H1522" i="40" s="1"/>
  <c r="H1523" i="40" s="1"/>
  <c r="H1524" i="40" s="1"/>
  <c r="H1525" i="40" s="1"/>
  <c r="I1508" i="40" s="1"/>
  <c r="G1559" i="40"/>
  <c r="H1559" i="40" s="1"/>
  <c r="H1560" i="40" s="1"/>
  <c r="H1561" i="40" s="1"/>
  <c r="H1562" i="40" s="1"/>
  <c r="H1563" i="40" s="1"/>
  <c r="I1546" i="40" s="1"/>
  <c r="G1540" i="40"/>
  <c r="H1540" i="40" s="1"/>
  <c r="H1541" i="40" s="1"/>
  <c r="H1542" i="40" s="1"/>
  <c r="H1543" i="40" s="1"/>
  <c r="H1544" i="40" s="1"/>
  <c r="I1527" i="40" s="1"/>
  <c r="G1483" i="40"/>
  <c r="H1483" i="40" s="1"/>
  <c r="H1484" i="40" s="1"/>
  <c r="G1480" i="40"/>
  <c r="H1480" i="40" s="1"/>
  <c r="H1481" i="40" s="1"/>
  <c r="G1357" i="40"/>
  <c r="H1357" i="40" s="1"/>
  <c r="G1337" i="40"/>
  <c r="H1337" i="40" s="1"/>
  <c r="H1338" i="40" s="1"/>
  <c r="H1342" i="40" s="1"/>
  <c r="H1343" i="40" s="1"/>
  <c r="H1344" i="40" s="1"/>
  <c r="I1326" i="40" s="1"/>
  <c r="G1276" i="40"/>
  <c r="H1276" i="40" s="1"/>
  <c r="H1277" i="40" s="1"/>
  <c r="H1280" i="40" s="1"/>
  <c r="H1281" i="40" s="1"/>
  <c r="H1282" i="40" s="1"/>
  <c r="I1265" i="40" s="1"/>
  <c r="G1215" i="40"/>
  <c r="H1215" i="40" s="1"/>
  <c r="G1216" i="40"/>
  <c r="H1216" i="40" s="1"/>
  <c r="G1166" i="40"/>
  <c r="H1166" i="40" s="1"/>
  <c r="H1167" i="40" s="1"/>
  <c r="H1168" i="40" s="1"/>
  <c r="H1169" i="40" s="1"/>
  <c r="H1170" i="40" s="1"/>
  <c r="I1155" i="40" s="1"/>
  <c r="G1034" i="40"/>
  <c r="H1034" i="40" s="1"/>
  <c r="H1035" i="40" s="1"/>
  <c r="H1036" i="40" s="1"/>
  <c r="H1037" i="40" s="1"/>
  <c r="H1038" i="40" s="1"/>
  <c r="I1021" i="40" s="1"/>
  <c r="G1015" i="40"/>
  <c r="H1015" i="40" s="1"/>
  <c r="H1016" i="40" s="1"/>
  <c r="H1017" i="40" s="1"/>
  <c r="H1018" i="40" s="1"/>
  <c r="H1019" i="40" s="1"/>
  <c r="I1002" i="40" s="1"/>
  <c r="G996" i="40"/>
  <c r="H996" i="40" s="1"/>
  <c r="H997" i="40" s="1"/>
  <c r="H998" i="40" s="1"/>
  <c r="H999" i="40" s="1"/>
  <c r="H1000" i="40" s="1"/>
  <c r="I983" i="40" s="1"/>
  <c r="G977" i="40"/>
  <c r="H977" i="40" s="1"/>
  <c r="H978" i="40" s="1"/>
  <c r="H979" i="40" s="1"/>
  <c r="H980" i="40" s="1"/>
  <c r="H981" i="40" s="1"/>
  <c r="I964" i="40" s="1"/>
  <c r="G958" i="40"/>
  <c r="H958" i="40" s="1"/>
  <c r="H959" i="40" s="1"/>
  <c r="H960" i="40" s="1"/>
  <c r="H961" i="40" s="1"/>
  <c r="H962" i="40" s="1"/>
  <c r="I945" i="40" s="1"/>
  <c r="G939" i="40"/>
  <c r="H939" i="40" s="1"/>
  <c r="H940" i="40" s="1"/>
  <c r="H941" i="40" s="1"/>
  <c r="H942" i="40" s="1"/>
  <c r="H943" i="40" s="1"/>
  <c r="I926" i="40" s="1"/>
  <c r="G920" i="40"/>
  <c r="H920" i="40" s="1"/>
  <c r="H921" i="40" s="1"/>
  <c r="H922" i="40" s="1"/>
  <c r="H923" i="40" s="1"/>
  <c r="H924" i="40" s="1"/>
  <c r="I907" i="40" s="1"/>
  <c r="G901" i="40"/>
  <c r="H901" i="40" s="1"/>
  <c r="H902" i="40" s="1"/>
  <c r="H903" i="40" s="1"/>
  <c r="H904" i="40" s="1"/>
  <c r="H905" i="40" s="1"/>
  <c r="I888" i="40" s="1"/>
  <c r="G882" i="40"/>
  <c r="H882" i="40" s="1"/>
  <c r="H883" i="40" s="1"/>
  <c r="H884" i="40" s="1"/>
  <c r="H885" i="40" s="1"/>
  <c r="H886" i="40" s="1"/>
  <c r="I869" i="40" s="1"/>
  <c r="G863" i="40"/>
  <c r="H863" i="40" s="1"/>
  <c r="H864" i="40" s="1"/>
  <c r="H865" i="40" s="1"/>
  <c r="H866" i="40" s="1"/>
  <c r="H867" i="40" s="1"/>
  <c r="I850" i="40" s="1"/>
  <c r="G844" i="40"/>
  <c r="H844" i="40" s="1"/>
  <c r="H845" i="40" s="1"/>
  <c r="H846" i="40" s="1"/>
  <c r="H847" i="40" s="1"/>
  <c r="H848" i="40" s="1"/>
  <c r="I831" i="40" s="1"/>
  <c r="G825" i="40"/>
  <c r="H825" i="40" s="1"/>
  <c r="H826" i="40" s="1"/>
  <c r="H827" i="40" s="1"/>
  <c r="H828" i="40" s="1"/>
  <c r="H829" i="40" s="1"/>
  <c r="I812" i="40" s="1"/>
  <c r="G805" i="40"/>
  <c r="H805" i="40" s="1"/>
  <c r="H806" i="40" s="1"/>
  <c r="H807" i="40" s="1"/>
  <c r="H808" i="40" s="1"/>
  <c r="H809" i="40" s="1"/>
  <c r="I792" i="40" s="1"/>
  <c r="G786" i="40"/>
  <c r="H786" i="40" s="1"/>
  <c r="H787" i="40" s="1"/>
  <c r="H788" i="40" s="1"/>
  <c r="H789" i="40" s="1"/>
  <c r="H790" i="40" s="1"/>
  <c r="I773" i="40" s="1"/>
  <c r="G767" i="40"/>
  <c r="H767" i="40" s="1"/>
  <c r="H768" i="40" s="1"/>
  <c r="H769" i="40" s="1"/>
  <c r="H770" i="40" s="1"/>
  <c r="H771" i="40" s="1"/>
  <c r="I754" i="40" s="1"/>
  <c r="G748" i="40"/>
  <c r="H748" i="40" s="1"/>
  <c r="H749" i="40" s="1"/>
  <c r="H750" i="40" s="1"/>
  <c r="H751" i="40" s="1"/>
  <c r="H752" i="40" s="1"/>
  <c r="I735" i="40" s="1"/>
  <c r="G729" i="40"/>
  <c r="H729" i="40" s="1"/>
  <c r="H730" i="40" s="1"/>
  <c r="H731" i="40" s="1"/>
  <c r="H732" i="40" s="1"/>
  <c r="H733" i="40" s="1"/>
  <c r="I716" i="40" s="1"/>
  <c r="G710" i="40"/>
  <c r="H710" i="40" s="1"/>
  <c r="H711" i="40" s="1"/>
  <c r="H712" i="40" s="1"/>
  <c r="H713" i="40" s="1"/>
  <c r="H714" i="40" s="1"/>
  <c r="I697" i="40" s="1"/>
  <c r="G691" i="40"/>
  <c r="H691" i="40" s="1"/>
  <c r="H692" i="40" s="1"/>
  <c r="H693" i="40" s="1"/>
  <c r="H694" i="40" s="1"/>
  <c r="H695" i="40" s="1"/>
  <c r="I678" i="40" s="1"/>
  <c r="G672" i="40"/>
  <c r="H672" i="40" s="1"/>
  <c r="H673" i="40" s="1"/>
  <c r="H674" i="40" s="1"/>
  <c r="H675" i="40" s="1"/>
  <c r="H676" i="40" s="1"/>
  <c r="I659" i="40" s="1"/>
  <c r="G653" i="40"/>
  <c r="H653" i="40" s="1"/>
  <c r="H654" i="40" s="1"/>
  <c r="H655" i="40" s="1"/>
  <c r="H656" i="40" s="1"/>
  <c r="H657" i="40" s="1"/>
  <c r="I640" i="40" s="1"/>
  <c r="G634" i="40"/>
  <c r="H634" i="40" s="1"/>
  <c r="H635" i="40" s="1"/>
  <c r="H636" i="40" s="1"/>
  <c r="H637" i="40" s="1"/>
  <c r="H638" i="40" s="1"/>
  <c r="I621" i="40" s="1"/>
  <c r="G615" i="40"/>
  <c r="H615" i="40" s="1"/>
  <c r="H616" i="40" s="1"/>
  <c r="H617" i="40" s="1"/>
  <c r="H618" i="40" s="1"/>
  <c r="H619" i="40" s="1"/>
  <c r="I602" i="40" s="1"/>
  <c r="G596" i="40"/>
  <c r="H596" i="40" s="1"/>
  <c r="H597" i="40" s="1"/>
  <c r="H598" i="40" s="1"/>
  <c r="H599" i="40" s="1"/>
  <c r="H600" i="40" s="1"/>
  <c r="I583" i="40" s="1"/>
  <c r="G577" i="40"/>
  <c r="H577" i="40" s="1"/>
  <c r="H578" i="40" s="1"/>
  <c r="H579" i="40" s="1"/>
  <c r="H580" i="40" s="1"/>
  <c r="H581" i="40" s="1"/>
  <c r="I564" i="40" s="1"/>
  <c r="G558" i="40"/>
  <c r="H558" i="40" s="1"/>
  <c r="H559" i="40" s="1"/>
  <c r="H560" i="40" s="1"/>
  <c r="H561" i="40" s="1"/>
  <c r="H562" i="40" s="1"/>
  <c r="I545" i="40" s="1"/>
  <c r="G539" i="40"/>
  <c r="H539" i="40" s="1"/>
  <c r="H540" i="40" s="1"/>
  <c r="G534" i="40"/>
  <c r="H534" i="40" s="1"/>
  <c r="H537" i="40" s="1"/>
  <c r="G519" i="40"/>
  <c r="H519" i="40" s="1"/>
  <c r="H520" i="40" s="1"/>
  <c r="H521" i="40" s="1"/>
  <c r="H522" i="40" s="1"/>
  <c r="H523" i="40" s="1"/>
  <c r="I506" i="40" s="1"/>
  <c r="G500" i="40"/>
  <c r="H500" i="40" s="1"/>
  <c r="H501" i="40" s="1"/>
  <c r="H502" i="40" s="1"/>
  <c r="H503" i="40" s="1"/>
  <c r="H504" i="40" s="1"/>
  <c r="I487" i="40" s="1"/>
  <c r="G481" i="40"/>
  <c r="H481" i="40" s="1"/>
  <c r="H482" i="40" s="1"/>
  <c r="H483" i="40" s="1"/>
  <c r="G462" i="40"/>
  <c r="H462" i="40" s="1"/>
  <c r="H463" i="40" s="1"/>
  <c r="H464" i="40" s="1"/>
  <c r="H465" i="40" s="1"/>
  <c r="H466" i="40" s="1"/>
  <c r="I449" i="40" s="1"/>
  <c r="G443" i="40"/>
  <c r="H443" i="40" s="1"/>
  <c r="H444" i="40" s="1"/>
  <c r="H445" i="40" s="1"/>
  <c r="H446" i="40" s="1"/>
  <c r="H447" i="40" s="1"/>
  <c r="I430" i="40" s="1"/>
  <c r="G424" i="40"/>
  <c r="H424" i="40" s="1"/>
  <c r="H425" i="40" s="1"/>
  <c r="G421" i="40"/>
  <c r="H421" i="40" s="1"/>
  <c r="H422" i="40" s="1"/>
  <c r="G405" i="40"/>
  <c r="H405" i="40" s="1"/>
  <c r="H406" i="40" s="1"/>
  <c r="H407" i="40" s="1"/>
  <c r="H408" i="40" s="1"/>
  <c r="H409" i="40" s="1"/>
  <c r="I392" i="40" s="1"/>
  <c r="G386" i="40"/>
  <c r="H386" i="40" s="1"/>
  <c r="H387" i="40" s="1"/>
  <c r="H388" i="40" s="1"/>
  <c r="H389" i="40" s="1"/>
  <c r="H390" i="40" s="1"/>
  <c r="I373" i="40" s="1"/>
  <c r="G366" i="40"/>
  <c r="H366" i="40" s="1"/>
  <c r="H367" i="40" s="1"/>
  <c r="H368" i="40" s="1"/>
  <c r="H369" i="40" s="1"/>
  <c r="H370" i="40" s="1"/>
  <c r="I353" i="40" s="1"/>
  <c r="G346" i="40"/>
  <c r="H346" i="40" s="1"/>
  <c r="H347" i="40" s="1"/>
  <c r="H348" i="40" s="1"/>
  <c r="H349" i="40" s="1"/>
  <c r="H350" i="40" s="1"/>
  <c r="I333" i="40" s="1"/>
  <c r="G327" i="40"/>
  <c r="H327" i="40" s="1"/>
  <c r="H328" i="40" s="1"/>
  <c r="H329" i="40" s="1"/>
  <c r="H330" i="40" s="1"/>
  <c r="H331" i="40" s="1"/>
  <c r="I314" i="40" s="1"/>
  <c r="G307" i="40"/>
  <c r="H307" i="40" s="1"/>
  <c r="H308" i="40" s="1"/>
  <c r="H309" i="40" s="1"/>
  <c r="H310" i="40" s="1"/>
  <c r="H311" i="40" s="1"/>
  <c r="I294" i="40" s="1"/>
  <c r="G288" i="40"/>
  <c r="H288" i="40" s="1"/>
  <c r="H289" i="40" s="1"/>
  <c r="H290" i="40" s="1"/>
  <c r="H291" i="40" s="1"/>
  <c r="H292" i="40" s="1"/>
  <c r="I275" i="40" s="1"/>
  <c r="G268" i="40"/>
  <c r="H268" i="40" s="1"/>
  <c r="H269" i="40" s="1"/>
  <c r="H270" i="40" s="1"/>
  <c r="H271" i="40" s="1"/>
  <c r="H272" i="40" s="1"/>
  <c r="I255" i="40" s="1"/>
  <c r="G249" i="40"/>
  <c r="H249" i="40" s="1"/>
  <c r="H250" i="40" s="1"/>
  <c r="H251" i="40" s="1"/>
  <c r="H252" i="40" s="1"/>
  <c r="H253" i="40" s="1"/>
  <c r="I236" i="40" s="1"/>
  <c r="G230" i="40"/>
  <c r="H230" i="40" s="1"/>
  <c r="H231" i="40" s="1"/>
  <c r="H232" i="40" s="1"/>
  <c r="H233" i="40" s="1"/>
  <c r="H234" i="40" s="1"/>
  <c r="I217" i="40" s="1"/>
  <c r="G211" i="40"/>
  <c r="H211" i="40" s="1"/>
  <c r="H212" i="40" s="1"/>
  <c r="H213" i="40" s="1"/>
  <c r="H214" i="40" s="1"/>
  <c r="H215" i="40" s="1"/>
  <c r="I198" i="40" s="1"/>
  <c r="G191" i="40"/>
  <c r="H191" i="40" s="1"/>
  <c r="H192" i="40" s="1"/>
  <c r="H193" i="40" s="1"/>
  <c r="H194" i="40" s="1"/>
  <c r="H195" i="40" s="1"/>
  <c r="I178" i="40" s="1"/>
  <c r="G171" i="40"/>
  <c r="H171" i="40" s="1"/>
  <c r="H172" i="40" s="1"/>
  <c r="H173" i="40" s="1"/>
  <c r="H174" i="40" s="1"/>
  <c r="H175" i="40" s="1"/>
  <c r="I158" i="40" s="1"/>
  <c r="G152" i="40"/>
  <c r="H152" i="40" s="1"/>
  <c r="H153" i="40" s="1"/>
  <c r="H154" i="40" s="1"/>
  <c r="H155" i="40" s="1"/>
  <c r="H156" i="40" s="1"/>
  <c r="I139" i="40" s="1"/>
  <c r="G133" i="40"/>
  <c r="H133" i="40" s="1"/>
  <c r="H134" i="40" s="1"/>
  <c r="H135" i="40" s="1"/>
  <c r="H136" i="40" s="1"/>
  <c r="H137" i="40" s="1"/>
  <c r="I120" i="40" s="1"/>
  <c r="G113" i="40"/>
  <c r="H113" i="40" s="1"/>
  <c r="H114" i="40" s="1"/>
  <c r="H115" i="40" s="1"/>
  <c r="H116" i="40" s="1"/>
  <c r="H117" i="40" s="1"/>
  <c r="I100" i="40" s="1"/>
  <c r="G94" i="40"/>
  <c r="H94" i="40" s="1"/>
  <c r="H95" i="40" s="1"/>
  <c r="H96" i="40" s="1"/>
  <c r="H97" i="40" s="1"/>
  <c r="H98" i="40" s="1"/>
  <c r="I81" i="40" s="1"/>
  <c r="G75" i="40"/>
  <c r="H75" i="40" s="1"/>
  <c r="H76" i="40" s="1"/>
  <c r="H77" i="40" s="1"/>
  <c r="H78" i="40" s="1"/>
  <c r="H79" i="40" s="1"/>
  <c r="I62" i="40" s="1"/>
  <c r="G56" i="40"/>
  <c r="H56" i="40" s="1"/>
  <c r="H57" i="40" s="1"/>
  <c r="H58" i="40" s="1"/>
  <c r="H59" i="40" s="1"/>
  <c r="H60" i="40" s="1"/>
  <c r="I43" i="40" s="1"/>
  <c r="G37" i="40"/>
  <c r="H37" i="40" s="1"/>
  <c r="H38" i="40" s="1"/>
  <c r="H39" i="40" s="1"/>
  <c r="H40" i="40" s="1"/>
  <c r="H41" i="40" s="1"/>
  <c r="I24" i="40" s="1"/>
  <c r="G493" i="39"/>
  <c r="H493" i="39" s="1"/>
  <c r="G489" i="39"/>
  <c r="H489" i="39" s="1"/>
  <c r="G18" i="40"/>
  <c r="H18" i="40" s="1"/>
  <c r="H19" i="40" s="1"/>
  <c r="H20" i="40" s="1"/>
  <c r="H21" i="40" s="1"/>
  <c r="H22" i="40" s="1"/>
  <c r="G490" i="39"/>
  <c r="H490" i="39" s="1"/>
  <c r="G495" i="39"/>
  <c r="H495" i="39" s="1"/>
  <c r="G494" i="39"/>
  <c r="H494" i="39" s="1"/>
  <c r="G465" i="39"/>
  <c r="H465" i="39" s="1"/>
  <c r="G466" i="39"/>
  <c r="H466" i="39" s="1"/>
  <c r="G468" i="39"/>
  <c r="H468" i="39" s="1"/>
  <c r="G469" i="39"/>
  <c r="H469" i="39" s="1"/>
  <c r="G470" i="39"/>
  <c r="H470" i="39" s="1"/>
  <c r="G464" i="39"/>
  <c r="H464" i="39" s="1"/>
  <c r="G384" i="39"/>
  <c r="H384" i="39" s="1"/>
  <c r="G385" i="39"/>
  <c r="H385" i="39" s="1"/>
  <c r="G79" i="39"/>
  <c r="H79" i="39" s="1"/>
  <c r="H80" i="39" s="1"/>
  <c r="H81" i="39" s="1"/>
  <c r="H82" i="39" s="1"/>
  <c r="H83" i="39" s="1"/>
  <c r="I65" i="39" s="1"/>
  <c r="G390" i="39"/>
  <c r="H390" i="39" s="1"/>
  <c r="G389" i="39"/>
  <c r="H389" i="39" s="1"/>
  <c r="G355" i="39"/>
  <c r="H355" i="39" s="1"/>
  <c r="G356" i="39"/>
  <c r="H356" i="39" s="1"/>
  <c r="G284" i="39"/>
  <c r="H284" i="39" s="1"/>
  <c r="G283" i="39"/>
  <c r="H283" i="39" s="1"/>
  <c r="G259" i="39"/>
  <c r="H259" i="39" s="1"/>
  <c r="G258" i="39"/>
  <c r="H258" i="39" s="1"/>
  <c r="G157" i="39"/>
  <c r="H157" i="39" s="1"/>
  <c r="H158" i="39" s="1"/>
  <c r="H159" i="39" s="1"/>
  <c r="H160" i="39" s="1"/>
  <c r="H161" i="39" s="1"/>
  <c r="I143" i="39" s="1"/>
  <c r="G137" i="39"/>
  <c r="H137" i="39" s="1"/>
  <c r="H138" i="39" s="1"/>
  <c r="H139" i="39" s="1"/>
  <c r="H140" i="39" s="1"/>
  <c r="H141" i="39" s="1"/>
  <c r="I123" i="39" s="1"/>
  <c r="G59" i="39"/>
  <c r="H59" i="39" s="1"/>
  <c r="H60" i="39" s="1"/>
  <c r="H61" i="39" s="1"/>
  <c r="G17" i="39"/>
  <c r="H17" i="39" s="1"/>
  <c r="G16" i="39"/>
  <c r="H16" i="39" s="1"/>
  <c r="G15" i="39"/>
  <c r="H15" i="39" s="1"/>
  <c r="G5097" i="37"/>
  <c r="H5097" i="37" s="1"/>
  <c r="H5098" i="37" s="1"/>
  <c r="H5101" i="37" s="1"/>
  <c r="H5102" i="37" s="1"/>
  <c r="H5103" i="37" s="1"/>
  <c r="I5088" i="37" s="1"/>
  <c r="G4974" i="37"/>
  <c r="H4974" i="37" s="1"/>
  <c r="H4975" i="37" s="1"/>
  <c r="H4978" i="37" s="1"/>
  <c r="G4957" i="37"/>
  <c r="G4939" i="37"/>
  <c r="H4939" i="37" s="1"/>
  <c r="H4940" i="37" s="1"/>
  <c r="H4943" i="37" s="1"/>
  <c r="G4921" i="37"/>
  <c r="H4921" i="37" s="1"/>
  <c r="H4922" i="37" s="1"/>
  <c r="H4925" i="37" s="1"/>
  <c r="G4904" i="37"/>
  <c r="H4904" i="37" s="1"/>
  <c r="H4905" i="37" s="1"/>
  <c r="H4908" i="37" s="1"/>
  <c r="G4887" i="37"/>
  <c r="H4887" i="37" s="1"/>
  <c r="H4888" i="37" s="1"/>
  <c r="H4891" i="37" s="1"/>
  <c r="H4892" i="37" s="1"/>
  <c r="H4893" i="37" s="1"/>
  <c r="I4878" i="37" s="1"/>
  <c r="G4870" i="37"/>
  <c r="H4870" i="37" s="1"/>
  <c r="H4871" i="37" s="1"/>
  <c r="H4874" i="37" s="1"/>
  <c r="H4875" i="37" s="1"/>
  <c r="H4876" i="37" s="1"/>
  <c r="I4861" i="37" s="1"/>
  <c r="G4853" i="37"/>
  <c r="H4853" i="37" s="1"/>
  <c r="H4854" i="37" s="1"/>
  <c r="H4857" i="37" s="1"/>
  <c r="H4858" i="37" s="1"/>
  <c r="H4859" i="37" s="1"/>
  <c r="I4844" i="37" s="1"/>
  <c r="G4543" i="37"/>
  <c r="H4543" i="37" s="1"/>
  <c r="H4544" i="37" s="1"/>
  <c r="H4547" i="37" s="1"/>
  <c r="H4548" i="37" s="1"/>
  <c r="H4549" i="37" s="1"/>
  <c r="I4534" i="37" s="1"/>
  <c r="G4491" i="37"/>
  <c r="H4491" i="37" s="1"/>
  <c r="H4492" i="37" s="1"/>
  <c r="H4495" i="37" s="1"/>
  <c r="H4496" i="37" s="1"/>
  <c r="H4497" i="37" s="1"/>
  <c r="I4482" i="37" s="1"/>
  <c r="G4405" i="37"/>
  <c r="H4405" i="37" s="1"/>
  <c r="H4406" i="37" s="1"/>
  <c r="H4409" i="37" s="1"/>
  <c r="H4410" i="37" s="1"/>
  <c r="H4411" i="37" s="1"/>
  <c r="I4396" i="37" s="1"/>
  <c r="G4388" i="37"/>
  <c r="H4388" i="37" s="1"/>
  <c r="H4389" i="37" s="1"/>
  <c r="H4392" i="37" s="1"/>
  <c r="G4371" i="37"/>
  <c r="H4371" i="37" s="1"/>
  <c r="H4372" i="37" s="1"/>
  <c r="H4375" i="37" s="1"/>
  <c r="G4354" i="37"/>
  <c r="H4354" i="37" s="1"/>
  <c r="H4355" i="37" s="1"/>
  <c r="H4358" i="37" s="1"/>
  <c r="G4337" i="37"/>
  <c r="H4337" i="37" s="1"/>
  <c r="H4338" i="37" s="1"/>
  <c r="H4341" i="37" s="1"/>
  <c r="G4320" i="37"/>
  <c r="H4320" i="37" s="1"/>
  <c r="H4321" i="37" s="1"/>
  <c r="H4324" i="37" s="1"/>
  <c r="G4251" i="37"/>
  <c r="H4251" i="37" s="1"/>
  <c r="H4252" i="37" s="1"/>
  <c r="H4255" i="37" s="1"/>
  <c r="G4216" i="37"/>
  <c r="H4216" i="37" s="1"/>
  <c r="H4217" i="37" s="1"/>
  <c r="H4220" i="37" s="1"/>
  <c r="G4303" i="37"/>
  <c r="H4303" i="37" s="1"/>
  <c r="H4304" i="37" s="1"/>
  <c r="H4307" i="37" s="1"/>
  <c r="H4308" i="37" s="1"/>
  <c r="H4309" i="37" s="1"/>
  <c r="I4294" i="37" s="1"/>
  <c r="G4286" i="37"/>
  <c r="H4286" i="37" s="1"/>
  <c r="H4287" i="37" s="1"/>
  <c r="H4290" i="37" s="1"/>
  <c r="H4291" i="37" s="1"/>
  <c r="H4292" i="37" s="1"/>
  <c r="I4277" i="37" s="1"/>
  <c r="G4269" i="37"/>
  <c r="H4269" i="37" s="1"/>
  <c r="H4270" i="37" s="1"/>
  <c r="H4273" i="37" s="1"/>
  <c r="H4274" i="37" s="1"/>
  <c r="H4275" i="37" s="1"/>
  <c r="I4260" i="37" s="1"/>
  <c r="G4234" i="37"/>
  <c r="H4234" i="37" s="1"/>
  <c r="H4235" i="37" s="1"/>
  <c r="H4238" i="37" s="1"/>
  <c r="H4239" i="37" s="1"/>
  <c r="H4240" i="37" s="1"/>
  <c r="I4225" i="37" s="1"/>
  <c r="G4199" i="37"/>
  <c r="H4199" i="37" s="1"/>
  <c r="H4200" i="37" s="1"/>
  <c r="H4203" i="37" s="1"/>
  <c r="H4204" i="37" s="1"/>
  <c r="H4205" i="37" s="1"/>
  <c r="I4190" i="37" s="1"/>
  <c r="G4179" i="37"/>
  <c r="H4179" i="37" s="1"/>
  <c r="H4181" i="37" s="1"/>
  <c r="H4184" i="37" s="1"/>
  <c r="H4185" i="37" s="1"/>
  <c r="H4186" i="37" s="1"/>
  <c r="I4170" i="37" s="1"/>
  <c r="G4161" i="37"/>
  <c r="H4161" i="37" s="1"/>
  <c r="H4163" i="37" s="1"/>
  <c r="H4166" i="37" s="1"/>
  <c r="H4167" i="37" s="1"/>
  <c r="H4168" i="37" s="1"/>
  <c r="I4152" i="37" s="1"/>
  <c r="G4143" i="37"/>
  <c r="H4143" i="37" s="1"/>
  <c r="H4145" i="37" s="1"/>
  <c r="H4148" i="37" s="1"/>
  <c r="H4149" i="37" s="1"/>
  <c r="H4150" i="37" s="1"/>
  <c r="I4134" i="37" s="1"/>
  <c r="G4125" i="37"/>
  <c r="H4125" i="37" s="1"/>
  <c r="H4127" i="37" s="1"/>
  <c r="H4130" i="37" s="1"/>
  <c r="H4131" i="37" s="1"/>
  <c r="H4132" i="37" s="1"/>
  <c r="I4116" i="37" s="1"/>
  <c r="G4107" i="37"/>
  <c r="H4107" i="37" s="1"/>
  <c r="H4109" i="37" s="1"/>
  <c r="H4112" i="37" s="1"/>
  <c r="H4113" i="37" s="1"/>
  <c r="H4114" i="37" s="1"/>
  <c r="I4098" i="37" s="1"/>
  <c r="G4089" i="37"/>
  <c r="H4089" i="37" s="1"/>
  <c r="H4091" i="37" s="1"/>
  <c r="H4094" i="37" s="1"/>
  <c r="H4095" i="37" s="1"/>
  <c r="H4096" i="37" s="1"/>
  <c r="I4080" i="37" s="1"/>
  <c r="G4071" i="37"/>
  <c r="H4071" i="37" s="1"/>
  <c r="H4073" i="37" s="1"/>
  <c r="H4076" i="37" s="1"/>
  <c r="H4077" i="37" s="1"/>
  <c r="H4078" i="37" s="1"/>
  <c r="I4062" i="37" s="1"/>
  <c r="G3847" i="37"/>
  <c r="H3847" i="37" s="1"/>
  <c r="H3848" i="37" s="1"/>
  <c r="H3851" i="37" s="1"/>
  <c r="H3852" i="37" s="1"/>
  <c r="H3853" i="37" s="1"/>
  <c r="I3838" i="37" s="1"/>
  <c r="G3830" i="37"/>
  <c r="H3830" i="37" s="1"/>
  <c r="H3831" i="37" s="1"/>
  <c r="H3834" i="37" s="1"/>
  <c r="H3835" i="37" s="1"/>
  <c r="H3836" i="37" s="1"/>
  <c r="I3821" i="37" s="1"/>
  <c r="G3813" i="37"/>
  <c r="H3813" i="37" s="1"/>
  <c r="H3814" i="37" s="1"/>
  <c r="H3817" i="37" s="1"/>
  <c r="H3818" i="37" s="1"/>
  <c r="H3819" i="37" s="1"/>
  <c r="I3804" i="37" s="1"/>
  <c r="G3795" i="37"/>
  <c r="H3795" i="37" s="1"/>
  <c r="H3796" i="37" s="1"/>
  <c r="H3799" i="37" s="1"/>
  <c r="H3800" i="37" s="1"/>
  <c r="H3801" i="37" s="1"/>
  <c r="I3786" i="37" s="1"/>
  <c r="G3778" i="37"/>
  <c r="H3778" i="37" s="1"/>
  <c r="H3779" i="37" s="1"/>
  <c r="H3782" i="37" s="1"/>
  <c r="H3783" i="37" s="1"/>
  <c r="H3784" i="37" s="1"/>
  <c r="I3769" i="37" s="1"/>
  <c r="G3761" i="37"/>
  <c r="H3761" i="37" s="1"/>
  <c r="H3762" i="37" s="1"/>
  <c r="H3765" i="37" s="1"/>
  <c r="G3744" i="37"/>
  <c r="H3744" i="37" s="1"/>
  <c r="H3745" i="37" s="1"/>
  <c r="H3748" i="37" s="1"/>
  <c r="H3749" i="37" s="1"/>
  <c r="H3750" i="37" s="1"/>
  <c r="I3735" i="37" s="1"/>
  <c r="G3727" i="37"/>
  <c r="H3727" i="37" s="1"/>
  <c r="H3728" i="37" s="1"/>
  <c r="H3731" i="37" s="1"/>
  <c r="H3732" i="37" s="1"/>
  <c r="H3733" i="37" s="1"/>
  <c r="I3718" i="37" s="1"/>
  <c r="G3710" i="37"/>
  <c r="H3710" i="37" s="1"/>
  <c r="H3711" i="37" s="1"/>
  <c r="H3714" i="37" s="1"/>
  <c r="H3715" i="37" s="1"/>
  <c r="H3716" i="37" s="1"/>
  <c r="I3701" i="37" s="1"/>
  <c r="G3693" i="37"/>
  <c r="H3693" i="37" s="1"/>
  <c r="H3694" i="37" s="1"/>
  <c r="H3697" i="37" s="1"/>
  <c r="H3698" i="37" s="1"/>
  <c r="H3699" i="37" s="1"/>
  <c r="I3684" i="37" s="1"/>
  <c r="G3675" i="37"/>
  <c r="H3675" i="37" s="1"/>
  <c r="H3676" i="37" s="1"/>
  <c r="H3679" i="37" s="1"/>
  <c r="G3658" i="37"/>
  <c r="H3658" i="37" s="1"/>
  <c r="H3659" i="37" s="1"/>
  <c r="H3662" i="37" s="1"/>
  <c r="H3663" i="37" s="1"/>
  <c r="H3664" i="37" s="1"/>
  <c r="I3649" i="37" s="1"/>
  <c r="G3641" i="37"/>
  <c r="H3641" i="37" s="1"/>
  <c r="H3642" i="37" s="1"/>
  <c r="H3645" i="37" s="1"/>
  <c r="H3646" i="37" s="1"/>
  <c r="H3647" i="37" s="1"/>
  <c r="I3632" i="37" s="1"/>
  <c r="G3624" i="37"/>
  <c r="H3624" i="37" s="1"/>
  <c r="H3625" i="37" s="1"/>
  <c r="H3628" i="37" s="1"/>
  <c r="H3629" i="37" s="1"/>
  <c r="H3630" i="37" s="1"/>
  <c r="I3615" i="37" s="1"/>
  <c r="G3606" i="37"/>
  <c r="H3606" i="37" s="1"/>
  <c r="H3607" i="37" s="1"/>
  <c r="H3610" i="37" s="1"/>
  <c r="H3611" i="37" s="1"/>
  <c r="H3612" i="37" s="1"/>
  <c r="I3597" i="37" s="1"/>
  <c r="G3589" i="37"/>
  <c r="H3589" i="37" s="1"/>
  <c r="H3590" i="37" s="1"/>
  <c r="H3593" i="37" s="1"/>
  <c r="H3594" i="37" s="1"/>
  <c r="H3595" i="37" s="1"/>
  <c r="I3580" i="37" s="1"/>
  <c r="G3572" i="37"/>
  <c r="H3572" i="37" s="1"/>
  <c r="H3573" i="37" s="1"/>
  <c r="H3576" i="37" s="1"/>
  <c r="H3577" i="37" s="1"/>
  <c r="H3578" i="37" s="1"/>
  <c r="I3563" i="37" s="1"/>
  <c r="G3555" i="37"/>
  <c r="H3555" i="37" s="1"/>
  <c r="H3556" i="37" s="1"/>
  <c r="H3559" i="37" s="1"/>
  <c r="H3560" i="37" s="1"/>
  <c r="H3561" i="37" s="1"/>
  <c r="I3546" i="37" s="1"/>
  <c r="G3538" i="37"/>
  <c r="H3538" i="37" s="1"/>
  <c r="H3539" i="37" s="1"/>
  <c r="H3542" i="37" s="1"/>
  <c r="H3543" i="37" s="1"/>
  <c r="H3544" i="37" s="1"/>
  <c r="I3529" i="37" s="1"/>
  <c r="G3521" i="37"/>
  <c r="H3521" i="37" s="1"/>
  <c r="H3522" i="37" s="1"/>
  <c r="H3525" i="37" s="1"/>
  <c r="H3526" i="37" s="1"/>
  <c r="H3527" i="37" s="1"/>
  <c r="I3512" i="37" s="1"/>
  <c r="G3504" i="37"/>
  <c r="H3504" i="37" s="1"/>
  <c r="H3505" i="37" s="1"/>
  <c r="H3508" i="37" s="1"/>
  <c r="H3509" i="37" s="1"/>
  <c r="H3510" i="37" s="1"/>
  <c r="I3495" i="37" s="1"/>
  <c r="G3487" i="37"/>
  <c r="H3487" i="37" s="1"/>
  <c r="H3488" i="37" s="1"/>
  <c r="H3491" i="37" s="1"/>
  <c r="H3492" i="37" s="1"/>
  <c r="H3493" i="37" s="1"/>
  <c r="I3478" i="37" s="1"/>
  <c r="G3469" i="37"/>
  <c r="H3469" i="37" s="1"/>
  <c r="H3470" i="37" s="1"/>
  <c r="H3473" i="37" s="1"/>
  <c r="H3474" i="37" s="1"/>
  <c r="H3475" i="37" s="1"/>
  <c r="I3460" i="37" s="1"/>
  <c r="G3452" i="37"/>
  <c r="H3452" i="37" s="1"/>
  <c r="H3453" i="37" s="1"/>
  <c r="H3456" i="37" s="1"/>
  <c r="H3457" i="37" s="1"/>
  <c r="H3458" i="37" s="1"/>
  <c r="I3443" i="37" s="1"/>
  <c r="G3435" i="37"/>
  <c r="H3435" i="37" s="1"/>
  <c r="H3436" i="37" s="1"/>
  <c r="H3439" i="37" s="1"/>
  <c r="H3440" i="37" s="1"/>
  <c r="H3441" i="37" s="1"/>
  <c r="I3426" i="37" s="1"/>
  <c r="G3418" i="37"/>
  <c r="H3418" i="37" s="1"/>
  <c r="H3419" i="37" s="1"/>
  <c r="H3422" i="37" s="1"/>
  <c r="H3423" i="37" s="1"/>
  <c r="H3424" i="37" s="1"/>
  <c r="I3409" i="37" s="1"/>
  <c r="G3399" i="37"/>
  <c r="H3399" i="37" s="1"/>
  <c r="H3400" i="37" s="1"/>
  <c r="H3403" i="37" s="1"/>
  <c r="G3382" i="37"/>
  <c r="H3382" i="37" s="1"/>
  <c r="H3383" i="37" s="1"/>
  <c r="H3386" i="37" s="1"/>
  <c r="H3387" i="37" s="1"/>
  <c r="H3388" i="37" s="1"/>
  <c r="I3373" i="37" s="1"/>
  <c r="G3365" i="37"/>
  <c r="H3365" i="37" s="1"/>
  <c r="H3366" i="37" s="1"/>
  <c r="H3369" i="37" s="1"/>
  <c r="H3370" i="37" s="1"/>
  <c r="H3371" i="37" s="1"/>
  <c r="I3356" i="37" s="1"/>
  <c r="G3347" i="37"/>
  <c r="H3347" i="37" s="1"/>
  <c r="H3348" i="37" s="1"/>
  <c r="H3351" i="37" s="1"/>
  <c r="H3352" i="37" s="1"/>
  <c r="H3353" i="37" s="1"/>
  <c r="I3338" i="37" s="1"/>
  <c r="G3330" i="37"/>
  <c r="H3330" i="37" s="1"/>
  <c r="H3331" i="37" s="1"/>
  <c r="H3334" i="37" s="1"/>
  <c r="H3335" i="37" s="1"/>
  <c r="H3336" i="37" s="1"/>
  <c r="I3321" i="37" s="1"/>
  <c r="G3313" i="37"/>
  <c r="H3313" i="37" s="1"/>
  <c r="H3314" i="37" s="1"/>
  <c r="H3317" i="37" s="1"/>
  <c r="H3318" i="37" s="1"/>
  <c r="H3319" i="37" s="1"/>
  <c r="I3304" i="37" s="1"/>
  <c r="G3296" i="37"/>
  <c r="H3296" i="37" s="1"/>
  <c r="H3297" i="37" s="1"/>
  <c r="H3300" i="37" s="1"/>
  <c r="H3301" i="37" s="1"/>
  <c r="H3302" i="37" s="1"/>
  <c r="I3287" i="37" s="1"/>
  <c r="G3279" i="37"/>
  <c r="H3279" i="37" s="1"/>
  <c r="H3280" i="37" s="1"/>
  <c r="H3283" i="37" s="1"/>
  <c r="H3284" i="37" s="1"/>
  <c r="H3285" i="37" s="1"/>
  <c r="I3270" i="37" s="1"/>
  <c r="G3262" i="37"/>
  <c r="H3262" i="37" s="1"/>
  <c r="H3263" i="37" s="1"/>
  <c r="H3266" i="37" s="1"/>
  <c r="H3267" i="37" s="1"/>
  <c r="H3268" i="37" s="1"/>
  <c r="I3253" i="37" s="1"/>
  <c r="G3245" i="37"/>
  <c r="H3245" i="37" s="1"/>
  <c r="H3246" i="37" s="1"/>
  <c r="H3249" i="37" s="1"/>
  <c r="H3250" i="37" s="1"/>
  <c r="H3251" i="37" s="1"/>
  <c r="I3236" i="37" s="1"/>
  <c r="G3228" i="37"/>
  <c r="H3228" i="37" s="1"/>
  <c r="H3229" i="37" s="1"/>
  <c r="H3232" i="37" s="1"/>
  <c r="H3233" i="37" s="1"/>
  <c r="H3234" i="37" s="1"/>
  <c r="I3219" i="37" s="1"/>
  <c r="G3210" i="37"/>
  <c r="H3210" i="37" s="1"/>
  <c r="H3211" i="37" s="1"/>
  <c r="H3214" i="37" s="1"/>
  <c r="H3215" i="37" s="1"/>
  <c r="H3216" i="37" s="1"/>
  <c r="I3201" i="37" s="1"/>
  <c r="G3176" i="37"/>
  <c r="H3176" i="37" s="1"/>
  <c r="H3177" i="37" s="1"/>
  <c r="H3180" i="37" s="1"/>
  <c r="H3181" i="37" s="1"/>
  <c r="H3182" i="37" s="1"/>
  <c r="I3167" i="37" s="1"/>
  <c r="G3159" i="37"/>
  <c r="H3159" i="37" s="1"/>
  <c r="H3160" i="37" s="1"/>
  <c r="H3163" i="37" s="1"/>
  <c r="H3164" i="37" s="1"/>
  <c r="H3165" i="37" s="1"/>
  <c r="I3150" i="37" s="1"/>
  <c r="G3140" i="37"/>
  <c r="H3140" i="37" s="1"/>
  <c r="H3141" i="37" s="1"/>
  <c r="H3144" i="37" s="1"/>
  <c r="H3145" i="37" s="1"/>
  <c r="H3146" i="37" s="1"/>
  <c r="I3131" i="37" s="1"/>
  <c r="G3123" i="37"/>
  <c r="H3123" i="37" s="1"/>
  <c r="H3124" i="37" s="1"/>
  <c r="H3127" i="37" s="1"/>
  <c r="H3128" i="37" s="1"/>
  <c r="H3129" i="37" s="1"/>
  <c r="I3114" i="37" s="1"/>
  <c r="G3105" i="37"/>
  <c r="H3105" i="37" s="1"/>
  <c r="H3106" i="37" s="1"/>
  <c r="H3109" i="37" s="1"/>
  <c r="H3110" i="37" s="1"/>
  <c r="H3111" i="37" s="1"/>
  <c r="I3096" i="37" s="1"/>
  <c r="G3088" i="37"/>
  <c r="H3088" i="37" s="1"/>
  <c r="H3089" i="37" s="1"/>
  <c r="H3092" i="37" s="1"/>
  <c r="H3093" i="37" s="1"/>
  <c r="H3094" i="37" s="1"/>
  <c r="I3079" i="37" s="1"/>
  <c r="G3071" i="37"/>
  <c r="H3071" i="37" s="1"/>
  <c r="H3072" i="37" s="1"/>
  <c r="H3075" i="37" s="1"/>
  <c r="H3076" i="37" s="1"/>
  <c r="H3077" i="37" s="1"/>
  <c r="I3062" i="37" s="1"/>
  <c r="G3054" i="37"/>
  <c r="H3054" i="37" s="1"/>
  <c r="H3055" i="37" s="1"/>
  <c r="H3058" i="37" s="1"/>
  <c r="H3059" i="37" s="1"/>
  <c r="H3060" i="37" s="1"/>
  <c r="I3045" i="37" s="1"/>
  <c r="G3037" i="37"/>
  <c r="H3037" i="37" s="1"/>
  <c r="H3038" i="37" s="1"/>
  <c r="H3041" i="37" s="1"/>
  <c r="H3042" i="37" s="1"/>
  <c r="H3043" i="37" s="1"/>
  <c r="I3028" i="37" s="1"/>
  <c r="G3020" i="37"/>
  <c r="H3020" i="37" s="1"/>
  <c r="H3021" i="37" s="1"/>
  <c r="H3024" i="37" s="1"/>
  <c r="H3025" i="37" s="1"/>
  <c r="H3026" i="37" s="1"/>
  <c r="I3011" i="37" s="1"/>
  <c r="G3003" i="37"/>
  <c r="H3003" i="37" s="1"/>
  <c r="H3004" i="37" s="1"/>
  <c r="H3007" i="37" s="1"/>
  <c r="H3008" i="37" s="1"/>
  <c r="H3009" i="37" s="1"/>
  <c r="I2994" i="37" s="1"/>
  <c r="G2986" i="37"/>
  <c r="H2986" i="37" s="1"/>
  <c r="H2987" i="37" s="1"/>
  <c r="H2990" i="37" s="1"/>
  <c r="H2991" i="37" s="1"/>
  <c r="H2992" i="37" s="1"/>
  <c r="I2977" i="37" s="1"/>
  <c r="G2968" i="37"/>
  <c r="H2968" i="37" s="1"/>
  <c r="H2969" i="37" s="1"/>
  <c r="H2972" i="37" s="1"/>
  <c r="H2973" i="37" s="1"/>
  <c r="H2974" i="37" s="1"/>
  <c r="I2959" i="37" s="1"/>
  <c r="G2951" i="37"/>
  <c r="H2951" i="37" s="1"/>
  <c r="H2952" i="37" s="1"/>
  <c r="H2955" i="37" s="1"/>
  <c r="G2934" i="37"/>
  <c r="H2934" i="37" s="1"/>
  <c r="H2935" i="37" s="1"/>
  <c r="H2938" i="37" s="1"/>
  <c r="G2917" i="37"/>
  <c r="H2917" i="37" s="1"/>
  <c r="H2918" i="37" s="1"/>
  <c r="H2921" i="37" s="1"/>
  <c r="G2813" i="37"/>
  <c r="H2813" i="37" s="1"/>
  <c r="H2814" i="37" s="1"/>
  <c r="H2817" i="37" s="1"/>
  <c r="G2639" i="37"/>
  <c r="H2639" i="37" s="1"/>
  <c r="H2640" i="37" s="1"/>
  <c r="H2643" i="37" s="1"/>
  <c r="H2644" i="37" s="1"/>
  <c r="H2645" i="37" s="1"/>
  <c r="I2630" i="37" s="1"/>
  <c r="G2622" i="37"/>
  <c r="H2622" i="37" s="1"/>
  <c r="H2623" i="37" s="1"/>
  <c r="H2626" i="37" s="1"/>
  <c r="G2605" i="37"/>
  <c r="H2605" i="37" s="1"/>
  <c r="H2606" i="37" s="1"/>
  <c r="H2609" i="37" s="1"/>
  <c r="G2588" i="37"/>
  <c r="H2588" i="37" s="1"/>
  <c r="H2589" i="37" s="1"/>
  <c r="H2592" i="37" s="1"/>
  <c r="G2571" i="37"/>
  <c r="H2571" i="37" s="1"/>
  <c r="H2572" i="37" s="1"/>
  <c r="H2575" i="37" s="1"/>
  <c r="G2554" i="37"/>
  <c r="H2554" i="37" s="1"/>
  <c r="H2555" i="37" s="1"/>
  <c r="H2558" i="37" s="1"/>
  <c r="G2536" i="37"/>
  <c r="H2536" i="37" s="1"/>
  <c r="H2537" i="37" s="1"/>
  <c r="H2540" i="37" s="1"/>
  <c r="G2519" i="37"/>
  <c r="H2519" i="37" s="1"/>
  <c r="H2520" i="37" s="1"/>
  <c r="H2523" i="37" s="1"/>
  <c r="G2502" i="37"/>
  <c r="H2502" i="37" s="1"/>
  <c r="H2503" i="37" s="1"/>
  <c r="H2506" i="37" s="1"/>
  <c r="G2485" i="37"/>
  <c r="H2485" i="37" s="1"/>
  <c r="H2486" i="37" s="1"/>
  <c r="H2489" i="37" s="1"/>
  <c r="G2468" i="37"/>
  <c r="H2468" i="37" s="1"/>
  <c r="H2469" i="37" s="1"/>
  <c r="H2472" i="37" s="1"/>
  <c r="G2451" i="37"/>
  <c r="H2451" i="37" s="1"/>
  <c r="H2452" i="37" s="1"/>
  <c r="H2455" i="37" s="1"/>
  <c r="G2434" i="37"/>
  <c r="H2434" i="37" s="1"/>
  <c r="H2435" i="37" s="1"/>
  <c r="H2438" i="37" s="1"/>
  <c r="G2399" i="37"/>
  <c r="H2399" i="37" s="1"/>
  <c r="H2400" i="37" s="1"/>
  <c r="H2403" i="37" s="1"/>
  <c r="G2382" i="37"/>
  <c r="H2382" i="37" s="1"/>
  <c r="H2383" i="37" s="1"/>
  <c r="H2386" i="37" s="1"/>
  <c r="G2365" i="37"/>
  <c r="H2365" i="37" s="1"/>
  <c r="H2366" i="37" s="1"/>
  <c r="H2369" i="37" s="1"/>
  <c r="G2347" i="37"/>
  <c r="H2347" i="37" s="1"/>
  <c r="H2348" i="37" s="1"/>
  <c r="H2351" i="37" s="1"/>
  <c r="G2330" i="37"/>
  <c r="H2330" i="37" s="1"/>
  <c r="H2331" i="37" s="1"/>
  <c r="H2334" i="37" s="1"/>
  <c r="G2313" i="37"/>
  <c r="H2313" i="37" s="1"/>
  <c r="H2314" i="37" s="1"/>
  <c r="H2317" i="37" s="1"/>
  <c r="G2296" i="37"/>
  <c r="H2296" i="37" s="1"/>
  <c r="H2297" i="37" s="1"/>
  <c r="H2300" i="37" s="1"/>
  <c r="G2279" i="37"/>
  <c r="H2279" i="37" s="1"/>
  <c r="H2280" i="37" s="1"/>
  <c r="H2283" i="37" s="1"/>
  <c r="G1974" i="37"/>
  <c r="H1974" i="37" s="1"/>
  <c r="H1978" i="37" s="1"/>
  <c r="H1981" i="37" s="1"/>
  <c r="G1221" i="37"/>
  <c r="H1221" i="37" s="1"/>
  <c r="H1222" i="37" s="1"/>
  <c r="H1225" i="37" s="1"/>
  <c r="H1226" i="37" s="1"/>
  <c r="H1227" i="37" s="1"/>
  <c r="I1212" i="37" s="1"/>
  <c r="G1067" i="37"/>
  <c r="H1067" i="37" s="1"/>
  <c r="H1068" i="37" s="1"/>
  <c r="H1071" i="37" s="1"/>
  <c r="H1072" i="37" s="1"/>
  <c r="H1073" i="37" s="1"/>
  <c r="I1058" i="37" s="1"/>
  <c r="G216" i="23"/>
  <c r="H216" i="23" s="1"/>
  <c r="H219" i="23" s="1"/>
  <c r="H222" i="23" s="1"/>
  <c r="H223" i="23" s="1"/>
  <c r="H224" i="23" s="1"/>
  <c r="I204" i="23" s="1"/>
  <c r="G189" i="23"/>
  <c r="H189" i="23" s="1"/>
  <c r="G190" i="23"/>
  <c r="H190" i="23" s="1"/>
  <c r="G191" i="23"/>
  <c r="H191" i="23" s="1"/>
  <c r="G193" i="23"/>
  <c r="H193" i="23" s="1"/>
  <c r="G194" i="23"/>
  <c r="H194" i="23" s="1"/>
  <c r="G195" i="23"/>
  <c r="H195" i="23" s="1"/>
  <c r="G196" i="23"/>
  <c r="H196" i="23" s="1"/>
  <c r="G188" i="23"/>
  <c r="H188" i="23" s="1"/>
  <c r="H19" i="23"/>
  <c r="H20" i="23" s="1"/>
  <c r="I5" i="23" s="1"/>
  <c r="G252" i="22"/>
  <c r="H252" i="22" s="1"/>
  <c r="H253" i="22" s="1"/>
  <c r="G1011" i="25"/>
  <c r="H1011" i="25" s="1"/>
  <c r="H1012" i="25" s="1"/>
  <c r="H1015" i="25" s="1"/>
  <c r="H1016" i="25" s="1"/>
  <c r="H1017" i="25" s="1"/>
  <c r="I1002" i="25" s="1"/>
  <c r="H19" i="22"/>
  <c r="H20" i="22" s="1"/>
  <c r="I5" i="22" s="1"/>
  <c r="H977" i="25"/>
  <c r="H978" i="25" s="1"/>
  <c r="H981" i="25" s="1"/>
  <c r="H960" i="25"/>
  <c r="H961" i="25" s="1"/>
  <c r="H964" i="25" s="1"/>
  <c r="H965" i="25" s="1"/>
  <c r="H966" i="25" s="1"/>
  <c r="I951" i="25" s="1"/>
  <c r="G641" i="25"/>
  <c r="H641" i="25" s="1"/>
  <c r="H642" i="25" s="1"/>
  <c r="H645" i="25" s="1"/>
  <c r="H646" i="25" s="1"/>
  <c r="H647" i="25" s="1"/>
  <c r="I632" i="25" s="1"/>
  <c r="G13" i="25"/>
  <c r="H13" i="25" s="1"/>
  <c r="G5104" i="26"/>
  <c r="H5104" i="26" s="1"/>
  <c r="H5105" i="26" s="1"/>
  <c r="H5108" i="26" s="1"/>
  <c r="H5109" i="26" s="1"/>
  <c r="H5110" i="26" s="1"/>
  <c r="I5095" i="26" s="1"/>
  <c r="G5052" i="26"/>
  <c r="H5052" i="26" s="1"/>
  <c r="G5053" i="26"/>
  <c r="H5053" i="26" s="1"/>
  <c r="G5054" i="26"/>
  <c r="H5054" i="26" s="1"/>
  <c r="G5055" i="26"/>
  <c r="H5055" i="26" s="1"/>
  <c r="G5056" i="26"/>
  <c r="H5056" i="26" s="1"/>
  <c r="G5057" i="26"/>
  <c r="H5057" i="26" s="1"/>
  <c r="G5058" i="26"/>
  <c r="H5058" i="26" s="1"/>
  <c r="G5059" i="26"/>
  <c r="H5059" i="26" s="1"/>
  <c r="G5034" i="26"/>
  <c r="H5034" i="26" s="1"/>
  <c r="H5035" i="26" s="1"/>
  <c r="H5038" i="26" s="1"/>
  <c r="H5039" i="26" s="1"/>
  <c r="H5040" i="26" s="1"/>
  <c r="I5025" i="26" s="1"/>
  <c r="G5000" i="26"/>
  <c r="H5000" i="26" s="1"/>
  <c r="H5001" i="26" s="1"/>
  <c r="H5004" i="26" s="1"/>
  <c r="H5005" i="26" s="1"/>
  <c r="H5006" i="26" s="1"/>
  <c r="I4991" i="26" s="1"/>
  <c r="G4879" i="26"/>
  <c r="H4879" i="26" s="1"/>
  <c r="H4880" i="26" s="1"/>
  <c r="H4883" i="26" s="1"/>
  <c r="G4843" i="26"/>
  <c r="H4843" i="26" s="1"/>
  <c r="H4844" i="26" s="1"/>
  <c r="H4847" i="26" s="1"/>
  <c r="G4826" i="26"/>
  <c r="H4826" i="26" s="1"/>
  <c r="H4827" i="26" s="1"/>
  <c r="H4830" i="26" s="1"/>
  <c r="H226" i="21"/>
  <c r="G4792" i="26"/>
  <c r="H4792" i="26" s="1"/>
  <c r="H4793" i="26" s="1"/>
  <c r="G4765" i="26"/>
  <c r="H4765" i="26" s="1"/>
  <c r="H4766" i="26" s="1"/>
  <c r="G4728" i="26"/>
  <c r="H4728" i="26" s="1"/>
  <c r="H4729" i="26" s="1"/>
  <c r="H4732" i="26" s="1"/>
  <c r="G4692" i="26"/>
  <c r="H4692" i="26" s="1"/>
  <c r="H4693" i="26" s="1"/>
  <c r="H4696" i="26" s="1"/>
  <c r="G4656" i="26"/>
  <c r="H4656" i="26" s="1"/>
  <c r="H4657" i="26" s="1"/>
  <c r="H4660" i="26" s="1"/>
  <c r="G4621" i="26"/>
  <c r="H4621" i="26" s="1"/>
  <c r="H4622" i="26" s="1"/>
  <c r="H4625" i="26" s="1"/>
  <c r="G4585" i="26"/>
  <c r="H4585" i="26" s="1"/>
  <c r="H4586" i="26" s="1"/>
  <c r="H4589" i="26" s="1"/>
  <c r="G4550" i="26"/>
  <c r="H4550" i="26" s="1"/>
  <c r="H4551" i="26" s="1"/>
  <c r="H4554" i="26" s="1"/>
  <c r="G4516" i="26"/>
  <c r="H4516" i="26" s="1"/>
  <c r="H4517" i="26" s="1"/>
  <c r="H4520" i="26" s="1"/>
  <c r="G4482" i="26"/>
  <c r="H4482" i="26" s="1"/>
  <c r="H4483" i="26" s="1"/>
  <c r="H4486" i="26" s="1"/>
  <c r="G4448" i="26"/>
  <c r="H4448" i="26" s="1"/>
  <c r="H4449" i="26" s="1"/>
  <c r="H4452" i="26" s="1"/>
  <c r="G4414" i="26"/>
  <c r="H4414" i="26" s="1"/>
  <c r="H4415" i="26" s="1"/>
  <c r="H4418" i="26" s="1"/>
  <c r="H4419" i="26" s="1"/>
  <c r="H4420" i="26" s="1"/>
  <c r="I4405" i="26" s="1"/>
  <c r="G4810" i="26"/>
  <c r="H4810" i="26" s="1"/>
  <c r="H4811" i="26" s="1"/>
  <c r="G4789" i="26"/>
  <c r="H4789" i="26" s="1"/>
  <c r="H4790" i="26" s="1"/>
  <c r="G4567" i="26"/>
  <c r="H4567" i="26" s="1"/>
  <c r="H4568" i="26" s="1"/>
  <c r="H4571" i="26" s="1"/>
  <c r="G4499" i="26"/>
  <c r="H4499" i="26" s="1"/>
  <c r="H4500" i="26" s="1"/>
  <c r="H4503" i="26" s="1"/>
  <c r="G4431" i="26"/>
  <c r="H4431" i="26" s="1"/>
  <c r="H4432" i="26" s="1"/>
  <c r="H4435" i="26" s="1"/>
  <c r="G4807" i="26"/>
  <c r="H4807" i="26" s="1"/>
  <c r="H4808" i="26" s="1"/>
  <c r="G4768" i="26"/>
  <c r="H4768" i="26" s="1"/>
  <c r="H4769" i="26" s="1"/>
  <c r="G4746" i="26"/>
  <c r="H4746" i="26" s="1"/>
  <c r="H4747" i="26" s="1"/>
  <c r="H4750" i="26" s="1"/>
  <c r="G4710" i="26"/>
  <c r="H4710" i="26" s="1"/>
  <c r="H4711" i="26" s="1"/>
  <c r="H4714" i="26" s="1"/>
  <c r="G4674" i="26"/>
  <c r="H4674" i="26" s="1"/>
  <c r="H4675" i="26" s="1"/>
  <c r="H4678" i="26" s="1"/>
  <c r="G4638" i="26"/>
  <c r="H4638" i="26" s="1"/>
  <c r="H4639" i="26" s="1"/>
  <c r="H4642" i="26" s="1"/>
  <c r="G4603" i="26"/>
  <c r="H4603" i="26" s="1"/>
  <c r="H4604" i="26" s="1"/>
  <c r="H4607" i="26" s="1"/>
  <c r="G4533" i="26"/>
  <c r="H4533" i="26" s="1"/>
  <c r="H4534" i="26" s="1"/>
  <c r="H4537" i="26" s="1"/>
  <c r="G4465" i="26"/>
  <c r="H4465" i="26" s="1"/>
  <c r="H4466" i="26" s="1"/>
  <c r="H4469" i="26" s="1"/>
  <c r="H107" i="21"/>
  <c r="H114" i="21" s="1"/>
  <c r="H126" i="21"/>
  <c r="H149" i="21"/>
  <c r="H262" i="21"/>
  <c r="G2502" i="26"/>
  <c r="H2502" i="26" s="1"/>
  <c r="H2503" i="26" s="1"/>
  <c r="H2506" i="26" s="1"/>
  <c r="H2507" i="26" s="1"/>
  <c r="H2508" i="26" s="1"/>
  <c r="I2493" i="26" s="1"/>
  <c r="G2224" i="26"/>
  <c r="H2224" i="26" s="1"/>
  <c r="H2225" i="26" s="1"/>
  <c r="H2228" i="26" s="1"/>
  <c r="H12" i="20"/>
  <c r="H71" i="21"/>
  <c r="H89" i="21"/>
  <c r="H207" i="21"/>
  <c r="H240" i="21"/>
  <c r="H267" i="21"/>
  <c r="H336" i="21"/>
  <c r="H342" i="21" s="1"/>
  <c r="H353" i="21"/>
  <c r="H359" i="21" s="1"/>
  <c r="H360" i="21" s="1"/>
  <c r="H100" i="16"/>
  <c r="H145" i="21"/>
  <c r="H182" i="21"/>
  <c r="H1661" i="14"/>
  <c r="H1758" i="14"/>
  <c r="H1858" i="14"/>
  <c r="H1865" i="14" s="1"/>
  <c r="H138" i="15"/>
  <c r="H145" i="15" s="1"/>
  <c r="H146" i="15" s="1"/>
  <c r="H147" i="15" s="1"/>
  <c r="H156" i="15"/>
  <c r="H178" i="15"/>
  <c r="H303" i="15"/>
  <c r="H437" i="15"/>
  <c r="H489" i="15"/>
  <c r="H617" i="15"/>
  <c r="H623" i="15" s="1"/>
  <c r="H624" i="15" s="1"/>
  <c r="H625" i="15" s="1"/>
  <c r="H886" i="15"/>
  <c r="H892" i="15" s="1"/>
  <c r="H893" i="15" s="1"/>
  <c r="H28" i="16"/>
  <c r="H118" i="16"/>
  <c r="H135" i="16"/>
  <c r="H141" i="16" s="1"/>
  <c r="H187" i="16"/>
  <c r="H191" i="16"/>
  <c r="H249" i="16"/>
  <c r="H164" i="21"/>
  <c r="H171" i="21" s="1"/>
  <c r="H172" i="21" s="1"/>
  <c r="H173" i="21" s="1"/>
  <c r="H221" i="21"/>
  <c r="H300" i="21"/>
  <c r="H307" i="21" s="1"/>
  <c r="H308" i="21" s="1"/>
  <c r="H309" i="21" s="1"/>
  <c r="H318" i="21"/>
  <c r="H325" i="21" s="1"/>
  <c r="G1062" i="26"/>
  <c r="H1062" i="26" s="1"/>
  <c r="H1063" i="26" s="1"/>
  <c r="H1066" i="26" s="1"/>
  <c r="H1067" i="26" s="1"/>
  <c r="H1068" i="26" s="1"/>
  <c r="I1053" i="26" s="1"/>
  <c r="G1045" i="26"/>
  <c r="H1045" i="26" s="1"/>
  <c r="H1046" i="26" s="1"/>
  <c r="H1049" i="26" s="1"/>
  <c r="H1050" i="26" s="1"/>
  <c r="H1051" i="26" s="1"/>
  <c r="I1036" i="26" s="1"/>
  <c r="G1008" i="26"/>
  <c r="H1008" i="26" s="1"/>
  <c r="H1010" i="26" s="1"/>
  <c r="H1013" i="26" s="1"/>
  <c r="H1014" i="26" s="1"/>
  <c r="H1015" i="26" s="1"/>
  <c r="I999" i="26" s="1"/>
  <c r="G990" i="26"/>
  <c r="H990" i="26" s="1"/>
  <c r="H991" i="26" s="1"/>
  <c r="H994" i="26" s="1"/>
  <c r="H995" i="26" s="1"/>
  <c r="H996" i="26" s="1"/>
  <c r="I980" i="26" s="1"/>
  <c r="G970" i="26"/>
  <c r="H970" i="26" s="1"/>
  <c r="H972" i="26" s="1"/>
  <c r="H30" i="26"/>
  <c r="H36" i="26" s="1"/>
  <c r="H37" i="26" s="1"/>
  <c r="G424" i="21"/>
  <c r="H424" i="21" s="1"/>
  <c r="H74" i="21"/>
  <c r="H75" i="21" s="1"/>
  <c r="G52" i="21"/>
  <c r="H52" i="21" s="1"/>
  <c r="G163" i="20"/>
  <c r="H163" i="20" s="1"/>
  <c r="H165" i="20" s="1"/>
  <c r="H168" i="20" s="1"/>
  <c r="H169" i="20" s="1"/>
  <c r="H170" i="20" s="1"/>
  <c r="I154" i="20" s="1"/>
  <c r="H1541" i="14"/>
  <c r="H1581" i="14"/>
  <c r="H1738" i="14"/>
  <c r="H1799" i="14"/>
  <c r="H68" i="15"/>
  <c r="H120" i="15"/>
  <c r="H124" i="15"/>
  <c r="H192" i="15"/>
  <c r="H199" i="15" s="1"/>
  <c r="H210" i="15"/>
  <c r="H267" i="15"/>
  <c r="H275" i="15" s="1"/>
  <c r="H276" i="15" s="1"/>
  <c r="H277" i="15" s="1"/>
  <c r="H451" i="15"/>
  <c r="H470" i="15"/>
  <c r="H527" i="15"/>
  <c r="H651" i="15"/>
  <c r="H852" i="15"/>
  <c r="H938" i="15"/>
  <c r="H944" i="15" s="1"/>
  <c r="H945" i="15" s="1"/>
  <c r="H104" i="16"/>
  <c r="H169" i="16"/>
  <c r="H206" i="16"/>
  <c r="H225" i="16"/>
  <c r="H1561" i="14"/>
  <c r="H1601" i="14"/>
  <c r="H1642" i="14"/>
  <c r="H1778" i="14"/>
  <c r="H1973" i="14"/>
  <c r="H1995" i="14"/>
  <c r="H12" i="15"/>
  <c r="H19" i="15" s="1"/>
  <c r="H101" i="15"/>
  <c r="H106" i="15"/>
  <c r="H308" i="15"/>
  <c r="H583" i="15"/>
  <c r="H589" i="15" s="1"/>
  <c r="H634" i="15"/>
  <c r="H640" i="15" s="1"/>
  <c r="H641" i="15" s="1"/>
  <c r="H642" i="15" s="1"/>
  <c r="H668" i="15"/>
  <c r="H674" i="15" s="1"/>
  <c r="H675" i="15" s="1"/>
  <c r="H676" i="15" s="1"/>
  <c r="H869" i="15"/>
  <c r="H875" i="15" s="1"/>
  <c r="H955" i="15"/>
  <c r="H11" i="16"/>
  <c r="H32" i="16"/>
  <c r="H211" i="16"/>
  <c r="H244" i="16"/>
  <c r="H11" i="17"/>
  <c r="H15" i="17"/>
  <c r="H64" i="17"/>
  <c r="H70" i="17"/>
  <c r="H85" i="17"/>
  <c r="H92" i="17"/>
  <c r="G144" i="20"/>
  <c r="H144" i="20" s="1"/>
  <c r="H1623" i="14"/>
  <c r="H1876" i="14"/>
  <c r="H1933" i="14"/>
  <c r="H47" i="15"/>
  <c r="H53" i="15" s="1"/>
  <c r="H54" i="15" s="1"/>
  <c r="H174" i="15"/>
  <c r="H286" i="15"/>
  <c r="H292" i="15" s="1"/>
  <c r="H293" i="15" s="1"/>
  <c r="H294" i="15" s="1"/>
  <c r="H358" i="15"/>
  <c r="H432" i="15"/>
  <c r="H508" i="15"/>
  <c r="H921" i="15"/>
  <c r="H927" i="15" s="1"/>
  <c r="H928" i="15" s="1"/>
  <c r="H46" i="16"/>
  <c r="H64" i="16"/>
  <c r="H71" i="16" s="1"/>
  <c r="H82" i="16"/>
  <c r="H86" i="16"/>
  <c r="H152" i="16"/>
  <c r="H158" i="16" s="1"/>
  <c r="H159" i="16" s="1"/>
  <c r="H229" i="16"/>
  <c r="H29" i="17"/>
  <c r="H33" i="17"/>
  <c r="H46" i="17"/>
  <c r="G124" i="20"/>
  <c r="H124" i="20" s="1"/>
  <c r="G125" i="20"/>
  <c r="H125" i="20" s="1"/>
  <c r="G38" i="20"/>
  <c r="H38" i="20" s="1"/>
  <c r="H39" i="20" s="1"/>
  <c r="H40" i="20" s="1"/>
  <c r="H41" i="20" s="1"/>
  <c r="H42" i="20" s="1"/>
  <c r="I25" i="20" s="1"/>
  <c r="G18" i="20"/>
  <c r="H18" i="20" s="1"/>
  <c r="H19" i="20" s="1"/>
  <c r="H13" i="35"/>
  <c r="G12" i="35"/>
  <c r="H12" i="35" s="1"/>
  <c r="G110" i="17"/>
  <c r="H110" i="17" s="1"/>
  <c r="G111" i="17"/>
  <c r="H111" i="17" s="1"/>
  <c r="H13" i="16"/>
  <c r="H14" i="16" s="1"/>
  <c r="H125" i="16"/>
  <c r="H126" i="16" s="1"/>
  <c r="G975" i="15"/>
  <c r="G798" i="15"/>
  <c r="H798" i="15" s="1"/>
  <c r="G799" i="15"/>
  <c r="H799" i="15" s="1"/>
  <c r="H957" i="15"/>
  <c r="H958" i="15" s="1"/>
  <c r="H854" i="15"/>
  <c r="H855" i="15" s="1"/>
  <c r="H653" i="15"/>
  <c r="H654" i="15" s="1"/>
  <c r="I316" i="15"/>
  <c r="I1269" i="14"/>
  <c r="G2035" i="14"/>
  <c r="H2035" i="14" s="1"/>
  <c r="H1322" i="14"/>
  <c r="H1358" i="14"/>
  <c r="H1412" i="14"/>
  <c r="H1444" i="14"/>
  <c r="H1450" i="14" s="1"/>
  <c r="H1451" i="14" s="1"/>
  <c r="H1452" i="14" s="1"/>
  <c r="H1354" i="14"/>
  <c r="H1376" i="14"/>
  <c r="H1408" i="14"/>
  <c r="H1372" i="14"/>
  <c r="H1390" i="14"/>
  <c r="H1394" i="14"/>
  <c r="H1461" i="14"/>
  <c r="H1467" i="14" s="1"/>
  <c r="H1478" i="14"/>
  <c r="H1486" i="14" s="1"/>
  <c r="H1487" i="14" s="1"/>
  <c r="H1488" i="14" s="1"/>
  <c r="H1318" i="14"/>
  <c r="H1336" i="14"/>
  <c r="H1343" i="14" s="1"/>
  <c r="H729" i="14"/>
  <c r="H890" i="14"/>
  <c r="H972" i="14"/>
  <c r="H1114" i="14"/>
  <c r="H1094" i="14"/>
  <c r="H992" i="14"/>
  <c r="H1072" i="14"/>
  <c r="H790" i="14"/>
  <c r="H870" i="14"/>
  <c r="H850" i="14"/>
  <c r="H930" i="14"/>
  <c r="H830" i="14"/>
  <c r="H709" i="14"/>
  <c r="H689" i="14"/>
  <c r="H669" i="14"/>
  <c r="H749" i="14"/>
  <c r="H408" i="19"/>
  <c r="H525" i="14"/>
  <c r="H440" i="19"/>
  <c r="H446" i="19" s="1"/>
  <c r="G548" i="14"/>
  <c r="H548" i="14" s="1"/>
  <c r="H404" i="14"/>
  <c r="H505" i="14"/>
  <c r="H425" i="14"/>
  <c r="H465" i="14"/>
  <c r="H326" i="14"/>
  <c r="H384" i="14"/>
  <c r="H265" i="14"/>
  <c r="H305" i="14"/>
  <c r="H366" i="14"/>
  <c r="H373" i="14" s="1"/>
  <c r="H346" i="14"/>
  <c r="H285" i="14"/>
  <c r="H102" i="19"/>
  <c r="H108" i="19" s="1"/>
  <c r="H109" i="19" s="1"/>
  <c r="H110" i="19" s="1"/>
  <c r="H119" i="19"/>
  <c r="H124" i="19"/>
  <c r="H11" i="12"/>
  <c r="H29" i="12"/>
  <c r="H69" i="14"/>
  <c r="H79" i="19"/>
  <c r="H173" i="19"/>
  <c r="H177" i="19"/>
  <c r="H246" i="19"/>
  <c r="H251" i="19"/>
  <c r="H302" i="19"/>
  <c r="H309" i="19"/>
  <c r="H457" i="19"/>
  <c r="H465" i="19"/>
  <c r="H47" i="12"/>
  <c r="H225" i="12"/>
  <c r="H56" i="19"/>
  <c r="H65" i="19"/>
  <c r="H153" i="19"/>
  <c r="H158" i="19"/>
  <c r="H323" i="19"/>
  <c r="H329" i="19"/>
  <c r="H343" i="19"/>
  <c r="H349" i="19"/>
  <c r="H363" i="19"/>
  <c r="H370" i="19"/>
  <c r="H404" i="19"/>
  <c r="H65" i="12"/>
  <c r="H72" i="12" s="1"/>
  <c r="H12" i="14"/>
  <c r="H165" i="14"/>
  <c r="H384" i="19"/>
  <c r="H389" i="19"/>
  <c r="G280" i="12"/>
  <c r="H280" i="12" s="1"/>
  <c r="H281" i="12" s="1"/>
  <c r="H284" i="12" s="1"/>
  <c r="H285" i="12" s="1"/>
  <c r="H286" i="12" s="1"/>
  <c r="I271" i="12" s="1"/>
  <c r="H425" i="10"/>
  <c r="H235" i="13"/>
  <c r="H457" i="10"/>
  <c r="H421" i="10"/>
  <c r="H476" i="10"/>
  <c r="H496" i="10"/>
  <c r="H439" i="10"/>
  <c r="H443" i="10"/>
  <c r="H461" i="10"/>
  <c r="H381" i="10"/>
  <c r="H362" i="10"/>
  <c r="H243" i="10"/>
  <c r="H268" i="13"/>
  <c r="H343" i="10"/>
  <c r="H324" i="10"/>
  <c r="H88" i="10"/>
  <c r="H183" i="10"/>
  <c r="H223" i="10"/>
  <c r="H283" i="10"/>
  <c r="H12" i="10"/>
  <c r="H263" i="10"/>
  <c r="H69" i="10"/>
  <c r="H145" i="10"/>
  <c r="H31" i="10"/>
  <c r="H107" i="10"/>
  <c r="H164" i="10"/>
  <c r="H217" i="13"/>
  <c r="H250" i="13"/>
  <c r="H254" i="13"/>
  <c r="H195" i="13"/>
  <c r="H199" i="13"/>
  <c r="H231" i="13"/>
  <c r="H177" i="13"/>
  <c r="H181" i="13"/>
  <c r="H213" i="13"/>
  <c r="H122" i="13"/>
  <c r="H88" i="13"/>
  <c r="H103" i="13"/>
  <c r="H110" i="13" s="1"/>
  <c r="H111" i="13" s="1"/>
  <c r="H112" i="13" s="1"/>
  <c r="H84" i="13"/>
  <c r="H12" i="13"/>
  <c r="H18" i="13" s="1"/>
  <c r="H29" i="13"/>
  <c r="H35" i="13" s="1"/>
  <c r="H46" i="13"/>
  <c r="H52" i="13" s="1"/>
  <c r="H69" i="13"/>
  <c r="H63" i="13"/>
  <c r="H182" i="11"/>
  <c r="H236" i="11"/>
  <c r="H272" i="11"/>
  <c r="H308" i="11"/>
  <c r="H416" i="11"/>
  <c r="H419" i="11" s="1"/>
  <c r="H420" i="11" s="1"/>
  <c r="H421" i="11" s="1"/>
  <c r="H452" i="11"/>
  <c r="H597" i="11"/>
  <c r="H629" i="11"/>
  <c r="H636" i="11" s="1"/>
  <c r="H817" i="11"/>
  <c r="H945" i="11"/>
  <c r="H981" i="11"/>
  <c r="H160" i="11"/>
  <c r="H164" i="11"/>
  <c r="H196" i="11"/>
  <c r="H203" i="11" s="1"/>
  <c r="H218" i="11"/>
  <c r="H254" i="11"/>
  <c r="H286" i="11"/>
  <c r="H290" i="11"/>
  <c r="H322" i="11"/>
  <c r="H329" i="11" s="1"/>
  <c r="H330" i="11" s="1"/>
  <c r="H331" i="11" s="1"/>
  <c r="H344" i="11"/>
  <c r="H347" i="11" s="1"/>
  <c r="H398" i="11"/>
  <c r="H430" i="11"/>
  <c r="H434" i="11"/>
  <c r="H466" i="11"/>
  <c r="H470" i="11"/>
  <c r="H579" i="11"/>
  <c r="H611" i="11"/>
  <c r="H615" i="11"/>
  <c r="H832" i="11"/>
  <c r="H838" i="11" s="1"/>
  <c r="H885" i="11"/>
  <c r="H927" i="11"/>
  <c r="H959" i="11"/>
  <c r="H963" i="11"/>
  <c r="H214" i="11"/>
  <c r="H362" i="11"/>
  <c r="H394" i="11"/>
  <c r="H502" i="11"/>
  <c r="H538" i="11"/>
  <c r="H556" i="11"/>
  <c r="H575" i="11"/>
  <c r="H647" i="11"/>
  <c r="H651" i="11"/>
  <c r="H703" i="11"/>
  <c r="H707" i="11"/>
  <c r="H740" i="11"/>
  <c r="H744" i="11"/>
  <c r="H776" i="11"/>
  <c r="H780" i="11"/>
  <c r="H849" i="11"/>
  <c r="H853" i="11"/>
  <c r="H923" i="11"/>
  <c r="H119" i="11"/>
  <c r="H178" i="11"/>
  <c r="H232" i="11"/>
  <c r="H268" i="11"/>
  <c r="H304" i="11"/>
  <c r="H358" i="11"/>
  <c r="H448" i="11"/>
  <c r="H484" i="11"/>
  <c r="H491" i="11" s="1"/>
  <c r="H492" i="11" s="1"/>
  <c r="H493" i="11" s="1"/>
  <c r="H593" i="11"/>
  <c r="H813" i="11"/>
  <c r="H904" i="11"/>
  <c r="H909" i="11"/>
  <c r="H941" i="11"/>
  <c r="H977" i="11"/>
  <c r="H376" i="11"/>
  <c r="H380" i="11"/>
  <c r="H665" i="11"/>
  <c r="H671" i="11"/>
  <c r="H685" i="11"/>
  <c r="H689" i="11"/>
  <c r="H722" i="11"/>
  <c r="H726" i="11"/>
  <c r="H758" i="11"/>
  <c r="H762" i="11"/>
  <c r="H794" i="11"/>
  <c r="H799" i="11"/>
  <c r="H867" i="11"/>
  <c r="H873" i="11" s="1"/>
  <c r="G887" i="11"/>
  <c r="H887" i="11" s="1"/>
  <c r="H890" i="11" s="1"/>
  <c r="H286" i="33"/>
  <c r="I286" i="33" s="1"/>
  <c r="H285" i="33"/>
  <c r="I285" i="33" s="1"/>
  <c r="H267" i="33"/>
  <c r="I267" i="33" s="1"/>
  <c r="H266" i="33"/>
  <c r="I266" i="33" s="1"/>
  <c r="H249" i="33"/>
  <c r="I249" i="33" s="1"/>
  <c r="H248" i="33"/>
  <c r="I248" i="33" s="1"/>
  <c r="H231" i="33"/>
  <c r="I231" i="33" s="1"/>
  <c r="H230" i="33"/>
  <c r="I230" i="33" s="1"/>
  <c r="H213" i="33"/>
  <c r="I213" i="33" s="1"/>
  <c r="H212" i="33"/>
  <c r="I212" i="33" s="1"/>
  <c r="H195" i="33"/>
  <c r="I195" i="33" s="1"/>
  <c r="H194" i="33"/>
  <c r="I194" i="33" s="1"/>
  <c r="H178" i="33"/>
  <c r="I178" i="33" s="1"/>
  <c r="H177" i="33"/>
  <c r="I177" i="33" s="1"/>
  <c r="H159" i="33"/>
  <c r="I159" i="33" s="1"/>
  <c r="H158" i="33"/>
  <c r="I158" i="33" s="1"/>
  <c r="H141" i="33"/>
  <c r="I141" i="33" s="1"/>
  <c r="H140" i="33"/>
  <c r="I140" i="33" s="1"/>
  <c r="H122" i="33"/>
  <c r="I122" i="33" s="1"/>
  <c r="H121" i="33"/>
  <c r="I121" i="33" s="1"/>
  <c r="H104" i="33"/>
  <c r="I104" i="33" s="1"/>
  <c r="H103" i="33"/>
  <c r="I103" i="33" s="1"/>
  <c r="H85" i="33"/>
  <c r="I85" i="33" s="1"/>
  <c r="H84" i="33"/>
  <c r="I84" i="33" s="1"/>
  <c r="H12" i="11"/>
  <c r="H18" i="11" s="1"/>
  <c r="H29" i="11"/>
  <c r="H35" i="11" s="1"/>
  <c r="H138" i="11"/>
  <c r="H63" i="11"/>
  <c r="H70" i="11" s="1"/>
  <c r="H81" i="11"/>
  <c r="H89" i="11" s="1"/>
  <c r="H46" i="11"/>
  <c r="H52" i="11" s="1"/>
  <c r="H13" i="18"/>
  <c r="I13" i="18" s="1"/>
  <c r="H30" i="33"/>
  <c r="I30" i="33" s="1"/>
  <c r="H10" i="33"/>
  <c r="I10" i="33" s="1"/>
  <c r="H51" i="18"/>
  <c r="I51" i="18" s="1"/>
  <c r="H52" i="18"/>
  <c r="I52" i="18" s="1"/>
  <c r="H11" i="33"/>
  <c r="I11" i="33" s="1"/>
  <c r="H29" i="33"/>
  <c r="I29" i="33" s="1"/>
  <c r="H13" i="33"/>
  <c r="I13" i="33" s="1"/>
  <c r="H50" i="18"/>
  <c r="I50" i="18" s="1"/>
  <c r="H31" i="33"/>
  <c r="I31" i="33" s="1"/>
  <c r="H48" i="33"/>
  <c r="I48" i="33" s="1"/>
  <c r="I49" i="33" s="1"/>
  <c r="I52" i="33" s="1"/>
  <c r="H32" i="33"/>
  <c r="I32" i="33" s="1"/>
  <c r="H12" i="33"/>
  <c r="I12" i="33" s="1"/>
  <c r="H35" i="18"/>
  <c r="I35" i="18" s="1"/>
  <c r="H34" i="18"/>
  <c r="I34" i="18" s="1"/>
  <c r="I538" i="7"/>
  <c r="I556" i="7"/>
  <c r="H31" i="18"/>
  <c r="I31" i="18" s="1"/>
  <c r="H30" i="18"/>
  <c r="I30" i="18" s="1"/>
  <c r="H16" i="32"/>
  <c r="I16" i="32" s="1"/>
  <c r="I17" i="32" s="1"/>
  <c r="I18" i="32" s="1"/>
  <c r="H345" i="31"/>
  <c r="I345" i="31" s="1"/>
  <c r="H324" i="31"/>
  <c r="I324" i="31" s="1"/>
  <c r="H16" i="18"/>
  <c r="I16" i="18" s="1"/>
  <c r="I17" i="18" s="1"/>
  <c r="H462" i="31"/>
  <c r="I462" i="31" s="1"/>
  <c r="I464" i="31" s="1"/>
  <c r="I467" i="31" s="1"/>
  <c r="H441" i="31"/>
  <c r="I441" i="31" s="1"/>
  <c r="I443" i="31" s="1"/>
  <c r="I446" i="31" s="1"/>
  <c r="H420" i="31"/>
  <c r="I420" i="31" s="1"/>
  <c r="I422" i="31" s="1"/>
  <c r="I425" i="31" s="1"/>
  <c r="H399" i="31"/>
  <c r="I399" i="31" s="1"/>
  <c r="I401" i="31" s="1"/>
  <c r="I404" i="31" s="1"/>
  <c r="H285" i="31"/>
  <c r="I285" i="31" s="1"/>
  <c r="H286" i="31"/>
  <c r="I286" i="31" s="1"/>
  <c r="H346" i="31"/>
  <c r="I346" i="31" s="1"/>
  <c r="H325" i="31"/>
  <c r="I325" i="31" s="1"/>
  <c r="H305" i="31"/>
  <c r="I305" i="31" s="1"/>
  <c r="H304" i="31"/>
  <c r="I304" i="31" s="1"/>
  <c r="I406" i="7"/>
  <c r="I456" i="7"/>
  <c r="H888" i="8"/>
  <c r="H893" i="8" s="1"/>
  <c r="H894" i="8" s="1"/>
  <c r="H895" i="8" s="1"/>
  <c r="H932" i="8"/>
  <c r="H938" i="8" s="1"/>
  <c r="H979" i="8"/>
  <c r="H985" i="8" s="1"/>
  <c r="I185" i="9"/>
  <c r="H342" i="22"/>
  <c r="H343" i="22" s="1"/>
  <c r="H344" i="22" s="1"/>
  <c r="I329" i="22" s="1"/>
  <c r="H12" i="18"/>
  <c r="I12" i="18" s="1"/>
  <c r="I102" i="7"/>
  <c r="I177" i="7"/>
  <c r="I196" i="7"/>
  <c r="I237" i="7"/>
  <c r="I320" i="7"/>
  <c r="I374" i="7"/>
  <c r="I424" i="7"/>
  <c r="I506" i="7"/>
  <c r="I588" i="7"/>
  <c r="H264" i="31"/>
  <c r="I264" i="31" s="1"/>
  <c r="H210" i="31"/>
  <c r="I210" i="31" s="1"/>
  <c r="I211" i="31" s="1"/>
  <c r="I212" i="31" s="1"/>
  <c r="I213" i="31" s="1"/>
  <c r="H227" i="31"/>
  <c r="I227" i="31" s="1"/>
  <c r="I228" i="31" s="1"/>
  <c r="I229" i="31" s="1"/>
  <c r="I230" i="31" s="1"/>
  <c r="I231" i="31" s="1"/>
  <c r="J217" i="31" s="1"/>
  <c r="H265" i="31"/>
  <c r="I265" i="31" s="1"/>
  <c r="H244" i="31"/>
  <c r="I244" i="31" s="1"/>
  <c r="I245" i="31" s="1"/>
  <c r="I246" i="31" s="1"/>
  <c r="I247" i="31" s="1"/>
  <c r="I248" i="31" s="1"/>
  <c r="J234" i="31" s="1"/>
  <c r="H1050" i="8"/>
  <c r="I143" i="9"/>
  <c r="I139" i="7"/>
  <c r="I278" i="7"/>
  <c r="I105" i="9"/>
  <c r="I128" i="5"/>
  <c r="I134" i="5" s="1"/>
  <c r="I135" i="5" s="1"/>
  <c r="I136" i="5" s="1"/>
  <c r="I83" i="7"/>
  <c r="I157" i="7"/>
  <c r="I257" i="7"/>
  <c r="I390" i="7"/>
  <c r="I440" i="7"/>
  <c r="I522" i="7"/>
  <c r="H917" i="8"/>
  <c r="H1029" i="8"/>
  <c r="H1035" i="8" s="1"/>
  <c r="I28" i="5"/>
  <c r="I34" i="5" s="1"/>
  <c r="I35" i="5" s="1"/>
  <c r="I81" i="5"/>
  <c r="I87" i="5" s="1"/>
  <c r="I88" i="5" s="1"/>
  <c r="I89" i="5" s="1"/>
  <c r="I111" i="5"/>
  <c r="I120" i="7"/>
  <c r="I217" i="7"/>
  <c r="I298" i="7"/>
  <c r="I358" i="7"/>
  <c r="I472" i="7"/>
  <c r="I490" i="7"/>
  <c r="H1075" i="8"/>
  <c r="H1100" i="8"/>
  <c r="H1104" i="8"/>
  <c r="I149" i="31"/>
  <c r="I152" i="31" s="1"/>
  <c r="I157" i="31" s="1"/>
  <c r="I158" i="31" s="1"/>
  <c r="I159" i="31" s="1"/>
  <c r="J144" i="31" s="1"/>
  <c r="I81" i="31"/>
  <c r="I83" i="31" s="1"/>
  <c r="I86" i="31" s="1"/>
  <c r="I87" i="31" s="1"/>
  <c r="H62" i="31"/>
  <c r="I62" i="31" s="1"/>
  <c r="H59" i="31"/>
  <c r="I59" i="31" s="1"/>
  <c r="H40" i="31"/>
  <c r="I40" i="31" s="1"/>
  <c r="H37" i="31"/>
  <c r="I37" i="31" s="1"/>
  <c r="H18" i="31"/>
  <c r="I18" i="31" s="1"/>
  <c r="H16" i="31"/>
  <c r="I16" i="31" s="1"/>
  <c r="H14" i="31"/>
  <c r="I14" i="31" s="1"/>
  <c r="H13" i="31"/>
  <c r="I13" i="31" s="1"/>
  <c r="H111" i="30"/>
  <c r="I111" i="30" s="1"/>
  <c r="I112" i="30" s="1"/>
  <c r="I115" i="30" s="1"/>
  <c r="H95" i="30"/>
  <c r="I95" i="30" s="1"/>
  <c r="I96" i="30" s="1"/>
  <c r="H91" i="30"/>
  <c r="I91" i="30" s="1"/>
  <c r="I93" i="30" s="1"/>
  <c r="H71" i="30"/>
  <c r="I71" i="30" s="1"/>
  <c r="I73" i="30" s="1"/>
  <c r="H75" i="30"/>
  <c r="I75" i="30" s="1"/>
  <c r="I76" i="30" s="1"/>
  <c r="H55" i="30"/>
  <c r="I55" i="30" s="1"/>
  <c r="H52" i="30"/>
  <c r="I52" i="30" s="1"/>
  <c r="I53" i="30" s="1"/>
  <c r="I57" i="30" s="1"/>
  <c r="I58" i="30" s="1"/>
  <c r="I59" i="30" s="1"/>
  <c r="J43" i="30" s="1"/>
  <c r="H18" i="30"/>
  <c r="I18" i="30" s="1"/>
  <c r="H17" i="30"/>
  <c r="I17" i="30" s="1"/>
  <c r="H13" i="30"/>
  <c r="I13" i="30" s="1"/>
  <c r="I15" i="30" s="1"/>
  <c r="H1141" i="7"/>
  <c r="I1141" i="7" s="1"/>
  <c r="H1140" i="7"/>
  <c r="I1140" i="7" s="1"/>
  <c r="H1123" i="7"/>
  <c r="I1123" i="7" s="1"/>
  <c r="H1122" i="7"/>
  <c r="I1122" i="7" s="1"/>
  <c r="H1105" i="7"/>
  <c r="I1105" i="7" s="1"/>
  <c r="H1104" i="7"/>
  <c r="I1104" i="7" s="1"/>
  <c r="H1087" i="7"/>
  <c r="I1087" i="7" s="1"/>
  <c r="H1086" i="7"/>
  <c r="I1086" i="7" s="1"/>
  <c r="H1069" i="7"/>
  <c r="I1069" i="7" s="1"/>
  <c r="H1068" i="7"/>
  <c r="I1068" i="7" s="1"/>
  <c r="H1049" i="7"/>
  <c r="I1049" i="7" s="1"/>
  <c r="H1050" i="7"/>
  <c r="I1050" i="7" s="1"/>
  <c r="H1031" i="7"/>
  <c r="I1031" i="7" s="1"/>
  <c r="I1032" i="7" s="1"/>
  <c r="I1033" i="7" s="1"/>
  <c r="I1034" i="7" s="1"/>
  <c r="I1035" i="7" s="1"/>
  <c r="J1020" i="7" s="1"/>
  <c r="H1012" i="7"/>
  <c r="I1012" i="7" s="1"/>
  <c r="I1013" i="7" s="1"/>
  <c r="I1014" i="7" s="1"/>
  <c r="I1015" i="7" s="1"/>
  <c r="I1016" i="7" s="1"/>
  <c r="J1001" i="7" s="1"/>
  <c r="H993" i="7"/>
  <c r="I993" i="7" s="1"/>
  <c r="I994" i="7" s="1"/>
  <c r="I995" i="7" s="1"/>
  <c r="I996" i="7" s="1"/>
  <c r="I997" i="7" s="1"/>
  <c r="J982" i="7" s="1"/>
  <c r="H975" i="7"/>
  <c r="I975" i="7" s="1"/>
  <c r="I976" i="7" s="1"/>
  <c r="I977" i="7" s="1"/>
  <c r="I978" i="7" s="1"/>
  <c r="I979" i="7" s="1"/>
  <c r="J964" i="7" s="1"/>
  <c r="H957" i="7"/>
  <c r="I957" i="7" s="1"/>
  <c r="H956" i="7"/>
  <c r="I956" i="7" s="1"/>
  <c r="H953" i="7"/>
  <c r="I953" i="7" s="1"/>
  <c r="H952" i="7"/>
  <c r="I952" i="7" s="1"/>
  <c r="H937" i="7"/>
  <c r="I937" i="7" s="1"/>
  <c r="H936" i="7"/>
  <c r="I936" i="7" s="1"/>
  <c r="H933" i="7"/>
  <c r="I933" i="7" s="1"/>
  <c r="H932" i="7"/>
  <c r="I932" i="7" s="1"/>
  <c r="H918" i="7"/>
  <c r="I918" i="7" s="1"/>
  <c r="H917" i="7"/>
  <c r="I917" i="7" s="1"/>
  <c r="H914" i="7"/>
  <c r="I914" i="7" s="1"/>
  <c r="H913" i="7"/>
  <c r="I913" i="7" s="1"/>
  <c r="H899" i="7"/>
  <c r="I899" i="7" s="1"/>
  <c r="H898" i="7"/>
  <c r="I898" i="7" s="1"/>
  <c r="H895" i="7"/>
  <c r="I895" i="7" s="1"/>
  <c r="H894" i="7"/>
  <c r="I894" i="7" s="1"/>
  <c r="H880" i="7"/>
  <c r="I880" i="7" s="1"/>
  <c r="H879" i="7"/>
  <c r="I879" i="7" s="1"/>
  <c r="H876" i="7"/>
  <c r="I876" i="7" s="1"/>
  <c r="H875" i="7"/>
  <c r="I875" i="7" s="1"/>
  <c r="H860" i="7"/>
  <c r="I860" i="7" s="1"/>
  <c r="H859" i="7"/>
  <c r="I859" i="7" s="1"/>
  <c r="H856" i="7"/>
  <c r="I856" i="7" s="1"/>
  <c r="H855" i="7"/>
  <c r="I855" i="7" s="1"/>
  <c r="H840" i="7"/>
  <c r="I840" i="7" s="1"/>
  <c r="H839" i="7"/>
  <c r="I839" i="7" s="1"/>
  <c r="H836" i="7"/>
  <c r="I836" i="7" s="1"/>
  <c r="H835" i="7"/>
  <c r="I835" i="7" s="1"/>
  <c r="H820" i="7"/>
  <c r="I820" i="7" s="1"/>
  <c r="H819" i="7"/>
  <c r="I819" i="7" s="1"/>
  <c r="H816" i="7"/>
  <c r="I816" i="7" s="1"/>
  <c r="H815" i="7"/>
  <c r="I815" i="7" s="1"/>
  <c r="H799" i="7"/>
  <c r="I799" i="7" s="1"/>
  <c r="H798" i="7"/>
  <c r="I798" i="7" s="1"/>
  <c r="H795" i="7"/>
  <c r="I795" i="7" s="1"/>
  <c r="H794" i="7"/>
  <c r="I794" i="7" s="1"/>
  <c r="H779" i="7"/>
  <c r="H778" i="7"/>
  <c r="I778" i="7" s="1"/>
  <c r="H775" i="7"/>
  <c r="I775" i="7" s="1"/>
  <c r="H774" i="7"/>
  <c r="I774" i="7" s="1"/>
  <c r="H759" i="7"/>
  <c r="I759" i="7" s="1"/>
  <c r="H758" i="7"/>
  <c r="I758" i="7" s="1"/>
  <c r="H755" i="7"/>
  <c r="I755" i="7" s="1"/>
  <c r="H754" i="7"/>
  <c r="I754" i="7" s="1"/>
  <c r="H739" i="7"/>
  <c r="I739" i="7" s="1"/>
  <c r="H738" i="7"/>
  <c r="I738" i="7" s="1"/>
  <c r="H735" i="7"/>
  <c r="I735" i="7" s="1"/>
  <c r="H734" i="7"/>
  <c r="I734" i="7" s="1"/>
  <c r="H720" i="7"/>
  <c r="I720" i="7" s="1"/>
  <c r="H719" i="7"/>
  <c r="I719" i="7" s="1"/>
  <c r="H716" i="7"/>
  <c r="I716" i="7" s="1"/>
  <c r="H715" i="7"/>
  <c r="I715" i="7" s="1"/>
  <c r="H700" i="7"/>
  <c r="I700" i="7" s="1"/>
  <c r="H699" i="7"/>
  <c r="I699" i="7" s="1"/>
  <c r="H696" i="7"/>
  <c r="I696" i="7" s="1"/>
  <c r="H695" i="7"/>
  <c r="I695" i="7" s="1"/>
  <c r="H679" i="7"/>
  <c r="I679" i="7" s="1"/>
  <c r="H678" i="7"/>
  <c r="I678" i="7" s="1"/>
  <c r="H675" i="7"/>
  <c r="I675" i="7" s="1"/>
  <c r="H674" i="7"/>
  <c r="I674" i="7" s="1"/>
  <c r="H413" i="7"/>
  <c r="I413" i="7" s="1"/>
  <c r="H307" i="7"/>
  <c r="I307" i="7" s="1"/>
  <c r="I308" i="7" s="1"/>
  <c r="H266" i="7"/>
  <c r="I266" i="7" s="1"/>
  <c r="I267" i="7" s="1"/>
  <c r="H164" i="7"/>
  <c r="I164" i="7" s="1"/>
  <c r="I165" i="7" s="1"/>
  <c r="I474" i="7"/>
  <c r="I475" i="7" s="1"/>
  <c r="H1013" i="8"/>
  <c r="H1019" i="8" s="1"/>
  <c r="H996" i="8"/>
  <c r="H1003" i="8" s="1"/>
  <c r="H965" i="8"/>
  <c r="H970" i="8" s="1"/>
  <c r="H874" i="8"/>
  <c r="H879" i="8" s="1"/>
  <c r="H921" i="8"/>
  <c r="H922" i="8" s="1"/>
  <c r="H17" i="8"/>
  <c r="H136" i="8"/>
  <c r="H203" i="8"/>
  <c r="H208" i="8" s="1"/>
  <c r="H209" i="8" s="1"/>
  <c r="H210" i="8" s="1"/>
  <c r="H479" i="8"/>
  <c r="H484" i="8" s="1"/>
  <c r="H485" i="8" s="1"/>
  <c r="H486" i="8" s="1"/>
  <c r="H132" i="8"/>
  <c r="H190" i="8"/>
  <c r="H217" i="8"/>
  <c r="H222" i="8" s="1"/>
  <c r="H223" i="8" s="1"/>
  <c r="H224" i="8" s="1"/>
  <c r="H322" i="8"/>
  <c r="H465" i="8"/>
  <c r="H470" i="8" s="1"/>
  <c r="H471" i="8" s="1"/>
  <c r="H472" i="8" s="1"/>
  <c r="H496" i="8"/>
  <c r="H576" i="8"/>
  <c r="I43" i="5"/>
  <c r="H59" i="8"/>
  <c r="H250" i="8"/>
  <c r="H256" i="8" s="1"/>
  <c r="H303" i="8"/>
  <c r="H308" i="8"/>
  <c r="H434" i="8"/>
  <c r="H556" i="8"/>
  <c r="I12" i="9"/>
  <c r="I18" i="9" s="1"/>
  <c r="I19" i="9" s="1"/>
  <c r="I20" i="9" s="1"/>
  <c r="J5" i="9" s="1"/>
  <c r="H13" i="8"/>
  <c r="H232" i="8"/>
  <c r="H267" i="8"/>
  <c r="H273" i="8" s="1"/>
  <c r="H342" i="8"/>
  <c r="H363" i="8"/>
  <c r="H384" i="8"/>
  <c r="H391" i="8"/>
  <c r="H448" i="8"/>
  <c r="H536" i="8"/>
  <c r="I86" i="9"/>
  <c r="I124" i="9"/>
  <c r="I162" i="9"/>
  <c r="H67" i="9"/>
  <c r="I67" i="9" s="1"/>
  <c r="I69" i="9" s="1"/>
  <c r="I72" i="9" s="1"/>
  <c r="I73" i="9" s="1"/>
  <c r="I74" i="9" s="1"/>
  <c r="J58" i="9" s="1"/>
  <c r="H91" i="8"/>
  <c r="H95" i="8"/>
  <c r="H172" i="8"/>
  <c r="H284" i="8"/>
  <c r="H288" i="8"/>
  <c r="H413" i="8"/>
  <c r="H516" i="8"/>
  <c r="H596" i="8"/>
  <c r="H26" i="9"/>
  <c r="I26" i="9" s="1"/>
  <c r="I29" i="9" s="1"/>
  <c r="I35" i="9" s="1"/>
  <c r="D43" i="9"/>
  <c r="H185" i="5"/>
  <c r="I185" i="5" s="1"/>
  <c r="H184" i="5"/>
  <c r="I184" i="5" s="1"/>
  <c r="H167" i="5"/>
  <c r="I167" i="5" s="1"/>
  <c r="H166" i="5"/>
  <c r="I166" i="5" s="1"/>
  <c r="H48" i="5"/>
  <c r="I48" i="5" s="1"/>
  <c r="H147" i="29"/>
  <c r="I147" i="29" s="1"/>
  <c r="I148" i="29" s="1"/>
  <c r="H144" i="29"/>
  <c r="I144" i="29" s="1"/>
  <c r="H143" i="29"/>
  <c r="I143" i="29" s="1"/>
  <c r="H142" i="29"/>
  <c r="I142" i="29" s="1"/>
  <c r="H125" i="29"/>
  <c r="I125" i="29" s="1"/>
  <c r="H126" i="29"/>
  <c r="I126" i="29" s="1"/>
  <c r="H124" i="29"/>
  <c r="I124" i="29" s="1"/>
  <c r="H121" i="29"/>
  <c r="I121" i="29" s="1"/>
  <c r="I122" i="29" s="1"/>
  <c r="H105" i="29"/>
  <c r="I105" i="29" s="1"/>
  <c r="H104" i="29"/>
  <c r="I104" i="29" s="1"/>
  <c r="H101" i="29"/>
  <c r="I101" i="29" s="1"/>
  <c r="I102" i="29" s="1"/>
  <c r="H83" i="29"/>
  <c r="I83" i="29" s="1"/>
  <c r="H69" i="29"/>
  <c r="I69" i="29" s="1"/>
  <c r="I70" i="29" s="1"/>
  <c r="H65" i="29"/>
  <c r="I65" i="29" s="1"/>
  <c r="I66" i="29" s="1"/>
  <c r="H47" i="29"/>
  <c r="I47" i="29" s="1"/>
  <c r="I48" i="29" s="1"/>
  <c r="H28" i="29"/>
  <c r="I28" i="29" s="1"/>
  <c r="I29" i="29" s="1"/>
  <c r="H14" i="29"/>
  <c r="I14" i="29" s="1"/>
  <c r="I15" i="29" s="1"/>
  <c r="H204" i="28"/>
  <c r="I204" i="28" s="1"/>
  <c r="I205" i="28" s="1"/>
  <c r="I206" i="28" s="1"/>
  <c r="H11" i="29"/>
  <c r="I11" i="29" s="1"/>
  <c r="I12" i="29" s="1"/>
  <c r="H253" i="28"/>
  <c r="I253" i="28" s="1"/>
  <c r="I254" i="28" s="1"/>
  <c r="I255" i="28" s="1"/>
  <c r="H236" i="28"/>
  <c r="I236" i="28" s="1"/>
  <c r="I237" i="28" s="1"/>
  <c r="I238" i="28" s="1"/>
  <c r="H220" i="28"/>
  <c r="I220" i="28" s="1"/>
  <c r="I221" i="28" s="1"/>
  <c r="I222" i="28" s="1"/>
  <c r="H31" i="29"/>
  <c r="I31" i="29" s="1"/>
  <c r="H189" i="28"/>
  <c r="I189" i="28" s="1"/>
  <c r="I190" i="28" s="1"/>
  <c r="I191" i="28" s="1"/>
  <c r="H50" i="29"/>
  <c r="I50" i="29" s="1"/>
  <c r="I51" i="29" s="1"/>
  <c r="H32" i="29"/>
  <c r="I32" i="29" s="1"/>
  <c r="H192" i="4"/>
  <c r="I192" i="4" s="1"/>
  <c r="I193" i="4" s="1"/>
  <c r="I194" i="4" s="1"/>
  <c r="H178" i="4"/>
  <c r="I178" i="4" s="1"/>
  <c r="I179" i="4" s="1"/>
  <c r="I180" i="4" s="1"/>
  <c r="H164" i="4"/>
  <c r="I164" i="4" s="1"/>
  <c r="I165" i="4" s="1"/>
  <c r="I166" i="4" s="1"/>
  <c r="H104" i="4"/>
  <c r="I104" i="4" s="1"/>
  <c r="I105" i="4" s="1"/>
  <c r="I108" i="4" s="1"/>
  <c r="H88" i="4"/>
  <c r="I88" i="4" s="1"/>
  <c r="H674" i="3"/>
  <c r="I674" i="3" s="1"/>
  <c r="I675" i="3" s="1"/>
  <c r="I676" i="3" s="1"/>
  <c r="H554" i="3"/>
  <c r="I554" i="3" s="1"/>
  <c r="I555" i="3" s="1"/>
  <c r="I556" i="3" s="1"/>
  <c r="H539" i="3"/>
  <c r="I539" i="3" s="1"/>
  <c r="I540" i="3" s="1"/>
  <c r="I541" i="3" s="1"/>
  <c r="H227" i="4"/>
  <c r="I227" i="4" s="1"/>
  <c r="I228" i="4" s="1"/>
  <c r="I229" i="4" s="1"/>
  <c r="H207" i="4"/>
  <c r="I207" i="4" s="1"/>
  <c r="I208" i="4" s="1"/>
  <c r="H210" i="4"/>
  <c r="I210" i="4" s="1"/>
  <c r="I211" i="4" s="1"/>
  <c r="H704" i="3"/>
  <c r="I704" i="3" s="1"/>
  <c r="I705" i="3" s="1"/>
  <c r="I706" i="3" s="1"/>
  <c r="H523" i="3"/>
  <c r="H390" i="3"/>
  <c r="I390" i="3" s="1"/>
  <c r="I391" i="3" s="1"/>
  <c r="I392" i="3" s="1"/>
  <c r="H151" i="4"/>
  <c r="H719" i="3"/>
  <c r="I719" i="3" s="1"/>
  <c r="I720" i="3" s="1"/>
  <c r="I721" i="3" s="1"/>
  <c r="H569" i="3"/>
  <c r="I569" i="3" s="1"/>
  <c r="I570" i="3" s="1"/>
  <c r="I571" i="3" s="1"/>
  <c r="H420" i="3"/>
  <c r="H375" i="3"/>
  <c r="H405" i="3"/>
  <c r="I405" i="3" s="1"/>
  <c r="I406" i="3" s="1"/>
  <c r="I407" i="3" s="1"/>
  <c r="H689" i="3"/>
  <c r="I689" i="3" s="1"/>
  <c r="I690" i="3" s="1"/>
  <c r="I691" i="3" s="1"/>
  <c r="H298" i="3"/>
  <c r="I298" i="3" s="1"/>
  <c r="I299" i="3" s="1"/>
  <c r="I300" i="3" s="1"/>
  <c r="H282" i="3"/>
  <c r="I282" i="3" s="1"/>
  <c r="I283" i="3" s="1"/>
  <c r="I284" i="3" s="1"/>
  <c r="I285" i="3" s="1"/>
  <c r="I286" i="3" s="1"/>
  <c r="J273" i="3" s="1"/>
  <c r="H266" i="3"/>
  <c r="I266" i="3" s="1"/>
  <c r="I267" i="3" s="1"/>
  <c r="I268" i="3" s="1"/>
  <c r="H251" i="3"/>
  <c r="I251" i="3" s="1"/>
  <c r="I252" i="3" s="1"/>
  <c r="I253" i="3" s="1"/>
  <c r="H385" i="2"/>
  <c r="J385" i="2" s="1"/>
  <c r="J386" i="2" s="1"/>
  <c r="H652" i="2"/>
  <c r="J652" i="2" s="1"/>
  <c r="H671" i="2"/>
  <c r="J671" i="2" s="1"/>
  <c r="H651" i="2"/>
  <c r="J651" i="2" s="1"/>
  <c r="H635" i="2"/>
  <c r="J635" i="2" s="1"/>
  <c r="J636" i="2" s="1"/>
  <c r="J637" i="2" s="1"/>
  <c r="J638" i="2" s="1"/>
  <c r="J639" i="2" s="1"/>
  <c r="H672" i="2"/>
  <c r="J672" i="2" s="1"/>
  <c r="J664" i="2"/>
  <c r="J644" i="2"/>
  <c r="H400" i="2"/>
  <c r="J400" i="2" s="1"/>
  <c r="J401" i="2" s="1"/>
  <c r="J411" i="2"/>
  <c r="J417" i="2" s="1"/>
  <c r="J418" i="2" s="1"/>
  <c r="J419" i="2" s="1"/>
  <c r="J456" i="2"/>
  <c r="J462" i="2" s="1"/>
  <c r="J463" i="2" s="1"/>
  <c r="J464" i="2" s="1"/>
  <c r="J62" i="2"/>
  <c r="J366" i="2"/>
  <c r="J372" i="2" s="1"/>
  <c r="J373" i="2" s="1"/>
  <c r="J374" i="2" s="1"/>
  <c r="J441" i="2"/>
  <c r="J486" i="2"/>
  <c r="J492" i="2" s="1"/>
  <c r="J493" i="2" s="1"/>
  <c r="J494" i="2" s="1"/>
  <c r="J323" i="2"/>
  <c r="J328" i="2" s="1"/>
  <c r="J329" i="2" s="1"/>
  <c r="J330" i="2" s="1"/>
  <c r="J351" i="2"/>
  <c r="J357" i="2" s="1"/>
  <c r="J358" i="2" s="1"/>
  <c r="J359" i="2" s="1"/>
  <c r="J597" i="2"/>
  <c r="J122" i="2"/>
  <c r="J196" i="2"/>
  <c r="J212" i="2"/>
  <c r="J568" i="2"/>
  <c r="J129" i="2"/>
  <c r="J309" i="2"/>
  <c r="J314" i="2" s="1"/>
  <c r="J315" i="2" s="1"/>
  <c r="J316" i="2" s="1"/>
  <c r="J337" i="2"/>
  <c r="J342" i="2" s="1"/>
  <c r="J343" i="2" s="1"/>
  <c r="J344" i="2" s="1"/>
  <c r="J381" i="2"/>
  <c r="J426" i="2"/>
  <c r="J432" i="2" s="1"/>
  <c r="J433" i="2" s="1"/>
  <c r="J434" i="2" s="1"/>
  <c r="J471" i="2"/>
  <c r="J477" i="2" s="1"/>
  <c r="J478" i="2" s="1"/>
  <c r="J479" i="2" s="1"/>
  <c r="J572" i="2"/>
  <c r="J445" i="2"/>
  <c r="J446" i="2" s="1"/>
  <c r="J68" i="2"/>
  <c r="J69" i="2"/>
  <c r="J107" i="2"/>
  <c r="J108" i="2" s="1"/>
  <c r="H262" i="2"/>
  <c r="J262" i="2" s="1"/>
  <c r="H263" i="2"/>
  <c r="J263" i="2" s="1"/>
  <c r="H264" i="2"/>
  <c r="J264" i="2" s="1"/>
  <c r="H261" i="2"/>
  <c r="J261" i="2" s="1"/>
  <c r="H260" i="2"/>
  <c r="J260" i="2" s="1"/>
  <c r="H259" i="2"/>
  <c r="J259" i="2" s="1"/>
  <c r="H256" i="2"/>
  <c r="J256" i="2" s="1"/>
  <c r="H255" i="2"/>
  <c r="J255" i="2" s="1"/>
  <c r="H254" i="2"/>
  <c r="J254" i="2" s="1"/>
  <c r="H253" i="2"/>
  <c r="J253" i="2" s="1"/>
  <c r="H238" i="2"/>
  <c r="J238" i="2" s="1"/>
  <c r="H237" i="2"/>
  <c r="J237" i="2" s="1"/>
  <c r="H236" i="2"/>
  <c r="J236" i="2" s="1"/>
  <c r="H235" i="2"/>
  <c r="J235" i="2" s="1"/>
  <c r="H233" i="2"/>
  <c r="J233" i="2" s="1"/>
  <c r="H231" i="2"/>
  <c r="J231" i="2" s="1"/>
  <c r="H230" i="2"/>
  <c r="J230" i="2" s="1"/>
  <c r="H215" i="15"/>
  <c r="H216" i="15" s="1"/>
  <c r="H229" i="2"/>
  <c r="J229" i="2" s="1"/>
  <c r="G235" i="15"/>
  <c r="H235" i="15" s="1"/>
  <c r="H236" i="15" s="1"/>
  <c r="H1880" i="14"/>
  <c r="H228" i="2"/>
  <c r="J228" i="2" s="1"/>
  <c r="G124" i="13"/>
  <c r="H124" i="13" s="1"/>
  <c r="H126" i="13" s="1"/>
  <c r="H153" i="2"/>
  <c r="J153" i="2" s="1"/>
  <c r="H175" i="2"/>
  <c r="J175" i="2" s="1"/>
  <c r="H174" i="2"/>
  <c r="J174" i="2" s="1"/>
  <c r="J152" i="2"/>
  <c r="H151" i="2"/>
  <c r="J151" i="2" s="1"/>
  <c r="H150" i="2"/>
  <c r="J150" i="2" s="1"/>
  <c r="H90" i="2"/>
  <c r="J90" i="2" s="1"/>
  <c r="H41" i="2"/>
  <c r="J41" i="2" s="1"/>
  <c r="H89" i="2"/>
  <c r="J89" i="2" s="1"/>
  <c r="H109" i="9"/>
  <c r="I109" i="9" s="1"/>
  <c r="I110" i="9" s="1"/>
  <c r="G1976" i="14"/>
  <c r="H1976" i="14" s="1"/>
  <c r="H1980" i="14" s="1"/>
  <c r="G1802" i="14"/>
  <c r="H1802" i="14" s="1"/>
  <c r="H1805" i="14" s="1"/>
  <c r="H240" i="7"/>
  <c r="I240" i="7" s="1"/>
  <c r="I244" i="7" s="1"/>
  <c r="G1741" i="14"/>
  <c r="H1741" i="14" s="1"/>
  <c r="H1744" i="14" s="1"/>
  <c r="G1899" i="14"/>
  <c r="H1899" i="14" s="1"/>
  <c r="H1901" i="14" s="1"/>
  <c r="G1178" i="14"/>
  <c r="H1178" i="14" s="1"/>
  <c r="H1181" i="14" s="1"/>
  <c r="G598" i="8"/>
  <c r="H598" i="8" s="1"/>
  <c r="H602" i="8" s="1"/>
  <c r="G663" i="8"/>
  <c r="H663" i="8" s="1"/>
  <c r="H667" i="8" s="1"/>
  <c r="G726" i="8"/>
  <c r="H726" i="8" s="1"/>
  <c r="H730" i="8" s="1"/>
  <c r="G789" i="8"/>
  <c r="H789" i="8" s="1"/>
  <c r="H793" i="8" s="1"/>
  <c r="G91" i="10"/>
  <c r="H91" i="10" s="1"/>
  <c r="H93" i="10" s="1"/>
  <c r="G271" i="13"/>
  <c r="H271" i="13" s="1"/>
  <c r="G492" i="15"/>
  <c r="H492" i="15" s="1"/>
  <c r="H494" i="15" s="1"/>
  <c r="G793" i="14"/>
  <c r="H793" i="14" s="1"/>
  <c r="H796" i="14" s="1"/>
  <c r="G538" i="8"/>
  <c r="H538" i="8" s="1"/>
  <c r="H542" i="8" s="1"/>
  <c r="G129" i="10"/>
  <c r="H129" i="10" s="1"/>
  <c r="H131" i="10" s="1"/>
  <c r="G226" i="10"/>
  <c r="H226" i="10" s="1"/>
  <c r="H229" i="10" s="1"/>
  <c r="G286" i="10"/>
  <c r="H286" i="10" s="1"/>
  <c r="H289" i="10" s="1"/>
  <c r="H103" i="11"/>
  <c r="H105" i="11" s="1"/>
  <c r="H108" i="11" s="1"/>
  <c r="G262" i="12"/>
  <c r="H262" i="12" s="1"/>
  <c r="H263" i="12" s="1"/>
  <c r="G1564" i="14"/>
  <c r="H1564" i="14" s="1"/>
  <c r="H1567" i="14" s="1"/>
  <c r="G1626" i="14"/>
  <c r="H1626" i="14" s="1"/>
  <c r="H1628" i="14" s="1"/>
  <c r="G1841" i="14"/>
  <c r="H1841" i="14" s="1"/>
  <c r="H1843" i="14" s="1"/>
  <c r="G1097" i="14"/>
  <c r="H1097" i="14" s="1"/>
  <c r="H1100" i="14" s="1"/>
  <c r="H145" i="9"/>
  <c r="I145" i="9" s="1"/>
  <c r="I148" i="9" s="1"/>
  <c r="G188" i="14"/>
  <c r="H188" i="14" s="1"/>
  <c r="H191" i="14" s="1"/>
  <c r="H31" i="7"/>
  <c r="I31" i="7" s="1"/>
  <c r="I33" i="7" s="1"/>
  <c r="H68" i="7"/>
  <c r="I68" i="7" s="1"/>
  <c r="I70" i="7" s="1"/>
  <c r="H105" i="7"/>
  <c r="I105" i="7" s="1"/>
  <c r="I107" i="7" s="1"/>
  <c r="H142" i="7"/>
  <c r="I142" i="7" s="1"/>
  <c r="I144" i="7" s="1"/>
  <c r="H180" i="7"/>
  <c r="I180" i="7" s="1"/>
  <c r="I182" i="7" s="1"/>
  <c r="H220" i="7"/>
  <c r="I220" i="7" s="1"/>
  <c r="I224" i="7" s="1"/>
  <c r="H281" i="7"/>
  <c r="I281" i="7" s="1"/>
  <c r="I285" i="7" s="1"/>
  <c r="G34" i="10"/>
  <c r="H34" i="10" s="1"/>
  <c r="H36" i="10" s="1"/>
  <c r="G384" i="10"/>
  <c r="H384" i="10" s="1"/>
  <c r="H386" i="10" s="1"/>
  <c r="G155" i="12"/>
  <c r="H155" i="12" s="1"/>
  <c r="H157" i="12" s="1"/>
  <c r="G191" i="12"/>
  <c r="H191" i="12" s="1"/>
  <c r="H193" i="12" s="1"/>
  <c r="G227" i="12"/>
  <c r="H227" i="12" s="1"/>
  <c r="H229" i="12" s="1"/>
  <c r="G129" i="14"/>
  <c r="H129" i="14" s="1"/>
  <c r="H131" i="14" s="1"/>
  <c r="G407" i="14"/>
  <c r="H407" i="14" s="1"/>
  <c r="H410" i="14" s="1"/>
  <c r="G468" i="14"/>
  <c r="H468" i="14" s="1"/>
  <c r="H471" i="14" s="1"/>
  <c r="G528" i="14"/>
  <c r="H528" i="14" s="1"/>
  <c r="H531" i="14" s="1"/>
  <c r="G712" i="14"/>
  <c r="H712" i="14" s="1"/>
  <c r="H715" i="14" s="1"/>
  <c r="G772" i="14"/>
  <c r="H772" i="14" s="1"/>
  <c r="H775" i="14" s="1"/>
  <c r="G833" i="14"/>
  <c r="H833" i="14" s="1"/>
  <c r="H836" i="14" s="1"/>
  <c r="G893" i="14"/>
  <c r="H893" i="14" s="1"/>
  <c r="H896" i="14" s="1"/>
  <c r="G953" i="14"/>
  <c r="H953" i="14" s="1"/>
  <c r="H956" i="14" s="1"/>
  <c r="G1015" i="14"/>
  <c r="H1015" i="14" s="1"/>
  <c r="H1018" i="14" s="1"/>
  <c r="G1075" i="14"/>
  <c r="H1075" i="14" s="1"/>
  <c r="H1078" i="14" s="1"/>
  <c r="G1137" i="14"/>
  <c r="H1137" i="14" s="1"/>
  <c r="H1140" i="14" s="1"/>
  <c r="G1199" i="14"/>
  <c r="H1199" i="14" s="1"/>
  <c r="H1202" i="14" s="1"/>
  <c r="G1259" i="14"/>
  <c r="H1259" i="14" s="1"/>
  <c r="H1262" i="14" s="1"/>
  <c r="G1781" i="14"/>
  <c r="H1781" i="14" s="1"/>
  <c r="H1784" i="14" s="1"/>
  <c r="G1879" i="14"/>
  <c r="H1879" i="14" s="1"/>
  <c r="G428" i="14"/>
  <c r="H428" i="14" s="1"/>
  <c r="H431" i="14" s="1"/>
  <c r="G853" i="14"/>
  <c r="H853" i="14" s="1"/>
  <c r="H856" i="14" s="1"/>
  <c r="G248" i="14"/>
  <c r="H248" i="14" s="1"/>
  <c r="H251" i="14" s="1"/>
  <c r="G518" i="8"/>
  <c r="H518" i="8" s="1"/>
  <c r="H522" i="8" s="1"/>
  <c r="G578" i="8"/>
  <c r="H578" i="8" s="1"/>
  <c r="H582" i="8" s="1"/>
  <c r="G642" i="8"/>
  <c r="H642" i="8" s="1"/>
  <c r="H646" i="8" s="1"/>
  <c r="G705" i="8"/>
  <c r="H705" i="8" s="1"/>
  <c r="H709" i="8" s="1"/>
  <c r="G768" i="8"/>
  <c r="H768" i="8" s="1"/>
  <c r="H772" i="8" s="1"/>
  <c r="G1053" i="8"/>
  <c r="H1053" i="8" s="1"/>
  <c r="G167" i="10"/>
  <c r="H167" i="10" s="1"/>
  <c r="H169" i="10" s="1"/>
  <c r="G479" i="10"/>
  <c r="H479" i="10" s="1"/>
  <c r="H482" i="10" s="1"/>
  <c r="G34" i="14"/>
  <c r="H34" i="14" s="1"/>
  <c r="H36" i="14" s="1"/>
  <c r="G1664" i="14"/>
  <c r="H1664" i="14" s="1"/>
  <c r="H1666" i="14" s="1"/>
  <c r="G488" i="14"/>
  <c r="H488" i="14" s="1"/>
  <c r="H491" i="14" s="1"/>
  <c r="G913" i="14"/>
  <c r="H913" i="14" s="1"/>
  <c r="H916" i="14" s="1"/>
  <c r="G1937" i="14"/>
  <c r="H1937" i="14" s="1"/>
  <c r="H1939" i="14" s="1"/>
  <c r="G185" i="21"/>
  <c r="H185" i="21" s="1"/>
  <c r="H188" i="21" s="1"/>
  <c r="G129" i="21"/>
  <c r="H129" i="21" s="1"/>
  <c r="H131" i="21" s="1"/>
  <c r="G14" i="24"/>
  <c r="H14" i="24" s="1"/>
  <c r="G36" i="24"/>
  <c r="H36" i="24" s="1"/>
  <c r="G58" i="24"/>
  <c r="H58" i="24" s="1"/>
  <c r="H63" i="24" s="1"/>
  <c r="H66" i="24" s="1"/>
  <c r="H67" i="24" s="1"/>
  <c r="G835" i="8"/>
  <c r="H835" i="8" s="1"/>
  <c r="H840" i="8" s="1"/>
  <c r="G1078" i="8"/>
  <c r="H1078" i="8" s="1"/>
  <c r="G72" i="10"/>
  <c r="H72" i="10" s="1"/>
  <c r="H74" i="10" s="1"/>
  <c r="H142" i="11"/>
  <c r="H145" i="11" s="1"/>
  <c r="G13" i="12"/>
  <c r="H13" i="12" s="1"/>
  <c r="H15" i="12" s="1"/>
  <c r="G49" i="12"/>
  <c r="H49" i="12" s="1"/>
  <c r="H51" i="12" s="1"/>
  <c r="G85" i="12"/>
  <c r="H85" i="12" s="1"/>
  <c r="H87" i="12" s="1"/>
  <c r="G168" i="14"/>
  <c r="H168" i="14" s="1"/>
  <c r="H171" i="14" s="1"/>
  <c r="G228" i="14"/>
  <c r="H228" i="14" s="1"/>
  <c r="H231" i="14" s="1"/>
  <c r="G288" i="14"/>
  <c r="H288" i="14" s="1"/>
  <c r="H291" i="14" s="1"/>
  <c r="G349" i="14"/>
  <c r="H349" i="14" s="1"/>
  <c r="H352" i="14" s="1"/>
  <c r="G473" i="15"/>
  <c r="H473" i="15" s="1"/>
  <c r="H475" i="15" s="1"/>
  <c r="H301" i="7"/>
  <c r="I301" i="7" s="1"/>
  <c r="I305" i="7" s="1"/>
  <c r="G186" i="10"/>
  <c r="H186" i="10" s="1"/>
  <c r="H188" i="10" s="1"/>
  <c r="G975" i="14"/>
  <c r="H975" i="14" s="1"/>
  <c r="H978" i="14" s="1"/>
  <c r="G91" i="14"/>
  <c r="H91" i="14" s="1"/>
  <c r="H93" i="14" s="1"/>
  <c r="H90" i="9"/>
  <c r="I90" i="9" s="1"/>
  <c r="I91" i="9" s="1"/>
  <c r="G206" i="10"/>
  <c r="H206" i="10" s="1"/>
  <c r="H209" i="10" s="1"/>
  <c r="G266" i="10"/>
  <c r="H266" i="10" s="1"/>
  <c r="H269" i="10" s="1"/>
  <c r="G327" i="10"/>
  <c r="H327" i="10" s="1"/>
  <c r="H329" i="10" s="1"/>
  <c r="G72" i="14"/>
  <c r="H72" i="14" s="1"/>
  <c r="H74" i="14" s="1"/>
  <c r="G1544" i="14"/>
  <c r="H1544" i="14" s="1"/>
  <c r="H1547" i="14" s="1"/>
  <c r="G1604" i="14"/>
  <c r="H1604" i="14" s="1"/>
  <c r="H1607" i="14" s="1"/>
  <c r="G1822" i="14"/>
  <c r="H1822" i="14" s="1"/>
  <c r="H1824" i="14" s="1"/>
  <c r="G1918" i="14"/>
  <c r="H1918" i="14" s="1"/>
  <c r="H1919" i="14" s="1"/>
  <c r="G103" i="12"/>
  <c r="H103" i="12" s="1"/>
  <c r="H105" i="12" s="1"/>
  <c r="G672" i="14"/>
  <c r="H672" i="14" s="1"/>
  <c r="H675" i="14" s="1"/>
  <c r="G1035" i="14"/>
  <c r="H1035" i="14" s="1"/>
  <c r="H1038" i="14" s="1"/>
  <c r="G308" i="14"/>
  <c r="H308" i="14" s="1"/>
  <c r="H311" i="14" s="1"/>
  <c r="H260" i="7"/>
  <c r="I260" i="7" s="1"/>
  <c r="I264" i="7" s="1"/>
  <c r="G1056" i="8"/>
  <c r="H1056" i="8" s="1"/>
  <c r="G110" i="10"/>
  <c r="H110" i="10" s="1"/>
  <c r="H112" i="10" s="1"/>
  <c r="G387" i="14"/>
  <c r="H387" i="14" s="1"/>
  <c r="H390" i="14" s="1"/>
  <c r="G448" i="14"/>
  <c r="H448" i="14" s="1"/>
  <c r="H451" i="14" s="1"/>
  <c r="G508" i="14"/>
  <c r="H508" i="14" s="1"/>
  <c r="H511" i="14" s="1"/>
  <c r="G692" i="14"/>
  <c r="H692" i="14" s="1"/>
  <c r="H695" i="14" s="1"/>
  <c r="G752" i="14"/>
  <c r="H752" i="14" s="1"/>
  <c r="H755" i="14" s="1"/>
  <c r="G813" i="14"/>
  <c r="H813" i="14" s="1"/>
  <c r="H816" i="14" s="1"/>
  <c r="G873" i="14"/>
  <c r="H873" i="14" s="1"/>
  <c r="H876" i="14" s="1"/>
  <c r="G933" i="14"/>
  <c r="H933" i="14" s="1"/>
  <c r="H936" i="14" s="1"/>
  <c r="G995" i="14"/>
  <c r="H995" i="14" s="1"/>
  <c r="H998" i="14" s="1"/>
  <c r="G1055" i="14"/>
  <c r="H1055" i="14" s="1"/>
  <c r="H1058" i="14" s="1"/>
  <c r="G1117" i="14"/>
  <c r="H1117" i="14" s="1"/>
  <c r="H1120" i="14" s="1"/>
  <c r="G1239" i="14"/>
  <c r="H1239" i="14" s="1"/>
  <c r="H1242" i="14" s="1"/>
  <c r="G1761" i="14"/>
  <c r="H1761" i="14" s="1"/>
  <c r="H1764" i="14" s="1"/>
  <c r="G511" i="15"/>
  <c r="H511" i="15" s="1"/>
  <c r="H513" i="15" s="1"/>
  <c r="G499" i="10"/>
  <c r="H499" i="10" s="1"/>
  <c r="H502" i="10" s="1"/>
  <c r="G53" i="14"/>
  <c r="H53" i="14" s="1"/>
  <c r="H55" i="14" s="1"/>
  <c r="G365" i="8"/>
  <c r="H365" i="8" s="1"/>
  <c r="H370" i="8" s="1"/>
  <c r="G558" i="8"/>
  <c r="H558" i="8" s="1"/>
  <c r="H562" i="8" s="1"/>
  <c r="G620" i="8"/>
  <c r="H620" i="8" s="1"/>
  <c r="H624" i="8" s="1"/>
  <c r="G684" i="8"/>
  <c r="H684" i="8" s="1"/>
  <c r="H688" i="8" s="1"/>
  <c r="G747" i="8"/>
  <c r="H747" i="8" s="1"/>
  <c r="H751" i="8" s="1"/>
  <c r="G812" i="8"/>
  <c r="H812" i="8" s="1"/>
  <c r="H817" i="8" s="1"/>
  <c r="H128" i="9"/>
  <c r="I128" i="9" s="1"/>
  <c r="I129" i="9" s="1"/>
  <c r="H164" i="9"/>
  <c r="I164" i="9" s="1"/>
  <c r="I167" i="9" s="1"/>
  <c r="G15" i="10"/>
  <c r="H15" i="10" s="1"/>
  <c r="H17" i="10" s="1"/>
  <c r="G365" i="10"/>
  <c r="H365" i="10" s="1"/>
  <c r="H367" i="10" s="1"/>
  <c r="G110" i="14"/>
  <c r="H110" i="14" s="1"/>
  <c r="H112" i="14" s="1"/>
  <c r="G2017" i="14"/>
  <c r="H2017" i="14" s="1"/>
  <c r="G344" i="8"/>
  <c r="H344" i="8" s="1"/>
  <c r="H349" i="8" s="1"/>
  <c r="G732" i="14"/>
  <c r="H732" i="14" s="1"/>
  <c r="H735" i="14" s="1"/>
  <c r="G1219" i="14"/>
  <c r="H1219" i="14" s="1"/>
  <c r="H1222" i="14" s="1"/>
  <c r="G346" i="10"/>
  <c r="H346" i="10" s="1"/>
  <c r="H348" i="10" s="1"/>
  <c r="H323" i="7"/>
  <c r="I323" i="7" s="1"/>
  <c r="I326" i="7" s="1"/>
  <c r="G498" i="8"/>
  <c r="H498" i="8" s="1"/>
  <c r="H502" i="8" s="1"/>
  <c r="H49" i="7"/>
  <c r="I49" i="7" s="1"/>
  <c r="I51" i="7" s="1"/>
  <c r="H86" i="7"/>
  <c r="I86" i="7" s="1"/>
  <c r="I88" i="7" s="1"/>
  <c r="H123" i="7"/>
  <c r="I123" i="7" s="1"/>
  <c r="I125" i="7" s="1"/>
  <c r="H160" i="7"/>
  <c r="I160" i="7" s="1"/>
  <c r="I162" i="7" s="1"/>
  <c r="H199" i="7"/>
  <c r="I199" i="7" s="1"/>
  <c r="I201" i="7" s="1"/>
  <c r="G1082" i="8"/>
  <c r="H1082" i="8" s="1"/>
  <c r="G148" i="10"/>
  <c r="H148" i="10" s="1"/>
  <c r="H150" i="10" s="1"/>
  <c r="G122" i="11"/>
  <c r="H122" i="11" s="1"/>
  <c r="H124" i="11" s="1"/>
  <c r="G173" i="12"/>
  <c r="H173" i="12" s="1"/>
  <c r="H175" i="12" s="1"/>
  <c r="G209" i="12"/>
  <c r="H209" i="12" s="1"/>
  <c r="H211" i="12" s="1"/>
  <c r="G245" i="12"/>
  <c r="H245" i="12" s="1"/>
  <c r="H246" i="12" s="1"/>
  <c r="G15" i="14"/>
  <c r="H15" i="14" s="1"/>
  <c r="H17" i="14" s="1"/>
  <c r="G208" i="14"/>
  <c r="H208" i="14" s="1"/>
  <c r="H211" i="14" s="1"/>
  <c r="G268" i="14"/>
  <c r="H268" i="14" s="1"/>
  <c r="H271" i="14" s="1"/>
  <c r="G329" i="14"/>
  <c r="H329" i="14" s="1"/>
  <c r="H332" i="14" s="1"/>
  <c r="G1645" i="14"/>
  <c r="H1645" i="14" s="1"/>
  <c r="H1647" i="14" s="1"/>
  <c r="G31" i="12"/>
  <c r="H31" i="12" s="1"/>
  <c r="H33" i="12" s="1"/>
  <c r="G270" i="13"/>
  <c r="H270" i="13" s="1"/>
  <c r="G1301" i="14"/>
  <c r="H1301" i="14" s="1"/>
  <c r="H1304" i="14" s="1"/>
  <c r="H1307" i="14" s="1"/>
  <c r="H1308" i="14" s="1"/>
  <c r="G325" i="8"/>
  <c r="H325" i="8" s="1"/>
  <c r="H327" i="8" s="1"/>
  <c r="G451" i="8"/>
  <c r="H451" i="8" s="1"/>
  <c r="H453" i="8" s="1"/>
  <c r="G53" i="10"/>
  <c r="H53" i="10" s="1"/>
  <c r="H55" i="10" s="1"/>
  <c r="G246" i="10"/>
  <c r="H246" i="10" s="1"/>
  <c r="H249" i="10" s="1"/>
  <c r="G306" i="10"/>
  <c r="H306" i="10" s="1"/>
  <c r="H309" i="10" s="1"/>
  <c r="G138" i="12"/>
  <c r="H138" i="12" s="1"/>
  <c r="H139" i="12" s="1"/>
  <c r="G148" i="14"/>
  <c r="H148" i="14" s="1"/>
  <c r="H150" i="14" s="1"/>
  <c r="H1584" i="14"/>
  <c r="H1587" i="14" s="1"/>
  <c r="G454" i="15"/>
  <c r="H454" i="15" s="1"/>
  <c r="H456" i="15" s="1"/>
  <c r="J44" i="2"/>
  <c r="J45" i="2"/>
  <c r="H362" i="7"/>
  <c r="I362" i="7" s="1"/>
  <c r="I364" i="7" s="1"/>
  <c r="H545" i="7"/>
  <c r="I545" i="7" s="1"/>
  <c r="H600" i="15"/>
  <c r="J396" i="2"/>
  <c r="D61" i="26"/>
  <c r="H21" i="26"/>
  <c r="I6" i="26" s="1"/>
  <c r="H282" i="21"/>
  <c r="H288" i="21" s="1"/>
  <c r="H289" i="21" s="1"/>
  <c r="H36" i="23"/>
  <c r="H37" i="23" s="1"/>
  <c r="H38" i="23" s="1"/>
  <c r="I23" i="23" s="1"/>
  <c r="H228" i="25"/>
  <c r="H277" i="25"/>
  <c r="F295" i="25"/>
  <c r="F260" i="25"/>
  <c r="H260" i="25" s="1"/>
  <c r="H261" i="25" s="1"/>
  <c r="H243" i="25"/>
  <c r="D272" i="25"/>
  <c r="D61" i="23"/>
  <c r="H405" i="21"/>
  <c r="H411" i="21" s="1"/>
  <c r="H412" i="21" s="1"/>
  <c r="H427" i="8"/>
  <c r="H479" i="7"/>
  <c r="I479" i="7" s="1"/>
  <c r="G819" i="8"/>
  <c r="H819" i="8" s="1"/>
  <c r="H820" i="8" s="1"/>
  <c r="H359" i="22"/>
  <c r="H360" i="22" s="1"/>
  <c r="H361" i="22" s="1"/>
  <c r="I346" i="22" s="1"/>
  <c r="H405" i="8"/>
  <c r="H136" i="12"/>
  <c r="H214" i="19"/>
  <c r="H136" i="19"/>
  <c r="H142" i="19" s="1"/>
  <c r="H143" i="19" s="1"/>
  <c r="H640" i="8"/>
  <c r="H531" i="15"/>
  <c r="H90" i="20"/>
  <c r="H202" i="21"/>
  <c r="H377" i="22"/>
  <c r="H378" i="22" s="1"/>
  <c r="I363" i="22" s="1"/>
  <c r="H326" i="22"/>
  <c r="H327" i="22" s="1"/>
  <c r="I312" i="22" s="1"/>
  <c r="H36" i="22"/>
  <c r="H37" i="22" s="1"/>
  <c r="I22" i="22" s="1"/>
  <c r="H384" i="22"/>
  <c r="H387" i="22" s="1"/>
  <c r="H393" i="22" s="1"/>
  <c r="D401" i="22"/>
  <c r="G401" i="22" s="1"/>
  <c r="D77" i="22"/>
  <c r="F578" i="22"/>
  <c r="H578" i="22" s="1"/>
  <c r="H579" i="22" s="1"/>
  <c r="H561" i="22"/>
  <c r="H562" i="22" s="1"/>
  <c r="H388" i="21"/>
  <c r="H394" i="21" s="1"/>
  <c r="H422" i="21"/>
  <c r="H429" i="21" s="1"/>
  <c r="H370" i="21"/>
  <c r="H376" i="21" s="1"/>
  <c r="H377" i="21" s="1"/>
  <c r="H104" i="20"/>
  <c r="H110" i="20" s="1"/>
  <c r="H111" i="20" s="1"/>
  <c r="H85" i="20"/>
  <c r="H270" i="19"/>
  <c r="H228" i="19"/>
  <c r="H232" i="19"/>
  <c r="H15" i="19"/>
  <c r="H16" i="19" s="1"/>
  <c r="H24" i="19"/>
  <c r="H288" i="19"/>
  <c r="H195" i="19"/>
  <c r="H210" i="19"/>
  <c r="H191" i="19"/>
  <c r="H265" i="19"/>
  <c r="H88" i="19"/>
  <c r="H284" i="19"/>
  <c r="H39" i="19"/>
  <c r="H45" i="19" s="1"/>
  <c r="H46" i="19" s="1"/>
  <c r="H173" i="16"/>
  <c r="I181" i="9"/>
  <c r="I102" i="5"/>
  <c r="I103" i="5" s="1"/>
  <c r="I104" i="5" s="1"/>
  <c r="J91" i="5" s="1"/>
  <c r="H107" i="14"/>
  <c r="I132" i="4"/>
  <c r="I138" i="4" s="1"/>
  <c r="I139" i="4" s="1"/>
  <c r="I140" i="4" s="1"/>
  <c r="J127" i="4" s="1"/>
  <c r="H1430" i="14"/>
  <c r="H1052" i="14"/>
  <c r="H83" i="12"/>
  <c r="H661" i="8"/>
  <c r="I54" i="4"/>
  <c r="I60" i="4" s="1"/>
  <c r="I61" i="4" s="1"/>
  <c r="I62" i="4" s="1"/>
  <c r="J49" i="4" s="1"/>
  <c r="I572" i="7"/>
  <c r="H948" i="8"/>
  <c r="H954" i="8" s="1"/>
  <c r="H955" i="8" s="1"/>
  <c r="H956" i="8" s="1"/>
  <c r="I943" i="8" s="1"/>
  <c r="H745" i="8"/>
  <c r="I10" i="4"/>
  <c r="I15" i="4" s="1"/>
  <c r="I16" i="4" s="1"/>
  <c r="I17" i="4" s="1"/>
  <c r="J5" i="4" s="1"/>
  <c r="H87" i="15"/>
  <c r="H160" i="15"/>
  <c r="H64" i="15"/>
  <c r="H903" i="15"/>
  <c r="H909" i="15" s="1"/>
  <c r="H910" i="15" s="1"/>
  <c r="H82" i="15"/>
  <c r="H30" i="15"/>
  <c r="H36" i="15" s="1"/>
  <c r="H119" i="12"/>
  <c r="H125" i="12" s="1"/>
  <c r="H1216" i="14"/>
  <c r="H766" i="8"/>
  <c r="H618" i="8"/>
  <c r="H126" i="10"/>
  <c r="H810" i="8"/>
  <c r="H810" i="14"/>
  <c r="H1838" i="14"/>
  <c r="H50" i="14"/>
  <c r="H1426" i="14"/>
  <c r="H1959" i="14"/>
  <c r="H485" i="14"/>
  <c r="H145" i="14"/>
  <c r="H31" i="14"/>
  <c r="H1236" i="14"/>
  <c r="H225" i="14"/>
  <c r="H1175" i="14"/>
  <c r="H1012" i="14"/>
  <c r="H1134" i="14"/>
  <c r="H126" i="14"/>
  <c r="H185" i="14"/>
  <c r="H1196" i="14"/>
  <c r="H245" i="14"/>
  <c r="H910" i="14"/>
  <c r="H445" i="14"/>
  <c r="H1032" i="14"/>
  <c r="H1819" i="14"/>
  <c r="H88" i="14"/>
  <c r="H205" i="14"/>
  <c r="H1256" i="14"/>
  <c r="H1915" i="14"/>
  <c r="H2014" i="14"/>
  <c r="H950" i="14"/>
  <c r="H769" i="14"/>
  <c r="H1953" i="14"/>
  <c r="H2000" i="14"/>
  <c r="H1896" i="14"/>
  <c r="H703" i="8"/>
  <c r="G236" i="8"/>
  <c r="H236" i="8" s="1"/>
  <c r="H237" i="8" s="1"/>
  <c r="H682" i="8"/>
  <c r="H574" i="2"/>
  <c r="J574" i="2" s="1"/>
  <c r="H477" i="7"/>
  <c r="I477" i="7" s="1"/>
  <c r="H203" i="10"/>
  <c r="H101" i="12"/>
  <c r="H153" i="12"/>
  <c r="H856" i="8"/>
  <c r="H862" i="8" s="1"/>
  <c r="H243" i="12"/>
  <c r="J105" i="2"/>
  <c r="H902" i="8"/>
  <c r="H908" i="8" s="1"/>
  <c r="H250" i="11"/>
  <c r="G842" i="8"/>
  <c r="H842" i="8" s="1"/>
  <c r="H843" i="8" s="1"/>
  <c r="H303" i="10"/>
  <c r="H260" i="12"/>
  <c r="I24" i="4"/>
  <c r="I30" i="4" s="1"/>
  <c r="I31" i="4" s="1"/>
  <c r="I118" i="4"/>
  <c r="I123" i="4" s="1"/>
  <c r="I124" i="4" s="1"/>
  <c r="H724" i="8"/>
  <c r="H171" i="12"/>
  <c r="H189" i="12"/>
  <c r="H14" i="5"/>
  <c r="I14" i="5" s="1"/>
  <c r="H428" i="7"/>
  <c r="I428" i="7" s="1"/>
  <c r="I430" i="7" s="1"/>
  <c r="G648" i="8"/>
  <c r="H648" i="8" s="1"/>
  <c r="H649" i="8" s="1"/>
  <c r="H50" i="5"/>
  <c r="I50" i="5" s="1"/>
  <c r="H127" i="7"/>
  <c r="I127" i="7" s="1"/>
  <c r="I128" i="7" s="1"/>
  <c r="H460" i="7"/>
  <c r="I460" i="7" s="1"/>
  <c r="I462" i="7" s="1"/>
  <c r="H526" i="7"/>
  <c r="I526" i="7" s="1"/>
  <c r="I528" i="7" s="1"/>
  <c r="G753" i="8"/>
  <c r="H753" i="8" s="1"/>
  <c r="H754" i="8" s="1"/>
  <c r="H115" i="5"/>
  <c r="I115" i="5" s="1"/>
  <c r="H51" i="5"/>
  <c r="I51" i="5" s="1"/>
  <c r="G626" i="8"/>
  <c r="H626" i="8" s="1"/>
  <c r="H627" i="8" s="1"/>
  <c r="G795" i="8"/>
  <c r="H795" i="8" s="1"/>
  <c r="H796" i="8" s="1"/>
  <c r="H576" i="7"/>
  <c r="I576" i="7" s="1"/>
  <c r="I578" i="7" s="1"/>
  <c r="H13" i="5"/>
  <c r="I13" i="5" s="1"/>
  <c r="H70" i="5"/>
  <c r="I70" i="5" s="1"/>
  <c r="H592" i="7"/>
  <c r="I592" i="7" s="1"/>
  <c r="I594" i="7" s="1"/>
  <c r="G732" i="8"/>
  <c r="H732" i="8" s="1"/>
  <c r="H733" i="8" s="1"/>
  <c r="H394" i="7"/>
  <c r="I394" i="7" s="1"/>
  <c r="I396" i="7" s="1"/>
  <c r="G711" i="8"/>
  <c r="H711" i="8" s="1"/>
  <c r="H712" i="8" s="1"/>
  <c r="G1120" i="8"/>
  <c r="H1120" i="8" s="1"/>
  <c r="H347" i="7"/>
  <c r="I347" i="7" s="1"/>
  <c r="H575" i="2"/>
  <c r="J575" i="2" s="1"/>
  <c r="H69" i="5"/>
  <c r="I69" i="5" s="1"/>
  <c r="H90" i="7"/>
  <c r="I90" i="7" s="1"/>
  <c r="I91" i="7" s="1"/>
  <c r="G690" i="8"/>
  <c r="H690" i="8" s="1"/>
  <c r="H691" i="8" s="1"/>
  <c r="H560" i="7"/>
  <c r="I560" i="7" s="1"/>
  <c r="I562" i="7" s="1"/>
  <c r="G669" i="8"/>
  <c r="H669" i="8" s="1"/>
  <c r="H670" i="8" s="1"/>
  <c r="H116" i="5"/>
  <c r="I116" i="5" s="1"/>
  <c r="H494" i="7"/>
  <c r="I494" i="7" s="1"/>
  <c r="I496" i="7" s="1"/>
  <c r="H543" i="7"/>
  <c r="I543" i="7" s="1"/>
  <c r="G774" i="8"/>
  <c r="H774" i="8" s="1"/>
  <c r="H775" i="8" s="1"/>
  <c r="H53" i="7"/>
  <c r="I53" i="7" s="1"/>
  <c r="I54" i="7" s="1"/>
  <c r="H203" i="7"/>
  <c r="I203" i="7" s="1"/>
  <c r="I204" i="7" s="1"/>
  <c r="H117" i="5"/>
  <c r="I117" i="5" s="1"/>
  <c r="H49" i="5"/>
  <c r="I49" i="5" s="1"/>
  <c r="H510" i="7"/>
  <c r="I510" i="7" s="1"/>
  <c r="I512" i="7" s="1"/>
  <c r="H444" i="7"/>
  <c r="I444" i="7" s="1"/>
  <c r="I446" i="7" s="1"/>
  <c r="H411" i="7"/>
  <c r="I411" i="7" s="1"/>
  <c r="H68" i="5"/>
  <c r="I68" i="5" s="1"/>
  <c r="G1119" i="8"/>
  <c r="H1119" i="8" s="1"/>
  <c r="J501" i="2"/>
  <c r="J507" i="2" s="1"/>
  <c r="J508" i="2" s="1"/>
  <c r="H207" i="12"/>
  <c r="H833" i="8"/>
  <c r="H787" i="8"/>
  <c r="I39" i="4"/>
  <c r="I45" i="4" s="1"/>
  <c r="H50" i="10"/>
  <c r="H345" i="7"/>
  <c r="I345" i="7" s="1"/>
  <c r="H378" i="7"/>
  <c r="I378" i="7" s="1"/>
  <c r="I380" i="7" s="1"/>
  <c r="H15" i="5"/>
  <c r="I15" i="5" s="1"/>
  <c r="H67" i="5"/>
  <c r="I67" i="5" s="1"/>
  <c r="H2018" i="14" l="1"/>
  <c r="G165" i="8"/>
  <c r="H165" i="8" s="1"/>
  <c r="H168" i="8" s="1"/>
  <c r="D183" i="8"/>
  <c r="G254" i="25"/>
  <c r="H254" i="25" s="1"/>
  <c r="H257" i="25" s="1"/>
  <c r="H264" i="25" s="1"/>
  <c r="G60" i="22"/>
  <c r="H60" i="22" s="1"/>
  <c r="H63" i="22" s="1"/>
  <c r="H69" i="22" s="1"/>
  <c r="H70" i="22" s="1"/>
  <c r="H71" i="22" s="1"/>
  <c r="I56" i="22" s="1"/>
  <c r="E2027" i="27"/>
  <c r="E2045" i="27"/>
  <c r="E2215" i="27"/>
  <c r="E2231" i="27"/>
  <c r="E2246" i="27"/>
  <c r="E2262" i="27"/>
  <c r="E2298" i="27"/>
  <c r="E2520" i="27"/>
  <c r="E959" i="27"/>
  <c r="E998" i="27"/>
  <c r="H661" i="46" s="1"/>
  <c r="H662" i="46" s="1"/>
  <c r="H665" i="46" s="1"/>
  <c r="H666" i="46" s="1"/>
  <c r="H667" i="46" s="1"/>
  <c r="K651" i="46" s="1"/>
  <c r="F173" i="54" s="1"/>
  <c r="E1016" i="27"/>
  <c r="E1032" i="27"/>
  <c r="E1049" i="27"/>
  <c r="E1077" i="27"/>
  <c r="E1853" i="27"/>
  <c r="E1870" i="27"/>
  <c r="E1888" i="27"/>
  <c r="E2230" i="27"/>
  <c r="E2028" i="27"/>
  <c r="E2046" i="27"/>
  <c r="E2063" i="27"/>
  <c r="E2094" i="27"/>
  <c r="E2247" i="27"/>
  <c r="E2263" i="27"/>
  <c r="E2299" i="27"/>
  <c r="E2504" i="27"/>
  <c r="E2521" i="27"/>
  <c r="E1074" i="27"/>
  <c r="E1512" i="27"/>
  <c r="E960" i="27"/>
  <c r="E999" i="27"/>
  <c r="E1015" i="27"/>
  <c r="E1033" i="27"/>
  <c r="E1050" i="27"/>
  <c r="E1078" i="27"/>
  <c r="E1854" i="27"/>
  <c r="E1872" i="27"/>
  <c r="E1889" i="27"/>
  <c r="E2261" i="27"/>
  <c r="E1903" i="27"/>
  <c r="E2029" i="27"/>
  <c r="E2047" i="27"/>
  <c r="E2064" i="27"/>
  <c r="E2095" i="27"/>
  <c r="E2217" i="27"/>
  <c r="E2248" i="27"/>
  <c r="E2264" i="27"/>
  <c r="E2471" i="27"/>
  <c r="E2522" i="27"/>
  <c r="E1085" i="27"/>
  <c r="E918" i="27"/>
  <c r="E1000" i="27"/>
  <c r="E1017" i="27"/>
  <c r="E1034" i="27"/>
  <c r="E1051" i="27"/>
  <c r="E1079" i="27"/>
  <c r="E1855" i="27"/>
  <c r="E1873" i="27"/>
  <c r="E1890" i="27"/>
  <c r="E2599" i="27"/>
  <c r="E1780" i="27"/>
  <c r="E1913" i="27"/>
  <c r="E2030" i="27"/>
  <c r="E2065" i="27"/>
  <c r="E2096" i="27"/>
  <c r="E2218" i="27"/>
  <c r="E2233" i="27"/>
  <c r="E2249" i="27"/>
  <c r="E2265" i="27"/>
  <c r="E2377" i="27"/>
  <c r="E2472" i="27"/>
  <c r="E2523" i="27"/>
  <c r="E1002" i="27"/>
  <c r="E1018" i="27"/>
  <c r="E1035" i="27"/>
  <c r="E1052" i="27"/>
  <c r="E1080" i="27"/>
  <c r="E1127" i="27"/>
  <c r="E1856" i="27"/>
  <c r="E1875" i="27"/>
  <c r="E1891" i="27"/>
  <c r="E2245" i="27"/>
  <c r="E124" i="27"/>
  <c r="E770" i="27"/>
  <c r="E2031" i="27"/>
  <c r="E2049" i="27"/>
  <c r="E2066" i="27"/>
  <c r="E2097" i="27"/>
  <c r="E2114" i="27"/>
  <c r="E2187" i="27"/>
  <c r="E2219" i="27"/>
  <c r="E2234" i="27"/>
  <c r="E2250" i="27"/>
  <c r="E2274" i="27"/>
  <c r="E2302" i="27"/>
  <c r="E2524" i="27"/>
  <c r="E1643" i="27"/>
  <c r="E931" i="27"/>
  <c r="E941" i="27"/>
  <c r="E1003" i="27"/>
  <c r="E1019" i="27"/>
  <c r="E1036" i="27"/>
  <c r="E1053" i="27"/>
  <c r="E1081" i="27"/>
  <c r="E1137" i="27"/>
  <c r="E1857" i="27"/>
  <c r="E1874" i="27"/>
  <c r="E2044" i="27"/>
  <c r="E2294" i="27"/>
  <c r="E167" i="27"/>
  <c r="E354" i="27"/>
  <c r="E531" i="27"/>
  <c r="E634" i="27"/>
  <c r="E1779" i="27"/>
  <c r="E2032" i="27"/>
  <c r="E2050" i="27"/>
  <c r="E2067" i="27"/>
  <c r="E2098" i="27"/>
  <c r="E2120" i="27"/>
  <c r="E2188" i="27"/>
  <c r="E2220" i="27"/>
  <c r="E2251" i="27"/>
  <c r="E2303" i="27"/>
  <c r="E2525" i="27"/>
  <c r="E1095" i="27"/>
  <c r="E1004" i="27"/>
  <c r="E1020" i="27"/>
  <c r="E1037" i="27"/>
  <c r="E839" i="27"/>
  <c r="E1082" i="27"/>
  <c r="E1139" i="27"/>
  <c r="E1843" i="27"/>
  <c r="E1858" i="27"/>
  <c r="E1877" i="27"/>
  <c r="E1916" i="27"/>
  <c r="E2519" i="27"/>
  <c r="E701" i="27"/>
  <c r="E2099" i="27"/>
  <c r="E2124" i="27"/>
  <c r="E2221" i="27"/>
  <c r="E2236" i="27"/>
  <c r="E2252" i="27"/>
  <c r="E2304" i="27"/>
  <c r="E2526" i="27"/>
  <c r="E1005" i="27"/>
  <c r="E1021" i="27"/>
  <c r="E1038" i="27"/>
  <c r="E1056" i="27"/>
  <c r="E1083" i="27"/>
  <c r="E1140" i="27"/>
  <c r="E1859" i="27"/>
  <c r="E1878" i="27"/>
  <c r="E1930" i="27"/>
  <c r="E2163" i="27"/>
  <c r="E318" i="27"/>
  <c r="E353" i="27"/>
  <c r="E2034" i="27"/>
  <c r="E2053" i="27"/>
  <c r="E2070" i="27"/>
  <c r="E2100" i="27"/>
  <c r="E2145" i="27"/>
  <c r="E2222" i="27"/>
  <c r="E2237" i="27"/>
  <c r="E2253" i="27"/>
  <c r="E2281" i="27"/>
  <c r="E2305" i="27"/>
  <c r="E2527" i="27"/>
  <c r="E193" i="27"/>
  <c r="E989" i="27"/>
  <c r="E1006" i="27"/>
  <c r="E1022" i="27"/>
  <c r="E1039" i="27"/>
  <c r="E1057" i="27"/>
  <c r="E1096" i="27"/>
  <c r="E1141" i="27"/>
  <c r="E1844" i="27"/>
  <c r="E1860" i="27"/>
  <c r="E1879" i="27"/>
  <c r="E1942" i="27"/>
  <c r="E480" i="27"/>
  <c r="E962" i="27"/>
  <c r="E990" i="27"/>
  <c r="E1008" i="27"/>
  <c r="E1024" i="27"/>
  <c r="E1040" i="27"/>
  <c r="E1845" i="27"/>
  <c r="E1861" i="27"/>
  <c r="E1880" i="27"/>
  <c r="E1953" i="27"/>
  <c r="E1822" i="27"/>
  <c r="E2035" i="27"/>
  <c r="E2146" i="27"/>
  <c r="E2306" i="27"/>
  <c r="E2528" i="27"/>
  <c r="E320" i="27"/>
  <c r="E2004" i="27"/>
  <c r="E2037" i="27"/>
  <c r="E2055" i="27"/>
  <c r="E2072" i="27"/>
  <c r="E2104" i="27"/>
  <c r="E2147" i="27"/>
  <c r="E2224" i="27"/>
  <c r="E2255" i="27"/>
  <c r="E2307" i="27"/>
  <c r="E2529" i="27"/>
  <c r="E963" i="27"/>
  <c r="E991" i="27"/>
  <c r="E1007" i="27"/>
  <c r="E1023" i="27"/>
  <c r="E1041" i="27"/>
  <c r="E1062" i="27"/>
  <c r="E1846" i="27"/>
  <c r="E1863" i="27"/>
  <c r="E1881" i="27"/>
  <c r="E74" i="27"/>
  <c r="E2102" i="27"/>
  <c r="E2254" i="27"/>
  <c r="E321" i="27"/>
  <c r="E333" i="27"/>
  <c r="E348" i="27"/>
  <c r="E2038" i="27"/>
  <c r="E2056" i="27"/>
  <c r="E2073" i="27"/>
  <c r="E2106" i="27"/>
  <c r="E2225" i="27"/>
  <c r="E2240" i="27"/>
  <c r="E2256" i="27"/>
  <c r="E2308" i="27"/>
  <c r="E2530" i="27"/>
  <c r="E964" i="27"/>
  <c r="E992" i="27"/>
  <c r="E1009" i="27"/>
  <c r="E1025" i="27"/>
  <c r="E1042" i="27"/>
  <c r="E1064" i="27"/>
  <c r="E1099" i="27"/>
  <c r="E1864" i="27"/>
  <c r="E1882" i="27"/>
  <c r="E2284" i="27"/>
  <c r="E2057" i="27"/>
  <c r="E2107" i="27"/>
  <c r="E2226" i="27"/>
  <c r="E2241" i="27"/>
  <c r="E2257" i="27"/>
  <c r="E2309" i="27"/>
  <c r="E2531" i="27"/>
  <c r="E947" i="27"/>
  <c r="E965" i="27"/>
  <c r="E993" i="27"/>
  <c r="E1011" i="27"/>
  <c r="E1026" i="27"/>
  <c r="E1043" i="27"/>
  <c r="E1066" i="27"/>
  <c r="E1100" i="27"/>
  <c r="E1848" i="27"/>
  <c r="E1865" i="27"/>
  <c r="E1883" i="27"/>
  <c r="E2413" i="27"/>
  <c r="E777" i="27"/>
  <c r="E2054" i="27"/>
  <c r="E2223" i="27"/>
  <c r="E115" i="27"/>
  <c r="E2058" i="27"/>
  <c r="E2075" i="27"/>
  <c r="E2108" i="27"/>
  <c r="E2227" i="27"/>
  <c r="E2242" i="27"/>
  <c r="E2258" i="27"/>
  <c r="E2296" i="27"/>
  <c r="E2516" i="27"/>
  <c r="E2532" i="27"/>
  <c r="E831" i="27"/>
  <c r="E955" i="27"/>
  <c r="E966" i="27"/>
  <c r="E994" i="27"/>
  <c r="E1010" i="27"/>
  <c r="E1027" i="27"/>
  <c r="E1044" i="27"/>
  <c r="E1068" i="27"/>
  <c r="E1110" i="27"/>
  <c r="E1849" i="27"/>
  <c r="E1866" i="27"/>
  <c r="E1884" i="27"/>
  <c r="E2416" i="27"/>
  <c r="E319" i="27"/>
  <c r="E2042" i="27"/>
  <c r="E2059" i="27"/>
  <c r="E2076" i="27"/>
  <c r="E2212" i="27"/>
  <c r="E2228" i="27"/>
  <c r="E2243" i="27"/>
  <c r="E2259" i="27"/>
  <c r="E2297" i="27"/>
  <c r="E2517" i="27"/>
  <c r="E2533" i="27"/>
  <c r="E995" i="27"/>
  <c r="E1012" i="27"/>
  <c r="E1045" i="27"/>
  <c r="E1070" i="27"/>
  <c r="E1111" i="27"/>
  <c r="E1850" i="27"/>
  <c r="E1867" i="27"/>
  <c r="E1885" i="27"/>
  <c r="E1821" i="27"/>
  <c r="E2071" i="27"/>
  <c r="E118" i="27"/>
  <c r="E2025" i="27"/>
  <c r="E2043" i="27"/>
  <c r="E2060" i="27"/>
  <c r="E2077" i="27"/>
  <c r="E2184" i="27"/>
  <c r="E2213" i="27"/>
  <c r="E2229" i="27"/>
  <c r="E2244" i="27"/>
  <c r="E2260" i="27"/>
  <c r="E2295" i="27"/>
  <c r="E2518" i="27"/>
  <c r="E2535" i="27"/>
  <c r="E1781" i="27"/>
  <c r="E956" i="27"/>
  <c r="E996" i="27"/>
  <c r="E1013" i="27"/>
  <c r="E1030" i="27"/>
  <c r="E1046" i="27"/>
  <c r="E1075" i="27"/>
  <c r="E1112" i="27"/>
  <c r="E1851" i="27"/>
  <c r="E1868" i="27"/>
  <c r="E1886" i="27"/>
  <c r="E771" i="27"/>
  <c r="E938" i="27"/>
  <c r="E958" i="27"/>
  <c r="E997" i="27"/>
  <c r="E1014" i="27"/>
  <c r="E1031" i="27"/>
  <c r="E1047" i="27"/>
  <c r="E1076" i="27"/>
  <c r="E1124" i="27"/>
  <c r="E1852" i="27"/>
  <c r="E1869" i="27"/>
  <c r="E1887" i="27"/>
  <c r="H1325" i="14"/>
  <c r="H1326" i="14" s="1"/>
  <c r="H1327" i="14" s="1"/>
  <c r="H2605" i="41"/>
  <c r="H2610" i="41" s="1"/>
  <c r="H2611" i="41" s="1"/>
  <c r="H2612" i="41" s="1"/>
  <c r="I2596" i="41" s="1"/>
  <c r="H2539" i="41"/>
  <c r="H2540" i="41" s="1"/>
  <c r="I2524" i="41" s="1"/>
  <c r="H645" i="41"/>
  <c r="H646" i="41" s="1"/>
  <c r="H647" i="41" s="1"/>
  <c r="I632" i="41" s="1"/>
  <c r="H1563" i="41"/>
  <c r="H1566" i="41" s="1"/>
  <c r="H1567" i="41" s="1"/>
  <c r="H1568" i="41" s="1"/>
  <c r="I1554" i="41" s="1"/>
  <c r="H1547" i="41"/>
  <c r="H1550" i="41" s="1"/>
  <c r="H1551" i="41" s="1"/>
  <c r="H1552" i="41" s="1"/>
  <c r="I1538" i="41" s="1"/>
  <c r="H283" i="41"/>
  <c r="H286" i="41" s="1"/>
  <c r="H287" i="41" s="1"/>
  <c r="H288" i="41" s="1"/>
  <c r="I274" i="41" s="1"/>
  <c r="H382" i="41"/>
  <c r="H383" i="41" s="1"/>
  <c r="H384" i="41" s="1"/>
  <c r="H385" i="41" s="1"/>
  <c r="I371" i="41" s="1"/>
  <c r="H1277" i="41"/>
  <c r="H1278" i="41" s="1"/>
  <c r="H1294" i="41"/>
  <c r="H1295" i="41" s="1"/>
  <c r="H1296" i="41" s="1"/>
  <c r="I1281" i="41" s="1"/>
  <c r="H1311" i="41"/>
  <c r="H1312" i="41" s="1"/>
  <c r="H1313" i="41" s="1"/>
  <c r="I1298" i="41" s="1"/>
  <c r="H1329" i="41"/>
  <c r="H1330" i="41" s="1"/>
  <c r="H1331" i="41" s="1"/>
  <c r="I1316" i="41" s="1"/>
  <c r="H1346" i="41"/>
  <c r="H1347" i="41" s="1"/>
  <c r="H1348" i="41" s="1"/>
  <c r="I1333" i="41" s="1"/>
  <c r="H1363" i="41"/>
  <c r="H1364" i="41" s="1"/>
  <c r="H1365" i="41" s="1"/>
  <c r="I1350" i="41" s="1"/>
  <c r="H1380" i="41"/>
  <c r="H1381" i="41" s="1"/>
  <c r="H1382" i="41" s="1"/>
  <c r="H1383" i="41" s="1"/>
  <c r="I1368" i="41" s="1"/>
  <c r="H1398" i="41"/>
  <c r="H1399" i="41" s="1"/>
  <c r="H1400" i="41" s="1"/>
  <c r="I1385" i="41" s="1"/>
  <c r="H1415" i="41"/>
  <c r="H1416" i="41" s="1"/>
  <c r="H1417" i="41" s="1"/>
  <c r="I1402" i="41" s="1"/>
  <c r="H1432" i="41"/>
  <c r="H1433" i="41" s="1"/>
  <c r="H1434" i="41" s="1"/>
  <c r="I1419" i="41" s="1"/>
  <c r="H1449" i="41"/>
  <c r="H1450" i="41" s="1"/>
  <c r="H1451" i="41" s="1"/>
  <c r="I1436" i="41" s="1"/>
  <c r="H1466" i="41"/>
  <c r="H1467" i="41" s="1"/>
  <c r="H1468" i="41" s="1"/>
  <c r="I1453" i="41" s="1"/>
  <c r="H1483" i="41"/>
  <c r="H1484" i="41" s="1"/>
  <c r="H1485" i="41" s="1"/>
  <c r="I1470" i="41" s="1"/>
  <c r="H1500" i="41"/>
  <c r="H1501" i="41" s="1"/>
  <c r="H1502" i="41" s="1"/>
  <c r="I1487" i="41" s="1"/>
  <c r="H1517" i="41"/>
  <c r="H1518" i="41" s="1"/>
  <c r="H1519" i="41" s="1"/>
  <c r="I1504" i="41" s="1"/>
  <c r="H1534" i="41"/>
  <c r="H1535" i="41" s="1"/>
  <c r="H1536" i="41" s="1"/>
  <c r="I1521" i="41" s="1"/>
  <c r="H14" i="41"/>
  <c r="H17" i="41" s="1"/>
  <c r="H18" i="41" s="1"/>
  <c r="H19" i="41" s="1"/>
  <c r="I5" i="41" s="1"/>
  <c r="H30" i="41"/>
  <c r="H33" i="41" s="1"/>
  <c r="H34" i="41" s="1"/>
  <c r="H35" i="41" s="1"/>
  <c r="I21" i="41" s="1"/>
  <c r="I5" i="40"/>
  <c r="E2040" i="27"/>
  <c r="H146" i="20"/>
  <c r="H149" i="20" s="1"/>
  <c r="H150" i="20" s="1"/>
  <c r="H151" i="20" s="1"/>
  <c r="I135" i="20" s="1"/>
  <c r="H1158" i="37"/>
  <c r="H1159" i="37" s="1"/>
  <c r="I1144" i="37" s="1"/>
  <c r="H53" i="17"/>
  <c r="H54" i="17" s="1"/>
  <c r="H55" i="17" s="1"/>
  <c r="I40" i="17" s="1"/>
  <c r="H1669" i="14"/>
  <c r="H1670" i="14" s="1"/>
  <c r="H1671" i="14" s="1"/>
  <c r="H229" i="21"/>
  <c r="H230" i="21" s="1"/>
  <c r="H231" i="21" s="1"/>
  <c r="J26" i="2"/>
  <c r="J27" i="2" s="1"/>
  <c r="J28" i="2" s="1"/>
  <c r="K5" i="2" s="1"/>
  <c r="E10" i="27" s="1"/>
  <c r="H426" i="19"/>
  <c r="H429" i="19" s="1"/>
  <c r="H430" i="19" s="1"/>
  <c r="H431" i="19" s="1"/>
  <c r="I415" i="19" s="1"/>
  <c r="H246" i="25"/>
  <c r="H247" i="25" s="1"/>
  <c r="H248" i="25" s="1"/>
  <c r="I232" i="25" s="1"/>
  <c r="H4275" i="43"/>
  <c r="H4276" i="43" s="1"/>
  <c r="H4277" i="43" s="1"/>
  <c r="R4253" i="43" s="1"/>
  <c r="H108" i="37"/>
  <c r="H109" i="37" s="1"/>
  <c r="I94" i="37" s="1"/>
  <c r="G1784" i="27"/>
  <c r="F1784" i="27"/>
  <c r="F1825" i="27"/>
  <c r="G1825" i="27"/>
  <c r="G1731" i="27"/>
  <c r="F1731" i="27"/>
  <c r="G1157" i="27"/>
  <c r="F1157" i="27"/>
  <c r="H5085" i="26"/>
  <c r="H5088" i="26" s="1"/>
  <c r="H5089" i="26" s="1"/>
  <c r="H5090" i="26" s="1"/>
  <c r="I5067" i="26" s="1"/>
  <c r="G181" i="27"/>
  <c r="F181" i="27"/>
  <c r="G183" i="27"/>
  <c r="F183" i="27"/>
  <c r="G184" i="27"/>
  <c r="F184" i="27"/>
  <c r="G185" i="27"/>
  <c r="F185" i="27"/>
  <c r="G186" i="27"/>
  <c r="F186" i="27"/>
  <c r="G187" i="27"/>
  <c r="F187" i="27"/>
  <c r="G188" i="27"/>
  <c r="F188" i="27"/>
  <c r="G182" i="27"/>
  <c r="F182" i="27"/>
  <c r="H890" i="43"/>
  <c r="H893" i="43" s="1"/>
  <c r="H894" i="43" s="1"/>
  <c r="H895" i="43" s="1"/>
  <c r="H4305" i="43"/>
  <c r="H4306" i="43" s="1"/>
  <c r="H4307" i="43" s="1"/>
  <c r="R4283" i="43" s="1"/>
  <c r="H4215" i="43"/>
  <c r="H4216" i="43" s="1"/>
  <c r="H4217" i="43" s="1"/>
  <c r="R4193" i="43" s="1"/>
  <c r="H4335" i="43"/>
  <c r="H4336" i="43" s="1"/>
  <c r="H4337" i="43" s="1"/>
  <c r="R4313" i="43" s="1"/>
  <c r="H4245" i="43"/>
  <c r="H4246" i="43" s="1"/>
  <c r="H4247" i="43" s="1"/>
  <c r="R4223" i="43" s="1"/>
  <c r="E1097" i="27"/>
  <c r="E1098" i="27"/>
  <c r="E1125" i="27"/>
  <c r="E1126" i="27"/>
  <c r="H7444" i="43"/>
  <c r="H7445" i="43" s="1"/>
  <c r="H7446" i="43" s="1"/>
  <c r="R7431" i="43" s="1"/>
  <c r="H6923" i="43"/>
  <c r="H6924" i="43" s="1"/>
  <c r="H6925" i="43" s="1"/>
  <c r="H6926" i="43" s="1"/>
  <c r="R6912" i="43" s="1"/>
  <c r="R6349" i="43"/>
  <c r="H6337" i="43"/>
  <c r="H5664" i="43"/>
  <c r="H5667" i="43" s="1"/>
  <c r="H5668" i="43" s="1"/>
  <c r="H5669" i="43" s="1"/>
  <c r="R5650" i="43" s="1"/>
  <c r="H4686" i="43"/>
  <c r="H4689" i="43" s="1"/>
  <c r="H4665" i="43"/>
  <c r="H4666" i="43" s="1"/>
  <c r="R4647" i="43" s="1"/>
  <c r="H4637" i="43"/>
  <c r="H4638" i="43" s="1"/>
  <c r="H4639" i="43" s="1"/>
  <c r="R4615" i="43" s="1"/>
  <c r="H4607" i="43"/>
  <c r="H4608" i="43" s="1"/>
  <c r="H4609" i="43" s="1"/>
  <c r="R4585" i="43" s="1"/>
  <c r="H4577" i="43"/>
  <c r="H4578" i="43" s="1"/>
  <c r="H4579" i="43" s="1"/>
  <c r="R4555" i="43" s="1"/>
  <c r="H4547" i="43"/>
  <c r="H4548" i="43" s="1"/>
  <c r="H4549" i="43" s="1"/>
  <c r="R4525" i="43" s="1"/>
  <c r="H4517" i="43"/>
  <c r="H4518" i="43" s="1"/>
  <c r="H4519" i="43" s="1"/>
  <c r="R4495" i="43" s="1"/>
  <c r="H4486" i="43"/>
  <c r="H4487" i="43" s="1"/>
  <c r="H4488" i="43" s="1"/>
  <c r="R4464" i="43" s="1"/>
  <c r="H4456" i="43"/>
  <c r="H4457" i="43" s="1"/>
  <c r="H4458" i="43" s="1"/>
  <c r="R4434" i="43" s="1"/>
  <c r="H4426" i="43"/>
  <c r="H4427" i="43" s="1"/>
  <c r="H4428" i="43" s="1"/>
  <c r="R4404" i="43" s="1"/>
  <c r="H4396" i="43"/>
  <c r="H4397" i="43" s="1"/>
  <c r="H4398" i="43" s="1"/>
  <c r="R4374" i="43" s="1"/>
  <c r="H4362" i="43"/>
  <c r="H4366" i="43" s="1"/>
  <c r="H4367" i="43" s="1"/>
  <c r="H4368" i="43" s="1"/>
  <c r="R4344" i="43" s="1"/>
  <c r="H3622" i="43"/>
  <c r="H3623" i="43" s="1"/>
  <c r="H3624" i="43" s="1"/>
  <c r="R3600" i="43" s="1"/>
  <c r="H3592" i="43"/>
  <c r="H3593" i="43" s="1"/>
  <c r="H3594" i="43" s="1"/>
  <c r="R3570" i="43" s="1"/>
  <c r="H3562" i="43"/>
  <c r="H3563" i="43" s="1"/>
  <c r="H3564" i="43" s="1"/>
  <c r="R3540" i="43" s="1"/>
  <c r="H3502" i="43"/>
  <c r="H3503" i="43" s="1"/>
  <c r="H3504" i="43" s="1"/>
  <c r="R3480" i="43" s="1"/>
  <c r="H3472" i="43"/>
  <c r="H3473" i="43" s="1"/>
  <c r="H3474" i="43" s="1"/>
  <c r="R3450" i="43" s="1"/>
  <c r="H3411" i="43"/>
  <c r="H3412" i="43" s="1"/>
  <c r="H3413" i="43" s="1"/>
  <c r="R3389" i="43" s="1"/>
  <c r="H3381" i="43"/>
  <c r="H3382" i="43" s="1"/>
  <c r="H3383" i="43" s="1"/>
  <c r="R3359" i="43" s="1"/>
  <c r="H3351" i="43"/>
  <c r="H3352" i="43" s="1"/>
  <c r="H3353" i="43" s="1"/>
  <c r="R3329" i="43" s="1"/>
  <c r="H3321" i="43"/>
  <c r="H3322" i="43" s="1"/>
  <c r="H3323" i="43" s="1"/>
  <c r="R3299" i="43" s="1"/>
  <c r="H3291" i="43"/>
  <c r="H3292" i="43" s="1"/>
  <c r="H3293" i="43" s="1"/>
  <c r="R3269" i="43" s="1"/>
  <c r="H3231" i="43"/>
  <c r="H3232" i="43" s="1"/>
  <c r="H3233" i="43" s="1"/>
  <c r="R3209" i="43" s="1"/>
  <c r="H3200" i="43"/>
  <c r="H3201" i="43" s="1"/>
  <c r="H3202" i="43" s="1"/>
  <c r="R3178" i="43" s="1"/>
  <c r="H3170" i="43"/>
  <c r="H3171" i="43" s="1"/>
  <c r="H3172" i="43" s="1"/>
  <c r="R3148" i="43" s="1"/>
  <c r="H3140" i="43"/>
  <c r="H3141" i="43" s="1"/>
  <c r="H3142" i="43" s="1"/>
  <c r="R3118" i="43" s="1"/>
  <c r="H3110" i="43"/>
  <c r="H3111" i="43" s="1"/>
  <c r="H3112" i="43" s="1"/>
  <c r="R3088" i="43" s="1"/>
  <c r="H3080" i="43"/>
  <c r="H3081" i="43" s="1"/>
  <c r="H3082" i="43" s="1"/>
  <c r="R3058" i="43" s="1"/>
  <c r="H3020" i="43"/>
  <c r="H3021" i="43" s="1"/>
  <c r="H3022" i="43" s="1"/>
  <c r="R2998" i="43" s="1"/>
  <c r="H2989" i="43"/>
  <c r="H2990" i="43" s="1"/>
  <c r="H2991" i="43" s="1"/>
  <c r="H94" i="43"/>
  <c r="H98" i="43" s="1"/>
  <c r="H99" i="43" s="1"/>
  <c r="H100" i="43" s="1"/>
  <c r="R86" i="43" s="1"/>
  <c r="H155" i="43"/>
  <c r="H159" i="43" s="1"/>
  <c r="H160" i="43" s="1"/>
  <c r="H161" i="43" s="1"/>
  <c r="R147" i="43" s="1"/>
  <c r="H215" i="43"/>
  <c r="H219" i="43" s="1"/>
  <c r="H220" i="43" s="1"/>
  <c r="H221" i="43" s="1"/>
  <c r="R207" i="43" s="1"/>
  <c r="H274" i="43"/>
  <c r="H278" i="43" s="1"/>
  <c r="H279" i="43" s="1"/>
  <c r="H280" i="43" s="1"/>
  <c r="R266" i="43" s="1"/>
  <c r="H335" i="43"/>
  <c r="H340" i="43" s="1"/>
  <c r="H341" i="43" s="1"/>
  <c r="H342" i="43" s="1"/>
  <c r="R327" i="43" s="1"/>
  <c r="H397" i="43"/>
  <c r="H402" i="43" s="1"/>
  <c r="H403" i="43" s="1"/>
  <c r="H404" i="43" s="1"/>
  <c r="R389" i="43" s="1"/>
  <c r="H459" i="43"/>
  <c r="H464" i="43" s="1"/>
  <c r="H465" i="43" s="1"/>
  <c r="H466" i="43" s="1"/>
  <c r="R451" i="43" s="1"/>
  <c r="H521" i="43"/>
  <c r="H526" i="43" s="1"/>
  <c r="H527" i="43" s="1"/>
  <c r="H528" i="43" s="1"/>
  <c r="R513" i="43" s="1"/>
  <c r="H640" i="43"/>
  <c r="H644" i="43" s="1"/>
  <c r="H645" i="43" s="1"/>
  <c r="H646" i="43" s="1"/>
  <c r="R632" i="43" s="1"/>
  <c r="H699" i="43"/>
  <c r="H703" i="43" s="1"/>
  <c r="H704" i="43" s="1"/>
  <c r="H705" i="43" s="1"/>
  <c r="R691" i="43" s="1"/>
  <c r="H918" i="43"/>
  <c r="H921" i="43" s="1"/>
  <c r="H922" i="43" s="1"/>
  <c r="H923" i="43" s="1"/>
  <c r="R901" i="43" s="1"/>
  <c r="H946" i="43"/>
  <c r="H949" i="43" s="1"/>
  <c r="H950" i="43" s="1"/>
  <c r="H951" i="43" s="1"/>
  <c r="L929" i="43" s="1"/>
  <c r="H974" i="43"/>
  <c r="H977" i="43" s="1"/>
  <c r="H978" i="43" s="1"/>
  <c r="H979" i="43" s="1"/>
  <c r="R957" i="43" s="1"/>
  <c r="H1002" i="43"/>
  <c r="H1005" i="43" s="1"/>
  <c r="H1006" i="43" s="1"/>
  <c r="H1007" i="43" s="1"/>
  <c r="R985" i="43" s="1"/>
  <c r="H1030" i="43"/>
  <c r="H1033" i="43" s="1"/>
  <c r="H1034" i="43" s="1"/>
  <c r="H1035" i="43" s="1"/>
  <c r="R1013" i="43" s="1"/>
  <c r="H1058" i="43"/>
  <c r="H1061" i="43" s="1"/>
  <c r="H1062" i="43" s="1"/>
  <c r="H1063" i="43" s="1"/>
  <c r="R1041" i="43" s="1"/>
  <c r="H1226" i="43"/>
  <c r="H1229" i="43" s="1"/>
  <c r="H1230" i="43" s="1"/>
  <c r="H1231" i="43" s="1"/>
  <c r="R1209" i="43" s="1"/>
  <c r="H1368" i="43"/>
  <c r="H1371" i="43" s="1"/>
  <c r="H1372" i="43" s="1"/>
  <c r="H1373" i="43" s="1"/>
  <c r="R1351" i="43" s="1"/>
  <c r="H1396" i="43"/>
  <c r="H1399" i="43" s="1"/>
  <c r="H1400" i="43" s="1"/>
  <c r="H1401" i="43" s="1"/>
  <c r="R1379" i="43" s="1"/>
  <c r="H1424" i="43"/>
  <c r="H1427" i="43" s="1"/>
  <c r="H1428" i="43" s="1"/>
  <c r="H1429" i="43" s="1"/>
  <c r="R1407" i="43" s="1"/>
  <c r="H1452" i="43"/>
  <c r="H1455" i="43" s="1"/>
  <c r="H1456" i="43" s="1"/>
  <c r="H1457" i="43" s="1"/>
  <c r="R1435" i="43" s="1"/>
  <c r="H1481" i="43"/>
  <c r="H1484" i="43" s="1"/>
  <c r="H1485" i="43" s="1"/>
  <c r="H1486" i="43" s="1"/>
  <c r="R1464" i="43" s="1"/>
  <c r="H1509" i="43"/>
  <c r="H1512" i="43" s="1"/>
  <c r="H1513" i="43" s="1"/>
  <c r="H1514" i="43" s="1"/>
  <c r="R1492" i="43" s="1"/>
  <c r="H1537" i="43"/>
  <c r="H1540" i="43" s="1"/>
  <c r="H1541" i="43" s="1"/>
  <c r="H1542" i="43" s="1"/>
  <c r="R1520" i="43" s="1"/>
  <c r="H1565" i="43"/>
  <c r="H1568" i="43" s="1"/>
  <c r="H1569" i="43" s="1"/>
  <c r="H1570" i="43" s="1"/>
  <c r="R1548" i="43" s="1"/>
  <c r="H1593" i="43"/>
  <c r="H1596" i="43" s="1"/>
  <c r="H1597" i="43" s="1"/>
  <c r="H1598" i="43" s="1"/>
  <c r="R1576" i="43" s="1"/>
  <c r="H1621" i="43"/>
  <c r="H1624" i="43" s="1"/>
  <c r="H1625" i="43" s="1"/>
  <c r="H1626" i="43" s="1"/>
  <c r="R1604" i="43" s="1"/>
  <c r="H1649" i="43"/>
  <c r="H1652" i="43" s="1"/>
  <c r="H1653" i="43" s="1"/>
  <c r="H1654" i="43" s="1"/>
  <c r="R1632" i="43" s="1"/>
  <c r="H1677" i="43"/>
  <c r="H1680" i="43" s="1"/>
  <c r="H1681" i="43" s="1"/>
  <c r="H1682" i="43" s="1"/>
  <c r="R1660" i="43" s="1"/>
  <c r="H1735" i="43"/>
  <c r="H1738" i="43" s="1"/>
  <c r="H1739" i="43" s="1"/>
  <c r="H1740" i="43" s="1"/>
  <c r="R1717" i="43" s="1"/>
  <c r="H1793" i="43"/>
  <c r="H1796" i="43" s="1"/>
  <c r="H1797" i="43" s="1"/>
  <c r="H1798" i="43" s="1"/>
  <c r="R1775" i="43" s="1"/>
  <c r="H2055" i="43"/>
  <c r="H2058" i="43" s="1"/>
  <c r="H2059" i="43" s="1"/>
  <c r="H2060" i="43" s="1"/>
  <c r="R2037" i="43" s="1"/>
  <c r="H2113" i="43"/>
  <c r="H2116" i="43" s="1"/>
  <c r="H2117" i="43" s="1"/>
  <c r="H2118" i="43" s="1"/>
  <c r="R2095" i="43" s="1"/>
  <c r="H2142" i="43"/>
  <c r="H2145" i="43" s="1"/>
  <c r="H2146" i="43" s="1"/>
  <c r="H2147" i="43" s="1"/>
  <c r="R2124" i="43" s="1"/>
  <c r="H2171" i="43"/>
  <c r="H2174" i="43" s="1"/>
  <c r="H2175" i="43" s="1"/>
  <c r="H2176" i="43" s="1"/>
  <c r="R2153" i="43" s="1"/>
  <c r="H2200" i="43"/>
  <c r="H2203" i="43" s="1"/>
  <c r="H2204" i="43" s="1"/>
  <c r="H2205" i="43" s="1"/>
  <c r="R2182" i="43" s="1"/>
  <c r="H2229" i="43"/>
  <c r="H2232" i="43" s="1"/>
  <c r="H2233" i="43" s="1"/>
  <c r="H2234" i="43" s="1"/>
  <c r="R2211" i="43" s="1"/>
  <c r="H2258" i="43"/>
  <c r="H2261" i="43" s="1"/>
  <c r="H2262" i="43" s="1"/>
  <c r="H2263" i="43" s="1"/>
  <c r="R2240" i="43" s="1"/>
  <c r="H2287" i="43"/>
  <c r="H2290" i="43" s="1"/>
  <c r="H2291" i="43" s="1"/>
  <c r="H2292" i="43" s="1"/>
  <c r="R2269" i="43" s="1"/>
  <c r="H2316" i="43"/>
  <c r="H2319" i="43" s="1"/>
  <c r="H2320" i="43" s="1"/>
  <c r="H2321" i="43" s="1"/>
  <c r="R2298" i="43" s="1"/>
  <c r="H2345" i="43"/>
  <c r="H2348" i="43" s="1"/>
  <c r="H2349" i="43" s="1"/>
  <c r="H2350" i="43" s="1"/>
  <c r="R2327" i="43" s="1"/>
  <c r="H2374" i="43"/>
  <c r="H2377" i="43" s="1"/>
  <c r="H2378" i="43" s="1"/>
  <c r="H2379" i="43" s="1"/>
  <c r="R2356" i="43" s="1"/>
  <c r="H2432" i="43"/>
  <c r="H2435" i="43" s="1"/>
  <c r="H2436" i="43" s="1"/>
  <c r="H2437" i="43" s="1"/>
  <c r="R2414" i="43" s="1"/>
  <c r="H2461" i="43"/>
  <c r="H2464" i="43" s="1"/>
  <c r="H2465" i="43" s="1"/>
  <c r="H2466" i="43" s="1"/>
  <c r="R2443" i="43" s="1"/>
  <c r="H2490" i="43"/>
  <c r="H2493" i="43" s="1"/>
  <c r="H2494" i="43" s="1"/>
  <c r="H2495" i="43" s="1"/>
  <c r="R2472" i="43" s="1"/>
  <c r="H2519" i="43"/>
  <c r="H2522" i="43" s="1"/>
  <c r="H2523" i="43" s="1"/>
  <c r="H2524" i="43" s="1"/>
  <c r="R2501" i="43" s="1"/>
  <c r="H2548" i="43"/>
  <c r="H2551" i="43" s="1"/>
  <c r="H2552" i="43" s="1"/>
  <c r="H2553" i="43" s="1"/>
  <c r="R2530" i="43" s="1"/>
  <c r="H2578" i="43"/>
  <c r="H2581" i="43" s="1"/>
  <c r="H2582" i="43" s="1"/>
  <c r="H2583" i="43" s="1"/>
  <c r="R2560" i="43" s="1"/>
  <c r="H2607" i="43"/>
  <c r="H2610" i="43" s="1"/>
  <c r="H2611" i="43" s="1"/>
  <c r="H2612" i="43" s="1"/>
  <c r="R2589" i="43" s="1"/>
  <c r="H2665" i="43"/>
  <c r="H2668" i="43" s="1"/>
  <c r="H2669" i="43" s="1"/>
  <c r="H2670" i="43" s="1"/>
  <c r="R2647" i="43" s="1"/>
  <c r="H2694" i="43"/>
  <c r="H2697" i="43" s="1"/>
  <c r="H2698" i="43" s="1"/>
  <c r="H2699" i="43" s="1"/>
  <c r="R2676" i="43" s="1"/>
  <c r="H2724" i="43"/>
  <c r="H2727" i="43" s="1"/>
  <c r="H2728" i="43" s="1"/>
  <c r="H2729" i="43" s="1"/>
  <c r="R2706" i="43" s="1"/>
  <c r="H2753" i="43"/>
  <c r="H2756" i="43" s="1"/>
  <c r="H2757" i="43" s="1"/>
  <c r="H2758" i="43" s="1"/>
  <c r="R2735" i="43" s="1"/>
  <c r="H2782" i="43"/>
  <c r="H2785" i="43" s="1"/>
  <c r="H2786" i="43" s="1"/>
  <c r="H2787" i="43" s="1"/>
  <c r="R2764" i="43" s="1"/>
  <c r="H2811" i="43"/>
  <c r="H2814" i="43" s="1"/>
  <c r="H2815" i="43" s="1"/>
  <c r="H2816" i="43" s="1"/>
  <c r="R2793" i="43" s="1"/>
  <c r="H2869" i="43"/>
  <c r="H2872" i="43" s="1"/>
  <c r="H2873" i="43" s="1"/>
  <c r="H2874" i="43" s="1"/>
  <c r="R2851" i="43" s="1"/>
  <c r="H2898" i="43"/>
  <c r="H2901" i="43" s="1"/>
  <c r="H2902" i="43" s="1"/>
  <c r="H2903" i="43" s="1"/>
  <c r="R2880" i="43" s="1"/>
  <c r="H2956" i="43"/>
  <c r="H2959" i="43" s="1"/>
  <c r="H2960" i="43" s="1"/>
  <c r="H2961" i="43" s="1"/>
  <c r="R2938" i="43" s="1"/>
  <c r="H820" i="15"/>
  <c r="H823" i="15" s="1"/>
  <c r="H824" i="15" s="1"/>
  <c r="H825" i="15" s="1"/>
  <c r="I808" i="15" s="1"/>
  <c r="I4" i="42"/>
  <c r="G116" i="42"/>
  <c r="H116" i="42" s="1"/>
  <c r="I23" i="42"/>
  <c r="G135" i="42"/>
  <c r="H135" i="42" s="1"/>
  <c r="H58" i="42"/>
  <c r="H59" i="42" s="1"/>
  <c r="J47" i="2"/>
  <c r="J50" i="2" s="1"/>
  <c r="H820" i="11"/>
  <c r="H821" i="11" s="1"/>
  <c r="H822" i="11" s="1"/>
  <c r="I806" i="11" s="1"/>
  <c r="I55" i="7"/>
  <c r="I56" i="7" s="1"/>
  <c r="I57" i="7" s="1"/>
  <c r="J40" i="7" s="1"/>
  <c r="H1415" i="14"/>
  <c r="H1416" i="14" s="1"/>
  <c r="H1417" i="14" s="1"/>
  <c r="I14" i="18"/>
  <c r="I18" i="18" s="1"/>
  <c r="H9288" i="26"/>
  <c r="H9291" i="26" s="1"/>
  <c r="H9292" i="26" s="1"/>
  <c r="H9293" i="26" s="1"/>
  <c r="H8350" i="26"/>
  <c r="H8353" i="26" s="1"/>
  <c r="H8354" i="26" s="1"/>
  <c r="H8355" i="26" s="1"/>
  <c r="I8339" i="26" s="1"/>
  <c r="H7402" i="26"/>
  <c r="H7405" i="26" s="1"/>
  <c r="H7406" i="26" s="1"/>
  <c r="H7407" i="26" s="1"/>
  <c r="I7392" i="26" s="1"/>
  <c r="H6382" i="26"/>
  <c r="H6383" i="26" s="1"/>
  <c r="G77" i="22"/>
  <c r="H77" i="22" s="1"/>
  <c r="H80" i="22" s="1"/>
  <c r="H86" i="22" s="1"/>
  <c r="G61" i="23"/>
  <c r="H61" i="23" s="1"/>
  <c r="H64" i="23" s="1"/>
  <c r="H70" i="23" s="1"/>
  <c r="G272" i="25"/>
  <c r="H272" i="25" s="1"/>
  <c r="H275" i="25" s="1"/>
  <c r="H1550" i="14"/>
  <c r="H1551" i="14" s="1"/>
  <c r="H1552" i="14" s="1"/>
  <c r="H1767" i="14"/>
  <c r="H1768" i="14" s="1"/>
  <c r="H1769" i="14" s="1"/>
  <c r="H4091" i="41"/>
  <c r="H4092" i="41" s="1"/>
  <c r="H4093" i="41" s="1"/>
  <c r="I4077" i="41" s="1"/>
  <c r="H224" i="42"/>
  <c r="H227" i="42" s="1"/>
  <c r="H228" i="42" s="1"/>
  <c r="H229" i="42" s="1"/>
  <c r="H5183" i="26"/>
  <c r="H5186" i="26" s="1"/>
  <c r="H5187" i="26" s="1"/>
  <c r="H5188" i="26" s="1"/>
  <c r="I5166" i="26" s="1"/>
  <c r="E2214" i="27"/>
  <c r="E2216" i="27"/>
  <c r="H1910" i="41"/>
  <c r="I1895" i="41" s="1"/>
  <c r="E2026" i="27"/>
  <c r="E2041" i="27"/>
  <c r="E2033" i="27"/>
  <c r="E2048" i="27"/>
  <c r="E2089" i="27"/>
  <c r="E2061" i="27"/>
  <c r="E2090" i="27"/>
  <c r="E2062" i="27"/>
  <c r="E2078" i="27"/>
  <c r="E2079" i="27"/>
  <c r="G61" i="26"/>
  <c r="H61" i="26" s="1"/>
  <c r="H64" i="26" s="1"/>
  <c r="H70" i="26" s="1"/>
  <c r="I546" i="7"/>
  <c r="I547" i="7" s="1"/>
  <c r="I548" i="7" s="1"/>
  <c r="I549" i="7" s="1"/>
  <c r="J533" i="7" s="1"/>
  <c r="E1153" i="27"/>
  <c r="I185" i="7"/>
  <c r="I186" i="7" s="1"/>
  <c r="I187" i="7" s="1"/>
  <c r="J171" i="7" s="1"/>
  <c r="I87" i="33"/>
  <c r="I90" i="33" s="1"/>
  <c r="I91" i="33" s="1"/>
  <c r="I92" i="33" s="1"/>
  <c r="J76" i="33" s="1"/>
  <c r="I124" i="33"/>
  <c r="I127" i="33" s="1"/>
  <c r="I128" i="33" s="1"/>
  <c r="I129" i="33" s="1"/>
  <c r="J113" i="33" s="1"/>
  <c r="I161" i="33"/>
  <c r="I164" i="33" s="1"/>
  <c r="I165" i="33" s="1"/>
  <c r="I166" i="33" s="1"/>
  <c r="J150" i="33" s="1"/>
  <c r="I197" i="33"/>
  <c r="I200" i="33" s="1"/>
  <c r="I201" i="33" s="1"/>
  <c r="I202" i="33" s="1"/>
  <c r="J186" i="33" s="1"/>
  <c r="I233" i="33"/>
  <c r="I236" i="33" s="1"/>
  <c r="I237" i="33" s="1"/>
  <c r="I238" i="33" s="1"/>
  <c r="J222" i="33" s="1"/>
  <c r="I269" i="33"/>
  <c r="I272" i="33" s="1"/>
  <c r="I273" i="33" s="1"/>
  <c r="I274" i="33" s="1"/>
  <c r="J258" i="33" s="1"/>
  <c r="H1787" i="14"/>
  <c r="H1788" i="14" s="1"/>
  <c r="H1789" i="14" s="1"/>
  <c r="H219" i="15"/>
  <c r="H220" i="15" s="1"/>
  <c r="H221" i="15" s="1"/>
  <c r="I19" i="30"/>
  <c r="I20" i="30" s="1"/>
  <c r="I105" i="33"/>
  <c r="I108" i="33" s="1"/>
  <c r="I109" i="33" s="1"/>
  <c r="I110" i="33" s="1"/>
  <c r="J95" i="33" s="1"/>
  <c r="I142" i="33"/>
  <c r="I145" i="33" s="1"/>
  <c r="I146" i="33" s="1"/>
  <c r="I147" i="33" s="1"/>
  <c r="J132" i="33" s="1"/>
  <c r="I179" i="33"/>
  <c r="I182" i="33" s="1"/>
  <c r="I183" i="33" s="1"/>
  <c r="I184" i="33" s="1"/>
  <c r="J169" i="33" s="1"/>
  <c r="I214" i="33"/>
  <c r="I217" i="33" s="1"/>
  <c r="I218" i="33" s="1"/>
  <c r="I219" i="33" s="1"/>
  <c r="J204" i="33" s="1"/>
  <c r="I250" i="33"/>
  <c r="I253" i="33" s="1"/>
  <c r="I254" i="33" s="1"/>
  <c r="I255" i="33" s="1"/>
  <c r="J240" i="33" s="1"/>
  <c r="I287" i="33"/>
  <c r="I290" i="33" s="1"/>
  <c r="I291" i="33" s="1"/>
  <c r="I292" i="33" s="1"/>
  <c r="J277" i="33" s="1"/>
  <c r="I106" i="29"/>
  <c r="I107" i="29" s="1"/>
  <c r="I676" i="7"/>
  <c r="I186" i="5"/>
  <c r="I187" i="5" s="1"/>
  <c r="I188" i="5" s="1"/>
  <c r="I189" i="5" s="1"/>
  <c r="J173" i="5" s="1"/>
  <c r="J653" i="2"/>
  <c r="I127" i="29"/>
  <c r="I128" i="29" s="1"/>
  <c r="I168" i="5"/>
  <c r="I169" i="5" s="1"/>
  <c r="I170" i="5" s="1"/>
  <c r="I171" i="5" s="1"/>
  <c r="J155" i="5" s="1"/>
  <c r="I697" i="7"/>
  <c r="I717" i="7"/>
  <c r="I736" i="7"/>
  <c r="I756" i="7"/>
  <c r="I776" i="7"/>
  <c r="I796" i="7"/>
  <c r="I817" i="7"/>
  <c r="I837" i="7"/>
  <c r="I857" i="7"/>
  <c r="I877" i="7"/>
  <c r="I896" i="7"/>
  <c r="I915" i="7"/>
  <c r="I934" i="7"/>
  <c r="I954" i="7"/>
  <c r="I1088" i="7"/>
  <c r="I1089" i="7" s="1"/>
  <c r="I1090" i="7" s="1"/>
  <c r="I1091" i="7" s="1"/>
  <c r="J1076" i="7" s="1"/>
  <c r="I63" i="31"/>
  <c r="I66" i="31" s="1"/>
  <c r="I67" i="31" s="1"/>
  <c r="I68" i="31" s="1"/>
  <c r="J49" i="31" s="1"/>
  <c r="I53" i="18"/>
  <c r="I56" i="18" s="1"/>
  <c r="I57" i="18" s="1"/>
  <c r="I58" i="18" s="1"/>
  <c r="J41" i="18" s="1"/>
  <c r="I52" i="29"/>
  <c r="I53" i="29" s="1"/>
  <c r="H1103" i="14"/>
  <c r="H1104" i="14" s="1"/>
  <c r="H1105" i="14" s="1"/>
  <c r="I145" i="29"/>
  <c r="I149" i="29" s="1"/>
  <c r="I680" i="7"/>
  <c r="I701" i="7"/>
  <c r="I721" i="7"/>
  <c r="I740" i="7"/>
  <c r="I760" i="7"/>
  <c r="I800" i="7"/>
  <c r="I821" i="7"/>
  <c r="I841" i="7"/>
  <c r="I861" i="7"/>
  <c r="I881" i="7"/>
  <c r="I900" i="7"/>
  <c r="I919" i="7"/>
  <c r="I938" i="7"/>
  <c r="I958" i="7"/>
  <c r="I1070" i="7"/>
  <c r="I1071" i="7" s="1"/>
  <c r="I1072" i="7" s="1"/>
  <c r="I1073" i="7" s="1"/>
  <c r="J1058" i="7" s="1"/>
  <c r="I1106" i="7"/>
  <c r="I1107" i="7" s="1"/>
  <c r="I1108" i="7" s="1"/>
  <c r="I1109" i="7" s="1"/>
  <c r="J1094" i="7" s="1"/>
  <c r="I1142" i="7"/>
  <c r="I1143" i="7" s="1"/>
  <c r="I1144" i="7" s="1"/>
  <c r="I1145" i="7" s="1"/>
  <c r="J1130" i="7" s="1"/>
  <c r="I19" i="31"/>
  <c r="I22" i="31" s="1"/>
  <c r="I23" i="31" s="1"/>
  <c r="I24" i="31" s="1"/>
  <c r="J4" i="31" s="1"/>
  <c r="I41" i="31"/>
  <c r="I44" i="31" s="1"/>
  <c r="I45" i="31" s="1"/>
  <c r="I46" i="31" s="1"/>
  <c r="J27" i="31" s="1"/>
  <c r="I32" i="18"/>
  <c r="I36" i="18"/>
  <c r="H177" i="42"/>
  <c r="H180" i="42" s="1"/>
  <c r="H181" i="42" s="1"/>
  <c r="H182" i="42" s="1"/>
  <c r="I165" i="42" s="1"/>
  <c r="I33" i="33"/>
  <c r="I36" i="33" s="1"/>
  <c r="I37" i="33" s="1"/>
  <c r="I38" i="33" s="1"/>
  <c r="J22" i="33" s="1"/>
  <c r="I14" i="33"/>
  <c r="I17" i="33" s="1"/>
  <c r="I18" i="33" s="1"/>
  <c r="I19" i="33" s="1"/>
  <c r="J3" i="33" s="1"/>
  <c r="I266" i="31"/>
  <c r="I267" i="31" s="1"/>
  <c r="I1124" i="7"/>
  <c r="I1125" i="7" s="1"/>
  <c r="I1126" i="7" s="1"/>
  <c r="I1127" i="7" s="1"/>
  <c r="J1112" i="7" s="1"/>
  <c r="I1051" i="7"/>
  <c r="I1052" i="7" s="1"/>
  <c r="I1053" i="7" s="1"/>
  <c r="I1054" i="7" s="1"/>
  <c r="J1039" i="7" s="1"/>
  <c r="I779" i="7"/>
  <c r="I780" i="7" s="1"/>
  <c r="E247" i="27"/>
  <c r="H43" i="9"/>
  <c r="I43" i="9" s="1"/>
  <c r="I46" i="9" s="1"/>
  <c r="I53" i="9" s="1"/>
  <c r="I54" i="9" s="1"/>
  <c r="I55" i="9" s="1"/>
  <c r="J39" i="9" s="1"/>
  <c r="E181" i="27"/>
  <c r="E178" i="27"/>
  <c r="I84" i="29"/>
  <c r="I88" i="29" s="1"/>
  <c r="I89" i="29" s="1"/>
  <c r="I90" i="29" s="1"/>
  <c r="J75" i="29" s="1"/>
  <c r="I33" i="29"/>
  <c r="I34" i="29" s="1"/>
  <c r="I16" i="29"/>
  <c r="I17" i="29" s="1"/>
  <c r="I151" i="4"/>
  <c r="I152" i="4" s="1"/>
  <c r="I153" i="4" s="1"/>
  <c r="I154" i="4" s="1"/>
  <c r="I155" i="4" s="1"/>
  <c r="J144" i="4" s="1"/>
  <c r="I89" i="4"/>
  <c r="I92" i="4" s="1"/>
  <c r="I93" i="4" s="1"/>
  <c r="I94" i="4" s="1"/>
  <c r="J81" i="4" s="1"/>
  <c r="I523" i="3"/>
  <c r="I524" i="3" s="1"/>
  <c r="I525" i="3" s="1"/>
  <c r="I526" i="3" s="1"/>
  <c r="I527" i="3" s="1"/>
  <c r="J514" i="3" s="1"/>
  <c r="I420" i="3"/>
  <c r="I421" i="3" s="1"/>
  <c r="I422" i="3" s="1"/>
  <c r="I375" i="3"/>
  <c r="I376" i="3" s="1"/>
  <c r="I377" i="3" s="1"/>
  <c r="I269" i="3"/>
  <c r="I270" i="3" s="1"/>
  <c r="J257" i="3" s="1"/>
  <c r="I301" i="3"/>
  <c r="I302" i="3" s="1"/>
  <c r="J289" i="3" s="1"/>
  <c r="I254" i="3"/>
  <c r="I255" i="3" s="1"/>
  <c r="J242" i="3" s="1"/>
  <c r="J673" i="2"/>
  <c r="K466" i="2"/>
  <c r="K481" i="2"/>
  <c r="K622" i="2"/>
  <c r="K332" i="2"/>
  <c r="H4156" i="41"/>
  <c r="H4157" i="41" s="1"/>
  <c r="I4143" i="41" s="1"/>
  <c r="H4173" i="41"/>
  <c r="H4174" i="41" s="1"/>
  <c r="I4160" i="41" s="1"/>
  <c r="H4189" i="41"/>
  <c r="H4190" i="41" s="1"/>
  <c r="I4176" i="41" s="1"/>
  <c r="H4205" i="41"/>
  <c r="H4206" i="41" s="1"/>
  <c r="I4192" i="41" s="1"/>
  <c r="H4221" i="41"/>
  <c r="H4222" i="41" s="1"/>
  <c r="I4208" i="41" s="1"/>
  <c r="H4237" i="41"/>
  <c r="H4238" i="41" s="1"/>
  <c r="I4224" i="41" s="1"/>
  <c r="H4254" i="41"/>
  <c r="H4255" i="41" s="1"/>
  <c r="I4241" i="41" s="1"/>
  <c r="H4270" i="41"/>
  <c r="H4271" i="41" s="1"/>
  <c r="I4257" i="41" s="1"/>
  <c r="H4287" i="41"/>
  <c r="H4288" i="41" s="1"/>
  <c r="I4274" i="41" s="1"/>
  <c r="H3982" i="41"/>
  <c r="H4055" i="41"/>
  <c r="H4056" i="41" s="1"/>
  <c r="H3625" i="41"/>
  <c r="H3626" i="41" s="1"/>
  <c r="H3813" i="41"/>
  <c r="H3814" i="41" s="1"/>
  <c r="I3800" i="41" s="1"/>
  <c r="H4019" i="41"/>
  <c r="H3829" i="41"/>
  <c r="H3830" i="41" s="1"/>
  <c r="I3816" i="41" s="1"/>
  <c r="H3931" i="41"/>
  <c r="H3932" i="41" s="1"/>
  <c r="I3917" i="41" s="1"/>
  <c r="H3862" i="41"/>
  <c r="H3863" i="41" s="1"/>
  <c r="I3849" i="41" s="1"/>
  <c r="H3878" i="41"/>
  <c r="H3879" i="41" s="1"/>
  <c r="I3865" i="41" s="1"/>
  <c r="H4108" i="41"/>
  <c r="H4109" i="41" s="1"/>
  <c r="I4095" i="41" s="1"/>
  <c r="H3897" i="41"/>
  <c r="H3898" i="41" s="1"/>
  <c r="I3883" i="41" s="1"/>
  <c r="H3781" i="41"/>
  <c r="H3782" i="41" s="1"/>
  <c r="I3768" i="41" s="1"/>
  <c r="H4001" i="41"/>
  <c r="H4073" i="41"/>
  <c r="H3948" i="41"/>
  <c r="H3949" i="41" s="1"/>
  <c r="I3934" i="41" s="1"/>
  <c r="H3797" i="41"/>
  <c r="H3798" i="41" s="1"/>
  <c r="I3784" i="41" s="1"/>
  <c r="H3965" i="41"/>
  <c r="H3966" i="41" s="1"/>
  <c r="I3951" i="41" s="1"/>
  <c r="H3846" i="41"/>
  <c r="H3847" i="41" s="1"/>
  <c r="I3833" i="41" s="1"/>
  <c r="H3749" i="41"/>
  <c r="H3750" i="41" s="1"/>
  <c r="I3736" i="41" s="1"/>
  <c r="H3765" i="41"/>
  <c r="H3766" i="41" s="1"/>
  <c r="I3752" i="41" s="1"/>
  <c r="H4124" i="41"/>
  <c r="H4125" i="41" s="1"/>
  <c r="I4111" i="41" s="1"/>
  <c r="H3914" i="41"/>
  <c r="H3915" i="41" s="1"/>
  <c r="I3900" i="41" s="1"/>
  <c r="H4037" i="41"/>
  <c r="H4140" i="41"/>
  <c r="H4141" i="41" s="1"/>
  <c r="I4127" i="41" s="1"/>
  <c r="H3504" i="41"/>
  <c r="H3505" i="41" s="1"/>
  <c r="I3490" i="41" s="1"/>
  <c r="H3522" i="41"/>
  <c r="H3523" i="41" s="1"/>
  <c r="I3508" i="41" s="1"/>
  <c r="H3539" i="41"/>
  <c r="H3540" i="41" s="1"/>
  <c r="I3525" i="41" s="1"/>
  <c r="H3556" i="41"/>
  <c r="H3557" i="41" s="1"/>
  <c r="I3542" i="41" s="1"/>
  <c r="H3573" i="41"/>
  <c r="H3574" i="41" s="1"/>
  <c r="I3559" i="41" s="1"/>
  <c r="H3590" i="41"/>
  <c r="H3591" i="41" s="1"/>
  <c r="I3576" i="41" s="1"/>
  <c r="H3607" i="41"/>
  <c r="H3643" i="41"/>
  <c r="H3661" i="41"/>
  <c r="H3679" i="41"/>
  <c r="H3697" i="41"/>
  <c r="H3716" i="41"/>
  <c r="H3733" i="41"/>
  <c r="H3734" i="41" s="1"/>
  <c r="I3720" i="41" s="1"/>
  <c r="H3142" i="41"/>
  <c r="H3143" i="41" s="1"/>
  <c r="H2983" i="41"/>
  <c r="H2984" i="41" s="1"/>
  <c r="I2966" i="41" s="1"/>
  <c r="H3003" i="41"/>
  <c r="H3004" i="41" s="1"/>
  <c r="I2986" i="41" s="1"/>
  <c r="H3023" i="41"/>
  <c r="H3024" i="41" s="1"/>
  <c r="I3006" i="41" s="1"/>
  <c r="H3043" i="41"/>
  <c r="H3044" i="41" s="1"/>
  <c r="I3026" i="41" s="1"/>
  <c r="H3063" i="41"/>
  <c r="H3064" i="41" s="1"/>
  <c r="I3046" i="41" s="1"/>
  <c r="H3083" i="41"/>
  <c r="H3084" i="41" s="1"/>
  <c r="I3066" i="41" s="1"/>
  <c r="H3103" i="41"/>
  <c r="H3104" i="41" s="1"/>
  <c r="I3086" i="41" s="1"/>
  <c r="H3123" i="41"/>
  <c r="H3124" i="41" s="1"/>
  <c r="I3106" i="41" s="1"/>
  <c r="H2629" i="41"/>
  <c r="H2630" i="41" s="1"/>
  <c r="I2614" i="41" s="1"/>
  <c r="H2647" i="41"/>
  <c r="H2648" i="41" s="1"/>
  <c r="I2632" i="41" s="1"/>
  <c r="H2665" i="41"/>
  <c r="H2666" i="41" s="1"/>
  <c r="I2650" i="41" s="1"/>
  <c r="H2683" i="41"/>
  <c r="H2684" i="41" s="1"/>
  <c r="I2668" i="41" s="1"/>
  <c r="H2700" i="41"/>
  <c r="H2701" i="41" s="1"/>
  <c r="I2687" i="41" s="1"/>
  <c r="H2487" i="41"/>
  <c r="H2488" i="41" s="1"/>
  <c r="I2473" i="41" s="1"/>
  <c r="H2504" i="41"/>
  <c r="H2505" i="41" s="1"/>
  <c r="I2490" i="41" s="1"/>
  <c r="H2521" i="41"/>
  <c r="H2522" i="41" s="1"/>
  <c r="I2507" i="41" s="1"/>
  <c r="H2557" i="41"/>
  <c r="H2558" i="41" s="1"/>
  <c r="I2542" i="41" s="1"/>
  <c r="H2575" i="41"/>
  <c r="H2576" i="41" s="1"/>
  <c r="I2560" i="41" s="1"/>
  <c r="H2593" i="41"/>
  <c r="H2594" i="41" s="1"/>
  <c r="I2578" i="41" s="1"/>
  <c r="H2102" i="41"/>
  <c r="H2103" i="41" s="1"/>
  <c r="I2087" i="41" s="1"/>
  <c r="H2084" i="41"/>
  <c r="H2085" i="41" s="1"/>
  <c r="I2069" i="41" s="1"/>
  <c r="H2138" i="41"/>
  <c r="H2139" i="41" s="1"/>
  <c r="I2123" i="41" s="1"/>
  <c r="H2120" i="41"/>
  <c r="H2121" i="41" s="1"/>
  <c r="I2105" i="41" s="1"/>
  <c r="H2030" i="41"/>
  <c r="H2031" i="41" s="1"/>
  <c r="I2015" i="41" s="1"/>
  <c r="H2156" i="41"/>
  <c r="H2157" i="41" s="1"/>
  <c r="I2141" i="41" s="1"/>
  <c r="H2048" i="41"/>
  <c r="H2049" i="41" s="1"/>
  <c r="I2033" i="41" s="1"/>
  <c r="H2066" i="41"/>
  <c r="H2067" i="41" s="1"/>
  <c r="I2051" i="41" s="1"/>
  <c r="H2005" i="41"/>
  <c r="H1926" i="41"/>
  <c r="H1927" i="41" s="1"/>
  <c r="I1912" i="41" s="1"/>
  <c r="H1943" i="41"/>
  <c r="H1944" i="41" s="1"/>
  <c r="I1929" i="41" s="1"/>
  <c r="H1960" i="41"/>
  <c r="H1961" i="41" s="1"/>
  <c r="I1946" i="41" s="1"/>
  <c r="H1977" i="41"/>
  <c r="H1978" i="41" s="1"/>
  <c r="I1963" i="41" s="1"/>
  <c r="H1994" i="41"/>
  <c r="H1995" i="41" s="1"/>
  <c r="I1980" i="41" s="1"/>
  <c r="H1114" i="41"/>
  <c r="H1115" i="41" s="1"/>
  <c r="I1101" i="41" s="1"/>
  <c r="H1130" i="41"/>
  <c r="H1131" i="41" s="1"/>
  <c r="I1117" i="41" s="1"/>
  <c r="H1146" i="41"/>
  <c r="H1147" i="41" s="1"/>
  <c r="I1133" i="41" s="1"/>
  <c r="H1178" i="41"/>
  <c r="H1179" i="41" s="1"/>
  <c r="I1165" i="41" s="1"/>
  <c r="H1194" i="41"/>
  <c r="H1195" i="41" s="1"/>
  <c r="I1181" i="41" s="1"/>
  <c r="H1210" i="41"/>
  <c r="H1211" i="41" s="1"/>
  <c r="I1197" i="41" s="1"/>
  <c r="H1226" i="41"/>
  <c r="H1227" i="41" s="1"/>
  <c r="I1213" i="41" s="1"/>
  <c r="H1243" i="41"/>
  <c r="H1244" i="41" s="1"/>
  <c r="I1230" i="41" s="1"/>
  <c r="H1259" i="41"/>
  <c r="H1260" i="41" s="1"/>
  <c r="I1246" i="41" s="1"/>
  <c r="H1162" i="41"/>
  <c r="H1163" i="41" s="1"/>
  <c r="I1149" i="41" s="1"/>
  <c r="H50" i="41"/>
  <c r="H51" i="41" s="1"/>
  <c r="I37" i="41" s="1"/>
  <c r="H66" i="41"/>
  <c r="H67" i="41" s="1"/>
  <c r="I53" i="41" s="1"/>
  <c r="H82" i="41"/>
  <c r="H83" i="41" s="1"/>
  <c r="I69" i="41" s="1"/>
  <c r="H98" i="41"/>
  <c r="H115" i="41"/>
  <c r="H132" i="41"/>
  <c r="H149" i="41"/>
  <c r="H167" i="41"/>
  <c r="H184" i="41"/>
  <c r="H201" i="41"/>
  <c r="H218" i="41"/>
  <c r="H235" i="41"/>
  <c r="H253" i="41"/>
  <c r="H270" i="41"/>
  <c r="H303" i="41"/>
  <c r="H304" i="41" s="1"/>
  <c r="I290" i="41" s="1"/>
  <c r="H319" i="41"/>
  <c r="H320" i="41" s="1"/>
  <c r="I306" i="41" s="1"/>
  <c r="H335" i="41"/>
  <c r="H336" i="41" s="1"/>
  <c r="I322" i="41" s="1"/>
  <c r="H351" i="41"/>
  <c r="H352" i="41" s="1"/>
  <c r="I338" i="41" s="1"/>
  <c r="H367" i="41"/>
  <c r="H368" i="41" s="1"/>
  <c r="I354" i="41" s="1"/>
  <c r="H400" i="41"/>
  <c r="H401" i="41" s="1"/>
  <c r="I387" i="41" s="1"/>
  <c r="H416" i="41"/>
  <c r="H417" i="41" s="1"/>
  <c r="I403" i="41" s="1"/>
  <c r="H433" i="41"/>
  <c r="H434" i="41" s="1"/>
  <c r="I420" i="41" s="1"/>
  <c r="H450" i="41"/>
  <c r="H451" i="41" s="1"/>
  <c r="I437" i="41" s="1"/>
  <c r="H467" i="41"/>
  <c r="H468" i="41" s="1"/>
  <c r="I454" i="41" s="1"/>
  <c r="H483" i="41"/>
  <c r="H484" i="41" s="1"/>
  <c r="I470" i="41" s="1"/>
  <c r="H499" i="41"/>
  <c r="H500" i="41" s="1"/>
  <c r="I486" i="41" s="1"/>
  <c r="H515" i="41"/>
  <c r="H516" i="41" s="1"/>
  <c r="I502" i="41" s="1"/>
  <c r="H531" i="41"/>
  <c r="H532" i="41" s="1"/>
  <c r="I518" i="41" s="1"/>
  <c r="H547" i="41"/>
  <c r="H548" i="41" s="1"/>
  <c r="I534" i="41" s="1"/>
  <c r="H563" i="41"/>
  <c r="H564" i="41" s="1"/>
  <c r="I550" i="41" s="1"/>
  <c r="H579" i="41"/>
  <c r="H580" i="41" s="1"/>
  <c r="I566" i="41" s="1"/>
  <c r="H595" i="41"/>
  <c r="H596" i="41" s="1"/>
  <c r="I582" i="41" s="1"/>
  <c r="H611" i="41"/>
  <c r="H612" i="41" s="1"/>
  <c r="I598" i="41" s="1"/>
  <c r="H627" i="41"/>
  <c r="H628" i="41" s="1"/>
  <c r="I614" i="41" s="1"/>
  <c r="H662" i="41"/>
  <c r="H679" i="41"/>
  <c r="H696" i="41"/>
  <c r="H713" i="41"/>
  <c r="H731" i="41"/>
  <c r="H748" i="41"/>
  <c r="H766" i="41"/>
  <c r="H783" i="41"/>
  <c r="H800" i="41"/>
  <c r="H817" i="41"/>
  <c r="H834" i="41"/>
  <c r="H851" i="41"/>
  <c r="H869" i="41"/>
  <c r="H886" i="41"/>
  <c r="H903" i="41"/>
  <c r="H920" i="41"/>
  <c r="H921" i="41" s="1"/>
  <c r="I907" i="41" s="1"/>
  <c r="H937" i="41"/>
  <c r="H938" i="41" s="1"/>
  <c r="I924" i="41" s="1"/>
  <c r="H953" i="41"/>
  <c r="H954" i="41" s="1"/>
  <c r="I940" i="41" s="1"/>
  <c r="H969" i="41"/>
  <c r="H970" i="41" s="1"/>
  <c r="I956" i="41" s="1"/>
  <c r="H985" i="41"/>
  <c r="H986" i="41" s="1"/>
  <c r="I972" i="41" s="1"/>
  <c r="H1001" i="41"/>
  <c r="H1002" i="41" s="1"/>
  <c r="I988" i="41" s="1"/>
  <c r="H1034" i="41"/>
  <c r="H1035" i="41" s="1"/>
  <c r="I1021" i="41" s="1"/>
  <c r="H1050" i="41"/>
  <c r="H1051" i="41" s="1"/>
  <c r="I1037" i="41" s="1"/>
  <c r="H1066" i="41"/>
  <c r="H1067" i="41" s="1"/>
  <c r="I1053" i="41" s="1"/>
  <c r="H1082" i="41"/>
  <c r="H1083" i="41" s="1"/>
  <c r="I1069" i="41" s="1"/>
  <c r="H1098" i="41"/>
  <c r="H1099" i="41" s="1"/>
  <c r="I1085" i="41" s="1"/>
  <c r="H698" i="14"/>
  <c r="H699" i="14" s="1"/>
  <c r="H700" i="14" s="1"/>
  <c r="H71" i="15"/>
  <c r="H72" i="15" s="1"/>
  <c r="H73" i="15" s="1"/>
  <c r="I57" i="15" s="1"/>
  <c r="H1619" i="40"/>
  <c r="H1620" i="40" s="1"/>
  <c r="H1621" i="40" s="1"/>
  <c r="I1604" i="40" s="1"/>
  <c r="H1485" i="40"/>
  <c r="H1486" i="40" s="1"/>
  <c r="H1487" i="40" s="1"/>
  <c r="I1470" i="40" s="1"/>
  <c r="H1358" i="40"/>
  <c r="H1361" i="40" s="1"/>
  <c r="H1362" i="40" s="1"/>
  <c r="H1363" i="40" s="1"/>
  <c r="I1346" i="40" s="1"/>
  <c r="H1217" i="40"/>
  <c r="H1220" i="40" s="1"/>
  <c r="H484" i="40"/>
  <c r="H485" i="40" s="1"/>
  <c r="I468" i="40" s="1"/>
  <c r="H541" i="40"/>
  <c r="H542" i="40" s="1"/>
  <c r="H543" i="40" s="1"/>
  <c r="I526" i="40" s="1"/>
  <c r="H426" i="40"/>
  <c r="H427" i="40" s="1"/>
  <c r="H428" i="40" s="1"/>
  <c r="I411" i="40" s="1"/>
  <c r="H496" i="39"/>
  <c r="H497" i="39" s="1"/>
  <c r="H498" i="39" s="1"/>
  <c r="H499" i="39" s="1"/>
  <c r="I476" i="39" s="1"/>
  <c r="H332" i="10"/>
  <c r="H333" i="10" s="1"/>
  <c r="H334" i="10" s="1"/>
  <c r="I317" i="10" s="1"/>
  <c r="I431" i="7"/>
  <c r="I432" i="7" s="1"/>
  <c r="I433" i="7" s="1"/>
  <c r="H36" i="12"/>
  <c r="H37" i="12" s="1"/>
  <c r="H38" i="12" s="1"/>
  <c r="I22" i="12" s="1"/>
  <c r="H879" i="14"/>
  <c r="H880" i="14" s="1"/>
  <c r="H881" i="14" s="1"/>
  <c r="H1631" i="14"/>
  <c r="H1632" i="14" s="1"/>
  <c r="H1633" i="14" s="1"/>
  <c r="H292" i="10"/>
  <c r="H293" i="10" s="1"/>
  <c r="H294" i="10" s="1"/>
  <c r="I276" i="10" s="1"/>
  <c r="H1808" i="14"/>
  <c r="H1809" i="14" s="1"/>
  <c r="H1810" i="14" s="1"/>
  <c r="I447" i="7"/>
  <c r="I448" i="7" s="1"/>
  <c r="I449" i="7" s="1"/>
  <c r="J435" i="7" s="1"/>
  <c r="H1650" i="14"/>
  <c r="H1651" i="14" s="1"/>
  <c r="H1652" i="14" s="1"/>
  <c r="H516" i="15"/>
  <c r="H517" i="15" s="1"/>
  <c r="H518" i="15" s="1"/>
  <c r="H260" i="39"/>
  <c r="H261" i="39" s="1"/>
  <c r="H262" i="39" s="1"/>
  <c r="H263" i="39" s="1"/>
  <c r="I241" i="39" s="1"/>
  <c r="E2196" i="27" s="1"/>
  <c r="H286" i="39"/>
  <c r="H287" i="39" s="1"/>
  <c r="H288" i="39" s="1"/>
  <c r="H289" i="39" s="1"/>
  <c r="I265" i="39" s="1"/>
  <c r="H393" i="39"/>
  <c r="H471" i="39"/>
  <c r="H472" i="39" s="1"/>
  <c r="H473" i="39" s="1"/>
  <c r="H474" i="39" s="1"/>
  <c r="I451" i="39" s="1"/>
  <c r="H387" i="39"/>
  <c r="H359" i="39"/>
  <c r="H360" i="39" s="1"/>
  <c r="H361" i="39" s="1"/>
  <c r="H362" i="39" s="1"/>
  <c r="I333" i="39" s="1"/>
  <c r="H62" i="39"/>
  <c r="H63" i="39" s="1"/>
  <c r="I45" i="39" s="1"/>
  <c r="H18" i="39"/>
  <c r="H21" i="39" s="1"/>
  <c r="H22" i="39" s="1"/>
  <c r="H23" i="39" s="1"/>
  <c r="I6" i="39" s="1"/>
  <c r="H4957" i="37"/>
  <c r="H4958" i="37" s="1"/>
  <c r="H4979" i="37"/>
  <c r="H4980" i="37" s="1"/>
  <c r="I4965" i="37" s="1"/>
  <c r="H4909" i="37"/>
  <c r="H4910" i="37" s="1"/>
  <c r="I4895" i="37" s="1"/>
  <c r="H4926" i="37"/>
  <c r="H4927" i="37" s="1"/>
  <c r="I4912" i="37" s="1"/>
  <c r="H4944" i="37"/>
  <c r="H4945" i="37" s="1"/>
  <c r="I4930" i="37" s="1"/>
  <c r="H4221" i="37"/>
  <c r="H4222" i="37" s="1"/>
  <c r="I4207" i="37" s="1"/>
  <c r="H4256" i="37"/>
  <c r="H4257" i="37" s="1"/>
  <c r="I4242" i="37" s="1"/>
  <c r="H4325" i="37"/>
  <c r="H4326" i="37" s="1"/>
  <c r="I4311" i="37" s="1"/>
  <c r="H4342" i="37"/>
  <c r="H4343" i="37" s="1"/>
  <c r="I4328" i="37" s="1"/>
  <c r="H4359" i="37"/>
  <c r="H4360" i="37" s="1"/>
  <c r="I4345" i="37" s="1"/>
  <c r="H4376" i="37"/>
  <c r="H4377" i="37" s="1"/>
  <c r="I4362" i="37" s="1"/>
  <c r="H4393" i="37"/>
  <c r="H4394" i="37" s="1"/>
  <c r="I4379" i="37" s="1"/>
  <c r="H3766" i="37"/>
  <c r="H3767" i="37" s="1"/>
  <c r="I3752" i="37" s="1"/>
  <c r="H3680" i="37"/>
  <c r="H3681" i="37" s="1"/>
  <c r="I3666" i="37" s="1"/>
  <c r="H3404" i="37"/>
  <c r="H3405" i="37" s="1"/>
  <c r="I3390" i="37" s="1"/>
  <c r="H2956" i="37"/>
  <c r="H2957" i="37" s="1"/>
  <c r="I2942" i="37" s="1"/>
  <c r="H2818" i="37"/>
  <c r="H2819" i="37" s="1"/>
  <c r="I2804" i="37" s="1"/>
  <c r="H2922" i="37"/>
  <c r="H2923" i="37" s="1"/>
  <c r="I2908" i="37" s="1"/>
  <c r="H2939" i="37"/>
  <c r="H2940" i="37" s="1"/>
  <c r="I2925" i="37" s="1"/>
  <c r="H2439" i="37"/>
  <c r="H2440" i="37" s="1"/>
  <c r="I2425" i="37" s="1"/>
  <c r="H2456" i="37"/>
  <c r="H2457" i="37" s="1"/>
  <c r="I2442" i="37" s="1"/>
  <c r="H2473" i="37"/>
  <c r="H2474" i="37" s="1"/>
  <c r="I2459" i="37" s="1"/>
  <c r="H2490" i="37"/>
  <c r="H2491" i="37" s="1"/>
  <c r="I2476" i="37" s="1"/>
  <c r="H2507" i="37"/>
  <c r="H2508" i="37" s="1"/>
  <c r="I2493" i="37" s="1"/>
  <c r="H2524" i="37"/>
  <c r="H2525" i="37" s="1"/>
  <c r="I2510" i="37" s="1"/>
  <c r="H2541" i="37"/>
  <c r="H2542" i="37" s="1"/>
  <c r="I2527" i="37" s="1"/>
  <c r="H2559" i="37"/>
  <c r="H2560" i="37" s="1"/>
  <c r="I2545" i="37" s="1"/>
  <c r="H2576" i="37"/>
  <c r="H2577" i="37" s="1"/>
  <c r="I2562" i="37" s="1"/>
  <c r="H2593" i="37"/>
  <c r="H2594" i="37" s="1"/>
  <c r="I2579" i="37" s="1"/>
  <c r="H2610" i="37"/>
  <c r="H2611" i="37" s="1"/>
  <c r="I2596" i="37" s="1"/>
  <c r="H2627" i="37"/>
  <c r="H2628" i="37" s="1"/>
  <c r="I2613" i="37" s="1"/>
  <c r="H2284" i="37"/>
  <c r="H2285" i="37" s="1"/>
  <c r="I2270" i="37" s="1"/>
  <c r="H2301" i="37"/>
  <c r="H2302" i="37" s="1"/>
  <c r="I2287" i="37" s="1"/>
  <c r="H2318" i="37"/>
  <c r="H2319" i="37" s="1"/>
  <c r="I2304" i="37" s="1"/>
  <c r="H2335" i="37"/>
  <c r="H2336" i="37" s="1"/>
  <c r="I2321" i="37" s="1"/>
  <c r="H2352" i="37"/>
  <c r="H2353" i="37" s="1"/>
  <c r="I2338" i="37" s="1"/>
  <c r="H2370" i="37"/>
  <c r="H2371" i="37" s="1"/>
  <c r="I2356" i="37" s="1"/>
  <c r="H2387" i="37"/>
  <c r="H2388" i="37" s="1"/>
  <c r="I2373" i="37" s="1"/>
  <c r="H2404" i="37"/>
  <c r="H2405" i="37" s="1"/>
  <c r="I2390" i="37" s="1"/>
  <c r="H1982" i="37"/>
  <c r="H1983" i="37" s="1"/>
  <c r="I1965" i="37" s="1"/>
  <c r="H38" i="26"/>
  <c r="I23" i="26" s="1"/>
  <c r="I397" i="7"/>
  <c r="I398" i="7" s="1"/>
  <c r="I399" i="7" s="1"/>
  <c r="J385" i="7" s="1"/>
  <c r="H505" i="10"/>
  <c r="H506" i="10" s="1"/>
  <c r="H507" i="10" s="1"/>
  <c r="I381" i="7"/>
  <c r="I382" i="7" s="1"/>
  <c r="I383" i="7" s="1"/>
  <c r="J369" i="7" s="1"/>
  <c r="H176" i="16"/>
  <c r="H177" i="16" s="1"/>
  <c r="H1610" i="14"/>
  <c r="H1611" i="14" s="1"/>
  <c r="H210" i="21"/>
  <c r="H211" i="21" s="1"/>
  <c r="H212" i="21" s="1"/>
  <c r="H41" i="24"/>
  <c r="H44" i="24" s="1"/>
  <c r="H19" i="24"/>
  <c r="H22" i="24" s="1"/>
  <c r="H23" i="24" s="1"/>
  <c r="H197" i="23"/>
  <c r="H200" i="23" s="1"/>
  <c r="H201" i="23" s="1"/>
  <c r="H202" i="23" s="1"/>
  <c r="I179" i="23" s="1"/>
  <c r="H982" i="25"/>
  <c r="H983" i="25" s="1"/>
  <c r="H657" i="15"/>
  <c r="H658" i="15" s="1"/>
  <c r="H659" i="15" s="1"/>
  <c r="I644" i="15" s="1"/>
  <c r="H274" i="14"/>
  <c r="H275" i="14" s="1"/>
  <c r="H276" i="14" s="1"/>
  <c r="I258" i="14" s="1"/>
  <c r="H939" i="14"/>
  <c r="H940" i="14" s="1"/>
  <c r="H941" i="14" s="1"/>
  <c r="H174" i="14"/>
  <c r="H175" i="14" s="1"/>
  <c r="H176" i="14" s="1"/>
  <c r="I158" i="14" s="1"/>
  <c r="H191" i="21"/>
  <c r="H192" i="21" s="1"/>
  <c r="H193" i="21" s="1"/>
  <c r="I166" i="7"/>
  <c r="I167" i="7" s="1"/>
  <c r="I168" i="7" s="1"/>
  <c r="H191" i="10"/>
  <c r="H192" i="10" s="1"/>
  <c r="H193" i="10" s="1"/>
  <c r="I176" i="10" s="1"/>
  <c r="H485" i="10"/>
  <c r="H486" i="10" s="1"/>
  <c r="H487" i="10" s="1"/>
  <c r="I469" i="10" s="1"/>
  <c r="I110" i="7"/>
  <c r="I111" i="7" s="1"/>
  <c r="I112" i="7" s="1"/>
  <c r="J96" i="7" s="1"/>
  <c r="H1590" i="14"/>
  <c r="H1591" i="14" s="1"/>
  <c r="H1592" i="14" s="1"/>
  <c r="H961" i="15"/>
  <c r="H962" i="15" s="1"/>
  <c r="H963" i="15" s="1"/>
  <c r="I948" i="15" s="1"/>
  <c r="H77" i="10"/>
  <c r="H78" i="10" s="1"/>
  <c r="H79" i="10" s="1"/>
  <c r="I62" i="10" s="1"/>
  <c r="H1942" i="14"/>
  <c r="H1943" i="14" s="1"/>
  <c r="H799" i="14"/>
  <c r="H800" i="14" s="1"/>
  <c r="H801" i="14" s="1"/>
  <c r="H54" i="12"/>
  <c r="H55" i="12" s="1"/>
  <c r="H56" i="12" s="1"/>
  <c r="I40" i="12" s="1"/>
  <c r="H1570" i="14"/>
  <c r="H1571" i="14" s="1"/>
  <c r="H1572" i="14" s="1"/>
  <c r="H232" i="10"/>
  <c r="H233" i="10" s="1"/>
  <c r="H234" i="10" s="1"/>
  <c r="I216" i="10" s="1"/>
  <c r="I365" i="7"/>
  <c r="I366" i="7" s="1"/>
  <c r="I367" i="7" s="1"/>
  <c r="J353" i="7" s="1"/>
  <c r="H758" i="14"/>
  <c r="H759" i="14" s="1"/>
  <c r="H760" i="14" s="1"/>
  <c r="H18" i="12"/>
  <c r="H19" i="12" s="1"/>
  <c r="H20" i="12" s="1"/>
  <c r="I4" i="12" s="1"/>
  <c r="H134" i="21"/>
  <c r="H135" i="21" s="1"/>
  <c r="H136" i="21" s="1"/>
  <c r="H172" i="10"/>
  <c r="H173" i="10" s="1"/>
  <c r="H174" i="10" s="1"/>
  <c r="I157" i="10" s="1"/>
  <c r="H311" i="15"/>
  <c r="H312" i="15" s="1"/>
  <c r="H313" i="15" s="1"/>
  <c r="H127" i="15"/>
  <c r="H128" i="15" s="1"/>
  <c r="H129" i="15" s="1"/>
  <c r="I170" i="9"/>
  <c r="I171" i="9" s="1"/>
  <c r="I172" i="9" s="1"/>
  <c r="H181" i="15"/>
  <c r="H182" i="15" s="1"/>
  <c r="H183" i="15" s="1"/>
  <c r="H252" i="16"/>
  <c r="H253" i="16" s="1"/>
  <c r="H254" i="16" s="1"/>
  <c r="H270" i="21"/>
  <c r="H271" i="21" s="1"/>
  <c r="H272" i="21" s="1"/>
  <c r="H4770" i="26"/>
  <c r="H107" i="16"/>
  <c r="H108" i="16" s="1"/>
  <c r="H109" i="16" s="1"/>
  <c r="H78" i="21"/>
  <c r="H79" i="21" s="1"/>
  <c r="H80" i="21" s="1"/>
  <c r="I64" i="21" s="1"/>
  <c r="H15" i="25"/>
  <c r="H16" i="25" s="1"/>
  <c r="H19" i="25" s="1"/>
  <c r="H5060" i="26"/>
  <c r="H5063" i="26" s="1"/>
  <c r="H4831" i="26"/>
  <c r="H4832" i="26" s="1"/>
  <c r="I4817" i="26" s="1"/>
  <c r="H4848" i="26"/>
  <c r="H4849" i="26" s="1"/>
  <c r="I4834" i="26" s="1"/>
  <c r="H4884" i="26"/>
  <c r="H4885" i="26" s="1"/>
  <c r="I4870" i="26" s="1"/>
  <c r="H152" i="21"/>
  <c r="H153" i="21" s="1"/>
  <c r="H154" i="21" s="1"/>
  <c r="H194" i="16"/>
  <c r="H195" i="16" s="1"/>
  <c r="H196" i="16" s="1"/>
  <c r="H20" i="20"/>
  <c r="H21" i="20" s="1"/>
  <c r="H22" i="20" s="1"/>
  <c r="H96" i="17"/>
  <c r="H97" i="17" s="1"/>
  <c r="H98" i="17" s="1"/>
  <c r="H35" i="16"/>
  <c r="H36" i="16" s="1"/>
  <c r="H37" i="16" s="1"/>
  <c r="H585" i="8"/>
  <c r="H586" i="8" s="1"/>
  <c r="H587" i="8" s="1"/>
  <c r="H4608" i="26"/>
  <c r="H4609" i="26" s="1"/>
  <c r="I4594" i="26" s="1"/>
  <c r="H4751" i="26"/>
  <c r="H4752" i="26" s="1"/>
  <c r="I4737" i="26" s="1"/>
  <c r="H4504" i="26"/>
  <c r="H4505" i="26" s="1"/>
  <c r="I4490" i="26" s="1"/>
  <c r="H4555" i="26"/>
  <c r="H4556" i="26" s="1"/>
  <c r="I4541" i="26" s="1"/>
  <c r="H4697" i="26"/>
  <c r="H4698" i="26" s="1"/>
  <c r="I4683" i="26" s="1"/>
  <c r="H4643" i="26"/>
  <c r="H4644" i="26" s="1"/>
  <c r="I4629" i="26" s="1"/>
  <c r="H4572" i="26"/>
  <c r="H4573" i="26" s="1"/>
  <c r="I4558" i="26" s="1"/>
  <c r="H4453" i="26"/>
  <c r="H4454" i="26" s="1"/>
  <c r="I4439" i="26" s="1"/>
  <c r="H4590" i="26"/>
  <c r="H4591" i="26" s="1"/>
  <c r="I4576" i="26" s="1"/>
  <c r="H4733" i="26"/>
  <c r="H4734" i="26" s="1"/>
  <c r="I4719" i="26" s="1"/>
  <c r="H4470" i="26"/>
  <c r="H4471" i="26" s="1"/>
  <c r="I4456" i="26" s="1"/>
  <c r="H4679" i="26"/>
  <c r="H4680" i="26" s="1"/>
  <c r="I4665" i="26" s="1"/>
  <c r="H4487" i="26"/>
  <c r="H4488" i="26" s="1"/>
  <c r="I4473" i="26" s="1"/>
  <c r="H4626" i="26"/>
  <c r="H4627" i="26" s="1"/>
  <c r="I4612" i="26" s="1"/>
  <c r="H858" i="15"/>
  <c r="H859" i="15" s="1"/>
  <c r="H860" i="15" s="1"/>
  <c r="H4538" i="26"/>
  <c r="H4539" i="26" s="1"/>
  <c r="I4524" i="26" s="1"/>
  <c r="H4715" i="26"/>
  <c r="H4716" i="26" s="1"/>
  <c r="I4701" i="26" s="1"/>
  <c r="H4436" i="26"/>
  <c r="H4437" i="26" s="1"/>
  <c r="I4422" i="26" s="1"/>
  <c r="H4812" i="26"/>
  <c r="H4521" i="26"/>
  <c r="H4522" i="26" s="1"/>
  <c r="I4507" i="26" s="1"/>
  <c r="H4661" i="26"/>
  <c r="H4662" i="26" s="1"/>
  <c r="I4647" i="26" s="1"/>
  <c r="H4794" i="26"/>
  <c r="H2229" i="26"/>
  <c r="H2230" i="26" s="1"/>
  <c r="I2215" i="26" s="1"/>
  <c r="H36" i="17"/>
  <c r="H37" i="17" s="1"/>
  <c r="H38" i="17" s="1"/>
  <c r="H18" i="17"/>
  <c r="H109" i="15"/>
  <c r="H110" i="15" s="1"/>
  <c r="H214" i="16"/>
  <c r="H215" i="16" s="1"/>
  <c r="H216" i="16" s="1"/>
  <c r="H232" i="16"/>
  <c r="H233" i="16" s="1"/>
  <c r="H234" i="16" s="1"/>
  <c r="H365" i="15"/>
  <c r="H366" i="15" s="1"/>
  <c r="H367" i="15" s="1"/>
  <c r="I351" i="15" s="1"/>
  <c r="H74" i="17"/>
  <c r="H75" i="17" s="1"/>
  <c r="H76" i="17" s="1"/>
  <c r="H17" i="16"/>
  <c r="H18" i="16" s="1"/>
  <c r="H19" i="16" s="1"/>
  <c r="I4" i="16" s="1"/>
  <c r="H47" i="26"/>
  <c r="H53" i="26" s="1"/>
  <c r="H54" i="26" s="1"/>
  <c r="H430" i="21"/>
  <c r="H431" i="21" s="1"/>
  <c r="I415" i="21" s="1"/>
  <c r="H395" i="21"/>
  <c r="H396" i="21" s="1"/>
  <c r="I381" i="21" s="1"/>
  <c r="H343" i="21"/>
  <c r="H344" i="21" s="1"/>
  <c r="I329" i="21" s="1"/>
  <c r="H326" i="21"/>
  <c r="H327" i="21" s="1"/>
  <c r="H115" i="21"/>
  <c r="H116" i="21" s="1"/>
  <c r="H56" i="21"/>
  <c r="H59" i="21" s="1"/>
  <c r="H60" i="21" s="1"/>
  <c r="H89" i="16"/>
  <c r="H90" i="16" s="1"/>
  <c r="H91" i="16" s="1"/>
  <c r="I75" i="16" s="1"/>
  <c r="H126" i="20"/>
  <c r="H130" i="20" s="1"/>
  <c r="H1882" i="14"/>
  <c r="H1885" i="14" s="1"/>
  <c r="H1886" i="14" s="1"/>
  <c r="H1887" i="14" s="1"/>
  <c r="H14" i="35"/>
  <c r="H17" i="35" s="1"/>
  <c r="H112" i="17"/>
  <c r="H115" i="17" s="1"/>
  <c r="H975" i="15"/>
  <c r="H976" i="15" s="1"/>
  <c r="H979" i="15" s="1"/>
  <c r="H142" i="16"/>
  <c r="H143" i="16" s="1"/>
  <c r="H72" i="16"/>
  <c r="H73" i="16" s="1"/>
  <c r="H783" i="15"/>
  <c r="H784" i="15" s="1"/>
  <c r="I769" i="15" s="1"/>
  <c r="H800" i="15"/>
  <c r="H804" i="15" s="1"/>
  <c r="H606" i="15"/>
  <c r="H607" i="15" s="1"/>
  <c r="H590" i="15"/>
  <c r="H591" i="15" s="1"/>
  <c r="I576" i="15" s="1"/>
  <c r="H37" i="15"/>
  <c r="H38" i="15" s="1"/>
  <c r="I23" i="15" s="1"/>
  <c r="H200" i="15"/>
  <c r="H201" i="15" s="1"/>
  <c r="H20" i="15"/>
  <c r="H21" i="15" s="1"/>
  <c r="I5" i="15" s="1"/>
  <c r="H2038" i="14"/>
  <c r="H2041" i="14" s="1"/>
  <c r="H1866" i="14"/>
  <c r="H1867" i="14" s="1"/>
  <c r="H1827" i="14"/>
  <c r="H1846" i="14"/>
  <c r="H738" i="14"/>
  <c r="H739" i="14" s="1"/>
  <c r="H740" i="14" s="1"/>
  <c r="H718" i="14"/>
  <c r="H719" i="14" s="1"/>
  <c r="H720" i="14" s="1"/>
  <c r="H335" i="14"/>
  <c r="H336" i="14" s="1"/>
  <c r="H337" i="14" s="1"/>
  <c r="H314" i="14"/>
  <c r="H315" i="14" s="1"/>
  <c r="H316" i="14" s="1"/>
  <c r="I298" i="14" s="1"/>
  <c r="H514" i="14"/>
  <c r="H515" i="14" s="1"/>
  <c r="H516" i="14" s="1"/>
  <c r="H355" i="14"/>
  <c r="H356" i="14" s="1"/>
  <c r="H357" i="14" s="1"/>
  <c r="I339" i="14" s="1"/>
  <c r="H1361" i="14"/>
  <c r="H1362" i="14" s="1"/>
  <c r="H1363" i="14" s="1"/>
  <c r="I147" i="7"/>
  <c r="I148" i="7" s="1"/>
  <c r="I149" i="7" s="1"/>
  <c r="J133" i="7" s="1"/>
  <c r="H20" i="14"/>
  <c r="H21" i="14" s="1"/>
  <c r="H899" i="14"/>
  <c r="H900" i="14" s="1"/>
  <c r="H901" i="14" s="1"/>
  <c r="H1468" i="14"/>
  <c r="H1469" i="14" s="1"/>
  <c r="I1454" i="14" s="1"/>
  <c r="H981" i="14"/>
  <c r="H982" i="14" s="1"/>
  <c r="H983" i="14" s="1"/>
  <c r="H1397" i="14"/>
  <c r="H1344" i="14"/>
  <c r="H1345" i="14" s="1"/>
  <c r="H411" i="19"/>
  <c r="H412" i="19" s="1"/>
  <c r="H839" i="14"/>
  <c r="H840" i="14" s="1"/>
  <c r="H841" i="14" s="1"/>
  <c r="H1123" i="14"/>
  <c r="H1124" i="14" s="1"/>
  <c r="H1125" i="14" s="1"/>
  <c r="H1205" i="14"/>
  <c r="H678" i="14"/>
  <c r="H679" i="14" s="1"/>
  <c r="H680" i="14" s="1"/>
  <c r="H1001" i="14"/>
  <c r="H1002" i="14" s="1"/>
  <c r="H1003" i="14" s="1"/>
  <c r="H859" i="14"/>
  <c r="H860" i="14" s="1"/>
  <c r="H861" i="14" s="1"/>
  <c r="H413" i="14"/>
  <c r="H414" i="14" s="1"/>
  <c r="H415" i="14" s="1"/>
  <c r="H819" i="14"/>
  <c r="H820" i="14" s="1"/>
  <c r="H821" i="14" s="1"/>
  <c r="H919" i="14"/>
  <c r="H920" i="14" s="1"/>
  <c r="H294" i="14"/>
  <c r="H295" i="14" s="1"/>
  <c r="H296" i="14" s="1"/>
  <c r="I278" i="14" s="1"/>
  <c r="H434" i="14"/>
  <c r="H435" i="14" s="1"/>
  <c r="H436" i="14" s="1"/>
  <c r="I513" i="7"/>
  <c r="I514" i="7" s="1"/>
  <c r="I515" i="7" s="1"/>
  <c r="J501" i="7" s="1"/>
  <c r="H393" i="14"/>
  <c r="H394" i="14" s="1"/>
  <c r="H395" i="14" s="1"/>
  <c r="H534" i="14"/>
  <c r="H535" i="14" s="1"/>
  <c r="H536" i="14" s="1"/>
  <c r="H39" i="10"/>
  <c r="H40" i="10" s="1"/>
  <c r="H41" i="10" s="1"/>
  <c r="I24" i="10" s="1"/>
  <c r="H129" i="13"/>
  <c r="H130" i="13" s="1"/>
  <c r="H131" i="13" s="1"/>
  <c r="I115" i="13" s="1"/>
  <c r="I73" i="7"/>
  <c r="I74" i="7" s="1"/>
  <c r="H474" i="14"/>
  <c r="H475" i="14" s="1"/>
  <c r="H552" i="14"/>
  <c r="H555" i="14" s="1"/>
  <c r="H127" i="19"/>
  <c r="H128" i="19" s="1"/>
  <c r="H129" i="19" s="1"/>
  <c r="I112" i="19" s="1"/>
  <c r="H180" i="19"/>
  <c r="H181" i="19" s="1"/>
  <c r="H182" i="19" s="1"/>
  <c r="I132" i="9"/>
  <c r="I133" i="9" s="1"/>
  <c r="I134" i="9" s="1"/>
  <c r="J117" i="9" s="1"/>
  <c r="H392" i="19"/>
  <c r="H393" i="19" s="1"/>
  <c r="H394" i="19" s="1"/>
  <c r="H352" i="19"/>
  <c r="H353" i="19" s="1"/>
  <c r="H354" i="19" s="1"/>
  <c r="H161" i="19"/>
  <c r="H162" i="19" s="1"/>
  <c r="H312" i="19"/>
  <c r="H313" i="19" s="1"/>
  <c r="H314" i="19" s="1"/>
  <c r="I295" i="19" s="1"/>
  <c r="H374" i="14"/>
  <c r="H375" i="14" s="1"/>
  <c r="H373" i="19"/>
  <c r="H374" i="19" s="1"/>
  <c r="H375" i="19" s="1"/>
  <c r="H254" i="19"/>
  <c r="H255" i="19" s="1"/>
  <c r="H256" i="19" s="1"/>
  <c r="H238" i="13"/>
  <c r="H239" i="13" s="1"/>
  <c r="H240" i="13" s="1"/>
  <c r="I224" i="13" s="1"/>
  <c r="H468" i="19"/>
  <c r="H469" i="19" s="1"/>
  <c r="H447" i="19"/>
  <c r="H448" i="19" s="1"/>
  <c r="H291" i="19"/>
  <c r="H30" i="19"/>
  <c r="H31" i="19" s="1"/>
  <c r="H73" i="12"/>
  <c r="H74" i="12" s="1"/>
  <c r="I58" i="12" s="1"/>
  <c r="H428" i="10"/>
  <c r="H429" i="10" s="1"/>
  <c r="H430" i="10" s="1"/>
  <c r="I414" i="10" s="1"/>
  <c r="H464" i="10"/>
  <c r="H465" i="10" s="1"/>
  <c r="H466" i="10" s="1"/>
  <c r="H1107" i="8"/>
  <c r="H1108" i="8" s="1"/>
  <c r="H1109" i="8" s="1"/>
  <c r="I18" i="7"/>
  <c r="I19" i="7" s="1"/>
  <c r="I20" i="7" s="1"/>
  <c r="J4" i="7" s="1"/>
  <c r="H293" i="11"/>
  <c r="H294" i="11" s="1"/>
  <c r="H295" i="11" s="1"/>
  <c r="H446" i="10"/>
  <c r="H447" i="10" s="1"/>
  <c r="H448" i="10" s="1"/>
  <c r="I529" i="7"/>
  <c r="I530" i="7" s="1"/>
  <c r="I531" i="7" s="1"/>
  <c r="H389" i="10"/>
  <c r="H390" i="10" s="1"/>
  <c r="H391" i="10" s="1"/>
  <c r="I374" i="10" s="1"/>
  <c r="I36" i="7"/>
  <c r="I37" i="7" s="1"/>
  <c r="I38" i="7" s="1"/>
  <c r="H416" i="8"/>
  <c r="H417" i="8" s="1"/>
  <c r="H418" i="8" s="1"/>
  <c r="H272" i="13"/>
  <c r="H275" i="13" s="1"/>
  <c r="H276" i="13" s="1"/>
  <c r="H257" i="13"/>
  <c r="H258" i="13" s="1"/>
  <c r="H259" i="13" s="1"/>
  <c r="H252" i="10"/>
  <c r="H253" i="10" s="1"/>
  <c r="H254" i="10" s="1"/>
  <c r="H20" i="10"/>
  <c r="H21" i="10" s="1"/>
  <c r="H351" i="10"/>
  <c r="H352" i="10" s="1"/>
  <c r="H353" i="10" s="1"/>
  <c r="I336" i="10" s="1"/>
  <c r="H220" i="13"/>
  <c r="H221" i="13" s="1"/>
  <c r="H222" i="13" s="1"/>
  <c r="I206" i="13" s="1"/>
  <c r="H212" i="10"/>
  <c r="H153" i="10"/>
  <c r="H154" i="10" s="1"/>
  <c r="H155" i="10" s="1"/>
  <c r="I138" i="10" s="1"/>
  <c r="H96" i="10"/>
  <c r="H97" i="10" s="1"/>
  <c r="H202" i="13"/>
  <c r="H203" i="13" s="1"/>
  <c r="H204" i="13" s="1"/>
  <c r="H912" i="11"/>
  <c r="H913" i="11" s="1"/>
  <c r="H914" i="11" s="1"/>
  <c r="I897" i="11" s="1"/>
  <c r="H184" i="13"/>
  <c r="H185" i="13" s="1"/>
  <c r="H186" i="13" s="1"/>
  <c r="I170" i="13" s="1"/>
  <c r="H239" i="11"/>
  <c r="H240" i="11" s="1"/>
  <c r="H241" i="11" s="1"/>
  <c r="I225" i="11" s="1"/>
  <c r="H948" i="11"/>
  <c r="H949" i="11" s="1"/>
  <c r="H765" i="11"/>
  <c r="H766" i="11" s="1"/>
  <c r="H767" i="11" s="1"/>
  <c r="H91" i="13"/>
  <c r="H92" i="13" s="1"/>
  <c r="H93" i="13" s="1"/>
  <c r="H692" i="11"/>
  <c r="H693" i="11" s="1"/>
  <c r="H383" i="11"/>
  <c r="H384" i="11" s="1"/>
  <c r="H385" i="11" s="1"/>
  <c r="I369" i="11" s="1"/>
  <c r="H582" i="11"/>
  <c r="H583" i="11" s="1"/>
  <c r="H584" i="11" s="1"/>
  <c r="I568" i="11" s="1"/>
  <c r="H437" i="11"/>
  <c r="H438" i="11" s="1"/>
  <c r="H439" i="11" s="1"/>
  <c r="I423" i="11" s="1"/>
  <c r="H365" i="11"/>
  <c r="H366" i="11" s="1"/>
  <c r="H367" i="11" s="1"/>
  <c r="I351" i="11" s="1"/>
  <c r="H185" i="11"/>
  <c r="H186" i="11" s="1"/>
  <c r="H187" i="11" s="1"/>
  <c r="I171" i="11" s="1"/>
  <c r="H72" i="13"/>
  <c r="H73" i="13" s="1"/>
  <c r="H74" i="13" s="1"/>
  <c r="H19" i="13"/>
  <c r="H20" i="13" s="1"/>
  <c r="I5" i="13" s="1"/>
  <c r="H53" i="13"/>
  <c r="H54" i="13" s="1"/>
  <c r="I39" i="13" s="1"/>
  <c r="H856" i="11"/>
  <c r="H857" i="11" s="1"/>
  <c r="H858" i="11" s="1"/>
  <c r="H802" i="11"/>
  <c r="H803" i="11" s="1"/>
  <c r="H804" i="11" s="1"/>
  <c r="I787" i="11" s="1"/>
  <c r="H729" i="11"/>
  <c r="H730" i="11" s="1"/>
  <c r="H731" i="11" s="1"/>
  <c r="I715" i="11" s="1"/>
  <c r="H674" i="11"/>
  <c r="H675" i="11" s="1"/>
  <c r="H676" i="11" s="1"/>
  <c r="I658" i="11" s="1"/>
  <c r="H401" i="11"/>
  <c r="H966" i="11"/>
  <c r="H967" i="11" s="1"/>
  <c r="H968" i="11" s="1"/>
  <c r="I952" i="11" s="1"/>
  <c r="H473" i="11"/>
  <c r="H474" i="11" s="1"/>
  <c r="H475" i="11" s="1"/>
  <c r="I459" i="11" s="1"/>
  <c r="H747" i="11"/>
  <c r="H748" i="11" s="1"/>
  <c r="H749" i="11" s="1"/>
  <c r="I733" i="11" s="1"/>
  <c r="I247" i="7"/>
  <c r="I248" i="7" s="1"/>
  <c r="I249" i="7" s="1"/>
  <c r="J231" i="7" s="1"/>
  <c r="I497" i="7"/>
  <c r="I498" i="7" s="1"/>
  <c r="I499" i="7" s="1"/>
  <c r="J485" i="7" s="1"/>
  <c r="I288" i="7"/>
  <c r="I289" i="7" s="1"/>
  <c r="I290" i="7" s="1"/>
  <c r="I151" i="9"/>
  <c r="I152" i="9" s="1"/>
  <c r="I153" i="9" s="1"/>
  <c r="J136" i="9" s="1"/>
  <c r="I227" i="7"/>
  <c r="I228" i="7" s="1"/>
  <c r="I229" i="7" s="1"/>
  <c r="H893" i="11"/>
  <c r="H894" i="11" s="1"/>
  <c r="H275" i="11"/>
  <c r="H276" i="11" s="1"/>
  <c r="H277" i="11" s="1"/>
  <c r="H148" i="11"/>
  <c r="H149" i="11" s="1"/>
  <c r="H150" i="11" s="1"/>
  <c r="I131" i="11" s="1"/>
  <c r="H783" i="11"/>
  <c r="H784" i="11" s="1"/>
  <c r="H785" i="11" s="1"/>
  <c r="I769" i="11" s="1"/>
  <c r="H710" i="11"/>
  <c r="H711" i="11" s="1"/>
  <c r="H654" i="11"/>
  <c r="H655" i="11" s="1"/>
  <c r="H656" i="11" s="1"/>
  <c r="H167" i="11"/>
  <c r="H168" i="11" s="1"/>
  <c r="H169" i="11" s="1"/>
  <c r="I414" i="7"/>
  <c r="I415" i="7" s="1"/>
  <c r="I416" i="7" s="1"/>
  <c r="I417" i="7" s="1"/>
  <c r="H618" i="11"/>
  <c r="H619" i="11" s="1"/>
  <c r="H620" i="11" s="1"/>
  <c r="I604" i="11" s="1"/>
  <c r="H221" i="11"/>
  <c r="H222" i="11" s="1"/>
  <c r="H223" i="11" s="1"/>
  <c r="I207" i="11" s="1"/>
  <c r="H311" i="11"/>
  <c r="H312" i="11" s="1"/>
  <c r="H313" i="11" s="1"/>
  <c r="I297" i="11" s="1"/>
  <c r="H600" i="11"/>
  <c r="H601" i="11" s="1"/>
  <c r="H602" i="11" s="1"/>
  <c r="I586" i="11" s="1"/>
  <c r="I563" i="7"/>
  <c r="I564" i="7" s="1"/>
  <c r="I565" i="7" s="1"/>
  <c r="I463" i="7"/>
  <c r="I464" i="7" s="1"/>
  <c r="I465" i="7" s="1"/>
  <c r="I205" i="7"/>
  <c r="I206" i="7" s="1"/>
  <c r="I207" i="7" s="1"/>
  <c r="J190" i="7" s="1"/>
  <c r="I579" i="7"/>
  <c r="I580" i="7" s="1"/>
  <c r="I581" i="7" s="1"/>
  <c r="J567" i="7" s="1"/>
  <c r="H257" i="11"/>
  <c r="H258" i="11" s="1"/>
  <c r="H259" i="11" s="1"/>
  <c r="I480" i="7"/>
  <c r="I481" i="7" s="1"/>
  <c r="I482" i="7" s="1"/>
  <c r="I483" i="7" s="1"/>
  <c r="J467" i="7" s="1"/>
  <c r="I188" i="9"/>
  <c r="I189" i="9" s="1"/>
  <c r="I190" i="9" s="1"/>
  <c r="J174" i="9" s="1"/>
  <c r="I329" i="7"/>
  <c r="I330" i="7" s="1"/>
  <c r="I268" i="7"/>
  <c r="I269" i="7" s="1"/>
  <c r="I270" i="7" s="1"/>
  <c r="J251" i="7" s="1"/>
  <c r="I113" i="9"/>
  <c r="I114" i="9" s="1"/>
  <c r="I115" i="9" s="1"/>
  <c r="H923" i="8"/>
  <c r="H924" i="8" s="1"/>
  <c r="H925" i="8" s="1"/>
  <c r="I912" i="8" s="1"/>
  <c r="H127" i="11"/>
  <c r="H128" i="11" s="1"/>
  <c r="H129" i="11" s="1"/>
  <c r="I112" i="11" s="1"/>
  <c r="I595" i="7"/>
  <c r="I596" i="7" s="1"/>
  <c r="I597" i="7" s="1"/>
  <c r="J583" i="7" s="1"/>
  <c r="H238" i="8"/>
  <c r="H239" i="8" s="1"/>
  <c r="H240" i="8" s="1"/>
  <c r="H437" i="8"/>
  <c r="H438" i="8" s="1"/>
  <c r="H439" i="8" s="1"/>
  <c r="I420" i="8" s="1"/>
  <c r="I94" i="9"/>
  <c r="I95" i="9" s="1"/>
  <c r="I309" i="7"/>
  <c r="I310" i="7" s="1"/>
  <c r="I311" i="7" s="1"/>
  <c r="J292" i="7" s="1"/>
  <c r="H525" i="8"/>
  <c r="H526" i="8" s="1"/>
  <c r="H527" i="8" s="1"/>
  <c r="I509" i="8" s="1"/>
  <c r="H874" i="11"/>
  <c r="H875" i="11" s="1"/>
  <c r="I860" i="11" s="1"/>
  <c r="H839" i="11"/>
  <c r="H840" i="11" s="1"/>
  <c r="I825" i="11" s="1"/>
  <c r="H637" i="11"/>
  <c r="H638" i="11" s="1"/>
  <c r="I622" i="11" s="1"/>
  <c r="H204" i="11"/>
  <c r="H205" i="11" s="1"/>
  <c r="I189" i="11" s="1"/>
  <c r="H53" i="11"/>
  <c r="H54" i="11" s="1"/>
  <c r="I39" i="11" s="1"/>
  <c r="H71" i="11"/>
  <c r="H72" i="11" s="1"/>
  <c r="I56" i="11" s="1"/>
  <c r="H90" i="11"/>
  <c r="H91" i="11" s="1"/>
  <c r="I74" i="11" s="1"/>
  <c r="H109" i="11"/>
  <c r="H110" i="11" s="1"/>
  <c r="I93" i="11" s="1"/>
  <c r="H19" i="11"/>
  <c r="H20" i="11" s="1"/>
  <c r="I5" i="11" s="1"/>
  <c r="I53" i="33"/>
  <c r="I54" i="33" s="1"/>
  <c r="J41" i="33" s="1"/>
  <c r="I77" i="30"/>
  <c r="I78" i="30" s="1"/>
  <c r="I79" i="30" s="1"/>
  <c r="J62" i="30" s="1"/>
  <c r="I129" i="7"/>
  <c r="I130" i="7" s="1"/>
  <c r="I131" i="7" s="1"/>
  <c r="J114" i="7" s="1"/>
  <c r="I287" i="31"/>
  <c r="I288" i="31" s="1"/>
  <c r="I289" i="31" s="1"/>
  <c r="I290" i="31" s="1"/>
  <c r="J273" i="31" s="1"/>
  <c r="I405" i="31"/>
  <c r="I406" i="31" s="1"/>
  <c r="J388" i="31" s="1"/>
  <c r="I426" i="31"/>
  <c r="I427" i="31" s="1"/>
  <c r="J409" i="31" s="1"/>
  <c r="I326" i="31"/>
  <c r="I327" i="31" s="1"/>
  <c r="I328" i="31" s="1"/>
  <c r="I329" i="31" s="1"/>
  <c r="J312" i="31" s="1"/>
  <c r="I306" i="31"/>
  <c r="I307" i="31" s="1"/>
  <c r="I308" i="31" s="1"/>
  <c r="I309" i="31" s="1"/>
  <c r="J292" i="31" s="1"/>
  <c r="I447" i="31"/>
  <c r="I448" i="31" s="1"/>
  <c r="J430" i="31" s="1"/>
  <c r="I347" i="31"/>
  <c r="I348" i="31" s="1"/>
  <c r="I349" i="31" s="1"/>
  <c r="I350" i="31" s="1"/>
  <c r="J333" i="31" s="1"/>
  <c r="I468" i="31"/>
  <c r="I469" i="31" s="1"/>
  <c r="J451" i="31" s="1"/>
  <c r="I19" i="32"/>
  <c r="I20" i="32" s="1"/>
  <c r="J3" i="32" s="1"/>
  <c r="I71" i="29"/>
  <c r="I72" i="29" s="1"/>
  <c r="I348" i="7"/>
  <c r="I349" i="7" s="1"/>
  <c r="I350" i="7" s="1"/>
  <c r="I351" i="7" s="1"/>
  <c r="I92" i="7"/>
  <c r="I93" i="7" s="1"/>
  <c r="I94" i="7" s="1"/>
  <c r="H1121" i="8"/>
  <c r="H1122" i="8" s="1"/>
  <c r="H1123" i="8" s="1"/>
  <c r="H1124" i="8" s="1"/>
  <c r="H20" i="8"/>
  <c r="H21" i="8" s="1"/>
  <c r="H22" i="8" s="1"/>
  <c r="I214" i="31"/>
  <c r="J200" i="31" s="1"/>
  <c r="I88" i="31"/>
  <c r="J71" i="31" s="1"/>
  <c r="I97" i="30"/>
  <c r="I116" i="30"/>
  <c r="I117" i="30" s="1"/>
  <c r="J102" i="30" s="1"/>
  <c r="H1085" i="8"/>
  <c r="H1088" i="8" s="1"/>
  <c r="H1059" i="8"/>
  <c r="H1062" i="8" s="1"/>
  <c r="H1063" i="8" s="1"/>
  <c r="H1036" i="8"/>
  <c r="H1037" i="8" s="1"/>
  <c r="I1024" i="8" s="1"/>
  <c r="H1020" i="8"/>
  <c r="H1021" i="8" s="1"/>
  <c r="I1008" i="8" s="1"/>
  <c r="H1004" i="8"/>
  <c r="H1005" i="8" s="1"/>
  <c r="I991" i="8" s="1"/>
  <c r="H986" i="8"/>
  <c r="H987" i="8" s="1"/>
  <c r="I974" i="8" s="1"/>
  <c r="H971" i="8"/>
  <c r="H972" i="8" s="1"/>
  <c r="I960" i="8" s="1"/>
  <c r="H291" i="8"/>
  <c r="H292" i="8" s="1"/>
  <c r="H293" i="8" s="1"/>
  <c r="H98" i="8"/>
  <c r="H99" i="8" s="1"/>
  <c r="H100" i="8" s="1"/>
  <c r="I84" i="8" s="1"/>
  <c r="H939" i="8"/>
  <c r="H940" i="8" s="1"/>
  <c r="I927" i="8" s="1"/>
  <c r="H505" i="8"/>
  <c r="H506" i="8" s="1"/>
  <c r="H507" i="8" s="1"/>
  <c r="I489" i="8" s="1"/>
  <c r="H565" i="8"/>
  <c r="H566" i="8" s="1"/>
  <c r="H567" i="8" s="1"/>
  <c r="H880" i="8"/>
  <c r="H881" i="8" s="1"/>
  <c r="I869" i="8" s="1"/>
  <c r="H311" i="8"/>
  <c r="H312" i="8" s="1"/>
  <c r="H313" i="8" s="1"/>
  <c r="I296" i="8" s="1"/>
  <c r="H456" i="8"/>
  <c r="H457" i="8" s="1"/>
  <c r="H458" i="8" s="1"/>
  <c r="H605" i="8"/>
  <c r="H606" i="8" s="1"/>
  <c r="H352" i="8"/>
  <c r="H353" i="8" s="1"/>
  <c r="H354" i="8" s="1"/>
  <c r="H330" i="8"/>
  <c r="H331" i="8" s="1"/>
  <c r="H332" i="8" s="1"/>
  <c r="I315" i="8" s="1"/>
  <c r="H373" i="8"/>
  <c r="H374" i="8" s="1"/>
  <c r="H375" i="8" s="1"/>
  <c r="H175" i="8"/>
  <c r="H176" i="8" s="1"/>
  <c r="H545" i="8"/>
  <c r="H546" i="8" s="1"/>
  <c r="H547" i="8" s="1"/>
  <c r="H648" i="2" s="1"/>
  <c r="H394" i="8"/>
  <c r="H395" i="8" s="1"/>
  <c r="H396" i="8" s="1"/>
  <c r="H60" i="8"/>
  <c r="H61" i="8" s="1"/>
  <c r="H62" i="8" s="1"/>
  <c r="I71" i="5"/>
  <c r="I72" i="5" s="1"/>
  <c r="I73" i="5" s="1"/>
  <c r="I52" i="5"/>
  <c r="I53" i="5" s="1"/>
  <c r="I54" i="5" s="1"/>
  <c r="I55" i="5" s="1"/>
  <c r="H274" i="8"/>
  <c r="H275" i="8" s="1"/>
  <c r="I260" i="8" s="1"/>
  <c r="H257" i="8"/>
  <c r="H258" i="8" s="1"/>
  <c r="I243" i="8" s="1"/>
  <c r="I118" i="5"/>
  <c r="I119" i="5" s="1"/>
  <c r="I120" i="5" s="1"/>
  <c r="I16" i="5"/>
  <c r="I17" i="5" s="1"/>
  <c r="I223" i="28"/>
  <c r="I224" i="28" s="1"/>
  <c r="J211" i="28" s="1"/>
  <c r="I207" i="28"/>
  <c r="I208" i="28" s="1"/>
  <c r="J195" i="28" s="1"/>
  <c r="I239" i="28"/>
  <c r="I240" i="28" s="1"/>
  <c r="J227" i="28" s="1"/>
  <c r="I192" i="28"/>
  <c r="I193" i="28" s="1"/>
  <c r="J180" i="28" s="1"/>
  <c r="I256" i="28"/>
  <c r="I257" i="28" s="1"/>
  <c r="J244" i="28" s="1"/>
  <c r="I408" i="3"/>
  <c r="I409" i="3" s="1"/>
  <c r="J396" i="3" s="1"/>
  <c r="I722" i="3"/>
  <c r="I723" i="3" s="1"/>
  <c r="J710" i="3" s="1"/>
  <c r="I707" i="3"/>
  <c r="I708" i="3" s="1"/>
  <c r="J695" i="3" s="1"/>
  <c r="I542" i="3"/>
  <c r="I543" i="3" s="1"/>
  <c r="J530" i="3" s="1"/>
  <c r="I109" i="4"/>
  <c r="I110" i="4" s="1"/>
  <c r="J97" i="4" s="1"/>
  <c r="I557" i="3"/>
  <c r="I558" i="3" s="1"/>
  <c r="J545" i="3" s="1"/>
  <c r="I167" i="4"/>
  <c r="I168" i="4" s="1"/>
  <c r="J157" i="4" s="1"/>
  <c r="I393" i="3"/>
  <c r="I394" i="3" s="1"/>
  <c r="J381" i="3" s="1"/>
  <c r="I212" i="4"/>
  <c r="I677" i="3"/>
  <c r="I678" i="3" s="1"/>
  <c r="J665" i="3" s="1"/>
  <c r="I181" i="4"/>
  <c r="I182" i="4" s="1"/>
  <c r="J171" i="4" s="1"/>
  <c r="I692" i="3"/>
  <c r="I693" i="3" s="1"/>
  <c r="J680" i="3" s="1"/>
  <c r="I572" i="3"/>
  <c r="I573" i="3" s="1"/>
  <c r="I230" i="4"/>
  <c r="I231" i="4" s="1"/>
  <c r="J217" i="4" s="1"/>
  <c r="I195" i="4"/>
  <c r="I196" i="4" s="1"/>
  <c r="J185" i="4" s="1"/>
  <c r="J387" i="2"/>
  <c r="J388" i="2" s="1"/>
  <c r="J389" i="2" s="1"/>
  <c r="J402" i="2"/>
  <c r="J403" i="2" s="1"/>
  <c r="J154" i="2"/>
  <c r="J157" i="2" s="1"/>
  <c r="J158" i="2" s="1"/>
  <c r="J159" i="2" s="1"/>
  <c r="J239" i="2"/>
  <c r="J242" i="2" s="1"/>
  <c r="J598" i="2"/>
  <c r="J599" i="2" s="1"/>
  <c r="J447" i="2"/>
  <c r="J448" i="2" s="1"/>
  <c r="J215" i="2"/>
  <c r="J216" i="2" s="1"/>
  <c r="J217" i="2" s="1"/>
  <c r="J265" i="2"/>
  <c r="J132" i="2"/>
  <c r="J133" i="2" s="1"/>
  <c r="J134" i="2" s="1"/>
  <c r="J91" i="2"/>
  <c r="J94" i="2" s="1"/>
  <c r="J95" i="2" s="1"/>
  <c r="J96" i="2" s="1"/>
  <c r="J179" i="2"/>
  <c r="J182" i="2" s="1"/>
  <c r="J576" i="2"/>
  <c r="J577" i="2" s="1"/>
  <c r="J71" i="2"/>
  <c r="J74" i="2" s="1"/>
  <c r="J75" i="2" s="1"/>
  <c r="J76" i="2" s="1"/>
  <c r="J111" i="2"/>
  <c r="J112" i="2" s="1"/>
  <c r="J257" i="2"/>
  <c r="H266" i="12"/>
  <c r="H267" i="12" s="1"/>
  <c r="H268" i="12" s="1"/>
  <c r="I253" i="12" s="1"/>
  <c r="H142" i="12"/>
  <c r="H143" i="12" s="1"/>
  <c r="H144" i="12" s="1"/>
  <c r="I129" i="12" s="1"/>
  <c r="H249" i="12"/>
  <c r="H250" i="12" s="1"/>
  <c r="H251" i="12" s="1"/>
  <c r="I236" i="12" s="1"/>
  <c r="H1245" i="14"/>
  <c r="H1246" i="14" s="1"/>
  <c r="H563" i="11"/>
  <c r="H564" i="11" s="1"/>
  <c r="H565" i="11" s="1"/>
  <c r="I549" i="11" s="1"/>
  <c r="H68" i="24"/>
  <c r="I48" i="24" s="1"/>
  <c r="I198" i="8"/>
  <c r="H527" i="11"/>
  <c r="H528" i="11" s="1"/>
  <c r="H529" i="11" s="1"/>
  <c r="I513" i="11" s="1"/>
  <c r="H160" i="12"/>
  <c r="H161" i="12" s="1"/>
  <c r="H162" i="12" s="1"/>
  <c r="I146" i="12" s="1"/>
  <c r="H137" i="8"/>
  <c r="H229" i="25"/>
  <c r="H230" i="25" s="1"/>
  <c r="I214" i="25" s="1"/>
  <c r="D78" i="26"/>
  <c r="H478" i="15"/>
  <c r="H479" i="15" s="1"/>
  <c r="H930" i="11"/>
  <c r="H931" i="11" s="1"/>
  <c r="H932" i="11" s="1"/>
  <c r="I916" i="11" s="1"/>
  <c r="H212" i="25"/>
  <c r="I196" i="25" s="1"/>
  <c r="H58" i="10"/>
  <c r="H59" i="10" s="1"/>
  <c r="H60" i="10" s="1"/>
  <c r="I43" i="10" s="1"/>
  <c r="K304" i="2"/>
  <c r="D290" i="25"/>
  <c r="F278" i="25"/>
  <c r="H278" i="25" s="1"/>
  <c r="H295" i="25"/>
  <c r="F313" i="25"/>
  <c r="H55" i="23"/>
  <c r="I40" i="23" s="1"/>
  <c r="D78" i="23"/>
  <c r="H39" i="14"/>
  <c r="H40" i="14" s="1"/>
  <c r="H41" i="14" s="1"/>
  <c r="I24" i="14" s="1"/>
  <c r="H53" i="16"/>
  <c r="H54" i="16" s="1"/>
  <c r="H115" i="14"/>
  <c r="H116" i="14" s="1"/>
  <c r="H117" i="14" s="1"/>
  <c r="I100" i="14" s="1"/>
  <c r="H370" i="10"/>
  <c r="H332" i="19"/>
  <c r="H217" i="19"/>
  <c r="H218" i="19" s="1"/>
  <c r="I477" i="11"/>
  <c r="H93" i="20"/>
  <c r="H94" i="20" s="1"/>
  <c r="I661" i="15"/>
  <c r="I212" i="8"/>
  <c r="H232" i="12"/>
  <c r="H233" i="12" s="1"/>
  <c r="H234" i="12" s="1"/>
  <c r="I218" i="12" s="1"/>
  <c r="H91" i="19"/>
  <c r="H92" i="19" s="1"/>
  <c r="H876" i="15"/>
  <c r="H877" i="15" s="1"/>
  <c r="I862" i="15" s="1"/>
  <c r="H273" i="19"/>
  <c r="H235" i="19"/>
  <c r="I95" i="19"/>
  <c r="H821" i="8"/>
  <c r="H822" i="8" s="1"/>
  <c r="H823" i="8" s="1"/>
  <c r="I803" i="8" s="1"/>
  <c r="H455" i="11"/>
  <c r="H456" i="11" s="1"/>
  <c r="H457" i="11" s="1"/>
  <c r="I441" i="11" s="1"/>
  <c r="H534" i="15"/>
  <c r="H535" i="15" s="1"/>
  <c r="H401" i="22"/>
  <c r="H404" i="22" s="1"/>
  <c r="H410" i="22" s="1"/>
  <c r="D418" i="22"/>
  <c r="G418" i="22" s="1"/>
  <c r="H394" i="22"/>
  <c r="H395" i="22" s="1"/>
  <c r="I380" i="22" s="1"/>
  <c r="F595" i="22"/>
  <c r="D94" i="22"/>
  <c r="H361" i="21"/>
  <c r="I346" i="21" s="1"/>
  <c r="H413" i="21"/>
  <c r="I398" i="21" s="1"/>
  <c r="H290" i="21"/>
  <c r="I275" i="21" s="1"/>
  <c r="H378" i="21"/>
  <c r="I363" i="21" s="1"/>
  <c r="H112" i="20"/>
  <c r="I97" i="20" s="1"/>
  <c r="H198" i="19"/>
  <c r="H47" i="19"/>
  <c r="I34" i="19" s="1"/>
  <c r="H17" i="19"/>
  <c r="I4" i="19" s="1"/>
  <c r="H68" i="19"/>
  <c r="H69" i="19" s="1"/>
  <c r="H144" i="19"/>
  <c r="I131" i="19" s="1"/>
  <c r="H160" i="16"/>
  <c r="H1433" i="14"/>
  <c r="H1434" i="14" s="1"/>
  <c r="H134" i="10"/>
  <c r="H135" i="10" s="1"/>
  <c r="H136" i="10" s="1"/>
  <c r="I119" i="10" s="1"/>
  <c r="H134" i="14"/>
  <c r="H135" i="14" s="1"/>
  <c r="H136" i="14" s="1"/>
  <c r="I119" i="14" s="1"/>
  <c r="K318" i="2"/>
  <c r="H1081" i="14"/>
  <c r="H1082" i="14" s="1"/>
  <c r="H239" i="15"/>
  <c r="H90" i="15"/>
  <c r="H545" i="11"/>
  <c r="H546" i="11" s="1"/>
  <c r="H547" i="11" s="1"/>
  <c r="I531" i="11" s="1"/>
  <c r="H254" i="14"/>
  <c r="H255" i="14" s="1"/>
  <c r="H256" i="14" s="1"/>
  <c r="I238" i="14" s="1"/>
  <c r="K361" i="2"/>
  <c r="H178" i="12"/>
  <c r="H179" i="12" s="1"/>
  <c r="H180" i="12" s="1"/>
  <c r="I164" i="12" s="1"/>
  <c r="I36" i="5"/>
  <c r="J23" i="5" s="1"/>
  <c r="H1061" i="14"/>
  <c r="H1062" i="14" s="1"/>
  <c r="H115" i="10"/>
  <c r="H116" i="10" s="1"/>
  <c r="H117" i="10" s="1"/>
  <c r="I100" i="10" s="1"/>
  <c r="H272" i="10"/>
  <c r="H273" i="10" s="1"/>
  <c r="H194" i="14"/>
  <c r="H195" i="14" s="1"/>
  <c r="H1962" i="14"/>
  <c r="H1963" i="14" s="1"/>
  <c r="J123" i="5"/>
  <c r="I883" i="8"/>
  <c r="H984" i="11"/>
  <c r="H985" i="11" s="1"/>
  <c r="H196" i="12"/>
  <c r="H197" i="12" s="1"/>
  <c r="H198" i="12" s="1"/>
  <c r="I182" i="12" s="1"/>
  <c r="H509" i="11"/>
  <c r="H510" i="11" s="1"/>
  <c r="H511" i="11" s="1"/>
  <c r="I495" i="11" s="1"/>
  <c r="H1922" i="14"/>
  <c r="H1923" i="14" s="1"/>
  <c r="H2021" i="14"/>
  <c r="H1225" i="14"/>
  <c r="H440" i="15"/>
  <c r="H90" i="12"/>
  <c r="H163" i="15"/>
  <c r="H164" i="15" s="1"/>
  <c r="H459" i="15"/>
  <c r="H497" i="15"/>
  <c r="H929" i="15"/>
  <c r="I914" i="15" s="1"/>
  <c r="H946" i="15"/>
  <c r="I931" i="15" s="1"/>
  <c r="I610" i="15"/>
  <c r="H55" i="15"/>
  <c r="I40" i="15" s="1"/>
  <c r="H894" i="15"/>
  <c r="I879" i="15" s="1"/>
  <c r="I627" i="15"/>
  <c r="I243" i="15"/>
  <c r="I279" i="15"/>
  <c r="H911" i="15"/>
  <c r="I896" i="15" s="1"/>
  <c r="H959" i="14"/>
  <c r="H776" i="8"/>
  <c r="H777" i="8" s="1"/>
  <c r="H778" i="8" s="1"/>
  <c r="I759" i="8" s="1"/>
  <c r="H96" i="14"/>
  <c r="H97" i="14" s="1"/>
  <c r="H98" i="14" s="1"/>
  <c r="I81" i="14" s="1"/>
  <c r="H797" i="8"/>
  <c r="H798" i="8" s="1"/>
  <c r="J76" i="5"/>
  <c r="H628" i="8"/>
  <c r="H629" i="8" s="1"/>
  <c r="I474" i="8"/>
  <c r="H692" i="8"/>
  <c r="H693" i="8" s="1"/>
  <c r="H694" i="8" s="1"/>
  <c r="I675" i="8" s="1"/>
  <c r="I460" i="8"/>
  <c r="H108" i="12"/>
  <c r="H348" i="11"/>
  <c r="H349" i="11" s="1"/>
  <c r="I333" i="11" s="1"/>
  <c r="H494" i="14"/>
  <c r="H495" i="14" s="1"/>
  <c r="H153" i="14"/>
  <c r="H154" i="14" s="1"/>
  <c r="H155" i="14" s="1"/>
  <c r="I138" i="14" s="1"/>
  <c r="K346" i="2"/>
  <c r="H36" i="11"/>
  <c r="H37" i="11" s="1"/>
  <c r="I22" i="11" s="1"/>
  <c r="H312" i="10"/>
  <c r="H1021" i="14"/>
  <c r="H234" i="14"/>
  <c r="H235" i="14" s="1"/>
  <c r="H236" i="14" s="1"/>
  <c r="I218" i="14" s="1"/>
  <c r="H1379" i="14"/>
  <c r="H454" i="14"/>
  <c r="H455" i="14" s="1"/>
  <c r="H214" i="14"/>
  <c r="H215" i="14" s="1"/>
  <c r="H216" i="14" s="1"/>
  <c r="I198" i="14" s="1"/>
  <c r="H58" i="14"/>
  <c r="H59" i="14" s="1"/>
  <c r="H60" i="14" s="1"/>
  <c r="I43" i="14" s="1"/>
  <c r="H1143" i="14"/>
  <c r="H778" i="14"/>
  <c r="H779" i="14" s="1"/>
  <c r="H1983" i="14"/>
  <c r="H1265" i="14"/>
  <c r="H2003" i="14"/>
  <c r="H77" i="14"/>
  <c r="H78" i="14" s="1"/>
  <c r="H79" i="14" s="1"/>
  <c r="I62" i="14" s="1"/>
  <c r="H1184" i="14"/>
  <c r="H1185" i="14" s="1"/>
  <c r="H1041" i="14"/>
  <c r="H1042" i="14" s="1"/>
  <c r="I1437" i="14"/>
  <c r="H1904" i="14"/>
  <c r="H1905" i="14" s="1"/>
  <c r="H1747" i="14"/>
  <c r="H1748" i="14" s="1"/>
  <c r="I125" i="4"/>
  <c r="H755" i="8"/>
  <c r="H214" i="12"/>
  <c r="H713" i="8"/>
  <c r="H714" i="8" s="1"/>
  <c r="H715" i="8" s="1"/>
  <c r="I696" i="8" s="1"/>
  <c r="H844" i="8"/>
  <c r="H845" i="8" s="1"/>
  <c r="H846" i="8" s="1"/>
  <c r="I826" i="8" s="1"/>
  <c r="I32" i="4"/>
  <c r="H734" i="8"/>
  <c r="H735" i="8" s="1"/>
  <c r="H736" i="8" s="1"/>
  <c r="I46" i="4"/>
  <c r="I47" i="4" s="1"/>
  <c r="J34" i="4" s="1"/>
  <c r="K451" i="2"/>
  <c r="K406" i="2"/>
  <c r="H863" i="8"/>
  <c r="H864" i="8" s="1"/>
  <c r="I849" i="8" s="1"/>
  <c r="H671" i="8"/>
  <c r="H126" i="12"/>
  <c r="H127" i="12" s="1"/>
  <c r="I112" i="12" s="1"/>
  <c r="K421" i="2"/>
  <c r="H36" i="13"/>
  <c r="H37" i="13" s="1"/>
  <c r="I22" i="13" s="1"/>
  <c r="I36" i="9"/>
  <c r="I37" i="9" s="1"/>
  <c r="J22" i="9" s="1"/>
  <c r="J509" i="2"/>
  <c r="H650" i="8"/>
  <c r="H909" i="8"/>
  <c r="H910" i="8" s="1"/>
  <c r="I897" i="8" s="1"/>
  <c r="G173" i="54" l="1"/>
  <c r="G185" i="54" s="1"/>
  <c r="G173" i="53"/>
  <c r="G185" i="53" s="1"/>
  <c r="F41" i="50"/>
  <c r="G41" i="50" s="1"/>
  <c r="G7" i="50" s="1"/>
  <c r="H7" i="50" s="1"/>
  <c r="G184" i="52"/>
  <c r="G183" i="8"/>
  <c r="H183" i="8" s="1"/>
  <c r="H186" i="8" s="1"/>
  <c r="H194" i="8" s="1"/>
  <c r="H195" i="8" s="1"/>
  <c r="H196" i="8" s="1"/>
  <c r="I179" i="8" s="1"/>
  <c r="F208" i="27"/>
  <c r="F216" i="27"/>
  <c r="G223" i="27"/>
  <c r="G231" i="27"/>
  <c r="G239" i="27"/>
  <c r="G247" i="27"/>
  <c r="G255" i="27"/>
  <c r="G209" i="27"/>
  <c r="G217" i="27"/>
  <c r="F223" i="27"/>
  <c r="F231" i="27"/>
  <c r="F239" i="27"/>
  <c r="F247" i="27"/>
  <c r="F255" i="27"/>
  <c r="F209" i="27"/>
  <c r="F217" i="27"/>
  <c r="G224" i="27"/>
  <c r="G232" i="27"/>
  <c r="G240" i="27"/>
  <c r="G248" i="27"/>
  <c r="G256" i="27"/>
  <c r="G202" i="27"/>
  <c r="G210" i="27"/>
  <c r="G218" i="27"/>
  <c r="F224" i="27"/>
  <c r="F232" i="27"/>
  <c r="F240" i="27"/>
  <c r="F248" i="27"/>
  <c r="F256" i="27"/>
  <c r="F202" i="27"/>
  <c r="F210" i="27"/>
  <c r="F218" i="27"/>
  <c r="G225" i="27"/>
  <c r="G233" i="27"/>
  <c r="G241" i="27"/>
  <c r="G249" i="27"/>
  <c r="G257" i="27"/>
  <c r="F204" i="27"/>
  <c r="G243" i="27"/>
  <c r="G203" i="27"/>
  <c r="G211" i="27"/>
  <c r="G219" i="27"/>
  <c r="F225" i="27"/>
  <c r="F233" i="27"/>
  <c r="F241" i="27"/>
  <c r="F249" i="27"/>
  <c r="F257" i="27"/>
  <c r="G227" i="27"/>
  <c r="F203" i="27"/>
  <c r="F211" i="27"/>
  <c r="F219" i="27"/>
  <c r="G226" i="27"/>
  <c r="G234" i="27"/>
  <c r="G242" i="27"/>
  <c r="G250" i="27"/>
  <c r="G258" i="27"/>
  <c r="F212" i="27"/>
  <c r="G259" i="27"/>
  <c r="G204" i="27"/>
  <c r="G212" i="27"/>
  <c r="G220" i="27"/>
  <c r="F226" i="27"/>
  <c r="F234" i="27"/>
  <c r="F242" i="27"/>
  <c r="F250" i="27"/>
  <c r="F258" i="27"/>
  <c r="F220" i="27"/>
  <c r="G251" i="27"/>
  <c r="G235" i="27"/>
  <c r="G205" i="27"/>
  <c r="G213" i="27"/>
  <c r="G221" i="27"/>
  <c r="F227" i="27"/>
  <c r="F235" i="27"/>
  <c r="F243" i="27"/>
  <c r="F251" i="27"/>
  <c r="F259" i="27"/>
  <c r="F205" i="27"/>
  <c r="F213" i="27"/>
  <c r="F221" i="27"/>
  <c r="G228" i="27"/>
  <c r="G236" i="27"/>
  <c r="G244" i="27"/>
  <c r="G252" i="27"/>
  <c r="G206" i="27"/>
  <c r="G214" i="27"/>
  <c r="G260" i="27"/>
  <c r="F228" i="27"/>
  <c r="F236" i="27"/>
  <c r="F244" i="27"/>
  <c r="F252" i="27"/>
  <c r="F206" i="27"/>
  <c r="F214" i="27"/>
  <c r="F260" i="27"/>
  <c r="G229" i="27"/>
  <c r="G237" i="27"/>
  <c r="G245" i="27"/>
  <c r="G253" i="27"/>
  <c r="G207" i="27"/>
  <c r="G215" i="27"/>
  <c r="F229" i="27"/>
  <c r="F237" i="27"/>
  <c r="F245" i="27"/>
  <c r="F253" i="27"/>
  <c r="F207" i="27"/>
  <c r="F215" i="27"/>
  <c r="G222" i="27"/>
  <c r="G230" i="27"/>
  <c r="G238" i="27"/>
  <c r="G246" i="27"/>
  <c r="G254" i="27"/>
  <c r="G208" i="27"/>
  <c r="G216" i="27"/>
  <c r="F222" i="27"/>
  <c r="F230" i="27"/>
  <c r="F238" i="27"/>
  <c r="F246" i="27"/>
  <c r="F254" i="27"/>
  <c r="I9275" i="26"/>
  <c r="E1712" i="27" s="1"/>
  <c r="I968" i="25"/>
  <c r="I1111" i="8"/>
  <c r="E260" i="27" s="1"/>
  <c r="H1279" i="41"/>
  <c r="I1264" i="41" s="1"/>
  <c r="E2400" i="27"/>
  <c r="E2068" i="27"/>
  <c r="E2384" i="27"/>
  <c r="E272" i="27"/>
  <c r="E1029" i="27"/>
  <c r="E1823" i="27"/>
  <c r="E2373" i="27"/>
  <c r="E2540" i="27"/>
  <c r="E907" i="27"/>
  <c r="E26" i="27"/>
  <c r="E1782" i="27"/>
  <c r="E1726" i="27"/>
  <c r="E148" i="27"/>
  <c r="E336" i="27"/>
  <c r="E364" i="27"/>
  <c r="E276" i="27"/>
  <c r="E1988" i="27"/>
  <c r="E1994" i="27"/>
  <c r="E2103" i="27"/>
  <c r="E288" i="27"/>
  <c r="E2347" i="27"/>
  <c r="E2440" i="27"/>
  <c r="E2475" i="27"/>
  <c r="E2561" i="27"/>
  <c r="E2555" i="27"/>
  <c r="E46" i="27"/>
  <c r="E324" i="27"/>
  <c r="E919" i="27"/>
  <c r="E898" i="27"/>
  <c r="E869" i="27"/>
  <c r="E835" i="27"/>
  <c r="E928" i="27"/>
  <c r="E978" i="27"/>
  <c r="E970" i="27"/>
  <c r="E2412" i="27"/>
  <c r="E2002" i="27"/>
  <c r="E378" i="27"/>
  <c r="E861" i="27"/>
  <c r="E2596" i="27"/>
  <c r="E110" i="27"/>
  <c r="E149" i="27"/>
  <c r="E357" i="27"/>
  <c r="E283" i="27"/>
  <c r="E1987" i="27"/>
  <c r="E1993" i="27"/>
  <c r="E2150" i="27"/>
  <c r="E2346" i="27"/>
  <c r="E2392" i="27"/>
  <c r="E2439" i="27"/>
  <c r="E2474" i="27"/>
  <c r="E2549" i="27"/>
  <c r="E2573" i="27"/>
  <c r="E37" i="27"/>
  <c r="E180" i="27"/>
  <c r="E917" i="27"/>
  <c r="E897" i="27"/>
  <c r="E868" i="27"/>
  <c r="E833" i="27"/>
  <c r="E930" i="27"/>
  <c r="E980" i="27"/>
  <c r="E969" i="27"/>
  <c r="E1728" i="27"/>
  <c r="E2406" i="27"/>
  <c r="E2354" i="27"/>
  <c r="E163" i="27"/>
  <c r="E2374" i="27"/>
  <c r="E2581" i="27"/>
  <c r="E728" i="27"/>
  <c r="E2001" i="27"/>
  <c r="E2338" i="27"/>
  <c r="E889" i="27"/>
  <c r="E942" i="27"/>
  <c r="E128" i="27"/>
  <c r="E342" i="27"/>
  <c r="E269" i="27"/>
  <c r="E1986" i="27"/>
  <c r="E1992" i="27"/>
  <c r="E2149" i="27"/>
  <c r="E2382" i="27"/>
  <c r="E2345" i="27"/>
  <c r="E2391" i="27"/>
  <c r="E2438" i="27"/>
  <c r="E2473" i="27"/>
  <c r="E2551" i="27"/>
  <c r="E2554" i="27"/>
  <c r="E36" i="27"/>
  <c r="E375" i="27"/>
  <c r="E391" i="27"/>
  <c r="E1598" i="27"/>
  <c r="E916" i="27"/>
  <c r="E896" i="27"/>
  <c r="E867" i="27"/>
  <c r="E829" i="27"/>
  <c r="E932" i="27"/>
  <c r="E981" i="27"/>
  <c r="E972" i="27"/>
  <c r="E558" i="27"/>
  <c r="E2405" i="27"/>
  <c r="E2476" i="27"/>
  <c r="E32" i="27"/>
  <c r="E169" i="27"/>
  <c r="E334" i="27"/>
  <c r="E292" i="27"/>
  <c r="E1985" i="27"/>
  <c r="E2023" i="27"/>
  <c r="E2148" i="27"/>
  <c r="E2381" i="27"/>
  <c r="E2344" i="27"/>
  <c r="E2390" i="27"/>
  <c r="E2437" i="27"/>
  <c r="E2486" i="27"/>
  <c r="E2550" i="27"/>
  <c r="E341" i="27"/>
  <c r="E171" i="27"/>
  <c r="E389" i="27"/>
  <c r="E1654" i="27"/>
  <c r="E914" i="27"/>
  <c r="E895" i="27"/>
  <c r="E866" i="27"/>
  <c r="E827" i="27"/>
  <c r="E933" i="27"/>
  <c r="E982" i="27"/>
  <c r="E968" i="27"/>
  <c r="E2480" i="27"/>
  <c r="E35" i="27"/>
  <c r="E109" i="27"/>
  <c r="E352" i="27"/>
  <c r="E297" i="27"/>
  <c r="E117" i="27"/>
  <c r="E1727" i="27"/>
  <c r="E379" i="27"/>
  <c r="E1984" i="27"/>
  <c r="E2022" i="27"/>
  <c r="E2153" i="27"/>
  <c r="E2380" i="27"/>
  <c r="E2343" i="27"/>
  <c r="E2389" i="27"/>
  <c r="E2484" i="27"/>
  <c r="E2556" i="27"/>
  <c r="E72" i="27"/>
  <c r="E323" i="27"/>
  <c r="E325" i="27"/>
  <c r="E387" i="27"/>
  <c r="E913" i="27"/>
  <c r="E894" i="27"/>
  <c r="E865" i="27"/>
  <c r="E825" i="27"/>
  <c r="E934" i="27"/>
  <c r="E983" i="27"/>
  <c r="E971" i="27"/>
  <c r="E1983" i="27"/>
  <c r="E2015" i="27"/>
  <c r="E2379" i="27"/>
  <c r="E2342" i="27"/>
  <c r="E2388" i="27"/>
  <c r="E2445" i="27"/>
  <c r="E2483" i="27"/>
  <c r="E2564" i="27"/>
  <c r="E75" i="27"/>
  <c r="E327" i="27"/>
  <c r="E385" i="27"/>
  <c r="E912" i="27"/>
  <c r="E893" i="27"/>
  <c r="E864" i="27"/>
  <c r="E823" i="27"/>
  <c r="E935" i="27"/>
  <c r="E984" i="27"/>
  <c r="E2402" i="27"/>
  <c r="E84" i="27"/>
  <c r="E127" i="27"/>
  <c r="E1982" i="27"/>
  <c r="E2181" i="27"/>
  <c r="E2378" i="27"/>
  <c r="E2341" i="27"/>
  <c r="E2387" i="27"/>
  <c r="E2444" i="27"/>
  <c r="E2482" i="27"/>
  <c r="E2553" i="27"/>
  <c r="E2583" i="27"/>
  <c r="E73" i="27"/>
  <c r="E172" i="27"/>
  <c r="E383" i="27"/>
  <c r="E2436" i="27"/>
  <c r="E911" i="27"/>
  <c r="E892" i="27"/>
  <c r="E863" i="27"/>
  <c r="E821" i="27"/>
  <c r="E936" i="27"/>
  <c r="E987" i="27"/>
  <c r="E2401" i="27"/>
  <c r="E98" i="27"/>
  <c r="E196" i="27"/>
  <c r="E277" i="27"/>
  <c r="E270" i="27"/>
  <c r="E2003" i="27"/>
  <c r="E2051" i="27"/>
  <c r="E2183" i="27"/>
  <c r="E2375" i="27"/>
  <c r="E2340" i="27"/>
  <c r="E2385" i="27"/>
  <c r="E2450" i="27"/>
  <c r="E2481" i="27"/>
  <c r="E2563" i="27"/>
  <c r="E2582" i="27"/>
  <c r="E377" i="27"/>
  <c r="E381" i="27"/>
  <c r="E265" i="27"/>
  <c r="E910" i="27"/>
  <c r="E891" i="27"/>
  <c r="E862" i="27"/>
  <c r="E819" i="27"/>
  <c r="E939" i="27"/>
  <c r="E1909" i="27"/>
  <c r="E2201" i="27"/>
  <c r="E2541" i="27"/>
  <c r="E2399" i="27"/>
  <c r="E1839" i="27"/>
  <c r="E392" i="27"/>
  <c r="E2398" i="27"/>
  <c r="E29" i="27"/>
  <c r="E111" i="27"/>
  <c r="E367" i="27"/>
  <c r="E290" i="27"/>
  <c r="E268" i="27"/>
  <c r="E284" i="27"/>
  <c r="E2000" i="27"/>
  <c r="E2113" i="27"/>
  <c r="E2206" i="27"/>
  <c r="E2239" i="27"/>
  <c r="E2372" i="27"/>
  <c r="E2337" i="27"/>
  <c r="E2408" i="27"/>
  <c r="E2449" i="27"/>
  <c r="E2510" i="27"/>
  <c r="E2539" i="27"/>
  <c r="E2552" i="27"/>
  <c r="E2579" i="27"/>
  <c r="E120" i="27"/>
  <c r="E390" i="27"/>
  <c r="E294" i="27"/>
  <c r="E906" i="27"/>
  <c r="E887" i="27"/>
  <c r="E849" i="27"/>
  <c r="E943" i="27"/>
  <c r="E1060" i="27"/>
  <c r="E2211" i="27"/>
  <c r="E2397" i="27"/>
  <c r="E909" i="27"/>
  <c r="E97" i="27"/>
  <c r="E112" i="27"/>
  <c r="E360" i="27"/>
  <c r="E704" i="27"/>
  <c r="E1999" i="27"/>
  <c r="E2112" i="27"/>
  <c r="E2235" i="27"/>
  <c r="E2371" i="27"/>
  <c r="E2334" i="27"/>
  <c r="E2317" i="27"/>
  <c r="E2407" i="27"/>
  <c r="E2446" i="27"/>
  <c r="E2509" i="27"/>
  <c r="E2538" i="27"/>
  <c r="E2560" i="27"/>
  <c r="E2578" i="27"/>
  <c r="E126" i="27"/>
  <c r="E388" i="27"/>
  <c r="E2571" i="27"/>
  <c r="E904" i="27"/>
  <c r="E877" i="27"/>
  <c r="E848" i="27"/>
  <c r="E922" i="27"/>
  <c r="E944" i="27"/>
  <c r="E1087" i="27"/>
  <c r="E2314" i="27"/>
  <c r="E166" i="27"/>
  <c r="E2207" i="27"/>
  <c r="E2512" i="27"/>
  <c r="E817" i="27"/>
  <c r="E776" i="27"/>
  <c r="E2074" i="27"/>
  <c r="E2511" i="27"/>
  <c r="E85" i="27"/>
  <c r="E366" i="27"/>
  <c r="E296" i="27"/>
  <c r="E285" i="27"/>
  <c r="E1998" i="27"/>
  <c r="E2111" i="27"/>
  <c r="E2197" i="27"/>
  <c r="E2370" i="27"/>
  <c r="E2351" i="27"/>
  <c r="E2333" i="27"/>
  <c r="E2316" i="27"/>
  <c r="E2404" i="27"/>
  <c r="E2447" i="27"/>
  <c r="E2508" i="27"/>
  <c r="E2537" i="27"/>
  <c r="E2572" i="27"/>
  <c r="E2577" i="27"/>
  <c r="E340" i="27"/>
  <c r="E386" i="27"/>
  <c r="E2587" i="27"/>
  <c r="E903" i="27"/>
  <c r="E875" i="27"/>
  <c r="E847" i="27"/>
  <c r="E924" i="27"/>
  <c r="E974" i="27"/>
  <c r="E2313" i="27"/>
  <c r="E855" i="27"/>
  <c r="E1997" i="27"/>
  <c r="E2110" i="27"/>
  <c r="E2285" i="27"/>
  <c r="E2350" i="27"/>
  <c r="E2332" i="27"/>
  <c r="E2315" i="27"/>
  <c r="E2403" i="27"/>
  <c r="E2479" i="27"/>
  <c r="E2507" i="27"/>
  <c r="E2536" i="27"/>
  <c r="E2558" i="27"/>
  <c r="E2576" i="27"/>
  <c r="E339" i="27"/>
  <c r="E384" i="27"/>
  <c r="E902" i="27"/>
  <c r="E846" i="27"/>
  <c r="E925" i="27"/>
  <c r="E975" i="27"/>
  <c r="E2410" i="27"/>
  <c r="E2336" i="27"/>
  <c r="E263" i="27"/>
  <c r="E2443" i="27"/>
  <c r="E940" i="27"/>
  <c r="E369" i="27"/>
  <c r="E2232" i="27"/>
  <c r="E2448" i="27"/>
  <c r="E96" i="27"/>
  <c r="E358" i="27"/>
  <c r="E273" i="27"/>
  <c r="E25" i="27"/>
  <c r="E129" i="27"/>
  <c r="E147" i="27"/>
  <c r="E359" i="27"/>
  <c r="E1959" i="27"/>
  <c r="E1996" i="27"/>
  <c r="E2109" i="27"/>
  <c r="E2293" i="27"/>
  <c r="E2349" i="27"/>
  <c r="E2331" i="27"/>
  <c r="E2396" i="27"/>
  <c r="E2478" i="27"/>
  <c r="E2506" i="27"/>
  <c r="E2574" i="27"/>
  <c r="E2557" i="27"/>
  <c r="E2575" i="27"/>
  <c r="E157" i="27"/>
  <c r="E328" i="27"/>
  <c r="E382" i="27"/>
  <c r="E2586" i="27"/>
  <c r="E901" i="27"/>
  <c r="E871" i="27"/>
  <c r="E926" i="27"/>
  <c r="E976" i="27"/>
  <c r="E2409" i="27"/>
  <c r="E2329" i="27"/>
  <c r="E121" i="27"/>
  <c r="E2339" i="27"/>
  <c r="E890" i="27"/>
  <c r="E2383" i="27"/>
  <c r="E2580" i="27"/>
  <c r="E815" i="27"/>
  <c r="E151" i="27"/>
  <c r="E33" i="27"/>
  <c r="E28" i="27"/>
  <c r="E131" i="27"/>
  <c r="E150" i="27"/>
  <c r="E365" i="27"/>
  <c r="E279" i="27"/>
  <c r="E291" i="27"/>
  <c r="E1989" i="27"/>
  <c r="E1995" i="27"/>
  <c r="E2105" i="27"/>
  <c r="E2300" i="27"/>
  <c r="E2348" i="27"/>
  <c r="E2330" i="27"/>
  <c r="E2386" i="27"/>
  <c r="E2441" i="27"/>
  <c r="E2477" i="27"/>
  <c r="E2505" i="27"/>
  <c r="E2562" i="27"/>
  <c r="E27" i="27"/>
  <c r="E326" i="27"/>
  <c r="E730" i="27"/>
  <c r="E900" i="27"/>
  <c r="E870" i="27"/>
  <c r="E844" i="27"/>
  <c r="E927" i="27"/>
  <c r="E977" i="27"/>
  <c r="E1847" i="27"/>
  <c r="E2411" i="27"/>
  <c r="I822" i="7"/>
  <c r="I823" i="7" s="1"/>
  <c r="I824" i="7" s="1"/>
  <c r="J807" i="7" s="1"/>
  <c r="I882" i="7"/>
  <c r="I883" i="7" s="1"/>
  <c r="I884" i="7" s="1"/>
  <c r="J867" i="7" s="1"/>
  <c r="I959" i="7"/>
  <c r="I960" i="7" s="1"/>
  <c r="I961" i="7" s="1"/>
  <c r="J944" i="7" s="1"/>
  <c r="I901" i="7"/>
  <c r="I902" i="7" s="1"/>
  <c r="I903" i="7" s="1"/>
  <c r="J886" i="7" s="1"/>
  <c r="R929" i="43"/>
  <c r="L1041" i="43"/>
  <c r="H2006" i="41"/>
  <c r="H2011" i="41" s="1"/>
  <c r="H2012" i="41" s="1"/>
  <c r="H2013" i="41" s="1"/>
  <c r="I1997" i="41" s="1"/>
  <c r="L901" i="43"/>
  <c r="L1013" i="43"/>
  <c r="L985" i="43"/>
  <c r="G1785" i="27"/>
  <c r="F1785" i="27"/>
  <c r="G1826" i="27"/>
  <c r="F1826" i="27"/>
  <c r="G1732" i="27"/>
  <c r="F1732" i="27"/>
  <c r="L957" i="43"/>
  <c r="L1209" i="43"/>
  <c r="H2992" i="43"/>
  <c r="R2968" i="43" s="1"/>
  <c r="G1158" i="27"/>
  <c r="F1158" i="27"/>
  <c r="E872" i="27"/>
  <c r="E873" i="27"/>
  <c r="H6340" i="43"/>
  <c r="H6341" i="43" s="1"/>
  <c r="H6342" i="43" s="1"/>
  <c r="R6324" i="43" s="1"/>
  <c r="H4690" i="43"/>
  <c r="L873" i="43"/>
  <c r="R873" i="43"/>
  <c r="I42" i="42"/>
  <c r="G152" i="42"/>
  <c r="H152" i="42" s="1"/>
  <c r="J51" i="2"/>
  <c r="J52" i="2" s="1"/>
  <c r="K30" i="2" s="1"/>
  <c r="I920" i="7"/>
  <c r="I921" i="7" s="1"/>
  <c r="I922" i="7" s="1"/>
  <c r="J905" i="7" s="1"/>
  <c r="I801" i="7"/>
  <c r="I802" i="7" s="1"/>
  <c r="I803" i="7" s="1"/>
  <c r="J786" i="7" s="1"/>
  <c r="I939" i="7"/>
  <c r="I940" i="7" s="1"/>
  <c r="I941" i="7" s="1"/>
  <c r="J924" i="7" s="1"/>
  <c r="I862" i="7"/>
  <c r="I863" i="7" s="1"/>
  <c r="I864" i="7" s="1"/>
  <c r="J847" i="7" s="1"/>
  <c r="I842" i="7"/>
  <c r="I843" i="7" s="1"/>
  <c r="I844" i="7" s="1"/>
  <c r="J827" i="7" s="1"/>
  <c r="H6384" i="26"/>
  <c r="H6385" i="26" s="1"/>
  <c r="G94" i="22"/>
  <c r="H94" i="22" s="1"/>
  <c r="H97" i="22" s="1"/>
  <c r="H103" i="22" s="1"/>
  <c r="G290" i="25"/>
  <c r="H290" i="25" s="1"/>
  <c r="H293" i="25" s="1"/>
  <c r="I681" i="7"/>
  <c r="I682" i="7" s="1"/>
  <c r="E2039" i="27"/>
  <c r="E2024" i="27"/>
  <c r="G78" i="26"/>
  <c r="H78" i="26" s="1"/>
  <c r="H81" i="26" s="1"/>
  <c r="H87" i="26" s="1"/>
  <c r="H88" i="26" s="1"/>
  <c r="I741" i="7"/>
  <c r="I742" i="7" s="1"/>
  <c r="I743" i="7" s="1"/>
  <c r="J726" i="7" s="1"/>
  <c r="I781" i="7"/>
  <c r="I782" i="7" s="1"/>
  <c r="I783" i="7" s="1"/>
  <c r="J766" i="7" s="1"/>
  <c r="I702" i="7"/>
  <c r="I703" i="7" s="1"/>
  <c r="I704" i="7" s="1"/>
  <c r="J687" i="7" s="1"/>
  <c r="E1154" i="27"/>
  <c r="E800" i="27"/>
  <c r="E804" i="27"/>
  <c r="H4057" i="41"/>
  <c r="I4041" i="41" s="1"/>
  <c r="E807" i="27"/>
  <c r="E808" i="27"/>
  <c r="E805" i="27"/>
  <c r="E809" i="27"/>
  <c r="E806" i="27"/>
  <c r="E786" i="27"/>
  <c r="E774" i="27"/>
  <c r="E758" i="27"/>
  <c r="E745" i="27"/>
  <c r="E741" i="27"/>
  <c r="E463" i="27"/>
  <c r="E522" i="27"/>
  <c r="E644" i="27"/>
  <c r="E566" i="27"/>
  <c r="E565" i="27"/>
  <c r="E574" i="27"/>
  <c r="E575" i="27"/>
  <c r="E570" i="27"/>
  <c r="E567" i="27"/>
  <c r="E735" i="27"/>
  <c r="E699" i="27"/>
  <c r="E684" i="27"/>
  <c r="E697" i="27"/>
  <c r="E720" i="27"/>
  <c r="E734" i="27"/>
  <c r="E686" i="27"/>
  <c r="E719" i="27"/>
  <c r="E737" i="27"/>
  <c r="E736" i="27"/>
  <c r="E424" i="27"/>
  <c r="E526" i="27"/>
  <c r="E488" i="27"/>
  <c r="E525" i="27"/>
  <c r="E576" i="27"/>
  <c r="E426" i="27"/>
  <c r="E569" i="27"/>
  <c r="E489" i="27"/>
  <c r="G92" i="21" s="1"/>
  <c r="H92" i="21" s="1"/>
  <c r="H93" i="21" s="1"/>
  <c r="H96" i="21" s="1"/>
  <c r="H97" i="21" s="1"/>
  <c r="H98" i="21" s="1"/>
  <c r="I82" i="21" s="1"/>
  <c r="E540" i="27"/>
  <c r="E533" i="27"/>
  <c r="E535" i="27"/>
  <c r="E421" i="27"/>
  <c r="E538" i="27"/>
  <c r="E733" i="27"/>
  <c r="E528" i="27"/>
  <c r="E722" i="27"/>
  <c r="E423" i="27"/>
  <c r="E568" i="27"/>
  <c r="E564" i="27"/>
  <c r="E485" i="27"/>
  <c r="E451" i="27"/>
  <c r="E524" i="27"/>
  <c r="E425" i="27"/>
  <c r="E427" i="27"/>
  <c r="E529" i="27"/>
  <c r="E523" i="27"/>
  <c r="E530" i="27"/>
  <c r="E432" i="27"/>
  <c r="E443" i="27"/>
  <c r="E445" i="27"/>
  <c r="E447" i="27"/>
  <c r="E453" i="27"/>
  <c r="E430" i="27"/>
  <c r="E431" i="27"/>
  <c r="E441" i="27"/>
  <c r="E439" i="27"/>
  <c r="E422" i="27"/>
  <c r="E434" i="27"/>
  <c r="E438" i="27"/>
  <c r="E442" i="27"/>
  <c r="E464" i="27"/>
  <c r="E462" i="27"/>
  <c r="E420" i="27"/>
  <c r="E429" i="27"/>
  <c r="E473" i="27"/>
  <c r="E450" i="27"/>
  <c r="E498" i="27"/>
  <c r="E490" i="27"/>
  <c r="E475" i="27"/>
  <c r="E502" i="27"/>
  <c r="E504" i="27"/>
  <c r="E507" i="27"/>
  <c r="E519" i="27"/>
  <c r="E517" i="27"/>
  <c r="E476" i="27"/>
  <c r="E551" i="27"/>
  <c r="E539" i="27"/>
  <c r="E470" i="27"/>
  <c r="E484" i="27"/>
  <c r="E578" i="27"/>
  <c r="E645" i="27"/>
  <c r="E582" i="27"/>
  <c r="E579" i="27"/>
  <c r="E687" i="27"/>
  <c r="E685" i="27"/>
  <c r="E717" i="27"/>
  <c r="E491" i="27"/>
  <c r="E516" i="27"/>
  <c r="E495" i="27"/>
  <c r="E518" i="27"/>
  <c r="E486" i="27"/>
  <c r="E738" i="27"/>
  <c r="E511" i="27"/>
  <c r="E492" i="27"/>
  <c r="E572" i="27"/>
  <c r="E577" i="27"/>
  <c r="E721" i="27"/>
  <c r="E501" i="27"/>
  <c r="I37" i="18"/>
  <c r="I38" i="18" s="1"/>
  <c r="I39" i="18" s="1"/>
  <c r="J22" i="18" s="1"/>
  <c r="I761" i="7"/>
  <c r="I762" i="7" s="1"/>
  <c r="I763" i="7" s="1"/>
  <c r="J746" i="7" s="1"/>
  <c r="I722" i="7"/>
  <c r="I723" i="7" s="1"/>
  <c r="I724" i="7" s="1"/>
  <c r="J707" i="7" s="1"/>
  <c r="E397" i="27"/>
  <c r="E415" i="27"/>
  <c r="E400" i="27"/>
  <c r="E413" i="27"/>
  <c r="E406" i="27"/>
  <c r="E417" i="27"/>
  <c r="E399" i="27"/>
  <c r="E403" i="27"/>
  <c r="E416" i="27"/>
  <c r="E409" i="27"/>
  <c r="E396" i="27"/>
  <c r="E398" i="27"/>
  <c r="E407" i="27"/>
  <c r="E408" i="27"/>
  <c r="E401" i="27"/>
  <c r="E402" i="27"/>
  <c r="H3983" i="41"/>
  <c r="H3984" i="41" s="1"/>
  <c r="I3968" i="41" s="1"/>
  <c r="I19" i="18"/>
  <c r="I20" i="18" s="1"/>
  <c r="J4" i="18" s="1"/>
  <c r="I21" i="30"/>
  <c r="I22" i="30" s="1"/>
  <c r="J4" i="30" s="1"/>
  <c r="E244" i="27"/>
  <c r="E240" i="27"/>
  <c r="E238" i="27"/>
  <c r="E232" i="27"/>
  <c r="E218" i="27"/>
  <c r="E231" i="27"/>
  <c r="E219" i="27"/>
  <c r="E235" i="27"/>
  <c r="E243" i="27"/>
  <c r="E237" i="27"/>
  <c r="E203" i="27"/>
  <c r="E202" i="27"/>
  <c r="E206" i="27"/>
  <c r="E207" i="27"/>
  <c r="E211" i="27"/>
  <c r="E210" i="27"/>
  <c r="E242" i="27"/>
  <c r="E221" i="27"/>
  <c r="E246" i="27"/>
  <c r="E249" i="27"/>
  <c r="E250" i="27"/>
  <c r="E252" i="27"/>
  <c r="E253" i="27"/>
  <c r="E254" i="27"/>
  <c r="E222" i="27"/>
  <c r="E216" i="27"/>
  <c r="E245" i="27"/>
  <c r="E188" i="27"/>
  <c r="E186" i="27"/>
  <c r="E185" i="27"/>
  <c r="E179" i="27"/>
  <c r="I423" i="3"/>
  <c r="I424" i="3" s="1"/>
  <c r="J411" i="3" s="1"/>
  <c r="I378" i="3"/>
  <c r="I379" i="3" s="1"/>
  <c r="J366" i="3" s="1"/>
  <c r="J19" i="4"/>
  <c r="H645" i="2"/>
  <c r="H668" i="2"/>
  <c r="J668" i="2" s="1"/>
  <c r="J648" i="2"/>
  <c r="I356" i="8"/>
  <c r="H647" i="2"/>
  <c r="H667" i="2" s="1"/>
  <c r="H646" i="2"/>
  <c r="K496" i="2"/>
  <c r="K376" i="2"/>
  <c r="I717" i="8"/>
  <c r="G154" i="42"/>
  <c r="H154" i="42" s="1"/>
  <c r="G137" i="42"/>
  <c r="H137" i="42" s="1"/>
  <c r="G118" i="42"/>
  <c r="H118" i="42" s="1"/>
  <c r="I6" i="8"/>
  <c r="G151" i="42"/>
  <c r="H151" i="42" s="1"/>
  <c r="G133" i="42"/>
  <c r="H133" i="42" s="1"/>
  <c r="G114" i="42"/>
  <c r="H114" i="42" s="1"/>
  <c r="H3627" i="41"/>
  <c r="I3611" i="41" s="1"/>
  <c r="H4038" i="41"/>
  <c r="H4039" i="41" s="1"/>
  <c r="I4023" i="41" s="1"/>
  <c r="H4074" i="41"/>
  <c r="H4075" i="41" s="1"/>
  <c r="I4059" i="41" s="1"/>
  <c r="H4002" i="41"/>
  <c r="H4003" i="41" s="1"/>
  <c r="I3987" i="41" s="1"/>
  <c r="H4020" i="41"/>
  <c r="H4021" i="41" s="1"/>
  <c r="I4005" i="41" s="1"/>
  <c r="H3717" i="41"/>
  <c r="H3718" i="41" s="1"/>
  <c r="I3702" i="41" s="1"/>
  <c r="H3698" i="41"/>
  <c r="H3699" i="41" s="1"/>
  <c r="I3683" i="41" s="1"/>
  <c r="H3680" i="41"/>
  <c r="H3681" i="41" s="1"/>
  <c r="I3665" i="41" s="1"/>
  <c r="H3662" i="41"/>
  <c r="H3663" i="41" s="1"/>
  <c r="I3647" i="41" s="1"/>
  <c r="H3644" i="41"/>
  <c r="H3645" i="41" s="1"/>
  <c r="I3629" i="41" s="1"/>
  <c r="H3608" i="41"/>
  <c r="H3609" i="41" s="1"/>
  <c r="I3593" i="41" s="1"/>
  <c r="H3144" i="41"/>
  <c r="H3145" i="41" s="1"/>
  <c r="I3128" i="41" s="1"/>
  <c r="H904" i="41"/>
  <c r="H905" i="41" s="1"/>
  <c r="I890" i="41" s="1"/>
  <c r="H887" i="41"/>
  <c r="H888" i="41" s="1"/>
  <c r="I873" i="41" s="1"/>
  <c r="H870" i="41"/>
  <c r="H871" i="41" s="1"/>
  <c r="I856" i="41" s="1"/>
  <c r="H852" i="41"/>
  <c r="H853" i="41" s="1"/>
  <c r="I838" i="41" s="1"/>
  <c r="H835" i="41"/>
  <c r="H836" i="41" s="1"/>
  <c r="I821" i="41" s="1"/>
  <c r="H818" i="41"/>
  <c r="H819" i="41" s="1"/>
  <c r="I804" i="41" s="1"/>
  <c r="H801" i="41"/>
  <c r="H802" i="41" s="1"/>
  <c r="I787" i="41" s="1"/>
  <c r="H784" i="41"/>
  <c r="H785" i="41" s="1"/>
  <c r="I770" i="41" s="1"/>
  <c r="H767" i="41"/>
  <c r="H768" i="41" s="1"/>
  <c r="I753" i="41" s="1"/>
  <c r="H749" i="41"/>
  <c r="H750" i="41" s="1"/>
  <c r="I735" i="41" s="1"/>
  <c r="H732" i="41"/>
  <c r="H733" i="41" s="1"/>
  <c r="I718" i="41" s="1"/>
  <c r="H714" i="41"/>
  <c r="H715" i="41" s="1"/>
  <c r="I700" i="41" s="1"/>
  <c r="H697" i="41"/>
  <c r="H698" i="41" s="1"/>
  <c r="I683" i="41" s="1"/>
  <c r="H680" i="41"/>
  <c r="H681" i="41" s="1"/>
  <c r="I666" i="41" s="1"/>
  <c r="H663" i="41"/>
  <c r="H664" i="41" s="1"/>
  <c r="I649" i="41" s="1"/>
  <c r="H271" i="41"/>
  <c r="H272" i="41" s="1"/>
  <c r="I257" i="41" s="1"/>
  <c r="H254" i="41"/>
  <c r="H255" i="41" s="1"/>
  <c r="I240" i="41" s="1"/>
  <c r="H236" i="41"/>
  <c r="H237" i="41" s="1"/>
  <c r="I222" i="41" s="1"/>
  <c r="H219" i="41"/>
  <c r="H220" i="41" s="1"/>
  <c r="I205" i="41" s="1"/>
  <c r="H202" i="41"/>
  <c r="H203" i="41" s="1"/>
  <c r="I188" i="41" s="1"/>
  <c r="H185" i="41"/>
  <c r="H186" i="41" s="1"/>
  <c r="I171" i="41" s="1"/>
  <c r="H168" i="41"/>
  <c r="H169" i="41" s="1"/>
  <c r="I154" i="41" s="1"/>
  <c r="H150" i="41"/>
  <c r="H151" i="41" s="1"/>
  <c r="I136" i="41" s="1"/>
  <c r="H133" i="41"/>
  <c r="H134" i="41" s="1"/>
  <c r="I119" i="41" s="1"/>
  <c r="H116" i="41"/>
  <c r="H117" i="41" s="1"/>
  <c r="I102" i="41" s="1"/>
  <c r="H99" i="41"/>
  <c r="H100" i="41" s="1"/>
  <c r="I85" i="41" s="1"/>
  <c r="H1221" i="40"/>
  <c r="H1222" i="40" s="1"/>
  <c r="I1206" i="40" s="1"/>
  <c r="H394" i="39"/>
  <c r="H395" i="39" s="1"/>
  <c r="H396" i="39" s="1"/>
  <c r="I365" i="39" s="1"/>
  <c r="H4961" i="37"/>
  <c r="H24" i="24"/>
  <c r="I4" i="24" s="1"/>
  <c r="H45" i="24"/>
  <c r="H46" i="24" s="1"/>
  <c r="I26" i="24" s="1"/>
  <c r="G78" i="23"/>
  <c r="H78" i="23" s="1"/>
  <c r="H81" i="23" s="1"/>
  <c r="H87" i="23" s="1"/>
  <c r="H88" i="23" s="1"/>
  <c r="D95" i="23"/>
  <c r="H71" i="23"/>
  <c r="H72" i="23" s="1"/>
  <c r="I57" i="23" s="1"/>
  <c r="H87" i="22"/>
  <c r="H88" i="22" s="1"/>
  <c r="I73" i="22" s="1"/>
  <c r="H32" i="19"/>
  <c r="I19" i="19" s="1"/>
  <c r="H22" i="14"/>
  <c r="I5" i="14" s="1"/>
  <c r="H608" i="15"/>
  <c r="I593" i="15" s="1"/>
  <c r="I331" i="7"/>
  <c r="J313" i="7" s="1"/>
  <c r="I75" i="7"/>
  <c r="J59" i="7" s="1"/>
  <c r="H4771" i="26"/>
  <c r="H4772" i="26" s="1"/>
  <c r="I4756" i="26" s="1"/>
  <c r="H265" i="25"/>
  <c r="H266" i="25" s="1"/>
  <c r="I250" i="25" s="1"/>
  <c r="H20" i="25"/>
  <c r="H21" i="25" s="1"/>
  <c r="I4" i="25" s="1"/>
  <c r="H5064" i="26"/>
  <c r="H5065" i="26" s="1"/>
  <c r="H4795" i="26"/>
  <c r="H4796" i="26" s="1"/>
  <c r="I4780" i="26" s="1"/>
  <c r="H4813" i="26"/>
  <c r="H4814" i="26" s="1"/>
  <c r="I4798" i="26" s="1"/>
  <c r="H55" i="26"/>
  <c r="I40" i="26" s="1"/>
  <c r="H61" i="21"/>
  <c r="I43" i="21" s="1"/>
  <c r="H131" i="20"/>
  <c r="H132" i="20" s="1"/>
  <c r="I115" i="20" s="1"/>
  <c r="H18" i="35"/>
  <c r="H19" i="35" s="1"/>
  <c r="I3" i="35" s="1"/>
  <c r="H116" i="17"/>
  <c r="H117" i="17" s="1"/>
  <c r="I101" i="17" s="1"/>
  <c r="H980" i="15"/>
  <c r="H981" i="15" s="1"/>
  <c r="I966" i="15" s="1"/>
  <c r="H805" i="15"/>
  <c r="H806" i="15" s="1"/>
  <c r="I788" i="15" s="1"/>
  <c r="I845" i="15"/>
  <c r="H2042" i="14"/>
  <c r="H2043" i="14" s="1"/>
  <c r="I2026" i="14" s="1"/>
  <c r="H2004" i="14"/>
  <c r="H2005" i="14" s="1"/>
  <c r="I1988" i="14" s="1"/>
  <c r="H2022" i="14"/>
  <c r="H2023" i="14" s="1"/>
  <c r="I2007" i="14" s="1"/>
  <c r="H1847" i="14"/>
  <c r="H1848" i="14" s="1"/>
  <c r="I1831" i="14" s="1"/>
  <c r="H1828" i="14"/>
  <c r="H1829" i="14" s="1"/>
  <c r="I1812" i="14" s="1"/>
  <c r="H1398" i="14"/>
  <c r="H1399" i="14" s="1"/>
  <c r="I1383" i="14" s="1"/>
  <c r="H694" i="11"/>
  <c r="I678" i="11" s="1"/>
  <c r="H1206" i="14"/>
  <c r="H1207" i="14" s="1"/>
  <c r="I1189" i="14" s="1"/>
  <c r="H556" i="14"/>
  <c r="H557" i="14" s="1"/>
  <c r="I539" i="14" s="1"/>
  <c r="I433" i="19"/>
  <c r="H333" i="19"/>
  <c r="H334" i="19" s="1"/>
  <c r="I316" i="19" s="1"/>
  <c r="H292" i="19"/>
  <c r="H293" i="19" s="1"/>
  <c r="I277" i="19" s="1"/>
  <c r="H371" i="10"/>
  <c r="H372" i="10" s="1"/>
  <c r="H313" i="10"/>
  <c r="H314" i="10" s="1"/>
  <c r="H213" i="10"/>
  <c r="H214" i="10" s="1"/>
  <c r="I196" i="10" s="1"/>
  <c r="I108" i="29"/>
  <c r="I109" i="29" s="1"/>
  <c r="J93" i="29" s="1"/>
  <c r="I150" i="29"/>
  <c r="I151" i="29" s="1"/>
  <c r="J132" i="29" s="1"/>
  <c r="I129" i="29"/>
  <c r="I130" i="29" s="1"/>
  <c r="J112" i="29" s="1"/>
  <c r="I18" i="29"/>
  <c r="J3" i="29" s="1"/>
  <c r="H712" i="11"/>
  <c r="I696" i="11" s="1"/>
  <c r="I96" i="9"/>
  <c r="J79" i="9" s="1"/>
  <c r="I73" i="29"/>
  <c r="J57" i="29" s="1"/>
  <c r="H1064" i="8"/>
  <c r="I1041" i="8" s="1"/>
  <c r="I268" i="31"/>
  <c r="I269" i="31" s="1"/>
  <c r="J252" i="31" s="1"/>
  <c r="I98" i="30"/>
  <c r="I99" i="30" s="1"/>
  <c r="J82" i="30" s="1"/>
  <c r="H1089" i="8"/>
  <c r="H1090" i="8" s="1"/>
  <c r="I1066" i="8" s="1"/>
  <c r="H177" i="8"/>
  <c r="H607" i="8"/>
  <c r="I589" i="8" s="1"/>
  <c r="H138" i="8"/>
  <c r="H139" i="8" s="1"/>
  <c r="I121" i="8" s="1"/>
  <c r="I18" i="5"/>
  <c r="I19" i="5" s="1"/>
  <c r="J4" i="5" s="1"/>
  <c r="I35" i="29"/>
  <c r="I36" i="29" s="1"/>
  <c r="J20" i="29" s="1"/>
  <c r="I54" i="29"/>
  <c r="J39" i="29" s="1"/>
  <c r="J560" i="3"/>
  <c r="I213" i="4"/>
  <c r="I214" i="4" s="1"/>
  <c r="J200" i="4" s="1"/>
  <c r="J113" i="4"/>
  <c r="J404" i="2"/>
  <c r="J113" i="2"/>
  <c r="J449" i="2"/>
  <c r="J578" i="2"/>
  <c r="J579" i="2" s="1"/>
  <c r="J183" i="2"/>
  <c r="J184" i="2" s="1"/>
  <c r="J266" i="2"/>
  <c r="J267" i="2" s="1"/>
  <c r="J268" i="2" s="1"/>
  <c r="J243" i="2"/>
  <c r="K188" i="2"/>
  <c r="K139" i="2"/>
  <c r="I180" i="16"/>
  <c r="H1247" i="14"/>
  <c r="I1229" i="14" s="1"/>
  <c r="K78" i="2"/>
  <c r="I113" i="15"/>
  <c r="I1851" i="14"/>
  <c r="H413" i="19"/>
  <c r="H163" i="19"/>
  <c r="I146" i="19" s="1"/>
  <c r="I1329" i="14"/>
  <c r="I783" i="14"/>
  <c r="H178" i="16"/>
  <c r="I162" i="16" s="1"/>
  <c r="H480" i="15"/>
  <c r="I463" i="15" s="1"/>
  <c r="I336" i="19"/>
  <c r="I1093" i="8"/>
  <c r="I311" i="21"/>
  <c r="I702" i="14"/>
  <c r="H71" i="26"/>
  <c r="H72" i="26" s="1"/>
  <c r="I57" i="26" s="1"/>
  <c r="I57" i="17"/>
  <c r="I255" i="21"/>
  <c r="I138" i="21"/>
  <c r="I188" i="13"/>
  <c r="I965" i="14"/>
  <c r="H950" i="11"/>
  <c r="I934" i="11" s="1"/>
  <c r="J272" i="7"/>
  <c r="I185" i="15"/>
  <c r="D95" i="26"/>
  <c r="I398" i="8"/>
  <c r="I450" i="10"/>
  <c r="I157" i="21"/>
  <c r="I296" i="15"/>
  <c r="I5" i="20"/>
  <c r="H22" i="10"/>
  <c r="I5" i="10" s="1"/>
  <c r="F296" i="25"/>
  <c r="H296" i="25" s="1"/>
  <c r="H279" i="25"/>
  <c r="H282" i="25" s="1"/>
  <c r="H283" i="25" s="1"/>
  <c r="H313" i="25"/>
  <c r="F331" i="25"/>
  <c r="D308" i="25"/>
  <c r="D113" i="23"/>
  <c r="G113" i="23" s="1"/>
  <c r="I293" i="21"/>
  <c r="I195" i="21"/>
  <c r="I214" i="21"/>
  <c r="I236" i="16"/>
  <c r="H219" i="19"/>
  <c r="I203" i="19" s="1"/>
  <c r="I277" i="8"/>
  <c r="I175" i="21"/>
  <c r="H93" i="19"/>
  <c r="I72" i="19" s="1"/>
  <c r="I119" i="21"/>
  <c r="I100" i="21"/>
  <c r="H55" i="16"/>
  <c r="I39" i="16" s="1"/>
  <c r="H1063" i="14"/>
  <c r="I1045" i="14" s="1"/>
  <c r="I356" i="19"/>
  <c r="I57" i="16"/>
  <c r="I93" i="16"/>
  <c r="I243" i="13"/>
  <c r="I22" i="17"/>
  <c r="I549" i="8"/>
  <c r="I167" i="15"/>
  <c r="I722" i="14"/>
  <c r="I198" i="16"/>
  <c r="K581" i="2"/>
  <c r="I21" i="16"/>
  <c r="H95" i="20"/>
  <c r="I377" i="8"/>
  <c r="I78" i="17"/>
  <c r="I751" i="11"/>
  <c r="H895" i="11"/>
  <c r="I878" i="11" s="1"/>
  <c r="J451" i="7"/>
  <c r="I166" i="19"/>
  <c r="I261" i="11"/>
  <c r="I239" i="19"/>
  <c r="H274" i="19"/>
  <c r="H275" i="19" s="1"/>
  <c r="I258" i="19" s="1"/>
  <c r="H441" i="15"/>
  <c r="H442" i="15" s="1"/>
  <c r="I425" i="15" s="1"/>
  <c r="I501" i="15"/>
  <c r="H1435" i="14"/>
  <c r="I1419" i="14" s="1"/>
  <c r="I369" i="15"/>
  <c r="I203" i="15"/>
  <c r="H91" i="15"/>
  <c r="H92" i="15" s="1"/>
  <c r="I75" i="15" s="1"/>
  <c r="I377" i="19"/>
  <c r="H240" i="15"/>
  <c r="H241" i="15" s="1"/>
  <c r="I223" i="15" s="1"/>
  <c r="H19" i="17"/>
  <c r="I131" i="15"/>
  <c r="I842" i="11"/>
  <c r="H470" i="19"/>
  <c r="I450" i="19" s="1"/>
  <c r="H536" i="15"/>
  <c r="I520" i="15" s="1"/>
  <c r="I529" i="8"/>
  <c r="I489" i="10"/>
  <c r="I218" i="16"/>
  <c r="H460" i="15"/>
  <c r="H199" i="19"/>
  <c r="H200" i="19" s="1"/>
  <c r="I184" i="19" s="1"/>
  <c r="H498" i="15"/>
  <c r="H499" i="15" s="1"/>
  <c r="I482" i="15" s="1"/>
  <c r="I153" i="11"/>
  <c r="H236" i="19"/>
  <c r="H237" i="19" s="1"/>
  <c r="I221" i="19" s="1"/>
  <c r="F612" i="22"/>
  <c r="H595" i="22"/>
  <c r="H596" i="22" s="1"/>
  <c r="D111" i="22"/>
  <c r="H418" i="22"/>
  <c r="H421" i="22" s="1"/>
  <c r="H427" i="22" s="1"/>
  <c r="D435" i="22"/>
  <c r="H411" i="22"/>
  <c r="H412" i="22" s="1"/>
  <c r="I397" i="22" s="1"/>
  <c r="H70" i="19"/>
  <c r="I49" i="19" s="1"/>
  <c r="I128" i="16"/>
  <c r="I145" i="16"/>
  <c r="I111" i="16"/>
  <c r="I405" i="11"/>
  <c r="H799" i="8"/>
  <c r="I780" i="8" s="1"/>
  <c r="H274" i="10"/>
  <c r="I256" i="10" s="1"/>
  <c r="H98" i="10"/>
  <c r="I81" i="10" s="1"/>
  <c r="J151" i="7"/>
  <c r="J155" i="9"/>
  <c r="J419" i="7"/>
  <c r="I243" i="11"/>
  <c r="I432" i="10"/>
  <c r="H1083" i="14"/>
  <c r="I1065" i="14" s="1"/>
  <c r="H277" i="13"/>
  <c r="I261" i="13" s="1"/>
  <c r="J551" i="7"/>
  <c r="J22" i="7"/>
  <c r="I569" i="8"/>
  <c r="I1347" i="14"/>
  <c r="I77" i="13"/>
  <c r="H476" i="14"/>
  <c r="I458" i="14" s="1"/>
  <c r="I640" i="11"/>
  <c r="I441" i="8"/>
  <c r="I803" i="14"/>
  <c r="I96" i="13"/>
  <c r="H196" i="14"/>
  <c r="I178" i="14" s="1"/>
  <c r="H165" i="15"/>
  <c r="I149" i="15" s="1"/>
  <c r="I44" i="8"/>
  <c r="I1534" i="14"/>
  <c r="I682" i="14"/>
  <c r="H1964" i="14"/>
  <c r="I1946" i="14" s="1"/>
  <c r="I662" i="14"/>
  <c r="H1144" i="14"/>
  <c r="H1145" i="14" s="1"/>
  <c r="I1127" i="14" s="1"/>
  <c r="I923" i="14"/>
  <c r="I1401" i="14"/>
  <c r="I1771" i="14"/>
  <c r="J77" i="7"/>
  <c r="H986" i="11"/>
  <c r="I970" i="11" s="1"/>
  <c r="I279" i="11"/>
  <c r="I1554" i="14"/>
  <c r="H1984" i="14"/>
  <c r="H1985" i="14" s="1"/>
  <c r="I1966" i="14" s="1"/>
  <c r="I883" i="14"/>
  <c r="J98" i="9"/>
  <c r="I985" i="14"/>
  <c r="I1869" i="14"/>
  <c r="I418" i="14"/>
  <c r="I397" i="14"/>
  <c r="H960" i="14"/>
  <c r="H961" i="14" s="1"/>
  <c r="I943" i="14" s="1"/>
  <c r="H1380" i="14"/>
  <c r="H1381" i="14" s="1"/>
  <c r="I1365" i="14" s="1"/>
  <c r="I236" i="10"/>
  <c r="H1266" i="14"/>
  <c r="H1267" i="14" s="1"/>
  <c r="I1249" i="14" s="1"/>
  <c r="I319" i="14"/>
  <c r="I498" i="14"/>
  <c r="I377" i="14"/>
  <c r="I1087" i="14"/>
  <c r="H91" i="12"/>
  <c r="H92" i="12" s="1"/>
  <c r="I76" i="12" s="1"/>
  <c r="I1574" i="14"/>
  <c r="I742" i="14"/>
  <c r="H1022" i="14"/>
  <c r="H1023" i="14" s="1"/>
  <c r="I1005" i="14" s="1"/>
  <c r="I1654" i="14"/>
  <c r="J517" i="7"/>
  <c r="H1309" i="14"/>
  <c r="I1291" i="14" s="1"/>
  <c r="I1792" i="14"/>
  <c r="H1226" i="14"/>
  <c r="H1227" i="14" s="1"/>
  <c r="I1209" i="14" s="1"/>
  <c r="I359" i="14"/>
  <c r="I1616" i="14"/>
  <c r="H1924" i="14"/>
  <c r="I1908" i="14" s="1"/>
  <c r="I1107" i="14"/>
  <c r="I1635" i="14"/>
  <c r="I823" i="14"/>
  <c r="H496" i="14"/>
  <c r="I478" i="14" s="1"/>
  <c r="I518" i="14"/>
  <c r="I1471" i="14"/>
  <c r="H111" i="15"/>
  <c r="I94" i="15" s="1"/>
  <c r="I260" i="15"/>
  <c r="H109" i="12"/>
  <c r="H110" i="12" s="1"/>
  <c r="I94" i="12" s="1"/>
  <c r="J211" i="7"/>
  <c r="H921" i="14"/>
  <c r="I903" i="14" s="1"/>
  <c r="I843" i="14"/>
  <c r="I335" i="8"/>
  <c r="H630" i="8"/>
  <c r="I611" i="8" s="1"/>
  <c r="I1311" i="14"/>
  <c r="H456" i="14"/>
  <c r="I438" i="14" s="1"/>
  <c r="H1186" i="14"/>
  <c r="I1168" i="14" s="1"/>
  <c r="H1612" i="14"/>
  <c r="I1594" i="14" s="1"/>
  <c r="H780" i="14"/>
  <c r="I762" i="14" s="1"/>
  <c r="I863" i="14"/>
  <c r="I1751" i="14"/>
  <c r="H1043" i="14"/>
  <c r="I1025" i="14" s="1"/>
  <c r="H1749" i="14"/>
  <c r="I1731" i="14" s="1"/>
  <c r="H1906" i="14"/>
  <c r="I1889" i="14" s="1"/>
  <c r="J38" i="5"/>
  <c r="H215" i="12"/>
  <c r="H216" i="12" s="1"/>
  <c r="I200" i="12" s="1"/>
  <c r="I226" i="8"/>
  <c r="I56" i="13"/>
  <c r="I315" i="11"/>
  <c r="H756" i="8"/>
  <c r="H757" i="8" s="1"/>
  <c r="I738" i="8" s="1"/>
  <c r="J335" i="7"/>
  <c r="H402" i="11"/>
  <c r="I74" i="5"/>
  <c r="J57" i="5" s="1"/>
  <c r="J401" i="7"/>
  <c r="H672" i="8"/>
  <c r="H673" i="8" s="1"/>
  <c r="I654" i="8" s="1"/>
  <c r="I121" i="5"/>
  <c r="J106" i="5" s="1"/>
  <c r="H651" i="8"/>
  <c r="H652" i="8" s="1"/>
  <c r="I633" i="8" s="1"/>
  <c r="F24" i="54" l="1"/>
  <c r="G24" i="54" s="1"/>
  <c r="G29" i="54" s="1"/>
  <c r="G30" i="54" s="1"/>
  <c r="G31" i="54" s="1"/>
  <c r="G32" i="54" s="1"/>
  <c r="G67" i="54"/>
  <c r="F24" i="53"/>
  <c r="G24" i="53" s="1"/>
  <c r="G29" i="53" s="1"/>
  <c r="G30" i="53" s="1"/>
  <c r="G31" i="53" s="1"/>
  <c r="G32" i="53" s="1"/>
  <c r="G67" i="53"/>
  <c r="H213" i="53" s="1"/>
  <c r="H184" i="52"/>
  <c r="H196" i="52" s="1"/>
  <c r="E2395" i="27"/>
  <c r="I6368" i="26"/>
  <c r="E1538" i="27" s="1"/>
  <c r="I5042" i="26"/>
  <c r="E38" i="27"/>
  <c r="E732" i="27"/>
  <c r="E13" i="27"/>
  <c r="E729" i="27"/>
  <c r="E2323" i="27"/>
  <c r="E1058" i="27"/>
  <c r="E156" i="27"/>
  <c r="E2546" i="27"/>
  <c r="E305" i="27"/>
  <c r="E307" i="27"/>
  <c r="E158" i="27"/>
  <c r="E2322" i="27"/>
  <c r="E154" i="27"/>
  <c r="E289" i="27"/>
  <c r="E2548" i="27"/>
  <c r="E761" i="27"/>
  <c r="E2367" i="27"/>
  <c r="E2277" i="27"/>
  <c r="E264" i="27"/>
  <c r="E162" i="27"/>
  <c r="E2324" i="27"/>
  <c r="E2366" i="27"/>
  <c r="E2442" i="27"/>
  <c r="E295" i="27"/>
  <c r="E2368" i="27"/>
  <c r="E282" i="27"/>
  <c r="E2365" i="27"/>
  <c r="E198" i="27"/>
  <c r="E1783" i="27"/>
  <c r="E2325" i="27"/>
  <c r="E116" i="27"/>
  <c r="E17" i="27"/>
  <c r="E775" i="27"/>
  <c r="E2327" i="27"/>
  <c r="E2369" i="27"/>
  <c r="E86" i="27"/>
  <c r="E314" i="27"/>
  <c r="E2358" i="27"/>
  <c r="E30" i="27"/>
  <c r="E2568" i="27"/>
  <c r="E2543" i="27"/>
  <c r="E739" i="27"/>
  <c r="E479" i="27"/>
  <c r="E766" i="27"/>
  <c r="E1824" i="27"/>
  <c r="E2326" i="27"/>
  <c r="E83" i="27"/>
  <c r="E845" i="27"/>
  <c r="E164" i="27"/>
  <c r="E559" i="27"/>
  <c r="E784" i="27"/>
  <c r="E2328" i="27"/>
  <c r="E2515" i="27"/>
  <c r="I683" i="7"/>
  <c r="J666" i="7" s="1"/>
  <c r="E311" i="27"/>
  <c r="E317" i="27"/>
  <c r="E271" i="27"/>
  <c r="E315" i="27"/>
  <c r="E2318" i="27"/>
  <c r="E155" i="27"/>
  <c r="E19" i="27"/>
  <c r="E275" i="27"/>
  <c r="E293" i="27"/>
  <c r="E335" i="27"/>
  <c r="E593" i="27"/>
  <c r="E1838" i="27"/>
  <c r="E2355" i="27"/>
  <c r="E2542" i="27"/>
  <c r="E331" i="27"/>
  <c r="E312" i="27"/>
  <c r="E313" i="27"/>
  <c r="E356" i="27"/>
  <c r="E1837" i="27"/>
  <c r="E2356" i="27"/>
  <c r="E2544" i="27"/>
  <c r="E2569" i="27"/>
  <c r="E316" i="27"/>
  <c r="E310" i="27"/>
  <c r="E44" i="27"/>
  <c r="E2357" i="27"/>
  <c r="E2545" i="27"/>
  <c r="E2565" i="27"/>
  <c r="E309" i="27"/>
  <c r="E2359" i="27"/>
  <c r="E2202" i="27"/>
  <c r="E2547" i="27"/>
  <c r="E304" i="27"/>
  <c r="E286" i="27"/>
  <c r="E278" i="27"/>
  <c r="E153" i="27"/>
  <c r="E287" i="27"/>
  <c r="E1716" i="27"/>
  <c r="E11" i="27"/>
  <c r="E1729" i="27"/>
  <c r="E308" i="27"/>
  <c r="E2588" i="27"/>
  <c r="E165" i="27"/>
  <c r="E267" i="27"/>
  <c r="E130" i="27"/>
  <c r="E159" i="27"/>
  <c r="E266" i="27"/>
  <c r="E2320" i="27"/>
  <c r="E2362" i="27"/>
  <c r="E2566" i="27"/>
  <c r="E306" i="27"/>
  <c r="E843" i="27"/>
  <c r="E2360" i="27"/>
  <c r="E123" i="27"/>
  <c r="E2319" i="27"/>
  <c r="E2361" i="27"/>
  <c r="E2567" i="27"/>
  <c r="E99" i="27"/>
  <c r="E160" i="27"/>
  <c r="E681" i="27"/>
  <c r="E280" i="27"/>
  <c r="E2321" i="27"/>
  <c r="E2363" i="27"/>
  <c r="E2570" i="27"/>
  <c r="E705" i="27"/>
  <c r="E168" i="27"/>
  <c r="E2364" i="27"/>
  <c r="H156" i="42"/>
  <c r="H159" i="42" s="1"/>
  <c r="H160" i="42" s="1"/>
  <c r="H161" i="42" s="1"/>
  <c r="I146" i="42" s="1"/>
  <c r="G1786" i="27"/>
  <c r="F1786" i="27"/>
  <c r="G1733" i="27"/>
  <c r="F1733" i="27"/>
  <c r="G1827" i="27"/>
  <c r="E1827" i="27"/>
  <c r="F1828" i="27"/>
  <c r="F1829" i="27"/>
  <c r="G1830" i="27"/>
  <c r="G1829" i="27"/>
  <c r="F1827" i="27"/>
  <c r="G1828" i="27"/>
  <c r="E1829" i="27"/>
  <c r="F1830" i="27"/>
  <c r="G1159" i="27"/>
  <c r="F1159" i="27"/>
  <c r="E921" i="27"/>
  <c r="E923" i="27"/>
  <c r="H4691" i="43"/>
  <c r="R4672" i="43" s="1"/>
  <c r="G111" i="22"/>
  <c r="H111" i="22" s="1"/>
  <c r="H114" i="22" s="1"/>
  <c r="H120" i="22" s="1"/>
  <c r="G308" i="25"/>
  <c r="H308" i="25" s="1"/>
  <c r="H311" i="25" s="1"/>
  <c r="G95" i="23"/>
  <c r="H95" i="23" s="1"/>
  <c r="H98" i="23" s="1"/>
  <c r="H104" i="23" s="1"/>
  <c r="H105" i="23" s="1"/>
  <c r="H106" i="23" s="1"/>
  <c r="I91" i="23" s="1"/>
  <c r="G95" i="26"/>
  <c r="H95" i="26" s="1"/>
  <c r="H98" i="26" s="1"/>
  <c r="H104" i="26" s="1"/>
  <c r="H105" i="26" s="1"/>
  <c r="E1155" i="27"/>
  <c r="E1156" i="27"/>
  <c r="E796" i="27"/>
  <c r="E795" i="27"/>
  <c r="E791" i="27"/>
  <c r="E790" i="27"/>
  <c r="E794" i="27"/>
  <c r="E787" i="27"/>
  <c r="E788" i="27"/>
  <c r="E802" i="27"/>
  <c r="E793" i="27"/>
  <c r="E798" i="27"/>
  <c r="E803" i="27"/>
  <c r="E747" i="27"/>
  <c r="E749" i="27"/>
  <c r="E748" i="27"/>
  <c r="E753" i="27"/>
  <c r="E760" i="27"/>
  <c r="E742" i="27"/>
  <c r="E752" i="27"/>
  <c r="E757" i="27"/>
  <c r="E746" i="27"/>
  <c r="E744" i="27"/>
  <c r="E743" i="27"/>
  <c r="E754" i="27"/>
  <c r="E769" i="27"/>
  <c r="E759" i="27"/>
  <c r="E750" i="27"/>
  <c r="E751" i="27"/>
  <c r="E465" i="27"/>
  <c r="E527" i="27"/>
  <c r="E673" i="27"/>
  <c r="E663" i="27"/>
  <c r="E620" i="27"/>
  <c r="E664" i="27"/>
  <c r="E611" i="27"/>
  <c r="E605" i="27"/>
  <c r="E654" i="27"/>
  <c r="E629" i="27"/>
  <c r="E588" i="27"/>
  <c r="E637" i="27"/>
  <c r="E610" i="27"/>
  <c r="E613" i="27"/>
  <c r="E521" i="27"/>
  <c r="E698" i="27"/>
  <c r="E689" i="27"/>
  <c r="E646" i="27"/>
  <c r="E592" i="27"/>
  <c r="E590" i="27"/>
  <c r="E609" i="27"/>
  <c r="E657" i="27"/>
  <c r="E625" i="27"/>
  <c r="E674" i="27"/>
  <c r="E656" i="27"/>
  <c r="E583" i="27"/>
  <c r="E631" i="27"/>
  <c r="E667" i="27"/>
  <c r="E636" i="27"/>
  <c r="E658" i="27"/>
  <c r="E619" i="27"/>
  <c r="E604" i="27"/>
  <c r="E653" i="27"/>
  <c r="E520" i="27"/>
  <c r="E624" i="27"/>
  <c r="E584" i="27"/>
  <c r="E591" i="27"/>
  <c r="E581" i="27"/>
  <c r="E633" i="27"/>
  <c r="E496" i="27"/>
  <c r="E640" i="27"/>
  <c r="E615" i="27"/>
  <c r="E585" i="27"/>
  <c r="E587" i="27"/>
  <c r="E672" i="27"/>
  <c r="E618" i="27"/>
  <c r="E612" i="27"/>
  <c r="E677" i="27"/>
  <c r="E652" i="27"/>
  <c r="E454" i="27"/>
  <c r="E665" i="27"/>
  <c r="E642" i="27"/>
  <c r="E614" i="27"/>
  <c r="E626" i="27"/>
  <c r="E600" i="27"/>
  <c r="E676" i="27"/>
  <c r="E601" i="27"/>
  <c r="E651" i="27"/>
  <c r="E692" i="27"/>
  <c r="E573" i="27"/>
  <c r="E468" i="27"/>
  <c r="E608" i="27"/>
  <c r="E433" i="27"/>
  <c r="E589" i="27"/>
  <c r="E467" i="27"/>
  <c r="E639" i="27"/>
  <c r="E622" i="27"/>
  <c r="E508" i="27"/>
  <c r="E487" i="27"/>
  <c r="E497" i="27"/>
  <c r="E419" i="27"/>
  <c r="E536" i="27"/>
  <c r="E547" i="27"/>
  <c r="E711" i="27"/>
  <c r="E544" i="27"/>
  <c r="E512" i="27"/>
  <c r="E713" i="27"/>
  <c r="E560" i="27"/>
  <c r="E446" i="27"/>
  <c r="E691" i="27"/>
  <c r="E696" i="27"/>
  <c r="E555" i="27"/>
  <c r="E688" i="27"/>
  <c r="E695" i="27"/>
  <c r="E643" i="27"/>
  <c r="E712" i="27"/>
  <c r="E708" i="27"/>
  <c r="E549" i="27"/>
  <c r="E548" i="27"/>
  <c r="E543" i="27"/>
  <c r="E449" i="27"/>
  <c r="E440" i="27"/>
  <c r="E603" i="27"/>
  <c r="E693" i="27"/>
  <c r="E478" i="27"/>
  <c r="E554" i="27"/>
  <c r="E621" i="27"/>
  <c r="E537" i="27"/>
  <c r="E546" i="27"/>
  <c r="E483" i="27"/>
  <c r="E700" i="27"/>
  <c r="E509" i="27"/>
  <c r="E694" i="27"/>
  <c r="E452" i="27"/>
  <c r="E617" i="27"/>
  <c r="E474" i="27"/>
  <c r="E602" i="27"/>
  <c r="E553" i="27"/>
  <c r="E710" i="27"/>
  <c r="E607" i="27"/>
  <c r="E638" i="27"/>
  <c r="E541" i="27"/>
  <c r="I397" i="19"/>
  <c r="E671" i="27"/>
  <c r="E690" i="27"/>
  <c r="E632" i="27"/>
  <c r="E436" i="27"/>
  <c r="E494" i="27"/>
  <c r="E550" i="27"/>
  <c r="E552" i="27"/>
  <c r="E630" i="27"/>
  <c r="E435" i="27"/>
  <c r="E641" i="27"/>
  <c r="E668" i="27"/>
  <c r="E669" i="27"/>
  <c r="E680" i="27"/>
  <c r="E679" i="27"/>
  <c r="E718" i="27"/>
  <c r="E563" i="27"/>
  <c r="E534" i="27"/>
  <c r="E410" i="27"/>
  <c r="E405" i="27"/>
  <c r="E411" i="27"/>
  <c r="E414" i="27"/>
  <c r="E412" i="27"/>
  <c r="E374" i="27"/>
  <c r="E373" i="27"/>
  <c r="E229" i="27"/>
  <c r="E230" i="27"/>
  <c r="E234" i="27"/>
  <c r="E204" i="27"/>
  <c r="E228" i="27"/>
  <c r="E201" i="27"/>
  <c r="E212" i="27"/>
  <c r="E184" i="27"/>
  <c r="E194" i="27"/>
  <c r="E217" i="27"/>
  <c r="E225" i="27"/>
  <c r="G242" i="21" s="1"/>
  <c r="H242" i="21" s="1"/>
  <c r="H248" i="21" s="1"/>
  <c r="H251" i="21" s="1"/>
  <c r="H252" i="21" s="1"/>
  <c r="H253" i="21" s="1"/>
  <c r="I233" i="21" s="1"/>
  <c r="E187" i="27"/>
  <c r="E236" i="27"/>
  <c r="E223" i="27"/>
  <c r="E214" i="27"/>
  <c r="E224" i="27"/>
  <c r="E208" i="27"/>
  <c r="E215" i="27"/>
  <c r="E259" i="27"/>
  <c r="E226" i="27"/>
  <c r="E257" i="27"/>
  <c r="E256" i="27"/>
  <c r="E183" i="27"/>
  <c r="E192" i="27"/>
  <c r="E233" i="27"/>
  <c r="E213" i="27"/>
  <c r="H666" i="2"/>
  <c r="J666" i="2" s="1"/>
  <c r="J646" i="2"/>
  <c r="H665" i="2"/>
  <c r="J665" i="2" s="1"/>
  <c r="J645" i="2"/>
  <c r="K560" i="2"/>
  <c r="K436" i="2"/>
  <c r="K391" i="2"/>
  <c r="K164" i="2"/>
  <c r="K98" i="2"/>
  <c r="I161" i="8"/>
  <c r="G134" i="42"/>
  <c r="H134" i="42" s="1"/>
  <c r="H139" i="42" s="1"/>
  <c r="H142" i="42" s="1"/>
  <c r="H143" i="42" s="1"/>
  <c r="H144" i="42" s="1"/>
  <c r="I128" i="42" s="1"/>
  <c r="G115" i="42"/>
  <c r="H115" i="42" s="1"/>
  <c r="H120" i="42" s="1"/>
  <c r="H123" i="42" s="1"/>
  <c r="H124" i="42" s="1"/>
  <c r="H125" i="42" s="1"/>
  <c r="I109" i="42" s="1"/>
  <c r="H4962" i="37"/>
  <c r="H4963" i="37" s="1"/>
  <c r="I4948" i="37" s="1"/>
  <c r="G435" i="22"/>
  <c r="H435" i="22" s="1"/>
  <c r="H438" i="22" s="1"/>
  <c r="H444" i="22" s="1"/>
  <c r="D452" i="22"/>
  <c r="G452" i="22" s="1"/>
  <c r="H452" i="22" s="1"/>
  <c r="H455" i="22" s="1"/>
  <c r="H461" i="22" s="1"/>
  <c r="H462" i="22" s="1"/>
  <c r="H463" i="22" s="1"/>
  <c r="I448" i="22" s="1"/>
  <c r="H104" i="22"/>
  <c r="H105" i="22" s="1"/>
  <c r="I90" i="22" s="1"/>
  <c r="I78" i="20"/>
  <c r="H20" i="17"/>
  <c r="I4" i="17" s="1"/>
  <c r="H461" i="15"/>
  <c r="I444" i="15" s="1"/>
  <c r="H1944" i="14"/>
  <c r="I1926" i="14" s="1"/>
  <c r="I355" i="10"/>
  <c r="I296" i="10"/>
  <c r="H403" i="11"/>
  <c r="I387" i="11" s="1"/>
  <c r="J244" i="2"/>
  <c r="K246" i="2"/>
  <c r="K115" i="2"/>
  <c r="K54" i="2"/>
  <c r="H89" i="26"/>
  <c r="I74" i="26" s="1"/>
  <c r="D112" i="26"/>
  <c r="D326" i="25"/>
  <c r="H331" i="25"/>
  <c r="F349" i="25"/>
  <c r="H284" i="25"/>
  <c r="I268" i="25" s="1"/>
  <c r="F314" i="25"/>
  <c r="H314" i="25" s="1"/>
  <c r="H315" i="25" s="1"/>
  <c r="H297" i="25"/>
  <c r="H300" i="25" s="1"/>
  <c r="H301" i="25" s="1"/>
  <c r="H89" i="23"/>
  <c r="I74" i="23" s="1"/>
  <c r="D131" i="23"/>
  <c r="H113" i="23"/>
  <c r="H116" i="23" s="1"/>
  <c r="H122" i="23" s="1"/>
  <c r="H123" i="23" s="1"/>
  <c r="D470" i="22"/>
  <c r="G470" i="22" s="1"/>
  <c r="H428" i="22"/>
  <c r="H429" i="22" s="1"/>
  <c r="I414" i="22" s="1"/>
  <c r="D128" i="22"/>
  <c r="F629" i="22"/>
  <c r="H629" i="22" s="1"/>
  <c r="H630" i="22" s="1"/>
  <c r="H612" i="22"/>
  <c r="H613" i="22" s="1"/>
  <c r="D33" i="53"/>
  <c r="D33" i="54"/>
  <c r="H81" i="54" l="1"/>
  <c r="H78" i="54"/>
  <c r="H220" i="54"/>
  <c r="H79" i="54"/>
  <c r="H69" i="54"/>
  <c r="H76" i="54"/>
  <c r="H80" i="54"/>
  <c r="H195" i="54"/>
  <c r="H132" i="54"/>
  <c r="H77" i="54"/>
  <c r="H188" i="54"/>
  <c r="H75" i="54"/>
  <c r="H130" i="54"/>
  <c r="H129" i="54"/>
  <c r="H180" i="54"/>
  <c r="H124" i="54"/>
  <c r="H191" i="54"/>
  <c r="H106" i="54"/>
  <c r="H203" i="54"/>
  <c r="H193" i="54"/>
  <c r="H211" i="54"/>
  <c r="H87" i="54"/>
  <c r="H209" i="54"/>
  <c r="H190" i="54"/>
  <c r="H153" i="54"/>
  <c r="H201" i="54"/>
  <c r="H154" i="54"/>
  <c r="H162" i="54"/>
  <c r="H212" i="54"/>
  <c r="H155" i="54"/>
  <c r="H168" i="54"/>
  <c r="H179" i="54"/>
  <c r="H178" i="54"/>
  <c r="H183" i="54"/>
  <c r="H146" i="54"/>
  <c r="H141" i="54"/>
  <c r="H147" i="54"/>
  <c r="H175" i="54"/>
  <c r="H160" i="54"/>
  <c r="H210" i="54"/>
  <c r="H94" i="54"/>
  <c r="H218" i="54"/>
  <c r="H174" i="54"/>
  <c r="H213" i="54"/>
  <c r="H137" i="54"/>
  <c r="H89" i="54"/>
  <c r="H88" i="54"/>
  <c r="H86" i="54"/>
  <c r="H198" i="54"/>
  <c r="H100" i="54"/>
  <c r="H167" i="54"/>
  <c r="H70" i="54"/>
  <c r="H161" i="54"/>
  <c r="H199" i="54"/>
  <c r="H107" i="54"/>
  <c r="H140" i="54"/>
  <c r="H113" i="54"/>
  <c r="H121" i="54"/>
  <c r="H208" i="54"/>
  <c r="H200" i="54"/>
  <c r="H196" i="54"/>
  <c r="H182" i="54"/>
  <c r="H197" i="54"/>
  <c r="H112" i="54"/>
  <c r="H115" i="54"/>
  <c r="H194" i="54"/>
  <c r="H189" i="54"/>
  <c r="H139" i="54"/>
  <c r="H138" i="54"/>
  <c r="H118" i="54"/>
  <c r="H103" i="54"/>
  <c r="H125" i="54"/>
  <c r="H119" i="54"/>
  <c r="H101" i="54"/>
  <c r="H176" i="54"/>
  <c r="H181" i="54"/>
  <c r="H202" i="54"/>
  <c r="H219" i="54"/>
  <c r="H102" i="54"/>
  <c r="H177" i="54"/>
  <c r="H126" i="54"/>
  <c r="H114" i="54"/>
  <c r="H120" i="54"/>
  <c r="H192" i="54"/>
  <c r="H131" i="54"/>
  <c r="H108" i="54"/>
  <c r="H148" i="54"/>
  <c r="H173" i="54"/>
  <c r="H81" i="53"/>
  <c r="H79" i="53"/>
  <c r="H78" i="53"/>
  <c r="H221" i="53"/>
  <c r="H69" i="53"/>
  <c r="H188" i="53"/>
  <c r="H80" i="53"/>
  <c r="H132" i="53"/>
  <c r="H77" i="53"/>
  <c r="H76" i="53"/>
  <c r="H75" i="53"/>
  <c r="H195" i="53"/>
  <c r="H130" i="53"/>
  <c r="H129" i="53"/>
  <c r="H180" i="53"/>
  <c r="H203" i="53"/>
  <c r="H193" i="53"/>
  <c r="H191" i="53"/>
  <c r="H124" i="53"/>
  <c r="H106" i="53"/>
  <c r="H190" i="53"/>
  <c r="H212" i="53"/>
  <c r="H119" i="53"/>
  <c r="H113" i="53"/>
  <c r="H174" i="53"/>
  <c r="H219" i="53"/>
  <c r="H94" i="53"/>
  <c r="H168" i="53"/>
  <c r="H214" i="53"/>
  <c r="H141" i="53"/>
  <c r="H178" i="53"/>
  <c r="H154" i="53"/>
  <c r="H87" i="53"/>
  <c r="H147" i="53"/>
  <c r="H179" i="53"/>
  <c r="H182" i="53"/>
  <c r="H208" i="53"/>
  <c r="H101" i="53"/>
  <c r="H70" i="53"/>
  <c r="H155" i="53"/>
  <c r="H211" i="53"/>
  <c r="H89" i="53"/>
  <c r="H181" i="53"/>
  <c r="H175" i="53"/>
  <c r="H210" i="53"/>
  <c r="H201" i="53"/>
  <c r="H146" i="53"/>
  <c r="H160" i="53"/>
  <c r="H209" i="53"/>
  <c r="H162" i="53"/>
  <c r="H161" i="53"/>
  <c r="H196" i="53"/>
  <c r="H176" i="53"/>
  <c r="H88" i="53"/>
  <c r="H137" i="53"/>
  <c r="H139" i="53"/>
  <c r="H107" i="53"/>
  <c r="H112" i="53"/>
  <c r="H197" i="53"/>
  <c r="H138" i="53"/>
  <c r="H198" i="53"/>
  <c r="H86" i="53"/>
  <c r="H121" i="53"/>
  <c r="H125" i="53"/>
  <c r="H194" i="53"/>
  <c r="H103" i="53"/>
  <c r="H189" i="53"/>
  <c r="H100" i="53"/>
  <c r="H140" i="53"/>
  <c r="H167" i="53"/>
  <c r="H118" i="53"/>
  <c r="H220" i="53"/>
  <c r="H199" i="53"/>
  <c r="H183" i="53"/>
  <c r="H153" i="53"/>
  <c r="H200" i="53"/>
  <c r="H115" i="53"/>
  <c r="H108" i="53"/>
  <c r="H131" i="53"/>
  <c r="H177" i="53"/>
  <c r="H126" i="53"/>
  <c r="H102" i="53"/>
  <c r="H120" i="53"/>
  <c r="H114" i="53"/>
  <c r="H192" i="53"/>
  <c r="H202" i="53"/>
  <c r="H148" i="53"/>
  <c r="H173" i="53"/>
  <c r="G26" i="52"/>
  <c r="H26" i="52" s="1"/>
  <c r="H78" i="52"/>
  <c r="E303" i="27"/>
  <c r="E797" i="27"/>
  <c r="E1784" i="27"/>
  <c r="E1826" i="27"/>
  <c r="E557" i="27"/>
  <c r="E2152" i="27"/>
  <c r="E988" i="27"/>
  <c r="E1730" i="27"/>
  <c r="E31" i="27"/>
  <c r="E18" i="27"/>
  <c r="E34" i="27"/>
  <c r="E21" i="27"/>
  <c r="E14" i="27"/>
  <c r="E1825" i="27"/>
  <c r="E43" i="27"/>
  <c r="E12" i="27"/>
  <c r="E15" i="27"/>
  <c r="G190" i="42"/>
  <c r="H190" i="42" s="1"/>
  <c r="E2592" i="27"/>
  <c r="G191" i="42"/>
  <c r="H191" i="42" s="1"/>
  <c r="E2593" i="27"/>
  <c r="G192" i="42"/>
  <c r="H192" i="42" s="1"/>
  <c r="E2594" i="27"/>
  <c r="G1787" i="27"/>
  <c r="F1787" i="27"/>
  <c r="G1831" i="27"/>
  <c r="F1831" i="27"/>
  <c r="G1734" i="27"/>
  <c r="F1734" i="27"/>
  <c r="G131" i="23"/>
  <c r="H131" i="23" s="1"/>
  <c r="H134" i="23" s="1"/>
  <c r="H140" i="23" s="1"/>
  <c r="H141" i="23" s="1"/>
  <c r="G1160" i="27"/>
  <c r="F1160" i="27"/>
  <c r="G128" i="22"/>
  <c r="H128" i="22" s="1"/>
  <c r="H131" i="22" s="1"/>
  <c r="H137" i="22" s="1"/>
  <c r="G326" i="25"/>
  <c r="H326" i="25" s="1"/>
  <c r="H329" i="25" s="1"/>
  <c r="G112" i="26"/>
  <c r="H112" i="26" s="1"/>
  <c r="H115" i="26" s="1"/>
  <c r="H121" i="26" s="1"/>
  <c r="H122" i="26" s="1"/>
  <c r="E1157" i="27"/>
  <c r="E756" i="27"/>
  <c r="E773" i="27"/>
  <c r="E499" i="27"/>
  <c r="E503" i="27"/>
  <c r="E675" i="27"/>
  <c r="E709" i="27"/>
  <c r="E418" i="27"/>
  <c r="J669" i="2"/>
  <c r="J677" i="2" s="1"/>
  <c r="J678" i="2" s="1"/>
  <c r="J679" i="2" s="1"/>
  <c r="K661" i="2" s="1"/>
  <c r="J649" i="2"/>
  <c r="J657" i="2" s="1"/>
  <c r="J658" i="2" s="1"/>
  <c r="J659" i="2" s="1"/>
  <c r="K641" i="2" s="1"/>
  <c r="E200" i="27"/>
  <c r="H318" i="25"/>
  <c r="H319" i="25" s="1"/>
  <c r="K219" i="2"/>
  <c r="D129" i="26"/>
  <c r="H106" i="26"/>
  <c r="I91" i="26" s="1"/>
  <c r="H349" i="25"/>
  <c r="D344" i="25"/>
  <c r="H302" i="25"/>
  <c r="I286" i="25" s="1"/>
  <c r="F332" i="25"/>
  <c r="H332" i="25" s="1"/>
  <c r="H124" i="23"/>
  <c r="I109" i="23" s="1"/>
  <c r="D148" i="23"/>
  <c r="H121" i="22"/>
  <c r="H122" i="22" s="1"/>
  <c r="I107" i="22" s="1"/>
  <c r="D145" i="22"/>
  <c r="H445" i="22"/>
  <c r="H446" i="22" s="1"/>
  <c r="I431" i="22" s="1"/>
  <c r="D487" i="22"/>
  <c r="G487" i="22" s="1"/>
  <c r="H470" i="22"/>
  <c r="H473" i="22" s="1"/>
  <c r="H479" i="22" s="1"/>
  <c r="H44" i="52" l="1"/>
  <c r="H45" i="52" s="1"/>
  <c r="H46" i="52" s="1"/>
  <c r="O29" i="52"/>
  <c r="I234" i="52"/>
  <c r="I376" i="52"/>
  <c r="I256" i="52"/>
  <c r="I334" i="52"/>
  <c r="I375" i="52"/>
  <c r="I332" i="52"/>
  <c r="I306" i="52"/>
  <c r="I285" i="52"/>
  <c r="I327" i="52"/>
  <c r="I341" i="52"/>
  <c r="I330" i="52"/>
  <c r="I313" i="52"/>
  <c r="I342" i="52"/>
  <c r="I352" i="52"/>
  <c r="I240" i="52"/>
  <c r="I267" i="52"/>
  <c r="I347" i="52"/>
  <c r="I351" i="52"/>
  <c r="I242" i="52"/>
  <c r="I349" i="52"/>
  <c r="I314" i="52"/>
  <c r="I365" i="52"/>
  <c r="I355" i="52"/>
  <c r="I364" i="52"/>
  <c r="I277" i="52"/>
  <c r="I321" i="52"/>
  <c r="I336" i="52"/>
  <c r="I374" i="52"/>
  <c r="I333" i="52"/>
  <c r="I273" i="52"/>
  <c r="I308" i="52"/>
  <c r="I348" i="52"/>
  <c r="I299" i="52"/>
  <c r="I366" i="52"/>
  <c r="I284" i="52"/>
  <c r="I353" i="52"/>
  <c r="I300" i="52"/>
  <c r="I301" i="52"/>
  <c r="I320" i="52"/>
  <c r="I283" i="52"/>
  <c r="I368" i="52"/>
  <c r="I315" i="52"/>
  <c r="I279" i="52"/>
  <c r="I350" i="52"/>
  <c r="I328" i="52"/>
  <c r="I254" i="52"/>
  <c r="I307" i="52"/>
  <c r="I343" i="52"/>
  <c r="I255" i="52"/>
  <c r="I260" i="52"/>
  <c r="I363" i="52"/>
  <c r="I247" i="52"/>
  <c r="I265" i="52"/>
  <c r="I274" i="52"/>
  <c r="I271" i="52"/>
  <c r="I282" i="52"/>
  <c r="I268" i="52"/>
  <c r="I326" i="52"/>
  <c r="I278" i="52"/>
  <c r="I266" i="52"/>
  <c r="I367" i="52"/>
  <c r="I290" i="52"/>
  <c r="I253" i="52"/>
  <c r="I329" i="52"/>
  <c r="I294" i="52"/>
  <c r="I345" i="52"/>
  <c r="I239" i="52"/>
  <c r="I335" i="52"/>
  <c r="I259" i="52"/>
  <c r="I354" i="52"/>
  <c r="I331" i="52"/>
  <c r="I272" i="52"/>
  <c r="I373" i="52"/>
  <c r="I358" i="52"/>
  <c r="I241" i="52"/>
  <c r="I346" i="52"/>
  <c r="I291" i="52"/>
  <c r="I292" i="52"/>
  <c r="I261" i="52"/>
  <c r="I344" i="52"/>
  <c r="I293" i="52"/>
  <c r="H67" i="54"/>
  <c r="H67" i="53"/>
  <c r="I117" i="52"/>
  <c r="I118" i="52"/>
  <c r="I119" i="52"/>
  <c r="I140" i="52"/>
  <c r="I178" i="52"/>
  <c r="I129" i="52"/>
  <c r="I152" i="52"/>
  <c r="I187" i="52"/>
  <c r="I166" i="52"/>
  <c r="I212" i="52"/>
  <c r="I141" i="52"/>
  <c r="I137" i="52"/>
  <c r="I224" i="52"/>
  <c r="I86" i="52"/>
  <c r="I193" i="52"/>
  <c r="I105" i="52"/>
  <c r="I186" i="52"/>
  <c r="I142" i="52"/>
  <c r="I225" i="52"/>
  <c r="I203" i="52"/>
  <c r="I150" i="52"/>
  <c r="I211" i="52"/>
  <c r="I112" i="52"/>
  <c r="I210" i="52"/>
  <c r="I194" i="52"/>
  <c r="I165" i="52"/>
  <c r="I97" i="52"/>
  <c r="I205" i="52"/>
  <c r="I130" i="52"/>
  <c r="I213" i="52"/>
  <c r="I222" i="52"/>
  <c r="I125" i="52"/>
  <c r="I143" i="52"/>
  <c r="I91" i="52"/>
  <c r="I226" i="52"/>
  <c r="I132" i="52"/>
  <c r="I131" i="52"/>
  <c r="I92" i="52"/>
  <c r="I233" i="52"/>
  <c r="I207" i="52"/>
  <c r="I80" i="52"/>
  <c r="I202" i="52"/>
  <c r="I204" i="52"/>
  <c r="I200" i="52"/>
  <c r="I185" i="52"/>
  <c r="I89" i="52"/>
  <c r="I136" i="52"/>
  <c r="I126" i="52"/>
  <c r="I151" i="52"/>
  <c r="I135" i="52"/>
  <c r="I111" i="52"/>
  <c r="I201" i="52"/>
  <c r="I88" i="52"/>
  <c r="I209" i="52"/>
  <c r="I206" i="52"/>
  <c r="I124" i="52"/>
  <c r="I164" i="52"/>
  <c r="I199" i="52"/>
  <c r="I192" i="52"/>
  <c r="I171" i="52"/>
  <c r="I190" i="52"/>
  <c r="I99" i="52"/>
  <c r="I232" i="52"/>
  <c r="I216" i="52"/>
  <c r="I179" i="52"/>
  <c r="I149" i="52"/>
  <c r="I100" i="52"/>
  <c r="I231" i="52"/>
  <c r="I148" i="52"/>
  <c r="I81" i="52"/>
  <c r="I123" i="52"/>
  <c r="I113" i="52"/>
  <c r="I188" i="52"/>
  <c r="I157" i="52"/>
  <c r="I87" i="52"/>
  <c r="I98" i="52"/>
  <c r="I189" i="52"/>
  <c r="I223" i="52"/>
  <c r="I114" i="52"/>
  <c r="I173" i="52"/>
  <c r="I208" i="52"/>
  <c r="I90" i="52"/>
  <c r="I172" i="52"/>
  <c r="I221" i="52"/>
  <c r="I191" i="52"/>
  <c r="I158" i="52"/>
  <c r="I159" i="52"/>
  <c r="I184" i="52"/>
  <c r="E47" i="27"/>
  <c r="E48" i="27"/>
  <c r="E1785" i="27"/>
  <c r="E1731" i="27"/>
  <c r="E1828" i="27"/>
  <c r="E20" i="27"/>
  <c r="H193" i="42"/>
  <c r="H196" i="42" s="1"/>
  <c r="H197" i="42" s="1"/>
  <c r="H198" i="42" s="1"/>
  <c r="I185" i="42" s="1"/>
  <c r="G1788" i="27"/>
  <c r="F1788" i="27"/>
  <c r="F1832" i="27"/>
  <c r="G1832" i="27"/>
  <c r="G1776" i="27"/>
  <c r="G1735" i="27"/>
  <c r="F1735" i="27"/>
  <c r="G1736" i="27"/>
  <c r="F1736" i="27"/>
  <c r="G1737" i="27"/>
  <c r="F1737" i="27"/>
  <c r="G1748" i="27"/>
  <c r="F1748" i="27"/>
  <c r="G1747" i="27"/>
  <c r="F1747" i="27"/>
  <c r="G1746" i="27"/>
  <c r="F1746" i="27"/>
  <c r="G1745" i="27"/>
  <c r="F1745" i="27"/>
  <c r="G1744" i="27"/>
  <c r="F1744" i="27"/>
  <c r="G1743" i="27"/>
  <c r="F1743" i="27"/>
  <c r="G1742" i="27"/>
  <c r="F1742" i="27"/>
  <c r="G1741" i="27"/>
  <c r="F1741" i="27"/>
  <c r="G1740" i="27"/>
  <c r="F1740" i="27"/>
  <c r="G1739" i="27"/>
  <c r="F1739" i="27"/>
  <c r="G1738" i="27"/>
  <c r="F1738" i="27"/>
  <c r="G1758" i="27"/>
  <c r="F1758" i="27"/>
  <c r="G1757" i="27"/>
  <c r="F1757" i="27"/>
  <c r="G1756" i="27"/>
  <c r="F1756" i="27"/>
  <c r="G1755" i="27"/>
  <c r="F1755" i="27"/>
  <c r="G1754" i="27"/>
  <c r="F1754" i="27"/>
  <c r="G1753" i="27"/>
  <c r="F1753" i="27"/>
  <c r="G1752" i="27"/>
  <c r="F1752" i="27"/>
  <c r="G1751" i="27"/>
  <c r="F1751" i="27"/>
  <c r="G1750" i="27"/>
  <c r="F1750" i="27"/>
  <c r="G1749" i="27"/>
  <c r="F1749" i="27"/>
  <c r="G1759" i="27"/>
  <c r="F1759" i="27"/>
  <c r="G1760" i="27"/>
  <c r="F1760" i="27"/>
  <c r="G1764" i="27"/>
  <c r="F1764" i="27"/>
  <c r="G1763" i="27"/>
  <c r="F1763" i="27"/>
  <c r="G1762" i="27"/>
  <c r="F1762" i="27"/>
  <c r="G1761" i="27"/>
  <c r="F1761" i="27"/>
  <c r="G1765" i="27"/>
  <c r="F1765" i="27"/>
  <c r="G1766" i="27"/>
  <c r="F1766" i="27"/>
  <c r="G1767" i="27"/>
  <c r="F1767" i="27"/>
  <c r="G1769" i="27"/>
  <c r="F1769" i="27"/>
  <c r="G1768" i="27"/>
  <c r="F1768" i="27"/>
  <c r="G1770" i="27"/>
  <c r="F1770" i="27"/>
  <c r="G1771" i="27"/>
  <c r="F1771" i="27"/>
  <c r="G1773" i="27"/>
  <c r="F1773" i="27"/>
  <c r="G1772" i="27"/>
  <c r="F1772" i="27"/>
  <c r="G1774" i="27"/>
  <c r="F1774" i="27"/>
  <c r="G1775" i="27"/>
  <c r="F1775" i="27"/>
  <c r="G148" i="23"/>
  <c r="H148" i="23" s="1"/>
  <c r="H151" i="23" s="1"/>
  <c r="H157" i="23" s="1"/>
  <c r="H158" i="23" s="1"/>
  <c r="G1161" i="27"/>
  <c r="F1161" i="27"/>
  <c r="G145" i="22"/>
  <c r="H145" i="22" s="1"/>
  <c r="H148" i="22" s="1"/>
  <c r="H154" i="22" s="1"/>
  <c r="E1769" i="27"/>
  <c r="E1771" i="27"/>
  <c r="E1774" i="27"/>
  <c r="E1749" i="27"/>
  <c r="E1748" i="27"/>
  <c r="E1750" i="27"/>
  <c r="E1752" i="27"/>
  <c r="E1754" i="27"/>
  <c r="E1753" i="27"/>
  <c r="E1755" i="27"/>
  <c r="E1756" i="27"/>
  <c r="E1757" i="27"/>
  <c r="E1758" i="27"/>
  <c r="E1760" i="27"/>
  <c r="E1761" i="27"/>
  <c r="E1762" i="27"/>
  <c r="E1763" i="27"/>
  <c r="E1764" i="27"/>
  <c r="E1765" i="27"/>
  <c r="E1767" i="27"/>
  <c r="E1768" i="27"/>
  <c r="E1744" i="27"/>
  <c r="E1745" i="27"/>
  <c r="E1747" i="27"/>
  <c r="E1740" i="27"/>
  <c r="E1741" i="27"/>
  <c r="E1742" i="27"/>
  <c r="E1743" i="27"/>
  <c r="E1746" i="27"/>
  <c r="E1738" i="27"/>
  <c r="E1739" i="27"/>
  <c r="E1751" i="27"/>
  <c r="E1772" i="27"/>
  <c r="E1775" i="27"/>
  <c r="E1773" i="27"/>
  <c r="G344" i="25"/>
  <c r="H344" i="25" s="1"/>
  <c r="H347" i="25" s="1"/>
  <c r="G129" i="26"/>
  <c r="H129" i="26" s="1"/>
  <c r="H132" i="26" s="1"/>
  <c r="H138" i="26" s="1"/>
  <c r="H139" i="26" s="1"/>
  <c r="E1158" i="27"/>
  <c r="D146" i="26"/>
  <c r="H123" i="26"/>
  <c r="I108" i="26" s="1"/>
  <c r="H333" i="25"/>
  <c r="H336" i="25" s="1"/>
  <c r="H337" i="25" s="1"/>
  <c r="F350" i="25"/>
  <c r="H320" i="25"/>
  <c r="I304" i="25" s="1"/>
  <c r="H142" i="23"/>
  <c r="I127" i="23" s="1"/>
  <c r="D165" i="23"/>
  <c r="H487" i="22"/>
  <c r="H490" i="22" s="1"/>
  <c r="H496" i="22" s="1"/>
  <c r="D504" i="22"/>
  <c r="G504" i="22" s="1"/>
  <c r="H480" i="22"/>
  <c r="H481" i="22" s="1"/>
  <c r="I466" i="22" s="1"/>
  <c r="D162" i="22"/>
  <c r="H138" i="22"/>
  <c r="H139" i="22" s="1"/>
  <c r="I124" i="22" s="1"/>
  <c r="H47" i="52" l="1"/>
  <c r="O47" i="52" s="1"/>
  <c r="I78" i="52"/>
  <c r="E1732" i="27"/>
  <c r="E2597" i="27"/>
  <c r="E1786" i="27"/>
  <c r="E1830" i="27"/>
  <c r="G1789" i="27"/>
  <c r="F1789" i="27"/>
  <c r="G1836" i="27"/>
  <c r="F1836" i="27"/>
  <c r="F1833" i="27"/>
  <c r="G1834" i="27"/>
  <c r="G1835" i="27"/>
  <c r="F1835" i="27"/>
  <c r="G1833" i="27"/>
  <c r="E1833" i="27"/>
  <c r="F1834" i="27"/>
  <c r="E1835" i="27"/>
  <c r="E1834" i="27"/>
  <c r="G1162" i="27"/>
  <c r="F1162" i="27"/>
  <c r="G162" i="22"/>
  <c r="H162" i="22" s="1"/>
  <c r="H165" i="22" s="1"/>
  <c r="H171" i="22" s="1"/>
  <c r="H350" i="25"/>
  <c r="H351" i="25" s="1"/>
  <c r="H354" i="25" s="1"/>
  <c r="G146" i="26"/>
  <c r="H146" i="26" s="1"/>
  <c r="E1159" i="27"/>
  <c r="G165" i="23"/>
  <c r="H165" i="23" s="1"/>
  <c r="H168" i="23" s="1"/>
  <c r="H174" i="23" s="1"/>
  <c r="H175" i="23" s="1"/>
  <c r="H140" i="26"/>
  <c r="I125" i="26" s="1"/>
  <c r="D163" i="26"/>
  <c r="H338" i="25"/>
  <c r="I322" i="25" s="1"/>
  <c r="H159" i="23"/>
  <c r="I144" i="23" s="1"/>
  <c r="H155" i="22"/>
  <c r="H156" i="22" s="1"/>
  <c r="I141" i="22" s="1"/>
  <c r="H504" i="22"/>
  <c r="H507" i="22" s="1"/>
  <c r="H513" i="22" s="1"/>
  <c r="D521" i="22"/>
  <c r="G521" i="22" s="1"/>
  <c r="D179" i="22"/>
  <c r="H497" i="22"/>
  <c r="H498" i="22" s="1"/>
  <c r="I483" i="22" s="1"/>
  <c r="E48" i="52"/>
  <c r="E1831" i="27" l="1"/>
  <c r="E1733" i="27"/>
  <c r="E1787" i="27"/>
  <c r="G1790" i="27"/>
  <c r="F1790" i="27"/>
  <c r="G1163" i="27"/>
  <c r="F1163" i="27"/>
  <c r="G179" i="22"/>
  <c r="H179" i="22" s="1"/>
  <c r="H182" i="22" s="1"/>
  <c r="H188" i="22" s="1"/>
  <c r="G163" i="26"/>
  <c r="H163" i="26" s="1"/>
  <c r="E1160" i="27"/>
  <c r="H355" i="25"/>
  <c r="H356" i="25" s="1"/>
  <c r="I340" i="25" s="1"/>
  <c r="H149" i="26"/>
  <c r="H155" i="26" s="1"/>
  <c r="H156" i="26" s="1"/>
  <c r="H176" i="23"/>
  <c r="D180" i="26"/>
  <c r="H514" i="22"/>
  <c r="H515" i="22" s="1"/>
  <c r="I500" i="22" s="1"/>
  <c r="H172" i="22"/>
  <c r="H173" i="22" s="1"/>
  <c r="I158" i="22" s="1"/>
  <c r="D196" i="22"/>
  <c r="H521" i="22"/>
  <c r="H524" i="22" s="1"/>
  <c r="H530" i="22" s="1"/>
  <c r="D538" i="22"/>
  <c r="G538" i="22" s="1"/>
  <c r="I161" i="23" l="1"/>
  <c r="E1832" i="27" s="1"/>
  <c r="E1734" i="27"/>
  <c r="E1788" i="27"/>
  <c r="G1791" i="27"/>
  <c r="F1791" i="27"/>
  <c r="G1164" i="27"/>
  <c r="F1164" i="27"/>
  <c r="G196" i="22"/>
  <c r="H196" i="22" s="1"/>
  <c r="H199" i="22" s="1"/>
  <c r="H205" i="22" s="1"/>
  <c r="G180" i="26"/>
  <c r="H180" i="26" s="1"/>
  <c r="H166" i="26"/>
  <c r="H172" i="26" s="1"/>
  <c r="H157" i="26"/>
  <c r="I142" i="26" s="1"/>
  <c r="D197" i="26"/>
  <c r="D556" i="22"/>
  <c r="G556" i="22" s="1"/>
  <c r="H538" i="22"/>
  <c r="H541" i="22" s="1"/>
  <c r="H547" i="22" s="1"/>
  <c r="H531" i="22"/>
  <c r="H532" i="22" s="1"/>
  <c r="I517" i="22" s="1"/>
  <c r="H189" i="22"/>
  <c r="H190" i="22" s="1"/>
  <c r="I175" i="22" s="1"/>
  <c r="D213" i="22"/>
  <c r="E1789" i="27" l="1"/>
  <c r="G1792" i="27"/>
  <c r="F1792" i="27"/>
  <c r="G1165" i="27"/>
  <c r="F1165" i="27"/>
  <c r="G213" i="22"/>
  <c r="H213" i="22" s="1"/>
  <c r="H216" i="22" s="1"/>
  <c r="H222" i="22" s="1"/>
  <c r="G197" i="26"/>
  <c r="H197" i="26" s="1"/>
  <c r="H200" i="26" s="1"/>
  <c r="H206" i="26" s="1"/>
  <c r="E1161" i="27"/>
  <c r="H548" i="22"/>
  <c r="H549" i="22" s="1"/>
  <c r="I534" i="22" s="1"/>
  <c r="H183" i="26"/>
  <c r="H189" i="26" s="1"/>
  <c r="H190" i="26" s="1"/>
  <c r="H173" i="26"/>
  <c r="H174" i="26" s="1"/>
  <c r="I159" i="26" s="1"/>
  <c r="D214" i="26"/>
  <c r="D573" i="22"/>
  <c r="G573" i="22" s="1"/>
  <c r="H573" i="22" s="1"/>
  <c r="H576" i="22" s="1"/>
  <c r="H582" i="22" s="1"/>
  <c r="H556" i="22"/>
  <c r="H206" i="22"/>
  <c r="H207" i="22" s="1"/>
  <c r="I192" i="22" s="1"/>
  <c r="D230" i="22"/>
  <c r="E1790" i="27" l="1"/>
  <c r="G1793" i="27"/>
  <c r="F1793" i="27"/>
  <c r="G1166" i="27"/>
  <c r="F1166" i="27"/>
  <c r="D247" i="22"/>
  <c r="G214" i="26"/>
  <c r="H214" i="26" s="1"/>
  <c r="H217" i="26" s="1"/>
  <c r="H223" i="26" s="1"/>
  <c r="H224" i="26" s="1"/>
  <c r="E1162" i="27"/>
  <c r="G247" i="22"/>
  <c r="H247" i="22" s="1"/>
  <c r="H250" i="22" s="1"/>
  <c r="H256" i="22" s="1"/>
  <c r="H257" i="22" s="1"/>
  <c r="H258" i="22" s="1"/>
  <c r="I243" i="22" s="1"/>
  <c r="D298" i="22"/>
  <c r="H559" i="22"/>
  <c r="H565" i="22" s="1"/>
  <c r="H566" i="22" s="1"/>
  <c r="H567" i="22" s="1"/>
  <c r="I552" i="22" s="1"/>
  <c r="H583" i="22"/>
  <c r="H584" i="22" s="1"/>
  <c r="H191" i="26"/>
  <c r="I176" i="26" s="1"/>
  <c r="H207" i="26"/>
  <c r="H208" i="26" s="1"/>
  <c r="I193" i="26" s="1"/>
  <c r="G230" i="22"/>
  <c r="H230" i="22" s="1"/>
  <c r="H233" i="22" s="1"/>
  <c r="H239" i="22" s="1"/>
  <c r="H240" i="22" s="1"/>
  <c r="H241" i="22" s="1"/>
  <c r="I226" i="22" s="1"/>
  <c r="D231" i="26"/>
  <c r="H223" i="22"/>
  <c r="H224" i="22" s="1"/>
  <c r="I209" i="22" s="1"/>
  <c r="D590" i="22"/>
  <c r="G590" i="22" s="1"/>
  <c r="E1792" i="27" l="1"/>
  <c r="E1793" i="27"/>
  <c r="E1791" i="27"/>
  <c r="D264" i="22"/>
  <c r="G1794" i="27"/>
  <c r="F1794" i="27"/>
  <c r="G264" i="22"/>
  <c r="H264" i="22" s="1"/>
  <c r="H267" i="22" s="1"/>
  <c r="H273" i="22" s="1"/>
  <c r="H274" i="22" s="1"/>
  <c r="H275" i="22" s="1"/>
  <c r="I260" i="22" s="1"/>
  <c r="D281" i="22"/>
  <c r="E1800" i="27" s="1"/>
  <c r="G1167" i="27"/>
  <c r="F1167" i="27"/>
  <c r="G298" i="22"/>
  <c r="H298" i="22" s="1"/>
  <c r="H301" i="22" s="1"/>
  <c r="H307" i="22" s="1"/>
  <c r="H308" i="22" s="1"/>
  <c r="H309" i="22" s="1"/>
  <c r="I294" i="22" s="1"/>
  <c r="E1809" i="27"/>
  <c r="E1805" i="27"/>
  <c r="E1803" i="27"/>
  <c r="E1799" i="27"/>
  <c r="E1806" i="27"/>
  <c r="G231" i="26"/>
  <c r="H231" i="26" s="1"/>
  <c r="E1164" i="27"/>
  <c r="E1163" i="27"/>
  <c r="H225" i="26"/>
  <c r="I210" i="26" s="1"/>
  <c r="D248" i="26"/>
  <c r="H590" i="22"/>
  <c r="D607" i="22"/>
  <c r="G607" i="22" s="1"/>
  <c r="I569" i="22"/>
  <c r="E1812" i="27" l="1"/>
  <c r="E1807" i="27"/>
  <c r="E1811" i="27"/>
  <c r="E1810" i="27"/>
  <c r="E1808" i="27"/>
  <c r="E1804" i="27"/>
  <c r="F1795" i="27"/>
  <c r="E1802" i="27"/>
  <c r="G1795" i="27"/>
  <c r="E1801" i="27"/>
  <c r="E1813" i="27"/>
  <c r="E1815" i="27"/>
  <c r="G1796" i="27"/>
  <c r="F1796" i="27"/>
  <c r="E1797" i="27"/>
  <c r="G1797" i="27"/>
  <c r="F1797" i="27"/>
  <c r="G1798" i="27"/>
  <c r="F1798" i="27"/>
  <c r="G1818" i="27"/>
  <c r="F1818" i="27"/>
  <c r="G1817" i="27"/>
  <c r="F1817" i="27"/>
  <c r="G1816" i="27"/>
  <c r="F1816" i="27"/>
  <c r="G1815" i="27"/>
  <c r="F1815" i="27"/>
  <c r="G1814" i="27"/>
  <c r="F1814" i="27"/>
  <c r="G1813" i="27"/>
  <c r="F1813" i="27"/>
  <c r="G1812" i="27"/>
  <c r="F1812" i="27"/>
  <c r="G1811" i="27"/>
  <c r="F1811" i="27"/>
  <c r="G1810" i="27"/>
  <c r="F1810" i="27"/>
  <c r="G1809" i="27"/>
  <c r="F1809" i="27"/>
  <c r="G1808" i="27"/>
  <c r="F1808" i="27"/>
  <c r="G1807" i="27"/>
  <c r="F1807" i="27"/>
  <c r="G1806" i="27"/>
  <c r="F1806" i="27"/>
  <c r="G1805" i="27"/>
  <c r="F1805" i="27"/>
  <c r="G1804" i="27"/>
  <c r="F1804" i="27"/>
  <c r="G1803" i="27"/>
  <c r="F1803" i="27"/>
  <c r="G1802" i="27"/>
  <c r="F1802" i="27"/>
  <c r="G1801" i="27"/>
  <c r="F1801" i="27"/>
  <c r="G1800" i="27"/>
  <c r="F1800" i="27"/>
  <c r="G1799" i="27"/>
  <c r="F1799" i="27"/>
  <c r="E1798" i="27"/>
  <c r="E1794" i="27"/>
  <c r="E1796" i="27"/>
  <c r="G281" i="22"/>
  <c r="H281" i="22" s="1"/>
  <c r="H284" i="22" s="1"/>
  <c r="H290" i="22" s="1"/>
  <c r="H291" i="22" s="1"/>
  <c r="H292" i="22" s="1"/>
  <c r="I277" i="22" s="1"/>
  <c r="E1814" i="27"/>
  <c r="G1168" i="27"/>
  <c r="F1168" i="27"/>
  <c r="G248" i="26"/>
  <c r="H248" i="26" s="1"/>
  <c r="H251" i="26" s="1"/>
  <c r="H257" i="26" s="1"/>
  <c r="E1165" i="27"/>
  <c r="H593" i="22"/>
  <c r="H599" i="22" s="1"/>
  <c r="H600" i="22" s="1"/>
  <c r="H601" i="22" s="1"/>
  <c r="I586" i="22" s="1"/>
  <c r="H234" i="26"/>
  <c r="H240" i="26" s="1"/>
  <c r="H241" i="26" s="1"/>
  <c r="H242" i="26" s="1"/>
  <c r="I227" i="26" s="1"/>
  <c r="D265" i="26"/>
  <c r="H607" i="22"/>
  <c r="H610" i="22" s="1"/>
  <c r="H616" i="22" s="1"/>
  <c r="D624" i="22"/>
  <c r="E1795" i="27" l="1"/>
  <c r="E1816" i="27"/>
  <c r="G1819" i="27"/>
  <c r="F1819" i="27"/>
  <c r="G1169" i="27"/>
  <c r="F1169" i="27"/>
  <c r="G265" i="26"/>
  <c r="H265" i="26" s="1"/>
  <c r="H268" i="26" s="1"/>
  <c r="H274" i="26" s="1"/>
  <c r="H275" i="26" s="1"/>
  <c r="E1166" i="27"/>
  <c r="G624" i="22"/>
  <c r="H624" i="22" s="1"/>
  <c r="H258" i="26"/>
  <c r="H259" i="26" s="1"/>
  <c r="I244" i="26" s="1"/>
  <c r="D282" i="26"/>
  <c r="H617" i="22"/>
  <c r="H618" i="22" s="1"/>
  <c r="I603" i="22" s="1"/>
  <c r="E1817" i="27" l="1"/>
  <c r="G1170" i="27"/>
  <c r="F1170" i="27"/>
  <c r="G282" i="26"/>
  <c r="H282" i="26" s="1"/>
  <c r="E1167" i="27"/>
  <c r="H627" i="22"/>
  <c r="H633" i="22" s="1"/>
  <c r="H634" i="22" s="1"/>
  <c r="H635" i="22" s="1"/>
  <c r="H276" i="26"/>
  <c r="I261" i="26" s="1"/>
  <c r="D299" i="26"/>
  <c r="I620" i="22" l="1"/>
  <c r="E1818" i="27" s="1"/>
  <c r="G1171" i="27"/>
  <c r="F1171" i="27"/>
  <c r="G299" i="26"/>
  <c r="H299" i="26" s="1"/>
  <c r="H302" i="26" s="1"/>
  <c r="H308" i="26" s="1"/>
  <c r="E1168" i="27"/>
  <c r="H285" i="26"/>
  <c r="H291" i="26" s="1"/>
  <c r="H292" i="26" s="1"/>
  <c r="D316" i="26"/>
  <c r="G1172" i="27" l="1"/>
  <c r="F1172" i="27"/>
  <c r="G316" i="26"/>
  <c r="H316" i="26" s="1"/>
  <c r="H319" i="26" s="1"/>
  <c r="H325" i="26" s="1"/>
  <c r="H293" i="26"/>
  <c r="I278" i="26" s="1"/>
  <c r="H309" i="26"/>
  <c r="H310" i="26" s="1"/>
  <c r="I295" i="26" s="1"/>
  <c r="D333" i="26"/>
  <c r="G1173" i="27" l="1"/>
  <c r="F1173" i="27"/>
  <c r="G333" i="26"/>
  <c r="H333" i="26" s="1"/>
  <c r="H336" i="26" s="1"/>
  <c r="H342" i="26" s="1"/>
  <c r="E1170" i="27"/>
  <c r="E1169" i="27"/>
  <c r="H326" i="26"/>
  <c r="H327" i="26" s="1"/>
  <c r="I312" i="26" s="1"/>
  <c r="D350" i="26"/>
  <c r="G1174" i="27" l="1"/>
  <c r="F1174" i="27"/>
  <c r="G350" i="26"/>
  <c r="H350" i="26" s="1"/>
  <c r="E1171" i="27"/>
  <c r="H343" i="26"/>
  <c r="H344" i="26" s="1"/>
  <c r="I329" i="26" s="1"/>
  <c r="D367" i="26"/>
  <c r="G1175" i="27" l="1"/>
  <c r="F1175" i="27"/>
  <c r="G367" i="26"/>
  <c r="H367" i="26" s="1"/>
  <c r="H370" i="26" s="1"/>
  <c r="H376" i="26" s="1"/>
  <c r="E1172" i="27"/>
  <c r="H353" i="26"/>
  <c r="H359" i="26" s="1"/>
  <c r="H360" i="26" s="1"/>
  <c r="H361" i="26" s="1"/>
  <c r="I346" i="26" s="1"/>
  <c r="D384" i="26"/>
  <c r="G1176" i="27" l="1"/>
  <c r="F1176" i="27"/>
  <c r="G384" i="26"/>
  <c r="H384" i="26" s="1"/>
  <c r="H387" i="26" s="1"/>
  <c r="H393" i="26" s="1"/>
  <c r="E1173" i="27"/>
  <c r="H377" i="26"/>
  <c r="H378" i="26" s="1"/>
  <c r="I363" i="26" s="1"/>
  <c r="D401" i="26"/>
  <c r="G1177" i="27" l="1"/>
  <c r="F1177" i="27"/>
  <c r="G401" i="26"/>
  <c r="H401" i="26" s="1"/>
  <c r="E1174" i="27"/>
  <c r="H394" i="26"/>
  <c r="H395" i="26" s="1"/>
  <c r="I380" i="26" s="1"/>
  <c r="D418" i="26"/>
  <c r="G1178" i="27" l="1"/>
  <c r="F1178" i="27"/>
  <c r="G418" i="26"/>
  <c r="H418" i="26" s="1"/>
  <c r="H421" i="26" s="1"/>
  <c r="H427" i="26" s="1"/>
  <c r="H428" i="26" s="1"/>
  <c r="E1175" i="27"/>
  <c r="H404" i="26"/>
  <c r="H410" i="26" s="1"/>
  <c r="H411" i="26" s="1"/>
  <c r="H412" i="26" s="1"/>
  <c r="I397" i="26" s="1"/>
  <c r="D435" i="26"/>
  <c r="G1179" i="27" l="1"/>
  <c r="F1179" i="27"/>
  <c r="G435" i="26"/>
  <c r="H435" i="26" s="1"/>
  <c r="H438" i="26" s="1"/>
  <c r="H444" i="26" s="1"/>
  <c r="H445" i="26" s="1"/>
  <c r="E1176" i="27"/>
  <c r="D452" i="26"/>
  <c r="H429" i="26"/>
  <c r="I414" i="26" s="1"/>
  <c r="G1180" i="27" l="1"/>
  <c r="F1180" i="27"/>
  <c r="G452" i="26"/>
  <c r="H452" i="26" s="1"/>
  <c r="E1177" i="27"/>
  <c r="H370" i="25"/>
  <c r="H446" i="26"/>
  <c r="I431" i="26" s="1"/>
  <c r="D469" i="26"/>
  <c r="G365" i="25"/>
  <c r="H365" i="25" s="1"/>
  <c r="H368" i="25" s="1"/>
  <c r="G1181" i="27" l="1"/>
  <c r="F1181" i="27"/>
  <c r="G469" i="26"/>
  <c r="H469" i="26" s="1"/>
  <c r="H472" i="26" s="1"/>
  <c r="H478" i="26" s="1"/>
  <c r="H479" i="26" s="1"/>
  <c r="E1178" i="27"/>
  <c r="H455" i="26"/>
  <c r="H461" i="26" s="1"/>
  <c r="D486" i="26"/>
  <c r="G1182" i="27" l="1"/>
  <c r="F1182" i="27"/>
  <c r="G486" i="26"/>
  <c r="H486" i="26" s="1"/>
  <c r="H371" i="25"/>
  <c r="H374" i="25" s="1"/>
  <c r="H375" i="25" s="1"/>
  <c r="H376" i="25" s="1"/>
  <c r="H462" i="26"/>
  <c r="H463" i="26" s="1"/>
  <c r="I448" i="26" s="1"/>
  <c r="H480" i="26"/>
  <c r="I465" i="26" s="1"/>
  <c r="D503" i="26"/>
  <c r="I361" i="25" l="1"/>
  <c r="E1737" i="27" s="1"/>
  <c r="G1183" i="27"/>
  <c r="F1183" i="27"/>
  <c r="G503" i="26"/>
  <c r="H503" i="26" s="1"/>
  <c r="E1180" i="27"/>
  <c r="E1179" i="27"/>
  <c r="H489" i="26"/>
  <c r="H495" i="26" s="1"/>
  <c r="H496" i="26" s="1"/>
  <c r="D520" i="26"/>
  <c r="G1184" i="27" l="1"/>
  <c r="F1184" i="27"/>
  <c r="G520" i="26"/>
  <c r="H520" i="26" s="1"/>
  <c r="H523" i="26" s="1"/>
  <c r="H529" i="26" s="1"/>
  <c r="H506" i="26"/>
  <c r="H512" i="26" s="1"/>
  <c r="H497" i="26"/>
  <c r="I482" i="26" s="1"/>
  <c r="D537" i="26"/>
  <c r="G1185" i="27" l="1"/>
  <c r="F1185" i="27"/>
  <c r="G537" i="26"/>
  <c r="H537" i="26" s="1"/>
  <c r="H540" i="26" s="1"/>
  <c r="H546" i="26" s="1"/>
  <c r="H547" i="26" s="1"/>
  <c r="E1181" i="27"/>
  <c r="H513" i="26"/>
  <c r="H514" i="26" s="1"/>
  <c r="I499" i="26" s="1"/>
  <c r="H530" i="26"/>
  <c r="H531" i="26" s="1"/>
  <c r="I516" i="26" s="1"/>
  <c r="D554" i="26"/>
  <c r="G1186" i="27" l="1"/>
  <c r="F1186" i="27"/>
  <c r="G554" i="26"/>
  <c r="H554" i="26" s="1"/>
  <c r="E1183" i="27"/>
  <c r="E1182" i="27"/>
  <c r="D571" i="26"/>
  <c r="H548" i="26"/>
  <c r="I533" i="26" s="1"/>
  <c r="G1187" i="27" l="1"/>
  <c r="F1187" i="27"/>
  <c r="G571" i="26"/>
  <c r="H571" i="26" s="1"/>
  <c r="H574" i="26" s="1"/>
  <c r="H580" i="26" s="1"/>
  <c r="E1184" i="27"/>
  <c r="H557" i="26"/>
  <c r="H563" i="26" s="1"/>
  <c r="D588" i="26"/>
  <c r="G1188" i="27" l="1"/>
  <c r="F1188" i="27"/>
  <c r="G588" i="26"/>
  <c r="H588" i="26" s="1"/>
  <c r="H591" i="26" s="1"/>
  <c r="H597" i="26" s="1"/>
  <c r="H598" i="26" s="1"/>
  <c r="H564" i="26"/>
  <c r="H565" i="26" s="1"/>
  <c r="I550" i="26" s="1"/>
  <c r="H581" i="26"/>
  <c r="H582" i="26" s="1"/>
  <c r="I567" i="26" s="1"/>
  <c r="D605" i="26"/>
  <c r="G1189" i="27" l="1"/>
  <c r="F1189" i="27"/>
  <c r="G605" i="26"/>
  <c r="H605" i="26" s="1"/>
  <c r="H608" i="26" s="1"/>
  <c r="H614" i="26" s="1"/>
  <c r="E1186" i="27"/>
  <c r="E1185" i="27"/>
  <c r="H599" i="26"/>
  <c r="I584" i="26" s="1"/>
  <c r="D622" i="26"/>
  <c r="G1190" i="27" l="1"/>
  <c r="F1190" i="27"/>
  <c r="G622" i="26"/>
  <c r="H622" i="26" s="1"/>
  <c r="H625" i="26" s="1"/>
  <c r="H631" i="26" s="1"/>
  <c r="E1187" i="27"/>
  <c r="H615" i="26"/>
  <c r="H616" i="26" s="1"/>
  <c r="I601" i="26" s="1"/>
  <c r="D639" i="26"/>
  <c r="G1191" i="27" l="1"/>
  <c r="F1191" i="27"/>
  <c r="G639" i="26"/>
  <c r="H639" i="26" s="1"/>
  <c r="E1188" i="27"/>
  <c r="H632" i="26"/>
  <c r="H633" i="26" s="1"/>
  <c r="I618" i="26" s="1"/>
  <c r="D656" i="26"/>
  <c r="G1192" i="27" l="1"/>
  <c r="F1192" i="27"/>
  <c r="G656" i="26"/>
  <c r="H656" i="26" s="1"/>
  <c r="H659" i="26" s="1"/>
  <c r="H665" i="26" s="1"/>
  <c r="E1189" i="27"/>
  <c r="H642" i="26"/>
  <c r="H648" i="26" s="1"/>
  <c r="H649" i="26" s="1"/>
  <c r="D673" i="26"/>
  <c r="G1193" i="27" l="1"/>
  <c r="F1193" i="27"/>
  <c r="G673" i="26"/>
  <c r="H673" i="26" s="1"/>
  <c r="H676" i="26" s="1"/>
  <c r="H682" i="26" s="1"/>
  <c r="H683" i="26" s="1"/>
  <c r="H650" i="26"/>
  <c r="I635" i="26" s="1"/>
  <c r="H666" i="26"/>
  <c r="H667" i="26" s="1"/>
  <c r="I652" i="26" s="1"/>
  <c r="D690" i="26"/>
  <c r="G1194" i="27" l="1"/>
  <c r="F1194" i="27"/>
  <c r="G690" i="26"/>
  <c r="H690" i="26" s="1"/>
  <c r="H693" i="26" s="1"/>
  <c r="H699" i="26" s="1"/>
  <c r="H700" i="26" s="1"/>
  <c r="E1191" i="27"/>
  <c r="E1190" i="27"/>
  <c r="H684" i="26"/>
  <c r="I669" i="26" s="1"/>
  <c r="D707" i="26"/>
  <c r="G1195" i="27" l="1"/>
  <c r="F1195" i="27"/>
  <c r="G707" i="26"/>
  <c r="H707" i="26" s="1"/>
  <c r="H710" i="26" s="1"/>
  <c r="H716" i="26" s="1"/>
  <c r="E1192" i="27"/>
  <c r="D724" i="26"/>
  <c r="H701" i="26"/>
  <c r="I686" i="26" s="1"/>
  <c r="G1196" i="27" l="1"/>
  <c r="F1196" i="27"/>
  <c r="G724" i="26"/>
  <c r="H724" i="26" s="1"/>
  <c r="E1193" i="27"/>
  <c r="H717" i="26"/>
  <c r="H718" i="26" s="1"/>
  <c r="I703" i="26" s="1"/>
  <c r="D741" i="26"/>
  <c r="G1197" i="27" l="1"/>
  <c r="F1197" i="27"/>
  <c r="G741" i="26"/>
  <c r="H741" i="26" s="1"/>
  <c r="E1194" i="27"/>
  <c r="H727" i="26"/>
  <c r="H733" i="26" s="1"/>
  <c r="H734" i="26" s="1"/>
  <c r="H735" i="26" s="1"/>
  <c r="I720" i="26" s="1"/>
  <c r="D758" i="26"/>
  <c r="G1198" i="27" l="1"/>
  <c r="F1198" i="27"/>
  <c r="G758" i="26"/>
  <c r="H758" i="26" s="1"/>
  <c r="H761" i="26" s="1"/>
  <c r="H767" i="26" s="1"/>
  <c r="H768" i="26" s="1"/>
  <c r="E1195" i="27"/>
  <c r="H744" i="26"/>
  <c r="H750" i="26" s="1"/>
  <c r="H751" i="26" s="1"/>
  <c r="H752" i="26" s="1"/>
  <c r="I737" i="26" s="1"/>
  <c r="D775" i="26"/>
  <c r="G1199" i="27" l="1"/>
  <c r="F1199" i="27"/>
  <c r="G775" i="26"/>
  <c r="H775" i="26" s="1"/>
  <c r="E1196" i="27"/>
  <c r="D792" i="26"/>
  <c r="H769" i="26"/>
  <c r="I754" i="26" s="1"/>
  <c r="G1200" i="27" l="1"/>
  <c r="F1200" i="27"/>
  <c r="G792" i="26"/>
  <c r="H792" i="26" s="1"/>
  <c r="E1197" i="27"/>
  <c r="H778" i="26"/>
  <c r="H784" i="26" s="1"/>
  <c r="H785" i="26" s="1"/>
  <c r="H786" i="26" s="1"/>
  <c r="I771" i="26" s="1"/>
  <c r="D809" i="26"/>
  <c r="G1202" i="27" l="1"/>
  <c r="F1202" i="27"/>
  <c r="G809" i="26"/>
  <c r="H809" i="26" s="1"/>
  <c r="H812" i="26" s="1"/>
  <c r="H818" i="26" s="1"/>
  <c r="E1198" i="27"/>
  <c r="H795" i="26"/>
  <c r="H801" i="26" s="1"/>
  <c r="H802" i="26" s="1"/>
  <c r="D827" i="26"/>
  <c r="G1203" i="27" l="1"/>
  <c r="F1203" i="27"/>
  <c r="G827" i="26"/>
  <c r="H827" i="26" s="1"/>
  <c r="H803" i="26"/>
  <c r="I788" i="26" s="1"/>
  <c r="H819" i="26"/>
  <c r="H820" i="26" s="1"/>
  <c r="I805" i="26" s="1"/>
  <c r="D844" i="26"/>
  <c r="G1204" i="27" l="1"/>
  <c r="F1204" i="27"/>
  <c r="G844" i="26"/>
  <c r="H844" i="26" s="1"/>
  <c r="E1200" i="27"/>
  <c r="E1199" i="27"/>
  <c r="H830" i="26"/>
  <c r="H836" i="26" s="1"/>
  <c r="H837" i="26" s="1"/>
  <c r="H838" i="26" s="1"/>
  <c r="I823" i="26" s="1"/>
  <c r="D861" i="26"/>
  <c r="E1202" i="27" l="1"/>
  <c r="G1205" i="27"/>
  <c r="F1205" i="27"/>
  <c r="G861" i="26"/>
  <c r="H861" i="26" s="1"/>
  <c r="H864" i="26" s="1"/>
  <c r="H870" i="26" s="1"/>
  <c r="H847" i="26"/>
  <c r="H853" i="26" s="1"/>
  <c r="H854" i="26" s="1"/>
  <c r="H855" i="26" s="1"/>
  <c r="I840" i="26" s="1"/>
  <c r="D878" i="26"/>
  <c r="G1206" i="27" l="1"/>
  <c r="F1206" i="27"/>
  <c r="G878" i="26"/>
  <c r="H878" i="26" s="1"/>
  <c r="H881" i="26" s="1"/>
  <c r="H887" i="26" s="1"/>
  <c r="E1203" i="27"/>
  <c r="H871" i="26"/>
  <c r="H872" i="26" s="1"/>
  <c r="I857" i="26" s="1"/>
  <c r="D895" i="26"/>
  <c r="G1207" i="27" l="1"/>
  <c r="F1207" i="27"/>
  <c r="G895" i="26"/>
  <c r="H895" i="26" s="1"/>
  <c r="H898" i="26" s="1"/>
  <c r="H904" i="26" s="1"/>
  <c r="E1204" i="27"/>
  <c r="H888" i="26"/>
  <c r="H889" i="26" s="1"/>
  <c r="I874" i="26" s="1"/>
  <c r="D912" i="26"/>
  <c r="G1208" i="27" l="1"/>
  <c r="F1208" i="27"/>
  <c r="G912" i="26"/>
  <c r="H912" i="26" s="1"/>
  <c r="H915" i="26" s="1"/>
  <c r="H921" i="26" s="1"/>
  <c r="H922" i="26" s="1"/>
  <c r="E1205" i="27"/>
  <c r="H905" i="26"/>
  <c r="H906" i="26" s="1"/>
  <c r="I891" i="26" s="1"/>
  <c r="D929" i="26"/>
  <c r="G1209" i="27" l="1"/>
  <c r="F1209" i="27"/>
  <c r="G929" i="26"/>
  <c r="H929" i="26" s="1"/>
  <c r="H932" i="26" s="1"/>
  <c r="H939" i="26" s="1"/>
  <c r="E1206" i="27"/>
  <c r="H923" i="26"/>
  <c r="I908" i="26" s="1"/>
  <c r="D947" i="26"/>
  <c r="G1210" i="27" l="1"/>
  <c r="F1210" i="27"/>
  <c r="E1207" i="27"/>
  <c r="G947" i="26"/>
  <c r="H947" i="26" s="1"/>
  <c r="H950" i="26" s="1"/>
  <c r="H957" i="26" s="1"/>
  <c r="D965" i="26"/>
  <c r="H940" i="26"/>
  <c r="H941" i="26" s="1"/>
  <c r="I925" i="26" s="1"/>
  <c r="D1075" i="26"/>
  <c r="G1075" i="26" s="1"/>
  <c r="G1211" i="27" l="1"/>
  <c r="F1211" i="27"/>
  <c r="G1212" i="27"/>
  <c r="F1212" i="27"/>
  <c r="G1213" i="27"/>
  <c r="F1213" i="27"/>
  <c r="G1214" i="27"/>
  <c r="F1214" i="27"/>
  <c r="G1215" i="27"/>
  <c r="F1215" i="27"/>
  <c r="G1217" i="27"/>
  <c r="F1217" i="27"/>
  <c r="G1218" i="27"/>
  <c r="F1218" i="27"/>
  <c r="G965" i="26"/>
  <c r="H965" i="26" s="1"/>
  <c r="H968" i="26" s="1"/>
  <c r="H975" i="26" s="1"/>
  <c r="H976" i="26" s="1"/>
  <c r="H977" i="26" s="1"/>
  <c r="E1213" i="27"/>
  <c r="E1211" i="27"/>
  <c r="E1212" i="27"/>
  <c r="E1214" i="27"/>
  <c r="E1215" i="27"/>
  <c r="E1208" i="27"/>
  <c r="H958" i="26"/>
  <c r="H959" i="26" s="1"/>
  <c r="I943" i="26" s="1"/>
  <c r="H1075" i="26"/>
  <c r="H1078" i="26" s="1"/>
  <c r="H1084" i="26" s="1"/>
  <c r="H1085" i="26" s="1"/>
  <c r="D1092" i="26"/>
  <c r="G1219" i="27" l="1"/>
  <c r="F1219" i="27"/>
  <c r="G1092" i="26"/>
  <c r="H1092" i="26" s="1"/>
  <c r="E1209" i="27"/>
  <c r="I961" i="26"/>
  <c r="D1109" i="26"/>
  <c r="H1086" i="26"/>
  <c r="I1071" i="26" s="1"/>
  <c r="E1210" i="27" l="1"/>
  <c r="G1220" i="27"/>
  <c r="F1220" i="27"/>
  <c r="G1109" i="26"/>
  <c r="H1109" i="26" s="1"/>
  <c r="H1112" i="26" s="1"/>
  <c r="H1118" i="26" s="1"/>
  <c r="E1217" i="27"/>
  <c r="H1095" i="26"/>
  <c r="H1101" i="26" s="1"/>
  <c r="H1102" i="26" s="1"/>
  <c r="H1103" i="26" s="1"/>
  <c r="I1088" i="26" s="1"/>
  <c r="D1126" i="26"/>
  <c r="G1221" i="27" l="1"/>
  <c r="F1221" i="27"/>
  <c r="G1126" i="26"/>
  <c r="H1126" i="26" s="1"/>
  <c r="H1129" i="26" s="1"/>
  <c r="H1135" i="26" s="1"/>
  <c r="E1218" i="27"/>
  <c r="H1119" i="26"/>
  <c r="H1120" i="26" s="1"/>
  <c r="I1105" i="26" s="1"/>
  <c r="D1143" i="26"/>
  <c r="G1222" i="27" l="1"/>
  <c r="F1222" i="27"/>
  <c r="G1143" i="26"/>
  <c r="H1143" i="26" s="1"/>
  <c r="H1146" i="26" s="1"/>
  <c r="H1152" i="26" s="1"/>
  <c r="H1153" i="26" s="1"/>
  <c r="E1219" i="27"/>
  <c r="H1136" i="26"/>
  <c r="H1137" i="26" s="1"/>
  <c r="I1122" i="26" s="1"/>
  <c r="D1160" i="26"/>
  <c r="G1223" i="27" l="1"/>
  <c r="F1223" i="27"/>
  <c r="G1160" i="26"/>
  <c r="H1160" i="26" s="1"/>
  <c r="H1163" i="26" s="1"/>
  <c r="H1169" i="26" s="1"/>
  <c r="H1170" i="26" s="1"/>
  <c r="E1220" i="27"/>
  <c r="H1154" i="26"/>
  <c r="I1139" i="26" s="1"/>
  <c r="D1177" i="26"/>
  <c r="G1224" i="27" l="1"/>
  <c r="F1224" i="27"/>
  <c r="G1177" i="26"/>
  <c r="H1177" i="26" s="1"/>
  <c r="H1180" i="26" s="1"/>
  <c r="H1186" i="26" s="1"/>
  <c r="E1221" i="27"/>
  <c r="H1171" i="26"/>
  <c r="I1156" i="26" s="1"/>
  <c r="D1194" i="26"/>
  <c r="G1225" i="27" l="1"/>
  <c r="F1225" i="27"/>
  <c r="G1194" i="26"/>
  <c r="H1194" i="26" s="1"/>
  <c r="E1222" i="27"/>
  <c r="H1187" i="26"/>
  <c r="H1188" i="26" s="1"/>
  <c r="I1173" i="26" s="1"/>
  <c r="D1211" i="26"/>
  <c r="G1226" i="27" l="1"/>
  <c r="F1226" i="27"/>
  <c r="G1211" i="26"/>
  <c r="H1211" i="26" s="1"/>
  <c r="E1223" i="27"/>
  <c r="H1197" i="26"/>
  <c r="H1203" i="26" s="1"/>
  <c r="H1204" i="26" s="1"/>
  <c r="H1205" i="26" s="1"/>
  <c r="I1190" i="26" s="1"/>
  <c r="D1228" i="26"/>
  <c r="G1227" i="27" l="1"/>
  <c r="F1227" i="27"/>
  <c r="G1228" i="26"/>
  <c r="H1228" i="26" s="1"/>
  <c r="E1224" i="27"/>
  <c r="H1214" i="26"/>
  <c r="H1220" i="26" s="1"/>
  <c r="H1221" i="26" s="1"/>
  <c r="H1222" i="26" s="1"/>
  <c r="I1207" i="26" s="1"/>
  <c r="D1245" i="26"/>
  <c r="G1228" i="27" l="1"/>
  <c r="F1228" i="27"/>
  <c r="G1245" i="26"/>
  <c r="H1245" i="26" s="1"/>
  <c r="E1225" i="27"/>
  <c r="H1231" i="26"/>
  <c r="H1237" i="26" s="1"/>
  <c r="H1238" i="26" s="1"/>
  <c r="D1262" i="26"/>
  <c r="G1229" i="27" l="1"/>
  <c r="F1229" i="27"/>
  <c r="G1262" i="26"/>
  <c r="H1262" i="26" s="1"/>
  <c r="H1265" i="26" s="1"/>
  <c r="H1248" i="26"/>
  <c r="H1254" i="26" s="1"/>
  <c r="H1239" i="26"/>
  <c r="I1224" i="26" s="1"/>
  <c r="D1279" i="26"/>
  <c r="G1230" i="27" l="1"/>
  <c r="F1230" i="27"/>
  <c r="G1279" i="26"/>
  <c r="H1279" i="26" s="1"/>
  <c r="H1282" i="26" s="1"/>
  <c r="H1288" i="26" s="1"/>
  <c r="E1226" i="27"/>
  <c r="H1271" i="26"/>
  <c r="H1255" i="26"/>
  <c r="H1256" i="26" s="1"/>
  <c r="I1241" i="26" s="1"/>
  <c r="D1296" i="26"/>
  <c r="G1231" i="27" l="1"/>
  <c r="F1231" i="27"/>
  <c r="G1296" i="26"/>
  <c r="H1296" i="26" s="1"/>
  <c r="H1299" i="26" s="1"/>
  <c r="H1305" i="26" s="1"/>
  <c r="E1227" i="27"/>
  <c r="H1289" i="26"/>
  <c r="H1290" i="26" s="1"/>
  <c r="I1275" i="26" s="1"/>
  <c r="H1272" i="26"/>
  <c r="H1273" i="26" s="1"/>
  <c r="I1258" i="26" s="1"/>
  <c r="D1313" i="26"/>
  <c r="G1232" i="27" l="1"/>
  <c r="F1232" i="27"/>
  <c r="G1313" i="26"/>
  <c r="H1313" i="26" s="1"/>
  <c r="H1316" i="26" s="1"/>
  <c r="H1322" i="26" s="1"/>
  <c r="E1228" i="27"/>
  <c r="E1229" i="27"/>
  <c r="H1306" i="26"/>
  <c r="H1307" i="26" s="1"/>
  <c r="I1292" i="26" s="1"/>
  <c r="D1330" i="26"/>
  <c r="G1234" i="27" l="1"/>
  <c r="F1234" i="27"/>
  <c r="G1330" i="26"/>
  <c r="H1330" i="26" s="1"/>
  <c r="H1333" i="26" s="1"/>
  <c r="H1339" i="26" s="1"/>
  <c r="E1230" i="27"/>
  <c r="H1323" i="26"/>
  <c r="D1348" i="26"/>
  <c r="G1235" i="27" l="1"/>
  <c r="F1235" i="27"/>
  <c r="G1348" i="26"/>
  <c r="H1348" i="26" s="1"/>
  <c r="H1351" i="26" s="1"/>
  <c r="H1357" i="26" s="1"/>
  <c r="H1340" i="26"/>
  <c r="H1341" i="26" s="1"/>
  <c r="I1326" i="26" s="1"/>
  <c r="H1324" i="26"/>
  <c r="I1309" i="26" s="1"/>
  <c r="D1365" i="26"/>
  <c r="G1236" i="27" l="1"/>
  <c r="F1236" i="27"/>
  <c r="G1365" i="26"/>
  <c r="H1365" i="26" s="1"/>
  <c r="H1368" i="26" s="1"/>
  <c r="H1374" i="26" s="1"/>
  <c r="E1231" i="27"/>
  <c r="E1232" i="27"/>
  <c r="H1358" i="26"/>
  <c r="H1359" i="26" s="1"/>
  <c r="D1382" i="26"/>
  <c r="G1237" i="27" l="1"/>
  <c r="F1237" i="27"/>
  <c r="G1382" i="26"/>
  <c r="H1382" i="26" s="1"/>
  <c r="H1385" i="26" s="1"/>
  <c r="H1391" i="26" s="1"/>
  <c r="I1344" i="26"/>
  <c r="H1375" i="26"/>
  <c r="D1399" i="26"/>
  <c r="G1238" i="27" l="1"/>
  <c r="F1238" i="27"/>
  <c r="G1399" i="26"/>
  <c r="H1399" i="26" s="1"/>
  <c r="H1402" i="26" s="1"/>
  <c r="H1408" i="26" s="1"/>
  <c r="E1234" i="27"/>
  <c r="H1392" i="26"/>
  <c r="H1393" i="26" s="1"/>
  <c r="I1378" i="26" s="1"/>
  <c r="H1376" i="26"/>
  <c r="I1361" i="26" s="1"/>
  <c r="D1416" i="26"/>
  <c r="G1239" i="27" l="1"/>
  <c r="F1239" i="27"/>
  <c r="G1416" i="26"/>
  <c r="H1416" i="26" s="1"/>
  <c r="H1419" i="26" s="1"/>
  <c r="H1425" i="26" s="1"/>
  <c r="E1235" i="27"/>
  <c r="E1236" i="27"/>
  <c r="H1409" i="26"/>
  <c r="H1410" i="26" s="1"/>
  <c r="I1395" i="26" s="1"/>
  <c r="D1433" i="26"/>
  <c r="G1240" i="27" l="1"/>
  <c r="F1240" i="27"/>
  <c r="G1433" i="26"/>
  <c r="H1433" i="26" s="1"/>
  <c r="H1436" i="26" s="1"/>
  <c r="H1442" i="26" s="1"/>
  <c r="E1237" i="27"/>
  <c r="H1426" i="26"/>
  <c r="H1427" i="26" s="1"/>
  <c r="I1412" i="26" s="1"/>
  <c r="D1450" i="26"/>
  <c r="G1242" i="27" l="1"/>
  <c r="F1242" i="27"/>
  <c r="G1450" i="26"/>
  <c r="H1450" i="26" s="1"/>
  <c r="H1453" i="26" s="1"/>
  <c r="E1238" i="27"/>
  <c r="H1443" i="26"/>
  <c r="H1444" i="26" s="1"/>
  <c r="I1429" i="26" s="1"/>
  <c r="D1468" i="26"/>
  <c r="G1243" i="27" l="1"/>
  <c r="F1243" i="27"/>
  <c r="G1468" i="26"/>
  <c r="H1468" i="26" s="1"/>
  <c r="H1471" i="26" s="1"/>
  <c r="E1239" i="27"/>
  <c r="H1459" i="26"/>
  <c r="H1460" i="26" s="1"/>
  <c r="H1461" i="26" s="1"/>
  <c r="I1446" i="26" s="1"/>
  <c r="D1485" i="26"/>
  <c r="G1244" i="27" l="1"/>
  <c r="F1244" i="27"/>
  <c r="G1485" i="26"/>
  <c r="H1485" i="26" s="1"/>
  <c r="H1488" i="26" s="1"/>
  <c r="H1494" i="26" s="1"/>
  <c r="E1240" i="27"/>
  <c r="H1477" i="26"/>
  <c r="H1478" i="26" s="1"/>
  <c r="D1502" i="26"/>
  <c r="G1245" i="27" l="1"/>
  <c r="F1245" i="27"/>
  <c r="G1502" i="26"/>
  <c r="H1502" i="26" s="1"/>
  <c r="H1495" i="26"/>
  <c r="H1496" i="26" s="1"/>
  <c r="I1481" i="26" s="1"/>
  <c r="H1479" i="26"/>
  <c r="I1464" i="26" s="1"/>
  <c r="D1519" i="26"/>
  <c r="G1246" i="27" l="1"/>
  <c r="F1246" i="27"/>
  <c r="G1519" i="26"/>
  <c r="H1519" i="26" s="1"/>
  <c r="E1242" i="27"/>
  <c r="E1243" i="27"/>
  <c r="H1505" i="26"/>
  <c r="H1511" i="26" s="1"/>
  <c r="D1536" i="26"/>
  <c r="G1247" i="27" l="1"/>
  <c r="F1247" i="27"/>
  <c r="G1536" i="26"/>
  <c r="H1536" i="26" s="1"/>
  <c r="H1539" i="26" s="1"/>
  <c r="H1545" i="26" s="1"/>
  <c r="H1546" i="26" s="1"/>
  <c r="H1547" i="26" s="1"/>
  <c r="H1512" i="26"/>
  <c r="H1522" i="26"/>
  <c r="H1528" i="26" s="1"/>
  <c r="D1553" i="26"/>
  <c r="G1248" i="27" l="1"/>
  <c r="F1248" i="27"/>
  <c r="G1553" i="26"/>
  <c r="H1553" i="26" s="1"/>
  <c r="H1556" i="26" s="1"/>
  <c r="H1529" i="26"/>
  <c r="H1530" i="26" s="1"/>
  <c r="I1515" i="26" s="1"/>
  <c r="H1513" i="26"/>
  <c r="I1498" i="26" s="1"/>
  <c r="D1570" i="26"/>
  <c r="I1532" i="26"/>
  <c r="G1249" i="27" l="1"/>
  <c r="F1249" i="27"/>
  <c r="G1570" i="26"/>
  <c r="H1570" i="26" s="1"/>
  <c r="H1573" i="26" s="1"/>
  <c r="H1579" i="26" s="1"/>
  <c r="E1244" i="27"/>
  <c r="E1246" i="27"/>
  <c r="E1245" i="27"/>
  <c r="H1562" i="26"/>
  <c r="D1587" i="26"/>
  <c r="G1250" i="27" l="1"/>
  <c r="F1250" i="27"/>
  <c r="G1587" i="26"/>
  <c r="H1587" i="26" s="1"/>
  <c r="H1590" i="26" s="1"/>
  <c r="H1596" i="26" s="1"/>
  <c r="H1580" i="26"/>
  <c r="H1581" i="26" s="1"/>
  <c r="I1566" i="26" s="1"/>
  <c r="H1563" i="26"/>
  <c r="H1564" i="26" s="1"/>
  <c r="I1549" i="26" s="1"/>
  <c r="D1604" i="26"/>
  <c r="G1251" i="27" l="1"/>
  <c r="F1251" i="27"/>
  <c r="G1604" i="26"/>
  <c r="H1604" i="26" s="1"/>
  <c r="H1607" i="26" s="1"/>
  <c r="H1613" i="26" s="1"/>
  <c r="E1247" i="27"/>
  <c r="E1248" i="27"/>
  <c r="H1597" i="26"/>
  <c r="H1598" i="26" s="1"/>
  <c r="I1583" i="26" s="1"/>
  <c r="D1621" i="26"/>
  <c r="G1252" i="27" l="1"/>
  <c r="F1252" i="27"/>
  <c r="G1621" i="26"/>
  <c r="H1621" i="26" s="1"/>
  <c r="H1624" i="26" s="1"/>
  <c r="H1630" i="26" s="1"/>
  <c r="E1249" i="27"/>
  <c r="H1614" i="26"/>
  <c r="H1615" i="26" s="1"/>
  <c r="I1600" i="26" s="1"/>
  <c r="D1638" i="26"/>
  <c r="G1253" i="27" l="1"/>
  <c r="F1253" i="27"/>
  <c r="G1638" i="26"/>
  <c r="H1638" i="26" s="1"/>
  <c r="H1641" i="26" s="1"/>
  <c r="H1647" i="26" s="1"/>
  <c r="E1250" i="27"/>
  <c r="H1631" i="26"/>
  <c r="H1632" i="26" s="1"/>
  <c r="D1655" i="26"/>
  <c r="G1254" i="27" l="1"/>
  <c r="F1254" i="27"/>
  <c r="G1655" i="26"/>
  <c r="H1655" i="26" s="1"/>
  <c r="H1658" i="26" s="1"/>
  <c r="H1664" i="26" s="1"/>
  <c r="H1648" i="26"/>
  <c r="H1649" i="26" s="1"/>
  <c r="I1634" i="26" s="1"/>
  <c r="I1617" i="26"/>
  <c r="D1672" i="26"/>
  <c r="G1255" i="27" l="1"/>
  <c r="F1255" i="27"/>
  <c r="G1672" i="26"/>
  <c r="H1672" i="26" s="1"/>
  <c r="H1675" i="26" s="1"/>
  <c r="H1681" i="26" s="1"/>
  <c r="E1251" i="27"/>
  <c r="E1252" i="27"/>
  <c r="H1665" i="26"/>
  <c r="H1666" i="26" s="1"/>
  <c r="I1651" i="26" s="1"/>
  <c r="D1689" i="26"/>
  <c r="G1256" i="27" l="1"/>
  <c r="F1256" i="27"/>
  <c r="G1689" i="26"/>
  <c r="H1689" i="26" s="1"/>
  <c r="H1692" i="26" s="1"/>
  <c r="H1698" i="26" s="1"/>
  <c r="H1699" i="26" s="1"/>
  <c r="E1253" i="27"/>
  <c r="H1682" i="26"/>
  <c r="H1683" i="26" s="1"/>
  <c r="I1668" i="26" s="1"/>
  <c r="D1706" i="26"/>
  <c r="G1257" i="27" l="1"/>
  <c r="F1257" i="27"/>
  <c r="G1706" i="26"/>
  <c r="H1706" i="26" s="1"/>
  <c r="E1254" i="27"/>
  <c r="H1700" i="26"/>
  <c r="I1685" i="26" s="1"/>
  <c r="D1723" i="26"/>
  <c r="G1258" i="27" l="1"/>
  <c r="F1258" i="27"/>
  <c r="G1723" i="26"/>
  <c r="H1723" i="26" s="1"/>
  <c r="H1726" i="26" s="1"/>
  <c r="H1732" i="26" s="1"/>
  <c r="E1255" i="27"/>
  <c r="H1709" i="26"/>
  <c r="H1715" i="26" s="1"/>
  <c r="H1716" i="26" s="1"/>
  <c r="H1717" i="26" s="1"/>
  <c r="I1702" i="26" s="1"/>
  <c r="D1740" i="26"/>
  <c r="G1259" i="27" l="1"/>
  <c r="F1259" i="27"/>
  <c r="G1740" i="26"/>
  <c r="H1740" i="26" s="1"/>
  <c r="H1743" i="26" s="1"/>
  <c r="H1749" i="26" s="1"/>
  <c r="E1256" i="27"/>
  <c r="H1733" i="26"/>
  <c r="H1734" i="26" s="1"/>
  <c r="I1719" i="26" s="1"/>
  <c r="D1757" i="26"/>
  <c r="G1260" i="27" l="1"/>
  <c r="F1260" i="27"/>
  <c r="G1757" i="26"/>
  <c r="H1757" i="26" s="1"/>
  <c r="E1257" i="27"/>
  <c r="H1750" i="26"/>
  <c r="H1751" i="26" s="1"/>
  <c r="I1736" i="26" s="1"/>
  <c r="D1774" i="26"/>
  <c r="G1261" i="27" l="1"/>
  <c r="F1261" i="27"/>
  <c r="G1774" i="26"/>
  <c r="H1774" i="26" s="1"/>
  <c r="H1777" i="26" s="1"/>
  <c r="H1783" i="26" s="1"/>
  <c r="E1258" i="27"/>
  <c r="H1760" i="26"/>
  <c r="H1766" i="26" s="1"/>
  <c r="H1767" i="26" s="1"/>
  <c r="H1768" i="26" s="1"/>
  <c r="I1753" i="26" s="1"/>
  <c r="D1791" i="26"/>
  <c r="G1262" i="27" l="1"/>
  <c r="F1262" i="27"/>
  <c r="G1791" i="26"/>
  <c r="H1791" i="26" s="1"/>
  <c r="H1794" i="26" s="1"/>
  <c r="H1800" i="26" s="1"/>
  <c r="E1259" i="27"/>
  <c r="H1784" i="26"/>
  <c r="H1785" i="26" s="1"/>
  <c r="I1770" i="26" s="1"/>
  <c r="D1808" i="26"/>
  <c r="G1263" i="27" l="1"/>
  <c r="F1263" i="27"/>
  <c r="G1808" i="26"/>
  <c r="H1808" i="26" s="1"/>
  <c r="H1811" i="26" s="1"/>
  <c r="H1817" i="26" s="1"/>
  <c r="E1260" i="27"/>
  <c r="H1801" i="26"/>
  <c r="H1802" i="26" s="1"/>
  <c r="I1787" i="26" s="1"/>
  <c r="D1825" i="26"/>
  <c r="G1264" i="27" l="1"/>
  <c r="F1264" i="27"/>
  <c r="G1825" i="26"/>
  <c r="H1825" i="26" s="1"/>
  <c r="E1261" i="27"/>
  <c r="H1818" i="26"/>
  <c r="H1819" i="26" s="1"/>
  <c r="I1804" i="26" s="1"/>
  <c r="D1842" i="26"/>
  <c r="G1265" i="27" l="1"/>
  <c r="F1265" i="27"/>
  <c r="G1842" i="26"/>
  <c r="H1842" i="26" s="1"/>
  <c r="H1845" i="26" s="1"/>
  <c r="H1851" i="26" s="1"/>
  <c r="H1852" i="26" s="1"/>
  <c r="E1262" i="27"/>
  <c r="H1828" i="26"/>
  <c r="H1834" i="26" s="1"/>
  <c r="H1835" i="26" s="1"/>
  <c r="H1836" i="26" s="1"/>
  <c r="I1821" i="26" s="1"/>
  <c r="D1859" i="26"/>
  <c r="G1266" i="27" l="1"/>
  <c r="F1266" i="27"/>
  <c r="G1859" i="26"/>
  <c r="H1859" i="26" s="1"/>
  <c r="E1263" i="27"/>
  <c r="D1876" i="26"/>
  <c r="H1853" i="26"/>
  <c r="I1838" i="26" s="1"/>
  <c r="G1267" i="27" l="1"/>
  <c r="F1267" i="27"/>
  <c r="G1876" i="26"/>
  <c r="H1876" i="26" s="1"/>
  <c r="H1879" i="26" s="1"/>
  <c r="H1885" i="26" s="1"/>
  <c r="H1886" i="26" s="1"/>
  <c r="E1264" i="27"/>
  <c r="H1862" i="26"/>
  <c r="H1868" i="26" s="1"/>
  <c r="H1869" i="26" s="1"/>
  <c r="D1893" i="26"/>
  <c r="G1268" i="27" l="1"/>
  <c r="F1268" i="27"/>
  <c r="G1893" i="26"/>
  <c r="H1893" i="26" s="1"/>
  <c r="H1896" i="26" s="1"/>
  <c r="H1902" i="26" s="1"/>
  <c r="H1870" i="26"/>
  <c r="I1855" i="26" s="1"/>
  <c r="D1910" i="26"/>
  <c r="H1887" i="26"/>
  <c r="I1872" i="26" s="1"/>
  <c r="G1269" i="27" l="1"/>
  <c r="F1269" i="27"/>
  <c r="G1910" i="26"/>
  <c r="H1910" i="26" s="1"/>
  <c r="H1913" i="26" s="1"/>
  <c r="H1919" i="26" s="1"/>
  <c r="E1266" i="27"/>
  <c r="E1265" i="27"/>
  <c r="H1903" i="26"/>
  <c r="D1927" i="26"/>
  <c r="G1271" i="27" l="1"/>
  <c r="F1271" i="27"/>
  <c r="G1927" i="26"/>
  <c r="H1927" i="26" s="1"/>
  <c r="H1930" i="26" s="1"/>
  <c r="H1936" i="26" s="1"/>
  <c r="H1904" i="26"/>
  <c r="I1889" i="26" s="1"/>
  <c r="H1920" i="26"/>
  <c r="H1921" i="26" s="1"/>
  <c r="I1906" i="26" s="1"/>
  <c r="D1945" i="26"/>
  <c r="G1272" i="27" l="1"/>
  <c r="F1272" i="27"/>
  <c r="G1945" i="26"/>
  <c r="H1945" i="26" s="1"/>
  <c r="H1948" i="26" s="1"/>
  <c r="H1954" i="26" s="1"/>
  <c r="E1268" i="27"/>
  <c r="E1267" i="27"/>
  <c r="H1937" i="26"/>
  <c r="H1938" i="26" s="1"/>
  <c r="I1923" i="26" s="1"/>
  <c r="D1962" i="26"/>
  <c r="G1273" i="27" l="1"/>
  <c r="F1273" i="27"/>
  <c r="G1962" i="26"/>
  <c r="H1962" i="26" s="1"/>
  <c r="H1965" i="26" s="1"/>
  <c r="H1971" i="26" s="1"/>
  <c r="E1269" i="27"/>
  <c r="H1955" i="26"/>
  <c r="H1956" i="26" s="1"/>
  <c r="I1941" i="26" s="1"/>
  <c r="D1979" i="26"/>
  <c r="G1274" i="27" l="1"/>
  <c r="F1274" i="27"/>
  <c r="G1979" i="26"/>
  <c r="H1979" i="26" s="1"/>
  <c r="H1982" i="26" s="1"/>
  <c r="E1271" i="27"/>
  <c r="H1972" i="26"/>
  <c r="D1996" i="26"/>
  <c r="G1275" i="27" l="1"/>
  <c r="F1275" i="27"/>
  <c r="G1996" i="26"/>
  <c r="H1996" i="26" s="1"/>
  <c r="H1999" i="26" s="1"/>
  <c r="H2005" i="26" s="1"/>
  <c r="H1988" i="26"/>
  <c r="H1989" i="26" s="1"/>
  <c r="H1973" i="26"/>
  <c r="I1958" i="26" s="1"/>
  <c r="D2013" i="26"/>
  <c r="G1276" i="27" l="1"/>
  <c r="F1276" i="27"/>
  <c r="G2013" i="26"/>
  <c r="H2013" i="26" s="1"/>
  <c r="H2016" i="26" s="1"/>
  <c r="H2022" i="26" s="1"/>
  <c r="E1272" i="27"/>
  <c r="H1990" i="26"/>
  <c r="I1975" i="26" s="1"/>
  <c r="H2006" i="26"/>
  <c r="H2007" i="26" s="1"/>
  <c r="I1992" i="26" s="1"/>
  <c r="D2030" i="26"/>
  <c r="G1277" i="27" l="1"/>
  <c r="F1277" i="27"/>
  <c r="G2030" i="26"/>
  <c r="H2030" i="26" s="1"/>
  <c r="H2033" i="26" s="1"/>
  <c r="H2039" i="26" s="1"/>
  <c r="H2040" i="26" s="1"/>
  <c r="E1274" i="27"/>
  <c r="E1273" i="27"/>
  <c r="H2023" i="26"/>
  <c r="H2024" i="26" s="1"/>
  <c r="I2009" i="26" s="1"/>
  <c r="D2047" i="26"/>
  <c r="G1279" i="27" l="1"/>
  <c r="F1279" i="27"/>
  <c r="G2047" i="26"/>
  <c r="H2047" i="26" s="1"/>
  <c r="H2050" i="26" s="1"/>
  <c r="H2056" i="26" s="1"/>
  <c r="E1275" i="27"/>
  <c r="H2041" i="26"/>
  <c r="I2026" i="26" s="1"/>
  <c r="D2065" i="26"/>
  <c r="G1280" i="27" l="1"/>
  <c r="F1280" i="27"/>
  <c r="G2065" i="26"/>
  <c r="H2065" i="26" s="1"/>
  <c r="H2068" i="26" s="1"/>
  <c r="H2074" i="26" s="1"/>
  <c r="E1276" i="27"/>
  <c r="H2057" i="26"/>
  <c r="H2058" i="26" s="1"/>
  <c r="D2082" i="26"/>
  <c r="G1281" i="27" l="1"/>
  <c r="F1281" i="27"/>
  <c r="G2082" i="26"/>
  <c r="H2082" i="26" s="1"/>
  <c r="H2085" i="26" s="1"/>
  <c r="H2091" i="26" s="1"/>
  <c r="H2075" i="26"/>
  <c r="H2076" i="26" s="1"/>
  <c r="I2061" i="26" s="1"/>
  <c r="I2043" i="26"/>
  <c r="D2099" i="26"/>
  <c r="G1282" i="27" l="1"/>
  <c r="F1282" i="27"/>
  <c r="G2099" i="26"/>
  <c r="H2099" i="26" s="1"/>
  <c r="H2102" i="26" s="1"/>
  <c r="H2108" i="26" s="1"/>
  <c r="E1277" i="27"/>
  <c r="E1279" i="27"/>
  <c r="H2092" i="26"/>
  <c r="H2093" i="26" s="1"/>
  <c r="I2078" i="26" s="1"/>
  <c r="D2116" i="26"/>
  <c r="G1283" i="27" l="1"/>
  <c r="F1283" i="27"/>
  <c r="G2116" i="26"/>
  <c r="H2116" i="26" s="1"/>
  <c r="H2119" i="26" s="1"/>
  <c r="H2125" i="26" s="1"/>
  <c r="E1280" i="27"/>
  <c r="H2109" i="26"/>
  <c r="H2110" i="26" s="1"/>
  <c r="I2095" i="26" s="1"/>
  <c r="D2133" i="26"/>
  <c r="G1284" i="27" l="1"/>
  <c r="F1284" i="27"/>
  <c r="G2133" i="26"/>
  <c r="H2133" i="26" s="1"/>
  <c r="H2136" i="26" s="1"/>
  <c r="H2142" i="26" s="1"/>
  <c r="E1281" i="27"/>
  <c r="H2126" i="26"/>
  <c r="D2150" i="26"/>
  <c r="G1285" i="27" l="1"/>
  <c r="F1285" i="27"/>
  <c r="G2150" i="26"/>
  <c r="H2150" i="26" s="1"/>
  <c r="H2153" i="26" s="1"/>
  <c r="H2159" i="26" s="1"/>
  <c r="H2143" i="26"/>
  <c r="H2144" i="26" s="1"/>
  <c r="I2129" i="26" s="1"/>
  <c r="H2127" i="26"/>
  <c r="I2112" i="26" s="1"/>
  <c r="D2167" i="26"/>
  <c r="G1286" i="27" l="1"/>
  <c r="F1286" i="27"/>
  <c r="G2167" i="26"/>
  <c r="H2167" i="26" s="1"/>
  <c r="E1282" i="27"/>
  <c r="E1283" i="27"/>
  <c r="H2160" i="26"/>
  <c r="H2161" i="26" s="1"/>
  <c r="I2146" i="26" s="1"/>
  <c r="D2184" i="26"/>
  <c r="G1287" i="27" l="1"/>
  <c r="F1287" i="27"/>
  <c r="G2184" i="26"/>
  <c r="H2184" i="26" s="1"/>
  <c r="E1284" i="27"/>
  <c r="H2170" i="26"/>
  <c r="H2176" i="26" s="1"/>
  <c r="H2177" i="26" s="1"/>
  <c r="D2201" i="26"/>
  <c r="G1289" i="27" l="1"/>
  <c r="F1289" i="27"/>
  <c r="G1290" i="27"/>
  <c r="F1290" i="27"/>
  <c r="G1291" i="27"/>
  <c r="F1291" i="27"/>
  <c r="G1292" i="27"/>
  <c r="F1292" i="27"/>
  <c r="G1293" i="27"/>
  <c r="F1293" i="27"/>
  <c r="G1294" i="27"/>
  <c r="F1294" i="27"/>
  <c r="G1295" i="27"/>
  <c r="F1295" i="27"/>
  <c r="G1296" i="27"/>
  <c r="F1296" i="27"/>
  <c r="G1297" i="27"/>
  <c r="F1297" i="27"/>
  <c r="G2201" i="26"/>
  <c r="H2201" i="26" s="1"/>
  <c r="H2204" i="26" s="1"/>
  <c r="E1292" i="27"/>
  <c r="E1290" i="27"/>
  <c r="E1294" i="27"/>
  <c r="E1296" i="27"/>
  <c r="E1295" i="27"/>
  <c r="E1293" i="27"/>
  <c r="E1291" i="27"/>
  <c r="E1289" i="27"/>
  <c r="H2178" i="26"/>
  <c r="I2163" i="26" s="1"/>
  <c r="H2187" i="26"/>
  <c r="H2193" i="26" s="1"/>
  <c r="H2194" i="26" s="1"/>
  <c r="H2195" i="26" s="1"/>
  <c r="I2180" i="26" s="1"/>
  <c r="D2292" i="26"/>
  <c r="G1298" i="27" l="1"/>
  <c r="F1298" i="27"/>
  <c r="G2292" i="26"/>
  <c r="H2292" i="26" s="1"/>
  <c r="H2295" i="26" s="1"/>
  <c r="H2301" i="26" s="1"/>
  <c r="H2302" i="26" s="1"/>
  <c r="E1286" i="27"/>
  <c r="E1285" i="27"/>
  <c r="H2210" i="26"/>
  <c r="H2211" i="26" s="1"/>
  <c r="D2309" i="26"/>
  <c r="G1299" i="27" l="1"/>
  <c r="F1299" i="27"/>
  <c r="G2309" i="26"/>
  <c r="H2309" i="26" s="1"/>
  <c r="H2312" i="26" s="1"/>
  <c r="H2318" i="26" s="1"/>
  <c r="H2212" i="26"/>
  <c r="I2197" i="26" s="1"/>
  <c r="H2303" i="26"/>
  <c r="I2288" i="26" s="1"/>
  <c r="D2326" i="26"/>
  <c r="G1300" i="27" l="1"/>
  <c r="F1300" i="27"/>
  <c r="G2326" i="26"/>
  <c r="H2326" i="26" s="1"/>
  <c r="H2329" i="26" s="1"/>
  <c r="H2335" i="26" s="1"/>
  <c r="H2336" i="26" s="1"/>
  <c r="E1297" i="27"/>
  <c r="E1287" i="27"/>
  <c r="H2319" i="26"/>
  <c r="H2320" i="26" s="1"/>
  <c r="I2305" i="26" s="1"/>
  <c r="D2377" i="26"/>
  <c r="G2377" i="26" s="1"/>
  <c r="D2343" i="26"/>
  <c r="G1301" i="27" l="1"/>
  <c r="F1301" i="27"/>
  <c r="G2343" i="26"/>
  <c r="H2343" i="26" s="1"/>
  <c r="H2346" i="26" s="1"/>
  <c r="H2352" i="26" s="1"/>
  <c r="E1298" i="27"/>
  <c r="D2394" i="26"/>
  <c r="G2394" i="26" s="1"/>
  <c r="D2360" i="26"/>
  <c r="H2377" i="26"/>
  <c r="H2380" i="26" s="1"/>
  <c r="H2386" i="26" s="1"/>
  <c r="D2428" i="26"/>
  <c r="H2337" i="26"/>
  <c r="I2322" i="26" s="1"/>
  <c r="G1302" i="27" l="1"/>
  <c r="F1302" i="27"/>
  <c r="G1303" i="27"/>
  <c r="F1303" i="27"/>
  <c r="G1304" i="27"/>
  <c r="F1304" i="27"/>
  <c r="G2360" i="26"/>
  <c r="H2360" i="26" s="1"/>
  <c r="H2363" i="26" s="1"/>
  <c r="H2369" i="26" s="1"/>
  <c r="E1299" i="27"/>
  <c r="H2387" i="26"/>
  <c r="H2388" i="26" s="1"/>
  <c r="I2373" i="26" s="1"/>
  <c r="G2428" i="26"/>
  <c r="H2428" i="26" s="1"/>
  <c r="H2353" i="26"/>
  <c r="H2354" i="26" s="1"/>
  <c r="I2339" i="26" s="1"/>
  <c r="H2394" i="26"/>
  <c r="H2397" i="26" s="1"/>
  <c r="H2403" i="26" s="1"/>
  <c r="H2404" i="26" s="1"/>
  <c r="H2405" i="26" s="1"/>
  <c r="D2445" i="26"/>
  <c r="D2411" i="26"/>
  <c r="G1305" i="27" l="1"/>
  <c r="F1305" i="27"/>
  <c r="G1306" i="27"/>
  <c r="F1306" i="27"/>
  <c r="G1307" i="27"/>
  <c r="F1307" i="27"/>
  <c r="G1308" i="27"/>
  <c r="F1308" i="27"/>
  <c r="G1309" i="27"/>
  <c r="F1309" i="27"/>
  <c r="G1310" i="27"/>
  <c r="F1310" i="27"/>
  <c r="G2411" i="26"/>
  <c r="H2411" i="26" s="1"/>
  <c r="H2414" i="26" s="1"/>
  <c r="H2420" i="26" s="1"/>
  <c r="E1307" i="27"/>
  <c r="E1308" i="27"/>
  <c r="E1309" i="27"/>
  <c r="E1300" i="27"/>
  <c r="E1302" i="27"/>
  <c r="H2431" i="26"/>
  <c r="H2437" i="26" s="1"/>
  <c r="G2445" i="26"/>
  <c r="H2445" i="26" s="1"/>
  <c r="H2370" i="26"/>
  <c r="I2390" i="26"/>
  <c r="D2515" i="26"/>
  <c r="G1421" i="27" l="1"/>
  <c r="F1421" i="27"/>
  <c r="G1441" i="27"/>
  <c r="F1441" i="27"/>
  <c r="G1440" i="27"/>
  <c r="F1440" i="27"/>
  <c r="G1439" i="27"/>
  <c r="F1439" i="27"/>
  <c r="G1438" i="27"/>
  <c r="F1438" i="27"/>
  <c r="G1437" i="27"/>
  <c r="F1437" i="27"/>
  <c r="G1436" i="27"/>
  <c r="F1436" i="27"/>
  <c r="G1435" i="27"/>
  <c r="F1435" i="27"/>
  <c r="G1434" i="27"/>
  <c r="F1434" i="27"/>
  <c r="G1433" i="27"/>
  <c r="F1433" i="27"/>
  <c r="G1432" i="27"/>
  <c r="F1432" i="27"/>
  <c r="G1431" i="27"/>
  <c r="F1431" i="27"/>
  <c r="G1430" i="27"/>
  <c r="F1430" i="27"/>
  <c r="G1429" i="27"/>
  <c r="F1429" i="27"/>
  <c r="G1428" i="27"/>
  <c r="F1428" i="27"/>
  <c r="G1427" i="27"/>
  <c r="F1427" i="27"/>
  <c r="G1426" i="27"/>
  <c r="F1426" i="27"/>
  <c r="G1425" i="27"/>
  <c r="F1425" i="27"/>
  <c r="G1424" i="27"/>
  <c r="F1424" i="27"/>
  <c r="G1423" i="27"/>
  <c r="F1423" i="27"/>
  <c r="G1422" i="27"/>
  <c r="F1422" i="27"/>
  <c r="G1442" i="27"/>
  <c r="F1442" i="27"/>
  <c r="G1448" i="27"/>
  <c r="F1448" i="27"/>
  <c r="G1447" i="27"/>
  <c r="F1447" i="27"/>
  <c r="G1446" i="27"/>
  <c r="F1446" i="27"/>
  <c r="G1445" i="27"/>
  <c r="F1445" i="27"/>
  <c r="G1444" i="27"/>
  <c r="F1444" i="27"/>
  <c r="G1443" i="27"/>
  <c r="F1443" i="27"/>
  <c r="G1449" i="27"/>
  <c r="F1449" i="27"/>
  <c r="G1450" i="27"/>
  <c r="F1450" i="27"/>
  <c r="G1451" i="27"/>
  <c r="F1451" i="27"/>
  <c r="G1452" i="27"/>
  <c r="F1452" i="27"/>
  <c r="G1462" i="27"/>
  <c r="F1462" i="27"/>
  <c r="G1461" i="27"/>
  <c r="F1461" i="27"/>
  <c r="G1460" i="27"/>
  <c r="F1460" i="27"/>
  <c r="G1459" i="27"/>
  <c r="F1459" i="27"/>
  <c r="G1458" i="27"/>
  <c r="F1458" i="27"/>
  <c r="G1457" i="27"/>
  <c r="F1457" i="27"/>
  <c r="G1456" i="27"/>
  <c r="F1456" i="27"/>
  <c r="G1455" i="27"/>
  <c r="F1455" i="27"/>
  <c r="G1454" i="27"/>
  <c r="F1454" i="27"/>
  <c r="G1453" i="27"/>
  <c r="F1453" i="27"/>
  <c r="G1463" i="27"/>
  <c r="F1463" i="27"/>
  <c r="G1464" i="27"/>
  <c r="F1464" i="27"/>
  <c r="G1467" i="27"/>
  <c r="F1467" i="27"/>
  <c r="G1466" i="27"/>
  <c r="F1466" i="27"/>
  <c r="G1465" i="27"/>
  <c r="F1465" i="27"/>
  <c r="G1471" i="27"/>
  <c r="F1471" i="27"/>
  <c r="G1470" i="27"/>
  <c r="F1470" i="27"/>
  <c r="G1469" i="27"/>
  <c r="F1469" i="27"/>
  <c r="G1468" i="27"/>
  <c r="F1468" i="27"/>
  <c r="G1472" i="27"/>
  <c r="F1472" i="27"/>
  <c r="G1473" i="27"/>
  <c r="F1473" i="27"/>
  <c r="G1497" i="27"/>
  <c r="F1497" i="27"/>
  <c r="G1496" i="27"/>
  <c r="F1496" i="27"/>
  <c r="G1495" i="27"/>
  <c r="F1495" i="27"/>
  <c r="G1494" i="27"/>
  <c r="F1494" i="27"/>
  <c r="G1493" i="27"/>
  <c r="F1493" i="27"/>
  <c r="G1492" i="27"/>
  <c r="F1492" i="27"/>
  <c r="G1491" i="27"/>
  <c r="F1491" i="27"/>
  <c r="G1490" i="27"/>
  <c r="F1490" i="27"/>
  <c r="G1489" i="27"/>
  <c r="F1489" i="27"/>
  <c r="G1488" i="27"/>
  <c r="F1488" i="27"/>
  <c r="G1487" i="27"/>
  <c r="F1487" i="27"/>
  <c r="G1486" i="27"/>
  <c r="F1486" i="27"/>
  <c r="G1485" i="27"/>
  <c r="F1485" i="27"/>
  <c r="G1484" i="27"/>
  <c r="F1484" i="27"/>
  <c r="G1483" i="27"/>
  <c r="F1483" i="27"/>
  <c r="G1482" i="27"/>
  <c r="F1482" i="27"/>
  <c r="G1481" i="27"/>
  <c r="F1481" i="27"/>
  <c r="G1480" i="27"/>
  <c r="F1480" i="27"/>
  <c r="G1479" i="27"/>
  <c r="F1479" i="27"/>
  <c r="G1478" i="27"/>
  <c r="F1478" i="27"/>
  <c r="G1477" i="27"/>
  <c r="F1477" i="27"/>
  <c r="G1476" i="27"/>
  <c r="F1476" i="27"/>
  <c r="G1475" i="27"/>
  <c r="F1475" i="27"/>
  <c r="G1474" i="27"/>
  <c r="F1474" i="27"/>
  <c r="G1498" i="27"/>
  <c r="F1498" i="27"/>
  <c r="G1499" i="27"/>
  <c r="F1499" i="27"/>
  <c r="G1500" i="27"/>
  <c r="F1500" i="27"/>
  <c r="G1521" i="27"/>
  <c r="F1521" i="27"/>
  <c r="G1520" i="27"/>
  <c r="F1520" i="27"/>
  <c r="G1519" i="27"/>
  <c r="F1519" i="27"/>
  <c r="G1518" i="27"/>
  <c r="F1518" i="27"/>
  <c r="G1517" i="27"/>
  <c r="F1517" i="27"/>
  <c r="G1516" i="27"/>
  <c r="F1516" i="27"/>
  <c r="G1515" i="27"/>
  <c r="F1515" i="27"/>
  <c r="G1514" i="27"/>
  <c r="F1514" i="27"/>
  <c r="G1513" i="27"/>
  <c r="F1513" i="27"/>
  <c r="G1512" i="27"/>
  <c r="F1512" i="27"/>
  <c r="G1511" i="27"/>
  <c r="F1511" i="27"/>
  <c r="G1510" i="27"/>
  <c r="F1510" i="27"/>
  <c r="G1509" i="27"/>
  <c r="F1509" i="27"/>
  <c r="G1508" i="27"/>
  <c r="F1508" i="27"/>
  <c r="G1507" i="27"/>
  <c r="F1507" i="27"/>
  <c r="G1506" i="27"/>
  <c r="F1506" i="27"/>
  <c r="G1505" i="27"/>
  <c r="F1505" i="27"/>
  <c r="G1504" i="27"/>
  <c r="F1504" i="27"/>
  <c r="G1503" i="27"/>
  <c r="F1503" i="27"/>
  <c r="G1502" i="27"/>
  <c r="F1502" i="27"/>
  <c r="G1501" i="27"/>
  <c r="F1501" i="27"/>
  <c r="G1541" i="27"/>
  <c r="F1541" i="27"/>
  <c r="G1540" i="27"/>
  <c r="F1540" i="27"/>
  <c r="G1539" i="27"/>
  <c r="F1539" i="27"/>
  <c r="G1538" i="27"/>
  <c r="F1538" i="27"/>
  <c r="G1537" i="27"/>
  <c r="F1537" i="27"/>
  <c r="G1536" i="27"/>
  <c r="F1536" i="27"/>
  <c r="G1535" i="27"/>
  <c r="F1535" i="27"/>
  <c r="G1534" i="27"/>
  <c r="F1534" i="27"/>
  <c r="G1533" i="27"/>
  <c r="F1533" i="27"/>
  <c r="G1532" i="27"/>
  <c r="F1532" i="27"/>
  <c r="G1531" i="27"/>
  <c r="F1531" i="27"/>
  <c r="G1530" i="27"/>
  <c r="F1530" i="27"/>
  <c r="G1529" i="27"/>
  <c r="F1529" i="27"/>
  <c r="G1528" i="27"/>
  <c r="F1528" i="27"/>
  <c r="G1527" i="27"/>
  <c r="F1527" i="27"/>
  <c r="G1526" i="27"/>
  <c r="F1526" i="27"/>
  <c r="G1525" i="27"/>
  <c r="F1525" i="27"/>
  <c r="G1524" i="27"/>
  <c r="F1524" i="27"/>
  <c r="G1523" i="27"/>
  <c r="F1523" i="27"/>
  <c r="G1522" i="27"/>
  <c r="F1522" i="27"/>
  <c r="G1542" i="27"/>
  <c r="F1542" i="27"/>
  <c r="G1543" i="27"/>
  <c r="F1543" i="27"/>
  <c r="G1544" i="27"/>
  <c r="F1544" i="27"/>
  <c r="G1545" i="27"/>
  <c r="F1545" i="27"/>
  <c r="G1546" i="27"/>
  <c r="F1546" i="27"/>
  <c r="G1547" i="27"/>
  <c r="F1547" i="27"/>
  <c r="G1548" i="27"/>
  <c r="F1548" i="27"/>
  <c r="G1566" i="27"/>
  <c r="F1566" i="27"/>
  <c r="G1565" i="27"/>
  <c r="F1565" i="27"/>
  <c r="G1564" i="27"/>
  <c r="F1564" i="27"/>
  <c r="G1563" i="27"/>
  <c r="F1563" i="27"/>
  <c r="G1562" i="27"/>
  <c r="F1562" i="27"/>
  <c r="G1561" i="27"/>
  <c r="F1561" i="27"/>
  <c r="G1560" i="27"/>
  <c r="F1560" i="27"/>
  <c r="G1559" i="27"/>
  <c r="F1559" i="27"/>
  <c r="G1558" i="27"/>
  <c r="F1558" i="27"/>
  <c r="G1557" i="27"/>
  <c r="F1557" i="27"/>
  <c r="G1556" i="27"/>
  <c r="F1556" i="27"/>
  <c r="G1555" i="27"/>
  <c r="F1555" i="27"/>
  <c r="G1554" i="27"/>
  <c r="F1554" i="27"/>
  <c r="G1553" i="27"/>
  <c r="F1553" i="27"/>
  <c r="G1552" i="27"/>
  <c r="F1552" i="27"/>
  <c r="G1551" i="27"/>
  <c r="F1551" i="27"/>
  <c r="G1550" i="27"/>
  <c r="F1550" i="27"/>
  <c r="G1549" i="27"/>
  <c r="F1549" i="27"/>
  <c r="G1589" i="27"/>
  <c r="F1589" i="27"/>
  <c r="G1588" i="27"/>
  <c r="F1588" i="27"/>
  <c r="G1587" i="27"/>
  <c r="F1587" i="27"/>
  <c r="G1586" i="27"/>
  <c r="F1586" i="27"/>
  <c r="G1585" i="27"/>
  <c r="F1585" i="27"/>
  <c r="G1584" i="27"/>
  <c r="F1584" i="27"/>
  <c r="G1583" i="27"/>
  <c r="F1583" i="27"/>
  <c r="G1582" i="27"/>
  <c r="F1582" i="27"/>
  <c r="G1581" i="27"/>
  <c r="F1581" i="27"/>
  <c r="G1580" i="27"/>
  <c r="F1580" i="27"/>
  <c r="G1579" i="27"/>
  <c r="F1579" i="27"/>
  <c r="G1578" i="27"/>
  <c r="F1578" i="27"/>
  <c r="G1577" i="27"/>
  <c r="F1577" i="27"/>
  <c r="G1576" i="27"/>
  <c r="F1576" i="27"/>
  <c r="G1575" i="27"/>
  <c r="F1575" i="27"/>
  <c r="G1574" i="27"/>
  <c r="F1574" i="27"/>
  <c r="G1573" i="27"/>
  <c r="F1573" i="27"/>
  <c r="G1572" i="27"/>
  <c r="F1572" i="27"/>
  <c r="G1571" i="27"/>
  <c r="F1571" i="27"/>
  <c r="G1570" i="27"/>
  <c r="F1570" i="27"/>
  <c r="G1569" i="27"/>
  <c r="F1569" i="27"/>
  <c r="G1568" i="27"/>
  <c r="F1568" i="27"/>
  <c r="G1567" i="27"/>
  <c r="F1567" i="27"/>
  <c r="G1590" i="27"/>
  <c r="F1590" i="27"/>
  <c r="G1591" i="27"/>
  <c r="F1591" i="27"/>
  <c r="G1601" i="27"/>
  <c r="F1601" i="27"/>
  <c r="G1600" i="27"/>
  <c r="F1600" i="27"/>
  <c r="G1599" i="27"/>
  <c r="F1599" i="27"/>
  <c r="G1598" i="27"/>
  <c r="F1598" i="27"/>
  <c r="G1597" i="27"/>
  <c r="F1597" i="27"/>
  <c r="G1596" i="27"/>
  <c r="F1596" i="27"/>
  <c r="G1595" i="27"/>
  <c r="F1595" i="27"/>
  <c r="G1594" i="27"/>
  <c r="F1594" i="27"/>
  <c r="G1593" i="27"/>
  <c r="F1593" i="27"/>
  <c r="G1592" i="27"/>
  <c r="F1592" i="27"/>
  <c r="G1602" i="27"/>
  <c r="F1602" i="27"/>
  <c r="G1603" i="27"/>
  <c r="F1603" i="27"/>
  <c r="G1616" i="27"/>
  <c r="F1616" i="27"/>
  <c r="G1615" i="27"/>
  <c r="F1615" i="27"/>
  <c r="G1614" i="27"/>
  <c r="F1614" i="27"/>
  <c r="G1613" i="27"/>
  <c r="F1613" i="27"/>
  <c r="G1612" i="27"/>
  <c r="F1612" i="27"/>
  <c r="G1611" i="27"/>
  <c r="F1611" i="27"/>
  <c r="G1610" i="27"/>
  <c r="F1610" i="27"/>
  <c r="G1609" i="27"/>
  <c r="F1609" i="27"/>
  <c r="G1608" i="27"/>
  <c r="F1608" i="27"/>
  <c r="G1607" i="27"/>
  <c r="F1607" i="27"/>
  <c r="G1606" i="27"/>
  <c r="F1606" i="27"/>
  <c r="G1605" i="27"/>
  <c r="F1605" i="27"/>
  <c r="G1604" i="27"/>
  <c r="F1604" i="27"/>
  <c r="G1621" i="27"/>
  <c r="F1621" i="27"/>
  <c r="G1620" i="27"/>
  <c r="F1620" i="27"/>
  <c r="G1619" i="27"/>
  <c r="F1619" i="27"/>
  <c r="G1618" i="27"/>
  <c r="F1618" i="27"/>
  <c r="G1617" i="27"/>
  <c r="F1617" i="27"/>
  <c r="G1622" i="27"/>
  <c r="F1622" i="27"/>
  <c r="G1623" i="27"/>
  <c r="F1623" i="27"/>
  <c r="G1629" i="27"/>
  <c r="F1629" i="27"/>
  <c r="G1628" i="27"/>
  <c r="F1628" i="27"/>
  <c r="G1627" i="27"/>
  <c r="F1627" i="27"/>
  <c r="G1626" i="27"/>
  <c r="F1626" i="27"/>
  <c r="G1625" i="27"/>
  <c r="F1625" i="27"/>
  <c r="G1624" i="27"/>
  <c r="F1624" i="27"/>
  <c r="G1630" i="27"/>
  <c r="F1630" i="27"/>
  <c r="G1631" i="27"/>
  <c r="F1631" i="27"/>
  <c r="G1647" i="27"/>
  <c r="F1647" i="27"/>
  <c r="G1646" i="27"/>
  <c r="F1646" i="27"/>
  <c r="G1645" i="27"/>
  <c r="F1645" i="27"/>
  <c r="G1644" i="27"/>
  <c r="F1644" i="27"/>
  <c r="G1643" i="27"/>
  <c r="F1643" i="27"/>
  <c r="G1642" i="27"/>
  <c r="F1642" i="27"/>
  <c r="G1641" i="27"/>
  <c r="F1641" i="27"/>
  <c r="G1640" i="27"/>
  <c r="F1640" i="27"/>
  <c r="G1639" i="27"/>
  <c r="F1639" i="27"/>
  <c r="G1638" i="27"/>
  <c r="F1638" i="27"/>
  <c r="G1637" i="27"/>
  <c r="F1637" i="27"/>
  <c r="G1636" i="27"/>
  <c r="F1636" i="27"/>
  <c r="G1635" i="27"/>
  <c r="F1635" i="27"/>
  <c r="G1634" i="27"/>
  <c r="F1634" i="27"/>
  <c r="G1633" i="27"/>
  <c r="F1633" i="27"/>
  <c r="G1632" i="27"/>
  <c r="F1632" i="27"/>
  <c r="G1648" i="27"/>
  <c r="F1648" i="27"/>
  <c r="G1649" i="27"/>
  <c r="F1649" i="27"/>
  <c r="G1654" i="27"/>
  <c r="F1654" i="27"/>
  <c r="G1653" i="27"/>
  <c r="F1653" i="27"/>
  <c r="G1652" i="27"/>
  <c r="F1652" i="27"/>
  <c r="G1651" i="27"/>
  <c r="F1651" i="27"/>
  <c r="G1650" i="27"/>
  <c r="F1650" i="27"/>
  <c r="G1655" i="27"/>
  <c r="F1655" i="27"/>
  <c r="G1656" i="27"/>
  <c r="F1656" i="27"/>
  <c r="G1657" i="27"/>
  <c r="F1657" i="27"/>
  <c r="G1681" i="27"/>
  <c r="F1681" i="27"/>
  <c r="G1680" i="27"/>
  <c r="F1680" i="27"/>
  <c r="G1679" i="27"/>
  <c r="F1679" i="27"/>
  <c r="G1678" i="27"/>
  <c r="F1678" i="27"/>
  <c r="G1677" i="27"/>
  <c r="F1677" i="27"/>
  <c r="G1676" i="27"/>
  <c r="F1676" i="27"/>
  <c r="G1675" i="27"/>
  <c r="F1675" i="27"/>
  <c r="G1674" i="27"/>
  <c r="F1674" i="27"/>
  <c r="G1673" i="27"/>
  <c r="F1673" i="27"/>
  <c r="G1672" i="27"/>
  <c r="F1672" i="27"/>
  <c r="G1671" i="27"/>
  <c r="F1671" i="27"/>
  <c r="G1670" i="27"/>
  <c r="F1670" i="27"/>
  <c r="G1669" i="27"/>
  <c r="F1669" i="27"/>
  <c r="G1668" i="27"/>
  <c r="F1668" i="27"/>
  <c r="G1667" i="27"/>
  <c r="F1667" i="27"/>
  <c r="G1666" i="27"/>
  <c r="F1666" i="27"/>
  <c r="G1665" i="27"/>
  <c r="F1665" i="27"/>
  <c r="G1664" i="27"/>
  <c r="F1664" i="27"/>
  <c r="G1663" i="27"/>
  <c r="F1663" i="27"/>
  <c r="G1662" i="27"/>
  <c r="F1662" i="27"/>
  <c r="G1661" i="27"/>
  <c r="F1661" i="27"/>
  <c r="G1660" i="27"/>
  <c r="F1660" i="27"/>
  <c r="G1659" i="27"/>
  <c r="F1659" i="27"/>
  <c r="G1658" i="27"/>
  <c r="F1658" i="27"/>
  <c r="G1697" i="27"/>
  <c r="F1697" i="27"/>
  <c r="G1696" i="27"/>
  <c r="F1696" i="27"/>
  <c r="G1695" i="27"/>
  <c r="F1695" i="27"/>
  <c r="G1694" i="27"/>
  <c r="F1694" i="27"/>
  <c r="G1693" i="27"/>
  <c r="F1693" i="27"/>
  <c r="G1692" i="27"/>
  <c r="F1692" i="27"/>
  <c r="G1691" i="27"/>
  <c r="F1691" i="27"/>
  <c r="G1690" i="27"/>
  <c r="F1690" i="27"/>
  <c r="G1689" i="27"/>
  <c r="F1689" i="27"/>
  <c r="G1688" i="27"/>
  <c r="F1688" i="27"/>
  <c r="G1687" i="27"/>
  <c r="F1687" i="27"/>
  <c r="G1686" i="27"/>
  <c r="F1686" i="27"/>
  <c r="G1685" i="27"/>
  <c r="F1685" i="27"/>
  <c r="G1684" i="27"/>
  <c r="F1684" i="27"/>
  <c r="G1683" i="27"/>
  <c r="F1683" i="27"/>
  <c r="G1682" i="27"/>
  <c r="F1682" i="27"/>
  <c r="G1714" i="27"/>
  <c r="F1714" i="27"/>
  <c r="G1713" i="27"/>
  <c r="F1713" i="27"/>
  <c r="G1712" i="27"/>
  <c r="F1712" i="27"/>
  <c r="G1711" i="27"/>
  <c r="F1711" i="27"/>
  <c r="G1710" i="27"/>
  <c r="F1710" i="27"/>
  <c r="G1709" i="27"/>
  <c r="F1709" i="27"/>
  <c r="G1708" i="27"/>
  <c r="F1708" i="27"/>
  <c r="G1707" i="27"/>
  <c r="F1707" i="27"/>
  <c r="G1706" i="27"/>
  <c r="F1706" i="27"/>
  <c r="G1705" i="27"/>
  <c r="F1705" i="27"/>
  <c r="G1704" i="27"/>
  <c r="F1704" i="27"/>
  <c r="G1703" i="27"/>
  <c r="F1703" i="27"/>
  <c r="G1702" i="27"/>
  <c r="F1702" i="27"/>
  <c r="G1701" i="27"/>
  <c r="F1701" i="27"/>
  <c r="G1700" i="27"/>
  <c r="F1700" i="27"/>
  <c r="G1699" i="27"/>
  <c r="F1699" i="27"/>
  <c r="G1698" i="27"/>
  <c r="F1698" i="27"/>
  <c r="G1311" i="27"/>
  <c r="F1311" i="27"/>
  <c r="G1312" i="27"/>
  <c r="F1312" i="27"/>
  <c r="G1313" i="27"/>
  <c r="F1313" i="27"/>
  <c r="G1314" i="27"/>
  <c r="F1314" i="27"/>
  <c r="G1315" i="27"/>
  <c r="F1315" i="27"/>
  <c r="G1316" i="27"/>
  <c r="F1316" i="27"/>
  <c r="G1317" i="27"/>
  <c r="F1317" i="27"/>
  <c r="G1318" i="27"/>
  <c r="F1318" i="27"/>
  <c r="G1319" i="27"/>
  <c r="F1319" i="27"/>
  <c r="G1320" i="27"/>
  <c r="F1320" i="27"/>
  <c r="G1321" i="27"/>
  <c r="F1321" i="27"/>
  <c r="G1322" i="27"/>
  <c r="F1322" i="27"/>
  <c r="G1323" i="27"/>
  <c r="F1323" i="27"/>
  <c r="G1324" i="27"/>
  <c r="F1324" i="27"/>
  <c r="G1325" i="27"/>
  <c r="F1325" i="27"/>
  <c r="G1326" i="27"/>
  <c r="F1326" i="27"/>
  <c r="G1327" i="27"/>
  <c r="F1327" i="27"/>
  <c r="G1328" i="27"/>
  <c r="F1328" i="27"/>
  <c r="G1329" i="27"/>
  <c r="F1329" i="27"/>
  <c r="G1330" i="27"/>
  <c r="F1330" i="27"/>
  <c r="G1331" i="27"/>
  <c r="F1331" i="27"/>
  <c r="G1332" i="27"/>
  <c r="F1332" i="27"/>
  <c r="G1333" i="27"/>
  <c r="F1333" i="27"/>
  <c r="G1334" i="27"/>
  <c r="F1334" i="27"/>
  <c r="G1335" i="27"/>
  <c r="F1335" i="27"/>
  <c r="G1336" i="27"/>
  <c r="F1336" i="27"/>
  <c r="G1337" i="27"/>
  <c r="F1337" i="27"/>
  <c r="G1338" i="27"/>
  <c r="F1338" i="27"/>
  <c r="G1339" i="27"/>
  <c r="F1339" i="27"/>
  <c r="G1340" i="27"/>
  <c r="F1340" i="27"/>
  <c r="G1341" i="27"/>
  <c r="F1341" i="27"/>
  <c r="G1342" i="27"/>
  <c r="F1342" i="27"/>
  <c r="G1343" i="27"/>
  <c r="F1343" i="27"/>
  <c r="G1344" i="27"/>
  <c r="F1344" i="27"/>
  <c r="G1345" i="27"/>
  <c r="F1345" i="27"/>
  <c r="G1346" i="27"/>
  <c r="F1346" i="27"/>
  <c r="G1347" i="27"/>
  <c r="F1347" i="27"/>
  <c r="G1348" i="27"/>
  <c r="F1348" i="27"/>
  <c r="G1349" i="27"/>
  <c r="F1349" i="27"/>
  <c r="G1350" i="27"/>
  <c r="F1350" i="27"/>
  <c r="G1351" i="27"/>
  <c r="F1351" i="27"/>
  <c r="G1352" i="27"/>
  <c r="F1352" i="27"/>
  <c r="G1353" i="27"/>
  <c r="F1353" i="27"/>
  <c r="G1354" i="27"/>
  <c r="F1354" i="27"/>
  <c r="G1355" i="27"/>
  <c r="F1355" i="27"/>
  <c r="G1356" i="27"/>
  <c r="F1356" i="27"/>
  <c r="G1357" i="27"/>
  <c r="F1357" i="27"/>
  <c r="G1358" i="27"/>
  <c r="F1358" i="27"/>
  <c r="G1359" i="27"/>
  <c r="F1359" i="27"/>
  <c r="G1360" i="27"/>
  <c r="F1360" i="27"/>
  <c r="G1361" i="27"/>
  <c r="F1361" i="27"/>
  <c r="G1362" i="27"/>
  <c r="F1362" i="27"/>
  <c r="G1363" i="27"/>
  <c r="F1363" i="27"/>
  <c r="G1364" i="27"/>
  <c r="F1364" i="27"/>
  <c r="G1365" i="27"/>
  <c r="F1365" i="27"/>
  <c r="G1366" i="27"/>
  <c r="F1366" i="27"/>
  <c r="G1367" i="27"/>
  <c r="F1367" i="27"/>
  <c r="G1368" i="27"/>
  <c r="F1368" i="27"/>
  <c r="G1369" i="27"/>
  <c r="F1369" i="27"/>
  <c r="G1370" i="27"/>
  <c r="F1370" i="27"/>
  <c r="G1371" i="27"/>
  <c r="F1371" i="27"/>
  <c r="G1372" i="27"/>
  <c r="F1372" i="27"/>
  <c r="G1373" i="27"/>
  <c r="F1373" i="27"/>
  <c r="G1374" i="27"/>
  <c r="F1374" i="27"/>
  <c r="G1375" i="27"/>
  <c r="F1375" i="27"/>
  <c r="G1376" i="27"/>
  <c r="F1376" i="27"/>
  <c r="G1377" i="27"/>
  <c r="F1377" i="27"/>
  <c r="G1378" i="27"/>
  <c r="F1378" i="27"/>
  <c r="G1379" i="27"/>
  <c r="F1379" i="27"/>
  <c r="G1380" i="27"/>
  <c r="F1380" i="27"/>
  <c r="G1381" i="27"/>
  <c r="F1381" i="27"/>
  <c r="G1382" i="27"/>
  <c r="F1382" i="27"/>
  <c r="G1383" i="27"/>
  <c r="F1383" i="27"/>
  <c r="G1384" i="27"/>
  <c r="F1384" i="27"/>
  <c r="G1385" i="27"/>
  <c r="F1385" i="27"/>
  <c r="G1386" i="27"/>
  <c r="F1386" i="27"/>
  <c r="G1387" i="27"/>
  <c r="F1387" i="27"/>
  <c r="G1388" i="27"/>
  <c r="F1388" i="27"/>
  <c r="G1389" i="27"/>
  <c r="F1389" i="27"/>
  <c r="G1390" i="27"/>
  <c r="F1390" i="27"/>
  <c r="G1391" i="27"/>
  <c r="F1391" i="27"/>
  <c r="G1392" i="27"/>
  <c r="F1392" i="27"/>
  <c r="G1393" i="27"/>
  <c r="F1393" i="27"/>
  <c r="G1394" i="27"/>
  <c r="F1394" i="27"/>
  <c r="G1395" i="27"/>
  <c r="F1395" i="27"/>
  <c r="G1396" i="27"/>
  <c r="F1396" i="27"/>
  <c r="G1397" i="27"/>
  <c r="F1397" i="27"/>
  <c r="G1398" i="27"/>
  <c r="F1398" i="27"/>
  <c r="G1399" i="27"/>
  <c r="F1399" i="27"/>
  <c r="G1400" i="27"/>
  <c r="F1400" i="27"/>
  <c r="G1401" i="27"/>
  <c r="F1401" i="27"/>
  <c r="G1402" i="27"/>
  <c r="F1402" i="27"/>
  <c r="G1403" i="27"/>
  <c r="F1403" i="27"/>
  <c r="G1404" i="27"/>
  <c r="F1404" i="27"/>
  <c r="G1405" i="27"/>
  <c r="F1405" i="27"/>
  <c r="G1406" i="27"/>
  <c r="F1406" i="27"/>
  <c r="G1407" i="27"/>
  <c r="F1407" i="27"/>
  <c r="G1408" i="27"/>
  <c r="F1408" i="27"/>
  <c r="G1409" i="27"/>
  <c r="F1409" i="27"/>
  <c r="G1410" i="27"/>
  <c r="F1410" i="27"/>
  <c r="G1411" i="27"/>
  <c r="F1411" i="27"/>
  <c r="G1412" i="27"/>
  <c r="F1412" i="27"/>
  <c r="G1413" i="27"/>
  <c r="F1413" i="27"/>
  <c r="G1414" i="27"/>
  <c r="F1414" i="27"/>
  <c r="G1415" i="27"/>
  <c r="F1415" i="27"/>
  <c r="G1416" i="27"/>
  <c r="F1416" i="27"/>
  <c r="G1417" i="27"/>
  <c r="F1417" i="27"/>
  <c r="E1417" i="27"/>
  <c r="G1418" i="27"/>
  <c r="F1418" i="27"/>
  <c r="G1419" i="27"/>
  <c r="F1419" i="27"/>
  <c r="G1420" i="27"/>
  <c r="F1420" i="27"/>
  <c r="E1314" i="27"/>
  <c r="E1315" i="27"/>
  <c r="E1316" i="27"/>
  <c r="E1317" i="27"/>
  <c r="E1318" i="27"/>
  <c r="E1319" i="27"/>
  <c r="E1320" i="27"/>
  <c r="E1321" i="27"/>
  <c r="E1322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8" i="27"/>
  <c r="E1419" i="27"/>
  <c r="E1420" i="27"/>
  <c r="E1335" i="27"/>
  <c r="E1336" i="27"/>
  <c r="E1337" i="27"/>
  <c r="E1323" i="27"/>
  <c r="E1442" i="27"/>
  <c r="E1449" i="27"/>
  <c r="E1451" i="27"/>
  <c r="E1463" i="27"/>
  <c r="E1469" i="27"/>
  <c r="E1468" i="27"/>
  <c r="E1452" i="27"/>
  <c r="E1453" i="27"/>
  <c r="E1454" i="27"/>
  <c r="E1455" i="27"/>
  <c r="E1456" i="27"/>
  <c r="E1457" i="27"/>
  <c r="E1459" i="27"/>
  <c r="E1465" i="27"/>
  <c r="E1466" i="27"/>
  <c r="E1467" i="27"/>
  <c r="E1470" i="27"/>
  <c r="E1458" i="27"/>
  <c r="E1460" i="27"/>
  <c r="E1464" i="27"/>
  <c r="E1441" i="27"/>
  <c r="E1450" i="27"/>
  <c r="E1447" i="27"/>
  <c r="E1446" i="27"/>
  <c r="E1445" i="27"/>
  <c r="E1444" i="27"/>
  <c r="E1461" i="27"/>
  <c r="E1443" i="27"/>
  <c r="E1439" i="27"/>
  <c r="E1440" i="27"/>
  <c r="E1429" i="27"/>
  <c r="E1430" i="27"/>
  <c r="E1431" i="27"/>
  <c r="E1432" i="27"/>
  <c r="E1433" i="27"/>
  <c r="E1434" i="27"/>
  <c r="E1435" i="27"/>
  <c r="E1436" i="27"/>
  <c r="E1437" i="27"/>
  <c r="E1438" i="27"/>
  <c r="E1421" i="27"/>
  <c r="E1311" i="27"/>
  <c r="E1312" i="27"/>
  <c r="E1313" i="27"/>
  <c r="E1422" i="27"/>
  <c r="E1428" i="27"/>
  <c r="E1423" i="27"/>
  <c r="E1426" i="27"/>
  <c r="E1425" i="27"/>
  <c r="E1424" i="27"/>
  <c r="E1427" i="27"/>
  <c r="E1303" i="27"/>
  <c r="H2421" i="26"/>
  <c r="H2422" i="26" s="1"/>
  <c r="I2407" i="26" s="1"/>
  <c r="H2371" i="26"/>
  <c r="I2356" i="26" s="1"/>
  <c r="H2448" i="26"/>
  <c r="H2454" i="26" s="1"/>
  <c r="H2438" i="26"/>
  <c r="H2439" i="26" s="1"/>
  <c r="I2424" i="26" s="1"/>
  <c r="G2515" i="26"/>
  <c r="H2515" i="26" s="1"/>
  <c r="H2518" i="26" s="1"/>
  <c r="H2527" i="26" s="1"/>
  <c r="H2528" i="26" s="1"/>
  <c r="H2529" i="26" s="1"/>
  <c r="I2511" i="26" l="1"/>
  <c r="E1310" i="27" s="1"/>
  <c r="E1305" i="27"/>
  <c r="E1304" i="27"/>
  <c r="E1301" i="27"/>
  <c r="H2455" i="26"/>
  <c r="H2456" i="26" s="1"/>
  <c r="I2441" i="26" s="1"/>
  <c r="E1306" i="27" l="1"/>
</calcChain>
</file>

<file path=xl/sharedStrings.xml><?xml version="1.0" encoding="utf-8"?>
<sst xmlns="http://schemas.openxmlformats.org/spreadsheetml/2006/main" count="103773" uniqueCount="9351">
  <si>
    <t>NO</t>
  </si>
  <si>
    <t>HARGA SATUAN</t>
  </si>
  <si>
    <t>KETERANGAN</t>
  </si>
  <si>
    <t>I.</t>
  </si>
  <si>
    <t>UPAH</t>
  </si>
  <si>
    <t>Pekerja</t>
  </si>
  <si>
    <t>OH</t>
  </si>
  <si>
    <t>Tukang batu</t>
  </si>
  <si>
    <t>Tukang kayu</t>
  </si>
  <si>
    <t>Tukang besi</t>
  </si>
  <si>
    <t>Tukang pipa</t>
  </si>
  <si>
    <t>Tukang las</t>
  </si>
  <si>
    <t>Tukang cat</t>
  </si>
  <si>
    <t>Tukang erection</t>
  </si>
  <si>
    <t>Tukang alumunium</t>
  </si>
  <si>
    <t>Tukang gali</t>
  </si>
  <si>
    <t>Tukang aspal</t>
  </si>
  <si>
    <t>Tukang listrik</t>
  </si>
  <si>
    <t>Kepala tukang</t>
  </si>
  <si>
    <t>Mandor</t>
  </si>
  <si>
    <t>Administrasi bor</t>
  </si>
  <si>
    <t>Ahli geologist</t>
  </si>
  <si>
    <t>Ahli topografi</t>
  </si>
  <si>
    <t>Crew driller</t>
  </si>
  <si>
    <t>Driller</t>
  </si>
  <si>
    <t>Juru gambar</t>
  </si>
  <si>
    <t>Juru ukur</t>
  </si>
  <si>
    <t>Kenek</t>
  </si>
  <si>
    <t>Koordinator driller</t>
  </si>
  <si>
    <t>Mekanik alat berat</t>
  </si>
  <si>
    <t>Operator alat berat</t>
  </si>
  <si>
    <t>Operator pompa</t>
  </si>
  <si>
    <t>Pembantu driller</t>
  </si>
  <si>
    <t>Pembantu juru ukur</t>
  </si>
  <si>
    <t>Pembantu mekanik alat berat</t>
  </si>
  <si>
    <t>Pembantu operator alat berat</t>
  </si>
  <si>
    <t>Sopir</t>
  </si>
  <si>
    <t>Supir kendaraan &lt;  2 ton (termasuk sedan)</t>
  </si>
  <si>
    <t>II.</t>
  </si>
  <si>
    <t>MATERIAL</t>
  </si>
  <si>
    <t>MATERIAL  TANAH DAN  BATUAN</t>
  </si>
  <si>
    <t>Agregat kasar</t>
  </si>
  <si>
    <t>m3</t>
  </si>
  <si>
    <t>Bata merah</t>
  </si>
  <si>
    <t>buah</t>
  </si>
  <si>
    <t>Bata merah 5 x  11 x  22 cm (per m3)</t>
  </si>
  <si>
    <t>Bata ringan</t>
  </si>
  <si>
    <t>Bata ringan tebal 10 cm</t>
  </si>
  <si>
    <t>Bata ringan tebal 20 cm</t>
  </si>
  <si>
    <t>Bata ringan tebal 7,5 cm</t>
  </si>
  <si>
    <t>Bata rooster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</si>
  <si>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</si>
  <si>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</si>
  <si>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</si>
  <si>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</si>
  <si>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</si>
  <si>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</si>
  <si>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Batu belah (quarry)</t>
  </si>
  <si>
    <t>Batu candi</t>
  </si>
  <si>
    <t>Batu kali (quarry - base camp)</t>
  </si>
  <si>
    <t>Batu kali (quarry)</t>
  </si>
  <si>
    <t>Batu Muka ukuran 12x18 cm</t>
  </si>
  <si>
    <t>m2</t>
  </si>
  <si>
    <t>Batu paras</t>
  </si>
  <si>
    <t>Batu pecah</t>
  </si>
  <si>
    <t>kg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</si>
  <si>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</si>
  <si>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</si>
  <si>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</si>
  <si>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</si>
  <si>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</si>
  <si>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</si>
  <si>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</si>
  <si>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Batu tempel hitam</t>
  </si>
  <si>
    <t>Fly ash</t>
  </si>
  <si>
    <t>HB-10</t>
  </si>
  <si>
    <t>HB-15</t>
  </si>
  <si>
    <t>HB-20</t>
  </si>
  <si>
    <t>Koral bulat</t>
  </si>
  <si>
    <t>Pasir beton</t>
  </si>
  <si>
    <t>Pasir beton (Base camp - lokasi pekerjaan)</t>
  </si>
  <si>
    <t>Pasir beton (quarry - Base camp)</t>
  </si>
  <si>
    <t>Pasir beton (quarry - lokasi pekerjaan)</t>
  </si>
  <si>
    <t>Pasir beton (quarry)</t>
  </si>
  <si>
    <t>Pasir pasang (quarry - base camp)</t>
  </si>
  <si>
    <t>Pasir pasang (quarry - lokasi pekerjaan)</t>
  </si>
  <si>
    <t>Pasir pasang (quarry)</t>
  </si>
  <si>
    <t>Pasir urug (quarry - base camp)</t>
  </si>
  <si>
    <t>Pasir urug (quarry - lokasi pekerjaan)</t>
  </si>
  <si>
    <t>Pasir Urug (quarry)</t>
  </si>
  <si>
    <t>Serbuk batu granit</t>
  </si>
  <si>
    <t>Serbuk batu traso</t>
  </si>
  <si>
    <t>Sirtu (base camp - lokasi pekerjaan)</t>
  </si>
  <si>
    <t>Sirtu (quarry - base camp)</t>
  </si>
  <si>
    <t>Sirtu (quarry - lokasi pekerjaan)</t>
  </si>
  <si>
    <t>Sirtu (quarry)</t>
  </si>
  <si>
    <t>Tanah biasa (quarry - lokasi pekerjaan)</t>
  </si>
  <si>
    <t>Tanah biasa (quarry)</t>
  </si>
  <si>
    <t>Tanah liat  (quarry)</t>
  </si>
  <si>
    <t>Tanah liat (quarry-lokasi pekerjaan)</t>
  </si>
  <si>
    <t>Tanah padas  (quarry - lokasi pekerjaan)</t>
  </si>
  <si>
    <t>Tanah padas  (quarry)</t>
  </si>
  <si>
    <t>Tanah Pilihan (quarry - lokasi pekerjaan)</t>
  </si>
  <si>
    <t>Tanah Pilihan (quarry)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</si>
  <si>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</si>
  <si>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</si>
  <si>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</si>
  <si>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</si>
  <si>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</si>
  <si>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</si>
  <si>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Bilik bambu</t>
  </si>
  <si>
    <t>Blockboard tebal 18 mm</t>
  </si>
  <si>
    <t>Dolken kayu φ 8-10 panjang 400 cm</t>
  </si>
  <si>
    <t>m'</t>
  </si>
  <si>
    <t>Kayu balok 6/12 kelas I</t>
  </si>
  <si>
    <t>Kayu balok 6/12 kelas II</t>
  </si>
  <si>
    <t>Kayu balok 6/15 kelas I</t>
  </si>
  <si>
    <t>Kayu balok 6/15 kelas II</t>
  </si>
  <si>
    <t>Kayu kaso 5/7 kelas III</t>
  </si>
  <si>
    <t>Kayu Meranti (papan)</t>
  </si>
  <si>
    <t>m³</t>
  </si>
  <si>
    <t>Kayu papan 3/20 cm</t>
  </si>
  <si>
    <t>Kayu papan kelas I</t>
  </si>
  <si>
    <t>Kayu papan kelas II</t>
  </si>
  <si>
    <t>Kayu papan kelas III</t>
  </si>
  <si>
    <t>Kayu sengon (balok)</t>
  </si>
  <si>
    <t>Kayu Sengon (papan)</t>
  </si>
  <si>
    <t>List kayu 2x4 cm</t>
  </si>
  <si>
    <t>List kayu profil</t>
  </si>
  <si>
    <t>lembar</t>
  </si>
  <si>
    <t>Multiplek tebal 12 mm</t>
  </si>
  <si>
    <t>Multiplek tebal 18 mm</t>
  </si>
  <si>
    <t>Perancah kayu</t>
  </si>
  <si>
    <t>Phenol film 12mm</t>
  </si>
  <si>
    <t>Pintu panel kayu lapis timbal uk. 1x2 m</t>
  </si>
  <si>
    <t>unit</t>
  </si>
  <si>
    <t>Plywood 12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</si>
  <si>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</si>
  <si>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</si>
  <si>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</si>
  <si>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</si>
  <si>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</si>
  <si>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</si>
  <si>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</si>
  <si>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</si>
  <si>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</si>
  <si>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</si>
  <si>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</si>
  <si>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</si>
  <si>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</si>
  <si>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</si>
  <si>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Ø 1/2"</t>
  </si>
  <si>
    <t>Pipa PVC AW Ø 10"</t>
  </si>
  <si>
    <t>Pipa PVC AW Ø 1-1/2"</t>
  </si>
  <si>
    <t>Pipa PVC AW Ø 1-1/4"</t>
  </si>
  <si>
    <t>Pipa PVC AW Ø 12"</t>
  </si>
  <si>
    <t>Pipa PVC AW Ø 14"</t>
  </si>
  <si>
    <t>Pipa PVC AW Ø 16"</t>
  </si>
  <si>
    <t>Pipa PVC AW Ø 2"</t>
  </si>
  <si>
    <t>Pipa PVC AW Ø 2-1/2"</t>
  </si>
  <si>
    <t>Pipa PVC AW Ø 3"</t>
  </si>
  <si>
    <t>Pipa PVC AW Ø 3/4"</t>
  </si>
  <si>
    <t>Pipa PVC AW Ø 4"</t>
  </si>
  <si>
    <t>Pipa PVC AW Ø 5"</t>
  </si>
  <si>
    <t>Pipa PVC AW Ø 6"</t>
  </si>
  <si>
    <t>Pipa PVC AW Ø 8"</t>
  </si>
  <si>
    <t>Pipa PVC D Ø 10"</t>
  </si>
  <si>
    <t>Pipa PVC D Ø 1-1/2"</t>
  </si>
  <si>
    <t>Pipa PVC D Ø 1-1/4"</t>
  </si>
  <si>
    <t>Pipa PVC D Ø 12"</t>
  </si>
  <si>
    <t>Pipa PVC D Ø 14"</t>
  </si>
  <si>
    <t>Pipa PVC D Ø 16"</t>
  </si>
  <si>
    <t>Pipa PVC D Ø 2"</t>
  </si>
  <si>
    <t>Pipa PVC D Ø 2-1/2"</t>
  </si>
  <si>
    <t>Pipa PVC D Ø 3"</t>
  </si>
  <si>
    <t>Pipa PVC D Ø 4"</t>
  </si>
  <si>
    <t>Pipa PVC D Ø 5"</t>
  </si>
  <si>
    <t>Pipa PVC D Ø 6"</t>
  </si>
  <si>
    <t>Pipa PVC D Ø 8"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</si>
  <si>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</si>
  <si>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</si>
  <si>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</si>
  <si>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</si>
  <si>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</si>
  <si>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</si>
  <si>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</si>
  <si>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</si>
  <si>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</si>
  <si>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</si>
  <si>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</si>
  <si>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</si>
  <si>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</si>
  <si>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</si>
  <si>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</si>
  <si>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</si>
  <si>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</si>
  <si>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</si>
  <si>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</si>
  <si>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</si>
  <si>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</si>
  <si>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</si>
  <si>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</si>
  <si>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</si>
  <si>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</si>
  <si>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</si>
  <si>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</si>
  <si>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</si>
  <si>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</si>
  <si>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</si>
  <si>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</si>
  <si>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</si>
  <si>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</si>
  <si>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</si>
  <si>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</si>
  <si>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>MATERIAL BESI DAN BAJA</t>
  </si>
  <si>
    <t>Baja (ulir) U-39</t>
  </si>
  <si>
    <t>Baja (ulir) U-48</t>
  </si>
  <si>
    <t>Baja Tahan Karat  ( Stainless  Steel )</t>
  </si>
  <si>
    <t>Besi angkur diameter 8</t>
  </si>
  <si>
    <t>Besi angkur/mur/baut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</si>
  <si>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</si>
  <si>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</si>
  <si>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</si>
  <si>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</si>
  <si>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</si>
  <si>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</si>
  <si>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</si>
  <si>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</si>
  <si>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</si>
  <si>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>Besi strip (0,2x2) cm</t>
  </si>
  <si>
    <t>Besi strip (20x3) mm</t>
  </si>
  <si>
    <t>Besi strip tebal 5 mm</t>
  </si>
  <si>
    <t>BjTP</t>
  </si>
  <si>
    <t>BjTS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</si>
  <si>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</si>
  <si>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</si>
  <si>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</si>
  <si>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</si>
  <si>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</si>
  <si>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</si>
  <si>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</si>
  <si>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</si>
  <si>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</si>
  <si>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</si>
  <si>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</si>
  <si>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</si>
  <si>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</si>
  <si>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</si>
  <si>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</si>
  <si>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</si>
  <si>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</si>
  <si>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</si>
  <si>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duri</t>
  </si>
  <si>
    <t>Kawat harmonika</t>
  </si>
  <si>
    <t>Kawat las</t>
  </si>
  <si>
    <t>Kawat nyamuk</t>
  </si>
  <si>
    <t>Kawat nyamuk nylon</t>
  </si>
  <si>
    <t>Kawat Ø 4 mm</t>
  </si>
  <si>
    <t>Lapisan hot  deep galvanis</t>
  </si>
  <si>
    <t>Paku 1 inch</t>
  </si>
  <si>
    <t>Paku 12 cm</t>
  </si>
  <si>
    <t>Paku 2 inch</t>
  </si>
  <si>
    <t>Paku 4 inch</t>
  </si>
  <si>
    <t>Paku beton</t>
  </si>
  <si>
    <t>Paku hak panj 15cm</t>
  </si>
  <si>
    <t>Paku pancing 6x23</t>
  </si>
  <si>
    <t>Paku payung</t>
  </si>
  <si>
    <t>Paku rivet</t>
  </si>
  <si>
    <t>Paku sekrup</t>
  </si>
  <si>
    <t>Pintu tahan api</t>
  </si>
  <si>
    <t>Pipa baja dia. 30 cm</t>
  </si>
  <si>
    <t>Pipa baja dia. 40 cm</t>
  </si>
  <si>
    <t>Pipa baja dia. 50 cm</t>
  </si>
  <si>
    <t>Pipa besi hitam 1 inch</t>
  </si>
  <si>
    <t>Pipa besi hitam 1,5 inch</t>
  </si>
  <si>
    <t>Pipa besi hitam 2 inch</t>
  </si>
  <si>
    <t>Pipa besi hitam 3 inch</t>
  </si>
  <si>
    <t>Saringan pasir</t>
  </si>
  <si>
    <t>Sekrup kait</t>
  </si>
  <si>
    <t>Wiremesh M10</t>
  </si>
  <si>
    <t>96,54 kg/lembar</t>
  </si>
  <si>
    <t>Wiremesh M12</t>
  </si>
  <si>
    <t>139,02 kg/lembar</t>
  </si>
  <si>
    <t>Wiremesh M6</t>
  </si>
  <si>
    <t>34,76 kg/lembar</t>
  </si>
  <si>
    <t>Wiremesh M7</t>
  </si>
  <si>
    <t>47,31 kg/lembar</t>
  </si>
  <si>
    <t>Wiremesh M8</t>
  </si>
  <si>
    <t>61,79 kg/lembar</t>
  </si>
  <si>
    <t>Wiremesh M9</t>
  </si>
  <si>
    <t>8,20 kg/lembar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</si>
  <si>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</si>
  <si>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</si>
  <si>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</si>
  <si>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</si>
  <si>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</si>
  <si>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</si>
  <si>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</si>
  <si>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</si>
  <si>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</si>
  <si>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</si>
  <si>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</si>
  <si>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</si>
  <si>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</si>
  <si>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</si>
  <si>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</si>
  <si>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</si>
  <si>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</si>
  <si>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</si>
  <si>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</si>
  <si>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</si>
  <si>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</si>
  <si>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</si>
  <si>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</si>
  <si>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</si>
  <si>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</si>
  <si>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</si>
  <si>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</si>
  <si>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</si>
  <si>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</si>
  <si>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</si>
  <si>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</si>
  <si>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</si>
  <si>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</si>
  <si>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</si>
  <si>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</si>
  <si>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</si>
  <si>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</si>
  <si>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</si>
  <si>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</si>
  <si>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</si>
  <si>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</si>
  <si>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</si>
  <si>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</si>
  <si>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</si>
  <si>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</si>
  <si>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</si>
  <si>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</si>
  <si>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</si>
  <si>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setara morando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</si>
  <si>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</si>
  <si>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</si>
  <si>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</si>
  <si>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</si>
  <si>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</si>
  <si>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</si>
  <si>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</si>
  <si>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</si>
  <si>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</si>
  <si>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</si>
  <si>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</si>
  <si>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</si>
  <si>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</si>
  <si>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</si>
  <si>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</si>
  <si>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</si>
  <si>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</si>
  <si>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 3x6 inch</t>
  </si>
  <si>
    <t>Seng gelombang bjls  0.18 panjang 180 cm</t>
  </si>
  <si>
    <t>Seng gelombang bjls  0.20 panjang 180 cm</t>
  </si>
  <si>
    <t>Seng gelombang bjls  0.40 panjang 180 cm</t>
  </si>
  <si>
    <t>Seng gelombang bjls  28</t>
  </si>
  <si>
    <t>Seng gelombang bljs 30</t>
  </si>
  <si>
    <t>Seng gelombang panjang 200 cm</t>
  </si>
  <si>
    <t>Seng plat  BJLS 0.18 lebar 55 cm</t>
  </si>
  <si>
    <t>Seng plat  BJLS 0.20 lebar 55 cm</t>
  </si>
  <si>
    <t>Seng plat  BJLS 0.28 lebar 55 cm</t>
  </si>
  <si>
    <t>Seng plat  BJLS 0.30 lebar 55 cm</t>
  </si>
  <si>
    <t>Seng plat 3x6 inch</t>
  </si>
  <si>
    <t>Seng plat 3x6 inch bjls 28</t>
  </si>
  <si>
    <t>Seng plat bjls 28</t>
  </si>
  <si>
    <t>Seng plat bjls 30</t>
  </si>
  <si>
    <t>Sirap (100 lbr)</t>
  </si>
  <si>
    <t>pak</t>
  </si>
  <si>
    <t>Sirap kayu</t>
  </si>
  <si>
    <t>Wab  capsule 62.27  tinggi 62  mm dan  tebal 0,4mm</t>
  </si>
  <si>
    <t>MATERIAL PLAFON</t>
  </si>
  <si>
    <t>Asbes 1,00  x 1,00  m</t>
  </si>
  <si>
    <t>Compon Flafond</t>
  </si>
  <si>
    <t>cross tee</t>
  </si>
  <si>
    <t>GRCboard (120 cm x  240 cm x  5 mm)</t>
  </si>
  <si>
    <t>GRCboard (120 cm x  240 cm x  6 mm)</t>
  </si>
  <si>
    <t>Gypsum Board (120 cm x  240 cm x  12 mm)</t>
  </si>
  <si>
    <t>Gypsum board (120 cm x 240 cm x 9 mm)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</si>
  <si>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</si>
  <si>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</si>
  <si>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</si>
  <si>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</si>
  <si>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</si>
  <si>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</si>
  <si>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</si>
  <si>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</si>
  <si>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</si>
  <si>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</si>
  <si>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</si>
  <si>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</si>
  <si>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</si>
  <si>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</si>
  <si>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</si>
  <si>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</si>
  <si>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</si>
  <si>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</si>
  <si>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</si>
  <si>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</si>
  <si>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</si>
  <si>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</si>
  <si>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</si>
  <si>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</si>
  <si>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</si>
  <si>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</si>
  <si>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</si>
  <si>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</si>
  <si>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</si>
  <si>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</si>
  <si>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</si>
  <si>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</si>
  <si>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</si>
  <si>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</si>
  <si>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</si>
  <si>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</si>
  <si>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</si>
  <si>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</si>
  <si>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</si>
  <si>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</si>
  <si>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</si>
  <si>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</si>
  <si>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</si>
  <si>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</si>
  <si>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</si>
  <si>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</si>
  <si>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</si>
  <si>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</si>
  <si>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</si>
  <si>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</si>
  <si>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</si>
  <si>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</si>
  <si>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</si>
  <si>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</si>
  <si>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</si>
  <si>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</si>
  <si>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</si>
  <si>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</si>
  <si>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</si>
  <si>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</si>
  <si>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</si>
  <si>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</si>
  <si>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</si>
  <si>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</si>
  <si>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</si>
  <si>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</si>
  <si>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</si>
  <si>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</si>
  <si>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</si>
  <si>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</si>
  <si>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</si>
  <si>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</si>
  <si>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</si>
  <si>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</si>
  <si>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</si>
  <si>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</si>
  <si>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</si>
  <si>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</si>
  <si>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</si>
  <si>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</si>
  <si>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</si>
  <si>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</si>
  <si>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</si>
  <si>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</si>
  <si>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</si>
  <si>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</si>
  <si>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</si>
  <si>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</si>
  <si>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</si>
  <si>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</si>
  <si>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</si>
  <si>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</si>
  <si>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</si>
  <si>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</si>
  <si>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Plint teralux marmer uk. 10-15x30 cm</t>
  </si>
  <si>
    <t>Plint teralux marmer uk. 10-15x40 cm</t>
  </si>
  <si>
    <t>Plint teralux marmer uk. 10-15x60 cm</t>
  </si>
  <si>
    <t>Plint ubin granit uk. 10-15x30 cm</t>
  </si>
  <si>
    <t>Plint ubin granit uk. 10-15x40 cm</t>
  </si>
  <si>
    <t>Plint ubin granit uk. 10-15x60 cm</t>
  </si>
  <si>
    <t>Plint ubin PC abu-abu uk. 10-15x20 cm</t>
  </si>
  <si>
    <t>Plint ubin PC abu-abu uk. 10-15x30 cm</t>
  </si>
  <si>
    <t>Plint ubin PC abu-abu uk. 10-15x40 cm</t>
  </si>
  <si>
    <t>Plint ubin PC abu-abu uk. 10-15x60 cm</t>
  </si>
  <si>
    <t>Plint ubin teraso uk. 10-15x30 cm</t>
  </si>
  <si>
    <t>Plint ubin teraso uk. 10-15x40 cm</t>
  </si>
  <si>
    <t>Plint ubin warna uk. 10-15x20 cm</t>
  </si>
  <si>
    <t>Plint ubin warna uk. 10-15x30 cm</t>
  </si>
  <si>
    <t>Plint ubin warna uk. 10-15x40 cm</t>
  </si>
  <si>
    <t>Plint ubin warna uk. 10-15x60 cm</t>
  </si>
  <si>
    <t>Porselen 10x20 cm</t>
  </si>
  <si>
    <t>Porselen 11x11 cm</t>
  </si>
  <si>
    <t>dus</t>
  </si>
  <si>
    <t>Porselen 20x20 cm</t>
  </si>
  <si>
    <t>Tangga Papan</t>
  </si>
  <si>
    <t>Tangga Parquet  /  Flooring</t>
  </si>
  <si>
    <t>Tegel plint, PC  abu-abu 15 x  20 cm</t>
  </si>
  <si>
    <t>Tegel plint, PC  warna 10 x  20 cm</t>
  </si>
  <si>
    <t>Teraso cor</t>
  </si>
  <si>
    <t>Ubin granit 30x30 cm</t>
  </si>
  <si>
    <t>Ubin granit 40x40 cm</t>
  </si>
  <si>
    <t>Ubin granit 60x60 cm</t>
  </si>
  <si>
    <t>Ubin PC abu-abu 20x20 cm</t>
  </si>
  <si>
    <t>Ubin PC abu-abu 30x30 cm</t>
  </si>
  <si>
    <t>Ubin PC abu-abu 40x40 cm</t>
  </si>
  <si>
    <t>Ubin PC abu-abu 60x60 cm</t>
  </si>
  <si>
    <t>Ubin porselen lokal 11 x  11 putih</t>
  </si>
  <si>
    <t>dos</t>
  </si>
  <si>
    <t>Ubin porselen lokal 11 x  11 warna</t>
  </si>
  <si>
    <t>Ubin porselen lokal 15 x  15 putih</t>
  </si>
  <si>
    <t>Ubin porselen lokal 15 x  15 warna</t>
  </si>
  <si>
    <t>Ubin teralux marmer 30x30 cm</t>
  </si>
  <si>
    <t>Ubin teralux marmer 40x40 cm</t>
  </si>
  <si>
    <t>Ubin teralux marmer 60x60 cm</t>
  </si>
  <si>
    <t>Ubin teraso 30x30 cm</t>
  </si>
  <si>
    <t>Ubin teraso 40x40 cm</t>
  </si>
  <si>
    <t>Ubin warna 20x20 cm</t>
  </si>
  <si>
    <t>Ubin warna 30x30 cm</t>
  </si>
  <si>
    <t>Ubin warna 40x40 cm</t>
  </si>
  <si>
    <t>Ubin warna 60x60 cm</t>
  </si>
  <si>
    <t>Underlayer karpet</t>
  </si>
  <si>
    <t>UPVC decking</t>
  </si>
  <si>
    <t>Vinyl</t>
  </si>
  <si>
    <t>MATERIAL BETON DAN ADUKAN PASANGAN</t>
  </si>
  <si>
    <t>Additive</t>
  </si>
  <si>
    <t>liter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</si>
  <si>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</si>
  <si>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</si>
  <si>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</si>
  <si>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</si>
  <si>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</si>
  <si>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</si>
  <si>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</si>
  <si>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</si>
  <si>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</si>
  <si>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</si>
  <si>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</si>
  <si>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</si>
  <si>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Compound gypsum</t>
  </si>
  <si>
    <t>Compound hardboard</t>
  </si>
  <si>
    <t>Curing compound</t>
  </si>
  <si>
    <t>Flexible waterproofing</t>
  </si>
  <si>
    <t>Formtie/penjaga jarak bekesting/spacer</t>
  </si>
  <si>
    <t>Kassa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</si>
  <si>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</si>
  <si>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</si>
  <si>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</si>
  <si>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</si>
  <si>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</si>
  <si>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</si>
  <si>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</si>
  <si>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</si>
  <si>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</si>
  <si>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</si>
  <si>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</si>
  <si>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</si>
  <si>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putih 40 Kg</t>
  </si>
  <si>
    <t>Semen putih 50 Kg</t>
  </si>
  <si>
    <t>Semen warna</t>
  </si>
  <si>
    <t>Waterproofing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</si>
  <si>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</si>
  <si>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</si>
  <si>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</si>
  <si>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</si>
  <si>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</si>
  <si>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</si>
  <si>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</si>
  <si>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</si>
  <si>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</si>
  <si>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dasar (cat tembok eksterior)</t>
  </si>
  <si>
    <t>Cat dasar (cat tembok interior)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</si>
  <si>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</si>
  <si>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</si>
  <si>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</si>
  <si>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</si>
  <si>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</si>
  <si>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</si>
  <si>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zyncromate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</si>
  <si>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</si>
  <si>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</si>
  <si>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</si>
  <si>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</si>
  <si>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</si>
  <si>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</si>
  <si>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</si>
  <si>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</si>
  <si>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</si>
  <si>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</si>
  <si>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</si>
  <si>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</si>
  <si>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</si>
  <si>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</si>
  <si>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</si>
  <si>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</si>
  <si>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</si>
  <si>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</si>
  <si>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</si>
  <si>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</si>
  <si>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</si>
  <si>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</si>
  <si>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</si>
  <si>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</si>
  <si>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</si>
  <si>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</si>
  <si>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</si>
  <si>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</si>
  <si>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</si>
  <si>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</si>
  <si>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</si>
  <si>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</si>
  <si>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</si>
  <si>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</si>
  <si>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</si>
  <si>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</si>
  <si>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</si>
  <si>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>Kait angin</t>
  </si>
  <si>
    <t>Kunci lemari</t>
  </si>
  <si>
    <t>Kunci silinder</t>
  </si>
  <si>
    <t>Kunci slot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</si>
  <si>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</si>
  <si>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</si>
  <si>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</si>
  <si>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</si>
  <si>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</si>
  <si>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</si>
  <si>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</si>
  <si>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set</t>
  </si>
  <si>
    <t>Spring knip</t>
  </si>
  <si>
    <t>Tarikan Pintu Stainless</t>
  </si>
  <si>
    <t>Venetions blinds dan vertical blinds</t>
  </si>
  <si>
    <t>MATERIAL KACA</t>
  </si>
  <si>
    <t>Glass block 20x20 cm</t>
  </si>
  <si>
    <t>Jendela nako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</si>
  <si>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</si>
  <si>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</si>
  <si>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</si>
  <si>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</si>
  <si>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</si>
  <si>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</si>
  <si>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</si>
  <si>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</si>
  <si>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</si>
  <si>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</si>
  <si>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</si>
  <si>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</si>
  <si>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</si>
  <si>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</si>
  <si>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</si>
  <si>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</si>
  <si>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</si>
  <si>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</si>
  <si>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</si>
  <si>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</si>
  <si>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</si>
  <si>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</si>
  <si>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</si>
  <si>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</si>
  <si>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</si>
  <si>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</si>
  <si>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</si>
  <si>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</si>
  <si>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</si>
  <si>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</si>
  <si>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</si>
  <si>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</si>
  <si>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</si>
  <si>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</si>
  <si>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</si>
  <si>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</si>
  <si>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</si>
  <si>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</si>
  <si>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</si>
  <si>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</si>
  <si>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</si>
  <si>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</si>
  <si>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</si>
  <si>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</si>
  <si>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</si>
  <si>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</si>
  <si>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</si>
  <si>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</si>
  <si>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</si>
  <si>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</si>
  <si>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</si>
  <si>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</si>
  <si>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</si>
  <si>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</si>
  <si>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</si>
  <si>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</si>
  <si>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</si>
  <si>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</si>
  <si>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</si>
  <si>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</si>
  <si>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</si>
  <si>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</si>
  <si>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</si>
  <si>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</si>
  <si>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</si>
  <si>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</si>
  <si>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</si>
  <si>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</si>
  <si>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</si>
  <si>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</si>
  <si>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</si>
  <si>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</si>
  <si>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</si>
  <si>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</si>
  <si>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</si>
  <si>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</si>
  <si>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</si>
  <si>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</si>
  <si>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</si>
  <si>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</si>
  <si>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</si>
  <si>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</si>
  <si>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</si>
  <si>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</si>
  <si>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</si>
  <si>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</si>
  <si>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</si>
  <si>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</si>
  <si>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</si>
  <si>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</si>
  <si>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</si>
  <si>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</si>
  <si>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</si>
  <si>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</si>
  <si>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</si>
  <si>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</si>
  <si>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</si>
  <si>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</si>
  <si>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</si>
  <si>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</si>
  <si>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</si>
  <si>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</si>
  <si>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</si>
  <si>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</si>
  <si>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</si>
  <si>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</si>
  <si>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</si>
  <si>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</si>
  <si>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</si>
  <si>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</si>
  <si>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</si>
  <si>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</si>
  <si>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</si>
  <si>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</si>
  <si>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</si>
  <si>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</si>
  <si>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</si>
  <si>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</si>
  <si>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</si>
  <si>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</si>
  <si>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</si>
  <si>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</si>
  <si>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</si>
  <si>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</si>
  <si>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</si>
  <si>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</si>
  <si>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</si>
  <si>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</si>
  <si>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</si>
  <si>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</si>
  <si>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</si>
  <si>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</si>
  <si>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</si>
  <si>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</si>
  <si>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</si>
  <si>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</si>
  <si>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</si>
  <si>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</si>
  <si>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</si>
  <si>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</si>
  <si>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</si>
  <si>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</si>
  <si>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</si>
  <si>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</si>
  <si>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</si>
  <si>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>Frame aluminium</t>
  </si>
  <si>
    <t>Gembok</t>
  </si>
  <si>
    <t>Grease</t>
  </si>
  <si>
    <t>Hollow  galvanis  20x40x0,4 mm</t>
  </si>
  <si>
    <t>Hollow galvanis 40x40x0,4 mm</t>
  </si>
  <si>
    <t>Jalusi aluminium</t>
  </si>
  <si>
    <t>Kontra mur type ronsel</t>
  </si>
  <si>
    <t>Kontra mur type skep</t>
  </si>
  <si>
    <t>kopel/universal join</t>
  </si>
  <si>
    <t>Kusen aluminium 4"  putih</t>
  </si>
  <si>
    <t>Lager type ronsel</t>
  </si>
  <si>
    <t>Lager type skep</t>
  </si>
  <si>
    <t>Mur baut  1/2"  x  4"</t>
  </si>
  <si>
    <t>Mur baut  5/8"  x  4"</t>
  </si>
  <si>
    <t>Mur baut  M8 steinless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</si>
  <si>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</si>
  <si>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</si>
  <si>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</si>
  <si>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</si>
  <si>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</si>
  <si>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</si>
  <si>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</si>
  <si>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</si>
  <si>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</si>
  <si>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</si>
  <si>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</si>
  <si>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</si>
  <si>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</si>
  <si>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</si>
  <si>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</si>
  <si>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</si>
  <si>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</si>
  <si>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</si>
  <si>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</si>
  <si>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</si>
  <si>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</si>
  <si>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</si>
  <si>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</si>
  <si>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</si>
  <si>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</si>
  <si>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</si>
  <si>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</si>
  <si>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</si>
  <si>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</si>
  <si>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</si>
  <si>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</si>
  <si>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</si>
  <si>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</si>
  <si>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</si>
  <si>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</si>
  <si>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</si>
  <si>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</si>
  <si>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</si>
  <si>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</si>
  <si>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</si>
  <si>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Kabel BCC 70 mm² (0,70 kg/m)</t>
  </si>
  <si>
    <t>Kabel BCC 95 mm² (0,95 kg/m)</t>
  </si>
  <si>
    <t>Kabel FRC 1 x 150 mm²</t>
  </si>
  <si>
    <t>Kabel FRC 2 x 1,5 mm²</t>
  </si>
  <si>
    <t>Kabel FRC 2 x 2,5 mm²</t>
  </si>
  <si>
    <t>Kabel FRC 3 x 2,5 mm²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</si>
  <si>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</si>
  <si>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</si>
  <si>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</si>
  <si>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</si>
  <si>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</si>
  <si>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</si>
  <si>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</si>
  <si>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</si>
  <si>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</si>
  <si>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</si>
  <si>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</si>
  <si>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</si>
  <si>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</si>
  <si>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</si>
  <si>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</si>
  <si>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</si>
  <si>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</si>
  <si>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</si>
  <si>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</si>
  <si>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</si>
  <si>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</si>
  <si>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</si>
  <si>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</si>
  <si>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</si>
  <si>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</si>
  <si>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</si>
  <si>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</si>
  <si>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</si>
  <si>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</si>
  <si>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</si>
  <si>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</si>
  <si>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</si>
  <si>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</si>
  <si>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</si>
  <si>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</si>
  <si>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</si>
  <si>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</si>
  <si>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</si>
  <si>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</si>
  <si>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</si>
  <si>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</si>
  <si>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</si>
  <si>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</si>
  <si>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</si>
  <si>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</si>
  <si>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</si>
  <si>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</si>
  <si>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</si>
  <si>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</si>
  <si>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</si>
  <si>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</si>
  <si>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</si>
  <si>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</si>
  <si>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</si>
  <si>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</si>
  <si>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</si>
  <si>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</si>
  <si>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</si>
  <si>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</si>
  <si>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</si>
  <si>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</si>
  <si>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</si>
  <si>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</si>
  <si>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</si>
  <si>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</si>
  <si>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</si>
  <si>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</si>
  <si>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</si>
  <si>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</si>
  <si>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</si>
  <si>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</si>
  <si>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</si>
  <si>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</si>
  <si>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</si>
  <si>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</si>
  <si>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</si>
  <si>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</si>
  <si>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</si>
  <si>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</si>
  <si>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</si>
  <si>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</si>
  <si>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</si>
  <si>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</si>
  <si>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</si>
  <si>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</si>
  <si>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</si>
  <si>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</si>
  <si>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</si>
  <si>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</si>
  <si>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</si>
  <si>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</si>
  <si>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</si>
  <si>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</si>
  <si>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</si>
  <si>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</si>
  <si>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</si>
  <si>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</si>
  <si>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</si>
  <si>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</si>
  <si>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</si>
  <si>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</si>
  <si>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</si>
  <si>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</si>
  <si>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</si>
  <si>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</si>
  <si>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</si>
  <si>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</si>
  <si>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</si>
  <si>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>Kabel tray 200 x 100 mm</t>
  </si>
  <si>
    <t>Kabel tray 300 x 100 mm</t>
  </si>
  <si>
    <t>Kabel tray 400 x 100 mm</t>
  </si>
  <si>
    <t>Kabel tray 500 x 100 mm</t>
  </si>
  <si>
    <t>Kabel tray 600 x 100 mm</t>
  </si>
  <si>
    <t>Klem kabel tray</t>
  </si>
  <si>
    <t>Mur baut kabel tray</t>
  </si>
  <si>
    <t>PVC conduit HI 20 mm²</t>
  </si>
  <si>
    <t>MATERIAL LAIN-LAIN</t>
  </si>
  <si>
    <t>Air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</si>
  <si>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</si>
  <si>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</si>
  <si>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</si>
  <si>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</si>
  <si>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</si>
  <si>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</si>
  <si>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</si>
  <si>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</si>
  <si>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0,8 mm</t>
  </si>
  <si>
    <t>Baja ringan C75 x 1,00 mm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</si>
  <si>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</si>
  <si>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</si>
  <si>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</si>
  <si>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</si>
  <si>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</si>
  <si>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</si>
  <si>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</si>
  <si>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</si>
  <si>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</si>
  <si>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</si>
  <si>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</si>
  <si>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</si>
  <si>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</si>
  <si>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</si>
  <si>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</si>
  <si>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</si>
  <si>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</si>
  <si>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</si>
  <si>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</si>
  <si>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</si>
  <si>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</si>
  <si>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</si>
  <si>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</si>
  <si>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</si>
  <si>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</si>
  <si>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</si>
  <si>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</si>
  <si>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</si>
  <si>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</si>
  <si>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</si>
  <si>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</si>
  <si>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</si>
  <si>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</si>
  <si>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</si>
  <si>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</si>
  <si>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</si>
  <si>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</si>
  <si>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</si>
  <si>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</si>
  <si>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</si>
  <si>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</si>
  <si>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</si>
  <si>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</si>
  <si>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</si>
  <si>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</si>
  <si>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</si>
  <si>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</si>
  <si>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</si>
  <si>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</si>
  <si>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</si>
  <si>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</si>
  <si>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</si>
  <si>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</si>
  <si>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</si>
  <si>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</si>
  <si>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</si>
  <si>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</si>
  <si>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</si>
  <si>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</si>
  <si>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</si>
  <si>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</si>
  <si>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</si>
  <si>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</si>
  <si>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</si>
  <si>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</si>
  <si>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</si>
  <si>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</si>
  <si>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</si>
  <si>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</si>
  <si>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</si>
  <si>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</si>
  <si>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</si>
  <si>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</si>
  <si>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Kg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</si>
  <si>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</si>
  <si>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</si>
  <si>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</si>
  <si>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</si>
  <si>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</si>
  <si>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</si>
  <si>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</si>
  <si>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</si>
  <si>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</si>
  <si>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</si>
  <si>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</si>
  <si>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</si>
  <si>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</si>
  <si>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Sitting Group (cast  iron, kayu)</t>
  </si>
  <si>
    <t>Skrup fixer</t>
  </si>
  <si>
    <t>Soda api</t>
  </si>
  <si>
    <t>Strorox-100</t>
  </si>
  <si>
    <t>Tali ijuk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</si>
  <si>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</si>
  <si>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</si>
  <si>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</si>
  <si>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</si>
  <si>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</si>
  <si>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</si>
  <si>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</si>
  <si>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</si>
  <si>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III</t>
  </si>
  <si>
    <t>SEWA PERALATAN</t>
  </si>
  <si>
    <t>Alat  bantu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</si>
  <si>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</si>
  <si>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</si>
  <si>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</si>
  <si>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</si>
  <si>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</si>
  <si>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</si>
  <si>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hari</t>
  </si>
  <si>
    <t>Blending equipment</t>
  </si>
  <si>
    <t>Bore pile machine</t>
  </si>
  <si>
    <t>Bulldozer 100-150 HP</t>
  </si>
  <si>
    <t>Chain saw</t>
  </si>
  <si>
    <t>Chainsaw 20”; 5,5HP</t>
  </si>
  <si>
    <t>Cold milling machine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</si>
  <si>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</si>
  <si>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</si>
  <si>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</si>
  <si>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</si>
  <si>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</si>
  <si>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</si>
  <si>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</si>
  <si>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</si>
  <si>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</si>
  <si>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</si>
  <si>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</si>
  <si>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</si>
  <si>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</si>
  <si>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</si>
  <si>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</si>
  <si>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</si>
  <si>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20 ton</t>
  </si>
  <si>
    <t>Dump truck 3,5 ton</t>
  </si>
  <si>
    <t>Dump truck 40 ton</t>
  </si>
  <si>
    <t>Dump truck 7,5 ton</t>
  </si>
  <si>
    <t>Excavator 80-140 HP</t>
  </si>
  <si>
    <t>Flat  bed truck 3-4 m³</t>
  </si>
  <si>
    <t>Generator set  135 KVA</t>
  </si>
  <si>
    <t>Jack hammer</t>
  </si>
  <si>
    <t>Jack hammer + genset</t>
  </si>
  <si>
    <t>pekerjaan pembongkaran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</si>
  <si>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</si>
  <si>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</si>
  <si>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</si>
  <si>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</si>
  <si>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</si>
  <si>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</si>
  <si>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</si>
  <si>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</si>
  <si>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</si>
  <si>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</si>
  <si>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</si>
  <si>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</si>
  <si>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</si>
  <si>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</si>
  <si>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</si>
  <si>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</si>
  <si>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</si>
  <si>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</si>
  <si>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</si>
  <si>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</si>
  <si>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</si>
  <si>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</si>
  <si>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</si>
  <si>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</si>
  <si>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</si>
  <si>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>Sewa bor horisontal</t>
  </si>
  <si>
    <t>Sewa Scaffolding :</t>
  </si>
  <si>
    <t>bulan</t>
  </si>
  <si>
    <t>- ScaffoldingPipe brancing 3 m</t>
  </si>
  <si>
    <t>- Scaffolding Pipe brancing 6 m</t>
  </si>
  <si>
    <t>Stamper</t>
  </si>
  <si>
    <t>Stang bor, batang bor dia. 1-1/4"</t>
  </si>
  <si>
    <t>Stone crusher</t>
  </si>
  <si>
    <t>Tandem roller 6-8 ton</t>
  </si>
  <si>
    <t>Theodolit</t>
  </si>
  <si>
    <t>Tower crane arm 30 m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</si>
  <si>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</si>
  <si>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</si>
  <si>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</si>
  <si>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</si>
  <si>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</si>
  <si>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</si>
  <si>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>Waterpass</t>
  </si>
  <si>
    <t>Wheel loader 1,0-1,6 m³</t>
  </si>
  <si>
    <t>Alat  pancang Hammer 0.5 ton</t>
  </si>
  <si>
    <t>Alat  penyambung tiang pancang dolken</t>
  </si>
  <si>
    <t>Angkur/mur/baut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</si>
  <si>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</si>
  <si>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</si>
  <si>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</si>
  <si>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</si>
  <si>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</si>
  <si>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</si>
  <si>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</si>
  <si>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Molen beton mixer 350 liter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</si>
  <si>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</si>
  <si>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</si>
  <si>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</si>
  <si>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</si>
  <si>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</si>
  <si>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</si>
  <si>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</si>
  <si>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</si>
  <si>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</si>
  <si>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</si>
  <si>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</si>
  <si>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</si>
  <si>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</si>
  <si>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</si>
  <si>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</si>
  <si>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</si>
  <si>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</si>
  <si>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</si>
  <si>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>SLO (Sertifikat  Laik Operasi)</t>
  </si>
  <si>
    <t>Tripod tinggi 5 m</t>
  </si>
  <si>
    <t>Truck Crane 5 ton</t>
  </si>
  <si>
    <t>UJL  (Uang Jaminan Langganan)</t>
  </si>
  <si>
    <t>HARGA SATUAN UPAH - MATERIAL - ALAT</t>
  </si>
  <si>
    <t>UPAH - MATERIAL - ALAT</t>
  </si>
  <si>
    <t>SATUAN</t>
  </si>
  <si>
    <t>Kawat jaring panjang 240 cm</t>
  </si>
  <si>
    <t>Pembuatan 1 m’ pagar sementara dari kayu tinggi 2 meter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</si>
  <si>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</si>
  <si>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</si>
  <si>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</si>
  <si>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</si>
  <si>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</si>
  <si>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</si>
  <si>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</si>
  <si>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</si>
  <si>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1</t>
  </si>
  <si>
    <t>2</t>
  </si>
  <si>
    <t>3</t>
  </si>
  <si>
    <t>4</t>
  </si>
  <si>
    <t>5</t>
  </si>
  <si>
    <t>JUMLAH HARGA TENAGA KERJA</t>
  </si>
  <si>
    <t>B</t>
  </si>
  <si>
    <t>BAHAN</t>
  </si>
  <si>
    <t>6</t>
  </si>
  <si>
    <t>7</t>
  </si>
  <si>
    <t>8</t>
  </si>
  <si>
    <t>JUMLAH HARGA BAHAN</t>
  </si>
  <si>
    <t>C</t>
  </si>
  <si>
    <t>PERALATAN</t>
  </si>
  <si>
    <t>JUMLAH HARGA ALAT</t>
  </si>
  <si>
    <t>D</t>
  </si>
  <si>
    <t>Jumlah (A+B+C)</t>
  </si>
  <si>
    <t>E</t>
  </si>
  <si>
    <t>F</t>
  </si>
  <si>
    <t>Harga Satuan Pekerjaan (D+E)</t>
  </si>
  <si>
    <t>Pembuatan 1 m’ pagar sementara dari seng gelombang rangka kayu tinggi 2 meter</t>
  </si>
  <si>
    <t>Pembuatan 1 m’ pagar sementara dari kawat duri tinggi 2 meter</t>
  </si>
  <si>
    <t>Pembuatan 1 m2 pagar BRC Galvanis</t>
  </si>
  <si>
    <t>JUMLAH  HARGA TENAGA KERJA</t>
  </si>
  <si>
    <t>JUMLAH  HARGA BAHAN</t>
  </si>
  <si>
    <t>JUMLAH  HARGA ALAT</t>
  </si>
  <si>
    <t>Pembuatan 1 m2 kantor sementara/rumah jaga/gudang semen dan peralatan lantai plesteran, dinding setengah tembok</t>
  </si>
  <si>
    <t>9</t>
  </si>
  <si>
    <t>10</t>
  </si>
  <si>
    <t>11</t>
  </si>
  <si>
    <t>12</t>
  </si>
  <si>
    <t>13</t>
  </si>
  <si>
    <t>14</t>
  </si>
  <si>
    <t>Tebas tebang 1 m
2
 tanaman/tumbuhan ∅ &gt;5 s.d. 15 cm</t>
  </si>
  <si>
    <t>Tebas tebang 1 batang pohon/tumbuhan ∅ &gt;15 s.d. 30 cm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</si>
  <si>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</si>
  <si>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</si>
  <si>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</si>
  <si>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</si>
  <si>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 xml:space="preserve">Gali dan cabut 1 tunggul pohon tanaman keras ∅ &gt; 15 cm  s.d. 30 cm (termasuk pembuangan sisa tunggul tanpa menutup kembali bekas lubang) 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</si>
  <si>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</si>
  <si>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</si>
  <si>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Pengukuran ulang topografi seluas 1 Ha</t>
  </si>
  <si>
    <t>PEKERJAAN PERSIAPAN</t>
  </si>
  <si>
    <t>Catatan:</t>
  </si>
  <si>
    <t>Biaya Umum dan Keuntungan</t>
  </si>
  <si>
    <t>Biaya Umum dan Keuntungan 10%-15% x D</t>
  </si>
  <si>
    <t>Plywood 4 mm m3</t>
  </si>
  <si>
    <t>Gali dan cabut 1 tunggul pohon tanaman keras ∅ &gt; 50 cm  s.d. 75 cm (termasuk pembuangan sisa tunggul tanpa menutup kembali bekas lubang)</t>
  </si>
  <si>
    <t>Gali dan cabut 1 tunggul pohon tanaman keras ∅ &gt; 15 cm s.d. 30 cm (termasuk pembuangan sisa tunggul dengan menutup kembali bekas lubang)</t>
  </si>
  <si>
    <t>Untuk Kayu Jati</t>
  </si>
  <si>
    <t>Untuk Kayu Bengkirai</t>
  </si>
  <si>
    <t>Untuk Kayu Meranti/Kamper</t>
  </si>
  <si>
    <t>Untuk Kayu Kruing/Sengon</t>
  </si>
  <si>
    <t>Untuk Pagar Sementara</t>
  </si>
  <si>
    <t>Ukuran 122 x 244 cm</t>
  </si>
  <si>
    <t>Lebar 120 cm</t>
  </si>
  <si>
    <t>1 m3 urukan pasir uruk untuk volume s.d 200 m3 tanpa pemadatan secara manual</t>
  </si>
  <si>
    <t xml:space="preserve">1 m3 urukan pasir uruk untuk volume &gt; 200 m3 tanpa pemadatan secara manual </t>
  </si>
  <si>
    <t>*</t>
  </si>
  <si>
    <t>1 m3 pemadatan tanah per 20 cm menggunakan alat timbris secara manual</t>
  </si>
  <si>
    <t>NB: Jika tidak menggunakan peralatan khusus (baja keras) maka Koefien C1, C2, C3 = 0)</t>
  </si>
  <si>
    <t>Pemasangan 1 m3 batu kosong (anstamping) untuk pondasi gedung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</si>
  <si>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</si>
  <si>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</si>
  <si>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</si>
  <si>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</si>
  <si>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</si>
  <si>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</si>
  <si>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</si>
  <si>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</si>
  <si>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</si>
  <si>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</si>
  <si>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</si>
  <si>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</si>
  <si>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</si>
  <si>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</si>
  <si>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</si>
  <si>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Sewa casing PVC dia. 20 cm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</si>
  <si>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</si>
  <si>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</si>
  <si>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</si>
  <si>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</si>
  <si>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Sewa casing pipa baja dia. 30 cm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</si>
  <si>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</si>
  <si>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</si>
  <si>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</si>
  <si>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</si>
  <si>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Sewa casing pipa baja dia. 40 cm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</si>
  <si>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</si>
  <si>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</si>
  <si>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</si>
  <si>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</si>
  <si>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Sewa casing pipa baja dia. 50 cm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</si>
  <si>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</si>
  <si>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</si>
  <si>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</si>
  <si>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>m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</si>
  <si>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</si>
  <si>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</si>
  <si>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</si>
  <si>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</si>
  <si>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</si>
  <si>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</si>
  <si>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</si>
  <si>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</si>
  <si>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</si>
  <si>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Kepala Tukang</t>
  </si>
  <si>
    <t>1 m3 beton dicorkan pada tapak setiap tambah jarak 25 m', secara manual</t>
  </si>
  <si>
    <t>1 m3 beton dicorkan pada tapak setiap kenaikan 4 m', secara manual</t>
  </si>
  <si>
    <t>Pengecoran pakai pompa beton ø 2,5", 20 KW, 20 bar, T = 18m'</t>
  </si>
  <si>
    <t>Pengecoran pakai pompa beton ∅ 2,5”, 75 KW; 120 bar, T = 50 m’/H= 80 m’</t>
  </si>
  <si>
    <t>Pengecoran pakai pompa beton ∅ 3”,140 KW; 180 bar, T=75 m'/H=150 m'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</si>
  <si>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</si>
  <si>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</si>
  <si>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</si>
  <si>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>Air (m3)</t>
  </si>
  <si>
    <t>Mesin bor (jam)</t>
  </si>
  <si>
    <t>Biaya Umum dan Keuntungan 10% - 15% x D</t>
  </si>
  <si>
    <t>Pemasangan 1 m2 rangka atap pelana baja ringan (canai dingin) profil C75</t>
  </si>
  <si>
    <t>Pemasangan 1 m2 rangka atap jurai/limasan baja ringan (canai dingin) profil C75</t>
  </si>
  <si>
    <t xml:space="preserve">Pemasangan 1 m3 konstruksi kuda-kuda konvensional, kayu kelas I, II, dan III bentang s.d. 6 meter </t>
  </si>
  <si>
    <t>Pemasangan 1 m3 konstruksi kuda-kuda ekspose, kayu kelas I</t>
  </si>
  <si>
    <t>Pemasangan 1 m2 rangka atap genteng keramik, kayu kelas II</t>
  </si>
  <si>
    <t>Pemasangan 1 m2 rangka atap genteng beton, kayu kelas II</t>
  </si>
  <si>
    <t>Pemasangan 1 m2 rangka atap sirap, kayu kelas II</t>
  </si>
  <si>
    <t>Kayu balok 6/15 kelas II (batang)</t>
  </si>
  <si>
    <t xml:space="preserve">Pemasangan 1 m2 dinding bata merah tebal 1 batu dengan mortar tipe M,fc’ 17,2 MPa (Setara Campuran 1SP : 2PP) </t>
  </si>
  <si>
    <t>JUMLAH TENAGA KERJA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</si>
  <si>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</si>
  <si>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</si>
  <si>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</si>
  <si>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</si>
  <si>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</si>
  <si>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</si>
  <si>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</si>
  <si>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</si>
  <si>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</si>
  <si>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</si>
  <si>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</si>
  <si>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</si>
  <si>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</si>
  <si>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</si>
  <si>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</si>
  <si>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</si>
  <si>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</si>
  <si>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</si>
  <si>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</si>
  <si>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</si>
  <si>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</si>
  <si>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</si>
  <si>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 xml:space="preserve">Pemasangan 1 m2 dinding batako dengan mortar tipe S,fc’ 12,5 MPa (Setara Campuran 1SP : 3PP) </t>
  </si>
  <si>
    <t>Pemasangan 1 m2 dinding batako dengan mortar tipe N,fc’ 5,2 MPa (Setara Campuran 1SP : 4PP)</t>
  </si>
  <si>
    <t>Pemasangan 1 m2 atap genteng kodok glazuur</t>
  </si>
  <si>
    <t>Pemasangan 1 m2 atap genteng palentong besar</t>
  </si>
  <si>
    <t>Pemasangan 1 m2 atap genteng beton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</si>
  <si>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</si>
  <si>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</si>
  <si>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</si>
  <si>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</si>
  <si>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</si>
  <si>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</si>
  <si>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menerus tebal 0,4 mm</t>
  </si>
  <si>
    <t>Pemasangan 1 m2 atap kaca ketebalan 8/10/12 mm</t>
  </si>
  <si>
    <t>Pemasangan 1 m2 lembaran insulasi atap</t>
  </si>
  <si>
    <t>Pemasangan 1 m2 modul insulasi tebal 8 mm</t>
  </si>
  <si>
    <t>Pemasangan 1 m2 foam insulasi atap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</si>
  <si>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</si>
  <si>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</si>
  <si>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</si>
  <si>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</si>
  <si>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</si>
  <si>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</si>
  <si>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Paku sekrup (buah)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</si>
  <si>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</si>
  <si>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</si>
  <si>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</si>
  <si>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</si>
  <si>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</si>
  <si>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</si>
  <si>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</si>
  <si>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</si>
  <si>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</si>
  <si>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</si>
  <si>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</si>
  <si>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</si>
  <si>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</si>
  <si>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</si>
  <si>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</si>
  <si>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>Pemasangan 1 m2 plafon akustik uk. 30x30 cm</t>
  </si>
  <si>
    <t>Pemasangan 1 m2 plafon akustik uk. 30x60 cm</t>
  </si>
  <si>
    <t>Pemasangan 1 m2 plafon akustik uk. 60x120 cm</t>
  </si>
  <si>
    <t>Pemasangan 1 m2 plafon lambisering kayu tebal 9 mm</t>
  </si>
  <si>
    <t>Pemasangan 1 m' list plafon kayu profil</t>
  </si>
  <si>
    <t>Pemasangan 1 m' list plafon gypsum</t>
  </si>
  <si>
    <t xml:space="preserve">Pemasangan 1 m2 plafon aluminium spandrel </t>
  </si>
  <si>
    <t>Pemasangan 1 m2 rangka plafon besi hollow 40.40, modul 60x60 cm</t>
  </si>
  <si>
    <t xml:space="preserve">Pemasangan 1 m2 lantai ubin PC abu-abu uk. 20x20 cm (1SP : 2PP) </t>
  </si>
  <si>
    <t>Harga Satuan (Rp)</t>
  </si>
  <si>
    <t>Biaya Umum dan Keuntungan 10% x D</t>
  </si>
  <si>
    <t>10% x D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</si>
  <si>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</si>
  <si>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</si>
  <si>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</si>
  <si>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</si>
  <si>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</si>
  <si>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</si>
  <si>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</si>
  <si>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</si>
  <si>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</si>
  <si>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</si>
  <si>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m2 lantai ubin warna uk. 60x60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</si>
  <si>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</si>
  <si>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</si>
  <si>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</si>
  <si>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2,625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</si>
  <si>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</si>
  <si>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</si>
  <si>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</si>
  <si>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</si>
  <si>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</si>
  <si>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</si>
  <si>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 xml:space="preserve">Pemasangan 1 m2 lantai ubin granit uk. 30x30 cm (1SP : 2PP) </t>
  </si>
  <si>
    <t xml:space="preserve">Pemasangan 1 m2 lantai ubin granit uk. 40x40 cm (1SP : 2PP) </t>
  </si>
  <si>
    <t xml:space="preserve">Pemasangan 1 m2 lantai ubin granit uk. 60x60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</si>
  <si>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</si>
  <si>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</si>
  <si>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</si>
  <si>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</si>
  <si>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</si>
  <si>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</si>
  <si>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</si>
  <si>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</si>
  <si>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kerang uk. 10 s.d. 15x60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</si>
  <si>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</si>
  <si>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</si>
  <si>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</si>
  <si>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</si>
  <si>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</si>
  <si>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</si>
  <si>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</si>
  <si>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</si>
  <si>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m' plint internal cove artistik uk. 5x5x20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</si>
  <si>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</si>
  <si>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</si>
  <si>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</si>
  <si>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</si>
  <si>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</si>
  <si>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</si>
  <si>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plint keramik uk. 10 s.d. 15x60 cm (1SP : 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</si>
  <si>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</si>
  <si>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</si>
  <si>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</si>
  <si>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</si>
  <si>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m2 lantai engineering wood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</si>
  <si>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</si>
  <si>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</si>
  <si>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</si>
  <si>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</si>
  <si>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lantai UPVC decking</t>
  </si>
  <si>
    <t>Pemolesan 1 m2 lantai ubin teraso, granit, marmer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</si>
  <si>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</si>
  <si>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</si>
  <si>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</si>
  <si>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</si>
  <si>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</si>
  <si>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</si>
  <si>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</si>
  <si>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</si>
  <si>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</si>
  <si>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</si>
  <si>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</si>
  <si>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</si>
  <si>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Lem Kayu</t>
  </si>
  <si>
    <t>Pemasangan 1 m2 dinding lambisering dari papan kayu kelas I</t>
  </si>
  <si>
    <t>Pemasangan 1 m2 dinding bilik, rangka kayu kelas III atau IV</t>
  </si>
  <si>
    <t>Bilik Bambu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</si>
  <si>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</si>
  <si>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</si>
  <si>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</si>
  <si>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</si>
  <si>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</si>
  <si>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</si>
  <si>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lipat PVC</t>
  </si>
  <si>
    <t>Pemasangan 1 m2 pintu aluminium strip lebar 8 cm</t>
  </si>
  <si>
    <t>Profil Aluminium</t>
  </si>
  <si>
    <t>Aluminium Strip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</si>
  <si>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</si>
  <si>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</si>
  <si>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</si>
  <si>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</si>
  <si>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</si>
  <si>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</si>
  <si>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</si>
  <si>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buah pintu panel kayu lapis timbal di tengah (khusus RS/Laboratorium/R.Radiologi) </t>
  </si>
  <si>
    <t xml:space="preserve">Pembuatan dan pemasangan 1 m2 pintu besi pelat baja tebal 2 mm rangkap, rangka baja siku </t>
  </si>
  <si>
    <t>Kawat Las</t>
  </si>
  <si>
    <t>Pemasangan 1 buah pintu besi tahan api</t>
  </si>
  <si>
    <t>Pemasangan 1 m2 pintu engineering wood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</si>
  <si>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</si>
  <si>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</si>
  <si>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</si>
  <si>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</si>
  <si>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</si>
  <si>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</si>
  <si>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</si>
  <si>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</si>
  <si>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</si>
  <si>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</si>
  <si>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</si>
  <si>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</si>
  <si>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>Pemasangan 1 buah engsel jendela kupu-kupu</t>
  </si>
  <si>
    <t>Pemasangan 1 buah engsel angin</t>
  </si>
  <si>
    <t>Pemasangan 1 buah kait angin</t>
  </si>
  <si>
    <t>Pengelasan</t>
  </si>
  <si>
    <t>cm</t>
  </si>
  <si>
    <t>Pemasangan 1 buah kunci lemari</t>
  </si>
  <si>
    <t>Pemasangan 1 buah grendel</t>
  </si>
  <si>
    <t>Pemasangan 1 buah grendel tanam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</si>
  <si>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</si>
  <si>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</si>
  <si>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</si>
  <si>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</si>
  <si>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</si>
  <si>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buram tebal 12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</si>
  <si>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</si>
  <si>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</si>
  <si>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</si>
  <si>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</si>
  <si>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</si>
  <si>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</si>
  <si>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</si>
  <si>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kaca laminated tebal 12 mm dengan aluminium frame</t>
  </si>
  <si>
    <t>Pemasangan 1 m2 profil jalusi aluminium</t>
  </si>
  <si>
    <t xml:space="preserve">Pengelasan 1 m’ dengan las listrik </t>
  </si>
  <si>
    <t>Jumlah  (A+B+C)</t>
  </si>
  <si>
    <t>Pembuatan dan pemasangan 1 m' railing besi pengaman tinggi 1.2 m</t>
  </si>
  <si>
    <t>Pembuatan dan pemasangan 1 m' railing tangga/ramp dan hand rail tinggi 0.85 m dan 0.65 m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</si>
  <si>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</si>
  <si>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</si>
  <si>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</si>
  <si>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</si>
  <si>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</si>
  <si>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</si>
  <si>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</si>
  <si>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vernis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</si>
  <si>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</si>
  <si>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</si>
  <si>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</si>
  <si>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</si>
  <si>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</si>
  <si>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</si>
  <si>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</si>
  <si>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(1 lapis cat dasar dan 2 lapis cat penutup)</t>
  </si>
  <si>
    <t xml:space="preserve">Pengecatan 1 m2 cat epoxy tebal 2 mm </t>
  </si>
  <si>
    <t>Pelituran 1 m2 dengan pelitur melamic</t>
  </si>
  <si>
    <t>Pemasangan 1 buah closet duduk/monoblock</t>
  </si>
  <si>
    <t>Pemasangan 1 buah closet jongkok</t>
  </si>
  <si>
    <t>Pasangan bata 1:3</t>
  </si>
  <si>
    <t>Pemasangan 1 m2 kubikel toilet</t>
  </si>
  <si>
    <t>Pemasangan 1 buah urinoir</t>
  </si>
  <si>
    <t>Pemasangan 1 buah partisi urinoir</t>
  </si>
  <si>
    <t>Pemasangan 1 buah wastafel</t>
  </si>
  <si>
    <t>Beton 1:2:3</t>
  </si>
  <si>
    <t>Pemasangan 1 buah bathup</t>
  </si>
  <si>
    <t>Pemasangan 1 buah floor drain stainless steel</t>
  </si>
  <si>
    <t>Pemasangan 1 buah kran diameter ½" atau 3/4"</t>
  </si>
  <si>
    <t>Pemasangan 1 buah jet washer</t>
  </si>
  <si>
    <t>Pemasangan 1 buah gantungan baju (robe hook)</t>
  </si>
  <si>
    <t>Pemasangan 1 buah towel bar</t>
  </si>
  <si>
    <t>Pemasangan 1 buah grab bar</t>
  </si>
  <si>
    <t>Pemasangan 1 buah soap holder</t>
  </si>
  <si>
    <t>Pemasangan 1 buah tissue holder</t>
  </si>
  <si>
    <t>Pemasangan 1 unit roof tank fiberglass kap. 4 m3</t>
  </si>
  <si>
    <t>Pemasangan 1 unit roof tank fiberglass kap. 12 m3</t>
  </si>
  <si>
    <t>Pemasangan 1 unit roof tank stainless kap. 2 m3</t>
  </si>
  <si>
    <t>Pemasangan 1 unit roof tank stainless kap. 4 m3</t>
  </si>
  <si>
    <t>Pemasangan 1 unit roof tank stainless kap. 12 m3</t>
  </si>
  <si>
    <t>Pemasangan 1 unit tangki toren kap. 0,7 m3</t>
  </si>
  <si>
    <t>Pemasangan 1 unit tangki toren kap. 1,5 m3</t>
  </si>
  <si>
    <t>Pemasangan 1 unit tangki toren kap. 2,5 m3</t>
  </si>
  <si>
    <t>Pemasangan 1 unit tangki toren kap. 3 m3</t>
  </si>
  <si>
    <t>Pemasangan 1 unit tangki toren kap. 4 m3</t>
  </si>
  <si>
    <t>Pemasangan 1 unit tangki toren kap. 5 m3</t>
  </si>
  <si>
    <t>Pemasangan 1 unit tangki toren kap. 5,5 m3</t>
  </si>
  <si>
    <t>Pemasangan 1 unit tangki toren kap. 6 m3</t>
  </si>
  <si>
    <t>Pemasangan 1 unit pompa transfer 150 lpm; centrifugal end suction</t>
  </si>
  <si>
    <t>Pemasangan 1 unit pompa booster 450 lpm; centrifugal end suction</t>
  </si>
  <si>
    <t>Pemasangan 1 unit pompa booster 150 lpm; vertical in line-packaged</t>
  </si>
  <si>
    <t>Pemasangan 1 unit pompa jet 27 lpm</t>
  </si>
  <si>
    <t>Pemasangan 1 unit pompa jet 34 lpm</t>
  </si>
  <si>
    <t>Pemasangan 1 unit pompa jet 100 lpm</t>
  </si>
  <si>
    <t>Pemasangan 1 unit pompa lift 80 lpm</t>
  </si>
  <si>
    <t>Pemasangan 1 unit pompa lift 250 lpm</t>
  </si>
  <si>
    <t xml:space="preserve">Pemasangan 1 unit sand filter kap. 0,1 m3 / hari </t>
  </si>
  <si>
    <t xml:space="preserve">Pemasangan 1 unit sand filter kap. 14 m3 / hari </t>
  </si>
  <si>
    <t xml:space="preserve">Pemasangan 1 unit carbon filter kap. 0,1 m3 / hari </t>
  </si>
  <si>
    <t xml:space="preserve">Pemasangan 1 unit carbon filter kap. 0,6 m3 / hari </t>
  </si>
  <si>
    <t xml:space="preserve">Pemasangan 1 unit silika filter kap. 0,1 m3 / hari </t>
  </si>
  <si>
    <t>Pemasangan 1 set priming tank 500 liter</t>
  </si>
  <si>
    <t>Pemasangan 1 set priming tank 800 liter</t>
  </si>
  <si>
    <t>Pemasangan 1 set priming tank 1.000 liter</t>
  </si>
  <si>
    <t>Pemasangan 1 set priming tank 2.000 liter</t>
  </si>
  <si>
    <t>Pemasangan 1 set pressure tank 1.000 liter</t>
  </si>
  <si>
    <r>
      <t>Pemasangan 1 buah bak mandi teraso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</si>
  <si>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mandi pasangan bata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</si>
  <si>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</si>
  <si>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1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</si>
  <si>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beton vol. 1 m</t>
    </r>
    <r>
      <rPr>
        <b/>
        <vertAlign val="superscript"/>
        <sz val="11"/>
        <rFont val="Arial"/>
        <family val="2"/>
      </rPr>
      <t>3</t>
    </r>
  </si>
  <si>
    <t>Pipa PVC AW Ø 3/4" (m)</t>
  </si>
  <si>
    <t>Kayu papan kelas III (m2)</t>
  </si>
  <si>
    <t>Pemasangan 1 set Sewage Treatment Plant (STP) fiberglass kap. 2 m3</t>
  </si>
  <si>
    <t>Pemasangan 1 set Sewage Treatment Plant (STP) fiberglass kap. 5 m3</t>
  </si>
  <si>
    <t>Pemasangan 1 set Sewage Treatment Plant (STP) fiberglass kap. 10 m3</t>
  </si>
  <si>
    <t>Pemasangan 1 set Sewage Treatment Plant (STP) fiberglass kap. 30 m3</t>
  </si>
  <si>
    <t>Pemasangan 1 set Sewage Treatment Plant (STP) precast kap. 30 m3</t>
  </si>
  <si>
    <t xml:space="preserve">Pemasangan 1 unit pompa sump pit air kotor 100 m3/jam, submersible cutter pump </t>
  </si>
  <si>
    <t>Pemasangan 1 unit grease trap portable fiberglass, kap. 30 Liter</t>
  </si>
  <si>
    <t>Pemasangan 1 unit grease trap portable stainless, kap. 30 Liter</t>
  </si>
  <si>
    <t>Pemasangan 1 unit grease trap central fiberglass, kap. 5 m3</t>
  </si>
  <si>
    <t>NB: Sewage Treatment Plant (SPT) sudah termasuk asesoris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</si>
  <si>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</si>
  <si>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</si>
  <si>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</si>
  <si>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Pipa PVC AW Ø 1/2" (m)</t>
  </si>
  <si>
    <t xml:space="preserve">Pemasangan 1 m' kabel NYY 1 x 4 mm² </t>
  </si>
  <si>
    <t xml:space="preserve">Pemasangan 1 m' kabel NYY 1 x 6 mm² </t>
  </si>
  <si>
    <t xml:space="preserve">Pemasangan 1 m' kabel NYY 1 x 10 mm² </t>
  </si>
  <si>
    <t xml:space="preserve">Pemasangan 1 m' kabel NYY 1 x 16 mm² </t>
  </si>
  <si>
    <t xml:space="preserve">Pemasangan 1 m' kabel NYY 1 x 25 mm² </t>
  </si>
  <si>
    <t xml:space="preserve">Pemasangan 1 m' kabel NYY 1 x 35 mm² </t>
  </si>
  <si>
    <t xml:space="preserve">Pemasangan 1 m' kabel NYY 1 x 50 mm² </t>
  </si>
  <si>
    <t xml:space="preserve">Pemasangan 1 m' kabel NYY 1 x 70 mm² </t>
  </si>
  <si>
    <t xml:space="preserve">Pemasangan 1 m' kabel NYY 1 x 95 mm² </t>
  </si>
  <si>
    <t xml:space="preserve">Pemasangan 1 m' kabel NYY 1 x 120 mm² </t>
  </si>
  <si>
    <t xml:space="preserve">Pemasangan 1 m' kabel NYY 1 x 150 mm² </t>
  </si>
  <si>
    <t xml:space="preserve">Pemasangan 1 m' kabel NYY 1 x 185 mm² </t>
  </si>
  <si>
    <t xml:space="preserve">Pemasangan 1 m' kabel NYY 1 x 250 mm² </t>
  </si>
  <si>
    <t xml:space="preserve">Pemasangan 1 m' kabel NYY 1 x 300 mm² </t>
  </si>
  <si>
    <t xml:space="preserve">Pemasangan 1 m' kabel NYY 1 x 400 mm² </t>
  </si>
  <si>
    <t xml:space="preserve">Pemasangan 1 m' kabel NYY 1 x 500 mm² </t>
  </si>
  <si>
    <t xml:space="preserve">Pemasangan 1 m' kabel NYY 1 x 630 mm² </t>
  </si>
  <si>
    <t xml:space="preserve">Pemasangan 1 m' kabel NYY 2 x 1,5 mm² </t>
  </si>
  <si>
    <t xml:space="preserve">Pemasangan 1 m' kabel NYY 2 x 2,5 mm² </t>
  </si>
  <si>
    <t xml:space="preserve">Pemasangan 1 m' kabel NYY 2 x 4 mm² </t>
  </si>
  <si>
    <t xml:space="preserve">Pemasangan 1 m' kabel NYY 2 x 6 mm² </t>
  </si>
  <si>
    <t xml:space="preserve">Pemasangan 1 m' kabel NYY 2 x 10 mm² </t>
  </si>
  <si>
    <t xml:space="preserve">Pemasangan 1 m' kabel NYY 2 x 16 mm² </t>
  </si>
  <si>
    <t xml:space="preserve">Pemasangan 1 m' kabel NYY 3 x 1,5 mm² </t>
  </si>
  <si>
    <t xml:space="preserve">Pemasangan 1 m' kabel NYY 3 x 2,5 mm² </t>
  </si>
  <si>
    <t xml:space="preserve">Pemasangan 1 m' kabel NYY 3 x 4 mm² </t>
  </si>
  <si>
    <t xml:space="preserve">Pemasangan 1 m' kabel NYY 3 x 6 mm² </t>
  </si>
  <si>
    <t xml:space="preserve">Pemasangan 1 m' kabel NYY 3 x 10 mm² </t>
  </si>
  <si>
    <t xml:space="preserve">Pemasangan 1 m' kabel NYY 3 x 16 mm² </t>
  </si>
  <si>
    <t xml:space="preserve">Pemasangan 1 m' kabel NYY 3 x 25 mm² </t>
  </si>
  <si>
    <t xml:space="preserve">Pemasangan 1 m' kabel NYY 3 x 35 mm² </t>
  </si>
  <si>
    <t xml:space="preserve">Pemasangan 1 m' kabel NYY 3 x 50 mm² </t>
  </si>
  <si>
    <t xml:space="preserve">Pemasangan 1 m' kabel NYY 4 x 1,5 mm² </t>
  </si>
  <si>
    <t xml:space="preserve">Pemasangan 1 m' kabel NYY 4 x 2,5 mm² 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</si>
  <si>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</si>
  <si>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</si>
  <si>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</si>
  <si>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</si>
  <si>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</si>
  <si>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</si>
  <si>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</si>
  <si>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70 mm² </t>
  </si>
  <si>
    <t xml:space="preserve">Pemasangan 1 m' kabel NYY 4 x 95 mm² </t>
  </si>
  <si>
    <t xml:space="preserve">Pemasangan 1 m' kabel NYY 4 x 120 mm² </t>
  </si>
  <si>
    <t xml:space="preserve">Pemasangan 1 m' kabel NYY 4 x 150 mm² </t>
  </si>
  <si>
    <t xml:space="preserve">Pemasangan 1 m' kabel NYY 4 x 185 mm² </t>
  </si>
  <si>
    <t xml:space="preserve">Pemasangan 1 m' kabel NYY 4 x 240 mm² </t>
  </si>
  <si>
    <t xml:space="preserve">Pemasangan 1 m' kabel NYY 4 x 300 mm² </t>
  </si>
  <si>
    <t xml:space="preserve">Pemasangan 1 m' kabel NYA 1 x 1,5 mm² </t>
  </si>
  <si>
    <t xml:space="preserve">Pemasangan 1 m' kabel NYA 1 x 2,5 mm² </t>
  </si>
  <si>
    <t xml:space="preserve">Pemasangan 1 m' kabel NYA 1 x 4 mm² </t>
  </si>
  <si>
    <t xml:space="preserve">Pemasangan 1 m' kabel NYA 1 x 6 mm² </t>
  </si>
  <si>
    <t xml:space="preserve">Pemasangan 1 m' kabel NYA 1 x 10 mm² </t>
  </si>
  <si>
    <t xml:space="preserve">Pemasangan 1 m' kabel NYA 1 x 16 mm² </t>
  </si>
  <si>
    <t xml:space="preserve">Pemasangan 1 m' kabel NYA 2 x 1,5 mm² + PVC conduit HI 20 mm²
</t>
  </si>
  <si>
    <t xml:space="preserve">Pemasangan 1 m' kabel NYA 3 x 1,5 mm² + PVC conduit HI 20 mm²
</t>
  </si>
  <si>
    <t xml:space="preserve">Pemasangan 1 m' kabel NYM 2 x 1,5 mm²
</t>
  </si>
  <si>
    <t xml:space="preserve">Pemasangan 1 m' kabel NYM 2 x 2,5 mm²
</t>
  </si>
  <si>
    <t xml:space="preserve">Pemasangan 1 m' kabel NYM 2 x 4 mm²
</t>
  </si>
  <si>
    <t xml:space="preserve">Pemasangan 1 m' kabel NYM 2 x 6 mm²
</t>
  </si>
  <si>
    <t xml:space="preserve">Pemasangan 1 m' kabel NYM 2 x 10 mm²
</t>
  </si>
  <si>
    <t xml:space="preserve">Pemasangan 1 m' kabel NYM 3 x 1,5 mm²
</t>
  </si>
  <si>
    <t xml:space="preserve">Pemasangan 1 m' kabel NYM 3 x 2,5 mm²
</t>
  </si>
  <si>
    <t xml:space="preserve">Pemasangan 1 m' kabel NYM 3 x 4 mm²
</t>
  </si>
  <si>
    <t xml:space="preserve">Pemasangan 1 m' kabel NYM 3 x 6 mm²
</t>
  </si>
  <si>
    <t xml:space="preserve">Pemasangan 1 m' kabel NYM 3 x 10 mm²
</t>
  </si>
  <si>
    <t xml:space="preserve">Pemasangan 1 m' kabel NYM 4 x 1,5 mm²
</t>
  </si>
  <si>
    <t xml:space="preserve">Pemasangan 1 m' kabel NYM 4 x 2,5 mm²
</t>
  </si>
  <si>
    <t xml:space="preserve">Pemasangan 1 m' kabel NYM 4 x 4 mm²
</t>
  </si>
  <si>
    <t xml:space="preserve">Pemasangan 1 m' kabel NYM 4 x 6 mm²
</t>
  </si>
  <si>
    <t xml:space="preserve">Pemasangan 1 m' kabel NYM 4 x 10 mm²
</t>
  </si>
  <si>
    <t xml:space="preserve">Pemasangan 1 m' kabel NYM 4 x 16 mm²
</t>
  </si>
  <si>
    <t xml:space="preserve">Pemasangan 1 m' kabel NYMHY 2 x 1,5 mm²
</t>
  </si>
  <si>
    <t xml:space="preserve">Pemasangan 1 m' kabel NYMHY 2 x 2,5 mm²
</t>
  </si>
  <si>
    <t xml:space="preserve">Pemasangan 1 m' kabel NYMHY 3 x 1,5 mm²
</t>
  </si>
  <si>
    <t xml:space="preserve">Pemasangan 1 m' kabel NYMHY 3 x 2,5 mm²
</t>
  </si>
  <si>
    <t xml:space="preserve">Pemasangan 1 m' kabel NYMHY 4 x 2,5 mm²
</t>
  </si>
  <si>
    <t xml:space="preserve">Pemasangan 1 m' kabel NYMHY 3 x 1,5 mm² + PVC conduit HI 20 mm²
</t>
  </si>
  <si>
    <t xml:space="preserve">Pemasangan 1 m' kabel NYMHY 2 (3 x 1,5 mm²) + PVC conduit HI 20 mm²
</t>
  </si>
  <si>
    <t xml:space="preserve">Pemasangan 1 m' kabel NYFGBY 2 x 1,5 mm²
</t>
  </si>
  <si>
    <t xml:space="preserve">Pemasangan 1 m' kabel NYFGBY 2 x 2,5 mm²
</t>
  </si>
  <si>
    <t xml:space="preserve">Pemasangan 1 m' kabel NYFGBY 2 x 4 mm²
</t>
  </si>
  <si>
    <t xml:space="preserve">Pemasangan 1 m' kabel NYFGBY 2 x 6 mm²
</t>
  </si>
  <si>
    <t xml:space="preserve">Pemasangan 1 m' kabel NYFGBY 2 x 10 mm²
</t>
  </si>
  <si>
    <t xml:space="preserve">Pemasangan 1 m' kabel NYFGBY 2 x 16 mm²
</t>
  </si>
  <si>
    <t xml:space="preserve">Pemasangan 1 m' kabel NYFGBY 3 x 1,5 mm²
</t>
  </si>
  <si>
    <t xml:space="preserve">Pemasangan 1 m' kabel NYFGBY 3 x 2,5 mm²
</t>
  </si>
  <si>
    <t xml:space="preserve">Pemasangan 1 m' kabel NYFGBY 3 x 4 mm²
</t>
  </si>
  <si>
    <t xml:space="preserve">Pemasangan 1 m' kabel NYFGBY 3 x 6 mm²
</t>
  </si>
  <si>
    <t xml:space="preserve">Pemasangan 1 m' kabel NYFGBY 3 x 10 mm²
</t>
  </si>
  <si>
    <t xml:space="preserve">Pemasangan 1 m' kabel NYFGBY 3 x 16 mm²
</t>
  </si>
  <si>
    <t xml:space="preserve">Pemasangan 1 m' kabel NYFGBY 4 x 1,5 mm²
</t>
  </si>
  <si>
    <t xml:space="preserve">Pemasangan 1 m' kabel NYFGBY 4 x 2,5 mm²
</t>
  </si>
  <si>
    <t xml:space="preserve">Pemasangan 1 m' kabel NYFGBY 4 x 4 mm²
</t>
  </si>
  <si>
    <t xml:space="preserve">Pemasangan 1 m' kabel NYFGBY 4 x 6 mm²
</t>
  </si>
  <si>
    <t xml:space="preserve">Pemasangan 1 m' kabel NYFGBY 4 x 10 mm²
</t>
  </si>
  <si>
    <t xml:space="preserve">Pemasangan 1 m' kabel NYFGBY 4 x 16 mm²
</t>
  </si>
  <si>
    <t xml:space="preserve">Pemasangan 1 m' kabel NYFGBY 4 x 25 mm²
</t>
  </si>
  <si>
    <t xml:space="preserve">Pemasangan 1 m' kabel NYFGBY 4 x 35 mm²
</t>
  </si>
  <si>
    <t xml:space="preserve">Pemasangan 1 m' kabel NYFGBY 4 x 50 mm²
</t>
  </si>
  <si>
    <t xml:space="preserve">Pemasangan 1 m' kabel NYFGBY 4 x 70 mm²
</t>
  </si>
  <si>
    <t xml:space="preserve">Pemasangan 1 m' kabel NYFGBY 4 x 95 mm²
</t>
  </si>
  <si>
    <t xml:space="preserve">Pemasangan 1 m' kabel NYFGBY 4 x 120 mm²
</t>
  </si>
  <si>
    <t xml:space="preserve">Pemasangan 1 m' kabel NYFGBY 4 x 150 mm²
</t>
  </si>
  <si>
    <t xml:space="preserve">Pemasangan 1 m' kabel NYFGBY 4 x 185 mm²
</t>
  </si>
  <si>
    <t xml:space="preserve">Pemasangan 1 m' kabel NYFGBY 4 x 240 mm²
</t>
  </si>
  <si>
    <t xml:space="preserve">Pemasangan 1 m' kabel NYFGBY 4 x 300 mm²
</t>
  </si>
  <si>
    <t xml:space="preserve">Pemasangan 1 m' kabel FRC 3 x 2,5 mm²
</t>
  </si>
  <si>
    <t xml:space="preserve">Pemasangan 1 m' kabel FRC 4 x 4 mm²
</t>
  </si>
  <si>
    <t xml:space="preserve">Pemasangan 1 m' kabel FRC 4 x 6 mm²
</t>
  </si>
  <si>
    <t xml:space="preserve">Pemasangan 1 m' kabel FRC 4 x 150 mm²
</t>
  </si>
  <si>
    <t xml:space="preserve">Pemasangan 1 m' kabel FRC 1 x 150 mm²
</t>
  </si>
  <si>
    <t xml:space="preserve">Pemasangan 1 m' kabel BCC 4 mm² (0,04 kg/m)
</t>
  </si>
  <si>
    <t xml:space="preserve">Pemasangan 1 m' kabel BCC 6 mm² (0,06 kg/m)
</t>
  </si>
  <si>
    <t xml:space="preserve">Pemasangan 1 m' kabel BCC 10 mm² (0,10 kg/m)
</t>
  </si>
  <si>
    <t xml:space="preserve">Pemasangan 1 m' kabel BCC 16 mm² (0,16 kg/m)
</t>
  </si>
  <si>
    <t xml:space="preserve">Pemasangan 1 m' kabel BCC 25 mm² (0,25 kg/m)
</t>
  </si>
  <si>
    <t xml:space="preserve">Pemasangan 1 m' kabel BCC 35 mm² (0,35 kg/m)
</t>
  </si>
  <si>
    <t xml:space="preserve">Pemasangan 1 m' kabel BCC 50 mm² (0,50 kg/m)
</t>
  </si>
  <si>
    <t xml:space="preserve">Pemasangan 1 m' kabel BCC 70 mm² (0,70 kg/m)
</t>
  </si>
  <si>
    <t xml:space="preserve">Pemasangan 1 m' kabel BCC 95 mm² (0,95 kg/m)
</t>
  </si>
  <si>
    <t xml:space="preserve">Pemasangan 1 unit kabel tray (horizontal) 500 x 100 mm
</t>
  </si>
  <si>
    <t xml:space="preserve">Pemasangan 1 unit kabel tray (horizontal) 400 x 100 mm
</t>
  </si>
  <si>
    <t xml:space="preserve">Pemasangan 1 unit kabel tray (horizontal) 300 x 100 mm
</t>
  </si>
  <si>
    <t xml:space="preserve">Pemasangan 1 unit kabel tray (horizontal) 200 x 100 mm
</t>
  </si>
  <si>
    <t xml:space="preserve">Pemasangan 1 unit kabel tray (vertikal) 600 x 100 mm
</t>
  </si>
  <si>
    <t xml:space="preserve">Pemasangan 1 unit kabel tray (vertikal) 500 x 100 mm
</t>
  </si>
  <si>
    <t xml:space="preserve">Pemasangan 1 unit kabel tray (vertikal) 400 x 100 mm
</t>
  </si>
  <si>
    <t xml:space="preserve">Pemasangan 1 unit kabel tray (vertikal) 300 x 100 mm
</t>
  </si>
  <si>
    <t xml:space="preserve">Pemasangan 1 unit kabel tray (vertikal) 200 x 100 mm
</t>
  </si>
  <si>
    <t xml:space="preserve">Pemasangan 1 unit pasang baja ringan 75 x 35 mm + Hanger
</t>
  </si>
  <si>
    <t>Baja ringan C75 x 1,00 mm (m)</t>
  </si>
  <si>
    <t>URAIAN PEKERJAAN</t>
  </si>
  <si>
    <t>btg</t>
  </si>
  <si>
    <t>tgl</t>
  </si>
  <si>
    <t>Ha</t>
  </si>
  <si>
    <t>PEKERJAAN GALIAN TANAH</t>
  </si>
  <si>
    <t>PEKERJAAN TIMBUNAN DAN PEMADATAN</t>
  </si>
  <si>
    <t>I</t>
  </si>
  <si>
    <t>L</t>
  </si>
  <si>
    <t>PEKERJAAN KAYU</t>
  </si>
  <si>
    <t>V</t>
  </si>
  <si>
    <t>Porselen 11x11 cm (dus)</t>
  </si>
  <si>
    <t>DAFTAR HARGA SATUAN PEKERJAAN (DHSP)</t>
  </si>
  <si>
    <t>BIDANG CIPTA KARYA</t>
  </si>
  <si>
    <t>Kode</t>
  </si>
  <si>
    <t>L.01</t>
  </si>
  <si>
    <t>L.02</t>
  </si>
  <si>
    <t>L.03</t>
  </si>
  <si>
    <t>L.04</t>
  </si>
  <si>
    <t>L.05</t>
  </si>
  <si>
    <t>L.06</t>
  </si>
  <si>
    <t>L.07</t>
  </si>
  <si>
    <t>L.08</t>
  </si>
  <si>
    <t>L.09</t>
  </si>
  <si>
    <t>Tukang penganyam bronjong</t>
  </si>
  <si>
    <t>Tukang tebas</t>
  </si>
  <si>
    <t>Tukang las geotextile</t>
  </si>
  <si>
    <t>Tukang kaca</t>
  </si>
  <si>
    <t>Tukang tanam</t>
  </si>
  <si>
    <t>Tukang pemelihara taman</t>
  </si>
  <si>
    <t>L.10</t>
  </si>
  <si>
    <t>L.11</t>
  </si>
  <si>
    <t>1.1.1</t>
  </si>
  <si>
    <t>1.1.1.1</t>
  </si>
  <si>
    <t>Kaso 5/7 kayu kelas II</t>
  </si>
  <si>
    <t>Papan Kayu ukuran 2/20 cm</t>
  </si>
  <si>
    <t>Paku biasa 5 inchi</t>
  </si>
  <si>
    <t>Semen Portland (PC)</t>
  </si>
  <si>
    <t>Pasir Beton</t>
  </si>
  <si>
    <t>Kerikil</t>
  </si>
  <si>
    <t>1.1.1.2</t>
  </si>
  <si>
    <t>1.1.1.3</t>
  </si>
  <si>
    <t>Seng gelombang</t>
  </si>
  <si>
    <t>1.1.1.4</t>
  </si>
  <si>
    <t>Seng gelombang bjls  30 panjang 180 cm</t>
  </si>
  <si>
    <t>Pembuatan Pagar Proyek</t>
  </si>
  <si>
    <t>Baja L 40.40.4</t>
  </si>
  <si>
    <t>Kawat seng 3mm</t>
  </si>
  <si>
    <t>Pasangan batu ukuran 20/50 t=40cm</t>
  </si>
  <si>
    <t>1.1.1.5</t>
  </si>
  <si>
    <t>1.2.1.1</t>
  </si>
  <si>
    <t>1.2.1.1.1</t>
  </si>
  <si>
    <t>1.1.1.6</t>
  </si>
  <si>
    <t>Pemasangan 1 m2 panel beton pracetak 50x50x240 untuk pagar</t>
  </si>
  <si>
    <t>Kolom beton pracetak</t>
  </si>
  <si>
    <t>Panel beton pracetak</t>
  </si>
  <si>
    <t>1.1.2</t>
  </si>
  <si>
    <t>Alat dan/atau sarana penunjang</t>
  </si>
  <si>
    <t>1.1.2.1</t>
  </si>
  <si>
    <t>Tukang pelitur</t>
  </si>
  <si>
    <t>Tiang kayu 8/12 kelas II tinggi 4m</t>
  </si>
  <si>
    <t>Frame besi L.30.30.3</t>
  </si>
  <si>
    <t>Paku campuran 5 cm + 7 cm</t>
  </si>
  <si>
    <t>Cat kayu</t>
  </si>
  <si>
    <t>Paku</t>
  </si>
  <si>
    <t>**)</t>
  </si>
  <si>
    <t>***)</t>
  </si>
  <si>
    <t>*) L.02</t>
  </si>
  <si>
    <t>*)</t>
  </si>
  <si>
    <t>Sesuai kebutuhan cat labur/tulis dan/atau cat semprot</t>
  </si>
  <si>
    <t>Koefisien disesuaikan dengan kebutuhan, dalam contoh ini papan nama ukuran 0.8 x 1.2 m2</t>
  </si>
  <si>
    <t>Disesuaikan kebutuhan, misalnya dapat menggunakan frame kayu atau allumunium</t>
  </si>
  <si>
    <t>1 buah papan nama pekerjaan ukuran 0.8x1.2 menggunakan multiflex 18 mm, frame besi siku dan tiang kayu 8/12</t>
  </si>
  <si>
    <t>1.1.2.2</t>
  </si>
  <si>
    <t>1 buah papan nama pekerjaan ukuran 0.6x08 menggunakan multiplex 10 mm, frame allumunium siku dan tiang kayu 5/7, printing banner plastik</t>
  </si>
  <si>
    <t>Multiplek tebal 9 mm</t>
  </si>
  <si>
    <t>Tiang kayu 5/7 kelas II tinggi 3m</t>
  </si>
  <si>
    <t>Frame Allum L.10.1</t>
  </si>
  <si>
    <t>Banner plastik 0.6x0.8 m2</t>
  </si>
  <si>
    <t>Kayu</t>
  </si>
  <si>
    <t>Besi strip</t>
  </si>
  <si>
    <t>Pasir pasang</t>
  </si>
  <si>
    <t>Koral Beton</t>
  </si>
  <si>
    <t>Seng pelat</t>
  </si>
  <si>
    <t>Kaca polos</t>
  </si>
  <si>
    <t>Kunci tanam</t>
  </si>
  <si>
    <t>Plywood 4 mm</t>
  </si>
  <si>
    <t>1.1.2.3</t>
  </si>
  <si>
    <t>1.1.2.4</t>
  </si>
  <si>
    <t>Pembuatan 1 m2 direksi keet (Kantor), los kerja dan gudang</t>
  </si>
  <si>
    <t>Kaso 5/7</t>
  </si>
  <si>
    <t>Multiplek tebal 4 mm</t>
  </si>
  <si>
    <t>Fondasi pasangan batu</t>
  </si>
  <si>
    <t>GRC Pelat t=4 mm uk 122x244 cm</t>
  </si>
  <si>
    <t>Asbes gelombang</t>
  </si>
  <si>
    <t>Paku asbes</t>
  </si>
  <si>
    <t>Floor lantai (Beton lantai kerja)</t>
  </si>
  <si>
    <t>Pintu Double teakwood rangka kayu</t>
  </si>
  <si>
    <t>Frame besi kaca nako</t>
  </si>
  <si>
    <t>cat dinding</t>
  </si>
  <si>
    <t>daun</t>
  </si>
  <si>
    <t>Cat dinding</t>
  </si>
  <si>
    <t>1.1.2.5</t>
  </si>
  <si>
    <t>Pembuatan 1 m2 jalan sementara lapis macadam</t>
  </si>
  <si>
    <t>OJ</t>
  </si>
  <si>
    <t>Agg Pokok</t>
  </si>
  <si>
    <t>Agg Pengunci</t>
  </si>
  <si>
    <t>Agg Penutup</t>
  </si>
  <si>
    <t>Aspal</t>
  </si>
  <si>
    <t>Wheel Loader</t>
  </si>
  <si>
    <t>Dump Truck 1</t>
  </si>
  <si>
    <t>Dump Truck 2</t>
  </si>
  <si>
    <t>Dump Truck 3</t>
  </si>
  <si>
    <t>Three Wheel Roller</t>
  </si>
  <si>
    <t>Asphalt Distributor</t>
  </si>
  <si>
    <t>Wheel loader</t>
  </si>
  <si>
    <t>Dump truck 1</t>
  </si>
  <si>
    <t>Dump truck 2</t>
  </si>
  <si>
    <t>Dump truck 3</t>
  </si>
  <si>
    <t>Three wheel roller</t>
  </si>
  <si>
    <t>1.1.2.6</t>
  </si>
  <si>
    <t>Pembuatan 1 m2 jalan sementara (Jalan Tanah)</t>
  </si>
  <si>
    <t>UNIT PEKERJAAN *)</t>
  </si>
  <si>
    <t>Pembersihan &amp; Pengupasan (Buang Top Soil dan Segala Tanaman)</t>
  </si>
  <si>
    <t>Penyiapan Badan Jalan (Pemadatan Fondasi Timbunan)</t>
  </si>
  <si>
    <t>Timbunan Pilihan (CBR&gt;10%)</t>
  </si>
  <si>
    <t>B.3.4.(1)</t>
  </si>
  <si>
    <t>B.3.3</t>
  </si>
  <si>
    <t>JUMLAH UNIT PEKERJAAN</t>
  </si>
  <si>
    <t>LAIN-LAIN</t>
  </si>
  <si>
    <t>Sewa Lahan (Jika di luar Rumija, Luas lahan bisa lebih besar dari contoh)</t>
  </si>
  <si>
    <t>JUMLAH HARGA LAIN-LAIN</t>
  </si>
  <si>
    <t>Jumlah (A+B)</t>
  </si>
  <si>
    <t>Sewa Lahan</t>
  </si>
  <si>
    <t>CATATAN</t>
  </si>
  <si>
    <t>*) harga satuan bahan diambil dari hasil Analisa Harga Satuan masing-masing Mata pembayaran yang sudah termasuk tenaga kerja, Bahan dan Peralatan, lebar jalan diambil = 4.2 meter sama dengan lebar jembatan Bailey (jika ada), tebal bahan timbunan pilihan diambil = 20 cm</t>
  </si>
  <si>
    <t>Koefisien di atas sudah termasuk tenaga kerja dan alat</t>
  </si>
  <si>
    <t>1.1.2.7</t>
  </si>
  <si>
    <t>Pembuatan 1 m2 jalan sementara (Jalan Kerikil)</t>
  </si>
  <si>
    <t>Lapis Resap Pengikat</t>
  </si>
  <si>
    <t>B.5.2.(2)</t>
  </si>
  <si>
    <t>1.1.3</t>
  </si>
  <si>
    <t>Pembuatan 1 m’ pagar sementara  seng gelombang rangka baja L.40.40.4 tinggi pagar 1.8 meter</t>
  </si>
  <si>
    <t>Lapis Fondasi Agregat Kelas C (CBR &gt; 30% ukuran butiran maksimum 2.5 cm)</t>
  </si>
  <si>
    <t xml:space="preserve">Pembersihan dan Pengupasan Permukaan Tanah </t>
  </si>
  <si>
    <t xml:space="preserve">1.1.3.1 </t>
  </si>
  <si>
    <t xml:space="preserve">1 m3 Pembersihan dan pengupasan permukaan tanah (striping) s.d. tanaman ∅ 2 cm </t>
  </si>
  <si>
    <t xml:space="preserve">Kode </t>
  </si>
  <si>
    <t>1.1.3.2</t>
  </si>
  <si>
    <t xml:space="preserve">Tebas tebang 1 m2 tanaman/tumbuhan ∅ &lt; 5 cm </t>
  </si>
  <si>
    <t>1.1.3.3.</t>
  </si>
  <si>
    <t xml:space="preserve">1.1.3.4 </t>
  </si>
  <si>
    <t>1.1.3.5</t>
  </si>
  <si>
    <t xml:space="preserve">1.1.3.6 </t>
  </si>
  <si>
    <t>1.1.3.7</t>
  </si>
  <si>
    <t>Chainsaw 30”; 7,5HP</t>
  </si>
  <si>
    <t>1.1.3.8</t>
  </si>
  <si>
    <t>1.1.3.9</t>
  </si>
  <si>
    <t>1.1.3.10</t>
  </si>
  <si>
    <t>Gali dan cabut 1 tunggul pohon tanaman keras ∅ &gt; 30 cm  s.d. 50 cm (termasuk pembuangan sisa tunggul tanpa menutup kembali bekas lubang)</t>
  </si>
  <si>
    <t xml:space="preserve">Uraian </t>
  </si>
  <si>
    <t xml:space="preserve">1.1.3.11 </t>
  </si>
  <si>
    <t>1.1.3.12</t>
  </si>
  <si>
    <t>1.1.3.13</t>
  </si>
  <si>
    <t>1.1.3.14</t>
  </si>
  <si>
    <t>1.1.3.15</t>
  </si>
  <si>
    <t>Gali dan cabut 1 tunggul pohon tanaman keras ∅ &gt; 15 cm s.d. 50 cm (termasuk pembuangan sisa tunggul dengan menutup kembali bekas lubang)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</si>
  <si>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</si>
  <si>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</si>
  <si>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</si>
  <si>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</si>
  <si>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 xml:space="preserve">1.1.4 </t>
  </si>
  <si>
    <t xml:space="preserve">Pengukuran dan Pasangan Bouwplank </t>
  </si>
  <si>
    <t>1.1.4.1</t>
  </si>
  <si>
    <t>L.14b</t>
  </si>
  <si>
    <t>L.12d</t>
  </si>
  <si>
    <t>1.1.4.2</t>
  </si>
  <si>
    <t>Pasangan 1 m' bouwplank</t>
  </si>
  <si>
    <t>1.1.4.3</t>
  </si>
  <si>
    <t xml:space="preserve">Patok Kayu (kaso5/7) Panjang 0,5 m' </t>
  </si>
  <si>
    <t>Paku Payung</t>
  </si>
  <si>
    <t xml:space="preserve">bh </t>
  </si>
  <si>
    <t>1.1.4.4</t>
  </si>
  <si>
    <t>1 Buah Patok Kayu (Kaso 5/7) panjang 1 m'</t>
  </si>
  <si>
    <t>1.1.4.5</t>
  </si>
  <si>
    <t>Patok Tetap Bantu (PTB)</t>
  </si>
  <si>
    <t xml:space="preserve">Analisa Pekerjaan </t>
  </si>
  <si>
    <t xml:space="preserve">Timbunan Pasir </t>
  </si>
  <si>
    <t xml:space="preserve">Bekisting </t>
  </si>
  <si>
    <t>Beton fc' 15 Mpa</t>
  </si>
  <si>
    <t>Pen Kuningan titik acuan</t>
  </si>
  <si>
    <t>1.1.4.6</t>
  </si>
  <si>
    <t>Patok Tetap Utama (PTU)</t>
  </si>
  <si>
    <t>Pembesian</t>
  </si>
  <si>
    <t xml:space="preserve">1.2.1 </t>
  </si>
  <si>
    <t xml:space="preserve">Tanah Biasa </t>
  </si>
  <si>
    <t xml:space="preserve">Cara Manual </t>
  </si>
  <si>
    <t xml:space="preserve">Penggalian 1 m3 tanah biasa sedalam 0 s.d. 1 m untuk volume s.d. 200 m3 secara manual 
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</si>
  <si>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</si>
  <si>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</si>
  <si>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</si>
  <si>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</si>
  <si>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</si>
  <si>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 xml:space="preserve">Penggalian 1 m3 tanah biasa sedalam &gt; 1 s.d. 2 m untuk volume s.d 200 m3 secara manual </t>
  </si>
  <si>
    <t>1.2.1.1.5</t>
  </si>
  <si>
    <t xml:space="preserve">Penggalian 1 m3 tanah biasa sedalam &gt; 1 s.d. 2 m untuk volume &gt; 200 m3 secara manual 
</t>
  </si>
  <si>
    <t>Penggalian 1 m3 tanah biasa sedalam &gt; 2 s.d. 3 m untuk volume s.d 200 m3 secara manual</t>
  </si>
  <si>
    <t>1.2.1.1.7</t>
  </si>
  <si>
    <t>1.2.1.1.6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</si>
  <si>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</si>
  <si>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</si>
  <si>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</si>
  <si>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 xml:space="preserve">Cara Semi Mekanis </t>
  </si>
  <si>
    <t>1.2.1.2.1</t>
  </si>
  <si>
    <t xml:space="preserve">Penggalian 1 m3 tanh biasa sedalam &gt; 0 s.d 1 m secara semi mekanis </t>
  </si>
  <si>
    <t xml:space="preserve">hari </t>
  </si>
  <si>
    <t>1.2.1.2.2</t>
  </si>
  <si>
    <t xml:space="preserve">Penggalian 1 m3 tanah biasa sedalam &gt;1 s.d 2 m secara semi mekanis </t>
  </si>
  <si>
    <t>1.2.1.2.4</t>
  </si>
  <si>
    <t xml:space="preserve">Penggalian 1 m3 tanah biasa &gt; 3 m untuk setiap  penambahan kedalaman 1 m secara semi mekanis </t>
  </si>
  <si>
    <t xml:space="preserve">1.2.2 </t>
  </si>
  <si>
    <t xml:space="preserve">Pasir </t>
  </si>
  <si>
    <t xml:space="preserve">1.2.2.1 </t>
  </si>
  <si>
    <t xml:space="preserve">1.2.2.1.1 </t>
  </si>
  <si>
    <t xml:space="preserve">Penggalian 1 m3 pasir sedalam &gt;0 s.d 1 m secara manual </t>
  </si>
  <si>
    <t>1.2.2.1.2</t>
  </si>
  <si>
    <t xml:space="preserve">Penggalian 1 m3 pasir sedalam &gt; 1 s.d 2 m secara manual </t>
  </si>
  <si>
    <t>1.2.2.1.3</t>
  </si>
  <si>
    <t xml:space="preserve">Penggalian 1 m3 pasir sedalam &gt; 2 s.d 3 m secara manual </t>
  </si>
  <si>
    <t>1.2.2.1.4</t>
  </si>
  <si>
    <t xml:space="preserve">Penggalian 1 m3 pasir sedalam &gt;  3 m  tiap tambahan dalam 1 msecara manual </t>
  </si>
  <si>
    <t>1.2.2.2</t>
  </si>
  <si>
    <t>1.2.2.2.1</t>
  </si>
  <si>
    <t xml:space="preserve">Penggalian 1 m3 pasir sedalam &gt;  0 s.d 1 m secara semi mekanis </t>
  </si>
  <si>
    <t>1.2.2.2.2</t>
  </si>
  <si>
    <t xml:space="preserve">Penggalian 1 m3 pasir sedalam &gt;  1 s.d 2 m secara semi mekanis </t>
  </si>
  <si>
    <t>1.2.2.2.3</t>
  </si>
  <si>
    <t xml:space="preserve">Penggalian 1 m3 pasir sedalam &gt;  2 s.d 3 m secara semi mekanis </t>
  </si>
  <si>
    <t>1.2.2.2.4</t>
  </si>
  <si>
    <t>Penggalian 1 m3 pasir sedalam &gt;   3 m secara semi mekanis untuk setiap tambahan dalm 1 m</t>
  </si>
  <si>
    <t>1.2.3</t>
  </si>
  <si>
    <t>1.2.3.1</t>
  </si>
  <si>
    <t xml:space="preserve">Penggalian 1 m3 tanah berbatu sedalam &gt; 0 s.d 1 m secara Manual </t>
  </si>
  <si>
    <t>1.2.3.1.1</t>
  </si>
  <si>
    <t>1.2.3.1.2</t>
  </si>
  <si>
    <t xml:space="preserve">Penggalian 1 m3 tanah berbatu sedalam &gt; 1 s.d 2 m secara Manual </t>
  </si>
  <si>
    <t>1.2.3.1.3</t>
  </si>
  <si>
    <t xml:space="preserve">Penggalian 1 m3 tanah berbatu sedalam &gt; 2 s.d 3 m secara Manual </t>
  </si>
  <si>
    <t>1.2.3.1.4</t>
  </si>
  <si>
    <t xml:space="preserve">Penggalian 1 m3 tanah berbatu sedalam &gt;3 m, setiap tambah dalam 1 m secara Manual </t>
  </si>
  <si>
    <t xml:space="preserve">1.2.3.2 </t>
  </si>
  <si>
    <t>1.2.3.2.1</t>
  </si>
  <si>
    <t xml:space="preserve">Penggalian 1 m3 tanah berbatu sedalam &gt; 0 s.d 1 m secara semi mekanis </t>
  </si>
  <si>
    <t>1.2.3.2.2</t>
  </si>
  <si>
    <t xml:space="preserve">Penggalian 1 m3 tanah berbatu sedalam &gt; 1 s.d 2 m secara semi mekanis </t>
  </si>
  <si>
    <t>1.2.3.2.3</t>
  </si>
  <si>
    <t xml:space="preserve">Penggalian 1 m3 tanah berbatu sedalam &gt; 2 s.d 3 m secara semi mekanis </t>
  </si>
  <si>
    <t>1.2.3.2.4</t>
  </si>
  <si>
    <t xml:space="preserve">Penggalian 1 m3 tanah berbatu sedalam &gt; 3 , setiap tambahan dalam 1 m secara semi mekanis </t>
  </si>
  <si>
    <t>1.2.4</t>
  </si>
  <si>
    <t>1.2.4.1</t>
  </si>
  <si>
    <t xml:space="preserve">Tanah Keras atau Cadas </t>
  </si>
  <si>
    <t>1.2.4.1.1</t>
  </si>
  <si>
    <t xml:space="preserve">Penggalian 1 m3 cadas atau tanah keras sedalam &gt; 0 s.d 1 m untuk volume s.d 200m3 secara manual </t>
  </si>
  <si>
    <t>1.2.4.1.2</t>
  </si>
  <si>
    <t>1.2.4.1.3</t>
  </si>
  <si>
    <t xml:space="preserve">Penggalian 1 m3 cadas atau tanah keras sedalam &gt; 1 s.d 2 m untuk volume s.d 200 m3 secara manual </t>
  </si>
  <si>
    <t xml:space="preserve">Penggalian 1 m3 cadas atau tanah keras sedalam &gt; 0 s.d 1 m untuk volume &gt; 200 m3 secara manual </t>
  </si>
  <si>
    <t>1.2.4.1.4</t>
  </si>
  <si>
    <t xml:space="preserve">Penggalian 1 m3 cadas atau tanah keras sedalam &gt; 1 s.d 2 m untuk volume &gt; 200 m3 secara manual </t>
  </si>
  <si>
    <t>1.2.4.1.5</t>
  </si>
  <si>
    <t xml:space="preserve">Penggalian 1 m3 cadas atau tanah keras sedalam &gt; 2 s.d 3 m untuk volume &gt;s.d 200 m3 secara manual </t>
  </si>
  <si>
    <t>1.2.4.1.6</t>
  </si>
  <si>
    <t xml:space="preserve">Penggalian 1 m3 cadas atau tanah keras sedalam &gt; 3 m tiap tambahan dalam 1 m  secara manual </t>
  </si>
  <si>
    <t>1.2.4.2</t>
  </si>
  <si>
    <t xml:space="preserve">Penggalian 1 m3 cadas atau tanah keras sedalam &gt; 0 s.d 1 m secara semi mekanis </t>
  </si>
  <si>
    <t>1.2.4.2.1</t>
  </si>
  <si>
    <t xml:space="preserve">1.2.4.2.2 </t>
  </si>
  <si>
    <t xml:space="preserve">Penggalian 1 m3 cadas atau tanah keras sedalam &gt; 1 s.d 2 m secara semi mekanis </t>
  </si>
  <si>
    <t xml:space="preserve">1.2.4.2.3 </t>
  </si>
  <si>
    <t xml:space="preserve">Penggalian 1 m3 cadas atau tanah keras sedalam &gt; 2 s.d 3 m secara semi mekanis </t>
  </si>
  <si>
    <t xml:space="preserve">1.2.4.2.4 </t>
  </si>
  <si>
    <t xml:space="preserve">Penggalian 1 m3 cadas atau tanah keras sedalam &gt; 3 m tiap tambahan dalam 1 m secara semi mekanis </t>
  </si>
  <si>
    <t>1.2.1.2.3</t>
  </si>
  <si>
    <t xml:space="preserve">Penggalian 1 m3 tanah biasa sedalam &gt;2 s.d 3 m secara semi mekanis </t>
  </si>
  <si>
    <t xml:space="preserve">Tanah Berbatu 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</si>
  <si>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</si>
  <si>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</si>
  <si>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</si>
  <si>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</si>
  <si>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</si>
  <si>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</si>
  <si>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</si>
  <si>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</si>
  <si>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</si>
  <si>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</si>
  <si>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</si>
  <si>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</si>
  <si>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</si>
  <si>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</si>
  <si>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</si>
  <si>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</si>
  <si>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</si>
  <si>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 xml:space="preserve">Penggalian 1 m3 lumpur sedalam &gt;0 s.d 1 m secara semi mekanis </t>
  </si>
  <si>
    <t>1.2.5.2.2</t>
  </si>
  <si>
    <t xml:space="preserve">Penggalian 1 m3 lumpur sedalam &gt; 1 m s.d 2 m secara semi mekanis </t>
  </si>
  <si>
    <t>1.2.5.2.3</t>
  </si>
  <si>
    <t xml:space="preserve">Penggalian 1 m3 lumpur sedalam &gt; 2 m s.d 3 m secara semi mekanis </t>
  </si>
  <si>
    <t>1.2.5.2.4</t>
  </si>
  <si>
    <t xml:space="preserve">Penggalian 1 m3 lumpur sedalam &gt; 3 m setiap tambah kedalaman 1 m secara semi mekanis </t>
  </si>
  <si>
    <t xml:space="preserve">1.3 </t>
  </si>
  <si>
    <t>1.3.1</t>
  </si>
  <si>
    <t xml:space="preserve">Timbunan atau Urukan Secara Manual </t>
  </si>
  <si>
    <t>1.3.1.1</t>
  </si>
  <si>
    <t>1.3.1.2</t>
  </si>
  <si>
    <t xml:space="preserve">1.3.1.3 </t>
  </si>
  <si>
    <t xml:space="preserve">1.3.1.4 </t>
  </si>
  <si>
    <t>jika material pengurukan tersedia, maka kolom (jumlah harga) diisi *=0*. AHSP urukan tanah ini hanya untuk penimbunan, perataan dan perapihan,  dan jika diperlukan pemadatan gunakan U.3.5.3.a.1 atau U.3.5.2.a</t>
  </si>
  <si>
    <t xml:space="preserve">1.3.1.5 </t>
  </si>
  <si>
    <t>1 m3 urukan tanah biasa atau tanah liat berpasir tanpa pemadatan secara manual</t>
  </si>
  <si>
    <t xml:space="preserve">1 m3 Urukan tanah liat (lempung) tanpa pemadatan secara manual </t>
  </si>
  <si>
    <t xml:space="preserve">1.3.1.6 </t>
  </si>
  <si>
    <t xml:space="preserve">1m3 Urukan Batu Kerikil Tanpa Pemadatan secara manual </t>
  </si>
  <si>
    <t>1.3.1.7</t>
  </si>
  <si>
    <t xml:space="preserve">1 m3 Urukan tanah subur tanpa pemadatan secara manual </t>
  </si>
  <si>
    <t>Tanah Subur</t>
  </si>
  <si>
    <t xml:space="preserve">1.3.2 </t>
  </si>
  <si>
    <t xml:space="preserve">Pemadatan Secara Menual </t>
  </si>
  <si>
    <t xml:space="preserve">1.3.2.1 </t>
  </si>
  <si>
    <t xml:space="preserve">1.3.2.2 </t>
  </si>
  <si>
    <t xml:space="preserve">1 m3 timbunan dan pemadatan sirtu  secara manual </t>
  </si>
  <si>
    <t xml:space="preserve">1.3.3 </t>
  </si>
  <si>
    <t xml:space="preserve">Pemadatan Secara Semi- Mekanis </t>
  </si>
  <si>
    <t xml:space="preserve">1.3.3.1 </t>
  </si>
  <si>
    <t xml:space="preserve">1 m3 Pemadatan tanah setebal 10 cm menggunakan  mesin Stemper kuda semi mekanis  </t>
  </si>
  <si>
    <t>1.3.3.2</t>
  </si>
  <si>
    <t xml:space="preserve">1 m3 Pemadatan pasir setebal 15 cm menggunakan mesin Stamper kodok semi mekanis </t>
  </si>
  <si>
    <t>Catatan : HSD alat sudah termasuk operator alatnya (tanpa pembantu operator)</t>
  </si>
  <si>
    <t>1.3.3.3</t>
  </si>
  <si>
    <t xml:space="preserve">1 m3 Pemadatan pasir setebal 20 cm menggunakan mesin Stamper VRR-550 kg semi mekanis </t>
  </si>
  <si>
    <t>1.3.3.4</t>
  </si>
  <si>
    <t xml:space="preserve">1 m3 Pemadatan pasir setebal 20 cm menggunakan mesin Stamper VRR-1,5 Ton semi mekanis </t>
  </si>
  <si>
    <t>1.3.3.5</t>
  </si>
  <si>
    <t xml:space="preserve">OH </t>
  </si>
  <si>
    <t>1.3.3.6</t>
  </si>
  <si>
    <t xml:space="preserve">1 m3 Timbunan dan Pemadatan Makadam semi mekanis </t>
  </si>
  <si>
    <t>batu pecah 5/7</t>
  </si>
  <si>
    <t xml:space="preserve">1 m3 Tipbunan dan Pemadatan batu kerikil meggunakan mein stamper kodok semi mekanis </t>
  </si>
  <si>
    <t xml:space="preserve">Pekerjaan Angkut  Materia dan/atau Hasil Galian </t>
  </si>
  <si>
    <t xml:space="preserve">1.4.1 </t>
  </si>
  <si>
    <t>Angkut Tanah Lepas atau Hasil Galian untuk Jarak Horizontal dan medan landai naik serta turun &gt;2"</t>
  </si>
  <si>
    <t xml:space="preserve">1.4.1.1 </t>
  </si>
  <si>
    <t>Mengangkut 1 m3 tanah lepas, jarak angkut s.d 10 m</t>
  </si>
  <si>
    <t>1.4.1.2</t>
  </si>
  <si>
    <t>1.4.1.3</t>
  </si>
  <si>
    <t>1.4.1.4</t>
  </si>
  <si>
    <t>1.4.1.5</t>
  </si>
  <si>
    <t>Mengangkut 1 m3 tanah lepas, jarak angkut &gt; 40 m s.d 50 m</t>
  </si>
  <si>
    <t>Mengangkut 1 m3 tanah lepas, jarak angkut &gt; 30 m s.d 40 m</t>
  </si>
  <si>
    <t>Mengangkut 1 m3 tanah lepas, jarak angkut  &gt; 10 m s.d 20 m</t>
  </si>
  <si>
    <t>Mengangkut 1 m3 tanah lepas, jarak angkut &gt; 20 m s.d 30 m</t>
  </si>
  <si>
    <t>1.4.1.6</t>
  </si>
  <si>
    <t>Mengangkut 1 m3 tanah lepas, jarak angkut &gt; 50 m s.d 100 m</t>
  </si>
  <si>
    <t>1.4.1.7</t>
  </si>
  <si>
    <t>Mengangkut 1 m3 tanah lepas, jarak angkut &gt; 100 m s.d 200 m</t>
  </si>
  <si>
    <t>1.4.1.8</t>
  </si>
  <si>
    <t>Mengangkut 1 m3 tanah lepas, jarak angkut &gt; 200 m s.d 300 m</t>
  </si>
  <si>
    <t>1.4.1.9</t>
  </si>
  <si>
    <t>Mengangkut 1 m3 tanah lepas, jarak angkut &gt; 300 m s.d 400 m</t>
  </si>
  <si>
    <t>1.4.1.10</t>
  </si>
  <si>
    <t>Mengangkut 1 m3 tanah lepas, jarak angkut &gt; 400 m s.d 500 m</t>
  </si>
  <si>
    <t>1.4.1.11</t>
  </si>
  <si>
    <t>Mengangkut 1 m3 tanah lepas, jarak angkut &gt; 500 m s.d 600 m</t>
  </si>
  <si>
    <t>1.4.1.12</t>
  </si>
  <si>
    <t xml:space="preserve">Mengangkut 1 m3 tanah lepas, jarak angkut &gt; 600 m untuk setiap penambahan jarak angkut 100m </t>
  </si>
  <si>
    <t xml:space="preserve">1.4.2 </t>
  </si>
  <si>
    <t xml:space="preserve">Angkut Material dan / atau Hasil Galian Lainnya </t>
  </si>
  <si>
    <t>1.4.2.1</t>
  </si>
  <si>
    <t xml:space="preserve">1 m3 Pembuangan tanah lumpur sejauh 1 km </t>
  </si>
  <si>
    <t xml:space="preserve">OJ </t>
  </si>
  <si>
    <t xml:space="preserve">Jam </t>
  </si>
  <si>
    <t>1.4.2.2</t>
  </si>
  <si>
    <t xml:space="preserve">1 m3 Pembuangan tanah lumpur sejauh 2 km </t>
  </si>
  <si>
    <t>1.4.2.3</t>
  </si>
  <si>
    <t xml:space="preserve">1 m3 Pembuangan tanah lumpur sejauh 3 km </t>
  </si>
  <si>
    <t>1.4.2.4</t>
  </si>
  <si>
    <t xml:space="preserve">1 m3 Pembuangan tanah lumpur sejauh 4 km </t>
  </si>
  <si>
    <t>1.4.2.5</t>
  </si>
  <si>
    <t xml:space="preserve">1 m3 Pembuangan tanah lumpur sejauh 5 km </t>
  </si>
  <si>
    <t xml:space="preserve">Pekerjaan Geotekstil dan Geomembran </t>
  </si>
  <si>
    <t>1.5.1</t>
  </si>
  <si>
    <t xml:space="preserve">1 m2 Pasangan Geotekstil, Tipis ( &gt; 100 s.d &lt;400 gr/m2), Secara Manual </t>
  </si>
  <si>
    <t>1.5.2</t>
  </si>
  <si>
    <t xml:space="preserve">1 m2 Pasangan Geotekstil, Tipis ( &gt; 100 s.d &lt;400 gr/m2), Secara Mekanis </t>
  </si>
  <si>
    <t>1.5.3</t>
  </si>
  <si>
    <t xml:space="preserve">1 m2 Pasangan Geotekstil, Tebal Sedang ( &gt; 400 s.d &lt;800 gr/m2), Secara Manual </t>
  </si>
  <si>
    <t>1.5.4</t>
  </si>
  <si>
    <t xml:space="preserve">1 m2 Pasangan Geotekstil, Tebal Sedang ( &gt; 400 s.d &lt;800 gr/m2), Secara Semi Mekanis( untuk bangunan gedung) </t>
  </si>
  <si>
    <t>1.5.5</t>
  </si>
  <si>
    <t xml:space="preserve">1 m2 Pasangan Geotekstil, Tebal (  &gt;800 gr/m2), Secara Manual ( untuk bangunan gedung) </t>
  </si>
  <si>
    <t>1.5.6</t>
  </si>
  <si>
    <t xml:space="preserve">1 m2 Pasangan Geotekstil, Tebal (  &gt;800 gr/m2), Secara Semi Mekanis ( untuk bangunan gedung) </t>
  </si>
  <si>
    <t>1.5.7</t>
  </si>
  <si>
    <t>1 m2 Pasangan Geomembran, t=1,5 mm, secara semi mekanis</t>
  </si>
  <si>
    <t>1.5.8</t>
  </si>
  <si>
    <t xml:space="preserve">1 m2 Pasangan Geosynthetic Clay Liner (GCL), secara semi mekanis </t>
  </si>
  <si>
    <t>Tukang Batu</t>
  </si>
  <si>
    <t xml:space="preserve">Bentonite </t>
  </si>
  <si>
    <t xml:space="preserve">buah </t>
  </si>
  <si>
    <t>1.6</t>
  </si>
  <si>
    <t>1.6.1</t>
  </si>
  <si>
    <t>Bongkaran 1 m3 pasangan batu (manual) untuk bangunan gedung</t>
  </si>
  <si>
    <t xml:space="preserve">Hasil pembersihan 1m3 pasangan batu yang dibongkar, umumnya menghasilkan 0,55-0,66 m3 batu </t>
  </si>
  <si>
    <t>1.6.2</t>
  </si>
  <si>
    <t xml:space="preserve">Bongkaran 1 m3 pasangan batu dengan jack hammer untuk bangunan gedung </t>
  </si>
  <si>
    <t>1.6.3</t>
  </si>
  <si>
    <t>Bongkaran 1 m3 beton mutu rendah f’c &lt; 20 MPa secara manual</t>
  </si>
  <si>
    <t>Bongkaran 1 m3 beton mutu rendah f’c ≥ 20 MPa secara manual</t>
  </si>
  <si>
    <t xml:space="preserve">1.6.4 </t>
  </si>
  <si>
    <t>1.6.5</t>
  </si>
  <si>
    <t>Bongkaran 1 m3 beton mutu rendah f’c &lt; 20 MPa dengan jack hammer</t>
  </si>
  <si>
    <t xml:space="preserve">1.6.6 </t>
  </si>
  <si>
    <t>Bongkaran 1 m3 beton mutu sedang 20 MPa ≤ f’c ≤ 40 MPa dengan jack hammer</t>
  </si>
  <si>
    <t>Bongkaran 1 m3 pasangan bata merah secara manual</t>
  </si>
  <si>
    <t>1.6.7</t>
  </si>
  <si>
    <t>Bongkaran 1 m3 pasangan bata merah dengan jack hammer</t>
  </si>
  <si>
    <t>1.6.8</t>
  </si>
  <si>
    <t>1.6.9</t>
  </si>
  <si>
    <t>Bongkaran 1 m3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</si>
  <si>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</si>
  <si>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</si>
  <si>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 xml:space="preserve">Hoist 1 ton </t>
  </si>
  <si>
    <t>1.6.11</t>
  </si>
  <si>
    <t>Bongkaran 1 m3 kuda-kuda / gording/ balok kayu dan ditempatkan di pemyimpanan sementara (bogkaran tidak dipakai kembali)</t>
  </si>
  <si>
    <t>1.6.12</t>
  </si>
  <si>
    <t>1.6.13</t>
  </si>
  <si>
    <t xml:space="preserve">PEKERJAAN STRUKTUR </t>
  </si>
  <si>
    <t>2.1.1</t>
  </si>
  <si>
    <t xml:space="preserve">Rangka Atap Baja Ringan </t>
  </si>
  <si>
    <t xml:space="preserve">2.1 </t>
  </si>
  <si>
    <t xml:space="preserve">PEKERJAAN RANGKA ATAP </t>
  </si>
  <si>
    <t>2.1.1.1</t>
  </si>
  <si>
    <t>2.1.1.2</t>
  </si>
  <si>
    <t>2.1.1.3</t>
  </si>
  <si>
    <t>Pemasangan 1 m Kaso Baja Ringan C75 tebal 0,75 mm</t>
  </si>
  <si>
    <t>Baja ringan C75 x 0,75 mm (permeter)</t>
  </si>
  <si>
    <t>Paku Rivet</t>
  </si>
  <si>
    <t>2.1.1.4</t>
  </si>
  <si>
    <t>Pemasangan 1 m  Baja Ringan R.32 tebal 0,45 mm</t>
  </si>
  <si>
    <t xml:space="preserve">Rangka Atap Kayu </t>
  </si>
  <si>
    <t>2.1.2</t>
  </si>
  <si>
    <t>2.1.2.1</t>
  </si>
  <si>
    <t>2.1.2.2</t>
  </si>
  <si>
    <t>2.1.2.3</t>
  </si>
  <si>
    <t>Pemasangan 1 m3 konstruksi gordeng, kayu kelas II</t>
  </si>
  <si>
    <t>2.1.2.4</t>
  </si>
  <si>
    <t>Kaso 5/7 kayu Kelas II</t>
  </si>
  <si>
    <t>2.1.2.5</t>
  </si>
  <si>
    <t>kaso 5/7 kayu kelas II</t>
  </si>
  <si>
    <t>2.1.2.6</t>
  </si>
  <si>
    <t xml:space="preserve">2.2 </t>
  </si>
  <si>
    <t xml:space="preserve">PEKERJAAN STRUKTUR BETON </t>
  </si>
  <si>
    <t>2.2.1</t>
  </si>
  <si>
    <t xml:space="preserve">Struktur Atas </t>
  </si>
  <si>
    <t>2.2.1.1</t>
  </si>
  <si>
    <t>Penulangan Beton</t>
  </si>
  <si>
    <t>2.2.1.1.1</t>
  </si>
  <si>
    <t>2.2.1.2</t>
  </si>
  <si>
    <t>2.2.1.1.2</t>
  </si>
  <si>
    <t>2.2.1.1.3</t>
  </si>
  <si>
    <t>2.2.1.1.4</t>
  </si>
  <si>
    <t>2.2.1.1.5</t>
  </si>
  <si>
    <t>1 kg penulangan wiremesh M6-M10 untuk slab atau dinding atau ferrocement, secara manual (untuk bangunan gedung)</t>
  </si>
  <si>
    <t>2.2.1.1.6</t>
  </si>
  <si>
    <t>1 kg penulangan wiremesh M6-M10 untuk slab atau dinding atau ferrocement, secara semi mekanis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</si>
  <si>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</si>
  <si>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</si>
  <si>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</si>
  <si>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</si>
  <si>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</si>
  <si>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</si>
  <si>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 xml:space="preserve">Pemasangan 1 m' PVC waterstop </t>
  </si>
  <si>
    <t>2.2.1.2.1</t>
  </si>
  <si>
    <t>Pemasangan 1 m' PVC waterstop lebar 150 mm (untuk bangunan gedung)</t>
  </si>
  <si>
    <t>2.2.1.2.2</t>
  </si>
  <si>
    <t>2.2.1.2.3</t>
  </si>
  <si>
    <t>2.2.1.3</t>
  </si>
  <si>
    <t xml:space="preserve">Pemasangan dan Pembongkaran Bekisting </t>
  </si>
  <si>
    <t>2.2.1.3.1</t>
  </si>
  <si>
    <t>2.2.1.3.2</t>
  </si>
  <si>
    <t>Pemasangan 1 m2 bekisting untuk sloof  (3 kali pakai)</t>
  </si>
  <si>
    <t>Minyak Bekisting</t>
  </si>
  <si>
    <t>2.2.1.3.3</t>
  </si>
  <si>
    <t>2.2.1.3.4</t>
  </si>
  <si>
    <t>2.2.1.3.5</t>
  </si>
  <si>
    <t>2.2.1.3.6</t>
  </si>
  <si>
    <t>2.2.1.3.7</t>
  </si>
  <si>
    <t>2.2.1.3.8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</si>
  <si>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</si>
  <si>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</si>
  <si>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</si>
  <si>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</si>
  <si>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</si>
  <si>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 xml:space="preserve">Pembuatan S.D Pengecoran Campuran Beton Secara Manual </t>
  </si>
  <si>
    <t>2.2.1.4.1</t>
  </si>
  <si>
    <t xml:space="preserve"> 1 m3 beton mutu rendah f'c 7,5 MPa, slump (100 ± 25) mm, agregat maks 19 mm secara manual 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</si>
  <si>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</si>
  <si>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</si>
  <si>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</si>
  <si>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</si>
  <si>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</si>
  <si>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 xml:space="preserve"> 1 m3 beton mutu rendah f'c 17 MPa, slump (100 ± 25) mm, agregat maks 19 mm secara manual</t>
  </si>
  <si>
    <t>2.2.1.4.5</t>
  </si>
  <si>
    <t xml:space="preserve"> 1 m3 beton mutu sedang f'c 20 MPa, slump (100 ± 25) mm, agregat maks 19 mm secara manual</t>
  </si>
  <si>
    <t>2.2.1.4.6</t>
  </si>
  <si>
    <t xml:space="preserve"> 1 m3 beton mutu sedang f'c 21 MPa, slump (100 ± 25) mm, agregat maks 19 mm secara manual</t>
  </si>
  <si>
    <t xml:space="preserve">2.2.4.5 </t>
  </si>
  <si>
    <t xml:space="preserve">Pembuatan s.d. Pengecoran Campuran Beton Secara Mekanis </t>
  </si>
  <si>
    <t>2.2.1.5.1</t>
  </si>
  <si>
    <t xml:space="preserve"> 1 m3 beton mutu rendah f'c 10 MPa, slump (100 ± 25) mm, agregat maks 19 mm secara semi mekanis</t>
  </si>
  <si>
    <t>2.2.1.5.2</t>
  </si>
  <si>
    <t xml:space="preserve"> 1 m3 beton mutu rendah f'c 15 MPa, slump (100 ± 25) mm, agregat maks 19 mm secara semi mekanis</t>
  </si>
  <si>
    <t>Semen Portland (pc)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</si>
  <si>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</si>
  <si>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</si>
  <si>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</si>
  <si>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</si>
  <si>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</si>
  <si>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</si>
  <si>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</si>
  <si>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</si>
  <si>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</si>
  <si>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</si>
  <si>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</si>
  <si>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</si>
  <si>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</si>
  <si>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 xml:space="preserve"> 1 m3 beton mutu sedang f'c 31 MPa, slump (100 ± 25) mm, agregat maks 19 mm secara semi mekanis</t>
  </si>
  <si>
    <t xml:space="preserve">Cat: untuk menambahkan kelecakan campuran beton dapat ditambahkan plasticizer/super plasticizer yg sesuai dg petunjuk paprik </t>
  </si>
  <si>
    <t>2.2.1.5.10</t>
  </si>
  <si>
    <t>1 m3 beton mutu sedang f'c 35 MPa, slump (100 ± 25) mm, agregat maks 19 mm secara semi mekanis</t>
  </si>
  <si>
    <t>2.2.1.5.11</t>
  </si>
  <si>
    <t xml:space="preserve"> 1 m3 beton kedap air dengan aditif secara semi mekanis </t>
  </si>
  <si>
    <t>2.2.1.6</t>
  </si>
  <si>
    <t>Pengecoran  Campuran Beton Ready Mix</t>
  </si>
  <si>
    <t>2.2.1.6.1</t>
  </si>
  <si>
    <t>Pengecoran 1 m3  menggunakan ready mixed (untuk bangunan gedung)</t>
  </si>
  <si>
    <t xml:space="preserve">jika pelaksanaan penuangan campuran beton yang dilakukan dengan ketinggian &gt; 1 m harus menggunakan pompa </t>
  </si>
  <si>
    <t>2.2.1.7</t>
  </si>
  <si>
    <t xml:space="preserve">Angkat dan Angkut Campuran Beton </t>
  </si>
  <si>
    <t>2.2.1.7.1</t>
  </si>
  <si>
    <t>2.2.1.7.2</t>
  </si>
  <si>
    <t>2.2.1.7.3</t>
  </si>
  <si>
    <t>Pengecoran pakai pompa beton ø 1,5"; 5 KW; 8 bar; T = 5 m' (untuk Bangunan Gedung)</t>
  </si>
  <si>
    <t>2.2.1.7.4</t>
  </si>
  <si>
    <t>2.2.1.7.5</t>
  </si>
  <si>
    <t>2.2.1.7.6</t>
  </si>
  <si>
    <t>2.2.1.8</t>
  </si>
  <si>
    <t xml:space="preserve">Pemadatan Beton Pada Saat Pengecoran </t>
  </si>
  <si>
    <t>2.2.1.8.1</t>
  </si>
  <si>
    <t xml:space="preserve">Pemadatan 1 m3 beton dengan baja tulangan pada bangunan gedung </t>
  </si>
  <si>
    <t>2.2.1.8.2</t>
  </si>
  <si>
    <t xml:space="preserve">Pemadatan 1 m3 beton menggunakan vibrator pada bangunan gedung </t>
  </si>
  <si>
    <t>2.2.1.9</t>
  </si>
  <si>
    <t>Pelaksanaan Curing (Pemeliharaan)</t>
  </si>
  <si>
    <t>2.2.1.9.1</t>
  </si>
  <si>
    <t>Menggenangi 1 m2 permukaan beton dengan air selama 4 hari (untuk bangunan gedung)</t>
  </si>
  <si>
    <t>Pasir Pasang</t>
  </si>
  <si>
    <t>2.2.1.9.2</t>
  </si>
  <si>
    <t>Menyirami 1 m2 permukaan beton menggunakan media kain terpal selama 4 hari (untuk Bangunan Gedung)</t>
  </si>
  <si>
    <t>2.2.1.9.3</t>
  </si>
  <si>
    <t>2.2.1.10</t>
  </si>
  <si>
    <t xml:space="preserve">Kolom /Balok Praktis </t>
  </si>
  <si>
    <t>2.2.1.10.1</t>
  </si>
  <si>
    <t>Semen portland (PC)</t>
  </si>
  <si>
    <t>2.2.1.10.2</t>
  </si>
  <si>
    <t>Semen portland (pc)</t>
  </si>
  <si>
    <t>2.2.1.11</t>
  </si>
  <si>
    <t xml:space="preserve">Grouting </t>
  </si>
  <si>
    <t>2.2.1.11.1</t>
  </si>
  <si>
    <t xml:space="preserve">1 m3 pekerjaan grouting secara manual pada bangunan gedung </t>
  </si>
  <si>
    <t>2.2.1.11.2</t>
  </si>
  <si>
    <t xml:space="preserve">1 kg pekerjaan grouting secara injeksi pada bangunan gedung </t>
  </si>
  <si>
    <t>2.2.2</t>
  </si>
  <si>
    <t xml:space="preserve">Struktur Bawah </t>
  </si>
  <si>
    <t>2.2.2.1</t>
  </si>
  <si>
    <t xml:space="preserve">Fondasi Menerus Batu Belah </t>
  </si>
  <si>
    <t>2.2.2.1.1</t>
  </si>
  <si>
    <t>2.2.2.1.2</t>
  </si>
  <si>
    <t>Pemasangan 1 m3 pondasi batu belah mortar tipe M 17,5 Mpa setara 1SP : 2PP, cara manual</t>
  </si>
  <si>
    <t>2.2.2.1.3</t>
  </si>
  <si>
    <t>Pemasangan 1 m3 pondasi batu belah mortar tipe M 17,5 Mpa (setara 1SP : 2PP), cara semi mekanis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</si>
  <si>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</si>
  <si>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</si>
  <si>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</si>
  <si>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</si>
  <si>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</si>
  <si>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</si>
  <si>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</si>
  <si>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2.2.2.2.11</t>
  </si>
  <si>
    <t>2.2.2.2</t>
  </si>
  <si>
    <t>Pondasi Sumuran Beton Siklop</t>
  </si>
  <si>
    <t>2.2.2.2.1</t>
  </si>
  <si>
    <t>2.2.2.2.2</t>
  </si>
  <si>
    <t>2.2.2.2.3</t>
  </si>
  <si>
    <t>2.2.2.2.4</t>
  </si>
  <si>
    <t>2.2.2.2.5</t>
  </si>
  <si>
    <t>2.2.2.2.6</t>
  </si>
  <si>
    <t xml:space="preserve">2.2.2.3 </t>
  </si>
  <si>
    <t>Pondasi Strauss Pile dan Bore Pile</t>
  </si>
  <si>
    <t>2.2.2.3.1</t>
  </si>
  <si>
    <t>2.2.2.3.2</t>
  </si>
  <si>
    <t>2.2.2.3.3</t>
  </si>
  <si>
    <t>2.2.2.3.4</t>
  </si>
  <si>
    <t>2.2.2.3.5</t>
  </si>
  <si>
    <t>2.2.2.3.6</t>
  </si>
  <si>
    <t>2.2.2.3.7</t>
  </si>
  <si>
    <t>2.2.2.3.8</t>
  </si>
  <si>
    <t>2.2.2.3.9</t>
  </si>
  <si>
    <t>2.2.2.3.10</t>
  </si>
  <si>
    <t>2.2.2.3.11</t>
  </si>
  <si>
    <t>2.2.2.3.12</t>
  </si>
  <si>
    <t>2.2.2.3.13</t>
  </si>
  <si>
    <t>2.2.2.3.14</t>
  </si>
  <si>
    <t>2.2.2.3.15</t>
  </si>
  <si>
    <t>2.2.2.3.16</t>
  </si>
  <si>
    <t>2.2.2.3.17</t>
  </si>
  <si>
    <t xml:space="preserve">Pengeboran 1 m' lubang bored pile φ 60 cm (mekanis) untuk  bangunan gedung </t>
  </si>
  <si>
    <t>Bore Pile Machine</t>
  </si>
  <si>
    <t>2.2.2.3.18</t>
  </si>
  <si>
    <t xml:space="preserve">Pengeboran 1 m' lubang bored pile φ 80 cm (mekanis) untuk  bangunan gedung </t>
  </si>
  <si>
    <t>2.2.2.3.19</t>
  </si>
  <si>
    <t xml:space="preserve">Pengeboran 1 m' lubang bored pile φ 100 cm (mekanis) untuk  bangunan gedung </t>
  </si>
  <si>
    <t>2.2.2.3.20</t>
  </si>
  <si>
    <t xml:space="preserve">Pengeboran 1 m' lubang bored pile φ 120 cm (mekanis) untuk  bangunan gedung </t>
  </si>
  <si>
    <t>2.2.2.4</t>
  </si>
  <si>
    <t xml:space="preserve">Pondasi Tiang Pancang </t>
  </si>
  <si>
    <t>2.2.2.4.1</t>
  </si>
  <si>
    <t xml:space="preserve">jam </t>
  </si>
  <si>
    <t>2.2.2.4.2</t>
  </si>
  <si>
    <t>2.2.2.4.3</t>
  </si>
  <si>
    <t xml:space="preserve">Per m' penetrasi Tiang Beton persegi 20cm x 20 cm secara mekanis </t>
  </si>
  <si>
    <t>2.2.2.4.4</t>
  </si>
  <si>
    <t xml:space="preserve">Per m' penetrasi Tiang Beton persegi 25 cm x 25 cm secara mekanis </t>
  </si>
  <si>
    <t>2.2.2.4.5</t>
  </si>
  <si>
    <t xml:space="preserve">Per m' penetrasi Tiang Beton persegi 30 cm x 30 cm secara mekanis </t>
  </si>
  <si>
    <t>2.2.2.4.6</t>
  </si>
  <si>
    <t xml:space="preserve">Per m' penetrasi Tiang Beton persegi 35 cm x 35 cm secara mekanis </t>
  </si>
  <si>
    <t>2.2.2.4.7</t>
  </si>
  <si>
    <t xml:space="preserve">Per m' penetrasi Tiang Beton persegi 40 cm x 40 cm secara mekanis </t>
  </si>
  <si>
    <t>2.2.2.4.8</t>
  </si>
  <si>
    <t xml:space="preserve">Per m' penetrasi Tiang Beton persegi 45 cm x 45 cm secara mekanis </t>
  </si>
  <si>
    <t>2.2.2.4.9</t>
  </si>
  <si>
    <t xml:space="preserve">Per m' penetrasi Tiang Beton persegi 50 cm x 50 cm secara mekanis </t>
  </si>
  <si>
    <t>2.2.2.4.10</t>
  </si>
  <si>
    <t xml:space="preserve">Per m' penetrasi Spun Pile Diameter 30 cm secara mekanis </t>
  </si>
  <si>
    <t>2.2.2.4.11</t>
  </si>
  <si>
    <t xml:space="preserve">Per m' penetrasi Spun Pile Diameter 35 cm secara mekanis </t>
  </si>
  <si>
    <t>2.2.2.4.12</t>
  </si>
  <si>
    <t xml:space="preserve">Per m' penetrasi Spun Pile Diameter 40 cm secara mekanis </t>
  </si>
  <si>
    <t>2.2.2.4.13</t>
  </si>
  <si>
    <t xml:space="preserve">Per m' penetrasi Spun Pile Diameter 45 cm secara mekanis </t>
  </si>
  <si>
    <t>2.2.2.4.14</t>
  </si>
  <si>
    <t xml:space="preserve">Per m' penetrasi Spun Pile Diameter 50 cm secara mekanis </t>
  </si>
  <si>
    <t>2.2.2.4.16</t>
  </si>
  <si>
    <t>2.2.2.4.15</t>
  </si>
  <si>
    <t xml:space="preserve">Per m' penetrasi Spun Pile Diameter 60 cm secara mekanis </t>
  </si>
  <si>
    <t>Per m' Pengelasan Tiang Beton tebal 5 mm</t>
  </si>
  <si>
    <t xml:space="preserve">kg </t>
  </si>
  <si>
    <t>kawat las</t>
  </si>
  <si>
    <t>2.2.2.4.17</t>
  </si>
  <si>
    <t>Per m' Pengelasan Tiang Beton tebal 6 mm</t>
  </si>
  <si>
    <t>2.2.2.4.18</t>
  </si>
  <si>
    <t>Per m' Pengelasan Tiang Beton tebal 8 mm</t>
  </si>
  <si>
    <t>2.2.2.4.19</t>
  </si>
  <si>
    <t>2.2.2.5</t>
  </si>
  <si>
    <t xml:space="preserve">Concrete Sheet Pile </t>
  </si>
  <si>
    <t>2.2.2.5.1</t>
  </si>
  <si>
    <t>Per m' penetrasi turap beton pre-cast 12 x 30 cm , pjg -4 m; berat 100 kg/m'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</si>
  <si>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</si>
  <si>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</si>
  <si>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</si>
  <si>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</si>
  <si>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</si>
  <si>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</si>
  <si>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2.2.2.5.5</t>
  </si>
  <si>
    <t>2.2.2.5.6</t>
  </si>
  <si>
    <t>Per m' penetrasi turap beton tulang  pre-cast W-400; ebar 1,0 m; pjg -4 m; berat 350 kg/m'</t>
  </si>
  <si>
    <t>Per m' penetrasi turap beton tulang  pre-cast W-600; lebar 1,0 m; pjg -4 m; berat 375 kg/m' (untuk bangunan gedung)</t>
  </si>
  <si>
    <t>2.3</t>
  </si>
  <si>
    <t xml:space="preserve">PEKERJAAN STRUKTUR BAJA </t>
  </si>
  <si>
    <t>2.23.1</t>
  </si>
  <si>
    <t>2.3.1.1</t>
  </si>
  <si>
    <t xml:space="preserve">1 kg Pabrikasi dan Ereksi Baja Profil </t>
  </si>
  <si>
    <t xml:space="preserve">Alat Las Listrik </t>
  </si>
  <si>
    <t>2.3.1.2</t>
  </si>
  <si>
    <t>1 kg Pemasangan angkur</t>
  </si>
  <si>
    <t>2.3.1.3</t>
  </si>
  <si>
    <t>1 kg Pemasangan baut</t>
  </si>
  <si>
    <t xml:space="preserve">Kunci momen </t>
  </si>
  <si>
    <t>2.3.1.4</t>
  </si>
  <si>
    <t xml:space="preserve">1 kg pekerjaan  baja pelat secara semi mekanis </t>
  </si>
  <si>
    <t>2.3.1.5</t>
  </si>
  <si>
    <t>1 kg pekerjaan  baja profil siku dengan pengelasan secara semi mekanis</t>
  </si>
  <si>
    <t>2.3.1.6</t>
  </si>
  <si>
    <t>1 kg pekerjaan  baja profil siku tanpa pengelasan secara manual</t>
  </si>
  <si>
    <t xml:space="preserve">Pembuatan Bekisting </t>
  </si>
  <si>
    <t>2.4.1.1</t>
  </si>
  <si>
    <t>Pembuatan 1 m2 Bekisting untuk pelat Beton Pracetak Komponen Modular Bangunan gedung ( 5kali pakai )</t>
  </si>
  <si>
    <t>kaso 5/7</t>
  </si>
  <si>
    <t xml:space="preserve">lembar </t>
  </si>
  <si>
    <t xml:space="preserve">liter 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</si>
  <si>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</si>
  <si>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</si>
  <si>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</si>
  <si>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</si>
  <si>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kayu</t>
  </si>
  <si>
    <t>2.4.1.4</t>
  </si>
  <si>
    <t>Pemasangan 1 titik bekisting joint pracetak</t>
  </si>
  <si>
    <t xml:space="preserve">Papan Cor </t>
  </si>
  <si>
    <t xml:space="preserve">2.4.2.1 </t>
  </si>
  <si>
    <t>2.4.2</t>
  </si>
  <si>
    <t xml:space="preserve">Pemasangan dan Membuka Cetakan </t>
  </si>
  <si>
    <t xml:space="preserve">Pemasangan dan membuka cetakan 1 buah komponen pelat beton pracetak </t>
  </si>
  <si>
    <t>2.4.2.2</t>
  </si>
  <si>
    <t>2.4.2.3</t>
  </si>
  <si>
    <t xml:space="preserve">Pemasangan dan membuka cetakan 1 buah komponen balok beton pracetak </t>
  </si>
  <si>
    <t xml:space="preserve">Pemasangan dan membuka cetakan 1 buah komponen kolom beton pracetak </t>
  </si>
  <si>
    <t>2.4.3</t>
  </si>
  <si>
    <t>Penuangan / Menebar Beton</t>
  </si>
  <si>
    <t>2.4.3.1</t>
  </si>
  <si>
    <t xml:space="preserve">Penuangan / Menebar Beton 1 m3 untuk Pelat Beton Pracetak </t>
  </si>
  <si>
    <t>L.14.b</t>
  </si>
  <si>
    <t>Tenaga Terampil Operator merupakan konversi atas Tukang Vibrator</t>
  </si>
  <si>
    <t xml:space="preserve">Tenaga Terampil Operator </t>
  </si>
  <si>
    <t>2.4.3.2</t>
  </si>
  <si>
    <t xml:space="preserve">Penuangan / Menebar Beton 1 m3 untuk Balok Beton Pracetak </t>
  </si>
  <si>
    <t>2.4.3.3</t>
  </si>
  <si>
    <t xml:space="preserve">Penuangan / Menebar Beton 1 m3 untuk KOLOM Beton Pracetak </t>
  </si>
  <si>
    <t>2.4.4</t>
  </si>
  <si>
    <t xml:space="preserve">Pemindahan Komponen Pracetak </t>
  </si>
  <si>
    <t>2.4.4.1</t>
  </si>
  <si>
    <r>
      <t>Pemindahan 1 buah Komponen untuk Pelat Pracetak (</t>
    </r>
    <r>
      <rPr>
        <b/>
        <sz val="11"/>
        <rFont val="Calibri"/>
        <family val="2"/>
      </rPr>
      <t>± 20 m)</t>
    </r>
  </si>
  <si>
    <t xml:space="preserve">unit hari </t>
  </si>
  <si>
    <t xml:space="preserve">Crane </t>
  </si>
  <si>
    <t>2.4.4.2</t>
  </si>
  <si>
    <r>
      <t>Pemindahan 1 buah Komponen untuk Balok Pracetak (</t>
    </r>
    <r>
      <rPr>
        <b/>
        <sz val="11"/>
        <rFont val="Calibri"/>
        <family val="2"/>
      </rPr>
      <t>± 20 m)</t>
    </r>
  </si>
  <si>
    <t>2.4.4.3</t>
  </si>
  <si>
    <r>
      <t>Pemindahan 1 buah Komponen untuk Kolom Pracetak (</t>
    </r>
    <r>
      <rPr>
        <b/>
        <sz val="11"/>
        <rFont val="Calibri"/>
        <family val="2"/>
      </rPr>
      <t>± 20 m)</t>
    </r>
  </si>
  <si>
    <t>2.4.5</t>
  </si>
  <si>
    <t>2.4.5.1</t>
  </si>
  <si>
    <t xml:space="preserve">Pemasagan dan Ereksi Komponen Pracetak </t>
  </si>
  <si>
    <t xml:space="preserve">buah hari </t>
  </si>
  <si>
    <t>2.4.5.2</t>
  </si>
  <si>
    <t xml:space="preserve">Pemasangan 1 buah Komponen untuk Pelat Beton Pracetak Beserta Indeks Kenaikan Lantai Ereksi Pelat  Hingga 24 Lantai </t>
  </si>
  <si>
    <t xml:space="preserve">Pemasangan 1 buah Komponen untuk Balok  Pracetak Beserta Indeks Kenaikan Lantai Ereksi Pelat  Hingga 24 Lantai </t>
  </si>
  <si>
    <t>2.4.5.3</t>
  </si>
  <si>
    <t xml:space="preserve">Ereksi 1 buah komponen untuk pelat pracetak </t>
  </si>
  <si>
    <t>2.4.5.4</t>
  </si>
  <si>
    <t xml:space="preserve">Ereksi 1 buah komponen untuk balok pracetak </t>
  </si>
  <si>
    <t>2.4.5.5</t>
  </si>
  <si>
    <t xml:space="preserve">Ereksi 1 buah komponen untuk kolom pracetak </t>
  </si>
  <si>
    <t>2.4.5.6</t>
  </si>
  <si>
    <t xml:space="preserve">Upah 1 tititk pekerjaan Grout pada Joint Beton Pracetak </t>
  </si>
  <si>
    <t>2.4.5.7</t>
  </si>
  <si>
    <t xml:space="preserve">Upah 1 titik joint dengan sling </t>
  </si>
  <si>
    <t>2.4.6</t>
  </si>
  <si>
    <t xml:space="preserve">Produksi Lahan </t>
  </si>
  <si>
    <t>2.4.6.1</t>
  </si>
  <si>
    <r>
      <t xml:space="preserve">Pembuatan 1 m2 lahan produksi tebal 8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</si>
  <si>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2.4.6.2</t>
  </si>
  <si>
    <r>
      <t xml:space="preserve">Pembuatan 1 m2 lahan produksi tebal 10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</si>
  <si>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2.4.6.3</t>
  </si>
  <si>
    <r>
      <t xml:space="preserve">Pembuatan 1 m2 lahan produksi tebal 12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</si>
  <si>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>2.4.6.4</t>
  </si>
  <si>
    <r>
      <t xml:space="preserve">Pembuatan 1 m2 lahan produksi tebal 15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</si>
  <si>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 xml:space="preserve">PEKERJAAN STRUKTUR BETON PRATEGANG </t>
  </si>
  <si>
    <t>2.5.1</t>
  </si>
  <si>
    <t>Pemasangan 1 kg kabel prategang (prestressed) polos/strand</t>
  </si>
  <si>
    <t xml:space="preserve">Pekerjaan Struktur Kayu </t>
  </si>
  <si>
    <t>2.6.1</t>
  </si>
  <si>
    <t>2.6.2</t>
  </si>
  <si>
    <t xml:space="preserve">Pemancangan Tiang Kayu / Cerucuk Bambu/ Dolken </t>
  </si>
  <si>
    <t>2.6.2.1</t>
  </si>
  <si>
    <t xml:space="preserve">Pemancangan per m' tiang pancang kayu atau dolken dia. 6-8 cm </t>
  </si>
  <si>
    <t>2.6.2.2</t>
  </si>
  <si>
    <t xml:space="preserve">Pemancangan per m' Tiang kayu Gelondongan dia. 18-20 cm </t>
  </si>
  <si>
    <t>2.6.2.3</t>
  </si>
  <si>
    <t>1 m2 Turap bambu dari geribig bambu secara manual, JAT &lt; 0,5 m</t>
  </si>
  <si>
    <t xml:space="preserve">batang </t>
  </si>
  <si>
    <r>
      <rPr>
        <b/>
        <sz val="11"/>
        <color rgb="FF000000"/>
        <rFont val="Arial"/>
        <family val="2"/>
      </rPr>
      <t>Catatan</t>
    </r>
    <r>
      <rPr>
        <sz val="11"/>
        <color rgb="FF000000"/>
        <rFont val="Arial"/>
        <family val="2"/>
      </rPr>
      <t xml:space="preserve"> : JAT adalah jarak antar tiang </t>
    </r>
  </si>
  <si>
    <t xml:space="preserve">Pekerjaan Dinding Penahan Tanah </t>
  </si>
  <si>
    <t>2.7.1</t>
  </si>
  <si>
    <t>Pemasangan 1 M' pipa suling -suling menggunakan pipa PVC dia. 1" (untuk bangunan gedung)</t>
  </si>
  <si>
    <t xml:space="preserve">Ijuk </t>
  </si>
  <si>
    <t xml:space="preserve">Kerikil </t>
  </si>
  <si>
    <t>2.7.2</t>
  </si>
  <si>
    <t>Pemasangan 1 M' pipa suling -suling menggunakan pipa PVC dia. 2" (untuk bangunan gedung)</t>
  </si>
  <si>
    <t>2.7.3</t>
  </si>
  <si>
    <t xml:space="preserve">Pemasangan 1 m2 Lapisan Ijuk tebal 10 cm 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</si>
  <si>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</si>
  <si>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</si>
  <si>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</si>
  <si>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</si>
  <si>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 xml:space="preserve">untuk bronjong yang kontak langsng dengan tanah, kolom ( jumlah harga) pasir pasang agar di hitung biayanya </t>
  </si>
  <si>
    <t>2.7.6</t>
  </si>
  <si>
    <t>1 m3 bronjong kawat digalvanis, lubang heksagonal 80 x 100 mm; beda tinggi &gt; 0 s.d 1 m' tidak berkontak langsung dengan tanah (kawat dibuat sendiri)</t>
  </si>
  <si>
    <t xml:space="preserve"> 1 m3 bronjong kawat digalvanis, lubang heksagonal 80x100mm; beda tinggi &gt;3 s.d 4 m' berkontak langsung dengan tanah (kawat dibuat sendiri)</t>
  </si>
  <si>
    <t xml:space="preserve">untuk bronjong yang kontalk langsung dengan tanah, (jumlah harga)pasir pasang agar di hitung biayanya </t>
  </si>
  <si>
    <t>2.7.7</t>
  </si>
  <si>
    <t>2.7.8</t>
  </si>
  <si>
    <t xml:space="preserve"> 1 m3 bronjong kawat digalvanis, lubang heksagonal 80x100mm; beda tinggi &gt;3 s.d 4 m' tidak berkontak langsung dengan tanah (kawat dibuat sendiri)</t>
  </si>
  <si>
    <t>2.7.9</t>
  </si>
  <si>
    <t xml:space="preserve"> 1 m3 kawat bronjong kawat digalvanis, lubang heksagonal 100x120mm; beda tinggi &gt;0 s.d 1 m' berkontak langsung dengan tanah (kawat dibuat sendiri)</t>
  </si>
  <si>
    <t>2.7.10</t>
  </si>
  <si>
    <t xml:space="preserve"> 1 m3 kawat bronjong kawat digalvanis, lubang heksagonal 100x120mm; beda tinggi &gt; 3 s.d 4 m' berkontak langsung dengan tanah (kawat dibuat sendiri)</t>
  </si>
  <si>
    <t>2.7.11</t>
  </si>
  <si>
    <t xml:space="preserve"> 1 m3 kawat bronjong kawat digalvanis, lubang heksagonal 100x120mm; beda tinggi &gt; 0 s.d 1 m' berkontak langsung dengan tanah (kawat dibuat sendiri)</t>
  </si>
  <si>
    <t>2.7.12</t>
  </si>
  <si>
    <t xml:space="preserve"> 1 m3 kawat bronjong kawat digalvanis, lubang heksagonal 100x120mm; beda tinggi &gt; 3 s.d 4 m'  tidak berkontak langsung dengan tanah (kawat dibuat sendiri)</t>
  </si>
  <si>
    <t>2.7.13</t>
  </si>
  <si>
    <t xml:space="preserve">1 m3 pasangan batu bronjong kawat paprikasi; beda tinggi &gt; 0 s.d 1 m' berkontak langsung dengan tanah </t>
  </si>
  <si>
    <t>2.7.14</t>
  </si>
  <si>
    <t xml:space="preserve">1 m3 pasangan batu bronjong kawat paprikasi; beda tinggi &gt; 0 s.d 1 m' tidak berkontak langsung dengan tanah </t>
  </si>
  <si>
    <t>2.7.15</t>
  </si>
  <si>
    <t xml:space="preserve">1 m3 pasangan batu bronjong kawat paprikasi; beda tinggi &gt; 3 s.4  m' berkontak langsung dengan tanah </t>
  </si>
  <si>
    <t>2.7.16</t>
  </si>
  <si>
    <t xml:space="preserve">1 m3 pasangan batu bronjong kawat paprikasi; beda tinggi &gt; 3 s.4  m' tidak berkontak langsung dengan tanah </t>
  </si>
  <si>
    <t>3.1.1</t>
  </si>
  <si>
    <t xml:space="preserve">Atap Genteng </t>
  </si>
  <si>
    <t>3.1.1.1</t>
  </si>
  <si>
    <t xml:space="preserve">Pemasangan 1 m2 atap Genteng Palentong  Kecil </t>
  </si>
  <si>
    <t>3.1.1.2</t>
  </si>
  <si>
    <t>3.1.1.3</t>
  </si>
  <si>
    <t>3.1.1.4</t>
  </si>
  <si>
    <t>3.1.1.5</t>
  </si>
  <si>
    <t>Pemasangan 1 m' Nok/bubung genteng palentong kecil</t>
  </si>
  <si>
    <t>3.1.1.6</t>
  </si>
  <si>
    <t>Pemasangan 1 m' Nok/bubung genteng kodok glazuur</t>
  </si>
  <si>
    <t>3.1.1.7</t>
  </si>
  <si>
    <t>Pemasangan 1 m' Nok/bubung genteng palentong besar</t>
  </si>
  <si>
    <t>3.1.1.8</t>
  </si>
  <si>
    <t>Pemasangan 1 m' Nok/bubung genteng beton</t>
  </si>
  <si>
    <t>3.1.2</t>
  </si>
  <si>
    <t>ATAP SERAT SEMEN GELOMBANG</t>
  </si>
  <si>
    <t>3.1.2.1</t>
  </si>
  <si>
    <t>Pemasangan 1 m2 atap serat semen gelombang 92 cm x 250 cm x 5 mm</t>
  </si>
  <si>
    <t>3.1.2.2</t>
  </si>
  <si>
    <t>Pemasangan 1 m2 atap serat semen gelombang 92 cm x 225 cm x 5 mm</t>
  </si>
  <si>
    <t>3.1.2.3</t>
  </si>
  <si>
    <t>Pemasangan 1 m2 atap Serat Semen gelombang 92 cm x 200 cm x 5 mm</t>
  </si>
  <si>
    <t>3.1.2.4</t>
  </si>
  <si>
    <t>Pemasangan 1 m2 atap Serat Semen gelombang 92 cm x 180 cm x 5 mm</t>
  </si>
  <si>
    <t>3.1.2.5</t>
  </si>
  <si>
    <t>Pemasangan 1 m2 atap Serat Semen gelombang 105 cm x 270 cm x 4 mm</t>
  </si>
  <si>
    <t>3.1.2.6</t>
  </si>
  <si>
    <t>Pemasangan 1 m2 atap Serat Semen gelombang 105 cm x 300 cm x 5 mm</t>
  </si>
  <si>
    <t>3.1.2.7</t>
  </si>
  <si>
    <t>Pemasangan 1 m2 atap Serat Semen gelombang 105 cm x 240 cm x 5 mm</t>
  </si>
  <si>
    <t>3.1.2.8</t>
  </si>
  <si>
    <t>Pemasangan 1 m2 atap Serat gelombang 105 cm x 210 cm x 5 mm</t>
  </si>
  <si>
    <t>3.1.2.9</t>
  </si>
  <si>
    <t>Pemasangan 1 m2 atap Serat Semen gelombang 105 cm x 150 cm x 5 mm</t>
  </si>
  <si>
    <t>3.1.2.10</t>
  </si>
  <si>
    <t>Pemasangan 1 m2 atap Serat Semen gelombang 108 cm x 300 cm x 6 mm</t>
  </si>
  <si>
    <t>3.1.2.11</t>
  </si>
  <si>
    <t>Pemasangan 1 m2 atap serat Semen gelombang 108 cm x 270 cm x 6 mm</t>
  </si>
  <si>
    <t>3.1.2.12</t>
  </si>
  <si>
    <t>Pemasangan 1 m2 atap Serat Semen gelombang 108 cm x 240 cm x 6 mm</t>
  </si>
  <si>
    <t>3.1.2.13</t>
  </si>
  <si>
    <t>Pemasangan 1 m2 atap Serat Semen gelombang 108 cm x 210 cm x 6 mm</t>
  </si>
  <si>
    <t>3.1.2.14</t>
  </si>
  <si>
    <t>Pemasangan 1 m2 atap Serat Semen gelombang 108 cm x 180 cm x 6 mm</t>
  </si>
  <si>
    <t>3.1.2.15</t>
  </si>
  <si>
    <t>3.1.2.16</t>
  </si>
  <si>
    <t>Pemasangan 1 m' Nok/bubung setel gelombang 92 cm</t>
  </si>
  <si>
    <t>Pemasangan 1 m' Nok/bubung stel gelombang 105 cm</t>
  </si>
  <si>
    <t>3.1.2.17</t>
  </si>
  <si>
    <t>Pemasangan 1 m' Nok/bubung stel gelombang 108 cm</t>
  </si>
  <si>
    <t>3.1.2.18</t>
  </si>
  <si>
    <t>Pemasangan 1 m'Nok/ bubung paten (Permanen) 92 cm</t>
  </si>
  <si>
    <t>3.1.2.19</t>
  </si>
  <si>
    <t>Pemasangan 1 m' Nok/bubung paten (Permanen) 105 cm</t>
  </si>
  <si>
    <t>3.1.2.20</t>
  </si>
  <si>
    <t>Pemasangan 1 m' Nok/bubung paten(Permanen) 108 cm</t>
  </si>
  <si>
    <t>3.1.2.21</t>
  </si>
  <si>
    <t>Pemasangan 1 m' Nok/bubung setel rata 92 cm</t>
  </si>
  <si>
    <t>3.1.2.22</t>
  </si>
  <si>
    <t>Pemasangan 1 m' ok/bubung setel rata 105 cm</t>
  </si>
  <si>
    <t>3.1.2.23</t>
  </si>
  <si>
    <t>Pemasangan 1 m' Nok/bubung setel rata 108 cm</t>
  </si>
  <si>
    <t>3.2.3</t>
  </si>
  <si>
    <t xml:space="preserve">Penutup Atap Lainnya </t>
  </si>
  <si>
    <t>3.1.3.1</t>
  </si>
  <si>
    <t>Seng Gelombang 105 cm x 180 cm</t>
  </si>
  <si>
    <t xml:space="preserve">Lembar </t>
  </si>
  <si>
    <t>3.1.3.2</t>
  </si>
  <si>
    <t>3.1.3.3</t>
  </si>
  <si>
    <t>3.1.3.4</t>
  </si>
  <si>
    <t>3.1.3.5</t>
  </si>
  <si>
    <t>3.1.3.6</t>
  </si>
  <si>
    <t>3.1.3.7</t>
  </si>
  <si>
    <t>Pemasangan 1 m2 atap metal lembaran</t>
  </si>
  <si>
    <t>Atap metal lembaran</t>
  </si>
  <si>
    <t>3.1.3.8</t>
  </si>
  <si>
    <t>3.1.3.9</t>
  </si>
  <si>
    <t>Pemasangan 1 m2 Atap Kaca Tempered</t>
  </si>
  <si>
    <t>3.1.3.9.1</t>
  </si>
  <si>
    <t>3.1.3.10</t>
  </si>
  <si>
    <t>Pemasangan 1 m' Nok/bubung atap seng gelombang</t>
  </si>
  <si>
    <t>Seng Pelat  90x180 cm bjls 28</t>
  </si>
  <si>
    <t>3.1.3.11</t>
  </si>
  <si>
    <t>Pemasangan 1 m' Nok/bubung atap aluminium gelombang</t>
  </si>
  <si>
    <t>3.1.3.12</t>
  </si>
  <si>
    <t>Pemasangan 1 m' Nok/bubung atap sirap kayu</t>
  </si>
  <si>
    <t>3.1.3.13</t>
  </si>
  <si>
    <t>Pemasangan 1 m' Nok/bubung atap aspal/bitumen</t>
  </si>
  <si>
    <t>Kayu Balok Borneo</t>
  </si>
  <si>
    <t>M3</t>
  </si>
  <si>
    <t>3.1.3.14</t>
  </si>
  <si>
    <t>Pemasangan 1 m' Nok/bubung genteng metal</t>
  </si>
  <si>
    <t>3.2</t>
  </si>
  <si>
    <t>3.2.1</t>
  </si>
  <si>
    <t>3.2.2</t>
  </si>
  <si>
    <t>3.3.</t>
  </si>
  <si>
    <t>3.3.1</t>
  </si>
  <si>
    <t>3.3.2</t>
  </si>
  <si>
    <t xml:space="preserve">Talang Seng 1/2 lingkaran diameter 15cm </t>
  </si>
  <si>
    <t>Talang datar/jurai seng lebar 90cm</t>
  </si>
  <si>
    <t>3.3.3</t>
  </si>
  <si>
    <t>3.3.4</t>
  </si>
  <si>
    <t>3.3.5</t>
  </si>
  <si>
    <t>3.3.6</t>
  </si>
  <si>
    <t>3.4</t>
  </si>
  <si>
    <t>3.4.1</t>
  </si>
  <si>
    <t>Pemasangan 1 m2 Waterproofing Membran Bakar</t>
  </si>
  <si>
    <t xml:space="preserve">Membran Bakar </t>
  </si>
  <si>
    <t xml:space="preserve">Cairan Primer </t>
  </si>
  <si>
    <t>3.4.2</t>
  </si>
  <si>
    <t>Pelapisan 1 M2 Waterproofing Cristalin</t>
  </si>
  <si>
    <t>Tukang Cat</t>
  </si>
  <si>
    <t>Waterproofing Cristalin</t>
  </si>
  <si>
    <t>3.4.3</t>
  </si>
  <si>
    <t xml:space="preserve">Pelapisan 1 M2 Waterproofing  Semen Base </t>
  </si>
  <si>
    <t>Waterproofing Semen Base</t>
  </si>
  <si>
    <t>3.4.4</t>
  </si>
  <si>
    <t xml:space="preserve">Pelapisan 1 M2 Waterproofing Acrylic Base </t>
  </si>
  <si>
    <t>Waterproofing Acrylic Base</t>
  </si>
  <si>
    <t>3.2.1.1</t>
  </si>
  <si>
    <t>PEKERJAAN LANGIT-LANGIT (PLAFON)</t>
  </si>
  <si>
    <t xml:space="preserve">Langit-Langit (Plafon) Akusik </t>
  </si>
  <si>
    <t>3.5.1.2</t>
  </si>
  <si>
    <t>3.5.1.3</t>
  </si>
  <si>
    <t>3.5.1.4</t>
  </si>
  <si>
    <t xml:space="preserve">Pemasangan 1 m2 plafon akustik uk. 60x120 cm dengan profil aluminium </t>
  </si>
  <si>
    <t>3.5.2</t>
  </si>
  <si>
    <t xml:space="preserve">Langit -Langit (Plafon) Lainnya </t>
  </si>
  <si>
    <t>3.5.2.1</t>
  </si>
  <si>
    <t>Pemasangan 1 m2 plafon papan gypsum tebal 9 mm</t>
  </si>
  <si>
    <t>3.5.2.2</t>
  </si>
  <si>
    <t>Pemasangan 1 m2 plafon serat semen/GRC tebal 4 mm, 5 mm, dan 6 mm</t>
  </si>
  <si>
    <t>3.5.2.3</t>
  </si>
  <si>
    <t>Plywood 3 mm</t>
  </si>
  <si>
    <t>Pemasangan 1 m2 langit-langit (plafon) kayu lapis, tebal 3 mm, 4 mm dan 6 mm</t>
  </si>
  <si>
    <t>Pemasangan 1 m2 plafon kayu lapis tebal 3 mm</t>
  </si>
  <si>
    <t xml:space="preserve">Paku Tripleks </t>
  </si>
  <si>
    <t>3.5.2.3.1</t>
  </si>
  <si>
    <t>3.5.2.3.2</t>
  </si>
  <si>
    <t>Pemasangan 1 m2 plafon kayu lapis tebal 4 mm</t>
  </si>
  <si>
    <t>3.5.2.3.3</t>
  </si>
  <si>
    <t>Pemasangan 1 m2 plafon kayu lapis tebal 6 mm</t>
  </si>
  <si>
    <t>3.5.2.4</t>
  </si>
  <si>
    <t>Kayu Papan tebal 9 mm</t>
  </si>
  <si>
    <t>Kayu papan tebal 9 mm</t>
  </si>
  <si>
    <t>3.5.2.5</t>
  </si>
  <si>
    <t>3.5.2.6</t>
  </si>
  <si>
    <t>3.5.2.7</t>
  </si>
  <si>
    <t>3.5.3</t>
  </si>
  <si>
    <t>Rangka Langit-Langit (Plafon)</t>
  </si>
  <si>
    <t>3.5.3.1</t>
  </si>
  <si>
    <t>3.5.3.2</t>
  </si>
  <si>
    <t>Pemasangan 1 m2 Rangka Langit-langit (Plafon) (50x 100) cm, Kayu Kelas II atau III</t>
  </si>
  <si>
    <t>3.5.3.3</t>
  </si>
  <si>
    <t>Pemasangan 1 m2 Rangka Langit-langit (Plafon) (60x 100) cm, Kayu Kelas II atau III</t>
  </si>
  <si>
    <t>3.6.1</t>
  </si>
  <si>
    <t>3.6.1.2</t>
  </si>
  <si>
    <t>3.6.1.3</t>
  </si>
  <si>
    <t>3.6.1.4</t>
  </si>
  <si>
    <t>3.6.1.5</t>
  </si>
  <si>
    <t>3.6.1.6</t>
  </si>
  <si>
    <t>3.6.1.7</t>
  </si>
  <si>
    <t>3.6.1.8</t>
  </si>
  <si>
    <t>3.6.1.9</t>
  </si>
  <si>
    <t>3.6.1.10</t>
  </si>
  <si>
    <t>3.6.2</t>
  </si>
  <si>
    <t>DINDING CONBLOCK</t>
  </si>
  <si>
    <t>3.6.2.1</t>
  </si>
  <si>
    <t>3.6.2.2</t>
  </si>
  <si>
    <t>3.6.2.3</t>
  </si>
  <si>
    <t>3.6.2.4</t>
  </si>
  <si>
    <t>3.6.2.5</t>
  </si>
  <si>
    <t>3.6.2.6</t>
  </si>
  <si>
    <t>3.6.3</t>
  </si>
  <si>
    <t>DINDING ROSTER</t>
  </si>
  <si>
    <t>3.6.3.1</t>
  </si>
  <si>
    <t>3.6.3.2</t>
  </si>
  <si>
    <t>3.6.3.3</t>
  </si>
  <si>
    <t xml:space="preserve">Bata Berongga Uk. 12x11x24 </t>
  </si>
  <si>
    <t>3.6.3.4</t>
  </si>
  <si>
    <t>3.6.3.5</t>
  </si>
  <si>
    <t>Pemasangan 1 m2 dinding kerawang (rooster) 20x20 (Setara Campuran 1SP : 3PP)</t>
  </si>
  <si>
    <t>3.6.4</t>
  </si>
  <si>
    <t xml:space="preserve">DINDING BATA RINGAN </t>
  </si>
  <si>
    <t>3.6.4.1</t>
  </si>
  <si>
    <t>3.6.4.2</t>
  </si>
  <si>
    <t>3.6.4.3</t>
  </si>
  <si>
    <t>3.6.5</t>
  </si>
  <si>
    <t xml:space="preserve">DINDING BATAKO </t>
  </si>
  <si>
    <t>3.6.5.1</t>
  </si>
  <si>
    <t>3.6.5.2</t>
  </si>
  <si>
    <t>3.6.6</t>
  </si>
  <si>
    <t xml:space="preserve">DINDING PARTISI </t>
  </si>
  <si>
    <t>3.6.6.1</t>
  </si>
  <si>
    <t>Pemasangan 1 m2 dinding partisi, Gypsumboard t=12mm</t>
  </si>
  <si>
    <t>Gypsum Board (122 cm x  244 cm x  12 mm)</t>
  </si>
  <si>
    <t>Rockwool tebal 50 mm</t>
  </si>
  <si>
    <t>3.7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</si>
  <si>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</si>
  <si>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</si>
  <si>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</si>
  <si>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</si>
  <si>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</si>
  <si>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</si>
  <si>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</si>
  <si>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</si>
  <si>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</si>
  <si>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</si>
  <si>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</si>
  <si>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</si>
  <si>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</si>
  <si>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</si>
  <si>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</si>
  <si>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</si>
  <si>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 xml:space="preserve">Pekerjaan 1 m2 Beton Expose </t>
  </si>
  <si>
    <t>Mortar Skimcoat</t>
  </si>
  <si>
    <t>3.8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</si>
  <si>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</si>
  <si>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</si>
  <si>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</si>
  <si>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</si>
  <si>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</si>
  <si>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</si>
  <si>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</si>
  <si>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</si>
  <si>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Pelaburan 1 m2 bidang kayu dengan residu atau Ter</t>
  </si>
  <si>
    <t>3.8.9</t>
  </si>
  <si>
    <t>3.8.10</t>
  </si>
  <si>
    <t>Pengecatan 1 M2 Tembol Baru</t>
  </si>
  <si>
    <t>3.8.10.1</t>
  </si>
  <si>
    <t>Pengecatan 1 m2 tembok baru Interior( 1 lapis cat dasar, 2 lapis cat penutup)</t>
  </si>
  <si>
    <t>3.8.10.2</t>
  </si>
  <si>
    <t>Pengecatan 1 m2 tembok baru Ekterior (1 lapis cat dasar, 2 lapis cat penutup), eksterior</t>
  </si>
  <si>
    <t xml:space="preserve">Pengecatan 1 m2 Tembok Lama </t>
  </si>
  <si>
    <t>3.8.11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</si>
  <si>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</si>
  <si>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</si>
  <si>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</si>
  <si>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</si>
  <si>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</si>
  <si>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3.8.13</t>
  </si>
  <si>
    <t>3.8.14</t>
  </si>
  <si>
    <t>3.8.15</t>
  </si>
  <si>
    <t>3.8.16</t>
  </si>
  <si>
    <t>Pengecatan 1 m2 permukaan baja dengan menie besi (Zinc Chromate)</t>
  </si>
  <si>
    <t>3.8.17</t>
  </si>
  <si>
    <t>3.8.18</t>
  </si>
  <si>
    <t>3.8.19</t>
  </si>
  <si>
    <t>3.8.20</t>
  </si>
  <si>
    <t>3.8.20.1</t>
  </si>
  <si>
    <t>Pengecatan 1 m2 plafon Interior ( 1 lapis Cat Dasar dan 2 Lapis Cat Penutup)</t>
  </si>
  <si>
    <t>Pengecatan 1 m2 plafon eksterior ( 1 lapis Cat Dasar dan 2 Lapis Cat Penutup)</t>
  </si>
  <si>
    <t>3.8.21</t>
  </si>
  <si>
    <t>3.8.22</t>
  </si>
  <si>
    <t>3.9</t>
  </si>
  <si>
    <t>PEKERJAAN PENUTUP LANTAI</t>
  </si>
  <si>
    <t>3.9.1</t>
  </si>
  <si>
    <t xml:space="preserve">3.9.1 </t>
  </si>
  <si>
    <t>UBIN PC</t>
  </si>
  <si>
    <t>3.9.1.2</t>
  </si>
  <si>
    <t>3.9.1.3</t>
  </si>
  <si>
    <t>3.9.1.4</t>
  </si>
  <si>
    <t>3.9.1.5</t>
  </si>
  <si>
    <t>3.9.1.6</t>
  </si>
  <si>
    <t>3.9.1.7</t>
  </si>
  <si>
    <t>3.9.1.8</t>
  </si>
  <si>
    <t>3.9.2</t>
  </si>
  <si>
    <t>UBIN WARNA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</si>
  <si>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</si>
  <si>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</si>
  <si>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</si>
  <si>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</si>
  <si>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</si>
  <si>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</si>
  <si>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</si>
  <si>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</si>
  <si>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3.9.3</t>
  </si>
  <si>
    <t xml:space="preserve">UBIN TERASO </t>
  </si>
  <si>
    <t>3.9.3.1</t>
  </si>
  <si>
    <t>3.9.3.2</t>
  </si>
  <si>
    <t>3.9.3.3</t>
  </si>
  <si>
    <t>3.9.3.4</t>
  </si>
  <si>
    <t>3.9.3.5</t>
  </si>
  <si>
    <t>3.9.4</t>
  </si>
  <si>
    <t>HOMOGENEOUS TILE</t>
  </si>
  <si>
    <t>3.9.4.1</t>
  </si>
  <si>
    <t>3.9.4.2</t>
  </si>
  <si>
    <t>Pemasangan 1 m2 lantai homogenous tile  Polis uk. 30x30 cm (1SP : 2PP)</t>
  </si>
  <si>
    <t>Pemasangan 1 m2 lantai homogenous tile polish uk. 40x40 cm (1SP : 2PP)</t>
  </si>
  <si>
    <t>3.9.4.3</t>
  </si>
  <si>
    <t>Pemasangan 1 m2 lantai homogenous tile Polish  uk. 60x60 cm (1SP : 2PP)</t>
  </si>
  <si>
    <t>3.9.4.4</t>
  </si>
  <si>
    <t>Pemasangan 1 m' plint homogenous tile Polish  uk. 10 s.d. 15x30 cm (1SP : 2PP)</t>
  </si>
  <si>
    <t>3.9.4.5</t>
  </si>
  <si>
    <t>Pemasangan 1 m' plint homogenous tile polish uk. 10 s.d. 15x40 cm (1SP : 2PP)</t>
  </si>
  <si>
    <t>3.9.4.6</t>
  </si>
  <si>
    <t>Pemasangan 1 m' plint homogenous tile polish uk. 10 s.d. 15x60 cm (1SP : 2PP)</t>
  </si>
  <si>
    <t>3.9.4.7</t>
  </si>
  <si>
    <t>Pemasangan 1 m' lantai homogenous tile unpolish uk. 30x30 cm (1SP : 2PP)</t>
  </si>
  <si>
    <t>Homogenous tile unpolish 30x30 cm</t>
  </si>
  <si>
    <t>Homogenous tile unpolish 40x40 cm</t>
  </si>
  <si>
    <t>Homogenous tile unpolish 60x60 cm</t>
  </si>
  <si>
    <t>3.9.4.8</t>
  </si>
  <si>
    <t>Pemasangan 1 m' lantai homogenous tile unpolish uk. 40x40 cm (1SP : 2PP)</t>
  </si>
  <si>
    <t>3.9.4.9</t>
  </si>
  <si>
    <t>Pemasangan 1 m' lantai homogenous tile unpolish uk. 60x60 cm (1SP : 2PP)</t>
  </si>
  <si>
    <t>3.9.4.10</t>
  </si>
  <si>
    <t>Pemasangan 1 m' plint homogenous tile unpolish uk. 10 s.d. 15x60 cm (1SP : 2PP)</t>
  </si>
  <si>
    <t>Pemasangan 1 m' plint homogenous tile unpolish uk. 10 s.d. 15x30 cm (1SP : 2PP)</t>
  </si>
  <si>
    <t>Plint homogenous tile unpolish uk. 10-15x30 cm</t>
  </si>
  <si>
    <t>Plint homogenous tile unpolish uk. 10-15x40 cm</t>
  </si>
  <si>
    <t>Plint homogenous tile unpolish uk. 10-15x60 cm</t>
  </si>
  <si>
    <t>3.9.4.11</t>
  </si>
  <si>
    <t>Pemasangan 1 m' plint homogenous tile unpolish uk. 10 s.d. 15x40 cm (1SP : 2PP)</t>
  </si>
  <si>
    <t>3.9.4.12</t>
  </si>
  <si>
    <t>3.9.5</t>
  </si>
  <si>
    <t>UBIN GRANIT</t>
  </si>
  <si>
    <t>3.9.5.1</t>
  </si>
  <si>
    <t>3.9.5.2</t>
  </si>
  <si>
    <t>3.9.5.3</t>
  </si>
  <si>
    <t>3.9.5.4</t>
  </si>
  <si>
    <t>3.9.5.5</t>
  </si>
  <si>
    <t>3.9.5.6</t>
  </si>
  <si>
    <t>3.9.6</t>
  </si>
  <si>
    <t>UBIN TERALUX</t>
  </si>
  <si>
    <t>3.9.6.1</t>
  </si>
  <si>
    <t>3.9.6.2</t>
  </si>
  <si>
    <t>3.9.6.3</t>
  </si>
  <si>
    <t>3.9.6.4</t>
  </si>
  <si>
    <t>3.9.6.5</t>
  </si>
  <si>
    <t>3.9.6.6</t>
  </si>
  <si>
    <t>3.9.6.7</t>
  </si>
  <si>
    <t>3.9.6.8</t>
  </si>
  <si>
    <t>3.9.6.9</t>
  </si>
  <si>
    <t>3.9.7</t>
  </si>
  <si>
    <t xml:space="preserve">KERAMIK ARTISTIK </t>
  </si>
  <si>
    <t>3.9.7.1</t>
  </si>
  <si>
    <t>3.9.7.2</t>
  </si>
  <si>
    <t>3.9.7.3</t>
  </si>
  <si>
    <t>3.9.7.4</t>
  </si>
  <si>
    <t>3.9.7.5</t>
  </si>
  <si>
    <t>3.9.7.6</t>
  </si>
  <si>
    <t>3.9.8</t>
  </si>
  <si>
    <t xml:space="preserve">KERAMIK </t>
  </si>
  <si>
    <t>3.9.8.1</t>
  </si>
  <si>
    <t>3.9.8.2</t>
  </si>
  <si>
    <t>3.9.8.3</t>
  </si>
  <si>
    <t>3.9.8.4</t>
  </si>
  <si>
    <t xml:space="preserve">Pemasangan Lantai Keramik untuk Variasi/Border </t>
  </si>
  <si>
    <t>3.9.8.4.1</t>
  </si>
  <si>
    <t>Pemasangan 1 m2 lantai keramik uk. 30x30 cm  untuk Variasi/Border (1SP : 2PP)</t>
  </si>
  <si>
    <t>Keramik variasi 30x30 cm</t>
  </si>
  <si>
    <t>Keramik Variasi 30x30 cm</t>
  </si>
  <si>
    <t>Keramik Variasi 40x40 cm</t>
  </si>
  <si>
    <t>KeramikVariasi  60x60 cm</t>
  </si>
  <si>
    <t>3.9.8.4.2</t>
  </si>
  <si>
    <t>Pemasangan 1 m2 lantai keramik uk. 40x40 cm  untuk Variasi/Border (1SP : 2PP)</t>
  </si>
  <si>
    <t>Keramik variasi 40x40 cm</t>
  </si>
  <si>
    <t>3.9.8.5</t>
  </si>
  <si>
    <t>3.9.8.6</t>
  </si>
  <si>
    <t>3.9.8.7</t>
  </si>
  <si>
    <t>3.9.8.8</t>
  </si>
  <si>
    <t>3.9.8.9</t>
  </si>
  <si>
    <t>Pemasangan 1 m' Step Nosing Keramik 10cm x 60 cm (1SP:2PP)</t>
  </si>
  <si>
    <t>Step Nosing Keramik 10x60 cm</t>
  </si>
  <si>
    <t>3.9.9</t>
  </si>
  <si>
    <t>PENUTUP LANTAI LAINNYA</t>
  </si>
  <si>
    <t>3.9.9.1</t>
  </si>
  <si>
    <t>3.9.9.2</t>
  </si>
  <si>
    <t xml:space="preserve">Lem Karpet </t>
  </si>
  <si>
    <t>3.9.9.3</t>
  </si>
  <si>
    <t>3.9.9.4</t>
  </si>
  <si>
    <t>9.9.9.5</t>
  </si>
  <si>
    <t>3.9.9.6</t>
  </si>
  <si>
    <t>3.9.9.7</t>
  </si>
  <si>
    <t>3.9.9.8</t>
  </si>
  <si>
    <t>3.9.9.9</t>
  </si>
  <si>
    <t>3.9.9.10</t>
  </si>
  <si>
    <t>3.9.9.11</t>
  </si>
  <si>
    <t>unit/hari</t>
  </si>
  <si>
    <t>3.9.9.12</t>
  </si>
  <si>
    <t>Pemasangan 1 m2 Lantai Keramik Tactile Ukuran 30x30 cm ( 1SP:2PP)</t>
  </si>
  <si>
    <t xml:space="preserve">Keramik Tactile 30x30 cm </t>
  </si>
  <si>
    <t>3.9.9.13</t>
  </si>
  <si>
    <t>Pemasangan 1 m2 Lantai Keramik Tactile Ukuran 40x40 cm ( 1SP:2PP)</t>
  </si>
  <si>
    <t>Keramik Tactile 40x40 cm</t>
  </si>
  <si>
    <t xml:space="preserve">PEKERJAAN PENUTUP DINDING </t>
  </si>
  <si>
    <t>3.10.1</t>
  </si>
  <si>
    <t xml:space="preserve">Dinding Keramik </t>
  </si>
  <si>
    <t>3.10.1.1</t>
  </si>
  <si>
    <t>3.10.1.2</t>
  </si>
  <si>
    <t>3.10.1.3</t>
  </si>
  <si>
    <t>3.10.1.4</t>
  </si>
  <si>
    <t>3.10.2</t>
  </si>
  <si>
    <t xml:space="preserve">Dinding Homogeneous Tile </t>
  </si>
  <si>
    <t>3.10.2.1</t>
  </si>
  <si>
    <t>Pemasangan 1 m2 dinding homogeneous tile Polish uk. 30x30 cm (1SP : 2PP)</t>
  </si>
  <si>
    <t>3.10.2.2</t>
  </si>
  <si>
    <t>Pemasangan 1 m2 dinding homogeneous tile Polish uk. 40x40 cm (1SP : 2PP)</t>
  </si>
  <si>
    <t>3.10.2.3</t>
  </si>
  <si>
    <t>Pemasangan 1 m2 dinding homogeneous tile polish uk. 60x60 cm (1SP : 2PP)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</si>
  <si>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</si>
  <si>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</si>
  <si>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</si>
  <si>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</si>
  <si>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</si>
  <si>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</si>
  <si>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</si>
  <si>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 xml:space="preserve">DINDING PORSELEN </t>
  </si>
  <si>
    <t>3.10.3.1</t>
  </si>
  <si>
    <t>3.10.3.2</t>
  </si>
  <si>
    <t>3.10.3.3</t>
  </si>
  <si>
    <t>3.10.4</t>
  </si>
  <si>
    <t xml:space="preserve">DINDING BATU ALAM </t>
  </si>
  <si>
    <t>3.10.4.1</t>
  </si>
  <si>
    <t>3.10.4.2</t>
  </si>
  <si>
    <t>3.10.4.3</t>
  </si>
  <si>
    <t>3.10.5</t>
  </si>
  <si>
    <t xml:space="preserve">PENUTUP DINDING LAINNYA </t>
  </si>
  <si>
    <t>3.10.5.1</t>
  </si>
  <si>
    <t>3.10.5.2</t>
  </si>
  <si>
    <t>3.10.5.3</t>
  </si>
  <si>
    <t>3.10.5.4</t>
  </si>
  <si>
    <t>Pemasangan 1 m2 dinding lambrisering dari plywood (Kayu Lapis) ukuran 120x240cm</t>
  </si>
  <si>
    <t>3.10.5.5</t>
  </si>
  <si>
    <t>3.10.5.6</t>
  </si>
  <si>
    <t>3.10.5.7</t>
  </si>
  <si>
    <t>3.10.6</t>
  </si>
  <si>
    <t xml:space="preserve">RANGKA DINDING </t>
  </si>
  <si>
    <t>3.10.6.1</t>
  </si>
  <si>
    <t>3.10.6.2</t>
  </si>
  <si>
    <t>3.10.6.3</t>
  </si>
  <si>
    <t>Pemasangan 1 m2 Rangka Besi Hollow Galvanis 20x40 mm</t>
  </si>
  <si>
    <t>Metal Hollow 20x40 mm</t>
  </si>
  <si>
    <t>3.11</t>
  </si>
  <si>
    <t>3.11.1</t>
  </si>
  <si>
    <t xml:space="preserve">Pintu </t>
  </si>
  <si>
    <t>3.11.1.1</t>
  </si>
  <si>
    <t>3.11.1.2</t>
  </si>
  <si>
    <t>3.11.1.3</t>
  </si>
  <si>
    <t>3.11.1.4</t>
  </si>
  <si>
    <t>3.11.1.5</t>
  </si>
  <si>
    <t>3.11.1.6</t>
  </si>
  <si>
    <t>3.11.1.7</t>
  </si>
  <si>
    <t>3.11.1.8</t>
  </si>
  <si>
    <t>3.11.1.9</t>
  </si>
  <si>
    <t>3.11.1.10</t>
  </si>
  <si>
    <t>3.11.1.11</t>
  </si>
  <si>
    <t>3.11.1.12</t>
  </si>
  <si>
    <t>3.11.1.13</t>
  </si>
  <si>
    <t>3.11.1.14</t>
  </si>
  <si>
    <t>3.11.1.15</t>
  </si>
  <si>
    <t>3.11.1.16</t>
  </si>
  <si>
    <t>3.11.1.17</t>
  </si>
  <si>
    <t>3.11.1.18</t>
  </si>
  <si>
    <t xml:space="preserve">Pemasangan 1 buah Pintu uPVC lebar 80 cm lengkap dengan aksesoris </t>
  </si>
  <si>
    <t xml:space="preserve">Pintu uPVC lebar 80 cm </t>
  </si>
  <si>
    <t>3.11.1.19</t>
  </si>
  <si>
    <t xml:space="preserve">Pemasangan 1 buah Pintu uPVC lebar 70 cm lengkap dengan aksesoris </t>
  </si>
  <si>
    <t xml:space="preserve">Pintu uPVC lebar 70 cm </t>
  </si>
  <si>
    <t>3.11.2</t>
  </si>
  <si>
    <t xml:space="preserve">JENDELA </t>
  </si>
  <si>
    <t>3.11.2.1</t>
  </si>
  <si>
    <t>3.11.2.2</t>
  </si>
  <si>
    <t>3.11.2.3</t>
  </si>
  <si>
    <t xml:space="preserve">Pemasangan 1 buah jendela kaca Upvc 2 daun ukuran 1,15 x 1,30 m </t>
  </si>
  <si>
    <t xml:space="preserve">Jendela Kaca Upvc 2 daun </t>
  </si>
  <si>
    <t>3.11.2.4</t>
  </si>
  <si>
    <t>Pemasangan 1 buah Jendela Kaca Upvc 1 daun ukuran 0,79 x 1,30 m</t>
  </si>
  <si>
    <t xml:space="preserve">3.11.3 </t>
  </si>
  <si>
    <t xml:space="preserve">Kusen Pintu dan Jendela </t>
  </si>
  <si>
    <t>3.11.3.1</t>
  </si>
  <si>
    <t>3.11.3.2</t>
  </si>
  <si>
    <t>3.11.3.3</t>
  </si>
  <si>
    <t>3.11.3.4</t>
  </si>
  <si>
    <t>3.11.3.5</t>
  </si>
  <si>
    <t>3.11.3.6</t>
  </si>
  <si>
    <t>3.11.3.7</t>
  </si>
  <si>
    <t>Pemasangan 1 buah Jalusi Upvc</t>
  </si>
  <si>
    <t>Jalusi uPVC</t>
  </si>
  <si>
    <t>3.11.3.8</t>
  </si>
  <si>
    <t>Pemasangan 1 buah Kusen Bovenlight uPVC</t>
  </si>
  <si>
    <t>Kusen Bovenlight Upvc</t>
  </si>
  <si>
    <t xml:space="preserve">bauh </t>
  </si>
  <si>
    <t>3.11.4</t>
  </si>
  <si>
    <t xml:space="preserve">AKSESORIS PINTU DA JENDELA </t>
  </si>
  <si>
    <t>3.11.4.1</t>
  </si>
  <si>
    <t>3.11.4.2</t>
  </si>
  <si>
    <t>3.11.4.3</t>
  </si>
  <si>
    <t>3.11.4.4</t>
  </si>
  <si>
    <t>3.11.4.5</t>
  </si>
  <si>
    <t>3.11.4.6</t>
  </si>
  <si>
    <t>3.11.4.7</t>
  </si>
  <si>
    <t xml:space="preserve">Pemasangan 1 buah Door Closer </t>
  </si>
  <si>
    <t>3.11.4.8</t>
  </si>
  <si>
    <t xml:space="preserve">Pemasangan 1 buah Door Holder </t>
  </si>
  <si>
    <t>3.11.4.9</t>
  </si>
  <si>
    <t>Pemasangan 1 buah Door Stop</t>
  </si>
  <si>
    <t>3.11.4.10</t>
  </si>
  <si>
    <t>Pemasangan 1 buah Rel Pintu Dorong</t>
  </si>
  <si>
    <t>3.11.4.11</t>
  </si>
  <si>
    <t>Pemasangan 1 buah Venetions Blinds dan Vertical Blinds</t>
  </si>
  <si>
    <t>Venetions Blinds dan Vertical Blinds</t>
  </si>
  <si>
    <t>3.11.4.12</t>
  </si>
  <si>
    <t>3.11.4.13</t>
  </si>
  <si>
    <t>Kawat Nyamuk</t>
  </si>
  <si>
    <t xml:space="preserve">Baja Strip </t>
  </si>
  <si>
    <t>3.11.4.14</t>
  </si>
  <si>
    <t xml:space="preserve">Pemasangan 1 Buah Kunci Slot (Grendel) untuk Jedela </t>
  </si>
  <si>
    <t>3.11.4.15</t>
  </si>
  <si>
    <t>3.11.4.16</t>
  </si>
  <si>
    <t>3.11.4.17</t>
  </si>
  <si>
    <t>3.11.4.18</t>
  </si>
  <si>
    <t>3.11.4.19</t>
  </si>
  <si>
    <t>3.11.4.20</t>
  </si>
  <si>
    <t>3.11.4.21</t>
  </si>
  <si>
    <t>3.11.4.22</t>
  </si>
  <si>
    <t xml:space="preserve">Pemasangan 1 buah Handle Jendela </t>
  </si>
  <si>
    <t xml:space="preserve">Hendle Jendela </t>
  </si>
  <si>
    <t xml:space="preserve">3.12 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</si>
  <si>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</si>
  <si>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</si>
  <si>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</si>
  <si>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</si>
  <si>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</si>
  <si>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</si>
  <si>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</si>
  <si>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</si>
  <si>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</si>
  <si>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</si>
  <si>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</si>
  <si>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</si>
  <si>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</si>
  <si>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</si>
  <si>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3.13</t>
  </si>
  <si>
    <t>3.13.1</t>
  </si>
  <si>
    <t>3.13.2</t>
  </si>
  <si>
    <t>3.13.3</t>
  </si>
  <si>
    <t xml:space="preserve">Alat las listrik </t>
  </si>
  <si>
    <t>3.13.4</t>
  </si>
  <si>
    <t>3.13.5</t>
  </si>
  <si>
    <t>3.13.6</t>
  </si>
  <si>
    <t xml:space="preserve">Pemasangan 1 buah Tangga Service tinggi 4 meter </t>
  </si>
  <si>
    <t xml:space="preserve">Tangga Service </t>
  </si>
  <si>
    <t xml:space="preserve">Tangga service </t>
  </si>
  <si>
    <t>Dynabolt M12</t>
  </si>
  <si>
    <t>3.14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</si>
  <si>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</si>
  <si>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</si>
  <si>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</si>
  <si>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</si>
  <si>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</si>
  <si>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 xml:space="preserve">PEKEJAAN MONUMEN DAN ORNAMEN </t>
  </si>
  <si>
    <t>3.15.1</t>
  </si>
  <si>
    <t>Pemasangan 1 buah jendela ornamen GRC</t>
  </si>
  <si>
    <t xml:space="preserve">Paku Fishes </t>
  </si>
  <si>
    <t>kotak</t>
  </si>
  <si>
    <t>Paku Fishes/kotak</t>
  </si>
  <si>
    <t xml:space="preserve">Jendela Ornamen GRC </t>
  </si>
  <si>
    <t>3.16</t>
  </si>
  <si>
    <t xml:space="preserve">3.16.1 </t>
  </si>
  <si>
    <t xml:space="preserve">Pemasangan Logo PU </t>
  </si>
  <si>
    <t>3.16.1.1</t>
  </si>
  <si>
    <t xml:space="preserve">Pemasangan 1 buah Logo PU plat besi finish cat uk. 80x80 cm dengan scaffolding </t>
  </si>
  <si>
    <t>3.16.1.2</t>
  </si>
  <si>
    <t>Pemasangan Logo PU Pelat Besi Finish Cat ukuran 80x80 cm dengan gendola</t>
  </si>
  <si>
    <t>Sewa Scaffolding</t>
  </si>
  <si>
    <t xml:space="preserve">Sewa Gondola </t>
  </si>
  <si>
    <t>3.16.2</t>
  </si>
  <si>
    <t>3.16.3</t>
  </si>
  <si>
    <t>Pemasangan Signage dengan Acrylic</t>
  </si>
  <si>
    <t>Pemasangan 1 m2 signage dengan cutting</t>
  </si>
  <si>
    <t>3.16.4</t>
  </si>
  <si>
    <t>3.16.5</t>
  </si>
  <si>
    <t>Pemasangan 1 m2 Marka dengan Cat Thermoplast</t>
  </si>
  <si>
    <t xml:space="preserve">Cat Thermoplast </t>
  </si>
  <si>
    <t xml:space="preserve">Glass Beads </t>
  </si>
  <si>
    <t xml:space="preserve">Compressor </t>
  </si>
  <si>
    <t>3.16.6</t>
  </si>
  <si>
    <t>Pemasangan 1 buah Logo PU Akrilik ukuran 40x40 cm</t>
  </si>
  <si>
    <t xml:space="preserve">Logo PU Akrilik 40x40 cm </t>
  </si>
  <si>
    <t>3.16.7</t>
  </si>
  <si>
    <t>Nomor Rumah Akrilik 15x30 cm</t>
  </si>
  <si>
    <t>3.18</t>
  </si>
  <si>
    <t>3.18.1</t>
  </si>
  <si>
    <t>WESTAFEL</t>
  </si>
  <si>
    <t>3.18.1.1</t>
  </si>
  <si>
    <t>3.18.2</t>
  </si>
  <si>
    <t>KITCHEN SINK</t>
  </si>
  <si>
    <t>3.18.2.1</t>
  </si>
  <si>
    <t xml:space="preserve">Pemasangan 1 buah Bak Cuci Piring Stainlessteel </t>
  </si>
  <si>
    <t>3.18.2.2</t>
  </si>
  <si>
    <t xml:space="preserve">Pemasangan 1 Buah Bak Cuci Piring Teraso </t>
  </si>
  <si>
    <t>Water Drain</t>
  </si>
  <si>
    <t xml:space="preserve">Bak Cuci Piring </t>
  </si>
  <si>
    <t xml:space="preserve">unit </t>
  </si>
  <si>
    <t xml:space="preserve">3.18.3 </t>
  </si>
  <si>
    <t xml:space="preserve">KLOSET </t>
  </si>
  <si>
    <t>3.18.3.1</t>
  </si>
  <si>
    <t>3.18.3.2</t>
  </si>
  <si>
    <t>3.18.3.3</t>
  </si>
  <si>
    <t>3.18.4</t>
  </si>
  <si>
    <t>URINOIR</t>
  </si>
  <si>
    <t>3.18.4.1</t>
  </si>
  <si>
    <t>3.18.4.2</t>
  </si>
  <si>
    <t>3.18.5</t>
  </si>
  <si>
    <t xml:space="preserve">BAK AIR </t>
  </si>
  <si>
    <t>3.18.5.1</t>
  </si>
  <si>
    <t>3.18.5.2</t>
  </si>
  <si>
    <t>3.18.5.3</t>
  </si>
  <si>
    <t>3.18.5.4</t>
  </si>
  <si>
    <t>3.18.5.5</t>
  </si>
  <si>
    <t>3.18.5.6</t>
  </si>
  <si>
    <t>3.18.6</t>
  </si>
  <si>
    <t>AKSESORIS SANITAIR</t>
  </si>
  <si>
    <t>3.18.6.1</t>
  </si>
  <si>
    <t>3.18.6.2</t>
  </si>
  <si>
    <t xml:space="preserve">Pemasanga 1 Buah Kran </t>
  </si>
  <si>
    <t>3.18.6.2.1</t>
  </si>
  <si>
    <t>3.18.6.3</t>
  </si>
  <si>
    <t>3.18.6.4</t>
  </si>
  <si>
    <t>3.18.6.5</t>
  </si>
  <si>
    <t>3.18.6.6</t>
  </si>
  <si>
    <t>3.18.6.7</t>
  </si>
  <si>
    <t>3.18.6.8</t>
  </si>
  <si>
    <t>3.18.6.9</t>
  </si>
  <si>
    <t>Pemasangan 1 buah Shower Set</t>
  </si>
  <si>
    <t>Shower Set</t>
  </si>
  <si>
    <t xml:space="preserve">PEKERJAAN MEKANIKAL DAN ELEKTRIKAL </t>
  </si>
  <si>
    <t>5.1</t>
  </si>
  <si>
    <t>PEKERJAAN SISTEM DISTRIBUSI JARINGAN LISTRIK</t>
  </si>
  <si>
    <t>Pemasangan kabel arus kuat (kabel, kabel tray/ladder)</t>
  </si>
  <si>
    <t>5.1.1</t>
  </si>
  <si>
    <t>5.1.1.1</t>
  </si>
  <si>
    <t>Kabel NYY</t>
  </si>
  <si>
    <t>5.1.1.1.2</t>
  </si>
  <si>
    <t>5.1.1.1.3</t>
  </si>
  <si>
    <t>5.1.1.1.4</t>
  </si>
  <si>
    <t>5.1.1.5</t>
  </si>
  <si>
    <t>5.1.1.1.6</t>
  </si>
  <si>
    <t>5.1.1.1.7</t>
  </si>
  <si>
    <t>5.1.1.1.8</t>
  </si>
  <si>
    <t>5.1.1.1.9</t>
  </si>
  <si>
    <t>5.1.1.1.10</t>
  </si>
  <si>
    <t>5.1.1.1.11</t>
  </si>
  <si>
    <t>5.1.1.1.12</t>
  </si>
  <si>
    <t>5.1.1.1.13</t>
  </si>
  <si>
    <t>5.1.1.1.15</t>
  </si>
  <si>
    <t>5.1.1.1.16</t>
  </si>
  <si>
    <t>5.1.1.1.17</t>
  </si>
  <si>
    <t>5.1.1.1.18</t>
  </si>
  <si>
    <t>5.1.1.1.19</t>
  </si>
  <si>
    <t>5.1.1.1.20</t>
  </si>
  <si>
    <t>5.1.1.1..21</t>
  </si>
  <si>
    <t>5.1.1.1.22</t>
  </si>
  <si>
    <t>5.1.1.1.23</t>
  </si>
  <si>
    <t>5.1.1.1.24</t>
  </si>
  <si>
    <t>5.1.1.1.25</t>
  </si>
  <si>
    <t>5.1.1.1.26</t>
  </si>
  <si>
    <t>5.1.1.1.27</t>
  </si>
  <si>
    <t>5.1.1.1.28</t>
  </si>
  <si>
    <t>5.1.1.1.29</t>
  </si>
  <si>
    <t>5.1.1.1.30</t>
  </si>
  <si>
    <t>5.1.1.1.31</t>
  </si>
  <si>
    <t>5.1.1.1.32</t>
  </si>
  <si>
    <t>5.1.1.1.33</t>
  </si>
  <si>
    <t>5.1.1.1.34</t>
  </si>
  <si>
    <t>5.1.1.1.35</t>
  </si>
  <si>
    <t>5.1.1.1.36</t>
  </si>
  <si>
    <t>5.1.1.1.37</t>
  </si>
  <si>
    <t>5.1.1.1.38</t>
  </si>
  <si>
    <t>5.1.1.1.39</t>
  </si>
  <si>
    <t>5.1.1.1.40</t>
  </si>
  <si>
    <t>5.1.1.1.41</t>
  </si>
  <si>
    <t>5.1.1.1.42</t>
  </si>
  <si>
    <t>5.1.1.1.43</t>
  </si>
  <si>
    <t>5.1.1.1.44</t>
  </si>
  <si>
    <t>5.1.1.1.45</t>
  </si>
  <si>
    <t>5.1.1.1.46</t>
  </si>
  <si>
    <t>5.1.1.1.47</t>
  </si>
  <si>
    <t>5.1.1.1.48</t>
  </si>
  <si>
    <t>5.1.1.2</t>
  </si>
  <si>
    <t>Kabel NYA</t>
  </si>
  <si>
    <t>5.1.1.2.1</t>
  </si>
  <si>
    <t>5.1.1.2.2</t>
  </si>
  <si>
    <t>5.1.1.2.3</t>
  </si>
  <si>
    <t>5.1.1.2.4</t>
  </si>
  <si>
    <t>5.1.1.2.5</t>
  </si>
  <si>
    <t>5.1.1.2.6</t>
  </si>
  <si>
    <t>5.1.1.2.7</t>
  </si>
  <si>
    <t>5.1.1.2.8</t>
  </si>
  <si>
    <t>5.1.1.2.9</t>
  </si>
  <si>
    <t xml:space="preserve">Pemasangan 1 m' kabel NYA 3 x 2,5 mm² + PVC conduit HI 20 mm²
</t>
  </si>
  <si>
    <t>Kabel NYA 3 x 2,5 mm²</t>
  </si>
  <si>
    <t>5.1.1.2.10</t>
  </si>
  <si>
    <t xml:space="preserve">Pemasangan 1 m' kabel NYA 3 x 2,5 mm² + PVC conduit HI 32 mm²
</t>
  </si>
  <si>
    <t>PVC conduit HI 32 mm²</t>
  </si>
  <si>
    <t>m1</t>
  </si>
  <si>
    <t>5.1.1.2.11</t>
  </si>
  <si>
    <t xml:space="preserve">Pemasangan 1 m' kabel NYA 5 x 2,5 mm² + PVC conduit HI 20 mm²
</t>
  </si>
  <si>
    <t>Kabel NYA 5 x 2,5 mm²</t>
  </si>
  <si>
    <t>5.1.1.2.12</t>
  </si>
  <si>
    <t xml:space="preserve">Pemasangan 1 m' kabel NYA 5 x 2,5 mm² + PVC conduit HI 32 mm²
</t>
  </si>
  <si>
    <t>5.1.1.2.13</t>
  </si>
  <si>
    <t xml:space="preserve">Pemasangan 1 m' kabel NYA 1 x 35 mm² 
</t>
  </si>
  <si>
    <t>Kabel NYA 1 x 35 mm²</t>
  </si>
  <si>
    <t>5.1.1.2.14</t>
  </si>
  <si>
    <t xml:space="preserve">Pemasangan 1 m' kabel NYA 1 x 95 mm² 
</t>
  </si>
  <si>
    <t>Tukang Listrik</t>
  </si>
  <si>
    <t>Kabel NYA 1 x 95 mm²</t>
  </si>
  <si>
    <t>5.1.1.3</t>
  </si>
  <si>
    <t xml:space="preserve">Kabel NYM </t>
  </si>
  <si>
    <t>5.1.1.3.1</t>
  </si>
  <si>
    <t>5.1.1.3.2</t>
  </si>
  <si>
    <t>5.1.1.3.3</t>
  </si>
  <si>
    <t>5.1.1.3.4</t>
  </si>
  <si>
    <t>5.1.1.3.5</t>
  </si>
  <si>
    <t>5.1.1.3.6</t>
  </si>
  <si>
    <t>5.1.1.3.7</t>
  </si>
  <si>
    <t>5.1.1.3.8</t>
  </si>
  <si>
    <t>5.1.1.3.9</t>
  </si>
  <si>
    <t>5.1.1.3.10</t>
  </si>
  <si>
    <t>5.1.1.3.11</t>
  </si>
  <si>
    <t>5.1.1.3.12</t>
  </si>
  <si>
    <t>5.1.1.3.13</t>
  </si>
  <si>
    <t>5.1.1.3.14</t>
  </si>
  <si>
    <t>5.1.1.3.15</t>
  </si>
  <si>
    <t>5.1.1.3.16</t>
  </si>
  <si>
    <t>5.1.1.4</t>
  </si>
  <si>
    <t>Kabel NYMHY</t>
  </si>
  <si>
    <t>5.1.1.4.1</t>
  </si>
  <si>
    <t>5.1.1.4.2</t>
  </si>
  <si>
    <t>5.1.1.4.3</t>
  </si>
  <si>
    <t>5.1.1.4.4</t>
  </si>
  <si>
    <t>5.1.1.4.5</t>
  </si>
  <si>
    <t>5.1.1.4.6</t>
  </si>
  <si>
    <t>5.1.1.4.7</t>
  </si>
  <si>
    <t>Kabel NYFGBY</t>
  </si>
  <si>
    <t>5.1.1.5.1</t>
  </si>
  <si>
    <t>5.1.1.5.2</t>
  </si>
  <si>
    <t>5.1.1.5.3</t>
  </si>
  <si>
    <t>5.1.1.5.4</t>
  </si>
  <si>
    <t>5.1.1.5.5</t>
  </si>
  <si>
    <t>5.1.1.5.6</t>
  </si>
  <si>
    <t>5.1.1.5.7</t>
  </si>
  <si>
    <t>5.1.1.5.8</t>
  </si>
  <si>
    <t>5.1.1.5.9</t>
  </si>
  <si>
    <t>5.1.1.5.10</t>
  </si>
  <si>
    <t>5.1.1.5.11</t>
  </si>
  <si>
    <t>5.1.1.5.12</t>
  </si>
  <si>
    <t>5.1.1.5.13</t>
  </si>
  <si>
    <t>5.1.1.5.14</t>
  </si>
  <si>
    <t>5.1.1.5.15</t>
  </si>
  <si>
    <t>5.1.1.5.16</t>
  </si>
  <si>
    <t>5.1.1.5.17</t>
  </si>
  <si>
    <t>5.1.1.5.18</t>
  </si>
  <si>
    <t>5.1.1.5.19</t>
  </si>
  <si>
    <t>5.1.1.5.20</t>
  </si>
  <si>
    <t>5.1.1.5.21</t>
  </si>
  <si>
    <t>5.1.1.5.22</t>
  </si>
  <si>
    <t>5.1.1.5.23</t>
  </si>
  <si>
    <t>5.1.1.5.24</t>
  </si>
  <si>
    <t>5.1.1.5.25</t>
  </si>
  <si>
    <t>5.1.1.5.26</t>
  </si>
  <si>
    <t>5.1.1.5.27</t>
  </si>
  <si>
    <t>5.1.1.5.28</t>
  </si>
  <si>
    <t>5.1.1.6</t>
  </si>
  <si>
    <t>5.1.1.6.1</t>
  </si>
  <si>
    <t>5.1.1.6.2</t>
  </si>
  <si>
    <t>5.1.1.6.3</t>
  </si>
  <si>
    <t>5.1.1.6.4</t>
  </si>
  <si>
    <t>5.1.1.6.5</t>
  </si>
  <si>
    <t>5.1.1.6.6</t>
  </si>
  <si>
    <t>5.1.1.6.7</t>
  </si>
  <si>
    <t>5.1.1.7</t>
  </si>
  <si>
    <t>Kabel BCC</t>
  </si>
  <si>
    <t>5.1.1.7.1</t>
  </si>
  <si>
    <t>5.1.1.7.2</t>
  </si>
  <si>
    <t>5.1.1.7.3</t>
  </si>
  <si>
    <t>5.1.1.7.4</t>
  </si>
  <si>
    <t>5.1.1.7.5</t>
  </si>
  <si>
    <t>5.1.1.7.6</t>
  </si>
  <si>
    <t>5.1.1.7.7</t>
  </si>
  <si>
    <t>5.1.1.7.8</t>
  </si>
  <si>
    <t>5.1.1.7.9</t>
  </si>
  <si>
    <t xml:space="preserve">5.1.1.8 </t>
  </si>
  <si>
    <t>Kabel STP</t>
  </si>
  <si>
    <t>5.1.1.8.1</t>
  </si>
  <si>
    <t xml:space="preserve">Pemasangan 1 m' Kabel STP AWG 18 + PVC Conduit HI 20 mm
</t>
  </si>
  <si>
    <t xml:space="preserve">Kabel STP AWG 18 </t>
  </si>
  <si>
    <t>5.1.1.9</t>
  </si>
  <si>
    <t xml:space="preserve">Kabel ITC </t>
  </si>
  <si>
    <t>5.1.1.9.1</t>
  </si>
  <si>
    <t>Pemasangan 1 m' kabel ITC 2x2x0,6 mm2 + PVC Conduit HI 20 mm2</t>
  </si>
  <si>
    <t>Kabel ITC 2x2x0,6 mm2</t>
  </si>
  <si>
    <t>5.1.1.10</t>
  </si>
  <si>
    <t>Kabel UTP</t>
  </si>
  <si>
    <t>Pemasangan 1 m' kabel UTP CAT 6 + PVC Conduit HI 20 mm2</t>
  </si>
  <si>
    <t>Kabel UTP CAT 6</t>
  </si>
  <si>
    <t xml:space="preserve">Kabel Coaxial </t>
  </si>
  <si>
    <t>5.1.1.11</t>
  </si>
  <si>
    <t>5.1.1.10.1</t>
  </si>
  <si>
    <t xml:space="preserve">Pemasangan 1 m' kabel Coaxial 7C-2V </t>
  </si>
  <si>
    <t xml:space="preserve">Kabel Coaxial 7C-2V </t>
  </si>
  <si>
    <t>5.1.1.12</t>
  </si>
  <si>
    <t>Kabel TRAY / Ladder</t>
  </si>
  <si>
    <t>5.1.1.12.1</t>
  </si>
  <si>
    <t xml:space="preserve">Pemasangan 1 Unit Kabel Tray (Horizontal) 600x100mm TRU Powder Coating
</t>
  </si>
  <si>
    <t>5.1.1.12.2</t>
  </si>
  <si>
    <t>5.1.1.12.3</t>
  </si>
  <si>
    <t>5.1.1.12.4</t>
  </si>
  <si>
    <t>5.1.1.12.5</t>
  </si>
  <si>
    <t>5.1.1.12.6</t>
  </si>
  <si>
    <t>51.1.12.7</t>
  </si>
  <si>
    <t>5.1.1.12.8</t>
  </si>
  <si>
    <t>5.1.1.12.9</t>
  </si>
  <si>
    <t>5.1.1.12.10</t>
  </si>
  <si>
    <t>5.1.1.12.11</t>
  </si>
  <si>
    <t xml:space="preserve">Pemasangan 1 unit kabel Ladder  500 x 100 mm
</t>
  </si>
  <si>
    <t xml:space="preserve">Kabel Ladder 500 x100 mm </t>
  </si>
  <si>
    <t>5.1.1.12.12</t>
  </si>
  <si>
    <t xml:space="preserve">Pemasangan 1 unit kabel Ladder  600 x 100 mm
</t>
  </si>
  <si>
    <t xml:space="preserve">Unit </t>
  </si>
  <si>
    <t xml:space="preserve">Kabel Ladder 600 x100 mm </t>
  </si>
  <si>
    <t>5.1.1.12.13</t>
  </si>
  <si>
    <t xml:space="preserve">Pemasangan 1 unit kabel Ladder  800 x 100 mm
</t>
  </si>
  <si>
    <t xml:space="preserve">Kabel Ladder 800 x100 mm </t>
  </si>
  <si>
    <t>5.1.1.12.14</t>
  </si>
  <si>
    <t>5.1.1.12.15</t>
  </si>
  <si>
    <t xml:space="preserve">Pemasangan 1 unit Kabel Tray (Horizontal) 600x100mm TRU Hot Dip Galvanizer 
</t>
  </si>
  <si>
    <t xml:space="preserve">Kabel Tray 600 x 100 mm Hotdip Galvanized </t>
  </si>
  <si>
    <t xml:space="preserve">Kabel Tray 600 x100 mm Elektro Galvanized </t>
  </si>
  <si>
    <t xml:space="preserve">Kabel Tray 600 x 100 mm Powder Coating </t>
  </si>
  <si>
    <t>5.1.1.11.1</t>
  </si>
  <si>
    <t>5.1.1.12.16</t>
  </si>
  <si>
    <t>Pemasangan 1 unit Kabel Tray (Horizontal) 600x100mm TRU OCP</t>
  </si>
  <si>
    <t>5.1.1.12.17</t>
  </si>
  <si>
    <t xml:space="preserve">Pemasangan 1 unit Kabel Tray (Horizontal) 600x100mm TRC Powder Coating </t>
  </si>
  <si>
    <t>5.1.2</t>
  </si>
  <si>
    <t xml:space="preserve">Pemasangan Panel Listrik </t>
  </si>
  <si>
    <t>5.1.2.1</t>
  </si>
  <si>
    <t>Pemasangan 1 Unit Panel Utama Tegangan Menengah (PUTM)</t>
  </si>
  <si>
    <t>5.1.2.2</t>
  </si>
  <si>
    <t xml:space="preserve">Pemasangan 1 Unit Panel Utama Tegangan Redah (PUTR) per Kubikal </t>
  </si>
  <si>
    <t>5.1.2.3</t>
  </si>
  <si>
    <t>5.1.2.4</t>
  </si>
  <si>
    <t xml:space="preserve">Pemasangan 1 Unit Main Distribution Panel (MDP) Floor Standing </t>
  </si>
  <si>
    <t xml:space="preserve">Pemasangan 1 Unit Main Distribution Panel (MDP) Wall Mounted </t>
  </si>
  <si>
    <t xml:space="preserve">MDP Wall Mounted </t>
  </si>
  <si>
    <t>5.1.2.5</t>
  </si>
  <si>
    <t xml:space="preserve">Pemasangan 1 Unit Sub Distribution Panel (SDP) Floor Standig </t>
  </si>
  <si>
    <t xml:space="preserve">SDP Floor Standing </t>
  </si>
  <si>
    <t>5.1.2.6</t>
  </si>
  <si>
    <t xml:space="preserve">Pemasangan 1 Unit Sub Distribution Panel (SDP) Wall Maunted  </t>
  </si>
  <si>
    <t xml:space="preserve">SDP Wall  Mounted </t>
  </si>
  <si>
    <t>5.1.2.7</t>
  </si>
  <si>
    <t>Pemasangan 1 Unit Panel Lantai Wall Mounted (800x 600 x200 mm)</t>
  </si>
  <si>
    <t>Pemasangan 1 Unit Panel Lantai Wall Mounted (600x 400 x200 mm)</t>
  </si>
  <si>
    <t>5.1.2.8</t>
  </si>
  <si>
    <t>5.1.2.9</t>
  </si>
  <si>
    <t xml:space="preserve">Pemasangan 1 Unit Panel kWh Meter </t>
  </si>
  <si>
    <t xml:space="preserve">Panel kWh Meter </t>
  </si>
  <si>
    <t>5.1.2.10</t>
  </si>
  <si>
    <t xml:space="preserve">Pemasangan 1 Unit Panel Penerang Luar Outdoor </t>
  </si>
  <si>
    <t xml:space="preserve">Panel Penerang Luar Outdoor termasuk material batu </t>
  </si>
  <si>
    <t xml:space="preserve">catt </t>
  </si>
  <si>
    <t xml:space="preserve">Material Batu /aksesoris 3-5% dari harga unit </t>
  </si>
  <si>
    <t>5.1.2.11</t>
  </si>
  <si>
    <t>5.1.2.16</t>
  </si>
  <si>
    <t xml:space="preserve">Pemasangan 1 Unit Panel Power Gondola </t>
  </si>
  <si>
    <t>5.1.2.17</t>
  </si>
  <si>
    <t xml:space="preserve">Pemasangan 1 Unit Panel Power Elektronik </t>
  </si>
  <si>
    <t>5.1.2.18</t>
  </si>
  <si>
    <t>Pemasangan 1 Unit Panel Power AHU</t>
  </si>
  <si>
    <t xml:space="preserve">Panel Power AHU termasuk material bantu </t>
  </si>
  <si>
    <t>5.1.2.19</t>
  </si>
  <si>
    <t>Pemasangan 1 Unit Panel Power AC (VRF/DX System)</t>
  </si>
  <si>
    <t xml:space="preserve">Panel Power AC termasuk material bantu </t>
  </si>
  <si>
    <t>5.1.2.20</t>
  </si>
  <si>
    <t>Pemasangan 1 Unit Panel Power Chiller</t>
  </si>
  <si>
    <t xml:space="preserve">Panel Power Chiller termasuk material bantu </t>
  </si>
  <si>
    <t>5.1.2.21</t>
  </si>
  <si>
    <t>Pemasangan 1 Unit Panel Kontrol Power Chiller</t>
  </si>
  <si>
    <t>5.1.2.22</t>
  </si>
  <si>
    <t xml:space="preserve">Pemasangan 1 Unit Panel Kontrol Pompa Cooling Tower </t>
  </si>
  <si>
    <t xml:space="preserve">Panel Kontrol Power Cooling Tower termasuk material bantu </t>
  </si>
  <si>
    <t>5.1.2.23</t>
  </si>
  <si>
    <t xml:space="preserve">Pemasangan 1 Unit Panel Kontrol Fan Presurisasi </t>
  </si>
  <si>
    <t xml:space="preserve">Material Batu /aksesoris 5-7% dari harga unit </t>
  </si>
  <si>
    <t xml:space="preserve">Material Batu /aksesoris 5-10% dari harga unit </t>
  </si>
  <si>
    <t xml:space="preserve">Material Batu /aksesoris 5-15% dari harga unit </t>
  </si>
  <si>
    <t>5.1.2.24</t>
  </si>
  <si>
    <t xml:space="preserve">Pemasangan 1 Unit MCB Box </t>
  </si>
  <si>
    <t xml:space="preserve">MCB Box </t>
  </si>
  <si>
    <t>5.1.3</t>
  </si>
  <si>
    <t xml:space="preserve">Pemasangan Genset </t>
  </si>
  <si>
    <t>5.1.3.1</t>
  </si>
  <si>
    <t xml:space="preserve">Pemasanga 1 Unit Genset Kap : 75 Kva Silent Type </t>
  </si>
  <si>
    <t xml:space="preserve">Genset Kap : 75kVA Silent Type dan aksesoris </t>
  </si>
  <si>
    <t>Upah tenaga untuk pemasagan genset berjarak lebih kurang 25 m dari power house, yang mencakup :</t>
  </si>
  <si>
    <t xml:space="preserve"> - Pengaturan posisi genset di ruang genset </t>
  </si>
  <si>
    <t xml:space="preserve"> - pemasangan knalpot </t>
  </si>
  <si>
    <t xml:space="preserve"> - pemasangan ducting udara pembuangan panas dasi radiator </t>
  </si>
  <si>
    <t xml:space="preserve"> - pemasangan fastener / angkur ke lantai </t>
  </si>
  <si>
    <t>5.1.3.2</t>
  </si>
  <si>
    <t xml:space="preserve">Pemasanga 1 Unit Genset Kap : 100 Kva Silent Type </t>
  </si>
  <si>
    <t xml:space="preserve">Genset Kap : 100 kVA Silent Type dan aksesoris </t>
  </si>
  <si>
    <t>5.1.3.3</t>
  </si>
  <si>
    <t xml:space="preserve">Pemasanga 1 Unit Genset Kap : 400 Kva Silent Type </t>
  </si>
  <si>
    <t xml:space="preserve">Genset Kap : 400 kVA Silent Type dan aksesoris </t>
  </si>
  <si>
    <t>5.1.3.4</t>
  </si>
  <si>
    <t xml:space="preserve">Pemasanga 1 Unit UPS KVA/3P Type  Online Back Up Battery 15 menit </t>
  </si>
  <si>
    <t xml:space="preserve">UPS 5 KVA </t>
  </si>
  <si>
    <t>Pemasanga 1 Unit Tangki Solar Harian 500 Liter</t>
  </si>
  <si>
    <t>5.1.3.5</t>
  </si>
  <si>
    <t xml:space="preserve">Tangki Solar Harian 500 liter </t>
  </si>
  <si>
    <t>5.1.4</t>
  </si>
  <si>
    <t xml:space="preserve">Pemasangan Trafo </t>
  </si>
  <si>
    <t>5.1.4.1</t>
  </si>
  <si>
    <t>Pemasanga 1 Unit Trafo Kap : 630 Kva : Synthetic Oil Ester (Termasuk Terminasi Instalasi Trafo)</t>
  </si>
  <si>
    <t>Trafo Kap : 630 Kva : Synthetic Oil Ester</t>
  </si>
  <si>
    <t>5.1.5</t>
  </si>
  <si>
    <t xml:space="preserve">Pemasangan Saklar dan Stop Kontak </t>
  </si>
  <si>
    <t>5.1.5.1</t>
  </si>
  <si>
    <t xml:space="preserve">Pemasanga 1 Unit Saklar Tunggal </t>
  </si>
  <si>
    <t xml:space="preserve">Saklar Tunggal </t>
  </si>
  <si>
    <t>5.1.5.2</t>
  </si>
  <si>
    <t xml:space="preserve">Pemasanga 1 Unit Saklar Ganda </t>
  </si>
  <si>
    <t xml:space="preserve">Saklar Ganda </t>
  </si>
  <si>
    <t xml:space="preserve">Buah </t>
  </si>
  <si>
    <t>5.1.5.3</t>
  </si>
  <si>
    <t xml:space="preserve">Pemasanga 1 Unit Saklar Triple  </t>
  </si>
  <si>
    <t xml:space="preserve">Saklar Triple </t>
  </si>
  <si>
    <t xml:space="preserve">Buag </t>
  </si>
  <si>
    <t>5.1.5.4</t>
  </si>
  <si>
    <t xml:space="preserve">Pemasanga 1 Unit Grid Switch 2 x 2  </t>
  </si>
  <si>
    <t xml:space="preserve">Grid Switch </t>
  </si>
  <si>
    <t>5.1.5.5</t>
  </si>
  <si>
    <t>5.1.5.7</t>
  </si>
  <si>
    <t xml:space="preserve">Pemasanga 1 Unit Grid Switch 2 x 24  </t>
  </si>
  <si>
    <t>5.1.5.8</t>
  </si>
  <si>
    <t xml:space="preserve">Pemasanga 1 Unit Grid Switch 4 x 2 Gang  </t>
  </si>
  <si>
    <t xml:space="preserve">Grid Switch 4 x 2 Gang </t>
  </si>
  <si>
    <t>5.1.5.9</t>
  </si>
  <si>
    <t xml:space="preserve">Stop Kontak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</si>
  <si>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</si>
  <si>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</si>
  <si>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</si>
  <si>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</si>
  <si>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</si>
  <si>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 xml:space="preserve">Elbow </t>
  </si>
  <si>
    <t xml:space="preserve">Isolasi </t>
  </si>
  <si>
    <t xml:space="preserve">Lasdop </t>
  </si>
  <si>
    <t xml:space="preserve">T Dus </t>
  </si>
  <si>
    <t>Socket Conduit 20 mm</t>
  </si>
  <si>
    <t xml:space="preserve">Conduit HI 20 mm </t>
  </si>
  <si>
    <t xml:space="preserve">Klem 20 mm </t>
  </si>
  <si>
    <t xml:space="preserve">lasdop </t>
  </si>
  <si>
    <t xml:space="preserve">Fischer S6 + Sekrup </t>
  </si>
  <si>
    <t>5.1.6</t>
  </si>
  <si>
    <t xml:space="preserve">Pemasangan kWh meter token </t>
  </si>
  <si>
    <t xml:space="preserve">Pemasangan 1 unit kWh Meter Token 1 Phase </t>
  </si>
  <si>
    <t>5.1.6.1</t>
  </si>
  <si>
    <t xml:space="preserve">kWh meter token 1 phase </t>
  </si>
  <si>
    <t xml:space="preserve">kWh meter Token 1 Phase </t>
  </si>
  <si>
    <t>5.1.6.2</t>
  </si>
  <si>
    <t xml:space="preserve">Pemasangan 1 unit kWh Meter Token 3 Phase </t>
  </si>
  <si>
    <t xml:space="preserve">kWh meter token 3 phase </t>
  </si>
  <si>
    <t xml:space="preserve">kWh meter Token 3 Phase </t>
  </si>
  <si>
    <t>5.1.6.3</t>
  </si>
  <si>
    <t xml:space="preserve">Pemasangan 1 unit Softwer Sistem Offile / online untuk kWh Meter Swakelola Prabayar </t>
  </si>
  <si>
    <t xml:space="preserve">Software sistem kwh meter swakelola prabayar </t>
  </si>
  <si>
    <t>5.1.6.4</t>
  </si>
  <si>
    <t xml:space="preserve">Pemasangan 1 Unit PC Server termasuk OS Windows Server, monitor, keyboard dan Mouse </t>
  </si>
  <si>
    <t xml:space="preserve">PC Server </t>
  </si>
  <si>
    <t xml:space="preserve">5.1.8 </t>
  </si>
  <si>
    <t xml:space="preserve">Pemasangan sistem Pembumian </t>
  </si>
  <si>
    <t xml:space="preserve">5.1.8.1 </t>
  </si>
  <si>
    <t>Pemasangan 1 set pembumian sistem elektrikal dengan batang tembaga dia.5/8"</t>
  </si>
  <si>
    <t>5.3</t>
  </si>
  <si>
    <t>5.3.1</t>
  </si>
  <si>
    <t>5.3.1.1</t>
  </si>
  <si>
    <t>5.5.4</t>
  </si>
  <si>
    <t xml:space="preserve">Pemasangan Perpipaan </t>
  </si>
  <si>
    <t>5.5.4.1</t>
  </si>
  <si>
    <t>Pemasangan 1 m Pipa Tembaga B280 Dia. 6,4 mm (1/4")</t>
  </si>
  <si>
    <t xml:space="preserve">Duct Tape </t>
  </si>
  <si>
    <t>Gulung</t>
  </si>
  <si>
    <t>Pipa Tembaga B280 1/4"</t>
  </si>
  <si>
    <t xml:space="preserve">gulung </t>
  </si>
  <si>
    <t>5.5.4.2</t>
  </si>
  <si>
    <t>Pemasangan 1 m Pipa Tembaga B280 Dia. 9,5 mm (3/8")</t>
  </si>
  <si>
    <t>Pipa Tembaga B280 3/8"</t>
  </si>
  <si>
    <t>5.5.4.3</t>
  </si>
  <si>
    <t>Pemasangan 1 m Pipa Tembaga B280 Dia. 12,7 mm (1/2")</t>
  </si>
  <si>
    <t>Pipa Tembaga B280 1/2"</t>
  </si>
  <si>
    <t>Pemasangan 1 m Pipa Tembaga B280 Dia. 15,9 mm (5/8")</t>
  </si>
  <si>
    <t>Pipa Tembaga B280 5/8"</t>
  </si>
  <si>
    <t>5.5.4.4</t>
  </si>
  <si>
    <t>5.5.4.5</t>
  </si>
  <si>
    <t>Pemasangan 1 m Pipa Tembaga B280 Dia. 19,1 mm (3/4")</t>
  </si>
  <si>
    <t>Pipa Tembaga B280 3/4"</t>
  </si>
  <si>
    <t>5.5.4.6</t>
  </si>
  <si>
    <t>Pemasangan 1 m Pipa Tembaga B280 Dia. 22,2 mm (7/8")</t>
  </si>
  <si>
    <t>Pipa Tembaga B280 7/8"</t>
  </si>
  <si>
    <t>5.5.4.7</t>
  </si>
  <si>
    <t>Pemasangan 1 m Pipa Tembaga B280 Dia. 25,4 mm (1")</t>
  </si>
  <si>
    <t>Pipa Tembaga B280 1"</t>
  </si>
  <si>
    <t>5.5.4.8</t>
  </si>
  <si>
    <t>Pemasangan 1 m Pipa Tembaga B280 Dia. 28,6 mm (1-1/8")</t>
  </si>
  <si>
    <t>Pipa Tembaga B280 1-1/8"</t>
  </si>
  <si>
    <t>5.5.4.9</t>
  </si>
  <si>
    <t>Pemasangan 1 m Pipa Tembaga B280 Dia. 34,9 mm (1-3/8")</t>
  </si>
  <si>
    <t>Pipa Tembaga B280 1-3/8"</t>
  </si>
  <si>
    <t>5.5.4.10</t>
  </si>
  <si>
    <t>Pemasangan 1 m Pipa Tembaga B280 Dia. 41,3 mm (1-5/8")</t>
  </si>
  <si>
    <t>Pipa Tembaga B280 1-5/8"</t>
  </si>
  <si>
    <t>5.5.4.11</t>
  </si>
  <si>
    <t xml:space="preserve">5.5.4.12 </t>
  </si>
  <si>
    <t>5.5.4.13</t>
  </si>
  <si>
    <t>5.5.4.14</t>
  </si>
  <si>
    <t>5.5.4.15</t>
  </si>
  <si>
    <t>5.5.4.16</t>
  </si>
  <si>
    <t>5.3.4.17</t>
  </si>
  <si>
    <t>5.5.4.18</t>
  </si>
  <si>
    <t>5.5.4.19</t>
  </si>
  <si>
    <t>5.6</t>
  </si>
  <si>
    <t xml:space="preserve">Pekerjaan Sistem Proteksi Kebakaan </t>
  </si>
  <si>
    <t>5.6.1</t>
  </si>
  <si>
    <t>Sistem Perpipaan &amp; aksesoris</t>
  </si>
  <si>
    <t>5.6.1.1</t>
  </si>
  <si>
    <t>Pemasanga 1 Unit PRV Set Dia. 50 mm</t>
  </si>
  <si>
    <t>PRV SET dia. 50 mm dan aksesoris</t>
  </si>
  <si>
    <t>5.6.1.2</t>
  </si>
  <si>
    <t>Pemasanga 1 Unit PRV Set Dia. 65 mm</t>
  </si>
  <si>
    <t>Tukang Pipa</t>
  </si>
  <si>
    <t>PRV SET dia. 65 mm dan aksesoris</t>
  </si>
  <si>
    <t>5.6.1.3</t>
  </si>
  <si>
    <t>Pemasanga 1 Unit PRV Set Dia. 80 mm</t>
  </si>
  <si>
    <t>PRV SET dia. 80 mm dan aksesoris</t>
  </si>
  <si>
    <t>5.6.1.4</t>
  </si>
  <si>
    <t>Pemasanga 1 Unit PRV Set Dia. 100 mm</t>
  </si>
  <si>
    <t>PRV SET dia. 100 mm dan aksesoris</t>
  </si>
  <si>
    <t>5.6.1.5</t>
  </si>
  <si>
    <t>Pemasangan 1 Unit PRV SET dia. 150 mm</t>
  </si>
  <si>
    <t>PRV SET dia. 150 mm dan aksesoris</t>
  </si>
  <si>
    <t>5.6.1.6</t>
  </si>
  <si>
    <t>Pemasangan 1 Unit PRV SET dia. 200 mm</t>
  </si>
  <si>
    <t>PRV SET dia. 200 mm dan aksesoris</t>
  </si>
  <si>
    <t>5.6.1.7</t>
  </si>
  <si>
    <t>Pemasangan 1 Unit MCV Set dia. 80 mm</t>
  </si>
  <si>
    <t>MCV Set dia. 80 mm</t>
  </si>
  <si>
    <t>5.6.1.8</t>
  </si>
  <si>
    <t>Pemasangan 1 Unit MCV Set dia. 100 mm</t>
  </si>
  <si>
    <t>MCV Set dia. 100 mm</t>
  </si>
  <si>
    <t>5.6.1.9</t>
  </si>
  <si>
    <t>Pemasangan 1 Unit MCV Set dia. 150 mm</t>
  </si>
  <si>
    <t>MCV Set dia. 150 mm</t>
  </si>
  <si>
    <t>5.6.1.10</t>
  </si>
  <si>
    <t>Pemasangan 1 Unit BCV Set dia. 50 mm</t>
  </si>
  <si>
    <t>Flow Switch dia. 50 mm</t>
  </si>
  <si>
    <t xml:space="preserve">Sigh Glass </t>
  </si>
  <si>
    <t xml:space="preserve">Test Drain Valve </t>
  </si>
  <si>
    <t xml:space="preserve">Coupling 1 set </t>
  </si>
  <si>
    <t xml:space="preserve">Set </t>
  </si>
  <si>
    <t xml:space="preserve">set </t>
  </si>
  <si>
    <t>5.6.1.11</t>
  </si>
  <si>
    <t xml:space="preserve">Flow Switch </t>
  </si>
  <si>
    <t xml:space="preserve">Temper Switch </t>
  </si>
  <si>
    <t>BCV Set dia. 65 mm</t>
  </si>
  <si>
    <t>BCV Set dia. 50 mm</t>
  </si>
  <si>
    <t>Pemasangan 1 Unit BCV Set dia. 65 mm</t>
  </si>
  <si>
    <t>5.6.1.12</t>
  </si>
  <si>
    <t>Pemasangan 1 Unit BCV Set dia. 80 mm</t>
  </si>
  <si>
    <t>BCV Set dia. 80 mm</t>
  </si>
  <si>
    <t>5.6.1.13</t>
  </si>
  <si>
    <t>Pemasangan 1 Unit BCV Set dia. 100 mm</t>
  </si>
  <si>
    <t>BCV Set dia. 100 mm</t>
  </si>
  <si>
    <t>5.6.1.14</t>
  </si>
  <si>
    <t>Pemasangan 1 Unit BCV Set dia. 150 mm</t>
  </si>
  <si>
    <t>BCV Set dia. 150 mm</t>
  </si>
  <si>
    <t>5.6.1.15</t>
  </si>
  <si>
    <t>Pemasangan 1 Unit Automatic Air Vent dia. 50mm</t>
  </si>
  <si>
    <t>Automatic Air Vent  dia. 50 mm</t>
  </si>
  <si>
    <t>5.6.1.16</t>
  </si>
  <si>
    <t>Pemasangan 1 Unit Automatic Air Vent dia. 80mm</t>
  </si>
  <si>
    <t>Automatic Air Vent  dia. 80 mm</t>
  </si>
  <si>
    <t>5.6.1.17</t>
  </si>
  <si>
    <t>Pemasangan 1 Unit Automatic Air Vent dia. 100mm</t>
  </si>
  <si>
    <t>Automatic Air Vent  dia. 100 mm</t>
  </si>
  <si>
    <t>5.6.1.18</t>
  </si>
  <si>
    <t>Pemasangan 1 Unit Automatic Air Vent dia. 150mm</t>
  </si>
  <si>
    <t>Automatic Air Vent  dia. 150 mm</t>
  </si>
  <si>
    <t>5.6.1.19</t>
  </si>
  <si>
    <t>Pemasangan 1 Unit Flow Meter Analog dia.100 mm</t>
  </si>
  <si>
    <t>Flow Meter Analog dia. 100 mm</t>
  </si>
  <si>
    <t>5.6.1.20</t>
  </si>
  <si>
    <t>Pemasangan 1 Unit Flow Meter Analog dia.200 mm</t>
  </si>
  <si>
    <t>Flow Meter Analog dia. 200 mm</t>
  </si>
  <si>
    <t>5.6.1.21</t>
  </si>
  <si>
    <t>Pemasangan 1 Unit Landing Velve 2,5"</t>
  </si>
  <si>
    <t>Landing Velve 2,5"</t>
  </si>
  <si>
    <t>5.6.1.22</t>
  </si>
  <si>
    <t>Pemasangan 1 Unit Orifice Plate dia. 25 mm</t>
  </si>
  <si>
    <t>Orifice Plate dia. 25 mm</t>
  </si>
  <si>
    <t>5.6.2</t>
  </si>
  <si>
    <t xml:space="preserve">Hidran &amp; Springkler </t>
  </si>
  <si>
    <t>5.6.2.1</t>
  </si>
  <si>
    <t xml:space="preserve">Pemasangan 1 unit Sprinkler Head Pendant </t>
  </si>
  <si>
    <t xml:space="preserve">Sprinkler Head Pendant dan Aksesoris </t>
  </si>
  <si>
    <t>5.6.2.2</t>
  </si>
  <si>
    <t>Pemasangan 1 unit Sprinkler Head Upright</t>
  </si>
  <si>
    <t xml:space="preserve">Sprinkler Head Upright dan Aksesoris </t>
  </si>
  <si>
    <t>5.6.2.3</t>
  </si>
  <si>
    <t>Pemasangan 1 unit Hydrant Pillar</t>
  </si>
  <si>
    <t xml:space="preserve">Hydrant Pillar dan Aksesoris </t>
  </si>
  <si>
    <t>5.6.2.4</t>
  </si>
  <si>
    <t>Pemasangan 1 unit Indoor Hydrant Box (IHB)</t>
  </si>
  <si>
    <t xml:space="preserve">Indoor Hydrant Box dan Aksesoris </t>
  </si>
  <si>
    <t>5.6.2.5</t>
  </si>
  <si>
    <t>Pemasangan 1 unit outdoor Hydrant Box (OHB)</t>
  </si>
  <si>
    <t xml:space="preserve">Outdoor Hydrant Box dan Aksesoris </t>
  </si>
  <si>
    <t>5.6.2.6</t>
  </si>
  <si>
    <t xml:space="preserve">Pemasangan 1 unit Siamesse Connection </t>
  </si>
  <si>
    <t xml:space="preserve">Siamesse Connection dan Aksesoris </t>
  </si>
  <si>
    <t xml:space="preserve">5.6.3 </t>
  </si>
  <si>
    <t xml:space="preserve">APAR </t>
  </si>
  <si>
    <t>5.6.3.1</t>
  </si>
  <si>
    <t xml:space="preserve">Pemasangan 1 unit Fire Extinguisher 3 kg </t>
  </si>
  <si>
    <t xml:space="preserve">Fire Extinguisher 3 kg  dan Aksesoris </t>
  </si>
  <si>
    <t xml:space="preserve">Pemasangan 1 unit Fire Extinguisher 5 kg </t>
  </si>
  <si>
    <t xml:space="preserve">Fire Extinguisher 5 kg  dan Aksesoris </t>
  </si>
  <si>
    <t>5.6.3.2</t>
  </si>
  <si>
    <t>5.6.3.3</t>
  </si>
  <si>
    <t xml:space="preserve">Pemasangan 1 unit Fire Extinguisher 25 kg </t>
  </si>
  <si>
    <t xml:space="preserve">Fire Extinguisher 25 kg  dan Aksesoris </t>
  </si>
  <si>
    <t xml:space="preserve">5.6.4 </t>
  </si>
  <si>
    <t xml:space="preserve">Pompa Kebakaran </t>
  </si>
  <si>
    <t>5.6.4.1</t>
  </si>
  <si>
    <t xml:space="preserve">Pemasangan 1 Unit Jockey Fire Pump Vertical Multi Stage, 25 USGPM </t>
  </si>
  <si>
    <t xml:space="preserve">Jockey Fire Pump Vertical Multi Stage 25 USGPM </t>
  </si>
  <si>
    <t>5.6.4.2</t>
  </si>
  <si>
    <t xml:space="preserve">Pemasangan 1 Unit Main Fire Pump Centrifugal End Suction, 1.000 USGPM </t>
  </si>
  <si>
    <t>5.6.4.3</t>
  </si>
  <si>
    <t xml:space="preserve">Diesel Fire Pump Centrifugal End Suction dan Aksesoris </t>
  </si>
  <si>
    <t xml:space="preserve">Main Fire Pump Centrifugal  End Suction 1.000 USGPM </t>
  </si>
  <si>
    <t>5.6.4.4</t>
  </si>
  <si>
    <t xml:space="preserve">Pemasangan 1 Unit Main Fire Pump Centrifugal End Suction, 1.250 USGPM </t>
  </si>
  <si>
    <t xml:space="preserve">Main Fire Pump Centrifugal End Suction dan Aksesoris </t>
  </si>
  <si>
    <t>5.6.4.5</t>
  </si>
  <si>
    <t xml:space="preserve">Pemasangan 1 Unit Diesel Fire Centrifugal Ed Suction, 1.250 USGPM </t>
  </si>
  <si>
    <t>Diesel Fire Pump Centrifugal End Suction dan Aksesoris</t>
  </si>
  <si>
    <t xml:space="preserve">PEKERJAAN PLAMBING </t>
  </si>
  <si>
    <t xml:space="preserve">6.1 </t>
  </si>
  <si>
    <t xml:space="preserve">6.1.1 </t>
  </si>
  <si>
    <t xml:space="preserve">Roof Water Tank </t>
  </si>
  <si>
    <t>6.1.1.2</t>
  </si>
  <si>
    <t>6.1.1.3</t>
  </si>
  <si>
    <t>6.1.1.4</t>
  </si>
  <si>
    <t>6.1.1.5</t>
  </si>
  <si>
    <t>6.1.1.6</t>
  </si>
  <si>
    <t>6.1.1.7</t>
  </si>
  <si>
    <t>6.1.1.8</t>
  </si>
  <si>
    <t>6.1.1.9</t>
  </si>
  <si>
    <t>6.1.1.10</t>
  </si>
  <si>
    <t>6.1.1.11</t>
  </si>
  <si>
    <t>6.1.1.12</t>
  </si>
  <si>
    <t>6.1.1.13</t>
  </si>
  <si>
    <t>6.1.1.14</t>
  </si>
  <si>
    <t>6.1.1.15</t>
  </si>
  <si>
    <t>Pemasangan 1 buah Tangki Panel FRP Kap.12 m3</t>
  </si>
  <si>
    <t>Tangki Panel FRP kap. 12 m3</t>
  </si>
  <si>
    <t>6.1.1.16</t>
  </si>
  <si>
    <t>Pemasangan 1 buah Tangki Toren Kap. 0,5 m3</t>
  </si>
  <si>
    <t>Tangki Toren Kapasitas 0,5 m3</t>
  </si>
  <si>
    <t>6.1.2</t>
  </si>
  <si>
    <t xml:space="preserve">Pompa Transfer dan Booster </t>
  </si>
  <si>
    <t>6.1.2.1</t>
  </si>
  <si>
    <t>6.1.2.2</t>
  </si>
  <si>
    <t>6.1.2.3</t>
  </si>
  <si>
    <t>6.1.2.4</t>
  </si>
  <si>
    <t>6.1.2.5</t>
  </si>
  <si>
    <t>6.1.2.6</t>
  </si>
  <si>
    <t>6.1.2.7</t>
  </si>
  <si>
    <t>6.1.2.8</t>
  </si>
  <si>
    <t>6.1.2.9</t>
  </si>
  <si>
    <t>Pemasangan 1 unit Pompa Jet 30 lpm</t>
  </si>
  <si>
    <t xml:space="preserve">Pompa Jet 30 lpm </t>
  </si>
  <si>
    <t>6.3.1</t>
  </si>
  <si>
    <t xml:space="preserve"> Filter </t>
  </si>
  <si>
    <t>6.1.3.1</t>
  </si>
  <si>
    <t>6.1.3.2</t>
  </si>
  <si>
    <t>6.1.3.3</t>
  </si>
  <si>
    <t>6.1.3.4</t>
  </si>
  <si>
    <t>6.1.3.5</t>
  </si>
  <si>
    <t>6.1.4</t>
  </si>
  <si>
    <t>Ground Water Tank (Fiber)</t>
  </si>
  <si>
    <t>6.1.4.1</t>
  </si>
  <si>
    <t>6.1.4.2</t>
  </si>
  <si>
    <t>6.1.4.3</t>
  </si>
  <si>
    <t>6.1.4.4</t>
  </si>
  <si>
    <t>6.1.4.5</t>
  </si>
  <si>
    <t xml:space="preserve">SISTEM AIR LIMBAH </t>
  </si>
  <si>
    <t>6.2.1</t>
  </si>
  <si>
    <t xml:space="preserve">Sewage Treatment Plan (STP) /Biofilter </t>
  </si>
  <si>
    <t>6.2.1.1</t>
  </si>
  <si>
    <t>6.2.1.2</t>
  </si>
  <si>
    <t>6.2.1.3</t>
  </si>
  <si>
    <t>6.2.1.4</t>
  </si>
  <si>
    <t>6.2.1.6</t>
  </si>
  <si>
    <t>6.2.1.5</t>
  </si>
  <si>
    <t>Pemasangan 1 set Sewage Treatment Plant (STP) Fiberglass kap. 1 m3</t>
  </si>
  <si>
    <t>Sewage Treatment Plant (STP) Fiberglass kap. 30 m3</t>
  </si>
  <si>
    <t>Pemasangan 1 buah Sumur Resapan Air Limbah diameter 80 cm, t=100 cm ( dengan tutup Beton)</t>
  </si>
  <si>
    <t xml:space="preserve">Tutup Beton Bertulang </t>
  </si>
  <si>
    <t xml:space="preserve">Beton </t>
  </si>
  <si>
    <t xml:space="preserve">Tulangan </t>
  </si>
  <si>
    <t>Galian tanah biasa</t>
  </si>
  <si>
    <t xml:space="preserve">Buis beton dia. 80 cm </t>
  </si>
  <si>
    <t xml:space="preserve">tulangan </t>
  </si>
  <si>
    <t>6.2.1.8</t>
  </si>
  <si>
    <t>Pemasangan 1 buah Sumur Resapan Air Limbah diameter 80 cm, t=100 cm ( tanpa tutup Beton)</t>
  </si>
  <si>
    <t xml:space="preserve">                </t>
  </si>
  <si>
    <t xml:space="preserve">   gsfsfs tggd</t>
  </si>
  <si>
    <t>6.2.2</t>
  </si>
  <si>
    <t>Bak Pengumpulan  (sump Pit )</t>
  </si>
  <si>
    <t>6.2.2.1</t>
  </si>
  <si>
    <t>6.2.3</t>
  </si>
  <si>
    <t xml:space="preserve">Grase Trap </t>
  </si>
  <si>
    <t>6.2.3.1</t>
  </si>
  <si>
    <t>6.2.3.2</t>
  </si>
  <si>
    <t>6.2.3.3</t>
  </si>
  <si>
    <t>6.3</t>
  </si>
  <si>
    <t>6.3.2</t>
  </si>
  <si>
    <t>6.3.3</t>
  </si>
  <si>
    <t>6.4</t>
  </si>
  <si>
    <t xml:space="preserve">SISTEM PERPIPAAN DALAM GEDUNG </t>
  </si>
  <si>
    <t>6.4.1</t>
  </si>
  <si>
    <t xml:space="preserve">Pipa PVC </t>
  </si>
  <si>
    <t>6.4.1.1</t>
  </si>
  <si>
    <t>6.4.1.2</t>
  </si>
  <si>
    <t>6.4.1.3</t>
  </si>
  <si>
    <t>6.4.1.4</t>
  </si>
  <si>
    <t xml:space="preserve">catt : bahan pipa + fitting &amp; aksesoris </t>
  </si>
  <si>
    <t>6.4.1.5</t>
  </si>
  <si>
    <t>6.4.1.6</t>
  </si>
  <si>
    <t>6.4.1.7</t>
  </si>
  <si>
    <t>6.4.1.8</t>
  </si>
  <si>
    <t>6.4.1.9</t>
  </si>
  <si>
    <t>6.4.1.10</t>
  </si>
  <si>
    <t>6.4.1.11</t>
  </si>
  <si>
    <t>6.4.1.12</t>
  </si>
  <si>
    <t>6.4.1.13</t>
  </si>
  <si>
    <t>6.4.1.14</t>
  </si>
  <si>
    <t>6.4.1.15</t>
  </si>
  <si>
    <t>6.4.1.16</t>
  </si>
  <si>
    <t>6.4.1.17</t>
  </si>
  <si>
    <t>6.4.1.18</t>
  </si>
  <si>
    <t>6.4.1.19</t>
  </si>
  <si>
    <t>6.4.1.20</t>
  </si>
  <si>
    <t>6.4.1.21</t>
  </si>
  <si>
    <t>6.4.1.22</t>
  </si>
  <si>
    <t>6.4.1.23</t>
  </si>
  <si>
    <t>6.4.1.24</t>
  </si>
  <si>
    <t>6.4.1.25</t>
  </si>
  <si>
    <t>6.4.1.26</t>
  </si>
  <si>
    <t>6.4.1.27</t>
  </si>
  <si>
    <t>6.4.1.28</t>
  </si>
  <si>
    <t>6.4.1.29</t>
  </si>
  <si>
    <t>6.4.2</t>
  </si>
  <si>
    <t xml:space="preserve">Pipa Galvanis </t>
  </si>
  <si>
    <t>6.4.2.1</t>
  </si>
  <si>
    <t xml:space="preserve">Pipa galvanis  medium Class  Ø 1 1/2" +Aksesoris </t>
  </si>
  <si>
    <t>Pipa galvanis  medium Class Ø 1" + Aksesoris</t>
  </si>
  <si>
    <t>Pipa galvanis  medium Class Ø 1/2" + Aksesoris</t>
  </si>
  <si>
    <t xml:space="preserve">Pipa galvanis  medium Class Ø 2" +Aksesoris </t>
  </si>
  <si>
    <t xml:space="preserve">Pipa galvanis  medium Class Ø 3" +Aksesoris </t>
  </si>
  <si>
    <t xml:space="preserve">Pipa galvanis  medium Class Ø 4" +Aksesoris </t>
  </si>
  <si>
    <t xml:space="preserve">Pipa galvanis  medium Class Ø 5" +Aksesoris </t>
  </si>
  <si>
    <t xml:space="preserve">Pipa galvanis  medium Class Ø 6" + Aksesoris </t>
  </si>
  <si>
    <t xml:space="preserve">Pipa galvanis  medium Class Ø 8" + Aksesois </t>
  </si>
  <si>
    <t>6.4.2.2</t>
  </si>
  <si>
    <t xml:space="preserve">Pipa galvanis  medium Class Ø 3/4" + Aksesoris </t>
  </si>
  <si>
    <t>6.4.2.3</t>
  </si>
  <si>
    <t>6.4.2.4</t>
  </si>
  <si>
    <t xml:space="preserve">Pipa galvanis  medium Class  Ø 1 1/4" +Aksesoris </t>
  </si>
  <si>
    <t>6.4.2.5</t>
  </si>
  <si>
    <t>6.4.2.6</t>
  </si>
  <si>
    <t>6.4.2.7</t>
  </si>
  <si>
    <t>6.4.2.8</t>
  </si>
  <si>
    <t xml:space="preserve">Pipa galvanis  medium Class Ø 2-1/2" +Aksesoris </t>
  </si>
  <si>
    <t>6.4.2.9</t>
  </si>
  <si>
    <t>6.4.2.10</t>
  </si>
  <si>
    <t>6.4.2.11</t>
  </si>
  <si>
    <t>6.4.2.12</t>
  </si>
  <si>
    <t>6.4.2.13</t>
  </si>
  <si>
    <t xml:space="preserve">Pipa galvanis  medium Class Ø 10" + Aksesois </t>
  </si>
  <si>
    <t>6.4.2.14</t>
  </si>
  <si>
    <t xml:space="preserve">Pipa galvanis  medium Class Ø 12" + Aksesois </t>
  </si>
  <si>
    <t>6.4.2.15</t>
  </si>
  <si>
    <t xml:space="preserve">Pipa galvanis  medium Class Ø 14" + Aksesois </t>
  </si>
  <si>
    <t>6.4.2.16</t>
  </si>
  <si>
    <t xml:space="preserve">Pipa galvanis  medium Class Ø 16" + Aksesois </t>
  </si>
  <si>
    <t>6.4.2.17</t>
  </si>
  <si>
    <t>6.4.2.18</t>
  </si>
  <si>
    <t xml:space="preserve">Pipa galvanis SCH 40 Ø 1/2" + Aksesois </t>
  </si>
  <si>
    <t xml:space="preserve">Pipa galvanis SCH 40 Ø 3/4" + Aksesois </t>
  </si>
  <si>
    <t>6.4.2.19</t>
  </si>
  <si>
    <t xml:space="preserve">Pipa galvanis SCH 40 Ø 1" + Aksesois </t>
  </si>
  <si>
    <t>6.4.2.20</t>
  </si>
  <si>
    <t xml:space="preserve">Pipa galvanis SCH 40 Ø 1-1/4" + Aksesois </t>
  </si>
  <si>
    <t>6.4.2.21</t>
  </si>
  <si>
    <t xml:space="preserve">Pipa galvanis SCH 40 Ø 1-1/2" + Aksesois </t>
  </si>
  <si>
    <t>6.4.2.22</t>
  </si>
  <si>
    <t xml:space="preserve">Pipa galvanis SCH 40 Ø 2" + Aksesois </t>
  </si>
  <si>
    <t>6.4.2.23</t>
  </si>
  <si>
    <t xml:space="preserve">Pipa galvanis SCH 40 Ø 2-1/2" + Aksesois </t>
  </si>
  <si>
    <t>6.4.2.24</t>
  </si>
  <si>
    <t xml:space="preserve">Pipa galvanis SCH 40 Ø 3" + Aksesois </t>
  </si>
  <si>
    <t>6.4.2.25</t>
  </si>
  <si>
    <t xml:space="preserve">Pipa galvanis SCH 40 Ø 4" + Aksesois </t>
  </si>
  <si>
    <t>6.4.2.26</t>
  </si>
  <si>
    <t xml:space="preserve">Pipa galvanis SCH 40 Ø 5" + Aksesois </t>
  </si>
  <si>
    <t>6.4.2.27</t>
  </si>
  <si>
    <t xml:space="preserve">Pipa galvanis SCH 40 Ø 6" + Aksesois </t>
  </si>
  <si>
    <t>6.4.2.28</t>
  </si>
  <si>
    <t xml:space="preserve">Pipa galvanis SCH 40 Ø 8" + Aksesois </t>
  </si>
  <si>
    <t>6.4.2.29</t>
  </si>
  <si>
    <t xml:space="preserve">Pipa galvanis SCH 40 Ø 10" + Aksesois </t>
  </si>
  <si>
    <t>6.4.2.30</t>
  </si>
  <si>
    <t xml:space="preserve">Pipa galvanis SCH 40 Ø 12" + Aksesois </t>
  </si>
  <si>
    <t>6.4.2.31</t>
  </si>
  <si>
    <t xml:space="preserve">Pipa galvanis SCH 40 Ø 14" + Aksesois </t>
  </si>
  <si>
    <t>6.4.2.32</t>
  </si>
  <si>
    <t xml:space="preserve">Pipa galvanis SCH 40 Ø 16" + Aksesois </t>
  </si>
  <si>
    <t>6.4.3</t>
  </si>
  <si>
    <t>Pipa PPR (PolyPropylene Random)</t>
  </si>
  <si>
    <t xml:space="preserve">Pipa PPR PN 10 Ø 1/2" + Aksesois </t>
  </si>
  <si>
    <t>6.4.3.1</t>
  </si>
  <si>
    <t>6.4.3.2</t>
  </si>
  <si>
    <t xml:space="preserve">Pipa PPR PN 10 Ø 3/4" + Aksesois </t>
  </si>
  <si>
    <t>6.4.3.3</t>
  </si>
  <si>
    <t xml:space="preserve">Pipa PPR PN 10 Ø 1" + Aksesois </t>
  </si>
  <si>
    <t>6.4.3.4</t>
  </si>
  <si>
    <t xml:space="preserve">Pipa PPR PN 10 Ø 1-1/4" + Aksesois </t>
  </si>
  <si>
    <t>6.4.3.5</t>
  </si>
  <si>
    <t xml:space="preserve">Pipa PPR PN 10 Ø 1-1/2" + Aksesois </t>
  </si>
  <si>
    <t>6.4.3.6</t>
  </si>
  <si>
    <t xml:space="preserve">Pipa PPR PN 10 Ø 2" + Aksesois </t>
  </si>
  <si>
    <t>6.4.3.7</t>
  </si>
  <si>
    <t xml:space="preserve">Pipa PPR PN 10 Ø 2-1/2" + Aksesois </t>
  </si>
  <si>
    <t>6.4.3.8</t>
  </si>
  <si>
    <t xml:space="preserve">Pipa PPR PN 10 Ø 3" + Aksesois </t>
  </si>
  <si>
    <t>6.4.3.9</t>
  </si>
  <si>
    <t xml:space="preserve">Pipa PPR PN 10 Ø 4" + Aksesois </t>
  </si>
  <si>
    <t>6.4.3.10</t>
  </si>
  <si>
    <t xml:space="preserve">Pipa PPR PN 10 Ø 6" + Aksesois </t>
  </si>
  <si>
    <t>6.4.3.11</t>
  </si>
  <si>
    <t xml:space="preserve">Pipa PPR PN 20 Ø 1/2" + Aksesois </t>
  </si>
  <si>
    <t>6.4.3.12</t>
  </si>
  <si>
    <t xml:space="preserve">Pipa PPR PN 20 Ø 3/4" + Aksesois </t>
  </si>
  <si>
    <t>6.4.3.13</t>
  </si>
  <si>
    <t xml:space="preserve">Pipa PPR PN 20 Ø 1" + Aksesois </t>
  </si>
  <si>
    <t>6.4.3.14</t>
  </si>
  <si>
    <t xml:space="preserve">Pipa PPR PN 20 Ø 1-1/4" + Aksesois </t>
  </si>
  <si>
    <t>6.4.3.15</t>
  </si>
  <si>
    <t xml:space="preserve">Pipa PPR PN 20 Ø 1-1/2" + Aksesois </t>
  </si>
  <si>
    <t>6.4.3.16</t>
  </si>
  <si>
    <t xml:space="preserve">Pipa PPR PN 20 Ø 2" + Aksesois </t>
  </si>
  <si>
    <t>6.4.3.17</t>
  </si>
  <si>
    <t xml:space="preserve">Pipa PPR PN 20 Ø 2-1/2" + Aksesois </t>
  </si>
  <si>
    <t>6.4.3.18</t>
  </si>
  <si>
    <t xml:space="preserve">Pipa PPR PN 20 Ø 3" + Aksesois </t>
  </si>
  <si>
    <t>6.4.3.19</t>
  </si>
  <si>
    <t xml:space="preserve">Pipa PPR PN 20 Ø 4" + Aksesois </t>
  </si>
  <si>
    <t>6.4.3.20</t>
  </si>
  <si>
    <t xml:space="preserve">Pipa PPR PN 20 Ø 6" + Aksesois </t>
  </si>
  <si>
    <t>6.4.4</t>
  </si>
  <si>
    <t>Pipa BS (Black Steel)</t>
  </si>
  <si>
    <t>6.4.4.1</t>
  </si>
  <si>
    <t>6.4.4.2</t>
  </si>
  <si>
    <t>6.4.4.3</t>
  </si>
  <si>
    <t>6.4.4.4</t>
  </si>
  <si>
    <t>6.4.4.5</t>
  </si>
  <si>
    <t>6.4.4.6</t>
  </si>
  <si>
    <t>6.4.4.7</t>
  </si>
  <si>
    <t>6.4.4.8</t>
  </si>
  <si>
    <t>6.4.4.9</t>
  </si>
  <si>
    <t>6.4.4.10</t>
  </si>
  <si>
    <t>6.4.4.11</t>
  </si>
  <si>
    <t>6.4.4.12</t>
  </si>
  <si>
    <t>6.4.4.13</t>
  </si>
  <si>
    <t>6.4.4.14</t>
  </si>
  <si>
    <t>6.4.4.15</t>
  </si>
  <si>
    <t>6.4.4.16</t>
  </si>
  <si>
    <t xml:space="preserve">Pipa BS Ø 1-1/2" + Aksesois </t>
  </si>
  <si>
    <t xml:space="preserve">Pipa BS  Ø 3" + Aksesois </t>
  </si>
  <si>
    <t xml:space="preserve">Pipa BS Ø 5" + Aksesois </t>
  </si>
  <si>
    <t xml:space="preserve">Pipa BS Ø 6" + Aksesois </t>
  </si>
  <si>
    <t xml:space="preserve">Pipa BS Ø 8" + Aksesois </t>
  </si>
  <si>
    <t xml:space="preserve">Pipa BS Ø 10" + Aksesois </t>
  </si>
  <si>
    <t xml:space="preserve">Pipa BS Ø 12" + Aksesois </t>
  </si>
  <si>
    <t xml:space="preserve">Pipa BS Ø 14" + Aksesois </t>
  </si>
  <si>
    <t xml:space="preserve">Pipa BS Ø 16" + Aksesois </t>
  </si>
  <si>
    <t xml:space="preserve">Pipa BS Ø 4" + Aksesois </t>
  </si>
  <si>
    <t xml:space="preserve">Pipa BS Ø 1-1/4" + Aksesois </t>
  </si>
  <si>
    <t xml:space="preserve">Pipa BS Ø 1" + Aksesois </t>
  </si>
  <si>
    <t xml:space="preserve">Pipa BS Ø 1/2" + Aksesois </t>
  </si>
  <si>
    <t xml:space="preserve">Pipa BS Ø 2-1/2" + Aksesois </t>
  </si>
  <si>
    <t xml:space="preserve">Pipa BS Ø 2" + Aksesois </t>
  </si>
  <si>
    <t xml:space="preserve">Pipa BS Ø 3/4" + Aksesois </t>
  </si>
  <si>
    <t>6.4.5</t>
  </si>
  <si>
    <t xml:space="preserve">Pipa Tanah </t>
  </si>
  <si>
    <t>6.4.5.1</t>
  </si>
  <si>
    <t>6.4.5.2</t>
  </si>
  <si>
    <t xml:space="preserve">AKSESORIES PIPA </t>
  </si>
  <si>
    <t>6.6.1.1</t>
  </si>
  <si>
    <t xml:space="preserve">Gate Valve (10, 12, 16, 20, 25) K </t>
  </si>
  <si>
    <t>Gate Valve dia. 1/2"</t>
  </si>
  <si>
    <t>Gate Valve dia. 3/4"</t>
  </si>
  <si>
    <t>Pemasangan 1 buah gate velve (10, 16, 20) K, dia. 1" (25 mm)</t>
  </si>
  <si>
    <t>Pemasangan 1 buah gate velve (10, 16) K, dia. 1-1/4" (32 mm)</t>
  </si>
  <si>
    <t>Gate Valve dia. 1-1/4"</t>
  </si>
  <si>
    <t>Pemasangan 1 buah gate velve (10, 16) K, dia. 1-1/2" (40 mm)</t>
  </si>
  <si>
    <t>Gate Valve dia. 1-1/2"</t>
  </si>
  <si>
    <t>Pemasangan 1 buah gate velve (10, 16, 20) K, dia. 2" (50 mm)</t>
  </si>
  <si>
    <t>Gate Valve dia.2"</t>
  </si>
  <si>
    <t>Pemasangan 1 buah gate velve (10, 16, 20)K, dia. 2-1/2" (65 mm)</t>
  </si>
  <si>
    <t>Gate Valve dia.2-1/2"</t>
  </si>
  <si>
    <t>Pemasangan 1 buah gate velve (10, 16, 25) K, dia. 3" (80 mm)</t>
  </si>
  <si>
    <t>Gate Valve dia.3"</t>
  </si>
  <si>
    <t>Pemasangan 1 buah gate velve (10, 16, 25) K, dia. 4" (100 mm)</t>
  </si>
  <si>
    <t>Gate Valve dia.4"</t>
  </si>
  <si>
    <t>Pemasangan 1 buah gate velve (10, 16) K, dia. 5" (125 mm)</t>
  </si>
  <si>
    <t>Pemasangan 1 buah gate velve (10, 12, 16, 25)K, dia. 6" (150 mm)</t>
  </si>
  <si>
    <t>Gate Valve dia.6"</t>
  </si>
  <si>
    <t>Pemasangan 1 buah gate velve (10, 16) K, dia. 8" (200 mm)</t>
  </si>
  <si>
    <t>Gate Valve dia.8"</t>
  </si>
  <si>
    <t>Pemasangan 1 buah gate velve (10, 16) K, dia. 10" (250 mm)</t>
  </si>
  <si>
    <t>Pemasangan 1 buah gate velve (10, 16) K, dia. 12" (300 mm)</t>
  </si>
  <si>
    <t>Gate Valve dia.12"</t>
  </si>
  <si>
    <t>Gate Valve dia.5"</t>
  </si>
  <si>
    <t>Gate Valve dia.10"</t>
  </si>
  <si>
    <t>Gate Valve dia. 1"</t>
  </si>
  <si>
    <t xml:space="preserve">Ball Velve </t>
  </si>
  <si>
    <t>Pemasangan 1 buah ball velve, Dia. 1/2" (15 mm)</t>
  </si>
  <si>
    <t>Ball Velve dia. 1/2"</t>
  </si>
  <si>
    <t>Pemasangan 1 buah ball velve, Dia. 3/4" (20 mm)</t>
  </si>
  <si>
    <t>Ball Velve dia. 3/4"</t>
  </si>
  <si>
    <t>Pemasangan 1 buah ball velve, Dia. 1" (25 mm)</t>
  </si>
  <si>
    <t>Ball Velve dia. 1"</t>
  </si>
  <si>
    <t>Pemasangan 1 buah ball velve, Dia. 1-1/4" (32 mm)</t>
  </si>
  <si>
    <t>Ball Velve dia. 1-1/4"</t>
  </si>
  <si>
    <t>Pemasangan 1 buah ball velve, Dia. 1-1/2" (40 mm)</t>
  </si>
  <si>
    <t>Ball Velve dia. 1-1/2"</t>
  </si>
  <si>
    <t>Pemasangan 1 buah ball velve, Dia.2" (50 mm)</t>
  </si>
  <si>
    <t>Pemasangan 1 buah ball velve, Dia.2-1/2" (65 mm)</t>
  </si>
  <si>
    <t>Pemasangan 1 buah ball velve, Dia.3" (80 mm)</t>
  </si>
  <si>
    <t>Pemasangan 1 buah ball velve, Dia.4" (100 mm)</t>
  </si>
  <si>
    <t>Ball Velve dia. 2"</t>
  </si>
  <si>
    <t>Ball Velve dia. 3"</t>
  </si>
  <si>
    <t>Ball Velve dia. 4"</t>
  </si>
  <si>
    <t>Ball Velve dia. 2-1/2"</t>
  </si>
  <si>
    <t xml:space="preserve">Check Velve </t>
  </si>
  <si>
    <t>Pemasangan 1 buah Check Velve 10 K, Dia. 1/2" (15 mm)</t>
  </si>
  <si>
    <t>Check Velve dia. 1/2"</t>
  </si>
  <si>
    <t>Pemasangan 1 buah Check Velve 10 K, Dia. 3/4" (20 mm)</t>
  </si>
  <si>
    <t>Check Velve dia. 3/4"</t>
  </si>
  <si>
    <t>Pemasangan 1 buah Check Velve 10 K, Dia. 1" (25 mm)</t>
  </si>
  <si>
    <t>Check Velve dia. 1"</t>
  </si>
  <si>
    <t>Pemasangan 1 buah Check Velve 10 K, Dia. 1-1/4" (32 mm)</t>
  </si>
  <si>
    <t>Check Velve dia. 1-1/4"</t>
  </si>
  <si>
    <t>Pemasangan 1 buah Check Velve 10 K, Dia. 1-1/2" (40 mm)</t>
  </si>
  <si>
    <t>Check Velve dia. 1-1/2"</t>
  </si>
  <si>
    <t>Check Velve dia. 2"</t>
  </si>
  <si>
    <t>Check Velve dia. 2-1/2"</t>
  </si>
  <si>
    <t>Check Velve dia. 3"</t>
  </si>
  <si>
    <t>Check Velve dia. 4"</t>
  </si>
  <si>
    <t>Check Velve dia. 5"</t>
  </si>
  <si>
    <t>Check Velve dia. 6"</t>
  </si>
  <si>
    <t>Check Velve dia. 8"</t>
  </si>
  <si>
    <t>Check Velve dia. 10"</t>
  </si>
  <si>
    <t>Check Velve dia. 12"</t>
  </si>
  <si>
    <t>Pemasangan 1 buah Check Velve (10, 16) K, Dia. 2" (50 mm)</t>
  </si>
  <si>
    <t>Pemasangan 1 buah Check Velve (10,16) K, Dia. 2-1/2" (65 mm)</t>
  </si>
  <si>
    <t>Pemasangan 1 buah Check Velve (10,16) K, Dia. 3" (80 mm)</t>
  </si>
  <si>
    <t>Pemasangan 1 buah Check Velve (10,16) K, Dia. 4" (100 mm)</t>
  </si>
  <si>
    <t>Pemasangan 1 buah Check Velve (10, 16) K, Dia. 5" (125 mm)</t>
  </si>
  <si>
    <t>Pemasangan 1 buah Check Velve (10, 16) K, Dia. 6" (150 mm)</t>
  </si>
  <si>
    <t>Pemasangan 1 buah Check Velve (10, 16) K, Dia. 8" (200 mm)</t>
  </si>
  <si>
    <t>Pemasangan 1 buah Check Velve (10,16)  K, Dia. 10" (250 mm)</t>
  </si>
  <si>
    <t>Pemasangan 1 buah Check Velve (10, 16) K, Dia. 12" (300 mm)</t>
  </si>
  <si>
    <t xml:space="preserve">Strainer </t>
  </si>
  <si>
    <t>Pemasangan 1 buah strainer 10 K, Dia. 1/2 " (15 mm)</t>
  </si>
  <si>
    <t>Strainer dia. 1/2"</t>
  </si>
  <si>
    <t>Pemasangan 1 buah strainer 10 K, Dia. 3/4 " (20 mm)</t>
  </si>
  <si>
    <t>Strainer dia. 3/4"</t>
  </si>
  <si>
    <t>Pemasangan 1 buah strainer 10 K, Dia. 1 " (25 mm)</t>
  </si>
  <si>
    <t>Strainer dia. 1"</t>
  </si>
  <si>
    <t>Pemasangan 1 buah strainer 10 K, Dia. 1-1/4 " (32 mm)</t>
  </si>
  <si>
    <t>Pemasangan 1 buah strainer 10 K, Dia. 1-1/2 " (40 mm)</t>
  </si>
  <si>
    <t>Strainer dia. 1-1/2"</t>
  </si>
  <si>
    <t>Strainer dia. 1-1/4"</t>
  </si>
  <si>
    <t>Strainer dia. 2"</t>
  </si>
  <si>
    <t>Strainer dia. 2-1/2"</t>
  </si>
  <si>
    <t>Strainer dia. 3"</t>
  </si>
  <si>
    <t>Strainer dia. 4"</t>
  </si>
  <si>
    <t>Strainer dia. 5"</t>
  </si>
  <si>
    <t>Strainer dia. 6"</t>
  </si>
  <si>
    <t>Strainer dia. 10"</t>
  </si>
  <si>
    <t>Strainer dia. 8"</t>
  </si>
  <si>
    <t>Strainer dia. 12"</t>
  </si>
  <si>
    <t>Pemasangan 1 buah strainer 10 K, Dia. 14" (350 mm)</t>
  </si>
  <si>
    <t>Strainer dia. 14"</t>
  </si>
  <si>
    <t>Pemasangan 1 buah strainer (10, 16) K, Dia. 2 " (50 mm)</t>
  </si>
  <si>
    <t>Pemasangan 1 buah strainer (10, 16) K, Dia. 2-1/2 " (65 mm)</t>
  </si>
  <si>
    <t>Pemasangan 1 buah strainer (10, 16) K, Dia. 3 " (80 mm)</t>
  </si>
  <si>
    <t>Pemasangan 1 buah strainer (10, 16) K, Dia. 4" (100 mm)</t>
  </si>
  <si>
    <t>Pemasangan 1 buah strainer (10, 16) K, Dia. 5" (125 mm)</t>
  </si>
  <si>
    <t>Pemasangan 1 buah strainer (10, 16) K, Dia. 6" (150 mm)</t>
  </si>
  <si>
    <t>Pemasangan 1 buah strainer (10, 16) K, Dia. 8" (200 mm)</t>
  </si>
  <si>
    <t>Pemasangan 1 buah strainer (10, 16) K, Dia. 10" (250 mm)</t>
  </si>
  <si>
    <t>Pemasangan 1 buah strainer (10, 16) K, Dia. 12" (300 mm)</t>
  </si>
  <si>
    <t>Floater Velve</t>
  </si>
  <si>
    <t>Pemasangan 1 buah Floater Velve, Dia 1/2" ( 15 mm)</t>
  </si>
  <si>
    <t>Floater Velve dia. 1/2"</t>
  </si>
  <si>
    <t>Pemasangan 1 buah Floater Velve, Dia 3/4" ( 20 mm)</t>
  </si>
  <si>
    <t>Floater Velve dia. 3/4"</t>
  </si>
  <si>
    <t>Pemasangan 1 buah Floater Velve, Dia 1" ( 25 mm)</t>
  </si>
  <si>
    <t>Floater Velve dia. 1"</t>
  </si>
  <si>
    <t>Pemasangan 1 buah Floater Velve Dia. 1-1/4 " (32 mm)</t>
  </si>
  <si>
    <t>Floater Velve dia. 1-1/4"</t>
  </si>
  <si>
    <t>Pemasangan 1 buah Floater Velve, Dia. 1-1/2 " (40 mm)</t>
  </si>
  <si>
    <t>Floater Velve dia. 1-1/2"</t>
  </si>
  <si>
    <t>Pemasangan 1 buahFloater Velve, Dia. 2 " (50 mm)</t>
  </si>
  <si>
    <t>Floater Velve dia. 2"</t>
  </si>
  <si>
    <t>Pemasangan 1 buah Floater Velve, Dia. 2-1/2 " (65 mm)</t>
  </si>
  <si>
    <t>Floater Velve dia. 2-1/2"</t>
  </si>
  <si>
    <t>Pemasangan 1 buah Floater Velve, Dia. 3 " (80 mm)</t>
  </si>
  <si>
    <t>Floater Velve dia. 3"</t>
  </si>
  <si>
    <t>Pemasangan 1 buah Floater Velve, Dia. 4" (100 mm)</t>
  </si>
  <si>
    <t>Floater Velve dia. 4"</t>
  </si>
  <si>
    <t>Pemasangan 1 buah Floater Velve, Dia. 5" (125 mm)</t>
  </si>
  <si>
    <t>Floater Velve dia. 5"</t>
  </si>
  <si>
    <t>Pemasangan 1 buah Floater Velve, Dia. 6" (150 mm)</t>
  </si>
  <si>
    <t>Floater Velve dia. 6"</t>
  </si>
  <si>
    <t>Pemasangan 1 buah Floater Velve, Dia. 8" (200 mm)</t>
  </si>
  <si>
    <t>Floater Velve dia. 8"</t>
  </si>
  <si>
    <t>Pemasangan 1 buah Floater Velve, Dia. 10" (250 mm)</t>
  </si>
  <si>
    <t>Floater Velve dia. 10"</t>
  </si>
  <si>
    <t>Pemasangan 1 buah Floater Velve, Dia. 12" (300 mm)</t>
  </si>
  <si>
    <t>Floater Velve dia. 12"</t>
  </si>
  <si>
    <t xml:space="preserve">Foot Velve </t>
  </si>
  <si>
    <t>Pemasangan 1 buah Foot Velve, Dia 1/2" ( 15 mm)</t>
  </si>
  <si>
    <t>Foot Velve dia. 1/2"</t>
  </si>
  <si>
    <t>Pemasangan 1 buah Foot Velve, Dia 3/4" ( 20 mm)</t>
  </si>
  <si>
    <t>Foot Velve dia. 3/4"</t>
  </si>
  <si>
    <t>Pemasangan 1 buah Foot Velve, Dia. 1-1/4 " (32 mm)</t>
  </si>
  <si>
    <t>Foot Velve dia. 1-1/4"</t>
  </si>
  <si>
    <t>Foot Velve dia. 1-1/2"</t>
  </si>
  <si>
    <t>Pemasangan 1 buah Foot Velve, Dia. 2 " (50 mm)</t>
  </si>
  <si>
    <t>Foot Velve dia. 2"</t>
  </si>
  <si>
    <t>Pemasangan 1 buah Foot Velve, Dia. 2-1/2 " (65 mm)</t>
  </si>
  <si>
    <t>Foot Velve dia. 2-1/2"</t>
  </si>
  <si>
    <t>Pemasangan 1 buah Foot Velve, Dia. 3 " (80 mm)</t>
  </si>
  <si>
    <t>Foot Velve dia. 3"</t>
  </si>
  <si>
    <t>Pemasangan 1 buah Foot Velve, Dia. 4" (100 mm)</t>
  </si>
  <si>
    <t>Foot Velve dia. 4"</t>
  </si>
  <si>
    <t>Pemasangan 1 buah Foot Velve, Dia. 5" (125 mm)</t>
  </si>
  <si>
    <t>Foot Velve dia. 5"</t>
  </si>
  <si>
    <t>Pemasangan 1 buah Foot Velve, Dia. 6" (150 mm)</t>
  </si>
  <si>
    <t>Foot Velve dia. 6"</t>
  </si>
  <si>
    <t>Foot Velve dia. 8"</t>
  </si>
  <si>
    <t>Pemasangan 1 buah Foot Velve, Dia. 10" (250 mm)</t>
  </si>
  <si>
    <t>Foot Velve dia. 10"</t>
  </si>
  <si>
    <t>Pemasangan 1 buah Foot Velve, Dia. 12" (300 mm)</t>
  </si>
  <si>
    <t>Foot Velve dia. 12"</t>
  </si>
  <si>
    <t>Pemasangan 1 buah Foot Velve, Dia. 14" (350 mm)</t>
  </si>
  <si>
    <t>Foot Velve dia. 14"</t>
  </si>
  <si>
    <t>Foot Velve dia. 1"</t>
  </si>
  <si>
    <t xml:space="preserve">Flexible Joint </t>
  </si>
  <si>
    <t>Pemasangan 1 buah Flexible Joint 10 K, Dia 1/2" ( 15 mm)</t>
  </si>
  <si>
    <t>Pemasangan 1 buah Flexible Joint 10 K, Dia 3/4" ( 20 mm)</t>
  </si>
  <si>
    <t>Flexible Joint dia. 3/4"</t>
  </si>
  <si>
    <t>Pemasangan 1 buah Flexible Joint 10 K, Dia 1" ( 25 mm)</t>
  </si>
  <si>
    <t>Flexible Joint dia. 1"</t>
  </si>
  <si>
    <t>Pemasangan 1 buah Flexible Joint 10 K, Dia. 1-1/4 " (32 mm)</t>
  </si>
  <si>
    <t>Flexible Joint dia. 1-1/4"</t>
  </si>
  <si>
    <t>Pemasangan 1 buah Flexible Joint 10 K, Dia. 1-1/2 " (40 mm)</t>
  </si>
  <si>
    <t>Flexible Joint dia. 1-1/2"</t>
  </si>
  <si>
    <t>Flexible Joint dia. 2"</t>
  </si>
  <si>
    <t>Flexible Joint dia. 2-1/2"</t>
  </si>
  <si>
    <t>Flexible Joint dia. 3"</t>
  </si>
  <si>
    <t>Flexible Joint dia. 4"</t>
  </si>
  <si>
    <t>Flexible Joint dia. 5"</t>
  </si>
  <si>
    <t>Flexible Joint dia. 6"</t>
  </si>
  <si>
    <t>Flexible Joint dia. 8"</t>
  </si>
  <si>
    <t>Flexible Joint dia. 10"</t>
  </si>
  <si>
    <t>Pemasangan 1 buah Flexible Joint 10 K, Dia. 12" (300 mm)</t>
  </si>
  <si>
    <t>Flexible Joint dia. 12"</t>
  </si>
  <si>
    <t>Pemasangan 1 buah Flexible Joint (10, 20) K, Dia. 2 " (50 mm)</t>
  </si>
  <si>
    <t>Pemasangan 1 buah Flexible Joint (10, 20) K, Dia. 2-1/2 " (65 mm)</t>
  </si>
  <si>
    <t>Pemasangan 1 buah Flexible Joint (10, 20) K, Dia. 3 " (80 mm)</t>
  </si>
  <si>
    <t>Pemasangan 1 buah Flexible Joint (10, 20) K, Dia. 4" (100 mm)</t>
  </si>
  <si>
    <t>Pemasangan 1 buah Flexible Joint (10, 20) K, Dia. 5" (125 mm)</t>
  </si>
  <si>
    <t>Pemasangan 1 buah Flexible Joint (10, 20) K, Dia. 6" (150 mm)</t>
  </si>
  <si>
    <t>Pemasangan 1 buah Flexible Joint (10, 20) K, Dia. 8" (200 mm)</t>
  </si>
  <si>
    <t>Pemasangan 1 buah Flexible Joint (10, 20) K, Dia. 10" (250 mm)</t>
  </si>
  <si>
    <t>Pemasangan 1 buah Flexible Joint 20 K, Dia. 12" (300 mm)</t>
  </si>
  <si>
    <t>Pemasangan 1 buah Flexible Joint 20 K, Dia. 14" (350 mm)</t>
  </si>
  <si>
    <t>Flexible Joint dia. 14"</t>
  </si>
  <si>
    <t>Flexible Joint dia. 1/2"</t>
  </si>
  <si>
    <t xml:space="preserve">Butterfly Velve </t>
  </si>
  <si>
    <t>Pemasangan 1 buah Butterfly Velve, Dia. 2" (50 mm)</t>
  </si>
  <si>
    <t>Butterfly Velve dia. 2"</t>
  </si>
  <si>
    <t>Pemasangan 1 buah Butterfly Velve, Dia. 2-1/2 " (65 mm)</t>
  </si>
  <si>
    <t>Butterfly Velve dia. 2-1/2"</t>
  </si>
  <si>
    <t>Pemasangan 1 buah Butterfly Velve, Dia. 3 " (80 mm)</t>
  </si>
  <si>
    <t>Pemasangan 1 buah Butterfly Velve, Dia. 4" (100 mm)</t>
  </si>
  <si>
    <t>Butterfly Velve dia. 4"</t>
  </si>
  <si>
    <t>Pemasangan 1 buah Buttefly Velve, Dia. 5" (125 mm)</t>
  </si>
  <si>
    <t>Butterfly Velve dia. 5"</t>
  </si>
  <si>
    <t>Pemasangan 1 buah Butterfly Velve, Dia. 6" (150 mm)</t>
  </si>
  <si>
    <t>Butterfly Velve dia. 6"</t>
  </si>
  <si>
    <t>Pemasangan 1 buah Butterfly Velve, Dia. 8" (200 mm)</t>
  </si>
  <si>
    <t>Butterfly Velve dia. 8"</t>
  </si>
  <si>
    <t>Pemasangan 1 buah Butterfly Velve, Dia. 10" (250 mm)</t>
  </si>
  <si>
    <t>Butterfly Velve dia. 10"</t>
  </si>
  <si>
    <t>Pemasangan 1 buah Butterfly Velve, Dia. 12" (300 mm)</t>
  </si>
  <si>
    <t>Butterfly Velve dia. 12"</t>
  </si>
  <si>
    <t>Butterfly Velve dia. 3"</t>
  </si>
  <si>
    <t>Globe Velve</t>
  </si>
  <si>
    <t>Pemasangan 1 buah Globe Velve, Dia. 1/2" (15 mm)</t>
  </si>
  <si>
    <t>Globe Velve dia. 1/2"</t>
  </si>
  <si>
    <t>Pemasangan 1 buah Globe Velve, Dia 3/4" ( 20 mm)</t>
  </si>
  <si>
    <t>Globe Velve dia. 3/4"</t>
  </si>
  <si>
    <t>Pemasangan 1 buah Globe Velve, Dia 1" ( 25 mm)</t>
  </si>
  <si>
    <t>Globe Velve dia. 1"</t>
  </si>
  <si>
    <t>Pemasangan 1 buah Globe Velve, Dia. 1-1/4 " (32 mm)</t>
  </si>
  <si>
    <t>Pemasangan 1 buah Globe Velve, Dia. 1-1/2 " (40 mm)</t>
  </si>
  <si>
    <t>Globe Velve dia. 1-1/2"</t>
  </si>
  <si>
    <t>Pemasangan 1 buah Globe Velve, Dia. 2 " (50 mm)</t>
  </si>
  <si>
    <t>Globe Velve dia. 2"</t>
  </si>
  <si>
    <t>Pemasangan 1 buah Globe Velve, Dia. 2-1/2 " (65 mm)</t>
  </si>
  <si>
    <t>Globe Velve dia. 2-1/2"</t>
  </si>
  <si>
    <t>Pemasangan 1 buah Globe Velve, Dia. 3 " (80 mm)</t>
  </si>
  <si>
    <t>Globe Velve dia. 3"</t>
  </si>
  <si>
    <t>Globe Velve dia. 4"</t>
  </si>
  <si>
    <t>Pemasangan 1 buah Globe Velve, Dia. 6" (150 mm)</t>
  </si>
  <si>
    <t>Globe Velve dia. 6"</t>
  </si>
  <si>
    <t>Globe Velve dia. 8"</t>
  </si>
  <si>
    <t>Globe Velve dia. 1-1/4"</t>
  </si>
  <si>
    <t>Globe Velve dia. 5"</t>
  </si>
  <si>
    <t xml:space="preserve">Pressure Gauge </t>
  </si>
  <si>
    <t>Pressure Gauge Dia. 1/2"</t>
  </si>
  <si>
    <t>Pressure Gauge dia. 1"</t>
  </si>
  <si>
    <t>Pemasangan 1 buah Pressure Gauge + Gate Valve, Dia. 3 " (80 mm)</t>
  </si>
  <si>
    <t>Pemasangan 1 buah Globe Velve, Dia. 8" (200 mm)</t>
  </si>
  <si>
    <t>Pemasangan 1 buah Pressure Gauge (16, 25) K + Gate Valve, Dia. 2 " (50 mm)</t>
  </si>
  <si>
    <t>Pemasangan 1 buah Pressure Gauge 16 K + Gate Vave, Dia. 4" (100 mm)</t>
  </si>
  <si>
    <t>Pemasangan 1 buah Pressure Gauge 25 K +Gate Valve, Dia. 4" (100 mm)</t>
  </si>
  <si>
    <t>Pemasangan 1 buah Pressure Gauge 25 K + Gate Valve, Dia. 3" (80 mm)</t>
  </si>
  <si>
    <t>Pemasangan 1 buah Pressure Gauge (16,25, 40) K + Gate Velve, Dia. 1/2" (15 mm)</t>
  </si>
  <si>
    <t>Pemasangan 1 buah Pressure Gauge (16, 25, 40) K + Gate Valve, Dia 1" ( 25 mm)</t>
  </si>
  <si>
    <t>Pressure Gauge dia. 1/2"</t>
  </si>
  <si>
    <t>Pressure Gauge dia. 2"</t>
  </si>
  <si>
    <t>Pressure Gauge dia. 2-1/2"</t>
  </si>
  <si>
    <t>Pressure Gauge dia. 3"</t>
  </si>
  <si>
    <t>Pressure Gauge dia. 4"</t>
  </si>
  <si>
    <t>Water Meter</t>
  </si>
  <si>
    <t>Pemasangan 1 buah Water Meter, Dia. 1/2" (15 mm)</t>
  </si>
  <si>
    <t>Water Meter dia. 1/2"</t>
  </si>
  <si>
    <t>Bh</t>
  </si>
  <si>
    <t>Pemasangan 1 buah Water Meter, Dia 1" ( 25 mm)</t>
  </si>
  <si>
    <t>Pemasangan 1 buah Water Meter, Dia. 3/4" (20 mm)</t>
  </si>
  <si>
    <t>Water Meter dia. 3/4"</t>
  </si>
  <si>
    <t>Water Meter dia. 1"</t>
  </si>
  <si>
    <t>Pemasangan 1 buah Water Meter, Dia. 2 " (50 mm)</t>
  </si>
  <si>
    <t>Pemasangan 1 buah Water Meter, Dia 1-1/2" ( 40 mm)</t>
  </si>
  <si>
    <t>Water Meter dia. 1-1/2"</t>
  </si>
  <si>
    <t>Water Meter dia. 2"</t>
  </si>
  <si>
    <t>Pemasangan 1 buah Water Meter, Dia. 3 " (80 mm)</t>
  </si>
  <si>
    <t>Water Meter dia. 3"</t>
  </si>
  <si>
    <t>Pemasangan 1 buah Water Meter, Dia. 4" (100 mm)</t>
  </si>
  <si>
    <t>BH</t>
  </si>
  <si>
    <t>Water Meter dia. 4"</t>
  </si>
  <si>
    <t>Pemasangan 1 buah Water Meter, Dia. 6" (150 mm)</t>
  </si>
  <si>
    <t>Water Meter dia. 6"</t>
  </si>
  <si>
    <t>Pemasangan 1 buah Water Meter, Dia. 8" (200 mm)</t>
  </si>
  <si>
    <t>Water Meter dia. 8"</t>
  </si>
  <si>
    <t>Pemasangan 1 buah Water Meter, Dia. 10" (250 mm)</t>
  </si>
  <si>
    <t>Water Meter dia. 10"</t>
  </si>
  <si>
    <t>Pemasangan 1 buah Water Meter, Dia. 12" (300 mm)</t>
  </si>
  <si>
    <t>Water Meter dia. 12"</t>
  </si>
  <si>
    <t>Pemasangan 1 buah Water Meter, Dia. 16" (400 mm)</t>
  </si>
  <si>
    <t>Water Meter dia. 16"</t>
  </si>
  <si>
    <t xml:space="preserve">Bh </t>
  </si>
  <si>
    <t>Pemasangan 1 buah Flow Meter Analog 10 K, Dia. 4" (100 mm)</t>
  </si>
  <si>
    <t>Flow Meter Analog dia.4"</t>
  </si>
  <si>
    <t xml:space="preserve">Clean Out </t>
  </si>
  <si>
    <t>Pemasangan 1 buah Clean Out, Dia. 2" (50 mm)</t>
  </si>
  <si>
    <t>Clean Out dia. 2"</t>
  </si>
  <si>
    <t>Pemasangan 1 buah Clean Out, Dia. 2-1/2" (65 mm)</t>
  </si>
  <si>
    <t>Clean Out dia. 2-1/2"</t>
  </si>
  <si>
    <t>Pemasangan 1 buah Clean Out, Dia. 3" (80 mm)</t>
  </si>
  <si>
    <t>Clean Out dia. 3"</t>
  </si>
  <si>
    <t>Clean Out dia. 4"</t>
  </si>
  <si>
    <t>Clean Out dia. 6"</t>
  </si>
  <si>
    <t>Pemasangan 1 buah Clean Out, Dia. 4" (100 mm)</t>
  </si>
  <si>
    <t>Pemasangan 1 buah Clean Out, Dia. 5" (125 mm)</t>
  </si>
  <si>
    <t>Clean Out dia. 5"</t>
  </si>
  <si>
    <t>Pemasangan 1 buah Clean Out, Dia. 6" (150 mm)</t>
  </si>
  <si>
    <t>Pemasangan 1 buah Clean Out, Dia. 8" (200 mm)</t>
  </si>
  <si>
    <t>Clean Out dia. 8"</t>
  </si>
  <si>
    <t xml:space="preserve">Roof Drain </t>
  </si>
  <si>
    <t>Pemasangan 1 buahRoof Drain, Dia. 2" (50 mm)</t>
  </si>
  <si>
    <t>Roof Drain dia. 2"</t>
  </si>
  <si>
    <t>Pemasangan 1 buahRoof Drain, Dia. 2-1/2" (65 mm)</t>
  </si>
  <si>
    <t>Roof Drain dia. 2-1/2"</t>
  </si>
  <si>
    <t>Roof Drain dia. 3"</t>
  </si>
  <si>
    <t>Roof Drain dia. 4"</t>
  </si>
  <si>
    <t>Pemasangan 1 buahRoof Drain, Dia. 3" (80 mm)</t>
  </si>
  <si>
    <t>Pemasangan 1 buahRoof Drain, Dia. 4" (100 mm)</t>
  </si>
  <si>
    <t>Pemasangan 1 buahRoof Drain, Dia. 5" (125 mm)</t>
  </si>
  <si>
    <t>Roof Drain dia. 5"</t>
  </si>
  <si>
    <t>Pemasangan 1 buahRoof Drain, Dia. 6" (150 mm)</t>
  </si>
  <si>
    <t>Roof Drain dia. 6"</t>
  </si>
  <si>
    <t>Roof Drain dia. 8"</t>
  </si>
  <si>
    <t>Pemasangan 1 buahRoof Drain, Dia. 10" (200 mm)</t>
  </si>
  <si>
    <t>Pemasangan 1 buahRoof Drain, Dia. 8" (200 mm)</t>
  </si>
  <si>
    <t>Roof Drain dia. 10"</t>
  </si>
  <si>
    <t>Pemasangan 1 buahRoof Drain, Dia. 12" (300 mm)</t>
  </si>
  <si>
    <t>Roof Drain dia. 12"</t>
  </si>
  <si>
    <t>Floor Clean Out (fCO)</t>
  </si>
  <si>
    <t>Pemasangan 1 buah Floor Clean Out, Dia. 2" (50 mm)</t>
  </si>
  <si>
    <t>Floor Clean Out dia. 2"</t>
  </si>
  <si>
    <t>Pemasangan 1 buah Floor Clean Out, Dia. 2-1/2" (65 mm)</t>
  </si>
  <si>
    <t>Floor Clean Out dia. 2-1/2"</t>
  </si>
  <si>
    <t>Pemasangan 1 buah Floor Clean Out, Dia. 3" (80 mm)</t>
  </si>
  <si>
    <t>Floor Clean Out dia. 3"</t>
  </si>
  <si>
    <t>Pemasangan 1 buah Floor Clean Out, Dia. 4" (100 mm)</t>
  </si>
  <si>
    <t>Floor Clean Out dia. 4"</t>
  </si>
  <si>
    <t>Pemasangan 1 buah Floor Clean Out, Dia. 6" (150 mm)</t>
  </si>
  <si>
    <t>Floor Clean Out dia. 6"</t>
  </si>
  <si>
    <t>Pemasangan 1 buah Floor Clean Out, Dia. 8" (200 mm)</t>
  </si>
  <si>
    <t>Floor Clean Out dia. 8"</t>
  </si>
  <si>
    <t xml:space="preserve">Vent Cap </t>
  </si>
  <si>
    <t>Vent Cap dia. 2"</t>
  </si>
  <si>
    <t>Pemasangan 1 buah Vent Cap, Dia 2" (50 mm)</t>
  </si>
  <si>
    <t>Pemasangan 1 buah Vent Cap, Dia 3" (80 mm)</t>
  </si>
  <si>
    <t>Vent Cap dia. 3"</t>
  </si>
  <si>
    <t>Pemasangan 1 buah Vent Cap, Dia 4" (100 mm)</t>
  </si>
  <si>
    <t>Vent Cap dia. 4"</t>
  </si>
  <si>
    <t>Pressure Recude Velve (PRV)</t>
  </si>
  <si>
    <t>Pemasangan 1 buah PRV, Dia 2" (50 mm)</t>
  </si>
  <si>
    <t>Pemasangan 1 buah PRV, Dia 2-1/2" (65 mm)</t>
  </si>
  <si>
    <t>Pemasangan 1 buah PRV Dia 3" (80 mm)</t>
  </si>
  <si>
    <t>Pemasangan 1 buah PRV Dia 4" (100 mm)</t>
  </si>
  <si>
    <t>Pemasangan 1 buah PRV Dia 6" (150 mm)</t>
  </si>
  <si>
    <t>Pemasangan 1 buah PRV Dia 8" (200 mm)</t>
  </si>
  <si>
    <t>PRV set dia. 2"</t>
  </si>
  <si>
    <t>PRV set dia. 2-1/2"</t>
  </si>
  <si>
    <t>PRV Set dia. 3"</t>
  </si>
  <si>
    <t>PRV Set dia. 2"</t>
  </si>
  <si>
    <t>PRV Set dia. 2-1/2"</t>
  </si>
  <si>
    <t>PRV Set dia. 6"</t>
  </si>
  <si>
    <t>PRV set dia. 4"</t>
  </si>
  <si>
    <t>PRV set dia. 6"</t>
  </si>
  <si>
    <t>PRV set dia. 8"</t>
  </si>
  <si>
    <t>PRV Set dia. 8"</t>
  </si>
  <si>
    <t>Automatic Air Vent (AAV)</t>
  </si>
  <si>
    <t>Pemasangan 1 buah Automatic Air Vent, Dia. 1/2" (15 mm)</t>
  </si>
  <si>
    <t>AAV dia. 1/2"</t>
  </si>
  <si>
    <t>Pemasangan 1 buah Automatic Air Vent, Dia. 1" (25 mm)</t>
  </si>
  <si>
    <t>Pemasangan 1 buah Automatic Air Vent, Dia. 2" (50 mm)</t>
  </si>
  <si>
    <t>AAV dia. 2"</t>
  </si>
  <si>
    <t>Pemasangan 1 buah Automatic Air Vent, Dia. 4" (100 mm)</t>
  </si>
  <si>
    <t>Pemasangan 1 buah Automatic Air Vent, Dia. 3" (80 mm)</t>
  </si>
  <si>
    <t>AAV dia. 3"</t>
  </si>
  <si>
    <t>AAV dia. 4"</t>
  </si>
  <si>
    <t>AAV dia. 6"</t>
  </si>
  <si>
    <t>Pemasangan 1 buah Automatic Air Vent, Dia. 6" (150 mm)</t>
  </si>
  <si>
    <t>AAV dia.1"</t>
  </si>
  <si>
    <t xml:space="preserve">Vent Out </t>
  </si>
  <si>
    <t>Pemasangan 1 buah Vent Out, Dia. 2" (50 mm)</t>
  </si>
  <si>
    <t>Vent Out dia. 2"</t>
  </si>
  <si>
    <t xml:space="preserve">Water Level Control (WLC) &amp; Pengkabelan </t>
  </si>
  <si>
    <t>Pemasangan 1 buah Vent OutWLC &amp; Pengkabelan</t>
  </si>
  <si>
    <t xml:space="preserve">WLC dan Pengkabelan </t>
  </si>
  <si>
    <t xml:space="preserve">Pressure Switch </t>
  </si>
  <si>
    <t xml:space="preserve">Pemasangan 1 buah Pressure Switch </t>
  </si>
  <si>
    <t xml:space="preserve">Header Pipa PVC </t>
  </si>
  <si>
    <t>Pemasangan 1 m Header Pipa PVC AW, Dia. 4" ( 100 mm)</t>
  </si>
  <si>
    <t>Header Pipa PVC AW Dia. 4"</t>
  </si>
  <si>
    <t xml:space="preserve">Header Pipa Galvanis MED Class </t>
  </si>
  <si>
    <t>Pemasangan 1 m Header Pipa Galvanis Medd Class, Dia. 4" ( 100 mm)</t>
  </si>
  <si>
    <t>Header Pipa Galvanis MED Class Dia. 4"</t>
  </si>
  <si>
    <t>Header Pipa Black Steel (BS)</t>
  </si>
  <si>
    <t>Pemasangan 1 m Header Pipa BS SCH 40, Dia. 8" ( 200 mm)</t>
  </si>
  <si>
    <t>Header Pipa BS SCH 40 Dia. 8"</t>
  </si>
  <si>
    <t>Pemasangan 1 m Header Pipa BS SCH 40, Dia. 10" ( 250 mm)</t>
  </si>
  <si>
    <t>Header Pipa BS SCH 40 Dia. 10"</t>
  </si>
  <si>
    <t xml:space="preserve">Dop PVC </t>
  </si>
  <si>
    <t>Pemasangan 1 buah DOP PVC dia. 3" (80 mm)</t>
  </si>
  <si>
    <t>Dop PVC dia. 3"</t>
  </si>
  <si>
    <t>Pemasangan 1 buah DOP PVC dia. 4" (100 mm)</t>
  </si>
  <si>
    <t>Dop PVC dia. 4"</t>
  </si>
  <si>
    <t>Pemasangan 1 buah DOP PVC dia. 6" (150 mm)</t>
  </si>
  <si>
    <t>Dop PVC dia. 6"</t>
  </si>
  <si>
    <t xml:space="preserve">SISTEM AIR HUJAN </t>
  </si>
  <si>
    <t xml:space="preserve">6.6.1 </t>
  </si>
  <si>
    <t xml:space="preserve">Sumur Resapan </t>
  </si>
  <si>
    <t xml:space="preserve">Pembuatan 1 buah sumur Resapan Air Hujan diameter 80 cm, t=100 cm </t>
  </si>
  <si>
    <t>kerikil</t>
  </si>
  <si>
    <t>7.1</t>
  </si>
  <si>
    <t>7.1.1</t>
  </si>
  <si>
    <t xml:space="preserve">Pemasangan Paving Block </t>
  </si>
  <si>
    <t>7.1.1.1</t>
  </si>
  <si>
    <t xml:space="preserve">Pemasangan 1 m2 Paving Block (Blok Beton) Natural Tebal 6 cm fc'20 Mpa dan Pengunci Uskup untuk Jalan Lingkungan (Jalan Lokal) Secara Manual </t>
  </si>
  <si>
    <t xml:space="preserve">Pasir Filler </t>
  </si>
  <si>
    <t>Paving Block Tebal 6 cm fc 20 Mpa</t>
  </si>
  <si>
    <t>7.1.1.2</t>
  </si>
  <si>
    <t xml:space="preserve">Pemasangan 1 m2 Paving Block (Blok Beton) Natural Tebal 6 cm fc'25 Mpa dan Pengunci Uskup untuk Jalan Lakses/Penghubug (Jalan Kolektor) Secara Manual </t>
  </si>
  <si>
    <t>Paving Block Tebal 6 cm fc 25 Mpa</t>
  </si>
  <si>
    <t>7.1.1.3</t>
  </si>
  <si>
    <t xml:space="preserve">Pemasangan 1 m2 Paving Block (Blok Beton) Natural Tebal 6 cm fc'20 Mpa dan Pengunci Uskup untuk Jalan Lingkungan (Jalan Lokal) Secara semi mekanis </t>
  </si>
  <si>
    <t xml:space="preserve">Stamper Kodok 150 kg </t>
  </si>
  <si>
    <t xml:space="preserve">Hari </t>
  </si>
  <si>
    <t>7.1.1.4</t>
  </si>
  <si>
    <t xml:space="preserve">Pemasangan 1 m2 Paving Block (Blok Beton) Natural Tebal 6 cm fc'25 Mpa dan Pengunci Uskup untuk Jalan Lingkungan (Jalan Lokal) Secara semi mekanis </t>
  </si>
  <si>
    <t>7.1.1.5</t>
  </si>
  <si>
    <t>Pemasangan 1 m2 Paving Block (Blok Beton) Natural Tebal 8 cm fc'20 Mpa dan Pengunci Topi Uskup untuk Jalan Lingkungan (Jalan Lokal) Secara manual</t>
  </si>
  <si>
    <t>Paving Block Tebal 8 cm fc 20 Mpa</t>
  </si>
  <si>
    <t>7.1.1.6</t>
  </si>
  <si>
    <t>Pemasangan 1 m2 Paving Block (Blok Beton) Natural Tebal 8 cm fc'25 Mpa dan Pengunci Topi Uskup untuk Jalan akses/penghubung (Jalan kolektor) Secara manual</t>
  </si>
  <si>
    <t>Paving Block Tebal 8 cm fc 25 Mpa</t>
  </si>
  <si>
    <t>7.1.1.7</t>
  </si>
  <si>
    <t xml:space="preserve">Pemasangan 1 m2 Paving Block (Blok Beton) Natural Tebal 8 cm fc'20 Mpa dan Pengunci Topi Uskup untuk Jalan Lingkungan (Jalan Lokal) Secara semi mekanis </t>
  </si>
  <si>
    <t>7.1.1.8</t>
  </si>
  <si>
    <t xml:space="preserve">Pemasangan 1 m2 Paving Block (Blok Beton) Natural Tebal 8 cm fc'25 Mpa dan Pengunci Topi Uskup untuk Jalan Akses/Penghubung  (Jalan Kolektor) Secara semi mekanis </t>
  </si>
  <si>
    <t>7.1.2</t>
  </si>
  <si>
    <t>7.1.2.1</t>
  </si>
  <si>
    <t>Pemasangan Kanstin</t>
  </si>
  <si>
    <t>Pemasangan 1 m' Kanstin, Tebal 10x20x40 cm dengan kupingan untuk jalan Lingkungan (Jalan Lokal)</t>
  </si>
  <si>
    <t>Kanstin uk. 10x20x40</t>
  </si>
  <si>
    <t>7.1.2.2</t>
  </si>
  <si>
    <t>Pemasangan 1 m' Kanstin, Tebal 15x40x460 cm dengan kupingan untuk jalan Akses/penghubung (Jalan Kolektor)</t>
  </si>
  <si>
    <t>Kanstin uk. 15x40x60</t>
  </si>
  <si>
    <t>Pemasangan 1 m' Kanstin, Tebal 10x20x40 cm tanpa kupingan untuk jalan Lingkungan (Jalan Lokal)</t>
  </si>
  <si>
    <t>Pemasangan 1 m' Kanstin, Tebal 15x40x460 cm Tanpa kupingan untuk jalan Akses/penghubung (Jalan Kolektor)</t>
  </si>
  <si>
    <t>7.1.2.4</t>
  </si>
  <si>
    <t xml:space="preserve">JALAN BETON </t>
  </si>
  <si>
    <t>7.2.1</t>
  </si>
  <si>
    <t xml:space="preserve">Pembuatan Beton Kurus </t>
  </si>
  <si>
    <t>7.2.1.1</t>
  </si>
  <si>
    <t xml:space="preserve">1 m3 Beton Kurus fc 10 Mpa untuk Jalan Lingkungan (Jalan Lokal) Semi Mekanis </t>
  </si>
  <si>
    <t xml:space="preserve">Agregar Kasar </t>
  </si>
  <si>
    <t xml:space="preserve">Tandon Air kap. 2 m3 </t>
  </si>
  <si>
    <t>7.2.1.2</t>
  </si>
  <si>
    <t xml:space="preserve">1 m3 Beton Kurus fc 10 Mpa untuk Jalan Akses/Penghubung (Jalan Kolektor) Semi Mekanis </t>
  </si>
  <si>
    <t>7.2.1.3</t>
  </si>
  <si>
    <t>1 m3 Beton Kurus fc 10 Mpa untuk JalanLingkungan (Jalan Lokal) Ready Mixed</t>
  </si>
  <si>
    <t>m3`</t>
  </si>
  <si>
    <t>1 m3 Beton Kurus fc 10 Mpa untuk Jalan Akses / penghubung  (Jalan Kolektor) Ready Mixed</t>
  </si>
  <si>
    <t>7.2.1.4</t>
  </si>
  <si>
    <t>7.2.2</t>
  </si>
  <si>
    <t xml:space="preserve">Pembuatan Perkerasan Beton </t>
  </si>
  <si>
    <t>7.2.2.1</t>
  </si>
  <si>
    <t xml:space="preserve">1 m3Perkerasan Beton Sc 3,5 Mpa (Setara Fc 25 Mpa) untuk Jalan Lingkungan (Jalan Lokal) Semi Mekanis </t>
  </si>
  <si>
    <t>Semen PortlanD (PC)</t>
  </si>
  <si>
    <t xml:space="preserve">Kg </t>
  </si>
  <si>
    <t>Joint Sealant</t>
  </si>
  <si>
    <t>Curing Compound</t>
  </si>
  <si>
    <t xml:space="preserve">Tandon Air Kap. 2 m3 </t>
  </si>
  <si>
    <t>Polytene 125 Mikron</t>
  </si>
  <si>
    <t xml:space="preserve">Zat Aditif </t>
  </si>
  <si>
    <t>7.2.2.2</t>
  </si>
  <si>
    <t xml:space="preserve">1 m3 Perkerasan Beton Sc 3,8 Mpa (Setara Fc 30 Mpa) untuk Jalan Akses/Penghubung (Jalan Kolektor) Semi Mekanis </t>
  </si>
  <si>
    <t>Dowel dia. 25 mm (BjTs)</t>
  </si>
  <si>
    <t>Tie Bar Dia. 16 mm (BjTS)</t>
  </si>
  <si>
    <t>7.2.2.3</t>
  </si>
  <si>
    <t xml:space="preserve">1 m3 Perkerasan Beton Sc 3,5 Mpa (Setara Fc 25 Mpa) untuk Jalan Lingkungan (Jalan Lokal) Ready Mixed </t>
  </si>
  <si>
    <t>7.2.2.4</t>
  </si>
  <si>
    <t xml:space="preserve">1 m3 Perkerasan Beton Sc 3,8 Mpa (Setara Fc 30 Mpa) untuk Jalan Akses/Penghubung (Jalan Jalan Kolektor) Ready Mixed </t>
  </si>
  <si>
    <t>Dowel Dia. 25 mm (BjTS)</t>
  </si>
  <si>
    <t>Tie Bar dia. 16 mm (BjTS)</t>
  </si>
  <si>
    <t xml:space="preserve">7.3 </t>
  </si>
  <si>
    <t xml:space="preserve">Jalan Aspal </t>
  </si>
  <si>
    <t>7.3.1</t>
  </si>
  <si>
    <t>1 Ton Pekerjaan Lapisan Antara (AC-BC)</t>
  </si>
  <si>
    <t xml:space="preserve">Asphalt Finisher </t>
  </si>
  <si>
    <t xml:space="preserve">P. Tyre Roller </t>
  </si>
  <si>
    <t>Lolos screen 2 ukuran 0-5</t>
  </si>
  <si>
    <t>Lolos screen 2 ukuran 9,5-19,0</t>
  </si>
  <si>
    <t xml:space="preserve">AMP </t>
  </si>
  <si>
    <t>1 Ton Pekerjaan Lapisan Aus (AC-WC)</t>
  </si>
  <si>
    <t>DRAINASE</t>
  </si>
  <si>
    <t xml:space="preserve">Drainase U-Ditch </t>
  </si>
  <si>
    <t>8.1.1</t>
  </si>
  <si>
    <t xml:space="preserve">Saluran U-Ditch dengan Lantai Kerja 10 Mpa </t>
  </si>
  <si>
    <t>Lantai Kerja fc 10 Mpa</t>
  </si>
  <si>
    <t>Urukan Pasir Uruk</t>
  </si>
  <si>
    <t xml:space="preserve">U-Ditch 30x30x120 cm </t>
  </si>
  <si>
    <t>Buah</t>
  </si>
  <si>
    <t>8.1.1.1</t>
  </si>
  <si>
    <t xml:space="preserve">1 m' Saluran U-Ditch 30x30x120 cm dengan lantai kerja fc 10 Mpa </t>
  </si>
  <si>
    <t>8.1.1.2</t>
  </si>
  <si>
    <t xml:space="preserve">1 m Saluran U-Ditch 30x40x120 cm dengan lantai kerja fc 10 Mpa </t>
  </si>
  <si>
    <t xml:space="preserve">U-Ditch 30x40x120 cm </t>
  </si>
  <si>
    <t>8.1.1.3</t>
  </si>
  <si>
    <t xml:space="preserve">1 m Saluran U-Ditch 40x40x120 cm dengan lantai kerja fc 10 Mpa </t>
  </si>
  <si>
    <t xml:space="preserve">U-Ditch 40x40x120 cm </t>
  </si>
  <si>
    <t>8.1.1.4</t>
  </si>
  <si>
    <t xml:space="preserve">U-Ditch 40x50x120 cm </t>
  </si>
  <si>
    <t xml:space="preserve">1 m Saluran U-Ditch 50x50x120 cm dengan lantai kerja fc 10 Mpa </t>
  </si>
  <si>
    <t>8.1.1.5</t>
  </si>
  <si>
    <t xml:space="preserve">1 m Saluran U-Ditch 40x60x120 cm dengan lantai kerja fc 10 Mpa </t>
  </si>
  <si>
    <t xml:space="preserve">U-Ditch 40x60x120 cm </t>
  </si>
  <si>
    <t>8.1.1.6</t>
  </si>
  <si>
    <t xml:space="preserve">U-Ditch 50x50x120 cm </t>
  </si>
  <si>
    <t>8.1.1.7</t>
  </si>
  <si>
    <t xml:space="preserve">1 m Saluran U-Ditch 50x60x120 cm dengan lantai kerja fc 10 Mpa </t>
  </si>
  <si>
    <t xml:space="preserve">U-Ditch 50x60x120 cm </t>
  </si>
  <si>
    <t>8.1.1.8</t>
  </si>
  <si>
    <t xml:space="preserve">1 m Saluran U-Ditch 50x70x120 cm dengan lantai kerja fc 10 Mpa </t>
  </si>
  <si>
    <t xml:space="preserve">U-Ditch 50x70x120 cm </t>
  </si>
  <si>
    <t>8.1.1.9</t>
  </si>
  <si>
    <t xml:space="preserve">1 m Saluran U-Ditch 60x60x120 cm dengan lantai kerja fc 10 Mpa </t>
  </si>
  <si>
    <t xml:space="preserve">U-Ditch 60x60x120 cm </t>
  </si>
  <si>
    <t>8.1.1.10</t>
  </si>
  <si>
    <t xml:space="preserve">1 m Saluran U-Ditch 60x70x120 cm dengan lantai kerja fc 10 Mpa </t>
  </si>
  <si>
    <t xml:space="preserve">U-Ditch 60x70x120 cm </t>
  </si>
  <si>
    <t>8.1.1.11</t>
  </si>
  <si>
    <t xml:space="preserve">1 m Saluran U-Ditch 60x80x120 cm dengan lantai kerja fc 10 Mpa </t>
  </si>
  <si>
    <t xml:space="preserve">U-Ditch 60x80x120 cm </t>
  </si>
  <si>
    <t>8.1.1.12</t>
  </si>
  <si>
    <t xml:space="preserve">1 m Saluran U-Ditch 80x60x120 cm dengan lantai kerja fc 10 Mpa </t>
  </si>
  <si>
    <t xml:space="preserve">U-Ditch 80x60x120 cm </t>
  </si>
  <si>
    <t>8.1.1.13</t>
  </si>
  <si>
    <t xml:space="preserve">1 m Saluran U-Ditch 80x80x120 cm dengan lantai kerja fc 10 Mpa </t>
  </si>
  <si>
    <t xml:space="preserve">U-Ditch 80x80x120 cm </t>
  </si>
  <si>
    <t>8.1.1.14</t>
  </si>
  <si>
    <t xml:space="preserve">1 m Saluran U-Ditch 80x100x120 cm dengan lantai kerja fc 10 Mpa </t>
  </si>
  <si>
    <t xml:space="preserve">U-Ditch 80x100x120 cm </t>
  </si>
  <si>
    <t>8.1.1.15</t>
  </si>
  <si>
    <t xml:space="preserve">1 m Saluran U-Ditch 100x100x120 cm dengan lantai kerja fc 10 Mpa </t>
  </si>
  <si>
    <t xml:space="preserve">U-Ditch 100x100x120 cm </t>
  </si>
  <si>
    <t>8.1.1.16</t>
  </si>
  <si>
    <t xml:space="preserve">1 m Saluran U-Ditch 100x120x120 cm dengan lantai kerja fc 10 Mpa </t>
  </si>
  <si>
    <t xml:space="preserve">U-Ditch 100x120x120 cm </t>
  </si>
  <si>
    <t xml:space="preserve">1 m Saluran U-Ditch 120x120x120 cm dengan lantai kerja fc 10 Mpa </t>
  </si>
  <si>
    <t xml:space="preserve">U-Ditch 120x120x120 cm </t>
  </si>
  <si>
    <t>8.1.1.18</t>
  </si>
  <si>
    <t>8.1.1.17</t>
  </si>
  <si>
    <t xml:space="preserve">1 m Saluran U-Ditch 120x140x120 cm dengan lantai kerja fc 10 Mpa </t>
  </si>
  <si>
    <t xml:space="preserve">U-Ditch 120x140x120 cm </t>
  </si>
  <si>
    <t>8.1.1.19</t>
  </si>
  <si>
    <t xml:space="preserve">1 m Saluran U-Ditch 140x140x120 cm dengan lantai kerja fc 10 Mpa </t>
  </si>
  <si>
    <t xml:space="preserve">U-Ditch 140x140x120 cm </t>
  </si>
  <si>
    <t>8.1.1.20</t>
  </si>
  <si>
    <t xml:space="preserve">1 m Saluran U-Ditch 150x100x120 cm dengan lantai kerja fc 10 Mpa </t>
  </si>
  <si>
    <t xml:space="preserve">U-Ditch 150x100x120 cm </t>
  </si>
  <si>
    <t>8.1.1.21</t>
  </si>
  <si>
    <t xml:space="preserve">1 m Saluran U-Ditch 150x150x120 cm dengan lantai kerja fc 10 Mpa </t>
  </si>
  <si>
    <t xml:space="preserve">U-Ditch 150x150x120 cm </t>
  </si>
  <si>
    <t>8.1.1.22</t>
  </si>
  <si>
    <t xml:space="preserve">1 m Saluran U-Ditch 150x170x120 cm dengan lantai kerja fc 10 Mpa </t>
  </si>
  <si>
    <t xml:space="preserve">U-Ditch 150x170x120 cm </t>
  </si>
  <si>
    <t>8.1.1.23</t>
  </si>
  <si>
    <t xml:space="preserve">1 m Saluran U-Ditch 160x160x120 cm dengan lantai kerja fc 10 Mpa </t>
  </si>
  <si>
    <t xml:space="preserve">U-Ditch 160x160x120 cm </t>
  </si>
  <si>
    <t>8.1.1.24</t>
  </si>
  <si>
    <t xml:space="preserve">1 m Saluran U-Ditch 160x180x120 cm dengan lantai kerja fc 10 Mpa </t>
  </si>
  <si>
    <t xml:space="preserve">U-Ditch 160x180x120 cm </t>
  </si>
  <si>
    <t>8.1.1.25</t>
  </si>
  <si>
    <t xml:space="preserve">1 m Saluran U-Ditch 180x180x120 cm dengan lantai kerja fc 10 Mpa </t>
  </si>
  <si>
    <t xml:space="preserve">U-Ditch 180x180x120 cm </t>
  </si>
  <si>
    <t>8.1.1.26</t>
  </si>
  <si>
    <t xml:space="preserve">1 m Saluran U-Ditch 180x200x120 cm dengan lantai kerja fc 10 Mpa </t>
  </si>
  <si>
    <t xml:space="preserve">U-Ditch 180x200x120 cm </t>
  </si>
  <si>
    <t>8.1.1.27</t>
  </si>
  <si>
    <t xml:space="preserve">1 m Saluran U-Ditch 200x200x120 cm dengan lantai kerja fc 10 Mpa </t>
  </si>
  <si>
    <t xml:space="preserve">U-Ditch 200x200x120 cm </t>
  </si>
  <si>
    <t>8.1.2</t>
  </si>
  <si>
    <t xml:space="preserve">Saluran U-Ditch dengan Lantai Kerja 7,5 Mpa </t>
  </si>
  <si>
    <t>8.1.2.1</t>
  </si>
  <si>
    <t xml:space="preserve">1 m Saluran U-Ditch 30x30x120 cm dengan lantai kerja fc 7,5 Mpa </t>
  </si>
  <si>
    <t>Lantai Kerja fc 7,5 Mpa</t>
  </si>
  <si>
    <t>8.1.2.2</t>
  </si>
  <si>
    <t xml:space="preserve">1 m Saluran U-Ditch 30x40x120 cm dengan lantai kerja fc 7,5 Mpa </t>
  </si>
  <si>
    <t>8.1.2.3</t>
  </si>
  <si>
    <t xml:space="preserve">1 m Saluran U-Ditch 40x40x120 cm dengan lantai kerja fc 7,5 Mpa </t>
  </si>
  <si>
    <t>8.1.2.4</t>
  </si>
  <si>
    <t xml:space="preserve">1 m Saluran U-Ditch 40x50x120 cm dengan lantai kerja fc 7,5 Mpa </t>
  </si>
  <si>
    <t>8.1.2.5</t>
  </si>
  <si>
    <t xml:space="preserve">1 m Saluran U-Ditch 40x60x120 cm dengan lantai kerja fc 7,5 Mpa </t>
  </si>
  <si>
    <t>8.1.2.6</t>
  </si>
  <si>
    <t xml:space="preserve">1 m Saluran U-Ditch 50x50x120 cm dengan lantai kerja fc 7,5 Mpa </t>
  </si>
  <si>
    <t>8.1.2.7</t>
  </si>
  <si>
    <t xml:space="preserve">1 m Saluran U-Ditch 50x60x120 cm dengan lantai kerja fc 7,5 Mpa </t>
  </si>
  <si>
    <t>8.1.2.8</t>
  </si>
  <si>
    <t xml:space="preserve">1 m Saluran U-Ditch 50x70x120 cm dengan lantai kerja fc 7,5 Mpa </t>
  </si>
  <si>
    <t>8.1.2.9</t>
  </si>
  <si>
    <t xml:space="preserve">1 m Saluran U-Ditch 60x60x120 cm dengan lantai kerja fc 7,5 Mpa </t>
  </si>
  <si>
    <t>8.1.2.10</t>
  </si>
  <si>
    <t xml:space="preserve">1 m Saluran U-Ditch 60x70x120 cm dengan lantai kerja fc 7,5 Mpa </t>
  </si>
  <si>
    <t>8.1.2.11</t>
  </si>
  <si>
    <t xml:space="preserve">1 m Saluran U-Ditch 60x80x120 cm dengan lantai kerja fc 7,5 Mpa </t>
  </si>
  <si>
    <t>8.1.2.12</t>
  </si>
  <si>
    <t xml:space="preserve">1 m Saluran U-Ditch 80x60x120 cm dengan lantai kerja fc 7,5 Mpa </t>
  </si>
  <si>
    <t>8.1.2.13</t>
  </si>
  <si>
    <t xml:space="preserve">1 m Saluran U-Ditch 80x80x120 cm dengan lantai kerja fc 7,5 Mpa </t>
  </si>
  <si>
    <t>8.1.2.14</t>
  </si>
  <si>
    <t xml:space="preserve">1 m Saluran U-Ditch 80x100x120 cm dengan lantai kerja fc 7,5 Mpa </t>
  </si>
  <si>
    <t xml:space="preserve">1 m Saluran U-Ditch 100x100x120 cm dengan lantai kerja fc 7,5 Mpa </t>
  </si>
  <si>
    <t>8.1.2.15</t>
  </si>
  <si>
    <t>8.1.2.16</t>
  </si>
  <si>
    <t xml:space="preserve">1 m Saluran U-Ditch 100x120x120 cm dengan lantai kerja fc 7,5 Mpa </t>
  </si>
  <si>
    <t>8.1.2.17</t>
  </si>
  <si>
    <t xml:space="preserve">1 m Saluran U-Ditch 120x120x120 cm dengan lantai kerja fc 7,5 Mpa </t>
  </si>
  <si>
    <t>8.1.2.18</t>
  </si>
  <si>
    <t xml:space="preserve">1 m Saluran U-Ditch 120x140x120 cm dengan lantai kerja fc 7,5 Mpa </t>
  </si>
  <si>
    <t>8.1.2.19</t>
  </si>
  <si>
    <t xml:space="preserve">1 m Saluran U-Ditch 140x140x120 cm dengan lantai kerja fc 7,5 Mpa </t>
  </si>
  <si>
    <t>8.1.2.20</t>
  </si>
  <si>
    <t xml:space="preserve">1 m Saluran U-Ditch 150x100x120 cm dengan lantai kerja fc 7,5 Mpa </t>
  </si>
  <si>
    <t>8.1.2.21</t>
  </si>
  <si>
    <t xml:space="preserve">1 m Saluran U-Ditch 150x150x120 cm dengan lantai kerja fc 7,5 Mpa </t>
  </si>
  <si>
    <t>8.1.2.22</t>
  </si>
  <si>
    <t xml:space="preserve">1 m Saluran U-Ditch 150x170x120 cm dengan lantai kerja fc 7,5 Mpa </t>
  </si>
  <si>
    <t>8.1.2.23</t>
  </si>
  <si>
    <t xml:space="preserve">1 m Saluran U-Ditch 160x160x120 cm dengan lantai kerja fc 7,5 Mpa </t>
  </si>
  <si>
    <t>8.1.2.24</t>
  </si>
  <si>
    <t xml:space="preserve">1 m Saluran U-Ditch 160x180x120 cm dengan lantai kerja fc 7,5 Mpa </t>
  </si>
  <si>
    <t>8.1.2.25</t>
  </si>
  <si>
    <t xml:space="preserve">1 m Saluran U-Ditch 180x180x120 cm dengan lantai kerja fc 7,5 Mpa </t>
  </si>
  <si>
    <t>8.1.2.26</t>
  </si>
  <si>
    <t xml:space="preserve">1 m Saluran U-Ditch 180x200x120 cm dengan lantai kerja fc 7,5 Mpa </t>
  </si>
  <si>
    <t>8.1.2.27</t>
  </si>
  <si>
    <t xml:space="preserve">1 m Saluran U-Ditch 200x200x120 cm dengan lantai kerja fc 7,5 Mpa </t>
  </si>
  <si>
    <t>8.1.3</t>
  </si>
  <si>
    <t>Tutup U-Ditch</t>
  </si>
  <si>
    <t>8.1.3.1</t>
  </si>
  <si>
    <t xml:space="preserve">1 m' Tutup U-Ditch 39x60x6 (Tipe LD) untuk 30x30x120 cm </t>
  </si>
  <si>
    <t>Tutup U-Ditch 39x60x6 (tipe LD)</t>
  </si>
  <si>
    <t>8.1.3.2</t>
  </si>
  <si>
    <t>Tutup U-Ditch 51x60x7 (tipe LD)</t>
  </si>
  <si>
    <t>8.1.3.3</t>
  </si>
  <si>
    <t xml:space="preserve">1 m' Tutup U-Ditch 51x60x7 (Tipe LD) untuk 40x40x120 cm </t>
  </si>
  <si>
    <t xml:space="preserve">1 m' Tutup U-Ditch 62x60x7,5 (Tipe LD) untuk 50x50x120 cm </t>
  </si>
  <si>
    <t>Tutup U-Ditch 62x60x7,5 (tipe LD)</t>
  </si>
  <si>
    <t>8.1.3.4</t>
  </si>
  <si>
    <t xml:space="preserve">1 m' Tutup U-Ditch 73x60x8 (Tipe LD) untuk 60x60x120 cm </t>
  </si>
  <si>
    <t>Tutup U-Ditch 73x60x7,8 (tipe LD)</t>
  </si>
  <si>
    <t>8.1.3.5</t>
  </si>
  <si>
    <t xml:space="preserve">1 m' Tutup U-Ditch 94x60x8 (Tipe LD) untuk 80x80x120 cm </t>
  </si>
  <si>
    <t>Tutup U-Ditch 94x60x10 (tipe LD)</t>
  </si>
  <si>
    <t>8.1.3.6</t>
  </si>
  <si>
    <t xml:space="preserve">1 m' Tutup U-Ditch 39x60x9 (Tipe HD) untuk 30x30x120 cm </t>
  </si>
  <si>
    <t>Tutup U-Ditch 39x60x9 (tipe HD)</t>
  </si>
  <si>
    <t>8.1.3.7</t>
  </si>
  <si>
    <t xml:space="preserve">1 m' Tutup U-Ditch 51x60x10 (Tipe HD) untuk 40x40x120 cm </t>
  </si>
  <si>
    <t>Tutup U-Ditch 51x60x10 (tipe HD)</t>
  </si>
  <si>
    <t>8.1.3.8</t>
  </si>
  <si>
    <t xml:space="preserve">1 m' Tutup U-Ditch 62x60x13 (Tipe HD) untuk 50x50x120 cm </t>
  </si>
  <si>
    <t>Excavator 95 HP</t>
  </si>
  <si>
    <t>8.1.3.9</t>
  </si>
  <si>
    <t>Tutup U-Ditch 73x60x14 (tipe HD)</t>
  </si>
  <si>
    <t>8.1.3.10</t>
  </si>
  <si>
    <t xml:space="preserve">1 m' Tutup U-Ditch 73x60x14 (Tipe HD) untuk 60x60x120 cm </t>
  </si>
  <si>
    <t xml:space="preserve">1 m' Tutup U-Ditch 94x60x15 (Tipe HD) untuk 80x80x120 cm </t>
  </si>
  <si>
    <t>Tutup U-Ditch 94x60x15 (tipe HD)</t>
  </si>
  <si>
    <t>8.1.3.11</t>
  </si>
  <si>
    <t xml:space="preserve">1 m' Grill Penutup Saluran, Besi Siku+Plat Strip </t>
  </si>
  <si>
    <t>Plat Strip 3/30 mm</t>
  </si>
  <si>
    <t>Besi siku 40x40x4</t>
  </si>
  <si>
    <t>8.2</t>
  </si>
  <si>
    <t>Saluran Buis Beton</t>
  </si>
  <si>
    <t>8.2.1</t>
  </si>
  <si>
    <t xml:space="preserve">1 m' Buis Beton 1/2 D 30-100 cm </t>
  </si>
  <si>
    <t>Pemasangan Plesteran 1  SP : 4 PP Tebal 15 mm</t>
  </si>
  <si>
    <t>8.2.2</t>
  </si>
  <si>
    <t xml:space="preserve">1 m' Buis Beton 1/2 D 40-100 cm </t>
  </si>
  <si>
    <t>8.2.3</t>
  </si>
  <si>
    <t xml:space="preserve">1 m' Buis Beton 1/2 D 50-100 cm </t>
  </si>
  <si>
    <t>8.2.4</t>
  </si>
  <si>
    <t xml:space="preserve">1 m' Buis Beton 1/2 D 60-100 cm </t>
  </si>
  <si>
    <t>8.2.5</t>
  </si>
  <si>
    <t xml:space="preserve">1 m' Buis Beton 1/2 D 80-100 cm </t>
  </si>
  <si>
    <t>8.2.6</t>
  </si>
  <si>
    <t xml:space="preserve">1 m' Buis Beton 1/2 D 100-100 cm </t>
  </si>
  <si>
    <t xml:space="preserve">Buis Beton dia. 100 cm </t>
  </si>
  <si>
    <t xml:space="preserve">Buis Beton dia. 60 cm </t>
  </si>
  <si>
    <t xml:space="preserve">Buis Beton dia. 50 cm </t>
  </si>
  <si>
    <t xml:space="preserve">Buis Beton dia. 40 cm </t>
  </si>
  <si>
    <t xml:space="preserve">Buis Beton dia. 30 cm </t>
  </si>
  <si>
    <t xml:space="preserve">Buis beton dia. 40 cm </t>
  </si>
  <si>
    <t xml:space="preserve">Buis beton dia. 50 cm </t>
  </si>
  <si>
    <t xml:space="preserve">Buis beton dia. 60 cm </t>
  </si>
  <si>
    <t>8.2.7</t>
  </si>
  <si>
    <t xml:space="preserve">1 m' Buis Beton  D 30-100 cm </t>
  </si>
  <si>
    <t xml:space="preserve">Buis Beton 1/2 dia. 100 cm </t>
  </si>
  <si>
    <t xml:space="preserve">Buis Beton 1/2 dia. 50 cm </t>
  </si>
  <si>
    <t xml:space="preserve">Buis Beton 1/2 dia. 30 cm </t>
  </si>
  <si>
    <t xml:space="preserve">Buis Beton 1/2 dia. 40 cm </t>
  </si>
  <si>
    <t xml:space="preserve">Buis Beton 1/2 dia. 60 cm </t>
  </si>
  <si>
    <t xml:space="preserve">Buis beton 1/2 dia. 80 cm </t>
  </si>
  <si>
    <t xml:space="preserve">Buis beton 1/2 dia. 30 cm </t>
  </si>
  <si>
    <t xml:space="preserve">Buis beton 1/2 dia. 40 cm </t>
  </si>
  <si>
    <t xml:space="preserve">Buis beton 1/2 dia. 50 cm </t>
  </si>
  <si>
    <t xml:space="preserve">Buis beton 1/2 dia. 60 cm </t>
  </si>
  <si>
    <t>8.2.8</t>
  </si>
  <si>
    <t xml:space="preserve">1 m' Buis Beton D 40-100 cm </t>
  </si>
  <si>
    <t>8.2.9</t>
  </si>
  <si>
    <t xml:space="preserve">1 m' Buis Beton D 50-100 cm </t>
  </si>
  <si>
    <t>8.2.10</t>
  </si>
  <si>
    <t xml:space="preserve">1 m' Buis Beton D 60-100 cm </t>
  </si>
  <si>
    <t>8.2.11</t>
  </si>
  <si>
    <t xml:space="preserve">1 m' Buis Beton D 80-100 cm </t>
  </si>
  <si>
    <t xml:space="preserve">1 m' Buis Beton D 100-100 cm </t>
  </si>
  <si>
    <t>8.3</t>
  </si>
  <si>
    <t xml:space="preserve">Saluran Box Culvert </t>
  </si>
  <si>
    <t>8.3.1</t>
  </si>
  <si>
    <t xml:space="preserve">Saluran Box Culvert  dengan lantai kerja 10 Mpa </t>
  </si>
  <si>
    <t xml:space="preserve">1 m' Box Culvert 40x40x100 dengan lantai kerja fc 10 Mpa </t>
  </si>
  <si>
    <t>Sewa Mobil Crane</t>
  </si>
  <si>
    <t>Box Culvert 40x40x100 cm</t>
  </si>
  <si>
    <t>8.3.2</t>
  </si>
  <si>
    <t xml:space="preserve">1 m' Box Culvert 50x50x100 dengan lantai kerja fc 10 Mpa </t>
  </si>
  <si>
    <t>Box Culvert 50x50x100 cm</t>
  </si>
  <si>
    <t xml:space="preserve">1 m' Box Culvert 60x60x100 dengan lantai kerja fc 10 Mpa </t>
  </si>
  <si>
    <t>Box Culvert 60x60x100 cm</t>
  </si>
  <si>
    <t xml:space="preserve">1 m' Box Culvert 80x80x100 dengan lantai kerja fc 10 Mpa </t>
  </si>
  <si>
    <t>Box Culvert 80x80x100 cm</t>
  </si>
  <si>
    <t xml:space="preserve">1 m' Box Culvert 100x100x100 dengan lantai kerja fc 10 Mpa </t>
  </si>
  <si>
    <t>Box Culvert 100x100x100 cm</t>
  </si>
  <si>
    <t xml:space="preserve">1 m' Box Culvert 150x150x100 dengan lantai kerja fc 10 Mpa </t>
  </si>
  <si>
    <t>Box Culvert 150x150x100 cm</t>
  </si>
  <si>
    <t xml:space="preserve">1 m' Box Culvert 200x200x100 dengan lantai kerja fc 10 Mpa </t>
  </si>
  <si>
    <t>Box Culvert 200x200x100 cm</t>
  </si>
  <si>
    <t xml:space="preserve">1 m' Box Culvert 300x300x100 dengan lantai kerja fc 10 Mpa </t>
  </si>
  <si>
    <t>Box Culvert 300x300x100 cm</t>
  </si>
  <si>
    <t>8.3.1.1</t>
  </si>
  <si>
    <t>8.3.1.2</t>
  </si>
  <si>
    <t>8.3.1.3</t>
  </si>
  <si>
    <t>8.3.1.4</t>
  </si>
  <si>
    <t>8.3.1.5</t>
  </si>
  <si>
    <t>8.3.1. 6</t>
  </si>
  <si>
    <t>8.3.1.7</t>
  </si>
  <si>
    <t>8.3.1. 8</t>
  </si>
  <si>
    <t>Saluran Box Culvert dengan lantai kerja 7,5 Mpa</t>
  </si>
  <si>
    <t>8.3.2.1</t>
  </si>
  <si>
    <t xml:space="preserve">1 m' Box Culvert 40x40x100 dengan lantai kerja fc 7,5 Mpa </t>
  </si>
  <si>
    <t>8.3.2.2</t>
  </si>
  <si>
    <t xml:space="preserve">1 m' Box Culvert 50x50x100 dengan lantai kerja fc 7,5 Mpa </t>
  </si>
  <si>
    <t>8.3.2.3</t>
  </si>
  <si>
    <t xml:space="preserve">1 m' Box Culvert 60x60x100 dengan lantai kerja fc 7,5 Mpa </t>
  </si>
  <si>
    <t>8.3.2.4</t>
  </si>
  <si>
    <t xml:space="preserve">1 m' Box Culvert 80x80x100 dengan lantai kerja fc 7,5 Mpa </t>
  </si>
  <si>
    <t>8.3.2.5</t>
  </si>
  <si>
    <t xml:space="preserve">1 m' Box Culvert 100x100x100 dengan lantai kerja fc 7,5 Mpa </t>
  </si>
  <si>
    <t>8.3.2.6</t>
  </si>
  <si>
    <t xml:space="preserve">1 m' Box Culvert 150x150x100 dengan lantai kerja fc 7,5 Mpa </t>
  </si>
  <si>
    <t>8.3.2.7</t>
  </si>
  <si>
    <t xml:space="preserve">1 m' Box Culvert 200x200x100 dengan lantai kerja fc 7,5 Mpa </t>
  </si>
  <si>
    <t>8.3.2.8</t>
  </si>
  <si>
    <t xml:space="preserve">1 m' Box Culvert 300x300x100 dengan lantai kerja fc 7,5 Mpa </t>
  </si>
  <si>
    <t xml:space="preserve">9.1 </t>
  </si>
  <si>
    <t>9.1.1</t>
  </si>
  <si>
    <t xml:space="preserve">Pemasangan Pipa PVC </t>
  </si>
  <si>
    <t>9.1.1.1</t>
  </si>
  <si>
    <t>Pipa PVC dia. 63 mm</t>
  </si>
  <si>
    <t>9.1.1.2</t>
  </si>
  <si>
    <t>Pipa PVC dia. 90 mm</t>
  </si>
  <si>
    <t>9.1.1.3</t>
  </si>
  <si>
    <t>Pipa PVC dia. 110 mm</t>
  </si>
  <si>
    <t>9.1.1.4</t>
  </si>
  <si>
    <t>Pipa PVC dia. 150 mm</t>
  </si>
  <si>
    <t>9.1.1.5</t>
  </si>
  <si>
    <t>Pipa PVC dia. 200 mm</t>
  </si>
  <si>
    <t>9.1.1.6</t>
  </si>
  <si>
    <t>Pipa PVC dia. 250 mm</t>
  </si>
  <si>
    <t>9.1.1.7</t>
  </si>
  <si>
    <t>Sewa Tripot</t>
  </si>
  <si>
    <t>9.1.1.8</t>
  </si>
  <si>
    <t>9.1.1.9</t>
  </si>
  <si>
    <t>9.1.1.10</t>
  </si>
  <si>
    <t>9.1.1.11</t>
  </si>
  <si>
    <t>9.1.1.12</t>
  </si>
  <si>
    <t>9.1.1.13</t>
  </si>
  <si>
    <t>9.1.1.14</t>
  </si>
  <si>
    <t>Pipa PVC dia. 1000 mm</t>
  </si>
  <si>
    <t>Pipa PVC dia. 900 mm</t>
  </si>
  <si>
    <t>Pipa PVC dia. 800 mm</t>
  </si>
  <si>
    <t>Pipa PVC dia. 600 mm</t>
  </si>
  <si>
    <t>Pipa PVC dia. 500 mm</t>
  </si>
  <si>
    <t>Pipa PVC dia. 450 mm</t>
  </si>
  <si>
    <t>Pipa PVC dia. 400 mm</t>
  </si>
  <si>
    <t>Pipa PVC dia. 300 mm</t>
  </si>
  <si>
    <t>9.1.1.15</t>
  </si>
  <si>
    <t>9.1.1.16</t>
  </si>
  <si>
    <t>Pipa PVC dia. 1200 mm</t>
  </si>
  <si>
    <t>Pipa PVC dia. 1100 mm</t>
  </si>
  <si>
    <t>9.1.1.17</t>
  </si>
  <si>
    <t>Pipa PVC dia. 15 mm</t>
  </si>
  <si>
    <t>9.1.1.18</t>
  </si>
  <si>
    <t>Pipa PVC dia. 20 mm</t>
  </si>
  <si>
    <t>9.1.1.19</t>
  </si>
  <si>
    <t>Pipa PVC dia. 25 mm</t>
  </si>
  <si>
    <t>9.1.1.20</t>
  </si>
  <si>
    <t>Pipa PVC dia. 32 mm</t>
  </si>
  <si>
    <t>9.1.1.21</t>
  </si>
  <si>
    <t>Pipa PVC dia. 40 mm</t>
  </si>
  <si>
    <t>9.1.1.22</t>
  </si>
  <si>
    <t>Pipa PVC dia. 50 mm</t>
  </si>
  <si>
    <t>9.1.2</t>
  </si>
  <si>
    <t xml:space="preserve">Pemotongan Pipa PVC </t>
  </si>
  <si>
    <t>9.1.2.1</t>
  </si>
  <si>
    <t>9.1.2.3</t>
  </si>
  <si>
    <t>9.1.2.2</t>
  </si>
  <si>
    <t>9.1.2.4</t>
  </si>
  <si>
    <t>9.1.2.5</t>
  </si>
  <si>
    <t>9.1.2.6</t>
  </si>
  <si>
    <t>9.1.2.7</t>
  </si>
  <si>
    <t>9.1.2.8</t>
  </si>
  <si>
    <t>9.1.2.9</t>
  </si>
  <si>
    <t>9.1.2.10</t>
  </si>
  <si>
    <t>9.1.2.11</t>
  </si>
  <si>
    <t>9.1.2.12</t>
  </si>
  <si>
    <t>9.1.2.13</t>
  </si>
  <si>
    <t>9.1.2.14</t>
  </si>
  <si>
    <t>9.1.2.15</t>
  </si>
  <si>
    <t>9.1.2.16</t>
  </si>
  <si>
    <t>9.2</t>
  </si>
  <si>
    <t>9.2.1</t>
  </si>
  <si>
    <t xml:space="preserve">Pemasangan Pipa Galvanis </t>
  </si>
  <si>
    <t>9.2.1.1</t>
  </si>
  <si>
    <t>Pipa Galvanis dia. 63 mm</t>
  </si>
  <si>
    <t>9.2.1.2</t>
  </si>
  <si>
    <t>Pipa Galvanis dia. 100 mm</t>
  </si>
  <si>
    <t>9.2.1.3</t>
  </si>
  <si>
    <t>Pipa Galvanis dia. 125 mm</t>
  </si>
  <si>
    <t>9.2.1.4</t>
  </si>
  <si>
    <t>Pipa Galvanis dia. 150 mm</t>
  </si>
  <si>
    <t>9.2.1.5</t>
  </si>
  <si>
    <t>Pipa Galvanis dia. 200 mm</t>
  </si>
  <si>
    <t>9.2.1.6</t>
  </si>
  <si>
    <t>Pipa Galvanis dia. 250 mm</t>
  </si>
  <si>
    <t>9.2.1.7</t>
  </si>
  <si>
    <t>Pipa Galvanis dia. 300 mm</t>
  </si>
  <si>
    <t>9.2.1.8</t>
  </si>
  <si>
    <t>Pipa Galvanis dia. 400 mm</t>
  </si>
  <si>
    <t>9.2.1.9</t>
  </si>
  <si>
    <t>Pipa Galvanis dia. 450 mm</t>
  </si>
  <si>
    <t>9.2.1.10</t>
  </si>
  <si>
    <t>Pipa Galvanis dia. 500 mm</t>
  </si>
  <si>
    <t>9.2.1.11</t>
  </si>
  <si>
    <t>Pipa Galvanis dia. 600 mm</t>
  </si>
  <si>
    <t>9.2.1.12</t>
  </si>
  <si>
    <t>Pipa Galvanis dia. 800 mm</t>
  </si>
  <si>
    <t>9.2.1.13</t>
  </si>
  <si>
    <t>Pipa Galvanis dia. 900 mm</t>
  </si>
  <si>
    <t>9.2.1.14</t>
  </si>
  <si>
    <t>Pipa Galvanis dia. 1000 mm</t>
  </si>
  <si>
    <t>9.2.1.15</t>
  </si>
  <si>
    <t>Pipa Galvanis dia. 1100 mm</t>
  </si>
  <si>
    <t>9.2.1.16</t>
  </si>
  <si>
    <t>Pipa Galvanis dia. 1200 mm</t>
  </si>
  <si>
    <t>9.2.1.17</t>
  </si>
  <si>
    <t>Pipa Galvanis dia. 15 mm</t>
  </si>
  <si>
    <t>9.2.1.18</t>
  </si>
  <si>
    <t>Pipa Galvanis dia. 20 mm</t>
  </si>
  <si>
    <t>9.2.1.19</t>
  </si>
  <si>
    <t>Pipa Galvanis dia. 25 mm</t>
  </si>
  <si>
    <t>9.2.1.20</t>
  </si>
  <si>
    <t>Pipa Galvanis dia. 32 mm</t>
  </si>
  <si>
    <t>9.2.1.21</t>
  </si>
  <si>
    <t>Pipa Galvanis dia. 40 mm</t>
  </si>
  <si>
    <t>9.2.1.22</t>
  </si>
  <si>
    <t>Pipa Galvanis dia. 50 mm</t>
  </si>
  <si>
    <t>9.2.2</t>
  </si>
  <si>
    <t xml:space="preserve">Pemotongan Pipa Galvanis </t>
  </si>
  <si>
    <t>9.2.2.1</t>
  </si>
  <si>
    <t>Cilinder Saw</t>
  </si>
  <si>
    <t>9.2.2.2</t>
  </si>
  <si>
    <t>9.2.2.3</t>
  </si>
  <si>
    <t>9.2.2.4</t>
  </si>
  <si>
    <t>9.2.2.5</t>
  </si>
  <si>
    <t>9.2.2.6</t>
  </si>
  <si>
    <t>9.2.2.7</t>
  </si>
  <si>
    <t>9.2.2.8</t>
  </si>
  <si>
    <t>9.2.2.9</t>
  </si>
  <si>
    <t>9.2.2.10</t>
  </si>
  <si>
    <t>9.2.2.11</t>
  </si>
  <si>
    <t>9.2.2.12</t>
  </si>
  <si>
    <t>9.2.2.13</t>
  </si>
  <si>
    <t>9.2.2.14</t>
  </si>
  <si>
    <t>9.2.2.15</t>
  </si>
  <si>
    <t>9.2.2.16</t>
  </si>
  <si>
    <t xml:space="preserve">9.3 </t>
  </si>
  <si>
    <t>Pipa HDPE/PE</t>
  </si>
  <si>
    <t xml:space="preserve">Pemasangan Pipa HDPE </t>
  </si>
  <si>
    <t>9.3.1</t>
  </si>
  <si>
    <t>9.3.1.1</t>
  </si>
  <si>
    <t>Pipa HDPE dia. 63 mm</t>
  </si>
  <si>
    <t>9.3.1.2</t>
  </si>
  <si>
    <t>9.3.1.3</t>
  </si>
  <si>
    <t>Pipa HDPE dia. 125 mm</t>
  </si>
  <si>
    <t>Pipa HDPE dia. 100 mm</t>
  </si>
  <si>
    <t>9.3.1.4</t>
  </si>
  <si>
    <t>Pipa HDPE dia. 150 mm</t>
  </si>
  <si>
    <t>9.3.1.5</t>
  </si>
  <si>
    <t>Pipa HDPE dia. 200 mm</t>
  </si>
  <si>
    <t>9.3.1.6</t>
  </si>
  <si>
    <t>Pipa HDPE dia. 250 mm</t>
  </si>
  <si>
    <t>9.3.1.7</t>
  </si>
  <si>
    <t>9.3.1.8</t>
  </si>
  <si>
    <t>Pipa HDPE dia. 400 mm</t>
  </si>
  <si>
    <t>Pipa HDPE dia. 300 mm</t>
  </si>
  <si>
    <t>9.3.1.9</t>
  </si>
  <si>
    <t>Pipa HDPE dia. 450 mm</t>
  </si>
  <si>
    <t>9.3.1.10</t>
  </si>
  <si>
    <t>Pipa HDPE dia. 500 mm</t>
  </si>
  <si>
    <t>9.3.1.11</t>
  </si>
  <si>
    <t>Pipa HDPE dia. 600 mm</t>
  </si>
  <si>
    <t>9.3.1.12</t>
  </si>
  <si>
    <t>Pipa HDPE dia. 800 mm</t>
  </si>
  <si>
    <t>9.3.1.13</t>
  </si>
  <si>
    <t>Pipa HDPE dia. 900 mm</t>
  </si>
  <si>
    <t>9.3.1.14</t>
  </si>
  <si>
    <t>Pipa HDPE dia. 1000 mm</t>
  </si>
  <si>
    <t>9.3.1.15</t>
  </si>
  <si>
    <t>Pipa HDPE dia. 1100 mm</t>
  </si>
  <si>
    <t>9.3.1.16</t>
  </si>
  <si>
    <t>Pipa HDPE dia. 1200 mm</t>
  </si>
  <si>
    <t>Gergaji Pipa</t>
  </si>
  <si>
    <t>9.3.1.17</t>
  </si>
  <si>
    <t>Pipa HDPE dia. 15 mm</t>
  </si>
  <si>
    <t>9.3.1.18</t>
  </si>
  <si>
    <t>Pipa HDPE dia. 20 mm</t>
  </si>
  <si>
    <t>9.3.1.19</t>
  </si>
  <si>
    <t>Pipa HDPE dia. 25 mm</t>
  </si>
  <si>
    <t>9.3.1.20</t>
  </si>
  <si>
    <t>Pipa HDPE dia. 32 mm</t>
  </si>
  <si>
    <t>9.3.1.21</t>
  </si>
  <si>
    <t>Pipa HDPE dia. 40 mm</t>
  </si>
  <si>
    <t>9.3.1.22</t>
  </si>
  <si>
    <t>Pipa HDPE dia. 50 mm</t>
  </si>
  <si>
    <t xml:space="preserve">9.3.2 </t>
  </si>
  <si>
    <t xml:space="preserve">Pemotogan Pipa HDPE </t>
  </si>
  <si>
    <t>9.3.2.1</t>
  </si>
  <si>
    <t>9.3.2.2</t>
  </si>
  <si>
    <t>9.3.2.3</t>
  </si>
  <si>
    <t>9.3.2.4</t>
  </si>
  <si>
    <t>9.3.2.5</t>
  </si>
  <si>
    <t>9.3.2.6</t>
  </si>
  <si>
    <t>9.3.2.7</t>
  </si>
  <si>
    <t>9.3.2.8</t>
  </si>
  <si>
    <t>9.3.2.9</t>
  </si>
  <si>
    <t>9.3.2.10</t>
  </si>
  <si>
    <t>9.3.2.11</t>
  </si>
  <si>
    <t>9.3.2.12</t>
  </si>
  <si>
    <t>9.3.2.13</t>
  </si>
  <si>
    <t>9.3.2.14</t>
  </si>
  <si>
    <t>9.3.2.15</t>
  </si>
  <si>
    <t>9.3.2.16</t>
  </si>
  <si>
    <t>9.4</t>
  </si>
  <si>
    <t>Pemasangan Pipa DCI</t>
  </si>
  <si>
    <t>9.4.1</t>
  </si>
  <si>
    <t>9.4.1.1</t>
  </si>
  <si>
    <t>Pipa DCI dia. 100 mm</t>
  </si>
  <si>
    <t>9.4.1.2</t>
  </si>
  <si>
    <t>Pipa DCI dia. 125 mm</t>
  </si>
  <si>
    <t>9.4.1.3</t>
  </si>
  <si>
    <t>Pipa DCI dia. 150 mm</t>
  </si>
  <si>
    <t>9.4.1.4</t>
  </si>
  <si>
    <t>Pipa DCI dia. 200 mm</t>
  </si>
  <si>
    <t>9.4.1.5</t>
  </si>
  <si>
    <t>Pipa DCI dia. 250 mm</t>
  </si>
  <si>
    <t>9.4.1.6</t>
  </si>
  <si>
    <t>Pipa DCI dia. 300 mm</t>
  </si>
  <si>
    <t>9.4.1.7</t>
  </si>
  <si>
    <t>Pipa DCI dia. 400 mm</t>
  </si>
  <si>
    <t xml:space="preserve">Excavator </t>
  </si>
  <si>
    <t>9.4.1.8</t>
  </si>
  <si>
    <t>Pipa DCI dia. 450 mm</t>
  </si>
  <si>
    <t>9.4.1.9</t>
  </si>
  <si>
    <t>Pipa DCI dia. 500 mm</t>
  </si>
  <si>
    <t>9.4.1.10</t>
  </si>
  <si>
    <t>Pipa DCI dia. 600 mm</t>
  </si>
  <si>
    <t>9.4.1.11</t>
  </si>
  <si>
    <t>Pipa DCI dia. 800 mm</t>
  </si>
  <si>
    <t>9.4.1.12</t>
  </si>
  <si>
    <t>9.4.1.13</t>
  </si>
  <si>
    <t>Pipa DCI dia. 900 mm</t>
  </si>
  <si>
    <t>9.4.1.14</t>
  </si>
  <si>
    <t>Pipa DCI dia. 1000 mm</t>
  </si>
  <si>
    <t>Pipa DCI dia. 1100 mm</t>
  </si>
  <si>
    <t>9.4.1.15</t>
  </si>
  <si>
    <t>9.4.2.1</t>
  </si>
  <si>
    <t>9.4.2</t>
  </si>
  <si>
    <t>Pemotongan Pipa PCI</t>
  </si>
  <si>
    <t>9.4.2.2</t>
  </si>
  <si>
    <t>9.4.2.3</t>
  </si>
  <si>
    <t>9.4.2.4</t>
  </si>
  <si>
    <t>9.4.2.5</t>
  </si>
  <si>
    <t>9.4.2.6</t>
  </si>
  <si>
    <t>9.4.2.7</t>
  </si>
  <si>
    <t>9.4.2.8</t>
  </si>
  <si>
    <t>9.4.2.9</t>
  </si>
  <si>
    <t>9.4.2.10</t>
  </si>
  <si>
    <t>9.4.2.11</t>
  </si>
  <si>
    <t>9.4.2.12</t>
  </si>
  <si>
    <t>9.4.2.13</t>
  </si>
  <si>
    <t>9.4.2.14</t>
  </si>
  <si>
    <t>9.4.2.15</t>
  </si>
  <si>
    <t>9.5</t>
  </si>
  <si>
    <t>PIPA BAJA KARBON</t>
  </si>
  <si>
    <t>Pemasangan Pipa Baja Karbon</t>
  </si>
  <si>
    <t>9.5.1</t>
  </si>
  <si>
    <t>9.5.1.1</t>
  </si>
  <si>
    <t>Pipa Baja dia. 63 mm</t>
  </si>
  <si>
    <t>9.5.1.2</t>
  </si>
  <si>
    <t>Pipa Baja dia. 100 mm</t>
  </si>
  <si>
    <t>9.5.1.3</t>
  </si>
  <si>
    <t>Pipa Baja dia. 125 mm</t>
  </si>
  <si>
    <t>9.5.1.4</t>
  </si>
  <si>
    <t>Pipa Baja dia. 150 mm</t>
  </si>
  <si>
    <t>9.5.1.5</t>
  </si>
  <si>
    <t>Pipa Baja dia. 200 mm</t>
  </si>
  <si>
    <t>9.5.1.6</t>
  </si>
  <si>
    <t>Pipa Baja dia. 250 mm</t>
  </si>
  <si>
    <t>9.5.1.7</t>
  </si>
  <si>
    <t>9.5.1.8</t>
  </si>
  <si>
    <t>9.5.1.9</t>
  </si>
  <si>
    <t>9.5.1.10</t>
  </si>
  <si>
    <t>9.5.1.11</t>
  </si>
  <si>
    <t>9.5.1.12</t>
  </si>
  <si>
    <t>9.5.1.13</t>
  </si>
  <si>
    <t>9.5.1.14</t>
  </si>
  <si>
    <t>9.5.1.15</t>
  </si>
  <si>
    <t>9.5.1.16</t>
  </si>
  <si>
    <t xml:space="preserve">9.5.2 </t>
  </si>
  <si>
    <t xml:space="preserve">Pemotongan Pipa Baja Karbon </t>
  </si>
  <si>
    <t>9.5.2.1</t>
  </si>
  <si>
    <t>Pipa Baja dia. 300 mm</t>
  </si>
  <si>
    <t>Pipa Baja dia. 400 mm</t>
  </si>
  <si>
    <t>Pipa Baja dia. 500 mm</t>
  </si>
  <si>
    <t>Pipa Baja dia. 600 mm</t>
  </si>
  <si>
    <t>Pipa Baja dia. 800 mm</t>
  </si>
  <si>
    <t>Pipa Baja dia. 900 mm</t>
  </si>
  <si>
    <t>Pipa Baja dia. 1000 mm</t>
  </si>
  <si>
    <t>Pipa Baja dia. 1100 mm</t>
  </si>
  <si>
    <t>Pipa Baja dia. 1200 mm</t>
  </si>
  <si>
    <t>Pipa Baja dia. 450 mm</t>
  </si>
  <si>
    <t>9.5.2.2</t>
  </si>
  <si>
    <t>9.5.2.3</t>
  </si>
  <si>
    <t>9.5.2.4</t>
  </si>
  <si>
    <t>9.5.2.5</t>
  </si>
  <si>
    <t>9.5.2.6</t>
  </si>
  <si>
    <t>9.5.2.7</t>
  </si>
  <si>
    <t>9.5.2.8</t>
  </si>
  <si>
    <t>9.5.2.9</t>
  </si>
  <si>
    <t>9.5.2.10</t>
  </si>
  <si>
    <t>9.5.2.11</t>
  </si>
  <si>
    <t>9.5.2.12</t>
  </si>
  <si>
    <t>9.5.2.13</t>
  </si>
  <si>
    <t>9.5.2.14</t>
  </si>
  <si>
    <t>9.5.2.15</t>
  </si>
  <si>
    <t>9.5.2.16</t>
  </si>
  <si>
    <t>9.6</t>
  </si>
  <si>
    <t xml:space="preserve">PIPA BETON </t>
  </si>
  <si>
    <t>9.6.1</t>
  </si>
  <si>
    <t xml:space="preserve">Pemasangan Pipa Beton </t>
  </si>
  <si>
    <t>9.6.1.1</t>
  </si>
  <si>
    <t>Pipa Beton dia. 200 mm</t>
  </si>
  <si>
    <t>9.6.1.2</t>
  </si>
  <si>
    <t>Pipa Beton dia. 300 mm</t>
  </si>
  <si>
    <t>9.6.1.3</t>
  </si>
  <si>
    <t>Pipa Beton dia. 400 mm</t>
  </si>
  <si>
    <t>9.6.1.4</t>
  </si>
  <si>
    <t>Pipa Beton dia. 500 mm</t>
  </si>
  <si>
    <t>9.6.1.5</t>
  </si>
  <si>
    <t>Pipa Beton dia. 600 mm</t>
  </si>
  <si>
    <t>9.6.1.6</t>
  </si>
  <si>
    <t>Pipa Beton dia. 700 mm</t>
  </si>
  <si>
    <t>9.6.1.7</t>
  </si>
  <si>
    <t>9.6.1.8</t>
  </si>
  <si>
    <t>Pipa Beton dia. 1000 mm</t>
  </si>
  <si>
    <t>Pipa Beton dia. 800 mm</t>
  </si>
  <si>
    <t>9.6.1.9</t>
  </si>
  <si>
    <t>Pipa Beton dia. 1200 mm</t>
  </si>
  <si>
    <t>9.7</t>
  </si>
  <si>
    <t xml:space="preserve">AKSESORIS PIPA </t>
  </si>
  <si>
    <t>9.7.1</t>
  </si>
  <si>
    <t xml:space="preserve">Sambungan Pipa Baru ke Pipa Lama </t>
  </si>
  <si>
    <t>9.7.1.1</t>
  </si>
  <si>
    <t xml:space="preserve">Sewa Genset </t>
  </si>
  <si>
    <t>Pompa Sedot</t>
  </si>
  <si>
    <t>9.7.1.2</t>
  </si>
  <si>
    <t>9.7.1.3</t>
  </si>
  <si>
    <t>9.7.1.4</t>
  </si>
  <si>
    <t>9.7.1.5</t>
  </si>
  <si>
    <t>9.7.1.6</t>
  </si>
  <si>
    <t>9.7.1.7</t>
  </si>
  <si>
    <t>9.7.1.8</t>
  </si>
  <si>
    <t>9.7.1.9</t>
  </si>
  <si>
    <t>9.7.1.10</t>
  </si>
  <si>
    <t>9.7.1.11</t>
  </si>
  <si>
    <t>9.7.1.12</t>
  </si>
  <si>
    <t>9.7.1.13</t>
  </si>
  <si>
    <t>9.7.1.14</t>
  </si>
  <si>
    <t>9.7.1.15</t>
  </si>
  <si>
    <t>9.7.1.16</t>
  </si>
  <si>
    <t>9.7.1.17</t>
  </si>
  <si>
    <t>9.7.1.18</t>
  </si>
  <si>
    <t>9.7.1.19</t>
  </si>
  <si>
    <t>9.7.2</t>
  </si>
  <si>
    <t xml:space="preserve">Valve </t>
  </si>
  <si>
    <t>9.7.2.1</t>
  </si>
  <si>
    <t>9.7.2.2</t>
  </si>
  <si>
    <t>9.7.2.3</t>
  </si>
  <si>
    <t>9.7.2.4</t>
  </si>
  <si>
    <t>9.7.2.5</t>
  </si>
  <si>
    <t>9.7.2.6</t>
  </si>
  <si>
    <t>9.7.2.7</t>
  </si>
  <si>
    <t>9.7.2.8</t>
  </si>
  <si>
    <t>9.7.2.9</t>
  </si>
  <si>
    <t>9.7.2.10</t>
  </si>
  <si>
    <t>9.7.2.11</t>
  </si>
  <si>
    <t>9.7.2.12</t>
  </si>
  <si>
    <t>9.7.2.13</t>
  </si>
  <si>
    <t>9.7.2.14</t>
  </si>
  <si>
    <t>9.7.2.15</t>
  </si>
  <si>
    <t>9.7.2.16</t>
  </si>
  <si>
    <t>9.7.2.17</t>
  </si>
  <si>
    <t>9.7.2.18</t>
  </si>
  <si>
    <t>9.7.2.19</t>
  </si>
  <si>
    <t>9.7.2.20</t>
  </si>
  <si>
    <t>9.7.2.21</t>
  </si>
  <si>
    <t>9.7.2.22</t>
  </si>
  <si>
    <t>9.7.2.23</t>
  </si>
  <si>
    <t>9.7.3</t>
  </si>
  <si>
    <t>Pemasangan Aksesoris Tee</t>
  </si>
  <si>
    <t>9.7.3.1</t>
  </si>
  <si>
    <t>9.7.3.2</t>
  </si>
  <si>
    <t>9.7.3.3</t>
  </si>
  <si>
    <t>9.7.3.4</t>
  </si>
  <si>
    <t>9.7.3.5</t>
  </si>
  <si>
    <t>9.7.3.6</t>
  </si>
  <si>
    <t>9.7.3.7</t>
  </si>
  <si>
    <t>9.7.3.8</t>
  </si>
  <si>
    <t>9.7.3.9</t>
  </si>
  <si>
    <t>9.7.3.10</t>
  </si>
  <si>
    <t>9.7.3.11</t>
  </si>
  <si>
    <t>9.7.3.12</t>
  </si>
  <si>
    <t>9.7.3.13</t>
  </si>
  <si>
    <t>9.7.3.14</t>
  </si>
  <si>
    <t>9.7.3.15</t>
  </si>
  <si>
    <t>9.7.3.16</t>
  </si>
  <si>
    <t>9.7.3.17</t>
  </si>
  <si>
    <t>9.7.3.18</t>
  </si>
  <si>
    <t>9.7.3.19</t>
  </si>
  <si>
    <t>9.7.3.20</t>
  </si>
  <si>
    <t>9.7.3.21</t>
  </si>
  <si>
    <t>9.7.3.22</t>
  </si>
  <si>
    <t>9.7.3.23</t>
  </si>
  <si>
    <t>9.7.3.24</t>
  </si>
  <si>
    <t xml:space="preserve">Sistem Struktur Risha </t>
  </si>
  <si>
    <t xml:space="preserve">Pekerjaan Produksi Panel RISHA </t>
  </si>
  <si>
    <t>10.1.1</t>
  </si>
  <si>
    <t>Pembuatan 1 buah cetakan Panel P1 RISHA (Asumsi 400 Kali Pakai )</t>
  </si>
  <si>
    <t xml:space="preserve">Baja Profil </t>
  </si>
  <si>
    <t>10.1.2</t>
  </si>
  <si>
    <t>Pembuatan 1 buah cetakan Panel P2 RISHA (Asumsi 400 Kali Pakai )</t>
  </si>
  <si>
    <t>10.1.3</t>
  </si>
  <si>
    <t>Pembuatan 1 buah cetakan Panel P3 RISHA (Asumsi 400 Kali Pakai )</t>
  </si>
  <si>
    <t>10.1.4</t>
  </si>
  <si>
    <t xml:space="preserve">Pasangan dan Membuka Cetakan 1 buah Komponen P1 RISHA </t>
  </si>
  <si>
    <t>10.1.5</t>
  </si>
  <si>
    <t xml:space="preserve">Pasangan dan Membuka Cetakan 1 buah Komponen P2 RISHA </t>
  </si>
  <si>
    <t>10.1.6</t>
  </si>
  <si>
    <t xml:space="preserve">Pasangan dan Membuka Cetakan 1 buah Komponen P3 RISHA </t>
  </si>
  <si>
    <t>10.1.7</t>
  </si>
  <si>
    <t xml:space="preserve">1 kg Penulangan Slab untuk BjTP atau BjTS diameter &lt; 12 mm, cara Manual </t>
  </si>
  <si>
    <t xml:space="preserve">1 kg Penulangan Wiremesh M6-M10 untuk slab atau dinding atau Ferrocement secara manual </t>
  </si>
  <si>
    <t>Pembuatan 1 buah Cetakan Panel P1 RISHA (Asumsi 400 kali pakai)</t>
  </si>
  <si>
    <t xml:space="preserve">Pemasangan dan membuat cetakan 1 buah komponen P1 RISHA </t>
  </si>
  <si>
    <t xml:space="preserve">1 m3 beton mutu sedang fc 25 Mpa, Slum (100 ±  25) mm, agregat maks 19 mm secara mekanis </t>
  </si>
  <si>
    <t xml:space="preserve">Penulangan/Menebar Beton 1 m3 untuk Kolom Beton Pracetak </t>
  </si>
  <si>
    <t>10.1.8</t>
  </si>
  <si>
    <t>Pembuatan 1 buah Cetakan Panel P2 RISHA (Asumsi 400 kali pakai)</t>
  </si>
  <si>
    <t>10.1.9</t>
  </si>
  <si>
    <t>Pembuatan 1 buah Cetakan Panel P3 RISHA (Asumsi 400 kali pakai)</t>
  </si>
  <si>
    <t xml:space="preserve">Pemasangan dan membuat cetakan 1 buah komponen P3 RISHA </t>
  </si>
  <si>
    <t>10.2</t>
  </si>
  <si>
    <t xml:space="preserve">Pekerjaan Pengepakan dan Pengiriman Panel Lengkap dengan Aksesoris RISHA </t>
  </si>
  <si>
    <t>10.2.1</t>
  </si>
  <si>
    <t>Pengepakan 1 set Panel dan Aksesoris RISHA T-36</t>
  </si>
  <si>
    <t>Stepping Band Lebar 15 mm</t>
  </si>
  <si>
    <t xml:space="preserve">Palet Kayu uk. 120x120x10 cm </t>
  </si>
  <si>
    <t>10.2.2</t>
  </si>
  <si>
    <t>Pengiriman 1 set Panel dan Aksesoris RISHA T-36</t>
  </si>
  <si>
    <t>Panel P1</t>
  </si>
  <si>
    <t>Panel P2</t>
  </si>
  <si>
    <t>Panel P3</t>
  </si>
  <si>
    <t>10.3</t>
  </si>
  <si>
    <t xml:space="preserve">Pekerjaan Perakitan Panel RISHA </t>
  </si>
  <si>
    <t>10.3.1</t>
  </si>
  <si>
    <t xml:space="preserve">Pekerjaan Perakitan Panel dan Alat Sambung Modul T36 RISHA </t>
  </si>
  <si>
    <t>B.1</t>
  </si>
  <si>
    <t xml:space="preserve">Pengadaan Baut dan Ring </t>
  </si>
  <si>
    <t xml:space="preserve">Ring Plat </t>
  </si>
  <si>
    <t xml:space="preserve">B.2 </t>
  </si>
  <si>
    <t xml:space="preserve">Pengadaan Pelat Strip </t>
  </si>
  <si>
    <t>Pelat Strip t=2,6 mm, L=12 cm</t>
  </si>
  <si>
    <t>Pelat Strip t=2,6 mm, L=14 cm</t>
  </si>
  <si>
    <t>Pelat Strip t=2,6 mm, L=17 cm</t>
  </si>
  <si>
    <t>Pelat Strip t=2,6 mm, L=34 cm</t>
  </si>
  <si>
    <t>B.3</t>
  </si>
  <si>
    <t xml:space="preserve">Pengadaan Angkur Fondasi </t>
  </si>
  <si>
    <t xml:space="preserve">Angkur Baja Full Drat ASTM 307 dia 10 mm Panjang 65 cm </t>
  </si>
  <si>
    <t>10.3.2</t>
  </si>
  <si>
    <t xml:space="preserve">Pekerjaan Perakitan Panel Modul T36 RISHA </t>
  </si>
  <si>
    <t>bauh</t>
  </si>
  <si>
    <t>Marmer Graphir 10x10 cm</t>
  </si>
  <si>
    <t>Pen kuningan titik acuan</t>
  </si>
  <si>
    <t>Marmer Graphir 12x12 cm</t>
  </si>
  <si>
    <t xml:space="preserve">Pompa Sedot Pasir </t>
  </si>
  <si>
    <t xml:space="preserve">Pompa sedot pasir </t>
  </si>
  <si>
    <t xml:space="preserve">Pompa Lumpur </t>
  </si>
  <si>
    <t xml:space="preserve">Stamper Kuda </t>
  </si>
  <si>
    <t xml:space="preserve">Stamper kodok 150 kg </t>
  </si>
  <si>
    <t xml:space="preserve">Stamper D-Drum </t>
  </si>
  <si>
    <t>Stamper Smooth_Drum</t>
  </si>
  <si>
    <t>1.4</t>
  </si>
  <si>
    <t xml:space="preserve">Mobil Sedot Lumpur </t>
  </si>
  <si>
    <t>Jam</t>
  </si>
  <si>
    <t>1.5</t>
  </si>
  <si>
    <t>Mesin Las Gotextile</t>
  </si>
  <si>
    <t>Flat deck truck 7 ton</t>
  </si>
  <si>
    <t>Geotextile &gt;100 gr/m2</t>
  </si>
  <si>
    <t>Geotextile &gt;400 gr/m2</t>
  </si>
  <si>
    <t xml:space="preserve">Geomembran </t>
  </si>
  <si>
    <t>Geosynthetic Clay Liner</t>
  </si>
  <si>
    <t xml:space="preserve">Angkur M16 </t>
  </si>
  <si>
    <t>Sewa tripot</t>
  </si>
  <si>
    <t>Reng Baja Ringan</t>
  </si>
  <si>
    <t>Alat Penyambung Balok</t>
  </si>
  <si>
    <t>Sepatu pancang beton</t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</si>
  <si>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</t>
    </r>
    <r>
      <rPr>
        <b/>
        <sz val="11"/>
        <color rgb="FF000000"/>
        <rFont val="Arial"/>
        <family val="2"/>
      </rPr>
      <t>28 cm secara mekanis</t>
    </r>
    <r>
      <rPr>
        <b/>
        <sz val="7.8"/>
        <color rgb="FF000000"/>
        <rFont val="Arial"/>
        <family val="2"/>
      </rPr>
      <t xml:space="preserve"> </t>
    </r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</si>
  <si>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32</t>
    </r>
    <r>
      <rPr>
        <b/>
        <sz val="11"/>
        <color rgb="FF000000"/>
        <rFont val="Arial"/>
        <family val="2"/>
      </rPr>
      <t xml:space="preserve"> cm secara mekanis</t>
    </r>
    <r>
      <rPr>
        <b/>
        <sz val="7.8"/>
        <color rgb="FF000000"/>
        <rFont val="Arial"/>
        <family val="2"/>
      </rPr>
      <t xml:space="preserve"> </t>
    </r>
  </si>
  <si>
    <t xml:space="preserve">Alat Penyambung beton </t>
  </si>
  <si>
    <t xml:space="preserve">Alat Penyambung Beton </t>
  </si>
  <si>
    <t>Sepatu Pancang</t>
  </si>
  <si>
    <t>Sepatu pancang</t>
  </si>
  <si>
    <t>Per m' Pengelasan Tiang Beton tebal 10 mm</t>
  </si>
  <si>
    <t>Alat pancang Hidraulik Pile Driver</t>
  </si>
  <si>
    <t xml:space="preserve">Baut </t>
  </si>
  <si>
    <t xml:space="preserve">Kunci Momen </t>
  </si>
  <si>
    <t xml:space="preserve">Baja Profil Siku </t>
  </si>
  <si>
    <t xml:space="preserve">Pekerjaan Struktur Beton Pracetak </t>
  </si>
  <si>
    <t>2.4.1</t>
  </si>
  <si>
    <t>titik</t>
  </si>
  <si>
    <t>Lantai Kerja</t>
  </si>
  <si>
    <t>Lantai kerja</t>
  </si>
  <si>
    <t>Sewa Pipe Support</t>
  </si>
  <si>
    <t>2.5</t>
  </si>
  <si>
    <t>2.6</t>
  </si>
  <si>
    <t>Alat Pancang Mini Pile</t>
  </si>
  <si>
    <t>Alat sambung kayu terbuat dari baja</t>
  </si>
  <si>
    <t>Bambu panjang 4,5 m</t>
  </si>
  <si>
    <t xml:space="preserve">Anyaman Bambu </t>
  </si>
  <si>
    <t>Kawat bendrat</t>
  </si>
  <si>
    <t>Pipa PVC dia. 1"</t>
  </si>
  <si>
    <t>Pipa PVC dia. 2"</t>
  </si>
  <si>
    <t xml:space="preserve">Batu </t>
  </si>
  <si>
    <t>2.7</t>
  </si>
  <si>
    <t>3.1</t>
  </si>
  <si>
    <t xml:space="preserve">PEKERJAAN ARSITEKTUR </t>
  </si>
  <si>
    <t>3.1.3</t>
  </si>
  <si>
    <t>PEKERJAAN INSULASI</t>
  </si>
  <si>
    <t>PEKERJAAN AKSESORIS ATAP</t>
  </si>
  <si>
    <t>PEKERJAAN WATERPROOFING</t>
  </si>
  <si>
    <t>m;'</t>
  </si>
  <si>
    <t>3,5</t>
  </si>
  <si>
    <t>3,5,1</t>
  </si>
  <si>
    <t>3,6</t>
  </si>
  <si>
    <t>Dinding Bata Merah</t>
  </si>
  <si>
    <t>3.6.1.1</t>
  </si>
  <si>
    <t>3.8.20.2</t>
  </si>
  <si>
    <t>3,10</t>
  </si>
  <si>
    <t>n2</t>
  </si>
  <si>
    <t xml:space="preserve">3.17 </t>
  </si>
  <si>
    <t xml:space="preserve">PEKERJAAN LANSEKAP </t>
  </si>
  <si>
    <t xml:space="preserve">4.1 </t>
  </si>
  <si>
    <t xml:space="preserve">Pekerjaan Penanaman Taman </t>
  </si>
  <si>
    <t>4.1.1</t>
  </si>
  <si>
    <t>4.1.1.1</t>
  </si>
  <si>
    <t>Satuan</t>
  </si>
  <si>
    <t>Keterangan</t>
  </si>
  <si>
    <t>ASUMSI</t>
  </si>
  <si>
    <t>km</t>
  </si>
  <si>
    <t xml:space="preserve">Data Lapangan </t>
  </si>
  <si>
    <t>II</t>
  </si>
  <si>
    <t xml:space="preserve">URUTAN KERJA </t>
  </si>
  <si>
    <t>a</t>
  </si>
  <si>
    <t xml:space="preserve">Waktu Siklus </t>
  </si>
  <si>
    <t>Fa</t>
  </si>
  <si>
    <t xml:space="preserve"> -</t>
  </si>
  <si>
    <t>Poly bag</t>
  </si>
  <si>
    <t>menit</t>
  </si>
  <si>
    <t>b</t>
  </si>
  <si>
    <t>4.1.1.2</t>
  </si>
  <si>
    <t>4.1.1.3</t>
  </si>
  <si>
    <t>5.1.1.1.1</t>
  </si>
  <si>
    <t>5.1.1.1.5</t>
  </si>
  <si>
    <t>Panel Utama Tegangan Menengah</t>
  </si>
  <si>
    <t>Panel Utama Tegangan Rendah</t>
  </si>
  <si>
    <t>MDP Floor Standing</t>
  </si>
  <si>
    <t>Panel Lantai Wall Mounted 800x600x200</t>
  </si>
  <si>
    <t>Panel Lantai Wall Mounted 600x 400 x200</t>
  </si>
  <si>
    <t>Panel Power Gondola termasuk material bantu</t>
  </si>
  <si>
    <t>Panel Power Elektronik termasuk material bantu</t>
  </si>
  <si>
    <t>Panel Kontrol Pompa</t>
  </si>
  <si>
    <t>Panel Kontrol Power Chiller termasuk material bantu</t>
  </si>
  <si>
    <t>Panel Kontrol Fan Presurisasi termasuk material bantu</t>
  </si>
  <si>
    <t>5.1.7</t>
  </si>
  <si>
    <t>Pemasangan Panel Solar</t>
  </si>
  <si>
    <t>Bak Kontrol Pemeriksaan dari Batu Bata 45 x 45 x 45 cm + Tutup Beton 45 x 45 x 10 cm</t>
  </si>
  <si>
    <t>Pemasangan 1 Unit Diesel Fire Pump Centrifugal End Suction, 1.000 USGPM</t>
  </si>
  <si>
    <t>6.2</t>
  </si>
  <si>
    <t>6.5</t>
  </si>
  <si>
    <t>6.4.7</t>
  </si>
  <si>
    <t>6.4.8</t>
  </si>
  <si>
    <t xml:space="preserve">Pipa Karbon </t>
  </si>
  <si>
    <t>6.5.1</t>
  </si>
  <si>
    <t>6.5.1.1</t>
  </si>
  <si>
    <t>6.5.1.2</t>
  </si>
  <si>
    <t>6.5.1.3</t>
  </si>
  <si>
    <t>6.5.1.4</t>
  </si>
  <si>
    <t>6.5.1.5</t>
  </si>
  <si>
    <t>6.5.1.6</t>
  </si>
  <si>
    <t>6.5.1.7</t>
  </si>
  <si>
    <t>6.5.1.8</t>
  </si>
  <si>
    <t>6.5.1.9</t>
  </si>
  <si>
    <t>6.5.1.10</t>
  </si>
  <si>
    <t>6.5.1.11</t>
  </si>
  <si>
    <t>6.5.1.12</t>
  </si>
  <si>
    <t>6.5.1.13</t>
  </si>
  <si>
    <t>6.5.1.14</t>
  </si>
  <si>
    <t>6.5.2.1</t>
  </si>
  <si>
    <t>6.5.2.2</t>
  </si>
  <si>
    <t>6.5.2.3</t>
  </si>
  <si>
    <t>6.5.2.4</t>
  </si>
  <si>
    <t>6.5.2.5</t>
  </si>
  <si>
    <t>6.5.2.6</t>
  </si>
  <si>
    <t>6.5.2.7</t>
  </si>
  <si>
    <t>6.5.2.8</t>
  </si>
  <si>
    <t>6.5.2.9</t>
  </si>
  <si>
    <t>6.5.3</t>
  </si>
  <si>
    <t>6.5.3.1</t>
  </si>
  <si>
    <t>6.5.3.2</t>
  </si>
  <si>
    <t>6.5.3.3</t>
  </si>
  <si>
    <t>6.5.3.4</t>
  </si>
  <si>
    <t>6.5.3.5</t>
  </si>
  <si>
    <t>6.5.3.6</t>
  </si>
  <si>
    <t>6.5.3.7</t>
  </si>
  <si>
    <t>6.5.3.8</t>
  </si>
  <si>
    <t>6.5.3.9</t>
  </si>
  <si>
    <t>6.5.3.10</t>
  </si>
  <si>
    <t>6.5.3.11</t>
  </si>
  <si>
    <t>6.5.3.12</t>
  </si>
  <si>
    <t>6.5.3.13</t>
  </si>
  <si>
    <t>6.5.3.14</t>
  </si>
  <si>
    <t>6.5.4</t>
  </si>
  <si>
    <t>6.5.4.1</t>
  </si>
  <si>
    <t>6.5.4.2</t>
  </si>
  <si>
    <t>6.5.4.3</t>
  </si>
  <si>
    <t>6.5.4.4</t>
  </si>
  <si>
    <t>6.5.4.5</t>
  </si>
  <si>
    <t>6.5.4.6</t>
  </si>
  <si>
    <t>6.5.4.7</t>
  </si>
  <si>
    <t>6.5.4.8</t>
  </si>
  <si>
    <t>6.5.4.9</t>
  </si>
  <si>
    <t>6.5.4.10</t>
  </si>
  <si>
    <t>6.5.4.11</t>
  </si>
  <si>
    <t>6.5.5</t>
  </si>
  <si>
    <t>6.5.4.12</t>
  </si>
  <si>
    <t>6.5.4.13</t>
  </si>
  <si>
    <t>6.5.4.14</t>
  </si>
  <si>
    <t>6.5.4.15</t>
  </si>
  <si>
    <t>6.5.5.1</t>
  </si>
  <si>
    <t>6.5.5.2</t>
  </si>
  <si>
    <t>6.5.5.3</t>
  </si>
  <si>
    <t>6.5.5.4</t>
  </si>
  <si>
    <t>6.5.5.5</t>
  </si>
  <si>
    <t>6.5.5.6</t>
  </si>
  <si>
    <t>6.5.5.7</t>
  </si>
  <si>
    <t>6.5.5.8</t>
  </si>
  <si>
    <t>6.5.5.9</t>
  </si>
  <si>
    <t>6.5.5.10</t>
  </si>
  <si>
    <t>6.5.5.11</t>
  </si>
  <si>
    <t>6.5.5.12</t>
  </si>
  <si>
    <t>6.5.5.13</t>
  </si>
  <si>
    <t>6.5.5.14</t>
  </si>
  <si>
    <t>6.5.6</t>
  </si>
  <si>
    <t>6.5.6.1</t>
  </si>
  <si>
    <t>6.5.6.2</t>
  </si>
  <si>
    <t>6.5.6.3</t>
  </si>
  <si>
    <t>6.5.6.6</t>
  </si>
  <si>
    <t>6.5.6.7</t>
  </si>
  <si>
    <t>6.5.6.8</t>
  </si>
  <si>
    <t>6.5.6.9</t>
  </si>
  <si>
    <t>6.5.6.10</t>
  </si>
  <si>
    <t>6.5.6.11</t>
  </si>
  <si>
    <t>6.5.6.12</t>
  </si>
  <si>
    <t>6.5.6.13</t>
  </si>
  <si>
    <t>6.5.6.14</t>
  </si>
  <si>
    <t>6.5.6.15</t>
  </si>
  <si>
    <t>6.5.7</t>
  </si>
  <si>
    <t>6.5.7.1</t>
  </si>
  <si>
    <t>6.5.7.2</t>
  </si>
  <si>
    <t>6.5.7.3</t>
  </si>
  <si>
    <t>6.5.7.4</t>
  </si>
  <si>
    <t>6.5.7.5</t>
  </si>
  <si>
    <t>6.5.7.6</t>
  </si>
  <si>
    <t>6.5.7.7</t>
  </si>
  <si>
    <t>6.5.7.8</t>
  </si>
  <si>
    <t>6.5.7.9</t>
  </si>
  <si>
    <t>6.5.7.10</t>
  </si>
  <si>
    <t>6.5.7.11</t>
  </si>
  <si>
    <t>6.5.7.12</t>
  </si>
  <si>
    <t>6.5.7.13</t>
  </si>
  <si>
    <t>6.5.7.14</t>
  </si>
  <si>
    <t>6.5.7.23</t>
  </si>
  <si>
    <t>6.5.7.24</t>
  </si>
  <si>
    <t>6.5.8.1</t>
  </si>
  <si>
    <t>6.5.8.2</t>
  </si>
  <si>
    <t>6.5.8.3</t>
  </si>
  <si>
    <t>6.5.8.4</t>
  </si>
  <si>
    <t>6.5.8.5</t>
  </si>
  <si>
    <t>6.5.8.6</t>
  </si>
  <si>
    <t>6.5.8.7</t>
  </si>
  <si>
    <t>6.5.8.8</t>
  </si>
  <si>
    <t>6.5.8.9</t>
  </si>
  <si>
    <t>6.5.8.10</t>
  </si>
  <si>
    <t>6.5.9</t>
  </si>
  <si>
    <t>6.5.9.1</t>
  </si>
  <si>
    <t>6.5.9.2</t>
  </si>
  <si>
    <t>6.5.9.3</t>
  </si>
  <si>
    <t>6.5.9.4</t>
  </si>
  <si>
    <t>6.5.9.5</t>
  </si>
  <si>
    <t>6.5.9.6</t>
  </si>
  <si>
    <t>6.5.9.7</t>
  </si>
  <si>
    <t>6.5.9.8</t>
  </si>
  <si>
    <t>6.5.9.9</t>
  </si>
  <si>
    <t>6.5.9.10</t>
  </si>
  <si>
    <t>6.5.9.11</t>
  </si>
  <si>
    <t>6.5.9.12</t>
  </si>
  <si>
    <t>6.5.10</t>
  </si>
  <si>
    <t>6.5.10.1</t>
  </si>
  <si>
    <t>6.5.10.3</t>
  </si>
  <si>
    <t>6.5.10.2</t>
  </si>
  <si>
    <t>6.5.10.4</t>
  </si>
  <si>
    <t>6.5.10.5</t>
  </si>
  <si>
    <t>6.5.10.9</t>
  </si>
  <si>
    <t>6.5.10.10</t>
  </si>
  <si>
    <t>6.5.11</t>
  </si>
  <si>
    <t>6.5.11.1</t>
  </si>
  <si>
    <t>6.5.11.2</t>
  </si>
  <si>
    <t>6.5.11.3</t>
  </si>
  <si>
    <t>6.5.11.4</t>
  </si>
  <si>
    <t>6.5.11.5</t>
  </si>
  <si>
    <t>6.5.11.6</t>
  </si>
  <si>
    <t>6.5.11.7</t>
  </si>
  <si>
    <t>6.5.11.8</t>
  </si>
  <si>
    <t>6.5.11.9</t>
  </si>
  <si>
    <t>6.5.11.10</t>
  </si>
  <si>
    <t>6.5.11.11</t>
  </si>
  <si>
    <t>6.5.11.12</t>
  </si>
  <si>
    <t>6.5.11.13</t>
  </si>
  <si>
    <t>6.5.12.1</t>
  </si>
  <si>
    <t>6.5.12.2</t>
  </si>
  <si>
    <t>6.5.12.3</t>
  </si>
  <si>
    <t>6.5.12.4</t>
  </si>
  <si>
    <t>6.5.12.5</t>
  </si>
  <si>
    <t>6.5.12.6</t>
  </si>
  <si>
    <t>6.5.12.7</t>
  </si>
  <si>
    <t>6.5.13.1</t>
  </si>
  <si>
    <t>6.5.13.2</t>
  </si>
  <si>
    <t>6.5.13.3</t>
  </si>
  <si>
    <t>6.5.13.4</t>
  </si>
  <si>
    <t>6.5.13.5</t>
  </si>
  <si>
    <t>6.5.13.6</t>
  </si>
  <si>
    <t>6.5.13.7</t>
  </si>
  <si>
    <t>6.5.13.8</t>
  </si>
  <si>
    <t>6.5.13.9</t>
  </si>
  <si>
    <t>6.5.14.1</t>
  </si>
  <si>
    <t>6.5.14.2</t>
  </si>
  <si>
    <t>6.5.15</t>
  </si>
  <si>
    <t>6.5.14.3</t>
  </si>
  <si>
    <t>6.5.14.4</t>
  </si>
  <si>
    <t>6.5.14.5</t>
  </si>
  <si>
    <t>6.5.14.6</t>
  </si>
  <si>
    <t>6.5.15.1</t>
  </si>
  <si>
    <t>6.5.15.2</t>
  </si>
  <si>
    <t>6.5.16</t>
  </si>
  <si>
    <t>6.5.15.3</t>
  </si>
  <si>
    <t>6.5.16.1</t>
  </si>
  <si>
    <t>6.5.16.2</t>
  </si>
  <si>
    <t>6.5.16.3</t>
  </si>
  <si>
    <t>6.5.16.4</t>
  </si>
  <si>
    <t>6.5.16.5</t>
  </si>
  <si>
    <t>6.5.16.6</t>
  </si>
  <si>
    <t>6.5.17.1</t>
  </si>
  <si>
    <t>6.5.17.2</t>
  </si>
  <si>
    <t>6.5.18</t>
  </si>
  <si>
    <t>6.5.17.3</t>
  </si>
  <si>
    <t>6.5.17.4</t>
  </si>
  <si>
    <t>6.5.17.5</t>
  </si>
  <si>
    <t>6.5.17.6</t>
  </si>
  <si>
    <t>6.5.18.1</t>
  </si>
  <si>
    <t>6.5.19</t>
  </si>
  <si>
    <t>6.5.19.1</t>
  </si>
  <si>
    <t>6.5.20</t>
  </si>
  <si>
    <t>6.5.20.1</t>
  </si>
  <si>
    <t>6.5.21</t>
  </si>
  <si>
    <t>6.5.21.1</t>
  </si>
  <si>
    <t>6.5.22</t>
  </si>
  <si>
    <t>6.5.22.1</t>
  </si>
  <si>
    <t>6.5.23</t>
  </si>
  <si>
    <t>6.5.23.1</t>
  </si>
  <si>
    <t>6.5.23.2</t>
  </si>
  <si>
    <t>6.5.24</t>
  </si>
  <si>
    <t>6.5.24.1</t>
  </si>
  <si>
    <t>6.5.24.2</t>
  </si>
  <si>
    <t>6.5.24.3</t>
  </si>
  <si>
    <t>6.6</t>
  </si>
  <si>
    <t>JALAN PAVING BLOCK</t>
  </si>
  <si>
    <t>7.1.2.3</t>
  </si>
  <si>
    <t>7.2</t>
  </si>
  <si>
    <t>7.3.2</t>
  </si>
  <si>
    <t xml:space="preserve">ton </t>
  </si>
  <si>
    <t>8.1</t>
  </si>
  <si>
    <t>8.2.12</t>
  </si>
  <si>
    <t>PEKERJAAN JARINGAN PIPA LUAR GEDUNG</t>
  </si>
  <si>
    <t>Pipa PVC</t>
  </si>
  <si>
    <t>9.7.2.24</t>
  </si>
  <si>
    <t>10.1</t>
  </si>
  <si>
    <t xml:space="preserve">Baut dan Mur f12 L=4" </t>
  </si>
  <si>
    <t>Baut dan Mur f12, L=6"</t>
  </si>
  <si>
    <t>Baut dan Mur f12, L=7"</t>
  </si>
  <si>
    <t xml:space="preserve">Angkur Baja Full Drat ASTM 307 dia. 10 mm Panjang 35 cm </t>
  </si>
  <si>
    <t>4.1.1.4</t>
  </si>
  <si>
    <t>4.1.1.5</t>
  </si>
  <si>
    <t>Harga Satuan Dasar Pekerja (Kenek)</t>
  </si>
  <si>
    <t>Air disiramkan dari tangki Water Truck ke area tanam</t>
  </si>
  <si>
    <t>data standar</t>
  </si>
  <si>
    <t>reet/hari</t>
  </si>
  <si>
    <t>m2/hari</t>
  </si>
  <si>
    <t>Depresiasi / hari (depresiasi per bulan + biaya KIR)</t>
  </si>
  <si>
    <t>orang</t>
  </si>
  <si>
    <t xml:space="preserve">orang </t>
  </si>
  <si>
    <t>4.1.2</t>
  </si>
  <si>
    <t>Penanaman Pohon</t>
  </si>
  <si>
    <t>4.1.2.1</t>
  </si>
  <si>
    <t xml:space="preserve">Pohon kecil Anggur terompet </t>
  </si>
  <si>
    <t xml:space="preserve">Steger </t>
  </si>
  <si>
    <t xml:space="preserve">Media Tanam </t>
  </si>
  <si>
    <t xml:space="preserve">pupuk organik </t>
  </si>
  <si>
    <t>c</t>
  </si>
  <si>
    <t>bambu panjang 2 meter</t>
  </si>
  <si>
    <t xml:space="preserve">Tali Ijuk </t>
  </si>
  <si>
    <t xml:space="preserve">Pupuk Organik </t>
  </si>
  <si>
    <t xml:space="preserve">Kompos </t>
  </si>
  <si>
    <t xml:space="preserve">Anti Rayap tanah </t>
  </si>
  <si>
    <t>4.1.2.2</t>
  </si>
  <si>
    <t xml:space="preserve">Pohon kecil Pucuk merah </t>
  </si>
  <si>
    <t xml:space="preserve">Pupuk organik </t>
  </si>
  <si>
    <t>4.1.2.3</t>
  </si>
  <si>
    <t xml:space="preserve">Pohon sedang Ketapang Kencana </t>
  </si>
  <si>
    <t>4.1.2.4</t>
  </si>
  <si>
    <t>Pohon sedang Tabebuya</t>
  </si>
  <si>
    <t>Pohon Besar Kamboja</t>
  </si>
  <si>
    <t>4.1.2.5</t>
  </si>
  <si>
    <t>4.1.2.6</t>
  </si>
  <si>
    <t>Pohon Besar Beringin</t>
  </si>
  <si>
    <t>4.1.2.7</t>
  </si>
  <si>
    <t>Pohon Besar Pulai</t>
  </si>
  <si>
    <t>4.1.2.8</t>
  </si>
  <si>
    <t>Pohon Besar Trembesi</t>
  </si>
  <si>
    <t>4.1.3</t>
  </si>
  <si>
    <t>4.1.3.1</t>
  </si>
  <si>
    <t>Palem Kecil Palem Wregu</t>
  </si>
  <si>
    <t>4.1.3.2</t>
  </si>
  <si>
    <t>Palem Kecil Palem Kuning</t>
  </si>
  <si>
    <t>4.1.3.3</t>
  </si>
  <si>
    <t xml:space="preserve">Palem Besar Palem Ekor Tupai </t>
  </si>
  <si>
    <t>4.1.3.4</t>
  </si>
  <si>
    <t xml:space="preserve">Palem Besar Kelapa </t>
  </si>
  <si>
    <t>4.1.3.5</t>
  </si>
  <si>
    <t xml:space="preserve">Palem Besar Palem Botol </t>
  </si>
  <si>
    <t>4.1.3.6</t>
  </si>
  <si>
    <t>Palem Besar Palem Sadeng</t>
  </si>
  <si>
    <t xml:space="preserve">MATERIAL LANSEKAP </t>
  </si>
  <si>
    <t>4.1.4.2</t>
  </si>
  <si>
    <t>Semak Capit Udang</t>
  </si>
  <si>
    <t>4.1.4.3</t>
  </si>
  <si>
    <t>Penanaman Penutup Tanah (Ground Cover)</t>
  </si>
  <si>
    <t>4.1.5.1</t>
  </si>
  <si>
    <t xml:space="preserve">Penutup Tanah Kacang Hias </t>
  </si>
  <si>
    <t xml:space="preserve">Penanaman Rumput </t>
  </si>
  <si>
    <t>4.1.6.1</t>
  </si>
  <si>
    <t>4.1.7</t>
  </si>
  <si>
    <t xml:space="preserve">Penanaman pada Lahan Miring/Kelerengan </t>
  </si>
  <si>
    <t>4.1.7.1</t>
  </si>
  <si>
    <t xml:space="preserve">Matras Tipe I, Termasuk angkur / penguat matras </t>
  </si>
  <si>
    <t>Bibit Vegetasi (Biji Rumput)</t>
  </si>
  <si>
    <t xml:space="preserve">Mulsa </t>
  </si>
  <si>
    <t xml:space="preserve">Sewa Mesin Hydroseeding 2000L </t>
  </si>
  <si>
    <t xml:space="preserve">Perekat Campuran Hydroseeding </t>
  </si>
  <si>
    <t>4.1.7.2</t>
  </si>
  <si>
    <t>4.1.7.3</t>
  </si>
  <si>
    <t xml:space="preserve">Matras Tipe II, Termasuk angkur / penguat matras </t>
  </si>
  <si>
    <t>4.1.7.5</t>
  </si>
  <si>
    <t xml:space="preserve">Matras Tipe III, Termasuk angkur / penguat matras </t>
  </si>
  <si>
    <t>4.1.7.4</t>
  </si>
  <si>
    <t>4.1.7.6</t>
  </si>
  <si>
    <t>4.1.7.7</t>
  </si>
  <si>
    <t>Bibit Vegetasi (Biji Legume Crop Cover/LCC)</t>
  </si>
  <si>
    <t>4.1.7.9</t>
  </si>
  <si>
    <t>4.1.7.10</t>
  </si>
  <si>
    <t>4.1.7.11</t>
  </si>
  <si>
    <t>4.1.7.12</t>
  </si>
  <si>
    <t>4.1.8</t>
  </si>
  <si>
    <t>Pengolahan Tanah berPH 4,50-5,50 dan bertekstur Pasir 60,01%-100,00% atau tanah sandy per m3</t>
  </si>
  <si>
    <t xml:space="preserve">Material Organik </t>
  </si>
  <si>
    <t xml:space="preserve">Kapur </t>
  </si>
  <si>
    <t>4.1.8.2</t>
  </si>
  <si>
    <t>4.1.8.3</t>
  </si>
  <si>
    <t>4.1.8.4</t>
  </si>
  <si>
    <t>4.1.8.5</t>
  </si>
  <si>
    <t>4.1.8.6</t>
  </si>
  <si>
    <t>4.1.8.7</t>
  </si>
  <si>
    <t xml:space="preserve">sulfur </t>
  </si>
  <si>
    <t xml:space="preserve">Sulfur </t>
  </si>
  <si>
    <t>4.1.8.8</t>
  </si>
  <si>
    <t>4.1.8.9</t>
  </si>
  <si>
    <t>4.1.8.10</t>
  </si>
  <si>
    <t>4.1.9</t>
  </si>
  <si>
    <t xml:space="preserve">Pengolahan Tanah Bertekstur Tidak Subur </t>
  </si>
  <si>
    <t>4.1.9.1</t>
  </si>
  <si>
    <t>Pengolahan Tanah bertekstur  liat  40,01%-60,00% atau tanah Sandy per m3</t>
  </si>
  <si>
    <t>4.1.9.2</t>
  </si>
  <si>
    <t>Pengolahan Tanah bertekstur  liat  60,01%-100,00% atau tanah Sandy Loam per m3</t>
  </si>
  <si>
    <t>4.1.9.3</t>
  </si>
  <si>
    <t>Pengolahan Tanah bertekstur  liat  60,01%-100,00% atau tanah Loam to Clay Loam per m3</t>
  </si>
  <si>
    <t>4.1.10</t>
  </si>
  <si>
    <t>Penyiraman Pada Tanah Datar (Lahan Subur)</t>
  </si>
  <si>
    <t>4.1.10.1</t>
  </si>
  <si>
    <t>Peyiraman untuk 1 hari ( dengan selang plastik 3/4 ich) untuk 1 buah pohon/palem</t>
  </si>
  <si>
    <t>Air Bersih</t>
  </si>
  <si>
    <t>4.1.10.2</t>
  </si>
  <si>
    <t>4.1.10.3</t>
  </si>
  <si>
    <t xml:space="preserve">Peyiraman untuk 1 m2 Semak/Penutup tanah untuk 1 hari ( dengan selang plastik 3/4 ich) </t>
  </si>
  <si>
    <t xml:space="preserve">Peyiraman untuk 1 m2 Rumput untuk 1 hari ( dengan selang plastik 3/4 ich) </t>
  </si>
  <si>
    <t>4.1.10.4</t>
  </si>
  <si>
    <t xml:space="preserve">Peyiraman untuk 1 m2 Semak/Penutup Tanah  untuk 1 hari ( dengan Sprinkler) *Sistem Sprinkler tersedia </t>
  </si>
  <si>
    <t>4.1.10.5</t>
  </si>
  <si>
    <t xml:space="preserve">Peyiraman untuk 1 m2 Rumput untuk 1 hari ( dengan Sprinkler) *Sistem Sprinkler tersedia </t>
  </si>
  <si>
    <t>4.1.11</t>
  </si>
  <si>
    <t>Penyiraman pada Tanah Tidak Subur di Lahan Datar</t>
  </si>
  <si>
    <t>4.1.11.1</t>
  </si>
  <si>
    <t>Penyiraman untuk 1 hari (dengan Selang Plastik 3/4 inch) untuk 1 buah pohon/palem di tanah tidak subur di lahan datar dan tidak memiliki jaringa air yang baik</t>
  </si>
  <si>
    <t xml:space="preserve">catatan : *) jika sumber air dari luar lokasi pekerjaan </t>
  </si>
  <si>
    <t xml:space="preserve">Water Truck </t>
  </si>
  <si>
    <t>4.1.11.2</t>
  </si>
  <si>
    <t>4.1.11.3</t>
  </si>
  <si>
    <t>4.1.11.4</t>
  </si>
  <si>
    <t>4.1.11.5</t>
  </si>
  <si>
    <t>4.1.11.6</t>
  </si>
  <si>
    <t>4.1.11.7</t>
  </si>
  <si>
    <t>4.1.11.8</t>
  </si>
  <si>
    <t>4.1.11.9</t>
  </si>
  <si>
    <t>4.1.11.10</t>
  </si>
  <si>
    <t xml:space="preserve">Penyiraman pada Tanah Subur di Lahan Miring/Kelerengan </t>
  </si>
  <si>
    <t>4.1.12.1</t>
  </si>
  <si>
    <t>4.1.13</t>
  </si>
  <si>
    <t>4.1.13.1</t>
  </si>
  <si>
    <t>4.1.13.2</t>
  </si>
  <si>
    <t>4.1.13.3</t>
  </si>
  <si>
    <t>4.1.13.4</t>
  </si>
  <si>
    <t>4.1.13.5</t>
  </si>
  <si>
    <t>4.1.13.6</t>
  </si>
  <si>
    <t>4.2.1</t>
  </si>
  <si>
    <t>4.2.1.1</t>
  </si>
  <si>
    <t>4.2.1.2</t>
  </si>
  <si>
    <t xml:space="preserve">Pemupukan Organik </t>
  </si>
  <si>
    <t>4.2.2</t>
  </si>
  <si>
    <t>4.2.2.1</t>
  </si>
  <si>
    <t>4.2.2.2</t>
  </si>
  <si>
    <t>4.2.3</t>
  </si>
  <si>
    <t>4.2.3.1</t>
  </si>
  <si>
    <t>Pupuk anorganik (ex: NPK)</t>
  </si>
  <si>
    <t>4.2.3.2</t>
  </si>
  <si>
    <t>Catatan: Harga satuan upah Tukang Pemelihara Taman setara dengan 115% Pekerja</t>
  </si>
  <si>
    <t>4.2.3.3</t>
  </si>
  <si>
    <t>Pupuk anorganik cair (ex: NPK)</t>
  </si>
  <si>
    <t>4.2.3.4</t>
  </si>
  <si>
    <t>4.2.4</t>
  </si>
  <si>
    <t>4.2.4.1</t>
  </si>
  <si>
    <t>4.2.4.2</t>
  </si>
  <si>
    <t>4.2.4.3</t>
  </si>
  <si>
    <t>4.2.4.4</t>
  </si>
  <si>
    <t>4.2.4.5</t>
  </si>
  <si>
    <t>4.2.4.6</t>
  </si>
  <si>
    <t>4.2.5</t>
  </si>
  <si>
    <t>4.2.5.1</t>
  </si>
  <si>
    <t>Fungisida/Insektisida</t>
  </si>
  <si>
    <t>4.2.5.2</t>
  </si>
  <si>
    <t>4.2.6</t>
  </si>
  <si>
    <t>Pembersihan (Penyapuan) 1 m2 Area Tanam</t>
  </si>
  <si>
    <t>4.3.</t>
  </si>
  <si>
    <t>PEKERJAAN HARDSCAPE DAN STREET FURNITURE</t>
  </si>
  <si>
    <t>4.3.1</t>
  </si>
  <si>
    <t>Pembuatan dan pemasangan 1 buah Tong Sampah Kaleng 2 Tabung dengan Rangka Hollow 30x60</t>
  </si>
  <si>
    <t>Tong Sampah 2 tabung</t>
  </si>
  <si>
    <t>Besi Hollow 30x60</t>
  </si>
  <si>
    <t>cat minyak</t>
  </si>
  <si>
    <t>lkg</t>
  </si>
  <si>
    <t>Cat Minyak</t>
  </si>
  <si>
    <t>4.1.7.8</t>
  </si>
  <si>
    <t>4.1.12</t>
  </si>
  <si>
    <t>4.1.12.2</t>
  </si>
  <si>
    <t>4.1.12.3</t>
  </si>
  <si>
    <t>Terminal Busbar 300 x 50 x 5 mm</t>
  </si>
  <si>
    <t>Batang Tembaga Pembumian Dia.5/8” (kedalaman min. 12 m)</t>
  </si>
  <si>
    <t>Pantek (kedalaman min. 12 m)</t>
  </si>
  <si>
    <t>Kabel BC 95 mm2</t>
  </si>
  <si>
    <t>Kabel Skun 95 mm2</t>
  </si>
  <si>
    <t>Rod Coupling</t>
  </si>
  <si>
    <t>Material Bantu</t>
  </si>
  <si>
    <t>lot</t>
  </si>
  <si>
    <t>loat</t>
  </si>
  <si>
    <t xml:space="preserve">MATERIAL SISTEM PEMBUMIAN </t>
  </si>
  <si>
    <t>5.1.8.2</t>
  </si>
  <si>
    <t>Pemasangan 1 set pembumian sistem elektrikal dengan batang tembaga dia.3/4"</t>
  </si>
  <si>
    <t>Batang Tembaga Pembumian Dia.3/4” (kedalaman min. 12 m)</t>
  </si>
  <si>
    <t>5.2</t>
  </si>
  <si>
    <t xml:space="preserve">PEKERJAAN SISTEM PROTEKSI PETIR </t>
  </si>
  <si>
    <t>5.2.1</t>
  </si>
  <si>
    <t>Pemasangan 1 unit Air Terminal @1.000 mm</t>
  </si>
  <si>
    <t xml:space="preserve">Air Terminal </t>
  </si>
  <si>
    <t>5.2.2</t>
  </si>
  <si>
    <t xml:space="preserve">Pemasangan 1 unit Base Air Terminal </t>
  </si>
  <si>
    <t xml:space="preserve">Base Air Terminal </t>
  </si>
  <si>
    <t>5.2.3</t>
  </si>
  <si>
    <t xml:space="preserve">Pemasangan 1 Unit DC Clip Non Metalic Clamp </t>
  </si>
  <si>
    <t xml:space="preserve">DC Clip Non Metalic Clamp </t>
  </si>
  <si>
    <t>5.2.4</t>
  </si>
  <si>
    <t>Pemasangan 1 UnitSquare Tape Clamp</t>
  </si>
  <si>
    <t>Square Tape Clamp</t>
  </si>
  <si>
    <t>5.2.5</t>
  </si>
  <si>
    <t xml:space="preserve">Pemasangan 1 Unit Bimetallic Connector </t>
  </si>
  <si>
    <t xml:space="preserve">Bimetallic Connector </t>
  </si>
  <si>
    <t>5.2.6</t>
  </si>
  <si>
    <t xml:space="preserve">Pemasangan 1 Unit Grounding Test Box </t>
  </si>
  <si>
    <t>Grounding Test Box</t>
  </si>
  <si>
    <t>5.2.7</t>
  </si>
  <si>
    <t>Pemasangan 1 Unit 5/8" Rod Coupling</t>
  </si>
  <si>
    <t xml:space="preserve">5/8" Rod Coupling </t>
  </si>
  <si>
    <t>5.2.8</t>
  </si>
  <si>
    <t xml:space="preserve">Pemasangan 1 Unit 5/8"Driving Stud </t>
  </si>
  <si>
    <t xml:space="preserve">5/8" Driving Stud </t>
  </si>
  <si>
    <t>5.2.9</t>
  </si>
  <si>
    <t>Rod to Cable Clamp (Type GUV)</t>
  </si>
  <si>
    <t>5.2.10</t>
  </si>
  <si>
    <t>Pemasangan 1 Unit Rod to Cable Clamp (Type GUV)</t>
  </si>
  <si>
    <t>Pemasangan 1 Unit Polymer Inspection Pit</t>
  </si>
  <si>
    <t>Polymer Inspection Pit</t>
  </si>
  <si>
    <t>5.2.11</t>
  </si>
  <si>
    <t>Pemasangan 1 Unit Coupling Bonding Grounded Rod 70 mm2</t>
  </si>
  <si>
    <t>Coupling Bonding Grounded Rod 70 mm2</t>
  </si>
  <si>
    <t>5.2.12</t>
  </si>
  <si>
    <t>Pemasangan 1 Unit Clamp BC L ukuran BC 70 mm2</t>
  </si>
  <si>
    <t>Clamp BC L ukuran BC 70 mm2</t>
  </si>
  <si>
    <t>5.2.13</t>
  </si>
  <si>
    <t>Pemasangan 1 Unit Clamp PVC 1"</t>
  </si>
  <si>
    <t>Clamp PVC 1"</t>
  </si>
  <si>
    <t>5.2.14</t>
  </si>
  <si>
    <t>Pemasangan 1 unit Copper Air Terminal Base 15 mm (dudukan)</t>
  </si>
  <si>
    <t xml:space="preserve">Copper Air Terminal Base 15 mm </t>
  </si>
  <si>
    <t>5.2.15</t>
  </si>
  <si>
    <t xml:space="preserve">Pemasangan 1 unit 15x500 mm Aluminium Air Rod </t>
  </si>
  <si>
    <t xml:space="preserve">15x500 mm Aluminium Air Rod </t>
  </si>
  <si>
    <t>5.2.16</t>
  </si>
  <si>
    <t>Pemasangan 1 unit 15x500 mm Coper Air Rod</t>
  </si>
  <si>
    <t xml:space="preserve">15x500 mm Copper Air Rod </t>
  </si>
  <si>
    <t>5.2.17</t>
  </si>
  <si>
    <t>Pemasangan 1 m' 25x3 mm Bare Aluminium Tape</t>
  </si>
  <si>
    <t>25x3 mm Bare Aluminium Tape</t>
  </si>
  <si>
    <t>5.2.18</t>
  </si>
  <si>
    <t>Pemasangan 1 buah 5/8" x 1800 mm Extensible Copperbond Rod</t>
  </si>
  <si>
    <t xml:space="preserve">5/8" x 1800 mm Extensible Copperbond Rod </t>
  </si>
  <si>
    <t>5.2.19</t>
  </si>
  <si>
    <t>Pemasangan 1 buah 5/8" Copperbond Rod</t>
  </si>
  <si>
    <t xml:space="preserve">5/8" Copperbond Rod </t>
  </si>
  <si>
    <t>5.2.20</t>
  </si>
  <si>
    <t xml:space="preserve">Pemasangan 1 buah Grounding Rod Gip 1" Panjang 1 m </t>
  </si>
  <si>
    <t xml:space="preserve">Grounding Rod Gip 1" Panjang 1 m </t>
  </si>
  <si>
    <t>5.2.21</t>
  </si>
  <si>
    <t xml:space="preserve">Grounding Rod Gip 1" Panjang 2 m </t>
  </si>
  <si>
    <t>5.2.22</t>
  </si>
  <si>
    <t xml:space="preserve">Pemasangan 1 buah Grounding Rod Gip 1" Panjang 2m </t>
  </si>
  <si>
    <t xml:space="preserve">Pemasangan 1 buah 1" Rod Coupling </t>
  </si>
  <si>
    <t>5.2.23</t>
  </si>
  <si>
    <t xml:space="preserve">Pemasangan 1 buah Exothermic Welding </t>
  </si>
  <si>
    <t>Exothermic Welding</t>
  </si>
  <si>
    <t>5.2.24</t>
  </si>
  <si>
    <t>Pemasangan 1 unit Surge Arrester 1 Phase ( 15 KA)</t>
  </si>
  <si>
    <t>Surge Arrester 1 Phase (15 KA)</t>
  </si>
  <si>
    <t>5.2.25</t>
  </si>
  <si>
    <t>Pemasangan 1 unit Surge Arrester 3 Phase ( 15 KA)</t>
  </si>
  <si>
    <t>Surge Arrester 3 Phase (15 KA)</t>
  </si>
  <si>
    <t xml:space="preserve">PEKERJAAN SISTEM PENCAHAYAAN </t>
  </si>
  <si>
    <t xml:space="preserve">Pemasangan Lampu dan Armatur </t>
  </si>
  <si>
    <t xml:space="preserve"> Pemasangan 1 titik Instalasi Lampu</t>
  </si>
  <si>
    <t xml:space="preserve">m </t>
  </si>
  <si>
    <t>Klem 20 mm</t>
  </si>
  <si>
    <t xml:space="preserve"> Pemasangan 1 titik Instalasi Lampu (Kabel LSOH)</t>
  </si>
  <si>
    <t>Flexible Conduit 20 mm</t>
  </si>
  <si>
    <t xml:space="preserve">Pemasangan 1 Unit Downlight 5 inch 14,5 Watt LED </t>
  </si>
  <si>
    <t>Downlight 5 Inch 14, 5 Watt LED + Aksesoris</t>
  </si>
  <si>
    <t>Pemasangan 1 Unit Fitting E27 + 10 Watt LED</t>
  </si>
  <si>
    <t xml:space="preserve">Lampu LED E27 10 watt + Aksesoris </t>
  </si>
  <si>
    <t xml:space="preserve">Fitting E27 + Aksesoris </t>
  </si>
  <si>
    <t>Pemasangan 1 Unit Fitting E27 + 10 Watt LED c/w Nicad Battery</t>
  </si>
  <si>
    <t>5.3.1.2</t>
  </si>
  <si>
    <t>5.3.1.3</t>
  </si>
  <si>
    <t>5.3.1.4</t>
  </si>
  <si>
    <t>5.3.1.5</t>
  </si>
  <si>
    <t xml:space="preserve">Nicad Battery </t>
  </si>
  <si>
    <t>5.3.1.6</t>
  </si>
  <si>
    <t xml:space="preserve">Pemasangan 1 Unit Fitting E27 + 19 Watt LED </t>
  </si>
  <si>
    <t>Lampu LED E27 19 watt</t>
  </si>
  <si>
    <t>5.3.1.7</t>
  </si>
  <si>
    <t>Pemasangan 1 Unit Fitting E27 + 19 Watt LED  c/w Nicad Battery</t>
  </si>
  <si>
    <t>5.3.1.8</t>
  </si>
  <si>
    <t xml:space="preserve">Pemasangan 1 Unit RM TKI 2 x 16 Watt LED </t>
  </si>
  <si>
    <t>RM TKI 2 x 16 Watt LED</t>
  </si>
  <si>
    <t>5.3.1.9</t>
  </si>
  <si>
    <t>Pemasangan 1 Unit Lampu Sorot LED 100 watt</t>
  </si>
  <si>
    <t>Lampu Sorot LED 100 Watt</t>
  </si>
  <si>
    <t>5.3.1.10</t>
  </si>
  <si>
    <t>Pemasangan 1 Unit Lampu Sorot RGB 30 Watt 100 untuk Outdoor</t>
  </si>
  <si>
    <t xml:space="preserve">Lampu Sorot RGB 30 Watt untuk Outdoor </t>
  </si>
  <si>
    <t xml:space="preserve">Pelindung Lampu </t>
  </si>
  <si>
    <t>5.3.1.11</t>
  </si>
  <si>
    <t>Pemasangan 1 Unit Lampu High Bay 100 Watt</t>
  </si>
  <si>
    <t xml:space="preserve">Lampu High Bay 100 Watt </t>
  </si>
  <si>
    <t>5.3.1.12</t>
  </si>
  <si>
    <t>Pemasangan 1 Unit Lampu Eksit LED 3 Watt c/w Battery</t>
  </si>
  <si>
    <t xml:space="preserve">Lampu Eksit LED 3 Watt c/w Battery </t>
  </si>
  <si>
    <t>5.3.1.13</t>
  </si>
  <si>
    <t xml:space="preserve">Lampu TLED 1  x 14 Watt 2.100 Lumen </t>
  </si>
  <si>
    <t>5.3.1.14</t>
  </si>
  <si>
    <t>Pemasangan 1 Unit Lampu TLED 1 X 14 Watt 2.100 Lumen (Dust Proof)</t>
  </si>
  <si>
    <t>Lampu TLED 1 x 24 Watt 2.100 Lumen</t>
  </si>
  <si>
    <t>Pemasangan 1 Unit Lampu TLED 1 X 24 Watt 2.100 Lumen (Balk)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</si>
  <si>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</si>
  <si>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</si>
  <si>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</si>
  <si>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</si>
  <si>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Lampu TLED 2 x 24 Watt 2.100 Lumen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</si>
  <si>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</si>
  <si>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</si>
  <si>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</si>
  <si>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</si>
  <si>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 xml:space="preserve">Lampu PJU LED 50 Watt </t>
  </si>
  <si>
    <t>Tiang PJU Kawasan 6-7 m</t>
  </si>
  <si>
    <t>5.3.1.19</t>
  </si>
  <si>
    <t>Pemasangan 1 Unit Lampu Kawasan LED 50 Watt + Solar Cell + Tiang 6-7 M ( Single Pool)</t>
  </si>
  <si>
    <t>Lampu PJU LED 50 Watt + Solar Cell</t>
  </si>
  <si>
    <t>5.3.1.20</t>
  </si>
  <si>
    <t>Pemasangan 1 Unit Lampu Taman 25 Watt + Tiang 1 M</t>
  </si>
  <si>
    <t>Lampu Taman 25 Watt +Tiang 1 m</t>
  </si>
  <si>
    <t>5.3.1.21</t>
  </si>
  <si>
    <t>Pemasangan 1 Unit Fitting + 7 Watt LED</t>
  </si>
  <si>
    <t xml:space="preserve">Lampu LED 7 Watt </t>
  </si>
  <si>
    <t>Fitting</t>
  </si>
  <si>
    <t>5.3.1.22</t>
  </si>
  <si>
    <t>Pemasangan 1 Unit Fitting + 7 Watt LED c/w Nicad Battery</t>
  </si>
  <si>
    <t>5.3.1.23</t>
  </si>
  <si>
    <t xml:space="preserve">Pemasangan 1 Unit Fitting +  9 Watt LED </t>
  </si>
  <si>
    <t xml:space="preserve">Lampu LED 9 Watt </t>
  </si>
  <si>
    <t>5.3.1.24</t>
  </si>
  <si>
    <t xml:space="preserve">Pemasangan 1 Unit Fitting +  9 Watt LED c/w Nicad Battery </t>
  </si>
  <si>
    <t>5.3.1.25</t>
  </si>
  <si>
    <t xml:space="preserve">Pemasangan 1 Unit Fitting +  20 Watt Baret c/w Nicad Battery </t>
  </si>
  <si>
    <t>Lampu Baret 20 Watt</t>
  </si>
  <si>
    <t>5.3.1.26</t>
  </si>
  <si>
    <t xml:space="preserve">Pemasangan 1 Unit Fitting +  32 Watt Baret c/w Nicad Battery </t>
  </si>
  <si>
    <t>Lampu Baret 32 Watt</t>
  </si>
  <si>
    <t>5.3.1.27</t>
  </si>
  <si>
    <t>Pemasangan 1 Unit Fitting +  40 Watt Lampu Pijar</t>
  </si>
  <si>
    <t xml:space="preserve">Lampu Pijar 40 Watt </t>
  </si>
  <si>
    <t>5.3.1.28</t>
  </si>
  <si>
    <t>Pemasangan 1 Unit Lampu TL 18 Watt ( Balk)</t>
  </si>
  <si>
    <t xml:space="preserve">Lampu TL 18 Watt </t>
  </si>
  <si>
    <t>5.3.1.29</t>
  </si>
  <si>
    <t>Pemasangan 1 Unit Lampu TLED 18 Watt ( Balk)</t>
  </si>
  <si>
    <t xml:space="preserve">Lampu TLED 18 Watt </t>
  </si>
  <si>
    <t>Pemasangan 1 Unit Lampu TL  36 Watt ( Balk)</t>
  </si>
  <si>
    <t>Lampu TL  36 Watt</t>
  </si>
  <si>
    <t>5.3.1. 31</t>
  </si>
  <si>
    <t>5.3.1. 30</t>
  </si>
  <si>
    <t>Pemasangan 1 Unit Lampu TL ED 36 Watt ( Balk)</t>
  </si>
  <si>
    <t>Lampu TLED  36 Watt</t>
  </si>
  <si>
    <t>5.3.1. 32</t>
  </si>
  <si>
    <t>Pemasangan 1 titik Instalasi Lampu Luar/Taman ( dengan Kabel NYFGBY)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</si>
  <si>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</si>
  <si>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</si>
  <si>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</si>
  <si>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</si>
  <si>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</si>
  <si>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</si>
  <si>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</si>
  <si>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</si>
  <si>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</si>
  <si>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</si>
  <si>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</si>
  <si>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</si>
  <si>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</si>
  <si>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</si>
  <si>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 xml:space="preserve">Lampu Sport Floodlight Led </t>
  </si>
  <si>
    <t xml:space="preserve">Brackket </t>
  </si>
  <si>
    <t xml:space="preserve">Boom Lift </t>
  </si>
  <si>
    <t>5.3.1. 40</t>
  </si>
  <si>
    <t xml:space="preserve">Pemasangan 1 buah Junction Box IP Rated </t>
  </si>
  <si>
    <t xml:space="preserve">Junction Box IP Rated </t>
  </si>
  <si>
    <t>5.3.1. 41</t>
  </si>
  <si>
    <t xml:space="preserve">Setting &amp; Aiming 1 titik Lampu Field Of Play (FOP) Eksisting </t>
  </si>
  <si>
    <t xml:space="preserve">Tenaga Ahli Muda </t>
  </si>
  <si>
    <t>5.3.1. 42</t>
  </si>
  <si>
    <t>Pemasangan 1 m' Kabel Fiber Optic Dual Core Single Mode + Pipa HDPE Conduit 20 mm</t>
  </si>
  <si>
    <t xml:space="preserve">Kabel Fiber Optic Dual Core Single Mode </t>
  </si>
  <si>
    <t>Pipa HDPE Conduit 20 mm</t>
  </si>
  <si>
    <t>5.3.1. 43</t>
  </si>
  <si>
    <t xml:space="preserve">Pemasangan 1 buah DMX LED Controller , 1 Universe </t>
  </si>
  <si>
    <t>DMX LED Controller 1 Universe</t>
  </si>
  <si>
    <t>5.3.2</t>
  </si>
  <si>
    <t xml:space="preserve">Pemasangan Sensor </t>
  </si>
  <si>
    <t>5.3.2.1</t>
  </si>
  <si>
    <t xml:space="preserve">Pemasangan 1 Unit Sensor Cahaya </t>
  </si>
  <si>
    <t xml:space="preserve">Sensor Cahaya </t>
  </si>
  <si>
    <t>5.3.2.2</t>
  </si>
  <si>
    <t>Pemasangan 1 Unit Sensor Gerak</t>
  </si>
  <si>
    <t xml:space="preserve">Sensor Gerak </t>
  </si>
  <si>
    <t>5.4</t>
  </si>
  <si>
    <t>PEKERJAAN SISTEM ELEKTRONIK</t>
  </si>
  <si>
    <t>5.4.1</t>
  </si>
  <si>
    <t xml:space="preserve">Sistem Alarm Kebakaran </t>
  </si>
  <si>
    <t>5.4.1.1</t>
  </si>
  <si>
    <t>Pemasangan 1 Unit MCP-FA (Semi Addressable 1 Loop)</t>
  </si>
  <si>
    <t>MCP-FA (Semi Addressable 1 Loop)</t>
  </si>
  <si>
    <t>Programming, Testing &amp; commisioning</t>
  </si>
  <si>
    <t xml:space="preserve">lot </t>
  </si>
  <si>
    <t>5.4.1.2</t>
  </si>
  <si>
    <t>CATATAN      1 loop hingga 250 address</t>
  </si>
  <si>
    <t>Pemasangan 1  Unit PC Komputer</t>
  </si>
  <si>
    <t xml:space="preserve">PC Komputer </t>
  </si>
  <si>
    <t>5.4.1.3</t>
  </si>
  <si>
    <t>Pemasangan 1 Unit Alarm Printer</t>
  </si>
  <si>
    <t xml:space="preserve">Alarm Printer </t>
  </si>
  <si>
    <t>5.4.1.4</t>
  </si>
  <si>
    <t>Report Printer</t>
  </si>
  <si>
    <t>Pemasangan 1 Unit Report Printer</t>
  </si>
  <si>
    <t>5.4.1.5</t>
  </si>
  <si>
    <t xml:space="preserve">Pemasangan 1 Unit Announciator </t>
  </si>
  <si>
    <t>Announciator</t>
  </si>
  <si>
    <t>5.4.1.6</t>
  </si>
  <si>
    <t xml:space="preserve">Pemasangan 1 Unit Terminal Box Fire Alarm (Lengkap dengan Modul) </t>
  </si>
  <si>
    <t xml:space="preserve">Terminal Box Fire Alarm </t>
  </si>
  <si>
    <t>5.4.1.7</t>
  </si>
  <si>
    <t xml:space="preserve">Pemasangan 1 Unit Some Detector Addressable </t>
  </si>
  <si>
    <t xml:space="preserve">Smoke Detector Addressable </t>
  </si>
  <si>
    <t>5.4.1.8</t>
  </si>
  <si>
    <t xml:space="preserve">Pemasangan 1 Unit Rate of Rise Detector Addressable </t>
  </si>
  <si>
    <t xml:space="preserve">Rate of Rise Detector Addressable </t>
  </si>
  <si>
    <t>5.4.1.9</t>
  </si>
  <si>
    <t xml:space="preserve">Pemasangan 1 Unit Fix Heat Detector Addressable </t>
  </si>
  <si>
    <t xml:space="preserve">Fix Heat Detector Addressable </t>
  </si>
  <si>
    <t>5.4.1.10</t>
  </si>
  <si>
    <t xml:space="preserve">Pemasangan 1 Unit Smoke Detector Konvensional </t>
  </si>
  <si>
    <t xml:space="preserve">Smoke Detector Konvensional </t>
  </si>
  <si>
    <t>5.4.1.11</t>
  </si>
  <si>
    <t>Pemasangan 1 Unit Rate of Rise Detector Konvensional</t>
  </si>
  <si>
    <t>Rate of Rise Detector Konvensional</t>
  </si>
  <si>
    <t>5.4.1.12</t>
  </si>
  <si>
    <t xml:space="preserve">Pemasangan 1 Unit Fix Heat Detector Konvensional </t>
  </si>
  <si>
    <t>Fix Heat Detector Konvensioanl</t>
  </si>
  <si>
    <t>5.4.1.13</t>
  </si>
  <si>
    <t xml:space="preserve">Pemasangan 1 Unit  Lamp Indicator </t>
  </si>
  <si>
    <t xml:space="preserve">Lamp Indicator </t>
  </si>
  <si>
    <t>5.4.1.14</t>
  </si>
  <si>
    <t>Pemasangan 1 Unit Manual Break Glass</t>
  </si>
  <si>
    <t>Manual Break Glass</t>
  </si>
  <si>
    <t>5.4.1.15</t>
  </si>
  <si>
    <t>Pemasangan 1 Unit  Horn Strobe</t>
  </si>
  <si>
    <t>Horn Strobe</t>
  </si>
  <si>
    <t>5.4.1.16</t>
  </si>
  <si>
    <t>Pemasangan 1 Unit  Fire Fighting Telepon</t>
  </si>
  <si>
    <t xml:space="preserve">Fire Fighting Telepon </t>
  </si>
  <si>
    <t>5.4.1.17</t>
  </si>
  <si>
    <t>Pemasangan 1 Unit  Alrm Bell</t>
  </si>
  <si>
    <t>Alarm Bell</t>
  </si>
  <si>
    <t>5.4.1.18</t>
  </si>
  <si>
    <t>Pemasangan 1 titik Instalasi Detector Adressable Per Titik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</si>
  <si>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</si>
  <si>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</si>
  <si>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</si>
  <si>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</si>
  <si>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</si>
  <si>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</si>
  <si>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</si>
  <si>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</si>
  <si>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</si>
  <si>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</si>
  <si>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</si>
  <si>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</si>
  <si>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5.4.1.25</t>
  </si>
  <si>
    <t>Pemasangan 1 titik Instalasi Flow &amp; Temper Switch</t>
  </si>
  <si>
    <t>5.4.1.26</t>
  </si>
  <si>
    <t xml:space="preserve">Sirine Module </t>
  </si>
  <si>
    <t>5.4.1.27</t>
  </si>
  <si>
    <t>Pemasangan 1 buah Sirine Module</t>
  </si>
  <si>
    <t>Pemasangan 1 buah Control Module</t>
  </si>
  <si>
    <t>Control Module</t>
  </si>
  <si>
    <t>5.4.1.28</t>
  </si>
  <si>
    <t>Pemasangan 1 buah Relay Module</t>
  </si>
  <si>
    <t>Relay Module</t>
  </si>
  <si>
    <t xml:space="preserve">Pemasangan 1 buah Isolator Module </t>
  </si>
  <si>
    <t xml:space="preserve">Isolator Module </t>
  </si>
  <si>
    <t>5.4.1.29</t>
  </si>
  <si>
    <t>5.4.1.30</t>
  </si>
  <si>
    <t xml:space="preserve">Pemasangan 1 buah Monitor  Module </t>
  </si>
  <si>
    <t>Monitor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</si>
  <si>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</si>
  <si>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</si>
  <si>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</si>
  <si>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</si>
  <si>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</si>
  <si>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</si>
  <si>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</si>
  <si>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</si>
  <si>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</si>
  <si>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</si>
  <si>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 xml:space="preserve"> </t>
  </si>
  <si>
    <t>Rectifier</t>
  </si>
  <si>
    <t>5.4.1.36</t>
  </si>
  <si>
    <t>Pemasangan 1 Unit Power Surge Arrester</t>
  </si>
  <si>
    <t>Power Surge Arrester</t>
  </si>
  <si>
    <t>5.4.1.37</t>
  </si>
  <si>
    <t>5.4.1.38</t>
  </si>
  <si>
    <t>5.4.1.39</t>
  </si>
  <si>
    <t>5.4.1.40</t>
  </si>
  <si>
    <t>5.4.1.41</t>
  </si>
  <si>
    <t>5.4.1.42</t>
  </si>
  <si>
    <t>Pemasangan 1 Unit UPS 2 KVA ( Inverter, Rectifier, Battery Backup 15 menit)</t>
  </si>
  <si>
    <t>Pemasangan 1 Unit UPS 2 KVA ( Inverter, Rectifier, Battery Backup 30 menit)</t>
  </si>
  <si>
    <t xml:space="preserve">UPS 2 KVA 15 Menit </t>
  </si>
  <si>
    <t>UPS 2 KVA 30 Menit</t>
  </si>
  <si>
    <t>Pemasangan 1 Unit UPS 2 KVA ( Inverter, Rectifier, Battery Backup 1 Jam)</t>
  </si>
  <si>
    <t>UPS 2 KVA 1 Jam</t>
  </si>
  <si>
    <t>UPS 2 KVA 2 Jam</t>
  </si>
  <si>
    <t>Pemasangan 1 Unit UPS 2 KVA ( Inverter, Rectifier, Battery Backup 4 Jam)</t>
  </si>
  <si>
    <t>Pemasangan 1 Unit UPS 2 KVA ( Inverter, Rectifier, Battery Backup 2Jam)</t>
  </si>
  <si>
    <t>UPS 2 KVA 4 Jam</t>
  </si>
  <si>
    <t xml:space="preserve">Pemasangan 1 Buah End of Line Resistor </t>
  </si>
  <si>
    <t xml:space="preserve">End of Line Resistor </t>
  </si>
  <si>
    <t>5.4.2</t>
  </si>
  <si>
    <t>Sistem CCTV</t>
  </si>
  <si>
    <t>5.4.2.1</t>
  </si>
  <si>
    <t>Pemasangan 1 Unit Patch Panel UTP Cat 6 4 Port</t>
  </si>
  <si>
    <t>Patch Panel UTP Cat 6 4 Port</t>
  </si>
  <si>
    <t>5.4.2.2</t>
  </si>
  <si>
    <t xml:space="preserve">Pemasangan 1 Unit  Wirig Mangement </t>
  </si>
  <si>
    <t>Wiring Management</t>
  </si>
  <si>
    <t>5.4.2.3</t>
  </si>
  <si>
    <t>Pemasangan 1 Unit  PoE Switch HUB</t>
  </si>
  <si>
    <t>PoE Switch HUB</t>
  </si>
  <si>
    <t>5.4.2.4</t>
  </si>
  <si>
    <t>Pemasangan 1 Unit  Network Video Recorder (NVR) Kapasitas 32 Chanel + 8TB Hardisk</t>
  </si>
  <si>
    <t>Network  Video Recorder (NVR) Kapasitas 32 Chanel</t>
  </si>
  <si>
    <t xml:space="preserve">8 TB Hardisk </t>
  </si>
  <si>
    <t>5.4.2.5</t>
  </si>
  <si>
    <t>Pemasangan 1 Unit  RAK HUB 12 U ( Lengkap dengan Power Outlet)</t>
  </si>
  <si>
    <t xml:space="preserve">Rak 19" 12 U Lengkap dengan Power Outlet </t>
  </si>
  <si>
    <t>5.4.2.6</t>
  </si>
  <si>
    <t>Pemasangan 1 Unit  LCD Monitor 32"</t>
  </si>
  <si>
    <t>LCD Monitor 32"</t>
  </si>
  <si>
    <t>Bracket Monitor 32"</t>
  </si>
  <si>
    <t>5.4.2.7</t>
  </si>
  <si>
    <t>Pemasangan 1 Unit  LCD Monitor 50"</t>
  </si>
  <si>
    <t>LCD Monitor 50"</t>
  </si>
  <si>
    <t>Bracket Monitor 50"</t>
  </si>
  <si>
    <t>5.4.2.8</t>
  </si>
  <si>
    <t>Pemasangan 1 Unit  Keyboard + Mouse</t>
  </si>
  <si>
    <t xml:space="preserve">Keyboard + Mouse </t>
  </si>
  <si>
    <t>5.4.2.9</t>
  </si>
  <si>
    <t>Pemasangan 1 Unit  Indoor Fix Dome IP Camera</t>
  </si>
  <si>
    <t xml:space="preserve">Indoor Fix Dome IP Camera </t>
  </si>
  <si>
    <t>5.4.2.10</t>
  </si>
  <si>
    <t>Pemasangan 1 Unit Outdoor Fix Dome IP Camera</t>
  </si>
  <si>
    <t xml:space="preserve">Outdoor Fix Dome IP Camera </t>
  </si>
  <si>
    <t>5.4.2.11</t>
  </si>
  <si>
    <t>Pemasangan 1 titik Instalasi Camera CCTV</t>
  </si>
  <si>
    <t>Kabel UTP Cat 6</t>
  </si>
  <si>
    <t>5.4.3</t>
  </si>
  <si>
    <t xml:space="preserve">Sistem Tata Suara </t>
  </si>
  <si>
    <t>5.4.3.1</t>
  </si>
  <si>
    <t>Pemasangan 1 Unit MDF - SS</t>
  </si>
  <si>
    <t>MDF-SS</t>
  </si>
  <si>
    <t>5.4.3.2</t>
  </si>
  <si>
    <t xml:space="preserve">Pemasangan 1 Unit Selector Switch c/w Control Panel </t>
  </si>
  <si>
    <t>Selector Switch c/w Control Panel</t>
  </si>
  <si>
    <t>5.4.3.3</t>
  </si>
  <si>
    <t>Pemasangan 1 Unit Power Amplifier 360 Watt</t>
  </si>
  <si>
    <t>Power Amplifier 360 Watt</t>
  </si>
  <si>
    <t>5.4.3.4</t>
  </si>
  <si>
    <t>Pemasangan 1 Unit Power Amplifier 240 Watt</t>
  </si>
  <si>
    <t>Power Amplifier 240 Watt</t>
  </si>
  <si>
    <t>5.4.3.5</t>
  </si>
  <si>
    <t>Pemasangan 1 Unit Power Amplifier 120 Watt</t>
  </si>
  <si>
    <t>Power Amplifier 120 Watt</t>
  </si>
  <si>
    <t>5.4.3.6</t>
  </si>
  <si>
    <t>Pemasangan 1 Unit  System Controller ( Mixer Pre Amp-Equalizer)</t>
  </si>
  <si>
    <t>System Controller (Mixer Pre Amp + Equalizer)</t>
  </si>
  <si>
    <t>5.4.3.7</t>
  </si>
  <si>
    <t>Pemasangan 1 Unit VCD/DVD/MP3/MP4</t>
  </si>
  <si>
    <t>VCD/DVD/MP3/Mp4</t>
  </si>
  <si>
    <t>5.4.3.8</t>
  </si>
  <si>
    <t>5.4.3.9</t>
  </si>
  <si>
    <t>Pemasangan 1 Unit Automatic Alarm System</t>
  </si>
  <si>
    <t>Pemasangan 1 Unit Sound Source</t>
  </si>
  <si>
    <t>Automatic Alarm System</t>
  </si>
  <si>
    <t>5.4.3.10</t>
  </si>
  <si>
    <t>Pemasangan 1 Unit Paging Mic Keyboard</t>
  </si>
  <si>
    <t>Paging Mic Keypad</t>
  </si>
  <si>
    <t>5.4.3.11</t>
  </si>
  <si>
    <t>Pemasangan 1 Unit UPS 1 KVA ( Inverter, Rectifier, Battery Backup 4 Jam)</t>
  </si>
  <si>
    <t xml:space="preserve">UPS 1 KVA 4 Jam </t>
  </si>
  <si>
    <t>5.4.3.12</t>
  </si>
  <si>
    <t xml:space="preserve">Pemasangan 1 Unit Rack Cabinet </t>
  </si>
  <si>
    <t>Rack Cabinet</t>
  </si>
  <si>
    <t>5.4.3.13</t>
  </si>
  <si>
    <t>Pemasangan 1 Unit Terminal Box Tata Suara (TBTS)</t>
  </si>
  <si>
    <t>Terminal Box Tata Suara (TBTS)</t>
  </si>
  <si>
    <t>5.4.3.14</t>
  </si>
  <si>
    <t xml:space="preserve">Pemasangan 1 Unit Ceiling Speaker </t>
  </si>
  <si>
    <t>Ceiling Speaker</t>
  </si>
  <si>
    <t>5.4.3.15</t>
  </si>
  <si>
    <t xml:space="preserve">Pemasangan 1 Unit Wall Speaker </t>
  </si>
  <si>
    <t>Wall Speaker</t>
  </si>
  <si>
    <t>5.4.3.16</t>
  </si>
  <si>
    <t>Pemasangan 1 Unit Horn Speaker</t>
  </si>
  <si>
    <t>Horn Speaker</t>
  </si>
  <si>
    <t>5.4.3.17</t>
  </si>
  <si>
    <t>Pemasangan 1 Unit Horn Speaker+ Tiang</t>
  </si>
  <si>
    <t xml:space="preserve">Tiang </t>
  </si>
  <si>
    <t>5.4.3.18</t>
  </si>
  <si>
    <t>Pemasangan 1 titik Instalasi  Horn Speaker</t>
  </si>
  <si>
    <t>5.4.3.19</t>
  </si>
  <si>
    <t xml:space="preserve">Pemasangan 1 titik Instalasi  Ceiling Speaker </t>
  </si>
  <si>
    <t>5.4.4.</t>
  </si>
  <si>
    <t xml:space="preserve">Sistem Telepon </t>
  </si>
  <si>
    <t>5.4.4.1</t>
  </si>
  <si>
    <t xml:space="preserve">Pemasangan 1 Unit MDF 2 x 8 pair </t>
  </si>
  <si>
    <t>MDF 2 x 8 Pair</t>
  </si>
  <si>
    <t>5.4.4.2</t>
  </si>
  <si>
    <t xml:space="preserve">Pemasangan 1 Unit MDF 2 x 10 pair </t>
  </si>
  <si>
    <t>MDF 2 x 10 Pair</t>
  </si>
  <si>
    <t>5.4.4.3</t>
  </si>
  <si>
    <t>Pemasangan 1 Unit PABX Kap: 1 Line 10 Extension ( Lengkap dengan Pemprograman)</t>
  </si>
  <si>
    <t xml:space="preserve">Pemasangan 1 Unit PABX Kap: 1 Line 10 Extension </t>
  </si>
  <si>
    <t>5.4.4.4</t>
  </si>
  <si>
    <t>Pemasangan 1 Unit PABX Kap: 1 Line 8 Extension ( Lengkap dengan Pemprograman)</t>
  </si>
  <si>
    <t xml:space="preserve">Pemasangan 1 Unit PABX Kap: 1 Line 8 Extension </t>
  </si>
  <si>
    <t>5.4.4.5</t>
  </si>
  <si>
    <t xml:space="preserve">Pemasangan 1 Unit Terminal Box Telepon </t>
  </si>
  <si>
    <t>Terminal Box Telepon</t>
  </si>
  <si>
    <t>5.4.4.6</t>
  </si>
  <si>
    <t>Pemasangan 1 Unit Outlet Telepon</t>
  </si>
  <si>
    <t>Outlet Telepon</t>
  </si>
  <si>
    <t>5.4.4.7</t>
  </si>
  <si>
    <t>Pemasangan 1 Unit Instalasi Outlet Telepon</t>
  </si>
  <si>
    <t xml:space="preserve"> buah</t>
  </si>
  <si>
    <t>5.4.5</t>
  </si>
  <si>
    <t xml:space="preserve">Sistem Data dan Internet </t>
  </si>
  <si>
    <t>5.4.5.1</t>
  </si>
  <si>
    <t xml:space="preserve">Pemasangan 1 Unit Sever / Gateway c/w PC, Monitor, Keyboar, Mouse </t>
  </si>
  <si>
    <t>Server / Gateway c/w PC, Monitor, Keyboard, Mouse</t>
  </si>
  <si>
    <t>5.4.5.2</t>
  </si>
  <si>
    <t xml:space="preserve">Pemasangan 1 Unit Main Switch HUB 24 Port </t>
  </si>
  <si>
    <t>Main Switch HUB 24 Port</t>
  </si>
  <si>
    <t>5.4.5.3</t>
  </si>
  <si>
    <t xml:space="preserve">Pemasangan 1 Unit Main Switch HUB 12 Port </t>
  </si>
  <si>
    <t>Main Switch HUB 12 Port</t>
  </si>
  <si>
    <t>5.4.5.4</t>
  </si>
  <si>
    <t>Pemasangan 1 Unit Router Broadband</t>
  </si>
  <si>
    <t>Router Broadband</t>
  </si>
  <si>
    <t>5.4.5.5</t>
  </si>
  <si>
    <t xml:space="preserve">Pemasangan 1 Unit Fire Wall + Anti Virus </t>
  </si>
  <si>
    <t>Fire Wall + Anti Virus</t>
  </si>
  <si>
    <t>5.4.5.6</t>
  </si>
  <si>
    <t xml:space="preserve">Pemasangan 1 Unit  Outlet Data </t>
  </si>
  <si>
    <t>Outlet Data</t>
  </si>
  <si>
    <t>5.4.5.7</t>
  </si>
  <si>
    <t xml:space="preserve">Pemasangan 1 Titik Instalasi Outlet Data </t>
  </si>
  <si>
    <t>5.4.5.8</t>
  </si>
  <si>
    <t xml:space="preserve">Pemasangan 1 Unit Patch Cord </t>
  </si>
  <si>
    <t>Patch Cord</t>
  </si>
  <si>
    <t>5.4.5.9</t>
  </si>
  <si>
    <t>Pemasangan 1 Unit Patch  Panel 24 Port</t>
  </si>
  <si>
    <t>Patch Panel 24 Port</t>
  </si>
  <si>
    <t>5.4.5.10</t>
  </si>
  <si>
    <t>Pemasangan 1 Unit Wifi Access Ponit ( Wifi 6 Radius 50 m)</t>
  </si>
  <si>
    <t>Wifi Access Point (Wifi 6 Radius 50 M)</t>
  </si>
  <si>
    <t>5.4.5.11</t>
  </si>
  <si>
    <t>Pemasangan 1 Unit Switch HUB 8 Port, Unmanaged c/w OTB</t>
  </si>
  <si>
    <t>Switch Hub 8 Port</t>
  </si>
  <si>
    <t xml:space="preserve">Media Converter </t>
  </si>
  <si>
    <t xml:space="preserve">OTB </t>
  </si>
  <si>
    <t>5.4.5.12</t>
  </si>
  <si>
    <t>Pemasangan 1 Unit Touch Screen Panel 10"</t>
  </si>
  <si>
    <t>Touch Screen Panel 10"</t>
  </si>
  <si>
    <t>Pemasangan 1 Unit Touch Screen Panel 7"</t>
  </si>
  <si>
    <t>Touch Screen Panel 7"</t>
  </si>
  <si>
    <t>5.4.5.13</t>
  </si>
  <si>
    <t>5.4.5.14</t>
  </si>
  <si>
    <t>Pemasangan 1 Unit Touch Screen Panel 12"</t>
  </si>
  <si>
    <t>Touch Screen Panel 12"</t>
  </si>
  <si>
    <t>5.4.5.15</t>
  </si>
  <si>
    <t>Pemasangan 1 Unit Touch Screen Panel 14"</t>
  </si>
  <si>
    <t>Touch Screen Panel 14"</t>
  </si>
  <si>
    <t>5.4.5.16</t>
  </si>
  <si>
    <t>Pemasangan 1 Unit Wall Mounted Rack 15U</t>
  </si>
  <si>
    <t>Wall Mounted Rack 15U</t>
  </si>
  <si>
    <t>5.4.5.17</t>
  </si>
  <si>
    <t xml:space="preserve">Pemasangan 1 Unit Workstation, Meja + Kursi </t>
  </si>
  <si>
    <t>Workstation, Meja+Kursi</t>
  </si>
  <si>
    <t>5.4.6</t>
  </si>
  <si>
    <t>Sistem MATV</t>
  </si>
  <si>
    <t>5.4.6.1</t>
  </si>
  <si>
    <t xml:space="preserve">Pemasangan 1 Titik Instalasi TV </t>
  </si>
  <si>
    <t xml:space="preserve">Connector </t>
  </si>
  <si>
    <t>5.4.6.2</t>
  </si>
  <si>
    <t>Splitter TV 6 Port</t>
  </si>
  <si>
    <t>Splitter TV 7 Port</t>
  </si>
  <si>
    <t>5.4.6.3</t>
  </si>
  <si>
    <t xml:space="preserve">Pemasangan 1 Unit Splitter TV 6 Port </t>
  </si>
  <si>
    <t xml:space="preserve">Pemasangan 1 Unit Splitter TV 7 Port </t>
  </si>
  <si>
    <t>5.4.6.4</t>
  </si>
  <si>
    <t>Pemasangan 1 Unit Terminal Box TV</t>
  </si>
  <si>
    <t>Terminal Bocx TV</t>
  </si>
  <si>
    <t>5.4.6.5</t>
  </si>
  <si>
    <t xml:space="preserve">Pemasangan 1 Unit Antena UHF </t>
  </si>
  <si>
    <t>Antena UHF</t>
  </si>
  <si>
    <t>5.4.6.6</t>
  </si>
  <si>
    <t>Pemasangan 1 Unit Antena VHF</t>
  </si>
  <si>
    <t>Antena VHF</t>
  </si>
  <si>
    <t>5.5</t>
  </si>
  <si>
    <t xml:space="preserve">PEKERJAAN SISTEM TATA UDARA </t>
  </si>
  <si>
    <t>5.5.1</t>
  </si>
  <si>
    <t>Pemasangan Unit AC</t>
  </si>
  <si>
    <t xml:space="preserve">Pemasangan 1 Unit AC Wall Mounted Kap: 5.000 BTUH </t>
  </si>
  <si>
    <t>5.5.1.1</t>
  </si>
  <si>
    <t>AC Wall Mounted Kap : 5.000 BTUH</t>
  </si>
  <si>
    <t>5.5.1.2</t>
  </si>
  <si>
    <t xml:space="preserve">Pemasangan 1 Unit AC Wall Mounted Kap: 6.500 BTUH </t>
  </si>
  <si>
    <t>5.5.1.3</t>
  </si>
  <si>
    <t>AC Wall Mounted Kap : 6.500 BTUH</t>
  </si>
  <si>
    <t xml:space="preserve">Pemasangan 1 Unit AC Wall Mounted Kap: 7.000 BTUH </t>
  </si>
  <si>
    <t>AC Wall Mounted Kap : 7.000 BTUH</t>
  </si>
  <si>
    <t>5.5.1.4</t>
  </si>
  <si>
    <t xml:space="preserve">Pemasangan 1 Unit AC Wall Mounted Kap: 9.000 BTUH </t>
  </si>
  <si>
    <t>AC Wall Mounted Kap : 9.000 BTUH</t>
  </si>
  <si>
    <t>5.5.1.5</t>
  </si>
  <si>
    <t xml:space="preserve">Pemasangan 1 Unit AC Wall Mounted Kap:12.000 BTUH </t>
  </si>
  <si>
    <t>AC Wall Mounted Kap : 12.000 BTUH</t>
  </si>
  <si>
    <t>5.5.1.6</t>
  </si>
  <si>
    <t xml:space="preserve">Pemasangan 1 Unit AC Wall Mounted Kap:24.000 BTUH </t>
  </si>
  <si>
    <t>AC Wall Mounted Kap : 24.000 BTUH</t>
  </si>
  <si>
    <t>5.5.1.7</t>
  </si>
  <si>
    <t xml:space="preserve">Pemasangan 1 Unit AC Wall Mounted Kap:35.000 BTUH </t>
  </si>
  <si>
    <t>AC Wall Mounted Kap : 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</si>
  <si>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</si>
  <si>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</si>
  <si>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</si>
  <si>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</si>
  <si>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</si>
  <si>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 xml:space="preserve">Pemasangan Fan </t>
  </si>
  <si>
    <t>5.5.2.1</t>
  </si>
  <si>
    <t xml:space="preserve">Pemasangan 1 Unit Ceiling Fan : 50 CFM </t>
  </si>
  <si>
    <t>Ceiling Fan, 50 CFM</t>
  </si>
  <si>
    <t>5.5.2.2</t>
  </si>
  <si>
    <t xml:space="preserve">Pemasangan 1 Unit Ceiling Fan : 75 CFM </t>
  </si>
  <si>
    <t>Ceiling Fan, 75 CFM</t>
  </si>
  <si>
    <t>5.5.2.3</t>
  </si>
  <si>
    <t xml:space="preserve">Pemasangan 1 Unit Ceiling Fan : 100 CFM </t>
  </si>
  <si>
    <t>Ceiling Fan, 100 CFM</t>
  </si>
  <si>
    <t>5.5.2.4</t>
  </si>
  <si>
    <t xml:space="preserve">Pemasangan 1 Unit Ceiling Fan : 200 CFM </t>
  </si>
  <si>
    <t>Ceiling Fan, 200 CFM</t>
  </si>
  <si>
    <t>5.5.2.5</t>
  </si>
  <si>
    <t>5.5.2.6</t>
  </si>
  <si>
    <t>5.5.2.7</t>
  </si>
  <si>
    <t xml:space="preserve">Pemasangan 1 Unit Inline Fan : 500 CFM </t>
  </si>
  <si>
    <t>Inline  Fan, 500 CFM</t>
  </si>
  <si>
    <t xml:space="preserve">Pemasangan 1 Unit Inline Fan : 700 CFM </t>
  </si>
  <si>
    <t>Inline  Fan, 700 CFM</t>
  </si>
  <si>
    <t xml:space="preserve">Pemasangan 1 Unit Axial Fan : 2.600 CFM </t>
  </si>
  <si>
    <t>Axial Fan ; 2.600 CFM</t>
  </si>
  <si>
    <t>5.5.2.8</t>
  </si>
  <si>
    <t xml:space="preserve">Pemasangan 1 Unit Axial Fan : 2.800 CFM </t>
  </si>
  <si>
    <t>Axial Fan ; 2.800 CFM</t>
  </si>
  <si>
    <t>5.5.2.9</t>
  </si>
  <si>
    <t xml:space="preserve">Pemasangan 1 Unit Axial Fan : 3.200 CFM </t>
  </si>
  <si>
    <t>Axial Fan ; 3.200 CFM</t>
  </si>
  <si>
    <t>5.5.2.10</t>
  </si>
  <si>
    <t xml:space="preserve">Pemasangan 1 Unit Axial Fan : 3.500 CFM </t>
  </si>
  <si>
    <t>Axial Fan ; 3.500 CFM</t>
  </si>
  <si>
    <t>5.5.2.11</t>
  </si>
  <si>
    <t xml:space="preserve">Pemasangan 1 Unit Axial Fan : 4.000 CFM </t>
  </si>
  <si>
    <t>Axial Fan ; 4.000 CFM</t>
  </si>
  <si>
    <t>5.5.2.12</t>
  </si>
  <si>
    <t xml:space="preserve">Pemasangan 1 Unit Axial Fan : 5.500 CFM </t>
  </si>
  <si>
    <t>Axial Fan ; 5.500 CFM</t>
  </si>
  <si>
    <t>5.5.2.13</t>
  </si>
  <si>
    <t xml:space="preserve">Pemasangan 1 Unit Rotary Fan </t>
  </si>
  <si>
    <t>Rotary Fan</t>
  </si>
  <si>
    <t>5.5.2.14</t>
  </si>
  <si>
    <t xml:space="preserve">Pemasangan 1 Unit Ceiling Fan Rotary </t>
  </si>
  <si>
    <t>Ceiling Fan Rotary</t>
  </si>
  <si>
    <t>5.5.2.15</t>
  </si>
  <si>
    <t xml:space="preserve">Pemasangan 1 Unit Bifurcated Fan : 1.500 CFM </t>
  </si>
  <si>
    <t>Bifurcated Fan; 1.500 CFM</t>
  </si>
  <si>
    <t>5.5.2.16</t>
  </si>
  <si>
    <t xml:space="preserve">Pemasangan 1 Unit Propeller Fan ; 75 CFM </t>
  </si>
  <si>
    <t>Propeller Fan, 75 CFM</t>
  </si>
  <si>
    <t>5.5.2.17</t>
  </si>
  <si>
    <t xml:space="preserve">Pemasangan 1 Unit Propeller Fan ; 100 CFM </t>
  </si>
  <si>
    <t>Propeller Fan, 100 CFM</t>
  </si>
  <si>
    <t>5.5.2.18</t>
  </si>
  <si>
    <t xml:space="preserve">Pemasangan 1 Unit Propeller Fan ; 150 CFM </t>
  </si>
  <si>
    <t>Propeller Fan, 150 CFM</t>
  </si>
  <si>
    <t>5.5.2.19</t>
  </si>
  <si>
    <t xml:space="preserve">Pemasangan 1 Unit Propeller Fan ; 375 CFM </t>
  </si>
  <si>
    <t>Propeller Fan, 375 CFM</t>
  </si>
  <si>
    <t>5.5.2.20</t>
  </si>
  <si>
    <t xml:space="preserve">Pemasangan 1 Unit Propeller Fan ; 500 CFM </t>
  </si>
  <si>
    <t>Propeller Fan, 500 CFM</t>
  </si>
  <si>
    <t>5.5.2.21</t>
  </si>
  <si>
    <t xml:space="preserve">Pemasangan 1 Unit Propeller Fan ; 600 CFM </t>
  </si>
  <si>
    <t>Propeller Fan, 600 CFM</t>
  </si>
  <si>
    <t>5.5.2.22</t>
  </si>
  <si>
    <t>Pemasangan 1 Unit Intake Grille 600x300 mm</t>
  </si>
  <si>
    <t>Intake Grille 600 x 300 mm</t>
  </si>
  <si>
    <t>5.5.2.23</t>
  </si>
  <si>
    <t>Pemasangan 1 Unit Intake Grille 650x350 mm</t>
  </si>
  <si>
    <t>Intake Grille 650 x 350 mm</t>
  </si>
  <si>
    <t>5.5.2.24</t>
  </si>
  <si>
    <t>Pemasangan 1 Unit Intake Grille 800x350 mm</t>
  </si>
  <si>
    <t>Intake Grille 800 x 350 mm</t>
  </si>
  <si>
    <t>5.5.2.25</t>
  </si>
  <si>
    <t>Pemasangan 1 Unit Intake Grille 800x400 mm</t>
  </si>
  <si>
    <t>Intake Grille 800 x 400 mm</t>
  </si>
  <si>
    <t>5.5.2.26</t>
  </si>
  <si>
    <t>Pemasangan 1 Unit Intake Louvre 700x400 mm</t>
  </si>
  <si>
    <t xml:space="preserve"> Intake Louvre 700 x 400 mm</t>
  </si>
  <si>
    <t>5.5.2.27</t>
  </si>
  <si>
    <t>Pemasangan 1 Unit Intake Louvre 750x400 mm</t>
  </si>
  <si>
    <t>5.5.2.28</t>
  </si>
  <si>
    <t xml:space="preserve"> Fan Louvre 750 x 400 mm</t>
  </si>
  <si>
    <t>Pemasangan 1 Unit Fan Louvre900 x 500</t>
  </si>
  <si>
    <t xml:space="preserve"> Fan Louvre 900 x 500 mm</t>
  </si>
  <si>
    <t>5.5.2.29</t>
  </si>
  <si>
    <t xml:space="preserve">Pemasangan 1 Unit Fan Louvre 1.000 x 400 mm </t>
  </si>
  <si>
    <t xml:space="preserve"> Fan Louvre 1.000 x 400 mm</t>
  </si>
  <si>
    <t>5.5.2.30</t>
  </si>
  <si>
    <t xml:space="preserve">Pemasangan 1 Unit Fan Louvre 1.000 x 450 mm </t>
  </si>
  <si>
    <t xml:space="preserve"> Fan Louvre 1.000 x 450 mm</t>
  </si>
  <si>
    <t>5.5.2.31</t>
  </si>
  <si>
    <t>Pemasangan 1 Unit Exhaust Grille 150 x 150 mm</t>
  </si>
  <si>
    <t>Exhaust Grille 150 x 150 mm</t>
  </si>
  <si>
    <t>5.5.2.32</t>
  </si>
  <si>
    <t>Pemasangan 1 Unit Exhaust Grille 200 x 200 mm</t>
  </si>
  <si>
    <t>Exhaust Grille 200 x 200 mm</t>
  </si>
  <si>
    <t>5.5.2.33</t>
  </si>
  <si>
    <t>Pemasangan 1 Unit Exhaust Grille 600 x 300 mm</t>
  </si>
  <si>
    <t>Exhaust Grille 600 x 300 mm</t>
  </si>
  <si>
    <t>5.5.2.34</t>
  </si>
  <si>
    <t>Pemasangan 1 Unit Exhaust Grille 650 x 350 mm</t>
  </si>
  <si>
    <t>Exhaust Grille 650 x 350 mm</t>
  </si>
  <si>
    <t>5.5.2.35</t>
  </si>
  <si>
    <t>Pemasangan 1 Unit Exhaust Grille 900 x 400 mm</t>
  </si>
  <si>
    <t>Exhaust Grille 900 x 400 mm</t>
  </si>
  <si>
    <t>5.5.2.36</t>
  </si>
  <si>
    <t>Pemasangan 1 Unit Exhaust Louvre 200 x 200 mm s/d 750 x 350 mm</t>
  </si>
  <si>
    <t>Exhaust Louvre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</si>
  <si>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</si>
  <si>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</si>
  <si>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</si>
  <si>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</si>
  <si>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</si>
  <si>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</si>
  <si>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</si>
  <si>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</si>
  <si>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</si>
  <si>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</si>
  <si>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</si>
  <si>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</si>
  <si>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</si>
  <si>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 xml:space="preserve">Pemasangan 1 Unit Proppeller Fan ; 370 CMF </t>
  </si>
  <si>
    <t>Propeller Fan, 370 CFM</t>
  </si>
  <si>
    <t>Propeller Fan, 1200 CFM</t>
  </si>
  <si>
    <t>5.5.2.48</t>
  </si>
  <si>
    <t xml:space="preserve">Pemasangan 1 Unit Proppeller Fan ; 1200 CMF </t>
  </si>
  <si>
    <t>5.5.3</t>
  </si>
  <si>
    <t xml:space="preserve">Pemasagan Ducting </t>
  </si>
  <si>
    <t>5.5.3.1</t>
  </si>
  <si>
    <t xml:space="preserve">Flinkote </t>
  </si>
  <si>
    <t xml:space="preserve">Finish Cat </t>
  </si>
  <si>
    <t xml:space="preserve">finish Cat </t>
  </si>
  <si>
    <t>Hanger + Support</t>
  </si>
  <si>
    <t xml:space="preserve">lolt </t>
  </si>
  <si>
    <t xml:space="preserve">ZINK BJLS </t>
  </si>
  <si>
    <t>Pemasangan 1 m2 BJLS 50, 60, 70, 80, 100 ( Tanpa Isolasi )</t>
  </si>
  <si>
    <t>5.5.3.6</t>
  </si>
  <si>
    <t>Pemasangan 1 m2 BJLS 50, 60, 70, 80, 100 ( Isolasi Luar )</t>
  </si>
  <si>
    <t>5.5.3.11</t>
  </si>
  <si>
    <t>sey</t>
  </si>
  <si>
    <t>titk</t>
  </si>
  <si>
    <t>buha</t>
  </si>
  <si>
    <t>`</t>
  </si>
  <si>
    <t>JALAN PADA PEMUKIMAN</t>
  </si>
  <si>
    <t>B.3.3 (2)</t>
  </si>
  <si>
    <t>PEKERJAAN PEMBONGKARAN</t>
  </si>
  <si>
    <t>PEKERJAAN PENUTUP ATAP</t>
  </si>
  <si>
    <t>PEKERJAAN PASANGAN DINDING</t>
  </si>
  <si>
    <t>PEKERJAAN PLESTERAN DAN ACIAN</t>
  </si>
  <si>
    <t>PEKERJAAN PENGECATAN DAN PELITURAN</t>
  </si>
  <si>
    <t>PEKERJAAN PINTU DAN JENDELA</t>
  </si>
  <si>
    <t>PEKERJAAN KACA</t>
  </si>
  <si>
    <t>PEKERJAAN BESI DAN ALUMINIUM</t>
  </si>
  <si>
    <t>PEKERJAAN SIGNAGE</t>
  </si>
  <si>
    <t>PEKERJAAN SANITAIR</t>
  </si>
  <si>
    <t>PEKERJAAN SISTEM AIR MINUM</t>
  </si>
  <si>
    <t>PEKERJAAN BAK KONTROL</t>
  </si>
  <si>
    <t>Berdasarkan SE Bina Konstruksi Nomor 30/SE/Dk/2025</t>
  </si>
  <si>
    <t>1.</t>
  </si>
  <si>
    <t xml:space="preserve">PERSIAPAN LAPANGAN / SITE WORK </t>
  </si>
  <si>
    <t>tidak ada perubahan</t>
  </si>
  <si>
    <t>Revisi</t>
  </si>
  <si>
    <t>Revisis</t>
  </si>
  <si>
    <t xml:space="preserve">tidak ada perubahan </t>
  </si>
  <si>
    <t xml:space="preserve">tidak ada perbahan </t>
  </si>
  <si>
    <t>1 m3 urukan kembali galian tanah ( &gt;0 s.d 200 m3) tanpa pemadatan secara manual</t>
  </si>
  <si>
    <t xml:space="preserve">Revisi </t>
  </si>
  <si>
    <t>perubahan koofisien Stemper D-Drum 550 dr 0,0574 jadi 0,0183</t>
  </si>
  <si>
    <t>perubahan koofisien Stemper Smooth Drump 1,5 Ton dr 0,0574 jadi 0,0089</t>
  </si>
  <si>
    <t xml:space="preserve">Tidak ada Perubahan </t>
  </si>
  <si>
    <t>Geotextile &gt;800 gr/m2</t>
  </si>
  <si>
    <t>Perubahan di bahan awalnya Geotextile &gt;100 gr/m2 jadi &gt;800 gr/m2</t>
  </si>
  <si>
    <t xml:space="preserve">Tidak ada perubaha </t>
  </si>
  <si>
    <t>Bongkaran 1 m2 plafon termasuk rangka kayu/hollow dan ditempatkan di peyimpanan sementara (bongkaran tidak dipakai kembali)</t>
  </si>
  <si>
    <t>Perubahan nama item pekerjaan awalnya m3 jadi m2</t>
  </si>
  <si>
    <t>Bongkaran 1 m2 plafon termasuk rangka kayu/hollow dan ditempatkan di peyimpanan sementara (bongkaran  dipakai kembali)</t>
  </si>
  <si>
    <t>Tidak ada perubahan</t>
  </si>
  <si>
    <t xml:space="preserve">Paku 5 dan 10 cm </t>
  </si>
  <si>
    <t>perubahan di nama bahan awalnya paku 4 inch jadi paku 5 dan 10 cm</t>
  </si>
  <si>
    <t>2.2.1.1.1a</t>
  </si>
  <si>
    <t xml:space="preserve"> 1 kg penulangan slab untuk BjTP atau BjTS dia. &lt; 12 mm, cara manual (untuk bangunan gedung)</t>
  </si>
  <si>
    <t xml:space="preserve"> 1 kg penulangan slab untuk  BjTS atau BjTS dia. &lt; 12 mm, cara manual (untuk bangunan gedung)</t>
  </si>
  <si>
    <t>sebelumnya belum ada no 2.2.1.1.1.a (penambahan tabel item ini)</t>
  </si>
  <si>
    <t xml:space="preserve"> 1 kg penulangan slab untuk BjTP dia. ≥ 12 mm, cara semi mekanis (untuk bangunan gedung)</t>
  </si>
  <si>
    <t>Perubahan di judul dan bahan awalnya BjTP jadi Baja Tulangan Polos (BjTP) diameter &gt;12 mm</t>
  </si>
  <si>
    <t>Baja Tulangan Polos (BjTP) diameter &gt;12 mm</t>
  </si>
  <si>
    <t>Baja Tulangan Polos (BjTP) diameter &lt; 12 mm</t>
  </si>
  <si>
    <t>Baja Tulangan Sirip (BjTS) diameter &gt;12 mm</t>
  </si>
  <si>
    <t>Baja Tulangan Sirip (BjTS) diameter &lt; 12 mm</t>
  </si>
  <si>
    <t>Perubahan di nama bahan awalya BjTP jadi Baja Tulangan Polos (BjTP) diameter &lt; 12 mm</t>
  </si>
  <si>
    <t>2.2.1.1.2a</t>
  </si>
  <si>
    <t xml:space="preserve"> 1 kg penulangan slab untuk BjTS dia. ≥ 12 mm, cara semi mekanis (untuk bangunan gedung)</t>
  </si>
  <si>
    <t>sebelumnya belum ada no 2.2.1.1.2.a (penambahan tabel item ini)</t>
  </si>
  <si>
    <t>1 kg Penulangan Kolom, Balok, Ring Balk dan Sloof untuk BjTP diameter &lt;12 mm cara Manual</t>
  </si>
  <si>
    <t>Perubahan di judul dan bahan awalnya BjTP jadi Baja Tulangan Polos (BjTP) diameter &lt;12 mm</t>
  </si>
  <si>
    <t>2.2.1.1.3a</t>
  </si>
  <si>
    <t>1 kg Penulangan Kolom, Balok, Ring Balk dan Sloof untuk BjTS diameter &lt;12 mm cara Manual</t>
  </si>
  <si>
    <t>sebelumnya belum ada no 2.2.1.1.3.a (penambahan tabel item ini)</t>
  </si>
  <si>
    <t>1 kg penulangan kolom, balok, ring balk, sloof, dan shearwall untuk BjTP  dia. ≥ 12 mm, cara semi mekanis (untuk bangunan gedung)</t>
  </si>
  <si>
    <t>2.2.1.1.4a</t>
  </si>
  <si>
    <t>1 kg penulangan kolom, balok, ring balk, sloof, dan shearwall untuk BjTPS  dia. ≥ 12 mm, cara semi mekanis (untuk bangunan gedung)</t>
  </si>
  <si>
    <t>sebelumnya belum ada no 2.2.1.1.4.a (penambahan tabel item ini)</t>
  </si>
  <si>
    <t>Alat Penyambung Beton dia. 30 cm</t>
  </si>
  <si>
    <t>Crawler Crane 10 Ton + Ladder 14 ton</t>
  </si>
  <si>
    <t>Driver Hammer 2 ton</t>
  </si>
  <si>
    <t>Sepatu Pancang dia. 30 cm</t>
  </si>
  <si>
    <t>Alat Penyambung beton dia. 30 cm</t>
  </si>
  <si>
    <t>Sepatu pancang dia. 30 cm</t>
  </si>
  <si>
    <t>Crawler Crane 10 ton + Ladder 14 ton</t>
  </si>
  <si>
    <t xml:space="preserve">Perubahan penambahan dinama bahan dan peralatan </t>
  </si>
  <si>
    <t>Alat Penyambung Beton dia. 35 cm</t>
  </si>
  <si>
    <t>Sepatu Pancang dia. 35 cm</t>
  </si>
  <si>
    <t>Alat Penyambung beton dia. 35 cm</t>
  </si>
  <si>
    <t>Sepatu pancang dia. 35 cm</t>
  </si>
  <si>
    <t>Driver Hammer</t>
  </si>
  <si>
    <t>Alat las listrik 150 A</t>
  </si>
  <si>
    <t>Alat las listrik 250 A</t>
  </si>
  <si>
    <t>Alat las listrik 350 A</t>
  </si>
  <si>
    <t>Alat las listrik 500 A</t>
  </si>
  <si>
    <t>Alat Las Listrik 150 A</t>
  </si>
  <si>
    <t>Perubahan di nama Perlatan awalnya Alat Las Listrik jadi Alat Las Listrik 150 A</t>
  </si>
  <si>
    <t>Alat Las Listrik 250 A</t>
  </si>
  <si>
    <t>Perubahan di nama Perlatan awalnya Alat Las Listrik jadi Alat Las Listrik 250 A</t>
  </si>
  <si>
    <t>Alat Las Listrik 350 A</t>
  </si>
  <si>
    <t>Perubahan di nama Perlatan awalnya Alat Las Listrik jadi Alat Las Listrik 350 A</t>
  </si>
  <si>
    <t>Alat Las Listrik 500 A</t>
  </si>
  <si>
    <t>Crawler Crane 20 Ton + Ladder 14 ton</t>
  </si>
  <si>
    <t>Crawler Crane 20 ton + Ladder 14 ton</t>
  </si>
  <si>
    <t>perubahan di Tukang las di hapus dan Koofisien Baja Profil 1,200 jadi 1,15</t>
  </si>
  <si>
    <t xml:space="preserve">Perubahan  kepala tukang di hapus dan penambahan bahan kawat las dan alat las listrik  </t>
  </si>
  <si>
    <t>Geotekstil woven 400 gr/m2</t>
  </si>
  <si>
    <t>Perubahan di bahan Geotekstil &gt;100 gr/m2 jadi Geotekstil woven 400 gr/m2</t>
  </si>
  <si>
    <t xml:space="preserve">Perubahan di semua kooefisien Tenaga kerja </t>
  </si>
  <si>
    <t>sebelum revisi</t>
  </si>
  <si>
    <t xml:space="preserve">Tidak ada perubahan </t>
  </si>
  <si>
    <t xml:space="preserve">Pelengkapan nama bahan Kaso kelas II dan Paku saja </t>
  </si>
  <si>
    <t>Perubahan di kooefisie Semen Portland awalnya 24,740 jadi 22,74</t>
  </si>
  <si>
    <t>Perubahan di koefisien Seme Portland 11,00 jadi 14,0</t>
  </si>
  <si>
    <t xml:space="preserve">Tidak ada perubahan koefisien hanya nama bahan pasir jadi pasir pasang saja </t>
  </si>
  <si>
    <t xml:space="preserve">Tidak ada perubahan Koefisien Cuma di nama bahan saja </t>
  </si>
  <si>
    <t>Cat Dasar Plafond</t>
  </si>
  <si>
    <t>Cat Plafond Eksterior</t>
  </si>
  <si>
    <t>perubahan di peralatan awalnya ada alat mesin polos</t>
  </si>
  <si>
    <t xml:space="preserve">Bahan Paku 12 cm jadi paku 5 dan 10 cm </t>
  </si>
  <si>
    <t xml:space="preserve">tidak ada perubahan koefisien </t>
  </si>
  <si>
    <t xml:space="preserve">Kayu Balok Kelas II </t>
  </si>
  <si>
    <t>Paku 5 dan 7 cm</t>
  </si>
  <si>
    <t xml:space="preserve">Tidak ada Perubahan koefisien, tapi perubahan di bahan paku jadi paku 5dan 7 cm </t>
  </si>
  <si>
    <t xml:space="preserve">Paku 7 - 10 cm </t>
  </si>
  <si>
    <t xml:space="preserve">Kayu balok kelas II </t>
  </si>
  <si>
    <t>Perubahan semua koefisien Tenaga kerja dan penambahan Peralatan</t>
  </si>
  <si>
    <t xml:space="preserve">Perubahan di Koefisien Tenaga Kerja </t>
  </si>
  <si>
    <t>Rangka Aluminium</t>
  </si>
  <si>
    <t>Profil kaca tebal 6 mm</t>
  </si>
  <si>
    <t>Profil Kaca tebal 6 mm</t>
  </si>
  <si>
    <t>Pemasangan 1 m2 pintu kaca Tebal 6 mm rangka aluminium</t>
  </si>
  <si>
    <t xml:space="preserve">Tidak ada perubahan Koefisien hanya  penambahan judul "kaca tebal 6 mm" dan perubahan nama  bahan saja </t>
  </si>
  <si>
    <t>Pemasangan 1 m2 jendela kacaTebal 6 mm  rangka aluminium</t>
  </si>
  <si>
    <t>Tidak ada perubahan koefisien hanya bahan paku 2 inch jadi paku 5 - 7 cm</t>
  </si>
  <si>
    <t>Perubahan koefisien Kayu Papan kelas II 0,040 jadi 0,024</t>
  </si>
  <si>
    <t xml:space="preserve">Pemasangan 1 m2 Jendela Kaca Tebal 5 mm Nako Aluminium </t>
  </si>
  <si>
    <t>tidak ada perubahan koefisien ,Penambahan Judul "Kaca tebal 5 mm" dan penambhan uraian nama bahan</t>
  </si>
  <si>
    <t>Jendela Nako Rangka Aluminium (rangka+kaca 5 mm)</t>
  </si>
  <si>
    <t>Paku Sekrup 1-2 cm</t>
  </si>
  <si>
    <t>Pemasangan 1 m2 jendela Kaca Tebal 5 mm nako dan tralis</t>
  </si>
  <si>
    <t xml:space="preserve">Pemasangan 1 m2 Teralis Besi Strip </t>
  </si>
  <si>
    <t>Perubahan di koefisien semua Tenaga Kerja,  Teralis Besi Strip (satuan kg jadi m2) dan penghapusan Bahan "Pengelasan"</t>
  </si>
  <si>
    <t xml:space="preserve">Teralis Besi Strip lengkap dengan accessories </t>
  </si>
  <si>
    <t>M2</t>
  </si>
  <si>
    <t>3.11.4.13.1</t>
  </si>
  <si>
    <t xml:space="preserve">Pemasangan 1 m2 Kawat Nyamuk Rangka Kayu Kelas II </t>
  </si>
  <si>
    <t xml:space="preserve">Pengelasan </t>
  </si>
  <si>
    <t xml:space="preserve">Perubahan di koefisien semua Tenaga Kerja,  judul Teralis Besi Strip satuan buah jadi m2 Rangka Besi, perubahan bahan  dan penambahan perlatan </t>
  </si>
  <si>
    <t>Besi siku 20x20 tebal 2 mm</t>
  </si>
  <si>
    <t xml:space="preserve">Pemasangan 1 m2 Kawat Nyamuk Rangka Besi </t>
  </si>
  <si>
    <t>M</t>
  </si>
  <si>
    <t xml:space="preserve">Paku 3 cm </t>
  </si>
  <si>
    <t>List kayu profil kelas II</t>
  </si>
  <si>
    <t xml:space="preserve">Penambahan Item sebelumya tidak ada </t>
  </si>
  <si>
    <t>Perubahan di koefisien bahan grende dari 1,716 jadi 1,00</t>
  </si>
  <si>
    <t>Pemasangan 1 buah spring knip (kunci slot) untuk jendela</t>
  </si>
  <si>
    <t>Perubaha di koefisien Tenaga kerja dan penghapusan kepala tukang, koefisie baha dan juga peralatan</t>
  </si>
  <si>
    <t xml:space="preserve">Perubahan koefisien Tenaga keja dan penambahan pealatan </t>
  </si>
  <si>
    <t>Perubahan Koefisien Tenaga keja da penambahan peralatan</t>
  </si>
  <si>
    <t>ada Revisi</t>
  </si>
  <si>
    <t>Perubaha di koefisien bahan</t>
  </si>
  <si>
    <t>Perubahan koefisien Pekerja 0,3333 jadi 0,333</t>
  </si>
  <si>
    <t xml:space="preserve">Perubahan di koefisien pekerja, tukang besi dan penghapusan tukang las, pengurahan bahan dan perubahan koefisien bahan  </t>
  </si>
  <si>
    <t xml:space="preserve">Logo PU Plat Baja 80x80 cm </t>
  </si>
  <si>
    <t xml:space="preserve">Pemasangan Signage Plat Baja Menggunakan Tiang </t>
  </si>
  <si>
    <t xml:space="preserve">Perubahan judul item Pemasangan 1 m2 Signage dengan Pelat Besi, perubahan koefisien Tenaga kerja , dan penambahan Bahan </t>
  </si>
  <si>
    <t>Signage Plat Baja lengkap dengan accessories</t>
  </si>
  <si>
    <t>3.16.2.1</t>
  </si>
  <si>
    <t xml:space="preserve">Pemasangan Signage Plat Baja pada Dinding </t>
  </si>
  <si>
    <t xml:space="preserve">Penambahan item ini </t>
  </si>
  <si>
    <t>Paku Beton 5 cm</t>
  </si>
  <si>
    <t xml:space="preserve">Perubahan Nama bahan dan penghapusan peralatan </t>
  </si>
  <si>
    <t xml:space="preserve">Pemasangan 1 buah Nomor Rumah Akrilik ukuran 15x30 cm </t>
  </si>
  <si>
    <t>Paku beton 5 cm</t>
  </si>
  <si>
    <t xml:space="preserve"> penghapusan peralatan </t>
  </si>
  <si>
    <t xml:space="preserve">Judul dan semua item ini diganti </t>
  </si>
  <si>
    <t xml:space="preserve">HSD Pengadaan dan Pengangkutan Tanaman </t>
  </si>
  <si>
    <t xml:space="preserve">Analisa Biaya Operasi Alat Berat untuk Pengangkutan Tanaman </t>
  </si>
  <si>
    <t xml:space="preserve">Jeis Alat </t>
  </si>
  <si>
    <t xml:space="preserve"> : Colt, Fuso, Crane Truck, dan Plok Up</t>
  </si>
  <si>
    <t>satuan</t>
  </si>
  <si>
    <t xml:space="preserve">Biaya Operasi Perlatan </t>
  </si>
  <si>
    <t>Colt T-100 (D): R-Blk.2; 4 m3</t>
  </si>
  <si>
    <t>2,5 Ton, 80 HP</t>
  </si>
  <si>
    <t xml:space="preserve">Jenis Peralatan </t>
  </si>
  <si>
    <t xml:space="preserve">Merk/Tipe </t>
  </si>
  <si>
    <t>Tenaga</t>
  </si>
  <si>
    <t>Kapasitas</t>
  </si>
  <si>
    <t>Umur Ekonomis</t>
  </si>
  <si>
    <t>Jam Operasional Dalam 1 Tahu</t>
  </si>
  <si>
    <t xml:space="preserve">Harga Alat </t>
  </si>
  <si>
    <t>Pw</t>
  </si>
  <si>
    <t>Cp</t>
  </si>
  <si>
    <t>W</t>
  </si>
  <si>
    <t>HP</t>
  </si>
  <si>
    <t>Ton</t>
  </si>
  <si>
    <t>Tahun</t>
  </si>
  <si>
    <t>Rp</t>
  </si>
  <si>
    <t xml:space="preserve">Nilai Sisa Alat </t>
  </si>
  <si>
    <t xml:space="preserve">Faktor Angsuran Modal </t>
  </si>
  <si>
    <t xml:space="preserve">    (1+i)˄-1</t>
  </si>
  <si>
    <t>=</t>
  </si>
  <si>
    <t>Biaya Pasti Per Jam :</t>
  </si>
  <si>
    <t xml:space="preserve">a. Biaya Pengembalian Modal </t>
  </si>
  <si>
    <t xml:space="preserve"> =</t>
  </si>
  <si>
    <t xml:space="preserve"> (B-C)x D</t>
  </si>
  <si>
    <t xml:space="preserve">       W</t>
  </si>
  <si>
    <t>b. Asuransi, dll</t>
  </si>
  <si>
    <t>p x B/W</t>
  </si>
  <si>
    <t xml:space="preserve">Rp/jam </t>
  </si>
  <si>
    <t>Biaya Pasti per Jam : G= (E+F)</t>
  </si>
  <si>
    <t>G</t>
  </si>
  <si>
    <t xml:space="preserve">BIAYA OPERASI PER JAM KERJA </t>
  </si>
  <si>
    <t xml:space="preserve">BIAYA PASTI PER JAM KERJA </t>
  </si>
  <si>
    <t xml:space="preserve">PERALATAN </t>
  </si>
  <si>
    <t xml:space="preserve">Bahan Bakar </t>
  </si>
  <si>
    <t xml:space="preserve">Pelumas </t>
  </si>
  <si>
    <t xml:space="preserve">Biaya Bengkel </t>
  </si>
  <si>
    <t xml:space="preserve">Perawatan dan peraikan </t>
  </si>
  <si>
    <t xml:space="preserve">Operator </t>
  </si>
  <si>
    <t xml:space="preserve">Pembantu Operator </t>
  </si>
  <si>
    <t xml:space="preserve"> (10%-12%) x Pw x M</t>
  </si>
  <si>
    <t>H</t>
  </si>
  <si>
    <t>J</t>
  </si>
  <si>
    <t>K</t>
  </si>
  <si>
    <t xml:space="preserve">(0,25%-0,35%)x Pw </t>
  </si>
  <si>
    <t>(2,2%-2,8%)x B/W</t>
  </si>
  <si>
    <t>( m orang /jam ) x U1</t>
  </si>
  <si>
    <t>(6,4%-9%)xB/W</t>
  </si>
  <si>
    <t xml:space="preserve"> (m orang/jam ) x U2</t>
  </si>
  <si>
    <t>Biaya Operasi (per jam)</t>
  </si>
  <si>
    <t>P</t>
  </si>
  <si>
    <t>BIAYA OPERASI ALAT / JAM = (G+P)</t>
  </si>
  <si>
    <t>S</t>
  </si>
  <si>
    <t>Bahan Bakar Pertalite (no subsidi)</t>
  </si>
  <si>
    <t xml:space="preserve">Minyak Pelumas </t>
  </si>
  <si>
    <t>Ms</t>
  </si>
  <si>
    <t>Mp</t>
  </si>
  <si>
    <t xml:space="preserve">Liter </t>
  </si>
  <si>
    <t>Bahan Bakar Solar (non subsidi)</t>
  </si>
  <si>
    <t>Mb</t>
  </si>
  <si>
    <t>Colt T-120 (D); R-Blk.4; 12 m3</t>
  </si>
  <si>
    <t>4 Ton, 100 HP</t>
  </si>
  <si>
    <t>Fuso (D); R-Blk.4; 20 m3</t>
  </si>
  <si>
    <t>7 Ton, 130 HP</t>
  </si>
  <si>
    <t>Fuso (D); R-Blk.8; 35 m3</t>
  </si>
  <si>
    <t>10 Ton, 130 HP</t>
  </si>
  <si>
    <t>Crane Truck + Winch 5 Ton</t>
  </si>
  <si>
    <t>3 Ton, 11 HP</t>
  </si>
  <si>
    <t xml:space="preserve">Pick up L300 </t>
  </si>
  <si>
    <t xml:space="preserve">100 HP </t>
  </si>
  <si>
    <t>Suku bunga I = 10%</t>
  </si>
  <si>
    <t>Asuransi p = ,2%</t>
  </si>
  <si>
    <t xml:space="preserve">Koef.Biaya OP Alat </t>
  </si>
  <si>
    <t>URAIAN ANALISA HARGA SATUA</t>
  </si>
  <si>
    <t xml:space="preserve">Judul dan semua </t>
  </si>
  <si>
    <t xml:space="preserve">Analisis Produktivitas Truck Angkutan Pohon Kecil di Polybag 20 Liter </t>
  </si>
  <si>
    <t xml:space="preserve">Jenis </t>
  </si>
  <si>
    <t xml:space="preserve">Lokasi </t>
  </si>
  <si>
    <t xml:space="preserve">Tujuan </t>
  </si>
  <si>
    <t xml:space="preserve">Polybag </t>
  </si>
  <si>
    <t xml:space="preserve">SATUAN PEMBAYARAN </t>
  </si>
  <si>
    <t>:</t>
  </si>
  <si>
    <t xml:space="preserve">Pohon Kecil di Polybag 20-25 Liter </t>
  </si>
  <si>
    <t xml:space="preserve">Nursery </t>
  </si>
  <si>
    <t xml:space="preserve">Lokasi Pekerjaan </t>
  </si>
  <si>
    <t xml:space="preserve">20 Liter </t>
  </si>
  <si>
    <t xml:space="preserve">1 Batang Pohon Kecil atau 1 Buah Polybag </t>
  </si>
  <si>
    <t xml:space="preserve">Jam Kerja efektif per hari </t>
  </si>
  <si>
    <t xml:space="preserve">Pemuatan tanaman dilakukan secara manual </t>
  </si>
  <si>
    <t xml:space="preserve">Jarak Angkut dari Nursey ke Lokasi pekerjaan </t>
  </si>
  <si>
    <t xml:space="preserve">Angkut Truck 1-jalan dari tempat Nursey ke lokasi perkerjaan </t>
  </si>
  <si>
    <t>Tk</t>
  </si>
  <si>
    <t>Fk</t>
  </si>
  <si>
    <t xml:space="preserve">Truck angkut Polybag dari tempat Nursey ke  lokasi pekerjaan </t>
  </si>
  <si>
    <t xml:space="preserve">Polybag diturunkan dari Truck di lokasi pekerjaan oleh Pekerja </t>
  </si>
  <si>
    <t xml:space="preserve">Perhitugan Pengangkutan </t>
  </si>
  <si>
    <t xml:space="preserve">Colt T-120 (D); R-Blk. 4; 12 m3 </t>
  </si>
  <si>
    <t xml:space="preserve">Kapasitas Bak </t>
  </si>
  <si>
    <t>Faktor Efisiensi Alat (Tabel 7)</t>
  </si>
  <si>
    <t xml:space="preserve">Jarak Angkut </t>
  </si>
  <si>
    <t>Kecepatan ratarata bermuatan (lihat tabel 8)</t>
  </si>
  <si>
    <t>Kecepatan ratarta kosong (lihat tabel 8)</t>
  </si>
  <si>
    <t>Waktu tempuh isi</t>
  </si>
  <si>
    <t xml:space="preserve">waktu muat &amp; bongkar </t>
  </si>
  <si>
    <t xml:space="preserve"> ( L : v.1) x 60</t>
  </si>
  <si>
    <t>T.1</t>
  </si>
  <si>
    <t>T.2</t>
  </si>
  <si>
    <t>v.1</t>
  </si>
  <si>
    <t>v.2</t>
  </si>
  <si>
    <t>Ts1</t>
  </si>
  <si>
    <t xml:space="preserve">Kap. Produksi/jam </t>
  </si>
  <si>
    <t xml:space="preserve">Koefisien Alat/Polybag </t>
  </si>
  <si>
    <t>(V x Fa x 60)/(Ts)</t>
  </si>
  <si>
    <t xml:space="preserve"> 1/Q.1</t>
  </si>
  <si>
    <t>Q.1</t>
  </si>
  <si>
    <t xml:space="preserve">Tenaga Kerja Memuat dan menurukan Polybag 20 Liter </t>
  </si>
  <si>
    <t xml:space="preserve">Jarak dari penyimpanan Nursey ke bak Truck </t>
  </si>
  <si>
    <t>Polybag yang dimuat/turunkan</t>
  </si>
  <si>
    <t xml:space="preserve">Faktor Efisiensi TK </t>
  </si>
  <si>
    <t>Waktu Siklus</t>
  </si>
  <si>
    <t>L2</t>
  </si>
  <si>
    <t>FaTK</t>
  </si>
  <si>
    <t xml:space="preserve"> - Memuat 1 Polybag dari tempat Nursey ke bak truck </t>
  </si>
  <si>
    <t>Ts2</t>
  </si>
  <si>
    <t>Kap.Tenaga Kerja/jam</t>
  </si>
  <si>
    <t xml:space="preserve">Koefisen Tenaga Kerja / Polybag </t>
  </si>
  <si>
    <t xml:space="preserve"> - Pekerja </t>
  </si>
  <si>
    <t xml:space="preserve"> - Mandor </t>
  </si>
  <si>
    <t xml:space="preserve"> (Tk x P) : Q.2</t>
  </si>
  <si>
    <t xml:space="preserve"> (Tk x M ) : Q.2</t>
  </si>
  <si>
    <t>Q.2</t>
  </si>
  <si>
    <t>(FaTK x 60) / (Ts2)</t>
  </si>
  <si>
    <t>Km</t>
  </si>
  <si>
    <t xml:space="preserve">Km/jam </t>
  </si>
  <si>
    <t xml:space="preserve">Polybag / jam </t>
  </si>
  <si>
    <t xml:space="preserve">menit </t>
  </si>
  <si>
    <t>Polybag / jam</t>
  </si>
  <si>
    <t xml:space="preserve">Keterangan </t>
  </si>
  <si>
    <t>Tabel A.1</t>
  </si>
  <si>
    <t xml:space="preserve">kondisi kerja baik </t>
  </si>
  <si>
    <t>(Kondisi menanjak atau jalan rusak )</t>
  </si>
  <si>
    <t>muat dan bongkar dibantu 2P</t>
  </si>
  <si>
    <t>Jumlah Pekerja 2 P</t>
  </si>
  <si>
    <t xml:space="preserve">semua </t>
  </si>
  <si>
    <t xml:space="preserve">Pengadaan dan Pengangkutan Pohon Kecil di Polybag 20 Liter </t>
  </si>
  <si>
    <t xml:space="preserve">Pohon Pucuk Merah di Polybag 20 Liter </t>
  </si>
  <si>
    <t>pohon</t>
  </si>
  <si>
    <t>Colt T-120 (D); R-Blk. 4; 12 m3</t>
  </si>
  <si>
    <t xml:space="preserve">Pohon </t>
  </si>
  <si>
    <t xml:space="preserve">Semuanya mulai dari judul item </t>
  </si>
  <si>
    <t xml:space="preserve">Analisis Produktivitas Truck Angkut Pohon Kecil di Polybag 25 Liter  </t>
  </si>
  <si>
    <t xml:space="preserve"> : Pohon Kecil di Polybag 20-25 liter </t>
  </si>
  <si>
    <t xml:space="preserve"> : Nursey </t>
  </si>
  <si>
    <t xml:space="preserve"> : Lokasi Pekerjaan </t>
  </si>
  <si>
    <t xml:space="preserve"> : 25 Liter </t>
  </si>
  <si>
    <t xml:space="preserve"> : 1 Batang Pohon Kecil atau 1 buah Polybag </t>
  </si>
  <si>
    <t xml:space="preserve"> - Menurunkan 1 Polybag dari bak truck ke penyimpanan di lokasi pekerjaan </t>
  </si>
  <si>
    <t xml:space="preserve">Pohon yang sudah berada dalam polybag diangkut dari tempat Nusey dimuat ke dalam Truck oleh pekerja </t>
  </si>
  <si>
    <t xml:space="preserve">Pohon yang sudah berada dalam polybag diangkut dari tempatNusey dimuat ke dalam Truck oleh pekerja </t>
  </si>
  <si>
    <t xml:space="preserve">Perubahan semua mulai dr judul item </t>
  </si>
  <si>
    <t xml:space="preserve">Pengadaan dan Pengangkutan Pohon Kecil di Polybag 25 Liter </t>
  </si>
  <si>
    <t xml:space="preserve">Pohon Pucuk Merah di Polybag 25 Liter </t>
  </si>
  <si>
    <t>4.1.1.6</t>
  </si>
  <si>
    <t xml:space="preserve">Analisis Produktivitas Truck Angkutan Pohon Sedang di Polybag 50 Liter </t>
  </si>
  <si>
    <t xml:space="preserve">Baru </t>
  </si>
  <si>
    <t xml:space="preserve">Penambahan Item ini sebelumnya tidak ada </t>
  </si>
  <si>
    <t xml:space="preserve"> : Pohon sedang di Polybag 50-75 Liter </t>
  </si>
  <si>
    <t xml:space="preserve"> : 50 Liter </t>
  </si>
  <si>
    <t xml:space="preserve"> : 1 Batang Poho Sedang </t>
  </si>
  <si>
    <t xml:space="preserve">Fuso  (D); R-Blk.8; 35 m3 </t>
  </si>
  <si>
    <t>10 Ton; 130 HP</t>
  </si>
  <si>
    <t>(V x Fa x 60)/(Ts1)</t>
  </si>
  <si>
    <t xml:space="preserve"> 1/Q.4</t>
  </si>
  <si>
    <t xml:space="preserve">Tenaga Kerja Memuat dan menurukan Polybag 50 Liter </t>
  </si>
  <si>
    <t>Faktor Efisiensi TK (Tabel 7)</t>
  </si>
  <si>
    <t>Jumlah Pekerja 3 P</t>
  </si>
  <si>
    <t xml:space="preserve">Angkut saja </t>
  </si>
  <si>
    <t>muat dan bongkar dibantu 3P</t>
  </si>
  <si>
    <t>4.1.1.7</t>
  </si>
  <si>
    <t xml:space="preserve">Pengadaan dan Pengangkutan Pohon Sedang di Polybag 50 Liter </t>
  </si>
  <si>
    <t>Fuso (D); R-Blk. 8; 35 m3</t>
  </si>
  <si>
    <t xml:space="preserve">Pohon Bunga Kupu-kupu di Polybag 50 Liter </t>
  </si>
  <si>
    <t>Penambahan item ini</t>
  </si>
  <si>
    <t>4.1.1.8</t>
  </si>
  <si>
    <t xml:space="preserve">Analisis Poduktivitas Truck Angkutan Pohon Sedang di Polybag 75 Liter </t>
  </si>
  <si>
    <t xml:space="preserve"> : 75 Liter </t>
  </si>
  <si>
    <t>Jumlah Pekerja 5 P</t>
  </si>
  <si>
    <t>4.1.1.9</t>
  </si>
  <si>
    <t xml:space="preserve">Pengadaan dan Pengangkutan Pohon Sedang di Polybag 75 Liter </t>
  </si>
  <si>
    <t xml:space="preserve">Pohon Bunga Kupu-kupu di Polybag 75 Liter </t>
  </si>
  <si>
    <t>4.1.1.10</t>
  </si>
  <si>
    <t xml:space="preserve">Analisis Poduktivitas Truck Angkutan Pohon Sedang di Polybag 100 Liter </t>
  </si>
  <si>
    <t xml:space="preserve"> : Pohon sedang di Polybag 100-250 Liter </t>
  </si>
  <si>
    <t xml:space="preserve"> : 100 Liter </t>
  </si>
  <si>
    <t xml:space="preserve"> : 1 Batang Poho Besar</t>
  </si>
  <si>
    <t xml:space="preserve">Pohon yang sudah berada dalam polybag diangkut dari tempat Nusey dimuat ke dalam Truck dengan Crane Truck </t>
  </si>
  <si>
    <t xml:space="preserve">Polybag diturunkan dari Truck di lokasi pekerjaan denga crane truck </t>
  </si>
  <si>
    <t xml:space="preserve">Perhitungan Pengangkutan dan Penyimpanan Nursey </t>
  </si>
  <si>
    <t xml:space="preserve">Crane Truck 3 Ton; Winch 5 Ton </t>
  </si>
  <si>
    <t>Kapasitas (Kontinyu)</t>
  </si>
  <si>
    <t>Faktor Efisiensi Alat ( Tabel 4)</t>
  </si>
  <si>
    <t xml:space="preserve">Waktu Siklus memuat dan menurunkan Polibay 100 Liter </t>
  </si>
  <si>
    <t xml:space="preserve"> - Pemasangan Pengikat pada Polybag ke Pengait arm Crane di tempat nursey </t>
  </si>
  <si>
    <t xml:space="preserve"> - Angkut arm+polybag dari tempat Nusey, swing, tempatkan di bak truck + lepas pengikat olybag </t>
  </si>
  <si>
    <t xml:space="preserve"> - Pemasangan pengikat pada polybag di bak truck ke pengait arm crane di lokasi pekerjaan </t>
  </si>
  <si>
    <t xml:space="preserve"> - Angkat arm+polybag dari bak truck, swing, tempatkan di lokasi pekerjaan + lepas pengikat polybag</t>
  </si>
  <si>
    <t>(V xFa x 60) / (Ts2)</t>
  </si>
  <si>
    <t xml:space="preserve">Koefisien ALAT/Polybag </t>
  </si>
  <si>
    <t>Koefisien Tenaga Kerja/Polybag</t>
  </si>
  <si>
    <t>T.3</t>
  </si>
  <si>
    <t>T.4</t>
  </si>
  <si>
    <t>Jumlah Pekerja 4 P</t>
  </si>
  <si>
    <t>muat dan bongkar dibantu 4P</t>
  </si>
  <si>
    <t xml:space="preserve">Pemeliharaan mesin baik </t>
  </si>
  <si>
    <t xml:space="preserve">Daya angkat 3 ton &gt;0,2 ton </t>
  </si>
  <si>
    <t xml:space="preserve">Item Baru </t>
  </si>
  <si>
    <t>4.1.1.11</t>
  </si>
  <si>
    <t xml:space="preserve">Pengadaan dan Pengangkutan Pohon Besar di Polybag 100 Liter </t>
  </si>
  <si>
    <t>Pohon Mahoni di Polybag 100 Liter</t>
  </si>
  <si>
    <t>Crane Truck 3 ton; Winch 5 Ton</t>
  </si>
  <si>
    <t>4.1.1.12</t>
  </si>
  <si>
    <t xml:space="preserve">Analisis Poduktivitas Truck Angkutan Pohon Sedang di Polybag 150 Liter </t>
  </si>
  <si>
    <t xml:space="preserve"> : 150 Liter </t>
  </si>
  <si>
    <t xml:space="preserve">Perhitungan Pengangkutan </t>
  </si>
  <si>
    <t xml:space="preserve">Waktu Siklus memuat dan menurunkan Polibay 150 Liter </t>
  </si>
  <si>
    <t xml:space="preserve"> - Angkut arm+polybag dari tempat Nusey, swing, tempatkan di bak truck + lepas pengikat polybag </t>
  </si>
  <si>
    <t>Koefisien ALAT/buah</t>
  </si>
  <si>
    <t>Koefisien Tenaga Kerja/m3</t>
  </si>
  <si>
    <t>4.1.1.14</t>
  </si>
  <si>
    <t>4.1.1.13</t>
  </si>
  <si>
    <t xml:space="preserve">Pengadaan dan Pengangkutan Pohon Besar di Polybag 150 Liter </t>
  </si>
  <si>
    <t>Pohon Mahoni di Polybag 150 Liter</t>
  </si>
  <si>
    <t xml:space="preserve">Analisis Poduktivitas Truck Angkutan Pohon Sedang di Polybag 200 Liter </t>
  </si>
  <si>
    <t xml:space="preserve"> : 200 Liter </t>
  </si>
  <si>
    <t>4.1.1.15</t>
  </si>
  <si>
    <t xml:space="preserve">Pengadaan dan Pengangkutan Pohon Besar di Polybag 200 Liter </t>
  </si>
  <si>
    <t>Pohon Beringin di Polybag 200 Liter</t>
  </si>
  <si>
    <t>4.1.1.16</t>
  </si>
  <si>
    <t xml:space="preserve">Analisis Poduktivitas Truck Angkutan Pohon Sedang di Polybag 250 Liter </t>
  </si>
  <si>
    <t xml:space="preserve"> : 250 Liter </t>
  </si>
  <si>
    <t xml:space="preserve">Waktu Siklus memuat dan menurunkan Polibay 250 Liter </t>
  </si>
  <si>
    <t xml:space="preserve">Waktu Siklus memuat dan menurunkan Polibay 200 Liter </t>
  </si>
  <si>
    <t>4.1.1.17</t>
  </si>
  <si>
    <t xml:space="preserve">Pengadaan dan Pengangkutan Pohon Besar di Polybag 250 Liter </t>
  </si>
  <si>
    <t>Pohon Beringin di Polybag 250 Liter</t>
  </si>
  <si>
    <t>4.1.1.18</t>
  </si>
  <si>
    <t xml:space="preserve">Analisis Poduktivitas Truck Angkutan Semak di Polybag 5 Liter Liter </t>
  </si>
  <si>
    <t xml:space="preserve"> : Semak di Polybag 5-20 Liter</t>
  </si>
  <si>
    <t xml:space="preserve"> : 5 Liter </t>
  </si>
  <si>
    <t xml:space="preserve"> : 1 Batang Semak atau 1 buah polybag</t>
  </si>
  <si>
    <t>Semak yang sudah berada dalam polybag di angkut dari tempat Nursey dimuat ke dalam Truck oleh Pekerja</t>
  </si>
  <si>
    <t>Truck angkut Polybag dari tempat Nusey ke lokasi pekerjaan</t>
  </si>
  <si>
    <t xml:space="preserve">Polybag diturunkan dari truck di lokasi pekerjaan oleh pekerja </t>
  </si>
  <si>
    <t>Pick Up L300</t>
  </si>
  <si>
    <t>100 HP</t>
  </si>
  <si>
    <t xml:space="preserve">Tenaga Kerja Memuat dan Menurunkan Polybag 5 Liter </t>
  </si>
  <si>
    <t xml:space="preserve">Jarak da penyimpanan Nursey ke bak Truck </t>
  </si>
  <si>
    <t xml:space="preserve">  Polybag yang dimuat/turukan</t>
  </si>
  <si>
    <t xml:space="preserve">  Faktor Efisiensi TK</t>
  </si>
  <si>
    <t>Kap. Tenaga Kerja / jam</t>
  </si>
  <si>
    <t xml:space="preserve">Kondisi kerja baik </t>
  </si>
  <si>
    <t>4.1.1.19</t>
  </si>
  <si>
    <t>Pengadaan dan Pengangkutan Semak di Polybag 5 Liter</t>
  </si>
  <si>
    <t>Semak Alamanda di Polybag 5 Liter</t>
  </si>
  <si>
    <t>Pick up L300</t>
  </si>
  <si>
    <t>4.1.1.20</t>
  </si>
  <si>
    <t xml:space="preserve">Analisis Poduktivitas Truck Angkutan Semak di Polybag 11 Liter </t>
  </si>
  <si>
    <t xml:space="preserve"> : 11 Liter </t>
  </si>
  <si>
    <t xml:space="preserve">Tenaga Kerja Memuat dan Menurunkan Polybag 11 Liter </t>
  </si>
  <si>
    <t>4.1.1.21</t>
  </si>
  <si>
    <t>Pengadaan dan Pengangkutan Semak di Polybag 11 Liter</t>
  </si>
  <si>
    <t>Semak Alamanda di Polybag 11 Liter</t>
  </si>
  <si>
    <t>4.1.1.22</t>
  </si>
  <si>
    <t xml:space="preserve">Analisis Poduktivitas Truck Angkutan Semak di Polybag 20 Liter </t>
  </si>
  <si>
    <t xml:space="preserve"> : 20 Liter </t>
  </si>
  <si>
    <t xml:space="preserve">Tenaga Kerja Memuat dan Menurunkan Polybag 20 Liter </t>
  </si>
  <si>
    <t>4.1.1.23</t>
  </si>
  <si>
    <t>Pengadaan dan Pengangkutan Semak di Polybag 20 Liter</t>
  </si>
  <si>
    <t>Semak Alamanda di Polybag 20 Liter</t>
  </si>
  <si>
    <t>4.1.1.24</t>
  </si>
  <si>
    <t>Analisis Poduktivitas Truck Angkutan Penutup Tanah</t>
  </si>
  <si>
    <t xml:space="preserve"> : Penutup Tanah </t>
  </si>
  <si>
    <t xml:space="preserve"> : 1 m2 Penutup Tanah </t>
  </si>
  <si>
    <t xml:space="preserve">Penutup tanah diangkut dari tempat Nursey dimuat kedalam Pick Up oleh pekerja </t>
  </si>
  <si>
    <t xml:space="preserve">Pick Up Mengangkut Penutup Tanah dari tempat Nursey ke lokasi pekerjaan </t>
  </si>
  <si>
    <t xml:space="preserve">Penutup Tanah diturunkan dari truck di lokasi pekejaa oleh pekerja </t>
  </si>
  <si>
    <t>Koefisien Alat/m2</t>
  </si>
  <si>
    <t>Tenaga Kerja Memuat dan Menurunkan Penutup Tanah</t>
  </si>
  <si>
    <t>Penutup Tanah yang dimuat/turunkan</t>
  </si>
  <si>
    <t xml:space="preserve"> -Menurunkan 1 m2 Penutup Tanah dari bak truck ke penyimpnan di lokasi pekerjaan </t>
  </si>
  <si>
    <t xml:space="preserve"> - Memuat 1 m2 Penutup Tanah dari tempat Nursey ke bak Truck </t>
  </si>
  <si>
    <t>Koefisien Tenaga Kerja/m2</t>
  </si>
  <si>
    <t>4.1.1.25</t>
  </si>
  <si>
    <t xml:space="preserve">Pengadaan dan Pengangkutan Penutup Tanah </t>
  </si>
  <si>
    <t>4.1.1.26</t>
  </si>
  <si>
    <t>Analisis Poduktivitas Truck Angkutan Rumput</t>
  </si>
  <si>
    <t xml:space="preserve"> : Rumput</t>
  </si>
  <si>
    <t xml:space="preserve"> : 1 m2 Rumput</t>
  </si>
  <si>
    <t>Rumput diangkut dari tempat Nursey dimuat kedalam pick up oleh pekerja</t>
  </si>
  <si>
    <t xml:space="preserve">Pick up mengangkut rumput dari tempat Nusey ke lokasi pekerjaan </t>
  </si>
  <si>
    <t xml:space="preserve">Rumput diturunkan dari truck di lokasi pekerjaan oleh pekerja </t>
  </si>
  <si>
    <t>Tenaga Kerja Memuat dan Menurunkan Rumput</t>
  </si>
  <si>
    <t>4.1.1.27</t>
  </si>
  <si>
    <t>Pengadaan dan Pengangkutan Rumput</t>
  </si>
  <si>
    <t>4.1.1.28</t>
  </si>
  <si>
    <t xml:space="preserve">Harga Satuan Dasar Water Truck untuk Penyiraman </t>
  </si>
  <si>
    <t>Jenis Pekerjaan</t>
  </si>
  <si>
    <t>Satuan Pekerjaan</t>
  </si>
  <si>
    <t xml:space="preserve"> : Sewa Water Truck untuk Penyiraman </t>
  </si>
  <si>
    <t xml:space="preserve"> : hari </t>
  </si>
  <si>
    <t xml:space="preserve">Dilakukan dengan Water Truck untuk mengambil air dari luar lokasi pekerjaan dan meyiramkan tanaman di lokasi pekerjaa </t>
  </si>
  <si>
    <t xml:space="preserve">Pengadaan Air Bersih dalam tangki Water Truck di luar lokasi pekerjaa </t>
  </si>
  <si>
    <t xml:space="preserve">Harga Satuan Dasar Water Truck 5000 Liter </t>
  </si>
  <si>
    <t xml:space="preserve">Sumber air berada di luar lokasi pekerjaan </t>
  </si>
  <si>
    <t xml:space="preserve">Air diisi ke tangki Water Truck dengan pompa yang berrada di Water Truck </t>
  </si>
  <si>
    <t xml:space="preserve">Air dalam tangki diangkut dari luarr loaksi pekerjaan ke lokasi pekerjaan </t>
  </si>
  <si>
    <t xml:space="preserve">Water Truck 500 Liter </t>
  </si>
  <si>
    <t xml:space="preserve">Kebutuhan air </t>
  </si>
  <si>
    <t xml:space="preserve">Kapasitas tangki air water truck </t>
  </si>
  <si>
    <t xml:space="preserve">Kapasitas pengangkutan air </t>
  </si>
  <si>
    <t xml:space="preserve">Kapasitas penyiraman </t>
  </si>
  <si>
    <t xml:space="preserve">Depresiasi </t>
  </si>
  <si>
    <t>Depresiasi /bulan (umur ekonomis truck 5 tahun)</t>
  </si>
  <si>
    <t xml:space="preserve">Biaya KIR/bulan </t>
  </si>
  <si>
    <t>Biaya Water Truck (Depresiasi x Kapasitas Pengangkutan)</t>
  </si>
  <si>
    <t xml:space="preserve">Maintenance Truck &amp; BBM </t>
  </si>
  <si>
    <t xml:space="preserve">BBM / Bulan / Truck </t>
  </si>
  <si>
    <t xml:space="preserve">Koefisie </t>
  </si>
  <si>
    <t xml:space="preserve">Data di wilayah DKI Jakarta </t>
  </si>
  <si>
    <t xml:space="preserve">Data dilapangan di wilayah DKI Jakarta </t>
  </si>
  <si>
    <t xml:space="preserve">bulan </t>
  </si>
  <si>
    <t xml:space="preserve">Data lapangan di wilayah DKI Jakarta </t>
  </si>
  <si>
    <t>Data lapangan</t>
  </si>
  <si>
    <t xml:space="preserve">Biaya Maintenance Truck / bulan / truck </t>
  </si>
  <si>
    <t xml:space="preserve">Biaya Maintenance Truck &amp; BBM / bulan </t>
  </si>
  <si>
    <t xml:space="preserve">Biaya Maintenance Truck &amp; BBM / hari </t>
  </si>
  <si>
    <t xml:space="preserve">Kapasitas Pekerjaan </t>
  </si>
  <si>
    <t xml:space="preserve">Jumlah pekerja / truck </t>
  </si>
  <si>
    <t xml:space="preserve">Total biaya pekerja / hari </t>
  </si>
  <si>
    <t xml:space="preserve">Total Biaya Water Truck/ hari </t>
  </si>
  <si>
    <t xml:space="preserve"> = Biaya dengan depresiasi + biaya maintenance &amp; BBM + biaya pekerja </t>
  </si>
  <si>
    <t xml:space="preserve">Koefisien Alat </t>
  </si>
  <si>
    <t xml:space="preserve">Total Biaya Maintenance &amp; BBM x Kapasitas Pengangkutan / hari </t>
  </si>
  <si>
    <t>Data lapangan di wilayah DKI Jakarta</t>
  </si>
  <si>
    <t>Total pekerja / hari</t>
  </si>
  <si>
    <t xml:space="preserve">sopir &amp; kenek </t>
  </si>
  <si>
    <t>Hari /m2</t>
  </si>
  <si>
    <t xml:space="preserve">Pohon Kecil , Polibag 20 L </t>
  </si>
  <si>
    <t>4.1.2.1.1</t>
  </si>
  <si>
    <t xml:space="preserve">Penanaman 1 Buah Pohon Kecil Bungan Mentega (Natrium Oleander ) Diameter 1-2 cm, Tinggi 2-2,5 Meter, Polibag 20 L </t>
  </si>
  <si>
    <t xml:space="preserve">Perubahan mulai dr judul item, penambahan tenaga kerja </t>
  </si>
  <si>
    <t xml:space="preserve">Pohon Bunga Mentega di Polybag 20 liter </t>
  </si>
  <si>
    <t xml:space="preserve">Kepala Tukang Tanam </t>
  </si>
  <si>
    <t xml:space="preserve">  *) panjang bambu 2m' x 3 batang </t>
  </si>
  <si>
    <t>catatan:</t>
  </si>
  <si>
    <t xml:space="preserve">Harga satuan upah Tukang Tanam setara dengan 125% Tukang </t>
  </si>
  <si>
    <t xml:space="preserve">Harga satuan upah Kepala Tukang Tanam setara dengan 125% Kepala Tukang </t>
  </si>
  <si>
    <t xml:space="preserve">Tukang Tanam </t>
  </si>
  <si>
    <t xml:space="preserve">Tukang tanam </t>
  </si>
  <si>
    <t xml:space="preserve">Pohon Bunga Mentega di Polybag 20 Liter </t>
  </si>
  <si>
    <t xml:space="preserve">Bambu* dia. 3-5 cm </t>
  </si>
  <si>
    <t xml:space="preserve">bambu* dia. 3-5 cm </t>
  </si>
  <si>
    <t>pasir pasang</t>
  </si>
  <si>
    <t>4a:75%, 4b : 20 %, 4c : 5%</t>
  </si>
  <si>
    <t xml:space="preserve">mulai dari penomoran dan judul </t>
  </si>
  <si>
    <t>4.1.2.1.2</t>
  </si>
  <si>
    <t xml:space="preserve">Penanaman 1 Buah Pohon Kecil Bunga Terompet Kuning (Tecoma Stans) Diameter 1-2 cm, Tinggi 2-2,5 Meter, Polibag 20 L </t>
  </si>
  <si>
    <t xml:space="preserve">Item baru </t>
  </si>
  <si>
    <t>Pohon Bunga Terompet Kuning di Polybag 20 Liter</t>
  </si>
  <si>
    <t>Pohon Bunga Terompet kuning di Polybag 20 liter</t>
  </si>
  <si>
    <t>4.1.2.1.3</t>
  </si>
  <si>
    <t xml:space="preserve">Penanaman 1 Buah Pohon Kecil Bungur Sakura / Bungur Jepang (Lagerstromia indica) Diameter 1-2 cm, Tinggi 2-2,5 Meter, Polibag 20 L </t>
  </si>
  <si>
    <t xml:space="preserve">Pohon Bungur Sakura di Polybag 20 Liter </t>
  </si>
  <si>
    <t>4.1.2.1.4</t>
  </si>
  <si>
    <t xml:space="preserve">Penanaman 1 Buah Pohon Kecil Cassia Glauca / Hujan Emas (Sena Surttensis) Diameter 1-2 cm, Tinggi 2-2,5 Meter, Polibag 20 L </t>
  </si>
  <si>
    <t xml:space="preserve">Pohon Cassia Glauca di Polybag 20 Liter </t>
  </si>
  <si>
    <t>4.1.2.1.5</t>
  </si>
  <si>
    <t xml:space="preserve">Penanaman 1 Buah Pohon Kecil Dracaena ' song of india' (Dracaena Reflexa "sog of india) Diameter 1-2 cm, Tinggi 2-2,5 Meter, Polibag 20 L </t>
  </si>
  <si>
    <t>Pohon Dracaena'song of india' di polybag 20 liter</t>
  </si>
  <si>
    <t>4.1.2.1.6</t>
  </si>
  <si>
    <t xml:space="preserve">Penanaman 1 Buah Pohon Kecil Dracaena 'Song of Jamaica'
(Dracaena Reflexa "Song of Jamaica") Diameter 1-2 cm, Tinggi 2-2,5 Meter, Polibag 20 L </t>
  </si>
  <si>
    <t>Pohon Dracaena 'Song of
Jamaica' di Polybag 20
Liter</t>
  </si>
  <si>
    <t>4.1.2.1.7</t>
  </si>
  <si>
    <t xml:space="preserve">Penanaman 1 Buah Pohon Kecil Jarak Batavia (Jatropha
Integerrima) Diameter 1-2 cm, Tinggi 2-2,5 Meter, Polibag 20 L </t>
  </si>
  <si>
    <t>Pohon Jarak Batavia di
Polybag 20 Liter</t>
  </si>
  <si>
    <t>4.1.2.1.8</t>
  </si>
  <si>
    <t xml:space="preserve">Penanaman 1 Buah Pohon Kecil Kayu Putih Kuning (Melaleuca
Revolution Gold) Diameter 1-2 cm, Tinggi 2-2,5 Meter, Polibag 20 L </t>
  </si>
  <si>
    <t>Pohon Kayu Putih
Kuning di Polybag 20
Liter</t>
  </si>
  <si>
    <t>4.1.2.1.9</t>
  </si>
  <si>
    <t xml:space="preserve">Penanaman 1 Buah Pohon Kecil Bugenvil/Bunga Kertas
(Bougainvillea sp.) Diameter 1-2 cm, Tinggi 2-2,5 Meter, Polibag 20 L </t>
  </si>
  <si>
    <t>Pohon Bugenvil/bunga
kertas di Polybag 20 Liter</t>
  </si>
  <si>
    <t>4.1.2.1.10</t>
  </si>
  <si>
    <t xml:space="preserve">Penanaman 1 Buah Pohon Kecil Penda Merah (Xanthostemon
Youngii) Diameter 1-2 cm, Tinggi 2-2,5 Meter, Polibag 20 L </t>
  </si>
  <si>
    <t>Pohon Penda Merah di
Polybag 20 Liter</t>
  </si>
  <si>
    <t>4.1.2.1.11</t>
  </si>
  <si>
    <t xml:space="preserve">Penanaman 1 Buah Pohon Kecil Pucuk Merah (Syzygium
Myrtifolium) Diameter 1-2 cm, Tinggi 2-2,5 Meter, Polibag 20 L </t>
  </si>
  <si>
    <t>4.1.2.1.12</t>
  </si>
  <si>
    <t xml:space="preserve">Penanaman 1 Buah Pohon Kecil Sikat Botol (Callistemon
Viminalis) Diameter 1-2 cm, Tinggi 2-2,5 Meter, Polibag 20 L </t>
  </si>
  <si>
    <t>Pohon Sikat Botol di
Polybag 20 Liter</t>
  </si>
  <si>
    <t>4.1.2.1.13</t>
  </si>
  <si>
    <t xml:space="preserve">Penanaman 1 Buah Pohon Kecil Thevetia (Thevetia Peruviana) Diameter 1-2 cm, Tinggi 2-2,5 Meter, Polibag 20 L </t>
  </si>
  <si>
    <t>Pohon Thevetia di
Polybag 20 Liter</t>
  </si>
  <si>
    <t>4.1.2.1.14</t>
  </si>
  <si>
    <t xml:space="preserve">Penanaman 1 Buah Pohon Kecil Turi (Sesbania Grandiflora) Diameter 1-2 cm, Tinggi 2-2,5 Meter, Polibag 20 L </t>
  </si>
  <si>
    <t>Pohon Turi di Polybag 20
Liter</t>
  </si>
  <si>
    <t>4.1.2.1.15</t>
  </si>
  <si>
    <t xml:space="preserve">Penanaman 1 Buah Pohon Kecil Kembang Merak (Caesalpinia
Pulcherrima)Diameter 1-2 cm, Tinggi 2-2,5 Meter, Polibag 20 L </t>
  </si>
  <si>
    <t>Pohon Kembang Merak di
Polybag 20 Liter</t>
  </si>
  <si>
    <t>4.1.2.1.16</t>
  </si>
  <si>
    <t xml:space="preserve">Penanaman 1 Buah Pohon Kecil Pandan Bali (Cordyline
Australis) Diameter 1-2 cm, Tinggi 2-2,5 Meter, Polibag 20 L </t>
  </si>
  <si>
    <t>Pohon Pandan Bali di
Polybag 20 Liter</t>
  </si>
  <si>
    <t>4.1.2.1.17</t>
  </si>
  <si>
    <t xml:space="preserve">Penanaman 1 Buah Pohon Kecil Yucca (Yucca sp.) Diameter 1-2 cm, Tinggi 2-2,5 Meter, Polibag 20 L </t>
  </si>
  <si>
    <t>Pohon Yucca di Polybag
20 Liter</t>
  </si>
  <si>
    <t>Poho Kecil, Polybag 25 L</t>
  </si>
  <si>
    <t>4.1.2.2.1</t>
  </si>
  <si>
    <t xml:space="preserve">Penanaman 1 Buah Pohon Kecil Bugan Mentega (Natrium Oleande) Diameter 2-3 cm, Tinggi 2-2,5 meter, Polybag 25 L </t>
  </si>
  <si>
    <t>Pohon Bunga Mentega di
Polybag 25 Liter</t>
  </si>
  <si>
    <t>Item Baru</t>
  </si>
  <si>
    <t>4.1.2.2.2</t>
  </si>
  <si>
    <t xml:space="preserve">Penanaman 1 Buah Pohon Kecil Bunga Terompet Kuning
(Tecoma stans) Diameter 2-3 cm, Tinggi 2-2,5 meter, Polybag 25 L </t>
  </si>
  <si>
    <t>Pohon Bunga Terompet
Kuning di Polybag 25 Liter</t>
  </si>
  <si>
    <t>4.1.2.2.3</t>
  </si>
  <si>
    <t xml:space="preserve">Penanaman 1 Buah Pohon Kecil Bunga Terompet Kuning
(Tecoma stans)Bungur Sakura/Bungur Jepang
(Lagerstroemia indica), Diameter 2-3 cm, Tinggi 2-2,5 meter, Polybag 25 L </t>
  </si>
  <si>
    <t>Pohon Bungur
Sakura/Bungur Jepang di
Polybag 25 Liter</t>
  </si>
  <si>
    <t>4.1.2.2.4</t>
  </si>
  <si>
    <t xml:space="preserve">Penanaman 1 Buah Pohon KecilCassia Glauca (Senna
Surattensis), Diameter 2-3 cm, Tinggi 2-2,5 meter, Polybag 25 L </t>
  </si>
  <si>
    <t>Pohon Cassia glauca di
Polybag 25 Liter</t>
  </si>
  <si>
    <t>4.1.2.2.5</t>
  </si>
  <si>
    <t xml:space="preserve">Penanaman 1 Buah Pohon Kecil Dracaena ‘Song of India’
(Dracaena reflexa "song of india"), Diameter 2-3 cm, Tinggi 2-2,5 meter, Polybag 25 L </t>
  </si>
  <si>
    <t>Pohon Dracaena ‘Song of
India’ di Polybag 25 Liter</t>
  </si>
  <si>
    <t>4.1.2.2.6</t>
  </si>
  <si>
    <t xml:space="preserve">Penanaman 1 Buah Pohon Kecil Dracaena 'Song of Jamaica'
(Dracaena reflexa "song of jamaica"), Diameter 2-3 cm, Tinggi 2-2,5 meter, Polybag 25 L </t>
  </si>
  <si>
    <t>Pohon Dracaena 'Song of
Jamaica' di Polybag 25
Liter</t>
  </si>
  <si>
    <t>4.1.2.2.7</t>
  </si>
  <si>
    <t xml:space="preserve">Penanaman 1 Buah Pohon Kecil Jarak Batavia (Jatropha Integerrima), Diameter 2-3 cm, Tinggi 2-2,5 meter, Polybag 25 L </t>
  </si>
  <si>
    <t>Pohon Jarak Batavia di Polybag 25 Liter</t>
  </si>
  <si>
    <t>4.1.2.2.8</t>
  </si>
  <si>
    <t>Pohon Kayu Putih Kuning di Polybag 25 Liter</t>
  </si>
  <si>
    <t xml:space="preserve">Penanaman 1 Buah Pohon Kecil Kayu Putih Kuning (Melaleuca Revolution Gold),  Diameter 2-3 cm, Tinggi 2-2,5 meter, Polybag 25 L </t>
  </si>
  <si>
    <t>4.1.2.2.9</t>
  </si>
  <si>
    <t xml:space="preserve">Penanaman 1 Buah Pohon Kecil Pucuk Merah (Syzygium Myrtifolium), Diameter 2-3 cm, Tinggi 2-2,5 meter, Polybag 25 L </t>
  </si>
  <si>
    <t>Pohon Pucuk merah di Polybag 25 Liter</t>
  </si>
  <si>
    <t>4.1.2.2.10</t>
  </si>
  <si>
    <t xml:space="preserve">Penanaman 1 Buah Pohon Kecil Sikat Botol (Callistemon
Viminalis),  Diameter 2-3 cm, Tinggi 2-2,5 meter, Polybag 25 L </t>
  </si>
  <si>
    <t>Pohon Sikat Botol di
Polybag 25 Liter</t>
  </si>
  <si>
    <t>4.1.2.2.11</t>
  </si>
  <si>
    <t xml:space="preserve">Penanaman 1 Buah Pohon Kecil Kecil Thevetia (Thevetia peruviana),  Diameter 2-3 cm, Tinggi 2-2,5 meter, Polybag 25 L </t>
  </si>
  <si>
    <t>Pohon Thevetia di Polybag 25 Liter</t>
  </si>
  <si>
    <t>4.1.2.2.12</t>
  </si>
  <si>
    <t xml:space="preserve">Penanaman 1 Buah Pohon Kecil Turi (Sesbania Grandiflora),  Diameter 2-3 cm, Tinggi 2-2,5 meter, Polybag 25 L </t>
  </si>
  <si>
    <t>Pohon Turi di Polybag 25 Liter</t>
  </si>
  <si>
    <t>4.1.2.2.13</t>
  </si>
  <si>
    <t>Pohon Sedang, Polybag 50 L</t>
  </si>
  <si>
    <t>4.1.2.3.1</t>
  </si>
  <si>
    <t xml:space="preserve">Penanaman 1 Buah Pohon Sedang Bintaro (Cerbera Manghas), Diameter 3-5 cm, Tinggi 3-4 Meter, Polybag 50 L </t>
  </si>
  <si>
    <t>Pohon Bintaro di Polybag
50 Liter</t>
  </si>
  <si>
    <t xml:space="preserve">bambu* dia. 5-8 cm </t>
  </si>
  <si>
    <t xml:space="preserve">Bambu* dia. 5-8 cm </t>
  </si>
  <si>
    <t xml:space="preserve">Tali/pengikat sejenisnya </t>
  </si>
  <si>
    <t>4.1.2.3.2</t>
  </si>
  <si>
    <t xml:space="preserve">Penanaman 1 Buah Pohon Sedang Bunga Kupu-Kupu (Bauhinia
Blakeana/Purpurea),, Diameter 3-5 cm, Tinggi 3-4 Meter, Polybag 50 L </t>
  </si>
  <si>
    <t>4.1.2.3.3</t>
  </si>
  <si>
    <t xml:space="preserve">Penanaman 1 Buah Pohon Sedang Bunga Terompet Kuning (Tecoma stans), Diameter 3-5 cm, Tinggi 3-4 Meter, Polybag 50 L </t>
  </si>
  <si>
    <t>Pohon Bunga Terompet Kuning di Polybag 50 Liter</t>
  </si>
  <si>
    <t>4.1.2.3.4</t>
  </si>
  <si>
    <t xml:space="preserve">Penanaman 1 Buah Pohon Sedang Bunga Flamboyan (Delonix Regia), Diameter 3-5 cm, Tinggi 3-4 Meter, Polybag 50 L </t>
  </si>
  <si>
    <t>Pohon Flamboyan di Polybag 50 Liter</t>
  </si>
  <si>
    <t>4.1.2.3.5</t>
  </si>
  <si>
    <t xml:space="preserve">Penanaman 1 Buah Pohon Sedang Flamboyan Kuning (Peltophorum Pterocarpum), Diameter 3-5 cm, Tinggi 3-4 Meter, Polybag 50 L </t>
  </si>
  <si>
    <t>Pohon Flamboyan Kuning di Polybag 50 Liter</t>
  </si>
  <si>
    <t>4.1.2.3.6</t>
  </si>
  <si>
    <t xml:space="preserve">Penanaman 1 Buah Pohon Sedang Janda Merana (Salix Babilonica), Diameter 3-5 cm, Tinggi 3-4 Meter, Polybag 50 L </t>
  </si>
  <si>
    <t>Pohon Janda Merana di Polybag 50 Liter</t>
  </si>
  <si>
    <t>4.1.2.3.7</t>
  </si>
  <si>
    <t xml:space="preserve">Penanaman 1 Buah Pohon Sedang Ketapang kencana (Terminalia mantaly), Diameter 3-5 cm, Tinggi 3-4 Meter, Polybag 50 L </t>
  </si>
  <si>
    <t>Pohon Ketapang kencana di Polybag 50 Liter</t>
  </si>
  <si>
    <t>4.1.2.3.8</t>
  </si>
  <si>
    <t xml:space="preserve">Penanaman 1 Buah Pohon Sedang Sosis (Kigelia Africana), Diameter 3-5 cm, Tinggi 3-4 Meter, Polybag 50 L </t>
  </si>
  <si>
    <t>Pohon Sosis di Polybag 50 Liter</t>
  </si>
  <si>
    <t>4.1.2.3.9</t>
  </si>
  <si>
    <t xml:space="preserve">Penanaman 1 Buah Pohon Sedang Tabebuya (Tabebuia sp.) Diameter 3-5 cm, Tinggi 3-4 Meter, Polybag 50 L </t>
  </si>
  <si>
    <t>Pohon Tabebuya di Polybag 50 Liter</t>
  </si>
  <si>
    <t>4.1.2.3.10</t>
  </si>
  <si>
    <t xml:space="preserve">Penanaman 1 Buah Pohon Sedang Waru (Hibiscus Tiliaceus), Diameter 3-5 cm, Tinggi 3-4 Meter, Polybag 50 L </t>
  </si>
  <si>
    <t>Pohon Waru di Polybag 50 Liter</t>
  </si>
  <si>
    <t>4.1.2.3.11</t>
  </si>
  <si>
    <t>Pohon Sedang, Polybag 75 L</t>
  </si>
  <si>
    <t>4.1.2.4.1</t>
  </si>
  <si>
    <t>Pohon Bintaro di Polybag 75 Liter</t>
  </si>
  <si>
    <t xml:space="preserve">  *) panjang bambu 4m' x 3 batang </t>
  </si>
  <si>
    <t>4.1.2.4.2</t>
  </si>
  <si>
    <t>Penanaman 1 Buah Poho Sedang Biola Cantik (Ficus Lyrata), Diameter 5-7 cm, Tinggi 3-4 Meter Polybag 75 L</t>
  </si>
  <si>
    <t>Penanaman 1 Buah Poho Sedang Bitaro (Cerbera Manghas), Diameter 5-7 cm, Tinggi 3-4 Meter Polybag 75 L</t>
  </si>
  <si>
    <t>4.1.2.4.3</t>
  </si>
  <si>
    <t>Pohon Biola Cantik di Polybag 75 Liter</t>
  </si>
  <si>
    <t>Penanaman 1 Buah Poho Sedang Bunga Kupu-Kupu (Bauhinia Blakeana/Purpurea), Diameter 5-7 cm, Tinggi 3-4 Meter Polybag 75 L</t>
  </si>
  <si>
    <t xml:space="preserve">Pohon Bunga Kupu-Kupu di Polybag 75 Liter </t>
  </si>
  <si>
    <t>4.1.2.4.4</t>
  </si>
  <si>
    <t>Penanaman 1 Buah Poho Sedang Bungur (Lagerstroemia Speciosa),  Diameter 5-7 cm, Tinggi 3-4 Meter Polybag 75 L</t>
  </si>
  <si>
    <t>Pohon Bungur di Polybag 75 Liter</t>
  </si>
  <si>
    <t>4.1.2.4.5</t>
  </si>
  <si>
    <t>Penanaman 1 Buah Poho Sedang Flamboyan (Delonix Regia),  Diameter 5-7 cm, Tinggi 3-4 Meter Polybag 75 L</t>
  </si>
  <si>
    <t>Pohon Flamboyan di Polybag 75 Liter</t>
  </si>
  <si>
    <t>4.1.2.4.6</t>
  </si>
  <si>
    <t>Penanaman 1 Buah Poho Sedang Flamboyan Kuning (Peltophorum Pterocarpum),  Diameter 5-7 cm, Tinggi 3-4 Meter Polybag 75 L</t>
  </si>
  <si>
    <t>Pohon Flamboyan Kuning di Polybag 75 Liter</t>
  </si>
  <si>
    <t>4.1.2.4.7</t>
  </si>
  <si>
    <t>Penanaman 1 Buah Poho SedangJanda Merana (Salix Babilonica), Diameter 5-7 cm, Tinggi 3-4 Meter Polybag 75 L</t>
  </si>
  <si>
    <t>Pohon Janda Merana di Polybag 75 Liter</t>
  </si>
  <si>
    <t>4.1.2.4.8</t>
  </si>
  <si>
    <t>Penanaman 1 Buah Poho Sedang Kamboja (Plumeria Sp.), Diameter 5-7 cm, Tinggi 3-4 Meter Polybag 75 L</t>
  </si>
  <si>
    <t>Pohon Kamboja di Polybag 75 Liter</t>
  </si>
  <si>
    <t>4.1.2.4.9</t>
  </si>
  <si>
    <t>Penanaman 1 Buah Poho Sedang Keben (Barringtonia Asiatica), Diameter 5-7 cm, Tinggi 3-4 Meter Polybag 75 L</t>
  </si>
  <si>
    <t>Pohon Keben di Polybag 75 Liter</t>
  </si>
  <si>
    <t>4.1.2.4.10</t>
  </si>
  <si>
    <t>Penanaman 1 Buah Poho Sedang Kecrutan (Spathodea
Campanulata), Diameter 5-7 cm, Tinggi 3-4 Meter Polybag 75 L</t>
  </si>
  <si>
    <t>Pohon Kecrutan di Polybag
75 Liter</t>
  </si>
  <si>
    <t>4.1.2.4.11</t>
  </si>
  <si>
    <t>Penanaman 1 Buah Poho Sedang Ketapang Kencana (Terminalia Mantaly), Diameter 5-7 cm, Tinggi 3-4 Meter Polybag 75 L</t>
  </si>
  <si>
    <t>Pohon Ketapang kencana di Polybag 75 Liter</t>
  </si>
  <si>
    <t>4.1.2.4.12</t>
  </si>
  <si>
    <t>Penanaman 1 Buah Poho Sedang Mahoni (Swietenia
Mahagoni), Diameter 5-7 cm, Tinggi 3-4 Meter Polybag 75 L</t>
  </si>
  <si>
    <t>Pohon Mahoni di Polybag
75 Liter</t>
  </si>
  <si>
    <t>4.1.2.4.13</t>
  </si>
  <si>
    <t>Penanaman 1 Buah Poho Sedang Pulai (Alstonia Scholaris),, Diameter 5-7 cm, Tinggi 3-4 Meter Polybag 75 L</t>
  </si>
  <si>
    <t>Pohon Pulai di Polybag 75
Liter</t>
  </si>
  <si>
    <t>4.1.2.4.14</t>
  </si>
  <si>
    <t>Penanaman 1 Buah Poho Sedang Putat (Planchonia Valida), Diameter 5-7 cm, Tinggi 3-4 Meter Polybag 75 L</t>
  </si>
  <si>
    <t>Pohon Putat di Polybag 75
Liter</t>
  </si>
  <si>
    <t>4.1.2.4.15</t>
  </si>
  <si>
    <t>Penanaman 1 Buah Poho Sedang Sosis (Kigelia Africana), Diameter 5-7 cm, Tinggi 3-4 Meter Polybag 75 L</t>
  </si>
  <si>
    <t>Pohon Sosis di Polybag 75 Liter</t>
  </si>
  <si>
    <t>4.1.2.4.16</t>
  </si>
  <si>
    <t>Penanaman 1 Buah Poho Sedang Tabebuya (Tabebuia Sp.), Diameter 5-7 cm, Tinggi 3-4 Meter Polybag 75 L</t>
  </si>
  <si>
    <t>Pohon Tabebuya di Polybag 75 Liter</t>
  </si>
  <si>
    <t>4.1.2.4.17</t>
  </si>
  <si>
    <t>Penanaman 1 Buah Poho Sedang Trembesi (Samanea Saman), Diameter 5-7 cm, Tinggi 3-4 Meter Polybag 75 L</t>
  </si>
  <si>
    <t>Pohon Trembesi di Polybag 75 Liter</t>
  </si>
  <si>
    <t>4.1.2.4.18</t>
  </si>
  <si>
    <t>Penanaman 1 Buah Poho Sedang Waru (Hibiscus Tiliaceus), Diameter 5-7 cm, Tinggi 3-4 Meter Polybag 75 L</t>
  </si>
  <si>
    <t>Pohon Waru di Polybag 75 Liter</t>
  </si>
  <si>
    <t>Pohon Besar, Polybag 100 L</t>
  </si>
  <si>
    <t>4.1.2.5.1</t>
  </si>
  <si>
    <t>Penanaman 1 Buah Pohon Besar Pohon Beringi (Ficus Benjamine), Diameter 7-15 cm, Tinggi diatas 5 meter, Polybag 100 L</t>
  </si>
  <si>
    <t xml:space="preserve">bambu* dia. 8-10 cm </t>
  </si>
  <si>
    <t>Pohon Beringin di Polybag 100 Liter</t>
  </si>
  <si>
    <t>4.1.2.5.2</t>
  </si>
  <si>
    <t>Penanaman 1 Buah Pohon Besar Biola Cantik (Ficus Lyrata), Diameter 7-15 cm, Tinggi diatas 5 meter, Polybag 100 L</t>
  </si>
  <si>
    <t>Pohon Biola Cantik di Polybag 100 Liter</t>
  </si>
  <si>
    <t>4.1.2.5.3</t>
  </si>
  <si>
    <t>Penanaman 1 Buah Pohon Besar Bodhi (Ficus Religiosa), Diameter 7-15 cm, Tinggi diatas 5 meter, Polybag 100 L</t>
  </si>
  <si>
    <t>Pohon Bodhi di Polybag 100 Liter</t>
  </si>
  <si>
    <t>4.1.2.5.4</t>
  </si>
  <si>
    <t>Penanaman 1 Buah Pohon Besar Bungur (Lagerstroemis Speciosa), Diameter 7-15 cm, Tinggi diatas 5 meter, Polybag 100 L</t>
  </si>
  <si>
    <t>Pohon Bungur di Polybag 100 Liter</t>
  </si>
  <si>
    <t>4.1.2.5.5</t>
  </si>
  <si>
    <t>Penanaman 1 Buah Pohon Besar Flamboyan (Delonix Regia), Diameter 7-15 cm, Tinggi diatas 5 meter, Polybag 100 L</t>
  </si>
  <si>
    <t>Pohon Flamboyan di Polybag 100 Liter</t>
  </si>
  <si>
    <t>4.1.2.5.6</t>
  </si>
  <si>
    <t>Penanaman 1 Buah Pohon Besar Kamboja (Plumeria Sp.), Diameter 7-15 cm, Tinggi diatas 5 meter, Polybag 100 L</t>
  </si>
  <si>
    <t>Pohon Kamboja di Polybag 100 Liter</t>
  </si>
  <si>
    <t>4.1.2.5.7</t>
  </si>
  <si>
    <t>Penanaman 1 Buah Pohon Besar Keben (Barringtonia Asiatica), Diameter 7-15 cm, Tinggi diatas 5 meter, Polybag 100 L</t>
  </si>
  <si>
    <t>Pohon Keben di Polybag 100 Liter</t>
  </si>
  <si>
    <t>4.1.2.5.8</t>
  </si>
  <si>
    <t>Penanaman 1 Buah Pohon Besar Kecrutan (Spathodea Campanulata), Diameter 7-15 cm, Tinggi diatas 5 meter, Polybag 100 L</t>
  </si>
  <si>
    <t>Pohon Kecrutan di Polybag 100 Liter</t>
  </si>
  <si>
    <t>4.1.2.5.9</t>
  </si>
  <si>
    <t>Penanaman 1 Buah Pohon Besar Ketapang Kencana (Terminalia Mantaly), Diameter 7-15 cm, Tinggi diatas 5 meter, Polybag 100 L</t>
  </si>
  <si>
    <t>Pohon Ketapang kencana di Polybag 100 Liter</t>
  </si>
  <si>
    <t>4.1.2.5.10</t>
  </si>
  <si>
    <t>Penanaman 1 Buah Pohon Besar Mahoni (Swietenia Mahagoni), Diameter 7-15 cm, Tinggi diatas 5 meter, Polybag 100 L</t>
  </si>
  <si>
    <t>4.1.2.5.11</t>
  </si>
  <si>
    <t>Penanaman 1 Buah Pohon Besar Pulai (Alstonia Scholaris), Diameter 7-15 cm, Tinggi diatas 5 meter, Polybag 100 L</t>
  </si>
  <si>
    <t>Pohon Pulai di Polybag 100 Liter</t>
  </si>
  <si>
    <t>4.1.2.5.12</t>
  </si>
  <si>
    <t>Penanaman 1 Buah Pohon Besar Putat (Planchonia Valida), Diameter 7-15 cm, Tinggi diatas 5 meter, Polybag 100 L</t>
  </si>
  <si>
    <t>Pohon Putat di Polybag 100 Liter</t>
  </si>
  <si>
    <t>4.1.2.5.13</t>
  </si>
  <si>
    <t>Penanaman 1 Buah Pohon Besar Sosis (Kigelia Africana), Diameter 7-15 cm, Tinggi diatas 5 meter, Polybag 100 L</t>
  </si>
  <si>
    <t>Pohon Sosis di Polybag 100 Liter</t>
  </si>
  <si>
    <t>4.1.2.5.14</t>
  </si>
  <si>
    <t>Penanaman 1 Buah Pohon Besar Trembesi (Samanea Saman), Diameter 7-15 cm, Tinggi diatas 5 meter, Polybag 100 L</t>
  </si>
  <si>
    <t>Pohon Trembesi di Polybag 100 Liter</t>
  </si>
  <si>
    <t xml:space="preserve">Pohon Besar, Polybag 150 L </t>
  </si>
  <si>
    <t>4.1.2.6.1</t>
  </si>
  <si>
    <t>Penanaman 1 Buah Pohon Besar Bodhi (Ficus Religiosa), Diameter 15-20 cm, Tinggi diatas 5 meter, Polybag 150 L</t>
  </si>
  <si>
    <t>Pohon Bodhi di Polybag 150 Liter</t>
  </si>
  <si>
    <t>4.1.2.6.2</t>
  </si>
  <si>
    <t>Penanaman 1 Buah Pohon Besar Beringin (Ficus Benjamina), Diameter 15-20 cm, Tinggi diatas 5 meter, Polybag 150 L</t>
  </si>
  <si>
    <t xml:space="preserve">Sewa Crane kapasitas 1 ton </t>
  </si>
  <si>
    <t xml:space="preserve">Sewa crane kapasitas 1 ton </t>
  </si>
  <si>
    <t>Pohon Beringin di Polybag 150 Liter</t>
  </si>
  <si>
    <t>4.1.2.6.3</t>
  </si>
  <si>
    <t>4.1.2.6.4</t>
  </si>
  <si>
    <t>Penanaman 1 Buah Pohon Besar Flamboyan (Delonix Regia), Diameter 15-20 cm, Tinggi diatas 5 meter, Polybag 150 L</t>
  </si>
  <si>
    <t>Pohon Flamboyan di Polybag 150 Liter</t>
  </si>
  <si>
    <t>4.1.2.6.5</t>
  </si>
  <si>
    <t>Penanaman 1 Buah Pohon Besar Kamboja (Plumeria Sp.), Diameter 15-20 cm, Tinggi diatas 5 meter, Polybag 150 L</t>
  </si>
  <si>
    <t>Pohon Kamboja di Polybag 150 Liter</t>
  </si>
  <si>
    <t>4.1.2.6.6</t>
  </si>
  <si>
    <t>Penanaman 1 Buah Pohon Besar Besar Pulai (Alstonia Scholaris), Diameter 15-20 cm, Tinggi diatas 5 meter, Polybag 150 L</t>
  </si>
  <si>
    <t>Pohon Pulai di Polybag 150 Liter</t>
  </si>
  <si>
    <t>4.1.2.6.7</t>
  </si>
  <si>
    <t>Penanaman 1 Buah Pohon Besar Besar Sosis (Kigelia Africana), Diameter 15-20 cm, Tinggi diatas 5 meter, Polybag 150 L</t>
  </si>
  <si>
    <t>Pohon Sosis di Polybag 150 Liter</t>
  </si>
  <si>
    <t>4.1.2.6.8</t>
  </si>
  <si>
    <t>Penanaman 1 Buah Pohon Besar Besar Trembesi (Samanea Saman), Diameter 15-20 cm, Tinggi diatas 5 meter, Polybag 150 L</t>
  </si>
  <si>
    <t>Pohon Trembesi di Polybag 150 Liter</t>
  </si>
  <si>
    <t>Pohon Besar, Polybag 200 L</t>
  </si>
  <si>
    <t>4.1.2.7.1</t>
  </si>
  <si>
    <t xml:space="preserve">bambu* dia. 10-12 cm </t>
  </si>
  <si>
    <t xml:space="preserve">  *) panjang bambu 6m' x 3 batang </t>
  </si>
  <si>
    <t>4.1.2.7.2</t>
  </si>
  <si>
    <t>Penanaman 1 Buah Pohon Besar Bodhi (Ficus Religiosa), Diameter 20-25 cm, Tinggi Diatas 5 meter, Polybag 200 L</t>
  </si>
  <si>
    <t>Penanaman 1 Buah Pohon Besar Beringin (Ficus Benjamina), Diameter 20-25 cm, Tinggi Diatas 5 meter, Polybag 200 L</t>
  </si>
  <si>
    <t>Pohon Bodhi di Polybag 200 Liter</t>
  </si>
  <si>
    <t>4.1.2.7.3</t>
  </si>
  <si>
    <t>Penanaman 1 Buah Pohon Besar Flamboyan (Delonix Regia), Diameter 20-25 cm, Tinggi Diatas 5 meter, Polybag 200 L</t>
  </si>
  <si>
    <t>Pohon Flamboyan di Polybag 200 Liter</t>
  </si>
  <si>
    <t>4.1.2.7.4</t>
  </si>
  <si>
    <t>Penanaman 1 Buah Pohon Besar Kamboja Fosil (Plumeria Sp.), Diameter 20-25 cm, Tinggi Diatas 5 meter, Polybag 200 L</t>
  </si>
  <si>
    <t>Pohon Kamboja Fosil di Polybag 200 Liter</t>
  </si>
  <si>
    <t>4.1.2.7.5</t>
  </si>
  <si>
    <t>Penanaman 1 Buah Pohon Besar Pulai (Alstonia Scholaris), Diameter 20-25 cm, Tinggi Diatas 5 meter, Polybag 200 L</t>
  </si>
  <si>
    <t>Pohon Pulai di Polybag 200 Liter</t>
  </si>
  <si>
    <t>4.1.2.7.6</t>
  </si>
  <si>
    <t>Penanaman 1 Buah Pohon Besar Sosis (Kigelia Africana), Diameter 20-25 cm, Tinggi Diatas 5 meter, Polybag 200 L</t>
  </si>
  <si>
    <t>Pohon Sosis di Polybag 200 Liter</t>
  </si>
  <si>
    <t>4.1.2.7.7</t>
  </si>
  <si>
    <t>Penanaman 1 Buah Pohon Besar Trembesi (Samanea Saman), Diameter 20-25 cm, Tinggi Diatas 5 meter, Polybag 200 L</t>
  </si>
  <si>
    <t>Pohon Trembesi di Polybag 200
Liter</t>
  </si>
  <si>
    <t>Pohon Trembesi di Polybag 150
Liter</t>
  </si>
  <si>
    <t>Pohon Besar, Polybag 250 L</t>
  </si>
  <si>
    <t>4.1.2.8.1</t>
  </si>
  <si>
    <t>Penanaman 1 Buah Pohon Besar Baobab (Adansonia Digitata), Diameter 25-30 cm, Tinggi Diatas 6 meter, Polybag 250 L</t>
  </si>
  <si>
    <t>Pohon Baobab di Polybag 250
Liter</t>
  </si>
  <si>
    <t>4.1.2.8.2</t>
  </si>
  <si>
    <t>Penanaman 1 Buah Pohon Besar Beringin (Ficus Benjamina), Diameter 25-30 cm, Tinggi Diatas 6 meter, Polybag 250 L</t>
  </si>
  <si>
    <t>Pohon Beringin di Polybag
250 Liter</t>
  </si>
  <si>
    <t>4.1.2.8.3</t>
  </si>
  <si>
    <t>Penanaman 1 Buah Pohon Besar Bodhi (Ficus Religiosa), Diameter 25-30 cm, Tinggi Diatas 6 meter, Polybag 250 L</t>
  </si>
  <si>
    <t>Pohon Bodhi di Polybag 250
Liter</t>
  </si>
  <si>
    <t>4.1.2.8.4</t>
  </si>
  <si>
    <t>Penanaman 1 Buah Pohon Besar Kamboja Fosil (Plumeria Sp.), Diameter 25-30 cm, Tinggi Diatas 6 meter, Polybag 250 L</t>
  </si>
  <si>
    <t>4.1.2.8.5</t>
  </si>
  <si>
    <t>Penanaman 1 Buah Pohon Besar Pulai (Alstonia Scholaris), Diameter 25-30 cm, Tinggi Diatas 6 meter, Polybag 250 L</t>
  </si>
  <si>
    <t>Pohon Pulai di Polybag 250
Liter</t>
  </si>
  <si>
    <t>4.1.2.8.6</t>
  </si>
  <si>
    <t>Penanaman 1 Buah Pohon Besar Sosis (Kigelia Africana), Diameter 25-30 cm, Tinggi Diatas 6 meter, Polybag 250 L</t>
  </si>
  <si>
    <t>Pohon Sosis di Polybag 250
Liter</t>
  </si>
  <si>
    <t>Penanaman 1 Buah Pohon Besar Trembesi (Samanea Saman), Diameter 25-30 cm, Tinggi Diatas 6 meter, Polybag 250 L</t>
  </si>
  <si>
    <t>Pohon Trembesi di Polybag
250 Liter</t>
  </si>
  <si>
    <t>4.1.2.8.7</t>
  </si>
  <si>
    <t xml:space="preserve">Penanaman Palem </t>
  </si>
  <si>
    <t xml:space="preserve">Palem Kecil, Polybag 50 L </t>
  </si>
  <si>
    <t>4.1.3.1.1</t>
  </si>
  <si>
    <t xml:space="preserve">Penaman 1 Buah Pelem Kecil, Palem Jepang (Ptychosperma Macarthurii), Diameter s.d 5 cm, Tinggi 1-1,2 meter, Polybag 50 L </t>
  </si>
  <si>
    <t>Palem jepang di Polybag 50 Liter</t>
  </si>
  <si>
    <t xml:space="preserve">perubahan nama pohon, koefisien dan penambahan tenaga kerja </t>
  </si>
  <si>
    <t>4.1.3.1.2</t>
  </si>
  <si>
    <t xml:space="preserve">Penaman 1 Buah Pelem Kecil, Palem Komodoria/
Komodor/Chamadorea (Chamaedorea Elegans), Diameter s.d 5 cm, Tinggi 1-1,2 meter, Polybag 50 L </t>
  </si>
  <si>
    <t>Palem komodoria/
komodor/chamadorea di
Polybag 50 Liter</t>
  </si>
  <si>
    <t>4.1.3.1.3</t>
  </si>
  <si>
    <t xml:space="preserve">Penaman 1 Buah Pelem Kecil, Palem Kuning (Dypsis
Lutescens), Diameter s.d 5 cm, Tinggi 1-1,2 meter, Polybag 50 L </t>
  </si>
  <si>
    <t>Palem kuning di Polybag 50
Liter</t>
  </si>
  <si>
    <t>4.1.3.1.4</t>
  </si>
  <si>
    <t xml:space="preserve">Penaman 1 Buah Pelem Kecil, Palem Merah/ Pinang Merah
(Cyrtostachys Renda), Tinggi 1-1,2 meter, Polybag 50 L </t>
  </si>
  <si>
    <t>Palem Merah/ Pinang Merah di
Polybag 50 Liter</t>
  </si>
  <si>
    <t>4.1.3.1.5</t>
  </si>
  <si>
    <t xml:space="preserve">Penaman 1 Buah Pelem Kecil, Palem Waregu (Rhapis
Excelsa), Tinggi 1-1,2 meter, Polybag 50 L </t>
  </si>
  <si>
    <t>Palem waregu di Polybag 50
Liter</t>
  </si>
  <si>
    <t>4.1.3.1.6</t>
  </si>
  <si>
    <t xml:space="preserve">Penaman 1 Buah Pelem Kecil, Sikas Halus/Mawar Jambe
(Cycas Revoluta), Tinggi 1-1,2 meter, Polybag 50 L </t>
  </si>
  <si>
    <t>Sikas Halus/Mawar Jambe di
Polybag 50 Liter</t>
  </si>
  <si>
    <t>4.1.3.1.7</t>
  </si>
  <si>
    <t xml:space="preserve">Penaman 1 Buah Pelem Kecil, Palem Phoenix (Phoenix
Roebelenii), Tinggi 1-1,2 meter, Polybag 50 L </t>
  </si>
  <si>
    <t>Palem Phoenix di Polybag 50
Liter</t>
  </si>
  <si>
    <t>Palem Kecil, Polybag 75 L</t>
  </si>
  <si>
    <t>4.1.3.2.1</t>
  </si>
  <si>
    <t xml:space="preserve">Penaman 1 Buah Pelem Kecil,Palem Jepang (Ptychosperma
Macarthurii), Diameter 5-7 cm, Tinggi 1,2 - 1,5 meter, Polybag 75 L </t>
  </si>
  <si>
    <t>Palem jepang di Polybag 75
Liter</t>
  </si>
  <si>
    <t>4.1.3.2.2</t>
  </si>
  <si>
    <t xml:space="preserve">Penaman 1 Buah Pelem Kecil, Palem Komodoria/
Komodor/Chamadorea (Chamaedorea Elegans), Diameter 5-7 cm, Tinggi 1,2 - 1,5 meter, Polybag 75 L </t>
  </si>
  <si>
    <t>Palem komodoria/
komodor/chamadorea di
Polybag 75 Liter</t>
  </si>
  <si>
    <t>4.1.3.2.3</t>
  </si>
  <si>
    <t xml:space="preserve">Penaman 1 Buah Pelem Kecil, Palem Kuning (Dypsis
Lutescens),  Diameter 5-7 cm, Tinggi 1,2 - 1,5 meter, Polybag 75 L </t>
  </si>
  <si>
    <t>Palem kuning di Polybag 75
Liter</t>
  </si>
  <si>
    <t>4.1.3.2.4</t>
  </si>
  <si>
    <t xml:space="preserve">Penaman 1 Buah Pelem Kecil, Palem Merah/ Pinang Merah
(Cyrtostachys Renda), Diameter Diameter 5-7 cm, Tinggi 1,2 - 1,5 meter, Polybag 75 L </t>
  </si>
  <si>
    <t>Palem Merah/ Pinang Merah di
Polybag 75 Liter</t>
  </si>
  <si>
    <t>4.1.3.2.5</t>
  </si>
  <si>
    <t xml:space="preserve">Penaman 1 Buah Pelem Kecil, Palem Waregu (Rhapis Excelsa), Diameter Diameter 5-7 cm, Tinggi 1,2 - 1,5 meter, Polybag 75 L </t>
  </si>
  <si>
    <t>Palem waregu di Polybag 75
Liter</t>
  </si>
  <si>
    <t>4.1.3.2.6</t>
  </si>
  <si>
    <t xml:space="preserve">Penaman 1 Buah Pelem Kecil,Sikas Halus/Mawar Jambe
(Cycas Revoluta), Diameter Diameter 5-7 cm, Tinggi 1,2 - 1,5 meter, Polybag 75 L </t>
  </si>
  <si>
    <t>Sikas Halus/Mawar Jambe di
Polybag 75 Liter</t>
  </si>
  <si>
    <t>4.1.3.2.7</t>
  </si>
  <si>
    <t xml:space="preserve">Penaman 1 Buah Pelem Kecil,Palem Phoenix (Phoenix
Roebelenii), Diameter Diameter 5-7 cm, Tinggi 1,2 - 1,5 meter, Polybag 75 L </t>
  </si>
  <si>
    <t>Palem Phoenix di Polybag 75
Liter</t>
  </si>
  <si>
    <t>Palem Besar, Polibag 100 L</t>
  </si>
  <si>
    <t>4.1.3.3.1</t>
  </si>
  <si>
    <t>Penanaman 1 Buah Palem Besar, Palem Ekor Tupai (Wodyetia Bifucata), Diameter 7-15 cm, Tinggi 3-3,8 meter, Polybag 100 L</t>
  </si>
  <si>
    <t>Palem ekor tupai di Polybag 100
Liter</t>
  </si>
  <si>
    <t>4.1.3.3.2</t>
  </si>
  <si>
    <t>Penanaman 1 Buah Palem Besar, Sylvertris (Phoenix Sylvertris),
Diameter 7-15 cm, Diameter 7-15 cm, Tinggi 3-3,8 meter, Polybag 100 L</t>
  </si>
  <si>
    <t>Sylvertris di Polybag 100 Liter</t>
  </si>
  <si>
    <t>4.1.3.3.3</t>
  </si>
  <si>
    <t>Penanaman 1 Buah Palem Besar, Palem Putri (Veitchia Merillii),
Diameter 7-15 cm, Diameter 7-15 cm, Tinggi 3-3,8 meter, Polybag 100 L</t>
  </si>
  <si>
    <t>Palem Putri di Polybag 100 Liter</t>
  </si>
  <si>
    <t>4.1.3.3.4</t>
  </si>
  <si>
    <t>Penanaman 1 Buah Palem Besar, alem Raja (Roystonea Regia),
Diameter 7-15 cm, Diameter 7-15 cm, Tinggi 3-3,8 meter, Polybag 100 L</t>
  </si>
  <si>
    <t>Palem raja di Polybag 100 Liter</t>
  </si>
  <si>
    <t>4.1.3.3.5</t>
  </si>
  <si>
    <t>Penanaman 1 Buah Palem Besar, Palem Sadeng (Saribus
Rotundifolius),
Diameter 7-15 cm, Diameter 7-15 cm, Tinggi 3-3,8 meter, Polybag 100 L</t>
  </si>
  <si>
    <t>Palem sadeng di Polybag 100
Liter</t>
  </si>
  <si>
    <t>Palem Besar, Polybag 150 L</t>
  </si>
  <si>
    <t>4.1.3.4.1</t>
  </si>
  <si>
    <t>Penanaman 1 Buah Palem Besar,Palem Ekor Tupai (Wodyetia
Bifurcata), Diameter 15 -20 cm, Tinggi 4 – 5 meter, Polybag
150L</t>
  </si>
  <si>
    <t>Palem ekor tupai di Polybag 150
Liter</t>
  </si>
  <si>
    <t>4.1.3.4.2</t>
  </si>
  <si>
    <t>Penanaman 1 Buah Palem Besar,Sylvertris (Phoenix Sylvertris),, Diameter 15 -20 cm, Tinggi 4 – 5 meter, Polybag
150L</t>
  </si>
  <si>
    <t>Sylvertris di Polybag 150 Liter</t>
  </si>
  <si>
    <t>4.1.3.4.3</t>
  </si>
  <si>
    <t>Penanaman 1 Buah Palem Besar,Palem Putri (Veitchia Merillii), Diameter 15 -20 cm, Tinggi 4 – 5 meter, Polybag
150L</t>
  </si>
  <si>
    <t>Palem Putri di Polybag 150 Liter</t>
  </si>
  <si>
    <t>4.1.3.4.4</t>
  </si>
  <si>
    <t>Penanaman 1 Buah Palem Besar, Palem Raja (Roystonea Regia), Diameter 15 -20 cm, Tinggi 4 – 5 meter, Polybag
150L</t>
  </si>
  <si>
    <t>Palem raja di Polybag 150 Liter</t>
  </si>
  <si>
    <t>4.1.3.4.5</t>
  </si>
  <si>
    <t>Penanaman 1 Buah Palem Besar, Palem Sadeng (Saribus
Rotundifolius) Diameter 15 -20 cm, Tinggi 4 – 5 meter, Polybag
150L</t>
  </si>
  <si>
    <t>Palem sadeng di Polybag 150 Liter</t>
  </si>
  <si>
    <t xml:space="preserve">Palem Besar, Polybag 200 L </t>
  </si>
  <si>
    <t>4.1.3.5.1</t>
  </si>
  <si>
    <t>Penanaman 1 Buah Palem Besar,Palem Ekor Tupai (Wodyetia
Bifurcata), Diameter 20-25 cm, Tinggi Diatas 5 meter, Polybag
200 L</t>
  </si>
  <si>
    <t>Palem ekor tupai di Polybag 200
Liter</t>
  </si>
  <si>
    <t>4.1.3.5.2</t>
  </si>
  <si>
    <t>Penanaman 1 Buah Palem Besar,Sylvertris (Phoenix Sylvertris), Diameter 20-25 cm, Tinggi Diatas 5 meter, Polybag
200 L</t>
  </si>
  <si>
    <t>Sylvertris di Polybag 200 Liter</t>
  </si>
  <si>
    <t>4.1.3.5.3</t>
  </si>
  <si>
    <t>Penanaman 1 Buah Palem Besar,Palem Putri (Veitchia Merillii), Diameter 20-25 cm, Tinggi Diatas 5 meter, Polybag
200 L</t>
  </si>
  <si>
    <t>Palem Putri di Polybag 200 Liter</t>
  </si>
  <si>
    <t>4.1.3.5.4</t>
  </si>
  <si>
    <t>Penanaman 1 Buah Palem Besar,Palem Raja (Roystonea Regia), Diameter 20-25 cm, Tinggi Diatas 5 meter, Polybag
200 L</t>
  </si>
  <si>
    <t>Palem raja di Polybag 200 Liter</t>
  </si>
  <si>
    <t>4.1.3.5.5</t>
  </si>
  <si>
    <t>Penanaman 1 Buah Palem Besar,Palem Sadeng (Saribus
Rotundifolius), Diameter 20-25 cm, Tinggi Diatas 5 meter, Polybag
200 L</t>
  </si>
  <si>
    <t>Palem sadeng di Polybag 200
Liter</t>
  </si>
  <si>
    <t>Palem Besar, Polybag 250 L</t>
  </si>
  <si>
    <t>4.1.3.6.1</t>
  </si>
  <si>
    <t xml:space="preserve">Penanaman 1 Buah Palem Besar Palem Sadeng ( Saribus Rotundifolius), Diameter 25-30 cm, Tinggi Diatas 5 meter, Polybag 250 L </t>
  </si>
  <si>
    <t>Palem Sadeng di Polybag 250
Liter</t>
  </si>
  <si>
    <t>4.1.3.6.2</t>
  </si>
  <si>
    <t xml:space="preserve">Penanaman 1 Buah Palem Besar Palem Ekor Tupai (Wodyetia
Bifurcata), Diameter 25-30 cm, Tinggi Diatas 5 meter, Polybag 250 L </t>
  </si>
  <si>
    <t>Palem ekor tupai di Polybag 250
Liter</t>
  </si>
  <si>
    <t>4.1.3.6.3</t>
  </si>
  <si>
    <t xml:space="preserve">Penanaman 1 Buah Palem Besar, Sylvertris (Phoenix Sylvertris), Diameter 25-30 cm, Tinggi Diatas 5 meter, Polybag 250 L </t>
  </si>
  <si>
    <t>Sylvertris di Polybag 250 Liter</t>
  </si>
  <si>
    <t>4.1.3.6.4</t>
  </si>
  <si>
    <t xml:space="preserve">Penanaman 1 Buah Palem Besar, Palem Putri (Veitchia Merillii), Diameter 25-30 cm, Tinggi Diatas 5 meter, Polybag 250 L </t>
  </si>
  <si>
    <t>Palem Putri di Polybag 250 Liter</t>
  </si>
  <si>
    <t>4.1.3.6.5</t>
  </si>
  <si>
    <t xml:space="preserve">Penanaman 1 Buah Palem Besar, Palem Raja (Roystonea Regia), Diameter 25-30 cm, Tinggi Diatas 5 meter, Polybag 250 L </t>
  </si>
  <si>
    <t>Palem raja di Polybag 250 Liter</t>
  </si>
  <si>
    <t>4.1.4.</t>
  </si>
  <si>
    <t>Penanaman Semak</t>
  </si>
  <si>
    <t xml:space="preserve">4.1.4.1 </t>
  </si>
  <si>
    <t>Semak, Polybag 5 L</t>
  </si>
  <si>
    <t>Penanaman 1 m2 Semak, Alamanda/Bunga Terompet Emas ( Allamanda Cathartica), 25 Buah/m2, Polybag 5 L</t>
  </si>
  <si>
    <t>Semak Alamanda/Bunga
terompet emas di Polybag 5
Liter</t>
  </si>
  <si>
    <t>Penanaman 1 m2 Semak,Bakung Lele (Hymenocalis Speciosa),
36 Buah/m2,, Polybag 5 L</t>
  </si>
  <si>
    <t>4.1.4.1.1</t>
  </si>
  <si>
    <t>4.1.4.1.2</t>
  </si>
  <si>
    <t>Semak Bakung Lele di Polybag
5 Liter</t>
  </si>
  <si>
    <t>4.1.4.1.3</t>
  </si>
  <si>
    <t>Penanaman 1 m2 Semak,Bunga Iris (Neomarica Longifolia), 36
Buah/m2, Polybag 5 L</t>
  </si>
  <si>
    <t>Semak Bunga Iris di Polybag 5
Liter</t>
  </si>
  <si>
    <t>4.1.4.1.4</t>
  </si>
  <si>
    <t>Penanaman 1 m2 Semak,Calathea (Calathea Sp.), 16 Buah/m2, 36
Buah/m2, Polybag 5 L</t>
  </si>
  <si>
    <t>Semak Calathea di Polybag 5
Liter</t>
  </si>
  <si>
    <t>4.1.4.1.5</t>
  </si>
  <si>
    <t>Penanaman 1 m2 Semak,Cendrawasih (Phyllanthus Myrtifolius),
36 Buah/m2, Polybag 5 L</t>
  </si>
  <si>
    <t>Semak Cendrawasih di Polybag
5 Liter</t>
  </si>
  <si>
    <t>4.1.4.1.6</t>
  </si>
  <si>
    <t>Penanaman 1 m2 SemakHujan Mas (Galphimia Glauca), 25
Buah/m2, Polybag 5 L</t>
  </si>
  <si>
    <t>Semak Hujan Mas di Polybag 5
Liter</t>
  </si>
  <si>
    <t>4.1.4.1.7</t>
  </si>
  <si>
    <t>Penanaman 1 m2 Semak, Kacapiring Wangi/Gardenia (Gardenia
Jasminoides), 25 Buah/m2 Polybag 5 L</t>
  </si>
  <si>
    <t>Semak Kacapiring
wangi/Gardenia di Polybag 5
Liter</t>
  </si>
  <si>
    <t>4.1.4.1.8</t>
  </si>
  <si>
    <t>Penanaman 1 m2 Semak,Kemuning (Murraya Paniculata), 25
Buah/m2, 25 Buah/m2 Polybag 5 L</t>
  </si>
  <si>
    <t>Semak Kemuning di Polybag 5
Liter</t>
  </si>
  <si>
    <t>4.1.4.1.9</t>
  </si>
  <si>
    <t>Penanaman 1 m2 Semak Melati Putih (Jasminum Sambac), 25
Buah/m2, Polybag 5 L</t>
  </si>
  <si>
    <t>Semak Melati Putih di Polybag
5 Liter</t>
  </si>
  <si>
    <t>4.1.4.1.10</t>
  </si>
  <si>
    <t>Penanaman 1 m2 Semak, Pandan Kuning (Pandanus
Pygmaeus), 25 Buah/m2, Polybag 5 L</t>
  </si>
  <si>
    <t>Semak Pandan Kuning di
Polybag 5 Liter</t>
  </si>
  <si>
    <t>4.1.4.1.11</t>
  </si>
  <si>
    <t>Penanaman 1 m2 Semak, Pretty Pink (Breynia Disticha), 25
Buah/m2, 25 Buah/m2, Polybag 5 L</t>
  </si>
  <si>
    <t>Semak Pretty Pink di Polybag 5
Liter</t>
  </si>
  <si>
    <t>4.1.4.1.12</t>
  </si>
  <si>
    <t>Penanaman 1 m2 Semak, Sansevieria/Lidah Mertua
(Sansevieria Trifasciata), 25 Buah/m2, Polybag 5 L</t>
  </si>
  <si>
    <t>Semak Sansevieria/Lidah
Mertua di Polybag 5 Liter</t>
  </si>
  <si>
    <t>4.1.4.1.13</t>
  </si>
  <si>
    <t>Penanaman 1 m2 Semak,Tabernae/Mondokaki
(Tabernaemontana Divaricata ), 25 Buah/m2, Polybag 5 L</t>
  </si>
  <si>
    <t>Semak Tabernae/Mondokaki di
Polybag 5 Liter</t>
  </si>
  <si>
    <t>4.1.4.1.14</t>
  </si>
  <si>
    <t>Penanaman 1 m2 Semak,Walisongo/Umbrella Tree (Schefflera
Arboricola), 25 Buah/m2, Polybag 5 L</t>
  </si>
  <si>
    <t>Semak Walisongo/Umbrella
tree di Polybag 5 Liter</t>
  </si>
  <si>
    <t xml:space="preserve">Semak , Polybag 11 L </t>
  </si>
  <si>
    <t>4.1.4.2.1</t>
  </si>
  <si>
    <t>Penanaman 1 m2 Semak, Agave/ Lidah Naga ( Agave Americana), 5 buah/m2, Polybag 11 L</t>
  </si>
  <si>
    <t>Semak Agave/lidah naga di
Polybag 11 Liter</t>
  </si>
  <si>
    <t>4.1.4.2.2</t>
  </si>
  <si>
    <t>Penanaman 1 m2 Semak, Alamanda/Bunga Terompet Emas
(Allamanda Cathartica), 9 Buah/m2, Polybag 11 L</t>
  </si>
  <si>
    <t>Semak Alamanda/Bunga
terompet emas di Polybag 11
Liter</t>
  </si>
  <si>
    <t>4.1.4.2.3</t>
  </si>
  <si>
    <t>Penanaman 1 m2 Semak, Bakung Jawa (Crinum Asiaticum), 16
Buah/m2,, Polybag 11 L</t>
  </si>
  <si>
    <t>Semak Bakung Jawa di
Polybag 11 Liter</t>
  </si>
  <si>
    <t>4.1.4.2.4</t>
  </si>
  <si>
    <t>Penanaman 1 m2 Semak, Bakung Lele (Hymenocalis Speciosa),
16 Buah/m2, Polybag 11 L</t>
  </si>
  <si>
    <t>Semak Bakung Lele di
Polybag 11 Liter</t>
  </si>
  <si>
    <t>4.1.4.2.5</t>
  </si>
  <si>
    <t>Penanaman 1 m2 Semak, Bromelia (Bromelia Sp.), 5 Buah/m2, Polybag 11 L</t>
  </si>
  <si>
    <t>Semak Bromelia di Polybag
11 Liter</t>
  </si>
  <si>
    <t>4.1.4.2.6</t>
  </si>
  <si>
    <t>Penanaman 1 m2 Semak,Bunga Terompet Kuning (Tecoma
Stans), 9 Buah/m2, Polybag 11 L</t>
  </si>
  <si>
    <t>Semak Bunga Terompet
Kuning di Polybag 11 Liter</t>
  </si>
  <si>
    <t>4.1.4.2.7</t>
  </si>
  <si>
    <t>Penanaman 1 m2 Semak, Costus (Costus Woodsonii), 16
Buah/m2, Polybag 11 L</t>
  </si>
  <si>
    <t>Semak Costus di Polybag 11
Liter</t>
  </si>
  <si>
    <t>Penanaman 1 m2 Semak, Dracaena ‘Song Of India’ (Dracaena
Reflexa "Song Of India"), 9 Buah/m2,  Polybag 11 L</t>
  </si>
  <si>
    <t>Semak Dracaena ‘Song of
India’ di Polybag 11 Liter</t>
  </si>
  <si>
    <t>4.1.4.2.8</t>
  </si>
  <si>
    <t>4.1.4.2.9</t>
  </si>
  <si>
    <t>Penanaman 1 m2 Semak,Dracaena 'Song Of Jamaica' (Dracaena
Reflexa "Song Of Jamaica"), 9 Buah/m2,  Polybag 11 L</t>
  </si>
  <si>
    <t>Semak Dracaena 'Song of
Jamaica' di Polybag 11 Liter</t>
  </si>
  <si>
    <t>4.1.4.2.10</t>
  </si>
  <si>
    <t>Penanaman 1 m2 Semak, Helliconia (Heliconia Psittacorum),
16 Buah/m2,, 9 Buah/m2,  Polybag 11 L</t>
  </si>
  <si>
    <t>Semak Helliconia di Polybag
11 Liter</t>
  </si>
  <si>
    <t>4.1.4.2.11</t>
  </si>
  <si>
    <t>Penanaman 1 m2 Semak, Honje/Kecombrang (Etlingera
Elatior), 16 Buah/m2,  Polybag 11 L</t>
  </si>
  <si>
    <t>Semak Honje/Kecombrang di
Polybag 11 Liter</t>
  </si>
  <si>
    <t>4.1.4.2.12</t>
  </si>
  <si>
    <t>Penanaman 1 m2 Semak, Hujan Mas (Galphimia Glauca), 16
Buah/m2,  Polybag 11 L</t>
  </si>
  <si>
    <t>Semak Hujan Mas di Polybag
11 Liter</t>
  </si>
  <si>
    <t>4.1.4.2.13</t>
  </si>
  <si>
    <t>Penanaman 1 m2 Semak, Kaca Piring (Gardenia Augusta), 16
Buah/m2, Polybag 11 L</t>
  </si>
  <si>
    <t>Semak Kaca piring di Polybag
11 Liter</t>
  </si>
  <si>
    <t>4.1.4.2.14</t>
  </si>
  <si>
    <t>Penanaman 1 m2 Semak, Kacapiring Wangi/Gardenia
(Gardenia Jasminoides), 16 Buah/m2 Polybag 11 L</t>
  </si>
  <si>
    <t>Semak Kacapiring
wangi/Gardenia di Polybag
11 Liter</t>
  </si>
  <si>
    <t>4.1.4.2.15</t>
  </si>
  <si>
    <t>Penanaman 1 m2 Semak, Kana (Canna Indica), 16 Buah/m2, Polybag 11 L</t>
  </si>
  <si>
    <t>Semak Kana di Polybag 11
Liter</t>
  </si>
  <si>
    <t>4.1.4.2.16</t>
  </si>
  <si>
    <t>Penanaman 1 m2 Semak,Lili Brazil (Dianella Tasmanica), 16
Buah/m2, Polybag 11 L</t>
  </si>
  <si>
    <t>Semak Lili Brazil di Polybag
11 Liter</t>
  </si>
  <si>
    <t>4.1.4.2.17</t>
  </si>
  <si>
    <t>Penanaman 1 m2 Semak,Melati Putih (Jasminum Sambac), 16
Buah/m2, Polybag 11 L</t>
  </si>
  <si>
    <t>Semak Melati Putih di
Polybag 11 Liter</t>
  </si>
  <si>
    <t>4.1.4.2.18</t>
  </si>
  <si>
    <t>Penanaman 1 m2 Semak, Nusa Indah (Mussaenda), 9 Buah/m2, Polybag 11 L</t>
  </si>
  <si>
    <t>Semak Nusa Indah di
Polybag 11 Liter</t>
  </si>
  <si>
    <t>4.1.4.2.19</t>
  </si>
  <si>
    <t>Penanaman 1 m2 Semak, Oleander/Bunga Mentega (Nerium
Oleander), 16 Buah/m2,, Polybag 11 L</t>
  </si>
  <si>
    <t>Semak Oleander/Bunga
Mentega di Polybag 11 Liter</t>
  </si>
  <si>
    <t>4.1.4.2.20</t>
  </si>
  <si>
    <t>Penanaman 1 m2 Semak, Pretty Pink (Breynia Disticha), 16
Buah/m2, Polybag 11 L</t>
  </si>
  <si>
    <t>Semak Pretty Pink di Polybag
11 Liter</t>
  </si>
  <si>
    <t>4.1.4.2.21</t>
  </si>
  <si>
    <t>Penanaman 1 m2 Semak, Puring (Codiaeum Variegatum), 16
Buah/m2, Polybag 11 L</t>
  </si>
  <si>
    <t>Semak Puring di Polybag 11
Liter</t>
  </si>
  <si>
    <t>4.1.4.2.22</t>
  </si>
  <si>
    <t>Penanaman 1 m2 Semak, Ruelia / Kencana Ungu (Ruellia
Simplex), 16 Buah/m2, Polybag 11 L</t>
  </si>
  <si>
    <t>Semak Ruelia / Kencana
Ungu di Polybag 11 Liter</t>
  </si>
  <si>
    <t>4.1.4.2.23</t>
  </si>
  <si>
    <t>Penanaman 1 m2 Semak, Sansevieria/Lidah Mertua
(Sansevieria Trifasciata), 16 Buah/m2, Polybag 11 L</t>
  </si>
  <si>
    <t>Semak Sansevieria/Lidah
Mertua di Polybag 11 Liter</t>
  </si>
  <si>
    <t>4.1.4.2.24</t>
  </si>
  <si>
    <t>Penanaman 1 m2 Semak, Soka (Ixora Coccinea), 16 Buah/m2, Polybag 11 L</t>
  </si>
  <si>
    <t>Semak Soka di Polybag 11
Liter</t>
  </si>
  <si>
    <t>4.1.4.2.25</t>
  </si>
  <si>
    <t>Penanaman 1 m2 Semak, Tabernae (Tabernaemontana Sp.), 16
Buah/m2, Polybag 11 L</t>
  </si>
  <si>
    <t>Semak Tabernae di Polybag
11 Liter</t>
  </si>
  <si>
    <t>4.1.4.2.26</t>
  </si>
  <si>
    <t>Penanaman 1 m2 Semak,Walisongo/Umbrella Tree (Schefflera
Arboricola), 16 Buah/m2,, Polybag 11 L</t>
  </si>
  <si>
    <t>Semak Walisongo/Umbrella
Tree di Polybag 11 Liter</t>
  </si>
  <si>
    <t>Semak, Polybag 20 L</t>
  </si>
  <si>
    <t xml:space="preserve">Penanaman 1 m2 Semak, Agave/ Lidah Naga (Agave Americana), 23 Buah/m2, Polybag 20 L </t>
  </si>
  <si>
    <t>Semak Agave/lidah naga di
Polybag 20 Liter</t>
  </si>
  <si>
    <t xml:space="preserve">Penanaman 1 m2 Semak, Alamanda/Bunga Terompet Emas
(Allamanda Cathartica), 5 Buah/ m2, Polybag 20 L </t>
  </si>
  <si>
    <t>Semak Alamanda/Bunga
terompet emas di Polybag 20 Liter</t>
  </si>
  <si>
    <t xml:space="preserve">Penanaman 1 m2 Semak, Bakung Jawa (Crinum Asiaticum), 12
Buah/ m2, Polybag 20 L </t>
  </si>
  <si>
    <t>Semak Bakung Jawa di Polybag
20 Liter</t>
  </si>
  <si>
    <t xml:space="preserve">Penanaman 1 m2 Semak, Bromelia (Bromelia Sp.), 3 Buah/ m2,, Polybag 20 L </t>
  </si>
  <si>
    <t>Semak Bromelia di Polybag 20
Liter</t>
  </si>
  <si>
    <t xml:space="preserve">Penanaman 1 m2 Semak, Bugenvil/Bunga Kertas (Bougenvillea
Sp), 12 Buah/ m2, Polybag 20 L </t>
  </si>
  <si>
    <t>Semak Bugenvil/bunga kertas di
Polybag 20 Liter</t>
  </si>
  <si>
    <t xml:space="preserve">Penanaman 1 m2 Semak, Bunga Terompet Kuning (Tecoma
Stans), 12 Buah/ m2, Polybag 20 L </t>
  </si>
  <si>
    <t>Semak Bunga Terompet Kuning di
Polybag 20 Liter</t>
  </si>
  <si>
    <t xml:space="preserve">Penanaman 1 m2 Semak, Canna (Canna Indica), 12 Buah/ m2, Polybag 20 L </t>
  </si>
  <si>
    <t>Semak Canna di Polybag 20 Liter</t>
  </si>
  <si>
    <t xml:space="preserve">Penanaman 1 m2 Semak, Dracaena ‘Song Of India’ (Dracaena
Reflexa "Song Of India"), 12 Buah/ m2,  Polybag 20 L </t>
  </si>
  <si>
    <t>Semak Dracaena ‘Song of India’ di
Polybag 20 Liter</t>
  </si>
  <si>
    <t xml:space="preserve">Penanaman 1 m2 Semak, Dracaena 'Song Of Jamaica' (Dracaena
Reflexa "Song Of Jamaica"), 12 Buah/ m2,  Polybag 20 L </t>
  </si>
  <si>
    <t>Semak Dracaena 'Song of
Jamaica' di Polybag 20 Liter</t>
  </si>
  <si>
    <t xml:space="preserve">Penanaman 1 m2 Semak, Helliconia (Heliconia Psittacorum),
12 Buah/ m2,,  Polybag 20 L </t>
  </si>
  <si>
    <t>Semak Helliconia di Polybag 20
Liter</t>
  </si>
  <si>
    <t xml:space="preserve">Penanaman 1 m2 Semak, Honje/Kecombrang (Etlingera
Elatior), 12 Buah/ m2, Polybag 20 L </t>
  </si>
  <si>
    <t>Semak Honje/Kecombrang di
Polybag 20 Liter</t>
  </si>
  <si>
    <t xml:space="preserve">Penanaman 1 m2 Semak, Hujan Mas (Galphimia Glauca), 12
Buah/ m2, Polybag 20 L </t>
  </si>
  <si>
    <t>4.1.4.3.12</t>
  </si>
  <si>
    <t>Semak Hujan Mas di Polybag 20
Liter</t>
  </si>
  <si>
    <t>4.1.4.3.11</t>
  </si>
  <si>
    <t>4.1.4.3.10</t>
  </si>
  <si>
    <t>4.1.4.3.9</t>
  </si>
  <si>
    <t>4.1.4.3.8</t>
  </si>
  <si>
    <t>4.1.4.3.7</t>
  </si>
  <si>
    <t>4.1.4.3.6</t>
  </si>
  <si>
    <t>4.1.4.3.5</t>
  </si>
  <si>
    <t>4.1.4.3.4</t>
  </si>
  <si>
    <t>4.1.4.3.3</t>
  </si>
  <si>
    <t>4.1.4.3.2</t>
  </si>
  <si>
    <t>4.1.4.3.1</t>
  </si>
  <si>
    <t>4.1.4.3.13</t>
  </si>
  <si>
    <t xml:space="preserve">Penanaman 1 m2 Semak, Kacapiring Wangi/Gardenia (Gardenia
Jasminoides), 12 Buah/ m2, Polybag 20 L </t>
  </si>
  <si>
    <t>Semak Kacapiring
wangi/Gardenia di Polybag 20
Liter</t>
  </si>
  <si>
    <t>4.1.4.3.14</t>
  </si>
  <si>
    <t xml:space="preserve">Penanaman 1 m2 Semak, Kembang Sepatu (Hibiscus Rosa-
Sinensis), 12 Buah/ m2,, Polybag 20 L </t>
  </si>
  <si>
    <t>Semak Kembang sepatu di
Polybag 20 Liter</t>
  </si>
  <si>
    <t>4.1.4.3.15</t>
  </si>
  <si>
    <t xml:space="preserve">Penanaman 1 m2 Semak, Oleander/Bunga Mentega (Nerium
Oleander), 12 Buah/ m2, Polybag 20 L </t>
  </si>
  <si>
    <t>Semak Oleander/Bunga Mentega
di Polybag 20 Liter</t>
  </si>
  <si>
    <t>4.1.4.3.16</t>
  </si>
  <si>
    <t xml:space="preserve">Penanaman 1 m2 Semak, Penda Emas (Xanthostemon
Chrysanthus), 12 Buah/ m2, Polybag 20 L </t>
  </si>
  <si>
    <t>Semak Penda Emas di Polybag 20
Liter</t>
  </si>
  <si>
    <t>4.1.4.3.17</t>
  </si>
  <si>
    <t xml:space="preserve">Penanaman 1 m2 Semak,Puring (Codiaeum Variegatum), 12
Buah/ m2, Polybag 20 L </t>
  </si>
  <si>
    <t>Semak Puring di Polybag 20 Liter</t>
  </si>
  <si>
    <t>4.1.4.3.18</t>
  </si>
  <si>
    <t xml:space="preserve">Penanaman 1 m2 Semak, Tabernac (Tabernaemontana Sp. ), 12
Buah/ m2, Polybag 20 L </t>
  </si>
  <si>
    <t>Semak Tabernac di Polybag 20
Liter</t>
  </si>
  <si>
    <t>4.1.4.3.19</t>
  </si>
  <si>
    <t xml:space="preserve">Penanaman 1 m2 SemakWalisongo/Umbrella Tree (Schefflera
Arboricola), 12 Buah/ m2, Polybag 20 L </t>
  </si>
  <si>
    <t>Semak Walisongo/Umbrella Tree
di Polybag 20 Liter</t>
  </si>
  <si>
    <t xml:space="preserve">4.1.5 </t>
  </si>
  <si>
    <t xml:space="preserve">Perubahan di judul buah/m2 , panambahan tenaga kerja, koefisien Bahan </t>
  </si>
  <si>
    <t xml:space="preserve">Penanaman 1 m2 Penutup Tanah, Kacang Hias (Arachis Pintoi) 50 Buah / m2, Polybag 0,5 L </t>
  </si>
  <si>
    <t>Penutup Tanah Kacang hias di
Polybag 0.5 Liter</t>
  </si>
  <si>
    <t xml:space="preserve">Penanaman 1 m2 Penutup Tanah, Widelia (Wedelia Trilobata), 50
Buah/ m2, Polybag 0,5 L </t>
  </si>
  <si>
    <t>Penutup Tanah Widelia di
Polybag 0.5 Liter</t>
  </si>
  <si>
    <t xml:space="preserve">Penanaman 1 m2 Penutup Tanah, Sutra Bombay (Portulaca Sp.),
50 Buah/ m2, Polybag 0,5 L </t>
  </si>
  <si>
    <t>Penutup Tanah Sutra bombay
di Polybag 0.5 Liter</t>
  </si>
  <si>
    <t xml:space="preserve">Penanaman 1 m2 Penutup Tanah, Lantana (Lantana Camara), 50
Buah/ m2, Polybag 0,5 L </t>
  </si>
  <si>
    <t>Penutup Tanah Lantana di
Polybag 0.5 Liter</t>
  </si>
  <si>
    <t xml:space="preserve">Penanaman 1 m2 Penutup Tanah,Kucai Mini (Ophiopogon
Japonicus), 50 Buah/ m2, Polybag 0,5 L </t>
  </si>
  <si>
    <t>Penutup Tanah Kucai Mini di
Polybag 0.5 Liter</t>
  </si>
  <si>
    <t xml:space="preserve">4.1.6 </t>
  </si>
  <si>
    <t>Penanaman 1 m2 Rumput,Rumput Gajah (Pennisetum Purpureum)</t>
  </si>
  <si>
    <t xml:space="preserve">Perubahan Judul, penambahan tenaga kerja </t>
  </si>
  <si>
    <t>Rumput gajah</t>
  </si>
  <si>
    <t>3a:90%, 3b : 10%</t>
  </si>
  <si>
    <t>4.1.6.2</t>
  </si>
  <si>
    <t>Penanaman 1 m2 Rumput,Rumput Gajah Mini (Axonopus
Compressus)</t>
  </si>
  <si>
    <t>Rumput gajah mini</t>
  </si>
  <si>
    <t>Rumput Gajah Mini</t>
  </si>
  <si>
    <t>4.1.6.3</t>
  </si>
  <si>
    <t>Penanaman 1 m2 Rumput,Rumput Peking (Agrostis Stolonifera)</t>
  </si>
  <si>
    <t>Rumput peking</t>
  </si>
  <si>
    <t>4.1.6.4</t>
  </si>
  <si>
    <t>Penanaman 1 m2 Rumput, Rumput Embun (Bothriochloa Pertusa)</t>
  </si>
  <si>
    <t>Rumput embun</t>
  </si>
  <si>
    <t xml:space="preserve">Perubahan judul dan penambahan Tenaga Kerja </t>
  </si>
  <si>
    <t>Penanaman pada Lereng Tanah 1:2 (13°-26.5°), Metode Taplok per
m2 Permukaan Lereng (Menggunakan Jenis Biji Rumput)</t>
  </si>
  <si>
    <t xml:space="preserve">Perubaha penambahan tenaga kerja </t>
  </si>
  <si>
    <t xml:space="preserve"> - </t>
  </si>
  <si>
    <t>Pupuk anorganik *)</t>
  </si>
  <si>
    <t xml:space="preserve"> *) Koefisien beralku untuk peggunaan 1 (satu) bulan </t>
  </si>
  <si>
    <t>Perekat Matras
Perkuatan (Lem)</t>
  </si>
  <si>
    <t>Penanaman pada Lereng Tanah 1:1 (26.5°-45°), Metode
Hydroseeding per m2 Permukaan Lereng (Menggunakan Jenis Biji
Rumput)</t>
  </si>
  <si>
    <t>Penanaman pada Lereng Tanah 1:1 (26.5°-45°), Metode Taplok per
m2 Permukaan Lereng (Menggunakan Jenis Biji Rumput</t>
  </si>
  <si>
    <t>Penanaman pada Lereng Tanah dan/atau Kombinasi Tanah dan
Batuan 1:0.5 (45°-63°), Metode Hydroseeding per m2 Permukaan
Lereng (Menggunakan Jenis Biji Rumput)</t>
  </si>
  <si>
    <t>Penanaman pada Lereng Tanah dan/atau Kombinasi Tanah dan
Batuan 1:0.5 (45°-63°), Metode Taplok per m2 Permukaan Lereng
(Menggunakan Jenis Biji Rumput</t>
  </si>
  <si>
    <t>Penanaman pada Lereng Tanah 1:2 (13°-26.5°), Metode
Hydroseeding per m2 Permukaan Lereng (Menggunakan Jenis Biji
Legume Crop Cover/LCC)</t>
  </si>
  <si>
    <t>Penanaman pada Lereng Tanah 1:2 (13°-26.5°), Metode Taplok per
m2 Permukaan Lereng (Menggunakan Jenis Biji Legume Crop
Cover/LCC)</t>
  </si>
  <si>
    <t>Penanaman pada Lereng Tanah 1:1 (26.5°-45°), Metode
Hydroseeding per m2 Permukaan Lereng (Menggunakan Jenis Biji
Legume Crop Cover/LCC)</t>
  </si>
  <si>
    <t>Penanaman Pada Lereng Tanah 1:1 (26.5°-45°), Metode Taplok per
m2 Permukaan Lereng (Menggunakan Jenis Biji Legume Crop
Cover/LCC)</t>
  </si>
  <si>
    <t>Penanaman pada Lereng Tanah dan/atau Kombinasi Tanah dan
Batuan 1:0.5 (45°-63°), Metode Hydroseeding per m2 Permukaan
Lereng (Menggunakan Jenis Biji Legume Crop Cover/LCC)</t>
  </si>
  <si>
    <t>Penanaman pada Lereng Tanah dan/atau Kombinasi Tanah dan
Batuan 1:0.5 (45°-63°), Metode Taplok per m2 Permukaan Lereng
(Menggunakan Jenis Biji Legume Crop Cover/LCC)</t>
  </si>
  <si>
    <t xml:space="preserve">Pengolaha Tanah berPH Tidak Subur </t>
  </si>
  <si>
    <t xml:space="preserve">4.1.8.1 </t>
  </si>
  <si>
    <t xml:space="preserve">Cara Perhitungan AHSP Pengelolaan Tanah Tidak Subur </t>
  </si>
  <si>
    <t xml:space="preserve">Tahapan Pekerjaan Pengelolaan Tanah Tidak Subur </t>
  </si>
  <si>
    <t xml:space="preserve">Thap ke-1 </t>
  </si>
  <si>
    <t xml:space="preserve">Volume Lubang Tanam : 3 x Volume Polybag </t>
  </si>
  <si>
    <t xml:space="preserve">3 x 50 L = 150 L </t>
  </si>
  <si>
    <t xml:space="preserve">Contoh Perhitungan pada Polybag 50 L </t>
  </si>
  <si>
    <t>Tahap ke-2</t>
  </si>
  <si>
    <t>Tahap ke-3</t>
  </si>
  <si>
    <t>Tahap ke-4</t>
  </si>
  <si>
    <t>Tahap ke-5</t>
  </si>
  <si>
    <t xml:space="preserve">Revisis </t>
  </si>
  <si>
    <t xml:space="preserve">perubahan di penomoran item saja </t>
  </si>
  <si>
    <t>Mesin Molen 1m3</t>
  </si>
  <si>
    <t>Pengolahan Tanah berPH 4.50-5.50 dan Bertekstur Liat 40.01% -
60.00% atau Tanah Sandy Loam per m3</t>
  </si>
  <si>
    <t>Pengolahan Tanah berPH 4.50-5.50 dan Bertekstur Liat 60.01% -
100.00% atau Tanah Loam To Clay Loam per m3</t>
  </si>
  <si>
    <t xml:space="preserve">perubahan di penomoran item dan koefisien kapur </t>
  </si>
  <si>
    <t>Pengolahan Tanah berPH 3.50-4.49 dan Bertekstur Liat 60.01% -
100.00% atau Tanah Sandy per m3</t>
  </si>
  <si>
    <t>Pengolahan Tanah berPH 3.50-4.49 dan Bertekstur Liat 40.01% -
60.00% atau Tanah Sandy Loam per m3</t>
  </si>
  <si>
    <t>Pengolahan Tanah berPH 3.50-4.49 dan Bertekstur Liat 60.01% -
100.00% atau Tanah Loam To Clay Loam per m3</t>
  </si>
  <si>
    <t>Pengolahan Tanah berPH &gt;7.5 per m3</t>
  </si>
  <si>
    <t>Pengolahan Tanah berPH &gt;7.5 dan Bertekstur Pasir 60.01% -
100.00% atau Tanah Sandy per m3</t>
  </si>
  <si>
    <t>Pengolahan Tanah berPH &gt;7.5 dan Bertekstur Liat 40.01% -
60.00% atau Tanah Sandy Loam per m3</t>
  </si>
  <si>
    <t>4.1.8.11</t>
  </si>
  <si>
    <t>Pengolahan Tanah berPH &gt;7.5 dan Bertekstur Liat 60.01% -
100.00% atau Tanah Loam To Clay Loam per m3</t>
  </si>
  <si>
    <t xml:space="preserve">Penambahan tenaga kerja "Mandor" dan perubahan pada  koefisien Air Bersih </t>
  </si>
  <si>
    <t xml:space="preserve">penambahan tenaga kerja mandor </t>
  </si>
  <si>
    <t xml:space="preserve">Revisi Penambahan Tenaga Kerja Mandor </t>
  </si>
  <si>
    <t>Perubahan Koefisien Tenaga kerja dan penambahan tenaga kerja mandor</t>
  </si>
  <si>
    <t xml:space="preserve">Penambahan tenaga kerja mandor </t>
  </si>
  <si>
    <t xml:space="preserve">Perubahan Koe. Tenaga kerja dan penambahan tenaga kerja mandor </t>
  </si>
  <si>
    <t>Penyiraman untuk 1 Hari (dengan Selang Plastik 3/4 inch) untuk
1 m2 Semak/Penutup Tanah di Tanah Tidak Subur di Lahan Datar
dan Tidak Memiliki Jaringan Air Yang Baik</t>
  </si>
  <si>
    <t>Penyiraman untuk 1 Hari (dengan Selang Plastik 3/4 inch) untuk
1 m2 Rumput di Tanah Tidak Subur di Lahan Datar dan Tidak
Memiliki Jaringan Air Yang Baik</t>
  </si>
  <si>
    <t>Penyiraman untuk 1 Hari (dengan Sprinkler*) untuk 1 m2 Rumput
di Tanah Tidak Subur di Lahan Datar dan Tidak Memiliki Jaringan
Air Yang Baik</t>
  </si>
  <si>
    <t>Penyiraman untuk 1 Hari (dengan Selang Plastik 3/4 inch) untuk
1 Buah Pohon/Palem di Tanah Tidak Subur di Lahan Datar dan
Memiliki Jaringan Air Yang Baik</t>
  </si>
  <si>
    <t>Penyiraman untuk 1 Hari (dengan Selang Plastik 3/4 inch) untuk
1 m2 Semak/Penutup Tanah di Tanah Tidak Subur di Lahan Datar
dan Memiliki Jaringan Air Yang Baik</t>
  </si>
  <si>
    <t>Penyiraman untuk 1 Hari (dengan Selang Plastik 3/4 inch) untuk
1 m2 Rumput di Tanah Tidak Subur di Lahan Datar dan Memiliki
Jaringan Air Yang Baik</t>
  </si>
  <si>
    <t>Penyiraman untuk 1 Hari (dengan Sprinkler*) untuk 1 m2
Semak/Penutup Tanah di Tanah Tidak Subur di Lahan Datar dan
Memiliki Jaringan Air Yang Baik</t>
  </si>
  <si>
    <t>Penyiraman untuk 1 Hari (dengan Sprinkler*) untuk 1 m2
Rumput di Tanah Tidak Subur di Lahan Datar dan Memiliki
Jaringan Air Yang Baik</t>
  </si>
  <si>
    <t>Penyiraman pada Tanah Subur di Lahan Miring/Kelerengan</t>
  </si>
  <si>
    <t>Penyiraman untuk 1 Hari di Tanah Subur di Kelerengan Tanah 1:2
(13° - 26.5°) per m2</t>
  </si>
  <si>
    <t>Penyiraman untuk 1 Hari di Tanah Subur di Kelerengan Tanah 1:2
(26.5°- 45°) per m2</t>
  </si>
  <si>
    <t>Penyiraman untuk 1 Hari di Tanah Subur di Kelerengan Tanah
1:0.5 (45° - 63°) per m2</t>
  </si>
  <si>
    <t>Penyiraman untuk 1 Hari di Tanah Tidak Subur di Kelerengan
Tanah 1:2 (13° - 26.5°) per m2 untuk Sumber Air Dari Luar Lokasi
Pekerjaan</t>
  </si>
  <si>
    <t>Penyiraman untuk 1 Hari di Tanah Tidak Subur di Kelerengan
Tanah 1:1 (26.5° - 45°) per m2 untuk Sumber Air Dari Luar Lokasi
Pekerjaan</t>
  </si>
  <si>
    <t>Penyiraman untuk 1 Hari di Tanah Tidak Subur di Kelerengan
Tanah 1:0.5 (45° - 63°) per m2 untuk Sumber Air Dari Luar Lokasi
Pekerjaan</t>
  </si>
  <si>
    <t>Penyiraman untuk 1 Hari di Tanah Tidak Subur di Kelerengan
Tanah 1:2 (13° - 26.5°) per m2 untuk Sumber Air Tersedia Lokasi
Pekerjaan</t>
  </si>
  <si>
    <t xml:space="preserve">Perubahan penghapusan peralatan </t>
  </si>
  <si>
    <t>Penyiraman untuk 1 Hari di Tanah Tidak Subur di Kelerengan
Tanah 1:1 (26.5° - 45°) per m2 untuk Sumber Air Tersedia Lokasi
Pekerjaan</t>
  </si>
  <si>
    <t xml:space="preserve">Perubahan penghapusan peralatan dan koefisisen tenaga kerja </t>
  </si>
  <si>
    <t>Penyiraman untuk 1 Hari di Tanah Tidak Subur di Kelerengan
Tanah 1:0.5 (45° - 63°) per m2 untuk Sumber Air Tersedia Lokasi
Pekerjaan</t>
  </si>
  <si>
    <t>Perubahan penghapusan peralatan</t>
  </si>
  <si>
    <t xml:space="preserve">4.2 </t>
  </si>
  <si>
    <t xml:space="preserve">PEKERJAAN PEMELIHARAAN TANAMAN </t>
  </si>
  <si>
    <t xml:space="preserve">Penyiraman pada Masa Pemeliharaan </t>
  </si>
  <si>
    <t>Penyiraman 1m2 Area Tanam untuk 1 hari (dengan Selang Plastik
3/4 inch)</t>
  </si>
  <si>
    <t xml:space="preserve">Perubaha penambahan tenaga kerja mandor </t>
  </si>
  <si>
    <t>Penyiraman 1 m2 Area Tanam untuk 1 hari (dengan Sprinkler)
*Sistem Sprinkler Tersedia</t>
  </si>
  <si>
    <t>Pemupukan Pupuk Organik (1 kali) untuk 1 Buah Pohon/Palem</t>
  </si>
  <si>
    <t xml:space="preserve">Perubaha penambahan tenaga kerja mandor dan perubahan koefisien Bahan </t>
  </si>
  <si>
    <t>Pemupukan Pupuk Organik (1 kali) untuk 1 m2 Semak/Penutup
Tanah/Rumput</t>
  </si>
  <si>
    <t xml:space="preserve">Pemupukan Anorganik </t>
  </si>
  <si>
    <t>Pemupukan Pupuk Anorganik Padat (1 kali) untuk 1 Buah
Pohon/Palem</t>
  </si>
  <si>
    <t>Tukang Pemelihara Taman</t>
  </si>
  <si>
    <t xml:space="preserve">Sprayer Gendong </t>
  </si>
  <si>
    <t xml:space="preserve">PerubahanTenaga kerja jadi mandor, koefisie tenaga kerja dan penambahan peralatan </t>
  </si>
  <si>
    <t>Pemupukan Pupuk Anorganik Padat (1 kali) untuk 1 m2 Semak</t>
  </si>
  <si>
    <t>4.2.3.2a</t>
  </si>
  <si>
    <t>catatan : Harga satuan upah Tukang Pemelihara Tanam setara dengan 115%</t>
  </si>
  <si>
    <t xml:space="preserve">Catatan : Harga satuan upah Tukang Pemelihara Taman setara dengan 115% Pekerja </t>
  </si>
  <si>
    <t>Pemupukan pupuk anorganik cair (1 kali) untuk 1 buah
pohon/palem</t>
  </si>
  <si>
    <t>Perubahan Koefisien Bahan Pupuk</t>
  </si>
  <si>
    <t xml:space="preserve">Pupuk anorganik padat </t>
  </si>
  <si>
    <t>Pemupukan pupuk anorganik cair (1 kali) untuk 1 buah
semak/penutup tanah/rumput</t>
  </si>
  <si>
    <t xml:space="preserve">Pemangkasan </t>
  </si>
  <si>
    <t>Pemangkasan 1 Buah Pohon Kecil (Dia. Tajuk &lt; 5 m, Tinggi 3-6m)
Termasuk Pengangkutan Keluar Area Tanam</t>
  </si>
  <si>
    <t xml:space="preserve">Penambahan pada tenaga kerja KepalaTukang Tanam dan mandor </t>
  </si>
  <si>
    <t>catatan :</t>
  </si>
  <si>
    <t xml:space="preserve">  - </t>
  </si>
  <si>
    <t>Pemangkasan 1 Buah Pohon Besar (Dia. Tajuk &gt; 10 m) Termasuk
Pengangkutan Keluar Area Tanam</t>
  </si>
  <si>
    <t>4.2.4.3a</t>
  </si>
  <si>
    <t>Pemangkasan 1 Buah Palem Sedang/Besar, Termasuk
Pengangkutan Keluar Area Tanam</t>
  </si>
  <si>
    <t>Tukang pemelihara taman (115% Pekerja)</t>
  </si>
  <si>
    <t xml:space="preserve"> Harga satuan upah Tukang Tanam setara dengan 115% Pekerja </t>
  </si>
  <si>
    <t>Pemangkasan 1 m2 Semak dengan Gunting Pangkas</t>
  </si>
  <si>
    <t>4.2.4.4a</t>
  </si>
  <si>
    <t>Pemangkasan 1 m2 Penutup Tanah dengan Gunting Pangkas</t>
  </si>
  <si>
    <t>Pemangkasan 1 m2 Rumput dengan Mesin Gendong</t>
  </si>
  <si>
    <t>Harga satuan upah Tukang Pemelihara Taman setara dengan 115% Pekerja</t>
  </si>
  <si>
    <t>Pemangkasan 1 m2 Rumput dengan Mesin Dorong</t>
  </si>
  <si>
    <t xml:space="preserve">Penambahan pada tenaga kerja KepalaTukang Tanam dan mandor, dan penambahan peralatan  </t>
  </si>
  <si>
    <t>Mesin Gendong</t>
  </si>
  <si>
    <t>Penyemprotan Pestisida (Insektisida/Fungisida)</t>
  </si>
  <si>
    <t>Penyemprotan Pestisida (Insektisida/Fungisida) dengan Sprayer
Gendong 1 Kali untuk 1 Buah Pohon/Palem</t>
  </si>
  <si>
    <t xml:space="preserve">Perubahan tenaga kerja pekerja jadi mandor, perubahan koefisien da penambahan peralatan </t>
  </si>
  <si>
    <t>Hari</t>
  </si>
  <si>
    <t>Penyemprotan Pestisida (Fungisida /Insektisida) dengan Sprayer
Gendong 1 Kali untuk 1 m2 Semak</t>
  </si>
  <si>
    <t>4.2.5.3</t>
  </si>
  <si>
    <t>Penyemprotan Pestisida (Fungisida /Insektisida) dengan Sprayer
Gendong 1 Kali untuk 1 m2 Penutup Tanah/Rumput</t>
  </si>
  <si>
    <t>Pembersihan Lahan (Menyapu)</t>
  </si>
  <si>
    <t>4.2.6.1</t>
  </si>
  <si>
    <t xml:space="preserve">Penambahan Tenaga Kerja Mandor </t>
  </si>
  <si>
    <t>4.2.7</t>
  </si>
  <si>
    <t xml:space="preserve">Pencabutan Gulma </t>
  </si>
  <si>
    <t xml:space="preserve">4.2.7.1 </t>
  </si>
  <si>
    <t xml:space="preserve">Pencabutan Gulma (Intensitas Gulma di Atas 50%) 1 m2 Rumput </t>
  </si>
  <si>
    <t xml:space="preserve">4.2.7.2 </t>
  </si>
  <si>
    <t>Pencabutan Gulma (Intensitas Gulma di Atas 20%) 1 m2 Rumput</t>
  </si>
  <si>
    <t xml:space="preserve">Satuan Pembayaran  : Rupiah/Jam  </t>
  </si>
  <si>
    <t>-</t>
  </si>
  <si>
    <t>4.1.5.2</t>
  </si>
  <si>
    <t>4.1.5.3</t>
  </si>
  <si>
    <t>4.1.5.4</t>
  </si>
  <si>
    <t>4.1.5.5</t>
  </si>
  <si>
    <t>hari/m2</t>
  </si>
  <si>
    <t>hari.m2</t>
  </si>
  <si>
    <t>hari/m3</t>
  </si>
  <si>
    <t>hari.m3</t>
  </si>
  <si>
    <t>hari/m4</t>
  </si>
  <si>
    <t>hari.m4</t>
  </si>
  <si>
    <t>hari/m5</t>
  </si>
  <si>
    <t>hari.m5</t>
  </si>
  <si>
    <t>hari/m6</t>
  </si>
  <si>
    <t>hari.m6</t>
  </si>
  <si>
    <t>m 2</t>
  </si>
  <si>
    <t>Kabel NYMHY 3 x 1,5
mm2 + Conduit PVC
HI 20 mm dan
aksesoris</t>
  </si>
  <si>
    <t xml:space="preserve">Perubahan di bahan Kabel digabung dengan Conduit PVC jadi satu </t>
  </si>
  <si>
    <t>Kabel NYMHY 2(3 x
1,5 mm2) + Conduit
PVC HI 20 mm dan
aksesoris</t>
  </si>
  <si>
    <t>Kabel FRC 2 x 1,5 mm2 + PVC Conduit HI 20 mm dan aksesoris</t>
  </si>
  <si>
    <t xml:space="preserve">Perubahan Bahan di gabung jadi satu </t>
  </si>
  <si>
    <t>Kabel FRC 2 x 2,5 mm2 + PVC Conduit HI 20 mm dan aksesoris</t>
  </si>
  <si>
    <t xml:space="preserve">Perubahan bahan jadi satu </t>
  </si>
  <si>
    <t>BCC 6 mm2 (0,06 kg/m) dan aksesoris</t>
  </si>
  <si>
    <t>Perubahan penambahan acsesoris di bahan</t>
  </si>
  <si>
    <t>Kabel STP AWG 18 + PVC Conduit HI 20 mm (dari MCFA ke TB) dan aksesoris</t>
  </si>
  <si>
    <t xml:space="preserve">Perubahan Bahan jadi satu </t>
  </si>
  <si>
    <t>Kabel ITC 2 x 2 x 0,6 mm2 + PVC Conduit HI 20 mm dan aksesoris</t>
  </si>
  <si>
    <t>Perubahan Koefisisen Bshan dr 1,15 jadi 1,125</t>
  </si>
  <si>
    <t>Pemasangan 1 Unit Kabel Tray (Horizontal) 1000 x 100 mm TRU Powder Coating</t>
  </si>
  <si>
    <t>Kabel Tray (Horizontal) 1000 x 100 mm TRU Powder Coating dan aksesoris</t>
  </si>
  <si>
    <t>Pemasangan 1 Unit Kabel Tray (Horizontal) 1000 x 100 mm TRU Hot Dip Galvanized</t>
  </si>
  <si>
    <t>Kabel Tray (Horizontal) 1000 x 100 mm TRU Hot Dip Galvanized dan aksesoris</t>
  </si>
  <si>
    <t>Pemasangan 1 Unit Kabel Tray (Horizontal) 1000 x 100 mm TRU OCP</t>
  </si>
  <si>
    <t>Kabel Tray (Horizontal) 1000 x 100 mm TRU OCP dan aksesoris</t>
  </si>
  <si>
    <t>5.1.1.12.18</t>
  </si>
  <si>
    <t>Pemasangan 1 Unit Kabel Tray (Horizontal) 1000 x 100 mm TRC Powder Coating</t>
  </si>
  <si>
    <t>Kabel Tray (Horizontal) 1000 x 100 mm TRC Powder Coating dan aksesoris</t>
  </si>
  <si>
    <t>5.1.1.12.19</t>
  </si>
  <si>
    <t>Pemasangan 1 Unit Kabel Tray (Horizontal) 1000 x 100 mm TRC Hot Dip Galvanized</t>
  </si>
  <si>
    <t>Kabel Tray (Horizontal) 1000 x 100 mm TRC Hot Dip Galvanized dan aksesoris</t>
  </si>
  <si>
    <t>5.1.1.12.20</t>
  </si>
  <si>
    <t>Pemasangan 1 Unit Kabel Tray (Horizontal) 1000 x 100 mm TRC OCP</t>
  </si>
  <si>
    <t>Kabel Tray (Horizontal) 1000 x 100 mm TRC OCP dan aksesoris</t>
  </si>
  <si>
    <t>5.1.1.12.21</t>
  </si>
  <si>
    <t>Pemasangan 1 Unit Kabel Tray (Horizontal) 900 x 100 mm TRU Powder Coating</t>
  </si>
  <si>
    <t>Kabel Tray (Horizontal) 900 x 100 mm TRU Powder Coating dan aksesoris</t>
  </si>
  <si>
    <t>5.1.1.12.22</t>
  </si>
  <si>
    <t>Pemasangan 1 Unit Kabel Tray (Horizontal) 900 x 100 mm
TRU Hot Dip Galvanized</t>
  </si>
  <si>
    <t>Kabel Tray
(Horizontal) 900 x
100 mm TRU Hot Dip
Galvanized dan
aksesoris</t>
  </si>
  <si>
    <t>5.1.1.12.23</t>
  </si>
  <si>
    <t>Pemasangan 1 Unit Kabel Tray (Horizontal) 900 x 100 mm
TRU OCP</t>
  </si>
  <si>
    <t>Kabel Tray
(Horizontal) 900 x
100 mm TRU OCP
dan aksesoris</t>
  </si>
  <si>
    <t>5.1.1.12.24</t>
  </si>
  <si>
    <t>Pemasangan 1 Unit Kabel Tray (Horizontal) 900 x 100 mm TRC Powder Coating</t>
  </si>
  <si>
    <t>Kabel Tray (Horizontal) 900 x 100 mm TRC Powder Coating dan aksesoris</t>
  </si>
  <si>
    <t>5.1.1.12.25</t>
  </si>
  <si>
    <t>Pemasangan 1 Unit Kabel Tray (Horizontal) 900 x 100 mm TRC Hot Dip Galvanized</t>
  </si>
  <si>
    <t>Kabel Tray (Horizontal) 900 x 100 mm TRC Hot Dip Galvanized dan aksesoris</t>
  </si>
  <si>
    <t>5.1.1.12.26</t>
  </si>
  <si>
    <t>Pemasangan 1 Unit Kabel Tray (Horizontal) 900 x 100 mm
TRC OCP</t>
  </si>
  <si>
    <t>Kabel Tray
(Horizontal) 900 x
100 mm TRC OCP
dan aksesoris</t>
  </si>
  <si>
    <t>5.1.1.12.27</t>
  </si>
  <si>
    <t>Pemasangan 1 Unit Kabel Tray (Horizontal) 800 x 100 mm
TRU Powder Coating</t>
  </si>
  <si>
    <t>Kabel Tray
(Horizontal) 800 x
100 mm TRU Powder
Coating dan aksesoris</t>
  </si>
  <si>
    <t>5.1.1.12.28</t>
  </si>
  <si>
    <t>Pemasangan 1 Unit Kabel Tray (Horizontal) 800 x 100 mm
TRU Hot Dip Galvanized</t>
  </si>
  <si>
    <t>Kabel Tray
(Horizontal) 800 x
100 mm TRU Hot Dip
Galvanized dan
aksesoris</t>
  </si>
  <si>
    <t>5.1.1.12.29</t>
  </si>
  <si>
    <t>Pemasangan 1 Unit Kabel Tray (Horizontal) 800 x 100 mm
TRU OCP</t>
  </si>
  <si>
    <t>Kabel Tray
(Horizontal) 800 x
100 mm TRU OCP
dan aksesoris</t>
  </si>
  <si>
    <t>5.1.1.12.30</t>
  </si>
  <si>
    <t>Pemasangan 1 Unit Kabel Tray (Horizontal) 800 x 100 mm
TRC Powder Coating</t>
  </si>
  <si>
    <t>Kabel Tray
(Horizontal) 800 x
100 mm TRC Powder
Coating dan aksesoris</t>
  </si>
  <si>
    <t>5.1.1.12.31</t>
  </si>
  <si>
    <t>Pemasangan 1 Unit Kabel Tray (Horizontal) 800 x 100 mm
TRC Hot Dip Galvanized</t>
  </si>
  <si>
    <t>Kabel Tray
(Horizontal) 800 x
100 mm TRC Hot Dip
Galvanized dan
aksesoris</t>
  </si>
  <si>
    <t>5.1.1.12.32</t>
  </si>
  <si>
    <t>Pemasangan 1 Unit Kabel Tray (Horizontal) 800 x 100 mm TRC OCP</t>
  </si>
  <si>
    <t>Kabel Tray (Horizontal) 800 x 100 mm TRC OCP dan aksesoris</t>
  </si>
  <si>
    <t>5.1.1.12.33</t>
  </si>
  <si>
    <t>Pemasangan 1 Unit Kabel Tray (Horizontal) 700 x 100 mm TRU Powder Coating</t>
  </si>
  <si>
    <t>Kabel Tray (Horizontal) 700 x 100 mm TRU Powder Coating dan aksesoris</t>
  </si>
  <si>
    <t>5.1.1.12.34</t>
  </si>
  <si>
    <t>Pemasangan 1 Unit Kabel Tray (Horizontal) 700 x 100 mm TRU Hot Dip Galvanized</t>
  </si>
  <si>
    <t>Kabel Tray (Horizontal) 700 x 100 mm TRU Hot Dip Galvanized dan aksesoris</t>
  </si>
  <si>
    <t>5.1.1.12.35</t>
  </si>
  <si>
    <t>Pemasangan 1 Unit Kabel Tray (Horizontal) 700 x 100 mm TRU OCP</t>
  </si>
  <si>
    <t>Kabel Tray (Horizontal) 700 x 100 mm TRU OCP dan aksesoris</t>
  </si>
  <si>
    <t>5.1.1.12.36</t>
  </si>
  <si>
    <t>Pemasangan 1 Unit Kabel Tray (Horizontal) 700 x 100 mm TRC Powder Coating</t>
  </si>
  <si>
    <t>Kabel Tray (Horizontal) 700 x 100 mm TRC Powder Coating dan aksesoris</t>
  </si>
  <si>
    <t>5.1.1.12.37</t>
  </si>
  <si>
    <t>Pemasangan 1 Unit Kabel Tray (Horizontal) 700 x 100 mm TRC Hot Dip Galvanized</t>
  </si>
  <si>
    <t>Kabel Tray (Horizontal) 700 x 100 mm TRC Hot Dip Galvanized dan aksesoris</t>
  </si>
  <si>
    <t>5.1.1.12.38</t>
  </si>
  <si>
    <t>Pemasangan 1 Unit Kabel Tray (Horizontal) 700 x 100 mm TRC OCP</t>
  </si>
  <si>
    <t>Kabel Tray (Horizontal) 700 x 100 mm TRC</t>
  </si>
  <si>
    <t>5.1.1.12.39</t>
  </si>
  <si>
    <t>Kabel Tray (Horizontal) 600 x 100 mm TRU Hot Dip Galvanized dan aksesoris</t>
  </si>
  <si>
    <t>5.1.1.12.40</t>
  </si>
  <si>
    <t>5.1.1.12.41</t>
  </si>
  <si>
    <t>5.1.1.12.42</t>
  </si>
  <si>
    <t>Pemasangan 1 Unit Kabel Tray (Horizontal) 600 x 100 mm TRC Hot Dip Galvanized</t>
  </si>
  <si>
    <t>(Horizontal) 600 x 100 mm TRC Hot Dip Galvanized dan aksesoris</t>
  </si>
  <si>
    <t>Baru</t>
  </si>
  <si>
    <t>5.1.1.12.43</t>
  </si>
  <si>
    <t>Pemasangan 1 Unit Kabel Tray (Horizontal) 600 x 100 mm TRC OCP</t>
  </si>
  <si>
    <t>5.1.1.12.44</t>
  </si>
  <si>
    <t>Pemasangan 1 Unit Kabel Tray (Horizontal) 500 x 100 mm TRU Hot Dip Galvanized</t>
  </si>
  <si>
    <t>Kabel Tray (Horizontal) 500 x 100 mm TRU Hot Dip Galvanized dan aksesoris</t>
  </si>
  <si>
    <t>5.1.1.12.45</t>
  </si>
  <si>
    <t>Pemasangan 1 Unit Kabel Tray (Horizontal) 500 x 100 mm TRU OCP</t>
  </si>
  <si>
    <t>Kabel Tray (Horizontal) 500 x 100 mm TRU OCP dan aksesoris</t>
  </si>
  <si>
    <t>5.1.1.12.46</t>
  </si>
  <si>
    <t>Pemasangan 1 Unit Kabel Tray (Horizontal) 500 x 100 mm TRC Powder Coating</t>
  </si>
  <si>
    <t>Kabel Tray (Horizontal) 500 x 100 mm TRC Powder Coating dan aksesoris</t>
  </si>
  <si>
    <t>5.1.1.12.47</t>
  </si>
  <si>
    <t>Pemasangan 1 Unit Kabel Tray (Horizontal) 500 x 100 mm TRC Hot Dip Galvanized</t>
  </si>
  <si>
    <t>Kabel Tray (Horizontal) 500 x 100 mm TRC Hot Dip Galvanized dan aksesoris</t>
  </si>
  <si>
    <t>5.1.1.12.48</t>
  </si>
  <si>
    <t>Pemasangan 1 Unit Kabel Tray (Horizontal) 500 x 100 mm TRC OCP</t>
  </si>
  <si>
    <t>Kabel Tray (Horizontal) 500 x 100 mm TRC OCP dan aksesoris</t>
  </si>
  <si>
    <t>5.1.1.12.49</t>
  </si>
  <si>
    <t>Pemasangan 1 Unit Kabel Tray (Horizontal) 400 x 100 mm TRU Hot Dip Galvanized</t>
  </si>
  <si>
    <t>Kabel Tray (Horizontal) 400 x 100 mm TRU Hot Dip Galvanized dan aksesoris</t>
  </si>
  <si>
    <t>5.1.1.12.50</t>
  </si>
  <si>
    <t>Pemasangan 1 Unit Kabel Tray (Horizontal) 400 x 100 mm TRU OCP</t>
  </si>
  <si>
    <t>Kabel Tray (Horizontal) 400 x 100 mm TRU OCP dan aksesoris</t>
  </si>
  <si>
    <t>5.1.1.12.51</t>
  </si>
  <si>
    <t>Pemasangan 1 Unit Kabel Tray (Horizontal) 400 x 100 mm TRC Powder Coating</t>
  </si>
  <si>
    <t>Kabel Tray (Horizontal) 400 x 100 mm TRC Powder Coating dan aksesoris</t>
  </si>
  <si>
    <t>5.1.1.12.52</t>
  </si>
  <si>
    <t>Pemasangan 1 Unit Kabel Tray (Horizontal) 400 x 100 mm TRC Hot Dip Galvanized</t>
  </si>
  <si>
    <t>Kabel Tray (Horizontal) 400 x 100 mm TRC Hot Dip Galvanized dan aksesoris</t>
  </si>
  <si>
    <t>5.1.1.12.53</t>
  </si>
  <si>
    <t>Pemasangan 1 Unit Kabel Tray (Horizontal) 400 x 100 mm TRC OCP</t>
  </si>
  <si>
    <t>Kabel Tray (Horizontal) 400 x 100 mm TRC OCP dan aksesoris</t>
  </si>
  <si>
    <t>5.1.1.12.54</t>
  </si>
  <si>
    <t>Pemasangan 1 Unit Kabel Tray (Horizontal) 300 x 100 mm TRU Hot Dip Galvanized</t>
  </si>
  <si>
    <t>Kabel Tray (Horizontal) 300 x 100 mm TRU Hot Dip Galvanized dan aksesoris</t>
  </si>
  <si>
    <t>5.1.1.12.55</t>
  </si>
  <si>
    <t>Pemasangan 1 Unit Kabel Tray (Horizontal) 300 x 100 mm TRU OCP</t>
  </si>
  <si>
    <t>Kabel Tray (Horizontal) 300 x 100 mm TRU OCP dan aksesoris</t>
  </si>
  <si>
    <t>5.1.1.12.56</t>
  </si>
  <si>
    <t>Pemasangan 1 Unit Kabel Tray (Horizontal) 300 x 100 mm TRC Powder Coating</t>
  </si>
  <si>
    <t>Kabel Tray (Horizontal) 300 x 100 mm TRC Powder Coating dan aksesoris</t>
  </si>
  <si>
    <t>5.1.1.12.57</t>
  </si>
  <si>
    <t>Pemasangan 1 Unit Kabel Tray (Horizontal) 300 x 100 mm TRC Hot Dip Galvanized</t>
  </si>
  <si>
    <t>Kabel Tray (Horizontal) 300 x 100 mm TRC Hot Dip Galvanized dan aksesoris</t>
  </si>
  <si>
    <t>5.1.1.12.58</t>
  </si>
  <si>
    <t>Pemasangan 1 Unit Kabel Tray (Horizontal) 300 x 100 mm TRC OCP</t>
  </si>
  <si>
    <t>Kabel Tray (Horizontal) 300 x 100 mm TRC OCP dan aksesoris</t>
  </si>
  <si>
    <t>5.1.1.12.59</t>
  </si>
  <si>
    <t>Pemasangan 1 Unit Kabel Tray (Horizontal) 200 x 100 mm TRU Hot Dip Galvanized</t>
  </si>
  <si>
    <t>Kabel Tray (Horizontal) 200 x 100 mm TRU Hot Dip Galvanized dan aksesoris</t>
  </si>
  <si>
    <t>5.1.1.12.60</t>
  </si>
  <si>
    <t>Pemasangan 1 Unit Kabel Tray (Horizontal) 200 x 100 mm TRU OCP</t>
  </si>
  <si>
    <t>Kabel Tray (Horizontal) 200 x 100 mm TRU OCP dan aksesoris</t>
  </si>
  <si>
    <t>5.1.1.12.61</t>
  </si>
  <si>
    <t>Pemasangan 1 Unit Kabel Tray (Horizontal) 200 x 100 mm TRC Powder Coating</t>
  </si>
  <si>
    <t>5.1.1.12.62</t>
  </si>
  <si>
    <t>Kabel Tray (Horizontal) 200 x 100 mm TRC Powder Coating dan aksesoris</t>
  </si>
  <si>
    <t>Pemasangan 1 Unit Kabel Tray (Horizontal) 200 x 100 mm TRC Hot Dip Galvanized</t>
  </si>
  <si>
    <t>Kabel Tray (Horizontal) 200 x 100 mm TRC Hot Dip Galvanized dan aksesoris</t>
  </si>
  <si>
    <t>5.1.1.12.63</t>
  </si>
  <si>
    <t>Pemasangan 1 Unit Kabel Tray (Horizontal) 200 x 100 mm TRC OCP</t>
  </si>
  <si>
    <t>Kabel Tray (Horizontal) 200 x 100 mm TRC OCP dan aksesoris</t>
  </si>
  <si>
    <t>5.1.1.12.64</t>
  </si>
  <si>
    <t>Pemasangan 1 Unit Kabel Tray (Horizontal) 150 x 100 mm TRU Powder Coating</t>
  </si>
  <si>
    <t>Kabel Tray (Horizontal) 150 x 100 mm TRU Powder Coating dan aksesoris</t>
  </si>
  <si>
    <t>5.1.1.12.65</t>
  </si>
  <si>
    <t>Pemasangan 1 Unit Kabel Tray (Horizontal) 150 x 100 mm TRU Hot Dip Galvanized</t>
  </si>
  <si>
    <t>Kabel Tray (Horizontal) 150 x 100 mm TRU Hot Dip Galvanized dan aksesoris</t>
  </si>
  <si>
    <t>5.1.1.12.66</t>
  </si>
  <si>
    <t>Pemasangan 1 Unit Kabel Tray (Horizontal) 150 x 100 mm TRU OCP</t>
  </si>
  <si>
    <t>Kabel Tray (Horizontal) 150 x 100 mm TRU OCP dan aksesoris</t>
  </si>
  <si>
    <t>5.1.1.12.67</t>
  </si>
  <si>
    <t>Kabel Tray (Horizontal) 150 x 100 mm TRC Powder Coating dan aksesoris</t>
  </si>
  <si>
    <t>5.1.1.12.68</t>
  </si>
  <si>
    <t>Pemasangan 1 Unit Kabel Tray (Horizontal) 150 x 100 mm TRC Hot Dip Galvanized</t>
  </si>
  <si>
    <t>Pemasangan 1 Unit Kabel Tray (Horizontal) 150 x 100 mm TRC Powder Coatingmasangan 1 Unit Kabel Tray (Horizontal) 150 x 100 mm TRU OCP</t>
  </si>
  <si>
    <t>Kabel Tray (Horizontal) 150 x 100 mm TRC Hot Dip Galvanized dan aksesoris</t>
  </si>
  <si>
    <t>5.1.1.12.69</t>
  </si>
  <si>
    <t>Pemasangan 1 Unit Kabel Tray (Horizontal) 150 x 100 mm TRC OCP</t>
  </si>
  <si>
    <t>Kabel Tray (Horizontal) 150 x 100 mm TRC OCP dan aksesoris</t>
  </si>
  <si>
    <t>5.1.1.12.70</t>
  </si>
  <si>
    <t>Pemasangan 1 Unit Kabel Tray (Vertikal) 1000 x 100 mm TRU Powder Coating</t>
  </si>
  <si>
    <t>Kabel Tray (Vertikal) 1000 x 100 mm TRU Powder Coating dan aksesoris</t>
  </si>
  <si>
    <t>Pemasangan 1 Unit Kabel Tray (Vertikal) 1000 x 100 mm TRU Hot Dip Galvanized</t>
  </si>
  <si>
    <t>Kabel Tray (Vertikal) 1000 x 100 mm TRU Hot Dip Galvanized dan aksesoris</t>
  </si>
  <si>
    <t>Pemasangan 1 Unit Kabel Tray (Vertikal) 1000 x 100 mm TRU OCP</t>
  </si>
  <si>
    <t>Kabel Tray (Vertikal) 1000 x 100 mm TRU OCP dan aksesoris</t>
  </si>
  <si>
    <t>5.1.1.12.71</t>
  </si>
  <si>
    <t>5.1.1.12.72</t>
  </si>
  <si>
    <t>5.1.1.12.73</t>
  </si>
  <si>
    <t>Pemasangan 1 Unit Kabel Tray (Vertikal) 1000 x 100 mm TRC Powder Coating</t>
  </si>
  <si>
    <t>Kabel Tray (Vertikal) 1000 x 100 mm TRC Powder Coating dan aksesoris</t>
  </si>
  <si>
    <t>5.1.1.12.74</t>
  </si>
  <si>
    <t>Pemasangan 1 Unit Kabel Tray (Vertikal) 1000 x 100 mm TRC Hot Dip Galvanized\</t>
  </si>
  <si>
    <t>Kabel Tray (Vertikal) 1000 x 100 mm TRC Hot Dip Galvanized dan aksesoris</t>
  </si>
  <si>
    <t>5.1.1.12.75</t>
  </si>
  <si>
    <t>Pemasangan 1 Unit Kabel Tray (Vertikal) 1000 x 100 mm TRC OCP</t>
  </si>
  <si>
    <t>Kabel Tray (Vertikal) 1000 x 100 mm TRC OCP dan aksesoris</t>
  </si>
  <si>
    <t>5.1.1.12.76</t>
  </si>
  <si>
    <t>Pemasangan 1 Unit Kabel Tray (Vertikal) 900 x 100 mm TRU Powder Coating</t>
  </si>
  <si>
    <t>Kabel Tray (Vertikal) 900 x 100 mm TRU Powder Coating dan aksesoris</t>
  </si>
  <si>
    <t>5.1.1.12.77</t>
  </si>
  <si>
    <t>Pemasangan 1 Unit Kabel Tray (Vertikal) 900 x 100 mm TRU Hot Dip Galvanized</t>
  </si>
  <si>
    <t>Kabel Tray (Vertikal) 900 x 100 mm TRU Hot Dip Galvanized dan aksesoris</t>
  </si>
  <si>
    <t>5.1.1.12.78</t>
  </si>
  <si>
    <t>Pemasangan 1 Unit Kabel Tray (Vertikal) 900 x 100 mm TRU OCP</t>
  </si>
  <si>
    <t>Kabel Tray (Vertikal) 900 x 100 mm TRU OCP dan aksesoris</t>
  </si>
  <si>
    <t>5.1.1.12.79</t>
  </si>
  <si>
    <t>Pemasangan 1 Unit Kabel Tray (Vertikal) 900 x 100 mm TRC Powder Coating</t>
  </si>
  <si>
    <t>Kabel Tray (Vertikal) 900 x 100 mm TRC Powder Coating dan aksesoris</t>
  </si>
  <si>
    <t>5.1.1.12.80</t>
  </si>
  <si>
    <t>Pemasangan 1 Unit Kabel Tray (Vertikal) 900 x 100 mm TRC Hot Dip Galvanized</t>
  </si>
  <si>
    <t>Kabel Tray (Vertikal) 900 x 100 mm TRC Hot Dip Galvanized dan aksesoris</t>
  </si>
  <si>
    <t>5.1.1.12.81</t>
  </si>
  <si>
    <t>Pemasangan 1 Unit Kabel Tray (Vertikal) 900 x 100 mm TRC OCP</t>
  </si>
  <si>
    <t>Kabel Tray (Vertikal) 900 x 100 mm TRC OCP dan aksesoris</t>
  </si>
  <si>
    <t>5.1.1.12.82</t>
  </si>
  <si>
    <t>Pemasangan 1 Unit Kabel Tray (Vertikal) 800 x 100 mm TRU Powder Coating</t>
  </si>
  <si>
    <t>Kabel Tray (Vertikal) 800 x 100 mm TRU Powder Coating dan aksesoris</t>
  </si>
  <si>
    <t>5.1.1.12.83</t>
  </si>
  <si>
    <t>Pemasangan 1 Unit Kabel Tray (Vertikal) 800 x 100 mm TRU Hot Dip Galvanized</t>
  </si>
  <si>
    <t>Kabel Tray (Vertikal) 800 x 100 mm TRU Hot Dip Galvanized dan aksesoris</t>
  </si>
  <si>
    <t>5.1.1.12.84</t>
  </si>
  <si>
    <t>Pemasangan 1 Unit Kabel Tray (Vertikal) 800 x 100 mm TRU OCP</t>
  </si>
  <si>
    <t>Kabel Tray (Vertikal) 800 x 100 mm TRU OCP dan aksesoris</t>
  </si>
  <si>
    <t>5.1.1.12.85</t>
  </si>
  <si>
    <t>Pemasangan 1 Unit Kabel Tray (Vertikal) 800 x 100 mm TRC Powder Coating</t>
  </si>
  <si>
    <t>Kabel Tray (Vertikal) 800 x 100 mm TRC Powder Coating dan aksesoris</t>
  </si>
  <si>
    <t>5.1.1.12.86</t>
  </si>
  <si>
    <t>Pemasangan 1 Unit Kabel Tray (Vertikal) 800 x 100 mm TRC Hot Dip Galvanized</t>
  </si>
  <si>
    <t>Kabel Tray (Vertikal) 800 x 100 mm TRC Hot Dip Galvanized dan aksesoris</t>
  </si>
  <si>
    <t>5.1.1.12.87</t>
  </si>
  <si>
    <t>Pemasangan 1 Unit Kabel Tray (Vertikal) 800 x 100 mm TRC OCP</t>
  </si>
  <si>
    <t>Kabel Tray (Vertikal) 800 x 100 mm TRC OCP dan aksesoris</t>
  </si>
  <si>
    <t>5.1.1.12.88</t>
  </si>
  <si>
    <t>Pemasangan 1 Unit Kabel Tray (Vertikal) 700 x 100 mm TRU Powder Coating</t>
  </si>
  <si>
    <t>Kabel Tray (Vertikal) 700 x 100 mm TRU Powder Coating dan aksesoris</t>
  </si>
  <si>
    <t>5.1.1.12.89</t>
  </si>
  <si>
    <t>Pemasangan 1 Unit Kabel Tray (Vertikal) 700 x 100 mm TRU Hot Dip Galvanized</t>
  </si>
  <si>
    <t>Kabel Tray (Vertikal) 700 x 100 mm TRU Hot Dip Galvanized dan aksesoris</t>
  </si>
  <si>
    <t>5.1.1.12.90</t>
  </si>
  <si>
    <t>Pemasangan 1 Unit Kabel Tray (Vertikal) 700 x 100 mm TRU OCP</t>
  </si>
  <si>
    <t>Kabel Tray (Vertikal) 700 x 100 mm TRU OCP dan aksesoris</t>
  </si>
  <si>
    <t>5.1.1.12.91</t>
  </si>
  <si>
    <t>Pemasangan 1 Unit Kabel Tray (Vertikal) 700 x 100 mm TRC Powder Coating</t>
  </si>
  <si>
    <t>Kabel Tray (Vertikal) 700 x 100 mm TRC Powder Coating dan aksesoris</t>
  </si>
  <si>
    <t>5.1.1.12.92</t>
  </si>
  <si>
    <t>Pemasangan 1 Unit Kabel Tray (Vertikal) 700 x 100 mm TRC Hot Dip Galvanized</t>
  </si>
  <si>
    <t>Kabel Tray (Vertikal) 700 x 100 mm TRC Hot Dip Galvanized dan aksesoris</t>
  </si>
  <si>
    <t>5.1.1.12.93</t>
  </si>
  <si>
    <t>Pemasangan 1 Unit Kabel Tray (Vertikal) 700 x 100 mm TRC OCP</t>
  </si>
  <si>
    <t>Kabel Tray (Vertikal) 700 x 100 mm TRC OCP dan aksesoris</t>
  </si>
  <si>
    <t>5.1.1.12.94</t>
  </si>
  <si>
    <t>Pemasangan 1 Unit Kabel Tray (Vertikal) 600 x 100 mm TRU Hot Dip Galvanized</t>
  </si>
  <si>
    <t>Kabel Tray (Vertikal) 600 x 100 mm TRU Hot Dip Galvanized dan aksesoris</t>
  </si>
  <si>
    <t>5.1.1.12.95</t>
  </si>
  <si>
    <t>Pemasangan 1 Unit Kabel Tray (Vertikal) 600 x 100 mm TRU OCP</t>
  </si>
  <si>
    <t>Kabel Tray (Vertikal) 600 x 100 mm TRU OCP dan aksesoris</t>
  </si>
  <si>
    <t>5.1.1.12.96</t>
  </si>
  <si>
    <t>Pemasangan 1 Unit Kabel Tray (Vertikal) 600 x 100 mm TRC
Powder Coating</t>
  </si>
  <si>
    <t>Kabel Tray (Vertikal)
600 x 100 mm TRC
Powder Coating dan
aksesoris</t>
  </si>
  <si>
    <t>5.1.1.12.97</t>
  </si>
  <si>
    <t>Pemasangan 1 Unit Kabel Tray (Vertikal) 600 x 100 mm TRC
Hot Dip Galvanized</t>
  </si>
  <si>
    <t>Kabel Tray (Vertikal)
600 x 100 mm TRC
Hot Dip Galvanized
dan aksesoris</t>
  </si>
  <si>
    <t>5.1.1.12.98</t>
  </si>
  <si>
    <t>Pemasangan 1 Unit Kabel Tray (Vertikal) 600 x 100 mm TRC
OCP</t>
  </si>
  <si>
    <t>Kabel Tray (Vertikal)
600 x 100 mm TRC
OCP dan aksesoris</t>
  </si>
  <si>
    <t>5.1.1.12.99</t>
  </si>
  <si>
    <t>Pemasangan 1 Unit Kabel Tray (Vertikal) 500 x 100 mm TRU
Hot Dip Galvanized</t>
  </si>
  <si>
    <t>Kabel Tray (Vertikal)
500 x 100 mm TRU
Hot Dip Galvanized
dan aksesoris</t>
  </si>
  <si>
    <t>5.1.1.12.100</t>
  </si>
  <si>
    <t>Pemasangan 1 Unit Kabel Tray (Vertikal) 500 x 100 mm TRU
OCP</t>
  </si>
  <si>
    <t>Kabel Tray (Vertikal)
500 x 100 mm TRU
OCP dan aksesoris</t>
  </si>
  <si>
    <t>5.1.1.12.101</t>
  </si>
  <si>
    <t>Pemasangan 1 Unit Kabel Tray (Vertikal) 500 x 100 mm TRC
Powder Coating</t>
  </si>
  <si>
    <t>Kabel Tray (Vertikal)
500 x 100 mm TRC
Powder Coating dan
aksesoris</t>
  </si>
  <si>
    <t>5.1.1.12.102</t>
  </si>
  <si>
    <t>Pemasangan 1 Unit Kabel Tray (Vertikal) 500 x 100 mm TRC
Hot Dip Galvanized</t>
  </si>
  <si>
    <t>Kabel Tray (Vertikal)
500 x 100 mm TRC
Hot Dip Galvanized
dan aksesoris</t>
  </si>
  <si>
    <t>5.1.1.12.103</t>
  </si>
  <si>
    <t>Pemasangan 1 Unit Kabel Tray (Vertikal) 500 x 100 mm TRC
OCP</t>
  </si>
  <si>
    <t>Kabel Tray (Vertikal)
500 x 100 mm TRC
OCP dan aksesoris</t>
  </si>
  <si>
    <t>5.1.1.12.104</t>
  </si>
  <si>
    <t>Pemasangan 1 Unit Kabel Tray (Vertikal) 400 x 100 mm TRU
Hot Dip Galvanized</t>
  </si>
  <si>
    <t>Kabel Tray (Vertikal)
400 x 100 mm TRU
Hot Dip Galvanized
dan aksesoris</t>
  </si>
  <si>
    <t>5.1.1.12.105</t>
  </si>
  <si>
    <t>Pemasangan 1 Unit Kabel Tray (Vertikal) 400 x 100 mm TRU
OCP</t>
  </si>
  <si>
    <t>Kabel Tray (Vertikal)
400 x 100 mm TRU
OCP dan aksesoris</t>
  </si>
  <si>
    <t>5.1.1.12.106</t>
  </si>
  <si>
    <t>5.1.1.12.107</t>
  </si>
  <si>
    <t>5.1.1.12.108</t>
  </si>
  <si>
    <t>5.1.1.12.109</t>
  </si>
  <si>
    <t>5.1.1.12.110</t>
  </si>
  <si>
    <t>5.1.1.12.111</t>
  </si>
  <si>
    <t>5.1.1.12.112</t>
  </si>
  <si>
    <t>5.1.1.12.113</t>
  </si>
  <si>
    <t>5.1.1.12.114</t>
  </si>
  <si>
    <t>5.1.1.12.115</t>
  </si>
  <si>
    <t>5.1.1.12.116</t>
  </si>
  <si>
    <t>5.1.1.12.117</t>
  </si>
  <si>
    <t>5.1.1.12.118</t>
  </si>
  <si>
    <t>5.1.1.12.119</t>
  </si>
  <si>
    <t>Pemasangan 1 Unit Kabel Tray (Vertikal) 400 x 100 mm TRC
Powder Coating</t>
  </si>
  <si>
    <t>Kabel Tray (Vertikal)
400 x 100 mm TRC
Powder Coating dan
aksesoris</t>
  </si>
  <si>
    <t>Pemasangan 1 Unit Kabel Tray (Vertikal) 400 x 100 mm TRC
Hot Dip Galvanized</t>
  </si>
  <si>
    <t>Kabel Tray (Vertikal)
400 x 100 mm TRC
Hot Dip Galvanized
dan aksesoris</t>
  </si>
  <si>
    <t>Pemasangan 1 Unit Kabel Tray (Vertikal) 400 x 100 mm TRC
OCP</t>
  </si>
  <si>
    <t>Kabel Tray (Vertikal)
400 x 100 mm TRC
OCP dan aksesoris</t>
  </si>
  <si>
    <t>Pemasangan 1 Unit Kabel Tray (Vertikal) 300 x 100 mm TRU
Hot Dip Galvanized</t>
  </si>
  <si>
    <t>Kabel Tray (Vertikal)
300 x 100 mm TRU
Hot Dip Galvanized
dan aksesoris</t>
  </si>
  <si>
    <t>Pemasangan 1 Unit Kabel Tray (Vertikal) 300 x 100 mm TRU
OCP</t>
  </si>
  <si>
    <t>Kabel Tray (Vertikal)
300 x 100 mm TRU
OCP dan aksesoris</t>
  </si>
  <si>
    <t>Pemasangan 1 Unit Kabel Tray (Vertikal) 300 x 100 mm TRC
Powder Coating</t>
  </si>
  <si>
    <t>Kabel Tray (Vertikal)
300 x 100 mm TRC
Powder Coating dan
aksesoris</t>
  </si>
  <si>
    <t>Pemasangan 1 Unit Kabel Tray (Vertikal) 300 x 100 mm TRC
Hot Dip Galvanized</t>
  </si>
  <si>
    <t>Kabel Tray (Vertikal)
300 x 100 mm TRC
Hot Dip Galvanized
dan aksesoris</t>
  </si>
  <si>
    <t>Pemasangan 1 Unit Kabel Tray (Vertikal) 300 x 100 mm TRC
OCP</t>
  </si>
  <si>
    <t>Kabel Tray (Vertikal)
300 x 100 mm TRC
OCP dan aksesoris</t>
  </si>
  <si>
    <t>5.1.1.12.120</t>
  </si>
  <si>
    <t>5.1.1.12.121</t>
  </si>
  <si>
    <t>5.1.1.12.122</t>
  </si>
  <si>
    <t>5.1.1.12.123</t>
  </si>
  <si>
    <t>5.1.1.12.124</t>
  </si>
  <si>
    <t>Pemasangan 1 Unit Kabel Tray (Vertikal) 200 x 100 mm TRU
Hot Dip Galvanized</t>
  </si>
  <si>
    <t>Kabel Tray (Vertikal)
200 x 100 mm TRU
Hot Dip Galvanized
dan aksesoris</t>
  </si>
  <si>
    <t>Pemasangan 1 Unit Kabel Tray (Vertikal) 200 x 100 mm TRU
OCP</t>
  </si>
  <si>
    <t>Kabel Tray (Vertikal)
200 x 100 mm TRU
OCP dan aksesoris</t>
  </si>
  <si>
    <t>Pemasangan 1 Unit Kabel Tray (Vertikal) 200 x 100 mm TRC
Powder Coating</t>
  </si>
  <si>
    <t>Kabel Tray (Vertikal)
200 x 100 mm TRC
Powder Coating dan
aksesoris</t>
  </si>
  <si>
    <t>Pemasangan 1 Unit Kabel Tray (Vertikal) 200 x 100 mm TRC
Hot Dip Galvanized</t>
  </si>
  <si>
    <t>Kabel Tray (Vertikal)
200 x 100 mm TRC
Hot Dip Galvanized
dan aksesoris</t>
  </si>
  <si>
    <t>Pemasangan 1 Unit Kabel Tray (Vertikal) 200 x 100 mm TRC
OCP</t>
  </si>
  <si>
    <t>Kabel Tray (Vertikal)
200 x 100 mm TRC
OCP dan aksesoris</t>
  </si>
  <si>
    <t>Pemasangan 1 Unit Kabel Tray (Vertikal) 150 x 100 mm TRU
Powder Coating</t>
  </si>
  <si>
    <t>Kabel Tray (Vertikal)
150 x 100 mm TRU
Powder Coating dan
aksesoris</t>
  </si>
  <si>
    <t>Pemasangan 1 Unit Kabel Tray (Vertikal) 150 x 100 mm TRU
Hot Dip Galvanized</t>
  </si>
  <si>
    <t>Kabel Tray (Vertikal)
150 x 100 mm TRU
Hot Dip Galvanized
dan aksesoris</t>
  </si>
  <si>
    <t>Pemasangan 1 Unit Kabel Tray (Vertikal) 150 x 100 mm TRU
OCP</t>
  </si>
  <si>
    <t>Kabel Tray (Vertikal)
150 x 100 mm TRU
OCP dan aksesoris</t>
  </si>
  <si>
    <t>Pemasangan 1 Unit Kabel Tray (Vertikal) 150 x 100 mm TRC
Powder Coating</t>
  </si>
  <si>
    <t>Kabel Tray (Vertikal)
150 x 100 mm TRC
Powder Coating dan
aksesoris</t>
  </si>
  <si>
    <t>Pemasangan 1 Unit Kabel Tray (Vertikal) 150 x 100 mm TRC
Hot Dip Galvanized</t>
  </si>
  <si>
    <t>Kabel Tray (Vertikal)
150 x 100 mm TRC
Hot Dip Galvanized
dan aksesoris</t>
  </si>
  <si>
    <t>Pemasangan 1 Unit Kabel Tray (Vertikal) 150 x 100 mm TRC
OCP</t>
  </si>
  <si>
    <t>Kabel Tray (Vertikal)
150 x 100 mm TRC
OCP dan aksesoris</t>
  </si>
  <si>
    <t>5.1.3.6</t>
  </si>
  <si>
    <t xml:space="preserve">sebelumnya belum ada item ini </t>
  </si>
  <si>
    <t xml:space="preserve">Pemasanga 1 Unit Tangki Solar </t>
  </si>
  <si>
    <t>Hand Pump Solar
dan aksesoris</t>
  </si>
  <si>
    <t>5.1.5.14</t>
  </si>
  <si>
    <t>Pemasanga 1 titik Instalasi Stop Kontak (Kabel LSOH)</t>
  </si>
  <si>
    <t>Kabel NYM 3 x 2,5
mm2 (LSOH)</t>
  </si>
  <si>
    <t>M'</t>
  </si>
  <si>
    <t>Perubahan Koefisien  Bhandr 1,1 jadi 1,05</t>
  </si>
  <si>
    <t xml:space="preserve">Perubahan Koefisien Bahan Kabel 8,8 jadi 16,5 </t>
  </si>
  <si>
    <t>Perubahan Penghapusan bahan "Programming, Testing &amp; commisioning"</t>
  </si>
  <si>
    <t>5.1.1.1.14</t>
  </si>
  <si>
    <t>PIPA PVC AW ; DN.
1/2" (15 mm) dan
aksesoris</t>
  </si>
  <si>
    <t>Perubahan pada Diameter (Dia.) menjadi Diameter Nominal (DN)</t>
  </si>
  <si>
    <t>PIPA PVC AW ; DN.
3/4" (20 mm) dan
aksesoris</t>
  </si>
  <si>
    <t xml:space="preserve">Pemasangan 1 m' pipa PVC AW, DN. 3/4" (20 mm) + Isolasi </t>
  </si>
  <si>
    <t xml:space="preserve">Pemasangan 1 m' pipa PVC AW, DN. 1/2" (15 mm) + Isolasi </t>
  </si>
  <si>
    <t xml:space="preserve">Pemasangan 1 m' pipa PVC AW, DN. 1" (25 mm) + Isolasi </t>
  </si>
  <si>
    <t>PIPA PVC AW ; DN. 1"
(25 mm) dan
aksesoris</t>
  </si>
  <si>
    <t xml:space="preserve">Pemasangan 1 m' pipa PVC AW, DN. 1-1/4" (32 mm) + Isolasi </t>
  </si>
  <si>
    <t>PIPA PVC AW ; DN. 1-
1/4" (32 mm) dan
aksesoris</t>
  </si>
  <si>
    <t xml:space="preserve">Pemasangan 1 m' pipa PVC AW, DN. 1-1/2" (40 mm) + Isolasi </t>
  </si>
  <si>
    <t>PIPA PVC AW ; DN. 1-
1/2" (40 mm) dan
aksesoris</t>
  </si>
  <si>
    <t xml:space="preserve">Pemasangan 1 m' pipa PVC AW, DN. 2" (50 mm) + Isolasi </t>
  </si>
  <si>
    <t>PIPA PVC AW ; DN. 2"
(50 mm) dan
aksesoris</t>
  </si>
  <si>
    <t xml:space="preserve">Pemasangan 1 m' pipa PVC AW, DN. 2-1/2" (65 mm) + Isolasi </t>
  </si>
  <si>
    <t>PIPA PVC AW ; DN. 2-
1/2" (65 mm) dan
aksesoris</t>
  </si>
  <si>
    <t xml:space="preserve">Pemasangan 1 m' pipa PVC AW, DN. 3" (80 mm) + Isolasi </t>
  </si>
  <si>
    <t>PIPA PVC AW ; DN. 3"
(80 mm) dan
aksesoris</t>
  </si>
  <si>
    <t xml:space="preserve">Pemasangan 1 m' pipa PVC AW, DN. 4" (100 mm) + Isolasi </t>
  </si>
  <si>
    <t>PIPA PVC AW ; DN. 4"
(100 mm) dan
aksesoris</t>
  </si>
  <si>
    <t>6.1.1.1</t>
  </si>
  <si>
    <t>Pemasangan 1 Unit Rof Tank Fiberglass Kap. 2 m3</t>
  </si>
  <si>
    <t>Pemasangan 1 buah Tangki Panel Stainless Steel Kap. 12 m3</t>
  </si>
  <si>
    <t>Tangki panel Stainless Steel kapasitas 12 m3 + Material Bantu / Aksesoris</t>
  </si>
  <si>
    <t>6.1.1.17</t>
  </si>
  <si>
    <t>Pemasangan 1 buah Tangki Panel GRP Kap. 12 m3</t>
  </si>
  <si>
    <t>Tangki panel GRP
kapasitas 12 m3 +
Material Bantu /
Aksesoris</t>
  </si>
  <si>
    <t>6.1.1.18</t>
  </si>
  <si>
    <t xml:space="preserve">6.2.4 </t>
  </si>
  <si>
    <t>6.2.4.1</t>
  </si>
  <si>
    <t xml:space="preserve">Urukan Tanah </t>
  </si>
  <si>
    <t>Perubahan Diameter (Dia.) menjadi diameter Nominal (DN)</t>
  </si>
  <si>
    <t>Pemasangan 1 m pipa PVC AW, DN. 1/2" (15 mm)</t>
  </si>
  <si>
    <t>Pipa PVC AW ; DN.
1/2" (15 mm) +
fitting &amp; aksesoris</t>
  </si>
  <si>
    <t>Pemasangan 1 m pipa PVC AW, DN. 3/4" (20 mm)</t>
  </si>
  <si>
    <t>Pipa PVC AW ; DN.
3/4" (20 mm) +
fitting &amp; aksesoris</t>
  </si>
  <si>
    <t>Pemasangan 1 m pipa PVC AW, DN. 1" (25 mm)</t>
  </si>
  <si>
    <t>Pipa PVC AW ; DN. 1"
(25 mm) + fitting &amp;
aksesoris</t>
  </si>
  <si>
    <t>Pemasangan 1 m pipa PVC AW, DN. 1-1/4" (32 mm)</t>
  </si>
  <si>
    <t>Pipa PVC AW ; DN. 1-
1/4" (32 mm) +
fitting &amp; aksesoris</t>
  </si>
  <si>
    <t>Pemasangan 1 m pipa PVC AW, DN. 1-1/2" (40 mm)</t>
  </si>
  <si>
    <t>Pipa PVC AW ; DN. 1-
1/2" (40 mm) +
fitting &amp; aksesoris</t>
  </si>
  <si>
    <t>Pemasangan 1 m pipa PVC AW, DN. 2" (50 mm)</t>
  </si>
  <si>
    <t>Pipa PVC AW ; DN. 2" (50 mm) + fitting &amp; aksesoris</t>
  </si>
  <si>
    <t>Pemasangan 1 m pipa PVC AW, DN. 2-1/2" (65 mm)</t>
  </si>
  <si>
    <t>Pipa PVC AW ; DN. 2-1/2" (65 mm) + fitting &amp; aksesoris</t>
  </si>
  <si>
    <t>Pemasangan 1 m pipa PVC AW, DN. 3" (80 mm)</t>
  </si>
  <si>
    <t>Pipa PVC AW ; DN. 3"
(80 mm) + fitting &amp;
aksesoris</t>
  </si>
  <si>
    <t>Pemasangan 1 m pipa PVC AW, DN. 4" (100 mm)</t>
  </si>
  <si>
    <t>Pipa PVC AW ; DN. 4"
(100 mm) + fitting &amp;
aksesoris</t>
  </si>
  <si>
    <t>Pemasangan 1 m pipa PVC AW, DN. 5" (125 mm)</t>
  </si>
  <si>
    <t>Pipa PVC AW ; DN. 5"
(125 mm) + fitting &amp;
aksesoris</t>
  </si>
  <si>
    <t>Pemasangan 1 m pipa PVC AW, DN. 6" (150 mm)</t>
  </si>
  <si>
    <t>Pemasangan 1 m pipa PVC AW, DN. 8" (200 mm)</t>
  </si>
  <si>
    <t>Pipa PVC AW ; DN. 8"
(200 mm) + fitting &amp;
aksesoris</t>
  </si>
  <si>
    <t>Pemasangan 1 m pipa PVC AW, DN. 10" (250 mm)</t>
  </si>
  <si>
    <t>Pipa PVC AW ; DN.
10" (250 mm) +
fitting &amp; aksesoris</t>
  </si>
  <si>
    <t>Pemasangan 1 m pipa PVC AW, DN. 12" (300 mm)</t>
  </si>
  <si>
    <t>Pipa PVC AW ; DN. 12" (300 mm) + fitting &amp; aksesoris</t>
  </si>
  <si>
    <t>Pemasangan 1 m pipa PVC AW, DN. 14" (350 mm)</t>
  </si>
  <si>
    <t>Pipa PVC AW ; DN. 14" (350 mm) + fitting &amp; aksesoris</t>
  </si>
  <si>
    <t>Pemasangan 1 m pipa PVC AW, DN. 16" (400 mm)</t>
  </si>
  <si>
    <t>Pipa PVC AW ; DN. 16" (400 mm) + fitting &amp; aksesoris</t>
  </si>
  <si>
    <t>Pemasangan 1 m pipa PVC D, DN. 1-1/4" (32 mm)</t>
  </si>
  <si>
    <t>Pipa PVC D ; DN. 1-1/4" (32 mm) + fitting &amp; aksesoris</t>
  </si>
  <si>
    <t>Pemasangan 1 m pipa PVC D, DN. 1-1/2" (40 mm)</t>
  </si>
  <si>
    <t>Pipa PVC D ; DN. 1-1/2" (40 mm) + fitting &amp; aksesoris</t>
  </si>
  <si>
    <t>Pemasangan 1 m pipa PVC D, DN. 2" (50 mm)</t>
  </si>
  <si>
    <t>Pipa PVC D ; DN. 2" (50 mm) + fitting &amp; aksesoris</t>
  </si>
  <si>
    <t>Pemasangan 1 m pipa PVC D, DN. 2-1/2" (65 mm)</t>
  </si>
  <si>
    <t>Pipa PVC D ; DN.
2-1/2" (65 mm) +
fitting &amp; aksesoris</t>
  </si>
  <si>
    <t>Pemasangan 1 m pipa PVC D, DN. 3" (80 mm)</t>
  </si>
  <si>
    <t>Pipa PVC D ; DN.
3" (80 mm) + fitting &amp;
aksesoris</t>
  </si>
  <si>
    <t>Pemasangan 1 m pipa PVC D, DN. 4" (100 mm)</t>
  </si>
  <si>
    <t>Pipa PVC D ; DN. 4" (100 mm) + fitting &amp; aksesoris</t>
  </si>
  <si>
    <t>Pemasangan 1 m pipa PVC D, DN. 5" (125 mm)</t>
  </si>
  <si>
    <t>Pipa PVC D ; DN. 5" (125 mm) + fitting &amp; aksesoris</t>
  </si>
  <si>
    <t>Pemasangan 1 m pipa PVC D, DN. 6" (150 mm)</t>
  </si>
  <si>
    <t>Pipa PVC D ; DN. 6" (150 mm) + fitting &amp; aksesoris</t>
  </si>
  <si>
    <t>Pemasangan 1 m pipa PVC D, DN. 8" (200 mm)</t>
  </si>
  <si>
    <t>Pipa PVC D ; DN. 8" (200 mm) + fitting &amp; aksesoris</t>
  </si>
  <si>
    <t>Pemasangan 1 m pipa PVC D, DN. 10" (250 mm)</t>
  </si>
  <si>
    <t>Pipa PVC D ; DN.
10" (250 mm) +
fitting &amp; aksesoris</t>
  </si>
  <si>
    <t>Pemasangan 1 m pipa PVC D, DN. 12" (300 mm)</t>
  </si>
  <si>
    <t>Pipa PVC D ; DN.
12" (300 mm) +
fitting &amp; aksesoris</t>
  </si>
  <si>
    <t>Pemasangan 1 m pipa PVC D, DN. 14" (350 mm)</t>
  </si>
  <si>
    <t>Pipa PVC D ; DN.
14" (350 mm) +
fitting &amp; aksesoris</t>
  </si>
  <si>
    <t>Pemasangan 1 m pipa PVC D, DN. 16" (400 mm)</t>
  </si>
  <si>
    <t>Pipa PVC D ; DN.
16" (400 mm) +
fitting &amp; aksesoris</t>
  </si>
  <si>
    <t>Pemasangan 1 m Pipa Galvanis MED CLASS, DN. 1/2" (15 mm)</t>
  </si>
  <si>
    <t>Pipa galvanis MED CLASS ; DN. 1/2" (15 mm) + fitting &amp; aksesoris</t>
  </si>
  <si>
    <t>Pemasangan 1 m Pipa Galvanis MED CLASS, DN. 3/4" (20 mm)</t>
  </si>
  <si>
    <t>Pipa galvanis MED CLASS ; DN. 3/4" (20 mm) + fitting &amp; aksesoris</t>
  </si>
  <si>
    <t>Pemasangan 1 m Pipa Galvanis MED CLASS, DN. 1" (25 mm)</t>
  </si>
  <si>
    <t>Pipa galvanis MED
CLASS ; DN. 1" (25
mm) + fitting &amp;
aksesoris</t>
  </si>
  <si>
    <t>Pemasangan 1 m Pipa Galvanis MED CLASS, DN. 1-1/4" (32 mm)</t>
  </si>
  <si>
    <t>Pipa galvanis MED
CLASS ; DN. 1-1/4"
(32 mm) + fitting &amp;
aksesoris</t>
  </si>
  <si>
    <t>Pemasangan 1 m Pipa Galvanis MED CLASS, DN. 1-1/2" (40 mm)</t>
  </si>
  <si>
    <t>Pipa galvanis MED CLASS ; DN. 1-1/2" (40 mm) + fitting &amp; aksesoris</t>
  </si>
  <si>
    <t>Pemasangan 1 m Pipa Galvanis MED CLASS, DN. 2" (50 mm)</t>
  </si>
  <si>
    <t>Pipa galvanis MED CLASS ; DN. 2" (50 mm) + fitting &amp; aksesoris</t>
  </si>
  <si>
    <t>Pemasangan 1 m Pipa Galvanis MED CLASS, DN. 2-1/2" (65 mm)</t>
  </si>
  <si>
    <t>Pipa galvanis MED CLASS ; DN. 2-1/2" (65 mm) + fitting &amp; aksesoris</t>
  </si>
  <si>
    <t>Pemasangan 1 m Pipa Galvanis MED CLASS, DN. 3" (80 mm)</t>
  </si>
  <si>
    <t>Pipa galvanis MED CLASS ; DN. 3" (80 mm) + fitting &amp; aksesoris</t>
  </si>
  <si>
    <t>Pemasangan 1 m Pipa Galvanis MED CLASS, DN. 4" (100 mm)</t>
  </si>
  <si>
    <t>Pipa galvanis MED CLASS ; DN. 4" (100 mm) + fitting &amp; aksesoris</t>
  </si>
  <si>
    <t>Pemasangan 1 m Pipa Galvanis MED CLASS, DN. 5" (125 mm)</t>
  </si>
  <si>
    <t>Pipa galvanis MED CLASS ; DN. 5" (125 mm) + fitting &amp; aksesoris</t>
  </si>
  <si>
    <t>Pemasangan 1 m Pipa Galvanis MED CLASS, DN. 6" (150 mm)</t>
  </si>
  <si>
    <t>Pipa galvanis MED CLASS ; DN. 6" (150 mm) + fitting &amp; aksesoris</t>
  </si>
  <si>
    <t>Pemasangan 1 m Pipa Galvanis MED CLASS, DN. 8" (200 mm)</t>
  </si>
  <si>
    <t>Pipa galvanis MED CLASS ; DN. 8" (200 mm) + fitting &amp; aksesoris</t>
  </si>
  <si>
    <t>Pemasangan 1 m Pipa Galvanis MED CLASS, DN. 10" (250 mm)</t>
  </si>
  <si>
    <t>Pipa galvanis MED CLASS ; DN. 10" (250 mm) + fitting &amp; aksesoris</t>
  </si>
  <si>
    <t>Pemasangan 1 m Pipa Galvanis MED CLASS, DN. 12" (300 mm)</t>
  </si>
  <si>
    <t>Pipa galvanis MED CLASS ; DN. 12" (300 mm) + fitting &amp; aksesoris</t>
  </si>
  <si>
    <t>Pemasangan 1 m Pipa Galvanis MED CLASS, DN. 14" (350 mm)</t>
  </si>
  <si>
    <t>Pipa galvanis MED CLASS ; DN. 14" (350 mm) + fitting &amp; aksesoris</t>
  </si>
  <si>
    <t>Pemasangan 1 m Pipa Galvanis MED CLASS, DN. 16" (400 mm)</t>
  </si>
  <si>
    <t>Pipa galvanis MED CLASS ; DN. 16" (400 mm) + fitting &amp; aksesoris</t>
  </si>
  <si>
    <t>Pemasangan 1 m Pipa Galvanis SCH 40, DN. 1/2" (15 mm)</t>
  </si>
  <si>
    <t>Pipa galvanis SCH 40 ; DN. 1/2" (15 mm) + fitting &amp; aksesoris</t>
  </si>
  <si>
    <t>Pemasangan 1 m Pipa Galvanis SCH 40, DN. 3/4" (20 mm)</t>
  </si>
  <si>
    <t>Pipa galvanis SCH 40 ; DN. 3/4" (20 mm) + fitting &amp; aksesoris</t>
  </si>
  <si>
    <t>Pemasangan 1 m Pipa Galvanis SCH 40, DN. 1" (25 mm)</t>
  </si>
  <si>
    <t>Pipa galvanis SCH 40 ; DN. 1" (25 mm) + fitting &amp; aksesoris</t>
  </si>
  <si>
    <t>Pemasangan 1 m Pipa Galvanis SCH 40, DN. 1-1/4" (32 mm)</t>
  </si>
  <si>
    <t>Pipa galvanis SCH 40 ; DN. 1-1/4" (32 mm) + fitting &amp; aksesoris</t>
  </si>
  <si>
    <t>Pemasangan 1 m Pipa Galvanis SCH 40, DN. 1-1/2" (40 mm)</t>
  </si>
  <si>
    <t>Pipa galvanis SCH 40 ; DN. 1-1/2" (40 mm) + fitting &amp; aksesoris</t>
  </si>
  <si>
    <t>Pemasangan 1 m Pipa Galvanis SCH 40, DN. 2" (50 mm)</t>
  </si>
  <si>
    <t>Pipa galvanis SCH 40 ; DN. 2" (50 mm) + fitting &amp; aksesoris</t>
  </si>
  <si>
    <t>Pemasangan 1 m Pipa Galvanis SCH 40, DN. 2-1/2" (65 mm)</t>
  </si>
  <si>
    <t>Pipa galvanis SCH 40 ; DN. 2-1/2" (65 mm) + fitting &amp; aksesoris</t>
  </si>
  <si>
    <t>Pemasangan 1 m Pipa Galvanis SCH 40, DN. 3" (80 mm)</t>
  </si>
  <si>
    <t>Pipa galvanis SCH 40 ; DN. 3" (80 mm) + fitting &amp; aksesoris</t>
  </si>
  <si>
    <t>Pipa galvanis SCH 40 ; DN. 4" (100 mm) + fitting &amp; aksesoris</t>
  </si>
  <si>
    <t>Pemasangan 1 m Pipa Galvanis SCH 40, DN. 5" (125 mm)</t>
  </si>
  <si>
    <t>Pemasangan 1 m Pipa Galvanis SCH 40, DN. 4" (100 mm)</t>
  </si>
  <si>
    <t>Pipa galvanis SCH 40 ; DN. 5" (125 mm) + fitting &amp; aksesoris</t>
  </si>
  <si>
    <t>Pemasangan 1 m Pipa Galvanis SCH 40, DN. 6" (150 mm)</t>
  </si>
  <si>
    <t>Pipa galvanis SCH 40 ; DN. 6" (150 mm) + fitting &amp; aksesoris</t>
  </si>
  <si>
    <t>Pemasangan 1 m Pipa Galvanis SCH 40, DN. 8" (200 mm)</t>
  </si>
  <si>
    <t>Pipa galvanis SCH 40 ; DN. 8" (200 mm) + fitting &amp; aksesoris</t>
  </si>
  <si>
    <t>Pemasangan 1 m Pipa Galvanis SCH 40, DN. 10" (250 mm</t>
  </si>
  <si>
    <t>Pipa galvanis SCH 40 ; DN. 10" (250 mm) + fitting &amp; aksesoris</t>
  </si>
  <si>
    <t>Pemasangan 1 m Pipa Galvanis SCH 40, DN. 12" (300 mm)</t>
  </si>
  <si>
    <t>Pipa galvanis SCH 40 ; DN. 12" (300 mm) + fitting &amp; aksesoris</t>
  </si>
  <si>
    <t>Pemasangan 1 m Pipa Galvanis SCH 40, DN. 14" (350 mm)</t>
  </si>
  <si>
    <t>Pipa galvanis SCH 40 ; DN. 14" (350 mm) + fitting &amp; aksesoris</t>
  </si>
  <si>
    <t>Pemasangan 1 m Pipa Galvanis SCH 40, DN. 16" (400 mm)</t>
  </si>
  <si>
    <t>Pipa galvanis SCH 40 ; DN. 16" (400 mm) + fitting &amp; aksesoris</t>
  </si>
  <si>
    <t>Pemasangan 1 m pipa PPR PN 10, DN. 1/2" (15 mm)</t>
  </si>
  <si>
    <t>Pipa PPR PN 10 ; DN. 1/2" (15 mm) + fitting &amp; aksesoris</t>
  </si>
  <si>
    <t>Pemasangan 1 m pipa PPR PN 10, DN. 3/4" (20 mm)</t>
  </si>
  <si>
    <t>Pipa PPR PN 10 ; DN. 3/4" (20 mm) + fitting &amp; aksesoris</t>
  </si>
  <si>
    <t>Pemasangan 1 m pipa PPR PN 10, DN. 1" (25 mm)</t>
  </si>
  <si>
    <t>Pipa PPR PN 10 ; DN. 1" (25 mm) + fitting &amp; aksesoris</t>
  </si>
  <si>
    <t>Pemasangan 1 m pipa PPR PN 10, DN. 1-1/4" (32 mm)</t>
  </si>
  <si>
    <t>Pipa PPR PN 10 ; DN. 1-1/4" (32 mm) + fitting &amp; aksesoris</t>
  </si>
  <si>
    <t>Pemasangan 1 m pipa PPR PN 10, DN. 1-1/2" (40 mm)</t>
  </si>
  <si>
    <t>Pipa PPR PN 10 ; DN. 1-1/2" (40 mm) + fitting &amp; aksesoris</t>
  </si>
  <si>
    <t>Pemasangan 1 m pipa PPR PN 10, DN. 2" (50 mm)</t>
  </si>
  <si>
    <t>Pipa PPR PN 10 ; DN. 2" (50 mm) + fitting &amp; aksesoris</t>
  </si>
  <si>
    <t>Pemasangan 1 m pipa PPR PN 10, DN. 2-1/2" (65 mm)</t>
  </si>
  <si>
    <t>Pipa PPR PN 10 ; DN. 2-1/2" (65 mm) + fitting &amp; aksesoris</t>
  </si>
  <si>
    <t>Pemasangan 1 m pipa PPR PN 10, DN. 3" (80 mm)</t>
  </si>
  <si>
    <t>Pipa PPR PN 10 ; DN. 3" (80 mm) + fitting &amp; aksesoris</t>
  </si>
  <si>
    <t>Pemasangan 1 m pipa PPR PN 10, DN. 4" (100 mm)</t>
  </si>
  <si>
    <t>Pipa PPR PN 10 ; DN. 4" (100 mm) + fitting &amp; aksesoris</t>
  </si>
  <si>
    <t>Pemasangan 1 m pipa PPR PN 10, DN. 6" (150 mm)</t>
  </si>
  <si>
    <t>Pipa PPR PN 10 ; DN. 6" (150 mm) + fitting &amp; aksesoris</t>
  </si>
  <si>
    <t>Pemasangan 1 m pipa PPR PN 20, DN. 1/2" (15 mm)</t>
  </si>
  <si>
    <t>Pipa PPR PN 20 ; DN. 1/2" (15 mm) + fitting &amp; aksesoris</t>
  </si>
  <si>
    <t>Pemasangan 1 m pipa PPR PN 20, DN. 3/4" (20 mm)</t>
  </si>
  <si>
    <t>Pipa PPR PN 20 ; DN. 3/4" (20 mm) + fitting &amp; aksesoris</t>
  </si>
  <si>
    <t>Pemasangan 1 m pipa PPR PN 20, DN. 1" (25 mm)</t>
  </si>
  <si>
    <t>Pipa PPR PN 20 ; DN. 1" (25 mm) + fitting &amp; aksesoris</t>
  </si>
  <si>
    <t>Pemasangan 1 m pipa PPR PN 20, DN. 1-1/4" (32 mm)</t>
  </si>
  <si>
    <t>Pipa PPR PN 20 ; DN. 1-1/4" (32 mm) + fitting &amp; aksesoris</t>
  </si>
  <si>
    <t>Pemasangan 1 m pipa PPR PN 20, DN. 1-1/2" (40 mm)</t>
  </si>
  <si>
    <t>Pipa PPR PN 20 ; DN. 1-1/2" (40 mm) + fitting &amp; aksesoris</t>
  </si>
  <si>
    <t>Pemasangan 1 m pipa PPR PN 20, DN. 2" (50 mm)</t>
  </si>
  <si>
    <t>Pipa PPR PN 20 ; DN. 2" (50 mm) + fitting &amp; aksesoris</t>
  </si>
  <si>
    <t>Pemasangan 1 m pipa PPR PN 20, DN. 2-1/2" (65 mm)</t>
  </si>
  <si>
    <t>Pipa PPR PN 20 ; DN. 2-1/2" (65 mm) + fitting &amp; aksesoris</t>
  </si>
  <si>
    <t>Pemasangan 1 m pipa PPR PN 20, DN. 3" (80 mm)</t>
  </si>
  <si>
    <t>Pipa PPR PN 20 ; DN. 3" (80 mm) + fitting &amp; aksesoris</t>
  </si>
  <si>
    <t>Pemasangan 1 m pipa PPR PN 20, DN. 4" (100 mm)</t>
  </si>
  <si>
    <t>Pipa PPR PN 20 ; DN. 4" (100 mm) + fitting &amp; aksesoris</t>
  </si>
  <si>
    <t>Pemasangan 1 m pipa PPR PN 20, DN. 6" (150 mm)</t>
  </si>
  <si>
    <t>Pipa PPR PN 20 ; DN. 6" (150 mm) + fitting &amp; akseso</t>
  </si>
  <si>
    <t>Pemasangan 1 m pipa BS MED CLASS, DN. 1/2" (15 mm)</t>
  </si>
  <si>
    <t>Pipa BS MED CLASS ; DN. 1/2" (15 mm) + fitting &amp; aksesoris</t>
  </si>
  <si>
    <t>Pemasangan 1 m pipa BS MED CLASS, DN. 3/4" (20 mm)</t>
  </si>
  <si>
    <t>Pipa BS MED CLASS ; DN. 3/4" (20 mm) + fitting &amp; aksesoris</t>
  </si>
  <si>
    <t>Pemasangan 1 m pipa BS MED CLASS, DN. 1" (25 mm)</t>
  </si>
  <si>
    <t>Pipa BS MED CLASS ; DN. 1" (25 mm) + fitting &amp; aksesoris</t>
  </si>
  <si>
    <t>Pemasangan 1 m pipa BS MED CLASS, DN. 1-1/4" (32 mm)</t>
  </si>
  <si>
    <t>Pipa BS MED CLASS DN. 1-1/4" (32 mm) + fitting &amp; aksesoris</t>
  </si>
  <si>
    <t>Pemasangan 1 m pipa BS MED CLASS, DN. 1-1/2" (40 mm)</t>
  </si>
  <si>
    <t>Pipa BS MED CLASS DN. 1-1/2" (40 mm) + fitting &amp; aksesoris</t>
  </si>
  <si>
    <t>Pemasangan 1 m pipa BS MED CLASS, DN. 2" (50 mm)</t>
  </si>
  <si>
    <t>Pipa BS MED CLASS ; DN. 2" (50 mm) + fitting &amp; aksesoris</t>
  </si>
  <si>
    <t>Pemasangan 1 m pipa BS MED CLASS, DN. 2-1/2" (65 mm)</t>
  </si>
  <si>
    <t>Pipa BS MED CLASS DN. 2-1/2" (65 mm) + fitting &amp; aksesoris</t>
  </si>
  <si>
    <t>Pemasangan 1 m pipa BS MED CLASS, DN. 3" (80 mm)</t>
  </si>
  <si>
    <t>Pipa BS MED CLASS ; DN. 3" (80 mm) + fitting &amp; aksesoris</t>
  </si>
  <si>
    <t>Pemasangan 1 m pipa BS MED CLASS, DN. 4" (100 mm)</t>
  </si>
  <si>
    <t>Pipa BS MED CLASS ; DN. 4" (100 mm) + fitting &amp; aksesoris</t>
  </si>
  <si>
    <t>Pemasangan 1 m pipa BS MED CLASS, DN. 5" (125 mm)</t>
  </si>
  <si>
    <t>Pipa BS MED CLASS ; DN. 5" (125 mm) + fitting &amp; aksesoris</t>
  </si>
  <si>
    <t>Pemasangan 1 m pipa BS MED CLASS, DN. 6" (150 mm)</t>
  </si>
  <si>
    <t>Pipa BS MED CLASS ; DN. 6" (150 mm) + fitting &amp; aksesoris</t>
  </si>
  <si>
    <t>Pemasangan 1 m pipa BS MED CLASS, DN. 8" (200 mm)</t>
  </si>
  <si>
    <t>Pipa BS MED CLASS ; DN. 8" (200 mm) + fitting &amp; aksesoris</t>
  </si>
  <si>
    <t>Pemasangan 1 m pipa BS MED CLASS, DN. 10" (250 mm)</t>
  </si>
  <si>
    <t>Pipa BS MED CLASS ; DN. 10" (250 mm) + fitting &amp; aksesoris</t>
  </si>
  <si>
    <t>Pemasangan 1 m pipa BS MED CLASS, DN. 12" (300 mm)</t>
  </si>
  <si>
    <t>Pipa BS MED CLASS ; DN. 12" (300 mm) + fitting &amp; aksesoris</t>
  </si>
  <si>
    <t>Pemasangan 1 m pipa BS MED CLASS, DN. 14" (350 mm)</t>
  </si>
  <si>
    <t>Pipa BS MED CLASS ; DN. 14" (350 mm) + fitting &amp; aksesoris</t>
  </si>
  <si>
    <t>Pemasangan 1 m pipa BS MED CLASS, DN. 16" (400 mm)</t>
  </si>
  <si>
    <t>Pipa BS MED CLASS ; DN. 16" (400 mm) + fitting &amp; aksesoris</t>
  </si>
  <si>
    <t>6.4.4.17</t>
  </si>
  <si>
    <t>Pemasangan 1 m pipa BS SCH 40, DN. 1/2" (15 mm)</t>
  </si>
  <si>
    <t>Pipa BS SCH 40 ; DN. 1/2" (15 mm) + fitting &amp; aksesoris</t>
  </si>
  <si>
    <t>6.4.4.18</t>
  </si>
  <si>
    <t>Pemasangan 1 m pipa BS SCH 40, DN. 3/4" (20 mm)</t>
  </si>
  <si>
    <t>Pipa BS SCH 40 ; DN. 3/4" (20 mm) + fitting &amp; aksesoris</t>
  </si>
  <si>
    <t>6.4.4.19</t>
  </si>
  <si>
    <t>Pemasangan 1 m pipa BS SCH 40, DN. 1" (25 mm)</t>
  </si>
  <si>
    <t>6.4.4.20</t>
  </si>
  <si>
    <t>Pemasangan 1 m pipa BS SCH 40, DN. 1-1/4" (32 mm)</t>
  </si>
  <si>
    <t>Pipa BS SCH 40 ; DN. 1-1/4" (32 mm) + fitting &amp; aksesoris</t>
  </si>
  <si>
    <t>6.4.4.21</t>
  </si>
  <si>
    <t>Pemasangan 1 m pipa BS SCH 40, DN. 1-1/2" (40 mm)</t>
  </si>
  <si>
    <t>Pipa BS SCH 40 ; DN. 1-1/2" (40 mm) + fitting &amp; aksesoris</t>
  </si>
  <si>
    <t>6.4.4.22</t>
  </si>
  <si>
    <t>Pemasangan 1 m pipa BS SCH 40, DN. 2" (50 mm)</t>
  </si>
  <si>
    <t>Pipa BS SCH 40 ; DN. 2" (50 mm) + fitting &amp; aksesoris</t>
  </si>
  <si>
    <t>6.4.4.23</t>
  </si>
  <si>
    <t>Pemasangan 1 m pipa BS SCH 40, DN. 2-1/2" (65 mm)</t>
  </si>
  <si>
    <t>Pipa BS SCH 40 ; DN. 2-1/2" (65 mm) + fitting &amp; aksesoris</t>
  </si>
  <si>
    <t>6.4.4.24</t>
  </si>
  <si>
    <t>Pemasangan 1 m pipa BS SCH 40, DN. 3" (80 mm)</t>
  </si>
  <si>
    <t>Pipa BS SCH 40 ; DN. 3" (80 mm) + fitting &amp; aksesoris</t>
  </si>
  <si>
    <t>6.4.4.25</t>
  </si>
  <si>
    <t>Pemasangan 1 m pipa BS SCH 40, DN. 4" (100 mm)</t>
  </si>
  <si>
    <t>Pipa BS SCH 40 ; DN. 4" (100 mm) + fitting &amp; aksesoris</t>
  </si>
  <si>
    <t>6.4.4.26</t>
  </si>
  <si>
    <t>Pemasangan 1 m pipa BS SCH 40, DN. 5" (125 mm)</t>
  </si>
  <si>
    <t>Pipa BS SCH 40 ; DN. 5" (125 mm) + fitting &amp; aksesoris</t>
  </si>
  <si>
    <t>6.4.4.27</t>
  </si>
  <si>
    <t>Pemasangan 1 m pipa BS SCH 40, DN. 6" (150 mm)</t>
  </si>
  <si>
    <t>Pipa BS SCH 40 ; DN. 6" (150 mm) + fitting &amp; aksesoris</t>
  </si>
  <si>
    <t>6.4.4.28</t>
  </si>
  <si>
    <t>Pemasangan 1 m pipa BS SCH 40, DN. 8" (200 mm)</t>
  </si>
  <si>
    <t>Pipa BS SCH 40 ; DN. 8" (200 mm) + fitting &amp; aksesoris</t>
  </si>
  <si>
    <t>6.4.4.29</t>
  </si>
  <si>
    <t>Pemasangan 1 m pipa BS SCH 40, DN. 10" (250 mm)</t>
  </si>
  <si>
    <t>Pipa BS SCH 40 ; DN. 10" (250 mm) + fitting &amp; aksesoris</t>
  </si>
  <si>
    <t>6.4.4.30</t>
  </si>
  <si>
    <t>Pemasangan 1 m pipa BS SCH 40, DN. 12" (300 mm)</t>
  </si>
  <si>
    <t>Pipa BS SCH 40 ; DN. 12" (300 mm) + fitting &amp; aksesoris</t>
  </si>
  <si>
    <t>6.4.4.31</t>
  </si>
  <si>
    <t>Pemasangan 1 m pipa BS SCH 40, DN. 14" (350 mm)</t>
  </si>
  <si>
    <t>Pipa BS SCH 40 ; DN. 14" (350 mm) + fitting &amp; aksesoris</t>
  </si>
  <si>
    <t>6.4.4.32</t>
  </si>
  <si>
    <t>Pemasangan 1 m pipa BS SCH 40, DN. 16" (400 mm)</t>
  </si>
  <si>
    <t>Pipa BS SCH 40 ; DN. 16" (400 mm) + fitting &amp; aksesoris</t>
  </si>
  <si>
    <t>Pemasangan 1 m’ Pipa Air Limbah Jenis Pipa Tanah, DN. 6" (150 mm)</t>
  </si>
  <si>
    <t>Pipa Tanah, DN. 6" (150 mm</t>
  </si>
  <si>
    <t>Pemasangan 1 m’ Pipa Air Limbah Jenis Pipa Tanah, DN. 8" (200 mm)</t>
  </si>
  <si>
    <t>Perubahan judul dan diameter (dia.) jadi Diameter Nominal (DN)</t>
  </si>
  <si>
    <t>Pipa Tanah, DN. 8" (200 mm)</t>
  </si>
  <si>
    <t xml:space="preserve">6.4.6 </t>
  </si>
  <si>
    <t>Pipa DCI (Ductile Cast Iron)</t>
  </si>
  <si>
    <r>
      <t>Pemasangan 1 buah gate velve</t>
    </r>
    <r>
      <rPr>
        <b/>
        <i/>
        <u/>
        <sz val="11"/>
        <color rgb="FF000000"/>
        <rFont val="Arial"/>
        <family val="2"/>
      </rPr>
      <t xml:space="preserve"> (10,16,20) </t>
    </r>
    <r>
      <rPr>
        <b/>
        <sz val="11"/>
        <color rgb="FF000000"/>
        <rFont val="Arial"/>
        <family val="2"/>
      </rPr>
      <t>K, dia. 1/2" (15 mm)</t>
    </r>
  </si>
  <si>
    <r>
      <t xml:space="preserve">Pemasangan 1 buah gate velve </t>
    </r>
    <r>
      <rPr>
        <b/>
        <i/>
        <u/>
        <sz val="11"/>
        <color rgb="FF000000"/>
        <rFont val="Arial"/>
        <family val="2"/>
      </rPr>
      <t>(10, 16) K</t>
    </r>
    <r>
      <rPr>
        <b/>
        <sz val="11"/>
        <color rgb="FF000000"/>
        <rFont val="Arial"/>
        <family val="2"/>
      </rPr>
      <t>, dia. 3/4" (20 mm)</t>
    </r>
  </si>
  <si>
    <t xml:space="preserve">6.5.2 </t>
  </si>
  <si>
    <t xml:space="preserve">6.5.8 </t>
  </si>
  <si>
    <t>6.5.12.</t>
  </si>
  <si>
    <t xml:space="preserve">6.5.13 </t>
  </si>
  <si>
    <t xml:space="preserve">6.5.14 </t>
  </si>
  <si>
    <t xml:space="preserve">6.5.17 </t>
  </si>
  <si>
    <t>Pemasangan 1 m Pipa PVC, DN. 2-1/2" (65 mm)</t>
  </si>
  <si>
    <t>Perubahan Diameter (Dia.) jadi Diameter Nominal (DN)</t>
  </si>
  <si>
    <t>Pipa PVC, DN. 2-1/2"
(65 mm)</t>
  </si>
  <si>
    <t>Pemasangan 1 m Pipa PVC, DN. 3" (80 mm)</t>
  </si>
  <si>
    <t>Perubahan diameter 90mm menjadi DN. 3" ( 80 MM)</t>
  </si>
  <si>
    <t>Pipa PVC, DN. 3" (80
mm)</t>
  </si>
  <si>
    <t>Pemasangan 1 m Pipa PVC, DN. 4" (100 mm)</t>
  </si>
  <si>
    <t>Perubahan dia meter 110 cm menjadi DN. 4" ( 100 mm)</t>
  </si>
  <si>
    <t>Pemasangan 1 m Pipa PVC, DN. 6" (150 mm)</t>
  </si>
  <si>
    <t>Perubahan dia meter 150 mm menjadi D. 6" ( 150 mm)</t>
  </si>
  <si>
    <t>Pipa PVC, DN. 6" (150
mm)</t>
  </si>
  <si>
    <t>Pipa PVC, DN. 4" (100
mm)</t>
  </si>
  <si>
    <t>Pemasangan 1 m Pipa PVC, DN. 8" (200 mm)</t>
  </si>
  <si>
    <t>Pipa PVC, DN. 8" (200
mm)</t>
  </si>
  <si>
    <t>Perubahan diameter (Dia.) jadi Diameter Nominal (DN)</t>
  </si>
  <si>
    <t>Pemasangan 1 m Pipa PVC, DN. 10" (250 mm)</t>
  </si>
  <si>
    <t>Pipa PVC, DN. 10"
(250 mm)</t>
  </si>
  <si>
    <t>Perubahan diameter (Dia.) menjadi Diameter Nominal (DN)</t>
  </si>
  <si>
    <t>Pemasangan 1 m Pipa PVC, DN. 12" (300 mm)</t>
  </si>
  <si>
    <t>Pipa PVC, DN. 12"
(300 mm)</t>
  </si>
  <si>
    <t>Peubahan diameter (dia.) Menjadi Diameter Nominal (DN)</t>
  </si>
  <si>
    <t>Pemasangan 1 m Pipa PVC, DN. 16" (400 mm)</t>
  </si>
  <si>
    <t>Pipa PVC, DN. 16"
(400 mm)</t>
  </si>
  <si>
    <t>Perubahan Diameter (Dia.) Menjadi Diameter Nominal (DN)</t>
  </si>
  <si>
    <t>Pemasangan 1 m Pipa PVC, DN. 18" (450 mm)</t>
  </si>
  <si>
    <t>Pipa PVC, DN. 18"
(450 mm)</t>
  </si>
  <si>
    <t>Perubahan Diamter (Dia.) Menjadi Diameter Nominal )</t>
  </si>
  <si>
    <t>Pemasangan 1 m Pipa PVC, DN. 20" (500 mm)</t>
  </si>
  <si>
    <t>Pipa PVC, DN. 20"
(500 mm)</t>
  </si>
  <si>
    <t>Pemasangan 1 m Pipa PVC, DN. 24" (600 mm)</t>
  </si>
  <si>
    <t>Pipa PVC, DN. 24"
(600 mm)</t>
  </si>
  <si>
    <t>Pemasangan 1 m Pipa PVC, DN. 32" (800 mm)</t>
  </si>
  <si>
    <t>Pipa PVC, DN. 32"
(800 mm</t>
  </si>
  <si>
    <t>Pemasangan 1 m Pipa PVC, DN. 36" (900 mm)</t>
  </si>
  <si>
    <t>Pipa PVC, DN. 36"
(900 mm</t>
  </si>
  <si>
    <t>Pemasangan 1 m Pipa PVC, DN. 40" (1000 mm)</t>
  </si>
  <si>
    <t>Pipa PVC, DN. 40"
(1000 mm)</t>
  </si>
  <si>
    <t>Pemasangan 1 m Pipa PVC, DN. 44" (1100 mm)</t>
  </si>
  <si>
    <t>Pipa PVC, DN. 44"
(1100 mm)</t>
  </si>
  <si>
    <t>Pemasangan 1 m Pipa PVC, DN. 48" (1200 mm)</t>
  </si>
  <si>
    <t>Pipa PVC, DN. 48"
(1200 mm)</t>
  </si>
  <si>
    <t>Pemasangan 1 m Pipa PVC, DN. 1/2" (15 mm)</t>
  </si>
  <si>
    <t>Pipa PVC, DN. 1/2"
(15 mm)</t>
  </si>
  <si>
    <t>Pemasangan 1 m Pipa PVC, DN. 3/4" (20 mm)</t>
  </si>
  <si>
    <t>Pipa PVC, DN. 3/4"
(20 mm)</t>
  </si>
  <si>
    <t>Pemasangan 1 m Pipa PVC, DN. 1" (25 mm)</t>
  </si>
  <si>
    <t>Pipa PVC, DN. 1" (25 mm)</t>
  </si>
  <si>
    <t>Pemasangan 1 m Pipa PVC, DN. 1-1/4" (32 mm)</t>
  </si>
  <si>
    <t>Pipa PVC, DN. 1-1/4"
(32 mm</t>
  </si>
  <si>
    <t>Pemasangan 1 m Pipa PVC, DN. 1-1/2" (40 mm)</t>
  </si>
  <si>
    <t>Pipa PVC, DN. 1-1/2"
(40 mm)</t>
  </si>
  <si>
    <t>Pemasangan 1 m Pipa PVC, DN. 2" (50 mm)</t>
  </si>
  <si>
    <t>Pipa PVC, DN. 2" (50 mm)</t>
  </si>
  <si>
    <t>Pemotongan 1 Buah Pipa PVC, DN. 2-1/2" (65 mm)</t>
  </si>
  <si>
    <t>Pemotongan 1 Buah Pipa PVC, DN. 3" (80 mm)</t>
  </si>
  <si>
    <t>Pemotongan 1 Buah Pipa PVC, DN. 4" (100 mm)</t>
  </si>
  <si>
    <t>Peralatan potong pipa
T1/manual (gergaji) /
saw</t>
  </si>
  <si>
    <t>Pemotongan 1 Buah Pipa PVC, DN. 6" (150 mm)</t>
  </si>
  <si>
    <t>Pemotongan 1 Buah Pipa PVC, DN. 8" (200 mm)</t>
  </si>
  <si>
    <t>Pemotongan 1 Buah Pipa PVC, DN. 10" (250 mm)</t>
  </si>
  <si>
    <t>Pemotongan 1 Buah Pipa PVC, DN. 12" (300 mm)</t>
  </si>
  <si>
    <t>Pemotongan 1 Buah Pipa PVC, DN. 16" (400 mm)</t>
  </si>
  <si>
    <t>Pemotongan 1 Buah Pipa PVC, DN. 18" (450 mm)</t>
  </si>
  <si>
    <t>Pemotongan 1 Buah Pipa PVC, DN. 20" (500 mm)</t>
  </si>
  <si>
    <t>Pemotongan 1 Buah Pipa PVC, DN. 24" (600 mm)</t>
  </si>
  <si>
    <t>Pemotongan 1 Buah Pipa PVC, DN. 32" (800 mm)</t>
  </si>
  <si>
    <t>Pemotongan 1 Buah Pipa PVC, DN. 36" (900 mm)</t>
  </si>
  <si>
    <t>Pemotongan 1 Buah Pipa PVC, DN. 40" (1000 mm)</t>
  </si>
  <si>
    <t>Pemotongan 1 Buah Pipa PVC, DN. 44" (1100 mm)</t>
  </si>
  <si>
    <t>Pemotongan 1 Buah Pipa PVC, DN. 48" (1200 mm)</t>
  </si>
  <si>
    <t>Pemasangan 1 m Pipa Galvanis, DN. 2-1/2" (65 mm)</t>
  </si>
  <si>
    <t>Pipa Galvanis, DN. 2-
1/2" (65 mm)</t>
  </si>
  <si>
    <t>Pemasangan 1 m Pipa Galvanis, DN. 4" (100 mm)</t>
  </si>
  <si>
    <t>Pipa Galvanis, DN. 4"
(100 mm)</t>
  </si>
  <si>
    <t>Pemasangan 1 m Pipa Galvanis, DN. 5" (125 mm)</t>
  </si>
  <si>
    <t>Pipa Galvanis, DN. 5"
(125 mm)</t>
  </si>
  <si>
    <t>Pemasangan 1 m Pipa Galvanis, DN. 6" (150 mm)</t>
  </si>
  <si>
    <t>Pipa Galvanis, DN. 6"
(150 mm)</t>
  </si>
  <si>
    <t>Pemasangan 1 m Pipa Galvanis, DN. 8" (200 mm)</t>
  </si>
  <si>
    <t>Pipa Galvanis, DN. 8"
(200 mm)</t>
  </si>
  <si>
    <t>Pemasangan 1 m Pipa Galvanis, DN.10" (250 mm)</t>
  </si>
  <si>
    <t>Pipa Galvanis,
DN.10" (250 mm)</t>
  </si>
  <si>
    <t>Pemasangan 1 m Pipa Galvanis, DN. 12" (300 mm)</t>
  </si>
  <si>
    <t>Pipa Galvanis, DN. 12"
(300 mm</t>
  </si>
  <si>
    <t>Pemasangan 1 m Pipa Galvanis, DN. 16" (400 mm)</t>
  </si>
  <si>
    <t>Pipa Galvanis, DN. 16"
(400 mm)</t>
  </si>
  <si>
    <t>Pemasangan 1 m Pipa Galvanis, DN. 18" (450 mm)</t>
  </si>
  <si>
    <t>Pipa Galvanis, DN. 18"
(450 mm</t>
  </si>
  <si>
    <t>Pemasangan 1 m Pipa Galvanis, DN. 20" (500 mm)</t>
  </si>
  <si>
    <t>Pipa Galvanis, DN. 20"
(500 mm)</t>
  </si>
  <si>
    <t>Pemasangan 1 m Pipa Galvanis, DN. 24" (600 mm)</t>
  </si>
  <si>
    <t>Pipa Galvanis, DN. 24" (600 mm)</t>
  </si>
  <si>
    <t>Pemasangan 1 m Pipa Galvanis, DN. 32" (800 mm)</t>
  </si>
  <si>
    <t>Pipa Galvanis, DN. 32" (800 mm)</t>
  </si>
  <si>
    <t>Pemasangan 1 m Pipa Galvanis, DN. 36" (900 mm)</t>
  </si>
  <si>
    <t>Pipa Galvanis, DN. 36" (900 mm)</t>
  </si>
  <si>
    <t>Pemasangan 1 m Pipa Galvanis, DN. 40" (1000 mm)</t>
  </si>
  <si>
    <t>Pipa Galvanis,
DN. 40" (1000 mm)</t>
  </si>
  <si>
    <t>Pemasangan 1 m Pipa Galvanis, DN. 44" (1100 mm)</t>
  </si>
  <si>
    <t>Pipa Galvanis,
DN. 44" (1100 mm)</t>
  </si>
  <si>
    <t>Pemasangan 1 m Pipa Galvanis, DN. 48" (1200 mm)</t>
  </si>
  <si>
    <t>Pipa Galvanis,
DN. 48" (1200 mm</t>
  </si>
  <si>
    <t>Pemasangan 1 m Pipa Galvanis, DN. 1/2" (15 mm)</t>
  </si>
  <si>
    <t>Pipa Galvanis,
DN. 1/2" (15 mm)</t>
  </si>
  <si>
    <t>Pemasangan 1 m Pipa Galvanis, DN. 3/4" (20 mm)</t>
  </si>
  <si>
    <t>Pipa Galvanis,
DN. 3/4" (20 mm)</t>
  </si>
  <si>
    <t>Pemasangan 1 m Pipa Galvanis, DN. 1" (25 mm)</t>
  </si>
  <si>
    <t>Pipa Galvanis, DN. 1"
(25 mm)</t>
  </si>
  <si>
    <t>Pemasangan 1 m Pipa Galvanis, DN. 1-1/4" (32 mm)</t>
  </si>
  <si>
    <t>Pipa Galvanis,
DN. 1-1/4" (32 mm)</t>
  </si>
  <si>
    <t>Pemasangan 1 m Pipa Galvanis, DN. 1-1/2" (40 mm)</t>
  </si>
  <si>
    <t>Pipa Galvanis,
DN. 1-1/2" (40 mm)</t>
  </si>
  <si>
    <t>Pemasangan 1 m Pipa Galvanis, DN. 2" (50 mm)</t>
  </si>
  <si>
    <t>Pipa Galvanis, DN. 2"
(50 mm</t>
  </si>
  <si>
    <t>Pemotongan 1 Buah Pipa Galvanis, DN. 2-1/2" (65 mm)</t>
  </si>
  <si>
    <t>Peralatan potong pipa
T2/mekanik / cilinder saw</t>
  </si>
  <si>
    <t>Pemotongan 1 Buah Pipa Galvanis, DN. 4" (100 mm)</t>
  </si>
  <si>
    <t>Pemotongan 1 Buah Pipa Galvanis, DN. 5" (125 mm)</t>
  </si>
  <si>
    <t>Pemotongan 1 Buah Pipa Galvanis, DN. 6" (150 mm)</t>
  </si>
  <si>
    <t>Pemotongan 1 Buah Pipa Galvanis, DN. 8" (200 mm)</t>
  </si>
  <si>
    <t>Pemotongan 1 Buah Pipa Galvanis, DN.10" (250 mm)</t>
  </si>
  <si>
    <t>Pemotongan 1 Buah Pipa Galvanis, DN. 12" (300 mm)</t>
  </si>
  <si>
    <t>Pemotongan 1 Buah Pipa Galvanis, DN. 16" (400 mm)</t>
  </si>
  <si>
    <t>Pemotongan 1 Buah Pipa Galvanis, DN. 18" (450 mm)</t>
  </si>
  <si>
    <t>Pemotongan 1 Buah Pipa Galvanis, DN. 20" (500 mm)</t>
  </si>
  <si>
    <t>Pemotongan 1 Buah Pipa Galvanis, DN. 24" (600 mm)</t>
  </si>
  <si>
    <t>Pemotongan 1 Buah Pipa Galvanis, DN. 32" (800 mm)</t>
  </si>
  <si>
    <t>Pemotongan 1 Buah Pipa Galvanis, DN. 36" (900 mm)</t>
  </si>
  <si>
    <t>Pemotongan 1 Buah Pipa Galvanis, DN. 40" (1000 mm)</t>
  </si>
  <si>
    <t>Pemotongan 1 Buah Pipa Galvanis, DN. 44" (1100 mm)</t>
  </si>
  <si>
    <t>Pemotongan 1 Buah Pipa Galvanis, DN. 48" (1200 mm)</t>
  </si>
  <si>
    <t>Pemasangan 1 m Pipa HDPE, DN. 2-1/2" (65 mm)</t>
  </si>
  <si>
    <t>Pipa HDPE, DN. 2-1/2"
(65 mm)</t>
  </si>
  <si>
    <t>Pemasangan 1 m Pipa HDPE, DN. 4" (100 mm)</t>
  </si>
  <si>
    <t>Pipa HDPE, DN. 4"
(100 mm)</t>
  </si>
  <si>
    <t>Pemasangan 1 m Pipa HDPE, DN. 5" (125 mm)</t>
  </si>
  <si>
    <t>Pipa HDPE, DN. 5"
(125 mm)</t>
  </si>
  <si>
    <t>Pemasangan 1 m Pipa HDPE, DN. 6" (150 mm)</t>
  </si>
  <si>
    <t>Pipa HDPE, DN. 6"
(150 mm</t>
  </si>
  <si>
    <t>Pemasangan 1 m Pipa HDPE, DN. 8" (200 mm)</t>
  </si>
  <si>
    <t>Pipa HDPE, DN.10"
(250 mm)</t>
  </si>
  <si>
    <t>Pipa HDPE, DN. 8"
(200 mm)</t>
  </si>
  <si>
    <t>Pemasangan 1 m Pipa HDPE, DN.10" (250 mm)</t>
  </si>
  <si>
    <t>Pemasangan 1 m Pipa HDPE, DN. 12" (300 mm)</t>
  </si>
  <si>
    <t>Pipa HDPE, DN. 12"
(300 mm</t>
  </si>
  <si>
    <t>Pemasangan 1 m Pipa HDPE, DN. 16" (400 mm)</t>
  </si>
  <si>
    <t>Pipa HDPE, DN. 16"
(400 mm)</t>
  </si>
  <si>
    <t>Pemasangan 1 m Pipa HDPE, DN. 18" (450 mm)</t>
  </si>
  <si>
    <t>Pipa HDPE, DN. 18"
(450 mm)</t>
  </si>
  <si>
    <t>Pemasangan 1 m Pipa HDPE, DN. 20" (500 mm)</t>
  </si>
  <si>
    <t>Pipa HDPE, DN. 20"
(500 mm)</t>
  </si>
  <si>
    <t>Pemasangan 1 m Pipa HDPE, DN. 24" (600 mm)</t>
  </si>
  <si>
    <t>Pipa HDPE, DN. 24"
(600 mm</t>
  </si>
  <si>
    <t>Pemasangan 1 m Pipa HDPE, DN. 32" (800 mm)</t>
  </si>
  <si>
    <t>Pipa HDPE, DN. 32"
(800 mm)</t>
  </si>
  <si>
    <t>Pemasangan 1 m Pipa HDPE, DN. 36" (900 mm)</t>
  </si>
  <si>
    <t>Pipa HDPE, DN. 36"
(900 mm)</t>
  </si>
  <si>
    <t>Pemasangan 1 m Pipa HDPE, DN. 40" (1000 mm)</t>
  </si>
  <si>
    <t>Pipa HDPE, DN. 40"
(1000 mm)</t>
  </si>
  <si>
    <t>Pemasangan 1 m Pipa HDPE, DN. 44" (1100 mm)</t>
  </si>
  <si>
    <t>Pipa HDPE, DN. 44"
(1100 mm)</t>
  </si>
  <si>
    <t>Pemasangan 1 m Pipa HDPE, DN. 48" (1200 mm)</t>
  </si>
  <si>
    <t>Pipa HDPE, DN. 48"
(1200 mm)</t>
  </si>
  <si>
    <t>Pemasangan 1 m Pipa HDPE, DN. 1/2" (15 mm)</t>
  </si>
  <si>
    <t>Pipa HDPE, DN. 1/2"
(15 mm)</t>
  </si>
  <si>
    <t>Pemasangan 1 m Pipa HDPE, DN. 3/4" (20 mm)</t>
  </si>
  <si>
    <t>Pipa HDPE, DN. 3/4"
(20 mm)</t>
  </si>
  <si>
    <t>Pemasangan 1 m Pipa HDPE, DN. 1" (25 mm)</t>
  </si>
  <si>
    <t>Pipa HDPE, DN. 1"
(25 mm)</t>
  </si>
  <si>
    <t>Pemasangan 1 m Pipa HDPE, DN. 1-1/4" (32 mm)</t>
  </si>
  <si>
    <t>Pipa HDPE,
DN. 1-1/4" (32 mm)</t>
  </si>
  <si>
    <t>Pemasangan 1 m Pipa HDPE, DN. 1-1/2" (40 mm)</t>
  </si>
  <si>
    <t>Pipa HDPE,
DN. 1-1/2" (40 mm)</t>
  </si>
  <si>
    <t>Pemasangan 1 m Pipa HDPE, DN. 2" (50 mm)</t>
  </si>
  <si>
    <t>Pipa HDPE, DN. 2"
(50 mm)</t>
  </si>
  <si>
    <t>Pemotongan 1 Buah Pipa HDPE, DN. 2-1/2" (65 mm)</t>
  </si>
  <si>
    <t>Pemotongan 1 Buah Pipa HDPE, DN. 4" (100 mm)</t>
  </si>
  <si>
    <t>Pemotongan 1 Buah Pipa HDPE, DN. 5" (125 mm)</t>
  </si>
  <si>
    <t>Pemotongan 1 Buah Pipa HDPE, DN. 6" (150 mm)</t>
  </si>
  <si>
    <t>Pemotongan 1 Buah Pipa HDPE, DN. 8" (200 mm)</t>
  </si>
  <si>
    <t>Pemotongan 1 Buah Pipa HDPE, DN. 10" (250 mm)</t>
  </si>
  <si>
    <t>Pemotongan 1 Buah Pipa HDPE, DN. 12" (300 mm)</t>
  </si>
  <si>
    <t>Pemotongan 1 Buah Pipa HDPE, DN. 16" (400 mm)</t>
  </si>
  <si>
    <t>Pemotongan 1 Buah Pipa HDPE, DN. 18" (450 mm)</t>
  </si>
  <si>
    <t>Pemotongan 1 Buah Pipa HDPE, DN. 20" (500 mm)</t>
  </si>
  <si>
    <t>Pemotongan 1 Buah Pipa HDPE, DN. 24" (600 mm)</t>
  </si>
  <si>
    <t>Pemotongan 1 Buah Pipa HDPE, DN. 32" (800 mm)</t>
  </si>
  <si>
    <t>Pemotongan 1 Buah Pipa HDPE, DN. 36" (900 mm)</t>
  </si>
  <si>
    <t>Pemotongan 1 Buah Pipa HDPE, DN. 40" (1000 mm)</t>
  </si>
  <si>
    <t>Pemotongan 1 Buah Pipa HDPE, DN. 44" (1100 mm)</t>
  </si>
  <si>
    <t>Pemotongan 1 Buah Pipa HDPE, DN. 48" (1200 mm)</t>
  </si>
  <si>
    <t>PIPA DCI (DUCTILE CAST IRON)</t>
  </si>
  <si>
    <t>Pemasangan 1 m Pipa DCI, DN. 4" (100 mm)</t>
  </si>
  <si>
    <t>Pipa DCI, DN. 4"
(100 mm)</t>
  </si>
  <si>
    <t>Pemasangan 1 m Pipa DCI, DN. 5" (125 mm)</t>
  </si>
  <si>
    <t>Pipa DCI, DN. 5"
(125 mm)</t>
  </si>
  <si>
    <t>Pemasangan 1 m Pipa DCI, DN. 6" (150 mm)</t>
  </si>
  <si>
    <t>Pipa DCI, DN. 6"
(150 mm)</t>
  </si>
  <si>
    <t>Pemasangan 1 m Pipa DCI, DN. 8" (200 mm)</t>
  </si>
  <si>
    <t>Pipa DCI, DN. 8"
(200 mm)</t>
  </si>
  <si>
    <t>Pemasangan 1 m Pipa DCI, DN. 10" (250 mm)</t>
  </si>
  <si>
    <t>Pipa DCI, DN. 10"
(250 mm)</t>
  </si>
  <si>
    <t>Pemasangan 1 m Pipa DCI, DN. 12" (300 mm)</t>
  </si>
  <si>
    <t>Pipa DCI, DN. 12"
(300 mm)</t>
  </si>
  <si>
    <t>Pemasangan 1 m Pipa DCI, DN. 16" (400 mm)</t>
  </si>
  <si>
    <t>Pipa DCI, DN. 16"
(400 mm)</t>
  </si>
  <si>
    <t>Pemasangan 1 m Pipa DCI, DN. 18" (450 mm)</t>
  </si>
  <si>
    <t>Pipa DCI, DN. 18"
(450 mm)</t>
  </si>
  <si>
    <t>Pemasangan 1 m Pipa DCI, DN. 20" (500 mm)</t>
  </si>
  <si>
    <t>Pipa DCI, DN. 20"
(500 mm)</t>
  </si>
  <si>
    <t>Pemasangan 1 m Pipa DCI, DN. 24" (600 mm)</t>
  </si>
  <si>
    <t>Pipa DCI, DN. 24"
(600 mm)</t>
  </si>
  <si>
    <t>Pemasangan 1 m Pipa DCI, DN. 32" (800 mm)</t>
  </si>
  <si>
    <t>Pipa DCI, DN. 32"
(800 mm)</t>
  </si>
  <si>
    <t>Pemasangan 1 m Pipa DCI, DN. 36" (900 mm)</t>
  </si>
  <si>
    <t>Pipa DCI, DN. 36"
(900 mm)</t>
  </si>
  <si>
    <t>Pemasangan 1 m Pipa DCI, DN. 40" (1000 mm)</t>
  </si>
  <si>
    <t>Pipa DCI, DN. 40"
(1000 mm)</t>
  </si>
  <si>
    <t>Pemasangan 1 m Pipa DCI, DN. 44" (1100 mm)</t>
  </si>
  <si>
    <t>Pipa DCI, DN. 44"
(1100 mm)</t>
  </si>
  <si>
    <t>Pemasangan 1 m Pipa DCI, DN. 48" (1200 mm)</t>
  </si>
  <si>
    <t>Pipa DCI, DN. 48"
(1200 mm)</t>
  </si>
  <si>
    <t>Pemotongan 1 Buah Pipa DCI, DN. 4" (100 mm)</t>
  </si>
  <si>
    <t>Pemotongan 1 Buah Pipa DCI, DN. 5" (125 mm)</t>
  </si>
  <si>
    <t>Pemotongan 1 Buah Pipa DCI, DN. 6" (150 mm)</t>
  </si>
  <si>
    <t>Pemotongan 1 Buah Pipa DCI, DN. 8" (200 mm)</t>
  </si>
  <si>
    <t>Pemotongan 1 Buah Pipa DCI, DN. 10" (250 mm)</t>
  </si>
  <si>
    <t>Pemotongan 1 Buah Pipa DCI, DN. 12" (300 mm)</t>
  </si>
  <si>
    <t>Pemotongan 1 Buah Pipa DCI, DN. 16" (400 mm)</t>
  </si>
  <si>
    <t>Pemotongan 1 Buah Pipa DCI, DN. 18" (450 mm)</t>
  </si>
  <si>
    <t xml:space="preserve">Perubahan Diameter (dia.) menjadi Diameter Nominal (DN) dan perubahan Peralatan </t>
  </si>
  <si>
    <t>Pemotongan 1 Buah Pipa DCI, DN. 20" (500 mm)</t>
  </si>
  <si>
    <t>Pemotongan 1 Buah Pipa DCI, DN. 24" (600 mm)</t>
  </si>
  <si>
    <t>Pemotongan 1 Buah Pipa DCI, DN. 32" (800 mm)</t>
  </si>
  <si>
    <t>Pemotongan 1 Buah Pipa DCI, DN. 36" (900 mm)</t>
  </si>
  <si>
    <t>Pemotongan 1 Buah Pipa DCI, DN. 40" (1000 mm)</t>
  </si>
  <si>
    <t>Pemotongan 1 Buah Pipa DCI, DN. 44" (1100 mm)</t>
  </si>
  <si>
    <t>Pemotongan 1 Buah Pipa DCI, DN. 48" (1200 mm)</t>
  </si>
  <si>
    <t>Pemasangan 1 m Pipa Baja Karbon, DN. 2-1/2" (65 mm)</t>
  </si>
  <si>
    <t>Pipa Baja Karbon, DN.
2-1/2" (65 mm)</t>
  </si>
  <si>
    <t>Pemasangan 1 m Pipa Baja Karbon, DN. 4" (100 mm)</t>
  </si>
  <si>
    <t>Pipa Baja Karbon, DN.
4" (100 mm)</t>
  </si>
  <si>
    <t>Pemasangan 1 m Pipa Baja Karbon, DN. 5" (125 mm)</t>
  </si>
  <si>
    <t>Pipa Baja Karbon, DN.
5" (125 mm)</t>
  </si>
  <si>
    <t>Pemasangan 1 m Pipa Baja Karbon, DN. 6" (150 mm)</t>
  </si>
  <si>
    <t>Pipa Baja Karbon, DN.
6" (150 mm)</t>
  </si>
  <si>
    <t>Pemasangan 1 m Pipa Baja Karbon, DN. 8" (200 mm)</t>
  </si>
  <si>
    <t>Pipa Baja Karbon, DN.
8" (200 mm)</t>
  </si>
  <si>
    <t>Pemasangan 1 m Pipa Baja Karbon, DN. 10" (250 mm)</t>
  </si>
  <si>
    <t>Pipa Baja Karbon, DN.
10" (250 mm)</t>
  </si>
  <si>
    <t>Pemasangan 1 m Pipa Baja Karbon, DN. 12" (300 mm)</t>
  </si>
  <si>
    <t>Pipa Baja Karbon, DN.
12" (300 mm)</t>
  </si>
  <si>
    <t>Pemasangan 1 m Pipa Baja Karbon, DN. 16" (400 mm)</t>
  </si>
  <si>
    <t>Pipa Baja Karbon, DN. 16"
(400 mm)</t>
  </si>
  <si>
    <t>Pemasangan 1 m Pipa Baja Karbon, DN. 18" (450 mm)</t>
  </si>
  <si>
    <t>Pipa Baja Karbon, DN. 18"
(450 mm</t>
  </si>
  <si>
    <t>Pemasangan 1 m Pipa Baja Karbon, DN. 20" (500 mm)</t>
  </si>
  <si>
    <t>Pipa Baja Karbon, DN.
20" (500 mm)</t>
  </si>
  <si>
    <t>Pemasangan 1 m Pipa Baja Karbon, DN. 24" (600 mm)</t>
  </si>
  <si>
    <t>Pipa Baja Karbon, DN. 24"
(600 mm)</t>
  </si>
  <si>
    <t>Pemasangan 1 m Pipa Baja Karbon, DN. 32" (800 mm)</t>
  </si>
  <si>
    <t>Pipa Baja Karbon, DN. 32"
(800 mm)</t>
  </si>
  <si>
    <t>Pemasangan 1 m Pipa Baja Karbon, DN. 36" (900 mm)</t>
  </si>
  <si>
    <t>Pipa Baja Karbon, DN. 36"
(900 mm)</t>
  </si>
  <si>
    <t>Pemasangan 1 m Pipa Baja Karbon, DN. 40" (1000 mm)</t>
  </si>
  <si>
    <t>Pipa Baja Karbon, DN. 40"
(1000 mm)</t>
  </si>
  <si>
    <t>Pemasangan 1 m Pipa Baja Karbon, DN. 44" (1100 mm)</t>
  </si>
  <si>
    <t>Pipa Baja Karbon, DN. 44"
(1100 mm)</t>
  </si>
  <si>
    <t>Pemasangan 1 m Pipa Baja Karbon, DN. 48" (1200 mm)</t>
  </si>
  <si>
    <t>Pipa Baja Karbon, DN. 48"
(1200 mm</t>
  </si>
  <si>
    <t>Pemotongan 1 Buah Pipa Baja Karbon, DN. 2-1/2" (65 mm)</t>
  </si>
  <si>
    <t>Pemotongan 1 Buah Pipa Baja Karbon, DN. 4" (100 mm)</t>
  </si>
  <si>
    <t>Pemotongan 1 Buah Pipa Baja Karbon, DN. 5" (125 mm)</t>
  </si>
  <si>
    <t>Pemotongan 1 Buah Pipa Baja Karbon, DN. 6" (150 mm)</t>
  </si>
  <si>
    <t>Pemotongan 1 Buah Pipa Baja Karbon, DN. 8" (200 mm)</t>
  </si>
  <si>
    <t>Pemotongan 1 Buah Pipa Baja Karbon, DN. 10" (250 mm)</t>
  </si>
  <si>
    <t>Pemotongan 1 Buah Pipa Baja Karbon, DN. 12" (300 mm)</t>
  </si>
  <si>
    <t>Pemotongan 1 Buah Pipa Baja Karbon, DN. 16" (400 mm)</t>
  </si>
  <si>
    <t>Pemotongan 1 Buah Pipa Baja Karbon, DN. 18" (450 mm)</t>
  </si>
  <si>
    <t>Pemotongan 1 Buah Pipa Baja Karbon, DN. 20" (500 mm)</t>
  </si>
  <si>
    <t>Pemotongan 1 Buah Pipa Baja Karbon, DN. 24" (600 mm)</t>
  </si>
  <si>
    <t>Pemotongan 1 Buah Pipa Baja Karbon, DN. 32" (800 mm)</t>
  </si>
  <si>
    <t>Pemotongan 1 Buah Pipa Baja Karbon, DN. 36" (900 mm)</t>
  </si>
  <si>
    <t>Pemotongan 1 Buah Pipa Baja Karbon, DN. 40" (1000 mm)</t>
  </si>
  <si>
    <t>Pemotongan 1 Buah Pipa Baja Karbon, DN. 44" (1100 mm)</t>
  </si>
  <si>
    <t>Pemotongan 1 Buah Pipa Baja Karbon, DN. 48" (1200 mm)</t>
  </si>
  <si>
    <t>Pemasangan 1 m Pipa Beton, DN. 8" (200 mm)</t>
  </si>
  <si>
    <t>Pipa Beton, DN. 8" (200 mm)</t>
  </si>
  <si>
    <t>Pemasangan 1 m Pipa Beton, DN. 12" (300 mm)</t>
  </si>
  <si>
    <t>Pipa Beton, DN. 12" (300 mm)</t>
  </si>
  <si>
    <t>Pemasangan 1 m Pipa Beton, DN. 16" (400 mm)</t>
  </si>
  <si>
    <t>Pipa Beton, DN. 16" (400 mm)</t>
  </si>
  <si>
    <t>Pemasangan 1 m Pipa Beton, DN. 20" (500 mm)</t>
  </si>
  <si>
    <t xml:space="preserve">Perubahan Diameter (Dia.) Jadi Diameter Nominal (DN) dan Koefisien Pipa Beton </t>
  </si>
  <si>
    <t>Pipa Beton, DN. 20" (500 mm)</t>
  </si>
  <si>
    <t>Pemasangan 1 m Pipa Beton, DN. 24" (600 mm)</t>
  </si>
  <si>
    <t>Pipa Beton, DN. 24" (600 mm)</t>
  </si>
  <si>
    <t>Pemasangan 1 m Pipa Beton, DN. 28" (700 mm)</t>
  </si>
  <si>
    <t>Pipa Beton, DN. 28" (700 mm)</t>
  </si>
  <si>
    <t>Pemasangan 1 m Pipa Beton, DN. 32" (800 mm)</t>
  </si>
  <si>
    <t>Pipa Beton, DN. 32" (800 mm)</t>
  </si>
  <si>
    <t>Pemasangan 1 m Pipa Beton, DN. 40" (1000 mm)</t>
  </si>
  <si>
    <t>Pipa Beton, DN. 40" (1000 mm)</t>
  </si>
  <si>
    <t>Pemasangan 1 m Pipa Beton, DN. 48" (1200 mm)</t>
  </si>
  <si>
    <t>Pipa Beton, DN. 48" (1200 mm)</t>
  </si>
  <si>
    <t>Penyambungan 1 buah Pipa Baru ke Pipa Yang Ada, DN. 3" (80 mm)</t>
  </si>
  <si>
    <t>Perubahan diameter (dia.) menjadi Diameter Nominal (DN)</t>
  </si>
  <si>
    <t>Penyambungan 1 buah Pipa Baru ke Pipa Yang Ada, DN. 4" (100 mm)</t>
  </si>
  <si>
    <t>Penyambungan 1 buah Pipa Baru ke Pipa Yang Ada, DN. 6" (150 mm)</t>
  </si>
  <si>
    <t>Penyambungan 1 buah Pipa Baru ke Pipa Yang Ada, DN. 8" (200 mm)</t>
  </si>
  <si>
    <t>Penyambungan 1 buah Pipa Baru ke Pipa Yang Ada, DN. 10" (250 mm)</t>
  </si>
  <si>
    <t>Penyambungan 1 buah Pipa Baru ke Pipa Yang Ada, DN. 12" (300 mm)</t>
  </si>
  <si>
    <t>Penyambungan 1 buah Pipa Baru ke Pipa Yang Ada, DN. 16" (400 mm)</t>
  </si>
  <si>
    <t>Penyambungan 1 buah Pipa Baru ke Pipa Yang Ada, DN. 18" (450 mm)</t>
  </si>
  <si>
    <t>Penyambungan 1 buah Pipa Baru ke Pipa Yang Ada, DN. 20" (500 mm)</t>
  </si>
  <si>
    <t>Penyambungan 1 buah Pipa Baru ke Pipa Yang Ada, DN. 24" (600 mm)</t>
  </si>
  <si>
    <t>Penyambungan 1 buah Pipa Baru ke Pipa Yang Ada, DN. 28" (700 mm)</t>
  </si>
  <si>
    <t>Penyambungan 1 buah Pipa Baru ke Pipa Yang Ada, DN. 32" (800 mm)</t>
  </si>
  <si>
    <t>Penyambungan 1 buah Pipa Baru ke Pipa Yang Ada, DN. 1/2" (15 mm)</t>
  </si>
  <si>
    <t>Penyambungan 1 buah Pipa Baru ke Pipa Yang Ada, DN. 3/4" (20 mm)</t>
  </si>
  <si>
    <t>Penyambungan 1 buah Pipa Baru ke Pipa Yang Ada, DN. 1" (25 mm)</t>
  </si>
  <si>
    <t>Penyambungan 1 buah Pipa Baru ke Pipa Yang Ada, DN. 1-1/4" (32 mm)</t>
  </si>
  <si>
    <t>Penyambungan 1 buah Pipa Baru ke Pipa Yang Ada, DN. 1-1/2" (40 mm)</t>
  </si>
  <si>
    <t>Penyambungan 1 buah Pipa Baru ke Pipa Yang Ada, DN. 2" (50 mm)</t>
  </si>
  <si>
    <t>Penyambungan 1 buah Pipa Baru ke Pipa Yang Ada, DN. 2-1/2" (65 mm)</t>
  </si>
  <si>
    <t>Pemasangan 1 Buah Valve Ø 6" (150 mm)</t>
  </si>
  <si>
    <t>Valve Ø 6" (150 mm)</t>
  </si>
  <si>
    <t>Pemasangan 1 Buah Valve Ø 8" (200 mm)</t>
  </si>
  <si>
    <t xml:space="preserve">Perubahan di judul </t>
  </si>
  <si>
    <t>Valve Ø 8" (200 mm)</t>
  </si>
  <si>
    <t>Pemasangan 1 Buah Valve Ø 10" (250 mm)</t>
  </si>
  <si>
    <t>Valve Ø 10" (250 mm)</t>
  </si>
  <si>
    <t>Pemasangan 1 Buah Valve Ø 12" (300 mm)</t>
  </si>
  <si>
    <t>Valve Ø 12" (300 mm)</t>
  </si>
  <si>
    <t>Pemasangan 1 Buah Valve Ø 16" (400 mm)</t>
  </si>
  <si>
    <t>Valve Ø 16" (400 mm)</t>
  </si>
  <si>
    <t>Pemasangan 1 Buah Valve Ø 18" (450 mm)</t>
  </si>
  <si>
    <t>Valve Ø 18" (450 mm)</t>
  </si>
  <si>
    <t>Pemasangan 1 Buah Valve Ø 20" (500 mm)</t>
  </si>
  <si>
    <t>Valve Ø 20" (500 mm)</t>
  </si>
  <si>
    <t>Pemasangan 1 Buah Valve Ø 24" (600 mm)</t>
  </si>
  <si>
    <t>Valve Ø 24" (600 mm)</t>
  </si>
  <si>
    <t>Pemasangan 1 Buah Valve Ø 28" (700 mm)</t>
  </si>
  <si>
    <t>Valve Ø 28" (700 mm)</t>
  </si>
  <si>
    <t>Pemasangan 1 Buah Valve Ø 32" (800 mm)</t>
  </si>
  <si>
    <t>Valve Ø 32" (800 mm)</t>
  </si>
  <si>
    <t>Pemasangan 1 Buah Valve Ø 36" (900 mm)</t>
  </si>
  <si>
    <t>Valve Ø 36" (900 mm)</t>
  </si>
  <si>
    <t>Pemasangan 1 Buah Valve Ø 40" (1000 mm)</t>
  </si>
  <si>
    <t>Valve Ø 40" (1000 mm)</t>
  </si>
  <si>
    <t>Pemasangan 1 Buah Valve Ø 44" (1100 mm)</t>
  </si>
  <si>
    <t>Valve Ø 44" (1100 mm)</t>
  </si>
  <si>
    <t>Pemasangan 1 Buah Valve Ø 48" (1200 mm)</t>
  </si>
  <si>
    <t>Valve Ø 48" (1200 mm)</t>
  </si>
  <si>
    <t>Pemasangan 1 Buah Valve Ø 1/2" (15 mm)</t>
  </si>
  <si>
    <t>Valve Ø 1/2" (15 mm)</t>
  </si>
  <si>
    <t>Pemasangan 1 Buah Valve Ø 3/4" (20 mm)</t>
  </si>
  <si>
    <t>Valve Ø 3/4" (20 mm)</t>
  </si>
  <si>
    <t>Pemasangan 1 Buah Valve Ø 1" (25 mm)</t>
  </si>
  <si>
    <t>Valve Ø 1" (25 mm)</t>
  </si>
  <si>
    <t>Pemasangan 1 Buah Valve Ø 1-1/4" (32 mm)</t>
  </si>
  <si>
    <t>Valve Ø 1-1/4" (32 mm)</t>
  </si>
  <si>
    <t>Pemasangan 1 Buah Valve Ø 1-1/2" (40 mm)</t>
  </si>
  <si>
    <t>Valve Ø 1-1/2" (40 mm)</t>
  </si>
  <si>
    <t>Pemasangan 1 Buah Valve Ø 2" (50 mm)</t>
  </si>
  <si>
    <t>Valve Ø 2" (50 mm)</t>
  </si>
  <si>
    <t>Pemasangan 1 Buah Valve Ø 2-1/2" (65 mm)</t>
  </si>
  <si>
    <t>Valve Ø 2-1/2" (65 mm)</t>
  </si>
  <si>
    <t>Pemasangan 1 Buah Valve Ø 3" (80 mm)</t>
  </si>
  <si>
    <t>Valve Ø 3" (80 mm)</t>
  </si>
  <si>
    <t>Pemasangan 1 Buah Valve Ø 4" (100 mm)</t>
  </si>
  <si>
    <t>Valve Ø 4" (100 mm)</t>
  </si>
  <si>
    <t>Pemasangan 1 Buah Valve Ø 5" (125 mm)</t>
  </si>
  <si>
    <t>Valve Ø 5" (125 mm)</t>
  </si>
  <si>
    <t>Pemasangan 1 Buah Tee Ø 6" (150 mm)</t>
  </si>
  <si>
    <t>Tee Ø 6" (150 mm)</t>
  </si>
  <si>
    <t>Pemasangan 1 Buah Tee Ø 8" (200 mm)</t>
  </si>
  <si>
    <t>Tee Ø 8" (200 mm)</t>
  </si>
  <si>
    <t>Pemasangan 1 Buah Tee Ø 10" (250 mm)</t>
  </si>
  <si>
    <t>Tee Ø 10" (250 mm)</t>
  </si>
  <si>
    <t>Pemasangan 1 Buah Tee Ø 18" (450 mm)</t>
  </si>
  <si>
    <t>Tee Ø 18" (450 mm)</t>
  </si>
  <si>
    <t>Pemasangan 1 Buah Tee Ø 20" (500 mm)</t>
  </si>
  <si>
    <t>Tee Ø 20" (500 mm)</t>
  </si>
  <si>
    <t>Pemasangan 1 Buah Tee Ø 24" (600 mm)</t>
  </si>
  <si>
    <t>Tee Ø 24" (600 mm)</t>
  </si>
  <si>
    <t>Pemasangan 1 Buah Tee Ø 28" (700 mm)</t>
  </si>
  <si>
    <t>Tee Ø 28" (700 mm)</t>
  </si>
  <si>
    <t>Pemasangan 1 Buah Tee Ø 32" (800 mm)</t>
  </si>
  <si>
    <t>Tee Ø 32" (800 mm)</t>
  </si>
  <si>
    <t>Pemasangan 1 Buah Tee Ø 36" (900 mm)</t>
  </si>
  <si>
    <t>Tee Ø 36" (900 mm)</t>
  </si>
  <si>
    <t>Pemasangan 1 Buah Tee Ø 40" (1000 mm)</t>
  </si>
  <si>
    <t>Tee Ø 40" (1000 mm)</t>
  </si>
  <si>
    <t>Pemasangan 1 Buah Tee Ø 44" (1100 mm)</t>
  </si>
  <si>
    <t>Tee Ø 44" (1100 mm)</t>
  </si>
  <si>
    <t>Pemasangan 1 Buah Tee Ø 48" (1200 mm)</t>
  </si>
  <si>
    <t>Tee Ø 48" (1200 mm)</t>
  </si>
  <si>
    <t>Pemasangan 1 Buah Tee Ø 1/2" (15 mm)</t>
  </si>
  <si>
    <t>Tee Ø 1/2" (15 mm)</t>
  </si>
  <si>
    <t>Pemasangan 1 Buah Tee Ø 3/4" (20 mm)</t>
  </si>
  <si>
    <t>Tee Ø 3/4" (20 mm)</t>
  </si>
  <si>
    <t>Pemasangan 1 Buah Tee Ø 1" (25 mm)</t>
  </si>
  <si>
    <t>Tee Ø 1" (25 mm)</t>
  </si>
  <si>
    <t>Pemasangan 1 Buah Tee Ø 1-1/4" (32 mm)</t>
  </si>
  <si>
    <t>Tee Ø 1-1/4" (32 mm)</t>
  </si>
  <si>
    <t>Pemasangan 1 Buah Tee Ø 1-1/2" (40 mm)</t>
  </si>
  <si>
    <t>Tee Ø 1-1/2" (40 mm)</t>
  </si>
  <si>
    <t>Pemasangan 1 Buah Tee Ø 2" (50 mm)</t>
  </si>
  <si>
    <t>Tee Ø 2" (50 mm)</t>
  </si>
  <si>
    <t>Pemasangan 1 Buah Tee Ø 2-1/2" (65 mm)</t>
  </si>
  <si>
    <t>Tee Ø 2-1/2" (65 mm)</t>
  </si>
  <si>
    <t>Pemasangan 1 Buah Tee Ø 3" (80 mm)</t>
  </si>
  <si>
    <t>Tee Ø 3" (80 mm)</t>
  </si>
  <si>
    <t>Pemasangan 1 Buah Tee Ø 4" (100 mm)</t>
  </si>
  <si>
    <t>Tee Ø 4" (100 mm)</t>
  </si>
  <si>
    <t>Pemasangan 1 Buah Tee Ø 5" (125 mm)</t>
  </si>
  <si>
    <t>Tee Ø 5" (125 mm)</t>
  </si>
  <si>
    <t>Pemasangan 1 Buah Tee Ø 12" (300 mm)</t>
  </si>
  <si>
    <t>Tee Ø 12" (300 mm)</t>
  </si>
  <si>
    <t>Pemasangan 1 Buah Tee Ø 16" (400 mm)</t>
  </si>
  <si>
    <t>Tee Ø 16" (400 mm)</t>
  </si>
  <si>
    <t>Perubahan Tenaga Kerja Tukang las menjadi tukang besi/tukang beton dan koefisiennya (3,0959 menjadi 1,5479) , perubahan koefisien kepala tukang(0,309 menjadi 0,1548) dan mandor (0,1548 menjadi 0,0516)</t>
  </si>
  <si>
    <t>Tukang Besi</t>
  </si>
  <si>
    <t>Perubahan Tenaga Kerja Tukang las menjadi tukang besi/tukang beton dan koefisiennya (2,7275 menjadi 1,3637) , perubahan koefisien kepala tukang(0,2727 menjadi 0,1364) dan mandor (0,1364 menjadi 0,0455)</t>
  </si>
  <si>
    <t>Perubahan Tenaga Kerja Tukang las menjadi tukang besi/tukang beton dan koefisiennya (1,4959 menjadi 0,7479) , perubahan koefisien kepala tukang(0,1496 menjadi 0,0748) dan mandor (0,0748 menjadi 0,0249)</t>
  </si>
  <si>
    <t>Perubahan koefisien 1 kg Penulangan 5,5027 menjadi 4,2973, koefisien 1 m3 beton 0,0145 menjadi 0,0110 dan koefisien penulangan 0,0145 menjadi 0,0110</t>
  </si>
  <si>
    <t xml:space="preserve">Perubahan koefisien Panel P1 57,6  m menjadi 78 buah, P2 3 buah menjadi 30 buah, P3 0,0063 m3 menjadi 30 buah </t>
  </si>
  <si>
    <t>Produksi 1 buah Panel P1</t>
  </si>
  <si>
    <t>Produksi 1 buah Panel P3</t>
  </si>
  <si>
    <t>Produksi 1 buah Panel P2</t>
  </si>
  <si>
    <t>1.1</t>
  </si>
  <si>
    <t>1.2.1.2</t>
  </si>
  <si>
    <t>Pemasangan 1 m’ Shalimar Aluminium</t>
  </si>
  <si>
    <t>PEKERJAAN FASAD ( Dalam proses Pengembangan dan Kajian)</t>
  </si>
  <si>
    <r>
      <t xml:space="preserve">  i x (1+i)</t>
    </r>
    <r>
      <rPr>
        <vertAlign val="superscript"/>
        <sz val="11"/>
        <rFont val="Roboto"/>
      </rPr>
      <t>˄</t>
    </r>
  </si>
  <si>
    <t>Penanaman pada Lereng Tanah 1:2 (13-26,5° ), Metode Hydroseeding per m2 permukaan lereng ( Menggunakan Jenis Biji Rumput)</t>
  </si>
  <si>
    <r>
      <rPr>
        <sz val="10"/>
        <rFont val="Roboto"/>
      </rPr>
      <t>Penggalian Lubang tanam</t>
    </r>
    <r>
      <rPr>
        <b/>
        <sz val="10"/>
        <rFont val="Roboto"/>
      </rPr>
      <t xml:space="preserve"> (volume 3x polybag/planter bag*)</t>
    </r>
  </si>
  <si>
    <r>
      <rPr>
        <sz val="10"/>
        <rFont val="Roboto"/>
      </rPr>
      <t>Pengisian</t>
    </r>
    <r>
      <rPr>
        <b/>
        <sz val="10"/>
        <rFont val="Roboto"/>
      </rPr>
      <t xml:space="preserve"> 30% tanah asli dari media tanam </t>
    </r>
    <r>
      <rPr>
        <sz val="10"/>
        <rFont val="Roboto"/>
      </rPr>
      <t>untuk pencampuran dengan bahan tambahan</t>
    </r>
    <r>
      <rPr>
        <b/>
        <sz val="10"/>
        <rFont val="Roboto"/>
      </rPr>
      <t xml:space="preserve"> perbaikan tanah </t>
    </r>
  </si>
  <si>
    <r>
      <t xml:space="preserve">Pengukuran </t>
    </r>
    <r>
      <rPr>
        <b/>
        <sz val="10"/>
        <rFont val="Roboto"/>
      </rPr>
      <t>volume komposisi bahan tambahan</t>
    </r>
    <r>
      <rPr>
        <sz val="10"/>
        <rFont val="Roboto"/>
      </rPr>
      <t xml:space="preserve"> media tanam yang dibutuhkan (kapur/sulfur, material organik, pasir, tanah </t>
    </r>
  </si>
  <si>
    <r>
      <t>Pencampuran</t>
    </r>
    <r>
      <rPr>
        <b/>
        <sz val="10"/>
        <rFont val="Roboto"/>
      </rPr>
      <t xml:space="preserve"> Tanah Asli (Poin 2) </t>
    </r>
    <r>
      <rPr>
        <sz val="10"/>
        <rFont val="Roboto"/>
      </rPr>
      <t xml:space="preserve">dan </t>
    </r>
    <r>
      <rPr>
        <b/>
        <sz val="10"/>
        <rFont val="Roboto"/>
      </rPr>
      <t>Bahan Media Tanam</t>
    </r>
    <r>
      <rPr>
        <sz val="10"/>
        <rFont val="Roboto"/>
      </rPr>
      <t xml:space="preserve"> (Poin 3)</t>
    </r>
  </si>
  <si>
    <r>
      <rPr>
        <b/>
        <sz val="10"/>
        <rFont val="Roboto"/>
      </rPr>
      <t>Pengukuran</t>
    </r>
    <r>
      <rPr>
        <sz val="10"/>
        <rFont val="Roboto"/>
      </rPr>
      <t xml:space="preserve"> Media Tanam (Poin 4) ke Lubag / Area Tanam </t>
    </r>
  </si>
  <si>
    <r>
      <t xml:space="preserve">Volume Media Tanam : 2 x Volume Polybag  </t>
    </r>
    <r>
      <rPr>
        <sz val="10"/>
        <rFont val="Roboto"/>
      </rPr>
      <t>(3 Volume Polybag dikurangi 1 volume Polybag tanaman yang akan ditanam)</t>
    </r>
  </si>
  <si>
    <r>
      <rPr>
        <sz val="10"/>
        <rFont val="Roboto"/>
      </rPr>
      <t>30% x 2 Polybag =</t>
    </r>
    <r>
      <rPr>
        <b/>
        <sz val="10"/>
        <rFont val="Roboto"/>
      </rPr>
      <t xml:space="preserve"> 30% x 100L = 30 L</t>
    </r>
  </si>
  <si>
    <r>
      <t>70% x 2 Polybag =</t>
    </r>
    <r>
      <rPr>
        <b/>
        <sz val="10"/>
        <rFont val="Roboto"/>
      </rPr>
      <t xml:space="preserve"> 70% x 100L - 70 L</t>
    </r>
  </si>
  <si>
    <r>
      <t xml:space="preserve">2 x Volume Polybag = </t>
    </r>
    <r>
      <rPr>
        <b/>
        <sz val="10"/>
        <rFont val="Roboto"/>
      </rPr>
      <t>100 L</t>
    </r>
  </si>
  <si>
    <r>
      <rPr>
        <sz val="10"/>
        <rFont val="Roboto"/>
      </rPr>
      <t>Perhitungan AHSP dikonversikan ke satuan</t>
    </r>
    <r>
      <rPr>
        <b/>
        <sz val="10"/>
        <rFont val="Roboto"/>
      </rPr>
      <t xml:space="preserve"> m3</t>
    </r>
  </si>
  <si>
    <r>
      <t xml:space="preserve">Pada HPS dibutuhkan </t>
    </r>
    <r>
      <rPr>
        <b/>
        <sz val="10"/>
        <rFont val="Roboto"/>
      </rPr>
      <t>Pekerjaan Pengelolaan Tanah Tidak Subur sebesar 0,7 m3</t>
    </r>
    <r>
      <rPr>
        <sz val="10"/>
        <rFont val="Roboto"/>
      </rPr>
      <t xml:space="preserve"> untuk menanam tanaman berpolybag 50 L</t>
    </r>
  </si>
  <si>
    <r>
      <t>Pemasangan 1 m' kabel FRC 2 x 1,5 mm² + PVC Conduit HI 20 mm</t>
    </r>
    <r>
      <rPr>
        <b/>
        <vertAlign val="superscript"/>
        <sz val="11"/>
        <color rgb="FF000000"/>
        <rFont val="Roboto"/>
      </rPr>
      <t>2</t>
    </r>
    <r>
      <rPr>
        <b/>
        <sz val="11"/>
        <color rgb="FF000000"/>
        <rFont val="Roboto"/>
      </rPr>
      <t xml:space="preserve">
</t>
    </r>
  </si>
  <si>
    <r>
      <t>Pemasangan 1 m' kabel FRC 2 x 2,5 mm² + PVC Conduit HI 20 mm</t>
    </r>
    <r>
      <rPr>
        <b/>
        <vertAlign val="superscript"/>
        <sz val="11"/>
        <color rgb="FF000000"/>
        <rFont val="Roboto"/>
      </rPr>
      <t>2</t>
    </r>
    <r>
      <rPr>
        <b/>
        <sz val="11"/>
        <color rgb="FF000000"/>
        <rFont val="Roboto"/>
      </rPr>
      <t xml:space="preserve">
</t>
    </r>
  </si>
  <si>
    <r>
      <t>Pemasangan 1 Unit Panel Kontrol (</t>
    </r>
    <r>
      <rPr>
        <b/>
        <i/>
        <sz val="11"/>
        <color rgb="FF000000"/>
        <rFont val="Roboto"/>
      </rPr>
      <t>Pompa Transfer</t>
    </r>
    <r>
      <rPr>
        <b/>
        <sz val="11"/>
        <color rgb="FF000000"/>
        <rFont val="Roboto"/>
      </rPr>
      <t xml:space="preserve">, </t>
    </r>
    <r>
      <rPr>
        <b/>
        <i/>
        <sz val="11"/>
        <color rgb="FF000000"/>
        <rFont val="Roboto"/>
      </rPr>
      <t>Pompa Kolam Renang</t>
    </r>
    <r>
      <rPr>
        <b/>
        <sz val="11"/>
        <color rgb="FF000000"/>
        <rFont val="Roboto"/>
      </rPr>
      <t>,</t>
    </r>
    <r>
      <rPr>
        <b/>
        <i/>
        <sz val="11"/>
        <color rgb="FF000000"/>
        <rFont val="Roboto"/>
      </rPr>
      <t xml:space="preserve">Water Treatment Plat </t>
    </r>
    <r>
      <rPr>
        <b/>
        <sz val="11"/>
        <color rgb="FF000000"/>
        <rFont val="Roboto"/>
      </rPr>
      <t xml:space="preserve">(WTP), </t>
    </r>
    <r>
      <rPr>
        <b/>
        <i/>
        <sz val="11"/>
        <color rgb="FF000000"/>
        <rFont val="Roboto"/>
      </rPr>
      <t>Instalasi Pengelolaan Air Limbah</t>
    </r>
    <r>
      <rPr>
        <b/>
        <sz val="11"/>
        <color rgb="FF000000"/>
        <rFont val="Roboto"/>
      </rPr>
      <t xml:space="preserve"> ( IPAL), dan </t>
    </r>
    <r>
      <rPr>
        <b/>
        <i/>
        <sz val="11"/>
        <color rgb="FF000000"/>
        <rFont val="Roboto"/>
      </rPr>
      <t>Power Lift)</t>
    </r>
  </si>
  <si>
    <r>
      <t xml:space="preserve">Pemasanga 1 Unit Grid Switch </t>
    </r>
    <r>
      <rPr>
        <b/>
        <i/>
        <sz val="11"/>
        <color rgb="FF000000"/>
        <rFont val="Roboto"/>
      </rPr>
      <t>2 x 12</t>
    </r>
    <r>
      <rPr>
        <b/>
        <sz val="11"/>
        <color rgb="FF000000"/>
        <rFont val="Roboto"/>
      </rPr>
      <t xml:space="preserve">  dan </t>
    </r>
    <r>
      <rPr>
        <b/>
        <i/>
        <sz val="11"/>
        <color rgb="FF000000"/>
        <rFont val="Roboto"/>
      </rPr>
      <t>14</t>
    </r>
  </si>
  <si>
    <r>
      <t xml:space="preserve">Pemasanga 1 Unit Stop Kontak </t>
    </r>
    <r>
      <rPr>
        <b/>
        <i/>
        <sz val="11"/>
        <color rgb="FF000000"/>
        <rFont val="Roboto"/>
      </rPr>
      <t>(1 P, 10 A, 200 W+ cover,hand Dryer 1 Ph.</t>
    </r>
    <r>
      <rPr>
        <b/>
        <sz val="11"/>
        <color rgb="FF000000"/>
        <rFont val="Roboto"/>
      </rPr>
      <t xml:space="preserve"> 1000 w)</t>
    </r>
  </si>
  <si>
    <r>
      <t>Pemasangan 1 m2 BJLS</t>
    </r>
    <r>
      <rPr>
        <b/>
        <i/>
        <sz val="11"/>
        <color rgb="FF000000"/>
        <rFont val="Roboto"/>
      </rPr>
      <t xml:space="preserve"> (50, 60, 70, 80, 100 ( Isolasi Luar  Dalam ))</t>
    </r>
  </si>
  <si>
    <t>N</t>
  </si>
  <si>
    <t>O</t>
  </si>
  <si>
    <t>Sumur Bor</t>
  </si>
  <si>
    <t>Tambah Daya</t>
  </si>
  <si>
    <t>1 unit Pengadaan dan Pemasangan Tangki Septik Konvensional Tipe 1 KK + Sumur Resapan + Grease Trap</t>
  </si>
  <si>
    <t>Lantai</t>
  </si>
  <si>
    <t>Dinding</t>
  </si>
  <si>
    <t>Plat</t>
  </si>
  <si>
    <t>Beton</t>
  </si>
  <si>
    <t>1. Tabel Berat Besi Baja H Beam</t>
  </si>
  <si>
    <t>UKURAN (mm)</t>
  </si>
  <si>
    <t>PANJANG (M)</t>
  </si>
  <si>
    <t>Weight (Kg)</t>
  </si>
  <si>
    <t>BERAT /M1 (Kg)</t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</si>
  <si>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100x100x6x8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</si>
  <si>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125x125x5x7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</si>
  <si>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125x125x6.5×9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</si>
  <si>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150x150x7x10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</si>
  <si>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175x175x7x11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</si>
  <si>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200x200x8x12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</si>
  <si>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250x250x9x14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</si>
  <si>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300x300x10x15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</si>
  <si>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250x350x12x19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</si>
  <si>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400x400x13x21</t>
    </r>
  </si>
  <si>
    <r>
      <t>Cara membaca tabel berat besi baja </t>
    </r>
    <r>
      <rPr>
        <b/>
        <sz val="11"/>
        <color theme="1"/>
        <rFont val="Calibri Light"/>
        <family val="1"/>
        <scheme val="major"/>
      </rPr>
      <t>H Beam</t>
    </r>
    <r>
      <rPr>
        <sz val="11"/>
        <color theme="1"/>
        <rFont val="Calibri Light"/>
        <family val="1"/>
        <scheme val="major"/>
      </rPr>
      <t> diatas adalah:</t>
    </r>
  </si>
  <si>
    <t>Sebagai Contoh : L 100X100X6X8mm-12 M’ 206 kg 17.167</t>
  </si>
  <si>
    <t> Arti dimensi besi H beam tersebut adalah :</t>
  </si>
  <si>
    <t>Panjang 12 M</t>
  </si>
  <si>
    <t>Tinggi 10 cm</t>
  </si>
  <si>
    <t>Lebar 10 cm</t>
  </si>
  <si>
    <t>Tebal Badan 6 mm</t>
  </si>
  <si>
    <t>Tebal sayap 8 mm</t>
  </si>
  <si>
    <t>Mempunyai berat total 206 kg</t>
  </si>
  <si>
    <t>Sedangkan berat per M : 206 / 12 = 17.167</t>
  </si>
  <si>
    <t>2. Tabel Berat Besi Baja WF ( Wide Flange )</t>
  </si>
  <si>
    <t>WF 100X50X5 X7</t>
  </si>
  <si>
    <t>WF 125X60X6 X8</t>
  </si>
  <si>
    <t>WF 148X100X6X9</t>
  </si>
  <si>
    <t>WF 150X75X5X7</t>
  </si>
  <si>
    <t>WF 175X90X5X8</t>
  </si>
  <si>
    <t>WF 198X99X4,5X7</t>
  </si>
  <si>
    <t>WF 200X100X3,2X4,5</t>
  </si>
  <si>
    <t>WF 200X100X5,5X8</t>
  </si>
  <si>
    <t>WF 248X124X5X8</t>
  </si>
  <si>
    <t>WF 250X125X6X9</t>
  </si>
  <si>
    <t>WF 298X149X6X8</t>
  </si>
  <si>
    <t>WF 300X150X6,5X9</t>
  </si>
  <si>
    <t>WF 346X174X6X9</t>
  </si>
  <si>
    <t>WF 350X175X7X11</t>
  </si>
  <si>
    <t>WF 396X199X7X11</t>
  </si>
  <si>
    <t>WF 400X200X8 X13</t>
  </si>
  <si>
    <t>WF 446X199X8X12</t>
  </si>
  <si>
    <t>WF 450X200X9X14</t>
  </si>
  <si>
    <t>WF 500X200X10X16</t>
  </si>
  <si>
    <t>WF 588X300X10X16</t>
  </si>
  <si>
    <t>WF 600X200X11X17</t>
  </si>
  <si>
    <t>WF 700X300X13X24</t>
  </si>
  <si>
    <t>WF 800X300X14X26</t>
  </si>
  <si>
    <t> Cara membaca tabel berat besi baja WF ( Wide Flange) diatas adalah :</t>
  </si>
  <si>
    <t>Sebagai Contoh : WF 100x50x5x7mm-12 M’ 112 kg 9.333</t>
  </si>
  <si>
    <t> Artinya dimensi  besi WF tersebut adalah :</t>
  </si>
  <si>
    <t>Panjang 12 m</t>
  </si>
  <si>
    <t>Lebar 5 cm</t>
  </si>
  <si>
    <t>Tebal badan 5 mm</t>
  </si>
  <si>
    <t>Tebal sayap 7 mm</t>
  </si>
  <si>
    <t>Mempunyai berat total 112 kg</t>
  </si>
  <si>
    <t>Sedangkan berat per M : 112/12 = 9.333 kg</t>
  </si>
  <si>
    <t>3. Tabel Berat Besi Baja kanal C/ CNP</t>
  </si>
  <si>
    <t>L 60X30X10X1,6</t>
  </si>
  <si>
    <t>9.76</t>
  </si>
  <si>
    <t>L 75X35X15X1,6</t>
  </si>
  <si>
    <t>12.4</t>
  </si>
  <si>
    <t>L 75 X45X15X1,6</t>
  </si>
  <si>
    <t>13.9</t>
  </si>
  <si>
    <t>L 75X45X15X2,3</t>
  </si>
  <si>
    <t>19.5</t>
  </si>
  <si>
    <t>L 100X50X20X1,6</t>
  </si>
  <si>
    <t>17.5</t>
  </si>
  <si>
    <t>L 100X50X20X2,3</t>
  </si>
  <si>
    <t>24.4</t>
  </si>
  <si>
    <t>L 100X50X20X3,2</t>
  </si>
  <si>
    <t>L 125X50X20X2,3</t>
  </si>
  <si>
    <t>27.1</t>
  </si>
  <si>
    <t>L 125X50X20X3,2</t>
  </si>
  <si>
    <t>36.8</t>
  </si>
  <si>
    <t>L 150X50X20X2,3</t>
  </si>
  <si>
    <t>29.8</t>
  </si>
  <si>
    <t>L 150X50X20X3,2</t>
  </si>
  <si>
    <t>40.6</t>
  </si>
  <si>
    <t>L 150X65X20X2,3</t>
  </si>
  <si>
    <t>L 150X65X20X3,2</t>
  </si>
  <si>
    <t>45.1</t>
  </si>
  <si>
    <t>L 200X75X20X3,2</t>
  </si>
  <si>
    <t>55.6</t>
  </si>
  <si>
    <t>Cara membaca tabel berat besi baja  canal  C diatas adalah :</t>
  </si>
  <si>
    <t>Sebagai Contoh : L 60x30x10x1.6 mm-6 M’ 9.76 kg 1.627</t>
  </si>
  <si>
    <t>Artinya dimensi besi Canal C tersebut adalah  :</t>
  </si>
  <si>
    <t>Panjang 6 m</t>
  </si>
  <si>
    <t>Tinggi 6 cm</t>
  </si>
  <si>
    <t>Lebar 3 cm</t>
  </si>
  <si>
    <t>Bibir 1 cm</t>
  </si>
  <si>
    <t>Tebal badan 1.6 cm</t>
  </si>
  <si>
    <t>Mempunyai berat  total adalah 9.76 kg</t>
  </si>
  <si>
    <t>Sedangkan berat per M : 206/6 = 1.627 kg</t>
  </si>
  <si>
    <t>Sumber : architecturebanten</t>
  </si>
  <si>
    <t>About thes</t>
  </si>
  <si>
    <t>PERHITUNGAN VOLUME PEKERJAAN</t>
  </si>
  <si>
    <t xml:space="preserve">DESA                                                                                            </t>
  </si>
  <si>
    <t>: Sukaluyu</t>
  </si>
  <si>
    <t>Lokasi :</t>
  </si>
  <si>
    <t>Kp. Tegalonyam</t>
  </si>
  <si>
    <t xml:space="preserve">KECAMATAN                                                                  </t>
  </si>
  <si>
    <t>: Cijati</t>
  </si>
  <si>
    <t>Kegiatan :</t>
  </si>
  <si>
    <t>Pembangunan Rehabilitasi MCK</t>
  </si>
  <si>
    <t xml:space="preserve">KABUPATEN                                                                     </t>
  </si>
  <si>
    <t>: Cianjur</t>
  </si>
  <si>
    <t>Volume  :</t>
  </si>
  <si>
    <t>1 Unit ( 2.5 x 3 ) m</t>
  </si>
  <si>
    <t xml:space="preserve">PROVINSI                                                                            </t>
  </si>
  <si>
    <t>: Jawa Barat</t>
  </si>
  <si>
    <t>No.</t>
  </si>
  <si>
    <t>Sketsa</t>
  </si>
  <si>
    <t>VOLUME</t>
  </si>
  <si>
    <t>T</t>
  </si>
  <si>
    <t>Jml</t>
  </si>
  <si>
    <t>volume</t>
  </si>
  <si>
    <t>Pek. Pasang bouwplank</t>
  </si>
  <si>
    <t>+</t>
  </si>
  <si>
    <t>Pembersihan Lahan sebelum dan sesudah pembangunan</t>
  </si>
  <si>
    <t>X</t>
  </si>
  <si>
    <t>PEKERJAAN TANAH</t>
  </si>
  <si>
    <t>Galian tanah pondasi batu kali dan sloof</t>
  </si>
  <si>
    <t>x</t>
  </si>
  <si>
    <t>Urugan pasir bawah pondasi t = 3 cm</t>
  </si>
  <si>
    <t>Urugan tanah kembali</t>
  </si>
  <si>
    <t>PEKERJAAN PASANGAN</t>
  </si>
  <si>
    <t>Pondasi batu kali Menerus Campuran 1 PC : 4 PP</t>
  </si>
  <si>
    <t>Pas. dinding Bata Ringan</t>
  </si>
  <si>
    <t xml:space="preserve">Pas. dinding batu tempel </t>
  </si>
  <si>
    <t xml:space="preserve">Plesteran dinding 1pc ; 4ps </t>
  </si>
  <si>
    <t>Pek. Acian</t>
  </si>
  <si>
    <t>PEKERJAAN BETON</t>
  </si>
  <si>
    <t>Sloof Beton Uk.15/20,  ad. 1:2:3</t>
  </si>
  <si>
    <t>Tulangan besi polos Ф 12 mm</t>
  </si>
  <si>
    <t>Jumlah total besi Ф 12 mm</t>
  </si>
  <si>
    <t>berat per batang = 10.68</t>
  </si>
  <si>
    <t>Ring Balk</t>
  </si>
  <si>
    <t>Tulangan geser Ф 8 mm</t>
  </si>
  <si>
    <t>,+</t>
  </si>
  <si>
    <t>jarak per 15 cm (7 bh/m')</t>
  </si>
  <si>
    <t>Jumlah total besi Ф 8 mm</t>
  </si>
  <si>
    <t>berat per batang = 4.74</t>
  </si>
  <si>
    <t>TOTAL PEMBESIAN KG/M3</t>
  </si>
  <si>
    <t>Kg/m3</t>
  </si>
  <si>
    <t>Bekisting Sloof</t>
  </si>
  <si>
    <t>Kolom Praktis uk. 15 x 15 cm ad. 1:2:3</t>
  </si>
  <si>
    <t>Bekisting Kolom</t>
  </si>
  <si>
    <t>Lantai Beton t = 10 cm ad. 1:2:3</t>
  </si>
  <si>
    <t>vertikal</t>
  </si>
  <si>
    <t>Horizontal</t>
  </si>
  <si>
    <t>Bekisting Plat</t>
  </si>
  <si>
    <t>Liplank Beton L = 50 cm ad. 1:2:3</t>
  </si>
  <si>
    <t>Bekisting Plat Lisplank</t>
  </si>
  <si>
    <t>Ringbalk uk. 15x20 cm ad. 1:2:3</t>
  </si>
  <si>
    <t>Bekisting Ringbalk</t>
  </si>
  <si>
    <t xml:space="preserve"> PEKERJAAN ATAP DAN PLAFOND</t>
  </si>
  <si>
    <t>Kuda - kuda kay Kls II</t>
  </si>
  <si>
    <t>Balok tarik 8/12</t>
  </si>
  <si>
    <t>Balok Murplate 8/12</t>
  </si>
  <si>
    <t>Balok Tekan 8/12</t>
  </si>
  <si>
    <t>Balok Skoor 8/12</t>
  </si>
  <si>
    <t>Balok Ander 8/12</t>
  </si>
  <si>
    <t>Balok Nok 8/12</t>
  </si>
  <si>
    <t>Ruiter 2/20</t>
  </si>
  <si>
    <t>Balok Gording 2/20</t>
  </si>
  <si>
    <t>Kaso Kayu Kls III</t>
  </si>
  <si>
    <t>Reng Kayu Kls III</t>
  </si>
  <si>
    <t>Lisplank Kayu Kls II</t>
  </si>
  <si>
    <t xml:space="preserve"> Pek. Rangka Plafond Kayu </t>
  </si>
  <si>
    <t xml:space="preserve"> Pek. Plafond GRC 4 mm</t>
  </si>
  <si>
    <t xml:space="preserve"> Pek. List Plafond Kayu Profile</t>
  </si>
  <si>
    <t>PEKERJAAN PENGECATAN</t>
  </si>
  <si>
    <t>Pek. Cat Plafond</t>
  </si>
  <si>
    <t xml:space="preserve">Pek. Cat List Plafon Kayu Profil  </t>
  </si>
  <si>
    <t>Pek. Cat dinding</t>
  </si>
  <si>
    <t>PEKERJAAN LANTAI</t>
  </si>
  <si>
    <t>Dinding keramik KM/WC 20/25 corak setara mulya</t>
  </si>
  <si>
    <t>PEKERJAAN SANITASI</t>
  </si>
  <si>
    <t>Pek.kloset jongkok sek TOTO</t>
  </si>
  <si>
    <t>Pek. bak air fiber</t>
  </si>
  <si>
    <t>Pek. kran air</t>
  </si>
  <si>
    <t>Pek. floor Drain</t>
  </si>
  <si>
    <t xml:space="preserve">1 UNIT SEPTICTANK 2 X 1,5 X 1,5  M + REMBESANNYA </t>
  </si>
  <si>
    <t>Galian tanah</t>
  </si>
  <si>
    <t>Pasir urug</t>
  </si>
  <si>
    <t>Pas. bata 1 PC : 2 PS + Plesteran</t>
  </si>
  <si>
    <t>Plat beton penutup &amp; balok</t>
  </si>
  <si>
    <t>Pipa PVC 4" jenis AW + sambungan</t>
  </si>
  <si>
    <t>Pipa GIP  1/2"</t>
  </si>
  <si>
    <t>Galian tanah untuk rembesan</t>
  </si>
  <si>
    <t>Pas. injuk</t>
  </si>
  <si>
    <t>Urugan kerikil 3,5 cm</t>
  </si>
  <si>
    <t>Pipa PVC 4" berlobang jenis AW</t>
  </si>
  <si>
    <t>Urugan kembali perataan tanah</t>
  </si>
  <si>
    <t>Pas.pipa 4" air Kotor</t>
  </si>
  <si>
    <t>Pas.pipa 3/4" Air bersih</t>
  </si>
  <si>
    <t>Tangki Air Fiber Glass 1000 Ltr</t>
  </si>
  <si>
    <t>Pas. pintu PVC</t>
  </si>
  <si>
    <t>PEKERJAAN INSTALASI LISTRIK</t>
  </si>
  <si>
    <t>Instalasi titik lampu</t>
  </si>
  <si>
    <t>Ttk</t>
  </si>
  <si>
    <t>Instalasi titik stop kontak</t>
  </si>
  <si>
    <t>ttk</t>
  </si>
  <si>
    <t>Pas lampu SL 25 watt</t>
  </si>
  <si>
    <t>Pas. Sakelar ganda</t>
  </si>
  <si>
    <t>Pas. Sakelar Tunggal</t>
  </si>
  <si>
    <t>Pas. Stop kontak</t>
  </si>
  <si>
    <t>Panel dan Fixtures lengkap (3 grup, termasuk grounding)</t>
  </si>
  <si>
    <t>Penyambungan Daya Baru 900 KVA</t>
  </si>
  <si>
    <t>Ls</t>
  </si>
  <si>
    <t xml:space="preserve">Dibuat Oleh : </t>
  </si>
  <si>
    <t>Tim pengelola Kegiatan (TPK)</t>
  </si>
  <si>
    <t>Perhitungan Tulangan</t>
  </si>
  <si>
    <t xml:space="preserve">Panjang </t>
  </si>
  <si>
    <t>Lebar</t>
  </si>
  <si>
    <t>Jarak</t>
  </si>
  <si>
    <t>Tul. Vertikal</t>
  </si>
  <si>
    <t>Tul. Horizontal</t>
  </si>
  <si>
    <t>Batang Vertikal</t>
  </si>
  <si>
    <t>1 batang</t>
  </si>
  <si>
    <t>meter</t>
  </si>
  <si>
    <t>Batang Horizontal</t>
  </si>
  <si>
    <t>Total</t>
  </si>
  <si>
    <t>Total Batang</t>
  </si>
  <si>
    <t>Berat 1 batang</t>
  </si>
  <si>
    <t>Total Berat Lantai</t>
  </si>
  <si>
    <t>Total Berat Dinding</t>
  </si>
  <si>
    <t>Total Berat plat</t>
  </si>
  <si>
    <t>Berat Besi</t>
  </si>
  <si>
    <t>URAIAN</t>
  </si>
  <si>
    <t>KODE</t>
  </si>
  <si>
    <t>KOEFISIEN</t>
  </si>
  <si>
    <t>HARGA 
SATUAN
(Rp)</t>
  </si>
  <si>
    <t>JUMLAH 
HARGA 
(Rp)</t>
  </si>
  <si>
    <t xml:space="preserve">A </t>
  </si>
  <si>
    <t xml:space="preserve">TENAGA KERJA </t>
  </si>
  <si>
    <t>Jumlah Harga Tenaga Kerja</t>
  </si>
  <si>
    <t>Jumlah Harga Bahan</t>
  </si>
  <si>
    <t>Jumlah Harga Peralatan</t>
  </si>
  <si>
    <t>JUMLAH HARGA (A+B+C)</t>
  </si>
  <si>
    <t>HARGA SATUAN PEKERJAAN</t>
  </si>
  <si>
    <t>Wiremesh M6-M10</t>
  </si>
  <si>
    <t>Kawat Benrat</t>
  </si>
  <si>
    <t>1 kg Penulangan Wiremesh M6-M10 untuk slab/dinding/ferrocement secara manual</t>
  </si>
  <si>
    <t>(Peraturan Menteri PUPR No. 8 Tahun 2023</t>
  </si>
  <si>
    <t>Resapan</t>
  </si>
  <si>
    <t>Sloof</t>
  </si>
  <si>
    <t>Pemasangan 1 buah Sumur Resapan Air Limbah ukuran Panjang 1 m Lebar 1 m kedalaman 1.5 m( dengan tutup Beton)</t>
  </si>
  <si>
    <t>Kawat Bendrat</t>
  </si>
  <si>
    <t xml:space="preserve">Pemasangan 1 buah Grease Trap uk. 0.6x0.6x0.6 </t>
  </si>
  <si>
    <t xml:space="preserve">Lantai dan Tutup Beton Bertulang </t>
  </si>
  <si>
    <t>Keuntungan</t>
  </si>
  <si>
    <t>KODE PRODUCT</t>
  </si>
  <si>
    <r>
      <t xml:space="preserve">Pemasanga 1 Unit Stop Kontak </t>
    </r>
    <r>
      <rPr>
        <i/>
        <sz val="10"/>
        <color rgb="FF000000"/>
        <rFont val="Calibri"/>
        <family val="2"/>
        <scheme val="minor"/>
      </rPr>
      <t>(1 P, 10 A, 200 W+ cover,hand Dryer 1 Ph.</t>
    </r>
    <r>
      <rPr>
        <sz val="10"/>
        <color rgb="FF000000"/>
        <rFont val="Calibri"/>
        <family val="2"/>
        <scheme val="minor"/>
      </rPr>
      <t xml:space="preserve"> 1000 w)</t>
    </r>
  </si>
  <si>
    <t>BIDANG</t>
  </si>
  <si>
    <t>BIDANG UMUM</t>
  </si>
  <si>
    <t>…............................................................................</t>
  </si>
  <si>
    <t>45000 (KG)</t>
  </si>
  <si>
    <t>78000 (DUS)</t>
  </si>
  <si>
    <t>PAGU</t>
  </si>
  <si>
    <t>Pekerjaan Tangki Septik</t>
  </si>
  <si>
    <t>600 (buah)</t>
  </si>
  <si>
    <t>110000 (batang)</t>
  </si>
  <si>
    <t>Berat jenis</t>
  </si>
  <si>
    <t>Panjang (btg)</t>
  </si>
  <si>
    <t>Panjang total</t>
  </si>
  <si>
    <t>Kolom</t>
  </si>
  <si>
    <t>Total Tul. Utama</t>
  </si>
  <si>
    <t>Total Tul. Sengkang</t>
  </si>
  <si>
    <t>Panjang 1 sengkang</t>
  </si>
  <si>
    <t>Panjang Sengkang</t>
  </si>
  <si>
    <t>Lebar Sengkang</t>
  </si>
  <si>
    <t>Bending</t>
  </si>
  <si>
    <t>Jumlah sengkang</t>
  </si>
  <si>
    <t>total panjang sengkang</t>
  </si>
  <si>
    <t>total panjang sengkang (btg)</t>
  </si>
  <si>
    <t>Tinggi 1</t>
  </si>
  <si>
    <t>Tinggi 2</t>
  </si>
  <si>
    <t>Panjang 1</t>
  </si>
  <si>
    <t>Panjang 2</t>
  </si>
  <si>
    <t>total</t>
  </si>
  <si>
    <t>panjang (btg)</t>
  </si>
  <si>
    <t>Jumlah Sengkang</t>
  </si>
  <si>
    <t>SMKK</t>
  </si>
  <si>
    <t>Induksi Keselamatan Konstruksi (Safety Induction)</t>
  </si>
  <si>
    <t>Pengarahan Keselamatan Konstruksi (Safety Briefing) (khusus untuk pekerja)</t>
  </si>
  <si>
    <t>1) Helm pelindung (safety helmet)</t>
  </si>
  <si>
    <t>7) Sarung tangan kerja (safety gloves)</t>
  </si>
  <si>
    <t>11) Sepatu keselamatan (toe cap)</t>
  </si>
  <si>
    <t>16) Rompi keselamatan (safety vest)</t>
  </si>
  <si>
    <t>Asuransi (Construction All Risk/CAR)</t>
  </si>
  <si>
    <t>Peralatan P3K (Kotak P3K, Alat pengukur suhu badan, tandu, obat luka, dll)</t>
  </si>
  <si>
    <t>Fasilitas Sarana, Prasarana, dan Alat Kesehatan:</t>
  </si>
  <si>
    <t xml:space="preserve">Asuransi: </t>
  </si>
  <si>
    <t>APD, antara lain :</t>
  </si>
  <si>
    <t>APK, antara lain :</t>
  </si>
  <si>
    <t>Sosialisasi, Promosi dan Pelatihan</t>
  </si>
  <si>
    <t>SISTEM MANAJEMEN KESELAMATAN KONSTRUKSI (SMKK)</t>
  </si>
  <si>
    <r>
      <rPr>
        <b/>
        <sz val="11"/>
        <color theme="1"/>
        <rFont val="Arial Narrow"/>
        <family val="2"/>
      </rPr>
      <t>Sumber :</t>
    </r>
    <r>
      <rPr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 xml:space="preserve">PERMEN PUPR No. 10 Tahun Tahun 2021 </t>
    </r>
    <r>
      <rPr>
        <sz val="11"/>
        <color theme="1"/>
        <rFont val="Arial Narrow"/>
        <family val="2"/>
      </rPr>
      <t xml:space="preserve">
                 Tentang Pedoman Sistem Manajemen Keselamatan Konstruksi</t>
    </r>
  </si>
  <si>
    <t>NO.</t>
  </si>
  <si>
    <t>SATUAN PEMBAYARAN</t>
  </si>
  <si>
    <t>KUANTITAS</t>
  </si>
  <si>
    <t>HARGA SATUAN (RP.)</t>
  </si>
  <si>
    <t>TOTAL HARGA (RP.)</t>
  </si>
  <si>
    <t>NILAI TKDN</t>
  </si>
  <si>
    <t>HARGA TKDN</t>
  </si>
  <si>
    <t>6 = 4 * 5</t>
  </si>
  <si>
    <t>PENYIAPAN RKK:</t>
  </si>
  <si>
    <t>a.</t>
  </si>
  <si>
    <t xml:space="preserve">Pembuatan Dokumen Rencana Keselamatan Konstruksi </t>
  </si>
  <si>
    <t>Set</t>
  </si>
  <si>
    <t>Memperhatikan jumlah dan jenis pekerjaan yang dikerjakan</t>
  </si>
  <si>
    <t>b.</t>
  </si>
  <si>
    <t>Pembuatan Prosedur dan Instruksi Kerja</t>
  </si>
  <si>
    <t>c.</t>
  </si>
  <si>
    <t>Penyiapan Formulir</t>
  </si>
  <si>
    <t>A.</t>
  </si>
  <si>
    <t>Sub Total Penyiapan RKK</t>
  </si>
  <si>
    <t>SOSIALISASI, PROMOSI, DAN PELATIHAN:</t>
  </si>
  <si>
    <r>
      <t>Induksi K3 (</t>
    </r>
    <r>
      <rPr>
        <i/>
        <sz val="11"/>
        <color theme="1"/>
        <rFont val="Arial Narrow"/>
        <family val="2"/>
      </rPr>
      <t>Safety Induction</t>
    </r>
    <r>
      <rPr>
        <sz val="11"/>
        <color theme="1"/>
        <rFont val="Arial Narrow"/>
        <family val="2"/>
      </rPr>
      <t>)</t>
    </r>
  </si>
  <si>
    <t>Org</t>
  </si>
  <si>
    <t>Memperhatikan perkiraan jumlah pekerja, tamu, dan staf</t>
  </si>
  <si>
    <r>
      <t>Pertemuan Keselamatan (</t>
    </r>
    <r>
      <rPr>
        <i/>
        <sz val="11"/>
        <color theme="1"/>
        <rFont val="Arial Narrow"/>
        <family val="2"/>
      </rPr>
      <t xml:space="preserve">Safety Talk </t>
    </r>
    <r>
      <rPr>
        <sz val="11"/>
        <color theme="1"/>
        <rFont val="Arial Narrow"/>
        <family val="2"/>
      </rPr>
      <t xml:space="preserve">dan / atau </t>
    </r>
    <r>
      <rPr>
        <i/>
        <sz val="11"/>
        <color theme="1"/>
        <rFont val="Arial Narrow"/>
        <family val="2"/>
      </rPr>
      <t>Tool Box Meeting</t>
    </r>
    <r>
      <rPr>
        <sz val="11"/>
        <color theme="1"/>
        <rFont val="Arial Narrow"/>
        <family val="2"/>
      </rPr>
      <t>)</t>
    </r>
  </si>
  <si>
    <t>Memperhatikan perkiraan jumlah pekerja dan risiko k3 pekerjaan</t>
  </si>
  <si>
    <r>
      <t>Spanduk (</t>
    </r>
    <r>
      <rPr>
        <i/>
        <sz val="11"/>
        <color theme="1"/>
        <rFont val="Arial Narrow"/>
        <family val="2"/>
      </rPr>
      <t>banner</t>
    </r>
    <r>
      <rPr>
        <sz val="11"/>
        <color theme="1"/>
        <rFont val="Arial Narrow"/>
        <family val="2"/>
      </rPr>
      <t>)</t>
    </r>
  </si>
  <si>
    <t>Lbr</t>
  </si>
  <si>
    <t>Memperhatikan lokasi pekerjaan dan waktu
pekerjaan</t>
  </si>
  <si>
    <t>d.</t>
  </si>
  <si>
    <t>Poster</t>
  </si>
  <si>
    <t>e.</t>
  </si>
  <si>
    <t>Papan Informasi K3</t>
  </si>
  <si>
    <t>Memperhatikan risiko k3 pekerjaan</t>
  </si>
  <si>
    <t>B.</t>
  </si>
  <si>
    <t>Sub Total Sosialisasi, Promosi dan Pelatihan</t>
  </si>
  <si>
    <t>III.</t>
  </si>
  <si>
    <t>ALAT PELINDUNG KERJA (APK) DAN ALAT PELINDUNG DIRI (APD):</t>
  </si>
  <si>
    <t>APK Antara Lain:</t>
  </si>
  <si>
    <t>Pembatas Area (Restricted Area) / Safety Line</t>
  </si>
  <si>
    <t>Sesuai kebutuhan</t>
  </si>
  <si>
    <t>APD Antara Lain:</t>
  </si>
  <si>
    <r>
      <t>Topi Pelindung (</t>
    </r>
    <r>
      <rPr>
        <i/>
        <sz val="11"/>
        <color theme="1"/>
        <rFont val="Arial Narrow"/>
        <family val="2"/>
      </rPr>
      <t>Safety Helmet</t>
    </r>
    <r>
      <rPr>
        <sz val="11"/>
        <color theme="1"/>
        <rFont val="Arial Narrow"/>
        <family val="2"/>
      </rPr>
      <t>)</t>
    </r>
  </si>
  <si>
    <t>Memperhatikan perkiraan jumlah pekerja tamu dan staf</t>
  </si>
  <si>
    <t>https://tkdn.kemenperin.go.id/sertifikat_perush.php?id=LXgDzIgDALi1Ge2ukHE7ZXx53avqEQjgBFBeb1z21ps,&amp;id_siinas=LXgDzIgDALi1Ge2ukHE7ZXx53avqEQjgBFBeb1z21ps,</t>
  </si>
  <si>
    <r>
      <t>Sarung Tangan (</t>
    </r>
    <r>
      <rPr>
        <i/>
        <sz val="11"/>
        <color theme="1"/>
        <rFont val="Arial Narrow"/>
        <family val="2"/>
      </rPr>
      <t>Safety Gloves</t>
    </r>
    <r>
      <rPr>
        <sz val="11"/>
        <color theme="1"/>
        <rFont val="Arial Narrow"/>
        <family val="2"/>
      </rPr>
      <t xml:space="preserve">) </t>
    </r>
  </si>
  <si>
    <t>Psg</t>
  </si>
  <si>
    <t>https://tkdn.kemenperin.go.id/sertifikat_perush.php?id=w-Y65P5c9W2YTOjPtMbiggEIxZYqgOC_2uf6vZXvY1s,&amp;id_siinas=vq2DN3VwRxHs25X0BxmbQiFY8n_irbYjEg-5_LMePFo,</t>
  </si>
  <si>
    <r>
      <t>Sepatu Keselamatan (</t>
    </r>
    <r>
      <rPr>
        <i/>
        <sz val="11"/>
        <rFont val="Arial Narrow"/>
        <family val="2"/>
      </rPr>
      <t>Safety Shoes</t>
    </r>
    <r>
      <rPr>
        <sz val="11"/>
        <rFont val="Arial Narrow"/>
        <family val="2"/>
      </rPr>
      <t xml:space="preserve">) </t>
    </r>
  </si>
  <si>
    <t xml:space="preserve">Memperhatikan perkiraan jumlah pekerja tamu dan staf </t>
  </si>
  <si>
    <t>https://tkdn.kemenperin.go.id/sertifikat_perush.php?id=qlXiOPwQVC1Ugd23hMrAjlt4wrfHvpLDs0C4F-q3-1E,&amp;id_siinas=ajfIiFxWAc5tzDubq0-dX0MfNpFQ5ktPydWY9IqmyXk,</t>
  </si>
  <si>
    <r>
      <t>Rompi Keselamatan (</t>
    </r>
    <r>
      <rPr>
        <i/>
        <sz val="11"/>
        <color theme="1"/>
        <rFont val="Arial Narrow"/>
        <family val="2"/>
      </rPr>
      <t>Safety Vest</t>
    </r>
    <r>
      <rPr>
        <sz val="11"/>
        <color theme="1"/>
        <rFont val="Arial Narrow"/>
        <family val="2"/>
      </rPr>
      <t>)</t>
    </r>
  </si>
  <si>
    <t>https://tkdn.kemenperin.go.id/sertifikat_perush.php?id=BwjfXmFNy_PcPmlGSjWRfwFf_0CbZkh4h9MFN_ZqS8A,&amp;id_siinas=cKhWiTRLRcHuRXFwucFMztay0TF-lws89_R8XrROL5Y,</t>
  </si>
  <si>
    <t>C.</t>
  </si>
  <si>
    <t>Sub Total Alat Pelindung Kerja dan Alat Pelindung Diri</t>
  </si>
  <si>
    <t>IV.</t>
  </si>
  <si>
    <t>ASURANSI DAN PERIZINAN:</t>
  </si>
  <si>
    <t>Asuransi JKK dan JKM</t>
  </si>
  <si>
    <t>D.</t>
  </si>
  <si>
    <t>Sub Total Asuransi dan Perizinan</t>
  </si>
  <si>
    <t>V.</t>
  </si>
  <si>
    <t>PERSONEL K3 KONSTRUKSI:</t>
  </si>
  <si>
    <t>E.</t>
  </si>
  <si>
    <t>Sub Total Personel K3 Konstruksi</t>
  </si>
  <si>
    <t>VI.</t>
  </si>
  <si>
    <t>FASILITAS, SARANA DAN PRASARANA KESEHATAN:</t>
  </si>
  <si>
    <t xml:space="preserve">Peralatan P3K Umum (Kotak P3K, Obat Luka, Perban,dll) </t>
  </si>
  <si>
    <t>Memperhatikan perkiraan jumlah pekerja
dan risiko k3 pekerjaan</t>
  </si>
  <si>
    <t>F.</t>
  </si>
  <si>
    <t>Sub Total Fasilitas, Sarana, dan Prasarana Kesehatan</t>
  </si>
  <si>
    <t>VII.</t>
  </si>
  <si>
    <t>RAMBU-RAMBU YANG DIPERLUKAN:</t>
  </si>
  <si>
    <t>Rambu Petunjuk</t>
  </si>
  <si>
    <t>https://tkdn.kemenperin.go.id/sertifikat_perush.php?id=QSsoMNgrkDEYcCxSuXBQOYxgtTtMbAZEyUEZIjoHkeM,&amp;id_siinas=e_LvgcF-xqow-MxHTRxjI-78147nnLCAUxKl7HxUfnc,</t>
  </si>
  <si>
    <t xml:space="preserve">Rambu Larangan </t>
  </si>
  <si>
    <t>Rambu Peringatan</t>
  </si>
  <si>
    <t>Rambu Kewajiban</t>
  </si>
  <si>
    <t>G.</t>
  </si>
  <si>
    <t>Sub Total Rambu-rambu yang Diperlukan</t>
  </si>
  <si>
    <t>VIII.</t>
  </si>
  <si>
    <t>KONSULTASI DENGAN AHLI TERKAIT KESELAMATAN KONSTRUKSI:</t>
  </si>
  <si>
    <t>Ahli Lingkungan</t>
  </si>
  <si>
    <t>Sesuai kebutuhan memperhatikan jenis pekerjaan dan waktu pelaksanaan pekerjaan</t>
  </si>
  <si>
    <t>Ahli Perpipaan</t>
  </si>
  <si>
    <t>H.</t>
  </si>
  <si>
    <t>Sub Total Konsultasi dengan Ahli Terkait Keselamatan Konstruksi</t>
  </si>
  <si>
    <t>IX.</t>
  </si>
  <si>
    <t>LAIN-LAIN TERKAIT PENGENDALIAN RISIKO KESELAMATAN KONSTRUKSI:</t>
  </si>
  <si>
    <t xml:space="preserve">Sesuai kebutuhan memperhatikan jenis pekerjaan dan risiko k3 pekerjaan </t>
  </si>
  <si>
    <t>https://tkdn.kemenperin.go.id/sertifikat_perush.php?id=PoGlz6lDNjHjW3VZldQ4WzigaYNafopxEMoEvdhwHhY,&amp;id_siinas=MR8DDg3dPaYUSfFePML5VMM14cs-AdtXrfiG2349nWY,</t>
  </si>
  <si>
    <t xml:space="preserve">Sirine </t>
  </si>
  <si>
    <t>Bendera K3</t>
  </si>
  <si>
    <r>
      <t>Lampu Darurat (</t>
    </r>
    <r>
      <rPr>
        <i/>
        <sz val="11"/>
        <color theme="1"/>
        <rFont val="Arial Narrow"/>
        <family val="2"/>
      </rPr>
      <t>Emergency Lamp</t>
    </r>
    <r>
      <rPr>
        <sz val="11"/>
        <color theme="1"/>
        <rFont val="Arial Narrow"/>
        <family val="2"/>
      </rPr>
      <t xml:space="preserve">) </t>
    </r>
  </si>
  <si>
    <t>https://tkdn.kemenperin.go.id/sertifikat_perush.php?id=1dU3IX_7z_CFV_eTU6p_b-V79Fe7qPLM64ZY5mFyRqE,&amp;id_siinas=j-Mc25-YrBhQ_AWr_-pp_xsKj_I_g5hXg-o_dsButnI,</t>
  </si>
  <si>
    <t xml:space="preserve">Pembuatan Kartu Identitas Pekerja (KIP) </t>
  </si>
  <si>
    <t>Lb</t>
  </si>
  <si>
    <t>Sesuai kebutuhan memperhatikan jumlah pekerja</t>
  </si>
  <si>
    <t xml:space="preserve">Program Inspeksi dan Audit Internal </t>
  </si>
  <si>
    <t>Sesuai kebutuhan memperhatikan jenis dan waktu pekerjaan</t>
  </si>
  <si>
    <t>f.</t>
  </si>
  <si>
    <t>Pelaporan dan Penyelidikan Insiden</t>
  </si>
  <si>
    <t>Sub Total Lain-lain Terkait Pengendalian Risiko Keselamatan Konstruksi</t>
  </si>
  <si>
    <t>JUMLAH I + II + III + IV + V + VI + VII + VIII + IX</t>
  </si>
  <si>
    <t>Sewa Direksi Keet</t>
  </si>
  <si>
    <t>Bata ringan tebal 7.5 cm</t>
  </si>
  <si>
    <t>Bata ringan t=7.5 cm</t>
  </si>
  <si>
    <t>Pemasangan 1 m2 dinding bata ringan tebal 7.5 cm dengan mortar siap pakai</t>
  </si>
  <si>
    <t xml:space="preserve">RENCANA ANGGARAN BIAYA </t>
  </si>
  <si>
    <t>Item Pekerjaan</t>
  </si>
  <si>
    <t>Volume</t>
  </si>
  <si>
    <t>Bobot Pekerjaan terhadap Nilai HPS</t>
  </si>
  <si>
    <t>Kode Produk</t>
  </si>
  <si>
    <t>Bidang Master Produk</t>
  </si>
  <si>
    <t>Bidang SBU terkait</t>
  </si>
  <si>
    <t>Rekomendasi Metode Pemilihan per item pekerjaan</t>
  </si>
  <si>
    <t>Ket</t>
  </si>
  <si>
    <t>e-purchasing</t>
  </si>
  <si>
    <t>1 m 3 Lisplank Beton Bertulang (150 kg + Bekisting)</t>
  </si>
  <si>
    <t>Pemasanga 1 Unit Stop Kontak (1 P, 10 A, 200 W+ cover,hand Dryer 1 Ph. 1000 w)</t>
  </si>
  <si>
    <t>Pengadaan dan Pemasangan Tangki Septik Konvensional Tipe 3 KK + Sumur Resapan + Grease Trap</t>
  </si>
  <si>
    <t xml:space="preserve">  </t>
  </si>
  <si>
    <t>Pemasangan Signage Acrylic</t>
  </si>
  <si>
    <t>Induksi K3 (Safety Induction)</t>
  </si>
  <si>
    <t>komp.2.a</t>
  </si>
  <si>
    <t>Pertemuan Keselamatan (Safety Talk dan / atau Tool Box Meeting)</t>
  </si>
  <si>
    <t>komp.2.e</t>
  </si>
  <si>
    <t>Topi Pelindung (Safety Helmet)</t>
  </si>
  <si>
    <t>komp.3.k</t>
  </si>
  <si>
    <t xml:space="preserve">Sarung Tangan (Safety Gloves) </t>
  </si>
  <si>
    <t>komp.3.s</t>
  </si>
  <si>
    <t xml:space="preserve">Sepatu Keselamatan (Safety Shoes) </t>
  </si>
  <si>
    <t>psg</t>
  </si>
  <si>
    <t>komp.3.t</t>
  </si>
  <si>
    <t>Rompi Keselamatan (Safety Vest)</t>
  </si>
  <si>
    <t>komp.3.y</t>
  </si>
  <si>
    <t xml:space="preserve">Peralatan P3K Umum (Kotak P3K, Tandu, Obat Luka, Perban,dll) </t>
  </si>
  <si>
    <t>komp.6.a</t>
  </si>
  <si>
    <t>Harga Satuan</t>
  </si>
  <si>
    <t>Jumlah</t>
  </si>
  <si>
    <t>Pekerjaan Persiapan</t>
  </si>
  <si>
    <t>Pekerjaan Tanah</t>
  </si>
  <si>
    <t>Pekerjaan Pondasi</t>
  </si>
  <si>
    <t>Pekerjaan Beton</t>
  </si>
  <si>
    <t>Pekerjaan Sloof Beton</t>
  </si>
  <si>
    <t>Pekerjaan Kolom Beton</t>
  </si>
  <si>
    <t>Pekerjaan Balok Beton</t>
  </si>
  <si>
    <t>Pekerjaan Plat Beton</t>
  </si>
  <si>
    <t>Pekerjaan Dinding</t>
  </si>
  <si>
    <t>Pekerjaan Penutup Lantai dan Dinding</t>
  </si>
  <si>
    <t>Pekerjaan Langit-Langit</t>
  </si>
  <si>
    <t>Pekerjaan Sanitasi</t>
  </si>
  <si>
    <t>Pekerjaan Pengecatan</t>
  </si>
  <si>
    <t>Pekerjaan Listrik</t>
  </si>
  <si>
    <t>Pekerjaan Lain-Lain</t>
  </si>
  <si>
    <t>Pekerjaan Atap</t>
  </si>
  <si>
    <t>IV</t>
  </si>
  <si>
    <t>VI</t>
  </si>
  <si>
    <t>VII</t>
  </si>
  <si>
    <t>VIII</t>
  </si>
  <si>
    <t>IX</t>
  </si>
  <si>
    <t>XI</t>
  </si>
  <si>
    <t>XII</t>
  </si>
  <si>
    <t>XIV</t>
  </si>
  <si>
    <t>JUMLAH</t>
  </si>
  <si>
    <t xml:space="preserve">REKAPITULASI RENCANA ANGGARAN BIAYA </t>
  </si>
  <si>
    <t>Jumlah Harga Satuan</t>
  </si>
  <si>
    <t>paket</t>
  </si>
  <si>
    <t>XIII</t>
  </si>
  <si>
    <t xml:space="preserve">PPN </t>
  </si>
  <si>
    <t>Dibulatkan</t>
  </si>
  <si>
    <t>Terbilang</t>
  </si>
  <si>
    <t>Jangka Waktu Pelaksanaan</t>
  </si>
  <si>
    <t>45 (Empat Puluh Lima) Hari Kalender</t>
  </si>
  <si>
    <t>UNIT KERJA                              : DINAS PERUMAHAN DAN KAWASAN PERMUKIMAN</t>
  </si>
  <si>
    <t>PROGRAM                                : PROGRAM PENGELOLAAN DAN PENGEMBANGAN SISTEM AIR LIMBAH</t>
  </si>
  <si>
    <t>KEGIATAN                                : PENGELOLAAN DAN PENGEMBANGAN SISTEM AIR LIMBAH DOMESTIK DALAM DAERAH KABUPATEN/KOTA</t>
  </si>
  <si>
    <t>PEKERJAAN                              :</t>
  </si>
  <si>
    <t>LOKASI PEKERJAAN                :</t>
  </si>
  <si>
    <t>SUMBER DANA                       :</t>
  </si>
  <si>
    <t>TAHUN ANGGARAN               :</t>
  </si>
  <si>
    <r>
      <t>m</t>
    </r>
    <r>
      <rPr>
        <sz val="11"/>
        <color theme="1"/>
        <rFont val="Calibri"/>
        <family val="2"/>
      </rPr>
      <t>²</t>
    </r>
  </si>
  <si>
    <t>VOL</t>
  </si>
  <si>
    <t>12PK</t>
  </si>
  <si>
    <t>6PK</t>
  </si>
  <si>
    <t>SUMUR</t>
  </si>
  <si>
    <t>17PK</t>
  </si>
  <si>
    <t>21PK</t>
  </si>
  <si>
    <t>Pekerjaan Lisplank Beton</t>
  </si>
  <si>
    <t>Pemasangan 1 m2 bekisting untuk Lisplank</t>
  </si>
  <si>
    <t>1 kg Penulangan Lisplank diameter &lt;12 mm</t>
  </si>
  <si>
    <t>1 Unit</t>
  </si>
  <si>
    <t>Pas. mesin pompa air 125 Watt</t>
  </si>
  <si>
    <t>Pompa Air Jet Pump</t>
  </si>
  <si>
    <t>Ongkos Pasang</t>
  </si>
  <si>
    <t>20% x bahan</t>
  </si>
  <si>
    <t>J u m l a h</t>
  </si>
  <si>
    <t>Rp.</t>
  </si>
  <si>
    <t>Keuntungan 15%</t>
  </si>
  <si>
    <t>Jumlah Total</t>
  </si>
  <si>
    <t>23PK</t>
  </si>
  <si>
    <t>Pekerjaan Plat Lantai Beton</t>
  </si>
  <si>
    <t>Biaya Pasang</t>
  </si>
  <si>
    <t>Bangtah</t>
  </si>
  <si>
    <t>Pemasangan 1 m2 atap metal berpasir</t>
  </si>
  <si>
    <t>Pemasangan 1 m2 rangka plafon besi hollow 40.40, modul 60x120 cm</t>
  </si>
  <si>
    <t xml:space="preserve"> 1 m3 beton mutu sedang f'c 15 MPa, slump (100 ± 25) mm, agregat maks 19 mm secara manual</t>
  </si>
  <si>
    <t>Pemasangan 1 Buah  fitting lampu SL ex. Brocco</t>
  </si>
  <si>
    <t>Pemasangan 1 lampu LED Bulp 8 Watt Philips</t>
  </si>
  <si>
    <t>Pemasanga 1 Unit Stop Kontak ex. Brocco</t>
  </si>
  <si>
    <t>Pemasangan 1 m2 atap metal lapis pasir</t>
  </si>
  <si>
    <t>Atap metal lapis pasir</t>
  </si>
  <si>
    <t>bangtah</t>
  </si>
  <si>
    <t>Membereskan Sisa Pekerjaan</t>
  </si>
  <si>
    <t>Filter (Bahan Limbah Air Mineral Botol)</t>
  </si>
  <si>
    <t>Komponen Resapan (Ijuk, Krikil dan Batu Belah)</t>
  </si>
  <si>
    <t xml:space="preserve">UNIT KERJA                              </t>
  </si>
  <si>
    <t>: DINAS PERUMAHAN DAN KAWASAN PERMUKIMAN</t>
  </si>
  <si>
    <t xml:space="preserve">PROGRAM                                </t>
  </si>
  <si>
    <t>: PROGRAM PENGELOLAAN DAN PENGEMBANGAN SISTEM AIR LIMBAH</t>
  </si>
  <si>
    <t xml:space="preserve">KEGIATAN                                </t>
  </si>
  <si>
    <t>: PEMBANGUNAN MCK INDIVIDU DESA CILOTO KEC. CIPANAS</t>
  </si>
  <si>
    <t>: DESA CILOTO KECAMATAN CIPANAS</t>
  </si>
  <si>
    <t>: DAU</t>
  </si>
  <si>
    <t>: 2026</t>
  </si>
  <si>
    <t xml:space="preserve">TAHUN ANGGARAN               </t>
  </si>
  <si>
    <t xml:space="preserve">SUMBER DANA                       </t>
  </si>
  <si>
    <t xml:space="preserve">LOKASI PEKERJAAN                </t>
  </si>
  <si>
    <t xml:space="preserve">PEKERJAAN                              </t>
  </si>
  <si>
    <t xml:space="preserve">: PENGELOLAAN DAN PENGEMBANGAN SISTEM AIR LIMBAH DOMESTIK DALAM </t>
  </si>
  <si>
    <t xml:space="preserve">  DAERAH KABUPATEN/KOTA</t>
  </si>
  <si>
    <t>Lokasi I</t>
  </si>
  <si>
    <t>Lokasi II</t>
  </si>
  <si>
    <t>Disusun dan Ditetapkan Oleh :</t>
  </si>
  <si>
    <t>Kepala Bidang Air Minum dan Sanitasi</t>
  </si>
  <si>
    <t xml:space="preserve"> Dinas Perumahan dan Kawasan Permukiman Kabupaten Cianjur </t>
  </si>
  <si>
    <t>Cianjur,                                            2026</t>
  </si>
  <si>
    <t>Selaku Pejabat Pembuat Komitmen TA. 2026</t>
  </si>
  <si>
    <t>AGUNG DELI SAHPUTRA, ST</t>
  </si>
  <si>
    <t>NIP. 19771121 200604 1 010</t>
  </si>
  <si>
    <t>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</si>
</sst>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 * #,##0.00_ ;_ * \-#,##0.00_ ;_ * &quot;-&quot;??_ ;_ @_ "/>
    <numFmt numFmtId="168" formatCode="0.000"/>
    <numFmt numFmtId="169" formatCode="0.00000"/>
    <numFmt numFmtId="170" formatCode="0.0000"/>
    <numFmt numFmtId="171" formatCode="0.000000"/>
    <numFmt numFmtId="172" formatCode="_(&quot;Rp&quot;* #,##0_);_(&quot;Rp&quot;* \(#,##0\);_(&quot;Rp&quot;* &quot;-&quot;_);_(@_)"/>
    <numFmt numFmtId="173" formatCode="0."/>
    <numFmt numFmtId="174" formatCode="0.0"/>
    <numFmt numFmtId="175" formatCode="_(&quot;Rp&quot;* #,##0.00_);_(&quot;Rp&quot;* \(#,##0.00\);_(&quot;Rp&quot;* &quot;-&quot;_);_(@_)"/>
    <numFmt numFmtId="176" formatCode="_-* #,##0.00_-;\-* #,##0.00_-;_-* &quot;-&quot;_-;_-@_-"/>
    <numFmt numFmtId="177" formatCode="_(* #,##0.00_);_(* \(#,##0.00\);_(* &quot;-&quot;_);_(@_)"/>
    <numFmt numFmtId="178" formatCode="_-* #,##0.0_-;\-* #,##0.0_-;_-* &quot;-&quot;_-;_-@_-"/>
    <numFmt numFmtId="179" formatCode="_-* #,##0.00000_-;\-* #,##0.00000_-;_-* &quot;-&quot;_-;_-@_-"/>
    <numFmt numFmtId="180" formatCode="_-* #,##0.0_-;\-* #,##0.0_-;_-* &quot;-&quot;?_-;_-@_-"/>
    <numFmt numFmtId="181" formatCode="_-* #,##0.00_-;\-* #,##0.00_-;_-* &quot;-&quot;?_-;_-@_-"/>
    <numFmt numFmtId="182" formatCode="#,##0.00000"/>
    <numFmt numFmtId="183" formatCode="_-* #,##0.0000_-;\-* #,##0.0000_-;_-* &quot;-&quot;_-;_-@_-"/>
    <numFmt numFmtId="184" formatCode="0.0000000"/>
    <numFmt numFmtId="185" formatCode=";;;"/>
    <numFmt numFmtId="186" formatCode="_-* #,##0.00_-;_-* #,##0.00\-;_-* &quot;-&quot;_-;_-@_-"/>
    <numFmt numFmtId="187" formatCode="_(* #,##0.0000_);_(* \(#,##0.0000\);_(* &quot;-&quot;_);_(@_)"/>
    <numFmt numFmtId="188" formatCode="_-&quot;Rp&quot;* #,##0.00_-;\-&quot;Rp&quot;* #,##0.00_-;_-&quot;Rp&quot;* &quot;-&quot;_-;_-@_-"/>
    <numFmt numFmtId="189" formatCode="_(* #,##0.00000_);_(* \(#,##0.00000\);_(* &quot;-&quot;_);_(@_)"/>
    <numFmt numFmtId="190" formatCode="_(* #,##0.000_);_(* \(#,##0.000\);_(* &quot;-&quot;_);_(@_)"/>
    <numFmt numFmtId="191" formatCode="_-[$Rp-3809]* #,##0.00_-;\-[$Rp-3809]* #,##0.00_-;_-[$Rp-3809]* &quot;-&quot;??_-;_-@_-"/>
    <numFmt numFmtId="192" formatCode="_(* #,##0.0000_);_(* \(#,##0.0000\);_(* &quot;-&quot;??_);_(@_)"/>
    <numFmt numFmtId="193" formatCode="_(* #,##0.000_);_(* \(#,##0.000\);_(* &quot;-&quot;??_);_(@_)"/>
  </numFmts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NewsGoth Cn BT"/>
    </font>
    <font>
      <sz val="11"/>
      <name val="NewsGoth Cn B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NewsGoth Cn BT"/>
    </font>
    <font>
      <b/>
      <sz val="11"/>
      <color rgb="FF000000"/>
      <name val="NewsGoth Cn BT"/>
    </font>
    <font>
      <b/>
      <sz val="11"/>
      <color rgb="FF000000"/>
      <name val="Times New Roman"/>
      <family val="1"/>
    </font>
    <font>
      <sz val="11"/>
      <color rgb="FFFF0000"/>
      <name val="Arial"/>
      <family val="2"/>
    </font>
    <font>
      <b/>
      <vertAlign val="superscript"/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8.25"/>
      <name val="Arial"/>
      <family val="2"/>
    </font>
    <font>
      <b/>
      <sz val="11"/>
      <color rgb="FF000000"/>
      <name val="Calibri"/>
      <family val="2"/>
    </font>
    <font>
      <b/>
      <sz val="7.8"/>
      <color rgb="FF000000"/>
      <name val="Arial"/>
      <family val="2"/>
    </font>
    <font>
      <sz val="8"/>
      <name val="Arial"/>
      <family val="2"/>
    </font>
    <font>
      <b/>
      <i/>
      <u/>
      <sz val="11"/>
      <color rgb="FF000000"/>
      <name val="Arial"/>
      <family val="2"/>
    </font>
    <font>
      <b/>
      <sz val="10"/>
      <name val="Roboto"/>
    </font>
    <font>
      <sz val="10"/>
      <name val="Roboto"/>
    </font>
    <font>
      <b/>
      <sz val="11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11"/>
      <name val="Roboto"/>
    </font>
    <font>
      <sz val="11"/>
      <color rgb="FFFF0000"/>
      <name val="Roboto"/>
    </font>
    <font>
      <vertAlign val="superscript"/>
      <sz val="11"/>
      <name val="Roboto"/>
    </font>
    <font>
      <i/>
      <sz val="11"/>
      <name val="Roboto"/>
    </font>
    <font>
      <b/>
      <vertAlign val="superscript"/>
      <sz val="11"/>
      <color rgb="FF000000"/>
      <name val="Roboto"/>
    </font>
    <font>
      <b/>
      <sz val="11"/>
      <color rgb="FFFF0000"/>
      <name val="Roboto"/>
    </font>
    <font>
      <b/>
      <i/>
      <sz val="11"/>
      <color rgb="FF000000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4"/>
      <name val="Roboto"/>
    </font>
    <font>
      <sz val="10"/>
      <color rgb="FFFF0000"/>
      <name val="Roboto"/>
    </font>
    <font>
      <sz val="10"/>
      <name val="Arial"/>
      <family val="2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u/>
      <sz val="11"/>
      <color theme="10"/>
      <name val="Calibri"/>
      <family val="2"/>
    </font>
    <font>
      <sz val="11"/>
      <color theme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u/>
      <sz val="10"/>
      <name val="Calibri Light"/>
      <family val="1"/>
      <scheme val="major"/>
    </font>
    <font>
      <b/>
      <u/>
      <sz val="10"/>
      <name val="Calibri Light"/>
      <family val="1"/>
      <scheme val="major"/>
    </font>
    <font>
      <b/>
      <sz val="10"/>
      <name val="Arial Narrow"/>
      <family val="2"/>
    </font>
    <font>
      <sz val="10"/>
      <name val="Arial Narrow"/>
      <family val="2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5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1"/>
      <name val="Arial Narrow"/>
      <family val="2"/>
    </font>
    <font>
      <u/>
      <sz val="10"/>
      <color theme="10"/>
      <name val="Arial Narrow"/>
      <family val="2"/>
    </font>
    <font>
      <i/>
      <sz val="1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Swis721 Cn BT"/>
      <family val="2"/>
    </font>
    <font>
      <sz val="9"/>
      <name val="Swis721 Cn BT"/>
      <family val="2"/>
    </font>
    <font>
      <sz val="10"/>
      <color indexed="8"/>
      <name val="Arial Narrow"/>
      <family val="2"/>
    </font>
    <font>
      <b/>
      <u/>
      <sz val="1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rgb="FF92D050"/>
        <bgColor indexed="64"/>
      </patternFill>
    </fill>
  </fills>
  <borders count="1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167" fontId="3" fillId="0" borderId="0" applyFon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42" fontId="44" fillId="0" borderId="0" applyFont="0" applyFill="0" applyBorder="0" applyAlignment="0" applyProtection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41" fontId="2" fillId="0" borderId="0" applyFont="0" applyFill="0" applyBorder="0" applyAlignment="0" applyProtection="0"/>
    <xf numFmtId="0" fontId="53" fillId="0" borderId="0"/>
    <xf numFmtId="43" fontId="3" fillId="0" borderId="0"/>
    <xf numFmtId="4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62" fillId="0" borderId="0"/>
    <xf numFmtId="41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70" fillId="0" borderId="0" applyNumberFormat="0" applyFill="0" applyBorder="0" applyAlignment="0" applyProtection="0"/>
  </cellStyleXfs>
  <cellXfs count="193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5" fontId="6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5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5" fontId="6" fillId="0" borderId="0" xfId="0" applyNumberFormat="1" applyFont="1" applyAlignment="1">
      <alignment horizontal="left" vertical="center" wrapText="1"/>
    </xf>
    <xf numFmtId="165" fontId="6" fillId="0" borderId="0" xfId="0" applyNumberFormat="1" applyFont="1">
      <alignment vertical="center"/>
    </xf>
    <xf numFmtId="0" fontId="9" fillId="3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left" vertical="center"/>
    </xf>
    <xf numFmtId="165" fontId="5" fillId="0" borderId="0" xfId="0" applyNumberFormat="1" applyFont="1">
      <alignment vertical="center"/>
    </xf>
    <xf numFmtId="0" fontId="9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165" fontId="5" fillId="3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65" fontId="6" fillId="2" borderId="0" xfId="0" applyNumberFormat="1" applyFont="1" applyFill="1">
      <alignment vertical="center"/>
    </xf>
    <xf numFmtId="4" fontId="9" fillId="0" borderId="5" xfId="0" applyNumberFormat="1" applyFont="1" applyBorder="1" applyAlignment="1">
      <alignment horizontal="right" vertical="center" shrinkToFit="1"/>
    </xf>
    <xf numFmtId="175" fontId="6" fillId="3" borderId="5" xfId="0" applyNumberFormat="1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right" vertical="center" shrinkToFit="1"/>
    </xf>
    <xf numFmtId="0" fontId="6" fillId="3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 shrinkToFit="1"/>
    </xf>
    <xf numFmtId="175" fontId="6" fillId="4" borderId="5" xfId="0" applyNumberFormat="1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1" fontId="6" fillId="0" borderId="5" xfId="0" applyNumberFormat="1" applyFont="1" applyBorder="1" applyAlignment="1">
      <alignment horizontal="left" vertical="center"/>
    </xf>
    <xf numFmtId="1" fontId="5" fillId="0" borderId="5" xfId="0" applyNumberFormat="1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9" fillId="5" borderId="0" xfId="0" applyFont="1" applyFill="1" applyAlignment="1">
      <alignment horizontal="center" vertical="top"/>
    </xf>
    <xf numFmtId="0" fontId="9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left" vertical="top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top"/>
    </xf>
    <xf numFmtId="0" fontId="6" fillId="5" borderId="13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horizontal="left" wrapText="1"/>
    </xf>
    <xf numFmtId="0" fontId="10" fillId="5" borderId="14" xfId="0" applyFont="1" applyFill="1" applyBorder="1" applyAlignment="1">
      <alignment horizontal="left" wrapText="1"/>
    </xf>
    <xf numFmtId="0" fontId="6" fillId="5" borderId="0" xfId="0" applyFont="1" applyFill="1">
      <alignment vertical="center"/>
    </xf>
    <xf numFmtId="1" fontId="10" fillId="5" borderId="13" xfId="0" applyNumberFormat="1" applyFont="1" applyFill="1" applyBorder="1" applyAlignment="1">
      <alignment horizontal="center" vertical="top" shrinkToFit="1"/>
    </xf>
    <xf numFmtId="0" fontId="6" fillId="5" borderId="5" xfId="0" applyFont="1" applyFill="1" applyBorder="1" applyAlignment="1">
      <alignment horizontal="center" vertical="top" wrapText="1"/>
    </xf>
    <xf numFmtId="168" fontId="10" fillId="5" borderId="5" xfId="0" applyNumberFormat="1" applyFont="1" applyFill="1" applyBorder="1" applyAlignment="1">
      <alignment horizontal="right" vertical="top" shrinkToFit="1"/>
    </xf>
    <xf numFmtId="4" fontId="10" fillId="5" borderId="5" xfId="0" applyNumberFormat="1" applyFont="1" applyFill="1" applyBorder="1" applyAlignment="1">
      <alignment horizontal="right" vertical="top" shrinkToFit="1"/>
    </xf>
    <xf numFmtId="4" fontId="10" fillId="5" borderId="14" xfId="0" applyNumberFormat="1" applyFont="1" applyFill="1" applyBorder="1" applyAlignment="1">
      <alignment horizontal="right" vertical="top" shrinkToFit="1"/>
    </xf>
    <xf numFmtId="9" fontId="6" fillId="5" borderId="0" xfId="0" applyNumberFormat="1" applyFont="1" applyFill="1">
      <alignment vertical="center"/>
    </xf>
    <xf numFmtId="0" fontId="6" fillId="5" borderId="22" xfId="0" applyFont="1" applyFill="1" applyBorder="1" applyAlignment="1">
      <alignment horizontal="centerContinuous" vertical="center"/>
    </xf>
    <xf numFmtId="0" fontId="6" fillId="5" borderId="8" xfId="0" applyFont="1" applyFill="1" applyBorder="1" applyAlignment="1">
      <alignment horizontal="centerContinuous" vertical="center"/>
    </xf>
    <xf numFmtId="168" fontId="6" fillId="5" borderId="8" xfId="0" applyNumberFormat="1" applyFont="1" applyFill="1" applyBorder="1" applyAlignment="1">
      <alignment horizontal="centerContinuous" vertical="center"/>
    </xf>
    <xf numFmtId="0" fontId="6" fillId="5" borderId="9" xfId="0" applyFont="1" applyFill="1" applyBorder="1" applyAlignment="1">
      <alignment horizontal="centerContinuous" vertical="center"/>
    </xf>
    <xf numFmtId="0" fontId="10" fillId="5" borderId="5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horizontal="center" vertical="top"/>
    </xf>
    <xf numFmtId="41" fontId="6" fillId="5" borderId="14" xfId="0" applyNumberFormat="1" applyFont="1" applyFill="1" applyBorder="1" applyAlignment="1">
      <alignment horizontal="right" vertical="top" wrapText="1" indent="1"/>
    </xf>
    <xf numFmtId="0" fontId="10" fillId="5" borderId="13" xfId="0" applyFont="1" applyFill="1" applyBorder="1" applyAlignment="1">
      <alignment horizontal="center" vertical="top"/>
    </xf>
    <xf numFmtId="0" fontId="10" fillId="5" borderId="7" xfId="0" applyFont="1" applyFill="1" applyBorder="1" applyAlignment="1">
      <alignment vertical="top"/>
    </xf>
    <xf numFmtId="0" fontId="10" fillId="5" borderId="8" xfId="0" applyFont="1" applyFill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0" fillId="5" borderId="0" xfId="0" applyFont="1" applyFill="1" applyAlignment="1"/>
    <xf numFmtId="9" fontId="10" fillId="5" borderId="5" xfId="0" applyNumberFormat="1" applyFont="1" applyFill="1" applyBorder="1" applyAlignment="1">
      <alignment vertical="top"/>
    </xf>
    <xf numFmtId="0" fontId="10" fillId="5" borderId="17" xfId="0" applyFont="1" applyFill="1" applyBorder="1" applyAlignment="1">
      <alignment horizontal="center" vertical="top"/>
    </xf>
    <xf numFmtId="0" fontId="10" fillId="5" borderId="18" xfId="0" applyFont="1" applyFill="1" applyBorder="1" applyAlignment="1">
      <alignment vertical="top"/>
    </xf>
    <xf numFmtId="0" fontId="10" fillId="5" borderId="19" xfId="0" applyFont="1" applyFill="1" applyBorder="1" applyAlignment="1">
      <alignment vertical="top"/>
    </xf>
    <xf numFmtId="0" fontId="10" fillId="5" borderId="20" xfId="0" applyFont="1" applyFill="1" applyBorder="1" applyAlignment="1">
      <alignment vertical="top"/>
    </xf>
    <xf numFmtId="4" fontId="9" fillId="5" borderId="21" xfId="0" applyNumberFormat="1" applyFont="1" applyFill="1" applyBorder="1" applyAlignment="1">
      <alignment vertical="top"/>
    </xf>
    <xf numFmtId="0" fontId="10" fillId="5" borderId="0" xfId="0" applyFont="1" applyFill="1" applyAlignment="1">
      <alignment vertical="top"/>
    </xf>
    <xf numFmtId="4" fontId="9" fillId="5" borderId="0" xfId="0" applyNumberFormat="1" applyFont="1" applyFill="1" applyAlignment="1">
      <alignment vertical="top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left" vertical="top" wrapText="1"/>
    </xf>
    <xf numFmtId="4" fontId="9" fillId="5" borderId="0" xfId="0" applyNumberFormat="1" applyFont="1" applyFill="1" applyAlignment="1">
      <alignment horizontal="right" vertical="top" shrinkToFit="1"/>
    </xf>
    <xf numFmtId="0" fontId="6" fillId="5" borderId="13" xfId="0" quotePrefix="1" applyFont="1" applyFill="1" applyBorder="1" applyAlignment="1">
      <alignment horizontal="center" vertical="top" wrapText="1"/>
    </xf>
    <xf numFmtId="0" fontId="10" fillId="5" borderId="5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right" wrapText="1"/>
    </xf>
    <xf numFmtId="0" fontId="6" fillId="5" borderId="0" xfId="0" applyFont="1" applyFill="1" applyAlignment="1">
      <alignment horizontal="center" vertical="top" wrapText="1"/>
    </xf>
    <xf numFmtId="4" fontId="10" fillId="5" borderId="0" xfId="0" applyNumberFormat="1" applyFont="1" applyFill="1" applyAlignment="1">
      <alignment horizontal="right" vertical="top" shrinkToFit="1"/>
    </xf>
    <xf numFmtId="0" fontId="20" fillId="5" borderId="0" xfId="0" applyFont="1" applyFill="1" applyAlignment="1">
      <alignment vertical="center" wrapText="1"/>
    </xf>
    <xf numFmtId="0" fontId="10" fillId="5" borderId="5" xfId="0" applyFont="1" applyFill="1" applyBorder="1" applyAlignment="1">
      <alignment horizontal="right" vertical="top" shrinkToFit="1"/>
    </xf>
    <xf numFmtId="1" fontId="10" fillId="5" borderId="13" xfId="0" quotePrefix="1" applyNumberFormat="1" applyFont="1" applyFill="1" applyBorder="1" applyAlignment="1">
      <alignment horizontal="center" vertical="top" shrinkToFit="1"/>
    </xf>
    <xf numFmtId="41" fontId="10" fillId="5" borderId="14" xfId="0" applyNumberFormat="1" applyFont="1" applyFill="1" applyBorder="1" applyAlignment="1">
      <alignment horizontal="right" vertical="top" shrinkToFit="1"/>
    </xf>
    <xf numFmtId="170" fontId="10" fillId="5" borderId="5" xfId="0" applyNumberFormat="1" applyFont="1" applyFill="1" applyBorder="1" applyAlignment="1">
      <alignment horizontal="right" vertical="top" shrinkToFit="1"/>
    </xf>
    <xf numFmtId="0" fontId="10" fillId="5" borderId="5" xfId="0" applyFont="1" applyFill="1" applyBorder="1" applyAlignment="1">
      <alignment horizontal="center" vertical="center"/>
    </xf>
    <xf numFmtId="170" fontId="10" fillId="5" borderId="5" xfId="0" applyNumberFormat="1" applyFont="1" applyFill="1" applyBorder="1" applyAlignment="1">
      <alignment horizontal="right" wrapText="1"/>
    </xf>
    <xf numFmtId="168" fontId="10" fillId="5" borderId="5" xfId="0" applyNumberFormat="1" applyFont="1" applyFill="1" applyBorder="1" applyAlignment="1">
      <alignment horizontal="right" wrapText="1"/>
    </xf>
    <xf numFmtId="4" fontId="10" fillId="5" borderId="14" xfId="0" applyNumberFormat="1" applyFont="1" applyFill="1" applyBorder="1" applyAlignment="1">
      <alignment horizontal="left" vertical="center" wrapText="1"/>
    </xf>
    <xf numFmtId="0" fontId="16" fillId="5" borderId="22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left" vertical="top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left" vertical="center" wrapText="1"/>
    </xf>
    <xf numFmtId="4" fontId="16" fillId="5" borderId="5" xfId="0" applyNumberFormat="1" applyFont="1" applyFill="1" applyBorder="1" applyAlignment="1">
      <alignment horizontal="right" vertical="top" shrinkToFit="1"/>
    </xf>
    <xf numFmtId="0" fontId="6" fillId="5" borderId="8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center" wrapText="1"/>
    </xf>
    <xf numFmtId="4" fontId="16" fillId="5" borderId="14" xfId="0" applyNumberFormat="1" applyFont="1" applyFill="1" applyBorder="1" applyAlignment="1">
      <alignment horizontal="right" vertical="top" shrinkToFit="1"/>
    </xf>
    <xf numFmtId="0" fontId="16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left" vertical="center"/>
    </xf>
    <xf numFmtId="4" fontId="9" fillId="5" borderId="0" xfId="0" applyNumberFormat="1" applyFont="1" applyFill="1" applyAlignment="1">
      <alignment horizontal="left"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5" fillId="5" borderId="45" xfId="0" applyFont="1" applyFill="1" applyBorder="1">
      <alignment vertical="center"/>
    </xf>
    <xf numFmtId="0" fontId="10" fillId="5" borderId="5" xfId="0" applyFont="1" applyFill="1" applyBorder="1" applyAlignment="1">
      <alignment horizontal="center" vertical="center" wrapText="1"/>
    </xf>
    <xf numFmtId="170" fontId="10" fillId="5" borderId="5" xfId="0" applyNumberFormat="1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center" vertical="center"/>
    </xf>
    <xf numFmtId="168" fontId="10" fillId="5" borderId="5" xfId="0" applyNumberFormat="1" applyFont="1" applyFill="1" applyBorder="1" applyAlignment="1">
      <alignment horizontal="right" vertical="center" wrapText="1"/>
    </xf>
    <xf numFmtId="0" fontId="9" fillId="5" borderId="0" xfId="0" applyFont="1" applyFill="1" applyAlignment="1">
      <alignment vertical="top"/>
    </xf>
    <xf numFmtId="0" fontId="6" fillId="5" borderId="22" xfId="0" applyFont="1" applyFill="1" applyBorder="1" applyAlignment="1">
      <alignment horizontal="center" vertical="top" wrapText="1"/>
    </xf>
    <xf numFmtId="0" fontId="10" fillId="5" borderId="48" xfId="0" applyFont="1" applyFill="1" applyBorder="1" applyAlignment="1">
      <alignment horizontal="right" vertical="center" wrapText="1"/>
    </xf>
    <xf numFmtId="0" fontId="6" fillId="5" borderId="30" xfId="0" applyFont="1" applyFill="1" applyBorder="1" applyAlignment="1">
      <alignment horizontal="centerContinuous" vertical="center"/>
    </xf>
    <xf numFmtId="0" fontId="6" fillId="5" borderId="47" xfId="0" applyFont="1" applyFill="1" applyBorder="1" applyAlignment="1">
      <alignment horizontal="centerContinuous" vertical="center"/>
    </xf>
    <xf numFmtId="0" fontId="16" fillId="5" borderId="48" xfId="0" applyFont="1" applyFill="1" applyBorder="1" applyAlignment="1">
      <alignment horizontal="right" vertical="center" wrapText="1"/>
    </xf>
    <xf numFmtId="0" fontId="20" fillId="5" borderId="0" xfId="0" applyFont="1" applyFill="1" applyAlignment="1">
      <alignment horizontal="left" vertical="top"/>
    </xf>
    <xf numFmtId="0" fontId="3" fillId="5" borderId="1" xfId="0" applyFont="1" applyFill="1" applyBorder="1" applyAlignment="1">
      <alignment vertical="center" wrapText="1"/>
    </xf>
    <xf numFmtId="0" fontId="6" fillId="5" borderId="48" xfId="0" applyFont="1" applyFill="1" applyBorder="1" applyAlignment="1">
      <alignment horizontal="right" vertical="center" wrapText="1"/>
    </xf>
    <xf numFmtId="4" fontId="6" fillId="5" borderId="5" xfId="0" applyNumberFormat="1" applyFont="1" applyFill="1" applyBorder="1" applyAlignment="1">
      <alignment horizontal="right" vertical="top" shrinkToFit="1"/>
    </xf>
    <xf numFmtId="0" fontId="9" fillId="5" borderId="0" xfId="0" applyFont="1" applyFill="1">
      <alignment vertical="center"/>
    </xf>
    <xf numFmtId="4" fontId="9" fillId="5" borderId="0" xfId="0" applyNumberFormat="1" applyFont="1" applyFill="1">
      <alignment vertical="center"/>
    </xf>
    <xf numFmtId="168" fontId="16" fillId="5" borderId="5" xfId="0" applyNumberFormat="1" applyFont="1" applyFill="1" applyBorder="1" applyAlignment="1">
      <alignment horizontal="right" vertical="top" shrinkToFit="1"/>
    </xf>
    <xf numFmtId="169" fontId="10" fillId="5" borderId="5" xfId="0" applyNumberFormat="1" applyFont="1" applyFill="1" applyBorder="1" applyAlignment="1">
      <alignment horizontal="right" vertical="top" shrinkToFit="1"/>
    </xf>
    <xf numFmtId="170" fontId="6" fillId="5" borderId="8" xfId="0" applyNumberFormat="1" applyFont="1" applyFill="1" applyBorder="1" applyAlignment="1">
      <alignment horizontal="centerContinuous" vertical="center"/>
    </xf>
    <xf numFmtId="170" fontId="10" fillId="5" borderId="5" xfId="0" applyNumberFormat="1" applyFont="1" applyFill="1" applyBorder="1" applyAlignment="1">
      <alignment horizontal="left" wrapText="1"/>
    </xf>
    <xf numFmtId="170" fontId="16" fillId="5" borderId="5" xfId="0" applyNumberFormat="1" applyFont="1" applyFill="1" applyBorder="1" applyAlignment="1">
      <alignment horizontal="right" vertical="top" shrinkToFit="1"/>
    </xf>
    <xf numFmtId="0" fontId="16" fillId="5" borderId="5" xfId="0" applyFont="1" applyFill="1" applyBorder="1" applyAlignment="1">
      <alignment horizontal="left" wrapText="1"/>
    </xf>
    <xf numFmtId="0" fontId="3" fillId="5" borderId="0" xfId="0" applyFont="1" applyFill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/>
    <xf numFmtId="1" fontId="9" fillId="5" borderId="0" xfId="0" applyNumberFormat="1" applyFont="1" applyFill="1" applyAlignment="1">
      <alignment vertical="top"/>
    </xf>
    <xf numFmtId="173" fontId="9" fillId="5" borderId="45" xfId="0" applyNumberFormat="1" applyFont="1" applyFill="1" applyBorder="1" applyAlignment="1">
      <alignment vertical="top" wrapText="1" shrinkToFit="1"/>
    </xf>
    <xf numFmtId="173" fontId="9" fillId="5" borderId="0" xfId="0" applyNumberFormat="1" applyFont="1" applyFill="1" applyAlignment="1">
      <alignment vertical="top" shrinkToFit="1"/>
    </xf>
    <xf numFmtId="167" fontId="6" fillId="5" borderId="0" xfId="1" applyFont="1" applyFill="1">
      <alignment vertical="center"/>
    </xf>
    <xf numFmtId="170" fontId="6" fillId="5" borderId="9" xfId="0" applyNumberFormat="1" applyFont="1" applyFill="1" applyBorder="1" applyAlignment="1">
      <alignment horizontal="centerContinuous" vertical="center"/>
    </xf>
    <xf numFmtId="170" fontId="9" fillId="5" borderId="0" xfId="0" applyNumberFormat="1" applyFont="1" applyFill="1" applyAlignment="1">
      <alignment horizontal="left" vertical="top"/>
    </xf>
    <xf numFmtId="1" fontId="16" fillId="5" borderId="13" xfId="0" quotePrefix="1" applyNumberFormat="1" applyFont="1" applyFill="1" applyBorder="1" applyAlignment="1">
      <alignment horizontal="center" vertical="top" shrinkToFit="1"/>
    </xf>
    <xf numFmtId="0" fontId="16" fillId="5" borderId="5" xfId="0" applyFont="1" applyFill="1" applyBorder="1" applyAlignment="1">
      <alignment horizontal="center" vertical="top" wrapText="1"/>
    </xf>
    <xf numFmtId="0" fontId="16" fillId="5" borderId="22" xfId="0" applyFont="1" applyFill="1" applyBorder="1" applyAlignment="1">
      <alignment horizontal="centerContinuous" vertical="center"/>
    </xf>
    <xf numFmtId="0" fontId="16" fillId="5" borderId="8" xfId="0" applyFont="1" applyFill="1" applyBorder="1" applyAlignment="1">
      <alignment horizontal="centerContinuous" vertical="center"/>
    </xf>
    <xf numFmtId="0" fontId="16" fillId="5" borderId="9" xfId="0" applyFont="1" applyFill="1" applyBorder="1" applyAlignment="1">
      <alignment horizontal="centerContinuous" vertical="center"/>
    </xf>
    <xf numFmtId="0" fontId="16" fillId="5" borderId="14" xfId="0" applyFont="1" applyFill="1" applyBorder="1" applyAlignment="1">
      <alignment horizontal="left" wrapText="1"/>
    </xf>
    <xf numFmtId="0" fontId="6" fillId="5" borderId="50" xfId="0" applyFont="1" applyFill="1" applyBorder="1" applyAlignment="1">
      <alignment horizontal="center" vertical="top" wrapText="1"/>
    </xf>
    <xf numFmtId="0" fontId="6" fillId="5" borderId="50" xfId="0" applyFont="1" applyFill="1" applyBorder="1" applyAlignment="1">
      <alignment horizontal="left" vertical="top" wrapText="1"/>
    </xf>
    <xf numFmtId="0" fontId="10" fillId="5" borderId="50" xfId="0" applyFont="1" applyFill="1" applyBorder="1" applyAlignment="1">
      <alignment horizontal="left" wrapText="1"/>
    </xf>
    <xf numFmtId="0" fontId="6" fillId="5" borderId="49" xfId="0" applyFont="1" applyFill="1" applyBorder="1">
      <alignment vertical="center"/>
    </xf>
    <xf numFmtId="0" fontId="16" fillId="5" borderId="0" xfId="0" applyFont="1" applyFill="1">
      <alignment vertical="center"/>
    </xf>
    <xf numFmtId="1" fontId="16" fillId="5" borderId="22" xfId="0" quotePrefix="1" applyNumberFormat="1" applyFont="1" applyFill="1" applyBorder="1" applyAlignment="1">
      <alignment horizontal="center" vertical="top" shrinkToFit="1"/>
    </xf>
    <xf numFmtId="0" fontId="6" fillId="5" borderId="13" xfId="0" applyFont="1" applyFill="1" applyBorder="1" applyAlignment="1">
      <alignment horizontal="left" vertical="top" wrapText="1" indent="1"/>
    </xf>
    <xf numFmtId="173" fontId="9" fillId="5" borderId="45" xfId="0" applyNumberFormat="1" applyFont="1" applyFill="1" applyBorder="1" applyAlignment="1">
      <alignment horizontal="center" vertical="top" wrapText="1" shrinkToFit="1"/>
    </xf>
    <xf numFmtId="173" fontId="9" fillId="5" borderId="0" xfId="0" applyNumberFormat="1" applyFont="1" applyFill="1" applyAlignment="1">
      <alignment horizontal="center" vertical="top" shrinkToFit="1"/>
    </xf>
    <xf numFmtId="1" fontId="9" fillId="5" borderId="0" xfId="0" applyNumberFormat="1" applyFont="1" applyFill="1">
      <alignment vertical="center"/>
    </xf>
    <xf numFmtId="1" fontId="5" fillId="5" borderId="45" xfId="0" applyNumberFormat="1" applyFont="1" applyFill="1" applyBorder="1" applyAlignment="1">
      <alignment vertical="top"/>
    </xf>
    <xf numFmtId="1" fontId="5" fillId="5" borderId="45" xfId="0" applyNumberFormat="1" applyFont="1" applyFill="1" applyBorder="1" applyAlignment="1">
      <alignment vertical="top" wrapText="1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176" fontId="10" fillId="5" borderId="14" xfId="2" applyNumberFormat="1" applyFont="1" applyFill="1" applyBorder="1" applyAlignment="1">
      <alignment horizontal="right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right" vertical="center" wrapText="1"/>
    </xf>
    <xf numFmtId="176" fontId="6" fillId="5" borderId="14" xfId="2" applyNumberFormat="1" applyFont="1" applyFill="1" applyBorder="1" applyAlignment="1">
      <alignment horizontal="right" wrapText="1"/>
    </xf>
    <xf numFmtId="0" fontId="5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6" fillId="5" borderId="2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4" fontId="6" fillId="5" borderId="5" xfId="0" applyNumberFormat="1" applyFont="1" applyFill="1" applyBorder="1" applyAlignment="1">
      <alignment horizontal="right" vertical="center" shrinkToFit="1"/>
    </xf>
    <xf numFmtId="0" fontId="16" fillId="5" borderId="22" xfId="0" applyFont="1" applyFill="1" applyBorder="1" applyAlignment="1">
      <alignment horizontal="center" vertical="center" wrapText="1"/>
    </xf>
    <xf numFmtId="4" fontId="16" fillId="5" borderId="5" xfId="0" applyNumberFormat="1" applyFont="1" applyFill="1" applyBorder="1" applyAlignment="1">
      <alignment horizontal="right" vertical="center" shrinkToFit="1"/>
    </xf>
    <xf numFmtId="170" fontId="6" fillId="5" borderId="5" xfId="0" applyNumberFormat="1" applyFont="1" applyFill="1" applyBorder="1" applyAlignment="1">
      <alignment horizontal="right" vertical="center" wrapText="1"/>
    </xf>
    <xf numFmtId="0" fontId="28" fillId="5" borderId="0" xfId="0" applyFont="1" applyFill="1">
      <alignment vertical="center"/>
    </xf>
    <xf numFmtId="0" fontId="29" fillId="5" borderId="0" xfId="0" applyFont="1" applyFill="1">
      <alignment vertical="center"/>
    </xf>
    <xf numFmtId="4" fontId="30" fillId="5" borderId="0" xfId="0" applyNumberFormat="1" applyFont="1" applyFill="1" applyAlignment="1">
      <alignment horizontal="left" vertical="top"/>
    </xf>
    <xf numFmtId="0" fontId="31" fillId="5" borderId="10" xfId="0" applyFont="1" applyFill="1" applyBorder="1" applyAlignment="1">
      <alignment horizontal="center" vertical="center" wrapText="1"/>
    </xf>
    <xf numFmtId="0" fontId="31" fillId="5" borderId="11" xfId="0" applyFont="1" applyFill="1" applyBorder="1" applyAlignment="1">
      <alignment horizontal="center" vertical="center" wrapText="1"/>
    </xf>
    <xf numFmtId="0" fontId="31" fillId="5" borderId="12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top" wrapText="1"/>
    </xf>
    <xf numFmtId="0" fontId="32" fillId="5" borderId="0" xfId="0" applyFont="1" applyFill="1" applyAlignment="1">
      <alignment horizontal="center" vertical="top" wrapText="1"/>
    </xf>
    <xf numFmtId="0" fontId="31" fillId="5" borderId="13" xfId="0" applyFont="1" applyFill="1" applyBorder="1" applyAlignment="1">
      <alignment horizontal="center" vertical="top" wrapText="1"/>
    </xf>
    <xf numFmtId="0" fontId="31" fillId="5" borderId="5" xfId="0" applyFont="1" applyFill="1" applyBorder="1" applyAlignment="1">
      <alignment horizontal="left" vertical="top" wrapText="1"/>
    </xf>
    <xf numFmtId="0" fontId="32" fillId="5" borderId="5" xfId="0" applyFont="1" applyFill="1" applyBorder="1" applyAlignment="1">
      <alignment horizontal="left" wrapText="1"/>
    </xf>
    <xf numFmtId="0" fontId="32" fillId="5" borderId="14" xfId="0" applyFont="1" applyFill="1" applyBorder="1" applyAlignment="1">
      <alignment horizontal="left" wrapText="1"/>
    </xf>
    <xf numFmtId="0" fontId="30" fillId="5" borderId="0" xfId="0" applyFont="1" applyFill="1" applyAlignment="1">
      <alignment horizontal="left" vertical="top"/>
    </xf>
    <xf numFmtId="0" fontId="32" fillId="5" borderId="0" xfId="0" applyFont="1" applyFill="1" applyAlignment="1">
      <alignment horizontal="left" vertical="top"/>
    </xf>
    <xf numFmtId="0" fontId="31" fillId="5" borderId="22" xfId="0" applyFont="1" applyFill="1" applyBorder="1" applyAlignment="1">
      <alignment horizontal="center" vertical="top" wrapText="1"/>
    </xf>
    <xf numFmtId="0" fontId="31" fillId="5" borderId="5" xfId="0" applyFont="1" applyFill="1" applyBorder="1" applyAlignment="1">
      <alignment horizontal="center" vertical="top" wrapText="1"/>
    </xf>
    <xf numFmtId="0" fontId="32" fillId="5" borderId="5" xfId="0" applyFont="1" applyFill="1" applyBorder="1" applyAlignment="1">
      <alignment horizontal="center" wrapText="1"/>
    </xf>
    <xf numFmtId="170" fontId="32" fillId="5" borderId="5" xfId="0" applyNumberFormat="1" applyFont="1" applyFill="1" applyBorder="1" applyAlignment="1">
      <alignment horizontal="right" wrapText="1"/>
    </xf>
    <xf numFmtId="4" fontId="32" fillId="5" borderId="5" xfId="0" applyNumberFormat="1" applyFont="1" applyFill="1" applyBorder="1" applyAlignment="1">
      <alignment horizontal="right" vertical="top" shrinkToFit="1"/>
    </xf>
    <xf numFmtId="176" fontId="32" fillId="5" borderId="14" xfId="2" applyNumberFormat="1" applyFont="1" applyFill="1" applyBorder="1" applyAlignment="1">
      <alignment horizontal="right" wrapText="1"/>
    </xf>
    <xf numFmtId="0" fontId="31" fillId="5" borderId="22" xfId="0" applyFont="1" applyFill="1" applyBorder="1" applyAlignment="1">
      <alignment horizontal="centerContinuous" vertical="center"/>
    </xf>
    <xf numFmtId="0" fontId="31" fillId="5" borderId="8" xfId="0" applyFont="1" applyFill="1" applyBorder="1" applyAlignment="1">
      <alignment horizontal="centerContinuous" vertical="center"/>
    </xf>
    <xf numFmtId="0" fontId="31" fillId="5" borderId="9" xfId="0" applyFont="1" applyFill="1" applyBorder="1" applyAlignment="1">
      <alignment horizontal="centerContinuous" vertical="center"/>
    </xf>
    <xf numFmtId="4" fontId="32" fillId="5" borderId="14" xfId="0" applyNumberFormat="1" applyFont="1" applyFill="1" applyBorder="1" applyAlignment="1">
      <alignment horizontal="right" vertical="top" shrinkToFit="1"/>
    </xf>
    <xf numFmtId="0" fontId="31" fillId="5" borderId="22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left" vertical="center" wrapText="1"/>
    </xf>
    <xf numFmtId="0" fontId="31" fillId="5" borderId="5" xfId="0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right" vertical="center" wrapText="1"/>
    </xf>
    <xf numFmtId="4" fontId="31" fillId="5" borderId="5" xfId="0" applyNumberFormat="1" applyFont="1" applyFill="1" applyBorder="1" applyAlignment="1">
      <alignment horizontal="right" vertical="center" shrinkToFit="1"/>
    </xf>
    <xf numFmtId="176" fontId="31" fillId="5" borderId="14" xfId="2" applyNumberFormat="1" applyFont="1" applyFill="1" applyBorder="1" applyAlignment="1">
      <alignment horizontal="right" vertical="center" wrapText="1"/>
    </xf>
    <xf numFmtId="0" fontId="33" fillId="5" borderId="0" xfId="0" applyFont="1" applyFill="1" applyAlignment="1">
      <alignment horizontal="left" vertical="top"/>
    </xf>
    <xf numFmtId="0" fontId="31" fillId="5" borderId="0" xfId="0" applyFont="1" applyFill="1" applyAlignment="1">
      <alignment horizontal="left" vertical="top"/>
    </xf>
    <xf numFmtId="4" fontId="31" fillId="5" borderId="14" xfId="0" applyNumberFormat="1" applyFont="1" applyFill="1" applyBorder="1" applyAlignment="1">
      <alignment horizontal="right" vertical="top" shrinkToFit="1"/>
    </xf>
    <xf numFmtId="0" fontId="31" fillId="5" borderId="14" xfId="0" applyFont="1" applyFill="1" applyBorder="1" applyAlignment="1">
      <alignment horizontal="left" wrapText="1"/>
    </xf>
    <xf numFmtId="0" fontId="31" fillId="5" borderId="5" xfId="0" applyFont="1" applyFill="1" applyBorder="1" applyAlignment="1">
      <alignment horizontal="right" vertical="center" wrapText="1"/>
    </xf>
    <xf numFmtId="41" fontId="31" fillId="5" borderId="14" xfId="0" applyNumberFormat="1" applyFont="1" applyFill="1" applyBorder="1" applyAlignment="1">
      <alignment horizontal="right" vertical="top" wrapText="1" indent="1"/>
    </xf>
    <xf numFmtId="0" fontId="32" fillId="5" borderId="13" xfId="0" applyFont="1" applyFill="1" applyBorder="1" applyAlignment="1">
      <alignment horizontal="center" vertical="top"/>
    </xf>
    <xf numFmtId="0" fontId="32" fillId="5" borderId="7" xfId="0" applyFont="1" applyFill="1" applyBorder="1" applyAlignment="1">
      <alignment vertical="top"/>
    </xf>
    <xf numFmtId="0" fontId="32" fillId="5" borderId="8" xfId="0" applyFont="1" applyFill="1" applyBorder="1" applyAlignment="1">
      <alignment vertical="top"/>
    </xf>
    <xf numFmtId="0" fontId="32" fillId="5" borderId="9" xfId="0" applyFont="1" applyFill="1" applyBorder="1" applyAlignment="1">
      <alignment vertical="top"/>
    </xf>
    <xf numFmtId="0" fontId="32" fillId="5" borderId="0" xfId="0" applyFont="1" applyFill="1" applyAlignment="1"/>
    <xf numFmtId="9" fontId="32" fillId="5" borderId="5" xfId="0" applyNumberFormat="1" applyFont="1" applyFill="1" applyBorder="1" applyAlignment="1">
      <alignment vertical="top"/>
    </xf>
    <xf numFmtId="0" fontId="32" fillId="5" borderId="17" xfId="0" applyFont="1" applyFill="1" applyBorder="1" applyAlignment="1">
      <alignment horizontal="center" vertical="top"/>
    </xf>
    <xf numFmtId="0" fontId="32" fillId="5" borderId="18" xfId="0" applyFont="1" applyFill="1" applyBorder="1" applyAlignment="1">
      <alignment vertical="top"/>
    </xf>
    <xf numFmtId="0" fontId="32" fillId="5" borderId="19" xfId="0" applyFont="1" applyFill="1" applyBorder="1" applyAlignment="1">
      <alignment vertical="top"/>
    </xf>
    <xf numFmtId="0" fontId="32" fillId="5" borderId="20" xfId="0" applyFont="1" applyFill="1" applyBorder="1" applyAlignment="1">
      <alignment vertical="top"/>
    </xf>
    <xf numFmtId="4" fontId="30" fillId="5" borderId="21" xfId="0" applyNumberFormat="1" applyFont="1" applyFill="1" applyBorder="1" applyAlignment="1">
      <alignment vertical="top"/>
    </xf>
    <xf numFmtId="0" fontId="32" fillId="5" borderId="5" xfId="0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vertical="center" wrapText="1"/>
    </xf>
    <xf numFmtId="169" fontId="31" fillId="5" borderId="5" xfId="0" applyNumberFormat="1" applyFont="1" applyFill="1" applyBorder="1" applyAlignment="1">
      <alignment horizontal="right" vertical="center" wrapText="1"/>
    </xf>
    <xf numFmtId="4" fontId="31" fillId="5" borderId="5" xfId="0" applyNumberFormat="1" applyFont="1" applyFill="1" applyBorder="1" applyAlignment="1">
      <alignment horizontal="right" vertical="top" shrinkToFit="1"/>
    </xf>
    <xf numFmtId="176" fontId="31" fillId="5" borderId="14" xfId="2" applyNumberFormat="1" applyFont="1" applyFill="1" applyBorder="1" applyAlignment="1">
      <alignment horizontal="right" wrapText="1"/>
    </xf>
    <xf numFmtId="171" fontId="31" fillId="5" borderId="5" xfId="0" applyNumberFormat="1" applyFont="1" applyFill="1" applyBorder="1" applyAlignment="1">
      <alignment horizontal="right" vertical="center" wrapText="1"/>
    </xf>
    <xf numFmtId="177" fontId="31" fillId="5" borderId="14" xfId="0" applyNumberFormat="1" applyFont="1" applyFill="1" applyBorder="1" applyAlignment="1">
      <alignment horizontal="right" vertical="top" wrapText="1" indent="1"/>
    </xf>
    <xf numFmtId="0" fontId="34" fillId="5" borderId="22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left" vertical="center" wrapText="1"/>
    </xf>
    <xf numFmtId="0" fontId="34" fillId="5" borderId="5" xfId="0" applyFont="1" applyFill="1" applyBorder="1" applyAlignment="1">
      <alignment horizontal="left" vertical="top" wrapText="1"/>
    </xf>
    <xf numFmtId="0" fontId="34" fillId="5" borderId="5" xfId="0" applyFont="1" applyFill="1" applyBorder="1" applyAlignment="1">
      <alignment horizontal="center" vertical="center" wrapText="1"/>
    </xf>
    <xf numFmtId="2" fontId="34" fillId="5" borderId="5" xfId="0" applyNumberFormat="1" applyFont="1" applyFill="1" applyBorder="1" applyAlignment="1">
      <alignment horizontal="right" vertical="center" wrapText="1"/>
    </xf>
    <xf numFmtId="4" fontId="34" fillId="5" borderId="5" xfId="0" applyNumberFormat="1" applyFont="1" applyFill="1" applyBorder="1" applyAlignment="1">
      <alignment horizontal="right" vertical="center" shrinkToFit="1"/>
    </xf>
    <xf numFmtId="176" fontId="34" fillId="5" borderId="14" xfId="2" applyNumberFormat="1" applyFont="1" applyFill="1" applyBorder="1" applyAlignment="1">
      <alignment horizontal="right" vertical="center" wrapText="1"/>
    </xf>
    <xf numFmtId="0" fontId="34" fillId="5" borderId="22" xfId="0" applyFont="1" applyFill="1" applyBorder="1" applyAlignment="1">
      <alignment horizontal="centerContinuous" vertical="center"/>
    </xf>
    <xf numFmtId="0" fontId="34" fillId="5" borderId="8" xfId="0" applyFont="1" applyFill="1" applyBorder="1" applyAlignment="1">
      <alignment horizontal="centerContinuous" vertical="center"/>
    </xf>
    <xf numFmtId="0" fontId="34" fillId="5" borderId="9" xfId="0" applyFont="1" applyFill="1" applyBorder="1" applyAlignment="1">
      <alignment horizontal="centerContinuous" vertical="center"/>
    </xf>
    <xf numFmtId="4" fontId="34" fillId="5" borderId="14" xfId="0" applyNumberFormat="1" applyFont="1" applyFill="1" applyBorder="1" applyAlignment="1">
      <alignment horizontal="right" vertical="top" shrinkToFit="1"/>
    </xf>
    <xf numFmtId="0" fontId="34" fillId="5" borderId="13" xfId="0" applyFont="1" applyFill="1" applyBorder="1" applyAlignment="1">
      <alignment horizontal="center" vertical="top" wrapText="1"/>
    </xf>
    <xf numFmtId="0" fontId="34" fillId="5" borderId="14" xfId="0" applyFont="1" applyFill="1" applyBorder="1" applyAlignment="1">
      <alignment horizontal="left" wrapText="1"/>
    </xf>
    <xf numFmtId="0" fontId="34" fillId="5" borderId="22" xfId="0" applyFont="1" applyFill="1" applyBorder="1" applyAlignment="1">
      <alignment horizontal="center" vertical="top" wrapText="1"/>
    </xf>
    <xf numFmtId="169" fontId="34" fillId="5" borderId="5" xfId="0" applyNumberFormat="1" applyFont="1" applyFill="1" applyBorder="1" applyAlignment="1">
      <alignment horizontal="right" vertical="center" wrapText="1"/>
    </xf>
    <xf numFmtId="171" fontId="34" fillId="5" borderId="5" xfId="0" applyNumberFormat="1" applyFont="1" applyFill="1" applyBorder="1" applyAlignment="1">
      <alignment horizontal="right" vertical="center" wrapText="1"/>
    </xf>
    <xf numFmtId="169" fontId="32" fillId="5" borderId="5" xfId="0" applyNumberFormat="1" applyFont="1" applyFill="1" applyBorder="1" applyAlignment="1">
      <alignment horizontal="right" wrapText="1"/>
    </xf>
    <xf numFmtId="170" fontId="31" fillId="5" borderId="5" xfId="0" applyNumberFormat="1" applyFont="1" applyFill="1" applyBorder="1" applyAlignment="1">
      <alignment horizontal="right" vertical="center" wrapText="1"/>
    </xf>
    <xf numFmtId="1" fontId="5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>
      <alignment vertical="center"/>
    </xf>
    <xf numFmtId="1" fontId="5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 wrapText="1"/>
    </xf>
    <xf numFmtId="0" fontId="6" fillId="5" borderId="8" xfId="0" applyFont="1" applyFill="1" applyBorder="1" applyAlignment="1">
      <alignment horizontal="centerContinuous" vertical="center" wrapText="1"/>
    </xf>
    <xf numFmtId="0" fontId="6" fillId="5" borderId="9" xfId="0" applyFont="1" applyFill="1" applyBorder="1" applyAlignment="1">
      <alignment horizontal="centerContinuous" vertical="center" wrapText="1"/>
    </xf>
    <xf numFmtId="0" fontId="10" fillId="5" borderId="5" xfId="0" applyFont="1" applyFill="1" applyBorder="1" applyAlignment="1">
      <alignment horizontal="center"/>
    </xf>
    <xf numFmtId="168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5" borderId="26" xfId="0" applyFont="1" applyFill="1" applyBorder="1" applyAlignment="1">
      <alignment horizontal="center" vertical="top"/>
    </xf>
    <xf numFmtId="0" fontId="10" fillId="5" borderId="26" xfId="0" applyFont="1" applyFill="1" applyBorder="1" applyAlignment="1">
      <alignment vertical="top"/>
    </xf>
    <xf numFmtId="4" fontId="9" fillId="5" borderId="26" xfId="0" applyNumberFormat="1" applyFont="1" applyFill="1" applyBorder="1" applyAlignment="1">
      <alignment vertical="top"/>
    </xf>
    <xf numFmtId="168" fontId="16" fillId="5" borderId="5" xfId="0" applyNumberFormat="1" applyFont="1" applyFill="1" applyBorder="1" applyAlignment="1">
      <alignment horizontal="right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wrapText="1"/>
    </xf>
    <xf numFmtId="170" fontId="10" fillId="5" borderId="0" xfId="0" applyNumberFormat="1" applyFont="1" applyFill="1" applyAlignment="1">
      <alignment horizontal="left" vertical="top"/>
    </xf>
    <xf numFmtId="173" fontId="9" fillId="5" borderId="0" xfId="0" applyNumberFormat="1" applyFont="1" applyFill="1" applyAlignment="1">
      <alignment vertical="center" shrinkToFit="1"/>
    </xf>
    <xf numFmtId="2" fontId="10" fillId="5" borderId="5" xfId="0" applyNumberFormat="1" applyFont="1" applyFill="1" applyBorder="1" applyAlignment="1">
      <alignment horizontal="right" vertical="top" shrinkToFit="1"/>
    </xf>
    <xf numFmtId="0" fontId="5" fillId="5" borderId="0" xfId="0" applyFont="1" applyFill="1" applyAlignment="1">
      <alignment horizontal="left" vertical="top" wrapText="1" indent="1"/>
    </xf>
    <xf numFmtId="0" fontId="5" fillId="5" borderId="0" xfId="0" applyFont="1" applyFill="1" applyAlignment="1">
      <alignment horizontal="left" vertical="top" wrapText="1"/>
    </xf>
    <xf numFmtId="1" fontId="9" fillId="5" borderId="0" xfId="0" applyNumberFormat="1" applyFont="1" applyFill="1" applyAlignment="1">
      <alignment vertical="center" wrapText="1"/>
    </xf>
    <xf numFmtId="0" fontId="10" fillId="5" borderId="0" xfId="0" applyFont="1" applyFill="1" applyAlignment="1">
      <alignment horizontal="left" vertical="center"/>
    </xf>
    <xf numFmtId="1" fontId="10" fillId="5" borderId="13" xfId="0" applyNumberFormat="1" applyFont="1" applyFill="1" applyBorder="1" applyAlignment="1">
      <alignment horizontal="center" vertical="center" shrinkToFit="1"/>
    </xf>
    <xf numFmtId="168" fontId="10" fillId="5" borderId="5" xfId="0" applyNumberFormat="1" applyFont="1" applyFill="1" applyBorder="1" applyAlignment="1">
      <alignment horizontal="right" vertical="center" shrinkToFit="1"/>
    </xf>
    <xf numFmtId="4" fontId="10" fillId="5" borderId="5" xfId="0" applyNumberFormat="1" applyFont="1" applyFill="1" applyBorder="1" applyAlignment="1">
      <alignment horizontal="right" vertical="center" shrinkToFit="1"/>
    </xf>
    <xf numFmtId="4" fontId="10" fillId="5" borderId="14" xfId="0" applyNumberFormat="1" applyFont="1" applyFill="1" applyBorder="1" applyAlignment="1">
      <alignment horizontal="right" vertical="center" shrinkToFit="1"/>
    </xf>
    <xf numFmtId="0" fontId="6" fillId="5" borderId="5" xfId="0" applyFont="1" applyFill="1" applyBorder="1" applyAlignment="1">
      <alignment horizontal="left" vertical="center"/>
    </xf>
    <xf numFmtId="171" fontId="10" fillId="5" borderId="5" xfId="0" applyNumberFormat="1" applyFont="1" applyFill="1" applyBorder="1" applyAlignment="1">
      <alignment horizontal="right" vertical="top" shrinkToFit="1"/>
    </xf>
    <xf numFmtId="168" fontId="10" fillId="5" borderId="5" xfId="0" applyNumberFormat="1" applyFont="1" applyFill="1" applyBorder="1" applyAlignment="1">
      <alignment horizontal="left" wrapText="1"/>
    </xf>
    <xf numFmtId="0" fontId="10" fillId="5" borderId="5" xfId="0" applyFont="1" applyFill="1" applyBorder="1" applyAlignment="1">
      <alignment horizontal="center" vertical="top"/>
    </xf>
    <xf numFmtId="0" fontId="10" fillId="5" borderId="0" xfId="0" applyFont="1" applyFill="1" applyAlignment="1">
      <alignment horizontal="center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41" fontId="6" fillId="5" borderId="14" xfId="0" applyNumberFormat="1" applyFont="1" applyFill="1" applyBorder="1" applyAlignment="1">
      <alignment horizontal="right" vertical="center" wrapText="1"/>
    </xf>
    <xf numFmtId="0" fontId="10" fillId="5" borderId="13" xfId="0" applyFont="1" applyFill="1" applyBorder="1" applyAlignment="1">
      <alignment horizontal="center" vertical="center"/>
    </xf>
    <xf numFmtId="0" fontId="10" fillId="5" borderId="7" xfId="0" applyFont="1" applyFill="1" applyBorder="1">
      <alignment vertical="center"/>
    </xf>
    <xf numFmtId="0" fontId="10" fillId="5" borderId="8" xfId="0" applyFont="1" applyFill="1" applyBorder="1">
      <alignment vertical="center"/>
    </xf>
    <xf numFmtId="0" fontId="10" fillId="5" borderId="9" xfId="0" applyFont="1" applyFill="1" applyBorder="1">
      <alignment vertical="center"/>
    </xf>
    <xf numFmtId="0" fontId="10" fillId="5" borderId="0" xfId="0" applyFont="1" applyFill="1">
      <alignment vertical="center"/>
    </xf>
    <xf numFmtId="9" fontId="10" fillId="5" borderId="5" xfId="0" applyNumberFormat="1" applyFont="1" applyFill="1" applyBorder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>
      <alignment vertical="center"/>
    </xf>
    <xf numFmtId="0" fontId="10" fillId="5" borderId="19" xfId="0" applyFont="1" applyFill="1" applyBorder="1">
      <alignment vertical="center"/>
    </xf>
    <xf numFmtId="0" fontId="10" fillId="5" borderId="20" xfId="0" applyFont="1" applyFill="1" applyBorder="1">
      <alignment vertical="center"/>
    </xf>
    <xf numFmtId="4" fontId="9" fillId="5" borderId="21" xfId="0" applyNumberFormat="1" applyFont="1" applyFill="1" applyBorder="1">
      <alignment vertical="center"/>
    </xf>
    <xf numFmtId="0" fontId="6" fillId="5" borderId="0" xfId="0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right" vertical="center" shrinkToFit="1"/>
    </xf>
    <xf numFmtId="0" fontId="6" fillId="5" borderId="13" xfId="0" quotePrefix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4" fontId="10" fillId="5" borderId="0" xfId="0" applyNumberFormat="1" applyFont="1" applyFill="1" applyAlignment="1">
      <alignment horizontal="right" vertical="center" shrinkToFit="1"/>
    </xf>
    <xf numFmtId="0" fontId="10" fillId="5" borderId="5" xfId="0" applyFont="1" applyFill="1" applyBorder="1" applyAlignment="1">
      <alignment horizontal="right" vertical="center" shrinkToFit="1"/>
    </xf>
    <xf numFmtId="1" fontId="10" fillId="5" borderId="13" xfId="0" quotePrefix="1" applyNumberFormat="1" applyFont="1" applyFill="1" applyBorder="1" applyAlignment="1">
      <alignment horizontal="center" vertical="center" shrinkToFit="1"/>
    </xf>
    <xf numFmtId="165" fontId="9" fillId="5" borderId="0" xfId="0" applyNumberFormat="1" applyFont="1" applyFill="1" applyAlignment="1">
      <alignment horizontal="left" vertical="center"/>
    </xf>
    <xf numFmtId="2" fontId="10" fillId="5" borderId="0" xfId="0" applyNumberFormat="1" applyFont="1" applyFill="1" applyAlignment="1">
      <alignment horizontal="left" vertical="center"/>
    </xf>
    <xf numFmtId="41" fontId="10" fillId="5" borderId="14" xfId="0" applyNumberFormat="1" applyFont="1" applyFill="1" applyBorder="1" applyAlignment="1">
      <alignment horizontal="right" vertical="center" shrinkToFit="1"/>
    </xf>
    <xf numFmtId="167" fontId="10" fillId="5" borderId="0" xfId="1" applyFont="1" applyFill="1" applyAlignment="1">
      <alignment horizontal="left" vertical="center"/>
    </xf>
    <xf numFmtId="170" fontId="10" fillId="5" borderId="5" xfId="0" applyNumberFormat="1" applyFont="1" applyFill="1" applyBorder="1" applyAlignment="1">
      <alignment horizontal="right" vertical="center" shrinkToFit="1"/>
    </xf>
    <xf numFmtId="0" fontId="16" fillId="5" borderId="13" xfId="0" applyFont="1" applyFill="1" applyBorder="1" applyAlignment="1">
      <alignment horizontal="center" vertical="center" wrapText="1"/>
    </xf>
    <xf numFmtId="4" fontId="16" fillId="5" borderId="14" xfId="0" applyNumberFormat="1" applyFont="1" applyFill="1" applyBorder="1" applyAlignment="1">
      <alignment horizontal="right" vertical="center" shrinkToFit="1"/>
    </xf>
    <xf numFmtId="0" fontId="16" fillId="5" borderId="13" xfId="0" quotePrefix="1" applyFont="1" applyFill="1" applyBorder="1" applyAlignment="1">
      <alignment horizontal="center" vertical="center" wrapText="1"/>
    </xf>
    <xf numFmtId="170" fontId="9" fillId="5" borderId="0" xfId="0" applyNumberFormat="1" applyFont="1" applyFill="1" applyAlignment="1">
      <alignment horizontal="left" vertical="center"/>
    </xf>
    <xf numFmtId="170" fontId="10" fillId="5" borderId="0" xfId="0" applyNumberFormat="1" applyFont="1" applyFill="1" applyAlignment="1">
      <alignment horizontal="left" vertical="center"/>
    </xf>
    <xf numFmtId="0" fontId="6" fillId="5" borderId="13" xfId="0" applyFont="1" applyFill="1" applyBorder="1" applyAlignment="1">
      <alignment horizontal="left" vertical="center" wrapText="1"/>
    </xf>
    <xf numFmtId="1" fontId="10" fillId="5" borderId="22" xfId="0" applyNumberFormat="1" applyFont="1" applyFill="1" applyBorder="1" applyAlignment="1">
      <alignment horizontal="center" vertical="center" shrinkToFit="1"/>
    </xf>
    <xf numFmtId="1" fontId="6" fillId="5" borderId="13" xfId="0" applyNumberFormat="1" applyFont="1" applyFill="1" applyBorder="1" applyAlignment="1">
      <alignment horizontal="center" vertical="center" shrinkToFit="1"/>
    </xf>
    <xf numFmtId="0" fontId="6" fillId="5" borderId="5" xfId="0" applyFont="1" applyFill="1" applyBorder="1" applyAlignment="1">
      <alignment horizontal="right" vertical="center" shrinkToFit="1"/>
    </xf>
    <xf numFmtId="4" fontId="6" fillId="5" borderId="14" xfId="0" applyNumberFormat="1" applyFont="1" applyFill="1" applyBorder="1" applyAlignment="1">
      <alignment horizontal="right" vertical="center" shrinkToFit="1"/>
    </xf>
    <xf numFmtId="0" fontId="6" fillId="5" borderId="0" xfId="0" applyFont="1" applyFill="1" applyAlignment="1">
      <alignment horizontal="left" vertical="center"/>
    </xf>
    <xf numFmtId="2" fontId="10" fillId="5" borderId="5" xfId="0" applyNumberFormat="1" applyFont="1" applyFill="1" applyBorder="1" applyAlignment="1">
      <alignment horizontal="right" vertical="center" shrinkToFit="1"/>
    </xf>
    <xf numFmtId="0" fontId="5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169" fontId="10" fillId="5" borderId="5" xfId="0" applyNumberFormat="1" applyFont="1" applyFill="1" applyBorder="1" applyAlignment="1">
      <alignment horizontal="right" vertical="center" shrinkToFit="1"/>
    </xf>
    <xf numFmtId="171" fontId="10" fillId="5" borderId="5" xfId="0" applyNumberFormat="1" applyFont="1" applyFill="1" applyBorder="1" applyAlignment="1">
      <alignment horizontal="right" vertical="center" shrinkToFit="1"/>
    </xf>
    <xf numFmtId="172" fontId="10" fillId="5" borderId="0" xfId="0" applyNumberFormat="1" applyFont="1" applyFill="1" applyAlignment="1">
      <alignment horizontal="left" vertical="center"/>
    </xf>
    <xf numFmtId="0" fontId="10" fillId="5" borderId="0" xfId="0" quotePrefix="1" applyFont="1" applyFill="1" applyAlignment="1">
      <alignment horizontal="left" vertical="center"/>
    </xf>
    <xf numFmtId="1" fontId="10" fillId="5" borderId="5" xfId="0" applyNumberFormat="1" applyFont="1" applyFill="1" applyBorder="1" applyAlignment="1">
      <alignment horizontal="right" vertical="center" wrapText="1"/>
    </xf>
    <xf numFmtId="0" fontId="10" fillId="5" borderId="0" xfId="0" applyFont="1" applyFill="1" applyAlignment="1">
      <alignment horizontal="right" vertical="center"/>
    </xf>
    <xf numFmtId="168" fontId="10" fillId="5" borderId="5" xfId="0" applyNumberFormat="1" applyFont="1" applyFill="1" applyBorder="1" applyAlignment="1">
      <alignment horizontal="left" vertical="center" wrapText="1"/>
    </xf>
    <xf numFmtId="169" fontId="10" fillId="5" borderId="5" xfId="0" applyNumberFormat="1" applyFont="1" applyFill="1" applyBorder="1" applyAlignment="1">
      <alignment horizontal="right" vertical="center" wrapText="1"/>
    </xf>
    <xf numFmtId="1" fontId="16" fillId="5" borderId="13" xfId="0" applyNumberFormat="1" applyFont="1" applyFill="1" applyBorder="1" applyAlignment="1">
      <alignment horizontal="center" vertical="center" shrinkToFit="1"/>
    </xf>
    <xf numFmtId="0" fontId="16" fillId="5" borderId="5" xfId="0" applyFont="1" applyFill="1" applyBorder="1" applyAlignment="1">
      <alignment horizontal="left" vertical="center"/>
    </xf>
    <xf numFmtId="170" fontId="16" fillId="5" borderId="5" xfId="0" applyNumberFormat="1" applyFont="1" applyFill="1" applyBorder="1" applyAlignment="1">
      <alignment horizontal="right" vertical="center" shrinkToFit="1"/>
    </xf>
    <xf numFmtId="170" fontId="10" fillId="5" borderId="5" xfId="0" applyNumberFormat="1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68" fontId="6" fillId="5" borderId="8" xfId="0" applyNumberFormat="1" applyFont="1" applyFill="1" applyBorder="1" applyAlignment="1">
      <alignment horizontal="center" vertical="center"/>
    </xf>
    <xf numFmtId="170" fontId="6" fillId="5" borderId="8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0" fontId="10" fillId="5" borderId="5" xfId="0" applyNumberFormat="1" applyFont="1" applyFill="1" applyBorder="1" applyAlignment="1">
      <alignment horizontal="center" vertical="center" shrinkToFit="1"/>
    </xf>
    <xf numFmtId="170" fontId="16" fillId="5" borderId="5" xfId="0" applyNumberFormat="1" applyFont="1" applyFill="1" applyBorder="1" applyAlignment="1">
      <alignment horizontal="center" vertical="center" shrinkToFit="1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9" fontId="10" fillId="5" borderId="5" xfId="0" applyNumberFormat="1" applyFont="1" applyFill="1" applyBorder="1" applyAlignment="1">
      <alignment horizontal="center" vertical="center"/>
    </xf>
    <xf numFmtId="168" fontId="16" fillId="5" borderId="5" xfId="0" applyNumberFormat="1" applyFont="1" applyFill="1" applyBorder="1" applyAlignment="1">
      <alignment horizontal="center" vertical="center" shrinkToFit="1"/>
    </xf>
    <xf numFmtId="168" fontId="10" fillId="5" borderId="5" xfId="0" applyNumberFormat="1" applyFont="1" applyFill="1" applyBorder="1" applyAlignment="1">
      <alignment horizontal="center" vertical="center" shrinkToFit="1"/>
    </xf>
    <xf numFmtId="169" fontId="10" fillId="5" borderId="5" xfId="0" applyNumberFormat="1" applyFont="1" applyFill="1" applyBorder="1" applyAlignment="1">
      <alignment horizontal="center" vertical="center" shrinkToFit="1"/>
    </xf>
    <xf numFmtId="168" fontId="6" fillId="5" borderId="5" xfId="0" applyNumberFormat="1" applyFont="1" applyFill="1" applyBorder="1" applyAlignment="1">
      <alignment horizontal="center" vertical="center" shrinkToFit="1"/>
    </xf>
    <xf numFmtId="1" fontId="6" fillId="5" borderId="22" xfId="0" applyNumberFormat="1" applyFont="1" applyFill="1" applyBorder="1" applyAlignment="1">
      <alignment horizontal="center" vertical="center" shrinkToFit="1"/>
    </xf>
    <xf numFmtId="0" fontId="6" fillId="5" borderId="8" xfId="0" applyFont="1" applyFill="1" applyBorder="1" applyAlignment="1">
      <alignment horizontal="left" vertical="center"/>
    </xf>
    <xf numFmtId="170" fontId="6" fillId="5" borderId="8" xfId="0" applyNumberFormat="1" applyFont="1" applyFill="1" applyBorder="1" applyAlignment="1">
      <alignment horizontal="center" vertical="center" shrinkToFit="1"/>
    </xf>
    <xf numFmtId="170" fontId="6" fillId="5" borderId="5" xfId="0" applyNumberFormat="1" applyFont="1" applyFill="1" applyBorder="1" applyAlignment="1">
      <alignment horizontal="center" vertical="center" shrinkToFit="1"/>
    </xf>
    <xf numFmtId="0" fontId="10" fillId="5" borderId="46" xfId="0" applyFont="1" applyFill="1" applyBorder="1" applyAlignment="1">
      <alignment horizontal="center" vertical="center"/>
    </xf>
    <xf numFmtId="0" fontId="6" fillId="5" borderId="48" xfId="0" applyFont="1" applyFill="1" applyBorder="1" applyAlignment="1">
      <alignment horizontal="left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left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6" fillId="5" borderId="48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left" vertical="top"/>
    </xf>
    <xf numFmtId="0" fontId="10" fillId="5" borderId="50" xfId="0" applyFont="1" applyFill="1" applyBorder="1" applyAlignment="1">
      <alignment horizontal="center" wrapText="1"/>
    </xf>
    <xf numFmtId="1" fontId="9" fillId="5" borderId="0" xfId="0" applyNumberFormat="1" applyFont="1" applyFill="1" applyAlignment="1">
      <alignment horizontal="center" vertical="center"/>
    </xf>
    <xf numFmtId="0" fontId="16" fillId="5" borderId="30" xfId="0" applyFont="1" applyFill="1" applyBorder="1" applyAlignment="1">
      <alignment horizontal="centerContinuous" vertical="center"/>
    </xf>
    <xf numFmtId="0" fontId="16" fillId="5" borderId="47" xfId="0" applyFont="1" applyFill="1" applyBorder="1" applyAlignment="1">
      <alignment horizontal="centerContinuous" vertical="center"/>
    </xf>
    <xf numFmtId="167" fontId="6" fillId="5" borderId="0" xfId="1" applyFont="1" applyFill="1" applyAlignment="1">
      <alignment vertical="center"/>
    </xf>
    <xf numFmtId="1" fontId="16" fillId="5" borderId="13" xfId="0" quotePrefix="1" applyNumberFormat="1" applyFont="1" applyFill="1" applyBorder="1" applyAlignment="1">
      <alignment horizontal="center" vertical="center" shrinkToFit="1"/>
    </xf>
    <xf numFmtId="0" fontId="16" fillId="5" borderId="14" xfId="0" applyFont="1" applyFill="1" applyBorder="1" applyAlignment="1">
      <alignment horizontal="left" vertical="center" wrapText="1"/>
    </xf>
    <xf numFmtId="1" fontId="16" fillId="5" borderId="22" xfId="0" quotePrefix="1" applyNumberFormat="1" applyFont="1" applyFill="1" applyBorder="1" applyAlignment="1">
      <alignment horizontal="center" vertical="center" shrinkToFit="1"/>
    </xf>
    <xf numFmtId="0" fontId="6" fillId="5" borderId="0" xfId="0" applyFont="1" applyFill="1" applyAlignment="1">
      <alignment horizontal="right" vertical="center" wrapText="1"/>
    </xf>
    <xf numFmtId="170" fontId="16" fillId="5" borderId="48" xfId="0" applyNumberFormat="1" applyFont="1" applyFill="1" applyBorder="1" applyAlignment="1">
      <alignment horizontal="right" vertical="center" shrinkToFit="1"/>
    </xf>
    <xf numFmtId="0" fontId="13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wrapText="1"/>
    </xf>
    <xf numFmtId="1" fontId="14" fillId="5" borderId="0" xfId="0" applyNumberFormat="1" applyFont="1" applyFill="1" applyAlignment="1">
      <alignment vertical="top"/>
    </xf>
    <xf numFmtId="4" fontId="14" fillId="5" borderId="0" xfId="0" applyNumberFormat="1" applyFont="1" applyFill="1" applyAlignment="1">
      <alignment horizontal="left" vertical="top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wrapText="1"/>
    </xf>
    <xf numFmtId="0" fontId="13" fillId="5" borderId="14" xfId="0" applyFont="1" applyFill="1" applyBorder="1" applyAlignment="1">
      <alignment horizontal="left" wrapText="1"/>
    </xf>
    <xf numFmtId="1" fontId="13" fillId="5" borderId="13" xfId="0" applyNumberFormat="1" applyFont="1" applyFill="1" applyBorder="1" applyAlignment="1">
      <alignment horizontal="center" vertical="top" shrinkToFit="1"/>
    </xf>
    <xf numFmtId="0" fontId="8" fillId="5" borderId="5" xfId="0" applyFont="1" applyFill="1" applyBorder="1" applyAlignment="1">
      <alignment horizontal="center" vertical="top" wrapText="1"/>
    </xf>
    <xf numFmtId="170" fontId="13" fillId="5" borderId="5" xfId="0" applyNumberFormat="1" applyFont="1" applyFill="1" applyBorder="1" applyAlignment="1">
      <alignment horizontal="right" vertical="top" shrinkToFit="1"/>
    </xf>
    <xf numFmtId="4" fontId="13" fillId="5" borderId="14" xfId="0" applyNumberFormat="1" applyFont="1" applyFill="1" applyBorder="1" applyAlignment="1">
      <alignment horizontal="right" vertical="top" shrinkToFit="1"/>
    </xf>
    <xf numFmtId="0" fontId="8" fillId="5" borderId="22" xfId="0" applyFont="1" applyFill="1" applyBorder="1" applyAlignment="1">
      <alignment horizontal="centerContinuous" vertical="center"/>
    </xf>
    <xf numFmtId="0" fontId="8" fillId="5" borderId="8" xfId="0" applyFont="1" applyFill="1" applyBorder="1" applyAlignment="1">
      <alignment horizontal="centerContinuous" vertical="center"/>
    </xf>
    <xf numFmtId="170" fontId="8" fillId="5" borderId="8" xfId="0" applyNumberFormat="1" applyFont="1" applyFill="1" applyBorder="1" applyAlignment="1">
      <alignment horizontal="centerContinuous" vertical="center"/>
    </xf>
    <xf numFmtId="170" fontId="8" fillId="5" borderId="9" xfId="0" applyNumberFormat="1" applyFont="1" applyFill="1" applyBorder="1" applyAlignment="1">
      <alignment horizontal="centerContinuous" vertical="center"/>
    </xf>
    <xf numFmtId="170" fontId="14" fillId="5" borderId="0" xfId="0" applyNumberFormat="1" applyFont="1" applyFill="1" applyAlignment="1">
      <alignment horizontal="left" vertical="top"/>
    </xf>
    <xf numFmtId="2" fontId="13" fillId="5" borderId="5" xfId="0" applyNumberFormat="1" applyFont="1" applyFill="1" applyBorder="1" applyAlignment="1">
      <alignment horizontal="right" vertical="top" shrinkToFit="1"/>
    </xf>
    <xf numFmtId="0" fontId="8" fillId="5" borderId="9" xfId="0" applyFont="1" applyFill="1" applyBorder="1" applyAlignment="1">
      <alignment horizontal="centerContinuous" vertical="center"/>
    </xf>
    <xf numFmtId="0" fontId="8" fillId="5" borderId="13" xfId="0" applyFont="1" applyFill="1" applyBorder="1" applyAlignment="1">
      <alignment horizontal="left" vertical="top" wrapText="1" indent="1"/>
    </xf>
    <xf numFmtId="41" fontId="8" fillId="5" borderId="14" xfId="0" applyNumberFormat="1" applyFont="1" applyFill="1" applyBorder="1" applyAlignment="1">
      <alignment horizontal="right" vertical="top" wrapText="1" indent="1"/>
    </xf>
    <xf numFmtId="0" fontId="13" fillId="5" borderId="13" xfId="0" applyFont="1" applyFill="1" applyBorder="1" applyAlignment="1">
      <alignment horizontal="center" vertical="top"/>
    </xf>
    <xf numFmtId="0" fontId="13" fillId="5" borderId="7" xfId="0" applyFont="1" applyFill="1" applyBorder="1" applyAlignment="1">
      <alignment vertical="top"/>
    </xf>
    <xf numFmtId="0" fontId="13" fillId="5" borderId="8" xfId="0" applyFont="1" applyFill="1" applyBorder="1" applyAlignment="1">
      <alignment vertical="top"/>
    </xf>
    <xf numFmtId="0" fontId="13" fillId="5" borderId="9" xfId="0" applyFont="1" applyFill="1" applyBorder="1" applyAlignment="1">
      <alignment vertical="top"/>
    </xf>
    <xf numFmtId="0" fontId="15" fillId="5" borderId="0" xfId="0" applyFont="1" applyFill="1" applyAlignment="1">
      <alignment horizontal="left" vertical="top"/>
    </xf>
    <xf numFmtId="0" fontId="13" fillId="5" borderId="17" xfId="0" applyFont="1" applyFill="1" applyBorder="1" applyAlignment="1">
      <alignment horizontal="center" vertical="top"/>
    </xf>
    <xf numFmtId="0" fontId="13" fillId="5" borderId="18" xfId="0" applyFont="1" applyFill="1" applyBorder="1" applyAlignment="1">
      <alignment vertical="top"/>
    </xf>
    <xf numFmtId="0" fontId="13" fillId="5" borderId="19" xfId="0" applyFont="1" applyFill="1" applyBorder="1" applyAlignment="1">
      <alignment vertical="top"/>
    </xf>
    <xf numFmtId="0" fontId="13" fillId="5" borderId="20" xfId="0" applyFont="1" applyFill="1" applyBorder="1" applyAlignment="1">
      <alignment vertical="top"/>
    </xf>
    <xf numFmtId="4" fontId="14" fillId="5" borderId="21" xfId="0" applyNumberFormat="1" applyFont="1" applyFill="1" applyBorder="1" applyAlignment="1">
      <alignment vertical="top"/>
    </xf>
    <xf numFmtId="0" fontId="8" fillId="5" borderId="0" xfId="0" applyFont="1" applyFill="1" applyAlignment="1">
      <alignment horizontal="left" vertical="top" wrapText="1" indent="1"/>
    </xf>
    <xf numFmtId="0" fontId="8" fillId="5" borderId="0" xfId="0" applyFont="1" applyFill="1" applyAlignment="1">
      <alignment horizontal="left" vertical="top" wrapText="1"/>
    </xf>
    <xf numFmtId="4" fontId="14" fillId="5" borderId="0" xfId="0" applyNumberFormat="1" applyFont="1" applyFill="1" applyAlignment="1">
      <alignment horizontal="right" vertical="top" shrinkToFit="1"/>
    </xf>
    <xf numFmtId="173" fontId="14" fillId="5" borderId="0" xfId="0" applyNumberFormat="1" applyFont="1" applyFill="1" applyAlignment="1">
      <alignment vertical="center" shrinkToFit="1"/>
    </xf>
    <xf numFmtId="168" fontId="13" fillId="5" borderId="5" xfId="0" applyNumberFormat="1" applyFont="1" applyFill="1" applyBorder="1" applyAlignment="1">
      <alignment horizontal="right" vertical="top" shrinkToFit="1"/>
    </xf>
    <xf numFmtId="0" fontId="15" fillId="5" borderId="4" xfId="0" applyFont="1" applyFill="1" applyBorder="1" applyAlignment="1">
      <alignment horizontal="left" vertical="top"/>
    </xf>
    <xf numFmtId="173" fontId="14" fillId="5" borderId="0" xfId="0" applyNumberFormat="1" applyFont="1" applyFill="1" applyAlignment="1">
      <alignment vertical="top" shrinkToFit="1"/>
    </xf>
    <xf numFmtId="0" fontId="8" fillId="5" borderId="5" xfId="0" applyFont="1" applyFill="1" applyBorder="1" applyAlignment="1">
      <alignment horizontal="left" vertical="top"/>
    </xf>
    <xf numFmtId="0" fontId="8" fillId="5" borderId="5" xfId="0" applyFont="1" applyFill="1" applyBorder="1" applyAlignment="1">
      <alignment horizontal="center" vertical="top"/>
    </xf>
    <xf numFmtId="0" fontId="13" fillId="5" borderId="0" xfId="0" applyFont="1" applyFill="1" applyAlignment="1">
      <alignment horizontal="center" vertical="top"/>
    </xf>
    <xf numFmtId="0" fontId="13" fillId="5" borderId="0" xfId="0" applyFont="1" applyFill="1" applyAlignment="1">
      <alignment vertical="top"/>
    </xf>
    <xf numFmtId="4" fontId="14" fillId="5" borderId="0" xfId="0" applyNumberFormat="1" applyFont="1" applyFill="1" applyAlignment="1">
      <alignment vertical="top"/>
    </xf>
    <xf numFmtId="0" fontId="14" fillId="5" borderId="0" xfId="0" applyFont="1" applyFill="1" applyAlignment="1">
      <alignment vertical="top"/>
    </xf>
    <xf numFmtId="0" fontId="7" fillId="5" borderId="0" xfId="0" applyFont="1" applyFill="1">
      <alignment vertical="center"/>
    </xf>
    <xf numFmtId="1" fontId="13" fillId="5" borderId="13" xfId="0" applyNumberFormat="1" applyFont="1" applyFill="1" applyBorder="1" applyAlignment="1">
      <alignment horizontal="center" vertical="top" wrapText="1" shrinkToFit="1"/>
    </xf>
    <xf numFmtId="168" fontId="13" fillId="5" borderId="5" xfId="0" applyNumberFormat="1" applyFont="1" applyFill="1" applyBorder="1" applyAlignment="1">
      <alignment horizontal="right" vertical="top" wrapText="1" shrinkToFit="1"/>
    </xf>
    <xf numFmtId="0" fontId="14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1" fontId="7" fillId="5" borderId="0" xfId="0" applyNumberFormat="1" applyFont="1" applyFill="1" applyAlignment="1">
      <alignment vertical="top"/>
    </xf>
    <xf numFmtId="1" fontId="13" fillId="5" borderId="13" xfId="0" quotePrefix="1" applyNumberFormat="1" applyFont="1" applyFill="1" applyBorder="1" applyAlignment="1">
      <alignment horizontal="center" vertical="top" shrinkToFit="1"/>
    </xf>
    <xf numFmtId="173" fontId="14" fillId="5" borderId="0" xfId="0" applyNumberFormat="1" applyFont="1" applyFill="1" applyAlignment="1">
      <alignment horizontal="left" vertical="center" shrinkToFit="1"/>
    </xf>
    <xf numFmtId="168" fontId="13" fillId="5" borderId="5" xfId="0" applyNumberFormat="1" applyFont="1" applyFill="1" applyBorder="1" applyAlignment="1">
      <alignment vertical="center" shrinkToFit="1"/>
    </xf>
    <xf numFmtId="0" fontId="13" fillId="5" borderId="5" xfId="0" applyFont="1" applyFill="1" applyBorder="1" applyAlignment="1">
      <alignment horizontal="center" wrapText="1"/>
    </xf>
    <xf numFmtId="2" fontId="13" fillId="5" borderId="5" xfId="0" applyNumberFormat="1" applyFont="1" applyFill="1" applyBorder="1" applyAlignment="1">
      <alignment horizontal="right" vertical="top"/>
    </xf>
    <xf numFmtId="2" fontId="13" fillId="5" borderId="5" xfId="0" applyNumberFormat="1" applyFont="1" applyFill="1" applyBorder="1" applyAlignment="1">
      <alignment horizontal="right" vertical="center" shrinkToFit="1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vertical="top" shrinkToFit="1"/>
    </xf>
    <xf numFmtId="0" fontId="7" fillId="5" borderId="0" xfId="0" applyFont="1" applyFill="1" applyAlignment="1">
      <alignment horizontal="center" vertical="top"/>
    </xf>
    <xf numFmtId="0" fontId="7" fillId="5" borderId="0" xfId="0" applyFont="1" applyFill="1" applyAlignment="1">
      <alignment vertical="top"/>
    </xf>
    <xf numFmtId="170" fontId="13" fillId="5" borderId="5" xfId="0" applyNumberFormat="1" applyFont="1" applyFill="1" applyBorder="1" applyAlignment="1">
      <alignment horizontal="center" vertical="top" shrinkToFit="1"/>
    </xf>
    <xf numFmtId="170" fontId="8" fillId="5" borderId="8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top" wrapText="1"/>
    </xf>
    <xf numFmtId="173" fontId="9" fillId="5" borderId="45" xfId="0" applyNumberFormat="1" applyFont="1" applyFill="1" applyBorder="1" applyAlignment="1">
      <alignment horizontal="left" wrapText="1" shrinkToFit="1"/>
    </xf>
    <xf numFmtId="0" fontId="6" fillId="5" borderId="7" xfId="0" applyFont="1" applyFill="1" applyBorder="1" applyAlignment="1">
      <alignment horizontal="centerContinuous" vertical="center"/>
    </xf>
    <xf numFmtId="1" fontId="9" fillId="5" borderId="0" xfId="0" applyNumberFormat="1" applyFont="1" applyFill="1" applyAlignment="1">
      <alignment horizontal="left"/>
    </xf>
    <xf numFmtId="173" fontId="9" fillId="5" borderId="0" xfId="0" applyNumberFormat="1" applyFont="1" applyFill="1" applyAlignment="1">
      <alignment vertical="top" wrapText="1" shrinkToFit="1"/>
    </xf>
    <xf numFmtId="1" fontId="9" fillId="5" borderId="45" xfId="0" applyNumberFormat="1" applyFont="1" applyFill="1" applyBorder="1" applyAlignment="1">
      <alignment wrapText="1"/>
    </xf>
    <xf numFmtId="1" fontId="9" fillId="5" borderId="45" xfId="0" applyNumberFormat="1" applyFont="1" applyFill="1" applyBorder="1" applyAlignment="1">
      <alignment vertical="top" wrapText="1"/>
    </xf>
    <xf numFmtId="1" fontId="9" fillId="5" borderId="0" xfId="0" applyNumberFormat="1" applyFont="1" applyFill="1" applyAlignment="1">
      <alignment horizontal="left" vertical="top"/>
    </xf>
    <xf numFmtId="1" fontId="5" fillId="5" borderId="0" xfId="0" applyNumberFormat="1" applyFont="1" applyFill="1" applyAlignment="1">
      <alignment vertical="top" wrapText="1"/>
    </xf>
    <xf numFmtId="1" fontId="5" fillId="5" borderId="0" xfId="0" applyNumberFormat="1" applyFont="1" applyFill="1" applyAlignment="1">
      <alignment horizontal="left" vertical="top" wrapText="1"/>
    </xf>
    <xf numFmtId="1" fontId="9" fillId="5" borderId="45" xfId="0" applyNumberFormat="1" applyFont="1" applyFill="1" applyBorder="1" applyAlignment="1">
      <alignment vertical="top"/>
    </xf>
    <xf numFmtId="168" fontId="6" fillId="5" borderId="9" xfId="0" applyNumberFormat="1" applyFont="1" applyFill="1" applyBorder="1" applyAlignment="1">
      <alignment horizontal="centerContinuous" vertical="center"/>
    </xf>
    <xf numFmtId="173" fontId="10" fillId="5" borderId="0" xfId="0" applyNumberFormat="1" applyFont="1" applyFill="1" applyAlignment="1">
      <alignment horizontal="left" vertical="center" shrinkToFit="1"/>
    </xf>
    <xf numFmtId="0" fontId="10" fillId="5" borderId="5" xfId="0" applyFont="1" applyFill="1" applyBorder="1" applyAlignment="1">
      <alignment horizontal="centerContinuous" vertical="center" wrapText="1"/>
    </xf>
    <xf numFmtId="1" fontId="10" fillId="5" borderId="22" xfId="0" quotePrefix="1" applyNumberFormat="1" applyFont="1" applyFill="1" applyBorder="1" applyAlignment="1">
      <alignment horizontal="center" vertical="top" shrinkToFit="1"/>
    </xf>
    <xf numFmtId="0" fontId="6" fillId="5" borderId="48" xfId="0" applyFont="1" applyFill="1" applyBorder="1" applyAlignment="1">
      <alignment horizontal="left" vertical="top"/>
    </xf>
    <xf numFmtId="0" fontId="6" fillId="5" borderId="48" xfId="0" applyFont="1" applyFill="1" applyBorder="1" applyAlignment="1">
      <alignment horizontal="center" vertical="top" wrapText="1"/>
    </xf>
    <xf numFmtId="168" fontId="10" fillId="5" borderId="48" xfId="0" applyNumberFormat="1" applyFont="1" applyFill="1" applyBorder="1" applyAlignment="1">
      <alignment horizontal="right" vertical="top" shrinkToFit="1"/>
    </xf>
    <xf numFmtId="168" fontId="6" fillId="5" borderId="30" xfId="0" applyNumberFormat="1" applyFont="1" applyFill="1" applyBorder="1" applyAlignment="1">
      <alignment horizontal="centerContinuous" vertical="center"/>
    </xf>
    <xf numFmtId="0" fontId="5" fillId="5" borderId="0" xfId="0" applyFont="1" applyFill="1" applyAlignment="1">
      <alignment horizontal="center" wrapText="1"/>
    </xf>
    <xf numFmtId="0" fontId="10" fillId="5" borderId="0" xfId="0" applyFont="1" applyFill="1" applyAlignment="1">
      <alignment horizontal="left" wrapText="1"/>
    </xf>
    <xf numFmtId="0" fontId="10" fillId="5" borderId="31" xfId="0" applyFont="1" applyFill="1" applyBorder="1" applyAlignment="1">
      <alignment horizontal="left" wrapText="1"/>
    </xf>
    <xf numFmtId="0" fontId="10" fillId="5" borderId="32" xfId="0" applyFont="1" applyFill="1" applyBorder="1" applyAlignment="1">
      <alignment horizontal="left" wrapText="1"/>
    </xf>
    <xf numFmtId="173" fontId="10" fillId="5" borderId="0" xfId="0" applyNumberFormat="1" applyFont="1" applyFill="1" applyAlignment="1">
      <alignment horizontal="left" vertical="center" indent="1" shrinkToFit="1"/>
    </xf>
    <xf numFmtId="170" fontId="10" fillId="5" borderId="14" xfId="0" applyNumberFormat="1" applyFont="1" applyFill="1" applyBorder="1" applyAlignment="1">
      <alignment horizontal="left" wrapText="1"/>
    </xf>
    <xf numFmtId="0" fontId="5" fillId="5" borderId="0" xfId="0" applyFont="1" applyFill="1" applyAlignment="1">
      <alignment horizontal="center" vertical="top" wrapText="1"/>
    </xf>
    <xf numFmtId="0" fontId="5" fillId="5" borderId="0" xfId="0" applyFont="1" applyFill="1" applyAlignment="1">
      <alignment vertical="top"/>
    </xf>
    <xf numFmtId="4" fontId="6" fillId="5" borderId="0" xfId="0" applyNumberFormat="1" applyFont="1" applyFill="1">
      <alignment vertical="center"/>
    </xf>
    <xf numFmtId="1" fontId="9" fillId="5" borderId="0" xfId="0" applyNumberFormat="1" applyFont="1" applyFill="1" applyAlignment="1"/>
    <xf numFmtId="1" fontId="9" fillId="5" borderId="0" xfId="0" applyNumberFormat="1" applyFont="1" applyFill="1" applyAlignment="1">
      <alignment wrapText="1"/>
    </xf>
    <xf numFmtId="0" fontId="5" fillId="5" borderId="0" xfId="0" applyFont="1" applyFill="1" applyAlignment="1">
      <alignment horizontal="left" vertical="top" indent="1"/>
    </xf>
    <xf numFmtId="1" fontId="9" fillId="5" borderId="0" xfId="0" applyNumberFormat="1" applyFont="1" applyFill="1" applyAlignment="1">
      <alignment vertical="top" wrapText="1"/>
    </xf>
    <xf numFmtId="168" fontId="10" fillId="5" borderId="5" xfId="0" applyNumberFormat="1" applyFont="1" applyFill="1" applyBorder="1" applyAlignment="1">
      <alignment horizontal="right" vertical="top" wrapText="1" shrinkToFit="1"/>
    </xf>
    <xf numFmtId="0" fontId="10" fillId="5" borderId="5" xfId="0" applyFont="1" applyFill="1" applyBorder="1" applyAlignment="1">
      <alignment vertical="top"/>
    </xf>
    <xf numFmtId="173" fontId="5" fillId="5" borderId="45" xfId="0" applyNumberFormat="1" applyFont="1" applyFill="1" applyBorder="1" applyAlignment="1">
      <alignment vertical="center" wrapText="1" shrinkToFit="1"/>
    </xf>
    <xf numFmtId="173" fontId="9" fillId="5" borderId="45" xfId="0" applyNumberFormat="1" applyFont="1" applyFill="1" applyBorder="1" applyAlignment="1">
      <alignment vertical="center" wrapText="1" shrinkToFit="1"/>
    </xf>
    <xf numFmtId="173" fontId="9" fillId="5" borderId="0" xfId="0" applyNumberFormat="1" applyFont="1" applyFill="1" applyAlignment="1">
      <alignment shrinkToFit="1"/>
    </xf>
    <xf numFmtId="1" fontId="9" fillId="5" borderId="0" xfId="0" applyNumberFormat="1" applyFont="1" applyFill="1" applyAlignment="1">
      <alignment horizontal="left" vertical="center"/>
    </xf>
    <xf numFmtId="0" fontId="10" fillId="5" borderId="5" xfId="0" applyFont="1" applyFill="1" applyBorder="1">
      <alignment vertical="center"/>
    </xf>
    <xf numFmtId="1" fontId="9" fillId="5" borderId="45" xfId="0" applyNumberFormat="1" applyFont="1" applyFill="1" applyBorder="1" applyAlignment="1">
      <alignment horizontal="left" vertical="center"/>
    </xf>
    <xf numFmtId="1" fontId="5" fillId="5" borderId="0" xfId="0" applyNumberFormat="1" applyFont="1" applyFill="1" applyAlignment="1">
      <alignment horizontal="left" vertical="center"/>
    </xf>
    <xf numFmtId="0" fontId="10" fillId="5" borderId="5" xfId="0" applyFont="1" applyFill="1" applyBorder="1" applyAlignment="1">
      <alignment vertical="center" wrapText="1"/>
    </xf>
    <xf numFmtId="2" fontId="9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/>
    </xf>
    <xf numFmtId="1" fontId="5" fillId="5" borderId="0" xfId="0" applyNumberFormat="1" applyFont="1" applyFill="1" applyAlignment="1"/>
    <xf numFmtId="167" fontId="9" fillId="5" borderId="0" xfId="1" applyFont="1" applyFill="1" applyAlignment="1">
      <alignment horizontal="left" vertical="top"/>
    </xf>
    <xf numFmtId="166" fontId="6" fillId="5" borderId="0" xfId="0" applyNumberFormat="1" applyFont="1" applyFill="1">
      <alignment vertical="center"/>
    </xf>
    <xf numFmtId="174" fontId="10" fillId="5" borderId="5" xfId="0" applyNumberFormat="1" applyFont="1" applyFill="1" applyBorder="1" applyAlignment="1">
      <alignment horizontal="right" vertical="top" shrinkToFit="1"/>
    </xf>
    <xf numFmtId="1" fontId="5" fillId="5" borderId="0" xfId="0" applyNumberFormat="1" applyFont="1" applyFill="1" applyAlignment="1">
      <alignment horizontal="center" vertical="top" wrapText="1"/>
    </xf>
    <xf numFmtId="0" fontId="9" fillId="5" borderId="0" xfId="0" applyFont="1" applyFill="1" applyAlignment="1">
      <alignment horizontal="left" vertical="center" shrinkToFit="1"/>
    </xf>
    <xf numFmtId="0" fontId="6" fillId="5" borderId="36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left" vertical="top" wrapText="1"/>
    </xf>
    <xf numFmtId="0" fontId="10" fillId="5" borderId="14" xfId="0" applyFont="1" applyFill="1" applyBorder="1" applyAlignment="1">
      <alignment horizontal="left" vertical="top"/>
    </xf>
    <xf numFmtId="168" fontId="10" fillId="5" borderId="5" xfId="0" applyNumberFormat="1" applyFont="1" applyFill="1" applyBorder="1" applyAlignment="1">
      <alignment horizontal="right" vertical="top"/>
    </xf>
    <xf numFmtId="168" fontId="10" fillId="5" borderId="28" xfId="0" applyNumberFormat="1" applyFont="1" applyFill="1" applyBorder="1" applyAlignment="1">
      <alignment horizontal="right" vertical="center" shrinkToFit="1"/>
    </xf>
    <xf numFmtId="0" fontId="6" fillId="5" borderId="37" xfId="0" applyFont="1" applyFill="1" applyBorder="1" applyAlignment="1">
      <alignment horizontal="centerContinuous" vertical="center"/>
    </xf>
    <xf numFmtId="0" fontId="6" fillId="5" borderId="29" xfId="0" applyFont="1" applyFill="1" applyBorder="1" applyAlignment="1">
      <alignment horizontal="centerContinuous" vertical="center"/>
    </xf>
    <xf numFmtId="0" fontId="6" fillId="5" borderId="33" xfId="0" applyFont="1" applyFill="1" applyBorder="1" applyAlignment="1">
      <alignment horizontal="centerContinuous" vertical="center"/>
    </xf>
    <xf numFmtId="0" fontId="6" fillId="5" borderId="38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wrapText="1"/>
    </xf>
    <xf numFmtId="0" fontId="10" fillId="5" borderId="35" xfId="0" applyFont="1" applyFill="1" applyBorder="1" applyAlignment="1">
      <alignment horizontal="left" wrapText="1"/>
    </xf>
    <xf numFmtId="4" fontId="10" fillId="5" borderId="39" xfId="0" applyNumberFormat="1" applyFont="1" applyFill="1" applyBorder="1" applyAlignment="1">
      <alignment horizontal="right" vertical="top" shrinkToFit="1"/>
    </xf>
    <xf numFmtId="0" fontId="28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3" fillId="5" borderId="0" xfId="0" applyFont="1" applyFill="1">
      <alignment vertical="center"/>
    </xf>
    <xf numFmtId="0" fontId="33" fillId="5" borderId="0" xfId="0" applyFont="1" applyFill="1" applyAlignment="1">
      <alignment vertical="center" wrapText="1"/>
    </xf>
    <xf numFmtId="167" fontId="31" fillId="5" borderId="0" xfId="1" applyFont="1" applyFill="1">
      <alignment vertical="center"/>
    </xf>
    <xf numFmtId="4" fontId="31" fillId="5" borderId="0" xfId="0" applyNumberFormat="1" applyFont="1" applyFill="1">
      <alignment vertical="center"/>
    </xf>
    <xf numFmtId="0" fontId="31" fillId="5" borderId="0" xfId="0" applyFont="1" applyFill="1">
      <alignment vertical="center"/>
    </xf>
    <xf numFmtId="0" fontId="31" fillId="5" borderId="13" xfId="0" applyFont="1" applyFill="1" applyBorder="1" applyAlignment="1">
      <alignment horizontal="center" vertical="center" wrapText="1"/>
    </xf>
    <xf numFmtId="1" fontId="32" fillId="5" borderId="13" xfId="0" applyNumberFormat="1" applyFont="1" applyFill="1" applyBorder="1" applyAlignment="1">
      <alignment horizontal="center" vertical="center" shrinkToFit="1"/>
    </xf>
    <xf numFmtId="170" fontId="32" fillId="5" borderId="5" xfId="0" applyNumberFormat="1" applyFont="1" applyFill="1" applyBorder="1" applyAlignment="1">
      <alignment horizontal="right" vertical="top" shrinkToFit="1"/>
    </xf>
    <xf numFmtId="170" fontId="31" fillId="5" borderId="8" xfId="0" applyNumberFormat="1" applyFont="1" applyFill="1" applyBorder="1" applyAlignment="1">
      <alignment horizontal="centerContinuous" vertical="center"/>
    </xf>
    <xf numFmtId="170" fontId="31" fillId="5" borderId="9" xfId="0" applyNumberFormat="1" applyFont="1" applyFill="1" applyBorder="1" applyAlignment="1">
      <alignment horizontal="centerContinuous" vertical="center"/>
    </xf>
    <xf numFmtId="170" fontId="32" fillId="5" borderId="0" xfId="0" applyNumberFormat="1" applyFont="1" applyFill="1" applyAlignment="1">
      <alignment horizontal="left" vertical="top"/>
    </xf>
    <xf numFmtId="0" fontId="31" fillId="5" borderId="13" xfId="0" quotePrefix="1" applyFont="1" applyFill="1" applyBorder="1" applyAlignment="1">
      <alignment horizontal="center" vertical="center" wrapText="1"/>
    </xf>
    <xf numFmtId="168" fontId="32" fillId="5" borderId="5" xfId="0" applyNumberFormat="1" applyFont="1" applyFill="1" applyBorder="1" applyAlignment="1">
      <alignment horizontal="right" wrapText="1"/>
    </xf>
    <xf numFmtId="168" fontId="10" fillId="5" borderId="5" xfId="0" applyNumberFormat="1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 wrapText="1"/>
    </xf>
    <xf numFmtId="1" fontId="33" fillId="5" borderId="0" xfId="0" applyNumberFormat="1" applyFont="1" applyFill="1" applyAlignment="1">
      <alignment horizontal="center" vertical="center"/>
    </xf>
    <xf numFmtId="1" fontId="33" fillId="5" borderId="0" xfId="0" applyNumberFormat="1" applyFont="1" applyFill="1">
      <alignment vertical="center"/>
    </xf>
    <xf numFmtId="0" fontId="32" fillId="5" borderId="0" xfId="0" applyFont="1" applyFill="1" applyAlignment="1">
      <alignment horizontal="left" vertical="center"/>
    </xf>
    <xf numFmtId="1" fontId="30" fillId="5" borderId="0" xfId="0" applyNumberFormat="1" applyFont="1" applyFill="1">
      <alignment vertical="center"/>
    </xf>
    <xf numFmtId="0" fontId="30" fillId="5" borderId="0" xfId="0" applyFont="1" applyFill="1" applyAlignment="1">
      <alignment horizontal="left" vertical="center" shrinkToFit="1"/>
    </xf>
    <xf numFmtId="4" fontId="30" fillId="5" borderId="0" xfId="0" applyNumberFormat="1" applyFont="1" applyFill="1" applyAlignment="1">
      <alignment horizontal="left" vertical="center"/>
    </xf>
    <xf numFmtId="0" fontId="32" fillId="5" borderId="5" xfId="0" applyFont="1" applyFill="1" applyBorder="1" applyAlignment="1">
      <alignment horizontal="left" vertical="center" wrapText="1"/>
    </xf>
    <xf numFmtId="0" fontId="32" fillId="5" borderId="14" xfId="0" applyFont="1" applyFill="1" applyBorder="1" applyAlignment="1">
      <alignment horizontal="left" vertical="center" wrapText="1"/>
    </xf>
    <xf numFmtId="167" fontId="31" fillId="5" borderId="0" xfId="1" applyFont="1" applyFill="1" applyAlignment="1">
      <alignment vertical="center"/>
    </xf>
    <xf numFmtId="1" fontId="32" fillId="5" borderId="13" xfId="0" quotePrefix="1" applyNumberFormat="1" applyFont="1" applyFill="1" applyBorder="1" applyAlignment="1">
      <alignment horizontal="center" vertical="center" shrinkToFit="1"/>
    </xf>
    <xf numFmtId="168" fontId="32" fillId="5" borderId="5" xfId="0" applyNumberFormat="1" applyFont="1" applyFill="1" applyBorder="1" applyAlignment="1">
      <alignment horizontal="right" vertical="center" shrinkToFit="1"/>
    </xf>
    <xf numFmtId="4" fontId="32" fillId="5" borderId="5" xfId="0" applyNumberFormat="1" applyFont="1" applyFill="1" applyBorder="1" applyAlignment="1">
      <alignment horizontal="right" vertical="center" shrinkToFit="1"/>
    </xf>
    <xf numFmtId="4" fontId="32" fillId="5" borderId="14" xfId="0" applyNumberFormat="1" applyFont="1" applyFill="1" applyBorder="1" applyAlignment="1">
      <alignment horizontal="right" vertical="center" shrinkToFit="1"/>
    </xf>
    <xf numFmtId="9" fontId="31" fillId="5" borderId="0" xfId="0" applyNumberFormat="1" applyFont="1" applyFill="1">
      <alignment vertical="center"/>
    </xf>
    <xf numFmtId="170" fontId="32" fillId="5" borderId="0" xfId="0" applyNumberFormat="1" applyFont="1" applyFill="1" applyAlignment="1">
      <alignment horizontal="left" vertical="center"/>
    </xf>
    <xf numFmtId="0" fontId="31" fillId="5" borderId="36" xfId="0" applyFont="1" applyFill="1" applyBorder="1" applyAlignment="1">
      <alignment horizontal="center" vertical="center" wrapText="1"/>
    </xf>
    <xf numFmtId="0" fontId="31" fillId="5" borderId="28" xfId="0" applyFont="1" applyFill="1" applyBorder="1" applyAlignment="1">
      <alignment horizontal="left" vertical="center" wrapText="1"/>
    </xf>
    <xf numFmtId="0" fontId="32" fillId="5" borderId="14" xfId="0" applyFont="1" applyFill="1" applyBorder="1" applyAlignment="1">
      <alignment horizontal="left" vertical="center"/>
    </xf>
    <xf numFmtId="0" fontId="31" fillId="5" borderId="36" xfId="0" quotePrefix="1" applyFont="1" applyFill="1" applyBorder="1" applyAlignment="1">
      <alignment horizontal="center" vertical="center" wrapText="1"/>
    </xf>
    <xf numFmtId="168" fontId="32" fillId="5" borderId="5" xfId="0" applyNumberFormat="1" applyFont="1" applyFill="1" applyBorder="1" applyAlignment="1">
      <alignment horizontal="right" vertical="center"/>
    </xf>
    <xf numFmtId="168" fontId="32" fillId="5" borderId="28" xfId="0" applyNumberFormat="1" applyFont="1" applyFill="1" applyBorder="1" applyAlignment="1">
      <alignment horizontal="right" vertical="center"/>
    </xf>
    <xf numFmtId="0" fontId="31" fillId="5" borderId="13" xfId="0" applyFont="1" applyFill="1" applyBorder="1" applyAlignment="1">
      <alignment horizontal="left" vertical="center" wrapText="1"/>
    </xf>
    <xf numFmtId="168" fontId="31" fillId="5" borderId="5" xfId="0" applyNumberFormat="1" applyFont="1" applyFill="1" applyBorder="1" applyAlignment="1">
      <alignment horizontal="right" vertical="center" wrapText="1"/>
    </xf>
    <xf numFmtId="0" fontId="32" fillId="5" borderId="13" xfId="0" applyFont="1" applyFill="1" applyBorder="1" applyAlignment="1">
      <alignment horizontal="center" vertical="center"/>
    </xf>
    <xf numFmtId="0" fontId="32" fillId="5" borderId="7" xfId="0" applyFont="1" applyFill="1" applyBorder="1">
      <alignment vertical="center"/>
    </xf>
    <xf numFmtId="0" fontId="32" fillId="5" borderId="8" xfId="0" applyFont="1" applyFill="1" applyBorder="1">
      <alignment vertical="center"/>
    </xf>
    <xf numFmtId="0" fontId="32" fillId="5" borderId="9" xfId="0" applyFont="1" applyFill="1" applyBorder="1">
      <alignment vertical="center"/>
    </xf>
    <xf numFmtId="9" fontId="32" fillId="5" borderId="5" xfId="0" applyNumberFormat="1" applyFont="1" applyFill="1" applyBorder="1">
      <alignment vertical="center"/>
    </xf>
    <xf numFmtId="0" fontId="32" fillId="5" borderId="17" xfId="0" applyFont="1" applyFill="1" applyBorder="1" applyAlignment="1">
      <alignment horizontal="center" vertical="center"/>
    </xf>
    <xf numFmtId="0" fontId="32" fillId="5" borderId="18" xfId="0" applyFont="1" applyFill="1" applyBorder="1">
      <alignment vertical="center"/>
    </xf>
    <xf numFmtId="0" fontId="32" fillId="5" borderId="19" xfId="0" applyFont="1" applyFill="1" applyBorder="1">
      <alignment vertical="center"/>
    </xf>
    <xf numFmtId="0" fontId="32" fillId="5" borderId="20" xfId="0" applyFont="1" applyFill="1" applyBorder="1">
      <alignment vertical="center"/>
    </xf>
    <xf numFmtId="4" fontId="30" fillId="5" borderId="21" xfId="0" applyNumberFormat="1" applyFont="1" applyFill="1" applyBorder="1">
      <alignment vertical="center"/>
    </xf>
    <xf numFmtId="0" fontId="31" fillId="5" borderId="0" xfId="0" applyFont="1" applyFill="1" applyAlignment="1">
      <alignment horizontal="center" vertical="center" wrapText="1"/>
    </xf>
    <xf numFmtId="0" fontId="31" fillId="5" borderId="0" xfId="0" applyFont="1" applyFill="1" applyAlignment="1">
      <alignment horizontal="left" vertical="center" wrapText="1"/>
    </xf>
    <xf numFmtId="4" fontId="30" fillId="5" borderId="0" xfId="0" applyNumberFormat="1" applyFont="1" applyFill="1" applyAlignment="1">
      <alignment horizontal="right" vertical="center" shrinkToFit="1"/>
    </xf>
    <xf numFmtId="170" fontId="32" fillId="5" borderId="5" xfId="0" applyNumberFormat="1" applyFont="1" applyFill="1" applyBorder="1" applyAlignment="1">
      <alignment horizontal="right" vertical="center" shrinkToFit="1"/>
    </xf>
    <xf numFmtId="41" fontId="31" fillId="5" borderId="14" xfId="0" applyNumberFormat="1" applyFont="1" applyFill="1" applyBorder="1" applyAlignment="1">
      <alignment horizontal="right" vertical="center" wrapText="1"/>
    </xf>
    <xf numFmtId="0" fontId="32" fillId="5" borderId="5" xfId="0" applyFont="1" applyFill="1" applyBorder="1" applyAlignment="1">
      <alignment horizontal="center" vertical="center"/>
    </xf>
    <xf numFmtId="168" fontId="32" fillId="5" borderId="28" xfId="0" applyNumberFormat="1" applyFont="1" applyFill="1" applyBorder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177" fontId="31" fillId="5" borderId="14" xfId="0" applyNumberFormat="1" applyFont="1" applyFill="1" applyBorder="1" applyAlignment="1">
      <alignment horizontal="right" vertical="center" wrapText="1"/>
    </xf>
    <xf numFmtId="168" fontId="32" fillId="5" borderId="5" xfId="0" applyNumberFormat="1" applyFont="1" applyFill="1" applyBorder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0" fillId="5" borderId="0" xfId="0" applyFont="1" applyFill="1">
      <alignment vertical="center"/>
    </xf>
    <xf numFmtId="0" fontId="32" fillId="5" borderId="0" xfId="0" applyFont="1" applyFill="1">
      <alignment vertical="center"/>
    </xf>
    <xf numFmtId="173" fontId="9" fillId="5" borderId="0" xfId="0" applyNumberFormat="1" applyFont="1" applyFill="1" applyAlignment="1">
      <alignment horizontal="left" vertical="center" shrinkToFit="1"/>
    </xf>
    <xf numFmtId="0" fontId="6" fillId="5" borderId="5" xfId="0" applyFont="1" applyFill="1" applyBorder="1" applyAlignment="1">
      <alignment horizontal="left" vertical="top" wrapText="1" indent="1"/>
    </xf>
    <xf numFmtId="2" fontId="6" fillId="5" borderId="5" xfId="0" applyNumberFormat="1" applyFont="1" applyFill="1" applyBorder="1" applyAlignment="1">
      <alignment horizontal="right" vertical="center"/>
    </xf>
    <xf numFmtId="4" fontId="16" fillId="5" borderId="5" xfId="0" applyNumberFormat="1" applyFont="1" applyFill="1" applyBorder="1" applyAlignment="1">
      <alignment horizontal="left" vertical="center" wrapText="1"/>
    </xf>
    <xf numFmtId="4" fontId="6" fillId="5" borderId="5" xfId="0" applyNumberFormat="1" applyFont="1" applyFill="1" applyBorder="1" applyAlignment="1">
      <alignment horizontal="left" vertical="center" wrapText="1"/>
    </xf>
    <xf numFmtId="2" fontId="10" fillId="5" borderId="5" xfId="0" applyNumberFormat="1" applyFont="1" applyFill="1" applyBorder="1" applyAlignment="1">
      <alignment horizontal="right" vertical="center" wrapText="1"/>
    </xf>
    <xf numFmtId="0" fontId="6" fillId="5" borderId="5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4" fontId="10" fillId="5" borderId="7" xfId="0" applyNumberFormat="1" applyFont="1" applyFill="1" applyBorder="1" applyAlignment="1">
      <alignment horizontal="right" vertical="top" shrinkToFit="1"/>
    </xf>
    <xf numFmtId="164" fontId="10" fillId="5" borderId="5" xfId="2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center" vertical="center" wrapText="1"/>
    </xf>
    <xf numFmtId="1" fontId="10" fillId="5" borderId="5" xfId="0" applyNumberFormat="1" applyFont="1" applyFill="1" applyBorder="1" applyAlignment="1">
      <alignment horizontal="center" vertical="top" shrinkToFit="1"/>
    </xf>
    <xf numFmtId="41" fontId="6" fillId="5" borderId="5" xfId="0" applyNumberFormat="1" applyFont="1" applyFill="1" applyBorder="1" applyAlignment="1">
      <alignment horizontal="right" vertical="top" wrapText="1" indent="1"/>
    </xf>
    <xf numFmtId="168" fontId="10" fillId="5" borderId="8" xfId="0" applyNumberFormat="1" applyFont="1" applyFill="1" applyBorder="1" applyAlignment="1">
      <alignment horizontal="right" wrapText="1"/>
    </xf>
    <xf numFmtId="0" fontId="6" fillId="5" borderId="28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right" vertical="center"/>
    </xf>
    <xf numFmtId="0" fontId="29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right" vertical="center"/>
    </xf>
    <xf numFmtId="0" fontId="33" fillId="5" borderId="0" xfId="0" applyFont="1" applyFill="1" applyAlignment="1">
      <alignment horizontal="center" vertical="center" wrapText="1"/>
    </xf>
    <xf numFmtId="0" fontId="31" fillId="5" borderId="53" xfId="0" applyFont="1" applyFill="1" applyBorder="1" applyAlignment="1">
      <alignment horizontal="center" vertical="center" wrapText="1"/>
    </xf>
    <xf numFmtId="0" fontId="31" fillId="5" borderId="26" xfId="0" applyFont="1" applyFill="1" applyBorder="1" applyAlignment="1">
      <alignment horizontal="right" vertical="center" wrapText="1"/>
    </xf>
    <xf numFmtId="0" fontId="31" fillId="5" borderId="26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vertical="top" wrapText="1"/>
    </xf>
    <xf numFmtId="0" fontId="33" fillId="5" borderId="8" xfId="0" applyFont="1" applyFill="1" applyBorder="1" applyAlignment="1">
      <alignment horizontal="right" vertical="top" wrapText="1"/>
    </xf>
    <xf numFmtId="0" fontId="33" fillId="5" borderId="8" xfId="0" applyFont="1" applyFill="1" applyBorder="1" applyAlignment="1">
      <alignment vertical="top" wrapText="1"/>
    </xf>
    <xf numFmtId="0" fontId="33" fillId="5" borderId="39" xfId="0" applyFont="1" applyFill="1" applyBorder="1" applyAlignment="1">
      <alignment vertical="top" wrapText="1"/>
    </xf>
    <xf numFmtId="0" fontId="31" fillId="5" borderId="7" xfId="0" applyFont="1" applyFill="1" applyBorder="1" applyAlignment="1">
      <alignment vertical="top" wrapText="1"/>
    </xf>
    <xf numFmtId="0" fontId="31" fillId="5" borderId="8" xfId="0" applyFont="1" applyFill="1" applyBorder="1" applyAlignment="1">
      <alignment horizontal="right" vertical="top" wrapText="1"/>
    </xf>
    <xf numFmtId="0" fontId="31" fillId="5" borderId="8" xfId="0" applyFont="1" applyFill="1" applyBorder="1" applyAlignment="1">
      <alignment vertical="top" wrapText="1"/>
    </xf>
    <xf numFmtId="0" fontId="33" fillId="5" borderId="5" xfId="0" applyFont="1" applyFill="1" applyBorder="1" applyAlignment="1">
      <alignment vertical="top" wrapText="1"/>
    </xf>
    <xf numFmtId="0" fontId="31" fillId="5" borderId="7" xfId="0" applyFont="1" applyFill="1" applyBorder="1" applyAlignment="1">
      <alignment horizontal="left" vertical="top" wrapText="1"/>
    </xf>
    <xf numFmtId="0" fontId="31" fillId="5" borderId="8" xfId="0" applyFont="1" applyFill="1" applyBorder="1" applyAlignment="1">
      <alignment horizontal="left" vertical="top" wrapText="1"/>
    </xf>
    <xf numFmtId="170" fontId="32" fillId="5" borderId="7" xfId="0" applyNumberFormat="1" applyFont="1" applyFill="1" applyBorder="1" applyAlignment="1">
      <alignment horizontal="right" vertical="top" shrinkToFit="1"/>
    </xf>
    <xf numFmtId="170" fontId="32" fillId="5" borderId="9" xfId="0" applyNumberFormat="1" applyFont="1" applyFill="1" applyBorder="1" applyAlignment="1">
      <alignment horizontal="right" vertical="top" shrinkToFit="1"/>
    </xf>
    <xf numFmtId="178" fontId="32" fillId="5" borderId="8" xfId="2" applyNumberFormat="1" applyFont="1" applyFill="1" applyBorder="1" applyAlignment="1">
      <alignment horizontal="right" vertical="top" shrinkToFit="1"/>
    </xf>
    <xf numFmtId="4" fontId="32" fillId="5" borderId="39" xfId="0" applyNumberFormat="1" applyFont="1" applyFill="1" applyBorder="1" applyAlignment="1">
      <alignment horizontal="right" vertical="top" shrinkToFit="1"/>
    </xf>
    <xf numFmtId="0" fontId="31" fillId="5" borderId="9" xfId="0" applyFont="1" applyFill="1" applyBorder="1" applyAlignment="1">
      <alignment horizontal="left" vertical="top" wrapText="1"/>
    </xf>
    <xf numFmtId="178" fontId="32" fillId="5" borderId="5" xfId="2" applyNumberFormat="1" applyFont="1" applyFill="1" applyBorder="1" applyAlignment="1">
      <alignment horizontal="right" vertical="top" shrinkToFit="1"/>
    </xf>
    <xf numFmtId="4" fontId="32" fillId="5" borderId="7" xfId="0" applyNumberFormat="1" applyFont="1" applyFill="1" applyBorder="1" applyAlignment="1">
      <alignment horizontal="right" vertical="top" shrinkToFit="1"/>
    </xf>
    <xf numFmtId="2" fontId="32" fillId="5" borderId="7" xfId="0" applyNumberFormat="1" applyFont="1" applyFill="1" applyBorder="1" applyAlignment="1">
      <alignment horizontal="right" vertical="top" shrinkToFit="1"/>
    </xf>
    <xf numFmtId="2" fontId="32" fillId="5" borderId="9" xfId="0" applyNumberFormat="1" applyFont="1" applyFill="1" applyBorder="1" applyAlignment="1">
      <alignment horizontal="right" vertical="top" shrinkToFit="1"/>
    </xf>
    <xf numFmtId="164" fontId="32" fillId="5" borderId="5" xfId="2" applyFont="1" applyFill="1" applyBorder="1" applyAlignment="1">
      <alignment horizontal="right" vertical="top" shrinkToFit="1"/>
    </xf>
    <xf numFmtId="176" fontId="32" fillId="5" borderId="5" xfId="2" applyNumberFormat="1" applyFont="1" applyFill="1" applyBorder="1" applyAlignment="1">
      <alignment horizontal="right" vertical="top" shrinkToFit="1"/>
    </xf>
    <xf numFmtId="176" fontId="32" fillId="5" borderId="7" xfId="2" applyNumberFormat="1" applyFont="1" applyFill="1" applyBorder="1" applyAlignment="1">
      <alignment horizontal="right" vertical="top" shrinkToFit="1"/>
    </xf>
    <xf numFmtId="1" fontId="32" fillId="5" borderId="22" xfId="0" applyNumberFormat="1" applyFont="1" applyFill="1" applyBorder="1" applyAlignment="1">
      <alignment horizontal="center" vertical="center" shrinkToFit="1"/>
    </xf>
    <xf numFmtId="0" fontId="33" fillId="5" borderId="9" xfId="0" applyFont="1" applyFill="1" applyBorder="1" applyAlignment="1">
      <alignment vertical="top" wrapText="1"/>
    </xf>
    <xf numFmtId="0" fontId="33" fillId="5" borderId="14" xfId="0" applyFont="1" applyFill="1" applyBorder="1" applyAlignment="1">
      <alignment vertical="top" wrapText="1"/>
    </xf>
    <xf numFmtId="0" fontId="31" fillId="5" borderId="57" xfId="0" applyFont="1" applyFill="1" applyBorder="1" applyAlignment="1">
      <alignment horizontal="left" vertical="top" wrapText="1"/>
    </xf>
    <xf numFmtId="168" fontId="32" fillId="5" borderId="7" xfId="0" applyNumberFormat="1" applyFont="1" applyFill="1" applyBorder="1" applyAlignment="1">
      <alignment horizontal="right" wrapText="1"/>
    </xf>
    <xf numFmtId="168" fontId="32" fillId="5" borderId="9" xfId="0" applyNumberFormat="1" applyFont="1" applyFill="1" applyBorder="1" applyAlignment="1">
      <alignment horizontal="right" wrapText="1"/>
    </xf>
    <xf numFmtId="164" fontId="32" fillId="5" borderId="5" xfId="2" applyFont="1" applyFill="1" applyBorder="1" applyAlignment="1">
      <alignment horizontal="right" wrapText="1"/>
    </xf>
    <xf numFmtId="0" fontId="31" fillId="5" borderId="30" xfId="0" applyFont="1" applyFill="1" applyBorder="1" applyAlignment="1">
      <alignment horizontal="left" vertical="top" wrapText="1"/>
    </xf>
    <xf numFmtId="0" fontId="31" fillId="5" borderId="62" xfId="0" applyFont="1" applyFill="1" applyBorder="1" applyAlignment="1">
      <alignment horizontal="left" vertical="top" wrapText="1"/>
    </xf>
    <xf numFmtId="0" fontId="31" fillId="5" borderId="47" xfId="0" applyFont="1" applyFill="1" applyBorder="1" applyAlignment="1">
      <alignment horizontal="left" vertical="top" wrapText="1"/>
    </xf>
    <xf numFmtId="0" fontId="31" fillId="5" borderId="29" xfId="0" applyFont="1" applyFill="1" applyBorder="1" applyAlignment="1">
      <alignment horizontal="right" vertical="top" wrapText="1"/>
    </xf>
    <xf numFmtId="0" fontId="31" fillId="5" borderId="29" xfId="0" applyFont="1" applyFill="1" applyBorder="1" applyAlignment="1">
      <alignment horizontal="left" vertical="top" wrapText="1"/>
    </xf>
    <xf numFmtId="0" fontId="31" fillId="5" borderId="33" xfId="0" applyFont="1" applyFill="1" applyBorder="1" applyAlignment="1">
      <alignment horizontal="left" vertical="top" wrapText="1"/>
    </xf>
    <xf numFmtId="0" fontId="31" fillId="5" borderId="58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right" vertical="top" wrapText="1"/>
    </xf>
    <xf numFmtId="0" fontId="31" fillId="5" borderId="51" xfId="0" applyFont="1" applyFill="1" applyBorder="1" applyAlignment="1">
      <alignment horizontal="left" vertical="top" wrapText="1"/>
    </xf>
    <xf numFmtId="0" fontId="31" fillId="5" borderId="30" xfId="0" applyFont="1" applyFill="1" applyBorder="1" applyAlignment="1">
      <alignment horizontal="right" vertical="top" wrapText="1"/>
    </xf>
    <xf numFmtId="0" fontId="31" fillId="5" borderId="42" xfId="0" quotePrefix="1" applyFont="1" applyFill="1" applyBorder="1" applyAlignment="1">
      <alignment horizontal="center" vertical="top" wrapText="1"/>
    </xf>
    <xf numFmtId="0" fontId="36" fillId="5" borderId="8" xfId="0" applyFont="1" applyFill="1" applyBorder="1" applyAlignment="1">
      <alignment horizontal="left" vertical="top" wrapText="1"/>
    </xf>
    <xf numFmtId="182" fontId="32" fillId="5" borderId="14" xfId="0" applyNumberFormat="1" applyFont="1" applyFill="1" applyBorder="1" applyAlignment="1">
      <alignment horizontal="right" vertical="top" shrinkToFit="1"/>
    </xf>
    <xf numFmtId="0" fontId="33" fillId="5" borderId="7" xfId="0" applyFont="1" applyFill="1" applyBorder="1" applyAlignment="1">
      <alignment horizontal="left" vertical="top" wrapText="1"/>
    </xf>
    <xf numFmtId="0" fontId="33" fillId="5" borderId="8" xfId="0" applyFont="1" applyFill="1" applyBorder="1" applyAlignment="1">
      <alignment horizontal="left" vertical="top" wrapText="1"/>
    </xf>
    <xf numFmtId="0" fontId="30" fillId="5" borderId="5" xfId="0" applyFont="1" applyFill="1" applyBorder="1" applyAlignment="1">
      <alignment horizontal="center" vertical="center" wrapText="1"/>
    </xf>
    <xf numFmtId="168" fontId="30" fillId="5" borderId="7" xfId="0" applyNumberFormat="1" applyFont="1" applyFill="1" applyBorder="1" applyAlignment="1">
      <alignment horizontal="right" wrapText="1"/>
    </xf>
    <xf numFmtId="168" fontId="30" fillId="5" borderId="9" xfId="0" applyNumberFormat="1" applyFont="1" applyFill="1" applyBorder="1" applyAlignment="1">
      <alignment horizontal="right" wrapText="1"/>
    </xf>
    <xf numFmtId="176" fontId="30" fillId="5" borderId="5" xfId="2" applyNumberFormat="1" applyFont="1" applyFill="1" applyBorder="1" applyAlignment="1">
      <alignment horizontal="right" wrapText="1"/>
    </xf>
    <xf numFmtId="4" fontId="30" fillId="5" borderId="39" xfId="0" applyNumberFormat="1" applyFont="1" applyFill="1" applyBorder="1" applyAlignment="1">
      <alignment horizontal="right" vertical="top" shrinkToFit="1"/>
    </xf>
    <xf numFmtId="0" fontId="33" fillId="5" borderId="7" xfId="0" applyFont="1" applyFill="1" applyBorder="1" applyAlignment="1">
      <alignment vertical="top"/>
    </xf>
    <xf numFmtId="0" fontId="33" fillId="5" borderId="8" xfId="0" applyFont="1" applyFill="1" applyBorder="1" applyAlignment="1">
      <alignment horizontal="right" vertical="top"/>
    </xf>
    <xf numFmtId="0" fontId="33" fillId="5" borderId="8" xfId="0" applyFont="1" applyFill="1" applyBorder="1" applyAlignment="1">
      <alignment vertical="top"/>
    </xf>
    <xf numFmtId="0" fontId="33" fillId="5" borderId="13" xfId="0" applyFont="1" applyFill="1" applyBorder="1" applyAlignment="1">
      <alignment horizontal="right" vertical="center" wrapText="1"/>
    </xf>
    <xf numFmtId="0" fontId="31" fillId="5" borderId="8" xfId="0" applyFont="1" applyFill="1" applyBorder="1" applyAlignment="1">
      <alignment horizontal="left" vertical="top"/>
    </xf>
    <xf numFmtId="0" fontId="33" fillId="5" borderId="5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left" vertical="top" wrapText="1"/>
    </xf>
    <xf numFmtId="180" fontId="33" fillId="5" borderId="5" xfId="0" applyNumberFormat="1" applyFont="1" applyFill="1" applyBorder="1" applyAlignment="1">
      <alignment horizontal="left" vertical="top" wrapText="1"/>
    </xf>
    <xf numFmtId="9" fontId="33" fillId="5" borderId="39" xfId="0" applyNumberFormat="1" applyFont="1" applyFill="1" applyBorder="1" applyAlignment="1">
      <alignment horizontal="left" vertical="top" wrapText="1"/>
    </xf>
    <xf numFmtId="0" fontId="31" fillId="5" borderId="13" xfId="0" applyFont="1" applyFill="1" applyBorder="1" applyAlignment="1">
      <alignment horizontal="right" vertical="center" wrapText="1"/>
    </xf>
    <xf numFmtId="180" fontId="31" fillId="5" borderId="5" xfId="0" applyNumberFormat="1" applyFont="1" applyFill="1" applyBorder="1" applyAlignment="1">
      <alignment horizontal="left" vertical="top" wrapText="1"/>
    </xf>
    <xf numFmtId="10" fontId="31" fillId="5" borderId="39" xfId="0" applyNumberFormat="1" applyFont="1" applyFill="1" applyBorder="1" applyAlignment="1">
      <alignment horizontal="left" vertical="top" wrapText="1"/>
    </xf>
    <xf numFmtId="164" fontId="31" fillId="5" borderId="5" xfId="2" applyFont="1" applyFill="1" applyBorder="1" applyAlignment="1">
      <alignment horizontal="left" vertical="top" wrapText="1"/>
    </xf>
    <xf numFmtId="9" fontId="31" fillId="5" borderId="39" xfId="0" applyNumberFormat="1" applyFont="1" applyFill="1" applyBorder="1" applyAlignment="1">
      <alignment horizontal="left" vertical="top" wrapText="1"/>
    </xf>
    <xf numFmtId="176" fontId="31" fillId="5" borderId="5" xfId="2" applyNumberFormat="1" applyFont="1" applyFill="1" applyBorder="1" applyAlignment="1">
      <alignment horizontal="left" vertical="top" wrapText="1"/>
    </xf>
    <xf numFmtId="176" fontId="31" fillId="5" borderId="5" xfId="0" applyNumberFormat="1" applyFont="1" applyFill="1" applyBorder="1" applyAlignment="1">
      <alignment horizontal="left" vertical="top" wrapText="1"/>
    </xf>
    <xf numFmtId="176" fontId="31" fillId="5" borderId="8" xfId="0" applyNumberFormat="1" applyFont="1" applyFill="1" applyBorder="1" applyAlignment="1">
      <alignment horizontal="left" vertical="top" wrapText="1"/>
    </xf>
    <xf numFmtId="0" fontId="31" fillId="5" borderId="39" xfId="0" applyFont="1" applyFill="1" applyBorder="1" applyAlignment="1">
      <alignment horizontal="left" vertical="top" wrapText="1"/>
    </xf>
    <xf numFmtId="176" fontId="33" fillId="5" borderId="5" xfId="2" applyNumberFormat="1" applyFont="1" applyFill="1" applyBorder="1" applyAlignment="1">
      <alignment horizontal="left" vertical="top" wrapText="1"/>
    </xf>
    <xf numFmtId="0" fontId="33" fillId="5" borderId="7" xfId="0" applyFont="1" applyFill="1" applyBorder="1" applyAlignment="1">
      <alignment horizontal="left" vertical="top"/>
    </xf>
    <xf numFmtId="181" fontId="31" fillId="5" borderId="5" xfId="0" applyNumberFormat="1" applyFont="1" applyFill="1" applyBorder="1" applyAlignment="1">
      <alignment horizontal="left" vertical="top" wrapText="1"/>
    </xf>
    <xf numFmtId="164" fontId="31" fillId="5" borderId="5" xfId="0" applyNumberFormat="1" applyFont="1" applyFill="1" applyBorder="1" applyAlignment="1">
      <alignment horizontal="left" vertical="top" wrapText="1"/>
    </xf>
    <xf numFmtId="164" fontId="31" fillId="5" borderId="8" xfId="0" applyNumberFormat="1" applyFont="1" applyFill="1" applyBorder="1" applyAlignment="1">
      <alignment horizontal="left" vertical="top" wrapText="1"/>
    </xf>
    <xf numFmtId="0" fontId="31" fillId="5" borderId="15" xfId="0" applyFont="1" applyFill="1" applyBorder="1" applyAlignment="1">
      <alignment horizontal="center" vertical="center" wrapText="1"/>
    </xf>
    <xf numFmtId="0" fontId="31" fillId="5" borderId="42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top" wrapText="1"/>
    </xf>
    <xf numFmtId="0" fontId="31" fillId="5" borderId="56" xfId="0" applyFont="1" applyFill="1" applyBorder="1" applyAlignment="1">
      <alignment horizontal="left" vertical="top" wrapText="1"/>
    </xf>
    <xf numFmtId="164" fontId="31" fillId="5" borderId="52" xfId="2" applyFont="1" applyFill="1" applyBorder="1" applyAlignment="1">
      <alignment horizontal="left" vertical="top" wrapText="1"/>
    </xf>
    <xf numFmtId="0" fontId="31" fillId="5" borderId="58" xfId="0" applyFont="1" applyFill="1" applyBorder="1" applyAlignment="1">
      <alignment horizontal="center" vertical="center" wrapText="1"/>
    </xf>
    <xf numFmtId="0" fontId="33" fillId="5" borderId="58" xfId="0" applyFont="1" applyFill="1" applyBorder="1" applyAlignment="1">
      <alignment vertical="top" wrapText="1"/>
    </xf>
    <xf numFmtId="0" fontId="33" fillId="5" borderId="0" xfId="0" applyFont="1" applyFill="1" applyAlignment="1">
      <alignment vertical="top" wrapText="1"/>
    </xf>
    <xf numFmtId="0" fontId="31" fillId="5" borderId="7" xfId="0" applyFont="1" applyFill="1" applyBorder="1" applyAlignment="1">
      <alignment horizontal="left" vertical="top"/>
    </xf>
    <xf numFmtId="4" fontId="32" fillId="5" borderId="58" xfId="0" applyNumberFormat="1" applyFont="1" applyFill="1" applyBorder="1" applyAlignment="1">
      <alignment horizontal="right" vertical="top" shrinkToFit="1"/>
    </xf>
    <xf numFmtId="4" fontId="32" fillId="5" borderId="0" xfId="0" applyNumberFormat="1" applyFont="1" applyFill="1" applyAlignment="1">
      <alignment horizontal="right" vertical="top" shrinkToFit="1"/>
    </xf>
    <xf numFmtId="0" fontId="33" fillId="5" borderId="5" xfId="0" applyFont="1" applyFill="1" applyBorder="1" applyAlignment="1">
      <alignment horizontal="left" vertical="top" wrapText="1"/>
    </xf>
    <xf numFmtId="0" fontId="33" fillId="5" borderId="58" xfId="0" applyFont="1" applyFill="1" applyBorder="1" applyAlignment="1">
      <alignment horizontal="left" vertical="top" wrapText="1"/>
    </xf>
    <xf numFmtId="0" fontId="33" fillId="5" borderId="0" xfId="0" applyFont="1" applyFill="1" applyAlignment="1">
      <alignment horizontal="left" vertical="top" wrapText="1"/>
    </xf>
    <xf numFmtId="0" fontId="31" fillId="5" borderId="8" xfId="0" applyFont="1" applyFill="1" applyBorder="1" applyAlignment="1">
      <alignment horizontal="left"/>
    </xf>
    <xf numFmtId="0" fontId="31" fillId="5" borderId="0" xfId="0" applyFont="1" applyFill="1" applyAlignment="1">
      <alignment horizontal="left" vertical="top" wrapText="1"/>
    </xf>
    <xf numFmtId="0" fontId="31" fillId="5" borderId="8" xfId="0" applyFont="1" applyFill="1" applyBorder="1" applyAlignment="1"/>
    <xf numFmtId="0" fontId="31" fillId="5" borderId="52" xfId="0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left" vertical="top" wrapText="1"/>
    </xf>
    <xf numFmtId="176" fontId="31" fillId="5" borderId="7" xfId="2" applyNumberFormat="1" applyFont="1" applyFill="1" applyBorder="1" applyAlignment="1">
      <alignment horizontal="left" vertical="top" wrapText="1"/>
    </xf>
    <xf numFmtId="176" fontId="31" fillId="5" borderId="58" xfId="2" applyNumberFormat="1" applyFont="1" applyFill="1" applyBorder="1" applyAlignment="1">
      <alignment horizontal="left" vertical="top" wrapText="1"/>
    </xf>
    <xf numFmtId="176" fontId="31" fillId="5" borderId="0" xfId="2" applyNumberFormat="1" applyFont="1" applyFill="1" applyBorder="1" applyAlignment="1">
      <alignment horizontal="left" vertical="top" wrapText="1"/>
    </xf>
    <xf numFmtId="2" fontId="31" fillId="5" borderId="7" xfId="0" applyNumberFormat="1" applyFont="1" applyFill="1" applyBorder="1" applyAlignment="1">
      <alignment horizontal="left" vertical="top" wrapText="1"/>
    </xf>
    <xf numFmtId="0" fontId="29" fillId="5" borderId="0" xfId="0" applyFont="1" applyFill="1" applyAlignment="1">
      <alignment horizontal="right" vertical="center"/>
    </xf>
    <xf numFmtId="0" fontId="33" fillId="5" borderId="28" xfId="0" applyFont="1" applyFill="1" applyBorder="1" applyAlignment="1">
      <alignment horizontal="center" vertical="center" wrapText="1"/>
    </xf>
    <xf numFmtId="1" fontId="32" fillId="5" borderId="5" xfId="0" applyNumberFormat="1" applyFont="1" applyFill="1" applyBorder="1" applyAlignment="1">
      <alignment horizontal="center" vertical="top" shrinkToFit="1"/>
    </xf>
    <xf numFmtId="0" fontId="31" fillId="5" borderId="5" xfId="0" applyFont="1" applyFill="1" applyBorder="1" applyAlignment="1">
      <alignment horizontal="left" vertical="top" wrapText="1" indent="1"/>
    </xf>
    <xf numFmtId="0" fontId="31" fillId="5" borderId="7" xfId="0" applyFont="1" applyFill="1" applyBorder="1" applyAlignment="1">
      <alignment horizontal="centerContinuous" vertical="center"/>
    </xf>
    <xf numFmtId="0" fontId="31" fillId="5" borderId="5" xfId="0" applyFont="1" applyFill="1" applyBorder="1" applyAlignment="1">
      <alignment horizontal="left" vertical="top"/>
    </xf>
    <xf numFmtId="0" fontId="31" fillId="5" borderId="5" xfId="0" applyFont="1" applyFill="1" applyBorder="1" applyAlignment="1">
      <alignment horizontal="center" vertical="top"/>
    </xf>
    <xf numFmtId="168" fontId="32" fillId="5" borderId="5" xfId="0" applyNumberFormat="1" applyFont="1" applyFill="1" applyBorder="1" applyAlignment="1">
      <alignment horizontal="right" vertical="top" shrinkToFit="1"/>
    </xf>
    <xf numFmtId="41" fontId="31" fillId="5" borderId="5" xfId="0" applyNumberFormat="1" applyFont="1" applyFill="1" applyBorder="1" applyAlignment="1">
      <alignment horizontal="right" vertical="top" wrapText="1" indent="1"/>
    </xf>
    <xf numFmtId="0" fontId="32" fillId="5" borderId="5" xfId="0" applyFont="1" applyFill="1" applyBorder="1" applyAlignment="1">
      <alignment horizontal="center" vertical="top"/>
    </xf>
    <xf numFmtId="4" fontId="30" fillId="5" borderId="5" xfId="0" applyNumberFormat="1" applyFont="1" applyFill="1" applyBorder="1" applyAlignment="1">
      <alignment vertical="top"/>
    </xf>
    <xf numFmtId="167" fontId="34" fillId="5" borderId="0" xfId="1" applyFont="1" applyFill="1">
      <alignment vertical="center"/>
    </xf>
    <xf numFmtId="0" fontId="33" fillId="5" borderId="0" xfId="0" applyFont="1" applyFill="1" applyAlignment="1">
      <alignment horizontal="left" vertical="center"/>
    </xf>
    <xf numFmtId="0" fontId="31" fillId="5" borderId="48" xfId="0" applyFont="1" applyFill="1" applyBorder="1" applyAlignment="1">
      <alignment horizontal="center" vertical="center" wrapText="1"/>
    </xf>
    <xf numFmtId="0" fontId="31" fillId="5" borderId="71" xfId="0" applyFont="1" applyFill="1" applyBorder="1" applyAlignment="1">
      <alignment horizontal="left" vertical="top" wrapText="1"/>
    </xf>
    <xf numFmtId="176" fontId="31" fillId="5" borderId="7" xfId="2" applyNumberFormat="1" applyFont="1" applyFill="1" applyBorder="1" applyAlignment="1">
      <alignment horizontal="left" vertical="top"/>
    </xf>
    <xf numFmtId="176" fontId="31" fillId="5" borderId="51" xfId="2" applyNumberFormat="1" applyFont="1" applyFill="1" applyBorder="1" applyAlignment="1">
      <alignment horizontal="center" vertical="top" wrapText="1"/>
    </xf>
    <xf numFmtId="0" fontId="31" fillId="5" borderId="72" xfId="0" applyFont="1" applyFill="1" applyBorder="1" applyAlignment="1">
      <alignment horizontal="left" vertical="top" wrapText="1"/>
    </xf>
    <xf numFmtId="0" fontId="31" fillId="5" borderId="28" xfId="0" applyFont="1" applyFill="1" applyBorder="1" applyAlignment="1">
      <alignment horizontal="center" vertical="center" wrapText="1"/>
    </xf>
    <xf numFmtId="0" fontId="31" fillId="5" borderId="73" xfId="0" applyFont="1" applyFill="1" applyBorder="1" applyAlignment="1">
      <alignment horizontal="center" vertical="center" wrapText="1"/>
    </xf>
    <xf numFmtId="0" fontId="33" fillId="5" borderId="51" xfId="0" applyFont="1" applyFill="1" applyBorder="1" applyAlignment="1">
      <alignment horizontal="left" vertical="top" wrapText="1"/>
    </xf>
    <xf numFmtId="0" fontId="33" fillId="5" borderId="15" xfId="0" applyFont="1" applyFill="1" applyBorder="1" applyAlignment="1">
      <alignment horizontal="center" vertical="center" wrapText="1"/>
    </xf>
    <xf numFmtId="4" fontId="32" fillId="5" borderId="7" xfId="0" applyNumberFormat="1" applyFont="1" applyFill="1" applyBorder="1" applyAlignment="1">
      <alignment horizontal="right" vertical="top" wrapText="1" shrinkToFit="1"/>
    </xf>
    <xf numFmtId="2" fontId="33" fillId="5" borderId="8" xfId="0" applyNumberFormat="1" applyFont="1" applyFill="1" applyBorder="1" applyAlignment="1">
      <alignment vertical="top" wrapText="1"/>
    </xf>
    <xf numFmtId="2" fontId="32" fillId="5" borderId="5" xfId="0" applyNumberFormat="1" applyFont="1" applyFill="1" applyBorder="1" applyAlignment="1">
      <alignment horizontal="center" vertical="center" wrapText="1"/>
    </xf>
    <xf numFmtId="2" fontId="32" fillId="5" borderId="8" xfId="0" applyNumberFormat="1" applyFont="1" applyFill="1" applyBorder="1" applyAlignment="1">
      <alignment horizontal="center" vertical="center" wrapText="1"/>
    </xf>
    <xf numFmtId="168" fontId="32" fillId="5" borderId="8" xfId="0" applyNumberFormat="1" applyFont="1" applyFill="1" applyBorder="1" applyAlignment="1">
      <alignment horizontal="right" wrapText="1"/>
    </xf>
    <xf numFmtId="4" fontId="32" fillId="5" borderId="8" xfId="0" applyNumberFormat="1" applyFont="1" applyFill="1" applyBorder="1" applyAlignment="1">
      <alignment horizontal="right" vertical="top" shrinkToFit="1"/>
    </xf>
    <xf numFmtId="2" fontId="33" fillId="5" borderId="5" xfId="0" applyNumberFormat="1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wrapText="1"/>
    </xf>
    <xf numFmtId="176" fontId="31" fillId="5" borderId="5" xfId="2" applyNumberFormat="1" applyFont="1" applyFill="1" applyBorder="1" applyAlignment="1">
      <alignment horizontal="center" wrapText="1"/>
    </xf>
    <xf numFmtId="2" fontId="33" fillId="5" borderId="5" xfId="0" applyNumberFormat="1" applyFont="1" applyFill="1" applyBorder="1" applyAlignment="1">
      <alignment horizontal="center" wrapText="1"/>
    </xf>
    <xf numFmtId="176" fontId="31" fillId="5" borderId="5" xfId="2" applyNumberFormat="1" applyFont="1" applyFill="1" applyBorder="1" applyAlignment="1">
      <alignment horizontal="center" vertical="center" wrapText="1"/>
    </xf>
    <xf numFmtId="176" fontId="31" fillId="5" borderId="52" xfId="2" applyNumberFormat="1" applyFont="1" applyFill="1" applyBorder="1" applyAlignment="1">
      <alignment horizontal="center" vertical="center" wrapText="1"/>
    </xf>
    <xf numFmtId="2" fontId="31" fillId="5" borderId="31" xfId="0" applyNumberFormat="1" applyFont="1" applyFill="1" applyBorder="1" applyAlignment="1">
      <alignment horizontal="center" vertical="center" wrapText="1"/>
    </xf>
    <xf numFmtId="176" fontId="31" fillId="5" borderId="31" xfId="2" applyNumberFormat="1" applyFont="1" applyFill="1" applyBorder="1" applyAlignment="1">
      <alignment horizontal="center" vertical="center" wrapText="1"/>
    </xf>
    <xf numFmtId="176" fontId="31" fillId="5" borderId="28" xfId="2" applyNumberFormat="1" applyFont="1" applyFill="1" applyBorder="1" applyAlignment="1">
      <alignment horizontal="center" vertical="top"/>
    </xf>
    <xf numFmtId="176" fontId="33" fillId="5" borderId="31" xfId="2" applyNumberFormat="1" applyFont="1" applyFill="1" applyBorder="1" applyAlignment="1">
      <alignment horizontal="center" vertical="center" wrapText="1"/>
    </xf>
    <xf numFmtId="183" fontId="31" fillId="5" borderId="5" xfId="2" applyNumberFormat="1" applyFont="1" applyFill="1" applyBorder="1" applyAlignment="1">
      <alignment horizontal="center" vertical="center" wrapText="1"/>
    </xf>
    <xf numFmtId="176" fontId="31" fillId="5" borderId="57" xfId="2" applyNumberFormat="1" applyFont="1" applyFill="1" applyBorder="1" applyAlignment="1">
      <alignment horizontal="left" vertical="top" wrapText="1"/>
    </xf>
    <xf numFmtId="0" fontId="31" fillId="5" borderId="63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left" vertical="top"/>
    </xf>
    <xf numFmtId="0" fontId="31" fillId="5" borderId="19" xfId="0" applyFont="1" applyFill="1" applyBorder="1" applyAlignment="1">
      <alignment horizontal="right" vertical="top" wrapText="1"/>
    </xf>
    <xf numFmtId="0" fontId="31" fillId="5" borderId="19" xfId="0" applyFont="1" applyFill="1" applyBorder="1" applyAlignment="1">
      <alignment horizontal="left" vertical="top" wrapText="1"/>
    </xf>
    <xf numFmtId="176" fontId="31" fillId="5" borderId="41" xfId="2" applyNumberFormat="1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left" vertical="top" wrapText="1"/>
    </xf>
    <xf numFmtId="0" fontId="31" fillId="5" borderId="20" xfId="0" applyFont="1" applyFill="1" applyBorder="1" applyAlignment="1">
      <alignment horizontal="left" vertical="top" wrapText="1"/>
    </xf>
    <xf numFmtId="0" fontId="31" fillId="5" borderId="41" xfId="0" applyFont="1" applyFill="1" applyBorder="1" applyAlignment="1">
      <alignment horizontal="left" vertical="top" wrapText="1"/>
    </xf>
    <xf numFmtId="176" fontId="31" fillId="5" borderId="41" xfId="2" applyNumberFormat="1" applyFont="1" applyFill="1" applyBorder="1" applyAlignment="1">
      <alignment horizontal="center" vertical="top"/>
    </xf>
    <xf numFmtId="0" fontId="33" fillId="5" borderId="0" xfId="0" applyFont="1" applyFill="1" applyAlignment="1">
      <alignment horizontal="right" vertical="top" wrapText="1"/>
    </xf>
    <xf numFmtId="1" fontId="30" fillId="5" borderId="0" xfId="0" applyNumberFormat="1" applyFont="1" applyFill="1" applyAlignment="1">
      <alignment vertical="top"/>
    </xf>
    <xf numFmtId="1" fontId="30" fillId="5" borderId="0" xfId="0" applyNumberFormat="1" applyFont="1" applyFill="1" applyAlignment="1">
      <alignment horizontal="right" vertical="top"/>
    </xf>
    <xf numFmtId="0" fontId="31" fillId="5" borderId="28" xfId="0" applyFont="1" applyFill="1" applyBorder="1" applyAlignment="1">
      <alignment horizontal="left" vertical="top" wrapText="1"/>
    </xf>
    <xf numFmtId="0" fontId="32" fillId="5" borderId="5" xfId="0" applyFont="1" applyFill="1" applyBorder="1" applyAlignment="1">
      <alignment horizontal="left" vertical="top"/>
    </xf>
    <xf numFmtId="0" fontId="32" fillId="5" borderId="14" xfId="0" applyFont="1" applyFill="1" applyBorder="1" applyAlignment="1">
      <alignment horizontal="left" vertical="top"/>
    </xf>
    <xf numFmtId="0" fontId="32" fillId="5" borderId="5" xfId="0" applyFont="1" applyFill="1" applyBorder="1" applyAlignment="1">
      <alignment horizontal="right" vertical="top"/>
    </xf>
    <xf numFmtId="0" fontId="31" fillId="5" borderId="36" xfId="0" applyFont="1" applyFill="1" applyBorder="1" applyAlignment="1">
      <alignment horizontal="right" vertical="center" wrapText="1"/>
    </xf>
    <xf numFmtId="168" fontId="32" fillId="5" borderId="28" xfId="0" applyNumberFormat="1" applyFont="1" applyFill="1" applyBorder="1" applyAlignment="1">
      <alignment horizontal="right" vertical="top"/>
    </xf>
    <xf numFmtId="0" fontId="31" fillId="5" borderId="13" xfId="0" applyFont="1" applyFill="1" applyBorder="1" applyAlignment="1">
      <alignment horizontal="left" vertical="top" wrapText="1" indent="1"/>
    </xf>
    <xf numFmtId="0" fontId="32" fillId="5" borderId="0" xfId="0" applyFont="1" applyFill="1" applyAlignment="1">
      <alignment horizontal="center" vertical="top"/>
    </xf>
    <xf numFmtId="0" fontId="32" fillId="5" borderId="0" xfId="0" applyFont="1" applyFill="1" applyAlignment="1">
      <alignment vertical="top"/>
    </xf>
    <xf numFmtId="4" fontId="30" fillId="5" borderId="0" xfId="0" applyNumberFormat="1" applyFont="1" applyFill="1" applyAlignment="1">
      <alignment vertical="top"/>
    </xf>
    <xf numFmtId="2" fontId="32" fillId="5" borderId="5" xfId="0" applyNumberFormat="1" applyFont="1" applyFill="1" applyBorder="1" applyAlignment="1">
      <alignment horizontal="right" vertical="top"/>
    </xf>
    <xf numFmtId="0" fontId="31" fillId="5" borderId="28" xfId="0" applyFont="1" applyFill="1" applyBorder="1" applyAlignment="1">
      <alignment horizontal="left" vertical="top"/>
    </xf>
    <xf numFmtId="170" fontId="32" fillId="5" borderId="28" xfId="0" applyNumberFormat="1" applyFont="1" applyFill="1" applyBorder="1" applyAlignment="1">
      <alignment horizontal="right" vertical="top"/>
    </xf>
    <xf numFmtId="0" fontId="32" fillId="5" borderId="5" xfId="0" applyFont="1" applyFill="1" applyBorder="1" applyAlignment="1">
      <alignment horizontal="right" wrapText="1"/>
    </xf>
    <xf numFmtId="184" fontId="32" fillId="5" borderId="28" xfId="0" applyNumberFormat="1" applyFont="1" applyFill="1" applyBorder="1" applyAlignment="1">
      <alignment horizontal="right" vertical="top"/>
    </xf>
    <xf numFmtId="0" fontId="30" fillId="5" borderId="0" xfId="0" applyFont="1" applyFill="1" applyAlignment="1">
      <alignment horizontal="center" vertical="top"/>
    </xf>
    <xf numFmtId="0" fontId="30" fillId="5" borderId="0" xfId="0" applyFont="1" applyFill="1" applyAlignment="1">
      <alignment vertical="top"/>
    </xf>
    <xf numFmtId="0" fontId="30" fillId="5" borderId="0" xfId="0" applyFont="1" applyFill="1" applyAlignment="1">
      <alignment horizontal="right" vertical="top"/>
    </xf>
    <xf numFmtId="169" fontId="32" fillId="5" borderId="5" xfId="0" applyNumberFormat="1" applyFont="1" applyFill="1" applyBorder="1" applyAlignment="1">
      <alignment horizontal="right" vertical="top" shrinkToFit="1"/>
    </xf>
    <xf numFmtId="170" fontId="32" fillId="5" borderId="5" xfId="0" applyNumberFormat="1" applyFont="1" applyFill="1" applyBorder="1" applyAlignment="1">
      <alignment horizontal="right" vertical="top"/>
    </xf>
    <xf numFmtId="177" fontId="31" fillId="5" borderId="14" xfId="0" applyNumberFormat="1" applyFont="1" applyFill="1" applyBorder="1" applyAlignment="1">
      <alignment horizontal="right" vertical="top" wrapText="1"/>
    </xf>
    <xf numFmtId="171" fontId="32" fillId="5" borderId="5" xfId="0" applyNumberFormat="1" applyFont="1" applyFill="1" applyBorder="1" applyAlignment="1">
      <alignment horizontal="right" vertical="top" shrinkToFit="1"/>
    </xf>
    <xf numFmtId="0" fontId="29" fillId="5" borderId="64" xfId="0" applyFont="1" applyFill="1" applyBorder="1">
      <alignment vertical="center"/>
    </xf>
    <xf numFmtId="0" fontId="28" fillId="5" borderId="64" xfId="0" applyFont="1" applyFill="1" applyBorder="1" applyAlignment="1">
      <alignment horizontal="center" vertical="center"/>
    </xf>
    <xf numFmtId="0" fontId="28" fillId="5" borderId="64" xfId="0" applyFont="1" applyFill="1" applyBorder="1">
      <alignment vertical="center"/>
    </xf>
    <xf numFmtId="0" fontId="29" fillId="5" borderId="49" xfId="0" applyFont="1" applyFill="1" applyBorder="1">
      <alignment vertical="center"/>
    </xf>
    <xf numFmtId="0" fontId="28" fillId="5" borderId="65" xfId="0" applyFont="1" applyFill="1" applyBorder="1" applyAlignment="1">
      <alignment horizontal="center" vertical="center" wrapText="1"/>
    </xf>
    <xf numFmtId="0" fontId="29" fillId="5" borderId="65" xfId="0" applyFont="1" applyFill="1" applyBorder="1" applyAlignment="1">
      <alignment horizontal="center" vertical="center" wrapText="1"/>
    </xf>
    <xf numFmtId="0" fontId="29" fillId="5" borderId="66" xfId="0" applyFont="1" applyFill="1" applyBorder="1">
      <alignment vertical="center"/>
    </xf>
    <xf numFmtId="0" fontId="30" fillId="5" borderId="67" xfId="0" applyFont="1" applyFill="1" applyBorder="1" applyAlignment="1">
      <alignment horizontal="left" vertical="top" wrapText="1"/>
    </xf>
    <xf numFmtId="0" fontId="28" fillId="5" borderId="67" xfId="0" applyFont="1" applyFill="1" applyBorder="1" applyAlignment="1">
      <alignment horizontal="center" vertical="center" wrapText="1"/>
    </xf>
    <xf numFmtId="0" fontId="29" fillId="5" borderId="67" xfId="0" applyFont="1" applyFill="1" applyBorder="1" applyAlignment="1">
      <alignment horizontal="center" vertical="center" wrapText="1"/>
    </xf>
    <xf numFmtId="0" fontId="29" fillId="5" borderId="67" xfId="0" applyFont="1" applyFill="1" applyBorder="1">
      <alignment vertical="center"/>
    </xf>
    <xf numFmtId="0" fontId="28" fillId="5" borderId="0" xfId="0" applyFont="1" applyFill="1" applyAlignment="1">
      <alignment horizontal="left" vertical="center" wrapText="1"/>
    </xf>
    <xf numFmtId="0" fontId="29" fillId="5" borderId="0" xfId="0" applyFont="1" applyFill="1" applyAlignment="1">
      <alignment horizontal="center" vertical="center" wrapText="1"/>
    </xf>
    <xf numFmtId="1" fontId="30" fillId="5" borderId="0" xfId="0" applyNumberFormat="1" applyFont="1" applyFill="1" applyAlignment="1">
      <alignment horizontal="left" vertical="top"/>
    </xf>
    <xf numFmtId="171" fontId="32" fillId="5" borderId="5" xfId="0" applyNumberFormat="1" applyFont="1" applyFill="1" applyBorder="1" applyAlignment="1">
      <alignment horizontal="right" wrapText="1"/>
    </xf>
    <xf numFmtId="0" fontId="32" fillId="5" borderId="46" xfId="0" applyFont="1" applyFill="1" applyBorder="1" applyAlignment="1">
      <alignment horizontal="left" vertical="top"/>
    </xf>
    <xf numFmtId="0" fontId="32" fillId="5" borderId="26" xfId="0" applyFont="1" applyFill="1" applyBorder="1" applyAlignment="1">
      <alignment horizontal="left" vertical="top"/>
    </xf>
    <xf numFmtId="171" fontId="32" fillId="5" borderId="5" xfId="0" applyNumberFormat="1" applyFont="1" applyFill="1" applyBorder="1" applyAlignment="1">
      <alignment horizontal="right" vertical="top"/>
    </xf>
    <xf numFmtId="169" fontId="32" fillId="5" borderId="5" xfId="0" applyNumberFormat="1" applyFont="1" applyFill="1" applyBorder="1" applyAlignment="1">
      <alignment horizontal="right" vertical="top"/>
    </xf>
    <xf numFmtId="0" fontId="33" fillId="5" borderId="8" xfId="0" applyFont="1" applyFill="1" applyBorder="1" applyAlignment="1">
      <alignment horizontal="center" vertical="top" wrapText="1"/>
    </xf>
    <xf numFmtId="0" fontId="33" fillId="5" borderId="5" xfId="0" applyFont="1" applyFill="1" applyBorder="1" applyAlignment="1">
      <alignment horizontal="center" vertical="top" wrapText="1"/>
    </xf>
    <xf numFmtId="0" fontId="31" fillId="5" borderId="74" xfId="0" applyFont="1" applyFill="1" applyBorder="1" applyAlignment="1">
      <alignment horizontal="left" vertical="top" wrapText="1"/>
    </xf>
    <xf numFmtId="1" fontId="9" fillId="5" borderId="30" xfId="0" applyNumberFormat="1" applyFont="1" applyFill="1" applyBorder="1" applyAlignment="1">
      <alignment vertical="top"/>
    </xf>
    <xf numFmtId="173" fontId="9" fillId="5" borderId="30" xfId="0" applyNumberFormat="1" applyFont="1" applyFill="1" applyBorder="1" applyAlignment="1">
      <alignment vertical="center" shrinkToFit="1"/>
    </xf>
    <xf numFmtId="4" fontId="9" fillId="5" borderId="29" xfId="0" applyNumberFormat="1" applyFont="1" applyFill="1" applyBorder="1" applyAlignment="1">
      <alignment horizontal="right" vertical="top" shrinkToFit="1"/>
    </xf>
    <xf numFmtId="173" fontId="9" fillId="5" borderId="30" xfId="0" applyNumberFormat="1" applyFont="1" applyFill="1" applyBorder="1" applyAlignment="1">
      <alignment vertical="top" shrinkToFit="1"/>
    </xf>
    <xf numFmtId="1" fontId="10" fillId="5" borderId="5" xfId="0" applyNumberFormat="1" applyFont="1" applyFill="1" applyBorder="1" applyAlignment="1">
      <alignment horizontal="left" vertical="top" indent="1" shrinkToFit="1"/>
    </xf>
    <xf numFmtId="4" fontId="9" fillId="5" borderId="7" xfId="0" applyNumberFormat="1" applyFont="1" applyFill="1" applyBorder="1" applyAlignment="1">
      <alignment vertical="top"/>
    </xf>
    <xf numFmtId="0" fontId="6" fillId="5" borderId="7" xfId="0" applyFont="1" applyFill="1" applyBorder="1" applyAlignment="1">
      <alignment horizontal="center" vertical="top" wrapText="1"/>
    </xf>
    <xf numFmtId="0" fontId="33" fillId="5" borderId="0" xfId="0" applyFont="1" applyFill="1" applyAlignment="1"/>
    <xf numFmtId="1" fontId="30" fillId="5" borderId="30" xfId="0" applyNumberFormat="1" applyFont="1" applyFill="1" applyBorder="1" applyAlignment="1">
      <alignment vertical="top"/>
    </xf>
    <xf numFmtId="173" fontId="30" fillId="5" borderId="30" xfId="0" applyNumberFormat="1" applyFont="1" applyFill="1" applyBorder="1" applyAlignment="1">
      <alignment vertical="center" shrinkToFit="1"/>
    </xf>
    <xf numFmtId="170" fontId="30" fillId="5" borderId="0" xfId="0" applyNumberFormat="1" applyFont="1" applyFill="1" applyAlignment="1">
      <alignment horizontal="left" vertical="top"/>
    </xf>
    <xf numFmtId="0" fontId="31" fillId="5" borderId="0" xfId="0" applyFont="1" applyFill="1" applyAlignment="1">
      <alignment horizontal="left" vertical="top" wrapText="1" indent="1"/>
    </xf>
    <xf numFmtId="4" fontId="30" fillId="5" borderId="29" xfId="0" applyNumberFormat="1" applyFont="1" applyFill="1" applyBorder="1" applyAlignment="1">
      <alignment horizontal="right" vertical="top" shrinkToFit="1"/>
    </xf>
    <xf numFmtId="0" fontId="31" fillId="5" borderId="5" xfId="0" applyFont="1" applyFill="1" applyBorder="1" applyAlignment="1">
      <alignment horizontal="center" vertical="center"/>
    </xf>
    <xf numFmtId="173" fontId="30" fillId="5" borderId="30" xfId="0" applyNumberFormat="1" applyFont="1" applyFill="1" applyBorder="1" applyAlignment="1">
      <alignment vertical="top" shrinkToFit="1"/>
    </xf>
    <xf numFmtId="0" fontId="30" fillId="5" borderId="4" xfId="0" applyFont="1" applyFill="1" applyBorder="1" applyAlignment="1">
      <alignment horizontal="left" vertical="top"/>
    </xf>
    <xf numFmtId="4" fontId="30" fillId="5" borderId="7" xfId="0" applyNumberFormat="1" applyFont="1" applyFill="1" applyBorder="1" applyAlignment="1">
      <alignment vertical="top"/>
    </xf>
    <xf numFmtId="168" fontId="31" fillId="5" borderId="8" xfId="0" applyNumberFormat="1" applyFont="1" applyFill="1" applyBorder="1" applyAlignment="1">
      <alignment horizontal="centerContinuous" vertical="center"/>
    </xf>
    <xf numFmtId="2" fontId="32" fillId="5" borderId="5" xfId="0" applyNumberFormat="1" applyFont="1" applyFill="1" applyBorder="1" applyAlignment="1">
      <alignment horizontal="right" vertical="top" shrinkToFit="1"/>
    </xf>
    <xf numFmtId="1" fontId="32" fillId="5" borderId="5" xfId="0" quotePrefix="1" applyNumberFormat="1" applyFont="1" applyFill="1" applyBorder="1" applyAlignment="1">
      <alignment horizontal="center" vertical="top" shrinkToFit="1"/>
    </xf>
    <xf numFmtId="0" fontId="31" fillId="5" borderId="51" xfId="0" applyFont="1" applyFill="1" applyBorder="1" applyAlignment="1">
      <alignment horizontal="centerContinuous" vertical="center"/>
    </xf>
    <xf numFmtId="0" fontId="31" fillId="5" borderId="30" xfId="0" applyFont="1" applyFill="1" applyBorder="1" applyAlignment="1">
      <alignment horizontal="centerContinuous" vertical="center"/>
    </xf>
    <xf numFmtId="0" fontId="31" fillId="5" borderId="47" xfId="0" applyFont="1" applyFill="1" applyBorder="1" applyAlignment="1">
      <alignment horizontal="centerContinuous" vertical="center"/>
    </xf>
    <xf numFmtId="1" fontId="30" fillId="5" borderId="30" xfId="0" applyNumberFormat="1" applyFont="1" applyFill="1" applyBorder="1">
      <alignment vertical="center"/>
    </xf>
    <xf numFmtId="1" fontId="32" fillId="5" borderId="5" xfId="0" applyNumberFormat="1" applyFont="1" applyFill="1" applyBorder="1" applyAlignment="1">
      <alignment horizontal="center" vertical="center" shrinkToFit="1"/>
    </xf>
    <xf numFmtId="170" fontId="30" fillId="5" borderId="0" xfId="0" applyNumberFormat="1" applyFont="1" applyFill="1" applyAlignment="1">
      <alignment horizontal="left" vertical="center"/>
    </xf>
    <xf numFmtId="0" fontId="31" fillId="5" borderId="5" xfId="0" applyFont="1" applyFill="1" applyBorder="1" applyAlignment="1">
      <alignment horizontal="left" vertical="center"/>
    </xf>
    <xf numFmtId="41" fontId="31" fillId="5" borderId="5" xfId="0" applyNumberFormat="1" applyFont="1" applyFill="1" applyBorder="1" applyAlignment="1">
      <alignment horizontal="right" vertical="center" wrapText="1"/>
    </xf>
    <xf numFmtId="4" fontId="30" fillId="5" borderId="5" xfId="0" applyNumberFormat="1" applyFont="1" applyFill="1" applyBorder="1">
      <alignment vertical="center"/>
    </xf>
    <xf numFmtId="4" fontId="30" fillId="5" borderId="29" xfId="0" applyNumberFormat="1" applyFont="1" applyFill="1" applyBorder="1" applyAlignment="1">
      <alignment horizontal="right" vertical="center" shrinkToFit="1"/>
    </xf>
    <xf numFmtId="166" fontId="31" fillId="5" borderId="0" xfId="0" applyNumberFormat="1" applyFont="1" applyFill="1">
      <alignment vertical="center"/>
    </xf>
    <xf numFmtId="1" fontId="32" fillId="5" borderId="5" xfId="0" applyNumberFormat="1" applyFont="1" applyFill="1" applyBorder="1" applyAlignment="1">
      <alignment horizontal="left" vertical="center" shrinkToFit="1"/>
    </xf>
    <xf numFmtId="4" fontId="32" fillId="5" borderId="7" xfId="0" applyNumberFormat="1" applyFont="1" applyFill="1" applyBorder="1" applyAlignment="1">
      <alignment horizontal="right" vertical="center" shrinkToFit="1"/>
    </xf>
    <xf numFmtId="0" fontId="30" fillId="5" borderId="4" xfId="0" applyFont="1" applyFill="1" applyBorder="1" applyAlignment="1">
      <alignment horizontal="left" vertical="center"/>
    </xf>
    <xf numFmtId="4" fontId="30" fillId="5" borderId="7" xfId="0" applyNumberFormat="1" applyFont="1" applyFill="1" applyBorder="1">
      <alignment vertical="center"/>
    </xf>
    <xf numFmtId="0" fontId="32" fillId="5" borderId="5" xfId="0" applyFont="1" applyFill="1" applyBorder="1" applyAlignment="1">
      <alignment horizontal="right" vertical="center" shrinkToFit="1"/>
    </xf>
    <xf numFmtId="4" fontId="30" fillId="5" borderId="0" xfId="0" applyNumberFormat="1" applyFont="1" applyFill="1">
      <alignment vertical="center"/>
    </xf>
    <xf numFmtId="168" fontId="32" fillId="5" borderId="5" xfId="0" applyNumberFormat="1" applyFont="1" applyFill="1" applyBorder="1" applyAlignment="1">
      <alignment horizontal="left" vertical="center" wrapText="1"/>
    </xf>
    <xf numFmtId="2" fontId="32" fillId="5" borderId="5" xfId="0" applyNumberFormat="1" applyFont="1" applyFill="1" applyBorder="1" applyAlignment="1">
      <alignment horizontal="right" vertical="center" shrinkToFit="1"/>
    </xf>
    <xf numFmtId="1" fontId="32" fillId="5" borderId="5" xfId="0" quotePrefix="1" applyNumberFormat="1" applyFont="1" applyFill="1" applyBorder="1" applyAlignment="1">
      <alignment horizontal="center" vertical="center" shrinkToFit="1"/>
    </xf>
    <xf numFmtId="0" fontId="32" fillId="5" borderId="30" xfId="0" applyFont="1" applyFill="1" applyBorder="1">
      <alignment vertical="center"/>
    </xf>
    <xf numFmtId="4" fontId="30" fillId="5" borderId="30" xfId="0" applyNumberFormat="1" applyFont="1" applyFill="1" applyBorder="1">
      <alignment vertical="center"/>
    </xf>
    <xf numFmtId="0" fontId="30" fillId="5" borderId="30" xfId="0" applyFont="1" applyFill="1" applyBorder="1">
      <alignment vertical="center"/>
    </xf>
    <xf numFmtId="0" fontId="32" fillId="5" borderId="5" xfId="0" applyFont="1" applyFill="1" applyBorder="1">
      <alignment vertical="center"/>
    </xf>
    <xf numFmtId="1" fontId="32" fillId="5" borderId="28" xfId="0" quotePrefix="1" applyNumberFormat="1" applyFont="1" applyFill="1" applyBorder="1" applyAlignment="1">
      <alignment horizontal="center" vertical="center" shrinkToFit="1"/>
    </xf>
    <xf numFmtId="0" fontId="31" fillId="5" borderId="28" xfId="0" applyFont="1" applyFill="1" applyBorder="1" applyAlignment="1">
      <alignment horizontal="left" vertical="center"/>
    </xf>
    <xf numFmtId="0" fontId="31" fillId="5" borderId="28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right" vertical="center" shrinkToFit="1"/>
    </xf>
    <xf numFmtId="4" fontId="32" fillId="5" borderId="28" xfId="0" applyNumberFormat="1" applyFont="1" applyFill="1" applyBorder="1" applyAlignment="1">
      <alignment horizontal="right" vertical="center" shrinkToFit="1"/>
    </xf>
    <xf numFmtId="1" fontId="32" fillId="5" borderId="40" xfId="0" quotePrefix="1" applyNumberFormat="1" applyFont="1" applyFill="1" applyBorder="1" applyAlignment="1">
      <alignment horizontal="center" vertical="center" shrinkToFit="1"/>
    </xf>
    <xf numFmtId="0" fontId="31" fillId="5" borderId="40" xfId="0" applyFont="1" applyFill="1" applyBorder="1" applyAlignment="1">
      <alignment horizontal="left" vertical="center"/>
    </xf>
    <xf numFmtId="0" fontId="31" fillId="5" borderId="40" xfId="0" applyFont="1" applyFill="1" applyBorder="1" applyAlignment="1">
      <alignment horizontal="center" vertical="center"/>
    </xf>
    <xf numFmtId="0" fontId="32" fillId="5" borderId="40" xfId="0" applyFont="1" applyFill="1" applyBorder="1" applyAlignment="1">
      <alignment horizontal="right" vertical="center" shrinkToFit="1"/>
    </xf>
    <xf numFmtId="1" fontId="34" fillId="5" borderId="5" xfId="0" quotePrefix="1" applyNumberFormat="1" applyFont="1" applyFill="1" applyBorder="1" applyAlignment="1">
      <alignment horizontal="center" vertical="center" shrinkToFit="1"/>
    </xf>
    <xf numFmtId="0" fontId="34" fillId="5" borderId="5" xfId="0" applyFont="1" applyFill="1" applyBorder="1" applyAlignment="1">
      <alignment horizontal="left" vertical="center"/>
    </xf>
    <xf numFmtId="0" fontId="34" fillId="5" borderId="5" xfId="0" applyFont="1" applyFill="1" applyBorder="1" applyAlignment="1">
      <alignment horizontal="center" vertical="center"/>
    </xf>
    <xf numFmtId="2" fontId="34" fillId="5" borderId="5" xfId="0" applyNumberFormat="1" applyFont="1" applyFill="1" applyBorder="1" applyAlignment="1">
      <alignment horizontal="right" vertical="center" shrinkToFit="1"/>
    </xf>
    <xf numFmtId="0" fontId="38" fillId="5" borderId="0" xfId="0" applyFont="1" applyFill="1" applyAlignment="1">
      <alignment horizontal="left" vertical="center"/>
    </xf>
    <xf numFmtId="0" fontId="34" fillId="5" borderId="0" xfId="0" applyFont="1" applyFill="1">
      <alignment vertical="center"/>
    </xf>
    <xf numFmtId="0" fontId="32" fillId="5" borderId="0" xfId="0" applyFont="1" applyFill="1" applyAlignment="1">
      <alignment horizontal="right" vertical="center"/>
    </xf>
    <xf numFmtId="0" fontId="32" fillId="5" borderId="28" xfId="0" applyFont="1" applyFill="1" applyBorder="1" applyAlignment="1">
      <alignment horizontal="left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left" vertical="center" wrapText="1"/>
    </xf>
    <xf numFmtId="0" fontId="32" fillId="5" borderId="40" xfId="0" applyFont="1" applyFill="1" applyBorder="1" applyAlignment="1">
      <alignment horizontal="center" vertical="center" wrapText="1"/>
    </xf>
    <xf numFmtId="2" fontId="32" fillId="5" borderId="40" xfId="0" applyNumberFormat="1" applyFont="1" applyFill="1" applyBorder="1" applyAlignment="1">
      <alignment horizontal="right" vertical="center" wrapText="1"/>
    </xf>
    <xf numFmtId="1" fontId="40" fillId="5" borderId="5" xfId="0" quotePrefix="1" applyNumberFormat="1" applyFont="1" applyFill="1" applyBorder="1" applyAlignment="1">
      <alignment horizontal="center" vertical="center" shrinkToFit="1"/>
    </xf>
    <xf numFmtId="0" fontId="40" fillId="5" borderId="5" xfId="0" applyFont="1" applyFill="1" applyBorder="1" applyAlignment="1">
      <alignment horizontal="left" vertical="center"/>
    </xf>
    <xf numFmtId="0" fontId="40" fillId="5" borderId="5" xfId="0" applyFont="1" applyFill="1" applyBorder="1" applyAlignment="1">
      <alignment horizontal="center" vertical="center"/>
    </xf>
    <xf numFmtId="2" fontId="40" fillId="5" borderId="5" xfId="0" applyNumberFormat="1" applyFont="1" applyFill="1" applyBorder="1" applyAlignment="1">
      <alignment horizontal="right" vertical="center" shrinkToFit="1"/>
    </xf>
    <xf numFmtId="4" fontId="40" fillId="5" borderId="5" xfId="0" applyNumberFormat="1" applyFont="1" applyFill="1" applyBorder="1" applyAlignment="1">
      <alignment horizontal="right" vertical="center" shrinkToFit="1"/>
    </xf>
    <xf numFmtId="0" fontId="41" fillId="5" borderId="0" xfId="0" applyFont="1" applyFill="1" applyAlignment="1">
      <alignment horizontal="left" vertical="center"/>
    </xf>
    <xf numFmtId="0" fontId="40" fillId="5" borderId="0" xfId="0" applyFont="1" applyFill="1">
      <alignment vertical="center"/>
    </xf>
    <xf numFmtId="168" fontId="32" fillId="5" borderId="5" xfId="0" applyNumberFormat="1" applyFont="1" applyFill="1" applyBorder="1" applyAlignment="1">
      <alignment horizontal="right" vertical="center" wrapText="1"/>
    </xf>
    <xf numFmtId="1" fontId="9" fillId="5" borderId="30" xfId="0" applyNumberFormat="1" applyFont="1" applyFill="1" applyBorder="1">
      <alignment vertical="center"/>
    </xf>
    <xf numFmtId="1" fontId="9" fillId="5" borderId="30" xfId="0" applyNumberFormat="1" applyFont="1" applyFill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 shrinkToFit="1"/>
    </xf>
    <xf numFmtId="168" fontId="6" fillId="5" borderId="5" xfId="0" applyNumberFormat="1" applyFont="1" applyFill="1" applyBorder="1" applyAlignment="1">
      <alignment horizontal="right" vertical="center"/>
    </xf>
    <xf numFmtId="41" fontId="6" fillId="5" borderId="5" xfId="0" applyNumberFormat="1" applyFont="1" applyFill="1" applyBorder="1" applyAlignment="1">
      <alignment horizontal="right" vertical="center" wrapText="1"/>
    </xf>
    <xf numFmtId="4" fontId="10" fillId="5" borderId="7" xfId="0" applyNumberFormat="1" applyFont="1" applyFill="1" applyBorder="1" applyAlignment="1">
      <alignment horizontal="right" vertical="center" shrinkToFit="1"/>
    </xf>
    <xf numFmtId="0" fontId="9" fillId="5" borderId="4" xfId="0" applyFont="1" applyFill="1" applyBorder="1" applyAlignment="1">
      <alignment horizontal="left" vertical="center"/>
    </xf>
    <xf numFmtId="4" fontId="9" fillId="5" borderId="7" xfId="0" applyNumberFormat="1" applyFont="1" applyFill="1" applyBorder="1">
      <alignment vertical="center"/>
    </xf>
    <xf numFmtId="4" fontId="9" fillId="5" borderId="29" xfId="0" applyNumberFormat="1" applyFont="1" applyFill="1" applyBorder="1" applyAlignment="1">
      <alignment horizontal="right" vertical="center" shrinkToFit="1"/>
    </xf>
    <xf numFmtId="1" fontId="10" fillId="5" borderId="5" xfId="0" applyNumberFormat="1" applyFont="1" applyFill="1" applyBorder="1" applyAlignment="1">
      <alignment horizontal="left" vertical="center" shrinkToFit="1"/>
    </xf>
    <xf numFmtId="0" fontId="9" fillId="5" borderId="30" xfId="0" applyFont="1" applyFill="1" applyBorder="1" applyAlignment="1">
      <alignment horizontal="left" vertical="center" shrinkToFit="1"/>
    </xf>
    <xf numFmtId="0" fontId="32" fillId="5" borderId="5" xfId="0" applyFont="1" applyFill="1" applyBorder="1" applyAlignment="1">
      <alignment horizontal="right" vertical="center" wrapText="1"/>
    </xf>
    <xf numFmtId="174" fontId="33" fillId="5" borderId="0" xfId="0" applyNumberFormat="1" applyFont="1" applyFill="1" applyAlignment="1">
      <alignment horizontal="center" vertical="center"/>
    </xf>
    <xf numFmtId="168" fontId="10" fillId="5" borderId="5" xfId="0" applyNumberFormat="1" applyFont="1" applyFill="1" applyBorder="1" applyAlignment="1">
      <alignment wrapText="1"/>
    </xf>
    <xf numFmtId="167" fontId="10" fillId="5" borderId="5" xfId="1" applyFont="1" applyFill="1" applyBorder="1" applyAlignment="1">
      <alignment horizontal="left" wrapText="1"/>
    </xf>
    <xf numFmtId="167" fontId="6" fillId="5" borderId="5" xfId="1" applyFont="1" applyFill="1" applyBorder="1" applyAlignment="1">
      <alignment vertical="top" wrapText="1"/>
    </xf>
    <xf numFmtId="0" fontId="10" fillId="5" borderId="8" xfId="0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right" wrapText="1"/>
    </xf>
    <xf numFmtId="170" fontId="10" fillId="5" borderId="8" xfId="0" applyNumberFormat="1" applyFont="1" applyFill="1" applyBorder="1" applyAlignment="1">
      <alignment horizontal="right" wrapText="1"/>
    </xf>
    <xf numFmtId="0" fontId="6" fillId="5" borderId="7" xfId="0" applyFont="1" applyFill="1" applyBorder="1" applyAlignment="1">
      <alignment horizontal="center" vertical="center" wrapText="1"/>
    </xf>
    <xf numFmtId="167" fontId="6" fillId="5" borderId="5" xfId="1" applyFont="1" applyFill="1" applyBorder="1" applyAlignment="1">
      <alignment vertical="center" wrapText="1"/>
    </xf>
    <xf numFmtId="4" fontId="10" fillId="5" borderId="5" xfId="0" applyNumberFormat="1" applyFont="1" applyFill="1" applyBorder="1" applyAlignment="1">
      <alignment vertical="center" wrapText="1"/>
    </xf>
    <xf numFmtId="176" fontId="10" fillId="5" borderId="5" xfId="2" applyNumberFormat="1" applyFont="1" applyFill="1" applyBorder="1" applyAlignment="1">
      <alignment horizontal="left" vertical="center" wrapText="1"/>
    </xf>
    <xf numFmtId="4" fontId="10" fillId="5" borderId="5" xfId="0" applyNumberFormat="1" applyFont="1" applyFill="1" applyBorder="1" applyAlignment="1">
      <alignment horizontal="right" vertical="center" wrapText="1"/>
    </xf>
    <xf numFmtId="0" fontId="29" fillId="5" borderId="43" xfId="0" applyFont="1" applyFill="1" applyBorder="1">
      <alignment vertical="center"/>
    </xf>
    <xf numFmtId="0" fontId="29" fillId="5" borderId="2" xfId="0" applyFont="1" applyFill="1" applyBorder="1">
      <alignment vertical="center"/>
    </xf>
    <xf numFmtId="0" fontId="29" fillId="5" borderId="2" xfId="0" applyFont="1" applyFill="1" applyBorder="1" applyAlignment="1">
      <alignment horizontal="center" vertical="center"/>
    </xf>
    <xf numFmtId="165" fontId="29" fillId="5" borderId="2" xfId="0" applyNumberFormat="1" applyFont="1" applyFill="1" applyBorder="1">
      <alignment vertical="center"/>
    </xf>
    <xf numFmtId="0" fontId="29" fillId="5" borderId="44" xfId="0" applyFont="1" applyFill="1" applyBorder="1">
      <alignment vertical="center"/>
    </xf>
    <xf numFmtId="0" fontId="29" fillId="5" borderId="1" xfId="0" applyFont="1" applyFill="1" applyBorder="1">
      <alignment vertical="center"/>
    </xf>
    <xf numFmtId="0" fontId="29" fillId="5" borderId="1" xfId="0" applyFont="1" applyFill="1" applyBorder="1" applyAlignment="1">
      <alignment horizontal="center" vertical="center"/>
    </xf>
    <xf numFmtId="165" fontId="29" fillId="5" borderId="1" xfId="0" applyNumberFormat="1" applyFont="1" applyFill="1" applyBorder="1">
      <alignment vertical="center"/>
    </xf>
    <xf numFmtId="0" fontId="28" fillId="5" borderId="1" xfId="0" applyFont="1" applyFill="1" applyBorder="1" applyAlignment="1">
      <alignment horizontal="center" vertical="center"/>
    </xf>
    <xf numFmtId="165" fontId="28" fillId="5" borderId="1" xfId="0" applyNumberFormat="1" applyFont="1" applyFill="1" applyBorder="1">
      <alignment vertical="center"/>
    </xf>
    <xf numFmtId="0" fontId="43" fillId="5" borderId="0" xfId="0" applyFont="1" applyFill="1">
      <alignment vertical="center"/>
    </xf>
    <xf numFmtId="0" fontId="43" fillId="5" borderId="44" xfId="0" applyFont="1" applyFill="1" applyBorder="1">
      <alignment vertical="center"/>
    </xf>
    <xf numFmtId="0" fontId="43" fillId="5" borderId="1" xfId="0" applyFont="1" applyFill="1" applyBorder="1">
      <alignment vertical="center"/>
    </xf>
    <xf numFmtId="0" fontId="43" fillId="5" borderId="1" xfId="0" applyFont="1" applyFill="1" applyBorder="1" applyAlignment="1">
      <alignment horizontal="center" vertical="center"/>
    </xf>
    <xf numFmtId="165" fontId="43" fillId="5" borderId="1" xfId="0" applyNumberFormat="1" applyFont="1" applyFill="1" applyBorder="1">
      <alignment vertical="center"/>
    </xf>
    <xf numFmtId="0" fontId="29" fillId="5" borderId="76" xfId="0" applyFont="1" applyFill="1" applyBorder="1" applyAlignment="1">
      <alignment horizontal="center" vertical="center"/>
    </xf>
    <xf numFmtId="165" fontId="29" fillId="5" borderId="76" xfId="0" applyNumberFormat="1" applyFont="1" applyFill="1" applyBorder="1">
      <alignment vertical="center"/>
    </xf>
    <xf numFmtId="0" fontId="29" fillId="5" borderId="77" xfId="0" applyFont="1" applyFill="1" applyBorder="1">
      <alignment vertical="center"/>
    </xf>
    <xf numFmtId="0" fontId="29" fillId="5" borderId="76" xfId="0" applyFont="1" applyFill="1" applyBorder="1">
      <alignment vertical="center"/>
    </xf>
    <xf numFmtId="0" fontId="29" fillId="5" borderId="40" xfId="0" applyFont="1" applyFill="1" applyBorder="1" applyAlignment="1">
      <alignment horizontal="center" vertical="center"/>
    </xf>
    <xf numFmtId="165" fontId="29" fillId="5" borderId="40" xfId="0" applyNumberFormat="1" applyFont="1" applyFill="1" applyBorder="1">
      <alignment vertical="center"/>
    </xf>
    <xf numFmtId="0" fontId="29" fillId="5" borderId="40" xfId="0" applyFont="1" applyFill="1" applyBorder="1">
      <alignment vertical="center"/>
    </xf>
    <xf numFmtId="0" fontId="29" fillId="5" borderId="82" xfId="0" applyFont="1" applyFill="1" applyBorder="1" applyAlignment="1">
      <alignment horizontal="center" vertical="center"/>
    </xf>
    <xf numFmtId="0" fontId="28" fillId="5" borderId="86" xfId="0" applyFont="1" applyFill="1" applyBorder="1" applyAlignment="1">
      <alignment horizontal="center" vertical="center"/>
    </xf>
    <xf numFmtId="0" fontId="28" fillId="5" borderId="88" xfId="0" applyFont="1" applyFill="1" applyBorder="1" applyAlignment="1">
      <alignment horizontal="center" vertical="center"/>
    </xf>
    <xf numFmtId="0" fontId="29" fillId="5" borderId="88" xfId="0" applyFont="1" applyFill="1" applyBorder="1" applyAlignment="1">
      <alignment horizontal="center" vertical="center"/>
    </xf>
    <xf numFmtId="0" fontId="29" fillId="5" borderId="85" xfId="0" applyFont="1" applyFill="1" applyBorder="1" applyAlignment="1">
      <alignment horizontal="center" vertical="center"/>
    </xf>
    <xf numFmtId="0" fontId="29" fillId="5" borderId="88" xfId="0" applyFont="1" applyFill="1" applyBorder="1">
      <alignment vertical="center"/>
    </xf>
    <xf numFmtId="0" fontId="29" fillId="5" borderId="91" xfId="0" applyFont="1" applyFill="1" applyBorder="1">
      <alignment vertical="center"/>
    </xf>
    <xf numFmtId="0" fontId="29" fillId="5" borderId="92" xfId="0" applyFont="1" applyFill="1" applyBorder="1">
      <alignment vertical="center"/>
    </xf>
    <xf numFmtId="0" fontId="29" fillId="5" borderId="93" xfId="0" applyFont="1" applyFill="1" applyBorder="1">
      <alignment vertical="center"/>
    </xf>
    <xf numFmtId="0" fontId="29" fillId="5" borderId="93" xfId="0" applyFont="1" applyFill="1" applyBorder="1" applyAlignment="1">
      <alignment horizontal="center" vertical="center"/>
    </xf>
    <xf numFmtId="165" fontId="29" fillId="5" borderId="93" xfId="0" applyNumberFormat="1" applyFont="1" applyFill="1" applyBorder="1">
      <alignment vertical="center"/>
    </xf>
    <xf numFmtId="0" fontId="28" fillId="6" borderId="78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8" fillId="6" borderId="80" xfId="0" applyFont="1" applyFill="1" applyBorder="1" applyAlignment="1">
      <alignment horizontal="center" vertical="center"/>
    </xf>
    <xf numFmtId="0" fontId="29" fillId="5" borderId="95" xfId="0" applyFont="1" applyFill="1" applyBorder="1" applyAlignment="1">
      <alignment horizontal="center" vertical="center"/>
    </xf>
    <xf numFmtId="0" fontId="29" fillId="5" borderId="85" xfId="0" applyFont="1" applyFill="1" applyBorder="1">
      <alignment vertical="center"/>
    </xf>
    <xf numFmtId="0" fontId="29" fillId="5" borderId="82" xfId="0" applyFont="1" applyFill="1" applyBorder="1">
      <alignment vertical="center"/>
    </xf>
    <xf numFmtId="0" fontId="29" fillId="6" borderId="40" xfId="0" applyFont="1" applyFill="1" applyBorder="1" applyAlignment="1">
      <alignment horizontal="center" vertical="center"/>
    </xf>
    <xf numFmtId="165" fontId="29" fillId="6" borderId="40" xfId="0" applyNumberFormat="1" applyFont="1" applyFill="1" applyBorder="1">
      <alignment vertical="center"/>
    </xf>
    <xf numFmtId="0" fontId="28" fillId="6" borderId="35" xfId="0" applyFont="1" applyFill="1" applyBorder="1" applyAlignment="1">
      <alignment horizontal="center" vertical="center"/>
    </xf>
    <xf numFmtId="0" fontId="29" fillId="5" borderId="96" xfId="0" applyFont="1" applyFill="1" applyBorder="1">
      <alignment vertical="center"/>
    </xf>
    <xf numFmtId="0" fontId="29" fillId="5" borderId="97" xfId="0" applyFont="1" applyFill="1" applyBorder="1">
      <alignment vertical="center"/>
    </xf>
    <xf numFmtId="0" fontId="28" fillId="6" borderId="86" xfId="0" applyFont="1" applyFill="1" applyBorder="1" applyAlignment="1">
      <alignment horizontal="center" vertical="center"/>
    </xf>
    <xf numFmtId="0" fontId="29" fillId="5" borderId="98" xfId="0" applyFont="1" applyFill="1" applyBorder="1" applyAlignment="1">
      <alignment horizontal="center" vertical="center"/>
    </xf>
    <xf numFmtId="0" fontId="29" fillId="6" borderId="66" xfId="0" applyFont="1" applyFill="1" applyBorder="1" applyAlignment="1">
      <alignment horizontal="center" vertical="center"/>
    </xf>
    <xf numFmtId="165" fontId="29" fillId="6" borderId="66" xfId="0" applyNumberFormat="1" applyFont="1" applyFill="1" applyBorder="1">
      <alignment vertical="center"/>
    </xf>
    <xf numFmtId="178" fontId="6" fillId="5" borderId="0" xfId="2" applyNumberFormat="1" applyFont="1" applyFill="1" applyAlignment="1">
      <alignment vertical="center"/>
    </xf>
    <xf numFmtId="178" fontId="5" fillId="5" borderId="0" xfId="2" applyNumberFormat="1" applyFont="1" applyFill="1" applyAlignment="1">
      <alignment vertical="center"/>
    </xf>
    <xf numFmtId="164" fontId="6" fillId="5" borderId="0" xfId="2" applyFont="1" applyFill="1" applyAlignment="1">
      <alignment vertical="center"/>
    </xf>
    <xf numFmtId="4" fontId="6" fillId="5" borderId="12" xfId="0" applyNumberFormat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Continuous" vertical="center"/>
    </xf>
    <xf numFmtId="0" fontId="10" fillId="5" borderId="6" xfId="0" applyFont="1" applyFill="1" applyBorder="1" applyAlignment="1">
      <alignment horizontal="centerContinuous" vertical="center"/>
    </xf>
    <xf numFmtId="4" fontId="10" fillId="5" borderId="6" xfId="0" applyNumberFormat="1" applyFont="1" applyFill="1" applyBorder="1" applyAlignment="1">
      <alignment horizontal="centerContinuous" vertical="center"/>
    </xf>
    <xf numFmtId="4" fontId="10" fillId="5" borderId="58" xfId="0" applyNumberFormat="1" applyFont="1" applyFill="1" applyBorder="1" applyAlignment="1">
      <alignment horizontal="centerContinuous" vertical="center"/>
    </xf>
    <xf numFmtId="3" fontId="6" fillId="5" borderId="11" xfId="0" applyNumberFormat="1" applyFont="1" applyFill="1" applyBorder="1" applyAlignment="1">
      <alignment horizontal="center" vertical="center" wrapText="1"/>
    </xf>
    <xf numFmtId="3" fontId="6" fillId="5" borderId="53" xfId="0" applyNumberFormat="1" applyFont="1" applyFill="1" applyBorder="1" applyAlignment="1">
      <alignment horizontal="center" vertical="center" wrapText="1"/>
    </xf>
    <xf numFmtId="3" fontId="10" fillId="5" borderId="6" xfId="0" applyNumberFormat="1" applyFont="1" applyFill="1" applyBorder="1" applyAlignment="1">
      <alignment horizontal="centerContinuous" vertical="center"/>
    </xf>
    <xf numFmtId="3" fontId="10" fillId="5" borderId="58" xfId="0" applyNumberFormat="1" applyFont="1" applyFill="1" applyBorder="1" applyAlignment="1">
      <alignment horizontal="centerContinuous" vertical="center"/>
    </xf>
    <xf numFmtId="3" fontId="9" fillId="5" borderId="0" xfId="0" applyNumberFormat="1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left" vertical="center" wrapText="1"/>
    </xf>
    <xf numFmtId="4" fontId="6" fillId="5" borderId="9" xfId="0" applyNumberFormat="1" applyFont="1" applyFill="1" applyBorder="1" applyAlignment="1">
      <alignment horizontal="centerContinuous" vertical="center" wrapText="1"/>
    </xf>
    <xf numFmtId="4" fontId="6" fillId="5" borderId="8" xfId="0" applyNumberFormat="1" applyFont="1" applyFill="1" applyBorder="1" applyAlignment="1">
      <alignment horizontal="centerContinuous" vertical="center" wrapText="1"/>
    </xf>
    <xf numFmtId="4" fontId="10" fillId="5" borderId="5" xfId="0" applyNumberFormat="1" applyFont="1" applyFill="1" applyBorder="1" applyAlignment="1">
      <alignment horizontal="left" vertical="center" wrapText="1"/>
    </xf>
    <xf numFmtId="4" fontId="10" fillId="5" borderId="7" xfId="0" applyNumberFormat="1" applyFont="1" applyFill="1" applyBorder="1" applyAlignment="1">
      <alignment horizontal="left" vertical="center" wrapText="1"/>
    </xf>
    <xf numFmtId="4" fontId="6" fillId="5" borderId="9" xfId="0" applyNumberFormat="1" applyFont="1" applyFill="1" applyBorder="1" applyAlignment="1">
      <alignment horizontal="centerContinuous" vertical="center"/>
    </xf>
    <xf numFmtId="4" fontId="6" fillId="5" borderId="8" xfId="0" applyNumberFormat="1" applyFont="1" applyFill="1" applyBorder="1" applyAlignment="1">
      <alignment horizontal="centerContinuous" vertical="center"/>
    </xf>
    <xf numFmtId="167" fontId="6" fillId="5" borderId="9" xfId="1" applyFont="1" applyFill="1" applyBorder="1" applyAlignment="1">
      <alignment horizontal="centerContinuous" vertical="center" wrapText="1"/>
    </xf>
    <xf numFmtId="167" fontId="6" fillId="5" borderId="8" xfId="1" applyFont="1" applyFill="1" applyBorder="1" applyAlignment="1">
      <alignment horizontal="centerContinuous" vertical="center" wrapText="1"/>
    </xf>
    <xf numFmtId="167" fontId="6" fillId="5" borderId="9" xfId="0" applyNumberFormat="1" applyFont="1" applyFill="1" applyBorder="1" applyAlignment="1">
      <alignment horizontal="centerContinuous" vertical="center"/>
    </xf>
    <xf numFmtId="167" fontId="6" fillId="5" borderId="8" xfId="0" applyNumberFormat="1" applyFont="1" applyFill="1" applyBorder="1" applyAlignment="1">
      <alignment horizontal="centerContinuous" vertical="center"/>
    </xf>
    <xf numFmtId="167" fontId="10" fillId="5" borderId="5" xfId="0" applyNumberFormat="1" applyFont="1" applyFill="1" applyBorder="1" applyAlignment="1">
      <alignment horizontal="left" vertical="center" wrapText="1"/>
    </xf>
    <xf numFmtId="167" fontId="10" fillId="5" borderId="7" xfId="0" applyNumberFormat="1" applyFont="1" applyFill="1" applyBorder="1" applyAlignment="1">
      <alignment horizontal="left" vertical="center" wrapText="1"/>
    </xf>
    <xf numFmtId="1" fontId="9" fillId="5" borderId="0" xfId="0" applyNumberFormat="1" applyFont="1" applyFill="1" applyAlignment="1">
      <alignment vertical="center" shrinkToFit="1"/>
    </xf>
    <xf numFmtId="3" fontId="9" fillId="5" borderId="0" xfId="0" applyNumberFormat="1" applyFont="1" applyFill="1" applyAlignment="1">
      <alignment vertical="center" shrinkToFit="1"/>
    </xf>
    <xf numFmtId="4" fontId="9" fillId="5" borderId="0" xfId="0" applyNumberFormat="1" applyFont="1" applyFill="1" applyAlignment="1">
      <alignment vertical="center" shrinkToFit="1"/>
    </xf>
    <xf numFmtId="0" fontId="5" fillId="5" borderId="45" xfId="0" applyFont="1" applyFill="1" applyBorder="1" applyAlignment="1">
      <alignment vertical="center" wrapText="1"/>
    </xf>
    <xf numFmtId="3" fontId="5" fillId="5" borderId="0" xfId="0" applyNumberFormat="1" applyFont="1" applyFill="1" applyAlignment="1">
      <alignment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3" fontId="6" fillId="5" borderId="25" xfId="0" applyNumberFormat="1" applyFont="1" applyFill="1" applyBorder="1" applyAlignment="1">
      <alignment horizontal="center" vertical="center" wrapText="1"/>
    </xf>
    <xf numFmtId="3" fontId="6" fillId="5" borderId="59" xfId="0" applyNumberFormat="1" applyFont="1" applyFill="1" applyBorder="1" applyAlignment="1">
      <alignment horizontal="center" vertical="center" wrapText="1"/>
    </xf>
    <xf numFmtId="4" fontId="6" fillId="5" borderId="27" xfId="0" applyNumberFormat="1" applyFont="1" applyFill="1" applyBorder="1" applyAlignment="1">
      <alignment horizontal="center" vertical="center" wrapText="1"/>
    </xf>
    <xf numFmtId="4" fontId="6" fillId="5" borderId="7" xfId="0" applyNumberFormat="1" applyFont="1" applyFill="1" applyBorder="1" applyAlignment="1">
      <alignment horizontal="centerContinuous" vertical="center"/>
    </xf>
    <xf numFmtId="0" fontId="6" fillId="5" borderId="1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 wrapText="1"/>
    </xf>
    <xf numFmtId="0" fontId="10" fillId="5" borderId="58" xfId="0" applyFont="1" applyFill="1" applyBorder="1" applyAlignment="1">
      <alignment horizontal="centerContinuous" vertical="center"/>
    </xf>
    <xf numFmtId="0" fontId="6" fillId="5" borderId="23" xfId="0" applyFont="1" applyFill="1" applyBorder="1" applyAlignment="1">
      <alignment horizontal="centerContinuous" vertical="center"/>
    </xf>
    <xf numFmtId="0" fontId="5" fillId="5" borderId="31" xfId="0" applyFont="1" applyFill="1" applyBorder="1" applyAlignment="1">
      <alignment horizontal="left" vertical="center"/>
    </xf>
    <xf numFmtId="0" fontId="9" fillId="5" borderId="31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165" fontId="5" fillId="5" borderId="0" xfId="0" applyNumberFormat="1" applyFont="1" applyFill="1">
      <alignment vertical="center"/>
    </xf>
    <xf numFmtId="175" fontId="5" fillId="2" borderId="5" xfId="0" applyNumberFormat="1" applyFont="1" applyFill="1" applyBorder="1" applyAlignment="1">
      <alignment horizontal="left" vertical="center"/>
    </xf>
    <xf numFmtId="175" fontId="5" fillId="7" borderId="5" xfId="0" applyNumberFormat="1" applyFont="1" applyFill="1" applyBorder="1" applyAlignment="1">
      <alignment horizontal="left" vertical="center"/>
    </xf>
    <xf numFmtId="165" fontId="6" fillId="5" borderId="0" xfId="0" applyNumberFormat="1" applyFont="1" applyFill="1">
      <alignment vertical="center"/>
    </xf>
    <xf numFmtId="175" fontId="5" fillId="6" borderId="5" xfId="0" applyNumberFormat="1" applyFont="1" applyFill="1" applyBorder="1" applyAlignment="1">
      <alignment horizontal="left" vertical="center"/>
    </xf>
    <xf numFmtId="1" fontId="5" fillId="2" borderId="5" xfId="0" applyNumberFormat="1" applyFont="1" applyFill="1" applyBorder="1" applyAlignment="1">
      <alignment horizontal="left" vertical="center"/>
    </xf>
    <xf numFmtId="1" fontId="5" fillId="6" borderId="5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right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right" vertical="center" shrinkToFi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shrinkToFit="1"/>
    </xf>
    <xf numFmtId="0" fontId="5" fillId="4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4" fontId="9" fillId="0" borderId="9" xfId="0" applyNumberFormat="1" applyFont="1" applyBorder="1" applyAlignment="1">
      <alignment horizontal="right" vertical="center" shrinkToFit="1"/>
    </xf>
    <xf numFmtId="0" fontId="6" fillId="5" borderId="9" xfId="0" applyFont="1" applyFill="1" applyBorder="1" applyAlignment="1">
      <alignment horizontal="left" vertical="center"/>
    </xf>
    <xf numFmtId="175" fontId="6" fillId="0" borderId="9" xfId="0" applyNumberFormat="1" applyFont="1" applyBorder="1" applyAlignment="1">
      <alignment horizontal="left" vertical="center"/>
    </xf>
    <xf numFmtId="0" fontId="10" fillId="0" borderId="102" xfId="0" applyFont="1" applyBorder="1" applyAlignment="1">
      <alignment horizontal="left" vertical="top"/>
    </xf>
    <xf numFmtId="0" fontId="9" fillId="5" borderId="104" xfId="0" applyFont="1" applyFill="1" applyBorder="1" applyAlignment="1">
      <alignment horizontal="left" vertical="center" wrapText="1"/>
    </xf>
    <xf numFmtId="175" fontId="6" fillId="0" borderId="106" xfId="0" applyNumberFormat="1" applyFont="1" applyBorder="1" applyAlignment="1">
      <alignment horizontal="left" vertical="center"/>
    </xf>
    <xf numFmtId="175" fontId="6" fillId="2" borderId="106" xfId="0" applyNumberFormat="1" applyFont="1" applyFill="1" applyBorder="1" applyAlignment="1">
      <alignment horizontal="left" vertical="center"/>
    </xf>
    <xf numFmtId="0" fontId="9" fillId="6" borderId="106" xfId="0" applyFont="1" applyFill="1" applyBorder="1" applyAlignment="1">
      <alignment horizontal="left" vertical="center" wrapText="1"/>
    </xf>
    <xf numFmtId="0" fontId="9" fillId="2" borderId="106" xfId="0" applyFont="1" applyFill="1" applyBorder="1" applyAlignment="1">
      <alignment horizontal="left" vertical="center" wrapText="1"/>
    </xf>
    <xf numFmtId="0" fontId="9" fillId="0" borderId="106" xfId="0" applyFont="1" applyBorder="1" applyAlignment="1">
      <alignment horizontal="left" vertical="center" wrapText="1"/>
    </xf>
    <xf numFmtId="4" fontId="9" fillId="6" borderId="106" xfId="0" applyNumberFormat="1" applyFont="1" applyFill="1" applyBorder="1" applyAlignment="1">
      <alignment horizontal="right" vertical="center" shrinkToFit="1"/>
    </xf>
    <xf numFmtId="4" fontId="9" fillId="2" borderId="106" xfId="0" applyNumberFormat="1" applyFont="1" applyFill="1" applyBorder="1" applyAlignment="1">
      <alignment horizontal="right" vertical="center" shrinkToFit="1"/>
    </xf>
    <xf numFmtId="0" fontId="5" fillId="6" borderId="107" xfId="0" applyFont="1" applyFill="1" applyBorder="1" applyAlignment="1">
      <alignment horizontal="center" vertical="center" wrapText="1"/>
    </xf>
    <xf numFmtId="0" fontId="5" fillId="6" borderId="108" xfId="0" applyFont="1" applyFill="1" applyBorder="1" applyAlignment="1">
      <alignment horizontal="center" vertical="center" wrapText="1"/>
    </xf>
    <xf numFmtId="4" fontId="9" fillId="0" borderId="106" xfId="0" applyNumberFormat="1" applyFont="1" applyBorder="1" applyAlignment="1">
      <alignment horizontal="right" vertical="center" shrinkToFit="1"/>
    </xf>
    <xf numFmtId="0" fontId="5" fillId="2" borderId="105" xfId="0" applyFont="1" applyFill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1" fontId="10" fillId="0" borderId="105" xfId="0" quotePrefix="1" applyNumberFormat="1" applyFont="1" applyBorder="1" applyAlignment="1">
      <alignment horizontal="center" vertical="center" shrinkToFit="1"/>
    </xf>
    <xf numFmtId="0" fontId="5" fillId="6" borderId="105" xfId="0" applyFont="1" applyFill="1" applyBorder="1" applyAlignment="1">
      <alignment horizontal="center" vertical="center" wrapText="1"/>
    </xf>
    <xf numFmtId="0" fontId="5" fillId="5" borderId="105" xfId="0" applyFont="1" applyFill="1" applyBorder="1" applyAlignment="1">
      <alignment horizontal="center" vertical="center" wrapText="1"/>
    </xf>
    <xf numFmtId="0" fontId="9" fillId="5" borderId="106" xfId="0" applyFont="1" applyFill="1" applyBorder="1" applyAlignment="1">
      <alignment horizontal="left" vertical="center" wrapText="1"/>
    </xf>
    <xf numFmtId="1" fontId="10" fillId="5" borderId="105" xfId="0" quotePrefix="1" applyNumberFormat="1" applyFont="1" applyFill="1" applyBorder="1" applyAlignment="1">
      <alignment horizontal="center" vertical="center" shrinkToFit="1"/>
    </xf>
    <xf numFmtId="175" fontId="6" fillId="5" borderId="106" xfId="0" applyNumberFormat="1" applyFont="1" applyFill="1" applyBorder="1" applyAlignment="1">
      <alignment horizontal="left" vertical="center"/>
    </xf>
    <xf numFmtId="0" fontId="6" fillId="0" borderId="105" xfId="0" applyFont="1" applyBorder="1" applyAlignment="1">
      <alignment horizontal="center" vertical="center" wrapText="1"/>
    </xf>
    <xf numFmtId="4" fontId="9" fillId="5" borderId="106" xfId="0" applyNumberFormat="1" applyFont="1" applyFill="1" applyBorder="1" applyAlignment="1">
      <alignment horizontal="right" vertical="center" shrinkToFit="1"/>
    </xf>
    <xf numFmtId="1" fontId="9" fillId="0" borderId="105" xfId="0" quotePrefix="1" applyNumberFormat="1" applyFont="1" applyBorder="1" applyAlignment="1">
      <alignment horizontal="center" vertical="center" shrinkToFit="1"/>
    </xf>
    <xf numFmtId="175" fontId="5" fillId="0" borderId="106" xfId="0" applyNumberFormat="1" applyFont="1" applyBorder="1" applyAlignment="1">
      <alignment horizontal="left" vertical="center"/>
    </xf>
    <xf numFmtId="1" fontId="9" fillId="2" borderId="105" xfId="0" quotePrefix="1" applyNumberFormat="1" applyFont="1" applyFill="1" applyBorder="1" applyAlignment="1">
      <alignment horizontal="center" vertical="center" shrinkToFit="1"/>
    </xf>
    <xf numFmtId="1" fontId="9" fillId="6" borderId="105" xfId="0" quotePrefix="1" applyNumberFormat="1" applyFont="1" applyFill="1" applyBorder="1" applyAlignment="1">
      <alignment horizontal="center" vertical="center" shrinkToFit="1"/>
    </xf>
    <xf numFmtId="0" fontId="5" fillId="6" borderId="106" xfId="0" applyFont="1" applyFill="1" applyBorder="1" applyAlignment="1">
      <alignment horizontal="center" vertical="center" wrapText="1"/>
    </xf>
    <xf numFmtId="1" fontId="9" fillId="5" borderId="105" xfId="0" quotePrefix="1" applyNumberFormat="1" applyFont="1" applyFill="1" applyBorder="1" applyAlignment="1">
      <alignment horizontal="center" vertical="center" shrinkToFit="1"/>
    </xf>
    <xf numFmtId="0" fontId="5" fillId="5" borderId="106" xfId="0" applyFont="1" applyFill="1" applyBorder="1" applyAlignment="1">
      <alignment horizontal="center" vertical="center" wrapText="1"/>
    </xf>
    <xf numFmtId="175" fontId="5" fillId="5" borderId="106" xfId="0" applyNumberFormat="1" applyFont="1" applyFill="1" applyBorder="1" applyAlignment="1">
      <alignment horizontal="left" vertical="center"/>
    </xf>
    <xf numFmtId="175" fontId="5" fillId="2" borderId="106" xfId="0" applyNumberFormat="1" applyFont="1" applyFill="1" applyBorder="1" applyAlignment="1">
      <alignment horizontal="left" vertical="center"/>
    </xf>
    <xf numFmtId="175" fontId="6" fillId="7" borderId="106" xfId="0" applyNumberFormat="1" applyFont="1" applyFill="1" applyBorder="1" applyAlignment="1">
      <alignment horizontal="left" vertical="center"/>
    </xf>
    <xf numFmtId="175" fontId="6" fillId="6" borderId="106" xfId="0" applyNumberFormat="1" applyFont="1" applyFill="1" applyBorder="1" applyAlignment="1">
      <alignment horizontal="left" vertical="center"/>
    </xf>
    <xf numFmtId="1" fontId="5" fillId="2" borderId="105" xfId="0" applyNumberFormat="1" applyFont="1" applyFill="1" applyBorder="1" applyAlignment="1">
      <alignment horizontal="center" vertical="center" wrapText="1"/>
    </xf>
    <xf numFmtId="1" fontId="5" fillId="0" borderId="105" xfId="0" applyNumberFormat="1" applyFont="1" applyBorder="1" applyAlignment="1">
      <alignment horizontal="center" vertical="center" wrapText="1"/>
    </xf>
    <xf numFmtId="1" fontId="5" fillId="6" borderId="105" xfId="0" applyNumberFormat="1" applyFont="1" applyFill="1" applyBorder="1" applyAlignment="1">
      <alignment horizontal="center" vertical="center" wrapText="1"/>
    </xf>
    <xf numFmtId="0" fontId="6" fillId="0" borderId="110" xfId="0" quotePrefix="1" applyFont="1" applyBorder="1" applyAlignment="1">
      <alignment horizontal="center" vertical="top" wrapText="1"/>
    </xf>
    <xf numFmtId="1" fontId="10" fillId="0" borderId="111" xfId="0" applyNumberFormat="1" applyFont="1" applyBorder="1" applyAlignment="1">
      <alignment horizontal="left" vertical="top"/>
    </xf>
    <xf numFmtId="0" fontId="10" fillId="0" borderId="111" xfId="0" applyFont="1" applyBorder="1" applyAlignment="1">
      <alignment horizontal="center" vertical="top"/>
    </xf>
    <xf numFmtId="175" fontId="6" fillId="0" borderId="112" xfId="0" applyNumberFormat="1" applyFont="1" applyBorder="1" applyAlignment="1">
      <alignment horizontal="left" vertical="center"/>
    </xf>
    <xf numFmtId="1" fontId="6" fillId="0" borderId="28" xfId="0" applyNumberFormat="1" applyFont="1" applyBorder="1" applyAlignment="1">
      <alignment horizontal="left" vertical="center"/>
    </xf>
    <xf numFmtId="1" fontId="6" fillId="0" borderId="31" xfId="0" applyNumberFormat="1" applyFont="1" applyBorder="1" applyAlignment="1">
      <alignment horizontal="left" vertical="center"/>
    </xf>
    <xf numFmtId="0" fontId="5" fillId="6" borderId="114" xfId="0" applyFont="1" applyFill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 wrapText="1"/>
    </xf>
    <xf numFmtId="0" fontId="5" fillId="2" borderId="104" xfId="0" applyFont="1" applyFill="1" applyBorder="1" applyAlignment="1">
      <alignment horizontal="center" vertical="center" wrapText="1"/>
    </xf>
    <xf numFmtId="0" fontId="5" fillId="6" borderId="116" xfId="0" applyFont="1" applyFill="1" applyBorder="1" applyAlignment="1">
      <alignment horizontal="center" vertical="center"/>
    </xf>
    <xf numFmtId="0" fontId="5" fillId="6" borderId="116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top"/>
    </xf>
    <xf numFmtId="1" fontId="5" fillId="5" borderId="45" xfId="0" applyNumberFormat="1" applyFont="1" applyFill="1" applyBorder="1" applyAlignment="1">
      <alignment vertical="center" wrapText="1"/>
    </xf>
    <xf numFmtId="0" fontId="10" fillId="5" borderId="8" xfId="0" applyFont="1" applyFill="1" applyBorder="1" applyAlignment="1">
      <alignment horizontal="left" vertical="center" wrapText="1"/>
    </xf>
    <xf numFmtId="170" fontId="6" fillId="5" borderId="5" xfId="0" applyNumberFormat="1" applyFont="1" applyFill="1" applyBorder="1" applyAlignment="1">
      <alignment horizontal="left" vertical="center" wrapText="1"/>
    </xf>
    <xf numFmtId="1" fontId="5" fillId="5" borderId="45" xfId="0" applyNumberFormat="1" applyFont="1" applyFill="1" applyBorder="1">
      <alignment vertical="center"/>
    </xf>
    <xf numFmtId="0" fontId="9" fillId="5" borderId="0" xfId="0" applyFont="1" applyFill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6" fillId="5" borderId="8" xfId="0" applyFont="1" applyFill="1" applyBorder="1" applyAlignment="1">
      <alignment horizontal="left" vertical="center" wrapText="1"/>
    </xf>
    <xf numFmtId="1" fontId="9" fillId="5" borderId="0" xfId="0" applyNumberFormat="1" applyFont="1" applyFill="1" applyAlignment="1">
      <alignment horizontal="center" vertical="center" shrinkToFit="1"/>
    </xf>
    <xf numFmtId="0" fontId="11" fillId="5" borderId="0" xfId="0" quotePrefix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1" fillId="5" borderId="0" xfId="0" applyFont="1" applyFill="1">
      <alignment vertical="center"/>
    </xf>
    <xf numFmtId="0" fontId="11" fillId="5" borderId="0" xfId="0" applyFont="1" applyFill="1" applyAlignment="1">
      <alignment horizontal="left" vertical="center"/>
    </xf>
    <xf numFmtId="176" fontId="10" fillId="5" borderId="14" xfId="2" applyNumberFormat="1" applyFont="1" applyFill="1" applyBorder="1" applyAlignment="1">
      <alignment horizontal="right" vertical="center" wrapText="1"/>
    </xf>
    <xf numFmtId="1" fontId="6" fillId="0" borderId="65" xfId="0" applyNumberFormat="1" applyFont="1" applyBorder="1" applyAlignment="1">
      <alignment horizontal="left" vertical="center"/>
    </xf>
    <xf numFmtId="1" fontId="6" fillId="0" borderId="64" xfId="0" applyNumberFormat="1" applyFont="1" applyBorder="1" applyAlignment="1">
      <alignment horizontal="left" vertical="center"/>
    </xf>
    <xf numFmtId="1" fontId="6" fillId="0" borderId="40" xfId="0" applyNumberFormat="1" applyFont="1" applyBorder="1" applyAlignment="1">
      <alignment horizontal="left" vertical="center"/>
    </xf>
    <xf numFmtId="0" fontId="5" fillId="5" borderId="103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left" vertical="center" wrapText="1"/>
    </xf>
    <xf numFmtId="0" fontId="6" fillId="4" borderId="0" xfId="0" applyFont="1" applyFill="1">
      <alignment vertical="center"/>
    </xf>
    <xf numFmtId="0" fontId="6" fillId="0" borderId="105" xfId="0" quotePrefix="1" applyFont="1" applyBorder="1" applyAlignment="1">
      <alignment horizontal="center" vertical="center"/>
    </xf>
    <xf numFmtId="0" fontId="5" fillId="2" borderId="103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left" vertical="center" wrapText="1"/>
    </xf>
    <xf numFmtId="167" fontId="5" fillId="5" borderId="0" xfId="1" applyFont="1" applyFill="1" applyAlignment="1">
      <alignment vertical="center"/>
    </xf>
    <xf numFmtId="1" fontId="9" fillId="2" borderId="109" xfId="0" quotePrefix="1" applyNumberFormat="1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1" fontId="10" fillId="0" borderId="109" xfId="0" quotePrefix="1" applyNumberFormat="1" applyFont="1" applyBorder="1" applyAlignment="1">
      <alignment horizontal="center" vertical="center" shrinkToFit="1"/>
    </xf>
    <xf numFmtId="1" fontId="5" fillId="5" borderId="5" xfId="0" applyNumberFormat="1" applyFont="1" applyFill="1" applyBorder="1" applyAlignment="1">
      <alignment horizontal="left" vertical="center"/>
    </xf>
    <xf numFmtId="1" fontId="6" fillId="5" borderId="5" xfId="0" applyNumberFormat="1" applyFont="1" applyFill="1" applyBorder="1" applyAlignment="1">
      <alignment horizontal="left" vertical="center"/>
    </xf>
    <xf numFmtId="1" fontId="9" fillId="7" borderId="105" xfId="0" quotePrefix="1" applyNumberFormat="1" applyFont="1" applyFill="1" applyBorder="1" applyAlignment="1">
      <alignment horizontal="center" vertical="center" shrinkToFit="1"/>
    </xf>
    <xf numFmtId="0" fontId="5" fillId="7" borderId="5" xfId="0" applyFont="1" applyFill="1" applyBorder="1" applyAlignment="1">
      <alignment horizontal="center" vertical="center" wrapText="1"/>
    </xf>
    <xf numFmtId="0" fontId="6" fillId="5" borderId="59" xfId="0" applyFont="1" applyFill="1" applyBorder="1" applyAlignment="1">
      <alignment horizontal="center" vertical="center" wrapText="1"/>
    </xf>
    <xf numFmtId="0" fontId="6" fillId="5" borderId="60" xfId="0" applyFont="1" applyFill="1" applyBorder="1" applyAlignment="1">
      <alignment vertical="center" wrapText="1"/>
    </xf>
    <xf numFmtId="4" fontId="5" fillId="5" borderId="0" xfId="0" applyNumberFormat="1" applyFont="1" applyFill="1">
      <alignment vertical="center"/>
    </xf>
    <xf numFmtId="0" fontId="10" fillId="5" borderId="5" xfId="0" applyFont="1" applyFill="1" applyBorder="1" applyAlignment="1">
      <alignment horizontal="left" vertical="center"/>
    </xf>
    <xf numFmtId="4" fontId="10" fillId="5" borderId="14" xfId="0" applyNumberFormat="1" applyFont="1" applyFill="1" applyBorder="1" applyAlignment="1">
      <alignment horizontal="left" vertical="center"/>
    </xf>
    <xf numFmtId="2" fontId="10" fillId="5" borderId="13" xfId="0" applyNumberFormat="1" applyFont="1" applyFill="1" applyBorder="1" applyAlignment="1">
      <alignment horizontal="center" vertical="center"/>
    </xf>
    <xf numFmtId="4" fontId="10" fillId="5" borderId="16" xfId="0" applyNumberFormat="1" applyFont="1" applyFill="1" applyBorder="1">
      <alignment vertical="center"/>
    </xf>
    <xf numFmtId="0" fontId="10" fillId="5" borderId="5" xfId="0" applyFont="1" applyFill="1" applyBorder="1" applyAlignment="1">
      <alignment horizontal="right" vertical="center"/>
    </xf>
    <xf numFmtId="4" fontId="10" fillId="5" borderId="5" xfId="0" applyNumberFormat="1" applyFont="1" applyFill="1" applyBorder="1">
      <alignment vertical="center"/>
    </xf>
    <xf numFmtId="4" fontId="10" fillId="5" borderId="7" xfId="0" applyNumberFormat="1" applyFont="1" applyFill="1" applyBorder="1">
      <alignment vertical="center"/>
    </xf>
    <xf numFmtId="0" fontId="10" fillId="5" borderId="13" xfId="0" quotePrefix="1" applyFont="1" applyFill="1" applyBorder="1" applyAlignment="1">
      <alignment horizontal="center" vertical="center"/>
    </xf>
    <xf numFmtId="170" fontId="10" fillId="5" borderId="5" xfId="0" applyNumberFormat="1" applyFont="1" applyFill="1" applyBorder="1" applyAlignment="1">
      <alignment horizontal="right" vertical="center"/>
    </xf>
    <xf numFmtId="164" fontId="6" fillId="5" borderId="0" xfId="0" applyNumberFormat="1" applyFont="1" applyFill="1">
      <alignment vertical="center"/>
    </xf>
    <xf numFmtId="4" fontId="6" fillId="5" borderId="14" xfId="0" applyNumberFormat="1" applyFont="1" applyFill="1" applyBorder="1" applyAlignment="1">
      <alignment horizontal="right" vertical="center" wrapText="1"/>
    </xf>
    <xf numFmtId="4" fontId="10" fillId="5" borderId="9" xfId="0" applyNumberFormat="1" applyFont="1" applyFill="1" applyBorder="1">
      <alignment vertical="center"/>
    </xf>
    <xf numFmtId="4" fontId="10" fillId="5" borderId="8" xfId="0" applyNumberFormat="1" applyFont="1" applyFill="1" applyBorder="1">
      <alignment vertical="center"/>
    </xf>
    <xf numFmtId="9" fontId="10" fillId="5" borderId="7" xfId="0" applyNumberFormat="1" applyFont="1" applyFill="1" applyBorder="1">
      <alignment vertical="center"/>
    </xf>
    <xf numFmtId="4" fontId="10" fillId="5" borderId="20" xfId="0" applyNumberFormat="1" applyFont="1" applyFill="1" applyBorder="1">
      <alignment vertical="center"/>
    </xf>
    <xf numFmtId="4" fontId="10" fillId="5" borderId="19" xfId="0" applyNumberFormat="1" applyFont="1" applyFill="1" applyBorder="1">
      <alignment vertical="center"/>
    </xf>
    <xf numFmtId="3" fontId="5" fillId="5" borderId="0" xfId="0" applyNumberFormat="1" applyFont="1" applyFill="1">
      <alignment vertical="center"/>
    </xf>
    <xf numFmtId="3" fontId="10" fillId="5" borderId="5" xfId="0" applyNumberFormat="1" applyFont="1" applyFill="1" applyBorder="1">
      <alignment vertical="center"/>
    </xf>
    <xf numFmtId="3" fontId="10" fillId="5" borderId="7" xfId="0" applyNumberFormat="1" applyFont="1" applyFill="1" applyBorder="1">
      <alignment vertical="center"/>
    </xf>
    <xf numFmtId="169" fontId="10" fillId="5" borderId="5" xfId="0" applyNumberFormat="1" applyFont="1" applyFill="1" applyBorder="1" applyAlignment="1">
      <alignment horizontal="right" vertical="center"/>
    </xf>
    <xf numFmtId="3" fontId="10" fillId="5" borderId="9" xfId="0" applyNumberFormat="1" applyFont="1" applyFill="1" applyBorder="1">
      <alignment vertical="center"/>
    </xf>
    <xf numFmtId="3" fontId="10" fillId="5" borderId="8" xfId="0" applyNumberFormat="1" applyFont="1" applyFill="1" applyBorder="1">
      <alignment vertical="center"/>
    </xf>
    <xf numFmtId="3" fontId="10" fillId="5" borderId="20" xfId="0" applyNumberFormat="1" applyFont="1" applyFill="1" applyBorder="1">
      <alignment vertical="center"/>
    </xf>
    <xf numFmtId="3" fontId="10" fillId="5" borderId="19" xfId="0" applyNumberFormat="1" applyFont="1" applyFill="1" applyBorder="1">
      <alignment vertical="center"/>
    </xf>
    <xf numFmtId="4" fontId="10" fillId="5" borderId="0" xfId="0" applyNumberFormat="1" applyFont="1" applyFill="1">
      <alignment vertical="center"/>
    </xf>
    <xf numFmtId="3" fontId="10" fillId="5" borderId="5" xfId="0" applyNumberFormat="1" applyFont="1" applyFill="1" applyBorder="1" applyAlignment="1">
      <alignment horizontal="left" vertical="center" wrapText="1"/>
    </xf>
    <xf numFmtId="3" fontId="10" fillId="5" borderId="7" xfId="0" applyNumberFormat="1" applyFont="1" applyFill="1" applyBorder="1" applyAlignment="1">
      <alignment horizontal="left" vertical="center" wrapText="1"/>
    </xf>
    <xf numFmtId="3" fontId="10" fillId="5" borderId="0" xfId="0" applyNumberFormat="1" applyFont="1" applyFill="1">
      <alignment vertical="center"/>
    </xf>
    <xf numFmtId="4" fontId="16" fillId="5" borderId="7" xfId="0" applyNumberFormat="1" applyFont="1" applyFill="1" applyBorder="1" applyAlignment="1">
      <alignment horizontal="right" vertical="center" shrinkToFit="1"/>
    </xf>
    <xf numFmtId="167" fontId="10" fillId="5" borderId="5" xfId="1" applyFont="1" applyFill="1" applyBorder="1" applyAlignment="1">
      <alignment horizontal="right" vertical="center" shrinkToFit="1"/>
    </xf>
    <xf numFmtId="167" fontId="10" fillId="5" borderId="7" xfId="1" applyFont="1" applyFill="1" applyBorder="1" applyAlignment="1">
      <alignment horizontal="right" vertical="center" shrinkToFit="1"/>
    </xf>
    <xf numFmtId="4" fontId="10" fillId="5" borderId="14" xfId="1" applyNumberFormat="1" applyFont="1" applyFill="1" applyBorder="1" applyAlignment="1">
      <alignment horizontal="right" vertical="center" shrinkToFit="1"/>
    </xf>
    <xf numFmtId="167" fontId="10" fillId="5" borderId="5" xfId="0" applyNumberFormat="1" applyFont="1" applyFill="1" applyBorder="1" applyAlignment="1">
      <alignment horizontal="right" vertical="center" shrinkToFit="1"/>
    </xf>
    <xf numFmtId="167" fontId="10" fillId="5" borderId="7" xfId="0" applyNumberFormat="1" applyFont="1" applyFill="1" applyBorder="1" applyAlignment="1">
      <alignment horizontal="right" vertical="center" shrinkToFit="1"/>
    </xf>
    <xf numFmtId="167" fontId="10" fillId="5" borderId="9" xfId="0" applyNumberFormat="1" applyFont="1" applyFill="1" applyBorder="1">
      <alignment vertical="center"/>
    </xf>
    <xf numFmtId="167" fontId="10" fillId="5" borderId="8" xfId="0" applyNumberFormat="1" applyFont="1" applyFill="1" applyBorder="1">
      <alignment vertical="center"/>
    </xf>
    <xf numFmtId="167" fontId="10" fillId="5" borderId="20" xfId="0" applyNumberFormat="1" applyFont="1" applyFill="1" applyBorder="1">
      <alignment vertical="center"/>
    </xf>
    <xf numFmtId="167" fontId="10" fillId="5" borderId="19" xfId="0" applyNumberFormat="1" applyFont="1" applyFill="1" applyBorder="1">
      <alignment vertical="center"/>
    </xf>
    <xf numFmtId="167" fontId="16" fillId="5" borderId="5" xfId="0" applyNumberFormat="1" applyFont="1" applyFill="1" applyBorder="1" applyAlignment="1">
      <alignment horizontal="right" vertical="center" shrinkToFit="1"/>
    </xf>
    <xf numFmtId="167" fontId="16" fillId="5" borderId="7" xfId="0" applyNumberFormat="1" applyFont="1" applyFill="1" applyBorder="1" applyAlignment="1">
      <alignment horizontal="right" vertical="center" shrinkToFit="1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>
      <alignment vertical="center"/>
    </xf>
    <xf numFmtId="167" fontId="10" fillId="5" borderId="0" xfId="0" applyNumberFormat="1" applyFont="1" applyFill="1">
      <alignment vertical="center"/>
    </xf>
    <xf numFmtId="0" fontId="20" fillId="5" borderId="0" xfId="0" applyFont="1" applyFill="1">
      <alignment vertical="center"/>
    </xf>
    <xf numFmtId="0" fontId="16" fillId="5" borderId="13" xfId="0" quotePrefix="1" applyFont="1" applyFill="1" applyBorder="1" applyAlignment="1">
      <alignment horizontal="center" vertical="center"/>
    </xf>
    <xf numFmtId="170" fontId="16" fillId="5" borderId="5" xfId="0" applyNumberFormat="1" applyFont="1" applyFill="1" applyBorder="1" applyAlignment="1">
      <alignment horizontal="right" vertical="center" wrapText="1"/>
    </xf>
    <xf numFmtId="167" fontId="16" fillId="5" borderId="5" xfId="1" applyFont="1" applyFill="1" applyBorder="1" applyAlignment="1">
      <alignment horizontal="right" vertical="center" shrinkToFit="1"/>
    </xf>
    <xf numFmtId="167" fontId="16" fillId="5" borderId="7" xfId="1" applyFont="1" applyFill="1" applyBorder="1" applyAlignment="1">
      <alignment horizontal="right" vertical="center" shrinkToFit="1"/>
    </xf>
    <xf numFmtId="4" fontId="16" fillId="5" borderId="14" xfId="1" applyNumberFormat="1" applyFont="1" applyFill="1" applyBorder="1" applyAlignment="1">
      <alignment horizontal="right" vertical="center" shrinkToFit="1"/>
    </xf>
    <xf numFmtId="0" fontId="6" fillId="5" borderId="13" xfId="0" applyFont="1" applyFill="1" applyBorder="1" applyAlignment="1">
      <alignment horizontal="left" vertical="center"/>
    </xf>
    <xf numFmtId="3" fontId="6" fillId="5" borderId="0" xfId="0" applyNumberFormat="1" applyFont="1" applyFill="1" applyAlignment="1">
      <alignment horizontal="left" vertical="center" wrapText="1"/>
    </xf>
    <xf numFmtId="4" fontId="6" fillId="5" borderId="7" xfId="0" applyNumberFormat="1" applyFont="1" applyFill="1" applyBorder="1" applyAlignment="1">
      <alignment horizontal="right" vertical="center" shrinkToFit="1"/>
    </xf>
    <xf numFmtId="0" fontId="10" fillId="5" borderId="22" xfId="0" applyFont="1" applyFill="1" applyBorder="1" applyAlignment="1">
      <alignment horizontal="center" vertical="center"/>
    </xf>
    <xf numFmtId="168" fontId="16" fillId="5" borderId="5" xfId="0" applyNumberFormat="1" applyFont="1" applyFill="1" applyBorder="1" applyAlignment="1">
      <alignment horizontal="right" vertical="center"/>
    </xf>
    <xf numFmtId="170" fontId="6" fillId="5" borderId="5" xfId="0" applyNumberFormat="1" applyFont="1" applyFill="1" applyBorder="1" applyAlignment="1">
      <alignment horizontal="right" vertical="center"/>
    </xf>
    <xf numFmtId="0" fontId="6" fillId="8" borderId="5" xfId="0" applyFont="1" applyFill="1" applyBorder="1" applyAlignment="1">
      <alignment horizontal="left" vertical="center"/>
    </xf>
    <xf numFmtId="1" fontId="6" fillId="8" borderId="5" xfId="0" applyNumberFormat="1" applyFont="1" applyFill="1" applyBorder="1" applyAlignment="1">
      <alignment horizontal="left" vertical="center"/>
    </xf>
    <xf numFmtId="0" fontId="6" fillId="8" borderId="40" xfId="0" applyFont="1" applyFill="1" applyBorder="1" applyAlignment="1">
      <alignment horizontal="left" vertical="center"/>
    </xf>
    <xf numFmtId="1" fontId="5" fillId="8" borderId="5" xfId="0" applyNumberFormat="1" applyFont="1" applyFill="1" applyBorder="1" applyAlignment="1">
      <alignment horizontal="left" vertical="center"/>
    </xf>
    <xf numFmtId="175" fontId="6" fillId="8" borderId="5" xfId="0" applyNumberFormat="1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4" fontId="6" fillId="5" borderId="12" xfId="0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167" fontId="6" fillId="5" borderId="9" xfId="1" applyFont="1" applyFill="1" applyBorder="1" applyAlignment="1">
      <alignment horizontal="centerContinuous" vertical="center"/>
    </xf>
    <xf numFmtId="167" fontId="6" fillId="5" borderId="8" xfId="1" applyFont="1" applyFill="1" applyBorder="1" applyAlignment="1">
      <alignment horizontal="centerContinuous" vertical="center"/>
    </xf>
    <xf numFmtId="167" fontId="10" fillId="5" borderId="5" xfId="0" applyNumberFormat="1" applyFont="1" applyFill="1" applyBorder="1" applyAlignment="1">
      <alignment horizontal="left" vertical="center"/>
    </xf>
    <xf numFmtId="167" fontId="10" fillId="5" borderId="7" xfId="0" applyNumberFormat="1" applyFont="1" applyFill="1" applyBorder="1" applyAlignment="1">
      <alignment horizontal="left" vertical="center"/>
    </xf>
    <xf numFmtId="4" fontId="6" fillId="5" borderId="14" xfId="0" applyNumberFormat="1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5" borderId="28" xfId="0" applyFont="1" applyFill="1" applyBorder="1" applyAlignment="1">
      <alignment horizontal="center" vertical="top" wrapText="1"/>
    </xf>
    <xf numFmtId="0" fontId="10" fillId="5" borderId="28" xfId="0" applyFont="1" applyFill="1" applyBorder="1" applyAlignment="1">
      <alignment horizontal="center" wrapText="1"/>
    </xf>
    <xf numFmtId="170" fontId="10" fillId="5" borderId="28" xfId="0" applyNumberFormat="1" applyFont="1" applyFill="1" applyBorder="1" applyAlignment="1">
      <alignment horizontal="right" wrapText="1"/>
    </xf>
    <xf numFmtId="4" fontId="10" fillId="5" borderId="28" xfId="0" applyNumberFormat="1" applyFont="1" applyFill="1" applyBorder="1" applyAlignment="1">
      <alignment horizontal="right" vertical="top" shrinkToFit="1"/>
    </xf>
    <xf numFmtId="0" fontId="6" fillId="5" borderId="31" xfId="0" applyFont="1" applyFill="1" applyBorder="1" applyAlignment="1">
      <alignment horizontal="center" vertical="top" wrapText="1"/>
    </xf>
    <xf numFmtId="0" fontId="6" fillId="5" borderId="31" xfId="0" applyFont="1" applyFill="1" applyBorder="1" applyAlignment="1">
      <alignment horizontal="left" vertical="top" wrapText="1"/>
    </xf>
    <xf numFmtId="0" fontId="6" fillId="5" borderId="40" xfId="0" applyFont="1" applyFill="1" applyBorder="1" applyAlignment="1">
      <alignment horizontal="center" vertical="top" wrapText="1"/>
    </xf>
    <xf numFmtId="0" fontId="6" fillId="5" borderId="40" xfId="0" applyFont="1" applyFill="1" applyBorder="1" applyAlignment="1">
      <alignment horizontal="left" vertical="top" wrapText="1"/>
    </xf>
    <xf numFmtId="0" fontId="10" fillId="5" borderId="40" xfId="0" applyFont="1" applyFill="1" applyBorder="1" applyAlignment="1">
      <alignment horizontal="center" wrapText="1"/>
    </xf>
    <xf numFmtId="170" fontId="10" fillId="5" borderId="40" xfId="0" applyNumberFormat="1" applyFont="1" applyFill="1" applyBorder="1" applyAlignment="1">
      <alignment horizontal="right" wrapText="1"/>
    </xf>
    <xf numFmtId="4" fontId="10" fillId="5" borderId="40" xfId="0" applyNumberFormat="1" applyFont="1" applyFill="1" applyBorder="1" applyAlignment="1">
      <alignment horizontal="right" vertical="top" shrinkToFit="1"/>
    </xf>
    <xf numFmtId="0" fontId="6" fillId="5" borderId="40" xfId="0" applyFont="1" applyFill="1" applyBorder="1" applyAlignment="1">
      <alignment horizontal="centerContinuous" vertical="center"/>
    </xf>
    <xf numFmtId="0" fontId="45" fillId="0" borderId="0" xfId="4" applyFont="1"/>
    <xf numFmtId="0" fontId="46" fillId="0" borderId="0" xfId="4" applyFont="1"/>
    <xf numFmtId="0" fontId="45" fillId="0" borderId="0" xfId="4" applyFont="1" applyAlignment="1">
      <alignment horizontal="center" vertical="top" wrapText="1"/>
    </xf>
    <xf numFmtId="0" fontId="46" fillId="0" borderId="0" xfId="4" applyFont="1" applyAlignment="1">
      <alignment horizontal="center" vertical="top" wrapText="1"/>
    </xf>
    <xf numFmtId="0" fontId="46" fillId="0" borderId="0" xfId="4" applyFont="1" applyAlignment="1">
      <alignment vertical="top" wrapText="1"/>
    </xf>
    <xf numFmtId="3" fontId="46" fillId="0" borderId="0" xfId="4" applyNumberFormat="1" applyFont="1" applyAlignment="1">
      <alignment horizontal="center" vertical="top" wrapText="1"/>
    </xf>
    <xf numFmtId="0" fontId="45" fillId="0" borderId="5" xfId="4" applyFont="1" applyBorder="1" applyAlignment="1">
      <alignment vertical="top" wrapText="1"/>
    </xf>
    <xf numFmtId="0" fontId="45" fillId="0" borderId="5" xfId="4" applyFont="1" applyBorder="1" applyAlignment="1">
      <alignment horizontal="center" vertical="top" wrapText="1"/>
    </xf>
    <xf numFmtId="0" fontId="46" fillId="0" borderId="5" xfId="4" applyFont="1" applyBorder="1" applyAlignment="1">
      <alignment vertical="top" wrapText="1"/>
    </xf>
    <xf numFmtId="0" fontId="46" fillId="0" borderId="5" xfId="4" applyFont="1" applyBorder="1" applyAlignment="1">
      <alignment horizontal="center" vertical="top" wrapText="1"/>
    </xf>
    <xf numFmtId="3" fontId="46" fillId="0" borderId="5" xfId="4" applyNumberFormat="1" applyFont="1" applyBorder="1" applyAlignment="1">
      <alignment horizontal="center" vertical="top" wrapText="1"/>
    </xf>
    <xf numFmtId="0" fontId="48" fillId="0" borderId="0" xfId="5" applyFont="1" applyAlignment="1" applyProtection="1"/>
    <xf numFmtId="0" fontId="48" fillId="0" borderId="0" xfId="5" applyFont="1" applyAlignment="1" applyProtection="1">
      <alignment horizontal="center"/>
    </xf>
    <xf numFmtId="0" fontId="49" fillId="0" borderId="0" xfId="6" applyFont="1" applyAlignment="1">
      <alignment horizontal="center"/>
    </xf>
    <xf numFmtId="0" fontId="50" fillId="0" borderId="0" xfId="6" applyFont="1"/>
    <xf numFmtId="0" fontId="51" fillId="0" borderId="0" xfId="4" applyFont="1"/>
    <xf numFmtId="0" fontId="52" fillId="0" borderId="0" xfId="7" applyFont="1" applyAlignment="1">
      <alignment horizontal="left" vertical="center"/>
    </xf>
    <xf numFmtId="0" fontId="51" fillId="0" borderId="0" xfId="4" applyFont="1" applyAlignment="1">
      <alignment horizontal="center"/>
    </xf>
    <xf numFmtId="0" fontId="52" fillId="0" borderId="0" xfId="8" applyFont="1" applyAlignment="1">
      <alignment horizontal="right" vertical="center"/>
    </xf>
    <xf numFmtId="0" fontId="52" fillId="0" borderId="0" xfId="9" applyNumberFormat="1" applyFont="1" applyFill="1" applyAlignment="1">
      <alignment vertical="center"/>
    </xf>
    <xf numFmtId="0" fontId="50" fillId="0" borderId="0" xfId="4" applyFont="1"/>
    <xf numFmtId="0" fontId="52" fillId="0" borderId="0" xfId="9" applyNumberFormat="1" applyFont="1" applyFill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0" fillId="0" borderId="0" xfId="4" applyFont="1" applyAlignment="1">
      <alignment horizontal="right"/>
    </xf>
    <xf numFmtId="0" fontId="49" fillId="0" borderId="0" xfId="4" applyFont="1" applyAlignment="1">
      <alignment horizontal="justify" vertical="justify"/>
    </xf>
    <xf numFmtId="0" fontId="50" fillId="0" borderId="0" xfId="6" applyFont="1" applyAlignment="1">
      <alignment horizontal="center"/>
    </xf>
    <xf numFmtId="177" fontId="50" fillId="0" borderId="0" xfId="9" applyNumberFormat="1" applyFont="1" applyFill="1"/>
    <xf numFmtId="0" fontId="50" fillId="0" borderId="122" xfId="6" applyFont="1" applyBorder="1" applyAlignment="1">
      <alignment horizontal="center" vertical="center"/>
    </xf>
    <xf numFmtId="0" fontId="50" fillId="0" borderId="0" xfId="6" applyFont="1" applyAlignment="1">
      <alignment vertical="center"/>
    </xf>
    <xf numFmtId="0" fontId="49" fillId="0" borderId="34" xfId="6" applyFont="1" applyBorder="1" applyAlignment="1">
      <alignment horizontal="center" vertical="center"/>
    </xf>
    <xf numFmtId="0" fontId="49" fillId="0" borderId="3" xfId="6" applyFont="1" applyBorder="1" applyAlignment="1">
      <alignment horizontal="center" vertical="center"/>
    </xf>
    <xf numFmtId="177" fontId="49" fillId="0" borderId="3" xfId="9" applyNumberFormat="1" applyFont="1" applyFill="1" applyBorder="1" applyAlignment="1">
      <alignment horizontal="center" vertical="center"/>
    </xf>
    <xf numFmtId="0" fontId="49" fillId="0" borderId="87" xfId="6" applyFont="1" applyBorder="1" applyAlignment="1">
      <alignment horizontal="center" vertical="center"/>
    </xf>
    <xf numFmtId="0" fontId="50" fillId="5" borderId="95" xfId="4" applyFont="1" applyFill="1" applyBorder="1" applyAlignment="1">
      <alignment horizontal="center"/>
    </xf>
    <xf numFmtId="0" fontId="50" fillId="5" borderId="0" xfId="4" applyFont="1" applyFill="1"/>
    <xf numFmtId="0" fontId="50" fillId="5" borderId="49" xfId="4" applyFont="1" applyFill="1" applyBorder="1"/>
    <xf numFmtId="0" fontId="50" fillId="5" borderId="4" xfId="4" applyFont="1" applyFill="1" applyBorder="1"/>
    <xf numFmtId="0" fontId="50" fillId="5" borderId="125" xfId="4" applyFont="1" applyFill="1" applyBorder="1"/>
    <xf numFmtId="177" fontId="50" fillId="0" borderId="126" xfId="9" applyNumberFormat="1" applyFont="1" applyFill="1" applyBorder="1"/>
    <xf numFmtId="0" fontId="50" fillId="0" borderId="96" xfId="6" applyFont="1" applyBorder="1"/>
    <xf numFmtId="0" fontId="50" fillId="9" borderId="127" xfId="6" applyFont="1" applyFill="1" applyBorder="1" applyAlignment="1">
      <alignment horizontal="center"/>
    </xf>
    <xf numFmtId="0" fontId="54" fillId="9" borderId="128" xfId="10" applyFont="1" applyFill="1" applyBorder="1" applyAlignment="1">
      <alignment horizontal="left"/>
    </xf>
    <xf numFmtId="43" fontId="50" fillId="9" borderId="129" xfId="11" applyFont="1" applyFill="1" applyBorder="1"/>
    <xf numFmtId="43" fontId="50" fillId="9" borderId="128" xfId="11" applyFont="1" applyFill="1" applyBorder="1"/>
    <xf numFmtId="43" fontId="50" fillId="9" borderId="130" xfId="11" applyFont="1" applyFill="1" applyBorder="1"/>
    <xf numFmtId="0" fontId="50" fillId="9" borderId="131" xfId="6" applyFont="1" applyFill="1" applyBorder="1"/>
    <xf numFmtId="177" fontId="50" fillId="9" borderId="131" xfId="9" applyNumberFormat="1" applyFont="1" applyFill="1" applyBorder="1"/>
    <xf numFmtId="0" fontId="50" fillId="9" borderId="132" xfId="6" applyFont="1" applyFill="1" applyBorder="1"/>
    <xf numFmtId="0" fontId="49" fillId="0" borderId="97" xfId="6" applyFont="1" applyBorder="1" applyAlignment="1">
      <alignment horizontal="center"/>
    </xf>
    <xf numFmtId="0" fontId="49" fillId="0" borderId="119" xfId="6" applyFont="1" applyBorder="1"/>
    <xf numFmtId="0" fontId="50" fillId="0" borderId="49" xfId="6" applyFont="1" applyBorder="1"/>
    <xf numFmtId="0" fontId="50" fillId="0" borderId="4" xfId="6" applyFont="1" applyBorder="1"/>
    <xf numFmtId="0" fontId="50" fillId="0" borderId="125" xfId="6" applyFont="1" applyBorder="1"/>
    <xf numFmtId="177" fontId="50" fillId="0" borderId="0" xfId="9" applyNumberFormat="1" applyFont="1" applyFill="1" applyBorder="1"/>
    <xf numFmtId="0" fontId="50" fillId="0" borderId="95" xfId="6" applyFont="1" applyBorder="1" applyAlignment="1">
      <alignment vertical="center"/>
    </xf>
    <xf numFmtId="0" fontId="50" fillId="0" borderId="49" xfId="6" applyFont="1" applyBorder="1" applyAlignment="1">
      <alignment horizontal="center" vertical="center"/>
    </xf>
    <xf numFmtId="0" fontId="50" fillId="0" borderId="4" xfId="6" applyFont="1" applyBorder="1" applyAlignment="1">
      <alignment horizontal="center" vertical="center"/>
    </xf>
    <xf numFmtId="0" fontId="50" fillId="0" borderId="125" xfId="6" applyFont="1" applyBorder="1" applyAlignment="1">
      <alignment horizontal="center" vertical="center"/>
    </xf>
    <xf numFmtId="0" fontId="50" fillId="0" borderId="0" xfId="6" applyFont="1" applyAlignment="1">
      <alignment horizontal="center" vertical="center"/>
    </xf>
    <xf numFmtId="0" fontId="50" fillId="0" borderId="0" xfId="6" quotePrefix="1" applyFont="1" applyAlignment="1">
      <alignment horizontal="center" vertical="center"/>
    </xf>
    <xf numFmtId="177" fontId="50" fillId="0" borderId="0" xfId="9" applyNumberFormat="1" applyFont="1" applyFill="1" applyBorder="1" applyAlignment="1">
      <alignment horizontal="center" vertical="center"/>
    </xf>
    <xf numFmtId="0" fontId="50" fillId="0" borderId="96" xfId="6" applyFont="1" applyBorder="1" applyAlignment="1">
      <alignment vertical="center"/>
    </xf>
    <xf numFmtId="0" fontId="50" fillId="0" borderId="133" xfId="6" applyFont="1" applyBorder="1"/>
    <xf numFmtId="0" fontId="50" fillId="0" borderId="126" xfId="6" applyFont="1" applyBorder="1"/>
    <xf numFmtId="0" fontId="50" fillId="0" borderId="134" xfId="6" applyFont="1" applyBorder="1"/>
    <xf numFmtId="0" fontId="50" fillId="0" borderId="123" xfId="6" applyFont="1" applyBorder="1"/>
    <xf numFmtId="0" fontId="50" fillId="0" borderId="124" xfId="6" applyFont="1" applyBorder="1"/>
    <xf numFmtId="0" fontId="50" fillId="0" borderId="135" xfId="6" applyFont="1" applyBorder="1"/>
    <xf numFmtId="0" fontId="49" fillId="0" borderId="117" xfId="6" applyFont="1" applyBorder="1" applyAlignment="1">
      <alignment horizontal="center"/>
    </xf>
    <xf numFmtId="0" fontId="54" fillId="5" borderId="136" xfId="10" applyFont="1" applyFill="1" applyBorder="1" applyAlignment="1">
      <alignment horizontal="left" vertical="center"/>
    </xf>
    <xf numFmtId="0" fontId="50" fillId="0" borderId="119" xfId="6" applyFont="1" applyBorder="1"/>
    <xf numFmtId="0" fontId="50" fillId="0" borderId="118" xfId="6" applyFont="1" applyBorder="1"/>
    <xf numFmtId="0" fontId="50" fillId="0" borderId="120" xfId="6" applyFont="1" applyBorder="1"/>
    <xf numFmtId="0" fontId="50" fillId="0" borderId="121" xfId="6" applyFont="1" applyBorder="1"/>
    <xf numFmtId="177" fontId="50" fillId="0" borderId="121" xfId="9" applyNumberFormat="1" applyFont="1" applyFill="1" applyBorder="1"/>
    <xf numFmtId="0" fontId="50" fillId="0" borderId="122" xfId="6" applyFont="1" applyBorder="1"/>
    <xf numFmtId="0" fontId="50" fillId="0" borderId="0" xfId="9" applyNumberFormat="1" applyFont="1" applyFill="1" applyBorder="1" applyAlignment="1">
      <alignment horizontal="center" vertical="center"/>
    </xf>
    <xf numFmtId="0" fontId="50" fillId="0" borderId="0" xfId="6" quotePrefix="1" applyFont="1" applyAlignment="1">
      <alignment vertical="center"/>
    </xf>
    <xf numFmtId="177" fontId="50" fillId="0" borderId="0" xfId="9" applyNumberFormat="1" applyFont="1" applyFill="1" applyBorder="1" applyAlignment="1">
      <alignment vertical="center"/>
    </xf>
    <xf numFmtId="0" fontId="54" fillId="5" borderId="137" xfId="10" applyFont="1" applyFill="1" applyBorder="1" applyAlignment="1">
      <alignment horizontal="center" vertical="center"/>
    </xf>
    <xf numFmtId="0" fontId="54" fillId="5" borderId="118" xfId="10" applyFont="1" applyFill="1" applyBorder="1" applyAlignment="1">
      <alignment horizontal="left" vertical="center"/>
    </xf>
    <xf numFmtId="0" fontId="55" fillId="5" borderId="97" xfId="10" applyFont="1" applyFill="1" applyBorder="1" applyAlignment="1">
      <alignment horizontal="right" vertical="center"/>
    </xf>
    <xf numFmtId="0" fontId="55" fillId="5" borderId="4" xfId="10" applyFont="1" applyFill="1" applyBorder="1" applyAlignment="1">
      <alignment horizontal="left" vertical="center"/>
    </xf>
    <xf numFmtId="0" fontId="50" fillId="0" borderId="49" xfId="6" applyFont="1" applyBorder="1" applyAlignment="1">
      <alignment horizontal="center"/>
    </xf>
    <xf numFmtId="0" fontId="50" fillId="0" borderId="4" xfId="6" applyFont="1" applyBorder="1" applyAlignment="1">
      <alignment horizontal="center"/>
    </xf>
    <xf numFmtId="0" fontId="50" fillId="0" borderId="125" xfId="6" applyFont="1" applyBorder="1" applyAlignment="1">
      <alignment horizontal="center"/>
    </xf>
    <xf numFmtId="0" fontId="50" fillId="0" borderId="0" xfId="6" quotePrefix="1" applyFont="1"/>
    <xf numFmtId="0" fontId="55" fillId="5" borderId="4" xfId="10" applyFont="1" applyFill="1" applyBorder="1" applyAlignment="1">
      <alignment vertical="center"/>
    </xf>
    <xf numFmtId="0" fontId="50" fillId="0" borderId="138" xfId="6" applyFont="1" applyBorder="1"/>
    <xf numFmtId="0" fontId="54" fillId="5" borderId="137" xfId="10" applyFont="1" applyFill="1" applyBorder="1" applyAlignment="1">
      <alignment horizontal="center"/>
    </xf>
    <xf numFmtId="0" fontId="54" fillId="5" borderId="118" xfId="10" applyFont="1" applyFill="1" applyBorder="1"/>
    <xf numFmtId="0" fontId="54" fillId="5" borderId="119" xfId="10" applyFont="1" applyFill="1" applyBorder="1"/>
    <xf numFmtId="0" fontId="54" fillId="5" borderId="120" xfId="10" applyFont="1" applyFill="1" applyBorder="1"/>
    <xf numFmtId="0" fontId="54" fillId="5" borderId="121" xfId="10" applyFont="1" applyFill="1" applyBorder="1"/>
    <xf numFmtId="43" fontId="50" fillId="5" borderId="0" xfId="12" applyFont="1" applyFill="1" applyBorder="1" applyAlignment="1">
      <alignment vertical="center"/>
    </xf>
    <xf numFmtId="186" fontId="50" fillId="0" borderId="0" xfId="13" applyNumberFormat="1" applyFont="1" applyFill="1" applyBorder="1" applyAlignment="1">
      <alignment vertical="center"/>
    </xf>
    <xf numFmtId="0" fontId="56" fillId="0" borderId="0" xfId="6" applyFont="1"/>
    <xf numFmtId="177" fontId="49" fillId="0" borderId="0" xfId="9" applyNumberFormat="1" applyFont="1" applyFill="1" applyBorder="1" applyAlignment="1">
      <alignment horizontal="center"/>
    </xf>
    <xf numFmtId="0" fontId="50" fillId="0" borderId="4" xfId="14" applyFont="1" applyBorder="1" applyAlignment="1">
      <alignment vertical="center"/>
    </xf>
    <xf numFmtId="43" fontId="57" fillId="0" borderId="0" xfId="6" applyNumberFormat="1" applyFont="1"/>
    <xf numFmtId="0" fontId="57" fillId="0" borderId="0" xfId="6" applyFont="1"/>
    <xf numFmtId="177" fontId="57" fillId="0" borderId="0" xfId="9" applyNumberFormat="1" applyFont="1" applyFill="1" applyBorder="1"/>
    <xf numFmtId="166" fontId="50" fillId="0" borderId="0" xfId="6" applyNumberFormat="1" applyFont="1"/>
    <xf numFmtId="0" fontId="56" fillId="0" borderId="4" xfId="6" applyFont="1" applyBorder="1"/>
    <xf numFmtId="0" fontId="50" fillId="0" borderId="4" xfId="14" applyFont="1" applyBorder="1" applyAlignment="1">
      <alignment horizontal="left" vertical="center"/>
    </xf>
    <xf numFmtId="0" fontId="57" fillId="0" borderId="0" xfId="6" applyFont="1" applyAlignment="1">
      <alignment horizontal="center"/>
    </xf>
    <xf numFmtId="177" fontId="57" fillId="0" borderId="0" xfId="9" applyNumberFormat="1" applyFont="1" applyFill="1" applyBorder="1" applyAlignment="1">
      <alignment horizontal="center"/>
    </xf>
    <xf numFmtId="0" fontId="49" fillId="0" borderId="4" xfId="14" applyFont="1" applyBorder="1" applyAlignment="1">
      <alignment horizontal="left" vertical="center"/>
    </xf>
    <xf numFmtId="177" fontId="58" fillId="0" borderId="0" xfId="9" applyNumberFormat="1" applyFont="1" applyFill="1" applyBorder="1"/>
    <xf numFmtId="0" fontId="55" fillId="5" borderId="49" xfId="10" applyFont="1" applyFill="1" applyBorder="1" applyAlignment="1">
      <alignment horizontal="center" vertical="center"/>
    </xf>
    <xf numFmtId="0" fontId="55" fillId="5" borderId="4" xfId="10" applyFont="1" applyFill="1" applyBorder="1" applyAlignment="1">
      <alignment horizontal="center" vertical="center"/>
    </xf>
    <xf numFmtId="0" fontId="55" fillId="5" borderId="125" xfId="10" applyFont="1" applyFill="1" applyBorder="1" applyAlignment="1">
      <alignment horizontal="center" vertical="center"/>
    </xf>
    <xf numFmtId="0" fontId="55" fillId="5" borderId="0" xfId="10" applyFont="1" applyFill="1" applyAlignment="1">
      <alignment horizontal="center" vertical="center"/>
    </xf>
    <xf numFmtId="177" fontId="49" fillId="0" borderId="0" xfId="9" applyNumberFormat="1" applyFont="1" applyFill="1" applyBorder="1" applyAlignment="1">
      <alignment vertical="center"/>
    </xf>
    <xf numFmtId="177" fontId="50" fillId="0" borderId="0" xfId="9" applyNumberFormat="1" applyFont="1" applyFill="1" applyBorder="1" applyAlignment="1">
      <alignment horizontal="center"/>
    </xf>
    <xf numFmtId="0" fontId="57" fillId="0" borderId="4" xfId="6" applyFont="1" applyBorder="1"/>
    <xf numFmtId="0" fontId="55" fillId="5" borderId="139" xfId="10" applyFont="1" applyFill="1" applyBorder="1" applyAlignment="1">
      <alignment horizontal="right" vertical="center"/>
    </xf>
    <xf numFmtId="0" fontId="50" fillId="0" borderId="99" xfId="14" applyFont="1" applyBorder="1" applyAlignment="1">
      <alignment horizontal="left" vertical="center"/>
    </xf>
    <xf numFmtId="0" fontId="50" fillId="0" borderId="65" xfId="6" applyFont="1" applyBorder="1" applyAlignment="1">
      <alignment horizontal="center"/>
    </xf>
    <xf numFmtId="0" fontId="50" fillId="0" borderId="99" xfId="6" applyFont="1" applyBorder="1" applyAlignment="1">
      <alignment horizontal="center"/>
    </xf>
    <xf numFmtId="0" fontId="50" fillId="0" borderId="140" xfId="6" applyFont="1" applyBorder="1" applyAlignment="1">
      <alignment horizontal="center"/>
    </xf>
    <xf numFmtId="0" fontId="50" fillId="0" borderId="66" xfId="6" applyFont="1" applyBorder="1" applyAlignment="1">
      <alignment horizontal="center"/>
    </xf>
    <xf numFmtId="177" fontId="49" fillId="0" borderId="66" xfId="9" applyNumberFormat="1" applyFont="1" applyFill="1" applyBorder="1" applyAlignment="1">
      <alignment vertical="center"/>
    </xf>
    <xf numFmtId="0" fontId="50" fillId="0" borderId="100" xfId="6" applyFont="1" applyBorder="1"/>
    <xf numFmtId="0" fontId="55" fillId="5" borderId="138" xfId="10" applyFont="1" applyFill="1" applyBorder="1" applyAlignment="1">
      <alignment horizontal="right" vertical="center"/>
    </xf>
    <xf numFmtId="0" fontId="50" fillId="0" borderId="134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50" fillId="0" borderId="124" xfId="6" applyFont="1" applyBorder="1" applyAlignment="1">
      <alignment horizontal="center"/>
    </xf>
    <xf numFmtId="0" fontId="50" fillId="0" borderId="126" xfId="6" applyFont="1" applyBorder="1" applyAlignment="1">
      <alignment horizontal="center"/>
    </xf>
    <xf numFmtId="0" fontId="55" fillId="5" borderId="141" xfId="10" applyFont="1" applyFill="1" applyBorder="1" applyAlignment="1">
      <alignment vertical="center"/>
    </xf>
    <xf numFmtId="41" fontId="50" fillId="0" borderId="0" xfId="9" applyFont="1" applyFill="1"/>
    <xf numFmtId="0" fontId="54" fillId="5" borderId="97" xfId="10" applyFont="1" applyFill="1" applyBorder="1" applyAlignment="1">
      <alignment horizontal="center"/>
    </xf>
    <xf numFmtId="0" fontId="54" fillId="5" borderId="4" xfId="10" applyFont="1" applyFill="1" applyBorder="1"/>
    <xf numFmtId="0" fontId="55" fillId="5" borderId="4" xfId="7" applyFont="1" applyFill="1" applyBorder="1" applyAlignment="1">
      <alignment vertical="center"/>
    </xf>
    <xf numFmtId="166" fontId="50" fillId="0" borderId="0" xfId="6" applyNumberFormat="1" applyFont="1" applyAlignment="1">
      <alignment vertical="center"/>
    </xf>
    <xf numFmtId="0" fontId="54" fillId="5" borderId="118" xfId="10" applyFont="1" applyFill="1" applyBorder="1" applyAlignment="1">
      <alignment horizontal="left"/>
    </xf>
    <xf numFmtId="177" fontId="50" fillId="0" borderId="0" xfId="6" applyNumberFormat="1" applyFont="1" applyAlignment="1">
      <alignment horizontal="center"/>
    </xf>
    <xf numFmtId="0" fontId="50" fillId="0" borderId="0" xfId="6" quotePrefix="1" applyFont="1" applyAlignment="1">
      <alignment horizontal="center"/>
    </xf>
    <xf numFmtId="43" fontId="55" fillId="5" borderId="0" xfId="12" applyFont="1" applyFill="1" applyBorder="1" applyAlignment="1">
      <alignment vertical="center"/>
    </xf>
    <xf numFmtId="0" fontId="55" fillId="5" borderId="97" xfId="10" applyFont="1" applyFill="1" applyBorder="1" applyAlignment="1">
      <alignment horizontal="center" vertical="center"/>
    </xf>
    <xf numFmtId="0" fontId="55" fillId="5" borderId="97" xfId="10" applyFont="1" applyFill="1" applyBorder="1" applyAlignment="1">
      <alignment horizontal="center"/>
    </xf>
    <xf numFmtId="0" fontId="55" fillId="5" borderId="4" xfId="7" applyFont="1" applyFill="1" applyBorder="1" applyAlignment="1">
      <alignment horizontal="left" vertical="center" indent="2"/>
    </xf>
    <xf numFmtId="0" fontId="55" fillId="5" borderId="99" xfId="7" applyFont="1" applyFill="1" applyBorder="1" applyAlignment="1">
      <alignment horizontal="left" vertical="center" indent="2"/>
    </xf>
    <xf numFmtId="0" fontId="50" fillId="0" borderId="66" xfId="6" quotePrefix="1" applyFont="1" applyBorder="1"/>
    <xf numFmtId="177" fontId="50" fillId="0" borderId="66" xfId="9" applyNumberFormat="1" applyFont="1" applyFill="1" applyBorder="1"/>
    <xf numFmtId="0" fontId="55" fillId="5" borderId="123" xfId="7" applyFont="1" applyFill="1" applyBorder="1" applyAlignment="1">
      <alignment vertical="center"/>
    </xf>
    <xf numFmtId="0" fontId="50" fillId="0" borderId="126" xfId="6" quotePrefix="1" applyFont="1" applyBorder="1"/>
    <xf numFmtId="0" fontId="49" fillId="5" borderId="137" xfId="4" applyFont="1" applyFill="1" applyBorder="1" applyAlignment="1">
      <alignment horizontal="center" vertical="center"/>
    </xf>
    <xf numFmtId="0" fontId="49" fillId="5" borderId="118" xfId="4" applyFont="1" applyFill="1" applyBorder="1" applyAlignment="1">
      <alignment vertical="center"/>
    </xf>
    <xf numFmtId="0" fontId="50" fillId="0" borderId="119" xfId="6" applyFont="1" applyBorder="1" applyAlignment="1">
      <alignment horizontal="center"/>
    </xf>
    <xf numFmtId="0" fontId="50" fillId="0" borderId="121" xfId="6" applyFont="1" applyBorder="1" applyAlignment="1">
      <alignment horizontal="center"/>
    </xf>
    <xf numFmtId="0" fontId="50" fillId="0" borderId="120" xfId="6" applyFont="1" applyBorder="1" applyAlignment="1">
      <alignment horizontal="center"/>
    </xf>
    <xf numFmtId="0" fontId="50" fillId="0" borderId="97" xfId="4" applyFont="1" applyBorder="1" applyAlignment="1">
      <alignment horizontal="center"/>
    </xf>
    <xf numFmtId="0" fontId="50" fillId="0" borderId="4" xfId="7" applyFont="1" applyBorder="1" applyAlignment="1">
      <alignment vertical="center"/>
    </xf>
    <xf numFmtId="0" fontId="50" fillId="0" borderId="0" xfId="4" applyFont="1" applyAlignment="1">
      <alignment horizontal="center"/>
    </xf>
    <xf numFmtId="0" fontId="50" fillId="0" borderId="49" xfId="7" applyFont="1" applyBorder="1" applyAlignment="1">
      <alignment vertical="center"/>
    </xf>
    <xf numFmtId="43" fontId="50" fillId="0" borderId="49" xfId="11" applyFont="1" applyBorder="1" applyAlignment="1">
      <alignment horizontal="center"/>
    </xf>
    <xf numFmtId="43" fontId="50" fillId="0" borderId="0" xfId="11" applyFont="1" applyAlignment="1">
      <alignment horizontal="center"/>
    </xf>
    <xf numFmtId="43" fontId="50" fillId="0" borderId="125" xfId="11" applyFont="1" applyBorder="1" applyAlignment="1">
      <alignment horizontal="center"/>
    </xf>
    <xf numFmtId="0" fontId="58" fillId="0" borderId="0" xfId="4" applyFont="1" applyAlignment="1">
      <alignment horizontal="center"/>
    </xf>
    <xf numFmtId="0" fontId="57" fillId="0" borderId="0" xfId="4" applyFont="1" applyAlignment="1">
      <alignment horizontal="center"/>
    </xf>
    <xf numFmtId="0" fontId="59" fillId="0" borderId="0" xfId="4" applyFont="1" applyAlignment="1">
      <alignment horizontal="center"/>
    </xf>
    <xf numFmtId="0" fontId="60" fillId="0" borderId="0" xfId="4" applyFont="1" applyAlignment="1">
      <alignment horizontal="center"/>
    </xf>
    <xf numFmtId="0" fontId="50" fillId="0" borderId="0" xfId="7" applyFont="1" applyAlignment="1">
      <alignment vertical="center"/>
    </xf>
    <xf numFmtId="0" fontId="0" fillId="8" borderId="0" xfId="0" applyFill="1">
      <alignment vertical="center"/>
    </xf>
    <xf numFmtId="0" fontId="61" fillId="0" borderId="40" xfId="0" applyFont="1" applyBorder="1" applyAlignment="1">
      <alignment horizontal="center" vertical="center"/>
    </xf>
    <xf numFmtId="0" fontId="61" fillId="0" borderId="40" xfId="0" applyFont="1" applyBorder="1" applyAlignment="1">
      <alignment horizontal="center" vertical="center" wrapText="1"/>
    </xf>
    <xf numFmtId="0" fontId="61" fillId="0" borderId="64" xfId="0" applyFont="1" applyBorder="1" applyAlignment="1">
      <alignment horizontal="center" vertical="center"/>
    </xf>
    <xf numFmtId="0" fontId="61" fillId="0" borderId="64" xfId="0" applyFont="1" applyBorder="1">
      <alignment vertical="center"/>
    </xf>
    <xf numFmtId="0" fontId="62" fillId="0" borderId="49" xfId="0" applyFont="1" applyBorder="1">
      <alignment vertical="center"/>
    </xf>
    <xf numFmtId="0" fontId="62" fillId="0" borderId="49" xfId="0" applyFont="1" applyBorder="1" applyAlignment="1">
      <alignment horizontal="center" vertical="center"/>
    </xf>
    <xf numFmtId="187" fontId="62" fillId="0" borderId="49" xfId="2" applyNumberFormat="1" applyFont="1" applyBorder="1" applyAlignment="1">
      <alignment vertical="center"/>
    </xf>
    <xf numFmtId="188" fontId="62" fillId="0" borderId="49" xfId="3" applyNumberFormat="1" applyFont="1" applyBorder="1" applyAlignment="1">
      <alignment horizontal="left" vertical="center"/>
    </xf>
    <xf numFmtId="189" fontId="62" fillId="0" borderId="49" xfId="2" applyNumberFormat="1" applyFont="1" applyBorder="1" applyAlignment="1">
      <alignment vertical="center"/>
    </xf>
    <xf numFmtId="0" fontId="62" fillId="0" borderId="65" xfId="0" applyFont="1" applyBorder="1">
      <alignment vertical="center"/>
    </xf>
    <xf numFmtId="0" fontId="62" fillId="0" borderId="65" xfId="0" applyFont="1" applyBorder="1" applyAlignment="1">
      <alignment horizontal="center" vertical="center"/>
    </xf>
    <xf numFmtId="189" fontId="62" fillId="0" borderId="65" xfId="2" applyNumberFormat="1" applyFont="1" applyBorder="1" applyAlignment="1">
      <alignment vertical="center"/>
    </xf>
    <xf numFmtId="188" fontId="62" fillId="0" borderId="65" xfId="3" applyNumberFormat="1" applyFont="1" applyBorder="1" applyAlignment="1">
      <alignment horizontal="left" vertical="center"/>
    </xf>
    <xf numFmtId="0" fontId="61" fillId="0" borderId="34" xfId="0" applyFont="1" applyBorder="1">
      <alignment vertical="center"/>
    </xf>
    <xf numFmtId="0" fontId="61" fillId="0" borderId="3" xfId="0" applyFont="1" applyBorder="1">
      <alignment vertical="center"/>
    </xf>
    <xf numFmtId="0" fontId="61" fillId="0" borderId="35" xfId="0" applyFont="1" applyBorder="1" applyAlignment="1">
      <alignment horizontal="right" vertical="center"/>
    </xf>
    <xf numFmtId="188" fontId="61" fillId="0" borderId="40" xfId="3" applyNumberFormat="1" applyFont="1" applyBorder="1" applyAlignment="1">
      <alignment vertical="center"/>
    </xf>
    <xf numFmtId="0" fontId="62" fillId="0" borderId="64" xfId="0" applyFont="1" applyBorder="1">
      <alignment vertical="center"/>
    </xf>
    <xf numFmtId="0" fontId="61" fillId="0" borderId="64" xfId="0" applyFont="1" applyBorder="1" applyAlignment="1">
      <alignment horizontal="right" vertical="center"/>
    </xf>
    <xf numFmtId="0" fontId="61" fillId="0" borderId="49" xfId="0" applyFont="1" applyBorder="1">
      <alignment vertical="center"/>
    </xf>
    <xf numFmtId="190" fontId="62" fillId="0" borderId="49" xfId="2" applyNumberFormat="1" applyFont="1" applyBorder="1" applyAlignment="1">
      <alignment vertical="center"/>
    </xf>
    <xf numFmtId="0" fontId="62" fillId="0" borderId="49" xfId="2" applyNumberFormat="1" applyFont="1" applyBorder="1" applyAlignment="1">
      <alignment vertical="center"/>
    </xf>
    <xf numFmtId="0" fontId="62" fillId="0" borderId="64" xfId="0" applyFont="1" applyBorder="1" applyAlignment="1">
      <alignment horizontal="right" vertical="center"/>
    </xf>
    <xf numFmtId="0" fontId="61" fillId="0" borderId="65" xfId="0" applyFont="1" applyBorder="1" applyAlignment="1">
      <alignment horizontal="center" vertical="center"/>
    </xf>
    <xf numFmtId="0" fontId="61" fillId="0" borderId="65" xfId="0" applyFont="1" applyBorder="1">
      <alignment vertical="center"/>
    </xf>
    <xf numFmtId="0" fontId="62" fillId="0" borderId="65" xfId="0" applyFont="1" applyBorder="1" applyAlignment="1">
      <alignment horizontal="right" vertical="center"/>
    </xf>
    <xf numFmtId="0" fontId="61" fillId="0" borderId="34" xfId="0" applyFont="1" applyBorder="1" applyAlignment="1">
      <alignment horizontal="center" vertical="center"/>
    </xf>
    <xf numFmtId="0" fontId="62" fillId="0" borderId="3" xfId="0" applyFont="1" applyBorder="1">
      <alignment vertical="center"/>
    </xf>
    <xf numFmtId="0" fontId="62" fillId="0" borderId="35" xfId="0" applyFont="1" applyBorder="1">
      <alignment vertical="center"/>
    </xf>
    <xf numFmtId="188" fontId="61" fillId="0" borderId="40" xfId="0" applyNumberFormat="1" applyFont="1" applyBorder="1">
      <alignment vertical="center"/>
    </xf>
    <xf numFmtId="9" fontId="0" fillId="0" borderId="0" xfId="0" applyNumberFormat="1">
      <alignment vertical="center"/>
    </xf>
    <xf numFmtId="188" fontId="0" fillId="0" borderId="0" xfId="0" applyNumberFormat="1">
      <alignment vertical="center"/>
    </xf>
    <xf numFmtId="0" fontId="10" fillId="5" borderId="0" xfId="0" applyFont="1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52" fillId="5" borderId="40" xfId="0" applyFont="1" applyFill="1" applyBorder="1" applyAlignment="1">
      <alignment horizontal="center" vertical="center"/>
    </xf>
    <xf numFmtId="0" fontId="52" fillId="0" borderId="40" xfId="0" applyFont="1" applyBorder="1" applyAlignment="1">
      <alignment vertical="center" wrapText="1"/>
    </xf>
    <xf numFmtId="0" fontId="0" fillId="0" borderId="40" xfId="0" applyBorder="1">
      <alignment vertical="center"/>
    </xf>
    <xf numFmtId="4" fontId="0" fillId="0" borderId="40" xfId="0" applyNumberFormat="1" applyBorder="1">
      <alignment vertical="center"/>
    </xf>
    <xf numFmtId="0" fontId="52" fillId="5" borderId="40" xfId="0" applyFont="1" applyFill="1" applyBorder="1" applyAlignment="1">
      <alignment horizontal="left" vertical="center" wrapText="1"/>
    </xf>
    <xf numFmtId="1" fontId="52" fillId="5" borderId="40" xfId="0" applyNumberFormat="1" applyFont="1" applyFill="1" applyBorder="1" applyAlignment="1">
      <alignment horizontal="center" vertical="center"/>
    </xf>
    <xf numFmtId="1" fontId="52" fillId="5" borderId="40" xfId="0" applyNumberFormat="1" applyFont="1" applyFill="1" applyBorder="1" applyAlignment="1">
      <alignment vertical="center" wrapText="1"/>
    </xf>
    <xf numFmtId="0" fontId="63" fillId="5" borderId="40" xfId="0" applyFont="1" applyFill="1" applyBorder="1" applyAlignment="1">
      <alignment horizontal="center" vertical="center"/>
    </xf>
    <xf numFmtId="1" fontId="52" fillId="5" borderId="40" xfId="0" applyNumberFormat="1" applyFont="1" applyFill="1" applyBorder="1" applyAlignment="1">
      <alignment horizontal="left" vertical="center" wrapText="1"/>
    </xf>
    <xf numFmtId="0" fontId="63" fillId="5" borderId="40" xfId="0" applyFont="1" applyFill="1" applyBorder="1" applyAlignment="1">
      <alignment horizontal="center" vertical="top"/>
    </xf>
    <xf numFmtId="1" fontId="52" fillId="5" borderId="40" xfId="0" applyNumberFormat="1" applyFont="1" applyFill="1" applyBorder="1" applyAlignment="1">
      <alignment vertical="top" wrapText="1"/>
    </xf>
    <xf numFmtId="1" fontId="63" fillId="5" borderId="40" xfId="0" applyNumberFormat="1" applyFont="1" applyFill="1" applyBorder="1" applyAlignment="1">
      <alignment vertical="center" wrapText="1"/>
    </xf>
    <xf numFmtId="0" fontId="52" fillId="5" borderId="40" xfId="0" applyFont="1" applyFill="1" applyBorder="1" applyAlignment="1">
      <alignment vertical="center" wrapText="1"/>
    </xf>
    <xf numFmtId="1" fontId="63" fillId="5" borderId="40" xfId="0" applyNumberFormat="1" applyFont="1" applyFill="1" applyBorder="1" applyAlignment="1">
      <alignment vertical="top" wrapText="1"/>
    </xf>
    <xf numFmtId="1" fontId="63" fillId="5" borderId="40" xfId="0" applyNumberFormat="1" applyFont="1" applyFill="1" applyBorder="1" applyAlignment="1">
      <alignment horizontal="left" wrapText="1"/>
    </xf>
    <xf numFmtId="1" fontId="63" fillId="5" borderId="40" xfId="0" applyNumberFormat="1" applyFont="1" applyFill="1" applyBorder="1" applyAlignment="1">
      <alignment horizontal="left" vertical="top" wrapText="1"/>
    </xf>
    <xf numFmtId="1" fontId="63" fillId="5" borderId="40" xfId="0" applyNumberFormat="1" applyFont="1" applyFill="1" applyBorder="1" applyAlignment="1">
      <alignment horizontal="left" vertical="center" wrapText="1"/>
    </xf>
    <xf numFmtId="0" fontId="5" fillId="6" borderId="142" xfId="0" applyFont="1" applyFill="1" applyBorder="1" applyAlignment="1">
      <alignment horizontal="center" vertical="center" wrapText="1"/>
    </xf>
    <xf numFmtId="165" fontId="29" fillId="8" borderId="1" xfId="0" applyNumberFormat="1" applyFont="1" applyFill="1" applyBorder="1">
      <alignment vertical="center"/>
    </xf>
    <xf numFmtId="165" fontId="29" fillId="8" borderId="2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6" fillId="5" borderId="0" xfId="2" applyNumberFormat="1" applyFont="1" applyFill="1" applyAlignment="1">
      <alignment vertical="center"/>
    </xf>
    <xf numFmtId="3" fontId="6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 wrapText="1"/>
    </xf>
    <xf numFmtId="3" fontId="10" fillId="5" borderId="0" xfId="0" applyNumberFormat="1" applyFont="1" applyFill="1" applyAlignment="1">
      <alignment horizontal="left" vertical="top"/>
    </xf>
    <xf numFmtId="3" fontId="10" fillId="5" borderId="0" xfId="0" applyNumberFormat="1" applyFont="1" applyFill="1" applyAlignment="1">
      <alignment horizontal="center" vertical="top" wrapText="1"/>
    </xf>
    <xf numFmtId="3" fontId="10" fillId="5" borderId="0" xfId="0" applyNumberFormat="1" applyFont="1" applyFill="1" applyAlignment="1"/>
    <xf numFmtId="3" fontId="10" fillId="5" borderId="0" xfId="0" applyNumberFormat="1" applyFont="1" applyFill="1" applyAlignment="1">
      <alignment horizontal="left" vertical="center"/>
    </xf>
    <xf numFmtId="3" fontId="10" fillId="5" borderId="0" xfId="0" applyNumberFormat="1" applyFont="1" applyFill="1" applyAlignment="1">
      <alignment horizontal="center" vertical="center"/>
    </xf>
    <xf numFmtId="3" fontId="6" fillId="5" borderId="0" xfId="1" applyNumberFormat="1" applyFont="1" applyFill="1">
      <alignment vertical="center"/>
    </xf>
    <xf numFmtId="3" fontId="31" fillId="5" borderId="0" xfId="0" applyNumberFormat="1" applyFont="1" applyFill="1">
      <alignment vertical="center"/>
    </xf>
    <xf numFmtId="3" fontId="40" fillId="5" borderId="0" xfId="0" applyNumberFormat="1" applyFont="1" applyFill="1">
      <alignment vertical="center"/>
    </xf>
    <xf numFmtId="3" fontId="6" fillId="5" borderId="0" xfId="1" applyNumberFormat="1" applyFont="1" applyFill="1" applyAlignment="1">
      <alignment vertical="center"/>
    </xf>
    <xf numFmtId="4" fontId="10" fillId="5" borderId="0" xfId="0" applyNumberFormat="1" applyFont="1" applyFill="1" applyAlignment="1">
      <alignment horizontal="left" vertical="center"/>
    </xf>
    <xf numFmtId="0" fontId="29" fillId="10" borderId="82" xfId="0" applyFont="1" applyFill="1" applyBorder="1" applyAlignment="1">
      <alignment horizontal="center" vertical="center"/>
    </xf>
    <xf numFmtId="0" fontId="29" fillId="11" borderId="88" xfId="0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40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29" fillId="11" borderId="82" xfId="0" applyFont="1" applyFill="1" applyBorder="1" applyAlignment="1">
      <alignment horizontal="center" vertical="center"/>
    </xf>
    <xf numFmtId="0" fontId="29" fillId="11" borderId="88" xfId="0" applyFont="1" applyFill="1" applyBorder="1">
      <alignment vertical="center"/>
    </xf>
    <xf numFmtId="3" fontId="29" fillId="5" borderId="0" xfId="0" applyNumberFormat="1" applyFont="1" applyFill="1">
      <alignment vertical="center"/>
    </xf>
    <xf numFmtId="3" fontId="28" fillId="6" borderId="81" xfId="0" applyNumberFormat="1" applyFont="1" applyFill="1" applyBorder="1" applyAlignment="1">
      <alignment horizontal="center" vertical="center"/>
    </xf>
    <xf numFmtId="3" fontId="29" fillId="5" borderId="90" xfId="0" applyNumberFormat="1" applyFont="1" applyFill="1" applyBorder="1" applyAlignment="1">
      <alignment horizontal="center" vertical="center"/>
    </xf>
    <xf numFmtId="3" fontId="29" fillId="6" borderId="100" xfId="0" applyNumberFormat="1" applyFont="1" applyFill="1" applyBorder="1">
      <alignment vertical="center"/>
    </xf>
    <xf numFmtId="3" fontId="29" fillId="5" borderId="83" xfId="0" applyNumberFormat="1" applyFont="1" applyFill="1" applyBorder="1">
      <alignment vertical="center"/>
    </xf>
    <xf numFmtId="3" fontId="29" fillId="5" borderId="84" xfId="0" applyNumberFormat="1" applyFont="1" applyFill="1" applyBorder="1">
      <alignment vertical="center"/>
    </xf>
    <xf numFmtId="3" fontId="29" fillId="5" borderId="89" xfId="0" applyNumberFormat="1" applyFont="1" applyFill="1" applyBorder="1">
      <alignment vertical="center"/>
    </xf>
    <xf numFmtId="3" fontId="28" fillId="5" borderId="84" xfId="0" applyNumberFormat="1" applyFont="1" applyFill="1" applyBorder="1">
      <alignment vertical="center"/>
    </xf>
    <xf numFmtId="3" fontId="29" fillId="5" borderId="90" xfId="0" applyNumberFormat="1" applyFont="1" applyFill="1" applyBorder="1">
      <alignment vertical="center"/>
    </xf>
    <xf numFmtId="3" fontId="43" fillId="5" borderId="84" xfId="0" applyNumberFormat="1" applyFont="1" applyFill="1" applyBorder="1">
      <alignment vertical="center"/>
    </xf>
    <xf numFmtId="3" fontId="29" fillId="6" borderId="90" xfId="0" applyNumberFormat="1" applyFont="1" applyFill="1" applyBorder="1">
      <alignment vertical="center"/>
    </xf>
    <xf numFmtId="3" fontId="29" fillId="5" borderId="94" xfId="0" applyNumberFormat="1" applyFont="1" applyFill="1" applyBorder="1">
      <alignment vertical="center"/>
    </xf>
    <xf numFmtId="3" fontId="29" fillId="11" borderId="84" xfId="0" applyNumberFormat="1" applyFont="1" applyFill="1" applyBorder="1">
      <alignment vertical="center"/>
    </xf>
    <xf numFmtId="3" fontId="28" fillId="6" borderId="143" xfId="0" applyNumberFormat="1" applyFont="1" applyFill="1" applyBorder="1" applyAlignment="1">
      <alignment horizontal="center" vertical="center"/>
    </xf>
    <xf numFmtId="3" fontId="29" fillId="5" borderId="34" xfId="0" applyNumberFormat="1" applyFont="1" applyFill="1" applyBorder="1" applyAlignment="1">
      <alignment horizontal="center" vertical="center"/>
    </xf>
    <xf numFmtId="3" fontId="29" fillId="6" borderId="66" xfId="0" applyNumberFormat="1" applyFont="1" applyFill="1" applyBorder="1">
      <alignment vertical="center"/>
    </xf>
    <xf numFmtId="3" fontId="29" fillId="5" borderId="141" xfId="0" applyNumberFormat="1" applyFont="1" applyFill="1" applyBorder="1">
      <alignment vertical="center"/>
    </xf>
    <xf numFmtId="3" fontId="29" fillId="5" borderId="75" xfId="0" applyNumberFormat="1" applyFont="1" applyFill="1" applyBorder="1">
      <alignment vertical="center"/>
    </xf>
    <xf numFmtId="3" fontId="29" fillId="5" borderId="144" xfId="0" applyNumberFormat="1" applyFont="1" applyFill="1" applyBorder="1">
      <alignment vertical="center"/>
    </xf>
    <xf numFmtId="0" fontId="28" fillId="6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3" fontId="29" fillId="5" borderId="145" xfId="0" applyNumberFormat="1" applyFont="1" applyFill="1" applyBorder="1">
      <alignment vertical="center"/>
    </xf>
    <xf numFmtId="3" fontId="10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center" vertical="top" wrapText="1"/>
    </xf>
    <xf numFmtId="3" fontId="5" fillId="2" borderId="101" xfId="0" applyNumberFormat="1" applyFont="1" applyFill="1" applyBorder="1" applyAlignment="1">
      <alignment horizontal="center" vertical="center"/>
    </xf>
    <xf numFmtId="3" fontId="0" fillId="0" borderId="40" xfId="0" applyNumberFormat="1" applyBorder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5" fillId="6" borderId="146" xfId="0" applyFont="1" applyFill="1" applyBorder="1" applyAlignment="1">
      <alignment horizontal="center" vertical="center" wrapText="1"/>
    </xf>
    <xf numFmtId="0" fontId="5" fillId="6" borderId="147" xfId="0" applyFont="1" applyFill="1" applyBorder="1" applyAlignment="1">
      <alignment horizontal="center" vertical="center" wrapText="1"/>
    </xf>
    <xf numFmtId="3" fontId="29" fillId="0" borderId="84" xfId="0" applyNumberFormat="1" applyFont="1" applyBorder="1">
      <alignment vertical="center"/>
    </xf>
    <xf numFmtId="43" fontId="65" fillId="12" borderId="0" xfId="16" applyNumberFormat="1" applyFont="1" applyFill="1" applyAlignment="1">
      <alignment horizontal="center" vertical="center"/>
    </xf>
    <xf numFmtId="43" fontId="65" fillId="12" borderId="0" xfId="16" applyNumberFormat="1" applyFont="1" applyFill="1" applyAlignment="1">
      <alignment vertical="center"/>
    </xf>
    <xf numFmtId="0" fontId="66" fillId="0" borderId="0" xfId="17" applyFont="1" applyAlignment="1">
      <alignment vertical="center"/>
    </xf>
    <xf numFmtId="0" fontId="66" fillId="0" borderId="0" xfId="17" applyFont="1" applyAlignment="1">
      <alignment vertical="center" wrapText="1"/>
    </xf>
    <xf numFmtId="0" fontId="66" fillId="0" borderId="0" xfId="17" applyFont="1" applyAlignment="1">
      <alignment horizontal="center" vertical="center"/>
    </xf>
    <xf numFmtId="0" fontId="67" fillId="13" borderId="40" xfId="17" applyFont="1" applyFill="1" applyBorder="1" applyAlignment="1">
      <alignment horizontal="center" vertical="center"/>
    </xf>
    <xf numFmtId="0" fontId="67" fillId="13" borderId="34" xfId="17" applyFont="1" applyFill="1" applyBorder="1" applyAlignment="1">
      <alignment horizontal="center" vertical="center"/>
    </xf>
    <xf numFmtId="0" fontId="67" fillId="13" borderId="35" xfId="17" applyFont="1" applyFill="1" applyBorder="1" applyAlignment="1">
      <alignment horizontal="center" vertical="center"/>
    </xf>
    <xf numFmtId="0" fontId="67" fillId="13" borderId="40" xfId="17" applyFont="1" applyFill="1" applyBorder="1" applyAlignment="1">
      <alignment horizontal="center" vertical="center" wrapText="1"/>
    </xf>
    <xf numFmtId="0" fontId="67" fillId="12" borderId="49" xfId="17" applyFont="1" applyFill="1" applyBorder="1" applyAlignment="1">
      <alignment horizontal="center" vertical="center"/>
    </xf>
    <xf numFmtId="0" fontId="66" fillId="13" borderId="40" xfId="17" applyFont="1" applyFill="1" applyBorder="1" applyAlignment="1">
      <alignment horizontal="center" vertical="center"/>
    </xf>
    <xf numFmtId="0" fontId="66" fillId="13" borderId="34" xfId="17" applyFont="1" applyFill="1" applyBorder="1" applyAlignment="1">
      <alignment horizontal="center" vertical="center"/>
    </xf>
    <xf numFmtId="0" fontId="66" fillId="13" borderId="35" xfId="17" applyFont="1" applyFill="1" applyBorder="1" applyAlignment="1">
      <alignment horizontal="center" vertical="center"/>
    </xf>
    <xf numFmtId="0" fontId="66" fillId="12" borderId="49" xfId="17" applyFont="1" applyFill="1" applyBorder="1" applyAlignment="1">
      <alignment horizontal="center" vertical="center"/>
    </xf>
    <xf numFmtId="0" fontId="66" fillId="12" borderId="34" xfId="17" applyFont="1" applyFill="1" applyBorder="1" applyAlignment="1">
      <alignment horizontal="center" vertical="center"/>
    </xf>
    <xf numFmtId="0" fontId="66" fillId="12" borderId="3" xfId="17" applyFont="1" applyFill="1" applyBorder="1" applyAlignment="1">
      <alignment horizontal="center" vertical="center"/>
    </xf>
    <xf numFmtId="0" fontId="66" fillId="12" borderId="35" xfId="17" applyFont="1" applyFill="1" applyBorder="1" applyAlignment="1">
      <alignment horizontal="center" vertical="center"/>
    </xf>
    <xf numFmtId="0" fontId="66" fillId="13" borderId="3" xfId="17" applyFont="1" applyFill="1" applyBorder="1" applyAlignment="1">
      <alignment vertical="center"/>
    </xf>
    <xf numFmtId="0" fontId="66" fillId="12" borderId="49" xfId="17" applyFont="1" applyFill="1" applyBorder="1" applyAlignment="1">
      <alignment vertical="center"/>
    </xf>
    <xf numFmtId="0" fontId="66" fillId="13" borderId="35" xfId="17" applyFont="1" applyFill="1" applyBorder="1" applyAlignment="1">
      <alignment vertical="center"/>
    </xf>
    <xf numFmtId="0" fontId="66" fillId="0" borderId="49" xfId="17" applyFont="1" applyBorder="1" applyAlignment="1">
      <alignment vertical="center"/>
    </xf>
    <xf numFmtId="0" fontId="66" fillId="0" borderId="65" xfId="17" applyFont="1" applyBorder="1" applyAlignment="1">
      <alignment horizontal="center" vertical="center"/>
    </xf>
    <xf numFmtId="0" fontId="66" fillId="0" borderId="99" xfId="17" applyFont="1" applyBorder="1" applyAlignment="1">
      <alignment horizontal="left" vertical="center" wrapText="1"/>
    </xf>
    <xf numFmtId="41" fontId="66" fillId="0" borderId="65" xfId="18" applyFont="1" applyBorder="1" applyAlignment="1">
      <alignment horizontal="center" vertical="center"/>
    </xf>
    <xf numFmtId="0" fontId="66" fillId="12" borderId="49" xfId="17" applyFont="1" applyFill="1" applyBorder="1" applyAlignment="1">
      <alignment horizontal="left" vertical="center" wrapText="1"/>
    </xf>
    <xf numFmtId="0" fontId="66" fillId="0" borderId="40" xfId="17" applyFont="1" applyBorder="1" applyAlignment="1">
      <alignment horizontal="center" vertical="center"/>
    </xf>
    <xf numFmtId="0" fontId="66" fillId="0" borderId="34" xfId="17" applyFont="1" applyBorder="1" applyAlignment="1">
      <alignment horizontal="left" vertical="center"/>
    </xf>
    <xf numFmtId="0" fontId="66" fillId="0" borderId="35" xfId="17" applyFont="1" applyBorder="1" applyAlignment="1">
      <alignment horizontal="left" vertical="center"/>
    </xf>
    <xf numFmtId="41" fontId="66" fillId="0" borderId="40" xfId="18" applyFont="1" applyBorder="1" applyAlignment="1">
      <alignment horizontal="center" vertical="center"/>
    </xf>
    <xf numFmtId="0" fontId="67" fillId="0" borderId="40" xfId="17" quotePrefix="1" applyFont="1" applyBorder="1" applyAlignment="1">
      <alignment horizontal="center" vertical="center"/>
    </xf>
    <xf numFmtId="0" fontId="66" fillId="0" borderId="40" xfId="17" applyFont="1" applyBorder="1" applyAlignment="1">
      <alignment vertical="center"/>
    </xf>
    <xf numFmtId="41" fontId="67" fillId="0" borderId="40" xfId="18" applyFont="1" applyBorder="1" applyAlignment="1">
      <alignment vertical="center"/>
    </xf>
    <xf numFmtId="0" fontId="66" fillId="0" borderId="34" xfId="17" applyFont="1" applyBorder="1" applyAlignment="1">
      <alignment vertical="center"/>
    </xf>
    <xf numFmtId="0" fontId="66" fillId="0" borderId="35" xfId="17" applyFont="1" applyBorder="1" applyAlignment="1">
      <alignment horizontal="center" vertical="center"/>
    </xf>
    <xf numFmtId="0" fontId="66" fillId="0" borderId="99" xfId="17" applyFont="1" applyBorder="1" applyAlignment="1">
      <alignment vertical="center"/>
    </xf>
    <xf numFmtId="0" fontId="67" fillId="0" borderId="34" xfId="17" quotePrefix="1" applyFont="1" applyBorder="1" applyAlignment="1">
      <alignment horizontal="center" vertical="center"/>
    </xf>
    <xf numFmtId="0" fontId="67" fillId="0" borderId="3" xfId="17" applyFont="1" applyBorder="1" applyAlignment="1">
      <alignment horizontal="left" vertical="center"/>
    </xf>
    <xf numFmtId="0" fontId="66" fillId="0" borderId="3" xfId="17" applyFont="1" applyBorder="1" applyAlignment="1">
      <alignment vertical="center"/>
    </xf>
    <xf numFmtId="41" fontId="66" fillId="0" borderId="3" xfId="18" applyFont="1" applyBorder="1" applyAlignment="1">
      <alignment vertical="center"/>
    </xf>
    <xf numFmtId="0" fontId="66" fillId="0" borderId="35" xfId="17" applyFont="1" applyBorder="1" applyAlignment="1">
      <alignment vertical="center"/>
    </xf>
    <xf numFmtId="0" fontId="66" fillId="13" borderId="3" xfId="17" applyFont="1" applyFill="1" applyBorder="1" applyAlignment="1">
      <alignment vertical="center" wrapText="1"/>
    </xf>
    <xf numFmtId="0" fontId="66" fillId="12" borderId="49" xfId="17" applyFont="1" applyFill="1" applyBorder="1" applyAlignment="1">
      <alignment vertical="center" wrapText="1"/>
    </xf>
    <xf numFmtId="0" fontId="66" fillId="13" borderId="35" xfId="17" applyFont="1" applyFill="1" applyBorder="1" applyAlignment="1">
      <alignment horizontal="center" vertical="center" wrapText="1"/>
    </xf>
    <xf numFmtId="0" fontId="66" fillId="13" borderId="35" xfId="17" applyFont="1" applyFill="1" applyBorder="1" applyAlignment="1">
      <alignment vertical="center" wrapText="1"/>
    </xf>
    <xf numFmtId="41" fontId="66" fillId="0" borderId="65" xfId="18" applyFont="1" applyBorder="1" applyAlignment="1">
      <alignment vertical="center"/>
    </xf>
    <xf numFmtId="0" fontId="66" fillId="0" borderId="99" xfId="17" applyFont="1" applyBorder="1" applyAlignment="1">
      <alignment vertical="center" wrapText="1"/>
    </xf>
    <xf numFmtId="10" fontId="66" fillId="0" borderId="35" xfId="19" applyNumberFormat="1" applyFont="1" applyBorder="1" applyAlignment="1">
      <alignment horizontal="center" vertical="center"/>
    </xf>
    <xf numFmtId="191" fontId="66" fillId="0" borderId="35" xfId="17" applyNumberFormat="1" applyFont="1" applyBorder="1" applyAlignment="1">
      <alignment vertical="center" wrapText="1"/>
    </xf>
    <xf numFmtId="0" fontId="66" fillId="0" borderId="34" xfId="17" applyFont="1" applyBorder="1" applyAlignment="1">
      <alignment vertical="center" wrapText="1"/>
    </xf>
    <xf numFmtId="0" fontId="66" fillId="0" borderId="34" xfId="17" applyFont="1" applyBorder="1" applyAlignment="1">
      <alignment horizontal="left" vertical="center" wrapText="1"/>
    </xf>
    <xf numFmtId="0" fontId="66" fillId="12" borderId="49" xfId="17" applyFont="1" applyFill="1" applyBorder="1" applyAlignment="1">
      <alignment horizontal="left" vertical="center"/>
    </xf>
    <xf numFmtId="41" fontId="67" fillId="0" borderId="40" xfId="18" applyFont="1" applyBorder="1" applyAlignment="1">
      <alignment horizontal="center" vertical="center"/>
    </xf>
    <xf numFmtId="0" fontId="66" fillId="0" borderId="35" xfId="17" applyFont="1" applyBorder="1" applyAlignment="1">
      <alignment horizontal="center" vertical="center" wrapText="1"/>
    </xf>
    <xf numFmtId="0" fontId="66" fillId="0" borderId="34" xfId="17" applyFont="1" applyBorder="1" applyAlignment="1">
      <alignment horizontal="center" vertical="center"/>
    </xf>
    <xf numFmtId="41" fontId="66" fillId="13" borderId="3" xfId="18" applyFont="1" applyFill="1" applyBorder="1" applyAlignment="1">
      <alignment vertical="center"/>
    </xf>
    <xf numFmtId="0" fontId="66" fillId="13" borderId="3" xfId="17" applyFont="1" applyFill="1" applyBorder="1" applyAlignment="1">
      <alignment horizontal="left" vertical="center"/>
    </xf>
    <xf numFmtId="0" fontId="66" fillId="13" borderId="35" xfId="17" applyFont="1" applyFill="1" applyBorder="1" applyAlignment="1">
      <alignment horizontal="left" vertical="center"/>
    </xf>
    <xf numFmtId="0" fontId="66" fillId="0" borderId="99" xfId="17" applyFont="1" applyBorder="1" applyAlignment="1">
      <alignment horizontal="left" vertical="center"/>
    </xf>
    <xf numFmtId="0" fontId="69" fillId="0" borderId="34" xfId="17" applyFont="1" applyBorder="1" applyAlignment="1">
      <alignment horizontal="center" vertical="center"/>
    </xf>
    <xf numFmtId="164" fontId="66" fillId="0" borderId="35" xfId="19" applyNumberFormat="1" applyFont="1" applyBorder="1" applyAlignment="1">
      <alignment horizontal="center" vertical="center"/>
    </xf>
    <xf numFmtId="10" fontId="66" fillId="0" borderId="35" xfId="19" applyNumberFormat="1" applyFont="1" applyBorder="1" applyAlignment="1">
      <alignment horizontal="center" vertical="center" wrapText="1"/>
    </xf>
    <xf numFmtId="0" fontId="70" fillId="0" borderId="0" xfId="20" applyAlignment="1">
      <alignment vertical="center"/>
    </xf>
    <xf numFmtId="191" fontId="66" fillId="0" borderId="35" xfId="17" applyNumberFormat="1" applyFont="1" applyBorder="1" applyAlignment="1">
      <alignment horizontal="left" vertical="center"/>
    </xf>
    <xf numFmtId="0" fontId="69" fillId="0" borderId="35" xfId="17" applyFont="1" applyBorder="1" applyAlignment="1">
      <alignment vertical="center"/>
    </xf>
    <xf numFmtId="191" fontId="66" fillId="0" borderId="35" xfId="17" applyNumberFormat="1" applyFont="1" applyBorder="1" applyAlignment="1">
      <alignment horizontal="left" vertical="center" wrapText="1"/>
    </xf>
    <xf numFmtId="0" fontId="66" fillId="0" borderId="35" xfId="17" applyFont="1" applyBorder="1" applyAlignment="1">
      <alignment vertical="center" wrapText="1"/>
    </xf>
    <xf numFmtId="0" fontId="66" fillId="0" borderId="65" xfId="17" applyFont="1" applyBorder="1" applyAlignment="1">
      <alignment vertical="center"/>
    </xf>
    <xf numFmtId="41" fontId="66" fillId="0" borderId="40" xfId="18" applyFont="1" applyBorder="1" applyAlignment="1">
      <alignment vertical="center"/>
    </xf>
    <xf numFmtId="0" fontId="66" fillId="0" borderId="3" xfId="17" applyFont="1" applyBorder="1" applyAlignment="1">
      <alignment horizontal="center" vertical="center"/>
    </xf>
    <xf numFmtId="0" fontId="66" fillId="13" borderId="3" xfId="17" applyFont="1" applyFill="1" applyBorder="1" applyAlignment="1">
      <alignment vertical="top" wrapText="1"/>
    </xf>
    <xf numFmtId="0" fontId="66" fillId="12" borderId="49" xfId="17" applyFont="1" applyFill="1" applyBorder="1" applyAlignment="1">
      <alignment vertical="top" wrapText="1"/>
    </xf>
    <xf numFmtId="0" fontId="66" fillId="13" borderId="35" xfId="17" applyFont="1" applyFill="1" applyBorder="1" applyAlignment="1">
      <alignment horizontal="center" vertical="top" wrapText="1"/>
    </xf>
    <xf numFmtId="0" fontId="66" fillId="13" borderId="35" xfId="17" applyFont="1" applyFill="1" applyBorder="1" applyAlignment="1">
      <alignment vertical="top" wrapText="1"/>
    </xf>
    <xf numFmtId="0" fontId="66" fillId="12" borderId="49" xfId="17" applyFont="1" applyFill="1" applyBorder="1" applyAlignment="1">
      <alignment horizontal="left" vertical="top" wrapText="1"/>
    </xf>
    <xf numFmtId="10" fontId="66" fillId="0" borderId="35" xfId="17" applyNumberFormat="1" applyFont="1" applyBorder="1" applyAlignment="1">
      <alignment horizontal="center" vertical="center"/>
    </xf>
    <xf numFmtId="0" fontId="72" fillId="0" borderId="40" xfId="17" applyFont="1" applyBorder="1" applyAlignment="1">
      <alignment horizontal="center" vertical="center"/>
    </xf>
    <xf numFmtId="164" fontId="67" fillId="0" borderId="40" xfId="17" applyNumberFormat="1" applyFont="1" applyBorder="1" applyAlignment="1">
      <alignment vertical="center"/>
    </xf>
    <xf numFmtId="164" fontId="66" fillId="0" borderId="35" xfId="17" applyNumberFormat="1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41" fontId="0" fillId="0" borderId="40" xfId="0" applyNumberFormat="1" applyBorder="1">
      <alignment vertical="center"/>
    </xf>
    <xf numFmtId="167" fontId="6" fillId="5" borderId="5" xfId="0" applyNumberFormat="1" applyFont="1" applyFill="1" applyBorder="1" applyAlignment="1">
      <alignment horizontal="right" vertical="center" shrinkToFit="1"/>
    </xf>
    <xf numFmtId="2" fontId="6" fillId="5" borderId="40" xfId="0" applyNumberFormat="1" applyFont="1" applyFill="1" applyBorder="1">
      <alignment vertical="center"/>
    </xf>
    <xf numFmtId="2" fontId="0" fillId="0" borderId="40" xfId="0" applyNumberFormat="1" applyBorder="1">
      <alignment vertical="center"/>
    </xf>
    <xf numFmtId="0" fontId="53" fillId="0" borderId="0" xfId="10" applyAlignment="1">
      <alignment horizontal="right" vertical="center" wrapText="1"/>
    </xf>
    <xf numFmtId="0" fontId="53" fillId="0" borderId="0" xfId="10" applyAlignment="1">
      <alignment horizontal="center" vertical="top"/>
    </xf>
    <xf numFmtId="0" fontId="53" fillId="0" borderId="0" xfId="10"/>
    <xf numFmtId="0" fontId="53" fillId="0" borderId="0" xfId="10" applyAlignment="1">
      <alignment horizontal="center" vertical="center"/>
    </xf>
    <xf numFmtId="0" fontId="53" fillId="0" borderId="0" xfId="10" applyAlignment="1">
      <alignment horizontal="left" vertical="top"/>
    </xf>
    <xf numFmtId="0" fontId="53" fillId="0" borderId="0" xfId="10" applyAlignment="1">
      <alignment vertical="center" wrapText="1"/>
    </xf>
    <xf numFmtId="10" fontId="73" fillId="0" borderId="0" xfId="10" applyNumberFormat="1" applyFont="1" applyAlignment="1">
      <alignment horizontal="center" vertical="top"/>
    </xf>
    <xf numFmtId="3" fontId="53" fillId="0" borderId="0" xfId="10" applyNumberFormat="1"/>
    <xf numFmtId="3" fontId="53" fillId="0" borderId="0" xfId="10" applyNumberFormat="1" applyAlignment="1">
      <alignment vertical="center"/>
    </xf>
    <xf numFmtId="0" fontId="73" fillId="0" borderId="0" xfId="10" applyFont="1" applyAlignment="1">
      <alignment horizontal="center" vertical="center" wrapText="1"/>
    </xf>
    <xf numFmtId="0" fontId="53" fillId="0" borderId="148" xfId="10" applyBorder="1" applyAlignment="1">
      <alignment vertical="center" wrapText="1"/>
    </xf>
    <xf numFmtId="0" fontId="53" fillId="0" borderId="148" xfId="10" applyBorder="1" applyAlignment="1">
      <alignment horizontal="center" vertical="center"/>
    </xf>
    <xf numFmtId="3" fontId="53" fillId="0" borderId="148" xfId="10" applyNumberFormat="1" applyBorder="1" applyAlignment="1">
      <alignment vertical="center"/>
    </xf>
    <xf numFmtId="0" fontId="53" fillId="8" borderId="148" xfId="10" applyFill="1" applyBorder="1" applyAlignment="1">
      <alignment horizontal="center" vertical="center"/>
    </xf>
    <xf numFmtId="0" fontId="53" fillId="0" borderId="149" xfId="10" applyBorder="1" applyAlignment="1">
      <alignment vertical="center" wrapText="1"/>
    </xf>
    <xf numFmtId="0" fontId="53" fillId="0" borderId="149" xfId="10" applyBorder="1" applyAlignment="1">
      <alignment horizontal="center" vertical="center"/>
    </xf>
    <xf numFmtId="3" fontId="53" fillId="0" borderId="149" xfId="10" applyNumberFormat="1" applyBorder="1" applyAlignment="1">
      <alignment vertical="center"/>
    </xf>
    <xf numFmtId="0" fontId="53" fillId="0" borderId="148" xfId="10" quotePrefix="1" applyBorder="1" applyAlignment="1">
      <alignment horizontal="center" vertical="center"/>
    </xf>
    <xf numFmtId="0" fontId="53" fillId="8" borderId="148" xfId="10" applyFill="1" applyBorder="1" applyAlignment="1">
      <alignment vertical="center" wrapText="1"/>
    </xf>
    <xf numFmtId="21" fontId="53" fillId="0" borderId="148" xfId="10" quotePrefix="1" applyNumberFormat="1" applyBorder="1" applyAlignment="1">
      <alignment horizontal="center" vertical="center"/>
    </xf>
    <xf numFmtId="0" fontId="53" fillId="0" borderId="149" xfId="10" quotePrefix="1" applyBorder="1" applyAlignment="1">
      <alignment horizontal="center" vertical="center"/>
    </xf>
    <xf numFmtId="0" fontId="53" fillId="0" borderId="151" xfId="10" applyBorder="1"/>
    <xf numFmtId="0" fontId="53" fillId="0" borderId="153" xfId="10" applyBorder="1"/>
    <xf numFmtId="10" fontId="53" fillId="0" borderId="0" xfId="10" applyNumberFormat="1" applyAlignment="1">
      <alignment horizontal="center" vertical="center"/>
    </xf>
    <xf numFmtId="0" fontId="53" fillId="0" borderId="96" xfId="10" applyBorder="1"/>
    <xf numFmtId="10" fontId="53" fillId="0" borderId="126" xfId="10" applyNumberFormat="1" applyBorder="1" applyAlignment="1">
      <alignment horizontal="center" vertical="center"/>
    </xf>
    <xf numFmtId="0" fontId="53" fillId="0" borderId="126" xfId="10" applyBorder="1" applyAlignment="1">
      <alignment horizontal="center" vertical="center"/>
    </xf>
    <xf numFmtId="0" fontId="53" fillId="0" borderId="135" xfId="10" applyBorder="1"/>
    <xf numFmtId="0" fontId="73" fillId="0" borderId="97" xfId="10" applyFont="1" applyBorder="1" applyAlignment="1">
      <alignment horizontal="center" vertical="center" wrapText="1"/>
    </xf>
    <xf numFmtId="3" fontId="73" fillId="0" borderId="0" xfId="10" applyNumberFormat="1" applyFont="1" applyAlignment="1">
      <alignment horizontal="center" vertical="center" wrapText="1"/>
    </xf>
    <xf numFmtId="0" fontId="73" fillId="0" borderId="96" xfId="10" applyFont="1" applyBorder="1" applyAlignment="1">
      <alignment horizontal="center" vertical="center" wrapText="1"/>
    </xf>
    <xf numFmtId="0" fontId="53" fillId="0" borderId="155" xfId="10" applyBorder="1" applyAlignment="1">
      <alignment vertical="center" wrapText="1"/>
    </xf>
    <xf numFmtId="0" fontId="53" fillId="0" borderId="155" xfId="10" applyBorder="1" applyAlignment="1">
      <alignment horizontal="center" vertical="center"/>
    </xf>
    <xf numFmtId="3" fontId="53" fillId="0" borderId="155" xfId="10" applyNumberFormat="1" applyBorder="1" applyAlignment="1">
      <alignment vertical="center"/>
    </xf>
    <xf numFmtId="10" fontId="53" fillId="0" borderId="155" xfId="10" applyNumberFormat="1" applyBorder="1" applyAlignment="1">
      <alignment horizontal="center" vertical="center"/>
    </xf>
    <xf numFmtId="0" fontId="53" fillId="0" borderId="156" xfId="10" applyBorder="1"/>
    <xf numFmtId="0" fontId="73" fillId="0" borderId="159" xfId="10" applyFont="1" applyBorder="1" applyAlignment="1">
      <alignment horizontal="center" vertical="center" wrapText="1"/>
    </xf>
    <xf numFmtId="0" fontId="73" fillId="0" borderId="67" xfId="10" applyFont="1" applyBorder="1" applyAlignment="1">
      <alignment horizontal="center" vertical="center" wrapText="1"/>
    </xf>
    <xf numFmtId="3" fontId="73" fillId="0" borderId="67" xfId="10" applyNumberFormat="1" applyFont="1" applyBorder="1" applyAlignment="1">
      <alignment horizontal="center" vertical="center" wrapText="1"/>
    </xf>
    <xf numFmtId="0" fontId="73" fillId="0" borderId="160" xfId="10" applyFont="1" applyBorder="1" applyAlignment="1">
      <alignment horizontal="center" vertical="center" wrapText="1"/>
    </xf>
    <xf numFmtId="0" fontId="73" fillId="0" borderId="161" xfId="10" applyFont="1" applyBorder="1" applyAlignment="1">
      <alignment horizontal="center" vertical="center" wrapText="1"/>
    </xf>
    <xf numFmtId="0" fontId="73" fillId="0" borderId="162" xfId="10" applyFont="1" applyBorder="1" applyAlignment="1">
      <alignment horizontal="left" vertical="center" wrapText="1"/>
    </xf>
    <xf numFmtId="0" fontId="73" fillId="0" borderId="162" xfId="10" applyFont="1" applyBorder="1" applyAlignment="1">
      <alignment horizontal="center" vertical="center" wrapText="1"/>
    </xf>
    <xf numFmtId="3" fontId="73" fillId="0" borderId="162" xfId="10" applyNumberFormat="1" applyFont="1" applyBorder="1" applyAlignment="1">
      <alignment horizontal="center" vertical="center" wrapText="1"/>
    </xf>
    <xf numFmtId="10" fontId="73" fillId="0" borderId="162" xfId="10" applyNumberFormat="1" applyFont="1" applyBorder="1" applyAlignment="1">
      <alignment horizontal="center" vertical="center" wrapText="1"/>
    </xf>
    <xf numFmtId="0" fontId="73" fillId="0" borderId="163" xfId="10" applyFont="1" applyBorder="1" applyAlignment="1">
      <alignment horizontal="center" vertical="center" wrapText="1"/>
    </xf>
    <xf numFmtId="0" fontId="53" fillId="0" borderId="67" xfId="10" applyBorder="1" applyAlignment="1">
      <alignment vertical="center" wrapText="1"/>
    </xf>
    <xf numFmtId="0" fontId="53" fillId="0" borderId="67" xfId="10" applyBorder="1" applyAlignment="1">
      <alignment horizontal="center" vertical="center"/>
    </xf>
    <xf numFmtId="3" fontId="53" fillId="0" borderId="67" xfId="10" applyNumberFormat="1" applyBorder="1" applyAlignment="1">
      <alignment vertical="center"/>
    </xf>
    <xf numFmtId="0" fontId="53" fillId="0" borderId="160" xfId="10" applyBorder="1"/>
    <xf numFmtId="0" fontId="73" fillId="0" borderId="162" xfId="10" applyFont="1" applyBorder="1" applyAlignment="1">
      <alignment vertical="center" wrapText="1"/>
    </xf>
    <xf numFmtId="0" fontId="53" fillId="0" borderId="162" xfId="10" applyBorder="1" applyAlignment="1">
      <alignment horizontal="center" vertical="center"/>
    </xf>
    <xf numFmtId="3" fontId="53" fillId="0" borderId="162" xfId="10" applyNumberFormat="1" applyBorder="1" applyAlignment="1">
      <alignment vertical="center"/>
    </xf>
    <xf numFmtId="10" fontId="53" fillId="0" borderId="162" xfId="10" applyNumberFormat="1" applyBorder="1" applyAlignment="1">
      <alignment horizontal="center" vertical="center"/>
    </xf>
    <xf numFmtId="0" fontId="53" fillId="0" borderId="163" xfId="10" applyBorder="1"/>
    <xf numFmtId="0" fontId="73" fillId="0" borderId="0" xfId="10" applyFont="1" applyAlignment="1">
      <alignment vertical="center" wrapText="1"/>
    </xf>
    <xf numFmtId="0" fontId="73" fillId="0" borderId="158" xfId="10" applyFont="1" applyBorder="1" applyAlignment="1">
      <alignment vertical="center" wrapText="1"/>
    </xf>
    <xf numFmtId="0" fontId="53" fillId="0" borderId="165" xfId="10" applyBorder="1" applyAlignment="1">
      <alignment vertical="center" wrapText="1"/>
    </xf>
    <xf numFmtId="0" fontId="53" fillId="0" borderId="165" xfId="10" applyBorder="1" applyAlignment="1">
      <alignment horizontal="center" vertical="center"/>
    </xf>
    <xf numFmtId="3" fontId="53" fillId="0" borderId="165" xfId="10" applyNumberFormat="1" applyBorder="1" applyAlignment="1">
      <alignment vertical="center"/>
    </xf>
    <xf numFmtId="10" fontId="53" fillId="0" borderId="165" xfId="10" applyNumberFormat="1" applyBorder="1" applyAlignment="1">
      <alignment horizontal="center" vertical="center"/>
    </xf>
    <xf numFmtId="0" fontId="53" fillId="0" borderId="166" xfId="10" applyBorder="1"/>
    <xf numFmtId="0" fontId="53" fillId="0" borderId="158" xfId="10" applyBorder="1" applyAlignment="1">
      <alignment vertical="center" wrapText="1"/>
    </xf>
    <xf numFmtId="0" fontId="73" fillId="0" borderId="67" xfId="10" applyFont="1" applyBorder="1" applyAlignment="1">
      <alignment vertical="center" wrapText="1"/>
    </xf>
    <xf numFmtId="0" fontId="53" fillId="0" borderId="155" xfId="10" quotePrefix="1" applyBorder="1" applyAlignment="1">
      <alignment horizontal="center" vertical="center"/>
    </xf>
    <xf numFmtId="0" fontId="53" fillId="0" borderId="67" xfId="10" quotePrefix="1" applyBorder="1" applyAlignment="1">
      <alignment horizontal="center" vertical="center"/>
    </xf>
    <xf numFmtId="0" fontId="53" fillId="0" borderId="162" xfId="10" quotePrefix="1" applyBorder="1" applyAlignment="1">
      <alignment horizontal="center" vertical="center"/>
    </xf>
    <xf numFmtId="0" fontId="73" fillId="0" borderId="167" xfId="10" applyFont="1" applyBorder="1" applyAlignment="1">
      <alignment horizontal="center" vertical="center" wrapText="1"/>
    </xf>
    <xf numFmtId="0" fontId="73" fillId="0" borderId="168" xfId="10" applyFont="1" applyBorder="1" applyAlignment="1">
      <alignment horizontal="center" vertical="center" wrapText="1"/>
    </xf>
    <xf numFmtId="3" fontId="73" fillId="0" borderId="168" xfId="10" applyNumberFormat="1" applyFont="1" applyBorder="1" applyAlignment="1">
      <alignment horizontal="center" vertical="center" wrapText="1"/>
    </xf>
    <xf numFmtId="0" fontId="73" fillId="0" borderId="169" xfId="10" applyFont="1" applyBorder="1" applyAlignment="1">
      <alignment horizontal="center" vertical="center" wrapText="1"/>
    </xf>
    <xf numFmtId="2" fontId="53" fillId="0" borderId="0" xfId="10" applyNumberFormat="1" applyAlignment="1">
      <alignment horizontal="center" vertical="top"/>
    </xf>
    <xf numFmtId="2" fontId="73" fillId="0" borderId="168" xfId="10" applyNumberFormat="1" applyFont="1" applyBorder="1" applyAlignment="1">
      <alignment horizontal="center" vertical="center" wrapText="1"/>
    </xf>
    <xf numFmtId="2" fontId="73" fillId="0" borderId="0" xfId="10" applyNumberFormat="1" applyFont="1" applyAlignment="1">
      <alignment horizontal="center" vertical="center" wrapText="1"/>
    </xf>
    <xf numFmtId="2" fontId="73" fillId="0" borderId="67" xfId="10" applyNumberFormat="1" applyFont="1" applyBorder="1" applyAlignment="1">
      <alignment horizontal="center" vertical="center" wrapText="1"/>
    </xf>
    <xf numFmtId="2" fontId="73" fillId="0" borderId="162" xfId="10" applyNumberFormat="1" applyFont="1" applyBorder="1" applyAlignment="1">
      <alignment horizontal="center" vertical="center" wrapText="1"/>
    </xf>
    <xf numFmtId="2" fontId="53" fillId="0" borderId="148" xfId="10" applyNumberFormat="1" applyBorder="1" applyAlignment="1">
      <alignment horizontal="center" vertical="center"/>
    </xf>
    <xf numFmtId="2" fontId="53" fillId="0" borderId="155" xfId="10" applyNumberFormat="1" applyBorder="1" applyAlignment="1">
      <alignment horizontal="center" vertical="center"/>
    </xf>
    <xf numFmtId="2" fontId="53" fillId="0" borderId="67" xfId="10" applyNumberFormat="1" applyBorder="1" applyAlignment="1">
      <alignment horizontal="center" vertical="center"/>
    </xf>
    <xf numFmtId="2" fontId="53" fillId="0" borderId="162" xfId="10" applyNumberFormat="1" applyBorder="1" applyAlignment="1">
      <alignment horizontal="center" vertical="center"/>
    </xf>
    <xf numFmtId="2" fontId="53" fillId="0" borderId="0" xfId="10" applyNumberFormat="1" applyAlignment="1">
      <alignment horizontal="center" vertical="center"/>
    </xf>
    <xf numFmtId="2" fontId="53" fillId="0" borderId="165" xfId="10" applyNumberFormat="1" applyBorder="1" applyAlignment="1">
      <alignment horizontal="center" vertical="center"/>
    </xf>
    <xf numFmtId="2" fontId="53" fillId="0" borderId="149" xfId="10" applyNumberFormat="1" applyBorder="1" applyAlignment="1">
      <alignment horizontal="center" vertical="center"/>
    </xf>
    <xf numFmtId="0" fontId="73" fillId="0" borderId="176" xfId="10" applyFont="1" applyBorder="1" applyAlignment="1">
      <alignment horizontal="center" vertical="center" wrapText="1"/>
    </xf>
    <xf numFmtId="0" fontId="73" fillId="0" borderId="177" xfId="10" applyFont="1" applyBorder="1" applyAlignment="1">
      <alignment horizontal="center" vertical="center" wrapText="1"/>
    </xf>
    <xf numFmtId="2" fontId="73" fillId="0" borderId="177" xfId="10" applyNumberFormat="1" applyFont="1" applyBorder="1" applyAlignment="1">
      <alignment horizontal="center" vertical="center" wrapText="1"/>
    </xf>
    <xf numFmtId="3" fontId="73" fillId="0" borderId="177" xfId="10" applyNumberFormat="1" applyFont="1" applyBorder="1" applyAlignment="1">
      <alignment horizontal="center" vertical="center" wrapText="1"/>
    </xf>
    <xf numFmtId="3" fontId="73" fillId="0" borderId="169" xfId="10" applyNumberFormat="1" applyFont="1" applyBorder="1" applyAlignment="1">
      <alignment horizontal="center" vertical="center" wrapText="1"/>
    </xf>
    <xf numFmtId="3" fontId="73" fillId="0" borderId="178" xfId="10" applyNumberFormat="1" applyFont="1" applyBorder="1" applyAlignment="1">
      <alignment horizontal="center" vertical="center" wrapText="1"/>
    </xf>
    <xf numFmtId="0" fontId="53" fillId="0" borderId="126" xfId="10" applyBorder="1" applyAlignment="1">
      <alignment vertical="center" wrapText="1"/>
    </xf>
    <xf numFmtId="0" fontId="53" fillId="0" borderId="126" xfId="10" applyBorder="1" applyAlignment="1">
      <alignment horizontal="left" vertical="top" indent="1"/>
    </xf>
    <xf numFmtId="2" fontId="53" fillId="0" borderId="126" xfId="10" applyNumberFormat="1" applyBorder="1" applyAlignment="1">
      <alignment horizontal="center" vertical="top"/>
    </xf>
    <xf numFmtId="3" fontId="53" fillId="0" borderId="126" xfId="10" applyNumberFormat="1" applyBorder="1"/>
    <xf numFmtId="3" fontId="53" fillId="0" borderId="135" xfId="10" applyNumberFormat="1" applyBorder="1"/>
    <xf numFmtId="0" fontId="53" fillId="0" borderId="174" xfId="10" applyBorder="1" applyAlignment="1">
      <alignment vertical="center" wrapText="1"/>
    </xf>
    <xf numFmtId="2" fontId="53" fillId="0" borderId="148" xfId="10" applyNumberFormat="1" applyBorder="1" applyAlignment="1">
      <alignment horizontal="center" vertical="top"/>
    </xf>
    <xf numFmtId="3" fontId="53" fillId="0" borderId="148" xfId="10" applyNumberFormat="1" applyBorder="1"/>
    <xf numFmtId="2" fontId="53" fillId="0" borderId="179" xfId="10" applyNumberFormat="1" applyBorder="1" applyAlignment="1">
      <alignment horizontal="center" vertical="top"/>
    </xf>
    <xf numFmtId="3" fontId="53" fillId="0" borderId="179" xfId="10" applyNumberFormat="1" applyBorder="1"/>
    <xf numFmtId="0" fontId="53" fillId="0" borderId="180" xfId="10" applyBorder="1" applyAlignment="1">
      <alignment horizontal="center" vertical="top"/>
    </xf>
    <xf numFmtId="2" fontId="53" fillId="0" borderId="180" xfId="10" applyNumberFormat="1" applyBorder="1" applyAlignment="1">
      <alignment horizontal="center" vertical="top"/>
    </xf>
    <xf numFmtId="3" fontId="53" fillId="0" borderId="180" xfId="10" applyNumberFormat="1" applyBorder="1"/>
    <xf numFmtId="0" fontId="53" fillId="0" borderId="162" xfId="10" applyBorder="1" applyAlignment="1">
      <alignment vertical="top"/>
    </xf>
    <xf numFmtId="0" fontId="53" fillId="0" borderId="158" xfId="10" applyBorder="1" applyAlignment="1">
      <alignment vertical="top"/>
    </xf>
    <xf numFmtId="3" fontId="53" fillId="0" borderId="171" xfId="10" applyNumberFormat="1" applyBorder="1"/>
    <xf numFmtId="3" fontId="53" fillId="0" borderId="151" xfId="10" applyNumberFormat="1" applyBorder="1"/>
    <xf numFmtId="3" fontId="53" fillId="0" borderId="172" xfId="10" applyNumberFormat="1" applyBorder="1"/>
    <xf numFmtId="0" fontId="73" fillId="0" borderId="170" xfId="10" applyFont="1" applyBorder="1" applyAlignment="1">
      <alignment vertical="center" wrapText="1"/>
    </xf>
    <xf numFmtId="0" fontId="53" fillId="0" borderId="170" xfId="10" applyBorder="1" applyAlignment="1">
      <alignment horizontal="center" vertical="top"/>
    </xf>
    <xf numFmtId="2" fontId="53" fillId="0" borderId="170" xfId="10" applyNumberFormat="1" applyBorder="1" applyAlignment="1">
      <alignment horizontal="center" vertical="top"/>
    </xf>
    <xf numFmtId="3" fontId="53" fillId="0" borderId="170" xfId="10" applyNumberFormat="1" applyBorder="1"/>
    <xf numFmtId="9" fontId="53" fillId="0" borderId="158" xfId="10" applyNumberFormat="1" applyBorder="1" applyAlignment="1">
      <alignment horizontal="center" vertical="top"/>
    </xf>
    <xf numFmtId="2" fontId="53" fillId="0" borderId="158" xfId="10" applyNumberFormat="1" applyBorder="1" applyAlignment="1">
      <alignment horizontal="center" vertical="top"/>
    </xf>
    <xf numFmtId="3" fontId="53" fillId="0" borderId="158" xfId="10" applyNumberFormat="1" applyBorder="1"/>
    <xf numFmtId="0" fontId="53" fillId="0" borderId="158" xfId="10" applyBorder="1" applyAlignment="1">
      <alignment horizontal="center" vertical="top"/>
    </xf>
    <xf numFmtId="0" fontId="73" fillId="0" borderId="165" xfId="10" applyFont="1" applyBorder="1" applyAlignment="1">
      <alignment vertical="center" wrapText="1"/>
    </xf>
    <xf numFmtId="0" fontId="53" fillId="0" borderId="165" xfId="10" applyBorder="1" applyAlignment="1">
      <alignment horizontal="center" vertical="top"/>
    </xf>
    <xf numFmtId="2" fontId="53" fillId="0" borderId="165" xfId="10" applyNumberFormat="1" applyBorder="1" applyAlignment="1">
      <alignment horizontal="center" vertical="top"/>
    </xf>
    <xf numFmtId="3" fontId="53" fillId="0" borderId="165" xfId="10" applyNumberFormat="1" applyBorder="1"/>
    <xf numFmtId="0" fontId="73" fillId="0" borderId="177" xfId="10" applyFont="1" applyBorder="1" applyAlignment="1">
      <alignment vertical="center" wrapText="1"/>
    </xf>
    <xf numFmtId="2" fontId="53" fillId="0" borderId="179" xfId="10" applyNumberFormat="1" applyBorder="1"/>
    <xf numFmtId="2" fontId="53" fillId="0" borderId="148" xfId="10" applyNumberFormat="1" applyBorder="1"/>
    <xf numFmtId="0" fontId="73" fillId="0" borderId="183" xfId="10" applyFont="1" applyBorder="1" applyAlignment="1">
      <alignment horizontal="center" vertical="center" wrapText="1"/>
    </xf>
    <xf numFmtId="0" fontId="53" fillId="0" borderId="155" xfId="10" applyBorder="1" applyAlignment="1">
      <alignment horizontal="center" vertical="top"/>
    </xf>
    <xf numFmtId="0" fontId="53" fillId="0" borderId="165" xfId="10" applyBorder="1" applyAlignment="1">
      <alignment vertical="top"/>
    </xf>
    <xf numFmtId="2" fontId="53" fillId="0" borderId="185" xfId="10" applyNumberFormat="1" applyBorder="1" applyAlignment="1">
      <alignment horizontal="center" vertical="top"/>
    </xf>
    <xf numFmtId="2" fontId="53" fillId="0" borderId="185" xfId="10" applyNumberFormat="1" applyBorder="1"/>
    <xf numFmtId="3" fontId="53" fillId="0" borderId="185" xfId="10" applyNumberFormat="1" applyBorder="1"/>
    <xf numFmtId="2" fontId="53" fillId="0" borderId="155" xfId="10" applyNumberFormat="1" applyBorder="1" applyAlignment="1">
      <alignment horizontal="center" vertical="top"/>
    </xf>
    <xf numFmtId="3" fontId="53" fillId="0" borderId="155" xfId="10" applyNumberFormat="1" applyBorder="1"/>
    <xf numFmtId="3" fontId="53" fillId="0" borderId="181" xfId="10" applyNumberFormat="1" applyBorder="1"/>
    <xf numFmtId="3" fontId="53" fillId="0" borderId="188" xfId="10" applyNumberFormat="1" applyBorder="1"/>
    <xf numFmtId="3" fontId="53" fillId="0" borderId="156" xfId="10" applyNumberFormat="1" applyBorder="1"/>
    <xf numFmtId="10" fontId="73" fillId="0" borderId="174" xfId="10" applyNumberFormat="1" applyFont="1" applyBorder="1" applyAlignment="1">
      <alignment horizontal="center" vertical="center" wrapText="1"/>
    </xf>
    <xf numFmtId="10" fontId="53" fillId="0" borderId="184" xfId="10" applyNumberFormat="1" applyBorder="1" applyAlignment="1">
      <alignment horizontal="center" vertical="center"/>
    </xf>
    <xf numFmtId="10" fontId="53" fillId="0" borderId="174" xfId="10" applyNumberFormat="1" applyBorder="1" applyAlignment="1">
      <alignment horizontal="center" vertical="center"/>
    </xf>
    <xf numFmtId="10" fontId="53" fillId="0" borderId="173" xfId="10" applyNumberFormat="1" applyBorder="1" applyAlignment="1">
      <alignment horizontal="center" vertical="center"/>
    </xf>
    <xf numFmtId="3" fontId="73" fillId="0" borderId="96" xfId="10" applyNumberFormat="1" applyFont="1" applyBorder="1" applyAlignment="1">
      <alignment horizontal="center" vertical="center" wrapText="1"/>
    </xf>
    <xf numFmtId="3" fontId="73" fillId="0" borderId="175" xfId="10" applyNumberFormat="1" applyFont="1" applyBorder="1" applyAlignment="1">
      <alignment horizontal="center" vertical="center" wrapText="1"/>
    </xf>
    <xf numFmtId="3" fontId="73" fillId="0" borderId="163" xfId="10" applyNumberFormat="1" applyFont="1" applyBorder="1" applyAlignment="1">
      <alignment horizontal="center" vertical="center" wrapText="1"/>
    </xf>
    <xf numFmtId="3" fontId="53" fillId="0" borderId="151" xfId="10" applyNumberFormat="1" applyBorder="1" applyAlignment="1">
      <alignment vertical="center"/>
    </xf>
    <xf numFmtId="3" fontId="53" fillId="0" borderId="156" xfId="10" applyNumberFormat="1" applyBorder="1" applyAlignment="1">
      <alignment vertical="center"/>
    </xf>
    <xf numFmtId="3" fontId="73" fillId="0" borderId="96" xfId="10" applyNumberFormat="1" applyFont="1" applyBorder="1" applyAlignment="1">
      <alignment vertical="center"/>
    </xf>
    <xf numFmtId="3" fontId="53" fillId="0" borderId="175" xfId="10" applyNumberFormat="1" applyBorder="1" applyAlignment="1">
      <alignment vertical="center"/>
    </xf>
    <xf numFmtId="3" fontId="73" fillId="0" borderId="163" xfId="10" applyNumberFormat="1" applyFont="1" applyBorder="1" applyAlignment="1">
      <alignment vertical="center"/>
    </xf>
    <xf numFmtId="3" fontId="73" fillId="0" borderId="175" xfId="10" applyNumberFormat="1" applyFont="1" applyBorder="1" applyAlignment="1">
      <alignment vertical="center"/>
    </xf>
    <xf numFmtId="3" fontId="53" fillId="0" borderId="163" xfId="10" applyNumberFormat="1" applyBorder="1" applyAlignment="1">
      <alignment vertical="center"/>
    </xf>
    <xf numFmtId="3" fontId="53" fillId="0" borderId="96" xfId="10" applyNumberFormat="1" applyBorder="1" applyAlignment="1">
      <alignment vertical="center"/>
    </xf>
    <xf numFmtId="3" fontId="53" fillId="0" borderId="166" xfId="10" applyNumberFormat="1" applyBorder="1" applyAlignment="1">
      <alignment vertical="center"/>
    </xf>
    <xf numFmtId="3" fontId="53" fillId="0" borderId="153" xfId="10" applyNumberFormat="1" applyBorder="1" applyAlignment="1">
      <alignment vertical="center"/>
    </xf>
    <xf numFmtId="3" fontId="73" fillId="0" borderId="135" xfId="10" applyNumberFormat="1" applyFont="1" applyBorder="1" applyAlignment="1">
      <alignment vertical="center"/>
    </xf>
    <xf numFmtId="0" fontId="53" fillId="0" borderId="190" xfId="10" applyBorder="1" applyAlignment="1">
      <alignment horizontal="center" vertical="center"/>
    </xf>
    <xf numFmtId="3" fontId="53" fillId="0" borderId="184" xfId="10" applyNumberFormat="1" applyBorder="1" applyAlignment="1">
      <alignment vertical="center"/>
    </xf>
    <xf numFmtId="2" fontId="53" fillId="0" borderId="185" xfId="10" applyNumberFormat="1" applyBorder="1" applyAlignment="1">
      <alignment horizontal="center" vertical="center"/>
    </xf>
    <xf numFmtId="2" fontId="53" fillId="0" borderId="179" xfId="10" applyNumberFormat="1" applyBorder="1" applyAlignment="1">
      <alignment horizontal="center" vertical="center"/>
    </xf>
    <xf numFmtId="2" fontId="0" fillId="0" borderId="148" xfId="0" applyNumberFormat="1" applyBorder="1" applyAlignment="1">
      <alignment horizontal="center" vertical="center"/>
    </xf>
    <xf numFmtId="2" fontId="6" fillId="5" borderId="148" xfId="0" applyNumberFormat="1" applyFont="1" applyFill="1" applyBorder="1" applyAlignment="1">
      <alignment horizontal="center" vertical="center"/>
    </xf>
    <xf numFmtId="2" fontId="0" fillId="0" borderId="185" xfId="0" applyNumberFormat="1" applyBorder="1" applyAlignment="1">
      <alignment horizontal="center" vertical="center"/>
    </xf>
    <xf numFmtId="0" fontId="74" fillId="0" borderId="0" xfId="10" applyFont="1" applyAlignment="1">
      <alignment horizontal="left" vertical="center"/>
    </xf>
    <xf numFmtId="0" fontId="53" fillId="0" borderId="0" xfId="10" applyAlignment="1">
      <alignment horizontal="left" vertical="center"/>
    </xf>
    <xf numFmtId="0" fontId="53" fillId="0" borderId="186" xfId="10" applyBorder="1" applyAlignment="1">
      <alignment horizontal="center" vertical="center"/>
    </xf>
    <xf numFmtId="0" fontId="53" fillId="0" borderId="187" xfId="10" applyBorder="1" applyAlignment="1">
      <alignment horizontal="center" vertical="center"/>
    </xf>
    <xf numFmtId="0" fontId="53" fillId="0" borderId="150" xfId="10" applyBorder="1" applyAlignment="1">
      <alignment horizontal="center" vertical="center"/>
    </xf>
    <xf numFmtId="0" fontId="53" fillId="0" borderId="189" xfId="10" applyBorder="1" applyAlignment="1">
      <alignment horizontal="center" vertical="center"/>
    </xf>
    <xf numFmtId="0" fontId="53" fillId="0" borderId="154" xfId="10" applyBorder="1" applyAlignment="1">
      <alignment horizontal="center" vertical="center"/>
    </xf>
    <xf numFmtId="0" fontId="53" fillId="0" borderId="182" xfId="10" applyBorder="1" applyAlignment="1">
      <alignment horizontal="center" vertical="center"/>
    </xf>
    <xf numFmtId="0" fontId="53" fillId="0" borderId="157" xfId="10" applyBorder="1" applyAlignment="1">
      <alignment horizontal="center" vertical="center"/>
    </xf>
    <xf numFmtId="0" fontId="53" fillId="0" borderId="164" xfId="10" applyBorder="1" applyAlignment="1">
      <alignment horizontal="center" vertical="center"/>
    </xf>
    <xf numFmtId="0" fontId="53" fillId="0" borderId="176" xfId="10" applyBorder="1" applyAlignment="1">
      <alignment horizontal="center" vertical="center"/>
    </xf>
    <xf numFmtId="0" fontId="53" fillId="0" borderId="138" xfId="10" applyBorder="1" applyAlignment="1">
      <alignment horizontal="center" vertical="center"/>
    </xf>
    <xf numFmtId="0" fontId="53" fillId="0" borderId="97" xfId="10" applyBorder="1" applyAlignment="1">
      <alignment horizontal="center" vertical="center"/>
    </xf>
    <xf numFmtId="0" fontId="53" fillId="0" borderId="159" xfId="10" applyBorder="1" applyAlignment="1">
      <alignment horizontal="center" vertical="center"/>
    </xf>
    <xf numFmtId="0" fontId="73" fillId="0" borderId="161" xfId="10" applyFont="1" applyBorder="1" applyAlignment="1">
      <alignment horizontal="center" vertical="center"/>
    </xf>
    <xf numFmtId="0" fontId="73" fillId="0" borderId="97" xfId="10" applyFont="1" applyBorder="1" applyAlignment="1">
      <alignment horizontal="center" vertical="center"/>
    </xf>
    <xf numFmtId="0" fontId="53" fillId="0" borderId="152" xfId="10" applyBorder="1" applyAlignment="1">
      <alignment horizontal="center" vertical="center"/>
    </xf>
    <xf numFmtId="2" fontId="53" fillId="0" borderId="191" xfId="10" applyNumberFormat="1" applyBorder="1" applyAlignment="1">
      <alignment horizontal="center" vertical="center"/>
    </xf>
    <xf numFmtId="3" fontId="53" fillId="8" borderId="148" xfId="10" applyNumberFormat="1" applyFill="1" applyBorder="1" applyAlignment="1">
      <alignment vertical="center"/>
    </xf>
    <xf numFmtId="2" fontId="53" fillId="0" borderId="0" xfId="10" applyNumberFormat="1"/>
    <xf numFmtId="4" fontId="32" fillId="5" borderId="31" xfId="0" applyNumberFormat="1" applyFont="1" applyFill="1" applyBorder="1" applyAlignment="1">
      <alignment horizontal="right" vertical="center" shrinkToFit="1"/>
    </xf>
    <xf numFmtId="41" fontId="31" fillId="5" borderId="48" xfId="0" applyNumberFormat="1" applyFont="1" applyFill="1" applyBorder="1" applyAlignment="1">
      <alignment horizontal="right" vertical="center" wrapText="1"/>
    </xf>
    <xf numFmtId="0" fontId="32" fillId="5" borderId="192" xfId="0" applyFont="1" applyFill="1" applyBorder="1">
      <alignment vertical="center"/>
    </xf>
    <xf numFmtId="4" fontId="32" fillId="5" borderId="40" xfId="0" applyNumberFormat="1" applyFont="1" applyFill="1" applyBorder="1" applyAlignment="1">
      <alignment horizontal="right" vertical="center" shrinkToFit="1"/>
    </xf>
    <xf numFmtId="4" fontId="30" fillId="5" borderId="193" xfId="0" applyNumberFormat="1" applyFont="1" applyFill="1" applyBorder="1">
      <alignment vertical="center"/>
    </xf>
    <xf numFmtId="0" fontId="77" fillId="0" borderId="0" xfId="0" applyFont="1" applyAlignment="1">
      <alignment horizontal="center" vertical="center"/>
    </xf>
    <xf numFmtId="0" fontId="77" fillId="0" borderId="0" xfId="0" applyFont="1">
      <alignment vertical="center"/>
    </xf>
    <xf numFmtId="0" fontId="78" fillId="0" borderId="0" xfId="0" applyFont="1" applyAlignment="1">
      <alignment horizontal="center" vertical="center"/>
    </xf>
    <xf numFmtId="192" fontId="78" fillId="0" borderId="0" xfId="12" applyNumberFormat="1" applyFont="1" applyBorder="1" applyAlignment="1">
      <alignment vertical="center"/>
    </xf>
    <xf numFmtId="43" fontId="78" fillId="0" borderId="0" xfId="12" applyFont="1" applyAlignment="1">
      <alignment vertical="center"/>
    </xf>
    <xf numFmtId="0" fontId="77" fillId="0" borderId="40" xfId="0" applyFont="1" applyBorder="1" applyAlignment="1">
      <alignment horizontal="center" vertical="center"/>
    </xf>
    <xf numFmtId="0" fontId="78" fillId="0" borderId="34" xfId="0" applyFont="1" applyBorder="1">
      <alignment vertical="center"/>
    </xf>
    <xf numFmtId="0" fontId="77" fillId="0" borderId="177" xfId="0" applyFont="1" applyBorder="1">
      <alignment vertical="center"/>
    </xf>
    <xf numFmtId="0" fontId="78" fillId="0" borderId="40" xfId="0" applyFont="1" applyBorder="1" applyAlignment="1">
      <alignment horizontal="center" vertical="center"/>
    </xf>
    <xf numFmtId="192" fontId="78" fillId="0" borderId="40" xfId="12" applyNumberFormat="1" applyFont="1" applyBorder="1" applyAlignment="1">
      <alignment vertical="center"/>
    </xf>
    <xf numFmtId="43" fontId="78" fillId="0" borderId="40" xfId="12" applyFont="1" applyBorder="1" applyAlignment="1">
      <alignment vertical="center"/>
    </xf>
    <xf numFmtId="0" fontId="77" fillId="0" borderId="65" xfId="0" applyFont="1" applyBorder="1" applyAlignment="1">
      <alignment horizontal="center" vertical="center"/>
    </xf>
    <xf numFmtId="0" fontId="78" fillId="0" borderId="99" xfId="0" applyFont="1" applyBorder="1">
      <alignment vertical="center"/>
    </xf>
    <xf numFmtId="0" fontId="77" fillId="0" borderId="66" xfId="0" applyFont="1" applyBorder="1">
      <alignment vertical="center"/>
    </xf>
    <xf numFmtId="0" fontId="78" fillId="0" borderId="65" xfId="0" applyFont="1" applyBorder="1" applyAlignment="1">
      <alignment horizontal="center" vertical="center"/>
    </xf>
    <xf numFmtId="192" fontId="78" fillId="0" borderId="65" xfId="12" applyNumberFormat="1" applyFont="1" applyBorder="1" applyAlignment="1">
      <alignment vertical="center"/>
    </xf>
    <xf numFmtId="43" fontId="78" fillId="0" borderId="65" xfId="12" applyFont="1" applyBorder="1" applyAlignment="1">
      <alignment vertical="center"/>
    </xf>
    <xf numFmtId="0" fontId="78" fillId="0" borderId="194" xfId="0" applyFont="1" applyBorder="1" applyAlignment="1">
      <alignment horizontal="center" vertical="center"/>
    </xf>
    <xf numFmtId="0" fontId="77" fillId="0" borderId="34" xfId="0" applyFont="1" applyBorder="1" applyAlignment="1">
      <alignment horizontal="left" vertical="center"/>
    </xf>
    <xf numFmtId="0" fontId="78" fillId="0" borderId="177" xfId="0" applyFont="1" applyBorder="1" applyAlignment="1">
      <alignment horizontal="centerContinuous" vertical="center"/>
    </xf>
    <xf numFmtId="0" fontId="78" fillId="0" borderId="177" xfId="0" applyFont="1" applyBorder="1" applyAlignment="1">
      <alignment horizontal="center" vertical="center"/>
    </xf>
    <xf numFmtId="192" fontId="78" fillId="0" borderId="177" xfId="12" applyNumberFormat="1" applyFont="1" applyBorder="1" applyAlignment="1">
      <alignment vertical="center"/>
    </xf>
    <xf numFmtId="43" fontId="78" fillId="0" borderId="35" xfId="12" applyFont="1" applyBorder="1" applyAlignment="1">
      <alignment horizontal="right" vertical="center"/>
    </xf>
    <xf numFmtId="43" fontId="77" fillId="0" borderId="40" xfId="12" applyFont="1" applyBorder="1" applyAlignment="1">
      <alignment vertical="center"/>
    </xf>
    <xf numFmtId="0" fontId="78" fillId="0" borderId="49" xfId="0" applyFont="1" applyBorder="1" applyAlignment="1">
      <alignment horizontal="center" vertical="center"/>
    </xf>
    <xf numFmtId="0" fontId="78" fillId="0" borderId="99" xfId="0" applyFont="1" applyBorder="1" applyAlignment="1">
      <alignment horizontal="left"/>
    </xf>
    <xf numFmtId="0" fontId="78" fillId="0" borderId="66" xfId="0" applyFont="1" applyBorder="1" applyAlignment="1">
      <alignment horizontal="centerContinuous"/>
    </xf>
    <xf numFmtId="0" fontId="78" fillId="0" borderId="66" xfId="0" applyFont="1" applyBorder="1" applyAlignment="1">
      <alignment horizontal="center"/>
    </xf>
    <xf numFmtId="192" fontId="78" fillId="0" borderId="66" xfId="12" applyNumberFormat="1" applyFont="1" applyBorder="1" applyAlignment="1"/>
    <xf numFmtId="43" fontId="78" fillId="0" borderId="35" xfId="12" applyFont="1" applyBorder="1" applyAlignment="1">
      <alignment horizontal="right"/>
    </xf>
    <xf numFmtId="43" fontId="78" fillId="0" borderId="65" xfId="12" applyFont="1" applyBorder="1"/>
    <xf numFmtId="0" fontId="77" fillId="0" borderId="99" xfId="0" applyFont="1" applyBorder="1" applyAlignment="1">
      <alignment horizontal="left"/>
    </xf>
    <xf numFmtId="0" fontId="77" fillId="0" borderId="66" xfId="0" applyFont="1" applyBorder="1" applyAlignment="1">
      <alignment horizontal="centerContinuous"/>
    </xf>
    <xf numFmtId="0" fontId="77" fillId="0" borderId="66" xfId="0" applyFont="1" applyBorder="1" applyAlignment="1">
      <alignment horizontal="center"/>
    </xf>
    <xf numFmtId="192" fontId="77" fillId="0" borderId="66" xfId="12" applyNumberFormat="1" applyFont="1" applyBorder="1" applyAlignment="1" applyProtection="1"/>
    <xf numFmtId="43" fontId="77" fillId="0" borderId="65" xfId="12" applyFont="1" applyBorder="1"/>
    <xf numFmtId="3" fontId="53" fillId="14" borderId="148" xfId="10" applyNumberFormat="1" applyFill="1" applyBorder="1" applyAlignment="1">
      <alignment vertical="center"/>
    </xf>
    <xf numFmtId="3" fontId="73" fillId="8" borderId="96" xfId="10" applyNumberFormat="1" applyFont="1" applyFill="1" applyBorder="1" applyAlignment="1">
      <alignment vertical="center"/>
    </xf>
    <xf numFmtId="3" fontId="73" fillId="14" borderId="96" xfId="10" applyNumberFormat="1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right" vertical="center" shrinkToFit="1"/>
    </xf>
    <xf numFmtId="4" fontId="10" fillId="5" borderId="9" xfId="0" applyNumberFormat="1" applyFont="1" applyFill="1" applyBorder="1" applyAlignment="1">
      <alignment horizontal="right" vertical="center" shrinkToFit="1"/>
    </xf>
    <xf numFmtId="0" fontId="73" fillId="0" borderId="174" xfId="10" applyFont="1" applyBorder="1" applyAlignment="1">
      <alignment horizontal="center" vertical="center" wrapText="1"/>
    </xf>
    <xf numFmtId="0" fontId="73" fillId="0" borderId="174" xfId="10" applyFont="1" applyBorder="1" applyAlignment="1">
      <alignment vertical="center" wrapText="1"/>
    </xf>
    <xf numFmtId="2" fontId="0" fillId="0" borderId="179" xfId="0" applyNumberFormat="1" applyBorder="1" applyAlignment="1">
      <alignment horizontal="center" vertical="center"/>
    </xf>
    <xf numFmtId="0" fontId="73" fillId="0" borderId="67" xfId="10" applyFont="1" applyBorder="1" applyAlignment="1">
      <alignment horizontal="left" vertical="center" wrapText="1"/>
    </xf>
    <xf numFmtId="0" fontId="53" fillId="0" borderId="158" xfId="10" applyBorder="1" applyAlignment="1">
      <alignment vertical="center"/>
    </xf>
    <xf numFmtId="2" fontId="3" fillId="0" borderId="148" xfId="0" applyNumberFormat="1" applyFont="1" applyBorder="1" applyAlignment="1">
      <alignment horizontal="center" vertical="center"/>
    </xf>
    <xf numFmtId="193" fontId="62" fillId="0" borderId="0" xfId="18" applyNumberFormat="1" applyFont="1" applyAlignment="1" applyProtection="1">
      <alignment horizontal="center" vertical="center"/>
    </xf>
    <xf numFmtId="193" fontId="79" fillId="0" borderId="0" xfId="18" applyNumberFormat="1" applyFont="1" applyBorder="1" applyAlignment="1" applyProtection="1">
      <alignment horizontal="center" vertical="center"/>
    </xf>
    <xf numFmtId="193" fontId="62" fillId="0" borderId="0" xfId="18" quotePrefix="1" applyNumberFormat="1" applyFont="1" applyAlignment="1" applyProtection="1">
      <alignment horizontal="center" vertical="center"/>
    </xf>
    <xf numFmtId="193" fontId="80" fillId="0" borderId="0" xfId="18" applyNumberFormat="1" applyFont="1" applyAlignment="1" applyProtection="1">
      <alignment horizontal="center" vertical="center"/>
    </xf>
    <xf numFmtId="0" fontId="49" fillId="0" borderId="0" xfId="6" applyFont="1" applyAlignment="1">
      <alignment horizontal="center"/>
    </xf>
    <xf numFmtId="1" fontId="49" fillId="0" borderId="0" xfId="6" applyNumberFormat="1" applyFont="1" applyAlignment="1">
      <alignment horizontal="center"/>
    </xf>
    <xf numFmtId="0" fontId="49" fillId="0" borderId="117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 vertical="center"/>
    </xf>
    <xf numFmtId="0" fontId="49" fillId="0" borderId="118" xfId="6" applyFont="1" applyBorder="1" applyAlignment="1">
      <alignment horizontal="center" vertical="center"/>
    </xf>
    <xf numFmtId="0" fontId="49" fillId="0" borderId="4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 vertical="center"/>
    </xf>
    <xf numFmtId="0" fontId="49" fillId="0" borderId="49" xfId="6" applyFont="1" applyBorder="1" applyAlignment="1">
      <alignment horizontal="center" vertical="center"/>
    </xf>
    <xf numFmtId="0" fontId="49" fillId="0" borderId="120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 vertical="center"/>
    </xf>
    <xf numFmtId="0" fontId="49" fillId="0" borderId="124" xfId="6" applyFont="1" applyBorder="1" applyAlignment="1">
      <alignment horizontal="center" vertical="center"/>
    </xf>
    <xf numFmtId="0" fontId="50" fillId="0" borderId="121" xfId="6" applyFont="1" applyBorder="1" applyAlignment="1">
      <alignment horizontal="center" vertical="center"/>
    </xf>
    <xf numFmtId="0" fontId="50" fillId="0" borderId="126" xfId="6" applyFont="1" applyBorder="1" applyAlignment="1">
      <alignment horizontal="center"/>
    </xf>
    <xf numFmtId="0" fontId="51" fillId="0" borderId="0" xfId="4" applyFont="1" applyAlignment="1">
      <alignment horizontal="center"/>
    </xf>
    <xf numFmtId="0" fontId="50" fillId="0" borderId="0" xfId="6" applyFont="1" applyAlignment="1">
      <alignment horizontal="center" vertical="center"/>
    </xf>
    <xf numFmtId="0" fontId="50" fillId="0" borderId="126" xfId="6" applyFont="1" applyBorder="1" applyAlignment="1">
      <alignment horizontal="center" vertical="center"/>
    </xf>
    <xf numFmtId="0" fontId="28" fillId="5" borderId="75" xfId="0" applyFont="1" applyFill="1" applyBorder="1" applyAlignment="1">
      <alignment horizontal="left" vertical="center"/>
    </xf>
    <xf numFmtId="0" fontId="28" fillId="5" borderId="44" xfId="0" applyFont="1" applyFill="1" applyBorder="1" applyAlignment="1">
      <alignment horizontal="left" vertical="center"/>
    </xf>
    <xf numFmtId="0" fontId="28" fillId="6" borderId="34" xfId="0" applyFont="1" applyFill="1" applyBorder="1" applyAlignment="1">
      <alignment horizontal="left" vertical="center"/>
    </xf>
    <xf numFmtId="0" fontId="28" fillId="6" borderId="35" xfId="0" applyFont="1" applyFill="1" applyBorder="1" applyAlignment="1">
      <alignment horizontal="left" vertical="center"/>
    </xf>
    <xf numFmtId="0" fontId="28" fillId="6" borderId="99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left" vertical="center"/>
    </xf>
    <xf numFmtId="0" fontId="42" fillId="5" borderId="0" xfId="0" applyFont="1" applyFill="1" applyAlignment="1">
      <alignment horizontal="center" vertical="center"/>
    </xf>
    <xf numFmtId="0" fontId="28" fillId="6" borderId="3" xfId="0" applyFont="1" applyFill="1" applyBorder="1" applyAlignment="1">
      <alignment horizontal="left" vertical="center"/>
    </xf>
    <xf numFmtId="0" fontId="28" fillId="5" borderId="34" xfId="0" applyFont="1" applyFill="1" applyBorder="1" applyAlignment="1">
      <alignment horizontal="left" vertical="center"/>
    </xf>
    <xf numFmtId="0" fontId="28" fillId="5" borderId="3" xfId="0" applyFont="1" applyFill="1" applyBorder="1" applyAlignment="1">
      <alignment horizontal="left" vertical="center"/>
    </xf>
    <xf numFmtId="0" fontId="28" fillId="5" borderId="87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67" fillId="0" borderId="34" xfId="17" applyFont="1" applyBorder="1" applyAlignment="1">
      <alignment horizontal="left" vertical="center" wrapText="1"/>
    </xf>
    <xf numFmtId="0" fontId="67" fillId="0" borderId="35" xfId="17" applyFont="1" applyBorder="1" applyAlignment="1">
      <alignment horizontal="left" vertical="center" wrapText="1"/>
    </xf>
    <xf numFmtId="0" fontId="67" fillId="0" borderId="34" xfId="17" applyFont="1" applyBorder="1" applyAlignment="1">
      <alignment horizontal="center" vertical="center"/>
    </xf>
    <xf numFmtId="0" fontId="67" fillId="0" borderId="3" xfId="17" applyFont="1" applyBorder="1" applyAlignment="1">
      <alignment horizontal="center" vertical="center"/>
    </xf>
    <xf numFmtId="0" fontId="66" fillId="0" borderId="99" xfId="17" applyFont="1" applyBorder="1" applyAlignment="1">
      <alignment horizontal="left" vertical="center" wrapText="1"/>
    </xf>
    <xf numFmtId="0" fontId="66" fillId="0" borderId="140" xfId="17" applyFont="1" applyBorder="1" applyAlignment="1">
      <alignment horizontal="left" vertical="center" wrapText="1"/>
    </xf>
    <xf numFmtId="0" fontId="66" fillId="0" borderId="34" xfId="17" applyFont="1" applyBorder="1" applyAlignment="1">
      <alignment horizontal="left" vertical="center" wrapText="1"/>
    </xf>
    <xf numFmtId="0" fontId="66" fillId="0" borderId="35" xfId="17" applyFont="1" applyBorder="1" applyAlignment="1">
      <alignment horizontal="left" vertical="center" wrapText="1"/>
    </xf>
    <xf numFmtId="0" fontId="66" fillId="0" borderId="4" xfId="17" applyFont="1" applyBorder="1" applyAlignment="1">
      <alignment horizontal="left" vertical="top" wrapText="1"/>
    </xf>
    <xf numFmtId="0" fontId="66" fillId="0" borderId="99" xfId="17" applyFont="1" applyBorder="1" applyAlignment="1">
      <alignment horizontal="left" vertical="top" wrapText="1"/>
    </xf>
    <xf numFmtId="0" fontId="66" fillId="0" borderId="4" xfId="17" applyFont="1" applyBorder="1" applyAlignment="1">
      <alignment horizontal="left" vertical="center" wrapText="1"/>
    </xf>
    <xf numFmtId="0" fontId="72" fillId="0" borderId="34" xfId="17" applyFont="1" applyBorder="1" applyAlignment="1">
      <alignment horizontal="left" vertical="center" wrapText="1"/>
    </xf>
    <xf numFmtId="0" fontId="72" fillId="0" borderId="35" xfId="17" applyFont="1" applyBorder="1" applyAlignment="1">
      <alignment horizontal="left" vertical="center" wrapText="1"/>
    </xf>
    <xf numFmtId="0" fontId="67" fillId="13" borderId="3" xfId="17" applyFont="1" applyFill="1" applyBorder="1" applyAlignment="1">
      <alignment horizontal="left" vertical="center"/>
    </xf>
    <xf numFmtId="0" fontId="66" fillId="0" borderId="34" xfId="17" applyFont="1" applyBorder="1" applyAlignment="1">
      <alignment horizontal="left" vertical="center"/>
    </xf>
    <xf numFmtId="0" fontId="66" fillId="0" borderId="35" xfId="17" applyFont="1" applyBorder="1" applyAlignment="1">
      <alignment horizontal="left" vertical="center"/>
    </xf>
    <xf numFmtId="0" fontId="67" fillId="0" borderId="34" xfId="17" applyFont="1" applyBorder="1" applyAlignment="1">
      <alignment horizontal="left" vertical="center"/>
    </xf>
    <xf numFmtId="0" fontId="67" fillId="0" borderId="35" xfId="17" applyFont="1" applyBorder="1" applyAlignment="1">
      <alignment horizontal="left" vertical="center"/>
    </xf>
    <xf numFmtId="9" fontId="66" fillId="0" borderId="64" xfId="17" applyNumberFormat="1" applyFont="1" applyBorder="1" applyAlignment="1">
      <alignment horizontal="center" vertical="center" wrapText="1"/>
    </xf>
    <xf numFmtId="0" fontId="66" fillId="0" borderId="49" xfId="17" applyFont="1" applyBorder="1" applyAlignment="1">
      <alignment horizontal="center" vertical="center" wrapText="1"/>
    </xf>
    <xf numFmtId="0" fontId="66" fillId="0" borderId="65" xfId="17" applyFont="1" applyBorder="1" applyAlignment="1">
      <alignment horizontal="center" vertical="center" wrapText="1"/>
    </xf>
    <xf numFmtId="191" fontId="66" fillId="0" borderId="64" xfId="17" applyNumberFormat="1" applyFont="1" applyBorder="1" applyAlignment="1">
      <alignment horizontal="center" vertical="center" wrapText="1"/>
    </xf>
    <xf numFmtId="191" fontId="66" fillId="0" borderId="49" xfId="17" applyNumberFormat="1" applyFont="1" applyBorder="1" applyAlignment="1">
      <alignment horizontal="center" vertical="center" wrapText="1"/>
    </xf>
    <xf numFmtId="191" fontId="66" fillId="0" borderId="65" xfId="17" applyNumberFormat="1" applyFont="1" applyBorder="1" applyAlignment="1">
      <alignment horizontal="center" vertical="center" wrapText="1"/>
    </xf>
    <xf numFmtId="0" fontId="66" fillId="0" borderId="65" xfId="17" applyFont="1" applyBorder="1" applyAlignment="1">
      <alignment horizontal="center" vertical="center"/>
    </xf>
    <xf numFmtId="0" fontId="66" fillId="0" borderId="40" xfId="17" applyFont="1" applyBorder="1" applyAlignment="1">
      <alignment horizontal="center" vertical="center"/>
    </xf>
    <xf numFmtId="41" fontId="66" fillId="0" borderId="65" xfId="18" applyFont="1" applyBorder="1" applyAlignment="1">
      <alignment horizontal="center" vertical="center"/>
    </xf>
    <xf numFmtId="41" fontId="66" fillId="0" borderId="40" xfId="18" applyFont="1" applyBorder="1" applyAlignment="1">
      <alignment horizontal="center" vertical="center"/>
    </xf>
    <xf numFmtId="164" fontId="66" fillId="0" borderId="65" xfId="17" applyNumberFormat="1" applyFont="1" applyBorder="1" applyAlignment="1">
      <alignment horizontal="center" vertical="center"/>
    </xf>
    <xf numFmtId="43" fontId="65" fillId="12" borderId="0" xfId="16" applyNumberFormat="1" applyFont="1" applyFill="1" applyAlignment="1">
      <alignment horizontal="center" vertical="center"/>
    </xf>
    <xf numFmtId="0" fontId="66" fillId="0" borderId="0" xfId="17" applyFont="1" applyAlignment="1">
      <alignment horizontal="left" vertical="center" wrapText="1"/>
    </xf>
    <xf numFmtId="0" fontId="67" fillId="13" borderId="34" xfId="17" applyFont="1" applyFill="1" applyBorder="1" applyAlignment="1">
      <alignment horizontal="center" vertical="center"/>
    </xf>
    <xf numFmtId="0" fontId="67" fillId="13" borderId="3" xfId="17" applyFont="1" applyFill="1" applyBorder="1" applyAlignment="1">
      <alignment horizontal="center" vertical="center"/>
    </xf>
    <xf numFmtId="0" fontId="67" fillId="13" borderId="35" xfId="17" applyFont="1" applyFill="1" applyBorder="1" applyAlignment="1">
      <alignment horizontal="center" vertical="center"/>
    </xf>
    <xf numFmtId="0" fontId="66" fillId="13" borderId="34" xfId="17" applyFont="1" applyFill="1" applyBorder="1" applyAlignment="1">
      <alignment horizontal="center" vertical="center"/>
    </xf>
    <xf numFmtId="0" fontId="66" fillId="13" borderId="3" xfId="17" applyFont="1" applyFill="1" applyBorder="1" applyAlignment="1">
      <alignment horizontal="center" vertical="center"/>
    </xf>
    <xf numFmtId="0" fontId="66" fillId="13" borderId="35" xfId="17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top" wrapText="1"/>
    </xf>
    <xf numFmtId="0" fontId="4" fillId="0" borderId="6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center" wrapText="1"/>
    </xf>
    <xf numFmtId="0" fontId="5" fillId="2" borderId="101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0" fontId="53" fillId="0" borderId="190" xfId="10" applyBorder="1" applyAlignment="1">
      <alignment horizontal="left" vertical="center" wrapText="1"/>
    </xf>
    <xf numFmtId="0" fontId="53" fillId="0" borderId="184" xfId="10" applyBorder="1" applyAlignment="1">
      <alignment horizontal="left" vertical="center" wrapText="1"/>
    </xf>
    <xf numFmtId="0" fontId="73" fillId="0" borderId="195" xfId="10" applyFont="1" applyBorder="1" applyAlignment="1">
      <alignment horizontal="center" vertical="center" wrapText="1"/>
    </xf>
    <xf numFmtId="0" fontId="73" fillId="0" borderId="177" xfId="10" applyFont="1" applyBorder="1" applyAlignment="1">
      <alignment horizontal="center" vertical="center" wrapText="1"/>
    </xf>
    <xf numFmtId="0" fontId="73" fillId="0" borderId="162" xfId="10" applyFont="1" applyBorder="1" applyAlignment="1">
      <alignment horizontal="left" vertical="center" wrapText="1"/>
    </xf>
    <xf numFmtId="0" fontId="53" fillId="0" borderId="190" xfId="10" applyBorder="1" applyAlignment="1">
      <alignment horizontal="center" vertical="center" wrapText="1"/>
    </xf>
    <xf numFmtId="0" fontId="53" fillId="0" borderId="184" xfId="10" applyBorder="1" applyAlignment="1">
      <alignment horizontal="center" vertical="center" wrapText="1"/>
    </xf>
    <xf numFmtId="0" fontId="73" fillId="0" borderId="0" xfId="10" applyFont="1" applyAlignment="1">
      <alignment horizontal="left" vertical="center" wrapText="1"/>
    </xf>
    <xf numFmtId="0" fontId="53" fillId="0" borderId="0" xfId="10" applyAlignment="1">
      <alignment horizontal="left" vertical="top"/>
    </xf>
    <xf numFmtId="0" fontId="73" fillId="0" borderId="162" xfId="10" applyFont="1" applyBorder="1" applyAlignment="1">
      <alignment horizontal="left" vertical="center"/>
    </xf>
    <xf numFmtId="0" fontId="53" fillId="0" borderId="0" xfId="10" applyAlignment="1">
      <alignment horizontal="left" vertical="center"/>
    </xf>
    <xf numFmtId="0" fontId="73" fillId="0" borderId="196" xfId="10" applyFont="1" applyBorder="1" applyAlignment="1">
      <alignment horizontal="center" vertical="center" wrapText="1"/>
    </xf>
    <xf numFmtId="0" fontId="73" fillId="0" borderId="183" xfId="10" applyFont="1" applyBorder="1" applyAlignment="1">
      <alignment horizontal="center" vertical="center" wrapText="1"/>
    </xf>
    <xf numFmtId="0" fontId="75" fillId="0" borderId="177" xfId="10" applyFont="1" applyBorder="1" applyAlignment="1">
      <alignment horizontal="left" vertical="top" wrapText="1" indent="1"/>
    </xf>
    <xf numFmtId="0" fontId="75" fillId="0" borderId="178" xfId="10" applyFont="1" applyBorder="1" applyAlignment="1">
      <alignment horizontal="left" vertical="top" wrapText="1" indent="1"/>
    </xf>
    <xf numFmtId="0" fontId="73" fillId="0" borderId="0" xfId="10" applyFont="1" applyAlignment="1">
      <alignment horizontal="center" vertical="center" wrapText="1"/>
    </xf>
    <xf numFmtId="0" fontId="73" fillId="0" borderId="126" xfId="10" applyFont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left" vertical="center" wrapText="1"/>
    </xf>
    <xf numFmtId="0" fontId="11" fillId="5" borderId="26" xfId="0" applyFont="1" applyFill="1" applyBorder="1" applyAlignment="1">
      <alignment horizontal="left" vertical="center" wrapText="1"/>
    </xf>
    <xf numFmtId="0" fontId="31" fillId="5" borderId="0" xfId="0" applyFont="1" applyFill="1" applyAlignment="1">
      <alignment horizontal="center" vertical="top"/>
    </xf>
    <xf numFmtId="0" fontId="5" fillId="5" borderId="45" xfId="0" applyFont="1" applyFill="1" applyBorder="1" applyAlignment="1">
      <alignment horizontal="left" vertical="center" wrapText="1"/>
    </xf>
    <xf numFmtId="173" fontId="9" fillId="5" borderId="45" xfId="0" applyNumberFormat="1" applyFont="1" applyFill="1" applyBorder="1" applyAlignment="1">
      <alignment horizontal="left" vertical="center" wrapText="1" shrinkToFit="1"/>
    </xf>
    <xf numFmtId="173" fontId="9" fillId="5" borderId="45" xfId="0" applyNumberFormat="1" applyFont="1" applyFill="1" applyBorder="1" applyAlignment="1">
      <alignment horizontal="left" vertical="top" wrapText="1" shrinkToFit="1"/>
    </xf>
    <xf numFmtId="173" fontId="14" fillId="5" borderId="45" xfId="0" applyNumberFormat="1" applyFont="1" applyFill="1" applyBorder="1" applyAlignment="1">
      <alignment horizontal="left" vertical="center" wrapText="1" shrinkToFit="1"/>
    </xf>
    <xf numFmtId="1" fontId="14" fillId="5" borderId="45" xfId="0" applyNumberFormat="1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center" wrapText="1"/>
    </xf>
    <xf numFmtId="1" fontId="5" fillId="5" borderId="0" xfId="0" applyNumberFormat="1" applyFont="1" applyFill="1" applyAlignment="1">
      <alignment horizontal="left" vertical="top" wrapText="1"/>
    </xf>
    <xf numFmtId="0" fontId="33" fillId="5" borderId="45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66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9" fillId="5" borderId="66" xfId="0" applyFont="1" applyFill="1" applyBorder="1" applyAlignment="1">
      <alignment horizontal="center" vertical="center"/>
    </xf>
    <xf numFmtId="0" fontId="28" fillId="5" borderId="64" xfId="0" applyFont="1" applyFill="1" applyBorder="1" applyAlignment="1">
      <alignment horizontal="center" vertical="center"/>
    </xf>
    <xf numFmtId="0" fontId="29" fillId="5" borderId="64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 wrapText="1"/>
    </xf>
    <xf numFmtId="0" fontId="29" fillId="5" borderId="67" xfId="0" applyFont="1" applyFill="1" applyBorder="1" applyAlignment="1">
      <alignment horizontal="center" vertical="center"/>
    </xf>
    <xf numFmtId="0" fontId="28" fillId="5" borderId="65" xfId="0" applyFont="1" applyFill="1" applyBorder="1" applyAlignment="1">
      <alignment horizontal="center" vertical="center" wrapText="1"/>
    </xf>
    <xf numFmtId="0" fontId="28" fillId="5" borderId="34" xfId="0" applyFont="1" applyFill="1" applyBorder="1" applyAlignment="1">
      <alignment horizontal="center" vertical="center" wrapText="1"/>
    </xf>
    <xf numFmtId="0" fontId="28" fillId="5" borderId="67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top" wrapText="1"/>
    </xf>
    <xf numFmtId="0" fontId="31" fillId="5" borderId="31" xfId="0" applyFont="1" applyFill="1" applyBorder="1" applyAlignment="1">
      <alignment horizontal="center" vertical="top" wrapText="1"/>
    </xf>
    <xf numFmtId="176" fontId="31" fillId="5" borderId="28" xfId="2" applyNumberFormat="1" applyFont="1" applyFill="1" applyBorder="1" applyAlignment="1">
      <alignment horizontal="center" vertical="top" wrapText="1"/>
    </xf>
    <xf numFmtId="176" fontId="31" fillId="5" borderId="31" xfId="2" applyNumberFormat="1" applyFont="1" applyFill="1" applyBorder="1" applyAlignment="1">
      <alignment horizontal="center" vertical="top" wrapText="1"/>
    </xf>
    <xf numFmtId="0" fontId="31" fillId="5" borderId="36" xfId="0" quotePrefix="1" applyFont="1" applyFill="1" applyBorder="1" applyAlignment="1">
      <alignment horizontal="center" vertical="center" wrapText="1"/>
    </xf>
    <xf numFmtId="0" fontId="31" fillId="5" borderId="42" xfId="0" quotePrefix="1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51" xfId="0" applyFont="1" applyFill="1" applyBorder="1" applyAlignment="1">
      <alignment horizontal="left" vertical="center" wrapText="1"/>
    </xf>
    <xf numFmtId="0" fontId="31" fillId="5" borderId="36" xfId="0" quotePrefix="1" applyFont="1" applyFill="1" applyBorder="1" applyAlignment="1">
      <alignment horizontal="center" vertical="top" wrapText="1"/>
    </xf>
    <xf numFmtId="0" fontId="31" fillId="5" borderId="15" xfId="0" quotePrefix="1" applyFont="1" applyFill="1" applyBorder="1" applyAlignment="1">
      <alignment horizontal="center" vertical="top" wrapText="1"/>
    </xf>
    <xf numFmtId="0" fontId="31" fillId="5" borderId="42" xfId="0" quotePrefix="1" applyFont="1" applyFill="1" applyBorder="1" applyAlignment="1">
      <alignment horizontal="center" vertical="top" wrapText="1"/>
    </xf>
    <xf numFmtId="0" fontId="32" fillId="5" borderId="28" xfId="0" applyFont="1" applyFill="1" applyBorder="1" applyAlignment="1">
      <alignment horizontal="center" vertical="center" wrapText="1"/>
    </xf>
    <xf numFmtId="0" fontId="32" fillId="5" borderId="31" xfId="0" applyFont="1" applyFill="1" applyBorder="1" applyAlignment="1">
      <alignment horizontal="center" vertical="center" wrapText="1"/>
    </xf>
    <xf numFmtId="168" fontId="32" fillId="5" borderId="57" xfId="0" applyNumberFormat="1" applyFont="1" applyFill="1" applyBorder="1" applyAlignment="1">
      <alignment horizontal="center" vertical="center" wrapText="1"/>
    </xf>
    <xf numFmtId="168" fontId="32" fillId="5" borderId="33" xfId="0" applyNumberFormat="1" applyFont="1" applyFill="1" applyBorder="1" applyAlignment="1">
      <alignment horizontal="center" vertical="center" wrapText="1"/>
    </xf>
    <xf numFmtId="168" fontId="32" fillId="5" borderId="51" xfId="0" applyNumberFormat="1" applyFont="1" applyFill="1" applyBorder="1" applyAlignment="1">
      <alignment horizontal="center" vertical="center" wrapText="1"/>
    </xf>
    <xf numFmtId="168" fontId="32" fillId="5" borderId="47" xfId="0" applyNumberFormat="1" applyFont="1" applyFill="1" applyBorder="1" applyAlignment="1">
      <alignment horizontal="center" vertical="center" wrapText="1"/>
    </xf>
    <xf numFmtId="176" fontId="32" fillId="5" borderId="28" xfId="2" applyNumberFormat="1" applyFont="1" applyFill="1" applyBorder="1" applyAlignment="1">
      <alignment horizontal="center" wrapText="1"/>
    </xf>
    <xf numFmtId="176" fontId="32" fillId="5" borderId="31" xfId="2" applyNumberFormat="1" applyFont="1" applyFill="1" applyBorder="1" applyAlignment="1">
      <alignment horizontal="center" wrapText="1"/>
    </xf>
    <xf numFmtId="0" fontId="33" fillId="5" borderId="7" xfId="0" applyFont="1" applyFill="1" applyBorder="1" applyAlignment="1">
      <alignment horizontal="left" vertical="top" wrapText="1"/>
    </xf>
    <xf numFmtId="0" fontId="33" fillId="5" borderId="8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right" vertical="center" wrapText="1"/>
    </xf>
    <xf numFmtId="0" fontId="31" fillId="5" borderId="30" xfId="0" applyFont="1" applyFill="1" applyBorder="1" applyAlignment="1">
      <alignment horizontal="right" vertical="center" wrapText="1"/>
    </xf>
    <xf numFmtId="179" fontId="32" fillId="5" borderId="28" xfId="2" applyNumberFormat="1" applyFont="1" applyFill="1" applyBorder="1" applyAlignment="1">
      <alignment horizontal="center" vertical="center" wrapText="1"/>
    </xf>
    <xf numFmtId="179" fontId="32" fillId="5" borderId="31" xfId="2" applyNumberFormat="1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top" wrapText="1"/>
    </xf>
    <xf numFmtId="0" fontId="33" fillId="5" borderId="31" xfId="0" applyFont="1" applyFill="1" applyBorder="1" applyAlignment="1">
      <alignment horizontal="center" vertical="top" wrapText="1"/>
    </xf>
    <xf numFmtId="0" fontId="33" fillId="5" borderId="57" xfId="0" applyFont="1" applyFill="1" applyBorder="1" applyAlignment="1">
      <alignment horizontal="center" vertical="top" wrapText="1"/>
    </xf>
    <xf numFmtId="0" fontId="33" fillId="5" borderId="51" xfId="0" applyFont="1" applyFill="1" applyBorder="1" applyAlignment="1">
      <alignment horizontal="center" vertical="top" wrapText="1"/>
    </xf>
    <xf numFmtId="0" fontId="33" fillId="5" borderId="33" xfId="0" applyFont="1" applyFill="1" applyBorder="1" applyAlignment="1">
      <alignment horizontal="center" vertical="top" wrapText="1"/>
    </xf>
    <xf numFmtId="0" fontId="33" fillId="5" borderId="47" xfId="0" applyFont="1" applyFill="1" applyBorder="1" applyAlignment="1">
      <alignment horizontal="center" vertical="top" wrapText="1"/>
    </xf>
    <xf numFmtId="173" fontId="9" fillId="5" borderId="30" xfId="0" applyNumberFormat="1" applyFont="1" applyFill="1" applyBorder="1" applyAlignment="1">
      <alignment horizontal="left" vertical="center" shrinkToFit="1"/>
    </xf>
    <xf numFmtId="173" fontId="9" fillId="5" borderId="30" xfId="0" applyNumberFormat="1" applyFont="1" applyFill="1" applyBorder="1" applyAlignment="1">
      <alignment horizontal="left" vertical="center" wrapText="1" shrinkToFit="1"/>
    </xf>
    <xf numFmtId="0" fontId="31" fillId="5" borderId="29" xfId="0" applyFont="1" applyFill="1" applyBorder="1" applyAlignment="1">
      <alignment vertical="center" wrapText="1"/>
    </xf>
    <xf numFmtId="1" fontId="9" fillId="5" borderId="30" xfId="0" applyNumberFormat="1" applyFont="1" applyFill="1" applyBorder="1" applyAlignment="1">
      <alignment horizontal="left" vertical="top" wrapText="1"/>
    </xf>
    <xf numFmtId="1" fontId="9" fillId="5" borderId="0" xfId="0" applyNumberFormat="1" applyFont="1" applyFill="1" applyAlignment="1">
      <alignment horizontal="left" vertical="top" wrapText="1"/>
    </xf>
    <xf numFmtId="0" fontId="73" fillId="0" borderId="159" xfId="10" applyFont="1" applyBorder="1" applyAlignment="1">
      <alignment horizontal="center" vertical="center"/>
    </xf>
  </cellXfs>
  <cellStyles count="21">
    <cellStyle name="Comma" xfId="1" builtinId="3"/>
    <cellStyle name="Comma [0]" xfId="2" builtinId="6"/>
    <cellStyle name="Comma [0] 2" xfId="9" xr:uid="{BCA54C9E-15F2-4749-A5F3-02FF8F28CC42}"/>
    <cellStyle name="Comma [0] 3" xfId="18" xr:uid="{1744467B-7973-41D5-8513-6884D559F354}"/>
    <cellStyle name="Comma [0] 5 10" xfId="13" xr:uid="{BB7E579B-636F-4969-93D7-775112F7CA26}"/>
    <cellStyle name="Comma 35" xfId="11" xr:uid="{5E034FB3-778D-4A05-BAC4-A0049DB4B578}"/>
    <cellStyle name="Comma 4" xfId="12" xr:uid="{DE50EDAE-80E4-44C5-AACC-B577D13D6804}"/>
    <cellStyle name="Currency [0]" xfId="3" builtinId="7"/>
    <cellStyle name="Hyperlink 2" xfId="5" xr:uid="{A082FC7B-AEC9-4BA1-9806-CACC919F9D08}"/>
    <cellStyle name="Hyperlink 3" xfId="20" xr:uid="{F25BEA40-AF5D-47EE-8CE2-4A68A4FBE6BC}"/>
    <cellStyle name="Normal" xfId="0" builtinId="0"/>
    <cellStyle name="Normal 10 2" xfId="10" xr:uid="{0812D70B-AB8B-455D-A0BB-B444688FDEF1}"/>
    <cellStyle name="Normal 18" xfId="6" xr:uid="{55343BBD-2070-46D5-BAB7-23D40C7EC1F2}"/>
    <cellStyle name="Normal 2" xfId="4" xr:uid="{D4644E9B-E2D8-4D00-AF7F-59AE8D69C81F}"/>
    <cellStyle name="Normal 2 10" xfId="16" xr:uid="{E440C2E7-15D3-4AF7-852A-E280EF424A53}"/>
    <cellStyle name="Normal 2 2" xfId="15" xr:uid="{3CC01216-2BA7-4216-9CB0-4ECED6A9D0C7}"/>
    <cellStyle name="Normal 2 2 3" xfId="7" xr:uid="{8FE7EE6A-3389-4F6C-9222-9956D0EA7321}"/>
    <cellStyle name="Normal 3" xfId="17" xr:uid="{1AEFFD64-9807-4813-BFB9-E788AE6707C3}"/>
    <cellStyle name="Normal 3 10" xfId="8" xr:uid="{E34783FD-6C16-4F05-8CD6-4B6315329F14}"/>
    <cellStyle name="Normal 4 2" xfId="14" xr:uid="{FF41F36F-73E7-4969-9E40-3A73DF52453C}"/>
    <cellStyle name="Percent 2" xfId="19" xr:uid="{F8C81BAB-B975-49F8-B0C4-A74053A70C7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3.xml"/><Relationship Id="rId68" Type="http://schemas.openxmlformats.org/officeDocument/2006/relationships/externalLink" Target="externalLinks/externalLink18.xml"/><Relationship Id="rId84" Type="http://schemas.openxmlformats.org/officeDocument/2006/relationships/externalLink" Target="externalLinks/externalLink34.xml"/><Relationship Id="rId89" Type="http://schemas.openxmlformats.org/officeDocument/2006/relationships/externalLink" Target="externalLinks/externalLink3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3.xml"/><Relationship Id="rId58" Type="http://schemas.openxmlformats.org/officeDocument/2006/relationships/externalLink" Target="externalLinks/externalLink8.xml"/><Relationship Id="rId74" Type="http://schemas.openxmlformats.org/officeDocument/2006/relationships/externalLink" Target="externalLinks/externalLink24.xml"/><Relationship Id="rId79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40.xml"/><Relationship Id="rId95" Type="http://schemas.openxmlformats.org/officeDocument/2006/relationships/externalLink" Target="externalLinks/externalLink4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14.xml"/><Relationship Id="rId69" Type="http://schemas.openxmlformats.org/officeDocument/2006/relationships/externalLink" Target="externalLinks/externalLink19.xml"/><Relationship Id="rId80" Type="http://schemas.openxmlformats.org/officeDocument/2006/relationships/externalLink" Target="externalLinks/externalLink30.xml"/><Relationship Id="rId85" Type="http://schemas.openxmlformats.org/officeDocument/2006/relationships/externalLink" Target="externalLinks/externalLink3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9.xml"/><Relationship Id="rId67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62" Type="http://schemas.openxmlformats.org/officeDocument/2006/relationships/externalLink" Target="externalLinks/externalLink12.xml"/><Relationship Id="rId70" Type="http://schemas.openxmlformats.org/officeDocument/2006/relationships/externalLink" Target="externalLinks/externalLink20.xml"/><Relationship Id="rId75" Type="http://schemas.openxmlformats.org/officeDocument/2006/relationships/externalLink" Target="externalLinks/externalLink25.xml"/><Relationship Id="rId83" Type="http://schemas.openxmlformats.org/officeDocument/2006/relationships/externalLink" Target="externalLinks/externalLink33.xml"/><Relationship Id="rId88" Type="http://schemas.openxmlformats.org/officeDocument/2006/relationships/externalLink" Target="externalLinks/externalLink38.xml"/><Relationship Id="rId91" Type="http://schemas.openxmlformats.org/officeDocument/2006/relationships/externalLink" Target="externalLinks/externalLink41.xml"/><Relationship Id="rId96" Type="http://schemas.openxmlformats.org/officeDocument/2006/relationships/externalLink" Target="externalLinks/externalLink4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60" Type="http://schemas.openxmlformats.org/officeDocument/2006/relationships/externalLink" Target="externalLinks/externalLink10.xml"/><Relationship Id="rId65" Type="http://schemas.openxmlformats.org/officeDocument/2006/relationships/externalLink" Target="externalLinks/externalLink15.xml"/><Relationship Id="rId73" Type="http://schemas.openxmlformats.org/officeDocument/2006/relationships/externalLink" Target="externalLinks/externalLink23.xml"/><Relationship Id="rId78" Type="http://schemas.openxmlformats.org/officeDocument/2006/relationships/externalLink" Target="externalLinks/externalLink28.xml"/><Relationship Id="rId81" Type="http://schemas.openxmlformats.org/officeDocument/2006/relationships/externalLink" Target="externalLinks/externalLink31.xml"/><Relationship Id="rId86" Type="http://schemas.openxmlformats.org/officeDocument/2006/relationships/externalLink" Target="externalLinks/externalLink36.xml"/><Relationship Id="rId94" Type="http://schemas.openxmlformats.org/officeDocument/2006/relationships/externalLink" Target="externalLinks/externalLink44.xml"/><Relationship Id="rId99" Type="http://schemas.openxmlformats.org/officeDocument/2006/relationships/sharedStrings" Target="sharedStrings.xml"/><Relationship Id="rId10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5.xml"/><Relationship Id="rId76" Type="http://schemas.openxmlformats.org/officeDocument/2006/relationships/externalLink" Target="externalLinks/externalLink2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1.xml"/><Relationship Id="rId92" Type="http://schemas.openxmlformats.org/officeDocument/2006/relationships/externalLink" Target="externalLinks/externalLink4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6.xml"/><Relationship Id="rId87" Type="http://schemas.openxmlformats.org/officeDocument/2006/relationships/externalLink" Target="externalLinks/externalLink37.xml"/><Relationship Id="rId61" Type="http://schemas.openxmlformats.org/officeDocument/2006/relationships/externalLink" Target="externalLinks/externalLink11.xml"/><Relationship Id="rId82" Type="http://schemas.openxmlformats.org/officeDocument/2006/relationships/externalLink" Target="externalLinks/externalLink3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6.xml"/><Relationship Id="rId77" Type="http://schemas.openxmlformats.org/officeDocument/2006/relationships/externalLink" Target="externalLinks/externalLink2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72" Type="http://schemas.openxmlformats.org/officeDocument/2006/relationships/externalLink" Target="externalLinks/externalLink22.xml"/><Relationship Id="rId93" Type="http://schemas.openxmlformats.org/officeDocument/2006/relationships/externalLink" Target="externalLinks/externalLink4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1</xdr:row>
      <xdr:rowOff>47624</xdr:rowOff>
    </xdr:from>
    <xdr:to>
      <xdr:col>15</xdr:col>
      <xdr:colOff>190500</xdr:colOff>
      <xdr:row>13</xdr:row>
      <xdr:rowOff>51435</xdr:rowOff>
    </xdr:to>
    <xdr:pic>
      <xdr:nvPicPr>
        <xdr:cNvPr id="2" name="irc_mi" descr="http://4.bp.blogspot.com/-3qlO9dxPQeQ/Tj48_qCPqPI/AAAAAAAAAgg/NObo-PvvGp8/s400/ukuran+baja+tulangan+polos.jpg">
          <a:extLst>
            <a:ext uri="{FF2B5EF4-FFF2-40B4-BE49-F238E27FC236}">
              <a16:creationId xmlns:a16="http://schemas.microsoft.com/office/drawing/2014/main" id="{FC83B3C6-4ED4-4904-AE61-CC7A1616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01740" y="222884"/>
          <a:ext cx="6172200" cy="219837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497812</xdr:colOff>
      <xdr:row>17</xdr:row>
      <xdr:rowOff>256136</xdr:rowOff>
    </xdr:from>
    <xdr:to>
      <xdr:col>4</xdr:col>
      <xdr:colOff>329237</xdr:colOff>
      <xdr:row>23</xdr:row>
      <xdr:rowOff>103546</xdr:rowOff>
    </xdr:to>
    <xdr:pic>
      <xdr:nvPicPr>
        <xdr:cNvPr id="2" name="Picture 1" descr="New Picture (1).png">
          <a:extLst>
            <a:ext uri="{FF2B5EF4-FFF2-40B4-BE49-F238E27FC236}">
              <a16:creationId xmlns:a16="http://schemas.microsoft.com/office/drawing/2014/main" id="{17303B01-F74C-4F04-8C32-5AB437960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5144" t="46548" r="50902" b="22969"/>
        <a:stretch>
          <a:fillRect/>
        </a:stretch>
      </xdr:blipFill>
      <xdr:spPr>
        <a:xfrm>
          <a:off x="5374612" y="4523336"/>
          <a:ext cx="1431625" cy="127369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635081</xdr:colOff>
      <xdr:row>31</xdr:row>
      <xdr:rowOff>168088</xdr:rowOff>
    </xdr:from>
    <xdr:to>
      <xdr:col>4</xdr:col>
      <xdr:colOff>406195</xdr:colOff>
      <xdr:row>40</xdr:row>
      <xdr:rowOff>130696</xdr:rowOff>
    </xdr:to>
    <xdr:pic>
      <xdr:nvPicPr>
        <xdr:cNvPr id="3" name="Picture 2" descr="New Picture.png">
          <a:extLst>
            <a:ext uri="{FF2B5EF4-FFF2-40B4-BE49-F238E27FC236}">
              <a16:creationId xmlns:a16="http://schemas.microsoft.com/office/drawing/2014/main" id="{69B22B28-3FC8-4634-A8B3-5BAFD42C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0070" t="32641" r="40696" b="42464"/>
        <a:stretch>
          <a:fillRect/>
        </a:stretch>
      </xdr:blipFill>
      <xdr:spPr>
        <a:xfrm>
          <a:off x="5511881" y="7201348"/>
          <a:ext cx="1371314" cy="1549361"/>
        </a:xfrm>
        <a:prstGeom prst="rect">
          <a:avLst/>
        </a:prstGeom>
      </xdr:spPr>
    </xdr:pic>
    <xdr:clientData/>
  </xdr:twoCellAnchor>
  <xdr:twoCellAnchor editAs="oneCell">
    <xdr:from>
      <xdr:col>3</xdr:col>
      <xdr:colOff>235324</xdr:colOff>
      <xdr:row>45</xdr:row>
      <xdr:rowOff>23011</xdr:rowOff>
    </xdr:from>
    <xdr:to>
      <xdr:col>4</xdr:col>
      <xdr:colOff>590933</xdr:colOff>
      <xdr:row>54</xdr:row>
      <xdr:rowOff>159285</xdr:rowOff>
    </xdr:to>
    <xdr:pic>
      <xdr:nvPicPr>
        <xdr:cNvPr id="4" name="Picture 3" descr="New Picture.png">
          <a:extLst>
            <a:ext uri="{FF2B5EF4-FFF2-40B4-BE49-F238E27FC236}">
              <a16:creationId xmlns:a16="http://schemas.microsoft.com/office/drawing/2014/main" id="{2E017117-7C88-49DA-ABD3-D426735D8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0087" t="54854" r="48807" b="22026"/>
        <a:stretch>
          <a:fillRect/>
        </a:stretch>
      </xdr:blipFill>
      <xdr:spPr>
        <a:xfrm>
          <a:off x="5112124" y="9403231"/>
          <a:ext cx="1955809" cy="1723027"/>
        </a:xfrm>
        <a:prstGeom prst="rect">
          <a:avLst/>
        </a:prstGeom>
      </xdr:spPr>
    </xdr:pic>
    <xdr:clientData/>
  </xdr:twoCellAnchor>
  <xdr:twoCellAnchor editAs="oneCell">
    <xdr:from>
      <xdr:col>3</xdr:col>
      <xdr:colOff>577755</xdr:colOff>
      <xdr:row>84</xdr:row>
      <xdr:rowOff>102615</xdr:rowOff>
    </xdr:from>
    <xdr:to>
      <xdr:col>4</xdr:col>
      <xdr:colOff>639846</xdr:colOff>
      <xdr:row>93</xdr:row>
      <xdr:rowOff>108829</xdr:rowOff>
    </xdr:to>
    <xdr:pic>
      <xdr:nvPicPr>
        <xdr:cNvPr id="5" name="Picture 4" descr="New Picture.png">
          <a:extLst>
            <a:ext uri="{FF2B5EF4-FFF2-40B4-BE49-F238E27FC236}">
              <a16:creationId xmlns:a16="http://schemas.microsoft.com/office/drawing/2014/main" id="{A9B9FAF3-8A91-4FCC-9BB0-852F1D0A5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9304" t="51052" r="39046" b="24044"/>
        <a:stretch>
          <a:fillRect/>
        </a:stretch>
      </xdr:blipFill>
      <xdr:spPr>
        <a:xfrm>
          <a:off x="5454555" y="16028415"/>
          <a:ext cx="1662291" cy="15916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99060</xdr:colOff>
      <xdr:row>0</xdr:row>
      <xdr:rowOff>0</xdr:rowOff>
    </xdr:from>
    <xdr:to>
      <xdr:col>16</xdr:col>
      <xdr:colOff>358140</xdr:colOff>
      <xdr:row>12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9CF74-F367-B40B-F1DB-D602A652B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042660" y="0"/>
          <a:ext cx="4526280" cy="2095500"/>
        </a:xfrm>
        <a:prstGeom prst="rect">
          <a:avLst/>
        </a:prstGeom>
      </xdr:spPr>
    </xdr:pic>
    <xdr:clientData/>
  </xdr:twoCellAnchor>
  <xdr:oneCellAnchor>
    <xdr:from>
      <xdr:col>9</xdr:col>
      <xdr:colOff>99060</xdr:colOff>
      <xdr:row>44</xdr:row>
      <xdr:rowOff>0</xdr:rowOff>
    </xdr:from>
    <xdr:ext cx="4535476" cy="2133337"/>
    <xdr:pic>
      <xdr:nvPicPr>
        <xdr:cNvPr id="2" name="Picture 1">
          <a:extLst>
            <a:ext uri="{FF2B5EF4-FFF2-40B4-BE49-F238E27FC236}">
              <a16:creationId xmlns:a16="http://schemas.microsoft.com/office/drawing/2014/main" id="{A6DEF0C6-938D-4604-A317-D7C58FC8B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050543" y="0"/>
          <a:ext cx="4535476" cy="2133337"/>
        </a:xfrm>
        <a:prstGeom prst="rect">
          <a:avLst/>
        </a:prstGeom>
      </xdr:spPr>
    </xdr:pic>
    <xdr:clientData/>
  </xdr:oneCellAnchor>
  <xdr:oneCellAnchor>
    <xdr:from>
      <xdr:col>9</xdr:col>
      <xdr:colOff>99060</xdr:colOff>
      <xdr:row>78</xdr:row>
      <xdr:rowOff>0</xdr:rowOff>
    </xdr:from>
    <xdr:ext cx="4535476" cy="2133337"/>
    <xdr:pic>
      <xdr:nvPicPr>
        <xdr:cNvPr id="4" name="Picture 3">
          <a:extLst>
            <a:ext uri="{FF2B5EF4-FFF2-40B4-BE49-F238E27FC236}">
              <a16:creationId xmlns:a16="http://schemas.microsoft.com/office/drawing/2014/main" id="{4C2E21F8-ADF5-40F7-99EB-53A5E9632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648319" y="7514897"/>
          <a:ext cx="4535476" cy="213333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36633</xdr:colOff>
      <xdr:row>6687</xdr:row>
      <xdr:rowOff>842596</xdr:rowOff>
    </xdr:from>
    <xdr:to>
      <xdr:col>5</xdr:col>
      <xdr:colOff>1008253</xdr:colOff>
      <xdr:row>6690</xdr:row>
      <xdr:rowOff>99148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F6F08-7A1F-6BB7-55A9-2E0B308F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479" y="1380685384"/>
          <a:ext cx="1631044" cy="95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122117</xdr:colOff>
      <xdr:row>6687</xdr:row>
      <xdr:rowOff>87799</xdr:rowOff>
    </xdr:from>
    <xdr:to>
      <xdr:col>6</xdr:col>
      <xdr:colOff>1514232</xdr:colOff>
      <xdr:row>6691</xdr:row>
      <xdr:rowOff>168735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426D44-FE47-2880-0572-7F955371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790" y="1379930587"/>
          <a:ext cx="1392115" cy="1718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1477597</xdr:colOff>
      <xdr:row>6687</xdr:row>
      <xdr:rowOff>219807</xdr:rowOff>
    </xdr:from>
    <xdr:to>
      <xdr:col>7</xdr:col>
      <xdr:colOff>377191</xdr:colOff>
      <xdr:row>6689</xdr:row>
      <xdr:rowOff>367883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B330B0-76F7-1A7C-EAF3-F9A8E70D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270" y="1379867211"/>
          <a:ext cx="1586278" cy="952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294466</xdr:colOff>
      <xdr:row>6687</xdr:row>
      <xdr:rowOff>158750</xdr:rowOff>
    </xdr:from>
    <xdr:to>
      <xdr:col>10</xdr:col>
      <xdr:colOff>756456</xdr:colOff>
      <xdr:row>6690</xdr:row>
      <xdr:rowOff>271987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2D231F-07E7-68E9-C344-22EA61ED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504" y="1379806154"/>
          <a:ext cx="1716042" cy="1342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122116</xdr:colOff>
      <xdr:row>6687</xdr:row>
      <xdr:rowOff>525096</xdr:rowOff>
    </xdr:from>
    <xdr:to>
      <xdr:col>11</xdr:col>
      <xdr:colOff>1636531</xdr:colOff>
      <xdr:row>6691</xdr:row>
      <xdr:rowOff>85872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AEB114-A379-BA6C-E6B6-DC4E32DC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74" y="1380172500"/>
          <a:ext cx="1514415" cy="1343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INKES%202009\RAB%20KESEHATAN\1.%20RAB%20%20POSDES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Gin%20gin\BTP\BTP%209%20X%2015%20240408\2004\F.S%20Jalan%20Sukabumi\EE%20Sukabumi\Metod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%20desa/Kegiatan%20Kecamatan%20Cijati/Anggaran%202018/3.%20Ds.%20Cibodas/jalan/Minerba%20Citatah/RAB.xlsx" TargetMode="External"/><Relationship Id="rId1" Type="http://schemas.openxmlformats.org/officeDocument/2006/relationships/externalLinkPath" Target="/program%20desa/Kegiatan%20Kecamatan%20Cijati/Anggaran%202018/3.%20Ds.%20Cibodas/jalan/Minerba%20Citatah/RAB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INHUT/PERNCN%202011/RB.DINHUT%20PRINT/My%20Documents/Temp/My%20Documents/DATA%202010/DATA%20P%20HERMANU%20(%20KONTRAKAN%20)/RAB%20KONTRAKAN.xls" TargetMode="External"/><Relationship Id="rId1" Type="http://schemas.openxmlformats.org/officeDocument/2006/relationships/externalLinkPath" Target="/DINHUT/PERNCN%202011/RB.DINHUT%20PRINT/My%20Documents/Temp/My%20Documents/DATA%202010/DATA%20P%20HERMANU%20(%20KONTRAKAN%20)/RAB%20KONTRAK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BT%202022\RAB+GAMBAR%20(PERUBAHAN)\3)%20MCK%202P\116-RAB%20MCK%20SAGANTEN-SINDANGBARA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6\d\RAB%20BP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\d\REHAB%20KKKS%20maret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4\d\PERTANIAN%202011\SUMUR\sumur\RAB%20SUMUR%20DANGK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Master%20Analisa%20Proyek\DEPHAN\Juni2006-Bdg%20AnalisaBu%20Dani%20O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5\e\@WORK%20DATA%202008\z%20Analis%20mstr%20%20%20%202008\ANALIS%20MASTER%20VERSI%20ANTO\ANALISA%20DEPOK%202008%20VERSI%20PT.WG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\PUS%20MUKA\RAB%20CIIKALONGKUL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Fauzan\My%20Documents\RAB%20vaks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user\My%20Documents\cipta%20karya%2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ANALISA%20BM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%20desa/Kegiatan%20Kecamatan%20Cijati/Anggaran%202018/3.%20Ds.%20Cibodas/jalan/DATA%202013/DATA%203R/DATA%20PERENCANAAN/PRC%203R%20KOTA%20BOGOR/DOKUMEN%20PERENCANAAN/RAB/RAB%203R%20OK%20KOTA%20BOGOR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RAB%203R%20OK%20KOTA%20BOGOR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User/My%20Documents/yayankh/My%20Documents/WIDYA/PROYEK%202002/Bag%2002/OE/gapura.xls" TargetMode="External"/><Relationship Id="rId1" Type="http://schemas.openxmlformats.org/officeDocument/2006/relationships/externalLinkPath" Target="/Documents%20and%20Settings/User/My%20Documents/yayankh/My%20Documents/WIDYA/PROYEK%202002/Bag%2002/OE/gapur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ocuments%20and%20Settings\User\Desktop\dokumen%20perencanaan_kwarcabfix\RAB\RAB\02%20ANALISA_2003_JABAR%20origin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@hmad\PROYEK%20_2008\PASAR%20INDUK%20CIANJUR\3_RAB\RAB%20PASAR%20INDUK%2028Mei20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Pasar%20Induk%20Cianjur\RAB\RAB%20Pasar%20Indu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%20heri\WILAYAH%202\Bina%20Marga\ANALISA%20K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\PROYEK\Ancol\Opname2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%20desa/Kegiatan%20Kecamatan%20Cijati/Anggaran%202018/3.%20Ds.%20Cibodas/jalan/DATA%202013/DATA%203R/DATA%20PERENCANAAN/PRC%203R%20KOTA%20BOGOR/DOKUMEN%20PERENCANAAN/RAB/RAB%203R%20kota%20bogor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RAB%203R%20kota%20bogo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CIBEBER%20-%20PSR%20MUNDING%202007%20REVISITIMES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%20Penting\Kom%20Dani\x2\Data%20Penting\RAB%20final\RAB-DTP-mekarsari%20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upah%202005\Slamet%20ok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%20PARK%20BANJAR\analis%20bina%20marga%20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dsn\HPS%20DAK\Lembar%20Kerja%20Cipari%20-%20Cibitung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YUSUF---/Favorites/RAB%20UGB%20SMU%20TENJO%202005.XLS" TargetMode="External"/><Relationship Id="rId1" Type="http://schemas.openxmlformats.org/officeDocument/2006/relationships/externalLinkPath" Target="/Documents%20and%20Settings/YUSUF---/Favorites/RAB%20UGB%20SMU%20TENJO%202005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INHUT/PERNCN%202011/RB.DINHUT%20PRINT/AMELIA%202005/ob2005/DEPOK%20BARU/DPK%20BARU%206.XLS" TargetMode="External"/><Relationship Id="rId1" Type="http://schemas.openxmlformats.org/officeDocument/2006/relationships/externalLinkPath" Target="/DINHUT/PERNCN%202011/RB.DINHUT%20PRINT/AMELIA%202005/ob2005/DEPOK%20BARU/DPK%20BARU%2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PARK%20OKE%20PISAN!!!\analis%20bina%20marga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wan\d.data%20adm\Proyek%202001-2002%20(EST)\Pasca%20Sarjana\E-E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wan\d.data%20adm\Proyek%202001-2002%20(EST)\BAA\RAB\Harga%20-%20BAA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NA\My%20Documents\sht%202008-DTKP\P.%20Perencanaan%20Depok\Perhitungan%20Perencanaan\PROYEK~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02\Comp02%20(D)\maman\Analisa%20Harga\ANALISA%20TERBARU%20R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cuments\AMS\2026\RAB%20dan%20Gambar\RAB%20Desa.xlsx" TargetMode="External"/><Relationship Id="rId1" Type="http://schemas.openxmlformats.org/officeDocument/2006/relationships/externalLinkPath" Target="RAB%20Desa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ama7\data%20(e)\TENDER%20%203\TENDER%20%20%202\BIAYA\CV.%20KRISSATYA%20PP\JS%20-6%20(PA'%20ZEIS)%20-%20PERBAIKAN%202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gram%20desa/Kegiatan%20Kecamatan%20Cijati/Anggaran%202018/3.%20Ds.%20Cibodas/jalan/DATA%202013/DATA%203R/DATA%20PERENCANAAN/PRC%203R%20KOTA%20BOGOR/DOKUMEN%20PERENCANAAN/RAB/3.%20NALISA%20SHT%20KOTA%20BOGOR%20TH%202012(1)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3.%20NALISA%20SHT%20KOTA%20BOGOR%20TH%202012(1)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INHUT/PERNCN%202011/RB.DINHUT%20PRINT/DISTANHUT%20ok%202011%200kkkkk.xls" TargetMode="External"/><Relationship Id="rId1" Type="http://schemas.openxmlformats.org/officeDocument/2006/relationships/externalLinkPath" Target="/DINHUT/PERNCN%202011/RB.DINHUT%20PRINT/DISTANHUT%20ok%202011%200kkkkk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Lap%20mekarsari%20oke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hinkPad/Downloads/RAB%20SMKK%20SPAM.xlsx" TargetMode="External"/><Relationship Id="rId1" Type="http://schemas.openxmlformats.org/officeDocument/2006/relationships/externalLinkPath" Target="/Users/ThinkPad/Downloads/RAB%20SMKK%20SPAM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erbilang-fix.xlam" TargetMode="External"/><Relationship Id="rId2" Type="http://schemas.openxmlformats.org/officeDocument/2006/relationships/externalLinkPath" Target="file:///C:\Users\Acer\Documents\terbilang-fix.xlam" TargetMode="External"/><Relationship Id="rId1" Type="http://schemas.openxmlformats.org/officeDocument/2006/relationships/externalLinkPath" Target="/Users/Acer/Documents/terbilang-fi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 gudang"/>
      <sheetName val="Sheet2"/>
      <sheetName val="KUBIKASI"/>
      <sheetName val="ANALISA PRIN"/>
      <sheetName val="SATUAN"/>
      <sheetName val="HIT. TULANGAN"/>
      <sheetName val="ANALISA"/>
      <sheetName val="BAHAN"/>
      <sheetName val="UPAH"/>
      <sheetName val="RAB bpp"/>
      <sheetName val="REKAPITULASI"/>
      <sheetName val="H.Satuan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78">
          <cell r="E78">
            <v>13500</v>
          </cell>
        </row>
        <row r="116">
          <cell r="E116">
            <v>30000</v>
          </cell>
        </row>
        <row r="125">
          <cell r="E125">
            <v>15500</v>
          </cell>
        </row>
        <row r="131">
          <cell r="E131">
            <v>185000</v>
          </cell>
        </row>
        <row r="187">
          <cell r="E187">
            <v>17000</v>
          </cell>
        </row>
        <row r="188">
          <cell r="E188">
            <v>17000</v>
          </cell>
        </row>
        <row r="189">
          <cell r="E189">
            <v>16000</v>
          </cell>
        </row>
        <row r="192">
          <cell r="E192">
            <v>55000</v>
          </cell>
        </row>
        <row r="193">
          <cell r="E193">
            <v>70000</v>
          </cell>
        </row>
        <row r="245">
          <cell r="E245">
            <v>5000</v>
          </cell>
        </row>
      </sheetData>
      <sheetData sheetId="9">
        <row r="20">
          <cell r="E20">
            <v>31500</v>
          </cell>
        </row>
      </sheetData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bilang"/>
      <sheetName val="REKAPITULASI "/>
      <sheetName val="CATATAN"/>
      <sheetName val="REKAP-DRAFT OE"/>
      <sheetName val="DRAFT OE"/>
      <sheetName val="REKAPITULASI"/>
      <sheetName val="rab (2)"/>
      <sheetName val="MOBILISASI"/>
      <sheetName val="CUT&amp;FILL H"/>
      <sheetName val="CUT&amp;FILL G"/>
      <sheetName val="CUT&amp;FILL I,K"/>
      <sheetName val="CUT&amp;FILL SENGKEDAN"/>
      <sheetName val="BACKUP DATA"/>
      <sheetName val="PERKERASAN SIMPANG"/>
      <sheetName val="VOL.GRAVEL-U"/>
      <sheetName val="VOL.RUMPUT"/>
      <sheetName val="Rab p"/>
      <sheetName val="RAB FINAL"/>
      <sheetName val="Jadwal"/>
      <sheetName val="DAFTAR SATUAN"/>
      <sheetName val="BAHAN DAN UPAH"/>
      <sheetName val="PEK. PERSIAPAN"/>
      <sheetName val="Harga Sewa"/>
      <sheetName val="SNI"/>
      <sheetName val="DIV-2"/>
      <sheetName val="DIV-2 (3)"/>
      <sheetName val="DIV-2 (2)"/>
      <sheetName val="DIV-2 (4)"/>
      <sheetName val="DIV-3"/>
      <sheetName val="DIV-4"/>
      <sheetName val="div-5"/>
      <sheetName val="DIV-7(1)"/>
      <sheetName val="DIV-7(2)"/>
      <sheetName val="DIV-7(9)"/>
      <sheetName val="DIV-7(3)"/>
      <sheetName val="DIV-8(1)"/>
      <sheetName val="DIV-8(2)"/>
      <sheetName val="DIV-9"/>
      <sheetName val="Upah"/>
      <sheetName val="BahanKEPGUB"/>
      <sheetName val="Alat"/>
      <sheetName val="HARGA ALAT"/>
      <sheetName val="Cut-Fill"/>
      <sheetName val="RAB"/>
      <sheetName val="VOL.SAL.BETON"/>
      <sheetName val="BACKUP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7">
          <cell r="L17">
            <v>3.351039217011209E-3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6">
          <cell r="BO26" t="str">
            <v xml:space="preserve"> Alat Baru</v>
          </cell>
        </row>
        <row r="27">
          <cell r="BO27">
            <v>500000000</v>
          </cell>
        </row>
        <row r="46">
          <cell r="BO46" t="str">
            <v xml:space="preserve"> Alat Baru</v>
          </cell>
        </row>
        <row r="47">
          <cell r="BO47">
            <v>475000000</v>
          </cell>
        </row>
        <row r="66">
          <cell r="BO66" t="str">
            <v xml:space="preserve"> Alat Baru</v>
          </cell>
        </row>
        <row r="67">
          <cell r="BO67">
            <v>41250000</v>
          </cell>
        </row>
        <row r="86">
          <cell r="BO86" t="str">
            <v xml:space="preserve"> Alat Baru</v>
          </cell>
        </row>
        <row r="87">
          <cell r="BO87">
            <v>659475000</v>
          </cell>
        </row>
        <row r="106">
          <cell r="BO106" t="str">
            <v xml:space="preserve"> Alat Baru</v>
          </cell>
        </row>
        <row r="107">
          <cell r="BO107">
            <v>35250000</v>
          </cell>
        </row>
        <row r="126">
          <cell r="BO126" t="str">
            <v xml:space="preserve"> Alat Baru</v>
          </cell>
        </row>
        <row r="127">
          <cell r="BO127">
            <v>15250000</v>
          </cell>
        </row>
        <row r="146">
          <cell r="BO146" t="str">
            <v xml:space="preserve"> Alat Baru</v>
          </cell>
        </row>
        <row r="147">
          <cell r="BO147">
            <v>125800000</v>
          </cell>
        </row>
        <row r="166">
          <cell r="BO166" t="str">
            <v xml:space="preserve"> Alat Baru</v>
          </cell>
        </row>
        <row r="167">
          <cell r="BO167">
            <v>252500000</v>
          </cell>
        </row>
        <row r="186">
          <cell r="BO186" t="str">
            <v xml:space="preserve"> Alat Baru</v>
          </cell>
        </row>
        <row r="187">
          <cell r="BO187">
            <v>305225000</v>
          </cell>
        </row>
        <row r="206">
          <cell r="BO206" t="str">
            <v xml:space="preserve"> Alat Baru</v>
          </cell>
        </row>
        <row r="207">
          <cell r="BO207">
            <v>388750000</v>
          </cell>
        </row>
        <row r="226">
          <cell r="BO226" t="str">
            <v xml:space="preserve"> Alat Baru</v>
          </cell>
        </row>
        <row r="227">
          <cell r="BO227">
            <v>255750000</v>
          </cell>
        </row>
        <row r="246">
          <cell r="BO246" t="str">
            <v xml:space="preserve"> Alat Baru</v>
          </cell>
        </row>
        <row r="247">
          <cell r="BO247">
            <v>25750000</v>
          </cell>
        </row>
        <row r="266">
          <cell r="BO266" t="str">
            <v xml:space="preserve"> Alat Baru</v>
          </cell>
        </row>
        <row r="267">
          <cell r="BO267">
            <v>375625000</v>
          </cell>
        </row>
        <row r="286">
          <cell r="BO286" t="str">
            <v xml:space="preserve"> Alat Baru</v>
          </cell>
        </row>
        <row r="287">
          <cell r="BO287">
            <v>452145000</v>
          </cell>
        </row>
        <row r="306">
          <cell r="BO306" t="str">
            <v xml:space="preserve"> Alat Baru</v>
          </cell>
        </row>
        <row r="307">
          <cell r="BO307">
            <v>373650000</v>
          </cell>
        </row>
        <row r="326">
          <cell r="BO326" t="str">
            <v xml:space="preserve"> Alat Baru</v>
          </cell>
        </row>
        <row r="327">
          <cell r="BO327">
            <v>113250000</v>
          </cell>
        </row>
        <row r="346">
          <cell r="BO346" t="str">
            <v xml:space="preserve"> Alat Baru</v>
          </cell>
        </row>
        <row r="347">
          <cell r="BO347">
            <v>240250000</v>
          </cell>
        </row>
        <row r="366">
          <cell r="BO366" t="str">
            <v xml:space="preserve"> Alat Baru</v>
          </cell>
        </row>
        <row r="367">
          <cell r="BO367">
            <v>268250000</v>
          </cell>
        </row>
        <row r="386">
          <cell r="BO386" t="str">
            <v xml:space="preserve"> Alat Baru</v>
          </cell>
        </row>
        <row r="387">
          <cell r="BO387">
            <v>232500000</v>
          </cell>
        </row>
        <row r="406">
          <cell r="BO406" t="str">
            <v xml:space="preserve"> Alat Baru</v>
          </cell>
        </row>
        <row r="407">
          <cell r="BO407">
            <v>1025000</v>
          </cell>
        </row>
        <row r="426">
          <cell r="BO426" t="str">
            <v xml:space="preserve"> Alat Baru</v>
          </cell>
        </row>
        <row r="427">
          <cell r="BO427">
            <v>595000000</v>
          </cell>
        </row>
        <row r="446">
          <cell r="BO446" t="str">
            <v xml:space="preserve"> Alat Baru</v>
          </cell>
        </row>
        <row r="447">
          <cell r="BO447">
            <v>750000</v>
          </cell>
        </row>
        <row r="466">
          <cell r="BO466" t="str">
            <v xml:space="preserve"> Alat Baru</v>
          </cell>
        </row>
        <row r="467">
          <cell r="BO467">
            <v>108550000</v>
          </cell>
        </row>
        <row r="486">
          <cell r="BO486" t="str">
            <v xml:space="preserve"> Alat Baru</v>
          </cell>
        </row>
        <row r="487">
          <cell r="BO487">
            <v>44750000</v>
          </cell>
        </row>
        <row r="506">
          <cell r="BO506" t="str">
            <v xml:space="preserve"> Alat Baru</v>
          </cell>
        </row>
        <row r="507">
          <cell r="BO507">
            <v>525000</v>
          </cell>
        </row>
        <row r="526">
          <cell r="BO526" t="str">
            <v xml:space="preserve"> Alat Baru</v>
          </cell>
        </row>
        <row r="527">
          <cell r="BO527">
            <v>1850000</v>
          </cell>
        </row>
        <row r="546">
          <cell r="BO546" t="str">
            <v xml:space="preserve"> Alat Baru</v>
          </cell>
        </row>
        <row r="547">
          <cell r="BO547">
            <v>8050000</v>
          </cell>
        </row>
        <row r="566">
          <cell r="BO566" t="str">
            <v xml:space="preserve"> Alat Baru</v>
          </cell>
        </row>
        <row r="567">
          <cell r="BO567">
            <v>8500000</v>
          </cell>
        </row>
        <row r="586">
          <cell r="BO586" t="str">
            <v xml:space="preserve"> Alat Baru</v>
          </cell>
        </row>
        <row r="587">
          <cell r="BO587">
            <v>145250000</v>
          </cell>
        </row>
        <row r="606">
          <cell r="BO606" t="str">
            <v xml:space="preserve"> Alat Baru</v>
          </cell>
        </row>
        <row r="607">
          <cell r="BO607">
            <v>47224000</v>
          </cell>
        </row>
        <row r="626">
          <cell r="BO626" t="str">
            <v xml:space="preserve"> Alat Baru</v>
          </cell>
        </row>
        <row r="627">
          <cell r="BO627">
            <v>95500000</v>
          </cell>
        </row>
        <row r="646">
          <cell r="BO646" t="str">
            <v xml:space="preserve"> Alat Baru</v>
          </cell>
        </row>
        <row r="647">
          <cell r="BO647">
            <v>5500000</v>
          </cell>
        </row>
        <row r="666">
          <cell r="BO666" t="str">
            <v xml:space="preserve"> Alat Baru</v>
          </cell>
        </row>
        <row r="667">
          <cell r="BO667">
            <v>1932500000</v>
          </cell>
        </row>
        <row r="697">
          <cell r="BO697" t="str">
            <v xml:space="preserve"> Alat Baru</v>
          </cell>
        </row>
        <row r="698">
          <cell r="BO698">
            <v>8000000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Analisa Jaling"/>
      <sheetName val="Sheet1"/>
      <sheetName val="BETON"/>
      <sheetName val="ANALISA PEK.UMUM"/>
      <sheetName val="Harsat Upah"/>
      <sheetName val="Harsat Bahan"/>
      <sheetName val="Analisa"/>
      <sheetName val="Harsat Pekerjaan"/>
      <sheetName val="BQ"/>
      <sheetName val="RKP BQ"/>
      <sheetName val="RAB BARU"/>
      <sheetName val="RKP BARU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BAHAN"/>
      <sheetName val="UPAH"/>
      <sheetName val="ANALISA"/>
      <sheetName val="SATUAN"/>
      <sheetName val="RAB MCK"/>
      <sheetName val="REKAP"/>
      <sheetName val="JADWAL"/>
    </sheetNames>
    <sheetDataSet>
      <sheetData sheetId="0" refreshError="1"/>
      <sheetData sheetId="1" refreshError="1">
        <row r="10">
          <cell r="G10">
            <v>150000</v>
          </cell>
        </row>
        <row r="11">
          <cell r="G11">
            <v>150000</v>
          </cell>
        </row>
        <row r="12">
          <cell r="G12">
            <v>200000</v>
          </cell>
        </row>
        <row r="13">
          <cell r="G13">
            <v>350000</v>
          </cell>
        </row>
        <row r="14">
          <cell r="G14">
            <v>350000</v>
          </cell>
        </row>
        <row r="15">
          <cell r="G15">
            <v>260000</v>
          </cell>
        </row>
        <row r="16">
          <cell r="G16">
            <v>900</v>
          </cell>
        </row>
        <row r="18">
          <cell r="G18">
            <v>1250</v>
          </cell>
        </row>
        <row r="19">
          <cell r="G19">
            <v>2500</v>
          </cell>
        </row>
        <row r="21">
          <cell r="G21">
            <v>1400</v>
          </cell>
        </row>
        <row r="22">
          <cell r="G22">
            <v>1500</v>
          </cell>
        </row>
        <row r="24">
          <cell r="G24">
            <v>250</v>
          </cell>
        </row>
        <row r="28">
          <cell r="G28">
            <v>20000</v>
          </cell>
        </row>
        <row r="30">
          <cell r="G30">
            <v>45000</v>
          </cell>
        </row>
        <row r="32">
          <cell r="G32">
            <v>13500</v>
          </cell>
        </row>
        <row r="33">
          <cell r="G33">
            <v>25000</v>
          </cell>
        </row>
        <row r="34">
          <cell r="G34">
            <v>21000</v>
          </cell>
        </row>
        <row r="35">
          <cell r="G35">
            <v>22500</v>
          </cell>
        </row>
        <row r="38">
          <cell r="G38">
            <v>8500</v>
          </cell>
        </row>
        <row r="40">
          <cell r="G40">
            <v>18450</v>
          </cell>
        </row>
        <row r="47">
          <cell r="G47">
            <v>13940</v>
          </cell>
        </row>
        <row r="49">
          <cell r="G49">
            <v>65600</v>
          </cell>
        </row>
        <row r="50">
          <cell r="G50">
            <v>45100</v>
          </cell>
        </row>
        <row r="51">
          <cell r="G51">
            <v>131200</v>
          </cell>
        </row>
        <row r="52">
          <cell r="G52">
            <v>32800</v>
          </cell>
        </row>
        <row r="54">
          <cell r="G54">
            <v>36900</v>
          </cell>
        </row>
        <row r="56">
          <cell r="G56">
            <v>164000</v>
          </cell>
        </row>
        <row r="57">
          <cell r="G57">
            <v>369000</v>
          </cell>
        </row>
        <row r="58">
          <cell r="G58">
            <v>9020</v>
          </cell>
        </row>
        <row r="59">
          <cell r="G59">
            <v>9020</v>
          </cell>
        </row>
        <row r="64">
          <cell r="G64">
            <v>3000000</v>
          </cell>
        </row>
        <row r="65">
          <cell r="G65">
            <v>3250000</v>
          </cell>
        </row>
        <row r="66">
          <cell r="G66">
            <v>1800000</v>
          </cell>
        </row>
        <row r="67">
          <cell r="G67">
            <v>6934000</v>
          </cell>
        </row>
        <row r="68">
          <cell r="G68">
            <v>7328000</v>
          </cell>
        </row>
        <row r="69">
          <cell r="G69">
            <v>5321000</v>
          </cell>
        </row>
        <row r="70">
          <cell r="G70">
            <v>5919000</v>
          </cell>
        </row>
        <row r="71">
          <cell r="G71">
            <v>3000000</v>
          </cell>
        </row>
        <row r="72">
          <cell r="G72">
            <v>3250000</v>
          </cell>
        </row>
        <row r="73">
          <cell r="G73">
            <v>2600</v>
          </cell>
        </row>
        <row r="80">
          <cell r="G80">
            <v>3250000</v>
          </cell>
        </row>
        <row r="82">
          <cell r="G82">
            <v>3250000</v>
          </cell>
        </row>
        <row r="83">
          <cell r="G83">
            <v>3250000</v>
          </cell>
        </row>
        <row r="88">
          <cell r="G88">
            <v>14000</v>
          </cell>
        </row>
        <row r="89">
          <cell r="G89">
            <v>47000</v>
          </cell>
        </row>
        <row r="90">
          <cell r="G90">
            <v>62000</v>
          </cell>
        </row>
        <row r="91">
          <cell r="G91">
            <v>43900</v>
          </cell>
        </row>
        <row r="93">
          <cell r="G93">
            <v>158000</v>
          </cell>
        </row>
        <row r="94">
          <cell r="G94">
            <v>66830</v>
          </cell>
        </row>
        <row r="100">
          <cell r="G100">
            <v>67650</v>
          </cell>
        </row>
        <row r="101">
          <cell r="G101">
            <v>17380</v>
          </cell>
        </row>
        <row r="102">
          <cell r="G102">
            <v>4600</v>
          </cell>
        </row>
        <row r="107">
          <cell r="G107">
            <v>44500</v>
          </cell>
        </row>
        <row r="108">
          <cell r="G108">
            <v>45000</v>
          </cell>
        </row>
        <row r="109">
          <cell r="G109">
            <v>38500</v>
          </cell>
        </row>
        <row r="110">
          <cell r="G110">
            <v>41000</v>
          </cell>
        </row>
        <row r="111">
          <cell r="G111">
            <v>45000</v>
          </cell>
        </row>
        <row r="112">
          <cell r="G112">
            <v>55000</v>
          </cell>
        </row>
        <row r="113">
          <cell r="G113">
            <v>1500</v>
          </cell>
        </row>
        <row r="114">
          <cell r="G114">
            <v>66650</v>
          </cell>
        </row>
        <row r="115">
          <cell r="G115">
            <v>92000</v>
          </cell>
        </row>
        <row r="118">
          <cell r="G118">
            <v>69000</v>
          </cell>
        </row>
        <row r="119">
          <cell r="G119">
            <v>78200</v>
          </cell>
        </row>
        <row r="122">
          <cell r="G122">
            <v>30420</v>
          </cell>
        </row>
        <row r="123">
          <cell r="G123">
            <v>34290</v>
          </cell>
        </row>
        <row r="124">
          <cell r="G124">
            <v>31870</v>
          </cell>
        </row>
        <row r="125">
          <cell r="G125">
            <v>40910</v>
          </cell>
        </row>
        <row r="128">
          <cell r="G128">
            <v>24150</v>
          </cell>
        </row>
        <row r="130">
          <cell r="G130">
            <v>6050</v>
          </cell>
        </row>
        <row r="131">
          <cell r="G131">
            <v>7350</v>
          </cell>
        </row>
        <row r="132">
          <cell r="G132">
            <v>9350</v>
          </cell>
        </row>
        <row r="133">
          <cell r="G133">
            <v>17375</v>
          </cell>
        </row>
        <row r="134">
          <cell r="G134">
            <v>25300</v>
          </cell>
        </row>
        <row r="135">
          <cell r="G135">
            <v>35050</v>
          </cell>
        </row>
        <row r="136">
          <cell r="G136">
            <v>49900</v>
          </cell>
        </row>
        <row r="137">
          <cell r="G137">
            <v>94400</v>
          </cell>
        </row>
        <row r="139">
          <cell r="G139">
            <v>19640</v>
          </cell>
        </row>
        <row r="140">
          <cell r="G140">
            <v>8280</v>
          </cell>
        </row>
        <row r="141">
          <cell r="G141">
            <v>9430</v>
          </cell>
        </row>
        <row r="142">
          <cell r="G142">
            <v>14240</v>
          </cell>
        </row>
        <row r="143">
          <cell r="G143">
            <v>21570</v>
          </cell>
        </row>
        <row r="145">
          <cell r="G145">
            <v>65520</v>
          </cell>
        </row>
        <row r="146">
          <cell r="G146">
            <v>101200</v>
          </cell>
        </row>
        <row r="151">
          <cell r="G151">
            <v>7240</v>
          </cell>
        </row>
        <row r="152">
          <cell r="G152">
            <v>24150</v>
          </cell>
        </row>
        <row r="153">
          <cell r="G153">
            <v>23000</v>
          </cell>
        </row>
        <row r="154">
          <cell r="G154">
            <v>138000</v>
          </cell>
        </row>
        <row r="155">
          <cell r="G155">
            <v>23000</v>
          </cell>
        </row>
        <row r="158">
          <cell r="G158">
            <v>17500</v>
          </cell>
        </row>
        <row r="159">
          <cell r="G159">
            <v>18100</v>
          </cell>
        </row>
        <row r="163">
          <cell r="G163">
            <v>18270</v>
          </cell>
        </row>
        <row r="164">
          <cell r="G164">
            <v>7460</v>
          </cell>
        </row>
        <row r="166">
          <cell r="G166">
            <v>8700</v>
          </cell>
        </row>
        <row r="167">
          <cell r="G167">
            <v>7460</v>
          </cell>
        </row>
        <row r="168">
          <cell r="G168">
            <v>82210</v>
          </cell>
        </row>
        <row r="169">
          <cell r="G169">
            <v>100480</v>
          </cell>
        </row>
        <row r="194">
          <cell r="G194">
            <v>14500</v>
          </cell>
        </row>
        <row r="195">
          <cell r="G195">
            <v>12500</v>
          </cell>
        </row>
        <row r="196">
          <cell r="G196">
            <v>11500</v>
          </cell>
        </row>
        <row r="197">
          <cell r="G197">
            <v>36900</v>
          </cell>
        </row>
        <row r="198">
          <cell r="G198">
            <v>16400</v>
          </cell>
        </row>
        <row r="203">
          <cell r="G203">
            <v>410</v>
          </cell>
        </row>
        <row r="206">
          <cell r="G206">
            <v>43700</v>
          </cell>
        </row>
        <row r="207">
          <cell r="G207">
            <v>62100</v>
          </cell>
        </row>
        <row r="209">
          <cell r="G209">
            <v>26080</v>
          </cell>
        </row>
        <row r="213">
          <cell r="G213">
            <v>18900</v>
          </cell>
        </row>
        <row r="215">
          <cell r="G215">
            <v>167470</v>
          </cell>
        </row>
        <row r="217">
          <cell r="G217">
            <v>1300000</v>
          </cell>
        </row>
        <row r="219">
          <cell r="G219">
            <v>1750000</v>
          </cell>
        </row>
        <row r="220">
          <cell r="G220">
            <v>1150000</v>
          </cell>
        </row>
        <row r="221">
          <cell r="G221">
            <v>2500</v>
          </cell>
        </row>
        <row r="225">
          <cell r="G225">
            <v>1500000</v>
          </cell>
        </row>
        <row r="226">
          <cell r="G226">
            <v>2500000</v>
          </cell>
        </row>
        <row r="227">
          <cell r="G227">
            <v>173250</v>
          </cell>
        </row>
        <row r="230">
          <cell r="G230">
            <v>530000</v>
          </cell>
        </row>
        <row r="231">
          <cell r="G231">
            <v>2200000</v>
          </cell>
        </row>
        <row r="236">
          <cell r="G236">
            <v>35000</v>
          </cell>
        </row>
        <row r="237">
          <cell r="G237">
            <v>1250</v>
          </cell>
        </row>
        <row r="238">
          <cell r="G238">
            <v>2500</v>
          </cell>
        </row>
        <row r="239">
          <cell r="G239">
            <v>2750</v>
          </cell>
        </row>
        <row r="240">
          <cell r="G240">
            <v>3600</v>
          </cell>
        </row>
        <row r="243">
          <cell r="G243">
            <v>95000</v>
          </cell>
        </row>
        <row r="245">
          <cell r="G245">
            <v>47000</v>
          </cell>
        </row>
        <row r="246">
          <cell r="G246">
            <v>35000</v>
          </cell>
        </row>
        <row r="247">
          <cell r="G247">
            <v>34120</v>
          </cell>
        </row>
        <row r="248">
          <cell r="G248">
            <v>3920</v>
          </cell>
        </row>
        <row r="250">
          <cell r="G250">
            <v>3300</v>
          </cell>
        </row>
        <row r="251">
          <cell r="G251">
            <v>3970</v>
          </cell>
        </row>
        <row r="255">
          <cell r="G255">
            <v>60000</v>
          </cell>
        </row>
        <row r="256">
          <cell r="G256">
            <v>19950</v>
          </cell>
        </row>
        <row r="260">
          <cell r="G260">
            <v>82420</v>
          </cell>
        </row>
        <row r="261">
          <cell r="G261">
            <v>55000</v>
          </cell>
        </row>
        <row r="262">
          <cell r="G262">
            <v>6300</v>
          </cell>
        </row>
        <row r="263">
          <cell r="G263">
            <v>11020</v>
          </cell>
        </row>
        <row r="265">
          <cell r="G265">
            <v>7500</v>
          </cell>
        </row>
        <row r="266">
          <cell r="G266">
            <v>13650</v>
          </cell>
        </row>
        <row r="267">
          <cell r="G267">
            <v>19950</v>
          </cell>
        </row>
        <row r="268">
          <cell r="G268">
            <v>150000</v>
          </cell>
        </row>
        <row r="269">
          <cell r="G269">
            <v>75000</v>
          </cell>
        </row>
        <row r="270">
          <cell r="G270">
            <v>30000</v>
          </cell>
        </row>
        <row r="273">
          <cell r="G273">
            <v>5250</v>
          </cell>
        </row>
      </sheetData>
      <sheetData sheetId="2" refreshError="1">
        <row r="10">
          <cell r="G10">
            <v>150000</v>
          </cell>
        </row>
        <row r="11">
          <cell r="G11">
            <v>135000</v>
          </cell>
        </row>
        <row r="12">
          <cell r="G12">
            <v>109000</v>
          </cell>
        </row>
        <row r="13">
          <cell r="G13">
            <v>105000</v>
          </cell>
        </row>
        <row r="14">
          <cell r="G14">
            <v>105000</v>
          </cell>
        </row>
        <row r="15">
          <cell r="G15">
            <v>105000</v>
          </cell>
        </row>
        <row r="16">
          <cell r="G16">
            <v>105000</v>
          </cell>
        </row>
      </sheetData>
      <sheetData sheetId="3" refreshError="1"/>
      <sheetData sheetId="4" refreshError="1">
        <row r="15">
          <cell r="I15">
            <v>40478</v>
          </cell>
        </row>
        <row r="19">
          <cell r="I19">
            <v>18630</v>
          </cell>
        </row>
        <row r="27">
          <cell r="I27">
            <v>31619</v>
          </cell>
        </row>
        <row r="30">
          <cell r="I30">
            <v>227700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heet1"/>
      <sheetName val="Sheet2"/>
      <sheetName val="SAT-PEK"/>
      <sheetName val="Compatibility Report"/>
      <sheetName val="KUBIKASI"/>
      <sheetName val="HIT. TULANGAN"/>
      <sheetName val="METODA"/>
      <sheetName val="SCH"/>
      <sheetName val="ANALISA"/>
      <sheetName val="BAHAN"/>
      <sheetName val="UPAH"/>
      <sheetName val="SAT PEK OK"/>
      <sheetName val="RAB "/>
      <sheetName val="REKAPITULASI"/>
      <sheetName val="Peralatan (2)"/>
      <sheetName val="BOX PANEL"/>
      <sheetName val="HRG BHN"/>
      <sheetName val="Cover"/>
      <sheetName val="Harsat Bahan"/>
      <sheetName val="Harsat Upah"/>
      <sheetName val="Sheet9"/>
      <sheetName val="Bahan "/>
      <sheetName val="Pekerjaan "/>
    </sheetNames>
    <sheetDataSet>
      <sheetData sheetId="0" refreshError="1">
        <row r="3031">
          <cell r="I3031">
            <v>1371009.19</v>
          </cell>
        </row>
        <row r="3759">
          <cell r="I3759">
            <v>791382.8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E11">
            <v>49500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</sheetData>
      <sheetData sheetId="11">
        <row r="10">
          <cell r="E10">
            <v>50000</v>
          </cell>
        </row>
      </sheetData>
      <sheetData sheetId="12"/>
      <sheetData sheetId="13">
        <row r="36">
          <cell r="G36">
            <v>0.81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 Pekerjaan"/>
      <sheetName val="H. Quari +"/>
      <sheetName val="Tanah"/>
      <sheetName val="Harga Satuan"/>
      <sheetName val="Analisa"/>
      <sheetName val="rb-2"/>
      <sheetName val="rekap-2"/>
      <sheetName val="BAHAN"/>
      <sheetName val="UPAH"/>
      <sheetName val="analisa (2)"/>
      <sheetName val="SAT-BHN"/>
      <sheetName val="Harga Bahan"/>
      <sheetName val="Ch"/>
      <sheetName val="Harsat Upah"/>
      <sheetName val="Sat~Bahu"/>
      <sheetName val="Sheet1"/>
      <sheetName val="Analisanya"/>
      <sheetName val="Analisis Harga Sat"/>
      <sheetName val="Daf Harg Satuan Bahan"/>
      <sheetName val="HaRGA SAT pIPA"/>
      <sheetName val="I-KAMAR"/>
      <sheetName val="I_KAMAR"/>
      <sheetName val="Recovered_Sheet1"/>
      <sheetName val="000000"/>
      <sheetName val="TERBILANG"/>
      <sheetName val="Hit Volum"/>
      <sheetName val="HIT_VOL"/>
      <sheetName val="REK HIT VOL"/>
      <sheetName val="TS"/>
      <sheetName val="Rekap BQ"/>
      <sheetName val="BOQ"/>
      <sheetName val="Harsat Pekerjaan"/>
      <sheetName val="HIT. TULANGAN"/>
      <sheetName val="ALAT BERAT"/>
      <sheetName val="Anal BM 1"/>
      <sheetName val="Anal BM 2"/>
      <sheetName val="Sheet12"/>
      <sheetName val="ANLS KUSEN"/>
      <sheetName val="Sheet7"/>
      <sheetName val="Sheet17"/>
      <sheetName val="Sheet2"/>
      <sheetName val="Sheet3"/>
      <sheetName val="Sheet4"/>
      <sheetName val="DAFTAR BESI KANAL C SIKU"/>
      <sheetName val="DAFTAR  BESI IWF"/>
      <sheetName val="Peralatan"/>
      <sheetName val="Peralatan (2)"/>
      <sheetName val="Sheet5"/>
      <sheetName val="SNI"/>
      <sheetName val="kaper"/>
      <sheetName val="RINCIAN LAPORAN"/>
      <sheetName val="REKAP"/>
      <sheetName val="SCHEDULE cnt"/>
      <sheetName val="JILID"/>
      <sheetName val="TS ORI"/>
    </sheetNames>
    <sheetDataSet>
      <sheetData sheetId="0"/>
      <sheetData sheetId="1" refreshError="1"/>
      <sheetData sheetId="2" refreshError="1"/>
      <sheetData sheetId="3" refreshError="1"/>
      <sheetData sheetId="4" refreshError="1">
        <row r="17">
          <cell r="J17">
            <v>13018.5</v>
          </cell>
        </row>
        <row r="33">
          <cell r="J33">
            <v>233621.3</v>
          </cell>
        </row>
        <row r="46">
          <cell r="J46">
            <v>197326.25</v>
          </cell>
        </row>
        <row r="56">
          <cell r="J56">
            <v>16665</v>
          </cell>
        </row>
        <row r="65">
          <cell r="J65">
            <v>14712.5</v>
          </cell>
        </row>
        <row r="75">
          <cell r="J75">
            <v>6396.5</v>
          </cell>
        </row>
        <row r="85">
          <cell r="J85">
            <v>19112.5</v>
          </cell>
        </row>
        <row r="108">
          <cell r="J108">
            <v>117249</v>
          </cell>
        </row>
        <row r="119">
          <cell r="J119">
            <v>161997</v>
          </cell>
        </row>
        <row r="133">
          <cell r="J133">
            <v>315574.38</v>
          </cell>
        </row>
        <row r="147">
          <cell r="J147">
            <v>388432.55</v>
          </cell>
        </row>
        <row r="169">
          <cell r="J169">
            <v>2381965.85</v>
          </cell>
        </row>
        <row r="217">
          <cell r="J217">
            <v>2243016.6</v>
          </cell>
        </row>
        <row r="239">
          <cell r="J239">
            <v>2873585.55</v>
          </cell>
        </row>
        <row r="283">
          <cell r="J283">
            <v>1944404</v>
          </cell>
        </row>
        <row r="314">
          <cell r="J314">
            <v>2441016.6</v>
          </cell>
        </row>
        <row r="363">
          <cell r="J363">
            <v>50876.705000000002</v>
          </cell>
        </row>
        <row r="402">
          <cell r="J402">
            <v>17180.239999999998</v>
          </cell>
        </row>
        <row r="415">
          <cell r="J415">
            <v>3592242.5</v>
          </cell>
        </row>
        <row r="430">
          <cell r="J430">
            <v>22962.5</v>
          </cell>
        </row>
        <row r="455">
          <cell r="J455">
            <v>29832</v>
          </cell>
        </row>
        <row r="469">
          <cell r="J469">
            <v>39404.639999999999</v>
          </cell>
        </row>
        <row r="500">
          <cell r="J500">
            <v>48895</v>
          </cell>
        </row>
        <row r="512">
          <cell r="J512">
            <v>1654125</v>
          </cell>
        </row>
        <row r="539">
          <cell r="J539">
            <v>9864.25</v>
          </cell>
        </row>
        <row r="597">
          <cell r="J597">
            <v>90401.41</v>
          </cell>
        </row>
        <row r="612">
          <cell r="J612">
            <v>91006.41</v>
          </cell>
        </row>
        <row r="626">
          <cell r="J626">
            <v>217711.45</v>
          </cell>
        </row>
        <row r="641">
          <cell r="J641">
            <v>280301.45</v>
          </cell>
        </row>
        <row r="655">
          <cell r="J655">
            <v>2323062.5</v>
          </cell>
        </row>
        <row r="688">
          <cell r="J688">
            <v>205436</v>
          </cell>
        </row>
        <row r="703">
          <cell r="J703">
            <v>136059</v>
          </cell>
        </row>
        <row r="715">
          <cell r="J715">
            <v>128713.75</v>
          </cell>
        </row>
        <row r="736">
          <cell r="J736">
            <v>60912.5</v>
          </cell>
        </row>
        <row r="745">
          <cell r="J745">
            <v>24612.5</v>
          </cell>
        </row>
        <row r="772">
          <cell r="J772">
            <v>88275</v>
          </cell>
        </row>
        <row r="781">
          <cell r="J781">
            <v>155375</v>
          </cell>
        </row>
        <row r="790">
          <cell r="J790">
            <v>17325</v>
          </cell>
        </row>
        <row r="799">
          <cell r="J799">
            <v>19607.5</v>
          </cell>
        </row>
        <row r="808">
          <cell r="J808">
            <v>8321.5</v>
          </cell>
        </row>
        <row r="882">
          <cell r="J882">
            <v>29570.2</v>
          </cell>
        </row>
        <row r="896">
          <cell r="J896">
            <v>21076</v>
          </cell>
        </row>
        <row r="910">
          <cell r="J910">
            <v>21395</v>
          </cell>
        </row>
        <row r="923">
          <cell r="J923">
            <v>7400.25</v>
          </cell>
        </row>
        <row r="975">
          <cell r="J975">
            <v>6845.2120000000004</v>
          </cell>
        </row>
        <row r="984">
          <cell r="J984">
            <v>3630</v>
          </cell>
        </row>
        <row r="1015">
          <cell r="J1015">
            <v>3932.5</v>
          </cell>
        </row>
        <row r="1025">
          <cell r="J1025">
            <v>106150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ulan"/>
      <sheetName val="Sheet1"/>
      <sheetName val="HaRGA SAT pIPA"/>
      <sheetName val="Daf Harg Satuan Bahan"/>
      <sheetName val="Rekap"/>
      <sheetName val="RAB"/>
      <sheetName val="Analisis Harga Sat"/>
      <sheetName val="ANALISA"/>
      <sheetName val="HARGA SATUAN"/>
      <sheetName val="D -12"/>
      <sheetName val="plumbing"/>
      <sheetName val="SEX"/>
      <sheetName val="Analisa Struktur"/>
      <sheetName val="Daftar Harga Upah"/>
      <sheetName val="Analisa Arsitektur"/>
      <sheetName val="Analisa Pondasi"/>
      <sheetName val="Analisa Persiapan"/>
    </sheetNames>
    <sheetDataSet>
      <sheetData sheetId="0"/>
      <sheetData sheetId="1"/>
      <sheetData sheetId="2">
        <row r="5">
          <cell r="D5">
            <v>110000</v>
          </cell>
        </row>
        <row r="10">
          <cell r="D10">
            <v>27000</v>
          </cell>
        </row>
      </sheetData>
      <sheetData sheetId="3">
        <row r="9">
          <cell r="E9">
            <v>20000</v>
          </cell>
        </row>
        <row r="10">
          <cell r="E10">
            <v>40000</v>
          </cell>
        </row>
        <row r="11">
          <cell r="E11">
            <v>40000</v>
          </cell>
        </row>
        <row r="12">
          <cell r="E12">
            <v>40000</v>
          </cell>
        </row>
        <row r="13">
          <cell r="E13">
            <v>40000</v>
          </cell>
        </row>
        <row r="14">
          <cell r="E14">
            <v>45000</v>
          </cell>
        </row>
        <row r="15">
          <cell r="E15">
            <v>42500</v>
          </cell>
        </row>
        <row r="20">
          <cell r="E20">
            <v>75000</v>
          </cell>
        </row>
        <row r="21">
          <cell r="E21">
            <v>87000</v>
          </cell>
        </row>
        <row r="22">
          <cell r="E22">
            <v>110000</v>
          </cell>
        </row>
        <row r="23">
          <cell r="E23">
            <v>110000</v>
          </cell>
        </row>
        <row r="24">
          <cell r="E24">
            <v>38000</v>
          </cell>
        </row>
        <row r="25">
          <cell r="E25">
            <v>70000</v>
          </cell>
        </row>
        <row r="26">
          <cell r="E26">
            <v>320</v>
          </cell>
        </row>
        <row r="27">
          <cell r="E27">
            <v>7000</v>
          </cell>
        </row>
        <row r="28">
          <cell r="E28">
            <v>12500</v>
          </cell>
        </row>
        <row r="29">
          <cell r="E29">
            <v>15000</v>
          </cell>
        </row>
        <row r="30">
          <cell r="E30">
            <v>8500</v>
          </cell>
        </row>
        <row r="31">
          <cell r="E31">
            <v>8700</v>
          </cell>
        </row>
        <row r="38">
          <cell r="E38">
            <v>750000</v>
          </cell>
        </row>
        <row r="41">
          <cell r="E41">
            <v>8000</v>
          </cell>
        </row>
      </sheetData>
      <sheetData sheetId="4"/>
      <sheetData sheetId="5"/>
      <sheetData sheetId="6">
        <row r="26">
          <cell r="J26">
            <v>12980</v>
          </cell>
        </row>
        <row r="34">
          <cell r="J34">
            <v>16480</v>
          </cell>
        </row>
        <row r="59">
          <cell r="J59">
            <v>7360</v>
          </cell>
        </row>
        <row r="67">
          <cell r="J67">
            <v>8930</v>
          </cell>
        </row>
        <row r="126">
          <cell r="J126">
            <v>415470</v>
          </cell>
        </row>
        <row r="139">
          <cell r="J139">
            <v>521040</v>
          </cell>
        </row>
        <row r="152">
          <cell r="J152">
            <v>1660</v>
          </cell>
        </row>
        <row r="166">
          <cell r="J166">
            <v>35160</v>
          </cell>
        </row>
        <row r="239">
          <cell r="J239">
            <v>2710</v>
          </cell>
        </row>
        <row r="248">
          <cell r="J248">
            <v>1960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Bahan "/>
      <sheetName val="upah"/>
      <sheetName val="Pekerjaan "/>
      <sheetName val="analis standar(8m)"/>
      <sheetName val="Analisis Harga Sat"/>
      <sheetName val="Daf Harg Satuan Bahan"/>
      <sheetName val="HaRGA SAT pIPA"/>
      <sheetName val="Analisa Struktur"/>
      <sheetName val="Daftar Harga Upah"/>
    </sheetNames>
    <sheetDataSet>
      <sheetData sheetId="0">
        <row r="18">
          <cell r="G18">
            <v>125000</v>
          </cell>
        </row>
        <row r="24">
          <cell r="G24">
            <v>105000</v>
          </cell>
        </row>
        <row r="26">
          <cell r="G26">
            <v>4680</v>
          </cell>
        </row>
        <row r="71">
          <cell r="G71">
            <v>2100000</v>
          </cell>
        </row>
        <row r="84">
          <cell r="G84">
            <v>2000000</v>
          </cell>
        </row>
        <row r="85">
          <cell r="G85">
            <v>1800000</v>
          </cell>
        </row>
        <row r="93">
          <cell r="G93">
            <v>120000</v>
          </cell>
        </row>
        <row r="116">
          <cell r="G116">
            <v>28000</v>
          </cell>
        </row>
        <row r="132">
          <cell r="G132">
            <v>18000</v>
          </cell>
        </row>
        <row r="164">
          <cell r="G164">
            <v>12500</v>
          </cell>
        </row>
        <row r="166">
          <cell r="G166">
            <v>3500</v>
          </cell>
        </row>
        <row r="230">
          <cell r="G230">
            <v>220000</v>
          </cell>
        </row>
        <row r="409">
          <cell r="G409">
            <v>49000</v>
          </cell>
        </row>
        <row r="410">
          <cell r="G410">
            <v>24000</v>
          </cell>
        </row>
        <row r="546">
          <cell r="G546">
            <v>488500</v>
          </cell>
        </row>
        <row r="607">
          <cell r="G607">
            <v>30000</v>
          </cell>
        </row>
        <row r="610">
          <cell r="G610">
            <v>40000</v>
          </cell>
        </row>
        <row r="611">
          <cell r="G611">
            <v>40000</v>
          </cell>
        </row>
        <row r="613">
          <cell r="G613">
            <v>35000</v>
          </cell>
        </row>
        <row r="616">
          <cell r="G616">
            <v>45000</v>
          </cell>
        </row>
        <row r="617">
          <cell r="G617">
            <v>45000</v>
          </cell>
        </row>
        <row r="619">
          <cell r="G619">
            <v>40000</v>
          </cell>
        </row>
        <row r="627">
          <cell r="G627">
            <v>35000</v>
          </cell>
        </row>
        <row r="632">
          <cell r="G632">
            <v>50000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at_Bahu"/>
      <sheetName val="Sheet1"/>
      <sheetName val="Sheet2"/>
      <sheetName val="Sheet3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EKAP (2)"/>
      <sheetName val="RAB GEDUNG"/>
      <sheetName val="SELASAR"/>
      <sheetName val="JALAN"/>
      <sheetName val="BAHAN"/>
      <sheetName val="SATUAN"/>
      <sheetName val="UPAH"/>
      <sheetName val="bhn-upah"/>
      <sheetName val="HRG BHN"/>
      <sheetName val="villa"/>
      <sheetName val="Div-3"/>
      <sheetName val="B-Price"/>
      <sheetName val="Rekap "/>
      <sheetName val="RAPlenk"/>
      <sheetName val="Material"/>
      <sheetName val="I-ME"/>
      <sheetName val="2.RAB"/>
      <sheetName val="ANALIS"/>
      <sheetName val="UP_an"/>
      <sheetName val="Input Data"/>
      <sheetName val="INPUT HARGA"/>
      <sheetName val="AHS SNI 2008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daf-3(OK)"/>
      <sheetName val="daf-7(OK)"/>
      <sheetName val="HARGA ALAT"/>
      <sheetName val="Analis_alat"/>
      <sheetName val="ANALIS_TAMBAHAN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Analis_alat1"/>
      <sheetName val="ANALIS_TAMBAHAN1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HARGA"/>
      <sheetName val="Biaya alat"/>
      <sheetName val="PAKET 1 (d3)"/>
      <sheetName val="PAKET 2 (d3)"/>
      <sheetName val="LINK"/>
      <sheetName val="pvc"/>
      <sheetName val="BQ"/>
      <sheetName val="Harga Bahan"/>
      <sheetName val="Analis_alat2"/>
      <sheetName val="ANALIS_TAMBAHAN2"/>
      <sheetName val="Df-Kuan"/>
      <sheetName val="Daf 1A"/>
      <sheetName val="Sat pekerjaan"/>
      <sheetName val="Upah,Bahan, Alat"/>
      <sheetName val="Master"/>
      <sheetName val="bhn_upah"/>
      <sheetName val="00. HARGA BAHAN DASAR"/>
      <sheetName val="5-Peralatan"/>
      <sheetName val="Kuantitas &amp; Harga"/>
      <sheetName val="Basic Price"/>
      <sheetName val="Peralatan"/>
      <sheetName val="DIV-2 (Drainase)"/>
      <sheetName val="DIV-4"/>
      <sheetName val="DIV-5"/>
      <sheetName val="DIV-6"/>
      <sheetName val="D6-1-1b"/>
      <sheetName val="D7-3-3a"/>
      <sheetName val="DAFTAR HARGA"/>
      <sheetName val="HB "/>
      <sheetName val="ESCON"/>
      <sheetName val="SAT-PEK"/>
      <sheetName val="Satdas"/>
      <sheetName val="divI"/>
      <sheetName val="divII"/>
      <sheetName val="DU&amp;B"/>
      <sheetName val="Cover"/>
      <sheetName val="_bhn_uph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al_ Pancang"/>
      <sheetName val="An H.Sat Pek.Ut"/>
      <sheetName val="breakdown"/>
      <sheetName val="Rate"/>
      <sheetName val="Pricing"/>
      <sheetName val="sch"/>
      <sheetName val="H.Satuan"/>
      <sheetName val="Summary"/>
      <sheetName val="Harga S Dasar UNTUK IDISI"/>
      <sheetName val="Rinc. Harg.BHN"/>
      <sheetName val="isian"/>
      <sheetName val="D6-1b"/>
      <sheetName val="HARSATALAT"/>
      <sheetName val="4-Basic Price"/>
      <sheetName val="kurvasSept"/>
      <sheetName val="KURVASAGT"/>
      <sheetName val="KURVASFULL"/>
      <sheetName val="Jadwal ags"/>
      <sheetName val="2-BOQ"/>
      <sheetName val="kurva s"/>
      <sheetName val="galian drainase"/>
      <sheetName val="Pasangan Batu"/>
      <sheetName val="jilid Harian"/>
      <sheetName val="SC KONTRAK"/>
      <sheetName val="mingguan kontrak (2)"/>
      <sheetName val="mingguan kontrak"/>
      <sheetName val="Indek Bahan"/>
      <sheetName val="Droping Bahan "/>
      <sheetName val="bobot kontrak (2)"/>
      <sheetName val="konsep Harian kontrak (2)"/>
      <sheetName val="Droping Bahan  (2)"/>
      <sheetName val="Harian (2)"/>
      <sheetName val="Sheet5"/>
      <sheetName val="Sheet4"/>
      <sheetName val="Jilid MC"/>
      <sheetName val="mc"/>
      <sheetName val="isi mc"/>
      <sheetName val="jilid BU"/>
      <sheetName val="isi bu"/>
      <sheetName val="Jilid Gmbr"/>
      <sheetName val="Ofnam luas"/>
      <sheetName val="tiket"/>
      <sheetName val="dt ofname"/>
      <sheetName val="dt corring"/>
      <sheetName val="bobot kontrak"/>
      <sheetName val="konsep Harian kontrak"/>
      <sheetName val="Harian"/>
      <sheetName val="Rab PENAWARAN"/>
      <sheetName val="MC-0"/>
      <sheetName val="hari"/>
      <sheetName val="PhotoDok"/>
      <sheetName val="Indek Pek."/>
      <sheetName val="Amandemen pb"/>
      <sheetName val="keb.Pekerja"/>
      <sheetName val="DAT PEL"/>
      <sheetName val="OF"/>
      <sheetName val="SUM"/>
      <sheetName val="graf cuaca"/>
      <sheetName val="graf pekerja"/>
      <sheetName val="graf bahan"/>
      <sheetName val="graf.2"/>
      <sheetName val="jilid tamu"/>
      <sheetName val="jilid direksi"/>
      <sheetName val="isi buku"/>
      <sheetName val="ANALIS 2"/>
      <sheetName val="DH"/>
      <sheetName val="R"/>
      <sheetName val="BHUPAL"/>
      <sheetName val="daf_3_OK_"/>
      <sheetName val="daf_7_OK_"/>
      <sheetName val="ANLIS "/>
      <sheetName val="ANALISA BIAYA"/>
      <sheetName val="HSD"/>
      <sheetName val="ANALIS WIL 1"/>
      <sheetName val="rab lt 2 bo"/>
      <sheetName val="URAIAN "/>
      <sheetName val="Div.3"/>
      <sheetName val="Kuant"/>
      <sheetName val="Upah Modifikasi"/>
      <sheetName val="upah&amp;Bahan "/>
      <sheetName val="harsat"/>
      <sheetName val="SAP"/>
      <sheetName val="analis standar(20m)"/>
      <sheetName val="ANAL BETON"/>
      <sheetName val="HaSatUp"/>
      <sheetName val="Rutin"/>
      <sheetName val="Analisa Quarry"/>
      <sheetName val="Analisa-K"/>
      <sheetName val="1.BAHAN"/>
      <sheetName val="2.UPAH"/>
      <sheetName val="D7"/>
      <sheetName val="Harga S Dasar"/>
      <sheetName val="Estimate"/>
      <sheetName val="Harga Bahan &amp; Upah "/>
      <sheetName val="Harga sewa alat"/>
      <sheetName val="RAB  "/>
      <sheetName val="par"/>
      <sheetName val="ANALISA_1"/>
      <sheetName val="ANALISA-1"/>
      <sheetName val="lap.har"/>
      <sheetName val="harga pipa dan acc "/>
      <sheetName val="PERHITUNGAN LUMPSUM"/>
      <sheetName val="Ahs"/>
      <sheetName val="HBahan&amp;Upah "/>
      <sheetName val="plesteran"/>
      <sheetName val="pas batu"/>
      <sheetName val="gal bis"/>
      <sheetName val="pls beton"/>
      <sheetName val="hps pls beton"/>
      <sheetName val="jilid TERMYN"/>
      <sheetName val="jilid MC 100"/>
      <sheetName val="ba MC 100"/>
      <sheetName val="mc 100"/>
      <sheetName val="jilid MC 0"/>
      <sheetName val="ADD.11"/>
      <sheetName val="ba MC 0"/>
      <sheetName val="dahit add"/>
      <sheetName val="mc 0"/>
      <sheetName val="dahit"/>
      <sheetName val="x"/>
      <sheetName val="jilid ADD"/>
      <sheetName val="ba"/>
      <sheetName val="ADD"/>
      <sheetName val="add.1"/>
      <sheetName val="nego"/>
      <sheetName val="analis cco (2)"/>
      <sheetName val="absensi"/>
      <sheetName val="usulrek"/>
      <sheetName val="surat PPK ke cv."/>
      <sheetName val="surat PPK ke panitia"/>
      <sheetName val="und ke panitia"/>
      <sheetName val="laporan"/>
      <sheetName val="jilid justek"/>
      <sheetName val="Justifikasi Teknik"/>
      <sheetName val="Peralatan (2)"/>
      <sheetName val="Harsat Bahan Penawaran"/>
      <sheetName val="Lap. Mingg."/>
      <sheetName val="Net.Tek. ok"/>
      <sheetName val="Estimasi"/>
      <sheetName val="CCO"/>
      <sheetName val="Lap. Harian"/>
      <sheetName val="Analis_alat3"/>
      <sheetName val="ANALIS_TAMBAHAN3"/>
      <sheetName val="Perhitungan_Besi2"/>
      <sheetName val="DAFTAR_BESI_KANAL_C_SIKU2"/>
      <sheetName val="DAFTAR__BESI_IWF2"/>
      <sheetName val="Analisa_tak_terpakai2"/>
      <sheetName val="Harsat_Upah2"/>
      <sheetName val="Analisa_Teknis2"/>
      <sheetName val="Harsat_Pekerjaan2"/>
      <sheetName val="JLN(TRT_(3)2"/>
      <sheetName val="D_BASE2"/>
      <sheetName val="UPAH_BAHAN2"/>
      <sheetName val="HAR_SAT2"/>
      <sheetName val="Alat_Berat2"/>
      <sheetName val="Harsat_Bahan2"/>
      <sheetName val="FIRE_ALARM2"/>
      <sheetName val="REKAP_(2)2"/>
      <sheetName val="RAB_GEDUNG2"/>
      <sheetName val="Harga_Bahan"/>
      <sheetName val="rekapitulasi_baru2"/>
      <sheetName val="PENCECAH_UPAL2"/>
      <sheetName val="analis_bm_terpakai2"/>
      <sheetName val="ANALIS_TERPAKAI2"/>
      <sheetName val="SAT_BAHU_BM_TERPAKAI2"/>
      <sheetName val="SATPEK_TERPAKAI2"/>
      <sheetName val="bjht-pmn_9502"/>
      <sheetName val="LPA_BLK-FTROLL_4442"/>
      <sheetName val="jl__curugwangi2"/>
      <sheetName val="BK_Kas_Harian2"/>
      <sheetName val="laphar_blkf2"/>
      <sheetName val="laphar_bjht-ptm2"/>
      <sheetName val="laphar_crgwngi2"/>
      <sheetName val="lap_mguan2"/>
      <sheetName val="rlisasi_biaya2"/>
      <sheetName val="analisa_bm_20112"/>
      <sheetName val="PENCECAH_UPAL_2"/>
      <sheetName val="analis_bm_terpakai_2"/>
      <sheetName val="SAT_BAHU_BM_TERPAKAI_(2)2"/>
      <sheetName val="pemeliharaan_jalan_2"/>
      <sheetName val="2_2_2_2_2_2"/>
      <sheetName val="HRG_BHN"/>
      <sheetName val="Input_Data"/>
      <sheetName val="INPUT_HARGA"/>
      <sheetName val="AHS_SNI_2008"/>
      <sheetName val="REKAP_FISIK"/>
      <sheetName val="3_KELAS_+_1_KTR_"/>
      <sheetName val="Site_Dev"/>
      <sheetName val="buku-alat_satap"/>
      <sheetName val="PENGADAAN_BUKU"/>
      <sheetName val="PENGEMBANGAN_PEND"/>
      <sheetName val="ADM_OPR"/>
      <sheetName val="TOWER_AIR"/>
      <sheetName val="RKB_1_RUANG"/>
      <sheetName val="RKB_3_RUANG"/>
      <sheetName val="MESS_GURU"/>
      <sheetName val="RAMPA_&amp;_HAND_RAILING"/>
      <sheetName val="PEN_LAHAN_KHUSUS"/>
      <sheetName val="SELASAR_PENGHUBUNG"/>
      <sheetName val="PINTU_GERBANG"/>
      <sheetName val="BANGSAL_SEPEDA"/>
      <sheetName val="AHS_RAMPA_&amp;_HAND_RAILING"/>
      <sheetName val="VOL_SERBAGUNA-1_RKB"/>
      <sheetName val="VOL_3_KELAS_+_1_KTR"/>
      <sheetName val="VOL_WC"/>
      <sheetName val="VOL_MESS_GURU"/>
      <sheetName val="VOL_B_SEPEDA"/>
      <sheetName val="HARGA_FURNIT"/>
      <sheetName val="HARGA_BAHAN_DAN_UPAH"/>
      <sheetName val="Biaya_alat"/>
      <sheetName val="PAKET_1_(d3)"/>
      <sheetName val="PAKET_2_(d3)"/>
      <sheetName val="Rekap_"/>
      <sheetName val="HARGA_ALAT"/>
      <sheetName val="DIV__6"/>
      <sheetName val="Latasir_Jadi"/>
      <sheetName val="Ready_Mix"/>
      <sheetName val="An_Graffel"/>
      <sheetName val="SNI_2014"/>
      <sheetName val="Data_Hitung"/>
      <sheetName val="Biaya_UBA"/>
      <sheetName val="H_Satuan"/>
      <sheetName val="Anal__Pancang"/>
      <sheetName val="rekap_RAB"/>
      <sheetName val="rekap_MURNI"/>
      <sheetName val="rekap_&amp;_SWADAYA"/>
      <sheetName val="Uraian_Bhan"/>
      <sheetName val="URAIAN_BAHAN"/>
      <sheetName val="Analisa_CIPTAKARYA"/>
      <sheetName val="Analis_rek"/>
      <sheetName val="besi_"/>
      <sheetName val="Harsat_Bah"/>
      <sheetName val="Harsat_Up"/>
      <sheetName val="Harga_S_Dasar_UNTUK_IDISI"/>
      <sheetName val="Rinc__Harg_BHN"/>
      <sheetName val="4-Basic_Price"/>
      <sheetName val="Basic_Price"/>
      <sheetName val="Kuantitas_&amp;_Harga"/>
      <sheetName val="Analisa_(ok_punya)"/>
      <sheetName val="Analis_alat4"/>
      <sheetName val="ANALIS_TAMBAHAN4"/>
      <sheetName val="Perhitungan_Besi3"/>
      <sheetName val="DAFTAR_BESI_KANAL_C_SIKU3"/>
      <sheetName val="DAFTAR__BESI_IWF3"/>
      <sheetName val="Analisa_tak_terpakai3"/>
      <sheetName val="Harsat_Upah3"/>
      <sheetName val="Analisa_Teknis3"/>
      <sheetName val="Harsat_Pekerjaan3"/>
      <sheetName val="JLN(TRT_(3)3"/>
      <sheetName val="D_BASE3"/>
      <sheetName val="UPAH_BAHAN3"/>
      <sheetName val="HAR_SAT3"/>
      <sheetName val="Alat_Berat3"/>
      <sheetName val="Harsat_Bahan3"/>
      <sheetName val="FIRE_ALARM3"/>
      <sheetName val="REKAP_(2)3"/>
      <sheetName val="RAB_GEDUNG3"/>
      <sheetName val="Harga_Bahan1"/>
      <sheetName val="rekapitulasi_baru3"/>
      <sheetName val="PENCECAH_UPAL3"/>
      <sheetName val="analis_bm_terpakai3"/>
      <sheetName val="ANALIS_TERPAKAI3"/>
      <sheetName val="SAT_BAHU_BM_TERPAKAI3"/>
      <sheetName val="SATPEK_TERPAKAI3"/>
      <sheetName val="bjht-pmn_9503"/>
      <sheetName val="LPA_BLK-FTROLL_4443"/>
      <sheetName val="jl__curugwangi3"/>
      <sheetName val="BK_Kas_Harian3"/>
      <sheetName val="laphar_blkf3"/>
      <sheetName val="laphar_bjht-ptm3"/>
      <sheetName val="laphar_crgwngi3"/>
      <sheetName val="lap_mguan3"/>
      <sheetName val="rlisasi_biaya3"/>
      <sheetName val="analisa_bm_20113"/>
      <sheetName val="PENCECAH_UPAL_3"/>
      <sheetName val="analis_bm_terpakai_3"/>
      <sheetName val="SAT_BAHU_BM_TERPAKAI_(2)3"/>
      <sheetName val="pemeliharaan_jalan_3"/>
      <sheetName val="2_2_2_2_2_3"/>
      <sheetName val="HRG_BHN1"/>
      <sheetName val="Input_Data1"/>
      <sheetName val="INPUT_HARGA1"/>
      <sheetName val="AHS_SNI_20081"/>
      <sheetName val="REKAP_FISIK1"/>
      <sheetName val="3_KELAS_+_1_KTR_1"/>
      <sheetName val="Site_Dev1"/>
      <sheetName val="buku-alat_satap1"/>
      <sheetName val="PENGADAAN_BUKU1"/>
      <sheetName val="PENGEMBANGAN_PEND1"/>
      <sheetName val="ADM_OPR1"/>
      <sheetName val="TOWER_AIR1"/>
      <sheetName val="RKB_1_RUANG1"/>
      <sheetName val="RKB_3_RUANG1"/>
      <sheetName val="MESS_GURU1"/>
      <sheetName val="RAMPA_&amp;_HAND_RAILING1"/>
      <sheetName val="PEN_LAHAN_KHUSUS1"/>
      <sheetName val="SELASAR_PENGHUBUNG1"/>
      <sheetName val="PINTU_GERBANG1"/>
      <sheetName val="BANGSAL_SEPEDA1"/>
      <sheetName val="AHS_RAMPA_&amp;_HAND_RAILING1"/>
      <sheetName val="VOL_SERBAGUNA-1_RKB1"/>
      <sheetName val="VOL_3_KELAS_+_1_KTR1"/>
      <sheetName val="VOL_WC1"/>
      <sheetName val="VOL_MESS_GURU1"/>
      <sheetName val="VOL_B_SEPEDA1"/>
      <sheetName val="HARGA_FURNIT1"/>
      <sheetName val="HARGA_BAHAN_DAN_UPAH1"/>
      <sheetName val="Biaya_alat1"/>
      <sheetName val="PAKET_1_(d3)1"/>
      <sheetName val="PAKET_2_(d3)1"/>
      <sheetName val="Rekap_1"/>
      <sheetName val="HARGA_ALAT1"/>
      <sheetName val="sai"/>
      <sheetName val="Konfirm"/>
      <sheetName val="Analisa pek. pas &amp; beton"/>
      <sheetName val="Analisa pek. galian"/>
      <sheetName val="Analisa pek. pas atap"/>
      <sheetName val="DHU&amp;B"/>
      <sheetName val="Dasar2"/>
      <sheetName val="SAT. PEK"/>
      <sheetName val="Harga Satuan"/>
      <sheetName val="Anal"/>
      <sheetName val="LAL - PASAR PAGI "/>
      <sheetName val="Sheet15"/>
      <sheetName val="QTY"/>
      <sheetName val="UBA"/>
      <sheetName val="ANALISA UTAMA"/>
      <sheetName val="ANALISA LS"/>
      <sheetName val="gvl"/>
      <sheetName val="hb"/>
      <sheetName val="HARGA SAT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C9" t="str">
            <v>Kepala tukang</v>
          </cell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G14" t="str">
            <v>L.091</v>
          </cell>
          <cell r="H14">
            <v>42500</v>
          </cell>
        </row>
        <row r="16">
          <cell r="C16" t="str">
            <v>Pembantu supir / Kenek</v>
          </cell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C28" t="str">
            <v>Batu gunung atau Quarry</v>
          </cell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F82">
            <v>0</v>
          </cell>
          <cell r="G82" t="str">
            <v>BH</v>
          </cell>
          <cell r="H82">
            <v>780</v>
          </cell>
        </row>
        <row r="86">
          <cell r="C86" t="str">
            <v>Laston (ATB)</v>
          </cell>
          <cell r="F86">
            <v>0</v>
          </cell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C101" t="str">
            <v>Concrate vibrator</v>
          </cell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  <sheetName val="BAHAN"/>
      <sheetName val="ANALISA"/>
      <sheetName val="SATUAN"/>
      <sheetName val="UPAH"/>
      <sheetName val="Material"/>
      <sheetName val="D -12"/>
      <sheetName val="Equip"/>
      <sheetName val="ANALIS_TAMBAHAN1"/>
      <sheetName val="Analis_alat1"/>
      <sheetName val="ANALIS_TAMBAHAN"/>
      <sheetName val="Analis_alat"/>
      <sheetName val="ANALIS_TAMBAHAN2"/>
      <sheetName val="Analis_alat2"/>
      <sheetName val="RAB"/>
      <sheetName val="HARGA"/>
      <sheetName val="Biaya alat"/>
      <sheetName val="PAKET 1 (d3)"/>
      <sheetName val="PAKET 2 (d3)"/>
      <sheetName val="Sheet1"/>
      <sheetName val="Sheet2"/>
      <sheetName val="Sheet3"/>
      <sheetName val="NP"/>
      <sheetName val="Alat"/>
      <sheetName val="D3"/>
      <sheetName val="Kuan&amp;Hrg"/>
      <sheetName val="D6"/>
      <sheetName val="Rekap By"/>
      <sheetName val="Informasi"/>
      <sheetName val="D8"/>
      <sheetName val="Analisa Upah Bahan"/>
      <sheetName val="Harga Satuan 2011"/>
      <sheetName val="Harsat Upah"/>
      <sheetName val="Sheet4"/>
      <sheetName val="HRG BHN"/>
      <sheetName val="ANALIS"/>
    </sheetNames>
    <sheetDataSet>
      <sheetData sheetId="0" refreshError="1"/>
      <sheetData sheetId="1"/>
      <sheetData sheetId="2"/>
      <sheetData sheetId="3"/>
      <sheetData sheetId="4" refreshError="1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>
        <row r="7">
          <cell r="G7">
            <v>920</v>
          </cell>
        </row>
        <row r="8">
          <cell r="G8">
            <v>920</v>
          </cell>
        </row>
        <row r="9">
          <cell r="G9">
            <v>828</v>
          </cell>
        </row>
        <row r="10">
          <cell r="G10">
            <v>460</v>
          </cell>
        </row>
        <row r="11">
          <cell r="G11">
            <v>368</v>
          </cell>
        </row>
        <row r="15">
          <cell r="G15">
            <v>920</v>
          </cell>
        </row>
        <row r="30">
          <cell r="G30">
            <v>276000</v>
          </cell>
        </row>
        <row r="40">
          <cell r="G40">
            <v>4140</v>
          </cell>
        </row>
        <row r="42">
          <cell r="G42">
            <v>92</v>
          </cell>
        </row>
        <row r="44">
          <cell r="G44">
            <v>1104</v>
          </cell>
        </row>
        <row r="51">
          <cell r="G51">
            <v>1000</v>
          </cell>
        </row>
      </sheetData>
      <sheetData sheetId="1" refreshError="1">
        <row r="4">
          <cell r="I4">
            <v>322500</v>
          </cell>
        </row>
        <row r="5">
          <cell r="I5">
            <v>285000</v>
          </cell>
        </row>
        <row r="7">
          <cell r="I7">
            <v>27500</v>
          </cell>
        </row>
        <row r="10">
          <cell r="I10">
            <v>5400</v>
          </cell>
        </row>
        <row r="11">
          <cell r="I11">
            <v>800</v>
          </cell>
        </row>
        <row r="15">
          <cell r="I15">
            <v>1500000</v>
          </cell>
        </row>
        <row r="16">
          <cell r="I16">
            <v>562500</v>
          </cell>
        </row>
        <row r="17">
          <cell r="I17">
            <v>97500</v>
          </cell>
        </row>
        <row r="18">
          <cell r="I18">
            <v>120000</v>
          </cell>
        </row>
        <row r="19">
          <cell r="I19">
            <v>13125</v>
          </cell>
        </row>
        <row r="20">
          <cell r="I20">
            <v>15000</v>
          </cell>
        </row>
        <row r="21">
          <cell r="I21">
            <v>5000</v>
          </cell>
        </row>
        <row r="22">
          <cell r="I22">
            <v>27500</v>
          </cell>
        </row>
        <row r="23">
          <cell r="I23">
            <v>7500</v>
          </cell>
        </row>
        <row r="24">
          <cell r="I24">
            <v>7500</v>
          </cell>
        </row>
        <row r="25">
          <cell r="I25">
            <v>65000</v>
          </cell>
        </row>
        <row r="26">
          <cell r="I26">
            <v>25000</v>
          </cell>
        </row>
        <row r="27">
          <cell r="I27">
            <v>15000</v>
          </cell>
        </row>
        <row r="28">
          <cell r="I28">
            <v>15000</v>
          </cell>
        </row>
        <row r="29">
          <cell r="I29">
            <v>20000</v>
          </cell>
        </row>
        <row r="30">
          <cell r="I30">
            <v>20000</v>
          </cell>
        </row>
        <row r="32">
          <cell r="I32">
            <v>75000</v>
          </cell>
        </row>
        <row r="33">
          <cell r="I33">
            <v>65000</v>
          </cell>
        </row>
        <row r="34">
          <cell r="I34">
            <v>25000</v>
          </cell>
        </row>
        <row r="35">
          <cell r="I35">
            <v>30000</v>
          </cell>
        </row>
        <row r="37">
          <cell r="I37">
            <v>7500</v>
          </cell>
        </row>
        <row r="38">
          <cell r="I38">
            <v>50000</v>
          </cell>
        </row>
        <row r="39">
          <cell r="I39">
            <v>36900</v>
          </cell>
        </row>
        <row r="40">
          <cell r="I40">
            <v>635140</v>
          </cell>
        </row>
        <row r="41">
          <cell r="I41">
            <v>30000</v>
          </cell>
        </row>
      </sheetData>
      <sheetData sheetId="2" refreshError="1">
        <row r="304">
          <cell r="G304">
            <v>527990</v>
          </cell>
        </row>
        <row r="318">
          <cell r="G318">
            <v>750330</v>
          </cell>
        </row>
        <row r="332">
          <cell r="G332">
            <v>794660</v>
          </cell>
        </row>
        <row r="346">
          <cell r="G346">
            <v>839300</v>
          </cell>
        </row>
        <row r="358">
          <cell r="G358">
            <v>776370</v>
          </cell>
        </row>
        <row r="370">
          <cell r="G370">
            <v>831370</v>
          </cell>
        </row>
        <row r="382">
          <cell r="G382">
            <v>886370</v>
          </cell>
        </row>
        <row r="395">
          <cell r="G395">
            <v>15210</v>
          </cell>
        </row>
        <row r="408">
          <cell r="G408">
            <v>16410</v>
          </cell>
        </row>
        <row r="422">
          <cell r="G422">
            <v>81210</v>
          </cell>
        </row>
        <row r="436">
          <cell r="G436">
            <v>103580</v>
          </cell>
        </row>
        <row r="450">
          <cell r="G450">
            <v>112170</v>
          </cell>
        </row>
        <row r="463">
          <cell r="G463">
            <v>170200</v>
          </cell>
        </row>
      </sheetData>
      <sheetData sheetId="3" refreshError="1"/>
      <sheetData sheetId="4" refreshError="1">
        <row r="10">
          <cell r="D10">
            <v>150000</v>
          </cell>
        </row>
        <row r="13">
          <cell r="D13">
            <v>200000</v>
          </cell>
        </row>
        <row r="14">
          <cell r="D14">
            <v>200000</v>
          </cell>
        </row>
        <row r="16">
          <cell r="D16">
            <v>220000</v>
          </cell>
        </row>
        <row r="18">
          <cell r="D18">
            <v>115500</v>
          </cell>
        </row>
        <row r="19">
          <cell r="D19">
            <v>185000</v>
          </cell>
        </row>
        <row r="20">
          <cell r="D20">
            <v>175000</v>
          </cell>
        </row>
        <row r="23">
          <cell r="D23">
            <v>150000</v>
          </cell>
        </row>
        <row r="24">
          <cell r="D24">
            <v>345000</v>
          </cell>
        </row>
        <row r="33">
          <cell r="D33">
            <v>450</v>
          </cell>
        </row>
        <row r="36">
          <cell r="D36">
            <v>3750</v>
          </cell>
        </row>
        <row r="48">
          <cell r="D48">
            <v>700000</v>
          </cell>
        </row>
        <row r="49">
          <cell r="D49">
            <v>650000</v>
          </cell>
        </row>
        <row r="50">
          <cell r="D50">
            <v>600000</v>
          </cell>
        </row>
        <row r="53">
          <cell r="D53">
            <v>10000</v>
          </cell>
        </row>
        <row r="54">
          <cell r="D54">
            <v>12000</v>
          </cell>
        </row>
        <row r="55">
          <cell r="D55">
            <v>15000</v>
          </cell>
        </row>
        <row r="60">
          <cell r="D60">
            <v>10000</v>
          </cell>
        </row>
        <row r="61">
          <cell r="D61">
            <v>65000</v>
          </cell>
        </row>
        <row r="62">
          <cell r="D62">
            <v>65000</v>
          </cell>
        </row>
        <row r="63">
          <cell r="D63">
            <v>14000</v>
          </cell>
        </row>
        <row r="64">
          <cell r="D64">
            <v>48500</v>
          </cell>
        </row>
        <row r="65">
          <cell r="D65">
            <v>12000</v>
          </cell>
        </row>
        <row r="67">
          <cell r="D67">
            <v>28000</v>
          </cell>
        </row>
        <row r="71">
          <cell r="D71">
            <v>17000</v>
          </cell>
        </row>
        <row r="78">
          <cell r="D78">
            <v>7750</v>
          </cell>
        </row>
        <row r="79">
          <cell r="D79">
            <v>15500</v>
          </cell>
        </row>
        <row r="80">
          <cell r="D80">
            <v>5400</v>
          </cell>
        </row>
        <row r="84">
          <cell r="D84">
            <v>50000</v>
          </cell>
        </row>
        <row r="86">
          <cell r="D86">
            <v>16500</v>
          </cell>
        </row>
        <row r="87">
          <cell r="D87">
            <v>18000</v>
          </cell>
        </row>
        <row r="88">
          <cell r="D88">
            <v>1800</v>
          </cell>
        </row>
        <row r="90">
          <cell r="D90">
            <v>20000</v>
          </cell>
        </row>
        <row r="92">
          <cell r="D92">
            <v>23000</v>
          </cell>
        </row>
        <row r="95">
          <cell r="D95">
            <v>6500</v>
          </cell>
        </row>
        <row r="97">
          <cell r="D97">
            <v>12500</v>
          </cell>
        </row>
        <row r="100">
          <cell r="D100">
            <v>37000</v>
          </cell>
        </row>
        <row r="101">
          <cell r="D101">
            <v>30100</v>
          </cell>
        </row>
        <row r="102">
          <cell r="D102">
            <v>39000</v>
          </cell>
        </row>
        <row r="103">
          <cell r="D103">
            <v>90000</v>
          </cell>
        </row>
        <row r="111">
          <cell r="D111">
            <v>4500000</v>
          </cell>
        </row>
        <row r="112">
          <cell r="D112">
            <v>6750000</v>
          </cell>
        </row>
        <row r="115">
          <cell r="D115">
            <v>3000000</v>
          </cell>
        </row>
        <row r="116">
          <cell r="D116">
            <v>3100000</v>
          </cell>
        </row>
        <row r="117">
          <cell r="D117">
            <v>4500000</v>
          </cell>
        </row>
        <row r="119">
          <cell r="D119">
            <v>4500000</v>
          </cell>
        </row>
        <row r="120">
          <cell r="D120">
            <v>5000000</v>
          </cell>
        </row>
        <row r="121">
          <cell r="D121">
            <v>6500000</v>
          </cell>
        </row>
        <row r="122">
          <cell r="D122">
            <v>7000000</v>
          </cell>
        </row>
        <row r="124">
          <cell r="D124">
            <v>8800000</v>
          </cell>
        </row>
        <row r="133">
          <cell r="D133">
            <v>6000</v>
          </cell>
        </row>
        <row r="134">
          <cell r="D134">
            <v>7000</v>
          </cell>
        </row>
        <row r="144">
          <cell r="D144">
            <v>14500</v>
          </cell>
        </row>
        <row r="149">
          <cell r="D149">
            <v>45000</v>
          </cell>
        </row>
        <row r="153">
          <cell r="D153">
            <v>42750</v>
          </cell>
        </row>
        <row r="154">
          <cell r="D154">
            <v>52400</v>
          </cell>
        </row>
        <row r="155">
          <cell r="D155">
            <v>36800</v>
          </cell>
        </row>
        <row r="156">
          <cell r="D156">
            <v>70600</v>
          </cell>
        </row>
        <row r="168">
          <cell r="D168">
            <v>81400</v>
          </cell>
        </row>
        <row r="172">
          <cell r="D172">
            <v>71300</v>
          </cell>
        </row>
        <row r="178">
          <cell r="D178">
            <v>74175</v>
          </cell>
        </row>
        <row r="194">
          <cell r="D194">
            <v>33000</v>
          </cell>
        </row>
        <row r="195">
          <cell r="D195">
            <v>33000</v>
          </cell>
        </row>
        <row r="196">
          <cell r="D196">
            <v>33000</v>
          </cell>
        </row>
        <row r="197">
          <cell r="D197">
            <v>33000</v>
          </cell>
        </row>
        <row r="199">
          <cell r="D199">
            <v>30000</v>
          </cell>
        </row>
        <row r="200">
          <cell r="D200">
            <v>35000</v>
          </cell>
        </row>
        <row r="201">
          <cell r="D201">
            <v>20125</v>
          </cell>
        </row>
        <row r="202">
          <cell r="D202">
            <v>1724.9999999999998</v>
          </cell>
        </row>
        <row r="203">
          <cell r="D203">
            <v>1150</v>
          </cell>
        </row>
        <row r="204">
          <cell r="D204">
            <v>0</v>
          </cell>
        </row>
        <row r="205">
          <cell r="D205">
            <v>0</v>
          </cell>
        </row>
        <row r="213">
          <cell r="D213">
            <v>2000000</v>
          </cell>
        </row>
        <row r="214">
          <cell r="D214">
            <v>1750000</v>
          </cell>
        </row>
        <row r="215">
          <cell r="D215">
            <v>1400000</v>
          </cell>
        </row>
        <row r="216">
          <cell r="D216">
            <v>1300000</v>
          </cell>
        </row>
        <row r="217">
          <cell r="D217">
            <v>175000</v>
          </cell>
        </row>
        <row r="219">
          <cell r="D219">
            <v>402499.99999999994</v>
          </cell>
        </row>
        <row r="220">
          <cell r="D220">
            <v>238049.99999999997</v>
          </cell>
        </row>
        <row r="221">
          <cell r="D221">
            <v>229999.99999999997</v>
          </cell>
        </row>
        <row r="222">
          <cell r="D222">
            <v>114999.99999999999</v>
          </cell>
        </row>
        <row r="224">
          <cell r="D224">
            <v>206999.99999999997</v>
          </cell>
        </row>
        <row r="227">
          <cell r="D227">
            <v>20700</v>
          </cell>
        </row>
        <row r="230">
          <cell r="D230">
            <v>28000</v>
          </cell>
        </row>
        <row r="231">
          <cell r="D231">
            <v>38000</v>
          </cell>
        </row>
        <row r="244">
          <cell r="D244">
            <v>3625</v>
          </cell>
        </row>
        <row r="247">
          <cell r="D247">
            <v>10500</v>
          </cell>
        </row>
        <row r="248">
          <cell r="D248">
            <v>11000</v>
          </cell>
        </row>
        <row r="251">
          <cell r="D251">
            <v>14500</v>
          </cell>
        </row>
        <row r="256">
          <cell r="D256">
            <v>13500</v>
          </cell>
        </row>
        <row r="258">
          <cell r="D258">
            <v>11000</v>
          </cell>
        </row>
        <row r="261">
          <cell r="D261">
            <v>17500</v>
          </cell>
        </row>
        <row r="278">
          <cell r="D278">
            <v>110000</v>
          </cell>
        </row>
        <row r="286">
          <cell r="D286">
            <v>90000</v>
          </cell>
        </row>
        <row r="294">
          <cell r="D294">
            <v>43125</v>
          </cell>
        </row>
        <row r="302">
          <cell r="D302">
            <v>11750</v>
          </cell>
        </row>
        <row r="305">
          <cell r="D305">
            <v>14374.999999999998</v>
          </cell>
        </row>
        <row r="307">
          <cell r="D307">
            <v>4024.9999999999995</v>
          </cell>
        </row>
        <row r="312">
          <cell r="D312">
            <v>95000</v>
          </cell>
        </row>
        <row r="326">
          <cell r="D326">
            <v>15000</v>
          </cell>
        </row>
        <row r="327">
          <cell r="D327">
            <v>15000</v>
          </cell>
        </row>
        <row r="328">
          <cell r="D328">
            <v>15000</v>
          </cell>
        </row>
        <row r="329">
          <cell r="D329">
            <v>15000</v>
          </cell>
        </row>
        <row r="334">
          <cell r="D334">
            <v>12074.999999999998</v>
          </cell>
        </row>
        <row r="352">
          <cell r="D352">
            <v>67390</v>
          </cell>
        </row>
        <row r="353">
          <cell r="D353">
            <v>58879.999999999993</v>
          </cell>
        </row>
        <row r="354">
          <cell r="D354">
            <v>240000</v>
          </cell>
        </row>
        <row r="355">
          <cell r="D355">
            <v>350000</v>
          </cell>
        </row>
        <row r="356">
          <cell r="D356">
            <v>425000</v>
          </cell>
        </row>
        <row r="357">
          <cell r="D357">
            <v>825000</v>
          </cell>
        </row>
        <row r="358">
          <cell r="D358">
            <v>63249.999999999993</v>
          </cell>
        </row>
        <row r="359">
          <cell r="D359">
            <v>71875</v>
          </cell>
        </row>
        <row r="360">
          <cell r="D360">
            <v>106949.99999999999</v>
          </cell>
        </row>
        <row r="361">
          <cell r="D361">
            <v>133400</v>
          </cell>
        </row>
        <row r="362">
          <cell r="D362">
            <v>160597.5</v>
          </cell>
        </row>
        <row r="364">
          <cell r="D364">
            <v>241499.99999999997</v>
          </cell>
        </row>
        <row r="365">
          <cell r="D365">
            <v>321425</v>
          </cell>
        </row>
        <row r="366">
          <cell r="D366">
            <v>390999.99999999994</v>
          </cell>
        </row>
        <row r="367">
          <cell r="D367">
            <v>515199.99999999994</v>
          </cell>
        </row>
        <row r="378">
          <cell r="D378">
            <v>18400</v>
          </cell>
        </row>
        <row r="379">
          <cell r="D379">
            <v>25874.999999999996</v>
          </cell>
        </row>
        <row r="380">
          <cell r="D380">
            <v>32199.999999999996</v>
          </cell>
        </row>
        <row r="381">
          <cell r="D381">
            <v>44850</v>
          </cell>
        </row>
        <row r="382">
          <cell r="D382">
            <v>56349.999999999993</v>
          </cell>
        </row>
        <row r="383">
          <cell r="D383">
            <v>79350</v>
          </cell>
        </row>
        <row r="384">
          <cell r="D384">
            <v>101199.99999999999</v>
          </cell>
        </row>
        <row r="385">
          <cell r="D385">
            <v>151800</v>
          </cell>
        </row>
        <row r="386">
          <cell r="D386">
            <v>235749.99999999997</v>
          </cell>
        </row>
        <row r="387">
          <cell r="D387">
            <v>454249.99999999994</v>
          </cell>
        </row>
        <row r="388">
          <cell r="D388">
            <v>661250</v>
          </cell>
        </row>
        <row r="393">
          <cell r="D393">
            <v>35000</v>
          </cell>
        </row>
        <row r="396">
          <cell r="D396">
            <v>101199.99999999999</v>
          </cell>
        </row>
        <row r="397">
          <cell r="D397">
            <v>143750</v>
          </cell>
        </row>
        <row r="410">
          <cell r="D410">
            <v>59454.999999999993</v>
          </cell>
        </row>
        <row r="438">
          <cell r="D438">
            <v>750000</v>
          </cell>
        </row>
        <row r="440">
          <cell r="D440">
            <v>200000</v>
          </cell>
        </row>
        <row r="443">
          <cell r="D443">
            <v>1600000</v>
          </cell>
        </row>
        <row r="461">
          <cell r="D461">
            <v>90000</v>
          </cell>
        </row>
        <row r="465">
          <cell r="D465">
            <v>1500</v>
          </cell>
        </row>
        <row r="469">
          <cell r="D469">
            <v>3000</v>
          </cell>
        </row>
        <row r="470">
          <cell r="D470">
            <v>2500</v>
          </cell>
        </row>
        <row r="480">
          <cell r="D480">
            <v>57442.499999999993</v>
          </cell>
        </row>
        <row r="481">
          <cell r="D481">
            <v>690</v>
          </cell>
        </row>
        <row r="483">
          <cell r="D483">
            <v>74002.5</v>
          </cell>
        </row>
        <row r="486">
          <cell r="D486">
            <v>2500</v>
          </cell>
        </row>
        <row r="487">
          <cell r="D487">
            <v>3000</v>
          </cell>
        </row>
        <row r="488">
          <cell r="D488">
            <v>4600</v>
          </cell>
        </row>
        <row r="489">
          <cell r="D489">
            <v>3500</v>
          </cell>
        </row>
        <row r="490">
          <cell r="D490">
            <v>5500</v>
          </cell>
        </row>
        <row r="491">
          <cell r="D491">
            <v>7000</v>
          </cell>
        </row>
        <row r="574">
          <cell r="D574">
            <v>60834.999999999993</v>
          </cell>
        </row>
        <row r="575">
          <cell r="D575">
            <v>35000</v>
          </cell>
        </row>
        <row r="576">
          <cell r="D576">
            <v>256162.49999999997</v>
          </cell>
        </row>
        <row r="586">
          <cell r="D586">
            <v>100000</v>
          </cell>
        </row>
        <row r="588">
          <cell r="D588">
            <v>65000</v>
          </cell>
        </row>
        <row r="598">
          <cell r="D598">
            <v>23000</v>
          </cell>
        </row>
        <row r="600">
          <cell r="D600">
            <v>30000</v>
          </cell>
        </row>
        <row r="601">
          <cell r="D601">
            <v>12000</v>
          </cell>
        </row>
        <row r="602">
          <cell r="D602">
            <v>17000</v>
          </cell>
        </row>
        <row r="603">
          <cell r="D603">
            <v>15000</v>
          </cell>
        </row>
        <row r="604">
          <cell r="D604">
            <v>6000</v>
          </cell>
        </row>
        <row r="610">
          <cell r="D610">
            <v>19550</v>
          </cell>
        </row>
        <row r="611">
          <cell r="D611">
            <v>8500</v>
          </cell>
        </row>
        <row r="728">
          <cell r="D728">
            <v>977.49999999999989</v>
          </cell>
        </row>
      </sheetData>
      <sheetData sheetId="5" refreshError="1">
        <row r="6">
          <cell r="D6">
            <v>35640</v>
          </cell>
        </row>
        <row r="7">
          <cell r="D7">
            <v>36960</v>
          </cell>
        </row>
        <row r="8">
          <cell r="D8">
            <v>39600</v>
          </cell>
        </row>
        <row r="9">
          <cell r="D9">
            <v>42840</v>
          </cell>
        </row>
        <row r="10">
          <cell r="D10">
            <v>42240</v>
          </cell>
        </row>
        <row r="11">
          <cell r="D11">
            <v>46200</v>
          </cell>
        </row>
        <row r="12">
          <cell r="D12">
            <v>54120</v>
          </cell>
        </row>
        <row r="13">
          <cell r="D13">
            <v>43560</v>
          </cell>
        </row>
        <row r="14">
          <cell r="D14">
            <v>50760</v>
          </cell>
        </row>
        <row r="15">
          <cell r="D15">
            <v>54120</v>
          </cell>
        </row>
        <row r="16">
          <cell r="D16">
            <v>39600</v>
          </cell>
        </row>
        <row r="17">
          <cell r="D17">
            <v>46200</v>
          </cell>
        </row>
        <row r="18">
          <cell r="D18">
            <v>48840</v>
          </cell>
        </row>
        <row r="19">
          <cell r="D19">
            <v>42240</v>
          </cell>
        </row>
        <row r="20">
          <cell r="D20">
            <v>48840</v>
          </cell>
        </row>
        <row r="21">
          <cell r="D21">
            <v>54120</v>
          </cell>
        </row>
        <row r="22">
          <cell r="D22">
            <v>42240</v>
          </cell>
        </row>
        <row r="23">
          <cell r="D23">
            <v>48840</v>
          </cell>
        </row>
        <row r="24">
          <cell r="D24">
            <v>54120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ahs"/>
      <sheetName val="bhn,upah,alat"/>
      <sheetName val="Ans Kom Precast"/>
      <sheetName val="upah,bhn,alt"/>
      <sheetName val="analisa (3)"/>
      <sheetName val="Biaya &amp; Fisik"/>
      <sheetName val="Harsat"/>
      <sheetName val="BQ-E20-02(Rp)"/>
      <sheetName val="TE TS FA LAN MATV"/>
      <sheetName val="Daftar alat"/>
      <sheetName val="Sat~Bahu"/>
    </sheetNames>
    <sheetDataSet>
      <sheetData sheetId="0">
        <row r="179">
          <cell r="G179">
            <v>50000</v>
          </cell>
        </row>
        <row r="181">
          <cell r="G181">
            <v>45000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BAHAN kost"/>
      <sheetName val="ANALISA kost"/>
      <sheetName val="REKAP kost"/>
      <sheetName val="RAB kost"/>
      <sheetName val="REKAPITULASI kost"/>
      <sheetName val="BAG_2"/>
    </sheetNames>
    <sheetDataSet>
      <sheetData sheetId="0"/>
      <sheetData sheetId="1"/>
      <sheetData sheetId="2">
        <row r="15">
          <cell r="I15">
            <v>256506</v>
          </cell>
        </row>
        <row r="28">
          <cell r="I28">
            <v>19250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NALISA"/>
      <sheetName val="SATUAN"/>
      <sheetName val="RAB"/>
      <sheetName val="REKAPITULASI"/>
      <sheetName val="daf-3(OK)"/>
      <sheetName val="daf-7(OK)"/>
    </sheetNames>
    <sheetDataSet>
      <sheetData sheetId="0">
        <row r="110">
          <cell r="E110">
            <v>10000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  <sheetName val="H.Satuan"/>
      <sheetName val="Peralatan"/>
    </sheetNames>
    <sheetDataSet>
      <sheetData sheetId="0"/>
      <sheetData sheetId="1"/>
      <sheetData sheetId="2">
        <row r="2">
          <cell r="B2">
            <v>1</v>
          </cell>
          <cell r="C2" t="str">
            <v>satu</v>
          </cell>
        </row>
        <row r="3">
          <cell r="B3">
            <v>2</v>
          </cell>
          <cell r="C3" t="str">
            <v>dua</v>
          </cell>
        </row>
        <row r="4">
          <cell r="B4">
            <v>3</v>
          </cell>
          <cell r="C4" t="str">
            <v>tiga</v>
          </cell>
        </row>
        <row r="5">
          <cell r="B5">
            <v>4</v>
          </cell>
          <cell r="C5" t="str">
            <v>empat</v>
          </cell>
        </row>
        <row r="6">
          <cell r="B6">
            <v>5</v>
          </cell>
          <cell r="C6" t="str">
            <v>lima</v>
          </cell>
        </row>
        <row r="7">
          <cell r="B7">
            <v>6</v>
          </cell>
          <cell r="C7" t="str">
            <v>enam</v>
          </cell>
        </row>
        <row r="8">
          <cell r="B8">
            <v>7</v>
          </cell>
          <cell r="C8" t="str">
            <v>tujuh</v>
          </cell>
        </row>
        <row r="9">
          <cell r="B9">
            <v>8</v>
          </cell>
          <cell r="C9" t="str">
            <v>delapan</v>
          </cell>
        </row>
        <row r="10">
          <cell r="B10">
            <v>9</v>
          </cell>
          <cell r="C10" t="str">
            <v>sembilan</v>
          </cell>
        </row>
        <row r="11">
          <cell r="B11">
            <v>10</v>
          </cell>
          <cell r="C11" t="str">
            <v>sepuluh</v>
          </cell>
        </row>
        <row r="12">
          <cell r="B12">
            <v>11</v>
          </cell>
          <cell r="C12" t="str">
            <v>sebelas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cover ANALISA"/>
      <sheetName val="SUB"/>
      <sheetName val="REKAP 3R"/>
      <sheetName val="RAB"/>
      <sheetName val="Harsat Pekerjaan SNI"/>
      <sheetName val="Harsat Upah"/>
      <sheetName val="SUB1"/>
      <sheetName val="Harsat Bahan"/>
      <sheetName val="SUB2"/>
      <sheetName val="Alum"/>
      <sheetName val="Analisa SNI"/>
      <sheetName val="SUB3"/>
      <sheetName val="SUB4"/>
      <sheetName val="Perhit Beton"/>
      <sheetName val="SUB5"/>
      <sheetName val="Perhitungan Besi"/>
      <sheetName val="SUB6"/>
      <sheetName val="Berat Besi C"/>
      <sheetName val="Besi WF"/>
      <sheetName val="Besi Siku L"/>
      <sheetName val="Besi Strip"/>
      <sheetName val="RB. BATU TULIS 4"/>
      <sheetName val="pek.persiapan,pek.galian,pek.bt"/>
      <sheetName val="Pas. Hebel"/>
      <sheetName val="Pas. Plester + Acian"/>
      <sheetName val="Sheet1"/>
      <sheetName val="Sheet3"/>
      <sheetName val="Sheet4"/>
      <sheetName val="CADU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8">
          <cell r="G38">
            <v>450000000</v>
          </cell>
        </row>
      </sheetData>
      <sheetData sheetId="5">
        <row r="2">
          <cell r="C2" t="str">
            <v>Pembangunan Pengelolaan Sampah Dengan Pola 3 R</v>
          </cell>
        </row>
      </sheetData>
      <sheetData sheetId="6">
        <row r="9">
          <cell r="E9">
            <v>38650</v>
          </cell>
        </row>
      </sheetData>
      <sheetData sheetId="7">
        <row r="27">
          <cell r="E27" t="str">
            <v>Bogor,      Nopember 2012</v>
          </cell>
        </row>
      </sheetData>
      <sheetData sheetId="8"/>
      <sheetData sheetId="9">
        <row r="420">
          <cell r="F420">
            <v>11000</v>
          </cell>
        </row>
      </sheetData>
      <sheetData sheetId="10"/>
      <sheetData sheetId="11">
        <row r="1">
          <cell r="A1" t="str">
            <v>ANALISA HARGA SATUAN PEKERJAAN KUSEN ALUMUNIUM</v>
          </cell>
        </row>
      </sheetData>
      <sheetData sheetId="12">
        <row r="3336">
          <cell r="J3336">
            <v>10461830</v>
          </cell>
        </row>
      </sheetData>
      <sheetData sheetId="13"/>
      <sheetData sheetId="14"/>
      <sheetData sheetId="15">
        <row r="41">
          <cell r="G41">
            <v>2746277.66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F13" t="str">
            <v>Terbilang : Empat Ratus Lima Puluh Juta  Rupiah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-BOW"/>
      <sheetName val="h.satuan"/>
      <sheetName val="GEN-T36"/>
    </sheetNames>
    <sheetDataSet>
      <sheetData sheetId="0" refreshError="1"/>
      <sheetData sheetId="1" refreshError="1">
        <row r="14">
          <cell r="C14" t="str">
            <v xml:space="preserve">Tukang </v>
          </cell>
          <cell r="E14" t="str">
            <v>hari</v>
          </cell>
          <cell r="F14">
            <v>10500</v>
          </cell>
        </row>
        <row r="15">
          <cell r="C15" t="str">
            <v>Tukang kayu</v>
          </cell>
          <cell r="E15" t="str">
            <v>hari</v>
          </cell>
          <cell r="F15">
            <v>10500</v>
          </cell>
        </row>
        <row r="16">
          <cell r="C16" t="str">
            <v>Tukang batu</v>
          </cell>
          <cell r="E16" t="str">
            <v>hari</v>
          </cell>
          <cell r="F16">
            <v>10500</v>
          </cell>
        </row>
        <row r="17">
          <cell r="C17" t="str">
            <v>Tukang cat</v>
          </cell>
          <cell r="E17" t="str">
            <v>hari</v>
          </cell>
          <cell r="F17">
            <v>10500</v>
          </cell>
        </row>
        <row r="18">
          <cell r="C18" t="str">
            <v>Tukang besi</v>
          </cell>
          <cell r="E18" t="str">
            <v>hari</v>
          </cell>
          <cell r="F18">
            <v>10500</v>
          </cell>
        </row>
        <row r="19">
          <cell r="C19" t="str">
            <v>Kepala Tukang</v>
          </cell>
          <cell r="E19" t="str">
            <v>hari</v>
          </cell>
          <cell r="F19">
            <v>11000</v>
          </cell>
        </row>
        <row r="20">
          <cell r="C20" t="str">
            <v>Pekerja</v>
          </cell>
          <cell r="E20" t="str">
            <v>hari</v>
          </cell>
          <cell r="F20">
            <v>9500</v>
          </cell>
        </row>
        <row r="21">
          <cell r="C21" t="str">
            <v>Mandor</v>
          </cell>
          <cell r="E21" t="str">
            <v>hari</v>
          </cell>
          <cell r="F21">
            <v>12000</v>
          </cell>
        </row>
        <row r="22">
          <cell r="C22" t="str">
            <v>Penjaga api</v>
          </cell>
          <cell r="E22" t="str">
            <v>hari</v>
          </cell>
          <cell r="F22">
            <v>9500</v>
          </cell>
        </row>
        <row r="23">
          <cell r="C23" t="str">
            <v>Masinis</v>
          </cell>
          <cell r="E23" t="str">
            <v>hari</v>
          </cell>
          <cell r="F23">
            <v>13000</v>
          </cell>
        </row>
        <row r="26">
          <cell r="C26" t="str">
            <v>Tanah urug</v>
          </cell>
          <cell r="E26" t="str">
            <v>M3</v>
          </cell>
          <cell r="F26">
            <v>35000</v>
          </cell>
        </row>
        <row r="27">
          <cell r="C27" t="str">
            <v>Pasir urug</v>
          </cell>
          <cell r="E27" t="str">
            <v>M3</v>
          </cell>
          <cell r="F27">
            <v>35000</v>
          </cell>
        </row>
        <row r="28">
          <cell r="C28" t="str">
            <v>Pasir pasangan</v>
          </cell>
          <cell r="E28" t="str">
            <v>M3</v>
          </cell>
          <cell r="F28">
            <v>45000</v>
          </cell>
        </row>
        <row r="29">
          <cell r="C29" t="str">
            <v xml:space="preserve">Kerikil </v>
          </cell>
          <cell r="E29" t="str">
            <v>M3</v>
          </cell>
          <cell r="F29">
            <v>55000</v>
          </cell>
        </row>
        <row r="30">
          <cell r="C30" t="str">
            <v>Batu kali</v>
          </cell>
          <cell r="E30" t="str">
            <v>M3</v>
          </cell>
          <cell r="F30">
            <v>55000</v>
          </cell>
        </row>
        <row r="31">
          <cell r="C31" t="str">
            <v>Batu pecah  5/7</v>
          </cell>
          <cell r="E31" t="str">
            <v>M3</v>
          </cell>
          <cell r="F31">
            <v>70000</v>
          </cell>
        </row>
        <row r="32">
          <cell r="C32" t="str">
            <v>Batu pecah  3/5</v>
          </cell>
          <cell r="E32" t="str">
            <v>M3</v>
          </cell>
          <cell r="F32">
            <v>70000</v>
          </cell>
        </row>
        <row r="33">
          <cell r="C33" t="str">
            <v>Batu pecah  2/3</v>
          </cell>
          <cell r="E33" t="str">
            <v>M3</v>
          </cell>
          <cell r="F33">
            <v>70000</v>
          </cell>
        </row>
        <row r="34">
          <cell r="C34" t="str">
            <v>Batu pecah 1/2</v>
          </cell>
          <cell r="E34" t="str">
            <v>M3</v>
          </cell>
          <cell r="F34">
            <v>70000</v>
          </cell>
        </row>
        <row r="35">
          <cell r="C35" t="str">
            <v>Aspal</v>
          </cell>
          <cell r="E35" t="str">
            <v>Kg</v>
          </cell>
          <cell r="F35">
            <v>2800</v>
          </cell>
        </row>
        <row r="36">
          <cell r="C36" t="str">
            <v xml:space="preserve">Sirtu </v>
          </cell>
          <cell r="E36" t="str">
            <v>M3</v>
          </cell>
          <cell r="F36">
            <v>50000</v>
          </cell>
        </row>
        <row r="37">
          <cell r="C37" t="str">
            <v>Batu bata/semen</v>
          </cell>
          <cell r="E37" t="str">
            <v>bh</v>
          </cell>
          <cell r="F37">
            <v>450</v>
          </cell>
        </row>
        <row r="38">
          <cell r="C38" t="str">
            <v>Paving block</v>
          </cell>
          <cell r="E38" t="str">
            <v>bh</v>
          </cell>
          <cell r="F38">
            <v>750</v>
          </cell>
        </row>
        <row r="39">
          <cell r="C39" t="str">
            <v>Semen PC @ 50 Kg</v>
          </cell>
          <cell r="E39" t="str">
            <v>zak</v>
          </cell>
          <cell r="F39">
            <v>26000</v>
          </cell>
        </row>
        <row r="40">
          <cell r="C40" t="str">
            <v>Semen warna</v>
          </cell>
          <cell r="E40" t="str">
            <v>Kg</v>
          </cell>
          <cell r="F40">
            <v>2500</v>
          </cell>
        </row>
        <row r="41">
          <cell r="C41" t="str">
            <v>Tegel Wafel 20/20</v>
          </cell>
          <cell r="E41" t="str">
            <v>bh</v>
          </cell>
          <cell r="F41">
            <v>1250</v>
          </cell>
        </row>
        <row r="42">
          <cell r="C42" t="str">
            <v>Tegel abu-abu</v>
          </cell>
          <cell r="E42" t="str">
            <v>bh</v>
          </cell>
          <cell r="F42">
            <v>1000</v>
          </cell>
        </row>
        <row r="43">
          <cell r="C43" t="str">
            <v>Keramik 11/11</v>
          </cell>
          <cell r="E43" t="str">
            <v>m2</v>
          </cell>
          <cell r="F43">
            <v>31625</v>
          </cell>
        </row>
        <row r="44">
          <cell r="C44" t="str">
            <v>Keramik 20/20</v>
          </cell>
          <cell r="E44" t="str">
            <v>m2</v>
          </cell>
          <cell r="F44">
            <v>31625</v>
          </cell>
        </row>
        <row r="45">
          <cell r="C45" t="str">
            <v>Keramik 30/30</v>
          </cell>
          <cell r="E45" t="str">
            <v>m2</v>
          </cell>
          <cell r="F45">
            <v>31625</v>
          </cell>
        </row>
        <row r="46">
          <cell r="C46" t="str">
            <v>Papan Kayu Klas I</v>
          </cell>
          <cell r="E46" t="str">
            <v>m3</v>
          </cell>
          <cell r="F46">
            <v>925000</v>
          </cell>
        </row>
        <row r="47">
          <cell r="C47" t="str">
            <v>Kayu Klas I</v>
          </cell>
          <cell r="E47" t="str">
            <v>m3</v>
          </cell>
          <cell r="F47">
            <v>925000</v>
          </cell>
        </row>
        <row r="48">
          <cell r="C48" t="str">
            <v>Papan kayu Klas II</v>
          </cell>
          <cell r="E48" t="str">
            <v>m3</v>
          </cell>
          <cell r="F48">
            <v>625000</v>
          </cell>
        </row>
        <row r="49">
          <cell r="C49" t="str">
            <v>Kayu Klas II</v>
          </cell>
          <cell r="E49" t="str">
            <v>m3</v>
          </cell>
          <cell r="F49">
            <v>625000</v>
          </cell>
        </row>
        <row r="50">
          <cell r="C50" t="str">
            <v>Tripleks 3 mm</v>
          </cell>
          <cell r="E50" t="str">
            <v>m2</v>
          </cell>
          <cell r="F50">
            <v>13500</v>
          </cell>
        </row>
        <row r="51">
          <cell r="C51" t="str">
            <v>Teakwood</v>
          </cell>
          <cell r="E51" t="str">
            <v>m2</v>
          </cell>
          <cell r="F51">
            <v>47250</v>
          </cell>
        </row>
        <row r="52">
          <cell r="C52" t="str">
            <v>Besi beton</v>
          </cell>
          <cell r="E52" t="str">
            <v>Kg</v>
          </cell>
          <cell r="F52">
            <v>7500</v>
          </cell>
        </row>
        <row r="53">
          <cell r="C53" t="str">
            <v>Kawat ikat</v>
          </cell>
          <cell r="E53" t="str">
            <v>Kg</v>
          </cell>
          <cell r="F53">
            <v>8700</v>
          </cell>
        </row>
        <row r="54">
          <cell r="C54" t="str">
            <v>Pasang kawat ram</v>
          </cell>
          <cell r="E54" t="str">
            <v>m2</v>
          </cell>
          <cell r="F54">
            <v>17000</v>
          </cell>
        </row>
        <row r="55">
          <cell r="C55" t="str">
            <v>Paku</v>
          </cell>
          <cell r="E55" t="str">
            <v>Kg</v>
          </cell>
          <cell r="F55">
            <v>6000</v>
          </cell>
        </row>
        <row r="56">
          <cell r="C56" t="str">
            <v xml:space="preserve">Paku Campuran </v>
          </cell>
          <cell r="E56" t="str">
            <v>Kg</v>
          </cell>
          <cell r="F56">
            <v>6000</v>
          </cell>
        </row>
        <row r="57">
          <cell r="C57" t="str">
            <v>Paku tripleks</v>
          </cell>
          <cell r="E57" t="str">
            <v>Kg</v>
          </cell>
          <cell r="F57">
            <v>5500</v>
          </cell>
        </row>
        <row r="58">
          <cell r="C58" t="str">
            <v>Paku seng</v>
          </cell>
          <cell r="E58" t="str">
            <v>Kg</v>
          </cell>
          <cell r="F58">
            <v>10000</v>
          </cell>
        </row>
        <row r="59">
          <cell r="C59" t="str">
            <v>Zink gelombang BJLS 0,20</v>
          </cell>
          <cell r="E59" t="str">
            <v>m2</v>
          </cell>
          <cell r="F59">
            <v>26500</v>
          </cell>
        </row>
        <row r="60">
          <cell r="C60" t="str">
            <v>Zink plat datar BJLS 0,20</v>
          </cell>
          <cell r="E60" t="str">
            <v>m2</v>
          </cell>
          <cell r="F60">
            <v>26500</v>
          </cell>
        </row>
        <row r="61">
          <cell r="C61" t="str">
            <v>Zink plat aluminium</v>
          </cell>
          <cell r="E61" t="str">
            <v>m2</v>
          </cell>
          <cell r="F61">
            <v>57500</v>
          </cell>
        </row>
        <row r="62">
          <cell r="C62" t="str">
            <v xml:space="preserve">Grendel </v>
          </cell>
          <cell r="E62" t="str">
            <v>bh</v>
          </cell>
          <cell r="F62">
            <v>7500</v>
          </cell>
        </row>
        <row r="63">
          <cell r="C63" t="str">
            <v>Grendel pintu</v>
          </cell>
          <cell r="E63" t="str">
            <v>bh</v>
          </cell>
          <cell r="F63">
            <v>7500</v>
          </cell>
        </row>
        <row r="64">
          <cell r="C64" t="str">
            <v>Grendel jendela</v>
          </cell>
          <cell r="E64" t="str">
            <v>bh</v>
          </cell>
          <cell r="F64">
            <v>7500</v>
          </cell>
        </row>
        <row r="65">
          <cell r="C65" t="str">
            <v>Kait angin</v>
          </cell>
          <cell r="E65" t="str">
            <v>bh</v>
          </cell>
          <cell r="F65">
            <v>2250</v>
          </cell>
        </row>
        <row r="66">
          <cell r="C66" t="str">
            <v>Engsel nylon 4 "</v>
          </cell>
          <cell r="E66" t="str">
            <v>bh</v>
          </cell>
          <cell r="F66">
            <v>5000</v>
          </cell>
        </row>
        <row r="67">
          <cell r="C67" t="str">
            <v xml:space="preserve">Engsel </v>
          </cell>
          <cell r="E67" t="str">
            <v>bh</v>
          </cell>
          <cell r="F67">
            <v>5000</v>
          </cell>
        </row>
        <row r="68">
          <cell r="C68" t="str">
            <v>Engsel pintu</v>
          </cell>
          <cell r="E68" t="str">
            <v>bh</v>
          </cell>
          <cell r="F68">
            <v>5000</v>
          </cell>
        </row>
        <row r="69">
          <cell r="C69" t="str">
            <v>Engsel jendela</v>
          </cell>
          <cell r="E69" t="str">
            <v>bh</v>
          </cell>
          <cell r="F69">
            <v>5000</v>
          </cell>
        </row>
        <row r="70">
          <cell r="C70" t="str">
            <v>Gembok</v>
          </cell>
          <cell r="E70" t="str">
            <v>bh</v>
          </cell>
          <cell r="F70">
            <v>8000</v>
          </cell>
        </row>
        <row r="71">
          <cell r="C71" t="str">
            <v>Kunci pintu tanam 2 slaag</v>
          </cell>
          <cell r="E71" t="str">
            <v>bh</v>
          </cell>
          <cell r="F71">
            <v>50000</v>
          </cell>
        </row>
        <row r="72">
          <cell r="C72" t="str">
            <v>Pegangan pintu</v>
          </cell>
          <cell r="E72" t="str">
            <v>bh</v>
          </cell>
          <cell r="F72">
            <v>7500</v>
          </cell>
        </row>
        <row r="73">
          <cell r="C73" t="str">
            <v>Kaca bening 3 mm</v>
          </cell>
          <cell r="E73" t="str">
            <v>m2</v>
          </cell>
          <cell r="F73">
            <v>33000</v>
          </cell>
        </row>
        <row r="74">
          <cell r="C74" t="str">
            <v>Kaca bening 5 mm</v>
          </cell>
          <cell r="E74" t="str">
            <v>m2</v>
          </cell>
          <cell r="F74">
            <v>40000</v>
          </cell>
        </row>
        <row r="75">
          <cell r="C75" t="str">
            <v>Glass block</v>
          </cell>
          <cell r="E75" t="str">
            <v>bh</v>
          </cell>
          <cell r="F75">
            <v>25000</v>
          </cell>
        </row>
        <row r="76">
          <cell r="C76" t="str">
            <v>Glass block</v>
          </cell>
          <cell r="E76" t="str">
            <v>m2</v>
          </cell>
          <cell r="F76">
            <v>625000</v>
          </cell>
        </row>
        <row r="77">
          <cell r="C77" t="str">
            <v>Instalasi listrik</v>
          </cell>
          <cell r="E77" t="str">
            <v>ttk</v>
          </cell>
          <cell r="F77">
            <v>55000</v>
          </cell>
        </row>
        <row r="78">
          <cell r="C78" t="str">
            <v>Kabel NGA</v>
          </cell>
          <cell r="E78" t="str">
            <v>m</v>
          </cell>
          <cell r="F78">
            <v>1000</v>
          </cell>
        </row>
        <row r="79">
          <cell r="C79" t="str">
            <v>Lampu TL 2 x 40 watt</v>
          </cell>
          <cell r="E79" t="str">
            <v>bh</v>
          </cell>
          <cell r="F79">
            <v>165000</v>
          </cell>
        </row>
        <row r="80">
          <cell r="C80" t="str">
            <v>Lampu TL 2 x 20 watt</v>
          </cell>
          <cell r="E80" t="str">
            <v>bh</v>
          </cell>
          <cell r="F80">
            <v>121000</v>
          </cell>
        </row>
        <row r="81">
          <cell r="C81" t="str">
            <v>Lampu TL 40 watt</v>
          </cell>
          <cell r="E81" t="str">
            <v>bh</v>
          </cell>
          <cell r="F81">
            <v>40000</v>
          </cell>
        </row>
        <row r="82">
          <cell r="C82" t="str">
            <v>Lampu TL  25 watt</v>
          </cell>
          <cell r="E82" t="str">
            <v>bh</v>
          </cell>
          <cell r="F82">
            <v>35000</v>
          </cell>
        </row>
        <row r="83">
          <cell r="C83" t="str">
            <v xml:space="preserve">Lampu pijar 40 watt </v>
          </cell>
          <cell r="E83" t="str">
            <v>bh</v>
          </cell>
          <cell r="F83">
            <v>8000</v>
          </cell>
        </row>
        <row r="84">
          <cell r="C84" t="str">
            <v xml:space="preserve">Lampu pijar 25 watt </v>
          </cell>
          <cell r="E84" t="str">
            <v>bh</v>
          </cell>
          <cell r="F84">
            <v>7150</v>
          </cell>
        </row>
        <row r="85">
          <cell r="C85" t="str">
            <v xml:space="preserve">Stop Kontak </v>
          </cell>
          <cell r="E85" t="str">
            <v>bh</v>
          </cell>
          <cell r="F85">
            <v>9500</v>
          </cell>
        </row>
        <row r="86">
          <cell r="C86" t="str">
            <v>Saklar ganda</v>
          </cell>
          <cell r="E86" t="str">
            <v>bh</v>
          </cell>
          <cell r="F86">
            <v>7150</v>
          </cell>
        </row>
        <row r="87">
          <cell r="C87" t="str">
            <v>Saklar tunggal</v>
          </cell>
          <cell r="E87" t="str">
            <v>bh</v>
          </cell>
          <cell r="F87">
            <v>6000</v>
          </cell>
        </row>
        <row r="88">
          <cell r="C88" t="str">
            <v>Instalasi air bersih</v>
          </cell>
          <cell r="E88" t="str">
            <v>Ls</v>
          </cell>
          <cell r="F88">
            <v>165000</v>
          </cell>
        </row>
        <row r="89">
          <cell r="C89" t="str">
            <v>Instalasi air kotor</v>
          </cell>
          <cell r="E89" t="str">
            <v>ls</v>
          </cell>
          <cell r="F89">
            <v>110000</v>
          </cell>
        </row>
        <row r="90">
          <cell r="C90" t="str">
            <v>Bak air kamar mandi</v>
          </cell>
          <cell r="E90" t="str">
            <v>bh</v>
          </cell>
          <cell r="F90">
            <v>220000</v>
          </cell>
        </row>
        <row r="91">
          <cell r="C91" t="str">
            <v>Katrol, tali dan ember</v>
          </cell>
          <cell r="E91" t="str">
            <v>Ls</v>
          </cell>
          <cell r="F91">
            <v>75000</v>
          </cell>
        </row>
        <row r="92">
          <cell r="C92" t="str">
            <v>Bak air WC</v>
          </cell>
          <cell r="E92" t="str">
            <v>bh</v>
          </cell>
          <cell r="F92">
            <v>137500</v>
          </cell>
        </row>
        <row r="93">
          <cell r="C93" t="str">
            <v xml:space="preserve">Kloset jongkok </v>
          </cell>
          <cell r="E93" t="str">
            <v>bh</v>
          </cell>
          <cell r="F93">
            <v>88000</v>
          </cell>
        </row>
        <row r="94">
          <cell r="C94" t="str">
            <v>Stop Kran 3/4 "</v>
          </cell>
          <cell r="E94" t="str">
            <v>bh</v>
          </cell>
          <cell r="F94">
            <v>25500</v>
          </cell>
        </row>
        <row r="95">
          <cell r="C95" t="str">
            <v>Kran biasa</v>
          </cell>
          <cell r="E95" t="str">
            <v>bh</v>
          </cell>
          <cell r="F95">
            <v>12000</v>
          </cell>
        </row>
        <row r="96">
          <cell r="C96" t="str">
            <v>Tee 3 "</v>
          </cell>
          <cell r="E96" t="str">
            <v>bh</v>
          </cell>
          <cell r="F96">
            <v>10500</v>
          </cell>
        </row>
        <row r="97">
          <cell r="C97" t="str">
            <v>Tee dia. 3/4 "</v>
          </cell>
          <cell r="E97" t="str">
            <v>bh</v>
          </cell>
          <cell r="F97">
            <v>4500</v>
          </cell>
        </row>
        <row r="98">
          <cell r="C98" t="str">
            <v>Elbow dia. 3 "</v>
          </cell>
          <cell r="E98" t="str">
            <v>bh</v>
          </cell>
          <cell r="F98">
            <v>10500</v>
          </cell>
        </row>
        <row r="99">
          <cell r="C99" t="str">
            <v>Elbow dia. 3/4 "</v>
          </cell>
          <cell r="E99" t="str">
            <v>bh</v>
          </cell>
          <cell r="F99">
            <v>4500</v>
          </cell>
        </row>
        <row r="100">
          <cell r="C100" t="str">
            <v>Floor drain dia.  2 "</v>
          </cell>
          <cell r="E100" t="str">
            <v>bh</v>
          </cell>
          <cell r="F100">
            <v>7500</v>
          </cell>
        </row>
        <row r="101">
          <cell r="C101" t="str">
            <v>Pipa PVC dia. 4 "</v>
          </cell>
          <cell r="E101" t="str">
            <v>m</v>
          </cell>
          <cell r="F101">
            <v>19250</v>
          </cell>
        </row>
        <row r="102">
          <cell r="C102" t="str">
            <v>Pipa PVC dia. 3 " (pipa pembuangan)</v>
          </cell>
          <cell r="E102" t="str">
            <v>m</v>
          </cell>
          <cell r="F102">
            <v>15000</v>
          </cell>
        </row>
        <row r="103">
          <cell r="C103" t="str">
            <v xml:space="preserve">Pipa PVC dia. 1/2 " </v>
          </cell>
          <cell r="E103" t="str">
            <v>m</v>
          </cell>
          <cell r="F103">
            <v>3000</v>
          </cell>
        </row>
        <row r="104">
          <cell r="C104" t="str">
            <v>Pipa GIP  2 " (pipa penguapan)</v>
          </cell>
          <cell r="E104" t="str">
            <v>m</v>
          </cell>
          <cell r="F104">
            <v>39400</v>
          </cell>
        </row>
        <row r="105">
          <cell r="C105" t="str">
            <v>Pipa resapan dia.  2 "</v>
          </cell>
          <cell r="E105" t="str">
            <v>m</v>
          </cell>
          <cell r="F105">
            <v>10000</v>
          </cell>
        </row>
        <row r="106">
          <cell r="C106" t="str">
            <v>Cat glotex</v>
          </cell>
          <cell r="E106" t="str">
            <v>kg</v>
          </cell>
          <cell r="F106">
            <v>32000</v>
          </cell>
        </row>
        <row r="107">
          <cell r="C107" t="str">
            <v>Cat tembok dengan metrolite</v>
          </cell>
          <cell r="E107" t="str">
            <v>Kg</v>
          </cell>
          <cell r="F107">
            <v>15000</v>
          </cell>
        </row>
        <row r="108">
          <cell r="C108" t="str">
            <v>Cat dasar</v>
          </cell>
          <cell r="E108" t="str">
            <v>kg</v>
          </cell>
          <cell r="F108">
            <v>11000</v>
          </cell>
        </row>
        <row r="109">
          <cell r="C109" t="str">
            <v>Minyak cat</v>
          </cell>
          <cell r="E109" t="str">
            <v>Kg</v>
          </cell>
          <cell r="F109">
            <v>2500</v>
          </cell>
        </row>
        <row r="110">
          <cell r="C110" t="str">
            <v>Plamir</v>
          </cell>
          <cell r="E110" t="str">
            <v>Kg</v>
          </cell>
          <cell r="F110">
            <v>13200</v>
          </cell>
        </row>
        <row r="111">
          <cell r="C111" t="str">
            <v>Besi siku  30x30x3</v>
          </cell>
          <cell r="E111" t="str">
            <v>m</v>
          </cell>
          <cell r="F111">
            <v>3000</v>
          </cell>
        </row>
        <row r="113">
          <cell r="C113" t="str">
            <v>Ijuk</v>
          </cell>
          <cell r="E113" t="str">
            <v>Ls</v>
          </cell>
          <cell r="F113">
            <v>10000</v>
          </cell>
        </row>
        <row r="114">
          <cell r="C114" t="str">
            <v>Tungku masak</v>
          </cell>
          <cell r="E114" t="str">
            <v>Ls</v>
          </cell>
          <cell r="F114">
            <v>200000</v>
          </cell>
        </row>
        <row r="115">
          <cell r="C115" t="str">
            <v>Dempul</v>
          </cell>
          <cell r="E115" t="str">
            <v>kg</v>
          </cell>
          <cell r="F115">
            <v>11000</v>
          </cell>
        </row>
        <row r="116">
          <cell r="C116" t="str">
            <v>Kertas amplas</v>
          </cell>
          <cell r="E116" t="str">
            <v>lbr</v>
          </cell>
          <cell r="F116">
            <v>1700</v>
          </cell>
        </row>
        <row r="117">
          <cell r="C117" t="str">
            <v>Politur</v>
          </cell>
          <cell r="E117" t="str">
            <v>Kg</v>
          </cell>
          <cell r="F117">
            <v>7200</v>
          </cell>
        </row>
        <row r="118">
          <cell r="C118" t="str">
            <v>cat seng</v>
          </cell>
          <cell r="E118" t="str">
            <v>Kg</v>
          </cell>
          <cell r="F118">
            <v>13200</v>
          </cell>
        </row>
        <row r="119">
          <cell r="C119" t="str">
            <v>Kapur api ayak</v>
          </cell>
          <cell r="E119" t="str">
            <v>drum</v>
          </cell>
          <cell r="F119">
            <v>121000</v>
          </cell>
        </row>
      </sheetData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BQ_E20_02_Rp_"/>
      <sheetName val="tifico"/>
      <sheetName val="rab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 t="str">
            <v>KODE</v>
          </cell>
          <cell r="D6" t="str">
            <v>SAT</v>
          </cell>
          <cell r="E6" t="str">
            <v>HARGA SAT.</v>
          </cell>
        </row>
        <row r="7">
          <cell r="E7" t="str">
            <v>Rp.</v>
          </cell>
        </row>
        <row r="8">
          <cell r="B8" t="str">
            <v>1</v>
          </cell>
          <cell r="C8" t="str">
            <v>2</v>
          </cell>
          <cell r="D8" t="str">
            <v>3</v>
          </cell>
          <cell r="E8" t="str">
            <v>4</v>
          </cell>
        </row>
        <row r="10">
          <cell r="B10" t="str">
            <v>A</v>
          </cell>
          <cell r="C10" t="str">
            <v>AGREGAT KASAR, BAHAN PEREKAT &amp; BAHAN JADINYA</v>
          </cell>
        </row>
        <row r="11">
          <cell r="A11" t="str">
            <v>BA01</v>
          </cell>
          <cell r="B11" t="str">
            <v>1</v>
          </cell>
          <cell r="C11" t="str">
            <v>Pasir Urug</v>
          </cell>
          <cell r="D11" t="str">
            <v>m³</v>
          </cell>
          <cell r="E11">
            <v>50000</v>
          </cell>
        </row>
        <row r="12">
          <cell r="A12" t="str">
            <v>BA02</v>
          </cell>
          <cell r="B12" t="str">
            <v>2</v>
          </cell>
          <cell r="C12" t="str">
            <v>Sirtu</v>
          </cell>
          <cell r="D12" t="str">
            <v>m³</v>
          </cell>
          <cell r="E12">
            <v>45000</v>
          </cell>
        </row>
        <row r="13">
          <cell r="A13" t="str">
            <v>BA03</v>
          </cell>
          <cell r="B13" t="str">
            <v>3</v>
          </cell>
          <cell r="C13" t="str">
            <v>Pasir Teras</v>
          </cell>
          <cell r="D13" t="str">
            <v>m³</v>
          </cell>
          <cell r="E13">
            <v>55000</v>
          </cell>
        </row>
        <row r="14">
          <cell r="A14" t="str">
            <v>BA04</v>
          </cell>
          <cell r="B14" t="str">
            <v>4</v>
          </cell>
          <cell r="C14" t="str">
            <v>Pasir Pasang Kali</v>
          </cell>
          <cell r="D14" t="str">
            <v>m³</v>
          </cell>
          <cell r="E14">
            <v>65000</v>
          </cell>
        </row>
        <row r="15">
          <cell r="A15" t="str">
            <v>BA05</v>
          </cell>
          <cell r="B15" t="str">
            <v>5</v>
          </cell>
          <cell r="C15" t="str">
            <v>Pasir Beton I</v>
          </cell>
          <cell r="D15" t="str">
            <v>m³</v>
          </cell>
          <cell r="E15">
            <v>85000</v>
          </cell>
        </row>
        <row r="16">
          <cell r="A16" t="str">
            <v>BA06</v>
          </cell>
          <cell r="B16" t="str">
            <v>6</v>
          </cell>
          <cell r="C16" t="str">
            <v>Abu Batu</v>
          </cell>
          <cell r="D16" t="str">
            <v>m³</v>
          </cell>
          <cell r="E16">
            <v>70000</v>
          </cell>
        </row>
        <row r="17">
          <cell r="A17" t="str">
            <v>BA07</v>
          </cell>
          <cell r="B17" t="str">
            <v>7</v>
          </cell>
          <cell r="C17" t="str">
            <v>Batu Gosok ( Apung )</v>
          </cell>
          <cell r="D17" t="str">
            <v>kg</v>
          </cell>
          <cell r="E17">
            <v>8500</v>
          </cell>
        </row>
        <row r="18">
          <cell r="A18" t="str">
            <v>BA08</v>
          </cell>
          <cell r="B18" t="str">
            <v>8</v>
          </cell>
          <cell r="C18" t="str">
            <v>Batu Pecah Mesin  1/2</v>
          </cell>
          <cell r="D18" t="str">
            <v>m³</v>
          </cell>
          <cell r="E18">
            <v>90000</v>
          </cell>
        </row>
        <row r="19">
          <cell r="A19" t="str">
            <v>BA09</v>
          </cell>
          <cell r="B19" t="str">
            <v>9</v>
          </cell>
          <cell r="C19" t="str">
            <v>Batu Pecah Mesin  2/3</v>
          </cell>
          <cell r="D19" t="str">
            <v>m³</v>
          </cell>
          <cell r="E19">
            <v>85000</v>
          </cell>
        </row>
        <row r="20">
          <cell r="A20" t="str">
            <v>BA10</v>
          </cell>
          <cell r="B20" t="str">
            <v>10</v>
          </cell>
          <cell r="C20" t="str">
            <v>Batu Pecah Mesin  3/5</v>
          </cell>
          <cell r="D20" t="str">
            <v>m³</v>
          </cell>
          <cell r="E20">
            <v>75000</v>
          </cell>
        </row>
        <row r="21">
          <cell r="A21" t="str">
            <v>BA11</v>
          </cell>
          <cell r="B21" t="str">
            <v>11</v>
          </cell>
          <cell r="C21" t="str">
            <v>Batu Pecah Mesin  5/7</v>
          </cell>
          <cell r="D21" t="str">
            <v>m³</v>
          </cell>
          <cell r="E21">
            <v>65000</v>
          </cell>
        </row>
        <row r="22">
          <cell r="A22" t="str">
            <v>BA12</v>
          </cell>
          <cell r="B22" t="str">
            <v>12</v>
          </cell>
          <cell r="C22" t="str">
            <v>Batu Belah Pondasi</v>
          </cell>
          <cell r="D22" t="str">
            <v>m³</v>
          </cell>
          <cell r="E22">
            <v>70000</v>
          </cell>
        </row>
        <row r="23">
          <cell r="A23" t="str">
            <v>BA13</v>
          </cell>
          <cell r="B23" t="str">
            <v>13</v>
          </cell>
          <cell r="C23" t="str">
            <v>Batu Bronjol ( Untuk Bronjong )</v>
          </cell>
          <cell r="D23" t="str">
            <v>m³</v>
          </cell>
          <cell r="E23">
            <v>70000</v>
          </cell>
        </row>
        <row r="24">
          <cell r="A24" t="str">
            <v>BA14</v>
          </cell>
          <cell r="B24" t="str">
            <v>14</v>
          </cell>
          <cell r="C24" t="str">
            <v>Batu Koral Beton Kali</v>
          </cell>
          <cell r="D24" t="str">
            <v>m³</v>
          </cell>
          <cell r="E24">
            <v>80000</v>
          </cell>
        </row>
        <row r="25">
          <cell r="A25" t="str">
            <v>BA15</v>
          </cell>
          <cell r="B25" t="str">
            <v>15</v>
          </cell>
          <cell r="C25" t="str">
            <v xml:space="preserve">Batu Tempel Hitam </v>
          </cell>
          <cell r="D25" t="str">
            <v>m²</v>
          </cell>
          <cell r="E25">
            <v>47500</v>
          </cell>
        </row>
        <row r="26">
          <cell r="A26" t="str">
            <v>BA16</v>
          </cell>
          <cell r="B26" t="str">
            <v>16</v>
          </cell>
          <cell r="C26" t="str">
            <v>Batu Pinggir Beton 10 x 20 x 35</v>
          </cell>
          <cell r="D26" t="str">
            <v>bh</v>
          </cell>
          <cell r="E26">
            <v>7000</v>
          </cell>
        </row>
        <row r="27">
          <cell r="A27" t="str">
            <v>BA17</v>
          </cell>
          <cell r="B27" t="str">
            <v>17</v>
          </cell>
          <cell r="C27" t="str">
            <v>Batu Pinggir Beton 15 x 35 x 50 ( K -225 )</v>
          </cell>
          <cell r="D27" t="str">
            <v>bh</v>
          </cell>
          <cell r="E27">
            <v>15000</v>
          </cell>
        </row>
        <row r="28">
          <cell r="A28" t="str">
            <v>BA18</v>
          </cell>
          <cell r="B28" t="str">
            <v>18</v>
          </cell>
          <cell r="C28" t="str">
            <v>Batu Telor</v>
          </cell>
          <cell r="D28" t="str">
            <v>m³</v>
          </cell>
          <cell r="E28">
            <v>56500</v>
          </cell>
        </row>
        <row r="29">
          <cell r="A29" t="str">
            <v>BA19</v>
          </cell>
          <cell r="B29" t="str">
            <v>19</v>
          </cell>
          <cell r="C29" t="str">
            <v>Batako kecil 8 x 10 x 20</v>
          </cell>
          <cell r="D29" t="str">
            <v>bh</v>
          </cell>
          <cell r="E29">
            <v>500</v>
          </cell>
        </row>
        <row r="30">
          <cell r="A30" t="str">
            <v>BA20</v>
          </cell>
          <cell r="B30" t="str">
            <v>20</v>
          </cell>
          <cell r="C30" t="str">
            <v>Batako Besar 8 x 20 x 30</v>
          </cell>
          <cell r="D30" t="str">
            <v>bh</v>
          </cell>
          <cell r="E30">
            <v>1250</v>
          </cell>
        </row>
        <row r="31">
          <cell r="A31" t="str">
            <v>BA21</v>
          </cell>
          <cell r="B31" t="str">
            <v>21</v>
          </cell>
          <cell r="C31" t="str">
            <v>Con Blok 8 x 20 x 40</v>
          </cell>
          <cell r="D31" t="str">
            <v>bh</v>
          </cell>
          <cell r="E31">
            <v>3000</v>
          </cell>
        </row>
        <row r="32">
          <cell r="A32" t="str">
            <v>BA22</v>
          </cell>
          <cell r="B32" t="str">
            <v>22</v>
          </cell>
          <cell r="C32" t="str">
            <v>Bata Merah Bakar Kelas I</v>
          </cell>
          <cell r="D32" t="str">
            <v>bh</v>
          </cell>
          <cell r="E32">
            <v>250</v>
          </cell>
        </row>
        <row r="33">
          <cell r="A33" t="str">
            <v>BA23</v>
          </cell>
          <cell r="B33" t="str">
            <v>23</v>
          </cell>
          <cell r="C33" t="str">
            <v>Bata Merah Bakar Kelas II</v>
          </cell>
          <cell r="D33" t="str">
            <v>bh</v>
          </cell>
          <cell r="E33">
            <v>200</v>
          </cell>
        </row>
        <row r="34">
          <cell r="A34" t="str">
            <v>BA24</v>
          </cell>
          <cell r="B34" t="str">
            <v>24</v>
          </cell>
          <cell r="C34" t="str">
            <v>Bata Merah Oven ( Klingker )</v>
          </cell>
          <cell r="D34" t="str">
            <v>bh</v>
          </cell>
          <cell r="E34">
            <v>600</v>
          </cell>
        </row>
        <row r="35">
          <cell r="A35" t="str">
            <v>BA25</v>
          </cell>
          <cell r="B35" t="str">
            <v>25</v>
          </cell>
          <cell r="C35" t="str">
            <v>Roster Beton 20 x 20</v>
          </cell>
          <cell r="D35" t="str">
            <v>bh</v>
          </cell>
          <cell r="E35">
            <v>2900</v>
          </cell>
        </row>
        <row r="36">
          <cell r="A36" t="str">
            <v>BA26</v>
          </cell>
          <cell r="B36" t="str">
            <v>26</v>
          </cell>
          <cell r="C36" t="str">
            <v>Roster Beton 30 x 30</v>
          </cell>
          <cell r="D36" t="str">
            <v>bh</v>
          </cell>
          <cell r="E36">
            <v>3700</v>
          </cell>
        </row>
        <row r="37">
          <cell r="A37" t="str">
            <v>BA27</v>
          </cell>
          <cell r="B37" t="str">
            <v>27</v>
          </cell>
          <cell r="C37" t="str">
            <v>Grass Blok 20 x 20</v>
          </cell>
          <cell r="D37" t="str">
            <v>bh</v>
          </cell>
          <cell r="E37">
            <v>2900</v>
          </cell>
        </row>
        <row r="38">
          <cell r="A38" t="str">
            <v>BA28</v>
          </cell>
          <cell r="B38" t="str">
            <v>28</v>
          </cell>
          <cell r="C38" t="str">
            <v>Grass Blok 30 x 30</v>
          </cell>
          <cell r="D38" t="str">
            <v>bh</v>
          </cell>
          <cell r="E38">
            <v>3800</v>
          </cell>
        </row>
        <row r="39">
          <cell r="A39" t="str">
            <v>BA29</v>
          </cell>
          <cell r="B39" t="str">
            <v>29</v>
          </cell>
          <cell r="C39" t="str">
            <v>Paving Blok Natural 8 cm</v>
          </cell>
          <cell r="D39" t="str">
            <v>m²</v>
          </cell>
          <cell r="E39">
            <v>33500</v>
          </cell>
        </row>
        <row r="40">
          <cell r="A40" t="str">
            <v>BA30</v>
          </cell>
          <cell r="B40" t="str">
            <v>30</v>
          </cell>
          <cell r="C40" t="str">
            <v>Paving Blok Warna 8 cm</v>
          </cell>
          <cell r="D40" t="str">
            <v>m²</v>
          </cell>
          <cell r="E40">
            <v>39500</v>
          </cell>
        </row>
        <row r="41">
          <cell r="A41" t="str">
            <v>BA31</v>
          </cell>
          <cell r="B41" t="str">
            <v>31</v>
          </cell>
          <cell r="C41" t="str">
            <v>Paving Blok Natural 6 cm</v>
          </cell>
          <cell r="D41" t="str">
            <v>m²</v>
          </cell>
          <cell r="E41">
            <v>28500</v>
          </cell>
        </row>
        <row r="42">
          <cell r="A42" t="str">
            <v>BA32</v>
          </cell>
          <cell r="B42" t="str">
            <v>32</v>
          </cell>
          <cell r="C42" t="str">
            <v>Paving Blok Warna 6 cm</v>
          </cell>
          <cell r="D42" t="str">
            <v>m²</v>
          </cell>
          <cell r="E42">
            <v>32500</v>
          </cell>
        </row>
        <row r="43">
          <cell r="A43" t="str">
            <v>BA33</v>
          </cell>
          <cell r="B43" t="str">
            <v>33</v>
          </cell>
          <cell r="C43" t="str">
            <v>Kanstin Paving Blok</v>
          </cell>
          <cell r="D43" t="str">
            <v>m1</v>
          </cell>
          <cell r="E43">
            <v>13500</v>
          </cell>
        </row>
        <row r="44">
          <cell r="A44" t="str">
            <v>BA34</v>
          </cell>
          <cell r="B44" t="str">
            <v>34</v>
          </cell>
          <cell r="C44" t="str">
            <v>Semen PC Tiga Roda / 50 kg</v>
          </cell>
          <cell r="D44" t="str">
            <v>zak</v>
          </cell>
          <cell r="E44">
            <v>29000</v>
          </cell>
        </row>
        <row r="45">
          <cell r="A45" t="str">
            <v>BA35</v>
          </cell>
          <cell r="B45" t="str">
            <v>35</v>
          </cell>
          <cell r="C45" t="str">
            <v>Semen Putih</v>
          </cell>
          <cell r="D45" t="str">
            <v>zak</v>
          </cell>
          <cell r="E45">
            <v>46000</v>
          </cell>
        </row>
        <row r="46">
          <cell r="A46" t="str">
            <v>BA36</v>
          </cell>
          <cell r="B46" t="str">
            <v>36</v>
          </cell>
          <cell r="C46" t="str">
            <v>Kanstin Jalan ukuran Besar ( bina Marga ) 1 bh = 60 cm</v>
          </cell>
          <cell r="D46" t="str">
            <v>m³</v>
          </cell>
          <cell r="E46">
            <v>30000</v>
          </cell>
        </row>
        <row r="47">
          <cell r="A47" t="str">
            <v>BA37</v>
          </cell>
          <cell r="B47" t="str">
            <v>37</v>
          </cell>
          <cell r="C47" t="str">
            <v>Readymix Beton K 300, tanpa pompa ( selang )</v>
          </cell>
          <cell r="D47" t="str">
            <v>m³</v>
          </cell>
          <cell r="E47">
            <v>330000</v>
          </cell>
        </row>
        <row r="48">
          <cell r="A48" t="str">
            <v>BA38</v>
          </cell>
          <cell r="B48" t="str">
            <v>38</v>
          </cell>
          <cell r="C48" t="str">
            <v>Readymix Beton K 225, tanpa pompa ( selang )</v>
          </cell>
          <cell r="D48" t="str">
            <v>m³</v>
          </cell>
          <cell r="E48">
            <v>305000</v>
          </cell>
        </row>
        <row r="49">
          <cell r="A49" t="str">
            <v>BA39</v>
          </cell>
          <cell r="B49" t="str">
            <v>39</v>
          </cell>
          <cell r="C49" t="str">
            <v>Readymix Beton K 175, tanpa pompa ( selang )</v>
          </cell>
          <cell r="D49" t="str">
            <v>m³</v>
          </cell>
          <cell r="E49">
            <v>275000</v>
          </cell>
        </row>
        <row r="50">
          <cell r="A50" t="str">
            <v>BA40</v>
          </cell>
          <cell r="B50" t="str">
            <v>40</v>
          </cell>
          <cell r="C50" t="str">
            <v>Kapur Pasang/ kapur tembok</v>
          </cell>
          <cell r="D50" t="str">
            <v>m³</v>
          </cell>
          <cell r="E50">
            <v>65000</v>
          </cell>
        </row>
        <row r="51">
          <cell r="A51" t="str">
            <v>BA41</v>
          </cell>
          <cell r="B51" t="str">
            <v>41</v>
          </cell>
          <cell r="C51" t="str">
            <v>Kapur Sirih</v>
          </cell>
          <cell r="D51" t="str">
            <v>kg</v>
          </cell>
          <cell r="E51">
            <v>4000</v>
          </cell>
        </row>
        <row r="52">
          <cell r="A52" t="str">
            <v>BA42</v>
          </cell>
          <cell r="B52" t="str">
            <v>42</v>
          </cell>
          <cell r="C52" t="str">
            <v>Semen Warna</v>
          </cell>
          <cell r="D52" t="str">
            <v>kg</v>
          </cell>
          <cell r="E52">
            <v>6000</v>
          </cell>
        </row>
        <row r="53">
          <cell r="A53" t="str">
            <v>BA43</v>
          </cell>
          <cell r="B53">
            <v>43</v>
          </cell>
          <cell r="C53" t="str">
            <v>Tanah Liat</v>
          </cell>
          <cell r="D53" t="str">
            <v>m³</v>
          </cell>
          <cell r="E53">
            <v>12000</v>
          </cell>
        </row>
        <row r="55">
          <cell r="C55" t="str">
            <v xml:space="preserve">B. BAHAN FINISHING  : </v>
          </cell>
        </row>
        <row r="56">
          <cell r="C56" t="str">
            <v xml:space="preserve">     LABURAN, PENGISI DAN ALATNYA</v>
          </cell>
        </row>
        <row r="57">
          <cell r="A57" t="str">
            <v>BD01</v>
          </cell>
          <cell r="B57">
            <v>44</v>
          </cell>
          <cell r="C57" t="str">
            <v>Plamir Tembok</v>
          </cell>
          <cell r="D57" t="str">
            <v>kg</v>
          </cell>
          <cell r="E57">
            <v>5600</v>
          </cell>
        </row>
        <row r="58">
          <cell r="A58" t="str">
            <v>BD02</v>
          </cell>
          <cell r="B58">
            <v>45</v>
          </cell>
          <cell r="C58" t="str">
            <v>Cat Tembok ICI Eksterior ( BETON )</v>
          </cell>
          <cell r="D58" t="str">
            <v>lt</v>
          </cell>
          <cell r="E58">
            <v>52000</v>
          </cell>
        </row>
        <row r="59">
          <cell r="A59" t="str">
            <v>BD03</v>
          </cell>
          <cell r="B59">
            <v>46</v>
          </cell>
          <cell r="C59" t="str">
            <v>Cat Tembok ICI Interior ( PLAFOND DAN DINDING )</v>
          </cell>
          <cell r="D59" t="str">
            <v>lt</v>
          </cell>
          <cell r="E59">
            <v>52000</v>
          </cell>
        </row>
        <row r="60">
          <cell r="A60" t="str">
            <v>BD04</v>
          </cell>
          <cell r="B60">
            <v>47</v>
          </cell>
          <cell r="C60" t="str">
            <v>Cat Tembok Vinilex</v>
          </cell>
          <cell r="D60" t="str">
            <v>kg</v>
          </cell>
          <cell r="E60">
            <v>11000</v>
          </cell>
        </row>
        <row r="61">
          <cell r="A61" t="str">
            <v>BD05</v>
          </cell>
          <cell r="B61">
            <v>48</v>
          </cell>
          <cell r="C61" t="str">
            <v>Cat Dasar ICI untuk Interior ( 2 Pelapis )</v>
          </cell>
          <cell r="D61" t="str">
            <v>lt</v>
          </cell>
          <cell r="E61">
            <v>48500</v>
          </cell>
        </row>
        <row r="62">
          <cell r="A62" t="str">
            <v>BD06</v>
          </cell>
          <cell r="B62">
            <v>49</v>
          </cell>
          <cell r="C62" t="str">
            <v>Cat Tembok Sanlex</v>
          </cell>
          <cell r="D62" t="str">
            <v>kg</v>
          </cell>
          <cell r="E62">
            <v>7500</v>
          </cell>
        </row>
        <row r="63">
          <cell r="A63" t="str">
            <v>BD07</v>
          </cell>
          <cell r="B63">
            <v>50</v>
          </cell>
          <cell r="C63" t="str">
            <v>Cat Tahan Asam</v>
          </cell>
          <cell r="D63" t="str">
            <v>kg</v>
          </cell>
          <cell r="E63">
            <v>16500</v>
          </cell>
        </row>
        <row r="64">
          <cell r="A64" t="str">
            <v>BD08</v>
          </cell>
          <cell r="B64">
            <v>51</v>
          </cell>
          <cell r="C64" t="str">
            <v>Pelapis Alkali ICI ( Cat Dasar Beton Ekterior )</v>
          </cell>
          <cell r="D64" t="str">
            <v>lt</v>
          </cell>
          <cell r="E64">
            <v>28000</v>
          </cell>
        </row>
        <row r="65">
          <cell r="A65" t="str">
            <v>BD09</v>
          </cell>
          <cell r="B65">
            <v>52</v>
          </cell>
          <cell r="C65" t="str">
            <v>Cat Marka / Spotlight</v>
          </cell>
          <cell r="D65" t="str">
            <v>kg</v>
          </cell>
          <cell r="E65">
            <v>37500</v>
          </cell>
        </row>
        <row r="66">
          <cell r="A66" t="str">
            <v>BD10</v>
          </cell>
          <cell r="B66">
            <v>53</v>
          </cell>
          <cell r="C66" t="str">
            <v>Water Profing Emulsion</v>
          </cell>
          <cell r="D66" t="str">
            <v>kg</v>
          </cell>
          <cell r="E66">
            <v>30000</v>
          </cell>
        </row>
        <row r="67">
          <cell r="A67" t="str">
            <v>BD11</v>
          </cell>
          <cell r="B67">
            <v>54</v>
          </cell>
          <cell r="C67" t="str">
            <v>Water Profing Membrance</v>
          </cell>
          <cell r="D67" t="str">
            <v>ml</v>
          </cell>
          <cell r="E67">
            <v>50000</v>
          </cell>
        </row>
        <row r="68">
          <cell r="A68" t="str">
            <v>BD12</v>
          </cell>
          <cell r="B68">
            <v>55</v>
          </cell>
          <cell r="C68" t="str">
            <v>Rool Cat Tembok</v>
          </cell>
          <cell r="D68" t="str">
            <v>bh</v>
          </cell>
          <cell r="E68">
            <v>15000</v>
          </cell>
        </row>
        <row r="69">
          <cell r="A69" t="str">
            <v>BD13</v>
          </cell>
          <cell r="B69">
            <v>56</v>
          </cell>
          <cell r="C69" t="str">
            <v>Kape Tembok</v>
          </cell>
          <cell r="D69" t="str">
            <v>bh</v>
          </cell>
          <cell r="E69">
            <v>4000</v>
          </cell>
        </row>
        <row r="70">
          <cell r="A70" t="str">
            <v>BD14</v>
          </cell>
          <cell r="B70">
            <v>57</v>
          </cell>
          <cell r="C70" t="str">
            <v>Kape Kayu</v>
          </cell>
          <cell r="D70" t="str">
            <v>bh</v>
          </cell>
          <cell r="E70">
            <v>4500</v>
          </cell>
        </row>
        <row r="71">
          <cell r="A71" t="str">
            <v>BD15</v>
          </cell>
          <cell r="B71">
            <v>58</v>
          </cell>
          <cell r="C71" t="str">
            <v>Soligneum 1 blek</v>
          </cell>
          <cell r="D71" t="str">
            <v>5 lt</v>
          </cell>
          <cell r="E71">
            <v>17500</v>
          </cell>
        </row>
        <row r="72">
          <cell r="A72" t="str">
            <v>BD16</v>
          </cell>
          <cell r="B72">
            <v>59</v>
          </cell>
          <cell r="C72" t="str">
            <v>Plincote</v>
          </cell>
          <cell r="D72" t="str">
            <v>kg</v>
          </cell>
          <cell r="E72">
            <v>17500</v>
          </cell>
        </row>
        <row r="73">
          <cell r="A73" t="str">
            <v>BD17</v>
          </cell>
          <cell r="B73">
            <v>60</v>
          </cell>
          <cell r="C73" t="str">
            <v>Pengawetan Kayu</v>
          </cell>
          <cell r="D73" t="str">
            <v>m³</v>
          </cell>
          <cell r="E73">
            <v>150000</v>
          </cell>
        </row>
        <row r="74">
          <cell r="A74" t="str">
            <v>BD18</v>
          </cell>
          <cell r="B74">
            <v>61</v>
          </cell>
          <cell r="C74" t="str">
            <v>Pengopenan Kayu</v>
          </cell>
          <cell r="D74" t="str">
            <v>m³</v>
          </cell>
          <cell r="E74">
            <v>275000</v>
          </cell>
        </row>
        <row r="75">
          <cell r="A75" t="str">
            <v>BD19</v>
          </cell>
          <cell r="B75">
            <v>62</v>
          </cell>
          <cell r="C75" t="str">
            <v>Kwas 3"</v>
          </cell>
          <cell r="D75" t="str">
            <v>bh</v>
          </cell>
          <cell r="E75">
            <v>6750</v>
          </cell>
        </row>
        <row r="76">
          <cell r="A76" t="str">
            <v>BD20</v>
          </cell>
          <cell r="B76">
            <v>63</v>
          </cell>
          <cell r="C76" t="str">
            <v>Oker</v>
          </cell>
          <cell r="D76" t="str">
            <v>kg</v>
          </cell>
          <cell r="E76">
            <v>14500</v>
          </cell>
        </row>
        <row r="77">
          <cell r="A77" t="str">
            <v>BD21</v>
          </cell>
          <cell r="B77">
            <v>64</v>
          </cell>
          <cell r="C77" t="str">
            <v>Oyan</v>
          </cell>
          <cell r="D77" t="str">
            <v>bks</v>
          </cell>
          <cell r="E77">
            <v>1200</v>
          </cell>
        </row>
        <row r="78">
          <cell r="A78" t="str">
            <v>BD22</v>
          </cell>
          <cell r="B78">
            <v>65</v>
          </cell>
          <cell r="C78" t="str">
            <v>Oten (Pewarna Plitur )</v>
          </cell>
          <cell r="D78" t="str">
            <v>bks</v>
          </cell>
          <cell r="E78">
            <v>1200</v>
          </cell>
        </row>
        <row r="79">
          <cell r="A79" t="str">
            <v>BD23</v>
          </cell>
          <cell r="B79">
            <v>66</v>
          </cell>
          <cell r="C79" t="str">
            <v>Spirtus</v>
          </cell>
          <cell r="D79" t="str">
            <v>lt</v>
          </cell>
          <cell r="E79">
            <v>2500</v>
          </cell>
        </row>
        <row r="80">
          <cell r="A80" t="str">
            <v>BD24</v>
          </cell>
          <cell r="B80">
            <v>67</v>
          </cell>
          <cell r="C80" t="str">
            <v>Bahan Plitur Kripik ( Sirlak India )</v>
          </cell>
          <cell r="D80" t="str">
            <v>kg</v>
          </cell>
          <cell r="E80">
            <v>50000</v>
          </cell>
        </row>
        <row r="81">
          <cell r="A81" t="str">
            <v>BD25</v>
          </cell>
          <cell r="B81">
            <v>68</v>
          </cell>
          <cell r="C81" t="str">
            <v>Dempul Lilin</v>
          </cell>
          <cell r="D81" t="str">
            <v>kg</v>
          </cell>
          <cell r="E81">
            <v>15000</v>
          </cell>
        </row>
        <row r="82">
          <cell r="A82" t="str">
            <v>BD26</v>
          </cell>
          <cell r="B82">
            <v>69</v>
          </cell>
          <cell r="C82" t="str">
            <v>Dempul Plitur</v>
          </cell>
          <cell r="D82" t="str">
            <v>kg</v>
          </cell>
          <cell r="E82">
            <v>16500</v>
          </cell>
        </row>
        <row r="83">
          <cell r="A83" t="str">
            <v>BD27</v>
          </cell>
          <cell r="B83">
            <v>70</v>
          </cell>
          <cell r="C83" t="str">
            <v>Dempul Halus / Imfra ( Wood Filler )</v>
          </cell>
          <cell r="D83" t="str">
            <v>kg</v>
          </cell>
          <cell r="E83">
            <v>18000</v>
          </cell>
        </row>
        <row r="84">
          <cell r="A84" t="str">
            <v>BD28</v>
          </cell>
          <cell r="B84">
            <v>71</v>
          </cell>
          <cell r="C84" t="str">
            <v>Terpentin</v>
          </cell>
          <cell r="D84" t="str">
            <v>lt</v>
          </cell>
          <cell r="E84">
            <v>1800</v>
          </cell>
        </row>
        <row r="85">
          <cell r="A85" t="str">
            <v>BD29</v>
          </cell>
          <cell r="B85">
            <v>72</v>
          </cell>
          <cell r="C85" t="str">
            <v>Tiner A</v>
          </cell>
          <cell r="D85" t="str">
            <v>lt</v>
          </cell>
          <cell r="E85">
            <v>8000</v>
          </cell>
        </row>
        <row r="86">
          <cell r="A86" t="str">
            <v>BD30</v>
          </cell>
          <cell r="B86">
            <v>73</v>
          </cell>
          <cell r="C86" t="str">
            <v>Tiner B</v>
          </cell>
          <cell r="D86" t="str">
            <v>lt</v>
          </cell>
          <cell r="E86">
            <v>12000</v>
          </cell>
        </row>
        <row r="87">
          <cell r="A87" t="str">
            <v>BD31</v>
          </cell>
          <cell r="B87">
            <v>74</v>
          </cell>
          <cell r="C87" t="str">
            <v>Kumpon</v>
          </cell>
          <cell r="D87" t="str">
            <v>kg</v>
          </cell>
          <cell r="E87">
            <v>20000</v>
          </cell>
        </row>
        <row r="88">
          <cell r="A88" t="str">
            <v>BD32</v>
          </cell>
          <cell r="B88">
            <v>75</v>
          </cell>
          <cell r="C88" t="str">
            <v>Melamik</v>
          </cell>
          <cell r="D88" t="str">
            <v>kg</v>
          </cell>
          <cell r="E88">
            <v>23000</v>
          </cell>
        </row>
        <row r="89">
          <cell r="A89" t="str">
            <v>BD33</v>
          </cell>
          <cell r="B89">
            <v>76</v>
          </cell>
          <cell r="C89" t="str">
            <v>Dempul Plastik</v>
          </cell>
          <cell r="D89" t="str">
            <v>kg</v>
          </cell>
          <cell r="E89">
            <v>16500</v>
          </cell>
        </row>
        <row r="90">
          <cell r="A90" t="str">
            <v>BD34</v>
          </cell>
          <cell r="B90">
            <v>77</v>
          </cell>
          <cell r="C90" t="str">
            <v>Dempul Duco</v>
          </cell>
          <cell r="D90" t="str">
            <v>kg</v>
          </cell>
          <cell r="E90">
            <v>19000</v>
          </cell>
        </row>
        <row r="91">
          <cell r="A91" t="str">
            <v>BD35</v>
          </cell>
          <cell r="B91">
            <v>78</v>
          </cell>
          <cell r="C91" t="str">
            <v>Ampelas</v>
          </cell>
          <cell r="D91" t="str">
            <v>lbr</v>
          </cell>
          <cell r="E91">
            <v>2500</v>
          </cell>
        </row>
        <row r="92">
          <cell r="A92" t="str">
            <v>BD36</v>
          </cell>
          <cell r="B92">
            <v>79</v>
          </cell>
          <cell r="C92" t="str">
            <v>Dempul Kayu Cap Kucing</v>
          </cell>
          <cell r="D92" t="str">
            <v>kg</v>
          </cell>
          <cell r="E92">
            <v>25000</v>
          </cell>
        </row>
        <row r="93">
          <cell r="A93" t="str">
            <v>BD37</v>
          </cell>
          <cell r="B93">
            <v>80</v>
          </cell>
          <cell r="C93" t="str">
            <v>Meni Kayu / Besi</v>
          </cell>
          <cell r="D93" t="str">
            <v>kg</v>
          </cell>
          <cell r="E93">
            <v>8000</v>
          </cell>
        </row>
        <row r="94">
          <cell r="A94" t="str">
            <v>BD38</v>
          </cell>
          <cell r="B94">
            <v>81</v>
          </cell>
          <cell r="C94" t="str">
            <v>Sincromat</v>
          </cell>
          <cell r="D94" t="str">
            <v>kg</v>
          </cell>
          <cell r="E94">
            <v>20000</v>
          </cell>
        </row>
        <row r="95">
          <cell r="A95" t="str">
            <v>BD39</v>
          </cell>
          <cell r="B95">
            <v>82</v>
          </cell>
          <cell r="C95" t="str">
            <v>Cat Kayu Sieve</v>
          </cell>
          <cell r="D95" t="str">
            <v>kg</v>
          </cell>
          <cell r="E95">
            <v>25000</v>
          </cell>
        </row>
        <row r="96">
          <cell r="A96" t="str">
            <v>BD40</v>
          </cell>
          <cell r="B96">
            <v>83</v>
          </cell>
          <cell r="C96" t="str">
            <v>Cat Besi Sieve</v>
          </cell>
          <cell r="D96" t="str">
            <v>kg</v>
          </cell>
          <cell r="E96">
            <v>25000</v>
          </cell>
        </row>
        <row r="97">
          <cell r="A97" t="str">
            <v>BD41</v>
          </cell>
          <cell r="B97">
            <v>84</v>
          </cell>
          <cell r="C97" t="str">
            <v>Cat Besi Duco Danaglos/ICI</v>
          </cell>
          <cell r="D97" t="str">
            <v>kg</v>
          </cell>
          <cell r="E97">
            <v>65000</v>
          </cell>
        </row>
        <row r="98">
          <cell r="A98" t="str">
            <v>BD42</v>
          </cell>
          <cell r="B98">
            <v>85</v>
          </cell>
          <cell r="C98" t="str">
            <v>Cat Bron</v>
          </cell>
          <cell r="D98" t="str">
            <v>kg</v>
          </cell>
          <cell r="E98">
            <v>25000</v>
          </cell>
        </row>
        <row r="100">
          <cell r="C100" t="str">
            <v>C. BAHAN KAYU BERIKUT BAHAN JADINYA</v>
          </cell>
        </row>
        <row r="101">
          <cell r="A101" t="str">
            <v>BF01</v>
          </cell>
          <cell r="B101">
            <v>86</v>
          </cell>
          <cell r="C101" t="str">
            <v>Bambu Ø 5 s.d 7</v>
          </cell>
          <cell r="D101" t="str">
            <v>bt</v>
          </cell>
          <cell r="E101">
            <v>11500</v>
          </cell>
        </row>
        <row r="102">
          <cell r="A102" t="str">
            <v>BF02</v>
          </cell>
          <cell r="B102">
            <v>87</v>
          </cell>
          <cell r="C102" t="str">
            <v>Bambu Ø 7 s.d 10</v>
          </cell>
          <cell r="D102" t="str">
            <v>bt</v>
          </cell>
          <cell r="E102">
            <v>16500</v>
          </cell>
        </row>
        <row r="103">
          <cell r="A103" t="str">
            <v>BF03</v>
          </cell>
          <cell r="B103">
            <v>88</v>
          </cell>
          <cell r="C103" t="str">
            <v>Bambu Gombong</v>
          </cell>
          <cell r="D103" t="str">
            <v>bt</v>
          </cell>
          <cell r="E103">
            <v>31500</v>
          </cell>
        </row>
        <row r="104">
          <cell r="A104" t="str">
            <v>BF04</v>
          </cell>
          <cell r="B104">
            <v>89</v>
          </cell>
          <cell r="C104" t="str">
            <v>Kayu Kamper Singkil / Kapur (K. Samarinda Klas II)</v>
          </cell>
          <cell r="D104" t="str">
            <v>m³</v>
          </cell>
          <cell r="E104">
            <v>2550000</v>
          </cell>
        </row>
        <row r="105">
          <cell r="A105" t="str">
            <v>BF05</v>
          </cell>
          <cell r="B105">
            <v>90</v>
          </cell>
          <cell r="C105" t="str">
            <v>Kayu Balok Borneo Super</v>
          </cell>
          <cell r="D105" t="str">
            <v>m³</v>
          </cell>
          <cell r="E105">
            <v>1250000</v>
          </cell>
        </row>
        <row r="106">
          <cell r="A106" t="str">
            <v>BF06</v>
          </cell>
          <cell r="B106">
            <v>91</v>
          </cell>
          <cell r="C106" t="str">
            <v>Kayu Papan Borneo Super</v>
          </cell>
          <cell r="D106" t="str">
            <v>m³</v>
          </cell>
          <cell r="E106">
            <v>1350000</v>
          </cell>
        </row>
        <row r="107">
          <cell r="A107" t="str">
            <v>BF07</v>
          </cell>
          <cell r="B107">
            <v>92</v>
          </cell>
          <cell r="C107" t="str">
            <v>Kayu Balok Kamper Medan (kruing)</v>
          </cell>
          <cell r="D107" t="str">
            <v>m³</v>
          </cell>
          <cell r="E107">
            <v>1500000</v>
          </cell>
        </row>
        <row r="108">
          <cell r="A108" t="str">
            <v>BF08</v>
          </cell>
          <cell r="B108">
            <v>93</v>
          </cell>
          <cell r="C108" t="str">
            <v>Kayu Papan Kamper Medan (Kruing)</v>
          </cell>
          <cell r="D108" t="str">
            <v>m³</v>
          </cell>
          <cell r="E108">
            <v>1600000</v>
          </cell>
        </row>
        <row r="109">
          <cell r="A109" t="str">
            <v>BF09</v>
          </cell>
          <cell r="B109">
            <v>94</v>
          </cell>
          <cell r="C109" t="str">
            <v>Kayu Balok Kamper Banjar</v>
          </cell>
          <cell r="D109" t="str">
            <v>m³</v>
          </cell>
          <cell r="E109">
            <v>1750000</v>
          </cell>
        </row>
        <row r="110">
          <cell r="A110" t="str">
            <v>BF10</v>
          </cell>
          <cell r="B110">
            <v>95</v>
          </cell>
          <cell r="C110" t="str">
            <v>Kayu Papan Kamper Banjar</v>
          </cell>
          <cell r="D110" t="str">
            <v>m³</v>
          </cell>
          <cell r="E110">
            <v>1850000</v>
          </cell>
        </row>
        <row r="111">
          <cell r="A111" t="str">
            <v>BF11</v>
          </cell>
          <cell r="B111">
            <v>96</v>
          </cell>
          <cell r="C111" t="str">
            <v>Kayu Balok Kamper Samarinda</v>
          </cell>
          <cell r="D111" t="str">
            <v>m³</v>
          </cell>
          <cell r="E111">
            <v>3400000</v>
          </cell>
        </row>
        <row r="112">
          <cell r="A112" t="str">
            <v>BF12</v>
          </cell>
          <cell r="B112">
            <v>97</v>
          </cell>
          <cell r="C112" t="str">
            <v>Kayu Papan Kamper Samarinda</v>
          </cell>
          <cell r="D112" t="str">
            <v>m³</v>
          </cell>
          <cell r="E112">
            <v>3500000</v>
          </cell>
        </row>
        <row r="113">
          <cell r="A113" t="str">
            <v>BF13</v>
          </cell>
          <cell r="B113">
            <v>98</v>
          </cell>
          <cell r="C113" t="str">
            <v>Kayu Balok Rasamala</v>
          </cell>
          <cell r="D113" t="str">
            <v>m³</v>
          </cell>
          <cell r="E113">
            <v>950000</v>
          </cell>
        </row>
        <row r="114">
          <cell r="A114" t="str">
            <v>BF14</v>
          </cell>
          <cell r="B114">
            <v>99</v>
          </cell>
          <cell r="C114" t="str">
            <v xml:space="preserve">Kayu Jati Jatim Tua dia. 40 cm </v>
          </cell>
          <cell r="D114" t="str">
            <v>m³</v>
          </cell>
          <cell r="E114">
            <v>8800000</v>
          </cell>
        </row>
        <row r="115">
          <cell r="A115" t="str">
            <v>BF15</v>
          </cell>
          <cell r="B115">
            <v>100</v>
          </cell>
          <cell r="C115" t="str">
            <v>Kayu Jati Jateng Tua dia. 40 cm</v>
          </cell>
          <cell r="D115" t="str">
            <v>m³</v>
          </cell>
          <cell r="E115">
            <v>8800000</v>
          </cell>
        </row>
        <row r="116">
          <cell r="A116" t="str">
            <v>BF16</v>
          </cell>
          <cell r="B116">
            <v>101</v>
          </cell>
          <cell r="C116" t="str">
            <v>Kayu Jati Jabar Tua  dia. 40 cm</v>
          </cell>
          <cell r="D116" t="str">
            <v>m³</v>
          </cell>
          <cell r="E116">
            <v>4250000</v>
          </cell>
        </row>
        <row r="117">
          <cell r="A117" t="str">
            <v>BF17</v>
          </cell>
          <cell r="B117">
            <v>102</v>
          </cell>
          <cell r="C117" t="str">
            <v xml:space="preserve">Kayu Jati Jabar dia. 40 cm kebawah </v>
          </cell>
          <cell r="D117" t="str">
            <v>m³</v>
          </cell>
          <cell r="E117">
            <v>3600000</v>
          </cell>
        </row>
        <row r="118">
          <cell r="A118" t="str">
            <v>BF18</v>
          </cell>
          <cell r="B118">
            <v>103</v>
          </cell>
          <cell r="C118" t="str">
            <v xml:space="preserve">Kayu Hutan Kelas I ( Segeng, Mahoni, Laban ) </v>
          </cell>
          <cell r="D118" t="str">
            <v>m³</v>
          </cell>
          <cell r="E118">
            <v>1045000</v>
          </cell>
        </row>
        <row r="119">
          <cell r="A119" t="str">
            <v>BF19</v>
          </cell>
          <cell r="B119">
            <v>104</v>
          </cell>
          <cell r="C119" t="str">
            <v>Kayu Albasia</v>
          </cell>
          <cell r="D119" t="str">
            <v>m³</v>
          </cell>
          <cell r="E119">
            <v>400000</v>
          </cell>
        </row>
        <row r="120">
          <cell r="A120" t="str">
            <v>BF20</v>
          </cell>
          <cell r="B120">
            <v>105</v>
          </cell>
          <cell r="C120" t="str">
            <v>Dolken 5 s/d 7</v>
          </cell>
          <cell r="D120" t="str">
            <v>bt</v>
          </cell>
          <cell r="E120">
            <v>7500</v>
          </cell>
        </row>
        <row r="121">
          <cell r="A121" t="str">
            <v>BF21</v>
          </cell>
          <cell r="B121">
            <v>106</v>
          </cell>
          <cell r="C121" t="str">
            <v>Dolken 7 s/d 10</v>
          </cell>
          <cell r="D121" t="str">
            <v>bt</v>
          </cell>
          <cell r="E121">
            <v>12500</v>
          </cell>
        </row>
        <row r="122">
          <cell r="A122" t="str">
            <v>BF22</v>
          </cell>
          <cell r="B122">
            <v>107</v>
          </cell>
          <cell r="C122" t="str">
            <v>List profil kamper 1 cm</v>
          </cell>
          <cell r="D122" t="str">
            <v>m1</v>
          </cell>
          <cell r="E122">
            <v>1350</v>
          </cell>
        </row>
        <row r="123">
          <cell r="A123" t="str">
            <v>BF23</v>
          </cell>
          <cell r="B123">
            <v>108</v>
          </cell>
          <cell r="C123" t="str">
            <v>List profil kamper 2 cm</v>
          </cell>
          <cell r="D123" t="str">
            <v>m1</v>
          </cell>
          <cell r="E123">
            <v>1950</v>
          </cell>
        </row>
        <row r="124">
          <cell r="A124" t="str">
            <v>BF24</v>
          </cell>
          <cell r="B124">
            <v>109</v>
          </cell>
          <cell r="C124" t="str">
            <v>List profil kamper 4 cm</v>
          </cell>
          <cell r="D124" t="str">
            <v>m1</v>
          </cell>
          <cell r="E124">
            <v>4500</v>
          </cell>
        </row>
        <row r="125">
          <cell r="A125" t="str">
            <v>BF25</v>
          </cell>
          <cell r="B125">
            <v>110</v>
          </cell>
          <cell r="C125" t="str">
            <v>List profil kamper 5 cm</v>
          </cell>
          <cell r="D125" t="str">
            <v>m1</v>
          </cell>
          <cell r="E125">
            <v>7150</v>
          </cell>
        </row>
        <row r="126">
          <cell r="A126" t="str">
            <v>BF26</v>
          </cell>
          <cell r="B126">
            <v>111</v>
          </cell>
          <cell r="C126" t="str">
            <v>List profil kamper 10 cm</v>
          </cell>
          <cell r="D126" t="str">
            <v>m1</v>
          </cell>
          <cell r="E126">
            <v>13750</v>
          </cell>
        </row>
        <row r="127">
          <cell r="A127" t="str">
            <v>BF27</v>
          </cell>
          <cell r="B127">
            <v>112</v>
          </cell>
          <cell r="C127" t="str">
            <v>Pegangan Tangga profil Jati</v>
          </cell>
          <cell r="D127" t="str">
            <v>m1</v>
          </cell>
          <cell r="E127">
            <v>65000</v>
          </cell>
        </row>
        <row r="128">
          <cell r="A128" t="str">
            <v>BF28</v>
          </cell>
          <cell r="B128">
            <v>113</v>
          </cell>
          <cell r="C128" t="str">
            <v>Pegangan Tangga profil Kamper</v>
          </cell>
          <cell r="D128" t="str">
            <v>m1</v>
          </cell>
          <cell r="E128">
            <v>22500</v>
          </cell>
        </row>
        <row r="129">
          <cell r="A129" t="str">
            <v>BF29</v>
          </cell>
          <cell r="B129">
            <v>114</v>
          </cell>
          <cell r="C129" t="str">
            <v>Kayu Reng 2/3 Borneo Super</v>
          </cell>
          <cell r="D129" t="str">
            <v>m1</v>
          </cell>
          <cell r="E129">
            <v>850</v>
          </cell>
        </row>
        <row r="130">
          <cell r="A130" t="str">
            <v>BF30</v>
          </cell>
          <cell r="B130">
            <v>115</v>
          </cell>
          <cell r="C130" t="str">
            <v>Kayu Reng 2/3 Kamper Banjar</v>
          </cell>
          <cell r="D130" t="str">
            <v>m1</v>
          </cell>
          <cell r="E130">
            <v>1400</v>
          </cell>
        </row>
        <row r="131">
          <cell r="A131" t="str">
            <v>BF31</v>
          </cell>
          <cell r="B131">
            <v>116</v>
          </cell>
          <cell r="C131" t="str">
            <v>Kayu Reng 3/4 Kamper Banjar</v>
          </cell>
          <cell r="D131" t="str">
            <v>m1</v>
          </cell>
          <cell r="E131">
            <v>1800</v>
          </cell>
        </row>
        <row r="133">
          <cell r="C133" t="str">
            <v>D. BAHAN PENUTUP RANGKA PLAFOND</v>
          </cell>
        </row>
        <row r="134">
          <cell r="A134" t="str">
            <v>BH01</v>
          </cell>
          <cell r="B134">
            <v>117</v>
          </cell>
          <cell r="C134" t="str">
            <v>Bahan plafond Enternit 4 mm</v>
          </cell>
          <cell r="D134" t="str">
            <v>m²</v>
          </cell>
          <cell r="E134">
            <v>8500</v>
          </cell>
        </row>
        <row r="135">
          <cell r="A135" t="str">
            <v>BH02</v>
          </cell>
          <cell r="B135">
            <v>118</v>
          </cell>
          <cell r="C135" t="str">
            <v>Bahan plafond hardpleks 5 mm 120 x 240</v>
          </cell>
          <cell r="D135" t="str">
            <v>lbr</v>
          </cell>
          <cell r="E135">
            <v>35000</v>
          </cell>
        </row>
        <row r="136">
          <cell r="A136" t="str">
            <v>BH03</v>
          </cell>
          <cell r="B136">
            <v>119</v>
          </cell>
          <cell r="C136" t="str">
            <v>Bahan plafond Asbes Semen 5 mm</v>
          </cell>
          <cell r="D136" t="str">
            <v>m²</v>
          </cell>
          <cell r="E136">
            <v>10500</v>
          </cell>
        </row>
        <row r="137">
          <cell r="A137" t="str">
            <v>BH04</v>
          </cell>
          <cell r="B137">
            <v>120</v>
          </cell>
          <cell r="C137" t="str">
            <v>Gypsum 120 x 240  t = 9 mm ex DN</v>
          </cell>
          <cell r="D137" t="str">
            <v>lbr</v>
          </cell>
          <cell r="E137">
            <v>39000</v>
          </cell>
        </row>
        <row r="138">
          <cell r="A138" t="str">
            <v>BH05</v>
          </cell>
          <cell r="B138">
            <v>121</v>
          </cell>
          <cell r="C138" t="str">
            <v>Gypsum 120 x 240  t = 9 mm ex Luar</v>
          </cell>
          <cell r="D138" t="str">
            <v>lbr</v>
          </cell>
          <cell r="E138">
            <v>44500</v>
          </cell>
        </row>
        <row r="139">
          <cell r="A139" t="str">
            <v>BH06</v>
          </cell>
          <cell r="B139">
            <v>122</v>
          </cell>
          <cell r="C139" t="str">
            <v xml:space="preserve">Acustik Amstrong 60 x 120 </v>
          </cell>
          <cell r="D139" t="str">
            <v>lbr</v>
          </cell>
          <cell r="E139">
            <v>69000</v>
          </cell>
        </row>
        <row r="141">
          <cell r="C141" t="str">
            <v>E. BAHAN KAYU LAPIS</v>
          </cell>
        </row>
        <row r="142">
          <cell r="A142" t="str">
            <v>BJ01</v>
          </cell>
          <cell r="B142">
            <v>123</v>
          </cell>
          <cell r="C142" t="str">
            <v>Triplek 3 mm 120 x 240</v>
          </cell>
          <cell r="D142" t="str">
            <v>lbr</v>
          </cell>
          <cell r="E142">
            <v>28000</v>
          </cell>
        </row>
        <row r="143">
          <cell r="A143" t="str">
            <v>BJ02</v>
          </cell>
          <cell r="B143">
            <v>124</v>
          </cell>
          <cell r="C143" t="str">
            <v>Triplek 4 mm 120 x 240</v>
          </cell>
          <cell r="D143" t="str">
            <v>lbr</v>
          </cell>
          <cell r="E143">
            <v>32000</v>
          </cell>
        </row>
        <row r="144">
          <cell r="A144" t="str">
            <v>BJ03</v>
          </cell>
          <cell r="B144">
            <v>125</v>
          </cell>
          <cell r="C144" t="str">
            <v>Triplek 4 mm Ukuran Pintu</v>
          </cell>
          <cell r="D144" t="str">
            <v>lbr</v>
          </cell>
          <cell r="E144">
            <v>22500</v>
          </cell>
        </row>
        <row r="145">
          <cell r="A145" t="str">
            <v>BJ04</v>
          </cell>
          <cell r="B145">
            <v>126</v>
          </cell>
          <cell r="C145" t="str">
            <v>Triplek 6 mm 120 x 240</v>
          </cell>
          <cell r="D145" t="str">
            <v>lbr</v>
          </cell>
          <cell r="E145">
            <v>60400</v>
          </cell>
        </row>
        <row r="146">
          <cell r="A146" t="str">
            <v>BJ05</v>
          </cell>
          <cell r="B146">
            <v>127</v>
          </cell>
          <cell r="C146" t="str">
            <v>Triplek 9 mm 120 x 240</v>
          </cell>
          <cell r="D146" t="str">
            <v>lbr</v>
          </cell>
          <cell r="E146">
            <v>80000</v>
          </cell>
        </row>
        <row r="147">
          <cell r="A147" t="str">
            <v>BJ06</v>
          </cell>
          <cell r="B147">
            <v>128</v>
          </cell>
          <cell r="C147" t="str">
            <v>Jabar Wood 4 mm</v>
          </cell>
          <cell r="D147" t="str">
            <v>lbr</v>
          </cell>
          <cell r="E147">
            <v>49500</v>
          </cell>
        </row>
        <row r="148">
          <cell r="A148" t="str">
            <v>BJ07</v>
          </cell>
          <cell r="B148">
            <v>129</v>
          </cell>
          <cell r="C148" t="str">
            <v>Bilik Bambu ( tanpa kulit )</v>
          </cell>
          <cell r="D148" t="str">
            <v>m²</v>
          </cell>
          <cell r="E148">
            <v>5500</v>
          </cell>
        </row>
        <row r="149">
          <cell r="A149" t="str">
            <v>BJ08</v>
          </cell>
          <cell r="B149">
            <v>130</v>
          </cell>
          <cell r="C149" t="str">
            <v>Bilik Bambu ( dengan kulit )</v>
          </cell>
          <cell r="D149" t="str">
            <v>m²</v>
          </cell>
          <cell r="E149">
            <v>8000</v>
          </cell>
        </row>
        <row r="150">
          <cell r="A150" t="str">
            <v>BJ09</v>
          </cell>
          <cell r="B150">
            <v>131</v>
          </cell>
          <cell r="C150" t="str">
            <v>Bilik Bambu Hitam Variasi</v>
          </cell>
          <cell r="D150" t="str">
            <v>m²</v>
          </cell>
          <cell r="E150">
            <v>11000</v>
          </cell>
        </row>
        <row r="151">
          <cell r="A151" t="str">
            <v>BJ10</v>
          </cell>
          <cell r="B151">
            <v>132</v>
          </cell>
          <cell r="C151" t="str">
            <v>Wall Paper ( kls menengah )</v>
          </cell>
          <cell r="D151" t="str">
            <v>m²</v>
          </cell>
          <cell r="E151">
            <v>27000</v>
          </cell>
        </row>
        <row r="152">
          <cell r="A152" t="str">
            <v>BJ11</v>
          </cell>
          <cell r="B152">
            <v>133</v>
          </cell>
          <cell r="C152" t="str">
            <v>Multiplek 9 mm 120 x 240</v>
          </cell>
          <cell r="D152" t="str">
            <v>lbr</v>
          </cell>
          <cell r="E152">
            <v>75000</v>
          </cell>
        </row>
        <row r="153">
          <cell r="A153" t="str">
            <v>BJ12</v>
          </cell>
          <cell r="B153">
            <v>134</v>
          </cell>
          <cell r="C153" t="str">
            <v>Multiplek 12 mm 120 x 240</v>
          </cell>
          <cell r="D153" t="str">
            <v>lbr</v>
          </cell>
          <cell r="E153">
            <v>110000</v>
          </cell>
        </row>
        <row r="154">
          <cell r="A154" t="str">
            <v>BJ13</v>
          </cell>
          <cell r="B154">
            <v>135</v>
          </cell>
          <cell r="C154" t="str">
            <v>Multiplek 18 mm 120 x 240</v>
          </cell>
          <cell r="D154" t="str">
            <v>lbr</v>
          </cell>
          <cell r="E154">
            <v>125000</v>
          </cell>
        </row>
        <row r="155">
          <cell r="A155" t="str">
            <v>BJ14</v>
          </cell>
          <cell r="B155">
            <v>136</v>
          </cell>
          <cell r="C155" t="str">
            <v>Play Wood 18 mm 120 x 240</v>
          </cell>
          <cell r="D155" t="str">
            <v>lbr</v>
          </cell>
          <cell r="E155">
            <v>166500</v>
          </cell>
        </row>
        <row r="156">
          <cell r="A156" t="str">
            <v>BJ15</v>
          </cell>
          <cell r="B156">
            <v>137</v>
          </cell>
          <cell r="C156" t="str">
            <v>Teak Wood 3 mm 120 x 240</v>
          </cell>
          <cell r="D156" t="str">
            <v>lbr</v>
          </cell>
          <cell r="E156">
            <v>62500</v>
          </cell>
        </row>
        <row r="157">
          <cell r="A157" t="str">
            <v>BJ16</v>
          </cell>
          <cell r="B157">
            <v>138</v>
          </cell>
          <cell r="C157" t="str">
            <v>Teak Wood 4 mm 120 x 240</v>
          </cell>
          <cell r="D157" t="str">
            <v>lbr</v>
          </cell>
          <cell r="E157">
            <v>68000</v>
          </cell>
        </row>
        <row r="158">
          <cell r="A158" t="str">
            <v>BJ17</v>
          </cell>
          <cell r="B158">
            <v>139</v>
          </cell>
          <cell r="C158" t="str">
            <v xml:space="preserve">Teak Wood 3 mm 120 x 240 Ukuran Pintu </v>
          </cell>
          <cell r="D158" t="str">
            <v>lbr</v>
          </cell>
          <cell r="E158">
            <v>42500</v>
          </cell>
        </row>
        <row r="159">
          <cell r="A159" t="str">
            <v>BJ18</v>
          </cell>
          <cell r="B159">
            <v>140</v>
          </cell>
          <cell r="C159" t="str">
            <v>Teak Wood ukuran Pintu 4 mm</v>
          </cell>
          <cell r="D159" t="str">
            <v>lbr</v>
          </cell>
          <cell r="E159">
            <v>62000</v>
          </cell>
        </row>
        <row r="160">
          <cell r="A160" t="str">
            <v>BJ19</v>
          </cell>
          <cell r="B160">
            <v>141</v>
          </cell>
          <cell r="C160" t="str">
            <v>Tacon ( tahan bakar )</v>
          </cell>
          <cell r="D160" t="str">
            <v>m²</v>
          </cell>
          <cell r="E160">
            <v>65500</v>
          </cell>
        </row>
        <row r="161">
          <cell r="A161" t="str">
            <v>BJ20</v>
          </cell>
          <cell r="B161">
            <v>142</v>
          </cell>
          <cell r="C161" t="str">
            <v>Supercon</v>
          </cell>
          <cell r="D161" t="str">
            <v>m²</v>
          </cell>
          <cell r="E161">
            <v>35000</v>
          </cell>
        </row>
        <row r="162">
          <cell r="A162" t="str">
            <v>BJ21</v>
          </cell>
          <cell r="B162">
            <v>143</v>
          </cell>
          <cell r="C162" t="str">
            <v xml:space="preserve">Melamin 4 mm 120 x 240 </v>
          </cell>
          <cell r="D162" t="str">
            <v>lbr</v>
          </cell>
          <cell r="E162">
            <v>40000</v>
          </cell>
        </row>
        <row r="163">
          <cell r="A163" t="str">
            <v>BJ22</v>
          </cell>
          <cell r="B163">
            <v>144</v>
          </cell>
          <cell r="C163" t="str">
            <v>Melamin TOK 4 mm</v>
          </cell>
          <cell r="D163" t="str">
            <v>lbr</v>
          </cell>
          <cell r="E163">
            <v>69500</v>
          </cell>
        </row>
        <row r="164">
          <cell r="A164" t="str">
            <v>BJ23</v>
          </cell>
          <cell r="B164">
            <v>145</v>
          </cell>
          <cell r="C164" t="str">
            <v xml:space="preserve">Formika 120 x 240 </v>
          </cell>
          <cell r="D164" t="str">
            <v>lbr</v>
          </cell>
          <cell r="E164">
            <v>90000</v>
          </cell>
        </row>
        <row r="165">
          <cell r="A165" t="str">
            <v>BJ24</v>
          </cell>
          <cell r="B165">
            <v>146</v>
          </cell>
          <cell r="C165" t="str">
            <v>Formika Ukuran Pintu</v>
          </cell>
          <cell r="D165" t="str">
            <v>lbr</v>
          </cell>
          <cell r="E165">
            <v>64500</v>
          </cell>
        </row>
        <row r="167">
          <cell r="C167" t="str">
            <v>F. BAHAN LANTAI DAN PELAPIS DINDING</v>
          </cell>
        </row>
        <row r="168">
          <cell r="A168" t="str">
            <v>BL01</v>
          </cell>
          <cell r="B168">
            <v>147</v>
          </cell>
          <cell r="C168" t="str">
            <v>Tegel PC 20 x 20</v>
          </cell>
          <cell r="D168" t="str">
            <v>bh</v>
          </cell>
          <cell r="E168">
            <v>800</v>
          </cell>
        </row>
        <row r="169">
          <cell r="A169" t="str">
            <v>BL02</v>
          </cell>
          <cell r="B169">
            <v>148</v>
          </cell>
          <cell r="C169" t="str">
            <v>Plin Tegel PC 10 x 20</v>
          </cell>
          <cell r="D169" t="str">
            <v>bh</v>
          </cell>
          <cell r="E169">
            <v>725</v>
          </cell>
        </row>
        <row r="170">
          <cell r="A170" t="str">
            <v>BL03</v>
          </cell>
          <cell r="B170">
            <v>149</v>
          </cell>
          <cell r="C170" t="str">
            <v>Tegel PC 30 x 30</v>
          </cell>
          <cell r="D170" t="str">
            <v>bh</v>
          </cell>
          <cell r="E170">
            <v>1100</v>
          </cell>
        </row>
        <row r="171">
          <cell r="A171" t="str">
            <v>BL04</v>
          </cell>
          <cell r="B171">
            <v>150</v>
          </cell>
          <cell r="C171" t="str">
            <v>Plin Tegel PC 15 x 30</v>
          </cell>
          <cell r="D171" t="str">
            <v>bh</v>
          </cell>
          <cell r="E171">
            <v>850</v>
          </cell>
        </row>
        <row r="172">
          <cell r="A172" t="str">
            <v>BL05</v>
          </cell>
          <cell r="B172">
            <v>151</v>
          </cell>
          <cell r="C172" t="str">
            <v>Tegel Warna 20 x 20</v>
          </cell>
          <cell r="D172" t="str">
            <v>bh</v>
          </cell>
          <cell r="E172">
            <v>1000</v>
          </cell>
        </row>
        <row r="173">
          <cell r="A173" t="str">
            <v>BL06</v>
          </cell>
          <cell r="B173">
            <v>152</v>
          </cell>
          <cell r="C173" t="str">
            <v>Plin Tegel Warna 10 x 20</v>
          </cell>
          <cell r="D173" t="str">
            <v>bh</v>
          </cell>
          <cell r="E173">
            <v>850</v>
          </cell>
        </row>
        <row r="174">
          <cell r="A174" t="str">
            <v>BL07</v>
          </cell>
          <cell r="B174">
            <v>153</v>
          </cell>
          <cell r="C174" t="str">
            <v>Tegel Warna 30 x 30</v>
          </cell>
          <cell r="D174" t="str">
            <v>bh</v>
          </cell>
          <cell r="E174">
            <v>1450</v>
          </cell>
        </row>
        <row r="175">
          <cell r="A175" t="str">
            <v>BL08</v>
          </cell>
          <cell r="B175">
            <v>154</v>
          </cell>
          <cell r="C175" t="str">
            <v>Plin Tegel Warna 15 x 30</v>
          </cell>
          <cell r="D175" t="str">
            <v>bh</v>
          </cell>
          <cell r="E175">
            <v>1250</v>
          </cell>
        </row>
        <row r="176">
          <cell r="A176" t="str">
            <v>BL09</v>
          </cell>
          <cell r="B176">
            <v>155</v>
          </cell>
          <cell r="C176" t="str">
            <v>Tegel Wafel PC 20 x 20</v>
          </cell>
          <cell r="D176" t="str">
            <v>bh</v>
          </cell>
          <cell r="E176">
            <v>850</v>
          </cell>
        </row>
        <row r="177">
          <cell r="A177" t="str">
            <v>BL10</v>
          </cell>
          <cell r="B177">
            <v>156</v>
          </cell>
          <cell r="C177" t="str">
            <v>Tegel Wafel Warna 20 x 20</v>
          </cell>
          <cell r="D177" t="str">
            <v>bh</v>
          </cell>
          <cell r="E177">
            <v>1150</v>
          </cell>
        </row>
        <row r="178">
          <cell r="A178" t="str">
            <v>BL11</v>
          </cell>
          <cell r="B178">
            <v>157</v>
          </cell>
          <cell r="C178" t="str">
            <v>Tegel Badak PC 30 x 30</v>
          </cell>
          <cell r="D178" t="str">
            <v>bh</v>
          </cell>
          <cell r="E178">
            <v>1150</v>
          </cell>
        </row>
        <row r="179">
          <cell r="A179" t="str">
            <v>BL12</v>
          </cell>
          <cell r="B179">
            <v>158</v>
          </cell>
          <cell r="C179" t="str">
            <v>Poslin 11 x 11 Warna Standar DN</v>
          </cell>
          <cell r="D179" t="str">
            <v>m²</v>
          </cell>
          <cell r="E179">
            <v>25500</v>
          </cell>
        </row>
        <row r="180">
          <cell r="A180" t="str">
            <v>BL13</v>
          </cell>
          <cell r="B180">
            <v>159</v>
          </cell>
          <cell r="C180" t="str">
            <v>Poslin 11 x 11 Warna Khusus DN</v>
          </cell>
          <cell r="D180" t="str">
            <v>m²</v>
          </cell>
          <cell r="E180">
            <v>29500</v>
          </cell>
        </row>
        <row r="181">
          <cell r="A181" t="str">
            <v>BL14</v>
          </cell>
          <cell r="B181">
            <v>160</v>
          </cell>
          <cell r="C181" t="str">
            <v>Keramik 10 x 20 dan 20 x 20 KW I DN Putih  / Polos</v>
          </cell>
          <cell r="D181" t="str">
            <v>m²</v>
          </cell>
          <cell r="E181">
            <v>27000</v>
          </cell>
        </row>
        <row r="182">
          <cell r="A182" t="str">
            <v>BL15</v>
          </cell>
          <cell r="B182">
            <v>161</v>
          </cell>
          <cell r="C182" t="str">
            <v>Keramik 10 x 20 KW I DN Corak / Warna / Anti Slip</v>
          </cell>
          <cell r="D182" t="str">
            <v>m²</v>
          </cell>
          <cell r="E182">
            <v>28000</v>
          </cell>
        </row>
        <row r="183">
          <cell r="A183" t="str">
            <v>BL16</v>
          </cell>
          <cell r="B183">
            <v>162</v>
          </cell>
          <cell r="C183" t="str">
            <v>Keramik 20 x 20 (KM) KW I DN Corak / Warna / Anti Slip</v>
          </cell>
          <cell r="D183" t="str">
            <v>m²</v>
          </cell>
          <cell r="E183">
            <v>31500</v>
          </cell>
        </row>
        <row r="184">
          <cell r="A184" t="str">
            <v>BL17</v>
          </cell>
          <cell r="B184">
            <v>163</v>
          </cell>
          <cell r="C184" t="str">
            <v xml:space="preserve">Keramik 20 x 20 (KM) KWI DN Putih Polos </v>
          </cell>
          <cell r="D184" t="str">
            <v>m²</v>
          </cell>
          <cell r="E184">
            <v>27500</v>
          </cell>
        </row>
        <row r="185">
          <cell r="A185" t="str">
            <v>BL18</v>
          </cell>
          <cell r="B185">
            <v>164</v>
          </cell>
          <cell r="C185" t="str">
            <v xml:space="preserve">Keramik 20 x 25 Dinding KM KWI DN Corak </v>
          </cell>
          <cell r="D185" t="str">
            <v>m²</v>
          </cell>
          <cell r="E185">
            <v>33500</v>
          </cell>
        </row>
        <row r="186">
          <cell r="A186" t="str">
            <v>BL19</v>
          </cell>
          <cell r="B186">
            <v>165</v>
          </cell>
          <cell r="C186" t="str">
            <v>Keramik 30 x 30 KW I DN putih polos</v>
          </cell>
          <cell r="D186" t="str">
            <v>m²</v>
          </cell>
          <cell r="E186">
            <v>24000</v>
          </cell>
        </row>
        <row r="187">
          <cell r="A187" t="str">
            <v>BL20</v>
          </cell>
          <cell r="B187">
            <v>166</v>
          </cell>
          <cell r="C187" t="str">
            <v>Keramik 30 x 30 KW I DN Warna/Corak ( ANTI SLIP )</v>
          </cell>
          <cell r="D187" t="str">
            <v>m²</v>
          </cell>
          <cell r="E187">
            <v>35000</v>
          </cell>
        </row>
        <row r="188">
          <cell r="A188" t="str">
            <v>BL21</v>
          </cell>
          <cell r="B188">
            <v>167</v>
          </cell>
          <cell r="C188" t="str">
            <v>Vinyl Lantai standar</v>
          </cell>
          <cell r="D188" t="str">
            <v>m²</v>
          </cell>
          <cell r="E188">
            <v>15500</v>
          </cell>
        </row>
        <row r="189">
          <cell r="A189" t="str">
            <v>BL22</v>
          </cell>
          <cell r="B189">
            <v>168</v>
          </cell>
          <cell r="C189" t="str">
            <v>Karpet Kelas Baik LN</v>
          </cell>
          <cell r="D189" t="str">
            <v>m²</v>
          </cell>
          <cell r="E189">
            <v>445700</v>
          </cell>
        </row>
        <row r="190">
          <cell r="A190" t="str">
            <v>BL23</v>
          </cell>
          <cell r="B190">
            <v>169</v>
          </cell>
          <cell r="C190" t="str">
            <v>Karpet Kelas Sedang LN</v>
          </cell>
          <cell r="D190" t="str">
            <v>m²</v>
          </cell>
          <cell r="E190">
            <v>174000</v>
          </cell>
        </row>
        <row r="191">
          <cell r="A191" t="str">
            <v>BL24</v>
          </cell>
          <cell r="B191">
            <v>170</v>
          </cell>
          <cell r="C191" t="str">
            <v>Stairnosing keramik 10/20</v>
          </cell>
          <cell r="D191" t="str">
            <v>bh</v>
          </cell>
          <cell r="E191">
            <v>6000</v>
          </cell>
        </row>
        <row r="192">
          <cell r="A192" t="str">
            <v>BL25</v>
          </cell>
          <cell r="B192">
            <v>171</v>
          </cell>
          <cell r="C192" t="str">
            <v>Stairnosing fiber</v>
          </cell>
          <cell r="D192" t="str">
            <v>m'</v>
          </cell>
          <cell r="E192">
            <v>10750</v>
          </cell>
        </row>
        <row r="193">
          <cell r="A193" t="str">
            <v>BL26</v>
          </cell>
          <cell r="B193">
            <v>172</v>
          </cell>
          <cell r="C193" t="str">
            <v>Taraso Kerang 30 x 30</v>
          </cell>
          <cell r="D193" t="str">
            <v>m²</v>
          </cell>
          <cell r="E193">
            <v>16000</v>
          </cell>
        </row>
        <row r="194">
          <cell r="A194" t="str">
            <v>BL27</v>
          </cell>
          <cell r="B194">
            <v>173</v>
          </cell>
          <cell r="C194" t="str">
            <v>Plin Taraso 10 x 30</v>
          </cell>
          <cell r="D194" t="str">
            <v>bh</v>
          </cell>
          <cell r="E194">
            <v>3700</v>
          </cell>
        </row>
        <row r="195">
          <cell r="A195" t="str">
            <v>BL28</v>
          </cell>
          <cell r="B195">
            <v>174</v>
          </cell>
          <cell r="C195" t="str">
            <v xml:space="preserve">Granit Alam LN Ukuran Besar </v>
          </cell>
          <cell r="D195" t="str">
            <v>m²</v>
          </cell>
          <cell r="E195">
            <v>1170000</v>
          </cell>
        </row>
        <row r="196">
          <cell r="A196" t="str">
            <v>BL29</v>
          </cell>
          <cell r="B196">
            <v>175</v>
          </cell>
          <cell r="C196" t="str">
            <v xml:space="preserve">Granit Alam LN Ukuran Kecil </v>
          </cell>
          <cell r="D196" t="str">
            <v>m²</v>
          </cell>
          <cell r="E196">
            <v>900000</v>
          </cell>
        </row>
        <row r="197">
          <cell r="A197" t="str">
            <v>BL30</v>
          </cell>
          <cell r="B197">
            <v>176</v>
          </cell>
          <cell r="C197" t="str">
            <v xml:space="preserve">Granit Alam DN Ukuran Besar </v>
          </cell>
          <cell r="D197" t="str">
            <v>m²</v>
          </cell>
          <cell r="E197">
            <v>790000</v>
          </cell>
        </row>
        <row r="198">
          <cell r="A198" t="str">
            <v>BL31</v>
          </cell>
          <cell r="B198">
            <v>177</v>
          </cell>
          <cell r="C198" t="str">
            <v>Granit Alam DN Ukuran Kecil</v>
          </cell>
          <cell r="D198" t="str">
            <v>m²</v>
          </cell>
          <cell r="E198">
            <v>731000</v>
          </cell>
        </row>
        <row r="199">
          <cell r="A199" t="str">
            <v>BL32</v>
          </cell>
          <cell r="B199">
            <v>178</v>
          </cell>
          <cell r="C199" t="str">
            <v>Granito Tile Essenza Ukuran 40 x 40 Polis</v>
          </cell>
          <cell r="D199" t="str">
            <v>m²</v>
          </cell>
          <cell r="E199">
            <v>132500</v>
          </cell>
        </row>
        <row r="200">
          <cell r="A200" t="str">
            <v>BL33</v>
          </cell>
          <cell r="B200">
            <v>179</v>
          </cell>
          <cell r="C200" t="str">
            <v>Granito Tile Essenza Ukuran 40 x 40 Unpolis</v>
          </cell>
          <cell r="D200" t="str">
            <v>m²</v>
          </cell>
          <cell r="E200">
            <v>90000</v>
          </cell>
        </row>
        <row r="201">
          <cell r="A201" t="str">
            <v>BL34</v>
          </cell>
          <cell r="B201">
            <v>180</v>
          </cell>
          <cell r="C201" t="str">
            <v xml:space="preserve">Marmer Alam  Lampung Ukuran Besar </v>
          </cell>
          <cell r="D201" t="str">
            <v>m²</v>
          </cell>
          <cell r="E201">
            <v>350000</v>
          </cell>
        </row>
        <row r="202">
          <cell r="A202" t="str">
            <v>BL35</v>
          </cell>
          <cell r="B202">
            <v>181</v>
          </cell>
          <cell r="C202" t="str">
            <v>Marmer Alam  Lampung Ukuran Kecil</v>
          </cell>
          <cell r="D202" t="str">
            <v>m²</v>
          </cell>
          <cell r="E202">
            <v>207000</v>
          </cell>
        </row>
        <row r="203">
          <cell r="A203" t="str">
            <v>BL36</v>
          </cell>
          <cell r="B203">
            <v>182</v>
          </cell>
          <cell r="C203" t="str">
            <v xml:space="preserve">Marmer Alam Citatah Ukuran Besar </v>
          </cell>
          <cell r="D203" t="str">
            <v>m²</v>
          </cell>
          <cell r="E203">
            <v>200000</v>
          </cell>
        </row>
        <row r="204">
          <cell r="A204" t="str">
            <v>BL37</v>
          </cell>
          <cell r="B204">
            <v>183</v>
          </cell>
          <cell r="C204" t="str">
            <v>Marmer Alam Citatah Ukuran Kecil</v>
          </cell>
          <cell r="D204" t="str">
            <v>m²</v>
          </cell>
          <cell r="E204">
            <v>100000</v>
          </cell>
        </row>
        <row r="205">
          <cell r="A205" t="str">
            <v>BL38</v>
          </cell>
          <cell r="B205">
            <v>184</v>
          </cell>
          <cell r="C205" t="str">
            <v>Marmer Sintetis</v>
          </cell>
          <cell r="D205" t="str">
            <v>m²</v>
          </cell>
          <cell r="E205">
            <v>75000</v>
          </cell>
        </row>
        <row r="206">
          <cell r="A206" t="str">
            <v>BL39</v>
          </cell>
          <cell r="B206">
            <v>185</v>
          </cell>
          <cell r="C206" t="str">
            <v>Granito Tile Essenza 60 x 60  Polis</v>
          </cell>
          <cell r="D206" t="str">
            <v>m²</v>
          </cell>
          <cell r="E206">
            <v>180000</v>
          </cell>
        </row>
        <row r="207">
          <cell r="A207" t="str">
            <v>BL40</v>
          </cell>
          <cell r="B207">
            <v>186</v>
          </cell>
          <cell r="C207" t="str">
            <v>Granito Tile Essenza 60 x 60  Unpolis</v>
          </cell>
          <cell r="D207" t="str">
            <v>m²</v>
          </cell>
          <cell r="E207">
            <v>150000</v>
          </cell>
        </row>
        <row r="208">
          <cell r="A208" t="str">
            <v>BL41</v>
          </cell>
          <cell r="B208">
            <v>187</v>
          </cell>
          <cell r="C208" t="str">
            <v xml:space="preserve">Bata Karawang </v>
          </cell>
          <cell r="D208" t="str">
            <v>bh</v>
          </cell>
          <cell r="E208">
            <v>5000</v>
          </cell>
        </row>
        <row r="209">
          <cell r="A209" t="str">
            <v>BL42</v>
          </cell>
          <cell r="B209">
            <v>188</v>
          </cell>
          <cell r="C209" t="str">
            <v>Campuran untuk Kedap Air (AM)</v>
          </cell>
          <cell r="D209" t="str">
            <v>ltr</v>
          </cell>
          <cell r="E209">
            <v>18000</v>
          </cell>
        </row>
        <row r="211">
          <cell r="C211" t="str">
            <v>G. BAHAN SALURAN AIR KOTOR / BERSIH</v>
          </cell>
        </row>
        <row r="212">
          <cell r="A212" t="str">
            <v>BN01</v>
          </cell>
          <cell r="B212">
            <v>189</v>
          </cell>
          <cell r="C212" t="str">
            <v>Grafel U 20 cm'</v>
          </cell>
          <cell r="D212" t="str">
            <v>m1</v>
          </cell>
          <cell r="E212">
            <v>14500</v>
          </cell>
        </row>
        <row r="213">
          <cell r="A213" t="str">
            <v>BN02</v>
          </cell>
          <cell r="B213">
            <v>190</v>
          </cell>
          <cell r="C213" t="str">
            <v>Grafel U 30 cm'</v>
          </cell>
          <cell r="D213" t="str">
            <v>m1</v>
          </cell>
          <cell r="E213">
            <v>19750</v>
          </cell>
        </row>
        <row r="214">
          <cell r="A214" t="str">
            <v>BN03</v>
          </cell>
          <cell r="B214">
            <v>191</v>
          </cell>
          <cell r="C214" t="str">
            <v>Grafel U 40 cm'</v>
          </cell>
          <cell r="D214" t="str">
            <v>m1</v>
          </cell>
          <cell r="E214">
            <v>24000</v>
          </cell>
        </row>
        <row r="215">
          <cell r="A215" t="str">
            <v>BN04</v>
          </cell>
          <cell r="B215">
            <v>192</v>
          </cell>
          <cell r="C215" t="str">
            <v>Buis Beton Ø 20 cm ( 1 m' )</v>
          </cell>
          <cell r="D215" t="str">
            <v>m1</v>
          </cell>
          <cell r="E215">
            <v>23500</v>
          </cell>
        </row>
        <row r="216">
          <cell r="A216" t="str">
            <v>BN05</v>
          </cell>
          <cell r="B216">
            <v>193</v>
          </cell>
          <cell r="C216" t="str">
            <v>Buis Beton Ø 30 cm ( 1 m' )</v>
          </cell>
          <cell r="D216" t="str">
            <v>m1</v>
          </cell>
          <cell r="E216">
            <v>31500</v>
          </cell>
        </row>
        <row r="217">
          <cell r="A217" t="str">
            <v>BN06</v>
          </cell>
          <cell r="B217">
            <v>194</v>
          </cell>
          <cell r="C217" t="str">
            <v>Buis Beton Ø 40 cm ( 1 m' )</v>
          </cell>
          <cell r="D217" t="str">
            <v>m1</v>
          </cell>
          <cell r="E217">
            <v>42000</v>
          </cell>
        </row>
        <row r="218">
          <cell r="A218" t="str">
            <v>BN07</v>
          </cell>
          <cell r="B218">
            <v>195</v>
          </cell>
          <cell r="C218" t="str">
            <v>Buis Beton Ø 50 cm ( 1 m' )</v>
          </cell>
          <cell r="D218" t="str">
            <v>stk</v>
          </cell>
          <cell r="E218">
            <v>55000</v>
          </cell>
        </row>
        <row r="219">
          <cell r="A219" t="str">
            <v>BN08</v>
          </cell>
          <cell r="B219">
            <v>196</v>
          </cell>
          <cell r="C219" t="str">
            <v>Buis Beton Ø 60 cm ( 1 m' )</v>
          </cell>
          <cell r="D219" t="str">
            <v>stk</v>
          </cell>
          <cell r="E219">
            <v>71000</v>
          </cell>
        </row>
        <row r="220">
          <cell r="A220" t="str">
            <v>BN09</v>
          </cell>
          <cell r="B220">
            <v>197</v>
          </cell>
          <cell r="C220" t="str">
            <v>Buis Beton Ø 100 cm ( 0.50 m )</v>
          </cell>
          <cell r="D220" t="str">
            <v>stk</v>
          </cell>
          <cell r="E220">
            <v>89500</v>
          </cell>
        </row>
        <row r="221">
          <cell r="A221" t="str">
            <v>BN10</v>
          </cell>
          <cell r="B221">
            <v>198</v>
          </cell>
          <cell r="C221" t="str">
            <v>Buis Beton Ø 80 cm ( 0.50 m )</v>
          </cell>
          <cell r="D221" t="str">
            <v>stk</v>
          </cell>
          <cell r="E221">
            <v>72500</v>
          </cell>
        </row>
        <row r="222">
          <cell r="A222" t="str">
            <v>BN11</v>
          </cell>
          <cell r="B222">
            <v>199</v>
          </cell>
          <cell r="C222" t="str">
            <v>Buis Tanah Ø 10 cm ( 0.50 m )</v>
          </cell>
          <cell r="D222" t="str">
            <v>stk</v>
          </cell>
          <cell r="E222">
            <v>4100</v>
          </cell>
        </row>
        <row r="223">
          <cell r="A223" t="str">
            <v>BN12</v>
          </cell>
          <cell r="B223">
            <v>200</v>
          </cell>
          <cell r="C223" t="str">
            <v>Buis Tanah Ø 15 cm ( 0.50 m )</v>
          </cell>
          <cell r="D223" t="str">
            <v>stk</v>
          </cell>
          <cell r="E223">
            <v>5750</v>
          </cell>
        </row>
        <row r="224">
          <cell r="A224" t="str">
            <v>BN13</v>
          </cell>
          <cell r="B224">
            <v>201</v>
          </cell>
          <cell r="C224" t="str">
            <v>Buis Tanah Ø 20 cm ( 0.50 m )</v>
          </cell>
          <cell r="D224" t="str">
            <v>stk</v>
          </cell>
          <cell r="E224">
            <v>6750</v>
          </cell>
        </row>
        <row r="225">
          <cell r="A225" t="str">
            <v>BN14</v>
          </cell>
          <cell r="B225">
            <v>202</v>
          </cell>
          <cell r="C225" t="str">
            <v>Buis Tanah Ø 25 cm ( 0.50 m )</v>
          </cell>
          <cell r="D225" t="str">
            <v>stk</v>
          </cell>
          <cell r="E225">
            <v>9000</v>
          </cell>
        </row>
        <row r="226">
          <cell r="A226" t="str">
            <v>BN15</v>
          </cell>
          <cell r="B226">
            <v>203</v>
          </cell>
          <cell r="C226" t="str">
            <v>Injuk</v>
          </cell>
          <cell r="D226" t="str">
            <v>kg</v>
          </cell>
          <cell r="E226">
            <v>2500</v>
          </cell>
        </row>
        <row r="228">
          <cell r="C228" t="str">
            <v>H. BAHAN LOGAM DAN BAHAN JADINYA</v>
          </cell>
        </row>
        <row r="229">
          <cell r="A229" t="str">
            <v>BP01</v>
          </cell>
          <cell r="B229">
            <v>204</v>
          </cell>
          <cell r="C229" t="str">
            <v>Besi Beton U-24 Rata - Rata</v>
          </cell>
          <cell r="D229" t="str">
            <v>kg</v>
          </cell>
          <cell r="E229">
            <v>3550</v>
          </cell>
        </row>
        <row r="230">
          <cell r="A230" t="str">
            <v>BP02</v>
          </cell>
          <cell r="B230">
            <v>205</v>
          </cell>
          <cell r="C230" t="str">
            <v>Besi Beton U-39 / U-32 Rata - Rata</v>
          </cell>
          <cell r="D230" t="str">
            <v>kg</v>
          </cell>
          <cell r="E230">
            <v>3850</v>
          </cell>
        </row>
        <row r="231">
          <cell r="A231" t="str">
            <v>BP03</v>
          </cell>
          <cell r="B231">
            <v>206</v>
          </cell>
          <cell r="C231" t="str">
            <v>Pagar BRC Lengkap Tiang ( Tanpa Pondasi )</v>
          </cell>
          <cell r="D231" t="str">
            <v>m²</v>
          </cell>
          <cell r="E231">
            <v>62500</v>
          </cell>
        </row>
        <row r="232">
          <cell r="A232" t="str">
            <v>BP04</v>
          </cell>
          <cell r="B232">
            <v>207</v>
          </cell>
          <cell r="C232" t="str">
            <v>Bondek</v>
          </cell>
          <cell r="D232" t="str">
            <v>m²</v>
          </cell>
          <cell r="E232">
            <v>81000</v>
          </cell>
        </row>
        <row r="233">
          <cell r="A233" t="str">
            <v>BP05</v>
          </cell>
          <cell r="B233">
            <v>208</v>
          </cell>
          <cell r="C233" t="str">
            <v>IWF Ex DN SII</v>
          </cell>
          <cell r="D233" t="str">
            <v>kg</v>
          </cell>
          <cell r="E233">
            <v>4100</v>
          </cell>
        </row>
        <row r="234">
          <cell r="A234" t="str">
            <v>BP06</v>
          </cell>
          <cell r="B234">
            <v>209</v>
          </cell>
          <cell r="C234" t="str">
            <v>IWF Ex Jepang</v>
          </cell>
          <cell r="D234" t="str">
            <v>kg</v>
          </cell>
          <cell r="E234">
            <v>4400</v>
          </cell>
        </row>
        <row r="235">
          <cell r="A235" t="str">
            <v>BP07</v>
          </cell>
          <cell r="B235">
            <v>210</v>
          </cell>
          <cell r="C235" t="str">
            <v>Besi Profil DN SII</v>
          </cell>
          <cell r="D235" t="str">
            <v>kg</v>
          </cell>
          <cell r="E235">
            <v>3700</v>
          </cell>
        </row>
        <row r="236">
          <cell r="A236" t="str">
            <v>BP08</v>
          </cell>
          <cell r="B236">
            <v>211</v>
          </cell>
          <cell r="C236" t="str">
            <v>Besi Profil Ex LN</v>
          </cell>
          <cell r="D236" t="str">
            <v>kg</v>
          </cell>
          <cell r="E236">
            <v>3850</v>
          </cell>
        </row>
        <row r="237">
          <cell r="A237" t="str">
            <v>BP09</v>
          </cell>
          <cell r="B237">
            <v>212</v>
          </cell>
          <cell r="C237" t="str">
            <v>Besi C Lip Chanel</v>
          </cell>
          <cell r="D237" t="str">
            <v>kg</v>
          </cell>
          <cell r="E237">
            <v>3500</v>
          </cell>
        </row>
        <row r="238">
          <cell r="A238" t="str">
            <v>BP10</v>
          </cell>
          <cell r="B238">
            <v>213</v>
          </cell>
          <cell r="C238" t="str">
            <v>Ongkos Galfanis Besi</v>
          </cell>
          <cell r="D238" t="str">
            <v>kg</v>
          </cell>
          <cell r="E238">
            <v>3350</v>
          </cell>
        </row>
        <row r="239">
          <cell r="A239" t="str">
            <v>BP11</v>
          </cell>
          <cell r="B239">
            <v>214</v>
          </cell>
          <cell r="C239" t="str">
            <v>Kawat Beton</v>
          </cell>
          <cell r="D239" t="str">
            <v>kg</v>
          </cell>
          <cell r="E239">
            <v>7500</v>
          </cell>
        </row>
        <row r="240">
          <cell r="A240" t="str">
            <v>BP12</v>
          </cell>
          <cell r="B240">
            <v>215</v>
          </cell>
          <cell r="C240" t="str">
            <v>Kawat Duri</v>
          </cell>
          <cell r="D240" t="str">
            <v>m1</v>
          </cell>
          <cell r="E240">
            <v>1800</v>
          </cell>
        </row>
        <row r="241">
          <cell r="A241" t="str">
            <v>BP13</v>
          </cell>
          <cell r="B241">
            <v>216</v>
          </cell>
          <cell r="C241" t="str">
            <v xml:space="preserve">Kawat Pengikat </v>
          </cell>
          <cell r="D241" t="str">
            <v>m1</v>
          </cell>
          <cell r="E241">
            <v>550</v>
          </cell>
        </row>
        <row r="242">
          <cell r="A242" t="str">
            <v>BP14</v>
          </cell>
          <cell r="B242">
            <v>217</v>
          </cell>
          <cell r="C242" t="str">
            <v>Kawat Bronjong 4 mm</v>
          </cell>
          <cell r="D242" t="str">
            <v>kg</v>
          </cell>
          <cell r="E242">
            <v>12000</v>
          </cell>
        </row>
        <row r="243">
          <cell r="A243" t="str">
            <v>BP15</v>
          </cell>
          <cell r="B243">
            <v>218</v>
          </cell>
          <cell r="C243" t="str">
            <v>Kawat Tembaga</v>
          </cell>
          <cell r="D243" t="str">
            <v>kg</v>
          </cell>
          <cell r="E243">
            <v>15100</v>
          </cell>
        </row>
        <row r="244">
          <cell r="A244" t="str">
            <v>BP16</v>
          </cell>
          <cell r="B244">
            <v>219</v>
          </cell>
          <cell r="C244" t="str">
            <v>Ram Nyamuk Hijau</v>
          </cell>
          <cell r="D244" t="str">
            <v>m²</v>
          </cell>
          <cell r="E244">
            <v>8000</v>
          </cell>
        </row>
        <row r="245">
          <cell r="A245" t="str">
            <v>BP17</v>
          </cell>
          <cell r="B245">
            <v>220</v>
          </cell>
          <cell r="C245" t="str">
            <v>Ram Kawat 1 x 1 cm</v>
          </cell>
          <cell r="D245" t="str">
            <v>m²</v>
          </cell>
          <cell r="E245">
            <v>7000</v>
          </cell>
        </row>
        <row r="246">
          <cell r="A246" t="str">
            <v>BP18</v>
          </cell>
          <cell r="B246">
            <v>221</v>
          </cell>
          <cell r="C246" t="str">
            <v>Ram Ayam</v>
          </cell>
          <cell r="D246" t="str">
            <v>m²</v>
          </cell>
          <cell r="E246">
            <v>6000</v>
          </cell>
        </row>
        <row r="247">
          <cell r="A247" t="str">
            <v>BP19</v>
          </cell>
          <cell r="B247">
            <v>222</v>
          </cell>
          <cell r="C247" t="str">
            <v xml:space="preserve">Kawat Kasa 1 x 1 cm ( Putih ) </v>
          </cell>
          <cell r="D247" t="str">
            <v>m²</v>
          </cell>
          <cell r="E247">
            <v>12500</v>
          </cell>
        </row>
        <row r="248">
          <cell r="A248" t="str">
            <v>BP20</v>
          </cell>
          <cell r="B248">
            <v>223</v>
          </cell>
          <cell r="C248" t="str">
            <v>Kawat Harmonika 4 cm</v>
          </cell>
          <cell r="D248" t="str">
            <v>m²</v>
          </cell>
          <cell r="E248">
            <v>13000</v>
          </cell>
        </row>
        <row r="249">
          <cell r="A249" t="str">
            <v>BP21</v>
          </cell>
          <cell r="B249">
            <v>224</v>
          </cell>
          <cell r="C249" t="str">
            <v>Kawat Harmonika 2 cm</v>
          </cell>
          <cell r="D249" t="str">
            <v>m²</v>
          </cell>
          <cell r="E249">
            <v>12500</v>
          </cell>
        </row>
        <row r="250">
          <cell r="A250" t="str">
            <v>BP22</v>
          </cell>
          <cell r="B250">
            <v>225</v>
          </cell>
          <cell r="C250" t="str">
            <v>Kawat Las Listrik</v>
          </cell>
          <cell r="D250" t="str">
            <v>kg</v>
          </cell>
          <cell r="E250">
            <v>9500</v>
          </cell>
        </row>
        <row r="251">
          <cell r="A251" t="str">
            <v>BP23</v>
          </cell>
          <cell r="B251">
            <v>226</v>
          </cell>
          <cell r="C251" t="str">
            <v>Wiremesh M8</v>
          </cell>
          <cell r="D251" t="str">
            <v>m²</v>
          </cell>
          <cell r="E251">
            <v>22900</v>
          </cell>
        </row>
        <row r="252">
          <cell r="A252" t="str">
            <v>BP24</v>
          </cell>
          <cell r="B252">
            <v>227</v>
          </cell>
          <cell r="C252" t="str">
            <v>Wiremesh M6</v>
          </cell>
          <cell r="D252" t="str">
            <v>m²</v>
          </cell>
          <cell r="E252">
            <v>18700</v>
          </cell>
        </row>
        <row r="253">
          <cell r="A253" t="str">
            <v>BP25</v>
          </cell>
          <cell r="B253">
            <v>228</v>
          </cell>
          <cell r="C253" t="str">
            <v>Timah</v>
          </cell>
          <cell r="D253" t="str">
            <v>kg</v>
          </cell>
          <cell r="E253">
            <v>23500</v>
          </cell>
        </row>
        <row r="254">
          <cell r="A254" t="str">
            <v>BP26</v>
          </cell>
          <cell r="B254">
            <v>229</v>
          </cell>
          <cell r="C254" t="str">
            <v>Timah Hitam</v>
          </cell>
          <cell r="D254" t="str">
            <v>kg</v>
          </cell>
          <cell r="E254">
            <v>15000</v>
          </cell>
        </row>
        <row r="255">
          <cell r="A255" t="str">
            <v>BP27</v>
          </cell>
          <cell r="B255">
            <v>230</v>
          </cell>
          <cell r="C255" t="str">
            <v>Ram Nyamuk Aluminium</v>
          </cell>
          <cell r="D255" t="str">
            <v>m²</v>
          </cell>
          <cell r="E255">
            <v>6500</v>
          </cell>
        </row>
        <row r="256">
          <cell r="A256" t="str">
            <v>BP28</v>
          </cell>
          <cell r="B256">
            <v>231</v>
          </cell>
          <cell r="C256" t="str">
            <v xml:space="preserve">Plat Srip Ø 2 x 30 mm ( 6 m1) </v>
          </cell>
          <cell r="D256" t="str">
            <v>bt</v>
          </cell>
          <cell r="E256">
            <v>15000</v>
          </cell>
        </row>
        <row r="257">
          <cell r="A257" t="str">
            <v>BP29</v>
          </cell>
          <cell r="B257">
            <v>232</v>
          </cell>
          <cell r="C257" t="str">
            <v xml:space="preserve">Plat Srip Ø 3 x 30 mm ( 6 m1) </v>
          </cell>
          <cell r="D257" t="str">
            <v>bt</v>
          </cell>
          <cell r="E257">
            <v>19500</v>
          </cell>
        </row>
        <row r="258">
          <cell r="A258" t="str">
            <v>BP30</v>
          </cell>
          <cell r="B258">
            <v>233</v>
          </cell>
          <cell r="C258" t="str">
            <v>Plat Alumunium 0.2 mm</v>
          </cell>
          <cell r="D258" t="str">
            <v>m²</v>
          </cell>
          <cell r="E258">
            <v>45600</v>
          </cell>
        </row>
        <row r="259">
          <cell r="A259" t="str">
            <v>BP31</v>
          </cell>
          <cell r="B259">
            <v>234</v>
          </cell>
          <cell r="C259" t="str">
            <v>Plat Alumunium 0.3 mm</v>
          </cell>
          <cell r="D259" t="str">
            <v>m²</v>
          </cell>
          <cell r="E259">
            <v>59300</v>
          </cell>
        </row>
        <row r="260">
          <cell r="A260" t="str">
            <v>BP32</v>
          </cell>
          <cell r="B260">
            <v>235</v>
          </cell>
          <cell r="C260" t="str">
            <v>Plat Alumunium 0.4 mm</v>
          </cell>
          <cell r="D260" t="str">
            <v>m²</v>
          </cell>
          <cell r="E260">
            <v>71000</v>
          </cell>
        </row>
        <row r="261">
          <cell r="A261" t="str">
            <v>BP33</v>
          </cell>
          <cell r="B261">
            <v>236</v>
          </cell>
          <cell r="C261" t="str">
            <v>Plat Alumunium 0.5 mm</v>
          </cell>
          <cell r="D261" t="str">
            <v>m²</v>
          </cell>
          <cell r="E261">
            <v>80000</v>
          </cell>
        </row>
        <row r="262">
          <cell r="A262" t="str">
            <v>BP34</v>
          </cell>
          <cell r="B262">
            <v>237</v>
          </cell>
          <cell r="C262" t="str">
            <v>Plat Alumunium 0.6 mm</v>
          </cell>
          <cell r="D262" t="str">
            <v>m²</v>
          </cell>
          <cell r="E262">
            <v>92600</v>
          </cell>
        </row>
        <row r="263">
          <cell r="A263" t="str">
            <v>BP35</v>
          </cell>
          <cell r="B263">
            <v>238</v>
          </cell>
          <cell r="C263" t="str">
            <v>Plat Alumunium 0.1 mm</v>
          </cell>
          <cell r="D263" t="str">
            <v>m²</v>
          </cell>
          <cell r="E263">
            <v>24600</v>
          </cell>
        </row>
        <row r="264">
          <cell r="A264" t="str">
            <v>BP36</v>
          </cell>
          <cell r="B264">
            <v>239</v>
          </cell>
          <cell r="C264" t="str">
            <v>Kusen Alumunium Natural 1.3 mm  t=1,3 mm ( 4 " )</v>
          </cell>
          <cell r="D264" t="str">
            <v>m1</v>
          </cell>
          <cell r="E264">
            <v>30000</v>
          </cell>
        </row>
        <row r="265">
          <cell r="A265" t="str">
            <v>BP37</v>
          </cell>
          <cell r="B265">
            <v>240</v>
          </cell>
          <cell r="C265" t="str">
            <v>Kusen Alumunium Warna 1.3 mm t=1,3 mm ( 4 " )</v>
          </cell>
          <cell r="D265" t="str">
            <v>m1</v>
          </cell>
          <cell r="E265">
            <v>47500</v>
          </cell>
        </row>
        <row r="266">
          <cell r="A266" t="str">
            <v>BP38</v>
          </cell>
          <cell r="B266">
            <v>241</v>
          </cell>
          <cell r="C266" t="str">
            <v xml:space="preserve">Daun Jendela Alumunium Natural ( Tanpa Kaca dan accessories ) </v>
          </cell>
          <cell r="D266" t="str">
            <v>m²</v>
          </cell>
          <cell r="E266">
            <v>10850</v>
          </cell>
        </row>
        <row r="267">
          <cell r="A267" t="str">
            <v>BP39</v>
          </cell>
          <cell r="B267">
            <v>242</v>
          </cell>
          <cell r="C267" t="str">
            <v>Daun Jendela Alumunium Warna ( Tanpa Kaca dan accessories )</v>
          </cell>
          <cell r="D267" t="str">
            <v>m²</v>
          </cell>
          <cell r="E267">
            <v>16000</v>
          </cell>
        </row>
        <row r="268">
          <cell r="A268" t="str">
            <v>BP40</v>
          </cell>
          <cell r="B268">
            <v>243</v>
          </cell>
          <cell r="C268" t="str">
            <v>Daun Pintu Alumunium Natural ( tanpa kaca dan accessories )</v>
          </cell>
          <cell r="D268" t="str">
            <v>m²</v>
          </cell>
          <cell r="E268">
            <v>39000</v>
          </cell>
        </row>
        <row r="269">
          <cell r="A269" t="str">
            <v>BP41</v>
          </cell>
          <cell r="B269">
            <v>244</v>
          </cell>
          <cell r="C269" t="str">
            <v>Daun Pintu Alumunium Warna ( tanpa kaca dan accessories )</v>
          </cell>
          <cell r="D269" t="str">
            <v>m²</v>
          </cell>
          <cell r="E269">
            <v>52000</v>
          </cell>
        </row>
        <row r="270">
          <cell r="A270" t="str">
            <v>BP42</v>
          </cell>
          <cell r="B270">
            <v>245</v>
          </cell>
          <cell r="C270" t="str">
            <v xml:space="preserve">Handle Alumunium ( Tarikan Pintu Alumunium ) </v>
          </cell>
          <cell r="D270" t="str">
            <v>bh</v>
          </cell>
          <cell r="E270">
            <v>50000</v>
          </cell>
        </row>
        <row r="271">
          <cell r="A271" t="str">
            <v>BP43</v>
          </cell>
          <cell r="B271">
            <v>246</v>
          </cell>
          <cell r="C271" t="str">
            <v xml:space="preserve">Kait Angin alumunium </v>
          </cell>
          <cell r="D271" t="str">
            <v>ps</v>
          </cell>
          <cell r="E271">
            <v>60000</v>
          </cell>
        </row>
        <row r="272">
          <cell r="A272" t="str">
            <v>BP44</v>
          </cell>
          <cell r="B272">
            <v>247</v>
          </cell>
          <cell r="C272" t="str">
            <v xml:space="preserve">Karet Asisoris Kusen / Pintu Alumunium </v>
          </cell>
          <cell r="D272" t="str">
            <v>m1</v>
          </cell>
          <cell r="E272">
            <v>3000</v>
          </cell>
        </row>
        <row r="273">
          <cell r="A273" t="str">
            <v>BP45</v>
          </cell>
          <cell r="B273">
            <v>248</v>
          </cell>
          <cell r="C273" t="str">
            <v>Seng Plat BJLS 30 dia. 60 cm  ( 100 m1 )</v>
          </cell>
          <cell r="D273" t="str">
            <v>rool</v>
          </cell>
          <cell r="E273">
            <v>600000</v>
          </cell>
        </row>
        <row r="274">
          <cell r="A274" t="str">
            <v>BP46</v>
          </cell>
          <cell r="B274">
            <v>249</v>
          </cell>
          <cell r="C274" t="str">
            <v>Seng Plat BJLS 30 dia. 90 cm ( 100 m1 )</v>
          </cell>
          <cell r="D274" t="str">
            <v>rool</v>
          </cell>
          <cell r="E274">
            <v>943500</v>
          </cell>
        </row>
        <row r="275">
          <cell r="A275" t="str">
            <v>BP47</v>
          </cell>
          <cell r="B275">
            <v>250</v>
          </cell>
          <cell r="C275" t="str">
            <v>Plat Besi Tipis 1 mm</v>
          </cell>
          <cell r="D275" t="str">
            <v>kg</v>
          </cell>
          <cell r="E275">
            <v>7000</v>
          </cell>
        </row>
        <row r="276">
          <cell r="A276" t="str">
            <v>BP48</v>
          </cell>
          <cell r="B276">
            <v>251</v>
          </cell>
          <cell r="C276" t="str">
            <v>Plat Besi Tipis 0.5 mm</v>
          </cell>
          <cell r="D276" t="str">
            <v>kg</v>
          </cell>
          <cell r="E276">
            <v>7500</v>
          </cell>
        </row>
        <row r="277">
          <cell r="A277" t="str">
            <v>BP49</v>
          </cell>
          <cell r="B277">
            <v>252</v>
          </cell>
          <cell r="C277" t="str">
            <v xml:space="preserve">Plat Besi 2 mm s/d 5 mm </v>
          </cell>
          <cell r="D277" t="str">
            <v>kg</v>
          </cell>
          <cell r="E277">
            <v>6000</v>
          </cell>
        </row>
        <row r="278">
          <cell r="A278" t="str">
            <v>BP50</v>
          </cell>
          <cell r="B278">
            <v>253</v>
          </cell>
          <cell r="C278" t="str">
            <v xml:space="preserve">Plat Besi 6 mm s/d 10 mm </v>
          </cell>
          <cell r="D278" t="str">
            <v>kg</v>
          </cell>
          <cell r="E278">
            <v>6000</v>
          </cell>
        </row>
        <row r="279">
          <cell r="A279" t="str">
            <v>BP51</v>
          </cell>
          <cell r="B279">
            <v>254</v>
          </cell>
          <cell r="C279" t="str">
            <v>Plat Besi 10 mm Ke atas</v>
          </cell>
          <cell r="D279" t="str">
            <v>kg</v>
          </cell>
          <cell r="E279">
            <v>6000</v>
          </cell>
        </row>
        <row r="280">
          <cell r="A280" t="str">
            <v>BP52</v>
          </cell>
          <cell r="B280">
            <v>255</v>
          </cell>
          <cell r="C280" t="str">
            <v>Lem Kuning (aibond)</v>
          </cell>
          <cell r="D280" t="str">
            <v>kg</v>
          </cell>
          <cell r="E280">
            <v>12500</v>
          </cell>
        </row>
        <row r="281">
          <cell r="A281" t="str">
            <v>BP53</v>
          </cell>
          <cell r="B281">
            <v>256</v>
          </cell>
          <cell r="C281" t="str">
            <v>Lem Fox</v>
          </cell>
          <cell r="D281" t="str">
            <v>kg</v>
          </cell>
          <cell r="E281">
            <v>8500</v>
          </cell>
        </row>
        <row r="283">
          <cell r="C283" t="str">
            <v>I.  BAHAN  KACA</v>
          </cell>
        </row>
        <row r="284">
          <cell r="A284" t="str">
            <v>BR01</v>
          </cell>
          <cell r="B284">
            <v>257</v>
          </cell>
          <cell r="C284" t="str">
            <v>Kaca Polos 2 mm ( ASAHI )</v>
          </cell>
          <cell r="D284" t="str">
            <v>m²</v>
          </cell>
          <cell r="E284">
            <v>25000</v>
          </cell>
        </row>
        <row r="285">
          <cell r="A285" t="str">
            <v>BR02</v>
          </cell>
          <cell r="B285">
            <v>258</v>
          </cell>
          <cell r="C285" t="str">
            <v>Kaca Polos 3 mm ( ASAHI )</v>
          </cell>
          <cell r="D285" t="str">
            <v>m²</v>
          </cell>
          <cell r="E285">
            <v>35000</v>
          </cell>
        </row>
        <row r="286">
          <cell r="A286" t="str">
            <v>BR03</v>
          </cell>
          <cell r="B286">
            <v>259</v>
          </cell>
          <cell r="C286" t="str">
            <v>Kaca Polos 5 mm ( ASAHI )</v>
          </cell>
          <cell r="D286" t="str">
            <v>m²</v>
          </cell>
          <cell r="E286">
            <v>55000</v>
          </cell>
        </row>
        <row r="287">
          <cell r="A287" t="str">
            <v>BR04</v>
          </cell>
          <cell r="B287">
            <v>260</v>
          </cell>
          <cell r="C287" t="str">
            <v>Kaca Rayband 5 mm ( ASAHI )</v>
          </cell>
          <cell r="D287" t="str">
            <v>m²</v>
          </cell>
          <cell r="E287">
            <v>70000</v>
          </cell>
        </row>
        <row r="288">
          <cell r="A288" t="str">
            <v>BR05</v>
          </cell>
          <cell r="B288">
            <v>261</v>
          </cell>
          <cell r="C288" t="str">
            <v>Kaca Rayband 8 mm ( ASAHI )</v>
          </cell>
          <cell r="D288" t="str">
            <v>m²</v>
          </cell>
          <cell r="E288">
            <v>200000</v>
          </cell>
        </row>
        <row r="289">
          <cell r="A289" t="str">
            <v>BR06</v>
          </cell>
          <cell r="B289">
            <v>262</v>
          </cell>
          <cell r="C289" t="str">
            <v>Kaca Rayband 12 mm ( ASAHI )</v>
          </cell>
          <cell r="D289" t="str">
            <v>m²</v>
          </cell>
          <cell r="E289">
            <v>325000</v>
          </cell>
        </row>
        <row r="290">
          <cell r="A290" t="str">
            <v>BR07</v>
          </cell>
          <cell r="B290">
            <v>263</v>
          </cell>
          <cell r="C290" t="str">
            <v>Kaca Patri Lokal Terpasang ( ASAHI )</v>
          </cell>
          <cell r="D290" t="str">
            <v>m²</v>
          </cell>
          <cell r="E290">
            <v>525000</v>
          </cell>
        </row>
        <row r="291">
          <cell r="A291" t="str">
            <v>BR08</v>
          </cell>
          <cell r="B291">
            <v>264</v>
          </cell>
          <cell r="C291" t="str">
            <v xml:space="preserve">Kaca Patri EX Luar negeri  terpasang </v>
          </cell>
          <cell r="D291" t="str">
            <v>m²</v>
          </cell>
          <cell r="E291">
            <v>2150000</v>
          </cell>
        </row>
        <row r="292">
          <cell r="A292" t="str">
            <v>BR09</v>
          </cell>
          <cell r="B292">
            <v>265</v>
          </cell>
          <cell r="C292" t="str">
            <v xml:space="preserve">Kaca 6 mm Gravver </v>
          </cell>
          <cell r="D292" t="str">
            <v>m²</v>
          </cell>
          <cell r="E292">
            <v>880000</v>
          </cell>
        </row>
        <row r="293">
          <cell r="A293" t="str">
            <v>BR10</v>
          </cell>
          <cell r="B293">
            <v>266</v>
          </cell>
          <cell r="C293" t="str">
            <v>Glass Block  DN  20 x 20 ( Kedawung )</v>
          </cell>
          <cell r="D293" t="str">
            <v>bh</v>
          </cell>
          <cell r="E293">
            <v>12000</v>
          </cell>
        </row>
        <row r="294">
          <cell r="A294" t="str">
            <v>BR11</v>
          </cell>
          <cell r="B294">
            <v>267</v>
          </cell>
          <cell r="C294" t="str">
            <v>Glass Block  DN  20 x 20 Ex LN</v>
          </cell>
          <cell r="D294" t="str">
            <v>bh</v>
          </cell>
          <cell r="E294">
            <v>50000</v>
          </cell>
        </row>
        <row r="296">
          <cell r="C296" t="str">
            <v>J. BAHAN PAKU DAN MUR BAUT</v>
          </cell>
        </row>
        <row r="297">
          <cell r="A297" t="str">
            <v>BS01</v>
          </cell>
          <cell r="B297">
            <v>268</v>
          </cell>
          <cell r="C297" t="str">
            <v>Paku 1 cm s/d 3 cm</v>
          </cell>
          <cell r="D297" t="str">
            <v>kg</v>
          </cell>
          <cell r="E297">
            <v>7500</v>
          </cell>
        </row>
        <row r="298">
          <cell r="A298" t="str">
            <v>BS02</v>
          </cell>
          <cell r="B298">
            <v>269</v>
          </cell>
          <cell r="C298" t="str">
            <v>Paku 4 cm s/d 7 cm</v>
          </cell>
          <cell r="D298" t="str">
            <v>kg</v>
          </cell>
          <cell r="E298">
            <v>6000</v>
          </cell>
        </row>
        <row r="299">
          <cell r="A299" t="str">
            <v>BS03</v>
          </cell>
          <cell r="B299">
            <v>270</v>
          </cell>
          <cell r="C299" t="str">
            <v>Paku 8 cm s/d 12 cm</v>
          </cell>
          <cell r="D299" t="str">
            <v>kg</v>
          </cell>
          <cell r="E299">
            <v>5500</v>
          </cell>
        </row>
        <row r="300">
          <cell r="A300" t="str">
            <v>BS04</v>
          </cell>
          <cell r="B300">
            <v>271</v>
          </cell>
          <cell r="C300" t="str">
            <v>Paku Beton 2 cm s/d 5 cm</v>
          </cell>
          <cell r="D300" t="str">
            <v>bh</v>
          </cell>
          <cell r="E300">
            <v>1300</v>
          </cell>
        </row>
        <row r="301">
          <cell r="A301" t="str">
            <v>BS05</v>
          </cell>
          <cell r="B301">
            <v>272</v>
          </cell>
          <cell r="C301" t="str">
            <v>Paku Kait Lengkap</v>
          </cell>
          <cell r="D301" t="str">
            <v>bh</v>
          </cell>
          <cell r="E301">
            <v>500</v>
          </cell>
        </row>
        <row r="302">
          <cell r="A302" t="str">
            <v>BS06</v>
          </cell>
          <cell r="B302">
            <v>273</v>
          </cell>
          <cell r="C302" t="str">
            <v>Paku Cacing</v>
          </cell>
          <cell r="D302" t="str">
            <v>kg</v>
          </cell>
          <cell r="E302">
            <v>12500</v>
          </cell>
        </row>
        <row r="303">
          <cell r="A303" t="str">
            <v>BS07</v>
          </cell>
          <cell r="B303">
            <v>274</v>
          </cell>
          <cell r="C303" t="str">
            <v>Besi Beugel kuda - kuda</v>
          </cell>
          <cell r="D303" t="str">
            <v>kg</v>
          </cell>
          <cell r="E303">
            <v>6750</v>
          </cell>
        </row>
        <row r="304">
          <cell r="A304" t="str">
            <v>BS08</v>
          </cell>
          <cell r="B304">
            <v>275</v>
          </cell>
          <cell r="C304" t="str">
            <v>Duk Angker</v>
          </cell>
          <cell r="D304" t="str">
            <v>bh</v>
          </cell>
          <cell r="E304">
            <v>2500</v>
          </cell>
        </row>
        <row r="305">
          <cell r="A305" t="str">
            <v>BS09</v>
          </cell>
          <cell r="B305">
            <v>276</v>
          </cell>
          <cell r="C305" t="str">
            <v>Angker Mur Baut dia.19 / panjang 60 cm</v>
          </cell>
          <cell r="D305" t="str">
            <v>bh</v>
          </cell>
          <cell r="E305">
            <v>28500</v>
          </cell>
        </row>
        <row r="306">
          <cell r="A306" t="str">
            <v>BS10</v>
          </cell>
          <cell r="B306">
            <v>277</v>
          </cell>
          <cell r="C306" t="str">
            <v>Mur Baut HTB dia. 19 s/d 16 (5 cm)</v>
          </cell>
          <cell r="D306" t="str">
            <v>bh</v>
          </cell>
          <cell r="E306">
            <v>5200</v>
          </cell>
        </row>
        <row r="307">
          <cell r="A307" t="str">
            <v>BS11</v>
          </cell>
          <cell r="B307">
            <v>278</v>
          </cell>
          <cell r="C307" t="str">
            <v>Mur Baut Biasa dia.19 s/d 16 (5 cm)</v>
          </cell>
          <cell r="D307" t="str">
            <v>bh</v>
          </cell>
          <cell r="E307">
            <v>3000</v>
          </cell>
        </row>
        <row r="308">
          <cell r="A308" t="str">
            <v>BS12</v>
          </cell>
          <cell r="B308">
            <v>279</v>
          </cell>
          <cell r="C308" t="str">
            <v>Piser dia. 12 s/d 20 cm</v>
          </cell>
          <cell r="D308" t="str">
            <v>bh</v>
          </cell>
          <cell r="E308">
            <v>2500</v>
          </cell>
        </row>
        <row r="310">
          <cell r="C310" t="str">
            <v>K. BAHAN PERPIPAAN</v>
          </cell>
          <cell r="D310" t="str">
            <v>1.²</v>
          </cell>
        </row>
        <row r="311">
          <cell r="A311" t="str">
            <v>BT01</v>
          </cell>
          <cell r="B311">
            <v>280</v>
          </cell>
          <cell r="C311" t="str">
            <v>Besi Pipa untuk Hydrant BSP Ø  1"</v>
          </cell>
          <cell r="D311" t="str">
            <v>bt</v>
          </cell>
          <cell r="E311">
            <v>80500</v>
          </cell>
        </row>
        <row r="312">
          <cell r="A312" t="str">
            <v>BT02</v>
          </cell>
          <cell r="B312">
            <v>281</v>
          </cell>
          <cell r="C312" t="str">
            <v>Besi Pipa untuk Hydrant BSP Ø  1,25"</v>
          </cell>
          <cell r="D312" t="str">
            <v>bt</v>
          </cell>
          <cell r="E312">
            <v>105000</v>
          </cell>
        </row>
        <row r="313">
          <cell r="A313" t="str">
            <v>BT03</v>
          </cell>
          <cell r="B313">
            <v>282</v>
          </cell>
          <cell r="C313" t="str">
            <v>Besi Pipa untuk Hydrant BSP Ø  1,5"</v>
          </cell>
          <cell r="D313" t="str">
            <v>bt</v>
          </cell>
          <cell r="E313">
            <v>117500</v>
          </cell>
        </row>
        <row r="314">
          <cell r="A314" t="str">
            <v>BT04</v>
          </cell>
          <cell r="B314">
            <v>283</v>
          </cell>
          <cell r="C314" t="str">
            <v>Besi Pipa untuk Hydrant BSP Ø 2"</v>
          </cell>
          <cell r="D314" t="str">
            <v>bt</v>
          </cell>
          <cell r="E314">
            <v>165000</v>
          </cell>
        </row>
        <row r="315">
          <cell r="A315" t="str">
            <v>BT05</v>
          </cell>
          <cell r="B315">
            <v>284</v>
          </cell>
          <cell r="C315" t="str">
            <v>Besi Pipa untuk Hydrant BSP Ø 2,5"</v>
          </cell>
          <cell r="D315" t="str">
            <v>bt</v>
          </cell>
          <cell r="E315">
            <v>250000</v>
          </cell>
        </row>
        <row r="316">
          <cell r="A316" t="str">
            <v>BT06</v>
          </cell>
          <cell r="B316">
            <v>285</v>
          </cell>
          <cell r="C316" t="str">
            <v>Besi Pipa untuk Hydrant BSP Ø  3"</v>
          </cell>
          <cell r="D316" t="str">
            <v>bt</v>
          </cell>
          <cell r="E316">
            <v>345500</v>
          </cell>
        </row>
        <row r="317">
          <cell r="A317" t="str">
            <v>BT07</v>
          </cell>
          <cell r="B317">
            <v>286</v>
          </cell>
          <cell r="C317" t="str">
            <v>Besi Pipa untuk Hydrant BSP Ø  4"</v>
          </cell>
          <cell r="D317" t="str">
            <v>bt</v>
          </cell>
          <cell r="E317">
            <v>489500</v>
          </cell>
        </row>
        <row r="318">
          <cell r="A318" t="str">
            <v>BT08</v>
          </cell>
          <cell r="B318">
            <v>287</v>
          </cell>
          <cell r="C318" t="str">
            <v>Besi Pipa untuk Hydrant BSP Ø  6"</v>
          </cell>
          <cell r="D318" t="str">
            <v>bt</v>
          </cell>
          <cell r="E318">
            <v>810000</v>
          </cell>
        </row>
        <row r="319">
          <cell r="A319" t="str">
            <v>BT09</v>
          </cell>
          <cell r="B319">
            <v>288</v>
          </cell>
          <cell r="C319" t="str">
            <v xml:space="preserve">Besi Pipa Hitam Ø 1" t=2 mm </v>
          </cell>
          <cell r="D319" t="str">
            <v>bt</v>
          </cell>
          <cell r="E319">
            <v>54500</v>
          </cell>
        </row>
        <row r="320">
          <cell r="A320" t="str">
            <v>BT10</v>
          </cell>
          <cell r="B320">
            <v>289</v>
          </cell>
          <cell r="C320" t="str">
            <v xml:space="preserve">Besi Pipa Hitam Ø 2" t=2 mm   </v>
          </cell>
          <cell r="D320" t="str">
            <v>bt</v>
          </cell>
          <cell r="E320">
            <v>98000</v>
          </cell>
        </row>
        <row r="321">
          <cell r="A321" t="str">
            <v>BT11</v>
          </cell>
          <cell r="B321">
            <v>290</v>
          </cell>
          <cell r="C321" t="str">
            <v xml:space="preserve">Besi Pipa Hitam Ø 3" t=2 mm </v>
          </cell>
          <cell r="D321" t="str">
            <v>bt</v>
          </cell>
          <cell r="E321">
            <v>175000</v>
          </cell>
        </row>
        <row r="322">
          <cell r="A322" t="str">
            <v>BT12</v>
          </cell>
          <cell r="B322">
            <v>291</v>
          </cell>
          <cell r="C322" t="str">
            <v xml:space="preserve">Besi Pipa Hitam Ø 4" t=2 mm  </v>
          </cell>
          <cell r="D322" t="str">
            <v>bt</v>
          </cell>
          <cell r="E322">
            <v>225000</v>
          </cell>
        </row>
        <row r="323">
          <cell r="A323" t="str">
            <v>BT13</v>
          </cell>
          <cell r="B323">
            <v>292</v>
          </cell>
          <cell r="C323" t="str">
            <v>Besi Pipa Hitam Ø 6" t=2 mm</v>
          </cell>
          <cell r="D323" t="str">
            <v>bt</v>
          </cell>
          <cell r="E323">
            <v>300000</v>
          </cell>
        </row>
        <row r="324">
          <cell r="A324" t="str">
            <v>BT14</v>
          </cell>
          <cell r="B324">
            <v>293</v>
          </cell>
          <cell r="C324" t="str">
            <v>Pipa GIP Medium A Ø 1/2"  ( 6 m1 )</v>
          </cell>
          <cell r="D324" t="str">
            <v>bt</v>
          </cell>
          <cell r="E324">
            <v>55000</v>
          </cell>
        </row>
        <row r="325">
          <cell r="A325" t="str">
            <v>BT15</v>
          </cell>
          <cell r="B325">
            <v>294</v>
          </cell>
          <cell r="C325" t="str">
            <v>Pipa GIP Medium A Ø 3/4"  ( 6 m1 )</v>
          </cell>
          <cell r="D325" t="str">
            <v>bt</v>
          </cell>
          <cell r="E325">
            <v>62500</v>
          </cell>
        </row>
        <row r="326">
          <cell r="A326" t="str">
            <v>BT16</v>
          </cell>
          <cell r="B326">
            <v>295</v>
          </cell>
          <cell r="C326" t="str">
            <v>Pipa GIP Medium A Ø 1"   ( 6 m1 )</v>
          </cell>
          <cell r="D326" t="str">
            <v>bt</v>
          </cell>
          <cell r="E326">
            <v>93000</v>
          </cell>
        </row>
        <row r="327">
          <cell r="A327" t="str">
            <v>BT17</v>
          </cell>
          <cell r="B327">
            <v>296</v>
          </cell>
          <cell r="C327" t="str">
            <v>Pipa GIP Medium A Ø 1 1/4"  ( 6 m1 )</v>
          </cell>
          <cell r="D327" t="str">
            <v>bt</v>
          </cell>
          <cell r="E327">
            <v>116000</v>
          </cell>
        </row>
        <row r="328">
          <cell r="A328" t="str">
            <v>BT18</v>
          </cell>
          <cell r="B328">
            <v>297</v>
          </cell>
          <cell r="C328" t="str">
            <v>Pipa GIP Medium A Ø 1 1/2" ( 6 m1 )</v>
          </cell>
          <cell r="D328" t="str">
            <v>bt</v>
          </cell>
          <cell r="E328">
            <v>139650</v>
          </cell>
        </row>
        <row r="329">
          <cell r="A329" t="str">
            <v>BT19</v>
          </cell>
          <cell r="B329">
            <v>298</v>
          </cell>
          <cell r="C329" t="str">
            <v>Pipa GIP Medium A Ø 1 3/4"( 6 m1 )</v>
          </cell>
          <cell r="D329" t="str">
            <v>bt</v>
          </cell>
          <cell r="E329">
            <v>170000</v>
          </cell>
        </row>
        <row r="330">
          <cell r="A330" t="str">
            <v>BT20</v>
          </cell>
          <cell r="B330">
            <v>299</v>
          </cell>
          <cell r="C330" t="str">
            <v>Pipa GIP Medium A Ø 2"  ( 6 m1 )</v>
          </cell>
          <cell r="D330" t="str">
            <v>bt</v>
          </cell>
          <cell r="E330">
            <v>210000</v>
          </cell>
        </row>
        <row r="331">
          <cell r="A331" t="str">
            <v>BT21</v>
          </cell>
          <cell r="B331">
            <v>300</v>
          </cell>
          <cell r="C331" t="str">
            <v>Pipa GIP Medium A Ø 2 1/2" ( 6 m1 )</v>
          </cell>
          <cell r="D331" t="str">
            <v>bt</v>
          </cell>
          <cell r="E331">
            <v>279500</v>
          </cell>
        </row>
        <row r="332">
          <cell r="A332" t="str">
            <v>BT22</v>
          </cell>
          <cell r="B332">
            <v>301</v>
          </cell>
          <cell r="C332" t="str">
            <v>Pipa GIP Medium A Ø 3"  ( 6 m1 )</v>
          </cell>
          <cell r="D332" t="str">
            <v>bt</v>
          </cell>
          <cell r="E332">
            <v>340000</v>
          </cell>
        </row>
        <row r="333">
          <cell r="A333" t="str">
            <v>BT23</v>
          </cell>
          <cell r="B333">
            <v>302</v>
          </cell>
          <cell r="C333" t="str">
            <v>Pipa GIP Medium A Ø 4"  ( 6 m1 )</v>
          </cell>
          <cell r="D333" t="str">
            <v>bt</v>
          </cell>
          <cell r="E333">
            <v>448000</v>
          </cell>
        </row>
        <row r="334">
          <cell r="A334" t="str">
            <v>BT24</v>
          </cell>
          <cell r="B334">
            <v>303</v>
          </cell>
          <cell r="C334" t="str">
            <v>Macam2 Sambungan GIP Ø 1/2"</v>
          </cell>
          <cell r="D334" t="str">
            <v>bh</v>
          </cell>
          <cell r="E334">
            <v>3000</v>
          </cell>
        </row>
        <row r="335">
          <cell r="A335" t="str">
            <v>BT25</v>
          </cell>
          <cell r="B335">
            <v>304</v>
          </cell>
          <cell r="C335" t="str">
            <v>Macam2 Sambungan GIP Ø 3/4"</v>
          </cell>
          <cell r="D335" t="str">
            <v>bh</v>
          </cell>
          <cell r="E335">
            <v>3900</v>
          </cell>
        </row>
        <row r="336">
          <cell r="A336" t="str">
            <v>BT26</v>
          </cell>
          <cell r="B336">
            <v>305</v>
          </cell>
          <cell r="C336" t="str">
            <v>Macam2 Sambungan GIP Ø 1"</v>
          </cell>
          <cell r="D336" t="str">
            <v>bh</v>
          </cell>
          <cell r="E336">
            <v>6000</v>
          </cell>
        </row>
        <row r="337">
          <cell r="A337" t="str">
            <v>BT27</v>
          </cell>
          <cell r="B337">
            <v>306</v>
          </cell>
          <cell r="C337" t="str">
            <v>Macam2 Sambungan GIP Ø 1 1/4"</v>
          </cell>
          <cell r="D337" t="str">
            <v>bh</v>
          </cell>
          <cell r="E337">
            <v>7500</v>
          </cell>
        </row>
        <row r="338">
          <cell r="A338" t="str">
            <v>BT28</v>
          </cell>
          <cell r="B338">
            <v>307</v>
          </cell>
          <cell r="C338" t="str">
            <v>Macam2 Sambungan GIP Ø 11/2"</v>
          </cell>
          <cell r="D338" t="str">
            <v>bh</v>
          </cell>
          <cell r="E338">
            <v>8500</v>
          </cell>
        </row>
        <row r="339">
          <cell r="A339" t="str">
            <v>BT29</v>
          </cell>
          <cell r="B339">
            <v>308</v>
          </cell>
          <cell r="C339" t="str">
            <v>Macam2 Sambungan GIP Ø 13/4"</v>
          </cell>
          <cell r="D339" t="str">
            <v>bh</v>
          </cell>
          <cell r="E339">
            <v>12600</v>
          </cell>
        </row>
        <row r="340">
          <cell r="A340" t="str">
            <v>BT30</v>
          </cell>
          <cell r="B340">
            <v>309</v>
          </cell>
          <cell r="C340" t="str">
            <v>Macam2 Sambungan GIP Ø 2"</v>
          </cell>
          <cell r="D340" t="str">
            <v>bh</v>
          </cell>
          <cell r="E340">
            <v>17500</v>
          </cell>
        </row>
        <row r="341">
          <cell r="A341" t="str">
            <v>BT31</v>
          </cell>
          <cell r="B341">
            <v>310</v>
          </cell>
          <cell r="C341" t="str">
            <v>Macam2 Sambungan GIP Ø 2 1/2"</v>
          </cell>
          <cell r="D341" t="str">
            <v>bh</v>
          </cell>
          <cell r="E341">
            <v>25000</v>
          </cell>
        </row>
        <row r="342">
          <cell r="A342" t="str">
            <v>BT32</v>
          </cell>
          <cell r="B342">
            <v>311</v>
          </cell>
          <cell r="C342" t="str">
            <v>Macam2 Sambungan GIP Ø 3"</v>
          </cell>
          <cell r="D342" t="str">
            <v>bh</v>
          </cell>
          <cell r="E342">
            <v>30000</v>
          </cell>
        </row>
        <row r="343">
          <cell r="A343" t="str">
            <v>BT33</v>
          </cell>
          <cell r="B343">
            <v>312</v>
          </cell>
          <cell r="C343" t="str">
            <v>Macam2 Sambungan GIP Ø 4"</v>
          </cell>
          <cell r="D343" t="str">
            <v>bh</v>
          </cell>
          <cell r="E343">
            <v>35000</v>
          </cell>
        </row>
        <row r="344">
          <cell r="A344" t="str">
            <v>BT34</v>
          </cell>
          <cell r="B344">
            <v>313</v>
          </cell>
          <cell r="C344" t="str">
            <v xml:space="preserve">Pipa PVC RUCIKA type AW  Ø 1/2" </v>
          </cell>
          <cell r="D344" t="str">
            <v>bt</v>
          </cell>
          <cell r="E344">
            <v>16000</v>
          </cell>
        </row>
        <row r="345">
          <cell r="A345" t="str">
            <v>BT35</v>
          </cell>
          <cell r="B345">
            <v>314</v>
          </cell>
          <cell r="C345" t="str">
            <v xml:space="preserve">Pipa PVC RUCIKA type AW    Ø 3/4" </v>
          </cell>
          <cell r="D345" t="str">
            <v>bt</v>
          </cell>
          <cell r="E345">
            <v>22500</v>
          </cell>
        </row>
        <row r="346">
          <cell r="A346" t="str">
            <v>BT36</v>
          </cell>
          <cell r="B346">
            <v>315</v>
          </cell>
          <cell r="C346" t="str">
            <v xml:space="preserve">Pipa PVC RUCIKA type AW    Ø 1" </v>
          </cell>
          <cell r="D346" t="str">
            <v>bt</v>
          </cell>
          <cell r="E346">
            <v>28000</v>
          </cell>
        </row>
        <row r="347">
          <cell r="A347" t="str">
            <v>BT37</v>
          </cell>
          <cell r="B347">
            <v>316</v>
          </cell>
          <cell r="C347" t="str">
            <v xml:space="preserve">Pipa PVC RUCIKA type AW    Ø 1 1/4" </v>
          </cell>
          <cell r="D347" t="str">
            <v>bt</v>
          </cell>
          <cell r="E347">
            <v>39000</v>
          </cell>
        </row>
        <row r="348">
          <cell r="A348" t="str">
            <v>BT38</v>
          </cell>
          <cell r="B348">
            <v>317</v>
          </cell>
          <cell r="C348" t="str">
            <v xml:space="preserve">Pipa PVC RUCIKA type AW    Ø 1 1/2" </v>
          </cell>
          <cell r="D348" t="str">
            <v>bt</v>
          </cell>
          <cell r="E348">
            <v>49000</v>
          </cell>
        </row>
        <row r="349">
          <cell r="A349" t="str">
            <v>BT39</v>
          </cell>
          <cell r="B349">
            <v>318</v>
          </cell>
          <cell r="C349" t="str">
            <v xml:space="preserve">Pipa PVC RUCIKA type AW    Ø 2" </v>
          </cell>
          <cell r="D349" t="str">
            <v>bt</v>
          </cell>
          <cell r="E349">
            <v>69000</v>
          </cell>
        </row>
        <row r="350">
          <cell r="A350" t="str">
            <v>BT40</v>
          </cell>
          <cell r="B350">
            <v>319</v>
          </cell>
          <cell r="C350" t="str">
            <v xml:space="preserve">Pipa PVC RUCIKA type AW    Ø 2 1/2" </v>
          </cell>
          <cell r="D350" t="str">
            <v>bt</v>
          </cell>
          <cell r="E350">
            <v>88000</v>
          </cell>
        </row>
        <row r="351">
          <cell r="A351" t="str">
            <v>BT41</v>
          </cell>
          <cell r="B351">
            <v>320</v>
          </cell>
          <cell r="C351" t="str">
            <v xml:space="preserve">Pipa PVC RUCIKA type AW    Ø 3" </v>
          </cell>
          <cell r="D351" t="str">
            <v>bt</v>
          </cell>
          <cell r="E351">
            <v>132000</v>
          </cell>
        </row>
        <row r="352">
          <cell r="A352" t="str">
            <v>BT42</v>
          </cell>
          <cell r="B352">
            <v>321</v>
          </cell>
          <cell r="C352" t="str">
            <v xml:space="preserve">Pipa PVC RUCIKA type AW    Ø 4" </v>
          </cell>
          <cell r="D352" t="str">
            <v>bt</v>
          </cell>
          <cell r="E352">
            <v>205000</v>
          </cell>
        </row>
        <row r="353">
          <cell r="A353" t="str">
            <v>BT43</v>
          </cell>
          <cell r="B353">
            <v>322</v>
          </cell>
          <cell r="C353" t="str">
            <v xml:space="preserve">Pipa PVC RUCIKA type AW    Ø 6" </v>
          </cell>
          <cell r="D353" t="str">
            <v>bt</v>
          </cell>
          <cell r="E353">
            <v>395000</v>
          </cell>
        </row>
        <row r="354">
          <cell r="A354" t="str">
            <v>BT44</v>
          </cell>
          <cell r="B354">
            <v>323</v>
          </cell>
          <cell r="C354" t="str">
            <v xml:space="preserve">Pipa PVC RUCIKA type AW    Ø 8" </v>
          </cell>
          <cell r="D354" t="str">
            <v>bt</v>
          </cell>
          <cell r="E354">
            <v>575000</v>
          </cell>
        </row>
        <row r="355">
          <cell r="A355" t="str">
            <v>BT45</v>
          </cell>
          <cell r="B355">
            <v>324</v>
          </cell>
          <cell r="C355" t="str">
            <v>Pipa PVC  MASPION ABU Ø 1/2" (AW)</v>
          </cell>
          <cell r="D355" t="str">
            <v>bt</v>
          </cell>
          <cell r="E355">
            <v>11500</v>
          </cell>
        </row>
        <row r="356">
          <cell r="A356" t="str">
            <v>BT46</v>
          </cell>
          <cell r="B356">
            <v>325</v>
          </cell>
          <cell r="C356" t="str">
            <v>Pipa PVC  MASPION ABU Ø 3/4" (AW)</v>
          </cell>
          <cell r="D356" t="str">
            <v>bt</v>
          </cell>
          <cell r="E356">
            <v>14000</v>
          </cell>
        </row>
        <row r="357">
          <cell r="A357" t="str">
            <v>BT47</v>
          </cell>
          <cell r="B357">
            <v>326</v>
          </cell>
          <cell r="C357" t="str">
            <v>Pipa PVC  MASPION ABU Ø 1" (AW)</v>
          </cell>
          <cell r="D357" t="str">
            <v>bt</v>
          </cell>
          <cell r="E357">
            <v>17800</v>
          </cell>
        </row>
        <row r="358">
          <cell r="A358" t="str">
            <v>BT48</v>
          </cell>
          <cell r="B358">
            <v>327</v>
          </cell>
          <cell r="C358" t="str">
            <v>Pipa PVC  MASPION ABU Ø 1 1/4" (AW)</v>
          </cell>
          <cell r="D358" t="str">
            <v>bt</v>
          </cell>
          <cell r="E358">
            <v>25000</v>
          </cell>
        </row>
        <row r="359">
          <cell r="A359" t="str">
            <v>BT49</v>
          </cell>
          <cell r="B359">
            <v>328</v>
          </cell>
          <cell r="C359" t="str">
            <v>Pipa PVC  MASPION ABU Ø 1 1/2" (AW)</v>
          </cell>
          <cell r="D359" t="str">
            <v>bt</v>
          </cell>
          <cell r="E359">
            <v>33000</v>
          </cell>
        </row>
        <row r="360">
          <cell r="A360" t="str">
            <v>BT50</v>
          </cell>
          <cell r="B360">
            <v>329</v>
          </cell>
          <cell r="C360" t="str">
            <v>Pipa PVC  MASPION ABU Ø 2" (AW)</v>
          </cell>
          <cell r="D360" t="str">
            <v>bt</v>
          </cell>
          <cell r="E360">
            <v>48000</v>
          </cell>
        </row>
        <row r="361">
          <cell r="A361" t="str">
            <v>BT51</v>
          </cell>
          <cell r="B361">
            <v>330</v>
          </cell>
          <cell r="C361" t="str">
            <v>Pipa PVC  MASPION ABU Ø 2 1/2" (AW)</v>
          </cell>
          <cell r="D361" t="str">
            <v>bt</v>
          </cell>
          <cell r="E361">
            <v>61500</v>
          </cell>
        </row>
        <row r="362">
          <cell r="A362" t="str">
            <v>BT52</v>
          </cell>
          <cell r="B362">
            <v>331</v>
          </cell>
          <cell r="C362" t="str">
            <v>Pipa PVC  MASPION ABU Ø 3" (AW)</v>
          </cell>
          <cell r="D362" t="str">
            <v>bt</v>
          </cell>
          <cell r="E362">
            <v>88000</v>
          </cell>
        </row>
        <row r="363">
          <cell r="A363" t="str">
            <v>BT53</v>
          </cell>
          <cell r="B363">
            <v>332</v>
          </cell>
          <cell r="C363" t="str">
            <v>Pipa PVC  MASPION ABU Ø 4" (AW)</v>
          </cell>
          <cell r="D363" t="str">
            <v>bt</v>
          </cell>
          <cell r="E363">
            <v>125000</v>
          </cell>
        </row>
        <row r="364">
          <cell r="A364" t="str">
            <v>BT54</v>
          </cell>
          <cell r="B364">
            <v>333</v>
          </cell>
          <cell r="C364" t="str">
            <v>Macam2 Sambungan Paralon Ø 1/2"</v>
          </cell>
          <cell r="D364" t="str">
            <v>bh</v>
          </cell>
          <cell r="E364">
            <v>1500</v>
          </cell>
        </row>
        <row r="365">
          <cell r="A365" t="str">
            <v>BT55</v>
          </cell>
          <cell r="B365">
            <v>334</v>
          </cell>
          <cell r="C365" t="str">
            <v>Macam2 Sambungan Paralon Ø 3/4"</v>
          </cell>
          <cell r="D365" t="str">
            <v>bh</v>
          </cell>
          <cell r="E365">
            <v>1750</v>
          </cell>
        </row>
        <row r="366">
          <cell r="A366" t="str">
            <v>BT56</v>
          </cell>
          <cell r="B366">
            <v>335</v>
          </cell>
          <cell r="C366" t="str">
            <v>Macam2 Sambungan Paralon Ø 1"</v>
          </cell>
          <cell r="D366" t="str">
            <v>bh</v>
          </cell>
          <cell r="E366">
            <v>2000</v>
          </cell>
        </row>
        <row r="367">
          <cell r="A367" t="str">
            <v>BT57</v>
          </cell>
          <cell r="B367">
            <v>336</v>
          </cell>
          <cell r="C367" t="str">
            <v>Macam2 Sambungan Paralon Ø 1 1/4"</v>
          </cell>
          <cell r="D367" t="str">
            <v>bh</v>
          </cell>
          <cell r="E367">
            <v>3400</v>
          </cell>
        </row>
        <row r="368">
          <cell r="A368" t="str">
            <v>BT58</v>
          </cell>
          <cell r="B368">
            <v>337</v>
          </cell>
          <cell r="C368" t="str">
            <v>Macam2 Sambungan Paralon Ø 1 1/2"</v>
          </cell>
          <cell r="D368" t="str">
            <v>bh</v>
          </cell>
          <cell r="E368">
            <v>3650</v>
          </cell>
        </row>
        <row r="369">
          <cell r="A369" t="str">
            <v>BT59</v>
          </cell>
          <cell r="B369">
            <v>338</v>
          </cell>
          <cell r="C369" t="str">
            <v>Macam2 Sambungan Paralon Ø 1 3/4"</v>
          </cell>
          <cell r="D369" t="str">
            <v>bh</v>
          </cell>
          <cell r="E369">
            <v>4200</v>
          </cell>
        </row>
        <row r="370">
          <cell r="A370" t="str">
            <v>BT60</v>
          </cell>
          <cell r="B370">
            <v>339</v>
          </cell>
          <cell r="C370" t="str">
            <v>Macam2 Sambungan Paralon Ø 2"</v>
          </cell>
          <cell r="D370" t="str">
            <v>bh</v>
          </cell>
          <cell r="E370">
            <v>6000</v>
          </cell>
        </row>
        <row r="371">
          <cell r="A371" t="str">
            <v>BT61</v>
          </cell>
          <cell r="B371">
            <v>340</v>
          </cell>
          <cell r="C371" t="str">
            <v>Macam2 Samb. Paralon Ø 2 1/2"</v>
          </cell>
          <cell r="D371" t="str">
            <v>bh</v>
          </cell>
          <cell r="E371">
            <v>8500</v>
          </cell>
        </row>
        <row r="372">
          <cell r="A372" t="str">
            <v>BT62</v>
          </cell>
          <cell r="B372">
            <v>341</v>
          </cell>
          <cell r="C372" t="str">
            <v>Macam2 Samb. Paralon Ø 3"</v>
          </cell>
          <cell r="D372" t="str">
            <v>bh</v>
          </cell>
          <cell r="E372">
            <v>15000</v>
          </cell>
        </row>
        <row r="373">
          <cell r="A373" t="str">
            <v>BT63</v>
          </cell>
          <cell r="B373">
            <v>342</v>
          </cell>
          <cell r="C373" t="str">
            <v>Macam2 Samb. Paralon Ø 4"</v>
          </cell>
          <cell r="D373" t="str">
            <v>bh</v>
          </cell>
          <cell r="E373">
            <v>21500</v>
          </cell>
        </row>
        <row r="374">
          <cell r="A374" t="str">
            <v>BT64</v>
          </cell>
          <cell r="B374">
            <v>343</v>
          </cell>
          <cell r="C374" t="str">
            <v>Sambungan Pipa PVC Jenis AW 4 " TY</v>
          </cell>
          <cell r="D374" t="str">
            <v>bh</v>
          </cell>
          <cell r="E374">
            <v>51700</v>
          </cell>
        </row>
        <row r="375">
          <cell r="A375" t="str">
            <v>BT65</v>
          </cell>
          <cell r="B375">
            <v>344</v>
          </cell>
          <cell r="C375" t="str">
            <v>Lem Paralon</v>
          </cell>
          <cell r="D375" t="str">
            <v>tb</v>
          </cell>
          <cell r="E375">
            <v>3500</v>
          </cell>
        </row>
        <row r="376">
          <cell r="A376" t="str">
            <v>BT66</v>
          </cell>
          <cell r="B376">
            <v>345</v>
          </cell>
          <cell r="C376" t="str">
            <v>Solatip Leideng</v>
          </cell>
          <cell r="D376" t="str">
            <v>gl</v>
          </cell>
          <cell r="E376">
            <v>1500</v>
          </cell>
        </row>
        <row r="377">
          <cell r="A377" t="str">
            <v>BT67</v>
          </cell>
          <cell r="B377">
            <v>346</v>
          </cell>
          <cell r="C377" t="str">
            <v>Pipa PVC 4" berlobang jenis AW</v>
          </cell>
          <cell r="D377" t="str">
            <v>m1</v>
          </cell>
          <cell r="E377">
            <v>19600</v>
          </cell>
        </row>
        <row r="379">
          <cell r="C379" t="str">
            <v>L. BAHAN SANITAIR</v>
          </cell>
        </row>
        <row r="380">
          <cell r="A380" t="str">
            <v>BV01</v>
          </cell>
          <cell r="B380">
            <v>347</v>
          </cell>
          <cell r="C380" t="str">
            <v>Stop Kran 3/4 " KIT</v>
          </cell>
          <cell r="D380" t="str">
            <v>bh</v>
          </cell>
          <cell r="E380">
            <v>57500</v>
          </cell>
        </row>
        <row r="381">
          <cell r="A381" t="str">
            <v>BV02</v>
          </cell>
          <cell r="B381">
            <v>348</v>
          </cell>
          <cell r="C381" t="str">
            <v>Stop Kran 1 " KIT</v>
          </cell>
          <cell r="D381" t="str">
            <v>bh</v>
          </cell>
          <cell r="E381">
            <v>75000</v>
          </cell>
        </row>
        <row r="382">
          <cell r="A382" t="str">
            <v>BV03</v>
          </cell>
          <cell r="B382">
            <v>349</v>
          </cell>
          <cell r="C382" t="str">
            <v>Stop Kran 1 1/2 " KIT</v>
          </cell>
          <cell r="D382" t="str">
            <v>bh</v>
          </cell>
          <cell r="E382">
            <v>130000</v>
          </cell>
        </row>
        <row r="383">
          <cell r="A383" t="str">
            <v>BV04</v>
          </cell>
          <cell r="B383">
            <v>350</v>
          </cell>
          <cell r="C383" t="str">
            <v>Stop Kran 2 " KIT</v>
          </cell>
          <cell r="D383" t="str">
            <v>bh</v>
          </cell>
          <cell r="E383">
            <v>180000</v>
          </cell>
        </row>
        <row r="384">
          <cell r="A384" t="str">
            <v>BV05</v>
          </cell>
          <cell r="B384">
            <v>351</v>
          </cell>
          <cell r="C384" t="str">
            <v>Stop Kran 2 1/2" KIT</v>
          </cell>
          <cell r="D384" t="str">
            <v>bh</v>
          </cell>
          <cell r="E384">
            <v>450000</v>
          </cell>
        </row>
        <row r="385">
          <cell r="A385" t="str">
            <v>BV06</v>
          </cell>
          <cell r="B385">
            <v>352</v>
          </cell>
          <cell r="C385" t="str">
            <v>Stop Kran 3 " KIT</v>
          </cell>
          <cell r="D385" t="str">
            <v>bh</v>
          </cell>
          <cell r="E385">
            <v>510000</v>
          </cell>
        </row>
        <row r="386">
          <cell r="A386" t="str">
            <v>BV07</v>
          </cell>
          <cell r="B386">
            <v>353</v>
          </cell>
          <cell r="C386" t="str">
            <v>Check Valve 1/2 "</v>
          </cell>
          <cell r="D386" t="str">
            <v>bh</v>
          </cell>
          <cell r="E386">
            <v>45000</v>
          </cell>
        </row>
        <row r="387">
          <cell r="A387" t="str">
            <v>BV08</v>
          </cell>
          <cell r="B387">
            <v>354</v>
          </cell>
          <cell r="C387" t="str">
            <v>Double Neple 1/2 "</v>
          </cell>
          <cell r="D387" t="str">
            <v>bh</v>
          </cell>
          <cell r="E387">
            <v>15000</v>
          </cell>
        </row>
        <row r="388">
          <cell r="A388" t="str">
            <v>BV09</v>
          </cell>
          <cell r="B388">
            <v>355</v>
          </cell>
          <cell r="C388" t="str">
            <v>Water Mur 1/2 "</v>
          </cell>
          <cell r="D388" t="str">
            <v>bh</v>
          </cell>
          <cell r="E388">
            <v>24200</v>
          </cell>
        </row>
        <row r="389">
          <cell r="A389" t="str">
            <v>BV10</v>
          </cell>
          <cell r="B389">
            <v>356</v>
          </cell>
          <cell r="C389" t="str">
            <v>Gate Walve 1/2 "</v>
          </cell>
          <cell r="D389" t="str">
            <v>bh</v>
          </cell>
          <cell r="E389">
            <v>25000</v>
          </cell>
        </row>
        <row r="390">
          <cell r="A390" t="str">
            <v>BV11</v>
          </cell>
          <cell r="B390">
            <v>357</v>
          </cell>
          <cell r="C390" t="str">
            <v xml:space="preserve">Saringan Air Lt KM Stainless Steel </v>
          </cell>
          <cell r="D390" t="str">
            <v>bh</v>
          </cell>
          <cell r="E390">
            <v>25000</v>
          </cell>
        </row>
        <row r="391">
          <cell r="A391" t="str">
            <v>BV12</v>
          </cell>
          <cell r="B391">
            <v>358</v>
          </cell>
          <cell r="C391" t="str">
            <v>Apooer Bath Tube</v>
          </cell>
          <cell r="D391" t="str">
            <v>bh</v>
          </cell>
          <cell r="E391">
            <v>143850</v>
          </cell>
        </row>
        <row r="392">
          <cell r="A392" t="str">
            <v>BV13</v>
          </cell>
          <cell r="B392">
            <v>359</v>
          </cell>
          <cell r="C392" t="str">
            <v>Kran stain less Lokal Kait</v>
          </cell>
          <cell r="D392" t="str">
            <v>bh</v>
          </cell>
          <cell r="E392">
            <v>26400</v>
          </cell>
        </row>
        <row r="393">
          <cell r="A393" t="str">
            <v>BV14</v>
          </cell>
          <cell r="B393">
            <v>360</v>
          </cell>
          <cell r="C393" t="str">
            <v xml:space="preserve">Shower Dengan Tiang </v>
          </cell>
          <cell r="D393" t="str">
            <v>bh</v>
          </cell>
          <cell r="E393">
            <v>135000</v>
          </cell>
        </row>
        <row r="394">
          <cell r="A394" t="str">
            <v>BV15</v>
          </cell>
          <cell r="B394">
            <v>361</v>
          </cell>
          <cell r="C394" t="str">
            <v xml:space="preserve">Shower Tanpa Tiang </v>
          </cell>
          <cell r="D394" t="str">
            <v>bh</v>
          </cell>
          <cell r="E394">
            <v>75000</v>
          </cell>
        </row>
        <row r="395">
          <cell r="A395" t="str">
            <v>BV16</v>
          </cell>
          <cell r="B395">
            <v>362</v>
          </cell>
          <cell r="C395" t="str">
            <v xml:space="preserve">Kran Tembok Sun Eui  dia. 1/2 " </v>
          </cell>
          <cell r="D395" t="str">
            <v>bh</v>
          </cell>
          <cell r="E395">
            <v>50000</v>
          </cell>
        </row>
        <row r="396">
          <cell r="A396" t="str">
            <v>BV17</v>
          </cell>
          <cell r="B396">
            <v>363</v>
          </cell>
          <cell r="C396" t="str">
            <v xml:space="preserve">Kran Tembok ITAP dia. 1/2 " </v>
          </cell>
          <cell r="D396" t="str">
            <v>bh</v>
          </cell>
          <cell r="E396">
            <v>20000</v>
          </cell>
        </row>
        <row r="397">
          <cell r="A397" t="str">
            <v>BV18</v>
          </cell>
          <cell r="B397">
            <v>364</v>
          </cell>
          <cell r="C397" t="str">
            <v xml:space="preserve">Kran Bebek Sun Eui 1/2 " </v>
          </cell>
          <cell r="D397" t="str">
            <v>bh</v>
          </cell>
          <cell r="E397">
            <v>90000</v>
          </cell>
        </row>
        <row r="398">
          <cell r="A398" t="str">
            <v>BV19</v>
          </cell>
          <cell r="B398">
            <v>365</v>
          </cell>
          <cell r="C398" t="str">
            <v>Kran Bebek ITAP 1/2 "</v>
          </cell>
          <cell r="D398" t="str">
            <v>bh</v>
          </cell>
          <cell r="E398">
            <v>30000</v>
          </cell>
        </row>
        <row r="399">
          <cell r="A399" t="str">
            <v>BV20</v>
          </cell>
          <cell r="B399">
            <v>366</v>
          </cell>
          <cell r="C399" t="str">
            <v>Kran Panas Dingin San Eui  Standard</v>
          </cell>
          <cell r="D399" t="str">
            <v>bh</v>
          </cell>
          <cell r="E399">
            <v>125000</v>
          </cell>
        </row>
        <row r="400">
          <cell r="A400" t="str">
            <v>BV21</v>
          </cell>
          <cell r="B400">
            <v>367</v>
          </cell>
          <cell r="C400" t="str">
            <v xml:space="preserve">Bath Cape  Washteren </v>
          </cell>
          <cell r="D400" t="str">
            <v>unit</v>
          </cell>
          <cell r="E400">
            <v>1197000</v>
          </cell>
        </row>
        <row r="401">
          <cell r="A401" t="str">
            <v>BV22</v>
          </cell>
          <cell r="B401">
            <v>368</v>
          </cell>
          <cell r="C401" t="str">
            <v>Tempat Sabun Poslin</v>
          </cell>
          <cell r="D401" t="str">
            <v>bh</v>
          </cell>
          <cell r="E401">
            <v>25000</v>
          </cell>
        </row>
        <row r="402">
          <cell r="A402" t="str">
            <v>BV23</v>
          </cell>
          <cell r="B402">
            <v>369</v>
          </cell>
          <cell r="C402" t="str">
            <v xml:space="preserve">Wastafel Lengkap TOTO LW 230 </v>
          </cell>
          <cell r="D402" t="str">
            <v>unit</v>
          </cell>
          <cell r="E402">
            <v>517500</v>
          </cell>
        </row>
        <row r="403">
          <cell r="A403" t="str">
            <v>BV24</v>
          </cell>
          <cell r="B403">
            <v>370</v>
          </cell>
          <cell r="C403" t="str">
            <v>Wastafel Lengkap INA</v>
          </cell>
          <cell r="D403" t="str">
            <v>unit</v>
          </cell>
          <cell r="E403">
            <v>410000</v>
          </cell>
        </row>
        <row r="404">
          <cell r="A404" t="str">
            <v>BV25</v>
          </cell>
          <cell r="B404">
            <v>371</v>
          </cell>
          <cell r="C404" t="str">
            <v>Closet Jongkok Poslin warna  TOTO</v>
          </cell>
          <cell r="D404" t="str">
            <v>unit</v>
          </cell>
          <cell r="E404">
            <v>140000</v>
          </cell>
        </row>
        <row r="405">
          <cell r="A405" t="str">
            <v>BV26</v>
          </cell>
          <cell r="B405">
            <v>372</v>
          </cell>
          <cell r="C405" t="str">
            <v>Closet Jongkok Standard Putih Poslin TOTO</v>
          </cell>
          <cell r="D405" t="str">
            <v>unit</v>
          </cell>
          <cell r="E405">
            <v>110000</v>
          </cell>
        </row>
        <row r="406">
          <cell r="A406" t="str">
            <v>BV27</v>
          </cell>
          <cell r="B406">
            <v>373</v>
          </cell>
          <cell r="C406" t="str">
            <v>Closet Jongkok Lengkap Sistem Jet TOTO</v>
          </cell>
          <cell r="D406" t="str">
            <v>unit</v>
          </cell>
          <cell r="E406">
            <v>1140000</v>
          </cell>
        </row>
        <row r="407">
          <cell r="A407" t="str">
            <v>BV28</v>
          </cell>
          <cell r="B407">
            <v>374</v>
          </cell>
          <cell r="C407" t="str">
            <v>Closet Duduk Warna Standard  TOTO C 240 Lengkap</v>
          </cell>
          <cell r="D407" t="str">
            <v>unit</v>
          </cell>
          <cell r="E407">
            <v>1050000</v>
          </cell>
        </row>
        <row r="408">
          <cell r="A408" t="str">
            <v>BV29</v>
          </cell>
          <cell r="B408">
            <v>375</v>
          </cell>
          <cell r="C408" t="str">
            <v>Wastafel Bulat Warna Standard Lengkap</v>
          </cell>
          <cell r="D408" t="str">
            <v>unit</v>
          </cell>
          <cell r="E408">
            <v>620000</v>
          </cell>
        </row>
        <row r="409">
          <cell r="A409" t="str">
            <v>BV30</v>
          </cell>
          <cell r="B409">
            <v>376</v>
          </cell>
          <cell r="C409" t="str">
            <v>Closet Duduk Warna Standard lengkap INA</v>
          </cell>
          <cell r="D409" t="str">
            <v>bh</v>
          </cell>
          <cell r="E409">
            <v>875000</v>
          </cell>
        </row>
        <row r="410">
          <cell r="A410" t="str">
            <v>BV31</v>
          </cell>
          <cell r="B410">
            <v>377</v>
          </cell>
          <cell r="C410" t="str">
            <v xml:space="preserve">Urinoar Lengkap TOTO Warna Standard lengkap </v>
          </cell>
          <cell r="D410" t="str">
            <v>unit</v>
          </cell>
          <cell r="E410">
            <v>935000</v>
          </cell>
        </row>
        <row r="411">
          <cell r="A411" t="str">
            <v>BV32</v>
          </cell>
          <cell r="B411">
            <v>378</v>
          </cell>
          <cell r="C411" t="str">
            <v xml:space="preserve">Penyekat Poslin Urinoar TOTO </v>
          </cell>
          <cell r="D411" t="str">
            <v>lbr</v>
          </cell>
          <cell r="E411">
            <v>252000</v>
          </cell>
        </row>
        <row r="412">
          <cell r="A412" t="str">
            <v>BV33</v>
          </cell>
          <cell r="B412">
            <v>379</v>
          </cell>
          <cell r="C412" t="str">
            <v>Kitchen Zink Stainless Standard Lokal ( 1 Lobang )</v>
          </cell>
          <cell r="D412" t="str">
            <v>bh</v>
          </cell>
          <cell r="E412">
            <v>175000</v>
          </cell>
        </row>
        <row r="413">
          <cell r="A413" t="str">
            <v>BV34</v>
          </cell>
          <cell r="B413">
            <v>380</v>
          </cell>
          <cell r="C413" t="str">
            <v>Kitchen Zink Stainless Non Standard Franke ( 1 Lobang )</v>
          </cell>
          <cell r="D413" t="str">
            <v>bh</v>
          </cell>
          <cell r="E413">
            <v>425000</v>
          </cell>
        </row>
        <row r="414">
          <cell r="A414" t="str">
            <v>BV35</v>
          </cell>
          <cell r="B414">
            <v>381</v>
          </cell>
          <cell r="C414" t="str">
            <v>Kitchen Zink Stainless Non Standard Franke ( 2 Lobang )</v>
          </cell>
          <cell r="D414" t="str">
            <v>bh</v>
          </cell>
          <cell r="E414">
            <v>675000</v>
          </cell>
        </row>
        <row r="416">
          <cell r="C416" t="str">
            <v>M. BAHAN PENUTUP ATAP</v>
          </cell>
        </row>
        <row r="417">
          <cell r="A417" t="str">
            <v>BX01</v>
          </cell>
          <cell r="B417">
            <v>382</v>
          </cell>
          <cell r="C417" t="str">
            <v>Atap Plastik Gelombang 80 x 180</v>
          </cell>
          <cell r="D417" t="str">
            <v>lbr</v>
          </cell>
          <cell r="E417">
            <v>12500</v>
          </cell>
        </row>
        <row r="418">
          <cell r="A418" t="str">
            <v>BX02</v>
          </cell>
          <cell r="B418">
            <v>383</v>
          </cell>
          <cell r="C418" t="str">
            <v>Atap Fiber Glass Tipis 80 x 180 (gelombang)</v>
          </cell>
          <cell r="D418" t="str">
            <v>lbr</v>
          </cell>
          <cell r="E418">
            <v>21000</v>
          </cell>
        </row>
        <row r="419">
          <cell r="A419" t="str">
            <v>BX03</v>
          </cell>
          <cell r="B419">
            <v>384</v>
          </cell>
          <cell r="C419" t="str">
            <v>Atap Fiber Glass Tebal 80 x 180 (gelombang)</v>
          </cell>
          <cell r="D419" t="str">
            <v>lbr</v>
          </cell>
          <cell r="E419">
            <v>33500</v>
          </cell>
        </row>
        <row r="420">
          <cell r="A420" t="str">
            <v>BX04</v>
          </cell>
          <cell r="B420">
            <v>385</v>
          </cell>
          <cell r="C420" t="str">
            <v>Atap Aluminium Natural USR 26 ( JAINDO )</v>
          </cell>
          <cell r="D420" t="str">
            <v>m²</v>
          </cell>
          <cell r="E420">
            <v>81400</v>
          </cell>
        </row>
        <row r="421">
          <cell r="A421" t="str">
            <v>BX05</v>
          </cell>
          <cell r="B421">
            <v>386</v>
          </cell>
          <cell r="C421" t="str">
            <v>Atap Aluminium Warna USR 26 ( JAINDO )</v>
          </cell>
          <cell r="D421" t="str">
            <v>m²</v>
          </cell>
          <cell r="E421">
            <v>93500</v>
          </cell>
        </row>
        <row r="422">
          <cell r="A422" t="str">
            <v>BX06</v>
          </cell>
          <cell r="B422">
            <v>387</v>
          </cell>
          <cell r="C422" t="str">
            <v>Atap Asbes Gel. Kecil 4 mm 80 x 180</v>
          </cell>
          <cell r="D422" t="str">
            <v>lbr</v>
          </cell>
          <cell r="E422">
            <v>33500</v>
          </cell>
        </row>
        <row r="423">
          <cell r="A423" t="str">
            <v>BX07</v>
          </cell>
          <cell r="B423">
            <v>388</v>
          </cell>
          <cell r="C423" t="str">
            <v>Atap Asbes Gel. Besar 5 mm 80 x 180</v>
          </cell>
          <cell r="D423" t="str">
            <v>lbr</v>
          </cell>
          <cell r="E423">
            <v>50400</v>
          </cell>
        </row>
        <row r="424">
          <cell r="A424" t="str">
            <v>BX08</v>
          </cell>
          <cell r="B424">
            <v>389</v>
          </cell>
          <cell r="C424" t="str">
            <v>Atap Tegola Kubota, lengkap</v>
          </cell>
          <cell r="D424" t="str">
            <v>m²</v>
          </cell>
          <cell r="E424">
            <v>284000</v>
          </cell>
        </row>
        <row r="425">
          <cell r="A425" t="str">
            <v>BX09</v>
          </cell>
          <cell r="B425">
            <v>390</v>
          </cell>
          <cell r="C425" t="str">
            <v>Atap Tegola Kwalitas Sedang</v>
          </cell>
          <cell r="D425" t="str">
            <v>m²</v>
          </cell>
          <cell r="E425">
            <v>157850</v>
          </cell>
        </row>
        <row r="426">
          <cell r="A426" t="str">
            <v>BX10</v>
          </cell>
          <cell r="B426">
            <v>391</v>
          </cell>
          <cell r="C426" t="str">
            <v>Aluminium foile</v>
          </cell>
          <cell r="D426" t="str">
            <v>m²</v>
          </cell>
          <cell r="E426">
            <v>4500</v>
          </cell>
        </row>
        <row r="427">
          <cell r="A427" t="str">
            <v>BX11</v>
          </cell>
          <cell r="B427">
            <v>392</v>
          </cell>
          <cell r="C427" t="str">
            <v>Atap Genteng Plentong pres Bakar KW 1</v>
          </cell>
          <cell r="D427" t="str">
            <v>bh</v>
          </cell>
          <cell r="E427">
            <v>650</v>
          </cell>
        </row>
        <row r="428">
          <cell r="A428" t="str">
            <v>BX12</v>
          </cell>
          <cell r="B428">
            <v>393</v>
          </cell>
          <cell r="C428" t="str">
            <v xml:space="preserve">Atap Genteng Plentong pres Molen Oven KW1 </v>
          </cell>
          <cell r="D428" t="str">
            <v>bh</v>
          </cell>
          <cell r="E428">
            <v>750</v>
          </cell>
        </row>
        <row r="429">
          <cell r="A429" t="str">
            <v>BX13</v>
          </cell>
          <cell r="B429">
            <v>394</v>
          </cell>
          <cell r="C429" t="str">
            <v>Atap Genteng Flam pres Molen Oven Jatiwangi</v>
          </cell>
          <cell r="D429" t="str">
            <v>bh</v>
          </cell>
          <cell r="E429">
            <v>850</v>
          </cell>
        </row>
        <row r="430">
          <cell r="A430" t="str">
            <v>BX14</v>
          </cell>
          <cell r="B430">
            <v>395</v>
          </cell>
          <cell r="C430" t="str">
            <v>Bubung Genteng pres Bulat Ex Jatiwangi</v>
          </cell>
          <cell r="D430" t="str">
            <v>bh</v>
          </cell>
          <cell r="E430">
            <v>3300</v>
          </cell>
        </row>
        <row r="431">
          <cell r="A431" t="str">
            <v>BX15</v>
          </cell>
          <cell r="B431">
            <v>396</v>
          </cell>
          <cell r="C431" t="str">
            <v>Genteng Bubungan Ex Jatiwangi Segi Tiga</v>
          </cell>
          <cell r="D431" t="str">
            <v>bh</v>
          </cell>
          <cell r="E431">
            <v>2300</v>
          </cell>
        </row>
        <row r="432">
          <cell r="A432" t="str">
            <v>BX16</v>
          </cell>
          <cell r="B432">
            <v>397</v>
          </cell>
          <cell r="C432" t="str">
            <v>Genteng Bubungan Beton</v>
          </cell>
          <cell r="D432" t="str">
            <v>bh</v>
          </cell>
          <cell r="E432">
            <v>5500</v>
          </cell>
        </row>
        <row r="433">
          <cell r="A433" t="str">
            <v>BX17</v>
          </cell>
          <cell r="B433">
            <v>398</v>
          </cell>
          <cell r="C433" t="str">
            <v>Genteng Metal  ( Rainbow Roof )</v>
          </cell>
          <cell r="D433" t="str">
            <v>m²</v>
          </cell>
          <cell r="E433">
            <v>125000</v>
          </cell>
        </row>
        <row r="434">
          <cell r="A434" t="str">
            <v>BX18</v>
          </cell>
          <cell r="B434">
            <v>399</v>
          </cell>
          <cell r="C434" t="str">
            <v xml:space="preserve">Genteng Metal Hana </v>
          </cell>
          <cell r="D434" t="str">
            <v>m²</v>
          </cell>
          <cell r="E434">
            <v>90750</v>
          </cell>
        </row>
        <row r="435">
          <cell r="A435" t="str">
            <v>BX19</v>
          </cell>
          <cell r="B435">
            <v>400</v>
          </cell>
          <cell r="C435" t="str">
            <v>Nok Atas Metal ( Rainbow Roof )</v>
          </cell>
          <cell r="D435" t="str">
            <v>m1</v>
          </cell>
          <cell r="E435">
            <v>81950</v>
          </cell>
        </row>
        <row r="436">
          <cell r="A436" t="str">
            <v>BX20</v>
          </cell>
          <cell r="B436">
            <v>401</v>
          </cell>
          <cell r="C436" t="str">
            <v>Nok Atas Metal Hana</v>
          </cell>
          <cell r="D436" t="str">
            <v>m1</v>
          </cell>
          <cell r="E436">
            <v>44000</v>
          </cell>
        </row>
        <row r="437">
          <cell r="A437" t="str">
            <v>BX21</v>
          </cell>
          <cell r="B437">
            <v>402</v>
          </cell>
          <cell r="C437" t="str">
            <v>Nok Pinggir Metal ( Rainbow Roof )</v>
          </cell>
          <cell r="D437" t="str">
            <v>m1</v>
          </cell>
          <cell r="E437">
            <v>57000</v>
          </cell>
        </row>
        <row r="438">
          <cell r="A438" t="str">
            <v>BX22</v>
          </cell>
          <cell r="B438">
            <v>403</v>
          </cell>
          <cell r="C438" t="str">
            <v>Nok Pinggir Hana</v>
          </cell>
          <cell r="D438" t="str">
            <v>m1</v>
          </cell>
          <cell r="E438">
            <v>44000</v>
          </cell>
        </row>
        <row r="439">
          <cell r="A439" t="str">
            <v>BX23</v>
          </cell>
          <cell r="B439">
            <v>404</v>
          </cell>
          <cell r="C439" t="str">
            <v>Wall Flashing ( Rainbow Roof )</v>
          </cell>
          <cell r="D439" t="str">
            <v>m1</v>
          </cell>
          <cell r="E439">
            <v>57000</v>
          </cell>
        </row>
        <row r="440">
          <cell r="A440" t="str">
            <v>BX24</v>
          </cell>
          <cell r="B440">
            <v>405</v>
          </cell>
          <cell r="C440" t="str">
            <v>Wall Flashing Hana</v>
          </cell>
          <cell r="D440" t="str">
            <v>m1</v>
          </cell>
          <cell r="E440">
            <v>44000</v>
          </cell>
        </row>
        <row r="441">
          <cell r="A441" t="str">
            <v>BX25</v>
          </cell>
          <cell r="B441">
            <v>406</v>
          </cell>
          <cell r="C441" t="str">
            <v>Atap Genteng Beton Warna 14,5/m2</v>
          </cell>
          <cell r="D441" t="str">
            <v>m²</v>
          </cell>
          <cell r="E441">
            <v>52500</v>
          </cell>
        </row>
        <row r="442">
          <cell r="A442" t="str">
            <v>BX26</v>
          </cell>
          <cell r="B442">
            <v>407</v>
          </cell>
          <cell r="C442" t="str">
            <v>Genteng Beton Natural</v>
          </cell>
          <cell r="D442" t="str">
            <v>m²</v>
          </cell>
          <cell r="E442">
            <v>49950</v>
          </cell>
        </row>
        <row r="443">
          <cell r="A443" t="str">
            <v>BX27</v>
          </cell>
          <cell r="B443">
            <v>408</v>
          </cell>
          <cell r="C443" t="str">
            <v>Sirap Kelas I ( 80 / m2 )</v>
          </cell>
          <cell r="D443" t="str">
            <v>bh</v>
          </cell>
          <cell r="E443">
            <v>600</v>
          </cell>
        </row>
        <row r="444">
          <cell r="A444" t="str">
            <v>BX28</v>
          </cell>
          <cell r="B444">
            <v>409</v>
          </cell>
          <cell r="C444" t="str">
            <v>Genteng Keramik Natural Intan 14,5 / m2</v>
          </cell>
          <cell r="D444" t="str">
            <v>m²</v>
          </cell>
          <cell r="E444">
            <v>57200</v>
          </cell>
        </row>
        <row r="445">
          <cell r="A445" t="str">
            <v>BX29</v>
          </cell>
          <cell r="B445">
            <v>410</v>
          </cell>
          <cell r="C445" t="str">
            <v>Genteng Keramik Glasur Standard 14,5 / m2</v>
          </cell>
          <cell r="D445" t="str">
            <v>m²</v>
          </cell>
          <cell r="E445">
            <v>64350</v>
          </cell>
        </row>
        <row r="446">
          <cell r="A446" t="str">
            <v>BX30</v>
          </cell>
          <cell r="B446">
            <v>411</v>
          </cell>
          <cell r="C446" t="str">
            <v>Genteng Keramik Glasur Special 14,5 / m2</v>
          </cell>
          <cell r="D446" t="str">
            <v>m²</v>
          </cell>
          <cell r="E446">
            <v>68200</v>
          </cell>
        </row>
        <row r="447">
          <cell r="A447" t="str">
            <v>BX31</v>
          </cell>
          <cell r="B447">
            <v>412</v>
          </cell>
          <cell r="C447" t="str">
            <v>Genteng Keramik Glasur Premium 14,5 / m2</v>
          </cell>
          <cell r="D447" t="str">
            <v>m²</v>
          </cell>
          <cell r="E447">
            <v>76700</v>
          </cell>
        </row>
        <row r="448">
          <cell r="A448" t="str">
            <v>BX32</v>
          </cell>
          <cell r="B448">
            <v>413</v>
          </cell>
          <cell r="C448" t="str">
            <v>Genteng Murando Natural 1m2 = 20 bh</v>
          </cell>
          <cell r="D448" t="str">
            <v>bh</v>
          </cell>
          <cell r="E448">
            <v>1500</v>
          </cell>
        </row>
        <row r="449">
          <cell r="A449" t="str">
            <v>BX33</v>
          </cell>
          <cell r="B449">
            <v>414</v>
          </cell>
          <cell r="C449" t="str">
            <v>Genteng Murando Glasur 1m2 = 20 bh</v>
          </cell>
          <cell r="D449" t="str">
            <v>bh</v>
          </cell>
          <cell r="E449">
            <v>2200</v>
          </cell>
        </row>
        <row r="450">
          <cell r="A450" t="str">
            <v>BX34</v>
          </cell>
          <cell r="B450">
            <v>415</v>
          </cell>
          <cell r="C450" t="str">
            <v>Bubung Murando Natural</v>
          </cell>
          <cell r="D450" t="str">
            <v>bh</v>
          </cell>
          <cell r="E450">
            <v>2500</v>
          </cell>
        </row>
        <row r="451">
          <cell r="A451" t="str">
            <v>BX35</v>
          </cell>
          <cell r="B451">
            <v>416</v>
          </cell>
          <cell r="C451" t="str">
            <v>Bubung Murando Glasur</v>
          </cell>
          <cell r="D451" t="str">
            <v>bh</v>
          </cell>
          <cell r="E451">
            <v>5500</v>
          </cell>
        </row>
        <row r="452">
          <cell r="A452" t="str">
            <v>BX36</v>
          </cell>
          <cell r="B452">
            <v>417</v>
          </cell>
          <cell r="C452" t="str">
            <v>Bubungan Genteng Keramik</v>
          </cell>
          <cell r="D452" t="str">
            <v>bh</v>
          </cell>
          <cell r="E452">
            <v>5000</v>
          </cell>
        </row>
        <row r="454">
          <cell r="C454" t="str">
            <v>N. BAHAN MEKANIKAL</v>
          </cell>
        </row>
        <row r="455">
          <cell r="A455" t="str">
            <v>BZ01</v>
          </cell>
          <cell r="B455">
            <v>418</v>
          </cell>
          <cell r="C455" t="str">
            <v>Jockey Pump kap. 80 gln / menit 100 m1  ( 18,6 kW )</v>
          </cell>
          <cell r="D455" t="str">
            <v>unit</v>
          </cell>
          <cell r="E455">
            <v>35000000</v>
          </cell>
        </row>
        <row r="456">
          <cell r="A456" t="str">
            <v>BZ02</v>
          </cell>
          <cell r="B456">
            <v>419</v>
          </cell>
          <cell r="C456" t="str">
            <v>Electrical Pump kap. 750 gln / menit 120 m1  ( 90 kW )</v>
          </cell>
          <cell r="D456" t="str">
            <v>unit</v>
          </cell>
          <cell r="E456">
            <v>120000000</v>
          </cell>
        </row>
        <row r="457">
          <cell r="A457" t="str">
            <v>BZ03</v>
          </cell>
          <cell r="B457">
            <v>420</v>
          </cell>
          <cell r="C457" t="str">
            <v>Diesel Pump kap. 750 gln / menit 120 m1  ( 105 kW )</v>
          </cell>
          <cell r="D457" t="str">
            <v>unit</v>
          </cell>
          <cell r="E457">
            <v>300000000</v>
          </cell>
        </row>
        <row r="458">
          <cell r="A458" t="str">
            <v>BZ04</v>
          </cell>
          <cell r="B458">
            <v>421</v>
          </cell>
          <cell r="C458" t="str">
            <v xml:space="preserve">Presure Tank kap. 500 liter lengkap </v>
          </cell>
          <cell r="D458" t="str">
            <v>unit</v>
          </cell>
          <cell r="E458">
            <v>17500000</v>
          </cell>
        </row>
        <row r="459">
          <cell r="A459" t="str">
            <v>BZ05</v>
          </cell>
          <cell r="B459">
            <v>422</v>
          </cell>
          <cell r="C459" t="str">
            <v>Hydran Box dalam Gedung  (lengkap)</v>
          </cell>
          <cell r="D459" t="str">
            <v>unit</v>
          </cell>
          <cell r="E459">
            <v>3100000</v>
          </cell>
        </row>
        <row r="460">
          <cell r="A460" t="str">
            <v>BZ06</v>
          </cell>
          <cell r="B460">
            <v>423</v>
          </cell>
          <cell r="C460" t="str">
            <v>Fire House 1.5 x 30 m + nose</v>
          </cell>
          <cell r="D460" t="str">
            <v>unit</v>
          </cell>
          <cell r="E460">
            <v>2500000</v>
          </cell>
        </row>
        <row r="461">
          <cell r="A461" t="str">
            <v>BZ07</v>
          </cell>
          <cell r="B461">
            <v>424</v>
          </cell>
          <cell r="C461" t="str">
            <v>Exhouse Fan H 360 W 60 x 60 cm</v>
          </cell>
          <cell r="D461" t="str">
            <v>unit</v>
          </cell>
          <cell r="E461">
            <v>3500000</v>
          </cell>
        </row>
        <row r="462">
          <cell r="A462" t="str">
            <v>BZ08</v>
          </cell>
          <cell r="B462">
            <v>425</v>
          </cell>
          <cell r="C462" t="str">
            <v xml:space="preserve">Exhouse Fan H 380 W CFM 55 x 55 cm </v>
          </cell>
          <cell r="D462" t="str">
            <v>unit</v>
          </cell>
          <cell r="E462">
            <v>3100000</v>
          </cell>
        </row>
        <row r="463">
          <cell r="A463" t="str">
            <v>BZ09</v>
          </cell>
          <cell r="B463">
            <v>426</v>
          </cell>
          <cell r="C463" t="str">
            <v xml:space="preserve">Exhouse Fan H 100 W 40 x 40 cm </v>
          </cell>
          <cell r="D463" t="str">
            <v>unit</v>
          </cell>
          <cell r="E463">
            <v>600000</v>
          </cell>
        </row>
        <row r="464">
          <cell r="A464" t="str">
            <v>BZ10</v>
          </cell>
          <cell r="B464">
            <v>427</v>
          </cell>
          <cell r="C464" t="str">
            <v>AC Split 3 PK Setara TOSHIBA</v>
          </cell>
          <cell r="D464" t="str">
            <v>unit</v>
          </cell>
          <cell r="E464">
            <v>8750000</v>
          </cell>
        </row>
        <row r="465">
          <cell r="A465" t="str">
            <v>BZ11</v>
          </cell>
          <cell r="B465">
            <v>428</v>
          </cell>
          <cell r="C465" t="str">
            <v>AC Split  2 PK Setara TOSHIBA</v>
          </cell>
          <cell r="D465" t="str">
            <v>unit</v>
          </cell>
          <cell r="E465">
            <v>6500000</v>
          </cell>
        </row>
        <row r="466">
          <cell r="A466" t="str">
            <v>BZ12</v>
          </cell>
          <cell r="B466">
            <v>429</v>
          </cell>
          <cell r="C466" t="str">
            <v>AC Split  1 PK Setara TOSHIBA</v>
          </cell>
          <cell r="D466" t="str">
            <v>unit</v>
          </cell>
          <cell r="E466">
            <v>3500000</v>
          </cell>
        </row>
        <row r="467">
          <cell r="A467" t="str">
            <v>BZ13</v>
          </cell>
          <cell r="B467">
            <v>430</v>
          </cell>
          <cell r="C467" t="str">
            <v>Mesin AC Split  DAIKIN ( Indoor / Outdoor Unit )</v>
          </cell>
          <cell r="D467" t="str">
            <v xml:space="preserve">1 BTU </v>
          </cell>
          <cell r="E467">
            <v>1500</v>
          </cell>
        </row>
        <row r="470">
          <cell r="C470" t="str">
            <v>O. BAHAN ELEKTRIKAL</v>
          </cell>
          <cell r="D470">
            <v>1.5</v>
          </cell>
        </row>
        <row r="471">
          <cell r="A471" t="str">
            <v>BZ16</v>
          </cell>
          <cell r="B471">
            <v>431</v>
          </cell>
          <cell r="C471" t="str">
            <v>Kabel NYA  1x 1.5  Prima (1 rol = 50 m')</v>
          </cell>
          <cell r="D471" t="str">
            <v>ROLL</v>
          </cell>
          <cell r="E471">
            <v>51500</v>
          </cell>
        </row>
        <row r="472">
          <cell r="A472" t="str">
            <v>BZ17</v>
          </cell>
          <cell r="B472">
            <v>432</v>
          </cell>
          <cell r="C472" t="str">
            <v>Kabel NYA  1x 2.5  Prima (1 rol = 50 m')</v>
          </cell>
          <cell r="D472" t="str">
            <v>ROLL</v>
          </cell>
          <cell r="E472">
            <v>72000</v>
          </cell>
        </row>
        <row r="473">
          <cell r="A473" t="str">
            <v>BZ18</v>
          </cell>
          <cell r="B473">
            <v>433</v>
          </cell>
          <cell r="C473" t="str">
            <v>Kabel NYM 2 x 1.5 Prima (1 rol = 50 m')</v>
          </cell>
          <cell r="D473" t="str">
            <v>m'</v>
          </cell>
          <cell r="E473">
            <v>1500</v>
          </cell>
        </row>
        <row r="474">
          <cell r="A474" t="str">
            <v>BZ19</v>
          </cell>
          <cell r="B474">
            <v>434</v>
          </cell>
          <cell r="C474" t="str">
            <v>Kabel NYM 3 x 1.5 Prima (1 rol = 50 m')</v>
          </cell>
          <cell r="D474" t="str">
            <v>m'</v>
          </cell>
          <cell r="E474">
            <v>2500</v>
          </cell>
        </row>
        <row r="475">
          <cell r="A475" t="str">
            <v>BZ20</v>
          </cell>
          <cell r="B475">
            <v>435</v>
          </cell>
          <cell r="C475" t="str">
            <v>Kabel NYM 2 x 2.5 Prima (1 rol = 50 m')</v>
          </cell>
          <cell r="D475" t="str">
            <v>m'</v>
          </cell>
          <cell r="E475">
            <v>2000</v>
          </cell>
        </row>
        <row r="476">
          <cell r="A476" t="str">
            <v>BZ21</v>
          </cell>
          <cell r="B476">
            <v>436</v>
          </cell>
          <cell r="C476" t="str">
            <v>Kabel NYM 3 x 2.5 Prima (1 rol = 50 m')</v>
          </cell>
          <cell r="D476" t="str">
            <v>m'</v>
          </cell>
          <cell r="E476">
            <v>3500</v>
          </cell>
        </row>
        <row r="477">
          <cell r="A477" t="str">
            <v>BZ22</v>
          </cell>
          <cell r="B477">
            <v>437</v>
          </cell>
          <cell r="C477" t="str">
            <v>Kabel NYM 4 x 2.5 Prima (1 rol = 50 m')</v>
          </cell>
          <cell r="D477" t="str">
            <v>m'</v>
          </cell>
          <cell r="E477">
            <v>3000</v>
          </cell>
        </row>
        <row r="478">
          <cell r="A478" t="str">
            <v>BZ23</v>
          </cell>
          <cell r="B478">
            <v>438</v>
          </cell>
          <cell r="C478" t="str">
            <v>Kabel NYM 2 x 4    Prima (1 rol = 50 m')</v>
          </cell>
          <cell r="D478" t="str">
            <v>m'</v>
          </cell>
          <cell r="E478">
            <v>2500</v>
          </cell>
        </row>
        <row r="479">
          <cell r="A479" t="str">
            <v>BZ24</v>
          </cell>
          <cell r="B479">
            <v>439</v>
          </cell>
          <cell r="C479" t="str">
            <v>Kabel NYM 3 x 4    Prima (1 rol = 50 m')</v>
          </cell>
          <cell r="D479" t="str">
            <v>m'</v>
          </cell>
          <cell r="E479">
            <v>5750</v>
          </cell>
        </row>
        <row r="480">
          <cell r="A480" t="str">
            <v>BZ25</v>
          </cell>
          <cell r="B480">
            <v>440</v>
          </cell>
          <cell r="C480" t="str">
            <v>Kabel NYM 4 x 4    Prima (1 rol = 50 m')</v>
          </cell>
          <cell r="D480" t="str">
            <v>m'</v>
          </cell>
          <cell r="E480">
            <v>8000</v>
          </cell>
        </row>
        <row r="481">
          <cell r="A481" t="str">
            <v>BZ26</v>
          </cell>
          <cell r="B481">
            <v>441</v>
          </cell>
          <cell r="C481" t="str">
            <v>Kabel NYM 2 x 6    Supreme (1 rol = 50 m')</v>
          </cell>
          <cell r="D481" t="str">
            <v>m'</v>
          </cell>
          <cell r="E481">
            <v>4500</v>
          </cell>
        </row>
        <row r="482">
          <cell r="A482" t="str">
            <v>BZ27</v>
          </cell>
          <cell r="B482">
            <v>442</v>
          </cell>
          <cell r="C482" t="str">
            <v>Kabel NYM 3 x 6    Supreme (1 rol = 50 m')</v>
          </cell>
          <cell r="D482" t="str">
            <v>m'</v>
          </cell>
          <cell r="E482">
            <v>6000</v>
          </cell>
        </row>
        <row r="483">
          <cell r="A483" t="str">
            <v>BZ28</v>
          </cell>
          <cell r="B483">
            <v>443</v>
          </cell>
          <cell r="C483" t="str">
            <v>Kabel NYM 4 x 6    Supreme (1 rol = 50 m')</v>
          </cell>
          <cell r="D483" t="str">
            <v>m'</v>
          </cell>
          <cell r="E483">
            <v>8000</v>
          </cell>
        </row>
        <row r="484">
          <cell r="A484" t="str">
            <v>BZ29</v>
          </cell>
          <cell r="B484">
            <v>444</v>
          </cell>
          <cell r="C484" t="str">
            <v>Kabel NYM 2 x 10  Supreme (1 rol = 50 m')</v>
          </cell>
          <cell r="D484" t="str">
            <v>m'</v>
          </cell>
          <cell r="E484">
            <v>7500</v>
          </cell>
        </row>
        <row r="485">
          <cell r="A485" t="str">
            <v>BZ30</v>
          </cell>
          <cell r="B485">
            <v>445</v>
          </cell>
          <cell r="C485" t="str">
            <v>Kabel NYM 3 x 10  Supreme (1 rol = 50 m')</v>
          </cell>
          <cell r="D485" t="str">
            <v>m'</v>
          </cell>
          <cell r="E485">
            <v>10000</v>
          </cell>
        </row>
        <row r="486">
          <cell r="A486" t="str">
            <v>BZ31</v>
          </cell>
          <cell r="B486">
            <v>446</v>
          </cell>
          <cell r="C486" t="str">
            <v>Kabel NYM 4 x 10  Supreme (1 rol = 50 m')</v>
          </cell>
          <cell r="D486" t="str">
            <v>m'</v>
          </cell>
          <cell r="E486">
            <v>11000</v>
          </cell>
        </row>
        <row r="487">
          <cell r="A487" t="str">
            <v>BZ32</v>
          </cell>
          <cell r="B487">
            <v>447</v>
          </cell>
          <cell r="C487" t="str">
            <v>Kabel NYM 4 x 16  Supreme (1 rol = 50 m')</v>
          </cell>
          <cell r="D487" t="str">
            <v>m'</v>
          </cell>
          <cell r="E487">
            <v>15000</v>
          </cell>
        </row>
        <row r="488">
          <cell r="A488" t="str">
            <v>BZ33</v>
          </cell>
          <cell r="B488">
            <v>448</v>
          </cell>
          <cell r="C488" t="str">
            <v>Kabel NYY 2  x 4    Supreme (1 rol = 50 m')</v>
          </cell>
          <cell r="D488" t="str">
            <v>m'</v>
          </cell>
          <cell r="E488">
            <v>4500</v>
          </cell>
        </row>
        <row r="489">
          <cell r="A489" t="str">
            <v>BZ34</v>
          </cell>
          <cell r="B489">
            <v>449</v>
          </cell>
          <cell r="C489" t="str">
            <v>Kabel NYY 3  x 4    Supreme (1 rol = 50 m')</v>
          </cell>
          <cell r="D489" t="str">
            <v>m'</v>
          </cell>
          <cell r="E489">
            <v>6000</v>
          </cell>
        </row>
        <row r="490">
          <cell r="A490" t="str">
            <v>BZ35</v>
          </cell>
          <cell r="B490">
            <v>450</v>
          </cell>
          <cell r="C490" t="str">
            <v>Kabel NYY 4  x 4    Supreme (1 rol = 50 m')</v>
          </cell>
          <cell r="D490" t="str">
            <v>m'</v>
          </cell>
          <cell r="E490">
            <v>10000</v>
          </cell>
        </row>
        <row r="491">
          <cell r="A491" t="str">
            <v>BZ36</v>
          </cell>
          <cell r="B491">
            <v>451</v>
          </cell>
          <cell r="C491" t="str">
            <v>Kabel NYY 2  x 6    Supreme (1 rol = 50 m')</v>
          </cell>
          <cell r="D491" t="str">
            <v>m'</v>
          </cell>
          <cell r="E491">
            <v>4500</v>
          </cell>
        </row>
        <row r="492">
          <cell r="A492" t="str">
            <v>BZ37</v>
          </cell>
          <cell r="B492">
            <v>452</v>
          </cell>
          <cell r="C492" t="str">
            <v>Kabel NYY 3  x 6    Supreme (1 rol = 50 m')</v>
          </cell>
          <cell r="D492" t="str">
            <v>m'</v>
          </cell>
          <cell r="E492">
            <v>7500</v>
          </cell>
        </row>
        <row r="493">
          <cell r="A493" t="str">
            <v>BZ38</v>
          </cell>
          <cell r="B493">
            <v>453</v>
          </cell>
          <cell r="C493" t="str">
            <v>Kabel NYY 4  x 6    Supreme (1 rol = 50 m')</v>
          </cell>
          <cell r="D493" t="str">
            <v>m'</v>
          </cell>
          <cell r="E493">
            <v>9250</v>
          </cell>
        </row>
        <row r="494">
          <cell r="A494" t="str">
            <v>BZ39</v>
          </cell>
          <cell r="B494">
            <v>454</v>
          </cell>
          <cell r="C494" t="str">
            <v>Kabel NYY 2 x 10   Supreme (1 rol = 50 m')</v>
          </cell>
          <cell r="D494" t="str">
            <v>m'</v>
          </cell>
          <cell r="E494">
            <v>8000</v>
          </cell>
        </row>
        <row r="495">
          <cell r="A495" t="str">
            <v>BZ40</v>
          </cell>
          <cell r="B495">
            <v>455</v>
          </cell>
          <cell r="C495" t="str">
            <v>Kabel NYY 3 x 10   Supreme (1 rol = 50 m')</v>
          </cell>
          <cell r="D495" t="str">
            <v>m'</v>
          </cell>
          <cell r="E495">
            <v>11000</v>
          </cell>
        </row>
        <row r="496">
          <cell r="A496" t="str">
            <v>BZ41</v>
          </cell>
          <cell r="B496">
            <v>456</v>
          </cell>
          <cell r="C496" t="str">
            <v>Kabel NYY 4 x 10   Supreme (1 rol = 50 m')</v>
          </cell>
          <cell r="D496" t="str">
            <v>m'</v>
          </cell>
          <cell r="E496">
            <v>13500</v>
          </cell>
        </row>
        <row r="497">
          <cell r="A497" t="str">
            <v>BZ42</v>
          </cell>
          <cell r="B497">
            <v>457</v>
          </cell>
          <cell r="C497" t="str">
            <v>Kabel NYY 4 x 16   Supreme (1 rol = 50 m')</v>
          </cell>
          <cell r="D497" t="str">
            <v>m'</v>
          </cell>
          <cell r="E497">
            <v>21500</v>
          </cell>
        </row>
        <row r="498">
          <cell r="A498" t="str">
            <v>BZ43</v>
          </cell>
          <cell r="B498">
            <v>458</v>
          </cell>
          <cell r="C498" t="str">
            <v>NSFB FUJI EA - 100 A</v>
          </cell>
          <cell r="D498" t="str">
            <v>bh</v>
          </cell>
          <cell r="E498">
            <v>425500</v>
          </cell>
        </row>
        <row r="499">
          <cell r="A499" t="str">
            <v>BZ44</v>
          </cell>
          <cell r="B499">
            <v>459</v>
          </cell>
          <cell r="C499" t="str">
            <v>NSFB FUJI EA - 150 A</v>
          </cell>
          <cell r="D499" t="str">
            <v>bh</v>
          </cell>
          <cell r="E499">
            <v>1100000</v>
          </cell>
        </row>
        <row r="500">
          <cell r="A500" t="str">
            <v>BZ45</v>
          </cell>
          <cell r="B500">
            <v>460</v>
          </cell>
          <cell r="C500" t="str">
            <v>Rumah Panel 30 x 60 cm (kosong)</v>
          </cell>
          <cell r="D500" t="str">
            <v>unt</v>
          </cell>
          <cell r="E500">
            <v>75000</v>
          </cell>
        </row>
        <row r="501">
          <cell r="A501" t="str">
            <v>BZ46</v>
          </cell>
          <cell r="B501">
            <v>461</v>
          </cell>
          <cell r="C501" t="str">
            <v>Skring Kas 2 grop Biasa</v>
          </cell>
          <cell r="D501" t="str">
            <v>unt</v>
          </cell>
          <cell r="E501">
            <v>86500</v>
          </cell>
        </row>
        <row r="502">
          <cell r="A502" t="str">
            <v>BZ47</v>
          </cell>
          <cell r="B502">
            <v>462</v>
          </cell>
          <cell r="C502" t="str">
            <v>Skring Kas 3 grop Biasa</v>
          </cell>
          <cell r="D502" t="str">
            <v>unt</v>
          </cell>
          <cell r="E502">
            <v>109500</v>
          </cell>
        </row>
        <row r="503">
          <cell r="A503" t="str">
            <v>BZ48</v>
          </cell>
          <cell r="B503">
            <v>463</v>
          </cell>
          <cell r="C503" t="str">
            <v>Skring Kas 5 grop Biasa</v>
          </cell>
          <cell r="D503" t="str">
            <v>unt</v>
          </cell>
          <cell r="E503">
            <v>230000</v>
          </cell>
        </row>
        <row r="504">
          <cell r="A504" t="str">
            <v>BZ49</v>
          </cell>
          <cell r="B504">
            <v>464</v>
          </cell>
          <cell r="C504" t="str">
            <v>MCB 1 PAS</v>
          </cell>
          <cell r="D504" t="str">
            <v>bh</v>
          </cell>
          <cell r="E504">
            <v>25500</v>
          </cell>
        </row>
        <row r="505">
          <cell r="A505" t="str">
            <v>BZ50</v>
          </cell>
          <cell r="B505">
            <v>465</v>
          </cell>
          <cell r="C505" t="str">
            <v>MCB 3 PAS</v>
          </cell>
          <cell r="D505" t="str">
            <v>bh</v>
          </cell>
          <cell r="E505">
            <v>32000</v>
          </cell>
        </row>
        <row r="506">
          <cell r="A506" t="str">
            <v>BZ51</v>
          </cell>
          <cell r="B506">
            <v>466</v>
          </cell>
          <cell r="C506" t="str">
            <v>Tahanan 50 A Merk Fuji</v>
          </cell>
          <cell r="D506" t="str">
            <v>bh</v>
          </cell>
          <cell r="E506">
            <v>259000</v>
          </cell>
        </row>
        <row r="507">
          <cell r="A507" t="str">
            <v>BZ53</v>
          </cell>
          <cell r="B507">
            <v>467</v>
          </cell>
          <cell r="C507" t="str">
            <v>Saklar Broko Tunggal Standard ( 1 Phase )</v>
          </cell>
          <cell r="D507" t="str">
            <v>bh</v>
          </cell>
          <cell r="E507">
            <v>12000</v>
          </cell>
        </row>
        <row r="509">
          <cell r="A509" t="str">
            <v>BZ54</v>
          </cell>
          <cell r="B509">
            <v>468</v>
          </cell>
          <cell r="C509" t="str">
            <v>Saklar Broko Seri Standard ( 1 Phase )</v>
          </cell>
          <cell r="D509" t="str">
            <v>bh</v>
          </cell>
          <cell r="E509">
            <v>12000</v>
          </cell>
        </row>
        <row r="510">
          <cell r="A510" t="str">
            <v>BZ55</v>
          </cell>
          <cell r="B510">
            <v>469</v>
          </cell>
          <cell r="C510" t="str">
            <v>Stop Kontak Broko Standard ( 1 Phase )</v>
          </cell>
          <cell r="D510" t="str">
            <v>bh</v>
          </cell>
          <cell r="E510">
            <v>13500</v>
          </cell>
        </row>
        <row r="511">
          <cell r="A511" t="str">
            <v>BZ56</v>
          </cell>
          <cell r="B511">
            <v>470</v>
          </cell>
          <cell r="C511" t="str">
            <v xml:space="preserve">Stop Kontak Broko 3 Phase ( Out Bow )  </v>
          </cell>
          <cell r="D511" t="str">
            <v>bh</v>
          </cell>
          <cell r="E511">
            <v>44550</v>
          </cell>
        </row>
        <row r="512">
          <cell r="A512" t="str">
            <v>BZ57</v>
          </cell>
          <cell r="B512">
            <v>471</v>
          </cell>
          <cell r="C512" t="str">
            <v xml:space="preserve">Stop Kontak Broko 3 Phase ( In Bow )  </v>
          </cell>
          <cell r="D512" t="str">
            <v>bh</v>
          </cell>
          <cell r="E512">
            <v>75900</v>
          </cell>
        </row>
        <row r="513">
          <cell r="A513" t="str">
            <v>BZ58</v>
          </cell>
          <cell r="B513">
            <v>472</v>
          </cell>
          <cell r="C513" t="str">
            <v xml:space="preserve">Stop Kontak Handle 3 Phase  </v>
          </cell>
          <cell r="D513" t="str">
            <v>bh</v>
          </cell>
          <cell r="E513">
            <v>44500</v>
          </cell>
        </row>
        <row r="514">
          <cell r="A514" t="str">
            <v>BZ59</v>
          </cell>
          <cell r="B514">
            <v>473</v>
          </cell>
          <cell r="C514" t="str">
            <v>Instalasi Titik Lampu / Stop Kontak ( Upah dan Alat )</v>
          </cell>
          <cell r="D514" t="str">
            <v>ttk</v>
          </cell>
          <cell r="E514">
            <v>90800</v>
          </cell>
        </row>
        <row r="515">
          <cell r="A515" t="str">
            <v>BZ60</v>
          </cell>
          <cell r="B515">
            <v>474</v>
          </cell>
          <cell r="C515" t="str">
            <v>Lampu pijar 25 Watt s/d 100 Watt</v>
          </cell>
          <cell r="D515" t="str">
            <v>bh</v>
          </cell>
          <cell r="E515">
            <v>4750</v>
          </cell>
        </row>
        <row r="516">
          <cell r="A516" t="str">
            <v>BZ61</v>
          </cell>
          <cell r="B516">
            <v>475</v>
          </cell>
          <cell r="C516" t="str">
            <v>Lampu Neon TL Philip 20 W</v>
          </cell>
          <cell r="D516" t="str">
            <v>bh</v>
          </cell>
          <cell r="E516">
            <v>13500</v>
          </cell>
        </row>
        <row r="517">
          <cell r="A517" t="str">
            <v>BZ62</v>
          </cell>
          <cell r="B517">
            <v>476</v>
          </cell>
          <cell r="C517" t="str">
            <v>Lampu Neon TL Philip 40 W</v>
          </cell>
          <cell r="D517" t="str">
            <v>bh</v>
          </cell>
          <cell r="E517">
            <v>18000</v>
          </cell>
        </row>
        <row r="518">
          <cell r="A518" t="str">
            <v>BZ63</v>
          </cell>
          <cell r="B518">
            <v>477</v>
          </cell>
          <cell r="C518" t="str">
            <v>Trapo TL 20 W ( Philip )</v>
          </cell>
          <cell r="D518" t="str">
            <v>bh</v>
          </cell>
          <cell r="E518">
            <v>20000</v>
          </cell>
        </row>
        <row r="519">
          <cell r="A519" t="str">
            <v>BZ64</v>
          </cell>
          <cell r="B519">
            <v>478</v>
          </cell>
          <cell r="C519" t="str">
            <v>Trapo TL 40 W ( Philip )</v>
          </cell>
          <cell r="D519" t="str">
            <v>bh</v>
          </cell>
          <cell r="E519">
            <v>21000</v>
          </cell>
        </row>
        <row r="520">
          <cell r="A520" t="str">
            <v>BZ65</v>
          </cell>
          <cell r="B520">
            <v>479</v>
          </cell>
          <cell r="C520" t="str">
            <v>Trapo TL 20 W ( Sinar )</v>
          </cell>
          <cell r="D520" t="str">
            <v>bh</v>
          </cell>
          <cell r="E520">
            <v>17500</v>
          </cell>
        </row>
        <row r="521">
          <cell r="A521" t="str">
            <v>BZ66</v>
          </cell>
          <cell r="B521">
            <v>480</v>
          </cell>
          <cell r="C521" t="str">
            <v>Trapo TL 40 W ( Sinar )</v>
          </cell>
          <cell r="D521" t="str">
            <v>bh</v>
          </cell>
          <cell r="E521">
            <v>16600</v>
          </cell>
        </row>
        <row r="522">
          <cell r="A522" t="str">
            <v>BZ67</v>
          </cell>
          <cell r="B522">
            <v>481</v>
          </cell>
          <cell r="C522" t="str">
            <v>Stater Neon Philip</v>
          </cell>
          <cell r="D522" t="str">
            <v>bh</v>
          </cell>
          <cell r="E522">
            <v>2750</v>
          </cell>
        </row>
        <row r="523">
          <cell r="A523" t="str">
            <v>BZ68</v>
          </cell>
          <cell r="B523">
            <v>482</v>
          </cell>
          <cell r="C523" t="str">
            <v>Stater Neon Biasa</v>
          </cell>
          <cell r="D523" t="str">
            <v>bh</v>
          </cell>
          <cell r="E523">
            <v>1400</v>
          </cell>
        </row>
        <row r="524">
          <cell r="A524" t="str">
            <v>BZ69</v>
          </cell>
          <cell r="B524">
            <v>483</v>
          </cell>
          <cell r="C524" t="str">
            <v>Rumah TL In Bow / Out Bow 2 x 20 W ( Kosongan )</v>
          </cell>
          <cell r="D524" t="str">
            <v>bh</v>
          </cell>
          <cell r="E524">
            <v>57200</v>
          </cell>
        </row>
        <row r="525">
          <cell r="A525" t="str">
            <v>BZ70</v>
          </cell>
          <cell r="B525">
            <v>484</v>
          </cell>
          <cell r="C525" t="str">
            <v>Down Light + SL 25 W</v>
          </cell>
          <cell r="D525" t="str">
            <v>bh</v>
          </cell>
          <cell r="E525">
            <v>151000</v>
          </cell>
        </row>
        <row r="526">
          <cell r="A526" t="str">
            <v>BZ71</v>
          </cell>
          <cell r="B526">
            <v>485</v>
          </cell>
          <cell r="C526" t="str">
            <v>Lampu SL Philip 25 W</v>
          </cell>
          <cell r="D526" t="str">
            <v>bh</v>
          </cell>
          <cell r="E526">
            <v>66600</v>
          </cell>
        </row>
        <row r="527">
          <cell r="A527" t="str">
            <v>BZ72</v>
          </cell>
          <cell r="B527">
            <v>486</v>
          </cell>
          <cell r="C527" t="str">
            <v>Lampu Sirkel TL 20 W Lengkap</v>
          </cell>
          <cell r="D527" t="str">
            <v>bh</v>
          </cell>
          <cell r="E527">
            <v>34650</v>
          </cell>
        </row>
        <row r="528">
          <cell r="A528" t="str">
            <v>BZ73</v>
          </cell>
          <cell r="B528">
            <v>487</v>
          </cell>
          <cell r="C528" t="str">
            <v>Lampu Mercuri 80 W</v>
          </cell>
          <cell r="D528" t="str">
            <v>bh</v>
          </cell>
          <cell r="E528">
            <v>60000</v>
          </cell>
        </row>
        <row r="529">
          <cell r="A529" t="str">
            <v>BZ74</v>
          </cell>
          <cell r="B529">
            <v>488</v>
          </cell>
          <cell r="C529" t="str">
            <v xml:space="preserve">Lampu Taman + Tiang + Lampu 1 Buah </v>
          </cell>
          <cell r="D529" t="str">
            <v>bh</v>
          </cell>
          <cell r="E529">
            <v>160000</v>
          </cell>
        </row>
        <row r="530">
          <cell r="A530" t="str">
            <v>BZ75</v>
          </cell>
          <cell r="B530">
            <v>489</v>
          </cell>
          <cell r="C530" t="str">
            <v>Lampu Baret 30 cm + Neon</v>
          </cell>
          <cell r="D530" t="str">
            <v>bh</v>
          </cell>
          <cell r="E530">
            <v>112700</v>
          </cell>
        </row>
        <row r="531">
          <cell r="A531" t="str">
            <v>BZ76</v>
          </cell>
          <cell r="B531">
            <v>490</v>
          </cell>
          <cell r="C531" t="str">
            <v xml:space="preserve">Lampu Neon Arcrilik 2 x 40 W lengkap </v>
          </cell>
          <cell r="D531" t="str">
            <v>bh</v>
          </cell>
          <cell r="E531">
            <v>394350</v>
          </cell>
        </row>
        <row r="532">
          <cell r="A532" t="str">
            <v>BZ77</v>
          </cell>
          <cell r="B532">
            <v>491</v>
          </cell>
          <cell r="C532" t="str">
            <v>Jarum Penangkal Petir 16</v>
          </cell>
          <cell r="D532" t="str">
            <v>bh</v>
          </cell>
          <cell r="E532">
            <v>52900</v>
          </cell>
        </row>
        <row r="533">
          <cell r="A533" t="str">
            <v>BZ78</v>
          </cell>
          <cell r="B533">
            <v>492</v>
          </cell>
          <cell r="C533" t="str">
            <v>Kawat BC ( Tembaga )</v>
          </cell>
          <cell r="D533" t="str">
            <v>kg</v>
          </cell>
          <cell r="E533">
            <v>11550</v>
          </cell>
        </row>
        <row r="534">
          <cell r="A534" t="str">
            <v>BZ79</v>
          </cell>
          <cell r="B534">
            <v>493</v>
          </cell>
          <cell r="C534" t="str">
            <v>Pentanahan Penangkal Petir</v>
          </cell>
          <cell r="D534" t="str">
            <v>ttk</v>
          </cell>
          <cell r="E534">
            <v>222750</v>
          </cell>
        </row>
        <row r="535">
          <cell r="A535" t="str">
            <v>BZ80</v>
          </cell>
          <cell r="B535">
            <v>494</v>
          </cell>
          <cell r="C535" t="str">
            <v>Pentanahan Panel</v>
          </cell>
          <cell r="D535" t="str">
            <v>ttk</v>
          </cell>
          <cell r="E535">
            <v>96250</v>
          </cell>
        </row>
        <row r="537">
          <cell r="C537" t="str">
            <v>P. BAHAN ALAT PENGANTUNG DAN KUNCI</v>
          </cell>
        </row>
        <row r="538">
          <cell r="A538" t="str">
            <v>CC01</v>
          </cell>
          <cell r="B538">
            <v>495</v>
          </cell>
          <cell r="C538" t="str">
            <v>Kunci Silinder ALFA untuk Pintu Alumunium</v>
          </cell>
          <cell r="D538" t="str">
            <v>bh</v>
          </cell>
          <cell r="E538">
            <v>150000</v>
          </cell>
        </row>
        <row r="539">
          <cell r="A539" t="str">
            <v>CC02</v>
          </cell>
          <cell r="B539">
            <v>496</v>
          </cell>
          <cell r="C539" t="str">
            <v>Tarikan Pintu Alumunium</v>
          </cell>
          <cell r="D539" t="str">
            <v>bh</v>
          </cell>
          <cell r="E539">
            <v>150000</v>
          </cell>
        </row>
        <row r="540">
          <cell r="A540" t="str">
            <v>CC03</v>
          </cell>
          <cell r="B540">
            <v>497</v>
          </cell>
          <cell r="C540" t="str">
            <v xml:space="preserve">Kunci 2 Slaag ROYAL </v>
          </cell>
          <cell r="D540" t="str">
            <v>bh</v>
          </cell>
          <cell r="E540">
            <v>45000</v>
          </cell>
        </row>
        <row r="541">
          <cell r="A541" t="str">
            <v>CC04</v>
          </cell>
          <cell r="B541">
            <v>498</v>
          </cell>
          <cell r="C541" t="str">
            <v>Rel Henderson Lengkap</v>
          </cell>
          <cell r="D541" t="str">
            <v>bh</v>
          </cell>
          <cell r="E541">
            <v>453000</v>
          </cell>
        </row>
        <row r="542">
          <cell r="A542" t="str">
            <v>CC05</v>
          </cell>
          <cell r="B542">
            <v>499</v>
          </cell>
          <cell r="C542" t="str">
            <v>Rel Maraton I Pintu</v>
          </cell>
          <cell r="D542" t="str">
            <v>unt</v>
          </cell>
          <cell r="E542">
            <v>50000</v>
          </cell>
        </row>
        <row r="543">
          <cell r="A543" t="str">
            <v>CC06</v>
          </cell>
          <cell r="B543">
            <v>500</v>
          </cell>
          <cell r="C543" t="str">
            <v xml:space="preserve">Kunci 2 Slaag Silinder SEIS Asli type 210 s/d type 226 </v>
          </cell>
          <cell r="D543" t="str">
            <v>bh</v>
          </cell>
          <cell r="E543">
            <v>156000</v>
          </cell>
        </row>
        <row r="544">
          <cell r="A544" t="str">
            <v>CC07</v>
          </cell>
          <cell r="B544">
            <v>501</v>
          </cell>
          <cell r="C544" t="str">
            <v>Kunci 2 Slaag Ancor Asli</v>
          </cell>
          <cell r="D544" t="str">
            <v>bh</v>
          </cell>
          <cell r="E544">
            <v>65000</v>
          </cell>
        </row>
        <row r="545">
          <cell r="A545" t="str">
            <v>CC08</v>
          </cell>
          <cell r="B545">
            <v>502</v>
          </cell>
          <cell r="C545" t="str">
            <v>Kunci 2 Slaag ISO</v>
          </cell>
          <cell r="D545" t="str">
            <v>bh</v>
          </cell>
          <cell r="E545">
            <v>75000</v>
          </cell>
        </row>
        <row r="546">
          <cell r="A546" t="str">
            <v>CC09</v>
          </cell>
          <cell r="B546">
            <v>503</v>
          </cell>
          <cell r="C546" t="str">
            <v xml:space="preserve">Kunci KM Bulat Kualitas Biasa </v>
          </cell>
          <cell r="D546" t="str">
            <v>bh</v>
          </cell>
          <cell r="E546">
            <v>30000</v>
          </cell>
        </row>
        <row r="547">
          <cell r="A547" t="str">
            <v>CC10</v>
          </cell>
          <cell r="B547">
            <v>504</v>
          </cell>
          <cell r="C547" t="str">
            <v xml:space="preserve">Kunci  KM Bulat ALFA </v>
          </cell>
          <cell r="D547" t="str">
            <v>bh</v>
          </cell>
          <cell r="E547">
            <v>40000</v>
          </cell>
        </row>
        <row r="548">
          <cell r="A548" t="str">
            <v>CC11</v>
          </cell>
          <cell r="B548">
            <v>505</v>
          </cell>
          <cell r="C548" t="str">
            <v xml:space="preserve">Kunci 2 Slaag Silinder Utama Standard </v>
          </cell>
          <cell r="D548" t="str">
            <v>bh</v>
          </cell>
          <cell r="E548">
            <v>190000</v>
          </cell>
        </row>
        <row r="549">
          <cell r="A549" t="str">
            <v>CC12</v>
          </cell>
          <cell r="B549">
            <v>506</v>
          </cell>
          <cell r="C549" t="str">
            <v xml:space="preserve">Kunci Gembok Besar </v>
          </cell>
          <cell r="D549" t="str">
            <v>bh</v>
          </cell>
          <cell r="E549">
            <v>45000</v>
          </cell>
        </row>
        <row r="550">
          <cell r="A550" t="str">
            <v>CC13</v>
          </cell>
          <cell r="B550">
            <v>507</v>
          </cell>
          <cell r="C550" t="str">
            <v xml:space="preserve">Kunci 2 Slaag Kuda Terbang </v>
          </cell>
          <cell r="D550" t="str">
            <v>bh</v>
          </cell>
          <cell r="E550">
            <v>40000</v>
          </cell>
        </row>
        <row r="551">
          <cell r="A551" t="str">
            <v>CC14</v>
          </cell>
          <cell r="B551">
            <v>508</v>
          </cell>
          <cell r="C551" t="str">
            <v>Espangolet</v>
          </cell>
          <cell r="D551" t="str">
            <v>ps</v>
          </cell>
          <cell r="E551">
            <v>22500</v>
          </cell>
        </row>
        <row r="552">
          <cell r="A552" t="str">
            <v>CC15</v>
          </cell>
          <cell r="B552">
            <v>509</v>
          </cell>
          <cell r="C552" t="str">
            <v>Grendel 15 cm</v>
          </cell>
          <cell r="D552" t="str">
            <v>bh</v>
          </cell>
          <cell r="E552">
            <v>8000</v>
          </cell>
        </row>
        <row r="553">
          <cell r="A553" t="str">
            <v>CC16</v>
          </cell>
          <cell r="B553">
            <v>510</v>
          </cell>
          <cell r="C553" t="str">
            <v>Grendel 5 cm</v>
          </cell>
          <cell r="D553" t="str">
            <v>bh</v>
          </cell>
          <cell r="E553">
            <v>2000</v>
          </cell>
        </row>
        <row r="554">
          <cell r="A554" t="str">
            <v>CC17</v>
          </cell>
          <cell r="B554">
            <v>511</v>
          </cell>
          <cell r="C554" t="str">
            <v>Hak Angin Kait Jendela Biasa</v>
          </cell>
          <cell r="D554" t="str">
            <v>ps</v>
          </cell>
          <cell r="E554">
            <v>3000</v>
          </cell>
        </row>
        <row r="555">
          <cell r="A555" t="str">
            <v>CC18</v>
          </cell>
          <cell r="B555">
            <v>512</v>
          </cell>
          <cell r="C555" t="str">
            <v>Hak Angin Jendela Antik</v>
          </cell>
          <cell r="D555" t="str">
            <v>ps</v>
          </cell>
          <cell r="E555">
            <v>13000</v>
          </cell>
        </row>
        <row r="556">
          <cell r="A556" t="str">
            <v>CC19</v>
          </cell>
          <cell r="B556">
            <v>513</v>
          </cell>
          <cell r="C556" t="str">
            <v>Hak Angin Sendok Stainless / Kuningan</v>
          </cell>
          <cell r="D556" t="str">
            <v>bh</v>
          </cell>
          <cell r="E556">
            <v>17500</v>
          </cell>
        </row>
        <row r="557">
          <cell r="A557" t="str">
            <v>CC20</v>
          </cell>
          <cell r="B557">
            <v>514</v>
          </cell>
          <cell r="C557" t="str">
            <v>Nako Lengkap Tralis 1 Daun</v>
          </cell>
          <cell r="D557" t="str">
            <v>dn</v>
          </cell>
          <cell r="E557">
            <v>10000</v>
          </cell>
        </row>
        <row r="558">
          <cell r="A558" t="str">
            <v>CC21</v>
          </cell>
          <cell r="B558">
            <v>515</v>
          </cell>
          <cell r="C558" t="str">
            <v>Sloot Pintu berikut  Rantai</v>
          </cell>
          <cell r="D558" t="str">
            <v>bh</v>
          </cell>
          <cell r="E558">
            <v>17500</v>
          </cell>
        </row>
        <row r="559">
          <cell r="A559" t="str">
            <v>CC22</v>
          </cell>
          <cell r="B559">
            <v>516</v>
          </cell>
          <cell r="C559" t="str">
            <v>Sloot Jendela Tunggal</v>
          </cell>
          <cell r="D559" t="str">
            <v>bh</v>
          </cell>
          <cell r="E559">
            <v>6500</v>
          </cell>
        </row>
        <row r="560">
          <cell r="A560" t="str">
            <v>CC23</v>
          </cell>
          <cell r="B560">
            <v>517</v>
          </cell>
          <cell r="C560" t="str">
            <v>Engsel Pintu Unilon Standard</v>
          </cell>
          <cell r="D560" t="str">
            <v>ps</v>
          </cell>
          <cell r="E560">
            <v>7000</v>
          </cell>
        </row>
        <row r="561">
          <cell r="A561" t="str">
            <v>CC24</v>
          </cell>
          <cell r="B561">
            <v>518</v>
          </cell>
          <cell r="C561" t="str">
            <v>Engsel Jendela Unilon</v>
          </cell>
          <cell r="D561" t="str">
            <v>ps</v>
          </cell>
          <cell r="E561">
            <v>6300</v>
          </cell>
        </row>
        <row r="562">
          <cell r="A562" t="str">
            <v>CC25</v>
          </cell>
          <cell r="B562">
            <v>519</v>
          </cell>
          <cell r="C562" t="str">
            <v>Engsel Patrun</v>
          </cell>
          <cell r="D562" t="str">
            <v>ps</v>
          </cell>
          <cell r="E562">
            <v>4000</v>
          </cell>
        </row>
        <row r="563">
          <cell r="A563" t="str">
            <v>CC26</v>
          </cell>
          <cell r="B563">
            <v>520</v>
          </cell>
          <cell r="C563" t="str">
            <v>Engsel Harmonika</v>
          </cell>
          <cell r="D563" t="str">
            <v>m1</v>
          </cell>
          <cell r="E563">
            <v>8500</v>
          </cell>
        </row>
        <row r="564">
          <cell r="A564" t="str">
            <v>CC27</v>
          </cell>
          <cell r="B564">
            <v>521</v>
          </cell>
          <cell r="C564" t="str">
            <v>Door Closer Kelas Standard ( Kelas Sedang )</v>
          </cell>
          <cell r="D564" t="str">
            <v>unt</v>
          </cell>
          <cell r="E564">
            <v>95000</v>
          </cell>
        </row>
        <row r="565">
          <cell r="A565" t="str">
            <v>CC28</v>
          </cell>
          <cell r="B565">
            <v>522</v>
          </cell>
          <cell r="C565" t="str">
            <v>Door Closer Kelas Standard ( Kelas Baik )</v>
          </cell>
          <cell r="D565" t="str">
            <v>unt</v>
          </cell>
          <cell r="E565">
            <v>350000</v>
          </cell>
        </row>
        <row r="566">
          <cell r="A566" t="str">
            <v>CC29</v>
          </cell>
          <cell r="B566">
            <v>523</v>
          </cell>
          <cell r="C566" t="str">
            <v>Door Closer Kelas Rendah</v>
          </cell>
          <cell r="D566" t="str">
            <v>unt</v>
          </cell>
          <cell r="E566">
            <v>80000</v>
          </cell>
        </row>
        <row r="567">
          <cell r="A567" t="str">
            <v>CC30</v>
          </cell>
          <cell r="B567">
            <v>524</v>
          </cell>
          <cell r="C567" t="str">
            <v>Tarikan Almari Rata - rata</v>
          </cell>
          <cell r="D567" t="str">
            <v>bh</v>
          </cell>
          <cell r="E567">
            <v>7000</v>
          </cell>
        </row>
        <row r="568">
          <cell r="A568" t="str">
            <v>CC31</v>
          </cell>
          <cell r="B568">
            <v>525</v>
          </cell>
          <cell r="C568" t="str">
            <v>Seng BJLS 30 lebar 60cm (1 rol 50 m' )</v>
          </cell>
          <cell r="D568" t="str">
            <v>m1</v>
          </cell>
          <cell r="E568">
            <v>13500</v>
          </cell>
        </row>
        <row r="569">
          <cell r="A569" t="str">
            <v>CC32</v>
          </cell>
          <cell r="B569">
            <v>526</v>
          </cell>
          <cell r="C569" t="str">
            <v>Seng BJLS 30 lebar 90cm (1 rol 50 m' )</v>
          </cell>
          <cell r="D569" t="str">
            <v>m1</v>
          </cell>
          <cell r="E569">
            <v>18000</v>
          </cell>
        </row>
        <row r="571">
          <cell r="C571" t="str">
            <v>Q. BAHAN PENGIKAT UNTUK KONTRUKSI JALAN</v>
          </cell>
        </row>
        <row r="572">
          <cell r="A572" t="str">
            <v>CE01</v>
          </cell>
          <cell r="B572">
            <v>527</v>
          </cell>
          <cell r="C572" t="str">
            <v>Hotmix Jadi berikut alat dan bahan bakar ( T = 5 cm  =&gt; 9 m2 )</v>
          </cell>
          <cell r="D572" t="str">
            <v>ton</v>
          </cell>
          <cell r="E572">
            <v>400000</v>
          </cell>
        </row>
        <row r="573">
          <cell r="A573" t="str">
            <v>CE02</v>
          </cell>
          <cell r="B573">
            <v>528</v>
          </cell>
          <cell r="C573" t="str">
            <v>Aspal ( ESO ) 1 Drum 150 Kg</v>
          </cell>
          <cell r="D573" t="str">
            <v>kg</v>
          </cell>
          <cell r="E573">
            <v>3800</v>
          </cell>
        </row>
        <row r="574">
          <cell r="A574" t="str">
            <v>CE03</v>
          </cell>
          <cell r="B574">
            <v>529</v>
          </cell>
          <cell r="C574" t="str">
            <v>Aspal Curah</v>
          </cell>
          <cell r="D574" t="str">
            <v>kg</v>
          </cell>
          <cell r="E574">
            <v>3000</v>
          </cell>
        </row>
        <row r="575">
          <cell r="A575" t="str">
            <v>CE04</v>
          </cell>
          <cell r="B575">
            <v>530</v>
          </cell>
          <cell r="C575" t="str">
            <v>Aspal RC 70 ( Cilacap )</v>
          </cell>
          <cell r="D575" t="str">
            <v>kg</v>
          </cell>
          <cell r="E575">
            <v>4400</v>
          </cell>
        </row>
        <row r="577">
          <cell r="C577" t="str">
            <v>R. BAHAN PENGHISAP AIR SUMUR DALAM</v>
          </cell>
        </row>
        <row r="578">
          <cell r="A578" t="str">
            <v>CG01</v>
          </cell>
          <cell r="B578">
            <v>531</v>
          </cell>
          <cell r="C578" t="str">
            <v>Pompa Kodok</v>
          </cell>
          <cell r="D578" t="str">
            <v>unit</v>
          </cell>
          <cell r="E578">
            <v>105000</v>
          </cell>
        </row>
        <row r="579">
          <cell r="A579" t="str">
            <v>CG02</v>
          </cell>
          <cell r="B579">
            <v>532</v>
          </cell>
          <cell r="C579" t="str">
            <v xml:space="preserve">Pompa Dragon Tegal </v>
          </cell>
          <cell r="D579" t="str">
            <v>unit</v>
          </cell>
          <cell r="E579">
            <v>125000</v>
          </cell>
        </row>
        <row r="580">
          <cell r="A580" t="str">
            <v>CG03</v>
          </cell>
          <cell r="B580">
            <v>533</v>
          </cell>
          <cell r="C580" t="str">
            <v xml:space="preserve">Pompa Dragon Asli </v>
          </cell>
          <cell r="D580" t="str">
            <v>unit</v>
          </cell>
          <cell r="E580">
            <v>250000</v>
          </cell>
        </row>
        <row r="581">
          <cell r="A581" t="str">
            <v>CG04</v>
          </cell>
          <cell r="B581">
            <v>534</v>
          </cell>
          <cell r="C581" t="str">
            <v>Mesin Pompa Air 100 W - Sanyo</v>
          </cell>
          <cell r="D581" t="str">
            <v>unit</v>
          </cell>
          <cell r="E581">
            <v>490000</v>
          </cell>
        </row>
        <row r="582">
          <cell r="A582" t="str">
            <v>CG05</v>
          </cell>
          <cell r="B582">
            <v>535</v>
          </cell>
          <cell r="C582" t="str">
            <v>Mesin Pompa Air 150 W - Sanyo</v>
          </cell>
          <cell r="D582" t="str">
            <v>unit</v>
          </cell>
          <cell r="E582">
            <v>690000</v>
          </cell>
        </row>
        <row r="583">
          <cell r="A583" t="str">
            <v>CG06</v>
          </cell>
          <cell r="B583">
            <v>536</v>
          </cell>
          <cell r="C583" t="str">
            <v>Pompa Zet pump 250 W - Sanyo</v>
          </cell>
          <cell r="D583" t="str">
            <v>unit</v>
          </cell>
          <cell r="E583">
            <v>2750000</v>
          </cell>
        </row>
        <row r="584">
          <cell r="A584" t="str">
            <v>CG07</v>
          </cell>
          <cell r="B584">
            <v>537</v>
          </cell>
          <cell r="C584" t="str">
            <v>Pompa Zet pump 450 W - Sanyo</v>
          </cell>
          <cell r="D584" t="str">
            <v>unit</v>
          </cell>
          <cell r="E584">
            <v>4500000</v>
          </cell>
        </row>
        <row r="585">
          <cell r="A585" t="str">
            <v>CG08</v>
          </cell>
          <cell r="B585">
            <v>538</v>
          </cell>
          <cell r="C585" t="str">
            <v>Pompa Submersible kap. 150 liter/menit 3 kW</v>
          </cell>
          <cell r="D585" t="str">
            <v>unit</v>
          </cell>
          <cell r="E585">
            <v>18500000</v>
          </cell>
        </row>
        <row r="586">
          <cell r="A586" t="str">
            <v>CG09</v>
          </cell>
          <cell r="B586">
            <v>539</v>
          </cell>
          <cell r="C586" t="str">
            <v xml:space="preserve">Gear Pump kap. 60 liter/menit </v>
          </cell>
          <cell r="D586" t="str">
            <v>unit</v>
          </cell>
          <cell r="E586">
            <v>10500000</v>
          </cell>
        </row>
        <row r="587">
          <cell r="A587" t="str">
            <v>CG10</v>
          </cell>
          <cell r="B587">
            <v>540</v>
          </cell>
          <cell r="C587" t="str">
            <v xml:space="preserve">Deep Well dengan kelengkapannya kap. 150 liter/menit </v>
          </cell>
          <cell r="D587" t="str">
            <v>unit</v>
          </cell>
          <cell r="E587">
            <v>155000000</v>
          </cell>
        </row>
        <row r="588">
          <cell r="A588" t="str">
            <v>CG11</v>
          </cell>
          <cell r="B588">
            <v>541</v>
          </cell>
          <cell r="C588" t="str">
            <v xml:space="preserve">Hand Oil Pump </v>
          </cell>
          <cell r="D588" t="str">
            <v>unit</v>
          </cell>
          <cell r="E588">
            <v>3150000</v>
          </cell>
        </row>
        <row r="590">
          <cell r="C590" t="str">
            <v>S. BAHAN PENAMPUNG AIR</v>
          </cell>
        </row>
        <row r="591">
          <cell r="A591" t="str">
            <v>CI01</v>
          </cell>
          <cell r="B591">
            <v>542</v>
          </cell>
          <cell r="C591" t="str">
            <v>Tangki Air Fiber Glass 0.5 m3 ( Excel )</v>
          </cell>
          <cell r="D591" t="str">
            <v>bh</v>
          </cell>
          <cell r="E591">
            <v>350000</v>
          </cell>
        </row>
        <row r="592">
          <cell r="A592" t="str">
            <v>CI02</v>
          </cell>
          <cell r="B592">
            <v>543</v>
          </cell>
          <cell r="C592" t="str">
            <v>Tangki Air Fiber Glass 1 m3 ( Excel )</v>
          </cell>
          <cell r="D592" t="str">
            <v>bh</v>
          </cell>
          <cell r="E592">
            <v>560000</v>
          </cell>
        </row>
        <row r="593">
          <cell r="A593" t="str">
            <v>CI03</v>
          </cell>
          <cell r="B593">
            <v>544</v>
          </cell>
          <cell r="C593" t="str">
            <v>Tangki Air Fiber Glass 2 m3 ( Excel )</v>
          </cell>
          <cell r="D593" t="str">
            <v>bh</v>
          </cell>
          <cell r="E593">
            <v>1250000</v>
          </cell>
        </row>
        <row r="594">
          <cell r="A594" t="str">
            <v>CI04</v>
          </cell>
          <cell r="B594">
            <v>545</v>
          </cell>
          <cell r="C594" t="str">
            <v>Bak KM Fiber 60 x 60</v>
          </cell>
          <cell r="D594" t="str">
            <v>bh</v>
          </cell>
          <cell r="E594">
            <v>75000</v>
          </cell>
        </row>
        <row r="595">
          <cell r="A595" t="str">
            <v>CI05</v>
          </cell>
          <cell r="B595">
            <v>546</v>
          </cell>
          <cell r="C595" t="str">
            <v>Bak Taraso WC 40 x 40</v>
          </cell>
          <cell r="D595" t="str">
            <v>bh</v>
          </cell>
          <cell r="E595">
            <v>22500</v>
          </cell>
        </row>
        <row r="596">
          <cell r="A596" t="str">
            <v>CI06</v>
          </cell>
          <cell r="B596">
            <v>547</v>
          </cell>
          <cell r="C596" t="str">
            <v>Bak KM Taraso 60 x 60</v>
          </cell>
          <cell r="D596" t="str">
            <v>bh</v>
          </cell>
          <cell r="E596">
            <v>55000</v>
          </cell>
        </row>
        <row r="598">
          <cell r="C598" t="str">
            <v>T. BIAYA QUALITY CONTROL , IZIN - IZIN, PENGUKURAN</v>
          </cell>
        </row>
        <row r="599">
          <cell r="C599" t="str">
            <v xml:space="preserve">    BIASA DAN BIAYA PENYAMBUNGAN</v>
          </cell>
        </row>
        <row r="600">
          <cell r="A600" t="str">
            <v>CJ01</v>
          </cell>
          <cell r="B600">
            <v>548</v>
          </cell>
          <cell r="C600" t="str">
            <v>Penyambungan Listrik PLN</v>
          </cell>
          <cell r="D600" t="str">
            <v>1w</v>
          </cell>
          <cell r="E600">
            <v>600</v>
          </cell>
        </row>
        <row r="601">
          <cell r="A601" t="str">
            <v>CJ02</v>
          </cell>
          <cell r="B601">
            <v>549</v>
          </cell>
          <cell r="C601" t="str">
            <v>IMB Bertingkat Rata - rata (Rumah / Kantor)</v>
          </cell>
          <cell r="D601" t="str">
            <v>m²</v>
          </cell>
          <cell r="E601">
            <v>19500</v>
          </cell>
        </row>
        <row r="602">
          <cell r="A602" t="str">
            <v>CJ03</v>
          </cell>
          <cell r="B602">
            <v>550</v>
          </cell>
          <cell r="C602" t="str">
            <v>IMB tidak bertingkat Rata - rata (Rumah / Kantor)</v>
          </cell>
          <cell r="D602" t="str">
            <v>m²</v>
          </cell>
          <cell r="E602">
            <v>17500</v>
          </cell>
        </row>
        <row r="603">
          <cell r="A603" t="str">
            <v>CJ04</v>
          </cell>
          <cell r="B603">
            <v>551</v>
          </cell>
          <cell r="C603" t="str">
            <v>IMB Bertingkat Rata - rata (untuk Usaha)</v>
          </cell>
          <cell r="D603" t="str">
            <v>m²</v>
          </cell>
          <cell r="E603">
            <v>22000</v>
          </cell>
        </row>
        <row r="604">
          <cell r="A604" t="str">
            <v>CJ05</v>
          </cell>
          <cell r="B604">
            <v>552</v>
          </cell>
          <cell r="C604" t="str">
            <v>IMB tidak bertingkat Rata - rata (untuk Usaha)</v>
          </cell>
          <cell r="D604" t="str">
            <v>m²</v>
          </cell>
          <cell r="E604">
            <v>19500</v>
          </cell>
        </row>
        <row r="605">
          <cell r="A605" t="str">
            <v>CJ06</v>
          </cell>
          <cell r="B605">
            <v>553</v>
          </cell>
          <cell r="C605" t="str">
            <v>Sondir Rata - rata</v>
          </cell>
          <cell r="D605" t="str">
            <v>1 ttk</v>
          </cell>
          <cell r="E605">
            <v>185000</v>
          </cell>
        </row>
        <row r="606">
          <cell r="A606" t="str">
            <v>CJ07</v>
          </cell>
          <cell r="B606">
            <v>554</v>
          </cell>
          <cell r="C606" t="str">
            <v>Pengukuran Site + Patok</v>
          </cell>
          <cell r="D606" t="str">
            <v>m²</v>
          </cell>
          <cell r="E606">
            <v>900</v>
          </cell>
        </row>
        <row r="607">
          <cell r="A607" t="str">
            <v>CJ08</v>
          </cell>
          <cell r="B607">
            <v>555</v>
          </cell>
          <cell r="C607" t="str">
            <v>Biaya Tes Jalan ( quality control )</v>
          </cell>
          <cell r="D607" t="str">
            <v>ttk</v>
          </cell>
          <cell r="E607">
            <v>75000</v>
          </cell>
        </row>
        <row r="609">
          <cell r="A609" t="str">
            <v>CJ09</v>
          </cell>
          <cell r="B609">
            <v>556</v>
          </cell>
          <cell r="C609" t="str">
            <v>Biaya Tes 1 Macam Beton</v>
          </cell>
          <cell r="D609" t="str">
            <v>1 spl</v>
          </cell>
          <cell r="E609">
            <v>164000</v>
          </cell>
        </row>
        <row r="610">
          <cell r="A610" t="str">
            <v>CJ10</v>
          </cell>
          <cell r="B610">
            <v>557</v>
          </cell>
          <cell r="C610" t="str">
            <v>Biaya Pengujian Bahan Agregat</v>
          </cell>
          <cell r="D610" t="str">
            <v>1 spl</v>
          </cell>
          <cell r="E610">
            <v>56900</v>
          </cell>
        </row>
        <row r="611">
          <cell r="A611" t="str">
            <v>CJ11</v>
          </cell>
          <cell r="B611">
            <v>558</v>
          </cell>
          <cell r="C611" t="str">
            <v>Biaya Pengujian Listrik + gambar + trafo &amp; Adm</v>
          </cell>
          <cell r="D611" t="str">
            <v>1 watt</v>
          </cell>
          <cell r="E611">
            <v>350</v>
          </cell>
        </row>
        <row r="612">
          <cell r="A612" t="str">
            <v>CJ12</v>
          </cell>
          <cell r="B612">
            <v>559</v>
          </cell>
          <cell r="C612" t="str">
            <v>Izin Sumur Artesis Lengkap</v>
          </cell>
          <cell r="D612" t="str">
            <v>unit</v>
          </cell>
          <cell r="E612">
            <v>5000000</v>
          </cell>
        </row>
        <row r="613">
          <cell r="A613" t="str">
            <v>CJ13</v>
          </cell>
          <cell r="B613">
            <v>560</v>
          </cell>
          <cell r="C613" t="str">
            <v>Penyambungan PDAM untuk rumah</v>
          </cell>
          <cell r="D613" t="str">
            <v>unit</v>
          </cell>
          <cell r="E613">
            <v>550000</v>
          </cell>
        </row>
        <row r="614">
          <cell r="A614" t="str">
            <v>CJ14</v>
          </cell>
          <cell r="B614">
            <v>561</v>
          </cell>
          <cell r="C614" t="str">
            <v>Geolistrik</v>
          </cell>
          <cell r="D614" t="str">
            <v>1 ttk</v>
          </cell>
          <cell r="E614">
            <v>275000</v>
          </cell>
        </row>
        <row r="616">
          <cell r="C616" t="str">
            <v>U. ALAT TUKANG.</v>
          </cell>
        </row>
        <row r="617">
          <cell r="A617" t="str">
            <v>CL01</v>
          </cell>
          <cell r="B617">
            <v>562</v>
          </cell>
          <cell r="C617" t="str">
            <v>Palu 0,5 kg</v>
          </cell>
          <cell r="D617" t="str">
            <v>bh</v>
          </cell>
          <cell r="E617">
            <v>20000</v>
          </cell>
        </row>
        <row r="618">
          <cell r="A618" t="str">
            <v>CL02</v>
          </cell>
          <cell r="B618">
            <v>563</v>
          </cell>
          <cell r="C618" t="str">
            <v>Cangkul</v>
          </cell>
          <cell r="D618" t="str">
            <v>bh</v>
          </cell>
          <cell r="E618">
            <v>22500</v>
          </cell>
        </row>
        <row r="619">
          <cell r="A619" t="str">
            <v>CL03</v>
          </cell>
          <cell r="B619">
            <v>564</v>
          </cell>
          <cell r="C619" t="str">
            <v>Singkup</v>
          </cell>
          <cell r="D619" t="str">
            <v>bh</v>
          </cell>
          <cell r="E619">
            <v>27500</v>
          </cell>
        </row>
        <row r="620">
          <cell r="A620" t="str">
            <v>CL04</v>
          </cell>
          <cell r="B620">
            <v>565</v>
          </cell>
          <cell r="C620" t="str">
            <v>Sekrop</v>
          </cell>
          <cell r="D620" t="str">
            <v>bh</v>
          </cell>
          <cell r="E620">
            <v>34000</v>
          </cell>
        </row>
        <row r="621">
          <cell r="A621" t="str">
            <v>CL05</v>
          </cell>
          <cell r="B621">
            <v>566</v>
          </cell>
          <cell r="C621" t="str">
            <v>Pengki</v>
          </cell>
          <cell r="D621" t="str">
            <v>bh</v>
          </cell>
          <cell r="E621">
            <v>1800</v>
          </cell>
        </row>
        <row r="622">
          <cell r="A622" t="str">
            <v>CL06</v>
          </cell>
          <cell r="B622">
            <v>567</v>
          </cell>
          <cell r="C622" t="str">
            <v>Linggis</v>
          </cell>
          <cell r="D622" t="str">
            <v>bh</v>
          </cell>
          <cell r="E622">
            <v>20000</v>
          </cell>
        </row>
        <row r="623">
          <cell r="A623" t="str">
            <v>CL07</v>
          </cell>
          <cell r="B623">
            <v>568</v>
          </cell>
          <cell r="C623" t="str">
            <v>Rool Meter 30 meter ( Bahan Plastik )</v>
          </cell>
          <cell r="D623" t="str">
            <v>bh</v>
          </cell>
          <cell r="E623">
            <v>45000</v>
          </cell>
        </row>
        <row r="624">
          <cell r="A624" t="str">
            <v>CL08</v>
          </cell>
          <cell r="B624">
            <v>569</v>
          </cell>
          <cell r="C624" t="str">
            <v>Rool Meter 5 meter ( Bahan Besi )</v>
          </cell>
          <cell r="D624" t="str">
            <v>bh</v>
          </cell>
          <cell r="E624">
            <v>10000</v>
          </cell>
        </row>
        <row r="625">
          <cell r="A625" t="str">
            <v>CL09</v>
          </cell>
          <cell r="B625">
            <v>570</v>
          </cell>
          <cell r="C625" t="str">
            <v xml:space="preserve">Selang Plastik untuk Water Pas dia. 0.5 cm </v>
          </cell>
          <cell r="D625" t="str">
            <v>bh</v>
          </cell>
          <cell r="E625">
            <v>1000</v>
          </cell>
        </row>
        <row r="626">
          <cell r="A626" t="str">
            <v>CL10</v>
          </cell>
          <cell r="B626">
            <v>571</v>
          </cell>
          <cell r="C626" t="str">
            <v xml:space="preserve"> Water Pas Alumuniumm 60 cm </v>
          </cell>
          <cell r="D626" t="str">
            <v>bh</v>
          </cell>
          <cell r="E626">
            <v>50000</v>
          </cell>
        </row>
        <row r="628">
          <cell r="C628" t="str">
            <v xml:space="preserve">V. STANDARD RATA - RATA SEWA ALAT BESAR , ALAT MEKANIK </v>
          </cell>
        </row>
        <row r="629">
          <cell r="C629" t="str">
            <v xml:space="preserve">      TRUK, KENDARAAN RODA 4 &amp; LAINNYA</v>
          </cell>
        </row>
        <row r="630">
          <cell r="A630" t="str">
            <v>CN01</v>
          </cell>
          <cell r="B630">
            <v>572</v>
          </cell>
          <cell r="C630" t="str">
            <v>Sewa Mesin Gilas 8 Ton s/d 10 ton</v>
          </cell>
          <cell r="D630" t="str">
            <v>hari</v>
          </cell>
          <cell r="E630">
            <v>150000</v>
          </cell>
        </row>
        <row r="631">
          <cell r="A631" t="str">
            <v>CN02</v>
          </cell>
          <cell r="B631">
            <v>573</v>
          </cell>
          <cell r="C631" t="str">
            <v>Tirud Roller 3 Jam / hari</v>
          </cell>
          <cell r="D631" t="str">
            <v>hari</v>
          </cell>
          <cell r="E631">
            <v>165000</v>
          </cell>
        </row>
        <row r="632">
          <cell r="A632" t="str">
            <v>CN03</v>
          </cell>
          <cell r="B632">
            <v>574</v>
          </cell>
          <cell r="C632" t="str">
            <v>Tamdam Roller 6 - 8 Ton 5 Jam / hr</v>
          </cell>
          <cell r="D632" t="str">
            <v>hari</v>
          </cell>
          <cell r="E632">
            <v>245000</v>
          </cell>
        </row>
        <row r="633">
          <cell r="A633" t="str">
            <v>CN04</v>
          </cell>
          <cell r="B633">
            <v>575</v>
          </cell>
          <cell r="C633" t="str">
            <v>Tamdam Roller 8 - 10 Ton 5 Jam / hr</v>
          </cell>
          <cell r="D633" t="str">
            <v>hari</v>
          </cell>
          <cell r="E633">
            <v>230000</v>
          </cell>
        </row>
        <row r="634">
          <cell r="A634" t="str">
            <v>CN05</v>
          </cell>
          <cell r="B634">
            <v>576</v>
          </cell>
          <cell r="C634" t="str">
            <v>Roller Viberator - Ped 1 Ton 4 Jam /hr</v>
          </cell>
          <cell r="D634" t="str">
            <v>hari</v>
          </cell>
          <cell r="E634">
            <v>210000</v>
          </cell>
        </row>
        <row r="635">
          <cell r="A635" t="str">
            <v>CN06</v>
          </cell>
          <cell r="B635">
            <v>577</v>
          </cell>
          <cell r="C635" t="str">
            <v>Roller Viberator - Self 7 Ton 5 Jam /hr</v>
          </cell>
          <cell r="D635" t="str">
            <v>hari</v>
          </cell>
          <cell r="E635">
            <v>250000</v>
          </cell>
        </row>
        <row r="636">
          <cell r="A636" t="str">
            <v>CN07</v>
          </cell>
          <cell r="B636">
            <v>578</v>
          </cell>
          <cell r="C636" t="str">
            <v>Roller 3 Wheeled - 8 Ton 5 Jam /hr</v>
          </cell>
          <cell r="D636" t="str">
            <v>hari</v>
          </cell>
          <cell r="E636">
            <v>145000</v>
          </cell>
        </row>
        <row r="637">
          <cell r="A637" t="str">
            <v>CN08</v>
          </cell>
          <cell r="B637">
            <v>579</v>
          </cell>
          <cell r="C637" t="str">
            <v>Roller Pneumatic  8 - 15 Ton 5 Jam /hr</v>
          </cell>
          <cell r="D637" t="str">
            <v>hari</v>
          </cell>
          <cell r="E637">
            <v>250000</v>
          </cell>
        </row>
        <row r="638">
          <cell r="A638" t="str">
            <v>CN09</v>
          </cell>
          <cell r="B638">
            <v>580</v>
          </cell>
          <cell r="C638" t="str">
            <v>Loader Wheeled 5 Jam /hr</v>
          </cell>
          <cell r="D638" t="str">
            <v>hari</v>
          </cell>
          <cell r="E638">
            <v>350000</v>
          </cell>
        </row>
        <row r="639">
          <cell r="A639" t="str">
            <v>CN10</v>
          </cell>
          <cell r="B639">
            <v>581</v>
          </cell>
          <cell r="C639" t="str">
            <v>Sewa Kran 30 Ton</v>
          </cell>
          <cell r="D639" t="str">
            <v>hari</v>
          </cell>
          <cell r="E639">
            <v>1800000</v>
          </cell>
        </row>
        <row r="640">
          <cell r="A640" t="str">
            <v>CN11</v>
          </cell>
          <cell r="B640">
            <v>582</v>
          </cell>
          <cell r="C640" t="str">
            <v>Sewa Exavator Backhoe 5 Jam /hari</v>
          </cell>
          <cell r="D640" t="str">
            <v>hari</v>
          </cell>
          <cell r="E640">
            <v>525000</v>
          </cell>
        </row>
        <row r="641">
          <cell r="A641" t="str">
            <v>CN12</v>
          </cell>
          <cell r="B641">
            <v>583</v>
          </cell>
          <cell r="C641" t="str">
            <v>Sewa Draklint</v>
          </cell>
          <cell r="D641" t="str">
            <v>jam</v>
          </cell>
          <cell r="E641">
            <v>125000</v>
          </cell>
        </row>
        <row r="642">
          <cell r="A642" t="str">
            <v>CN13</v>
          </cell>
          <cell r="B642">
            <v>584</v>
          </cell>
          <cell r="C642" t="str">
            <v>Whell Loader</v>
          </cell>
          <cell r="D642" t="str">
            <v>jam</v>
          </cell>
          <cell r="E642">
            <v>150000</v>
          </cell>
        </row>
        <row r="643">
          <cell r="A643" t="str">
            <v>CN14</v>
          </cell>
          <cell r="B643">
            <v>585</v>
          </cell>
          <cell r="C643" t="str">
            <v>Buldozer 4 Jam /hr</v>
          </cell>
          <cell r="D643" t="str">
            <v>hari</v>
          </cell>
          <cell r="E643">
            <v>575000</v>
          </cell>
        </row>
        <row r="644">
          <cell r="A644" t="str">
            <v>CN15</v>
          </cell>
          <cell r="B644">
            <v>586</v>
          </cell>
          <cell r="C644" t="str">
            <v>Ecavator Hydr 1 m3</v>
          </cell>
          <cell r="D644" t="str">
            <v>hari</v>
          </cell>
          <cell r="E644">
            <v>550000</v>
          </cell>
        </row>
        <row r="645">
          <cell r="A645" t="str">
            <v>CN16</v>
          </cell>
          <cell r="B645">
            <v>587</v>
          </cell>
          <cell r="C645" t="str">
            <v>Backu</v>
          </cell>
          <cell r="D645" t="str">
            <v>hari</v>
          </cell>
          <cell r="E645">
            <v>85000</v>
          </cell>
        </row>
        <row r="646">
          <cell r="A646" t="str">
            <v>CN17</v>
          </cell>
          <cell r="B646">
            <v>588</v>
          </cell>
          <cell r="C646" t="str">
            <v>Motor Grader 5 Jam /hr</v>
          </cell>
          <cell r="D646" t="str">
            <v>jam</v>
          </cell>
          <cell r="E646">
            <v>525000</v>
          </cell>
        </row>
        <row r="647">
          <cell r="A647" t="str">
            <v>CN18</v>
          </cell>
          <cell r="B647">
            <v>589</v>
          </cell>
          <cell r="C647" t="str">
            <v>Pheumatic Drill Hammer 3 Jam / hr</v>
          </cell>
          <cell r="D647" t="str">
            <v>hari</v>
          </cell>
          <cell r="E647">
            <v>175000</v>
          </cell>
        </row>
        <row r="648">
          <cell r="A648" t="str">
            <v>CN19</v>
          </cell>
          <cell r="B648">
            <v>590</v>
          </cell>
          <cell r="C648" t="str">
            <v>Vibro Roller</v>
          </cell>
          <cell r="D648" t="str">
            <v>hari</v>
          </cell>
          <cell r="E648">
            <v>150000</v>
          </cell>
        </row>
        <row r="649">
          <cell r="A649" t="str">
            <v>CN20</v>
          </cell>
          <cell r="B649">
            <v>591</v>
          </cell>
          <cell r="C649" t="str">
            <v>Stone Crusher</v>
          </cell>
          <cell r="D649" t="str">
            <v>hari</v>
          </cell>
          <cell r="E649">
            <v>175000</v>
          </cell>
        </row>
        <row r="650">
          <cell r="A650" t="str">
            <v>CN21</v>
          </cell>
          <cell r="B650">
            <v>592</v>
          </cell>
          <cell r="C650" t="str">
            <v>AMP</v>
          </cell>
          <cell r="D650" t="str">
            <v>hari</v>
          </cell>
          <cell r="E650">
            <v>225000</v>
          </cell>
        </row>
        <row r="651">
          <cell r="A651" t="str">
            <v>CN22</v>
          </cell>
          <cell r="B651">
            <v>593</v>
          </cell>
          <cell r="C651" t="str">
            <v>Teractor Equament 2 Jam /hr</v>
          </cell>
          <cell r="D651" t="str">
            <v>hari</v>
          </cell>
          <cell r="E651">
            <v>75000</v>
          </cell>
        </row>
        <row r="652">
          <cell r="A652" t="str">
            <v>CN23</v>
          </cell>
          <cell r="B652">
            <v>594</v>
          </cell>
          <cell r="C652" t="str">
            <v>Screning Plent 5 Jam /hr</v>
          </cell>
          <cell r="D652" t="str">
            <v>hari</v>
          </cell>
          <cell r="E652">
            <v>300000</v>
          </cell>
        </row>
        <row r="653">
          <cell r="A653" t="str">
            <v>CN24</v>
          </cell>
          <cell r="B653">
            <v>595</v>
          </cell>
          <cell r="C653" t="str">
            <v>Asphal Finisher</v>
          </cell>
          <cell r="D653" t="str">
            <v>hari</v>
          </cell>
          <cell r="E653">
            <v>225000</v>
          </cell>
        </row>
        <row r="654">
          <cell r="A654" t="str">
            <v>CN25</v>
          </cell>
          <cell r="B654">
            <v>596</v>
          </cell>
          <cell r="C654" t="str">
            <v>Asphal Melting Kalte</v>
          </cell>
          <cell r="D654" t="str">
            <v>hari</v>
          </cell>
          <cell r="E654">
            <v>125000</v>
          </cell>
        </row>
        <row r="655">
          <cell r="A655" t="str">
            <v>CN26</v>
          </cell>
          <cell r="B655">
            <v>597</v>
          </cell>
          <cell r="C655" t="str">
            <v>Asphal Spayer</v>
          </cell>
          <cell r="D655" t="str">
            <v>hari</v>
          </cell>
          <cell r="E655">
            <v>100000</v>
          </cell>
        </row>
        <row r="656">
          <cell r="A656" t="str">
            <v>CN27</v>
          </cell>
          <cell r="B656">
            <v>598</v>
          </cell>
          <cell r="C656" t="str">
            <v>Asphal MIxing Plant</v>
          </cell>
          <cell r="D656" t="str">
            <v>hari</v>
          </cell>
          <cell r="E656">
            <v>225000</v>
          </cell>
        </row>
        <row r="657">
          <cell r="A657" t="str">
            <v>CN28</v>
          </cell>
          <cell r="B657">
            <v>599</v>
          </cell>
          <cell r="C657" t="str">
            <v>Sprayer,Self - Prop. 10001 4 Jam/hr</v>
          </cell>
          <cell r="D657" t="str">
            <v>hari</v>
          </cell>
          <cell r="E657">
            <v>250000</v>
          </cell>
        </row>
        <row r="658">
          <cell r="A658" t="str">
            <v>CN29</v>
          </cell>
          <cell r="B658">
            <v>600</v>
          </cell>
          <cell r="C658" t="str">
            <v>Tamper, Viberator Plate 3 Jam /hari</v>
          </cell>
          <cell r="D658" t="str">
            <v>hari</v>
          </cell>
          <cell r="E658">
            <v>200000</v>
          </cell>
        </row>
        <row r="659">
          <cell r="A659" t="str">
            <v>CN30</v>
          </cell>
          <cell r="B659">
            <v>601</v>
          </cell>
          <cell r="C659" t="str">
            <v>Crusher / SCR</v>
          </cell>
          <cell r="D659" t="str">
            <v>hari</v>
          </cell>
          <cell r="E659">
            <v>750000</v>
          </cell>
        </row>
        <row r="660">
          <cell r="A660" t="str">
            <v>CN31</v>
          </cell>
          <cell r="B660">
            <v>602</v>
          </cell>
          <cell r="C660" t="str">
            <v>Concrete Mixer 0.125 m3</v>
          </cell>
          <cell r="D660" t="str">
            <v>hari</v>
          </cell>
          <cell r="E660">
            <v>60000</v>
          </cell>
        </row>
        <row r="661">
          <cell r="A661" t="str">
            <v>CN32</v>
          </cell>
          <cell r="B661">
            <v>603</v>
          </cell>
          <cell r="C661" t="str">
            <v>Concrete Mixer 0.5 m3</v>
          </cell>
          <cell r="D661" t="str">
            <v>hari</v>
          </cell>
          <cell r="E661">
            <v>86000</v>
          </cell>
        </row>
        <row r="662">
          <cell r="A662" t="str">
            <v>CN33</v>
          </cell>
          <cell r="B662">
            <v>604</v>
          </cell>
          <cell r="C662" t="str">
            <v>Concrete Viberator</v>
          </cell>
          <cell r="D662" t="str">
            <v>hari</v>
          </cell>
          <cell r="E662">
            <v>60000</v>
          </cell>
        </row>
        <row r="663">
          <cell r="A663" t="str">
            <v>CN34</v>
          </cell>
          <cell r="B663">
            <v>605</v>
          </cell>
          <cell r="C663" t="str">
            <v>Pick Up</v>
          </cell>
          <cell r="D663" t="str">
            <v>hari</v>
          </cell>
          <cell r="E663">
            <v>175000</v>
          </cell>
        </row>
        <row r="665">
          <cell r="A665" t="str">
            <v>CN35</v>
          </cell>
          <cell r="B665">
            <v>606</v>
          </cell>
          <cell r="C665" t="str">
            <v>Dump Truck 3.5 Ton</v>
          </cell>
          <cell r="D665" t="str">
            <v>hari</v>
          </cell>
          <cell r="E665">
            <v>250000</v>
          </cell>
        </row>
        <row r="666">
          <cell r="A666" t="str">
            <v>CN36</v>
          </cell>
          <cell r="B666">
            <v>607</v>
          </cell>
          <cell r="C666" t="str">
            <v>Dump Truck 5 Ton 4 Jam /hr</v>
          </cell>
          <cell r="D666" t="str">
            <v>hari</v>
          </cell>
          <cell r="E666">
            <v>300000</v>
          </cell>
        </row>
        <row r="667">
          <cell r="A667" t="str">
            <v>CN37</v>
          </cell>
          <cell r="B667">
            <v>608</v>
          </cell>
          <cell r="C667" t="str">
            <v>Flatbed Truck 3.5 Ton</v>
          </cell>
          <cell r="D667" t="str">
            <v>hari</v>
          </cell>
          <cell r="E667">
            <v>240000</v>
          </cell>
        </row>
        <row r="668">
          <cell r="A668" t="str">
            <v>CN38</v>
          </cell>
          <cell r="B668">
            <v>609</v>
          </cell>
          <cell r="C668" t="str">
            <v>Truck 3/4 ( Colt Disel )</v>
          </cell>
          <cell r="D668" t="str">
            <v>hari</v>
          </cell>
          <cell r="E668">
            <v>250000</v>
          </cell>
        </row>
        <row r="669">
          <cell r="A669" t="str">
            <v>CN39</v>
          </cell>
          <cell r="B669">
            <v>610</v>
          </cell>
          <cell r="C669" t="str">
            <v>Truck Fuso</v>
          </cell>
          <cell r="D669" t="str">
            <v>hari</v>
          </cell>
          <cell r="E669">
            <v>600000</v>
          </cell>
        </row>
        <row r="670">
          <cell r="A670" t="str">
            <v>CN40</v>
          </cell>
          <cell r="B670">
            <v>611</v>
          </cell>
          <cell r="C670" t="str">
            <v>Mesin Las Listrik 18 pk  8 jam</v>
          </cell>
          <cell r="D670" t="str">
            <v>hari</v>
          </cell>
          <cell r="E670">
            <v>100000</v>
          </cell>
        </row>
        <row r="671">
          <cell r="A671" t="str">
            <v>CN41</v>
          </cell>
          <cell r="B671">
            <v>612</v>
          </cell>
          <cell r="C671" t="str">
            <v>Mesin Pompa Air  3 "</v>
          </cell>
          <cell r="D671" t="str">
            <v>hari</v>
          </cell>
          <cell r="E671">
            <v>75000</v>
          </cell>
        </row>
        <row r="672">
          <cell r="A672" t="str">
            <v>CN42</v>
          </cell>
          <cell r="B672">
            <v>613</v>
          </cell>
          <cell r="C672" t="str">
            <v>Stamper 8 Jam</v>
          </cell>
          <cell r="D672" t="str">
            <v>hari</v>
          </cell>
          <cell r="E672">
            <v>80000</v>
          </cell>
        </row>
        <row r="673">
          <cell r="A673" t="str">
            <v>CN43</v>
          </cell>
          <cell r="B673">
            <v>614</v>
          </cell>
          <cell r="C673" t="str">
            <v>Compresor Air</v>
          </cell>
          <cell r="D673" t="str">
            <v>hari</v>
          </cell>
          <cell r="E673">
            <v>75000</v>
          </cell>
        </row>
        <row r="674">
          <cell r="A674" t="str">
            <v>CN44</v>
          </cell>
          <cell r="B674">
            <v>615</v>
          </cell>
          <cell r="C674" t="str">
            <v>Pump Water ( 5 cm ) 30 m3 / hari</v>
          </cell>
          <cell r="D674" t="str">
            <v>hari</v>
          </cell>
          <cell r="E674">
            <v>50000</v>
          </cell>
        </row>
        <row r="675">
          <cell r="A675" t="str">
            <v>CN45</v>
          </cell>
          <cell r="B675">
            <v>616</v>
          </cell>
          <cell r="C675" t="str">
            <v>Trailler, Towed 1 Ton 3 Jam/hr</v>
          </cell>
          <cell r="D675" t="str">
            <v>hari</v>
          </cell>
          <cell r="E675">
            <v>50000</v>
          </cell>
        </row>
        <row r="676">
          <cell r="A676" t="str">
            <v>CN46</v>
          </cell>
          <cell r="B676">
            <v>617</v>
          </cell>
          <cell r="C676" t="str">
            <v>Water Tank Truck 2 Jam/hr</v>
          </cell>
          <cell r="D676" t="str">
            <v>hari</v>
          </cell>
          <cell r="E676">
            <v>150000</v>
          </cell>
        </row>
        <row r="678">
          <cell r="C678" t="str">
            <v>X. BAHAN BAKAR DAN PELUMAS</v>
          </cell>
        </row>
        <row r="679">
          <cell r="A679" t="str">
            <v>CP01</v>
          </cell>
          <cell r="B679">
            <v>618</v>
          </cell>
          <cell r="C679" t="str">
            <v>Minyak Tanah</v>
          </cell>
          <cell r="D679" t="str">
            <v>lt</v>
          </cell>
          <cell r="E679">
            <v>850</v>
          </cell>
        </row>
        <row r="680">
          <cell r="A680" t="str">
            <v>CP02</v>
          </cell>
          <cell r="B680">
            <v>619</v>
          </cell>
          <cell r="C680" t="str">
            <v>Kayu Bakar Dari Kayu  Karet</v>
          </cell>
          <cell r="D680" t="str">
            <v>m³</v>
          </cell>
          <cell r="E680">
            <v>49500</v>
          </cell>
        </row>
        <row r="681">
          <cell r="A681" t="str">
            <v>CP03</v>
          </cell>
          <cell r="B681">
            <v>620</v>
          </cell>
          <cell r="C681" t="str">
            <v>Bahan Bakar Residu</v>
          </cell>
          <cell r="D681" t="str">
            <v>lt</v>
          </cell>
          <cell r="E681">
            <v>500</v>
          </cell>
        </row>
        <row r="682">
          <cell r="A682" t="str">
            <v>CP04</v>
          </cell>
          <cell r="B682">
            <v>621</v>
          </cell>
          <cell r="C682" t="str">
            <v>Minyak Solar</v>
          </cell>
          <cell r="D682" t="str">
            <v>lt</v>
          </cell>
          <cell r="E682">
            <v>1650</v>
          </cell>
        </row>
        <row r="683">
          <cell r="A683" t="str">
            <v>CP05</v>
          </cell>
          <cell r="B683">
            <v>622</v>
          </cell>
          <cell r="C683" t="str">
            <v>Bensin Premium</v>
          </cell>
          <cell r="D683" t="str">
            <v>lt</v>
          </cell>
          <cell r="E683">
            <v>1810</v>
          </cell>
        </row>
        <row r="684">
          <cell r="A684" t="str">
            <v>CP06</v>
          </cell>
          <cell r="B684">
            <v>623</v>
          </cell>
          <cell r="C684" t="str">
            <v>Plus Oil</v>
          </cell>
          <cell r="D684" t="str">
            <v>lt</v>
          </cell>
          <cell r="E684">
            <v>800</v>
          </cell>
        </row>
        <row r="685">
          <cell r="A685" t="str">
            <v>CP07</v>
          </cell>
          <cell r="B685">
            <v>624</v>
          </cell>
          <cell r="C685" t="str">
            <v>Oli Mesran 40 SAE</v>
          </cell>
          <cell r="D685" t="str">
            <v>lt</v>
          </cell>
          <cell r="E685">
            <v>16000</v>
          </cell>
        </row>
        <row r="686">
          <cell r="A686" t="str">
            <v>CP08</v>
          </cell>
          <cell r="B686">
            <v>625</v>
          </cell>
          <cell r="C686" t="str">
            <v>Elpiji / botol</v>
          </cell>
          <cell r="D686" t="str">
            <v>15 kg</v>
          </cell>
          <cell r="E686">
            <v>35000</v>
          </cell>
        </row>
        <row r="687">
          <cell r="A687" t="str">
            <v>CP09</v>
          </cell>
          <cell r="B687">
            <v>626</v>
          </cell>
          <cell r="C687" t="str">
            <v>Asitilin / botol</v>
          </cell>
          <cell r="D687" t="str">
            <v>15.1 kg</v>
          </cell>
          <cell r="E687">
            <v>51000</v>
          </cell>
        </row>
        <row r="688">
          <cell r="A688" t="str">
            <v>CP10</v>
          </cell>
          <cell r="B688">
            <v>627</v>
          </cell>
          <cell r="C688" t="str">
            <v>Angin ( 02 ) / botol</v>
          </cell>
          <cell r="D688" t="str">
            <v>btl</v>
          </cell>
          <cell r="E688">
            <v>32500</v>
          </cell>
        </row>
        <row r="689">
          <cell r="A689" t="str">
            <v>CP11</v>
          </cell>
          <cell r="B689">
            <v>628</v>
          </cell>
          <cell r="C689" t="str">
            <v>Kawat Las Listrik</v>
          </cell>
          <cell r="D689" t="str">
            <v>kg</v>
          </cell>
          <cell r="E689">
            <v>10000</v>
          </cell>
        </row>
        <row r="690">
          <cell r="A690" t="str">
            <v>CP12</v>
          </cell>
          <cell r="B690">
            <v>629</v>
          </cell>
          <cell r="C690" t="str">
            <v>Karbit</v>
          </cell>
          <cell r="D690" t="str">
            <v>kg</v>
          </cell>
          <cell r="E690">
            <v>5000</v>
          </cell>
        </row>
        <row r="693">
          <cell r="A693" t="str">
            <v>ZZ99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Revisi"/>
      <sheetName val="RAB KIOS 8 blok"/>
      <sheetName val="RAB LAPAK 8 Blok"/>
      <sheetName val="RAB LAPAK Pasar Tradisional"/>
      <sheetName val="RAB LAPAK PKL"/>
      <sheetName val="RAB LAPAK PKL (48 &amp; 40)"/>
      <sheetName val="RAB LAPAK Buah"/>
      <sheetName val="RAB PENGELOLA"/>
      <sheetName val="RAB Ruko"/>
      <sheetName val="Mesjid"/>
      <sheetName val="INFRASTRUKTUR"/>
      <sheetName val="BAHAN"/>
      <sheetName val="UPAH"/>
      <sheetName val="ANALISA"/>
      <sheetName val="SATUAN"/>
      <sheetName val="BOQ"/>
      <sheetName val="Perhit. besi "/>
      <sheetName val="ANALS INFRA"/>
      <sheetName val="BAHAN (2)"/>
      <sheetName val="UPAH (2)"/>
      <sheetName val="ANALISA (2)"/>
      <sheetName val="SATUAN (2)"/>
      <sheetName val="Perhit. besi  (2)"/>
      <sheetName val="BAHAN (3)"/>
      <sheetName val="UPAH (3)"/>
      <sheetName val="ANALISA (3)"/>
      <sheetName val="SATUAN (3)"/>
      <sheetName val="Perhit. besi  (3)"/>
      <sheetName val="BAHAN (4)"/>
      <sheetName val="UPAH (4)"/>
      <sheetName val="ANALISA (4)"/>
      <sheetName val="SATUAN (4)"/>
      <sheetName val="Perhit. besi  (4)"/>
      <sheetName val="Kusen,pintu,jendela kamper"/>
      <sheetName val="Kusen,pintu,jendela kamper (2)"/>
      <sheetName val="BAHAN (5)"/>
      <sheetName val="UPAH (5)"/>
      <sheetName val="ANALISA (5)"/>
      <sheetName val="SATUAN (5)"/>
      <sheetName val="Perhit. besi  (5)"/>
      <sheetName val="23juni"/>
      <sheetName val="22juni"/>
      <sheetName val="21juni"/>
      <sheetName val="20juni"/>
      <sheetName val="19juni"/>
      <sheetName val="18juni"/>
      <sheetName val="17juni"/>
      <sheetName val="16juni"/>
      <sheetName val="15juni"/>
      <sheetName val="14juni"/>
      <sheetName val="13juni"/>
      <sheetName val="12juni"/>
      <sheetName val="11juni"/>
      <sheetName val="10juni"/>
      <sheetName val="9juni"/>
      <sheetName val="8juni"/>
      <sheetName val="7juni"/>
      <sheetName val="6juni"/>
      <sheetName val="5juni"/>
      <sheetName val="4juni"/>
      <sheetName val="3juni"/>
      <sheetName val="2juni"/>
      <sheetName val="1juni"/>
      <sheetName val="31mei"/>
      <sheetName val="30mei"/>
      <sheetName val="29mei"/>
      <sheetName val="28mei"/>
      <sheetName val="27mei"/>
      <sheetName val="26mei"/>
      <sheetName val="25mei"/>
      <sheetName val="24mei"/>
      <sheetName val="23mei"/>
      <sheetName val="22mei"/>
      <sheetName val="21mei"/>
      <sheetName val="20mei"/>
      <sheetName val="19mei"/>
      <sheetName val="18mei"/>
      <sheetName val="17mei"/>
      <sheetName val="16mei"/>
      <sheetName val="15mei"/>
      <sheetName val="14mei"/>
      <sheetName val="13mei"/>
      <sheetName val="12mei"/>
      <sheetName val="11mei"/>
      <sheetName val="10mei"/>
      <sheetName val="9mei"/>
      <sheetName val="8mei"/>
      <sheetName val="7mei"/>
      <sheetName val="6mei"/>
      <sheetName val="5mei"/>
      <sheetName val="4mei"/>
      <sheetName val="3mei"/>
      <sheetName val="2mei"/>
      <sheetName val="1mei"/>
      <sheetName val="30apr"/>
      <sheetName val="29apr"/>
      <sheetName val="28apr"/>
      <sheetName val="27apr"/>
      <sheetName val="26apr"/>
      <sheetName val="25apr"/>
      <sheetName val="24apr"/>
      <sheetName val="23apr"/>
      <sheetName val="22apr"/>
      <sheetName val="21apr"/>
      <sheetName val="20apr"/>
      <sheetName val="19apr"/>
      <sheetName val="18apr"/>
      <sheetName val="17apr"/>
      <sheetName val="16apr"/>
      <sheetName val="15apr"/>
      <sheetName val="14apr"/>
      <sheetName val="13apr"/>
      <sheetName val="12apr"/>
      <sheetName val="11apr"/>
      <sheetName val="10apr"/>
      <sheetName val="9apr"/>
      <sheetName val="8apr"/>
      <sheetName val="7apr"/>
      <sheetName val="6apr"/>
      <sheetName val="5apr"/>
      <sheetName val="4apr"/>
      <sheetName val="3apr"/>
      <sheetName val="2apr"/>
      <sheetName val="1apr"/>
      <sheetName val="31mar"/>
      <sheetName val="30mar"/>
      <sheetName val="29mar"/>
      <sheetName val="28mar"/>
      <sheetName val="27mar"/>
      <sheetName val="26mar"/>
      <sheetName val="25mar"/>
      <sheetName val="24mar"/>
      <sheetName val="23mar"/>
      <sheetName val="22mar"/>
      <sheetName val="21mar"/>
      <sheetName val="20mar"/>
      <sheetName val="19mar"/>
      <sheetName val="18mar"/>
      <sheetName val="17mar"/>
      <sheetName val="16mar"/>
      <sheetName val="15mar"/>
      <sheetName val="14mar"/>
      <sheetName val="13mar"/>
      <sheetName val="12mar"/>
      <sheetName val="11mar"/>
      <sheetName val="10mar"/>
      <sheetName val="9mar"/>
      <sheetName val="8mar"/>
      <sheetName val="7mar"/>
      <sheetName val="6mar"/>
      <sheetName val="5mar"/>
      <sheetName val="4mar"/>
      <sheetName val="CCO 0120 (3)"/>
      <sheetName val="FINISHING"/>
      <sheetName val="SEX"/>
      <sheetName val="Harsat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99">
          <cell r="G99">
            <v>36523</v>
          </cell>
        </row>
        <row r="234">
          <cell r="J234">
            <v>63100</v>
          </cell>
        </row>
        <row r="235">
          <cell r="H235">
            <v>551464.5</v>
          </cell>
        </row>
        <row r="346">
          <cell r="H346">
            <v>58927.5</v>
          </cell>
          <cell r="I346">
            <v>21800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AB Persiapan"/>
      <sheetName val="RAB Bangunan Pengelola"/>
      <sheetName val="RAB Bangunan Masjid"/>
      <sheetName val="RAB Bangunan Ruko B3"/>
      <sheetName val="RAB Bangunan Ruko B7"/>
      <sheetName val="RAB Bangunan Ruko B8"/>
      <sheetName val="RAB Bangunan Ruko B9"/>
      <sheetName val="HRG BHN"/>
      <sheetName val="ANALS ARS"/>
      <sheetName val="ANALS KY"/>
      <sheetName val="ANALS ME"/>
      <sheetName val="E"/>
      <sheetName val="Kusen,pintu,jendela kamper"/>
      <sheetName val="Analisa (2)"/>
      <sheetName val="Daftar Bahan"/>
      <sheetName val="sanitary"/>
      <sheetName val="RAB Bangunan Lapak Kios"/>
      <sheetName val="Analisa 2"/>
      <sheetName val="ESCON"/>
      <sheetName val="ANALISA (5)"/>
      <sheetName val="BAH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arsat Bahan"/>
      <sheetName val="BAHAN&amp;UPAH 2013"/>
      <sheetName val="CH"/>
      <sheetName val="HRG BHN"/>
      <sheetName val="Harsat"/>
      <sheetName val="PEMBANTAIAN"/>
      <sheetName val="BAHAN~"/>
      <sheetName val="ANALIS"/>
      <sheetName val="DAFTAR HARGA"/>
      <sheetName val="Harsat Upah"/>
      <sheetName val="Analisa"/>
      <sheetName val="Anl"/>
      <sheetName val="SINGK"/>
      <sheetName val="Equip"/>
      <sheetName val="HARGA"/>
      <sheetName val="bahan"/>
      <sheetName val="M-C_(2)1"/>
      <sheetName val="mc_(2)1"/>
      <sheetName val="M-C_(1)1"/>
      <sheetName val="mc_(1)1"/>
      <sheetName val="JAD_PELAKSANAAN1"/>
      <sheetName val="Analis_alat1"/>
      <sheetName val="M-C_(2)"/>
      <sheetName val="mc_(2)"/>
      <sheetName val="M-C_(1)"/>
      <sheetName val="mc_(1)"/>
      <sheetName val="JAD_PELAKSANAAN"/>
      <sheetName val="Analis_alat"/>
      <sheetName val="bank data"/>
      <sheetName val="PERSON"/>
      <sheetName val="DL - Adm 1(SRT PNWRN HAL. 1)"/>
      <sheetName val="F Khsus KPP"/>
      <sheetName val="DL-UT4(PNYTAAN PRSHAAN PSONIL)"/>
      <sheetName val="peng.perusahaan baru2008"/>
      <sheetName val="Div3"/>
      <sheetName val="RECAH RESERVOIR"/>
      <sheetName val="Pengalaman"/>
      <sheetName val="UPAH"/>
      <sheetName val="K210"/>
      <sheetName val="Analisa Upah Bahan"/>
      <sheetName val="Harga Satuan 2011"/>
      <sheetName val="Bhn"/>
      <sheetName val="E2"/>
      <sheetName val="Mobilisasi"/>
      <sheetName val="L 1"/>
      <sheetName val="hs_str"/>
      <sheetName val="Sat Bahu"/>
      <sheetName val="Alat"/>
      <sheetName val="MOS"/>
      <sheetName val="RAB "/>
      <sheetName val="BABY"/>
      <sheetName val="BACK"/>
      <sheetName val="HARGA BAHAN"/>
      <sheetName val="conc-mix"/>
      <sheetName val="H.Satuan"/>
      <sheetName val="Harga S Dasar UNTUK IDISI"/>
      <sheetName val="isian"/>
      <sheetName val="Sheet1"/>
      <sheetName val="Sheet3"/>
      <sheetName val="RAB"/>
      <sheetName val="KODE"/>
      <sheetName val="4-Basic Price"/>
      <sheetName val="Df-Kuan"/>
      <sheetName val="PO-2"/>
      <sheetName val="ARAB"/>
      <sheetName val="DAF.ALAT"/>
      <sheetName val="Harsat_Bahan"/>
      <sheetName val="BAHAN&amp;UPAH_2013"/>
      <sheetName val="Upah Bahan"/>
      <sheetName val=" UPAH BAHAN"/>
      <sheetName val="JOB'S"/>
      <sheetName val="Data"/>
      <sheetName val="BENETE"/>
      <sheetName val="U&amp;Bh"/>
      <sheetName val="SBhn"/>
      <sheetName val="SATUAN_upah_bahan"/>
      <sheetName val="REKAPITULASI"/>
      <sheetName val="DAF.KUANTITAS"/>
      <sheetName val="TERBILANG"/>
      <sheetName val="Sheet15"/>
      <sheetName val="HargAlat-Upah"/>
      <sheetName val="Rinc. Harg.BHN"/>
      <sheetName val="Daf 1"/>
      <sheetName val="Material"/>
      <sheetName val="lh"/>
      <sheetName val="boq"/>
      <sheetName val="HSBU ANA"/>
      <sheetName val="PRELI_CAP"/>
      <sheetName val="R A B"/>
      <sheetName val="upah_borong"/>
      <sheetName val="satuan_pek"/>
      <sheetName val="dasboard"/>
      <sheetName val="Perhitungan RAB"/>
      <sheetName val="Stn_Upah"/>
      <sheetName val="Peralatan"/>
      <sheetName val="Harga Satuan"/>
      <sheetName val="8LT 12"/>
      <sheetName val="satpek"/>
      <sheetName val="MASTER Alat"/>
      <sheetName val="Comm_Code_Rates"/>
      <sheetName val="Exhibit C for SME"/>
      <sheetName val="RAB PRIAGUNG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  <sheetName val="FINISHING"/>
      <sheetName val="ANALISA PEK.UMUM"/>
      <sheetName val="DATA1"/>
      <sheetName val="DATA"/>
      <sheetName val="UPAH"/>
      <sheetName val="ANALISA KONST BT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2">
          <cell r="I72">
            <v>44851.85</v>
          </cell>
        </row>
        <row r="146">
          <cell r="I146">
            <v>949.56</v>
          </cell>
        </row>
        <row r="220">
          <cell r="I220">
            <v>152690.67000000001</v>
          </cell>
        </row>
        <row r="294">
          <cell r="I294">
            <v>25400</v>
          </cell>
        </row>
        <row r="368">
          <cell r="I368">
            <v>322958</v>
          </cell>
        </row>
        <row r="442">
          <cell r="I442">
            <v>221552.32</v>
          </cell>
        </row>
        <row r="516">
          <cell r="I516">
            <v>228823.92</v>
          </cell>
        </row>
        <row r="590">
          <cell r="I590">
            <v>75687.5</v>
          </cell>
        </row>
        <row r="664">
          <cell r="I664">
            <v>32539.4</v>
          </cell>
        </row>
        <row r="738">
          <cell r="I738">
            <v>254916.15</v>
          </cell>
        </row>
        <row r="812">
          <cell r="I812">
            <v>212541.15</v>
          </cell>
        </row>
        <row r="886">
          <cell r="I886">
            <v>84896.67</v>
          </cell>
        </row>
        <row r="960">
          <cell r="I960">
            <v>4810.16</v>
          </cell>
        </row>
        <row r="1034">
          <cell r="I1034">
            <v>273165.67</v>
          </cell>
        </row>
        <row r="1108">
          <cell r="I1108">
            <v>279457.5</v>
          </cell>
        </row>
        <row r="1182">
          <cell r="I1182">
            <v>285180</v>
          </cell>
        </row>
        <row r="1256">
          <cell r="I1256">
            <v>308319.83</v>
          </cell>
        </row>
        <row r="1330">
          <cell r="I1330">
            <v>332546.67</v>
          </cell>
        </row>
        <row r="1404">
          <cell r="I1404">
            <v>294932.53000000003</v>
          </cell>
        </row>
        <row r="1478">
          <cell r="I1478">
            <v>309483.33</v>
          </cell>
        </row>
        <row r="1552">
          <cell r="I1552">
            <v>2998859.78</v>
          </cell>
        </row>
        <row r="1626">
          <cell r="I1626">
            <v>16382.06</v>
          </cell>
        </row>
        <row r="1701">
          <cell r="I1701">
            <v>65252.06</v>
          </cell>
        </row>
        <row r="1775">
          <cell r="I1775">
            <v>96559.44</v>
          </cell>
        </row>
        <row r="1849">
          <cell r="I1849">
            <v>59752.99</v>
          </cell>
        </row>
        <row r="1923">
          <cell r="I1923">
            <v>155070.78</v>
          </cell>
        </row>
        <row r="1997">
          <cell r="I1997">
            <v>72055</v>
          </cell>
        </row>
        <row r="2071">
          <cell r="I2071">
            <v>16226.4</v>
          </cell>
        </row>
        <row r="2145">
          <cell r="I2145">
            <v>779776.67</v>
          </cell>
        </row>
        <row r="2219">
          <cell r="I2219">
            <v>754462.83</v>
          </cell>
        </row>
        <row r="2293">
          <cell r="I2293">
            <v>743697</v>
          </cell>
        </row>
        <row r="2367">
          <cell r="I2367">
            <v>771326.67</v>
          </cell>
        </row>
        <row r="2441">
          <cell r="I2441">
            <v>423124.8</v>
          </cell>
        </row>
        <row r="2515">
          <cell r="I2515">
            <v>21933.32</v>
          </cell>
        </row>
        <row r="2589">
          <cell r="I2589">
            <v>32348.32</v>
          </cell>
        </row>
        <row r="2663">
          <cell r="I2663">
            <v>604.09</v>
          </cell>
        </row>
        <row r="2737">
          <cell r="I2737">
            <v>535204</v>
          </cell>
        </row>
        <row r="2811">
          <cell r="I2811">
            <v>48375.519999999997</v>
          </cell>
        </row>
        <row r="2884">
          <cell r="I2884">
            <v>7302.67</v>
          </cell>
        </row>
        <row r="2957">
          <cell r="I2957">
            <v>1968.8</v>
          </cell>
        </row>
        <row r="3031">
          <cell r="I3031">
            <v>1371009.19</v>
          </cell>
        </row>
        <row r="3105">
          <cell r="I3105">
            <v>404.26666666666665</v>
          </cell>
        </row>
        <row r="3176">
          <cell r="I3176">
            <v>29513.305555555555</v>
          </cell>
        </row>
        <row r="3248">
          <cell r="I3248">
            <v>44968.78</v>
          </cell>
        </row>
        <row r="3322">
          <cell r="I3322">
            <v>74602</v>
          </cell>
        </row>
        <row r="3396">
          <cell r="I3396">
            <v>277758</v>
          </cell>
        </row>
        <row r="3469">
          <cell r="I3469">
            <v>258255</v>
          </cell>
        </row>
        <row r="3543">
          <cell r="I3543">
            <v>633400</v>
          </cell>
        </row>
        <row r="3614">
          <cell r="I3614">
            <v>519733.33333333331</v>
          </cell>
        </row>
        <row r="3685">
          <cell r="I3685">
            <v>39199.813333333332</v>
          </cell>
        </row>
        <row r="3833">
          <cell r="I3833">
            <v>54298.39</v>
          </cell>
        </row>
        <row r="3978">
          <cell r="I3978">
            <v>18446.060000000001</v>
          </cell>
        </row>
        <row r="4053">
          <cell r="I4053">
            <v>114559.6</v>
          </cell>
        </row>
        <row r="4128">
          <cell r="I4128">
            <v>81231</v>
          </cell>
        </row>
        <row r="4350">
          <cell r="I4350">
            <v>67596</v>
          </cell>
        </row>
        <row r="4424">
          <cell r="I4424">
            <v>315358</v>
          </cell>
        </row>
        <row r="4646">
          <cell r="I4646">
            <v>1281625</v>
          </cell>
        </row>
        <row r="4868">
          <cell r="I4868">
            <v>266233.33</v>
          </cell>
        </row>
        <row r="4942">
          <cell r="I4942">
            <v>255392.32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rumus"/>
      <sheetName val="ANA"/>
      <sheetName val="analis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 3R"/>
      <sheetName val="RAB"/>
      <sheetName val="REKAP "/>
      <sheetName val="Upah"/>
      <sheetName val="Harsat Bahan 2012"/>
      <sheetName val="Material"/>
      <sheetName val="Analisa"/>
      <sheetName val="An. Beton"/>
      <sheetName val="Sheet2"/>
      <sheetName val="HARSAT BOGOR"/>
    </sheetNames>
    <sheetDataSet>
      <sheetData sheetId="0"/>
      <sheetData sheetId="1">
        <row r="2">
          <cell r="A2" t="str">
            <v>PROYEK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AB"/>
      <sheetName val="HARGA SAT"/>
      <sheetName val="QUARY"/>
      <sheetName val="RB"/>
      <sheetName val="Sheet1"/>
      <sheetName val="GORONG2"/>
      <sheetName val="PLAT"/>
      <sheetName val="DIREKSIKEET"/>
      <sheetName val="ANALISA"/>
      <sheetName val="DPP"/>
      <sheetName val="DMPU"/>
      <sheetName val="METODE"/>
      <sheetName val="SCHDULLE"/>
      <sheetName val="ALAT"/>
      <sheetName val="PERS INTI"/>
      <sheetName val="Sheet3"/>
      <sheetName val="BAG-2"/>
    </sheetNames>
    <sheetDataSet>
      <sheetData sheetId="0" refreshError="1">
        <row r="10">
          <cell r="B10" t="str">
            <v>Cianjur, 24 April 2007</v>
          </cell>
        </row>
        <row r="12">
          <cell r="B12" t="str">
            <v>Penawar</v>
          </cell>
        </row>
        <row r="13">
          <cell r="B13" t="str">
            <v>CV. NUSANTARA ABADI</v>
          </cell>
        </row>
        <row r="19">
          <cell r="B19" t="str">
            <v>H. NANDAN ISKANDAR</v>
          </cell>
        </row>
        <row r="20">
          <cell r="B20" t="str">
            <v>Direktur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NALISA"/>
      <sheetName val="SATUAN"/>
      <sheetName val="rab-mekarsa"/>
      <sheetName val="REKAPITULASI"/>
      <sheetName val="HIT-VOLUME"/>
      <sheetName val="REKAPITULASI (2)"/>
      <sheetName val="REKAPITULASI (3)"/>
      <sheetName val="rab-MEKAR"/>
      <sheetName val="VOL-MEKAR)"/>
      <sheetName val="RAB -CIKAL"/>
      <sheetName val="rekap-CIKAL"/>
      <sheetName val="VOL-CIKAL"/>
      <sheetName val="DATA"/>
      <sheetName val="RAB-DTP-mekarsari FINAL"/>
    </sheetNames>
    <sheetDataSet>
      <sheetData sheetId="0"/>
      <sheetData sheetId="1">
        <row r="24">
          <cell r="G24">
            <v>22000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ahan"/>
      <sheetName val="kubang"/>
      <sheetName val="tro.hidayatullah"/>
      <sheetName val="hanapiah"/>
      <sheetName val="imam tajudin"/>
      <sheetName val="suroso"/>
      <sheetName val="siti jenab"/>
      <sheetName val="siliwangi"/>
      <sheetName val="dr.muwardi"/>
      <sheetName val="h.ashyari"/>
      <sheetName val="sukataris"/>
      <sheetName val="Cbn-hlr"/>
      <sheetName val="rancagoong"/>
      <sheetName val="abdullah"/>
      <sheetName val="blk - gombong"/>
      <sheetName val="slamet"/>
      <sheetName val="analisa"/>
      <sheetName val="Daf 1"/>
      <sheetName val="SAP"/>
      <sheetName val="Sheet1"/>
    </sheetNames>
    <sheetDataSet>
      <sheetData sheetId="0" refreshError="1"/>
      <sheetData sheetId="1" refreshError="1"/>
      <sheetData sheetId="2" refreshError="1">
        <row r="94">
          <cell r="E94">
            <v>89500</v>
          </cell>
        </row>
        <row r="95">
          <cell r="E95">
            <v>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274">
          <cell r="I4274">
            <v>93470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REKAP-Feil"/>
      <sheetName val="RAB-Cut"/>
      <sheetName val="Perhitungan Besi"/>
      <sheetName val="Harsat Upah"/>
      <sheetName val="Harsat Bahan"/>
      <sheetName val="Harsat-Alat"/>
      <sheetName val="Harsat Pek"/>
      <sheetName val="Anl-BM"/>
      <sheetName val="Analisa"/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bahan"/>
      <sheetName val="H.Satuan"/>
      <sheetName val="ETAB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G11" t="str">
            <v>KOTA :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LK"/>
      <sheetName val="ANALISA"/>
      <sheetName val="Sheet1"/>
      <sheetName val="gg 50"/>
      <sheetName val="Plat 1 m"/>
      <sheetName val="H.Satuan"/>
      <sheetName val="Anl-BM"/>
    </sheetNames>
    <sheetDataSet>
      <sheetData sheetId="0" refreshError="1"/>
      <sheetData sheetId="1" refreshError="1"/>
      <sheetData sheetId="2" refreshError="1">
        <row r="1102">
          <cell r="I1102">
            <v>10000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PRASARANA"/>
      <sheetName val="R.KET+BP+OSIS+UKS"/>
      <sheetName val="3 R.KLS+KM"/>
      <sheetName val="MUSHOLLAH"/>
      <sheetName val="R.KEPSEK"/>
      <sheetName val="LAB.FISIKA"/>
      <sheetName val="R.LAB.KIMIA"/>
      <sheetName val="2 R.KLS"/>
      <sheetName val="3 R.KLS"/>
      <sheetName val="MEUBELAIR"/>
      <sheetName val="REKAPITULASI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50">
          <cell r="D150">
            <v>49900</v>
          </cell>
        </row>
        <row r="151">
          <cell r="D151">
            <v>65100</v>
          </cell>
        </row>
        <row r="152">
          <cell r="D152">
            <v>71900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DN DEPOK BARU 6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/>
      <sheetData sheetId="1" refreshError="1"/>
      <sheetData sheetId="2" refreshError="1"/>
      <sheetData sheetId="3" refreshError="1">
        <row r="815">
          <cell r="G815">
            <v>47440</v>
          </cell>
        </row>
        <row r="878">
          <cell r="G878">
            <v>29700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ANALISA"/>
      <sheetName val="Material"/>
      <sheetName val="FINISHING"/>
      <sheetName val="Df-Kua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">
          <cell r="H5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Standar"/>
      <sheetName val="REKAP_1"/>
      <sheetName val="ABT"/>
      <sheetName val="RINCI"/>
      <sheetName val="Analisa"/>
      <sheetName val="an. beton"/>
      <sheetName val="an.alm"/>
      <sheetName val="Upah"/>
      <sheetName val="Material"/>
      <sheetName val="BAHAN"/>
      <sheetName val="Rekap Direct Cost"/>
      <sheetName val="DAF-7"/>
      <sheetName val="DAF-1"/>
      <sheetName val="Kode kategori Nas+DVO III"/>
      <sheetName val="Kategori"/>
      <sheetName val="HARGA PEK"/>
      <sheetName val="harga sat"/>
      <sheetName val="DAF_7"/>
      <sheetName val="Analisa Harga Satuan"/>
      <sheetName val="PENGUMUMAN DRAFF II"/>
      <sheetName val="Cover"/>
      <sheetName val="Sat~Bahu"/>
      <sheetName val="BESI"/>
      <sheetName val="Harsat Bahan"/>
      <sheetName val="H.Satuan"/>
      <sheetName val="BQ ARS"/>
      <sheetName val="Metode"/>
      <sheetName val="AHS"/>
      <sheetName val="HRGA SATUAN UPAH-BAHAN"/>
      <sheetName val="HRG BHN"/>
      <sheetName val="harsat"/>
      <sheetName val="TSS"/>
      <sheetName val="Up &amp; bhn"/>
      <sheetName val="Str"/>
      <sheetName val="Belum Sebar"/>
      <sheetName val="Koef"/>
      <sheetName val="Meth"/>
      <sheetName val="AN-E"/>
      <sheetName val="HS"/>
      <sheetName val="A-ars"/>
      <sheetName val="A"/>
      <sheetName val="00 _ Earthwork EF_RL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C9">
            <v>15000</v>
          </cell>
        </row>
        <row r="11">
          <cell r="C11">
            <v>16500</v>
          </cell>
        </row>
        <row r="12">
          <cell r="C12">
            <v>18000</v>
          </cell>
        </row>
        <row r="25">
          <cell r="C25">
            <v>23500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 STANDAR"/>
      <sheetName val="REKAP NON STAN  (2)"/>
      <sheetName val="REKAP NON STAN "/>
      <sheetName val="Tanah &amp; Persiapan"/>
      <sheetName val="Str 1"/>
      <sheetName val="LT 1"/>
      <sheetName val="LT 2"/>
      <sheetName val="LT 3"/>
      <sheetName val="ME"/>
      <sheetName val="NON STAN (2)"/>
      <sheetName val="NON STAN-1"/>
      <sheetName val="Upah"/>
      <sheetName val="Material"/>
      <sheetName val="Analisa"/>
      <sheetName val="an. beton"/>
      <sheetName val="an.alm"/>
      <sheetName val="STR 2"/>
      <sheetName val=" LT 1"/>
      <sheetName val="An Alm"/>
      <sheetName val="Analisa Struktur"/>
      <sheetName val="Daftar Harga Upah"/>
      <sheetName val="DAF_7"/>
      <sheetName val="7. Comparison of Asphalt etc"/>
      <sheetName val="Harsat Bahan"/>
      <sheetName val="URAIAN"/>
      <sheetName val="RAB"/>
      <sheetName val="harsat"/>
      <sheetName val="DAF-7"/>
      <sheetName val="STR"/>
      <sheetName val="Hargamat"/>
      <sheetName val="BAHA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ll"/>
      <sheetName val="H.Satuan"/>
      <sheetName val="HRG BHN"/>
    </sheetNames>
    <sheetDataSet>
      <sheetData sheetId="0">
        <row r="19">
          <cell r="D19">
            <v>17000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D19">
            <v>17000</v>
          </cell>
        </row>
      </sheetData>
      <sheetData sheetId="12" refreshError="1">
        <row r="19">
          <cell r="D19">
            <v>18000</v>
          </cell>
        </row>
        <row r="21">
          <cell r="D21">
            <v>18500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infrastruktur"/>
      <sheetName val="RAB"/>
      <sheetName val="analisa"/>
      <sheetName val="sat-pek"/>
      <sheetName val="upah"/>
      <sheetName val="Bahan"/>
      <sheetName val="Bahan (2)"/>
      <sheetName val="analisa (2)"/>
      <sheetName val="analisa (3)"/>
      <sheetName val="Sat~Bahu"/>
      <sheetName val="bahan&amp;upah"/>
      <sheetName val="Upah Bahan"/>
      <sheetName val="4"/>
      <sheetName val="Analisa Harga"/>
      <sheetName val="Harga Satuan Bahan &amp; Sewa Alat"/>
      <sheetName val="DAF-2"/>
      <sheetName val="1.Unit Price"/>
      <sheetName val="JOB'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upah"/>
      <sheetName val="Upah&amp;Bhn"/>
      <sheetName val="Analisa Harga"/>
      <sheetName val="Analisa"/>
      <sheetName val="Harga Dasar"/>
      <sheetName val="REKAP_ARSITEKTUR."/>
      <sheetName val="REK"/>
      <sheetName val="Sat~Bahu"/>
      <sheetName val="Material"/>
      <sheetName val="H.Satuan"/>
      <sheetName val="Meto"/>
      <sheetName val="3-DIV5"/>
      <sheetName val="1.Unit Price"/>
      <sheetName val="Harga Bahan &amp; Upah"/>
      <sheetName val="Daf-Har-Pening"/>
      <sheetName val="TS"/>
      <sheetName val="BQ ARS"/>
      <sheetName val="L__Hr2"/>
      <sheetName val="L__Mgg1"/>
      <sheetName val="L__Hr3"/>
      <sheetName val="L__Hr"/>
      <sheetName val="L__Mgg"/>
      <sheetName val="L__Hr1"/>
      <sheetName val="D3"/>
      <sheetName val="D4"/>
      <sheetName val="D5"/>
      <sheetName val="D6"/>
      <sheetName val="D7"/>
      <sheetName val="D8"/>
      <sheetName val="10.1 (1)"/>
      <sheetName val="10.1 (3)"/>
      <sheetName val="10.1 (4)"/>
      <sheetName val="anal_hs"/>
      <sheetName val="rekap"/>
      <sheetName val="TABEL LABOR"/>
      <sheetName val="BABY"/>
      <sheetName val="BACK"/>
      <sheetName val="HARGA BAHAN"/>
      <sheetName val="conc-mix"/>
      <sheetName val="Abk (ok!)"/>
      <sheetName val="3-DIV3"/>
      <sheetName val="NP"/>
      <sheetName val="Harsat Bahan"/>
      <sheetName val="Kuan&amp;Hrg"/>
      <sheetName val="RAB ME"/>
      <sheetName val="3-DIV4"/>
      <sheetName val="Peralatan"/>
      <sheetName val="SEX"/>
      <sheetName val="KET"/>
      <sheetName val="HARGA"/>
      <sheetName val="UPAH-BAHAN"/>
      <sheetName val="Upah "/>
      <sheetName val="HB"/>
      <sheetName val="rekap bahan dan alat"/>
      <sheetName val="MDL"/>
      <sheetName val="Jadual"/>
      <sheetName val="MIS ALHARERAT PUSAT"/>
      <sheetName val="UPAH DAN BAHAN"/>
      <sheetName val="har-sat"/>
      <sheetName val="BAHAN"/>
      <sheetName val="INPUT"/>
      <sheetName val="MAT"/>
      <sheetName val="BQ1"/>
      <sheetName val="Balok"/>
      <sheetName val="Data"/>
      <sheetName val="Sheet2"/>
      <sheetName val="HARGA DSR"/>
      <sheetName val="harsat"/>
      <sheetName val="Dft Hrg"/>
      <sheetName val="HSBU ANA"/>
      <sheetName val="AC WIL SERANG"/>
      <sheetName val="Harsat Upah"/>
      <sheetName val="Harsat Pekerjaan"/>
      <sheetName val="Volume"/>
      <sheetName val=" UPAH BAHAN"/>
      <sheetName val="sat jadi"/>
      <sheetName val="Harga Bahan &amp; Upah "/>
      <sheetName val="350"/>
      <sheetName val="upah bahan"/>
      <sheetName val="SATUAN"/>
      <sheetName val="BETON"/>
      <sheetName val="Sheet8"/>
      <sheetName val="PKM_DRAMAGA"/>
      <sheetName val="Coef"/>
      <sheetName val="Master Edit"/>
      <sheetName val="h-013211-2"/>
      <sheetName val="AnBayarUtama"/>
      <sheetName val="metode "/>
      <sheetName val="KEDUNG GOONG"/>
      <sheetName val="URUTAN BUKA"/>
      <sheetName val="HARGA (2)"/>
      <sheetName val="An-Alat"/>
      <sheetName val="lampiran"/>
      <sheetName val="Har Sat"/>
      <sheetName val="UPAH PEKERJA"/>
      <sheetName val="UPAH &amp; BAHAN"/>
      <sheetName val="Analisa-H"/>
      <sheetName val="DAFTAR HARGA"/>
      <sheetName val="HSP"/>
      <sheetName val="B.T"/>
      <sheetName val="Time Scedule"/>
      <sheetName val="boq lel"/>
      <sheetName val="Material-mr"/>
      <sheetName val="pricing"/>
      <sheetName val="MAP"/>
      <sheetName val="UMUM-PU"/>
      <sheetName val="Rumus"/>
      <sheetName val="Sheet1"/>
      <sheetName val="Hrg_Sat"/>
      <sheetName val="Basicprice"/>
      <sheetName val="DRUP (ASLI)"/>
      <sheetName val="Laporan Harian Cibodas"/>
      <sheetName val="ANALISA (2)"/>
      <sheetName val="ANALISA (5)"/>
      <sheetName val="DAFTAR HARGA BAHAN "/>
      <sheetName val="Harga Satuan"/>
      <sheetName val="18. MOB (2)"/>
      <sheetName val="Cik-SPKhwu"/>
      <sheetName val="bhn "/>
      <sheetName val="HRGA SATUAN UPAH-BAHAN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79">
          <cell r="R79" t="str">
            <v>S U S E N O</v>
          </cell>
        </row>
      </sheetData>
      <sheetData sheetId="7" refreshError="1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J BAHAN SNI"/>
      <sheetName val="TABEL BESI"/>
      <sheetName val="Survey H Upah"/>
      <sheetName val="HARGA SAT. BAHAN"/>
      <sheetName val="BACKUP PEMBESIAN"/>
      <sheetName val="Perhitungan Volume"/>
      <sheetName val="RAB2,"/>
      <sheetName val="REKAP"/>
      <sheetName val="Jadwal"/>
      <sheetName val="ANALISA "/>
      <sheetName val="ANALISA STANDAR"/>
      <sheetName val="ANALISA HARGA SAT.PEK"/>
      <sheetName val="DAFTAR ANALISA STANDAR"/>
      <sheetName val="RAB5"/>
      <sheetName val="BA.O&amp;P"/>
      <sheetName val="Pemanfaat"/>
      <sheetName val="S.Org.O&amp;P"/>
      <sheetName val="RAB (2)"/>
      <sheetName val="REKAP OKKK"/>
      <sheetName val="RAB NU OKKK"/>
      <sheetName val="BA PENETAPAAN HARGA"/>
      <sheetName val="DAFTAR BAHAN OKK"/>
      <sheetName val="SHT (Print)"/>
      <sheetName val="MESIN"/>
      <sheetName val="HARGA SAT.UPAH"/>
      <sheetName val="BACK UP VOLUME"/>
      <sheetName val="Harsat Upah"/>
      <sheetName val="BACKUP DATA VOLUME"/>
      <sheetName val="absen"/>
      <sheetName val="CONTOH ANALISA HARGA BAHAN"/>
      <sheetName val="Sheet1"/>
      <sheetName val="SURVEI HARGA SAT. BAHAN"/>
      <sheetName val="Sheet2"/>
      <sheetName val="Name"/>
      <sheetName val="Name (2)"/>
      <sheetName val="RAB"/>
      <sheetName val="Sheet4"/>
      <sheetName val="RKP"/>
      <sheetName val="Sheet3"/>
    </sheetNames>
    <sheetDataSet>
      <sheetData sheetId="0"/>
      <sheetData sheetId="1"/>
      <sheetData sheetId="2"/>
      <sheetData sheetId="3">
        <row r="123">
          <cell r="H123" t="str">
            <v>MUSLIH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0">
          <cell r="E20">
            <v>50000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L. Hr"/>
      <sheetName val="Upah"/>
      <sheetName val="BQ"/>
      <sheetName val="Rekapitulasi"/>
      <sheetName val="BASIC PRICE "/>
      <sheetName val="BAHAN"/>
      <sheetName val="SBDY"/>
      <sheetName val="A-ars"/>
      <sheetName val="Material"/>
      <sheetName val="SEX"/>
      <sheetName val="QUARRY"/>
      <sheetName val="DIV.3"/>
      <sheetName val="3-DIV5"/>
      <sheetName val="1.Unit Price"/>
      <sheetName val="8LT 12"/>
      <sheetName val="Upah_Bahan"/>
      <sheetName val="DATA"/>
      <sheetName val="Harsat_Upah1"/>
      <sheetName val="Harsat_Bahan1"/>
      <sheetName val="Harsat_Pekerjaan1"/>
      <sheetName val="Harsat_Upah"/>
      <sheetName val="Harsat_Bahan"/>
      <sheetName val="Harsat_Pekerjaan"/>
      <sheetName val="Pengalaman 7 th (2)"/>
      <sheetName val="Harsat_Upah2"/>
      <sheetName val="Harsat_Bahan2"/>
      <sheetName val="Harsat_Pekerjaan2"/>
      <sheetName val="RINCIAN TERMYN"/>
      <sheetName val="EI"/>
      <sheetName val="L__Hr"/>
      <sheetName val="L__Hr1"/>
      <sheetName val="HB "/>
      <sheetName val="3-DIV3"/>
      <sheetName val="KET"/>
      <sheetName val="UPAH PRINT"/>
      <sheetName val="L 1"/>
      <sheetName val="Estimate"/>
      <sheetName val="rekap"/>
      <sheetName val="HARGA"/>
      <sheetName val="HARGA (2)"/>
      <sheetName val="KY"/>
      <sheetName val="LINK"/>
      <sheetName val="Upah "/>
      <sheetName val="5"/>
      <sheetName val="3"/>
      <sheetName val="RAB KBPM"/>
      <sheetName val="terendah"/>
      <sheetName val="UPAH&amp;BHN"/>
      <sheetName val="ISIAN"/>
      <sheetName val="LELANG TAHAP I"/>
      <sheetName val="B_U"/>
      <sheetName val="KOEF"/>
      <sheetName val="Agregat Halus &amp; Kasar"/>
      <sheetName val="KEDUNG GOONG"/>
      <sheetName val="Basic Price"/>
      <sheetName val="boq"/>
      <sheetName val=" UPAH"/>
      <sheetName val="Sat~Bahu"/>
      <sheetName val="Analis Harga"/>
      <sheetName val="permoh"/>
      <sheetName val="DATA BASE"/>
      <sheetName val="NP"/>
      <sheetName val="ANL BOW"/>
      <sheetName val="nota penjelasan"/>
      <sheetName val="An-Alat"/>
      <sheetName val="3-DIV2"/>
      <sheetName val="Isolasi Luar Dalam"/>
      <sheetName val="Isolasi Luar"/>
      <sheetName val="terjemah"/>
      <sheetName val="TKDN"/>
      <sheetName val="sc"/>
      <sheetName val="REKAP RAB REVIEW"/>
      <sheetName val="RAB REVIEW PIP2B"/>
      <sheetName val="REKAP INT"/>
      <sheetName val="RAB INT"/>
      <sheetName val="RAB REVIEW PIP2B (CCO)"/>
      <sheetName val="RAB INT (CCO)"/>
      <sheetName val="REKAP (CCO)"/>
      <sheetName val="SAT_PEK ME"/>
      <sheetName val="SAT_PEK_1"/>
      <sheetName val="ANALISA_ME"/>
      <sheetName val="analisa INT"/>
      <sheetName val="KG BESI &amp; LUAS BKST"/>
      <sheetName val="BAHAN ME"/>
      <sheetName val="BAHAN INT"/>
      <sheetName val="Sheet3"/>
      <sheetName val="Kuantitas &amp; Harga"/>
      <sheetName val="Hrg Pipa"/>
      <sheetName val="ANAL-"/>
      <sheetName val="Sales"/>
      <sheetName val="Cover"/>
      <sheetName val="Analisa-SNI"/>
      <sheetName val="REK"/>
      <sheetName val="lab"/>
      <sheetName val="Upah &amp; Bahan"/>
      <sheetName val="harga.bahan"/>
      <sheetName val="rekap13"/>
      <sheetName val="HarSat"/>
      <sheetName val="kkp pph 21"/>
      <sheetName val="II"/>
      <sheetName val="III"/>
      <sheetName val="Cover Daf-2"/>
      <sheetName val="BH-UP"/>
      <sheetName val="RAP"/>
      <sheetName val="k341k612"/>
      <sheetName val="Harga Bahan &amp; Upah "/>
      <sheetName val="HSP"/>
      <sheetName val="ANALIS"/>
      <sheetName val="Analisa Harga Satuan"/>
      <sheetName val="l.Gln "/>
      <sheetName val="Harsat Bahan Penawaran"/>
      <sheetName val="H-Dasar"/>
      <sheetName val="Pakta Integritas"/>
      <sheetName val="CH"/>
      <sheetName val="H.Satuan"/>
      <sheetName val="Harsat_Upah3"/>
      <sheetName val="Harsat_Bahan3"/>
      <sheetName val="Harsat_Pekerjaan3"/>
      <sheetName val="Pengalaman_7_th_(2)"/>
      <sheetName val="L__Hr2"/>
      <sheetName val="RINCIAN_TERMYN"/>
      <sheetName val="Hrg_Pipa"/>
      <sheetName val="BASIC_PRICE_"/>
      <sheetName val="HARGA_(2)"/>
      <sheetName val="Upah_"/>
      <sheetName val="RAB_KBPM"/>
      <sheetName val="LELANG_TAHAP_I"/>
      <sheetName val="Harsat_Upah4"/>
      <sheetName val="Harsat_Bahan4"/>
      <sheetName val="Harsat_Pekerjaan4"/>
      <sheetName val="Pengalaman_7_th_(2)1"/>
      <sheetName val="L__Hr3"/>
      <sheetName val="RINCIAN_TERMYN1"/>
      <sheetName val="Hrg_Pipa1"/>
      <sheetName val="BASIC_PRICE_1"/>
      <sheetName val="HARGA_(2)1"/>
      <sheetName val="Upah_1"/>
      <sheetName val="RAB_KBPM1"/>
      <sheetName val="LELANG_TAHAP_I1"/>
      <sheetName val="Harsat_Upah5"/>
      <sheetName val="Harsat_Bahan5"/>
      <sheetName val="Harsat_Pekerjaan5"/>
      <sheetName val="Pengalaman_7_th_(2)2"/>
      <sheetName val="L__Hr4"/>
      <sheetName val="RINCIAN_TERMYN2"/>
      <sheetName val="Hrg_Pipa2"/>
      <sheetName val="BASIC_PRICE_2"/>
      <sheetName val="HARGA_(2)2"/>
      <sheetName val="Upah_2"/>
      <sheetName val="RAB_KBPM2"/>
      <sheetName val="LELANG_TAHAP_I2"/>
      <sheetName val="Harsat_Upah6"/>
      <sheetName val="Harsat_Bahan6"/>
      <sheetName val="Harsat_Pekerjaan6"/>
      <sheetName val="Pengalaman_7_th_(2)3"/>
      <sheetName val="L__Hr5"/>
      <sheetName val="RINCIAN_TERMYN3"/>
      <sheetName val="Hrg_Pipa3"/>
      <sheetName val="BASIC_PRICE_3"/>
      <sheetName val="HARGA_(2)3"/>
      <sheetName val="Upah_3"/>
      <sheetName val="RAB_KBPM3"/>
      <sheetName val="LELANG_TAHAP_I3"/>
      <sheetName val="Div5.2(1)"/>
      <sheetName val="DHSBU"/>
      <sheetName val="LS_Rutin"/>
      <sheetName val="D7"/>
      <sheetName val="Est"/>
      <sheetName val="Misc"/>
      <sheetName val="General"/>
      <sheetName val="HRG BHN"/>
      <sheetName val="DATA REHAB JEMBATAN"/>
      <sheetName val="C-Flow RAP"/>
      <sheetName val="Harga Dasar"/>
      <sheetName val="harga satuan"/>
      <sheetName val="Rumus"/>
      <sheetName val="analisa 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B8">
            <v>0</v>
          </cell>
          <cell r="C8">
            <v>0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D839">
            <v>0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PENAWARAN"/>
      <sheetName val="RINCIAN BIAYA"/>
      <sheetName val="Sheet1"/>
      <sheetName val="Sheet2"/>
      <sheetName val="Sheet3"/>
      <sheetName val="RAB"/>
      <sheetName val="DHSP"/>
      <sheetName val="Analisa"/>
      <sheetName val="DHSU"/>
      <sheetName val="DHSM"/>
      <sheetName val="Sheet6"/>
      <sheetName val="Terbilang"/>
      <sheetName val="HIT-VOL A"/>
      <sheetName val="HIT-VOL B"/>
      <sheetName val="HIT VOL C"/>
      <sheetName val="HIT. TULANGAN"/>
      <sheetName val="HIT-VOL RKB"/>
      <sheetName val="SATUAN"/>
      <sheetName val="Perhit. besi "/>
      <sheetName val="BAHAN"/>
      <sheetName val="UPAH"/>
      <sheetName val="HRG SAT"/>
      <sheetName val="REK SELURUH"/>
      <sheetName val="TIME SCHEDULE"/>
      <sheetName val="MIN Karteng"/>
      <sheetName val="REK MIN Karteng"/>
      <sheetName val="JILID (3)"/>
      <sheetName val="JILID (2)"/>
      <sheetName val="SKBKT"/>
      <sheetName val="REK SKBKT"/>
      <sheetName val="SKMKMR"/>
      <sheetName val="REKSKMKMR"/>
      <sheetName val="TLGMRN"/>
      <sheetName val="REKTLGMRN"/>
      <sheetName val="TLG"/>
      <sheetName val="REKTLG"/>
      <sheetName val="SKNGR"/>
      <sheetName val="REKAP"/>
      <sheetName val="Kuantts &amp; Hrg"/>
      <sheetName val="DAFT SAT PEK"/>
      <sheetName val="DHSB"/>
      <sheetName val="Time Schdl"/>
    </sheetNames>
    <sheetDataSet>
      <sheetData sheetId="0" refreshError="1"/>
      <sheetData sheetId="1" refreshError="1">
        <row r="73">
          <cell r="V73">
            <v>1</v>
          </cell>
          <cell r="W73" t="str">
            <v>Satu</v>
          </cell>
        </row>
        <row r="74">
          <cell r="V74">
            <v>2</v>
          </cell>
          <cell r="W74" t="str">
            <v>Dua</v>
          </cell>
        </row>
        <row r="76">
          <cell r="V76">
            <v>3</v>
          </cell>
          <cell r="W76" t="str">
            <v>Tiga</v>
          </cell>
        </row>
        <row r="79">
          <cell r="V79">
            <v>4</v>
          </cell>
          <cell r="W79" t="str">
            <v>Empat</v>
          </cell>
        </row>
        <row r="80">
          <cell r="V80">
            <v>5</v>
          </cell>
          <cell r="W80" t="str">
            <v>Lima</v>
          </cell>
        </row>
        <row r="81">
          <cell r="V81">
            <v>6</v>
          </cell>
          <cell r="W81" t="str">
            <v>Enam</v>
          </cell>
        </row>
        <row r="82">
          <cell r="V82">
            <v>7</v>
          </cell>
          <cell r="W82" t="str">
            <v>Tujuh</v>
          </cell>
        </row>
        <row r="83">
          <cell r="V83">
            <v>8</v>
          </cell>
          <cell r="W83" t="str">
            <v>Delapan</v>
          </cell>
        </row>
        <row r="84">
          <cell r="V84">
            <v>9</v>
          </cell>
          <cell r="W84" t="str">
            <v>Sembilan</v>
          </cell>
        </row>
        <row r="85">
          <cell r="V85">
            <v>10</v>
          </cell>
          <cell r="W85" t="str">
            <v>Sepuluh</v>
          </cell>
        </row>
        <row r="86">
          <cell r="V86">
            <v>11</v>
          </cell>
          <cell r="W86" t="str">
            <v>Sebelas</v>
          </cell>
        </row>
        <row r="87">
          <cell r="V87">
            <v>12</v>
          </cell>
          <cell r="W87" t="str">
            <v>Dua Belas</v>
          </cell>
        </row>
        <row r="88">
          <cell r="V88">
            <v>13</v>
          </cell>
          <cell r="W88" t="str">
            <v>Tiga Belas</v>
          </cell>
        </row>
        <row r="89">
          <cell r="V89">
            <v>14</v>
          </cell>
          <cell r="W89" t="str">
            <v>Empat Belas</v>
          </cell>
        </row>
        <row r="90">
          <cell r="V90">
            <v>15</v>
          </cell>
          <cell r="W90" t="str">
            <v>Lima Belas</v>
          </cell>
        </row>
        <row r="91">
          <cell r="V91">
            <v>16</v>
          </cell>
          <cell r="W91" t="str">
            <v>Enam Belas</v>
          </cell>
        </row>
        <row r="92">
          <cell r="V92">
            <v>17</v>
          </cell>
          <cell r="W92" t="str">
            <v>Tujuh Belas</v>
          </cell>
        </row>
        <row r="93">
          <cell r="V93">
            <v>18</v>
          </cell>
          <cell r="W93" t="str">
            <v>Delapan Belas</v>
          </cell>
        </row>
        <row r="94">
          <cell r="V94">
            <v>19</v>
          </cell>
          <cell r="W94" t="str">
            <v>Sembilan Belas</v>
          </cell>
        </row>
        <row r="95">
          <cell r="V95">
            <v>20</v>
          </cell>
          <cell r="W95" t="str">
            <v>Dua Puluh</v>
          </cell>
        </row>
        <row r="96">
          <cell r="V96">
            <v>21</v>
          </cell>
          <cell r="W96" t="str">
            <v>Dua Puluh Satu</v>
          </cell>
        </row>
        <row r="97">
          <cell r="V97">
            <v>22</v>
          </cell>
          <cell r="W97" t="str">
            <v>Dua Puluh Dua</v>
          </cell>
        </row>
        <row r="98">
          <cell r="V98">
            <v>23</v>
          </cell>
          <cell r="W98" t="str">
            <v>Dua Puluh Tiga</v>
          </cell>
        </row>
        <row r="99">
          <cell r="V99">
            <v>24</v>
          </cell>
          <cell r="W99" t="str">
            <v>Dua Puluh Empat</v>
          </cell>
        </row>
        <row r="100">
          <cell r="V100">
            <v>25</v>
          </cell>
          <cell r="W100" t="str">
            <v>Dua Puluh Lima</v>
          </cell>
        </row>
        <row r="101">
          <cell r="V101">
            <v>26</v>
          </cell>
          <cell r="W101" t="str">
            <v>Dua Puluh Enam</v>
          </cell>
        </row>
        <row r="102">
          <cell r="V102">
            <v>27</v>
          </cell>
          <cell r="W102" t="str">
            <v>Dua Puluh Tujuh</v>
          </cell>
        </row>
        <row r="103">
          <cell r="V103">
            <v>28</v>
          </cell>
          <cell r="W103" t="str">
            <v>Dua Puluh Delapan</v>
          </cell>
        </row>
        <row r="104">
          <cell r="V104">
            <v>29</v>
          </cell>
          <cell r="W104" t="str">
            <v>Dua Puluh Sembilan</v>
          </cell>
        </row>
        <row r="105">
          <cell r="V105">
            <v>30</v>
          </cell>
          <cell r="W105" t="str">
            <v>Tiga Puluh</v>
          </cell>
        </row>
        <row r="106">
          <cell r="V106">
            <v>31</v>
          </cell>
          <cell r="W106" t="str">
            <v>Tiga Puluh Satu</v>
          </cell>
        </row>
        <row r="107">
          <cell r="V107">
            <v>32</v>
          </cell>
          <cell r="W107" t="str">
            <v>Tiga Puluh Dua</v>
          </cell>
        </row>
        <row r="108">
          <cell r="V108">
            <v>33</v>
          </cell>
          <cell r="W108" t="str">
            <v>Tiga Puluh Tiga</v>
          </cell>
        </row>
        <row r="109">
          <cell r="V109">
            <v>34</v>
          </cell>
          <cell r="W109" t="str">
            <v>Tiga Puluh Empat</v>
          </cell>
        </row>
        <row r="110">
          <cell r="V110">
            <v>35</v>
          </cell>
          <cell r="W110" t="str">
            <v>Tiga Puluh Lima</v>
          </cell>
        </row>
        <row r="111">
          <cell r="V111">
            <v>36</v>
          </cell>
          <cell r="W111" t="str">
            <v>Tiga Puluh Enam</v>
          </cell>
        </row>
        <row r="112">
          <cell r="V112">
            <v>37</v>
          </cell>
          <cell r="W112" t="str">
            <v>Tiga Puluh Tujuh</v>
          </cell>
        </row>
        <row r="113">
          <cell r="V113">
            <v>38</v>
          </cell>
          <cell r="W113" t="str">
            <v>Tiga Puluh Delapan</v>
          </cell>
        </row>
        <row r="114">
          <cell r="V114">
            <v>39</v>
          </cell>
          <cell r="W114" t="str">
            <v>Tiga Puluh Sembilan</v>
          </cell>
        </row>
        <row r="115">
          <cell r="V115">
            <v>40</v>
          </cell>
          <cell r="W115" t="str">
            <v>Empat Puluh</v>
          </cell>
        </row>
        <row r="116">
          <cell r="V116">
            <v>41</v>
          </cell>
          <cell r="W116" t="str">
            <v>Empat Puluh Satu</v>
          </cell>
        </row>
        <row r="117">
          <cell r="V117">
            <v>42</v>
          </cell>
          <cell r="W117" t="str">
            <v>Empat Puluh Dua</v>
          </cell>
        </row>
        <row r="118">
          <cell r="V118">
            <v>43</v>
          </cell>
          <cell r="W118" t="str">
            <v>Empat Puluh Tiga</v>
          </cell>
        </row>
        <row r="119">
          <cell r="V119">
            <v>44</v>
          </cell>
          <cell r="W119" t="str">
            <v>Empat Puluh Empat</v>
          </cell>
        </row>
        <row r="120">
          <cell r="V120">
            <v>45</v>
          </cell>
          <cell r="W120" t="str">
            <v>Empat Puluh Lima</v>
          </cell>
        </row>
        <row r="121">
          <cell r="V121">
            <v>46</v>
          </cell>
          <cell r="W121" t="str">
            <v>Empat Puluh Enam</v>
          </cell>
        </row>
        <row r="122">
          <cell r="V122">
            <v>47</v>
          </cell>
          <cell r="W122" t="str">
            <v>Empat Puluh Tujuh</v>
          </cell>
        </row>
        <row r="123">
          <cell r="V123">
            <v>48</v>
          </cell>
          <cell r="W123" t="str">
            <v>Empat Puluh Delapan</v>
          </cell>
        </row>
        <row r="124">
          <cell r="V124">
            <v>49</v>
          </cell>
          <cell r="W124" t="str">
            <v>Empat Puluh Sembilan</v>
          </cell>
        </row>
        <row r="125">
          <cell r="V125">
            <v>50</v>
          </cell>
          <cell r="W125" t="str">
            <v>Lima Puluh</v>
          </cell>
        </row>
        <row r="126">
          <cell r="V126">
            <v>51</v>
          </cell>
          <cell r="W126" t="str">
            <v>Lima Puluh Satu</v>
          </cell>
        </row>
        <row r="127">
          <cell r="V127">
            <v>52</v>
          </cell>
          <cell r="W127" t="str">
            <v>Lima Puluh Dua</v>
          </cell>
        </row>
        <row r="128">
          <cell r="V128">
            <v>53</v>
          </cell>
          <cell r="W128" t="str">
            <v>Lima Puluh Tiga</v>
          </cell>
        </row>
        <row r="129">
          <cell r="V129">
            <v>54</v>
          </cell>
          <cell r="W129" t="str">
            <v>Lima Puluh Empat</v>
          </cell>
        </row>
        <row r="130">
          <cell r="V130">
            <v>55</v>
          </cell>
          <cell r="W130" t="str">
            <v>Lima Puluh Lima</v>
          </cell>
        </row>
        <row r="131">
          <cell r="V131">
            <v>56</v>
          </cell>
          <cell r="W131" t="str">
            <v>Lima Puluh Enam</v>
          </cell>
        </row>
        <row r="132">
          <cell r="V132">
            <v>57</v>
          </cell>
          <cell r="W132" t="str">
            <v>Lima Puluh Tujuh</v>
          </cell>
        </row>
        <row r="133">
          <cell r="V133">
            <v>58</v>
          </cell>
          <cell r="W133" t="str">
            <v>Lima Puluh Delapan</v>
          </cell>
        </row>
        <row r="134">
          <cell r="V134">
            <v>59</v>
          </cell>
          <cell r="W134" t="str">
            <v>Lima Puluh Sembilan</v>
          </cell>
        </row>
        <row r="135">
          <cell r="V135">
            <v>60</v>
          </cell>
          <cell r="W135" t="str">
            <v>Enam Puluh</v>
          </cell>
        </row>
        <row r="136">
          <cell r="V136">
            <v>61</v>
          </cell>
          <cell r="W136" t="str">
            <v>Enam Puluh Satu</v>
          </cell>
        </row>
        <row r="137">
          <cell r="V137">
            <v>62</v>
          </cell>
          <cell r="W137" t="str">
            <v>Enam Puluh Dua</v>
          </cell>
        </row>
        <row r="138">
          <cell r="V138">
            <v>63</v>
          </cell>
          <cell r="W138" t="str">
            <v>Enam Puluh Tiga</v>
          </cell>
        </row>
        <row r="139">
          <cell r="V139">
            <v>64</v>
          </cell>
          <cell r="W139" t="str">
            <v>Enam Puluh Empat</v>
          </cell>
        </row>
        <row r="140">
          <cell r="V140">
            <v>65</v>
          </cell>
          <cell r="W140" t="str">
            <v>Enam Puluh Lima</v>
          </cell>
        </row>
        <row r="141">
          <cell r="V141">
            <v>66</v>
          </cell>
          <cell r="W141" t="str">
            <v>Enam Puluh Enam</v>
          </cell>
        </row>
        <row r="142">
          <cell r="V142">
            <v>67</v>
          </cell>
          <cell r="W142" t="str">
            <v>Enam Puluh Tujuh</v>
          </cell>
        </row>
        <row r="143">
          <cell r="V143">
            <v>68</v>
          </cell>
          <cell r="W143" t="str">
            <v>Enam Puluh Delapan</v>
          </cell>
        </row>
        <row r="144">
          <cell r="V144">
            <v>69</v>
          </cell>
          <cell r="W144" t="str">
            <v>Enam Puluh Sembilan</v>
          </cell>
        </row>
        <row r="145">
          <cell r="V145">
            <v>70</v>
          </cell>
          <cell r="W145" t="str">
            <v>Tujuh Puluh</v>
          </cell>
        </row>
        <row r="146">
          <cell r="V146">
            <v>71</v>
          </cell>
          <cell r="W146" t="str">
            <v>Tujuh Puluh Satu</v>
          </cell>
        </row>
        <row r="147">
          <cell r="V147">
            <v>72</v>
          </cell>
          <cell r="W147" t="str">
            <v>Tujuh Puluh Dua</v>
          </cell>
        </row>
        <row r="148">
          <cell r="V148">
            <v>73</v>
          </cell>
          <cell r="W148" t="str">
            <v>Tujuh Puluh Tiga</v>
          </cell>
        </row>
        <row r="149">
          <cell r="V149">
            <v>74</v>
          </cell>
          <cell r="W149" t="str">
            <v>Tujuh Puluh Empat</v>
          </cell>
        </row>
        <row r="150">
          <cell r="V150">
            <v>75</v>
          </cell>
          <cell r="W150" t="str">
            <v>Tujuh Puluh Lima</v>
          </cell>
        </row>
        <row r="151">
          <cell r="V151">
            <v>76</v>
          </cell>
          <cell r="W151" t="str">
            <v>Tujuh Puluh Enam</v>
          </cell>
        </row>
        <row r="152">
          <cell r="V152">
            <v>77</v>
          </cell>
          <cell r="W152" t="str">
            <v>Tujuh Puluh Tujuh</v>
          </cell>
        </row>
        <row r="153">
          <cell r="V153">
            <v>78</v>
          </cell>
          <cell r="W153" t="str">
            <v>Tujuh Puluh Delapan</v>
          </cell>
        </row>
        <row r="154">
          <cell r="V154">
            <v>79</v>
          </cell>
          <cell r="W154" t="str">
            <v>Tujuh Puluh Sembilan</v>
          </cell>
        </row>
        <row r="155">
          <cell r="V155">
            <v>80</v>
          </cell>
          <cell r="W155" t="str">
            <v>Delapan Puluh</v>
          </cell>
        </row>
        <row r="156">
          <cell r="V156">
            <v>81</v>
          </cell>
          <cell r="W156" t="str">
            <v>Delapan Puluh Satu</v>
          </cell>
        </row>
        <row r="157">
          <cell r="V157">
            <v>82</v>
          </cell>
          <cell r="W157" t="str">
            <v>Delapan Puluh Dua</v>
          </cell>
        </row>
        <row r="158">
          <cell r="V158">
            <v>83</v>
          </cell>
          <cell r="W158" t="str">
            <v>Delapan Puluh Tiga</v>
          </cell>
        </row>
        <row r="159">
          <cell r="V159">
            <v>84</v>
          </cell>
          <cell r="W159" t="str">
            <v>Delapan Puluh Empat</v>
          </cell>
        </row>
        <row r="160">
          <cell r="V160">
            <v>85</v>
          </cell>
          <cell r="W160" t="str">
            <v>Delapan Puluh Lima</v>
          </cell>
        </row>
        <row r="161">
          <cell r="V161">
            <v>86</v>
          </cell>
          <cell r="W161" t="str">
            <v>Delapan Puluh Enam</v>
          </cell>
        </row>
        <row r="162">
          <cell r="V162">
            <v>87</v>
          </cell>
          <cell r="W162" t="str">
            <v>Delapan Puluh Tujuh</v>
          </cell>
        </row>
        <row r="163">
          <cell r="V163">
            <v>88</v>
          </cell>
          <cell r="W163" t="str">
            <v>Delapan Puluh Delapan</v>
          </cell>
        </row>
        <row r="164">
          <cell r="V164">
            <v>89</v>
          </cell>
          <cell r="W164" t="str">
            <v>Delapan Puluh Sembilan</v>
          </cell>
        </row>
        <row r="165">
          <cell r="V165">
            <v>90</v>
          </cell>
          <cell r="W165" t="str">
            <v>Sembilan Puluh</v>
          </cell>
        </row>
        <row r="166">
          <cell r="V166">
            <v>91</v>
          </cell>
          <cell r="W166" t="str">
            <v>Sembilan Puluh Satu</v>
          </cell>
        </row>
        <row r="167">
          <cell r="V167">
            <v>92</v>
          </cell>
          <cell r="W167" t="str">
            <v>Sembilan Puluh Dua</v>
          </cell>
        </row>
        <row r="168">
          <cell r="V168">
            <v>93</v>
          </cell>
          <cell r="W168" t="str">
            <v>Sembilan Puluh Tiga</v>
          </cell>
        </row>
        <row r="169">
          <cell r="V169">
            <v>94</v>
          </cell>
          <cell r="W169" t="str">
            <v>Sembilan Puluh Empat</v>
          </cell>
        </row>
        <row r="170">
          <cell r="V170">
            <v>95</v>
          </cell>
          <cell r="W170" t="str">
            <v>Sembilan Puluh Lima</v>
          </cell>
        </row>
        <row r="171">
          <cell r="V171">
            <v>96</v>
          </cell>
          <cell r="W171" t="str">
            <v>Sembilan Puluh Enam</v>
          </cell>
        </row>
        <row r="172">
          <cell r="V172">
            <v>97</v>
          </cell>
          <cell r="W172" t="str">
            <v>Sembilan Puluh Tujuh</v>
          </cell>
        </row>
        <row r="173">
          <cell r="V173">
            <v>98</v>
          </cell>
          <cell r="W173" t="str">
            <v>Sembilan Puluh Delapan</v>
          </cell>
        </row>
        <row r="174">
          <cell r="V174">
            <v>99</v>
          </cell>
          <cell r="W174" t="str">
            <v>Sembilan Puluh Sembilan</v>
          </cell>
        </row>
        <row r="175">
          <cell r="V175">
            <v>100</v>
          </cell>
          <cell r="W175" t="str">
            <v>Seratus</v>
          </cell>
        </row>
        <row r="176">
          <cell r="V176">
            <v>101</v>
          </cell>
          <cell r="W176" t="str">
            <v>Seratus Satu</v>
          </cell>
        </row>
        <row r="177">
          <cell r="V177">
            <v>102</v>
          </cell>
          <cell r="W177" t="str">
            <v>Seratus Dua</v>
          </cell>
        </row>
        <row r="178">
          <cell r="V178">
            <v>103</v>
          </cell>
          <cell r="W178" t="str">
            <v>Seratus Tiga</v>
          </cell>
        </row>
        <row r="179">
          <cell r="V179">
            <v>104</v>
          </cell>
          <cell r="W179" t="str">
            <v>Seratus Empat</v>
          </cell>
        </row>
        <row r="180">
          <cell r="V180">
            <v>105</v>
          </cell>
          <cell r="W180" t="str">
            <v>Seratus Lima</v>
          </cell>
        </row>
        <row r="181">
          <cell r="V181">
            <v>106</v>
          </cell>
          <cell r="W181" t="str">
            <v>Seratus Enam</v>
          </cell>
        </row>
        <row r="182">
          <cell r="V182">
            <v>107</v>
          </cell>
          <cell r="W182" t="str">
            <v>Seratus Tujuh</v>
          </cell>
        </row>
        <row r="183">
          <cell r="V183">
            <v>108</v>
          </cell>
          <cell r="W183" t="str">
            <v>Seratus Delapan</v>
          </cell>
        </row>
        <row r="184">
          <cell r="V184">
            <v>109</v>
          </cell>
          <cell r="W184" t="str">
            <v>Seratus Sembilan</v>
          </cell>
        </row>
        <row r="185">
          <cell r="V185">
            <v>110</v>
          </cell>
          <cell r="W185" t="str">
            <v>Seratus Sepuluh</v>
          </cell>
        </row>
        <row r="186">
          <cell r="V186">
            <v>111</v>
          </cell>
          <cell r="W186" t="str">
            <v>Seratus Sebelas</v>
          </cell>
        </row>
        <row r="187">
          <cell r="V187">
            <v>112</v>
          </cell>
          <cell r="W187" t="str">
            <v>Seratus Dua Belas</v>
          </cell>
        </row>
        <row r="188">
          <cell r="V188">
            <v>113</v>
          </cell>
          <cell r="W188" t="str">
            <v>Seratus Tiga Belas</v>
          </cell>
        </row>
        <row r="189">
          <cell r="V189">
            <v>114</v>
          </cell>
          <cell r="W189" t="str">
            <v>Seratus Empat Belas</v>
          </cell>
        </row>
        <row r="190">
          <cell r="V190">
            <v>115</v>
          </cell>
          <cell r="W190" t="str">
            <v>Seratus Lima Belas</v>
          </cell>
        </row>
        <row r="191">
          <cell r="V191">
            <v>116</v>
          </cell>
          <cell r="W191" t="str">
            <v>Seratus Enam Belas</v>
          </cell>
        </row>
        <row r="192">
          <cell r="V192">
            <v>117</v>
          </cell>
          <cell r="W192" t="str">
            <v>Seratus Tujuh Belas</v>
          </cell>
        </row>
        <row r="193">
          <cell r="V193">
            <v>118</v>
          </cell>
          <cell r="W193" t="str">
            <v>Seratus Delapan Belas</v>
          </cell>
        </row>
        <row r="194">
          <cell r="V194">
            <v>119</v>
          </cell>
          <cell r="W194" t="str">
            <v>Seratus Sembilan Belas</v>
          </cell>
        </row>
        <row r="195">
          <cell r="V195">
            <v>120</v>
          </cell>
          <cell r="W195" t="str">
            <v>Seratus Dua Puluh</v>
          </cell>
        </row>
        <row r="196">
          <cell r="V196">
            <v>121</v>
          </cell>
          <cell r="W196" t="str">
            <v>Seratus Dua Puluh Satu</v>
          </cell>
        </row>
        <row r="197">
          <cell r="V197">
            <v>122</v>
          </cell>
          <cell r="W197" t="str">
            <v>Seratus Dua Puluh Dua</v>
          </cell>
        </row>
        <row r="198">
          <cell r="V198">
            <v>123</v>
          </cell>
          <cell r="W198" t="str">
            <v>Seratus Dua Puluh Tiga</v>
          </cell>
        </row>
        <row r="199">
          <cell r="V199">
            <v>124</v>
          </cell>
          <cell r="W199" t="str">
            <v>Seratus Dua Puluh Empat</v>
          </cell>
        </row>
        <row r="200">
          <cell r="V200">
            <v>125</v>
          </cell>
          <cell r="W200" t="str">
            <v>Seratus Dua Puluh Lima</v>
          </cell>
        </row>
        <row r="201">
          <cell r="V201">
            <v>126</v>
          </cell>
          <cell r="W201" t="str">
            <v>Seratus Dua Puluh Enam</v>
          </cell>
        </row>
        <row r="202">
          <cell r="V202">
            <v>127</v>
          </cell>
          <cell r="W202" t="str">
            <v>Seratus Dua Puluh Tujuh</v>
          </cell>
        </row>
        <row r="203">
          <cell r="V203">
            <v>128</v>
          </cell>
          <cell r="W203" t="str">
            <v>Seratus Dua Puluh Delapan</v>
          </cell>
        </row>
        <row r="204">
          <cell r="V204">
            <v>129</v>
          </cell>
          <cell r="W204" t="str">
            <v>Seratus Dua Puluh Sembilan</v>
          </cell>
        </row>
        <row r="205">
          <cell r="V205">
            <v>130</v>
          </cell>
          <cell r="W205" t="str">
            <v>Seratus Tiga Puluh</v>
          </cell>
        </row>
        <row r="206">
          <cell r="V206">
            <v>131</v>
          </cell>
          <cell r="W206" t="str">
            <v>Seratus Tiga Puluh Satu</v>
          </cell>
        </row>
        <row r="207">
          <cell r="V207">
            <v>132</v>
          </cell>
          <cell r="W207" t="str">
            <v>Seratus Tiga Puluh Dua</v>
          </cell>
        </row>
        <row r="208">
          <cell r="V208">
            <v>133</v>
          </cell>
          <cell r="W208" t="str">
            <v>Seratus Tiga Puluh Tiga</v>
          </cell>
        </row>
        <row r="209">
          <cell r="V209">
            <v>134</v>
          </cell>
          <cell r="W209" t="str">
            <v>Seratus Tiga Puluh Empat</v>
          </cell>
        </row>
        <row r="210">
          <cell r="V210">
            <v>135</v>
          </cell>
          <cell r="W210" t="str">
            <v>Seratus Tiga Puluh Lima</v>
          </cell>
        </row>
        <row r="211">
          <cell r="V211">
            <v>136</v>
          </cell>
          <cell r="W211" t="str">
            <v>Seratus Tiga Puluh Enam</v>
          </cell>
        </row>
        <row r="212">
          <cell r="V212">
            <v>137</v>
          </cell>
          <cell r="W212" t="str">
            <v>Seratus Tiga Puluh Tujuh</v>
          </cell>
        </row>
        <row r="213">
          <cell r="V213">
            <v>138</v>
          </cell>
          <cell r="W213" t="str">
            <v>Seratus Tiga Puluh Delapan</v>
          </cell>
        </row>
        <row r="214">
          <cell r="V214">
            <v>139</v>
          </cell>
          <cell r="W214" t="str">
            <v>Seratus Tiga Puluh Sembilan</v>
          </cell>
        </row>
        <row r="215">
          <cell r="V215">
            <v>140</v>
          </cell>
          <cell r="W215" t="str">
            <v>Seratus Empat Puluh</v>
          </cell>
        </row>
        <row r="216">
          <cell r="V216">
            <v>141</v>
          </cell>
          <cell r="W216" t="str">
            <v>Seratus Empat Puluh Satu</v>
          </cell>
        </row>
        <row r="217">
          <cell r="V217">
            <v>142</v>
          </cell>
          <cell r="W217" t="str">
            <v>Seratus Empat Puluh Dua</v>
          </cell>
        </row>
        <row r="218">
          <cell r="V218">
            <v>143</v>
          </cell>
          <cell r="W218" t="str">
            <v>Seratus Empat Puluh Tiga</v>
          </cell>
        </row>
        <row r="219">
          <cell r="V219">
            <v>144</v>
          </cell>
          <cell r="W219" t="str">
            <v>Seratus Empat Puluh Empat</v>
          </cell>
        </row>
        <row r="220">
          <cell r="V220">
            <v>145</v>
          </cell>
          <cell r="W220" t="str">
            <v>Seratus Empat Puluh Lima</v>
          </cell>
        </row>
        <row r="221">
          <cell r="V221">
            <v>146</v>
          </cell>
          <cell r="W221" t="str">
            <v>Seratus Empat Puluh Enam</v>
          </cell>
        </row>
        <row r="222">
          <cell r="V222">
            <v>147</v>
          </cell>
          <cell r="W222" t="str">
            <v>Seratus Empat Puluh Tujuh</v>
          </cell>
        </row>
        <row r="223">
          <cell r="V223">
            <v>148</v>
          </cell>
          <cell r="W223" t="str">
            <v>Seratus Empat Puluh Delapan</v>
          </cell>
        </row>
        <row r="224">
          <cell r="V224">
            <v>149</v>
          </cell>
          <cell r="W224" t="str">
            <v>Seratus Empat Puluh Sembilan</v>
          </cell>
        </row>
        <row r="225">
          <cell r="V225">
            <v>150</v>
          </cell>
          <cell r="W225" t="str">
            <v>Seratus Lima Puluh</v>
          </cell>
        </row>
        <row r="226">
          <cell r="V226">
            <v>151</v>
          </cell>
          <cell r="W226" t="str">
            <v>Seratus Lima Puluh Satu</v>
          </cell>
        </row>
        <row r="227">
          <cell r="V227">
            <v>152</v>
          </cell>
          <cell r="W227" t="str">
            <v>Seratus Lima Puluh Dua</v>
          </cell>
        </row>
        <row r="228">
          <cell r="V228">
            <v>153</v>
          </cell>
          <cell r="W228" t="str">
            <v>Seratus Lima Puluh Tiga</v>
          </cell>
        </row>
        <row r="229">
          <cell r="V229">
            <v>154</v>
          </cell>
          <cell r="W229" t="str">
            <v>Seratus Lima Puluh Empat</v>
          </cell>
        </row>
        <row r="230">
          <cell r="V230">
            <v>155</v>
          </cell>
          <cell r="W230" t="str">
            <v>Seratus Lima Puluh Lima</v>
          </cell>
        </row>
        <row r="231">
          <cell r="V231">
            <v>156</v>
          </cell>
          <cell r="W231" t="str">
            <v>Seratus Lima Puluh Enam</v>
          </cell>
        </row>
        <row r="232">
          <cell r="V232">
            <v>157</v>
          </cell>
          <cell r="W232" t="str">
            <v>Seratus Lima Puluh Tujuh</v>
          </cell>
        </row>
        <row r="233">
          <cell r="V233">
            <v>158</v>
          </cell>
          <cell r="W233" t="str">
            <v>Seratus Lima Puluh Delapan</v>
          </cell>
        </row>
        <row r="234">
          <cell r="V234">
            <v>159</v>
          </cell>
          <cell r="W234" t="str">
            <v>Seratus Lima Puluh Sembilan</v>
          </cell>
        </row>
        <row r="235">
          <cell r="V235">
            <v>160</v>
          </cell>
          <cell r="W235" t="str">
            <v>Seratus Enam Puluh</v>
          </cell>
        </row>
        <row r="236">
          <cell r="V236">
            <v>161</v>
          </cell>
          <cell r="W236" t="str">
            <v>Seratus Enam Puluh Satu</v>
          </cell>
        </row>
        <row r="237">
          <cell r="V237">
            <v>162</v>
          </cell>
          <cell r="W237" t="str">
            <v>Seratus Enam Puluh Dua</v>
          </cell>
        </row>
        <row r="238">
          <cell r="V238">
            <v>163</v>
          </cell>
          <cell r="W238" t="str">
            <v>Seratus Enam Puluh Tiga</v>
          </cell>
        </row>
        <row r="239">
          <cell r="V239">
            <v>164</v>
          </cell>
          <cell r="W239" t="str">
            <v>Seratus Enam Puluh Empat</v>
          </cell>
        </row>
        <row r="240">
          <cell r="V240">
            <v>165</v>
          </cell>
          <cell r="W240" t="str">
            <v>Seratus Enam Puluh Lima</v>
          </cell>
        </row>
        <row r="241">
          <cell r="V241">
            <v>166</v>
          </cell>
          <cell r="W241" t="str">
            <v>Seratus Enam Puluh Enam</v>
          </cell>
        </row>
        <row r="242">
          <cell r="V242">
            <v>167</v>
          </cell>
          <cell r="W242" t="str">
            <v>Seratus Enam Puluh Tujuh</v>
          </cell>
        </row>
        <row r="243">
          <cell r="V243">
            <v>168</v>
          </cell>
          <cell r="W243" t="str">
            <v>Seratus Enam Puluh Delapan</v>
          </cell>
        </row>
        <row r="244">
          <cell r="V244">
            <v>169</v>
          </cell>
          <cell r="W244" t="str">
            <v>Seratus Enam Puluh Sembilan</v>
          </cell>
        </row>
        <row r="245">
          <cell r="V245">
            <v>170</v>
          </cell>
          <cell r="W245" t="str">
            <v>Seratus Tujuh Puluh</v>
          </cell>
        </row>
        <row r="246">
          <cell r="V246">
            <v>171</v>
          </cell>
          <cell r="W246" t="str">
            <v>Seratus Tujuh Puluh Satu</v>
          </cell>
        </row>
        <row r="247">
          <cell r="V247">
            <v>172</v>
          </cell>
          <cell r="W247" t="str">
            <v>Seratus Tujuh Puluh Dua</v>
          </cell>
        </row>
        <row r="248">
          <cell r="V248">
            <v>173</v>
          </cell>
          <cell r="W248" t="str">
            <v>Seratus Tujuh Puluh Tiga</v>
          </cell>
        </row>
        <row r="249">
          <cell r="V249">
            <v>174</v>
          </cell>
          <cell r="W249" t="str">
            <v>Seratus Tujuh Puluh Empat</v>
          </cell>
        </row>
        <row r="250">
          <cell r="V250">
            <v>175</v>
          </cell>
          <cell r="W250" t="str">
            <v>Seratus Tujuh Puluh Lima</v>
          </cell>
        </row>
        <row r="251">
          <cell r="V251">
            <v>176</v>
          </cell>
          <cell r="W251" t="str">
            <v>Seratus Tujuh Puluh Enam</v>
          </cell>
        </row>
        <row r="252">
          <cell r="V252">
            <v>177</v>
          </cell>
          <cell r="W252" t="str">
            <v>Seratus Tujuh Puluh Tujuh</v>
          </cell>
        </row>
        <row r="253">
          <cell r="V253">
            <v>178</v>
          </cell>
          <cell r="W253" t="str">
            <v>Seratus Tujuh Puluh Delapan</v>
          </cell>
        </row>
        <row r="254">
          <cell r="V254">
            <v>179</v>
          </cell>
          <cell r="W254" t="str">
            <v>Seratus Tujuh Puluh Sembilan</v>
          </cell>
        </row>
        <row r="255">
          <cell r="V255">
            <v>180</v>
          </cell>
          <cell r="W255" t="str">
            <v>Seratus Delapan Puluh</v>
          </cell>
        </row>
        <row r="256">
          <cell r="V256">
            <v>181</v>
          </cell>
          <cell r="W256" t="str">
            <v>Seratus Delapan Puluh Satu</v>
          </cell>
        </row>
        <row r="257">
          <cell r="V257">
            <v>182</v>
          </cell>
          <cell r="W257" t="str">
            <v>Seratus Delapan Puluh Dua</v>
          </cell>
        </row>
        <row r="258">
          <cell r="V258">
            <v>183</v>
          </cell>
          <cell r="W258" t="str">
            <v>Seratus Delapan Puluh Tiga</v>
          </cell>
        </row>
        <row r="259">
          <cell r="V259">
            <v>184</v>
          </cell>
          <cell r="W259" t="str">
            <v>Seratus Delapan Puluh Empat</v>
          </cell>
        </row>
        <row r="260">
          <cell r="V260">
            <v>185</v>
          </cell>
          <cell r="W260" t="str">
            <v>Seratus Delapan Puluh Lima</v>
          </cell>
        </row>
        <row r="261">
          <cell r="V261">
            <v>186</v>
          </cell>
          <cell r="W261" t="str">
            <v>Seratus Delapan Puluh Enam</v>
          </cell>
        </row>
        <row r="262">
          <cell r="V262">
            <v>187</v>
          </cell>
          <cell r="W262" t="str">
            <v>Seratus Delapan Puluh Tujuh</v>
          </cell>
        </row>
        <row r="263">
          <cell r="V263">
            <v>188</v>
          </cell>
          <cell r="W263" t="str">
            <v>Seratus Delapan Puluh Delapan</v>
          </cell>
        </row>
        <row r="264">
          <cell r="V264">
            <v>189</v>
          </cell>
          <cell r="W264" t="str">
            <v>Seratus Delapan Puluh Sembilan</v>
          </cell>
        </row>
        <row r="265">
          <cell r="V265">
            <v>190</v>
          </cell>
          <cell r="W265" t="str">
            <v>Seratus Sembilan Puluh</v>
          </cell>
        </row>
        <row r="266">
          <cell r="V266">
            <v>191</v>
          </cell>
          <cell r="W266" t="str">
            <v>Seratus Sembilan Puluh Satu</v>
          </cell>
        </row>
        <row r="267">
          <cell r="V267">
            <v>192</v>
          </cell>
          <cell r="W267" t="str">
            <v>Seratus Sembilan Puluh Dua</v>
          </cell>
        </row>
        <row r="268">
          <cell r="V268">
            <v>193</v>
          </cell>
          <cell r="W268" t="str">
            <v>Seratus Sembilan Puluh Tiga</v>
          </cell>
        </row>
        <row r="269">
          <cell r="V269">
            <v>194</v>
          </cell>
          <cell r="W269" t="str">
            <v>Seratus Sembilan Puluh Empat</v>
          </cell>
        </row>
        <row r="270">
          <cell r="V270">
            <v>195</v>
          </cell>
          <cell r="W270" t="str">
            <v>Seratus Sembilan Puluh Lima</v>
          </cell>
        </row>
        <row r="271">
          <cell r="V271">
            <v>196</v>
          </cell>
          <cell r="W271" t="str">
            <v>Seratus Sembilan Puluh Enam</v>
          </cell>
        </row>
        <row r="272">
          <cell r="V272">
            <v>197</v>
          </cell>
          <cell r="W272" t="str">
            <v>Seratus Sembilan Puluh Tujuh</v>
          </cell>
        </row>
        <row r="273">
          <cell r="V273">
            <v>198</v>
          </cell>
          <cell r="W273" t="str">
            <v>Seratus Sembilan Puluh Delapan</v>
          </cell>
        </row>
        <row r="274">
          <cell r="V274">
            <v>199</v>
          </cell>
          <cell r="W274" t="str">
            <v>Seratus Sembilan Puluh Sembilan</v>
          </cell>
        </row>
        <row r="275">
          <cell r="V275">
            <v>200</v>
          </cell>
          <cell r="W275" t="str">
            <v>Dua Ratus</v>
          </cell>
        </row>
        <row r="276">
          <cell r="V276">
            <v>201</v>
          </cell>
          <cell r="W276" t="str">
            <v>Dua Ratus Satu</v>
          </cell>
        </row>
        <row r="277">
          <cell r="V277">
            <v>202</v>
          </cell>
          <cell r="W277" t="str">
            <v>Dua Ratus Dua</v>
          </cell>
        </row>
        <row r="278">
          <cell r="V278">
            <v>203</v>
          </cell>
          <cell r="W278" t="str">
            <v>Dua Ratus Tiga</v>
          </cell>
        </row>
        <row r="279">
          <cell r="V279">
            <v>204</v>
          </cell>
          <cell r="W279" t="str">
            <v>Dua Ratus Empat</v>
          </cell>
        </row>
        <row r="280">
          <cell r="V280">
            <v>205</v>
          </cell>
          <cell r="W280" t="str">
            <v>Dua Ratus Lima</v>
          </cell>
        </row>
        <row r="281">
          <cell r="V281">
            <v>206</v>
          </cell>
          <cell r="W281" t="str">
            <v>Dua Ratus Enam</v>
          </cell>
        </row>
        <row r="282">
          <cell r="V282">
            <v>207</v>
          </cell>
          <cell r="W282" t="str">
            <v>Dua Ratus Tujuh</v>
          </cell>
        </row>
        <row r="283">
          <cell r="V283">
            <v>208</v>
          </cell>
          <cell r="W283" t="str">
            <v>Dua Ratus Delapan</v>
          </cell>
        </row>
        <row r="284">
          <cell r="V284">
            <v>209</v>
          </cell>
          <cell r="W284" t="str">
            <v>Dua Ratus Sembilan</v>
          </cell>
        </row>
        <row r="285">
          <cell r="V285">
            <v>210</v>
          </cell>
          <cell r="W285" t="str">
            <v>Dua Ratus Sepuluh</v>
          </cell>
        </row>
        <row r="286">
          <cell r="V286">
            <v>211</v>
          </cell>
          <cell r="W286" t="str">
            <v>Dua Ratus Sebelas</v>
          </cell>
        </row>
        <row r="287">
          <cell r="V287">
            <v>212</v>
          </cell>
          <cell r="W287" t="str">
            <v>Dua Ratus Dua Belas</v>
          </cell>
        </row>
        <row r="288">
          <cell r="V288">
            <v>213</v>
          </cell>
          <cell r="W288" t="str">
            <v>Dua Ratus Tiga Belas</v>
          </cell>
        </row>
        <row r="289">
          <cell r="V289">
            <v>214</v>
          </cell>
          <cell r="W289" t="str">
            <v>Dua Ratus Empat Belas</v>
          </cell>
        </row>
        <row r="290">
          <cell r="V290">
            <v>215</v>
          </cell>
          <cell r="W290" t="str">
            <v>Dua Ratus Lima Belas</v>
          </cell>
        </row>
        <row r="291">
          <cell r="V291">
            <v>216</v>
          </cell>
          <cell r="W291" t="str">
            <v>Dua Ratus Enam Belas</v>
          </cell>
        </row>
        <row r="292">
          <cell r="V292">
            <v>217</v>
          </cell>
          <cell r="W292" t="str">
            <v>Dua Ratus Tujuh Belas</v>
          </cell>
        </row>
        <row r="293">
          <cell r="V293">
            <v>218</v>
          </cell>
          <cell r="W293" t="str">
            <v>Dua Ratus Delapan Belas</v>
          </cell>
        </row>
        <row r="294">
          <cell r="V294">
            <v>219</v>
          </cell>
          <cell r="W294" t="str">
            <v>Dua Ratus Sembilan Belas</v>
          </cell>
        </row>
        <row r="295">
          <cell r="V295">
            <v>220</v>
          </cell>
          <cell r="W295" t="str">
            <v>Dua Ratus Dua Puluh</v>
          </cell>
        </row>
        <row r="296">
          <cell r="V296">
            <v>221</v>
          </cell>
          <cell r="W296" t="str">
            <v>Dua Ratus Dua Puluh Satu</v>
          </cell>
        </row>
        <row r="297">
          <cell r="V297">
            <v>222</v>
          </cell>
          <cell r="W297" t="str">
            <v>Dua Ratus Dua Puluh Dua</v>
          </cell>
        </row>
        <row r="298">
          <cell r="V298">
            <v>223</v>
          </cell>
          <cell r="W298" t="str">
            <v>Dua Ratus Dua Puluh Tiga</v>
          </cell>
        </row>
        <row r="299">
          <cell r="V299">
            <v>224</v>
          </cell>
          <cell r="W299" t="str">
            <v>Dua Ratus Dua Puluh Empat</v>
          </cell>
        </row>
        <row r="300">
          <cell r="V300">
            <v>225</v>
          </cell>
          <cell r="W300" t="str">
            <v>Dua Ratus Dua Puluh Lima</v>
          </cell>
        </row>
        <row r="301">
          <cell r="V301">
            <v>226</v>
          </cell>
          <cell r="W301" t="str">
            <v>Dua Ratus Dua Puluh Enam</v>
          </cell>
        </row>
        <row r="302">
          <cell r="V302">
            <v>227</v>
          </cell>
          <cell r="W302" t="str">
            <v>Dua Ratus Dua Puluh Tujuh</v>
          </cell>
        </row>
        <row r="303">
          <cell r="V303">
            <v>228</v>
          </cell>
          <cell r="W303" t="str">
            <v>Dua Ratus Dua Puluh Delapan</v>
          </cell>
        </row>
        <row r="304">
          <cell r="V304">
            <v>229</v>
          </cell>
          <cell r="W304" t="str">
            <v>Dua Ratus Dua Puluh Sembilan</v>
          </cell>
        </row>
        <row r="305">
          <cell r="V305">
            <v>230</v>
          </cell>
          <cell r="W305" t="str">
            <v>Dua Ratus Tiga Puluh</v>
          </cell>
        </row>
        <row r="306">
          <cell r="V306">
            <v>231</v>
          </cell>
          <cell r="W306" t="str">
            <v>Dua Ratus Tiga Puluh Satu</v>
          </cell>
        </row>
        <row r="307">
          <cell r="V307">
            <v>232</v>
          </cell>
          <cell r="W307" t="str">
            <v>Dua Ratus Tiga Puluh Dua</v>
          </cell>
        </row>
        <row r="308">
          <cell r="V308">
            <v>233</v>
          </cell>
          <cell r="W308" t="str">
            <v>Dua Ratus Tiga Puluh Tiga</v>
          </cell>
        </row>
        <row r="309">
          <cell r="V309">
            <v>234</v>
          </cell>
          <cell r="W309" t="str">
            <v>Dua Ratus Tiga Puluh Empat</v>
          </cell>
        </row>
        <row r="310">
          <cell r="V310">
            <v>235</v>
          </cell>
          <cell r="W310" t="str">
            <v>Dua Ratus Tiga Puluh Lima</v>
          </cell>
        </row>
        <row r="311">
          <cell r="V311">
            <v>236</v>
          </cell>
          <cell r="W311" t="str">
            <v>Dua Ratus Tiga Puluh Enam</v>
          </cell>
        </row>
        <row r="312">
          <cell r="V312">
            <v>237</v>
          </cell>
          <cell r="W312" t="str">
            <v>Dua Ratus Tiga Puluh Tujuh</v>
          </cell>
        </row>
        <row r="313">
          <cell r="V313">
            <v>238</v>
          </cell>
          <cell r="W313" t="str">
            <v>Dua Ratus Tiga Puluh Delapan</v>
          </cell>
        </row>
        <row r="314">
          <cell r="V314">
            <v>239</v>
          </cell>
          <cell r="W314" t="str">
            <v>Dua Ratus Tiga Puluh Sembilan</v>
          </cell>
        </row>
        <row r="315">
          <cell r="V315">
            <v>240</v>
          </cell>
          <cell r="W315" t="str">
            <v>Dua Ratus Empat Puluh</v>
          </cell>
        </row>
        <row r="316">
          <cell r="V316">
            <v>241</v>
          </cell>
          <cell r="W316" t="str">
            <v>Dua Ratus Empat Puluh Satu</v>
          </cell>
        </row>
        <row r="317">
          <cell r="V317">
            <v>242</v>
          </cell>
          <cell r="W317" t="str">
            <v>Dua Ratus Empat Puluh Dua</v>
          </cell>
        </row>
        <row r="318">
          <cell r="V318">
            <v>243</v>
          </cell>
          <cell r="W318" t="str">
            <v>Dua Ratus Empat Puluh Tiga</v>
          </cell>
        </row>
        <row r="319">
          <cell r="V319">
            <v>244</v>
          </cell>
          <cell r="W319" t="str">
            <v>Dua Ratus Empat Puluh Empat</v>
          </cell>
        </row>
        <row r="320">
          <cell r="V320">
            <v>245</v>
          </cell>
          <cell r="W320" t="str">
            <v>Dua Ratus Empat Puluh Lima</v>
          </cell>
        </row>
        <row r="321">
          <cell r="V321">
            <v>246</v>
          </cell>
          <cell r="W321" t="str">
            <v>Dua Ratus Empat Puluh Enam</v>
          </cell>
        </row>
        <row r="322">
          <cell r="V322">
            <v>247</v>
          </cell>
          <cell r="W322" t="str">
            <v>Dua Ratus Empat Puluh Tujuh</v>
          </cell>
        </row>
        <row r="323">
          <cell r="V323">
            <v>248</v>
          </cell>
          <cell r="W323" t="str">
            <v>Dua Ratus Empat Puluh Delapan</v>
          </cell>
        </row>
        <row r="324">
          <cell r="V324">
            <v>249</v>
          </cell>
          <cell r="W324" t="str">
            <v>Dua Ratus Empat Puluh Sembilan</v>
          </cell>
        </row>
        <row r="325">
          <cell r="V325">
            <v>250</v>
          </cell>
          <cell r="W325" t="str">
            <v>Dua Ratus Lima Puluh</v>
          </cell>
        </row>
        <row r="326">
          <cell r="V326">
            <v>251</v>
          </cell>
          <cell r="W326" t="str">
            <v>Dua Ratus Lima Puluh Satu</v>
          </cell>
        </row>
        <row r="327">
          <cell r="V327">
            <v>252</v>
          </cell>
          <cell r="W327" t="str">
            <v>Dua Ratus Lima Puluh Dua</v>
          </cell>
        </row>
        <row r="328">
          <cell r="V328">
            <v>253</v>
          </cell>
          <cell r="W328" t="str">
            <v>Dua Ratus Lima Puluh Tiga</v>
          </cell>
        </row>
        <row r="329">
          <cell r="V329">
            <v>254</v>
          </cell>
          <cell r="W329" t="str">
            <v>Dua Ratus Lima Puluh Empat</v>
          </cell>
        </row>
        <row r="330">
          <cell r="V330">
            <v>255</v>
          </cell>
          <cell r="W330" t="str">
            <v>Dua Ratus Lima Puluh Lima</v>
          </cell>
        </row>
        <row r="331">
          <cell r="V331">
            <v>256</v>
          </cell>
          <cell r="W331" t="str">
            <v>Dua Ratus Lima Puluh Enam</v>
          </cell>
        </row>
        <row r="332">
          <cell r="V332">
            <v>257</v>
          </cell>
          <cell r="W332" t="str">
            <v>Dua Ratus Lima Puluh Tujuh</v>
          </cell>
        </row>
        <row r="333">
          <cell r="V333">
            <v>258</v>
          </cell>
          <cell r="W333" t="str">
            <v>Dua Ratus Lima Puluh Delapan</v>
          </cell>
        </row>
        <row r="334">
          <cell r="V334">
            <v>259</v>
          </cell>
          <cell r="W334" t="str">
            <v>Dua Ratus Lima Puluh Sembilan</v>
          </cell>
        </row>
        <row r="335">
          <cell r="V335">
            <v>260</v>
          </cell>
          <cell r="W335" t="str">
            <v>Dua Ratus Enam Puluh</v>
          </cell>
        </row>
        <row r="336">
          <cell r="V336">
            <v>261</v>
          </cell>
          <cell r="W336" t="str">
            <v>Dua Ratus Enam Puluh Satu</v>
          </cell>
        </row>
        <row r="337">
          <cell r="V337">
            <v>262</v>
          </cell>
          <cell r="W337" t="str">
            <v>Dua Ratus Enam Puluh Dua</v>
          </cell>
        </row>
        <row r="338">
          <cell r="V338">
            <v>263</v>
          </cell>
          <cell r="W338" t="str">
            <v>Dua Ratus Enam Puluh Tiga</v>
          </cell>
        </row>
        <row r="339">
          <cell r="V339">
            <v>264</v>
          </cell>
          <cell r="W339" t="str">
            <v>Dua Ratus Enam Puluh Empat</v>
          </cell>
        </row>
        <row r="340">
          <cell r="V340">
            <v>265</v>
          </cell>
          <cell r="W340" t="str">
            <v>Dua Ratus Enam Puluh Lima</v>
          </cell>
        </row>
        <row r="341">
          <cell r="V341">
            <v>266</v>
          </cell>
          <cell r="W341" t="str">
            <v>Dua Ratus Enam Puluh Enam</v>
          </cell>
        </row>
        <row r="342">
          <cell r="V342">
            <v>267</v>
          </cell>
          <cell r="W342" t="str">
            <v>Dua Ratus Enam Puluh Tujuh</v>
          </cell>
        </row>
        <row r="343">
          <cell r="V343">
            <v>268</v>
          </cell>
          <cell r="W343" t="str">
            <v>Dua Ratus Enam Puluh Delapan</v>
          </cell>
        </row>
        <row r="344">
          <cell r="V344">
            <v>269</v>
          </cell>
          <cell r="W344" t="str">
            <v>Dua Ratus Enam Puluh Sembilan</v>
          </cell>
        </row>
        <row r="345">
          <cell r="V345">
            <v>270</v>
          </cell>
          <cell r="W345" t="str">
            <v>Dua Ratus Tujuh Puluh</v>
          </cell>
        </row>
        <row r="346">
          <cell r="V346">
            <v>271</v>
          </cell>
          <cell r="W346" t="str">
            <v>Dua Ratus Tujuh Puluh Satu</v>
          </cell>
        </row>
        <row r="347">
          <cell r="V347">
            <v>272</v>
          </cell>
          <cell r="W347" t="str">
            <v>Dua Ratus Tujuh Puluh Dua</v>
          </cell>
        </row>
        <row r="348">
          <cell r="V348">
            <v>273</v>
          </cell>
          <cell r="W348" t="str">
            <v>Dua Ratus Tujuh Puluh Tiga</v>
          </cell>
        </row>
        <row r="349">
          <cell r="V349">
            <v>274</v>
          </cell>
          <cell r="W349" t="str">
            <v>Dua Ratus Tujuh Puluh Empat</v>
          </cell>
        </row>
        <row r="350">
          <cell r="V350">
            <v>275</v>
          </cell>
          <cell r="W350" t="str">
            <v>Dua Ratus Tujuh Puluh Lima</v>
          </cell>
        </row>
        <row r="351">
          <cell r="V351">
            <v>276</v>
          </cell>
          <cell r="W351" t="str">
            <v>Dua Ratus Tujuh Puluh Enam</v>
          </cell>
        </row>
        <row r="352">
          <cell r="V352">
            <v>277</v>
          </cell>
          <cell r="W352" t="str">
            <v>Dua Ratus Tujuh Puluh Tujuh</v>
          </cell>
        </row>
        <row r="353">
          <cell r="V353">
            <v>278</v>
          </cell>
          <cell r="W353" t="str">
            <v>Dua Ratus Tujuh Puluh Delapan</v>
          </cell>
        </row>
        <row r="354">
          <cell r="V354">
            <v>279</v>
          </cell>
          <cell r="W354" t="str">
            <v>Dua Ratus Tujuh Puluh Sembilan</v>
          </cell>
        </row>
        <row r="355">
          <cell r="V355">
            <v>280</v>
          </cell>
          <cell r="W355" t="str">
            <v>Dua Ratus Delapan Puluh</v>
          </cell>
        </row>
        <row r="356">
          <cell r="V356">
            <v>281</v>
          </cell>
          <cell r="W356" t="str">
            <v>Dua Ratus Delapan Puluh Satu</v>
          </cell>
        </row>
        <row r="357">
          <cell r="V357">
            <v>282</v>
          </cell>
          <cell r="W357" t="str">
            <v>Dua Ratus Delapan Puluh Dua</v>
          </cell>
        </row>
        <row r="358">
          <cell r="V358">
            <v>283</v>
          </cell>
          <cell r="W358" t="str">
            <v>Dua Ratus Delapan Puluh Tiga</v>
          </cell>
        </row>
        <row r="359">
          <cell r="V359">
            <v>284</v>
          </cell>
          <cell r="W359" t="str">
            <v>Dua Ratus Delapan Puluh Empat</v>
          </cell>
        </row>
        <row r="360">
          <cell r="V360">
            <v>285</v>
          </cell>
          <cell r="W360" t="str">
            <v>Dua Ratus Delapan Puluh Lima</v>
          </cell>
        </row>
        <row r="361">
          <cell r="V361">
            <v>286</v>
          </cell>
          <cell r="W361" t="str">
            <v>Dua Ratus Delapan Puluh Enam</v>
          </cell>
        </row>
        <row r="362">
          <cell r="V362">
            <v>287</v>
          </cell>
          <cell r="W362" t="str">
            <v>Dua Ratus Delapan Puluh Tujuh</v>
          </cell>
        </row>
        <row r="363">
          <cell r="V363">
            <v>288</v>
          </cell>
          <cell r="W363" t="str">
            <v>Dua Ratus Delapan Puluh Delapan</v>
          </cell>
        </row>
        <row r="364">
          <cell r="V364">
            <v>289</v>
          </cell>
          <cell r="W364" t="str">
            <v>Dua Ratus Delapan Puluh Sembilan</v>
          </cell>
        </row>
        <row r="365">
          <cell r="V365">
            <v>290</v>
          </cell>
          <cell r="W365" t="str">
            <v>Dua Ratus Sembilan Puluh</v>
          </cell>
        </row>
        <row r="366">
          <cell r="V366">
            <v>291</v>
          </cell>
          <cell r="W366" t="str">
            <v>Dua Ratus Sembilan Puluh Satu</v>
          </cell>
        </row>
        <row r="367">
          <cell r="V367">
            <v>292</v>
          </cell>
          <cell r="W367" t="str">
            <v>Dua Ratus Sembilan Puluh Dua</v>
          </cell>
        </row>
        <row r="368">
          <cell r="V368">
            <v>293</v>
          </cell>
          <cell r="W368" t="str">
            <v>Dua Ratus Sembilan Puluh Tiga</v>
          </cell>
        </row>
        <row r="369">
          <cell r="V369">
            <v>294</v>
          </cell>
          <cell r="W369" t="str">
            <v>Dua Ratus Sembilan Puluh Empat</v>
          </cell>
        </row>
        <row r="370">
          <cell r="V370">
            <v>295</v>
          </cell>
          <cell r="W370" t="str">
            <v>Dua Ratus Sembilan Puluh Lima</v>
          </cell>
        </row>
        <row r="371">
          <cell r="V371">
            <v>296</v>
          </cell>
          <cell r="W371" t="str">
            <v>Dua Ratus Sembilan Puluh Enam</v>
          </cell>
        </row>
        <row r="372">
          <cell r="V372">
            <v>297</v>
          </cell>
          <cell r="W372" t="str">
            <v>Dua Ratus Sembilan Puluh Tujuh</v>
          </cell>
        </row>
        <row r="373">
          <cell r="V373">
            <v>298</v>
          </cell>
          <cell r="W373" t="str">
            <v>Dua Ratus Sembilan Puluh Delapan</v>
          </cell>
        </row>
        <row r="374">
          <cell r="V374">
            <v>299</v>
          </cell>
          <cell r="W374" t="str">
            <v>Dua Ratus Sembilan Puluh Sembilan</v>
          </cell>
        </row>
        <row r="375">
          <cell r="V375">
            <v>300</v>
          </cell>
          <cell r="W375" t="str">
            <v>Tiga Ratus</v>
          </cell>
        </row>
        <row r="376">
          <cell r="V376">
            <v>301</v>
          </cell>
          <cell r="W376" t="str">
            <v>Tiga Ratus Satu</v>
          </cell>
        </row>
        <row r="377">
          <cell r="V377">
            <v>302</v>
          </cell>
          <cell r="W377" t="str">
            <v>Tiga Ratus Dua</v>
          </cell>
        </row>
        <row r="378">
          <cell r="V378">
            <v>303</v>
          </cell>
          <cell r="W378" t="str">
            <v>Tiga Ratus Tiga</v>
          </cell>
        </row>
        <row r="379">
          <cell r="V379">
            <v>304</v>
          </cell>
          <cell r="W379" t="str">
            <v>Tiga Ratus Empat</v>
          </cell>
        </row>
        <row r="380">
          <cell r="V380">
            <v>305</v>
          </cell>
          <cell r="W380" t="str">
            <v>Tiga Ratus Lima</v>
          </cell>
        </row>
        <row r="381">
          <cell r="V381">
            <v>306</v>
          </cell>
          <cell r="W381" t="str">
            <v>Tiga Ratus Enam</v>
          </cell>
        </row>
        <row r="382">
          <cell r="V382">
            <v>307</v>
          </cell>
          <cell r="W382" t="str">
            <v>Tiga Ratus Tujuh</v>
          </cell>
        </row>
        <row r="383">
          <cell r="V383">
            <v>308</v>
          </cell>
          <cell r="W383" t="str">
            <v>Tiga Ratus Delapan</v>
          </cell>
        </row>
        <row r="384">
          <cell r="V384">
            <v>309</v>
          </cell>
          <cell r="W384" t="str">
            <v>Tiga Ratus Sembilan</v>
          </cell>
        </row>
        <row r="385">
          <cell r="V385">
            <v>310</v>
          </cell>
          <cell r="W385" t="str">
            <v>Tiga Ratus Sepuluh</v>
          </cell>
        </row>
        <row r="386">
          <cell r="V386">
            <v>311</v>
          </cell>
          <cell r="W386" t="str">
            <v>Tiga Ratus Sebelas</v>
          </cell>
        </row>
        <row r="387">
          <cell r="V387">
            <v>312</v>
          </cell>
          <cell r="W387" t="str">
            <v>Tiga Ratus Dua Belas</v>
          </cell>
        </row>
        <row r="388">
          <cell r="V388">
            <v>313</v>
          </cell>
          <cell r="W388" t="str">
            <v>Tiga Ratus Tiga Belas</v>
          </cell>
        </row>
        <row r="389">
          <cell r="V389">
            <v>314</v>
          </cell>
          <cell r="W389" t="str">
            <v>Tiga Ratus Empat Belas</v>
          </cell>
        </row>
        <row r="390">
          <cell r="V390">
            <v>315</v>
          </cell>
          <cell r="W390" t="str">
            <v>Tiga Ratus Lima Belas</v>
          </cell>
        </row>
        <row r="391">
          <cell r="V391">
            <v>316</v>
          </cell>
          <cell r="W391" t="str">
            <v>Tiga Ratus Enam Belas</v>
          </cell>
        </row>
        <row r="392">
          <cell r="V392">
            <v>317</v>
          </cell>
          <cell r="W392" t="str">
            <v>Tiga Ratus Tujuh Belas</v>
          </cell>
        </row>
        <row r="393">
          <cell r="V393">
            <v>318</v>
          </cell>
          <cell r="W393" t="str">
            <v>Tiga Ratus Delapan Belas</v>
          </cell>
        </row>
        <row r="394">
          <cell r="V394">
            <v>319</v>
          </cell>
          <cell r="W394" t="str">
            <v>Tiga Ratus Sembilan Belas</v>
          </cell>
        </row>
        <row r="395">
          <cell r="V395">
            <v>320</v>
          </cell>
          <cell r="W395" t="str">
            <v>Tiga Ratus Dua Puluh</v>
          </cell>
        </row>
        <row r="396">
          <cell r="V396">
            <v>321</v>
          </cell>
          <cell r="W396" t="str">
            <v>Tiga Ratus Dua Puluh Satu</v>
          </cell>
        </row>
        <row r="397">
          <cell r="V397">
            <v>322</v>
          </cell>
          <cell r="W397" t="str">
            <v>Tiga Ratus Dua Puluh Dua</v>
          </cell>
        </row>
        <row r="398">
          <cell r="V398">
            <v>323</v>
          </cell>
          <cell r="W398" t="str">
            <v>Tiga Ratus Dua Puluh Tiga</v>
          </cell>
        </row>
        <row r="399">
          <cell r="V399">
            <v>324</v>
          </cell>
          <cell r="W399" t="str">
            <v>Tiga Ratus Dua Puluh Empat</v>
          </cell>
        </row>
        <row r="400">
          <cell r="V400">
            <v>325</v>
          </cell>
          <cell r="W400" t="str">
            <v>Tiga Ratus Dua Puluh Lima</v>
          </cell>
        </row>
        <row r="401">
          <cell r="V401">
            <v>326</v>
          </cell>
          <cell r="W401" t="str">
            <v>Tiga Ratus Dua Puluh Enam</v>
          </cell>
        </row>
        <row r="402">
          <cell r="V402">
            <v>327</v>
          </cell>
          <cell r="W402" t="str">
            <v>Tiga Ratus Dua Puluh Tujuh</v>
          </cell>
        </row>
        <row r="403">
          <cell r="V403">
            <v>328</v>
          </cell>
          <cell r="W403" t="str">
            <v>Tiga Ratus Dua Puluh Delapan</v>
          </cell>
        </row>
        <row r="404">
          <cell r="V404">
            <v>329</v>
          </cell>
          <cell r="W404" t="str">
            <v>Tiga Ratus Dua Puluh Sembilan</v>
          </cell>
        </row>
        <row r="405">
          <cell r="V405">
            <v>330</v>
          </cell>
          <cell r="W405" t="str">
            <v>Tiga Ratus Tiga Puluh</v>
          </cell>
        </row>
        <row r="406">
          <cell r="V406">
            <v>331</v>
          </cell>
          <cell r="W406" t="str">
            <v>Tiga Ratus Tiga Puluh Satu</v>
          </cell>
        </row>
        <row r="407">
          <cell r="V407">
            <v>332</v>
          </cell>
          <cell r="W407" t="str">
            <v>Tiga Ratus Tiga Puluh Dua</v>
          </cell>
        </row>
        <row r="408">
          <cell r="V408">
            <v>333</v>
          </cell>
          <cell r="W408" t="str">
            <v>Tiga Ratus Tiga Puluh Tiga</v>
          </cell>
        </row>
        <row r="409">
          <cell r="V409">
            <v>334</v>
          </cell>
          <cell r="W409" t="str">
            <v>Tiga Ratus Tiga Puluh Empat</v>
          </cell>
        </row>
        <row r="410">
          <cell r="V410">
            <v>335</v>
          </cell>
          <cell r="W410" t="str">
            <v>Tiga Ratus Tiga Puluh Lima</v>
          </cell>
        </row>
        <row r="411">
          <cell r="V411">
            <v>336</v>
          </cell>
          <cell r="W411" t="str">
            <v>Tiga Ratus Tiga Puluh Enam</v>
          </cell>
        </row>
        <row r="412">
          <cell r="V412">
            <v>337</v>
          </cell>
          <cell r="W412" t="str">
            <v>Tiga Ratus Tiga Puluh Tujuh</v>
          </cell>
        </row>
        <row r="413">
          <cell r="V413">
            <v>338</v>
          </cell>
          <cell r="W413" t="str">
            <v>Tiga Ratus Tiga Puluh Delapan</v>
          </cell>
        </row>
        <row r="414">
          <cell r="V414">
            <v>339</v>
          </cell>
          <cell r="W414" t="str">
            <v>Tiga Ratus Tiga Puluh Sembilan</v>
          </cell>
        </row>
        <row r="415">
          <cell r="V415">
            <v>340</v>
          </cell>
          <cell r="W415" t="str">
            <v>Tiga Ratus Empat Puluh</v>
          </cell>
        </row>
        <row r="416">
          <cell r="V416">
            <v>341</v>
          </cell>
          <cell r="W416" t="str">
            <v>Tiga Ratus Empat Puluh Satu</v>
          </cell>
        </row>
        <row r="417">
          <cell r="V417">
            <v>342</v>
          </cell>
          <cell r="W417" t="str">
            <v>Tiga Ratus Empat Puluh Dua</v>
          </cell>
        </row>
        <row r="418">
          <cell r="V418">
            <v>343</v>
          </cell>
          <cell r="W418" t="str">
            <v>Tiga Ratus Empat Puluh Tiga</v>
          </cell>
        </row>
        <row r="419">
          <cell r="V419">
            <v>344</v>
          </cell>
          <cell r="W419" t="str">
            <v>Tiga Ratus Empat Puluh Empat</v>
          </cell>
        </row>
        <row r="420">
          <cell r="V420">
            <v>345</v>
          </cell>
          <cell r="W420" t="str">
            <v>Tiga Ratus Empat Puluh Lima</v>
          </cell>
        </row>
        <row r="421">
          <cell r="V421">
            <v>346</v>
          </cell>
          <cell r="W421" t="str">
            <v>Tiga Ratus Empat Puluh Enam</v>
          </cell>
        </row>
        <row r="422">
          <cell r="V422">
            <v>347</v>
          </cell>
          <cell r="W422" t="str">
            <v>Tiga Ratus Empat Puluh Tujuh</v>
          </cell>
        </row>
        <row r="423">
          <cell r="V423">
            <v>348</v>
          </cell>
          <cell r="W423" t="str">
            <v>Tiga Ratus Empat Puluh Delapan</v>
          </cell>
        </row>
        <row r="424">
          <cell r="V424">
            <v>349</v>
          </cell>
          <cell r="W424" t="str">
            <v>Tiga Ratus Empat Puluh Sembilan</v>
          </cell>
        </row>
        <row r="425">
          <cell r="V425">
            <v>350</v>
          </cell>
          <cell r="W425" t="str">
            <v>Tiga Ratus Lima Puluh</v>
          </cell>
        </row>
        <row r="426">
          <cell r="V426">
            <v>351</v>
          </cell>
          <cell r="W426" t="str">
            <v>Tiga Ratus Lima Puluh Satu</v>
          </cell>
        </row>
        <row r="427">
          <cell r="V427">
            <v>352</v>
          </cell>
          <cell r="W427" t="str">
            <v>Tiga Ratus Lima Puluh Dua</v>
          </cell>
        </row>
        <row r="428">
          <cell r="V428">
            <v>353</v>
          </cell>
          <cell r="W428" t="str">
            <v>Tiga Ratus Lima Puluh Tiga</v>
          </cell>
        </row>
        <row r="429">
          <cell r="V429">
            <v>354</v>
          </cell>
          <cell r="W429" t="str">
            <v>Tiga Ratus Lima Puluh Empat</v>
          </cell>
        </row>
        <row r="430">
          <cell r="V430">
            <v>355</v>
          </cell>
          <cell r="W430" t="str">
            <v>Tiga Ratus Lima Puluh Lima</v>
          </cell>
        </row>
        <row r="431">
          <cell r="V431">
            <v>356</v>
          </cell>
          <cell r="W431" t="str">
            <v>Tiga Ratus Lima Puluh Enam</v>
          </cell>
        </row>
        <row r="432">
          <cell r="V432">
            <v>357</v>
          </cell>
          <cell r="W432" t="str">
            <v>Tiga Ratus Lima Puluh Tujuh</v>
          </cell>
        </row>
        <row r="433">
          <cell r="V433">
            <v>358</v>
          </cell>
          <cell r="W433" t="str">
            <v>Tiga Ratus Lima Puluh Delapan</v>
          </cell>
        </row>
        <row r="434">
          <cell r="V434">
            <v>359</v>
          </cell>
          <cell r="W434" t="str">
            <v>Tiga Ratus Lima Puluh Sembilan</v>
          </cell>
        </row>
        <row r="435">
          <cell r="V435">
            <v>360</v>
          </cell>
          <cell r="W435" t="str">
            <v>Tiga Ratus Enam Puluh</v>
          </cell>
        </row>
        <row r="436">
          <cell r="V436">
            <v>361</v>
          </cell>
          <cell r="W436" t="str">
            <v>Tiga Ratus Enam Puluh Satu</v>
          </cell>
        </row>
        <row r="437">
          <cell r="V437">
            <v>362</v>
          </cell>
          <cell r="W437" t="str">
            <v>Tiga Ratus Enam Puluh Dua</v>
          </cell>
        </row>
        <row r="438">
          <cell r="V438">
            <v>363</v>
          </cell>
          <cell r="W438" t="str">
            <v>Tiga Ratus Enam Puluh Tiga</v>
          </cell>
        </row>
        <row r="439">
          <cell r="V439">
            <v>364</v>
          </cell>
          <cell r="W439" t="str">
            <v>Tiga Ratus Enam Puluh Empat</v>
          </cell>
        </row>
        <row r="440">
          <cell r="V440">
            <v>365</v>
          </cell>
          <cell r="W440" t="str">
            <v>Tiga Ratus Enam Puluh Lima</v>
          </cell>
        </row>
        <row r="441">
          <cell r="V441">
            <v>366</v>
          </cell>
          <cell r="W441" t="str">
            <v>Tiga Ratus Enam Puluh Enam</v>
          </cell>
        </row>
        <row r="442">
          <cell r="V442">
            <v>367</v>
          </cell>
          <cell r="W442" t="str">
            <v>Tiga Ratus Enam Puluh Tujuh</v>
          </cell>
        </row>
        <row r="443">
          <cell r="V443">
            <v>368</v>
          </cell>
          <cell r="W443" t="str">
            <v>Tiga Ratus Enam Puluh Delapan</v>
          </cell>
        </row>
        <row r="444">
          <cell r="V444">
            <v>369</v>
          </cell>
          <cell r="W444" t="str">
            <v>Tiga Ratus Enam Puluh Sembilan</v>
          </cell>
        </row>
        <row r="445">
          <cell r="V445">
            <v>370</v>
          </cell>
          <cell r="W445" t="str">
            <v>Tiga Ratus Tujuh Puluh</v>
          </cell>
        </row>
        <row r="446">
          <cell r="V446">
            <v>371</v>
          </cell>
          <cell r="W446" t="str">
            <v>Tiga Ratus Tujuh Puluh Satu</v>
          </cell>
        </row>
        <row r="447">
          <cell r="V447">
            <v>372</v>
          </cell>
          <cell r="W447" t="str">
            <v>Tiga Ratus Tujuh Puluh Dua</v>
          </cell>
        </row>
        <row r="448">
          <cell r="V448">
            <v>373</v>
          </cell>
          <cell r="W448" t="str">
            <v>Tiga Ratus Tujuh Puluh Tiga</v>
          </cell>
        </row>
        <row r="449">
          <cell r="V449">
            <v>374</v>
          </cell>
          <cell r="W449" t="str">
            <v>Tiga Ratus Tujuh Puluh Empat</v>
          </cell>
        </row>
        <row r="450">
          <cell r="V450">
            <v>375</v>
          </cell>
          <cell r="W450" t="str">
            <v>Tiga Ratus Tujuh Puluh Lima</v>
          </cell>
        </row>
        <row r="451">
          <cell r="V451">
            <v>376</v>
          </cell>
          <cell r="W451" t="str">
            <v>Tiga Ratus Tujuh Puluh Enam</v>
          </cell>
        </row>
        <row r="452">
          <cell r="V452">
            <v>377</v>
          </cell>
          <cell r="W452" t="str">
            <v>Tiga Ratus Tujuh Puluh Tujuh</v>
          </cell>
        </row>
        <row r="453">
          <cell r="V453">
            <v>378</v>
          </cell>
          <cell r="W453" t="str">
            <v>Tiga Ratus Tujuh Puluh Delapan</v>
          </cell>
        </row>
        <row r="454">
          <cell r="V454">
            <v>379</v>
          </cell>
          <cell r="W454" t="str">
            <v>Tiga Ratus Tujuh Puluh Sembilan</v>
          </cell>
        </row>
        <row r="455">
          <cell r="V455">
            <v>380</v>
          </cell>
          <cell r="W455" t="str">
            <v>Tiga Ratus Delapan Puluh</v>
          </cell>
        </row>
        <row r="456">
          <cell r="V456">
            <v>381</v>
          </cell>
          <cell r="W456" t="str">
            <v>Tiga Ratus Delapan Puluh Satu</v>
          </cell>
        </row>
        <row r="457">
          <cell r="V457">
            <v>382</v>
          </cell>
          <cell r="W457" t="str">
            <v>Tiga Ratus Delapan Puluh Dua</v>
          </cell>
        </row>
        <row r="458">
          <cell r="V458">
            <v>383</v>
          </cell>
          <cell r="W458" t="str">
            <v>Tiga Ratus Delapan Puluh Tiga</v>
          </cell>
        </row>
        <row r="459">
          <cell r="V459">
            <v>384</v>
          </cell>
          <cell r="W459" t="str">
            <v>Tiga Ratus Delapan Puluh Empat</v>
          </cell>
        </row>
        <row r="460">
          <cell r="V460">
            <v>385</v>
          </cell>
          <cell r="W460" t="str">
            <v>Tiga Ratus Delapan Puluh Lima</v>
          </cell>
        </row>
        <row r="461">
          <cell r="V461">
            <v>386</v>
          </cell>
          <cell r="W461" t="str">
            <v>Tiga Ratus Delapan Puluh Enam</v>
          </cell>
        </row>
        <row r="462">
          <cell r="V462">
            <v>387</v>
          </cell>
          <cell r="W462" t="str">
            <v>Tiga Ratus Delapan Puluh Tujuh</v>
          </cell>
        </row>
        <row r="463">
          <cell r="V463">
            <v>388</v>
          </cell>
          <cell r="W463" t="str">
            <v>Tiga Ratus Delapan Puluh Delapan</v>
          </cell>
        </row>
        <row r="464">
          <cell r="V464">
            <v>389</v>
          </cell>
          <cell r="W464" t="str">
            <v>Tiga Ratus Delapan Puluh Sembilan</v>
          </cell>
        </row>
        <row r="465">
          <cell r="V465">
            <v>390</v>
          </cell>
          <cell r="W465" t="str">
            <v>Tiga Ratus Sembilan Puluh</v>
          </cell>
        </row>
        <row r="466">
          <cell r="V466">
            <v>391</v>
          </cell>
          <cell r="W466" t="str">
            <v>Tiga Ratus Sembilan Puluh Satu</v>
          </cell>
        </row>
        <row r="467">
          <cell r="V467">
            <v>392</v>
          </cell>
          <cell r="W467" t="str">
            <v>Tiga Ratus Sembilan Puluh Dua</v>
          </cell>
        </row>
        <row r="468">
          <cell r="V468">
            <v>393</v>
          </cell>
          <cell r="W468" t="str">
            <v>Tiga Ratus Sembilan Puluh Tiga</v>
          </cell>
        </row>
        <row r="469">
          <cell r="V469">
            <v>394</v>
          </cell>
          <cell r="W469" t="str">
            <v>Tiga Ratus Sembilan Puluh Empat</v>
          </cell>
        </row>
        <row r="470">
          <cell r="V470">
            <v>395</v>
          </cell>
          <cell r="W470" t="str">
            <v>Tiga Ratus Sembilan Puluh Lima</v>
          </cell>
        </row>
        <row r="471">
          <cell r="V471">
            <v>396</v>
          </cell>
          <cell r="W471" t="str">
            <v>Tiga Ratus Sembilan Puluh Enam</v>
          </cell>
        </row>
        <row r="472">
          <cell r="V472">
            <v>397</v>
          </cell>
          <cell r="W472" t="str">
            <v>Tiga Ratus Sembilan Puluh Tujuh</v>
          </cell>
        </row>
        <row r="473">
          <cell r="V473">
            <v>398</v>
          </cell>
          <cell r="W473" t="str">
            <v>Tiga Ratus Sembilan Puluh Delapan</v>
          </cell>
        </row>
        <row r="474">
          <cell r="V474">
            <v>399</v>
          </cell>
          <cell r="W474" t="str">
            <v>Tiga Ratus Sembilan Puluh Sembilan</v>
          </cell>
        </row>
        <row r="475">
          <cell r="V475">
            <v>400</v>
          </cell>
          <cell r="W475" t="str">
            <v>Empat Ratus</v>
          </cell>
        </row>
        <row r="476">
          <cell r="V476">
            <v>401</v>
          </cell>
          <cell r="W476" t="str">
            <v>Empat Ratus Satu</v>
          </cell>
        </row>
        <row r="477">
          <cell r="V477">
            <v>402</v>
          </cell>
          <cell r="W477" t="str">
            <v>Empat Ratus Dua</v>
          </cell>
        </row>
        <row r="478">
          <cell r="V478">
            <v>403</v>
          </cell>
          <cell r="W478" t="str">
            <v>Empat Ratus Tiga</v>
          </cell>
        </row>
        <row r="479">
          <cell r="V479">
            <v>404</v>
          </cell>
          <cell r="W479" t="str">
            <v>Empat Ratus Empat</v>
          </cell>
        </row>
        <row r="480">
          <cell r="V480">
            <v>405</v>
          </cell>
          <cell r="W480" t="str">
            <v>Empat Ratus Lima</v>
          </cell>
        </row>
        <row r="481">
          <cell r="V481">
            <v>406</v>
          </cell>
          <cell r="W481" t="str">
            <v>Empat Ratus Enam</v>
          </cell>
        </row>
        <row r="482">
          <cell r="V482">
            <v>407</v>
          </cell>
          <cell r="W482" t="str">
            <v>Empat Ratus Tujuh</v>
          </cell>
        </row>
        <row r="483">
          <cell r="V483">
            <v>408</v>
          </cell>
          <cell r="W483" t="str">
            <v>Empat Ratus Delapan</v>
          </cell>
        </row>
        <row r="484">
          <cell r="V484">
            <v>409</v>
          </cell>
          <cell r="W484" t="str">
            <v>Empat Ratus Sembilan</v>
          </cell>
        </row>
        <row r="485">
          <cell r="V485">
            <v>410</v>
          </cell>
          <cell r="W485" t="str">
            <v>Empat Ratus Sepuluh</v>
          </cell>
        </row>
        <row r="486">
          <cell r="V486">
            <v>411</v>
          </cell>
          <cell r="W486" t="str">
            <v>Empat Ratus Sebelas</v>
          </cell>
        </row>
        <row r="487">
          <cell r="V487">
            <v>412</v>
          </cell>
          <cell r="W487" t="str">
            <v>Empat Ratus Dua Belas</v>
          </cell>
        </row>
        <row r="488">
          <cell r="V488">
            <v>413</v>
          </cell>
          <cell r="W488" t="str">
            <v>Empat Ratus Tiga Belas</v>
          </cell>
        </row>
        <row r="489">
          <cell r="V489">
            <v>414</v>
          </cell>
          <cell r="W489" t="str">
            <v>Empat Ratus Empat Belas</v>
          </cell>
        </row>
        <row r="490">
          <cell r="V490">
            <v>415</v>
          </cell>
          <cell r="W490" t="str">
            <v>Empat Ratus Lima Belas</v>
          </cell>
        </row>
        <row r="491">
          <cell r="V491">
            <v>416</v>
          </cell>
          <cell r="W491" t="str">
            <v>Empat Ratus Enam Belas</v>
          </cell>
        </row>
        <row r="492">
          <cell r="V492">
            <v>417</v>
          </cell>
          <cell r="W492" t="str">
            <v>Empat Ratus Tujuh Belas</v>
          </cell>
        </row>
        <row r="493">
          <cell r="V493">
            <v>418</v>
          </cell>
          <cell r="W493" t="str">
            <v>Empat Ratus Delapan Belas</v>
          </cell>
        </row>
        <row r="494">
          <cell r="V494">
            <v>419</v>
          </cell>
          <cell r="W494" t="str">
            <v>Empat Ratus Sembilan Belas</v>
          </cell>
        </row>
        <row r="495">
          <cell r="V495">
            <v>420</v>
          </cell>
          <cell r="W495" t="str">
            <v>Empat Ratus Dua Puluh</v>
          </cell>
        </row>
        <row r="496">
          <cell r="V496">
            <v>421</v>
          </cell>
          <cell r="W496" t="str">
            <v>Empat Ratus Dua Puluh Satu</v>
          </cell>
        </row>
        <row r="497">
          <cell r="V497">
            <v>422</v>
          </cell>
          <cell r="W497" t="str">
            <v>Empat Ratus Dua Puluh Dua</v>
          </cell>
        </row>
        <row r="498">
          <cell r="V498">
            <v>423</v>
          </cell>
          <cell r="W498" t="str">
            <v>Empat Ratus Dua Puluh Tiga</v>
          </cell>
        </row>
        <row r="499">
          <cell r="V499">
            <v>424</v>
          </cell>
          <cell r="W499" t="str">
            <v>Empat Ratus Dua Puluh Empat</v>
          </cell>
        </row>
        <row r="500">
          <cell r="V500">
            <v>425</v>
          </cell>
          <cell r="W500" t="str">
            <v>Empat Ratus Dua Puluh Lima</v>
          </cell>
        </row>
        <row r="501">
          <cell r="V501">
            <v>426</v>
          </cell>
          <cell r="W501" t="str">
            <v>Empat Ratus Dua Puluh Enam</v>
          </cell>
        </row>
        <row r="502">
          <cell r="V502">
            <v>427</v>
          </cell>
          <cell r="W502" t="str">
            <v>Empat Ratus Dua Puluh Tujuh</v>
          </cell>
        </row>
        <row r="503">
          <cell r="V503">
            <v>428</v>
          </cell>
          <cell r="W503" t="str">
            <v>Empat Ratus Dua Puluh Delapan</v>
          </cell>
        </row>
        <row r="504">
          <cell r="V504">
            <v>429</v>
          </cell>
          <cell r="W504" t="str">
            <v>Empat Ratus Dua Puluh Sembilan</v>
          </cell>
        </row>
        <row r="505">
          <cell r="V505">
            <v>430</v>
          </cell>
          <cell r="W505" t="str">
            <v>Empat Ratus Tiga Puluh</v>
          </cell>
        </row>
        <row r="506">
          <cell r="V506">
            <v>431</v>
          </cell>
          <cell r="W506" t="str">
            <v>Empat Ratus Tiga Puluh Satu</v>
          </cell>
        </row>
        <row r="507">
          <cell r="V507">
            <v>432</v>
          </cell>
          <cell r="W507" t="str">
            <v>Empat Ratus Tiga Puluh Dua</v>
          </cell>
        </row>
        <row r="508">
          <cell r="V508">
            <v>433</v>
          </cell>
          <cell r="W508" t="str">
            <v>Empat Ratus Tiga Puluh Tiga</v>
          </cell>
        </row>
        <row r="509">
          <cell r="V509">
            <v>434</v>
          </cell>
          <cell r="W509" t="str">
            <v>Empat Ratus Tiga Puluh Empat</v>
          </cell>
        </row>
        <row r="510">
          <cell r="V510">
            <v>435</v>
          </cell>
          <cell r="W510" t="str">
            <v>Empat Ratus Tiga Puluh Lima</v>
          </cell>
        </row>
        <row r="511">
          <cell r="V511">
            <v>436</v>
          </cell>
          <cell r="W511" t="str">
            <v>Empat Ratus Tiga Puluh Enam</v>
          </cell>
        </row>
        <row r="512">
          <cell r="V512">
            <v>437</v>
          </cell>
          <cell r="W512" t="str">
            <v>Empat Ratus Tiga Puluh Tujuh</v>
          </cell>
        </row>
        <row r="513">
          <cell r="V513">
            <v>438</v>
          </cell>
          <cell r="W513" t="str">
            <v>Empat Ratus Tiga Puluh Delapan</v>
          </cell>
        </row>
        <row r="514">
          <cell r="V514">
            <v>439</v>
          </cell>
          <cell r="W514" t="str">
            <v>Empat Ratus Tiga Puluh Sembilan</v>
          </cell>
        </row>
        <row r="515">
          <cell r="V515">
            <v>440</v>
          </cell>
          <cell r="W515" t="str">
            <v>Empat Ratus Empat Puluh</v>
          </cell>
        </row>
        <row r="516">
          <cell r="V516">
            <v>441</v>
          </cell>
          <cell r="W516" t="str">
            <v>Empat Ratus Empat Puluh Satu</v>
          </cell>
        </row>
        <row r="517">
          <cell r="V517">
            <v>442</v>
          </cell>
          <cell r="W517" t="str">
            <v>Empat Ratus Empat Puluh Dua</v>
          </cell>
        </row>
        <row r="518">
          <cell r="V518">
            <v>443</v>
          </cell>
          <cell r="W518" t="str">
            <v>Empat Ratus Empat Puluh Tiga</v>
          </cell>
        </row>
        <row r="519">
          <cell r="V519">
            <v>444</v>
          </cell>
          <cell r="W519" t="str">
            <v>Empat Ratus Empat Puluh Empat</v>
          </cell>
        </row>
        <row r="520">
          <cell r="V520">
            <v>445</v>
          </cell>
          <cell r="W520" t="str">
            <v>Empat Ratus Empat Puluh Lima</v>
          </cell>
        </row>
        <row r="521">
          <cell r="V521">
            <v>446</v>
          </cell>
          <cell r="W521" t="str">
            <v>Empat Ratus Empat Puluh Enam</v>
          </cell>
        </row>
        <row r="522">
          <cell r="V522">
            <v>447</v>
          </cell>
          <cell r="W522" t="str">
            <v>Empat Ratus Empat Puluh Tujuh</v>
          </cell>
        </row>
        <row r="523">
          <cell r="V523">
            <v>448</v>
          </cell>
          <cell r="W523" t="str">
            <v>Empat Ratus Empat Puluh Delapan</v>
          </cell>
        </row>
        <row r="524">
          <cell r="V524">
            <v>449</v>
          </cell>
          <cell r="W524" t="str">
            <v>Empat Ratus Empat Puluh Sembilan</v>
          </cell>
        </row>
        <row r="525">
          <cell r="V525">
            <v>450</v>
          </cell>
          <cell r="W525" t="str">
            <v>Empat Ratus Lima Puluh</v>
          </cell>
        </row>
        <row r="526">
          <cell r="V526">
            <v>451</v>
          </cell>
          <cell r="W526" t="str">
            <v>Empat Ratus Lima Puluh Satu</v>
          </cell>
        </row>
        <row r="527">
          <cell r="V527">
            <v>452</v>
          </cell>
          <cell r="W527" t="str">
            <v>Empat Ratus Lima Puluh Dua</v>
          </cell>
        </row>
        <row r="528">
          <cell r="V528">
            <v>453</v>
          </cell>
          <cell r="W528" t="str">
            <v>Empat Ratus Lima Puluh Tiga</v>
          </cell>
        </row>
        <row r="529">
          <cell r="V529">
            <v>454</v>
          </cell>
          <cell r="W529" t="str">
            <v>Empat Ratus Lima Puluh Empat</v>
          </cell>
        </row>
        <row r="530">
          <cell r="V530">
            <v>455</v>
          </cell>
          <cell r="W530" t="str">
            <v>Empat Ratus Lima Puluh Lima</v>
          </cell>
        </row>
        <row r="531">
          <cell r="V531">
            <v>456</v>
          </cell>
          <cell r="W531" t="str">
            <v>Empat Ratus Lima Puluh Enam</v>
          </cell>
        </row>
        <row r="532">
          <cell r="V532">
            <v>457</v>
          </cell>
          <cell r="W532" t="str">
            <v>Empat Ratus Lima Puluh Tujuh</v>
          </cell>
        </row>
        <row r="533">
          <cell r="V533">
            <v>458</v>
          </cell>
          <cell r="W533" t="str">
            <v>Empat Ratus Lima Puluh Delapan</v>
          </cell>
        </row>
        <row r="534">
          <cell r="V534">
            <v>459</v>
          </cell>
          <cell r="W534" t="str">
            <v>Empat Ratus Lima Puluh Sembilan</v>
          </cell>
        </row>
        <row r="535">
          <cell r="V535">
            <v>460</v>
          </cell>
          <cell r="W535" t="str">
            <v>Empat Ratus Enam Puluh</v>
          </cell>
        </row>
        <row r="536">
          <cell r="V536">
            <v>461</v>
          </cell>
          <cell r="W536" t="str">
            <v>Empat Ratus Enam Puluh Satu</v>
          </cell>
        </row>
        <row r="537">
          <cell r="V537">
            <v>462</v>
          </cell>
          <cell r="W537" t="str">
            <v>Empat Ratus Enam Puluh Dua</v>
          </cell>
        </row>
        <row r="538">
          <cell r="V538">
            <v>463</v>
          </cell>
          <cell r="W538" t="str">
            <v>Empat Ratus Enam Puluh Tiga</v>
          </cell>
        </row>
        <row r="539">
          <cell r="V539">
            <v>464</v>
          </cell>
          <cell r="W539" t="str">
            <v>Empat Ratus Enam Puluh Empat</v>
          </cell>
        </row>
        <row r="540">
          <cell r="V540">
            <v>465</v>
          </cell>
          <cell r="W540" t="str">
            <v>Empat Ratus Enam Puluh Lima</v>
          </cell>
        </row>
        <row r="541">
          <cell r="V541">
            <v>466</v>
          </cell>
          <cell r="W541" t="str">
            <v>Empat Ratus Enam Puluh Enam</v>
          </cell>
        </row>
        <row r="542">
          <cell r="V542">
            <v>467</v>
          </cell>
          <cell r="W542" t="str">
            <v>Empat Ratus Enam Puluh Tujuh</v>
          </cell>
        </row>
        <row r="543">
          <cell r="V543">
            <v>468</v>
          </cell>
          <cell r="W543" t="str">
            <v>Empat Ratus Enam Puluh Delapan</v>
          </cell>
        </row>
        <row r="544">
          <cell r="V544">
            <v>469</v>
          </cell>
          <cell r="W544" t="str">
            <v>Empat Ratus Enam Puluh Sembilan</v>
          </cell>
        </row>
        <row r="545">
          <cell r="V545">
            <v>470</v>
          </cell>
          <cell r="W545" t="str">
            <v>Empat Ratus Tujuh Puluh</v>
          </cell>
        </row>
        <row r="546">
          <cell r="V546">
            <v>471</v>
          </cell>
          <cell r="W546" t="str">
            <v>Empat Ratus Tujuh Puluh Satu</v>
          </cell>
        </row>
        <row r="547">
          <cell r="V547">
            <v>472</v>
          </cell>
          <cell r="W547" t="str">
            <v>Empat Ratus Tujuh Puluh Dua</v>
          </cell>
        </row>
        <row r="548">
          <cell r="V548">
            <v>473</v>
          </cell>
          <cell r="W548" t="str">
            <v>Empat Ratus Tujuh Puluh Tiga</v>
          </cell>
        </row>
        <row r="549">
          <cell r="V549">
            <v>474</v>
          </cell>
          <cell r="W549" t="str">
            <v>Empat Ratus Tujuh Puluh Empat</v>
          </cell>
        </row>
        <row r="550">
          <cell r="V550">
            <v>475</v>
          </cell>
          <cell r="W550" t="str">
            <v>Empat Ratus Tujuh Puluh Lima</v>
          </cell>
        </row>
        <row r="551">
          <cell r="V551">
            <v>476</v>
          </cell>
          <cell r="W551" t="str">
            <v>Empat Ratus Tujuh Puluh Enam</v>
          </cell>
        </row>
        <row r="552">
          <cell r="V552">
            <v>477</v>
          </cell>
          <cell r="W552" t="str">
            <v>Empat Ratus Tujuh Puluh Tujuh</v>
          </cell>
        </row>
        <row r="553">
          <cell r="V553">
            <v>478</v>
          </cell>
          <cell r="W553" t="str">
            <v>Empat Ratus Tujuh Puluh Delapan</v>
          </cell>
        </row>
        <row r="554">
          <cell r="V554">
            <v>479</v>
          </cell>
          <cell r="W554" t="str">
            <v>Empat Ratus Tujuh Puluh Sembilan</v>
          </cell>
        </row>
        <row r="555">
          <cell r="V555">
            <v>480</v>
          </cell>
          <cell r="W555" t="str">
            <v>Empat Ratus Delapan Puluh</v>
          </cell>
        </row>
        <row r="556">
          <cell r="V556">
            <v>481</v>
          </cell>
          <cell r="W556" t="str">
            <v>Empat Ratus Delapan Puluh Satu</v>
          </cell>
        </row>
        <row r="557">
          <cell r="V557">
            <v>482</v>
          </cell>
          <cell r="W557" t="str">
            <v>Empat Ratus Delapan Puluh Dua</v>
          </cell>
        </row>
        <row r="558">
          <cell r="V558">
            <v>483</v>
          </cell>
          <cell r="W558" t="str">
            <v>Empat Ratus Delapan Puluh Tiga</v>
          </cell>
        </row>
        <row r="559">
          <cell r="V559">
            <v>484</v>
          </cell>
          <cell r="W559" t="str">
            <v>Empat Ratus Delapan Puluh Empat</v>
          </cell>
        </row>
        <row r="560">
          <cell r="V560">
            <v>485</v>
          </cell>
          <cell r="W560" t="str">
            <v>Empat Ratus Delapan Puluh Lima</v>
          </cell>
        </row>
        <row r="561">
          <cell r="V561">
            <v>486</v>
          </cell>
          <cell r="W561" t="str">
            <v>Empat Ratus Delapan Puluh Enam</v>
          </cell>
        </row>
        <row r="562">
          <cell r="V562">
            <v>487</v>
          </cell>
          <cell r="W562" t="str">
            <v>Empat Ratus Delapan Puluh Tujuh</v>
          </cell>
        </row>
        <row r="563">
          <cell r="V563">
            <v>488</v>
          </cell>
          <cell r="W563" t="str">
            <v>Empat Ratus Delapan Puluh Delapan</v>
          </cell>
        </row>
        <row r="564">
          <cell r="V564">
            <v>489</v>
          </cell>
          <cell r="W564" t="str">
            <v>Empat Ratus Delapan Puluh Sembilan</v>
          </cell>
        </row>
        <row r="565">
          <cell r="V565">
            <v>490</v>
          </cell>
          <cell r="W565" t="str">
            <v>Empat Ratus Sembilan Puluh</v>
          </cell>
        </row>
        <row r="566">
          <cell r="V566">
            <v>491</v>
          </cell>
          <cell r="W566" t="str">
            <v>Empat Ratus Sembilan Puluh Satu</v>
          </cell>
        </row>
        <row r="567">
          <cell r="V567">
            <v>492</v>
          </cell>
          <cell r="W567" t="str">
            <v>Empat Ratus Sembilan Puluh Dua</v>
          </cell>
        </row>
        <row r="568">
          <cell r="V568">
            <v>493</v>
          </cell>
          <cell r="W568" t="str">
            <v>Empat Ratus Sembilan Puluh Tiga</v>
          </cell>
        </row>
        <row r="569">
          <cell r="V569">
            <v>494</v>
          </cell>
          <cell r="W569" t="str">
            <v>Empat Ratus Sembilan Puluh Empat</v>
          </cell>
        </row>
        <row r="570">
          <cell r="V570">
            <v>495</v>
          </cell>
          <cell r="W570" t="str">
            <v>Empat Ratus Sembilan Puluh Lima</v>
          </cell>
        </row>
        <row r="571">
          <cell r="V571">
            <v>496</v>
          </cell>
          <cell r="W571" t="str">
            <v>Empat Ratus Sembilan Puluh Enam</v>
          </cell>
        </row>
        <row r="572">
          <cell r="V572">
            <v>497</v>
          </cell>
          <cell r="W572" t="str">
            <v>Empat Ratus Sembilan Puluh Tujuh</v>
          </cell>
        </row>
        <row r="573">
          <cell r="V573">
            <v>498</v>
          </cell>
          <cell r="W573" t="str">
            <v>Empat Ratus Sembilan Puluh Delapan</v>
          </cell>
        </row>
        <row r="574">
          <cell r="V574">
            <v>499</v>
          </cell>
          <cell r="W574" t="str">
            <v>Empat Ratus Sembilan Puluh Sembilan</v>
          </cell>
        </row>
        <row r="575">
          <cell r="V575">
            <v>500</v>
          </cell>
          <cell r="W575" t="str">
            <v>Lima Ratus</v>
          </cell>
        </row>
        <row r="576">
          <cell r="V576">
            <v>501</v>
          </cell>
          <cell r="W576" t="str">
            <v>Lima Ratus Satu</v>
          </cell>
        </row>
        <row r="577">
          <cell r="V577">
            <v>502</v>
          </cell>
          <cell r="W577" t="str">
            <v>Lima Ratus Dua</v>
          </cell>
        </row>
        <row r="578">
          <cell r="V578">
            <v>503</v>
          </cell>
          <cell r="W578" t="str">
            <v>Lima Ratus Tiga</v>
          </cell>
        </row>
        <row r="579">
          <cell r="V579">
            <v>504</v>
          </cell>
          <cell r="W579" t="str">
            <v>Lima Ratus Empat</v>
          </cell>
        </row>
        <row r="580">
          <cell r="V580">
            <v>505</v>
          </cell>
          <cell r="W580" t="str">
            <v>Lima Ratus Lima</v>
          </cell>
        </row>
        <row r="581">
          <cell r="V581">
            <v>506</v>
          </cell>
          <cell r="W581" t="str">
            <v>Lima Ratus Enam</v>
          </cell>
        </row>
        <row r="582">
          <cell r="V582">
            <v>507</v>
          </cell>
          <cell r="W582" t="str">
            <v>Lima Ratus Tujuh</v>
          </cell>
        </row>
        <row r="583">
          <cell r="V583">
            <v>508</v>
          </cell>
          <cell r="W583" t="str">
            <v>Lima Ratus Delapan</v>
          </cell>
        </row>
        <row r="584">
          <cell r="V584">
            <v>509</v>
          </cell>
          <cell r="W584" t="str">
            <v>Lima Ratus Sembilan</v>
          </cell>
        </row>
        <row r="585">
          <cell r="V585">
            <v>510</v>
          </cell>
          <cell r="W585" t="str">
            <v>Lima Ratus Sepuluh</v>
          </cell>
        </row>
        <row r="586">
          <cell r="V586">
            <v>511</v>
          </cell>
          <cell r="W586" t="str">
            <v>Lima Ratus Sebelas</v>
          </cell>
        </row>
        <row r="587">
          <cell r="V587">
            <v>512</v>
          </cell>
          <cell r="W587" t="str">
            <v>Lima Ratus Dua Belas</v>
          </cell>
        </row>
        <row r="588">
          <cell r="V588">
            <v>513</v>
          </cell>
          <cell r="W588" t="str">
            <v>Lima Ratus Tiga Belas</v>
          </cell>
        </row>
        <row r="589">
          <cell r="V589">
            <v>514</v>
          </cell>
          <cell r="W589" t="str">
            <v>Lima Ratus Empat Belas</v>
          </cell>
        </row>
        <row r="590">
          <cell r="V590">
            <v>515</v>
          </cell>
          <cell r="W590" t="str">
            <v>Lima Ratus Lima Belas</v>
          </cell>
        </row>
        <row r="591">
          <cell r="V591">
            <v>516</v>
          </cell>
          <cell r="W591" t="str">
            <v>Lima Ratus Enam Belas</v>
          </cell>
        </row>
        <row r="592">
          <cell r="V592">
            <v>517</v>
          </cell>
          <cell r="W592" t="str">
            <v>Lima Ratus Tujuh Belas</v>
          </cell>
        </row>
        <row r="593">
          <cell r="V593">
            <v>518</v>
          </cell>
          <cell r="W593" t="str">
            <v>Lima Ratus Delapan Belas</v>
          </cell>
        </row>
        <row r="594">
          <cell r="V594">
            <v>519</v>
          </cell>
          <cell r="W594" t="str">
            <v>Lima Ratus Sembilan Belas</v>
          </cell>
        </row>
        <row r="595">
          <cell r="V595">
            <v>520</v>
          </cell>
          <cell r="W595" t="str">
            <v>Lima Ratus Dua Puluh</v>
          </cell>
        </row>
        <row r="596">
          <cell r="V596">
            <v>521</v>
          </cell>
          <cell r="W596" t="str">
            <v>Lima Ratus Dua Puluh Satu</v>
          </cell>
        </row>
        <row r="597">
          <cell r="V597">
            <v>522</v>
          </cell>
          <cell r="W597" t="str">
            <v>Lima Ratus Dua Puluh Dua</v>
          </cell>
        </row>
        <row r="598">
          <cell r="V598">
            <v>523</v>
          </cell>
          <cell r="W598" t="str">
            <v>Lima Ratus Dua Puluh Tiga</v>
          </cell>
        </row>
        <row r="599">
          <cell r="V599">
            <v>524</v>
          </cell>
          <cell r="W599" t="str">
            <v>Lima Ratus Dua Puluh Empat</v>
          </cell>
        </row>
        <row r="600">
          <cell r="V600">
            <v>525</v>
          </cell>
          <cell r="W600" t="str">
            <v>Lima Ratus Dua Puluh Lima</v>
          </cell>
        </row>
        <row r="601">
          <cell r="V601">
            <v>526</v>
          </cell>
          <cell r="W601" t="str">
            <v>Lima Ratus Dua Puluh Enam</v>
          </cell>
        </row>
        <row r="602">
          <cell r="V602">
            <v>527</v>
          </cell>
          <cell r="W602" t="str">
            <v>Lima Ratus Dua Puluh Tujuh</v>
          </cell>
        </row>
        <row r="603">
          <cell r="V603">
            <v>528</v>
          </cell>
          <cell r="W603" t="str">
            <v>Lima Ratus Dua Puluh Delapan</v>
          </cell>
        </row>
        <row r="604">
          <cell r="V604">
            <v>529</v>
          </cell>
          <cell r="W604" t="str">
            <v>Lima Ratus Dua Puluh Sembilan</v>
          </cell>
        </row>
        <row r="605">
          <cell r="V605">
            <v>530</v>
          </cell>
          <cell r="W605" t="str">
            <v>Lima Ratus Tiga Puluh</v>
          </cell>
        </row>
        <row r="606">
          <cell r="V606">
            <v>531</v>
          </cell>
          <cell r="W606" t="str">
            <v>Lima Ratus Tiga Puluh Satu</v>
          </cell>
        </row>
        <row r="607">
          <cell r="V607">
            <v>532</v>
          </cell>
          <cell r="W607" t="str">
            <v>Lima Ratus Tiga Puluh Dua</v>
          </cell>
        </row>
        <row r="608">
          <cell r="V608">
            <v>533</v>
          </cell>
          <cell r="W608" t="str">
            <v>Lima Ratus Tiga Puluh Tiga</v>
          </cell>
        </row>
        <row r="609">
          <cell r="V609">
            <v>534</v>
          </cell>
          <cell r="W609" t="str">
            <v>Lima Ratus Tiga Puluh Empat</v>
          </cell>
        </row>
        <row r="610">
          <cell r="V610">
            <v>535</v>
          </cell>
          <cell r="W610" t="str">
            <v>Lima Ratus Tiga Puluh Lima</v>
          </cell>
        </row>
        <row r="611">
          <cell r="V611">
            <v>536</v>
          </cell>
          <cell r="W611" t="str">
            <v>Lima Ratus Tiga Puluh Enam</v>
          </cell>
        </row>
        <row r="612">
          <cell r="V612">
            <v>537</v>
          </cell>
          <cell r="W612" t="str">
            <v>Lima Ratus Tiga Puluh Tujuh</v>
          </cell>
        </row>
        <row r="613">
          <cell r="V613">
            <v>538</v>
          </cell>
          <cell r="W613" t="str">
            <v>Lima Ratus Tiga Puluh Delapan</v>
          </cell>
        </row>
        <row r="614">
          <cell r="V614">
            <v>539</v>
          </cell>
          <cell r="W614" t="str">
            <v>Lima Ratus Tiga Puluh Sembilan</v>
          </cell>
        </row>
        <row r="615">
          <cell r="V615">
            <v>540</v>
          </cell>
          <cell r="W615" t="str">
            <v>Lima Ratus Empat Puluh</v>
          </cell>
        </row>
        <row r="616">
          <cell r="V616">
            <v>541</v>
          </cell>
          <cell r="W616" t="str">
            <v>Lima Ratus Empat Puluh Satu</v>
          </cell>
        </row>
        <row r="617">
          <cell r="V617">
            <v>542</v>
          </cell>
          <cell r="W617" t="str">
            <v>Lima Ratus Empat Puluh Dua</v>
          </cell>
        </row>
        <row r="618">
          <cell r="V618">
            <v>543</v>
          </cell>
          <cell r="W618" t="str">
            <v>Lima Ratus Empat Puluh Tiga</v>
          </cell>
        </row>
        <row r="619">
          <cell r="V619">
            <v>544</v>
          </cell>
          <cell r="W619" t="str">
            <v>Lima Ratus Empat Puluh Empat</v>
          </cell>
        </row>
        <row r="620">
          <cell r="V620">
            <v>545</v>
          </cell>
          <cell r="W620" t="str">
            <v>Lima Ratus Empat Puluh Lima</v>
          </cell>
        </row>
        <row r="621">
          <cell r="V621">
            <v>546</v>
          </cell>
          <cell r="W621" t="str">
            <v>Lima Ratus Empat Puluh Enam</v>
          </cell>
        </row>
        <row r="622">
          <cell r="V622">
            <v>547</v>
          </cell>
          <cell r="W622" t="str">
            <v>Lima Ratus Empat Puluh Tujuh</v>
          </cell>
        </row>
        <row r="623">
          <cell r="V623">
            <v>548</v>
          </cell>
          <cell r="W623" t="str">
            <v>Lima Ratus Empat Puluh Delapan</v>
          </cell>
        </row>
        <row r="624">
          <cell r="V624">
            <v>549</v>
          </cell>
          <cell r="W624" t="str">
            <v>Lima Ratus Empat Puluh Sembilan</v>
          </cell>
        </row>
        <row r="625">
          <cell r="V625">
            <v>550</v>
          </cell>
          <cell r="W625" t="str">
            <v>Lima Ratus Lima Puluh</v>
          </cell>
        </row>
        <row r="626">
          <cell r="V626">
            <v>551</v>
          </cell>
          <cell r="W626" t="str">
            <v>Lima Ratus Lima Puluh Satu</v>
          </cell>
        </row>
        <row r="627">
          <cell r="V627">
            <v>552</v>
          </cell>
          <cell r="W627" t="str">
            <v>Lima Ratus Lima Puluh Dua</v>
          </cell>
        </row>
        <row r="628">
          <cell r="V628">
            <v>553</v>
          </cell>
          <cell r="W628" t="str">
            <v>Lima Ratus Lima Puluh Tiga</v>
          </cell>
        </row>
        <row r="629">
          <cell r="V629">
            <v>554</v>
          </cell>
          <cell r="W629" t="str">
            <v>Lima Ratus Lima Puluh Empat</v>
          </cell>
        </row>
        <row r="630">
          <cell r="V630">
            <v>555</v>
          </cell>
          <cell r="W630" t="str">
            <v>Lima Ratus Lima Puluh Lima</v>
          </cell>
        </row>
        <row r="631">
          <cell r="V631">
            <v>556</v>
          </cell>
          <cell r="W631" t="str">
            <v>Lima Ratus Lima Puluh Enam</v>
          </cell>
        </row>
        <row r="632">
          <cell r="V632">
            <v>557</v>
          </cell>
          <cell r="W632" t="str">
            <v>Lima Ratus Lima Puluh Tujuh</v>
          </cell>
        </row>
        <row r="633">
          <cell r="V633">
            <v>558</v>
          </cell>
          <cell r="W633" t="str">
            <v>Lima Ratus Lima Puluh Delapan</v>
          </cell>
        </row>
        <row r="634">
          <cell r="V634">
            <v>559</v>
          </cell>
          <cell r="W634" t="str">
            <v>Lima Ratus Lima Puluh Sembilan</v>
          </cell>
        </row>
        <row r="635">
          <cell r="V635">
            <v>560</v>
          </cell>
          <cell r="W635" t="str">
            <v>Lima Ratus Enam Puluh</v>
          </cell>
        </row>
        <row r="636">
          <cell r="V636">
            <v>561</v>
          </cell>
          <cell r="W636" t="str">
            <v>Lima Ratus Enam Puluh Satu</v>
          </cell>
        </row>
        <row r="637">
          <cell r="V637">
            <v>562</v>
          </cell>
          <cell r="W637" t="str">
            <v>Lima Ratus Enam Puluh Dua</v>
          </cell>
        </row>
        <row r="638">
          <cell r="V638">
            <v>563</v>
          </cell>
          <cell r="W638" t="str">
            <v>Lima Ratus Enam Puluh Tiga</v>
          </cell>
        </row>
        <row r="639">
          <cell r="V639">
            <v>564</v>
          </cell>
          <cell r="W639" t="str">
            <v>Lima Ratus Enam Puluh Empat</v>
          </cell>
        </row>
        <row r="640">
          <cell r="V640">
            <v>565</v>
          </cell>
          <cell r="W640" t="str">
            <v>Lima Ratus Enam Puluh Lima</v>
          </cell>
        </row>
        <row r="641">
          <cell r="V641">
            <v>566</v>
          </cell>
          <cell r="W641" t="str">
            <v>Lima Ratus Enam Puluh Enam</v>
          </cell>
        </row>
        <row r="642">
          <cell r="V642">
            <v>567</v>
          </cell>
          <cell r="W642" t="str">
            <v>Lima Ratus Enam Puluh Tujuh</v>
          </cell>
        </row>
        <row r="643">
          <cell r="V643">
            <v>568</v>
          </cell>
          <cell r="W643" t="str">
            <v>Lima Ratus Enam Puluh Delapan</v>
          </cell>
        </row>
        <row r="644">
          <cell r="V644">
            <v>569</v>
          </cell>
          <cell r="W644" t="str">
            <v>Lima Ratus Enam Puluh Sembilan</v>
          </cell>
        </row>
        <row r="645">
          <cell r="V645">
            <v>570</v>
          </cell>
          <cell r="W645" t="str">
            <v>Lima Ratus Tujuh Puluh</v>
          </cell>
        </row>
        <row r="646">
          <cell r="V646">
            <v>571</v>
          </cell>
          <cell r="W646" t="str">
            <v>Lima Ratus Tujuh Puluh Satu</v>
          </cell>
        </row>
        <row r="647">
          <cell r="V647">
            <v>572</v>
          </cell>
          <cell r="W647" t="str">
            <v>Lima Ratus Tujuh Puluh Dua</v>
          </cell>
        </row>
        <row r="648">
          <cell r="V648">
            <v>573</v>
          </cell>
          <cell r="W648" t="str">
            <v>Lima Ratus Tujuh Puluh Tiga</v>
          </cell>
        </row>
        <row r="649">
          <cell r="V649">
            <v>574</v>
          </cell>
          <cell r="W649" t="str">
            <v>Lima Ratus Tujuh Puluh Empat</v>
          </cell>
        </row>
        <row r="650">
          <cell r="V650">
            <v>575</v>
          </cell>
          <cell r="W650" t="str">
            <v>Lima Ratus Tujuh Puluh Lima</v>
          </cell>
        </row>
        <row r="651">
          <cell r="V651">
            <v>576</v>
          </cell>
          <cell r="W651" t="str">
            <v>Lima Ratus Tujuh Puluh Enam</v>
          </cell>
        </row>
        <row r="652">
          <cell r="V652">
            <v>577</v>
          </cell>
          <cell r="W652" t="str">
            <v>Lima Ratus Tujuh Puluh Tujuh</v>
          </cell>
        </row>
        <row r="653">
          <cell r="V653">
            <v>578</v>
          </cell>
          <cell r="W653" t="str">
            <v>Lima Ratus Tujuh Puluh Delapan</v>
          </cell>
        </row>
        <row r="654">
          <cell r="V654">
            <v>579</v>
          </cell>
          <cell r="W654" t="str">
            <v>Lima Ratus Tujuh Puluh Sembilan</v>
          </cell>
        </row>
        <row r="655">
          <cell r="V655">
            <v>580</v>
          </cell>
          <cell r="W655" t="str">
            <v>Lima Ratus Delapan Puluh</v>
          </cell>
        </row>
        <row r="656">
          <cell r="V656">
            <v>581</v>
          </cell>
          <cell r="W656" t="str">
            <v>Lima Ratus Delapan Puluh Satu</v>
          </cell>
        </row>
        <row r="657">
          <cell r="V657">
            <v>582</v>
          </cell>
          <cell r="W657" t="str">
            <v>Lima Ratus Delapan Puluh Dua</v>
          </cell>
        </row>
        <row r="658">
          <cell r="V658">
            <v>583</v>
          </cell>
          <cell r="W658" t="str">
            <v>Lima Ratus Delapan Puluh Tiga</v>
          </cell>
        </row>
        <row r="659">
          <cell r="V659">
            <v>584</v>
          </cell>
          <cell r="W659" t="str">
            <v>Lima Ratus Delapan Puluh Empat</v>
          </cell>
        </row>
        <row r="660">
          <cell r="V660">
            <v>585</v>
          </cell>
          <cell r="W660" t="str">
            <v>Lima Ratus Delapan Puluh Lima</v>
          </cell>
        </row>
        <row r="661">
          <cell r="V661">
            <v>586</v>
          </cell>
          <cell r="W661" t="str">
            <v>Lima Ratus Delapan Puluh Enam</v>
          </cell>
        </row>
        <row r="662">
          <cell r="V662">
            <v>587</v>
          </cell>
          <cell r="W662" t="str">
            <v>Lima Ratus Delapan Puluh Tujuh</v>
          </cell>
        </row>
        <row r="663">
          <cell r="V663">
            <v>588</v>
          </cell>
          <cell r="W663" t="str">
            <v>Lima Ratus Delapan Puluh Delapan</v>
          </cell>
        </row>
        <row r="664">
          <cell r="V664">
            <v>589</v>
          </cell>
          <cell r="W664" t="str">
            <v>Lima Ratus Delapan Puluh Sembilan</v>
          </cell>
        </row>
        <row r="665">
          <cell r="V665">
            <v>590</v>
          </cell>
          <cell r="W665" t="str">
            <v>Lima Ratus Sembilan Puluh</v>
          </cell>
        </row>
        <row r="666">
          <cell r="V666">
            <v>591</v>
          </cell>
          <cell r="W666" t="str">
            <v>Lima Ratus Sembilan Puluh Satu</v>
          </cell>
        </row>
        <row r="667">
          <cell r="V667">
            <v>592</v>
          </cell>
          <cell r="W667" t="str">
            <v>Lima Ratus Sembilan Puluh Dua</v>
          </cell>
        </row>
        <row r="668">
          <cell r="V668">
            <v>593</v>
          </cell>
          <cell r="W668" t="str">
            <v>Lima Ratus Sembilan Puluh Tiga</v>
          </cell>
        </row>
        <row r="669">
          <cell r="V669">
            <v>594</v>
          </cell>
          <cell r="W669" t="str">
            <v>Lima Ratus Sembilan Puluh Empat</v>
          </cell>
        </row>
        <row r="670">
          <cell r="V670">
            <v>595</v>
          </cell>
          <cell r="W670" t="str">
            <v>Lima Ratus Sembilan Puluh Lima</v>
          </cell>
        </row>
        <row r="671">
          <cell r="V671">
            <v>596</v>
          </cell>
          <cell r="W671" t="str">
            <v>Lima Ratus Sembilan Puluh Enam</v>
          </cell>
        </row>
        <row r="672">
          <cell r="V672">
            <v>597</v>
          </cell>
          <cell r="W672" t="str">
            <v>Lima Ratus Sembilan Puluh Tujuh</v>
          </cell>
        </row>
        <row r="673">
          <cell r="V673">
            <v>598</v>
          </cell>
          <cell r="W673" t="str">
            <v>Lima Ratus Sembilan Puluh Delapan</v>
          </cell>
        </row>
        <row r="674">
          <cell r="V674">
            <v>599</v>
          </cell>
          <cell r="W674" t="str">
            <v>Lima Ratus Sembilan Puluh Sembilan</v>
          </cell>
        </row>
        <row r="675">
          <cell r="V675">
            <v>600</v>
          </cell>
          <cell r="W675" t="str">
            <v>Enam Ratus</v>
          </cell>
        </row>
        <row r="676">
          <cell r="V676">
            <v>601</v>
          </cell>
          <cell r="W676" t="str">
            <v>Enam Ratus Satu</v>
          </cell>
        </row>
        <row r="677">
          <cell r="V677">
            <v>602</v>
          </cell>
          <cell r="W677" t="str">
            <v>Enam Ratus Dua</v>
          </cell>
        </row>
        <row r="678">
          <cell r="V678">
            <v>603</v>
          </cell>
          <cell r="W678" t="str">
            <v>Enam Ratus Tiga</v>
          </cell>
        </row>
        <row r="679">
          <cell r="V679">
            <v>604</v>
          </cell>
          <cell r="W679" t="str">
            <v>Enam Ratus Empat</v>
          </cell>
        </row>
        <row r="680">
          <cell r="V680">
            <v>605</v>
          </cell>
          <cell r="W680" t="str">
            <v>Enam Ratus Lima</v>
          </cell>
        </row>
        <row r="681">
          <cell r="V681">
            <v>606</v>
          </cell>
          <cell r="W681" t="str">
            <v>Enam Ratus Enam</v>
          </cell>
        </row>
        <row r="682">
          <cell r="V682">
            <v>607</v>
          </cell>
          <cell r="W682" t="str">
            <v>Enam Ratus Tujuh</v>
          </cell>
        </row>
        <row r="683">
          <cell r="V683">
            <v>608</v>
          </cell>
          <cell r="W683" t="str">
            <v>Enam Ratus Delapan</v>
          </cell>
        </row>
        <row r="684">
          <cell r="V684">
            <v>609</v>
          </cell>
          <cell r="W684" t="str">
            <v>Enam Ratus Sembilan</v>
          </cell>
        </row>
        <row r="685">
          <cell r="V685">
            <v>610</v>
          </cell>
          <cell r="W685" t="str">
            <v>Enam Ratus Sepuluh</v>
          </cell>
        </row>
        <row r="686">
          <cell r="V686">
            <v>611</v>
          </cell>
          <cell r="W686" t="str">
            <v>Enam Ratus Sebelas</v>
          </cell>
        </row>
        <row r="687">
          <cell r="V687">
            <v>612</v>
          </cell>
          <cell r="W687" t="str">
            <v>Enam Ratus Dua Belas</v>
          </cell>
        </row>
        <row r="688">
          <cell r="V688">
            <v>613</v>
          </cell>
          <cell r="W688" t="str">
            <v>Enam Ratus Tiga Belas</v>
          </cell>
        </row>
        <row r="689">
          <cell r="V689">
            <v>614</v>
          </cell>
          <cell r="W689" t="str">
            <v>Enam Ratus Empat Belas</v>
          </cell>
        </row>
        <row r="690">
          <cell r="V690">
            <v>615</v>
          </cell>
          <cell r="W690" t="str">
            <v>Enam Ratus Lima Belas</v>
          </cell>
        </row>
        <row r="691">
          <cell r="V691">
            <v>616</v>
          </cell>
          <cell r="W691" t="str">
            <v>Enam Ratus Enam Belas</v>
          </cell>
        </row>
        <row r="692">
          <cell r="V692">
            <v>617</v>
          </cell>
          <cell r="W692" t="str">
            <v>Enam Ratus Tujuh Belas</v>
          </cell>
        </row>
        <row r="693">
          <cell r="V693">
            <v>618</v>
          </cell>
          <cell r="W693" t="str">
            <v>Enam Ratus Delapan Belas</v>
          </cell>
        </row>
        <row r="694">
          <cell r="V694">
            <v>619</v>
          </cell>
          <cell r="W694" t="str">
            <v>Enam Ratus Sembilan Belas</v>
          </cell>
        </row>
        <row r="695">
          <cell r="V695">
            <v>620</v>
          </cell>
          <cell r="W695" t="str">
            <v>Enam Ratus Dua Puluh</v>
          </cell>
        </row>
        <row r="696">
          <cell r="V696">
            <v>621</v>
          </cell>
          <cell r="W696" t="str">
            <v>Enam Ratus Dua Puluh Satu</v>
          </cell>
        </row>
        <row r="697">
          <cell r="V697">
            <v>622</v>
          </cell>
          <cell r="W697" t="str">
            <v>Enam Ratus Dua Puluh Dua</v>
          </cell>
        </row>
        <row r="698">
          <cell r="V698">
            <v>623</v>
          </cell>
          <cell r="W698" t="str">
            <v>Enam Ratus Dua Puluh Tiga</v>
          </cell>
        </row>
        <row r="699">
          <cell r="V699">
            <v>624</v>
          </cell>
          <cell r="W699" t="str">
            <v>Enam Ratus Dua Puluh Empat</v>
          </cell>
        </row>
        <row r="700">
          <cell r="V700">
            <v>625</v>
          </cell>
          <cell r="W700" t="str">
            <v>Enam Ratus Dua Puluh Lima</v>
          </cell>
        </row>
        <row r="701">
          <cell r="V701">
            <v>626</v>
          </cell>
          <cell r="W701" t="str">
            <v>Enam Ratus Dua Puluh Enam</v>
          </cell>
        </row>
        <row r="702">
          <cell r="V702">
            <v>627</v>
          </cell>
          <cell r="W702" t="str">
            <v>Enam Ratus Dua Puluh Tujuh</v>
          </cell>
        </row>
        <row r="703">
          <cell r="V703">
            <v>628</v>
          </cell>
          <cell r="W703" t="str">
            <v>Enam Ratus Dua Puluh Delapan</v>
          </cell>
        </row>
        <row r="704">
          <cell r="V704">
            <v>629</v>
          </cell>
          <cell r="W704" t="str">
            <v>Enam Ratus Dua Puluh Sembilan</v>
          </cell>
        </row>
        <row r="705">
          <cell r="V705">
            <v>630</v>
          </cell>
          <cell r="W705" t="str">
            <v>Enam Ratus Tiga Puluh</v>
          </cell>
        </row>
        <row r="706">
          <cell r="V706">
            <v>631</v>
          </cell>
          <cell r="W706" t="str">
            <v>Enam Ratus Tiga Puluh Satu</v>
          </cell>
        </row>
        <row r="707">
          <cell r="V707">
            <v>632</v>
          </cell>
          <cell r="W707" t="str">
            <v>Enam Ratus Tiga Puluh Dua</v>
          </cell>
        </row>
        <row r="708">
          <cell r="V708">
            <v>633</v>
          </cell>
          <cell r="W708" t="str">
            <v>Enam Ratus Tiga Puluh Tiga</v>
          </cell>
        </row>
        <row r="709">
          <cell r="V709">
            <v>634</v>
          </cell>
          <cell r="W709" t="str">
            <v>Enam Ratus Tiga Puluh Empat</v>
          </cell>
        </row>
        <row r="710">
          <cell r="V710">
            <v>635</v>
          </cell>
          <cell r="W710" t="str">
            <v>Enam Ratus Tiga Puluh Lima</v>
          </cell>
        </row>
        <row r="711">
          <cell r="V711">
            <v>636</v>
          </cell>
          <cell r="W711" t="str">
            <v>Enam Ratus Tiga Puluh Enam</v>
          </cell>
        </row>
        <row r="712">
          <cell r="V712">
            <v>637</v>
          </cell>
          <cell r="W712" t="str">
            <v>Enam Ratus Tiga Puluh Tujuh</v>
          </cell>
        </row>
        <row r="713">
          <cell r="V713">
            <v>638</v>
          </cell>
          <cell r="W713" t="str">
            <v>Enam Ratus Tiga Puluh Delapan</v>
          </cell>
        </row>
        <row r="714">
          <cell r="V714">
            <v>639</v>
          </cell>
          <cell r="W714" t="str">
            <v>Enam Ratus Tiga Puluh Sembilan</v>
          </cell>
        </row>
        <row r="715">
          <cell r="V715">
            <v>640</v>
          </cell>
          <cell r="W715" t="str">
            <v>Enam Ratus Empat Puluh</v>
          </cell>
        </row>
        <row r="716">
          <cell r="V716">
            <v>641</v>
          </cell>
          <cell r="W716" t="str">
            <v>Enam Ratus Empat Puluh Satu</v>
          </cell>
        </row>
        <row r="717">
          <cell r="V717">
            <v>642</v>
          </cell>
          <cell r="W717" t="str">
            <v>Enam Ratus Empat Puluh Dua</v>
          </cell>
        </row>
        <row r="718">
          <cell r="V718">
            <v>643</v>
          </cell>
          <cell r="W718" t="str">
            <v>Enam Ratus Empat Puluh Tiga</v>
          </cell>
        </row>
        <row r="719">
          <cell r="V719">
            <v>644</v>
          </cell>
          <cell r="W719" t="str">
            <v>Enam Ratus Empat Puluh Empat</v>
          </cell>
        </row>
        <row r="720">
          <cell r="V720">
            <v>645</v>
          </cell>
          <cell r="W720" t="str">
            <v>Enam Ratus Empat Puluh Lima</v>
          </cell>
        </row>
        <row r="721">
          <cell r="V721">
            <v>646</v>
          </cell>
          <cell r="W721" t="str">
            <v>Enam Ratus Empat Puluh Enam</v>
          </cell>
        </row>
        <row r="722">
          <cell r="V722">
            <v>647</v>
          </cell>
          <cell r="W722" t="str">
            <v>Enam Ratus Empat Puluh Tujuh</v>
          </cell>
        </row>
        <row r="723">
          <cell r="V723">
            <v>648</v>
          </cell>
          <cell r="W723" t="str">
            <v>Enam Ratus Empat Puluh Delapan</v>
          </cell>
        </row>
        <row r="724">
          <cell r="V724">
            <v>649</v>
          </cell>
          <cell r="W724" t="str">
            <v>Enam Ratus Empat Puluh Sembilan</v>
          </cell>
        </row>
        <row r="725">
          <cell r="V725">
            <v>650</v>
          </cell>
          <cell r="W725" t="str">
            <v>Enam Ratus Lima Puluh</v>
          </cell>
        </row>
        <row r="726">
          <cell r="V726">
            <v>651</v>
          </cell>
          <cell r="W726" t="str">
            <v>Enam Ratus Lima Puluh Satu</v>
          </cell>
        </row>
        <row r="727">
          <cell r="V727">
            <v>652</v>
          </cell>
          <cell r="W727" t="str">
            <v>Enam Ratus Lima Puluh Dua</v>
          </cell>
        </row>
        <row r="728">
          <cell r="V728">
            <v>653</v>
          </cell>
          <cell r="W728" t="str">
            <v>Enam Ratus Lima Puluh Tiga</v>
          </cell>
        </row>
        <row r="729">
          <cell r="V729">
            <v>654</v>
          </cell>
          <cell r="W729" t="str">
            <v>Enam Ratus Lima Puluh Empat</v>
          </cell>
        </row>
        <row r="730">
          <cell r="V730">
            <v>655</v>
          </cell>
          <cell r="W730" t="str">
            <v>Enam Ratus Lima Puluh Lima</v>
          </cell>
        </row>
        <row r="731">
          <cell r="V731">
            <v>656</v>
          </cell>
          <cell r="W731" t="str">
            <v>Enam Ratus Lima Puluh Enam</v>
          </cell>
        </row>
        <row r="732">
          <cell r="V732">
            <v>657</v>
          </cell>
          <cell r="W732" t="str">
            <v>Enam Ratus Lima Puluh Tujuh</v>
          </cell>
        </row>
        <row r="733">
          <cell r="V733">
            <v>658</v>
          </cell>
          <cell r="W733" t="str">
            <v>Enam Ratus Lima Puluh Delapan</v>
          </cell>
        </row>
        <row r="734">
          <cell r="V734">
            <v>659</v>
          </cell>
          <cell r="W734" t="str">
            <v>Enam Ratus Lima Puluh Sembilan</v>
          </cell>
        </row>
        <row r="735">
          <cell r="V735">
            <v>660</v>
          </cell>
          <cell r="W735" t="str">
            <v>Enam Ratus Enam Puluh</v>
          </cell>
        </row>
        <row r="736">
          <cell r="V736">
            <v>661</v>
          </cell>
          <cell r="W736" t="str">
            <v>Enam Ratus Enam Puluh Satu</v>
          </cell>
        </row>
        <row r="737">
          <cell r="V737">
            <v>662</v>
          </cell>
          <cell r="W737" t="str">
            <v>Enam Ratus Enam Puluh Dua</v>
          </cell>
        </row>
        <row r="738">
          <cell r="V738">
            <v>663</v>
          </cell>
          <cell r="W738" t="str">
            <v>Enam Ratus Enam Puluh Tiga</v>
          </cell>
        </row>
        <row r="739">
          <cell r="V739">
            <v>664</v>
          </cell>
          <cell r="W739" t="str">
            <v>Enam Ratus Enam Puluh Empat</v>
          </cell>
        </row>
        <row r="740">
          <cell r="V740">
            <v>665</v>
          </cell>
          <cell r="W740" t="str">
            <v>Enam Ratus Enam Puluh Lima</v>
          </cell>
        </row>
        <row r="741">
          <cell r="V741">
            <v>666</v>
          </cell>
          <cell r="W741" t="str">
            <v>Enam Ratus Enam Puluh Enam</v>
          </cell>
        </row>
        <row r="742">
          <cell r="V742">
            <v>667</v>
          </cell>
          <cell r="W742" t="str">
            <v>Enam Ratus Enam Puluh Tujuh</v>
          </cell>
        </row>
        <row r="743">
          <cell r="V743">
            <v>668</v>
          </cell>
          <cell r="W743" t="str">
            <v>Enam Ratus Enam Puluh Delapan</v>
          </cell>
        </row>
        <row r="744">
          <cell r="V744">
            <v>669</v>
          </cell>
          <cell r="W744" t="str">
            <v>Enam Ratus Enam Puluh Sembilan</v>
          </cell>
        </row>
        <row r="745">
          <cell r="V745">
            <v>670</v>
          </cell>
          <cell r="W745" t="str">
            <v>Enam Ratus Tujuh Puluh</v>
          </cell>
        </row>
        <row r="746">
          <cell r="V746">
            <v>671</v>
          </cell>
          <cell r="W746" t="str">
            <v>Enam Ratus Tujuh Puluh Satu</v>
          </cell>
        </row>
        <row r="747">
          <cell r="V747">
            <v>672</v>
          </cell>
          <cell r="W747" t="str">
            <v>Enam Ratus Tujuh Puluh Dua</v>
          </cell>
        </row>
        <row r="748">
          <cell r="V748">
            <v>673</v>
          </cell>
          <cell r="W748" t="str">
            <v>Enam Ratus Tujuh Puluh Tiga</v>
          </cell>
        </row>
        <row r="749">
          <cell r="V749">
            <v>674</v>
          </cell>
          <cell r="W749" t="str">
            <v>Enam Ratus Tujuh Puluh Empat</v>
          </cell>
        </row>
        <row r="750">
          <cell r="V750">
            <v>675</v>
          </cell>
          <cell r="W750" t="str">
            <v>Enam Ratus Tujuh Puluh Lima</v>
          </cell>
        </row>
        <row r="751">
          <cell r="V751">
            <v>676</v>
          </cell>
          <cell r="W751" t="str">
            <v>Enam Ratus Tujuh Puluh Enam</v>
          </cell>
        </row>
        <row r="752">
          <cell r="V752">
            <v>677</v>
          </cell>
          <cell r="W752" t="str">
            <v>Enam Ratus Tujuh Puluh Tujuh</v>
          </cell>
        </row>
        <row r="753">
          <cell r="V753">
            <v>678</v>
          </cell>
          <cell r="W753" t="str">
            <v>Enam Ratus Tujuh Puluh Delapan</v>
          </cell>
        </row>
        <row r="754">
          <cell r="V754">
            <v>679</v>
          </cell>
          <cell r="W754" t="str">
            <v>Enam Ratus Tujuh Puluh Sembilan</v>
          </cell>
        </row>
        <row r="755">
          <cell r="V755">
            <v>680</v>
          </cell>
          <cell r="W755" t="str">
            <v>Enam Ratus Delapan Puluh</v>
          </cell>
        </row>
        <row r="756">
          <cell r="V756">
            <v>681</v>
          </cell>
          <cell r="W756" t="str">
            <v>Enam Ratus Delapan Puluh Satu</v>
          </cell>
        </row>
        <row r="757">
          <cell r="V757">
            <v>682</v>
          </cell>
          <cell r="W757" t="str">
            <v>Enam Ratus Delapan Puluh Dua</v>
          </cell>
        </row>
        <row r="758">
          <cell r="V758">
            <v>683</v>
          </cell>
          <cell r="W758" t="str">
            <v>Enam Ratus Delapan Puluh Tiga</v>
          </cell>
        </row>
        <row r="759">
          <cell r="V759">
            <v>684</v>
          </cell>
          <cell r="W759" t="str">
            <v>Enam Ratus Delapan Puluh Empat</v>
          </cell>
        </row>
        <row r="760">
          <cell r="V760">
            <v>685</v>
          </cell>
          <cell r="W760" t="str">
            <v>Enam Ratus Delapan Puluh Lima</v>
          </cell>
        </row>
        <row r="761">
          <cell r="V761">
            <v>686</v>
          </cell>
          <cell r="W761" t="str">
            <v>Enam Ratus Delapan Puluh Enam</v>
          </cell>
        </row>
        <row r="762">
          <cell r="V762">
            <v>687</v>
          </cell>
          <cell r="W762" t="str">
            <v>Enam Ratus Delapan Puluh Tujuh</v>
          </cell>
        </row>
        <row r="763">
          <cell r="V763">
            <v>688</v>
          </cell>
          <cell r="W763" t="str">
            <v>Enam Ratus Delapan Puluh Delapan</v>
          </cell>
        </row>
        <row r="764">
          <cell r="V764">
            <v>689</v>
          </cell>
          <cell r="W764" t="str">
            <v>Enam Ratus Delapan Puluh Sembilan</v>
          </cell>
        </row>
        <row r="765">
          <cell r="V765">
            <v>690</v>
          </cell>
          <cell r="W765" t="str">
            <v>Enam Ratus Sembilan Puluh</v>
          </cell>
        </row>
        <row r="766">
          <cell r="V766">
            <v>691</v>
          </cell>
          <cell r="W766" t="str">
            <v>Enam Ratus Sembilan Puluh Satu</v>
          </cell>
        </row>
        <row r="767">
          <cell r="V767">
            <v>692</v>
          </cell>
          <cell r="W767" t="str">
            <v>Enam Ratus Sembilan Puluh Dua</v>
          </cell>
        </row>
        <row r="768">
          <cell r="V768">
            <v>693</v>
          </cell>
          <cell r="W768" t="str">
            <v>Enam Ratus Sembilan Puluh Tiga</v>
          </cell>
        </row>
        <row r="769">
          <cell r="V769">
            <v>694</v>
          </cell>
          <cell r="W769" t="str">
            <v>Enam Ratus Sembilan Puluh Empat</v>
          </cell>
        </row>
        <row r="770">
          <cell r="V770">
            <v>695</v>
          </cell>
          <cell r="W770" t="str">
            <v>Enam Ratus Sembilan Puluh Lima</v>
          </cell>
        </row>
        <row r="771">
          <cell r="V771">
            <v>696</v>
          </cell>
          <cell r="W771" t="str">
            <v>Enam Ratus Sembilan Puluh Enam</v>
          </cell>
        </row>
        <row r="772">
          <cell r="V772">
            <v>697</v>
          </cell>
          <cell r="W772" t="str">
            <v>Enam Ratus Sembilan Puluh Tujuh</v>
          </cell>
        </row>
        <row r="773">
          <cell r="V773">
            <v>698</v>
          </cell>
          <cell r="W773" t="str">
            <v>Enam Ratus Sembilan Puluh Delapan</v>
          </cell>
        </row>
        <row r="774">
          <cell r="V774">
            <v>699</v>
          </cell>
          <cell r="W774" t="str">
            <v>Enam Ratus Sembilan Puluh Sembilan</v>
          </cell>
        </row>
        <row r="775">
          <cell r="V775">
            <v>700</v>
          </cell>
          <cell r="W775" t="str">
            <v>Tujuh Ratus</v>
          </cell>
        </row>
        <row r="776">
          <cell r="V776">
            <v>701</v>
          </cell>
          <cell r="W776" t="str">
            <v>Tujuh Ratus Satu</v>
          </cell>
        </row>
        <row r="777">
          <cell r="V777">
            <v>702</v>
          </cell>
          <cell r="W777" t="str">
            <v>Tujuh Ratus Dua</v>
          </cell>
        </row>
        <row r="778">
          <cell r="V778">
            <v>703</v>
          </cell>
          <cell r="W778" t="str">
            <v>Tujuh Ratus Tiga</v>
          </cell>
        </row>
        <row r="779">
          <cell r="V779">
            <v>704</v>
          </cell>
          <cell r="W779" t="str">
            <v>Tujuh Ratus Empat</v>
          </cell>
        </row>
        <row r="780">
          <cell r="V780">
            <v>705</v>
          </cell>
          <cell r="W780" t="str">
            <v>Tujuh Ratus Lima</v>
          </cell>
        </row>
        <row r="781">
          <cell r="V781">
            <v>706</v>
          </cell>
          <cell r="W781" t="str">
            <v>Tujuh Ratus Enam</v>
          </cell>
        </row>
        <row r="782">
          <cell r="V782">
            <v>707</v>
          </cell>
          <cell r="W782" t="str">
            <v>Tujuh Ratus Tujuh</v>
          </cell>
        </row>
        <row r="783">
          <cell r="V783">
            <v>708</v>
          </cell>
          <cell r="W783" t="str">
            <v>Tujuh Ratus Delapan</v>
          </cell>
        </row>
        <row r="784">
          <cell r="V784">
            <v>709</v>
          </cell>
          <cell r="W784" t="str">
            <v>Tujuh Ratus Sembilan</v>
          </cell>
        </row>
        <row r="785">
          <cell r="V785">
            <v>710</v>
          </cell>
          <cell r="W785" t="str">
            <v>Tujuh Ratus Sepuluh</v>
          </cell>
        </row>
        <row r="786">
          <cell r="V786">
            <v>711</v>
          </cell>
          <cell r="W786" t="str">
            <v>Tujuh Ratus Sebelas</v>
          </cell>
        </row>
        <row r="787">
          <cell r="V787">
            <v>712</v>
          </cell>
          <cell r="W787" t="str">
            <v>Tujuh Ratus Dua Belas</v>
          </cell>
        </row>
        <row r="788">
          <cell r="V788">
            <v>713</v>
          </cell>
          <cell r="W788" t="str">
            <v>Tujuh Ratus Tiga Belas</v>
          </cell>
        </row>
        <row r="789">
          <cell r="V789">
            <v>714</v>
          </cell>
          <cell r="W789" t="str">
            <v>Tujuh Ratus Empat Belas</v>
          </cell>
        </row>
        <row r="790">
          <cell r="V790">
            <v>715</v>
          </cell>
          <cell r="W790" t="str">
            <v>Tujuh Ratus Lima Belas</v>
          </cell>
        </row>
        <row r="791">
          <cell r="V791">
            <v>716</v>
          </cell>
          <cell r="W791" t="str">
            <v>Tujuh Ratus Enam Belas</v>
          </cell>
        </row>
        <row r="792">
          <cell r="V792">
            <v>717</v>
          </cell>
          <cell r="W792" t="str">
            <v>Tujuh Ratus Tujuh Belas</v>
          </cell>
        </row>
        <row r="793">
          <cell r="V793">
            <v>718</v>
          </cell>
          <cell r="W793" t="str">
            <v>Tujuh Ratus Delapan Belas</v>
          </cell>
        </row>
        <row r="794">
          <cell r="V794">
            <v>719</v>
          </cell>
          <cell r="W794" t="str">
            <v>Tujuh Ratus Sembilan Belas</v>
          </cell>
        </row>
        <row r="795">
          <cell r="V795">
            <v>720</v>
          </cell>
          <cell r="W795" t="str">
            <v>Tujuh Ratus Dua Puluh</v>
          </cell>
        </row>
        <row r="796">
          <cell r="V796">
            <v>721</v>
          </cell>
          <cell r="W796" t="str">
            <v>Tujuh Ratus Dua Puluh Satu</v>
          </cell>
        </row>
        <row r="797">
          <cell r="V797">
            <v>722</v>
          </cell>
          <cell r="W797" t="str">
            <v>Tujuh Ratus Dua Puluh Dua</v>
          </cell>
        </row>
        <row r="798">
          <cell r="V798">
            <v>723</v>
          </cell>
          <cell r="W798" t="str">
            <v>Tujuh Ratus Dua Puluh Tiga</v>
          </cell>
        </row>
        <row r="799">
          <cell r="V799">
            <v>724</v>
          </cell>
          <cell r="W799" t="str">
            <v>Tujuh Ratus Dua Puluh Empat</v>
          </cell>
        </row>
        <row r="800">
          <cell r="V800">
            <v>725</v>
          </cell>
          <cell r="W800" t="str">
            <v>Tujuh Ratus Dua Puluh Lima</v>
          </cell>
        </row>
        <row r="801">
          <cell r="V801">
            <v>726</v>
          </cell>
          <cell r="W801" t="str">
            <v>Tujuh Ratus Dua Puluh Enam</v>
          </cell>
        </row>
        <row r="802">
          <cell r="V802">
            <v>727</v>
          </cell>
          <cell r="W802" t="str">
            <v>Tujuh Ratus Dua Puluh Tujuh</v>
          </cell>
        </row>
        <row r="803">
          <cell r="V803">
            <v>728</v>
          </cell>
          <cell r="W803" t="str">
            <v>Tujuh Ratus Dua Puluh Delapan</v>
          </cell>
        </row>
        <row r="804">
          <cell r="V804">
            <v>729</v>
          </cell>
          <cell r="W804" t="str">
            <v>Tujuh Ratus Dua Puluh Sembilan</v>
          </cell>
        </row>
        <row r="805">
          <cell r="V805">
            <v>730</v>
          </cell>
          <cell r="W805" t="str">
            <v>Tujuh Ratus Tiga Puluh</v>
          </cell>
        </row>
        <row r="806">
          <cell r="V806">
            <v>731</v>
          </cell>
          <cell r="W806" t="str">
            <v>Tujuh Ratus Tiga Puluh Satu</v>
          </cell>
        </row>
        <row r="807">
          <cell r="V807">
            <v>732</v>
          </cell>
          <cell r="W807" t="str">
            <v>Tujuh Ratus Tiga Puluh Dua</v>
          </cell>
        </row>
        <row r="808">
          <cell r="V808">
            <v>733</v>
          </cell>
          <cell r="W808" t="str">
            <v>Tujuh Ratus Tiga Puluh Tiga</v>
          </cell>
        </row>
        <row r="809">
          <cell r="V809">
            <v>734</v>
          </cell>
          <cell r="W809" t="str">
            <v>Tujuh Ratus Tiga Puluh Empat</v>
          </cell>
        </row>
        <row r="810">
          <cell r="V810">
            <v>735</v>
          </cell>
          <cell r="W810" t="str">
            <v>Tujuh Ratus Tiga Puluh Lima</v>
          </cell>
        </row>
        <row r="811">
          <cell r="V811">
            <v>736</v>
          </cell>
          <cell r="W811" t="str">
            <v>Tujuh Ratus Tiga Puluh Enam</v>
          </cell>
        </row>
        <row r="812">
          <cell r="V812">
            <v>737</v>
          </cell>
          <cell r="W812" t="str">
            <v>Tujuh Ratus Tiga Puluh Tujuh</v>
          </cell>
        </row>
        <row r="813">
          <cell r="V813">
            <v>738</v>
          </cell>
          <cell r="W813" t="str">
            <v>Tujuh Ratus Tiga Puluh Delapan</v>
          </cell>
        </row>
        <row r="814">
          <cell r="V814">
            <v>739</v>
          </cell>
          <cell r="W814" t="str">
            <v>Tujuh Ratus Tiga Puluh Sembilan</v>
          </cell>
        </row>
        <row r="815">
          <cell r="V815">
            <v>740</v>
          </cell>
          <cell r="W815" t="str">
            <v>Tujuh Ratus Empat Puluh</v>
          </cell>
        </row>
        <row r="816">
          <cell r="V816">
            <v>741</v>
          </cell>
          <cell r="W816" t="str">
            <v>Tujuh Ratus Empat Puluh Satu</v>
          </cell>
        </row>
        <row r="817">
          <cell r="V817">
            <v>742</v>
          </cell>
          <cell r="W817" t="str">
            <v>Tujuh Ratus Empat Puluh Dua</v>
          </cell>
        </row>
        <row r="818">
          <cell r="V818">
            <v>743</v>
          </cell>
          <cell r="W818" t="str">
            <v>Tujuh Ratus Empat Puluh Tiga</v>
          </cell>
        </row>
        <row r="819">
          <cell r="V819">
            <v>744</v>
          </cell>
          <cell r="W819" t="str">
            <v>Tujuh Ratus Empat Puluh Empat</v>
          </cell>
        </row>
        <row r="820">
          <cell r="V820">
            <v>745</v>
          </cell>
          <cell r="W820" t="str">
            <v>Tujuh Ratus Empat Puluh Lima</v>
          </cell>
        </row>
        <row r="821">
          <cell r="V821">
            <v>746</v>
          </cell>
          <cell r="W821" t="str">
            <v>Tujuh Ratus Empat Puluh Enam</v>
          </cell>
        </row>
        <row r="822">
          <cell r="V822">
            <v>747</v>
          </cell>
          <cell r="W822" t="str">
            <v>Tujuh Ratus Empat Puluh Tujuh</v>
          </cell>
        </row>
        <row r="823">
          <cell r="V823">
            <v>748</v>
          </cell>
          <cell r="W823" t="str">
            <v>Tujuh Ratus Empat Puluh Delapan</v>
          </cell>
        </row>
        <row r="824">
          <cell r="V824">
            <v>749</v>
          </cell>
          <cell r="W824" t="str">
            <v>Tujuh Ratus Empat Puluh Sembilan</v>
          </cell>
        </row>
        <row r="825">
          <cell r="V825">
            <v>750</v>
          </cell>
          <cell r="W825" t="str">
            <v>Tujuh Ratus Lima Puluh</v>
          </cell>
        </row>
        <row r="826">
          <cell r="V826">
            <v>751</v>
          </cell>
          <cell r="W826" t="str">
            <v>Tujuh Ratus Lima Puluh Satu</v>
          </cell>
        </row>
        <row r="827">
          <cell r="V827">
            <v>752</v>
          </cell>
          <cell r="W827" t="str">
            <v>Tujuh Ratus Lima Puluh Dua</v>
          </cell>
        </row>
        <row r="828">
          <cell r="V828">
            <v>753</v>
          </cell>
          <cell r="W828" t="str">
            <v>Tujuh Ratus Lima Puluh Tiga</v>
          </cell>
        </row>
        <row r="829">
          <cell r="V829">
            <v>754</v>
          </cell>
          <cell r="W829" t="str">
            <v>Tujuh Ratus Lima Puluh Empat</v>
          </cell>
        </row>
        <row r="830">
          <cell r="V830">
            <v>755</v>
          </cell>
          <cell r="W830" t="str">
            <v>Tujuh Ratus Lima Puluh Lima</v>
          </cell>
        </row>
        <row r="831">
          <cell r="V831">
            <v>756</v>
          </cell>
          <cell r="W831" t="str">
            <v>Tujuh Ratus Lima Puluh Enam</v>
          </cell>
        </row>
        <row r="832">
          <cell r="V832">
            <v>757</v>
          </cell>
          <cell r="W832" t="str">
            <v>Tujuh Ratus Lima Puluh Tujuh</v>
          </cell>
        </row>
        <row r="833">
          <cell r="V833">
            <v>758</v>
          </cell>
          <cell r="W833" t="str">
            <v>Tujuh Ratus Lima Puluh Delapan</v>
          </cell>
        </row>
        <row r="834">
          <cell r="V834">
            <v>759</v>
          </cell>
          <cell r="W834" t="str">
            <v>Tujuh Ratus Lima Puluh Sembilan</v>
          </cell>
        </row>
        <row r="835">
          <cell r="V835">
            <v>760</v>
          </cell>
          <cell r="W835" t="str">
            <v>Tujuh Ratus Enam Puluh</v>
          </cell>
        </row>
        <row r="836">
          <cell r="V836">
            <v>761</v>
          </cell>
          <cell r="W836" t="str">
            <v>Tujuh Ratus Enam Puluh Satu</v>
          </cell>
        </row>
        <row r="837">
          <cell r="V837">
            <v>762</v>
          </cell>
          <cell r="W837" t="str">
            <v>Tujuh Ratus Enam Puluh Dua</v>
          </cell>
        </row>
        <row r="838">
          <cell r="V838">
            <v>763</v>
          </cell>
          <cell r="W838" t="str">
            <v>Tujuh Ratus Enam Puluh Tiga</v>
          </cell>
        </row>
        <row r="839">
          <cell r="V839">
            <v>764</v>
          </cell>
          <cell r="W839" t="str">
            <v>Tujuh Ratus Enam Puluh Empat</v>
          </cell>
        </row>
        <row r="840">
          <cell r="V840">
            <v>765</v>
          </cell>
          <cell r="W840" t="str">
            <v>Tujuh Ratus Enam Puluh Lima</v>
          </cell>
        </row>
        <row r="841">
          <cell r="V841">
            <v>766</v>
          </cell>
          <cell r="W841" t="str">
            <v>Tujuh Ratus Enam Puluh Enam</v>
          </cell>
        </row>
        <row r="842">
          <cell r="V842">
            <v>767</v>
          </cell>
          <cell r="W842" t="str">
            <v>Tujuh Ratus Enam Puluh Tujuh</v>
          </cell>
        </row>
        <row r="843">
          <cell r="V843">
            <v>768</v>
          </cell>
          <cell r="W843" t="str">
            <v>Tujuh Ratus Enam Puluh Delapan</v>
          </cell>
        </row>
        <row r="844">
          <cell r="V844">
            <v>769</v>
          </cell>
          <cell r="W844" t="str">
            <v>Tujuh Ratus Enam Puluh Sembilan</v>
          </cell>
        </row>
        <row r="845">
          <cell r="V845">
            <v>770</v>
          </cell>
          <cell r="W845" t="str">
            <v>Tujuh Ratus Tujuh Puluh</v>
          </cell>
        </row>
        <row r="846">
          <cell r="V846">
            <v>771</v>
          </cell>
          <cell r="W846" t="str">
            <v>Tujuh Ratus Tujuh Puluh Satu</v>
          </cell>
        </row>
        <row r="847">
          <cell r="V847">
            <v>772</v>
          </cell>
          <cell r="W847" t="str">
            <v>Tujuh Ratus Tujuh Puluh Dua</v>
          </cell>
        </row>
        <row r="848">
          <cell r="V848">
            <v>773</v>
          </cell>
          <cell r="W848" t="str">
            <v>Tujuh Ratus Tujuh Puluh Tiga</v>
          </cell>
        </row>
        <row r="849">
          <cell r="V849">
            <v>774</v>
          </cell>
          <cell r="W849" t="str">
            <v>Tujuh Ratus Tujuh Puluh Empat</v>
          </cell>
        </row>
        <row r="850">
          <cell r="V850">
            <v>775</v>
          </cell>
          <cell r="W850" t="str">
            <v>Tujuh Ratus Tujuh Puluh Lima</v>
          </cell>
        </row>
        <row r="851">
          <cell r="V851">
            <v>776</v>
          </cell>
          <cell r="W851" t="str">
            <v>Tujuh Ratus Tujuh Puluh Enam</v>
          </cell>
        </row>
        <row r="852">
          <cell r="V852">
            <v>777</v>
          </cell>
          <cell r="W852" t="str">
            <v>Tujuh Ratus Tujuh Puluh Tujuh</v>
          </cell>
        </row>
        <row r="853">
          <cell r="V853">
            <v>778</v>
          </cell>
          <cell r="W853" t="str">
            <v>Tujuh Ratus Tujuh Puluh Delapan</v>
          </cell>
        </row>
        <row r="854">
          <cell r="V854">
            <v>779</v>
          </cell>
          <cell r="W854" t="str">
            <v>Tujuh Ratus Tujuh Puluh Sembilan</v>
          </cell>
        </row>
        <row r="855">
          <cell r="V855">
            <v>780</v>
          </cell>
          <cell r="W855" t="str">
            <v>Tujuh Ratus Delapan Puluh</v>
          </cell>
        </row>
        <row r="856">
          <cell r="V856">
            <v>781</v>
          </cell>
          <cell r="W856" t="str">
            <v>Tujuh Ratus Delapan Puluh Satu</v>
          </cell>
        </row>
        <row r="857">
          <cell r="V857">
            <v>782</v>
          </cell>
          <cell r="W857" t="str">
            <v>Tujuh Ratus Delapan Puluh Dua</v>
          </cell>
        </row>
        <row r="858">
          <cell r="V858">
            <v>783</v>
          </cell>
          <cell r="W858" t="str">
            <v>Tujuh Ratus Delapan Puluh Tiga</v>
          </cell>
        </row>
        <row r="859">
          <cell r="V859">
            <v>784</v>
          </cell>
          <cell r="W859" t="str">
            <v>Tujuh Ratus Delapan Puluh Empat</v>
          </cell>
        </row>
        <row r="860">
          <cell r="V860">
            <v>785</v>
          </cell>
          <cell r="W860" t="str">
            <v>Tujuh Ratus Delapan Puluh Lima</v>
          </cell>
        </row>
        <row r="861">
          <cell r="V861">
            <v>786</v>
          </cell>
          <cell r="W861" t="str">
            <v>Tujuh Ratus Delapan Puluh Enam</v>
          </cell>
        </row>
        <row r="862">
          <cell r="V862">
            <v>787</v>
          </cell>
          <cell r="W862" t="str">
            <v>Tujuh Ratus Delapan Puluh Tujuh</v>
          </cell>
        </row>
        <row r="863">
          <cell r="V863">
            <v>788</v>
          </cell>
          <cell r="W863" t="str">
            <v>Tujuh Ratus Delapan Puluh Delapan</v>
          </cell>
        </row>
        <row r="864">
          <cell r="V864">
            <v>789</v>
          </cell>
          <cell r="W864" t="str">
            <v>Tujuh Ratus Delapan Puluh Sembilan</v>
          </cell>
        </row>
        <row r="865">
          <cell r="V865">
            <v>790</v>
          </cell>
          <cell r="W865" t="str">
            <v>Tujuh Ratus Sembilan Puluh</v>
          </cell>
        </row>
        <row r="866">
          <cell r="V866">
            <v>791</v>
          </cell>
          <cell r="W866" t="str">
            <v>Tujuh Ratus Sembilan Puluh Satu</v>
          </cell>
        </row>
        <row r="867">
          <cell r="V867">
            <v>792</v>
          </cell>
          <cell r="W867" t="str">
            <v>Tujuh Ratus Sembilan Puluh Dua</v>
          </cell>
        </row>
        <row r="868">
          <cell r="V868">
            <v>793</v>
          </cell>
          <cell r="W868" t="str">
            <v>Tujuh Ratus Sembilan Puluh Tiga</v>
          </cell>
        </row>
        <row r="869">
          <cell r="V869">
            <v>794</v>
          </cell>
          <cell r="W869" t="str">
            <v>Tujuh Ratus Sembilan Puluh Empat</v>
          </cell>
        </row>
        <row r="870">
          <cell r="V870">
            <v>795</v>
          </cell>
          <cell r="W870" t="str">
            <v>Tujuh Ratus Sembilan Puluh Lima</v>
          </cell>
        </row>
        <row r="871">
          <cell r="V871">
            <v>796</v>
          </cell>
          <cell r="W871" t="str">
            <v>Tujuh Ratus Sembilan Puluh Enam</v>
          </cell>
        </row>
        <row r="872">
          <cell r="V872">
            <v>797</v>
          </cell>
          <cell r="W872" t="str">
            <v>Tujuh Ratus Sembilan Puluh Tujuh</v>
          </cell>
        </row>
        <row r="873">
          <cell r="V873">
            <v>798</v>
          </cell>
          <cell r="W873" t="str">
            <v>Tujuh Ratus Sembilan Puluh Delapan</v>
          </cell>
        </row>
        <row r="874">
          <cell r="V874">
            <v>799</v>
          </cell>
          <cell r="W874" t="str">
            <v>Tujuh Ratus Sembilan Puluh Sembilan</v>
          </cell>
        </row>
        <row r="875">
          <cell r="V875">
            <v>800</v>
          </cell>
          <cell r="W875" t="str">
            <v>Delapan Ratus</v>
          </cell>
        </row>
        <row r="876">
          <cell r="V876">
            <v>801</v>
          </cell>
          <cell r="W876" t="str">
            <v>Delapan Ratus Satu</v>
          </cell>
        </row>
        <row r="877">
          <cell r="V877">
            <v>802</v>
          </cell>
          <cell r="W877" t="str">
            <v>Delapan Ratus Dua</v>
          </cell>
        </row>
        <row r="878">
          <cell r="V878">
            <v>803</v>
          </cell>
          <cell r="W878" t="str">
            <v>Delapan Ratus Tiga</v>
          </cell>
        </row>
        <row r="879">
          <cell r="V879">
            <v>804</v>
          </cell>
          <cell r="W879" t="str">
            <v>Delapan Ratus Empat</v>
          </cell>
        </row>
        <row r="880">
          <cell r="V880">
            <v>805</v>
          </cell>
          <cell r="W880" t="str">
            <v>Delapan Ratus Lima</v>
          </cell>
        </row>
        <row r="881">
          <cell r="V881">
            <v>806</v>
          </cell>
          <cell r="W881" t="str">
            <v>Delapan Ratus Enam</v>
          </cell>
        </row>
        <row r="882">
          <cell r="V882">
            <v>807</v>
          </cell>
          <cell r="W882" t="str">
            <v>Delapan Ratus Tujuh</v>
          </cell>
        </row>
        <row r="883">
          <cell r="V883">
            <v>808</v>
          </cell>
          <cell r="W883" t="str">
            <v>Delapan Ratus Delapan</v>
          </cell>
        </row>
        <row r="884">
          <cell r="V884">
            <v>809</v>
          </cell>
          <cell r="W884" t="str">
            <v>Delapan Ratus Sembilan</v>
          </cell>
        </row>
        <row r="885">
          <cell r="V885">
            <v>810</v>
          </cell>
          <cell r="W885" t="str">
            <v>Delapan Ratus Sepuluh</v>
          </cell>
        </row>
        <row r="886">
          <cell r="V886">
            <v>811</v>
          </cell>
          <cell r="W886" t="str">
            <v>Delapan Ratus Sebelas</v>
          </cell>
        </row>
        <row r="887">
          <cell r="V887">
            <v>812</v>
          </cell>
          <cell r="W887" t="str">
            <v>Delapan Ratus Dua Belas</v>
          </cell>
        </row>
        <row r="888">
          <cell r="V888">
            <v>813</v>
          </cell>
          <cell r="W888" t="str">
            <v>Delapan Ratus Tiga Belas</v>
          </cell>
        </row>
        <row r="889">
          <cell r="V889">
            <v>814</v>
          </cell>
          <cell r="W889" t="str">
            <v>Delapan Ratus Empat Belas</v>
          </cell>
        </row>
        <row r="890">
          <cell r="V890">
            <v>815</v>
          </cell>
          <cell r="W890" t="str">
            <v>Delapan Ratus Lima Belas</v>
          </cell>
        </row>
        <row r="891">
          <cell r="V891">
            <v>816</v>
          </cell>
          <cell r="W891" t="str">
            <v>Delapan Ratus Enam Belas</v>
          </cell>
        </row>
        <row r="892">
          <cell r="V892">
            <v>817</v>
          </cell>
          <cell r="W892" t="str">
            <v>Delapan Ratus Tujuh Belas</v>
          </cell>
        </row>
        <row r="893">
          <cell r="V893">
            <v>818</v>
          </cell>
          <cell r="W893" t="str">
            <v>Delapan Ratus Delapan Belas</v>
          </cell>
        </row>
        <row r="894">
          <cell r="V894">
            <v>819</v>
          </cell>
          <cell r="W894" t="str">
            <v>Delapan Ratus Sembilan Belas</v>
          </cell>
        </row>
        <row r="895">
          <cell r="V895">
            <v>820</v>
          </cell>
          <cell r="W895" t="str">
            <v>Delapan Ratus Dua Puluh</v>
          </cell>
        </row>
        <row r="896">
          <cell r="V896">
            <v>821</v>
          </cell>
          <cell r="W896" t="str">
            <v>Delapan Ratus Dua Puluh Satu</v>
          </cell>
        </row>
        <row r="897">
          <cell r="V897">
            <v>822</v>
          </cell>
          <cell r="W897" t="str">
            <v>Delapan Ratus Dua Puluh Dua</v>
          </cell>
        </row>
        <row r="898">
          <cell r="V898">
            <v>823</v>
          </cell>
          <cell r="W898" t="str">
            <v>Delapan Ratus Dua Puluh Tiga</v>
          </cell>
        </row>
        <row r="899">
          <cell r="V899">
            <v>824</v>
          </cell>
          <cell r="W899" t="str">
            <v>Delapan Ratus Dua Puluh Empat</v>
          </cell>
        </row>
        <row r="900">
          <cell r="V900">
            <v>825</v>
          </cell>
          <cell r="W900" t="str">
            <v>Delapan Ratus Dua Puluh Lima</v>
          </cell>
        </row>
        <row r="901">
          <cell r="V901">
            <v>826</v>
          </cell>
          <cell r="W901" t="str">
            <v>Delapan Ratus Dua Puluh Enam</v>
          </cell>
        </row>
        <row r="902">
          <cell r="V902">
            <v>827</v>
          </cell>
          <cell r="W902" t="str">
            <v>Delapan Ratus Dua Puluh Tujuh</v>
          </cell>
        </row>
        <row r="903">
          <cell r="V903">
            <v>828</v>
          </cell>
          <cell r="W903" t="str">
            <v>Delapan Ratus Dua Puluh Delapan</v>
          </cell>
        </row>
        <row r="904">
          <cell r="V904">
            <v>829</v>
          </cell>
          <cell r="W904" t="str">
            <v>Delapan Ratus Dua Puluh Sembilan</v>
          </cell>
        </row>
        <row r="905">
          <cell r="V905">
            <v>830</v>
          </cell>
          <cell r="W905" t="str">
            <v>Delapan Ratus Tiga Puluh</v>
          </cell>
        </row>
        <row r="906">
          <cell r="V906">
            <v>831</v>
          </cell>
          <cell r="W906" t="str">
            <v>Delapan Ratus Tiga Puluh Satu</v>
          </cell>
        </row>
        <row r="907">
          <cell r="V907">
            <v>832</v>
          </cell>
          <cell r="W907" t="str">
            <v>Delapan Ratus Tiga Puluh Dua</v>
          </cell>
        </row>
        <row r="908">
          <cell r="V908">
            <v>833</v>
          </cell>
          <cell r="W908" t="str">
            <v>Delapan Ratus Tiga Puluh Tiga</v>
          </cell>
        </row>
        <row r="909">
          <cell r="V909">
            <v>834</v>
          </cell>
          <cell r="W909" t="str">
            <v>Delapan Ratus Tiga Puluh Empat</v>
          </cell>
        </row>
        <row r="910">
          <cell r="V910">
            <v>835</v>
          </cell>
          <cell r="W910" t="str">
            <v>Delapan Ratus Tiga Puluh Lima</v>
          </cell>
        </row>
        <row r="911">
          <cell r="V911">
            <v>836</v>
          </cell>
          <cell r="W911" t="str">
            <v>Delapan Ratus Tiga Puluh Enam</v>
          </cell>
        </row>
        <row r="912">
          <cell r="V912">
            <v>837</v>
          </cell>
          <cell r="W912" t="str">
            <v>Delapan Ratus Tiga Puluh Tujuh</v>
          </cell>
        </row>
        <row r="913">
          <cell r="V913">
            <v>838</v>
          </cell>
          <cell r="W913" t="str">
            <v>Delapan Ratus Tiga Puluh Delapan</v>
          </cell>
        </row>
        <row r="914">
          <cell r="V914">
            <v>839</v>
          </cell>
          <cell r="W914" t="str">
            <v>Delapan Ratus Tiga Puluh Sembilan</v>
          </cell>
        </row>
        <row r="915">
          <cell r="V915">
            <v>840</v>
          </cell>
          <cell r="W915" t="str">
            <v>Delapan Ratus Empat Puluh</v>
          </cell>
        </row>
        <row r="916">
          <cell r="V916">
            <v>841</v>
          </cell>
          <cell r="W916" t="str">
            <v>Delapan Ratus Empat Puluh Satu</v>
          </cell>
        </row>
        <row r="917">
          <cell r="V917">
            <v>842</v>
          </cell>
          <cell r="W917" t="str">
            <v>Delapan Ratus Empat Puluh Dua</v>
          </cell>
        </row>
        <row r="918">
          <cell r="V918">
            <v>843</v>
          </cell>
          <cell r="W918" t="str">
            <v>Delapan Ratus Empat Puluh Tiga</v>
          </cell>
        </row>
        <row r="919">
          <cell r="V919">
            <v>844</v>
          </cell>
          <cell r="W919" t="str">
            <v>Delapan Ratus Empat Puluh Empat</v>
          </cell>
        </row>
        <row r="920">
          <cell r="V920">
            <v>845</v>
          </cell>
          <cell r="W920" t="str">
            <v>Delapan Ratus Empat Puluh Lima</v>
          </cell>
        </row>
        <row r="921">
          <cell r="V921">
            <v>846</v>
          </cell>
          <cell r="W921" t="str">
            <v>Delapan Ratus Empat Puluh Enam</v>
          </cell>
        </row>
        <row r="922">
          <cell r="V922">
            <v>847</v>
          </cell>
          <cell r="W922" t="str">
            <v>Delapan Ratus Empat Puluh Tujuh</v>
          </cell>
        </row>
        <row r="923">
          <cell r="V923">
            <v>848</v>
          </cell>
          <cell r="W923" t="str">
            <v>Delapan Ratus Empat Puluh Delapan</v>
          </cell>
        </row>
        <row r="924">
          <cell r="V924">
            <v>849</v>
          </cell>
          <cell r="W924" t="str">
            <v>Delapan Ratus Empat Puluh Sembilan</v>
          </cell>
        </row>
        <row r="925">
          <cell r="V925">
            <v>850</v>
          </cell>
          <cell r="W925" t="str">
            <v>Delapan Ratus Lima Puluh</v>
          </cell>
        </row>
        <row r="926">
          <cell r="V926">
            <v>851</v>
          </cell>
          <cell r="W926" t="str">
            <v>Delapan Ratus Lima Puluh Satu</v>
          </cell>
        </row>
        <row r="927">
          <cell r="V927">
            <v>852</v>
          </cell>
          <cell r="W927" t="str">
            <v>Delapan Ratus Lima Puluh Dua</v>
          </cell>
        </row>
        <row r="928">
          <cell r="V928">
            <v>853</v>
          </cell>
          <cell r="W928" t="str">
            <v>Delapan Ratus Lima Puluh Tiga</v>
          </cell>
        </row>
        <row r="929">
          <cell r="V929">
            <v>854</v>
          </cell>
          <cell r="W929" t="str">
            <v>Delapan Ratus Lima Puluh Empat</v>
          </cell>
        </row>
        <row r="930">
          <cell r="V930">
            <v>855</v>
          </cell>
          <cell r="W930" t="str">
            <v>Delapan Ratus Lima Puluh Lima</v>
          </cell>
        </row>
        <row r="931">
          <cell r="V931">
            <v>856</v>
          </cell>
          <cell r="W931" t="str">
            <v>Delapan Ratus Lima Puluh Enam</v>
          </cell>
        </row>
        <row r="932">
          <cell r="V932">
            <v>857</v>
          </cell>
          <cell r="W932" t="str">
            <v>Delapan Ratus Lima Puluh Tujuh</v>
          </cell>
        </row>
        <row r="933">
          <cell r="V933">
            <v>858</v>
          </cell>
          <cell r="W933" t="str">
            <v>Delapan Ratus Lima Puluh Delapan</v>
          </cell>
        </row>
        <row r="934">
          <cell r="V934">
            <v>859</v>
          </cell>
          <cell r="W934" t="str">
            <v>Delapan Ratus Lima Puluh Sembilan</v>
          </cell>
        </row>
        <row r="935">
          <cell r="V935">
            <v>860</v>
          </cell>
          <cell r="W935" t="str">
            <v>Delapan Ratus Enam Puluh</v>
          </cell>
        </row>
        <row r="936">
          <cell r="V936">
            <v>861</v>
          </cell>
          <cell r="W936" t="str">
            <v>Delapan Ratus Enam Puluh Satu</v>
          </cell>
        </row>
        <row r="937">
          <cell r="V937">
            <v>862</v>
          </cell>
          <cell r="W937" t="str">
            <v>Delapan Ratus Enam Puluh Dua</v>
          </cell>
        </row>
        <row r="938">
          <cell r="V938">
            <v>863</v>
          </cell>
          <cell r="W938" t="str">
            <v>Delapan Ratus Enam Puluh Tiga</v>
          </cell>
        </row>
        <row r="939">
          <cell r="V939">
            <v>864</v>
          </cell>
          <cell r="W939" t="str">
            <v>Delapan Ratus Enam Puluh Empat</v>
          </cell>
        </row>
        <row r="940">
          <cell r="V940">
            <v>865</v>
          </cell>
          <cell r="W940" t="str">
            <v>Delapan Ratus Enam Puluh Lima</v>
          </cell>
        </row>
        <row r="941">
          <cell r="V941">
            <v>866</v>
          </cell>
          <cell r="W941" t="str">
            <v>Delapan Ratus Enam Puluh Enam</v>
          </cell>
        </row>
        <row r="942">
          <cell r="V942">
            <v>867</v>
          </cell>
          <cell r="W942" t="str">
            <v>Delapan Ratus Enam Puluh Tujuh</v>
          </cell>
        </row>
        <row r="943">
          <cell r="V943">
            <v>868</v>
          </cell>
          <cell r="W943" t="str">
            <v>Delapan Ratus Enam Puluh Delapan</v>
          </cell>
        </row>
        <row r="944">
          <cell r="V944">
            <v>869</v>
          </cell>
          <cell r="W944" t="str">
            <v>Delapan Ratus Enam Puluh Sembilan</v>
          </cell>
        </row>
        <row r="945">
          <cell r="V945">
            <v>870</v>
          </cell>
          <cell r="W945" t="str">
            <v>Delapan Ratus Tujuh Puluh</v>
          </cell>
        </row>
        <row r="946">
          <cell r="V946">
            <v>871</v>
          </cell>
          <cell r="W946" t="str">
            <v>Delapan Ratus Tujuh Puluh Satu</v>
          </cell>
        </row>
        <row r="947">
          <cell r="V947">
            <v>872</v>
          </cell>
          <cell r="W947" t="str">
            <v>Delapan Ratus Tujuh Puluh Dua</v>
          </cell>
        </row>
        <row r="948">
          <cell r="V948">
            <v>873</v>
          </cell>
          <cell r="W948" t="str">
            <v>Delapan Ratus Tujuh Puluh Tiga</v>
          </cell>
        </row>
        <row r="949">
          <cell r="V949">
            <v>874</v>
          </cell>
          <cell r="W949" t="str">
            <v>Delapan Ratus Tujuh Puluh Empat</v>
          </cell>
        </row>
        <row r="950">
          <cell r="V950">
            <v>875</v>
          </cell>
          <cell r="W950" t="str">
            <v>Delapan Ratus Tujuh Puluh Lima</v>
          </cell>
        </row>
        <row r="951">
          <cell r="V951">
            <v>876</v>
          </cell>
          <cell r="W951" t="str">
            <v>Delapan Ratus Tujuh Puluh Enam</v>
          </cell>
        </row>
        <row r="952">
          <cell r="V952">
            <v>877</v>
          </cell>
          <cell r="W952" t="str">
            <v>Delapan Ratus Tujuh Puluh Tujuh</v>
          </cell>
        </row>
        <row r="953">
          <cell r="V953">
            <v>878</v>
          </cell>
          <cell r="W953" t="str">
            <v>Delapan Ratus Tujuh Puluh Delapan</v>
          </cell>
        </row>
        <row r="954">
          <cell r="V954">
            <v>879</v>
          </cell>
          <cell r="W954" t="str">
            <v>Delapan Ratus Tujuh Puluh Sembilan</v>
          </cell>
        </row>
        <row r="955">
          <cell r="V955">
            <v>880</v>
          </cell>
          <cell r="W955" t="str">
            <v>Delapan Ratus Delapan Puluh</v>
          </cell>
        </row>
        <row r="956">
          <cell r="V956">
            <v>881</v>
          </cell>
          <cell r="W956" t="str">
            <v>Delapan Ratus Delapan Puluh Satu</v>
          </cell>
        </row>
        <row r="957">
          <cell r="V957">
            <v>882</v>
          </cell>
          <cell r="W957" t="str">
            <v>Delapan Ratus Delapan Puluh Dua</v>
          </cell>
        </row>
        <row r="958">
          <cell r="V958">
            <v>883</v>
          </cell>
          <cell r="W958" t="str">
            <v>Delapan Ratus Delapan Puluh Tiga</v>
          </cell>
        </row>
        <row r="959">
          <cell r="V959">
            <v>884</v>
          </cell>
          <cell r="W959" t="str">
            <v>Delapan Ratus Delapan Puluh Empat</v>
          </cell>
        </row>
        <row r="960">
          <cell r="V960">
            <v>885</v>
          </cell>
          <cell r="W960" t="str">
            <v>Delapan Ratus Delapan Puluh Lima</v>
          </cell>
        </row>
        <row r="961">
          <cell r="V961">
            <v>886</v>
          </cell>
          <cell r="W961" t="str">
            <v>Delapan Ratus Delapan Puluh Enam</v>
          </cell>
        </row>
        <row r="962">
          <cell r="V962">
            <v>887</v>
          </cell>
          <cell r="W962" t="str">
            <v>Delapan Ratus Delapan Puluh Tujuh</v>
          </cell>
        </row>
        <row r="963">
          <cell r="V963">
            <v>888</v>
          </cell>
          <cell r="W963" t="str">
            <v>Delapan Ratus Delapan Puluh Delapan</v>
          </cell>
        </row>
        <row r="964">
          <cell r="V964">
            <v>889</v>
          </cell>
          <cell r="W964" t="str">
            <v>Delapan Ratus Delapan Puluh Sembilan</v>
          </cell>
        </row>
        <row r="965">
          <cell r="V965">
            <v>890</v>
          </cell>
          <cell r="W965" t="str">
            <v>Delapan Ratus Sembilan Puluh</v>
          </cell>
        </row>
        <row r="966">
          <cell r="V966">
            <v>891</v>
          </cell>
          <cell r="W966" t="str">
            <v>Delapan Ratus Sembilan Puluh Satu</v>
          </cell>
        </row>
        <row r="967">
          <cell r="V967">
            <v>892</v>
          </cell>
          <cell r="W967" t="str">
            <v>Delapan Ratus Sembilan Puluh Dua</v>
          </cell>
        </row>
        <row r="968">
          <cell r="V968">
            <v>893</v>
          </cell>
          <cell r="W968" t="str">
            <v>Delapan Ratus Sembilan Puluh Tiga</v>
          </cell>
        </row>
        <row r="969">
          <cell r="V969">
            <v>894</v>
          </cell>
          <cell r="W969" t="str">
            <v>Delapan Ratus Sembilan Puluh Empat</v>
          </cell>
        </row>
        <row r="970">
          <cell r="V970">
            <v>895</v>
          </cell>
          <cell r="W970" t="str">
            <v>Delapan Ratus Sembilan Puluh Lima</v>
          </cell>
        </row>
        <row r="971">
          <cell r="V971">
            <v>896</v>
          </cell>
          <cell r="W971" t="str">
            <v>Delapan Ratus Sembilan Puluh Enam</v>
          </cell>
        </row>
        <row r="972">
          <cell r="V972">
            <v>897</v>
          </cell>
          <cell r="W972" t="str">
            <v>Delapan Ratus Sembilan Puluh Tujuh</v>
          </cell>
        </row>
        <row r="973">
          <cell r="V973">
            <v>898</v>
          </cell>
          <cell r="W973" t="str">
            <v>Delapan Ratus Sembilan Puluh Delapan</v>
          </cell>
        </row>
        <row r="974">
          <cell r="V974">
            <v>899</v>
          </cell>
          <cell r="W974" t="str">
            <v>Delapan Ratus Sembilan Puluh Sembilan</v>
          </cell>
        </row>
        <row r="975">
          <cell r="V975">
            <v>900</v>
          </cell>
          <cell r="W975" t="str">
            <v>Sembilan Ratus</v>
          </cell>
        </row>
        <row r="976">
          <cell r="V976">
            <v>901</v>
          </cell>
          <cell r="W976" t="str">
            <v>Sembilan Ratus Satu</v>
          </cell>
        </row>
        <row r="977">
          <cell r="V977">
            <v>902</v>
          </cell>
          <cell r="W977" t="str">
            <v>Sembilan Ratus Dua</v>
          </cell>
        </row>
        <row r="978">
          <cell r="V978">
            <v>903</v>
          </cell>
          <cell r="W978" t="str">
            <v>Sembilan Ratus Tiga</v>
          </cell>
        </row>
        <row r="979">
          <cell r="V979">
            <v>904</v>
          </cell>
          <cell r="W979" t="str">
            <v>Sembilan Ratus Empat</v>
          </cell>
        </row>
        <row r="980">
          <cell r="V980">
            <v>905</v>
          </cell>
          <cell r="W980" t="str">
            <v>Sembilan Ratus Lima</v>
          </cell>
        </row>
        <row r="981">
          <cell r="V981">
            <v>906</v>
          </cell>
          <cell r="W981" t="str">
            <v>Sembilan Ratus Enam</v>
          </cell>
        </row>
        <row r="982">
          <cell r="V982">
            <v>907</v>
          </cell>
          <cell r="W982" t="str">
            <v>Sembilan Ratus Tujuh</v>
          </cell>
        </row>
        <row r="983">
          <cell r="V983">
            <v>908</v>
          </cell>
          <cell r="W983" t="str">
            <v>Sembilan Ratus Delapan</v>
          </cell>
        </row>
        <row r="984">
          <cell r="V984">
            <v>909</v>
          </cell>
          <cell r="W984" t="str">
            <v>Sembilan Ratus Sembilan</v>
          </cell>
        </row>
        <row r="985">
          <cell r="V985">
            <v>910</v>
          </cell>
          <cell r="W985" t="str">
            <v>Sembilan Ratus Sepuluh</v>
          </cell>
        </row>
        <row r="986">
          <cell r="V986">
            <v>911</v>
          </cell>
          <cell r="W986" t="str">
            <v>Sembilan Ratus Sebelas</v>
          </cell>
        </row>
        <row r="987">
          <cell r="V987">
            <v>912</v>
          </cell>
          <cell r="W987" t="str">
            <v>Sembilan Ratus Dua Belas</v>
          </cell>
        </row>
        <row r="988">
          <cell r="V988">
            <v>913</v>
          </cell>
          <cell r="W988" t="str">
            <v>Sembilan Ratus Tiga Belas</v>
          </cell>
        </row>
        <row r="989">
          <cell r="V989">
            <v>914</v>
          </cell>
          <cell r="W989" t="str">
            <v>Sembilan Ratus Empat Belas</v>
          </cell>
        </row>
        <row r="990">
          <cell r="V990">
            <v>915</v>
          </cell>
          <cell r="W990" t="str">
            <v>Sembilan Ratus Lima Belas</v>
          </cell>
        </row>
        <row r="991">
          <cell r="V991">
            <v>916</v>
          </cell>
          <cell r="W991" t="str">
            <v>Sembilan Ratus Enam Belas</v>
          </cell>
        </row>
        <row r="992">
          <cell r="V992">
            <v>917</v>
          </cell>
          <cell r="W992" t="str">
            <v>Sembilan Ratus Tujuh Belas</v>
          </cell>
        </row>
        <row r="993">
          <cell r="V993">
            <v>918</v>
          </cell>
          <cell r="W993" t="str">
            <v>Sembilan Ratus Delapan Belas</v>
          </cell>
        </row>
        <row r="994">
          <cell r="V994">
            <v>919</v>
          </cell>
          <cell r="W994" t="str">
            <v>Sembilan Ratus Sembilan Belas</v>
          </cell>
        </row>
        <row r="995">
          <cell r="V995">
            <v>920</v>
          </cell>
          <cell r="W995" t="str">
            <v>Sembilan Ratus Dua Puluh</v>
          </cell>
        </row>
        <row r="996">
          <cell r="V996">
            <v>921</v>
          </cell>
          <cell r="W996" t="str">
            <v>Sembilan Ratus Dua Puluh Satu</v>
          </cell>
        </row>
        <row r="997">
          <cell r="V997">
            <v>922</v>
          </cell>
          <cell r="W997" t="str">
            <v>Sembilan Ratus Dua Puluh Dua</v>
          </cell>
        </row>
        <row r="998">
          <cell r="V998">
            <v>923</v>
          </cell>
          <cell r="W998" t="str">
            <v>Sembilan Ratus Dua Puluh Tiga</v>
          </cell>
        </row>
        <row r="999">
          <cell r="V999">
            <v>924</v>
          </cell>
          <cell r="W999" t="str">
            <v>Sembilan Ratus Dua Puluh Empat</v>
          </cell>
        </row>
        <row r="1000">
          <cell r="V1000">
            <v>925</v>
          </cell>
          <cell r="W1000" t="str">
            <v>Sembilan Ratus Dua Puluh Lima</v>
          </cell>
        </row>
        <row r="1001">
          <cell r="V1001">
            <v>926</v>
          </cell>
          <cell r="W1001" t="str">
            <v>Sembilan Ratus Dua Puluh Enam</v>
          </cell>
        </row>
        <row r="1002">
          <cell r="V1002">
            <v>927</v>
          </cell>
          <cell r="W1002" t="str">
            <v>Sembilan Ratus Dua Puluh Tujuh</v>
          </cell>
        </row>
        <row r="1003">
          <cell r="V1003">
            <v>928</v>
          </cell>
          <cell r="W1003" t="str">
            <v>Sembilan Ratus Dua Puluh Delapan</v>
          </cell>
        </row>
        <row r="1004">
          <cell r="V1004">
            <v>929</v>
          </cell>
          <cell r="W1004" t="str">
            <v>Sembilan Ratus Dua Puluh Sembilan</v>
          </cell>
        </row>
        <row r="1005">
          <cell r="V1005">
            <v>930</v>
          </cell>
          <cell r="W1005" t="str">
            <v>Sembilan Ratus Tiga Puluh</v>
          </cell>
        </row>
        <row r="1006">
          <cell r="V1006">
            <v>931</v>
          </cell>
          <cell r="W1006" t="str">
            <v>Sembilan Ratus Tiga Puluh Satu</v>
          </cell>
        </row>
        <row r="1007">
          <cell r="V1007">
            <v>932</v>
          </cell>
          <cell r="W1007" t="str">
            <v>Sembilan Ratus Tiga Puluh Dua</v>
          </cell>
        </row>
        <row r="1008">
          <cell r="V1008">
            <v>933</v>
          </cell>
          <cell r="W1008" t="str">
            <v>Sembilan Ratus Tiga Puluh Tiga</v>
          </cell>
        </row>
        <row r="1009">
          <cell r="V1009">
            <v>934</v>
          </cell>
          <cell r="W1009" t="str">
            <v>Sembilan Ratus Tiga Puluh Empat</v>
          </cell>
        </row>
        <row r="1010">
          <cell r="V1010">
            <v>935</v>
          </cell>
          <cell r="W1010" t="str">
            <v>Sembilan Ratus Tiga Puluh Lima</v>
          </cell>
        </row>
        <row r="1011">
          <cell r="V1011">
            <v>936</v>
          </cell>
          <cell r="W1011" t="str">
            <v>Sembilan Ratus Tiga Puluh Enam</v>
          </cell>
        </row>
        <row r="1012">
          <cell r="V1012">
            <v>937</v>
          </cell>
          <cell r="W1012" t="str">
            <v>Sembilan Ratus Tiga Puluh Tujuh</v>
          </cell>
        </row>
        <row r="1013">
          <cell r="V1013">
            <v>938</v>
          </cell>
          <cell r="W1013" t="str">
            <v>Sembilan Ratus Tiga Puluh Delapan</v>
          </cell>
        </row>
        <row r="1014">
          <cell r="V1014">
            <v>939</v>
          </cell>
          <cell r="W1014" t="str">
            <v>Sembilan Ratus Tiga Puluh Sembilan</v>
          </cell>
        </row>
        <row r="1015">
          <cell r="V1015">
            <v>940</v>
          </cell>
          <cell r="W1015" t="str">
            <v>Sembilan Ratus Empat Puluh</v>
          </cell>
        </row>
        <row r="1016">
          <cell r="V1016">
            <v>941</v>
          </cell>
          <cell r="W1016" t="str">
            <v>Sembilan Ratus Empat Puluh Satu</v>
          </cell>
        </row>
        <row r="1017">
          <cell r="V1017">
            <v>942</v>
          </cell>
          <cell r="W1017" t="str">
            <v>Sembilan Ratus Empat Puluh Dua</v>
          </cell>
        </row>
        <row r="1018">
          <cell r="V1018">
            <v>943</v>
          </cell>
          <cell r="W1018" t="str">
            <v>Sembilan Ratus Empat Puluh Tiga</v>
          </cell>
        </row>
        <row r="1019">
          <cell r="V1019">
            <v>944</v>
          </cell>
          <cell r="W1019" t="str">
            <v>Sembilan Ratus Empat Puluh Empat</v>
          </cell>
        </row>
        <row r="1020">
          <cell r="V1020">
            <v>945</v>
          </cell>
          <cell r="W1020" t="str">
            <v>Sembilan Ratus Empat Puluh Lima</v>
          </cell>
        </row>
        <row r="1021">
          <cell r="V1021">
            <v>946</v>
          </cell>
          <cell r="W1021" t="str">
            <v>Sembilan Ratus Empat Puluh Enam</v>
          </cell>
        </row>
        <row r="1022">
          <cell r="V1022">
            <v>947</v>
          </cell>
          <cell r="W1022" t="str">
            <v>Sembilan Ratus Empat Puluh Tujuh</v>
          </cell>
        </row>
        <row r="1023">
          <cell r="V1023">
            <v>948</v>
          </cell>
          <cell r="W1023" t="str">
            <v>Sembilan Ratus Empat Puluh Delapan</v>
          </cell>
        </row>
        <row r="1024">
          <cell r="V1024">
            <v>949</v>
          </cell>
          <cell r="W1024" t="str">
            <v>Sembilan Ratus Empat Puluh Sembilan</v>
          </cell>
        </row>
        <row r="1025">
          <cell r="V1025">
            <v>950</v>
          </cell>
          <cell r="W1025" t="str">
            <v>Sembilan Ratus Lima Puluh</v>
          </cell>
        </row>
        <row r="1026">
          <cell r="V1026">
            <v>951</v>
          </cell>
          <cell r="W1026" t="str">
            <v>Sembilan Ratus Lima Puluh Satu</v>
          </cell>
        </row>
        <row r="1027">
          <cell r="V1027">
            <v>952</v>
          </cell>
          <cell r="W1027" t="str">
            <v>Sembilan Ratus Lima Puluh Dua</v>
          </cell>
        </row>
        <row r="1028">
          <cell r="V1028">
            <v>953</v>
          </cell>
          <cell r="W1028" t="str">
            <v>Sembilan Ratus Lima Puluh Tiga</v>
          </cell>
        </row>
        <row r="1029">
          <cell r="V1029">
            <v>954</v>
          </cell>
          <cell r="W1029" t="str">
            <v>Sembilan Ratus Lima Puluh Empat</v>
          </cell>
        </row>
        <row r="1030">
          <cell r="V1030">
            <v>955</v>
          </cell>
          <cell r="W1030" t="str">
            <v>Sembilan Ratus Lima Puluh Lima</v>
          </cell>
        </row>
        <row r="1031">
          <cell r="V1031">
            <v>956</v>
          </cell>
          <cell r="W1031" t="str">
            <v>Sembilan Ratus Lima Puluh Enam</v>
          </cell>
        </row>
        <row r="1032">
          <cell r="V1032">
            <v>957</v>
          </cell>
          <cell r="W1032" t="str">
            <v>Sembilan Ratus Lima Puluh Tujuh</v>
          </cell>
        </row>
        <row r="1033">
          <cell r="V1033">
            <v>958</v>
          </cell>
          <cell r="W1033" t="str">
            <v>Sembilan Ratus Lima Puluh Delapan</v>
          </cell>
        </row>
        <row r="1034">
          <cell r="V1034">
            <v>959</v>
          </cell>
          <cell r="W1034" t="str">
            <v>Sembilan Ratus Lima Puluh Sembilan</v>
          </cell>
        </row>
        <row r="1035">
          <cell r="V1035">
            <v>960</v>
          </cell>
          <cell r="W1035" t="str">
            <v>Sembilan Ratus Enam Puluh</v>
          </cell>
        </row>
        <row r="1036">
          <cell r="V1036">
            <v>961</v>
          </cell>
          <cell r="W1036" t="str">
            <v>Sembilan Ratus Enam Puluh Satu</v>
          </cell>
        </row>
        <row r="1037">
          <cell r="V1037">
            <v>962</v>
          </cell>
          <cell r="W1037" t="str">
            <v>Sembilan Ratus Enam Puluh Dua</v>
          </cell>
        </row>
        <row r="1038">
          <cell r="V1038">
            <v>963</v>
          </cell>
          <cell r="W1038" t="str">
            <v>Sembilan Ratus Enam Puluh Tiga</v>
          </cell>
        </row>
        <row r="1039">
          <cell r="V1039">
            <v>964</v>
          </cell>
          <cell r="W1039" t="str">
            <v>Sembilan Ratus Enam Puluh Empat</v>
          </cell>
        </row>
        <row r="1040">
          <cell r="V1040">
            <v>965</v>
          </cell>
          <cell r="W1040" t="str">
            <v>Sembilan Ratus Enam Puluh Lima</v>
          </cell>
        </row>
        <row r="1041">
          <cell r="V1041">
            <v>966</v>
          </cell>
          <cell r="W1041" t="str">
            <v>Sembilan Ratus Enam Puluh Enam</v>
          </cell>
        </row>
        <row r="1042">
          <cell r="V1042">
            <v>967</v>
          </cell>
          <cell r="W1042" t="str">
            <v>Sembilan Ratus Enam Puluh Tujuh</v>
          </cell>
        </row>
        <row r="1043">
          <cell r="V1043">
            <v>968</v>
          </cell>
          <cell r="W1043" t="str">
            <v>Sembilan Ratus Enam Puluh Delapan</v>
          </cell>
        </row>
        <row r="1044">
          <cell r="V1044">
            <v>969</v>
          </cell>
          <cell r="W1044" t="str">
            <v>Sembilan Ratus Enam Puluh Sembilan</v>
          </cell>
        </row>
        <row r="1045">
          <cell r="V1045">
            <v>970</v>
          </cell>
          <cell r="W1045" t="str">
            <v>Sembilan Ratus Tujuh Puluh</v>
          </cell>
        </row>
        <row r="1046">
          <cell r="V1046">
            <v>971</v>
          </cell>
          <cell r="W1046" t="str">
            <v>Sembilan Ratus Tujuh Puluh Satu</v>
          </cell>
        </row>
        <row r="1047">
          <cell r="V1047">
            <v>972</v>
          </cell>
          <cell r="W1047" t="str">
            <v>Sembilan Ratus Tujuh Puluh Dua</v>
          </cell>
        </row>
        <row r="1048">
          <cell r="V1048">
            <v>973</v>
          </cell>
          <cell r="W1048" t="str">
            <v>Sembilan Ratus Tujuh Puluh Tiga</v>
          </cell>
        </row>
        <row r="1049">
          <cell r="V1049">
            <v>974</v>
          </cell>
          <cell r="W1049" t="str">
            <v>Sembilan Ratus Tujuh Puluh Empat</v>
          </cell>
        </row>
        <row r="1050">
          <cell r="V1050">
            <v>975</v>
          </cell>
          <cell r="W1050" t="str">
            <v>Sembilan Ratus Tujuh Puluh Lima</v>
          </cell>
        </row>
        <row r="1051">
          <cell r="V1051">
            <v>976</v>
          </cell>
          <cell r="W1051" t="str">
            <v>Sembilan Ratus Tujuh Puluh Enam</v>
          </cell>
        </row>
        <row r="1052">
          <cell r="V1052">
            <v>977</v>
          </cell>
          <cell r="W1052" t="str">
            <v>Sembilan Ratus Tujuh Puluh Tujuh</v>
          </cell>
        </row>
        <row r="1053">
          <cell r="V1053">
            <v>978</v>
          </cell>
          <cell r="W1053" t="str">
            <v>Sembilan Ratus Tujuh Puluh Delapan</v>
          </cell>
        </row>
        <row r="1054">
          <cell r="V1054">
            <v>979</v>
          </cell>
          <cell r="W1054" t="str">
            <v>Sembilan Ratus Tujuh Puluh Sembilan</v>
          </cell>
        </row>
        <row r="1055">
          <cell r="V1055">
            <v>980</v>
          </cell>
          <cell r="W1055" t="str">
            <v>Sembilan Ratus Delapan Puluh</v>
          </cell>
        </row>
        <row r="1056">
          <cell r="V1056">
            <v>981</v>
          </cell>
          <cell r="W1056" t="str">
            <v>Sembilan Ratus Delapan Puluh Satu</v>
          </cell>
        </row>
        <row r="1057">
          <cell r="V1057">
            <v>982</v>
          </cell>
          <cell r="W1057" t="str">
            <v>Sembilan Ratus Delapan Puluh Dua</v>
          </cell>
        </row>
        <row r="1058">
          <cell r="V1058">
            <v>983</v>
          </cell>
          <cell r="W1058" t="str">
            <v>Sembilan Ratus Delapan Puluh Tiga</v>
          </cell>
        </row>
        <row r="1059">
          <cell r="V1059">
            <v>984</v>
          </cell>
          <cell r="W1059" t="str">
            <v>Sembilan Ratus Delapan Puluh Empat</v>
          </cell>
        </row>
        <row r="1060">
          <cell r="V1060">
            <v>985</v>
          </cell>
          <cell r="W1060" t="str">
            <v>Sembilan Ratus Delapan Puluh Lima</v>
          </cell>
        </row>
        <row r="1061">
          <cell r="V1061">
            <v>986</v>
          </cell>
          <cell r="W1061" t="str">
            <v>Sembilan Ratus Delapan Puluh Enam</v>
          </cell>
        </row>
        <row r="1062">
          <cell r="V1062">
            <v>987</v>
          </cell>
          <cell r="W1062" t="str">
            <v>Sembilan Ratus Delapan Puluh Tujuh</v>
          </cell>
        </row>
        <row r="1063">
          <cell r="V1063">
            <v>988</v>
          </cell>
          <cell r="W1063" t="str">
            <v>Sembilan Ratus Delapan Puluh Delapan</v>
          </cell>
        </row>
        <row r="1064">
          <cell r="V1064">
            <v>989</v>
          </cell>
          <cell r="W1064" t="str">
            <v>Sembilan Ratus Delapan Puluh Sembilan</v>
          </cell>
        </row>
        <row r="1065">
          <cell r="V1065">
            <v>990</v>
          </cell>
          <cell r="W1065" t="str">
            <v>Sembilan Ratus Sembilan Puluh</v>
          </cell>
        </row>
        <row r="1066">
          <cell r="V1066">
            <v>991</v>
          </cell>
          <cell r="W1066" t="str">
            <v>Sembilan Ratus Sembilan Puluh Satu</v>
          </cell>
        </row>
        <row r="1067">
          <cell r="V1067">
            <v>992</v>
          </cell>
          <cell r="W1067" t="str">
            <v>Sembilan Ratus Sembilan Puluh Dua</v>
          </cell>
        </row>
        <row r="1068">
          <cell r="V1068">
            <v>993</v>
          </cell>
          <cell r="W1068" t="str">
            <v>Sembilan Ratus Sembilan Puluh Tiga</v>
          </cell>
        </row>
        <row r="1069">
          <cell r="V1069">
            <v>994</v>
          </cell>
          <cell r="W1069" t="str">
            <v>Sembilan Ratus Sembilan Puluh Empat</v>
          </cell>
        </row>
        <row r="1070">
          <cell r="V1070">
            <v>995</v>
          </cell>
          <cell r="W1070" t="str">
            <v>Sembilan Ratus Sembilan Puluh Lima</v>
          </cell>
        </row>
        <row r="1071">
          <cell r="V1071">
            <v>996</v>
          </cell>
          <cell r="W1071" t="str">
            <v>Sembilan Ratus Sembilan Puluh Enam</v>
          </cell>
        </row>
        <row r="1072">
          <cell r="V1072">
            <v>997</v>
          </cell>
          <cell r="W1072" t="str">
            <v>Sembilan Ratus Sembilan Puluh Tujuh</v>
          </cell>
        </row>
        <row r="1073">
          <cell r="V1073">
            <v>998</v>
          </cell>
          <cell r="W1073" t="str">
            <v>Sembilan Ratus Sembilan Puluh Delapan</v>
          </cell>
        </row>
        <row r="1074">
          <cell r="V1074">
            <v>999</v>
          </cell>
          <cell r="W1074" t="str">
            <v>Sembilan Ratus Sembilan Puluh Sembilan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cover ANALISA"/>
      <sheetName val="Harsat Upah"/>
      <sheetName val="Harsat Bahan 2012"/>
      <sheetName val="Analisa"/>
      <sheetName val="Harsat Pekerjaan"/>
      <sheetName val="SHT Survey Agst 2011  PRINT"/>
      <sheetName val="Perhit Beton"/>
      <sheetName val="Perhitungan Besi"/>
      <sheetName val="Pedoman Pagar"/>
      <sheetName val="Pedoman Harga Satuan M2"/>
      <sheetName val="Penggunaan Bahan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9">
          <cell r="E9">
            <v>35000</v>
          </cell>
        </row>
        <row r="12">
          <cell r="E12">
            <v>40000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. Harga Satuan"/>
      <sheetName val="B.Rekap Harga Analisa"/>
      <sheetName val="C. Analisa "/>
      <sheetName val="RAB klmpok Tani Mekar ok "/>
      <sheetName val="RAB klmpok tani trikarya 0k"/>
      <sheetName val="RAB klmpok Agung Bakti ok"/>
      <sheetName val="RAB Pipa"/>
      <sheetName val="Rab"/>
      <sheetName val="bahan survei"/>
      <sheetName val="data survei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11"/>
      <sheetName val="RAB TAMBAH KRNG (2)"/>
      <sheetName val="REKAP11"/>
      <sheetName val="m10"/>
      <sheetName val="SC"/>
      <sheetName val="m11"/>
      <sheetName val="BAHAN"/>
      <sheetName val="ANALISA"/>
      <sheetName val="REKAP"/>
      <sheetName val="RAB"/>
      <sheetName val="REKAPITULASI BIAYA"/>
      <sheetName val="RAB TAMBAH KRNG"/>
      <sheetName val="REKAPITULASI TBH KRNG"/>
      <sheetName val="cek list"/>
      <sheetName val="mggu 1"/>
      <sheetName val="mggu 2"/>
      <sheetName val="mggu 3"/>
      <sheetName val="mggu 4"/>
      <sheetName val="mggu 5"/>
      <sheetName val="mggu 6"/>
      <sheetName val="mggu 7"/>
      <sheetName val="mggu 8"/>
      <sheetName val="mggu 9"/>
      <sheetName val="mggu 10"/>
      <sheetName val="mggu 11"/>
      <sheetName val="mggu 12"/>
      <sheetName val="RAB TAMBAH KRNG (3)"/>
      <sheetName val="REKAP11 (2)"/>
      <sheetName val="mggu 8 (2)"/>
      <sheetName val="REKAP11 (3)"/>
      <sheetName val="Pipe"/>
      <sheetName val="Elektrikal"/>
      <sheetName val="Agregat Halus &amp; Kasar"/>
      <sheetName val="rab me (by owner) "/>
      <sheetName val="BQ (by owner)"/>
      <sheetName val="rab me (fisik)"/>
      <sheetName val="ANALISA PEK.UMUM"/>
      <sheetName val="Daftar Harga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k UP PKL"/>
      <sheetName val="Back UP JPO"/>
      <sheetName val="Hitungan"/>
      <sheetName val="Berat Besi"/>
      <sheetName val="DEV.6"/>
      <sheetName val="Galian alat berat"/>
      <sheetName val="Timbunan Tanah Pilihan"/>
      <sheetName val="kansteen"/>
      <sheetName val="bongkaran Paving"/>
      <sheetName val="Dev.2.3(1.h)"/>
      <sheetName val="DEV.3"/>
      <sheetName val="REKAP HPS"/>
      <sheetName val="LAMPIRAN HPS"/>
      <sheetName val="REKAP ANALISA PEK"/>
      <sheetName val="SMKK"/>
      <sheetName val="BACKUP VOLUME"/>
      <sheetName val="AHSP"/>
      <sheetName val="ANALISA BOR HORIZONTAL"/>
      <sheetName val="HARGA UPAH"/>
      <sheetName val="HARGA BAHAN &amp; ALAT"/>
      <sheetName val="ASURAN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8">
          <cell r="F168">
            <v>14000</v>
          </cell>
        </row>
        <row r="169">
          <cell r="F169">
            <v>426000</v>
          </cell>
          <cell r="J169">
            <v>0</v>
          </cell>
        </row>
        <row r="170">
          <cell r="F170">
            <v>34000</v>
          </cell>
          <cell r="J170">
            <v>0</v>
          </cell>
        </row>
        <row r="171">
          <cell r="H171">
            <v>0.71120000000000005</v>
          </cell>
        </row>
        <row r="175">
          <cell r="H175">
            <v>0.32629999999999998</v>
          </cell>
        </row>
        <row r="176">
          <cell r="H176">
            <v>0.86950000000000005</v>
          </cell>
        </row>
        <row r="178">
          <cell r="H178">
            <v>0</v>
          </cell>
        </row>
        <row r="179">
          <cell r="F179">
            <v>133200</v>
          </cell>
          <cell r="H179">
            <v>0.41020000000000001</v>
          </cell>
        </row>
        <row r="184">
          <cell r="D184" t="str">
            <v>APAR 3 kg (+ Set Komplit (Tabung+ABC Power+ Nitrogen)</v>
          </cell>
          <cell r="F184">
            <v>189000</v>
          </cell>
          <cell r="H184">
            <v>0.1673</v>
          </cell>
        </row>
        <row r="185">
          <cell r="F185">
            <v>52000</v>
          </cell>
        </row>
        <row r="186">
          <cell r="F186">
            <v>135000</v>
          </cell>
          <cell r="H186">
            <v>0.25380000000000003</v>
          </cell>
        </row>
        <row r="187">
          <cell r="F187">
            <v>10000</v>
          </cell>
        </row>
        <row r="188">
          <cell r="H188">
            <v>0.71220000000000006</v>
          </cell>
        </row>
        <row r="189">
          <cell r="F189">
            <v>135900</v>
          </cell>
        </row>
      </sheetData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terbilang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n.wordpress.com/about-these-ads/" TargetMode="External"/><Relationship Id="rId1" Type="http://schemas.openxmlformats.org/officeDocument/2006/relationships/hyperlink" Target="http://architecturebanten.blogspot.jp/2011/12/tabel-baja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3" Type="http://schemas.openxmlformats.org/officeDocument/2006/relationships/hyperlink" Target="https://tkdn.kemenperin.go.id/sertifikat_perush.php?id=qlXiOPwQVC1Ugd23hMrAjlt4wrfHvpLDs0C4F-q3-1E,&amp;id_siinas=ajfIiFxWAc5tzDubq0-dX0MfNpFQ5ktPydWY9IqmyXk," TargetMode="External"/><Relationship Id="rId7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2" Type="http://schemas.openxmlformats.org/officeDocument/2006/relationships/hyperlink" Target="https://tkdn.kemenperin.go.id/sertifikat_perush.php?id=w-Y65P5c9W2YTOjPtMbiggEIxZYqgOC_2uf6vZXvY1s,&amp;id_siinas=vq2DN3VwRxHs25X0BxmbQiFY8n_irbYjEg-5_LMePFo," TargetMode="External"/><Relationship Id="rId1" Type="http://schemas.openxmlformats.org/officeDocument/2006/relationships/hyperlink" Target="https://tkdn.kemenperin.go.id/sertifikat_perush.php?id=LXgDzIgDALi1Ge2ukHE7ZXx53avqEQjgBFBeb1z21ps,&amp;id_siinas=LXgDzIgDALi1Ge2ukHE7ZXx53avqEQjgBFBeb1z21ps," TargetMode="External"/><Relationship Id="rId6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5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10" Type="http://schemas.openxmlformats.org/officeDocument/2006/relationships/hyperlink" Target="https://tkdn.kemenperin.go.id/sertifikat_perush.php?id=1dU3IX_7z_CFV_eTU6p_b-V79Fe7qPLM64ZY5mFyRqE,&amp;id_siinas=j-Mc25-YrBhQ_AWr_-pp_xsKj_I_g5hXg-o_dsButnI," TargetMode="External"/><Relationship Id="rId4" Type="http://schemas.openxmlformats.org/officeDocument/2006/relationships/hyperlink" Target="https://tkdn.kemenperin.go.id/sertifikat_perush.php?id=BwjfXmFNy_PcPmlGSjWRfwFf_0CbZkh4h9MFN_ZqS8A,&amp;id_siinas=cKhWiTRLRcHuRXFwucFMztay0TF-lws89_R8XrROL5Y," TargetMode="External"/><Relationship Id="rId9" Type="http://schemas.openxmlformats.org/officeDocument/2006/relationships/hyperlink" Target="https://tkdn.kemenperin.go.id/sertifikat_perush.php?id=PoGlz6lDNjHjW3VZldQ4WzigaYNafopxEMoEvdhwHhY,&amp;id_siinas=MR8DDg3dPaYUSfFePML5VMM14cs-AdtXrfiG2349nWY,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6756-722B-451C-9370-4BBB53B94AD1}">
  <dimension ref="A1:E124"/>
  <sheetViews>
    <sheetView workbookViewId="0">
      <selection activeCell="B31" sqref="B31"/>
    </sheetView>
  </sheetViews>
  <sheetFormatPr defaultColWidth="9.109375" defaultRowHeight="14.4"/>
  <cols>
    <col min="1" max="1" width="9.109375" style="1188"/>
    <col min="2" max="2" width="20.44140625" style="1188" customWidth="1"/>
    <col min="3" max="3" width="17.44140625" style="1188" customWidth="1"/>
    <col min="4" max="4" width="16.109375" style="1188" customWidth="1"/>
    <col min="5" max="5" width="24.88671875" style="1188" customWidth="1"/>
    <col min="6" max="16384" width="9.109375" style="1188"/>
  </cols>
  <sheetData>
    <row r="1" spans="1:5">
      <c r="A1" s="1187" t="s">
        <v>8811</v>
      </c>
    </row>
    <row r="3" spans="1:5">
      <c r="A3" s="1189" t="s">
        <v>1195</v>
      </c>
      <c r="B3" s="1189" t="s">
        <v>8812</v>
      </c>
      <c r="C3" s="1189" t="s">
        <v>8813</v>
      </c>
      <c r="D3" s="1189" t="s">
        <v>8814</v>
      </c>
      <c r="E3" s="1189" t="s">
        <v>8815</v>
      </c>
    </row>
    <row r="4" spans="1:5">
      <c r="A4" s="1190">
        <v>1</v>
      </c>
      <c r="B4" s="1191" t="s">
        <v>8816</v>
      </c>
      <c r="C4" s="1190">
        <v>12</v>
      </c>
      <c r="D4" s="1190">
        <v>206</v>
      </c>
      <c r="E4" s="1192">
        <v>17167</v>
      </c>
    </row>
    <row r="5" spans="1:5">
      <c r="A5" s="1190">
        <v>2</v>
      </c>
      <c r="B5" s="1191" t="s">
        <v>8817</v>
      </c>
      <c r="C5" s="1190">
        <v>12</v>
      </c>
      <c r="D5" s="1190">
        <v>222</v>
      </c>
      <c r="E5" s="1192">
        <v>18500</v>
      </c>
    </row>
    <row r="6" spans="1:5">
      <c r="A6" s="1190">
        <v>3</v>
      </c>
      <c r="B6" s="1191" t="s">
        <v>8818</v>
      </c>
      <c r="C6" s="1190">
        <v>12</v>
      </c>
      <c r="D6" s="1190">
        <v>286</v>
      </c>
      <c r="E6" s="1192">
        <v>23833</v>
      </c>
    </row>
    <row r="7" spans="1:5">
      <c r="A7" s="1190">
        <v>4</v>
      </c>
      <c r="B7" s="1191" t="s">
        <v>8819</v>
      </c>
      <c r="C7" s="1190">
        <v>12</v>
      </c>
      <c r="D7" s="1190">
        <v>378</v>
      </c>
      <c r="E7" s="1192">
        <v>31500</v>
      </c>
    </row>
    <row r="8" spans="1:5">
      <c r="A8" s="1190">
        <v>5</v>
      </c>
      <c r="B8" s="1191" t="s">
        <v>8820</v>
      </c>
      <c r="C8" s="1190">
        <v>12</v>
      </c>
      <c r="D8" s="1190">
        <v>482</v>
      </c>
      <c r="E8" s="1192">
        <v>40167</v>
      </c>
    </row>
    <row r="9" spans="1:5">
      <c r="A9" s="1190">
        <v>6</v>
      </c>
      <c r="B9" s="1191" t="s">
        <v>8821</v>
      </c>
      <c r="C9" s="1190">
        <v>12</v>
      </c>
      <c r="D9" s="1190">
        <v>599</v>
      </c>
      <c r="E9" s="1192">
        <v>49917</v>
      </c>
    </row>
    <row r="10" spans="1:5">
      <c r="A10" s="1190">
        <v>7</v>
      </c>
      <c r="B10" s="1191" t="s">
        <v>8822</v>
      </c>
      <c r="C10" s="1190">
        <v>12</v>
      </c>
      <c r="D10" s="1190">
        <v>869</v>
      </c>
      <c r="E10" s="1192">
        <v>72417</v>
      </c>
    </row>
    <row r="11" spans="1:5">
      <c r="A11" s="1190">
        <v>8</v>
      </c>
      <c r="B11" s="1191" t="s">
        <v>8823</v>
      </c>
      <c r="C11" s="1190">
        <v>12</v>
      </c>
      <c r="D11" s="1190">
        <v>1128</v>
      </c>
      <c r="E11" s="1192">
        <v>94000</v>
      </c>
    </row>
    <row r="12" spans="1:5">
      <c r="A12" s="1190">
        <v>9</v>
      </c>
      <c r="B12" s="1191" t="s">
        <v>8824</v>
      </c>
      <c r="C12" s="1190">
        <v>12</v>
      </c>
      <c r="D12" s="1190">
        <v>1644</v>
      </c>
      <c r="E12" s="1192">
        <v>137000</v>
      </c>
    </row>
    <row r="13" spans="1:5">
      <c r="A13" s="1190">
        <v>10</v>
      </c>
      <c r="B13" s="1191" t="s">
        <v>8825</v>
      </c>
      <c r="C13" s="1190">
        <v>12</v>
      </c>
      <c r="D13" s="1190">
        <v>2064</v>
      </c>
      <c r="E13" s="1192">
        <v>172000</v>
      </c>
    </row>
    <row r="15" spans="1:5">
      <c r="A15" s="1188" t="s">
        <v>8826</v>
      </c>
    </row>
    <row r="17" spans="1:1">
      <c r="A17" s="1188" t="s">
        <v>8827</v>
      </c>
    </row>
    <row r="19" spans="1:1">
      <c r="A19" s="1188" t="s">
        <v>8828</v>
      </c>
    </row>
    <row r="21" spans="1:1">
      <c r="A21" s="1188" t="s">
        <v>8829</v>
      </c>
    </row>
    <row r="23" spans="1:1">
      <c r="A23" s="1188" t="s">
        <v>8830</v>
      </c>
    </row>
    <row r="25" spans="1:1">
      <c r="A25" s="1188" t="s">
        <v>8831</v>
      </c>
    </row>
    <row r="27" spans="1:1">
      <c r="A27" s="1188" t="s">
        <v>8832</v>
      </c>
    </row>
    <row r="29" spans="1:1">
      <c r="A29" s="1188" t="s">
        <v>8833</v>
      </c>
    </row>
    <row r="31" spans="1:1">
      <c r="A31" s="1188" t="s">
        <v>8834</v>
      </c>
    </row>
    <row r="33" spans="1:5">
      <c r="A33" s="1188" t="s">
        <v>8835</v>
      </c>
    </row>
    <row r="35" spans="1:5">
      <c r="A35" s="1187"/>
    </row>
    <row r="37" spans="1:5">
      <c r="A37" s="1187" t="s">
        <v>8836</v>
      </c>
    </row>
    <row r="39" spans="1:5">
      <c r="A39" s="1193" t="s">
        <v>0</v>
      </c>
      <c r="B39" s="1193" t="s">
        <v>8812</v>
      </c>
      <c r="C39" s="1193" t="s">
        <v>8813</v>
      </c>
      <c r="D39" s="1194" t="s">
        <v>8814</v>
      </c>
      <c r="E39" s="1194" t="s">
        <v>8815</v>
      </c>
    </row>
    <row r="40" spans="1:5">
      <c r="A40" s="1193">
        <v>1</v>
      </c>
      <c r="B40" s="1195" t="s">
        <v>8837</v>
      </c>
      <c r="C40" s="1196">
        <v>12</v>
      </c>
      <c r="D40" s="1196">
        <v>112</v>
      </c>
      <c r="E40" s="1197">
        <v>9333</v>
      </c>
    </row>
    <row r="41" spans="1:5">
      <c r="A41" s="1193">
        <v>2</v>
      </c>
      <c r="B41" s="1195" t="s">
        <v>8838</v>
      </c>
      <c r="C41" s="1196">
        <v>12</v>
      </c>
      <c r="D41" s="1196">
        <v>158</v>
      </c>
      <c r="E41" s="1197">
        <v>13200</v>
      </c>
    </row>
    <row r="42" spans="1:5">
      <c r="A42" s="1193">
        <v>3</v>
      </c>
      <c r="B42" s="1195" t="s">
        <v>8839</v>
      </c>
      <c r="C42" s="1196">
        <v>12</v>
      </c>
      <c r="D42" s="1196">
        <v>253</v>
      </c>
      <c r="E42" s="1197">
        <v>21100</v>
      </c>
    </row>
    <row r="43" spans="1:5">
      <c r="A43" s="1193">
        <v>4</v>
      </c>
      <c r="B43" s="1195" t="s">
        <v>8840</v>
      </c>
      <c r="C43" s="1196">
        <v>12</v>
      </c>
      <c r="D43" s="1196">
        <v>168</v>
      </c>
      <c r="E43" s="1197">
        <v>14000</v>
      </c>
    </row>
    <row r="44" spans="1:5">
      <c r="A44" s="1193">
        <v>5</v>
      </c>
      <c r="B44" s="1195" t="s">
        <v>8841</v>
      </c>
      <c r="C44" s="1196">
        <v>12</v>
      </c>
      <c r="D44" s="1196">
        <v>217</v>
      </c>
      <c r="E44" s="1197">
        <v>18100</v>
      </c>
    </row>
    <row r="45" spans="1:5">
      <c r="A45" s="1193">
        <v>6</v>
      </c>
      <c r="B45" s="1195" t="s">
        <v>8842</v>
      </c>
      <c r="C45" s="1196">
        <v>12</v>
      </c>
      <c r="D45" s="1196">
        <v>218</v>
      </c>
      <c r="E45" s="1197">
        <v>18200</v>
      </c>
    </row>
    <row r="46" spans="1:5">
      <c r="A46" s="1193">
        <v>7</v>
      </c>
      <c r="B46" s="1195" t="s">
        <v>8843</v>
      </c>
      <c r="C46" s="1196">
        <v>12</v>
      </c>
      <c r="D46" s="1196">
        <v>143</v>
      </c>
      <c r="E46" s="1197">
        <v>11917</v>
      </c>
    </row>
    <row r="47" spans="1:5">
      <c r="A47" s="1193">
        <v>8</v>
      </c>
      <c r="B47" s="1195" t="s">
        <v>8844</v>
      </c>
      <c r="C47" s="1196">
        <v>12</v>
      </c>
      <c r="D47" s="1196">
        <v>256</v>
      </c>
      <c r="E47" s="1197">
        <v>21333</v>
      </c>
    </row>
    <row r="48" spans="1:5">
      <c r="A48" s="1193">
        <v>9</v>
      </c>
      <c r="B48" s="1195" t="s">
        <v>8845</v>
      </c>
      <c r="C48" s="1196">
        <v>12</v>
      </c>
      <c r="D48" s="1196">
        <v>308</v>
      </c>
      <c r="E48" s="1197">
        <v>25700</v>
      </c>
    </row>
    <row r="49" spans="1:5">
      <c r="A49" s="1193">
        <v>10</v>
      </c>
      <c r="B49" s="1195" t="s">
        <v>8846</v>
      </c>
      <c r="C49" s="1196">
        <v>12</v>
      </c>
      <c r="D49" s="1196">
        <v>355</v>
      </c>
      <c r="E49" s="1197">
        <v>29600</v>
      </c>
    </row>
    <row r="50" spans="1:5">
      <c r="A50" s="1193">
        <v>11</v>
      </c>
      <c r="B50" s="1195" t="s">
        <v>8847</v>
      </c>
      <c r="C50" s="1196">
        <v>12</v>
      </c>
      <c r="D50" s="1196">
        <v>384</v>
      </c>
      <c r="E50" s="1197">
        <v>32000</v>
      </c>
    </row>
    <row r="51" spans="1:5">
      <c r="A51" s="1193">
        <v>12</v>
      </c>
      <c r="B51" s="1195" t="s">
        <v>8848</v>
      </c>
      <c r="C51" s="1196">
        <v>12</v>
      </c>
      <c r="D51" s="1196">
        <v>440</v>
      </c>
      <c r="E51" s="1197">
        <v>36700</v>
      </c>
    </row>
    <row r="52" spans="1:5">
      <c r="A52" s="1193">
        <v>13</v>
      </c>
      <c r="B52" s="1195" t="s">
        <v>8849</v>
      </c>
      <c r="C52" s="1196">
        <v>12</v>
      </c>
      <c r="D52" s="1196">
        <v>497</v>
      </c>
      <c r="E52" s="1197">
        <v>41417</v>
      </c>
    </row>
    <row r="53" spans="1:5">
      <c r="A53" s="1193">
        <v>14</v>
      </c>
      <c r="B53" s="1195" t="s">
        <v>8850</v>
      </c>
      <c r="C53" s="1196">
        <v>12</v>
      </c>
      <c r="D53" s="1196">
        <v>595</v>
      </c>
      <c r="E53" s="1197">
        <v>49600</v>
      </c>
    </row>
    <row r="54" spans="1:5">
      <c r="A54" s="1193">
        <v>15</v>
      </c>
      <c r="B54" s="1195" t="s">
        <v>8851</v>
      </c>
      <c r="C54" s="1196">
        <v>12</v>
      </c>
      <c r="D54" s="1196">
        <v>680</v>
      </c>
      <c r="E54" s="1197">
        <v>56625</v>
      </c>
    </row>
    <row r="55" spans="1:5">
      <c r="A55" s="1193">
        <v>16</v>
      </c>
      <c r="B55" s="1195" t="s">
        <v>8852</v>
      </c>
      <c r="C55" s="1196">
        <v>12</v>
      </c>
      <c r="D55" s="1196">
        <v>792</v>
      </c>
      <c r="E55" s="1197">
        <v>66000</v>
      </c>
    </row>
    <row r="56" spans="1:5">
      <c r="A56" s="1193">
        <v>17</v>
      </c>
      <c r="B56" s="1195" t="s">
        <v>8853</v>
      </c>
      <c r="C56" s="1196">
        <v>12</v>
      </c>
      <c r="D56" s="1196">
        <v>794</v>
      </c>
      <c r="E56" s="1197">
        <v>66200</v>
      </c>
    </row>
    <row r="57" spans="1:5">
      <c r="A57" s="1193">
        <v>18</v>
      </c>
      <c r="B57" s="1195" t="s">
        <v>8854</v>
      </c>
      <c r="C57" s="1196">
        <v>12</v>
      </c>
      <c r="D57" s="1196">
        <v>912</v>
      </c>
      <c r="E57" s="1197">
        <v>76000</v>
      </c>
    </row>
    <row r="58" spans="1:5">
      <c r="A58" s="1193">
        <v>19</v>
      </c>
      <c r="B58" s="1195" t="s">
        <v>8855</v>
      </c>
      <c r="C58" s="1196">
        <v>12</v>
      </c>
      <c r="D58" s="1196">
        <v>1075</v>
      </c>
      <c r="E58" s="1197">
        <v>89583</v>
      </c>
    </row>
    <row r="59" spans="1:5">
      <c r="A59" s="1193">
        <v>20</v>
      </c>
      <c r="B59" s="1195" t="s">
        <v>8856</v>
      </c>
      <c r="C59" s="1196">
        <v>12</v>
      </c>
      <c r="D59" s="1196">
        <v>1812</v>
      </c>
      <c r="E59" s="1197">
        <v>151000</v>
      </c>
    </row>
    <row r="60" spans="1:5">
      <c r="A60" s="1193">
        <v>21</v>
      </c>
      <c r="B60" s="1195" t="s">
        <v>8857</v>
      </c>
      <c r="C60" s="1196">
        <v>12</v>
      </c>
      <c r="D60" s="1196">
        <v>1272</v>
      </c>
      <c r="E60" s="1197">
        <v>106000</v>
      </c>
    </row>
    <row r="61" spans="1:5">
      <c r="A61" s="1193">
        <v>22</v>
      </c>
      <c r="B61" s="1195" t="s">
        <v>8858</v>
      </c>
      <c r="C61" s="1196">
        <v>12</v>
      </c>
      <c r="D61" s="1196">
        <v>2220</v>
      </c>
      <c r="E61" s="1197">
        <v>185000</v>
      </c>
    </row>
    <row r="62" spans="1:5">
      <c r="A62" s="1193">
        <v>23</v>
      </c>
      <c r="B62" s="1195" t="s">
        <v>8859</v>
      </c>
      <c r="C62" s="1196">
        <v>12</v>
      </c>
      <c r="D62" s="1196">
        <v>2520</v>
      </c>
      <c r="E62" s="1197">
        <v>210000</v>
      </c>
    </row>
    <row r="64" spans="1:5">
      <c r="A64" s="1188" t="s">
        <v>8860</v>
      </c>
    </row>
    <row r="66" spans="1:1">
      <c r="A66" s="1188" t="s">
        <v>8861</v>
      </c>
    </row>
    <row r="68" spans="1:1">
      <c r="A68" s="1188" t="s">
        <v>8862</v>
      </c>
    </row>
    <row r="70" spans="1:1">
      <c r="A70" s="1188" t="s">
        <v>8863</v>
      </c>
    </row>
    <row r="72" spans="1:1">
      <c r="A72" s="1188" t="s">
        <v>8830</v>
      </c>
    </row>
    <row r="74" spans="1:1">
      <c r="A74" s="1188" t="s">
        <v>8864</v>
      </c>
    </row>
    <row r="76" spans="1:1">
      <c r="A76" s="1188" t="s">
        <v>8865</v>
      </c>
    </row>
    <row r="78" spans="1:1">
      <c r="A78" s="1188" t="s">
        <v>8866</v>
      </c>
    </row>
    <row r="80" spans="1:1">
      <c r="A80" s="1188" t="s">
        <v>8867</v>
      </c>
    </row>
    <row r="82" spans="1:5">
      <c r="A82" s="1188" t="s">
        <v>8868</v>
      </c>
    </row>
    <row r="85" spans="1:5">
      <c r="A85" s="1187" t="s">
        <v>8869</v>
      </c>
    </row>
    <row r="87" spans="1:5">
      <c r="A87" s="1195" t="s">
        <v>1195</v>
      </c>
      <c r="B87" s="1196" t="s">
        <v>8812</v>
      </c>
      <c r="C87" s="1196" t="s">
        <v>8813</v>
      </c>
      <c r="D87" s="1194" t="s">
        <v>8814</v>
      </c>
      <c r="E87" s="1194" t="s">
        <v>8815</v>
      </c>
    </row>
    <row r="88" spans="1:5">
      <c r="A88" s="1194">
        <v>1</v>
      </c>
      <c r="B88" s="1195" t="s">
        <v>8870</v>
      </c>
      <c r="C88" s="1196">
        <v>6</v>
      </c>
      <c r="D88" s="1196" t="s">
        <v>8871</v>
      </c>
      <c r="E88" s="1197">
        <v>1627</v>
      </c>
    </row>
    <row r="89" spans="1:5">
      <c r="A89" s="1194">
        <v>2</v>
      </c>
      <c r="B89" s="1195" t="s">
        <v>8872</v>
      </c>
      <c r="C89" s="1196">
        <v>6</v>
      </c>
      <c r="D89" s="1196" t="s">
        <v>8873</v>
      </c>
      <c r="E89" s="1197">
        <v>2067</v>
      </c>
    </row>
    <row r="90" spans="1:5">
      <c r="A90" s="1194">
        <v>3</v>
      </c>
      <c r="B90" s="1195" t="s">
        <v>8874</v>
      </c>
      <c r="C90" s="1196">
        <v>6</v>
      </c>
      <c r="D90" s="1196" t="s">
        <v>8875</v>
      </c>
      <c r="E90" s="1197">
        <v>2320</v>
      </c>
    </row>
    <row r="91" spans="1:5">
      <c r="A91" s="1194">
        <v>4</v>
      </c>
      <c r="B91" s="1195" t="s">
        <v>8876</v>
      </c>
      <c r="C91" s="1196">
        <v>6</v>
      </c>
      <c r="D91" s="1196" t="s">
        <v>8877</v>
      </c>
      <c r="E91" s="1197">
        <v>3250</v>
      </c>
    </row>
    <row r="92" spans="1:5">
      <c r="A92" s="1194">
        <v>5</v>
      </c>
      <c r="B92" s="1195" t="s">
        <v>8878</v>
      </c>
      <c r="C92" s="1196">
        <v>6</v>
      </c>
      <c r="D92" s="1196" t="s">
        <v>8879</v>
      </c>
      <c r="E92" s="1197">
        <v>2917</v>
      </c>
    </row>
    <row r="93" spans="1:5">
      <c r="A93" s="1194">
        <v>6</v>
      </c>
      <c r="B93" s="1195" t="s">
        <v>8880</v>
      </c>
      <c r="C93" s="1196">
        <v>6</v>
      </c>
      <c r="D93" s="1196" t="s">
        <v>8881</v>
      </c>
      <c r="E93" s="1197">
        <v>4067</v>
      </c>
    </row>
    <row r="94" spans="1:5">
      <c r="A94" s="1194">
        <v>7</v>
      </c>
      <c r="B94" s="1195" t="s">
        <v>8882</v>
      </c>
      <c r="C94" s="1196">
        <v>6</v>
      </c>
      <c r="D94" s="1196">
        <v>33</v>
      </c>
      <c r="E94" s="1197">
        <v>5500</v>
      </c>
    </row>
    <row r="95" spans="1:5">
      <c r="A95" s="1194">
        <v>8</v>
      </c>
      <c r="B95" s="1195" t="s">
        <v>8883</v>
      </c>
      <c r="C95" s="1196">
        <v>6</v>
      </c>
      <c r="D95" s="1196" t="s">
        <v>8884</v>
      </c>
      <c r="E95" s="1197">
        <v>4517</v>
      </c>
    </row>
    <row r="96" spans="1:5">
      <c r="A96" s="1194">
        <v>9</v>
      </c>
      <c r="B96" s="1195" t="s">
        <v>8885</v>
      </c>
      <c r="C96" s="1196">
        <v>6</v>
      </c>
      <c r="D96" s="1196" t="s">
        <v>8886</v>
      </c>
      <c r="E96" s="1197">
        <v>6133</v>
      </c>
    </row>
    <row r="97" spans="1:5">
      <c r="A97" s="1194">
        <v>10</v>
      </c>
      <c r="B97" s="1195" t="s">
        <v>8887</v>
      </c>
      <c r="C97" s="1196">
        <v>6</v>
      </c>
      <c r="D97" s="1196" t="s">
        <v>8888</v>
      </c>
      <c r="E97" s="1197">
        <v>4967</v>
      </c>
    </row>
    <row r="98" spans="1:5">
      <c r="A98" s="1194">
        <v>11</v>
      </c>
      <c r="B98" s="1195" t="s">
        <v>8889</v>
      </c>
      <c r="C98" s="1196">
        <v>6</v>
      </c>
      <c r="D98" s="1196" t="s">
        <v>8890</v>
      </c>
      <c r="E98" s="1197">
        <v>6767</v>
      </c>
    </row>
    <row r="99" spans="1:5">
      <c r="A99" s="1194">
        <v>12</v>
      </c>
      <c r="B99" s="1195" t="s">
        <v>8891</v>
      </c>
      <c r="C99" s="1196">
        <v>6</v>
      </c>
      <c r="D99" s="1196">
        <v>33</v>
      </c>
      <c r="E99" s="1197">
        <v>5500</v>
      </c>
    </row>
    <row r="100" spans="1:5">
      <c r="A100" s="1193">
        <v>13</v>
      </c>
      <c r="B100" s="1195" t="s">
        <v>8892</v>
      </c>
      <c r="C100" s="1196">
        <v>6</v>
      </c>
      <c r="D100" s="1196" t="s">
        <v>8893</v>
      </c>
      <c r="E100" s="1197">
        <v>7517</v>
      </c>
    </row>
    <row r="101" spans="1:5">
      <c r="A101" s="1193">
        <v>14</v>
      </c>
      <c r="B101" s="1195" t="s">
        <v>8894</v>
      </c>
      <c r="C101" s="1196">
        <v>6</v>
      </c>
      <c r="D101" s="1196" t="s">
        <v>8895</v>
      </c>
      <c r="E101" s="1197">
        <v>9270</v>
      </c>
    </row>
    <row r="103" spans="1:5">
      <c r="A103" s="1188" t="s">
        <v>8896</v>
      </c>
    </row>
    <row r="104" spans="1:5">
      <c r="A104" s="1188" t="s">
        <v>8897</v>
      </c>
    </row>
    <row r="106" spans="1:5">
      <c r="A106" s="1188" t="s">
        <v>8898</v>
      </c>
    </row>
    <row r="108" spans="1:5">
      <c r="A108" s="1188" t="s">
        <v>8899</v>
      </c>
    </row>
    <row r="110" spans="1:5">
      <c r="A110" s="1188" t="s">
        <v>8900</v>
      </c>
    </row>
    <row r="112" spans="1:5">
      <c r="A112" s="1188" t="s">
        <v>8901</v>
      </c>
    </row>
    <row r="114" spans="1:1">
      <c r="A114" s="1188" t="s">
        <v>8902</v>
      </c>
    </row>
    <row r="116" spans="1:1">
      <c r="A116" s="1188" t="s">
        <v>8903</v>
      </c>
    </row>
    <row r="118" spans="1:1">
      <c r="A118" s="1188" t="s">
        <v>8904</v>
      </c>
    </row>
    <row r="120" spans="1:1">
      <c r="A120" s="1188" t="s">
        <v>8905</v>
      </c>
    </row>
    <row r="122" spans="1:1">
      <c r="A122" s="1198" t="s">
        <v>8906</v>
      </c>
    </row>
    <row r="124" spans="1:1">
      <c r="A124" s="1199" t="s">
        <v>8907</v>
      </c>
    </row>
  </sheetData>
  <hyperlinks>
    <hyperlink ref="A122" r:id="rId1" display="http://architecturebanten.blogspot.jp/2011/12/tabel-baja.html" xr:uid="{E882AD57-98C4-4EE9-8658-6E49FEF3D4B3}"/>
    <hyperlink ref="A124" r:id="rId2" display="http://en.wordpress.com/about-these-ads/" xr:uid="{BA707DA0-C32C-4242-9033-3BADA100C1A2}"/>
  </hyperlinks>
  <pageMargins left="0.54" right="0.31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1233-9A5E-49ED-BEAF-B3880F4E0230}">
  <sheetPr>
    <tabColor rgb="FFFFFF00"/>
    <pageSetUpPr fitToPage="1"/>
  </sheetPr>
  <dimension ref="A1:R169"/>
  <sheetViews>
    <sheetView view="pageBreakPreview" zoomScale="85" zoomScaleNormal="85" zoomScaleSheetLayoutView="85" workbookViewId="0">
      <selection activeCell="B31" sqref="B31"/>
    </sheetView>
  </sheetViews>
  <sheetFormatPr defaultRowHeight="13.8"/>
  <cols>
    <col min="1" max="1" width="5.6640625" style="1201" customWidth="1"/>
    <col min="2" max="2" width="59.44140625" style="1201" customWidth="1"/>
    <col min="3" max="3" width="6" style="1201" customWidth="1"/>
    <col min="4" max="4" width="23.33203125" style="1201" customWidth="1"/>
    <col min="5" max="5" width="11.6640625" style="1201" customWidth="1"/>
    <col min="6" max="6" width="8" style="1201" customWidth="1"/>
    <col min="7" max="7" width="1.88671875" style="1201" customWidth="1"/>
    <col min="8" max="8" width="7.109375" style="1201" customWidth="1"/>
    <col min="9" max="9" width="2" style="1201" customWidth="1"/>
    <col min="10" max="10" width="7.88671875" style="1201" customWidth="1"/>
    <col min="11" max="11" width="2" style="1201" customWidth="1"/>
    <col min="12" max="12" width="7.109375" style="1201" customWidth="1"/>
    <col min="13" max="13" width="2" style="1201" customWidth="1"/>
    <col min="14" max="14" width="9.88671875" style="1213" customWidth="1"/>
    <col min="15" max="15" width="0.88671875" style="1201" customWidth="1"/>
    <col min="16" max="16" width="11.44140625" style="1201" bestFit="1" customWidth="1"/>
    <col min="17" max="17" width="28.5546875" style="1201" bestFit="1" customWidth="1"/>
    <col min="18" max="19" width="10.33203125" style="1201" bestFit="1" customWidth="1"/>
    <col min="20" max="246" width="8.88671875" style="1201"/>
    <col min="247" max="247" width="3.33203125" style="1201" customWidth="1"/>
    <col min="248" max="248" width="38.109375" style="1201" customWidth="1"/>
    <col min="249" max="249" width="5.5546875" style="1201" customWidth="1"/>
    <col min="250" max="250" width="8.88671875" style="1201" customWidth="1"/>
    <col min="251" max="251" width="2" style="1201" customWidth="1"/>
    <col min="252" max="252" width="8.88671875" style="1201" customWidth="1"/>
    <col min="253" max="253" width="2" style="1201" customWidth="1"/>
    <col min="254" max="254" width="8.88671875" style="1201" customWidth="1"/>
    <col min="255" max="255" width="2" style="1201" customWidth="1"/>
    <col min="256" max="256" width="8.88671875" style="1201" customWidth="1"/>
    <col min="257" max="257" width="2" style="1201" customWidth="1"/>
    <col min="258" max="258" width="9.33203125" style="1201" customWidth="1"/>
    <col min="259" max="259" width="2.33203125" style="1201" customWidth="1"/>
    <col min="260" max="260" width="1.33203125" style="1201" customWidth="1"/>
    <col min="261" max="261" width="8.88671875" style="1201" customWidth="1"/>
    <col min="262" max="262" width="2" style="1201" customWidth="1"/>
    <col min="263" max="263" width="8.88671875" style="1201" customWidth="1"/>
    <col min="264" max="264" width="2" style="1201" customWidth="1"/>
    <col min="265" max="265" width="8.88671875" style="1201" customWidth="1"/>
    <col min="266" max="266" width="2" style="1201" customWidth="1"/>
    <col min="267" max="267" width="8.88671875" style="1201" customWidth="1"/>
    <col min="268" max="268" width="2" style="1201" customWidth="1"/>
    <col min="269" max="269" width="8.88671875" style="1201" customWidth="1"/>
    <col min="270" max="270" width="2.109375" style="1201" customWidth="1"/>
    <col min="271" max="272" width="8.88671875" style="1201"/>
    <col min="273" max="273" width="13.88671875" style="1201" bestFit="1" customWidth="1"/>
    <col min="274" max="502" width="8.88671875" style="1201"/>
    <col min="503" max="503" width="3.33203125" style="1201" customWidth="1"/>
    <col min="504" max="504" width="38.109375" style="1201" customWidth="1"/>
    <col min="505" max="505" width="5.5546875" style="1201" customWidth="1"/>
    <col min="506" max="506" width="8.88671875" style="1201" customWidth="1"/>
    <col min="507" max="507" width="2" style="1201" customWidth="1"/>
    <col min="508" max="508" width="8.88671875" style="1201" customWidth="1"/>
    <col min="509" max="509" width="2" style="1201" customWidth="1"/>
    <col min="510" max="510" width="8.88671875" style="1201" customWidth="1"/>
    <col min="511" max="511" width="2" style="1201" customWidth="1"/>
    <col min="512" max="512" width="8.88671875" style="1201" customWidth="1"/>
    <col min="513" max="513" width="2" style="1201" customWidth="1"/>
    <col min="514" max="514" width="9.33203125" style="1201" customWidth="1"/>
    <col min="515" max="515" width="2.33203125" style="1201" customWidth="1"/>
    <col min="516" max="516" width="1.33203125" style="1201" customWidth="1"/>
    <col min="517" max="517" width="8.88671875" style="1201" customWidth="1"/>
    <col min="518" max="518" width="2" style="1201" customWidth="1"/>
    <col min="519" max="519" width="8.88671875" style="1201" customWidth="1"/>
    <col min="520" max="520" width="2" style="1201" customWidth="1"/>
    <col min="521" max="521" width="8.88671875" style="1201" customWidth="1"/>
    <col min="522" max="522" width="2" style="1201" customWidth="1"/>
    <col min="523" max="523" width="8.88671875" style="1201" customWidth="1"/>
    <col min="524" max="524" width="2" style="1201" customWidth="1"/>
    <col min="525" max="525" width="8.88671875" style="1201" customWidth="1"/>
    <col min="526" max="526" width="2.109375" style="1201" customWidth="1"/>
    <col min="527" max="528" width="8.88671875" style="1201"/>
    <col min="529" max="529" width="13.88671875" style="1201" bestFit="1" customWidth="1"/>
    <col min="530" max="758" width="8.88671875" style="1201"/>
    <col min="759" max="759" width="3.33203125" style="1201" customWidth="1"/>
    <col min="760" max="760" width="38.109375" style="1201" customWidth="1"/>
    <col min="761" max="761" width="5.5546875" style="1201" customWidth="1"/>
    <col min="762" max="762" width="8.88671875" style="1201" customWidth="1"/>
    <col min="763" max="763" width="2" style="1201" customWidth="1"/>
    <col min="764" max="764" width="8.88671875" style="1201" customWidth="1"/>
    <col min="765" max="765" width="2" style="1201" customWidth="1"/>
    <col min="766" max="766" width="8.88671875" style="1201" customWidth="1"/>
    <col min="767" max="767" width="2" style="1201" customWidth="1"/>
    <col min="768" max="768" width="8.88671875" style="1201" customWidth="1"/>
    <col min="769" max="769" width="2" style="1201" customWidth="1"/>
    <col min="770" max="770" width="9.33203125" style="1201" customWidth="1"/>
    <col min="771" max="771" width="2.33203125" style="1201" customWidth="1"/>
    <col min="772" max="772" width="1.33203125" style="1201" customWidth="1"/>
    <col min="773" max="773" width="8.88671875" style="1201" customWidth="1"/>
    <col min="774" max="774" width="2" style="1201" customWidth="1"/>
    <col min="775" max="775" width="8.88671875" style="1201" customWidth="1"/>
    <col min="776" max="776" width="2" style="1201" customWidth="1"/>
    <col min="777" max="777" width="8.88671875" style="1201" customWidth="1"/>
    <col min="778" max="778" width="2" style="1201" customWidth="1"/>
    <col min="779" max="779" width="8.88671875" style="1201" customWidth="1"/>
    <col min="780" max="780" width="2" style="1201" customWidth="1"/>
    <col min="781" max="781" width="8.88671875" style="1201" customWidth="1"/>
    <col min="782" max="782" width="2.109375" style="1201" customWidth="1"/>
    <col min="783" max="784" width="8.88671875" style="1201"/>
    <col min="785" max="785" width="13.88671875" style="1201" bestFit="1" customWidth="1"/>
    <col min="786" max="1014" width="8.88671875" style="1201"/>
    <col min="1015" max="1015" width="3.33203125" style="1201" customWidth="1"/>
    <col min="1016" max="1016" width="38.109375" style="1201" customWidth="1"/>
    <col min="1017" max="1017" width="5.5546875" style="1201" customWidth="1"/>
    <col min="1018" max="1018" width="8.88671875" style="1201" customWidth="1"/>
    <col min="1019" max="1019" width="2" style="1201" customWidth="1"/>
    <col min="1020" max="1020" width="8.88671875" style="1201" customWidth="1"/>
    <col min="1021" max="1021" width="2" style="1201" customWidth="1"/>
    <col min="1022" max="1022" width="8.88671875" style="1201" customWidth="1"/>
    <col min="1023" max="1023" width="2" style="1201" customWidth="1"/>
    <col min="1024" max="1024" width="8.88671875" style="1201" customWidth="1"/>
    <col min="1025" max="1025" width="2" style="1201" customWidth="1"/>
    <col min="1026" max="1026" width="9.33203125" style="1201" customWidth="1"/>
    <col min="1027" max="1027" width="2.33203125" style="1201" customWidth="1"/>
    <col min="1028" max="1028" width="1.33203125" style="1201" customWidth="1"/>
    <col min="1029" max="1029" width="8.88671875" style="1201" customWidth="1"/>
    <col min="1030" max="1030" width="2" style="1201" customWidth="1"/>
    <col min="1031" max="1031" width="8.88671875" style="1201" customWidth="1"/>
    <col min="1032" max="1032" width="2" style="1201" customWidth="1"/>
    <col min="1033" max="1033" width="8.88671875" style="1201" customWidth="1"/>
    <col min="1034" max="1034" width="2" style="1201" customWidth="1"/>
    <col min="1035" max="1035" width="8.88671875" style="1201" customWidth="1"/>
    <col min="1036" max="1036" width="2" style="1201" customWidth="1"/>
    <col min="1037" max="1037" width="8.88671875" style="1201" customWidth="1"/>
    <col min="1038" max="1038" width="2.109375" style="1201" customWidth="1"/>
    <col min="1039" max="1040" width="8.88671875" style="1201"/>
    <col min="1041" max="1041" width="13.88671875" style="1201" bestFit="1" customWidth="1"/>
    <col min="1042" max="1270" width="8.88671875" style="1201"/>
    <col min="1271" max="1271" width="3.33203125" style="1201" customWidth="1"/>
    <col min="1272" max="1272" width="38.109375" style="1201" customWidth="1"/>
    <col min="1273" max="1273" width="5.5546875" style="1201" customWidth="1"/>
    <col min="1274" max="1274" width="8.88671875" style="1201" customWidth="1"/>
    <col min="1275" max="1275" width="2" style="1201" customWidth="1"/>
    <col min="1276" max="1276" width="8.88671875" style="1201" customWidth="1"/>
    <col min="1277" max="1277" width="2" style="1201" customWidth="1"/>
    <col min="1278" max="1278" width="8.88671875" style="1201" customWidth="1"/>
    <col min="1279" max="1279" width="2" style="1201" customWidth="1"/>
    <col min="1280" max="1280" width="8.88671875" style="1201" customWidth="1"/>
    <col min="1281" max="1281" width="2" style="1201" customWidth="1"/>
    <col min="1282" max="1282" width="9.33203125" style="1201" customWidth="1"/>
    <col min="1283" max="1283" width="2.33203125" style="1201" customWidth="1"/>
    <col min="1284" max="1284" width="1.33203125" style="1201" customWidth="1"/>
    <col min="1285" max="1285" width="8.88671875" style="1201" customWidth="1"/>
    <col min="1286" max="1286" width="2" style="1201" customWidth="1"/>
    <col min="1287" max="1287" width="8.88671875" style="1201" customWidth="1"/>
    <col min="1288" max="1288" width="2" style="1201" customWidth="1"/>
    <col min="1289" max="1289" width="8.88671875" style="1201" customWidth="1"/>
    <col min="1290" max="1290" width="2" style="1201" customWidth="1"/>
    <col min="1291" max="1291" width="8.88671875" style="1201" customWidth="1"/>
    <col min="1292" max="1292" width="2" style="1201" customWidth="1"/>
    <col min="1293" max="1293" width="8.88671875" style="1201" customWidth="1"/>
    <col min="1294" max="1294" width="2.109375" style="1201" customWidth="1"/>
    <col min="1295" max="1296" width="8.88671875" style="1201"/>
    <col min="1297" max="1297" width="13.88671875" style="1201" bestFit="1" customWidth="1"/>
    <col min="1298" max="1526" width="8.88671875" style="1201"/>
    <col min="1527" max="1527" width="3.33203125" style="1201" customWidth="1"/>
    <col min="1528" max="1528" width="38.109375" style="1201" customWidth="1"/>
    <col min="1529" max="1529" width="5.5546875" style="1201" customWidth="1"/>
    <col min="1530" max="1530" width="8.88671875" style="1201" customWidth="1"/>
    <col min="1531" max="1531" width="2" style="1201" customWidth="1"/>
    <col min="1532" max="1532" width="8.88671875" style="1201" customWidth="1"/>
    <col min="1533" max="1533" width="2" style="1201" customWidth="1"/>
    <col min="1534" max="1534" width="8.88671875" style="1201" customWidth="1"/>
    <col min="1535" max="1535" width="2" style="1201" customWidth="1"/>
    <col min="1536" max="1536" width="8.88671875" style="1201" customWidth="1"/>
    <col min="1537" max="1537" width="2" style="1201" customWidth="1"/>
    <col min="1538" max="1538" width="9.33203125" style="1201" customWidth="1"/>
    <col min="1539" max="1539" width="2.33203125" style="1201" customWidth="1"/>
    <col min="1540" max="1540" width="1.33203125" style="1201" customWidth="1"/>
    <col min="1541" max="1541" width="8.88671875" style="1201" customWidth="1"/>
    <col min="1542" max="1542" width="2" style="1201" customWidth="1"/>
    <col min="1543" max="1543" width="8.88671875" style="1201" customWidth="1"/>
    <col min="1544" max="1544" width="2" style="1201" customWidth="1"/>
    <col min="1545" max="1545" width="8.88671875" style="1201" customWidth="1"/>
    <col min="1546" max="1546" width="2" style="1201" customWidth="1"/>
    <col min="1547" max="1547" width="8.88671875" style="1201" customWidth="1"/>
    <col min="1548" max="1548" width="2" style="1201" customWidth="1"/>
    <col min="1549" max="1549" width="8.88671875" style="1201" customWidth="1"/>
    <col min="1550" max="1550" width="2.109375" style="1201" customWidth="1"/>
    <col min="1551" max="1552" width="8.88671875" style="1201"/>
    <col min="1553" max="1553" width="13.88671875" style="1201" bestFit="1" customWidth="1"/>
    <col min="1554" max="1782" width="8.88671875" style="1201"/>
    <col min="1783" max="1783" width="3.33203125" style="1201" customWidth="1"/>
    <col min="1784" max="1784" width="38.109375" style="1201" customWidth="1"/>
    <col min="1785" max="1785" width="5.5546875" style="1201" customWidth="1"/>
    <col min="1786" max="1786" width="8.88671875" style="1201" customWidth="1"/>
    <col min="1787" max="1787" width="2" style="1201" customWidth="1"/>
    <col min="1788" max="1788" width="8.88671875" style="1201" customWidth="1"/>
    <col min="1789" max="1789" width="2" style="1201" customWidth="1"/>
    <col min="1790" max="1790" width="8.88671875" style="1201" customWidth="1"/>
    <col min="1791" max="1791" width="2" style="1201" customWidth="1"/>
    <col min="1792" max="1792" width="8.88671875" style="1201" customWidth="1"/>
    <col min="1793" max="1793" width="2" style="1201" customWidth="1"/>
    <col min="1794" max="1794" width="9.33203125" style="1201" customWidth="1"/>
    <col min="1795" max="1795" width="2.33203125" style="1201" customWidth="1"/>
    <col min="1796" max="1796" width="1.33203125" style="1201" customWidth="1"/>
    <col min="1797" max="1797" width="8.88671875" style="1201" customWidth="1"/>
    <col min="1798" max="1798" width="2" style="1201" customWidth="1"/>
    <col min="1799" max="1799" width="8.88671875" style="1201" customWidth="1"/>
    <col min="1800" max="1800" width="2" style="1201" customWidth="1"/>
    <col min="1801" max="1801" width="8.88671875" style="1201" customWidth="1"/>
    <col min="1802" max="1802" width="2" style="1201" customWidth="1"/>
    <col min="1803" max="1803" width="8.88671875" style="1201" customWidth="1"/>
    <col min="1804" max="1804" width="2" style="1201" customWidth="1"/>
    <col min="1805" max="1805" width="8.88671875" style="1201" customWidth="1"/>
    <col min="1806" max="1806" width="2.109375" style="1201" customWidth="1"/>
    <col min="1807" max="1808" width="8.88671875" style="1201"/>
    <col min="1809" max="1809" width="13.88671875" style="1201" bestFit="1" customWidth="1"/>
    <col min="1810" max="2038" width="8.88671875" style="1201"/>
    <col min="2039" max="2039" width="3.33203125" style="1201" customWidth="1"/>
    <col min="2040" max="2040" width="38.109375" style="1201" customWidth="1"/>
    <col min="2041" max="2041" width="5.5546875" style="1201" customWidth="1"/>
    <col min="2042" max="2042" width="8.88671875" style="1201" customWidth="1"/>
    <col min="2043" max="2043" width="2" style="1201" customWidth="1"/>
    <col min="2044" max="2044" width="8.88671875" style="1201" customWidth="1"/>
    <col min="2045" max="2045" width="2" style="1201" customWidth="1"/>
    <col min="2046" max="2046" width="8.88671875" style="1201" customWidth="1"/>
    <col min="2047" max="2047" width="2" style="1201" customWidth="1"/>
    <col min="2048" max="2048" width="8.88671875" style="1201" customWidth="1"/>
    <col min="2049" max="2049" width="2" style="1201" customWidth="1"/>
    <col min="2050" max="2050" width="9.33203125" style="1201" customWidth="1"/>
    <col min="2051" max="2051" width="2.33203125" style="1201" customWidth="1"/>
    <col min="2052" max="2052" width="1.33203125" style="1201" customWidth="1"/>
    <col min="2053" max="2053" width="8.88671875" style="1201" customWidth="1"/>
    <col min="2054" max="2054" width="2" style="1201" customWidth="1"/>
    <col min="2055" max="2055" width="8.88671875" style="1201" customWidth="1"/>
    <col min="2056" max="2056" width="2" style="1201" customWidth="1"/>
    <col min="2057" max="2057" width="8.88671875" style="1201" customWidth="1"/>
    <col min="2058" max="2058" width="2" style="1201" customWidth="1"/>
    <col min="2059" max="2059" width="8.88671875" style="1201" customWidth="1"/>
    <col min="2060" max="2060" width="2" style="1201" customWidth="1"/>
    <col min="2061" max="2061" width="8.88671875" style="1201" customWidth="1"/>
    <col min="2062" max="2062" width="2.109375" style="1201" customWidth="1"/>
    <col min="2063" max="2064" width="8.88671875" style="1201"/>
    <col min="2065" max="2065" width="13.88671875" style="1201" bestFit="1" customWidth="1"/>
    <col min="2066" max="2294" width="8.88671875" style="1201"/>
    <col min="2295" max="2295" width="3.33203125" style="1201" customWidth="1"/>
    <col min="2296" max="2296" width="38.109375" style="1201" customWidth="1"/>
    <col min="2297" max="2297" width="5.5546875" style="1201" customWidth="1"/>
    <col min="2298" max="2298" width="8.88671875" style="1201" customWidth="1"/>
    <col min="2299" max="2299" width="2" style="1201" customWidth="1"/>
    <col min="2300" max="2300" width="8.88671875" style="1201" customWidth="1"/>
    <col min="2301" max="2301" width="2" style="1201" customWidth="1"/>
    <col min="2302" max="2302" width="8.88671875" style="1201" customWidth="1"/>
    <col min="2303" max="2303" width="2" style="1201" customWidth="1"/>
    <col min="2304" max="2304" width="8.88671875" style="1201" customWidth="1"/>
    <col min="2305" max="2305" width="2" style="1201" customWidth="1"/>
    <col min="2306" max="2306" width="9.33203125" style="1201" customWidth="1"/>
    <col min="2307" max="2307" width="2.33203125" style="1201" customWidth="1"/>
    <col min="2308" max="2308" width="1.33203125" style="1201" customWidth="1"/>
    <col min="2309" max="2309" width="8.88671875" style="1201" customWidth="1"/>
    <col min="2310" max="2310" width="2" style="1201" customWidth="1"/>
    <col min="2311" max="2311" width="8.88671875" style="1201" customWidth="1"/>
    <col min="2312" max="2312" width="2" style="1201" customWidth="1"/>
    <col min="2313" max="2313" width="8.88671875" style="1201" customWidth="1"/>
    <col min="2314" max="2314" width="2" style="1201" customWidth="1"/>
    <col min="2315" max="2315" width="8.88671875" style="1201" customWidth="1"/>
    <col min="2316" max="2316" width="2" style="1201" customWidth="1"/>
    <col min="2317" max="2317" width="8.88671875" style="1201" customWidth="1"/>
    <col min="2318" max="2318" width="2.109375" style="1201" customWidth="1"/>
    <col min="2319" max="2320" width="8.88671875" style="1201"/>
    <col min="2321" max="2321" width="13.88671875" style="1201" bestFit="1" customWidth="1"/>
    <col min="2322" max="2550" width="8.88671875" style="1201"/>
    <col min="2551" max="2551" width="3.33203125" style="1201" customWidth="1"/>
    <col min="2552" max="2552" width="38.109375" style="1201" customWidth="1"/>
    <col min="2553" max="2553" width="5.5546875" style="1201" customWidth="1"/>
    <col min="2554" max="2554" width="8.88671875" style="1201" customWidth="1"/>
    <col min="2555" max="2555" width="2" style="1201" customWidth="1"/>
    <col min="2556" max="2556" width="8.88671875" style="1201" customWidth="1"/>
    <col min="2557" max="2557" width="2" style="1201" customWidth="1"/>
    <col min="2558" max="2558" width="8.88671875" style="1201" customWidth="1"/>
    <col min="2559" max="2559" width="2" style="1201" customWidth="1"/>
    <col min="2560" max="2560" width="8.88671875" style="1201" customWidth="1"/>
    <col min="2561" max="2561" width="2" style="1201" customWidth="1"/>
    <col min="2562" max="2562" width="9.33203125" style="1201" customWidth="1"/>
    <col min="2563" max="2563" width="2.33203125" style="1201" customWidth="1"/>
    <col min="2564" max="2564" width="1.33203125" style="1201" customWidth="1"/>
    <col min="2565" max="2565" width="8.88671875" style="1201" customWidth="1"/>
    <col min="2566" max="2566" width="2" style="1201" customWidth="1"/>
    <col min="2567" max="2567" width="8.88671875" style="1201" customWidth="1"/>
    <col min="2568" max="2568" width="2" style="1201" customWidth="1"/>
    <col min="2569" max="2569" width="8.88671875" style="1201" customWidth="1"/>
    <col min="2570" max="2570" width="2" style="1201" customWidth="1"/>
    <col min="2571" max="2571" width="8.88671875" style="1201" customWidth="1"/>
    <col min="2572" max="2572" width="2" style="1201" customWidth="1"/>
    <col min="2573" max="2573" width="8.88671875" style="1201" customWidth="1"/>
    <col min="2574" max="2574" width="2.109375" style="1201" customWidth="1"/>
    <col min="2575" max="2576" width="8.88671875" style="1201"/>
    <col min="2577" max="2577" width="13.88671875" style="1201" bestFit="1" customWidth="1"/>
    <col min="2578" max="2806" width="8.88671875" style="1201"/>
    <col min="2807" max="2807" width="3.33203125" style="1201" customWidth="1"/>
    <col min="2808" max="2808" width="38.109375" style="1201" customWidth="1"/>
    <col min="2809" max="2809" width="5.5546875" style="1201" customWidth="1"/>
    <col min="2810" max="2810" width="8.88671875" style="1201" customWidth="1"/>
    <col min="2811" max="2811" width="2" style="1201" customWidth="1"/>
    <col min="2812" max="2812" width="8.88671875" style="1201" customWidth="1"/>
    <col min="2813" max="2813" width="2" style="1201" customWidth="1"/>
    <col min="2814" max="2814" width="8.88671875" style="1201" customWidth="1"/>
    <col min="2815" max="2815" width="2" style="1201" customWidth="1"/>
    <col min="2816" max="2816" width="8.88671875" style="1201" customWidth="1"/>
    <col min="2817" max="2817" width="2" style="1201" customWidth="1"/>
    <col min="2818" max="2818" width="9.33203125" style="1201" customWidth="1"/>
    <col min="2819" max="2819" width="2.33203125" style="1201" customWidth="1"/>
    <col min="2820" max="2820" width="1.33203125" style="1201" customWidth="1"/>
    <col min="2821" max="2821" width="8.88671875" style="1201" customWidth="1"/>
    <col min="2822" max="2822" width="2" style="1201" customWidth="1"/>
    <col min="2823" max="2823" width="8.88671875" style="1201" customWidth="1"/>
    <col min="2824" max="2824" width="2" style="1201" customWidth="1"/>
    <col min="2825" max="2825" width="8.88671875" style="1201" customWidth="1"/>
    <col min="2826" max="2826" width="2" style="1201" customWidth="1"/>
    <col min="2827" max="2827" width="8.88671875" style="1201" customWidth="1"/>
    <col min="2828" max="2828" width="2" style="1201" customWidth="1"/>
    <col min="2829" max="2829" width="8.88671875" style="1201" customWidth="1"/>
    <col min="2830" max="2830" width="2.109375" style="1201" customWidth="1"/>
    <col min="2831" max="2832" width="8.88671875" style="1201"/>
    <col min="2833" max="2833" width="13.88671875" style="1201" bestFit="1" customWidth="1"/>
    <col min="2834" max="3062" width="8.88671875" style="1201"/>
    <col min="3063" max="3063" width="3.33203125" style="1201" customWidth="1"/>
    <col min="3064" max="3064" width="38.109375" style="1201" customWidth="1"/>
    <col min="3065" max="3065" width="5.5546875" style="1201" customWidth="1"/>
    <col min="3066" max="3066" width="8.88671875" style="1201" customWidth="1"/>
    <col min="3067" max="3067" width="2" style="1201" customWidth="1"/>
    <col min="3068" max="3068" width="8.88671875" style="1201" customWidth="1"/>
    <col min="3069" max="3069" width="2" style="1201" customWidth="1"/>
    <col min="3070" max="3070" width="8.88671875" style="1201" customWidth="1"/>
    <col min="3071" max="3071" width="2" style="1201" customWidth="1"/>
    <col min="3072" max="3072" width="8.88671875" style="1201" customWidth="1"/>
    <col min="3073" max="3073" width="2" style="1201" customWidth="1"/>
    <col min="3074" max="3074" width="9.33203125" style="1201" customWidth="1"/>
    <col min="3075" max="3075" width="2.33203125" style="1201" customWidth="1"/>
    <col min="3076" max="3076" width="1.33203125" style="1201" customWidth="1"/>
    <col min="3077" max="3077" width="8.88671875" style="1201" customWidth="1"/>
    <col min="3078" max="3078" width="2" style="1201" customWidth="1"/>
    <col min="3079" max="3079" width="8.88671875" style="1201" customWidth="1"/>
    <col min="3080" max="3080" width="2" style="1201" customWidth="1"/>
    <col min="3081" max="3081" width="8.88671875" style="1201" customWidth="1"/>
    <col min="3082" max="3082" width="2" style="1201" customWidth="1"/>
    <col min="3083" max="3083" width="8.88671875" style="1201" customWidth="1"/>
    <col min="3084" max="3084" width="2" style="1201" customWidth="1"/>
    <col min="3085" max="3085" width="8.88671875" style="1201" customWidth="1"/>
    <col min="3086" max="3086" width="2.109375" style="1201" customWidth="1"/>
    <col min="3087" max="3088" width="8.88671875" style="1201"/>
    <col min="3089" max="3089" width="13.88671875" style="1201" bestFit="1" customWidth="1"/>
    <col min="3090" max="3318" width="8.88671875" style="1201"/>
    <col min="3319" max="3319" width="3.33203125" style="1201" customWidth="1"/>
    <col min="3320" max="3320" width="38.109375" style="1201" customWidth="1"/>
    <col min="3321" max="3321" width="5.5546875" style="1201" customWidth="1"/>
    <col min="3322" max="3322" width="8.88671875" style="1201" customWidth="1"/>
    <col min="3323" max="3323" width="2" style="1201" customWidth="1"/>
    <col min="3324" max="3324" width="8.88671875" style="1201" customWidth="1"/>
    <col min="3325" max="3325" width="2" style="1201" customWidth="1"/>
    <col min="3326" max="3326" width="8.88671875" style="1201" customWidth="1"/>
    <col min="3327" max="3327" width="2" style="1201" customWidth="1"/>
    <col min="3328" max="3328" width="8.88671875" style="1201" customWidth="1"/>
    <col min="3329" max="3329" width="2" style="1201" customWidth="1"/>
    <col min="3330" max="3330" width="9.33203125" style="1201" customWidth="1"/>
    <col min="3331" max="3331" width="2.33203125" style="1201" customWidth="1"/>
    <col min="3332" max="3332" width="1.33203125" style="1201" customWidth="1"/>
    <col min="3333" max="3333" width="8.88671875" style="1201" customWidth="1"/>
    <col min="3334" max="3334" width="2" style="1201" customWidth="1"/>
    <col min="3335" max="3335" width="8.88671875" style="1201" customWidth="1"/>
    <col min="3336" max="3336" width="2" style="1201" customWidth="1"/>
    <col min="3337" max="3337" width="8.88671875" style="1201" customWidth="1"/>
    <col min="3338" max="3338" width="2" style="1201" customWidth="1"/>
    <col min="3339" max="3339" width="8.88671875" style="1201" customWidth="1"/>
    <col min="3340" max="3340" width="2" style="1201" customWidth="1"/>
    <col min="3341" max="3341" width="8.88671875" style="1201" customWidth="1"/>
    <col min="3342" max="3342" width="2.109375" style="1201" customWidth="1"/>
    <col min="3343" max="3344" width="8.88671875" style="1201"/>
    <col min="3345" max="3345" width="13.88671875" style="1201" bestFit="1" customWidth="1"/>
    <col min="3346" max="3574" width="8.88671875" style="1201"/>
    <col min="3575" max="3575" width="3.33203125" style="1201" customWidth="1"/>
    <col min="3576" max="3576" width="38.109375" style="1201" customWidth="1"/>
    <col min="3577" max="3577" width="5.5546875" style="1201" customWidth="1"/>
    <col min="3578" max="3578" width="8.88671875" style="1201" customWidth="1"/>
    <col min="3579" max="3579" width="2" style="1201" customWidth="1"/>
    <col min="3580" max="3580" width="8.88671875" style="1201" customWidth="1"/>
    <col min="3581" max="3581" width="2" style="1201" customWidth="1"/>
    <col min="3582" max="3582" width="8.88671875" style="1201" customWidth="1"/>
    <col min="3583" max="3583" width="2" style="1201" customWidth="1"/>
    <col min="3584" max="3584" width="8.88671875" style="1201" customWidth="1"/>
    <col min="3585" max="3585" width="2" style="1201" customWidth="1"/>
    <col min="3586" max="3586" width="9.33203125" style="1201" customWidth="1"/>
    <col min="3587" max="3587" width="2.33203125" style="1201" customWidth="1"/>
    <col min="3588" max="3588" width="1.33203125" style="1201" customWidth="1"/>
    <col min="3589" max="3589" width="8.88671875" style="1201" customWidth="1"/>
    <col min="3590" max="3590" width="2" style="1201" customWidth="1"/>
    <col min="3591" max="3591" width="8.88671875" style="1201" customWidth="1"/>
    <col min="3592" max="3592" width="2" style="1201" customWidth="1"/>
    <col min="3593" max="3593" width="8.88671875" style="1201" customWidth="1"/>
    <col min="3594" max="3594" width="2" style="1201" customWidth="1"/>
    <col min="3595" max="3595" width="8.88671875" style="1201" customWidth="1"/>
    <col min="3596" max="3596" width="2" style="1201" customWidth="1"/>
    <col min="3597" max="3597" width="8.88671875" style="1201" customWidth="1"/>
    <col min="3598" max="3598" width="2.109375" style="1201" customWidth="1"/>
    <col min="3599" max="3600" width="8.88671875" style="1201"/>
    <col min="3601" max="3601" width="13.88671875" style="1201" bestFit="1" customWidth="1"/>
    <col min="3602" max="3830" width="8.88671875" style="1201"/>
    <col min="3831" max="3831" width="3.33203125" style="1201" customWidth="1"/>
    <col min="3832" max="3832" width="38.109375" style="1201" customWidth="1"/>
    <col min="3833" max="3833" width="5.5546875" style="1201" customWidth="1"/>
    <col min="3834" max="3834" width="8.88671875" style="1201" customWidth="1"/>
    <col min="3835" max="3835" width="2" style="1201" customWidth="1"/>
    <col min="3836" max="3836" width="8.88671875" style="1201" customWidth="1"/>
    <col min="3837" max="3837" width="2" style="1201" customWidth="1"/>
    <col min="3838" max="3838" width="8.88671875" style="1201" customWidth="1"/>
    <col min="3839" max="3839" width="2" style="1201" customWidth="1"/>
    <col min="3840" max="3840" width="8.88671875" style="1201" customWidth="1"/>
    <col min="3841" max="3841" width="2" style="1201" customWidth="1"/>
    <col min="3842" max="3842" width="9.33203125" style="1201" customWidth="1"/>
    <col min="3843" max="3843" width="2.33203125" style="1201" customWidth="1"/>
    <col min="3844" max="3844" width="1.33203125" style="1201" customWidth="1"/>
    <col min="3845" max="3845" width="8.88671875" style="1201" customWidth="1"/>
    <col min="3846" max="3846" width="2" style="1201" customWidth="1"/>
    <col min="3847" max="3847" width="8.88671875" style="1201" customWidth="1"/>
    <col min="3848" max="3848" width="2" style="1201" customWidth="1"/>
    <col min="3849" max="3849" width="8.88671875" style="1201" customWidth="1"/>
    <col min="3850" max="3850" width="2" style="1201" customWidth="1"/>
    <col min="3851" max="3851" width="8.88671875" style="1201" customWidth="1"/>
    <col min="3852" max="3852" width="2" style="1201" customWidth="1"/>
    <col min="3853" max="3853" width="8.88671875" style="1201" customWidth="1"/>
    <col min="3854" max="3854" width="2.109375" style="1201" customWidth="1"/>
    <col min="3855" max="3856" width="8.88671875" style="1201"/>
    <col min="3857" max="3857" width="13.88671875" style="1201" bestFit="1" customWidth="1"/>
    <col min="3858" max="4086" width="8.88671875" style="1201"/>
    <col min="4087" max="4087" width="3.33203125" style="1201" customWidth="1"/>
    <col min="4088" max="4088" width="38.109375" style="1201" customWidth="1"/>
    <col min="4089" max="4089" width="5.5546875" style="1201" customWidth="1"/>
    <col min="4090" max="4090" width="8.88671875" style="1201" customWidth="1"/>
    <col min="4091" max="4091" width="2" style="1201" customWidth="1"/>
    <col min="4092" max="4092" width="8.88671875" style="1201" customWidth="1"/>
    <col min="4093" max="4093" width="2" style="1201" customWidth="1"/>
    <col min="4094" max="4094" width="8.88671875" style="1201" customWidth="1"/>
    <col min="4095" max="4095" width="2" style="1201" customWidth="1"/>
    <col min="4096" max="4096" width="8.88671875" style="1201" customWidth="1"/>
    <col min="4097" max="4097" width="2" style="1201" customWidth="1"/>
    <col min="4098" max="4098" width="9.33203125" style="1201" customWidth="1"/>
    <col min="4099" max="4099" width="2.33203125" style="1201" customWidth="1"/>
    <col min="4100" max="4100" width="1.33203125" style="1201" customWidth="1"/>
    <col min="4101" max="4101" width="8.88671875" style="1201" customWidth="1"/>
    <col min="4102" max="4102" width="2" style="1201" customWidth="1"/>
    <col min="4103" max="4103" width="8.88671875" style="1201" customWidth="1"/>
    <col min="4104" max="4104" width="2" style="1201" customWidth="1"/>
    <col min="4105" max="4105" width="8.88671875" style="1201" customWidth="1"/>
    <col min="4106" max="4106" width="2" style="1201" customWidth="1"/>
    <col min="4107" max="4107" width="8.88671875" style="1201" customWidth="1"/>
    <col min="4108" max="4108" width="2" style="1201" customWidth="1"/>
    <col min="4109" max="4109" width="8.88671875" style="1201" customWidth="1"/>
    <col min="4110" max="4110" width="2.109375" style="1201" customWidth="1"/>
    <col min="4111" max="4112" width="8.88671875" style="1201"/>
    <col min="4113" max="4113" width="13.88671875" style="1201" bestFit="1" customWidth="1"/>
    <col min="4114" max="4342" width="8.88671875" style="1201"/>
    <col min="4343" max="4343" width="3.33203125" style="1201" customWidth="1"/>
    <col min="4344" max="4344" width="38.109375" style="1201" customWidth="1"/>
    <col min="4345" max="4345" width="5.5546875" style="1201" customWidth="1"/>
    <col min="4346" max="4346" width="8.88671875" style="1201" customWidth="1"/>
    <col min="4347" max="4347" width="2" style="1201" customWidth="1"/>
    <col min="4348" max="4348" width="8.88671875" style="1201" customWidth="1"/>
    <col min="4349" max="4349" width="2" style="1201" customWidth="1"/>
    <col min="4350" max="4350" width="8.88671875" style="1201" customWidth="1"/>
    <col min="4351" max="4351" width="2" style="1201" customWidth="1"/>
    <col min="4352" max="4352" width="8.88671875" style="1201" customWidth="1"/>
    <col min="4353" max="4353" width="2" style="1201" customWidth="1"/>
    <col min="4354" max="4354" width="9.33203125" style="1201" customWidth="1"/>
    <col min="4355" max="4355" width="2.33203125" style="1201" customWidth="1"/>
    <col min="4356" max="4356" width="1.33203125" style="1201" customWidth="1"/>
    <col min="4357" max="4357" width="8.88671875" style="1201" customWidth="1"/>
    <col min="4358" max="4358" width="2" style="1201" customWidth="1"/>
    <col min="4359" max="4359" width="8.88671875" style="1201" customWidth="1"/>
    <col min="4360" max="4360" width="2" style="1201" customWidth="1"/>
    <col min="4361" max="4361" width="8.88671875" style="1201" customWidth="1"/>
    <col min="4362" max="4362" width="2" style="1201" customWidth="1"/>
    <col min="4363" max="4363" width="8.88671875" style="1201" customWidth="1"/>
    <col min="4364" max="4364" width="2" style="1201" customWidth="1"/>
    <col min="4365" max="4365" width="8.88671875" style="1201" customWidth="1"/>
    <col min="4366" max="4366" width="2.109375" style="1201" customWidth="1"/>
    <col min="4367" max="4368" width="8.88671875" style="1201"/>
    <col min="4369" max="4369" width="13.88671875" style="1201" bestFit="1" customWidth="1"/>
    <col min="4370" max="4598" width="8.88671875" style="1201"/>
    <col min="4599" max="4599" width="3.33203125" style="1201" customWidth="1"/>
    <col min="4600" max="4600" width="38.109375" style="1201" customWidth="1"/>
    <col min="4601" max="4601" width="5.5546875" style="1201" customWidth="1"/>
    <col min="4602" max="4602" width="8.88671875" style="1201" customWidth="1"/>
    <col min="4603" max="4603" width="2" style="1201" customWidth="1"/>
    <col min="4604" max="4604" width="8.88671875" style="1201" customWidth="1"/>
    <col min="4605" max="4605" width="2" style="1201" customWidth="1"/>
    <col min="4606" max="4606" width="8.88671875" style="1201" customWidth="1"/>
    <col min="4607" max="4607" width="2" style="1201" customWidth="1"/>
    <col min="4608" max="4608" width="8.88671875" style="1201" customWidth="1"/>
    <col min="4609" max="4609" width="2" style="1201" customWidth="1"/>
    <col min="4610" max="4610" width="9.33203125" style="1201" customWidth="1"/>
    <col min="4611" max="4611" width="2.33203125" style="1201" customWidth="1"/>
    <col min="4612" max="4612" width="1.33203125" style="1201" customWidth="1"/>
    <col min="4613" max="4613" width="8.88671875" style="1201" customWidth="1"/>
    <col min="4614" max="4614" width="2" style="1201" customWidth="1"/>
    <col min="4615" max="4615" width="8.88671875" style="1201" customWidth="1"/>
    <col min="4616" max="4616" width="2" style="1201" customWidth="1"/>
    <col min="4617" max="4617" width="8.88671875" style="1201" customWidth="1"/>
    <col min="4618" max="4618" width="2" style="1201" customWidth="1"/>
    <col min="4619" max="4619" width="8.88671875" style="1201" customWidth="1"/>
    <col min="4620" max="4620" width="2" style="1201" customWidth="1"/>
    <col min="4621" max="4621" width="8.88671875" style="1201" customWidth="1"/>
    <col min="4622" max="4622" width="2.109375" style="1201" customWidth="1"/>
    <col min="4623" max="4624" width="8.88671875" style="1201"/>
    <col min="4625" max="4625" width="13.88671875" style="1201" bestFit="1" customWidth="1"/>
    <col min="4626" max="4854" width="8.88671875" style="1201"/>
    <col min="4855" max="4855" width="3.33203125" style="1201" customWidth="1"/>
    <col min="4856" max="4856" width="38.109375" style="1201" customWidth="1"/>
    <col min="4857" max="4857" width="5.5546875" style="1201" customWidth="1"/>
    <col min="4858" max="4858" width="8.88671875" style="1201" customWidth="1"/>
    <col min="4859" max="4859" width="2" style="1201" customWidth="1"/>
    <col min="4860" max="4860" width="8.88671875" style="1201" customWidth="1"/>
    <col min="4861" max="4861" width="2" style="1201" customWidth="1"/>
    <col min="4862" max="4862" width="8.88671875" style="1201" customWidth="1"/>
    <col min="4863" max="4863" width="2" style="1201" customWidth="1"/>
    <col min="4864" max="4864" width="8.88671875" style="1201" customWidth="1"/>
    <col min="4865" max="4865" width="2" style="1201" customWidth="1"/>
    <col min="4866" max="4866" width="9.33203125" style="1201" customWidth="1"/>
    <col min="4867" max="4867" width="2.33203125" style="1201" customWidth="1"/>
    <col min="4868" max="4868" width="1.33203125" style="1201" customWidth="1"/>
    <col min="4869" max="4869" width="8.88671875" style="1201" customWidth="1"/>
    <col min="4870" max="4870" width="2" style="1201" customWidth="1"/>
    <col min="4871" max="4871" width="8.88671875" style="1201" customWidth="1"/>
    <col min="4872" max="4872" width="2" style="1201" customWidth="1"/>
    <col min="4873" max="4873" width="8.88671875" style="1201" customWidth="1"/>
    <col min="4874" max="4874" width="2" style="1201" customWidth="1"/>
    <col min="4875" max="4875" width="8.88671875" style="1201" customWidth="1"/>
    <col min="4876" max="4876" width="2" style="1201" customWidth="1"/>
    <col min="4877" max="4877" width="8.88671875" style="1201" customWidth="1"/>
    <col min="4878" max="4878" width="2.109375" style="1201" customWidth="1"/>
    <col min="4879" max="4880" width="8.88671875" style="1201"/>
    <col min="4881" max="4881" width="13.88671875" style="1201" bestFit="1" customWidth="1"/>
    <col min="4882" max="5110" width="8.88671875" style="1201"/>
    <col min="5111" max="5111" width="3.33203125" style="1201" customWidth="1"/>
    <col min="5112" max="5112" width="38.109375" style="1201" customWidth="1"/>
    <col min="5113" max="5113" width="5.5546875" style="1201" customWidth="1"/>
    <col min="5114" max="5114" width="8.88671875" style="1201" customWidth="1"/>
    <col min="5115" max="5115" width="2" style="1201" customWidth="1"/>
    <col min="5116" max="5116" width="8.88671875" style="1201" customWidth="1"/>
    <col min="5117" max="5117" width="2" style="1201" customWidth="1"/>
    <col min="5118" max="5118" width="8.88671875" style="1201" customWidth="1"/>
    <col min="5119" max="5119" width="2" style="1201" customWidth="1"/>
    <col min="5120" max="5120" width="8.88671875" style="1201" customWidth="1"/>
    <col min="5121" max="5121" width="2" style="1201" customWidth="1"/>
    <col min="5122" max="5122" width="9.33203125" style="1201" customWidth="1"/>
    <col min="5123" max="5123" width="2.33203125" style="1201" customWidth="1"/>
    <col min="5124" max="5124" width="1.33203125" style="1201" customWidth="1"/>
    <col min="5125" max="5125" width="8.88671875" style="1201" customWidth="1"/>
    <col min="5126" max="5126" width="2" style="1201" customWidth="1"/>
    <col min="5127" max="5127" width="8.88671875" style="1201" customWidth="1"/>
    <col min="5128" max="5128" width="2" style="1201" customWidth="1"/>
    <col min="5129" max="5129" width="8.88671875" style="1201" customWidth="1"/>
    <col min="5130" max="5130" width="2" style="1201" customWidth="1"/>
    <col min="5131" max="5131" width="8.88671875" style="1201" customWidth="1"/>
    <col min="5132" max="5132" width="2" style="1201" customWidth="1"/>
    <col min="5133" max="5133" width="8.88671875" style="1201" customWidth="1"/>
    <col min="5134" max="5134" width="2.109375" style="1201" customWidth="1"/>
    <col min="5135" max="5136" width="8.88671875" style="1201"/>
    <col min="5137" max="5137" width="13.88671875" style="1201" bestFit="1" customWidth="1"/>
    <col min="5138" max="5366" width="8.88671875" style="1201"/>
    <col min="5367" max="5367" width="3.33203125" style="1201" customWidth="1"/>
    <col min="5368" max="5368" width="38.109375" style="1201" customWidth="1"/>
    <col min="5369" max="5369" width="5.5546875" style="1201" customWidth="1"/>
    <col min="5370" max="5370" width="8.88671875" style="1201" customWidth="1"/>
    <col min="5371" max="5371" width="2" style="1201" customWidth="1"/>
    <col min="5372" max="5372" width="8.88671875" style="1201" customWidth="1"/>
    <col min="5373" max="5373" width="2" style="1201" customWidth="1"/>
    <col min="5374" max="5374" width="8.88671875" style="1201" customWidth="1"/>
    <col min="5375" max="5375" width="2" style="1201" customWidth="1"/>
    <col min="5376" max="5376" width="8.88671875" style="1201" customWidth="1"/>
    <col min="5377" max="5377" width="2" style="1201" customWidth="1"/>
    <col min="5378" max="5378" width="9.33203125" style="1201" customWidth="1"/>
    <col min="5379" max="5379" width="2.33203125" style="1201" customWidth="1"/>
    <col min="5380" max="5380" width="1.33203125" style="1201" customWidth="1"/>
    <col min="5381" max="5381" width="8.88671875" style="1201" customWidth="1"/>
    <col min="5382" max="5382" width="2" style="1201" customWidth="1"/>
    <col min="5383" max="5383" width="8.88671875" style="1201" customWidth="1"/>
    <col min="5384" max="5384" width="2" style="1201" customWidth="1"/>
    <col min="5385" max="5385" width="8.88671875" style="1201" customWidth="1"/>
    <col min="5386" max="5386" width="2" style="1201" customWidth="1"/>
    <col min="5387" max="5387" width="8.88671875" style="1201" customWidth="1"/>
    <col min="5388" max="5388" width="2" style="1201" customWidth="1"/>
    <col min="5389" max="5389" width="8.88671875" style="1201" customWidth="1"/>
    <col min="5390" max="5390" width="2.109375" style="1201" customWidth="1"/>
    <col min="5391" max="5392" width="8.88671875" style="1201"/>
    <col min="5393" max="5393" width="13.88671875" style="1201" bestFit="1" customWidth="1"/>
    <col min="5394" max="5622" width="8.88671875" style="1201"/>
    <col min="5623" max="5623" width="3.33203125" style="1201" customWidth="1"/>
    <col min="5624" max="5624" width="38.109375" style="1201" customWidth="1"/>
    <col min="5625" max="5625" width="5.5546875" style="1201" customWidth="1"/>
    <col min="5626" max="5626" width="8.88671875" style="1201" customWidth="1"/>
    <col min="5627" max="5627" width="2" style="1201" customWidth="1"/>
    <col min="5628" max="5628" width="8.88671875" style="1201" customWidth="1"/>
    <col min="5629" max="5629" width="2" style="1201" customWidth="1"/>
    <col min="5630" max="5630" width="8.88671875" style="1201" customWidth="1"/>
    <col min="5631" max="5631" width="2" style="1201" customWidth="1"/>
    <col min="5632" max="5632" width="8.88671875" style="1201" customWidth="1"/>
    <col min="5633" max="5633" width="2" style="1201" customWidth="1"/>
    <col min="5634" max="5634" width="9.33203125" style="1201" customWidth="1"/>
    <col min="5635" max="5635" width="2.33203125" style="1201" customWidth="1"/>
    <col min="5636" max="5636" width="1.33203125" style="1201" customWidth="1"/>
    <col min="5637" max="5637" width="8.88671875" style="1201" customWidth="1"/>
    <col min="5638" max="5638" width="2" style="1201" customWidth="1"/>
    <col min="5639" max="5639" width="8.88671875" style="1201" customWidth="1"/>
    <col min="5640" max="5640" width="2" style="1201" customWidth="1"/>
    <col min="5641" max="5641" width="8.88671875" style="1201" customWidth="1"/>
    <col min="5642" max="5642" width="2" style="1201" customWidth="1"/>
    <col min="5643" max="5643" width="8.88671875" style="1201" customWidth="1"/>
    <col min="5644" max="5644" width="2" style="1201" customWidth="1"/>
    <col min="5645" max="5645" width="8.88671875" style="1201" customWidth="1"/>
    <col min="5646" max="5646" width="2.109375" style="1201" customWidth="1"/>
    <col min="5647" max="5648" width="8.88671875" style="1201"/>
    <col min="5649" max="5649" width="13.88671875" style="1201" bestFit="1" customWidth="1"/>
    <col min="5650" max="5878" width="8.88671875" style="1201"/>
    <col min="5879" max="5879" width="3.33203125" style="1201" customWidth="1"/>
    <col min="5880" max="5880" width="38.109375" style="1201" customWidth="1"/>
    <col min="5881" max="5881" width="5.5546875" style="1201" customWidth="1"/>
    <col min="5882" max="5882" width="8.88671875" style="1201" customWidth="1"/>
    <col min="5883" max="5883" width="2" style="1201" customWidth="1"/>
    <col min="5884" max="5884" width="8.88671875" style="1201" customWidth="1"/>
    <col min="5885" max="5885" width="2" style="1201" customWidth="1"/>
    <col min="5886" max="5886" width="8.88671875" style="1201" customWidth="1"/>
    <col min="5887" max="5887" width="2" style="1201" customWidth="1"/>
    <col min="5888" max="5888" width="8.88671875" style="1201" customWidth="1"/>
    <col min="5889" max="5889" width="2" style="1201" customWidth="1"/>
    <col min="5890" max="5890" width="9.33203125" style="1201" customWidth="1"/>
    <col min="5891" max="5891" width="2.33203125" style="1201" customWidth="1"/>
    <col min="5892" max="5892" width="1.33203125" style="1201" customWidth="1"/>
    <col min="5893" max="5893" width="8.88671875" style="1201" customWidth="1"/>
    <col min="5894" max="5894" width="2" style="1201" customWidth="1"/>
    <col min="5895" max="5895" width="8.88671875" style="1201" customWidth="1"/>
    <col min="5896" max="5896" width="2" style="1201" customWidth="1"/>
    <col min="5897" max="5897" width="8.88671875" style="1201" customWidth="1"/>
    <col min="5898" max="5898" width="2" style="1201" customWidth="1"/>
    <col min="5899" max="5899" width="8.88671875" style="1201" customWidth="1"/>
    <col min="5900" max="5900" width="2" style="1201" customWidth="1"/>
    <col min="5901" max="5901" width="8.88671875" style="1201" customWidth="1"/>
    <col min="5902" max="5902" width="2.109375" style="1201" customWidth="1"/>
    <col min="5903" max="5904" width="8.88671875" style="1201"/>
    <col min="5905" max="5905" width="13.88671875" style="1201" bestFit="1" customWidth="1"/>
    <col min="5906" max="6134" width="8.88671875" style="1201"/>
    <col min="6135" max="6135" width="3.33203125" style="1201" customWidth="1"/>
    <col min="6136" max="6136" width="38.109375" style="1201" customWidth="1"/>
    <col min="6137" max="6137" width="5.5546875" style="1201" customWidth="1"/>
    <col min="6138" max="6138" width="8.88671875" style="1201" customWidth="1"/>
    <col min="6139" max="6139" width="2" style="1201" customWidth="1"/>
    <col min="6140" max="6140" width="8.88671875" style="1201" customWidth="1"/>
    <col min="6141" max="6141" width="2" style="1201" customWidth="1"/>
    <col min="6142" max="6142" width="8.88671875" style="1201" customWidth="1"/>
    <col min="6143" max="6143" width="2" style="1201" customWidth="1"/>
    <col min="6144" max="6144" width="8.88671875" style="1201" customWidth="1"/>
    <col min="6145" max="6145" width="2" style="1201" customWidth="1"/>
    <col min="6146" max="6146" width="9.33203125" style="1201" customWidth="1"/>
    <col min="6147" max="6147" width="2.33203125" style="1201" customWidth="1"/>
    <col min="6148" max="6148" width="1.33203125" style="1201" customWidth="1"/>
    <col min="6149" max="6149" width="8.88671875" style="1201" customWidth="1"/>
    <col min="6150" max="6150" width="2" style="1201" customWidth="1"/>
    <col min="6151" max="6151" width="8.88671875" style="1201" customWidth="1"/>
    <col min="6152" max="6152" width="2" style="1201" customWidth="1"/>
    <col min="6153" max="6153" width="8.88671875" style="1201" customWidth="1"/>
    <col min="6154" max="6154" width="2" style="1201" customWidth="1"/>
    <col min="6155" max="6155" width="8.88671875" style="1201" customWidth="1"/>
    <col min="6156" max="6156" width="2" style="1201" customWidth="1"/>
    <col min="6157" max="6157" width="8.88671875" style="1201" customWidth="1"/>
    <col min="6158" max="6158" width="2.109375" style="1201" customWidth="1"/>
    <col min="6159" max="6160" width="8.88671875" style="1201"/>
    <col min="6161" max="6161" width="13.88671875" style="1201" bestFit="1" customWidth="1"/>
    <col min="6162" max="6390" width="8.88671875" style="1201"/>
    <col min="6391" max="6391" width="3.33203125" style="1201" customWidth="1"/>
    <col min="6392" max="6392" width="38.109375" style="1201" customWidth="1"/>
    <col min="6393" max="6393" width="5.5546875" style="1201" customWidth="1"/>
    <col min="6394" max="6394" width="8.88671875" style="1201" customWidth="1"/>
    <col min="6395" max="6395" width="2" style="1201" customWidth="1"/>
    <col min="6396" max="6396" width="8.88671875" style="1201" customWidth="1"/>
    <col min="6397" max="6397" width="2" style="1201" customWidth="1"/>
    <col min="6398" max="6398" width="8.88671875" style="1201" customWidth="1"/>
    <col min="6399" max="6399" width="2" style="1201" customWidth="1"/>
    <col min="6400" max="6400" width="8.88671875" style="1201" customWidth="1"/>
    <col min="6401" max="6401" width="2" style="1201" customWidth="1"/>
    <col min="6402" max="6402" width="9.33203125" style="1201" customWidth="1"/>
    <col min="6403" max="6403" width="2.33203125" style="1201" customWidth="1"/>
    <col min="6404" max="6404" width="1.33203125" style="1201" customWidth="1"/>
    <col min="6405" max="6405" width="8.88671875" style="1201" customWidth="1"/>
    <col min="6406" max="6406" width="2" style="1201" customWidth="1"/>
    <col min="6407" max="6407" width="8.88671875" style="1201" customWidth="1"/>
    <col min="6408" max="6408" width="2" style="1201" customWidth="1"/>
    <col min="6409" max="6409" width="8.88671875" style="1201" customWidth="1"/>
    <col min="6410" max="6410" width="2" style="1201" customWidth="1"/>
    <col min="6411" max="6411" width="8.88671875" style="1201" customWidth="1"/>
    <col min="6412" max="6412" width="2" style="1201" customWidth="1"/>
    <col min="6413" max="6413" width="8.88671875" style="1201" customWidth="1"/>
    <col min="6414" max="6414" width="2.109375" style="1201" customWidth="1"/>
    <col min="6415" max="6416" width="8.88671875" style="1201"/>
    <col min="6417" max="6417" width="13.88671875" style="1201" bestFit="1" customWidth="1"/>
    <col min="6418" max="6646" width="8.88671875" style="1201"/>
    <col min="6647" max="6647" width="3.33203125" style="1201" customWidth="1"/>
    <col min="6648" max="6648" width="38.109375" style="1201" customWidth="1"/>
    <col min="6649" max="6649" width="5.5546875" style="1201" customWidth="1"/>
    <col min="6650" max="6650" width="8.88671875" style="1201" customWidth="1"/>
    <col min="6651" max="6651" width="2" style="1201" customWidth="1"/>
    <col min="6652" max="6652" width="8.88671875" style="1201" customWidth="1"/>
    <col min="6653" max="6653" width="2" style="1201" customWidth="1"/>
    <col min="6654" max="6654" width="8.88671875" style="1201" customWidth="1"/>
    <col min="6655" max="6655" width="2" style="1201" customWidth="1"/>
    <col min="6656" max="6656" width="8.88671875" style="1201" customWidth="1"/>
    <col min="6657" max="6657" width="2" style="1201" customWidth="1"/>
    <col min="6658" max="6658" width="9.33203125" style="1201" customWidth="1"/>
    <col min="6659" max="6659" width="2.33203125" style="1201" customWidth="1"/>
    <col min="6660" max="6660" width="1.33203125" style="1201" customWidth="1"/>
    <col min="6661" max="6661" width="8.88671875" style="1201" customWidth="1"/>
    <col min="6662" max="6662" width="2" style="1201" customWidth="1"/>
    <col min="6663" max="6663" width="8.88671875" style="1201" customWidth="1"/>
    <col min="6664" max="6664" width="2" style="1201" customWidth="1"/>
    <col min="6665" max="6665" width="8.88671875" style="1201" customWidth="1"/>
    <col min="6666" max="6666" width="2" style="1201" customWidth="1"/>
    <col min="6667" max="6667" width="8.88671875" style="1201" customWidth="1"/>
    <col min="6668" max="6668" width="2" style="1201" customWidth="1"/>
    <col min="6669" max="6669" width="8.88671875" style="1201" customWidth="1"/>
    <col min="6670" max="6670" width="2.109375" style="1201" customWidth="1"/>
    <col min="6671" max="6672" width="8.88671875" style="1201"/>
    <col min="6673" max="6673" width="13.88671875" style="1201" bestFit="1" customWidth="1"/>
    <col min="6674" max="6902" width="8.88671875" style="1201"/>
    <col min="6903" max="6903" width="3.33203125" style="1201" customWidth="1"/>
    <col min="6904" max="6904" width="38.109375" style="1201" customWidth="1"/>
    <col min="6905" max="6905" width="5.5546875" style="1201" customWidth="1"/>
    <col min="6906" max="6906" width="8.88671875" style="1201" customWidth="1"/>
    <col min="6907" max="6907" width="2" style="1201" customWidth="1"/>
    <col min="6908" max="6908" width="8.88671875" style="1201" customWidth="1"/>
    <col min="6909" max="6909" width="2" style="1201" customWidth="1"/>
    <col min="6910" max="6910" width="8.88671875" style="1201" customWidth="1"/>
    <col min="6911" max="6911" width="2" style="1201" customWidth="1"/>
    <col min="6912" max="6912" width="8.88671875" style="1201" customWidth="1"/>
    <col min="6913" max="6913" width="2" style="1201" customWidth="1"/>
    <col min="6914" max="6914" width="9.33203125" style="1201" customWidth="1"/>
    <col min="6915" max="6915" width="2.33203125" style="1201" customWidth="1"/>
    <col min="6916" max="6916" width="1.33203125" style="1201" customWidth="1"/>
    <col min="6917" max="6917" width="8.88671875" style="1201" customWidth="1"/>
    <col min="6918" max="6918" width="2" style="1201" customWidth="1"/>
    <col min="6919" max="6919" width="8.88671875" style="1201" customWidth="1"/>
    <col min="6920" max="6920" width="2" style="1201" customWidth="1"/>
    <col min="6921" max="6921" width="8.88671875" style="1201" customWidth="1"/>
    <col min="6922" max="6922" width="2" style="1201" customWidth="1"/>
    <col min="6923" max="6923" width="8.88671875" style="1201" customWidth="1"/>
    <col min="6924" max="6924" width="2" style="1201" customWidth="1"/>
    <col min="6925" max="6925" width="8.88671875" style="1201" customWidth="1"/>
    <col min="6926" max="6926" width="2.109375" style="1201" customWidth="1"/>
    <col min="6927" max="6928" width="8.88671875" style="1201"/>
    <col min="6929" max="6929" width="13.88671875" style="1201" bestFit="1" customWidth="1"/>
    <col min="6930" max="7158" width="8.88671875" style="1201"/>
    <col min="7159" max="7159" width="3.33203125" style="1201" customWidth="1"/>
    <col min="7160" max="7160" width="38.109375" style="1201" customWidth="1"/>
    <col min="7161" max="7161" width="5.5546875" style="1201" customWidth="1"/>
    <col min="7162" max="7162" width="8.88671875" style="1201" customWidth="1"/>
    <col min="7163" max="7163" width="2" style="1201" customWidth="1"/>
    <col min="7164" max="7164" width="8.88671875" style="1201" customWidth="1"/>
    <col min="7165" max="7165" width="2" style="1201" customWidth="1"/>
    <col min="7166" max="7166" width="8.88671875" style="1201" customWidth="1"/>
    <col min="7167" max="7167" width="2" style="1201" customWidth="1"/>
    <col min="7168" max="7168" width="8.88671875" style="1201" customWidth="1"/>
    <col min="7169" max="7169" width="2" style="1201" customWidth="1"/>
    <col min="7170" max="7170" width="9.33203125" style="1201" customWidth="1"/>
    <col min="7171" max="7171" width="2.33203125" style="1201" customWidth="1"/>
    <col min="7172" max="7172" width="1.33203125" style="1201" customWidth="1"/>
    <col min="7173" max="7173" width="8.88671875" style="1201" customWidth="1"/>
    <col min="7174" max="7174" width="2" style="1201" customWidth="1"/>
    <col min="7175" max="7175" width="8.88671875" style="1201" customWidth="1"/>
    <col min="7176" max="7176" width="2" style="1201" customWidth="1"/>
    <col min="7177" max="7177" width="8.88671875" style="1201" customWidth="1"/>
    <col min="7178" max="7178" width="2" style="1201" customWidth="1"/>
    <col min="7179" max="7179" width="8.88671875" style="1201" customWidth="1"/>
    <col min="7180" max="7180" width="2" style="1201" customWidth="1"/>
    <col min="7181" max="7181" width="8.88671875" style="1201" customWidth="1"/>
    <col min="7182" max="7182" width="2.109375" style="1201" customWidth="1"/>
    <col min="7183" max="7184" width="8.88671875" style="1201"/>
    <col min="7185" max="7185" width="13.88671875" style="1201" bestFit="1" customWidth="1"/>
    <col min="7186" max="7414" width="8.88671875" style="1201"/>
    <col min="7415" max="7415" width="3.33203125" style="1201" customWidth="1"/>
    <col min="7416" max="7416" width="38.109375" style="1201" customWidth="1"/>
    <col min="7417" max="7417" width="5.5546875" style="1201" customWidth="1"/>
    <col min="7418" max="7418" width="8.88671875" style="1201" customWidth="1"/>
    <col min="7419" max="7419" width="2" style="1201" customWidth="1"/>
    <col min="7420" max="7420" width="8.88671875" style="1201" customWidth="1"/>
    <col min="7421" max="7421" width="2" style="1201" customWidth="1"/>
    <col min="7422" max="7422" width="8.88671875" style="1201" customWidth="1"/>
    <col min="7423" max="7423" width="2" style="1201" customWidth="1"/>
    <col min="7424" max="7424" width="8.88671875" style="1201" customWidth="1"/>
    <col min="7425" max="7425" width="2" style="1201" customWidth="1"/>
    <col min="7426" max="7426" width="9.33203125" style="1201" customWidth="1"/>
    <col min="7427" max="7427" width="2.33203125" style="1201" customWidth="1"/>
    <col min="7428" max="7428" width="1.33203125" style="1201" customWidth="1"/>
    <col min="7429" max="7429" width="8.88671875" style="1201" customWidth="1"/>
    <col min="7430" max="7430" width="2" style="1201" customWidth="1"/>
    <col min="7431" max="7431" width="8.88671875" style="1201" customWidth="1"/>
    <col min="7432" max="7432" width="2" style="1201" customWidth="1"/>
    <col min="7433" max="7433" width="8.88671875" style="1201" customWidth="1"/>
    <col min="7434" max="7434" width="2" style="1201" customWidth="1"/>
    <col min="7435" max="7435" width="8.88671875" style="1201" customWidth="1"/>
    <col min="7436" max="7436" width="2" style="1201" customWidth="1"/>
    <col min="7437" max="7437" width="8.88671875" style="1201" customWidth="1"/>
    <col min="7438" max="7438" width="2.109375" style="1201" customWidth="1"/>
    <col min="7439" max="7440" width="8.88671875" style="1201"/>
    <col min="7441" max="7441" width="13.88671875" style="1201" bestFit="1" customWidth="1"/>
    <col min="7442" max="7670" width="8.88671875" style="1201"/>
    <col min="7671" max="7671" width="3.33203125" style="1201" customWidth="1"/>
    <col min="7672" max="7672" width="38.109375" style="1201" customWidth="1"/>
    <col min="7673" max="7673" width="5.5546875" style="1201" customWidth="1"/>
    <col min="7674" max="7674" width="8.88671875" style="1201" customWidth="1"/>
    <col min="7675" max="7675" width="2" style="1201" customWidth="1"/>
    <col min="7676" max="7676" width="8.88671875" style="1201" customWidth="1"/>
    <col min="7677" max="7677" width="2" style="1201" customWidth="1"/>
    <col min="7678" max="7678" width="8.88671875" style="1201" customWidth="1"/>
    <col min="7679" max="7679" width="2" style="1201" customWidth="1"/>
    <col min="7680" max="7680" width="8.88671875" style="1201" customWidth="1"/>
    <col min="7681" max="7681" width="2" style="1201" customWidth="1"/>
    <col min="7682" max="7682" width="9.33203125" style="1201" customWidth="1"/>
    <col min="7683" max="7683" width="2.33203125" style="1201" customWidth="1"/>
    <col min="7684" max="7684" width="1.33203125" style="1201" customWidth="1"/>
    <col min="7685" max="7685" width="8.88671875" style="1201" customWidth="1"/>
    <col min="7686" max="7686" width="2" style="1201" customWidth="1"/>
    <col min="7687" max="7687" width="8.88671875" style="1201" customWidth="1"/>
    <col min="7688" max="7688" width="2" style="1201" customWidth="1"/>
    <col min="7689" max="7689" width="8.88671875" style="1201" customWidth="1"/>
    <col min="7690" max="7690" width="2" style="1201" customWidth="1"/>
    <col min="7691" max="7691" width="8.88671875" style="1201" customWidth="1"/>
    <col min="7692" max="7692" width="2" style="1201" customWidth="1"/>
    <col min="7693" max="7693" width="8.88671875" style="1201" customWidth="1"/>
    <col min="7694" max="7694" width="2.109375" style="1201" customWidth="1"/>
    <col min="7695" max="7696" width="8.88671875" style="1201"/>
    <col min="7697" max="7697" width="13.88671875" style="1201" bestFit="1" customWidth="1"/>
    <col min="7698" max="7926" width="8.88671875" style="1201"/>
    <col min="7927" max="7927" width="3.33203125" style="1201" customWidth="1"/>
    <col min="7928" max="7928" width="38.109375" style="1201" customWidth="1"/>
    <col min="7929" max="7929" width="5.5546875" style="1201" customWidth="1"/>
    <col min="7930" max="7930" width="8.88671875" style="1201" customWidth="1"/>
    <col min="7931" max="7931" width="2" style="1201" customWidth="1"/>
    <col min="7932" max="7932" width="8.88671875" style="1201" customWidth="1"/>
    <col min="7933" max="7933" width="2" style="1201" customWidth="1"/>
    <col min="7934" max="7934" width="8.88671875" style="1201" customWidth="1"/>
    <col min="7935" max="7935" width="2" style="1201" customWidth="1"/>
    <col min="7936" max="7936" width="8.88671875" style="1201" customWidth="1"/>
    <col min="7937" max="7937" width="2" style="1201" customWidth="1"/>
    <col min="7938" max="7938" width="9.33203125" style="1201" customWidth="1"/>
    <col min="7939" max="7939" width="2.33203125" style="1201" customWidth="1"/>
    <col min="7940" max="7940" width="1.33203125" style="1201" customWidth="1"/>
    <col min="7941" max="7941" width="8.88671875" style="1201" customWidth="1"/>
    <col min="7942" max="7942" width="2" style="1201" customWidth="1"/>
    <col min="7943" max="7943" width="8.88671875" style="1201" customWidth="1"/>
    <col min="7944" max="7944" width="2" style="1201" customWidth="1"/>
    <col min="7945" max="7945" width="8.88671875" style="1201" customWidth="1"/>
    <col min="7946" max="7946" width="2" style="1201" customWidth="1"/>
    <col min="7947" max="7947" width="8.88671875" style="1201" customWidth="1"/>
    <col min="7948" max="7948" width="2" style="1201" customWidth="1"/>
    <col min="7949" max="7949" width="8.88671875" style="1201" customWidth="1"/>
    <col min="7950" max="7950" width="2.109375" style="1201" customWidth="1"/>
    <col min="7951" max="7952" width="8.88671875" style="1201"/>
    <col min="7953" max="7953" width="13.88671875" style="1201" bestFit="1" customWidth="1"/>
    <col min="7954" max="8182" width="8.88671875" style="1201"/>
    <col min="8183" max="8183" width="3.33203125" style="1201" customWidth="1"/>
    <col min="8184" max="8184" width="38.109375" style="1201" customWidth="1"/>
    <col min="8185" max="8185" width="5.5546875" style="1201" customWidth="1"/>
    <col min="8186" max="8186" width="8.88671875" style="1201" customWidth="1"/>
    <col min="8187" max="8187" width="2" style="1201" customWidth="1"/>
    <col min="8188" max="8188" width="8.88671875" style="1201" customWidth="1"/>
    <col min="8189" max="8189" width="2" style="1201" customWidth="1"/>
    <col min="8190" max="8190" width="8.88671875" style="1201" customWidth="1"/>
    <col min="8191" max="8191" width="2" style="1201" customWidth="1"/>
    <col min="8192" max="8192" width="8.88671875" style="1201" customWidth="1"/>
    <col min="8193" max="8193" width="2" style="1201" customWidth="1"/>
    <col min="8194" max="8194" width="9.33203125" style="1201" customWidth="1"/>
    <col min="8195" max="8195" width="2.33203125" style="1201" customWidth="1"/>
    <col min="8196" max="8196" width="1.33203125" style="1201" customWidth="1"/>
    <col min="8197" max="8197" width="8.88671875" style="1201" customWidth="1"/>
    <col min="8198" max="8198" width="2" style="1201" customWidth="1"/>
    <col min="8199" max="8199" width="8.88671875" style="1201" customWidth="1"/>
    <col min="8200" max="8200" width="2" style="1201" customWidth="1"/>
    <col min="8201" max="8201" width="8.88671875" style="1201" customWidth="1"/>
    <col min="8202" max="8202" width="2" style="1201" customWidth="1"/>
    <col min="8203" max="8203" width="8.88671875" style="1201" customWidth="1"/>
    <col min="8204" max="8204" width="2" style="1201" customWidth="1"/>
    <col min="8205" max="8205" width="8.88671875" style="1201" customWidth="1"/>
    <col min="8206" max="8206" width="2.109375" style="1201" customWidth="1"/>
    <col min="8207" max="8208" width="8.88671875" style="1201"/>
    <col min="8209" max="8209" width="13.88671875" style="1201" bestFit="1" customWidth="1"/>
    <col min="8210" max="8438" width="8.88671875" style="1201"/>
    <col min="8439" max="8439" width="3.33203125" style="1201" customWidth="1"/>
    <col min="8440" max="8440" width="38.109375" style="1201" customWidth="1"/>
    <col min="8441" max="8441" width="5.5546875" style="1201" customWidth="1"/>
    <col min="8442" max="8442" width="8.88671875" style="1201" customWidth="1"/>
    <col min="8443" max="8443" width="2" style="1201" customWidth="1"/>
    <col min="8444" max="8444" width="8.88671875" style="1201" customWidth="1"/>
    <col min="8445" max="8445" width="2" style="1201" customWidth="1"/>
    <col min="8446" max="8446" width="8.88671875" style="1201" customWidth="1"/>
    <col min="8447" max="8447" width="2" style="1201" customWidth="1"/>
    <col min="8448" max="8448" width="8.88671875" style="1201" customWidth="1"/>
    <col min="8449" max="8449" width="2" style="1201" customWidth="1"/>
    <col min="8450" max="8450" width="9.33203125" style="1201" customWidth="1"/>
    <col min="8451" max="8451" width="2.33203125" style="1201" customWidth="1"/>
    <col min="8452" max="8452" width="1.33203125" style="1201" customWidth="1"/>
    <col min="8453" max="8453" width="8.88671875" style="1201" customWidth="1"/>
    <col min="8454" max="8454" width="2" style="1201" customWidth="1"/>
    <col min="8455" max="8455" width="8.88671875" style="1201" customWidth="1"/>
    <col min="8456" max="8456" width="2" style="1201" customWidth="1"/>
    <col min="8457" max="8457" width="8.88671875" style="1201" customWidth="1"/>
    <col min="8458" max="8458" width="2" style="1201" customWidth="1"/>
    <col min="8459" max="8459" width="8.88671875" style="1201" customWidth="1"/>
    <col min="8460" max="8460" width="2" style="1201" customWidth="1"/>
    <col min="8461" max="8461" width="8.88671875" style="1201" customWidth="1"/>
    <col min="8462" max="8462" width="2.109375" style="1201" customWidth="1"/>
    <col min="8463" max="8464" width="8.88671875" style="1201"/>
    <col min="8465" max="8465" width="13.88671875" style="1201" bestFit="1" customWidth="1"/>
    <col min="8466" max="8694" width="8.88671875" style="1201"/>
    <col min="8695" max="8695" width="3.33203125" style="1201" customWidth="1"/>
    <col min="8696" max="8696" width="38.109375" style="1201" customWidth="1"/>
    <col min="8697" max="8697" width="5.5546875" style="1201" customWidth="1"/>
    <col min="8698" max="8698" width="8.88671875" style="1201" customWidth="1"/>
    <col min="8699" max="8699" width="2" style="1201" customWidth="1"/>
    <col min="8700" max="8700" width="8.88671875" style="1201" customWidth="1"/>
    <col min="8701" max="8701" width="2" style="1201" customWidth="1"/>
    <col min="8702" max="8702" width="8.88671875" style="1201" customWidth="1"/>
    <col min="8703" max="8703" width="2" style="1201" customWidth="1"/>
    <col min="8704" max="8704" width="8.88671875" style="1201" customWidth="1"/>
    <col min="8705" max="8705" width="2" style="1201" customWidth="1"/>
    <col min="8706" max="8706" width="9.33203125" style="1201" customWidth="1"/>
    <col min="8707" max="8707" width="2.33203125" style="1201" customWidth="1"/>
    <col min="8708" max="8708" width="1.33203125" style="1201" customWidth="1"/>
    <col min="8709" max="8709" width="8.88671875" style="1201" customWidth="1"/>
    <col min="8710" max="8710" width="2" style="1201" customWidth="1"/>
    <col min="8711" max="8711" width="8.88671875" style="1201" customWidth="1"/>
    <col min="8712" max="8712" width="2" style="1201" customWidth="1"/>
    <col min="8713" max="8713" width="8.88671875" style="1201" customWidth="1"/>
    <col min="8714" max="8714" width="2" style="1201" customWidth="1"/>
    <col min="8715" max="8715" width="8.88671875" style="1201" customWidth="1"/>
    <col min="8716" max="8716" width="2" style="1201" customWidth="1"/>
    <col min="8717" max="8717" width="8.88671875" style="1201" customWidth="1"/>
    <col min="8718" max="8718" width="2.109375" style="1201" customWidth="1"/>
    <col min="8719" max="8720" width="8.88671875" style="1201"/>
    <col min="8721" max="8721" width="13.88671875" style="1201" bestFit="1" customWidth="1"/>
    <col min="8722" max="8950" width="8.88671875" style="1201"/>
    <col min="8951" max="8951" width="3.33203125" style="1201" customWidth="1"/>
    <col min="8952" max="8952" width="38.109375" style="1201" customWidth="1"/>
    <col min="8953" max="8953" width="5.5546875" style="1201" customWidth="1"/>
    <col min="8954" max="8954" width="8.88671875" style="1201" customWidth="1"/>
    <col min="8955" max="8955" width="2" style="1201" customWidth="1"/>
    <col min="8956" max="8956" width="8.88671875" style="1201" customWidth="1"/>
    <col min="8957" max="8957" width="2" style="1201" customWidth="1"/>
    <col min="8958" max="8958" width="8.88671875" style="1201" customWidth="1"/>
    <col min="8959" max="8959" width="2" style="1201" customWidth="1"/>
    <col min="8960" max="8960" width="8.88671875" style="1201" customWidth="1"/>
    <col min="8961" max="8961" width="2" style="1201" customWidth="1"/>
    <col min="8962" max="8962" width="9.33203125" style="1201" customWidth="1"/>
    <col min="8963" max="8963" width="2.33203125" style="1201" customWidth="1"/>
    <col min="8964" max="8964" width="1.33203125" style="1201" customWidth="1"/>
    <col min="8965" max="8965" width="8.88671875" style="1201" customWidth="1"/>
    <col min="8966" max="8966" width="2" style="1201" customWidth="1"/>
    <col min="8967" max="8967" width="8.88671875" style="1201" customWidth="1"/>
    <col min="8968" max="8968" width="2" style="1201" customWidth="1"/>
    <col min="8969" max="8969" width="8.88671875" style="1201" customWidth="1"/>
    <col min="8970" max="8970" width="2" style="1201" customWidth="1"/>
    <col min="8971" max="8971" width="8.88671875" style="1201" customWidth="1"/>
    <col min="8972" max="8972" width="2" style="1201" customWidth="1"/>
    <col min="8973" max="8973" width="8.88671875" style="1201" customWidth="1"/>
    <col min="8974" max="8974" width="2.109375" style="1201" customWidth="1"/>
    <col min="8975" max="8976" width="8.88671875" style="1201"/>
    <col min="8977" max="8977" width="13.88671875" style="1201" bestFit="1" customWidth="1"/>
    <col min="8978" max="9206" width="8.88671875" style="1201"/>
    <col min="9207" max="9207" width="3.33203125" style="1201" customWidth="1"/>
    <col min="9208" max="9208" width="38.109375" style="1201" customWidth="1"/>
    <col min="9209" max="9209" width="5.5546875" style="1201" customWidth="1"/>
    <col min="9210" max="9210" width="8.88671875" style="1201" customWidth="1"/>
    <col min="9211" max="9211" width="2" style="1201" customWidth="1"/>
    <col min="9212" max="9212" width="8.88671875" style="1201" customWidth="1"/>
    <col min="9213" max="9213" width="2" style="1201" customWidth="1"/>
    <col min="9214" max="9214" width="8.88671875" style="1201" customWidth="1"/>
    <col min="9215" max="9215" width="2" style="1201" customWidth="1"/>
    <col min="9216" max="9216" width="8.88671875" style="1201" customWidth="1"/>
    <col min="9217" max="9217" width="2" style="1201" customWidth="1"/>
    <col min="9218" max="9218" width="9.33203125" style="1201" customWidth="1"/>
    <col min="9219" max="9219" width="2.33203125" style="1201" customWidth="1"/>
    <col min="9220" max="9220" width="1.33203125" style="1201" customWidth="1"/>
    <col min="9221" max="9221" width="8.88671875" style="1201" customWidth="1"/>
    <col min="9222" max="9222" width="2" style="1201" customWidth="1"/>
    <col min="9223" max="9223" width="8.88671875" style="1201" customWidth="1"/>
    <col min="9224" max="9224" width="2" style="1201" customWidth="1"/>
    <col min="9225" max="9225" width="8.88671875" style="1201" customWidth="1"/>
    <col min="9226" max="9226" width="2" style="1201" customWidth="1"/>
    <col min="9227" max="9227" width="8.88671875" style="1201" customWidth="1"/>
    <col min="9228" max="9228" width="2" style="1201" customWidth="1"/>
    <col min="9229" max="9229" width="8.88671875" style="1201" customWidth="1"/>
    <col min="9230" max="9230" width="2.109375" style="1201" customWidth="1"/>
    <col min="9231" max="9232" width="8.88671875" style="1201"/>
    <col min="9233" max="9233" width="13.88671875" style="1201" bestFit="1" customWidth="1"/>
    <col min="9234" max="9462" width="8.88671875" style="1201"/>
    <col min="9463" max="9463" width="3.33203125" style="1201" customWidth="1"/>
    <col min="9464" max="9464" width="38.109375" style="1201" customWidth="1"/>
    <col min="9465" max="9465" width="5.5546875" style="1201" customWidth="1"/>
    <col min="9466" max="9466" width="8.88671875" style="1201" customWidth="1"/>
    <col min="9467" max="9467" width="2" style="1201" customWidth="1"/>
    <col min="9468" max="9468" width="8.88671875" style="1201" customWidth="1"/>
    <col min="9469" max="9469" width="2" style="1201" customWidth="1"/>
    <col min="9470" max="9470" width="8.88671875" style="1201" customWidth="1"/>
    <col min="9471" max="9471" width="2" style="1201" customWidth="1"/>
    <col min="9472" max="9472" width="8.88671875" style="1201" customWidth="1"/>
    <col min="9473" max="9473" width="2" style="1201" customWidth="1"/>
    <col min="9474" max="9474" width="9.33203125" style="1201" customWidth="1"/>
    <col min="9475" max="9475" width="2.33203125" style="1201" customWidth="1"/>
    <col min="9476" max="9476" width="1.33203125" style="1201" customWidth="1"/>
    <col min="9477" max="9477" width="8.88671875" style="1201" customWidth="1"/>
    <col min="9478" max="9478" width="2" style="1201" customWidth="1"/>
    <col min="9479" max="9479" width="8.88671875" style="1201" customWidth="1"/>
    <col min="9480" max="9480" width="2" style="1201" customWidth="1"/>
    <col min="9481" max="9481" width="8.88671875" style="1201" customWidth="1"/>
    <col min="9482" max="9482" width="2" style="1201" customWidth="1"/>
    <col min="9483" max="9483" width="8.88671875" style="1201" customWidth="1"/>
    <col min="9484" max="9484" width="2" style="1201" customWidth="1"/>
    <col min="9485" max="9485" width="8.88671875" style="1201" customWidth="1"/>
    <col min="9486" max="9486" width="2.109375" style="1201" customWidth="1"/>
    <col min="9487" max="9488" width="8.88671875" style="1201"/>
    <col min="9489" max="9489" width="13.88671875" style="1201" bestFit="1" customWidth="1"/>
    <col min="9490" max="9718" width="8.88671875" style="1201"/>
    <col min="9719" max="9719" width="3.33203125" style="1201" customWidth="1"/>
    <col min="9720" max="9720" width="38.109375" style="1201" customWidth="1"/>
    <col min="9721" max="9721" width="5.5546875" style="1201" customWidth="1"/>
    <col min="9722" max="9722" width="8.88671875" style="1201" customWidth="1"/>
    <col min="9723" max="9723" width="2" style="1201" customWidth="1"/>
    <col min="9724" max="9724" width="8.88671875" style="1201" customWidth="1"/>
    <col min="9725" max="9725" width="2" style="1201" customWidth="1"/>
    <col min="9726" max="9726" width="8.88671875" style="1201" customWidth="1"/>
    <col min="9727" max="9727" width="2" style="1201" customWidth="1"/>
    <col min="9728" max="9728" width="8.88671875" style="1201" customWidth="1"/>
    <col min="9729" max="9729" width="2" style="1201" customWidth="1"/>
    <col min="9730" max="9730" width="9.33203125" style="1201" customWidth="1"/>
    <col min="9731" max="9731" width="2.33203125" style="1201" customWidth="1"/>
    <col min="9732" max="9732" width="1.33203125" style="1201" customWidth="1"/>
    <col min="9733" max="9733" width="8.88671875" style="1201" customWidth="1"/>
    <col min="9734" max="9734" width="2" style="1201" customWidth="1"/>
    <col min="9735" max="9735" width="8.88671875" style="1201" customWidth="1"/>
    <col min="9736" max="9736" width="2" style="1201" customWidth="1"/>
    <col min="9737" max="9737" width="8.88671875" style="1201" customWidth="1"/>
    <col min="9738" max="9738" width="2" style="1201" customWidth="1"/>
    <col min="9739" max="9739" width="8.88671875" style="1201" customWidth="1"/>
    <col min="9740" max="9740" width="2" style="1201" customWidth="1"/>
    <col min="9741" max="9741" width="8.88671875" style="1201" customWidth="1"/>
    <col min="9742" max="9742" width="2.109375" style="1201" customWidth="1"/>
    <col min="9743" max="9744" width="8.88671875" style="1201"/>
    <col min="9745" max="9745" width="13.88671875" style="1201" bestFit="1" customWidth="1"/>
    <col min="9746" max="9974" width="8.88671875" style="1201"/>
    <col min="9975" max="9975" width="3.33203125" style="1201" customWidth="1"/>
    <col min="9976" max="9976" width="38.109375" style="1201" customWidth="1"/>
    <col min="9977" max="9977" width="5.5546875" style="1201" customWidth="1"/>
    <col min="9978" max="9978" width="8.88671875" style="1201" customWidth="1"/>
    <col min="9979" max="9979" width="2" style="1201" customWidth="1"/>
    <col min="9980" max="9980" width="8.88671875" style="1201" customWidth="1"/>
    <col min="9981" max="9981" width="2" style="1201" customWidth="1"/>
    <col min="9982" max="9982" width="8.88671875" style="1201" customWidth="1"/>
    <col min="9983" max="9983" width="2" style="1201" customWidth="1"/>
    <col min="9984" max="9984" width="8.88671875" style="1201" customWidth="1"/>
    <col min="9985" max="9985" width="2" style="1201" customWidth="1"/>
    <col min="9986" max="9986" width="9.33203125" style="1201" customWidth="1"/>
    <col min="9987" max="9987" width="2.33203125" style="1201" customWidth="1"/>
    <col min="9988" max="9988" width="1.33203125" style="1201" customWidth="1"/>
    <col min="9989" max="9989" width="8.88671875" style="1201" customWidth="1"/>
    <col min="9990" max="9990" width="2" style="1201" customWidth="1"/>
    <col min="9991" max="9991" width="8.88671875" style="1201" customWidth="1"/>
    <col min="9992" max="9992" width="2" style="1201" customWidth="1"/>
    <col min="9993" max="9993" width="8.88671875" style="1201" customWidth="1"/>
    <col min="9994" max="9994" width="2" style="1201" customWidth="1"/>
    <col min="9995" max="9995" width="8.88671875" style="1201" customWidth="1"/>
    <col min="9996" max="9996" width="2" style="1201" customWidth="1"/>
    <col min="9997" max="9997" width="8.88671875" style="1201" customWidth="1"/>
    <col min="9998" max="9998" width="2.109375" style="1201" customWidth="1"/>
    <col min="9999" max="10000" width="8.88671875" style="1201"/>
    <col min="10001" max="10001" width="13.88671875" style="1201" bestFit="1" customWidth="1"/>
    <col min="10002" max="10230" width="8.88671875" style="1201"/>
    <col min="10231" max="10231" width="3.33203125" style="1201" customWidth="1"/>
    <col min="10232" max="10232" width="38.109375" style="1201" customWidth="1"/>
    <col min="10233" max="10233" width="5.5546875" style="1201" customWidth="1"/>
    <col min="10234" max="10234" width="8.88671875" style="1201" customWidth="1"/>
    <col min="10235" max="10235" width="2" style="1201" customWidth="1"/>
    <col min="10236" max="10236" width="8.88671875" style="1201" customWidth="1"/>
    <col min="10237" max="10237" width="2" style="1201" customWidth="1"/>
    <col min="10238" max="10238" width="8.88671875" style="1201" customWidth="1"/>
    <col min="10239" max="10239" width="2" style="1201" customWidth="1"/>
    <col min="10240" max="10240" width="8.88671875" style="1201" customWidth="1"/>
    <col min="10241" max="10241" width="2" style="1201" customWidth="1"/>
    <col min="10242" max="10242" width="9.33203125" style="1201" customWidth="1"/>
    <col min="10243" max="10243" width="2.33203125" style="1201" customWidth="1"/>
    <col min="10244" max="10244" width="1.33203125" style="1201" customWidth="1"/>
    <col min="10245" max="10245" width="8.88671875" style="1201" customWidth="1"/>
    <col min="10246" max="10246" width="2" style="1201" customWidth="1"/>
    <col min="10247" max="10247" width="8.88671875" style="1201" customWidth="1"/>
    <col min="10248" max="10248" width="2" style="1201" customWidth="1"/>
    <col min="10249" max="10249" width="8.88671875" style="1201" customWidth="1"/>
    <col min="10250" max="10250" width="2" style="1201" customWidth="1"/>
    <col min="10251" max="10251" width="8.88671875" style="1201" customWidth="1"/>
    <col min="10252" max="10252" width="2" style="1201" customWidth="1"/>
    <col min="10253" max="10253" width="8.88671875" style="1201" customWidth="1"/>
    <col min="10254" max="10254" width="2.109375" style="1201" customWidth="1"/>
    <col min="10255" max="10256" width="8.88671875" style="1201"/>
    <col min="10257" max="10257" width="13.88671875" style="1201" bestFit="1" customWidth="1"/>
    <col min="10258" max="10486" width="8.88671875" style="1201"/>
    <col min="10487" max="10487" width="3.33203125" style="1201" customWidth="1"/>
    <col min="10488" max="10488" width="38.109375" style="1201" customWidth="1"/>
    <col min="10489" max="10489" width="5.5546875" style="1201" customWidth="1"/>
    <col min="10490" max="10490" width="8.88671875" style="1201" customWidth="1"/>
    <col min="10491" max="10491" width="2" style="1201" customWidth="1"/>
    <col min="10492" max="10492" width="8.88671875" style="1201" customWidth="1"/>
    <col min="10493" max="10493" width="2" style="1201" customWidth="1"/>
    <col min="10494" max="10494" width="8.88671875" style="1201" customWidth="1"/>
    <col min="10495" max="10495" width="2" style="1201" customWidth="1"/>
    <col min="10496" max="10496" width="8.88671875" style="1201" customWidth="1"/>
    <col min="10497" max="10497" width="2" style="1201" customWidth="1"/>
    <col min="10498" max="10498" width="9.33203125" style="1201" customWidth="1"/>
    <col min="10499" max="10499" width="2.33203125" style="1201" customWidth="1"/>
    <col min="10500" max="10500" width="1.33203125" style="1201" customWidth="1"/>
    <col min="10501" max="10501" width="8.88671875" style="1201" customWidth="1"/>
    <col min="10502" max="10502" width="2" style="1201" customWidth="1"/>
    <col min="10503" max="10503" width="8.88671875" style="1201" customWidth="1"/>
    <col min="10504" max="10504" width="2" style="1201" customWidth="1"/>
    <col min="10505" max="10505" width="8.88671875" style="1201" customWidth="1"/>
    <col min="10506" max="10506" width="2" style="1201" customWidth="1"/>
    <col min="10507" max="10507" width="8.88671875" style="1201" customWidth="1"/>
    <col min="10508" max="10508" width="2" style="1201" customWidth="1"/>
    <col min="10509" max="10509" width="8.88671875" style="1201" customWidth="1"/>
    <col min="10510" max="10510" width="2.109375" style="1201" customWidth="1"/>
    <col min="10511" max="10512" width="8.88671875" style="1201"/>
    <col min="10513" max="10513" width="13.88671875" style="1201" bestFit="1" customWidth="1"/>
    <col min="10514" max="10742" width="8.88671875" style="1201"/>
    <col min="10743" max="10743" width="3.33203125" style="1201" customWidth="1"/>
    <col min="10744" max="10744" width="38.109375" style="1201" customWidth="1"/>
    <col min="10745" max="10745" width="5.5546875" style="1201" customWidth="1"/>
    <col min="10746" max="10746" width="8.88671875" style="1201" customWidth="1"/>
    <col min="10747" max="10747" width="2" style="1201" customWidth="1"/>
    <col min="10748" max="10748" width="8.88671875" style="1201" customWidth="1"/>
    <col min="10749" max="10749" width="2" style="1201" customWidth="1"/>
    <col min="10750" max="10750" width="8.88671875" style="1201" customWidth="1"/>
    <col min="10751" max="10751" width="2" style="1201" customWidth="1"/>
    <col min="10752" max="10752" width="8.88671875" style="1201" customWidth="1"/>
    <col min="10753" max="10753" width="2" style="1201" customWidth="1"/>
    <col min="10754" max="10754" width="9.33203125" style="1201" customWidth="1"/>
    <col min="10755" max="10755" width="2.33203125" style="1201" customWidth="1"/>
    <col min="10756" max="10756" width="1.33203125" style="1201" customWidth="1"/>
    <col min="10757" max="10757" width="8.88671875" style="1201" customWidth="1"/>
    <col min="10758" max="10758" width="2" style="1201" customWidth="1"/>
    <col min="10759" max="10759" width="8.88671875" style="1201" customWidth="1"/>
    <col min="10760" max="10760" width="2" style="1201" customWidth="1"/>
    <col min="10761" max="10761" width="8.88671875" style="1201" customWidth="1"/>
    <col min="10762" max="10762" width="2" style="1201" customWidth="1"/>
    <col min="10763" max="10763" width="8.88671875" style="1201" customWidth="1"/>
    <col min="10764" max="10764" width="2" style="1201" customWidth="1"/>
    <col min="10765" max="10765" width="8.88671875" style="1201" customWidth="1"/>
    <col min="10766" max="10766" width="2.109375" style="1201" customWidth="1"/>
    <col min="10767" max="10768" width="8.88671875" style="1201"/>
    <col min="10769" max="10769" width="13.88671875" style="1201" bestFit="1" customWidth="1"/>
    <col min="10770" max="10998" width="8.88671875" style="1201"/>
    <col min="10999" max="10999" width="3.33203125" style="1201" customWidth="1"/>
    <col min="11000" max="11000" width="38.109375" style="1201" customWidth="1"/>
    <col min="11001" max="11001" width="5.5546875" style="1201" customWidth="1"/>
    <col min="11002" max="11002" width="8.88671875" style="1201" customWidth="1"/>
    <col min="11003" max="11003" width="2" style="1201" customWidth="1"/>
    <col min="11004" max="11004" width="8.88671875" style="1201" customWidth="1"/>
    <col min="11005" max="11005" width="2" style="1201" customWidth="1"/>
    <col min="11006" max="11006" width="8.88671875" style="1201" customWidth="1"/>
    <col min="11007" max="11007" width="2" style="1201" customWidth="1"/>
    <col min="11008" max="11008" width="8.88671875" style="1201" customWidth="1"/>
    <col min="11009" max="11009" width="2" style="1201" customWidth="1"/>
    <col min="11010" max="11010" width="9.33203125" style="1201" customWidth="1"/>
    <col min="11011" max="11011" width="2.33203125" style="1201" customWidth="1"/>
    <col min="11012" max="11012" width="1.33203125" style="1201" customWidth="1"/>
    <col min="11013" max="11013" width="8.88671875" style="1201" customWidth="1"/>
    <col min="11014" max="11014" width="2" style="1201" customWidth="1"/>
    <col min="11015" max="11015" width="8.88671875" style="1201" customWidth="1"/>
    <col min="11016" max="11016" width="2" style="1201" customWidth="1"/>
    <col min="11017" max="11017" width="8.88671875" style="1201" customWidth="1"/>
    <col min="11018" max="11018" width="2" style="1201" customWidth="1"/>
    <col min="11019" max="11019" width="8.88671875" style="1201" customWidth="1"/>
    <col min="11020" max="11020" width="2" style="1201" customWidth="1"/>
    <col min="11021" max="11021" width="8.88671875" style="1201" customWidth="1"/>
    <col min="11022" max="11022" width="2.109375" style="1201" customWidth="1"/>
    <col min="11023" max="11024" width="8.88671875" style="1201"/>
    <col min="11025" max="11025" width="13.88671875" style="1201" bestFit="1" customWidth="1"/>
    <col min="11026" max="11254" width="8.88671875" style="1201"/>
    <col min="11255" max="11255" width="3.33203125" style="1201" customWidth="1"/>
    <col min="11256" max="11256" width="38.109375" style="1201" customWidth="1"/>
    <col min="11257" max="11257" width="5.5546875" style="1201" customWidth="1"/>
    <col min="11258" max="11258" width="8.88671875" style="1201" customWidth="1"/>
    <col min="11259" max="11259" width="2" style="1201" customWidth="1"/>
    <col min="11260" max="11260" width="8.88671875" style="1201" customWidth="1"/>
    <col min="11261" max="11261" width="2" style="1201" customWidth="1"/>
    <col min="11262" max="11262" width="8.88671875" style="1201" customWidth="1"/>
    <col min="11263" max="11263" width="2" style="1201" customWidth="1"/>
    <col min="11264" max="11264" width="8.88671875" style="1201" customWidth="1"/>
    <col min="11265" max="11265" width="2" style="1201" customWidth="1"/>
    <col min="11266" max="11266" width="9.33203125" style="1201" customWidth="1"/>
    <col min="11267" max="11267" width="2.33203125" style="1201" customWidth="1"/>
    <col min="11268" max="11268" width="1.33203125" style="1201" customWidth="1"/>
    <col min="11269" max="11269" width="8.88671875" style="1201" customWidth="1"/>
    <col min="11270" max="11270" width="2" style="1201" customWidth="1"/>
    <col min="11271" max="11271" width="8.88671875" style="1201" customWidth="1"/>
    <col min="11272" max="11272" width="2" style="1201" customWidth="1"/>
    <col min="11273" max="11273" width="8.88671875" style="1201" customWidth="1"/>
    <col min="11274" max="11274" width="2" style="1201" customWidth="1"/>
    <col min="11275" max="11275" width="8.88671875" style="1201" customWidth="1"/>
    <col min="11276" max="11276" width="2" style="1201" customWidth="1"/>
    <col min="11277" max="11277" width="8.88671875" style="1201" customWidth="1"/>
    <col min="11278" max="11278" width="2.109375" style="1201" customWidth="1"/>
    <col min="11279" max="11280" width="8.88671875" style="1201"/>
    <col min="11281" max="11281" width="13.88671875" style="1201" bestFit="1" customWidth="1"/>
    <col min="11282" max="11510" width="8.88671875" style="1201"/>
    <col min="11511" max="11511" width="3.33203125" style="1201" customWidth="1"/>
    <col min="11512" max="11512" width="38.109375" style="1201" customWidth="1"/>
    <col min="11513" max="11513" width="5.5546875" style="1201" customWidth="1"/>
    <col min="11514" max="11514" width="8.88671875" style="1201" customWidth="1"/>
    <col min="11515" max="11515" width="2" style="1201" customWidth="1"/>
    <col min="11516" max="11516" width="8.88671875" style="1201" customWidth="1"/>
    <col min="11517" max="11517" width="2" style="1201" customWidth="1"/>
    <col min="11518" max="11518" width="8.88671875" style="1201" customWidth="1"/>
    <col min="11519" max="11519" width="2" style="1201" customWidth="1"/>
    <col min="11520" max="11520" width="8.88671875" style="1201" customWidth="1"/>
    <col min="11521" max="11521" width="2" style="1201" customWidth="1"/>
    <col min="11522" max="11522" width="9.33203125" style="1201" customWidth="1"/>
    <col min="11523" max="11523" width="2.33203125" style="1201" customWidth="1"/>
    <col min="11524" max="11524" width="1.33203125" style="1201" customWidth="1"/>
    <col min="11525" max="11525" width="8.88671875" style="1201" customWidth="1"/>
    <col min="11526" max="11526" width="2" style="1201" customWidth="1"/>
    <col min="11527" max="11527" width="8.88671875" style="1201" customWidth="1"/>
    <col min="11528" max="11528" width="2" style="1201" customWidth="1"/>
    <col min="11529" max="11529" width="8.88671875" style="1201" customWidth="1"/>
    <col min="11530" max="11530" width="2" style="1201" customWidth="1"/>
    <col min="11531" max="11531" width="8.88671875" style="1201" customWidth="1"/>
    <col min="11532" max="11532" width="2" style="1201" customWidth="1"/>
    <col min="11533" max="11533" width="8.88671875" style="1201" customWidth="1"/>
    <col min="11534" max="11534" width="2.109375" style="1201" customWidth="1"/>
    <col min="11535" max="11536" width="8.88671875" style="1201"/>
    <col min="11537" max="11537" width="13.88671875" style="1201" bestFit="1" customWidth="1"/>
    <col min="11538" max="11766" width="8.88671875" style="1201"/>
    <col min="11767" max="11767" width="3.33203125" style="1201" customWidth="1"/>
    <col min="11768" max="11768" width="38.109375" style="1201" customWidth="1"/>
    <col min="11769" max="11769" width="5.5546875" style="1201" customWidth="1"/>
    <col min="11770" max="11770" width="8.88671875" style="1201" customWidth="1"/>
    <col min="11771" max="11771" width="2" style="1201" customWidth="1"/>
    <col min="11772" max="11772" width="8.88671875" style="1201" customWidth="1"/>
    <col min="11773" max="11773" width="2" style="1201" customWidth="1"/>
    <col min="11774" max="11774" width="8.88671875" style="1201" customWidth="1"/>
    <col min="11775" max="11775" width="2" style="1201" customWidth="1"/>
    <col min="11776" max="11776" width="8.88671875" style="1201" customWidth="1"/>
    <col min="11777" max="11777" width="2" style="1201" customWidth="1"/>
    <col min="11778" max="11778" width="9.33203125" style="1201" customWidth="1"/>
    <col min="11779" max="11779" width="2.33203125" style="1201" customWidth="1"/>
    <col min="11780" max="11780" width="1.33203125" style="1201" customWidth="1"/>
    <col min="11781" max="11781" width="8.88671875" style="1201" customWidth="1"/>
    <col min="11782" max="11782" width="2" style="1201" customWidth="1"/>
    <col min="11783" max="11783" width="8.88671875" style="1201" customWidth="1"/>
    <col min="11784" max="11784" width="2" style="1201" customWidth="1"/>
    <col min="11785" max="11785" width="8.88671875" style="1201" customWidth="1"/>
    <col min="11786" max="11786" width="2" style="1201" customWidth="1"/>
    <col min="11787" max="11787" width="8.88671875" style="1201" customWidth="1"/>
    <col min="11788" max="11788" width="2" style="1201" customWidth="1"/>
    <col min="11789" max="11789" width="8.88671875" style="1201" customWidth="1"/>
    <col min="11790" max="11790" width="2.109375" style="1201" customWidth="1"/>
    <col min="11791" max="11792" width="8.88671875" style="1201"/>
    <col min="11793" max="11793" width="13.88671875" style="1201" bestFit="1" customWidth="1"/>
    <col min="11794" max="12022" width="8.88671875" style="1201"/>
    <col min="12023" max="12023" width="3.33203125" style="1201" customWidth="1"/>
    <col min="12024" max="12024" width="38.109375" style="1201" customWidth="1"/>
    <col min="12025" max="12025" width="5.5546875" style="1201" customWidth="1"/>
    <col min="12026" max="12026" width="8.88671875" style="1201" customWidth="1"/>
    <col min="12027" max="12027" width="2" style="1201" customWidth="1"/>
    <col min="12028" max="12028" width="8.88671875" style="1201" customWidth="1"/>
    <col min="12029" max="12029" width="2" style="1201" customWidth="1"/>
    <col min="12030" max="12030" width="8.88671875" style="1201" customWidth="1"/>
    <col min="12031" max="12031" width="2" style="1201" customWidth="1"/>
    <col min="12032" max="12032" width="8.88671875" style="1201" customWidth="1"/>
    <col min="12033" max="12033" width="2" style="1201" customWidth="1"/>
    <col min="12034" max="12034" width="9.33203125" style="1201" customWidth="1"/>
    <col min="12035" max="12035" width="2.33203125" style="1201" customWidth="1"/>
    <col min="12036" max="12036" width="1.33203125" style="1201" customWidth="1"/>
    <col min="12037" max="12037" width="8.88671875" style="1201" customWidth="1"/>
    <col min="12038" max="12038" width="2" style="1201" customWidth="1"/>
    <col min="12039" max="12039" width="8.88671875" style="1201" customWidth="1"/>
    <col min="12040" max="12040" width="2" style="1201" customWidth="1"/>
    <col min="12041" max="12041" width="8.88671875" style="1201" customWidth="1"/>
    <col min="12042" max="12042" width="2" style="1201" customWidth="1"/>
    <col min="12043" max="12043" width="8.88671875" style="1201" customWidth="1"/>
    <col min="12044" max="12044" width="2" style="1201" customWidth="1"/>
    <col min="12045" max="12045" width="8.88671875" style="1201" customWidth="1"/>
    <col min="12046" max="12046" width="2.109375" style="1201" customWidth="1"/>
    <col min="12047" max="12048" width="8.88671875" style="1201"/>
    <col min="12049" max="12049" width="13.88671875" style="1201" bestFit="1" customWidth="1"/>
    <col min="12050" max="12278" width="8.88671875" style="1201"/>
    <col min="12279" max="12279" width="3.33203125" style="1201" customWidth="1"/>
    <col min="12280" max="12280" width="38.109375" style="1201" customWidth="1"/>
    <col min="12281" max="12281" width="5.5546875" style="1201" customWidth="1"/>
    <col min="12282" max="12282" width="8.88671875" style="1201" customWidth="1"/>
    <col min="12283" max="12283" width="2" style="1201" customWidth="1"/>
    <col min="12284" max="12284" width="8.88671875" style="1201" customWidth="1"/>
    <col min="12285" max="12285" width="2" style="1201" customWidth="1"/>
    <col min="12286" max="12286" width="8.88671875" style="1201" customWidth="1"/>
    <col min="12287" max="12287" width="2" style="1201" customWidth="1"/>
    <col min="12288" max="12288" width="8.88671875" style="1201" customWidth="1"/>
    <col min="12289" max="12289" width="2" style="1201" customWidth="1"/>
    <col min="12290" max="12290" width="9.33203125" style="1201" customWidth="1"/>
    <col min="12291" max="12291" width="2.33203125" style="1201" customWidth="1"/>
    <col min="12292" max="12292" width="1.33203125" style="1201" customWidth="1"/>
    <col min="12293" max="12293" width="8.88671875" style="1201" customWidth="1"/>
    <col min="12294" max="12294" width="2" style="1201" customWidth="1"/>
    <col min="12295" max="12295" width="8.88671875" style="1201" customWidth="1"/>
    <col min="12296" max="12296" width="2" style="1201" customWidth="1"/>
    <col min="12297" max="12297" width="8.88671875" style="1201" customWidth="1"/>
    <col min="12298" max="12298" width="2" style="1201" customWidth="1"/>
    <col min="12299" max="12299" width="8.88671875" style="1201" customWidth="1"/>
    <col min="12300" max="12300" width="2" style="1201" customWidth="1"/>
    <col min="12301" max="12301" width="8.88671875" style="1201" customWidth="1"/>
    <col min="12302" max="12302" width="2.109375" style="1201" customWidth="1"/>
    <col min="12303" max="12304" width="8.88671875" style="1201"/>
    <col min="12305" max="12305" width="13.88671875" style="1201" bestFit="1" customWidth="1"/>
    <col min="12306" max="12534" width="8.88671875" style="1201"/>
    <col min="12535" max="12535" width="3.33203125" style="1201" customWidth="1"/>
    <col min="12536" max="12536" width="38.109375" style="1201" customWidth="1"/>
    <col min="12537" max="12537" width="5.5546875" style="1201" customWidth="1"/>
    <col min="12538" max="12538" width="8.88671875" style="1201" customWidth="1"/>
    <col min="12539" max="12539" width="2" style="1201" customWidth="1"/>
    <col min="12540" max="12540" width="8.88671875" style="1201" customWidth="1"/>
    <col min="12541" max="12541" width="2" style="1201" customWidth="1"/>
    <col min="12542" max="12542" width="8.88671875" style="1201" customWidth="1"/>
    <col min="12543" max="12543" width="2" style="1201" customWidth="1"/>
    <col min="12544" max="12544" width="8.88671875" style="1201" customWidth="1"/>
    <col min="12545" max="12545" width="2" style="1201" customWidth="1"/>
    <col min="12546" max="12546" width="9.33203125" style="1201" customWidth="1"/>
    <col min="12547" max="12547" width="2.33203125" style="1201" customWidth="1"/>
    <col min="12548" max="12548" width="1.33203125" style="1201" customWidth="1"/>
    <col min="12549" max="12549" width="8.88671875" style="1201" customWidth="1"/>
    <col min="12550" max="12550" width="2" style="1201" customWidth="1"/>
    <col min="12551" max="12551" width="8.88671875" style="1201" customWidth="1"/>
    <col min="12552" max="12552" width="2" style="1201" customWidth="1"/>
    <col min="12553" max="12553" width="8.88671875" style="1201" customWidth="1"/>
    <col min="12554" max="12554" width="2" style="1201" customWidth="1"/>
    <col min="12555" max="12555" width="8.88671875" style="1201" customWidth="1"/>
    <col min="12556" max="12556" width="2" style="1201" customWidth="1"/>
    <col min="12557" max="12557" width="8.88671875" style="1201" customWidth="1"/>
    <col min="12558" max="12558" width="2.109375" style="1201" customWidth="1"/>
    <col min="12559" max="12560" width="8.88671875" style="1201"/>
    <col min="12561" max="12561" width="13.88671875" style="1201" bestFit="1" customWidth="1"/>
    <col min="12562" max="12790" width="8.88671875" style="1201"/>
    <col min="12791" max="12791" width="3.33203125" style="1201" customWidth="1"/>
    <col min="12792" max="12792" width="38.109375" style="1201" customWidth="1"/>
    <col min="12793" max="12793" width="5.5546875" style="1201" customWidth="1"/>
    <col min="12794" max="12794" width="8.88671875" style="1201" customWidth="1"/>
    <col min="12795" max="12795" width="2" style="1201" customWidth="1"/>
    <col min="12796" max="12796" width="8.88671875" style="1201" customWidth="1"/>
    <col min="12797" max="12797" width="2" style="1201" customWidth="1"/>
    <col min="12798" max="12798" width="8.88671875" style="1201" customWidth="1"/>
    <col min="12799" max="12799" width="2" style="1201" customWidth="1"/>
    <col min="12800" max="12800" width="8.88671875" style="1201" customWidth="1"/>
    <col min="12801" max="12801" width="2" style="1201" customWidth="1"/>
    <col min="12802" max="12802" width="9.33203125" style="1201" customWidth="1"/>
    <col min="12803" max="12803" width="2.33203125" style="1201" customWidth="1"/>
    <col min="12804" max="12804" width="1.33203125" style="1201" customWidth="1"/>
    <col min="12805" max="12805" width="8.88671875" style="1201" customWidth="1"/>
    <col min="12806" max="12806" width="2" style="1201" customWidth="1"/>
    <col min="12807" max="12807" width="8.88671875" style="1201" customWidth="1"/>
    <col min="12808" max="12808" width="2" style="1201" customWidth="1"/>
    <col min="12809" max="12809" width="8.88671875" style="1201" customWidth="1"/>
    <col min="12810" max="12810" width="2" style="1201" customWidth="1"/>
    <col min="12811" max="12811" width="8.88671875" style="1201" customWidth="1"/>
    <col min="12812" max="12812" width="2" style="1201" customWidth="1"/>
    <col min="12813" max="12813" width="8.88671875" style="1201" customWidth="1"/>
    <col min="12814" max="12814" width="2.109375" style="1201" customWidth="1"/>
    <col min="12815" max="12816" width="8.88671875" style="1201"/>
    <col min="12817" max="12817" width="13.88671875" style="1201" bestFit="1" customWidth="1"/>
    <col min="12818" max="13046" width="8.88671875" style="1201"/>
    <col min="13047" max="13047" width="3.33203125" style="1201" customWidth="1"/>
    <col min="13048" max="13048" width="38.109375" style="1201" customWidth="1"/>
    <col min="13049" max="13049" width="5.5546875" style="1201" customWidth="1"/>
    <col min="13050" max="13050" width="8.88671875" style="1201" customWidth="1"/>
    <col min="13051" max="13051" width="2" style="1201" customWidth="1"/>
    <col min="13052" max="13052" width="8.88671875" style="1201" customWidth="1"/>
    <col min="13053" max="13053" width="2" style="1201" customWidth="1"/>
    <col min="13054" max="13054" width="8.88671875" style="1201" customWidth="1"/>
    <col min="13055" max="13055" width="2" style="1201" customWidth="1"/>
    <col min="13056" max="13056" width="8.88671875" style="1201" customWidth="1"/>
    <col min="13057" max="13057" width="2" style="1201" customWidth="1"/>
    <col min="13058" max="13058" width="9.33203125" style="1201" customWidth="1"/>
    <col min="13059" max="13059" width="2.33203125" style="1201" customWidth="1"/>
    <col min="13060" max="13060" width="1.33203125" style="1201" customWidth="1"/>
    <col min="13061" max="13061" width="8.88671875" style="1201" customWidth="1"/>
    <col min="13062" max="13062" width="2" style="1201" customWidth="1"/>
    <col min="13063" max="13063" width="8.88671875" style="1201" customWidth="1"/>
    <col min="13064" max="13064" width="2" style="1201" customWidth="1"/>
    <col min="13065" max="13065" width="8.88671875" style="1201" customWidth="1"/>
    <col min="13066" max="13066" width="2" style="1201" customWidth="1"/>
    <col min="13067" max="13067" width="8.88671875" style="1201" customWidth="1"/>
    <col min="13068" max="13068" width="2" style="1201" customWidth="1"/>
    <col min="13069" max="13069" width="8.88671875" style="1201" customWidth="1"/>
    <col min="13070" max="13070" width="2.109375" style="1201" customWidth="1"/>
    <col min="13071" max="13072" width="8.88671875" style="1201"/>
    <col min="13073" max="13073" width="13.88671875" style="1201" bestFit="1" customWidth="1"/>
    <col min="13074" max="13302" width="8.88671875" style="1201"/>
    <col min="13303" max="13303" width="3.33203125" style="1201" customWidth="1"/>
    <col min="13304" max="13304" width="38.109375" style="1201" customWidth="1"/>
    <col min="13305" max="13305" width="5.5546875" style="1201" customWidth="1"/>
    <col min="13306" max="13306" width="8.88671875" style="1201" customWidth="1"/>
    <col min="13307" max="13307" width="2" style="1201" customWidth="1"/>
    <col min="13308" max="13308" width="8.88671875" style="1201" customWidth="1"/>
    <col min="13309" max="13309" width="2" style="1201" customWidth="1"/>
    <col min="13310" max="13310" width="8.88671875" style="1201" customWidth="1"/>
    <col min="13311" max="13311" width="2" style="1201" customWidth="1"/>
    <col min="13312" max="13312" width="8.88671875" style="1201" customWidth="1"/>
    <col min="13313" max="13313" width="2" style="1201" customWidth="1"/>
    <col min="13314" max="13314" width="9.33203125" style="1201" customWidth="1"/>
    <col min="13315" max="13315" width="2.33203125" style="1201" customWidth="1"/>
    <col min="13316" max="13316" width="1.33203125" style="1201" customWidth="1"/>
    <col min="13317" max="13317" width="8.88671875" style="1201" customWidth="1"/>
    <col min="13318" max="13318" width="2" style="1201" customWidth="1"/>
    <col min="13319" max="13319" width="8.88671875" style="1201" customWidth="1"/>
    <col min="13320" max="13320" width="2" style="1201" customWidth="1"/>
    <col min="13321" max="13321" width="8.88671875" style="1201" customWidth="1"/>
    <col min="13322" max="13322" width="2" style="1201" customWidth="1"/>
    <col min="13323" max="13323" width="8.88671875" style="1201" customWidth="1"/>
    <col min="13324" max="13324" width="2" style="1201" customWidth="1"/>
    <col min="13325" max="13325" width="8.88671875" style="1201" customWidth="1"/>
    <col min="13326" max="13326" width="2.109375" style="1201" customWidth="1"/>
    <col min="13327" max="13328" width="8.88671875" style="1201"/>
    <col min="13329" max="13329" width="13.88671875" style="1201" bestFit="1" customWidth="1"/>
    <col min="13330" max="13558" width="8.88671875" style="1201"/>
    <col min="13559" max="13559" width="3.33203125" style="1201" customWidth="1"/>
    <col min="13560" max="13560" width="38.109375" style="1201" customWidth="1"/>
    <col min="13561" max="13561" width="5.5546875" style="1201" customWidth="1"/>
    <col min="13562" max="13562" width="8.88671875" style="1201" customWidth="1"/>
    <col min="13563" max="13563" width="2" style="1201" customWidth="1"/>
    <col min="13564" max="13564" width="8.88671875" style="1201" customWidth="1"/>
    <col min="13565" max="13565" width="2" style="1201" customWidth="1"/>
    <col min="13566" max="13566" width="8.88671875" style="1201" customWidth="1"/>
    <col min="13567" max="13567" width="2" style="1201" customWidth="1"/>
    <col min="13568" max="13568" width="8.88671875" style="1201" customWidth="1"/>
    <col min="13569" max="13569" width="2" style="1201" customWidth="1"/>
    <col min="13570" max="13570" width="9.33203125" style="1201" customWidth="1"/>
    <col min="13571" max="13571" width="2.33203125" style="1201" customWidth="1"/>
    <col min="13572" max="13572" width="1.33203125" style="1201" customWidth="1"/>
    <col min="13573" max="13573" width="8.88671875" style="1201" customWidth="1"/>
    <col min="13574" max="13574" width="2" style="1201" customWidth="1"/>
    <col min="13575" max="13575" width="8.88671875" style="1201" customWidth="1"/>
    <col min="13576" max="13576" width="2" style="1201" customWidth="1"/>
    <col min="13577" max="13577" width="8.88671875" style="1201" customWidth="1"/>
    <col min="13578" max="13578" width="2" style="1201" customWidth="1"/>
    <col min="13579" max="13579" width="8.88671875" style="1201" customWidth="1"/>
    <col min="13580" max="13580" width="2" style="1201" customWidth="1"/>
    <col min="13581" max="13581" width="8.88671875" style="1201" customWidth="1"/>
    <col min="13582" max="13582" width="2.109375" style="1201" customWidth="1"/>
    <col min="13583" max="13584" width="8.88671875" style="1201"/>
    <col min="13585" max="13585" width="13.88671875" style="1201" bestFit="1" customWidth="1"/>
    <col min="13586" max="13814" width="8.88671875" style="1201"/>
    <col min="13815" max="13815" width="3.33203125" style="1201" customWidth="1"/>
    <col min="13816" max="13816" width="38.109375" style="1201" customWidth="1"/>
    <col min="13817" max="13817" width="5.5546875" style="1201" customWidth="1"/>
    <col min="13818" max="13818" width="8.88671875" style="1201" customWidth="1"/>
    <col min="13819" max="13819" width="2" style="1201" customWidth="1"/>
    <col min="13820" max="13820" width="8.88671875" style="1201" customWidth="1"/>
    <col min="13821" max="13821" width="2" style="1201" customWidth="1"/>
    <col min="13822" max="13822" width="8.88671875" style="1201" customWidth="1"/>
    <col min="13823" max="13823" width="2" style="1201" customWidth="1"/>
    <col min="13824" max="13824" width="8.88671875" style="1201" customWidth="1"/>
    <col min="13825" max="13825" width="2" style="1201" customWidth="1"/>
    <col min="13826" max="13826" width="9.33203125" style="1201" customWidth="1"/>
    <col min="13827" max="13827" width="2.33203125" style="1201" customWidth="1"/>
    <col min="13828" max="13828" width="1.33203125" style="1201" customWidth="1"/>
    <col min="13829" max="13829" width="8.88671875" style="1201" customWidth="1"/>
    <col min="13830" max="13830" width="2" style="1201" customWidth="1"/>
    <col min="13831" max="13831" width="8.88671875" style="1201" customWidth="1"/>
    <col min="13832" max="13832" width="2" style="1201" customWidth="1"/>
    <col min="13833" max="13833" width="8.88671875" style="1201" customWidth="1"/>
    <col min="13834" max="13834" width="2" style="1201" customWidth="1"/>
    <col min="13835" max="13835" width="8.88671875" style="1201" customWidth="1"/>
    <col min="13836" max="13836" width="2" style="1201" customWidth="1"/>
    <col min="13837" max="13837" width="8.88671875" style="1201" customWidth="1"/>
    <col min="13838" max="13838" width="2.109375" style="1201" customWidth="1"/>
    <col min="13839" max="13840" width="8.88671875" style="1201"/>
    <col min="13841" max="13841" width="13.88671875" style="1201" bestFit="1" customWidth="1"/>
    <col min="13842" max="14070" width="8.88671875" style="1201"/>
    <col min="14071" max="14071" width="3.33203125" style="1201" customWidth="1"/>
    <col min="14072" max="14072" width="38.109375" style="1201" customWidth="1"/>
    <col min="14073" max="14073" width="5.5546875" style="1201" customWidth="1"/>
    <col min="14074" max="14074" width="8.88671875" style="1201" customWidth="1"/>
    <col min="14075" max="14075" width="2" style="1201" customWidth="1"/>
    <col min="14076" max="14076" width="8.88671875" style="1201" customWidth="1"/>
    <col min="14077" max="14077" width="2" style="1201" customWidth="1"/>
    <col min="14078" max="14078" width="8.88671875" style="1201" customWidth="1"/>
    <col min="14079" max="14079" width="2" style="1201" customWidth="1"/>
    <col min="14080" max="14080" width="8.88671875" style="1201" customWidth="1"/>
    <col min="14081" max="14081" width="2" style="1201" customWidth="1"/>
    <col min="14082" max="14082" width="9.33203125" style="1201" customWidth="1"/>
    <col min="14083" max="14083" width="2.33203125" style="1201" customWidth="1"/>
    <col min="14084" max="14084" width="1.33203125" style="1201" customWidth="1"/>
    <col min="14085" max="14085" width="8.88671875" style="1201" customWidth="1"/>
    <col min="14086" max="14086" width="2" style="1201" customWidth="1"/>
    <col min="14087" max="14087" width="8.88671875" style="1201" customWidth="1"/>
    <col min="14088" max="14088" width="2" style="1201" customWidth="1"/>
    <col min="14089" max="14089" width="8.88671875" style="1201" customWidth="1"/>
    <col min="14090" max="14090" width="2" style="1201" customWidth="1"/>
    <col min="14091" max="14091" width="8.88671875" style="1201" customWidth="1"/>
    <col min="14092" max="14092" width="2" style="1201" customWidth="1"/>
    <col min="14093" max="14093" width="8.88671875" style="1201" customWidth="1"/>
    <col min="14094" max="14094" width="2.109375" style="1201" customWidth="1"/>
    <col min="14095" max="14096" width="8.88671875" style="1201"/>
    <col min="14097" max="14097" width="13.88671875" style="1201" bestFit="1" customWidth="1"/>
    <col min="14098" max="14326" width="8.88671875" style="1201"/>
    <col min="14327" max="14327" width="3.33203125" style="1201" customWidth="1"/>
    <col min="14328" max="14328" width="38.109375" style="1201" customWidth="1"/>
    <col min="14329" max="14329" width="5.5546875" style="1201" customWidth="1"/>
    <col min="14330" max="14330" width="8.88671875" style="1201" customWidth="1"/>
    <col min="14331" max="14331" width="2" style="1201" customWidth="1"/>
    <col min="14332" max="14332" width="8.88671875" style="1201" customWidth="1"/>
    <col min="14333" max="14333" width="2" style="1201" customWidth="1"/>
    <col min="14334" max="14334" width="8.88671875" style="1201" customWidth="1"/>
    <col min="14335" max="14335" width="2" style="1201" customWidth="1"/>
    <col min="14336" max="14336" width="8.88671875" style="1201" customWidth="1"/>
    <col min="14337" max="14337" width="2" style="1201" customWidth="1"/>
    <col min="14338" max="14338" width="9.33203125" style="1201" customWidth="1"/>
    <col min="14339" max="14339" width="2.33203125" style="1201" customWidth="1"/>
    <col min="14340" max="14340" width="1.33203125" style="1201" customWidth="1"/>
    <col min="14341" max="14341" width="8.88671875" style="1201" customWidth="1"/>
    <col min="14342" max="14342" width="2" style="1201" customWidth="1"/>
    <col min="14343" max="14343" width="8.88671875" style="1201" customWidth="1"/>
    <col min="14344" max="14344" width="2" style="1201" customWidth="1"/>
    <col min="14345" max="14345" width="8.88671875" style="1201" customWidth="1"/>
    <col min="14346" max="14346" width="2" style="1201" customWidth="1"/>
    <col min="14347" max="14347" width="8.88671875" style="1201" customWidth="1"/>
    <col min="14348" max="14348" width="2" style="1201" customWidth="1"/>
    <col min="14349" max="14349" width="8.88671875" style="1201" customWidth="1"/>
    <col min="14350" max="14350" width="2.109375" style="1201" customWidth="1"/>
    <col min="14351" max="14352" width="8.88671875" style="1201"/>
    <col min="14353" max="14353" width="13.88671875" style="1201" bestFit="1" customWidth="1"/>
    <col min="14354" max="14582" width="8.88671875" style="1201"/>
    <col min="14583" max="14583" width="3.33203125" style="1201" customWidth="1"/>
    <col min="14584" max="14584" width="38.109375" style="1201" customWidth="1"/>
    <col min="14585" max="14585" width="5.5546875" style="1201" customWidth="1"/>
    <col min="14586" max="14586" width="8.88671875" style="1201" customWidth="1"/>
    <col min="14587" max="14587" width="2" style="1201" customWidth="1"/>
    <col min="14588" max="14588" width="8.88671875" style="1201" customWidth="1"/>
    <col min="14589" max="14589" width="2" style="1201" customWidth="1"/>
    <col min="14590" max="14590" width="8.88671875" style="1201" customWidth="1"/>
    <col min="14591" max="14591" width="2" style="1201" customWidth="1"/>
    <col min="14592" max="14592" width="8.88671875" style="1201" customWidth="1"/>
    <col min="14593" max="14593" width="2" style="1201" customWidth="1"/>
    <col min="14594" max="14594" width="9.33203125" style="1201" customWidth="1"/>
    <col min="14595" max="14595" width="2.33203125" style="1201" customWidth="1"/>
    <col min="14596" max="14596" width="1.33203125" style="1201" customWidth="1"/>
    <col min="14597" max="14597" width="8.88671875" style="1201" customWidth="1"/>
    <col min="14598" max="14598" width="2" style="1201" customWidth="1"/>
    <col min="14599" max="14599" width="8.88671875" style="1201" customWidth="1"/>
    <col min="14600" max="14600" width="2" style="1201" customWidth="1"/>
    <col min="14601" max="14601" width="8.88671875" style="1201" customWidth="1"/>
    <col min="14602" max="14602" width="2" style="1201" customWidth="1"/>
    <col min="14603" max="14603" width="8.88671875" style="1201" customWidth="1"/>
    <col min="14604" max="14604" width="2" style="1201" customWidth="1"/>
    <col min="14605" max="14605" width="8.88671875" style="1201" customWidth="1"/>
    <col min="14606" max="14606" width="2.109375" style="1201" customWidth="1"/>
    <col min="14607" max="14608" width="8.88671875" style="1201"/>
    <col min="14609" max="14609" width="13.88671875" style="1201" bestFit="1" customWidth="1"/>
    <col min="14610" max="14838" width="8.88671875" style="1201"/>
    <col min="14839" max="14839" width="3.33203125" style="1201" customWidth="1"/>
    <col min="14840" max="14840" width="38.109375" style="1201" customWidth="1"/>
    <col min="14841" max="14841" width="5.5546875" style="1201" customWidth="1"/>
    <col min="14842" max="14842" width="8.88671875" style="1201" customWidth="1"/>
    <col min="14843" max="14843" width="2" style="1201" customWidth="1"/>
    <col min="14844" max="14844" width="8.88671875" style="1201" customWidth="1"/>
    <col min="14845" max="14845" width="2" style="1201" customWidth="1"/>
    <col min="14846" max="14846" width="8.88671875" style="1201" customWidth="1"/>
    <col min="14847" max="14847" width="2" style="1201" customWidth="1"/>
    <col min="14848" max="14848" width="8.88671875" style="1201" customWidth="1"/>
    <col min="14849" max="14849" width="2" style="1201" customWidth="1"/>
    <col min="14850" max="14850" width="9.33203125" style="1201" customWidth="1"/>
    <col min="14851" max="14851" width="2.33203125" style="1201" customWidth="1"/>
    <col min="14852" max="14852" width="1.33203125" style="1201" customWidth="1"/>
    <col min="14853" max="14853" width="8.88671875" style="1201" customWidth="1"/>
    <col min="14854" max="14854" width="2" style="1201" customWidth="1"/>
    <col min="14855" max="14855" width="8.88671875" style="1201" customWidth="1"/>
    <col min="14856" max="14856" width="2" style="1201" customWidth="1"/>
    <col min="14857" max="14857" width="8.88671875" style="1201" customWidth="1"/>
    <col min="14858" max="14858" width="2" style="1201" customWidth="1"/>
    <col min="14859" max="14859" width="8.88671875" style="1201" customWidth="1"/>
    <col min="14860" max="14860" width="2" style="1201" customWidth="1"/>
    <col min="14861" max="14861" width="8.88671875" style="1201" customWidth="1"/>
    <col min="14862" max="14862" width="2.109375" style="1201" customWidth="1"/>
    <col min="14863" max="14864" width="8.88671875" style="1201"/>
    <col min="14865" max="14865" width="13.88671875" style="1201" bestFit="1" customWidth="1"/>
    <col min="14866" max="15094" width="8.88671875" style="1201"/>
    <col min="15095" max="15095" width="3.33203125" style="1201" customWidth="1"/>
    <col min="15096" max="15096" width="38.109375" style="1201" customWidth="1"/>
    <col min="15097" max="15097" width="5.5546875" style="1201" customWidth="1"/>
    <col min="15098" max="15098" width="8.88671875" style="1201" customWidth="1"/>
    <col min="15099" max="15099" width="2" style="1201" customWidth="1"/>
    <col min="15100" max="15100" width="8.88671875" style="1201" customWidth="1"/>
    <col min="15101" max="15101" width="2" style="1201" customWidth="1"/>
    <col min="15102" max="15102" width="8.88671875" style="1201" customWidth="1"/>
    <col min="15103" max="15103" width="2" style="1201" customWidth="1"/>
    <col min="15104" max="15104" width="8.88671875" style="1201" customWidth="1"/>
    <col min="15105" max="15105" width="2" style="1201" customWidth="1"/>
    <col min="15106" max="15106" width="9.33203125" style="1201" customWidth="1"/>
    <col min="15107" max="15107" width="2.33203125" style="1201" customWidth="1"/>
    <col min="15108" max="15108" width="1.33203125" style="1201" customWidth="1"/>
    <col min="15109" max="15109" width="8.88671875" style="1201" customWidth="1"/>
    <col min="15110" max="15110" width="2" style="1201" customWidth="1"/>
    <col min="15111" max="15111" width="8.88671875" style="1201" customWidth="1"/>
    <col min="15112" max="15112" width="2" style="1201" customWidth="1"/>
    <col min="15113" max="15113" width="8.88671875" style="1201" customWidth="1"/>
    <col min="15114" max="15114" width="2" style="1201" customWidth="1"/>
    <col min="15115" max="15115" width="8.88671875" style="1201" customWidth="1"/>
    <col min="15116" max="15116" width="2" style="1201" customWidth="1"/>
    <col min="15117" max="15117" width="8.88671875" style="1201" customWidth="1"/>
    <col min="15118" max="15118" width="2.109375" style="1201" customWidth="1"/>
    <col min="15119" max="15120" width="8.88671875" style="1201"/>
    <col min="15121" max="15121" width="13.88671875" style="1201" bestFit="1" customWidth="1"/>
    <col min="15122" max="15350" width="8.88671875" style="1201"/>
    <col min="15351" max="15351" width="3.33203125" style="1201" customWidth="1"/>
    <col min="15352" max="15352" width="38.109375" style="1201" customWidth="1"/>
    <col min="15353" max="15353" width="5.5546875" style="1201" customWidth="1"/>
    <col min="15354" max="15354" width="8.88671875" style="1201" customWidth="1"/>
    <col min="15355" max="15355" width="2" style="1201" customWidth="1"/>
    <col min="15356" max="15356" width="8.88671875" style="1201" customWidth="1"/>
    <col min="15357" max="15357" width="2" style="1201" customWidth="1"/>
    <col min="15358" max="15358" width="8.88671875" style="1201" customWidth="1"/>
    <col min="15359" max="15359" width="2" style="1201" customWidth="1"/>
    <col min="15360" max="15360" width="8.88671875" style="1201" customWidth="1"/>
    <col min="15361" max="15361" width="2" style="1201" customWidth="1"/>
    <col min="15362" max="15362" width="9.33203125" style="1201" customWidth="1"/>
    <col min="15363" max="15363" width="2.33203125" style="1201" customWidth="1"/>
    <col min="15364" max="15364" width="1.33203125" style="1201" customWidth="1"/>
    <col min="15365" max="15365" width="8.88671875" style="1201" customWidth="1"/>
    <col min="15366" max="15366" width="2" style="1201" customWidth="1"/>
    <col min="15367" max="15367" width="8.88671875" style="1201" customWidth="1"/>
    <col min="15368" max="15368" width="2" style="1201" customWidth="1"/>
    <col min="15369" max="15369" width="8.88671875" style="1201" customWidth="1"/>
    <col min="15370" max="15370" width="2" style="1201" customWidth="1"/>
    <col min="15371" max="15371" width="8.88671875" style="1201" customWidth="1"/>
    <col min="15372" max="15372" width="2" style="1201" customWidth="1"/>
    <col min="15373" max="15373" width="8.88671875" style="1201" customWidth="1"/>
    <col min="15374" max="15374" width="2.109375" style="1201" customWidth="1"/>
    <col min="15375" max="15376" width="8.88671875" style="1201"/>
    <col min="15377" max="15377" width="13.88671875" style="1201" bestFit="1" customWidth="1"/>
    <col min="15378" max="15606" width="8.88671875" style="1201"/>
    <col min="15607" max="15607" width="3.33203125" style="1201" customWidth="1"/>
    <col min="15608" max="15608" width="38.109375" style="1201" customWidth="1"/>
    <col min="15609" max="15609" width="5.5546875" style="1201" customWidth="1"/>
    <col min="15610" max="15610" width="8.88671875" style="1201" customWidth="1"/>
    <col min="15611" max="15611" width="2" style="1201" customWidth="1"/>
    <col min="15612" max="15612" width="8.88671875" style="1201" customWidth="1"/>
    <col min="15613" max="15613" width="2" style="1201" customWidth="1"/>
    <col min="15614" max="15614" width="8.88671875" style="1201" customWidth="1"/>
    <col min="15615" max="15615" width="2" style="1201" customWidth="1"/>
    <col min="15616" max="15616" width="8.88671875" style="1201" customWidth="1"/>
    <col min="15617" max="15617" width="2" style="1201" customWidth="1"/>
    <col min="15618" max="15618" width="9.33203125" style="1201" customWidth="1"/>
    <col min="15619" max="15619" width="2.33203125" style="1201" customWidth="1"/>
    <col min="15620" max="15620" width="1.33203125" style="1201" customWidth="1"/>
    <col min="15621" max="15621" width="8.88671875" style="1201" customWidth="1"/>
    <col min="15622" max="15622" width="2" style="1201" customWidth="1"/>
    <col min="15623" max="15623" width="8.88671875" style="1201" customWidth="1"/>
    <col min="15624" max="15624" width="2" style="1201" customWidth="1"/>
    <col min="15625" max="15625" width="8.88671875" style="1201" customWidth="1"/>
    <col min="15626" max="15626" width="2" style="1201" customWidth="1"/>
    <col min="15627" max="15627" width="8.88671875" style="1201" customWidth="1"/>
    <col min="15628" max="15628" width="2" style="1201" customWidth="1"/>
    <col min="15629" max="15629" width="8.88671875" style="1201" customWidth="1"/>
    <col min="15630" max="15630" width="2.109375" style="1201" customWidth="1"/>
    <col min="15631" max="15632" width="8.88671875" style="1201"/>
    <col min="15633" max="15633" width="13.88671875" style="1201" bestFit="1" customWidth="1"/>
    <col min="15634" max="15862" width="8.88671875" style="1201"/>
    <col min="15863" max="15863" width="3.33203125" style="1201" customWidth="1"/>
    <col min="15864" max="15864" width="38.109375" style="1201" customWidth="1"/>
    <col min="15865" max="15865" width="5.5546875" style="1201" customWidth="1"/>
    <col min="15866" max="15866" width="8.88671875" style="1201" customWidth="1"/>
    <col min="15867" max="15867" width="2" style="1201" customWidth="1"/>
    <col min="15868" max="15868" width="8.88671875" style="1201" customWidth="1"/>
    <col min="15869" max="15869" width="2" style="1201" customWidth="1"/>
    <col min="15870" max="15870" width="8.88671875" style="1201" customWidth="1"/>
    <col min="15871" max="15871" width="2" style="1201" customWidth="1"/>
    <col min="15872" max="15872" width="8.88671875" style="1201" customWidth="1"/>
    <col min="15873" max="15873" width="2" style="1201" customWidth="1"/>
    <col min="15874" max="15874" width="9.33203125" style="1201" customWidth="1"/>
    <col min="15875" max="15875" width="2.33203125" style="1201" customWidth="1"/>
    <col min="15876" max="15876" width="1.33203125" style="1201" customWidth="1"/>
    <col min="15877" max="15877" width="8.88671875" style="1201" customWidth="1"/>
    <col min="15878" max="15878" width="2" style="1201" customWidth="1"/>
    <col min="15879" max="15879" width="8.88671875" style="1201" customWidth="1"/>
    <col min="15880" max="15880" width="2" style="1201" customWidth="1"/>
    <col min="15881" max="15881" width="8.88671875" style="1201" customWidth="1"/>
    <col min="15882" max="15882" width="2" style="1201" customWidth="1"/>
    <col min="15883" max="15883" width="8.88671875" style="1201" customWidth="1"/>
    <col min="15884" max="15884" width="2" style="1201" customWidth="1"/>
    <col min="15885" max="15885" width="8.88671875" style="1201" customWidth="1"/>
    <col min="15886" max="15886" width="2.109375" style="1201" customWidth="1"/>
    <col min="15887" max="15888" width="8.88671875" style="1201"/>
    <col min="15889" max="15889" width="13.88671875" style="1201" bestFit="1" customWidth="1"/>
    <col min="15890" max="16118" width="8.88671875" style="1201"/>
    <col min="16119" max="16119" width="3.33203125" style="1201" customWidth="1"/>
    <col min="16120" max="16120" width="38.109375" style="1201" customWidth="1"/>
    <col min="16121" max="16121" width="5.5546875" style="1201" customWidth="1"/>
    <col min="16122" max="16122" width="8.88671875" style="1201" customWidth="1"/>
    <col min="16123" max="16123" width="2" style="1201" customWidth="1"/>
    <col min="16124" max="16124" width="8.88671875" style="1201" customWidth="1"/>
    <col min="16125" max="16125" width="2" style="1201" customWidth="1"/>
    <col min="16126" max="16126" width="8.88671875" style="1201" customWidth="1"/>
    <col min="16127" max="16127" width="2" style="1201" customWidth="1"/>
    <col min="16128" max="16128" width="8.88671875" style="1201" customWidth="1"/>
    <col min="16129" max="16129" width="2" style="1201" customWidth="1"/>
    <col min="16130" max="16130" width="9.33203125" style="1201" customWidth="1"/>
    <col min="16131" max="16131" width="2.33203125" style="1201" customWidth="1"/>
    <col min="16132" max="16132" width="1.33203125" style="1201" customWidth="1"/>
    <col min="16133" max="16133" width="8.88671875" style="1201" customWidth="1"/>
    <col min="16134" max="16134" width="2" style="1201" customWidth="1"/>
    <col min="16135" max="16135" width="8.88671875" style="1201" customWidth="1"/>
    <col min="16136" max="16136" width="2" style="1201" customWidth="1"/>
    <col min="16137" max="16137" width="8.88671875" style="1201" customWidth="1"/>
    <col min="16138" max="16138" width="2" style="1201" customWidth="1"/>
    <col min="16139" max="16139" width="8.88671875" style="1201" customWidth="1"/>
    <col min="16140" max="16140" width="2" style="1201" customWidth="1"/>
    <col min="16141" max="16141" width="8.88671875" style="1201" customWidth="1"/>
    <col min="16142" max="16142" width="2.109375" style="1201" customWidth="1"/>
    <col min="16143" max="16144" width="8.88671875" style="1201"/>
    <col min="16145" max="16145" width="13.88671875" style="1201" bestFit="1" customWidth="1"/>
    <col min="16146" max="16384" width="8.88671875" style="1201"/>
  </cols>
  <sheetData>
    <row r="1" spans="1:17" ht="16.5" customHeight="1">
      <c r="A1" s="1779" t="s">
        <v>8908</v>
      </c>
      <c r="B1" s="1779"/>
      <c r="C1" s="1779"/>
      <c r="D1" s="1779"/>
      <c r="E1" s="1779"/>
      <c r="F1" s="1779"/>
      <c r="G1" s="1779"/>
      <c r="H1" s="1779"/>
      <c r="I1" s="1779"/>
      <c r="J1" s="1779"/>
      <c r="K1" s="1779"/>
      <c r="L1" s="1779"/>
      <c r="M1" s="1779"/>
      <c r="N1" s="1779"/>
      <c r="O1" s="1779"/>
    </row>
    <row r="2" spans="1:17" ht="16.5" customHeight="1">
      <c r="A2" s="1780"/>
      <c r="B2" s="1779"/>
      <c r="C2" s="1779"/>
      <c r="D2" s="1779"/>
      <c r="E2" s="1779"/>
      <c r="F2" s="1779"/>
      <c r="G2" s="1779"/>
      <c r="H2" s="1779"/>
      <c r="I2" s="1779"/>
      <c r="J2" s="1779"/>
      <c r="K2" s="1779"/>
      <c r="L2" s="1779"/>
      <c r="M2" s="1779"/>
      <c r="N2" s="1779"/>
      <c r="O2" s="1779"/>
    </row>
    <row r="3" spans="1:17" ht="26.25" customHeight="1">
      <c r="A3" s="1200"/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00"/>
      <c r="M3" s="1200"/>
      <c r="N3" s="1200"/>
      <c r="O3" s="1200"/>
    </row>
    <row r="4" spans="1:17" ht="16.5" customHeight="1">
      <c r="A4" s="1202" t="s">
        <v>8909</v>
      </c>
      <c r="B4" s="1202"/>
      <c r="C4" s="1203" t="s">
        <v>8910</v>
      </c>
      <c r="D4" s="1202"/>
      <c r="E4" s="1204"/>
      <c r="F4" s="1204"/>
      <c r="G4" s="1205"/>
      <c r="H4" s="1206"/>
      <c r="I4" s="1205" t="s">
        <v>8911</v>
      </c>
      <c r="J4" s="1206" t="s">
        <v>8912</v>
      </c>
      <c r="K4" s="1207"/>
      <c r="L4" s="1200"/>
      <c r="M4" s="1200"/>
      <c r="N4" s="1200"/>
      <c r="O4" s="1200"/>
    </row>
    <row r="5" spans="1:17" ht="16.5" customHeight="1">
      <c r="A5" s="1202" t="s">
        <v>8913</v>
      </c>
      <c r="B5" s="1202"/>
      <c r="C5" s="1203" t="s">
        <v>8914</v>
      </c>
      <c r="D5" s="1202"/>
      <c r="E5" s="1202"/>
      <c r="F5" s="1202"/>
      <c r="G5" s="1207"/>
      <c r="H5" s="1207"/>
      <c r="I5" s="1205" t="s">
        <v>8915</v>
      </c>
      <c r="J5" s="1208" t="s">
        <v>8916</v>
      </c>
      <c r="K5" s="1207"/>
      <c r="L5" s="1200"/>
      <c r="M5" s="1200"/>
      <c r="N5" s="1200"/>
      <c r="O5" s="1200"/>
    </row>
    <row r="6" spans="1:17" ht="16.5" customHeight="1">
      <c r="A6" s="1202" t="s">
        <v>8917</v>
      </c>
      <c r="B6" s="1202"/>
      <c r="C6" s="1203" t="s">
        <v>8918</v>
      </c>
      <c r="D6" s="1202"/>
      <c r="E6" s="1202"/>
      <c r="F6" s="1202"/>
      <c r="G6" s="1207"/>
      <c r="H6" s="1207"/>
      <c r="I6" s="1205" t="s">
        <v>8919</v>
      </c>
      <c r="J6" s="1209" t="s">
        <v>8920</v>
      </c>
      <c r="K6" s="1207"/>
      <c r="L6" s="1200"/>
      <c r="M6" s="1200"/>
      <c r="N6" s="1200"/>
      <c r="O6" s="1200"/>
    </row>
    <row r="7" spans="1:17" ht="16.5" customHeight="1">
      <c r="A7" s="1202" t="s">
        <v>8921</v>
      </c>
      <c r="B7" s="1202"/>
      <c r="C7" s="1203" t="s">
        <v>8922</v>
      </c>
      <c r="D7" s="1202"/>
      <c r="E7" s="1202"/>
      <c r="F7" s="1202"/>
      <c r="G7" s="1207"/>
      <c r="H7" s="1207"/>
      <c r="I7" s="1207"/>
      <c r="J7" s="1210"/>
      <c r="K7" s="1211"/>
      <c r="L7" s="1200"/>
      <c r="M7" s="1200"/>
      <c r="N7" s="1200"/>
      <c r="O7" s="1200"/>
    </row>
    <row r="8" spans="1:17" ht="16.5" customHeight="1">
      <c r="A8" s="1200"/>
      <c r="B8" s="1200"/>
      <c r="C8" s="1200"/>
      <c r="D8" s="1200"/>
      <c r="E8" s="1200"/>
      <c r="F8" s="1200"/>
      <c r="G8" s="1200"/>
      <c r="H8" s="1200"/>
      <c r="I8" s="1200"/>
      <c r="J8" s="1200"/>
      <c r="K8" s="1200"/>
      <c r="L8" s="1200"/>
      <c r="M8" s="1200"/>
      <c r="N8" s="1200"/>
      <c r="O8" s="1200"/>
    </row>
    <row r="10" spans="1:17" ht="23.25" customHeight="1" thickBot="1">
      <c r="A10" s="1212"/>
    </row>
    <row r="11" spans="1:17" s="1215" customFormat="1" ht="20.25" customHeight="1">
      <c r="A11" s="1781" t="s">
        <v>8923</v>
      </c>
      <c r="B11" s="1783" t="s">
        <v>6902</v>
      </c>
      <c r="C11" s="1785" t="s">
        <v>1197</v>
      </c>
      <c r="D11" s="1783" t="s">
        <v>8924</v>
      </c>
      <c r="E11" s="1787"/>
      <c r="F11" s="1790" t="s">
        <v>8925</v>
      </c>
      <c r="G11" s="1790"/>
      <c r="H11" s="1790"/>
      <c r="I11" s="1790"/>
      <c r="J11" s="1790"/>
      <c r="K11" s="1790"/>
      <c r="L11" s="1790"/>
      <c r="M11" s="1790"/>
      <c r="N11" s="1790"/>
      <c r="O11" s="1214"/>
    </row>
    <row r="12" spans="1:17" s="1215" customFormat="1" ht="20.25" customHeight="1" thickBot="1">
      <c r="A12" s="1782"/>
      <c r="B12" s="1784"/>
      <c r="C12" s="1786"/>
      <c r="D12" s="1788"/>
      <c r="E12" s="1789"/>
      <c r="F12" s="1216" t="s">
        <v>6646</v>
      </c>
      <c r="G12" s="1217"/>
      <c r="H12" s="1217" t="s">
        <v>1767</v>
      </c>
      <c r="I12" s="1217"/>
      <c r="J12" s="1217" t="s">
        <v>8926</v>
      </c>
      <c r="K12" s="1217"/>
      <c r="L12" s="1217" t="s">
        <v>8927</v>
      </c>
      <c r="M12" s="1217"/>
      <c r="N12" s="1218" t="s">
        <v>8928</v>
      </c>
      <c r="O12" s="1219"/>
    </row>
    <row r="13" spans="1:17" ht="14.4" thickBot="1">
      <c r="A13" s="1220"/>
      <c r="B13" s="1221"/>
      <c r="C13" s="1222"/>
      <c r="D13" s="1223"/>
      <c r="E13" s="1224"/>
      <c r="F13" s="1221"/>
      <c r="N13" s="1225"/>
      <c r="O13" s="1226"/>
      <c r="Q13" s="1201" t="e">
        <f>#REF!*1.2</f>
        <v>#REF!</v>
      </c>
    </row>
    <row r="14" spans="1:17" ht="14.4" thickBot="1">
      <c r="A14" s="1227"/>
      <c r="B14" s="1228"/>
      <c r="C14" s="1229"/>
      <c r="D14" s="1230"/>
      <c r="E14" s="1231"/>
      <c r="F14" s="1232"/>
      <c r="G14" s="1232"/>
      <c r="H14" s="1232"/>
      <c r="I14" s="1232"/>
      <c r="J14" s="1232"/>
      <c r="K14" s="1232"/>
      <c r="L14" s="1232"/>
      <c r="M14" s="1232"/>
      <c r="N14" s="1233"/>
      <c r="O14" s="1234"/>
    </row>
    <row r="15" spans="1:17">
      <c r="A15" s="1235" t="s">
        <v>1201</v>
      </c>
      <c r="B15" s="1236" t="s">
        <v>1246</v>
      </c>
      <c r="C15" s="1237"/>
      <c r="D15" s="1238"/>
      <c r="E15" s="1239"/>
      <c r="N15" s="1240"/>
      <c r="O15" s="1226"/>
    </row>
    <row r="16" spans="1:17" s="1215" customFormat="1" ht="40.5" customHeight="1">
      <c r="A16" s="1241">
        <v>1</v>
      </c>
      <c r="B16" s="1215" t="s">
        <v>8929</v>
      </c>
      <c r="C16" s="1242" t="s">
        <v>8057</v>
      </c>
      <c r="D16" s="1243"/>
      <c r="E16" s="1244"/>
      <c r="F16" s="1245">
        <v>6</v>
      </c>
      <c r="G16" s="1246" t="s">
        <v>8930</v>
      </c>
      <c r="H16" s="1245">
        <v>2</v>
      </c>
      <c r="I16" s="1245" t="s">
        <v>8930</v>
      </c>
      <c r="J16" s="1245"/>
      <c r="K16" s="1245"/>
      <c r="L16" s="1245"/>
      <c r="M16" s="1246" t="s">
        <v>6616</v>
      </c>
      <c r="N16" s="1247">
        <f>F16+H16+J16</f>
        <v>8</v>
      </c>
      <c r="O16" s="1248"/>
    </row>
    <row r="17" spans="1:17" s="1215" customFormat="1" ht="40.5" customHeight="1">
      <c r="A17" s="1241">
        <v>2</v>
      </c>
      <c r="B17" s="1215" t="s">
        <v>8931</v>
      </c>
      <c r="C17" s="1242" t="s">
        <v>6558</v>
      </c>
      <c r="D17" s="1243"/>
      <c r="E17" s="1244"/>
      <c r="F17" s="1245">
        <v>6</v>
      </c>
      <c r="G17" s="1245" t="s">
        <v>8932</v>
      </c>
      <c r="H17" s="1245">
        <v>2</v>
      </c>
      <c r="I17" s="1245"/>
      <c r="J17" s="1245"/>
      <c r="K17" s="1245"/>
      <c r="L17" s="1245"/>
      <c r="M17" s="1246" t="s">
        <v>6616</v>
      </c>
      <c r="N17" s="1247">
        <f>F17*H17</f>
        <v>12</v>
      </c>
      <c r="O17" s="1248"/>
    </row>
    <row r="18" spans="1:17" ht="25.5" customHeight="1" thickBot="1">
      <c r="A18" s="1249"/>
      <c r="B18" s="1250"/>
      <c r="C18" s="1251"/>
      <c r="D18" s="1252"/>
      <c r="E18" s="1253"/>
      <c r="F18" s="1250"/>
      <c r="G18" s="1250"/>
      <c r="H18" s="1250"/>
      <c r="I18" s="1250"/>
      <c r="J18" s="1250"/>
      <c r="K18" s="1250"/>
      <c r="L18" s="1250"/>
      <c r="M18" s="1250"/>
      <c r="N18" s="1225"/>
      <c r="O18" s="1254"/>
    </row>
    <row r="19" spans="1:17">
      <c r="A19" s="1255" t="s">
        <v>1209</v>
      </c>
      <c r="B19" s="1256" t="s">
        <v>8933</v>
      </c>
      <c r="C19" s="1257"/>
      <c r="D19" s="1258"/>
      <c r="E19" s="1259"/>
      <c r="F19" s="1260"/>
      <c r="G19" s="1260"/>
      <c r="H19" s="1260"/>
      <c r="I19" s="1260"/>
      <c r="J19" s="1260"/>
      <c r="K19" s="1260"/>
      <c r="L19" s="1260"/>
      <c r="M19" s="1260"/>
      <c r="N19" s="1261"/>
      <c r="O19" s="1262"/>
    </row>
    <row r="20" spans="1:17" s="1215" customFormat="1" ht="13.5" customHeight="1">
      <c r="A20" s="1241">
        <v>1</v>
      </c>
      <c r="B20" s="1215" t="s">
        <v>8934</v>
      </c>
      <c r="C20" s="1242" t="s">
        <v>2676</v>
      </c>
      <c r="D20" s="1243"/>
      <c r="E20" s="1244"/>
      <c r="F20" s="1263">
        <f>2+2+6+6</f>
        <v>16</v>
      </c>
      <c r="G20" s="1215" t="s">
        <v>8935</v>
      </c>
      <c r="H20" s="1245">
        <v>0.5</v>
      </c>
      <c r="I20" s="1215" t="s">
        <v>8935</v>
      </c>
      <c r="J20" s="1245">
        <v>0.4</v>
      </c>
      <c r="M20" s="1264" t="s">
        <v>6616</v>
      </c>
      <c r="N20" s="1265">
        <f>F20*H20*J20</f>
        <v>3.2</v>
      </c>
      <c r="O20" s="1248"/>
    </row>
    <row r="21" spans="1:17" s="1215" customFormat="1" ht="28.5" customHeight="1">
      <c r="A21" s="1241">
        <v>2</v>
      </c>
      <c r="B21" s="1215" t="s">
        <v>8936</v>
      </c>
      <c r="C21" s="1242" t="s">
        <v>2676</v>
      </c>
      <c r="D21" s="1243"/>
      <c r="E21" s="1244"/>
      <c r="F21" s="1245">
        <f>F20</f>
        <v>16</v>
      </c>
      <c r="G21" s="1245" t="str">
        <f>G20</f>
        <v>x</v>
      </c>
      <c r="H21" s="1245">
        <v>0.5</v>
      </c>
      <c r="I21" s="1245" t="str">
        <f>I20</f>
        <v>x</v>
      </c>
      <c r="J21" s="1245">
        <v>0.05</v>
      </c>
      <c r="M21" s="1264" t="s">
        <v>6616</v>
      </c>
      <c r="N21" s="1265">
        <f>F21*H21*J21</f>
        <v>0.4</v>
      </c>
      <c r="O21" s="1248"/>
      <c r="Q21" s="1215">
        <f>1.5*3.15</f>
        <v>4.7249999999999996</v>
      </c>
    </row>
    <row r="22" spans="1:17" s="1215" customFormat="1" ht="18" customHeight="1">
      <c r="A22" s="1241">
        <v>3</v>
      </c>
      <c r="B22" s="1215" t="s">
        <v>8937</v>
      </c>
      <c r="C22" s="1242" t="s">
        <v>2676</v>
      </c>
      <c r="D22" s="1243"/>
      <c r="E22" s="1244"/>
      <c r="M22" s="1264" t="s">
        <v>6616</v>
      </c>
      <c r="N22" s="1265">
        <f>N21*0.25</f>
        <v>0.1</v>
      </c>
      <c r="O22" s="1248"/>
      <c r="Q22" s="1215">
        <f>Q21/2</f>
        <v>2.3624999999999998</v>
      </c>
    </row>
    <row r="23" spans="1:17" ht="14.4" thickBot="1">
      <c r="A23" s="1249"/>
      <c r="B23" s="1250"/>
      <c r="C23" s="1251"/>
      <c r="D23" s="1252"/>
      <c r="E23" s="1253"/>
      <c r="F23" s="1250"/>
      <c r="G23" s="1250"/>
      <c r="H23" s="1250"/>
      <c r="I23" s="1250"/>
      <c r="J23" s="1250"/>
      <c r="K23" s="1250"/>
      <c r="L23" s="1250"/>
      <c r="M23" s="1250"/>
      <c r="N23" s="1225"/>
      <c r="O23" s="1254"/>
    </row>
    <row r="24" spans="1:17">
      <c r="A24" s="1266" t="s">
        <v>1215</v>
      </c>
      <c r="B24" s="1267" t="s">
        <v>8938</v>
      </c>
      <c r="C24" s="1257"/>
      <c r="D24" s="1258"/>
      <c r="E24" s="1259"/>
      <c r="F24" s="1260"/>
      <c r="G24" s="1260"/>
      <c r="H24" s="1260"/>
      <c r="I24" s="1260"/>
      <c r="J24" s="1260"/>
      <c r="K24" s="1260"/>
      <c r="L24" s="1260"/>
      <c r="M24" s="1260"/>
      <c r="N24" s="1261"/>
      <c r="O24" s="1262"/>
      <c r="Q24" s="1201">
        <f>0.7*2.4</f>
        <v>1.68</v>
      </c>
    </row>
    <row r="25" spans="1:17">
      <c r="A25" s="1268">
        <v>1</v>
      </c>
      <c r="B25" s="1269" t="s">
        <v>8939</v>
      </c>
      <c r="C25" s="1270" t="s">
        <v>2676</v>
      </c>
      <c r="D25" s="1271"/>
      <c r="E25" s="1272"/>
      <c r="F25" s="1201">
        <f>F20</f>
        <v>16</v>
      </c>
      <c r="G25" s="1201" t="s">
        <v>8935</v>
      </c>
      <c r="H25" s="1201">
        <f>(0.25+0.5)/2</f>
        <v>0.375</v>
      </c>
      <c r="I25" s="1273"/>
      <c r="K25" s="1201" t="s">
        <v>1262</v>
      </c>
      <c r="L25" s="1201">
        <v>0.5</v>
      </c>
      <c r="M25" s="1201" t="s">
        <v>6616</v>
      </c>
      <c r="N25" s="1240">
        <f>F25*H25*L25</f>
        <v>3</v>
      </c>
      <c r="O25" s="1226"/>
      <c r="Q25" s="1201">
        <f>Q24*2</f>
        <v>3.36</v>
      </c>
    </row>
    <row r="26" spans="1:17">
      <c r="A26" s="1268">
        <f t="shared" ref="A26" si="0">A25+1</f>
        <v>2</v>
      </c>
      <c r="B26" s="1274" t="s">
        <v>8940</v>
      </c>
      <c r="C26" s="1270" t="s">
        <v>6558</v>
      </c>
      <c r="D26" s="1271"/>
      <c r="E26" s="1272"/>
      <c r="F26" s="1201">
        <f>F25</f>
        <v>16</v>
      </c>
      <c r="I26" s="1201" t="s">
        <v>8935</v>
      </c>
      <c r="J26" s="1201">
        <v>3.05</v>
      </c>
      <c r="K26" s="1273" t="s">
        <v>7699</v>
      </c>
      <c r="L26" s="1201">
        <f>Q25</f>
        <v>3.36</v>
      </c>
      <c r="M26" s="1273" t="s">
        <v>6616</v>
      </c>
      <c r="N26" s="1240">
        <f>((F26*J26)-L26)</f>
        <v>45.44</v>
      </c>
      <c r="O26" s="1226"/>
      <c r="Q26" s="1201">
        <f>Q25-Q22</f>
        <v>0.99750000000000005</v>
      </c>
    </row>
    <row r="27" spans="1:17">
      <c r="A27" s="1268">
        <v>2</v>
      </c>
      <c r="B27" s="1274" t="s">
        <v>8941</v>
      </c>
      <c r="C27" s="1270" t="s">
        <v>6558</v>
      </c>
      <c r="D27" s="1271"/>
      <c r="E27" s="1272"/>
      <c r="F27" s="1201">
        <v>10</v>
      </c>
      <c r="I27" s="1201" t="s">
        <v>8935</v>
      </c>
      <c r="J27" s="1201">
        <v>0.8</v>
      </c>
      <c r="M27" s="1273" t="s">
        <v>6616</v>
      </c>
      <c r="N27" s="1240">
        <f>F27*J27</f>
        <v>8</v>
      </c>
      <c r="O27" s="1226"/>
    </row>
    <row r="28" spans="1:17">
      <c r="A28" s="1268"/>
      <c r="B28" s="1274"/>
      <c r="C28" s="1270"/>
      <c r="D28" s="1271"/>
      <c r="E28" s="1272"/>
      <c r="F28" s="1201">
        <f>+F27</f>
        <v>10</v>
      </c>
      <c r="I28" s="1201" t="s">
        <v>8935</v>
      </c>
      <c r="J28" s="1201">
        <v>3.05</v>
      </c>
      <c r="K28" s="1273" t="s">
        <v>7699</v>
      </c>
      <c r="L28" s="1201">
        <f>+L26</f>
        <v>3.36</v>
      </c>
      <c r="M28" s="1273" t="s">
        <v>6616</v>
      </c>
      <c r="N28" s="1240">
        <f>(F28*J28)-L28</f>
        <v>27.14</v>
      </c>
      <c r="O28" s="1226"/>
    </row>
    <row r="29" spans="1:17">
      <c r="A29" s="1268">
        <f>A27+1</f>
        <v>3</v>
      </c>
      <c r="B29" s="1274" t="s">
        <v>8942</v>
      </c>
      <c r="C29" s="1270" t="str">
        <f>C27</f>
        <v>M2</v>
      </c>
      <c r="D29" s="1271"/>
      <c r="E29" s="1272"/>
      <c r="M29" s="1273" t="s">
        <v>6616</v>
      </c>
      <c r="N29" s="1240">
        <f>+N28*2</f>
        <v>54.28</v>
      </c>
      <c r="O29" s="1226"/>
    </row>
    <row r="30" spans="1:17">
      <c r="A30" s="1268">
        <v>3</v>
      </c>
      <c r="B30" s="1274" t="s">
        <v>8943</v>
      </c>
      <c r="C30" s="1270"/>
      <c r="D30" s="1271"/>
      <c r="E30" s="1272"/>
      <c r="M30" s="1273" t="s">
        <v>6616</v>
      </c>
      <c r="N30" s="1240">
        <f>N29</f>
        <v>54.28</v>
      </c>
      <c r="O30" s="1226"/>
    </row>
    <row r="31" spans="1:17" ht="14.4" thickBot="1">
      <c r="A31" s="1275"/>
      <c r="B31" s="1251"/>
      <c r="C31" s="1251"/>
      <c r="D31" s="1252"/>
      <c r="E31" s="1253"/>
      <c r="F31" s="1250"/>
      <c r="G31" s="1250"/>
      <c r="H31" s="1250"/>
      <c r="I31" s="1250"/>
      <c r="J31" s="1250"/>
      <c r="K31" s="1250"/>
      <c r="L31" s="1250"/>
      <c r="M31" s="1250"/>
      <c r="N31" s="1225"/>
      <c r="O31" s="1254"/>
    </row>
    <row r="32" spans="1:17">
      <c r="A32" s="1276" t="s">
        <v>1218</v>
      </c>
      <c r="B32" s="1277" t="s">
        <v>8944</v>
      </c>
      <c r="C32" s="1278"/>
      <c r="D32" s="1277"/>
      <c r="E32" s="1279"/>
      <c r="F32" s="1280"/>
      <c r="G32" s="1260"/>
      <c r="H32" s="1260"/>
      <c r="I32" s="1260"/>
      <c r="J32" s="1260"/>
      <c r="K32" s="1260"/>
      <c r="L32" s="1260"/>
      <c r="M32" s="1260"/>
      <c r="N32" s="1261"/>
      <c r="O32" s="1262"/>
    </row>
    <row r="33" spans="1:18">
      <c r="A33" s="1268">
        <v>1</v>
      </c>
      <c r="B33" s="1223" t="s">
        <v>8945</v>
      </c>
      <c r="C33" s="1270" t="s">
        <v>42</v>
      </c>
      <c r="D33" s="1271"/>
      <c r="E33" s="1272"/>
      <c r="F33" s="1281">
        <f>F25</f>
        <v>16</v>
      </c>
      <c r="G33" s="1212" t="s">
        <v>8935</v>
      </c>
      <c r="H33" s="1282">
        <v>0.2</v>
      </c>
      <c r="I33" s="1212" t="s">
        <v>8935</v>
      </c>
      <c r="J33" s="1282">
        <v>0.15</v>
      </c>
      <c r="K33" s="1283"/>
      <c r="L33" s="1212"/>
      <c r="M33" s="1212" t="s">
        <v>6616</v>
      </c>
      <c r="N33" s="1284">
        <f>J33*H33*F33</f>
        <v>0.48</v>
      </c>
      <c r="O33" s="1226"/>
    </row>
    <row r="34" spans="1:18">
      <c r="A34" s="1268"/>
      <c r="B34" s="1285" t="s">
        <v>8946</v>
      </c>
      <c r="C34" s="1270" t="s">
        <v>113</v>
      </c>
      <c r="D34" s="1271"/>
      <c r="E34" s="1272"/>
      <c r="F34" s="1286">
        <f>F33</f>
        <v>16</v>
      </c>
      <c r="G34" s="1287" t="s">
        <v>8935</v>
      </c>
      <c r="H34" s="1287">
        <v>4</v>
      </c>
      <c r="I34" s="1287"/>
      <c r="J34" s="1287"/>
      <c r="K34" s="1287"/>
      <c r="L34" s="1287"/>
      <c r="M34" s="1212" t="s">
        <v>6616</v>
      </c>
      <c r="N34" s="1288">
        <f>F34*4</f>
        <v>64</v>
      </c>
      <c r="O34" s="1226"/>
      <c r="P34" s="1289">
        <f>N34*0.888</f>
        <v>56.832000000000001</v>
      </c>
    </row>
    <row r="35" spans="1:18">
      <c r="A35" s="1268"/>
      <c r="B35" s="1285" t="s">
        <v>8947</v>
      </c>
      <c r="C35" s="1270" t="s">
        <v>1761</v>
      </c>
      <c r="D35" s="1271"/>
      <c r="E35" s="1272"/>
      <c r="F35" s="1287">
        <v>12</v>
      </c>
      <c r="G35" s="1287"/>
      <c r="H35" s="1287"/>
      <c r="I35" s="1287"/>
      <c r="J35" s="1287"/>
      <c r="K35" s="1287"/>
      <c r="L35" s="1287"/>
      <c r="M35" s="1212" t="s">
        <v>6616</v>
      </c>
      <c r="N35" s="1288">
        <f>N34/F35</f>
        <v>5.333333333333333</v>
      </c>
      <c r="O35" s="1226"/>
      <c r="P35" s="1201">
        <f>0.888</f>
        <v>0.88800000000000001</v>
      </c>
      <c r="Q35" s="1201">
        <f>P35*F35</f>
        <v>10.656000000000001</v>
      </c>
    </row>
    <row r="36" spans="1:18">
      <c r="A36" s="1268"/>
      <c r="B36" s="1285" t="s">
        <v>8948</v>
      </c>
      <c r="C36" s="1270" t="s">
        <v>65</v>
      </c>
      <c r="D36" s="1271"/>
      <c r="E36" s="1272"/>
      <c r="F36" s="1287"/>
      <c r="G36" s="1287"/>
      <c r="H36" s="1287"/>
      <c r="I36" s="1287"/>
      <c r="J36" s="1287"/>
      <c r="K36" s="1287"/>
      <c r="L36" s="1287"/>
      <c r="M36" s="1287"/>
      <c r="N36" s="1288">
        <f>N35*10.656</f>
        <v>56.832000000000001</v>
      </c>
      <c r="O36" s="1226"/>
      <c r="P36" s="1201" t="s">
        <v>8949</v>
      </c>
      <c r="Q36" s="1201">
        <v>28</v>
      </c>
      <c r="R36" s="1201">
        <f>0.4+0.4+0.15</f>
        <v>0.95000000000000007</v>
      </c>
    </row>
    <row r="37" spans="1:18">
      <c r="A37" s="1268"/>
      <c r="B37" s="1290"/>
      <c r="C37" s="1270"/>
      <c r="D37" s="1271"/>
      <c r="E37" s="1272"/>
      <c r="F37" s="1287"/>
      <c r="G37" s="1287"/>
      <c r="H37" s="1287"/>
      <c r="I37" s="1287"/>
      <c r="J37" s="1287"/>
      <c r="K37" s="1287"/>
      <c r="L37" s="1287"/>
      <c r="M37" s="1287"/>
      <c r="N37" s="1288"/>
      <c r="O37" s="1226"/>
      <c r="R37" s="1201">
        <f>Q36*R36</f>
        <v>26.6</v>
      </c>
    </row>
    <row r="38" spans="1:18">
      <c r="A38" s="1268"/>
      <c r="B38" s="1285" t="s">
        <v>8950</v>
      </c>
      <c r="C38" s="1270" t="s">
        <v>113</v>
      </c>
      <c r="D38" s="1271"/>
      <c r="E38" s="1272"/>
      <c r="F38" s="1287">
        <v>2</v>
      </c>
      <c r="G38" s="1287" t="s">
        <v>8935</v>
      </c>
      <c r="H38" s="1282">
        <v>0.15</v>
      </c>
      <c r="I38" s="1287" t="s">
        <v>8951</v>
      </c>
      <c r="J38" s="1282">
        <v>0.1</v>
      </c>
      <c r="K38" s="1287" t="s">
        <v>8951</v>
      </c>
      <c r="L38" s="1287">
        <v>0.05</v>
      </c>
      <c r="M38" s="1287"/>
      <c r="N38" s="1288">
        <f>F38*(H38+J38)+L38</f>
        <v>0.55000000000000004</v>
      </c>
      <c r="O38" s="1226"/>
    </row>
    <row r="39" spans="1:18">
      <c r="A39" s="1268"/>
      <c r="B39" s="1291" t="s">
        <v>8952</v>
      </c>
      <c r="C39" s="1270" t="s">
        <v>113</v>
      </c>
      <c r="D39" s="1271"/>
      <c r="E39" s="1272"/>
      <c r="F39" s="1286">
        <f>F33*7</f>
        <v>112</v>
      </c>
      <c r="G39" s="1287"/>
      <c r="H39" s="1287"/>
      <c r="I39" s="1287"/>
      <c r="J39" s="1287"/>
      <c r="K39" s="1287"/>
      <c r="L39" s="1287"/>
      <c r="M39" s="1212" t="s">
        <v>6616</v>
      </c>
      <c r="N39" s="1288">
        <f>N38*F39</f>
        <v>61.600000000000009</v>
      </c>
      <c r="O39" s="1226"/>
    </row>
    <row r="40" spans="1:18">
      <c r="A40" s="1268"/>
      <c r="B40" s="1291" t="s">
        <v>8953</v>
      </c>
      <c r="C40" s="1270" t="s">
        <v>1761</v>
      </c>
      <c r="D40" s="1271"/>
      <c r="E40" s="1272"/>
      <c r="F40" s="1292">
        <v>12</v>
      </c>
      <c r="G40" s="1292"/>
      <c r="H40" s="1292"/>
      <c r="I40" s="1292"/>
      <c r="J40" s="1292"/>
      <c r="K40" s="1292"/>
      <c r="L40" s="1292"/>
      <c r="M40" s="1212" t="s">
        <v>6616</v>
      </c>
      <c r="N40" s="1293">
        <f>N39/F40</f>
        <v>5.1333333333333337</v>
      </c>
      <c r="O40" s="1226"/>
    </row>
    <row r="41" spans="1:18">
      <c r="A41" s="1268"/>
      <c r="B41" s="1291" t="s">
        <v>8954</v>
      </c>
      <c r="C41" s="1270" t="s">
        <v>65</v>
      </c>
      <c r="D41" s="1271"/>
      <c r="E41" s="1272"/>
      <c r="F41" s="1287"/>
      <c r="G41" s="1287"/>
      <c r="H41" s="1287"/>
      <c r="I41" s="1287"/>
      <c r="J41" s="1287"/>
      <c r="K41" s="1287"/>
      <c r="L41" s="1287"/>
      <c r="M41" s="1212" t="s">
        <v>6616</v>
      </c>
      <c r="N41" s="1288">
        <f>N40*4.74</f>
        <v>24.332000000000004</v>
      </c>
      <c r="O41" s="1226"/>
      <c r="P41" s="1201">
        <v>0.39500000000000002</v>
      </c>
      <c r="Q41" s="1201">
        <f>P41*12</f>
        <v>4.74</v>
      </c>
    </row>
    <row r="42" spans="1:18">
      <c r="A42" s="1268"/>
      <c r="B42" s="1294" t="s">
        <v>8955</v>
      </c>
      <c r="C42" s="1270" t="s">
        <v>8956</v>
      </c>
      <c r="D42" s="1271"/>
      <c r="E42" s="1272"/>
      <c r="F42" s="1287"/>
      <c r="G42" s="1287"/>
      <c r="H42" s="1287"/>
      <c r="I42" s="1287"/>
      <c r="J42" s="1287"/>
      <c r="K42" s="1287"/>
      <c r="L42" s="1287"/>
      <c r="M42" s="1287"/>
      <c r="N42" s="1295">
        <f>N41+N36</f>
        <v>81.164000000000001</v>
      </c>
      <c r="O42" s="1226"/>
    </row>
    <row r="43" spans="1:18">
      <c r="A43" s="1268"/>
      <c r="B43" s="1294"/>
      <c r="C43" s="1270"/>
      <c r="D43" s="1271"/>
      <c r="E43" s="1272"/>
      <c r="F43" s="1287"/>
      <c r="G43" s="1287"/>
      <c r="H43" s="1287"/>
      <c r="I43" s="1287"/>
      <c r="J43" s="1287"/>
      <c r="K43" s="1287"/>
      <c r="L43" s="1287"/>
      <c r="M43" s="1287"/>
      <c r="N43" s="1295"/>
      <c r="O43" s="1226"/>
    </row>
    <row r="44" spans="1:18">
      <c r="A44" s="1268"/>
      <c r="B44" s="1291" t="s">
        <v>8957</v>
      </c>
      <c r="C44" s="1270"/>
      <c r="D44" s="1271"/>
      <c r="E44" s="1272"/>
      <c r="F44" s="1286">
        <f>F33</f>
        <v>16</v>
      </c>
      <c r="G44" s="1212" t="s">
        <v>8935</v>
      </c>
      <c r="H44" s="1282">
        <v>0.2</v>
      </c>
      <c r="I44" s="1287"/>
      <c r="J44" s="1287"/>
      <c r="K44" s="1212" t="s">
        <v>8935</v>
      </c>
      <c r="L44" s="1287">
        <v>2</v>
      </c>
      <c r="M44" s="1287"/>
      <c r="N44" s="1295">
        <f>+F44*H44*L44</f>
        <v>6.4</v>
      </c>
      <c r="O44" s="1226"/>
    </row>
    <row r="45" spans="1:18">
      <c r="A45" s="1268"/>
      <c r="B45" s="1274"/>
      <c r="C45" s="1296"/>
      <c r="D45" s="1297"/>
      <c r="E45" s="1298"/>
      <c r="F45" s="1299"/>
      <c r="N45" s="1240"/>
      <c r="O45" s="1226"/>
    </row>
    <row r="46" spans="1:18">
      <c r="A46" s="1268">
        <v>2</v>
      </c>
      <c r="B46" s="1223" t="s">
        <v>8958</v>
      </c>
      <c r="C46" s="1270" t="s">
        <v>42</v>
      </c>
      <c r="D46" s="1271"/>
      <c r="E46" s="1272"/>
      <c r="F46" s="1281">
        <f>3*8</f>
        <v>24</v>
      </c>
      <c r="G46" s="1212"/>
      <c r="H46" s="1282">
        <v>0.15</v>
      </c>
      <c r="J46" s="1282">
        <v>0.15</v>
      </c>
      <c r="K46" s="1212"/>
      <c r="L46" s="1212"/>
      <c r="M46" s="1212"/>
      <c r="N46" s="1300">
        <f>F46*H46*J46</f>
        <v>0.53999999999999992</v>
      </c>
      <c r="O46" s="1226"/>
    </row>
    <row r="47" spans="1:18">
      <c r="A47" s="1268"/>
      <c r="B47" s="1285" t="s">
        <v>8946</v>
      </c>
      <c r="C47" s="1270" t="s">
        <v>113</v>
      </c>
      <c r="D47" s="1271"/>
      <c r="E47" s="1272"/>
      <c r="F47" s="1282">
        <f>F46</f>
        <v>24</v>
      </c>
      <c r="N47" s="1265">
        <f>F46*4</f>
        <v>96</v>
      </c>
      <c r="O47" s="1226"/>
    </row>
    <row r="48" spans="1:18">
      <c r="A48" s="1268"/>
      <c r="B48" s="1285" t="s">
        <v>8947</v>
      </c>
      <c r="C48" s="1270" t="s">
        <v>1761</v>
      </c>
      <c r="D48" s="1271"/>
      <c r="E48" s="1272"/>
      <c r="F48" s="1282">
        <v>12</v>
      </c>
      <c r="G48" s="1212"/>
      <c r="H48" s="1212"/>
      <c r="I48" s="1212"/>
      <c r="J48" s="1212"/>
      <c r="K48" s="1212"/>
      <c r="L48" s="1212"/>
      <c r="M48" s="1212"/>
      <c r="N48" s="1300">
        <f>N47/F48</f>
        <v>8</v>
      </c>
      <c r="O48" s="1226"/>
    </row>
    <row r="49" spans="1:17">
      <c r="A49" s="1268"/>
      <c r="B49" s="1285" t="s">
        <v>8948</v>
      </c>
      <c r="C49" s="1270" t="s">
        <v>65</v>
      </c>
      <c r="D49" s="1271"/>
      <c r="E49" s="1272"/>
      <c r="F49" s="1212"/>
      <c r="G49" s="1212"/>
      <c r="H49" s="1212"/>
      <c r="I49" s="1212"/>
      <c r="J49" s="1212"/>
      <c r="K49" s="1212"/>
      <c r="L49" s="1212"/>
      <c r="M49" s="1212"/>
      <c r="N49" s="1300">
        <f>N48*10.656</f>
        <v>85.248000000000005</v>
      </c>
      <c r="O49" s="1226"/>
    </row>
    <row r="50" spans="1:17">
      <c r="A50" s="1268"/>
      <c r="B50" s="1290"/>
      <c r="C50" s="1270"/>
      <c r="D50" s="1271"/>
      <c r="E50" s="1272"/>
      <c r="G50" s="1212"/>
      <c r="H50" s="1212"/>
      <c r="I50" s="1212"/>
      <c r="J50" s="1212"/>
      <c r="K50" s="1212"/>
      <c r="L50" s="1212"/>
      <c r="M50" s="1212"/>
      <c r="N50" s="1301"/>
      <c r="O50" s="1226"/>
    </row>
    <row r="51" spans="1:17">
      <c r="A51" s="1268"/>
      <c r="B51" s="1285" t="s">
        <v>8950</v>
      </c>
      <c r="C51" s="1270" t="s">
        <v>113</v>
      </c>
      <c r="D51" s="1271"/>
      <c r="E51" s="1272"/>
      <c r="F51" s="1282"/>
      <c r="G51" s="1212"/>
      <c r="H51" s="1212"/>
      <c r="I51" s="1212"/>
      <c r="J51" s="1212"/>
      <c r="K51" s="1212"/>
      <c r="L51" s="1212"/>
      <c r="M51" s="1212"/>
      <c r="N51" s="1301"/>
      <c r="O51" s="1226"/>
    </row>
    <row r="52" spans="1:17">
      <c r="A52" s="1268"/>
      <c r="B52" s="1291" t="s">
        <v>8952</v>
      </c>
      <c r="C52" s="1270" t="s">
        <v>113</v>
      </c>
      <c r="D52" s="1271"/>
      <c r="E52" s="1272"/>
      <c r="H52" s="1282">
        <v>0.11</v>
      </c>
      <c r="J52" s="1282">
        <v>0.11</v>
      </c>
      <c r="N52" s="1265">
        <f>2*(H52+J52)+0.05</f>
        <v>0.49</v>
      </c>
      <c r="O52" s="1226"/>
    </row>
    <row r="53" spans="1:17">
      <c r="A53" s="1268"/>
      <c r="B53" s="1291" t="s">
        <v>8953</v>
      </c>
      <c r="C53" s="1270" t="s">
        <v>1761</v>
      </c>
      <c r="D53" s="1271"/>
      <c r="E53" s="1272"/>
      <c r="F53" s="1282">
        <f>F46*7</f>
        <v>168</v>
      </c>
      <c r="N53" s="1265">
        <f>N52*F53</f>
        <v>82.32</v>
      </c>
      <c r="O53" s="1226"/>
    </row>
    <row r="54" spans="1:17">
      <c r="A54" s="1268"/>
      <c r="B54" s="1291" t="s">
        <v>8954</v>
      </c>
      <c r="C54" s="1270" t="s">
        <v>65</v>
      </c>
      <c r="D54" s="1271"/>
      <c r="E54" s="1272"/>
      <c r="F54" s="1282">
        <v>12</v>
      </c>
      <c r="G54" s="1212"/>
      <c r="H54" s="1212"/>
      <c r="I54" s="1212"/>
      <c r="J54" s="1212"/>
      <c r="K54" s="1212"/>
      <c r="L54" s="1212"/>
      <c r="M54" s="1212"/>
      <c r="N54" s="1300">
        <f>N53/F54</f>
        <v>6.8599999999999994</v>
      </c>
      <c r="O54" s="1226"/>
    </row>
    <row r="55" spans="1:17">
      <c r="A55" s="1268"/>
      <c r="B55" s="1291"/>
      <c r="C55" s="1270"/>
      <c r="D55" s="1271"/>
      <c r="E55" s="1272"/>
      <c r="F55" s="1212"/>
      <c r="G55" s="1212"/>
      <c r="H55" s="1212"/>
      <c r="I55" s="1212"/>
      <c r="J55" s="1212"/>
      <c r="K55" s="1212"/>
      <c r="L55" s="1212"/>
      <c r="M55" s="1212"/>
      <c r="N55" s="1300">
        <f>N54*4.74</f>
        <v>32.516399999999997</v>
      </c>
      <c r="O55" s="1226"/>
    </row>
    <row r="56" spans="1:17">
      <c r="A56" s="1268"/>
      <c r="B56" s="1291" t="s">
        <v>8959</v>
      </c>
      <c r="C56" s="1270"/>
      <c r="D56" s="1271"/>
      <c r="E56" s="1272"/>
      <c r="F56" s="1286">
        <f>F46</f>
        <v>24</v>
      </c>
      <c r="G56" s="1212" t="s">
        <v>8935</v>
      </c>
      <c r="H56" s="1282">
        <v>0.2</v>
      </c>
      <c r="I56" s="1287"/>
      <c r="J56" s="1287"/>
      <c r="K56" s="1212" t="s">
        <v>8935</v>
      </c>
      <c r="L56" s="1287">
        <v>2</v>
      </c>
      <c r="M56" s="1287"/>
      <c r="N56" s="1295">
        <f>+F56*H56*L56</f>
        <v>9.6000000000000014</v>
      </c>
      <c r="O56" s="1226"/>
    </row>
    <row r="57" spans="1:17">
      <c r="A57" s="1268"/>
      <c r="B57" s="1274"/>
      <c r="C57" s="1296"/>
      <c r="D57" s="1297"/>
      <c r="E57" s="1298"/>
      <c r="F57" s="1299"/>
      <c r="N57" s="1240"/>
      <c r="O57" s="1226"/>
      <c r="Q57" s="1201">
        <f>4/0.15</f>
        <v>26.666666666666668</v>
      </c>
    </row>
    <row r="58" spans="1:17">
      <c r="A58" s="1268">
        <v>3</v>
      </c>
      <c r="B58" s="1223" t="s">
        <v>8960</v>
      </c>
      <c r="C58" s="1270" t="s">
        <v>42</v>
      </c>
      <c r="D58" s="1271"/>
      <c r="E58" s="1272"/>
      <c r="F58" s="1281"/>
      <c r="G58" s="1212"/>
      <c r="H58" s="1282"/>
      <c r="J58" s="1282"/>
      <c r="K58" s="1212"/>
      <c r="L58" s="1212"/>
      <c r="M58" s="1212"/>
      <c r="N58" s="1300">
        <f>F58*H58*J58</f>
        <v>0</v>
      </c>
      <c r="O58" s="1226"/>
    </row>
    <row r="59" spans="1:17">
      <c r="A59" s="1268"/>
      <c r="B59" s="1223"/>
      <c r="C59" s="1270"/>
      <c r="D59" s="1271"/>
      <c r="E59" s="1272"/>
      <c r="F59" s="1281">
        <v>3.5</v>
      </c>
      <c r="G59" s="1212" t="s">
        <v>8935</v>
      </c>
      <c r="H59" s="1282">
        <v>4</v>
      </c>
      <c r="I59" s="1212" t="s">
        <v>8935</v>
      </c>
      <c r="J59" s="1287">
        <v>0.1</v>
      </c>
      <c r="K59" s="1212"/>
      <c r="L59" s="1212"/>
      <c r="M59" s="1212"/>
      <c r="N59" s="1300">
        <f>F59*H59*J59</f>
        <v>1.4000000000000001</v>
      </c>
      <c r="O59" s="1226"/>
    </row>
    <row r="60" spans="1:17">
      <c r="A60" s="1268"/>
      <c r="B60" s="1302" t="s">
        <v>8961</v>
      </c>
      <c r="C60" s="1270"/>
      <c r="D60" s="1271"/>
      <c r="E60" s="1272"/>
      <c r="F60" s="1201">
        <f>1/0.15</f>
        <v>6.666666666666667</v>
      </c>
      <c r="G60" s="1212"/>
      <c r="H60" s="1282"/>
      <c r="I60" s="1212"/>
      <c r="J60" s="1282"/>
      <c r="K60" s="1283"/>
      <c r="L60" s="1212"/>
      <c r="M60" s="1212"/>
      <c r="N60" s="1284"/>
      <c r="O60" s="1226"/>
      <c r="Q60" s="1201">
        <f>3/0.15</f>
        <v>20</v>
      </c>
    </row>
    <row r="61" spans="1:17">
      <c r="A61" s="1268"/>
      <c r="B61" s="1302" t="s">
        <v>8962</v>
      </c>
      <c r="C61" s="1270"/>
      <c r="D61" s="1271"/>
      <c r="E61" s="1272"/>
      <c r="F61" s="1201">
        <f>F60</f>
        <v>6.666666666666667</v>
      </c>
      <c r="G61" s="1212"/>
      <c r="H61" s="1212"/>
      <c r="I61" s="1212"/>
      <c r="J61" s="1212"/>
      <c r="K61" s="1212"/>
      <c r="L61" s="1212"/>
      <c r="M61" s="1212"/>
      <c r="N61" s="1301"/>
      <c r="O61" s="1226"/>
      <c r="Q61" s="1201">
        <f>4/0.15</f>
        <v>26.666666666666668</v>
      </c>
    </row>
    <row r="62" spans="1:17">
      <c r="A62" s="1268"/>
      <c r="B62" s="1285" t="s">
        <v>8950</v>
      </c>
      <c r="C62" s="1270" t="s">
        <v>113</v>
      </c>
      <c r="D62" s="1271"/>
      <c r="E62" s="1272"/>
      <c r="F62" s="1282"/>
      <c r="G62" s="1212"/>
      <c r="H62" s="1212"/>
      <c r="I62" s="1212"/>
      <c r="J62" s="1212"/>
      <c r="K62" s="1212"/>
      <c r="L62" s="1212"/>
      <c r="M62" s="1212"/>
      <c r="N62" s="1301"/>
      <c r="O62" s="1226"/>
    </row>
    <row r="63" spans="1:17">
      <c r="A63" s="1268"/>
      <c r="B63" s="1291" t="s">
        <v>8952</v>
      </c>
      <c r="C63" s="1270" t="s">
        <v>113</v>
      </c>
      <c r="D63" s="1271"/>
      <c r="E63" s="1272"/>
      <c r="H63" s="1282"/>
      <c r="J63" s="1282"/>
      <c r="N63" s="1265"/>
      <c r="O63" s="1226"/>
    </row>
    <row r="64" spans="1:17">
      <c r="A64" s="1268"/>
      <c r="B64" s="1291" t="s">
        <v>8953</v>
      </c>
      <c r="C64" s="1270" t="s">
        <v>1761</v>
      </c>
      <c r="D64" s="1271"/>
      <c r="E64" s="1272"/>
      <c r="F64" s="1282">
        <f>+F60+F61</f>
        <v>13.333333333333334</v>
      </c>
      <c r="N64" s="1265">
        <f>+F64</f>
        <v>13.333333333333334</v>
      </c>
      <c r="O64" s="1226"/>
    </row>
    <row r="65" spans="1:17">
      <c r="A65" s="1268"/>
      <c r="B65" s="1291" t="s">
        <v>8954</v>
      </c>
      <c r="C65" s="1270" t="s">
        <v>65</v>
      </c>
      <c r="D65" s="1271"/>
      <c r="E65" s="1272"/>
      <c r="F65" s="1282">
        <v>12</v>
      </c>
      <c r="G65" s="1212"/>
      <c r="H65" s="1212"/>
      <c r="I65" s="1212"/>
      <c r="J65" s="1212"/>
      <c r="K65" s="1212"/>
      <c r="L65" s="1212"/>
      <c r="M65" s="1212"/>
      <c r="N65" s="1300">
        <f>N64/F65</f>
        <v>1.1111111111111112</v>
      </c>
      <c r="O65" s="1226"/>
    </row>
    <row r="66" spans="1:17">
      <c r="A66" s="1268"/>
      <c r="B66" s="1291"/>
      <c r="C66" s="1270"/>
      <c r="D66" s="1271"/>
      <c r="E66" s="1272"/>
      <c r="F66" s="1212"/>
      <c r="G66" s="1212"/>
      <c r="H66" s="1212"/>
      <c r="I66" s="1212"/>
      <c r="J66" s="1212"/>
      <c r="K66" s="1212"/>
      <c r="L66" s="1212"/>
      <c r="M66" s="1212"/>
      <c r="N66" s="1300">
        <f>N65*4.74</f>
        <v>5.2666666666666675</v>
      </c>
      <c r="O66" s="1226"/>
    </row>
    <row r="67" spans="1:17">
      <c r="A67" s="1268"/>
      <c r="B67" s="1291"/>
      <c r="C67" s="1270"/>
      <c r="D67" s="1271"/>
      <c r="E67" s="1272"/>
      <c r="F67" s="1212"/>
      <c r="G67" s="1212"/>
      <c r="H67" s="1212"/>
      <c r="I67" s="1212"/>
      <c r="J67" s="1212"/>
      <c r="K67" s="1212"/>
      <c r="L67" s="1212"/>
      <c r="M67" s="1212"/>
      <c r="N67" s="1300"/>
      <c r="O67" s="1226"/>
    </row>
    <row r="68" spans="1:17">
      <c r="A68" s="1268"/>
      <c r="B68" s="1291" t="s">
        <v>8963</v>
      </c>
      <c r="C68" s="1270"/>
      <c r="D68" s="1271"/>
      <c r="E68" s="1272"/>
      <c r="F68" s="1286">
        <v>3.5</v>
      </c>
      <c r="G68" s="1212" t="s">
        <v>8935</v>
      </c>
      <c r="H68" s="1282">
        <v>4</v>
      </c>
      <c r="I68" s="1287"/>
      <c r="J68" s="1287"/>
      <c r="K68" s="1212" t="s">
        <v>8935</v>
      </c>
      <c r="L68" s="1287"/>
      <c r="M68" s="1287"/>
      <c r="N68" s="1295">
        <f>F68*H68</f>
        <v>14</v>
      </c>
      <c r="O68" s="1226"/>
    </row>
    <row r="69" spans="1:17">
      <c r="A69" s="1303"/>
      <c r="B69" s="1304"/>
      <c r="C69" s="1305"/>
      <c r="D69" s="1306"/>
      <c r="E69" s="1307"/>
      <c r="F69" s="1308"/>
      <c r="G69" s="1308"/>
      <c r="H69" s="1308"/>
      <c r="I69" s="1308"/>
      <c r="J69" s="1308"/>
      <c r="K69" s="1308"/>
      <c r="L69" s="1308"/>
      <c r="M69" s="1308"/>
      <c r="N69" s="1309"/>
      <c r="O69" s="1310"/>
    </row>
    <row r="70" spans="1:17">
      <c r="A70" s="1268">
        <v>4</v>
      </c>
      <c r="B70" s="1223" t="s">
        <v>8964</v>
      </c>
      <c r="C70" s="1270" t="s">
        <v>42</v>
      </c>
      <c r="D70" s="1271"/>
      <c r="E70" s="1272"/>
      <c r="F70" s="1281">
        <f>2.5+2.5+3+3</f>
        <v>11</v>
      </c>
      <c r="G70" s="1212" t="s">
        <v>8935</v>
      </c>
      <c r="H70" s="1282">
        <v>0.5</v>
      </c>
      <c r="I70" s="1212" t="s">
        <v>8935</v>
      </c>
      <c r="J70" s="1287">
        <v>0.1</v>
      </c>
      <c r="K70" s="1212"/>
      <c r="L70" s="1212"/>
      <c r="M70" s="1212"/>
      <c r="N70" s="1300">
        <f>F70*H70*J70</f>
        <v>0.55000000000000004</v>
      </c>
      <c r="O70" s="1226"/>
    </row>
    <row r="71" spans="1:17">
      <c r="A71" s="1268"/>
      <c r="B71" s="1302" t="s">
        <v>8961</v>
      </c>
      <c r="C71" s="1270"/>
      <c r="D71" s="1271"/>
      <c r="E71" s="1272"/>
      <c r="F71" s="1201">
        <v>93</v>
      </c>
      <c r="G71" s="1212"/>
      <c r="H71" s="1212"/>
      <c r="I71" s="1212"/>
      <c r="J71" s="1212"/>
      <c r="K71" s="1212"/>
      <c r="L71" s="1212"/>
      <c r="M71" s="1212"/>
      <c r="N71" s="1301"/>
      <c r="O71" s="1226"/>
      <c r="Q71" s="1201">
        <f>14/0.15</f>
        <v>93.333333333333343</v>
      </c>
    </row>
    <row r="72" spans="1:17">
      <c r="A72" s="1268"/>
      <c r="B72" s="1302" t="s">
        <v>8962</v>
      </c>
      <c r="C72" s="1270"/>
      <c r="D72" s="1271"/>
      <c r="E72" s="1272"/>
      <c r="F72" s="1201">
        <f>14/2</f>
        <v>7</v>
      </c>
      <c r="G72" s="1212"/>
      <c r="H72" s="1212"/>
      <c r="I72" s="1212"/>
      <c r="J72" s="1212"/>
      <c r="K72" s="1212"/>
      <c r="L72" s="1212"/>
      <c r="M72" s="1212"/>
      <c r="N72" s="1301"/>
      <c r="O72" s="1226"/>
    </row>
    <row r="73" spans="1:17">
      <c r="A73" s="1268"/>
      <c r="B73" s="1285" t="s">
        <v>8950</v>
      </c>
      <c r="C73" s="1270" t="s">
        <v>113</v>
      </c>
      <c r="D73" s="1271"/>
      <c r="E73" s="1272"/>
      <c r="F73" s="1282"/>
      <c r="G73" s="1212"/>
      <c r="H73" s="1212"/>
      <c r="I73" s="1212"/>
      <c r="J73" s="1212"/>
      <c r="K73" s="1212"/>
      <c r="L73" s="1212"/>
      <c r="M73" s="1212"/>
      <c r="N73" s="1301"/>
      <c r="O73" s="1226"/>
    </row>
    <row r="74" spans="1:17">
      <c r="A74" s="1268"/>
      <c r="B74" s="1291" t="s">
        <v>8952</v>
      </c>
      <c r="C74" s="1270" t="s">
        <v>113</v>
      </c>
      <c r="D74" s="1271"/>
      <c r="E74" s="1272"/>
      <c r="H74" s="1282"/>
      <c r="J74" s="1282"/>
      <c r="N74" s="1265"/>
      <c r="O74" s="1226"/>
    </row>
    <row r="75" spans="1:17">
      <c r="A75" s="1268"/>
      <c r="B75" s="1291" t="s">
        <v>8953</v>
      </c>
      <c r="C75" s="1270" t="s">
        <v>1761</v>
      </c>
      <c r="D75" s="1271"/>
      <c r="E75" s="1272"/>
      <c r="F75" s="1282">
        <f>+F71+F72</f>
        <v>100</v>
      </c>
      <c r="N75" s="1265">
        <f>+F75</f>
        <v>100</v>
      </c>
      <c r="O75" s="1226"/>
    </row>
    <row r="76" spans="1:17">
      <c r="A76" s="1268"/>
      <c r="B76" s="1291" t="s">
        <v>8954</v>
      </c>
      <c r="C76" s="1270" t="s">
        <v>65</v>
      </c>
      <c r="D76" s="1271"/>
      <c r="E76" s="1272"/>
      <c r="F76" s="1282">
        <v>12</v>
      </c>
      <c r="G76" s="1212"/>
      <c r="H76" s="1212"/>
      <c r="I76" s="1212"/>
      <c r="J76" s="1212"/>
      <c r="K76" s="1212"/>
      <c r="L76" s="1212"/>
      <c r="M76" s="1212"/>
      <c r="N76" s="1300">
        <f>N75/F76</f>
        <v>8.3333333333333339</v>
      </c>
      <c r="O76" s="1226"/>
    </row>
    <row r="77" spans="1:17">
      <c r="A77" s="1268"/>
      <c r="B77" s="1291"/>
      <c r="C77" s="1270"/>
      <c r="D77" s="1271"/>
      <c r="E77" s="1272"/>
      <c r="F77" s="1212"/>
      <c r="G77" s="1212"/>
      <c r="H77" s="1212"/>
      <c r="I77" s="1212"/>
      <c r="J77" s="1212"/>
      <c r="K77" s="1212"/>
      <c r="L77" s="1212"/>
      <c r="M77" s="1212"/>
      <c r="N77" s="1300">
        <f>N76*4.74</f>
        <v>39.500000000000007</v>
      </c>
      <c r="O77" s="1226"/>
    </row>
    <row r="78" spans="1:17">
      <c r="A78" s="1268"/>
      <c r="B78" s="1294" t="s">
        <v>8955</v>
      </c>
      <c r="C78" s="1270" t="s">
        <v>8956</v>
      </c>
      <c r="D78" s="1271"/>
      <c r="E78" s="1272"/>
      <c r="F78" s="1212"/>
      <c r="G78" s="1212"/>
      <c r="H78" s="1212"/>
      <c r="I78" s="1793"/>
      <c r="J78" s="1793"/>
      <c r="K78" s="1793"/>
      <c r="L78" s="1793"/>
      <c r="M78" s="1793"/>
      <c r="N78" s="1300">
        <f>N55+N49+N66+N77</f>
        <v>162.53106666666667</v>
      </c>
      <c r="O78" s="1226"/>
    </row>
    <row r="79" spans="1:17">
      <c r="A79" s="1268"/>
      <c r="B79" s="1294"/>
      <c r="C79" s="1270"/>
      <c r="D79" s="1271"/>
      <c r="E79" s="1272"/>
      <c r="F79" s="1212"/>
      <c r="G79" s="1212"/>
      <c r="H79" s="1212"/>
      <c r="I79" s="1793"/>
      <c r="J79" s="1793"/>
      <c r="K79" s="1793"/>
      <c r="L79" s="1793"/>
      <c r="M79" s="1793"/>
      <c r="N79" s="1300"/>
      <c r="O79" s="1226"/>
    </row>
    <row r="80" spans="1:17">
      <c r="A80" s="1268"/>
      <c r="B80" s="1291" t="s">
        <v>8965</v>
      </c>
      <c r="C80" s="1270"/>
      <c r="D80" s="1271"/>
      <c r="E80" s="1272"/>
      <c r="F80" s="1286">
        <f>F70</f>
        <v>11</v>
      </c>
      <c r="G80" s="1212" t="s">
        <v>8935</v>
      </c>
      <c r="H80" s="1282">
        <v>0.5</v>
      </c>
      <c r="I80" s="1287"/>
      <c r="J80" s="1287"/>
      <c r="K80" s="1212" t="s">
        <v>8935</v>
      </c>
      <c r="L80" s="1287"/>
      <c r="M80" s="1287"/>
      <c r="N80" s="1295">
        <f>F80*H80</f>
        <v>5.5</v>
      </c>
      <c r="O80" s="1226"/>
    </row>
    <row r="81" spans="1:18">
      <c r="A81" s="1268"/>
      <c r="B81" s="1294" t="s">
        <v>8955</v>
      </c>
      <c r="C81" s="1270" t="s">
        <v>8956</v>
      </c>
      <c r="D81" s="1271"/>
      <c r="E81" s="1272"/>
      <c r="F81" s="1212"/>
      <c r="G81" s="1212"/>
      <c r="H81" s="1212"/>
      <c r="I81" s="1793"/>
      <c r="J81" s="1793"/>
      <c r="K81" s="1793"/>
      <c r="L81" s="1793"/>
      <c r="M81" s="1793"/>
      <c r="N81" s="1300"/>
      <c r="O81" s="1226"/>
    </row>
    <row r="82" spans="1:18" ht="14.4" thickBot="1">
      <c r="A82" s="1311"/>
      <c r="B82" s="1252"/>
      <c r="C82" s="1312"/>
      <c r="D82" s="1313"/>
      <c r="E82" s="1314"/>
      <c r="F82" s="1791"/>
      <c r="G82" s="1791"/>
      <c r="H82" s="1791"/>
      <c r="I82" s="1794"/>
      <c r="J82" s="1794"/>
      <c r="K82" s="1794"/>
      <c r="L82" s="1794"/>
      <c r="M82" s="1794"/>
      <c r="N82" s="1225"/>
      <c r="O82" s="1254"/>
    </row>
    <row r="83" spans="1:18">
      <c r="A83" s="1268">
        <v>6</v>
      </c>
      <c r="B83" s="1316" t="s">
        <v>8966</v>
      </c>
      <c r="C83" s="1270"/>
      <c r="D83" s="1271"/>
      <c r="E83" s="1272"/>
      <c r="F83" s="1212"/>
      <c r="G83" s="1212"/>
      <c r="H83" s="1212"/>
      <c r="I83" s="1245"/>
      <c r="J83" s="1245"/>
      <c r="K83" s="1245"/>
      <c r="L83" s="1245"/>
      <c r="M83" s="1245"/>
      <c r="N83" s="1240"/>
      <c r="O83" s="1226"/>
    </row>
    <row r="84" spans="1:18">
      <c r="A84" s="1268"/>
      <c r="B84" s="1285" t="s">
        <v>8946</v>
      </c>
      <c r="C84" s="1270" t="s">
        <v>113</v>
      </c>
      <c r="D84" s="1271"/>
      <c r="E84" s="1272"/>
      <c r="F84" s="1281">
        <f>F33</f>
        <v>16</v>
      </c>
      <c r="G84" s="1212" t="s">
        <v>8935</v>
      </c>
      <c r="H84" s="1282">
        <v>0.2</v>
      </c>
      <c r="I84" s="1212" t="s">
        <v>8935</v>
      </c>
      <c r="J84" s="1282">
        <v>0.15</v>
      </c>
      <c r="K84" s="1283"/>
      <c r="L84" s="1212">
        <v>0</v>
      </c>
      <c r="M84" s="1212" t="s">
        <v>6616</v>
      </c>
      <c r="N84" s="1284">
        <f>J84*H84*F84</f>
        <v>0.48</v>
      </c>
      <c r="O84" s="1226"/>
    </row>
    <row r="85" spans="1:18">
      <c r="A85" s="1268"/>
      <c r="B85" s="1285" t="s">
        <v>8947</v>
      </c>
      <c r="C85" s="1270" t="s">
        <v>1761</v>
      </c>
      <c r="D85" s="1271"/>
      <c r="E85" s="1272"/>
      <c r="F85" s="1286">
        <f>F84</f>
        <v>16</v>
      </c>
      <c r="G85" s="1287" t="s">
        <v>8935</v>
      </c>
      <c r="H85" s="1287">
        <v>4</v>
      </c>
      <c r="I85" s="1287"/>
      <c r="J85" s="1287"/>
      <c r="K85" s="1287"/>
      <c r="L85" s="1287"/>
      <c r="M85" s="1212" t="s">
        <v>6616</v>
      </c>
      <c r="N85" s="1288">
        <f>F85*4</f>
        <v>64</v>
      </c>
      <c r="O85" s="1226"/>
      <c r="R85" s="1201">
        <f>2.5/100</f>
        <v>2.5000000000000001E-2</v>
      </c>
    </row>
    <row r="86" spans="1:18">
      <c r="A86" s="1268"/>
      <c r="B86" s="1285" t="s">
        <v>8948</v>
      </c>
      <c r="C86" s="1270" t="s">
        <v>65</v>
      </c>
      <c r="D86" s="1271"/>
      <c r="E86" s="1272"/>
      <c r="F86" s="1287">
        <v>12</v>
      </c>
      <c r="G86" s="1287"/>
      <c r="H86" s="1287"/>
      <c r="I86" s="1287"/>
      <c r="J86" s="1287"/>
      <c r="K86" s="1287"/>
      <c r="L86" s="1287"/>
      <c r="M86" s="1212" t="s">
        <v>6616</v>
      </c>
      <c r="N86" s="1288">
        <f>N85/F86</f>
        <v>5.333333333333333</v>
      </c>
      <c r="O86" s="1226"/>
      <c r="R86" s="1201">
        <f>550000000</f>
        <v>550000000</v>
      </c>
    </row>
    <row r="87" spans="1:18">
      <c r="A87" s="1268"/>
      <c r="B87" s="1290"/>
      <c r="C87" s="1270"/>
      <c r="D87" s="1271"/>
      <c r="E87" s="1272"/>
      <c r="F87" s="1287"/>
      <c r="G87" s="1287"/>
      <c r="H87" s="1287"/>
      <c r="I87" s="1287"/>
      <c r="J87" s="1287"/>
      <c r="K87" s="1287"/>
      <c r="L87" s="1287"/>
      <c r="M87" s="1287"/>
      <c r="N87" s="1288">
        <f>N86*10.656</f>
        <v>56.832000000000001</v>
      </c>
      <c r="O87" s="1226"/>
      <c r="R87" s="1201">
        <f>R86*R85</f>
        <v>13750000</v>
      </c>
    </row>
    <row r="88" spans="1:18">
      <c r="A88" s="1268"/>
      <c r="B88" s="1285" t="s">
        <v>8950</v>
      </c>
      <c r="C88" s="1270" t="s">
        <v>113</v>
      </c>
      <c r="D88" s="1271"/>
      <c r="E88" s="1272"/>
      <c r="F88" s="1287"/>
      <c r="G88" s="1287"/>
      <c r="H88" s="1287"/>
      <c r="I88" s="1287"/>
      <c r="J88" s="1287"/>
      <c r="K88" s="1287"/>
      <c r="L88" s="1287"/>
      <c r="M88" s="1287"/>
      <c r="N88" s="1288"/>
      <c r="O88" s="1226"/>
    </row>
    <row r="89" spans="1:18">
      <c r="A89" s="1268"/>
      <c r="B89" s="1291" t="s">
        <v>8952</v>
      </c>
      <c r="C89" s="1270" t="s">
        <v>113</v>
      </c>
      <c r="D89" s="1271"/>
      <c r="E89" s="1272"/>
      <c r="F89" s="1287">
        <v>2</v>
      </c>
      <c r="G89" s="1287" t="s">
        <v>8935</v>
      </c>
      <c r="H89" s="1282">
        <v>0.15</v>
      </c>
      <c r="I89" s="1287" t="s">
        <v>8951</v>
      </c>
      <c r="J89" s="1282">
        <v>0.1</v>
      </c>
      <c r="K89" s="1287" t="s">
        <v>8951</v>
      </c>
      <c r="L89" s="1287">
        <v>0.05</v>
      </c>
      <c r="M89" s="1287"/>
      <c r="N89" s="1288">
        <f>F89*(H89+J89)+L89</f>
        <v>0.55000000000000004</v>
      </c>
      <c r="O89" s="1226"/>
    </row>
    <row r="90" spans="1:18">
      <c r="A90" s="1268"/>
      <c r="B90" s="1291" t="s">
        <v>8953</v>
      </c>
      <c r="C90" s="1270" t="s">
        <v>1761</v>
      </c>
      <c r="D90" s="1271"/>
      <c r="E90" s="1272"/>
      <c r="F90" s="1286">
        <f>F84*7</f>
        <v>112</v>
      </c>
      <c r="G90" s="1287"/>
      <c r="H90" s="1287"/>
      <c r="I90" s="1287"/>
      <c r="J90" s="1287"/>
      <c r="K90" s="1287"/>
      <c r="L90" s="1287"/>
      <c r="M90" s="1212" t="s">
        <v>6616</v>
      </c>
      <c r="N90" s="1288">
        <f>N89*F90</f>
        <v>61.600000000000009</v>
      </c>
      <c r="O90" s="1226"/>
    </row>
    <row r="91" spans="1:18">
      <c r="A91" s="1268"/>
      <c r="B91" s="1291" t="s">
        <v>8954</v>
      </c>
      <c r="C91" s="1270" t="s">
        <v>65</v>
      </c>
      <c r="D91" s="1271"/>
      <c r="E91" s="1272"/>
      <c r="F91" s="1292">
        <v>12</v>
      </c>
      <c r="G91" s="1292"/>
      <c r="H91" s="1292"/>
      <c r="I91" s="1292"/>
      <c r="J91" s="1292"/>
      <c r="K91" s="1292"/>
      <c r="L91" s="1292"/>
      <c r="M91" s="1212" t="s">
        <v>6616</v>
      </c>
      <c r="N91" s="1293">
        <f>N90/F91</f>
        <v>5.1333333333333337</v>
      </c>
      <c r="O91" s="1226"/>
    </row>
    <row r="92" spans="1:18" ht="14.4" thickBot="1">
      <c r="A92" s="1268"/>
      <c r="B92" s="1294" t="s">
        <v>8955</v>
      </c>
      <c r="C92" s="1270" t="s">
        <v>8956</v>
      </c>
      <c r="D92" s="1271"/>
      <c r="E92" s="1272"/>
      <c r="F92" s="1287"/>
      <c r="G92" s="1287"/>
      <c r="H92" s="1287"/>
      <c r="I92" s="1287"/>
      <c r="J92" s="1287"/>
      <c r="K92" s="1287"/>
      <c r="L92" s="1287"/>
      <c r="M92" s="1212" t="s">
        <v>6616</v>
      </c>
      <c r="N92" s="1288">
        <f>N91*4.74</f>
        <v>24.332000000000004</v>
      </c>
      <c r="O92" s="1254"/>
      <c r="Q92" s="1317">
        <v>10000000</v>
      </c>
    </row>
    <row r="93" spans="1:18">
      <c r="A93" s="1268"/>
      <c r="B93" s="1291" t="s">
        <v>8967</v>
      </c>
      <c r="C93" s="1270"/>
      <c r="D93" s="1271"/>
      <c r="E93" s="1272"/>
      <c r="F93" s="1286">
        <f>F84</f>
        <v>16</v>
      </c>
      <c r="G93" s="1212" t="s">
        <v>8935</v>
      </c>
      <c r="H93" s="1282">
        <v>0.2</v>
      </c>
      <c r="I93" s="1287"/>
      <c r="J93" s="1287"/>
      <c r="K93" s="1212" t="s">
        <v>8935</v>
      </c>
      <c r="L93" s="1287">
        <v>2</v>
      </c>
      <c r="M93" s="1287"/>
      <c r="N93" s="1295">
        <f>+F93*H93*L93</f>
        <v>6.4</v>
      </c>
      <c r="O93" s="1226"/>
    </row>
    <row r="94" spans="1:18">
      <c r="A94" s="1268"/>
      <c r="B94" s="1274"/>
      <c r="C94" s="1296"/>
      <c r="D94" s="1297"/>
      <c r="E94" s="1298"/>
      <c r="F94" s="1287"/>
      <c r="G94" s="1287"/>
      <c r="H94" s="1287"/>
      <c r="I94" s="1287"/>
      <c r="J94" s="1287"/>
      <c r="K94" s="1287"/>
      <c r="L94" s="1287"/>
      <c r="M94" s="1287"/>
      <c r="N94" s="1295">
        <f>N92+N87</f>
        <v>81.164000000000001</v>
      </c>
      <c r="O94" s="1226"/>
    </row>
    <row r="95" spans="1:18">
      <c r="A95" s="1318" t="s">
        <v>1221</v>
      </c>
      <c r="B95" s="1319" t="s">
        <v>8968</v>
      </c>
      <c r="C95" s="1237"/>
      <c r="D95" s="1238"/>
      <c r="E95" s="1239"/>
      <c r="N95" s="1240"/>
      <c r="O95" s="1226"/>
      <c r="Q95" s="1201">
        <f>164+152</f>
        <v>316</v>
      </c>
    </row>
    <row r="96" spans="1:18">
      <c r="A96" s="1268">
        <v>1</v>
      </c>
      <c r="B96" s="1274" t="s">
        <v>8969</v>
      </c>
      <c r="C96" s="1296"/>
      <c r="D96" s="1297"/>
      <c r="E96" s="1298"/>
      <c r="N96" s="1201"/>
      <c r="O96" s="1226"/>
    </row>
    <row r="97" spans="1:15">
      <c r="A97" s="1268"/>
      <c r="B97" s="1274" t="s">
        <v>8970</v>
      </c>
      <c r="C97" s="1296"/>
      <c r="D97" s="1297"/>
      <c r="E97" s="1298"/>
      <c r="F97" s="1287">
        <v>2.5299999999999998</v>
      </c>
      <c r="G97" s="1212" t="s">
        <v>8935</v>
      </c>
      <c r="H97" s="1287">
        <v>0.08</v>
      </c>
      <c r="I97" s="1212" t="s">
        <v>8935</v>
      </c>
      <c r="J97" s="1287">
        <v>0.12</v>
      </c>
      <c r="K97" s="1287"/>
      <c r="L97" s="1287"/>
      <c r="M97" s="1212" t="s">
        <v>6616</v>
      </c>
      <c r="N97" s="1295">
        <f>+F97*H97*J97</f>
        <v>2.4287999999999997E-2</v>
      </c>
      <c r="O97" s="1226"/>
    </row>
    <row r="98" spans="1:15">
      <c r="A98" s="1268"/>
      <c r="B98" s="1274"/>
      <c r="C98" s="1296"/>
      <c r="D98" s="1297"/>
      <c r="E98" s="1298"/>
      <c r="F98" s="1287"/>
      <c r="G98" s="1212"/>
      <c r="H98" s="1287"/>
      <c r="I98" s="1212"/>
      <c r="J98" s="1287"/>
      <c r="K98" s="1287"/>
      <c r="L98" s="1287">
        <v>3</v>
      </c>
      <c r="M98" s="1212" t="s">
        <v>6616</v>
      </c>
      <c r="N98" s="1295">
        <f>+N97*L98</f>
        <v>7.2863999999999984E-2</v>
      </c>
      <c r="O98" s="1226"/>
    </row>
    <row r="99" spans="1:15">
      <c r="A99" s="1268"/>
      <c r="B99" s="1274" t="s">
        <v>8971</v>
      </c>
      <c r="C99" s="1296"/>
      <c r="D99" s="1297"/>
      <c r="E99" s="1298"/>
      <c r="F99" s="1287">
        <f>+F106</f>
        <v>7.6</v>
      </c>
      <c r="G99" s="1212" t="s">
        <v>8935</v>
      </c>
      <c r="H99" s="1287">
        <v>0.08</v>
      </c>
      <c r="I99" s="1212" t="s">
        <v>8935</v>
      </c>
      <c r="J99" s="1287">
        <v>0.12</v>
      </c>
      <c r="K99" s="1287" t="s">
        <v>8935</v>
      </c>
      <c r="L99" s="1287">
        <v>2</v>
      </c>
      <c r="M99" s="1212" t="s">
        <v>6616</v>
      </c>
      <c r="N99" s="1295">
        <f>+F99*H99*J99*L99</f>
        <v>0.14591999999999999</v>
      </c>
      <c r="O99" s="1226"/>
    </row>
    <row r="100" spans="1:15">
      <c r="A100" s="1268"/>
      <c r="B100" s="1274" t="s">
        <v>8972</v>
      </c>
      <c r="C100" s="1296"/>
      <c r="D100" s="1297"/>
      <c r="E100" s="1298"/>
      <c r="F100" s="1287">
        <v>0.95</v>
      </c>
      <c r="G100" s="1212" t="s">
        <v>8935</v>
      </c>
      <c r="H100" s="1287">
        <v>0.08</v>
      </c>
      <c r="I100" s="1212" t="s">
        <v>8935</v>
      </c>
      <c r="J100" s="1287">
        <v>0.12</v>
      </c>
      <c r="K100" s="1287" t="s">
        <v>8935</v>
      </c>
      <c r="L100" s="1287">
        <v>2</v>
      </c>
      <c r="M100" s="1212" t="s">
        <v>6616</v>
      </c>
      <c r="N100" s="1295">
        <f>+F100*H100*J100*L100</f>
        <v>1.8239999999999999E-2</v>
      </c>
      <c r="O100" s="1226"/>
    </row>
    <row r="101" spans="1:15">
      <c r="A101" s="1268"/>
      <c r="B101" s="1274"/>
      <c r="C101" s="1296"/>
      <c r="D101" s="1297"/>
      <c r="E101" s="1298"/>
      <c r="F101" s="1287"/>
      <c r="G101" s="1212"/>
      <c r="H101" s="1287"/>
      <c r="I101" s="1212"/>
      <c r="J101" s="1287"/>
      <c r="K101" s="1287"/>
      <c r="L101" s="1287">
        <v>3</v>
      </c>
      <c r="M101" s="1212" t="s">
        <v>6616</v>
      </c>
      <c r="N101" s="1295">
        <f>+N100*L101</f>
        <v>5.4719999999999998E-2</v>
      </c>
      <c r="O101" s="1226"/>
    </row>
    <row r="102" spans="1:15">
      <c r="A102" s="1268"/>
      <c r="B102" s="1274" t="s">
        <v>8973</v>
      </c>
      <c r="C102" s="1296"/>
      <c r="D102" s="1297"/>
      <c r="E102" s="1298"/>
      <c r="F102" s="1287">
        <v>0.28000000000000003</v>
      </c>
      <c r="G102" s="1212" t="s">
        <v>8935</v>
      </c>
      <c r="H102" s="1287">
        <v>0.08</v>
      </c>
      <c r="I102" s="1212" t="s">
        <v>8935</v>
      </c>
      <c r="J102" s="1287">
        <v>0.12</v>
      </c>
      <c r="K102" s="1287" t="s">
        <v>8935</v>
      </c>
      <c r="L102" s="1287">
        <v>2</v>
      </c>
      <c r="M102" s="1212" t="s">
        <v>6616</v>
      </c>
      <c r="N102" s="1295">
        <f>+F102*H102*J102*L102</f>
        <v>5.3760000000000006E-3</v>
      </c>
      <c r="O102" s="1226"/>
    </row>
    <row r="103" spans="1:15">
      <c r="A103" s="1268"/>
      <c r="B103" s="1274"/>
      <c r="C103" s="1296"/>
      <c r="D103" s="1297"/>
      <c r="E103" s="1298"/>
      <c r="F103" s="1287"/>
      <c r="G103" s="1212"/>
      <c r="H103" s="1287"/>
      <c r="I103" s="1212"/>
      <c r="J103" s="1287"/>
      <c r="K103" s="1287"/>
      <c r="L103" s="1287">
        <v>3</v>
      </c>
      <c r="M103" s="1212" t="s">
        <v>6616</v>
      </c>
      <c r="N103" s="1295">
        <f>+N102*L103</f>
        <v>1.6128000000000003E-2</v>
      </c>
      <c r="O103" s="1226"/>
    </row>
    <row r="104" spans="1:15">
      <c r="A104" s="1268"/>
      <c r="B104" s="1274" t="s">
        <v>8974</v>
      </c>
      <c r="C104" s="1296"/>
      <c r="D104" s="1297"/>
      <c r="E104" s="1298"/>
      <c r="F104" s="1287">
        <v>0.6</v>
      </c>
      <c r="G104" s="1212" t="s">
        <v>8935</v>
      </c>
      <c r="H104" s="1287">
        <v>0.08</v>
      </c>
      <c r="I104" s="1212" t="s">
        <v>8935</v>
      </c>
      <c r="J104" s="1287">
        <v>0.12</v>
      </c>
      <c r="K104" s="1287" t="s">
        <v>8935</v>
      </c>
      <c r="L104" s="1287">
        <v>2</v>
      </c>
      <c r="M104" s="1212" t="s">
        <v>6616</v>
      </c>
      <c r="N104" s="1295">
        <f>+F104*H104*J104*L104</f>
        <v>1.1519999999999999E-2</v>
      </c>
      <c r="O104" s="1226"/>
    </row>
    <row r="105" spans="1:15">
      <c r="A105" s="1268"/>
      <c r="B105" s="1274"/>
      <c r="C105" s="1296"/>
      <c r="D105" s="1297"/>
      <c r="E105" s="1298"/>
      <c r="F105" s="1287"/>
      <c r="G105" s="1212"/>
      <c r="H105" s="1287"/>
      <c r="I105" s="1212"/>
      <c r="J105" s="1287"/>
      <c r="K105" s="1287"/>
      <c r="L105" s="1287">
        <v>3</v>
      </c>
      <c r="M105" s="1212" t="s">
        <v>6616</v>
      </c>
      <c r="N105" s="1295">
        <f>+N104*L105</f>
        <v>3.4559999999999994E-2</v>
      </c>
      <c r="O105" s="1226"/>
    </row>
    <row r="106" spans="1:15">
      <c r="A106" s="1268"/>
      <c r="B106" s="1274" t="s">
        <v>8975</v>
      </c>
      <c r="C106" s="1296"/>
      <c r="D106" s="1297"/>
      <c r="E106" s="1298"/>
      <c r="F106" s="1287">
        <f>6+0.8+0.8</f>
        <v>7.6</v>
      </c>
      <c r="G106" s="1212" t="s">
        <v>8935</v>
      </c>
      <c r="H106" s="1287">
        <v>0.08</v>
      </c>
      <c r="I106" s="1212" t="s">
        <v>8935</v>
      </c>
      <c r="J106" s="1287">
        <v>0.12</v>
      </c>
      <c r="K106" s="1287"/>
      <c r="L106" s="1287"/>
      <c r="M106" s="1212" t="s">
        <v>6616</v>
      </c>
      <c r="N106" s="1295">
        <f>+F106*H106*J106</f>
        <v>7.2959999999999997E-2</v>
      </c>
      <c r="O106" s="1226"/>
    </row>
    <row r="107" spans="1:15">
      <c r="A107" s="1268"/>
      <c r="B107" s="1274" t="s">
        <v>8976</v>
      </c>
      <c r="C107" s="1296"/>
      <c r="D107" s="1297"/>
      <c r="E107" s="1298"/>
      <c r="F107" s="1287">
        <f>+F106</f>
        <v>7.6</v>
      </c>
      <c r="G107" s="1212" t="s">
        <v>8935</v>
      </c>
      <c r="H107" s="1287">
        <v>0.02</v>
      </c>
      <c r="I107" s="1212" t="s">
        <v>8935</v>
      </c>
      <c r="J107" s="1287">
        <v>0.2</v>
      </c>
      <c r="K107" s="1287"/>
      <c r="L107" s="1287"/>
      <c r="M107" s="1212" t="s">
        <v>6616</v>
      </c>
      <c r="N107" s="1295">
        <f>+F107*H107*J107</f>
        <v>3.04E-2</v>
      </c>
      <c r="O107" s="1226"/>
    </row>
    <row r="108" spans="1:15">
      <c r="A108" s="1268"/>
      <c r="B108" s="1274" t="s">
        <v>8977</v>
      </c>
      <c r="C108" s="1296"/>
      <c r="D108" s="1297"/>
      <c r="E108" s="1298"/>
      <c r="F108" s="1287">
        <f>+F107</f>
        <v>7.6</v>
      </c>
      <c r="G108" s="1212" t="s">
        <v>8935</v>
      </c>
      <c r="H108" s="1287">
        <v>0.08</v>
      </c>
      <c r="I108" s="1212" t="s">
        <v>8935</v>
      </c>
      <c r="J108" s="1287">
        <v>0.12</v>
      </c>
      <c r="K108" s="1287" t="s">
        <v>8935</v>
      </c>
      <c r="L108" s="1287">
        <v>2</v>
      </c>
      <c r="M108" s="1212" t="s">
        <v>6616</v>
      </c>
      <c r="N108" s="1295">
        <f>+F108*H108*J108*L108</f>
        <v>0.14591999999999999</v>
      </c>
      <c r="O108" s="1226"/>
    </row>
    <row r="109" spans="1:15">
      <c r="A109" s="1268"/>
      <c r="B109" s="1274"/>
      <c r="C109" s="1296"/>
      <c r="D109" s="1297"/>
      <c r="E109" s="1298"/>
      <c r="F109" s="1287"/>
      <c r="G109" s="1287"/>
      <c r="H109" s="1287"/>
      <c r="I109" s="1287"/>
      <c r="J109" s="1287"/>
      <c r="K109" s="1287"/>
      <c r="L109" s="1287"/>
      <c r="M109" s="1287"/>
      <c r="N109" s="1201"/>
      <c r="O109" s="1226"/>
    </row>
    <row r="110" spans="1:15">
      <c r="A110" s="1268"/>
      <c r="B110" s="1274"/>
      <c r="C110" s="1296"/>
      <c r="D110" s="1297"/>
      <c r="E110" s="1298"/>
      <c r="F110" s="1287"/>
      <c r="G110" s="1287"/>
      <c r="H110" s="1287"/>
      <c r="I110" s="1287"/>
      <c r="J110" s="1287"/>
      <c r="K110" s="1287"/>
      <c r="L110" s="1287"/>
      <c r="M110" s="1287"/>
      <c r="N110" s="1295">
        <f>N108+N107+N106+N105+N103+N101+N99+N98</f>
        <v>0.57347199999999998</v>
      </c>
      <c r="O110" s="1226"/>
    </row>
    <row r="111" spans="1:15">
      <c r="A111" s="1268">
        <v>2</v>
      </c>
      <c r="B111" s="1274" t="s">
        <v>8978</v>
      </c>
      <c r="C111" s="1296"/>
      <c r="D111" s="1297"/>
      <c r="E111" s="1298"/>
      <c r="F111" s="1287">
        <v>2</v>
      </c>
      <c r="G111" s="1212" t="s">
        <v>8935</v>
      </c>
      <c r="H111" s="1287">
        <v>0.05</v>
      </c>
      <c r="I111" s="1212" t="s">
        <v>8935</v>
      </c>
      <c r="J111" s="1287">
        <v>7.0000000000000007E-2</v>
      </c>
      <c r="K111" s="1287" t="s">
        <v>8935</v>
      </c>
      <c r="L111" s="1287">
        <v>2</v>
      </c>
      <c r="M111" s="1212" t="s">
        <v>6616</v>
      </c>
      <c r="N111" s="1295">
        <f>+F111*H111*J111*L111</f>
        <v>1.4000000000000002E-2</v>
      </c>
      <c r="O111" s="1226"/>
    </row>
    <row r="112" spans="1:15">
      <c r="A112" s="1268"/>
      <c r="B112" s="1274"/>
      <c r="C112" s="1296"/>
      <c r="D112" s="1297"/>
      <c r="E112" s="1298"/>
      <c r="F112" s="1287"/>
      <c r="G112" s="1287"/>
      <c r="H112" s="1287"/>
      <c r="I112" s="1287"/>
      <c r="J112" s="1287"/>
      <c r="K112" s="1287"/>
      <c r="L112" s="1287">
        <f>5.5/0.5</f>
        <v>11</v>
      </c>
      <c r="M112" s="1287" t="s">
        <v>6616</v>
      </c>
      <c r="N112" s="1295">
        <f>+N111*L112</f>
        <v>0.15400000000000003</v>
      </c>
      <c r="O112" s="1226"/>
    </row>
    <row r="113" spans="1:16">
      <c r="A113" s="1268">
        <v>3</v>
      </c>
      <c r="B113" s="1274" t="s">
        <v>8979</v>
      </c>
      <c r="C113" s="1296"/>
      <c r="D113" s="1297"/>
      <c r="E113" s="1298"/>
      <c r="F113" s="1287">
        <f>+F108</f>
        <v>7.6</v>
      </c>
      <c r="G113" s="1212" t="s">
        <v>8935</v>
      </c>
      <c r="H113" s="1287">
        <v>0.02</v>
      </c>
      <c r="I113" s="1212" t="s">
        <v>8935</v>
      </c>
      <c r="J113" s="1287">
        <v>0.04</v>
      </c>
      <c r="K113" s="1287" t="s">
        <v>8935</v>
      </c>
      <c r="L113" s="1287">
        <f>9*2</f>
        <v>18</v>
      </c>
      <c r="M113" s="1212" t="s">
        <v>6616</v>
      </c>
      <c r="N113" s="1295">
        <f>+F113*H113*J113*L113</f>
        <v>0.10944000000000001</v>
      </c>
      <c r="O113" s="1226"/>
    </row>
    <row r="114" spans="1:16">
      <c r="A114" s="1268"/>
      <c r="B114" s="1274"/>
      <c r="C114" s="1296"/>
      <c r="D114" s="1297"/>
      <c r="E114" s="1298"/>
      <c r="F114" s="1287"/>
      <c r="G114" s="1287"/>
      <c r="H114" s="1287"/>
      <c r="I114" s="1287"/>
      <c r="J114" s="1287"/>
      <c r="K114" s="1287"/>
      <c r="L114" s="1287"/>
      <c r="M114" s="1287"/>
      <c r="N114" s="1201"/>
      <c r="O114" s="1226"/>
    </row>
    <row r="115" spans="1:16">
      <c r="A115" s="1268">
        <v>4</v>
      </c>
      <c r="B115" s="1274" t="s">
        <v>8980</v>
      </c>
      <c r="C115" s="1296"/>
      <c r="D115" s="1297"/>
      <c r="E115" s="1298"/>
      <c r="F115" s="1287">
        <f>1.97+1.97+1.97+1.97+4.6+4.6</f>
        <v>17.079999999999998</v>
      </c>
      <c r="G115" s="1212" t="s">
        <v>8935</v>
      </c>
      <c r="H115" s="1287">
        <v>0.03</v>
      </c>
      <c r="I115" s="1212" t="s">
        <v>8935</v>
      </c>
      <c r="J115" s="1287">
        <v>0.3</v>
      </c>
      <c r="K115" s="1287" t="s">
        <v>8935</v>
      </c>
      <c r="L115" s="1287"/>
      <c r="M115" s="1212" t="s">
        <v>6616</v>
      </c>
      <c r="N115" s="1295">
        <f>+F115*H115*J115</f>
        <v>0.15372</v>
      </c>
      <c r="O115" s="1226"/>
    </row>
    <row r="116" spans="1:16" s="1215" customFormat="1" ht="28.5" customHeight="1">
      <c r="A116" s="1268">
        <v>1</v>
      </c>
      <c r="B116" s="1320" t="s">
        <v>8981</v>
      </c>
      <c r="C116" s="1242" t="s">
        <v>6558</v>
      </c>
      <c r="D116" s="1243"/>
      <c r="E116" s="1244"/>
      <c r="F116" s="1245">
        <v>16</v>
      </c>
      <c r="G116" s="1246" t="s">
        <v>8935</v>
      </c>
      <c r="H116" s="1245">
        <v>4</v>
      </c>
      <c r="I116" s="1264"/>
      <c r="M116" s="1264" t="s">
        <v>6616</v>
      </c>
      <c r="N116" s="1265">
        <f>F116+H116</f>
        <v>20</v>
      </c>
      <c r="O116" s="1248"/>
    </row>
    <row r="117" spans="1:16" s="1215" customFormat="1" ht="28.5" customHeight="1">
      <c r="A117" s="1268">
        <f t="shared" ref="A117:A118" si="1">A116+1</f>
        <v>2</v>
      </c>
      <c r="B117" s="1320" t="s">
        <v>8982</v>
      </c>
      <c r="C117" s="1242" t="s">
        <v>6558</v>
      </c>
      <c r="D117" s="1243"/>
      <c r="E117" s="1244"/>
      <c r="M117" s="1264" t="s">
        <v>6616</v>
      </c>
      <c r="N117" s="1265">
        <f>N116</f>
        <v>20</v>
      </c>
      <c r="O117" s="1248"/>
    </row>
    <row r="118" spans="1:16" s="1215" customFormat="1" ht="28.5" customHeight="1">
      <c r="A118" s="1268">
        <f t="shared" si="1"/>
        <v>3</v>
      </c>
      <c r="B118" s="1320" t="s">
        <v>8983</v>
      </c>
      <c r="C118" s="1242" t="s">
        <v>8057</v>
      </c>
      <c r="D118" s="1243"/>
      <c r="E118" s="1244"/>
      <c r="F118" s="1321">
        <f>+(2.2*7)+(0.5*7)</f>
        <v>18.900000000000002</v>
      </c>
      <c r="G118" s="1264"/>
      <c r="I118" s="1264"/>
      <c r="M118" s="1264" t="s">
        <v>6616</v>
      </c>
      <c r="N118" s="1265">
        <f>F118</f>
        <v>18.900000000000002</v>
      </c>
      <c r="O118" s="1248"/>
    </row>
    <row r="119" spans="1:16" ht="18" customHeight="1" thickBot="1">
      <c r="A119" s="1275"/>
      <c r="B119" s="1251"/>
      <c r="C119" s="1251"/>
      <c r="D119" s="1252"/>
      <c r="E119" s="1253"/>
      <c r="F119" s="1250"/>
      <c r="G119" s="1250"/>
      <c r="H119" s="1250"/>
      <c r="I119" s="1250"/>
      <c r="J119" s="1250"/>
      <c r="K119" s="1250"/>
      <c r="L119" s="1250"/>
      <c r="M119" s="1250"/>
      <c r="N119" s="1225"/>
      <c r="O119" s="1254"/>
    </row>
    <row r="120" spans="1:16">
      <c r="A120" s="1276" t="s">
        <v>6626</v>
      </c>
      <c r="B120" s="1322" t="s">
        <v>8984</v>
      </c>
      <c r="C120" s="1257"/>
      <c r="D120" s="1258"/>
      <c r="E120" s="1259"/>
      <c r="F120" s="1260"/>
      <c r="G120" s="1260"/>
      <c r="H120" s="1260"/>
      <c r="I120" s="1260"/>
      <c r="J120" s="1260"/>
      <c r="K120" s="1260"/>
      <c r="L120" s="1260"/>
      <c r="M120" s="1260"/>
      <c r="N120" s="1261"/>
      <c r="O120" s="1262"/>
    </row>
    <row r="121" spans="1:16">
      <c r="A121" s="1268">
        <v>1</v>
      </c>
      <c r="B121" s="1320" t="s">
        <v>8985</v>
      </c>
      <c r="C121" s="1270" t="s">
        <v>6558</v>
      </c>
      <c r="D121" s="1271"/>
      <c r="E121" s="1272"/>
      <c r="F121" s="1212"/>
      <c r="H121" s="1212"/>
      <c r="L121" s="1212"/>
      <c r="M121" s="1273" t="s">
        <v>6616</v>
      </c>
      <c r="N121" s="1240">
        <f>N117</f>
        <v>20</v>
      </c>
      <c r="O121" s="1226"/>
    </row>
    <row r="122" spans="1:16">
      <c r="A122" s="1268">
        <v>2</v>
      </c>
      <c r="B122" s="1320" t="s">
        <v>8986</v>
      </c>
      <c r="C122" s="1270" t="s">
        <v>6558</v>
      </c>
      <c r="D122" s="1271"/>
      <c r="E122" s="1272"/>
      <c r="F122" s="1323"/>
      <c r="H122" s="1212"/>
      <c r="L122" s="1212"/>
      <c r="M122" s="1273" t="s">
        <v>6616</v>
      </c>
      <c r="N122" s="1240">
        <f>N118*0.05</f>
        <v>0.94500000000000017</v>
      </c>
      <c r="O122" s="1226"/>
    </row>
    <row r="123" spans="1:16">
      <c r="A123" s="1268">
        <v>3</v>
      </c>
      <c r="B123" s="1320" t="s">
        <v>8987</v>
      </c>
      <c r="C123" s="1270" t="s">
        <v>6558</v>
      </c>
      <c r="D123" s="1271"/>
      <c r="E123" s="1272"/>
      <c r="F123" s="1323">
        <f>N26</f>
        <v>45.44</v>
      </c>
      <c r="K123" s="1201" t="s">
        <v>8932</v>
      </c>
      <c r="L123" s="1212">
        <v>2</v>
      </c>
      <c r="M123" s="1273" t="s">
        <v>6616</v>
      </c>
      <c r="N123" s="1240">
        <f>F123*L123</f>
        <v>90.88</v>
      </c>
      <c r="O123" s="1226"/>
    </row>
    <row r="124" spans="1:16" ht="14.4" thickBot="1">
      <c r="A124" s="1275"/>
      <c r="B124" s="1250"/>
      <c r="C124" s="1251"/>
      <c r="D124" s="1252"/>
      <c r="E124" s="1253"/>
      <c r="F124" s="1250"/>
      <c r="G124" s="1250"/>
      <c r="H124" s="1250"/>
      <c r="I124" s="1250"/>
      <c r="J124" s="1250"/>
      <c r="K124" s="1250"/>
      <c r="L124" s="1250"/>
      <c r="M124" s="1250"/>
      <c r="N124" s="1225"/>
      <c r="O124" s="1254"/>
    </row>
    <row r="125" spans="1:16">
      <c r="A125" s="1276" t="s">
        <v>6637</v>
      </c>
      <c r="B125" s="1277" t="s">
        <v>8988</v>
      </c>
      <c r="C125" s="1257"/>
      <c r="D125" s="1258"/>
      <c r="E125" s="1259"/>
      <c r="F125" s="1260"/>
      <c r="G125" s="1260"/>
      <c r="H125" s="1260"/>
      <c r="I125" s="1260"/>
      <c r="J125" s="1260"/>
      <c r="K125" s="1260"/>
      <c r="L125" s="1260"/>
      <c r="M125" s="1260"/>
      <c r="N125" s="1261"/>
      <c r="O125" s="1262"/>
    </row>
    <row r="126" spans="1:16">
      <c r="A126" s="1268">
        <v>1</v>
      </c>
      <c r="B126" s="1320" t="s">
        <v>8989</v>
      </c>
      <c r="C126" s="1270" t="s">
        <v>6558</v>
      </c>
      <c r="D126" s="1271"/>
      <c r="E126" s="1272"/>
      <c r="F126" s="1212">
        <v>6</v>
      </c>
      <c r="G126" s="1324" t="s">
        <v>8935</v>
      </c>
      <c r="H126" s="1212">
        <v>2</v>
      </c>
      <c r="I126" s="1212"/>
      <c r="J126" s="1212"/>
      <c r="K126" s="1273"/>
      <c r="M126" s="1273" t="s">
        <v>6616</v>
      </c>
      <c r="N126" s="1240">
        <f>F126*H126</f>
        <v>12</v>
      </c>
      <c r="O126" s="1226"/>
      <c r="P126" s="1325"/>
    </row>
    <row r="127" spans="1:16" ht="14.4" thickBot="1">
      <c r="A127" s="1275"/>
      <c r="B127" s="1250"/>
      <c r="C127" s="1251"/>
      <c r="D127" s="1252"/>
      <c r="E127" s="1253"/>
      <c r="F127" s="1250">
        <f>(1.8+1.8+1.1+1.1)</f>
        <v>5.8000000000000007</v>
      </c>
      <c r="G127" s="1324" t="s">
        <v>8935</v>
      </c>
      <c r="H127" s="1250">
        <v>2</v>
      </c>
      <c r="I127" s="1250"/>
      <c r="J127" s="1250"/>
      <c r="K127" s="1250"/>
      <c r="L127" s="1250"/>
      <c r="M127" s="1273" t="s">
        <v>6616</v>
      </c>
      <c r="N127" s="1240">
        <f>F127*H127</f>
        <v>11.600000000000001</v>
      </c>
      <c r="O127" s="1254"/>
    </row>
    <row r="128" spans="1:16">
      <c r="A128" s="1276" t="s">
        <v>1766</v>
      </c>
      <c r="B128" s="1277" t="s">
        <v>8990</v>
      </c>
      <c r="C128" s="1257"/>
      <c r="D128" s="1258"/>
      <c r="E128" s="1259"/>
      <c r="F128" s="1260"/>
      <c r="G128" s="1260"/>
      <c r="H128" s="1260"/>
      <c r="I128" s="1260"/>
      <c r="J128" s="1260"/>
      <c r="K128" s="1260"/>
      <c r="L128" s="1260"/>
      <c r="M128" s="1260"/>
      <c r="N128" s="1261"/>
      <c r="O128" s="1262"/>
    </row>
    <row r="129" spans="1:15">
      <c r="A129" s="1326">
        <v>1</v>
      </c>
      <c r="B129" s="1320" t="s">
        <v>8991</v>
      </c>
      <c r="C129" s="1270" t="s">
        <v>4259</v>
      </c>
      <c r="D129" s="1271"/>
      <c r="E129" s="1272"/>
      <c r="F129" s="1212"/>
      <c r="G129" s="1212"/>
      <c r="H129" s="1212"/>
      <c r="I129" s="1212"/>
      <c r="J129" s="1212"/>
      <c r="K129" s="1212"/>
      <c r="L129" s="1212"/>
      <c r="M129" s="1273" t="s">
        <v>6616</v>
      </c>
      <c r="N129" s="1240">
        <v>1</v>
      </c>
      <c r="O129" s="1226"/>
    </row>
    <row r="130" spans="1:15">
      <c r="A130" s="1327">
        <v>2</v>
      </c>
      <c r="B130" s="1320" t="s">
        <v>8992</v>
      </c>
      <c r="C130" s="1270" t="s">
        <v>4259</v>
      </c>
      <c r="D130" s="1271"/>
      <c r="E130" s="1272"/>
      <c r="F130" s="1212"/>
      <c r="G130" s="1212"/>
      <c r="H130" s="1212"/>
      <c r="I130" s="1212"/>
      <c r="J130" s="1212"/>
      <c r="K130" s="1212"/>
      <c r="L130" s="1212"/>
      <c r="M130" s="1273" t="s">
        <v>6616</v>
      </c>
      <c r="N130" s="1240">
        <v>1</v>
      </c>
      <c r="O130" s="1226"/>
    </row>
    <row r="131" spans="1:15">
      <c r="A131" s="1326">
        <v>3</v>
      </c>
      <c r="B131" s="1320" t="s">
        <v>8993</v>
      </c>
      <c r="C131" s="1270" t="s">
        <v>4259</v>
      </c>
      <c r="D131" s="1271"/>
      <c r="E131" s="1272"/>
      <c r="F131" s="1212"/>
      <c r="G131" s="1212"/>
      <c r="H131" s="1212"/>
      <c r="I131" s="1212"/>
      <c r="J131" s="1212"/>
      <c r="K131" s="1212"/>
      <c r="L131" s="1212"/>
      <c r="M131" s="1273" t="s">
        <v>6616</v>
      </c>
      <c r="N131" s="1240">
        <v>2</v>
      </c>
      <c r="O131" s="1226"/>
    </row>
    <row r="132" spans="1:15">
      <c r="A132" s="1327">
        <v>4</v>
      </c>
      <c r="B132" s="1320" t="s">
        <v>8994</v>
      </c>
      <c r="C132" s="1270" t="s">
        <v>4259</v>
      </c>
      <c r="D132" s="1271"/>
      <c r="E132" s="1272"/>
      <c r="F132" s="1212"/>
      <c r="G132" s="1212"/>
      <c r="H132" s="1212"/>
      <c r="I132" s="1212"/>
      <c r="J132" s="1212"/>
      <c r="K132" s="1212"/>
      <c r="L132" s="1212"/>
      <c r="M132" s="1273" t="s">
        <v>6616</v>
      </c>
      <c r="N132" s="1240">
        <v>2</v>
      </c>
      <c r="O132" s="1226"/>
    </row>
    <row r="133" spans="1:15">
      <c r="A133" s="1326">
        <v>5</v>
      </c>
      <c r="B133" s="1320" t="s">
        <v>8995</v>
      </c>
      <c r="C133" s="1270" t="s">
        <v>235</v>
      </c>
      <c r="D133" s="1271"/>
      <c r="E133" s="1272"/>
      <c r="F133" s="1212"/>
      <c r="G133" s="1212"/>
      <c r="H133" s="1212"/>
      <c r="I133" s="1212"/>
      <c r="J133" s="1212"/>
      <c r="K133" s="1212"/>
      <c r="L133" s="1212"/>
      <c r="M133" s="1273" t="s">
        <v>6616</v>
      </c>
      <c r="N133" s="1240"/>
      <c r="O133" s="1226"/>
    </row>
    <row r="134" spans="1:15">
      <c r="A134" s="1268"/>
      <c r="B134" s="1328" t="s">
        <v>8996</v>
      </c>
      <c r="C134" s="1270" t="s">
        <v>120</v>
      </c>
      <c r="D134" s="1271"/>
      <c r="E134" s="1272"/>
      <c r="F134" s="1212"/>
      <c r="G134" s="1212"/>
      <c r="H134" s="1212"/>
      <c r="I134" s="1212"/>
      <c r="J134" s="1212"/>
      <c r="K134" s="1212"/>
      <c r="L134" s="1212"/>
      <c r="M134" s="1273" t="s">
        <v>6616</v>
      </c>
      <c r="N134" s="1240"/>
      <c r="O134" s="1226"/>
    </row>
    <row r="135" spans="1:15">
      <c r="A135" s="1268"/>
      <c r="B135" s="1328" t="s">
        <v>8997</v>
      </c>
      <c r="C135" s="1270" t="s">
        <v>120</v>
      </c>
      <c r="D135" s="1271"/>
      <c r="E135" s="1272"/>
      <c r="F135" s="1212"/>
      <c r="G135" s="1212"/>
      <c r="H135" s="1212"/>
      <c r="I135" s="1212"/>
      <c r="J135" s="1212"/>
      <c r="K135" s="1212"/>
      <c r="L135" s="1212"/>
      <c r="M135" s="1273" t="s">
        <v>6616</v>
      </c>
      <c r="N135" s="1240"/>
      <c r="O135" s="1226"/>
    </row>
    <row r="136" spans="1:15">
      <c r="A136" s="1268"/>
      <c r="B136" s="1328" t="s">
        <v>5252</v>
      </c>
      <c r="C136" s="1270" t="s">
        <v>120</v>
      </c>
      <c r="D136" s="1271"/>
      <c r="E136" s="1272"/>
      <c r="F136" s="1212"/>
      <c r="G136" s="1212"/>
      <c r="H136" s="1212"/>
      <c r="I136" s="1212"/>
      <c r="J136" s="1212"/>
      <c r="K136" s="1212"/>
      <c r="L136" s="1212"/>
      <c r="M136" s="1273" t="s">
        <v>6616</v>
      </c>
      <c r="N136" s="1240"/>
      <c r="O136" s="1226"/>
    </row>
    <row r="137" spans="1:15">
      <c r="A137" s="1268"/>
      <c r="B137" s="1328" t="s">
        <v>8998</v>
      </c>
      <c r="C137" s="1270" t="s">
        <v>52</v>
      </c>
      <c r="D137" s="1271"/>
      <c r="E137" s="1272"/>
      <c r="F137" s="1212"/>
      <c r="G137" s="1212"/>
      <c r="H137" s="1212"/>
      <c r="I137" s="1212"/>
      <c r="J137" s="1212"/>
      <c r="K137" s="1212"/>
      <c r="L137" s="1212"/>
      <c r="M137" s="1273" t="s">
        <v>6616</v>
      </c>
      <c r="N137" s="1240"/>
      <c r="O137" s="1226"/>
    </row>
    <row r="138" spans="1:15">
      <c r="A138" s="1268"/>
      <c r="B138" s="1328" t="s">
        <v>8999</v>
      </c>
      <c r="C138" s="1270" t="s">
        <v>120</v>
      </c>
      <c r="D138" s="1271"/>
      <c r="E138" s="1272"/>
      <c r="F138" s="1212"/>
      <c r="G138" s="1212"/>
      <c r="H138" s="1212"/>
      <c r="I138" s="1212"/>
      <c r="J138" s="1212"/>
      <c r="K138" s="1212"/>
      <c r="L138" s="1212"/>
      <c r="M138" s="1273" t="s">
        <v>6616</v>
      </c>
      <c r="N138" s="1240"/>
      <c r="O138" s="1226"/>
    </row>
    <row r="139" spans="1:15">
      <c r="A139" s="1268"/>
      <c r="B139" s="1328" t="s">
        <v>9000</v>
      </c>
      <c r="C139" s="1270" t="s">
        <v>3284</v>
      </c>
      <c r="D139" s="1271"/>
      <c r="E139" s="1272"/>
      <c r="F139" s="1212"/>
      <c r="G139" s="1212"/>
      <c r="H139" s="1212"/>
      <c r="I139" s="1212"/>
      <c r="J139" s="1212"/>
      <c r="K139" s="1212"/>
      <c r="L139" s="1212"/>
      <c r="M139" s="1273" t="s">
        <v>6616</v>
      </c>
      <c r="N139" s="1240"/>
      <c r="O139" s="1226"/>
    </row>
    <row r="140" spans="1:15">
      <c r="A140" s="1268"/>
      <c r="B140" s="1328" t="s">
        <v>9001</v>
      </c>
      <c r="C140" s="1270" t="s">
        <v>1761</v>
      </c>
      <c r="D140" s="1271"/>
      <c r="E140" s="1272"/>
      <c r="F140" s="1212"/>
      <c r="G140" s="1212"/>
      <c r="H140" s="1212"/>
      <c r="I140" s="1212"/>
      <c r="J140" s="1212"/>
      <c r="K140" s="1212"/>
      <c r="L140" s="1212"/>
      <c r="M140" s="1273" t="s">
        <v>6616</v>
      </c>
      <c r="N140" s="1240"/>
      <c r="O140" s="1226"/>
    </row>
    <row r="141" spans="1:15">
      <c r="A141" s="1268"/>
      <c r="B141" s="1328" t="s">
        <v>9002</v>
      </c>
      <c r="C141" s="1270" t="s">
        <v>120</v>
      </c>
      <c r="D141" s="1271"/>
      <c r="E141" s="1272"/>
      <c r="F141" s="1212"/>
      <c r="G141" s="1212"/>
      <c r="H141" s="1212"/>
      <c r="I141" s="1212"/>
      <c r="J141" s="1212"/>
      <c r="K141" s="1212"/>
      <c r="L141" s="1212"/>
      <c r="M141" s="1273" t="s">
        <v>6616</v>
      </c>
      <c r="N141" s="1240"/>
      <c r="O141" s="1226"/>
    </row>
    <row r="142" spans="1:15">
      <c r="A142" s="1268"/>
      <c r="B142" s="1328" t="s">
        <v>9003</v>
      </c>
      <c r="C142" s="1270" t="s">
        <v>65</v>
      </c>
      <c r="D142" s="1271"/>
      <c r="E142" s="1272"/>
      <c r="F142" s="1212"/>
      <c r="G142" s="1212"/>
      <c r="H142" s="1212"/>
      <c r="I142" s="1212"/>
      <c r="J142" s="1212"/>
      <c r="K142" s="1212"/>
      <c r="L142" s="1212"/>
      <c r="M142" s="1273" t="s">
        <v>6616</v>
      </c>
      <c r="N142" s="1240"/>
      <c r="O142" s="1226"/>
    </row>
    <row r="143" spans="1:15">
      <c r="A143" s="1268"/>
      <c r="B143" s="1328" t="s">
        <v>9004</v>
      </c>
      <c r="C143" s="1270" t="s">
        <v>120</v>
      </c>
      <c r="D143" s="1271"/>
      <c r="E143" s="1272"/>
      <c r="F143" s="1212"/>
      <c r="G143" s="1212"/>
      <c r="H143" s="1212"/>
      <c r="I143" s="1212"/>
      <c r="J143" s="1212"/>
      <c r="K143" s="1212"/>
      <c r="L143" s="1212"/>
      <c r="M143" s="1273" t="s">
        <v>6616</v>
      </c>
      <c r="N143" s="1240"/>
      <c r="O143" s="1226"/>
    </row>
    <row r="144" spans="1:15">
      <c r="A144" s="1268"/>
      <c r="B144" s="1328" t="s">
        <v>9005</v>
      </c>
      <c r="C144" s="1270" t="s">
        <v>3284</v>
      </c>
      <c r="D144" s="1271"/>
      <c r="E144" s="1272"/>
      <c r="F144" s="1212"/>
      <c r="G144" s="1212"/>
      <c r="H144" s="1212"/>
      <c r="I144" s="1212"/>
      <c r="J144" s="1212"/>
      <c r="K144" s="1212"/>
      <c r="L144" s="1212"/>
      <c r="M144" s="1273" t="s">
        <v>6616</v>
      </c>
      <c r="N144" s="1240"/>
      <c r="O144" s="1226"/>
    </row>
    <row r="145" spans="1:17">
      <c r="A145" s="1303"/>
      <c r="B145" s="1329" t="s">
        <v>9006</v>
      </c>
      <c r="C145" s="1305" t="s">
        <v>120</v>
      </c>
      <c r="D145" s="1306"/>
      <c r="E145" s="1307"/>
      <c r="F145" s="1308"/>
      <c r="G145" s="1308"/>
      <c r="H145" s="1308"/>
      <c r="I145" s="1308"/>
      <c r="J145" s="1308"/>
      <c r="K145" s="1308"/>
      <c r="L145" s="1308"/>
      <c r="M145" s="1330" t="s">
        <v>6616</v>
      </c>
      <c r="N145" s="1331"/>
      <c r="O145" s="1310"/>
    </row>
    <row r="146" spans="1:17">
      <c r="A146" s="1326">
        <v>6</v>
      </c>
      <c r="B146" s="1320" t="s">
        <v>9007</v>
      </c>
      <c r="C146" s="1270" t="s">
        <v>113</v>
      </c>
      <c r="D146" s="1271"/>
      <c r="E146" s="1272"/>
      <c r="F146" s="1212"/>
      <c r="G146" s="1212"/>
      <c r="H146" s="1212"/>
      <c r="I146" s="1212"/>
      <c r="J146" s="1212"/>
      <c r="K146" s="1212"/>
      <c r="L146" s="1212"/>
      <c r="M146" s="1273" t="s">
        <v>6616</v>
      </c>
      <c r="N146" s="1240">
        <v>8</v>
      </c>
      <c r="O146" s="1226"/>
    </row>
    <row r="147" spans="1:17">
      <c r="A147" s="1327">
        <v>7</v>
      </c>
      <c r="B147" s="1320" t="s">
        <v>9008</v>
      </c>
      <c r="C147" s="1270" t="s">
        <v>113</v>
      </c>
      <c r="D147" s="1212"/>
      <c r="E147" s="1272"/>
      <c r="F147" s="1212"/>
      <c r="G147" s="1212"/>
      <c r="H147" s="1212"/>
      <c r="I147" s="1212"/>
      <c r="J147" s="1212"/>
      <c r="K147" s="1212"/>
      <c r="L147" s="1212"/>
      <c r="M147" s="1273" t="s">
        <v>6616</v>
      </c>
      <c r="N147" s="1240">
        <v>12</v>
      </c>
      <c r="O147" s="1226"/>
    </row>
    <row r="148" spans="1:17">
      <c r="A148" s="1326">
        <v>8</v>
      </c>
      <c r="B148" s="1320" t="s">
        <v>9009</v>
      </c>
      <c r="C148" s="1270" t="s">
        <v>4259</v>
      </c>
      <c r="D148" s="1212"/>
      <c r="E148" s="1272"/>
      <c r="F148" s="1212"/>
      <c r="G148" s="1212"/>
      <c r="H148" s="1212"/>
      <c r="I148" s="1212"/>
      <c r="J148" s="1212"/>
      <c r="K148" s="1212"/>
      <c r="L148" s="1212"/>
      <c r="M148" s="1273" t="s">
        <v>6616</v>
      </c>
      <c r="N148" s="1240">
        <v>1</v>
      </c>
      <c r="O148" s="1226"/>
    </row>
    <row r="149" spans="1:17" ht="14.4" thickBot="1">
      <c r="A149" s="1327">
        <v>9</v>
      </c>
      <c r="B149" s="1332" t="s">
        <v>9010</v>
      </c>
      <c r="C149" s="1312" t="s">
        <v>135</v>
      </c>
      <c r="D149" s="1315"/>
      <c r="E149" s="1314"/>
      <c r="F149" s="1315"/>
      <c r="G149" s="1315"/>
      <c r="H149" s="1315"/>
      <c r="I149" s="1315"/>
      <c r="J149" s="1315"/>
      <c r="K149" s="1315"/>
      <c r="L149" s="1315"/>
      <c r="M149" s="1333" t="s">
        <v>6616</v>
      </c>
      <c r="N149" s="1225">
        <v>1</v>
      </c>
      <c r="O149" s="1254"/>
    </row>
    <row r="150" spans="1:17">
      <c r="A150" s="1334" t="s">
        <v>6638</v>
      </c>
      <c r="B150" s="1335" t="s">
        <v>9011</v>
      </c>
      <c r="C150" s="1336"/>
      <c r="D150" s="1337"/>
      <c r="E150" s="1338"/>
      <c r="F150" s="1260"/>
      <c r="G150" s="1260"/>
      <c r="H150" s="1260"/>
      <c r="I150" s="1260"/>
      <c r="J150" s="1260"/>
      <c r="K150" s="1260"/>
      <c r="L150" s="1260"/>
      <c r="M150" s="1260"/>
      <c r="N150" s="1261"/>
      <c r="O150" s="1262"/>
    </row>
    <row r="151" spans="1:17">
      <c r="A151" s="1339">
        <v>1</v>
      </c>
      <c r="B151" s="1340" t="s">
        <v>9012</v>
      </c>
      <c r="C151" s="1270" t="s">
        <v>9013</v>
      </c>
      <c r="D151" s="1212"/>
      <c r="E151" s="1272"/>
      <c r="M151" s="1273" t="s">
        <v>6616</v>
      </c>
      <c r="N151" s="1240">
        <v>3</v>
      </c>
      <c r="O151" s="1226"/>
    </row>
    <row r="152" spans="1:17">
      <c r="A152" s="1339">
        <f>A151+1</f>
        <v>2</v>
      </c>
      <c r="B152" s="1340" t="s">
        <v>9014</v>
      </c>
      <c r="C152" s="1270" t="s">
        <v>9015</v>
      </c>
      <c r="D152" s="1212"/>
      <c r="E152" s="1272"/>
      <c r="M152" s="1273" t="s">
        <v>6616</v>
      </c>
      <c r="N152" s="1240">
        <v>2</v>
      </c>
      <c r="O152" s="1226"/>
    </row>
    <row r="153" spans="1:17">
      <c r="A153" s="1339">
        <v>3</v>
      </c>
      <c r="B153" s="1340" t="s">
        <v>9016</v>
      </c>
      <c r="C153" s="1270" t="s">
        <v>4259</v>
      </c>
      <c r="D153" s="1212"/>
      <c r="E153" s="1272"/>
      <c r="M153" s="1273" t="s">
        <v>6616</v>
      </c>
      <c r="N153" s="1240">
        <v>7</v>
      </c>
      <c r="O153" s="1226"/>
    </row>
    <row r="154" spans="1:17">
      <c r="A154" s="1339">
        <v>5</v>
      </c>
      <c r="B154" s="1340" t="s">
        <v>9017</v>
      </c>
      <c r="C154" s="1270" t="s">
        <v>4259</v>
      </c>
      <c r="D154" s="1212"/>
      <c r="E154" s="1272"/>
      <c r="M154" s="1273" t="s">
        <v>6616</v>
      </c>
      <c r="N154" s="1240">
        <v>1</v>
      </c>
      <c r="O154" s="1226"/>
    </row>
    <row r="155" spans="1:17">
      <c r="A155" s="1339">
        <f t="shared" ref="A155" si="2">A154+1</f>
        <v>6</v>
      </c>
      <c r="B155" s="1340" t="s">
        <v>9018</v>
      </c>
      <c r="C155" s="1270" t="s">
        <v>4259</v>
      </c>
      <c r="D155" s="1212"/>
      <c r="E155" s="1272"/>
      <c r="M155" s="1273" t="s">
        <v>6616</v>
      </c>
      <c r="N155" s="1240">
        <v>1</v>
      </c>
      <c r="O155" s="1226"/>
      <c r="Q155" s="1201">
        <f>30+16+3.5+8+8+14+8</f>
        <v>87.5</v>
      </c>
    </row>
    <row r="156" spans="1:17">
      <c r="A156" s="1341">
        <v>7</v>
      </c>
      <c r="B156" s="1342" t="s">
        <v>9019</v>
      </c>
      <c r="C156" s="1270" t="s">
        <v>4259</v>
      </c>
      <c r="D156" s="1212"/>
      <c r="E156" s="1272"/>
      <c r="M156" s="1273" t="s">
        <v>6616</v>
      </c>
      <c r="N156" s="1240">
        <v>1</v>
      </c>
    </row>
    <row r="157" spans="1:17">
      <c r="A157" s="1339">
        <f t="shared" ref="A157" si="3">A156+1</f>
        <v>8</v>
      </c>
      <c r="B157" s="1340" t="s">
        <v>9020</v>
      </c>
      <c r="C157" s="1270" t="s">
        <v>4259</v>
      </c>
      <c r="D157" s="1212"/>
      <c r="E157" s="1272"/>
      <c r="M157" s="1273" t="s">
        <v>6616</v>
      </c>
      <c r="N157" s="1240">
        <v>1</v>
      </c>
      <c r="O157" s="1226"/>
    </row>
    <row r="158" spans="1:17">
      <c r="A158" s="1339">
        <v>9</v>
      </c>
      <c r="B158" s="1340" t="s">
        <v>9021</v>
      </c>
      <c r="C158" s="1343" t="s">
        <v>9022</v>
      </c>
      <c r="D158" s="1344"/>
      <c r="E158" s="1345"/>
      <c r="M158" s="1273" t="s">
        <v>6616</v>
      </c>
      <c r="N158" s="1240">
        <v>1</v>
      </c>
      <c r="O158" s="1226"/>
    </row>
    <row r="159" spans="1:17" ht="14.4" thickBot="1">
      <c r="A159" s="1275"/>
      <c r="B159" s="1253"/>
      <c r="C159" s="1253"/>
      <c r="D159" s="1250"/>
      <c r="E159" s="1253"/>
      <c r="F159" s="1250"/>
      <c r="G159" s="1250"/>
      <c r="H159" s="1250"/>
      <c r="I159" s="1250"/>
      <c r="J159" s="1250"/>
      <c r="K159" s="1250"/>
      <c r="L159" s="1250"/>
      <c r="M159" s="1250"/>
      <c r="N159" s="1225"/>
      <c r="O159" s="1254"/>
    </row>
    <row r="161" spans="7:15">
      <c r="G161" s="1792"/>
      <c r="H161" s="1792"/>
      <c r="I161" s="1792"/>
      <c r="J161" s="1792"/>
      <c r="K161" s="1792"/>
      <c r="L161" s="1792"/>
      <c r="M161" s="1792"/>
      <c r="N161" s="1792"/>
      <c r="O161" s="1792"/>
    </row>
    <row r="162" spans="7:15">
      <c r="G162" s="1346" t="s">
        <v>9023</v>
      </c>
      <c r="H162" s="1346"/>
      <c r="I162" s="1346"/>
      <c r="J162" s="1346"/>
      <c r="K162" s="1346"/>
      <c r="L162" s="1346"/>
      <c r="M162" s="1346"/>
      <c r="N162" s="1346"/>
      <c r="O162" s="1346"/>
    </row>
    <row r="163" spans="7:15">
      <c r="G163" s="1347" t="s">
        <v>9024</v>
      </c>
      <c r="H163" s="1347"/>
      <c r="I163" s="1347"/>
      <c r="J163" s="1347"/>
      <c r="K163" s="1347"/>
      <c r="L163" s="1347"/>
      <c r="M163" s="1347"/>
      <c r="N163" s="1347"/>
      <c r="O163" s="1347"/>
    </row>
    <row r="164" spans="7:15">
      <c r="G164" s="1347"/>
      <c r="H164" s="1347"/>
      <c r="I164" s="1347"/>
      <c r="J164" s="1347"/>
      <c r="K164" s="1347"/>
      <c r="L164" s="1347"/>
      <c r="M164" s="1347"/>
      <c r="N164" s="1347"/>
      <c r="O164" s="1347"/>
    </row>
    <row r="165" spans="7:15">
      <c r="G165" s="1347"/>
      <c r="H165" s="1347"/>
      <c r="I165" s="1347"/>
      <c r="J165" s="1347"/>
      <c r="K165" s="1347"/>
      <c r="L165" s="1347"/>
      <c r="M165" s="1347"/>
      <c r="N165" s="1347"/>
      <c r="O165" s="1347"/>
    </row>
    <row r="166" spans="7:15">
      <c r="G166" s="1347"/>
      <c r="H166" s="1347"/>
      <c r="I166" s="1347"/>
      <c r="J166" s="1347"/>
      <c r="K166" s="1347"/>
      <c r="L166" s="1347"/>
      <c r="M166" s="1347"/>
      <c r="N166" s="1347"/>
      <c r="O166" s="1347"/>
    </row>
    <row r="167" spans="7:15">
      <c r="G167" s="1348"/>
      <c r="H167" s="1348"/>
      <c r="I167" s="1348"/>
      <c r="J167" s="1348"/>
      <c r="K167" s="1348"/>
      <c r="L167" s="1348"/>
      <c r="M167" s="1348"/>
      <c r="N167" s="1348"/>
      <c r="O167" s="1348"/>
    </row>
    <row r="168" spans="7:15">
      <c r="G168" s="1349" t="str">
        <f>'[39]HARGA SAT. BAHAN'!H123</f>
        <v>MUSLIH</v>
      </c>
      <c r="H168" s="1349"/>
      <c r="I168" s="1349"/>
      <c r="J168" s="1349"/>
      <c r="K168" s="1349"/>
      <c r="L168" s="1349"/>
      <c r="M168" s="1349"/>
      <c r="N168" s="1349"/>
      <c r="O168" s="1349"/>
    </row>
    <row r="169" spans="7:15">
      <c r="G169" s="1350"/>
      <c r="H169" s="1350"/>
      <c r="I169" s="1350"/>
      <c r="J169" s="1350"/>
      <c r="K169" s="1350"/>
      <c r="L169" s="1350"/>
      <c r="M169" s="1350"/>
      <c r="N169" s="1350"/>
      <c r="O169" s="1350"/>
    </row>
  </sheetData>
  <mergeCells count="19">
    <mergeCell ref="F82:H82"/>
    <mergeCell ref="G161:O161"/>
    <mergeCell ref="I78:I79"/>
    <mergeCell ref="J78:J79"/>
    <mergeCell ref="K78:K79"/>
    <mergeCell ref="L78:L79"/>
    <mergeCell ref="M78:M79"/>
    <mergeCell ref="I81:I82"/>
    <mergeCell ref="J81:J82"/>
    <mergeCell ref="K81:K82"/>
    <mergeCell ref="L81:L82"/>
    <mergeCell ref="M81:M82"/>
    <mergeCell ref="A1:O1"/>
    <mergeCell ref="A2:O2"/>
    <mergeCell ref="A11:A12"/>
    <mergeCell ref="B11:B12"/>
    <mergeCell ref="C11:C12"/>
    <mergeCell ref="D11:E12"/>
    <mergeCell ref="F11:N11"/>
  </mergeCells>
  <pageMargins left="0.25" right="0.25" top="0.75" bottom="0.75" header="0.3" footer="0.3"/>
  <pageSetup paperSize="190" scale="66" fitToHeight="0" orientation="portrait" horizontalDpi="300" r:id="rId1"/>
  <rowBreaks count="2" manualBreakCount="2">
    <brk id="69" max="14" man="1"/>
    <brk id="145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Q2831"/>
  <sheetViews>
    <sheetView topLeftCell="A4" zoomScale="85" zoomScaleNormal="85" zoomScaleSheetLayoutView="100" workbookViewId="0">
      <selection activeCell="G1083" sqref="G1083"/>
    </sheetView>
  </sheetViews>
  <sheetFormatPr defaultColWidth="9.109375" defaultRowHeight="13.2"/>
  <cols>
    <col min="1" max="3" width="4" style="188" customWidth="1"/>
    <col min="4" max="4" width="6.44140625" style="188" customWidth="1"/>
    <col min="5" max="5" width="7.88671875" style="188" customWidth="1"/>
    <col min="6" max="6" width="41.33203125" style="188" customWidth="1"/>
    <col min="7" max="7" width="10.109375" style="593" customWidth="1"/>
    <col min="8" max="8" width="19.33203125" style="188" customWidth="1"/>
    <col min="9" max="10" width="27.77734375" style="1430" customWidth="1"/>
    <col min="11" max="11" width="19.33203125" style="188" customWidth="1"/>
    <col min="12" max="16384" width="9.109375" style="188"/>
  </cols>
  <sheetData>
    <row r="1" spans="4:11" ht="21.6" customHeight="1"/>
    <row r="2" spans="4:11" ht="21.6" customHeight="1"/>
    <row r="3" spans="4:11" ht="21.6" customHeight="1"/>
    <row r="4" spans="4:11" ht="21.6" customHeight="1">
      <c r="D4" s="1801" t="s">
        <v>1190</v>
      </c>
      <c r="E4" s="1801"/>
      <c r="F4" s="1801"/>
      <c r="G4" s="1801"/>
      <c r="H4" s="1801"/>
      <c r="I4" s="1801"/>
      <c r="J4" s="1424"/>
    </row>
    <row r="5" spans="4:11" ht="21.6" customHeight="1" thickBot="1"/>
    <row r="6" spans="4:11" ht="39" customHeight="1">
      <c r="D6" s="924" t="s">
        <v>0</v>
      </c>
      <c r="E6" s="925" t="s">
        <v>1773</v>
      </c>
      <c r="F6" s="926" t="s">
        <v>1191</v>
      </c>
      <c r="G6" s="926" t="s">
        <v>1192</v>
      </c>
      <c r="H6" s="926" t="s">
        <v>1</v>
      </c>
      <c r="I6" s="1431" t="s">
        <v>2</v>
      </c>
      <c r="J6" s="1443"/>
      <c r="K6" s="926" t="s">
        <v>1</v>
      </c>
    </row>
    <row r="7" spans="4:11" ht="23.4" customHeight="1">
      <c r="D7" s="936">
        <v>1</v>
      </c>
      <c r="E7" s="910"/>
      <c r="F7" s="910">
        <v>2</v>
      </c>
      <c r="G7" s="910">
        <v>3</v>
      </c>
      <c r="H7" s="910">
        <v>4</v>
      </c>
      <c r="I7" s="1432">
        <v>5</v>
      </c>
      <c r="J7" s="1444"/>
      <c r="K7" s="910">
        <v>4</v>
      </c>
    </row>
    <row r="8" spans="4:11" ht="22.8" customHeight="1">
      <c r="D8" s="935" t="s">
        <v>3</v>
      </c>
      <c r="E8" s="1799" t="s">
        <v>4</v>
      </c>
      <c r="F8" s="1800"/>
      <c r="G8" s="937"/>
      <c r="H8" s="938"/>
      <c r="I8" s="1433"/>
      <c r="J8" s="1445"/>
      <c r="K8" s="938"/>
    </row>
    <row r="9" spans="4:11" ht="22.8" customHeight="1">
      <c r="D9" s="1422">
        <v>1</v>
      </c>
      <c r="E9" s="891" t="s">
        <v>1774</v>
      </c>
      <c r="F9" s="892" t="s">
        <v>5</v>
      </c>
      <c r="G9" s="893" t="s">
        <v>6</v>
      </c>
      <c r="H9" s="1405">
        <v>100000</v>
      </c>
      <c r="I9" s="1434"/>
      <c r="J9" s="1446"/>
      <c r="K9" s="894">
        <v>100000</v>
      </c>
    </row>
    <row r="10" spans="4:11" ht="22.8" customHeight="1">
      <c r="D10" s="1422">
        <v>1</v>
      </c>
      <c r="E10" s="895" t="s">
        <v>1775</v>
      </c>
      <c r="F10" s="896" t="s">
        <v>7</v>
      </c>
      <c r="G10" s="897" t="s">
        <v>6</v>
      </c>
      <c r="H10" s="1404">
        <v>135000</v>
      </c>
      <c r="I10" s="1435"/>
      <c r="J10" s="1447"/>
      <c r="K10" s="898">
        <v>145000</v>
      </c>
    </row>
    <row r="11" spans="4:11" ht="22.8" customHeight="1">
      <c r="D11" s="1428">
        <v>3</v>
      </c>
      <c r="E11" s="895" t="s">
        <v>1775</v>
      </c>
      <c r="F11" s="896" t="s">
        <v>8</v>
      </c>
      <c r="G11" s="897" t="s">
        <v>6</v>
      </c>
      <c r="H11" s="1404">
        <v>135000</v>
      </c>
      <c r="I11" s="1435"/>
      <c r="J11" s="1447"/>
      <c r="K11" s="898">
        <v>145000</v>
      </c>
    </row>
    <row r="12" spans="4:11" ht="22.8" customHeight="1">
      <c r="D12" s="1428">
        <v>3</v>
      </c>
      <c r="E12" s="895" t="s">
        <v>1775</v>
      </c>
      <c r="F12" s="896" t="s">
        <v>9</v>
      </c>
      <c r="G12" s="897" t="s">
        <v>6</v>
      </c>
      <c r="H12" s="1404">
        <v>135000</v>
      </c>
      <c r="I12" s="1435"/>
      <c r="J12" s="1447"/>
      <c r="K12" s="898">
        <v>145000</v>
      </c>
    </row>
    <row r="13" spans="4:11" ht="22.8" customHeight="1">
      <c r="D13" s="1428">
        <v>3</v>
      </c>
      <c r="E13" s="895" t="s">
        <v>1775</v>
      </c>
      <c r="F13" s="896" t="s">
        <v>12</v>
      </c>
      <c r="G13" s="897" t="s">
        <v>6</v>
      </c>
      <c r="H13" s="898">
        <v>135000</v>
      </c>
      <c r="I13" s="1435"/>
      <c r="J13" s="1447"/>
      <c r="K13" s="898">
        <v>145000</v>
      </c>
    </row>
    <row r="14" spans="4:11" ht="22.8" customHeight="1">
      <c r="D14" s="913">
        <v>6</v>
      </c>
      <c r="E14" s="895" t="s">
        <v>1775</v>
      </c>
      <c r="F14" s="896" t="s">
        <v>1818</v>
      </c>
      <c r="G14" s="897" t="s">
        <v>6</v>
      </c>
      <c r="H14" s="898">
        <v>145000</v>
      </c>
      <c r="I14" s="1435"/>
      <c r="J14" s="1447"/>
      <c r="K14" s="898">
        <v>145000</v>
      </c>
    </row>
    <row r="15" spans="4:11" ht="22.8" customHeight="1">
      <c r="D15" s="913">
        <v>7</v>
      </c>
      <c r="E15" s="895" t="s">
        <v>1775</v>
      </c>
      <c r="F15" s="896" t="s">
        <v>10</v>
      </c>
      <c r="G15" s="897" t="s">
        <v>6</v>
      </c>
      <c r="H15" s="1404">
        <v>135000</v>
      </c>
      <c r="I15" s="1435"/>
      <c r="J15" s="1447"/>
      <c r="K15" s="898">
        <v>145000</v>
      </c>
    </row>
    <row r="16" spans="4:11" ht="22.8" customHeight="1">
      <c r="D16" s="913">
        <v>8</v>
      </c>
      <c r="E16" s="895" t="s">
        <v>1775</v>
      </c>
      <c r="F16" s="896" t="s">
        <v>1783</v>
      </c>
      <c r="G16" s="897" t="s">
        <v>6</v>
      </c>
      <c r="H16" s="898">
        <v>145000</v>
      </c>
      <c r="I16" s="1435"/>
      <c r="J16" s="1447"/>
      <c r="K16" s="898">
        <v>145000</v>
      </c>
    </row>
    <row r="17" spans="4:11" ht="22.8" customHeight="1">
      <c r="D17" s="913">
        <v>9</v>
      </c>
      <c r="E17" s="895" t="s">
        <v>1775</v>
      </c>
      <c r="F17" s="896" t="s">
        <v>1784</v>
      </c>
      <c r="G17" s="897" t="s">
        <v>6</v>
      </c>
      <c r="H17" s="898">
        <v>145000</v>
      </c>
      <c r="I17" s="1435"/>
      <c r="J17" s="1447"/>
      <c r="K17" s="898">
        <v>145000</v>
      </c>
    </row>
    <row r="18" spans="4:11" ht="22.8" customHeight="1">
      <c r="D18" s="913">
        <v>10</v>
      </c>
      <c r="E18" s="895" t="s">
        <v>1775</v>
      </c>
      <c r="F18" s="896" t="s">
        <v>11</v>
      </c>
      <c r="G18" s="897" t="s">
        <v>6</v>
      </c>
      <c r="H18" s="898">
        <v>145000</v>
      </c>
      <c r="I18" s="1435"/>
      <c r="J18" s="1447"/>
      <c r="K18" s="898">
        <v>145000</v>
      </c>
    </row>
    <row r="19" spans="4:11" ht="22.8" customHeight="1">
      <c r="D19" s="913">
        <v>11</v>
      </c>
      <c r="E19" s="895" t="s">
        <v>1775</v>
      </c>
      <c r="F19" s="896" t="s">
        <v>1785</v>
      </c>
      <c r="G19" s="897" t="s">
        <v>6</v>
      </c>
      <c r="H19" s="898">
        <v>145000</v>
      </c>
      <c r="I19" s="1435"/>
      <c r="J19" s="1447"/>
      <c r="K19" s="898">
        <v>145000</v>
      </c>
    </row>
    <row r="20" spans="4:11" ht="22.8" customHeight="1">
      <c r="D20" s="1428">
        <v>3</v>
      </c>
      <c r="E20" s="895" t="s">
        <v>1775</v>
      </c>
      <c r="F20" s="896" t="s">
        <v>17</v>
      </c>
      <c r="G20" s="897" t="s">
        <v>6</v>
      </c>
      <c r="H20" s="898">
        <v>135000</v>
      </c>
      <c r="I20" s="1435"/>
      <c r="J20" s="1447"/>
      <c r="K20" s="898">
        <v>145000</v>
      </c>
    </row>
    <row r="21" spans="4:11" ht="22.8" customHeight="1">
      <c r="D21" s="913">
        <v>13</v>
      </c>
      <c r="E21" s="895" t="s">
        <v>1775</v>
      </c>
      <c r="F21" s="896" t="s">
        <v>14</v>
      </c>
      <c r="G21" s="897" t="s">
        <v>6</v>
      </c>
      <c r="H21" s="898">
        <v>145000</v>
      </c>
      <c r="I21" s="1435"/>
      <c r="J21" s="1447"/>
      <c r="K21" s="898">
        <v>145000</v>
      </c>
    </row>
    <row r="22" spans="4:11" ht="22.8" customHeight="1">
      <c r="D22" s="913">
        <v>14</v>
      </c>
      <c r="E22" s="895" t="s">
        <v>1775</v>
      </c>
      <c r="F22" s="896" t="s">
        <v>1786</v>
      </c>
      <c r="G22" s="897" t="s">
        <v>6</v>
      </c>
      <c r="H22" s="898"/>
      <c r="I22" s="1435"/>
      <c r="J22" s="1447"/>
      <c r="K22" s="898"/>
    </row>
    <row r="23" spans="4:11" ht="22.8" customHeight="1">
      <c r="D23" s="913">
        <v>15</v>
      </c>
      <c r="E23" s="895" t="s">
        <v>1775</v>
      </c>
      <c r="F23" s="896" t="s">
        <v>13</v>
      </c>
      <c r="G23" s="897" t="s">
        <v>6</v>
      </c>
      <c r="H23" s="898">
        <v>145000</v>
      </c>
      <c r="I23" s="1435"/>
      <c r="J23" s="1447"/>
      <c r="K23" s="898">
        <v>145000</v>
      </c>
    </row>
    <row r="24" spans="4:11" ht="22.8" customHeight="1">
      <c r="D24" s="913">
        <v>16</v>
      </c>
      <c r="E24" s="895" t="s">
        <v>1775</v>
      </c>
      <c r="F24" s="896" t="s">
        <v>1787</v>
      </c>
      <c r="G24" s="897" t="s">
        <v>6</v>
      </c>
      <c r="H24" s="898">
        <v>145000</v>
      </c>
      <c r="I24" s="1435"/>
      <c r="J24" s="1447"/>
      <c r="K24" s="898">
        <v>145000</v>
      </c>
    </row>
    <row r="25" spans="4:11" ht="22.8" customHeight="1">
      <c r="D25" s="913">
        <v>17</v>
      </c>
      <c r="E25" s="895"/>
      <c r="F25" s="896" t="s">
        <v>6953</v>
      </c>
      <c r="G25" s="897" t="s">
        <v>2102</v>
      </c>
      <c r="H25" s="898">
        <f>125%*145000</f>
        <v>181250</v>
      </c>
      <c r="I25" s="1435"/>
      <c r="J25" s="1447"/>
      <c r="K25" s="898">
        <f>125%*145000</f>
        <v>181250</v>
      </c>
    </row>
    <row r="26" spans="4:11" ht="22.8" customHeight="1">
      <c r="D26" s="913">
        <v>18</v>
      </c>
      <c r="E26" s="895"/>
      <c r="F26" s="896" t="s">
        <v>6948</v>
      </c>
      <c r="G26" s="897" t="s">
        <v>2102</v>
      </c>
      <c r="H26" s="898">
        <f>125%*175000</f>
        <v>218750</v>
      </c>
      <c r="I26" s="1435"/>
      <c r="J26" s="1447"/>
      <c r="K26" s="898">
        <f>125%*175000</f>
        <v>218750</v>
      </c>
    </row>
    <row r="27" spans="4:11" ht="22.8" customHeight="1">
      <c r="D27" s="913">
        <v>19</v>
      </c>
      <c r="E27" s="895"/>
      <c r="F27" s="896" t="s">
        <v>1788</v>
      </c>
      <c r="G27" s="897" t="s">
        <v>2102</v>
      </c>
      <c r="H27" s="898">
        <v>145000</v>
      </c>
      <c r="I27" s="1435"/>
      <c r="J27" s="1447"/>
      <c r="K27" s="898">
        <v>145000</v>
      </c>
    </row>
    <row r="28" spans="4:11" ht="22.8" customHeight="1">
      <c r="D28" s="913">
        <v>20</v>
      </c>
      <c r="E28" s="895"/>
      <c r="F28" s="896" t="s">
        <v>7672</v>
      </c>
      <c r="G28" s="897" t="s">
        <v>2102</v>
      </c>
      <c r="H28" s="898">
        <f>115%*H9</f>
        <v>114999.99999999999</v>
      </c>
      <c r="I28" s="1435"/>
      <c r="J28" s="1447"/>
      <c r="K28" s="898">
        <f>115%*K9</f>
        <v>114999.99999999999</v>
      </c>
    </row>
    <row r="29" spans="4:11" ht="22.8" customHeight="1">
      <c r="D29" s="913">
        <v>21</v>
      </c>
      <c r="E29" s="895"/>
      <c r="F29" s="896" t="s">
        <v>15</v>
      </c>
      <c r="G29" s="897" t="s">
        <v>6</v>
      </c>
      <c r="H29" s="898">
        <v>120000</v>
      </c>
      <c r="I29" s="1435"/>
      <c r="J29" s="1447"/>
      <c r="K29" s="898">
        <v>120000</v>
      </c>
    </row>
    <row r="30" spans="4:11" ht="22.8" customHeight="1">
      <c r="D30" s="913">
        <v>22</v>
      </c>
      <c r="E30" s="895"/>
      <c r="F30" s="896" t="s">
        <v>16</v>
      </c>
      <c r="G30" s="897" t="s">
        <v>6</v>
      </c>
      <c r="H30" s="898">
        <v>120000</v>
      </c>
      <c r="I30" s="1435"/>
      <c r="J30" s="1447"/>
      <c r="K30" s="898">
        <v>120000</v>
      </c>
    </row>
    <row r="31" spans="4:11" ht="22.8" customHeight="1">
      <c r="D31" s="1422">
        <v>1</v>
      </c>
      <c r="E31" s="895" t="s">
        <v>1776</v>
      </c>
      <c r="F31" s="896" t="s">
        <v>18</v>
      </c>
      <c r="G31" s="897" t="s">
        <v>6</v>
      </c>
      <c r="H31" s="1404">
        <v>150000</v>
      </c>
      <c r="I31" s="1435"/>
      <c r="J31" s="1447"/>
      <c r="K31" s="898">
        <v>175000</v>
      </c>
    </row>
    <row r="32" spans="4:11" ht="22.8" customHeight="1">
      <c r="D32" s="1422">
        <v>1</v>
      </c>
      <c r="E32" s="895" t="s">
        <v>1777</v>
      </c>
      <c r="F32" s="896" t="s">
        <v>19</v>
      </c>
      <c r="G32" s="897" t="s">
        <v>6</v>
      </c>
      <c r="H32" s="1404">
        <v>160000</v>
      </c>
      <c r="I32" s="1435"/>
      <c r="J32" s="1447"/>
      <c r="K32" s="898">
        <v>200000</v>
      </c>
    </row>
    <row r="33" spans="4:11" ht="22.8" customHeight="1">
      <c r="D33" s="913">
        <v>25</v>
      </c>
      <c r="E33" s="895" t="s">
        <v>1778</v>
      </c>
      <c r="F33" s="896" t="s">
        <v>26</v>
      </c>
      <c r="G33" s="897" t="s">
        <v>6</v>
      </c>
      <c r="H33" s="898">
        <v>175000</v>
      </c>
      <c r="I33" s="1435"/>
      <c r="J33" s="1447"/>
      <c r="K33" s="898">
        <v>175000</v>
      </c>
    </row>
    <row r="34" spans="4:11" ht="22.8" customHeight="1">
      <c r="D34" s="913">
        <v>26</v>
      </c>
      <c r="E34" s="895" t="s">
        <v>1779</v>
      </c>
      <c r="F34" s="896" t="s">
        <v>33</v>
      </c>
      <c r="G34" s="897" t="s">
        <v>6</v>
      </c>
      <c r="H34" s="898">
        <v>150000</v>
      </c>
      <c r="I34" s="1435"/>
      <c r="J34" s="1447"/>
      <c r="K34" s="898">
        <v>150000</v>
      </c>
    </row>
    <row r="35" spans="4:11" ht="22.8" customHeight="1">
      <c r="D35" s="913">
        <v>27</v>
      </c>
      <c r="E35" s="895" t="s">
        <v>1780</v>
      </c>
      <c r="F35" s="896" t="s">
        <v>29</v>
      </c>
      <c r="G35" s="897" t="s">
        <v>6</v>
      </c>
      <c r="H35" s="898">
        <v>220000</v>
      </c>
      <c r="I35" s="1435"/>
      <c r="J35" s="1447"/>
      <c r="K35" s="898">
        <v>220000</v>
      </c>
    </row>
    <row r="36" spans="4:11" ht="22.8" customHeight="1">
      <c r="D36" s="913">
        <v>28</v>
      </c>
      <c r="E36" s="895" t="s">
        <v>1781</v>
      </c>
      <c r="F36" s="896" t="s">
        <v>30</v>
      </c>
      <c r="G36" s="897" t="s">
        <v>6</v>
      </c>
      <c r="H36" s="898">
        <v>250000</v>
      </c>
      <c r="I36" s="1435"/>
      <c r="J36" s="1447"/>
      <c r="K36" s="898">
        <v>250000</v>
      </c>
    </row>
    <row r="37" spans="4:11" ht="22.8" customHeight="1">
      <c r="D37" s="913">
        <v>29</v>
      </c>
      <c r="E37" s="895" t="s">
        <v>1782</v>
      </c>
      <c r="F37" s="896" t="s">
        <v>35</v>
      </c>
      <c r="G37" s="897" t="s">
        <v>6</v>
      </c>
      <c r="H37" s="898">
        <v>130000</v>
      </c>
      <c r="I37" s="1435"/>
      <c r="J37" s="1447"/>
      <c r="K37" s="898">
        <v>130000</v>
      </c>
    </row>
    <row r="38" spans="4:11" ht="22.8" customHeight="1">
      <c r="D38" s="913">
        <v>30</v>
      </c>
      <c r="E38" s="895" t="s">
        <v>1789</v>
      </c>
      <c r="F38" s="896" t="s">
        <v>36</v>
      </c>
      <c r="G38" s="897" t="s">
        <v>6</v>
      </c>
      <c r="H38" s="898">
        <v>200000</v>
      </c>
      <c r="I38" s="1435"/>
      <c r="J38" s="1447"/>
      <c r="K38" s="898">
        <v>200000</v>
      </c>
    </row>
    <row r="39" spans="4:11" ht="22.8" customHeight="1">
      <c r="D39" s="913">
        <v>31</v>
      </c>
      <c r="E39" s="895" t="s">
        <v>1790</v>
      </c>
      <c r="F39" s="896" t="s">
        <v>27</v>
      </c>
      <c r="G39" s="897" t="s">
        <v>6</v>
      </c>
      <c r="H39" s="898">
        <v>135000</v>
      </c>
      <c r="I39" s="1435"/>
      <c r="J39" s="1447"/>
      <c r="K39" s="898">
        <v>135000</v>
      </c>
    </row>
    <row r="40" spans="4:11" ht="22.8" customHeight="1">
      <c r="D40" s="913">
        <v>32</v>
      </c>
      <c r="E40" s="895"/>
      <c r="F40" s="896" t="s">
        <v>20</v>
      </c>
      <c r="G40" s="897" t="s">
        <v>6</v>
      </c>
      <c r="H40" s="898">
        <v>110000</v>
      </c>
      <c r="I40" s="1435"/>
      <c r="J40" s="1447"/>
      <c r="K40" s="898">
        <v>110000</v>
      </c>
    </row>
    <row r="41" spans="4:11" ht="22.8" customHeight="1">
      <c r="D41" s="913">
        <v>33</v>
      </c>
      <c r="E41" s="895"/>
      <c r="F41" s="896" t="s">
        <v>21</v>
      </c>
      <c r="G41" s="897" t="s">
        <v>6</v>
      </c>
      <c r="H41" s="898">
        <v>400000</v>
      </c>
      <c r="I41" s="1435"/>
      <c r="J41" s="1447"/>
      <c r="K41" s="898">
        <v>400000</v>
      </c>
    </row>
    <row r="42" spans="4:11" ht="22.8" customHeight="1">
      <c r="D42" s="913">
        <v>34</v>
      </c>
      <c r="E42" s="895"/>
      <c r="F42" s="896" t="s">
        <v>22</v>
      </c>
      <c r="G42" s="897" t="s">
        <v>6</v>
      </c>
      <c r="H42" s="898">
        <v>400000</v>
      </c>
      <c r="I42" s="1435"/>
      <c r="J42" s="1447"/>
      <c r="K42" s="898">
        <v>400000</v>
      </c>
    </row>
    <row r="43" spans="4:11" ht="22.8" customHeight="1">
      <c r="D43" s="913">
        <v>35</v>
      </c>
      <c r="E43" s="895"/>
      <c r="F43" s="896" t="s">
        <v>23</v>
      </c>
      <c r="G43" s="897" t="s">
        <v>6</v>
      </c>
      <c r="H43" s="898">
        <v>125000</v>
      </c>
      <c r="I43" s="1435"/>
      <c r="J43" s="1447"/>
      <c r="K43" s="898">
        <v>125000</v>
      </c>
    </row>
    <row r="44" spans="4:11" ht="22.8" customHeight="1">
      <c r="D44" s="913">
        <v>36</v>
      </c>
      <c r="E44" s="895"/>
      <c r="F44" s="896" t="s">
        <v>24</v>
      </c>
      <c r="G44" s="897" t="s">
        <v>6</v>
      </c>
      <c r="H44" s="898">
        <v>140000</v>
      </c>
      <c r="I44" s="1435"/>
      <c r="J44" s="1447"/>
      <c r="K44" s="898">
        <v>140000</v>
      </c>
    </row>
    <row r="45" spans="4:11" ht="22.8" customHeight="1">
      <c r="D45" s="913">
        <v>37</v>
      </c>
      <c r="E45" s="895"/>
      <c r="F45" s="896" t="s">
        <v>25</v>
      </c>
      <c r="G45" s="897" t="s">
        <v>6</v>
      </c>
      <c r="H45" s="898">
        <v>150000</v>
      </c>
      <c r="I45" s="1435"/>
      <c r="J45" s="1447"/>
      <c r="K45" s="898">
        <v>150000</v>
      </c>
    </row>
    <row r="46" spans="4:11" ht="22.8" customHeight="1">
      <c r="D46" s="913">
        <v>38</v>
      </c>
      <c r="E46" s="895"/>
      <c r="F46" s="896" t="s">
        <v>28</v>
      </c>
      <c r="G46" s="897" t="s">
        <v>6</v>
      </c>
      <c r="H46" s="898">
        <v>155000</v>
      </c>
      <c r="I46" s="1435"/>
      <c r="J46" s="1447"/>
      <c r="K46" s="898">
        <v>155000</v>
      </c>
    </row>
    <row r="47" spans="4:11" ht="22.8" customHeight="1">
      <c r="D47" s="913">
        <v>39</v>
      </c>
      <c r="E47" s="895"/>
      <c r="F47" s="896" t="s">
        <v>31</v>
      </c>
      <c r="G47" s="897" t="s">
        <v>6</v>
      </c>
      <c r="H47" s="898">
        <v>130000</v>
      </c>
      <c r="I47" s="1435"/>
      <c r="J47" s="1447"/>
      <c r="K47" s="898">
        <v>130000</v>
      </c>
    </row>
    <row r="48" spans="4:11" ht="22.8" customHeight="1">
      <c r="D48" s="913">
        <v>40</v>
      </c>
      <c r="E48" s="895"/>
      <c r="F48" s="896" t="s">
        <v>32</v>
      </c>
      <c r="G48" s="897" t="s">
        <v>6</v>
      </c>
      <c r="H48" s="898">
        <v>130000</v>
      </c>
      <c r="I48" s="1435"/>
      <c r="J48" s="1447"/>
      <c r="K48" s="898">
        <v>130000</v>
      </c>
    </row>
    <row r="49" spans="4:11" ht="22.8" customHeight="1">
      <c r="D49" s="913">
        <v>41</v>
      </c>
      <c r="E49" s="895"/>
      <c r="F49" s="896" t="s">
        <v>34</v>
      </c>
      <c r="G49" s="897" t="s">
        <v>6</v>
      </c>
      <c r="H49" s="898">
        <v>130000</v>
      </c>
      <c r="I49" s="1435"/>
      <c r="J49" s="1447"/>
      <c r="K49" s="898">
        <v>130000</v>
      </c>
    </row>
    <row r="50" spans="4:11" ht="22.8" customHeight="1">
      <c r="D50" s="913">
        <v>42</v>
      </c>
      <c r="E50" s="895"/>
      <c r="F50" s="896" t="s">
        <v>37</v>
      </c>
      <c r="G50" s="897" t="s">
        <v>6</v>
      </c>
      <c r="H50" s="898">
        <v>160000</v>
      </c>
      <c r="I50" s="1435"/>
      <c r="J50" s="1447"/>
      <c r="K50" s="898">
        <v>160000</v>
      </c>
    </row>
    <row r="51" spans="4:11" ht="22.8" customHeight="1">
      <c r="D51" s="913">
        <v>43</v>
      </c>
      <c r="E51" s="895" t="s">
        <v>2490</v>
      </c>
      <c r="F51" s="896" t="s">
        <v>2492</v>
      </c>
      <c r="G51" s="897" t="s">
        <v>2102</v>
      </c>
      <c r="H51" s="898">
        <v>145000</v>
      </c>
      <c r="I51" s="1435"/>
      <c r="J51" s="1447"/>
      <c r="K51" s="898">
        <v>145000</v>
      </c>
    </row>
    <row r="52" spans="4:11" ht="22.8" customHeight="1">
      <c r="D52" s="913">
        <v>44</v>
      </c>
      <c r="E52" s="895"/>
      <c r="F52" s="896" t="s">
        <v>5930</v>
      </c>
      <c r="G52" s="897" t="s">
        <v>2102</v>
      </c>
      <c r="H52" s="898">
        <v>145000</v>
      </c>
      <c r="I52" s="1435"/>
      <c r="J52" s="1447"/>
      <c r="K52" s="898">
        <v>145000</v>
      </c>
    </row>
    <row r="53" spans="4:11" ht="22.8" customHeight="1">
      <c r="D53" s="927">
        <v>45</v>
      </c>
      <c r="E53" s="908"/>
      <c r="F53" s="909"/>
      <c r="G53" s="906"/>
      <c r="H53" s="907"/>
      <c r="I53" s="1436"/>
      <c r="J53" s="1448"/>
      <c r="K53" s="907"/>
    </row>
    <row r="54" spans="4:11" ht="22.8" customHeight="1">
      <c r="D54" s="935" t="s">
        <v>38</v>
      </c>
      <c r="E54" s="1797" t="s">
        <v>39</v>
      </c>
      <c r="F54" s="1802"/>
      <c r="G54" s="1802"/>
      <c r="H54" s="1802"/>
      <c r="I54" s="1802"/>
      <c r="J54" s="1449"/>
      <c r="K54" s="934"/>
    </row>
    <row r="55" spans="4:11" ht="22.8" customHeight="1">
      <c r="D55" s="914" t="s">
        <v>1201</v>
      </c>
      <c r="E55" s="1803" t="s">
        <v>40</v>
      </c>
      <c r="F55" s="1804"/>
      <c r="G55" s="1804"/>
      <c r="H55" s="1804"/>
      <c r="I55" s="1805"/>
      <c r="J55" s="1450"/>
    </row>
    <row r="56" spans="4:11" ht="22.8" customHeight="1">
      <c r="D56" s="1429">
        <v>36</v>
      </c>
      <c r="E56" s="891"/>
      <c r="F56" s="892" t="s">
        <v>41</v>
      </c>
      <c r="G56" s="893" t="s">
        <v>42</v>
      </c>
      <c r="H56" s="894">
        <f>J56</f>
        <v>292500</v>
      </c>
      <c r="I56" s="1434">
        <v>325000</v>
      </c>
      <c r="J56" s="1446">
        <f>I56-(I56*10%)</f>
        <v>292500</v>
      </c>
      <c r="K56" s="894">
        <v>385000</v>
      </c>
    </row>
    <row r="57" spans="4:11" ht="22.8" hidden="1" customHeight="1">
      <c r="D57" s="913">
        <v>2</v>
      </c>
      <c r="E57" s="891"/>
      <c r="F57" s="892" t="s">
        <v>4443</v>
      </c>
      <c r="G57" s="893" t="s">
        <v>2426</v>
      </c>
      <c r="H57" s="894">
        <f>385000/1700</f>
        <v>226.47058823529412</v>
      </c>
      <c r="I57" s="1434">
        <v>250</v>
      </c>
      <c r="J57" s="1446"/>
      <c r="K57" s="894">
        <f>385000/1700</f>
        <v>226.47058823529412</v>
      </c>
    </row>
    <row r="58" spans="4:11" ht="22.8" hidden="1" customHeight="1">
      <c r="D58" s="913">
        <v>3</v>
      </c>
      <c r="E58" s="891"/>
      <c r="F58" s="892" t="s">
        <v>1864</v>
      </c>
      <c r="G58" s="893" t="s">
        <v>42</v>
      </c>
      <c r="H58" s="894">
        <v>350000</v>
      </c>
      <c r="I58" s="1434">
        <v>325000</v>
      </c>
      <c r="J58" s="1446"/>
      <c r="K58" s="894">
        <v>350000</v>
      </c>
    </row>
    <row r="59" spans="4:11" ht="22.8" hidden="1" customHeight="1">
      <c r="D59" s="913">
        <v>4</v>
      </c>
      <c r="E59" s="891"/>
      <c r="F59" s="892" t="s">
        <v>1865</v>
      </c>
      <c r="G59" s="893" t="s">
        <v>42</v>
      </c>
      <c r="H59" s="894">
        <v>360000</v>
      </c>
      <c r="I59" s="1434">
        <v>60000</v>
      </c>
      <c r="J59" s="1446"/>
      <c r="K59" s="894">
        <v>360000</v>
      </c>
    </row>
    <row r="60" spans="4:11" ht="22.8" hidden="1" customHeight="1">
      <c r="D60" s="913">
        <v>5</v>
      </c>
      <c r="E60" s="891"/>
      <c r="F60" s="892" t="s">
        <v>1866</v>
      </c>
      <c r="G60" s="893" t="s">
        <v>42</v>
      </c>
      <c r="H60" s="894">
        <v>370000</v>
      </c>
      <c r="I60" s="1434" t="s">
        <v>9070</v>
      </c>
      <c r="J60" s="1446"/>
      <c r="K60" s="894">
        <v>370000</v>
      </c>
    </row>
    <row r="61" spans="4:11" ht="22.8" hidden="1" customHeight="1">
      <c r="D61" s="913">
        <v>6</v>
      </c>
      <c r="E61" s="895"/>
      <c r="F61" s="896" t="s">
        <v>43</v>
      </c>
      <c r="G61" s="897" t="s">
        <v>44</v>
      </c>
      <c r="H61" s="898">
        <v>700</v>
      </c>
      <c r="I61" s="1435">
        <v>1200</v>
      </c>
      <c r="J61" s="1447"/>
      <c r="K61" s="898">
        <v>700</v>
      </c>
    </row>
    <row r="62" spans="4:11" ht="22.8" hidden="1" customHeight="1">
      <c r="D62" s="913">
        <v>7</v>
      </c>
      <c r="E62" s="895"/>
      <c r="F62" s="896" t="s">
        <v>45</v>
      </c>
      <c r="G62" s="897" t="s">
        <v>42</v>
      </c>
      <c r="H62" s="898">
        <v>590000</v>
      </c>
      <c r="I62" s="1435">
        <v>1090000</v>
      </c>
      <c r="J62" s="1447"/>
      <c r="K62" s="898">
        <v>590000</v>
      </c>
    </row>
    <row r="63" spans="4:11" ht="22.8" customHeight="1">
      <c r="D63" s="1422">
        <v>1</v>
      </c>
      <c r="E63" s="895"/>
      <c r="F63" s="896" t="s">
        <v>46</v>
      </c>
      <c r="G63" s="897" t="s">
        <v>42</v>
      </c>
      <c r="H63" s="898">
        <f>111*I65</f>
        <v>754800</v>
      </c>
      <c r="I63" s="1442"/>
      <c r="J63" s="1446">
        <f t="shared" ref="J63:J126" si="0">I63-(I63*10%)</f>
        <v>0</v>
      </c>
      <c r="K63" s="898">
        <v>703500</v>
      </c>
    </row>
    <row r="64" spans="4:11" ht="22.8" customHeight="1">
      <c r="D64" s="1422">
        <v>1</v>
      </c>
      <c r="E64" s="895"/>
      <c r="F64" s="896" t="s">
        <v>9216</v>
      </c>
      <c r="G64" s="897" t="s">
        <v>42</v>
      </c>
      <c r="H64" s="898">
        <f>H63</f>
        <v>754800</v>
      </c>
      <c r="I64" s="1442"/>
      <c r="J64" s="1446">
        <f t="shared" si="0"/>
        <v>0</v>
      </c>
      <c r="K64" s="898">
        <v>685800</v>
      </c>
    </row>
    <row r="65" spans="4:11" ht="22.8" customHeight="1">
      <c r="D65" s="913">
        <v>10</v>
      </c>
      <c r="E65" s="895"/>
      <c r="F65" s="896" t="s">
        <v>9215</v>
      </c>
      <c r="G65" s="897" t="s">
        <v>44</v>
      </c>
      <c r="H65" s="894">
        <f t="shared" ref="H65:H99" si="1">J65</f>
        <v>6120</v>
      </c>
      <c r="I65" s="1435">
        <v>6800</v>
      </c>
      <c r="J65" s="1446">
        <f t="shared" si="0"/>
        <v>6120</v>
      </c>
      <c r="K65" s="898">
        <v>11000</v>
      </c>
    </row>
    <row r="66" spans="4:11" ht="22.8" hidden="1" customHeight="1">
      <c r="D66" s="913">
        <v>11</v>
      </c>
      <c r="E66" s="895"/>
      <c r="F66" s="896" t="s">
        <v>48</v>
      </c>
      <c r="G66" s="897" t="s">
        <v>44</v>
      </c>
      <c r="H66" s="894">
        <f t="shared" si="1"/>
        <v>16200</v>
      </c>
      <c r="I66" s="1435">
        <v>18000</v>
      </c>
      <c r="J66" s="1446">
        <f t="shared" si="0"/>
        <v>16200</v>
      </c>
      <c r="K66" s="898">
        <v>20000</v>
      </c>
    </row>
    <row r="67" spans="4:11" ht="22.8" hidden="1" customHeight="1">
      <c r="D67" s="913">
        <v>12</v>
      </c>
      <c r="E67" s="895"/>
      <c r="F67" s="896" t="s">
        <v>49</v>
      </c>
      <c r="G67" s="897" t="s">
        <v>44</v>
      </c>
      <c r="H67" s="894">
        <f t="shared" si="1"/>
        <v>6120</v>
      </c>
      <c r="I67" s="1435">
        <v>6800</v>
      </c>
      <c r="J67" s="1446">
        <f t="shared" si="0"/>
        <v>6120</v>
      </c>
      <c r="K67" s="898">
        <v>8500</v>
      </c>
    </row>
    <row r="68" spans="4:11" ht="22.8" customHeight="1">
      <c r="D68" s="1422">
        <v>1</v>
      </c>
      <c r="E68" s="895"/>
      <c r="F68" s="896" t="s">
        <v>50</v>
      </c>
      <c r="G68" s="897" t="s">
        <v>44</v>
      </c>
      <c r="H68" s="894">
        <f t="shared" si="1"/>
        <v>5400</v>
      </c>
      <c r="I68" s="1435">
        <v>6000</v>
      </c>
      <c r="J68" s="1446">
        <f t="shared" si="0"/>
        <v>5400</v>
      </c>
      <c r="K68" s="898">
        <v>15000</v>
      </c>
    </row>
    <row r="69" spans="4:11" ht="22.8" hidden="1" customHeight="1">
      <c r="D69" s="913">
        <v>14</v>
      </c>
      <c r="E69" s="895"/>
      <c r="F69" s="896" t="s">
        <v>2765</v>
      </c>
      <c r="G69" s="897" t="s">
        <v>2167</v>
      </c>
      <c r="H69" s="894">
        <f t="shared" si="1"/>
        <v>0</v>
      </c>
      <c r="I69" s="1435"/>
      <c r="J69" s="1446">
        <f t="shared" si="0"/>
        <v>0</v>
      </c>
      <c r="K69" s="898">
        <v>15000</v>
      </c>
    </row>
    <row r="70" spans="4:11" ht="22.8" hidden="1" customHeight="1">
      <c r="D70" s="913">
        <v>15</v>
      </c>
      <c r="E70" s="895"/>
      <c r="F70" s="896" t="s">
        <v>51</v>
      </c>
      <c r="G70" s="897" t="s">
        <v>52</v>
      </c>
      <c r="H70" s="894">
        <f t="shared" si="1"/>
        <v>0</v>
      </c>
      <c r="I70" s="1435"/>
      <c r="J70" s="1446">
        <f t="shared" si="0"/>
        <v>0</v>
      </c>
      <c r="K70" s="898">
        <v>179300</v>
      </c>
    </row>
    <row r="71" spans="4:11" ht="22.8" hidden="1" customHeight="1">
      <c r="D71" s="913">
        <v>16</v>
      </c>
      <c r="E71" s="895"/>
      <c r="F71" s="896" t="s">
        <v>53</v>
      </c>
      <c r="G71" s="897" t="s">
        <v>52</v>
      </c>
      <c r="H71" s="894">
        <f t="shared" si="1"/>
        <v>0</v>
      </c>
      <c r="I71" s="1435"/>
      <c r="J71" s="1446">
        <f t="shared" si="0"/>
        <v>0</v>
      </c>
      <c r="K71" s="898">
        <v>177500</v>
      </c>
    </row>
    <row r="72" spans="4:11" ht="22.8" hidden="1" customHeight="1">
      <c r="D72" s="913">
        <v>17</v>
      </c>
      <c r="E72" s="895"/>
      <c r="F72" s="896" t="s">
        <v>54</v>
      </c>
      <c r="G72" s="897" t="s">
        <v>42</v>
      </c>
      <c r="H72" s="894">
        <f t="shared" si="1"/>
        <v>0</v>
      </c>
      <c r="I72" s="1435"/>
      <c r="J72" s="1446">
        <f t="shared" si="0"/>
        <v>0</v>
      </c>
      <c r="K72" s="898">
        <v>339861</v>
      </c>
    </row>
    <row r="73" spans="4:11" ht="22.8" hidden="1" customHeight="1">
      <c r="D73" s="913">
        <v>18</v>
      </c>
      <c r="E73" s="895"/>
      <c r="F73" s="896" t="s">
        <v>55</v>
      </c>
      <c r="G73" s="897" t="s">
        <v>42</v>
      </c>
      <c r="H73" s="894">
        <f t="shared" si="1"/>
        <v>0</v>
      </c>
      <c r="I73" s="1435"/>
      <c r="J73" s="1446">
        <f t="shared" si="0"/>
        <v>0</v>
      </c>
      <c r="K73" s="898">
        <v>235000</v>
      </c>
    </row>
    <row r="74" spans="4:11" ht="22.8" customHeight="1">
      <c r="D74" s="1422">
        <v>1</v>
      </c>
      <c r="E74" s="895"/>
      <c r="F74" s="896" t="s">
        <v>56</v>
      </c>
      <c r="G74" s="897" t="s">
        <v>42</v>
      </c>
      <c r="H74" s="894">
        <f t="shared" si="1"/>
        <v>322875</v>
      </c>
      <c r="I74" s="1435">
        <v>358750</v>
      </c>
      <c r="J74" s="1446">
        <f t="shared" si="0"/>
        <v>322875</v>
      </c>
      <c r="K74" s="898">
        <v>286500</v>
      </c>
    </row>
    <row r="75" spans="4:11" ht="22.8" hidden="1" customHeight="1">
      <c r="D75" s="913">
        <v>20</v>
      </c>
      <c r="E75" s="895"/>
      <c r="F75" s="896" t="s">
        <v>1807</v>
      </c>
      <c r="G75" s="897" t="s">
        <v>42</v>
      </c>
      <c r="H75" s="894">
        <f t="shared" si="1"/>
        <v>0</v>
      </c>
      <c r="I75" s="1435"/>
      <c r="J75" s="1446">
        <f t="shared" si="0"/>
        <v>0</v>
      </c>
      <c r="K75" s="898">
        <v>286500</v>
      </c>
    </row>
    <row r="76" spans="4:11" ht="22.8" customHeight="1">
      <c r="D76" s="1422">
        <v>1</v>
      </c>
      <c r="E76" s="895"/>
      <c r="F76" s="896" t="s">
        <v>1851</v>
      </c>
      <c r="G76" s="897" t="s">
        <v>42</v>
      </c>
      <c r="H76" s="894">
        <f t="shared" si="1"/>
        <v>322875</v>
      </c>
      <c r="I76" s="1435">
        <v>358750</v>
      </c>
      <c r="J76" s="1446">
        <f t="shared" si="0"/>
        <v>322875</v>
      </c>
      <c r="K76" s="898">
        <v>286500</v>
      </c>
    </row>
    <row r="77" spans="4:11" ht="22.8" hidden="1" customHeight="1">
      <c r="D77" s="913">
        <v>22</v>
      </c>
      <c r="E77" s="895"/>
      <c r="F77" s="896" t="s">
        <v>57</v>
      </c>
      <c r="G77" s="897" t="s">
        <v>42</v>
      </c>
      <c r="H77" s="894">
        <f t="shared" si="1"/>
        <v>0</v>
      </c>
      <c r="I77" s="1435"/>
      <c r="J77" s="1446">
        <f t="shared" si="0"/>
        <v>0</v>
      </c>
      <c r="K77" s="898">
        <v>127500</v>
      </c>
    </row>
    <row r="78" spans="4:11" ht="22.8" hidden="1" customHeight="1">
      <c r="D78" s="913">
        <v>23</v>
      </c>
      <c r="E78" s="895"/>
      <c r="F78" s="896" t="s">
        <v>58</v>
      </c>
      <c r="G78" s="897" t="s">
        <v>52</v>
      </c>
      <c r="H78" s="894">
        <f t="shared" si="1"/>
        <v>0</v>
      </c>
      <c r="I78" s="1435"/>
      <c r="J78" s="1446">
        <f t="shared" si="0"/>
        <v>0</v>
      </c>
      <c r="K78" s="898">
        <v>152000</v>
      </c>
    </row>
    <row r="79" spans="4:11" ht="22.8" hidden="1" customHeight="1">
      <c r="D79" s="913">
        <v>24</v>
      </c>
      <c r="E79" s="895"/>
      <c r="F79" s="896" t="s">
        <v>59</v>
      </c>
      <c r="G79" s="897" t="s">
        <v>42</v>
      </c>
      <c r="H79" s="894">
        <f t="shared" si="1"/>
        <v>0</v>
      </c>
      <c r="I79" s="1435"/>
      <c r="J79" s="1446">
        <f t="shared" si="0"/>
        <v>0</v>
      </c>
      <c r="K79" s="898">
        <v>187400</v>
      </c>
    </row>
    <row r="80" spans="4:11" ht="22.8" hidden="1" customHeight="1">
      <c r="D80" s="913">
        <v>25</v>
      </c>
      <c r="E80" s="895"/>
      <c r="F80" s="896" t="s">
        <v>60</v>
      </c>
      <c r="G80" s="897" t="s">
        <v>42</v>
      </c>
      <c r="H80" s="894">
        <f t="shared" si="1"/>
        <v>0</v>
      </c>
      <c r="I80" s="1435"/>
      <c r="J80" s="1446">
        <f t="shared" si="0"/>
        <v>0</v>
      </c>
      <c r="K80" s="898">
        <v>142500</v>
      </c>
    </row>
    <row r="81" spans="4:11" ht="22.8" hidden="1" customHeight="1">
      <c r="D81" s="913">
        <v>26</v>
      </c>
      <c r="E81" s="895"/>
      <c r="F81" s="896" t="s">
        <v>61</v>
      </c>
      <c r="G81" s="897" t="s">
        <v>62</v>
      </c>
      <c r="H81" s="894">
        <f t="shared" si="1"/>
        <v>0</v>
      </c>
      <c r="I81" s="1435"/>
      <c r="J81" s="1446">
        <f t="shared" si="0"/>
        <v>0</v>
      </c>
      <c r="K81" s="898">
        <v>97500</v>
      </c>
    </row>
    <row r="82" spans="4:11" ht="22.8" hidden="1" customHeight="1">
      <c r="D82" s="913">
        <v>27</v>
      </c>
      <c r="E82" s="895"/>
      <c r="F82" s="896" t="s">
        <v>5263</v>
      </c>
      <c r="G82" s="897" t="s">
        <v>42</v>
      </c>
      <c r="H82" s="894">
        <f t="shared" si="1"/>
        <v>0</v>
      </c>
      <c r="I82" s="1435"/>
      <c r="J82" s="1446">
        <f t="shared" si="0"/>
        <v>0</v>
      </c>
      <c r="K82" s="898">
        <v>97500</v>
      </c>
    </row>
    <row r="83" spans="4:11" ht="22.8" hidden="1" customHeight="1">
      <c r="D83" s="913">
        <v>28</v>
      </c>
      <c r="E83" s="895"/>
      <c r="F83" s="896" t="s">
        <v>63</v>
      </c>
      <c r="G83" s="897" t="s">
        <v>42</v>
      </c>
      <c r="H83" s="894">
        <f t="shared" si="1"/>
        <v>0</v>
      </c>
      <c r="I83" s="1435"/>
      <c r="J83" s="1446">
        <f t="shared" si="0"/>
        <v>0</v>
      </c>
      <c r="K83" s="898">
        <v>125000</v>
      </c>
    </row>
    <row r="84" spans="4:11" ht="22.8" hidden="1" customHeight="1">
      <c r="D84" s="913">
        <v>29</v>
      </c>
      <c r="E84" s="895"/>
      <c r="F84" s="896" t="s">
        <v>64</v>
      </c>
      <c r="G84" s="897" t="s">
        <v>65</v>
      </c>
      <c r="H84" s="894">
        <f t="shared" si="1"/>
        <v>0</v>
      </c>
      <c r="I84" s="1435"/>
      <c r="J84" s="1446">
        <f t="shared" si="0"/>
        <v>0</v>
      </c>
      <c r="K84" s="898">
        <v>210</v>
      </c>
    </row>
    <row r="85" spans="4:11" ht="22.8" hidden="1" customHeight="1">
      <c r="D85" s="913">
        <v>30</v>
      </c>
      <c r="E85" s="895"/>
      <c r="F85" s="896" t="s">
        <v>66</v>
      </c>
      <c r="G85" s="897" t="s">
        <v>42</v>
      </c>
      <c r="H85" s="894">
        <f t="shared" si="1"/>
        <v>0</v>
      </c>
      <c r="I85" s="1435"/>
      <c r="J85" s="1446">
        <f t="shared" si="0"/>
        <v>0</v>
      </c>
      <c r="K85" s="898">
        <v>363800</v>
      </c>
    </row>
    <row r="86" spans="4:11" ht="22.8" hidden="1" customHeight="1">
      <c r="D86" s="913">
        <v>31</v>
      </c>
      <c r="E86" s="895"/>
      <c r="F86" s="896" t="s">
        <v>67</v>
      </c>
      <c r="G86" s="897" t="s">
        <v>42</v>
      </c>
      <c r="H86" s="894">
        <f t="shared" si="1"/>
        <v>0</v>
      </c>
      <c r="I86" s="1435"/>
      <c r="J86" s="1446">
        <f t="shared" si="0"/>
        <v>0</v>
      </c>
      <c r="K86" s="898">
        <v>351800</v>
      </c>
    </row>
    <row r="87" spans="4:11" ht="22.8" hidden="1" customHeight="1">
      <c r="D87" s="913">
        <v>32</v>
      </c>
      <c r="E87" s="895"/>
      <c r="F87" s="896" t="s">
        <v>68</v>
      </c>
      <c r="G87" s="897" t="s">
        <v>52</v>
      </c>
      <c r="H87" s="894">
        <f t="shared" si="1"/>
        <v>0</v>
      </c>
      <c r="I87" s="1435"/>
      <c r="J87" s="1446">
        <f t="shared" si="0"/>
        <v>0</v>
      </c>
      <c r="K87" s="898">
        <v>123000</v>
      </c>
    </row>
    <row r="88" spans="4:11" ht="22.8" hidden="1" customHeight="1">
      <c r="D88" s="913">
        <v>33</v>
      </c>
      <c r="E88" s="895"/>
      <c r="F88" s="896" t="s">
        <v>69</v>
      </c>
      <c r="G88" s="897" t="s">
        <v>52</v>
      </c>
      <c r="H88" s="894">
        <f t="shared" si="1"/>
        <v>0</v>
      </c>
      <c r="I88" s="1435"/>
      <c r="J88" s="1446">
        <f t="shared" si="0"/>
        <v>0</v>
      </c>
      <c r="K88" s="898">
        <v>117700</v>
      </c>
    </row>
    <row r="89" spans="4:11" ht="22.8" hidden="1" customHeight="1">
      <c r="D89" s="913">
        <v>34</v>
      </c>
      <c r="E89" s="895"/>
      <c r="F89" s="896" t="s">
        <v>70</v>
      </c>
      <c r="G89" s="897" t="s">
        <v>65</v>
      </c>
      <c r="H89" s="894">
        <f t="shared" si="1"/>
        <v>0</v>
      </c>
      <c r="I89" s="1435"/>
      <c r="J89" s="1446">
        <f t="shared" si="0"/>
        <v>0</v>
      </c>
      <c r="K89" s="898">
        <v>6000</v>
      </c>
    </row>
    <row r="90" spans="4:11" ht="22.8" customHeight="1">
      <c r="D90" s="1422">
        <v>1</v>
      </c>
      <c r="E90" s="895"/>
      <c r="F90" s="896" t="s">
        <v>71</v>
      </c>
      <c r="G90" s="897" t="s">
        <v>42</v>
      </c>
      <c r="H90" s="894">
        <f t="shared" si="1"/>
        <v>292500</v>
      </c>
      <c r="I90" s="1459">
        <v>325000</v>
      </c>
      <c r="J90" s="1446">
        <f t="shared" si="0"/>
        <v>292500</v>
      </c>
      <c r="K90" s="898">
        <v>370200</v>
      </c>
    </row>
    <row r="91" spans="4:11" ht="22.8" customHeight="1">
      <c r="D91" s="1422">
        <v>1</v>
      </c>
      <c r="E91" s="895"/>
      <c r="F91" s="896" t="s">
        <v>72</v>
      </c>
      <c r="G91" s="897" t="s">
        <v>42</v>
      </c>
      <c r="H91" s="894">
        <f t="shared" si="1"/>
        <v>292500</v>
      </c>
      <c r="I91" s="1459">
        <v>325000</v>
      </c>
      <c r="J91" s="1446">
        <f t="shared" si="0"/>
        <v>292500</v>
      </c>
      <c r="K91" s="898">
        <v>352300</v>
      </c>
    </row>
    <row r="92" spans="4:11" ht="22.8" hidden="1" customHeight="1">
      <c r="D92" s="913">
        <v>37</v>
      </c>
      <c r="E92" s="895"/>
      <c r="F92" s="896" t="s">
        <v>1841</v>
      </c>
      <c r="G92" s="897" t="s">
        <v>42</v>
      </c>
      <c r="H92" s="894">
        <f t="shared" si="1"/>
        <v>0</v>
      </c>
      <c r="I92" s="1435"/>
      <c r="J92" s="1446">
        <f t="shared" si="0"/>
        <v>0</v>
      </c>
      <c r="K92" s="898">
        <v>352300</v>
      </c>
    </row>
    <row r="93" spans="4:11" ht="22.8" hidden="1" customHeight="1">
      <c r="D93" s="913">
        <v>38</v>
      </c>
      <c r="E93" s="895"/>
      <c r="F93" s="896" t="s">
        <v>73</v>
      </c>
      <c r="G93" s="897" t="s">
        <v>42</v>
      </c>
      <c r="H93" s="894">
        <f t="shared" si="1"/>
        <v>0</v>
      </c>
      <c r="I93" s="1435"/>
      <c r="J93" s="1446">
        <f t="shared" si="0"/>
        <v>0</v>
      </c>
      <c r="K93" s="898">
        <v>121600</v>
      </c>
    </row>
    <row r="94" spans="4:11" ht="22.8" hidden="1" customHeight="1">
      <c r="D94" s="913">
        <v>39</v>
      </c>
      <c r="E94" s="895"/>
      <c r="F94" s="896" t="s">
        <v>74</v>
      </c>
      <c r="G94" s="897" t="s">
        <v>65</v>
      </c>
      <c r="H94" s="894">
        <f t="shared" si="1"/>
        <v>0</v>
      </c>
      <c r="I94" s="1435"/>
      <c r="J94" s="1446">
        <f t="shared" si="0"/>
        <v>0</v>
      </c>
      <c r="K94" s="898">
        <v>600</v>
      </c>
    </row>
    <row r="95" spans="4:11" ht="22.8" hidden="1" customHeight="1">
      <c r="D95" s="913">
        <v>40</v>
      </c>
      <c r="E95" s="895"/>
      <c r="F95" s="896" t="s">
        <v>75</v>
      </c>
      <c r="G95" s="897" t="s">
        <v>44</v>
      </c>
      <c r="H95" s="894">
        <f t="shared" si="1"/>
        <v>0</v>
      </c>
      <c r="I95" s="1435"/>
      <c r="J95" s="1446">
        <f t="shared" si="0"/>
        <v>0</v>
      </c>
      <c r="K95" s="898">
        <v>12000</v>
      </c>
    </row>
    <row r="96" spans="4:11" ht="22.8" hidden="1" customHeight="1">
      <c r="D96" s="913">
        <v>41</v>
      </c>
      <c r="E96" s="895"/>
      <c r="F96" s="896" t="s">
        <v>76</v>
      </c>
      <c r="G96" s="897" t="s">
        <v>44</v>
      </c>
      <c r="H96" s="894">
        <f t="shared" si="1"/>
        <v>0</v>
      </c>
      <c r="I96" s="1435"/>
      <c r="J96" s="1446">
        <f t="shared" si="0"/>
        <v>0</v>
      </c>
      <c r="K96" s="898">
        <v>12000</v>
      </c>
    </row>
    <row r="97" spans="4:11" ht="22.8" hidden="1" customHeight="1">
      <c r="D97" s="913">
        <v>42</v>
      </c>
      <c r="E97" s="895"/>
      <c r="F97" s="896" t="s">
        <v>77</v>
      </c>
      <c r="G97" s="897" t="s">
        <v>44</v>
      </c>
      <c r="H97" s="894">
        <f t="shared" si="1"/>
        <v>0</v>
      </c>
      <c r="I97" s="1435"/>
      <c r="J97" s="1446">
        <f t="shared" si="0"/>
        <v>0</v>
      </c>
      <c r="K97" s="898">
        <v>13000</v>
      </c>
    </row>
    <row r="98" spans="4:11" ht="22.8" hidden="1" customHeight="1">
      <c r="D98" s="913">
        <v>43</v>
      </c>
      <c r="E98" s="895"/>
      <c r="F98" s="896" t="s">
        <v>1798</v>
      </c>
      <c r="G98" s="897" t="s">
        <v>65</v>
      </c>
      <c r="H98" s="894">
        <f t="shared" si="1"/>
        <v>0</v>
      </c>
      <c r="I98" s="1435"/>
      <c r="J98" s="1446">
        <f t="shared" si="0"/>
        <v>0</v>
      </c>
      <c r="K98" s="898">
        <v>210</v>
      </c>
    </row>
    <row r="99" spans="4:11" ht="22.8" customHeight="1">
      <c r="D99" s="1428">
        <v>44</v>
      </c>
      <c r="E99" s="895"/>
      <c r="F99" s="896" t="s">
        <v>2553</v>
      </c>
      <c r="G99" s="897" t="s">
        <v>42</v>
      </c>
      <c r="H99" s="894">
        <f t="shared" si="1"/>
        <v>292500</v>
      </c>
      <c r="I99" s="1435">
        <v>325000</v>
      </c>
      <c r="J99" s="1446">
        <f t="shared" si="0"/>
        <v>292500</v>
      </c>
      <c r="K99" s="898">
        <v>352300</v>
      </c>
    </row>
    <row r="100" spans="4:11" ht="22.8" hidden="1" customHeight="1">
      <c r="D100" s="913">
        <v>45</v>
      </c>
      <c r="E100" s="895"/>
      <c r="F100" s="896" t="s">
        <v>78</v>
      </c>
      <c r="G100" s="897" t="s">
        <v>42</v>
      </c>
      <c r="H100" s="894">
        <f t="shared" ref="H100" si="2">I100</f>
        <v>0</v>
      </c>
      <c r="I100" s="1435"/>
      <c r="J100" s="1446">
        <f t="shared" si="0"/>
        <v>0</v>
      </c>
      <c r="K100" s="898">
        <v>225000</v>
      </c>
    </row>
    <row r="101" spans="4:11" ht="22.8" customHeight="1">
      <c r="D101" s="1429">
        <v>36</v>
      </c>
      <c r="E101" s="895"/>
      <c r="F101" s="896" t="s">
        <v>1797</v>
      </c>
      <c r="G101" s="897" t="s">
        <v>65</v>
      </c>
      <c r="H101" s="894">
        <f t="shared" ref="H101:H164" si="3">J101</f>
        <v>221.78700000000001</v>
      </c>
      <c r="I101" s="1435">
        <v>246.43</v>
      </c>
      <c r="J101" s="1446">
        <f t="shared" si="0"/>
        <v>221.78700000000001</v>
      </c>
      <c r="K101" s="898">
        <v>300</v>
      </c>
    </row>
    <row r="102" spans="4:11" ht="22.8" hidden="1" customHeight="1">
      <c r="D102" s="913">
        <v>47</v>
      </c>
      <c r="E102" s="895"/>
      <c r="F102" s="896" t="s">
        <v>1797</v>
      </c>
      <c r="G102" s="897" t="s">
        <v>42</v>
      </c>
      <c r="H102" s="894">
        <f t="shared" si="3"/>
        <v>0</v>
      </c>
      <c r="I102" s="1435"/>
      <c r="J102" s="1446">
        <f t="shared" si="0"/>
        <v>0</v>
      </c>
      <c r="K102" s="898">
        <v>370200</v>
      </c>
    </row>
    <row r="103" spans="4:11" ht="22.8" hidden="1" customHeight="1">
      <c r="D103" s="913">
        <v>48</v>
      </c>
      <c r="E103" s="895"/>
      <c r="F103" s="896" t="s">
        <v>80</v>
      </c>
      <c r="G103" s="897" t="s">
        <v>42</v>
      </c>
      <c r="H103" s="894">
        <f t="shared" si="3"/>
        <v>0</v>
      </c>
      <c r="I103" s="1435"/>
      <c r="J103" s="1446">
        <f t="shared" si="0"/>
        <v>0</v>
      </c>
      <c r="K103" s="898">
        <v>422600</v>
      </c>
    </row>
    <row r="104" spans="4:11" ht="22.8" hidden="1" customHeight="1">
      <c r="D104" s="913">
        <v>49</v>
      </c>
      <c r="E104" s="895"/>
      <c r="F104" s="896" t="s">
        <v>81</v>
      </c>
      <c r="G104" s="897" t="s">
        <v>42</v>
      </c>
      <c r="H104" s="894">
        <f t="shared" si="3"/>
        <v>0</v>
      </c>
      <c r="I104" s="1435"/>
      <c r="J104" s="1446">
        <f t="shared" si="0"/>
        <v>0</v>
      </c>
      <c r="K104" s="898">
        <v>325200</v>
      </c>
    </row>
    <row r="105" spans="4:11" ht="22.8" customHeight="1">
      <c r="D105" s="1422">
        <v>1</v>
      </c>
      <c r="E105" s="895"/>
      <c r="F105" s="896" t="s">
        <v>82</v>
      </c>
      <c r="G105" s="897" t="s">
        <v>42</v>
      </c>
      <c r="H105" s="894">
        <f t="shared" si="3"/>
        <v>310500</v>
      </c>
      <c r="I105" s="1435">
        <v>345000</v>
      </c>
      <c r="J105" s="1446">
        <f t="shared" si="0"/>
        <v>310500</v>
      </c>
      <c r="K105" s="898">
        <v>370200</v>
      </c>
    </row>
    <row r="106" spans="4:11" ht="22.8" hidden="1" customHeight="1">
      <c r="D106" s="913">
        <v>51</v>
      </c>
      <c r="E106" s="895"/>
      <c r="F106" s="896" t="s">
        <v>83</v>
      </c>
      <c r="G106" s="897" t="s">
        <v>42</v>
      </c>
      <c r="H106" s="894">
        <f t="shared" si="3"/>
        <v>0</v>
      </c>
      <c r="I106" s="1435"/>
      <c r="J106" s="1446">
        <f t="shared" si="0"/>
        <v>0</v>
      </c>
      <c r="K106" s="898">
        <v>170000</v>
      </c>
    </row>
    <row r="107" spans="4:11" ht="22.8" hidden="1" customHeight="1">
      <c r="D107" s="913">
        <v>52</v>
      </c>
      <c r="E107" s="895"/>
      <c r="F107" s="896" t="s">
        <v>1840</v>
      </c>
      <c r="G107" s="897" t="s">
        <v>42</v>
      </c>
      <c r="H107" s="894">
        <f t="shared" si="3"/>
        <v>0</v>
      </c>
      <c r="I107" s="1435"/>
      <c r="J107" s="1446">
        <f t="shared" si="0"/>
        <v>0</v>
      </c>
      <c r="K107" s="898">
        <v>200000</v>
      </c>
    </row>
    <row r="108" spans="4:11" ht="22.8" hidden="1" customHeight="1">
      <c r="D108" s="913">
        <v>53</v>
      </c>
      <c r="E108" s="895"/>
      <c r="F108" s="896" t="s">
        <v>84</v>
      </c>
      <c r="G108" s="897" t="s">
        <v>42</v>
      </c>
      <c r="H108" s="894">
        <f t="shared" si="3"/>
        <v>0</v>
      </c>
      <c r="I108" s="1435"/>
      <c r="J108" s="1446">
        <f t="shared" si="0"/>
        <v>0</v>
      </c>
      <c r="K108" s="898">
        <v>200000</v>
      </c>
    </row>
    <row r="109" spans="4:11" ht="22.8" customHeight="1">
      <c r="D109" s="1423">
        <v>108</v>
      </c>
      <c r="E109" s="895"/>
      <c r="F109" s="896" t="s">
        <v>85</v>
      </c>
      <c r="G109" s="897" t="s">
        <v>42</v>
      </c>
      <c r="H109" s="894">
        <f t="shared" si="3"/>
        <v>310500</v>
      </c>
      <c r="I109" s="1435">
        <v>345000</v>
      </c>
      <c r="J109" s="1446">
        <f t="shared" si="0"/>
        <v>310500</v>
      </c>
      <c r="K109" s="898">
        <v>275000</v>
      </c>
    </row>
    <row r="110" spans="4:11" ht="22.8" hidden="1" customHeight="1">
      <c r="D110" s="913">
        <v>55</v>
      </c>
      <c r="E110" s="895"/>
      <c r="F110" s="896" t="s">
        <v>86</v>
      </c>
      <c r="G110" s="897" t="s">
        <v>42</v>
      </c>
      <c r="H110" s="894">
        <f t="shared" si="3"/>
        <v>0</v>
      </c>
      <c r="I110" s="1435"/>
      <c r="J110" s="1446">
        <f t="shared" si="0"/>
        <v>0</v>
      </c>
      <c r="K110" s="898">
        <v>150000</v>
      </c>
    </row>
    <row r="111" spans="4:11" ht="22.8" hidden="1" customHeight="1">
      <c r="D111" s="913">
        <v>56</v>
      </c>
      <c r="E111" s="895"/>
      <c r="F111" s="896" t="s">
        <v>87</v>
      </c>
      <c r="G111" s="897" t="s">
        <v>42</v>
      </c>
      <c r="H111" s="894">
        <f t="shared" si="3"/>
        <v>0</v>
      </c>
      <c r="I111" s="1435"/>
      <c r="J111" s="1446">
        <f t="shared" si="0"/>
        <v>0</v>
      </c>
      <c r="K111" s="898">
        <v>165500</v>
      </c>
    </row>
    <row r="112" spans="4:11" ht="22.8" customHeight="1">
      <c r="D112" s="1429">
        <v>36</v>
      </c>
      <c r="E112" s="895"/>
      <c r="F112" s="896" t="s">
        <v>88</v>
      </c>
      <c r="G112" s="897" t="s">
        <v>42</v>
      </c>
      <c r="H112" s="894">
        <f t="shared" si="3"/>
        <v>220500</v>
      </c>
      <c r="I112" s="1435">
        <v>245000</v>
      </c>
      <c r="J112" s="1446">
        <f t="shared" si="0"/>
        <v>220500</v>
      </c>
      <c r="K112" s="898">
        <v>254700</v>
      </c>
    </row>
    <row r="113" spans="4:11" ht="22.8" customHeight="1">
      <c r="D113" s="913">
        <v>58</v>
      </c>
      <c r="E113" s="895"/>
      <c r="F113" s="896" t="s">
        <v>89</v>
      </c>
      <c r="G113" s="897" t="s">
        <v>42</v>
      </c>
      <c r="H113" s="894">
        <f t="shared" si="3"/>
        <v>0</v>
      </c>
      <c r="I113" s="1435"/>
      <c r="J113" s="1446">
        <f t="shared" si="0"/>
        <v>0</v>
      </c>
      <c r="K113" s="898">
        <v>120000</v>
      </c>
    </row>
    <row r="114" spans="4:11" ht="22.8" customHeight="1">
      <c r="D114" s="913">
        <v>59</v>
      </c>
      <c r="E114" s="895"/>
      <c r="F114" s="896" t="s">
        <v>4488</v>
      </c>
      <c r="G114" s="897" t="s">
        <v>42</v>
      </c>
      <c r="H114" s="894">
        <f t="shared" si="3"/>
        <v>0</v>
      </c>
      <c r="I114" s="1435"/>
      <c r="J114" s="1446">
        <f t="shared" si="0"/>
        <v>0</v>
      </c>
      <c r="K114" s="898">
        <v>488180</v>
      </c>
    </row>
    <row r="115" spans="4:11" ht="22.8" customHeight="1">
      <c r="D115" s="913">
        <v>60</v>
      </c>
      <c r="E115" s="895"/>
      <c r="F115" s="896" t="s">
        <v>90</v>
      </c>
      <c r="G115" s="897" t="s">
        <v>65</v>
      </c>
      <c r="H115" s="894">
        <f t="shared" si="3"/>
        <v>0</v>
      </c>
      <c r="I115" s="1435"/>
      <c r="J115" s="1446">
        <f t="shared" si="0"/>
        <v>0</v>
      </c>
      <c r="K115" s="898">
        <v>12000</v>
      </c>
    </row>
    <row r="116" spans="4:11" ht="22.8" customHeight="1">
      <c r="D116" s="913">
        <v>61</v>
      </c>
      <c r="E116" s="895"/>
      <c r="F116" s="896" t="s">
        <v>91</v>
      </c>
      <c r="G116" s="897" t="s">
        <v>65</v>
      </c>
      <c r="H116" s="894">
        <f t="shared" si="3"/>
        <v>0</v>
      </c>
      <c r="I116" s="1435"/>
      <c r="J116" s="1446">
        <f t="shared" si="0"/>
        <v>0</v>
      </c>
      <c r="K116" s="898">
        <v>13000</v>
      </c>
    </row>
    <row r="117" spans="4:11" ht="22.8" customHeight="1">
      <c r="D117" s="913">
        <v>62</v>
      </c>
      <c r="E117" s="895"/>
      <c r="F117" s="896" t="s">
        <v>92</v>
      </c>
      <c r="G117" s="897" t="s">
        <v>42</v>
      </c>
      <c r="H117" s="894">
        <f t="shared" si="3"/>
        <v>0</v>
      </c>
      <c r="I117" s="1435"/>
      <c r="J117" s="1446">
        <f t="shared" si="0"/>
        <v>0</v>
      </c>
      <c r="K117" s="898">
        <v>288700</v>
      </c>
    </row>
    <row r="118" spans="4:11" ht="22.8" customHeight="1">
      <c r="D118" s="913">
        <v>63</v>
      </c>
      <c r="E118" s="895"/>
      <c r="F118" s="896" t="s">
        <v>93</v>
      </c>
      <c r="G118" s="897" t="s">
        <v>42</v>
      </c>
      <c r="H118" s="894">
        <f t="shared" si="3"/>
        <v>0</v>
      </c>
      <c r="I118" s="1435"/>
      <c r="J118" s="1446">
        <f t="shared" si="0"/>
        <v>0</v>
      </c>
      <c r="K118" s="898">
        <v>184400</v>
      </c>
    </row>
    <row r="119" spans="4:11" ht="22.8" customHeight="1">
      <c r="D119" s="913">
        <v>64</v>
      </c>
      <c r="E119" s="895"/>
      <c r="F119" s="896" t="s">
        <v>94</v>
      </c>
      <c r="G119" s="897" t="s">
        <v>42</v>
      </c>
      <c r="H119" s="894">
        <f t="shared" si="3"/>
        <v>0</v>
      </c>
      <c r="I119" s="1435"/>
      <c r="J119" s="1446">
        <f t="shared" si="0"/>
        <v>0</v>
      </c>
      <c r="K119" s="898">
        <v>261800</v>
      </c>
    </row>
    <row r="120" spans="4:11" ht="22.8" customHeight="1">
      <c r="D120" s="913">
        <v>65</v>
      </c>
      <c r="E120" s="895"/>
      <c r="F120" s="896" t="s">
        <v>95</v>
      </c>
      <c r="G120" s="897" t="s">
        <v>42</v>
      </c>
      <c r="H120" s="894">
        <f t="shared" si="3"/>
        <v>0</v>
      </c>
      <c r="I120" s="1435"/>
      <c r="J120" s="1446">
        <f t="shared" si="0"/>
        <v>0</v>
      </c>
      <c r="K120" s="898">
        <v>120000</v>
      </c>
    </row>
    <row r="121" spans="4:11" ht="22.8" customHeight="1">
      <c r="D121" s="913">
        <v>66</v>
      </c>
      <c r="E121" s="895"/>
      <c r="F121" s="896" t="s">
        <v>96</v>
      </c>
      <c r="G121" s="897" t="s">
        <v>42</v>
      </c>
      <c r="H121" s="894">
        <f t="shared" si="3"/>
        <v>0</v>
      </c>
      <c r="I121" s="1435"/>
      <c r="J121" s="1446">
        <f t="shared" si="0"/>
        <v>0</v>
      </c>
      <c r="K121" s="898">
        <v>146900</v>
      </c>
    </row>
    <row r="122" spans="4:11" ht="22.8" customHeight="1">
      <c r="D122" s="913">
        <v>67</v>
      </c>
      <c r="E122" s="895"/>
      <c r="F122" s="896" t="s">
        <v>97</v>
      </c>
      <c r="G122" s="897" t="s">
        <v>42</v>
      </c>
      <c r="H122" s="894">
        <f t="shared" si="3"/>
        <v>0</v>
      </c>
      <c r="I122" s="1435"/>
      <c r="J122" s="1446">
        <f t="shared" si="0"/>
        <v>0</v>
      </c>
      <c r="K122" s="898">
        <v>44000</v>
      </c>
    </row>
    <row r="123" spans="4:11" ht="22.8" customHeight="1">
      <c r="D123" s="913">
        <v>68</v>
      </c>
      <c r="E123" s="895"/>
      <c r="F123" s="896" t="s">
        <v>98</v>
      </c>
      <c r="G123" s="897" t="s">
        <v>42</v>
      </c>
      <c r="H123" s="894">
        <f t="shared" si="3"/>
        <v>0</v>
      </c>
      <c r="I123" s="1435"/>
      <c r="J123" s="1446">
        <f t="shared" si="0"/>
        <v>0</v>
      </c>
      <c r="K123" s="898">
        <v>64500</v>
      </c>
    </row>
    <row r="124" spans="4:11" ht="22.8" customHeight="1">
      <c r="D124" s="913">
        <v>69</v>
      </c>
      <c r="E124" s="895"/>
      <c r="F124" s="896" t="s">
        <v>99</v>
      </c>
      <c r="G124" s="897" t="s">
        <v>42</v>
      </c>
      <c r="H124" s="894">
        <f t="shared" si="3"/>
        <v>0</v>
      </c>
      <c r="I124" s="1435"/>
      <c r="J124" s="1446">
        <f t="shared" si="0"/>
        <v>0</v>
      </c>
      <c r="K124" s="898">
        <v>160000</v>
      </c>
    </row>
    <row r="125" spans="4:11" ht="22.8" customHeight="1">
      <c r="D125" s="913">
        <v>70</v>
      </c>
      <c r="E125" s="895"/>
      <c r="F125" s="896" t="s">
        <v>100</v>
      </c>
      <c r="G125" s="897" t="s">
        <v>42</v>
      </c>
      <c r="H125" s="894">
        <f t="shared" si="3"/>
        <v>0</v>
      </c>
      <c r="I125" s="1435"/>
      <c r="J125" s="1446">
        <f t="shared" si="0"/>
        <v>0</v>
      </c>
      <c r="K125" s="898">
        <v>163600</v>
      </c>
    </row>
    <row r="126" spans="4:11" ht="22.8" customHeight="1">
      <c r="D126" s="913">
        <v>71</v>
      </c>
      <c r="E126" s="895"/>
      <c r="F126" s="896" t="s">
        <v>101</v>
      </c>
      <c r="G126" s="897" t="s">
        <v>42</v>
      </c>
      <c r="H126" s="894">
        <f t="shared" si="3"/>
        <v>0</v>
      </c>
      <c r="I126" s="1435"/>
      <c r="J126" s="1446">
        <f t="shared" si="0"/>
        <v>0</v>
      </c>
      <c r="K126" s="898">
        <v>47500</v>
      </c>
    </row>
    <row r="127" spans="4:11" ht="22.8" customHeight="1">
      <c r="D127" s="913">
        <v>72</v>
      </c>
      <c r="E127" s="895"/>
      <c r="F127" s="896" t="s">
        <v>102</v>
      </c>
      <c r="G127" s="897" t="s">
        <v>42</v>
      </c>
      <c r="H127" s="894">
        <f t="shared" si="3"/>
        <v>0</v>
      </c>
      <c r="I127" s="1435"/>
      <c r="J127" s="1446">
        <f t="shared" ref="J127:J190" si="4">I127-(I127*10%)</f>
        <v>0</v>
      </c>
      <c r="K127" s="898">
        <v>146900</v>
      </c>
    </row>
    <row r="128" spans="4:11" ht="22.8" customHeight="1">
      <c r="D128" s="913">
        <v>73</v>
      </c>
      <c r="E128" s="895"/>
      <c r="F128" s="896" t="s">
        <v>103</v>
      </c>
      <c r="G128" s="897" t="s">
        <v>42</v>
      </c>
      <c r="H128" s="894">
        <f t="shared" si="3"/>
        <v>0</v>
      </c>
      <c r="I128" s="1435"/>
      <c r="J128" s="1446">
        <f t="shared" si="4"/>
        <v>0</v>
      </c>
      <c r="K128" s="898">
        <v>48000</v>
      </c>
    </row>
    <row r="129" spans="4:11" ht="22.8" customHeight="1">
      <c r="D129" s="913">
        <v>74</v>
      </c>
      <c r="E129" s="895"/>
      <c r="F129" s="896" t="s">
        <v>2084</v>
      </c>
      <c r="G129" s="897" t="s">
        <v>42</v>
      </c>
      <c r="H129" s="894">
        <f t="shared" si="3"/>
        <v>0</v>
      </c>
      <c r="I129" s="1435"/>
      <c r="J129" s="1446">
        <f t="shared" si="4"/>
        <v>0</v>
      </c>
      <c r="K129" s="898">
        <v>165000</v>
      </c>
    </row>
    <row r="130" spans="4:11" ht="22.8" customHeight="1">
      <c r="D130" s="915" t="s">
        <v>1209</v>
      </c>
      <c r="E130" s="1795" t="s">
        <v>104</v>
      </c>
      <c r="F130" s="1796"/>
      <c r="G130" s="899"/>
      <c r="H130" s="894">
        <f t="shared" si="3"/>
        <v>0</v>
      </c>
      <c r="I130" s="1437"/>
      <c r="J130" s="1446">
        <f t="shared" si="4"/>
        <v>0</v>
      </c>
      <c r="K130" s="900"/>
    </row>
    <row r="131" spans="4:11" ht="22.8" customHeight="1">
      <c r="D131" s="916">
        <v>1</v>
      </c>
      <c r="E131" s="895"/>
      <c r="F131" s="896" t="s">
        <v>105</v>
      </c>
      <c r="G131" s="897" t="s">
        <v>106</v>
      </c>
      <c r="H131" s="894">
        <f t="shared" si="3"/>
        <v>0</v>
      </c>
      <c r="I131" s="1435"/>
      <c r="J131" s="1446">
        <f t="shared" si="4"/>
        <v>0</v>
      </c>
      <c r="K131" s="898">
        <v>17800</v>
      </c>
    </row>
    <row r="132" spans="4:11" ht="22.8" customHeight="1">
      <c r="D132" s="916">
        <v>2</v>
      </c>
      <c r="E132" s="895"/>
      <c r="F132" s="896" t="s">
        <v>107</v>
      </c>
      <c r="G132" s="897" t="s">
        <v>106</v>
      </c>
      <c r="H132" s="894">
        <f t="shared" si="3"/>
        <v>0</v>
      </c>
      <c r="I132" s="1435"/>
      <c r="J132" s="1446">
        <f t="shared" si="4"/>
        <v>0</v>
      </c>
      <c r="K132" s="898">
        <v>22600</v>
      </c>
    </row>
    <row r="133" spans="4:11" ht="22.8" customHeight="1">
      <c r="D133" s="916">
        <v>3</v>
      </c>
      <c r="E133" s="895"/>
      <c r="F133" s="896" t="s">
        <v>108</v>
      </c>
      <c r="G133" s="897" t="s">
        <v>106</v>
      </c>
      <c r="H133" s="894">
        <f t="shared" si="3"/>
        <v>0</v>
      </c>
      <c r="I133" s="1435"/>
      <c r="J133" s="1446">
        <f t="shared" si="4"/>
        <v>0</v>
      </c>
      <c r="K133" s="898">
        <v>14800</v>
      </c>
    </row>
    <row r="134" spans="4:11" ht="22.8" customHeight="1">
      <c r="D134" s="916">
        <v>4</v>
      </c>
      <c r="E134" s="895"/>
      <c r="F134" s="896" t="s">
        <v>109</v>
      </c>
      <c r="G134" s="897" t="s">
        <v>106</v>
      </c>
      <c r="H134" s="894">
        <f t="shared" si="3"/>
        <v>0</v>
      </c>
      <c r="I134" s="1435"/>
      <c r="J134" s="1446">
        <f t="shared" si="4"/>
        <v>0</v>
      </c>
      <c r="K134" s="898">
        <v>12900</v>
      </c>
    </row>
    <row r="135" spans="4:11" ht="22.8" customHeight="1">
      <c r="D135" s="916">
        <v>5</v>
      </c>
      <c r="E135" s="895"/>
      <c r="F135" s="896" t="s">
        <v>5258</v>
      </c>
      <c r="G135" s="897" t="s">
        <v>106</v>
      </c>
      <c r="H135" s="894">
        <f t="shared" si="3"/>
        <v>0</v>
      </c>
      <c r="I135" s="1435"/>
      <c r="J135" s="1446">
        <f t="shared" si="4"/>
        <v>0</v>
      </c>
      <c r="K135" s="898">
        <v>14500</v>
      </c>
    </row>
    <row r="136" spans="4:11" ht="22.8" customHeight="1">
      <c r="D136" s="916">
        <v>6</v>
      </c>
      <c r="E136" s="895"/>
      <c r="F136" s="896" t="s">
        <v>5559</v>
      </c>
      <c r="G136" s="897" t="s">
        <v>106</v>
      </c>
      <c r="H136" s="894">
        <f t="shared" si="3"/>
        <v>0</v>
      </c>
      <c r="I136" s="1435"/>
      <c r="J136" s="1446">
        <f t="shared" si="4"/>
        <v>0</v>
      </c>
      <c r="K136" s="898">
        <v>7000</v>
      </c>
    </row>
    <row r="137" spans="4:11" ht="22.8" customHeight="1">
      <c r="D137" s="916">
        <v>7</v>
      </c>
      <c r="E137" s="895"/>
      <c r="F137" s="896" t="s">
        <v>5259</v>
      </c>
      <c r="G137" s="897" t="s">
        <v>2468</v>
      </c>
      <c r="H137" s="894">
        <f t="shared" si="3"/>
        <v>0</v>
      </c>
      <c r="I137" s="1435"/>
      <c r="J137" s="1446">
        <f t="shared" si="4"/>
        <v>0</v>
      </c>
      <c r="K137" s="898">
        <v>50000</v>
      </c>
    </row>
    <row r="138" spans="4:11" ht="22.8" customHeight="1">
      <c r="D138" s="916">
        <v>8</v>
      </c>
      <c r="E138" s="895"/>
      <c r="F138" s="896" t="s">
        <v>110</v>
      </c>
      <c r="G138" s="897" t="s">
        <v>62</v>
      </c>
      <c r="H138" s="894">
        <f t="shared" si="3"/>
        <v>0</v>
      </c>
      <c r="I138" s="1435"/>
      <c r="J138" s="1446">
        <f t="shared" si="4"/>
        <v>0</v>
      </c>
      <c r="K138" s="898">
        <v>21000</v>
      </c>
    </row>
    <row r="139" spans="4:11" ht="22.8" customHeight="1">
      <c r="D139" s="916">
        <v>9</v>
      </c>
      <c r="E139" s="895"/>
      <c r="F139" s="896" t="s">
        <v>111</v>
      </c>
      <c r="G139" s="897" t="s">
        <v>62</v>
      </c>
      <c r="H139" s="894">
        <f t="shared" si="3"/>
        <v>0</v>
      </c>
      <c r="I139" s="1435"/>
      <c r="J139" s="1446">
        <f t="shared" si="4"/>
        <v>0</v>
      </c>
      <c r="K139" s="898">
        <v>410600</v>
      </c>
    </row>
    <row r="140" spans="4:11" ht="22.8" customHeight="1">
      <c r="D140" s="1429">
        <v>36</v>
      </c>
      <c r="E140" s="895"/>
      <c r="F140" s="896" t="s">
        <v>112</v>
      </c>
      <c r="G140" s="897" t="s">
        <v>113</v>
      </c>
      <c r="H140" s="894">
        <f t="shared" si="3"/>
        <v>5625</v>
      </c>
      <c r="I140" s="1435">
        <f>25000/4</f>
        <v>6250</v>
      </c>
      <c r="J140" s="1446">
        <f t="shared" si="4"/>
        <v>5625</v>
      </c>
      <c r="K140" s="898">
        <v>5000</v>
      </c>
    </row>
    <row r="141" spans="4:11" ht="22.8" hidden="1" customHeight="1">
      <c r="D141" s="916">
        <v>11</v>
      </c>
      <c r="E141" s="895"/>
      <c r="F141" s="896" t="s">
        <v>112</v>
      </c>
      <c r="G141" s="897" t="s">
        <v>106</v>
      </c>
      <c r="H141" s="894">
        <f t="shared" si="3"/>
        <v>0</v>
      </c>
      <c r="I141" s="1435"/>
      <c r="J141" s="1446">
        <f t="shared" si="4"/>
        <v>0</v>
      </c>
      <c r="K141" s="898">
        <v>20000</v>
      </c>
    </row>
    <row r="142" spans="4:11" ht="22.8" hidden="1" customHeight="1">
      <c r="D142" s="916">
        <v>12</v>
      </c>
      <c r="E142" s="895"/>
      <c r="F142" s="896" t="s">
        <v>1838</v>
      </c>
      <c r="G142" s="897" t="s">
        <v>42</v>
      </c>
      <c r="H142" s="894">
        <f t="shared" si="3"/>
        <v>0</v>
      </c>
      <c r="I142" s="1435"/>
      <c r="J142" s="1446">
        <f t="shared" si="4"/>
        <v>0</v>
      </c>
      <c r="K142" s="898">
        <v>11950000</v>
      </c>
    </row>
    <row r="143" spans="4:11" ht="22.8" hidden="1" customHeight="1">
      <c r="D143" s="916">
        <v>13</v>
      </c>
      <c r="E143" s="895"/>
      <c r="F143" s="896" t="s">
        <v>2675</v>
      </c>
      <c r="G143" s="897" t="s">
        <v>2676</v>
      </c>
      <c r="H143" s="894">
        <f t="shared" si="3"/>
        <v>0</v>
      </c>
      <c r="I143" s="1435"/>
      <c r="J143" s="1446">
        <f t="shared" si="4"/>
        <v>0</v>
      </c>
      <c r="K143" s="898">
        <v>2700000</v>
      </c>
    </row>
    <row r="144" spans="4:11" ht="22.8" hidden="1" customHeight="1">
      <c r="D144" s="916">
        <v>14</v>
      </c>
      <c r="E144" s="895"/>
      <c r="F144" s="896" t="s">
        <v>114</v>
      </c>
      <c r="G144" s="897" t="s">
        <v>42</v>
      </c>
      <c r="H144" s="894" t="e">
        <f t="shared" si="3"/>
        <v>#VALUE!</v>
      </c>
      <c r="I144" s="1435" t="s">
        <v>1253</v>
      </c>
      <c r="J144" s="1446" t="e">
        <f t="shared" si="4"/>
        <v>#VALUE!</v>
      </c>
      <c r="K144" s="898">
        <v>25000000</v>
      </c>
    </row>
    <row r="145" spans="4:12" ht="22.8" customHeight="1">
      <c r="D145" s="1429">
        <v>36</v>
      </c>
      <c r="E145" s="895"/>
      <c r="F145" s="896" t="s">
        <v>115</v>
      </c>
      <c r="G145" s="897" t="s">
        <v>42</v>
      </c>
      <c r="H145" s="894">
        <f t="shared" si="3"/>
        <v>5904000</v>
      </c>
      <c r="I145" s="1435">
        <v>6560000</v>
      </c>
      <c r="J145" s="1446">
        <f t="shared" si="4"/>
        <v>5904000</v>
      </c>
      <c r="K145" s="898">
        <v>11950000</v>
      </c>
    </row>
    <row r="146" spans="4:12" ht="22.8" hidden="1" customHeight="1">
      <c r="D146" s="916">
        <v>16</v>
      </c>
      <c r="E146" s="895"/>
      <c r="F146" s="896" t="s">
        <v>6539</v>
      </c>
      <c r="G146" s="897" t="s">
        <v>2676</v>
      </c>
      <c r="H146" s="894">
        <f t="shared" si="3"/>
        <v>0</v>
      </c>
      <c r="I146" s="1435"/>
      <c r="J146" s="1446">
        <f t="shared" si="4"/>
        <v>0</v>
      </c>
      <c r="K146" s="898">
        <v>20000000</v>
      </c>
    </row>
    <row r="147" spans="4:12" ht="22.8" hidden="1" customHeight="1">
      <c r="D147" s="916">
        <v>17</v>
      </c>
      <c r="E147" s="895"/>
      <c r="F147" s="896" t="s">
        <v>116</v>
      </c>
      <c r="G147" s="897" t="s">
        <v>42</v>
      </c>
      <c r="H147" s="894">
        <f t="shared" si="3"/>
        <v>0</v>
      </c>
      <c r="I147" s="1435"/>
      <c r="J147" s="1446">
        <f t="shared" si="4"/>
        <v>0</v>
      </c>
      <c r="K147" s="898">
        <v>25000000</v>
      </c>
    </row>
    <row r="148" spans="4:12" ht="22.8" hidden="1" customHeight="1">
      <c r="D148" s="916">
        <v>18</v>
      </c>
      <c r="E148" s="895"/>
      <c r="F148" s="896" t="s">
        <v>117</v>
      </c>
      <c r="G148" s="897" t="s">
        <v>42</v>
      </c>
      <c r="H148" s="894">
        <f t="shared" si="3"/>
        <v>0</v>
      </c>
      <c r="I148" s="1435"/>
      <c r="J148" s="1446">
        <f t="shared" si="4"/>
        <v>0</v>
      </c>
      <c r="K148" s="898">
        <v>11950000</v>
      </c>
    </row>
    <row r="149" spans="4:12" ht="22.8" hidden="1" customHeight="1">
      <c r="D149" s="916">
        <v>19</v>
      </c>
      <c r="E149" s="895"/>
      <c r="F149" s="896" t="s">
        <v>1329</v>
      </c>
      <c r="G149" s="897" t="s">
        <v>106</v>
      </c>
      <c r="H149" s="894">
        <f t="shared" si="3"/>
        <v>0</v>
      </c>
      <c r="I149" s="1435"/>
      <c r="J149" s="1446">
        <f t="shared" si="4"/>
        <v>0</v>
      </c>
      <c r="K149" s="898">
        <v>414000</v>
      </c>
    </row>
    <row r="150" spans="4:12" ht="22.8" hidden="1" customHeight="1">
      <c r="D150" s="916">
        <v>20</v>
      </c>
      <c r="E150" s="895"/>
      <c r="F150" s="896" t="s">
        <v>1819</v>
      </c>
      <c r="G150" s="897" t="s">
        <v>42</v>
      </c>
      <c r="H150" s="894">
        <f t="shared" si="3"/>
        <v>0</v>
      </c>
      <c r="I150" s="1435"/>
      <c r="J150" s="1446">
        <f t="shared" si="4"/>
        <v>0</v>
      </c>
      <c r="K150" s="898">
        <v>11950000</v>
      </c>
    </row>
    <row r="151" spans="4:12" ht="22.8" hidden="1" customHeight="1">
      <c r="D151" s="916">
        <v>21</v>
      </c>
      <c r="E151" s="895"/>
      <c r="F151" s="896" t="s">
        <v>1835</v>
      </c>
      <c r="G151" s="897" t="s">
        <v>42</v>
      </c>
      <c r="H151" s="894">
        <f t="shared" si="3"/>
        <v>0</v>
      </c>
      <c r="I151" s="1435"/>
      <c r="J151" s="1446">
        <f t="shared" si="4"/>
        <v>0</v>
      </c>
      <c r="K151" s="898">
        <v>11950000</v>
      </c>
    </row>
    <row r="152" spans="4:12" ht="22.8" customHeight="1">
      <c r="D152" s="1422">
        <v>1</v>
      </c>
      <c r="E152" s="895"/>
      <c r="F152" s="896" t="s">
        <v>1849</v>
      </c>
      <c r="G152" s="897" t="s">
        <v>42</v>
      </c>
      <c r="H152" s="894">
        <f t="shared" si="3"/>
        <v>2250000</v>
      </c>
      <c r="I152" s="1435">
        <v>2500000</v>
      </c>
      <c r="J152" s="1446">
        <f t="shared" si="4"/>
        <v>2250000</v>
      </c>
      <c r="K152" s="898">
        <v>10214200</v>
      </c>
    </row>
    <row r="153" spans="4:12" ht="22.8" customHeight="1">
      <c r="D153" s="916">
        <v>23</v>
      </c>
      <c r="E153" s="895"/>
      <c r="F153" s="896" t="s">
        <v>1793</v>
      </c>
      <c r="G153" s="897" t="s">
        <v>42</v>
      </c>
      <c r="H153" s="894">
        <f t="shared" si="3"/>
        <v>3015000</v>
      </c>
      <c r="I153" s="1435">
        <v>3350000</v>
      </c>
      <c r="J153" s="1446">
        <f t="shared" si="4"/>
        <v>3015000</v>
      </c>
      <c r="K153" s="898">
        <v>10214200</v>
      </c>
      <c r="L153" s="1435" t="s">
        <v>1254</v>
      </c>
    </row>
    <row r="154" spans="4:12" ht="22.8" customHeight="1">
      <c r="D154" s="916">
        <v>24</v>
      </c>
      <c r="E154" s="895"/>
      <c r="F154" s="896" t="s">
        <v>118</v>
      </c>
      <c r="G154" s="897" t="s">
        <v>42</v>
      </c>
      <c r="H154" s="894">
        <f t="shared" si="3"/>
        <v>0</v>
      </c>
      <c r="I154" s="1435"/>
      <c r="J154" s="1446">
        <f t="shared" si="4"/>
        <v>0</v>
      </c>
      <c r="K154" s="898">
        <v>3500000</v>
      </c>
      <c r="L154" s="1435" t="s">
        <v>1256</v>
      </c>
    </row>
    <row r="155" spans="4:12" ht="22.8" customHeight="1">
      <c r="D155" s="916">
        <v>25</v>
      </c>
      <c r="E155" s="895"/>
      <c r="F155" s="896" t="s">
        <v>119</v>
      </c>
      <c r="G155" s="897" t="s">
        <v>120</v>
      </c>
      <c r="H155" s="894">
        <f t="shared" si="3"/>
        <v>0</v>
      </c>
      <c r="I155" s="1435"/>
      <c r="J155" s="1446">
        <f t="shared" si="4"/>
        <v>0</v>
      </c>
      <c r="K155" s="898">
        <v>6966600</v>
      </c>
    </row>
    <row r="156" spans="4:12" ht="22.8" customHeight="1">
      <c r="D156" s="916">
        <v>26</v>
      </c>
      <c r="E156" s="895"/>
      <c r="F156" s="896" t="s">
        <v>1794</v>
      </c>
      <c r="G156" s="897" t="s">
        <v>42</v>
      </c>
      <c r="H156" s="894">
        <f t="shared" si="3"/>
        <v>0</v>
      </c>
      <c r="I156" s="1435"/>
      <c r="J156" s="1446">
        <f t="shared" si="4"/>
        <v>0</v>
      </c>
      <c r="K156" s="898">
        <v>2500000</v>
      </c>
      <c r="L156" s="1435" t="s">
        <v>1257</v>
      </c>
    </row>
    <row r="157" spans="4:12" ht="22.8" customHeight="1">
      <c r="D157" s="916">
        <v>27</v>
      </c>
      <c r="E157" s="895"/>
      <c r="F157" s="896" t="s">
        <v>2477</v>
      </c>
      <c r="G157" s="897" t="s">
        <v>42</v>
      </c>
      <c r="H157" s="894">
        <f t="shared" si="3"/>
        <v>0</v>
      </c>
      <c r="I157" s="1435"/>
      <c r="J157" s="1446">
        <f t="shared" si="4"/>
        <v>0</v>
      </c>
      <c r="K157" s="898">
        <v>2500000</v>
      </c>
    </row>
    <row r="158" spans="4:12" ht="22.8" customHeight="1">
      <c r="D158" s="1423">
        <v>3</v>
      </c>
      <c r="E158" s="895"/>
      <c r="F158" s="896" t="s">
        <v>121</v>
      </c>
      <c r="G158" s="897" t="s">
        <v>42</v>
      </c>
      <c r="H158" s="894">
        <f t="shared" si="3"/>
        <v>3150000</v>
      </c>
      <c r="I158" s="1435">
        <v>3500000</v>
      </c>
      <c r="J158" s="1446">
        <f t="shared" si="4"/>
        <v>3150000</v>
      </c>
      <c r="K158" s="898">
        <v>2825000</v>
      </c>
    </row>
    <row r="159" spans="4:12" ht="22.8" hidden="1" customHeight="1">
      <c r="D159" s="916">
        <v>29</v>
      </c>
      <c r="E159" s="895"/>
      <c r="F159" s="896" t="s">
        <v>122</v>
      </c>
      <c r="G159" s="897" t="s">
        <v>42</v>
      </c>
      <c r="H159" s="894" t="e">
        <f t="shared" si="3"/>
        <v>#VALUE!</v>
      </c>
      <c r="I159" s="1435" t="s">
        <v>1253</v>
      </c>
      <c r="J159" s="1446" t="e">
        <f t="shared" si="4"/>
        <v>#VALUE!</v>
      </c>
      <c r="K159" s="898">
        <v>26000000</v>
      </c>
    </row>
    <row r="160" spans="4:12" ht="22.8" hidden="1" customHeight="1">
      <c r="D160" s="916">
        <v>30</v>
      </c>
      <c r="E160" s="895"/>
      <c r="F160" s="896" t="s">
        <v>123</v>
      </c>
      <c r="G160" s="897" t="s">
        <v>42</v>
      </c>
      <c r="H160" s="894" t="e">
        <f t="shared" si="3"/>
        <v>#VALUE!</v>
      </c>
      <c r="I160" s="1435" t="s">
        <v>1255</v>
      </c>
      <c r="J160" s="1446" t="e">
        <f t="shared" si="4"/>
        <v>#VALUE!</v>
      </c>
      <c r="K160" s="898">
        <v>14000000</v>
      </c>
    </row>
    <row r="161" spans="4:11" ht="22.8" customHeight="1">
      <c r="D161" s="1429">
        <v>36</v>
      </c>
      <c r="E161" s="895"/>
      <c r="F161" s="896" t="s">
        <v>124</v>
      </c>
      <c r="G161" s="897" t="s">
        <v>42</v>
      </c>
      <c r="H161" s="894">
        <f t="shared" si="3"/>
        <v>3150000</v>
      </c>
      <c r="I161" s="1435">
        <v>3500000</v>
      </c>
      <c r="J161" s="1446">
        <f t="shared" si="4"/>
        <v>3150000</v>
      </c>
      <c r="K161" s="898">
        <v>8000000</v>
      </c>
    </row>
    <row r="162" spans="4:11" ht="22.8" hidden="1" customHeight="1">
      <c r="D162" s="916">
        <v>32</v>
      </c>
      <c r="E162" s="895"/>
      <c r="F162" s="896" t="s">
        <v>2730</v>
      </c>
      <c r="G162" s="897" t="s">
        <v>2676</v>
      </c>
      <c r="H162" s="894">
        <f t="shared" si="3"/>
        <v>0</v>
      </c>
      <c r="I162" s="1435"/>
      <c r="J162" s="1446">
        <f t="shared" si="4"/>
        <v>0</v>
      </c>
      <c r="K162" s="898">
        <v>4750000</v>
      </c>
    </row>
    <row r="163" spans="4:11" ht="22.8" hidden="1" customHeight="1">
      <c r="D163" s="916">
        <v>33</v>
      </c>
      <c r="E163" s="895"/>
      <c r="F163" s="896" t="s">
        <v>1613</v>
      </c>
      <c r="G163" s="897" t="s">
        <v>62</v>
      </c>
      <c r="H163" s="894" t="e">
        <f t="shared" si="3"/>
        <v>#VALUE!</v>
      </c>
      <c r="I163" s="1435" t="s">
        <v>1256</v>
      </c>
      <c r="J163" s="1446" t="e">
        <f t="shared" si="4"/>
        <v>#VALUE!</v>
      </c>
      <c r="K163" s="898">
        <v>160000</v>
      </c>
    </row>
    <row r="164" spans="4:11" ht="22.8" hidden="1" customHeight="1">
      <c r="D164" s="916">
        <v>34</v>
      </c>
      <c r="E164" s="895"/>
      <c r="F164" s="896" t="s">
        <v>125</v>
      </c>
      <c r="G164" s="897" t="s">
        <v>42</v>
      </c>
      <c r="H164" s="894">
        <f t="shared" si="3"/>
        <v>0</v>
      </c>
      <c r="I164" s="1435"/>
      <c r="J164" s="1446">
        <f t="shared" si="4"/>
        <v>0</v>
      </c>
      <c r="K164" s="898">
        <v>4000000</v>
      </c>
    </row>
    <row r="165" spans="4:11" ht="22.8" hidden="1" customHeight="1">
      <c r="D165" s="916">
        <v>35</v>
      </c>
      <c r="E165" s="895"/>
      <c r="F165" s="896" t="s">
        <v>126</v>
      </c>
      <c r="G165" s="897" t="s">
        <v>120</v>
      </c>
      <c r="H165" s="894">
        <f t="shared" ref="H165:H177" si="5">J165</f>
        <v>0</v>
      </c>
      <c r="I165" s="1435"/>
      <c r="J165" s="1446">
        <f t="shared" si="4"/>
        <v>0</v>
      </c>
      <c r="K165" s="898">
        <v>3573600</v>
      </c>
    </row>
    <row r="166" spans="4:11" ht="22.8" hidden="1" customHeight="1">
      <c r="D166" s="916">
        <v>36</v>
      </c>
      <c r="E166" s="895"/>
      <c r="F166" s="896" t="s">
        <v>127</v>
      </c>
      <c r="G166" s="897" t="s">
        <v>42</v>
      </c>
      <c r="H166" s="894">
        <f t="shared" si="5"/>
        <v>0</v>
      </c>
      <c r="I166" s="1435"/>
      <c r="J166" s="1446">
        <f t="shared" si="4"/>
        <v>0</v>
      </c>
      <c r="K166" s="898">
        <v>6000000</v>
      </c>
    </row>
    <row r="167" spans="4:11" ht="22.8" hidden="1" customHeight="1">
      <c r="D167" s="916">
        <v>37</v>
      </c>
      <c r="E167" s="895"/>
      <c r="F167" s="896" t="s">
        <v>128</v>
      </c>
      <c r="G167" s="897" t="s">
        <v>113</v>
      </c>
      <c r="H167" s="894">
        <f t="shared" si="5"/>
        <v>0</v>
      </c>
      <c r="I167" s="1435"/>
      <c r="J167" s="1446">
        <f t="shared" si="4"/>
        <v>0</v>
      </c>
      <c r="K167" s="898">
        <v>5000</v>
      </c>
    </row>
    <row r="168" spans="4:11" ht="22.8" hidden="1" customHeight="1">
      <c r="D168" s="916">
        <v>38</v>
      </c>
      <c r="E168" s="895"/>
      <c r="F168" s="896" t="s">
        <v>6567</v>
      </c>
      <c r="G168" s="897" t="s">
        <v>6565</v>
      </c>
      <c r="H168" s="894">
        <f t="shared" si="5"/>
        <v>0</v>
      </c>
      <c r="I168" s="1435"/>
      <c r="J168" s="1446">
        <f t="shared" si="4"/>
        <v>0</v>
      </c>
      <c r="K168" s="898">
        <v>5500</v>
      </c>
    </row>
    <row r="169" spans="4:11" ht="22.8" customHeight="1">
      <c r="D169" s="1422">
        <v>1</v>
      </c>
      <c r="E169" s="895"/>
      <c r="F169" s="896" t="s">
        <v>1850</v>
      </c>
      <c r="G169" s="897" t="s">
        <v>129</v>
      </c>
      <c r="H169" s="894">
        <f t="shared" si="5"/>
        <v>64620</v>
      </c>
      <c r="I169" s="1435">
        <v>71800</v>
      </c>
      <c r="J169" s="1446">
        <f t="shared" si="4"/>
        <v>64620</v>
      </c>
      <c r="K169" s="898">
        <v>116700</v>
      </c>
    </row>
    <row r="170" spans="4:11" ht="22.8" hidden="1" customHeight="1">
      <c r="D170" s="916">
        <v>40</v>
      </c>
      <c r="E170" s="895"/>
      <c r="F170" s="896" t="s">
        <v>1834</v>
      </c>
      <c r="G170" s="897" t="s">
        <v>129</v>
      </c>
      <c r="H170" s="894">
        <f t="shared" si="5"/>
        <v>0</v>
      </c>
      <c r="I170" s="1435"/>
      <c r="J170" s="1446">
        <f t="shared" si="4"/>
        <v>0</v>
      </c>
      <c r="K170" s="898">
        <v>116700</v>
      </c>
    </row>
    <row r="171" spans="4:11" ht="22.8" hidden="1" customHeight="1">
      <c r="D171" s="916">
        <v>41</v>
      </c>
      <c r="E171" s="895"/>
      <c r="F171" s="896" t="s">
        <v>130</v>
      </c>
      <c r="G171" s="897" t="s">
        <v>129</v>
      </c>
      <c r="H171" s="894">
        <f t="shared" si="5"/>
        <v>0</v>
      </c>
      <c r="I171" s="1435"/>
      <c r="J171" s="1446">
        <f t="shared" si="4"/>
        <v>0</v>
      </c>
      <c r="K171" s="898">
        <v>152600</v>
      </c>
    </row>
    <row r="172" spans="4:11" ht="22.8" hidden="1" customHeight="1">
      <c r="D172" s="916">
        <v>42</v>
      </c>
      <c r="E172" s="895"/>
      <c r="F172" s="896" t="s">
        <v>131</v>
      </c>
      <c r="G172" s="897" t="s">
        <v>129</v>
      </c>
      <c r="H172" s="894">
        <f t="shared" si="5"/>
        <v>0</v>
      </c>
      <c r="I172" s="1435"/>
      <c r="J172" s="1446">
        <f t="shared" si="4"/>
        <v>0</v>
      </c>
      <c r="K172" s="898">
        <v>226600</v>
      </c>
    </row>
    <row r="173" spans="4:11" ht="22.8" hidden="1" customHeight="1">
      <c r="D173" s="916">
        <v>43</v>
      </c>
      <c r="E173" s="895"/>
      <c r="F173" s="896" t="s">
        <v>132</v>
      </c>
      <c r="G173" s="897" t="s">
        <v>42</v>
      </c>
      <c r="H173" s="894">
        <f t="shared" si="5"/>
        <v>0</v>
      </c>
      <c r="I173" s="1435"/>
      <c r="J173" s="1446">
        <f t="shared" si="4"/>
        <v>0</v>
      </c>
      <c r="K173" s="898">
        <v>2500000</v>
      </c>
    </row>
    <row r="174" spans="4:11" ht="22.8" hidden="1" customHeight="1">
      <c r="D174" s="916">
        <v>44</v>
      </c>
      <c r="E174" s="895"/>
      <c r="F174" s="896" t="s">
        <v>133</v>
      </c>
      <c r="G174" s="897" t="s">
        <v>129</v>
      </c>
      <c r="H174" s="894">
        <f t="shared" si="5"/>
        <v>0</v>
      </c>
      <c r="I174" s="1435"/>
      <c r="J174" s="1446">
        <f t="shared" si="4"/>
        <v>0</v>
      </c>
      <c r="K174" s="898">
        <v>230000</v>
      </c>
    </row>
    <row r="175" spans="4:11" ht="22.8" customHeight="1">
      <c r="D175" s="1423">
        <v>3</v>
      </c>
      <c r="E175" s="895"/>
      <c r="F175" s="896" t="s">
        <v>1856</v>
      </c>
      <c r="G175" s="897" t="s">
        <v>62</v>
      </c>
      <c r="H175" s="894">
        <f t="shared" si="5"/>
        <v>765000</v>
      </c>
      <c r="I175" s="1435">
        <v>850000</v>
      </c>
      <c r="J175" s="1446">
        <f t="shared" si="4"/>
        <v>765000</v>
      </c>
      <c r="K175" s="898">
        <v>150000</v>
      </c>
    </row>
    <row r="176" spans="4:11" ht="22.8" hidden="1" customHeight="1">
      <c r="D176" s="916">
        <v>46</v>
      </c>
      <c r="E176" s="895"/>
      <c r="F176" s="896" t="s">
        <v>134</v>
      </c>
      <c r="G176" s="897" t="s">
        <v>135</v>
      </c>
      <c r="H176" s="894">
        <f t="shared" si="5"/>
        <v>0</v>
      </c>
      <c r="I176" s="1435"/>
      <c r="J176" s="1446">
        <f t="shared" si="4"/>
        <v>0</v>
      </c>
      <c r="K176" s="898">
        <v>10000000</v>
      </c>
    </row>
    <row r="177" spans="4:11" ht="22.8" customHeight="1">
      <c r="D177" s="1429">
        <v>36</v>
      </c>
      <c r="E177" s="895"/>
      <c r="F177" s="896" t="s">
        <v>136</v>
      </c>
      <c r="G177" s="897" t="s">
        <v>129</v>
      </c>
      <c r="H177" s="894">
        <f t="shared" si="5"/>
        <v>157500</v>
      </c>
      <c r="I177" s="1435">
        <v>175000</v>
      </c>
      <c r="J177" s="1446">
        <f t="shared" si="4"/>
        <v>157500</v>
      </c>
      <c r="K177" s="898">
        <v>167300</v>
      </c>
    </row>
    <row r="178" spans="4:11" ht="22.8" hidden="1" customHeight="1">
      <c r="D178" s="916">
        <v>48</v>
      </c>
      <c r="E178" s="895"/>
      <c r="F178" s="896" t="s">
        <v>1250</v>
      </c>
      <c r="G178" s="897" t="s">
        <v>42</v>
      </c>
      <c r="H178" s="898">
        <v>6298700</v>
      </c>
      <c r="I178" s="1435"/>
      <c r="J178" s="1446">
        <f t="shared" si="4"/>
        <v>0</v>
      </c>
      <c r="K178" s="898">
        <v>6298700</v>
      </c>
    </row>
    <row r="179" spans="4:11" ht="22.8" hidden="1" customHeight="1">
      <c r="D179" s="916">
        <v>49</v>
      </c>
      <c r="E179" s="895"/>
      <c r="F179" s="896" t="s">
        <v>2720</v>
      </c>
      <c r="G179" s="897" t="s">
        <v>129</v>
      </c>
      <c r="H179" s="898">
        <v>62500</v>
      </c>
      <c r="I179" s="1435"/>
      <c r="J179" s="1446">
        <f t="shared" si="4"/>
        <v>0</v>
      </c>
      <c r="K179" s="898">
        <v>62500</v>
      </c>
    </row>
    <row r="180" spans="4:11" ht="22.8" hidden="1" customHeight="1">
      <c r="D180" s="916">
        <v>50</v>
      </c>
      <c r="E180" s="895"/>
      <c r="F180" s="896" t="s">
        <v>1845</v>
      </c>
      <c r="G180" s="897" t="s">
        <v>129</v>
      </c>
      <c r="H180" s="898">
        <v>75000</v>
      </c>
      <c r="I180" s="1435" t="s">
        <v>1258</v>
      </c>
      <c r="J180" s="1446" t="e">
        <f t="shared" si="4"/>
        <v>#VALUE!</v>
      </c>
      <c r="K180" s="898">
        <v>75000</v>
      </c>
    </row>
    <row r="181" spans="4:11" ht="22.8" hidden="1" customHeight="1">
      <c r="D181" s="916">
        <v>51</v>
      </c>
      <c r="E181" s="895"/>
      <c r="F181" s="896" t="s">
        <v>137</v>
      </c>
      <c r="G181" s="897" t="s">
        <v>129</v>
      </c>
      <c r="H181" s="898">
        <v>84200</v>
      </c>
      <c r="I181" s="1435"/>
      <c r="J181" s="1446">
        <f t="shared" si="4"/>
        <v>0</v>
      </c>
      <c r="K181" s="898">
        <v>84200</v>
      </c>
    </row>
    <row r="182" spans="4:11" ht="22.8" hidden="1" customHeight="1">
      <c r="D182" s="916">
        <v>52</v>
      </c>
      <c r="E182" s="895"/>
      <c r="F182" s="896" t="s">
        <v>138</v>
      </c>
      <c r="G182" s="897" t="s">
        <v>129</v>
      </c>
      <c r="H182" s="898">
        <v>127000</v>
      </c>
      <c r="I182" s="1435"/>
      <c r="J182" s="1446">
        <f t="shared" si="4"/>
        <v>0</v>
      </c>
      <c r="K182" s="898">
        <v>127000</v>
      </c>
    </row>
    <row r="183" spans="4:11" ht="22.8" hidden="1" customHeight="1">
      <c r="D183" s="916">
        <v>53</v>
      </c>
      <c r="E183" s="895"/>
      <c r="F183" s="896" t="s">
        <v>139</v>
      </c>
      <c r="G183" s="897" t="s">
        <v>42</v>
      </c>
      <c r="H183" s="898">
        <v>8750000</v>
      </c>
      <c r="I183" s="1435" t="s">
        <v>1254</v>
      </c>
      <c r="J183" s="1446" t="e">
        <f t="shared" si="4"/>
        <v>#VALUE!</v>
      </c>
      <c r="K183" s="898">
        <v>8750000</v>
      </c>
    </row>
    <row r="184" spans="4:11" ht="22.8" hidden="1" customHeight="1">
      <c r="D184" s="916">
        <v>54</v>
      </c>
      <c r="E184" s="895"/>
      <c r="F184" s="896" t="s">
        <v>140</v>
      </c>
      <c r="G184" s="897" t="s">
        <v>42</v>
      </c>
      <c r="H184" s="898">
        <v>9302000</v>
      </c>
      <c r="I184" s="1435" t="s">
        <v>1254</v>
      </c>
      <c r="J184" s="1446" t="e">
        <f t="shared" si="4"/>
        <v>#VALUE!</v>
      </c>
      <c r="K184" s="898">
        <v>9302000</v>
      </c>
    </row>
    <row r="185" spans="4:11" ht="22.8" hidden="1" customHeight="1">
      <c r="D185" s="916">
        <v>55</v>
      </c>
      <c r="E185" s="895"/>
      <c r="F185" s="896" t="s">
        <v>141</v>
      </c>
      <c r="G185" s="897" t="s">
        <v>129</v>
      </c>
      <c r="H185" s="898">
        <v>76300</v>
      </c>
      <c r="I185" s="1435"/>
      <c r="J185" s="1446">
        <f t="shared" si="4"/>
        <v>0</v>
      </c>
      <c r="K185" s="898">
        <v>76300</v>
      </c>
    </row>
    <row r="186" spans="4:11" ht="22.8" hidden="1" customHeight="1">
      <c r="D186" s="916">
        <v>56</v>
      </c>
      <c r="E186" s="895"/>
      <c r="F186" s="896" t="s">
        <v>142</v>
      </c>
      <c r="G186" s="897" t="s">
        <v>129</v>
      </c>
      <c r="H186" s="898">
        <v>65600</v>
      </c>
      <c r="I186" s="1435"/>
      <c r="J186" s="1446">
        <f t="shared" si="4"/>
        <v>0</v>
      </c>
      <c r="K186" s="898">
        <v>65600</v>
      </c>
    </row>
    <row r="187" spans="4:11" ht="22.8" hidden="1" customHeight="1">
      <c r="D187" s="916">
        <v>57</v>
      </c>
      <c r="E187" s="895"/>
      <c r="F187" s="896" t="s">
        <v>143</v>
      </c>
      <c r="G187" s="897" t="s">
        <v>129</v>
      </c>
      <c r="H187" s="898">
        <v>114000</v>
      </c>
      <c r="I187" s="1435"/>
      <c r="J187" s="1446">
        <f t="shared" si="4"/>
        <v>0</v>
      </c>
      <c r="K187" s="898">
        <v>114000</v>
      </c>
    </row>
    <row r="188" spans="4:11" ht="22.8" hidden="1" customHeight="1">
      <c r="D188" s="916">
        <v>58</v>
      </c>
      <c r="E188" s="895"/>
      <c r="F188" s="896" t="s">
        <v>144</v>
      </c>
      <c r="G188" s="897" t="s">
        <v>129</v>
      </c>
      <c r="H188" s="898">
        <v>101200</v>
      </c>
      <c r="I188" s="1435"/>
      <c r="J188" s="1446">
        <f t="shared" si="4"/>
        <v>0</v>
      </c>
      <c r="K188" s="898">
        <v>101200</v>
      </c>
    </row>
    <row r="189" spans="4:11" ht="22.8" hidden="1" customHeight="1">
      <c r="D189" s="917">
        <v>59</v>
      </c>
      <c r="E189" s="908"/>
      <c r="F189" s="909" t="s">
        <v>145</v>
      </c>
      <c r="G189" s="906" t="s">
        <v>62</v>
      </c>
      <c r="H189" s="907">
        <v>150000</v>
      </c>
      <c r="I189" s="1436"/>
      <c r="J189" s="1446">
        <f t="shared" si="4"/>
        <v>0</v>
      </c>
      <c r="K189" s="907">
        <v>150000</v>
      </c>
    </row>
    <row r="190" spans="4:11" ht="22.8" customHeight="1">
      <c r="D190" s="914" t="s">
        <v>1215</v>
      </c>
      <c r="E190" s="1803" t="s">
        <v>146</v>
      </c>
      <c r="F190" s="1806"/>
      <c r="G190" s="910"/>
      <c r="H190" s="911"/>
      <c r="I190" s="1438"/>
      <c r="J190" s="1446">
        <f t="shared" si="4"/>
        <v>0</v>
      </c>
      <c r="K190" s="911"/>
    </row>
    <row r="191" spans="4:11" ht="22.8" hidden="1" customHeight="1">
      <c r="D191" s="913">
        <v>1</v>
      </c>
      <c r="E191" s="891"/>
      <c r="F191" s="892" t="s">
        <v>147</v>
      </c>
      <c r="G191" s="893" t="s">
        <v>113</v>
      </c>
      <c r="H191" s="894">
        <v>5700</v>
      </c>
      <c r="I191" s="1434"/>
      <c r="J191" s="1446">
        <f t="shared" ref="J191:J254" si="6">I191-(I191*10%)</f>
        <v>0</v>
      </c>
      <c r="K191" s="894">
        <v>5700</v>
      </c>
    </row>
    <row r="192" spans="4:11" ht="22.8" hidden="1" customHeight="1">
      <c r="D192" s="913">
        <v>2</v>
      </c>
      <c r="E192" s="895"/>
      <c r="F192" s="896" t="s">
        <v>148</v>
      </c>
      <c r="G192" s="897" t="s">
        <v>113</v>
      </c>
      <c r="H192" s="898">
        <v>13300</v>
      </c>
      <c r="I192" s="1435"/>
      <c r="J192" s="1446">
        <f t="shared" si="6"/>
        <v>0</v>
      </c>
      <c r="K192" s="898">
        <v>13300</v>
      </c>
    </row>
    <row r="193" spans="4:11" ht="22.8" hidden="1" customHeight="1">
      <c r="D193" s="913">
        <v>3</v>
      </c>
      <c r="E193" s="895"/>
      <c r="F193" s="896" t="s">
        <v>149</v>
      </c>
      <c r="G193" s="897" t="s">
        <v>113</v>
      </c>
      <c r="H193" s="898">
        <v>23500</v>
      </c>
      <c r="I193" s="1435"/>
      <c r="J193" s="1446">
        <f t="shared" si="6"/>
        <v>0</v>
      </c>
      <c r="K193" s="898">
        <v>23500</v>
      </c>
    </row>
    <row r="194" spans="4:11" ht="22.8" hidden="1" customHeight="1">
      <c r="D194" s="913">
        <v>4</v>
      </c>
      <c r="E194" s="895"/>
      <c r="F194" s="896" t="s">
        <v>150</v>
      </c>
      <c r="G194" s="897" t="s">
        <v>113</v>
      </c>
      <c r="H194" s="898">
        <v>11250</v>
      </c>
      <c r="I194" s="1435"/>
      <c r="J194" s="1446">
        <f t="shared" si="6"/>
        <v>0</v>
      </c>
      <c r="K194" s="898">
        <v>11250</v>
      </c>
    </row>
    <row r="195" spans="4:11" ht="22.8" customHeight="1">
      <c r="D195" s="1422">
        <v>1</v>
      </c>
      <c r="E195" s="895"/>
      <c r="F195" s="896" t="s">
        <v>8068</v>
      </c>
      <c r="G195" s="897" t="s">
        <v>113</v>
      </c>
      <c r="H195" s="894">
        <f t="shared" ref="H195:H225" si="7">J195</f>
        <v>16470</v>
      </c>
      <c r="I195" s="1435">
        <v>18300</v>
      </c>
      <c r="J195" s="1446">
        <f t="shared" si="6"/>
        <v>16470</v>
      </c>
      <c r="K195" s="898">
        <v>11500</v>
      </c>
    </row>
    <row r="196" spans="4:11" ht="22.8" hidden="1" customHeight="1">
      <c r="D196" s="913">
        <v>6</v>
      </c>
      <c r="E196" s="895"/>
      <c r="F196" s="896" t="s">
        <v>8098</v>
      </c>
      <c r="G196" s="897" t="s">
        <v>113</v>
      </c>
      <c r="H196" s="894">
        <f t="shared" si="7"/>
        <v>0</v>
      </c>
      <c r="I196" s="1435"/>
      <c r="J196" s="1446">
        <f t="shared" si="6"/>
        <v>0</v>
      </c>
      <c r="K196" s="898">
        <v>11700</v>
      </c>
    </row>
    <row r="197" spans="4:11" ht="22.8" hidden="1" customHeight="1">
      <c r="D197" s="913">
        <v>7</v>
      </c>
      <c r="E197" s="895"/>
      <c r="F197" s="896" t="s">
        <v>151</v>
      </c>
      <c r="G197" s="897" t="s">
        <v>106</v>
      </c>
      <c r="H197" s="894">
        <f t="shared" si="7"/>
        <v>0</v>
      </c>
      <c r="I197" s="1435"/>
      <c r="J197" s="1446">
        <f t="shared" si="6"/>
        <v>0</v>
      </c>
      <c r="K197" s="898">
        <v>27500</v>
      </c>
    </row>
    <row r="198" spans="4:11" ht="22.8" hidden="1" customHeight="1">
      <c r="D198" s="913">
        <v>8</v>
      </c>
      <c r="E198" s="895"/>
      <c r="F198" s="896" t="s">
        <v>1627</v>
      </c>
      <c r="G198" s="897" t="s">
        <v>113</v>
      </c>
      <c r="H198" s="894">
        <f t="shared" si="7"/>
        <v>0</v>
      </c>
      <c r="I198" s="1435"/>
      <c r="J198" s="1446">
        <f t="shared" si="6"/>
        <v>0</v>
      </c>
      <c r="K198" s="898">
        <v>6875</v>
      </c>
    </row>
    <row r="199" spans="4:11" ht="22.8" customHeight="1">
      <c r="D199" s="1422">
        <v>1</v>
      </c>
      <c r="E199" s="895"/>
      <c r="F199" s="896" t="s">
        <v>8062</v>
      </c>
      <c r="G199" s="897" t="s">
        <v>113</v>
      </c>
      <c r="H199" s="894">
        <f t="shared" si="7"/>
        <v>9630</v>
      </c>
      <c r="I199" s="1435">
        <v>10700</v>
      </c>
      <c r="J199" s="1446">
        <f t="shared" si="6"/>
        <v>9630</v>
      </c>
      <c r="K199" s="898">
        <v>6900</v>
      </c>
    </row>
    <row r="200" spans="4:11" ht="22.8" hidden="1" customHeight="1">
      <c r="D200" s="913">
        <v>10</v>
      </c>
      <c r="E200" s="895"/>
      <c r="F200" s="896" t="s">
        <v>8094</v>
      </c>
      <c r="G200" s="897" t="s">
        <v>113</v>
      </c>
      <c r="H200" s="894">
        <f t="shared" si="7"/>
        <v>0</v>
      </c>
      <c r="I200" s="1435"/>
      <c r="J200" s="1446">
        <f t="shared" si="6"/>
        <v>0</v>
      </c>
      <c r="K200" s="898">
        <v>7100</v>
      </c>
    </row>
    <row r="201" spans="4:11" ht="22.8" hidden="1" customHeight="1">
      <c r="D201" s="913">
        <v>11</v>
      </c>
      <c r="E201" s="895"/>
      <c r="F201" s="896" t="s">
        <v>152</v>
      </c>
      <c r="G201" s="897" t="s">
        <v>113</v>
      </c>
      <c r="H201" s="894">
        <f t="shared" si="7"/>
        <v>0</v>
      </c>
      <c r="I201" s="1435"/>
      <c r="J201" s="1446">
        <f t="shared" si="6"/>
        <v>0</v>
      </c>
      <c r="K201" s="898">
        <v>150000</v>
      </c>
    </row>
    <row r="202" spans="4:11" ht="22.8" hidden="1" customHeight="1">
      <c r="D202" s="913">
        <v>12</v>
      </c>
      <c r="E202" s="895"/>
      <c r="F202" s="896" t="s">
        <v>153</v>
      </c>
      <c r="G202" s="897" t="s">
        <v>113</v>
      </c>
      <c r="H202" s="894">
        <f t="shared" si="7"/>
        <v>0</v>
      </c>
      <c r="I202" s="1435"/>
      <c r="J202" s="1446">
        <f t="shared" si="6"/>
        <v>0</v>
      </c>
      <c r="K202" s="898">
        <v>20000</v>
      </c>
    </row>
    <row r="203" spans="4:11" ht="22.8" hidden="1" customHeight="1">
      <c r="D203" s="913">
        <v>13</v>
      </c>
      <c r="E203" s="895"/>
      <c r="F203" s="896" t="s">
        <v>8072</v>
      </c>
      <c r="G203" s="897" t="s">
        <v>113</v>
      </c>
      <c r="H203" s="894">
        <f t="shared" si="7"/>
        <v>0</v>
      </c>
      <c r="I203" s="1435"/>
      <c r="J203" s="1446">
        <f t="shared" si="6"/>
        <v>0</v>
      </c>
      <c r="K203" s="898">
        <v>20500</v>
      </c>
    </row>
    <row r="204" spans="4:11" ht="22.8" hidden="1" customHeight="1">
      <c r="D204" s="913">
        <v>14</v>
      </c>
      <c r="E204" s="895"/>
      <c r="F204" s="896" t="s">
        <v>8102</v>
      </c>
      <c r="G204" s="897" t="s">
        <v>113</v>
      </c>
      <c r="H204" s="894">
        <f t="shared" si="7"/>
        <v>0</v>
      </c>
      <c r="I204" s="1435"/>
      <c r="J204" s="1446">
        <f t="shared" si="6"/>
        <v>0</v>
      </c>
      <c r="K204" s="898">
        <v>22000</v>
      </c>
    </row>
    <row r="205" spans="4:11" ht="22.8" hidden="1" customHeight="1">
      <c r="D205" s="913">
        <v>15</v>
      </c>
      <c r="E205" s="895"/>
      <c r="F205" s="896" t="s">
        <v>154</v>
      </c>
      <c r="G205" s="897" t="s">
        <v>113</v>
      </c>
      <c r="H205" s="894">
        <f t="shared" si="7"/>
        <v>0</v>
      </c>
      <c r="I205" s="1435"/>
      <c r="J205" s="1446">
        <f t="shared" si="6"/>
        <v>0</v>
      </c>
      <c r="K205" s="898">
        <v>18500</v>
      </c>
    </row>
    <row r="206" spans="4:11" ht="22.8" hidden="1" customHeight="1">
      <c r="D206" s="913">
        <v>16</v>
      </c>
      <c r="E206" s="895"/>
      <c r="F206" s="896" t="s">
        <v>8070</v>
      </c>
      <c r="G206" s="897" t="s">
        <v>113</v>
      </c>
      <c r="H206" s="894">
        <f t="shared" si="7"/>
        <v>0</v>
      </c>
      <c r="I206" s="1435"/>
      <c r="J206" s="1446">
        <f t="shared" si="6"/>
        <v>0</v>
      </c>
      <c r="K206" s="898">
        <v>18900</v>
      </c>
    </row>
    <row r="207" spans="4:11" ht="22.8" hidden="1" customHeight="1">
      <c r="D207" s="913">
        <v>17</v>
      </c>
      <c r="E207" s="895"/>
      <c r="F207" s="896" t="s">
        <v>8100</v>
      </c>
      <c r="G207" s="897" t="s">
        <v>113</v>
      </c>
      <c r="H207" s="894">
        <f t="shared" si="7"/>
        <v>0</v>
      </c>
      <c r="I207" s="1435"/>
      <c r="J207" s="1446">
        <f t="shared" si="6"/>
        <v>0</v>
      </c>
      <c r="K207" s="898">
        <v>19000</v>
      </c>
    </row>
    <row r="208" spans="4:11" ht="22.8" hidden="1" customHeight="1">
      <c r="D208" s="913">
        <v>18</v>
      </c>
      <c r="E208" s="895"/>
      <c r="F208" s="896" t="s">
        <v>155</v>
      </c>
      <c r="G208" s="897" t="s">
        <v>113</v>
      </c>
      <c r="H208" s="894">
        <f t="shared" si="7"/>
        <v>0</v>
      </c>
      <c r="I208" s="1435"/>
      <c r="J208" s="1446">
        <f t="shared" si="6"/>
        <v>0</v>
      </c>
      <c r="K208" s="898">
        <v>177500</v>
      </c>
    </row>
    <row r="209" spans="4:11" ht="22.8" hidden="1" customHeight="1">
      <c r="D209" s="913">
        <v>19</v>
      </c>
      <c r="E209" s="895"/>
      <c r="F209" s="896" t="s">
        <v>8119</v>
      </c>
      <c r="G209" s="897" t="s">
        <v>113</v>
      </c>
      <c r="H209" s="894">
        <f t="shared" si="7"/>
        <v>0</v>
      </c>
      <c r="I209" s="1435"/>
      <c r="J209" s="1446">
        <f t="shared" si="6"/>
        <v>0</v>
      </c>
      <c r="K209" s="898">
        <v>179000</v>
      </c>
    </row>
    <row r="210" spans="4:11" ht="22.8" hidden="1" customHeight="1">
      <c r="D210" s="913">
        <v>20</v>
      </c>
      <c r="E210" s="895"/>
      <c r="F210" s="896" t="s">
        <v>156</v>
      </c>
      <c r="G210" s="897" t="s">
        <v>113</v>
      </c>
      <c r="H210" s="894">
        <f t="shared" si="7"/>
        <v>0</v>
      </c>
      <c r="I210" s="1435"/>
      <c r="J210" s="1446">
        <f t="shared" si="6"/>
        <v>0</v>
      </c>
      <c r="K210" s="898">
        <v>200000</v>
      </c>
    </row>
    <row r="211" spans="4:11" ht="22.8" hidden="1" customHeight="1">
      <c r="D211" s="913">
        <v>21</v>
      </c>
      <c r="E211" s="895"/>
      <c r="F211" s="896" t="s">
        <v>8121</v>
      </c>
      <c r="G211" s="897" t="s">
        <v>113</v>
      </c>
      <c r="H211" s="894">
        <f t="shared" si="7"/>
        <v>0</v>
      </c>
      <c r="I211" s="1435"/>
      <c r="J211" s="1446">
        <f t="shared" si="6"/>
        <v>0</v>
      </c>
      <c r="K211" s="898">
        <v>201000</v>
      </c>
    </row>
    <row r="212" spans="4:11" ht="22.8" hidden="1" customHeight="1">
      <c r="D212" s="913">
        <v>22</v>
      </c>
      <c r="E212" s="895"/>
      <c r="F212" s="896" t="s">
        <v>157</v>
      </c>
      <c r="G212" s="897" t="s">
        <v>113</v>
      </c>
      <c r="H212" s="894">
        <f t="shared" si="7"/>
        <v>0</v>
      </c>
      <c r="I212" s="1435"/>
      <c r="J212" s="1446">
        <f t="shared" si="6"/>
        <v>0</v>
      </c>
      <c r="K212" s="898">
        <v>233750</v>
      </c>
    </row>
    <row r="213" spans="4:11" ht="22.8" hidden="1" customHeight="1">
      <c r="D213" s="913">
        <v>23</v>
      </c>
      <c r="E213" s="895"/>
      <c r="F213" s="896" t="s">
        <v>8123</v>
      </c>
      <c r="G213" s="897" t="s">
        <v>113</v>
      </c>
      <c r="H213" s="894">
        <f t="shared" si="7"/>
        <v>0</v>
      </c>
      <c r="I213" s="1435"/>
      <c r="J213" s="1446">
        <f t="shared" si="6"/>
        <v>0</v>
      </c>
      <c r="K213" s="898">
        <v>234000</v>
      </c>
    </row>
    <row r="214" spans="4:11" ht="22.8" hidden="1" customHeight="1">
      <c r="D214" s="913">
        <v>24</v>
      </c>
      <c r="E214" s="895"/>
      <c r="F214" s="896" t="s">
        <v>158</v>
      </c>
      <c r="G214" s="897" t="s">
        <v>113</v>
      </c>
      <c r="H214" s="894">
        <f t="shared" si="7"/>
        <v>0</v>
      </c>
      <c r="I214" s="1435"/>
      <c r="J214" s="1446">
        <f t="shared" si="6"/>
        <v>0</v>
      </c>
      <c r="K214" s="898">
        <v>26000</v>
      </c>
    </row>
    <row r="215" spans="4:11" ht="22.8" customHeight="1">
      <c r="D215" s="1422">
        <v>1</v>
      </c>
      <c r="E215" s="895"/>
      <c r="F215" s="896" t="s">
        <v>8074</v>
      </c>
      <c r="G215" s="897" t="s">
        <v>113</v>
      </c>
      <c r="H215" s="894">
        <f t="shared" si="7"/>
        <v>74430</v>
      </c>
      <c r="I215" s="1435">
        <v>82700</v>
      </c>
      <c r="J215" s="1446">
        <f t="shared" si="6"/>
        <v>74430</v>
      </c>
      <c r="K215" s="898">
        <v>26500</v>
      </c>
    </row>
    <row r="216" spans="4:11" ht="22.8" hidden="1" customHeight="1">
      <c r="D216" s="913">
        <v>26</v>
      </c>
      <c r="E216" s="895"/>
      <c r="F216" s="896" t="s">
        <v>8104</v>
      </c>
      <c r="G216" s="897" t="s">
        <v>113</v>
      </c>
      <c r="H216" s="894">
        <f t="shared" si="7"/>
        <v>0</v>
      </c>
      <c r="I216" s="1435"/>
      <c r="J216" s="1446">
        <f t="shared" si="6"/>
        <v>0</v>
      </c>
      <c r="K216" s="898">
        <v>28000</v>
      </c>
    </row>
    <row r="217" spans="4:11" ht="22.8" hidden="1" customHeight="1">
      <c r="D217" s="913">
        <v>27</v>
      </c>
      <c r="E217" s="895"/>
      <c r="F217" s="896" t="s">
        <v>159</v>
      </c>
      <c r="G217" s="897" t="s">
        <v>113</v>
      </c>
      <c r="H217" s="894">
        <f t="shared" si="7"/>
        <v>0</v>
      </c>
      <c r="I217" s="1435"/>
      <c r="J217" s="1446">
        <f t="shared" si="6"/>
        <v>0</v>
      </c>
      <c r="K217" s="898">
        <v>33625</v>
      </c>
    </row>
    <row r="218" spans="4:11" ht="22.8" hidden="1" customHeight="1">
      <c r="D218" s="913">
        <v>28</v>
      </c>
      <c r="E218" s="895"/>
      <c r="F218" s="896" t="s">
        <v>8076</v>
      </c>
      <c r="G218" s="897" t="s">
        <v>113</v>
      </c>
      <c r="H218" s="894">
        <f t="shared" si="7"/>
        <v>0</v>
      </c>
      <c r="I218" s="1435"/>
      <c r="J218" s="1446">
        <f t="shared" si="6"/>
        <v>0</v>
      </c>
      <c r="K218" s="898">
        <v>33900</v>
      </c>
    </row>
    <row r="219" spans="4:11" ht="22.8" hidden="1" customHeight="1">
      <c r="D219" s="913">
        <v>29</v>
      </c>
      <c r="E219" s="895"/>
      <c r="F219" s="896" t="s">
        <v>8106</v>
      </c>
      <c r="G219" s="897" t="s">
        <v>113</v>
      </c>
      <c r="H219" s="894">
        <f t="shared" si="7"/>
        <v>0</v>
      </c>
      <c r="I219" s="1435"/>
      <c r="J219" s="1446">
        <f t="shared" si="6"/>
        <v>0</v>
      </c>
      <c r="K219" s="898">
        <v>40000</v>
      </c>
    </row>
    <row r="220" spans="4:11" ht="22.8" hidden="1" customHeight="1">
      <c r="D220" s="913">
        <v>30</v>
      </c>
      <c r="E220" s="895"/>
      <c r="F220" s="896" t="s">
        <v>160</v>
      </c>
      <c r="G220" s="897" t="s">
        <v>113</v>
      </c>
      <c r="H220" s="894">
        <f t="shared" si="7"/>
        <v>0</v>
      </c>
      <c r="I220" s="1435"/>
      <c r="J220" s="1446">
        <f t="shared" si="6"/>
        <v>0</v>
      </c>
      <c r="K220" s="898">
        <v>51075</v>
      </c>
    </row>
    <row r="221" spans="4:11" ht="22.8" customHeight="1">
      <c r="D221" s="1422">
        <v>1</v>
      </c>
      <c r="E221" s="895"/>
      <c r="F221" s="896" t="s">
        <v>8078</v>
      </c>
      <c r="G221" s="897" t="s">
        <v>113</v>
      </c>
      <c r="H221" s="894">
        <f t="shared" si="7"/>
        <v>91800</v>
      </c>
      <c r="I221" s="1435">
        <v>102000</v>
      </c>
      <c r="J221" s="1446">
        <f t="shared" si="6"/>
        <v>91800</v>
      </c>
      <c r="K221" s="898">
        <v>51500</v>
      </c>
    </row>
    <row r="222" spans="4:11" ht="22.8" hidden="1" customHeight="1">
      <c r="D222" s="913">
        <v>32</v>
      </c>
      <c r="E222" s="895"/>
      <c r="F222" s="896" t="s">
        <v>8108</v>
      </c>
      <c r="G222" s="897" t="s">
        <v>113</v>
      </c>
      <c r="H222" s="894">
        <f t="shared" si="7"/>
        <v>0</v>
      </c>
      <c r="I222" s="1435"/>
      <c r="J222" s="1446">
        <f t="shared" si="6"/>
        <v>0</v>
      </c>
      <c r="K222" s="898">
        <v>53000</v>
      </c>
    </row>
    <row r="223" spans="4:11" ht="22.8" hidden="1" customHeight="1">
      <c r="D223" s="913">
        <v>33</v>
      </c>
      <c r="E223" s="895"/>
      <c r="F223" s="896" t="s">
        <v>161</v>
      </c>
      <c r="G223" s="897" t="s">
        <v>106</v>
      </c>
      <c r="H223" s="894">
        <f t="shared" si="7"/>
        <v>0</v>
      </c>
      <c r="I223" s="1435"/>
      <c r="J223" s="1446">
        <f t="shared" si="6"/>
        <v>0</v>
      </c>
      <c r="K223" s="898">
        <v>35000</v>
      </c>
    </row>
    <row r="224" spans="4:11" ht="22.8" hidden="1" customHeight="1">
      <c r="D224" s="913">
        <v>34</v>
      </c>
      <c r="E224" s="895"/>
      <c r="F224" s="896" t="s">
        <v>1612</v>
      </c>
      <c r="G224" s="897" t="s">
        <v>113</v>
      </c>
      <c r="H224" s="894">
        <f t="shared" si="7"/>
        <v>0</v>
      </c>
      <c r="I224" s="1435"/>
      <c r="J224" s="1446">
        <f t="shared" si="6"/>
        <v>0</v>
      </c>
      <c r="K224" s="898">
        <v>8750</v>
      </c>
    </row>
    <row r="225" spans="4:11" ht="22.8" customHeight="1">
      <c r="D225" s="1422">
        <v>1</v>
      </c>
      <c r="E225" s="895"/>
      <c r="F225" s="896" t="s">
        <v>8064</v>
      </c>
      <c r="G225" s="897" t="s">
        <v>113</v>
      </c>
      <c r="H225" s="894">
        <f t="shared" si="7"/>
        <v>8370</v>
      </c>
      <c r="I225" s="1435">
        <v>9300</v>
      </c>
      <c r="J225" s="1446">
        <f t="shared" si="6"/>
        <v>8370</v>
      </c>
      <c r="K225" s="898">
        <v>8900</v>
      </c>
    </row>
    <row r="226" spans="4:11" ht="22.8" hidden="1" customHeight="1">
      <c r="D226" s="913">
        <v>36</v>
      </c>
      <c r="E226" s="895"/>
      <c r="F226" s="896" t="s">
        <v>8096</v>
      </c>
      <c r="G226" s="897" t="s">
        <v>113</v>
      </c>
      <c r="H226" s="898">
        <v>9300</v>
      </c>
      <c r="I226" s="1435"/>
      <c r="J226" s="1446">
        <f t="shared" si="6"/>
        <v>0</v>
      </c>
      <c r="K226" s="898">
        <v>9300</v>
      </c>
    </row>
    <row r="227" spans="4:11" ht="22.8" hidden="1" customHeight="1">
      <c r="D227" s="913">
        <v>37</v>
      </c>
      <c r="E227" s="895"/>
      <c r="F227" s="896" t="s">
        <v>162</v>
      </c>
      <c r="G227" s="897" t="s">
        <v>113</v>
      </c>
      <c r="H227" s="898">
        <v>72375</v>
      </c>
      <c r="I227" s="1435"/>
      <c r="J227" s="1446">
        <f t="shared" si="6"/>
        <v>0</v>
      </c>
      <c r="K227" s="898">
        <v>72375</v>
      </c>
    </row>
    <row r="228" spans="4:11" ht="22.8" hidden="1" customHeight="1">
      <c r="D228" s="913">
        <v>38</v>
      </c>
      <c r="E228" s="895"/>
      <c r="F228" s="896" t="s">
        <v>8080</v>
      </c>
      <c r="G228" s="897" t="s">
        <v>113</v>
      </c>
      <c r="H228" s="898">
        <v>72700</v>
      </c>
      <c r="I228" s="1435"/>
      <c r="J228" s="1446">
        <f t="shared" si="6"/>
        <v>0</v>
      </c>
      <c r="K228" s="898">
        <v>72700</v>
      </c>
    </row>
    <row r="229" spans="4:11" ht="22.8" hidden="1" customHeight="1">
      <c r="D229" s="913">
        <v>39</v>
      </c>
      <c r="E229" s="895"/>
      <c r="F229" s="896" t="s">
        <v>8110</v>
      </c>
      <c r="G229" s="897" t="s">
        <v>113</v>
      </c>
      <c r="H229" s="898">
        <v>74000</v>
      </c>
      <c r="I229" s="1435"/>
      <c r="J229" s="1446">
        <f t="shared" si="6"/>
        <v>0</v>
      </c>
      <c r="K229" s="898">
        <v>74000</v>
      </c>
    </row>
    <row r="230" spans="4:11" ht="22.8" hidden="1" customHeight="1">
      <c r="D230" s="913">
        <v>40</v>
      </c>
      <c r="E230" s="895"/>
      <c r="F230" s="896" t="s">
        <v>163</v>
      </c>
      <c r="G230" s="897" t="s">
        <v>113</v>
      </c>
      <c r="H230" s="898">
        <v>100000</v>
      </c>
      <c r="I230" s="1435"/>
      <c r="J230" s="1446">
        <f t="shared" si="6"/>
        <v>0</v>
      </c>
      <c r="K230" s="898">
        <v>100000</v>
      </c>
    </row>
    <row r="231" spans="4:11" ht="22.8" hidden="1" customHeight="1">
      <c r="D231" s="913">
        <v>41</v>
      </c>
      <c r="E231" s="895"/>
      <c r="F231" s="896" t="s">
        <v>8112</v>
      </c>
      <c r="G231" s="897" t="s">
        <v>113</v>
      </c>
      <c r="H231" s="898">
        <v>101000</v>
      </c>
      <c r="I231" s="1435"/>
      <c r="J231" s="1446">
        <f t="shared" si="6"/>
        <v>0</v>
      </c>
      <c r="K231" s="898">
        <v>101000</v>
      </c>
    </row>
    <row r="232" spans="4:11" ht="22.8" hidden="1" customHeight="1">
      <c r="D232" s="913">
        <v>42</v>
      </c>
      <c r="E232" s="895"/>
      <c r="F232" s="896" t="s">
        <v>164</v>
      </c>
      <c r="G232" s="897" t="s">
        <v>113</v>
      </c>
      <c r="H232" s="898">
        <v>107500</v>
      </c>
      <c r="I232" s="1435"/>
      <c r="J232" s="1446">
        <f t="shared" si="6"/>
        <v>0</v>
      </c>
      <c r="K232" s="898">
        <v>107500</v>
      </c>
    </row>
    <row r="233" spans="4:11" ht="22.8" hidden="1" customHeight="1">
      <c r="D233" s="913">
        <v>43</v>
      </c>
      <c r="E233" s="895"/>
      <c r="F233" s="896" t="s">
        <v>8113</v>
      </c>
      <c r="G233" s="897" t="s">
        <v>113</v>
      </c>
      <c r="H233" s="898">
        <v>108000</v>
      </c>
      <c r="I233" s="1435"/>
      <c r="J233" s="1446">
        <f t="shared" si="6"/>
        <v>0</v>
      </c>
      <c r="K233" s="898">
        <v>108000</v>
      </c>
    </row>
    <row r="234" spans="4:11" ht="22.8" hidden="1" customHeight="1">
      <c r="D234" s="913">
        <v>44</v>
      </c>
      <c r="E234" s="895"/>
      <c r="F234" s="896" t="s">
        <v>165</v>
      </c>
      <c r="G234" s="897" t="s">
        <v>113</v>
      </c>
      <c r="H234" s="898">
        <v>132500</v>
      </c>
      <c r="I234" s="1435"/>
      <c r="J234" s="1446">
        <f t="shared" si="6"/>
        <v>0</v>
      </c>
      <c r="K234" s="898">
        <v>132500</v>
      </c>
    </row>
    <row r="235" spans="4:11" ht="22.8" hidden="1" customHeight="1">
      <c r="D235" s="913">
        <v>45</v>
      </c>
      <c r="E235" s="895"/>
      <c r="F235" s="896" t="s">
        <v>8115</v>
      </c>
      <c r="G235" s="897" t="s">
        <v>113</v>
      </c>
      <c r="H235" s="898">
        <v>133000</v>
      </c>
      <c r="I235" s="1435"/>
      <c r="J235" s="1446">
        <f t="shared" si="6"/>
        <v>0</v>
      </c>
      <c r="K235" s="898">
        <v>133000</v>
      </c>
    </row>
    <row r="236" spans="4:11" ht="22.8" hidden="1" customHeight="1">
      <c r="D236" s="913">
        <v>46</v>
      </c>
      <c r="E236" s="895"/>
      <c r="F236" s="896" t="s">
        <v>166</v>
      </c>
      <c r="G236" s="897" t="s">
        <v>113</v>
      </c>
      <c r="H236" s="898">
        <v>232900</v>
      </c>
      <c r="I236" s="1435"/>
      <c r="J236" s="1446">
        <f t="shared" si="6"/>
        <v>0</v>
      </c>
      <c r="K236" s="898">
        <v>232900</v>
      </c>
    </row>
    <row r="237" spans="4:11" ht="22.8" hidden="1" customHeight="1">
      <c r="D237" s="913">
        <v>47</v>
      </c>
      <c r="E237" s="895"/>
      <c r="F237" s="896" t="s">
        <v>8143</v>
      </c>
      <c r="G237" s="897" t="s">
        <v>113</v>
      </c>
      <c r="H237" s="898">
        <v>233000</v>
      </c>
      <c r="I237" s="1435"/>
      <c r="J237" s="1446">
        <f t="shared" si="6"/>
        <v>0</v>
      </c>
      <c r="K237" s="898">
        <v>233000</v>
      </c>
    </row>
    <row r="238" spans="4:11" ht="22.8" hidden="1" customHeight="1">
      <c r="D238" s="913">
        <v>48</v>
      </c>
      <c r="E238" s="895"/>
      <c r="F238" s="896" t="s">
        <v>8117</v>
      </c>
      <c r="G238" s="897" t="s">
        <v>113</v>
      </c>
      <c r="H238" s="898">
        <v>232000</v>
      </c>
      <c r="I238" s="1435"/>
      <c r="J238" s="1446">
        <f t="shared" si="6"/>
        <v>0</v>
      </c>
      <c r="K238" s="898">
        <v>232000</v>
      </c>
    </row>
    <row r="239" spans="4:11" ht="22.8" hidden="1" customHeight="1">
      <c r="D239" s="913">
        <v>49</v>
      </c>
      <c r="E239" s="895"/>
      <c r="F239" s="896" t="s">
        <v>167</v>
      </c>
      <c r="G239" s="897" t="s">
        <v>113</v>
      </c>
      <c r="H239" s="898">
        <v>11175</v>
      </c>
      <c r="I239" s="1435"/>
      <c r="J239" s="1446">
        <f t="shared" si="6"/>
        <v>0</v>
      </c>
      <c r="K239" s="898">
        <v>11175</v>
      </c>
    </row>
    <row r="240" spans="4:11" ht="22.8" hidden="1" customHeight="1">
      <c r="D240" s="913">
        <v>50</v>
      </c>
      <c r="E240" s="895"/>
      <c r="F240" s="896" t="s">
        <v>8127</v>
      </c>
      <c r="G240" s="897" t="s">
        <v>113</v>
      </c>
      <c r="H240" s="898">
        <v>12000</v>
      </c>
      <c r="I240" s="1435"/>
      <c r="J240" s="1446">
        <f t="shared" si="6"/>
        <v>0</v>
      </c>
      <c r="K240" s="898">
        <v>12000</v>
      </c>
    </row>
    <row r="241" spans="2:11" ht="22.8" hidden="1" customHeight="1">
      <c r="D241" s="913">
        <v>51</v>
      </c>
      <c r="E241" s="895"/>
      <c r="F241" s="896" t="s">
        <v>168</v>
      </c>
      <c r="G241" s="897" t="s">
        <v>113</v>
      </c>
      <c r="H241" s="898">
        <v>10000</v>
      </c>
      <c r="I241" s="1435"/>
      <c r="J241" s="1446">
        <f t="shared" si="6"/>
        <v>0</v>
      </c>
      <c r="K241" s="898">
        <v>10000</v>
      </c>
    </row>
    <row r="242" spans="2:11" ht="22.8" hidden="1" customHeight="1">
      <c r="D242" s="913">
        <v>52</v>
      </c>
      <c r="E242" s="895"/>
      <c r="F242" s="896" t="s">
        <v>8125</v>
      </c>
      <c r="G242" s="897" t="s">
        <v>113</v>
      </c>
      <c r="H242" s="898">
        <v>11000</v>
      </c>
      <c r="I242" s="1435"/>
      <c r="J242" s="1446">
        <f t="shared" si="6"/>
        <v>0</v>
      </c>
      <c r="K242" s="898">
        <v>11000</v>
      </c>
    </row>
    <row r="243" spans="2:11" ht="22.8" hidden="1" customHeight="1">
      <c r="D243" s="913">
        <v>53</v>
      </c>
      <c r="E243" s="895"/>
      <c r="F243" s="896" t="s">
        <v>169</v>
      </c>
      <c r="G243" s="897" t="s">
        <v>113</v>
      </c>
      <c r="H243" s="898">
        <v>319750</v>
      </c>
      <c r="I243" s="1435"/>
      <c r="J243" s="1446">
        <f t="shared" si="6"/>
        <v>0</v>
      </c>
      <c r="K243" s="898">
        <v>319750</v>
      </c>
    </row>
    <row r="244" spans="2:11" ht="22.8" hidden="1" customHeight="1">
      <c r="D244" s="913">
        <v>54</v>
      </c>
      <c r="E244" s="895"/>
      <c r="F244" s="896" t="s">
        <v>8145</v>
      </c>
      <c r="G244" s="897" t="s">
        <v>113</v>
      </c>
      <c r="H244" s="898">
        <v>320000</v>
      </c>
      <c r="I244" s="1435"/>
      <c r="J244" s="1446">
        <f t="shared" si="6"/>
        <v>0</v>
      </c>
      <c r="K244" s="898">
        <v>320000</v>
      </c>
    </row>
    <row r="245" spans="2:11" ht="22.8" hidden="1" customHeight="1">
      <c r="D245" s="913">
        <v>55</v>
      </c>
      <c r="E245" s="895"/>
      <c r="F245" s="896" t="s">
        <v>170</v>
      </c>
      <c r="G245" s="897" t="s">
        <v>113</v>
      </c>
      <c r="H245" s="898">
        <v>325000</v>
      </c>
      <c r="I245" s="1435"/>
      <c r="J245" s="1446">
        <f t="shared" si="6"/>
        <v>0</v>
      </c>
      <c r="K245" s="898">
        <v>325000</v>
      </c>
    </row>
    <row r="246" spans="2:11" ht="22.8" hidden="1" customHeight="1">
      <c r="D246" s="913">
        <v>56</v>
      </c>
      <c r="E246" s="895"/>
      <c r="F246" s="896" t="s">
        <v>8147</v>
      </c>
      <c r="G246" s="897" t="s">
        <v>113</v>
      </c>
      <c r="H246" s="898">
        <v>323000</v>
      </c>
      <c r="I246" s="1435"/>
      <c r="J246" s="1446">
        <f t="shared" si="6"/>
        <v>0</v>
      </c>
      <c r="K246" s="898">
        <v>323000</v>
      </c>
    </row>
    <row r="247" spans="2:11" ht="22.8" hidden="1" customHeight="1">
      <c r="D247" s="913">
        <v>57</v>
      </c>
      <c r="E247" s="895"/>
      <c r="F247" s="896" t="s">
        <v>171</v>
      </c>
      <c r="G247" s="897" t="s">
        <v>113</v>
      </c>
      <c r="H247" s="898">
        <v>362500</v>
      </c>
      <c r="I247" s="1435"/>
      <c r="J247" s="1446">
        <f t="shared" si="6"/>
        <v>0</v>
      </c>
      <c r="K247" s="898">
        <v>362500</v>
      </c>
    </row>
    <row r="248" spans="2:11" ht="22.8" hidden="1" customHeight="1">
      <c r="D248" s="913">
        <v>58</v>
      </c>
      <c r="E248" s="895"/>
      <c r="F248" s="896" t="s">
        <v>8149</v>
      </c>
      <c r="G248" s="897" t="s">
        <v>113</v>
      </c>
      <c r="H248" s="898">
        <v>363000</v>
      </c>
      <c r="I248" s="1435"/>
      <c r="J248" s="1446">
        <f t="shared" si="6"/>
        <v>0</v>
      </c>
      <c r="K248" s="898">
        <v>363000</v>
      </c>
    </row>
    <row r="249" spans="2:11" ht="22.8" hidden="1" customHeight="1">
      <c r="D249" s="913">
        <v>59</v>
      </c>
      <c r="E249" s="895"/>
      <c r="F249" s="896" t="s">
        <v>172</v>
      </c>
      <c r="G249" s="897" t="s">
        <v>113</v>
      </c>
      <c r="H249" s="898">
        <v>14750</v>
      </c>
      <c r="I249" s="1435"/>
      <c r="J249" s="1446">
        <f t="shared" si="6"/>
        <v>0</v>
      </c>
      <c r="K249" s="898">
        <v>14750</v>
      </c>
    </row>
    <row r="250" spans="2:11" ht="22.8" hidden="1" customHeight="1">
      <c r="D250" s="913">
        <v>60</v>
      </c>
      <c r="E250" s="895"/>
      <c r="F250" s="896" t="s">
        <v>8129</v>
      </c>
      <c r="G250" s="897" t="s">
        <v>113</v>
      </c>
      <c r="H250" s="898">
        <v>15000</v>
      </c>
      <c r="I250" s="1435"/>
      <c r="J250" s="1446">
        <f t="shared" si="6"/>
        <v>0</v>
      </c>
      <c r="K250" s="898">
        <v>15000</v>
      </c>
    </row>
    <row r="251" spans="2:11" ht="22.8" hidden="1" customHeight="1">
      <c r="B251" s="188">
        <f>4*2.4</f>
        <v>9.6</v>
      </c>
      <c r="D251" s="913">
        <v>61</v>
      </c>
      <c r="E251" s="895"/>
      <c r="F251" s="896" t="s">
        <v>173</v>
      </c>
      <c r="G251" s="897" t="s">
        <v>113</v>
      </c>
      <c r="H251" s="898">
        <v>20625</v>
      </c>
      <c r="I251" s="1435"/>
      <c r="J251" s="1446">
        <f t="shared" si="6"/>
        <v>0</v>
      </c>
      <c r="K251" s="898">
        <v>20625</v>
      </c>
    </row>
    <row r="252" spans="2:11" ht="22.8" hidden="1" customHeight="1">
      <c r="D252" s="913">
        <v>62</v>
      </c>
      <c r="E252" s="895"/>
      <c r="F252" s="896" t="s">
        <v>8131</v>
      </c>
      <c r="G252" s="897" t="s">
        <v>113</v>
      </c>
      <c r="H252" s="898">
        <v>21000</v>
      </c>
      <c r="I252" s="1435"/>
      <c r="J252" s="1446">
        <f t="shared" si="6"/>
        <v>0</v>
      </c>
      <c r="K252" s="898">
        <v>21000</v>
      </c>
    </row>
    <row r="253" spans="2:11" ht="22.8" hidden="1" customHeight="1">
      <c r="D253" s="913">
        <v>63</v>
      </c>
      <c r="E253" s="895"/>
      <c r="F253" s="896" t="s">
        <v>174</v>
      </c>
      <c r="G253" s="897" t="s">
        <v>113</v>
      </c>
      <c r="H253" s="898">
        <v>28600</v>
      </c>
      <c r="I253" s="1435"/>
      <c r="J253" s="1446">
        <f t="shared" si="6"/>
        <v>0</v>
      </c>
      <c r="K253" s="898">
        <v>28600</v>
      </c>
    </row>
    <row r="254" spans="2:11" ht="22.8" hidden="1" customHeight="1">
      <c r="D254" s="913">
        <v>64</v>
      </c>
      <c r="E254" s="895"/>
      <c r="F254" s="896" t="s">
        <v>8133</v>
      </c>
      <c r="G254" s="897" t="s">
        <v>113</v>
      </c>
      <c r="H254" s="898">
        <v>29000</v>
      </c>
      <c r="I254" s="1435"/>
      <c r="J254" s="1446">
        <f t="shared" si="6"/>
        <v>0</v>
      </c>
      <c r="K254" s="898">
        <v>29000</v>
      </c>
    </row>
    <row r="255" spans="2:11" ht="22.8" hidden="1" customHeight="1">
      <c r="D255" s="913">
        <v>65</v>
      </c>
      <c r="E255" s="895"/>
      <c r="F255" s="896" t="s">
        <v>175</v>
      </c>
      <c r="G255" s="897" t="s">
        <v>113</v>
      </c>
      <c r="H255" s="898">
        <v>39575</v>
      </c>
      <c r="I255" s="1435"/>
      <c r="J255" s="1446">
        <f t="shared" ref="J255:J318" si="8">I255-(I255*10%)</f>
        <v>0</v>
      </c>
      <c r="K255" s="898">
        <v>39575</v>
      </c>
    </row>
    <row r="256" spans="2:11" ht="22.8" hidden="1" customHeight="1">
      <c r="D256" s="913">
        <v>66</v>
      </c>
      <c r="E256" s="895"/>
      <c r="F256" s="896" t="s">
        <v>8135</v>
      </c>
      <c r="G256" s="897" t="s">
        <v>113</v>
      </c>
      <c r="H256" s="898">
        <v>40000</v>
      </c>
      <c r="I256" s="1435"/>
      <c r="J256" s="1446">
        <f t="shared" si="8"/>
        <v>0</v>
      </c>
      <c r="K256" s="898">
        <v>40000</v>
      </c>
    </row>
    <row r="257" spans="4:11" ht="22.8" hidden="1" customHeight="1">
      <c r="D257" s="913">
        <v>67</v>
      </c>
      <c r="E257" s="895"/>
      <c r="F257" s="896" t="s">
        <v>176</v>
      </c>
      <c r="G257" s="897" t="s">
        <v>113</v>
      </c>
      <c r="H257" s="898">
        <v>63200</v>
      </c>
      <c r="I257" s="1435"/>
      <c r="J257" s="1446">
        <f t="shared" si="8"/>
        <v>0</v>
      </c>
      <c r="K257" s="898">
        <v>63200</v>
      </c>
    </row>
    <row r="258" spans="4:11" ht="22.8" hidden="1" customHeight="1">
      <c r="D258" s="913">
        <v>68</v>
      </c>
      <c r="E258" s="895"/>
      <c r="F258" s="896" t="s">
        <v>8137</v>
      </c>
      <c r="G258" s="897" t="s">
        <v>113</v>
      </c>
      <c r="H258" s="898">
        <v>64000</v>
      </c>
      <c r="I258" s="1435"/>
      <c r="J258" s="1446">
        <f t="shared" si="8"/>
        <v>0</v>
      </c>
      <c r="K258" s="898">
        <v>64000</v>
      </c>
    </row>
    <row r="259" spans="4:11" ht="22.8" hidden="1" customHeight="1">
      <c r="D259" s="913">
        <v>69</v>
      </c>
      <c r="E259" s="895"/>
      <c r="F259" s="896" t="s">
        <v>177</v>
      </c>
      <c r="G259" s="897" t="s">
        <v>113</v>
      </c>
      <c r="H259" s="898">
        <v>79775</v>
      </c>
      <c r="I259" s="1435"/>
      <c r="J259" s="1446">
        <f t="shared" si="8"/>
        <v>0</v>
      </c>
      <c r="K259" s="898">
        <v>79775</v>
      </c>
    </row>
    <row r="260" spans="4:11" ht="22.8" hidden="1" customHeight="1">
      <c r="D260" s="913">
        <v>70</v>
      </c>
      <c r="E260" s="895"/>
      <c r="F260" s="896" t="s">
        <v>8139</v>
      </c>
      <c r="G260" s="897" t="s">
        <v>113</v>
      </c>
      <c r="H260" s="898">
        <v>80000</v>
      </c>
      <c r="I260" s="1435"/>
      <c r="J260" s="1446">
        <f t="shared" si="8"/>
        <v>0</v>
      </c>
      <c r="K260" s="898">
        <v>80000</v>
      </c>
    </row>
    <row r="261" spans="4:11" ht="22.8" hidden="1" customHeight="1">
      <c r="D261" s="913">
        <v>71</v>
      </c>
      <c r="E261" s="895"/>
      <c r="F261" s="896" t="s">
        <v>178</v>
      </c>
      <c r="G261" s="897" t="s">
        <v>113</v>
      </c>
      <c r="H261" s="898">
        <v>139575</v>
      </c>
      <c r="I261" s="1435"/>
      <c r="J261" s="1446">
        <f t="shared" si="8"/>
        <v>0</v>
      </c>
      <c r="K261" s="898">
        <v>139575</v>
      </c>
    </row>
    <row r="262" spans="4:11" ht="22.8" hidden="1" customHeight="1">
      <c r="D262" s="913">
        <v>72</v>
      </c>
      <c r="E262" s="895"/>
      <c r="F262" s="896" t="s">
        <v>8141</v>
      </c>
      <c r="G262" s="897" t="s">
        <v>113</v>
      </c>
      <c r="H262" s="898">
        <v>140000</v>
      </c>
      <c r="I262" s="1435"/>
      <c r="J262" s="1446">
        <f t="shared" si="8"/>
        <v>0</v>
      </c>
      <c r="K262" s="898">
        <v>140000</v>
      </c>
    </row>
    <row r="263" spans="4:11" ht="22.8" hidden="1" customHeight="1">
      <c r="D263" s="913">
        <v>73</v>
      </c>
      <c r="E263" s="895"/>
      <c r="F263" s="896" t="s">
        <v>5261</v>
      </c>
      <c r="G263" s="897" t="s">
        <v>113</v>
      </c>
      <c r="H263" s="898">
        <v>11250</v>
      </c>
      <c r="I263" s="1435"/>
      <c r="J263" s="1446">
        <f t="shared" si="8"/>
        <v>0</v>
      </c>
      <c r="K263" s="898">
        <v>11250</v>
      </c>
    </row>
    <row r="264" spans="4:11" ht="22.8" hidden="1" customHeight="1">
      <c r="D264" s="913">
        <v>74</v>
      </c>
      <c r="E264" s="895"/>
      <c r="F264" s="896" t="s">
        <v>5262</v>
      </c>
      <c r="G264" s="897" t="s">
        <v>113</v>
      </c>
      <c r="H264" s="898">
        <v>26000</v>
      </c>
      <c r="I264" s="1435"/>
      <c r="J264" s="1446">
        <f t="shared" si="8"/>
        <v>0</v>
      </c>
      <c r="K264" s="898">
        <v>26000</v>
      </c>
    </row>
    <row r="265" spans="4:11" ht="22.8" hidden="1" customHeight="1">
      <c r="D265" s="913">
        <v>75</v>
      </c>
      <c r="E265" s="895"/>
      <c r="F265" s="896" t="s">
        <v>3575</v>
      </c>
      <c r="G265" s="897" t="s">
        <v>113</v>
      </c>
      <c r="H265" s="898">
        <v>34300</v>
      </c>
      <c r="I265" s="1435"/>
      <c r="J265" s="1446">
        <f t="shared" si="8"/>
        <v>0</v>
      </c>
      <c r="K265" s="898">
        <v>34300</v>
      </c>
    </row>
    <row r="266" spans="4:11" ht="22.8" hidden="1" customHeight="1">
      <c r="D266" s="913">
        <v>76</v>
      </c>
      <c r="E266" s="895"/>
      <c r="F266" s="896" t="s">
        <v>3573</v>
      </c>
      <c r="G266" s="897" t="s">
        <v>3576</v>
      </c>
      <c r="H266" s="898">
        <v>9050</v>
      </c>
      <c r="I266" s="1435"/>
      <c r="J266" s="1446">
        <f t="shared" si="8"/>
        <v>0</v>
      </c>
      <c r="K266" s="898">
        <v>9050</v>
      </c>
    </row>
    <row r="267" spans="4:11" ht="22.8" hidden="1" customHeight="1">
      <c r="D267" s="913">
        <v>77</v>
      </c>
      <c r="E267" s="895"/>
      <c r="F267" s="896" t="s">
        <v>3579</v>
      </c>
      <c r="G267" s="897" t="s">
        <v>113</v>
      </c>
      <c r="H267" s="898">
        <v>45300</v>
      </c>
      <c r="I267" s="1435"/>
      <c r="J267" s="1446">
        <f t="shared" si="8"/>
        <v>0</v>
      </c>
      <c r="K267" s="898">
        <v>45300</v>
      </c>
    </row>
    <row r="268" spans="4:11" ht="22.8" hidden="1" customHeight="1">
      <c r="D268" s="913">
        <v>78</v>
      </c>
      <c r="E268" s="895"/>
      <c r="F268" s="896" t="s">
        <v>3582</v>
      </c>
      <c r="G268" s="897" t="s">
        <v>113</v>
      </c>
      <c r="H268" s="898">
        <v>46400</v>
      </c>
      <c r="I268" s="1435"/>
      <c r="J268" s="1446">
        <f t="shared" si="8"/>
        <v>0</v>
      </c>
      <c r="K268" s="898">
        <v>46400</v>
      </c>
    </row>
    <row r="269" spans="4:11" ht="22.8" hidden="1" customHeight="1">
      <c r="D269" s="913">
        <v>79</v>
      </c>
      <c r="E269" s="895"/>
      <c r="F269" s="896" t="s">
        <v>3584</v>
      </c>
      <c r="G269" s="897" t="s">
        <v>113</v>
      </c>
      <c r="H269" s="898">
        <v>101600</v>
      </c>
      <c r="I269" s="1435"/>
      <c r="J269" s="1446">
        <f t="shared" si="8"/>
        <v>0</v>
      </c>
      <c r="K269" s="898">
        <v>101600</v>
      </c>
    </row>
    <row r="270" spans="4:11" ht="22.8" hidden="1" customHeight="1">
      <c r="D270" s="913">
        <v>80</v>
      </c>
      <c r="E270" s="895"/>
      <c r="F270" s="703" t="s">
        <v>3588</v>
      </c>
      <c r="G270" s="897" t="s">
        <v>113</v>
      </c>
      <c r="H270" s="898">
        <v>122700</v>
      </c>
      <c r="I270" s="1435"/>
      <c r="J270" s="1446">
        <f t="shared" si="8"/>
        <v>0</v>
      </c>
      <c r="K270" s="898">
        <v>122700</v>
      </c>
    </row>
    <row r="271" spans="4:11" ht="22.8" hidden="1" customHeight="1">
      <c r="D271" s="913">
        <v>81</v>
      </c>
      <c r="E271" s="895"/>
      <c r="F271" s="896" t="s">
        <v>3591</v>
      </c>
      <c r="G271" s="897" t="s">
        <v>113</v>
      </c>
      <c r="H271" s="898">
        <v>351600</v>
      </c>
      <c r="I271" s="1435"/>
      <c r="J271" s="1446">
        <f t="shared" si="8"/>
        <v>0</v>
      </c>
      <c r="K271" s="898">
        <v>351600</v>
      </c>
    </row>
    <row r="272" spans="4:11" ht="22.8" hidden="1" customHeight="1">
      <c r="D272" s="913">
        <v>82</v>
      </c>
      <c r="E272" s="895"/>
      <c r="F272" s="896" t="s">
        <v>3594</v>
      </c>
      <c r="G272" s="897" t="s">
        <v>113</v>
      </c>
      <c r="H272" s="898">
        <v>370000</v>
      </c>
      <c r="I272" s="1435"/>
      <c r="J272" s="1446">
        <f t="shared" si="8"/>
        <v>0</v>
      </c>
      <c r="K272" s="898">
        <v>370000</v>
      </c>
    </row>
    <row r="273" spans="4:11" ht="22.8" hidden="1" customHeight="1">
      <c r="D273" s="913">
        <v>83</v>
      </c>
      <c r="E273" s="895"/>
      <c r="F273" s="896" t="s">
        <v>3597</v>
      </c>
      <c r="G273" s="897" t="s">
        <v>113</v>
      </c>
      <c r="H273" s="898">
        <v>375000</v>
      </c>
      <c r="I273" s="1435"/>
      <c r="J273" s="1446">
        <f t="shared" si="8"/>
        <v>0</v>
      </c>
      <c r="K273" s="898">
        <v>375000</v>
      </c>
    </row>
    <row r="274" spans="4:11" ht="22.8" hidden="1" customHeight="1">
      <c r="D274" s="913">
        <v>84</v>
      </c>
      <c r="E274" s="895"/>
      <c r="F274" s="896" t="s">
        <v>3600</v>
      </c>
      <c r="G274" s="897" t="s">
        <v>113</v>
      </c>
      <c r="H274" s="898">
        <v>380000</v>
      </c>
      <c r="I274" s="1435"/>
      <c r="J274" s="1446">
        <f t="shared" si="8"/>
        <v>0</v>
      </c>
      <c r="K274" s="898">
        <v>380000</v>
      </c>
    </row>
    <row r="275" spans="4:11" ht="22.8" hidden="1" customHeight="1">
      <c r="D275" s="913">
        <v>85</v>
      </c>
      <c r="E275" s="895"/>
      <c r="F275" s="896" t="s">
        <v>3603</v>
      </c>
      <c r="G275" s="897" t="s">
        <v>113</v>
      </c>
      <c r="H275" s="898">
        <v>290000</v>
      </c>
      <c r="I275" s="1435"/>
      <c r="J275" s="1446">
        <f t="shared" si="8"/>
        <v>0</v>
      </c>
      <c r="K275" s="898">
        <v>290000</v>
      </c>
    </row>
    <row r="276" spans="4:11" ht="22.8" hidden="1" customHeight="1">
      <c r="D276" s="913">
        <v>86</v>
      </c>
      <c r="E276" s="895"/>
      <c r="F276" s="896" t="s">
        <v>3619</v>
      </c>
      <c r="G276" s="897" t="s">
        <v>3182</v>
      </c>
      <c r="H276" s="898">
        <v>6131000</v>
      </c>
      <c r="I276" s="1435"/>
      <c r="J276" s="1446">
        <f t="shared" si="8"/>
        <v>0</v>
      </c>
      <c r="K276" s="898">
        <v>6131000</v>
      </c>
    </row>
    <row r="277" spans="4:11" ht="22.8" hidden="1" customHeight="1">
      <c r="D277" s="913">
        <v>87</v>
      </c>
      <c r="E277" s="895"/>
      <c r="F277" s="896" t="s">
        <v>3623</v>
      </c>
      <c r="G277" s="897" t="s">
        <v>3182</v>
      </c>
      <c r="H277" s="898">
        <v>8397000</v>
      </c>
      <c r="I277" s="1435"/>
      <c r="J277" s="1446">
        <f t="shared" si="8"/>
        <v>0</v>
      </c>
      <c r="K277" s="898">
        <v>8397000</v>
      </c>
    </row>
    <row r="278" spans="4:11" ht="22.8" hidden="1" customHeight="1">
      <c r="D278" s="913">
        <v>88</v>
      </c>
      <c r="E278" s="895"/>
      <c r="F278" s="896" t="s">
        <v>3626</v>
      </c>
      <c r="G278" s="897" t="s">
        <v>3182</v>
      </c>
      <c r="H278" s="898">
        <v>8550000</v>
      </c>
      <c r="I278" s="1435"/>
      <c r="J278" s="1446">
        <f t="shared" si="8"/>
        <v>0</v>
      </c>
      <c r="K278" s="898">
        <v>8550000</v>
      </c>
    </row>
    <row r="279" spans="4:11" ht="22.8" hidden="1" customHeight="1">
      <c r="D279" s="913">
        <v>89</v>
      </c>
      <c r="E279" s="895"/>
      <c r="F279" s="896" t="s">
        <v>3629</v>
      </c>
      <c r="G279" s="897" t="s">
        <v>3182</v>
      </c>
      <c r="H279" s="898">
        <v>14250000</v>
      </c>
      <c r="I279" s="1435"/>
      <c r="J279" s="1446">
        <f t="shared" si="8"/>
        <v>0</v>
      </c>
      <c r="K279" s="898">
        <v>14250000</v>
      </c>
    </row>
    <row r="280" spans="4:11" ht="22.8" hidden="1" customHeight="1">
      <c r="D280" s="913">
        <v>90</v>
      </c>
      <c r="E280" s="895"/>
      <c r="F280" s="896" t="s">
        <v>3632</v>
      </c>
      <c r="G280" s="897" t="s">
        <v>3182</v>
      </c>
      <c r="H280" s="898">
        <v>14500000</v>
      </c>
      <c r="I280" s="1435"/>
      <c r="J280" s="1446">
        <f t="shared" si="8"/>
        <v>0</v>
      </c>
      <c r="K280" s="898">
        <v>14500000</v>
      </c>
    </row>
    <row r="281" spans="4:11" ht="22.8" hidden="1" customHeight="1">
      <c r="D281" s="913">
        <v>91</v>
      </c>
      <c r="E281" s="895"/>
      <c r="F281" s="896" t="s">
        <v>3635</v>
      </c>
      <c r="G281" s="897" t="s">
        <v>3182</v>
      </c>
      <c r="H281" s="898">
        <v>15500000</v>
      </c>
      <c r="I281" s="1435"/>
      <c r="J281" s="1446">
        <f t="shared" si="8"/>
        <v>0</v>
      </c>
      <c r="K281" s="898">
        <v>15500000</v>
      </c>
    </row>
    <row r="282" spans="4:11" ht="22.8" hidden="1" customHeight="1">
      <c r="D282" s="913">
        <v>92</v>
      </c>
      <c r="E282" s="895"/>
      <c r="F282" s="896" t="s">
        <v>3638</v>
      </c>
      <c r="G282" s="897" t="s">
        <v>3182</v>
      </c>
      <c r="H282" s="898">
        <v>20500000</v>
      </c>
      <c r="I282" s="1435"/>
      <c r="J282" s="1446">
        <f t="shared" si="8"/>
        <v>0</v>
      </c>
      <c r="K282" s="898">
        <v>20500000</v>
      </c>
    </row>
    <row r="283" spans="4:11" ht="22.8" hidden="1" customHeight="1">
      <c r="D283" s="913">
        <v>93</v>
      </c>
      <c r="E283" s="895"/>
      <c r="F283" s="896" t="s">
        <v>3641</v>
      </c>
      <c r="G283" s="897" t="s">
        <v>3182</v>
      </c>
      <c r="H283" s="898">
        <v>20900000</v>
      </c>
      <c r="I283" s="1435"/>
      <c r="J283" s="1446">
        <f t="shared" si="8"/>
        <v>0</v>
      </c>
      <c r="K283" s="898">
        <v>20900000</v>
      </c>
    </row>
    <row r="284" spans="4:11" ht="22.8" hidden="1" customHeight="1">
      <c r="D284" s="913">
        <v>94</v>
      </c>
      <c r="E284" s="895"/>
      <c r="F284" s="896" t="s">
        <v>3644</v>
      </c>
      <c r="G284" s="897" t="s">
        <v>3182</v>
      </c>
      <c r="H284" s="898">
        <v>30300000</v>
      </c>
      <c r="I284" s="1435"/>
      <c r="J284" s="1446">
        <f t="shared" si="8"/>
        <v>0</v>
      </c>
      <c r="K284" s="898">
        <v>30300000</v>
      </c>
    </row>
    <row r="285" spans="4:11" ht="22.8" hidden="1" customHeight="1">
      <c r="D285" s="913">
        <v>95</v>
      </c>
      <c r="E285" s="895"/>
      <c r="F285" s="896" t="s">
        <v>3657</v>
      </c>
      <c r="G285" s="897" t="s">
        <v>3652</v>
      </c>
      <c r="H285" s="898">
        <v>1700000</v>
      </c>
      <c r="I285" s="1435"/>
      <c r="J285" s="1446">
        <f t="shared" si="8"/>
        <v>0</v>
      </c>
      <c r="K285" s="898">
        <v>1700000</v>
      </c>
    </row>
    <row r="286" spans="4:11" ht="22.8" hidden="1" customHeight="1">
      <c r="D286" s="913">
        <v>96</v>
      </c>
      <c r="E286" s="895"/>
      <c r="F286" s="703" t="s">
        <v>3647</v>
      </c>
      <c r="G286" s="897" t="s">
        <v>2167</v>
      </c>
      <c r="H286" s="898">
        <v>83000</v>
      </c>
      <c r="I286" s="1435"/>
      <c r="J286" s="1446">
        <f t="shared" si="8"/>
        <v>0</v>
      </c>
      <c r="K286" s="898">
        <v>83000</v>
      </c>
    </row>
    <row r="287" spans="4:11" ht="22.8" hidden="1" customHeight="1">
      <c r="D287" s="913">
        <v>97</v>
      </c>
      <c r="E287" s="895"/>
      <c r="F287" s="896" t="s">
        <v>3648</v>
      </c>
      <c r="G287" s="897" t="s">
        <v>2167</v>
      </c>
      <c r="H287" s="898">
        <v>85000</v>
      </c>
      <c r="I287" s="1435"/>
      <c r="J287" s="1446">
        <f t="shared" si="8"/>
        <v>0</v>
      </c>
      <c r="K287" s="898">
        <v>85000</v>
      </c>
    </row>
    <row r="288" spans="4:11" ht="22.8" hidden="1" customHeight="1">
      <c r="D288" s="913">
        <v>98</v>
      </c>
      <c r="E288" s="895"/>
      <c r="F288" s="896" t="s">
        <v>3654</v>
      </c>
      <c r="G288" s="897" t="s">
        <v>2167</v>
      </c>
      <c r="H288" s="898">
        <v>104000</v>
      </c>
      <c r="I288" s="1435"/>
      <c r="J288" s="1446">
        <f t="shared" si="8"/>
        <v>0</v>
      </c>
      <c r="K288" s="898">
        <v>104000</v>
      </c>
    </row>
    <row r="289" spans="4:11" ht="22.8" hidden="1" customHeight="1">
      <c r="D289" s="913">
        <v>99</v>
      </c>
      <c r="E289" s="895"/>
      <c r="F289" s="896" t="s">
        <v>3649</v>
      </c>
      <c r="G289" s="897" t="s">
        <v>2167</v>
      </c>
      <c r="H289" s="898">
        <v>750000</v>
      </c>
      <c r="I289" s="1435"/>
      <c r="J289" s="1446">
        <f t="shared" si="8"/>
        <v>0</v>
      </c>
      <c r="K289" s="898">
        <v>750000</v>
      </c>
    </row>
    <row r="290" spans="4:11" ht="22.8" hidden="1" customHeight="1">
      <c r="D290" s="913">
        <v>100</v>
      </c>
      <c r="E290" s="895"/>
      <c r="F290" s="896" t="s">
        <v>3650</v>
      </c>
      <c r="G290" s="897" t="s">
        <v>3652</v>
      </c>
      <c r="H290" s="898">
        <v>115000</v>
      </c>
      <c r="I290" s="1435"/>
      <c r="J290" s="1446">
        <f t="shared" si="8"/>
        <v>0</v>
      </c>
      <c r="K290" s="898">
        <v>115000</v>
      </c>
    </row>
    <row r="291" spans="4:11" ht="22.8" hidden="1" customHeight="1">
      <c r="D291" s="913">
        <v>101</v>
      </c>
      <c r="E291" s="895"/>
      <c r="F291" s="896" t="s">
        <v>3655</v>
      </c>
      <c r="G291" s="897" t="s">
        <v>2167</v>
      </c>
      <c r="H291" s="898">
        <v>700000</v>
      </c>
      <c r="I291" s="1435"/>
      <c r="J291" s="1446">
        <f t="shared" si="8"/>
        <v>0</v>
      </c>
      <c r="K291" s="898">
        <v>700000</v>
      </c>
    </row>
    <row r="292" spans="4:11" ht="22.8" hidden="1" customHeight="1">
      <c r="D292" s="913">
        <v>102</v>
      </c>
      <c r="E292" s="895"/>
      <c r="F292" s="896" t="s">
        <v>3656</v>
      </c>
      <c r="G292" s="897" t="s">
        <v>3652</v>
      </c>
      <c r="H292" s="898">
        <v>1900000</v>
      </c>
      <c r="I292" s="1435"/>
      <c r="J292" s="1446">
        <f t="shared" si="8"/>
        <v>0</v>
      </c>
      <c r="K292" s="898">
        <v>1900000</v>
      </c>
    </row>
    <row r="293" spans="4:11" ht="22.8" hidden="1" customHeight="1">
      <c r="D293" s="913">
        <v>103</v>
      </c>
      <c r="E293" s="895"/>
      <c r="F293" s="896" t="s">
        <v>3661</v>
      </c>
      <c r="G293" s="897" t="s">
        <v>3652</v>
      </c>
      <c r="H293" s="898">
        <v>2100000</v>
      </c>
      <c r="I293" s="1435"/>
      <c r="J293" s="1446">
        <f t="shared" si="8"/>
        <v>0</v>
      </c>
      <c r="K293" s="898">
        <v>2100000</v>
      </c>
    </row>
    <row r="294" spans="4:11" ht="22.8" hidden="1" customHeight="1">
      <c r="D294" s="913">
        <v>104</v>
      </c>
      <c r="E294" s="895"/>
      <c r="F294" s="896" t="s">
        <v>3664</v>
      </c>
      <c r="G294" s="897" t="s">
        <v>3652</v>
      </c>
      <c r="H294" s="898">
        <v>2400000</v>
      </c>
      <c r="I294" s="1435"/>
      <c r="J294" s="1446">
        <f t="shared" si="8"/>
        <v>0</v>
      </c>
      <c r="K294" s="898">
        <v>2400000</v>
      </c>
    </row>
    <row r="295" spans="4:11" ht="22.8" hidden="1" customHeight="1">
      <c r="D295" s="913">
        <v>105</v>
      </c>
      <c r="E295" s="895"/>
      <c r="F295" s="896" t="s">
        <v>3667</v>
      </c>
      <c r="G295" s="897" t="s">
        <v>3652</v>
      </c>
      <c r="H295" s="898">
        <v>2600000</v>
      </c>
      <c r="I295" s="1435"/>
      <c r="J295" s="1446">
        <f t="shared" si="8"/>
        <v>0</v>
      </c>
      <c r="K295" s="898">
        <v>2600000</v>
      </c>
    </row>
    <row r="296" spans="4:11" ht="22.8" hidden="1" customHeight="1">
      <c r="D296" s="913">
        <v>106</v>
      </c>
      <c r="E296" s="895"/>
      <c r="F296" s="896" t="s">
        <v>3670</v>
      </c>
      <c r="G296" s="897" t="s">
        <v>3182</v>
      </c>
      <c r="H296" s="898">
        <v>635000</v>
      </c>
      <c r="I296" s="1435"/>
      <c r="J296" s="1446">
        <f t="shared" si="8"/>
        <v>0</v>
      </c>
      <c r="K296" s="898">
        <v>635000</v>
      </c>
    </row>
    <row r="297" spans="4:11" ht="22.8" hidden="1" customHeight="1">
      <c r="D297" s="913">
        <v>107</v>
      </c>
      <c r="E297" s="895"/>
      <c r="F297" s="896" t="s">
        <v>3673</v>
      </c>
      <c r="G297" s="897" t="s">
        <v>135</v>
      </c>
      <c r="H297" s="898">
        <v>766500</v>
      </c>
      <c r="I297" s="1435"/>
      <c r="J297" s="1446">
        <f t="shared" si="8"/>
        <v>0</v>
      </c>
      <c r="K297" s="898">
        <v>766500</v>
      </c>
    </row>
    <row r="298" spans="4:11" ht="22.8" hidden="1" customHeight="1">
      <c r="D298" s="913">
        <v>108</v>
      </c>
      <c r="E298" s="895"/>
      <c r="F298" s="896" t="s">
        <v>3676</v>
      </c>
      <c r="G298" s="897" t="s">
        <v>3182</v>
      </c>
      <c r="H298" s="898">
        <v>980000</v>
      </c>
      <c r="I298" s="1435"/>
      <c r="J298" s="1446">
        <f t="shared" si="8"/>
        <v>0</v>
      </c>
      <c r="K298" s="898">
        <v>980000</v>
      </c>
    </row>
    <row r="299" spans="4:11" ht="22.8" hidden="1" customHeight="1">
      <c r="D299" s="913">
        <v>109</v>
      </c>
      <c r="E299" s="895"/>
      <c r="F299" s="896" t="s">
        <v>3679</v>
      </c>
      <c r="G299" s="897" t="s">
        <v>135</v>
      </c>
      <c r="H299" s="898">
        <v>1150000</v>
      </c>
      <c r="I299" s="1435"/>
      <c r="J299" s="1446">
        <f t="shared" si="8"/>
        <v>0</v>
      </c>
      <c r="K299" s="898">
        <v>1150000</v>
      </c>
    </row>
    <row r="300" spans="4:11" ht="22.8" hidden="1" customHeight="1">
      <c r="D300" s="913">
        <v>110</v>
      </c>
      <c r="E300" s="895"/>
      <c r="F300" s="896" t="s">
        <v>3682</v>
      </c>
      <c r="G300" s="897" t="s">
        <v>3182</v>
      </c>
      <c r="H300" s="898">
        <v>1300000</v>
      </c>
      <c r="I300" s="1435"/>
      <c r="J300" s="1446">
        <f t="shared" si="8"/>
        <v>0</v>
      </c>
      <c r="K300" s="898">
        <v>1300000</v>
      </c>
    </row>
    <row r="301" spans="4:11" ht="22.8" hidden="1" customHeight="1">
      <c r="D301" s="913">
        <v>111</v>
      </c>
      <c r="E301" s="895"/>
      <c r="F301" s="896" t="s">
        <v>3685</v>
      </c>
      <c r="G301" s="897" t="s">
        <v>3182</v>
      </c>
      <c r="H301" s="898">
        <v>1500000</v>
      </c>
      <c r="I301" s="1435"/>
      <c r="J301" s="1446">
        <f t="shared" si="8"/>
        <v>0</v>
      </c>
      <c r="K301" s="898">
        <v>1500000</v>
      </c>
    </row>
    <row r="302" spans="4:11" ht="22.8" hidden="1" customHeight="1">
      <c r="D302" s="913">
        <v>112</v>
      </c>
      <c r="E302" s="895"/>
      <c r="F302" s="896" t="s">
        <v>3688</v>
      </c>
      <c r="G302" s="897" t="s">
        <v>3182</v>
      </c>
      <c r="H302" s="898">
        <v>1259000</v>
      </c>
      <c r="I302" s="1435"/>
      <c r="J302" s="1446">
        <f t="shared" si="8"/>
        <v>0</v>
      </c>
      <c r="K302" s="898">
        <v>1259000</v>
      </c>
    </row>
    <row r="303" spans="4:11" ht="22.8" hidden="1" customHeight="1">
      <c r="D303" s="913">
        <v>113</v>
      </c>
      <c r="E303" s="895"/>
      <c r="F303" s="896" t="s">
        <v>3691</v>
      </c>
      <c r="G303" s="897" t="s">
        <v>3182</v>
      </c>
      <c r="H303" s="898">
        <v>1500000</v>
      </c>
      <c r="I303" s="1435"/>
      <c r="J303" s="1446">
        <f t="shared" si="8"/>
        <v>0</v>
      </c>
      <c r="K303" s="898">
        <v>1500000</v>
      </c>
    </row>
    <row r="304" spans="4:11" ht="22.8" hidden="1" customHeight="1">
      <c r="D304" s="913">
        <v>114</v>
      </c>
      <c r="E304" s="895"/>
      <c r="F304" s="896" t="s">
        <v>3696</v>
      </c>
      <c r="G304" s="897" t="s">
        <v>3182</v>
      </c>
      <c r="H304" s="898">
        <v>85000</v>
      </c>
      <c r="I304" s="1435"/>
      <c r="J304" s="1446">
        <f t="shared" si="8"/>
        <v>0</v>
      </c>
      <c r="K304" s="898">
        <v>85000</v>
      </c>
    </row>
    <row r="305" spans="4:11" ht="22.8" hidden="1" customHeight="1">
      <c r="D305" s="913">
        <v>115</v>
      </c>
      <c r="E305" s="895"/>
      <c r="F305" s="896" t="s">
        <v>3699</v>
      </c>
      <c r="G305" s="897" t="s">
        <v>3182</v>
      </c>
      <c r="H305" s="898">
        <v>82900</v>
      </c>
      <c r="I305" s="1435"/>
      <c r="J305" s="1446">
        <f t="shared" si="8"/>
        <v>0</v>
      </c>
      <c r="K305" s="898">
        <v>82900</v>
      </c>
    </row>
    <row r="306" spans="4:11" ht="22.8" hidden="1" customHeight="1">
      <c r="D306" s="913">
        <v>116</v>
      </c>
      <c r="E306" s="895"/>
      <c r="F306" s="896" t="s">
        <v>3702</v>
      </c>
      <c r="G306" s="897" t="s">
        <v>3182</v>
      </c>
      <c r="H306" s="898">
        <v>3750000</v>
      </c>
      <c r="I306" s="1435"/>
      <c r="J306" s="1446">
        <f t="shared" si="8"/>
        <v>0</v>
      </c>
      <c r="K306" s="898">
        <v>3750000</v>
      </c>
    </row>
    <row r="307" spans="4:11" ht="22.8" hidden="1" customHeight="1">
      <c r="D307" s="913">
        <v>117</v>
      </c>
      <c r="E307" s="895"/>
      <c r="F307" s="896" t="s">
        <v>3705</v>
      </c>
      <c r="G307" s="897" t="s">
        <v>3182</v>
      </c>
      <c r="H307" s="898">
        <v>1200000</v>
      </c>
      <c r="I307" s="1435"/>
      <c r="J307" s="1446">
        <f t="shared" si="8"/>
        <v>0</v>
      </c>
      <c r="K307" s="898">
        <v>1200000</v>
      </c>
    </row>
    <row r="308" spans="4:11" ht="22.8" hidden="1" customHeight="1">
      <c r="D308" s="913">
        <v>118</v>
      </c>
      <c r="E308" s="895"/>
      <c r="F308" s="896" t="s">
        <v>3708</v>
      </c>
      <c r="G308" s="897" t="s">
        <v>3182</v>
      </c>
      <c r="H308" s="898">
        <v>1700000</v>
      </c>
      <c r="I308" s="1435"/>
      <c r="J308" s="1446">
        <f t="shared" si="8"/>
        <v>0</v>
      </c>
      <c r="K308" s="898">
        <v>1700000</v>
      </c>
    </row>
    <row r="309" spans="4:11" ht="22.8" hidden="1" customHeight="1">
      <c r="D309" s="913">
        <v>119</v>
      </c>
      <c r="E309" s="895"/>
      <c r="F309" s="896" t="s">
        <v>3711</v>
      </c>
      <c r="G309" s="897" t="s">
        <v>3182</v>
      </c>
      <c r="H309" s="898">
        <v>2200000</v>
      </c>
      <c r="I309" s="1435"/>
      <c r="J309" s="1446">
        <f t="shared" si="8"/>
        <v>0</v>
      </c>
      <c r="K309" s="898">
        <v>2200000</v>
      </c>
    </row>
    <row r="310" spans="4:11" ht="22.8" hidden="1" customHeight="1">
      <c r="D310" s="913">
        <v>120</v>
      </c>
      <c r="E310" s="895"/>
      <c r="F310" s="896" t="s">
        <v>3716</v>
      </c>
      <c r="G310" s="897" t="s">
        <v>3409</v>
      </c>
      <c r="H310" s="898">
        <v>171500</v>
      </c>
      <c r="I310" s="1435"/>
      <c r="J310" s="1446">
        <f t="shared" si="8"/>
        <v>0</v>
      </c>
      <c r="K310" s="898">
        <v>171500</v>
      </c>
    </row>
    <row r="311" spans="4:11" ht="22.8" hidden="1" customHeight="1">
      <c r="D311" s="913">
        <v>121</v>
      </c>
      <c r="E311" s="895"/>
      <c r="F311" s="896" t="s">
        <v>3718</v>
      </c>
      <c r="G311" s="897" t="s">
        <v>135</v>
      </c>
      <c r="H311" s="898">
        <v>227900</v>
      </c>
      <c r="I311" s="1435"/>
      <c r="J311" s="1446">
        <f t="shared" si="8"/>
        <v>0</v>
      </c>
      <c r="K311" s="898">
        <v>227900</v>
      </c>
    </row>
    <row r="312" spans="4:11" ht="22.8" hidden="1" customHeight="1">
      <c r="D312" s="913">
        <v>122</v>
      </c>
      <c r="E312" s="895"/>
      <c r="F312" s="896" t="s">
        <v>3722</v>
      </c>
      <c r="G312" s="897" t="s">
        <v>3182</v>
      </c>
      <c r="H312" s="898">
        <v>1900000</v>
      </c>
      <c r="I312" s="1435"/>
      <c r="J312" s="1446">
        <f t="shared" si="8"/>
        <v>0</v>
      </c>
      <c r="K312" s="898">
        <v>1900000</v>
      </c>
    </row>
    <row r="313" spans="4:11" ht="22.8" hidden="1" customHeight="1">
      <c r="D313" s="913">
        <v>123</v>
      </c>
      <c r="E313" s="895"/>
      <c r="F313" s="896" t="s">
        <v>3727</v>
      </c>
      <c r="G313" s="897" t="s">
        <v>3182</v>
      </c>
      <c r="H313" s="898">
        <v>7400000</v>
      </c>
      <c r="I313" s="1435"/>
      <c r="J313" s="1446">
        <f t="shared" si="8"/>
        <v>0</v>
      </c>
      <c r="K313" s="898">
        <v>7400000</v>
      </c>
    </row>
    <row r="314" spans="4:11" s="901" customFormat="1" ht="22.8" hidden="1" customHeight="1">
      <c r="D314" s="913">
        <v>124</v>
      </c>
      <c r="E314" s="902"/>
      <c r="F314" s="903" t="s">
        <v>3732</v>
      </c>
      <c r="G314" s="904" t="s">
        <v>3182</v>
      </c>
      <c r="H314" s="905">
        <v>10000000</v>
      </c>
      <c r="I314" s="1439"/>
      <c r="J314" s="1446">
        <f t="shared" si="8"/>
        <v>0</v>
      </c>
      <c r="K314" s="905">
        <v>10000000</v>
      </c>
    </row>
    <row r="315" spans="4:11" s="901" customFormat="1" ht="22.8" hidden="1" customHeight="1">
      <c r="D315" s="913">
        <v>125</v>
      </c>
      <c r="E315" s="902"/>
      <c r="F315" s="903" t="s">
        <v>3731</v>
      </c>
      <c r="G315" s="904" t="s">
        <v>3182</v>
      </c>
      <c r="H315" s="905">
        <v>12000000</v>
      </c>
      <c r="I315" s="1439"/>
      <c r="J315" s="1446">
        <f t="shared" si="8"/>
        <v>0</v>
      </c>
      <c r="K315" s="905">
        <v>12000000</v>
      </c>
    </row>
    <row r="316" spans="4:11" s="901" customFormat="1" ht="22.8" hidden="1" customHeight="1">
      <c r="D316" s="913">
        <v>126</v>
      </c>
      <c r="E316" s="902"/>
      <c r="F316" s="903" t="s">
        <v>3735</v>
      </c>
      <c r="G316" s="904" t="s">
        <v>3409</v>
      </c>
      <c r="H316" s="905">
        <v>14000000</v>
      </c>
      <c r="I316" s="1439"/>
      <c r="J316" s="1446">
        <f t="shared" si="8"/>
        <v>0</v>
      </c>
      <c r="K316" s="905">
        <v>14000000</v>
      </c>
    </row>
    <row r="317" spans="4:11" s="901" customFormat="1" ht="22.8" hidden="1" customHeight="1">
      <c r="D317" s="913">
        <v>127</v>
      </c>
      <c r="E317" s="902"/>
      <c r="F317" s="903" t="s">
        <v>3738</v>
      </c>
      <c r="G317" s="904" t="s">
        <v>3182</v>
      </c>
      <c r="H317" s="905">
        <v>12000000</v>
      </c>
      <c r="I317" s="1439"/>
      <c r="J317" s="1446">
        <f t="shared" si="8"/>
        <v>0</v>
      </c>
      <c r="K317" s="905">
        <v>12000000</v>
      </c>
    </row>
    <row r="318" spans="4:11" ht="22.8" hidden="1" customHeight="1">
      <c r="D318" s="913">
        <v>128</v>
      </c>
      <c r="E318" s="895"/>
      <c r="F318" s="896" t="s">
        <v>4758</v>
      </c>
      <c r="G318" s="897" t="s">
        <v>113</v>
      </c>
      <c r="H318" s="898">
        <v>14750</v>
      </c>
      <c r="I318" s="1435"/>
      <c r="J318" s="1446">
        <f t="shared" si="8"/>
        <v>0</v>
      </c>
      <c r="K318" s="898">
        <v>14750</v>
      </c>
    </row>
    <row r="319" spans="4:11" ht="22.8" hidden="1" customHeight="1">
      <c r="D319" s="913">
        <v>129</v>
      </c>
      <c r="E319" s="895"/>
      <c r="F319" s="896" t="s">
        <v>8350</v>
      </c>
      <c r="G319" s="897" t="s">
        <v>113</v>
      </c>
      <c r="H319" s="898">
        <v>15000</v>
      </c>
      <c r="I319" s="1435"/>
      <c r="J319" s="1446">
        <f t="shared" ref="J319:J382" si="9">I319-(I319*10%)</f>
        <v>0</v>
      </c>
      <c r="K319" s="898">
        <v>15000</v>
      </c>
    </row>
    <row r="320" spans="4:11" ht="22.8" hidden="1" customHeight="1">
      <c r="D320" s="913">
        <v>130</v>
      </c>
      <c r="E320" s="895"/>
      <c r="F320" s="896" t="s">
        <v>4760</v>
      </c>
      <c r="G320" s="897" t="s">
        <v>113</v>
      </c>
      <c r="H320" s="898">
        <v>28600</v>
      </c>
      <c r="I320" s="1435"/>
      <c r="J320" s="1446">
        <f t="shared" si="9"/>
        <v>0</v>
      </c>
      <c r="K320" s="898">
        <v>28600</v>
      </c>
    </row>
    <row r="321" spans="4:11" ht="22.8" hidden="1" customHeight="1">
      <c r="D321" s="913">
        <v>131</v>
      </c>
      <c r="E321" s="895"/>
      <c r="F321" s="896" t="s">
        <v>8353</v>
      </c>
      <c r="G321" s="897" t="s">
        <v>113</v>
      </c>
      <c r="H321" s="898">
        <v>29000</v>
      </c>
      <c r="I321" s="1435"/>
      <c r="J321" s="1446">
        <f t="shared" si="9"/>
        <v>0</v>
      </c>
      <c r="K321" s="898">
        <v>29000</v>
      </c>
    </row>
    <row r="322" spans="4:11" ht="22.8" hidden="1" customHeight="1">
      <c r="D322" s="913">
        <v>132</v>
      </c>
      <c r="E322" s="895"/>
      <c r="F322" s="896" t="s">
        <v>4762</v>
      </c>
      <c r="G322" s="897" t="s">
        <v>113</v>
      </c>
      <c r="H322" s="898">
        <v>39575</v>
      </c>
      <c r="I322" s="1435"/>
      <c r="J322" s="1446">
        <f t="shared" si="9"/>
        <v>0</v>
      </c>
      <c r="K322" s="898">
        <v>39575</v>
      </c>
    </row>
    <row r="323" spans="4:11" ht="22.8" hidden="1" customHeight="1">
      <c r="D323" s="913">
        <v>133</v>
      </c>
      <c r="E323" s="895"/>
      <c r="F323" s="896" t="s">
        <v>8359</v>
      </c>
      <c r="G323" s="897" t="s">
        <v>113</v>
      </c>
      <c r="H323" s="898">
        <v>40000</v>
      </c>
      <c r="I323" s="1435"/>
      <c r="J323" s="1446">
        <f t="shared" si="9"/>
        <v>0</v>
      </c>
      <c r="K323" s="898">
        <v>40000</v>
      </c>
    </row>
    <row r="324" spans="4:11" ht="22.8" hidden="1" customHeight="1">
      <c r="D324" s="913">
        <v>134</v>
      </c>
      <c r="E324" s="895"/>
      <c r="F324" s="896" t="s">
        <v>4764</v>
      </c>
      <c r="G324" s="897" t="s">
        <v>113</v>
      </c>
      <c r="H324" s="898">
        <v>63200</v>
      </c>
      <c r="I324" s="1435"/>
      <c r="J324" s="1446">
        <f t="shared" si="9"/>
        <v>0</v>
      </c>
      <c r="K324" s="898">
        <v>63200</v>
      </c>
    </row>
    <row r="325" spans="4:11" ht="22.8" hidden="1" customHeight="1">
      <c r="D325" s="913">
        <v>135</v>
      </c>
      <c r="E325" s="895"/>
      <c r="F325" s="896" t="s">
        <v>8358</v>
      </c>
      <c r="G325" s="897" t="s">
        <v>113</v>
      </c>
      <c r="H325" s="898">
        <v>64000</v>
      </c>
      <c r="I325" s="1435"/>
      <c r="J325" s="1446">
        <f t="shared" si="9"/>
        <v>0</v>
      </c>
      <c r="K325" s="898">
        <v>64000</v>
      </c>
    </row>
    <row r="326" spans="4:11" ht="22.8" hidden="1" customHeight="1">
      <c r="D326" s="913">
        <v>136</v>
      </c>
      <c r="E326" s="895"/>
      <c r="F326" s="896" t="s">
        <v>4766</v>
      </c>
      <c r="G326" s="897" t="s">
        <v>113</v>
      </c>
      <c r="H326" s="898">
        <v>139575</v>
      </c>
      <c r="I326" s="1435"/>
      <c r="J326" s="1446">
        <f t="shared" si="9"/>
        <v>0</v>
      </c>
      <c r="K326" s="898">
        <v>139575</v>
      </c>
    </row>
    <row r="327" spans="4:11" ht="22.8" hidden="1" customHeight="1">
      <c r="D327" s="913">
        <v>137</v>
      </c>
      <c r="E327" s="895"/>
      <c r="F327" s="896" t="s">
        <v>8361</v>
      </c>
      <c r="G327" s="897" t="s">
        <v>113</v>
      </c>
      <c r="H327" s="898">
        <v>140000</v>
      </c>
      <c r="I327" s="1435"/>
      <c r="J327" s="1446">
        <f t="shared" si="9"/>
        <v>0</v>
      </c>
      <c r="K327" s="898">
        <v>140000</v>
      </c>
    </row>
    <row r="328" spans="4:11" ht="22.8" hidden="1" customHeight="1">
      <c r="D328" s="913">
        <v>138</v>
      </c>
      <c r="E328" s="895"/>
      <c r="F328" s="896" t="s">
        <v>4768</v>
      </c>
      <c r="G328" s="897" t="s">
        <v>113</v>
      </c>
      <c r="H328" s="898">
        <v>287500</v>
      </c>
      <c r="I328" s="1435"/>
      <c r="J328" s="1446">
        <f t="shared" si="9"/>
        <v>0</v>
      </c>
      <c r="K328" s="898">
        <v>287500</v>
      </c>
    </row>
    <row r="329" spans="4:11" ht="22.8" hidden="1" customHeight="1">
      <c r="D329" s="913">
        <v>139</v>
      </c>
      <c r="E329" s="895"/>
      <c r="F329" s="896" t="s">
        <v>8364</v>
      </c>
      <c r="G329" s="897" t="s">
        <v>113</v>
      </c>
      <c r="H329" s="898">
        <v>288000</v>
      </c>
      <c r="I329" s="1435"/>
      <c r="J329" s="1446">
        <f t="shared" si="9"/>
        <v>0</v>
      </c>
      <c r="K329" s="898">
        <v>288000</v>
      </c>
    </row>
    <row r="330" spans="4:11" ht="22.8" hidden="1" customHeight="1">
      <c r="D330" s="913">
        <v>140</v>
      </c>
      <c r="E330" s="895"/>
      <c r="F330" s="896" t="s">
        <v>4770</v>
      </c>
      <c r="G330" s="897" t="s">
        <v>1974</v>
      </c>
      <c r="H330" s="898">
        <v>108000</v>
      </c>
      <c r="I330" s="1435"/>
      <c r="J330" s="1446">
        <f t="shared" si="9"/>
        <v>0</v>
      </c>
      <c r="K330" s="898">
        <v>108000</v>
      </c>
    </row>
    <row r="331" spans="4:11" ht="22.8" hidden="1" customHeight="1">
      <c r="D331" s="913">
        <v>141</v>
      </c>
      <c r="E331" s="895"/>
      <c r="F331" s="896" t="s">
        <v>4785</v>
      </c>
      <c r="G331" s="897" t="s">
        <v>113</v>
      </c>
      <c r="H331" s="898">
        <v>305000</v>
      </c>
      <c r="I331" s="1435"/>
      <c r="J331" s="1446">
        <f t="shared" si="9"/>
        <v>0</v>
      </c>
      <c r="K331" s="898">
        <v>305000</v>
      </c>
    </row>
    <row r="332" spans="4:11" ht="22.8" hidden="1" customHeight="1">
      <c r="D332" s="913">
        <v>142</v>
      </c>
      <c r="E332" s="895"/>
      <c r="F332" s="896" t="s">
        <v>8367</v>
      </c>
      <c r="G332" s="897" t="s">
        <v>113</v>
      </c>
      <c r="H332" s="898">
        <v>306000</v>
      </c>
      <c r="I332" s="1435"/>
      <c r="J332" s="1446">
        <f t="shared" si="9"/>
        <v>0</v>
      </c>
      <c r="K332" s="898">
        <v>306000</v>
      </c>
    </row>
    <row r="333" spans="4:11" ht="22.8" hidden="1" customHeight="1">
      <c r="D333" s="913">
        <v>143</v>
      </c>
      <c r="E333" s="895"/>
      <c r="F333" s="896" t="s">
        <v>4784</v>
      </c>
      <c r="G333" s="897" t="s">
        <v>113</v>
      </c>
      <c r="H333" s="898">
        <v>336700</v>
      </c>
      <c r="I333" s="1435"/>
      <c r="J333" s="1446">
        <f t="shared" si="9"/>
        <v>0</v>
      </c>
      <c r="K333" s="898">
        <v>336700</v>
      </c>
    </row>
    <row r="334" spans="4:11" ht="22.8" hidden="1" customHeight="1">
      <c r="D334" s="913">
        <v>144</v>
      </c>
      <c r="E334" s="895"/>
      <c r="F334" s="896" t="s">
        <v>8370</v>
      </c>
      <c r="G334" s="897" t="s">
        <v>113</v>
      </c>
      <c r="H334" s="898">
        <v>337000</v>
      </c>
      <c r="I334" s="1435"/>
      <c r="J334" s="1446">
        <f t="shared" si="9"/>
        <v>0</v>
      </c>
      <c r="K334" s="898">
        <v>337000</v>
      </c>
    </row>
    <row r="335" spans="4:11" ht="22.8" hidden="1" customHeight="1">
      <c r="D335" s="913">
        <v>145</v>
      </c>
      <c r="E335" s="895"/>
      <c r="F335" s="896" t="s">
        <v>4783</v>
      </c>
      <c r="G335" s="897" t="s">
        <v>113</v>
      </c>
      <c r="H335" s="898">
        <v>368000</v>
      </c>
      <c r="I335" s="1435"/>
      <c r="J335" s="1446">
        <f t="shared" si="9"/>
        <v>0</v>
      </c>
      <c r="K335" s="898">
        <v>368000</v>
      </c>
    </row>
    <row r="336" spans="4:11" ht="22.8" hidden="1" customHeight="1">
      <c r="D336" s="913">
        <v>146</v>
      </c>
      <c r="E336" s="895"/>
      <c r="F336" s="896" t="s">
        <v>8373</v>
      </c>
      <c r="G336" s="897" t="s">
        <v>113</v>
      </c>
      <c r="H336" s="898">
        <v>369000</v>
      </c>
      <c r="I336" s="1435"/>
      <c r="J336" s="1446">
        <f t="shared" si="9"/>
        <v>0</v>
      </c>
      <c r="K336" s="898">
        <v>369000</v>
      </c>
    </row>
    <row r="337" spans="4:11" ht="22.8" hidden="1" customHeight="1">
      <c r="D337" s="913">
        <v>147</v>
      </c>
      <c r="E337" s="895"/>
      <c r="F337" s="896" t="s">
        <v>4782</v>
      </c>
      <c r="G337" s="897" t="s">
        <v>113</v>
      </c>
      <c r="H337" s="898">
        <v>398500</v>
      </c>
      <c r="I337" s="1435"/>
      <c r="J337" s="1446">
        <f t="shared" si="9"/>
        <v>0</v>
      </c>
      <c r="K337" s="898">
        <v>398500</v>
      </c>
    </row>
    <row r="338" spans="4:11" ht="22.8" hidden="1" customHeight="1">
      <c r="D338" s="913">
        <v>148</v>
      </c>
      <c r="E338" s="895"/>
      <c r="F338" s="896" t="s">
        <v>8376</v>
      </c>
      <c r="G338" s="897" t="s">
        <v>113</v>
      </c>
      <c r="H338" s="898">
        <v>399000</v>
      </c>
      <c r="I338" s="1435"/>
      <c r="J338" s="1446">
        <f t="shared" si="9"/>
        <v>0</v>
      </c>
      <c r="K338" s="898">
        <v>399000</v>
      </c>
    </row>
    <row r="339" spans="4:11" ht="22.8" hidden="1" customHeight="1">
      <c r="D339" s="913">
        <v>149</v>
      </c>
      <c r="E339" s="895"/>
      <c r="F339" s="896" t="s">
        <v>4781</v>
      </c>
      <c r="G339" s="897" t="s">
        <v>113</v>
      </c>
      <c r="H339" s="898">
        <v>425000</v>
      </c>
      <c r="I339" s="1435"/>
      <c r="J339" s="1446">
        <f t="shared" si="9"/>
        <v>0</v>
      </c>
      <c r="K339" s="898">
        <v>425000</v>
      </c>
    </row>
    <row r="340" spans="4:11" ht="22.8" hidden="1" customHeight="1">
      <c r="D340" s="913">
        <v>150</v>
      </c>
      <c r="E340" s="895"/>
      <c r="F340" s="896" t="s">
        <v>8378</v>
      </c>
      <c r="G340" s="897" t="s">
        <v>113</v>
      </c>
      <c r="H340" s="898">
        <v>426000</v>
      </c>
      <c r="I340" s="1435"/>
      <c r="J340" s="1446">
        <f t="shared" si="9"/>
        <v>0</v>
      </c>
      <c r="K340" s="898">
        <v>426000</v>
      </c>
    </row>
    <row r="341" spans="4:11" ht="22.8" hidden="1" customHeight="1">
      <c r="D341" s="913">
        <v>151</v>
      </c>
      <c r="E341" s="895"/>
      <c r="F341" s="896" t="s">
        <v>4780</v>
      </c>
      <c r="G341" s="897" t="s">
        <v>113</v>
      </c>
      <c r="H341" s="898">
        <v>487000</v>
      </c>
      <c r="I341" s="1435"/>
      <c r="J341" s="1446">
        <f t="shared" si="9"/>
        <v>0</v>
      </c>
      <c r="K341" s="898">
        <v>487000</v>
      </c>
    </row>
    <row r="342" spans="4:11" ht="22.8" hidden="1" customHeight="1">
      <c r="D342" s="913">
        <v>152</v>
      </c>
      <c r="E342" s="895"/>
      <c r="F342" s="896" t="s">
        <v>8380</v>
      </c>
      <c r="G342" s="897" t="s">
        <v>113</v>
      </c>
      <c r="H342" s="898">
        <v>488000</v>
      </c>
      <c r="I342" s="1435"/>
      <c r="J342" s="1446">
        <f t="shared" si="9"/>
        <v>0</v>
      </c>
      <c r="K342" s="898">
        <v>488000</v>
      </c>
    </row>
    <row r="343" spans="4:11" ht="22.8" hidden="1" customHeight="1">
      <c r="D343" s="913">
        <v>153</v>
      </c>
      <c r="E343" s="895"/>
      <c r="F343" s="896" t="s">
        <v>4779</v>
      </c>
      <c r="G343" s="897" t="s">
        <v>113</v>
      </c>
      <c r="H343" s="898">
        <v>515000</v>
      </c>
      <c r="I343" s="1435"/>
      <c r="J343" s="1446">
        <f t="shared" si="9"/>
        <v>0</v>
      </c>
      <c r="K343" s="898">
        <v>515000</v>
      </c>
    </row>
    <row r="344" spans="4:11" ht="22.8" hidden="1" customHeight="1">
      <c r="D344" s="913">
        <v>154</v>
      </c>
      <c r="E344" s="895"/>
      <c r="F344" s="896" t="s">
        <v>8382</v>
      </c>
      <c r="G344" s="897" t="s">
        <v>113</v>
      </c>
      <c r="H344" s="898">
        <v>516000</v>
      </c>
      <c r="I344" s="1435"/>
      <c r="J344" s="1446">
        <f t="shared" si="9"/>
        <v>0</v>
      </c>
      <c r="K344" s="898">
        <v>516000</v>
      </c>
    </row>
    <row r="345" spans="4:11" ht="22.8" hidden="1" customHeight="1">
      <c r="D345" s="913">
        <v>155</v>
      </c>
      <c r="E345" s="895"/>
      <c r="F345" s="896" t="s">
        <v>4778</v>
      </c>
      <c r="G345" s="897" t="s">
        <v>113</v>
      </c>
      <c r="H345" s="898">
        <v>547000</v>
      </c>
      <c r="I345" s="1435"/>
      <c r="J345" s="1446">
        <f t="shared" si="9"/>
        <v>0</v>
      </c>
      <c r="K345" s="898">
        <v>547000</v>
      </c>
    </row>
    <row r="346" spans="4:11" ht="22.8" hidden="1" customHeight="1">
      <c r="D346" s="913">
        <v>156</v>
      </c>
      <c r="E346" s="895"/>
      <c r="F346" s="896" t="s">
        <v>8384</v>
      </c>
      <c r="G346" s="897" t="s">
        <v>113</v>
      </c>
      <c r="H346" s="898">
        <v>548000</v>
      </c>
      <c r="I346" s="1435"/>
      <c r="J346" s="1446">
        <f t="shared" si="9"/>
        <v>0</v>
      </c>
      <c r="K346" s="898">
        <v>548000</v>
      </c>
    </row>
    <row r="347" spans="4:11" ht="22.8" hidden="1" customHeight="1">
      <c r="D347" s="913">
        <v>157</v>
      </c>
      <c r="E347" s="895"/>
      <c r="F347" s="896" t="s">
        <v>4789</v>
      </c>
      <c r="G347" s="897" t="s">
        <v>113</v>
      </c>
      <c r="H347" s="898">
        <v>589000</v>
      </c>
      <c r="I347" s="1435"/>
      <c r="J347" s="1446">
        <f t="shared" si="9"/>
        <v>0</v>
      </c>
      <c r="K347" s="898">
        <v>589000</v>
      </c>
    </row>
    <row r="348" spans="4:11" ht="22.8" hidden="1" customHeight="1">
      <c r="D348" s="913">
        <v>158</v>
      </c>
      <c r="E348" s="895"/>
      <c r="F348" s="896" t="s">
        <v>8386</v>
      </c>
      <c r="G348" s="897" t="s">
        <v>113</v>
      </c>
      <c r="H348" s="898">
        <v>590000</v>
      </c>
      <c r="I348" s="1435"/>
      <c r="J348" s="1446">
        <f t="shared" si="9"/>
        <v>0</v>
      </c>
      <c r="K348" s="898">
        <v>590000</v>
      </c>
    </row>
    <row r="349" spans="4:11" ht="22.8" hidden="1" customHeight="1">
      <c r="D349" s="913">
        <v>159</v>
      </c>
      <c r="E349" s="895"/>
      <c r="F349" s="896" t="s">
        <v>4788</v>
      </c>
      <c r="G349" s="897" t="s">
        <v>113</v>
      </c>
      <c r="H349" s="898">
        <v>617000</v>
      </c>
      <c r="I349" s="1435"/>
      <c r="J349" s="1446">
        <f t="shared" si="9"/>
        <v>0</v>
      </c>
      <c r="K349" s="898">
        <v>617000</v>
      </c>
    </row>
    <row r="350" spans="4:11" ht="22.8" hidden="1" customHeight="1">
      <c r="D350" s="913">
        <v>160</v>
      </c>
      <c r="E350" s="895"/>
      <c r="F350" s="896" t="s">
        <v>8388</v>
      </c>
      <c r="G350" s="897" t="s">
        <v>113</v>
      </c>
      <c r="H350" s="898">
        <v>618000</v>
      </c>
      <c r="I350" s="1435"/>
      <c r="J350" s="1446">
        <f t="shared" si="9"/>
        <v>0</v>
      </c>
      <c r="K350" s="898">
        <v>618000</v>
      </c>
    </row>
    <row r="351" spans="4:11" ht="22.8" hidden="1" customHeight="1">
      <c r="D351" s="913">
        <v>161</v>
      </c>
      <c r="E351" s="895"/>
      <c r="F351" s="896" t="s">
        <v>4791</v>
      </c>
      <c r="G351" s="897" t="s">
        <v>113</v>
      </c>
      <c r="H351" s="898">
        <v>5200</v>
      </c>
      <c r="I351" s="1435"/>
      <c r="J351" s="1446">
        <f t="shared" si="9"/>
        <v>0</v>
      </c>
      <c r="K351" s="898">
        <v>5200</v>
      </c>
    </row>
    <row r="352" spans="4:11" ht="22.8" hidden="1" customHeight="1">
      <c r="D352" s="913">
        <v>162</v>
      </c>
      <c r="E352" s="895"/>
      <c r="F352" s="896" t="s">
        <v>8390</v>
      </c>
      <c r="G352" s="897" t="s">
        <v>113</v>
      </c>
      <c r="H352" s="898">
        <v>5300</v>
      </c>
      <c r="I352" s="1435"/>
      <c r="J352" s="1446">
        <f t="shared" si="9"/>
        <v>0</v>
      </c>
      <c r="K352" s="898">
        <v>5300</v>
      </c>
    </row>
    <row r="353" spans="4:11" ht="22.8" hidden="1" customHeight="1">
      <c r="D353" s="913">
        <v>163</v>
      </c>
      <c r="E353" s="895"/>
      <c r="F353" s="896" t="s">
        <v>4793</v>
      </c>
      <c r="G353" s="897" t="s">
        <v>113</v>
      </c>
      <c r="H353" s="898">
        <v>7500</v>
      </c>
      <c r="I353" s="1435"/>
      <c r="J353" s="1446">
        <f t="shared" si="9"/>
        <v>0</v>
      </c>
      <c r="K353" s="898">
        <v>7500</v>
      </c>
    </row>
    <row r="354" spans="4:11" ht="22.8" hidden="1" customHeight="1">
      <c r="D354" s="913">
        <v>164</v>
      </c>
      <c r="E354" s="895"/>
      <c r="F354" s="896" t="s">
        <v>8392</v>
      </c>
      <c r="G354" s="897" t="s">
        <v>113</v>
      </c>
      <c r="H354" s="898">
        <v>7600</v>
      </c>
      <c r="I354" s="1435"/>
      <c r="J354" s="1446">
        <f t="shared" si="9"/>
        <v>0</v>
      </c>
      <c r="K354" s="898">
        <v>7600</v>
      </c>
    </row>
    <row r="355" spans="4:11" ht="22.8" hidden="1" customHeight="1">
      <c r="D355" s="913">
        <v>165</v>
      </c>
      <c r="E355" s="895"/>
      <c r="F355" s="896" t="s">
        <v>4795</v>
      </c>
      <c r="G355" s="897" t="s">
        <v>113</v>
      </c>
      <c r="H355" s="898">
        <v>8300</v>
      </c>
      <c r="I355" s="1435"/>
      <c r="J355" s="1446">
        <f t="shared" si="9"/>
        <v>0</v>
      </c>
      <c r="K355" s="898">
        <v>8300</v>
      </c>
    </row>
    <row r="356" spans="4:11" ht="22.8" hidden="1" customHeight="1">
      <c r="D356" s="913">
        <v>166</v>
      </c>
      <c r="E356" s="895"/>
      <c r="F356" s="896" t="s">
        <v>8394</v>
      </c>
      <c r="G356" s="897" t="s">
        <v>113</v>
      </c>
      <c r="H356" s="898">
        <v>8400</v>
      </c>
      <c r="I356" s="1435"/>
      <c r="J356" s="1446">
        <f t="shared" si="9"/>
        <v>0</v>
      </c>
      <c r="K356" s="898">
        <v>8400</v>
      </c>
    </row>
    <row r="357" spans="4:11" ht="22.8" hidden="1" customHeight="1">
      <c r="D357" s="913">
        <v>167</v>
      </c>
      <c r="E357" s="895"/>
      <c r="F357" s="896" t="s">
        <v>4797</v>
      </c>
      <c r="G357" s="897" t="s">
        <v>113</v>
      </c>
      <c r="H357" s="898">
        <v>9700</v>
      </c>
      <c r="I357" s="1435"/>
      <c r="J357" s="1446">
        <f t="shared" si="9"/>
        <v>0</v>
      </c>
      <c r="K357" s="898">
        <v>9700</v>
      </c>
    </row>
    <row r="358" spans="4:11" ht="22.8" hidden="1" customHeight="1">
      <c r="D358" s="913">
        <v>168</v>
      </c>
      <c r="E358" s="895"/>
      <c r="F358" s="896" t="s">
        <v>8396</v>
      </c>
      <c r="G358" s="897" t="s">
        <v>113</v>
      </c>
      <c r="H358" s="898">
        <v>10000</v>
      </c>
      <c r="I358" s="1435"/>
      <c r="J358" s="1446">
        <f t="shared" si="9"/>
        <v>0</v>
      </c>
      <c r="K358" s="898">
        <v>10000</v>
      </c>
    </row>
    <row r="359" spans="4:11" ht="22.8" hidden="1" customHeight="1">
      <c r="D359" s="913">
        <v>169</v>
      </c>
      <c r="E359" s="895"/>
      <c r="F359" s="896" t="s">
        <v>4799</v>
      </c>
      <c r="G359" s="897" t="s">
        <v>113</v>
      </c>
      <c r="H359" s="898">
        <v>10500</v>
      </c>
      <c r="I359" s="1435"/>
      <c r="J359" s="1446">
        <f t="shared" si="9"/>
        <v>0</v>
      </c>
      <c r="K359" s="898">
        <v>10500</v>
      </c>
    </row>
    <row r="360" spans="4:11" ht="22.8" hidden="1" customHeight="1">
      <c r="D360" s="913">
        <v>170</v>
      </c>
      <c r="E360" s="895"/>
      <c r="F360" s="896" t="s">
        <v>8398</v>
      </c>
      <c r="G360" s="897" t="s">
        <v>113</v>
      </c>
      <c r="H360" s="898">
        <v>10600</v>
      </c>
      <c r="I360" s="1435"/>
      <c r="J360" s="1446">
        <f t="shared" si="9"/>
        <v>0</v>
      </c>
      <c r="K360" s="898">
        <v>10600</v>
      </c>
    </row>
    <row r="361" spans="4:11" ht="22.8" hidden="1" customHeight="1">
      <c r="D361" s="913">
        <v>171</v>
      </c>
      <c r="E361" s="895"/>
      <c r="F361" s="896" t="s">
        <v>4801</v>
      </c>
      <c r="G361" s="897" t="s">
        <v>113</v>
      </c>
      <c r="H361" s="898">
        <v>13700</v>
      </c>
      <c r="I361" s="1435"/>
      <c r="J361" s="1446">
        <f t="shared" si="9"/>
        <v>0</v>
      </c>
      <c r="K361" s="898">
        <v>13700</v>
      </c>
    </row>
    <row r="362" spans="4:11" ht="22.8" hidden="1" customHeight="1">
      <c r="D362" s="913">
        <v>172</v>
      </c>
      <c r="E362" s="895"/>
      <c r="F362" s="896" t="s">
        <v>8400</v>
      </c>
      <c r="G362" s="897" t="s">
        <v>113</v>
      </c>
      <c r="H362" s="898">
        <v>13800</v>
      </c>
      <c r="I362" s="1435"/>
      <c r="J362" s="1446">
        <f t="shared" si="9"/>
        <v>0</v>
      </c>
      <c r="K362" s="898">
        <v>13800</v>
      </c>
    </row>
    <row r="363" spans="4:11" ht="22.8" hidden="1" customHeight="1">
      <c r="D363" s="913">
        <v>173</v>
      </c>
      <c r="E363" s="895"/>
      <c r="F363" s="896" t="s">
        <v>4922</v>
      </c>
      <c r="G363" s="897" t="s">
        <v>1974</v>
      </c>
      <c r="H363" s="898">
        <v>32500</v>
      </c>
      <c r="I363" s="1435"/>
      <c r="J363" s="1446">
        <f t="shared" si="9"/>
        <v>0</v>
      </c>
      <c r="K363" s="898">
        <v>32500</v>
      </c>
    </row>
    <row r="364" spans="4:11" ht="22.8" hidden="1" customHeight="1">
      <c r="D364" s="913">
        <v>174</v>
      </c>
      <c r="E364" s="895"/>
      <c r="F364" s="896" t="s">
        <v>8404</v>
      </c>
      <c r="G364" s="897" t="s">
        <v>1974</v>
      </c>
      <c r="H364" s="898">
        <v>35000</v>
      </c>
      <c r="I364" s="1435"/>
      <c r="J364" s="1446">
        <f t="shared" si="9"/>
        <v>0</v>
      </c>
      <c r="K364" s="898">
        <v>35000</v>
      </c>
    </row>
    <row r="365" spans="4:11" ht="22.8" hidden="1" customHeight="1">
      <c r="D365" s="913">
        <v>175</v>
      </c>
      <c r="E365" s="895"/>
      <c r="F365" s="896" t="s">
        <v>4824</v>
      </c>
      <c r="G365" s="897" t="s">
        <v>113</v>
      </c>
      <c r="H365" s="898">
        <f>1100000/6</f>
        <v>183333.33333333334</v>
      </c>
      <c r="I365" s="1435"/>
      <c r="J365" s="1446">
        <f t="shared" si="9"/>
        <v>0</v>
      </c>
      <c r="K365" s="898">
        <f>1100000/6</f>
        <v>183333.33333333334</v>
      </c>
    </row>
    <row r="366" spans="4:11" ht="22.8" hidden="1" customHeight="1">
      <c r="D366" s="913">
        <v>176</v>
      </c>
      <c r="E366" s="895"/>
      <c r="F366" s="896" t="s">
        <v>8419</v>
      </c>
      <c r="G366" s="897" t="s">
        <v>113</v>
      </c>
      <c r="H366" s="898">
        <v>185000</v>
      </c>
      <c r="I366" s="1435"/>
      <c r="J366" s="1446">
        <f t="shared" si="9"/>
        <v>0</v>
      </c>
      <c r="K366" s="898">
        <v>185000</v>
      </c>
    </row>
    <row r="367" spans="4:11" ht="22.8" hidden="1" customHeight="1">
      <c r="D367" s="913">
        <v>177</v>
      </c>
      <c r="E367" s="895"/>
      <c r="F367" s="896" t="s">
        <v>4826</v>
      </c>
      <c r="G367" s="897" t="s">
        <v>113</v>
      </c>
      <c r="H367" s="898">
        <v>309000</v>
      </c>
      <c r="I367" s="1435"/>
      <c r="J367" s="1446">
        <f t="shared" si="9"/>
        <v>0</v>
      </c>
      <c r="K367" s="898">
        <v>309000</v>
      </c>
    </row>
    <row r="368" spans="4:11" ht="22.8" hidden="1" customHeight="1">
      <c r="D368" s="913">
        <v>178</v>
      </c>
      <c r="E368" s="895"/>
      <c r="F368" s="896" t="s">
        <v>8421</v>
      </c>
      <c r="G368" s="897" t="s">
        <v>113</v>
      </c>
      <c r="H368" s="898">
        <v>310000</v>
      </c>
      <c r="I368" s="1435"/>
      <c r="J368" s="1446">
        <f t="shared" si="9"/>
        <v>0</v>
      </c>
      <c r="K368" s="898">
        <v>310000</v>
      </c>
    </row>
    <row r="369" spans="4:11" ht="22.8" hidden="1" customHeight="1">
      <c r="D369" s="913">
        <v>179</v>
      </c>
      <c r="E369" s="895"/>
      <c r="F369" s="896" t="s">
        <v>4828</v>
      </c>
      <c r="G369" s="897" t="s">
        <v>113</v>
      </c>
      <c r="H369" s="898">
        <v>435000</v>
      </c>
      <c r="I369" s="1435"/>
      <c r="J369" s="1446">
        <f t="shared" si="9"/>
        <v>0</v>
      </c>
      <c r="K369" s="898">
        <v>435000</v>
      </c>
    </row>
    <row r="370" spans="4:11" ht="22.8" hidden="1" customHeight="1">
      <c r="D370" s="913">
        <v>180</v>
      </c>
      <c r="E370" s="895"/>
      <c r="F370" s="896" t="s">
        <v>8423</v>
      </c>
      <c r="G370" s="897" t="s">
        <v>113</v>
      </c>
      <c r="H370" s="898">
        <v>436000</v>
      </c>
      <c r="I370" s="1435"/>
      <c r="J370" s="1446">
        <f t="shared" si="9"/>
        <v>0</v>
      </c>
      <c r="K370" s="898">
        <v>436000</v>
      </c>
    </row>
    <row r="371" spans="4:11" ht="22.8" hidden="1" customHeight="1">
      <c r="D371" s="913">
        <v>181</v>
      </c>
      <c r="E371" s="895"/>
      <c r="F371" s="896" t="s">
        <v>4830</v>
      </c>
      <c r="G371" s="897" t="s">
        <v>113</v>
      </c>
      <c r="H371" s="898">
        <v>395000</v>
      </c>
      <c r="I371" s="1435"/>
      <c r="J371" s="1446">
        <f t="shared" si="9"/>
        <v>0</v>
      </c>
      <c r="K371" s="898">
        <v>395000</v>
      </c>
    </row>
    <row r="372" spans="4:11" ht="22.8" hidden="1" customHeight="1">
      <c r="D372" s="913">
        <v>182</v>
      </c>
      <c r="E372" s="895"/>
      <c r="F372" s="896" t="s">
        <v>8425</v>
      </c>
      <c r="G372" s="897" t="s">
        <v>113</v>
      </c>
      <c r="H372" s="898">
        <v>396000</v>
      </c>
      <c r="I372" s="1435"/>
      <c r="J372" s="1446">
        <f t="shared" si="9"/>
        <v>0</v>
      </c>
      <c r="K372" s="898">
        <v>396000</v>
      </c>
    </row>
    <row r="373" spans="4:11" ht="22.8" hidden="1" customHeight="1">
      <c r="D373" s="913">
        <v>183</v>
      </c>
      <c r="E373" s="895"/>
      <c r="F373" s="896" t="s">
        <v>4832</v>
      </c>
      <c r="G373" s="897" t="s">
        <v>113</v>
      </c>
      <c r="H373" s="898">
        <v>417000</v>
      </c>
      <c r="I373" s="1435"/>
      <c r="J373" s="1446">
        <f t="shared" si="9"/>
        <v>0</v>
      </c>
      <c r="K373" s="898">
        <v>417000</v>
      </c>
    </row>
    <row r="374" spans="4:11" ht="22.8" hidden="1" customHeight="1">
      <c r="D374" s="913">
        <v>184</v>
      </c>
      <c r="E374" s="895"/>
      <c r="F374" s="896" t="s">
        <v>8427</v>
      </c>
      <c r="G374" s="897" t="s">
        <v>113</v>
      </c>
      <c r="H374" s="898">
        <v>418000</v>
      </c>
      <c r="I374" s="1435"/>
      <c r="J374" s="1446">
        <f t="shared" si="9"/>
        <v>0</v>
      </c>
      <c r="K374" s="898">
        <v>418000</v>
      </c>
    </row>
    <row r="375" spans="4:11" ht="22.8" hidden="1" customHeight="1">
      <c r="D375" s="913">
        <v>185</v>
      </c>
      <c r="E375" s="895"/>
      <c r="F375" s="896" t="s">
        <v>4834</v>
      </c>
      <c r="G375" s="897" t="s">
        <v>113</v>
      </c>
      <c r="H375" s="898">
        <v>467000</v>
      </c>
      <c r="I375" s="1435"/>
      <c r="J375" s="1446">
        <f t="shared" si="9"/>
        <v>0</v>
      </c>
      <c r="K375" s="898">
        <v>467000</v>
      </c>
    </row>
    <row r="376" spans="4:11" ht="22.8" hidden="1" customHeight="1">
      <c r="D376" s="913">
        <v>186</v>
      </c>
      <c r="E376" s="895"/>
      <c r="F376" s="896" t="s">
        <v>8429</v>
      </c>
      <c r="G376" s="897" t="s">
        <v>113</v>
      </c>
      <c r="H376" s="898">
        <v>468000</v>
      </c>
      <c r="I376" s="1435"/>
      <c r="J376" s="1446">
        <f t="shared" si="9"/>
        <v>0</v>
      </c>
      <c r="K376" s="898">
        <v>468000</v>
      </c>
    </row>
    <row r="377" spans="4:11" ht="22.8" hidden="1" customHeight="1">
      <c r="D377" s="913">
        <v>187</v>
      </c>
      <c r="E377" s="895"/>
      <c r="F377" s="896" t="s">
        <v>4836</v>
      </c>
      <c r="G377" s="897" t="s">
        <v>113</v>
      </c>
      <c r="H377" s="898">
        <v>512000</v>
      </c>
      <c r="I377" s="1435"/>
      <c r="J377" s="1446">
        <f t="shared" si="9"/>
        <v>0</v>
      </c>
      <c r="K377" s="898">
        <v>512000</v>
      </c>
    </row>
    <row r="378" spans="4:11" ht="22.8" hidden="1" customHeight="1">
      <c r="D378" s="913">
        <v>188</v>
      </c>
      <c r="E378" s="895"/>
      <c r="F378" s="896" t="s">
        <v>8431</v>
      </c>
      <c r="G378" s="897" t="s">
        <v>113</v>
      </c>
      <c r="H378" s="898">
        <v>513000</v>
      </c>
      <c r="I378" s="1435"/>
      <c r="J378" s="1446">
        <f t="shared" si="9"/>
        <v>0</v>
      </c>
      <c r="K378" s="898">
        <v>513000</v>
      </c>
    </row>
    <row r="379" spans="4:11" ht="22.8" hidden="1" customHeight="1">
      <c r="D379" s="913">
        <v>189</v>
      </c>
      <c r="E379" s="895"/>
      <c r="F379" s="896" t="s">
        <v>4838</v>
      </c>
      <c r="G379" s="897" t="s">
        <v>113</v>
      </c>
      <c r="H379" s="898">
        <v>593000</v>
      </c>
      <c r="I379" s="1435"/>
      <c r="J379" s="1446">
        <f t="shared" si="9"/>
        <v>0</v>
      </c>
      <c r="K379" s="898">
        <v>593000</v>
      </c>
    </row>
    <row r="380" spans="4:11" ht="22.8" hidden="1" customHeight="1">
      <c r="D380" s="913">
        <v>190</v>
      </c>
      <c r="E380" s="895"/>
      <c r="F380" s="896" t="s">
        <v>8433</v>
      </c>
      <c r="G380" s="897" t="s">
        <v>113</v>
      </c>
      <c r="H380" s="898">
        <v>594000</v>
      </c>
      <c r="I380" s="1435"/>
      <c r="J380" s="1446">
        <f t="shared" si="9"/>
        <v>0</v>
      </c>
      <c r="K380" s="898">
        <v>594000</v>
      </c>
    </row>
    <row r="381" spans="4:11" ht="22.8" hidden="1" customHeight="1">
      <c r="D381" s="913">
        <v>191</v>
      </c>
      <c r="E381" s="895"/>
      <c r="F381" s="896" t="s">
        <v>4840</v>
      </c>
      <c r="G381" s="897" t="s">
        <v>113</v>
      </c>
      <c r="H381" s="898">
        <v>612000</v>
      </c>
      <c r="I381" s="1435"/>
      <c r="J381" s="1446">
        <f t="shared" si="9"/>
        <v>0</v>
      </c>
      <c r="K381" s="898">
        <v>612000</v>
      </c>
    </row>
    <row r="382" spans="4:11" ht="22.8" hidden="1" customHeight="1">
      <c r="D382" s="913">
        <v>192</v>
      </c>
      <c r="E382" s="895"/>
      <c r="F382" s="896" t="s">
        <v>8435</v>
      </c>
      <c r="G382" s="897" t="s">
        <v>113</v>
      </c>
      <c r="H382" s="898">
        <v>61300</v>
      </c>
      <c r="I382" s="1435"/>
      <c r="J382" s="1446">
        <f t="shared" si="9"/>
        <v>0</v>
      </c>
      <c r="K382" s="898">
        <v>61300</v>
      </c>
    </row>
    <row r="383" spans="4:11" ht="22.8" hidden="1" customHeight="1">
      <c r="D383" s="913">
        <v>193</v>
      </c>
      <c r="E383" s="895"/>
      <c r="F383" s="896" t="s">
        <v>4842</v>
      </c>
      <c r="G383" s="897" t="s">
        <v>113</v>
      </c>
      <c r="H383" s="898">
        <v>655000</v>
      </c>
      <c r="I383" s="1435"/>
      <c r="J383" s="1446">
        <f t="shared" ref="J383:J446" si="10">I383-(I383*10%)</f>
        <v>0</v>
      </c>
      <c r="K383" s="898">
        <v>655000</v>
      </c>
    </row>
    <row r="384" spans="4:11" ht="22.8" hidden="1" customHeight="1">
      <c r="D384" s="913">
        <v>194</v>
      </c>
      <c r="E384" s="895"/>
      <c r="F384" s="896" t="s">
        <v>8437</v>
      </c>
      <c r="G384" s="897" t="s">
        <v>113</v>
      </c>
      <c r="H384" s="898">
        <v>656000</v>
      </c>
      <c r="I384" s="1435"/>
      <c r="J384" s="1446">
        <f t="shared" si="10"/>
        <v>0</v>
      </c>
      <c r="K384" s="898">
        <v>656000</v>
      </c>
    </row>
    <row r="385" spans="4:11" ht="22.8" hidden="1" customHeight="1">
      <c r="D385" s="913">
        <v>195</v>
      </c>
      <c r="E385" s="895"/>
      <c r="F385" s="896" t="s">
        <v>4844</v>
      </c>
      <c r="G385" s="897" t="s">
        <v>113</v>
      </c>
      <c r="H385" s="898">
        <v>697000</v>
      </c>
      <c r="I385" s="1435"/>
      <c r="J385" s="1446">
        <f t="shared" si="10"/>
        <v>0</v>
      </c>
      <c r="K385" s="898">
        <v>697000</v>
      </c>
    </row>
    <row r="386" spans="4:11" ht="22.8" hidden="1" customHeight="1">
      <c r="D386" s="913">
        <v>196</v>
      </c>
      <c r="E386" s="895"/>
      <c r="F386" s="896" t="s">
        <v>8439</v>
      </c>
      <c r="G386" s="897" t="s">
        <v>113</v>
      </c>
      <c r="H386" s="898">
        <v>698000</v>
      </c>
      <c r="I386" s="1435"/>
      <c r="J386" s="1446">
        <f t="shared" si="10"/>
        <v>0</v>
      </c>
      <c r="K386" s="898">
        <v>698000</v>
      </c>
    </row>
    <row r="387" spans="4:11" ht="22.8" hidden="1" customHeight="1">
      <c r="D387" s="913">
        <v>197</v>
      </c>
      <c r="E387" s="895"/>
      <c r="F387" s="896" t="s">
        <v>4846</v>
      </c>
      <c r="G387" s="897" t="s">
        <v>113</v>
      </c>
      <c r="H387" s="898">
        <v>715000</v>
      </c>
      <c r="I387" s="1435"/>
      <c r="J387" s="1446">
        <f t="shared" si="10"/>
        <v>0</v>
      </c>
      <c r="K387" s="898">
        <v>715000</v>
      </c>
    </row>
    <row r="388" spans="4:11" ht="22.8" hidden="1" customHeight="1">
      <c r="D388" s="913">
        <v>198</v>
      </c>
      <c r="E388" s="895"/>
      <c r="F388" s="896" t="s">
        <v>8441</v>
      </c>
      <c r="G388" s="897" t="s">
        <v>113</v>
      </c>
      <c r="H388" s="898">
        <v>716000</v>
      </c>
      <c r="I388" s="1435"/>
      <c r="J388" s="1446">
        <f t="shared" si="10"/>
        <v>0</v>
      </c>
      <c r="K388" s="898">
        <v>716000</v>
      </c>
    </row>
    <row r="389" spans="4:11" ht="22.8" hidden="1" customHeight="1">
      <c r="D389" s="913">
        <v>199</v>
      </c>
      <c r="E389" s="895"/>
      <c r="F389" s="896" t="s">
        <v>4848</v>
      </c>
      <c r="G389" s="897" t="s">
        <v>113</v>
      </c>
      <c r="H389" s="898">
        <v>756000</v>
      </c>
      <c r="I389" s="1435"/>
      <c r="J389" s="1446">
        <f t="shared" si="10"/>
        <v>0</v>
      </c>
      <c r="K389" s="898">
        <v>756000</v>
      </c>
    </row>
    <row r="390" spans="4:11" ht="22.8" hidden="1" customHeight="1">
      <c r="D390" s="913">
        <v>200</v>
      </c>
      <c r="E390" s="895"/>
      <c r="F390" s="896" t="s">
        <v>8443</v>
      </c>
      <c r="G390" s="897" t="s">
        <v>113</v>
      </c>
      <c r="H390" s="898">
        <v>757000</v>
      </c>
      <c r="I390" s="1435"/>
      <c r="J390" s="1446">
        <f t="shared" si="10"/>
        <v>0</v>
      </c>
      <c r="K390" s="898">
        <v>757000</v>
      </c>
    </row>
    <row r="391" spans="4:11" ht="22.8" hidden="1" customHeight="1">
      <c r="D391" s="913">
        <v>201</v>
      </c>
      <c r="E391" s="895"/>
      <c r="F391" s="896" t="s">
        <v>4850</v>
      </c>
      <c r="G391" s="897" t="s">
        <v>113</v>
      </c>
      <c r="H391" s="898">
        <v>799000</v>
      </c>
      <c r="I391" s="1435"/>
      <c r="J391" s="1446">
        <f t="shared" si="10"/>
        <v>0</v>
      </c>
      <c r="K391" s="898">
        <v>799000</v>
      </c>
    </row>
    <row r="392" spans="4:11" ht="22.8" hidden="1" customHeight="1">
      <c r="D392" s="913">
        <v>202</v>
      </c>
      <c r="E392" s="895"/>
      <c r="F392" s="896" t="s">
        <v>8445</v>
      </c>
      <c r="G392" s="897" t="s">
        <v>113</v>
      </c>
      <c r="H392" s="898">
        <v>780000</v>
      </c>
      <c r="I392" s="1435"/>
      <c r="J392" s="1446">
        <f t="shared" si="10"/>
        <v>0</v>
      </c>
      <c r="K392" s="898">
        <v>780000</v>
      </c>
    </row>
    <row r="393" spans="4:11" ht="22.8" hidden="1" customHeight="1">
      <c r="D393" s="913">
        <v>203</v>
      </c>
      <c r="E393" s="895"/>
      <c r="F393" s="896" t="s">
        <v>4852</v>
      </c>
      <c r="G393" s="897" t="s">
        <v>113</v>
      </c>
      <c r="H393" s="898">
        <v>830000</v>
      </c>
      <c r="I393" s="1435"/>
      <c r="J393" s="1446">
        <f t="shared" si="10"/>
        <v>0</v>
      </c>
      <c r="K393" s="898">
        <v>830000</v>
      </c>
    </row>
    <row r="394" spans="4:11" ht="22.8" hidden="1" customHeight="1">
      <c r="D394" s="913">
        <v>204</v>
      </c>
      <c r="E394" s="895"/>
      <c r="F394" s="896" t="s">
        <v>8447</v>
      </c>
      <c r="G394" s="897" t="s">
        <v>113</v>
      </c>
      <c r="H394" s="898">
        <v>831000</v>
      </c>
      <c r="I394" s="1435"/>
      <c r="J394" s="1446">
        <f t="shared" si="10"/>
        <v>0</v>
      </c>
      <c r="K394" s="898">
        <v>831000</v>
      </c>
    </row>
    <row r="395" spans="4:11" ht="22.8" hidden="1" customHeight="1">
      <c r="D395" s="913">
        <v>205</v>
      </c>
      <c r="E395" s="895"/>
      <c r="F395" s="896" t="s">
        <v>4854</v>
      </c>
      <c r="G395" s="897" t="s">
        <v>113</v>
      </c>
      <c r="H395" s="898">
        <v>867000</v>
      </c>
      <c r="I395" s="1435"/>
      <c r="J395" s="1446">
        <f t="shared" si="10"/>
        <v>0</v>
      </c>
      <c r="K395" s="898">
        <v>867000</v>
      </c>
    </row>
    <row r="396" spans="4:11" ht="22.8" hidden="1" customHeight="1">
      <c r="D396" s="913">
        <v>206</v>
      </c>
      <c r="E396" s="895"/>
      <c r="F396" s="896" t="s">
        <v>8449</v>
      </c>
      <c r="G396" s="897" t="s">
        <v>113</v>
      </c>
      <c r="H396" s="898">
        <v>868000</v>
      </c>
      <c r="I396" s="1435"/>
      <c r="J396" s="1446">
        <f t="shared" si="10"/>
        <v>0</v>
      </c>
      <c r="K396" s="898">
        <v>868000</v>
      </c>
    </row>
    <row r="397" spans="4:11" ht="22.8" hidden="1" customHeight="1">
      <c r="D397" s="913">
        <v>207</v>
      </c>
      <c r="E397" s="895"/>
      <c r="F397" s="896" t="s">
        <v>4856</v>
      </c>
      <c r="G397" s="897" t="s">
        <v>113</v>
      </c>
      <c r="H397" s="898">
        <v>51000</v>
      </c>
      <c r="I397" s="1435"/>
      <c r="J397" s="1446">
        <f t="shared" si="10"/>
        <v>0</v>
      </c>
      <c r="K397" s="898">
        <v>51000</v>
      </c>
    </row>
    <row r="398" spans="4:11" ht="22.8" hidden="1" customHeight="1">
      <c r="D398" s="913">
        <v>208</v>
      </c>
      <c r="E398" s="895"/>
      <c r="F398" s="896" t="s">
        <v>8451</v>
      </c>
      <c r="G398" s="897" t="s">
        <v>113</v>
      </c>
      <c r="H398" s="898">
        <v>52000</v>
      </c>
      <c r="I398" s="1435"/>
      <c r="J398" s="1446">
        <f t="shared" si="10"/>
        <v>0</v>
      </c>
      <c r="K398" s="898">
        <v>52000</v>
      </c>
    </row>
    <row r="399" spans="4:11" ht="22.8" hidden="1" customHeight="1">
      <c r="D399" s="913">
        <v>209</v>
      </c>
      <c r="E399" s="895"/>
      <c r="F399" s="896" t="s">
        <v>4858</v>
      </c>
      <c r="G399" s="897" t="s">
        <v>113</v>
      </c>
      <c r="H399" s="898">
        <v>67000</v>
      </c>
      <c r="I399" s="1435"/>
      <c r="J399" s="1446">
        <f t="shared" si="10"/>
        <v>0</v>
      </c>
      <c r="K399" s="898">
        <v>67000</v>
      </c>
    </row>
    <row r="400" spans="4:11" ht="22.8" hidden="1" customHeight="1">
      <c r="D400" s="913">
        <v>210</v>
      </c>
      <c r="E400" s="895"/>
      <c r="F400" s="896" t="s">
        <v>8453</v>
      </c>
      <c r="G400" s="897" t="s">
        <v>113</v>
      </c>
      <c r="H400" s="898">
        <v>68000</v>
      </c>
      <c r="I400" s="1435"/>
      <c r="J400" s="1446">
        <f t="shared" si="10"/>
        <v>0</v>
      </c>
      <c r="K400" s="898">
        <v>68000</v>
      </c>
    </row>
    <row r="401" spans="4:11" ht="22.8" hidden="1" customHeight="1">
      <c r="D401" s="913">
        <v>211</v>
      </c>
      <c r="E401" s="895"/>
      <c r="F401" s="896" t="s">
        <v>4860</v>
      </c>
      <c r="G401" s="897" t="s">
        <v>113</v>
      </c>
      <c r="H401" s="898">
        <v>71000</v>
      </c>
      <c r="I401" s="1435"/>
      <c r="J401" s="1446">
        <f t="shared" si="10"/>
        <v>0</v>
      </c>
      <c r="K401" s="898">
        <v>71000</v>
      </c>
    </row>
    <row r="402" spans="4:11" ht="22.8" hidden="1" customHeight="1">
      <c r="D402" s="913">
        <v>212</v>
      </c>
      <c r="E402" s="895"/>
      <c r="F402" s="896" t="s">
        <v>8455</v>
      </c>
      <c r="G402" s="897" t="s">
        <v>113</v>
      </c>
      <c r="H402" s="898">
        <v>72000</v>
      </c>
      <c r="I402" s="1435"/>
      <c r="J402" s="1446">
        <f t="shared" si="10"/>
        <v>0</v>
      </c>
      <c r="K402" s="898">
        <v>72000</v>
      </c>
    </row>
    <row r="403" spans="4:11" ht="22.8" hidden="1" customHeight="1">
      <c r="D403" s="913">
        <v>213</v>
      </c>
      <c r="E403" s="895"/>
      <c r="F403" s="896" t="s">
        <v>4862</v>
      </c>
      <c r="G403" s="897" t="s">
        <v>113</v>
      </c>
      <c r="H403" s="898">
        <v>79000</v>
      </c>
      <c r="I403" s="1435"/>
      <c r="J403" s="1446">
        <f t="shared" si="10"/>
        <v>0</v>
      </c>
      <c r="K403" s="898">
        <v>79000</v>
      </c>
    </row>
    <row r="404" spans="4:11" ht="22.8" hidden="1" customHeight="1">
      <c r="D404" s="913">
        <v>214</v>
      </c>
      <c r="E404" s="895"/>
      <c r="F404" s="896" t="s">
        <v>8457</v>
      </c>
      <c r="G404" s="897" t="s">
        <v>113</v>
      </c>
      <c r="H404" s="898">
        <v>80000</v>
      </c>
      <c r="I404" s="1435"/>
      <c r="J404" s="1446">
        <f t="shared" si="10"/>
        <v>0</v>
      </c>
      <c r="K404" s="898">
        <v>80000</v>
      </c>
    </row>
    <row r="405" spans="4:11" ht="22.8" hidden="1" customHeight="1">
      <c r="D405" s="913">
        <v>215</v>
      </c>
      <c r="E405" s="895"/>
      <c r="F405" s="896" t="s">
        <v>4864</v>
      </c>
      <c r="G405" s="897" t="s">
        <v>113</v>
      </c>
      <c r="H405" s="898">
        <v>86000</v>
      </c>
      <c r="I405" s="1435"/>
      <c r="J405" s="1446">
        <f t="shared" si="10"/>
        <v>0</v>
      </c>
      <c r="K405" s="898">
        <v>86000</v>
      </c>
    </row>
    <row r="406" spans="4:11" ht="22.8" hidden="1" customHeight="1">
      <c r="D406" s="913">
        <v>216</v>
      </c>
      <c r="E406" s="895"/>
      <c r="F406" s="896" t="s">
        <v>8459</v>
      </c>
      <c r="G406" s="897" t="s">
        <v>113</v>
      </c>
      <c r="H406" s="898">
        <v>87000</v>
      </c>
      <c r="I406" s="1435"/>
      <c r="J406" s="1446">
        <f t="shared" si="10"/>
        <v>0</v>
      </c>
      <c r="K406" s="898">
        <v>87000</v>
      </c>
    </row>
    <row r="407" spans="4:11" ht="22.8" hidden="1" customHeight="1">
      <c r="D407" s="913">
        <v>217</v>
      </c>
      <c r="E407" s="895"/>
      <c r="F407" s="896" t="s">
        <v>4866</v>
      </c>
      <c r="G407" s="897" t="s">
        <v>113</v>
      </c>
      <c r="H407" s="898">
        <v>94000</v>
      </c>
      <c r="I407" s="1435"/>
      <c r="J407" s="1446">
        <f t="shared" si="10"/>
        <v>0</v>
      </c>
      <c r="K407" s="898">
        <v>94000</v>
      </c>
    </row>
    <row r="408" spans="4:11" ht="22.8" hidden="1" customHeight="1">
      <c r="D408" s="913">
        <v>218</v>
      </c>
      <c r="E408" s="895"/>
      <c r="F408" s="896" t="s">
        <v>8461</v>
      </c>
      <c r="G408" s="897" t="s">
        <v>113</v>
      </c>
      <c r="H408" s="898">
        <v>95000</v>
      </c>
      <c r="I408" s="1435"/>
      <c r="J408" s="1446">
        <f t="shared" si="10"/>
        <v>0</v>
      </c>
      <c r="K408" s="898">
        <v>95000</v>
      </c>
    </row>
    <row r="409" spans="4:11" ht="22.8" hidden="1" customHeight="1">
      <c r="D409" s="913">
        <v>219</v>
      </c>
      <c r="E409" s="895"/>
      <c r="F409" s="896" t="s">
        <v>4870</v>
      </c>
      <c r="G409" s="897" t="s">
        <v>1974</v>
      </c>
      <c r="H409" s="898">
        <v>75000</v>
      </c>
      <c r="I409" s="1435"/>
      <c r="J409" s="1446">
        <f t="shared" si="10"/>
        <v>0</v>
      </c>
      <c r="K409" s="898">
        <v>75000</v>
      </c>
    </row>
    <row r="410" spans="4:11" ht="22.8" hidden="1" customHeight="1">
      <c r="D410" s="913">
        <v>220</v>
      </c>
      <c r="E410" s="895"/>
      <c r="F410" s="896" t="s">
        <v>8463</v>
      </c>
      <c r="G410" s="897" t="s">
        <v>1974</v>
      </c>
      <c r="H410" s="898">
        <v>75000</v>
      </c>
      <c r="I410" s="1435"/>
      <c r="J410" s="1446">
        <f t="shared" si="10"/>
        <v>0</v>
      </c>
      <c r="K410" s="898">
        <v>75000</v>
      </c>
    </row>
    <row r="411" spans="4:11" ht="22.8" hidden="1" customHeight="1">
      <c r="D411" s="913">
        <v>221</v>
      </c>
      <c r="E411" s="895"/>
      <c r="F411" s="896" t="s">
        <v>4891</v>
      </c>
      <c r="G411" s="897" t="s">
        <v>113</v>
      </c>
      <c r="H411" s="898">
        <v>24700</v>
      </c>
      <c r="I411" s="1435"/>
      <c r="J411" s="1446">
        <f t="shared" si="10"/>
        <v>0</v>
      </c>
      <c r="K411" s="898">
        <v>24700</v>
      </c>
    </row>
    <row r="412" spans="4:11" ht="22.8" hidden="1" customHeight="1">
      <c r="D412" s="913">
        <v>222</v>
      </c>
      <c r="E412" s="895"/>
      <c r="F412" s="896" t="s">
        <v>8480</v>
      </c>
      <c r="G412" s="897" t="s">
        <v>113</v>
      </c>
      <c r="H412" s="898">
        <v>25000</v>
      </c>
      <c r="I412" s="1435"/>
      <c r="J412" s="1446">
        <f t="shared" si="10"/>
        <v>0</v>
      </c>
      <c r="K412" s="898">
        <v>25000</v>
      </c>
    </row>
    <row r="413" spans="4:11" ht="22.8" hidden="1" customHeight="1">
      <c r="D413" s="913">
        <v>223</v>
      </c>
      <c r="E413" s="895"/>
      <c r="F413" s="896" t="s">
        <v>4895</v>
      </c>
      <c r="G413" s="897" t="s">
        <v>113</v>
      </c>
      <c r="H413" s="898">
        <v>49000</v>
      </c>
      <c r="I413" s="1435"/>
      <c r="J413" s="1446">
        <f t="shared" si="10"/>
        <v>0</v>
      </c>
      <c r="K413" s="898">
        <v>49000</v>
      </c>
    </row>
    <row r="414" spans="4:11" ht="22.8" hidden="1" customHeight="1">
      <c r="D414" s="913">
        <v>224</v>
      </c>
      <c r="E414" s="895"/>
      <c r="F414" s="896" t="s">
        <v>8482</v>
      </c>
      <c r="G414" s="897" t="s">
        <v>113</v>
      </c>
      <c r="H414" s="898">
        <v>50000</v>
      </c>
      <c r="I414" s="1435"/>
      <c r="J414" s="1446">
        <f t="shared" si="10"/>
        <v>0</v>
      </c>
      <c r="K414" s="898">
        <v>50000</v>
      </c>
    </row>
    <row r="415" spans="4:11" ht="22.8" hidden="1" customHeight="1">
      <c r="D415" s="913">
        <v>225</v>
      </c>
      <c r="E415" s="895"/>
      <c r="F415" s="896" t="s">
        <v>4894</v>
      </c>
      <c r="G415" s="897" t="s">
        <v>113</v>
      </c>
      <c r="H415" s="898">
        <v>57000</v>
      </c>
      <c r="I415" s="1435"/>
      <c r="J415" s="1446">
        <f t="shared" si="10"/>
        <v>0</v>
      </c>
      <c r="K415" s="898">
        <v>57000</v>
      </c>
    </row>
    <row r="416" spans="4:11" ht="22.8" hidden="1" customHeight="1">
      <c r="D416" s="913">
        <v>226</v>
      </c>
      <c r="E416" s="895"/>
      <c r="F416" s="896" t="s">
        <v>8484</v>
      </c>
      <c r="G416" s="897" t="s">
        <v>113</v>
      </c>
      <c r="H416" s="898">
        <v>58000</v>
      </c>
      <c r="I416" s="1435"/>
      <c r="J416" s="1446">
        <f t="shared" si="10"/>
        <v>0</v>
      </c>
      <c r="K416" s="898">
        <v>58000</v>
      </c>
    </row>
    <row r="417" spans="4:11" ht="22.8" hidden="1" customHeight="1">
      <c r="D417" s="913">
        <v>227</v>
      </c>
      <c r="E417" s="895"/>
      <c r="F417" s="896" t="s">
        <v>4897</v>
      </c>
      <c r="G417" s="897" t="s">
        <v>113</v>
      </c>
      <c r="H417" s="898">
        <v>63000</v>
      </c>
      <c r="I417" s="1435"/>
      <c r="J417" s="1446">
        <f t="shared" si="10"/>
        <v>0</v>
      </c>
      <c r="K417" s="898">
        <v>63000</v>
      </c>
    </row>
    <row r="418" spans="4:11" ht="22.8" hidden="1" customHeight="1">
      <c r="D418" s="913">
        <v>228</v>
      </c>
      <c r="E418" s="895"/>
      <c r="F418" s="896" t="s">
        <v>8486</v>
      </c>
      <c r="G418" s="897" t="s">
        <v>113</v>
      </c>
      <c r="H418" s="898">
        <v>64000</v>
      </c>
      <c r="I418" s="1435"/>
      <c r="J418" s="1446">
        <f t="shared" si="10"/>
        <v>0</v>
      </c>
      <c r="K418" s="898">
        <v>64000</v>
      </c>
    </row>
    <row r="419" spans="4:11" ht="22.8" hidden="1" customHeight="1">
      <c r="D419" s="913">
        <v>229</v>
      </c>
      <c r="E419" s="895"/>
      <c r="F419" s="896" t="s">
        <v>4899</v>
      </c>
      <c r="G419" s="897" t="s">
        <v>113</v>
      </c>
      <c r="H419" s="898">
        <v>74000</v>
      </c>
      <c r="I419" s="1435"/>
      <c r="J419" s="1446">
        <f t="shared" si="10"/>
        <v>0</v>
      </c>
      <c r="K419" s="898">
        <v>74000</v>
      </c>
    </row>
    <row r="420" spans="4:11" ht="22.8" hidden="1" customHeight="1">
      <c r="D420" s="913">
        <v>230</v>
      </c>
      <c r="E420" s="895"/>
      <c r="F420" s="896" t="s">
        <v>8489</v>
      </c>
      <c r="G420" s="897" t="s">
        <v>113</v>
      </c>
      <c r="H420" s="898">
        <v>75000</v>
      </c>
      <c r="I420" s="1435"/>
      <c r="J420" s="1446">
        <f t="shared" si="10"/>
        <v>0</v>
      </c>
      <c r="K420" s="898">
        <v>75000</v>
      </c>
    </row>
    <row r="421" spans="4:11" ht="22.8" hidden="1" customHeight="1">
      <c r="D421" s="913">
        <v>231</v>
      </c>
      <c r="E421" s="895"/>
      <c r="F421" s="896" t="s">
        <v>4901</v>
      </c>
      <c r="G421" s="897" t="s">
        <v>113</v>
      </c>
      <c r="H421" s="898">
        <v>81000</v>
      </c>
      <c r="I421" s="1435"/>
      <c r="J421" s="1446">
        <f t="shared" si="10"/>
        <v>0</v>
      </c>
      <c r="K421" s="898">
        <v>81000</v>
      </c>
    </row>
    <row r="422" spans="4:11" ht="22.8" hidden="1" customHeight="1">
      <c r="D422" s="913">
        <v>232</v>
      </c>
      <c r="E422" s="895"/>
      <c r="F422" s="896" t="s">
        <v>8488</v>
      </c>
      <c r="G422" s="897" t="s">
        <v>113</v>
      </c>
      <c r="H422" s="898">
        <v>82000</v>
      </c>
      <c r="I422" s="1435"/>
      <c r="J422" s="1446">
        <f t="shared" si="10"/>
        <v>0</v>
      </c>
      <c r="K422" s="898">
        <v>82000</v>
      </c>
    </row>
    <row r="423" spans="4:11" ht="22.8" hidden="1" customHeight="1">
      <c r="D423" s="913">
        <v>233</v>
      </c>
      <c r="E423" s="895"/>
      <c r="F423" s="896" t="s">
        <v>4905</v>
      </c>
      <c r="G423" s="897" t="s">
        <v>113</v>
      </c>
      <c r="H423" s="898">
        <v>93000</v>
      </c>
      <c r="I423" s="1435"/>
      <c r="J423" s="1446">
        <f t="shared" si="10"/>
        <v>0</v>
      </c>
      <c r="K423" s="898">
        <v>93000</v>
      </c>
    </row>
    <row r="424" spans="4:11" ht="22.8" hidden="1" customHeight="1">
      <c r="D424" s="913">
        <v>234</v>
      </c>
      <c r="E424" s="895"/>
      <c r="F424" s="896" t="s">
        <v>8492</v>
      </c>
      <c r="G424" s="897" t="s">
        <v>113</v>
      </c>
      <c r="H424" s="898">
        <v>94000</v>
      </c>
      <c r="I424" s="1435"/>
      <c r="J424" s="1446">
        <f t="shared" si="10"/>
        <v>0</v>
      </c>
      <c r="K424" s="898">
        <v>94000</v>
      </c>
    </row>
    <row r="425" spans="4:11" ht="22.8" hidden="1" customHeight="1">
      <c r="D425" s="913">
        <v>235</v>
      </c>
      <c r="E425" s="895"/>
      <c r="F425" s="896" t="s">
        <v>4904</v>
      </c>
      <c r="G425" s="897" t="s">
        <v>113</v>
      </c>
      <c r="H425" s="898">
        <v>101000</v>
      </c>
      <c r="I425" s="1435"/>
      <c r="J425" s="1446">
        <f t="shared" si="10"/>
        <v>0</v>
      </c>
      <c r="K425" s="898">
        <v>101000</v>
      </c>
    </row>
    <row r="426" spans="4:11" ht="22.8" hidden="1" customHeight="1">
      <c r="D426" s="913">
        <v>236</v>
      </c>
      <c r="E426" s="895"/>
      <c r="F426" s="896" t="s">
        <v>8494</v>
      </c>
      <c r="G426" s="897" t="s">
        <v>113</v>
      </c>
      <c r="H426" s="898">
        <v>102000</v>
      </c>
      <c r="I426" s="1435"/>
      <c r="J426" s="1446">
        <f t="shared" si="10"/>
        <v>0</v>
      </c>
      <c r="K426" s="898">
        <v>102000</v>
      </c>
    </row>
    <row r="427" spans="4:11" ht="22.8" hidden="1" customHeight="1">
      <c r="D427" s="913">
        <v>237</v>
      </c>
      <c r="E427" s="895"/>
      <c r="F427" s="896" t="s">
        <v>4907</v>
      </c>
      <c r="G427" s="897" t="s">
        <v>113</v>
      </c>
      <c r="H427" s="898">
        <v>123000</v>
      </c>
      <c r="I427" s="1435"/>
      <c r="J427" s="1446">
        <f t="shared" si="10"/>
        <v>0</v>
      </c>
      <c r="K427" s="898">
        <v>123000</v>
      </c>
    </row>
    <row r="428" spans="4:11" ht="22.8" hidden="1" customHeight="1">
      <c r="D428" s="913">
        <v>238</v>
      </c>
      <c r="E428" s="895"/>
      <c r="F428" s="896" t="s">
        <v>8496</v>
      </c>
      <c r="G428" s="897" t="s">
        <v>113</v>
      </c>
      <c r="H428" s="898">
        <v>124000</v>
      </c>
      <c r="I428" s="1435"/>
      <c r="J428" s="1446">
        <f t="shared" si="10"/>
        <v>0</v>
      </c>
      <c r="K428" s="898">
        <v>124000</v>
      </c>
    </row>
    <row r="429" spans="4:11" ht="22.8" hidden="1" customHeight="1">
      <c r="D429" s="913">
        <v>239</v>
      </c>
      <c r="E429" s="895"/>
      <c r="F429" s="896" t="s">
        <v>4909</v>
      </c>
      <c r="G429" s="897" t="s">
        <v>113</v>
      </c>
      <c r="H429" s="898">
        <v>142000</v>
      </c>
      <c r="I429" s="1435"/>
      <c r="J429" s="1446">
        <f t="shared" si="10"/>
        <v>0</v>
      </c>
      <c r="K429" s="898">
        <v>142000</v>
      </c>
    </row>
    <row r="430" spans="4:11" ht="22.8" hidden="1" customHeight="1">
      <c r="D430" s="913">
        <v>240</v>
      </c>
      <c r="E430" s="895"/>
      <c r="F430" s="896" t="s">
        <v>8498</v>
      </c>
      <c r="G430" s="897" t="s">
        <v>113</v>
      </c>
      <c r="H430" s="898">
        <v>143000</v>
      </c>
      <c r="I430" s="1435"/>
      <c r="J430" s="1446">
        <f t="shared" si="10"/>
        <v>0</v>
      </c>
      <c r="K430" s="898">
        <v>143000</v>
      </c>
    </row>
    <row r="431" spans="4:11" ht="22.8" hidden="1" customHeight="1">
      <c r="D431" s="913">
        <v>241</v>
      </c>
      <c r="E431" s="895"/>
      <c r="F431" s="896" t="s">
        <v>4911</v>
      </c>
      <c r="G431" s="897" t="s">
        <v>113</v>
      </c>
      <c r="H431" s="898">
        <v>156000</v>
      </c>
      <c r="I431" s="1435"/>
      <c r="J431" s="1446">
        <f t="shared" si="10"/>
        <v>0</v>
      </c>
      <c r="K431" s="898">
        <v>156000</v>
      </c>
    </row>
    <row r="432" spans="4:11" ht="22.8" hidden="1" customHeight="1">
      <c r="D432" s="913">
        <v>242</v>
      </c>
      <c r="E432" s="895"/>
      <c r="F432" s="896" t="s">
        <v>8500</v>
      </c>
      <c r="G432" s="897" t="s">
        <v>113</v>
      </c>
      <c r="H432" s="898">
        <v>157000</v>
      </c>
      <c r="I432" s="1435"/>
      <c r="J432" s="1446">
        <f t="shared" si="10"/>
        <v>0</v>
      </c>
      <c r="K432" s="898">
        <v>157000</v>
      </c>
    </row>
    <row r="433" spans="4:11" ht="22.8" hidden="1" customHeight="1">
      <c r="D433" s="913">
        <v>243</v>
      </c>
      <c r="E433" s="895"/>
      <c r="F433" s="896" t="s">
        <v>4913</v>
      </c>
      <c r="G433" s="897" t="s">
        <v>113</v>
      </c>
      <c r="H433" s="898">
        <v>164000</v>
      </c>
      <c r="I433" s="1435"/>
      <c r="J433" s="1446">
        <f t="shared" si="10"/>
        <v>0</v>
      </c>
      <c r="K433" s="898">
        <v>164000</v>
      </c>
    </row>
    <row r="434" spans="4:11" ht="22.8" hidden="1" customHeight="1">
      <c r="D434" s="913">
        <v>244</v>
      </c>
      <c r="E434" s="895"/>
      <c r="F434" s="896" t="s">
        <v>8502</v>
      </c>
      <c r="G434" s="897" t="s">
        <v>113</v>
      </c>
      <c r="H434" s="898">
        <v>165000</v>
      </c>
      <c r="I434" s="1435"/>
      <c r="J434" s="1446">
        <f t="shared" si="10"/>
        <v>0</v>
      </c>
      <c r="K434" s="898">
        <v>165000</v>
      </c>
    </row>
    <row r="435" spans="4:11" ht="22.8" hidden="1" customHeight="1">
      <c r="D435" s="913">
        <v>245</v>
      </c>
      <c r="E435" s="895"/>
      <c r="F435" s="896" t="s">
        <v>4915</v>
      </c>
      <c r="G435" s="897" t="s">
        <v>113</v>
      </c>
      <c r="H435" s="898">
        <v>172000</v>
      </c>
      <c r="I435" s="1435"/>
      <c r="J435" s="1446">
        <f t="shared" si="10"/>
        <v>0</v>
      </c>
      <c r="K435" s="898">
        <v>172000</v>
      </c>
    </row>
    <row r="436" spans="4:11" ht="22.8" hidden="1" customHeight="1">
      <c r="D436" s="913">
        <v>246</v>
      </c>
      <c r="E436" s="895"/>
      <c r="F436" s="896" t="s">
        <v>8504</v>
      </c>
      <c r="G436" s="897" t="s">
        <v>113</v>
      </c>
      <c r="H436" s="898">
        <v>173000</v>
      </c>
      <c r="I436" s="1435"/>
      <c r="J436" s="1446">
        <f t="shared" si="10"/>
        <v>0</v>
      </c>
      <c r="K436" s="898">
        <v>173000</v>
      </c>
    </row>
    <row r="437" spans="4:11" ht="22.8" hidden="1" customHeight="1">
      <c r="D437" s="913">
        <v>247</v>
      </c>
      <c r="E437" s="895"/>
      <c r="F437" s="896" t="s">
        <v>4917</v>
      </c>
      <c r="G437" s="897" t="s">
        <v>113</v>
      </c>
      <c r="H437" s="898">
        <v>186000</v>
      </c>
      <c r="I437" s="1435"/>
      <c r="J437" s="1446">
        <f t="shared" si="10"/>
        <v>0</v>
      </c>
      <c r="K437" s="898">
        <v>186000</v>
      </c>
    </row>
    <row r="438" spans="4:11" ht="22.8" hidden="1" customHeight="1">
      <c r="D438" s="913">
        <v>248</v>
      </c>
      <c r="E438" s="895"/>
      <c r="F438" s="896" t="s">
        <v>8506</v>
      </c>
      <c r="G438" s="897" t="s">
        <v>113</v>
      </c>
      <c r="H438" s="898">
        <v>187000</v>
      </c>
      <c r="I438" s="1435"/>
      <c r="J438" s="1446">
        <f t="shared" si="10"/>
        <v>0</v>
      </c>
      <c r="K438" s="898">
        <v>187000</v>
      </c>
    </row>
    <row r="439" spans="4:11" ht="22.8" hidden="1" customHeight="1">
      <c r="D439" s="913">
        <v>249</v>
      </c>
      <c r="E439" s="895"/>
      <c r="F439" s="896" t="s">
        <v>4919</v>
      </c>
      <c r="G439" s="897" t="s">
        <v>113</v>
      </c>
      <c r="H439" s="898">
        <v>197000</v>
      </c>
      <c r="I439" s="1435"/>
      <c r="J439" s="1446">
        <f t="shared" si="10"/>
        <v>0</v>
      </c>
      <c r="K439" s="898">
        <v>197000</v>
      </c>
    </row>
    <row r="440" spans="4:11" ht="22.8" hidden="1" customHeight="1">
      <c r="D440" s="913">
        <v>250</v>
      </c>
      <c r="E440" s="895"/>
      <c r="F440" s="896" t="s">
        <v>8508</v>
      </c>
      <c r="G440" s="897" t="s">
        <v>113</v>
      </c>
      <c r="H440" s="898">
        <v>198000</v>
      </c>
      <c r="I440" s="1435"/>
      <c r="J440" s="1446">
        <f t="shared" si="10"/>
        <v>0</v>
      </c>
      <c r="K440" s="898">
        <v>198000</v>
      </c>
    </row>
    <row r="441" spans="4:11" ht="22.8" hidden="1" customHeight="1">
      <c r="D441" s="913">
        <v>251</v>
      </c>
      <c r="E441" s="895"/>
      <c r="F441" s="896" t="s">
        <v>4921</v>
      </c>
      <c r="G441" s="897" t="s">
        <v>113</v>
      </c>
      <c r="H441" s="898">
        <v>215000</v>
      </c>
      <c r="I441" s="1435"/>
      <c r="J441" s="1446">
        <f t="shared" si="10"/>
        <v>0</v>
      </c>
      <c r="K441" s="898">
        <v>215000</v>
      </c>
    </row>
    <row r="442" spans="4:11" ht="22.8" hidden="1" customHeight="1">
      <c r="D442" s="913">
        <v>252</v>
      </c>
      <c r="E442" s="895"/>
      <c r="F442" s="896" t="s">
        <v>8510</v>
      </c>
      <c r="G442" s="897" t="s">
        <v>113</v>
      </c>
      <c r="H442" s="898">
        <v>216000</v>
      </c>
      <c r="I442" s="1435"/>
      <c r="J442" s="1446">
        <f t="shared" si="10"/>
        <v>0</v>
      </c>
      <c r="K442" s="898">
        <v>216000</v>
      </c>
    </row>
    <row r="443" spans="4:11" ht="22.8" hidden="1" customHeight="1">
      <c r="D443" s="913">
        <v>253</v>
      </c>
      <c r="E443" s="895"/>
      <c r="F443" s="896" t="s">
        <v>4924</v>
      </c>
      <c r="G443" s="897" t="s">
        <v>113</v>
      </c>
      <c r="H443" s="898">
        <v>12500</v>
      </c>
      <c r="I443" s="1435"/>
      <c r="J443" s="1446">
        <f t="shared" si="10"/>
        <v>0</v>
      </c>
      <c r="K443" s="898">
        <v>12500</v>
      </c>
    </row>
    <row r="444" spans="4:11" ht="22.8" hidden="1" customHeight="1">
      <c r="D444" s="913">
        <v>254</v>
      </c>
      <c r="E444" s="895"/>
      <c r="F444" s="896" t="s">
        <v>8512</v>
      </c>
      <c r="G444" s="897" t="s">
        <v>113</v>
      </c>
      <c r="H444" s="898">
        <v>13000</v>
      </c>
      <c r="I444" s="1435"/>
      <c r="J444" s="1446">
        <f t="shared" si="10"/>
        <v>0</v>
      </c>
      <c r="K444" s="898">
        <v>13000</v>
      </c>
    </row>
    <row r="445" spans="4:11" ht="22.8" hidden="1" customHeight="1">
      <c r="D445" s="913">
        <v>255</v>
      </c>
      <c r="E445" s="895"/>
      <c r="F445" s="896" t="s">
        <v>4926</v>
      </c>
      <c r="G445" s="897" t="s">
        <v>113</v>
      </c>
      <c r="H445" s="898">
        <v>17900</v>
      </c>
      <c r="I445" s="1435"/>
      <c r="J445" s="1446">
        <f t="shared" si="10"/>
        <v>0</v>
      </c>
      <c r="K445" s="898">
        <v>17900</v>
      </c>
    </row>
    <row r="446" spans="4:11" ht="22.8" hidden="1" customHeight="1">
      <c r="D446" s="913">
        <v>256</v>
      </c>
      <c r="E446" s="895"/>
      <c r="F446" s="896" t="s">
        <v>8514</v>
      </c>
      <c r="G446" s="897" t="s">
        <v>113</v>
      </c>
      <c r="H446" s="898">
        <v>18000</v>
      </c>
      <c r="I446" s="1435"/>
      <c r="J446" s="1446">
        <f t="shared" si="10"/>
        <v>0</v>
      </c>
      <c r="K446" s="898">
        <v>18000</v>
      </c>
    </row>
    <row r="447" spans="4:11" ht="22.8" hidden="1" customHeight="1">
      <c r="D447" s="913">
        <v>257</v>
      </c>
      <c r="E447" s="895"/>
      <c r="F447" s="896" t="s">
        <v>4928</v>
      </c>
      <c r="G447" s="897" t="s">
        <v>113</v>
      </c>
      <c r="H447" s="898">
        <v>20700</v>
      </c>
      <c r="I447" s="1435"/>
      <c r="J447" s="1446">
        <f t="shared" ref="J447:J510" si="11">I447-(I447*10%)</f>
        <v>0</v>
      </c>
      <c r="K447" s="898">
        <v>20700</v>
      </c>
    </row>
    <row r="448" spans="4:11" ht="22.8" hidden="1" customHeight="1">
      <c r="D448" s="913">
        <v>258</v>
      </c>
      <c r="E448" s="895"/>
      <c r="F448" s="896" t="s">
        <v>8516</v>
      </c>
      <c r="G448" s="897" t="s">
        <v>113</v>
      </c>
      <c r="H448" s="898">
        <v>21000</v>
      </c>
      <c r="I448" s="1435"/>
      <c r="J448" s="1446">
        <f t="shared" si="11"/>
        <v>0</v>
      </c>
      <c r="K448" s="898">
        <v>21000</v>
      </c>
    </row>
    <row r="449" spans="4:11" ht="22.8" hidden="1" customHeight="1">
      <c r="D449" s="913">
        <v>259</v>
      </c>
      <c r="E449" s="895"/>
      <c r="F449" s="896" t="s">
        <v>4930</v>
      </c>
      <c r="G449" s="897" t="s">
        <v>113</v>
      </c>
      <c r="H449" s="898">
        <v>21300</v>
      </c>
      <c r="I449" s="1435"/>
      <c r="J449" s="1446">
        <f t="shared" si="11"/>
        <v>0</v>
      </c>
      <c r="K449" s="898">
        <v>21300</v>
      </c>
    </row>
    <row r="450" spans="4:11" ht="22.8" hidden="1" customHeight="1">
      <c r="D450" s="913">
        <v>260</v>
      </c>
      <c r="E450" s="895"/>
      <c r="F450" s="896" t="s">
        <v>8518</v>
      </c>
      <c r="G450" s="897" t="s">
        <v>113</v>
      </c>
      <c r="H450" s="898">
        <v>22000</v>
      </c>
      <c r="I450" s="1435"/>
      <c r="J450" s="1446">
        <f t="shared" si="11"/>
        <v>0</v>
      </c>
      <c r="K450" s="898">
        <v>22000</v>
      </c>
    </row>
    <row r="451" spans="4:11" ht="22.8" hidden="1" customHeight="1">
      <c r="D451" s="913">
        <v>261</v>
      </c>
      <c r="E451" s="895"/>
      <c r="F451" s="896" t="s">
        <v>4932</v>
      </c>
      <c r="G451" s="897" t="s">
        <v>113</v>
      </c>
      <c r="H451" s="898">
        <v>22500</v>
      </c>
      <c r="I451" s="1435"/>
      <c r="J451" s="1446">
        <f t="shared" si="11"/>
        <v>0</v>
      </c>
      <c r="K451" s="898">
        <v>22500</v>
      </c>
    </row>
    <row r="452" spans="4:11" ht="22.8" hidden="1" customHeight="1">
      <c r="D452" s="913">
        <v>262</v>
      </c>
      <c r="E452" s="895"/>
      <c r="F452" s="896" t="s">
        <v>8520</v>
      </c>
      <c r="G452" s="897" t="s">
        <v>113</v>
      </c>
      <c r="H452" s="898">
        <v>23000</v>
      </c>
      <c r="I452" s="1435"/>
      <c r="J452" s="1446">
        <f t="shared" si="11"/>
        <v>0</v>
      </c>
      <c r="K452" s="898">
        <v>23000</v>
      </c>
    </row>
    <row r="453" spans="4:11" ht="22.8" hidden="1" customHeight="1">
      <c r="D453" s="913">
        <v>263</v>
      </c>
      <c r="E453" s="895"/>
      <c r="F453" s="896" t="s">
        <v>4934</v>
      </c>
      <c r="G453" s="897" t="s">
        <v>113</v>
      </c>
      <c r="H453" s="898">
        <v>23100</v>
      </c>
      <c r="I453" s="1435"/>
      <c r="J453" s="1446">
        <f t="shared" si="11"/>
        <v>0</v>
      </c>
      <c r="K453" s="898">
        <v>23100</v>
      </c>
    </row>
    <row r="454" spans="4:11" ht="22.8" hidden="1" customHeight="1">
      <c r="D454" s="913">
        <v>264</v>
      </c>
      <c r="E454" s="895"/>
      <c r="F454" s="896" t="s">
        <v>8522</v>
      </c>
      <c r="G454" s="897" t="s">
        <v>113</v>
      </c>
      <c r="H454" s="898">
        <v>24000</v>
      </c>
      <c r="I454" s="1435"/>
      <c r="J454" s="1446">
        <f t="shared" si="11"/>
        <v>0</v>
      </c>
      <c r="K454" s="898">
        <v>24000</v>
      </c>
    </row>
    <row r="455" spans="4:11" ht="22.8" hidden="1" customHeight="1">
      <c r="D455" s="913">
        <v>265</v>
      </c>
      <c r="E455" s="895"/>
      <c r="F455" s="896" t="s">
        <v>5008</v>
      </c>
      <c r="G455" s="897" t="s">
        <v>113</v>
      </c>
      <c r="H455" s="898">
        <v>520000</v>
      </c>
      <c r="I455" s="1435"/>
      <c r="J455" s="1446">
        <f t="shared" si="11"/>
        <v>0</v>
      </c>
      <c r="K455" s="898">
        <v>520000</v>
      </c>
    </row>
    <row r="456" spans="4:11" ht="22.8" hidden="1" customHeight="1">
      <c r="D456" s="913">
        <v>266</v>
      </c>
      <c r="E456" s="895"/>
      <c r="F456" s="896" t="s">
        <v>8587</v>
      </c>
      <c r="G456" s="897" t="s">
        <v>113</v>
      </c>
      <c r="H456" s="898">
        <v>525000</v>
      </c>
      <c r="I456" s="1435"/>
      <c r="J456" s="1446">
        <f t="shared" si="11"/>
        <v>0</v>
      </c>
      <c r="K456" s="898">
        <v>525000</v>
      </c>
    </row>
    <row r="457" spans="4:11" ht="22.8" hidden="1" customHeight="1">
      <c r="D457" s="913">
        <v>267</v>
      </c>
      <c r="E457" s="895"/>
      <c r="F457" s="896" t="s">
        <v>5010</v>
      </c>
      <c r="G457" s="897" t="s">
        <v>113</v>
      </c>
      <c r="H457" s="898">
        <v>645000</v>
      </c>
      <c r="I457" s="1435"/>
      <c r="J457" s="1446">
        <f t="shared" si="11"/>
        <v>0</v>
      </c>
      <c r="K457" s="898">
        <v>645000</v>
      </c>
    </row>
    <row r="458" spans="4:11" ht="22.8" hidden="1" customHeight="1">
      <c r="D458" s="913">
        <v>268</v>
      </c>
      <c r="E458" s="895"/>
      <c r="F458" s="896" t="s">
        <v>8589</v>
      </c>
      <c r="G458" s="897" t="s">
        <v>113</v>
      </c>
      <c r="H458" s="898">
        <v>650000</v>
      </c>
      <c r="I458" s="1435"/>
      <c r="J458" s="1446">
        <f t="shared" si="11"/>
        <v>0</v>
      </c>
      <c r="K458" s="898">
        <v>650000</v>
      </c>
    </row>
    <row r="459" spans="4:11" ht="22.8" hidden="1" customHeight="1">
      <c r="D459" s="913">
        <v>269</v>
      </c>
      <c r="E459" s="895"/>
      <c r="F459" s="896" t="s">
        <v>5012</v>
      </c>
      <c r="G459" s="897" t="s">
        <v>113</v>
      </c>
      <c r="H459" s="898">
        <v>766000</v>
      </c>
      <c r="I459" s="1435"/>
      <c r="J459" s="1446">
        <f t="shared" si="11"/>
        <v>0</v>
      </c>
      <c r="K459" s="898">
        <v>766000</v>
      </c>
    </row>
    <row r="460" spans="4:11" ht="22.8" hidden="1" customHeight="1">
      <c r="D460" s="913">
        <v>270</v>
      </c>
      <c r="E460" s="895"/>
      <c r="F460" s="896" t="s">
        <v>8591</v>
      </c>
      <c r="G460" s="897" t="s">
        <v>113</v>
      </c>
      <c r="H460" s="898">
        <v>770000</v>
      </c>
      <c r="I460" s="1435"/>
      <c r="J460" s="1446">
        <f t="shared" si="11"/>
        <v>0</v>
      </c>
      <c r="K460" s="898">
        <v>770000</v>
      </c>
    </row>
    <row r="461" spans="4:11" ht="22.8" hidden="1" customHeight="1">
      <c r="D461" s="913">
        <v>271</v>
      </c>
      <c r="E461" s="895"/>
      <c r="F461" s="896" t="s">
        <v>5014</v>
      </c>
      <c r="G461" s="897" t="s">
        <v>113</v>
      </c>
      <c r="H461" s="898">
        <v>810000</v>
      </c>
      <c r="I461" s="1435"/>
      <c r="J461" s="1446">
        <f t="shared" si="11"/>
        <v>0</v>
      </c>
      <c r="K461" s="898">
        <v>810000</v>
      </c>
    </row>
    <row r="462" spans="4:11" ht="22.8" hidden="1" customHeight="1">
      <c r="D462" s="913">
        <v>272</v>
      </c>
      <c r="E462" s="895"/>
      <c r="F462" s="896" t="s">
        <v>8593</v>
      </c>
      <c r="G462" s="897" t="s">
        <v>113</v>
      </c>
      <c r="H462" s="898">
        <v>815000</v>
      </c>
      <c r="I462" s="1435"/>
      <c r="J462" s="1446">
        <f t="shared" si="11"/>
        <v>0</v>
      </c>
      <c r="K462" s="898">
        <v>815000</v>
      </c>
    </row>
    <row r="463" spans="4:11" ht="22.8" hidden="1" customHeight="1">
      <c r="D463" s="913">
        <v>273</v>
      </c>
      <c r="E463" s="895"/>
      <c r="F463" s="896" t="s">
        <v>5016</v>
      </c>
      <c r="G463" s="897" t="s">
        <v>113</v>
      </c>
      <c r="H463" s="898">
        <v>890000</v>
      </c>
      <c r="I463" s="1435"/>
      <c r="J463" s="1446">
        <f t="shared" si="11"/>
        <v>0</v>
      </c>
      <c r="K463" s="898">
        <v>890000</v>
      </c>
    </row>
    <row r="464" spans="4:11" ht="22.8" hidden="1" customHeight="1">
      <c r="D464" s="913">
        <v>274</v>
      </c>
      <c r="E464" s="895"/>
      <c r="F464" s="896" t="s">
        <v>8595</v>
      </c>
      <c r="G464" s="897" t="s">
        <v>113</v>
      </c>
      <c r="H464" s="898">
        <v>895000</v>
      </c>
      <c r="I464" s="1435"/>
      <c r="J464" s="1446">
        <f t="shared" si="11"/>
        <v>0</v>
      </c>
      <c r="K464" s="898">
        <v>895000</v>
      </c>
    </row>
    <row r="465" spans="4:11" ht="22.8" hidden="1" customHeight="1">
      <c r="D465" s="913">
        <v>275</v>
      </c>
      <c r="E465" s="895"/>
      <c r="F465" s="896" t="s">
        <v>5018</v>
      </c>
      <c r="G465" s="897" t="s">
        <v>113</v>
      </c>
      <c r="H465" s="898">
        <v>940000</v>
      </c>
      <c r="I465" s="1435"/>
      <c r="J465" s="1446">
        <f t="shared" si="11"/>
        <v>0</v>
      </c>
      <c r="K465" s="898">
        <v>940000</v>
      </c>
    </row>
    <row r="466" spans="4:11" ht="22.8" hidden="1" customHeight="1">
      <c r="D466" s="913">
        <v>276</v>
      </c>
      <c r="E466" s="895"/>
      <c r="F466" s="896" t="s">
        <v>8597</v>
      </c>
      <c r="G466" s="897" t="s">
        <v>113</v>
      </c>
      <c r="H466" s="898">
        <v>945000</v>
      </c>
      <c r="I466" s="1435"/>
      <c r="J466" s="1446">
        <f t="shared" si="11"/>
        <v>0</v>
      </c>
      <c r="K466" s="898">
        <v>945000</v>
      </c>
    </row>
    <row r="467" spans="4:11" ht="22.8" hidden="1" customHeight="1">
      <c r="D467" s="913">
        <v>277</v>
      </c>
      <c r="E467" s="895"/>
      <c r="F467" s="896" t="s">
        <v>5032</v>
      </c>
      <c r="G467" s="897" t="s">
        <v>113</v>
      </c>
      <c r="H467" s="898">
        <v>1050000</v>
      </c>
      <c r="I467" s="1435"/>
      <c r="J467" s="1446">
        <f t="shared" si="11"/>
        <v>0</v>
      </c>
      <c r="K467" s="898">
        <v>1050000</v>
      </c>
    </row>
    <row r="468" spans="4:11" ht="22.8" hidden="1" customHeight="1">
      <c r="D468" s="913">
        <v>278</v>
      </c>
      <c r="E468" s="895"/>
      <c r="F468" s="896" t="s">
        <v>8599</v>
      </c>
      <c r="G468" s="897" t="s">
        <v>113</v>
      </c>
      <c r="H468" s="898">
        <v>1055000</v>
      </c>
      <c r="I468" s="1435"/>
      <c r="J468" s="1446">
        <f t="shared" si="11"/>
        <v>0</v>
      </c>
      <c r="K468" s="898">
        <v>1055000</v>
      </c>
    </row>
    <row r="469" spans="4:11" ht="22.8" hidden="1" customHeight="1">
      <c r="D469" s="913">
        <v>279</v>
      </c>
      <c r="E469" s="895"/>
      <c r="F469" s="896" t="s">
        <v>5033</v>
      </c>
      <c r="G469" s="897" t="s">
        <v>113</v>
      </c>
      <c r="H469" s="898">
        <v>2300000</v>
      </c>
      <c r="I469" s="1435"/>
      <c r="J469" s="1446">
        <f t="shared" si="11"/>
        <v>0</v>
      </c>
      <c r="K469" s="898">
        <v>2300000</v>
      </c>
    </row>
    <row r="470" spans="4:11" ht="22.8" hidden="1" customHeight="1">
      <c r="D470" s="913">
        <v>280</v>
      </c>
      <c r="E470" s="895"/>
      <c r="F470" s="896" t="s">
        <v>8601</v>
      </c>
      <c r="G470" s="897" t="s">
        <v>113</v>
      </c>
      <c r="H470" s="898">
        <v>2305000</v>
      </c>
      <c r="I470" s="1435"/>
      <c r="J470" s="1446">
        <f t="shared" si="11"/>
        <v>0</v>
      </c>
      <c r="K470" s="898">
        <v>2305000</v>
      </c>
    </row>
    <row r="471" spans="4:11" ht="22.8" hidden="1" customHeight="1">
      <c r="D471" s="913">
        <v>281</v>
      </c>
      <c r="E471" s="895"/>
      <c r="F471" s="896" t="s">
        <v>5041</v>
      </c>
      <c r="G471" s="897" t="s">
        <v>113</v>
      </c>
      <c r="H471" s="898">
        <v>2450000</v>
      </c>
      <c r="I471" s="1435"/>
      <c r="J471" s="1446">
        <f t="shared" si="11"/>
        <v>0</v>
      </c>
      <c r="K471" s="898">
        <v>2450000</v>
      </c>
    </row>
    <row r="472" spans="4:11" ht="22.8" hidden="1" customHeight="1">
      <c r="D472" s="913">
        <v>282</v>
      </c>
      <c r="E472" s="895"/>
      <c r="F472" s="896" t="s">
        <v>8603</v>
      </c>
      <c r="G472" s="897" t="s">
        <v>113</v>
      </c>
      <c r="H472" s="898">
        <v>2455000</v>
      </c>
      <c r="I472" s="1435"/>
      <c r="J472" s="1446">
        <f t="shared" si="11"/>
        <v>0</v>
      </c>
      <c r="K472" s="898">
        <v>2455000</v>
      </c>
    </row>
    <row r="473" spans="4:11" ht="22.8" hidden="1" customHeight="1">
      <c r="D473" s="913">
        <v>283</v>
      </c>
      <c r="E473" s="895"/>
      <c r="F473" s="896" t="s">
        <v>5034</v>
      </c>
      <c r="G473" s="897" t="s">
        <v>113</v>
      </c>
      <c r="H473" s="898">
        <v>2560000</v>
      </c>
      <c r="I473" s="1435"/>
      <c r="J473" s="1446">
        <f t="shared" si="11"/>
        <v>0</v>
      </c>
      <c r="K473" s="898">
        <v>2560000</v>
      </c>
    </row>
    <row r="474" spans="4:11" ht="22.8" hidden="1" customHeight="1">
      <c r="D474" s="913">
        <v>284</v>
      </c>
      <c r="E474" s="895"/>
      <c r="F474" s="896" t="s">
        <v>8605</v>
      </c>
      <c r="G474" s="897" t="s">
        <v>113</v>
      </c>
      <c r="H474" s="898">
        <v>2565000</v>
      </c>
      <c r="I474" s="1435"/>
      <c r="J474" s="1446">
        <f t="shared" si="11"/>
        <v>0</v>
      </c>
      <c r="K474" s="898">
        <v>2565000</v>
      </c>
    </row>
    <row r="475" spans="4:11" ht="22.8" hidden="1" customHeight="1">
      <c r="D475" s="913">
        <v>285</v>
      </c>
      <c r="E475" s="895"/>
      <c r="F475" s="896" t="s">
        <v>5035</v>
      </c>
      <c r="G475" s="897" t="s">
        <v>113</v>
      </c>
      <c r="H475" s="898">
        <v>2650000</v>
      </c>
      <c r="I475" s="1435"/>
      <c r="J475" s="1446">
        <f t="shared" si="11"/>
        <v>0</v>
      </c>
      <c r="K475" s="898">
        <v>2650000</v>
      </c>
    </row>
    <row r="476" spans="4:11" ht="22.8" hidden="1" customHeight="1">
      <c r="D476" s="913">
        <v>286</v>
      </c>
      <c r="E476" s="895"/>
      <c r="F476" s="896" t="s">
        <v>8607</v>
      </c>
      <c r="G476" s="897" t="s">
        <v>113</v>
      </c>
      <c r="H476" s="898">
        <v>2655000</v>
      </c>
      <c r="I476" s="1435"/>
      <c r="J476" s="1446">
        <f t="shared" si="11"/>
        <v>0</v>
      </c>
      <c r="K476" s="898">
        <v>2655000</v>
      </c>
    </row>
    <row r="477" spans="4:11" ht="22.8" hidden="1" customHeight="1">
      <c r="D477" s="913">
        <v>287</v>
      </c>
      <c r="E477" s="895"/>
      <c r="F477" s="896" t="s">
        <v>5036</v>
      </c>
      <c r="G477" s="897" t="s">
        <v>113</v>
      </c>
      <c r="H477" s="898">
        <v>2790000</v>
      </c>
      <c r="I477" s="1435"/>
      <c r="J477" s="1446">
        <f t="shared" si="11"/>
        <v>0</v>
      </c>
      <c r="K477" s="898">
        <v>2790000</v>
      </c>
    </row>
    <row r="478" spans="4:11" ht="22.8" hidden="1" customHeight="1">
      <c r="D478" s="913">
        <v>288</v>
      </c>
      <c r="E478" s="895"/>
      <c r="F478" s="896" t="s">
        <v>8609</v>
      </c>
      <c r="G478" s="897" t="s">
        <v>113</v>
      </c>
      <c r="H478" s="898">
        <v>2795000</v>
      </c>
      <c r="I478" s="1435"/>
      <c r="J478" s="1446">
        <f t="shared" si="11"/>
        <v>0</v>
      </c>
      <c r="K478" s="898">
        <v>2795000</v>
      </c>
    </row>
    <row r="479" spans="4:11" ht="22.8" hidden="1" customHeight="1">
      <c r="D479" s="913">
        <v>289</v>
      </c>
      <c r="E479" s="895"/>
      <c r="F479" s="896" t="s">
        <v>5037</v>
      </c>
      <c r="G479" s="897" t="s">
        <v>113</v>
      </c>
      <c r="H479" s="898">
        <v>2950000</v>
      </c>
      <c r="I479" s="1435"/>
      <c r="J479" s="1446">
        <f t="shared" si="11"/>
        <v>0</v>
      </c>
      <c r="K479" s="898">
        <v>2950000</v>
      </c>
    </row>
    <row r="480" spans="4:11" ht="22.8" hidden="1" customHeight="1">
      <c r="D480" s="913">
        <v>290</v>
      </c>
      <c r="E480" s="895"/>
      <c r="F480" s="896" t="s">
        <v>8611</v>
      </c>
      <c r="G480" s="897" t="s">
        <v>113</v>
      </c>
      <c r="H480" s="898">
        <v>2955000</v>
      </c>
      <c r="I480" s="1435"/>
      <c r="J480" s="1446">
        <f t="shared" si="11"/>
        <v>0</v>
      </c>
      <c r="K480" s="898">
        <v>2955000</v>
      </c>
    </row>
    <row r="481" spans="4:11" ht="22.8" hidden="1" customHeight="1">
      <c r="D481" s="913">
        <v>291</v>
      </c>
      <c r="E481" s="895"/>
      <c r="F481" s="896" t="s">
        <v>5038</v>
      </c>
      <c r="G481" s="897" t="s">
        <v>113</v>
      </c>
      <c r="H481" s="898">
        <v>3110000</v>
      </c>
      <c r="I481" s="1435"/>
      <c r="J481" s="1446">
        <f t="shared" si="11"/>
        <v>0</v>
      </c>
      <c r="K481" s="898">
        <v>3110000</v>
      </c>
    </row>
    <row r="482" spans="4:11" ht="22.8" hidden="1" customHeight="1">
      <c r="D482" s="913">
        <v>292</v>
      </c>
      <c r="E482" s="895"/>
      <c r="F482" s="896" t="s">
        <v>8613</v>
      </c>
      <c r="G482" s="897" t="s">
        <v>113</v>
      </c>
      <c r="H482" s="898">
        <v>3115000</v>
      </c>
      <c r="I482" s="1435"/>
      <c r="J482" s="1446">
        <f t="shared" si="11"/>
        <v>0</v>
      </c>
      <c r="K482" s="898">
        <v>3115000</v>
      </c>
    </row>
    <row r="483" spans="4:11" ht="22.8" hidden="1" customHeight="1">
      <c r="D483" s="913">
        <v>293</v>
      </c>
      <c r="E483" s="895"/>
      <c r="F483" s="896" t="s">
        <v>5039</v>
      </c>
      <c r="G483" s="897" t="s">
        <v>113</v>
      </c>
      <c r="H483" s="898">
        <v>3230000</v>
      </c>
      <c r="I483" s="1435"/>
      <c r="J483" s="1446">
        <f t="shared" si="11"/>
        <v>0</v>
      </c>
      <c r="K483" s="898">
        <v>3230000</v>
      </c>
    </row>
    <row r="484" spans="4:11" ht="22.8" hidden="1" customHeight="1">
      <c r="D484" s="913">
        <v>294</v>
      </c>
      <c r="E484" s="895"/>
      <c r="F484" s="896" t="s">
        <v>8615</v>
      </c>
      <c r="G484" s="897" t="s">
        <v>113</v>
      </c>
      <c r="H484" s="898">
        <v>3235000</v>
      </c>
      <c r="I484" s="1435"/>
      <c r="J484" s="1446">
        <f t="shared" si="11"/>
        <v>0</v>
      </c>
      <c r="K484" s="898">
        <v>3235000</v>
      </c>
    </row>
    <row r="485" spans="4:11" ht="22.8" hidden="1" customHeight="1">
      <c r="D485" s="913">
        <v>295</v>
      </c>
      <c r="E485" s="895"/>
      <c r="F485" s="896" t="s">
        <v>5040</v>
      </c>
      <c r="G485" s="897" t="s">
        <v>113</v>
      </c>
      <c r="H485" s="898">
        <v>3350000</v>
      </c>
      <c r="I485" s="1435"/>
      <c r="J485" s="1446">
        <f t="shared" si="11"/>
        <v>0</v>
      </c>
      <c r="K485" s="898">
        <v>3350000</v>
      </c>
    </row>
    <row r="486" spans="4:11" ht="22.8" hidden="1" customHeight="1">
      <c r="D486" s="913">
        <v>296</v>
      </c>
      <c r="E486" s="895"/>
      <c r="F486" s="896" t="s">
        <v>8617</v>
      </c>
      <c r="G486" s="897" t="s">
        <v>113</v>
      </c>
      <c r="H486" s="898">
        <v>3355000</v>
      </c>
      <c r="I486" s="1435"/>
      <c r="J486" s="1446">
        <f t="shared" si="11"/>
        <v>0</v>
      </c>
      <c r="K486" s="898">
        <v>3355000</v>
      </c>
    </row>
    <row r="487" spans="4:11" ht="22.8" hidden="1" customHeight="1">
      <c r="D487" s="913">
        <v>297</v>
      </c>
      <c r="E487" s="895"/>
      <c r="F487" s="896" t="s">
        <v>179</v>
      </c>
      <c r="G487" s="897" t="s">
        <v>106</v>
      </c>
      <c r="H487" s="898">
        <v>79700</v>
      </c>
      <c r="I487" s="1435"/>
      <c r="J487" s="1446">
        <f t="shared" si="11"/>
        <v>0</v>
      </c>
      <c r="K487" s="898">
        <v>79700</v>
      </c>
    </row>
    <row r="488" spans="4:11" ht="22.8" hidden="1" customHeight="1">
      <c r="D488" s="913">
        <v>298</v>
      </c>
      <c r="E488" s="895"/>
      <c r="F488" s="896" t="s">
        <v>180</v>
      </c>
      <c r="G488" s="897" t="s">
        <v>106</v>
      </c>
      <c r="H488" s="898">
        <v>145400</v>
      </c>
      <c r="I488" s="1435"/>
      <c r="J488" s="1446">
        <f t="shared" si="11"/>
        <v>0</v>
      </c>
      <c r="K488" s="898">
        <v>145400</v>
      </c>
    </row>
    <row r="489" spans="4:11" ht="22.8" hidden="1" customHeight="1">
      <c r="D489" s="913">
        <v>299</v>
      </c>
      <c r="E489" s="895"/>
      <c r="F489" s="896" t="s">
        <v>181</v>
      </c>
      <c r="G489" s="897" t="s">
        <v>106</v>
      </c>
      <c r="H489" s="898">
        <v>51600</v>
      </c>
      <c r="I489" s="1435"/>
      <c r="J489" s="1446">
        <f t="shared" si="11"/>
        <v>0</v>
      </c>
      <c r="K489" s="898">
        <v>51600</v>
      </c>
    </row>
    <row r="490" spans="4:11" ht="22.8" hidden="1" customHeight="1">
      <c r="D490" s="913">
        <v>300</v>
      </c>
      <c r="E490" s="895"/>
      <c r="F490" s="896" t="s">
        <v>182</v>
      </c>
      <c r="G490" s="897" t="s">
        <v>106</v>
      </c>
      <c r="H490" s="898">
        <v>30700</v>
      </c>
      <c r="I490" s="1435"/>
      <c r="J490" s="1446">
        <f t="shared" si="11"/>
        <v>0</v>
      </c>
      <c r="K490" s="898">
        <v>30700</v>
      </c>
    </row>
    <row r="491" spans="4:11" ht="22.8" hidden="1" customHeight="1">
      <c r="D491" s="913">
        <v>301</v>
      </c>
      <c r="E491" s="895"/>
      <c r="F491" s="896" t="s">
        <v>183</v>
      </c>
      <c r="G491" s="897" t="s">
        <v>106</v>
      </c>
      <c r="H491" s="898">
        <v>214900</v>
      </c>
      <c r="I491" s="1435"/>
      <c r="J491" s="1446">
        <f t="shared" si="11"/>
        <v>0</v>
      </c>
      <c r="K491" s="898">
        <v>214900</v>
      </c>
    </row>
    <row r="492" spans="4:11" ht="22.8" hidden="1" customHeight="1">
      <c r="D492" s="913">
        <v>302</v>
      </c>
      <c r="E492" s="895"/>
      <c r="F492" s="896" t="s">
        <v>184</v>
      </c>
      <c r="G492" s="897" t="s">
        <v>106</v>
      </c>
      <c r="H492" s="898">
        <v>423300</v>
      </c>
      <c r="I492" s="1435"/>
      <c r="J492" s="1446">
        <f t="shared" si="11"/>
        <v>0</v>
      </c>
      <c r="K492" s="898">
        <v>423300</v>
      </c>
    </row>
    <row r="493" spans="4:11" ht="22.8" hidden="1" customHeight="1">
      <c r="D493" s="913">
        <v>303</v>
      </c>
      <c r="E493" s="895"/>
      <c r="F493" s="896" t="s">
        <v>185</v>
      </c>
      <c r="G493" s="897" t="s">
        <v>106</v>
      </c>
      <c r="H493" s="898">
        <v>33400</v>
      </c>
      <c r="I493" s="1435"/>
      <c r="J493" s="1446">
        <f t="shared" si="11"/>
        <v>0</v>
      </c>
      <c r="K493" s="898">
        <v>33400</v>
      </c>
    </row>
    <row r="494" spans="4:11" ht="22.8" hidden="1" customHeight="1">
      <c r="D494" s="913">
        <v>304</v>
      </c>
      <c r="E494" s="895"/>
      <c r="F494" s="896" t="s">
        <v>186</v>
      </c>
      <c r="G494" s="897" t="s">
        <v>106</v>
      </c>
      <c r="H494" s="898">
        <v>641300</v>
      </c>
      <c r="I494" s="1435"/>
      <c r="J494" s="1446">
        <f t="shared" si="11"/>
        <v>0</v>
      </c>
      <c r="K494" s="898">
        <v>641300</v>
      </c>
    </row>
    <row r="495" spans="4:11" ht="22.8" hidden="1" customHeight="1">
      <c r="D495" s="913">
        <v>305</v>
      </c>
      <c r="E495" s="895"/>
      <c r="F495" s="896" t="s">
        <v>187</v>
      </c>
      <c r="G495" s="897" t="s">
        <v>106</v>
      </c>
      <c r="H495" s="898">
        <v>1823000</v>
      </c>
      <c r="I495" s="1435"/>
      <c r="J495" s="1446">
        <f t="shared" si="11"/>
        <v>0</v>
      </c>
      <c r="K495" s="898">
        <v>1823000</v>
      </c>
    </row>
    <row r="496" spans="4:11" ht="22.8" hidden="1" customHeight="1">
      <c r="D496" s="913">
        <v>306</v>
      </c>
      <c r="E496" s="895"/>
      <c r="F496" s="896" t="s">
        <v>188</v>
      </c>
      <c r="G496" s="897" t="s">
        <v>106</v>
      </c>
      <c r="H496" s="898">
        <v>2043200</v>
      </c>
      <c r="I496" s="1435"/>
      <c r="J496" s="1446">
        <f t="shared" si="11"/>
        <v>0</v>
      </c>
      <c r="K496" s="898">
        <v>2043200</v>
      </c>
    </row>
    <row r="497" spans="4:11" ht="22.8" hidden="1" customHeight="1">
      <c r="D497" s="913">
        <v>307</v>
      </c>
      <c r="E497" s="895"/>
      <c r="F497" s="896" t="s">
        <v>189</v>
      </c>
      <c r="G497" s="897"/>
      <c r="H497" s="898"/>
      <c r="I497" s="1435"/>
      <c r="J497" s="1446">
        <f t="shared" si="11"/>
        <v>0</v>
      </c>
      <c r="K497" s="898"/>
    </row>
    <row r="498" spans="4:11" ht="22.8" hidden="1" customHeight="1">
      <c r="D498" s="913">
        <v>308</v>
      </c>
      <c r="E498" s="895"/>
      <c r="F498" s="896" t="s">
        <v>190</v>
      </c>
      <c r="G498" s="897" t="s">
        <v>113</v>
      </c>
      <c r="H498" s="898">
        <v>5500</v>
      </c>
      <c r="I498" s="1435"/>
      <c r="J498" s="1446">
        <f t="shared" si="11"/>
        <v>0</v>
      </c>
      <c r="K498" s="898">
        <v>5500</v>
      </c>
    </row>
    <row r="499" spans="4:11" ht="22.8" hidden="1" customHeight="1">
      <c r="D499" s="913">
        <v>309</v>
      </c>
      <c r="E499" s="895"/>
      <c r="F499" s="896" t="s">
        <v>191</v>
      </c>
      <c r="G499" s="897" t="s">
        <v>106</v>
      </c>
      <c r="H499" s="898">
        <v>405700</v>
      </c>
      <c r="I499" s="1435"/>
      <c r="J499" s="1446">
        <f t="shared" si="11"/>
        <v>0</v>
      </c>
      <c r="K499" s="898">
        <v>405700</v>
      </c>
    </row>
    <row r="500" spans="4:11" ht="22.8" hidden="1" customHeight="1">
      <c r="D500" s="913">
        <v>310</v>
      </c>
      <c r="E500" s="895"/>
      <c r="F500" s="896" t="s">
        <v>192</v>
      </c>
      <c r="G500" s="897" t="s">
        <v>106</v>
      </c>
      <c r="H500" s="898">
        <v>263000</v>
      </c>
      <c r="I500" s="1435"/>
      <c r="J500" s="1446">
        <f t="shared" si="11"/>
        <v>0</v>
      </c>
      <c r="K500" s="898">
        <v>263000</v>
      </c>
    </row>
    <row r="501" spans="4:11" ht="22.8" hidden="1" customHeight="1">
      <c r="D501" s="913">
        <v>311</v>
      </c>
      <c r="E501" s="895"/>
      <c r="F501" s="896" t="s">
        <v>193</v>
      </c>
      <c r="G501" s="897" t="s">
        <v>113</v>
      </c>
      <c r="H501" s="898">
        <v>24400</v>
      </c>
      <c r="I501" s="1435"/>
      <c r="J501" s="1446">
        <f t="shared" si="11"/>
        <v>0</v>
      </c>
      <c r="K501" s="898">
        <v>24400</v>
      </c>
    </row>
    <row r="502" spans="4:11" ht="22.8" hidden="1" customHeight="1">
      <c r="D502" s="913">
        <v>312</v>
      </c>
      <c r="E502" s="895"/>
      <c r="F502" s="896" t="s">
        <v>194</v>
      </c>
      <c r="G502" s="897" t="s">
        <v>106</v>
      </c>
      <c r="H502" s="898">
        <v>550000</v>
      </c>
      <c r="I502" s="1435"/>
      <c r="J502" s="1446">
        <f t="shared" si="11"/>
        <v>0</v>
      </c>
      <c r="K502" s="898">
        <v>550000</v>
      </c>
    </row>
    <row r="503" spans="4:11" ht="22.8" hidden="1" customHeight="1">
      <c r="D503" s="913">
        <v>313</v>
      </c>
      <c r="E503" s="895"/>
      <c r="F503" s="896" t="s">
        <v>195</v>
      </c>
      <c r="G503" s="897" t="s">
        <v>106</v>
      </c>
      <c r="H503" s="898">
        <v>1035100</v>
      </c>
      <c r="I503" s="1435"/>
      <c r="J503" s="1446">
        <f t="shared" si="11"/>
        <v>0</v>
      </c>
      <c r="K503" s="898">
        <v>1035100</v>
      </c>
    </row>
    <row r="504" spans="4:11" ht="22.8" hidden="1" customHeight="1">
      <c r="D504" s="913">
        <v>314</v>
      </c>
      <c r="E504" s="895"/>
      <c r="F504" s="896" t="s">
        <v>196</v>
      </c>
      <c r="G504" s="897" t="s">
        <v>106</v>
      </c>
      <c r="H504" s="898">
        <v>181200</v>
      </c>
      <c r="I504" s="1435"/>
      <c r="J504" s="1446">
        <f t="shared" si="11"/>
        <v>0</v>
      </c>
      <c r="K504" s="898">
        <v>181200</v>
      </c>
    </row>
    <row r="505" spans="4:11" ht="22.8" hidden="1" customHeight="1">
      <c r="D505" s="913">
        <v>315</v>
      </c>
      <c r="E505" s="895"/>
      <c r="F505" s="896" t="s">
        <v>197</v>
      </c>
      <c r="G505" s="897" t="s">
        <v>106</v>
      </c>
      <c r="H505" s="898">
        <v>1475300</v>
      </c>
      <c r="I505" s="1435"/>
      <c r="J505" s="1446">
        <f t="shared" si="11"/>
        <v>0</v>
      </c>
      <c r="K505" s="898">
        <v>1475300</v>
      </c>
    </row>
    <row r="506" spans="4:11" ht="22.8" hidden="1" customHeight="1">
      <c r="D506" s="913">
        <v>316</v>
      </c>
      <c r="E506" s="895"/>
      <c r="F506" s="896" t="s">
        <v>198</v>
      </c>
      <c r="G506" s="897" t="s">
        <v>113</v>
      </c>
      <c r="H506" s="898">
        <v>44800</v>
      </c>
      <c r="I506" s="1435"/>
      <c r="J506" s="1446">
        <f t="shared" si="11"/>
        <v>0</v>
      </c>
      <c r="K506" s="898">
        <v>44800</v>
      </c>
    </row>
    <row r="507" spans="4:11" ht="22.8" hidden="1" customHeight="1">
      <c r="D507" s="913">
        <v>317</v>
      </c>
      <c r="E507" s="895"/>
      <c r="F507" s="896" t="s">
        <v>199</v>
      </c>
      <c r="G507" s="897" t="s">
        <v>113</v>
      </c>
      <c r="H507" s="898">
        <v>92400</v>
      </c>
      <c r="I507" s="1435"/>
      <c r="J507" s="1446">
        <f t="shared" si="11"/>
        <v>0</v>
      </c>
      <c r="K507" s="898">
        <v>92400</v>
      </c>
    </row>
    <row r="508" spans="4:11" ht="22.8" hidden="1" customHeight="1">
      <c r="D508" s="913">
        <v>318</v>
      </c>
      <c r="E508" s="895"/>
      <c r="F508" s="896" t="s">
        <v>200</v>
      </c>
      <c r="G508" s="897" t="s">
        <v>106</v>
      </c>
      <c r="H508" s="898">
        <v>461800</v>
      </c>
      <c r="I508" s="1435"/>
      <c r="J508" s="1446">
        <f t="shared" si="11"/>
        <v>0</v>
      </c>
      <c r="K508" s="898">
        <v>461800</v>
      </c>
    </row>
    <row r="509" spans="4:11" ht="22.8" hidden="1" customHeight="1">
      <c r="D509" s="913">
        <v>319</v>
      </c>
      <c r="E509" s="895"/>
      <c r="F509" s="896" t="s">
        <v>201</v>
      </c>
      <c r="G509" s="897" t="s">
        <v>106</v>
      </c>
      <c r="H509" s="898">
        <v>266100</v>
      </c>
      <c r="I509" s="1435"/>
      <c r="J509" s="1446">
        <f t="shared" si="11"/>
        <v>0</v>
      </c>
      <c r="K509" s="898">
        <v>266100</v>
      </c>
    </row>
    <row r="510" spans="4:11" ht="22.8" hidden="1" customHeight="1">
      <c r="D510" s="913">
        <v>320</v>
      </c>
      <c r="E510" s="895"/>
      <c r="F510" s="896" t="s">
        <v>202</v>
      </c>
      <c r="G510" s="897" t="s">
        <v>106</v>
      </c>
      <c r="H510" s="898">
        <v>132500</v>
      </c>
      <c r="I510" s="1435"/>
      <c r="J510" s="1446">
        <f t="shared" si="11"/>
        <v>0</v>
      </c>
      <c r="K510" s="898">
        <v>132500</v>
      </c>
    </row>
    <row r="511" spans="4:11" ht="22.8" hidden="1" customHeight="1">
      <c r="D511" s="913">
        <v>321</v>
      </c>
      <c r="E511" s="895"/>
      <c r="F511" s="896" t="s">
        <v>203</v>
      </c>
      <c r="G511" s="897" t="s">
        <v>106</v>
      </c>
      <c r="H511" s="898">
        <v>528600</v>
      </c>
      <c r="I511" s="1435"/>
      <c r="J511" s="1446">
        <f t="shared" ref="J511:J574" si="12">I511-(I511*10%)</f>
        <v>0</v>
      </c>
      <c r="K511" s="898">
        <v>528600</v>
      </c>
    </row>
    <row r="512" spans="4:11" ht="22.8" hidden="1" customHeight="1">
      <c r="D512" s="913">
        <v>322</v>
      </c>
      <c r="E512" s="895"/>
      <c r="F512" s="896" t="s">
        <v>204</v>
      </c>
      <c r="G512" s="897" t="s">
        <v>106</v>
      </c>
      <c r="H512" s="898">
        <v>1021000</v>
      </c>
      <c r="I512" s="1435"/>
      <c r="J512" s="1446">
        <f t="shared" si="12"/>
        <v>0</v>
      </c>
      <c r="K512" s="898">
        <v>1021000</v>
      </c>
    </row>
    <row r="513" spans="4:11" ht="22.8" hidden="1" customHeight="1">
      <c r="D513" s="913">
        <v>323</v>
      </c>
      <c r="E513" s="895"/>
      <c r="F513" s="896" t="s">
        <v>205</v>
      </c>
      <c r="G513" s="897" t="s">
        <v>106</v>
      </c>
      <c r="H513" s="898">
        <v>177900</v>
      </c>
      <c r="I513" s="1435"/>
      <c r="J513" s="1446">
        <f t="shared" si="12"/>
        <v>0</v>
      </c>
      <c r="K513" s="898">
        <v>177900</v>
      </c>
    </row>
    <row r="514" spans="4:11" ht="22.8" hidden="1" customHeight="1">
      <c r="D514" s="913">
        <v>324</v>
      </c>
      <c r="E514" s="895"/>
      <c r="F514" s="896" t="s">
        <v>206</v>
      </c>
      <c r="G514" s="897" t="s">
        <v>106</v>
      </c>
      <c r="H514" s="898">
        <v>1487200</v>
      </c>
      <c r="I514" s="1435"/>
      <c r="J514" s="1446">
        <f t="shared" si="12"/>
        <v>0</v>
      </c>
      <c r="K514" s="898">
        <v>1487200</v>
      </c>
    </row>
    <row r="515" spans="4:11" ht="22.8" hidden="1" customHeight="1">
      <c r="D515" s="913">
        <v>325</v>
      </c>
      <c r="E515" s="895"/>
      <c r="F515" s="896" t="s">
        <v>207</v>
      </c>
      <c r="G515" s="897" t="s">
        <v>106</v>
      </c>
      <c r="H515" s="898">
        <v>1981200</v>
      </c>
      <c r="I515" s="1435"/>
      <c r="J515" s="1446">
        <f t="shared" si="12"/>
        <v>0</v>
      </c>
      <c r="K515" s="898">
        <v>1981200</v>
      </c>
    </row>
    <row r="516" spans="4:11" ht="22.8" hidden="1" customHeight="1">
      <c r="D516" s="913">
        <v>326</v>
      </c>
      <c r="E516" s="895"/>
      <c r="F516" s="896" t="s">
        <v>208</v>
      </c>
      <c r="G516" s="897" t="s">
        <v>106</v>
      </c>
      <c r="H516" s="898">
        <v>1558300</v>
      </c>
      <c r="I516" s="1435"/>
      <c r="J516" s="1446">
        <f t="shared" si="12"/>
        <v>0</v>
      </c>
      <c r="K516" s="898">
        <v>1558300</v>
      </c>
    </row>
    <row r="517" spans="4:11" ht="22.8" hidden="1" customHeight="1">
      <c r="D517" s="913">
        <v>327</v>
      </c>
      <c r="E517" s="895"/>
      <c r="F517" s="896" t="s">
        <v>209</v>
      </c>
      <c r="G517" s="897" t="s">
        <v>106</v>
      </c>
      <c r="H517" s="898">
        <v>2267400</v>
      </c>
      <c r="I517" s="1435"/>
      <c r="J517" s="1446">
        <f t="shared" si="12"/>
        <v>0</v>
      </c>
      <c r="K517" s="898">
        <v>2267400</v>
      </c>
    </row>
    <row r="518" spans="4:11" ht="22.8" hidden="1" customHeight="1">
      <c r="D518" s="913">
        <v>328</v>
      </c>
      <c r="E518" s="895"/>
      <c r="F518" s="896" t="s">
        <v>210</v>
      </c>
      <c r="G518" s="897" t="s">
        <v>106</v>
      </c>
      <c r="H518" s="898">
        <v>598800</v>
      </c>
      <c r="I518" s="1435"/>
      <c r="J518" s="1446">
        <f t="shared" si="12"/>
        <v>0</v>
      </c>
      <c r="K518" s="898">
        <v>598800</v>
      </c>
    </row>
    <row r="519" spans="4:11" ht="22.8" hidden="1" customHeight="1">
      <c r="D519" s="913">
        <v>329</v>
      </c>
      <c r="E519" s="895"/>
      <c r="F519" s="896" t="s">
        <v>211</v>
      </c>
      <c r="G519" s="897" t="s">
        <v>106</v>
      </c>
      <c r="H519" s="898">
        <v>2031000</v>
      </c>
      <c r="I519" s="1435"/>
      <c r="J519" s="1446">
        <f t="shared" si="12"/>
        <v>0</v>
      </c>
      <c r="K519" s="898">
        <v>2031000</v>
      </c>
    </row>
    <row r="520" spans="4:11" ht="22.8" hidden="1" customHeight="1">
      <c r="D520" s="913">
        <v>330</v>
      </c>
      <c r="E520" s="895"/>
      <c r="F520" s="896" t="s">
        <v>212</v>
      </c>
      <c r="G520" s="897" t="s">
        <v>106</v>
      </c>
      <c r="H520" s="898">
        <v>2451200</v>
      </c>
      <c r="I520" s="1435"/>
      <c r="J520" s="1446">
        <f t="shared" si="12"/>
        <v>0</v>
      </c>
      <c r="K520" s="898">
        <v>2451200</v>
      </c>
    </row>
    <row r="521" spans="4:11" ht="22.8" hidden="1" customHeight="1">
      <c r="D521" s="913">
        <v>331</v>
      </c>
      <c r="E521" s="895"/>
      <c r="F521" s="896" t="s">
        <v>213</v>
      </c>
      <c r="G521" s="897" t="s">
        <v>106</v>
      </c>
      <c r="H521" s="898">
        <v>3466200</v>
      </c>
      <c r="I521" s="1435"/>
      <c r="J521" s="1446">
        <f t="shared" si="12"/>
        <v>0</v>
      </c>
      <c r="K521" s="898">
        <v>3466200</v>
      </c>
    </row>
    <row r="522" spans="4:11" ht="22.8" hidden="1" customHeight="1">
      <c r="D522" s="913">
        <v>332</v>
      </c>
      <c r="E522" s="895"/>
      <c r="F522" s="896" t="s">
        <v>3859</v>
      </c>
      <c r="G522" s="897" t="s">
        <v>113</v>
      </c>
      <c r="H522" s="898">
        <f>461800/6+5500</f>
        <v>82466.666666666672</v>
      </c>
      <c r="I522" s="1435"/>
      <c r="J522" s="1446">
        <f t="shared" si="12"/>
        <v>0</v>
      </c>
      <c r="K522" s="898">
        <f>461800/6+5500</f>
        <v>82466.666666666672</v>
      </c>
    </row>
    <row r="523" spans="4:11" ht="22.8" hidden="1" customHeight="1">
      <c r="D523" s="913">
        <v>333</v>
      </c>
      <c r="E523" s="895"/>
      <c r="F523" s="896" t="s">
        <v>8159</v>
      </c>
      <c r="G523" s="897" t="s">
        <v>113</v>
      </c>
      <c r="H523" s="898">
        <v>82500</v>
      </c>
      <c r="I523" s="1435"/>
      <c r="J523" s="1446">
        <f t="shared" si="12"/>
        <v>0</v>
      </c>
      <c r="K523" s="898">
        <v>82500</v>
      </c>
    </row>
    <row r="524" spans="4:11" ht="22.8" hidden="1" customHeight="1">
      <c r="D524" s="913">
        <v>334</v>
      </c>
      <c r="E524" s="895"/>
      <c r="F524" s="896" t="s">
        <v>3872</v>
      </c>
      <c r="G524" s="897" t="s">
        <v>113</v>
      </c>
      <c r="H524" s="898">
        <f>450800/6+5500</f>
        <v>80633.333333333328</v>
      </c>
      <c r="I524" s="1435"/>
      <c r="J524" s="1446">
        <f t="shared" si="12"/>
        <v>0</v>
      </c>
      <c r="K524" s="898">
        <f>450800/6+5500</f>
        <v>80633.333333333328</v>
      </c>
    </row>
    <row r="525" spans="4:11" ht="22.8" hidden="1" customHeight="1">
      <c r="D525" s="913">
        <v>335</v>
      </c>
      <c r="E525" s="895"/>
      <c r="F525" s="896" t="s">
        <v>8157</v>
      </c>
      <c r="G525" s="897" t="s">
        <v>113</v>
      </c>
      <c r="H525" s="898">
        <v>81000</v>
      </c>
      <c r="I525" s="1435"/>
      <c r="J525" s="1446">
        <f t="shared" si="12"/>
        <v>0</v>
      </c>
      <c r="K525" s="898">
        <v>81000</v>
      </c>
    </row>
    <row r="526" spans="4:11" ht="22.8" hidden="1" customHeight="1">
      <c r="D526" s="913">
        <v>336</v>
      </c>
      <c r="E526" s="895"/>
      <c r="F526" s="896" t="s">
        <v>3860</v>
      </c>
      <c r="G526" s="897" t="s">
        <v>113</v>
      </c>
      <c r="H526" s="898">
        <f>266100/6+5500</f>
        <v>49850</v>
      </c>
      <c r="I526" s="1435"/>
      <c r="J526" s="1446">
        <f t="shared" si="12"/>
        <v>0</v>
      </c>
      <c r="K526" s="898">
        <f>266100/6+5500</f>
        <v>49850</v>
      </c>
    </row>
    <row r="527" spans="4:11" ht="22.8" hidden="1" customHeight="1">
      <c r="D527" s="913">
        <v>337</v>
      </c>
      <c r="E527" s="895"/>
      <c r="F527" s="896" t="s">
        <v>8155</v>
      </c>
      <c r="G527" s="897" t="s">
        <v>113</v>
      </c>
      <c r="H527" s="898">
        <v>50000</v>
      </c>
      <c r="I527" s="1435"/>
      <c r="J527" s="1446">
        <f t="shared" si="12"/>
        <v>0</v>
      </c>
      <c r="K527" s="898">
        <v>50000</v>
      </c>
    </row>
    <row r="528" spans="4:11" ht="22.8" hidden="1" customHeight="1">
      <c r="D528" s="913">
        <v>338</v>
      </c>
      <c r="E528" s="895"/>
      <c r="F528" s="896" t="s">
        <v>3861</v>
      </c>
      <c r="G528" s="897" t="s">
        <v>113</v>
      </c>
      <c r="H528" s="898">
        <f>132500/6+5500</f>
        <v>27583.333333333332</v>
      </c>
      <c r="I528" s="1435"/>
      <c r="J528" s="1446">
        <f t="shared" si="12"/>
        <v>0</v>
      </c>
      <c r="K528" s="898">
        <f>132500/6+5500</f>
        <v>27583.333333333332</v>
      </c>
    </row>
    <row r="529" spans="4:11" ht="22.8" hidden="1" customHeight="1">
      <c r="D529" s="913">
        <v>339</v>
      </c>
      <c r="E529" s="895"/>
      <c r="F529" s="896" t="s">
        <v>8151</v>
      </c>
      <c r="G529" s="897" t="s">
        <v>113</v>
      </c>
      <c r="H529" s="898">
        <v>28000</v>
      </c>
      <c r="I529" s="1435"/>
      <c r="J529" s="1446">
        <f t="shared" si="12"/>
        <v>0</v>
      </c>
      <c r="K529" s="898">
        <v>28000</v>
      </c>
    </row>
    <row r="530" spans="4:11" ht="22.8" hidden="1" customHeight="1">
      <c r="D530" s="913">
        <v>340</v>
      </c>
      <c r="E530" s="895"/>
      <c r="F530" s="896" t="s">
        <v>3862</v>
      </c>
      <c r="G530" s="897" t="s">
        <v>113</v>
      </c>
      <c r="H530" s="898">
        <f>528600/6+5500</f>
        <v>93600</v>
      </c>
      <c r="I530" s="1435"/>
      <c r="J530" s="1446">
        <f t="shared" si="12"/>
        <v>0</v>
      </c>
      <c r="K530" s="898">
        <f>528600/6+5500</f>
        <v>93600</v>
      </c>
    </row>
    <row r="531" spans="4:11" ht="22.8" hidden="1" customHeight="1">
      <c r="D531" s="913">
        <v>341</v>
      </c>
      <c r="E531" s="895"/>
      <c r="F531" s="896" t="s">
        <v>8161</v>
      </c>
      <c r="G531" s="897" t="s">
        <v>113</v>
      </c>
      <c r="H531" s="898">
        <v>94000</v>
      </c>
      <c r="I531" s="1435"/>
      <c r="J531" s="1446">
        <f t="shared" si="12"/>
        <v>0</v>
      </c>
      <c r="K531" s="898">
        <v>94000</v>
      </c>
    </row>
    <row r="532" spans="4:11" ht="22.8" hidden="1" customHeight="1">
      <c r="D532" s="913">
        <v>342</v>
      </c>
      <c r="E532" s="895"/>
      <c r="F532" s="896" t="s">
        <v>3877</v>
      </c>
      <c r="G532" s="897" t="s">
        <v>113</v>
      </c>
      <c r="H532" s="898">
        <f>535000/6+5500</f>
        <v>94666.666666666672</v>
      </c>
      <c r="I532" s="1435"/>
      <c r="J532" s="1446">
        <f t="shared" si="12"/>
        <v>0</v>
      </c>
      <c r="K532" s="898">
        <f>535000/6+5500</f>
        <v>94666.666666666672</v>
      </c>
    </row>
    <row r="533" spans="4:11" ht="22.8" hidden="1" customHeight="1">
      <c r="D533" s="913">
        <v>343</v>
      </c>
      <c r="E533" s="895"/>
      <c r="F533" s="896" t="s">
        <v>8163</v>
      </c>
      <c r="G533" s="897" t="s">
        <v>113</v>
      </c>
      <c r="H533" s="898">
        <v>95000</v>
      </c>
      <c r="I533" s="1435"/>
      <c r="J533" s="1446">
        <f t="shared" si="12"/>
        <v>0</v>
      </c>
      <c r="K533" s="898">
        <v>95000</v>
      </c>
    </row>
    <row r="534" spans="4:11" ht="22.8" hidden="1" customHeight="1">
      <c r="D534" s="913">
        <v>344</v>
      </c>
      <c r="E534" s="895"/>
      <c r="F534" s="896" t="s">
        <v>3863</v>
      </c>
      <c r="G534" s="897" t="s">
        <v>113</v>
      </c>
      <c r="H534" s="898">
        <f>1021000/6+5500</f>
        <v>175666.66666666666</v>
      </c>
      <c r="I534" s="1435"/>
      <c r="J534" s="1446">
        <f t="shared" si="12"/>
        <v>0</v>
      </c>
      <c r="K534" s="898">
        <f>1021000/6+5500</f>
        <v>175666.66666666666</v>
      </c>
    </row>
    <row r="535" spans="4:11" ht="22.8" hidden="1" customHeight="1">
      <c r="D535" s="913">
        <v>345</v>
      </c>
      <c r="E535" s="895"/>
      <c r="F535" s="896" t="s">
        <v>8165</v>
      </c>
      <c r="G535" s="897" t="s">
        <v>113</v>
      </c>
      <c r="H535" s="898">
        <v>176000</v>
      </c>
      <c r="I535" s="1435"/>
      <c r="J535" s="1446">
        <f t="shared" si="12"/>
        <v>0</v>
      </c>
      <c r="K535" s="898">
        <v>176000</v>
      </c>
    </row>
    <row r="536" spans="4:11" ht="22.8" hidden="1" customHeight="1">
      <c r="D536" s="913">
        <v>346</v>
      </c>
      <c r="E536" s="895"/>
      <c r="F536" s="896" t="s">
        <v>3869</v>
      </c>
      <c r="G536" s="897" t="s">
        <v>113</v>
      </c>
      <c r="H536" s="898">
        <f>177900/6 +5500</f>
        <v>35150</v>
      </c>
      <c r="I536" s="1435"/>
      <c r="J536" s="1446">
        <f t="shared" si="12"/>
        <v>0</v>
      </c>
      <c r="K536" s="898">
        <f>177900/6 +5500</f>
        <v>35150</v>
      </c>
    </row>
    <row r="537" spans="4:11" ht="22.8" hidden="1" customHeight="1">
      <c r="D537" s="913">
        <v>347</v>
      </c>
      <c r="E537" s="895"/>
      <c r="F537" s="896" t="s">
        <v>8153</v>
      </c>
      <c r="G537" s="897" t="s">
        <v>113</v>
      </c>
      <c r="H537" s="898">
        <v>36000</v>
      </c>
      <c r="I537" s="1435"/>
      <c r="J537" s="1446">
        <f t="shared" si="12"/>
        <v>0</v>
      </c>
      <c r="K537" s="898">
        <v>36000</v>
      </c>
    </row>
    <row r="538" spans="4:11" ht="22.8" hidden="1" customHeight="1">
      <c r="D538" s="913">
        <v>348</v>
      </c>
      <c r="E538" s="895"/>
      <c r="F538" s="896" t="s">
        <v>3864</v>
      </c>
      <c r="G538" s="897" t="s">
        <v>113</v>
      </c>
      <c r="H538" s="898">
        <f>1487200/6+5500</f>
        <v>253366.66666666666</v>
      </c>
      <c r="I538" s="1435"/>
      <c r="J538" s="1446">
        <f t="shared" si="12"/>
        <v>0</v>
      </c>
      <c r="K538" s="898">
        <f>1487200/6+5500</f>
        <v>253366.66666666666</v>
      </c>
    </row>
    <row r="539" spans="4:11" ht="22.8" hidden="1" customHeight="1">
      <c r="D539" s="913">
        <v>349</v>
      </c>
      <c r="E539" s="895"/>
      <c r="F539" s="896" t="s">
        <v>8167</v>
      </c>
      <c r="G539" s="897" t="s">
        <v>113</v>
      </c>
      <c r="H539" s="898">
        <v>253500</v>
      </c>
      <c r="I539" s="1435"/>
      <c r="J539" s="1446">
        <f t="shared" si="12"/>
        <v>0</v>
      </c>
      <c r="K539" s="898">
        <v>253500</v>
      </c>
    </row>
    <row r="540" spans="4:11" ht="22.8" hidden="1" customHeight="1">
      <c r="D540" s="913">
        <v>350</v>
      </c>
      <c r="E540" s="895"/>
      <c r="F540" s="896" t="s">
        <v>3865</v>
      </c>
      <c r="G540" s="897" t="s">
        <v>113</v>
      </c>
      <c r="H540" s="898">
        <f>1981200/6+5500</f>
        <v>335700</v>
      </c>
      <c r="I540" s="1435"/>
      <c r="J540" s="1446">
        <f t="shared" si="12"/>
        <v>0</v>
      </c>
      <c r="K540" s="898">
        <f>1981200/6+5500</f>
        <v>335700</v>
      </c>
    </row>
    <row r="541" spans="4:11" ht="22.8" hidden="1" customHeight="1">
      <c r="D541" s="913">
        <v>351</v>
      </c>
      <c r="E541" s="895"/>
      <c r="F541" s="896" t="s">
        <v>8169</v>
      </c>
      <c r="G541" s="897" t="s">
        <v>113</v>
      </c>
      <c r="H541" s="898">
        <v>336000</v>
      </c>
      <c r="I541" s="1435"/>
      <c r="J541" s="1446">
        <f t="shared" si="12"/>
        <v>0</v>
      </c>
      <c r="K541" s="898">
        <v>336000</v>
      </c>
    </row>
    <row r="542" spans="4:11" ht="22.8" hidden="1" customHeight="1">
      <c r="D542" s="913">
        <v>352</v>
      </c>
      <c r="E542" s="895"/>
      <c r="F542" s="896" t="s">
        <v>3866</v>
      </c>
      <c r="G542" s="897" t="s">
        <v>113</v>
      </c>
      <c r="H542" s="898">
        <f>1558300/6+5500</f>
        <v>265216.66666666663</v>
      </c>
      <c r="I542" s="1435"/>
      <c r="J542" s="1446">
        <f t="shared" si="12"/>
        <v>0</v>
      </c>
      <c r="K542" s="898">
        <f>1558300/6+5500</f>
        <v>265216.66666666663</v>
      </c>
    </row>
    <row r="543" spans="4:11" ht="22.8" hidden="1" customHeight="1">
      <c r="D543" s="913">
        <v>353</v>
      </c>
      <c r="E543" s="895"/>
      <c r="F543" s="896" t="s">
        <v>8171</v>
      </c>
      <c r="G543" s="897" t="s">
        <v>113</v>
      </c>
      <c r="H543" s="898">
        <v>266000</v>
      </c>
      <c r="I543" s="1435"/>
      <c r="J543" s="1446">
        <f t="shared" si="12"/>
        <v>0</v>
      </c>
      <c r="K543" s="898">
        <v>266000</v>
      </c>
    </row>
    <row r="544" spans="4:11" ht="22.8" hidden="1" customHeight="1">
      <c r="D544" s="913">
        <v>354</v>
      </c>
      <c r="E544" s="895"/>
      <c r="F544" s="896" t="s">
        <v>3867</v>
      </c>
      <c r="G544" s="897" t="s">
        <v>113</v>
      </c>
      <c r="H544" s="898">
        <f>2267400/6+5500</f>
        <v>383400</v>
      </c>
      <c r="I544" s="1435"/>
      <c r="J544" s="1446">
        <f t="shared" si="12"/>
        <v>0</v>
      </c>
      <c r="K544" s="898">
        <f>2267400/6+5500</f>
        <v>383400</v>
      </c>
    </row>
    <row r="545" spans="4:11" ht="22.8" hidden="1" customHeight="1">
      <c r="D545" s="913">
        <v>355</v>
      </c>
      <c r="E545" s="895"/>
      <c r="F545" s="896" t="s">
        <v>8173</v>
      </c>
      <c r="G545" s="897" t="s">
        <v>113</v>
      </c>
      <c r="H545" s="898">
        <v>384000</v>
      </c>
      <c r="I545" s="1435"/>
      <c r="J545" s="1446">
        <f t="shared" si="12"/>
        <v>0</v>
      </c>
      <c r="K545" s="898">
        <v>384000</v>
      </c>
    </row>
    <row r="546" spans="4:11" ht="22.8" hidden="1" customHeight="1">
      <c r="D546" s="913">
        <v>356</v>
      </c>
      <c r="E546" s="895"/>
      <c r="F546" s="896" t="s">
        <v>3883</v>
      </c>
      <c r="G546" s="897" t="s">
        <v>113</v>
      </c>
      <c r="H546" s="898">
        <v>390500</v>
      </c>
      <c r="I546" s="1435"/>
      <c r="J546" s="1446">
        <f t="shared" si="12"/>
        <v>0</v>
      </c>
      <c r="K546" s="898">
        <v>390500</v>
      </c>
    </row>
    <row r="547" spans="4:11" ht="22.8" hidden="1" customHeight="1">
      <c r="D547" s="913">
        <v>357</v>
      </c>
      <c r="E547" s="895"/>
      <c r="F547" s="896" t="s">
        <v>8175</v>
      </c>
      <c r="G547" s="897" t="s">
        <v>113</v>
      </c>
      <c r="H547" s="898">
        <v>391000</v>
      </c>
      <c r="I547" s="1435"/>
      <c r="J547" s="1446">
        <f t="shared" si="12"/>
        <v>0</v>
      </c>
      <c r="K547" s="898">
        <v>391000</v>
      </c>
    </row>
    <row r="548" spans="4:11" ht="22.8" hidden="1" customHeight="1">
      <c r="D548" s="913">
        <v>358</v>
      </c>
      <c r="E548" s="895"/>
      <c r="F548" s="896" t="s">
        <v>3885</v>
      </c>
      <c r="G548" s="897" t="s">
        <v>113</v>
      </c>
      <c r="H548" s="898">
        <v>399500</v>
      </c>
      <c r="I548" s="1435"/>
      <c r="J548" s="1446">
        <f t="shared" si="12"/>
        <v>0</v>
      </c>
      <c r="K548" s="898">
        <v>399500</v>
      </c>
    </row>
    <row r="549" spans="4:11" ht="22.8" hidden="1" customHeight="1">
      <c r="D549" s="913">
        <v>359</v>
      </c>
      <c r="E549" s="895"/>
      <c r="F549" s="896" t="s">
        <v>8177</v>
      </c>
      <c r="G549" s="897" t="s">
        <v>113</v>
      </c>
      <c r="H549" s="898">
        <v>340000</v>
      </c>
      <c r="I549" s="1435"/>
      <c r="J549" s="1446">
        <f t="shared" si="12"/>
        <v>0</v>
      </c>
      <c r="K549" s="898">
        <v>340000</v>
      </c>
    </row>
    <row r="550" spans="4:11" ht="22.8" hidden="1" customHeight="1">
      <c r="D550" s="913">
        <v>360</v>
      </c>
      <c r="E550" s="895"/>
      <c r="F550" s="896" t="s">
        <v>3887</v>
      </c>
      <c r="G550" s="897" t="s">
        <v>113</v>
      </c>
      <c r="H550" s="898">
        <v>410500</v>
      </c>
      <c r="I550" s="1435"/>
      <c r="J550" s="1446">
        <f t="shared" si="12"/>
        <v>0</v>
      </c>
      <c r="K550" s="898">
        <v>410500</v>
      </c>
    </row>
    <row r="551" spans="4:11" ht="22.8" hidden="1" customHeight="1">
      <c r="D551" s="913">
        <v>361</v>
      </c>
      <c r="E551" s="895"/>
      <c r="F551" s="896" t="s">
        <v>8179</v>
      </c>
      <c r="G551" s="897" t="s">
        <v>113</v>
      </c>
      <c r="H551" s="898">
        <v>411000</v>
      </c>
      <c r="I551" s="1435"/>
      <c r="J551" s="1446">
        <f t="shared" si="12"/>
        <v>0</v>
      </c>
      <c r="K551" s="898">
        <v>411000</v>
      </c>
    </row>
    <row r="552" spans="4:11" ht="22.8" hidden="1" customHeight="1">
      <c r="D552" s="913">
        <v>362</v>
      </c>
      <c r="E552" s="895"/>
      <c r="F552" s="896" t="s">
        <v>3889</v>
      </c>
      <c r="G552" s="897" t="s">
        <v>113</v>
      </c>
      <c r="H552" s="898">
        <v>417500</v>
      </c>
      <c r="I552" s="1435"/>
      <c r="J552" s="1446">
        <f t="shared" si="12"/>
        <v>0</v>
      </c>
      <c r="K552" s="898">
        <v>417500</v>
      </c>
    </row>
    <row r="553" spans="4:11" ht="22.8" hidden="1" customHeight="1">
      <c r="D553" s="913">
        <v>363</v>
      </c>
      <c r="E553" s="895"/>
      <c r="F553" s="896" t="s">
        <v>8181</v>
      </c>
      <c r="G553" s="897" t="s">
        <v>113</v>
      </c>
      <c r="H553" s="898">
        <v>418000</v>
      </c>
      <c r="I553" s="1435"/>
      <c r="J553" s="1446">
        <f t="shared" si="12"/>
        <v>0</v>
      </c>
      <c r="K553" s="898">
        <v>418000</v>
      </c>
    </row>
    <row r="554" spans="4:11" ht="22.8" hidden="1" customHeight="1">
      <c r="D554" s="913">
        <v>364</v>
      </c>
      <c r="E554" s="895"/>
      <c r="F554" s="896" t="s">
        <v>3892</v>
      </c>
      <c r="G554" s="897" t="s">
        <v>113</v>
      </c>
      <c r="H554" s="898">
        <f>205000/6+5500</f>
        <v>39666.666666666664</v>
      </c>
      <c r="I554" s="1435"/>
      <c r="J554" s="1446">
        <f t="shared" si="12"/>
        <v>0</v>
      </c>
      <c r="K554" s="898">
        <f>205000/6+5500</f>
        <v>39666.666666666664</v>
      </c>
    </row>
    <row r="555" spans="4:11" ht="22.8" hidden="1" customHeight="1">
      <c r="D555" s="913">
        <v>365</v>
      </c>
      <c r="E555" s="895"/>
      <c r="F555" s="896" t="s">
        <v>8183</v>
      </c>
      <c r="G555" s="897" t="s">
        <v>113</v>
      </c>
      <c r="H555" s="898">
        <v>40000</v>
      </c>
      <c r="I555" s="1435"/>
      <c r="J555" s="1446">
        <f t="shared" si="12"/>
        <v>0</v>
      </c>
      <c r="K555" s="898">
        <v>40000</v>
      </c>
    </row>
    <row r="556" spans="4:11" ht="22.8" hidden="1" customHeight="1">
      <c r="D556" s="913">
        <v>366</v>
      </c>
      <c r="E556" s="895"/>
      <c r="F556" s="896" t="s">
        <v>3893</v>
      </c>
      <c r="G556" s="897" t="s">
        <v>113</v>
      </c>
      <c r="H556" s="898">
        <f>253000/6+5500</f>
        <v>47666.666666666664</v>
      </c>
      <c r="I556" s="1435"/>
      <c r="J556" s="1446">
        <f t="shared" si="12"/>
        <v>0</v>
      </c>
      <c r="K556" s="898">
        <f>253000/6+5500</f>
        <v>47666.666666666664</v>
      </c>
    </row>
    <row r="557" spans="4:11" ht="22.8" hidden="1" customHeight="1">
      <c r="D557" s="913">
        <v>367</v>
      </c>
      <c r="E557" s="895"/>
      <c r="F557" s="896" t="s">
        <v>8185</v>
      </c>
      <c r="G557" s="897" t="s">
        <v>113</v>
      </c>
      <c r="H557" s="898">
        <v>48000</v>
      </c>
      <c r="I557" s="1435"/>
      <c r="J557" s="1446">
        <f t="shared" si="12"/>
        <v>0</v>
      </c>
      <c r="K557" s="898">
        <v>48000</v>
      </c>
    </row>
    <row r="558" spans="4:11" ht="22.8" hidden="1" customHeight="1">
      <c r="D558" s="913">
        <v>368</v>
      </c>
      <c r="E558" s="895"/>
      <c r="F558" s="896" t="s">
        <v>3895</v>
      </c>
      <c r="G558" s="897" t="s">
        <v>113</v>
      </c>
      <c r="H558" s="898">
        <f>365000/6+5500</f>
        <v>66333.333333333343</v>
      </c>
      <c r="I558" s="1435"/>
      <c r="J558" s="1446">
        <f t="shared" si="12"/>
        <v>0</v>
      </c>
      <c r="K558" s="898">
        <f>365000/6+5500</f>
        <v>66333.333333333343</v>
      </c>
    </row>
    <row r="559" spans="4:11" ht="22.8" hidden="1" customHeight="1">
      <c r="D559" s="913">
        <v>369</v>
      </c>
      <c r="E559" s="895"/>
      <c r="F559" s="896" t="s">
        <v>8187</v>
      </c>
      <c r="G559" s="897" t="s">
        <v>113</v>
      </c>
      <c r="H559" s="898">
        <v>66500</v>
      </c>
      <c r="I559" s="1435"/>
      <c r="J559" s="1446">
        <f t="shared" si="12"/>
        <v>0</v>
      </c>
      <c r="K559" s="898">
        <v>66500</v>
      </c>
    </row>
    <row r="560" spans="4:11" ht="22.8" hidden="1" customHeight="1">
      <c r="D560" s="913">
        <v>370</v>
      </c>
      <c r="E560" s="895"/>
      <c r="F560" s="896" t="s">
        <v>3897</v>
      </c>
      <c r="G560" s="897" t="s">
        <v>113</v>
      </c>
      <c r="H560" s="898">
        <f>495000/6+5500</f>
        <v>88000</v>
      </c>
      <c r="I560" s="1435"/>
      <c r="J560" s="1446">
        <f t="shared" si="12"/>
        <v>0</v>
      </c>
      <c r="K560" s="898">
        <f>495000/6+5500</f>
        <v>88000</v>
      </c>
    </row>
    <row r="561" spans="4:11" ht="22.8" hidden="1" customHeight="1">
      <c r="D561" s="913">
        <v>371</v>
      </c>
      <c r="E561" s="895"/>
      <c r="F561" s="896" t="s">
        <v>8189</v>
      </c>
      <c r="G561" s="897" t="s">
        <v>113</v>
      </c>
      <c r="H561" s="898">
        <v>88500</v>
      </c>
      <c r="I561" s="1435"/>
      <c r="J561" s="1446">
        <f t="shared" si="12"/>
        <v>0</v>
      </c>
      <c r="K561" s="898">
        <v>88500</v>
      </c>
    </row>
    <row r="562" spans="4:11" ht="22.8" hidden="1" customHeight="1">
      <c r="D562" s="913">
        <v>372</v>
      </c>
      <c r="E562" s="895"/>
      <c r="F562" s="896" t="s">
        <v>3899</v>
      </c>
      <c r="G562" s="897" t="s">
        <v>113</v>
      </c>
      <c r="H562" s="898">
        <f>582000/6+5500</f>
        <v>102500</v>
      </c>
      <c r="I562" s="1435"/>
      <c r="J562" s="1446">
        <f t="shared" si="12"/>
        <v>0</v>
      </c>
      <c r="K562" s="898">
        <f>582000/6+5500</f>
        <v>102500</v>
      </c>
    </row>
    <row r="563" spans="4:11" ht="22.8" hidden="1" customHeight="1">
      <c r="D563" s="913">
        <v>373</v>
      </c>
      <c r="E563" s="895"/>
      <c r="F563" s="896" t="s">
        <v>8191</v>
      </c>
      <c r="G563" s="897" t="s">
        <v>113</v>
      </c>
      <c r="H563" s="898">
        <v>103000</v>
      </c>
      <c r="I563" s="1435"/>
      <c r="J563" s="1446">
        <f t="shared" si="12"/>
        <v>0</v>
      </c>
      <c r="K563" s="898">
        <v>103000</v>
      </c>
    </row>
    <row r="564" spans="4:11" ht="22.8" hidden="1" customHeight="1">
      <c r="D564" s="913">
        <v>374</v>
      </c>
      <c r="E564" s="895"/>
      <c r="F564" s="896" t="s">
        <v>3901</v>
      </c>
      <c r="G564" s="897" t="s">
        <v>113</v>
      </c>
      <c r="H564" s="898">
        <f>1100000/6+5500</f>
        <v>188833.33333333334</v>
      </c>
      <c r="I564" s="1435"/>
      <c r="J564" s="1446">
        <f t="shared" si="12"/>
        <v>0</v>
      </c>
      <c r="K564" s="898">
        <f>1100000/6+5500</f>
        <v>188833.33333333334</v>
      </c>
    </row>
    <row r="565" spans="4:11" ht="22.8" hidden="1" customHeight="1">
      <c r="D565" s="913">
        <v>375</v>
      </c>
      <c r="E565" s="895"/>
      <c r="F565" s="896" t="s">
        <v>8193</v>
      </c>
      <c r="G565" s="897" t="s">
        <v>113</v>
      </c>
      <c r="H565" s="898">
        <v>189000</v>
      </c>
      <c r="I565" s="1435"/>
      <c r="J565" s="1446">
        <f t="shared" si="12"/>
        <v>0</v>
      </c>
      <c r="K565" s="898">
        <v>189000</v>
      </c>
    </row>
    <row r="566" spans="4:11" ht="22.8" hidden="1" customHeight="1">
      <c r="D566" s="913">
        <v>376</v>
      </c>
      <c r="E566" s="895"/>
      <c r="F566" s="896" t="s">
        <v>3903</v>
      </c>
      <c r="G566" s="897" t="s">
        <v>113</v>
      </c>
      <c r="H566" s="898">
        <f>1200000/6+5500</f>
        <v>205500</v>
      </c>
      <c r="I566" s="1435"/>
      <c r="J566" s="1446">
        <f t="shared" si="12"/>
        <v>0</v>
      </c>
      <c r="K566" s="898">
        <f>1200000/6+5500</f>
        <v>205500</v>
      </c>
    </row>
    <row r="567" spans="4:11" ht="22.8" hidden="1" customHeight="1">
      <c r="D567" s="913">
        <v>377</v>
      </c>
      <c r="E567" s="895"/>
      <c r="F567" s="896" t="s">
        <v>8195</v>
      </c>
      <c r="G567" s="897" t="s">
        <v>113</v>
      </c>
      <c r="H567" s="898">
        <v>206000</v>
      </c>
      <c r="I567" s="1435"/>
      <c r="J567" s="1446">
        <f t="shared" si="12"/>
        <v>0</v>
      </c>
      <c r="K567" s="898">
        <v>206000</v>
      </c>
    </row>
    <row r="568" spans="4:11" ht="22.8" hidden="1" customHeight="1">
      <c r="D568" s="913">
        <v>378</v>
      </c>
      <c r="E568" s="895"/>
      <c r="F568" s="896" t="s">
        <v>3905</v>
      </c>
      <c r="G568" s="897" t="s">
        <v>113</v>
      </c>
      <c r="H568" s="898">
        <f>2125000/6+5500</f>
        <v>359666.66666666669</v>
      </c>
      <c r="I568" s="1435"/>
      <c r="J568" s="1446">
        <f t="shared" si="12"/>
        <v>0</v>
      </c>
      <c r="K568" s="898">
        <f>2125000/6+5500</f>
        <v>359666.66666666669</v>
      </c>
    </row>
    <row r="569" spans="4:11" ht="22.8" hidden="1" customHeight="1">
      <c r="D569" s="913">
        <v>379</v>
      </c>
      <c r="E569" s="895"/>
      <c r="F569" s="896" t="s">
        <v>8197</v>
      </c>
      <c r="G569" s="897" t="s">
        <v>113</v>
      </c>
      <c r="H569" s="898">
        <v>360000</v>
      </c>
      <c r="I569" s="1435"/>
      <c r="J569" s="1446">
        <f t="shared" si="12"/>
        <v>0</v>
      </c>
      <c r="K569" s="898">
        <v>360000</v>
      </c>
    </row>
    <row r="570" spans="4:11" ht="22.8" hidden="1" customHeight="1">
      <c r="D570" s="913">
        <v>380</v>
      </c>
      <c r="E570" s="895"/>
      <c r="F570" s="896" t="s">
        <v>3907</v>
      </c>
      <c r="G570" s="897" t="s">
        <v>113</v>
      </c>
      <c r="H570" s="898">
        <f>2250000/6+5500</f>
        <v>380500</v>
      </c>
      <c r="I570" s="1435"/>
      <c r="J570" s="1446">
        <f t="shared" si="12"/>
        <v>0</v>
      </c>
      <c r="K570" s="898">
        <f>2250000/6+5500</f>
        <v>380500</v>
      </c>
    </row>
    <row r="571" spans="4:11" ht="22.8" hidden="1" customHeight="1">
      <c r="D571" s="913">
        <v>381</v>
      </c>
      <c r="E571" s="895"/>
      <c r="F571" s="896" t="s">
        <v>8198</v>
      </c>
      <c r="G571" s="897" t="s">
        <v>113</v>
      </c>
      <c r="H571" s="898">
        <v>381000</v>
      </c>
      <c r="I571" s="1435"/>
      <c r="J571" s="1446">
        <f t="shared" si="12"/>
        <v>0</v>
      </c>
      <c r="K571" s="898">
        <v>381000</v>
      </c>
    </row>
    <row r="572" spans="4:11" ht="22.8" hidden="1" customHeight="1">
      <c r="D572" s="913">
        <v>382</v>
      </c>
      <c r="E572" s="895"/>
      <c r="F572" s="896" t="s">
        <v>3909</v>
      </c>
      <c r="G572" s="897" t="s">
        <v>113</v>
      </c>
      <c r="H572" s="898">
        <f>3000000/6+5500</f>
        <v>505500</v>
      </c>
      <c r="I572" s="1435"/>
      <c r="J572" s="1446">
        <f t="shared" si="12"/>
        <v>0</v>
      </c>
      <c r="K572" s="898">
        <f>3000000/6+5500</f>
        <v>505500</v>
      </c>
    </row>
    <row r="573" spans="4:11" ht="22.8" hidden="1" customHeight="1">
      <c r="D573" s="913">
        <v>383</v>
      </c>
      <c r="E573" s="895"/>
      <c r="F573" s="896" t="s">
        <v>8201</v>
      </c>
      <c r="G573" s="897" t="s">
        <v>113</v>
      </c>
      <c r="H573" s="898">
        <v>502000</v>
      </c>
      <c r="I573" s="1435"/>
      <c r="J573" s="1446">
        <f t="shared" si="12"/>
        <v>0</v>
      </c>
      <c r="K573" s="898">
        <v>502000</v>
      </c>
    </row>
    <row r="574" spans="4:11" ht="22.8" hidden="1" customHeight="1">
      <c r="D574" s="913">
        <v>384</v>
      </c>
      <c r="E574" s="895"/>
      <c r="F574" s="896" t="s">
        <v>3911</v>
      </c>
      <c r="G574" s="897" t="s">
        <v>113</v>
      </c>
      <c r="H574" s="898">
        <f>3780000/6+5500</f>
        <v>635500</v>
      </c>
      <c r="I574" s="1435"/>
      <c r="J574" s="1446">
        <f t="shared" si="12"/>
        <v>0</v>
      </c>
      <c r="K574" s="898">
        <f>3780000/6+5500</f>
        <v>635500</v>
      </c>
    </row>
    <row r="575" spans="4:11" ht="22.8" hidden="1" customHeight="1">
      <c r="D575" s="913">
        <v>385</v>
      </c>
      <c r="E575" s="895"/>
      <c r="F575" s="896" t="s">
        <v>8203</v>
      </c>
      <c r="G575" s="897" t="s">
        <v>113</v>
      </c>
      <c r="H575" s="898">
        <v>636000</v>
      </c>
      <c r="I575" s="1435"/>
      <c r="J575" s="1446">
        <f t="shared" ref="J575:J638" si="13">I575-(I575*10%)</f>
        <v>0</v>
      </c>
      <c r="K575" s="898">
        <v>636000</v>
      </c>
    </row>
    <row r="576" spans="4:11" ht="22.8" hidden="1" customHeight="1">
      <c r="D576" s="913">
        <v>386</v>
      </c>
      <c r="E576" s="895"/>
      <c r="F576" s="896" t="s">
        <v>3913</v>
      </c>
      <c r="G576" s="897" t="s">
        <v>113</v>
      </c>
      <c r="H576" s="898">
        <f>5890000/6+5500</f>
        <v>987166.66666666663</v>
      </c>
      <c r="I576" s="1435"/>
      <c r="J576" s="1446">
        <f t="shared" si="13"/>
        <v>0</v>
      </c>
      <c r="K576" s="898">
        <f>5890000/6+5500</f>
        <v>987166.66666666663</v>
      </c>
    </row>
    <row r="577" spans="4:11" ht="22.8" hidden="1" customHeight="1">
      <c r="D577" s="913">
        <v>387</v>
      </c>
      <c r="E577" s="895"/>
      <c r="F577" s="896" t="s">
        <v>8205</v>
      </c>
      <c r="G577" s="897" t="s">
        <v>113</v>
      </c>
      <c r="H577" s="898">
        <v>987500</v>
      </c>
      <c r="I577" s="1435"/>
      <c r="J577" s="1446">
        <f t="shared" si="13"/>
        <v>0</v>
      </c>
      <c r="K577" s="898">
        <v>987500</v>
      </c>
    </row>
    <row r="578" spans="4:11" ht="22.8" hidden="1" customHeight="1">
      <c r="D578" s="913">
        <v>388</v>
      </c>
      <c r="E578" s="895"/>
      <c r="F578" s="896" t="s">
        <v>3915</v>
      </c>
      <c r="G578" s="897" t="s">
        <v>113</v>
      </c>
      <c r="H578" s="898">
        <f>7900000/6+5500</f>
        <v>1322166.6666666667</v>
      </c>
      <c r="I578" s="1435"/>
      <c r="J578" s="1446">
        <f t="shared" si="13"/>
        <v>0</v>
      </c>
      <c r="K578" s="898">
        <f>7900000/6+5500</f>
        <v>1322166.6666666667</v>
      </c>
    </row>
    <row r="579" spans="4:11" ht="22.8" hidden="1" customHeight="1">
      <c r="D579" s="913">
        <v>389</v>
      </c>
      <c r="E579" s="895"/>
      <c r="F579" s="896" t="s">
        <v>8207</v>
      </c>
      <c r="G579" s="897" t="s">
        <v>113</v>
      </c>
      <c r="H579" s="898">
        <v>1322500</v>
      </c>
      <c r="I579" s="1435"/>
      <c r="J579" s="1446">
        <f t="shared" si="13"/>
        <v>0</v>
      </c>
      <c r="K579" s="898">
        <v>1322500</v>
      </c>
    </row>
    <row r="580" spans="4:11" ht="22.8" hidden="1" customHeight="1">
      <c r="D580" s="913">
        <v>390</v>
      </c>
      <c r="E580" s="895"/>
      <c r="F580" s="896" t="s">
        <v>3917</v>
      </c>
      <c r="G580" s="897" t="s">
        <v>113</v>
      </c>
      <c r="H580" s="898">
        <f>8400000/6+5500</f>
        <v>1405500</v>
      </c>
      <c r="I580" s="1435"/>
      <c r="J580" s="1446">
        <f t="shared" si="13"/>
        <v>0</v>
      </c>
      <c r="K580" s="898">
        <f>8400000/6+5500</f>
        <v>1405500</v>
      </c>
    </row>
    <row r="581" spans="4:11" ht="22.8" hidden="1" customHeight="1">
      <c r="D581" s="913">
        <v>391</v>
      </c>
      <c r="E581" s="895"/>
      <c r="F581" s="896" t="s">
        <v>8209</v>
      </c>
      <c r="G581" s="897" t="s">
        <v>113</v>
      </c>
      <c r="H581" s="898">
        <v>1406000</v>
      </c>
      <c r="I581" s="1435"/>
      <c r="J581" s="1446">
        <f t="shared" si="13"/>
        <v>0</v>
      </c>
      <c r="K581" s="898">
        <v>1406000</v>
      </c>
    </row>
    <row r="582" spans="4:11" ht="22.8" hidden="1" customHeight="1">
      <c r="D582" s="913">
        <v>392</v>
      </c>
      <c r="E582" s="895"/>
      <c r="F582" s="896" t="s">
        <v>3919</v>
      </c>
      <c r="G582" s="897" t="s">
        <v>113</v>
      </c>
      <c r="H582" s="898">
        <f>8750000/6+5500</f>
        <v>1463833.3333333333</v>
      </c>
      <c r="I582" s="1435"/>
      <c r="J582" s="1446">
        <f t="shared" si="13"/>
        <v>0</v>
      </c>
      <c r="K582" s="898">
        <f>8750000/6+5500</f>
        <v>1463833.3333333333</v>
      </c>
    </row>
    <row r="583" spans="4:11" ht="22.8" hidden="1" customHeight="1">
      <c r="D583" s="913">
        <v>393</v>
      </c>
      <c r="E583" s="895"/>
      <c r="F583" s="896" t="s">
        <v>8211</v>
      </c>
      <c r="G583" s="897" t="s">
        <v>113</v>
      </c>
      <c r="H583" s="898">
        <v>1464000</v>
      </c>
      <c r="I583" s="1435"/>
      <c r="J583" s="1446">
        <f t="shared" si="13"/>
        <v>0</v>
      </c>
      <c r="K583" s="898">
        <v>1464000</v>
      </c>
    </row>
    <row r="584" spans="4:11" ht="22.8" hidden="1" customHeight="1">
      <c r="D584" s="913">
        <v>394</v>
      </c>
      <c r="E584" s="895"/>
      <c r="F584" s="896" t="s">
        <v>3921</v>
      </c>
      <c r="G584" s="897" t="s">
        <v>113</v>
      </c>
      <c r="H584" s="898">
        <f>8977000/6+5500</f>
        <v>1501666.6666666667</v>
      </c>
      <c r="I584" s="1435"/>
      <c r="J584" s="1446">
        <f t="shared" si="13"/>
        <v>0</v>
      </c>
      <c r="K584" s="898">
        <f>8977000/6+5500</f>
        <v>1501666.6666666667</v>
      </c>
    </row>
    <row r="585" spans="4:11" ht="22.8" hidden="1" customHeight="1">
      <c r="D585" s="913">
        <v>395</v>
      </c>
      <c r="E585" s="895"/>
      <c r="F585" s="896" t="s">
        <v>8213</v>
      </c>
      <c r="G585" s="897" t="s">
        <v>113</v>
      </c>
      <c r="H585" s="898">
        <v>1502000</v>
      </c>
      <c r="I585" s="1435"/>
      <c r="J585" s="1446">
        <f t="shared" si="13"/>
        <v>0</v>
      </c>
      <c r="K585" s="898">
        <v>1502000</v>
      </c>
    </row>
    <row r="586" spans="4:11" ht="22.8" hidden="1" customHeight="1">
      <c r="D586" s="913">
        <v>396</v>
      </c>
      <c r="E586" s="895"/>
      <c r="F586" s="896" t="s">
        <v>3924</v>
      </c>
      <c r="G586" s="897" t="s">
        <v>113</v>
      </c>
      <c r="H586" s="898">
        <f>44200/4+5000</f>
        <v>16050</v>
      </c>
      <c r="I586" s="1435"/>
      <c r="J586" s="1446">
        <f t="shared" si="13"/>
        <v>0</v>
      </c>
      <c r="K586" s="898">
        <f>44200/4+5000</f>
        <v>16050</v>
      </c>
    </row>
    <row r="587" spans="4:11" ht="22.8" hidden="1" customHeight="1">
      <c r="D587" s="913">
        <v>397</v>
      </c>
      <c r="E587" s="895"/>
      <c r="F587" s="896" t="s">
        <v>8215</v>
      </c>
      <c r="G587" s="897" t="s">
        <v>113</v>
      </c>
      <c r="H587" s="898">
        <v>16100</v>
      </c>
      <c r="I587" s="1435"/>
      <c r="J587" s="1446">
        <f t="shared" si="13"/>
        <v>0</v>
      </c>
      <c r="K587" s="898">
        <v>16100</v>
      </c>
    </row>
    <row r="588" spans="4:11" ht="22.8" hidden="1" customHeight="1">
      <c r="D588" s="913">
        <v>398</v>
      </c>
      <c r="E588" s="895"/>
      <c r="F588" s="896" t="s">
        <v>3927</v>
      </c>
      <c r="G588" s="897" t="s">
        <v>113</v>
      </c>
      <c r="H588" s="898">
        <f>57900/4+5000</f>
        <v>19475</v>
      </c>
      <c r="I588" s="1435"/>
      <c r="J588" s="1446">
        <f t="shared" si="13"/>
        <v>0</v>
      </c>
      <c r="K588" s="898">
        <f>57900/4+5000</f>
        <v>19475</v>
      </c>
    </row>
    <row r="589" spans="4:11" ht="22.8" hidden="1" customHeight="1">
      <c r="D589" s="913">
        <v>399</v>
      </c>
      <c r="E589" s="895"/>
      <c r="F589" s="896" t="s">
        <v>8217</v>
      </c>
      <c r="G589" s="897" t="s">
        <v>113</v>
      </c>
      <c r="H589" s="898">
        <v>19700</v>
      </c>
      <c r="I589" s="1435"/>
      <c r="J589" s="1446">
        <f t="shared" si="13"/>
        <v>0</v>
      </c>
      <c r="K589" s="898">
        <v>19700</v>
      </c>
    </row>
    <row r="590" spans="4:11" ht="22.8" hidden="1" customHeight="1">
      <c r="D590" s="913">
        <v>400</v>
      </c>
      <c r="E590" s="895"/>
      <c r="F590" s="896" t="s">
        <v>3929</v>
      </c>
      <c r="G590" s="897" t="s">
        <v>113</v>
      </c>
      <c r="H590" s="898">
        <f>93100/4+5000</f>
        <v>28275</v>
      </c>
      <c r="I590" s="1435"/>
      <c r="J590" s="1446">
        <f t="shared" si="13"/>
        <v>0</v>
      </c>
      <c r="K590" s="898">
        <f>93100/4+5000</f>
        <v>28275</v>
      </c>
    </row>
    <row r="591" spans="4:11" ht="22.8" hidden="1" customHeight="1">
      <c r="D591" s="913">
        <v>401</v>
      </c>
      <c r="E591" s="895"/>
      <c r="F591" s="896" t="s">
        <v>8219</v>
      </c>
      <c r="G591" s="897" t="s">
        <v>113</v>
      </c>
      <c r="H591" s="898">
        <v>28500</v>
      </c>
      <c r="I591" s="1435"/>
      <c r="J591" s="1446">
        <f t="shared" si="13"/>
        <v>0</v>
      </c>
      <c r="K591" s="898">
        <v>28500</v>
      </c>
    </row>
    <row r="592" spans="4:11" ht="22.8" hidden="1" customHeight="1">
      <c r="D592" s="913">
        <v>402</v>
      </c>
      <c r="E592" s="895"/>
      <c r="F592" s="896" t="s">
        <v>3931</v>
      </c>
      <c r="G592" s="897" t="s">
        <v>113</v>
      </c>
      <c r="H592" s="898">
        <f>147500/4+5000</f>
        <v>41875</v>
      </c>
      <c r="I592" s="1435"/>
      <c r="J592" s="1446">
        <f t="shared" si="13"/>
        <v>0</v>
      </c>
      <c r="K592" s="898">
        <f>147500/4+5000</f>
        <v>41875</v>
      </c>
    </row>
    <row r="593" spans="4:11" ht="22.8" hidden="1" customHeight="1">
      <c r="D593" s="913">
        <v>403</v>
      </c>
      <c r="E593" s="895"/>
      <c r="F593" s="896" t="s">
        <v>8221</v>
      </c>
      <c r="G593" s="897" t="s">
        <v>113</v>
      </c>
      <c r="H593" s="898">
        <v>42000</v>
      </c>
      <c r="I593" s="1435"/>
      <c r="J593" s="1446">
        <f t="shared" si="13"/>
        <v>0</v>
      </c>
      <c r="K593" s="898">
        <v>42000</v>
      </c>
    </row>
    <row r="594" spans="4:11" ht="22.8" hidden="1" customHeight="1">
      <c r="D594" s="913">
        <v>404</v>
      </c>
      <c r="E594" s="895"/>
      <c r="F594" s="896" t="s">
        <v>3933</v>
      </c>
      <c r="G594" s="897" t="s">
        <v>113</v>
      </c>
      <c r="H594" s="898">
        <f>228700/4+5000</f>
        <v>62175</v>
      </c>
      <c r="I594" s="1435"/>
      <c r="J594" s="1446">
        <f t="shared" si="13"/>
        <v>0</v>
      </c>
      <c r="K594" s="898">
        <f>228700/4+5000</f>
        <v>62175</v>
      </c>
    </row>
    <row r="595" spans="4:11" ht="22.8" hidden="1" customHeight="1">
      <c r="D595" s="913">
        <v>405</v>
      </c>
      <c r="E595" s="895"/>
      <c r="F595" s="896" t="s">
        <v>8223</v>
      </c>
      <c r="G595" s="897" t="s">
        <v>113</v>
      </c>
      <c r="H595" s="898">
        <v>62500</v>
      </c>
      <c r="I595" s="1435"/>
      <c r="J595" s="1446">
        <f t="shared" si="13"/>
        <v>0</v>
      </c>
      <c r="K595" s="898">
        <v>62500</v>
      </c>
    </row>
    <row r="596" spans="4:11" ht="22.8" hidden="1" customHeight="1">
      <c r="D596" s="913">
        <v>406</v>
      </c>
      <c r="E596" s="895"/>
      <c r="F596" s="896" t="s">
        <v>3935</v>
      </c>
      <c r="G596" s="897" t="s">
        <v>113</v>
      </c>
      <c r="H596" s="898">
        <f>362000/4+5000</f>
        <v>95500</v>
      </c>
      <c r="I596" s="1435"/>
      <c r="J596" s="1446">
        <f t="shared" si="13"/>
        <v>0</v>
      </c>
      <c r="K596" s="898">
        <f>362000/4+5000</f>
        <v>95500</v>
      </c>
    </row>
    <row r="597" spans="4:11" ht="22.8" hidden="1" customHeight="1">
      <c r="D597" s="913">
        <v>407</v>
      </c>
      <c r="E597" s="895"/>
      <c r="F597" s="896" t="s">
        <v>8225</v>
      </c>
      <c r="G597" s="897" t="s">
        <v>113</v>
      </c>
      <c r="H597" s="898">
        <v>96000</v>
      </c>
      <c r="I597" s="1435"/>
      <c r="J597" s="1446">
        <f t="shared" si="13"/>
        <v>0</v>
      </c>
      <c r="K597" s="898">
        <v>96000</v>
      </c>
    </row>
    <row r="598" spans="4:11" ht="22.8" hidden="1" customHeight="1">
      <c r="D598" s="913">
        <v>408</v>
      </c>
      <c r="E598" s="895"/>
      <c r="F598" s="896" t="s">
        <v>3937</v>
      </c>
      <c r="G598" s="897" t="s">
        <v>113</v>
      </c>
      <c r="H598" s="898">
        <f>506500/4+5000</f>
        <v>131625</v>
      </c>
      <c r="I598" s="1435"/>
      <c r="J598" s="1446">
        <f t="shared" si="13"/>
        <v>0</v>
      </c>
      <c r="K598" s="898">
        <f>506500/4+5000</f>
        <v>131625</v>
      </c>
    </row>
    <row r="599" spans="4:11" ht="22.8" hidden="1" customHeight="1">
      <c r="D599" s="913">
        <v>409</v>
      </c>
      <c r="E599" s="895"/>
      <c r="F599" s="896" t="s">
        <v>8227</v>
      </c>
      <c r="G599" s="897" t="s">
        <v>113</v>
      </c>
      <c r="H599" s="898">
        <v>132000</v>
      </c>
      <c r="I599" s="1435"/>
      <c r="J599" s="1446">
        <f t="shared" si="13"/>
        <v>0</v>
      </c>
      <c r="K599" s="898">
        <v>132000</v>
      </c>
    </row>
    <row r="600" spans="4:11" ht="22.8" hidden="1" customHeight="1">
      <c r="D600" s="913">
        <v>410</v>
      </c>
      <c r="E600" s="895"/>
      <c r="F600" s="896" t="s">
        <v>3939</v>
      </c>
      <c r="G600" s="897" t="s">
        <v>113</v>
      </c>
      <c r="H600" s="898">
        <f>713100/4+5000</f>
        <v>183275</v>
      </c>
      <c r="I600" s="1435"/>
      <c r="J600" s="1446">
        <f t="shared" si="13"/>
        <v>0</v>
      </c>
      <c r="K600" s="898">
        <f>713100/4+5000</f>
        <v>183275</v>
      </c>
    </row>
    <row r="601" spans="4:11" ht="22.8" hidden="1" customHeight="1">
      <c r="D601" s="913">
        <v>411</v>
      </c>
      <c r="E601" s="895"/>
      <c r="F601" s="896" t="s">
        <v>8229</v>
      </c>
      <c r="G601" s="897" t="s">
        <v>113</v>
      </c>
      <c r="H601" s="898">
        <v>183500</v>
      </c>
      <c r="I601" s="1435"/>
      <c r="J601" s="1446">
        <f t="shared" si="13"/>
        <v>0</v>
      </c>
      <c r="K601" s="898">
        <v>183500</v>
      </c>
    </row>
    <row r="602" spans="4:11" ht="22.8" hidden="1" customHeight="1">
      <c r="D602" s="913">
        <v>412</v>
      </c>
      <c r="E602" s="895"/>
      <c r="F602" s="896" t="s">
        <v>3941</v>
      </c>
      <c r="G602" s="897" t="s">
        <v>113</v>
      </c>
      <c r="H602" s="898">
        <f>1085700/4+5000</f>
        <v>276425</v>
      </c>
      <c r="I602" s="1435"/>
      <c r="J602" s="1446">
        <f t="shared" si="13"/>
        <v>0</v>
      </c>
      <c r="K602" s="898">
        <f>1085700/4+5000</f>
        <v>276425</v>
      </c>
    </row>
    <row r="603" spans="4:11" ht="22.8" hidden="1" customHeight="1">
      <c r="D603" s="913">
        <v>413</v>
      </c>
      <c r="E603" s="895"/>
      <c r="F603" s="896" t="s">
        <v>8231</v>
      </c>
      <c r="G603" s="897" t="s">
        <v>113</v>
      </c>
      <c r="H603" s="898">
        <v>276600</v>
      </c>
      <c r="I603" s="1435"/>
      <c r="J603" s="1446">
        <f t="shared" si="13"/>
        <v>0</v>
      </c>
      <c r="K603" s="898">
        <v>276600</v>
      </c>
    </row>
    <row r="604" spans="4:11" ht="22.8" hidden="1" customHeight="1">
      <c r="D604" s="913">
        <v>414</v>
      </c>
      <c r="E604" s="895"/>
      <c r="F604" s="896" t="s">
        <v>3943</v>
      </c>
      <c r="G604" s="897" t="s">
        <v>113</v>
      </c>
      <c r="H604" s="898">
        <f>3700100/4+5000</f>
        <v>930025</v>
      </c>
      <c r="I604" s="1435"/>
      <c r="J604" s="1446">
        <f t="shared" si="13"/>
        <v>0</v>
      </c>
      <c r="K604" s="898">
        <f>3700100/4+5000</f>
        <v>930025</v>
      </c>
    </row>
    <row r="605" spans="4:11" ht="22.8" hidden="1" customHeight="1">
      <c r="D605" s="913">
        <v>415</v>
      </c>
      <c r="E605" s="895"/>
      <c r="F605" s="896" t="s">
        <v>8233</v>
      </c>
      <c r="G605" s="897" t="s">
        <v>113</v>
      </c>
      <c r="H605" s="898">
        <v>930500</v>
      </c>
      <c r="I605" s="1435"/>
      <c r="J605" s="1446">
        <f t="shared" si="13"/>
        <v>0</v>
      </c>
      <c r="K605" s="898">
        <v>930500</v>
      </c>
    </row>
    <row r="606" spans="4:11" ht="22.8" hidden="1" customHeight="1">
      <c r="D606" s="913">
        <v>416</v>
      </c>
      <c r="E606" s="895"/>
      <c r="F606" s="896" t="s">
        <v>3945</v>
      </c>
      <c r="G606" s="897" t="s">
        <v>113</v>
      </c>
      <c r="H606" s="898">
        <f>61300/4+5000</f>
        <v>20325</v>
      </c>
      <c r="I606" s="1435"/>
      <c r="J606" s="1446">
        <f t="shared" si="13"/>
        <v>0</v>
      </c>
      <c r="K606" s="898">
        <f>61300/4+5000</f>
        <v>20325</v>
      </c>
    </row>
    <row r="607" spans="4:11" ht="22.8" hidden="1" customHeight="1">
      <c r="D607" s="913">
        <v>417</v>
      </c>
      <c r="E607" s="895"/>
      <c r="F607" s="896" t="s">
        <v>8235</v>
      </c>
      <c r="G607" s="897" t="s">
        <v>113</v>
      </c>
      <c r="H607" s="898">
        <v>931000</v>
      </c>
      <c r="I607" s="1435"/>
      <c r="J607" s="1446">
        <f t="shared" si="13"/>
        <v>0</v>
      </c>
      <c r="K607" s="898">
        <v>931000</v>
      </c>
    </row>
    <row r="608" spans="4:11" ht="22.8" hidden="1" customHeight="1">
      <c r="D608" s="913">
        <v>418</v>
      </c>
      <c r="E608" s="895"/>
      <c r="F608" s="896" t="s">
        <v>3947</v>
      </c>
      <c r="G608" s="897" t="s">
        <v>113</v>
      </c>
      <c r="H608" s="898">
        <f>94100/4+5000</f>
        <v>28525</v>
      </c>
      <c r="I608" s="1435"/>
      <c r="J608" s="1446">
        <f t="shared" si="13"/>
        <v>0</v>
      </c>
      <c r="K608" s="898">
        <f>94100/4+5000</f>
        <v>28525</v>
      </c>
    </row>
    <row r="609" spans="4:11" ht="22.8" hidden="1" customHeight="1">
      <c r="D609" s="913">
        <v>419</v>
      </c>
      <c r="E609" s="895"/>
      <c r="F609" s="896" t="s">
        <v>8237</v>
      </c>
      <c r="G609" s="897" t="s">
        <v>113</v>
      </c>
      <c r="H609" s="898">
        <v>29000</v>
      </c>
      <c r="I609" s="1435"/>
      <c r="J609" s="1446">
        <f t="shared" si="13"/>
        <v>0</v>
      </c>
      <c r="K609" s="898">
        <v>29000</v>
      </c>
    </row>
    <row r="610" spans="4:11" ht="22.8" hidden="1" customHeight="1">
      <c r="D610" s="913">
        <v>420</v>
      </c>
      <c r="E610" s="895"/>
      <c r="F610" s="896" t="s">
        <v>3949</v>
      </c>
      <c r="G610" s="897" t="s">
        <v>113</v>
      </c>
      <c r="H610" s="898">
        <f>154700/4+5000</f>
        <v>43675</v>
      </c>
      <c r="I610" s="1435"/>
      <c r="J610" s="1446">
        <f t="shared" si="13"/>
        <v>0</v>
      </c>
      <c r="K610" s="898">
        <f>154700/4+5000</f>
        <v>43675</v>
      </c>
    </row>
    <row r="611" spans="4:11" ht="22.8" hidden="1" customHeight="1">
      <c r="D611" s="913">
        <v>421</v>
      </c>
      <c r="E611" s="895"/>
      <c r="F611" s="896" t="s">
        <v>8239</v>
      </c>
      <c r="G611" s="897" t="s">
        <v>113</v>
      </c>
      <c r="H611" s="898">
        <v>44000</v>
      </c>
      <c r="I611" s="1435"/>
      <c r="J611" s="1446">
        <f t="shared" si="13"/>
        <v>0</v>
      </c>
      <c r="K611" s="898">
        <v>44000</v>
      </c>
    </row>
    <row r="612" spans="4:11" ht="22.8" hidden="1" customHeight="1">
      <c r="D612" s="913">
        <v>422</v>
      </c>
      <c r="E612" s="895"/>
      <c r="F612" s="896" t="s">
        <v>3951</v>
      </c>
      <c r="G612" s="897" t="s">
        <v>113</v>
      </c>
      <c r="H612" s="898">
        <f>238500/4+5000</f>
        <v>64625</v>
      </c>
      <c r="I612" s="1435"/>
      <c r="J612" s="1446">
        <f t="shared" si="13"/>
        <v>0</v>
      </c>
      <c r="K612" s="898">
        <f>238500/4+5000</f>
        <v>64625</v>
      </c>
    </row>
    <row r="613" spans="4:11" ht="22.8" hidden="1" customHeight="1">
      <c r="D613" s="913">
        <v>423</v>
      </c>
      <c r="E613" s="895"/>
      <c r="F613" s="896" t="s">
        <v>8241</v>
      </c>
      <c r="G613" s="897" t="s">
        <v>113</v>
      </c>
      <c r="H613" s="898">
        <v>65000</v>
      </c>
      <c r="I613" s="1435"/>
      <c r="J613" s="1446">
        <f t="shared" si="13"/>
        <v>0</v>
      </c>
      <c r="K613" s="898">
        <v>65000</v>
      </c>
    </row>
    <row r="614" spans="4:11" ht="22.8" hidden="1" customHeight="1">
      <c r="D614" s="913">
        <v>424</v>
      </c>
      <c r="E614" s="895"/>
      <c r="F614" s="896" t="s">
        <v>3953</v>
      </c>
      <c r="G614" s="897" t="s">
        <v>113</v>
      </c>
      <c r="H614" s="898">
        <f>372700/4+5000</f>
        <v>98175</v>
      </c>
      <c r="I614" s="1435"/>
      <c r="J614" s="1446">
        <f t="shared" si="13"/>
        <v>0</v>
      </c>
      <c r="K614" s="898">
        <f>372700/4+5000</f>
        <v>98175</v>
      </c>
    </row>
    <row r="615" spans="4:11" ht="22.8" hidden="1" customHeight="1">
      <c r="D615" s="913">
        <v>425</v>
      </c>
      <c r="E615" s="895"/>
      <c r="F615" s="896" t="s">
        <v>8243</v>
      </c>
      <c r="G615" s="897" t="s">
        <v>113</v>
      </c>
      <c r="H615" s="898">
        <v>98500</v>
      </c>
      <c r="I615" s="1435"/>
      <c r="J615" s="1446">
        <f t="shared" si="13"/>
        <v>0</v>
      </c>
      <c r="K615" s="898">
        <v>98500</v>
      </c>
    </row>
    <row r="616" spans="4:11" ht="22.8" hidden="1" customHeight="1">
      <c r="D616" s="913">
        <v>426</v>
      </c>
      <c r="E616" s="895"/>
      <c r="F616" s="896" t="s">
        <v>3955</v>
      </c>
      <c r="G616" s="897" t="s">
        <v>113</v>
      </c>
      <c r="H616" s="898">
        <f>590500/4+5000</f>
        <v>152625</v>
      </c>
      <c r="I616" s="1435"/>
      <c r="J616" s="1446">
        <f t="shared" si="13"/>
        <v>0</v>
      </c>
      <c r="K616" s="898">
        <f>590500/4+5000</f>
        <v>152625</v>
      </c>
    </row>
    <row r="617" spans="4:11" ht="22.8" hidden="1" customHeight="1">
      <c r="D617" s="913">
        <v>427</v>
      </c>
      <c r="E617" s="895"/>
      <c r="F617" s="896" t="s">
        <v>8245</v>
      </c>
      <c r="G617" s="897" t="s">
        <v>113</v>
      </c>
      <c r="H617" s="898">
        <v>153000</v>
      </c>
      <c r="I617" s="1435"/>
      <c r="J617" s="1446">
        <f t="shared" si="13"/>
        <v>0</v>
      </c>
      <c r="K617" s="898">
        <v>153000</v>
      </c>
    </row>
    <row r="618" spans="4:11" ht="22.8" hidden="1" customHeight="1">
      <c r="D618" s="913">
        <v>428</v>
      </c>
      <c r="E618" s="895"/>
      <c r="F618" s="896" t="s">
        <v>3957</v>
      </c>
      <c r="G618" s="897" t="s">
        <v>113</v>
      </c>
      <c r="H618" s="898">
        <f>836000/4+5000</f>
        <v>214000</v>
      </c>
      <c r="I618" s="1435"/>
      <c r="J618" s="1446">
        <f t="shared" si="13"/>
        <v>0</v>
      </c>
      <c r="K618" s="898">
        <f>836000/4+5000</f>
        <v>214000</v>
      </c>
    </row>
    <row r="619" spans="4:11" ht="22.8" hidden="1" customHeight="1">
      <c r="D619" s="913">
        <v>429</v>
      </c>
      <c r="E619" s="895"/>
      <c r="F619" s="896" t="s">
        <v>8247</v>
      </c>
      <c r="G619" s="897" t="s">
        <v>113</v>
      </c>
      <c r="H619" s="898">
        <v>214500</v>
      </c>
      <c r="I619" s="1435"/>
      <c r="J619" s="1446">
        <f t="shared" si="13"/>
        <v>0</v>
      </c>
      <c r="K619" s="898">
        <v>214500</v>
      </c>
    </row>
    <row r="620" spans="4:11" ht="22.8" hidden="1" customHeight="1">
      <c r="D620" s="913">
        <v>430</v>
      </c>
      <c r="E620" s="895"/>
      <c r="F620" s="896" t="s">
        <v>3959</v>
      </c>
      <c r="G620" s="897" t="s">
        <v>113</v>
      </c>
      <c r="H620" s="898">
        <f>1201500/4+5000</f>
        <v>305375</v>
      </c>
      <c r="I620" s="1435"/>
      <c r="J620" s="1446">
        <f t="shared" si="13"/>
        <v>0</v>
      </c>
      <c r="K620" s="898">
        <f>1201500/4+5000</f>
        <v>305375</v>
      </c>
    </row>
    <row r="621" spans="4:11" ht="22.8" hidden="1" customHeight="1">
      <c r="D621" s="913">
        <v>431</v>
      </c>
      <c r="E621" s="895"/>
      <c r="F621" s="896" t="s">
        <v>8249</v>
      </c>
      <c r="G621" s="897" t="s">
        <v>113</v>
      </c>
      <c r="H621" s="898">
        <v>305500</v>
      </c>
      <c r="I621" s="1435"/>
      <c r="J621" s="1446">
        <f t="shared" si="13"/>
        <v>0</v>
      </c>
      <c r="K621" s="898">
        <v>305500</v>
      </c>
    </row>
    <row r="622" spans="4:11" ht="22.8" hidden="1" customHeight="1">
      <c r="D622" s="913">
        <v>432</v>
      </c>
      <c r="E622" s="895"/>
      <c r="F622" s="896" t="s">
        <v>3961</v>
      </c>
      <c r="G622" s="897" t="s">
        <v>113</v>
      </c>
      <c r="H622" s="898">
        <f>1795600/4+5000</f>
        <v>453900</v>
      </c>
      <c r="I622" s="1435"/>
      <c r="J622" s="1446">
        <f t="shared" si="13"/>
        <v>0</v>
      </c>
      <c r="K622" s="898">
        <f>1795600/4+5000</f>
        <v>453900</v>
      </c>
    </row>
    <row r="623" spans="4:11" ht="22.8" hidden="1" customHeight="1">
      <c r="D623" s="913">
        <v>433</v>
      </c>
      <c r="E623" s="895"/>
      <c r="F623" s="896" t="s">
        <v>8251</v>
      </c>
      <c r="G623" s="897" t="s">
        <v>113</v>
      </c>
      <c r="H623" s="898">
        <v>454000</v>
      </c>
      <c r="I623" s="1435"/>
      <c r="J623" s="1446">
        <f t="shared" si="13"/>
        <v>0</v>
      </c>
      <c r="K623" s="898">
        <v>454000</v>
      </c>
    </row>
    <row r="624" spans="4:11" ht="22.8" hidden="1" customHeight="1">
      <c r="D624" s="913">
        <v>434</v>
      </c>
      <c r="E624" s="895"/>
      <c r="F624" s="896" t="s">
        <v>3963</v>
      </c>
      <c r="G624" s="897" t="s">
        <v>113</v>
      </c>
      <c r="H624" s="898">
        <f>6119300/4+5000</f>
        <v>1534825</v>
      </c>
      <c r="I624" s="1435"/>
      <c r="J624" s="1446">
        <f t="shared" si="13"/>
        <v>0</v>
      </c>
      <c r="K624" s="898">
        <f>6119300/4+5000</f>
        <v>1534825</v>
      </c>
    </row>
    <row r="625" spans="4:11" ht="22.8" hidden="1" customHeight="1">
      <c r="D625" s="913">
        <v>435</v>
      </c>
      <c r="E625" s="895"/>
      <c r="F625" s="896" t="s">
        <v>8253</v>
      </c>
      <c r="G625" s="897" t="s">
        <v>113</v>
      </c>
      <c r="H625" s="898">
        <v>1535000</v>
      </c>
      <c r="I625" s="1435"/>
      <c r="J625" s="1446">
        <f t="shared" si="13"/>
        <v>0</v>
      </c>
      <c r="K625" s="898">
        <v>1535000</v>
      </c>
    </row>
    <row r="626" spans="4:11" ht="22.8" hidden="1" customHeight="1">
      <c r="D626" s="913">
        <v>436</v>
      </c>
      <c r="E626" s="895"/>
      <c r="F626" s="896" t="s">
        <v>3994</v>
      </c>
      <c r="G626" s="897" t="s">
        <v>113</v>
      </c>
      <c r="H626" s="898">
        <f>147000/6+5500</f>
        <v>30000</v>
      </c>
      <c r="I626" s="1435"/>
      <c r="J626" s="1446">
        <f t="shared" si="13"/>
        <v>0</v>
      </c>
      <c r="K626" s="898">
        <f>147000/6+5500</f>
        <v>30000</v>
      </c>
    </row>
    <row r="627" spans="4:11" ht="22.8" hidden="1" customHeight="1">
      <c r="D627" s="913">
        <v>437</v>
      </c>
      <c r="E627" s="895"/>
      <c r="F627" s="896" t="s">
        <v>8255</v>
      </c>
      <c r="G627" s="897" t="s">
        <v>113</v>
      </c>
      <c r="H627" s="898">
        <v>30500</v>
      </c>
      <c r="I627" s="1435"/>
      <c r="J627" s="1446">
        <f t="shared" si="13"/>
        <v>0</v>
      </c>
      <c r="K627" s="898">
        <v>30500</v>
      </c>
    </row>
    <row r="628" spans="4:11" ht="22.8" hidden="1" customHeight="1">
      <c r="D628" s="913">
        <v>438</v>
      </c>
      <c r="E628" s="895"/>
      <c r="F628" s="896" t="s">
        <v>3997</v>
      </c>
      <c r="G628" s="897" t="s">
        <v>113</v>
      </c>
      <c r="H628" s="898">
        <f>189000/6+5500</f>
        <v>37000</v>
      </c>
      <c r="I628" s="1435"/>
      <c r="J628" s="1446">
        <f t="shared" si="13"/>
        <v>0</v>
      </c>
      <c r="K628" s="898">
        <f>189000/6+5500</f>
        <v>37000</v>
      </c>
    </row>
    <row r="629" spans="4:11" ht="22.8" hidden="1" customHeight="1">
      <c r="D629" s="913">
        <v>439</v>
      </c>
      <c r="E629" s="895"/>
      <c r="F629" s="896" t="s">
        <v>8257</v>
      </c>
      <c r="G629" s="897" t="s">
        <v>113</v>
      </c>
      <c r="H629" s="898">
        <v>37500</v>
      </c>
      <c r="I629" s="1435"/>
      <c r="J629" s="1446">
        <f t="shared" si="13"/>
        <v>0</v>
      </c>
      <c r="K629" s="898">
        <v>37500</v>
      </c>
    </row>
    <row r="630" spans="4:11" ht="22.8" hidden="1" customHeight="1">
      <c r="D630" s="913">
        <v>440</v>
      </c>
      <c r="E630" s="895"/>
      <c r="F630" s="896" t="s">
        <v>3993</v>
      </c>
      <c r="G630" s="897" t="s">
        <v>113</v>
      </c>
      <c r="H630" s="898">
        <f>282000/6+5500</f>
        <v>52500</v>
      </c>
      <c r="I630" s="1435"/>
      <c r="J630" s="1446">
        <f t="shared" si="13"/>
        <v>0</v>
      </c>
      <c r="K630" s="898">
        <f>282000/6+5500</f>
        <v>52500</v>
      </c>
    </row>
    <row r="631" spans="4:11" ht="22.8" hidden="1" customHeight="1">
      <c r="D631" s="913">
        <v>441</v>
      </c>
      <c r="E631" s="895"/>
      <c r="F631" s="896" t="s">
        <v>8259</v>
      </c>
      <c r="G631" s="897" t="s">
        <v>113</v>
      </c>
      <c r="H631" s="898">
        <v>53000</v>
      </c>
      <c r="I631" s="1435"/>
      <c r="J631" s="1446">
        <f t="shared" si="13"/>
        <v>0</v>
      </c>
      <c r="K631" s="898">
        <v>53000</v>
      </c>
    </row>
    <row r="632" spans="4:11" ht="22.8" hidden="1" customHeight="1">
      <c r="D632" s="913">
        <v>442</v>
      </c>
      <c r="E632" s="895"/>
      <c r="F632" s="896" t="s">
        <v>3992</v>
      </c>
      <c r="G632" s="897" t="s">
        <v>113</v>
      </c>
      <c r="H632" s="898">
        <f>372000/6+5500</f>
        <v>67500</v>
      </c>
      <c r="I632" s="1435"/>
      <c r="J632" s="1446">
        <f t="shared" si="13"/>
        <v>0</v>
      </c>
      <c r="K632" s="898">
        <f>372000/6+5500</f>
        <v>67500</v>
      </c>
    </row>
    <row r="633" spans="4:11" ht="22.8" hidden="1" customHeight="1">
      <c r="D633" s="913">
        <v>443</v>
      </c>
      <c r="E633" s="895"/>
      <c r="F633" s="896" t="s">
        <v>8261</v>
      </c>
      <c r="G633" s="897" t="s">
        <v>113</v>
      </c>
      <c r="H633" s="898">
        <v>68000</v>
      </c>
      <c r="I633" s="1435"/>
      <c r="J633" s="1446">
        <f t="shared" si="13"/>
        <v>0</v>
      </c>
      <c r="K633" s="898">
        <v>68000</v>
      </c>
    </row>
    <row r="634" spans="4:11" ht="22.8" hidden="1" customHeight="1">
      <c r="D634" s="913">
        <v>444</v>
      </c>
      <c r="E634" s="895" t="s">
        <v>6045</v>
      </c>
      <c r="F634" s="896" t="s">
        <v>3982</v>
      </c>
      <c r="G634" s="897" t="s">
        <v>113</v>
      </c>
      <c r="H634" s="898">
        <f>427000/6+5500</f>
        <v>76666.666666666672</v>
      </c>
      <c r="I634" s="1435"/>
      <c r="J634" s="1446">
        <f t="shared" si="13"/>
        <v>0</v>
      </c>
      <c r="K634" s="898">
        <f>427000/6+5500</f>
        <v>76666.666666666672</v>
      </c>
    </row>
    <row r="635" spans="4:11" ht="22.8" hidden="1" customHeight="1">
      <c r="D635" s="913">
        <v>445</v>
      </c>
      <c r="E635" s="895"/>
      <c r="F635" s="896" t="s">
        <v>8263</v>
      </c>
      <c r="G635" s="897" t="s">
        <v>113</v>
      </c>
      <c r="H635" s="898">
        <v>77000</v>
      </c>
      <c r="I635" s="1435"/>
      <c r="J635" s="1446">
        <f t="shared" si="13"/>
        <v>0</v>
      </c>
      <c r="K635" s="898">
        <v>77000</v>
      </c>
    </row>
    <row r="636" spans="4:11" ht="22.8" hidden="1" customHeight="1">
      <c r="D636" s="913">
        <v>446</v>
      </c>
      <c r="E636" s="895"/>
      <c r="F636" s="896" t="s">
        <v>3996</v>
      </c>
      <c r="G636" s="897" t="s">
        <v>113</v>
      </c>
      <c r="H636" s="898">
        <f>583000/6+5500</f>
        <v>102666.66666666667</v>
      </c>
      <c r="I636" s="1435"/>
      <c r="J636" s="1446">
        <f t="shared" si="13"/>
        <v>0</v>
      </c>
      <c r="K636" s="898">
        <f>583000/6+5500</f>
        <v>102666.66666666667</v>
      </c>
    </row>
    <row r="637" spans="4:11" ht="22.8" hidden="1" customHeight="1">
      <c r="D637" s="913">
        <v>447</v>
      </c>
      <c r="E637" s="895"/>
      <c r="F637" s="896" t="s">
        <v>8265</v>
      </c>
      <c r="G637" s="897" t="s">
        <v>113</v>
      </c>
      <c r="H637" s="898">
        <v>103000</v>
      </c>
      <c r="I637" s="1435"/>
      <c r="J637" s="1446">
        <f t="shared" si="13"/>
        <v>0</v>
      </c>
      <c r="K637" s="898">
        <v>103000</v>
      </c>
    </row>
    <row r="638" spans="4:11" ht="22.8" hidden="1" customHeight="1">
      <c r="D638" s="913">
        <v>448</v>
      </c>
      <c r="E638" s="895"/>
      <c r="F638" s="896" t="s">
        <v>3995</v>
      </c>
      <c r="G638" s="897" t="s">
        <v>113</v>
      </c>
      <c r="H638" s="898">
        <f>743000/6+5500</f>
        <v>129333.33333333333</v>
      </c>
      <c r="I638" s="1435"/>
      <c r="J638" s="1446">
        <f t="shared" si="13"/>
        <v>0</v>
      </c>
      <c r="K638" s="898">
        <f>743000/6+5500</f>
        <v>129333.33333333333</v>
      </c>
    </row>
    <row r="639" spans="4:11" ht="22.8" hidden="1" customHeight="1">
      <c r="D639" s="913">
        <v>449</v>
      </c>
      <c r="E639" s="895"/>
      <c r="F639" s="896" t="s">
        <v>8267</v>
      </c>
      <c r="G639" s="897" t="s">
        <v>113</v>
      </c>
      <c r="H639" s="898">
        <v>130000</v>
      </c>
      <c r="I639" s="1435"/>
      <c r="J639" s="1446">
        <f t="shared" ref="J639:J702" si="14">I639-(I639*10%)</f>
        <v>0</v>
      </c>
      <c r="K639" s="898">
        <v>130000</v>
      </c>
    </row>
    <row r="640" spans="4:11" ht="22.8" hidden="1" customHeight="1">
      <c r="D640" s="913">
        <v>450</v>
      </c>
      <c r="E640" s="895"/>
      <c r="F640" s="896" t="s">
        <v>3983</v>
      </c>
      <c r="G640" s="897" t="s">
        <v>113</v>
      </c>
      <c r="H640" s="898">
        <f>960000/6+5500</f>
        <v>165500</v>
      </c>
      <c r="I640" s="1435"/>
      <c r="J640" s="1446">
        <f t="shared" si="14"/>
        <v>0</v>
      </c>
      <c r="K640" s="898">
        <f>960000/6+5500</f>
        <v>165500</v>
      </c>
    </row>
    <row r="641" spans="4:11" ht="22.8" hidden="1" customHeight="1">
      <c r="D641" s="913">
        <v>451</v>
      </c>
      <c r="E641" s="895"/>
      <c r="F641" s="896" t="s">
        <v>8269</v>
      </c>
      <c r="G641" s="897" t="s">
        <v>113</v>
      </c>
      <c r="H641" s="898">
        <v>166000</v>
      </c>
      <c r="I641" s="1435"/>
      <c r="J641" s="1446">
        <f t="shared" si="14"/>
        <v>0</v>
      </c>
      <c r="K641" s="898">
        <v>166000</v>
      </c>
    </row>
    <row r="642" spans="4:11" ht="22.8" hidden="1" customHeight="1">
      <c r="D642" s="913">
        <v>452</v>
      </c>
      <c r="E642" s="895"/>
      <c r="F642" s="896" t="s">
        <v>3991</v>
      </c>
      <c r="G642" s="897" t="s">
        <v>113</v>
      </c>
      <c r="H642" s="898">
        <f>1390000/6+5500</f>
        <v>237166.66666666666</v>
      </c>
      <c r="I642" s="1435"/>
      <c r="J642" s="1446">
        <f t="shared" si="14"/>
        <v>0</v>
      </c>
      <c r="K642" s="898">
        <f>1390000/6+5500</f>
        <v>237166.66666666666</v>
      </c>
    </row>
    <row r="643" spans="4:11" ht="22.8" hidden="1" customHeight="1">
      <c r="D643" s="913">
        <v>453</v>
      </c>
      <c r="E643" s="895"/>
      <c r="F643" s="896" t="s">
        <v>8271</v>
      </c>
      <c r="G643" s="897" t="s">
        <v>113</v>
      </c>
      <c r="H643" s="898">
        <v>237500</v>
      </c>
      <c r="I643" s="1435"/>
      <c r="J643" s="1446">
        <f t="shared" si="14"/>
        <v>0</v>
      </c>
      <c r="K643" s="898">
        <v>237500</v>
      </c>
    </row>
    <row r="644" spans="4:11" ht="22.8" hidden="1" customHeight="1">
      <c r="D644" s="913">
        <v>454</v>
      </c>
      <c r="E644" s="895"/>
      <c r="F644" s="896" t="s">
        <v>3984</v>
      </c>
      <c r="G644" s="897" t="s">
        <v>113</v>
      </c>
      <c r="H644" s="898">
        <f>1870000/6+5500</f>
        <v>317166.66666666669</v>
      </c>
      <c r="I644" s="1435"/>
      <c r="J644" s="1446">
        <f t="shared" si="14"/>
        <v>0</v>
      </c>
      <c r="K644" s="898">
        <f>1870000/6+5500</f>
        <v>317166.66666666669</v>
      </c>
    </row>
    <row r="645" spans="4:11" ht="22.8" hidden="1" customHeight="1">
      <c r="D645" s="913">
        <v>455</v>
      </c>
      <c r="E645" s="895"/>
      <c r="F645" s="896" t="s">
        <v>8273</v>
      </c>
      <c r="G645" s="897" t="s">
        <v>113</v>
      </c>
      <c r="H645" s="898">
        <v>317500</v>
      </c>
      <c r="I645" s="1435"/>
      <c r="J645" s="1446">
        <f t="shared" si="14"/>
        <v>0</v>
      </c>
      <c r="K645" s="898">
        <v>317500</v>
      </c>
    </row>
    <row r="646" spans="4:11" ht="22.8" hidden="1" customHeight="1">
      <c r="D646" s="913">
        <v>456</v>
      </c>
      <c r="E646" s="895"/>
      <c r="F646" s="896" t="s">
        <v>3985</v>
      </c>
      <c r="G646" s="897" t="s">
        <v>113</v>
      </c>
      <c r="H646" s="898">
        <f>2226000/6+5500</f>
        <v>376500</v>
      </c>
      <c r="I646" s="1435"/>
      <c r="J646" s="1446">
        <f t="shared" si="14"/>
        <v>0</v>
      </c>
      <c r="K646" s="898">
        <f>2226000/6+5500</f>
        <v>376500</v>
      </c>
    </row>
    <row r="647" spans="4:11" ht="22.8" hidden="1" customHeight="1">
      <c r="D647" s="913">
        <v>457</v>
      </c>
      <c r="E647" s="895"/>
      <c r="F647" s="896" t="s">
        <v>8275</v>
      </c>
      <c r="G647" s="897" t="s">
        <v>113</v>
      </c>
      <c r="H647" s="898">
        <v>377000</v>
      </c>
      <c r="I647" s="1435"/>
      <c r="J647" s="1446">
        <f t="shared" si="14"/>
        <v>0</v>
      </c>
      <c r="K647" s="898">
        <v>377000</v>
      </c>
    </row>
    <row r="648" spans="4:11" ht="22.8" hidden="1" customHeight="1">
      <c r="D648" s="913">
        <v>458</v>
      </c>
      <c r="E648" s="895"/>
      <c r="F648" s="896" t="s">
        <v>3986</v>
      </c>
      <c r="G648" s="897" t="s">
        <v>113</v>
      </c>
      <c r="H648" s="898">
        <f>3945000/6+5500</f>
        <v>663000</v>
      </c>
      <c r="I648" s="1435"/>
      <c r="J648" s="1446">
        <f t="shared" si="14"/>
        <v>0</v>
      </c>
      <c r="K648" s="898">
        <f>3945000/6+5500</f>
        <v>663000</v>
      </c>
    </row>
    <row r="649" spans="4:11" ht="22.8" hidden="1" customHeight="1">
      <c r="D649" s="913">
        <v>459</v>
      </c>
      <c r="E649" s="895"/>
      <c r="F649" s="896" t="s">
        <v>8277</v>
      </c>
      <c r="G649" s="897" t="s">
        <v>113</v>
      </c>
      <c r="H649" s="898">
        <v>663500</v>
      </c>
      <c r="I649" s="1435"/>
      <c r="J649" s="1446">
        <f t="shared" si="14"/>
        <v>0</v>
      </c>
      <c r="K649" s="898">
        <v>663500</v>
      </c>
    </row>
    <row r="650" spans="4:11" ht="22.8" hidden="1" customHeight="1">
      <c r="D650" s="913">
        <v>460</v>
      </c>
      <c r="E650" s="895"/>
      <c r="F650" s="896" t="s">
        <v>8279</v>
      </c>
      <c r="G650" s="897" t="s">
        <v>113</v>
      </c>
      <c r="H650" s="898">
        <v>756000</v>
      </c>
      <c r="I650" s="1435"/>
      <c r="J650" s="1446">
        <f t="shared" si="14"/>
        <v>0</v>
      </c>
      <c r="K650" s="898">
        <v>756000</v>
      </c>
    </row>
    <row r="651" spans="4:11" ht="22.8" hidden="1" customHeight="1">
      <c r="D651" s="913">
        <v>461</v>
      </c>
      <c r="E651" s="895"/>
      <c r="F651" s="896" t="s">
        <v>3987</v>
      </c>
      <c r="G651" s="897" t="s">
        <v>113</v>
      </c>
      <c r="H651" s="898">
        <f>4502500/6+5500</f>
        <v>755916.66666666663</v>
      </c>
      <c r="I651" s="1435"/>
      <c r="J651" s="1446">
        <f t="shared" si="14"/>
        <v>0</v>
      </c>
      <c r="K651" s="898">
        <f>4502500/6+5500</f>
        <v>755916.66666666663</v>
      </c>
    </row>
    <row r="652" spans="4:11" ht="22.8" hidden="1" customHeight="1">
      <c r="D652" s="913">
        <v>462</v>
      </c>
      <c r="E652" s="895"/>
      <c r="F652" s="896" t="s">
        <v>8281</v>
      </c>
      <c r="G652" s="897" t="s">
        <v>113</v>
      </c>
      <c r="H652" s="898">
        <v>883000</v>
      </c>
      <c r="I652" s="1435"/>
      <c r="J652" s="1446">
        <f t="shared" si="14"/>
        <v>0</v>
      </c>
      <c r="K652" s="898">
        <v>883000</v>
      </c>
    </row>
    <row r="653" spans="4:11" ht="22.8" hidden="1" customHeight="1">
      <c r="D653" s="913">
        <v>463</v>
      </c>
      <c r="E653" s="895"/>
      <c r="F653" s="896" t="s">
        <v>3988</v>
      </c>
      <c r="G653" s="897" t="s">
        <v>113</v>
      </c>
      <c r="H653" s="898">
        <f>5263000/6+5500</f>
        <v>882666.66666666663</v>
      </c>
      <c r="I653" s="1435"/>
      <c r="J653" s="1446">
        <f t="shared" si="14"/>
        <v>0</v>
      </c>
      <c r="K653" s="898">
        <f>5263000/6+5500</f>
        <v>882666.66666666663</v>
      </c>
    </row>
    <row r="654" spans="4:11" ht="22.8" hidden="1" customHeight="1">
      <c r="D654" s="913">
        <v>464</v>
      </c>
      <c r="E654" s="895"/>
      <c r="F654" s="896" t="s">
        <v>8283</v>
      </c>
      <c r="G654" s="897" t="s">
        <v>113</v>
      </c>
      <c r="H654" s="898">
        <v>1086000</v>
      </c>
      <c r="I654" s="1435"/>
      <c r="J654" s="1446">
        <f t="shared" si="14"/>
        <v>0</v>
      </c>
      <c r="K654" s="898">
        <v>1086000</v>
      </c>
    </row>
    <row r="655" spans="4:11" ht="22.8" hidden="1" customHeight="1">
      <c r="D655" s="913">
        <v>465</v>
      </c>
      <c r="E655" s="895"/>
      <c r="F655" s="896" t="s">
        <v>3989</v>
      </c>
      <c r="G655" s="897" t="s">
        <v>113</v>
      </c>
      <c r="H655" s="898">
        <f>6480000/6+5500</f>
        <v>1085500</v>
      </c>
      <c r="I655" s="1435"/>
      <c r="J655" s="1446">
        <f t="shared" si="14"/>
        <v>0</v>
      </c>
      <c r="K655" s="898">
        <f>6480000/6+5500</f>
        <v>1085500</v>
      </c>
    </row>
    <row r="656" spans="4:11" ht="22.8" hidden="1" customHeight="1">
      <c r="D656" s="913">
        <v>466</v>
      </c>
      <c r="E656" s="895"/>
      <c r="F656" s="896" t="s">
        <v>8285</v>
      </c>
      <c r="G656" s="897" t="s">
        <v>113</v>
      </c>
      <c r="H656" s="898">
        <v>1241000</v>
      </c>
      <c r="I656" s="1435"/>
      <c r="J656" s="1446">
        <f t="shared" si="14"/>
        <v>0</v>
      </c>
      <c r="K656" s="898">
        <v>1241000</v>
      </c>
    </row>
    <row r="657" spans="4:11" ht="22.8" hidden="1" customHeight="1">
      <c r="D657" s="913">
        <v>467</v>
      </c>
      <c r="E657" s="895"/>
      <c r="F657" s="896" t="s">
        <v>3990</v>
      </c>
      <c r="G657" s="897" t="s">
        <v>113</v>
      </c>
      <c r="H657" s="898">
        <f>7410000/6+5500</f>
        <v>1240500</v>
      </c>
      <c r="I657" s="1435"/>
      <c r="J657" s="1446">
        <f t="shared" si="14"/>
        <v>0</v>
      </c>
      <c r="K657" s="898">
        <f>7410000/6+5500</f>
        <v>1240500</v>
      </c>
    </row>
    <row r="658" spans="4:11" ht="22.8" hidden="1" customHeight="1">
      <c r="D658" s="913">
        <v>468</v>
      </c>
      <c r="E658" s="895"/>
      <c r="F658" s="896" t="s">
        <v>8288</v>
      </c>
      <c r="G658" s="897" t="s">
        <v>113</v>
      </c>
      <c r="H658" s="898">
        <v>250000</v>
      </c>
      <c r="I658" s="1435"/>
      <c r="J658" s="1446">
        <f t="shared" si="14"/>
        <v>0</v>
      </c>
      <c r="K658" s="898">
        <v>250000</v>
      </c>
    </row>
    <row r="659" spans="4:11" ht="22.8" hidden="1" customHeight="1">
      <c r="D659" s="913">
        <v>469</v>
      </c>
      <c r="E659" s="895"/>
      <c r="F659" s="896" t="s">
        <v>8291</v>
      </c>
      <c r="G659" s="897" t="s">
        <v>113</v>
      </c>
      <c r="H659" s="898">
        <v>260000</v>
      </c>
      <c r="I659" s="1435"/>
      <c r="J659" s="1446">
        <f t="shared" si="14"/>
        <v>0</v>
      </c>
      <c r="K659" s="898">
        <v>260000</v>
      </c>
    </row>
    <row r="660" spans="4:11" ht="22.8" hidden="1" customHeight="1">
      <c r="D660" s="913">
        <v>470</v>
      </c>
      <c r="E660" s="895"/>
      <c r="F660" s="896" t="s">
        <v>8296</v>
      </c>
      <c r="G660" s="897" t="s">
        <v>113</v>
      </c>
      <c r="H660" s="898">
        <v>270000</v>
      </c>
      <c r="I660" s="1435"/>
      <c r="J660" s="1446">
        <f t="shared" si="14"/>
        <v>0</v>
      </c>
      <c r="K660" s="898">
        <v>270000</v>
      </c>
    </row>
    <row r="661" spans="4:11" ht="22.8" hidden="1" customHeight="1">
      <c r="D661" s="913">
        <v>471</v>
      </c>
      <c r="E661" s="895"/>
      <c r="F661" s="896" t="s">
        <v>8299</v>
      </c>
      <c r="G661" s="897" t="s">
        <v>113</v>
      </c>
      <c r="H661" s="898">
        <v>280000</v>
      </c>
      <c r="I661" s="1435"/>
      <c r="J661" s="1446">
        <f t="shared" si="14"/>
        <v>0</v>
      </c>
      <c r="K661" s="898">
        <v>280000</v>
      </c>
    </row>
    <row r="662" spans="4:11" ht="22.8" hidden="1" customHeight="1">
      <c r="D662" s="913">
        <v>472</v>
      </c>
      <c r="E662" s="895"/>
      <c r="F662" s="896" t="s">
        <v>8302</v>
      </c>
      <c r="G662" s="897" t="s">
        <v>113</v>
      </c>
      <c r="H662" s="898">
        <v>290000</v>
      </c>
      <c r="I662" s="1435"/>
      <c r="J662" s="1446">
        <f t="shared" si="14"/>
        <v>0</v>
      </c>
      <c r="K662" s="898">
        <v>290000</v>
      </c>
    </row>
    <row r="663" spans="4:11" ht="22.8" hidden="1" customHeight="1">
      <c r="D663" s="913">
        <v>473</v>
      </c>
      <c r="E663" s="895"/>
      <c r="F663" s="896" t="s">
        <v>8305</v>
      </c>
      <c r="G663" s="897" t="s">
        <v>113</v>
      </c>
      <c r="H663" s="898">
        <v>300000</v>
      </c>
      <c r="I663" s="1435"/>
      <c r="J663" s="1446">
        <f t="shared" si="14"/>
        <v>0</v>
      </c>
      <c r="K663" s="898">
        <v>300000</v>
      </c>
    </row>
    <row r="664" spans="4:11" ht="22.8" hidden="1" customHeight="1">
      <c r="D664" s="913">
        <v>474</v>
      </c>
      <c r="E664" s="895"/>
      <c r="F664" s="896" t="s">
        <v>8308</v>
      </c>
      <c r="G664" s="897" t="s">
        <v>113</v>
      </c>
      <c r="H664" s="898">
        <v>310000</v>
      </c>
      <c r="I664" s="1435"/>
      <c r="J664" s="1446">
        <f t="shared" si="14"/>
        <v>0</v>
      </c>
      <c r="K664" s="898">
        <v>310000</v>
      </c>
    </row>
    <row r="665" spans="4:11" ht="22.8" hidden="1" customHeight="1">
      <c r="D665" s="913">
        <v>475</v>
      </c>
      <c r="E665" s="895"/>
      <c r="F665" s="896" t="s">
        <v>8311</v>
      </c>
      <c r="G665" s="897" t="s">
        <v>113</v>
      </c>
      <c r="H665" s="898">
        <v>320000</v>
      </c>
      <c r="I665" s="1435"/>
      <c r="J665" s="1446">
        <f t="shared" si="14"/>
        <v>0</v>
      </c>
      <c r="K665" s="898">
        <v>320000</v>
      </c>
    </row>
    <row r="666" spans="4:11" ht="22.8" hidden="1" customHeight="1">
      <c r="D666" s="913">
        <v>476</v>
      </c>
      <c r="E666" s="895"/>
      <c r="F666" s="896" t="s">
        <v>8314</v>
      </c>
      <c r="G666" s="897" t="s">
        <v>113</v>
      </c>
      <c r="H666" s="898">
        <v>330000</v>
      </c>
      <c r="I666" s="1435"/>
      <c r="J666" s="1446">
        <f t="shared" si="14"/>
        <v>0</v>
      </c>
      <c r="K666" s="898">
        <v>330000</v>
      </c>
    </row>
    <row r="667" spans="4:11" ht="22.8" hidden="1" customHeight="1">
      <c r="D667" s="913">
        <v>477</v>
      </c>
      <c r="E667" s="895"/>
      <c r="F667" s="896" t="s">
        <v>8317</v>
      </c>
      <c r="G667" s="897" t="s">
        <v>113</v>
      </c>
      <c r="H667" s="898">
        <v>340000</v>
      </c>
      <c r="I667" s="1435"/>
      <c r="J667" s="1446">
        <f t="shared" si="14"/>
        <v>0</v>
      </c>
      <c r="K667" s="898">
        <v>340000</v>
      </c>
    </row>
    <row r="668" spans="4:11" ht="22.8" hidden="1" customHeight="1">
      <c r="D668" s="913">
        <v>478</v>
      </c>
      <c r="E668" s="895"/>
      <c r="F668" s="703" t="s">
        <v>8320</v>
      </c>
      <c r="G668" s="897" t="s">
        <v>113</v>
      </c>
      <c r="H668" s="898">
        <v>350000</v>
      </c>
      <c r="I668" s="1435"/>
      <c r="J668" s="1446">
        <f t="shared" si="14"/>
        <v>0</v>
      </c>
      <c r="K668" s="898">
        <v>350000</v>
      </c>
    </row>
    <row r="669" spans="4:11" ht="22.8" hidden="1" customHeight="1">
      <c r="D669" s="913">
        <v>479</v>
      </c>
      <c r="E669" s="895"/>
      <c r="F669" s="896" t="s">
        <v>8323</v>
      </c>
      <c r="G669" s="897" t="s">
        <v>113</v>
      </c>
      <c r="H669" s="898">
        <v>360000</v>
      </c>
      <c r="I669" s="1435"/>
      <c r="J669" s="1446">
        <f t="shared" si="14"/>
        <v>0</v>
      </c>
      <c r="K669" s="898">
        <v>360000</v>
      </c>
    </row>
    <row r="670" spans="4:11" ht="22.8" hidden="1" customHeight="1">
      <c r="D670" s="913">
        <v>480</v>
      </c>
      <c r="E670" s="895"/>
      <c r="F670" s="896" t="s">
        <v>8326</v>
      </c>
      <c r="G670" s="897" t="s">
        <v>113</v>
      </c>
      <c r="H670" s="898">
        <v>370000</v>
      </c>
      <c r="I670" s="1435"/>
      <c r="J670" s="1446">
        <f t="shared" si="14"/>
        <v>0</v>
      </c>
      <c r="K670" s="898">
        <v>370000</v>
      </c>
    </row>
    <row r="671" spans="4:11" ht="22.8" hidden="1" customHeight="1">
      <c r="D671" s="913">
        <v>481</v>
      </c>
      <c r="E671" s="895"/>
      <c r="F671" s="896" t="s">
        <v>8329</v>
      </c>
      <c r="G671" s="897" t="s">
        <v>113</v>
      </c>
      <c r="H671" s="898">
        <v>380000</v>
      </c>
      <c r="I671" s="1435"/>
      <c r="J671" s="1446">
        <f t="shared" si="14"/>
        <v>0</v>
      </c>
      <c r="K671" s="898">
        <v>380000</v>
      </c>
    </row>
    <row r="672" spans="4:11" ht="22.8" hidden="1" customHeight="1">
      <c r="D672" s="913">
        <v>482</v>
      </c>
      <c r="E672" s="895"/>
      <c r="F672" s="896" t="s">
        <v>8332</v>
      </c>
      <c r="G672" s="897" t="s">
        <v>113</v>
      </c>
      <c r="H672" s="898">
        <v>390000</v>
      </c>
      <c r="I672" s="1435"/>
      <c r="J672" s="1446">
        <f t="shared" si="14"/>
        <v>0</v>
      </c>
      <c r="K672" s="898">
        <v>390000</v>
      </c>
    </row>
    <row r="673" spans="4:11" ht="22.8" hidden="1" customHeight="1">
      <c r="D673" s="913">
        <v>483</v>
      </c>
      <c r="E673" s="895"/>
      <c r="F673" s="896" t="s">
        <v>8334</v>
      </c>
      <c r="G673" s="897" t="s">
        <v>113</v>
      </c>
      <c r="H673" s="898">
        <v>187500</v>
      </c>
      <c r="I673" s="1435"/>
      <c r="J673" s="1446">
        <f t="shared" si="14"/>
        <v>0</v>
      </c>
      <c r="K673" s="898">
        <v>187500</v>
      </c>
    </row>
    <row r="674" spans="4:11" ht="22.8" hidden="1" customHeight="1">
      <c r="D674" s="913">
        <v>484</v>
      </c>
      <c r="E674" s="895"/>
      <c r="F674" s="896" t="s">
        <v>8337</v>
      </c>
      <c r="G674" s="897" t="s">
        <v>113</v>
      </c>
      <c r="H674" s="898">
        <v>205000</v>
      </c>
      <c r="I674" s="1435"/>
      <c r="J674" s="1446">
        <f t="shared" si="14"/>
        <v>0</v>
      </c>
      <c r="K674" s="898">
        <v>205000</v>
      </c>
    </row>
    <row r="675" spans="4:11" ht="22.8" hidden="1" customHeight="1">
      <c r="D675" s="913">
        <v>485</v>
      </c>
      <c r="E675" s="895"/>
      <c r="F675" s="896" t="s">
        <v>4005</v>
      </c>
      <c r="G675" s="897" t="s">
        <v>3182</v>
      </c>
      <c r="H675" s="898">
        <v>1500000</v>
      </c>
      <c r="I675" s="1435"/>
      <c r="J675" s="1446">
        <f t="shared" si="14"/>
        <v>0</v>
      </c>
      <c r="K675" s="898">
        <v>1500000</v>
      </c>
    </row>
    <row r="676" spans="4:11" ht="22.8" hidden="1" customHeight="1">
      <c r="D676" s="913">
        <v>486</v>
      </c>
      <c r="E676" s="895"/>
      <c r="F676" s="896" t="s">
        <v>4006</v>
      </c>
      <c r="G676" s="897" t="s">
        <v>3182</v>
      </c>
      <c r="H676" s="898">
        <v>1700000</v>
      </c>
      <c r="I676" s="1435"/>
      <c r="J676" s="1446">
        <f t="shared" si="14"/>
        <v>0</v>
      </c>
      <c r="K676" s="898">
        <v>1700000</v>
      </c>
    </row>
    <row r="677" spans="4:11" ht="22.8" hidden="1" customHeight="1">
      <c r="D677" s="913">
        <v>487</v>
      </c>
      <c r="E677" s="895"/>
      <c r="F677" s="896" t="s">
        <v>4030</v>
      </c>
      <c r="G677" s="897" t="s">
        <v>3182</v>
      </c>
      <c r="H677" s="898">
        <v>1900000</v>
      </c>
      <c r="I677" s="1435"/>
      <c r="J677" s="1446">
        <f t="shared" si="14"/>
        <v>0</v>
      </c>
      <c r="K677" s="898">
        <v>1900000</v>
      </c>
    </row>
    <row r="678" spans="4:11" ht="22.8" hidden="1" customHeight="1">
      <c r="D678" s="913">
        <v>488</v>
      </c>
      <c r="E678" s="895"/>
      <c r="F678" s="896" t="s">
        <v>4009</v>
      </c>
      <c r="G678" s="897" t="s">
        <v>3182</v>
      </c>
      <c r="H678" s="898">
        <v>2050000</v>
      </c>
      <c r="I678" s="1435"/>
      <c r="J678" s="1446">
        <f t="shared" si="14"/>
        <v>0</v>
      </c>
      <c r="K678" s="898">
        <v>2050000</v>
      </c>
    </row>
    <row r="679" spans="4:11" ht="22.8" hidden="1" customHeight="1">
      <c r="D679" s="913">
        <v>489</v>
      </c>
      <c r="E679" s="895"/>
      <c r="F679" s="896" t="s">
        <v>4011</v>
      </c>
      <c r="G679" s="897" t="s">
        <v>3182</v>
      </c>
      <c r="H679" s="898">
        <v>2125000</v>
      </c>
      <c r="I679" s="1435"/>
      <c r="J679" s="1446">
        <f t="shared" si="14"/>
        <v>0</v>
      </c>
      <c r="K679" s="898">
        <v>2125000</v>
      </c>
    </row>
    <row r="680" spans="4:11" ht="22.8" hidden="1" customHeight="1">
      <c r="D680" s="913">
        <v>490</v>
      </c>
      <c r="E680" s="895"/>
      <c r="F680" s="896" t="s">
        <v>4013</v>
      </c>
      <c r="G680" s="897" t="s">
        <v>3182</v>
      </c>
      <c r="H680" s="898">
        <v>2315000</v>
      </c>
      <c r="I680" s="1435"/>
      <c r="J680" s="1446">
        <f t="shared" si="14"/>
        <v>0</v>
      </c>
      <c r="K680" s="898">
        <v>2315000</v>
      </c>
    </row>
    <row r="681" spans="4:11" ht="22.8" hidden="1" customHeight="1">
      <c r="D681" s="913">
        <v>491</v>
      </c>
      <c r="E681" s="895"/>
      <c r="F681" s="896" t="s">
        <v>4015</v>
      </c>
      <c r="G681" s="897" t="s">
        <v>3182</v>
      </c>
      <c r="H681" s="898">
        <v>2475000</v>
      </c>
      <c r="I681" s="1435"/>
      <c r="J681" s="1446">
        <f t="shared" si="14"/>
        <v>0</v>
      </c>
      <c r="K681" s="898">
        <v>2475000</v>
      </c>
    </row>
    <row r="682" spans="4:11" ht="22.8" hidden="1" customHeight="1">
      <c r="D682" s="913">
        <v>492</v>
      </c>
      <c r="E682" s="895"/>
      <c r="F682" s="896" t="s">
        <v>4017</v>
      </c>
      <c r="G682" s="897" t="s">
        <v>3182</v>
      </c>
      <c r="H682" s="898">
        <v>2750000</v>
      </c>
      <c r="I682" s="1435"/>
      <c r="J682" s="1446">
        <f t="shared" si="14"/>
        <v>0</v>
      </c>
      <c r="K682" s="898">
        <v>2750000</v>
      </c>
    </row>
    <row r="683" spans="4:11" ht="22.8" hidden="1" customHeight="1">
      <c r="D683" s="913">
        <v>493</v>
      </c>
      <c r="E683" s="895"/>
      <c r="F683" s="896" t="s">
        <v>4019</v>
      </c>
      <c r="G683" s="897" t="s">
        <v>3182</v>
      </c>
      <c r="H683" s="898">
        <v>2995000</v>
      </c>
      <c r="I683" s="1435"/>
      <c r="J683" s="1446">
        <f t="shared" si="14"/>
        <v>0</v>
      </c>
      <c r="K683" s="898">
        <v>2995000</v>
      </c>
    </row>
    <row r="684" spans="4:11" ht="22.8" hidden="1" customHeight="1">
      <c r="D684" s="913">
        <v>494</v>
      </c>
      <c r="E684" s="895"/>
      <c r="F684" s="896" t="s">
        <v>4028</v>
      </c>
      <c r="G684" s="897" t="s">
        <v>3182</v>
      </c>
      <c r="H684" s="898">
        <v>3250000</v>
      </c>
      <c r="I684" s="1435"/>
      <c r="J684" s="1446">
        <f t="shared" si="14"/>
        <v>0</v>
      </c>
      <c r="K684" s="898">
        <v>3250000</v>
      </c>
    </row>
    <row r="685" spans="4:11" ht="22.8" hidden="1" customHeight="1">
      <c r="D685" s="913">
        <v>495</v>
      </c>
      <c r="E685" s="895"/>
      <c r="F685" s="896" t="s">
        <v>4022</v>
      </c>
      <c r="G685" s="897" t="s">
        <v>3182</v>
      </c>
      <c r="H685" s="898">
        <v>3570000</v>
      </c>
      <c r="I685" s="1435"/>
      <c r="J685" s="1446">
        <f t="shared" si="14"/>
        <v>0</v>
      </c>
      <c r="K685" s="898">
        <v>3570000</v>
      </c>
    </row>
    <row r="686" spans="4:11" ht="22.8" hidden="1" customHeight="1">
      <c r="D686" s="913">
        <v>496</v>
      </c>
      <c r="E686" s="895"/>
      <c r="F686" s="896" t="s">
        <v>4024</v>
      </c>
      <c r="G686" s="897" t="s">
        <v>3182</v>
      </c>
      <c r="H686" s="898">
        <v>3950000</v>
      </c>
      <c r="I686" s="1435"/>
      <c r="J686" s="1446">
        <f t="shared" si="14"/>
        <v>0</v>
      </c>
      <c r="K686" s="898">
        <v>3950000</v>
      </c>
    </row>
    <row r="687" spans="4:11" ht="22.8" hidden="1" customHeight="1">
      <c r="D687" s="913">
        <v>497</v>
      </c>
      <c r="E687" s="895"/>
      <c r="F687" s="896" t="s">
        <v>4029</v>
      </c>
      <c r="G687" s="897" t="s">
        <v>3182</v>
      </c>
      <c r="H687" s="898">
        <v>4210000</v>
      </c>
      <c r="I687" s="1435"/>
      <c r="J687" s="1446">
        <f t="shared" si="14"/>
        <v>0</v>
      </c>
      <c r="K687" s="898">
        <v>4210000</v>
      </c>
    </row>
    <row r="688" spans="4:11" ht="22.8" hidden="1" customHeight="1">
      <c r="D688" s="913">
        <v>498</v>
      </c>
      <c r="E688" s="895"/>
      <c r="F688" s="896" t="s">
        <v>4027</v>
      </c>
      <c r="G688" s="897" t="s">
        <v>3182</v>
      </c>
      <c r="H688" s="898">
        <v>4520000</v>
      </c>
      <c r="I688" s="1435"/>
      <c r="J688" s="1446">
        <f t="shared" si="14"/>
        <v>0</v>
      </c>
      <c r="K688" s="898">
        <v>4520000</v>
      </c>
    </row>
    <row r="689" spans="4:11" ht="22.8" hidden="1" customHeight="1">
      <c r="D689" s="913">
        <v>499</v>
      </c>
      <c r="E689" s="895"/>
      <c r="F689" s="896" t="s">
        <v>4022</v>
      </c>
      <c r="G689" s="897" t="s">
        <v>3182</v>
      </c>
      <c r="H689" s="898">
        <v>5750000</v>
      </c>
      <c r="I689" s="1435"/>
      <c r="J689" s="1446">
        <f t="shared" si="14"/>
        <v>0</v>
      </c>
      <c r="K689" s="898">
        <v>5750000</v>
      </c>
    </row>
    <row r="690" spans="4:11" ht="22.8" hidden="1" customHeight="1">
      <c r="D690" s="913">
        <v>500</v>
      </c>
      <c r="E690" s="895"/>
      <c r="F690" s="896" t="s">
        <v>4033</v>
      </c>
      <c r="G690" s="897" t="s">
        <v>3182</v>
      </c>
      <c r="H690" s="898">
        <v>25000</v>
      </c>
      <c r="I690" s="1435"/>
      <c r="J690" s="1446">
        <f t="shared" si="14"/>
        <v>0</v>
      </c>
      <c r="K690" s="898">
        <v>25000</v>
      </c>
    </row>
    <row r="691" spans="4:11" ht="22.8" hidden="1" customHeight="1">
      <c r="D691" s="913">
        <v>501</v>
      </c>
      <c r="E691" s="895"/>
      <c r="F691" s="896" t="s">
        <v>4035</v>
      </c>
      <c r="G691" s="897" t="s">
        <v>3182</v>
      </c>
      <c r="H691" s="898">
        <v>36750</v>
      </c>
      <c r="I691" s="1435"/>
      <c r="J691" s="1446">
        <f t="shared" si="14"/>
        <v>0</v>
      </c>
      <c r="K691" s="898">
        <v>36750</v>
      </c>
    </row>
    <row r="692" spans="4:11" ht="22.8" hidden="1" customHeight="1">
      <c r="D692" s="913">
        <v>502</v>
      </c>
      <c r="E692" s="895"/>
      <c r="F692" s="896" t="s">
        <v>4037</v>
      </c>
      <c r="G692" s="897" t="s">
        <v>3182</v>
      </c>
      <c r="H692" s="898">
        <v>46100</v>
      </c>
      <c r="I692" s="1435"/>
      <c r="J692" s="1446">
        <f t="shared" si="14"/>
        <v>0</v>
      </c>
      <c r="K692" s="898">
        <v>46100</v>
      </c>
    </row>
    <row r="693" spans="4:11" ht="22.8" hidden="1" customHeight="1">
      <c r="D693" s="913">
        <v>503</v>
      </c>
      <c r="E693" s="895"/>
      <c r="F693" s="896" t="s">
        <v>4039</v>
      </c>
      <c r="G693" s="897" t="s">
        <v>3182</v>
      </c>
      <c r="H693" s="898">
        <v>68000</v>
      </c>
      <c r="I693" s="1435"/>
      <c r="J693" s="1446">
        <f t="shared" si="14"/>
        <v>0</v>
      </c>
      <c r="K693" s="898">
        <v>68000</v>
      </c>
    </row>
    <row r="694" spans="4:11" ht="22.8" hidden="1" customHeight="1">
      <c r="D694" s="913">
        <v>504</v>
      </c>
      <c r="E694" s="895"/>
      <c r="F694" s="896" t="s">
        <v>4041</v>
      </c>
      <c r="G694" s="897" t="s">
        <v>3182</v>
      </c>
      <c r="H694" s="898">
        <v>79000</v>
      </c>
      <c r="I694" s="1435"/>
      <c r="J694" s="1446">
        <f t="shared" si="14"/>
        <v>0</v>
      </c>
      <c r="K694" s="898">
        <v>79000</v>
      </c>
    </row>
    <row r="695" spans="4:11" ht="22.8" hidden="1" customHeight="1">
      <c r="D695" s="913">
        <v>505</v>
      </c>
      <c r="E695" s="895"/>
      <c r="F695" s="896" t="s">
        <v>4046</v>
      </c>
      <c r="G695" s="897" t="s">
        <v>3182</v>
      </c>
      <c r="H695" s="898">
        <v>118000</v>
      </c>
      <c r="I695" s="1435"/>
      <c r="J695" s="1446">
        <f t="shared" si="14"/>
        <v>0</v>
      </c>
      <c r="K695" s="898">
        <v>118000</v>
      </c>
    </row>
    <row r="696" spans="4:11" ht="22.8" hidden="1" customHeight="1">
      <c r="D696" s="913">
        <v>506</v>
      </c>
      <c r="E696" s="895"/>
      <c r="F696" s="896" t="s">
        <v>4049</v>
      </c>
      <c r="G696" s="897" t="s">
        <v>3182</v>
      </c>
      <c r="H696" s="898">
        <v>145000</v>
      </c>
      <c r="I696" s="1435"/>
      <c r="J696" s="1446">
        <f t="shared" si="14"/>
        <v>0</v>
      </c>
      <c r="K696" s="898">
        <v>145000</v>
      </c>
    </row>
    <row r="697" spans="4:11" ht="22.8" hidden="1" customHeight="1">
      <c r="D697" s="913">
        <v>507</v>
      </c>
      <c r="E697" s="895"/>
      <c r="F697" s="896" t="s">
        <v>4047</v>
      </c>
      <c r="G697" s="897" t="s">
        <v>3182</v>
      </c>
      <c r="H697" s="898">
        <v>215000</v>
      </c>
      <c r="I697" s="1435"/>
      <c r="J697" s="1446">
        <f t="shared" si="14"/>
        <v>0</v>
      </c>
      <c r="K697" s="898">
        <v>215000</v>
      </c>
    </row>
    <row r="698" spans="4:11" ht="22.8" hidden="1" customHeight="1">
      <c r="D698" s="913">
        <v>508</v>
      </c>
      <c r="E698" s="895"/>
      <c r="F698" s="896" t="s">
        <v>4048</v>
      </c>
      <c r="G698" s="897" t="s">
        <v>3182</v>
      </c>
      <c r="H698" s="898">
        <v>233300</v>
      </c>
      <c r="I698" s="1435"/>
      <c r="J698" s="1446">
        <f t="shared" si="14"/>
        <v>0</v>
      </c>
      <c r="K698" s="898">
        <v>233300</v>
      </c>
    </row>
    <row r="699" spans="4:11" ht="22.8" hidden="1" customHeight="1">
      <c r="D699" s="913">
        <v>509</v>
      </c>
      <c r="E699" s="895"/>
      <c r="F699" s="896" t="s">
        <v>4052</v>
      </c>
      <c r="G699" s="897" t="s">
        <v>3182</v>
      </c>
      <c r="H699" s="898">
        <v>39000</v>
      </c>
      <c r="I699" s="1435"/>
      <c r="J699" s="1446">
        <f t="shared" si="14"/>
        <v>0</v>
      </c>
      <c r="K699" s="898">
        <v>39000</v>
      </c>
    </row>
    <row r="700" spans="4:11" ht="22.8" hidden="1" customHeight="1">
      <c r="D700" s="913">
        <v>510</v>
      </c>
      <c r="E700" s="895"/>
      <c r="F700" s="896" t="s">
        <v>4054</v>
      </c>
      <c r="G700" s="897" t="s">
        <v>3182</v>
      </c>
      <c r="H700" s="898">
        <v>59000</v>
      </c>
      <c r="I700" s="1435"/>
      <c r="J700" s="1446">
        <f t="shared" si="14"/>
        <v>0</v>
      </c>
      <c r="K700" s="898">
        <v>59000</v>
      </c>
    </row>
    <row r="701" spans="4:11" ht="22.8" hidden="1" customHeight="1">
      <c r="D701" s="913">
        <v>511</v>
      </c>
      <c r="E701" s="895"/>
      <c r="F701" s="896" t="s">
        <v>4056</v>
      </c>
      <c r="G701" s="897" t="s">
        <v>3182</v>
      </c>
      <c r="H701" s="898">
        <v>88350</v>
      </c>
      <c r="I701" s="1435"/>
      <c r="J701" s="1446">
        <f t="shared" si="14"/>
        <v>0</v>
      </c>
      <c r="K701" s="898">
        <v>88350</v>
      </c>
    </row>
    <row r="702" spans="4:11" ht="22.8" hidden="1" customHeight="1">
      <c r="D702" s="913">
        <v>512</v>
      </c>
      <c r="E702" s="895"/>
      <c r="F702" s="896" t="s">
        <v>4058</v>
      </c>
      <c r="G702" s="897" t="s">
        <v>3182</v>
      </c>
      <c r="H702" s="898">
        <v>110960</v>
      </c>
      <c r="I702" s="1435"/>
      <c r="J702" s="1446">
        <f t="shared" si="14"/>
        <v>0</v>
      </c>
      <c r="K702" s="898">
        <v>110960</v>
      </c>
    </row>
    <row r="703" spans="4:11" ht="22.8" hidden="1" customHeight="1">
      <c r="D703" s="913">
        <v>513</v>
      </c>
      <c r="E703" s="895"/>
      <c r="F703" s="896" t="s">
        <v>4060</v>
      </c>
      <c r="G703" s="897" t="s">
        <v>3182</v>
      </c>
      <c r="H703" s="898">
        <v>148960</v>
      </c>
      <c r="I703" s="1435"/>
      <c r="J703" s="1446">
        <f t="shared" ref="J703:J766" si="15">I703-(I703*10%)</f>
        <v>0</v>
      </c>
      <c r="K703" s="898">
        <v>148960</v>
      </c>
    </row>
    <row r="704" spans="4:11" ht="22.8" hidden="1" customHeight="1">
      <c r="D704" s="913">
        <v>514</v>
      </c>
      <c r="E704" s="895"/>
      <c r="F704" s="896" t="s">
        <v>4061</v>
      </c>
      <c r="G704" s="897" t="s">
        <v>3182</v>
      </c>
      <c r="H704" s="898">
        <v>215460</v>
      </c>
      <c r="I704" s="1435"/>
      <c r="J704" s="1446">
        <f t="shared" si="15"/>
        <v>0</v>
      </c>
      <c r="K704" s="898">
        <v>215460</v>
      </c>
    </row>
    <row r="705" spans="4:11" ht="22.8" hidden="1" customHeight="1">
      <c r="D705" s="913">
        <v>515</v>
      </c>
      <c r="E705" s="895"/>
      <c r="F705" s="896" t="s">
        <v>4062</v>
      </c>
      <c r="G705" s="897" t="s">
        <v>3182</v>
      </c>
      <c r="H705" s="898">
        <v>265000</v>
      </c>
      <c r="I705" s="1435"/>
      <c r="J705" s="1446">
        <f t="shared" si="15"/>
        <v>0</v>
      </c>
      <c r="K705" s="898">
        <v>265000</v>
      </c>
    </row>
    <row r="706" spans="4:11" ht="22.8" hidden="1" customHeight="1">
      <c r="D706" s="913">
        <v>516</v>
      </c>
      <c r="E706" s="895"/>
      <c r="F706" s="896" t="s">
        <v>4063</v>
      </c>
      <c r="G706" s="897" t="s">
        <v>3182</v>
      </c>
      <c r="H706" s="898">
        <v>587000</v>
      </c>
      <c r="I706" s="1435"/>
      <c r="J706" s="1446">
        <f t="shared" si="15"/>
        <v>0</v>
      </c>
      <c r="K706" s="898">
        <v>587000</v>
      </c>
    </row>
    <row r="707" spans="4:11" ht="22.8" hidden="1" customHeight="1">
      <c r="D707" s="913">
        <v>517</v>
      </c>
      <c r="E707" s="895"/>
      <c r="F707" s="896" t="s">
        <v>4064</v>
      </c>
      <c r="G707" s="897" t="s">
        <v>3182</v>
      </c>
      <c r="H707" s="898">
        <v>1440000</v>
      </c>
      <c r="I707" s="1435"/>
      <c r="J707" s="1446">
        <f t="shared" si="15"/>
        <v>0</v>
      </c>
      <c r="K707" s="898">
        <v>1440000</v>
      </c>
    </row>
    <row r="708" spans="4:11" ht="22.8" hidden="1" customHeight="1">
      <c r="D708" s="913">
        <v>518</v>
      </c>
      <c r="E708" s="895"/>
      <c r="F708" s="896" t="s">
        <v>4065</v>
      </c>
      <c r="G708" s="897" t="s">
        <v>3182</v>
      </c>
      <c r="H708" s="898">
        <v>2750000</v>
      </c>
      <c r="I708" s="1435"/>
      <c r="J708" s="1446">
        <f t="shared" si="15"/>
        <v>0</v>
      </c>
      <c r="K708" s="898">
        <v>2750000</v>
      </c>
    </row>
    <row r="709" spans="4:11" ht="22.8" hidden="1" customHeight="1">
      <c r="D709" s="913">
        <v>519</v>
      </c>
      <c r="E709" s="895"/>
      <c r="F709" s="896" t="s">
        <v>4066</v>
      </c>
      <c r="G709" s="897" t="s">
        <v>3182</v>
      </c>
      <c r="H709" s="898">
        <v>3050000</v>
      </c>
      <c r="I709" s="1435"/>
      <c r="J709" s="1446">
        <f t="shared" si="15"/>
        <v>0</v>
      </c>
      <c r="K709" s="898">
        <v>3050000</v>
      </c>
    </row>
    <row r="710" spans="4:11" ht="22.8" hidden="1" customHeight="1">
      <c r="D710" s="913">
        <v>520</v>
      </c>
      <c r="E710" s="895"/>
      <c r="F710" s="896" t="s">
        <v>4067</v>
      </c>
      <c r="G710" s="897" t="s">
        <v>3182</v>
      </c>
      <c r="H710" s="898">
        <v>3470000</v>
      </c>
      <c r="I710" s="1435"/>
      <c r="J710" s="1446">
        <f t="shared" si="15"/>
        <v>0</v>
      </c>
      <c r="K710" s="898">
        <v>3470000</v>
      </c>
    </row>
    <row r="711" spans="4:11" ht="22.8" hidden="1" customHeight="1">
      <c r="D711" s="913">
        <v>521</v>
      </c>
      <c r="E711" s="895"/>
      <c r="F711" s="896" t="s">
        <v>4068</v>
      </c>
      <c r="G711" s="897" t="s">
        <v>3182</v>
      </c>
      <c r="H711" s="898">
        <v>3680000</v>
      </c>
      <c r="I711" s="1435"/>
      <c r="J711" s="1446">
        <f t="shared" si="15"/>
        <v>0</v>
      </c>
      <c r="K711" s="898">
        <v>3680000</v>
      </c>
    </row>
    <row r="712" spans="4:11" ht="22.8" hidden="1" customHeight="1">
      <c r="D712" s="913">
        <v>522</v>
      </c>
      <c r="E712" s="895"/>
      <c r="F712" s="896" t="s">
        <v>4069</v>
      </c>
      <c r="G712" s="897" t="s">
        <v>3182</v>
      </c>
      <c r="H712" s="898">
        <v>3970000</v>
      </c>
      <c r="I712" s="1435"/>
      <c r="J712" s="1446">
        <f t="shared" si="15"/>
        <v>0</v>
      </c>
      <c r="K712" s="898">
        <v>3970000</v>
      </c>
    </row>
    <row r="713" spans="4:11" ht="22.8" hidden="1" customHeight="1">
      <c r="D713" s="913">
        <v>523</v>
      </c>
      <c r="E713" s="895"/>
      <c r="F713" s="896" t="s">
        <v>4081</v>
      </c>
      <c r="G713" s="897" t="s">
        <v>3182</v>
      </c>
      <c r="H713" s="898">
        <v>36000</v>
      </c>
      <c r="I713" s="1435"/>
      <c r="J713" s="1446">
        <f t="shared" si="15"/>
        <v>0</v>
      </c>
      <c r="K713" s="898">
        <v>36000</v>
      </c>
    </row>
    <row r="714" spans="4:11" ht="22.8" hidden="1" customHeight="1">
      <c r="D714" s="913">
        <v>524</v>
      </c>
      <c r="E714" s="895"/>
      <c r="F714" s="896" t="s">
        <v>4083</v>
      </c>
      <c r="G714" s="897" t="s">
        <v>3182</v>
      </c>
      <c r="H714" s="898">
        <v>47000</v>
      </c>
      <c r="I714" s="1435"/>
      <c r="J714" s="1446">
        <f t="shared" si="15"/>
        <v>0</v>
      </c>
      <c r="K714" s="898">
        <v>47000</v>
      </c>
    </row>
    <row r="715" spans="4:11" ht="22.8" hidden="1" customHeight="1">
      <c r="D715" s="913">
        <v>525</v>
      </c>
      <c r="E715" s="895"/>
      <c r="F715" s="896" t="s">
        <v>4085</v>
      </c>
      <c r="G715" s="897" t="s">
        <v>3182</v>
      </c>
      <c r="H715" s="898">
        <v>59000</v>
      </c>
      <c r="I715" s="1435"/>
      <c r="J715" s="1446">
        <f t="shared" si="15"/>
        <v>0</v>
      </c>
      <c r="K715" s="898">
        <v>59000</v>
      </c>
    </row>
    <row r="716" spans="4:11" ht="22.8" hidden="1" customHeight="1">
      <c r="D716" s="913">
        <v>526</v>
      </c>
      <c r="E716" s="895"/>
      <c r="F716" s="896" t="s">
        <v>4089</v>
      </c>
      <c r="G716" s="897" t="s">
        <v>3182</v>
      </c>
      <c r="H716" s="898">
        <v>95600</v>
      </c>
      <c r="I716" s="1435"/>
      <c r="J716" s="1446">
        <f t="shared" si="15"/>
        <v>0</v>
      </c>
      <c r="K716" s="898">
        <v>95600</v>
      </c>
    </row>
    <row r="717" spans="4:11" ht="22.8" hidden="1" customHeight="1">
      <c r="D717" s="913">
        <v>527</v>
      </c>
      <c r="E717" s="895"/>
      <c r="F717" s="896" t="s">
        <v>4088</v>
      </c>
      <c r="G717" s="897" t="s">
        <v>3182</v>
      </c>
      <c r="H717" s="898">
        <v>143000</v>
      </c>
      <c r="I717" s="1435"/>
      <c r="J717" s="1446">
        <f t="shared" si="15"/>
        <v>0</v>
      </c>
      <c r="K717" s="898">
        <v>143000</v>
      </c>
    </row>
    <row r="718" spans="4:11" ht="22.8" hidden="1" customHeight="1">
      <c r="D718" s="913">
        <v>528</v>
      </c>
      <c r="E718" s="895"/>
      <c r="F718" s="896" t="s">
        <v>4090</v>
      </c>
      <c r="G718" s="897" t="s">
        <v>3182</v>
      </c>
      <c r="H718" s="898">
        <v>303600</v>
      </c>
      <c r="I718" s="1435"/>
      <c r="J718" s="1446">
        <f t="shared" si="15"/>
        <v>0</v>
      </c>
      <c r="K718" s="898">
        <v>303600</v>
      </c>
    </row>
    <row r="719" spans="4:11" ht="22.8" hidden="1" customHeight="1">
      <c r="D719" s="913">
        <v>529</v>
      </c>
      <c r="E719" s="895"/>
      <c r="F719" s="896" t="s">
        <v>4091</v>
      </c>
      <c r="G719" s="897" t="s">
        <v>3182</v>
      </c>
      <c r="H719" s="898">
        <v>415600</v>
      </c>
      <c r="I719" s="1435"/>
      <c r="J719" s="1446">
        <f t="shared" si="15"/>
        <v>0</v>
      </c>
      <c r="K719" s="898">
        <v>415600</v>
      </c>
    </row>
    <row r="720" spans="4:11" ht="22.8" hidden="1" customHeight="1">
      <c r="D720" s="913">
        <v>530</v>
      </c>
      <c r="E720" s="895"/>
      <c r="F720" s="896" t="s">
        <v>4092</v>
      </c>
      <c r="G720" s="897" t="s">
        <v>3182</v>
      </c>
      <c r="H720" s="898">
        <v>552000</v>
      </c>
      <c r="I720" s="1435"/>
      <c r="J720" s="1446">
        <f t="shared" si="15"/>
        <v>0</v>
      </c>
      <c r="K720" s="898">
        <v>552000</v>
      </c>
    </row>
    <row r="721" spans="4:11" ht="22.8" hidden="1" customHeight="1">
      <c r="D721" s="913">
        <v>531</v>
      </c>
      <c r="E721" s="895"/>
      <c r="F721" s="896" t="s">
        <v>4093</v>
      </c>
      <c r="G721" s="897" t="s">
        <v>3182</v>
      </c>
      <c r="H721" s="898">
        <v>809600</v>
      </c>
      <c r="I721" s="1435"/>
      <c r="J721" s="1446">
        <f t="shared" si="15"/>
        <v>0</v>
      </c>
      <c r="K721" s="898">
        <v>809600</v>
      </c>
    </row>
    <row r="722" spans="4:11" ht="22.8" hidden="1" customHeight="1">
      <c r="D722" s="913">
        <v>532</v>
      </c>
      <c r="E722" s="895"/>
      <c r="F722" s="896" t="s">
        <v>4094</v>
      </c>
      <c r="G722" s="897" t="s">
        <v>3182</v>
      </c>
      <c r="H722" s="898">
        <v>873000</v>
      </c>
      <c r="I722" s="1435"/>
      <c r="J722" s="1446">
        <f t="shared" si="15"/>
        <v>0</v>
      </c>
      <c r="K722" s="898">
        <v>873000</v>
      </c>
    </row>
    <row r="723" spans="4:11" ht="22.8" hidden="1" customHeight="1">
      <c r="D723" s="913">
        <v>533</v>
      </c>
      <c r="E723" s="895"/>
      <c r="F723" s="896" t="s">
        <v>4095</v>
      </c>
      <c r="G723" s="897" t="s">
        <v>3182</v>
      </c>
      <c r="H723" s="898">
        <v>970500</v>
      </c>
      <c r="I723" s="1435"/>
      <c r="J723" s="1446">
        <f t="shared" si="15"/>
        <v>0</v>
      </c>
      <c r="K723" s="898">
        <v>970500</v>
      </c>
    </row>
    <row r="724" spans="4:11" ht="22.8" hidden="1" customHeight="1">
      <c r="D724" s="913">
        <v>534</v>
      </c>
      <c r="E724" s="895"/>
      <c r="F724" s="896" t="s">
        <v>4097</v>
      </c>
      <c r="G724" s="897" t="s">
        <v>3182</v>
      </c>
      <c r="H724" s="898">
        <v>1260000</v>
      </c>
      <c r="I724" s="1435"/>
      <c r="J724" s="1446">
        <f t="shared" si="15"/>
        <v>0</v>
      </c>
      <c r="K724" s="898">
        <v>1260000</v>
      </c>
    </row>
    <row r="725" spans="4:11" ht="22.8" hidden="1" customHeight="1">
      <c r="D725" s="913">
        <v>535</v>
      </c>
      <c r="E725" s="895"/>
      <c r="F725" s="896" t="s">
        <v>4096</v>
      </c>
      <c r="G725" s="897" t="s">
        <v>3182</v>
      </c>
      <c r="H725" s="898">
        <v>1540000</v>
      </c>
      <c r="I725" s="1435"/>
      <c r="J725" s="1446">
        <f t="shared" si="15"/>
        <v>0</v>
      </c>
      <c r="K725" s="898">
        <v>1540000</v>
      </c>
    </row>
    <row r="726" spans="4:11" ht="22.8" hidden="1" customHeight="1">
      <c r="D726" s="913">
        <v>536</v>
      </c>
      <c r="E726" s="895"/>
      <c r="F726" s="896" t="s">
        <v>4098</v>
      </c>
      <c r="G726" s="897" t="s">
        <v>3182</v>
      </c>
      <c r="H726" s="898">
        <v>1670000</v>
      </c>
      <c r="I726" s="1435"/>
      <c r="J726" s="1446">
        <f t="shared" si="15"/>
        <v>0</v>
      </c>
      <c r="K726" s="898">
        <v>1670000</v>
      </c>
    </row>
    <row r="727" spans="4:11" ht="22.8" hidden="1" customHeight="1">
      <c r="D727" s="913">
        <v>537</v>
      </c>
      <c r="E727" s="895"/>
      <c r="F727" s="896" t="s">
        <v>4100</v>
      </c>
      <c r="G727" s="897" t="s">
        <v>3182</v>
      </c>
      <c r="H727" s="898">
        <v>1820000</v>
      </c>
      <c r="I727" s="1435"/>
      <c r="J727" s="1446">
        <f t="shared" si="15"/>
        <v>0</v>
      </c>
      <c r="K727" s="898">
        <v>1820000</v>
      </c>
    </row>
    <row r="728" spans="4:11" ht="22.8" hidden="1" customHeight="1">
      <c r="D728" s="913">
        <v>538</v>
      </c>
      <c r="E728" s="895"/>
      <c r="F728" s="896" t="s">
        <v>4112</v>
      </c>
      <c r="G728" s="897" t="s">
        <v>3182</v>
      </c>
      <c r="H728" s="898">
        <v>221000</v>
      </c>
      <c r="I728" s="1435"/>
      <c r="J728" s="1446">
        <f t="shared" si="15"/>
        <v>0</v>
      </c>
      <c r="K728" s="898">
        <v>221000</v>
      </c>
    </row>
    <row r="729" spans="4:11" ht="22.8" hidden="1" customHeight="1">
      <c r="D729" s="913">
        <v>539</v>
      </c>
      <c r="E729" s="895"/>
      <c r="F729" s="896" t="s">
        <v>4114</v>
      </c>
      <c r="G729" s="897" t="s">
        <v>3182</v>
      </c>
      <c r="H729" s="898">
        <v>250000</v>
      </c>
      <c r="I729" s="1435"/>
      <c r="J729" s="1446">
        <f t="shared" si="15"/>
        <v>0</v>
      </c>
      <c r="K729" s="898">
        <v>250000</v>
      </c>
    </row>
    <row r="730" spans="4:11" ht="22.8" hidden="1" customHeight="1">
      <c r="D730" s="913">
        <v>540</v>
      </c>
      <c r="E730" s="895"/>
      <c r="F730" s="896" t="s">
        <v>4116</v>
      </c>
      <c r="G730" s="897" t="s">
        <v>3182</v>
      </c>
      <c r="H730" s="898">
        <v>375000</v>
      </c>
      <c r="I730" s="1435"/>
      <c r="J730" s="1446">
        <f t="shared" si="15"/>
        <v>0</v>
      </c>
      <c r="K730" s="898">
        <v>375000</v>
      </c>
    </row>
    <row r="731" spans="4:11" ht="22.8" hidden="1" customHeight="1">
      <c r="D731" s="913">
        <v>541</v>
      </c>
      <c r="E731" s="895"/>
      <c r="F731" s="896" t="s">
        <v>4118</v>
      </c>
      <c r="G731" s="897" t="s">
        <v>3182</v>
      </c>
      <c r="H731" s="898">
        <v>485000</v>
      </c>
      <c r="I731" s="1435"/>
      <c r="J731" s="1446">
        <f t="shared" si="15"/>
        <v>0</v>
      </c>
      <c r="K731" s="898">
        <v>485000</v>
      </c>
    </row>
    <row r="732" spans="4:11" ht="22.8" hidden="1" customHeight="1">
      <c r="D732" s="913">
        <v>542</v>
      </c>
      <c r="E732" s="895"/>
      <c r="F732" s="896" t="s">
        <v>4120</v>
      </c>
      <c r="G732" s="897" t="s">
        <v>3182</v>
      </c>
      <c r="H732" s="898">
        <v>630000</v>
      </c>
      <c r="I732" s="1435"/>
      <c r="J732" s="1446">
        <f t="shared" si="15"/>
        <v>0</v>
      </c>
      <c r="K732" s="898">
        <v>630000</v>
      </c>
    </row>
    <row r="733" spans="4:11" ht="22.8" hidden="1" customHeight="1">
      <c r="D733" s="913">
        <v>543</v>
      </c>
      <c r="E733" s="895"/>
      <c r="F733" s="896" t="s">
        <v>4122</v>
      </c>
      <c r="G733" s="897" t="s">
        <v>3182</v>
      </c>
      <c r="H733" s="898">
        <v>870000</v>
      </c>
      <c r="I733" s="1435"/>
      <c r="J733" s="1446">
        <f t="shared" si="15"/>
        <v>0</v>
      </c>
      <c r="K733" s="898">
        <v>870000</v>
      </c>
    </row>
    <row r="734" spans="4:11" ht="22.8" hidden="1" customHeight="1">
      <c r="D734" s="913">
        <v>544</v>
      </c>
      <c r="E734" s="895"/>
      <c r="F734" s="896" t="s">
        <v>4124</v>
      </c>
      <c r="G734" s="897" t="s">
        <v>3182</v>
      </c>
      <c r="H734" s="898">
        <v>980000</v>
      </c>
      <c r="I734" s="1435"/>
      <c r="J734" s="1446">
        <f t="shared" si="15"/>
        <v>0</v>
      </c>
      <c r="K734" s="898">
        <v>980000</v>
      </c>
    </row>
    <row r="735" spans="4:11" ht="22.8" hidden="1" customHeight="1">
      <c r="D735" s="913">
        <v>545</v>
      </c>
      <c r="E735" s="895"/>
      <c r="F735" s="896" t="s">
        <v>4126</v>
      </c>
      <c r="G735" s="897" t="s">
        <v>3182</v>
      </c>
      <c r="H735" s="898">
        <v>1170000</v>
      </c>
      <c r="I735" s="1435"/>
      <c r="J735" s="1446">
        <f t="shared" si="15"/>
        <v>0</v>
      </c>
      <c r="K735" s="898">
        <v>1170000</v>
      </c>
    </row>
    <row r="736" spans="4:11" ht="22.8" hidden="1" customHeight="1">
      <c r="D736" s="913">
        <v>546</v>
      </c>
      <c r="E736" s="895"/>
      <c r="F736" s="896" t="s">
        <v>4128</v>
      </c>
      <c r="G736" s="897" t="s">
        <v>3182</v>
      </c>
      <c r="H736" s="898">
        <v>1370000</v>
      </c>
      <c r="I736" s="1435"/>
      <c r="J736" s="1446">
        <f t="shared" si="15"/>
        <v>0</v>
      </c>
      <c r="K736" s="898">
        <v>1370000</v>
      </c>
    </row>
    <row r="737" spans="4:11" ht="22.8" hidden="1" customHeight="1">
      <c r="D737" s="913">
        <v>547</v>
      </c>
      <c r="E737" s="895"/>
      <c r="F737" s="896" t="s">
        <v>4130</v>
      </c>
      <c r="G737" s="897" t="s">
        <v>3182</v>
      </c>
      <c r="H737" s="898">
        <v>1520000</v>
      </c>
      <c r="I737" s="1435"/>
      <c r="J737" s="1446">
        <f t="shared" si="15"/>
        <v>0</v>
      </c>
      <c r="K737" s="898">
        <v>1520000</v>
      </c>
    </row>
    <row r="738" spans="4:11" ht="22.8" hidden="1" customHeight="1">
      <c r="D738" s="913">
        <v>548</v>
      </c>
      <c r="E738" s="895"/>
      <c r="F738" s="896" t="s">
        <v>4132</v>
      </c>
      <c r="G738" s="897" t="s">
        <v>3182</v>
      </c>
      <c r="H738" s="898">
        <v>1740000</v>
      </c>
      <c r="I738" s="1435"/>
      <c r="J738" s="1446">
        <f t="shared" si="15"/>
        <v>0</v>
      </c>
      <c r="K738" s="898">
        <v>1740000</v>
      </c>
    </row>
    <row r="739" spans="4:11" ht="22.8" hidden="1" customHeight="1">
      <c r="D739" s="913">
        <v>549</v>
      </c>
      <c r="E739" s="895"/>
      <c r="F739" s="896" t="s">
        <v>4134</v>
      </c>
      <c r="G739" s="897" t="s">
        <v>3182</v>
      </c>
      <c r="H739" s="898">
        <v>1960000</v>
      </c>
      <c r="I739" s="1435"/>
      <c r="J739" s="1446">
        <f t="shared" si="15"/>
        <v>0</v>
      </c>
      <c r="K739" s="898">
        <v>1960000</v>
      </c>
    </row>
    <row r="740" spans="4:11" ht="22.8" hidden="1" customHeight="1">
      <c r="D740" s="913">
        <v>550</v>
      </c>
      <c r="E740" s="895"/>
      <c r="F740" s="896" t="s">
        <v>4136</v>
      </c>
      <c r="G740" s="897" t="s">
        <v>3182</v>
      </c>
      <c r="H740" s="898">
        <v>2130000</v>
      </c>
      <c r="I740" s="1435"/>
      <c r="J740" s="1446">
        <f t="shared" si="15"/>
        <v>0</v>
      </c>
      <c r="K740" s="898">
        <v>2130000</v>
      </c>
    </row>
    <row r="741" spans="4:11" ht="22.8" hidden="1" customHeight="1">
      <c r="D741" s="913">
        <v>551</v>
      </c>
      <c r="E741" s="895"/>
      <c r="F741" s="896" t="s">
        <v>4138</v>
      </c>
      <c r="G741" s="897" t="s">
        <v>3182</v>
      </c>
      <c r="H741" s="898">
        <v>2480000</v>
      </c>
      <c r="I741" s="1435"/>
      <c r="J741" s="1446">
        <f t="shared" si="15"/>
        <v>0</v>
      </c>
      <c r="K741" s="898">
        <v>2480000</v>
      </c>
    </row>
    <row r="742" spans="4:11" ht="22.8" hidden="1" customHeight="1">
      <c r="D742" s="913">
        <v>552</v>
      </c>
      <c r="E742" s="895"/>
      <c r="F742" s="896" t="s">
        <v>4141</v>
      </c>
      <c r="G742" s="897" t="s">
        <v>3182</v>
      </c>
      <c r="H742" s="898">
        <v>21450</v>
      </c>
      <c r="I742" s="1435"/>
      <c r="J742" s="1446">
        <f t="shared" si="15"/>
        <v>0</v>
      </c>
      <c r="K742" s="898">
        <v>21450</v>
      </c>
    </row>
    <row r="743" spans="4:11" ht="22.8" hidden="1" customHeight="1">
      <c r="D743" s="913">
        <v>553</v>
      </c>
      <c r="E743" s="895"/>
      <c r="F743" s="896" t="s">
        <v>4143</v>
      </c>
      <c r="G743" s="897" t="s">
        <v>3182</v>
      </c>
      <c r="H743" s="898">
        <v>69400</v>
      </c>
      <c r="I743" s="1435"/>
      <c r="J743" s="1446">
        <f t="shared" si="15"/>
        <v>0</v>
      </c>
      <c r="K743" s="898">
        <v>69400</v>
      </c>
    </row>
    <row r="744" spans="4:11" ht="22.8" hidden="1" customHeight="1">
      <c r="D744" s="913">
        <v>554</v>
      </c>
      <c r="E744" s="895"/>
      <c r="F744" s="896" t="s">
        <v>4166</v>
      </c>
      <c r="G744" s="897" t="s">
        <v>3182</v>
      </c>
      <c r="H744" s="898">
        <v>83800</v>
      </c>
      <c r="I744" s="1435"/>
      <c r="J744" s="1446">
        <f t="shared" si="15"/>
        <v>0</v>
      </c>
      <c r="K744" s="898">
        <v>83800</v>
      </c>
    </row>
    <row r="745" spans="4:11" ht="22.8" hidden="1" customHeight="1">
      <c r="D745" s="913">
        <v>555</v>
      </c>
      <c r="E745" s="895"/>
      <c r="F745" s="896" t="s">
        <v>4145</v>
      </c>
      <c r="G745" s="897" t="s">
        <v>3182</v>
      </c>
      <c r="H745" s="898">
        <v>134600</v>
      </c>
      <c r="I745" s="1435"/>
      <c r="J745" s="1446">
        <f t="shared" si="15"/>
        <v>0</v>
      </c>
      <c r="K745" s="898">
        <v>134600</v>
      </c>
    </row>
    <row r="746" spans="4:11" ht="22.8" hidden="1" customHeight="1">
      <c r="D746" s="913">
        <v>556</v>
      </c>
      <c r="E746" s="895"/>
      <c r="F746" s="896" t="s">
        <v>4146</v>
      </c>
      <c r="G746" s="897" t="s">
        <v>3182</v>
      </c>
      <c r="H746" s="898">
        <v>202000</v>
      </c>
      <c r="I746" s="1435"/>
      <c r="J746" s="1446">
        <f t="shared" si="15"/>
        <v>0</v>
      </c>
      <c r="K746" s="898">
        <v>202000</v>
      </c>
    </row>
    <row r="747" spans="4:11" ht="22.8" hidden="1" customHeight="1">
      <c r="D747" s="913">
        <v>557</v>
      </c>
      <c r="E747" s="895"/>
      <c r="F747" s="896" t="s">
        <v>4148</v>
      </c>
      <c r="G747" s="897" t="s">
        <v>3182</v>
      </c>
      <c r="H747" s="898">
        <v>331300</v>
      </c>
      <c r="I747" s="1435"/>
      <c r="J747" s="1446">
        <f t="shared" si="15"/>
        <v>0</v>
      </c>
      <c r="K747" s="898">
        <v>331300</v>
      </c>
    </row>
    <row r="748" spans="4:11" ht="22.8" hidden="1" customHeight="1">
      <c r="D748" s="913">
        <v>558</v>
      </c>
      <c r="E748" s="895"/>
      <c r="F748" s="896" t="s">
        <v>4150</v>
      </c>
      <c r="G748" s="897" t="s">
        <v>3182</v>
      </c>
      <c r="H748" s="898">
        <v>348000</v>
      </c>
      <c r="I748" s="1435"/>
      <c r="J748" s="1446">
        <f t="shared" si="15"/>
        <v>0</v>
      </c>
      <c r="K748" s="898">
        <v>348000</v>
      </c>
    </row>
    <row r="749" spans="4:11" ht="22.8" hidden="1" customHeight="1">
      <c r="D749" s="913">
        <v>559</v>
      </c>
      <c r="E749" s="895"/>
      <c r="F749" s="896" t="s">
        <v>4152</v>
      </c>
      <c r="G749" s="897" t="s">
        <v>3182</v>
      </c>
      <c r="H749" s="898">
        <v>609000</v>
      </c>
      <c r="I749" s="1435"/>
      <c r="J749" s="1446">
        <f t="shared" si="15"/>
        <v>0</v>
      </c>
      <c r="K749" s="898">
        <v>609000</v>
      </c>
    </row>
    <row r="750" spans="4:11" ht="22.8" hidden="1" customHeight="1">
      <c r="D750" s="913">
        <v>560</v>
      </c>
      <c r="E750" s="895"/>
      <c r="F750" s="896" t="s">
        <v>4154</v>
      </c>
      <c r="G750" s="897" t="s">
        <v>3182</v>
      </c>
      <c r="H750" s="898">
        <v>870000</v>
      </c>
      <c r="I750" s="1435"/>
      <c r="J750" s="1446">
        <f t="shared" si="15"/>
        <v>0</v>
      </c>
      <c r="K750" s="898">
        <v>870000</v>
      </c>
    </row>
    <row r="751" spans="4:11" ht="22.8" hidden="1" customHeight="1">
      <c r="D751" s="913">
        <v>561</v>
      </c>
      <c r="E751" s="895"/>
      <c r="F751" s="896" t="s">
        <v>4156</v>
      </c>
      <c r="G751" s="897" t="s">
        <v>3182</v>
      </c>
      <c r="H751" s="898">
        <v>920500</v>
      </c>
      <c r="I751" s="1435"/>
      <c r="J751" s="1446">
        <f t="shared" si="15"/>
        <v>0</v>
      </c>
      <c r="K751" s="898">
        <v>920500</v>
      </c>
    </row>
    <row r="752" spans="4:11" ht="22.8" hidden="1" customHeight="1">
      <c r="D752" s="913">
        <v>562</v>
      </c>
      <c r="E752" s="895"/>
      <c r="F752" s="896" t="s">
        <v>4158</v>
      </c>
      <c r="G752" s="897" t="s">
        <v>3182</v>
      </c>
      <c r="H752" s="898">
        <v>1055000</v>
      </c>
      <c r="I752" s="1435"/>
      <c r="J752" s="1446">
        <f t="shared" si="15"/>
        <v>0</v>
      </c>
      <c r="K752" s="898">
        <v>1055000</v>
      </c>
    </row>
    <row r="753" spans="4:11" ht="22.8" hidden="1" customHeight="1">
      <c r="D753" s="913">
        <v>563</v>
      </c>
      <c r="E753" s="895"/>
      <c r="F753" s="896" t="s">
        <v>4159</v>
      </c>
      <c r="G753" s="897" t="s">
        <v>3182</v>
      </c>
      <c r="H753" s="898">
        <v>1315000</v>
      </c>
      <c r="I753" s="1435"/>
      <c r="J753" s="1446">
        <f t="shared" si="15"/>
        <v>0</v>
      </c>
      <c r="K753" s="898">
        <v>1315000</v>
      </c>
    </row>
    <row r="754" spans="4:11" ht="22.8" hidden="1" customHeight="1">
      <c r="D754" s="913">
        <v>564</v>
      </c>
      <c r="E754" s="895"/>
      <c r="F754" s="896" t="s">
        <v>4161</v>
      </c>
      <c r="G754" s="897" t="s">
        <v>3182</v>
      </c>
      <c r="H754" s="898">
        <v>1525000</v>
      </c>
      <c r="I754" s="1435"/>
      <c r="J754" s="1446">
        <f t="shared" si="15"/>
        <v>0</v>
      </c>
      <c r="K754" s="898">
        <v>1525000</v>
      </c>
    </row>
    <row r="755" spans="4:11" ht="22.8" hidden="1" customHeight="1">
      <c r="D755" s="913">
        <v>565</v>
      </c>
      <c r="E755" s="895"/>
      <c r="F755" s="896" t="s">
        <v>4163</v>
      </c>
      <c r="G755" s="897" t="s">
        <v>3182</v>
      </c>
      <c r="H755" s="898">
        <v>1740000</v>
      </c>
      <c r="I755" s="1435"/>
      <c r="J755" s="1446">
        <f t="shared" si="15"/>
        <v>0</v>
      </c>
      <c r="K755" s="898">
        <v>1740000</v>
      </c>
    </row>
    <row r="756" spans="4:11" ht="22.8" hidden="1" customHeight="1">
      <c r="D756" s="913">
        <v>566</v>
      </c>
      <c r="E756" s="895"/>
      <c r="F756" s="896" t="s">
        <v>4165</v>
      </c>
      <c r="G756" s="897" t="s">
        <v>3182</v>
      </c>
      <c r="H756" s="898">
        <v>1980000</v>
      </c>
      <c r="I756" s="1435"/>
      <c r="J756" s="1446">
        <f t="shared" si="15"/>
        <v>0</v>
      </c>
      <c r="K756" s="898">
        <v>1980000</v>
      </c>
    </row>
    <row r="757" spans="4:11" ht="22.8" hidden="1" customHeight="1">
      <c r="D757" s="913">
        <v>567</v>
      </c>
      <c r="E757" s="895"/>
      <c r="F757" s="896" t="s">
        <v>4198</v>
      </c>
      <c r="G757" s="897" t="s">
        <v>3182</v>
      </c>
      <c r="H757" s="898">
        <v>33600</v>
      </c>
      <c r="I757" s="1435"/>
      <c r="J757" s="1446">
        <f t="shared" si="15"/>
        <v>0</v>
      </c>
      <c r="K757" s="898">
        <v>33600</v>
      </c>
    </row>
    <row r="758" spans="4:11" ht="22.8" hidden="1" customHeight="1">
      <c r="D758" s="913">
        <v>568</v>
      </c>
      <c r="E758" s="895"/>
      <c r="F758" s="896" t="s">
        <v>4170</v>
      </c>
      <c r="G758" s="897" t="s">
        <v>3182</v>
      </c>
      <c r="H758" s="898">
        <v>46500</v>
      </c>
      <c r="I758" s="1435"/>
      <c r="J758" s="1446">
        <f t="shared" si="15"/>
        <v>0</v>
      </c>
      <c r="K758" s="898">
        <v>46500</v>
      </c>
    </row>
    <row r="759" spans="4:11" ht="22.8" hidden="1" customHeight="1">
      <c r="D759" s="913">
        <v>569</v>
      </c>
      <c r="E759" s="895"/>
      <c r="F759" s="896" t="s">
        <v>4172</v>
      </c>
      <c r="G759" s="897" t="s">
        <v>3182</v>
      </c>
      <c r="H759" s="898">
        <v>87500</v>
      </c>
      <c r="I759" s="1435"/>
      <c r="J759" s="1446">
        <f t="shared" si="15"/>
        <v>0</v>
      </c>
      <c r="K759" s="898">
        <v>87500</v>
      </c>
    </row>
    <row r="760" spans="4:11" ht="22.8" hidden="1" customHeight="1">
      <c r="D760" s="913">
        <v>570</v>
      </c>
      <c r="E760" s="895"/>
      <c r="F760" s="896" t="s">
        <v>4174</v>
      </c>
      <c r="G760" s="897" t="s">
        <v>3182</v>
      </c>
      <c r="H760" s="898">
        <v>97800</v>
      </c>
      <c r="I760" s="1435"/>
      <c r="J760" s="1446">
        <f t="shared" si="15"/>
        <v>0</v>
      </c>
      <c r="K760" s="898">
        <v>97800</v>
      </c>
    </row>
    <row r="761" spans="4:11" ht="22.8" hidden="1" customHeight="1">
      <c r="D761" s="913">
        <v>571</v>
      </c>
      <c r="E761" s="895"/>
      <c r="F761" s="896" t="s">
        <v>4176</v>
      </c>
      <c r="G761" s="897" t="s">
        <v>3182</v>
      </c>
      <c r="H761" s="898">
        <v>105700</v>
      </c>
      <c r="I761" s="1435"/>
      <c r="J761" s="1446">
        <f t="shared" si="15"/>
        <v>0</v>
      </c>
      <c r="K761" s="898">
        <v>105700</v>
      </c>
    </row>
    <row r="762" spans="4:11" ht="22.8" hidden="1" customHeight="1">
      <c r="D762" s="913">
        <v>572</v>
      </c>
      <c r="E762" s="895"/>
      <c r="F762" s="896" t="s">
        <v>4177</v>
      </c>
      <c r="G762" s="897" t="s">
        <v>3182</v>
      </c>
      <c r="H762" s="898">
        <v>136500</v>
      </c>
      <c r="I762" s="1435"/>
      <c r="J762" s="1446">
        <f t="shared" si="15"/>
        <v>0</v>
      </c>
      <c r="K762" s="898">
        <v>136500</v>
      </c>
    </row>
    <row r="763" spans="4:11" ht="22.8" hidden="1" customHeight="1">
      <c r="D763" s="913">
        <v>573</v>
      </c>
      <c r="E763" s="895"/>
      <c r="F763" s="896" t="s">
        <v>4178</v>
      </c>
      <c r="G763" s="897" t="s">
        <v>3182</v>
      </c>
      <c r="H763" s="898">
        <v>157900</v>
      </c>
      <c r="I763" s="1435"/>
      <c r="J763" s="1446">
        <f t="shared" si="15"/>
        <v>0</v>
      </c>
      <c r="K763" s="898">
        <v>157900</v>
      </c>
    </row>
    <row r="764" spans="4:11" ht="22.8" hidden="1" customHeight="1">
      <c r="D764" s="913">
        <v>574</v>
      </c>
      <c r="E764" s="895"/>
      <c r="F764" s="896" t="s">
        <v>4179</v>
      </c>
      <c r="G764" s="897" t="s">
        <v>3182</v>
      </c>
      <c r="H764" s="898">
        <v>165400</v>
      </c>
      <c r="I764" s="1435"/>
      <c r="J764" s="1446">
        <f t="shared" si="15"/>
        <v>0</v>
      </c>
      <c r="K764" s="898">
        <v>165400</v>
      </c>
    </row>
    <row r="765" spans="4:11" ht="22.8" hidden="1" customHeight="1">
      <c r="D765" s="913">
        <v>575</v>
      </c>
      <c r="E765" s="895"/>
      <c r="F765" s="896" t="s">
        <v>4180</v>
      </c>
      <c r="G765" s="897" t="s">
        <v>3182</v>
      </c>
      <c r="H765" s="898">
        <v>360000</v>
      </c>
      <c r="I765" s="1435"/>
      <c r="J765" s="1446">
        <f t="shared" si="15"/>
        <v>0</v>
      </c>
      <c r="K765" s="898">
        <v>360000</v>
      </c>
    </row>
    <row r="766" spans="4:11" ht="22.8" hidden="1" customHeight="1">
      <c r="D766" s="913">
        <v>576</v>
      </c>
      <c r="E766" s="895"/>
      <c r="F766" s="896" t="s">
        <v>4181</v>
      </c>
      <c r="G766" s="897" t="s">
        <v>3182</v>
      </c>
      <c r="H766" s="898">
        <v>740900</v>
      </c>
      <c r="I766" s="1435"/>
      <c r="J766" s="1446">
        <f t="shared" si="15"/>
        <v>0</v>
      </c>
      <c r="K766" s="898">
        <v>740900</v>
      </c>
    </row>
    <row r="767" spans="4:11" ht="22.8" hidden="1" customHeight="1">
      <c r="D767" s="913">
        <v>577</v>
      </c>
      <c r="E767" s="895"/>
      <c r="F767" s="896" t="s">
        <v>4182</v>
      </c>
      <c r="G767" s="897" t="s">
        <v>3182</v>
      </c>
      <c r="H767" s="898">
        <v>937500</v>
      </c>
      <c r="I767" s="1435"/>
      <c r="J767" s="1446">
        <f t="shared" ref="J767:J830" si="16">I767-(I767*10%)</f>
        <v>0</v>
      </c>
      <c r="K767" s="898">
        <v>937500</v>
      </c>
    </row>
    <row r="768" spans="4:11" ht="22.8" hidden="1" customHeight="1">
      <c r="D768" s="913">
        <v>578</v>
      </c>
      <c r="E768" s="895"/>
      <c r="F768" s="896" t="s">
        <v>4183</v>
      </c>
      <c r="G768" s="897" t="s">
        <v>3182</v>
      </c>
      <c r="H768" s="898">
        <v>1050900</v>
      </c>
      <c r="I768" s="1435"/>
      <c r="J768" s="1446">
        <f t="shared" si="16"/>
        <v>0</v>
      </c>
      <c r="K768" s="898">
        <v>1050900</v>
      </c>
    </row>
    <row r="769" spans="4:11" ht="22.8" hidden="1" customHeight="1">
      <c r="D769" s="913">
        <v>579</v>
      </c>
      <c r="E769" s="895"/>
      <c r="F769" s="896" t="s">
        <v>4184</v>
      </c>
      <c r="G769" s="897" t="s">
        <v>3182</v>
      </c>
      <c r="H769" s="898">
        <v>1345000</v>
      </c>
      <c r="I769" s="1435"/>
      <c r="J769" s="1446">
        <f t="shared" si="16"/>
        <v>0</v>
      </c>
      <c r="K769" s="898">
        <v>1345000</v>
      </c>
    </row>
    <row r="770" spans="4:11" ht="22.8" hidden="1" customHeight="1">
      <c r="D770" s="913">
        <v>580</v>
      </c>
      <c r="E770" s="895"/>
      <c r="F770" s="896" t="s">
        <v>4186</v>
      </c>
      <c r="G770" s="897" t="s">
        <v>3182</v>
      </c>
      <c r="H770" s="898">
        <v>1678000</v>
      </c>
      <c r="I770" s="1435"/>
      <c r="J770" s="1446">
        <f t="shared" si="16"/>
        <v>0</v>
      </c>
      <c r="K770" s="898">
        <v>1678000</v>
      </c>
    </row>
    <row r="771" spans="4:11" ht="22.8" hidden="1" customHeight="1">
      <c r="D771" s="913">
        <v>581</v>
      </c>
      <c r="E771" s="895"/>
      <c r="F771" s="896" t="s">
        <v>4197</v>
      </c>
      <c r="G771" s="897" t="s">
        <v>3182</v>
      </c>
      <c r="H771" s="898">
        <v>1945000</v>
      </c>
      <c r="I771" s="1435"/>
      <c r="J771" s="1446">
        <f t="shared" si="16"/>
        <v>0</v>
      </c>
      <c r="K771" s="898">
        <v>1945000</v>
      </c>
    </row>
    <row r="772" spans="4:11" ht="22.8" hidden="1" customHeight="1">
      <c r="D772" s="913">
        <v>582</v>
      </c>
      <c r="E772" s="895"/>
      <c r="F772" s="896" t="s">
        <v>4201</v>
      </c>
      <c r="G772" s="897" t="s">
        <v>3182</v>
      </c>
      <c r="H772" s="898">
        <v>136100</v>
      </c>
      <c r="I772" s="1435"/>
      <c r="J772" s="1446">
        <f t="shared" si="16"/>
        <v>0</v>
      </c>
      <c r="K772" s="898">
        <v>136100</v>
      </c>
    </row>
    <row r="773" spans="4:11" ht="22.8" hidden="1" customHeight="1">
      <c r="D773" s="913">
        <v>583</v>
      </c>
      <c r="E773" s="895"/>
      <c r="F773" s="896" t="s">
        <v>4203</v>
      </c>
      <c r="G773" s="897" t="s">
        <v>3182</v>
      </c>
      <c r="H773" s="898">
        <v>170700</v>
      </c>
      <c r="I773" s="1435"/>
      <c r="J773" s="1446">
        <f t="shared" si="16"/>
        <v>0</v>
      </c>
      <c r="K773" s="898">
        <v>170700</v>
      </c>
    </row>
    <row r="774" spans="4:11" ht="22.8" hidden="1" customHeight="1">
      <c r="D774" s="913">
        <v>584</v>
      </c>
      <c r="E774" s="895"/>
      <c r="F774" s="896" t="s">
        <v>4217</v>
      </c>
      <c r="G774" s="897" t="s">
        <v>3182</v>
      </c>
      <c r="H774" s="898">
        <v>276400</v>
      </c>
      <c r="I774" s="1435"/>
      <c r="J774" s="1446">
        <f t="shared" si="16"/>
        <v>0</v>
      </c>
      <c r="K774" s="898">
        <v>276400</v>
      </c>
    </row>
    <row r="775" spans="4:11" ht="22.8" hidden="1" customHeight="1">
      <c r="D775" s="913">
        <v>585</v>
      </c>
      <c r="E775" s="895"/>
      <c r="F775" s="896" t="s">
        <v>4206</v>
      </c>
      <c r="G775" s="897" t="s">
        <v>3182</v>
      </c>
      <c r="H775" s="898">
        <v>303600</v>
      </c>
      <c r="I775" s="1435"/>
      <c r="J775" s="1446">
        <f t="shared" si="16"/>
        <v>0</v>
      </c>
      <c r="K775" s="898">
        <v>303600</v>
      </c>
    </row>
    <row r="776" spans="4:11" ht="22.8" hidden="1" customHeight="1">
      <c r="D776" s="913">
        <v>586</v>
      </c>
      <c r="E776" s="895"/>
      <c r="F776" s="896" t="s">
        <v>4208</v>
      </c>
      <c r="G776" s="897" t="s">
        <v>3182</v>
      </c>
      <c r="H776" s="898">
        <v>515200</v>
      </c>
      <c r="I776" s="1435"/>
      <c r="J776" s="1446">
        <f t="shared" si="16"/>
        <v>0</v>
      </c>
      <c r="K776" s="898">
        <v>515200</v>
      </c>
    </row>
    <row r="777" spans="4:11" ht="22.8" hidden="1" customHeight="1">
      <c r="D777" s="913">
        <v>587</v>
      </c>
      <c r="E777" s="895"/>
      <c r="F777" s="896" t="s">
        <v>4210</v>
      </c>
      <c r="G777" s="897" t="s">
        <v>3182</v>
      </c>
      <c r="H777" s="898">
        <v>829300</v>
      </c>
      <c r="I777" s="1435"/>
      <c r="J777" s="1446">
        <f t="shared" si="16"/>
        <v>0</v>
      </c>
      <c r="K777" s="898">
        <v>829300</v>
      </c>
    </row>
    <row r="778" spans="4:11" ht="22.8" hidden="1" customHeight="1">
      <c r="D778" s="913">
        <v>588</v>
      </c>
      <c r="E778" s="895"/>
      <c r="F778" s="896" t="s">
        <v>4212</v>
      </c>
      <c r="G778" s="897" t="s">
        <v>3182</v>
      </c>
      <c r="H778" s="898">
        <v>1364500</v>
      </c>
      <c r="I778" s="1435"/>
      <c r="J778" s="1446">
        <f t="shared" si="16"/>
        <v>0</v>
      </c>
      <c r="K778" s="898">
        <v>1364500</v>
      </c>
    </row>
    <row r="779" spans="4:11" ht="22.8" hidden="1" customHeight="1">
      <c r="D779" s="913">
        <v>589</v>
      </c>
      <c r="E779" s="895"/>
      <c r="F779" s="896" t="s">
        <v>4214</v>
      </c>
      <c r="G779" s="897" t="s">
        <v>3182</v>
      </c>
      <c r="H779" s="898">
        <v>1808900</v>
      </c>
      <c r="I779" s="1435"/>
      <c r="J779" s="1446">
        <f t="shared" si="16"/>
        <v>0</v>
      </c>
      <c r="K779" s="898">
        <v>1808900</v>
      </c>
    </row>
    <row r="780" spans="4:11" ht="22.8" hidden="1" customHeight="1">
      <c r="D780" s="913">
        <v>590</v>
      </c>
      <c r="E780" s="895"/>
      <c r="F780" s="896" t="s">
        <v>4216</v>
      </c>
      <c r="G780" s="897" t="s">
        <v>3182</v>
      </c>
      <c r="H780" s="898">
        <v>2170800</v>
      </c>
      <c r="I780" s="1435"/>
      <c r="J780" s="1446">
        <f t="shared" si="16"/>
        <v>0</v>
      </c>
      <c r="K780" s="898">
        <v>2170800</v>
      </c>
    </row>
    <row r="781" spans="4:11" ht="22.8" hidden="1" customHeight="1">
      <c r="D781" s="913">
        <v>591</v>
      </c>
      <c r="E781" s="895"/>
      <c r="F781" s="896" t="s">
        <v>4220</v>
      </c>
      <c r="G781" s="897" t="s">
        <v>3182</v>
      </c>
      <c r="H781" s="898">
        <v>104500</v>
      </c>
      <c r="I781" s="1435"/>
      <c r="J781" s="1446">
        <f t="shared" si="16"/>
        <v>0</v>
      </c>
      <c r="K781" s="898">
        <v>104500</v>
      </c>
    </row>
    <row r="782" spans="4:11" ht="22.8" hidden="1" customHeight="1">
      <c r="D782" s="913">
        <v>592</v>
      </c>
      <c r="E782" s="895"/>
      <c r="F782" s="896" t="s">
        <v>4222</v>
      </c>
      <c r="G782" s="897" t="s">
        <v>3182</v>
      </c>
      <c r="H782" s="898">
        <v>118000</v>
      </c>
      <c r="I782" s="1435"/>
      <c r="J782" s="1446">
        <f t="shared" si="16"/>
        <v>0</v>
      </c>
      <c r="K782" s="898">
        <v>118000</v>
      </c>
    </row>
    <row r="783" spans="4:11" ht="22.8" hidden="1" customHeight="1">
      <c r="D783" s="913">
        <v>593</v>
      </c>
      <c r="E783" s="895"/>
      <c r="F783" s="896" t="s">
        <v>4224</v>
      </c>
      <c r="G783" s="897" t="s">
        <v>3182</v>
      </c>
      <c r="H783" s="898">
        <v>140500</v>
      </c>
      <c r="I783" s="1435"/>
      <c r="J783" s="1446">
        <f t="shared" si="16"/>
        <v>0</v>
      </c>
      <c r="K783" s="898">
        <v>140500</v>
      </c>
    </row>
    <row r="784" spans="4:11" ht="22.8" hidden="1" customHeight="1">
      <c r="D784" s="913">
        <v>594</v>
      </c>
      <c r="E784" s="895"/>
      <c r="F784" s="896" t="s">
        <v>4238</v>
      </c>
      <c r="G784" s="897" t="s">
        <v>3182</v>
      </c>
      <c r="H784" s="898">
        <v>189900</v>
      </c>
      <c r="I784" s="1435"/>
      <c r="J784" s="1446">
        <f t="shared" si="16"/>
        <v>0</v>
      </c>
      <c r="K784" s="898">
        <v>189900</v>
      </c>
    </row>
    <row r="785" spans="4:11" ht="22.8" hidden="1" customHeight="1">
      <c r="D785" s="913">
        <v>595</v>
      </c>
      <c r="E785" s="895"/>
      <c r="F785" s="896" t="s">
        <v>4227</v>
      </c>
      <c r="G785" s="897" t="s">
        <v>3182</v>
      </c>
      <c r="H785" s="898">
        <v>252900</v>
      </c>
      <c r="I785" s="1435"/>
      <c r="J785" s="1446">
        <f t="shared" si="16"/>
        <v>0</v>
      </c>
      <c r="K785" s="898">
        <v>252900</v>
      </c>
    </row>
    <row r="786" spans="4:11" ht="22.8" hidden="1" customHeight="1">
      <c r="D786" s="913">
        <v>596</v>
      </c>
      <c r="E786" s="895"/>
      <c r="F786" s="896" t="s">
        <v>4229</v>
      </c>
      <c r="G786" s="897" t="s">
        <v>3182</v>
      </c>
      <c r="H786" s="898">
        <v>966300</v>
      </c>
      <c r="I786" s="1435"/>
      <c r="J786" s="1446">
        <f t="shared" si="16"/>
        <v>0</v>
      </c>
      <c r="K786" s="898">
        <v>966300</v>
      </c>
    </row>
    <row r="787" spans="4:11" ht="22.8" hidden="1" customHeight="1">
      <c r="D787" s="913">
        <v>597</v>
      </c>
      <c r="E787" s="895"/>
      <c r="F787" s="896" t="s">
        <v>4231</v>
      </c>
      <c r="G787" s="897" t="s">
        <v>3182</v>
      </c>
      <c r="H787" s="898">
        <v>1214300</v>
      </c>
      <c r="I787" s="1435"/>
      <c r="J787" s="1446">
        <f t="shared" si="16"/>
        <v>0</v>
      </c>
      <c r="K787" s="898">
        <v>1214300</v>
      </c>
    </row>
    <row r="788" spans="4:11" ht="22.8" hidden="1" customHeight="1">
      <c r="D788" s="913">
        <v>598</v>
      </c>
      <c r="E788" s="895"/>
      <c r="F788" s="896" t="s">
        <v>4233</v>
      </c>
      <c r="G788" s="897" t="s">
        <v>3182</v>
      </c>
      <c r="H788" s="898">
        <v>1573100</v>
      </c>
      <c r="I788" s="1435"/>
      <c r="J788" s="1446">
        <f t="shared" si="16"/>
        <v>0</v>
      </c>
      <c r="K788" s="898">
        <v>1573100</v>
      </c>
    </row>
    <row r="789" spans="4:11" ht="22.8" hidden="1" customHeight="1">
      <c r="D789" s="913">
        <v>599</v>
      </c>
      <c r="E789" s="895"/>
      <c r="F789" s="896" t="s">
        <v>4234</v>
      </c>
      <c r="G789" s="897" t="s">
        <v>3182</v>
      </c>
      <c r="H789" s="898">
        <v>2121400</v>
      </c>
      <c r="I789" s="1435"/>
      <c r="J789" s="1446">
        <f t="shared" si="16"/>
        <v>0</v>
      </c>
      <c r="K789" s="898">
        <v>2121400</v>
      </c>
    </row>
    <row r="790" spans="4:11" ht="22.8" hidden="1" customHeight="1">
      <c r="D790" s="913">
        <v>600</v>
      </c>
      <c r="E790" s="895"/>
      <c r="F790" s="896" t="s">
        <v>4239</v>
      </c>
      <c r="G790" s="897" t="s">
        <v>3182</v>
      </c>
      <c r="H790" s="898">
        <v>3890000</v>
      </c>
      <c r="I790" s="1435"/>
      <c r="J790" s="1446">
        <f t="shared" si="16"/>
        <v>0</v>
      </c>
      <c r="K790" s="898">
        <v>3890000</v>
      </c>
    </row>
    <row r="791" spans="4:11" ht="22.8" hidden="1" customHeight="1">
      <c r="D791" s="913">
        <v>601</v>
      </c>
      <c r="E791" s="895"/>
      <c r="F791" s="896" t="s">
        <v>4236</v>
      </c>
      <c r="G791" s="897" t="s">
        <v>3182</v>
      </c>
      <c r="H791" s="898">
        <v>4996000</v>
      </c>
      <c r="I791" s="1435"/>
      <c r="J791" s="1446">
        <f t="shared" si="16"/>
        <v>0</v>
      </c>
      <c r="K791" s="898">
        <v>4996000</v>
      </c>
    </row>
    <row r="792" spans="4:11" ht="22.8" hidden="1" customHeight="1">
      <c r="D792" s="913">
        <v>602</v>
      </c>
      <c r="E792" s="895"/>
      <c r="F792" s="896" t="s">
        <v>4237</v>
      </c>
      <c r="G792" s="897" t="s">
        <v>3182</v>
      </c>
      <c r="H792" s="898">
        <v>5740000</v>
      </c>
      <c r="I792" s="1435"/>
      <c r="J792" s="1446">
        <f t="shared" si="16"/>
        <v>0</v>
      </c>
      <c r="K792" s="898">
        <v>5740000</v>
      </c>
    </row>
    <row r="793" spans="4:11" ht="22.8" hidden="1" customHeight="1">
      <c r="D793" s="913">
        <v>603</v>
      </c>
      <c r="E793" s="895"/>
      <c r="F793" s="896" t="s">
        <v>4251</v>
      </c>
      <c r="G793" s="897" t="s">
        <v>3182</v>
      </c>
      <c r="H793" s="898">
        <v>58000</v>
      </c>
      <c r="I793" s="1435"/>
      <c r="J793" s="1446">
        <f t="shared" si="16"/>
        <v>0</v>
      </c>
      <c r="K793" s="898">
        <v>58000</v>
      </c>
    </row>
    <row r="794" spans="4:11" ht="22.8" hidden="1" customHeight="1">
      <c r="D794" s="913">
        <v>604</v>
      </c>
      <c r="E794" s="895"/>
      <c r="F794" s="896" t="s">
        <v>4242</v>
      </c>
      <c r="G794" s="897" t="s">
        <v>3182</v>
      </c>
      <c r="H794" s="898">
        <v>79800</v>
      </c>
      <c r="I794" s="1435"/>
      <c r="J794" s="1446">
        <f t="shared" si="16"/>
        <v>0</v>
      </c>
      <c r="K794" s="898">
        <v>79800</v>
      </c>
    </row>
    <row r="795" spans="4:11" ht="22.8" hidden="1" customHeight="1">
      <c r="D795" s="913">
        <v>605</v>
      </c>
      <c r="E795" s="895"/>
      <c r="F795" s="896" t="s">
        <v>4252</v>
      </c>
      <c r="G795" s="897" t="s">
        <v>3182</v>
      </c>
      <c r="H795" s="898">
        <v>123000</v>
      </c>
      <c r="I795" s="1435"/>
      <c r="J795" s="1446">
        <f t="shared" si="16"/>
        <v>0</v>
      </c>
      <c r="K795" s="898">
        <v>123000</v>
      </c>
    </row>
    <row r="796" spans="4:11" ht="22.8" hidden="1" customHeight="1">
      <c r="D796" s="913">
        <v>606</v>
      </c>
      <c r="E796" s="895"/>
      <c r="F796" s="896" t="s">
        <v>4253</v>
      </c>
      <c r="G796" s="897" t="s">
        <v>3182</v>
      </c>
      <c r="H796" s="898">
        <v>132700</v>
      </c>
      <c r="I796" s="1435"/>
      <c r="J796" s="1446">
        <f t="shared" si="16"/>
        <v>0</v>
      </c>
      <c r="K796" s="898">
        <v>132700</v>
      </c>
    </row>
    <row r="797" spans="4:11" ht="22.8" hidden="1" customHeight="1">
      <c r="D797" s="913">
        <v>607</v>
      </c>
      <c r="E797" s="895"/>
      <c r="F797" s="896" t="s">
        <v>4254</v>
      </c>
      <c r="G797" s="897" t="s">
        <v>3182</v>
      </c>
      <c r="H797" s="898">
        <v>165400</v>
      </c>
      <c r="I797" s="1435"/>
      <c r="J797" s="1446">
        <f t="shared" si="16"/>
        <v>0</v>
      </c>
      <c r="K797" s="898">
        <v>165400</v>
      </c>
    </row>
    <row r="798" spans="4:11" ht="22.8" hidden="1" customHeight="1">
      <c r="D798" s="913">
        <v>608</v>
      </c>
      <c r="E798" s="895"/>
      <c r="F798" s="896" t="s">
        <v>4255</v>
      </c>
      <c r="G798" s="897" t="s">
        <v>3182</v>
      </c>
      <c r="H798" s="898">
        <v>218500</v>
      </c>
      <c r="I798" s="1435"/>
      <c r="J798" s="1446">
        <f t="shared" si="16"/>
        <v>0</v>
      </c>
      <c r="K798" s="898">
        <v>218500</v>
      </c>
    </row>
    <row r="799" spans="4:11" ht="22.8" hidden="1" customHeight="1">
      <c r="D799" s="913">
        <v>609</v>
      </c>
      <c r="E799" s="895"/>
      <c r="F799" s="896" t="s">
        <v>4258</v>
      </c>
      <c r="G799" s="897" t="s">
        <v>4283</v>
      </c>
      <c r="H799" s="898">
        <v>270750</v>
      </c>
      <c r="I799" s="1435"/>
      <c r="J799" s="1446">
        <f t="shared" si="16"/>
        <v>0</v>
      </c>
      <c r="K799" s="898">
        <v>270750</v>
      </c>
    </row>
    <row r="800" spans="4:11" ht="22.8" hidden="1" customHeight="1">
      <c r="D800" s="913">
        <v>610</v>
      </c>
      <c r="E800" s="895"/>
      <c r="F800" s="896" t="s">
        <v>4262</v>
      </c>
      <c r="G800" s="897" t="s">
        <v>4283</v>
      </c>
      <c r="H800" s="898">
        <v>655914</v>
      </c>
      <c r="I800" s="1435"/>
      <c r="J800" s="1446">
        <f t="shared" si="16"/>
        <v>0</v>
      </c>
      <c r="K800" s="898">
        <v>655914</v>
      </c>
    </row>
    <row r="801" spans="4:11" ht="22.8" hidden="1" customHeight="1">
      <c r="D801" s="913">
        <v>611</v>
      </c>
      <c r="E801" s="895"/>
      <c r="F801" s="896" t="s">
        <v>4263</v>
      </c>
      <c r="G801" s="897" t="s">
        <v>4283</v>
      </c>
      <c r="H801" s="898">
        <v>1416800</v>
      </c>
      <c r="I801" s="1435"/>
      <c r="J801" s="1446">
        <f t="shared" si="16"/>
        <v>0</v>
      </c>
      <c r="K801" s="898">
        <v>1416800</v>
      </c>
    </row>
    <row r="802" spans="4:11" ht="22.8" hidden="1" customHeight="1">
      <c r="D802" s="913">
        <v>612</v>
      </c>
      <c r="E802" s="895"/>
      <c r="F802" s="896" t="s">
        <v>4266</v>
      </c>
      <c r="G802" s="897" t="s">
        <v>4283</v>
      </c>
      <c r="H802" s="898">
        <v>1740600</v>
      </c>
      <c r="I802" s="1435"/>
      <c r="J802" s="1446">
        <f t="shared" si="16"/>
        <v>0</v>
      </c>
      <c r="K802" s="898">
        <v>1740600</v>
      </c>
    </row>
    <row r="803" spans="4:11" ht="22.8" hidden="1" customHeight="1">
      <c r="D803" s="913">
        <v>613</v>
      </c>
      <c r="E803" s="895"/>
      <c r="F803" s="896" t="s">
        <v>4267</v>
      </c>
      <c r="G803" s="897" t="s">
        <v>4283</v>
      </c>
      <c r="H803" s="898">
        <v>2392000</v>
      </c>
      <c r="I803" s="1435"/>
      <c r="J803" s="1446">
        <f t="shared" si="16"/>
        <v>0</v>
      </c>
      <c r="K803" s="898">
        <v>2392000</v>
      </c>
    </row>
    <row r="804" spans="4:11" ht="22.8" hidden="1" customHeight="1">
      <c r="D804" s="913">
        <v>614</v>
      </c>
      <c r="E804" s="895"/>
      <c r="F804" s="896" t="s">
        <v>4269</v>
      </c>
      <c r="G804" s="897" t="s">
        <v>4283</v>
      </c>
      <c r="H804" s="898">
        <v>2700000</v>
      </c>
      <c r="I804" s="1435"/>
      <c r="J804" s="1446">
        <f t="shared" si="16"/>
        <v>0</v>
      </c>
      <c r="K804" s="898">
        <v>2700000</v>
      </c>
    </row>
    <row r="805" spans="4:11" ht="22.8" hidden="1" customHeight="1">
      <c r="D805" s="913">
        <v>615</v>
      </c>
      <c r="E805" s="895"/>
      <c r="F805" s="896" t="s">
        <v>4272</v>
      </c>
      <c r="G805" s="897" t="s">
        <v>4283</v>
      </c>
      <c r="H805" s="898">
        <v>2980000</v>
      </c>
      <c r="I805" s="1435"/>
      <c r="J805" s="1446">
        <f t="shared" si="16"/>
        <v>0</v>
      </c>
      <c r="K805" s="898">
        <v>2980000</v>
      </c>
    </row>
    <row r="806" spans="4:11" ht="22.8" hidden="1" customHeight="1">
      <c r="D806" s="913">
        <v>616</v>
      </c>
      <c r="E806" s="895"/>
      <c r="F806" s="896" t="s">
        <v>4274</v>
      </c>
      <c r="G806" s="897" t="s">
        <v>4283</v>
      </c>
      <c r="H806" s="898">
        <v>3540900</v>
      </c>
      <c r="I806" s="1435"/>
      <c r="J806" s="1446">
        <f t="shared" si="16"/>
        <v>0</v>
      </c>
      <c r="K806" s="898">
        <v>3540900</v>
      </c>
    </row>
    <row r="807" spans="4:11" ht="22.8" hidden="1" customHeight="1">
      <c r="D807" s="913">
        <v>617</v>
      </c>
      <c r="E807" s="895"/>
      <c r="F807" s="896" t="s">
        <v>4276</v>
      </c>
      <c r="G807" s="897" t="s">
        <v>4283</v>
      </c>
      <c r="H807" s="898">
        <v>3947000</v>
      </c>
      <c r="I807" s="1435"/>
      <c r="J807" s="1446">
        <f t="shared" si="16"/>
        <v>0</v>
      </c>
      <c r="K807" s="898">
        <v>3947000</v>
      </c>
    </row>
    <row r="808" spans="4:11" ht="22.8" hidden="1" customHeight="1">
      <c r="D808" s="913">
        <v>618</v>
      </c>
      <c r="E808" s="895"/>
      <c r="F808" s="896" t="s">
        <v>4278</v>
      </c>
      <c r="G808" s="897" t="s">
        <v>4283</v>
      </c>
      <c r="H808" s="898">
        <v>4230900</v>
      </c>
      <c r="I808" s="1435"/>
      <c r="J808" s="1446">
        <f t="shared" si="16"/>
        <v>0</v>
      </c>
      <c r="K808" s="898">
        <v>4230900</v>
      </c>
    </row>
    <row r="809" spans="4:11" ht="22.8" hidden="1" customHeight="1">
      <c r="D809" s="913">
        <v>619</v>
      </c>
      <c r="E809" s="895"/>
      <c r="F809" s="896" t="s">
        <v>4280</v>
      </c>
      <c r="G809" s="897" t="s">
        <v>4283</v>
      </c>
      <c r="H809" s="898">
        <v>4560000</v>
      </c>
      <c r="I809" s="1435"/>
      <c r="J809" s="1446">
        <f t="shared" si="16"/>
        <v>0</v>
      </c>
      <c r="K809" s="898">
        <v>4560000</v>
      </c>
    </row>
    <row r="810" spans="4:11" ht="22.8" hidden="1" customHeight="1">
      <c r="D810" s="913">
        <v>620</v>
      </c>
      <c r="E810" s="895"/>
      <c r="F810" s="896" t="s">
        <v>4282</v>
      </c>
      <c r="G810" s="897" t="s">
        <v>4283</v>
      </c>
      <c r="H810" s="898">
        <v>4760900</v>
      </c>
      <c r="I810" s="1435"/>
      <c r="J810" s="1446">
        <f t="shared" si="16"/>
        <v>0</v>
      </c>
      <c r="K810" s="898">
        <v>4760900</v>
      </c>
    </row>
    <row r="811" spans="4:11" ht="22.8" hidden="1" customHeight="1">
      <c r="D811" s="913">
        <v>621</v>
      </c>
      <c r="E811" s="895"/>
      <c r="F811" s="896" t="s">
        <v>4285</v>
      </c>
      <c r="G811" s="897" t="s">
        <v>1940</v>
      </c>
      <c r="H811" s="898">
        <v>2449000</v>
      </c>
      <c r="I811" s="1435"/>
      <c r="J811" s="1446">
        <f t="shared" si="16"/>
        <v>0</v>
      </c>
      <c r="K811" s="898">
        <v>2449000</v>
      </c>
    </row>
    <row r="812" spans="4:11" ht="22.8" hidden="1" customHeight="1">
      <c r="D812" s="913">
        <v>622</v>
      </c>
      <c r="E812" s="895"/>
      <c r="F812" s="896" t="s">
        <v>4288</v>
      </c>
      <c r="G812" s="897" t="s">
        <v>1940</v>
      </c>
      <c r="H812" s="898">
        <v>47500</v>
      </c>
      <c r="I812" s="1435"/>
      <c r="J812" s="1446">
        <f t="shared" si="16"/>
        <v>0</v>
      </c>
      <c r="K812" s="898">
        <v>47500</v>
      </c>
    </row>
    <row r="813" spans="4:11" ht="22.8" hidden="1" customHeight="1">
      <c r="D813" s="913">
        <v>623</v>
      </c>
      <c r="E813" s="895"/>
      <c r="F813" s="896" t="s">
        <v>4290</v>
      </c>
      <c r="G813" s="897" t="s">
        <v>1940</v>
      </c>
      <c r="H813" s="898">
        <v>56700</v>
      </c>
      <c r="I813" s="1435"/>
      <c r="J813" s="1446">
        <f t="shared" si="16"/>
        <v>0</v>
      </c>
      <c r="K813" s="898">
        <v>56700</v>
      </c>
    </row>
    <row r="814" spans="4:11" ht="22.8" hidden="1" customHeight="1">
      <c r="D814" s="913">
        <v>624</v>
      </c>
      <c r="E814" s="895"/>
      <c r="F814" s="896" t="s">
        <v>4292</v>
      </c>
      <c r="G814" s="897" t="s">
        <v>1940</v>
      </c>
      <c r="H814" s="898">
        <v>65000</v>
      </c>
      <c r="I814" s="1435"/>
      <c r="J814" s="1446">
        <f t="shared" si="16"/>
        <v>0</v>
      </c>
      <c r="K814" s="898">
        <v>65000</v>
      </c>
    </row>
    <row r="815" spans="4:11" ht="22.8" hidden="1" customHeight="1">
      <c r="D815" s="913">
        <v>625</v>
      </c>
      <c r="E815" s="895"/>
      <c r="F815" s="896" t="s">
        <v>4293</v>
      </c>
      <c r="G815" s="897" t="s">
        <v>1940</v>
      </c>
      <c r="H815" s="898">
        <v>72500</v>
      </c>
      <c r="I815" s="1435"/>
      <c r="J815" s="1446">
        <f t="shared" si="16"/>
        <v>0</v>
      </c>
      <c r="K815" s="898">
        <v>72500</v>
      </c>
    </row>
    <row r="816" spans="4:11" ht="22.8" hidden="1" customHeight="1">
      <c r="D816" s="913">
        <v>626</v>
      </c>
      <c r="E816" s="895"/>
      <c r="F816" s="896" t="s">
        <v>4297</v>
      </c>
      <c r="G816" s="897" t="s">
        <v>1940</v>
      </c>
      <c r="H816" s="898">
        <v>178900</v>
      </c>
      <c r="I816" s="1435"/>
      <c r="J816" s="1446">
        <f t="shared" si="16"/>
        <v>0</v>
      </c>
      <c r="K816" s="898">
        <v>178900</v>
      </c>
    </row>
    <row r="817" spans="4:11" ht="22.8" hidden="1" customHeight="1">
      <c r="D817" s="913">
        <v>627</v>
      </c>
      <c r="E817" s="895"/>
      <c r="F817" s="896" t="s">
        <v>4294</v>
      </c>
      <c r="G817" s="897" t="s">
        <v>1940</v>
      </c>
      <c r="H817" s="898">
        <v>230880</v>
      </c>
      <c r="I817" s="1435"/>
      <c r="J817" s="1446">
        <f t="shared" si="16"/>
        <v>0</v>
      </c>
      <c r="K817" s="898">
        <v>230880</v>
      </c>
    </row>
    <row r="818" spans="4:11" ht="22.8" hidden="1" customHeight="1">
      <c r="D818" s="913">
        <v>628</v>
      </c>
      <c r="E818" s="895"/>
      <c r="F818" s="896" t="s">
        <v>4300</v>
      </c>
      <c r="G818" s="897" t="s">
        <v>1940</v>
      </c>
      <c r="H818" s="898">
        <v>370000</v>
      </c>
      <c r="I818" s="1435"/>
      <c r="J818" s="1446">
        <f t="shared" si="16"/>
        <v>0</v>
      </c>
      <c r="K818" s="898">
        <v>370000</v>
      </c>
    </row>
    <row r="819" spans="4:11" ht="22.8" hidden="1" customHeight="1">
      <c r="D819" s="913">
        <v>629</v>
      </c>
      <c r="E819" s="895"/>
      <c r="F819" s="896" t="s">
        <v>4303</v>
      </c>
      <c r="G819" s="897" t="s">
        <v>4283</v>
      </c>
      <c r="H819" s="898">
        <v>29800</v>
      </c>
      <c r="I819" s="1435"/>
      <c r="J819" s="1446">
        <f t="shared" si="16"/>
        <v>0</v>
      </c>
      <c r="K819" s="898">
        <v>29800</v>
      </c>
    </row>
    <row r="820" spans="4:11" ht="22.8" hidden="1" customHeight="1">
      <c r="D820" s="913">
        <v>630</v>
      </c>
      <c r="E820" s="895"/>
      <c r="F820" s="896" t="s">
        <v>4305</v>
      </c>
      <c r="G820" s="897" t="s">
        <v>4283</v>
      </c>
      <c r="H820" s="898">
        <v>33925</v>
      </c>
      <c r="I820" s="1435"/>
      <c r="J820" s="1446">
        <f t="shared" si="16"/>
        <v>0</v>
      </c>
      <c r="K820" s="898">
        <v>33925</v>
      </c>
    </row>
    <row r="821" spans="4:11" ht="22.8" hidden="1" customHeight="1">
      <c r="D821" s="913">
        <v>631</v>
      </c>
      <c r="E821" s="895"/>
      <c r="F821" s="896" t="s">
        <v>4306</v>
      </c>
      <c r="G821" s="897" t="s">
        <v>4283</v>
      </c>
      <c r="H821" s="898">
        <v>37375</v>
      </c>
      <c r="I821" s="1435"/>
      <c r="J821" s="1446">
        <f t="shared" si="16"/>
        <v>0</v>
      </c>
      <c r="K821" s="898">
        <v>37375</v>
      </c>
    </row>
    <row r="822" spans="4:11" ht="22.8" hidden="1" customHeight="1">
      <c r="D822" s="913">
        <v>632</v>
      </c>
      <c r="E822" s="895"/>
      <c r="F822" s="896" t="s">
        <v>4307</v>
      </c>
      <c r="G822" s="897" t="s">
        <v>4283</v>
      </c>
      <c r="H822" s="898">
        <v>40250</v>
      </c>
      <c r="I822" s="1435"/>
      <c r="J822" s="1446">
        <f t="shared" si="16"/>
        <v>0</v>
      </c>
      <c r="K822" s="898">
        <v>40250</v>
      </c>
    </row>
    <row r="823" spans="4:11" ht="22.8" hidden="1" customHeight="1">
      <c r="D823" s="913">
        <v>633</v>
      </c>
      <c r="E823" s="895"/>
      <c r="F823" s="896" t="s">
        <v>4311</v>
      </c>
      <c r="G823" s="897" t="s">
        <v>4283</v>
      </c>
      <c r="H823" s="898">
        <v>51700</v>
      </c>
      <c r="I823" s="1435"/>
      <c r="J823" s="1446">
        <f t="shared" si="16"/>
        <v>0</v>
      </c>
      <c r="K823" s="898">
        <v>51700</v>
      </c>
    </row>
    <row r="824" spans="4:11" ht="22.8" hidden="1" customHeight="1">
      <c r="D824" s="913">
        <v>634</v>
      </c>
      <c r="E824" s="895"/>
      <c r="F824" s="896" t="s">
        <v>4313</v>
      </c>
      <c r="G824" s="897" t="s">
        <v>4283</v>
      </c>
      <c r="H824" s="898">
        <v>61100</v>
      </c>
      <c r="I824" s="1435"/>
      <c r="J824" s="1446">
        <f t="shared" si="16"/>
        <v>0</v>
      </c>
      <c r="K824" s="898">
        <v>61100</v>
      </c>
    </row>
    <row r="825" spans="4:11" ht="22.8" hidden="1" customHeight="1">
      <c r="D825" s="913">
        <v>635</v>
      </c>
      <c r="E825" s="895"/>
      <c r="F825" s="896" t="s">
        <v>4314</v>
      </c>
      <c r="G825" s="897" t="s">
        <v>4283</v>
      </c>
      <c r="H825" s="898">
        <v>90250</v>
      </c>
      <c r="I825" s="1435"/>
      <c r="J825" s="1446">
        <f t="shared" si="16"/>
        <v>0</v>
      </c>
      <c r="K825" s="898">
        <v>90250</v>
      </c>
    </row>
    <row r="826" spans="4:11" ht="22.8" hidden="1" customHeight="1">
      <c r="D826" s="913">
        <v>636</v>
      </c>
      <c r="E826" s="895"/>
      <c r="F826" s="896" t="s">
        <v>4317</v>
      </c>
      <c r="G826" s="897" t="s">
        <v>4283</v>
      </c>
      <c r="H826" s="898">
        <v>142500</v>
      </c>
      <c r="I826" s="1435"/>
      <c r="J826" s="1446">
        <f t="shared" si="16"/>
        <v>0</v>
      </c>
      <c r="K826" s="898">
        <v>142500</v>
      </c>
    </row>
    <row r="827" spans="4:11" ht="22.8" hidden="1" customHeight="1">
      <c r="D827" s="913">
        <v>637</v>
      </c>
      <c r="E827" s="895"/>
      <c r="F827" s="896" t="s">
        <v>4319</v>
      </c>
      <c r="G827" s="897" t="s">
        <v>4283</v>
      </c>
      <c r="H827" s="898">
        <v>167500</v>
      </c>
      <c r="I827" s="1435"/>
      <c r="J827" s="1446">
        <f t="shared" si="16"/>
        <v>0</v>
      </c>
      <c r="K827" s="898">
        <v>167500</v>
      </c>
    </row>
    <row r="828" spans="4:11" ht="22.8" hidden="1" customHeight="1">
      <c r="D828" s="913">
        <v>638</v>
      </c>
      <c r="E828" s="895"/>
      <c r="F828" s="896" t="s">
        <v>4322</v>
      </c>
      <c r="G828" s="897" t="s">
        <v>4283</v>
      </c>
      <c r="H828" s="898">
        <v>136800</v>
      </c>
      <c r="I828" s="1435"/>
      <c r="J828" s="1446">
        <f t="shared" si="16"/>
        <v>0</v>
      </c>
      <c r="K828" s="898">
        <v>136800</v>
      </c>
    </row>
    <row r="829" spans="4:11" ht="22.8" hidden="1" customHeight="1">
      <c r="D829" s="913">
        <v>639</v>
      </c>
      <c r="E829" s="895"/>
      <c r="F829" s="896" t="s">
        <v>4324</v>
      </c>
      <c r="G829" s="897" t="s">
        <v>4283</v>
      </c>
      <c r="H829" s="898">
        <v>163100</v>
      </c>
      <c r="I829" s="1435"/>
      <c r="J829" s="1446">
        <f t="shared" si="16"/>
        <v>0</v>
      </c>
      <c r="K829" s="898">
        <v>163100</v>
      </c>
    </row>
    <row r="830" spans="4:11" ht="22.8" hidden="1" customHeight="1">
      <c r="D830" s="913">
        <v>640</v>
      </c>
      <c r="E830" s="895"/>
      <c r="F830" s="896" t="s">
        <v>4326</v>
      </c>
      <c r="G830" s="897" t="s">
        <v>4283</v>
      </c>
      <c r="H830" s="898">
        <v>199500</v>
      </c>
      <c r="I830" s="1435"/>
      <c r="J830" s="1446">
        <f t="shared" si="16"/>
        <v>0</v>
      </c>
      <c r="K830" s="898">
        <v>199500</v>
      </c>
    </row>
    <row r="831" spans="4:11" ht="22.8" hidden="1" customHeight="1">
      <c r="D831" s="913">
        <v>641</v>
      </c>
      <c r="E831" s="895"/>
      <c r="F831" s="896" t="s">
        <v>4328</v>
      </c>
      <c r="G831" s="897" t="s">
        <v>4283</v>
      </c>
      <c r="H831" s="898">
        <v>300300</v>
      </c>
      <c r="I831" s="1435"/>
      <c r="J831" s="1446">
        <f t="shared" ref="J831:J894" si="17">I831-(I831*10%)</f>
        <v>0</v>
      </c>
      <c r="K831" s="898">
        <v>300300</v>
      </c>
    </row>
    <row r="832" spans="4:11" ht="22.8" hidden="1" customHeight="1">
      <c r="D832" s="913">
        <v>642</v>
      </c>
      <c r="E832" s="895"/>
      <c r="F832" s="896" t="s">
        <v>4330</v>
      </c>
      <c r="G832" s="897" t="s">
        <v>4283</v>
      </c>
      <c r="H832" s="898">
        <v>415500</v>
      </c>
      <c r="I832" s="1435"/>
      <c r="J832" s="1446">
        <f t="shared" si="17"/>
        <v>0</v>
      </c>
      <c r="K832" s="898">
        <v>415500</v>
      </c>
    </row>
    <row r="833" spans="4:11" ht="22.8" hidden="1" customHeight="1">
      <c r="D833" s="913">
        <v>643</v>
      </c>
      <c r="E833" s="895"/>
      <c r="F833" s="896" t="s">
        <v>4332</v>
      </c>
      <c r="G833" s="897" t="s">
        <v>4283</v>
      </c>
      <c r="H833" s="898">
        <v>507600</v>
      </c>
      <c r="I833" s="1435"/>
      <c r="J833" s="1446">
        <f t="shared" si="17"/>
        <v>0</v>
      </c>
      <c r="K833" s="898">
        <v>507600</v>
      </c>
    </row>
    <row r="834" spans="4:11" ht="22.8" hidden="1" customHeight="1">
      <c r="D834" s="913">
        <v>644</v>
      </c>
      <c r="E834" s="895"/>
      <c r="F834" s="896" t="s">
        <v>4334</v>
      </c>
      <c r="G834" s="897" t="s">
        <v>4283</v>
      </c>
      <c r="H834" s="898">
        <v>45000</v>
      </c>
      <c r="I834" s="1435"/>
      <c r="J834" s="1446">
        <f t="shared" si="17"/>
        <v>0</v>
      </c>
      <c r="K834" s="898">
        <v>45000</v>
      </c>
    </row>
    <row r="835" spans="4:11" ht="22.8" hidden="1" customHeight="1">
      <c r="D835" s="913">
        <v>645</v>
      </c>
      <c r="E835" s="895"/>
      <c r="F835" s="896" t="s">
        <v>4337</v>
      </c>
      <c r="G835" s="897" t="s">
        <v>4283</v>
      </c>
      <c r="H835" s="898">
        <v>65000</v>
      </c>
      <c r="I835" s="1435"/>
      <c r="J835" s="1446">
        <f t="shared" si="17"/>
        <v>0</v>
      </c>
      <c r="K835" s="898">
        <v>65000</v>
      </c>
    </row>
    <row r="836" spans="4:11" ht="22.8" hidden="1" customHeight="1">
      <c r="D836" s="913">
        <v>646</v>
      </c>
      <c r="E836" s="895"/>
      <c r="F836" s="896" t="s">
        <v>4339</v>
      </c>
      <c r="G836" s="897" t="s">
        <v>4283</v>
      </c>
      <c r="H836" s="898">
        <v>80000</v>
      </c>
      <c r="I836" s="1435"/>
      <c r="J836" s="1446">
        <f t="shared" si="17"/>
        <v>0</v>
      </c>
      <c r="K836" s="898">
        <v>80000</v>
      </c>
    </row>
    <row r="837" spans="4:11" ht="22.8" hidden="1" customHeight="1">
      <c r="D837" s="913">
        <v>647</v>
      </c>
      <c r="E837" s="895"/>
      <c r="F837" s="896" t="s">
        <v>4347</v>
      </c>
      <c r="G837" s="897" t="s">
        <v>4283</v>
      </c>
      <c r="H837" s="898">
        <v>4900000</v>
      </c>
      <c r="I837" s="1435"/>
      <c r="J837" s="1446">
        <f t="shared" si="17"/>
        <v>0</v>
      </c>
      <c r="K837" s="898">
        <v>4900000</v>
      </c>
    </row>
    <row r="838" spans="4:11" ht="22.8" hidden="1" customHeight="1">
      <c r="D838" s="913">
        <v>648</v>
      </c>
      <c r="E838" s="895"/>
      <c r="F838" s="896" t="s">
        <v>4348</v>
      </c>
      <c r="G838" s="897" t="s">
        <v>4283</v>
      </c>
      <c r="H838" s="898">
        <v>5350000</v>
      </c>
      <c r="I838" s="1435"/>
      <c r="J838" s="1446">
        <f t="shared" si="17"/>
        <v>0</v>
      </c>
      <c r="K838" s="898">
        <v>5350000</v>
      </c>
    </row>
    <row r="839" spans="4:11" ht="22.8" hidden="1" customHeight="1">
      <c r="D839" s="913">
        <v>649</v>
      </c>
      <c r="E839" s="895"/>
      <c r="F839" s="896" t="s">
        <v>4349</v>
      </c>
      <c r="G839" s="897" t="s">
        <v>4283</v>
      </c>
      <c r="H839" s="898">
        <v>7500000</v>
      </c>
      <c r="I839" s="1435"/>
      <c r="J839" s="1446">
        <f t="shared" si="17"/>
        <v>0</v>
      </c>
      <c r="K839" s="898">
        <v>7500000</v>
      </c>
    </row>
    <row r="840" spans="4:11" ht="22.8" hidden="1" customHeight="1">
      <c r="D840" s="913">
        <v>650</v>
      </c>
      <c r="E840" s="895"/>
      <c r="F840" s="896" t="s">
        <v>4353</v>
      </c>
      <c r="G840" s="897" t="s">
        <v>4283</v>
      </c>
      <c r="H840" s="898">
        <v>8450000</v>
      </c>
      <c r="I840" s="1435"/>
      <c r="J840" s="1446">
        <f t="shared" si="17"/>
        <v>0</v>
      </c>
      <c r="K840" s="898">
        <v>8450000</v>
      </c>
    </row>
    <row r="841" spans="4:11" ht="22.8" hidden="1" customHeight="1">
      <c r="D841" s="913">
        <v>651</v>
      </c>
      <c r="E841" s="895"/>
      <c r="F841" s="896" t="s">
        <v>4354</v>
      </c>
      <c r="G841" s="897" t="s">
        <v>4283</v>
      </c>
      <c r="H841" s="898">
        <v>8930000</v>
      </c>
      <c r="I841" s="1435"/>
      <c r="J841" s="1446">
        <f t="shared" si="17"/>
        <v>0</v>
      </c>
      <c r="K841" s="898">
        <v>8930000</v>
      </c>
    </row>
    <row r="842" spans="4:11" ht="22.8" hidden="1" customHeight="1">
      <c r="D842" s="913">
        <v>652</v>
      </c>
      <c r="E842" s="895"/>
      <c r="F842" s="896" t="s">
        <v>4355</v>
      </c>
      <c r="G842" s="897" t="s">
        <v>4283</v>
      </c>
      <c r="H842" s="898">
        <v>9430000</v>
      </c>
      <c r="I842" s="1435"/>
      <c r="J842" s="1446">
        <f t="shared" si="17"/>
        <v>0</v>
      </c>
      <c r="K842" s="898">
        <v>9430000</v>
      </c>
    </row>
    <row r="843" spans="4:11" ht="22.8" hidden="1" customHeight="1">
      <c r="D843" s="913">
        <v>653</v>
      </c>
      <c r="E843" s="895"/>
      <c r="F843" s="896" t="s">
        <v>4359</v>
      </c>
      <c r="G843" s="897" t="s">
        <v>3182</v>
      </c>
      <c r="H843" s="898">
        <v>250000</v>
      </c>
      <c r="I843" s="1435"/>
      <c r="J843" s="1446">
        <f t="shared" si="17"/>
        <v>0</v>
      </c>
      <c r="K843" s="898">
        <v>250000</v>
      </c>
    </row>
    <row r="844" spans="4:11" ht="22.8" hidden="1" customHeight="1">
      <c r="D844" s="913">
        <v>654</v>
      </c>
      <c r="E844" s="895"/>
      <c r="F844" s="896" t="s">
        <v>4369</v>
      </c>
      <c r="G844" s="897" t="s">
        <v>3182</v>
      </c>
      <c r="H844" s="898">
        <v>850000</v>
      </c>
      <c r="I844" s="1435"/>
      <c r="J844" s="1446">
        <f t="shared" si="17"/>
        <v>0</v>
      </c>
      <c r="K844" s="898">
        <v>850000</v>
      </c>
    </row>
    <row r="845" spans="4:11" ht="22.8" hidden="1" customHeight="1">
      <c r="D845" s="913">
        <v>655</v>
      </c>
      <c r="E845" s="895"/>
      <c r="F845" s="896" t="s">
        <v>4362</v>
      </c>
      <c r="G845" s="897" t="s">
        <v>3182</v>
      </c>
      <c r="H845" s="898">
        <v>1050000</v>
      </c>
      <c r="I845" s="1435"/>
      <c r="J845" s="1446">
        <f t="shared" si="17"/>
        <v>0</v>
      </c>
      <c r="K845" s="898">
        <v>1050000</v>
      </c>
    </row>
    <row r="846" spans="4:11" ht="22.8" hidden="1" customHeight="1">
      <c r="D846" s="913">
        <v>656</v>
      </c>
      <c r="E846" s="895"/>
      <c r="F846" s="896" t="s">
        <v>4365</v>
      </c>
      <c r="G846" s="897" t="s">
        <v>3182</v>
      </c>
      <c r="H846" s="898">
        <v>1230800</v>
      </c>
      <c r="I846" s="1435"/>
      <c r="J846" s="1446">
        <f t="shared" si="17"/>
        <v>0</v>
      </c>
      <c r="K846" s="898">
        <v>1230800</v>
      </c>
    </row>
    <row r="847" spans="4:11" ht="22.8" hidden="1" customHeight="1">
      <c r="D847" s="913">
        <v>657</v>
      </c>
      <c r="E847" s="895"/>
      <c r="F847" s="896" t="s">
        <v>4366</v>
      </c>
      <c r="G847" s="897" t="s">
        <v>3182</v>
      </c>
      <c r="H847" s="898">
        <v>1432000</v>
      </c>
      <c r="I847" s="1435"/>
      <c r="J847" s="1446">
        <f t="shared" si="17"/>
        <v>0</v>
      </c>
      <c r="K847" s="898">
        <v>1432000</v>
      </c>
    </row>
    <row r="848" spans="4:11" ht="22.8" hidden="1" customHeight="1">
      <c r="D848" s="913">
        <v>658</v>
      </c>
      <c r="E848" s="895"/>
      <c r="F848" s="896" t="s">
        <v>4367</v>
      </c>
      <c r="G848" s="897" t="s">
        <v>3182</v>
      </c>
      <c r="H848" s="898">
        <v>1653000</v>
      </c>
      <c r="I848" s="1435"/>
      <c r="J848" s="1446">
        <f t="shared" si="17"/>
        <v>0</v>
      </c>
      <c r="K848" s="898">
        <v>1653000</v>
      </c>
    </row>
    <row r="849" spans="4:11" ht="22.8" hidden="1" customHeight="1">
      <c r="D849" s="913">
        <v>659</v>
      </c>
      <c r="E849" s="895"/>
      <c r="F849" s="896" t="s">
        <v>4372</v>
      </c>
      <c r="G849" s="897" t="s">
        <v>3182</v>
      </c>
      <c r="H849" s="898">
        <v>235000</v>
      </c>
      <c r="I849" s="1435"/>
      <c r="J849" s="1446">
        <f t="shared" si="17"/>
        <v>0</v>
      </c>
      <c r="K849" s="898">
        <v>235000</v>
      </c>
    </row>
    <row r="850" spans="4:11" ht="22.8" hidden="1" customHeight="1">
      <c r="D850" s="913">
        <v>660</v>
      </c>
      <c r="E850" s="895"/>
      <c r="F850" s="896" t="s">
        <v>4375</v>
      </c>
      <c r="G850" s="897" t="s">
        <v>3182</v>
      </c>
      <c r="H850" s="898">
        <v>81100</v>
      </c>
      <c r="I850" s="1435"/>
      <c r="J850" s="1446">
        <f t="shared" si="17"/>
        <v>0</v>
      </c>
      <c r="K850" s="898">
        <v>81100</v>
      </c>
    </row>
    <row r="851" spans="4:11" ht="22.8" hidden="1" customHeight="1">
      <c r="D851" s="913">
        <v>661</v>
      </c>
      <c r="E851" s="895"/>
      <c r="F851" s="896" t="s">
        <v>4376</v>
      </c>
      <c r="G851" s="897" t="s">
        <v>3182</v>
      </c>
      <c r="H851" s="898">
        <v>220800</v>
      </c>
      <c r="I851" s="1435"/>
      <c r="J851" s="1446">
        <f t="shared" si="17"/>
        <v>0</v>
      </c>
      <c r="K851" s="898">
        <v>220800</v>
      </c>
    </row>
    <row r="852" spans="4:11" ht="22.8" hidden="1" customHeight="1">
      <c r="D852" s="913">
        <v>662</v>
      </c>
      <c r="E852" s="895"/>
      <c r="F852" s="896" t="s">
        <v>4380</v>
      </c>
      <c r="G852" s="897" t="s">
        <v>113</v>
      </c>
      <c r="H852" s="898">
        <v>1325000</v>
      </c>
      <c r="I852" s="1435"/>
      <c r="J852" s="1446">
        <f t="shared" si="17"/>
        <v>0</v>
      </c>
      <c r="K852" s="898">
        <v>1325000</v>
      </c>
    </row>
    <row r="853" spans="4:11" ht="22.8" hidden="1" customHeight="1">
      <c r="D853" s="913">
        <v>663</v>
      </c>
      <c r="E853" s="895"/>
      <c r="F853" s="896" t="s">
        <v>4383</v>
      </c>
      <c r="G853" s="897" t="s">
        <v>113</v>
      </c>
      <c r="H853" s="898">
        <f>5600000</f>
        <v>5600000</v>
      </c>
      <c r="I853" s="1435"/>
      <c r="J853" s="1446">
        <f t="shared" si="17"/>
        <v>0</v>
      </c>
      <c r="K853" s="898">
        <f>5600000</f>
        <v>5600000</v>
      </c>
    </row>
    <row r="854" spans="4:11" ht="22.8" hidden="1" customHeight="1">
      <c r="D854" s="913">
        <v>664</v>
      </c>
      <c r="E854" s="895"/>
      <c r="F854" s="896" t="s">
        <v>4386</v>
      </c>
      <c r="G854" s="897" t="s">
        <v>113</v>
      </c>
      <c r="H854" s="898">
        <v>3500000</v>
      </c>
      <c r="I854" s="1435"/>
      <c r="J854" s="1446">
        <f t="shared" si="17"/>
        <v>0</v>
      </c>
      <c r="K854" s="898">
        <v>3500000</v>
      </c>
    </row>
    <row r="855" spans="4:11" ht="22.8" hidden="1" customHeight="1">
      <c r="D855" s="913">
        <v>665</v>
      </c>
      <c r="E855" s="895"/>
      <c r="F855" s="896" t="s">
        <v>4388</v>
      </c>
      <c r="G855" s="897" t="s">
        <v>113</v>
      </c>
      <c r="H855" s="898">
        <v>4600000</v>
      </c>
      <c r="I855" s="1435"/>
      <c r="J855" s="1446">
        <f t="shared" si="17"/>
        <v>0</v>
      </c>
      <c r="K855" s="898">
        <v>4600000</v>
      </c>
    </row>
    <row r="856" spans="4:11" ht="22.8" hidden="1" customHeight="1">
      <c r="D856" s="913">
        <v>666</v>
      </c>
      <c r="E856" s="895"/>
      <c r="F856" s="896" t="s">
        <v>4391</v>
      </c>
      <c r="G856" s="897" t="s">
        <v>4283</v>
      </c>
      <c r="H856" s="898">
        <v>9950</v>
      </c>
      <c r="I856" s="1435"/>
      <c r="J856" s="1446">
        <f t="shared" si="17"/>
        <v>0</v>
      </c>
      <c r="K856" s="898">
        <v>9950</v>
      </c>
    </row>
    <row r="857" spans="4:11" ht="22.8" hidden="1" customHeight="1">
      <c r="D857" s="913">
        <v>667</v>
      </c>
      <c r="E857" s="895"/>
      <c r="F857" s="896" t="s">
        <v>4393</v>
      </c>
      <c r="G857" s="897" t="s">
        <v>4283</v>
      </c>
      <c r="H857" s="898">
        <v>19500</v>
      </c>
      <c r="I857" s="1435"/>
      <c r="J857" s="1446">
        <f t="shared" si="17"/>
        <v>0</v>
      </c>
      <c r="K857" s="898">
        <v>19500</v>
      </c>
    </row>
    <row r="858" spans="4:11" ht="22.8" hidden="1" customHeight="1">
      <c r="D858" s="913">
        <v>668</v>
      </c>
      <c r="E858" s="895"/>
      <c r="F858" s="896" t="s">
        <v>4395</v>
      </c>
      <c r="G858" s="897" t="s">
        <v>4283</v>
      </c>
      <c r="H858" s="898">
        <v>28000</v>
      </c>
      <c r="I858" s="1435"/>
      <c r="J858" s="1446">
        <f t="shared" si="17"/>
        <v>0</v>
      </c>
      <c r="K858" s="898">
        <v>28000</v>
      </c>
    </row>
    <row r="859" spans="4:11" ht="22.8" hidden="1" customHeight="1">
      <c r="D859" s="913">
        <v>669</v>
      </c>
      <c r="E859" s="895"/>
      <c r="F859" s="896" t="s">
        <v>4957</v>
      </c>
      <c r="G859" s="897" t="s">
        <v>113</v>
      </c>
      <c r="H859" s="898">
        <f>6500000/6</f>
        <v>1083333.3333333333</v>
      </c>
      <c r="I859" s="1435"/>
      <c r="J859" s="1446">
        <f t="shared" si="17"/>
        <v>0</v>
      </c>
      <c r="K859" s="898">
        <f>6500000/6</f>
        <v>1083333.3333333333</v>
      </c>
    </row>
    <row r="860" spans="4:11" ht="22.8" hidden="1" customHeight="1">
      <c r="D860" s="913">
        <v>670</v>
      </c>
      <c r="E860" s="895"/>
      <c r="F860" s="896" t="s">
        <v>8541</v>
      </c>
      <c r="G860" s="897" t="s">
        <v>113</v>
      </c>
      <c r="H860" s="898">
        <v>1083000</v>
      </c>
      <c r="I860" s="1435"/>
      <c r="J860" s="1446">
        <f t="shared" si="17"/>
        <v>0</v>
      </c>
      <c r="K860" s="898">
        <v>1083000</v>
      </c>
    </row>
    <row r="861" spans="4:11" ht="22.8" hidden="1" customHeight="1">
      <c r="D861" s="913">
        <v>671</v>
      </c>
      <c r="E861" s="895"/>
      <c r="F861" s="896" t="s">
        <v>4959</v>
      </c>
      <c r="G861" s="897" t="s">
        <v>113</v>
      </c>
      <c r="H861" s="898">
        <v>1100000</v>
      </c>
      <c r="I861" s="1435"/>
      <c r="J861" s="1446">
        <f t="shared" si="17"/>
        <v>0</v>
      </c>
      <c r="K861" s="898">
        <v>1100000</v>
      </c>
    </row>
    <row r="862" spans="4:11" ht="22.8" hidden="1" customHeight="1">
      <c r="D862" s="913">
        <v>672</v>
      </c>
      <c r="E862" s="895"/>
      <c r="F862" s="896" t="s">
        <v>8543</v>
      </c>
      <c r="G862" s="897" t="s">
        <v>113</v>
      </c>
      <c r="H862" s="898">
        <v>1100000</v>
      </c>
      <c r="I862" s="1435"/>
      <c r="J862" s="1446">
        <f t="shared" si="17"/>
        <v>0</v>
      </c>
      <c r="K862" s="898">
        <v>1100000</v>
      </c>
    </row>
    <row r="863" spans="4:11" ht="22.8" hidden="1" customHeight="1">
      <c r="D863" s="913">
        <v>673</v>
      </c>
      <c r="E863" s="895"/>
      <c r="F863" s="896" t="s">
        <v>4961</v>
      </c>
      <c r="G863" s="897" t="s">
        <v>113</v>
      </c>
      <c r="H863" s="898">
        <v>1300000</v>
      </c>
      <c r="I863" s="1435"/>
      <c r="J863" s="1446">
        <f t="shared" si="17"/>
        <v>0</v>
      </c>
      <c r="K863" s="898">
        <v>1300000</v>
      </c>
    </row>
    <row r="864" spans="4:11" ht="22.8" hidden="1" customHeight="1">
      <c r="D864" s="913">
        <v>674</v>
      </c>
      <c r="E864" s="895"/>
      <c r="F864" s="896" t="s">
        <v>8545</v>
      </c>
      <c r="G864" s="897" t="s">
        <v>113</v>
      </c>
      <c r="H864" s="898">
        <v>1300000</v>
      </c>
      <c r="I864" s="1435"/>
      <c r="J864" s="1446">
        <f t="shared" si="17"/>
        <v>0</v>
      </c>
      <c r="K864" s="898">
        <v>1300000</v>
      </c>
    </row>
    <row r="865" spans="4:11" ht="22.8" hidden="1" customHeight="1">
      <c r="D865" s="913">
        <v>675</v>
      </c>
      <c r="E865" s="895"/>
      <c r="F865" s="896" t="s">
        <v>4963</v>
      </c>
      <c r="G865" s="897" t="s">
        <v>113</v>
      </c>
      <c r="H865" s="898">
        <v>1450000</v>
      </c>
      <c r="I865" s="1435"/>
      <c r="J865" s="1446">
        <f t="shared" si="17"/>
        <v>0</v>
      </c>
      <c r="K865" s="898">
        <v>1450000</v>
      </c>
    </row>
    <row r="866" spans="4:11" ht="22.8" hidden="1" customHeight="1">
      <c r="D866" s="913">
        <v>676</v>
      </c>
      <c r="E866" s="895"/>
      <c r="F866" s="896" t="s">
        <v>8547</v>
      </c>
      <c r="G866" s="897" t="s">
        <v>113</v>
      </c>
      <c r="H866" s="898">
        <v>1450000</v>
      </c>
      <c r="I866" s="1435"/>
      <c r="J866" s="1446">
        <f t="shared" si="17"/>
        <v>0</v>
      </c>
      <c r="K866" s="898">
        <v>1450000</v>
      </c>
    </row>
    <row r="867" spans="4:11" ht="22.8" hidden="1" customHeight="1">
      <c r="D867" s="913">
        <v>677</v>
      </c>
      <c r="E867" s="895"/>
      <c r="F867" s="896" t="s">
        <v>4965</v>
      </c>
      <c r="G867" s="897" t="s">
        <v>113</v>
      </c>
      <c r="H867" s="898">
        <v>1570000</v>
      </c>
      <c r="I867" s="1435"/>
      <c r="J867" s="1446">
        <f t="shared" si="17"/>
        <v>0</v>
      </c>
      <c r="K867" s="898">
        <v>1570000</v>
      </c>
    </row>
    <row r="868" spans="4:11" ht="22.8" hidden="1" customHeight="1">
      <c r="D868" s="913">
        <v>678</v>
      </c>
      <c r="E868" s="895"/>
      <c r="F868" s="896" t="s">
        <v>8549</v>
      </c>
      <c r="G868" s="897" t="s">
        <v>113</v>
      </c>
      <c r="H868" s="898">
        <v>1570000</v>
      </c>
      <c r="I868" s="1435"/>
      <c r="J868" s="1446">
        <f t="shared" si="17"/>
        <v>0</v>
      </c>
      <c r="K868" s="898">
        <v>1570000</v>
      </c>
    </row>
    <row r="869" spans="4:11" ht="22.8" hidden="1" customHeight="1">
      <c r="D869" s="913">
        <v>679</v>
      </c>
      <c r="E869" s="895"/>
      <c r="F869" s="896" t="s">
        <v>4967</v>
      </c>
      <c r="G869" s="897" t="s">
        <v>113</v>
      </c>
      <c r="H869" s="898">
        <v>1630000</v>
      </c>
      <c r="I869" s="1435"/>
      <c r="J869" s="1446">
        <f t="shared" si="17"/>
        <v>0</v>
      </c>
      <c r="K869" s="898">
        <v>1630000</v>
      </c>
    </row>
    <row r="870" spans="4:11" ht="22.8" hidden="1" customHeight="1">
      <c r="D870" s="913">
        <v>680</v>
      </c>
      <c r="E870" s="895"/>
      <c r="F870" s="896" t="s">
        <v>8551</v>
      </c>
      <c r="G870" s="897" t="s">
        <v>113</v>
      </c>
      <c r="H870" s="898">
        <v>1640000</v>
      </c>
      <c r="I870" s="1435"/>
      <c r="J870" s="1446">
        <f t="shared" si="17"/>
        <v>0</v>
      </c>
      <c r="K870" s="898">
        <v>1640000</v>
      </c>
    </row>
    <row r="871" spans="4:11" ht="22.8" hidden="1" customHeight="1">
      <c r="D871" s="913">
        <v>681</v>
      </c>
      <c r="E871" s="895"/>
      <c r="F871" s="896" t="s">
        <v>4969</v>
      </c>
      <c r="G871" s="897" t="s">
        <v>113</v>
      </c>
      <c r="H871" s="898">
        <v>1780000</v>
      </c>
      <c r="I871" s="1435"/>
      <c r="J871" s="1446">
        <f t="shared" si="17"/>
        <v>0</v>
      </c>
      <c r="K871" s="898">
        <v>1780000</v>
      </c>
    </row>
    <row r="872" spans="4:11" ht="22.8" hidden="1" customHeight="1">
      <c r="D872" s="913">
        <v>682</v>
      </c>
      <c r="E872" s="895"/>
      <c r="F872" s="896" t="s">
        <v>8553</v>
      </c>
      <c r="G872" s="897" t="s">
        <v>113</v>
      </c>
      <c r="H872" s="898">
        <v>1790000</v>
      </c>
      <c r="I872" s="1435"/>
      <c r="J872" s="1446">
        <f t="shared" si="17"/>
        <v>0</v>
      </c>
      <c r="K872" s="898">
        <v>1790000</v>
      </c>
    </row>
    <row r="873" spans="4:11" ht="22.8" hidden="1" customHeight="1">
      <c r="D873" s="913">
        <v>683</v>
      </c>
      <c r="E873" s="895"/>
      <c r="F873" s="896" t="s">
        <v>4972</v>
      </c>
      <c r="G873" s="897" t="s">
        <v>113</v>
      </c>
      <c r="H873" s="898">
        <v>1840000</v>
      </c>
      <c r="I873" s="1435"/>
      <c r="J873" s="1446">
        <f t="shared" si="17"/>
        <v>0</v>
      </c>
      <c r="K873" s="898">
        <v>1840000</v>
      </c>
    </row>
    <row r="874" spans="4:11" ht="22.8" hidden="1" customHeight="1">
      <c r="D874" s="913">
        <v>684</v>
      </c>
      <c r="E874" s="895"/>
      <c r="F874" s="896" t="s">
        <v>8555</v>
      </c>
      <c r="G874" s="897" t="s">
        <v>113</v>
      </c>
      <c r="H874" s="898">
        <v>1850000</v>
      </c>
      <c r="I874" s="1435"/>
      <c r="J874" s="1446">
        <f t="shared" si="17"/>
        <v>0</v>
      </c>
      <c r="K874" s="898">
        <v>1850000</v>
      </c>
    </row>
    <row r="875" spans="4:11" ht="22.8" hidden="1" customHeight="1">
      <c r="D875" s="913">
        <v>685</v>
      </c>
      <c r="E875" s="895"/>
      <c r="F875" s="896" t="s">
        <v>4974</v>
      </c>
      <c r="G875" s="897" t="s">
        <v>113</v>
      </c>
      <c r="H875" s="898">
        <v>1950000</v>
      </c>
      <c r="I875" s="1435"/>
      <c r="J875" s="1446">
        <f t="shared" si="17"/>
        <v>0</v>
      </c>
      <c r="K875" s="898">
        <v>1950000</v>
      </c>
    </row>
    <row r="876" spans="4:11" ht="22.8" hidden="1" customHeight="1">
      <c r="D876" s="913">
        <v>686</v>
      </c>
      <c r="E876" s="895"/>
      <c r="F876" s="896" t="s">
        <v>8557</v>
      </c>
      <c r="G876" s="897" t="s">
        <v>113</v>
      </c>
      <c r="H876" s="898">
        <v>1960000</v>
      </c>
      <c r="I876" s="1435"/>
      <c r="J876" s="1446">
        <f t="shared" si="17"/>
        <v>0</v>
      </c>
      <c r="K876" s="898">
        <v>1960000</v>
      </c>
    </row>
    <row r="877" spans="4:11" ht="22.8" hidden="1" customHeight="1">
      <c r="D877" s="913">
        <v>687</v>
      </c>
      <c r="E877" s="895"/>
      <c r="F877" s="896" t="s">
        <v>4976</v>
      </c>
      <c r="G877" s="897" t="s">
        <v>113</v>
      </c>
      <c r="H877" s="898">
        <v>2100000</v>
      </c>
      <c r="I877" s="1435"/>
      <c r="J877" s="1446">
        <f t="shared" si="17"/>
        <v>0</v>
      </c>
      <c r="K877" s="898">
        <v>2100000</v>
      </c>
    </row>
    <row r="878" spans="4:11" ht="22.8" hidden="1" customHeight="1">
      <c r="D878" s="913">
        <v>688</v>
      </c>
      <c r="E878" s="895"/>
      <c r="F878" s="896" t="s">
        <v>8559</v>
      </c>
      <c r="G878" s="897" t="s">
        <v>113</v>
      </c>
      <c r="H878" s="898">
        <v>2115000</v>
      </c>
      <c r="I878" s="1435"/>
      <c r="J878" s="1446">
        <f t="shared" si="17"/>
        <v>0</v>
      </c>
      <c r="K878" s="898">
        <v>2115000</v>
      </c>
    </row>
    <row r="879" spans="4:11" ht="22.8" hidden="1" customHeight="1">
      <c r="D879" s="913">
        <v>689</v>
      </c>
      <c r="E879" s="895"/>
      <c r="F879" s="896" t="s">
        <v>4978</v>
      </c>
      <c r="G879" s="897" t="s">
        <v>113</v>
      </c>
      <c r="H879" s="898">
        <v>2350000</v>
      </c>
      <c r="I879" s="1435"/>
      <c r="J879" s="1446">
        <f t="shared" si="17"/>
        <v>0</v>
      </c>
      <c r="K879" s="898">
        <v>2350000</v>
      </c>
    </row>
    <row r="880" spans="4:11" ht="22.8" hidden="1" customHeight="1">
      <c r="D880" s="913">
        <v>690</v>
      </c>
      <c r="E880" s="895"/>
      <c r="F880" s="896" t="s">
        <v>8561</v>
      </c>
      <c r="G880" s="897" t="s">
        <v>113</v>
      </c>
      <c r="H880" s="898">
        <v>2360000</v>
      </c>
      <c r="I880" s="1435"/>
      <c r="J880" s="1446">
        <f t="shared" si="17"/>
        <v>0</v>
      </c>
      <c r="K880" s="898">
        <v>2360000</v>
      </c>
    </row>
    <row r="881" spans="4:11" ht="22.8" hidden="1" customHeight="1">
      <c r="D881" s="913">
        <v>691</v>
      </c>
      <c r="E881" s="895"/>
      <c r="F881" s="896" t="s">
        <v>4981</v>
      </c>
      <c r="G881" s="897" t="s">
        <v>113</v>
      </c>
      <c r="H881" s="898">
        <v>2430000</v>
      </c>
      <c r="I881" s="1435"/>
      <c r="J881" s="1446">
        <f t="shared" si="17"/>
        <v>0</v>
      </c>
      <c r="K881" s="898">
        <v>2430000</v>
      </c>
    </row>
    <row r="882" spans="4:11" ht="22.8" hidden="1" customHeight="1">
      <c r="D882" s="913">
        <v>692</v>
      </c>
      <c r="E882" s="895"/>
      <c r="F882" s="896" t="s">
        <v>8563</v>
      </c>
      <c r="G882" s="897" t="s">
        <v>113</v>
      </c>
      <c r="H882" s="898">
        <v>2440000</v>
      </c>
      <c r="I882" s="1435"/>
      <c r="J882" s="1446">
        <f t="shared" si="17"/>
        <v>0</v>
      </c>
      <c r="K882" s="898">
        <v>2440000</v>
      </c>
    </row>
    <row r="883" spans="4:11" ht="22.8" hidden="1" customHeight="1">
      <c r="D883" s="913">
        <v>693</v>
      </c>
      <c r="E883" s="895"/>
      <c r="F883" s="896" t="s">
        <v>4983</v>
      </c>
      <c r="G883" s="897" t="s">
        <v>113</v>
      </c>
      <c r="H883" s="898">
        <v>2560000</v>
      </c>
      <c r="I883" s="1435"/>
      <c r="J883" s="1446">
        <f t="shared" si="17"/>
        <v>0</v>
      </c>
      <c r="K883" s="898">
        <v>2560000</v>
      </c>
    </row>
    <row r="884" spans="4:11" ht="22.8" hidden="1" customHeight="1">
      <c r="D884" s="913">
        <v>694</v>
      </c>
      <c r="E884" s="895"/>
      <c r="F884" s="896" t="s">
        <v>8565</v>
      </c>
      <c r="G884" s="897" t="s">
        <v>113</v>
      </c>
      <c r="H884" s="898">
        <v>2570000</v>
      </c>
      <c r="I884" s="1435"/>
      <c r="J884" s="1446">
        <f t="shared" si="17"/>
        <v>0</v>
      </c>
      <c r="K884" s="898">
        <v>2570000</v>
      </c>
    </row>
    <row r="885" spans="4:11" ht="22.8" hidden="1" customHeight="1">
      <c r="D885" s="913">
        <v>695</v>
      </c>
      <c r="E885" s="895"/>
      <c r="F885" s="896" t="s">
        <v>4984</v>
      </c>
      <c r="G885" s="897" t="s">
        <v>113</v>
      </c>
      <c r="H885" s="898">
        <v>2720000</v>
      </c>
      <c r="I885" s="1435"/>
      <c r="J885" s="1446">
        <f t="shared" si="17"/>
        <v>0</v>
      </c>
      <c r="K885" s="898">
        <v>2720000</v>
      </c>
    </row>
    <row r="886" spans="4:11" ht="22.8" hidden="1" customHeight="1">
      <c r="D886" s="913">
        <v>696</v>
      </c>
      <c r="E886" s="895"/>
      <c r="F886" s="896" t="s">
        <v>8567</v>
      </c>
      <c r="G886" s="897" t="s">
        <v>113</v>
      </c>
      <c r="H886" s="898">
        <v>2730000</v>
      </c>
      <c r="I886" s="1435"/>
      <c r="J886" s="1446">
        <f t="shared" si="17"/>
        <v>0</v>
      </c>
      <c r="K886" s="898">
        <v>2730000</v>
      </c>
    </row>
    <row r="887" spans="4:11" ht="22.8" hidden="1" customHeight="1">
      <c r="D887" s="913">
        <v>697</v>
      </c>
      <c r="E887" s="895"/>
      <c r="F887" s="896" t="s">
        <v>8569</v>
      </c>
      <c r="G887" s="897" t="s">
        <v>113</v>
      </c>
      <c r="H887" s="898">
        <v>236000</v>
      </c>
      <c r="I887" s="1435"/>
      <c r="J887" s="1446">
        <f t="shared" si="17"/>
        <v>0</v>
      </c>
      <c r="K887" s="898">
        <v>236000</v>
      </c>
    </row>
    <row r="888" spans="4:11" ht="22.8" hidden="1" customHeight="1">
      <c r="D888" s="913">
        <v>698</v>
      </c>
      <c r="E888" s="895"/>
      <c r="F888" s="896" t="s">
        <v>5062</v>
      </c>
      <c r="G888" s="897" t="s">
        <v>113</v>
      </c>
      <c r="H888" s="898">
        <v>235000</v>
      </c>
      <c r="I888" s="1435"/>
      <c r="J888" s="1446">
        <f t="shared" si="17"/>
        <v>0</v>
      </c>
      <c r="K888" s="898">
        <v>235000</v>
      </c>
    </row>
    <row r="889" spans="4:11" ht="22.8" hidden="1" customHeight="1">
      <c r="D889" s="913">
        <v>699</v>
      </c>
      <c r="E889" s="895"/>
      <c r="F889" s="896" t="s">
        <v>8635</v>
      </c>
      <c r="G889" s="897" t="s">
        <v>113</v>
      </c>
      <c r="H889" s="898">
        <v>236000</v>
      </c>
      <c r="I889" s="1435"/>
      <c r="J889" s="1446">
        <f t="shared" si="17"/>
        <v>0</v>
      </c>
      <c r="K889" s="898">
        <v>236000</v>
      </c>
    </row>
    <row r="890" spans="4:11" ht="22.8" hidden="1" customHeight="1">
      <c r="D890" s="913">
        <v>700</v>
      </c>
      <c r="E890" s="895"/>
      <c r="F890" s="896" t="s">
        <v>5064</v>
      </c>
      <c r="G890" s="897" t="s">
        <v>113</v>
      </c>
      <c r="H890" s="898">
        <v>264000</v>
      </c>
      <c r="I890" s="1435"/>
      <c r="J890" s="1446">
        <f t="shared" si="17"/>
        <v>0</v>
      </c>
      <c r="K890" s="898">
        <v>264000</v>
      </c>
    </row>
    <row r="891" spans="4:11" ht="22.8" hidden="1" customHeight="1">
      <c r="D891" s="913">
        <v>701</v>
      </c>
      <c r="E891" s="895"/>
      <c r="F891" s="896" t="s">
        <v>8637</v>
      </c>
      <c r="G891" s="897" t="s">
        <v>113</v>
      </c>
      <c r="H891" s="898">
        <v>265000</v>
      </c>
      <c r="I891" s="1435"/>
      <c r="J891" s="1446">
        <f t="shared" si="17"/>
        <v>0</v>
      </c>
      <c r="K891" s="898">
        <v>265000</v>
      </c>
    </row>
    <row r="892" spans="4:11" ht="22.8" hidden="1" customHeight="1">
      <c r="D892" s="913">
        <v>702</v>
      </c>
      <c r="E892" s="895"/>
      <c r="F892" s="896" t="s">
        <v>5066</v>
      </c>
      <c r="G892" s="897" t="s">
        <v>113</v>
      </c>
      <c r="H892" s="898">
        <v>285000</v>
      </c>
      <c r="I892" s="1435"/>
      <c r="J892" s="1446">
        <f t="shared" si="17"/>
        <v>0</v>
      </c>
      <c r="K892" s="898">
        <v>285000</v>
      </c>
    </row>
    <row r="893" spans="4:11" ht="22.8" hidden="1" customHeight="1">
      <c r="D893" s="913">
        <v>703</v>
      </c>
      <c r="E893" s="895"/>
      <c r="F893" s="896" t="s">
        <v>8639</v>
      </c>
      <c r="G893" s="897" t="s">
        <v>113</v>
      </c>
      <c r="H893" s="898">
        <v>286000</v>
      </c>
      <c r="I893" s="1435"/>
      <c r="J893" s="1446">
        <f t="shared" si="17"/>
        <v>0</v>
      </c>
      <c r="K893" s="898">
        <v>286000</v>
      </c>
    </row>
    <row r="894" spans="4:11" ht="22.8" hidden="1" customHeight="1">
      <c r="D894" s="913">
        <v>704</v>
      </c>
      <c r="E894" s="895"/>
      <c r="F894" s="896" t="s">
        <v>5068</v>
      </c>
      <c r="G894" s="897" t="s">
        <v>113</v>
      </c>
      <c r="H894" s="898">
        <v>299000</v>
      </c>
      <c r="I894" s="1435"/>
      <c r="J894" s="1446">
        <f t="shared" si="17"/>
        <v>0</v>
      </c>
      <c r="K894" s="898">
        <v>299000</v>
      </c>
    </row>
    <row r="895" spans="4:11" ht="22.8" hidden="1" customHeight="1">
      <c r="D895" s="913">
        <v>705</v>
      </c>
      <c r="E895" s="895"/>
      <c r="F895" s="896" t="s">
        <v>8642</v>
      </c>
      <c r="G895" s="897" t="s">
        <v>113</v>
      </c>
      <c r="H895" s="898">
        <v>300000</v>
      </c>
      <c r="I895" s="1435"/>
      <c r="J895" s="1446">
        <f t="shared" ref="J895:J958" si="18">I895-(I895*10%)</f>
        <v>0</v>
      </c>
      <c r="K895" s="898">
        <v>300000</v>
      </c>
    </row>
    <row r="896" spans="4:11" ht="22.8" hidden="1" customHeight="1">
      <c r="D896" s="913">
        <v>706</v>
      </c>
      <c r="E896" s="895"/>
      <c r="F896" s="896" t="s">
        <v>5070</v>
      </c>
      <c r="G896" s="897" t="s">
        <v>113</v>
      </c>
      <c r="H896" s="898">
        <v>350000</v>
      </c>
      <c r="I896" s="1435"/>
      <c r="J896" s="1446">
        <f t="shared" si="18"/>
        <v>0</v>
      </c>
      <c r="K896" s="898">
        <v>350000</v>
      </c>
    </row>
    <row r="897" spans="4:11" ht="22.8" hidden="1" customHeight="1">
      <c r="D897" s="913">
        <v>707</v>
      </c>
      <c r="E897" s="895"/>
      <c r="F897" s="896" t="s">
        <v>8644</v>
      </c>
      <c r="G897" s="897" t="s">
        <v>113</v>
      </c>
      <c r="H897" s="898">
        <v>351000</v>
      </c>
      <c r="I897" s="1435"/>
      <c r="J897" s="1446">
        <f t="shared" si="18"/>
        <v>0</v>
      </c>
      <c r="K897" s="898">
        <v>351000</v>
      </c>
    </row>
    <row r="898" spans="4:11" ht="22.8" hidden="1" customHeight="1">
      <c r="D898" s="913">
        <v>708</v>
      </c>
      <c r="E898" s="895"/>
      <c r="F898" s="896" t="s">
        <v>5072</v>
      </c>
      <c r="G898" s="897" t="s">
        <v>113</v>
      </c>
      <c r="H898" s="898">
        <v>410000</v>
      </c>
      <c r="I898" s="1435"/>
      <c r="J898" s="1446">
        <f t="shared" si="18"/>
        <v>0</v>
      </c>
      <c r="K898" s="898">
        <v>410000</v>
      </c>
    </row>
    <row r="899" spans="4:11" ht="22.8" hidden="1" customHeight="1">
      <c r="D899" s="913">
        <v>709</v>
      </c>
      <c r="E899" s="895"/>
      <c r="F899" s="896" t="s">
        <v>8646</v>
      </c>
      <c r="G899" s="897" t="s">
        <v>113</v>
      </c>
      <c r="H899" s="898">
        <v>411000</v>
      </c>
      <c r="I899" s="1435"/>
      <c r="J899" s="1446">
        <f t="shared" si="18"/>
        <v>0</v>
      </c>
      <c r="K899" s="898">
        <v>411000</v>
      </c>
    </row>
    <row r="900" spans="4:11" ht="22.8" hidden="1" customHeight="1">
      <c r="D900" s="913">
        <v>710</v>
      </c>
      <c r="E900" s="895"/>
      <c r="F900" s="896" t="s">
        <v>5076</v>
      </c>
      <c r="G900" s="897" t="s">
        <v>113</v>
      </c>
      <c r="H900" s="898">
        <v>490000</v>
      </c>
      <c r="I900" s="1435"/>
      <c r="J900" s="1446">
        <f t="shared" si="18"/>
        <v>0</v>
      </c>
      <c r="K900" s="898">
        <v>490000</v>
      </c>
    </row>
    <row r="901" spans="4:11" ht="22.8" hidden="1" customHeight="1">
      <c r="D901" s="913">
        <v>711</v>
      </c>
      <c r="E901" s="895"/>
      <c r="F901" s="896" t="s">
        <v>8648</v>
      </c>
      <c r="G901" s="897" t="s">
        <v>113</v>
      </c>
      <c r="H901" s="898">
        <v>491000</v>
      </c>
      <c r="I901" s="1435"/>
      <c r="J901" s="1446">
        <f t="shared" si="18"/>
        <v>0</v>
      </c>
      <c r="K901" s="898">
        <v>491000</v>
      </c>
    </row>
    <row r="902" spans="4:11" ht="22.8" hidden="1" customHeight="1">
      <c r="D902" s="913">
        <v>712</v>
      </c>
      <c r="E902" s="895"/>
      <c r="F902" s="896" t="s">
        <v>5075</v>
      </c>
      <c r="G902" s="897" t="s">
        <v>113</v>
      </c>
      <c r="H902" s="898">
        <v>570000</v>
      </c>
      <c r="I902" s="1435"/>
      <c r="J902" s="1446">
        <f t="shared" si="18"/>
        <v>0</v>
      </c>
      <c r="K902" s="898">
        <v>570000</v>
      </c>
    </row>
    <row r="903" spans="4:11" ht="22.8" hidden="1" customHeight="1">
      <c r="D903" s="913">
        <v>713</v>
      </c>
      <c r="E903" s="895"/>
      <c r="F903" s="896" t="s">
        <v>8650</v>
      </c>
      <c r="G903" s="897" t="s">
        <v>113</v>
      </c>
      <c r="H903" s="898">
        <v>571000</v>
      </c>
      <c r="I903" s="1435"/>
      <c r="J903" s="1446">
        <f t="shared" si="18"/>
        <v>0</v>
      </c>
      <c r="K903" s="898">
        <v>571000</v>
      </c>
    </row>
    <row r="904" spans="4:11" ht="22.8" hidden="1" customHeight="1">
      <c r="D904" s="913">
        <v>714</v>
      </c>
      <c r="E904" s="895"/>
      <c r="F904" s="896" t="s">
        <v>5078</v>
      </c>
      <c r="G904" s="897" t="s">
        <v>113</v>
      </c>
      <c r="H904" s="898">
        <v>640000</v>
      </c>
      <c r="I904" s="1435"/>
      <c r="J904" s="1446">
        <f t="shared" si="18"/>
        <v>0</v>
      </c>
      <c r="K904" s="898">
        <v>640000</v>
      </c>
    </row>
    <row r="905" spans="4:11" ht="22.8" hidden="1" customHeight="1">
      <c r="D905" s="913">
        <v>715</v>
      </c>
      <c r="E905" s="895"/>
      <c r="F905" s="896" t="s">
        <v>8652</v>
      </c>
      <c r="G905" s="897" t="s">
        <v>113</v>
      </c>
      <c r="H905" s="898">
        <v>641000</v>
      </c>
      <c r="I905" s="1435"/>
      <c r="J905" s="1446">
        <f t="shared" si="18"/>
        <v>0</v>
      </c>
      <c r="K905" s="898">
        <v>641000</v>
      </c>
    </row>
    <row r="906" spans="4:11" ht="22.8" hidden="1" customHeight="1">
      <c r="D906" s="913">
        <v>716</v>
      </c>
      <c r="E906" s="895"/>
      <c r="F906" s="896" t="s">
        <v>8674</v>
      </c>
      <c r="G906" s="897" t="s">
        <v>44</v>
      </c>
      <c r="H906" s="898">
        <v>225000</v>
      </c>
      <c r="I906" s="1435"/>
      <c r="J906" s="1446">
        <f t="shared" si="18"/>
        <v>0</v>
      </c>
      <c r="K906" s="898">
        <v>225000</v>
      </c>
    </row>
    <row r="907" spans="4:11" ht="22.8" hidden="1" customHeight="1">
      <c r="D907" s="913">
        <v>717</v>
      </c>
      <c r="E907" s="895"/>
      <c r="F907" s="896" t="s">
        <v>8677</v>
      </c>
      <c r="G907" s="897" t="s">
        <v>44</v>
      </c>
      <c r="H907" s="898">
        <v>290000</v>
      </c>
      <c r="I907" s="1435"/>
      <c r="J907" s="1446">
        <f t="shared" si="18"/>
        <v>0</v>
      </c>
      <c r="K907" s="898">
        <v>290000</v>
      </c>
    </row>
    <row r="908" spans="4:11" ht="22.8" hidden="1" customHeight="1">
      <c r="D908" s="913">
        <v>718</v>
      </c>
      <c r="E908" s="895"/>
      <c r="F908" s="896" t="s">
        <v>8679</v>
      </c>
      <c r="G908" s="897" t="s">
        <v>44</v>
      </c>
      <c r="H908" s="898">
        <v>350000</v>
      </c>
      <c r="I908" s="1435"/>
      <c r="J908" s="1446">
        <f t="shared" si="18"/>
        <v>0</v>
      </c>
      <c r="K908" s="898">
        <v>350000</v>
      </c>
    </row>
    <row r="909" spans="4:11" ht="22.8" hidden="1" customHeight="1">
      <c r="D909" s="913">
        <v>719</v>
      </c>
      <c r="E909" s="895"/>
      <c r="F909" s="896" t="s">
        <v>8681</v>
      </c>
      <c r="G909" s="897" t="s">
        <v>44</v>
      </c>
      <c r="H909" s="898">
        <v>410000</v>
      </c>
      <c r="I909" s="1435"/>
      <c r="J909" s="1446">
        <f t="shared" si="18"/>
        <v>0</v>
      </c>
      <c r="K909" s="898">
        <v>410000</v>
      </c>
    </row>
    <row r="910" spans="4:11" ht="22.8" hidden="1" customHeight="1">
      <c r="D910" s="913">
        <v>720</v>
      </c>
      <c r="E910" s="895"/>
      <c r="F910" s="896" t="s">
        <v>8683</v>
      </c>
      <c r="G910" s="897" t="s">
        <v>44</v>
      </c>
      <c r="H910" s="898">
        <v>490000</v>
      </c>
      <c r="I910" s="1435"/>
      <c r="J910" s="1446">
        <f t="shared" si="18"/>
        <v>0</v>
      </c>
      <c r="K910" s="898">
        <v>490000</v>
      </c>
    </row>
    <row r="911" spans="4:11" ht="22.8" hidden="1" customHeight="1">
      <c r="D911" s="913">
        <v>721</v>
      </c>
      <c r="E911" s="895"/>
      <c r="F911" s="896" t="s">
        <v>8685</v>
      </c>
      <c r="G911" s="897" t="s">
        <v>44</v>
      </c>
      <c r="H911" s="898">
        <v>530000</v>
      </c>
      <c r="I911" s="1435"/>
      <c r="J911" s="1446">
        <f t="shared" si="18"/>
        <v>0</v>
      </c>
      <c r="K911" s="898">
        <v>530000</v>
      </c>
    </row>
    <row r="912" spans="4:11" ht="22.8" hidden="1" customHeight="1">
      <c r="D912" s="913">
        <v>722</v>
      </c>
      <c r="E912" s="895"/>
      <c r="F912" s="896" t="s">
        <v>8687</v>
      </c>
      <c r="G912" s="897" t="s">
        <v>44</v>
      </c>
      <c r="H912" s="898">
        <v>590000</v>
      </c>
      <c r="I912" s="1435"/>
      <c r="J912" s="1446">
        <f t="shared" si="18"/>
        <v>0</v>
      </c>
      <c r="K912" s="898">
        <v>590000</v>
      </c>
    </row>
    <row r="913" spans="4:11" ht="22.8" hidden="1" customHeight="1">
      <c r="D913" s="913">
        <v>723</v>
      </c>
      <c r="E913" s="895"/>
      <c r="F913" s="896" t="s">
        <v>8689</v>
      </c>
      <c r="G913" s="897" t="s">
        <v>44</v>
      </c>
      <c r="H913" s="898">
        <v>670000</v>
      </c>
      <c r="I913" s="1435"/>
      <c r="J913" s="1446">
        <f t="shared" si="18"/>
        <v>0</v>
      </c>
      <c r="K913" s="898">
        <v>670000</v>
      </c>
    </row>
    <row r="914" spans="4:11" ht="22.8" hidden="1" customHeight="1">
      <c r="D914" s="913">
        <v>724</v>
      </c>
      <c r="E914" s="895"/>
      <c r="F914" s="896" t="s">
        <v>8691</v>
      </c>
      <c r="G914" s="897" t="s">
        <v>44</v>
      </c>
      <c r="H914" s="898">
        <v>750000</v>
      </c>
      <c r="I914" s="1435"/>
      <c r="J914" s="1446">
        <f t="shared" si="18"/>
        <v>0</v>
      </c>
      <c r="K914" s="898">
        <v>750000</v>
      </c>
    </row>
    <row r="915" spans="4:11" ht="22.8" hidden="1" customHeight="1">
      <c r="D915" s="913">
        <v>725</v>
      </c>
      <c r="E915" s="895"/>
      <c r="F915" s="896" t="s">
        <v>8693</v>
      </c>
      <c r="G915" s="897" t="s">
        <v>44</v>
      </c>
      <c r="H915" s="898">
        <v>810000</v>
      </c>
      <c r="I915" s="1435"/>
      <c r="J915" s="1446">
        <f t="shared" si="18"/>
        <v>0</v>
      </c>
      <c r="K915" s="898">
        <v>810000</v>
      </c>
    </row>
    <row r="916" spans="4:11" ht="22.8" hidden="1" customHeight="1">
      <c r="D916" s="913">
        <v>726</v>
      </c>
      <c r="E916" s="895"/>
      <c r="F916" s="896" t="s">
        <v>8695</v>
      </c>
      <c r="G916" s="897" t="s">
        <v>44</v>
      </c>
      <c r="H916" s="898">
        <v>890000</v>
      </c>
      <c r="I916" s="1435"/>
      <c r="J916" s="1446">
        <f t="shared" si="18"/>
        <v>0</v>
      </c>
      <c r="K916" s="898">
        <v>890000</v>
      </c>
    </row>
    <row r="917" spans="4:11" ht="22.8" hidden="1" customHeight="1">
      <c r="D917" s="913">
        <v>727</v>
      </c>
      <c r="E917" s="895"/>
      <c r="F917" s="896" t="s">
        <v>8697</v>
      </c>
      <c r="G917" s="897" t="s">
        <v>44</v>
      </c>
      <c r="H917" s="898">
        <v>950000</v>
      </c>
      <c r="I917" s="1435"/>
      <c r="J917" s="1446">
        <f t="shared" si="18"/>
        <v>0</v>
      </c>
      <c r="K917" s="898">
        <v>950000</v>
      </c>
    </row>
    <row r="918" spans="4:11" ht="22.8" hidden="1" customHeight="1">
      <c r="D918" s="913">
        <v>728</v>
      </c>
      <c r="E918" s="895"/>
      <c r="F918" s="896" t="s">
        <v>8699</v>
      </c>
      <c r="G918" s="897" t="s">
        <v>44</v>
      </c>
      <c r="H918" s="898">
        <v>1050000</v>
      </c>
      <c r="I918" s="1435"/>
      <c r="J918" s="1446">
        <f t="shared" si="18"/>
        <v>0</v>
      </c>
      <c r="K918" s="898">
        <v>1050000</v>
      </c>
    </row>
    <row r="919" spans="4:11" ht="22.8" hidden="1" customHeight="1">
      <c r="D919" s="913">
        <v>729</v>
      </c>
      <c r="E919" s="895"/>
      <c r="F919" s="896" t="s">
        <v>8701</v>
      </c>
      <c r="G919" s="897" t="s">
        <v>44</v>
      </c>
      <c r="H919" s="898">
        <v>1119000</v>
      </c>
      <c r="I919" s="1435"/>
      <c r="J919" s="1446">
        <f t="shared" si="18"/>
        <v>0</v>
      </c>
      <c r="K919" s="898">
        <v>1119000</v>
      </c>
    </row>
    <row r="920" spans="4:11" ht="22.8" hidden="1" customHeight="1">
      <c r="D920" s="913">
        <v>730</v>
      </c>
      <c r="E920" s="895"/>
      <c r="F920" s="896" t="s">
        <v>8703</v>
      </c>
      <c r="G920" s="897" t="s">
        <v>44</v>
      </c>
      <c r="H920" s="898">
        <v>95000</v>
      </c>
      <c r="I920" s="1435"/>
      <c r="J920" s="1446">
        <f t="shared" si="18"/>
        <v>0</v>
      </c>
      <c r="K920" s="898">
        <v>95000</v>
      </c>
    </row>
    <row r="921" spans="4:11" ht="22.8" hidden="1" customHeight="1">
      <c r="D921" s="913">
        <v>731</v>
      </c>
      <c r="E921" s="895"/>
      <c r="F921" s="896" t="s">
        <v>8705</v>
      </c>
      <c r="G921" s="897" t="s">
        <v>44</v>
      </c>
      <c r="H921" s="898">
        <v>105000</v>
      </c>
      <c r="I921" s="1435"/>
      <c r="J921" s="1446">
        <f t="shared" si="18"/>
        <v>0</v>
      </c>
      <c r="K921" s="898">
        <v>105000</v>
      </c>
    </row>
    <row r="922" spans="4:11" ht="22.8" hidden="1" customHeight="1">
      <c r="D922" s="913">
        <v>732</v>
      </c>
      <c r="E922" s="895"/>
      <c r="F922" s="896" t="s">
        <v>8707</v>
      </c>
      <c r="G922" s="897" t="s">
        <v>44</v>
      </c>
      <c r="H922" s="898">
        <v>115000</v>
      </c>
      <c r="I922" s="1435"/>
      <c r="J922" s="1446">
        <f t="shared" si="18"/>
        <v>0</v>
      </c>
      <c r="K922" s="898">
        <v>115000</v>
      </c>
    </row>
    <row r="923" spans="4:11" ht="22.8" hidden="1" customHeight="1">
      <c r="D923" s="913">
        <v>733</v>
      </c>
      <c r="E923" s="895"/>
      <c r="F923" s="896" t="s">
        <v>8709</v>
      </c>
      <c r="G923" s="897" t="s">
        <v>44</v>
      </c>
      <c r="H923" s="898">
        <v>129000</v>
      </c>
      <c r="I923" s="1435"/>
      <c r="J923" s="1446">
        <f t="shared" si="18"/>
        <v>0</v>
      </c>
      <c r="K923" s="898">
        <v>129000</v>
      </c>
    </row>
    <row r="924" spans="4:11" ht="22.8" hidden="1" customHeight="1">
      <c r="D924" s="913">
        <v>734</v>
      </c>
      <c r="E924" s="895"/>
      <c r="F924" s="896" t="s">
        <v>8711</v>
      </c>
      <c r="G924" s="897" t="s">
        <v>44</v>
      </c>
      <c r="H924" s="898">
        <v>135000</v>
      </c>
      <c r="I924" s="1435"/>
      <c r="J924" s="1446">
        <f t="shared" si="18"/>
        <v>0</v>
      </c>
      <c r="K924" s="898">
        <v>135000</v>
      </c>
    </row>
    <row r="925" spans="4:11" ht="22.8" hidden="1" customHeight="1">
      <c r="D925" s="913">
        <v>735</v>
      </c>
      <c r="E925" s="895"/>
      <c r="F925" s="896" t="s">
        <v>8713</v>
      </c>
      <c r="G925" s="897" t="s">
        <v>44</v>
      </c>
      <c r="H925" s="898">
        <v>150000</v>
      </c>
      <c r="I925" s="1435"/>
      <c r="J925" s="1446">
        <f t="shared" si="18"/>
        <v>0</v>
      </c>
      <c r="K925" s="898">
        <v>150000</v>
      </c>
    </row>
    <row r="926" spans="4:11" ht="22.8" hidden="1" customHeight="1">
      <c r="D926" s="913">
        <v>736</v>
      </c>
      <c r="E926" s="895"/>
      <c r="F926" s="896" t="s">
        <v>8715</v>
      </c>
      <c r="G926" s="897" t="s">
        <v>44</v>
      </c>
      <c r="H926" s="898">
        <v>170000</v>
      </c>
      <c r="I926" s="1435"/>
      <c r="J926" s="1446">
        <f t="shared" si="18"/>
        <v>0</v>
      </c>
      <c r="K926" s="898">
        <v>170000</v>
      </c>
    </row>
    <row r="927" spans="4:11" ht="22.8" hidden="1" customHeight="1">
      <c r="D927" s="913">
        <v>737</v>
      </c>
      <c r="E927" s="895"/>
      <c r="F927" s="896" t="s">
        <v>8717</v>
      </c>
      <c r="G927" s="897" t="s">
        <v>44</v>
      </c>
      <c r="H927" s="898">
        <v>192000</v>
      </c>
      <c r="I927" s="1435"/>
      <c r="J927" s="1446">
        <f t="shared" si="18"/>
        <v>0</v>
      </c>
      <c r="K927" s="898">
        <v>192000</v>
      </c>
    </row>
    <row r="928" spans="4:11" ht="22.8" hidden="1" customHeight="1">
      <c r="D928" s="913">
        <v>738</v>
      </c>
      <c r="E928" s="895"/>
      <c r="F928" s="896" t="s">
        <v>8719</v>
      </c>
      <c r="G928" s="897" t="s">
        <v>44</v>
      </c>
      <c r="H928" s="898">
        <v>205000</v>
      </c>
      <c r="I928" s="1435"/>
      <c r="J928" s="1446">
        <f t="shared" si="18"/>
        <v>0</v>
      </c>
      <c r="K928" s="898">
        <v>205000</v>
      </c>
    </row>
    <row r="929" spans="4:11" ht="22.8" hidden="1" customHeight="1">
      <c r="D929" s="913">
        <v>739</v>
      </c>
      <c r="E929" s="895"/>
      <c r="F929" s="896" t="s">
        <v>8721</v>
      </c>
      <c r="G929" s="897" t="s">
        <v>44</v>
      </c>
      <c r="H929" s="898">
        <v>215000</v>
      </c>
      <c r="I929" s="1435"/>
      <c r="J929" s="1446">
        <f t="shared" si="18"/>
        <v>0</v>
      </c>
      <c r="K929" s="898">
        <v>215000</v>
      </c>
    </row>
    <row r="930" spans="4:11" ht="22.8" hidden="1" customHeight="1">
      <c r="D930" s="913">
        <v>740</v>
      </c>
      <c r="E930" s="895"/>
      <c r="F930" s="896" t="s">
        <v>8723</v>
      </c>
      <c r="G930" s="897" t="s">
        <v>44</v>
      </c>
      <c r="H930" s="898">
        <v>65000</v>
      </c>
      <c r="I930" s="1435"/>
      <c r="J930" s="1446">
        <f t="shared" si="18"/>
        <v>0</v>
      </c>
      <c r="K930" s="898">
        <v>65000</v>
      </c>
    </row>
    <row r="931" spans="4:11" ht="22.8" hidden="1" customHeight="1">
      <c r="D931" s="913">
        <v>741</v>
      </c>
      <c r="E931" s="895"/>
      <c r="F931" s="896" t="s">
        <v>8725</v>
      </c>
      <c r="G931" s="897" t="s">
        <v>44</v>
      </c>
      <c r="H931" s="898">
        <v>138000</v>
      </c>
      <c r="I931" s="1435"/>
      <c r="J931" s="1446">
        <f t="shared" si="18"/>
        <v>0</v>
      </c>
      <c r="K931" s="898">
        <v>138000</v>
      </c>
    </row>
    <row r="932" spans="4:11" ht="22.8" hidden="1" customHeight="1">
      <c r="D932" s="913">
        <v>742</v>
      </c>
      <c r="E932" s="895"/>
      <c r="F932" s="896" t="s">
        <v>8727</v>
      </c>
      <c r="G932" s="897" t="s">
        <v>44</v>
      </c>
      <c r="H932" s="898">
        <v>215000</v>
      </c>
      <c r="I932" s="1435"/>
      <c r="J932" s="1446">
        <f t="shared" si="18"/>
        <v>0</v>
      </c>
      <c r="K932" s="898">
        <v>215000</v>
      </c>
    </row>
    <row r="933" spans="4:11" ht="22.8" hidden="1" customHeight="1">
      <c r="D933" s="913">
        <v>743</v>
      </c>
      <c r="E933" s="895"/>
      <c r="F933" s="896" t="s">
        <v>8729</v>
      </c>
      <c r="G933" s="897" t="s">
        <v>44</v>
      </c>
      <c r="H933" s="898">
        <v>285000</v>
      </c>
      <c r="I933" s="1435"/>
      <c r="J933" s="1446">
        <f t="shared" si="18"/>
        <v>0</v>
      </c>
      <c r="K933" s="898">
        <v>285000</v>
      </c>
    </row>
    <row r="934" spans="4:11" ht="22.8" hidden="1" customHeight="1">
      <c r="D934" s="913">
        <v>744</v>
      </c>
      <c r="E934" s="895"/>
      <c r="F934" s="896" t="s">
        <v>8731</v>
      </c>
      <c r="G934" s="897" t="s">
        <v>44</v>
      </c>
      <c r="H934" s="898">
        <v>350000</v>
      </c>
      <c r="I934" s="1435"/>
      <c r="J934" s="1446">
        <f t="shared" si="18"/>
        <v>0</v>
      </c>
      <c r="K934" s="898">
        <v>350000</v>
      </c>
    </row>
    <row r="935" spans="4:11" ht="22.8" hidden="1" customHeight="1">
      <c r="D935" s="913">
        <v>745</v>
      </c>
      <c r="E935" s="895"/>
      <c r="F935" s="896" t="s">
        <v>8733</v>
      </c>
      <c r="G935" s="897" t="s">
        <v>44</v>
      </c>
      <c r="H935" s="898">
        <v>435000</v>
      </c>
      <c r="I935" s="1435"/>
      <c r="J935" s="1446">
        <f t="shared" si="18"/>
        <v>0</v>
      </c>
      <c r="K935" s="898">
        <v>435000</v>
      </c>
    </row>
    <row r="936" spans="4:11" ht="22.8" hidden="1" customHeight="1">
      <c r="D936" s="913">
        <v>746</v>
      </c>
      <c r="E936" s="895"/>
      <c r="F936" s="896" t="s">
        <v>8735</v>
      </c>
      <c r="G936" s="897" t="s">
        <v>44</v>
      </c>
      <c r="H936" s="898">
        <v>510000</v>
      </c>
      <c r="I936" s="1435"/>
      <c r="J936" s="1446">
        <f t="shared" si="18"/>
        <v>0</v>
      </c>
      <c r="K936" s="898">
        <v>510000</v>
      </c>
    </row>
    <row r="937" spans="4:11" ht="22.8" hidden="1" customHeight="1">
      <c r="D937" s="913">
        <v>747</v>
      </c>
      <c r="E937" s="895"/>
      <c r="F937" s="896" t="s">
        <v>8737</v>
      </c>
      <c r="G937" s="897" t="s">
        <v>44</v>
      </c>
      <c r="H937" s="898">
        <v>599000</v>
      </c>
      <c r="I937" s="1435"/>
      <c r="J937" s="1446">
        <f t="shared" si="18"/>
        <v>0</v>
      </c>
      <c r="K937" s="898">
        <v>599000</v>
      </c>
    </row>
    <row r="938" spans="4:11" ht="22.8" hidden="1" customHeight="1">
      <c r="D938" s="913">
        <v>748</v>
      </c>
      <c r="E938" s="895"/>
      <c r="F938" s="896" t="s">
        <v>8739</v>
      </c>
      <c r="G938" s="897" t="s">
        <v>44</v>
      </c>
      <c r="H938" s="898">
        <v>670000</v>
      </c>
      <c r="I938" s="1435"/>
      <c r="J938" s="1446">
        <f t="shared" si="18"/>
        <v>0</v>
      </c>
      <c r="K938" s="898">
        <v>670000</v>
      </c>
    </row>
    <row r="939" spans="4:11" ht="22.8" hidden="1" customHeight="1">
      <c r="D939" s="913">
        <v>749</v>
      </c>
      <c r="E939" s="895"/>
      <c r="F939" s="896" t="s">
        <v>8741</v>
      </c>
      <c r="G939" s="897" t="s">
        <v>44</v>
      </c>
      <c r="H939" s="898">
        <v>750000</v>
      </c>
      <c r="I939" s="1435"/>
      <c r="J939" s="1446">
        <f t="shared" si="18"/>
        <v>0</v>
      </c>
      <c r="K939" s="898">
        <v>750000</v>
      </c>
    </row>
    <row r="940" spans="4:11" ht="22.8" hidden="1" customHeight="1">
      <c r="D940" s="913">
        <v>750</v>
      </c>
      <c r="E940" s="895"/>
      <c r="F940" s="896" t="s">
        <v>8743</v>
      </c>
      <c r="G940" s="897" t="s">
        <v>44</v>
      </c>
      <c r="H940" s="898">
        <v>830000</v>
      </c>
      <c r="I940" s="1435"/>
      <c r="J940" s="1446">
        <f t="shared" si="18"/>
        <v>0</v>
      </c>
      <c r="K940" s="898">
        <v>830000</v>
      </c>
    </row>
    <row r="941" spans="4:11" ht="22.8" hidden="1" customHeight="1">
      <c r="D941" s="913">
        <v>751</v>
      </c>
      <c r="E941" s="895"/>
      <c r="F941" s="896" t="s">
        <v>8745</v>
      </c>
      <c r="G941" s="897" t="s">
        <v>44</v>
      </c>
      <c r="H941" s="898">
        <v>950000</v>
      </c>
      <c r="I941" s="1435"/>
      <c r="J941" s="1446">
        <f t="shared" si="18"/>
        <v>0</v>
      </c>
      <c r="K941" s="898">
        <v>950000</v>
      </c>
    </row>
    <row r="942" spans="4:11" ht="22.8" hidden="1" customHeight="1">
      <c r="D942" s="913">
        <v>752</v>
      </c>
      <c r="E942" s="895"/>
      <c r="F942" s="896" t="s">
        <v>8747</v>
      </c>
      <c r="G942" s="897" t="s">
        <v>44</v>
      </c>
      <c r="H942" s="898">
        <v>20000</v>
      </c>
      <c r="I942" s="1435"/>
      <c r="J942" s="1446">
        <f t="shared" si="18"/>
        <v>0</v>
      </c>
      <c r="K942" s="898">
        <v>20000</v>
      </c>
    </row>
    <row r="943" spans="4:11" ht="22.8" hidden="1" customHeight="1">
      <c r="D943" s="913">
        <v>753</v>
      </c>
      <c r="E943" s="895"/>
      <c r="F943" s="896" t="s">
        <v>8749</v>
      </c>
      <c r="G943" s="897" t="s">
        <v>44</v>
      </c>
      <c r="H943" s="898">
        <v>27000</v>
      </c>
      <c r="I943" s="1435"/>
      <c r="J943" s="1446">
        <f t="shared" si="18"/>
        <v>0</v>
      </c>
      <c r="K943" s="898">
        <v>27000</v>
      </c>
    </row>
    <row r="944" spans="4:11" ht="22.8" hidden="1" customHeight="1">
      <c r="D944" s="913">
        <v>754</v>
      </c>
      <c r="E944" s="895"/>
      <c r="F944" s="896" t="s">
        <v>8751</v>
      </c>
      <c r="G944" s="897" t="s">
        <v>2167</v>
      </c>
      <c r="H944" s="898">
        <v>30000</v>
      </c>
      <c r="I944" s="1435"/>
      <c r="J944" s="1446">
        <f t="shared" si="18"/>
        <v>0</v>
      </c>
      <c r="K944" s="898">
        <v>30000</v>
      </c>
    </row>
    <row r="945" spans="4:11" ht="22.8" hidden="1" customHeight="1">
      <c r="D945" s="913">
        <v>755</v>
      </c>
      <c r="E945" s="895"/>
      <c r="F945" s="896" t="s">
        <v>8753</v>
      </c>
      <c r="G945" s="897" t="s">
        <v>44</v>
      </c>
      <c r="H945" s="898">
        <v>32000</v>
      </c>
      <c r="I945" s="1435"/>
      <c r="J945" s="1446">
        <f t="shared" si="18"/>
        <v>0</v>
      </c>
      <c r="K945" s="898">
        <v>32000</v>
      </c>
    </row>
    <row r="946" spans="4:11" ht="22.8" hidden="1" customHeight="1">
      <c r="D946" s="913">
        <v>756</v>
      </c>
      <c r="E946" s="895"/>
      <c r="F946" s="896" t="s">
        <v>8755</v>
      </c>
      <c r="G946" s="897" t="s">
        <v>44</v>
      </c>
      <c r="H946" s="898">
        <v>39000</v>
      </c>
      <c r="I946" s="1435"/>
      <c r="J946" s="1446">
        <f t="shared" si="18"/>
        <v>0</v>
      </c>
      <c r="K946" s="898">
        <v>39000</v>
      </c>
    </row>
    <row r="947" spans="4:11" ht="22.8" hidden="1" customHeight="1">
      <c r="D947" s="913">
        <v>757</v>
      </c>
      <c r="E947" s="895"/>
      <c r="F947" s="896" t="s">
        <v>8757</v>
      </c>
      <c r="G947" s="897" t="s">
        <v>44</v>
      </c>
      <c r="H947" s="898">
        <v>42000</v>
      </c>
      <c r="I947" s="1435"/>
      <c r="J947" s="1446">
        <f t="shared" si="18"/>
        <v>0</v>
      </c>
      <c r="K947" s="898">
        <v>42000</v>
      </c>
    </row>
    <row r="948" spans="4:11" ht="22.8" hidden="1" customHeight="1">
      <c r="D948" s="913">
        <v>758</v>
      </c>
      <c r="E948" s="895"/>
      <c r="F948" s="896" t="s">
        <v>8759</v>
      </c>
      <c r="G948" s="897" t="s">
        <v>44</v>
      </c>
      <c r="H948" s="898">
        <v>48000</v>
      </c>
      <c r="I948" s="1435"/>
      <c r="J948" s="1446">
        <f t="shared" si="18"/>
        <v>0</v>
      </c>
      <c r="K948" s="898">
        <v>48000</v>
      </c>
    </row>
    <row r="949" spans="4:11" ht="22.8" hidden="1" customHeight="1">
      <c r="D949" s="913">
        <v>759</v>
      </c>
      <c r="E949" s="895"/>
      <c r="F949" s="896" t="s">
        <v>8765</v>
      </c>
      <c r="G949" s="897" t="s">
        <v>44</v>
      </c>
      <c r="H949" s="898">
        <v>55000</v>
      </c>
      <c r="I949" s="1435"/>
      <c r="J949" s="1446">
        <f t="shared" si="18"/>
        <v>0</v>
      </c>
      <c r="K949" s="898">
        <v>55000</v>
      </c>
    </row>
    <row r="950" spans="4:11" ht="22.8" hidden="1" customHeight="1">
      <c r="D950" s="913">
        <v>760</v>
      </c>
      <c r="E950" s="895"/>
      <c r="F950" s="896" t="s">
        <v>8761</v>
      </c>
      <c r="G950" s="897" t="s">
        <v>44</v>
      </c>
      <c r="H950" s="898">
        <v>59000</v>
      </c>
      <c r="I950" s="1435"/>
      <c r="J950" s="1446">
        <f t="shared" si="18"/>
        <v>0</v>
      </c>
      <c r="K950" s="898">
        <v>59000</v>
      </c>
    </row>
    <row r="951" spans="4:11" ht="22.8" hidden="1" customHeight="1">
      <c r="D951" s="913">
        <v>761</v>
      </c>
      <c r="E951" s="895"/>
      <c r="F951" s="896" t="s">
        <v>8763</v>
      </c>
      <c r="G951" s="897" t="s">
        <v>44</v>
      </c>
      <c r="H951" s="898">
        <v>62000</v>
      </c>
      <c r="I951" s="1435"/>
      <c r="J951" s="1446">
        <f t="shared" si="18"/>
        <v>0</v>
      </c>
      <c r="K951" s="898">
        <v>62000</v>
      </c>
    </row>
    <row r="952" spans="4:11" ht="22.8" hidden="1" customHeight="1">
      <c r="D952" s="913">
        <v>762</v>
      </c>
      <c r="E952" s="895"/>
      <c r="F952" s="896" t="s">
        <v>8767</v>
      </c>
      <c r="G952" s="897" t="s">
        <v>44</v>
      </c>
      <c r="H952" s="898">
        <v>235000</v>
      </c>
      <c r="I952" s="1435"/>
      <c r="J952" s="1446">
        <f t="shared" si="18"/>
        <v>0</v>
      </c>
      <c r="K952" s="898">
        <v>235000</v>
      </c>
    </row>
    <row r="953" spans="4:11" ht="22.8" hidden="1" customHeight="1">
      <c r="D953" s="913">
        <v>763</v>
      </c>
      <c r="E953" s="895"/>
      <c r="F953" s="896" t="s">
        <v>8769</v>
      </c>
      <c r="G953" s="897" t="s">
        <v>44</v>
      </c>
      <c r="H953" s="898">
        <v>255000</v>
      </c>
      <c r="I953" s="1435"/>
      <c r="J953" s="1446">
        <f t="shared" si="18"/>
        <v>0</v>
      </c>
      <c r="K953" s="898">
        <v>255000</v>
      </c>
    </row>
    <row r="954" spans="4:11" ht="22.8" customHeight="1">
      <c r="D954" s="915" t="s">
        <v>1218</v>
      </c>
      <c r="E954" s="1795" t="s">
        <v>214</v>
      </c>
      <c r="F954" s="1796"/>
      <c r="G954" s="897"/>
      <c r="H954" s="898"/>
      <c r="I954" s="1435"/>
      <c r="J954" s="1446">
        <f t="shared" si="18"/>
        <v>0</v>
      </c>
      <c r="K954" s="898"/>
    </row>
    <row r="955" spans="4:11" ht="22.8" hidden="1" customHeight="1">
      <c r="D955" s="918">
        <v>1</v>
      </c>
      <c r="E955" s="895"/>
      <c r="F955" s="896" t="s">
        <v>215</v>
      </c>
      <c r="G955" s="897" t="s">
        <v>65</v>
      </c>
      <c r="H955" s="898">
        <v>14600</v>
      </c>
      <c r="I955" s="1435"/>
      <c r="J955" s="1446">
        <f t="shared" si="18"/>
        <v>0</v>
      </c>
      <c r="K955" s="898">
        <v>14600</v>
      </c>
    </row>
    <row r="956" spans="4:11" ht="22.8" hidden="1" customHeight="1">
      <c r="D956" s="918">
        <v>2</v>
      </c>
      <c r="E956" s="895"/>
      <c r="F956" s="896" t="s">
        <v>216</v>
      </c>
      <c r="G956" s="897" t="s">
        <v>65</v>
      </c>
      <c r="H956" s="898">
        <v>14600</v>
      </c>
      <c r="I956" s="1435"/>
      <c r="J956" s="1446">
        <f t="shared" si="18"/>
        <v>0</v>
      </c>
      <c r="K956" s="898">
        <v>14600</v>
      </c>
    </row>
    <row r="957" spans="4:11" ht="22.8" hidden="1" customHeight="1">
      <c r="D957" s="918">
        <v>3</v>
      </c>
      <c r="E957" s="895"/>
      <c r="F957" s="896" t="s">
        <v>217</v>
      </c>
      <c r="G957" s="897" t="s">
        <v>65</v>
      </c>
      <c r="H957" s="898">
        <v>80340</v>
      </c>
      <c r="I957" s="1435"/>
      <c r="J957" s="1446">
        <f t="shared" si="18"/>
        <v>0</v>
      </c>
      <c r="K957" s="898">
        <v>80340</v>
      </c>
    </row>
    <row r="958" spans="4:11" ht="22.8" hidden="1" customHeight="1">
      <c r="D958" s="918">
        <v>4</v>
      </c>
      <c r="E958" s="895"/>
      <c r="F958" s="896" t="s">
        <v>1805</v>
      </c>
      <c r="G958" s="897" t="s">
        <v>65</v>
      </c>
      <c r="H958" s="898">
        <v>14840</v>
      </c>
      <c r="I958" s="1435"/>
      <c r="J958" s="1446">
        <f t="shared" si="18"/>
        <v>0</v>
      </c>
      <c r="K958" s="898">
        <v>14840</v>
      </c>
    </row>
    <row r="959" spans="4:11" ht="22.8" hidden="1" customHeight="1">
      <c r="D959" s="918">
        <v>5</v>
      </c>
      <c r="E959" s="895"/>
      <c r="F959" s="896" t="s">
        <v>1820</v>
      </c>
      <c r="G959" s="897" t="s">
        <v>65</v>
      </c>
      <c r="H959" s="898">
        <v>14840</v>
      </c>
      <c r="I959" s="1435"/>
      <c r="J959" s="1446">
        <f t="shared" ref="J959:J1022" si="19">I959-(I959*10%)</f>
        <v>0</v>
      </c>
      <c r="K959" s="898">
        <v>14840</v>
      </c>
    </row>
    <row r="960" spans="4:11" ht="22.8" hidden="1" customHeight="1">
      <c r="D960" s="918">
        <v>6</v>
      </c>
      <c r="E960" s="895"/>
      <c r="F960" s="896" t="s">
        <v>1836</v>
      </c>
      <c r="G960" s="897" t="s">
        <v>65</v>
      </c>
      <c r="H960" s="898">
        <v>25000</v>
      </c>
      <c r="I960" s="1435"/>
      <c r="J960" s="1446">
        <f t="shared" si="19"/>
        <v>0</v>
      </c>
      <c r="K960" s="898">
        <v>25000</v>
      </c>
    </row>
    <row r="961" spans="4:11" ht="22.8" hidden="1" customHeight="1">
      <c r="D961" s="918">
        <v>7</v>
      </c>
      <c r="E961" s="895"/>
      <c r="F961" s="896" t="s">
        <v>218</v>
      </c>
      <c r="G961" s="897" t="s">
        <v>65</v>
      </c>
      <c r="H961" s="898">
        <v>35000</v>
      </c>
      <c r="I961" s="1435"/>
      <c r="J961" s="1446">
        <f t="shared" si="19"/>
        <v>0</v>
      </c>
      <c r="K961" s="898">
        <v>35000</v>
      </c>
    </row>
    <row r="962" spans="4:11" ht="22.8" hidden="1" customHeight="1">
      <c r="D962" s="918">
        <v>8</v>
      </c>
      <c r="E962" s="895"/>
      <c r="F962" s="896" t="s">
        <v>219</v>
      </c>
      <c r="G962" s="897" t="s">
        <v>65</v>
      </c>
      <c r="H962" s="898">
        <v>16660</v>
      </c>
      <c r="I962" s="1435"/>
      <c r="J962" s="1446">
        <f t="shared" si="19"/>
        <v>0</v>
      </c>
      <c r="K962" s="898">
        <v>16660</v>
      </c>
    </row>
    <row r="963" spans="4:11" ht="22.8" hidden="1" customHeight="1">
      <c r="D963" s="918">
        <v>9</v>
      </c>
      <c r="E963" s="895"/>
      <c r="F963" s="896"/>
      <c r="G963" s="897"/>
      <c r="H963" s="898"/>
      <c r="I963" s="1435"/>
      <c r="J963" s="1446">
        <f t="shared" si="19"/>
        <v>0</v>
      </c>
      <c r="K963" s="898"/>
    </row>
    <row r="964" spans="4:11" ht="22.8" hidden="1" customHeight="1">
      <c r="D964" s="918">
        <v>10</v>
      </c>
      <c r="E964" s="895"/>
      <c r="F964" s="896" t="s">
        <v>5245</v>
      </c>
      <c r="G964" s="897" t="s">
        <v>2426</v>
      </c>
      <c r="H964" s="898">
        <v>17000</v>
      </c>
      <c r="I964" s="1435"/>
      <c r="J964" s="1446">
        <f t="shared" si="19"/>
        <v>0</v>
      </c>
      <c r="K964" s="898">
        <v>17000</v>
      </c>
    </row>
    <row r="965" spans="4:11" ht="22.8" hidden="1" customHeight="1">
      <c r="D965" s="918">
        <v>11</v>
      </c>
      <c r="E965" s="895"/>
      <c r="F965" s="896" t="s">
        <v>220</v>
      </c>
      <c r="G965" s="897" t="s">
        <v>65</v>
      </c>
      <c r="H965" s="898">
        <v>13700</v>
      </c>
      <c r="I965" s="1435"/>
      <c r="J965" s="1446">
        <f t="shared" si="19"/>
        <v>0</v>
      </c>
      <c r="K965" s="898">
        <v>13700</v>
      </c>
    </row>
    <row r="966" spans="4:11" ht="22.8" hidden="1" customHeight="1">
      <c r="D966" s="918">
        <v>12</v>
      </c>
      <c r="E966" s="895"/>
      <c r="F966" s="896" t="s">
        <v>221</v>
      </c>
      <c r="G966" s="897" t="s">
        <v>65</v>
      </c>
      <c r="H966" s="898">
        <v>13800</v>
      </c>
      <c r="I966" s="1435"/>
      <c r="J966" s="1446">
        <f t="shared" si="19"/>
        <v>0</v>
      </c>
      <c r="K966" s="898">
        <v>13800</v>
      </c>
    </row>
    <row r="967" spans="4:11" ht="22.8" customHeight="1">
      <c r="D967" s="1422">
        <v>1</v>
      </c>
      <c r="E967" s="895"/>
      <c r="F967" s="896" t="s">
        <v>222</v>
      </c>
      <c r="G967" s="897" t="s">
        <v>113</v>
      </c>
      <c r="H967" s="894">
        <f t="shared" ref="H967:H1027" si="20">J967</f>
        <v>4200</v>
      </c>
      <c r="I967" s="1435">
        <f>28000/6</f>
        <v>4666.666666666667</v>
      </c>
      <c r="J967" s="1446">
        <f t="shared" si="19"/>
        <v>4200</v>
      </c>
      <c r="K967" s="898">
        <v>6250</v>
      </c>
    </row>
    <row r="968" spans="4:11" ht="22.8" hidden="1" customHeight="1">
      <c r="D968" s="918">
        <v>14</v>
      </c>
      <c r="E968" s="895"/>
      <c r="F968" s="896" t="s">
        <v>223</v>
      </c>
      <c r="G968" s="897" t="s">
        <v>113</v>
      </c>
      <c r="H968" s="894">
        <f t="shared" si="20"/>
        <v>0</v>
      </c>
      <c r="I968" s="1435"/>
      <c r="J968" s="1446">
        <f t="shared" si="19"/>
        <v>0</v>
      </c>
      <c r="K968" s="898">
        <v>10500</v>
      </c>
    </row>
    <row r="969" spans="4:11" ht="22.8" hidden="1" customHeight="1">
      <c r="D969" s="918">
        <v>15</v>
      </c>
      <c r="E969" s="895"/>
      <c r="F969" s="896" t="s">
        <v>224</v>
      </c>
      <c r="G969" s="897" t="s">
        <v>65</v>
      </c>
      <c r="H969" s="894">
        <f t="shared" si="20"/>
        <v>0</v>
      </c>
      <c r="I969" s="1435"/>
      <c r="J969" s="1446">
        <f t="shared" si="19"/>
        <v>0</v>
      </c>
      <c r="K969" s="898">
        <v>25000</v>
      </c>
    </row>
    <row r="970" spans="4:11" ht="22.8" hidden="1" customHeight="1">
      <c r="D970" s="918">
        <v>16</v>
      </c>
      <c r="E970" s="895"/>
      <c r="F970" s="896" t="s">
        <v>225</v>
      </c>
      <c r="G970" s="897" t="s">
        <v>65</v>
      </c>
      <c r="H970" s="894">
        <f t="shared" si="20"/>
        <v>0</v>
      </c>
      <c r="I970" s="1435"/>
      <c r="J970" s="1446">
        <f t="shared" si="19"/>
        <v>0</v>
      </c>
      <c r="K970" s="898">
        <v>14840</v>
      </c>
    </row>
    <row r="971" spans="4:11" ht="22.8" hidden="1" customHeight="1">
      <c r="D971" s="918">
        <v>17</v>
      </c>
      <c r="E971" s="895"/>
      <c r="F971" s="896" t="s">
        <v>226</v>
      </c>
      <c r="G971" s="897" t="s">
        <v>65</v>
      </c>
      <c r="H971" s="894">
        <f t="shared" si="20"/>
        <v>0</v>
      </c>
      <c r="I971" s="1435"/>
      <c r="J971" s="1446">
        <f t="shared" si="19"/>
        <v>0</v>
      </c>
      <c r="K971" s="898">
        <v>14700</v>
      </c>
    </row>
    <row r="972" spans="4:11" ht="22.8" hidden="1" customHeight="1">
      <c r="D972" s="918">
        <v>18</v>
      </c>
      <c r="E972" s="895"/>
      <c r="F972" s="896" t="s">
        <v>227</v>
      </c>
      <c r="G972" s="897" t="s">
        <v>65</v>
      </c>
      <c r="H972" s="894">
        <f t="shared" si="20"/>
        <v>0</v>
      </c>
      <c r="I972" s="1435"/>
      <c r="J972" s="1446">
        <f t="shared" si="19"/>
        <v>0</v>
      </c>
      <c r="K972" s="898">
        <v>13000</v>
      </c>
    </row>
    <row r="973" spans="4:11" ht="22.8" hidden="1" customHeight="1">
      <c r="D973" s="918">
        <v>19</v>
      </c>
      <c r="E973" s="895"/>
      <c r="F973" s="896" t="s">
        <v>228</v>
      </c>
      <c r="G973" s="897" t="s">
        <v>65</v>
      </c>
      <c r="H973" s="894">
        <f t="shared" si="20"/>
        <v>0</v>
      </c>
      <c r="I973" s="1435"/>
      <c r="J973" s="1446">
        <f t="shared" si="19"/>
        <v>0</v>
      </c>
      <c r="K973" s="898">
        <v>15667</v>
      </c>
    </row>
    <row r="974" spans="4:11" ht="22.8" hidden="1" customHeight="1">
      <c r="D974" s="918">
        <v>20</v>
      </c>
      <c r="E974" s="895"/>
      <c r="F974" s="896" t="s">
        <v>5247</v>
      </c>
      <c r="G974" s="897" t="s">
        <v>65</v>
      </c>
      <c r="H974" s="894">
        <f t="shared" si="20"/>
        <v>0</v>
      </c>
      <c r="I974" s="1435"/>
      <c r="J974" s="1446">
        <f t="shared" si="19"/>
        <v>0</v>
      </c>
      <c r="K974" s="898">
        <v>15500</v>
      </c>
    </row>
    <row r="975" spans="4:11" ht="22.8" hidden="1" customHeight="1">
      <c r="D975" s="918">
        <v>21</v>
      </c>
      <c r="E975" s="895"/>
      <c r="F975" s="896" t="s">
        <v>4662</v>
      </c>
      <c r="G975" s="897" t="s">
        <v>113</v>
      </c>
      <c r="H975" s="894">
        <f t="shared" si="20"/>
        <v>0</v>
      </c>
      <c r="I975" s="1435"/>
      <c r="J975" s="1446">
        <f t="shared" si="19"/>
        <v>0</v>
      </c>
      <c r="K975" s="898">
        <v>20825</v>
      </c>
    </row>
    <row r="976" spans="4:11" ht="22.8" hidden="1" customHeight="1">
      <c r="D976" s="918">
        <v>22</v>
      </c>
      <c r="E976" s="895"/>
      <c r="F976" s="896" t="s">
        <v>6563</v>
      </c>
      <c r="G976" s="897" t="s">
        <v>1300</v>
      </c>
      <c r="H976" s="894">
        <f t="shared" si="20"/>
        <v>0</v>
      </c>
      <c r="I976" s="1435"/>
      <c r="J976" s="1446">
        <f t="shared" si="19"/>
        <v>0</v>
      </c>
      <c r="K976" s="898">
        <v>19500</v>
      </c>
    </row>
    <row r="977" spans="4:11" ht="22.8" hidden="1" customHeight="1">
      <c r="D977" s="918">
        <v>23</v>
      </c>
      <c r="E977" s="895"/>
      <c r="F977" s="896" t="s">
        <v>1839</v>
      </c>
      <c r="G977" s="897" t="s">
        <v>65</v>
      </c>
      <c r="H977" s="894">
        <f t="shared" si="20"/>
        <v>0</v>
      </c>
      <c r="I977" s="1435"/>
      <c r="J977" s="1446">
        <f t="shared" si="19"/>
        <v>0</v>
      </c>
      <c r="K977" s="898">
        <v>7500</v>
      </c>
    </row>
    <row r="978" spans="4:11" ht="22.8" hidden="1" customHeight="1">
      <c r="D978" s="918">
        <v>24</v>
      </c>
      <c r="E978" s="895"/>
      <c r="F978" s="896" t="s">
        <v>6557</v>
      </c>
      <c r="G978" s="897" t="s">
        <v>6558</v>
      </c>
      <c r="H978" s="894">
        <f t="shared" si="20"/>
        <v>0</v>
      </c>
      <c r="I978" s="1435"/>
      <c r="J978" s="1446">
        <f t="shared" si="19"/>
        <v>0</v>
      </c>
      <c r="K978" s="898">
        <v>150000</v>
      </c>
    </row>
    <row r="979" spans="4:11" ht="22.8" hidden="1" customHeight="1">
      <c r="D979" s="918">
        <v>25</v>
      </c>
      <c r="E979" s="895"/>
      <c r="F979" s="896" t="s">
        <v>5202</v>
      </c>
      <c r="G979" s="897" t="s">
        <v>44</v>
      </c>
      <c r="H979" s="894">
        <f t="shared" si="20"/>
        <v>0</v>
      </c>
      <c r="I979" s="1435"/>
      <c r="J979" s="1446">
        <f t="shared" si="19"/>
        <v>0</v>
      </c>
      <c r="K979" s="898">
        <v>21000</v>
      </c>
    </row>
    <row r="980" spans="4:11" ht="22.8" hidden="1" customHeight="1">
      <c r="D980" s="918">
        <v>26</v>
      </c>
      <c r="E980" s="895"/>
      <c r="F980" s="896" t="s">
        <v>5203</v>
      </c>
      <c r="G980" s="897" t="s">
        <v>44</v>
      </c>
      <c r="H980" s="894">
        <f t="shared" si="20"/>
        <v>0</v>
      </c>
      <c r="I980" s="1435"/>
      <c r="J980" s="1446">
        <f t="shared" si="19"/>
        <v>0</v>
      </c>
      <c r="K980" s="898">
        <v>29000</v>
      </c>
    </row>
    <row r="981" spans="4:11" ht="22.8" hidden="1" customHeight="1">
      <c r="D981" s="918">
        <v>27</v>
      </c>
      <c r="E981" s="895"/>
      <c r="F981" s="896" t="s">
        <v>5204</v>
      </c>
      <c r="G981" s="897" t="s">
        <v>2167</v>
      </c>
      <c r="H981" s="894">
        <f t="shared" si="20"/>
        <v>0</v>
      </c>
      <c r="I981" s="1435"/>
      <c r="J981" s="1446">
        <f t="shared" si="19"/>
        <v>0</v>
      </c>
      <c r="K981" s="898">
        <v>39000</v>
      </c>
    </row>
    <row r="982" spans="4:11" ht="22.8" hidden="1" customHeight="1">
      <c r="D982" s="918">
        <v>28</v>
      </c>
      <c r="E982" s="895"/>
      <c r="F982" s="896" t="s">
        <v>5205</v>
      </c>
      <c r="G982" s="897" t="s">
        <v>44</v>
      </c>
      <c r="H982" s="894">
        <f t="shared" si="20"/>
        <v>0</v>
      </c>
      <c r="I982" s="1435"/>
      <c r="J982" s="1446">
        <f t="shared" si="19"/>
        <v>0</v>
      </c>
      <c r="K982" s="898">
        <v>58000</v>
      </c>
    </row>
    <row r="983" spans="4:11" ht="22.8" hidden="1" customHeight="1">
      <c r="D983" s="918">
        <v>29</v>
      </c>
      <c r="E983" s="895"/>
      <c r="F983" s="896" t="s">
        <v>5540</v>
      </c>
      <c r="G983" s="897" t="s">
        <v>44</v>
      </c>
      <c r="H983" s="894">
        <f t="shared" si="20"/>
        <v>0</v>
      </c>
      <c r="I983" s="1435"/>
      <c r="J983" s="1446">
        <f t="shared" si="19"/>
        <v>0</v>
      </c>
      <c r="K983" s="898">
        <v>9200</v>
      </c>
    </row>
    <row r="984" spans="4:11" ht="22.8" hidden="1" customHeight="1">
      <c r="D984" s="918">
        <v>30</v>
      </c>
      <c r="E984" s="895"/>
      <c r="F984" s="896" t="s">
        <v>5208</v>
      </c>
      <c r="G984" s="897" t="s">
        <v>44</v>
      </c>
      <c r="H984" s="894">
        <f t="shared" si="20"/>
        <v>0</v>
      </c>
      <c r="I984" s="1435"/>
      <c r="J984" s="1446">
        <f t="shared" si="19"/>
        <v>0</v>
      </c>
      <c r="K984" s="898">
        <v>18000</v>
      </c>
    </row>
    <row r="985" spans="4:11" ht="22.8" hidden="1" customHeight="1">
      <c r="D985" s="918">
        <v>31</v>
      </c>
      <c r="E985" s="895"/>
      <c r="F985" s="896" t="s">
        <v>229</v>
      </c>
      <c r="G985" s="897" t="s">
        <v>113</v>
      </c>
      <c r="H985" s="894">
        <f t="shared" si="20"/>
        <v>0</v>
      </c>
      <c r="I985" s="1435"/>
      <c r="J985" s="1446">
        <f t="shared" si="19"/>
        <v>0</v>
      </c>
      <c r="K985" s="898">
        <v>5000</v>
      </c>
    </row>
    <row r="986" spans="4:11" ht="22.8" hidden="1" customHeight="1">
      <c r="D986" s="918">
        <v>32</v>
      </c>
      <c r="E986" s="895"/>
      <c r="F986" s="896" t="s">
        <v>229</v>
      </c>
      <c r="G986" s="897" t="s">
        <v>65</v>
      </c>
      <c r="H986" s="894">
        <f t="shared" si="20"/>
        <v>0</v>
      </c>
      <c r="I986" s="1435"/>
      <c r="J986" s="1446">
        <f t="shared" si="19"/>
        <v>0</v>
      </c>
      <c r="K986" s="898">
        <v>15000</v>
      </c>
    </row>
    <row r="987" spans="4:11" ht="22.8" hidden="1" customHeight="1">
      <c r="D987" s="918">
        <v>33</v>
      </c>
      <c r="E987" s="895"/>
      <c r="F987" s="896" t="s">
        <v>230</v>
      </c>
      <c r="G987" s="897" t="s">
        <v>65</v>
      </c>
      <c r="H987" s="894">
        <f t="shared" si="20"/>
        <v>0</v>
      </c>
      <c r="I987" s="1435"/>
      <c r="J987" s="1446">
        <f t="shared" si="19"/>
        <v>0</v>
      </c>
      <c r="K987" s="898">
        <v>17250</v>
      </c>
    </row>
    <row r="988" spans="4:11" ht="22.8" hidden="1" customHeight="1">
      <c r="D988" s="918">
        <v>34</v>
      </c>
      <c r="E988" s="895"/>
      <c r="F988" s="896" t="s">
        <v>4661</v>
      </c>
      <c r="G988" s="897" t="s">
        <v>113</v>
      </c>
      <c r="H988" s="894">
        <f t="shared" si="20"/>
        <v>0</v>
      </c>
      <c r="I988" s="1435"/>
      <c r="J988" s="1446">
        <f t="shared" si="19"/>
        <v>0</v>
      </c>
      <c r="K988" s="898">
        <v>9900</v>
      </c>
    </row>
    <row r="989" spans="4:11" ht="22.8" hidden="1" customHeight="1">
      <c r="D989" s="918">
        <v>35</v>
      </c>
      <c r="E989" s="895"/>
      <c r="F989" s="896" t="s">
        <v>231</v>
      </c>
      <c r="G989" s="897" t="s">
        <v>65</v>
      </c>
      <c r="H989" s="894">
        <f t="shared" si="20"/>
        <v>0</v>
      </c>
      <c r="I989" s="1435"/>
      <c r="J989" s="1446">
        <f t="shared" si="19"/>
        <v>0</v>
      </c>
      <c r="K989" s="898">
        <v>7500</v>
      </c>
    </row>
    <row r="990" spans="4:11" ht="22.8" customHeight="1">
      <c r="D990" s="1429">
        <v>36</v>
      </c>
      <c r="E990" s="895"/>
      <c r="F990" s="896" t="s">
        <v>232</v>
      </c>
      <c r="G990" s="897" t="s">
        <v>65</v>
      </c>
      <c r="H990" s="894">
        <f t="shared" si="20"/>
        <v>13050</v>
      </c>
      <c r="I990" s="1435">
        <v>14500</v>
      </c>
      <c r="J990" s="1446">
        <f t="shared" si="19"/>
        <v>13050</v>
      </c>
      <c r="K990" s="898">
        <v>14250</v>
      </c>
    </row>
    <row r="991" spans="4:11" ht="22.8" customHeight="1">
      <c r="D991" s="1429">
        <v>36</v>
      </c>
      <c r="E991" s="895"/>
      <c r="F991" s="896" t="s">
        <v>6476</v>
      </c>
      <c r="G991" s="897" t="s">
        <v>2426</v>
      </c>
      <c r="H991" s="894">
        <f t="shared" si="20"/>
        <v>13050</v>
      </c>
      <c r="I991" s="1435">
        <v>14500</v>
      </c>
      <c r="J991" s="1446">
        <f t="shared" si="19"/>
        <v>13050</v>
      </c>
      <c r="K991" s="898">
        <v>14250</v>
      </c>
    </row>
    <row r="992" spans="4:11" ht="22.8" hidden="1" customHeight="1">
      <c r="D992" s="918">
        <v>38</v>
      </c>
      <c r="E992" s="895"/>
      <c r="F992" s="896" t="s">
        <v>6475</v>
      </c>
      <c r="G992" s="897" t="s">
        <v>2426</v>
      </c>
      <c r="H992" s="894">
        <f t="shared" si="20"/>
        <v>0</v>
      </c>
      <c r="I992" s="1435"/>
      <c r="J992" s="1446">
        <f t="shared" si="19"/>
        <v>0</v>
      </c>
      <c r="K992" s="898">
        <v>16000</v>
      </c>
    </row>
    <row r="993" spans="4:11" ht="22.8" hidden="1" customHeight="1">
      <c r="D993" s="918">
        <v>39</v>
      </c>
      <c r="E993" s="895"/>
      <c r="F993" s="896" t="s">
        <v>233</v>
      </c>
      <c r="G993" s="897" t="s">
        <v>65</v>
      </c>
      <c r="H993" s="894">
        <f t="shared" si="20"/>
        <v>0</v>
      </c>
      <c r="I993" s="1435"/>
      <c r="J993" s="1446">
        <f t="shared" si="19"/>
        <v>0</v>
      </c>
      <c r="K993" s="898">
        <v>14500</v>
      </c>
    </row>
    <row r="994" spans="4:11" ht="22.8" hidden="1" customHeight="1">
      <c r="D994" s="918">
        <v>40</v>
      </c>
      <c r="E994" s="895"/>
      <c r="F994" s="896" t="s">
        <v>6478</v>
      </c>
      <c r="G994" s="897" t="s">
        <v>2426</v>
      </c>
      <c r="H994" s="894">
        <f t="shared" si="20"/>
        <v>0</v>
      </c>
      <c r="I994" s="1435"/>
      <c r="J994" s="1446">
        <f t="shared" si="19"/>
        <v>0</v>
      </c>
      <c r="K994" s="898">
        <v>14500</v>
      </c>
    </row>
    <row r="995" spans="4:11" ht="22.8" hidden="1" customHeight="1">
      <c r="D995" s="918">
        <v>41</v>
      </c>
      <c r="E995" s="895"/>
      <c r="F995" s="896" t="s">
        <v>6477</v>
      </c>
      <c r="G995" s="897" t="s">
        <v>2426</v>
      </c>
      <c r="H995" s="894">
        <f t="shared" si="20"/>
        <v>0</v>
      </c>
      <c r="I995" s="1435"/>
      <c r="J995" s="1446">
        <f t="shared" si="19"/>
        <v>0</v>
      </c>
      <c r="K995" s="898">
        <v>16500</v>
      </c>
    </row>
    <row r="996" spans="4:11" ht="22.8" hidden="1" customHeight="1">
      <c r="D996" s="918">
        <v>42</v>
      </c>
      <c r="E996" s="895"/>
      <c r="F996" s="896" t="s">
        <v>234</v>
      </c>
      <c r="G996" s="897" t="s">
        <v>235</v>
      </c>
      <c r="H996" s="894">
        <f t="shared" si="20"/>
        <v>0</v>
      </c>
      <c r="I996" s="1435"/>
      <c r="J996" s="1446">
        <f t="shared" si="19"/>
        <v>0</v>
      </c>
      <c r="K996" s="898">
        <v>460000</v>
      </c>
    </row>
    <row r="997" spans="4:11" ht="22.8" hidden="1" customHeight="1">
      <c r="D997" s="918">
        <v>43</v>
      </c>
      <c r="E997" s="895"/>
      <c r="F997" s="896" t="s">
        <v>236</v>
      </c>
      <c r="G997" s="897" t="s">
        <v>235</v>
      </c>
      <c r="H997" s="894">
        <f t="shared" si="20"/>
        <v>0</v>
      </c>
      <c r="I997" s="1435"/>
      <c r="J997" s="1446">
        <f t="shared" si="19"/>
        <v>0</v>
      </c>
      <c r="K997" s="898">
        <v>891000</v>
      </c>
    </row>
    <row r="998" spans="4:11" ht="22.8" hidden="1" customHeight="1">
      <c r="D998" s="918">
        <v>44</v>
      </c>
      <c r="E998" s="895"/>
      <c r="F998" s="896" t="s">
        <v>237</v>
      </c>
      <c r="G998" s="897" t="s">
        <v>235</v>
      </c>
      <c r="H998" s="894">
        <f t="shared" si="20"/>
        <v>0</v>
      </c>
      <c r="I998" s="1435"/>
      <c r="J998" s="1446">
        <f t="shared" si="19"/>
        <v>0</v>
      </c>
      <c r="K998" s="898">
        <v>656000</v>
      </c>
    </row>
    <row r="999" spans="4:11" ht="22.8" hidden="1" customHeight="1">
      <c r="D999" s="918">
        <v>45</v>
      </c>
      <c r="E999" s="895"/>
      <c r="F999" s="896" t="s">
        <v>238</v>
      </c>
      <c r="G999" s="897" t="s">
        <v>235</v>
      </c>
      <c r="H999" s="894">
        <f t="shared" si="20"/>
        <v>0</v>
      </c>
      <c r="I999" s="1435"/>
      <c r="J999" s="1446">
        <f t="shared" si="19"/>
        <v>0</v>
      </c>
      <c r="K999" s="898">
        <v>805000</v>
      </c>
    </row>
    <row r="1000" spans="4:11" ht="22.8" hidden="1" customHeight="1">
      <c r="D1000" s="918">
        <v>46</v>
      </c>
      <c r="E1000" s="895"/>
      <c r="F1000" s="896" t="s">
        <v>239</v>
      </c>
      <c r="G1000" s="897" t="s">
        <v>44</v>
      </c>
      <c r="H1000" s="894">
        <f t="shared" si="20"/>
        <v>0</v>
      </c>
      <c r="I1000" s="1435"/>
      <c r="J1000" s="1446">
        <f t="shared" si="19"/>
        <v>0</v>
      </c>
      <c r="K1000" s="898">
        <v>4550</v>
      </c>
    </row>
    <row r="1001" spans="4:11" ht="22.8" hidden="1" customHeight="1">
      <c r="D1001" s="918">
        <v>47</v>
      </c>
      <c r="E1001" s="895"/>
      <c r="F1001" s="896" t="s">
        <v>3132</v>
      </c>
      <c r="G1001" s="897" t="s">
        <v>2167</v>
      </c>
      <c r="H1001" s="894">
        <f t="shared" si="20"/>
        <v>0</v>
      </c>
      <c r="I1001" s="1435"/>
      <c r="J1001" s="1446">
        <f t="shared" si="19"/>
        <v>0</v>
      </c>
      <c r="K1001" s="898">
        <v>30500</v>
      </c>
    </row>
    <row r="1002" spans="4:11" ht="22.8" hidden="1" customHeight="1">
      <c r="D1002" s="918">
        <v>48</v>
      </c>
      <c r="E1002" s="895"/>
      <c r="F1002" s="896" t="s">
        <v>240</v>
      </c>
      <c r="G1002" s="897" t="s">
        <v>65</v>
      </c>
      <c r="H1002" s="894">
        <f t="shared" si="20"/>
        <v>0</v>
      </c>
      <c r="I1002" s="1435"/>
      <c r="J1002" s="1446">
        <f t="shared" si="19"/>
        <v>0</v>
      </c>
      <c r="K1002" s="898">
        <v>15150</v>
      </c>
    </row>
    <row r="1003" spans="4:11" ht="22.8" hidden="1" customHeight="1">
      <c r="D1003" s="918">
        <v>49</v>
      </c>
      <c r="E1003" s="895"/>
      <c r="F1003" s="896" t="s">
        <v>241</v>
      </c>
      <c r="G1003" s="897" t="s">
        <v>65</v>
      </c>
      <c r="H1003" s="894">
        <f t="shared" si="20"/>
        <v>0</v>
      </c>
      <c r="I1003" s="1435"/>
      <c r="J1003" s="1446">
        <f t="shared" si="19"/>
        <v>0</v>
      </c>
      <c r="K1003" s="898">
        <v>15680</v>
      </c>
    </row>
    <row r="1004" spans="4:11" ht="22.8" hidden="1" customHeight="1">
      <c r="D1004" s="918">
        <v>50</v>
      </c>
      <c r="E1004" s="895"/>
      <c r="F1004" s="896" t="s">
        <v>242</v>
      </c>
      <c r="G1004" s="897" t="s">
        <v>243</v>
      </c>
      <c r="H1004" s="894">
        <f t="shared" si="20"/>
        <v>0</v>
      </c>
      <c r="I1004" s="1435"/>
      <c r="J1004" s="1446">
        <f t="shared" si="19"/>
        <v>0</v>
      </c>
      <c r="K1004" s="898">
        <v>116750</v>
      </c>
    </row>
    <row r="1005" spans="4:11" ht="22.8" hidden="1" customHeight="1">
      <c r="D1005" s="918">
        <v>51</v>
      </c>
      <c r="E1005" s="895"/>
      <c r="F1005" s="896" t="s">
        <v>244</v>
      </c>
      <c r="G1005" s="897" t="s">
        <v>65</v>
      </c>
      <c r="H1005" s="894">
        <f t="shared" si="20"/>
        <v>0</v>
      </c>
      <c r="I1005" s="1435"/>
      <c r="J1005" s="1446">
        <f t="shared" si="19"/>
        <v>0</v>
      </c>
      <c r="K1005" s="898">
        <v>26020</v>
      </c>
    </row>
    <row r="1006" spans="4:11" ht="22.8" hidden="1" customHeight="1">
      <c r="D1006" s="918">
        <v>52</v>
      </c>
      <c r="E1006" s="895"/>
      <c r="F1006" s="896" t="s">
        <v>245</v>
      </c>
      <c r="G1006" s="897" t="s">
        <v>65</v>
      </c>
      <c r="H1006" s="894">
        <f t="shared" si="20"/>
        <v>0</v>
      </c>
      <c r="I1006" s="1435"/>
      <c r="J1006" s="1446">
        <f t="shared" si="19"/>
        <v>0</v>
      </c>
      <c r="K1006" s="898">
        <v>25400</v>
      </c>
    </row>
    <row r="1007" spans="4:11" ht="22.8" hidden="1" customHeight="1">
      <c r="D1007" s="918">
        <v>53</v>
      </c>
      <c r="E1007" s="895"/>
      <c r="F1007" s="896" t="s">
        <v>246</v>
      </c>
      <c r="G1007" s="897" t="s">
        <v>65</v>
      </c>
      <c r="H1007" s="894">
        <f t="shared" si="20"/>
        <v>0</v>
      </c>
      <c r="I1007" s="1435"/>
      <c r="J1007" s="1446">
        <f t="shared" si="19"/>
        <v>0</v>
      </c>
      <c r="K1007" s="898">
        <v>22800</v>
      </c>
    </row>
    <row r="1008" spans="4:11" ht="22.8" hidden="1" customHeight="1">
      <c r="D1008" s="918">
        <v>54</v>
      </c>
      <c r="E1008" s="895"/>
      <c r="F1008" s="896" t="s">
        <v>247</v>
      </c>
      <c r="G1008" s="897" t="s">
        <v>62</v>
      </c>
      <c r="H1008" s="894">
        <f t="shared" si="20"/>
        <v>0</v>
      </c>
      <c r="I1008" s="1435"/>
      <c r="J1008" s="1446">
        <f t="shared" si="19"/>
        <v>0</v>
      </c>
      <c r="K1008" s="898">
        <v>28450</v>
      </c>
    </row>
    <row r="1009" spans="4:11" ht="22.8" hidden="1" customHeight="1">
      <c r="D1009" s="918">
        <v>55</v>
      </c>
      <c r="E1009" s="895"/>
      <c r="F1009" s="896" t="s">
        <v>248</v>
      </c>
      <c r="G1009" s="897" t="s">
        <v>62</v>
      </c>
      <c r="H1009" s="894">
        <f t="shared" si="20"/>
        <v>0</v>
      </c>
      <c r="I1009" s="1435"/>
      <c r="J1009" s="1446">
        <f t="shared" si="19"/>
        <v>0</v>
      </c>
      <c r="K1009" s="898">
        <v>28470</v>
      </c>
    </row>
    <row r="1010" spans="4:11" ht="22.8" hidden="1" customHeight="1">
      <c r="D1010" s="918">
        <v>56</v>
      </c>
      <c r="E1010" s="895"/>
      <c r="F1010" s="896" t="s">
        <v>249</v>
      </c>
      <c r="G1010" s="897" t="s">
        <v>62</v>
      </c>
      <c r="H1010" s="894">
        <f t="shared" si="20"/>
        <v>0</v>
      </c>
      <c r="I1010" s="1435"/>
      <c r="J1010" s="1446">
        <f t="shared" si="19"/>
        <v>0</v>
      </c>
      <c r="K1010" s="898">
        <v>27900</v>
      </c>
    </row>
    <row r="1011" spans="4:11" ht="22.8" hidden="1" customHeight="1">
      <c r="D1011" s="918">
        <v>57</v>
      </c>
      <c r="E1011" s="895"/>
      <c r="F1011" s="896" t="s">
        <v>250</v>
      </c>
      <c r="G1011" s="897" t="s">
        <v>62</v>
      </c>
      <c r="H1011" s="894">
        <f t="shared" si="20"/>
        <v>0</v>
      </c>
      <c r="I1011" s="1435"/>
      <c r="J1011" s="1446">
        <f t="shared" si="19"/>
        <v>0</v>
      </c>
      <c r="K1011" s="898">
        <v>26900</v>
      </c>
    </row>
    <row r="1012" spans="4:11" ht="22.8" customHeight="1">
      <c r="D1012" s="1429">
        <v>58</v>
      </c>
      <c r="E1012" s="895"/>
      <c r="F1012" s="896" t="s">
        <v>251</v>
      </c>
      <c r="G1012" s="897" t="s">
        <v>65</v>
      </c>
      <c r="H1012" s="894">
        <f t="shared" si="20"/>
        <v>27720</v>
      </c>
      <c r="I1012" s="1435">
        <v>30800</v>
      </c>
      <c r="J1012" s="1446">
        <f t="shared" si="19"/>
        <v>27720</v>
      </c>
      <c r="K1012" s="898">
        <v>18800</v>
      </c>
    </row>
    <row r="1013" spans="4:11" ht="22.8" hidden="1" customHeight="1">
      <c r="D1013" s="918">
        <v>59</v>
      </c>
      <c r="E1013" s="895"/>
      <c r="F1013" s="896" t="s">
        <v>5260</v>
      </c>
      <c r="G1013" s="897" t="s">
        <v>2426</v>
      </c>
      <c r="H1013" s="894">
        <f t="shared" si="20"/>
        <v>0</v>
      </c>
      <c r="I1013" s="1435"/>
      <c r="J1013" s="1446">
        <f t="shared" si="19"/>
        <v>0</v>
      </c>
      <c r="K1013" s="898">
        <v>18800</v>
      </c>
    </row>
    <row r="1014" spans="4:11" ht="22.8" hidden="1" customHeight="1">
      <c r="D1014" s="918">
        <v>60</v>
      </c>
      <c r="E1014" s="895"/>
      <c r="F1014" s="896" t="s">
        <v>252</v>
      </c>
      <c r="G1014" s="897" t="s">
        <v>113</v>
      </c>
      <c r="H1014" s="894">
        <f t="shared" si="20"/>
        <v>0</v>
      </c>
      <c r="I1014" s="1435"/>
      <c r="J1014" s="1446">
        <f t="shared" si="19"/>
        <v>0</v>
      </c>
      <c r="K1014" s="898">
        <v>1750</v>
      </c>
    </row>
    <row r="1015" spans="4:11" ht="22.8" hidden="1" customHeight="1">
      <c r="D1015" s="918">
        <v>61</v>
      </c>
      <c r="E1015" s="895"/>
      <c r="F1015" s="896" t="s">
        <v>1806</v>
      </c>
      <c r="G1015" s="897" t="s">
        <v>65</v>
      </c>
      <c r="H1015" s="894">
        <f t="shared" si="20"/>
        <v>0</v>
      </c>
      <c r="I1015" s="1435"/>
      <c r="J1015" s="1446">
        <f t="shared" si="19"/>
        <v>0</v>
      </c>
      <c r="K1015" s="898">
        <v>18800</v>
      </c>
    </row>
    <row r="1016" spans="4:11" ht="22.8" hidden="1" customHeight="1">
      <c r="D1016" s="918">
        <v>62</v>
      </c>
      <c r="E1016" s="895"/>
      <c r="F1016" s="896" t="s">
        <v>253</v>
      </c>
      <c r="G1016" s="897" t="s">
        <v>62</v>
      </c>
      <c r="H1016" s="894">
        <f t="shared" si="20"/>
        <v>0</v>
      </c>
      <c r="I1016" s="1435"/>
      <c r="J1016" s="1446">
        <f t="shared" si="19"/>
        <v>0</v>
      </c>
      <c r="K1016" s="898">
        <v>34620</v>
      </c>
    </row>
    <row r="1017" spans="4:11" ht="22.8" hidden="1" customHeight="1">
      <c r="D1017" s="918">
        <v>63</v>
      </c>
      <c r="E1017" s="895"/>
      <c r="F1017" s="896" t="s">
        <v>1193</v>
      </c>
      <c r="G1017" s="897" t="s">
        <v>129</v>
      </c>
      <c r="H1017" s="894" t="e">
        <f t="shared" si="20"/>
        <v>#VALUE!</v>
      </c>
      <c r="I1017" s="1435" t="s">
        <v>1259</v>
      </c>
      <c r="J1017" s="1446" t="e">
        <f t="shared" si="19"/>
        <v>#VALUE!</v>
      </c>
      <c r="K1017" s="898">
        <v>300000</v>
      </c>
    </row>
    <row r="1018" spans="4:11" ht="22.8" customHeight="1">
      <c r="D1018" s="1422">
        <v>1</v>
      </c>
      <c r="E1018" s="895"/>
      <c r="F1018" s="896" t="s">
        <v>254</v>
      </c>
      <c r="G1018" s="897" t="s">
        <v>65</v>
      </c>
      <c r="H1018" s="894">
        <f t="shared" si="20"/>
        <v>66600</v>
      </c>
      <c r="I1018" s="1435">
        <v>74000</v>
      </c>
      <c r="J1018" s="1446">
        <f t="shared" si="19"/>
        <v>66600</v>
      </c>
      <c r="K1018" s="898">
        <v>45550</v>
      </c>
    </row>
    <row r="1019" spans="4:11" ht="22.8" hidden="1" customHeight="1">
      <c r="D1019" s="918">
        <v>65</v>
      </c>
      <c r="E1019" s="895"/>
      <c r="F1019" s="896" t="s">
        <v>255</v>
      </c>
      <c r="G1019" s="897" t="s">
        <v>42</v>
      </c>
      <c r="H1019" s="894">
        <f t="shared" si="20"/>
        <v>0</v>
      </c>
      <c r="I1019" s="1435"/>
      <c r="J1019" s="1446">
        <f t="shared" si="19"/>
        <v>0</v>
      </c>
      <c r="K1019" s="898">
        <v>20190</v>
      </c>
    </row>
    <row r="1020" spans="4:11" ht="22.8" hidden="1" customHeight="1">
      <c r="D1020" s="918">
        <v>66</v>
      </c>
      <c r="E1020" s="895"/>
      <c r="F1020" s="896" t="s">
        <v>256</v>
      </c>
      <c r="G1020" s="897" t="s">
        <v>62</v>
      </c>
      <c r="H1020" s="894">
        <f t="shared" si="20"/>
        <v>0</v>
      </c>
      <c r="I1020" s="1435"/>
      <c r="J1020" s="1446">
        <f t="shared" si="19"/>
        <v>0</v>
      </c>
      <c r="K1020" s="898">
        <v>18000</v>
      </c>
    </row>
    <row r="1021" spans="4:11" ht="22.8" hidden="1" customHeight="1">
      <c r="D1021" s="918">
        <v>67</v>
      </c>
      <c r="E1021" s="895"/>
      <c r="F1021" s="896" t="s">
        <v>257</v>
      </c>
      <c r="G1021" s="897" t="s">
        <v>65</v>
      </c>
      <c r="H1021" s="894">
        <f t="shared" si="20"/>
        <v>0</v>
      </c>
      <c r="I1021" s="1435"/>
      <c r="J1021" s="1446">
        <f t="shared" si="19"/>
        <v>0</v>
      </c>
      <c r="K1021" s="898">
        <v>35000</v>
      </c>
    </row>
    <row r="1022" spans="4:11" ht="22.8" hidden="1" customHeight="1">
      <c r="D1022" s="918">
        <v>68</v>
      </c>
      <c r="E1022" s="895"/>
      <c r="F1022" s="896" t="s">
        <v>258</v>
      </c>
      <c r="G1022" s="897" t="s">
        <v>65</v>
      </c>
      <c r="H1022" s="894">
        <f t="shared" si="20"/>
        <v>0</v>
      </c>
      <c r="I1022" s="1435"/>
      <c r="J1022" s="1446">
        <f t="shared" si="19"/>
        <v>0</v>
      </c>
      <c r="K1022" s="898">
        <v>8400</v>
      </c>
    </row>
    <row r="1023" spans="4:11" ht="22.8" customHeight="1">
      <c r="D1023" s="1422">
        <v>1</v>
      </c>
      <c r="E1023" s="895"/>
      <c r="F1023" s="896" t="s">
        <v>1823</v>
      </c>
      <c r="G1023" s="897" t="s">
        <v>65</v>
      </c>
      <c r="H1023" s="894">
        <f t="shared" si="20"/>
        <v>33075</v>
      </c>
      <c r="I1023" s="1435">
        <v>36750</v>
      </c>
      <c r="J1023" s="1446">
        <f t="shared" ref="J1023:J1087" si="21">I1023-(I1023*10%)</f>
        <v>33075</v>
      </c>
      <c r="K1023" s="898">
        <v>20000</v>
      </c>
    </row>
    <row r="1024" spans="4:11" ht="22.8" customHeight="1">
      <c r="D1024" s="1422">
        <v>1</v>
      </c>
      <c r="E1024" s="895"/>
      <c r="F1024" s="896" t="s">
        <v>259</v>
      </c>
      <c r="G1024" s="897" t="s">
        <v>65</v>
      </c>
      <c r="H1024" s="894">
        <f t="shared" si="20"/>
        <v>33075</v>
      </c>
      <c r="I1024" s="1435">
        <f>I1023</f>
        <v>36750</v>
      </c>
      <c r="J1024" s="1446">
        <f t="shared" si="21"/>
        <v>33075</v>
      </c>
      <c r="K1024" s="898">
        <v>15000</v>
      </c>
    </row>
    <row r="1025" spans="4:11" ht="22.8" customHeight="1">
      <c r="D1025" s="1429">
        <v>36</v>
      </c>
      <c r="E1025" s="895"/>
      <c r="F1025" s="896" t="s">
        <v>260</v>
      </c>
      <c r="G1025" s="897" t="s">
        <v>44</v>
      </c>
      <c r="H1025" s="894">
        <f t="shared" si="20"/>
        <v>33901.875</v>
      </c>
      <c r="I1025" s="1435">
        <v>37668.75</v>
      </c>
      <c r="J1025" s="1446">
        <f t="shared" si="21"/>
        <v>33901.875</v>
      </c>
      <c r="K1025" s="898">
        <v>1500</v>
      </c>
    </row>
    <row r="1026" spans="4:11" ht="22.8" customHeight="1">
      <c r="D1026" s="1429">
        <v>36</v>
      </c>
      <c r="E1026" s="895"/>
      <c r="F1026" s="896" t="s">
        <v>261</v>
      </c>
      <c r="G1026" s="897" t="s">
        <v>65</v>
      </c>
      <c r="H1026" s="894">
        <f t="shared" si="20"/>
        <v>33901.875</v>
      </c>
      <c r="I1026" s="1435">
        <f>I1025</f>
        <v>37668.75</v>
      </c>
      <c r="J1026" s="1446">
        <f t="shared" si="21"/>
        <v>33901.875</v>
      </c>
      <c r="K1026" s="898">
        <v>18000</v>
      </c>
    </row>
    <row r="1027" spans="4:11" ht="22.8" customHeight="1">
      <c r="D1027" s="1429">
        <v>36</v>
      </c>
      <c r="E1027" s="895"/>
      <c r="F1027" s="896" t="s">
        <v>262</v>
      </c>
      <c r="G1027" s="897" t="s">
        <v>65</v>
      </c>
      <c r="H1027" s="894">
        <f t="shared" si="20"/>
        <v>33901.875</v>
      </c>
      <c r="I1027" s="1435">
        <f>I1026</f>
        <v>37668.75</v>
      </c>
      <c r="J1027" s="1446">
        <f t="shared" si="21"/>
        <v>33901.875</v>
      </c>
      <c r="K1027" s="898">
        <v>19000</v>
      </c>
    </row>
    <row r="1028" spans="4:11" ht="22.8" hidden="1" customHeight="1">
      <c r="D1028" s="918">
        <v>74</v>
      </c>
      <c r="E1028" s="895"/>
      <c r="F1028" s="896" t="s">
        <v>1795</v>
      </c>
      <c r="G1028" s="897" t="s">
        <v>65</v>
      </c>
      <c r="H1028" s="898">
        <v>20000</v>
      </c>
      <c r="I1028" s="1435"/>
      <c r="J1028" s="1446">
        <f t="shared" si="21"/>
        <v>0</v>
      </c>
      <c r="K1028" s="898">
        <v>20000</v>
      </c>
    </row>
    <row r="1029" spans="4:11" ht="22.8" hidden="1" customHeight="1">
      <c r="D1029" s="918">
        <v>75</v>
      </c>
      <c r="E1029" s="895"/>
      <c r="F1029" s="896" t="s">
        <v>6467</v>
      </c>
      <c r="G1029" s="897" t="s">
        <v>2426</v>
      </c>
      <c r="H1029" s="898">
        <v>20000</v>
      </c>
      <c r="I1029" s="1435"/>
      <c r="J1029" s="1446">
        <f t="shared" si="21"/>
        <v>0</v>
      </c>
      <c r="K1029" s="898">
        <v>20000</v>
      </c>
    </row>
    <row r="1030" spans="4:11" ht="22.8" hidden="1" customHeight="1">
      <c r="D1030" s="918">
        <v>76</v>
      </c>
      <c r="E1030" s="895"/>
      <c r="F1030" s="896" t="s">
        <v>6536</v>
      </c>
      <c r="G1030" s="897" t="s">
        <v>65</v>
      </c>
      <c r="H1030" s="898">
        <v>20000</v>
      </c>
      <c r="I1030" s="1435"/>
      <c r="J1030" s="1446">
        <f t="shared" si="21"/>
        <v>0</v>
      </c>
      <c r="K1030" s="898">
        <v>20000</v>
      </c>
    </row>
    <row r="1031" spans="4:11" ht="22.8" hidden="1" customHeight="1">
      <c r="D1031" s="918">
        <v>77</v>
      </c>
      <c r="E1031" s="895"/>
      <c r="F1031" s="896" t="s">
        <v>6538</v>
      </c>
      <c r="G1031" s="897" t="s">
        <v>65</v>
      </c>
      <c r="H1031" s="898">
        <v>20000</v>
      </c>
      <c r="I1031" s="1435"/>
      <c r="J1031" s="1446">
        <f t="shared" si="21"/>
        <v>0</v>
      </c>
      <c r="K1031" s="898">
        <v>20000</v>
      </c>
    </row>
    <row r="1032" spans="4:11" ht="22.8" hidden="1" customHeight="1">
      <c r="D1032" s="918">
        <v>78</v>
      </c>
      <c r="E1032" s="895"/>
      <c r="F1032" s="896" t="s">
        <v>6566</v>
      </c>
      <c r="G1032" s="897" t="s">
        <v>65</v>
      </c>
      <c r="H1032" s="898">
        <v>15000</v>
      </c>
      <c r="I1032" s="1435"/>
      <c r="J1032" s="1446">
        <f t="shared" si="21"/>
        <v>0</v>
      </c>
      <c r="K1032" s="898">
        <v>15000</v>
      </c>
    </row>
    <row r="1033" spans="4:11" ht="22.8" hidden="1" customHeight="1">
      <c r="D1033" s="918">
        <v>79</v>
      </c>
      <c r="E1033" s="895"/>
      <c r="F1033" s="896" t="s">
        <v>2723</v>
      </c>
      <c r="G1033" s="897" t="s">
        <v>65</v>
      </c>
      <c r="H1033" s="898">
        <v>17500</v>
      </c>
      <c r="I1033" s="1435"/>
      <c r="J1033" s="1446">
        <f t="shared" si="21"/>
        <v>0</v>
      </c>
      <c r="K1033" s="898">
        <v>17500</v>
      </c>
    </row>
    <row r="1034" spans="4:11" ht="22.8" hidden="1" customHeight="1">
      <c r="D1034" s="918">
        <v>80</v>
      </c>
      <c r="E1034" s="895"/>
      <c r="F1034" s="896" t="s">
        <v>263</v>
      </c>
      <c r="G1034" s="897" t="s">
        <v>65</v>
      </c>
      <c r="H1034" s="898">
        <v>39450</v>
      </c>
      <c r="I1034" s="1435"/>
      <c r="J1034" s="1446">
        <f t="shared" si="21"/>
        <v>0</v>
      </c>
      <c r="K1034" s="898">
        <v>39450</v>
      </c>
    </row>
    <row r="1035" spans="4:11" ht="22.8" hidden="1" customHeight="1">
      <c r="D1035" s="918">
        <v>81</v>
      </c>
      <c r="E1035" s="895"/>
      <c r="F1035" s="896" t="s">
        <v>6585</v>
      </c>
      <c r="G1035" s="897" t="s">
        <v>44</v>
      </c>
      <c r="H1035" s="898">
        <v>200</v>
      </c>
      <c r="I1035" s="1435"/>
      <c r="J1035" s="1446">
        <f t="shared" si="21"/>
        <v>0</v>
      </c>
      <c r="K1035" s="898">
        <v>200</v>
      </c>
    </row>
    <row r="1036" spans="4:11" ht="22.8" hidden="1" customHeight="1">
      <c r="D1036" s="918">
        <v>82</v>
      </c>
      <c r="E1036" s="895"/>
      <c r="F1036" s="896" t="s">
        <v>264</v>
      </c>
      <c r="G1036" s="897" t="s">
        <v>65</v>
      </c>
      <c r="H1036" s="898">
        <v>22070</v>
      </c>
      <c r="I1036" s="1435"/>
      <c r="J1036" s="1446">
        <f t="shared" si="21"/>
        <v>0</v>
      </c>
      <c r="K1036" s="898">
        <v>22070</v>
      </c>
    </row>
    <row r="1037" spans="4:11" ht="22.8" hidden="1" customHeight="1">
      <c r="D1037" s="918">
        <v>83</v>
      </c>
      <c r="E1037" s="895"/>
      <c r="F1037" s="896" t="s">
        <v>265</v>
      </c>
      <c r="G1037" s="897" t="s">
        <v>65</v>
      </c>
      <c r="H1037" s="898">
        <v>19460</v>
      </c>
      <c r="I1037" s="1435"/>
      <c r="J1037" s="1446">
        <f t="shared" si="21"/>
        <v>0</v>
      </c>
      <c r="K1037" s="898">
        <v>19460</v>
      </c>
    </row>
    <row r="1038" spans="4:11" ht="22.8" hidden="1" customHeight="1">
      <c r="D1038" s="918">
        <v>84</v>
      </c>
      <c r="E1038" s="895"/>
      <c r="F1038" s="896" t="s">
        <v>266</v>
      </c>
      <c r="G1038" s="897" t="s">
        <v>65</v>
      </c>
      <c r="H1038" s="898">
        <v>35590</v>
      </c>
      <c r="I1038" s="1435"/>
      <c r="J1038" s="1446">
        <f t="shared" si="21"/>
        <v>0</v>
      </c>
      <c r="K1038" s="898">
        <v>35590</v>
      </c>
    </row>
    <row r="1039" spans="4:11" ht="22.8" hidden="1" customHeight="1">
      <c r="D1039" s="918">
        <v>85</v>
      </c>
      <c r="E1039" s="895"/>
      <c r="F1039" s="896" t="s">
        <v>267</v>
      </c>
      <c r="G1039" s="897" t="s">
        <v>44</v>
      </c>
      <c r="H1039" s="898">
        <v>200</v>
      </c>
      <c r="I1039" s="1435"/>
      <c r="J1039" s="1446">
        <f t="shared" si="21"/>
        <v>0</v>
      </c>
      <c r="K1039" s="898">
        <v>200</v>
      </c>
    </row>
    <row r="1040" spans="4:11" ht="22.8" customHeight="1">
      <c r="D1040" s="1422">
        <v>1</v>
      </c>
      <c r="E1040" s="895"/>
      <c r="F1040" s="896" t="s">
        <v>268</v>
      </c>
      <c r="G1040" s="897" t="s">
        <v>65</v>
      </c>
      <c r="H1040" s="898">
        <f>400*J1040</f>
        <v>216000</v>
      </c>
      <c r="I1040" s="1435" t="s">
        <v>9074</v>
      </c>
      <c r="J1040" s="1446">
        <f>600-(600*10%)</f>
        <v>540</v>
      </c>
      <c r="K1040" s="898">
        <v>30090</v>
      </c>
    </row>
    <row r="1041" spans="4:11" ht="22.8" hidden="1" customHeight="1">
      <c r="D1041" s="918">
        <v>87</v>
      </c>
      <c r="E1041" s="895"/>
      <c r="F1041" s="896" t="s">
        <v>1376</v>
      </c>
      <c r="G1041" s="897" t="s">
        <v>44</v>
      </c>
      <c r="H1041" s="898">
        <v>1600</v>
      </c>
      <c r="I1041" s="1435"/>
      <c r="J1041" s="1446">
        <f t="shared" si="21"/>
        <v>0</v>
      </c>
      <c r="K1041" s="898">
        <v>1600</v>
      </c>
    </row>
    <row r="1042" spans="4:11" ht="22.8" hidden="1" customHeight="1">
      <c r="D1042" s="918">
        <v>88</v>
      </c>
      <c r="E1042" s="895"/>
      <c r="F1042" s="896" t="s">
        <v>6553</v>
      </c>
      <c r="G1042" s="897" t="s">
        <v>44</v>
      </c>
      <c r="H1042" s="898">
        <v>1600</v>
      </c>
      <c r="I1042" s="1435"/>
      <c r="J1042" s="1446">
        <f t="shared" si="21"/>
        <v>0</v>
      </c>
      <c r="K1042" s="898">
        <v>1600</v>
      </c>
    </row>
    <row r="1043" spans="4:11" ht="22.8" hidden="1" customHeight="1">
      <c r="D1043" s="918">
        <v>89</v>
      </c>
      <c r="E1043" s="895"/>
      <c r="F1043" s="896" t="s">
        <v>3144</v>
      </c>
      <c r="G1043" s="897" t="s">
        <v>3143</v>
      </c>
      <c r="H1043" s="898">
        <v>29000</v>
      </c>
      <c r="I1043" s="1435"/>
      <c r="J1043" s="1446">
        <f t="shared" si="21"/>
        <v>0</v>
      </c>
      <c r="K1043" s="898">
        <v>29000</v>
      </c>
    </row>
    <row r="1044" spans="4:11" ht="22.8" hidden="1" customHeight="1">
      <c r="D1044" s="918">
        <v>90</v>
      </c>
      <c r="E1044" s="895"/>
      <c r="F1044" s="896" t="s">
        <v>3142</v>
      </c>
      <c r="G1044" s="897" t="s">
        <v>2167</v>
      </c>
      <c r="H1044" s="898">
        <v>580</v>
      </c>
      <c r="I1044" s="1435"/>
      <c r="J1044" s="1446">
        <f t="shared" si="21"/>
        <v>0</v>
      </c>
      <c r="K1044" s="898">
        <v>580</v>
      </c>
    </row>
    <row r="1045" spans="4:11" ht="22.8" hidden="1" customHeight="1">
      <c r="D1045" s="918">
        <v>91</v>
      </c>
      <c r="E1045" s="895"/>
      <c r="F1045" s="896" t="s">
        <v>269</v>
      </c>
      <c r="G1045" s="897" t="s">
        <v>135</v>
      </c>
      <c r="H1045" s="898">
        <v>8000000</v>
      </c>
      <c r="I1045" s="1435"/>
      <c r="J1045" s="1446">
        <f t="shared" si="21"/>
        <v>0</v>
      </c>
      <c r="K1045" s="898">
        <v>8000000</v>
      </c>
    </row>
    <row r="1046" spans="4:11" ht="22.8" hidden="1" customHeight="1">
      <c r="D1046" s="918">
        <v>92</v>
      </c>
      <c r="E1046" s="895"/>
      <c r="F1046" s="896" t="s">
        <v>270</v>
      </c>
      <c r="G1046" s="897" t="s">
        <v>113</v>
      </c>
      <c r="H1046" s="898">
        <v>1680000</v>
      </c>
      <c r="I1046" s="1435"/>
      <c r="J1046" s="1446">
        <f t="shared" si="21"/>
        <v>0</v>
      </c>
      <c r="K1046" s="898">
        <v>1680000</v>
      </c>
    </row>
    <row r="1047" spans="4:11" ht="22.8" hidden="1" customHeight="1">
      <c r="D1047" s="918">
        <v>93</v>
      </c>
      <c r="E1047" s="895"/>
      <c r="F1047" s="896" t="s">
        <v>271</v>
      </c>
      <c r="G1047" s="897" t="s">
        <v>113</v>
      </c>
      <c r="H1047" s="898">
        <v>2240000</v>
      </c>
      <c r="I1047" s="1435"/>
      <c r="J1047" s="1446">
        <f t="shared" si="21"/>
        <v>0</v>
      </c>
      <c r="K1047" s="898">
        <v>2240000</v>
      </c>
    </row>
    <row r="1048" spans="4:11" ht="22.8" hidden="1" customHeight="1">
      <c r="D1048" s="918">
        <v>94</v>
      </c>
      <c r="E1048" s="895"/>
      <c r="F1048" s="896" t="s">
        <v>272</v>
      </c>
      <c r="G1048" s="897" t="s">
        <v>113</v>
      </c>
      <c r="H1048" s="898">
        <v>2800000</v>
      </c>
      <c r="I1048" s="1435"/>
      <c r="J1048" s="1446">
        <f t="shared" si="21"/>
        <v>0</v>
      </c>
      <c r="K1048" s="898">
        <v>2800000</v>
      </c>
    </row>
    <row r="1049" spans="4:11" ht="22.8" hidden="1" customHeight="1">
      <c r="D1049" s="918">
        <v>95</v>
      </c>
      <c r="E1049" s="895"/>
      <c r="F1049" s="896" t="s">
        <v>273</v>
      </c>
      <c r="G1049" s="897" t="s">
        <v>113</v>
      </c>
      <c r="H1049" s="898">
        <v>15500</v>
      </c>
      <c r="I1049" s="1435"/>
      <c r="J1049" s="1446">
        <f t="shared" si="21"/>
        <v>0</v>
      </c>
      <c r="K1049" s="898">
        <v>15500</v>
      </c>
    </row>
    <row r="1050" spans="4:11" ht="22.8" hidden="1" customHeight="1">
      <c r="D1050" s="918">
        <v>96</v>
      </c>
      <c r="E1050" s="895"/>
      <c r="F1050" s="896" t="s">
        <v>274</v>
      </c>
      <c r="G1050" s="897" t="s">
        <v>113</v>
      </c>
      <c r="H1050" s="898">
        <v>22000</v>
      </c>
      <c r="I1050" s="1435"/>
      <c r="J1050" s="1446">
        <f t="shared" si="21"/>
        <v>0</v>
      </c>
      <c r="K1050" s="898">
        <v>22000</v>
      </c>
    </row>
    <row r="1051" spans="4:11" ht="22.8" hidden="1" customHeight="1">
      <c r="D1051" s="918">
        <v>97</v>
      </c>
      <c r="E1051" s="895"/>
      <c r="F1051" s="896" t="s">
        <v>275</v>
      </c>
      <c r="G1051" s="897" t="s">
        <v>113</v>
      </c>
      <c r="H1051" s="898">
        <v>31000</v>
      </c>
      <c r="I1051" s="1435"/>
      <c r="J1051" s="1446">
        <f t="shared" si="21"/>
        <v>0</v>
      </c>
      <c r="K1051" s="898">
        <v>31000</v>
      </c>
    </row>
    <row r="1052" spans="4:11" ht="22.8" hidden="1" customHeight="1">
      <c r="D1052" s="918">
        <v>98</v>
      </c>
      <c r="E1052" s="895"/>
      <c r="F1052" s="896" t="s">
        <v>276</v>
      </c>
      <c r="G1052" s="897" t="s">
        <v>113</v>
      </c>
      <c r="H1052" s="898">
        <v>42000</v>
      </c>
      <c r="I1052" s="1435"/>
      <c r="J1052" s="1446">
        <f t="shared" si="21"/>
        <v>0</v>
      </c>
      <c r="K1052" s="898">
        <v>42000</v>
      </c>
    </row>
    <row r="1053" spans="4:11" ht="22.8" hidden="1" customHeight="1">
      <c r="D1053" s="918">
        <v>99</v>
      </c>
      <c r="E1053" s="895"/>
      <c r="F1053" s="896" t="s">
        <v>277</v>
      </c>
      <c r="G1053" s="897" t="s">
        <v>113</v>
      </c>
      <c r="H1053" s="898">
        <v>16650</v>
      </c>
      <c r="I1053" s="1435"/>
      <c r="J1053" s="1446">
        <f t="shared" si="21"/>
        <v>0</v>
      </c>
      <c r="K1053" s="898">
        <v>16650</v>
      </c>
    </row>
    <row r="1054" spans="4:11" ht="22.8" hidden="1" customHeight="1">
      <c r="D1054" s="918">
        <v>100</v>
      </c>
      <c r="E1054" s="895"/>
      <c r="F1054" s="896" t="s">
        <v>278</v>
      </c>
      <c r="G1054" s="897" t="s">
        <v>44</v>
      </c>
      <c r="H1054" s="898">
        <v>700</v>
      </c>
      <c r="I1054" s="1435"/>
      <c r="J1054" s="1446">
        <f t="shared" si="21"/>
        <v>0</v>
      </c>
      <c r="K1054" s="898">
        <v>700</v>
      </c>
    </row>
    <row r="1055" spans="4:11" ht="22.8" hidden="1" customHeight="1">
      <c r="D1055" s="918">
        <v>101</v>
      </c>
      <c r="E1055" s="895"/>
      <c r="F1055" s="896" t="s">
        <v>279</v>
      </c>
      <c r="G1055" s="897" t="s">
        <v>65</v>
      </c>
      <c r="H1055" s="898">
        <v>12430</v>
      </c>
      <c r="I1055" s="1435" t="s">
        <v>280</v>
      </c>
      <c r="J1055" s="1446" t="e">
        <f t="shared" si="21"/>
        <v>#VALUE!</v>
      </c>
      <c r="K1055" s="898">
        <v>12430</v>
      </c>
    </row>
    <row r="1056" spans="4:11" ht="22.8" hidden="1" customHeight="1">
      <c r="D1056" s="918">
        <v>102</v>
      </c>
      <c r="E1056" s="895"/>
      <c r="F1056" s="896" t="s">
        <v>281</v>
      </c>
      <c r="G1056" s="897" t="s">
        <v>65</v>
      </c>
      <c r="H1056" s="898">
        <v>12660</v>
      </c>
      <c r="I1056" s="1435" t="s">
        <v>282</v>
      </c>
      <c r="J1056" s="1446" t="e">
        <f t="shared" si="21"/>
        <v>#VALUE!</v>
      </c>
      <c r="K1056" s="898">
        <v>12660</v>
      </c>
    </row>
    <row r="1057" spans="4:11" ht="22.8" hidden="1" customHeight="1">
      <c r="D1057" s="918">
        <v>103</v>
      </c>
      <c r="E1057" s="895"/>
      <c r="F1057" s="896" t="s">
        <v>283</v>
      </c>
      <c r="G1057" s="897" t="s">
        <v>65</v>
      </c>
      <c r="H1057" s="898">
        <v>11522</v>
      </c>
      <c r="I1057" s="1435" t="s">
        <v>284</v>
      </c>
      <c r="J1057" s="1446" t="e">
        <f t="shared" si="21"/>
        <v>#VALUE!</v>
      </c>
      <c r="K1057" s="898">
        <v>11522</v>
      </c>
    </row>
    <row r="1058" spans="4:11" ht="22.8" hidden="1" customHeight="1">
      <c r="D1058" s="918">
        <v>104</v>
      </c>
      <c r="E1058" s="895"/>
      <c r="F1058" s="896" t="s">
        <v>285</v>
      </c>
      <c r="G1058" s="897" t="s">
        <v>65</v>
      </c>
      <c r="H1058" s="898">
        <v>11816</v>
      </c>
      <c r="I1058" s="1435" t="s">
        <v>286</v>
      </c>
      <c r="J1058" s="1446" t="e">
        <f t="shared" si="21"/>
        <v>#VALUE!</v>
      </c>
      <c r="K1058" s="898">
        <v>11816</v>
      </c>
    </row>
    <row r="1059" spans="4:11" ht="22.8" hidden="1" customHeight="1">
      <c r="D1059" s="918">
        <v>105</v>
      </c>
      <c r="E1059" s="895"/>
      <c r="F1059" s="896" t="s">
        <v>287</v>
      </c>
      <c r="G1059" s="897" t="s">
        <v>65</v>
      </c>
      <c r="H1059" s="898">
        <v>12049</v>
      </c>
      <c r="I1059" s="1435" t="s">
        <v>288</v>
      </c>
      <c r="J1059" s="1446" t="e">
        <f t="shared" si="21"/>
        <v>#VALUE!</v>
      </c>
      <c r="K1059" s="898">
        <v>12049</v>
      </c>
    </row>
    <row r="1060" spans="4:11" ht="22.8" hidden="1" customHeight="1">
      <c r="D1060" s="918">
        <v>106</v>
      </c>
      <c r="E1060" s="895"/>
      <c r="F1060" s="896" t="s">
        <v>289</v>
      </c>
      <c r="G1060" s="897" t="s">
        <v>65</v>
      </c>
      <c r="H1060" s="898">
        <v>12276</v>
      </c>
      <c r="I1060" s="1435" t="s">
        <v>290</v>
      </c>
      <c r="J1060" s="1446" t="e">
        <f t="shared" si="21"/>
        <v>#VALUE!</v>
      </c>
      <c r="K1060" s="898">
        <v>12276</v>
      </c>
    </row>
    <row r="1061" spans="4:11" ht="22.8" customHeight="1">
      <c r="D1061" s="915" t="s">
        <v>1220</v>
      </c>
      <c r="E1061" s="1795" t="s">
        <v>291</v>
      </c>
      <c r="F1061" s="1796"/>
      <c r="G1061" s="897"/>
      <c r="H1061" s="898"/>
      <c r="I1061" s="1435"/>
      <c r="J1061" s="1446">
        <f t="shared" si="21"/>
        <v>0</v>
      </c>
      <c r="K1061" s="898"/>
    </row>
    <row r="1062" spans="4:11" ht="22.8" hidden="1" customHeight="1">
      <c r="D1062" s="916">
        <v>1</v>
      </c>
      <c r="E1062" s="895"/>
      <c r="F1062" s="896" t="s">
        <v>292</v>
      </c>
      <c r="G1062" s="897" t="s">
        <v>129</v>
      </c>
      <c r="H1062" s="898">
        <v>180400</v>
      </c>
      <c r="I1062" s="1435"/>
      <c r="J1062" s="1446">
        <f t="shared" si="21"/>
        <v>0</v>
      </c>
      <c r="K1062" s="898">
        <v>180400</v>
      </c>
    </row>
    <row r="1063" spans="4:11" ht="22.8" hidden="1" customHeight="1">
      <c r="D1063" s="916">
        <v>2</v>
      </c>
      <c r="E1063" s="895"/>
      <c r="F1063" s="896" t="s">
        <v>293</v>
      </c>
      <c r="G1063" s="897" t="s">
        <v>129</v>
      </c>
      <c r="H1063" s="898">
        <v>47800</v>
      </c>
      <c r="I1063" s="1435"/>
      <c r="J1063" s="1446">
        <f t="shared" si="21"/>
        <v>0</v>
      </c>
      <c r="K1063" s="898">
        <v>47800</v>
      </c>
    </row>
    <row r="1064" spans="4:11" ht="22.8" hidden="1" customHeight="1">
      <c r="D1064" s="916">
        <v>3</v>
      </c>
      <c r="E1064" s="895"/>
      <c r="F1064" s="896" t="s">
        <v>294</v>
      </c>
      <c r="G1064" s="897" t="s">
        <v>129</v>
      </c>
      <c r="H1064" s="898">
        <v>57300</v>
      </c>
      <c r="I1064" s="1435"/>
      <c r="J1064" s="1446">
        <f t="shared" si="21"/>
        <v>0</v>
      </c>
      <c r="K1064" s="898">
        <v>57300</v>
      </c>
    </row>
    <row r="1065" spans="4:11" ht="22.8" hidden="1" customHeight="1">
      <c r="D1065" s="916">
        <v>4</v>
      </c>
      <c r="E1065" s="895"/>
      <c r="F1065" s="896" t="s">
        <v>295</v>
      </c>
      <c r="G1065" s="897" t="s">
        <v>129</v>
      </c>
      <c r="H1065" s="898">
        <v>65300</v>
      </c>
      <c r="I1065" s="1435"/>
      <c r="J1065" s="1446">
        <f t="shared" si="21"/>
        <v>0</v>
      </c>
      <c r="K1065" s="898">
        <v>65300</v>
      </c>
    </row>
    <row r="1066" spans="4:11" ht="22.8" hidden="1" customHeight="1">
      <c r="D1066" s="916">
        <v>5</v>
      </c>
      <c r="E1066" s="895"/>
      <c r="F1066" s="896" t="s">
        <v>296</v>
      </c>
      <c r="G1066" s="897" t="s">
        <v>129</v>
      </c>
      <c r="H1066" s="898">
        <v>75500</v>
      </c>
      <c r="I1066" s="1435"/>
      <c r="J1066" s="1446">
        <f t="shared" si="21"/>
        <v>0</v>
      </c>
      <c r="K1066" s="898">
        <v>75500</v>
      </c>
    </row>
    <row r="1067" spans="4:11" ht="22.8" hidden="1" customHeight="1">
      <c r="D1067" s="916">
        <v>6</v>
      </c>
      <c r="E1067" s="895"/>
      <c r="F1067" s="896" t="s">
        <v>297</v>
      </c>
      <c r="G1067" s="897" t="s">
        <v>129</v>
      </c>
      <c r="H1067" s="898">
        <v>120000</v>
      </c>
      <c r="I1067" s="1435"/>
      <c r="J1067" s="1446">
        <f t="shared" si="21"/>
        <v>0</v>
      </c>
      <c r="K1067" s="898">
        <v>120000</v>
      </c>
    </row>
    <row r="1068" spans="4:11" ht="22.8" hidden="1" customHeight="1">
      <c r="D1068" s="916">
        <v>7</v>
      </c>
      <c r="E1068" s="895"/>
      <c r="F1068" s="896" t="s">
        <v>298</v>
      </c>
      <c r="G1068" s="897" t="s">
        <v>129</v>
      </c>
      <c r="H1068" s="898">
        <v>85500</v>
      </c>
      <c r="I1068" s="1435"/>
      <c r="J1068" s="1446">
        <f t="shared" si="21"/>
        <v>0</v>
      </c>
      <c r="K1068" s="898">
        <v>85500</v>
      </c>
    </row>
    <row r="1069" spans="4:11" ht="22.8" hidden="1" customHeight="1">
      <c r="D1069" s="916">
        <v>8</v>
      </c>
      <c r="E1069" s="895"/>
      <c r="F1069" s="896" t="s">
        <v>299</v>
      </c>
      <c r="G1069" s="897" t="s">
        <v>129</v>
      </c>
      <c r="H1069" s="898">
        <v>94000</v>
      </c>
      <c r="I1069" s="1435"/>
      <c r="J1069" s="1446">
        <f t="shared" si="21"/>
        <v>0</v>
      </c>
      <c r="K1069" s="898">
        <v>94000</v>
      </c>
    </row>
    <row r="1070" spans="4:11" ht="22.8" hidden="1" customHeight="1">
      <c r="D1070" s="916">
        <v>9</v>
      </c>
      <c r="E1070" s="895"/>
      <c r="F1070" s="896" t="s">
        <v>300</v>
      </c>
      <c r="G1070" s="897" t="s">
        <v>129</v>
      </c>
      <c r="H1070" s="898">
        <v>125000</v>
      </c>
      <c r="I1070" s="1435"/>
      <c r="J1070" s="1446">
        <f t="shared" si="21"/>
        <v>0</v>
      </c>
      <c r="K1070" s="898">
        <v>125000</v>
      </c>
    </row>
    <row r="1071" spans="4:11" ht="22.8" hidden="1" customHeight="1">
      <c r="D1071" s="916">
        <v>10</v>
      </c>
      <c r="E1071" s="895"/>
      <c r="F1071" s="896" t="s">
        <v>301</v>
      </c>
      <c r="G1071" s="897" t="s">
        <v>129</v>
      </c>
      <c r="H1071" s="898">
        <v>104900</v>
      </c>
      <c r="I1071" s="1435"/>
      <c r="J1071" s="1446">
        <f t="shared" si="21"/>
        <v>0</v>
      </c>
      <c r="K1071" s="898">
        <v>104900</v>
      </c>
    </row>
    <row r="1072" spans="4:11" ht="22.8" hidden="1" customHeight="1">
      <c r="D1072" s="916">
        <v>11</v>
      </c>
      <c r="E1072" s="895"/>
      <c r="F1072" s="896" t="s">
        <v>302</v>
      </c>
      <c r="G1072" s="897" t="s">
        <v>129</v>
      </c>
      <c r="H1072" s="898">
        <v>130000</v>
      </c>
      <c r="I1072" s="1435"/>
      <c r="J1072" s="1446">
        <f t="shared" si="21"/>
        <v>0</v>
      </c>
      <c r="K1072" s="898">
        <v>130000</v>
      </c>
    </row>
    <row r="1073" spans="4:11" ht="22.8" hidden="1" customHeight="1">
      <c r="D1073" s="916">
        <v>12</v>
      </c>
      <c r="E1073" s="895"/>
      <c r="F1073" s="896" t="s">
        <v>303</v>
      </c>
      <c r="G1073" s="897" t="s">
        <v>129</v>
      </c>
      <c r="H1073" s="898">
        <v>113400</v>
      </c>
      <c r="I1073" s="1435"/>
      <c r="J1073" s="1446">
        <f t="shared" si="21"/>
        <v>0</v>
      </c>
      <c r="K1073" s="898">
        <v>113400</v>
      </c>
    </row>
    <row r="1074" spans="4:11" ht="22.8" hidden="1" customHeight="1">
      <c r="D1074" s="916">
        <v>13</v>
      </c>
      <c r="E1074" s="895"/>
      <c r="F1074" s="896" t="s">
        <v>304</v>
      </c>
      <c r="G1074" s="897" t="s">
        <v>129</v>
      </c>
      <c r="H1074" s="898">
        <v>135000</v>
      </c>
      <c r="I1074" s="1435"/>
      <c r="J1074" s="1446">
        <f t="shared" si="21"/>
        <v>0</v>
      </c>
      <c r="K1074" s="898">
        <v>135000</v>
      </c>
    </row>
    <row r="1075" spans="4:11" ht="22.8" hidden="1" customHeight="1">
      <c r="D1075" s="916">
        <v>14</v>
      </c>
      <c r="E1075" s="895"/>
      <c r="F1075" s="896" t="s">
        <v>305</v>
      </c>
      <c r="G1075" s="897" t="s">
        <v>129</v>
      </c>
      <c r="H1075" s="898">
        <v>93000</v>
      </c>
      <c r="I1075" s="1435"/>
      <c r="J1075" s="1446">
        <f t="shared" si="21"/>
        <v>0</v>
      </c>
      <c r="K1075" s="898">
        <v>93000</v>
      </c>
    </row>
    <row r="1076" spans="4:11" ht="22.8" hidden="1" customHeight="1">
      <c r="D1076" s="916">
        <v>15</v>
      </c>
      <c r="E1076" s="895"/>
      <c r="F1076" s="896" t="s">
        <v>306</v>
      </c>
      <c r="G1076" s="897" t="s">
        <v>129</v>
      </c>
      <c r="H1076" s="898">
        <v>92900</v>
      </c>
      <c r="I1076" s="1435"/>
      <c r="J1076" s="1446">
        <f t="shared" si="21"/>
        <v>0</v>
      </c>
      <c r="K1076" s="898">
        <v>92900</v>
      </c>
    </row>
    <row r="1077" spans="4:11" ht="22.8" hidden="1" customHeight="1">
      <c r="D1077" s="916">
        <v>16</v>
      </c>
      <c r="E1077" s="895"/>
      <c r="F1077" s="896" t="s">
        <v>307</v>
      </c>
      <c r="G1077" s="897" t="s">
        <v>129</v>
      </c>
      <c r="H1077" s="898">
        <v>99600</v>
      </c>
      <c r="I1077" s="1435"/>
      <c r="J1077" s="1446">
        <f t="shared" si="21"/>
        <v>0</v>
      </c>
      <c r="K1077" s="898">
        <v>99600</v>
      </c>
    </row>
    <row r="1078" spans="4:11" ht="22.8" hidden="1" customHeight="1">
      <c r="D1078" s="916">
        <v>17</v>
      </c>
      <c r="E1078" s="895"/>
      <c r="F1078" s="896" t="s">
        <v>308</v>
      </c>
      <c r="G1078" s="897" t="s">
        <v>129</v>
      </c>
      <c r="H1078" s="898">
        <v>113400</v>
      </c>
      <c r="I1078" s="1435"/>
      <c r="J1078" s="1446">
        <f t="shared" si="21"/>
        <v>0</v>
      </c>
      <c r="K1078" s="898">
        <v>113400</v>
      </c>
    </row>
    <row r="1079" spans="4:11" ht="22.8" hidden="1" customHeight="1">
      <c r="D1079" s="916">
        <v>18</v>
      </c>
      <c r="E1079" s="895"/>
      <c r="F1079" s="896" t="s">
        <v>309</v>
      </c>
      <c r="G1079" s="897" t="s">
        <v>129</v>
      </c>
      <c r="H1079" s="898">
        <v>131000</v>
      </c>
      <c r="I1079" s="1435"/>
      <c r="J1079" s="1446">
        <f t="shared" si="21"/>
        <v>0</v>
      </c>
      <c r="K1079" s="898">
        <v>131000</v>
      </c>
    </row>
    <row r="1080" spans="4:11" ht="22.8" hidden="1" customHeight="1">
      <c r="D1080" s="916">
        <v>19</v>
      </c>
      <c r="E1080" s="895"/>
      <c r="F1080" s="896" t="s">
        <v>310</v>
      </c>
      <c r="G1080" s="897" t="s">
        <v>129</v>
      </c>
      <c r="H1080" s="898">
        <v>88400</v>
      </c>
      <c r="I1080" s="1435"/>
      <c r="J1080" s="1446">
        <f t="shared" si="21"/>
        <v>0</v>
      </c>
      <c r="K1080" s="898">
        <v>88400</v>
      </c>
    </row>
    <row r="1081" spans="4:11" ht="22.8" hidden="1" customHeight="1">
      <c r="D1081" s="916">
        <v>20</v>
      </c>
      <c r="E1081" s="895"/>
      <c r="F1081" s="896" t="s">
        <v>311</v>
      </c>
      <c r="G1081" s="897" t="s">
        <v>129</v>
      </c>
      <c r="H1081" s="898">
        <v>100500</v>
      </c>
      <c r="I1081" s="1435"/>
      <c r="J1081" s="1446">
        <f t="shared" si="21"/>
        <v>0</v>
      </c>
      <c r="K1081" s="898">
        <v>100500</v>
      </c>
    </row>
    <row r="1082" spans="4:11" ht="22.8" hidden="1" customHeight="1">
      <c r="D1082" s="916">
        <v>21</v>
      </c>
      <c r="E1082" s="895"/>
      <c r="F1082" s="896" t="s">
        <v>312</v>
      </c>
      <c r="G1082" s="897" t="s">
        <v>62</v>
      </c>
      <c r="H1082" s="898">
        <v>112500</v>
      </c>
      <c r="I1082" s="1435"/>
      <c r="J1082" s="1446">
        <f t="shared" si="21"/>
        <v>0</v>
      </c>
      <c r="K1082" s="898">
        <v>112500</v>
      </c>
    </row>
    <row r="1083" spans="4:11" ht="22.8" customHeight="1">
      <c r="D1083" s="916"/>
      <c r="E1083" s="895"/>
      <c r="F1083" s="896" t="s">
        <v>9321</v>
      </c>
      <c r="G1083" s="897" t="s">
        <v>129</v>
      </c>
      <c r="H1083" s="894">
        <v>50700</v>
      </c>
      <c r="I1083" s="1435"/>
      <c r="J1083" s="1446"/>
      <c r="K1083" s="898"/>
    </row>
    <row r="1084" spans="4:11" ht="22.8" customHeight="1">
      <c r="D1084" s="1423">
        <v>22</v>
      </c>
      <c r="E1084" s="895"/>
      <c r="F1084" s="896" t="s">
        <v>2661</v>
      </c>
      <c r="G1084" s="897" t="s">
        <v>62</v>
      </c>
      <c r="H1084" s="894">
        <f t="shared" ref="H1084:H1147" si="22">J1084</f>
        <v>198000</v>
      </c>
      <c r="I1084" s="1435">
        <v>220000</v>
      </c>
      <c r="J1084" s="1446">
        <f t="shared" si="21"/>
        <v>198000</v>
      </c>
      <c r="K1084" s="898">
        <v>112500</v>
      </c>
    </row>
    <row r="1085" spans="4:11" ht="22.8" hidden="1" customHeight="1">
      <c r="D1085" s="916">
        <v>23</v>
      </c>
      <c r="E1085" s="895"/>
      <c r="F1085" s="896" t="s">
        <v>313</v>
      </c>
      <c r="G1085" s="897" t="s">
        <v>62</v>
      </c>
      <c r="H1085" s="894">
        <f t="shared" si="22"/>
        <v>0</v>
      </c>
      <c r="I1085" s="1435"/>
      <c r="J1085" s="1446">
        <f t="shared" si="21"/>
        <v>0</v>
      </c>
      <c r="K1085" s="898">
        <v>80000</v>
      </c>
    </row>
    <row r="1086" spans="4:11" ht="22.8" hidden="1" customHeight="1">
      <c r="D1086" s="916">
        <v>24</v>
      </c>
      <c r="E1086" s="895"/>
      <c r="F1086" s="896" t="s">
        <v>314</v>
      </c>
      <c r="G1086" s="897" t="s">
        <v>44</v>
      </c>
      <c r="H1086" s="894">
        <f t="shared" si="22"/>
        <v>0</v>
      </c>
      <c r="I1086" s="1435"/>
      <c r="J1086" s="1446">
        <f t="shared" si="21"/>
        <v>0</v>
      </c>
      <c r="K1086" s="898">
        <v>20000</v>
      </c>
    </row>
    <row r="1087" spans="4:11" ht="22.8" hidden="1" customHeight="1">
      <c r="D1087" s="916">
        <v>25</v>
      </c>
      <c r="E1087" s="895"/>
      <c r="F1087" s="896" t="s">
        <v>315</v>
      </c>
      <c r="G1087" s="897" t="s">
        <v>62</v>
      </c>
      <c r="H1087" s="894">
        <f t="shared" si="22"/>
        <v>0</v>
      </c>
      <c r="I1087" s="1435"/>
      <c r="J1087" s="1446">
        <f t="shared" si="21"/>
        <v>0</v>
      </c>
      <c r="K1087" s="898">
        <v>200000</v>
      </c>
    </row>
    <row r="1088" spans="4:11" ht="22.8" hidden="1" customHeight="1">
      <c r="D1088" s="916">
        <v>26</v>
      </c>
      <c r="E1088" s="895"/>
      <c r="F1088" s="896" t="s">
        <v>316</v>
      </c>
      <c r="G1088" s="897" t="s">
        <v>129</v>
      </c>
      <c r="H1088" s="894">
        <f t="shared" si="22"/>
        <v>0</v>
      </c>
      <c r="I1088" s="1435"/>
      <c r="J1088" s="1446">
        <f t="shared" ref="J1088:J1151" si="23">I1088-(I1088*10%)</f>
        <v>0</v>
      </c>
      <c r="K1088" s="898">
        <v>62700</v>
      </c>
    </row>
    <row r="1089" spans="4:11" ht="22.8" hidden="1" customHeight="1">
      <c r="D1089" s="916">
        <v>27</v>
      </c>
      <c r="E1089" s="895"/>
      <c r="F1089" s="896" t="s">
        <v>317</v>
      </c>
      <c r="G1089" s="897" t="s">
        <v>44</v>
      </c>
      <c r="H1089" s="894">
        <f t="shared" si="22"/>
        <v>0</v>
      </c>
      <c r="I1089" s="1435"/>
      <c r="J1089" s="1446">
        <f t="shared" si="23"/>
        <v>0</v>
      </c>
      <c r="K1089" s="898">
        <v>8600</v>
      </c>
    </row>
    <row r="1090" spans="4:11" ht="22.8" hidden="1" customHeight="1">
      <c r="D1090" s="916">
        <v>28</v>
      </c>
      <c r="E1090" s="895"/>
      <c r="F1090" s="896" t="s">
        <v>318</v>
      </c>
      <c r="G1090" s="897" t="s">
        <v>44</v>
      </c>
      <c r="H1090" s="894">
        <f t="shared" si="22"/>
        <v>0</v>
      </c>
      <c r="I1090" s="1435"/>
      <c r="J1090" s="1446">
        <f t="shared" si="23"/>
        <v>0</v>
      </c>
      <c r="K1090" s="898">
        <v>10700</v>
      </c>
    </row>
    <row r="1091" spans="4:11" ht="22.8" hidden="1" customHeight="1">
      <c r="D1091" s="916">
        <v>29</v>
      </c>
      <c r="E1091" s="895"/>
      <c r="F1091" s="896" t="s">
        <v>319</v>
      </c>
      <c r="G1091" s="897" t="s">
        <v>44</v>
      </c>
      <c r="H1091" s="894">
        <f t="shared" si="22"/>
        <v>0</v>
      </c>
      <c r="I1091" s="1435"/>
      <c r="J1091" s="1446">
        <f t="shared" si="23"/>
        <v>0</v>
      </c>
      <c r="K1091" s="898">
        <v>30700</v>
      </c>
    </row>
    <row r="1092" spans="4:11" ht="22.8" hidden="1" customHeight="1">
      <c r="D1092" s="916">
        <v>30</v>
      </c>
      <c r="E1092" s="895"/>
      <c r="F1092" s="896" t="s">
        <v>320</v>
      </c>
      <c r="G1092" s="897" t="s">
        <v>44</v>
      </c>
      <c r="H1092" s="894">
        <f t="shared" si="22"/>
        <v>0</v>
      </c>
      <c r="I1092" s="1435"/>
      <c r="J1092" s="1446">
        <f t="shared" si="23"/>
        <v>0</v>
      </c>
      <c r="K1092" s="898">
        <v>48100</v>
      </c>
    </row>
    <row r="1093" spans="4:11" ht="22.8" hidden="1" customHeight="1">
      <c r="D1093" s="916">
        <v>31</v>
      </c>
      <c r="E1093" s="895"/>
      <c r="F1093" s="896" t="s">
        <v>321</v>
      </c>
      <c r="G1093" s="897" t="s">
        <v>44</v>
      </c>
      <c r="H1093" s="894">
        <f t="shared" si="22"/>
        <v>0</v>
      </c>
      <c r="I1093" s="1435"/>
      <c r="J1093" s="1446">
        <f t="shared" si="23"/>
        <v>0</v>
      </c>
      <c r="K1093" s="898">
        <v>5300</v>
      </c>
    </row>
    <row r="1094" spans="4:11" ht="22.8" hidden="1" customHeight="1">
      <c r="D1094" s="916">
        <v>32</v>
      </c>
      <c r="E1094" s="895"/>
      <c r="F1094" s="896" t="s">
        <v>322</v>
      </c>
      <c r="G1094" s="897" t="s">
        <v>129</v>
      </c>
      <c r="H1094" s="894">
        <f t="shared" si="22"/>
        <v>0</v>
      </c>
      <c r="I1094" s="1435"/>
      <c r="J1094" s="1446">
        <f t="shared" si="23"/>
        <v>0</v>
      </c>
      <c r="K1094" s="898">
        <v>78500</v>
      </c>
    </row>
    <row r="1095" spans="4:11" ht="22.8" hidden="1" customHeight="1">
      <c r="D1095" s="916">
        <v>33</v>
      </c>
      <c r="E1095" s="895"/>
      <c r="F1095" s="896" t="s">
        <v>323</v>
      </c>
      <c r="G1095" s="897" t="s">
        <v>129</v>
      </c>
      <c r="H1095" s="894">
        <f t="shared" si="22"/>
        <v>0</v>
      </c>
      <c r="I1095" s="1435"/>
      <c r="J1095" s="1446">
        <f t="shared" si="23"/>
        <v>0</v>
      </c>
      <c r="K1095" s="898">
        <v>68500</v>
      </c>
    </row>
    <row r="1096" spans="4:11" ht="22.8" hidden="1" customHeight="1">
      <c r="D1096" s="916">
        <v>34</v>
      </c>
      <c r="E1096" s="895"/>
      <c r="F1096" s="896" t="s">
        <v>324</v>
      </c>
      <c r="G1096" s="897" t="s">
        <v>44</v>
      </c>
      <c r="H1096" s="894">
        <f t="shared" si="22"/>
        <v>0</v>
      </c>
      <c r="I1096" s="1435"/>
      <c r="J1096" s="1446">
        <f t="shared" si="23"/>
        <v>0</v>
      </c>
      <c r="K1096" s="898">
        <v>89700</v>
      </c>
    </row>
    <row r="1097" spans="4:11" ht="22.8" hidden="1" customHeight="1">
      <c r="D1097" s="916">
        <v>35</v>
      </c>
      <c r="E1097" s="895"/>
      <c r="F1097" s="896" t="s">
        <v>325</v>
      </c>
      <c r="G1097" s="897" t="s">
        <v>44</v>
      </c>
      <c r="H1097" s="894">
        <f t="shared" si="22"/>
        <v>0</v>
      </c>
      <c r="I1097" s="1435"/>
      <c r="J1097" s="1446">
        <f t="shared" si="23"/>
        <v>0</v>
      </c>
      <c r="K1097" s="898">
        <v>122300</v>
      </c>
    </row>
    <row r="1098" spans="4:11" ht="22.8" hidden="1" customHeight="1">
      <c r="D1098" s="916">
        <v>36</v>
      </c>
      <c r="E1098" s="895"/>
      <c r="F1098" s="896" t="s">
        <v>326</v>
      </c>
      <c r="G1098" s="897" t="s">
        <v>44</v>
      </c>
      <c r="H1098" s="894">
        <f t="shared" si="22"/>
        <v>0</v>
      </c>
      <c r="I1098" s="1435"/>
      <c r="J1098" s="1446">
        <f t="shared" si="23"/>
        <v>0</v>
      </c>
      <c r="K1098" s="898">
        <v>162500</v>
      </c>
    </row>
    <row r="1099" spans="4:11" ht="22.8" hidden="1" customHeight="1">
      <c r="D1099" s="916">
        <v>37</v>
      </c>
      <c r="E1099" s="895"/>
      <c r="F1099" s="896" t="s">
        <v>327</v>
      </c>
      <c r="G1099" s="897" t="s">
        <v>129</v>
      </c>
      <c r="H1099" s="894">
        <f t="shared" si="22"/>
        <v>0</v>
      </c>
      <c r="I1099" s="1435"/>
      <c r="J1099" s="1446">
        <f t="shared" si="23"/>
        <v>0</v>
      </c>
      <c r="K1099" s="898">
        <v>59600</v>
      </c>
    </row>
    <row r="1100" spans="4:11" ht="22.8" hidden="1" customHeight="1">
      <c r="D1100" s="916">
        <v>38</v>
      </c>
      <c r="E1100" s="895"/>
      <c r="F1100" s="896" t="s">
        <v>328</v>
      </c>
      <c r="G1100" s="897" t="s">
        <v>106</v>
      </c>
      <c r="H1100" s="894">
        <f t="shared" si="22"/>
        <v>0</v>
      </c>
      <c r="I1100" s="1435"/>
      <c r="J1100" s="1446">
        <f t="shared" si="23"/>
        <v>0</v>
      </c>
      <c r="K1100" s="898">
        <v>145000</v>
      </c>
    </row>
    <row r="1101" spans="4:11" ht="22.8" hidden="1" customHeight="1">
      <c r="D1101" s="916">
        <v>39</v>
      </c>
      <c r="E1101" s="895"/>
      <c r="F1101" s="896" t="s">
        <v>329</v>
      </c>
      <c r="G1101" s="897" t="s">
        <v>129</v>
      </c>
      <c r="H1101" s="894">
        <f t="shared" si="22"/>
        <v>0</v>
      </c>
      <c r="I1101" s="1435"/>
      <c r="J1101" s="1446">
        <f t="shared" si="23"/>
        <v>0</v>
      </c>
      <c r="K1101" s="898">
        <v>61200</v>
      </c>
    </row>
    <row r="1102" spans="4:11" ht="22.8" hidden="1" customHeight="1">
      <c r="D1102" s="916">
        <v>40</v>
      </c>
      <c r="E1102" s="895"/>
      <c r="F1102" s="896" t="s">
        <v>330</v>
      </c>
      <c r="G1102" s="897" t="s">
        <v>44</v>
      </c>
      <c r="H1102" s="894">
        <f t="shared" si="22"/>
        <v>0</v>
      </c>
      <c r="I1102" s="1435"/>
      <c r="J1102" s="1446">
        <f t="shared" si="23"/>
        <v>0</v>
      </c>
      <c r="K1102" s="898">
        <v>149700</v>
      </c>
    </row>
    <row r="1103" spans="4:11" ht="22.8" hidden="1" customHeight="1">
      <c r="D1103" s="916">
        <v>41</v>
      </c>
      <c r="E1103" s="895"/>
      <c r="F1103" s="896" t="s">
        <v>331</v>
      </c>
      <c r="G1103" s="897" t="s">
        <v>44</v>
      </c>
      <c r="H1103" s="894">
        <f t="shared" si="22"/>
        <v>0</v>
      </c>
      <c r="I1103" s="1435"/>
      <c r="J1103" s="1446">
        <f t="shared" si="23"/>
        <v>0</v>
      </c>
      <c r="K1103" s="898">
        <v>6800</v>
      </c>
    </row>
    <row r="1104" spans="4:11" ht="22.8" hidden="1" customHeight="1">
      <c r="D1104" s="916">
        <v>42</v>
      </c>
      <c r="E1104" s="895"/>
      <c r="F1104" s="896" t="s">
        <v>332</v>
      </c>
      <c r="G1104" s="897" t="s">
        <v>44</v>
      </c>
      <c r="H1104" s="894">
        <f t="shared" si="22"/>
        <v>0</v>
      </c>
      <c r="I1104" s="1435"/>
      <c r="J1104" s="1446">
        <f t="shared" si="23"/>
        <v>0</v>
      </c>
      <c r="K1104" s="898">
        <v>9800</v>
      </c>
    </row>
    <row r="1105" spans="4:11" ht="22.8" hidden="1" customHeight="1">
      <c r="D1105" s="916">
        <v>43</v>
      </c>
      <c r="E1105" s="895"/>
      <c r="F1105" s="896" t="s">
        <v>333</v>
      </c>
      <c r="G1105" s="897" t="s">
        <v>44</v>
      </c>
      <c r="H1105" s="894">
        <f t="shared" si="22"/>
        <v>0</v>
      </c>
      <c r="I1105" s="1435"/>
      <c r="J1105" s="1446">
        <f t="shared" si="23"/>
        <v>0</v>
      </c>
      <c r="K1105" s="898">
        <v>3400</v>
      </c>
    </row>
    <row r="1106" spans="4:11" ht="22.8" hidden="1" customHeight="1">
      <c r="D1106" s="916">
        <v>44</v>
      </c>
      <c r="E1106" s="895"/>
      <c r="F1106" s="896" t="s">
        <v>334</v>
      </c>
      <c r="G1106" s="897" t="s">
        <v>44</v>
      </c>
      <c r="H1106" s="894">
        <f t="shared" si="22"/>
        <v>0</v>
      </c>
      <c r="I1106" s="1435"/>
      <c r="J1106" s="1446">
        <f t="shared" si="23"/>
        <v>0</v>
      </c>
      <c r="K1106" s="898">
        <v>5800</v>
      </c>
    </row>
    <row r="1107" spans="4:11" ht="22.8" hidden="1" customHeight="1">
      <c r="D1107" s="916">
        <v>45</v>
      </c>
      <c r="E1107" s="895"/>
      <c r="F1107" s="896" t="s">
        <v>335</v>
      </c>
      <c r="G1107" s="897" t="s">
        <v>129</v>
      </c>
      <c r="H1107" s="894">
        <f t="shared" si="22"/>
        <v>0</v>
      </c>
      <c r="I1107" s="1435"/>
      <c r="J1107" s="1446">
        <f t="shared" si="23"/>
        <v>0</v>
      </c>
      <c r="K1107" s="898">
        <v>50700</v>
      </c>
    </row>
    <row r="1108" spans="4:11" ht="22.8" hidden="1" customHeight="1">
      <c r="D1108" s="916">
        <v>46</v>
      </c>
      <c r="E1108" s="895"/>
      <c r="F1108" s="896" t="s">
        <v>336</v>
      </c>
      <c r="G1108" s="897" t="s">
        <v>129</v>
      </c>
      <c r="H1108" s="894">
        <f t="shared" si="22"/>
        <v>0</v>
      </c>
      <c r="I1108" s="1435"/>
      <c r="J1108" s="1446">
        <f t="shared" si="23"/>
        <v>0</v>
      </c>
      <c r="K1108" s="898">
        <v>30500</v>
      </c>
    </row>
    <row r="1109" spans="4:11" ht="22.8" hidden="1" customHeight="1">
      <c r="D1109" s="916">
        <v>47</v>
      </c>
      <c r="E1109" s="895"/>
      <c r="F1109" s="896" t="s">
        <v>337</v>
      </c>
      <c r="G1109" s="897" t="s">
        <v>44</v>
      </c>
      <c r="H1109" s="894">
        <f t="shared" si="22"/>
        <v>0</v>
      </c>
      <c r="I1109" s="1435"/>
      <c r="J1109" s="1446">
        <f t="shared" si="23"/>
        <v>0</v>
      </c>
      <c r="K1109" s="898">
        <v>2800</v>
      </c>
    </row>
    <row r="1110" spans="4:11" ht="22.8" hidden="1" customHeight="1">
      <c r="D1110" s="916">
        <v>48</v>
      </c>
      <c r="E1110" s="895"/>
      <c r="F1110" s="896" t="s">
        <v>338</v>
      </c>
      <c r="G1110" s="897" t="s">
        <v>44</v>
      </c>
      <c r="H1110" s="894" t="e">
        <f t="shared" si="22"/>
        <v>#VALUE!</v>
      </c>
      <c r="I1110" s="1435" t="s">
        <v>339</v>
      </c>
      <c r="J1110" s="1446" t="e">
        <f t="shared" si="23"/>
        <v>#VALUE!</v>
      </c>
      <c r="K1110" s="898">
        <v>5300</v>
      </c>
    </row>
    <row r="1111" spans="4:11" ht="22.8" hidden="1" customHeight="1">
      <c r="D1111" s="916">
        <v>49</v>
      </c>
      <c r="E1111" s="895"/>
      <c r="F1111" s="896" t="s">
        <v>340</v>
      </c>
      <c r="G1111" s="897" t="s">
        <v>44</v>
      </c>
      <c r="H1111" s="894">
        <f t="shared" si="22"/>
        <v>0</v>
      </c>
      <c r="I1111" s="1435"/>
      <c r="J1111" s="1446">
        <f t="shared" si="23"/>
        <v>0</v>
      </c>
      <c r="K1111" s="898">
        <v>56200</v>
      </c>
    </row>
    <row r="1112" spans="4:11" ht="22.8" hidden="1" customHeight="1">
      <c r="D1112" s="916">
        <v>50</v>
      </c>
      <c r="E1112" s="895"/>
      <c r="F1112" s="896" t="s">
        <v>341</v>
      </c>
      <c r="G1112" s="897" t="s">
        <v>44</v>
      </c>
      <c r="H1112" s="894">
        <f t="shared" si="22"/>
        <v>0</v>
      </c>
      <c r="I1112" s="1435"/>
      <c r="J1112" s="1446">
        <f t="shared" si="23"/>
        <v>0</v>
      </c>
      <c r="K1112" s="898">
        <v>54500</v>
      </c>
    </row>
    <row r="1113" spans="4:11" ht="22.8" hidden="1" customHeight="1">
      <c r="D1113" s="916">
        <v>51</v>
      </c>
      <c r="E1113" s="895"/>
      <c r="F1113" s="896" t="s">
        <v>342</v>
      </c>
      <c r="G1113" s="897" t="s">
        <v>44</v>
      </c>
      <c r="H1113" s="894">
        <f t="shared" si="22"/>
        <v>0</v>
      </c>
      <c r="I1113" s="1435"/>
      <c r="J1113" s="1446">
        <f t="shared" si="23"/>
        <v>0</v>
      </c>
      <c r="K1113" s="898">
        <v>95000</v>
      </c>
    </row>
    <row r="1114" spans="4:11" ht="22.8" hidden="1" customHeight="1">
      <c r="D1114" s="916">
        <v>52</v>
      </c>
      <c r="E1114" s="895"/>
      <c r="F1114" s="896" t="s">
        <v>343</v>
      </c>
      <c r="G1114" s="897" t="s">
        <v>44</v>
      </c>
      <c r="H1114" s="894">
        <f t="shared" si="22"/>
        <v>0</v>
      </c>
      <c r="I1114" s="1435"/>
      <c r="J1114" s="1446">
        <f t="shared" si="23"/>
        <v>0</v>
      </c>
      <c r="K1114" s="898">
        <v>9600</v>
      </c>
    </row>
    <row r="1115" spans="4:11" ht="22.8" hidden="1" customHeight="1">
      <c r="D1115" s="916">
        <v>53</v>
      </c>
      <c r="E1115" s="895"/>
      <c r="F1115" s="896" t="s">
        <v>344</v>
      </c>
      <c r="G1115" s="897" t="s">
        <v>44</v>
      </c>
      <c r="H1115" s="894">
        <f t="shared" si="22"/>
        <v>0</v>
      </c>
      <c r="I1115" s="1435"/>
      <c r="J1115" s="1446">
        <f t="shared" si="23"/>
        <v>0</v>
      </c>
      <c r="K1115" s="898">
        <v>25600</v>
      </c>
    </row>
    <row r="1116" spans="4:11" ht="22.8" hidden="1" customHeight="1">
      <c r="D1116" s="916">
        <v>54</v>
      </c>
      <c r="E1116" s="895"/>
      <c r="F1116" s="896" t="s">
        <v>345</v>
      </c>
      <c r="G1116" s="897" t="s">
        <v>129</v>
      </c>
      <c r="H1116" s="894">
        <f t="shared" si="22"/>
        <v>0</v>
      </c>
      <c r="I1116" s="1435"/>
      <c r="J1116" s="1446">
        <f t="shared" si="23"/>
        <v>0</v>
      </c>
      <c r="K1116" s="898">
        <v>70000</v>
      </c>
    </row>
    <row r="1117" spans="4:11" ht="22.8" hidden="1" customHeight="1">
      <c r="D1117" s="916">
        <v>55</v>
      </c>
      <c r="E1117" s="895"/>
      <c r="F1117" s="896" t="s">
        <v>346</v>
      </c>
      <c r="G1117" s="897" t="s">
        <v>129</v>
      </c>
      <c r="H1117" s="894">
        <f t="shared" si="22"/>
        <v>0</v>
      </c>
      <c r="I1117" s="1435"/>
      <c r="J1117" s="1446">
        <f t="shared" si="23"/>
        <v>0</v>
      </c>
      <c r="K1117" s="898">
        <v>75000</v>
      </c>
    </row>
    <row r="1118" spans="4:11" ht="22.8" hidden="1" customHeight="1">
      <c r="D1118" s="916">
        <v>56</v>
      </c>
      <c r="E1118" s="895"/>
      <c r="F1118" s="896" t="s">
        <v>347</v>
      </c>
      <c r="G1118" s="897" t="s">
        <v>129</v>
      </c>
      <c r="H1118" s="894">
        <f t="shared" si="22"/>
        <v>0</v>
      </c>
      <c r="I1118" s="1435"/>
      <c r="J1118" s="1446">
        <f t="shared" si="23"/>
        <v>0</v>
      </c>
      <c r="K1118" s="898">
        <v>65000</v>
      </c>
    </row>
    <row r="1119" spans="4:11" ht="22.8" hidden="1" customHeight="1">
      <c r="D1119" s="916">
        <v>57</v>
      </c>
      <c r="E1119" s="895"/>
      <c r="F1119" s="896" t="s">
        <v>348</v>
      </c>
      <c r="G1119" s="897" t="s">
        <v>129</v>
      </c>
      <c r="H1119" s="894">
        <f t="shared" si="22"/>
        <v>0</v>
      </c>
      <c r="I1119" s="1435"/>
      <c r="J1119" s="1446">
        <f t="shared" si="23"/>
        <v>0</v>
      </c>
      <c r="K1119" s="898">
        <v>75000</v>
      </c>
    </row>
    <row r="1120" spans="4:11" ht="22.8" hidden="1" customHeight="1">
      <c r="D1120" s="916">
        <v>58</v>
      </c>
      <c r="E1120" s="895"/>
      <c r="F1120" s="896" t="s">
        <v>349</v>
      </c>
      <c r="G1120" s="897" t="s">
        <v>129</v>
      </c>
      <c r="H1120" s="894">
        <f t="shared" si="22"/>
        <v>0</v>
      </c>
      <c r="I1120" s="1435"/>
      <c r="J1120" s="1446">
        <f t="shared" si="23"/>
        <v>0</v>
      </c>
      <c r="K1120" s="898">
        <v>80000</v>
      </c>
    </row>
    <row r="1121" spans="4:11" ht="22.8" hidden="1" customHeight="1">
      <c r="D1121" s="916">
        <v>59</v>
      </c>
      <c r="E1121" s="895"/>
      <c r="F1121" s="896" t="s">
        <v>350</v>
      </c>
      <c r="G1121" s="897" t="s">
        <v>129</v>
      </c>
      <c r="H1121" s="894">
        <f t="shared" si="22"/>
        <v>0</v>
      </c>
      <c r="I1121" s="1435"/>
      <c r="J1121" s="1446">
        <f t="shared" si="23"/>
        <v>0</v>
      </c>
      <c r="K1121" s="898">
        <v>70000</v>
      </c>
    </row>
    <row r="1122" spans="4:11" ht="22.8" hidden="1" customHeight="1">
      <c r="D1122" s="916">
        <v>60</v>
      </c>
      <c r="E1122" s="895"/>
      <c r="F1122" s="896" t="s">
        <v>351</v>
      </c>
      <c r="G1122" s="897" t="s">
        <v>129</v>
      </c>
      <c r="H1122" s="894">
        <f t="shared" si="22"/>
        <v>0</v>
      </c>
      <c r="I1122" s="1435"/>
      <c r="J1122" s="1446">
        <f t="shared" si="23"/>
        <v>0</v>
      </c>
      <c r="K1122" s="898">
        <v>67000</v>
      </c>
    </row>
    <row r="1123" spans="4:11" ht="22.8" hidden="1" customHeight="1">
      <c r="D1123" s="916">
        <v>61</v>
      </c>
      <c r="E1123" s="895"/>
      <c r="F1123" s="896" t="s">
        <v>352</v>
      </c>
      <c r="G1123" s="897" t="s">
        <v>129</v>
      </c>
      <c r="H1123" s="894">
        <f t="shared" si="22"/>
        <v>0</v>
      </c>
      <c r="I1123" s="1435"/>
      <c r="J1123" s="1446">
        <f t="shared" si="23"/>
        <v>0</v>
      </c>
      <c r="K1123" s="898">
        <v>70000</v>
      </c>
    </row>
    <row r="1124" spans="4:11" ht="22.8" hidden="1" customHeight="1">
      <c r="D1124" s="916">
        <v>62</v>
      </c>
      <c r="E1124" s="895"/>
      <c r="F1124" s="896" t="s">
        <v>353</v>
      </c>
      <c r="G1124" s="897" t="s">
        <v>129</v>
      </c>
      <c r="H1124" s="894">
        <f t="shared" si="22"/>
        <v>0</v>
      </c>
      <c r="I1124" s="1435"/>
      <c r="J1124" s="1446">
        <f t="shared" si="23"/>
        <v>0</v>
      </c>
      <c r="K1124" s="898">
        <v>80000</v>
      </c>
    </row>
    <row r="1125" spans="4:11" ht="22.8" hidden="1" customHeight="1">
      <c r="D1125" s="916">
        <v>63</v>
      </c>
      <c r="E1125" s="895"/>
      <c r="F1125" s="896" t="s">
        <v>354</v>
      </c>
      <c r="G1125" s="897" t="s">
        <v>129</v>
      </c>
      <c r="H1125" s="894">
        <f t="shared" si="22"/>
        <v>0</v>
      </c>
      <c r="I1125" s="1435"/>
      <c r="J1125" s="1446">
        <f t="shared" si="23"/>
        <v>0</v>
      </c>
      <c r="K1125" s="898">
        <v>60000</v>
      </c>
    </row>
    <row r="1126" spans="4:11" ht="22.8" hidden="1" customHeight="1">
      <c r="D1126" s="916">
        <v>64</v>
      </c>
      <c r="E1126" s="895"/>
      <c r="F1126" s="896" t="s">
        <v>355</v>
      </c>
      <c r="G1126" s="897" t="s">
        <v>106</v>
      </c>
      <c r="H1126" s="894">
        <f t="shared" si="22"/>
        <v>0</v>
      </c>
      <c r="I1126" s="1435"/>
      <c r="J1126" s="1446">
        <f t="shared" si="23"/>
        <v>0</v>
      </c>
      <c r="K1126" s="898">
        <v>35000</v>
      </c>
    </row>
    <row r="1127" spans="4:11" ht="22.8" hidden="1" customHeight="1">
      <c r="D1127" s="916">
        <v>65</v>
      </c>
      <c r="E1127" s="895"/>
      <c r="F1127" s="896" t="s">
        <v>356</v>
      </c>
      <c r="G1127" s="897" t="s">
        <v>129</v>
      </c>
      <c r="H1127" s="894">
        <f t="shared" si="22"/>
        <v>0</v>
      </c>
      <c r="I1127" s="1435"/>
      <c r="J1127" s="1446">
        <f t="shared" si="23"/>
        <v>0</v>
      </c>
      <c r="K1127" s="898">
        <v>116300</v>
      </c>
    </row>
    <row r="1128" spans="4:11" ht="22.8" hidden="1" customHeight="1">
      <c r="D1128" s="916">
        <v>66</v>
      </c>
      <c r="E1128" s="895"/>
      <c r="F1128" s="896" t="s">
        <v>1801</v>
      </c>
      <c r="G1128" s="897" t="s">
        <v>129</v>
      </c>
      <c r="H1128" s="894">
        <f t="shared" si="22"/>
        <v>0</v>
      </c>
      <c r="I1128" s="1435"/>
      <c r="J1128" s="1446">
        <f t="shared" si="23"/>
        <v>0</v>
      </c>
      <c r="K1128" s="898">
        <v>85000</v>
      </c>
    </row>
    <row r="1129" spans="4:11" ht="22.8" hidden="1" customHeight="1">
      <c r="D1129" s="916">
        <v>67</v>
      </c>
      <c r="E1129" s="895"/>
      <c r="F1129" s="896" t="s">
        <v>357</v>
      </c>
      <c r="G1129" s="897" t="s">
        <v>129</v>
      </c>
      <c r="H1129" s="894">
        <f t="shared" si="22"/>
        <v>0</v>
      </c>
      <c r="I1129" s="1435"/>
      <c r="J1129" s="1446">
        <f t="shared" si="23"/>
        <v>0</v>
      </c>
      <c r="K1129" s="898">
        <v>83100</v>
      </c>
    </row>
    <row r="1130" spans="4:11" ht="22.8" hidden="1" customHeight="1">
      <c r="D1130" s="916">
        <v>68</v>
      </c>
      <c r="E1130" s="895"/>
      <c r="F1130" s="896" t="s">
        <v>2652</v>
      </c>
      <c r="G1130" s="897" t="s">
        <v>2653</v>
      </c>
      <c r="H1130" s="894">
        <f t="shared" si="22"/>
        <v>0</v>
      </c>
      <c r="I1130" s="1435"/>
      <c r="J1130" s="1446">
        <f t="shared" si="23"/>
        <v>0</v>
      </c>
      <c r="K1130" s="898">
        <v>85000</v>
      </c>
    </row>
    <row r="1131" spans="4:11" ht="22.8" hidden="1" customHeight="1">
      <c r="D1131" s="916">
        <v>69</v>
      </c>
      <c r="E1131" s="895"/>
      <c r="F1131" s="896" t="s">
        <v>358</v>
      </c>
      <c r="G1131" s="897" t="s">
        <v>129</v>
      </c>
      <c r="H1131" s="894">
        <f t="shared" si="22"/>
        <v>0</v>
      </c>
      <c r="I1131" s="1435"/>
      <c r="J1131" s="1446">
        <f t="shared" si="23"/>
        <v>0</v>
      </c>
      <c r="K1131" s="898">
        <v>55200</v>
      </c>
    </row>
    <row r="1132" spans="4:11" ht="22.8" hidden="1" customHeight="1">
      <c r="D1132" s="916">
        <v>70</v>
      </c>
      <c r="E1132" s="895"/>
      <c r="F1132" s="896" t="s">
        <v>359</v>
      </c>
      <c r="G1132" s="897" t="s">
        <v>129</v>
      </c>
      <c r="H1132" s="894">
        <f t="shared" si="22"/>
        <v>0</v>
      </c>
      <c r="I1132" s="1435"/>
      <c r="J1132" s="1446">
        <f t="shared" si="23"/>
        <v>0</v>
      </c>
      <c r="K1132" s="898">
        <v>63900</v>
      </c>
    </row>
    <row r="1133" spans="4:11" ht="22.8" hidden="1" customHeight="1">
      <c r="D1133" s="916">
        <v>71</v>
      </c>
      <c r="E1133" s="895"/>
      <c r="F1133" s="896" t="s">
        <v>1803</v>
      </c>
      <c r="G1133" s="897" t="s">
        <v>129</v>
      </c>
      <c r="H1133" s="894">
        <f t="shared" si="22"/>
        <v>0</v>
      </c>
      <c r="I1133" s="1435"/>
      <c r="J1133" s="1446">
        <f t="shared" si="23"/>
        <v>0</v>
      </c>
      <c r="K1133" s="898">
        <v>73300</v>
      </c>
    </row>
    <row r="1134" spans="4:11" ht="22.8" hidden="1" customHeight="1">
      <c r="D1134" s="916">
        <v>72</v>
      </c>
      <c r="E1134" s="895"/>
      <c r="F1134" s="896" t="s">
        <v>360</v>
      </c>
      <c r="G1134" s="897" t="s">
        <v>129</v>
      </c>
      <c r="H1134" s="894">
        <f t="shared" si="22"/>
        <v>0</v>
      </c>
      <c r="I1134" s="1435"/>
      <c r="J1134" s="1446">
        <f t="shared" si="23"/>
        <v>0</v>
      </c>
      <c r="K1134" s="898">
        <v>73000</v>
      </c>
    </row>
    <row r="1135" spans="4:11" ht="22.8" hidden="1" customHeight="1">
      <c r="D1135" s="916">
        <v>73</v>
      </c>
      <c r="E1135" s="895"/>
      <c r="F1135" s="896" t="s">
        <v>361</v>
      </c>
      <c r="G1135" s="897" t="s">
        <v>129</v>
      </c>
      <c r="H1135" s="894">
        <f t="shared" si="22"/>
        <v>0</v>
      </c>
      <c r="I1135" s="1435"/>
      <c r="J1135" s="1446">
        <f t="shared" si="23"/>
        <v>0</v>
      </c>
      <c r="K1135" s="898">
        <v>85500</v>
      </c>
    </row>
    <row r="1136" spans="4:11" ht="22.8" hidden="1" customHeight="1">
      <c r="D1136" s="916">
        <v>74</v>
      </c>
      <c r="E1136" s="895"/>
      <c r="F1136" s="896" t="s">
        <v>362</v>
      </c>
      <c r="G1136" s="897" t="s">
        <v>129</v>
      </c>
      <c r="H1136" s="894">
        <f t="shared" si="22"/>
        <v>0</v>
      </c>
      <c r="I1136" s="1435"/>
      <c r="J1136" s="1446">
        <f t="shared" si="23"/>
        <v>0</v>
      </c>
      <c r="K1136" s="898">
        <v>79000</v>
      </c>
    </row>
    <row r="1137" spans="4:11" ht="22.8" hidden="1" customHeight="1">
      <c r="D1137" s="916">
        <v>75</v>
      </c>
      <c r="E1137" s="895"/>
      <c r="F1137" s="896" t="s">
        <v>363</v>
      </c>
      <c r="G1137" s="897" t="s">
        <v>129</v>
      </c>
      <c r="H1137" s="894">
        <f t="shared" si="22"/>
        <v>0</v>
      </c>
      <c r="I1137" s="1435"/>
      <c r="J1137" s="1446">
        <f t="shared" si="23"/>
        <v>0</v>
      </c>
      <c r="K1137" s="898">
        <v>85000</v>
      </c>
    </row>
    <row r="1138" spans="4:11" ht="22.8" hidden="1" customHeight="1">
      <c r="D1138" s="916">
        <v>76</v>
      </c>
      <c r="E1138" s="895"/>
      <c r="F1138" s="896" t="s">
        <v>364</v>
      </c>
      <c r="G1138" s="897" t="s">
        <v>113</v>
      </c>
      <c r="H1138" s="894">
        <f t="shared" si="22"/>
        <v>0</v>
      </c>
      <c r="I1138" s="1435"/>
      <c r="J1138" s="1446">
        <f t="shared" si="23"/>
        <v>0</v>
      </c>
      <c r="K1138" s="898">
        <v>24800</v>
      </c>
    </row>
    <row r="1139" spans="4:11" ht="22.8" hidden="1" customHeight="1">
      <c r="D1139" s="916">
        <v>77</v>
      </c>
      <c r="E1139" s="895"/>
      <c r="F1139" s="896" t="s">
        <v>365</v>
      </c>
      <c r="G1139" s="897" t="s">
        <v>113</v>
      </c>
      <c r="H1139" s="894">
        <f t="shared" si="22"/>
        <v>0</v>
      </c>
      <c r="I1139" s="1435"/>
      <c r="J1139" s="1446">
        <f t="shared" si="23"/>
        <v>0</v>
      </c>
      <c r="K1139" s="898">
        <v>28100</v>
      </c>
    </row>
    <row r="1140" spans="4:11" ht="22.8" hidden="1" customHeight="1">
      <c r="D1140" s="916">
        <v>78</v>
      </c>
      <c r="E1140" s="895"/>
      <c r="F1140" s="896" t="s">
        <v>366</v>
      </c>
      <c r="G1140" s="897" t="s">
        <v>113</v>
      </c>
      <c r="H1140" s="894">
        <f t="shared" si="22"/>
        <v>0</v>
      </c>
      <c r="I1140" s="1435"/>
      <c r="J1140" s="1446">
        <f t="shared" si="23"/>
        <v>0</v>
      </c>
      <c r="K1140" s="898">
        <v>30400</v>
      </c>
    </row>
    <row r="1141" spans="4:11" ht="22.8" hidden="1" customHeight="1">
      <c r="D1141" s="916">
        <v>79</v>
      </c>
      <c r="E1141" s="895"/>
      <c r="F1141" s="896" t="s">
        <v>367</v>
      </c>
      <c r="G1141" s="897" t="s">
        <v>113</v>
      </c>
      <c r="H1141" s="894">
        <f t="shared" si="22"/>
        <v>0</v>
      </c>
      <c r="I1141" s="1435"/>
      <c r="J1141" s="1446">
        <f t="shared" si="23"/>
        <v>0</v>
      </c>
      <c r="K1141" s="898">
        <v>34600</v>
      </c>
    </row>
    <row r="1142" spans="4:11" ht="22.8" hidden="1" customHeight="1">
      <c r="D1142" s="916">
        <v>80</v>
      </c>
      <c r="E1142" s="895"/>
      <c r="F1142" s="896" t="s">
        <v>368</v>
      </c>
      <c r="G1142" s="897" t="s">
        <v>129</v>
      </c>
      <c r="H1142" s="894">
        <f t="shared" si="22"/>
        <v>0</v>
      </c>
      <c r="I1142" s="1435"/>
      <c r="J1142" s="1446">
        <f t="shared" si="23"/>
        <v>0</v>
      </c>
      <c r="K1142" s="898">
        <v>66900</v>
      </c>
    </row>
    <row r="1143" spans="4:11" ht="22.8" hidden="1" customHeight="1">
      <c r="D1143" s="916">
        <v>81</v>
      </c>
      <c r="E1143" s="895"/>
      <c r="F1143" s="896" t="s">
        <v>369</v>
      </c>
      <c r="G1143" s="897" t="s">
        <v>129</v>
      </c>
      <c r="H1143" s="894">
        <f t="shared" si="22"/>
        <v>0</v>
      </c>
      <c r="I1143" s="1435"/>
      <c r="J1143" s="1446">
        <f t="shared" si="23"/>
        <v>0</v>
      </c>
      <c r="K1143" s="898">
        <v>72200</v>
      </c>
    </row>
    <row r="1144" spans="4:11" ht="22.8" hidden="1" customHeight="1">
      <c r="D1144" s="916">
        <v>82</v>
      </c>
      <c r="E1144" s="895"/>
      <c r="F1144" s="896" t="s">
        <v>1842</v>
      </c>
      <c r="G1144" s="897" t="s">
        <v>129</v>
      </c>
      <c r="H1144" s="894">
        <f t="shared" si="22"/>
        <v>0</v>
      </c>
      <c r="I1144" s="1435"/>
      <c r="J1144" s="1446">
        <f t="shared" si="23"/>
        <v>0</v>
      </c>
      <c r="K1144" s="898">
        <v>72200</v>
      </c>
    </row>
    <row r="1145" spans="4:11" ht="22.8" hidden="1" customHeight="1">
      <c r="D1145" s="916">
        <v>83</v>
      </c>
      <c r="E1145" s="895"/>
      <c r="F1145" s="896" t="s">
        <v>2668</v>
      </c>
      <c r="G1145" s="897" t="s">
        <v>2468</v>
      </c>
      <c r="H1145" s="894">
        <f t="shared" si="22"/>
        <v>0</v>
      </c>
      <c r="I1145" s="1435"/>
      <c r="J1145" s="1446">
        <f t="shared" si="23"/>
        <v>0</v>
      </c>
      <c r="K1145" s="898">
        <v>72200</v>
      </c>
    </row>
    <row r="1146" spans="4:11" ht="22.8" hidden="1" customHeight="1">
      <c r="D1146" s="916">
        <v>84</v>
      </c>
      <c r="E1146" s="895"/>
      <c r="F1146" s="896" t="s">
        <v>370</v>
      </c>
      <c r="G1146" s="897" t="s">
        <v>113</v>
      </c>
      <c r="H1146" s="894">
        <f t="shared" si="22"/>
        <v>0</v>
      </c>
      <c r="I1146" s="1435"/>
      <c r="J1146" s="1446">
        <f t="shared" si="23"/>
        <v>0</v>
      </c>
      <c r="K1146" s="898">
        <v>70200</v>
      </c>
    </row>
    <row r="1147" spans="4:11" ht="22.8" hidden="1" customHeight="1">
      <c r="D1147" s="916">
        <v>85</v>
      </c>
      <c r="E1147" s="895"/>
      <c r="F1147" s="896" t="s">
        <v>371</v>
      </c>
      <c r="G1147" s="897" t="s">
        <v>113</v>
      </c>
      <c r="H1147" s="894">
        <f t="shared" si="22"/>
        <v>0</v>
      </c>
      <c r="I1147" s="1435"/>
      <c r="J1147" s="1446">
        <f t="shared" si="23"/>
        <v>0</v>
      </c>
      <c r="K1147" s="898">
        <v>74400</v>
      </c>
    </row>
    <row r="1148" spans="4:11" ht="22.8" hidden="1" customHeight="1">
      <c r="D1148" s="916">
        <v>86</v>
      </c>
      <c r="E1148" s="895"/>
      <c r="F1148" s="896" t="s">
        <v>371</v>
      </c>
      <c r="G1148" s="897" t="s">
        <v>129</v>
      </c>
      <c r="H1148" s="894">
        <f t="shared" ref="H1148:H1156" si="24">J1148</f>
        <v>0</v>
      </c>
      <c r="I1148" s="1435"/>
      <c r="J1148" s="1446">
        <f t="shared" si="23"/>
        <v>0</v>
      </c>
      <c r="K1148" s="898">
        <v>35000</v>
      </c>
    </row>
    <row r="1149" spans="4:11" ht="22.8" hidden="1" customHeight="1">
      <c r="D1149" s="916">
        <v>87</v>
      </c>
      <c r="E1149" s="895"/>
      <c r="F1149" s="896" t="s">
        <v>372</v>
      </c>
      <c r="G1149" s="897" t="s">
        <v>373</v>
      </c>
      <c r="H1149" s="894">
        <f t="shared" si="24"/>
        <v>0</v>
      </c>
      <c r="I1149" s="1435"/>
      <c r="J1149" s="1446">
        <f t="shared" si="23"/>
        <v>0</v>
      </c>
      <c r="K1149" s="898">
        <v>200000</v>
      </c>
    </row>
    <row r="1150" spans="4:11" ht="22.8" hidden="1" customHeight="1">
      <c r="D1150" s="916">
        <v>88</v>
      </c>
      <c r="E1150" s="895"/>
      <c r="F1150" s="896" t="s">
        <v>374</v>
      </c>
      <c r="G1150" s="897" t="s">
        <v>44</v>
      </c>
      <c r="H1150" s="894">
        <f t="shared" si="24"/>
        <v>0</v>
      </c>
      <c r="I1150" s="1435"/>
      <c r="J1150" s="1446">
        <f t="shared" si="23"/>
        <v>0</v>
      </c>
      <c r="K1150" s="898">
        <v>5000</v>
      </c>
    </row>
    <row r="1151" spans="4:11" ht="22.8" hidden="1" customHeight="1">
      <c r="D1151" s="916">
        <v>89</v>
      </c>
      <c r="E1151" s="895"/>
      <c r="F1151" s="896" t="s">
        <v>375</v>
      </c>
      <c r="G1151" s="897" t="s">
        <v>106</v>
      </c>
      <c r="H1151" s="894">
        <f t="shared" si="24"/>
        <v>0</v>
      </c>
      <c r="I1151" s="1435"/>
      <c r="J1151" s="1446">
        <f t="shared" si="23"/>
        <v>0</v>
      </c>
      <c r="K1151" s="898">
        <v>55000</v>
      </c>
    </row>
    <row r="1152" spans="4:11" ht="22.8" hidden="1" customHeight="1">
      <c r="D1152" s="916">
        <v>90</v>
      </c>
      <c r="E1152" s="895"/>
      <c r="F1152" s="896" t="s">
        <v>376</v>
      </c>
      <c r="G1152" s="897"/>
      <c r="H1152" s="894">
        <f t="shared" si="24"/>
        <v>0</v>
      </c>
      <c r="I1152" s="1435"/>
      <c r="J1152" s="1446">
        <f t="shared" ref="J1152:J1215" si="25">I1152-(I1152*10%)</f>
        <v>0</v>
      </c>
      <c r="K1152" s="898"/>
    </row>
    <row r="1153" spans="4:11" ht="22.8" hidden="1" customHeight="1">
      <c r="D1153" s="916">
        <v>91</v>
      </c>
      <c r="E1153" s="895"/>
      <c r="F1153" s="896" t="s">
        <v>377</v>
      </c>
      <c r="G1153" s="897" t="s">
        <v>129</v>
      </c>
      <c r="H1153" s="894">
        <f t="shared" si="24"/>
        <v>0</v>
      </c>
      <c r="I1153" s="1435"/>
      <c r="J1153" s="1446">
        <f t="shared" si="25"/>
        <v>0</v>
      </c>
      <c r="K1153" s="898">
        <v>17400</v>
      </c>
    </row>
    <row r="1154" spans="4:11" ht="22.8" hidden="1" customHeight="1">
      <c r="D1154" s="916">
        <v>92</v>
      </c>
      <c r="E1154" s="895"/>
      <c r="F1154" s="896" t="s">
        <v>378</v>
      </c>
      <c r="G1154" s="897" t="s">
        <v>65</v>
      </c>
      <c r="H1154" s="894">
        <f t="shared" si="24"/>
        <v>0</v>
      </c>
      <c r="I1154" s="1435"/>
      <c r="J1154" s="1446">
        <f t="shared" si="25"/>
        <v>0</v>
      </c>
      <c r="K1154" s="898">
        <v>5000</v>
      </c>
    </row>
    <row r="1155" spans="4:11" ht="22.8" hidden="1" customHeight="1">
      <c r="D1155" s="916">
        <v>93</v>
      </c>
      <c r="E1155" s="895"/>
      <c r="F1155" s="896" t="s">
        <v>379</v>
      </c>
      <c r="G1155" s="897" t="s">
        <v>106</v>
      </c>
      <c r="H1155" s="894">
        <f t="shared" si="24"/>
        <v>0</v>
      </c>
      <c r="I1155" s="1435"/>
      <c r="J1155" s="1446">
        <f t="shared" si="25"/>
        <v>0</v>
      </c>
      <c r="K1155" s="898">
        <v>18000</v>
      </c>
    </row>
    <row r="1156" spans="4:11" ht="22.8" customHeight="1">
      <c r="D1156" s="1422">
        <v>1</v>
      </c>
      <c r="E1156" s="895"/>
      <c r="F1156" s="896" t="s">
        <v>1852</v>
      </c>
      <c r="G1156" s="897" t="s">
        <v>129</v>
      </c>
      <c r="H1156" s="894">
        <f t="shared" si="24"/>
        <v>72000</v>
      </c>
      <c r="I1156" s="1435">
        <v>80000</v>
      </c>
      <c r="J1156" s="1446">
        <f t="shared" si="25"/>
        <v>72000</v>
      </c>
      <c r="K1156" s="898">
        <v>200000</v>
      </c>
    </row>
    <row r="1157" spans="4:11" ht="22.8" hidden="1" customHeight="1">
      <c r="D1157" s="916">
        <v>95</v>
      </c>
      <c r="E1157" s="895"/>
      <c r="F1157" s="896" t="s">
        <v>380</v>
      </c>
      <c r="G1157" s="897" t="s">
        <v>62</v>
      </c>
      <c r="H1157" s="898">
        <v>80800</v>
      </c>
      <c r="I1157" s="1435"/>
      <c r="J1157" s="1446">
        <f t="shared" si="25"/>
        <v>0</v>
      </c>
      <c r="K1157" s="898">
        <v>80800</v>
      </c>
    </row>
    <row r="1158" spans="4:11" ht="22.8" hidden="1" customHeight="1">
      <c r="D1158" s="916">
        <v>96</v>
      </c>
      <c r="E1158" s="895"/>
      <c r="F1158" s="896" t="s">
        <v>381</v>
      </c>
      <c r="G1158" s="897" t="s">
        <v>62</v>
      </c>
      <c r="H1158" s="898">
        <v>99300</v>
      </c>
      <c r="I1158" s="1435"/>
      <c r="J1158" s="1446">
        <f t="shared" si="25"/>
        <v>0</v>
      </c>
      <c r="K1158" s="898">
        <v>99300</v>
      </c>
    </row>
    <row r="1159" spans="4:11" ht="22.8" hidden="1" customHeight="1">
      <c r="D1159" s="916">
        <v>97</v>
      </c>
      <c r="E1159" s="895"/>
      <c r="F1159" s="896" t="s">
        <v>382</v>
      </c>
      <c r="G1159" s="897" t="s">
        <v>129</v>
      </c>
      <c r="H1159" s="898">
        <v>93000</v>
      </c>
      <c r="I1159" s="1435"/>
      <c r="J1159" s="1446">
        <f t="shared" si="25"/>
        <v>0</v>
      </c>
      <c r="K1159" s="898">
        <v>93000</v>
      </c>
    </row>
    <row r="1160" spans="4:11" ht="22.8" hidden="1" customHeight="1">
      <c r="D1160" s="916">
        <v>98</v>
      </c>
      <c r="E1160" s="895"/>
      <c r="F1160" s="896" t="s">
        <v>2782</v>
      </c>
      <c r="G1160" s="897" t="s">
        <v>2653</v>
      </c>
      <c r="H1160" s="898">
        <v>96000</v>
      </c>
      <c r="I1160" s="1435"/>
      <c r="J1160" s="1446">
        <f t="shared" si="25"/>
        <v>0</v>
      </c>
      <c r="K1160" s="898">
        <v>96000</v>
      </c>
    </row>
    <row r="1161" spans="4:11" ht="22.8" customHeight="1">
      <c r="D1161" s="1422">
        <v>1</v>
      </c>
      <c r="E1161" s="895"/>
      <c r="F1161" s="896" t="s">
        <v>383</v>
      </c>
      <c r="G1161" s="897" t="s">
        <v>129</v>
      </c>
      <c r="H1161" s="898">
        <v>70000</v>
      </c>
      <c r="I1161" s="1442"/>
      <c r="J1161" s="1446">
        <f t="shared" si="25"/>
        <v>0</v>
      </c>
      <c r="K1161" s="898">
        <v>70000</v>
      </c>
    </row>
    <row r="1162" spans="4:11" ht="22.8" hidden="1" customHeight="1">
      <c r="D1162" s="916">
        <v>100</v>
      </c>
      <c r="E1162" s="895"/>
      <c r="F1162" s="896" t="s">
        <v>2783</v>
      </c>
      <c r="G1162" s="897" t="s">
        <v>62</v>
      </c>
      <c r="H1162" s="898">
        <v>290000</v>
      </c>
      <c r="I1162" s="1435"/>
      <c r="J1162" s="1446">
        <f t="shared" si="25"/>
        <v>0</v>
      </c>
      <c r="K1162" s="898">
        <v>290000</v>
      </c>
    </row>
    <row r="1163" spans="4:11" ht="22.8" hidden="1" customHeight="1">
      <c r="D1163" s="916">
        <v>101</v>
      </c>
      <c r="E1163" s="895"/>
      <c r="F1163" s="896" t="s">
        <v>384</v>
      </c>
      <c r="G1163" s="897" t="s">
        <v>62</v>
      </c>
      <c r="H1163" s="898">
        <v>180000</v>
      </c>
      <c r="I1163" s="1435"/>
      <c r="J1163" s="1446">
        <f t="shared" si="25"/>
        <v>0</v>
      </c>
      <c r="K1163" s="898">
        <v>180000</v>
      </c>
    </row>
    <row r="1164" spans="4:11" ht="22.8" hidden="1" customHeight="1">
      <c r="D1164" s="916">
        <v>102</v>
      </c>
      <c r="E1164" s="895"/>
      <c r="F1164" s="896" t="s">
        <v>385</v>
      </c>
      <c r="G1164" s="897" t="s">
        <v>62</v>
      </c>
      <c r="H1164" s="898">
        <v>200000</v>
      </c>
      <c r="I1164" s="1435"/>
      <c r="J1164" s="1446">
        <f t="shared" si="25"/>
        <v>0</v>
      </c>
      <c r="K1164" s="898">
        <v>200000</v>
      </c>
    </row>
    <row r="1165" spans="4:11" ht="22.8" customHeight="1">
      <c r="D1165" s="1422">
        <v>1</v>
      </c>
      <c r="E1165" s="895"/>
      <c r="F1165" s="896" t="s">
        <v>386</v>
      </c>
      <c r="G1165" s="897" t="s">
        <v>113</v>
      </c>
      <c r="H1165" s="894">
        <f t="shared" ref="H1165" si="26">J1165</f>
        <v>9900</v>
      </c>
      <c r="I1165" s="1435">
        <v>11000</v>
      </c>
      <c r="J1165" s="1446">
        <f t="shared" si="25"/>
        <v>9900</v>
      </c>
      <c r="K1165" s="898">
        <v>15800</v>
      </c>
    </row>
    <row r="1166" spans="4:11" ht="22.8" customHeight="1">
      <c r="D1166" s="1422">
        <v>1</v>
      </c>
      <c r="E1166" s="895"/>
      <c r="F1166" s="896" t="s">
        <v>387</v>
      </c>
      <c r="G1166" s="897" t="s">
        <v>113</v>
      </c>
      <c r="H1166" s="898">
        <f>J1166/4</f>
        <v>24750</v>
      </c>
      <c r="I1166" s="1435" t="s">
        <v>9075</v>
      </c>
      <c r="J1166" s="1446">
        <f>110000-(110000*10%)</f>
        <v>99000</v>
      </c>
      <c r="K1166" s="898">
        <v>21000</v>
      </c>
    </row>
    <row r="1167" spans="4:11" ht="22.8" hidden="1" customHeight="1">
      <c r="D1167" s="916">
        <v>105</v>
      </c>
      <c r="E1167" s="895"/>
      <c r="F1167" s="896" t="s">
        <v>388</v>
      </c>
      <c r="G1167" s="897" t="s">
        <v>113</v>
      </c>
      <c r="H1167" s="898">
        <v>23000</v>
      </c>
      <c r="I1167" s="1435"/>
      <c r="J1167" s="1446">
        <f t="shared" si="25"/>
        <v>0</v>
      </c>
      <c r="K1167" s="898">
        <v>23000</v>
      </c>
    </row>
    <row r="1168" spans="4:11" ht="22.8" hidden="1" customHeight="1">
      <c r="D1168" s="916">
        <v>106</v>
      </c>
      <c r="E1168" s="895"/>
      <c r="F1168" s="896" t="s">
        <v>389</v>
      </c>
      <c r="G1168" s="897" t="s">
        <v>106</v>
      </c>
      <c r="H1168" s="898">
        <v>34000</v>
      </c>
      <c r="I1168" s="1435"/>
      <c r="J1168" s="1446">
        <f t="shared" si="25"/>
        <v>0</v>
      </c>
      <c r="K1168" s="898">
        <v>34000</v>
      </c>
    </row>
    <row r="1169" spans="4:11" ht="22.8" hidden="1" customHeight="1">
      <c r="D1169" s="916">
        <v>107</v>
      </c>
      <c r="E1169" s="895"/>
      <c r="F1169" s="896" t="s">
        <v>390</v>
      </c>
      <c r="G1169" s="897" t="s">
        <v>62</v>
      </c>
      <c r="H1169" s="898">
        <v>45000</v>
      </c>
      <c r="I1169" s="1435"/>
      <c r="J1169" s="1446">
        <f t="shared" si="25"/>
        <v>0</v>
      </c>
      <c r="K1169" s="898">
        <v>45000</v>
      </c>
    </row>
    <row r="1170" spans="4:11" ht="22.8" customHeight="1">
      <c r="D1170" s="1422">
        <v>1</v>
      </c>
      <c r="E1170" s="895"/>
      <c r="F1170" s="896" t="s">
        <v>1853</v>
      </c>
      <c r="G1170" s="897" t="s">
        <v>129</v>
      </c>
      <c r="H1170" s="894">
        <f t="shared" ref="H1170" si="27">J1170</f>
        <v>101475</v>
      </c>
      <c r="I1170" s="1435">
        <v>112750</v>
      </c>
      <c r="J1170" s="1446">
        <f t="shared" si="25"/>
        <v>101475</v>
      </c>
      <c r="K1170" s="898">
        <v>62400</v>
      </c>
    </row>
    <row r="1171" spans="4:11" ht="22.8" hidden="1" customHeight="1">
      <c r="D1171" s="916">
        <v>109</v>
      </c>
      <c r="E1171" s="895"/>
      <c r="F1171" s="896" t="s">
        <v>391</v>
      </c>
      <c r="G1171" s="897" t="s">
        <v>129</v>
      </c>
      <c r="H1171" s="898">
        <v>62400</v>
      </c>
      <c r="I1171" s="1435"/>
      <c r="J1171" s="1446">
        <f t="shared" si="25"/>
        <v>0</v>
      </c>
      <c r="K1171" s="898">
        <v>62400</v>
      </c>
    </row>
    <row r="1172" spans="4:11" ht="22.8" hidden="1" customHeight="1">
      <c r="D1172" s="916">
        <v>110</v>
      </c>
      <c r="E1172" s="895"/>
      <c r="F1172" s="896" t="s">
        <v>392</v>
      </c>
      <c r="G1172" s="897" t="s">
        <v>129</v>
      </c>
      <c r="H1172" s="898">
        <v>69800</v>
      </c>
      <c r="I1172" s="1435"/>
      <c r="J1172" s="1446">
        <f t="shared" si="25"/>
        <v>0</v>
      </c>
      <c r="K1172" s="898">
        <v>69800</v>
      </c>
    </row>
    <row r="1173" spans="4:11" ht="22.8" hidden="1" customHeight="1">
      <c r="D1173" s="916">
        <v>111</v>
      </c>
      <c r="E1173" s="895"/>
      <c r="F1173" s="896" t="s">
        <v>393</v>
      </c>
      <c r="G1173" s="897" t="s">
        <v>129</v>
      </c>
      <c r="H1173" s="898">
        <v>6200</v>
      </c>
      <c r="I1173" s="1435"/>
      <c r="J1173" s="1446">
        <f t="shared" si="25"/>
        <v>0</v>
      </c>
      <c r="K1173" s="898">
        <v>6200</v>
      </c>
    </row>
    <row r="1174" spans="4:11" ht="22.8" hidden="1" customHeight="1">
      <c r="D1174" s="916">
        <v>112</v>
      </c>
      <c r="E1174" s="895"/>
      <c r="F1174" s="896" t="s">
        <v>394</v>
      </c>
      <c r="G1174" s="897" t="s">
        <v>129</v>
      </c>
      <c r="H1174" s="898">
        <v>13900</v>
      </c>
      <c r="I1174" s="1435"/>
      <c r="J1174" s="1446">
        <f t="shared" si="25"/>
        <v>0</v>
      </c>
      <c r="K1174" s="898">
        <v>13900</v>
      </c>
    </row>
    <row r="1175" spans="4:11" ht="22.8" hidden="1" customHeight="1">
      <c r="D1175" s="916">
        <v>113</v>
      </c>
      <c r="E1175" s="895"/>
      <c r="F1175" s="896" t="s">
        <v>395</v>
      </c>
      <c r="G1175" s="897" t="s">
        <v>129</v>
      </c>
      <c r="H1175" s="898">
        <v>24000</v>
      </c>
      <c r="I1175" s="1435"/>
      <c r="J1175" s="1446">
        <f t="shared" si="25"/>
        <v>0</v>
      </c>
      <c r="K1175" s="898">
        <v>24000</v>
      </c>
    </row>
    <row r="1176" spans="4:11" ht="22.8" customHeight="1">
      <c r="D1176" s="915" t="s">
        <v>1221</v>
      </c>
      <c r="E1176" s="1795" t="s">
        <v>396</v>
      </c>
      <c r="F1176" s="1796"/>
      <c r="G1176" s="897"/>
      <c r="H1176" s="898"/>
      <c r="I1176" s="1435"/>
      <c r="J1176" s="1446">
        <f t="shared" si="25"/>
        <v>0</v>
      </c>
      <c r="K1176" s="898"/>
    </row>
    <row r="1177" spans="4:11" ht="22.8" hidden="1" customHeight="1">
      <c r="D1177" s="916">
        <v>1</v>
      </c>
      <c r="E1177" s="895"/>
      <c r="F1177" s="896" t="s">
        <v>397</v>
      </c>
      <c r="G1177" s="897" t="s">
        <v>113</v>
      </c>
      <c r="H1177" s="898">
        <v>125000</v>
      </c>
      <c r="I1177" s="1435"/>
      <c r="J1177" s="1446">
        <f t="shared" si="25"/>
        <v>0</v>
      </c>
      <c r="K1177" s="898">
        <v>125000</v>
      </c>
    </row>
    <row r="1178" spans="4:11" ht="22.8" hidden="1" customHeight="1">
      <c r="D1178" s="916">
        <v>2</v>
      </c>
      <c r="E1178" s="895"/>
      <c r="F1178" s="896" t="s">
        <v>398</v>
      </c>
      <c r="G1178" s="897" t="s">
        <v>44</v>
      </c>
      <c r="H1178" s="898">
        <v>2500</v>
      </c>
      <c r="I1178" s="1435"/>
      <c r="J1178" s="1446">
        <f t="shared" si="25"/>
        <v>0</v>
      </c>
      <c r="K1178" s="898">
        <v>2500</v>
      </c>
    </row>
    <row r="1179" spans="4:11" ht="22.8" hidden="1" customHeight="1">
      <c r="D1179" s="916">
        <v>3</v>
      </c>
      <c r="E1179" s="895"/>
      <c r="F1179" s="896" t="s">
        <v>399</v>
      </c>
      <c r="G1179" s="897" t="s">
        <v>44</v>
      </c>
      <c r="H1179" s="898">
        <v>3000</v>
      </c>
      <c r="I1179" s="1435">
        <v>1200</v>
      </c>
      <c r="J1179" s="1446">
        <f t="shared" si="25"/>
        <v>1080</v>
      </c>
      <c r="K1179" s="898">
        <v>3000</v>
      </c>
    </row>
    <row r="1180" spans="4:11" ht="22.8" hidden="1" customHeight="1">
      <c r="D1180" s="916">
        <v>4</v>
      </c>
      <c r="E1180" s="895"/>
      <c r="F1180" s="896" t="s">
        <v>400</v>
      </c>
      <c r="G1180" s="897" t="s">
        <v>62</v>
      </c>
      <c r="H1180" s="898">
        <v>165000</v>
      </c>
      <c r="I1180" s="1435"/>
      <c r="J1180" s="1446">
        <f t="shared" si="25"/>
        <v>0</v>
      </c>
      <c r="K1180" s="898">
        <v>165000</v>
      </c>
    </row>
    <row r="1181" spans="4:11" ht="22.8" hidden="1" customHeight="1">
      <c r="D1181" s="916">
        <v>5</v>
      </c>
      <c r="E1181" s="895"/>
      <c r="F1181" s="896" t="s">
        <v>401</v>
      </c>
      <c r="G1181" s="897" t="s">
        <v>62</v>
      </c>
      <c r="H1181" s="898">
        <v>265000</v>
      </c>
      <c r="I1181" s="1435"/>
      <c r="J1181" s="1446">
        <f t="shared" si="25"/>
        <v>0</v>
      </c>
      <c r="K1181" s="898">
        <v>265000</v>
      </c>
    </row>
    <row r="1182" spans="4:11" ht="22.8" hidden="1" customHeight="1">
      <c r="D1182" s="916">
        <v>6</v>
      </c>
      <c r="E1182" s="895"/>
      <c r="F1182" s="896" t="s">
        <v>63</v>
      </c>
      <c r="G1182" s="897" t="s">
        <v>62</v>
      </c>
      <c r="H1182" s="898">
        <v>125000</v>
      </c>
      <c r="I1182" s="1435"/>
      <c r="J1182" s="1446">
        <f t="shared" si="25"/>
        <v>0</v>
      </c>
      <c r="K1182" s="898">
        <v>125000</v>
      </c>
    </row>
    <row r="1183" spans="4:11" ht="22.8" hidden="1" customHeight="1">
      <c r="D1183" s="916">
        <v>7</v>
      </c>
      <c r="E1183" s="895"/>
      <c r="F1183" s="896" t="s">
        <v>402</v>
      </c>
      <c r="G1183" s="897" t="s">
        <v>62</v>
      </c>
      <c r="H1183" s="898">
        <v>131600</v>
      </c>
      <c r="I1183" s="1435"/>
      <c r="J1183" s="1446">
        <f t="shared" si="25"/>
        <v>0</v>
      </c>
      <c r="K1183" s="898">
        <v>131600</v>
      </c>
    </row>
    <row r="1184" spans="4:11" ht="22.8" hidden="1" customHeight="1">
      <c r="D1184" s="916">
        <v>8</v>
      </c>
      <c r="E1184" s="895"/>
      <c r="F1184" s="896" t="s">
        <v>73</v>
      </c>
      <c r="G1184" s="897" t="s">
        <v>62</v>
      </c>
      <c r="H1184" s="898">
        <v>121600</v>
      </c>
      <c r="I1184" s="1435"/>
      <c r="J1184" s="1446">
        <f t="shared" si="25"/>
        <v>0</v>
      </c>
      <c r="K1184" s="898">
        <v>121600</v>
      </c>
    </row>
    <row r="1185" spans="4:11" ht="22.8" hidden="1" customHeight="1">
      <c r="D1185" s="916">
        <v>9</v>
      </c>
      <c r="E1185" s="895"/>
      <c r="F1185" s="896" t="s">
        <v>403</v>
      </c>
      <c r="G1185" s="897" t="s">
        <v>65</v>
      </c>
      <c r="H1185" s="898">
        <v>5000</v>
      </c>
      <c r="I1185" s="1435"/>
      <c r="J1185" s="1446">
        <f t="shared" si="25"/>
        <v>0</v>
      </c>
      <c r="K1185" s="898">
        <v>5000</v>
      </c>
    </row>
    <row r="1186" spans="4:11" ht="22.8" hidden="1" customHeight="1">
      <c r="D1186" s="916">
        <v>10</v>
      </c>
      <c r="E1186" s="895"/>
      <c r="F1186" s="896" t="s">
        <v>404</v>
      </c>
      <c r="G1186" s="897" t="s">
        <v>62</v>
      </c>
      <c r="H1186" s="898">
        <v>195000</v>
      </c>
      <c r="I1186" s="1435"/>
      <c r="J1186" s="1446">
        <f t="shared" si="25"/>
        <v>0</v>
      </c>
      <c r="K1186" s="898">
        <v>195000</v>
      </c>
    </row>
    <row r="1187" spans="4:11" ht="22.8" hidden="1" customHeight="1">
      <c r="D1187" s="916">
        <v>11</v>
      </c>
      <c r="E1187" s="895"/>
      <c r="F1187" s="896" t="s">
        <v>405</v>
      </c>
      <c r="G1187" s="897" t="s">
        <v>62</v>
      </c>
      <c r="H1187" s="898">
        <v>420000</v>
      </c>
      <c r="I1187" s="1435"/>
      <c r="J1187" s="1446">
        <f t="shared" si="25"/>
        <v>0</v>
      </c>
      <c r="K1187" s="898">
        <v>420000</v>
      </c>
    </row>
    <row r="1188" spans="4:11" ht="22.8" hidden="1" customHeight="1">
      <c r="D1188" s="916">
        <v>12</v>
      </c>
      <c r="E1188" s="895"/>
      <c r="F1188" s="896" t="s">
        <v>406</v>
      </c>
      <c r="G1188" s="897" t="s">
        <v>62</v>
      </c>
      <c r="H1188" s="898">
        <v>420000</v>
      </c>
      <c r="I1188" s="1435"/>
      <c r="J1188" s="1446">
        <f t="shared" si="25"/>
        <v>0</v>
      </c>
      <c r="K1188" s="898">
        <v>420000</v>
      </c>
    </row>
    <row r="1189" spans="4:11" ht="22.8" hidden="1" customHeight="1">
      <c r="D1189" s="916">
        <v>13</v>
      </c>
      <c r="E1189" s="895"/>
      <c r="F1189" s="896" t="s">
        <v>407</v>
      </c>
      <c r="G1189" s="897" t="s">
        <v>62</v>
      </c>
      <c r="H1189" s="898">
        <v>275000</v>
      </c>
      <c r="I1189" s="1435"/>
      <c r="J1189" s="1446">
        <f t="shared" si="25"/>
        <v>0</v>
      </c>
      <c r="K1189" s="898">
        <v>275000</v>
      </c>
    </row>
    <row r="1190" spans="4:11" ht="22.8" hidden="1" customHeight="1">
      <c r="D1190" s="916">
        <v>14</v>
      </c>
      <c r="E1190" s="895"/>
      <c r="F1190" s="896" t="s">
        <v>408</v>
      </c>
      <c r="G1190" s="897" t="s">
        <v>62</v>
      </c>
      <c r="H1190" s="898">
        <v>315000</v>
      </c>
      <c r="I1190" s="1435"/>
      <c r="J1190" s="1446">
        <f t="shared" si="25"/>
        <v>0</v>
      </c>
      <c r="K1190" s="898">
        <v>315000</v>
      </c>
    </row>
    <row r="1191" spans="4:11" ht="22.8" hidden="1" customHeight="1">
      <c r="D1191" s="916">
        <v>15</v>
      </c>
      <c r="E1191" s="895"/>
      <c r="F1191" s="896" t="s">
        <v>409</v>
      </c>
      <c r="G1191" s="897" t="s">
        <v>62</v>
      </c>
      <c r="H1191" s="898">
        <v>220100</v>
      </c>
      <c r="I1191" s="1435"/>
      <c r="J1191" s="1446">
        <f t="shared" si="25"/>
        <v>0</v>
      </c>
      <c r="K1191" s="898">
        <v>220100</v>
      </c>
    </row>
    <row r="1192" spans="4:11" ht="22.8" hidden="1" customHeight="1">
      <c r="D1192" s="916">
        <v>16</v>
      </c>
      <c r="E1192" s="895"/>
      <c r="F1192" s="896" t="s">
        <v>410</v>
      </c>
      <c r="G1192" s="897" t="s">
        <v>44</v>
      </c>
      <c r="H1192" s="898">
        <v>27700</v>
      </c>
      <c r="I1192" s="1435"/>
      <c r="J1192" s="1446">
        <f t="shared" si="25"/>
        <v>0</v>
      </c>
      <c r="K1192" s="898">
        <v>27700</v>
      </c>
    </row>
    <row r="1193" spans="4:11" ht="22.8" hidden="1" customHeight="1">
      <c r="D1193" s="916">
        <v>17</v>
      </c>
      <c r="E1193" s="895"/>
      <c r="F1193" s="896" t="s">
        <v>411</v>
      </c>
      <c r="G1193" s="897" t="s">
        <v>44</v>
      </c>
      <c r="H1193" s="898">
        <v>39200</v>
      </c>
      <c r="I1193" s="1435"/>
      <c r="J1193" s="1446">
        <f t="shared" si="25"/>
        <v>0</v>
      </c>
      <c r="K1193" s="898">
        <v>39200</v>
      </c>
    </row>
    <row r="1194" spans="4:11" ht="22.8" hidden="1" customHeight="1">
      <c r="D1194" s="916">
        <v>18</v>
      </c>
      <c r="E1194" s="895"/>
      <c r="F1194" s="896" t="s">
        <v>412</v>
      </c>
      <c r="G1194" s="897" t="s">
        <v>44</v>
      </c>
      <c r="H1194" s="898">
        <v>92800</v>
      </c>
      <c r="I1194" s="1435"/>
      <c r="J1194" s="1446">
        <f t="shared" si="25"/>
        <v>0</v>
      </c>
      <c r="K1194" s="898">
        <v>92800</v>
      </c>
    </row>
    <row r="1195" spans="4:11" ht="22.8" hidden="1" customHeight="1">
      <c r="D1195" s="916">
        <v>19</v>
      </c>
      <c r="E1195" s="895"/>
      <c r="F1195" s="896" t="s">
        <v>413</v>
      </c>
      <c r="G1195" s="897" t="s">
        <v>62</v>
      </c>
      <c r="H1195" s="898">
        <v>326400</v>
      </c>
      <c r="I1195" s="1435"/>
      <c r="J1195" s="1446">
        <f t="shared" si="25"/>
        <v>0</v>
      </c>
      <c r="K1195" s="898">
        <v>326400</v>
      </c>
    </row>
    <row r="1196" spans="4:11" ht="22.8" hidden="1" customHeight="1">
      <c r="D1196" s="916">
        <v>20</v>
      </c>
      <c r="E1196" s="895"/>
      <c r="F1196" s="896" t="s">
        <v>414</v>
      </c>
      <c r="G1196" s="897" t="s">
        <v>62</v>
      </c>
      <c r="H1196" s="898">
        <v>242500</v>
      </c>
      <c r="I1196" s="1435"/>
      <c r="J1196" s="1446">
        <f t="shared" si="25"/>
        <v>0</v>
      </c>
      <c r="K1196" s="898">
        <v>242500</v>
      </c>
    </row>
    <row r="1197" spans="4:11" ht="22.8" hidden="1" customHeight="1">
      <c r="D1197" s="916">
        <v>21</v>
      </c>
      <c r="E1197" s="895"/>
      <c r="F1197" s="896" t="s">
        <v>415</v>
      </c>
      <c r="G1197" s="897" t="s">
        <v>62</v>
      </c>
      <c r="H1197" s="898">
        <v>330600</v>
      </c>
      <c r="I1197" s="1435"/>
      <c r="J1197" s="1446">
        <f t="shared" si="25"/>
        <v>0</v>
      </c>
      <c r="K1197" s="898">
        <v>330600</v>
      </c>
    </row>
    <row r="1198" spans="4:11" ht="22.8" hidden="1" customHeight="1">
      <c r="D1198" s="916">
        <v>22</v>
      </c>
      <c r="E1198" s="895"/>
      <c r="F1198" s="896" t="s">
        <v>416</v>
      </c>
      <c r="G1198" s="897" t="s">
        <v>44</v>
      </c>
      <c r="H1198" s="898">
        <v>20000</v>
      </c>
      <c r="I1198" s="1435"/>
      <c r="J1198" s="1446">
        <f t="shared" si="25"/>
        <v>0</v>
      </c>
      <c r="K1198" s="898">
        <v>20000</v>
      </c>
    </row>
    <row r="1199" spans="4:11" ht="22.8" hidden="1" customHeight="1">
      <c r="D1199" s="916">
        <v>23</v>
      </c>
      <c r="E1199" s="895"/>
      <c r="F1199" s="896" t="s">
        <v>417</v>
      </c>
      <c r="G1199" s="897" t="s">
        <v>44</v>
      </c>
      <c r="H1199" s="898">
        <v>30000</v>
      </c>
      <c r="I1199" s="1435"/>
      <c r="J1199" s="1446">
        <f t="shared" si="25"/>
        <v>0</v>
      </c>
      <c r="K1199" s="898">
        <v>30000</v>
      </c>
    </row>
    <row r="1200" spans="4:11" ht="22.8" hidden="1" customHeight="1">
      <c r="D1200" s="916">
        <v>24</v>
      </c>
      <c r="E1200" s="895"/>
      <c r="F1200" s="896" t="s">
        <v>418</v>
      </c>
      <c r="G1200" s="897" t="s">
        <v>44</v>
      </c>
      <c r="H1200" s="898">
        <v>50000</v>
      </c>
      <c r="I1200" s="1435"/>
      <c r="J1200" s="1446">
        <f t="shared" si="25"/>
        <v>0</v>
      </c>
      <c r="K1200" s="898">
        <v>50000</v>
      </c>
    </row>
    <row r="1201" spans="4:11" ht="22.8" hidden="1" customHeight="1">
      <c r="D1201" s="916">
        <v>25</v>
      </c>
      <c r="E1201" s="895"/>
      <c r="F1201" s="896" t="s">
        <v>2886</v>
      </c>
      <c r="G1201" s="897" t="s">
        <v>44</v>
      </c>
      <c r="H1201" s="898">
        <v>27000</v>
      </c>
      <c r="I1201" s="1435"/>
      <c r="J1201" s="1446">
        <f t="shared" si="25"/>
        <v>0</v>
      </c>
      <c r="K1201" s="898">
        <v>27000</v>
      </c>
    </row>
    <row r="1202" spans="4:11" ht="22.8" hidden="1" customHeight="1">
      <c r="D1202" s="916">
        <v>26</v>
      </c>
      <c r="E1202" s="895"/>
      <c r="F1202" s="896" t="s">
        <v>2887</v>
      </c>
      <c r="G1202" s="897" t="s">
        <v>44</v>
      </c>
      <c r="H1202" s="898">
        <v>39000</v>
      </c>
      <c r="I1202" s="1435"/>
      <c r="J1202" s="1446">
        <f t="shared" si="25"/>
        <v>0</v>
      </c>
      <c r="K1202" s="898">
        <v>39000</v>
      </c>
    </row>
    <row r="1203" spans="4:11" ht="22.8" hidden="1" customHeight="1">
      <c r="D1203" s="916">
        <v>27</v>
      </c>
      <c r="E1203" s="895"/>
      <c r="F1203" s="896" t="s">
        <v>2888</v>
      </c>
      <c r="G1203" s="897" t="s">
        <v>44</v>
      </c>
      <c r="H1203" s="898">
        <v>56000</v>
      </c>
      <c r="I1203" s="1435"/>
      <c r="J1203" s="1446">
        <f t="shared" si="25"/>
        <v>0</v>
      </c>
      <c r="K1203" s="898">
        <v>56000</v>
      </c>
    </row>
    <row r="1204" spans="4:11" ht="22.8" hidden="1" customHeight="1">
      <c r="D1204" s="916">
        <v>28</v>
      </c>
      <c r="E1204" s="895"/>
      <c r="F1204" s="896" t="s">
        <v>419</v>
      </c>
      <c r="G1204" s="897" t="s">
        <v>44</v>
      </c>
      <c r="H1204" s="898">
        <v>22000</v>
      </c>
      <c r="I1204" s="1435"/>
      <c r="J1204" s="1446">
        <f t="shared" si="25"/>
        <v>0</v>
      </c>
      <c r="K1204" s="898">
        <v>22000</v>
      </c>
    </row>
    <row r="1205" spans="4:11" ht="22.8" hidden="1" customHeight="1">
      <c r="D1205" s="916">
        <v>29</v>
      </c>
      <c r="E1205" s="895"/>
      <c r="F1205" s="896" t="s">
        <v>420</v>
      </c>
      <c r="G1205" s="897" t="s">
        <v>44</v>
      </c>
      <c r="H1205" s="898">
        <v>30000</v>
      </c>
      <c r="I1205" s="1435"/>
      <c r="J1205" s="1446">
        <f t="shared" si="25"/>
        <v>0</v>
      </c>
      <c r="K1205" s="898">
        <v>30000</v>
      </c>
    </row>
    <row r="1206" spans="4:11" ht="22.8" hidden="1" customHeight="1">
      <c r="D1206" s="916">
        <v>30</v>
      </c>
      <c r="E1206" s="895"/>
      <c r="F1206" s="896" t="s">
        <v>421</v>
      </c>
      <c r="G1206" s="897" t="s">
        <v>44</v>
      </c>
      <c r="H1206" s="898">
        <v>35000</v>
      </c>
      <c r="I1206" s="1435"/>
      <c r="J1206" s="1446">
        <f t="shared" si="25"/>
        <v>0</v>
      </c>
      <c r="K1206" s="898">
        <v>35000</v>
      </c>
    </row>
    <row r="1207" spans="4:11" ht="22.8" hidden="1" customHeight="1">
      <c r="D1207" s="916">
        <v>31</v>
      </c>
      <c r="E1207" s="895"/>
      <c r="F1207" s="896" t="s">
        <v>422</v>
      </c>
      <c r="G1207" s="897" t="s">
        <v>62</v>
      </c>
      <c r="H1207" s="898">
        <v>45000</v>
      </c>
      <c r="I1207" s="1435"/>
      <c r="J1207" s="1446">
        <f t="shared" si="25"/>
        <v>0</v>
      </c>
      <c r="K1207" s="898">
        <v>45000</v>
      </c>
    </row>
    <row r="1208" spans="4:11" ht="22.8" hidden="1" customHeight="1">
      <c r="D1208" s="916">
        <v>32</v>
      </c>
      <c r="E1208" s="895"/>
      <c r="F1208" s="896" t="s">
        <v>423</v>
      </c>
      <c r="G1208" s="897" t="s">
        <v>44</v>
      </c>
      <c r="H1208" s="898">
        <v>2400</v>
      </c>
      <c r="I1208" s="1435"/>
      <c r="J1208" s="1446">
        <f t="shared" si="25"/>
        <v>0</v>
      </c>
      <c r="K1208" s="898">
        <v>2400</v>
      </c>
    </row>
    <row r="1209" spans="4:11" ht="22.8" hidden="1" customHeight="1">
      <c r="D1209" s="916">
        <v>33</v>
      </c>
      <c r="E1209" s="895"/>
      <c r="F1209" s="896" t="s">
        <v>424</v>
      </c>
      <c r="G1209" s="897" t="s">
        <v>44</v>
      </c>
      <c r="H1209" s="898">
        <v>2300</v>
      </c>
      <c r="I1209" s="1435"/>
      <c r="J1209" s="1446">
        <f t="shared" si="25"/>
        <v>0</v>
      </c>
      <c r="K1209" s="898">
        <v>2300</v>
      </c>
    </row>
    <row r="1210" spans="4:11" ht="22.8" hidden="1" customHeight="1">
      <c r="D1210" s="916">
        <v>34</v>
      </c>
      <c r="E1210" s="895"/>
      <c r="F1210" s="896" t="s">
        <v>425</v>
      </c>
      <c r="G1210" s="897" t="s">
        <v>44</v>
      </c>
      <c r="H1210" s="898">
        <v>2200</v>
      </c>
      <c r="I1210" s="1435"/>
      <c r="J1210" s="1446">
        <f t="shared" si="25"/>
        <v>0</v>
      </c>
      <c r="K1210" s="898">
        <v>2200</v>
      </c>
    </row>
    <row r="1211" spans="4:11" ht="22.8" hidden="1" customHeight="1">
      <c r="D1211" s="916">
        <v>35</v>
      </c>
      <c r="E1211" s="895"/>
      <c r="F1211" s="896" t="s">
        <v>426</v>
      </c>
      <c r="G1211" s="897" t="s">
        <v>44</v>
      </c>
      <c r="H1211" s="898">
        <v>3100</v>
      </c>
      <c r="I1211" s="1435"/>
      <c r="J1211" s="1446">
        <f t="shared" si="25"/>
        <v>0</v>
      </c>
      <c r="K1211" s="898">
        <v>3100</v>
      </c>
    </row>
    <row r="1212" spans="4:11" ht="22.8" hidden="1" customHeight="1">
      <c r="D1212" s="916">
        <v>36</v>
      </c>
      <c r="E1212" s="895"/>
      <c r="F1212" s="896" t="s">
        <v>427</v>
      </c>
      <c r="G1212" s="897" t="s">
        <v>44</v>
      </c>
      <c r="H1212" s="898">
        <v>4000</v>
      </c>
      <c r="I1212" s="1435"/>
      <c r="J1212" s="1446">
        <f t="shared" si="25"/>
        <v>0</v>
      </c>
      <c r="K1212" s="898">
        <v>4000</v>
      </c>
    </row>
    <row r="1213" spans="4:11" ht="22.8" hidden="1" customHeight="1">
      <c r="D1213" s="916">
        <v>37</v>
      </c>
      <c r="E1213" s="895"/>
      <c r="F1213" s="896" t="s">
        <v>428</v>
      </c>
      <c r="G1213" s="897" t="s">
        <v>44</v>
      </c>
      <c r="H1213" s="898">
        <v>8100</v>
      </c>
      <c r="I1213" s="1435" t="s">
        <v>9071</v>
      </c>
      <c r="J1213" s="1446" t="e">
        <f t="shared" si="25"/>
        <v>#VALUE!</v>
      </c>
      <c r="K1213" s="898">
        <v>8100</v>
      </c>
    </row>
    <row r="1214" spans="4:11" ht="22.8" hidden="1" customHeight="1">
      <c r="D1214" s="916">
        <v>38</v>
      </c>
      <c r="E1214" s="895"/>
      <c r="F1214" s="896" t="s">
        <v>429</v>
      </c>
      <c r="G1214" s="897" t="s">
        <v>44</v>
      </c>
      <c r="H1214" s="898">
        <v>12000</v>
      </c>
      <c r="I1214" s="1435"/>
      <c r="J1214" s="1446">
        <f t="shared" si="25"/>
        <v>0</v>
      </c>
      <c r="K1214" s="898">
        <v>12000</v>
      </c>
    </row>
    <row r="1215" spans="4:11" ht="22.8" hidden="1" customHeight="1">
      <c r="D1215" s="916">
        <v>39</v>
      </c>
      <c r="E1215" s="895"/>
      <c r="F1215" s="896" t="s">
        <v>2939</v>
      </c>
      <c r="G1215" s="897" t="s">
        <v>44</v>
      </c>
      <c r="H1215" s="898">
        <v>4000</v>
      </c>
      <c r="I1215" s="1435"/>
      <c r="J1215" s="1446">
        <f t="shared" si="25"/>
        <v>0</v>
      </c>
      <c r="K1215" s="898">
        <v>4000</v>
      </c>
    </row>
    <row r="1216" spans="4:11" ht="22.8" hidden="1" customHeight="1">
      <c r="D1216" s="916">
        <v>40</v>
      </c>
      <c r="E1216" s="895"/>
      <c r="F1216" s="896" t="s">
        <v>2940</v>
      </c>
      <c r="G1216" s="897" t="s">
        <v>44</v>
      </c>
      <c r="H1216" s="898">
        <v>8100</v>
      </c>
      <c r="I1216" s="1435"/>
      <c r="J1216" s="1446">
        <f t="shared" ref="J1216:J1279" si="28">I1216-(I1216*10%)</f>
        <v>0</v>
      </c>
      <c r="K1216" s="898">
        <v>8100</v>
      </c>
    </row>
    <row r="1217" spans="4:11" ht="22.8" hidden="1" customHeight="1">
      <c r="D1217" s="916">
        <v>41</v>
      </c>
      <c r="E1217" s="895"/>
      <c r="F1217" s="896" t="s">
        <v>2941</v>
      </c>
      <c r="G1217" s="897" t="s">
        <v>44</v>
      </c>
      <c r="H1217" s="898">
        <v>12000</v>
      </c>
      <c r="I1217" s="1435"/>
      <c r="J1217" s="1446">
        <f t="shared" si="28"/>
        <v>0</v>
      </c>
      <c r="K1217" s="898">
        <v>12000</v>
      </c>
    </row>
    <row r="1218" spans="4:11" ht="22.8" hidden="1" customHeight="1">
      <c r="D1218" s="916">
        <v>42</v>
      </c>
      <c r="E1218" s="895"/>
      <c r="F1218" s="896" t="s">
        <v>2951</v>
      </c>
      <c r="G1218" s="897" t="s">
        <v>2167</v>
      </c>
      <c r="H1218" s="898">
        <v>28000</v>
      </c>
      <c r="I1218" s="1435"/>
      <c r="J1218" s="1446">
        <f t="shared" si="28"/>
        <v>0</v>
      </c>
      <c r="K1218" s="898">
        <v>28000</v>
      </c>
    </row>
    <row r="1219" spans="4:11" ht="22.8" hidden="1" customHeight="1">
      <c r="D1219" s="916">
        <v>43</v>
      </c>
      <c r="E1219" s="895"/>
      <c r="F1219" s="896" t="s">
        <v>2969</v>
      </c>
      <c r="G1219" s="897" t="s">
        <v>2167</v>
      </c>
      <c r="H1219" s="898">
        <v>37000</v>
      </c>
      <c r="I1219" s="1435"/>
      <c r="J1219" s="1446">
        <f t="shared" si="28"/>
        <v>0</v>
      </c>
      <c r="K1219" s="898">
        <v>37000</v>
      </c>
    </row>
    <row r="1220" spans="4:11" ht="22.8" hidden="1" customHeight="1">
      <c r="D1220" s="916">
        <v>44</v>
      </c>
      <c r="E1220" s="895"/>
      <c r="F1220" s="896" t="s">
        <v>2972</v>
      </c>
      <c r="G1220" s="897" t="s">
        <v>2167</v>
      </c>
      <c r="H1220" s="898">
        <v>39500</v>
      </c>
      <c r="I1220" s="1435"/>
      <c r="J1220" s="1446">
        <f t="shared" si="28"/>
        <v>0</v>
      </c>
      <c r="K1220" s="898">
        <v>39500</v>
      </c>
    </row>
    <row r="1221" spans="4:11" ht="22.8" hidden="1" customHeight="1">
      <c r="D1221" s="916">
        <v>45</v>
      </c>
      <c r="E1221" s="895"/>
      <c r="F1221" s="896" t="s">
        <v>430</v>
      </c>
      <c r="G1221" s="897" t="s">
        <v>44</v>
      </c>
      <c r="H1221" s="898">
        <v>1500</v>
      </c>
      <c r="I1221" s="1435"/>
      <c r="J1221" s="1446">
        <f t="shared" si="28"/>
        <v>0</v>
      </c>
      <c r="K1221" s="898">
        <v>1500</v>
      </c>
    </row>
    <row r="1222" spans="4:11" ht="22.8" customHeight="1">
      <c r="D1222" s="1422">
        <v>1</v>
      </c>
      <c r="E1222" s="895"/>
      <c r="F1222" s="896" t="s">
        <v>431</v>
      </c>
      <c r="G1222" s="897" t="s">
        <v>44</v>
      </c>
      <c r="H1222" s="1405">
        <v>2400</v>
      </c>
      <c r="I1222" s="1435">
        <v>4100</v>
      </c>
      <c r="J1222" s="1446">
        <f t="shared" si="28"/>
        <v>3690</v>
      </c>
      <c r="K1222" s="898">
        <v>2000</v>
      </c>
    </row>
    <row r="1223" spans="4:11" ht="22.8" hidden="1" customHeight="1">
      <c r="D1223" s="916">
        <v>47</v>
      </c>
      <c r="E1223" s="895"/>
      <c r="F1223" s="896" t="s">
        <v>432</v>
      </c>
      <c r="G1223" s="897" t="s">
        <v>44</v>
      </c>
      <c r="H1223" s="898">
        <v>3000</v>
      </c>
      <c r="I1223" s="1435"/>
      <c r="J1223" s="1446">
        <f t="shared" si="28"/>
        <v>0</v>
      </c>
      <c r="K1223" s="898">
        <v>3000</v>
      </c>
    </row>
    <row r="1224" spans="4:11" ht="22.8" hidden="1" customHeight="1">
      <c r="D1224" s="916">
        <v>48</v>
      </c>
      <c r="E1224" s="895"/>
      <c r="F1224" s="896" t="s">
        <v>433</v>
      </c>
      <c r="G1224" s="897" t="s">
        <v>44</v>
      </c>
      <c r="H1224" s="898">
        <v>4000</v>
      </c>
      <c r="I1224" s="1435"/>
      <c r="J1224" s="1446">
        <f t="shared" si="28"/>
        <v>0</v>
      </c>
      <c r="K1224" s="898">
        <v>4000</v>
      </c>
    </row>
    <row r="1225" spans="4:11" ht="22.8" hidden="1" customHeight="1">
      <c r="D1225" s="916">
        <v>49</v>
      </c>
      <c r="E1225" s="895"/>
      <c r="F1225" s="896" t="s">
        <v>434</v>
      </c>
      <c r="G1225" s="897" t="s">
        <v>44</v>
      </c>
      <c r="H1225" s="898">
        <v>1000</v>
      </c>
      <c r="I1225" s="1435"/>
      <c r="J1225" s="1446">
        <f t="shared" si="28"/>
        <v>0</v>
      </c>
      <c r="K1225" s="898">
        <v>1000</v>
      </c>
    </row>
    <row r="1226" spans="4:11" ht="22.8" hidden="1" customHeight="1">
      <c r="D1226" s="916">
        <v>50</v>
      </c>
      <c r="E1226" s="895"/>
      <c r="F1226" s="896" t="s">
        <v>435</v>
      </c>
      <c r="G1226" s="897" t="s">
        <v>44</v>
      </c>
      <c r="H1226" s="898">
        <v>27500</v>
      </c>
      <c r="I1226" s="1435"/>
      <c r="J1226" s="1446">
        <f t="shared" si="28"/>
        <v>0</v>
      </c>
      <c r="K1226" s="898">
        <v>27500</v>
      </c>
    </row>
    <row r="1227" spans="4:11" ht="22.8" hidden="1" customHeight="1">
      <c r="D1227" s="916">
        <v>51</v>
      </c>
      <c r="E1227" s="895"/>
      <c r="F1227" s="896" t="s">
        <v>436</v>
      </c>
      <c r="G1227" s="897" t="s">
        <v>44</v>
      </c>
      <c r="H1227" s="898">
        <v>2000</v>
      </c>
      <c r="I1227" s="1435"/>
      <c r="J1227" s="1446">
        <f t="shared" si="28"/>
        <v>0</v>
      </c>
      <c r="K1227" s="898">
        <v>2000</v>
      </c>
    </row>
    <row r="1228" spans="4:11" ht="22.8" customHeight="1">
      <c r="D1228" s="1422">
        <v>1</v>
      </c>
      <c r="E1228" s="895"/>
      <c r="F1228" s="896" t="s">
        <v>437</v>
      </c>
      <c r="G1228" s="897" t="s">
        <v>44</v>
      </c>
      <c r="H1228" s="898">
        <v>2900</v>
      </c>
      <c r="I1228" s="1442">
        <f>(52000*10%)+52000</f>
        <v>57200</v>
      </c>
      <c r="J1228" s="1446">
        <f t="shared" si="28"/>
        <v>51480</v>
      </c>
      <c r="K1228" s="898">
        <v>3000</v>
      </c>
    </row>
    <row r="1229" spans="4:11" ht="22.8" hidden="1" customHeight="1">
      <c r="D1229" s="916">
        <v>53</v>
      </c>
      <c r="E1229" s="895"/>
      <c r="F1229" s="896" t="s">
        <v>438</v>
      </c>
      <c r="G1229" s="897" t="s">
        <v>44</v>
      </c>
      <c r="H1229" s="898">
        <v>2500</v>
      </c>
      <c r="I1229" s="1435"/>
      <c r="J1229" s="1446">
        <f t="shared" si="28"/>
        <v>0</v>
      </c>
      <c r="K1229" s="898">
        <v>2500</v>
      </c>
    </row>
    <row r="1230" spans="4:11" ht="22.8" hidden="1" customHeight="1">
      <c r="D1230" s="916">
        <v>54</v>
      </c>
      <c r="E1230" s="895"/>
      <c r="F1230" s="896" t="s">
        <v>439</v>
      </c>
      <c r="G1230" s="897" t="s">
        <v>44</v>
      </c>
      <c r="H1230" s="898">
        <v>2000</v>
      </c>
      <c r="I1230" s="1435"/>
      <c r="J1230" s="1446">
        <f t="shared" si="28"/>
        <v>0</v>
      </c>
      <c r="K1230" s="898">
        <v>2000</v>
      </c>
    </row>
    <row r="1231" spans="4:11" ht="22.8" hidden="1" customHeight="1">
      <c r="D1231" s="916">
        <v>55</v>
      </c>
      <c r="E1231" s="895"/>
      <c r="F1231" s="896" t="s">
        <v>440</v>
      </c>
      <c r="G1231" s="897" t="s">
        <v>62</v>
      </c>
      <c r="H1231" s="898">
        <v>190000</v>
      </c>
      <c r="I1231" s="1435"/>
      <c r="J1231" s="1446">
        <f t="shared" si="28"/>
        <v>0</v>
      </c>
      <c r="K1231" s="898">
        <v>190000</v>
      </c>
    </row>
    <row r="1232" spans="4:11" ht="22.8" hidden="1" customHeight="1">
      <c r="D1232" s="916">
        <v>56</v>
      </c>
      <c r="E1232" s="895"/>
      <c r="F1232" s="896" t="s">
        <v>441</v>
      </c>
      <c r="G1232" s="897" t="s">
        <v>62</v>
      </c>
      <c r="H1232" s="898">
        <v>200000</v>
      </c>
      <c r="I1232" s="1435"/>
      <c r="J1232" s="1446">
        <f t="shared" si="28"/>
        <v>0</v>
      </c>
      <c r="K1232" s="898">
        <v>200000</v>
      </c>
    </row>
    <row r="1233" spans="4:11" ht="22.8" hidden="1" customHeight="1">
      <c r="D1233" s="916">
        <v>57</v>
      </c>
      <c r="E1233" s="895"/>
      <c r="F1233" s="896" t="s">
        <v>442</v>
      </c>
      <c r="G1233" s="897" t="s">
        <v>62</v>
      </c>
      <c r="H1233" s="898">
        <v>200000</v>
      </c>
      <c r="I1233" s="1435"/>
      <c r="J1233" s="1446">
        <f t="shared" si="28"/>
        <v>0</v>
      </c>
      <c r="K1233" s="898">
        <v>200000</v>
      </c>
    </row>
    <row r="1234" spans="4:11" ht="22.8" hidden="1" customHeight="1">
      <c r="D1234" s="916">
        <v>58</v>
      </c>
      <c r="E1234" s="895"/>
      <c r="F1234" s="896" t="s">
        <v>443</v>
      </c>
      <c r="G1234" s="897" t="s">
        <v>62</v>
      </c>
      <c r="H1234" s="898">
        <v>175000</v>
      </c>
      <c r="I1234" s="1435"/>
      <c r="J1234" s="1446">
        <f t="shared" si="28"/>
        <v>0</v>
      </c>
      <c r="K1234" s="898">
        <v>175000</v>
      </c>
    </row>
    <row r="1235" spans="4:11" ht="22.8" hidden="1" customHeight="1">
      <c r="D1235" s="916">
        <v>59</v>
      </c>
      <c r="E1235" s="895"/>
      <c r="F1235" s="896" t="s">
        <v>444</v>
      </c>
      <c r="G1235" s="897" t="s">
        <v>62</v>
      </c>
      <c r="H1235" s="898">
        <v>222000</v>
      </c>
      <c r="I1235" s="1435"/>
      <c r="J1235" s="1446">
        <f t="shared" si="28"/>
        <v>0</v>
      </c>
      <c r="K1235" s="898">
        <v>222000</v>
      </c>
    </row>
    <row r="1236" spans="4:11" ht="22.8" hidden="1" customHeight="1">
      <c r="D1236" s="916">
        <v>60</v>
      </c>
      <c r="E1236" s="895"/>
      <c r="F1236" s="896" t="s">
        <v>445</v>
      </c>
      <c r="G1236" s="897" t="s">
        <v>62</v>
      </c>
      <c r="H1236" s="898">
        <v>250000</v>
      </c>
      <c r="I1236" s="1435"/>
      <c r="J1236" s="1446">
        <f t="shared" si="28"/>
        <v>0</v>
      </c>
      <c r="K1236" s="898">
        <v>250000</v>
      </c>
    </row>
    <row r="1237" spans="4:11" ht="22.8" hidden="1" customHeight="1">
      <c r="D1237" s="916">
        <v>61</v>
      </c>
      <c r="E1237" s="895"/>
      <c r="F1237" s="896" t="s">
        <v>446</v>
      </c>
      <c r="G1237" s="897" t="s">
        <v>62</v>
      </c>
      <c r="H1237" s="898">
        <v>280000</v>
      </c>
      <c r="I1237" s="1435"/>
      <c r="J1237" s="1446">
        <f t="shared" si="28"/>
        <v>0</v>
      </c>
      <c r="K1237" s="898">
        <v>280000</v>
      </c>
    </row>
    <row r="1238" spans="4:11" ht="22.8" hidden="1" customHeight="1">
      <c r="D1238" s="916">
        <v>62</v>
      </c>
      <c r="E1238" s="895"/>
      <c r="F1238" s="896" t="s">
        <v>447</v>
      </c>
      <c r="G1238" s="897" t="s">
        <v>62</v>
      </c>
      <c r="H1238" s="898">
        <v>160000</v>
      </c>
      <c r="I1238" s="1435"/>
      <c r="J1238" s="1446">
        <f t="shared" si="28"/>
        <v>0</v>
      </c>
      <c r="K1238" s="898">
        <v>160000</v>
      </c>
    </row>
    <row r="1239" spans="4:11" ht="22.8" hidden="1" customHeight="1">
      <c r="D1239" s="916">
        <v>63</v>
      </c>
      <c r="E1239" s="895"/>
      <c r="F1239" s="896" t="s">
        <v>448</v>
      </c>
      <c r="G1239" s="897" t="s">
        <v>62</v>
      </c>
      <c r="H1239" s="898">
        <v>195000</v>
      </c>
      <c r="I1239" s="1435"/>
      <c r="J1239" s="1446">
        <f t="shared" si="28"/>
        <v>0</v>
      </c>
      <c r="K1239" s="898">
        <v>195000</v>
      </c>
    </row>
    <row r="1240" spans="4:11" ht="22.8" hidden="1" customHeight="1">
      <c r="D1240" s="916">
        <v>64</v>
      </c>
      <c r="E1240" s="895"/>
      <c r="F1240" s="896" t="s">
        <v>449</v>
      </c>
      <c r="G1240" s="897" t="s">
        <v>62</v>
      </c>
      <c r="H1240" s="898">
        <v>210000</v>
      </c>
      <c r="I1240" s="1435"/>
      <c r="J1240" s="1446">
        <f t="shared" si="28"/>
        <v>0</v>
      </c>
      <c r="K1240" s="898">
        <v>210000</v>
      </c>
    </row>
    <row r="1241" spans="4:11" ht="22.8" hidden="1" customHeight="1">
      <c r="D1241" s="916">
        <v>65</v>
      </c>
      <c r="E1241" s="895"/>
      <c r="F1241" s="896" t="s">
        <v>450</v>
      </c>
      <c r="G1241" s="897" t="s">
        <v>62</v>
      </c>
      <c r="H1241" s="898">
        <v>250000</v>
      </c>
      <c r="I1241" s="1435"/>
      <c r="J1241" s="1446">
        <f t="shared" si="28"/>
        <v>0</v>
      </c>
      <c r="K1241" s="898">
        <v>250000</v>
      </c>
    </row>
    <row r="1242" spans="4:11" ht="22.8" hidden="1" customHeight="1">
      <c r="D1242" s="916">
        <v>66</v>
      </c>
      <c r="E1242" s="895"/>
      <c r="F1242" s="896" t="s">
        <v>451</v>
      </c>
      <c r="G1242" s="897" t="s">
        <v>62</v>
      </c>
      <c r="H1242" s="898">
        <v>140000</v>
      </c>
      <c r="I1242" s="1435"/>
      <c r="J1242" s="1446">
        <f t="shared" si="28"/>
        <v>0</v>
      </c>
      <c r="K1242" s="898">
        <v>140000</v>
      </c>
    </row>
    <row r="1243" spans="4:11" ht="22.8" hidden="1" customHeight="1">
      <c r="D1243" s="916">
        <v>67</v>
      </c>
      <c r="E1243" s="895"/>
      <c r="F1243" s="896" t="s">
        <v>452</v>
      </c>
      <c r="G1243" s="897" t="s">
        <v>62</v>
      </c>
      <c r="H1243" s="898">
        <v>150000</v>
      </c>
      <c r="I1243" s="1435"/>
      <c r="J1243" s="1446">
        <f t="shared" si="28"/>
        <v>0</v>
      </c>
      <c r="K1243" s="898">
        <v>150000</v>
      </c>
    </row>
    <row r="1244" spans="4:11" ht="22.8" hidden="1" customHeight="1">
      <c r="D1244" s="916">
        <v>68</v>
      </c>
      <c r="E1244" s="895"/>
      <c r="F1244" s="896" t="s">
        <v>453</v>
      </c>
      <c r="G1244" s="897" t="s">
        <v>62</v>
      </c>
      <c r="H1244" s="898">
        <v>160000</v>
      </c>
      <c r="I1244" s="1435"/>
      <c r="J1244" s="1446">
        <f t="shared" si="28"/>
        <v>0</v>
      </c>
      <c r="K1244" s="898">
        <v>160000</v>
      </c>
    </row>
    <row r="1245" spans="4:11" ht="22.8" hidden="1" customHeight="1">
      <c r="D1245" s="916">
        <v>69</v>
      </c>
      <c r="E1245" s="895"/>
      <c r="F1245" s="896" t="s">
        <v>454</v>
      </c>
      <c r="G1245" s="897" t="s">
        <v>65</v>
      </c>
      <c r="H1245" s="898">
        <v>60000</v>
      </c>
      <c r="I1245" s="1435"/>
      <c r="J1245" s="1446">
        <f t="shared" si="28"/>
        <v>0</v>
      </c>
      <c r="K1245" s="898">
        <v>60000</v>
      </c>
    </row>
    <row r="1246" spans="4:11" ht="22.8" hidden="1" customHeight="1">
      <c r="D1246" s="916">
        <v>70</v>
      </c>
      <c r="E1246" s="895"/>
      <c r="F1246" s="896" t="s">
        <v>455</v>
      </c>
      <c r="G1246" s="897" t="s">
        <v>44</v>
      </c>
      <c r="H1246" s="898">
        <v>800000</v>
      </c>
      <c r="I1246" s="1435"/>
      <c r="J1246" s="1446">
        <f t="shared" si="28"/>
        <v>0</v>
      </c>
      <c r="K1246" s="898">
        <v>800000</v>
      </c>
    </row>
    <row r="1247" spans="4:11" ht="22.8" hidden="1" customHeight="1">
      <c r="D1247" s="916">
        <v>71</v>
      </c>
      <c r="E1247" s="895"/>
      <c r="F1247" s="896" t="s">
        <v>455</v>
      </c>
      <c r="G1247" s="897" t="s">
        <v>62</v>
      </c>
      <c r="H1247" s="898">
        <v>492600</v>
      </c>
      <c r="I1247" s="1435"/>
      <c r="J1247" s="1446">
        <f t="shared" si="28"/>
        <v>0</v>
      </c>
      <c r="K1247" s="898">
        <v>492600</v>
      </c>
    </row>
    <row r="1248" spans="4:11" ht="22.8" hidden="1" customHeight="1">
      <c r="D1248" s="916">
        <v>72</v>
      </c>
      <c r="E1248" s="895"/>
      <c r="F1248" s="896" t="s">
        <v>5212</v>
      </c>
      <c r="G1248" s="897" t="s">
        <v>44</v>
      </c>
      <c r="H1248" s="898">
        <v>20000</v>
      </c>
      <c r="I1248" s="1435"/>
      <c r="J1248" s="1446">
        <f t="shared" si="28"/>
        <v>0</v>
      </c>
      <c r="K1248" s="898">
        <v>20000</v>
      </c>
    </row>
    <row r="1249" spans="4:11" ht="22.8" hidden="1" customHeight="1">
      <c r="D1249" s="916">
        <v>73</v>
      </c>
      <c r="E1249" s="895"/>
      <c r="F1249" s="896" t="s">
        <v>5214</v>
      </c>
      <c r="G1249" s="897" t="s">
        <v>44</v>
      </c>
      <c r="H1249" s="898">
        <v>25000</v>
      </c>
      <c r="I1249" s="1435"/>
      <c r="J1249" s="1446">
        <f t="shared" si="28"/>
        <v>0</v>
      </c>
      <c r="K1249" s="898">
        <v>25000</v>
      </c>
    </row>
    <row r="1250" spans="4:11" ht="22.8" hidden="1" customHeight="1">
      <c r="D1250" s="916">
        <v>74</v>
      </c>
      <c r="E1250" s="895"/>
      <c r="F1250" s="896" t="s">
        <v>1949</v>
      </c>
      <c r="G1250" s="897" t="s">
        <v>2167</v>
      </c>
      <c r="H1250" s="898">
        <v>27000</v>
      </c>
      <c r="I1250" s="1435"/>
      <c r="J1250" s="1446">
        <f t="shared" si="28"/>
        <v>0</v>
      </c>
      <c r="K1250" s="898">
        <v>27000</v>
      </c>
    </row>
    <row r="1251" spans="4:11" ht="22.8" hidden="1" customHeight="1">
      <c r="D1251" s="916">
        <v>75</v>
      </c>
      <c r="E1251" s="895"/>
      <c r="F1251" s="896" t="s">
        <v>456</v>
      </c>
      <c r="G1251" s="897" t="s">
        <v>62</v>
      </c>
      <c r="H1251" s="898">
        <v>73400</v>
      </c>
      <c r="I1251" s="1435"/>
      <c r="J1251" s="1446">
        <f t="shared" si="28"/>
        <v>0</v>
      </c>
      <c r="K1251" s="898">
        <v>73400</v>
      </c>
    </row>
    <row r="1252" spans="4:11" ht="22.8" hidden="1" customHeight="1">
      <c r="D1252" s="916">
        <v>76</v>
      </c>
      <c r="E1252" s="895"/>
      <c r="F1252" s="896" t="s">
        <v>457</v>
      </c>
      <c r="G1252" s="897" t="s">
        <v>62</v>
      </c>
      <c r="H1252" s="898">
        <v>74400</v>
      </c>
      <c r="I1252" s="1435"/>
      <c r="J1252" s="1446">
        <f t="shared" si="28"/>
        <v>0</v>
      </c>
      <c r="K1252" s="898">
        <v>74400</v>
      </c>
    </row>
    <row r="1253" spans="4:11" ht="22.8" hidden="1" customHeight="1">
      <c r="D1253" s="916">
        <v>77</v>
      </c>
      <c r="E1253" s="895"/>
      <c r="F1253" s="896" t="s">
        <v>458</v>
      </c>
      <c r="G1253" s="897" t="s">
        <v>62</v>
      </c>
      <c r="H1253" s="898">
        <v>75400</v>
      </c>
      <c r="I1253" s="1435"/>
      <c r="J1253" s="1446">
        <f t="shared" si="28"/>
        <v>0</v>
      </c>
      <c r="K1253" s="898">
        <v>75400</v>
      </c>
    </row>
    <row r="1254" spans="4:11" ht="22.8" hidden="1" customHeight="1">
      <c r="D1254" s="916">
        <v>78</v>
      </c>
      <c r="E1254" s="895"/>
      <c r="F1254" s="896" t="s">
        <v>459</v>
      </c>
      <c r="G1254" s="897" t="s">
        <v>62</v>
      </c>
      <c r="H1254" s="898">
        <v>75400</v>
      </c>
      <c r="I1254" s="1435"/>
      <c r="J1254" s="1446">
        <f t="shared" si="28"/>
        <v>0</v>
      </c>
      <c r="K1254" s="898">
        <v>75400</v>
      </c>
    </row>
    <row r="1255" spans="4:11" ht="22.8" hidden="1" customHeight="1">
      <c r="D1255" s="916">
        <v>79</v>
      </c>
      <c r="E1255" s="895"/>
      <c r="F1255" s="896" t="s">
        <v>460</v>
      </c>
      <c r="G1255" s="897" t="s">
        <v>62</v>
      </c>
      <c r="H1255" s="898">
        <v>306600</v>
      </c>
      <c r="I1255" s="1435"/>
      <c r="J1255" s="1446">
        <f t="shared" si="28"/>
        <v>0</v>
      </c>
      <c r="K1255" s="898">
        <v>306600</v>
      </c>
    </row>
    <row r="1256" spans="4:11" ht="22.8" hidden="1" customHeight="1">
      <c r="D1256" s="916">
        <v>80</v>
      </c>
      <c r="E1256" s="895"/>
      <c r="F1256" s="896" t="s">
        <v>461</v>
      </c>
      <c r="G1256" s="897" t="s">
        <v>44</v>
      </c>
      <c r="H1256" s="898">
        <v>85000</v>
      </c>
      <c r="I1256" s="1435"/>
      <c r="J1256" s="1446">
        <f t="shared" si="28"/>
        <v>0</v>
      </c>
      <c r="K1256" s="898">
        <v>85000</v>
      </c>
    </row>
    <row r="1257" spans="4:11" ht="22.8" hidden="1" customHeight="1">
      <c r="D1257" s="916">
        <v>81</v>
      </c>
      <c r="E1257" s="895"/>
      <c r="F1257" s="896" t="s">
        <v>462</v>
      </c>
      <c r="G1257" s="897" t="s">
        <v>44</v>
      </c>
      <c r="H1257" s="898">
        <v>8200</v>
      </c>
      <c r="I1257" s="1435"/>
      <c r="J1257" s="1446">
        <f t="shared" si="28"/>
        <v>0</v>
      </c>
      <c r="K1257" s="898">
        <v>8200</v>
      </c>
    </row>
    <row r="1258" spans="4:11" ht="22.8" hidden="1" customHeight="1">
      <c r="D1258" s="916">
        <v>82</v>
      </c>
      <c r="E1258" s="895"/>
      <c r="F1258" s="896" t="s">
        <v>463</v>
      </c>
      <c r="G1258" s="897" t="s">
        <v>44</v>
      </c>
      <c r="H1258" s="898">
        <v>3400</v>
      </c>
      <c r="I1258" s="1435"/>
      <c r="J1258" s="1446">
        <f t="shared" si="28"/>
        <v>0</v>
      </c>
      <c r="K1258" s="898">
        <v>3400</v>
      </c>
    </row>
    <row r="1259" spans="4:11" ht="22.8" hidden="1" customHeight="1">
      <c r="D1259" s="916">
        <v>83</v>
      </c>
      <c r="E1259" s="895"/>
      <c r="F1259" s="896" t="s">
        <v>464</v>
      </c>
      <c r="G1259" s="897" t="s">
        <v>44</v>
      </c>
      <c r="H1259" s="898">
        <v>24000</v>
      </c>
      <c r="I1259" s="1435"/>
      <c r="J1259" s="1446">
        <f t="shared" si="28"/>
        <v>0</v>
      </c>
      <c r="K1259" s="898">
        <v>24000</v>
      </c>
    </row>
    <row r="1260" spans="4:11" ht="22.8" hidden="1" customHeight="1">
      <c r="D1260" s="916">
        <v>84</v>
      </c>
      <c r="E1260" s="895"/>
      <c r="F1260" s="896" t="s">
        <v>465</v>
      </c>
      <c r="G1260" s="897" t="s">
        <v>44</v>
      </c>
      <c r="H1260" s="898">
        <v>22600</v>
      </c>
      <c r="I1260" s="1435"/>
      <c r="J1260" s="1446">
        <f t="shared" si="28"/>
        <v>0</v>
      </c>
      <c r="K1260" s="898">
        <v>22600</v>
      </c>
    </row>
    <row r="1261" spans="4:11" ht="22.8" hidden="1" customHeight="1">
      <c r="D1261" s="916">
        <v>85</v>
      </c>
      <c r="E1261" s="895"/>
      <c r="F1261" s="896" t="s">
        <v>466</v>
      </c>
      <c r="G1261" s="897" t="s">
        <v>44</v>
      </c>
      <c r="H1261" s="898">
        <v>5000</v>
      </c>
      <c r="I1261" s="1435"/>
      <c r="J1261" s="1446">
        <f t="shared" si="28"/>
        <v>0</v>
      </c>
      <c r="K1261" s="898">
        <v>5000</v>
      </c>
    </row>
    <row r="1262" spans="4:11" ht="22.8" hidden="1" customHeight="1">
      <c r="D1262" s="916">
        <v>86</v>
      </c>
      <c r="E1262" s="895"/>
      <c r="F1262" s="896" t="s">
        <v>467</v>
      </c>
      <c r="G1262" s="897" t="s">
        <v>44</v>
      </c>
      <c r="H1262" s="898">
        <v>7000</v>
      </c>
      <c r="I1262" s="1435"/>
      <c r="J1262" s="1446">
        <f t="shared" si="28"/>
        <v>0</v>
      </c>
      <c r="K1262" s="898">
        <v>7000</v>
      </c>
    </row>
    <row r="1263" spans="4:11" ht="22.8" hidden="1" customHeight="1">
      <c r="D1263" s="916">
        <v>87</v>
      </c>
      <c r="E1263" s="895"/>
      <c r="F1263" s="896" t="s">
        <v>468</v>
      </c>
      <c r="G1263" s="897" t="s">
        <v>44</v>
      </c>
      <c r="H1263" s="898">
        <v>10000</v>
      </c>
      <c r="I1263" s="1435"/>
      <c r="J1263" s="1446">
        <f t="shared" si="28"/>
        <v>0</v>
      </c>
      <c r="K1263" s="898">
        <v>10000</v>
      </c>
    </row>
    <row r="1264" spans="4:11" ht="22.8" hidden="1" customHeight="1">
      <c r="D1264" s="916">
        <v>88</v>
      </c>
      <c r="E1264" s="895"/>
      <c r="F1264" s="896" t="s">
        <v>2896</v>
      </c>
      <c r="G1264" s="897" t="s">
        <v>44</v>
      </c>
      <c r="H1264" s="898">
        <v>7000</v>
      </c>
      <c r="I1264" s="1435"/>
      <c r="J1264" s="1446">
        <f t="shared" si="28"/>
        <v>0</v>
      </c>
      <c r="K1264" s="898">
        <v>7000</v>
      </c>
    </row>
    <row r="1265" spans="4:11" ht="22.8" hidden="1" customHeight="1">
      <c r="D1265" s="916">
        <v>89</v>
      </c>
      <c r="E1265" s="895"/>
      <c r="F1265" s="896" t="s">
        <v>2897</v>
      </c>
      <c r="G1265" s="897" t="s">
        <v>44</v>
      </c>
      <c r="H1265" s="898">
        <v>9000</v>
      </c>
      <c r="I1265" s="1435"/>
      <c r="J1265" s="1446">
        <f t="shared" si="28"/>
        <v>0</v>
      </c>
      <c r="K1265" s="898">
        <v>9000</v>
      </c>
    </row>
    <row r="1266" spans="4:11" ht="22.8" hidden="1" customHeight="1">
      <c r="D1266" s="916">
        <v>90</v>
      </c>
      <c r="E1266" s="895"/>
      <c r="F1266" s="896" t="s">
        <v>2898</v>
      </c>
      <c r="G1266" s="897" t="s">
        <v>44</v>
      </c>
      <c r="H1266" s="898">
        <v>13000</v>
      </c>
      <c r="I1266" s="1435"/>
      <c r="J1266" s="1446">
        <f t="shared" si="28"/>
        <v>0</v>
      </c>
      <c r="K1266" s="898">
        <v>13000</v>
      </c>
    </row>
    <row r="1267" spans="4:11" ht="22.8" hidden="1" customHeight="1">
      <c r="D1267" s="916">
        <v>91</v>
      </c>
      <c r="E1267" s="895"/>
      <c r="F1267" s="896" t="s">
        <v>469</v>
      </c>
      <c r="G1267" s="897" t="s">
        <v>44</v>
      </c>
      <c r="H1267" s="898">
        <v>5000</v>
      </c>
      <c r="I1267" s="1435"/>
      <c r="J1267" s="1446">
        <f t="shared" si="28"/>
        <v>0</v>
      </c>
      <c r="K1267" s="898">
        <v>5000</v>
      </c>
    </row>
    <row r="1268" spans="4:11" ht="22.8" hidden="1" customHeight="1">
      <c r="D1268" s="916">
        <v>92</v>
      </c>
      <c r="E1268" s="895"/>
      <c r="F1268" s="896" t="s">
        <v>470</v>
      </c>
      <c r="G1268" s="897" t="s">
        <v>44</v>
      </c>
      <c r="H1268" s="898">
        <v>15300</v>
      </c>
      <c r="I1268" s="1435"/>
      <c r="J1268" s="1446">
        <f t="shared" si="28"/>
        <v>0</v>
      </c>
      <c r="K1268" s="898">
        <v>15300</v>
      </c>
    </row>
    <row r="1269" spans="4:11" ht="22.8" hidden="1" customHeight="1">
      <c r="D1269" s="916">
        <v>93</v>
      </c>
      <c r="E1269" s="895"/>
      <c r="F1269" s="896" t="s">
        <v>471</v>
      </c>
      <c r="G1269" s="897" t="s">
        <v>44</v>
      </c>
      <c r="H1269" s="898">
        <v>2000</v>
      </c>
      <c r="I1269" s="1435"/>
      <c r="J1269" s="1446">
        <f t="shared" si="28"/>
        <v>0</v>
      </c>
      <c r="K1269" s="898">
        <v>2000</v>
      </c>
    </row>
    <row r="1270" spans="4:11" ht="22.8" hidden="1" customHeight="1">
      <c r="D1270" s="916">
        <v>94</v>
      </c>
      <c r="E1270" s="895"/>
      <c r="F1270" s="896" t="s">
        <v>472</v>
      </c>
      <c r="G1270" s="897" t="s">
        <v>44</v>
      </c>
      <c r="H1270" s="898">
        <v>3000</v>
      </c>
      <c r="I1270" s="1435"/>
      <c r="J1270" s="1446">
        <f t="shared" si="28"/>
        <v>0</v>
      </c>
      <c r="K1270" s="898">
        <v>3000</v>
      </c>
    </row>
    <row r="1271" spans="4:11" ht="22.8" hidden="1" customHeight="1">
      <c r="D1271" s="916">
        <v>95</v>
      </c>
      <c r="E1271" s="895"/>
      <c r="F1271" s="896" t="s">
        <v>473</v>
      </c>
      <c r="G1271" s="897" t="s">
        <v>44</v>
      </c>
      <c r="H1271" s="898">
        <v>4000</v>
      </c>
      <c r="I1271" s="1435"/>
      <c r="J1271" s="1446">
        <f t="shared" si="28"/>
        <v>0</v>
      </c>
      <c r="K1271" s="898">
        <v>4000</v>
      </c>
    </row>
    <row r="1272" spans="4:11" ht="22.8" hidden="1" customHeight="1">
      <c r="D1272" s="916">
        <v>96</v>
      </c>
      <c r="E1272" s="895"/>
      <c r="F1272" s="896" t="s">
        <v>474</v>
      </c>
      <c r="G1272" s="897" t="s">
        <v>44</v>
      </c>
      <c r="H1272" s="898">
        <v>5000</v>
      </c>
      <c r="I1272" s="1435"/>
      <c r="J1272" s="1446">
        <f t="shared" si="28"/>
        <v>0</v>
      </c>
      <c r="K1272" s="898">
        <v>5000</v>
      </c>
    </row>
    <row r="1273" spans="4:11" ht="22.8" hidden="1" customHeight="1">
      <c r="D1273" s="916">
        <v>97</v>
      </c>
      <c r="E1273" s="895"/>
      <c r="F1273" s="896" t="s">
        <v>475</v>
      </c>
      <c r="G1273" s="897" t="s">
        <v>44</v>
      </c>
      <c r="H1273" s="898">
        <v>2000</v>
      </c>
      <c r="I1273" s="1435"/>
      <c r="J1273" s="1446">
        <f t="shared" si="28"/>
        <v>0</v>
      </c>
      <c r="K1273" s="898">
        <v>2000</v>
      </c>
    </row>
    <row r="1274" spans="4:11" ht="22.8" hidden="1" customHeight="1">
      <c r="D1274" s="916">
        <v>98</v>
      </c>
      <c r="E1274" s="895"/>
      <c r="F1274" s="896" t="s">
        <v>476</v>
      </c>
      <c r="G1274" s="897" t="s">
        <v>44</v>
      </c>
      <c r="H1274" s="898">
        <v>3000</v>
      </c>
      <c r="I1274" s="1435"/>
      <c r="J1274" s="1446">
        <f t="shared" si="28"/>
        <v>0</v>
      </c>
      <c r="K1274" s="898">
        <v>3000</v>
      </c>
    </row>
    <row r="1275" spans="4:11" ht="22.8" hidden="1" customHeight="1">
      <c r="D1275" s="916">
        <v>99</v>
      </c>
      <c r="E1275" s="895"/>
      <c r="F1275" s="896" t="s">
        <v>477</v>
      </c>
      <c r="G1275" s="897" t="s">
        <v>44</v>
      </c>
      <c r="H1275" s="898">
        <v>4000</v>
      </c>
      <c r="I1275" s="1435"/>
      <c r="J1275" s="1446">
        <f t="shared" si="28"/>
        <v>0</v>
      </c>
      <c r="K1275" s="898">
        <v>4000</v>
      </c>
    </row>
    <row r="1276" spans="4:11" ht="22.8" hidden="1" customHeight="1">
      <c r="D1276" s="916">
        <v>100</v>
      </c>
      <c r="E1276" s="895"/>
      <c r="F1276" s="896" t="s">
        <v>478</v>
      </c>
      <c r="G1276" s="897" t="s">
        <v>44</v>
      </c>
      <c r="H1276" s="898">
        <v>2500</v>
      </c>
      <c r="I1276" s="1435"/>
      <c r="J1276" s="1446">
        <f t="shared" si="28"/>
        <v>0</v>
      </c>
      <c r="K1276" s="898">
        <v>2500</v>
      </c>
    </row>
    <row r="1277" spans="4:11" ht="22.8" hidden="1" customHeight="1">
      <c r="D1277" s="916">
        <v>101</v>
      </c>
      <c r="E1277" s="895"/>
      <c r="F1277" s="896" t="s">
        <v>479</v>
      </c>
      <c r="G1277" s="897" t="s">
        <v>44</v>
      </c>
      <c r="H1277" s="898">
        <v>3000</v>
      </c>
      <c r="I1277" s="1435"/>
      <c r="J1277" s="1446">
        <f t="shared" si="28"/>
        <v>0</v>
      </c>
      <c r="K1277" s="898">
        <v>3000</v>
      </c>
    </row>
    <row r="1278" spans="4:11" ht="22.8" hidden="1" customHeight="1">
      <c r="D1278" s="916">
        <v>102</v>
      </c>
      <c r="E1278" s="895"/>
      <c r="F1278" s="896" t="s">
        <v>480</v>
      </c>
      <c r="G1278" s="897" t="s">
        <v>44</v>
      </c>
      <c r="H1278" s="898">
        <v>4000</v>
      </c>
      <c r="I1278" s="1435"/>
      <c r="J1278" s="1446">
        <f t="shared" si="28"/>
        <v>0</v>
      </c>
      <c r="K1278" s="898">
        <v>4000</v>
      </c>
    </row>
    <row r="1279" spans="4:11" ht="22.8" hidden="1" customHeight="1">
      <c r="D1279" s="916">
        <v>103</v>
      </c>
      <c r="E1279" s="895"/>
      <c r="F1279" s="896" t="s">
        <v>481</v>
      </c>
      <c r="G1279" s="897" t="s">
        <v>44</v>
      </c>
      <c r="H1279" s="898">
        <v>6000</v>
      </c>
      <c r="I1279" s="1435"/>
      <c r="J1279" s="1446">
        <f t="shared" si="28"/>
        <v>0</v>
      </c>
      <c r="K1279" s="898">
        <v>6000</v>
      </c>
    </row>
    <row r="1280" spans="4:11" ht="22.8" hidden="1" customHeight="1">
      <c r="D1280" s="916">
        <v>104</v>
      </c>
      <c r="E1280" s="895"/>
      <c r="F1280" s="896" t="s">
        <v>482</v>
      </c>
      <c r="G1280" s="897" t="s">
        <v>44</v>
      </c>
      <c r="H1280" s="898">
        <v>8000</v>
      </c>
      <c r="I1280" s="1435"/>
      <c r="J1280" s="1446">
        <f t="shared" ref="J1280:J1343" si="29">I1280-(I1280*10%)</f>
        <v>0</v>
      </c>
      <c r="K1280" s="898">
        <v>8000</v>
      </c>
    </row>
    <row r="1281" spans="4:11" ht="22.8" hidden="1" customHeight="1">
      <c r="D1281" s="916">
        <v>105</v>
      </c>
      <c r="E1281" s="895"/>
      <c r="F1281" s="896" t="s">
        <v>483</v>
      </c>
      <c r="G1281" s="897" t="s">
        <v>44</v>
      </c>
      <c r="H1281" s="898">
        <v>10000</v>
      </c>
      <c r="I1281" s="1435"/>
      <c r="J1281" s="1446">
        <f t="shared" si="29"/>
        <v>0</v>
      </c>
      <c r="K1281" s="898">
        <v>10000</v>
      </c>
    </row>
    <row r="1282" spans="4:11" ht="22.8" hidden="1" customHeight="1">
      <c r="D1282" s="916">
        <v>106</v>
      </c>
      <c r="E1282" s="895"/>
      <c r="F1282" s="896" t="s">
        <v>484</v>
      </c>
      <c r="G1282" s="897" t="s">
        <v>44</v>
      </c>
      <c r="H1282" s="898">
        <v>1000</v>
      </c>
      <c r="I1282" s="1435"/>
      <c r="J1282" s="1446">
        <f t="shared" si="29"/>
        <v>0</v>
      </c>
      <c r="K1282" s="898">
        <v>1000</v>
      </c>
    </row>
    <row r="1283" spans="4:11" ht="22.8" hidden="1" customHeight="1">
      <c r="D1283" s="916">
        <v>107</v>
      </c>
      <c r="E1283" s="895"/>
      <c r="F1283" s="896" t="s">
        <v>485</v>
      </c>
      <c r="G1283" s="897" t="s">
        <v>44</v>
      </c>
      <c r="H1283" s="898">
        <v>1500</v>
      </c>
      <c r="I1283" s="1435"/>
      <c r="J1283" s="1446">
        <f t="shared" si="29"/>
        <v>0</v>
      </c>
      <c r="K1283" s="898">
        <v>1500</v>
      </c>
    </row>
    <row r="1284" spans="4:11" ht="22.8" hidden="1" customHeight="1">
      <c r="D1284" s="916">
        <v>108</v>
      </c>
      <c r="E1284" s="895"/>
      <c r="F1284" s="896" t="s">
        <v>486</v>
      </c>
      <c r="G1284" s="897" t="s">
        <v>44</v>
      </c>
      <c r="H1284" s="898">
        <v>2000</v>
      </c>
      <c r="I1284" s="1435"/>
      <c r="J1284" s="1446">
        <f t="shared" si="29"/>
        <v>0</v>
      </c>
      <c r="K1284" s="898">
        <v>2000</v>
      </c>
    </row>
    <row r="1285" spans="4:11" ht="22.8" hidden="1" customHeight="1">
      <c r="D1285" s="916">
        <v>109</v>
      </c>
      <c r="E1285" s="895"/>
      <c r="F1285" s="896" t="s">
        <v>487</v>
      </c>
      <c r="G1285" s="897" t="s">
        <v>44</v>
      </c>
      <c r="H1285" s="898">
        <v>2500</v>
      </c>
      <c r="I1285" s="1435"/>
      <c r="J1285" s="1446">
        <f t="shared" si="29"/>
        <v>0</v>
      </c>
      <c r="K1285" s="898">
        <v>2500</v>
      </c>
    </row>
    <row r="1286" spans="4:11" ht="22.8" hidden="1" customHeight="1">
      <c r="D1286" s="916">
        <v>110</v>
      </c>
      <c r="E1286" s="895"/>
      <c r="F1286" s="896" t="s">
        <v>488</v>
      </c>
      <c r="G1286" s="897" t="s">
        <v>44</v>
      </c>
      <c r="H1286" s="898">
        <v>4000</v>
      </c>
      <c r="I1286" s="1435"/>
      <c r="J1286" s="1446">
        <f t="shared" si="29"/>
        <v>0</v>
      </c>
      <c r="K1286" s="898">
        <v>4000</v>
      </c>
    </row>
    <row r="1287" spans="4:11" ht="22.8" hidden="1" customHeight="1">
      <c r="D1287" s="916">
        <v>111</v>
      </c>
      <c r="E1287" s="895"/>
      <c r="F1287" s="896" t="s">
        <v>489</v>
      </c>
      <c r="G1287" s="897" t="s">
        <v>44</v>
      </c>
      <c r="H1287" s="898">
        <v>6000</v>
      </c>
      <c r="I1287" s="1435"/>
      <c r="J1287" s="1446">
        <f t="shared" si="29"/>
        <v>0</v>
      </c>
      <c r="K1287" s="898">
        <v>6000</v>
      </c>
    </row>
    <row r="1288" spans="4:11" ht="22.8" hidden="1" customHeight="1">
      <c r="D1288" s="916">
        <v>112</v>
      </c>
      <c r="E1288" s="895"/>
      <c r="F1288" s="896" t="s">
        <v>490</v>
      </c>
      <c r="G1288" s="897" t="s">
        <v>44</v>
      </c>
      <c r="H1288" s="898">
        <v>1500</v>
      </c>
      <c r="I1288" s="1435"/>
      <c r="J1288" s="1446">
        <f t="shared" si="29"/>
        <v>0</v>
      </c>
      <c r="K1288" s="898">
        <v>1500</v>
      </c>
    </row>
    <row r="1289" spans="4:11" ht="22.8" hidden="1" customHeight="1">
      <c r="D1289" s="916">
        <v>113</v>
      </c>
      <c r="E1289" s="895"/>
      <c r="F1289" s="896" t="s">
        <v>491</v>
      </c>
      <c r="G1289" s="897" t="s">
        <v>44</v>
      </c>
      <c r="H1289" s="898">
        <v>2000</v>
      </c>
      <c r="I1289" s="1435"/>
      <c r="J1289" s="1446">
        <f t="shared" si="29"/>
        <v>0</v>
      </c>
      <c r="K1289" s="898">
        <v>2000</v>
      </c>
    </row>
    <row r="1290" spans="4:11" ht="22.8" hidden="1" customHeight="1">
      <c r="D1290" s="916">
        <v>114</v>
      </c>
      <c r="E1290" s="895"/>
      <c r="F1290" s="896" t="s">
        <v>492</v>
      </c>
      <c r="G1290" s="897" t="s">
        <v>44</v>
      </c>
      <c r="H1290" s="898">
        <v>3000</v>
      </c>
      <c r="I1290" s="1435"/>
      <c r="J1290" s="1446">
        <f t="shared" si="29"/>
        <v>0</v>
      </c>
      <c r="K1290" s="898">
        <v>3000</v>
      </c>
    </row>
    <row r="1291" spans="4:11" ht="22.8" hidden="1" customHeight="1">
      <c r="D1291" s="916">
        <v>115</v>
      </c>
      <c r="E1291" s="895"/>
      <c r="F1291" s="896" t="s">
        <v>493</v>
      </c>
      <c r="G1291" s="897" t="s">
        <v>44</v>
      </c>
      <c r="H1291" s="898">
        <v>4500</v>
      </c>
      <c r="I1291" s="1435"/>
      <c r="J1291" s="1446">
        <f t="shared" si="29"/>
        <v>0</v>
      </c>
      <c r="K1291" s="898">
        <v>4500</v>
      </c>
    </row>
    <row r="1292" spans="4:11" ht="22.8" hidden="1" customHeight="1">
      <c r="D1292" s="916">
        <v>116</v>
      </c>
      <c r="E1292" s="895"/>
      <c r="F1292" s="896" t="s">
        <v>494</v>
      </c>
      <c r="G1292" s="897" t="s">
        <v>44</v>
      </c>
      <c r="H1292" s="898">
        <v>2000</v>
      </c>
      <c r="I1292" s="1435"/>
      <c r="J1292" s="1446">
        <f t="shared" si="29"/>
        <v>0</v>
      </c>
      <c r="K1292" s="898">
        <v>2000</v>
      </c>
    </row>
    <row r="1293" spans="4:11" ht="22.8" hidden="1" customHeight="1">
      <c r="D1293" s="916">
        <v>117</v>
      </c>
      <c r="E1293" s="895"/>
      <c r="F1293" s="896" t="s">
        <v>495</v>
      </c>
      <c r="G1293" s="897" t="s">
        <v>44</v>
      </c>
      <c r="H1293" s="898">
        <v>1000</v>
      </c>
      <c r="I1293" s="1435"/>
      <c r="J1293" s="1446">
        <f t="shared" si="29"/>
        <v>0</v>
      </c>
      <c r="K1293" s="898">
        <v>1000</v>
      </c>
    </row>
    <row r="1294" spans="4:11" ht="22.8" hidden="1" customHeight="1">
      <c r="D1294" s="916">
        <v>118</v>
      </c>
      <c r="E1294" s="895"/>
      <c r="F1294" s="896" t="s">
        <v>1770</v>
      </c>
      <c r="G1294" s="897" t="s">
        <v>496</v>
      </c>
      <c r="H1294" s="898">
        <v>83000</v>
      </c>
      <c r="I1294" s="1435"/>
      <c r="J1294" s="1446">
        <f t="shared" si="29"/>
        <v>0</v>
      </c>
      <c r="K1294" s="898">
        <v>83000</v>
      </c>
    </row>
    <row r="1295" spans="4:11" ht="22.8" hidden="1" customHeight="1">
      <c r="D1295" s="916">
        <v>119</v>
      </c>
      <c r="E1295" s="895"/>
      <c r="F1295" s="896" t="s">
        <v>497</v>
      </c>
      <c r="G1295" s="897" t="s">
        <v>44</v>
      </c>
      <c r="H1295" s="898">
        <v>4000</v>
      </c>
      <c r="I1295" s="1435"/>
      <c r="J1295" s="1446">
        <f t="shared" si="29"/>
        <v>0</v>
      </c>
      <c r="K1295" s="898">
        <v>4000</v>
      </c>
    </row>
    <row r="1296" spans="4:11" ht="22.8" hidden="1" customHeight="1">
      <c r="D1296" s="916">
        <v>120</v>
      </c>
      <c r="E1296" s="895"/>
      <c r="F1296" s="896" t="s">
        <v>498</v>
      </c>
      <c r="G1296" s="897" t="s">
        <v>62</v>
      </c>
      <c r="H1296" s="898">
        <v>160000</v>
      </c>
      <c r="I1296" s="1435"/>
      <c r="J1296" s="1446">
        <f t="shared" si="29"/>
        <v>0</v>
      </c>
      <c r="K1296" s="898">
        <v>160000</v>
      </c>
    </row>
    <row r="1297" spans="4:11" ht="22.8" hidden="1" customHeight="1">
      <c r="D1297" s="916">
        <v>121</v>
      </c>
      <c r="E1297" s="895"/>
      <c r="F1297" s="896" t="s">
        <v>499</v>
      </c>
      <c r="G1297" s="897" t="s">
        <v>62</v>
      </c>
      <c r="H1297" s="898">
        <v>180000</v>
      </c>
      <c r="I1297" s="1435"/>
      <c r="J1297" s="1446">
        <f t="shared" si="29"/>
        <v>0</v>
      </c>
      <c r="K1297" s="898">
        <v>180000</v>
      </c>
    </row>
    <row r="1298" spans="4:11" ht="22.8" hidden="1" customHeight="1">
      <c r="D1298" s="916">
        <v>122</v>
      </c>
      <c r="E1298" s="895"/>
      <c r="F1298" s="896" t="s">
        <v>500</v>
      </c>
      <c r="G1298" s="897" t="s">
        <v>44</v>
      </c>
      <c r="H1298" s="898">
        <v>6100</v>
      </c>
      <c r="I1298" s="1435"/>
      <c r="J1298" s="1446">
        <f t="shared" si="29"/>
        <v>0</v>
      </c>
      <c r="K1298" s="898">
        <v>6100</v>
      </c>
    </row>
    <row r="1299" spans="4:11" ht="22.8" hidden="1" customHeight="1">
      <c r="D1299" s="916">
        <v>123</v>
      </c>
      <c r="E1299" s="895"/>
      <c r="F1299" s="896" t="s">
        <v>501</v>
      </c>
      <c r="G1299" s="897" t="s">
        <v>44</v>
      </c>
      <c r="H1299" s="898">
        <v>5300</v>
      </c>
      <c r="I1299" s="1435"/>
      <c r="J1299" s="1446">
        <f t="shared" si="29"/>
        <v>0</v>
      </c>
      <c r="K1299" s="898">
        <v>5300</v>
      </c>
    </row>
    <row r="1300" spans="4:11" ht="22.8" hidden="1" customHeight="1">
      <c r="D1300" s="916">
        <v>124</v>
      </c>
      <c r="E1300" s="895"/>
      <c r="F1300" s="896" t="s">
        <v>502</v>
      </c>
      <c r="G1300" s="897" t="s">
        <v>42</v>
      </c>
      <c r="H1300" s="898">
        <v>3500000</v>
      </c>
      <c r="I1300" s="1435"/>
      <c r="J1300" s="1446">
        <f t="shared" si="29"/>
        <v>0</v>
      </c>
      <c r="K1300" s="898">
        <v>3500000</v>
      </c>
    </row>
    <row r="1301" spans="4:11" ht="22.8" hidden="1" customHeight="1">
      <c r="D1301" s="916">
        <v>125</v>
      </c>
      <c r="E1301" s="895"/>
      <c r="F1301" s="896" t="s">
        <v>503</v>
      </c>
      <c r="G1301" s="897" t="s">
        <v>44</v>
      </c>
      <c r="H1301" s="898">
        <v>14200</v>
      </c>
      <c r="I1301" s="1435"/>
      <c r="J1301" s="1446">
        <f t="shared" si="29"/>
        <v>0</v>
      </c>
      <c r="K1301" s="898">
        <v>14200</v>
      </c>
    </row>
    <row r="1302" spans="4:11" ht="22.8" hidden="1" customHeight="1">
      <c r="D1302" s="916">
        <v>126</v>
      </c>
      <c r="E1302" s="895"/>
      <c r="F1302" s="896" t="s">
        <v>504</v>
      </c>
      <c r="G1302" s="897" t="s">
        <v>44</v>
      </c>
      <c r="H1302" s="898">
        <v>20000</v>
      </c>
      <c r="I1302" s="1435"/>
      <c r="J1302" s="1446">
        <f t="shared" si="29"/>
        <v>0</v>
      </c>
      <c r="K1302" s="898">
        <v>20000</v>
      </c>
    </row>
    <row r="1303" spans="4:11" ht="22.8" hidden="1" customHeight="1">
      <c r="D1303" s="916">
        <v>127</v>
      </c>
      <c r="E1303" s="895"/>
      <c r="F1303" s="896" t="s">
        <v>505</v>
      </c>
      <c r="G1303" s="897" t="s">
        <v>44</v>
      </c>
      <c r="H1303" s="898">
        <v>30000</v>
      </c>
      <c r="I1303" s="1435"/>
      <c r="J1303" s="1446">
        <f t="shared" si="29"/>
        <v>0</v>
      </c>
      <c r="K1303" s="898">
        <v>30000</v>
      </c>
    </row>
    <row r="1304" spans="4:11" ht="22.8" hidden="1" customHeight="1">
      <c r="D1304" s="916">
        <v>128</v>
      </c>
      <c r="E1304" s="895"/>
      <c r="F1304" s="896" t="s">
        <v>506</v>
      </c>
      <c r="G1304" s="897" t="s">
        <v>44</v>
      </c>
      <c r="H1304" s="898">
        <v>2000</v>
      </c>
      <c r="I1304" s="1435"/>
      <c r="J1304" s="1446">
        <f t="shared" si="29"/>
        <v>0</v>
      </c>
      <c r="K1304" s="898">
        <v>2000</v>
      </c>
    </row>
    <row r="1305" spans="4:11" ht="22.8" hidden="1" customHeight="1">
      <c r="D1305" s="916">
        <v>129</v>
      </c>
      <c r="E1305" s="895"/>
      <c r="F1305" s="896" t="s">
        <v>507</v>
      </c>
      <c r="G1305" s="897" t="s">
        <v>44</v>
      </c>
      <c r="H1305" s="898">
        <v>3400</v>
      </c>
      <c r="I1305" s="1435"/>
      <c r="J1305" s="1446">
        <f t="shared" si="29"/>
        <v>0</v>
      </c>
      <c r="K1305" s="898">
        <v>3400</v>
      </c>
    </row>
    <row r="1306" spans="4:11" ht="22.8" hidden="1" customHeight="1">
      <c r="D1306" s="916">
        <v>130</v>
      </c>
      <c r="E1306" s="895"/>
      <c r="F1306" s="896" t="s">
        <v>508</v>
      </c>
      <c r="G1306" s="897" t="s">
        <v>44</v>
      </c>
      <c r="H1306" s="898">
        <v>4600</v>
      </c>
      <c r="I1306" s="1435"/>
      <c r="J1306" s="1446">
        <f t="shared" si="29"/>
        <v>0</v>
      </c>
      <c r="K1306" s="898">
        <v>4600</v>
      </c>
    </row>
    <row r="1307" spans="4:11" ht="22.8" hidden="1" customHeight="1">
      <c r="D1307" s="916">
        <v>131</v>
      </c>
      <c r="E1307" s="895"/>
      <c r="F1307" s="896" t="s">
        <v>509</v>
      </c>
      <c r="G1307" s="897" t="s">
        <v>44</v>
      </c>
      <c r="H1307" s="898">
        <v>6000</v>
      </c>
      <c r="I1307" s="1435"/>
      <c r="J1307" s="1446">
        <f t="shared" si="29"/>
        <v>0</v>
      </c>
      <c r="K1307" s="898">
        <v>6000</v>
      </c>
    </row>
    <row r="1308" spans="4:11" ht="22.8" hidden="1" customHeight="1">
      <c r="D1308" s="916">
        <v>132</v>
      </c>
      <c r="E1308" s="895"/>
      <c r="F1308" s="896" t="s">
        <v>510</v>
      </c>
      <c r="G1308" s="897" t="s">
        <v>511</v>
      </c>
      <c r="H1308" s="898">
        <v>43800</v>
      </c>
      <c r="I1308" s="1435"/>
      <c r="J1308" s="1446">
        <f t="shared" si="29"/>
        <v>0</v>
      </c>
      <c r="K1308" s="898">
        <v>43800</v>
      </c>
    </row>
    <row r="1309" spans="4:11" ht="22.8" hidden="1" customHeight="1">
      <c r="D1309" s="916">
        <v>133</v>
      </c>
      <c r="E1309" s="895"/>
      <c r="F1309" s="896" t="s">
        <v>512</v>
      </c>
      <c r="G1309" s="897" t="s">
        <v>511</v>
      </c>
      <c r="H1309" s="898">
        <v>46900</v>
      </c>
      <c r="I1309" s="1435"/>
      <c r="J1309" s="1446">
        <f t="shared" si="29"/>
        <v>0</v>
      </c>
      <c r="K1309" s="898">
        <v>46900</v>
      </c>
    </row>
    <row r="1310" spans="4:11" ht="22.8" hidden="1" customHeight="1">
      <c r="D1310" s="916">
        <v>134</v>
      </c>
      <c r="E1310" s="895"/>
      <c r="F1310" s="896" t="s">
        <v>513</v>
      </c>
      <c r="G1310" s="897" t="s">
        <v>511</v>
      </c>
      <c r="H1310" s="898">
        <v>48400</v>
      </c>
      <c r="I1310" s="1435"/>
      <c r="J1310" s="1446">
        <f t="shared" si="29"/>
        <v>0</v>
      </c>
      <c r="K1310" s="898">
        <v>48400</v>
      </c>
    </row>
    <row r="1311" spans="4:11" ht="22.8" hidden="1" customHeight="1">
      <c r="D1311" s="916">
        <v>135</v>
      </c>
      <c r="E1311" s="895"/>
      <c r="F1311" s="896" t="s">
        <v>514</v>
      </c>
      <c r="G1311" s="897" t="s">
        <v>511</v>
      </c>
      <c r="H1311" s="898">
        <v>49900</v>
      </c>
      <c r="I1311" s="1435"/>
      <c r="J1311" s="1446">
        <f t="shared" si="29"/>
        <v>0</v>
      </c>
      <c r="K1311" s="898">
        <v>49900</v>
      </c>
    </row>
    <row r="1312" spans="4:11" ht="22.8" hidden="1" customHeight="1">
      <c r="D1312" s="916">
        <v>136</v>
      </c>
      <c r="E1312" s="895"/>
      <c r="F1312" s="896" t="s">
        <v>515</v>
      </c>
      <c r="G1312" s="897" t="s">
        <v>44</v>
      </c>
      <c r="H1312" s="898">
        <v>45000</v>
      </c>
      <c r="I1312" s="1435"/>
      <c r="J1312" s="1446">
        <f t="shared" si="29"/>
        <v>0</v>
      </c>
      <c r="K1312" s="898">
        <v>45000</v>
      </c>
    </row>
    <row r="1313" spans="4:11" ht="22.8" hidden="1" customHeight="1">
      <c r="D1313" s="916">
        <v>137</v>
      </c>
      <c r="E1313" s="895"/>
      <c r="F1313" s="896" t="s">
        <v>516</v>
      </c>
      <c r="G1313" s="897" t="s">
        <v>44</v>
      </c>
      <c r="H1313" s="898">
        <v>60000</v>
      </c>
      <c r="I1313" s="1435"/>
      <c r="J1313" s="1446">
        <f t="shared" si="29"/>
        <v>0</v>
      </c>
      <c r="K1313" s="898">
        <v>60000</v>
      </c>
    </row>
    <row r="1314" spans="4:11" ht="22.8" hidden="1" customHeight="1">
      <c r="D1314" s="916">
        <v>138</v>
      </c>
      <c r="E1314" s="895"/>
      <c r="F1314" s="896" t="s">
        <v>517</v>
      </c>
      <c r="G1314" s="897" t="s">
        <v>44</v>
      </c>
      <c r="H1314" s="898">
        <v>70000</v>
      </c>
      <c r="I1314" s="1435"/>
      <c r="J1314" s="1446">
        <f t="shared" si="29"/>
        <v>0</v>
      </c>
      <c r="K1314" s="898">
        <v>70000</v>
      </c>
    </row>
    <row r="1315" spans="4:11" ht="22.8" hidden="1" customHeight="1">
      <c r="D1315" s="916">
        <v>139</v>
      </c>
      <c r="E1315" s="895"/>
      <c r="F1315" s="896" t="s">
        <v>518</v>
      </c>
      <c r="G1315" s="897" t="s">
        <v>44</v>
      </c>
      <c r="H1315" s="898">
        <v>24000</v>
      </c>
      <c r="I1315" s="1435"/>
      <c r="J1315" s="1446">
        <f t="shared" si="29"/>
        <v>0</v>
      </c>
      <c r="K1315" s="898">
        <v>24000</v>
      </c>
    </row>
    <row r="1316" spans="4:11" ht="22.8" hidden="1" customHeight="1">
      <c r="D1316" s="916">
        <v>140</v>
      </c>
      <c r="E1316" s="895"/>
      <c r="F1316" s="896" t="s">
        <v>519</v>
      </c>
      <c r="G1316" s="897" t="s">
        <v>44</v>
      </c>
      <c r="H1316" s="898">
        <v>30000</v>
      </c>
      <c r="I1316" s="1435"/>
      <c r="J1316" s="1446">
        <f t="shared" si="29"/>
        <v>0</v>
      </c>
      <c r="K1316" s="898">
        <v>30000</v>
      </c>
    </row>
    <row r="1317" spans="4:11" ht="22.8" hidden="1" customHeight="1">
      <c r="D1317" s="916">
        <v>141</v>
      </c>
      <c r="E1317" s="895"/>
      <c r="F1317" s="896" t="s">
        <v>520</v>
      </c>
      <c r="G1317" s="897" t="s">
        <v>44</v>
      </c>
      <c r="H1317" s="898">
        <v>2000</v>
      </c>
      <c r="I1317" s="1435"/>
      <c r="J1317" s="1446">
        <f t="shared" si="29"/>
        <v>0</v>
      </c>
      <c r="K1317" s="898">
        <v>2000</v>
      </c>
    </row>
    <row r="1318" spans="4:11" ht="22.8" hidden="1" customHeight="1">
      <c r="D1318" s="916">
        <v>142</v>
      </c>
      <c r="E1318" s="895"/>
      <c r="F1318" s="896" t="s">
        <v>521</v>
      </c>
      <c r="G1318" s="897" t="s">
        <v>44</v>
      </c>
      <c r="H1318" s="898">
        <v>4500</v>
      </c>
      <c r="I1318" s="1435"/>
      <c r="J1318" s="1446">
        <f t="shared" si="29"/>
        <v>0</v>
      </c>
      <c r="K1318" s="898">
        <v>4500</v>
      </c>
    </row>
    <row r="1319" spans="4:11" ht="22.8" hidden="1" customHeight="1">
      <c r="D1319" s="916">
        <v>143</v>
      </c>
      <c r="E1319" s="895"/>
      <c r="F1319" s="896" t="s">
        <v>522</v>
      </c>
      <c r="G1319" s="897" t="s">
        <v>44</v>
      </c>
      <c r="H1319" s="898">
        <v>6000</v>
      </c>
      <c r="I1319" s="1435"/>
      <c r="J1319" s="1446">
        <f t="shared" si="29"/>
        <v>0</v>
      </c>
      <c r="K1319" s="898">
        <v>6000</v>
      </c>
    </row>
    <row r="1320" spans="4:11" ht="22.8" hidden="1" customHeight="1">
      <c r="D1320" s="916">
        <v>144</v>
      </c>
      <c r="E1320" s="895"/>
      <c r="F1320" s="896" t="s">
        <v>523</v>
      </c>
      <c r="G1320" s="897" t="s">
        <v>44</v>
      </c>
      <c r="H1320" s="898">
        <v>8000</v>
      </c>
      <c r="I1320" s="1435"/>
      <c r="J1320" s="1446">
        <f t="shared" si="29"/>
        <v>0</v>
      </c>
      <c r="K1320" s="898">
        <v>8000</v>
      </c>
    </row>
    <row r="1321" spans="4:11" ht="22.8" hidden="1" customHeight="1">
      <c r="D1321" s="916">
        <v>145</v>
      </c>
      <c r="E1321" s="895"/>
      <c r="F1321" s="896" t="s">
        <v>524</v>
      </c>
      <c r="G1321" s="897" t="s">
        <v>62</v>
      </c>
      <c r="H1321" s="898">
        <v>10000</v>
      </c>
      <c r="I1321" s="1435"/>
      <c r="J1321" s="1446">
        <f t="shared" si="29"/>
        <v>0</v>
      </c>
      <c r="K1321" s="898">
        <v>10000</v>
      </c>
    </row>
    <row r="1322" spans="4:11" ht="22.8" hidden="1" customHeight="1">
      <c r="D1322" s="916">
        <v>146</v>
      </c>
      <c r="E1322" s="895"/>
      <c r="F1322" s="896" t="s">
        <v>525</v>
      </c>
      <c r="G1322" s="897" t="s">
        <v>62</v>
      </c>
      <c r="H1322" s="898">
        <v>500000</v>
      </c>
      <c r="I1322" s="1435"/>
      <c r="J1322" s="1446">
        <f t="shared" si="29"/>
        <v>0</v>
      </c>
      <c r="K1322" s="898">
        <v>500000</v>
      </c>
    </row>
    <row r="1323" spans="4:11" ht="22.8" hidden="1" customHeight="1">
      <c r="D1323" s="916">
        <v>147</v>
      </c>
      <c r="E1323" s="895"/>
      <c r="F1323" s="896" t="s">
        <v>526</v>
      </c>
      <c r="G1323" s="897" t="s">
        <v>44</v>
      </c>
      <c r="H1323" s="898">
        <v>7000</v>
      </c>
      <c r="I1323" s="1435"/>
      <c r="J1323" s="1446">
        <f t="shared" si="29"/>
        <v>0</v>
      </c>
      <c r="K1323" s="898">
        <v>7000</v>
      </c>
    </row>
    <row r="1324" spans="4:11" ht="22.8" customHeight="1">
      <c r="D1324" s="915" t="s">
        <v>6626</v>
      </c>
      <c r="E1324" s="1795" t="s">
        <v>527</v>
      </c>
      <c r="F1324" s="1796"/>
      <c r="G1324" s="897"/>
      <c r="H1324" s="898"/>
      <c r="I1324" s="1435"/>
      <c r="J1324" s="1446">
        <f t="shared" si="29"/>
        <v>0</v>
      </c>
      <c r="K1324" s="898"/>
    </row>
    <row r="1325" spans="4:11" ht="22.8" hidden="1" customHeight="1">
      <c r="D1325" s="916">
        <v>1</v>
      </c>
      <c r="E1325" s="895"/>
      <c r="F1325" s="896" t="s">
        <v>528</v>
      </c>
      <c r="G1325" s="897" t="s">
        <v>529</v>
      </c>
      <c r="H1325" s="898">
        <v>51600</v>
      </c>
      <c r="I1325" s="1435"/>
      <c r="J1325" s="1446">
        <f t="shared" si="29"/>
        <v>0</v>
      </c>
      <c r="K1325" s="898">
        <v>51600</v>
      </c>
    </row>
    <row r="1326" spans="4:11" ht="22.8" hidden="1" customHeight="1">
      <c r="D1326" s="916">
        <v>2</v>
      </c>
      <c r="E1326" s="895"/>
      <c r="F1326" s="896" t="s">
        <v>4462</v>
      </c>
      <c r="G1326" s="897" t="s">
        <v>2426</v>
      </c>
      <c r="H1326" s="898">
        <v>25000</v>
      </c>
      <c r="I1326" s="1435"/>
      <c r="J1326" s="1446">
        <f t="shared" si="29"/>
        <v>0</v>
      </c>
      <c r="K1326" s="898">
        <v>25000</v>
      </c>
    </row>
    <row r="1327" spans="4:11" ht="22.8" customHeight="1">
      <c r="D1327" s="1423">
        <v>3</v>
      </c>
      <c r="E1327" s="895"/>
      <c r="F1327" s="896" t="s">
        <v>1855</v>
      </c>
      <c r="G1327" s="897" t="s">
        <v>42</v>
      </c>
      <c r="H1327" s="898">
        <v>805600</v>
      </c>
      <c r="I1327" s="1442"/>
      <c r="J1327" s="1446">
        <f t="shared" si="29"/>
        <v>0</v>
      </c>
      <c r="K1327" s="898">
        <v>805600</v>
      </c>
    </row>
    <row r="1328" spans="4:11" ht="22.8" hidden="1" customHeight="1">
      <c r="D1328" s="916">
        <v>4</v>
      </c>
      <c r="E1328" s="895"/>
      <c r="F1328" s="896" t="s">
        <v>5251</v>
      </c>
      <c r="G1328" s="897" t="s">
        <v>42</v>
      </c>
      <c r="H1328" s="898">
        <v>805000</v>
      </c>
      <c r="I1328" s="1435"/>
      <c r="J1328" s="1446">
        <f t="shared" si="29"/>
        <v>0</v>
      </c>
      <c r="K1328" s="898">
        <v>805000</v>
      </c>
    </row>
    <row r="1329" spans="4:11" ht="22.8" hidden="1" customHeight="1">
      <c r="D1329" s="916">
        <v>5</v>
      </c>
      <c r="E1329" s="895"/>
      <c r="F1329" s="896" t="s">
        <v>530</v>
      </c>
      <c r="G1329" s="897" t="s">
        <v>42</v>
      </c>
      <c r="H1329" s="898">
        <v>2250000</v>
      </c>
      <c r="I1329" s="1435"/>
      <c r="J1329" s="1446">
        <f t="shared" si="29"/>
        <v>0</v>
      </c>
      <c r="K1329" s="898">
        <v>2250000</v>
      </c>
    </row>
    <row r="1330" spans="4:11" ht="22.8" hidden="1" customHeight="1">
      <c r="D1330" s="916">
        <v>6</v>
      </c>
      <c r="E1330" s="895"/>
      <c r="F1330" s="896" t="s">
        <v>531</v>
      </c>
      <c r="G1330" s="897" t="s">
        <v>42</v>
      </c>
      <c r="H1330" s="898">
        <v>788100</v>
      </c>
      <c r="I1330" s="1435"/>
      <c r="J1330" s="1446">
        <f t="shared" si="29"/>
        <v>0</v>
      </c>
      <c r="K1330" s="898">
        <v>788100</v>
      </c>
    </row>
    <row r="1331" spans="4:11" ht="22.8" hidden="1" customHeight="1">
      <c r="D1331" s="916">
        <v>7</v>
      </c>
      <c r="E1331" s="895"/>
      <c r="F1331" s="896" t="s">
        <v>532</v>
      </c>
      <c r="G1331" s="897" t="s">
        <v>42</v>
      </c>
      <c r="H1331" s="898">
        <v>805600</v>
      </c>
      <c r="I1331" s="1435"/>
      <c r="J1331" s="1446">
        <f t="shared" si="29"/>
        <v>0</v>
      </c>
      <c r="K1331" s="898">
        <v>805600</v>
      </c>
    </row>
    <row r="1332" spans="4:11" ht="22.8" hidden="1" customHeight="1">
      <c r="D1332" s="916">
        <v>8</v>
      </c>
      <c r="E1332" s="895"/>
      <c r="F1332" s="896" t="s">
        <v>533</v>
      </c>
      <c r="G1332" s="897" t="s">
        <v>42</v>
      </c>
      <c r="H1332" s="898">
        <v>848100</v>
      </c>
      <c r="I1332" s="1435"/>
      <c r="J1332" s="1446">
        <f t="shared" si="29"/>
        <v>0</v>
      </c>
      <c r="K1332" s="898">
        <v>848100</v>
      </c>
    </row>
    <row r="1333" spans="4:11" ht="22.8" hidden="1" customHeight="1">
      <c r="D1333" s="916">
        <v>9</v>
      </c>
      <c r="E1333" s="895"/>
      <c r="F1333" s="896" t="s">
        <v>534</v>
      </c>
      <c r="G1333" s="897" t="s">
        <v>42</v>
      </c>
      <c r="H1333" s="898">
        <v>869200</v>
      </c>
      <c r="I1333" s="1435"/>
      <c r="J1333" s="1446">
        <f t="shared" si="29"/>
        <v>0</v>
      </c>
      <c r="K1333" s="898">
        <v>869200</v>
      </c>
    </row>
    <row r="1334" spans="4:11" ht="22.8" hidden="1" customHeight="1">
      <c r="D1334" s="916">
        <v>10</v>
      </c>
      <c r="E1334" s="895"/>
      <c r="F1334" s="896" t="s">
        <v>535</v>
      </c>
      <c r="G1334" s="897" t="s">
        <v>42</v>
      </c>
      <c r="H1334" s="898">
        <v>887700</v>
      </c>
      <c r="I1334" s="1435"/>
      <c r="J1334" s="1446">
        <f t="shared" si="29"/>
        <v>0</v>
      </c>
      <c r="K1334" s="898">
        <v>887700</v>
      </c>
    </row>
    <row r="1335" spans="4:11" ht="22.8" hidden="1" customHeight="1">
      <c r="D1335" s="916">
        <v>11</v>
      </c>
      <c r="E1335" s="895"/>
      <c r="F1335" s="896" t="s">
        <v>536</v>
      </c>
      <c r="G1335" s="897" t="s">
        <v>42</v>
      </c>
      <c r="H1335" s="898">
        <v>911300</v>
      </c>
      <c r="I1335" s="1435"/>
      <c r="J1335" s="1446">
        <f t="shared" si="29"/>
        <v>0</v>
      </c>
      <c r="K1335" s="898">
        <v>911300</v>
      </c>
    </row>
    <row r="1336" spans="4:11" ht="22.8" hidden="1" customHeight="1">
      <c r="D1336" s="916">
        <v>12</v>
      </c>
      <c r="E1336" s="895"/>
      <c r="F1336" s="896" t="s">
        <v>537</v>
      </c>
      <c r="G1336" s="897" t="s">
        <v>42</v>
      </c>
      <c r="H1336" s="898">
        <v>937100</v>
      </c>
      <c r="I1336" s="1435"/>
      <c r="J1336" s="1446">
        <f t="shared" si="29"/>
        <v>0</v>
      </c>
      <c r="K1336" s="898">
        <v>937100</v>
      </c>
    </row>
    <row r="1337" spans="4:11" ht="22.8" hidden="1" customHeight="1">
      <c r="D1337" s="916">
        <v>13</v>
      </c>
      <c r="E1337" s="895"/>
      <c r="F1337" s="896" t="s">
        <v>538</v>
      </c>
      <c r="G1337" s="897" t="s">
        <v>42</v>
      </c>
      <c r="H1337" s="898">
        <v>961200</v>
      </c>
      <c r="I1337" s="1435"/>
      <c r="J1337" s="1446">
        <f t="shared" si="29"/>
        <v>0</v>
      </c>
      <c r="K1337" s="898">
        <v>961200</v>
      </c>
    </row>
    <row r="1338" spans="4:11" ht="22.8" hidden="1" customHeight="1">
      <c r="D1338" s="916">
        <v>14</v>
      </c>
      <c r="E1338" s="895"/>
      <c r="F1338" s="896" t="s">
        <v>539</v>
      </c>
      <c r="G1338" s="897" t="s">
        <v>42</v>
      </c>
      <c r="H1338" s="898">
        <v>1001900</v>
      </c>
      <c r="I1338" s="1435"/>
      <c r="J1338" s="1446">
        <f t="shared" si="29"/>
        <v>0</v>
      </c>
      <c r="K1338" s="898">
        <v>1001900</v>
      </c>
    </row>
    <row r="1339" spans="4:11" ht="22.8" hidden="1" customHeight="1">
      <c r="D1339" s="916">
        <v>15</v>
      </c>
      <c r="E1339" s="895"/>
      <c r="F1339" s="896" t="s">
        <v>540</v>
      </c>
      <c r="G1339" s="897" t="s">
        <v>42</v>
      </c>
      <c r="H1339" s="898">
        <v>1066100</v>
      </c>
      <c r="I1339" s="1435"/>
      <c r="J1339" s="1446">
        <f t="shared" si="29"/>
        <v>0</v>
      </c>
      <c r="K1339" s="898">
        <v>1066100</v>
      </c>
    </row>
    <row r="1340" spans="4:11" ht="22.8" hidden="1" customHeight="1">
      <c r="D1340" s="916">
        <v>16</v>
      </c>
      <c r="E1340" s="895"/>
      <c r="F1340" s="896" t="s">
        <v>541</v>
      </c>
      <c r="G1340" s="897" t="s">
        <v>42</v>
      </c>
      <c r="H1340" s="898">
        <v>1152800</v>
      </c>
      <c r="I1340" s="1435"/>
      <c r="J1340" s="1446">
        <f t="shared" si="29"/>
        <v>0</v>
      </c>
      <c r="K1340" s="898">
        <v>1152800</v>
      </c>
    </row>
    <row r="1341" spans="4:11" ht="22.8" hidden="1" customHeight="1">
      <c r="D1341" s="916">
        <v>17</v>
      </c>
      <c r="E1341" s="895"/>
      <c r="F1341" s="896" t="s">
        <v>1948</v>
      </c>
      <c r="G1341" s="897" t="s">
        <v>42</v>
      </c>
      <c r="H1341" s="898">
        <v>848100</v>
      </c>
      <c r="I1341" s="1435"/>
      <c r="J1341" s="1446">
        <f t="shared" si="29"/>
        <v>0</v>
      </c>
      <c r="K1341" s="898">
        <v>848100</v>
      </c>
    </row>
    <row r="1342" spans="4:11" ht="22.8" hidden="1" customHeight="1">
      <c r="D1342" s="916">
        <v>19</v>
      </c>
      <c r="E1342" s="895"/>
      <c r="F1342" s="896" t="s">
        <v>542</v>
      </c>
      <c r="G1342" s="897" t="s">
        <v>65</v>
      </c>
      <c r="H1342" s="898">
        <v>3500</v>
      </c>
      <c r="I1342" s="1435"/>
      <c r="J1342" s="1446">
        <f t="shared" si="29"/>
        <v>0</v>
      </c>
      <c r="K1342" s="898">
        <v>3500</v>
      </c>
    </row>
    <row r="1343" spans="4:11" ht="22.8" hidden="1" customHeight="1">
      <c r="D1343" s="916">
        <v>20</v>
      </c>
      <c r="E1343" s="895"/>
      <c r="F1343" s="896" t="s">
        <v>543</v>
      </c>
      <c r="G1343" s="897" t="s">
        <v>65</v>
      </c>
      <c r="H1343" s="898">
        <v>3700</v>
      </c>
      <c r="I1343" s="1435"/>
      <c r="J1343" s="1446">
        <f t="shared" si="29"/>
        <v>0</v>
      </c>
      <c r="K1343" s="898">
        <v>3700</v>
      </c>
    </row>
    <row r="1344" spans="4:11" ht="22.8" hidden="1" customHeight="1">
      <c r="D1344" s="916">
        <v>21</v>
      </c>
      <c r="E1344" s="895"/>
      <c r="F1344" s="896" t="s">
        <v>544</v>
      </c>
      <c r="G1344" s="897" t="s">
        <v>529</v>
      </c>
      <c r="H1344" s="898">
        <v>44100</v>
      </c>
      <c r="I1344" s="1435"/>
      <c r="J1344" s="1446">
        <f t="shared" ref="J1344:J1407" si="30">I1344-(I1344*10%)</f>
        <v>0</v>
      </c>
      <c r="K1344" s="898">
        <v>44100</v>
      </c>
    </row>
    <row r="1345" spans="4:11" ht="22.8" hidden="1" customHeight="1">
      <c r="D1345" s="916">
        <v>22</v>
      </c>
      <c r="E1345" s="895"/>
      <c r="F1345" s="896" t="s">
        <v>545</v>
      </c>
      <c r="G1345" s="897" t="s">
        <v>65</v>
      </c>
      <c r="H1345" s="898">
        <v>52400</v>
      </c>
      <c r="I1345" s="1435"/>
      <c r="J1345" s="1446">
        <f t="shared" si="30"/>
        <v>0</v>
      </c>
      <c r="K1345" s="898">
        <v>52400</v>
      </c>
    </row>
    <row r="1346" spans="4:11" ht="22.8" hidden="1" customHeight="1">
      <c r="D1346" s="916">
        <v>23</v>
      </c>
      <c r="E1346" s="895"/>
      <c r="F1346" s="896" t="s">
        <v>2694</v>
      </c>
      <c r="G1346" s="897" t="s">
        <v>62</v>
      </c>
      <c r="H1346" s="898">
        <v>150000</v>
      </c>
      <c r="I1346" s="1435"/>
      <c r="J1346" s="1446">
        <f t="shared" si="30"/>
        <v>0</v>
      </c>
      <c r="K1346" s="898">
        <v>150000</v>
      </c>
    </row>
    <row r="1347" spans="4:11" ht="22.8" hidden="1" customHeight="1">
      <c r="D1347" s="916">
        <v>24</v>
      </c>
      <c r="E1347" s="895"/>
      <c r="F1347" s="896" t="s">
        <v>2695</v>
      </c>
      <c r="G1347" s="897" t="s">
        <v>2426</v>
      </c>
      <c r="H1347" s="898">
        <v>57500</v>
      </c>
      <c r="I1347" s="1435"/>
      <c r="J1347" s="1446">
        <f t="shared" si="30"/>
        <v>0</v>
      </c>
      <c r="K1347" s="898">
        <v>57500</v>
      </c>
    </row>
    <row r="1348" spans="4:11" ht="22.8" customHeight="1">
      <c r="D1348" s="1429">
        <v>36</v>
      </c>
      <c r="E1348" s="895"/>
      <c r="F1348" s="896" t="s">
        <v>546</v>
      </c>
      <c r="G1348" s="897" t="s">
        <v>44</v>
      </c>
      <c r="H1348" s="894">
        <f t="shared" ref="H1348:H1366" si="31">J1348</f>
        <v>13500</v>
      </c>
      <c r="I1348" s="1435">
        <v>15000</v>
      </c>
      <c r="J1348" s="1446">
        <f t="shared" si="30"/>
        <v>13500</v>
      </c>
      <c r="K1348" s="898">
        <v>7000</v>
      </c>
    </row>
    <row r="1349" spans="4:11" ht="22.8" hidden="1" customHeight="1">
      <c r="D1349" s="916">
        <v>26</v>
      </c>
      <c r="E1349" s="895"/>
      <c r="F1349" s="896" t="s">
        <v>547</v>
      </c>
      <c r="G1349" s="897" t="s">
        <v>113</v>
      </c>
      <c r="H1349" s="894">
        <f t="shared" si="31"/>
        <v>0</v>
      </c>
      <c r="I1349" s="1435"/>
      <c r="J1349" s="1446">
        <f t="shared" si="30"/>
        <v>0</v>
      </c>
      <c r="K1349" s="898">
        <v>8100</v>
      </c>
    </row>
    <row r="1350" spans="4:11" ht="22.8" hidden="1" customHeight="1">
      <c r="D1350" s="916">
        <v>27</v>
      </c>
      <c r="E1350" s="895"/>
      <c r="F1350" s="896" t="s">
        <v>1813</v>
      </c>
      <c r="G1350" s="897" t="s">
        <v>106</v>
      </c>
      <c r="H1350" s="894">
        <f t="shared" si="31"/>
        <v>0</v>
      </c>
      <c r="I1350" s="1435"/>
      <c r="J1350" s="1446">
        <f t="shared" si="30"/>
        <v>0</v>
      </c>
      <c r="K1350" s="898">
        <v>282000</v>
      </c>
    </row>
    <row r="1351" spans="4:11" ht="22.8" hidden="1" customHeight="1">
      <c r="D1351" s="916">
        <v>28</v>
      </c>
      <c r="E1351" s="895"/>
      <c r="F1351" s="896" t="s">
        <v>1814</v>
      </c>
      <c r="G1351" s="897" t="s">
        <v>129</v>
      </c>
      <c r="H1351" s="894">
        <f t="shared" si="31"/>
        <v>0</v>
      </c>
      <c r="I1351" s="1435"/>
      <c r="J1351" s="1446">
        <f t="shared" si="30"/>
        <v>0</v>
      </c>
      <c r="K1351" s="898">
        <v>125000</v>
      </c>
    </row>
    <row r="1352" spans="4:11" ht="22.8" hidden="1" customHeight="1">
      <c r="D1352" s="916">
        <v>29</v>
      </c>
      <c r="E1352" s="895"/>
      <c r="F1352" s="896" t="s">
        <v>548</v>
      </c>
      <c r="G1352" s="897" t="s">
        <v>113</v>
      </c>
      <c r="H1352" s="894">
        <f t="shared" si="31"/>
        <v>0</v>
      </c>
      <c r="I1352" s="1435"/>
      <c r="J1352" s="1446">
        <f t="shared" si="30"/>
        <v>0</v>
      </c>
      <c r="K1352" s="898">
        <v>4800</v>
      </c>
    </row>
    <row r="1353" spans="4:11" ht="22.8" hidden="1" customHeight="1">
      <c r="D1353" s="916">
        <v>30</v>
      </c>
      <c r="E1353" s="895"/>
      <c r="F1353" s="896" t="s">
        <v>549</v>
      </c>
      <c r="G1353" s="897" t="s">
        <v>65</v>
      </c>
      <c r="H1353" s="894">
        <f t="shared" si="31"/>
        <v>0</v>
      </c>
      <c r="I1353" s="1435"/>
      <c r="J1353" s="1446">
        <f t="shared" si="30"/>
        <v>0</v>
      </c>
      <c r="K1353" s="898">
        <v>15500</v>
      </c>
    </row>
    <row r="1354" spans="4:11" ht="22.8" hidden="1" customHeight="1">
      <c r="D1354" s="916">
        <v>31</v>
      </c>
      <c r="E1354" s="895"/>
      <c r="F1354" s="896" t="s">
        <v>550</v>
      </c>
      <c r="G1354" s="897" t="s">
        <v>65</v>
      </c>
      <c r="H1354" s="894">
        <f t="shared" si="31"/>
        <v>0</v>
      </c>
      <c r="I1354" s="1435"/>
      <c r="J1354" s="1446">
        <f t="shared" si="30"/>
        <v>0</v>
      </c>
      <c r="K1354" s="898">
        <v>21100</v>
      </c>
    </row>
    <row r="1355" spans="4:11" ht="22.8" hidden="1" customHeight="1">
      <c r="D1355" s="916">
        <v>32</v>
      </c>
      <c r="E1355" s="895"/>
      <c r="F1355" s="896" t="s">
        <v>551</v>
      </c>
      <c r="G1355" s="897" t="s">
        <v>65</v>
      </c>
      <c r="H1355" s="894">
        <f t="shared" si="31"/>
        <v>0</v>
      </c>
      <c r="I1355" s="1435"/>
      <c r="J1355" s="1446">
        <f t="shared" si="30"/>
        <v>0</v>
      </c>
      <c r="K1355" s="898">
        <v>17200</v>
      </c>
    </row>
    <row r="1356" spans="4:11" ht="22.8" hidden="1" customHeight="1">
      <c r="D1356" s="916">
        <v>33</v>
      </c>
      <c r="E1356" s="895"/>
      <c r="F1356" s="896" t="s">
        <v>552</v>
      </c>
      <c r="G1356" s="897" t="s">
        <v>553</v>
      </c>
      <c r="H1356" s="894">
        <f t="shared" si="31"/>
        <v>0</v>
      </c>
      <c r="I1356" s="1435"/>
      <c r="J1356" s="1446">
        <f t="shared" si="30"/>
        <v>0</v>
      </c>
      <c r="K1356" s="898">
        <v>46600</v>
      </c>
    </row>
    <row r="1357" spans="4:11" ht="22.8" hidden="1" customHeight="1">
      <c r="D1357" s="916">
        <v>34</v>
      </c>
      <c r="E1357" s="895"/>
      <c r="F1357" s="896" t="s">
        <v>554</v>
      </c>
      <c r="G1357" s="897" t="s">
        <v>553</v>
      </c>
      <c r="H1357" s="894">
        <f t="shared" si="31"/>
        <v>65700</v>
      </c>
      <c r="I1357" s="1435">
        <v>73000</v>
      </c>
      <c r="J1357" s="1446">
        <f t="shared" si="30"/>
        <v>65700</v>
      </c>
      <c r="K1357" s="898">
        <v>58200</v>
      </c>
    </row>
    <row r="1358" spans="4:11" ht="22.8" hidden="1" customHeight="1">
      <c r="D1358" s="916">
        <v>35</v>
      </c>
      <c r="E1358" s="895"/>
      <c r="F1358" s="896" t="s">
        <v>555</v>
      </c>
      <c r="G1358" s="897" t="s">
        <v>65</v>
      </c>
      <c r="H1358" s="894">
        <f t="shared" si="31"/>
        <v>0</v>
      </c>
      <c r="I1358" s="1435"/>
      <c r="J1358" s="1446">
        <f t="shared" si="30"/>
        <v>0</v>
      </c>
      <c r="K1358" s="898">
        <v>6000</v>
      </c>
    </row>
    <row r="1359" spans="4:11" ht="22.8" hidden="1" customHeight="1">
      <c r="D1359" s="916">
        <v>36</v>
      </c>
      <c r="E1359" s="895"/>
      <c r="F1359" s="896" t="s">
        <v>556</v>
      </c>
      <c r="G1359" s="897" t="s">
        <v>65</v>
      </c>
      <c r="H1359" s="894">
        <f t="shared" si="31"/>
        <v>0</v>
      </c>
      <c r="I1359" s="1435"/>
      <c r="J1359" s="1446">
        <f t="shared" si="30"/>
        <v>0</v>
      </c>
      <c r="K1359" s="898">
        <v>15800</v>
      </c>
    </row>
    <row r="1360" spans="4:11" ht="22.8" hidden="1" customHeight="1">
      <c r="D1360" s="916">
        <v>37</v>
      </c>
      <c r="E1360" s="895"/>
      <c r="F1360" s="896" t="s">
        <v>557</v>
      </c>
      <c r="G1360" s="897" t="s">
        <v>553</v>
      </c>
      <c r="H1360" s="894">
        <f t="shared" si="31"/>
        <v>0</v>
      </c>
      <c r="I1360" s="1435"/>
      <c r="J1360" s="1446">
        <f t="shared" si="30"/>
        <v>0</v>
      </c>
      <c r="K1360" s="898">
        <v>46500</v>
      </c>
    </row>
    <row r="1361" spans="4:11" ht="22.8" hidden="1" customHeight="1">
      <c r="D1361" s="916">
        <v>38</v>
      </c>
      <c r="E1361" s="895"/>
      <c r="F1361" s="896" t="s">
        <v>558</v>
      </c>
      <c r="G1361" s="897" t="s">
        <v>553</v>
      </c>
      <c r="H1361" s="894">
        <f t="shared" si="31"/>
        <v>0</v>
      </c>
      <c r="I1361" s="1435"/>
      <c r="J1361" s="1446">
        <f t="shared" si="30"/>
        <v>0</v>
      </c>
      <c r="K1361" s="898">
        <v>57600</v>
      </c>
    </row>
    <row r="1362" spans="4:11" ht="22.8" hidden="1" customHeight="1">
      <c r="D1362" s="916">
        <v>39</v>
      </c>
      <c r="E1362" s="895"/>
      <c r="F1362" s="896" t="s">
        <v>559</v>
      </c>
      <c r="G1362" s="897" t="s">
        <v>65</v>
      </c>
      <c r="H1362" s="894">
        <f t="shared" si="31"/>
        <v>0</v>
      </c>
      <c r="I1362" s="1435"/>
      <c r="J1362" s="1446">
        <f t="shared" si="30"/>
        <v>0</v>
      </c>
      <c r="K1362" s="898">
        <v>16100</v>
      </c>
    </row>
    <row r="1363" spans="4:11" ht="22.8" customHeight="1">
      <c r="D1363" s="1422">
        <v>1</v>
      </c>
      <c r="E1363" s="895"/>
      <c r="F1363" s="896" t="s">
        <v>1796</v>
      </c>
      <c r="G1363" s="897" t="s">
        <v>65</v>
      </c>
      <c r="H1363" s="894">
        <f t="shared" si="31"/>
        <v>1530</v>
      </c>
      <c r="I1363" s="1435">
        <v>1700</v>
      </c>
      <c r="J1363" s="1446">
        <f t="shared" si="30"/>
        <v>1530</v>
      </c>
      <c r="K1363" s="898">
        <v>1300</v>
      </c>
    </row>
    <row r="1364" spans="4:11" ht="22.8" hidden="1" customHeight="1">
      <c r="D1364" s="916">
        <v>41</v>
      </c>
      <c r="E1364" s="895"/>
      <c r="F1364" s="896" t="s">
        <v>560</v>
      </c>
      <c r="G1364" s="897" t="s">
        <v>553</v>
      </c>
      <c r="H1364" s="894">
        <f t="shared" si="31"/>
        <v>0</v>
      </c>
      <c r="I1364" s="1435"/>
      <c r="J1364" s="1446">
        <f t="shared" si="30"/>
        <v>0</v>
      </c>
      <c r="K1364" s="898">
        <v>89700</v>
      </c>
    </row>
    <row r="1365" spans="4:11" ht="22.8" hidden="1" customHeight="1">
      <c r="D1365" s="916">
        <v>42</v>
      </c>
      <c r="E1365" s="895"/>
      <c r="F1365" s="896" t="s">
        <v>561</v>
      </c>
      <c r="G1365" s="897" t="s">
        <v>553</v>
      </c>
      <c r="H1365" s="894">
        <f t="shared" si="31"/>
        <v>0</v>
      </c>
      <c r="I1365" s="1435"/>
      <c r="J1365" s="1446">
        <f t="shared" si="30"/>
        <v>0</v>
      </c>
      <c r="K1365" s="898">
        <v>97700</v>
      </c>
    </row>
    <row r="1366" spans="4:11" ht="22.8" customHeight="1">
      <c r="D1366" s="1422">
        <v>1</v>
      </c>
      <c r="E1366" s="895"/>
      <c r="F1366" s="896" t="s">
        <v>562</v>
      </c>
      <c r="G1366" s="897" t="s">
        <v>65</v>
      </c>
      <c r="H1366" s="894">
        <f t="shared" si="31"/>
        <v>18000</v>
      </c>
      <c r="I1366" s="1435">
        <v>20000</v>
      </c>
      <c r="J1366" s="1446">
        <f t="shared" si="30"/>
        <v>18000</v>
      </c>
      <c r="K1366" s="898">
        <v>7800</v>
      </c>
    </row>
    <row r="1367" spans="4:11" ht="22.8" hidden="1" customHeight="1">
      <c r="D1367" s="916">
        <v>44</v>
      </c>
      <c r="E1367" s="895"/>
      <c r="F1367" s="896" t="s">
        <v>563</v>
      </c>
      <c r="G1367" s="897" t="s">
        <v>65</v>
      </c>
      <c r="H1367" s="898">
        <v>61200</v>
      </c>
      <c r="I1367" s="1435"/>
      <c r="J1367" s="1446">
        <f t="shared" si="30"/>
        <v>0</v>
      </c>
      <c r="K1367" s="898">
        <v>61200</v>
      </c>
    </row>
    <row r="1368" spans="4:11" ht="22.8" hidden="1" customHeight="1">
      <c r="D1368" s="916">
        <v>45</v>
      </c>
      <c r="E1368" s="895"/>
      <c r="F1368" s="896" t="s">
        <v>2699</v>
      </c>
      <c r="G1368" s="897" t="s">
        <v>65</v>
      </c>
      <c r="H1368" s="898">
        <v>62000</v>
      </c>
      <c r="I1368" s="1435"/>
      <c r="J1368" s="1446">
        <f t="shared" si="30"/>
        <v>0</v>
      </c>
      <c r="K1368" s="898">
        <v>62000</v>
      </c>
    </row>
    <row r="1369" spans="4:11" ht="22.8" hidden="1" customHeight="1">
      <c r="D1369" s="916">
        <v>46</v>
      </c>
      <c r="E1369" s="895"/>
      <c r="F1369" s="896" t="s">
        <v>2702</v>
      </c>
      <c r="G1369" s="897" t="s">
        <v>65</v>
      </c>
      <c r="H1369" s="898">
        <v>74500</v>
      </c>
      <c r="I1369" s="1435"/>
      <c r="J1369" s="1446">
        <f t="shared" si="30"/>
        <v>0</v>
      </c>
      <c r="K1369" s="898">
        <v>74500</v>
      </c>
    </row>
    <row r="1370" spans="4:11" ht="22.8" hidden="1" customHeight="1">
      <c r="D1370" s="916">
        <v>47</v>
      </c>
      <c r="E1370" s="895"/>
      <c r="F1370" s="896" t="s">
        <v>2705</v>
      </c>
      <c r="G1370" s="897" t="s">
        <v>65</v>
      </c>
      <c r="H1370" s="898">
        <v>64000</v>
      </c>
      <c r="I1370" s="1435"/>
      <c r="J1370" s="1446">
        <f t="shared" si="30"/>
        <v>0</v>
      </c>
      <c r="K1370" s="898">
        <v>64000</v>
      </c>
    </row>
    <row r="1371" spans="4:11" ht="22.8" hidden="1" customHeight="1">
      <c r="D1371" s="916">
        <v>48</v>
      </c>
      <c r="E1371" s="895"/>
      <c r="F1371" s="896" t="s">
        <v>4458</v>
      </c>
      <c r="G1371" s="897" t="s">
        <v>65</v>
      </c>
      <c r="H1371" s="898">
        <v>22000</v>
      </c>
      <c r="I1371" s="1435"/>
      <c r="J1371" s="1446">
        <f t="shared" si="30"/>
        <v>0</v>
      </c>
      <c r="K1371" s="898">
        <v>22000</v>
      </c>
    </row>
    <row r="1372" spans="4:11" ht="22.8" hidden="1" customHeight="1">
      <c r="D1372" s="916">
        <v>49</v>
      </c>
      <c r="E1372" s="895"/>
      <c r="F1372" s="896" t="s">
        <v>4461</v>
      </c>
      <c r="G1372" s="897" t="s">
        <v>2426</v>
      </c>
      <c r="H1372" s="898">
        <v>46000</v>
      </c>
      <c r="I1372" s="1435"/>
      <c r="J1372" s="1446">
        <f t="shared" si="30"/>
        <v>0</v>
      </c>
      <c r="K1372" s="898">
        <v>46000</v>
      </c>
    </row>
    <row r="1373" spans="4:11" ht="22.8" hidden="1" customHeight="1">
      <c r="D1373" s="916">
        <v>50</v>
      </c>
      <c r="E1373" s="895"/>
      <c r="F1373" s="896" t="s">
        <v>4465</v>
      </c>
      <c r="G1373" s="897" t="s">
        <v>1044</v>
      </c>
      <c r="H1373" s="898">
        <f>710000/46.2</f>
        <v>15367.965367965367</v>
      </c>
      <c r="I1373" s="1435"/>
      <c r="J1373" s="1446">
        <f t="shared" si="30"/>
        <v>0</v>
      </c>
      <c r="K1373" s="898">
        <f>710000/46.2</f>
        <v>15367.965367965367</v>
      </c>
    </row>
    <row r="1374" spans="4:11" ht="22.8" hidden="1" customHeight="1">
      <c r="D1374" s="916">
        <v>51</v>
      </c>
      <c r="E1374" s="895"/>
      <c r="F1374" s="896" t="s">
        <v>4466</v>
      </c>
      <c r="G1374" s="897" t="s">
        <v>4457</v>
      </c>
      <c r="H1374" s="898">
        <f>28000/1.58</f>
        <v>17721.518987341773</v>
      </c>
      <c r="I1374" s="1435"/>
      <c r="J1374" s="1446">
        <f t="shared" si="30"/>
        <v>0</v>
      </c>
      <c r="K1374" s="898">
        <f>28000/1.58</f>
        <v>17721.518987341773</v>
      </c>
    </row>
    <row r="1375" spans="4:11" ht="22.8" hidden="1" customHeight="1">
      <c r="D1375" s="916">
        <v>52</v>
      </c>
      <c r="E1375" s="895"/>
      <c r="F1375" s="896" t="s">
        <v>4480</v>
      </c>
      <c r="G1375" s="897" t="s">
        <v>42</v>
      </c>
      <c r="H1375" s="898">
        <v>1970000</v>
      </c>
      <c r="I1375" s="1435"/>
      <c r="J1375" s="1446">
        <f t="shared" si="30"/>
        <v>0</v>
      </c>
      <c r="K1375" s="898">
        <v>1970000</v>
      </c>
    </row>
    <row r="1376" spans="4:11" ht="22.8" hidden="1" customHeight="1">
      <c r="D1376" s="916">
        <v>53</v>
      </c>
      <c r="E1376" s="895"/>
      <c r="F1376" s="896" t="s">
        <v>4479</v>
      </c>
      <c r="G1376" s="897" t="s">
        <v>42</v>
      </c>
      <c r="H1376" s="898">
        <v>1799000</v>
      </c>
      <c r="I1376" s="1435"/>
      <c r="J1376" s="1446">
        <f t="shared" si="30"/>
        <v>0</v>
      </c>
      <c r="K1376" s="898">
        <v>1799000</v>
      </c>
    </row>
    <row r="1377" spans="4:11" ht="22.8" hidden="1" customHeight="1">
      <c r="D1377" s="916">
        <v>54</v>
      </c>
      <c r="E1377" s="895"/>
      <c r="F1377" s="896" t="s">
        <v>4487</v>
      </c>
      <c r="G1377" s="897" t="s">
        <v>42</v>
      </c>
      <c r="H1377" s="898">
        <v>1236000</v>
      </c>
      <c r="I1377" s="1435"/>
      <c r="J1377" s="1446">
        <f t="shared" si="30"/>
        <v>0</v>
      </c>
      <c r="K1377" s="898">
        <v>1236000</v>
      </c>
    </row>
    <row r="1378" spans="4:11" ht="22.8" hidden="1" customHeight="1">
      <c r="D1378" s="916">
        <v>55</v>
      </c>
      <c r="E1378" s="895"/>
      <c r="F1378" s="896" t="s">
        <v>4574</v>
      </c>
      <c r="G1378" s="897" t="s">
        <v>42</v>
      </c>
      <c r="H1378" s="898">
        <v>928000</v>
      </c>
      <c r="I1378" s="1435"/>
      <c r="J1378" s="1446">
        <f t="shared" si="30"/>
        <v>0</v>
      </c>
      <c r="K1378" s="898">
        <v>928000</v>
      </c>
    </row>
    <row r="1379" spans="4:11" ht="22.8" hidden="1" customHeight="1">
      <c r="D1379" s="916">
        <v>56</v>
      </c>
      <c r="E1379" s="895"/>
      <c r="F1379" s="896" t="s">
        <v>4489</v>
      </c>
      <c r="G1379" s="897" t="s">
        <v>4490</v>
      </c>
      <c r="H1379" s="898">
        <v>220000</v>
      </c>
      <c r="I1379" s="1435"/>
      <c r="J1379" s="1446">
        <f t="shared" si="30"/>
        <v>0</v>
      </c>
      <c r="K1379" s="898">
        <v>220000</v>
      </c>
    </row>
    <row r="1380" spans="4:11" ht="22.8" hidden="1" customHeight="1">
      <c r="D1380" s="916">
        <v>57</v>
      </c>
      <c r="E1380" s="895"/>
      <c r="F1380" s="896" t="s">
        <v>4495</v>
      </c>
      <c r="G1380" s="897" t="s">
        <v>4490</v>
      </c>
      <c r="H1380" s="898">
        <v>240000</v>
      </c>
      <c r="I1380" s="1435"/>
      <c r="J1380" s="1446">
        <f t="shared" si="30"/>
        <v>0</v>
      </c>
      <c r="K1380" s="898">
        <v>240000</v>
      </c>
    </row>
    <row r="1381" spans="4:11" ht="22.8" hidden="1" customHeight="1">
      <c r="D1381" s="916">
        <v>58</v>
      </c>
      <c r="E1381" s="895"/>
      <c r="F1381" s="896" t="s">
        <v>4498</v>
      </c>
      <c r="G1381" s="897" t="s">
        <v>4490</v>
      </c>
      <c r="H1381" s="898">
        <v>270000</v>
      </c>
      <c r="I1381" s="1435"/>
      <c r="J1381" s="1446">
        <f t="shared" si="30"/>
        <v>0</v>
      </c>
      <c r="K1381" s="898">
        <v>270000</v>
      </c>
    </row>
    <row r="1382" spans="4:11" ht="22.8" hidden="1" customHeight="1">
      <c r="D1382" s="916">
        <v>59</v>
      </c>
      <c r="E1382" s="895"/>
      <c r="F1382" s="896" t="s">
        <v>4500</v>
      </c>
      <c r="G1382" s="897" t="s">
        <v>4490</v>
      </c>
      <c r="H1382" s="898">
        <v>290000</v>
      </c>
      <c r="I1382" s="1435"/>
      <c r="J1382" s="1446">
        <f t="shared" si="30"/>
        <v>0</v>
      </c>
      <c r="K1382" s="898">
        <v>290000</v>
      </c>
    </row>
    <row r="1383" spans="4:11" ht="22.8" hidden="1" customHeight="1">
      <c r="D1383" s="916">
        <v>60</v>
      </c>
      <c r="E1383" s="895"/>
      <c r="F1383" s="896" t="s">
        <v>4504</v>
      </c>
      <c r="G1383" s="897" t="s">
        <v>4490</v>
      </c>
      <c r="H1383" s="898">
        <v>320000</v>
      </c>
      <c r="I1383" s="1435"/>
      <c r="J1383" s="1446">
        <f t="shared" si="30"/>
        <v>0</v>
      </c>
      <c r="K1383" s="898">
        <v>320000</v>
      </c>
    </row>
    <row r="1384" spans="4:11" ht="22.8" hidden="1" customHeight="1">
      <c r="D1384" s="916">
        <v>61</v>
      </c>
      <c r="E1384" s="895"/>
      <c r="F1384" s="896" t="s">
        <v>4506</v>
      </c>
      <c r="G1384" s="897" t="s">
        <v>4490</v>
      </c>
      <c r="H1384" s="898">
        <v>340000</v>
      </c>
      <c r="I1384" s="1435"/>
      <c r="J1384" s="1446">
        <f t="shared" si="30"/>
        <v>0</v>
      </c>
      <c r="K1384" s="898">
        <v>340000</v>
      </c>
    </row>
    <row r="1385" spans="4:11" ht="22.8" hidden="1" customHeight="1">
      <c r="D1385" s="916">
        <v>62</v>
      </c>
      <c r="E1385" s="895"/>
      <c r="F1385" s="896" t="s">
        <v>4509</v>
      </c>
      <c r="G1385" s="897" t="s">
        <v>4490</v>
      </c>
      <c r="H1385" s="898">
        <v>370000</v>
      </c>
      <c r="I1385" s="1435"/>
      <c r="J1385" s="1446">
        <f t="shared" si="30"/>
        <v>0</v>
      </c>
      <c r="K1385" s="898">
        <v>370000</v>
      </c>
    </row>
    <row r="1386" spans="4:11" ht="22.8" hidden="1" customHeight="1">
      <c r="D1386" s="916">
        <v>63</v>
      </c>
      <c r="E1386" s="895"/>
      <c r="F1386" s="896" t="s">
        <v>4512</v>
      </c>
      <c r="G1386" s="897" t="s">
        <v>4490</v>
      </c>
      <c r="H1386" s="898">
        <v>390000</v>
      </c>
      <c r="I1386" s="1435"/>
      <c r="J1386" s="1446">
        <f t="shared" si="30"/>
        <v>0</v>
      </c>
      <c r="K1386" s="898">
        <v>390000</v>
      </c>
    </row>
    <row r="1387" spans="4:11" ht="22.8" hidden="1" customHeight="1">
      <c r="D1387" s="916">
        <v>64</v>
      </c>
      <c r="E1387" s="895"/>
      <c r="F1387" s="896" t="s">
        <v>4515</v>
      </c>
      <c r="G1387" s="897" t="s">
        <v>4490</v>
      </c>
      <c r="H1387" s="898">
        <v>420000</v>
      </c>
      <c r="I1387" s="1435"/>
      <c r="J1387" s="1446">
        <f t="shared" si="30"/>
        <v>0</v>
      </c>
      <c r="K1387" s="898">
        <v>420000</v>
      </c>
    </row>
    <row r="1388" spans="4:11" ht="22.8" hidden="1" customHeight="1">
      <c r="D1388" s="916">
        <v>65</v>
      </c>
      <c r="E1388" s="895"/>
      <c r="F1388" s="896" t="s">
        <v>4518</v>
      </c>
      <c r="G1388" s="897" t="s">
        <v>4490</v>
      </c>
      <c r="H1388" s="898">
        <v>440000</v>
      </c>
      <c r="I1388" s="1435"/>
      <c r="J1388" s="1446">
        <f t="shared" si="30"/>
        <v>0</v>
      </c>
      <c r="K1388" s="898">
        <v>440000</v>
      </c>
    </row>
    <row r="1389" spans="4:11" ht="22.8" hidden="1" customHeight="1">
      <c r="D1389" s="916">
        <v>66</v>
      </c>
      <c r="E1389" s="895"/>
      <c r="F1389" s="896" t="s">
        <v>4521</v>
      </c>
      <c r="G1389" s="897" t="s">
        <v>4490</v>
      </c>
      <c r="H1389" s="898">
        <v>470000</v>
      </c>
      <c r="I1389" s="1435"/>
      <c r="J1389" s="1446">
        <f t="shared" si="30"/>
        <v>0</v>
      </c>
      <c r="K1389" s="898">
        <v>470000</v>
      </c>
    </row>
    <row r="1390" spans="4:11" ht="22.8" hidden="1" customHeight="1">
      <c r="D1390" s="916">
        <v>67</v>
      </c>
      <c r="E1390" s="895"/>
      <c r="F1390" s="896" t="s">
        <v>4524</v>
      </c>
      <c r="G1390" s="897" t="s">
        <v>4490</v>
      </c>
      <c r="H1390" s="898">
        <v>490000</v>
      </c>
      <c r="I1390" s="1435"/>
      <c r="J1390" s="1446">
        <f t="shared" si="30"/>
        <v>0</v>
      </c>
      <c r="K1390" s="898">
        <v>490000</v>
      </c>
    </row>
    <row r="1391" spans="4:11" ht="22.8" hidden="1" customHeight="1">
      <c r="D1391" s="916">
        <v>68</v>
      </c>
      <c r="E1391" s="895"/>
      <c r="F1391" s="896" t="s">
        <v>4527</v>
      </c>
      <c r="G1391" s="897" t="s">
        <v>4490</v>
      </c>
      <c r="H1391" s="898">
        <v>520000</v>
      </c>
      <c r="I1391" s="1435"/>
      <c r="J1391" s="1446">
        <f t="shared" si="30"/>
        <v>0</v>
      </c>
      <c r="K1391" s="898">
        <v>520000</v>
      </c>
    </row>
    <row r="1392" spans="4:11" ht="22.8" hidden="1" customHeight="1">
      <c r="D1392" s="916">
        <v>69</v>
      </c>
      <c r="E1392" s="895"/>
      <c r="F1392" s="896" t="s">
        <v>4530</v>
      </c>
      <c r="G1392" s="897" t="s">
        <v>4490</v>
      </c>
      <c r="H1392" s="898">
        <v>540000</v>
      </c>
      <c r="I1392" s="1435"/>
      <c r="J1392" s="1446">
        <f t="shared" si="30"/>
        <v>0</v>
      </c>
      <c r="K1392" s="898">
        <v>540000</v>
      </c>
    </row>
    <row r="1393" spans="4:11" ht="22.8" hidden="1" customHeight="1">
      <c r="D1393" s="916">
        <v>70</v>
      </c>
      <c r="E1393" s="895"/>
      <c r="F1393" s="896" t="s">
        <v>4533</v>
      </c>
      <c r="G1393" s="897" t="s">
        <v>4490</v>
      </c>
      <c r="H1393" s="898">
        <v>570000</v>
      </c>
      <c r="I1393" s="1435"/>
      <c r="J1393" s="1446">
        <f t="shared" si="30"/>
        <v>0</v>
      </c>
      <c r="K1393" s="898">
        <v>570000</v>
      </c>
    </row>
    <row r="1394" spans="4:11" ht="22.8" hidden="1" customHeight="1">
      <c r="D1394" s="916">
        <v>71</v>
      </c>
      <c r="E1394" s="895"/>
      <c r="F1394" s="896" t="s">
        <v>4536</v>
      </c>
      <c r="G1394" s="897" t="s">
        <v>4490</v>
      </c>
      <c r="H1394" s="898">
        <v>590000</v>
      </c>
      <c r="I1394" s="1435"/>
      <c r="J1394" s="1446">
        <f t="shared" si="30"/>
        <v>0</v>
      </c>
      <c r="K1394" s="898">
        <v>590000</v>
      </c>
    </row>
    <row r="1395" spans="4:11" ht="22.8" hidden="1" customHeight="1">
      <c r="D1395" s="916">
        <v>72</v>
      </c>
      <c r="E1395" s="895"/>
      <c r="F1395" s="896" t="s">
        <v>4538</v>
      </c>
      <c r="G1395" s="897" t="s">
        <v>4490</v>
      </c>
      <c r="H1395" s="898">
        <v>620000</v>
      </c>
      <c r="I1395" s="1435"/>
      <c r="J1395" s="1446">
        <f t="shared" si="30"/>
        <v>0</v>
      </c>
      <c r="K1395" s="898">
        <v>620000</v>
      </c>
    </row>
    <row r="1396" spans="4:11" ht="22.8" hidden="1" customHeight="1">
      <c r="D1396" s="916">
        <v>73</v>
      </c>
      <c r="E1396" s="895"/>
      <c r="F1396" s="896" t="s">
        <v>4542</v>
      </c>
      <c r="G1396" s="897" t="s">
        <v>4490</v>
      </c>
      <c r="H1396" s="898">
        <v>640000</v>
      </c>
      <c r="I1396" s="1435"/>
      <c r="J1396" s="1446">
        <f t="shared" si="30"/>
        <v>0</v>
      </c>
      <c r="K1396" s="898">
        <v>640000</v>
      </c>
    </row>
    <row r="1397" spans="4:11" ht="22.8" hidden="1" customHeight="1">
      <c r="D1397" s="916">
        <v>74</v>
      </c>
      <c r="E1397" s="895"/>
      <c r="F1397" s="896" t="s">
        <v>4545</v>
      </c>
      <c r="G1397" s="897" t="s">
        <v>4490</v>
      </c>
      <c r="H1397" s="898">
        <v>670000</v>
      </c>
      <c r="I1397" s="1435"/>
      <c r="J1397" s="1446">
        <f t="shared" si="30"/>
        <v>0</v>
      </c>
      <c r="K1397" s="898">
        <v>670000</v>
      </c>
    </row>
    <row r="1398" spans="4:11" ht="22.8" hidden="1" customHeight="1">
      <c r="D1398" s="916">
        <v>75</v>
      </c>
      <c r="E1398" s="895"/>
      <c r="F1398" s="896" t="s">
        <v>4548</v>
      </c>
      <c r="G1398" s="897" t="s">
        <v>4490</v>
      </c>
      <c r="H1398" s="898">
        <v>680000</v>
      </c>
      <c r="I1398" s="1435"/>
      <c r="J1398" s="1446">
        <f t="shared" si="30"/>
        <v>0</v>
      </c>
      <c r="K1398" s="898">
        <v>680000</v>
      </c>
    </row>
    <row r="1399" spans="4:11" ht="22.8" hidden="1" customHeight="1">
      <c r="D1399" s="916">
        <v>76</v>
      </c>
      <c r="E1399" s="895"/>
      <c r="F1399" s="896" t="s">
        <v>4551</v>
      </c>
      <c r="G1399" s="897" t="s">
        <v>4490</v>
      </c>
      <c r="H1399" s="898">
        <v>710000</v>
      </c>
      <c r="I1399" s="1435"/>
      <c r="J1399" s="1446">
        <f t="shared" si="30"/>
        <v>0</v>
      </c>
      <c r="K1399" s="898">
        <v>710000</v>
      </c>
    </row>
    <row r="1400" spans="4:11" ht="22.8" hidden="1" customHeight="1">
      <c r="D1400" s="916">
        <v>77</v>
      </c>
      <c r="E1400" s="895"/>
      <c r="F1400" s="896" t="s">
        <v>4554</v>
      </c>
      <c r="G1400" s="897" t="s">
        <v>4490</v>
      </c>
      <c r="H1400" s="898">
        <v>730000</v>
      </c>
      <c r="I1400" s="1435"/>
      <c r="J1400" s="1446">
        <f t="shared" si="30"/>
        <v>0</v>
      </c>
      <c r="K1400" s="898">
        <v>730000</v>
      </c>
    </row>
    <row r="1401" spans="4:11" ht="22.8" hidden="1" customHeight="1">
      <c r="D1401" s="916">
        <v>78</v>
      </c>
      <c r="E1401" s="895"/>
      <c r="F1401" s="896" t="s">
        <v>4557</v>
      </c>
      <c r="G1401" s="897" t="s">
        <v>4490</v>
      </c>
      <c r="H1401" s="898">
        <v>750000</v>
      </c>
      <c r="I1401" s="1435"/>
      <c r="J1401" s="1446">
        <f t="shared" si="30"/>
        <v>0</v>
      </c>
      <c r="K1401" s="898">
        <v>750000</v>
      </c>
    </row>
    <row r="1402" spans="4:11" ht="22.8" hidden="1" customHeight="1">
      <c r="D1402" s="916">
        <v>79</v>
      </c>
      <c r="E1402" s="895"/>
      <c r="F1402" s="896" t="s">
        <v>4560</v>
      </c>
      <c r="G1402" s="897" t="s">
        <v>4490</v>
      </c>
      <c r="H1402" s="898">
        <v>780000</v>
      </c>
      <c r="I1402" s="1435"/>
      <c r="J1402" s="1446">
        <f t="shared" si="30"/>
        <v>0</v>
      </c>
      <c r="K1402" s="898">
        <v>780000</v>
      </c>
    </row>
    <row r="1403" spans="4:11" ht="22.8" hidden="1" customHeight="1">
      <c r="D1403" s="916">
        <v>80</v>
      </c>
      <c r="E1403" s="895"/>
      <c r="F1403" s="896" t="s">
        <v>4563</v>
      </c>
      <c r="G1403" s="897" t="s">
        <v>4490</v>
      </c>
      <c r="H1403" s="898">
        <v>800000</v>
      </c>
      <c r="I1403" s="1435"/>
      <c r="J1403" s="1446">
        <f t="shared" si="30"/>
        <v>0</v>
      </c>
      <c r="K1403" s="898">
        <v>800000</v>
      </c>
    </row>
    <row r="1404" spans="4:11" ht="22.8" hidden="1" customHeight="1">
      <c r="D1404" s="916">
        <v>81</v>
      </c>
      <c r="E1404" s="895"/>
      <c r="F1404" s="896" t="s">
        <v>4566</v>
      </c>
      <c r="G1404" s="897" t="s">
        <v>4490</v>
      </c>
      <c r="H1404" s="898">
        <v>830000</v>
      </c>
      <c r="I1404" s="1435"/>
      <c r="J1404" s="1446">
        <f t="shared" si="30"/>
        <v>0</v>
      </c>
      <c r="K1404" s="898">
        <v>830000</v>
      </c>
    </row>
    <row r="1405" spans="4:11" ht="22.8" hidden="1" customHeight="1">
      <c r="D1405" s="916">
        <v>82</v>
      </c>
      <c r="E1405" s="895"/>
      <c r="F1405" s="896" t="s">
        <v>4569</v>
      </c>
      <c r="G1405" s="897" t="s">
        <v>4490</v>
      </c>
      <c r="H1405" s="898">
        <v>850000</v>
      </c>
      <c r="I1405" s="1435"/>
      <c r="J1405" s="1446">
        <f t="shared" si="30"/>
        <v>0</v>
      </c>
      <c r="K1405" s="898">
        <v>850000</v>
      </c>
    </row>
    <row r="1406" spans="4:11" ht="22.8" hidden="1" customHeight="1">
      <c r="D1406" s="916">
        <v>83</v>
      </c>
      <c r="E1406" s="895"/>
      <c r="F1406" s="896" t="s">
        <v>4631</v>
      </c>
      <c r="G1406" s="897" t="s">
        <v>2167</v>
      </c>
      <c r="H1406" s="898">
        <v>70000</v>
      </c>
      <c r="I1406" s="1435"/>
      <c r="J1406" s="1446">
        <f t="shared" si="30"/>
        <v>0</v>
      </c>
      <c r="K1406" s="898">
        <v>70000</v>
      </c>
    </row>
    <row r="1407" spans="4:11" ht="22.8" hidden="1" customHeight="1">
      <c r="D1407" s="916">
        <v>84</v>
      </c>
      <c r="E1407" s="895"/>
      <c r="F1407" s="896" t="s">
        <v>4633</v>
      </c>
      <c r="G1407" s="897" t="s">
        <v>2167</v>
      </c>
      <c r="H1407" s="898">
        <v>100000</v>
      </c>
      <c r="I1407" s="1435"/>
      <c r="J1407" s="1446">
        <f t="shared" si="30"/>
        <v>0</v>
      </c>
      <c r="K1407" s="898">
        <v>100000</v>
      </c>
    </row>
    <row r="1408" spans="4:11" ht="22.8" hidden="1" customHeight="1">
      <c r="D1408" s="916">
        <v>85</v>
      </c>
      <c r="E1408" s="895"/>
      <c r="F1408" s="896" t="s">
        <v>4637</v>
      </c>
      <c r="G1408" s="897" t="s">
        <v>2167</v>
      </c>
      <c r="H1408" s="898">
        <v>125000</v>
      </c>
      <c r="I1408" s="1435"/>
      <c r="J1408" s="1446">
        <f t="shared" ref="J1408:J1471" si="32">I1408-(I1408*10%)</f>
        <v>0</v>
      </c>
      <c r="K1408" s="898">
        <v>125000</v>
      </c>
    </row>
    <row r="1409" spans="4:11" ht="22.8" hidden="1" customHeight="1">
      <c r="D1409" s="916">
        <v>86</v>
      </c>
      <c r="E1409" s="895"/>
      <c r="F1409" s="896" t="s">
        <v>4640</v>
      </c>
      <c r="G1409" s="897" t="s">
        <v>44</v>
      </c>
      <c r="H1409" s="898">
        <v>165000</v>
      </c>
      <c r="I1409" s="1435"/>
      <c r="J1409" s="1446">
        <f t="shared" si="32"/>
        <v>0</v>
      </c>
      <c r="K1409" s="898">
        <v>165000</v>
      </c>
    </row>
    <row r="1410" spans="4:11" ht="22.8" hidden="1" customHeight="1">
      <c r="D1410" s="916">
        <v>87</v>
      </c>
      <c r="E1410" s="895"/>
      <c r="F1410" s="896" t="s">
        <v>4643</v>
      </c>
      <c r="G1410" s="897" t="s">
        <v>2167</v>
      </c>
      <c r="H1410" s="898">
        <v>195000</v>
      </c>
      <c r="I1410" s="1435"/>
      <c r="J1410" s="1446">
        <f t="shared" si="32"/>
        <v>0</v>
      </c>
      <c r="K1410" s="898">
        <v>195000</v>
      </c>
    </row>
    <row r="1411" spans="4:11" ht="22.8" hidden="1" customHeight="1">
      <c r="D1411" s="916">
        <v>88</v>
      </c>
      <c r="E1411" s="895"/>
      <c r="F1411" s="896" t="s">
        <v>4646</v>
      </c>
      <c r="G1411" s="897" t="s">
        <v>2167</v>
      </c>
      <c r="H1411" s="898">
        <v>125000</v>
      </c>
      <c r="I1411" s="1435"/>
      <c r="J1411" s="1446">
        <f t="shared" si="32"/>
        <v>0</v>
      </c>
      <c r="K1411" s="898">
        <v>125000</v>
      </c>
    </row>
    <row r="1412" spans="4:11" ht="22.8" hidden="1" customHeight="1">
      <c r="D1412" s="916">
        <v>89</v>
      </c>
      <c r="E1412" s="895"/>
      <c r="F1412" s="896" t="s">
        <v>4649</v>
      </c>
      <c r="G1412" s="897" t="s">
        <v>2167</v>
      </c>
      <c r="H1412" s="898">
        <v>176000</v>
      </c>
      <c r="I1412" s="1435"/>
      <c r="J1412" s="1446">
        <f t="shared" si="32"/>
        <v>0</v>
      </c>
      <c r="K1412" s="898">
        <v>176000</v>
      </c>
    </row>
    <row r="1413" spans="4:11" ht="22.8" hidden="1" customHeight="1">
      <c r="D1413" s="916">
        <v>90</v>
      </c>
      <c r="E1413" s="895"/>
      <c r="F1413" s="896" t="s">
        <v>4654</v>
      </c>
      <c r="G1413" s="897" t="s">
        <v>2167</v>
      </c>
      <c r="H1413" s="898">
        <v>235000</v>
      </c>
      <c r="I1413" s="1435"/>
      <c r="J1413" s="1446">
        <f t="shared" si="32"/>
        <v>0</v>
      </c>
      <c r="K1413" s="898">
        <v>235000</v>
      </c>
    </row>
    <row r="1414" spans="4:11" ht="22.8" hidden="1" customHeight="1">
      <c r="D1414" s="916">
        <v>91</v>
      </c>
      <c r="E1414" s="895"/>
      <c r="F1414" s="896" t="s">
        <v>4658</v>
      </c>
      <c r="G1414" s="897" t="s">
        <v>3516</v>
      </c>
      <c r="H1414" s="898">
        <v>375000</v>
      </c>
      <c r="I1414" s="1435"/>
      <c r="J1414" s="1446">
        <f t="shared" si="32"/>
        <v>0</v>
      </c>
      <c r="K1414" s="898">
        <v>375000</v>
      </c>
    </row>
    <row r="1415" spans="4:11" ht="22.8" customHeight="1">
      <c r="D1415" s="915" t="s">
        <v>6637</v>
      </c>
      <c r="E1415" s="1795" t="s">
        <v>564</v>
      </c>
      <c r="F1415" s="1796"/>
      <c r="G1415" s="897"/>
      <c r="H1415" s="898"/>
      <c r="I1415" s="1435"/>
      <c r="J1415" s="1446">
        <f t="shared" si="32"/>
        <v>0</v>
      </c>
      <c r="K1415" s="898"/>
    </row>
    <row r="1416" spans="4:11" ht="22.8" hidden="1" customHeight="1">
      <c r="D1416" s="916">
        <v>1</v>
      </c>
      <c r="E1416" s="895"/>
      <c r="F1416" s="896" t="s">
        <v>565</v>
      </c>
      <c r="G1416" s="897" t="s">
        <v>65</v>
      </c>
      <c r="H1416" s="898">
        <v>58200</v>
      </c>
      <c r="I1416" s="1435"/>
      <c r="J1416" s="1446">
        <f t="shared" si="32"/>
        <v>0</v>
      </c>
      <c r="K1416" s="898">
        <v>58200</v>
      </c>
    </row>
    <row r="1417" spans="4:11" ht="22.8" hidden="1" customHeight="1">
      <c r="D1417" s="916">
        <v>2</v>
      </c>
      <c r="E1417" s="895"/>
      <c r="F1417" s="896" t="s">
        <v>566</v>
      </c>
      <c r="G1417" s="897" t="s">
        <v>65</v>
      </c>
      <c r="H1417" s="898">
        <v>62800</v>
      </c>
      <c r="I1417" s="1435"/>
      <c r="J1417" s="1446">
        <f t="shared" si="32"/>
        <v>0</v>
      </c>
      <c r="K1417" s="898">
        <v>62800</v>
      </c>
    </row>
    <row r="1418" spans="4:11" ht="22.8" hidden="1" customHeight="1">
      <c r="D1418" s="916">
        <v>3</v>
      </c>
      <c r="E1418" s="895"/>
      <c r="F1418" s="896" t="s">
        <v>567</v>
      </c>
      <c r="G1418" s="897" t="s">
        <v>529</v>
      </c>
      <c r="H1418" s="898">
        <v>75700</v>
      </c>
      <c r="I1418" s="1435"/>
      <c r="J1418" s="1446">
        <f t="shared" si="32"/>
        <v>0</v>
      </c>
      <c r="K1418" s="898">
        <v>75700</v>
      </c>
    </row>
    <row r="1419" spans="4:11" ht="22.8" hidden="1" customHeight="1">
      <c r="D1419" s="916">
        <v>4</v>
      </c>
      <c r="E1419" s="895"/>
      <c r="F1419" s="896" t="s">
        <v>568</v>
      </c>
      <c r="G1419" s="897" t="s">
        <v>65</v>
      </c>
      <c r="H1419" s="898">
        <v>52800</v>
      </c>
      <c r="I1419" s="1435"/>
      <c r="J1419" s="1446">
        <f t="shared" si="32"/>
        <v>0</v>
      </c>
      <c r="K1419" s="898">
        <v>52800</v>
      </c>
    </row>
    <row r="1420" spans="4:11" ht="22.8" hidden="1" customHeight="1">
      <c r="D1420" s="916">
        <v>5</v>
      </c>
      <c r="E1420" s="895"/>
      <c r="F1420" s="896" t="s">
        <v>569</v>
      </c>
      <c r="G1420" s="897" t="s">
        <v>65</v>
      </c>
      <c r="H1420" s="898">
        <v>528800</v>
      </c>
      <c r="I1420" s="1435"/>
      <c r="J1420" s="1446">
        <f t="shared" si="32"/>
        <v>0</v>
      </c>
      <c r="K1420" s="898">
        <v>528800</v>
      </c>
    </row>
    <row r="1421" spans="4:11" ht="22.8" hidden="1" customHeight="1">
      <c r="D1421" s="916">
        <v>6</v>
      </c>
      <c r="E1421" s="895"/>
      <c r="F1421" s="896" t="s">
        <v>570</v>
      </c>
      <c r="G1421" s="897" t="s">
        <v>65</v>
      </c>
      <c r="H1421" s="898">
        <v>49700</v>
      </c>
      <c r="I1421" s="1435"/>
      <c r="J1421" s="1446">
        <f t="shared" si="32"/>
        <v>0</v>
      </c>
      <c r="K1421" s="898">
        <v>49700</v>
      </c>
    </row>
    <row r="1422" spans="4:11" ht="22.8" hidden="1" customHeight="1">
      <c r="D1422" s="916">
        <v>7</v>
      </c>
      <c r="E1422" s="895"/>
      <c r="F1422" s="896" t="s">
        <v>571</v>
      </c>
      <c r="G1422" s="897" t="s">
        <v>65</v>
      </c>
      <c r="H1422" s="898">
        <v>52300</v>
      </c>
      <c r="I1422" s="1435"/>
      <c r="J1422" s="1446">
        <f t="shared" si="32"/>
        <v>0</v>
      </c>
      <c r="K1422" s="898">
        <v>52300</v>
      </c>
    </row>
    <row r="1423" spans="4:11" ht="22.8" hidden="1" customHeight="1">
      <c r="D1423" s="916">
        <v>8</v>
      </c>
      <c r="E1423" s="895"/>
      <c r="F1423" s="896" t="s">
        <v>572</v>
      </c>
      <c r="G1423" s="897" t="s">
        <v>65</v>
      </c>
      <c r="H1423" s="898">
        <v>38200</v>
      </c>
      <c r="I1423" s="1435"/>
      <c r="J1423" s="1446">
        <f t="shared" si="32"/>
        <v>0</v>
      </c>
      <c r="K1423" s="898">
        <v>38200</v>
      </c>
    </row>
    <row r="1424" spans="4:11" ht="22.8" hidden="1" customHeight="1">
      <c r="D1424" s="916">
        <v>9</v>
      </c>
      <c r="E1424" s="895"/>
      <c r="F1424" s="896" t="s">
        <v>1822</v>
      </c>
      <c r="G1424" s="897" t="s">
        <v>65</v>
      </c>
      <c r="H1424" s="898">
        <v>50000</v>
      </c>
      <c r="I1424" s="1435"/>
      <c r="J1424" s="1446">
        <f t="shared" si="32"/>
        <v>0</v>
      </c>
      <c r="K1424" s="898">
        <v>50000</v>
      </c>
    </row>
    <row r="1425" spans="4:11" ht="22.8" hidden="1" customHeight="1">
      <c r="D1425" s="916">
        <v>10</v>
      </c>
      <c r="E1425" s="895"/>
      <c r="F1425" s="896" t="s">
        <v>573</v>
      </c>
      <c r="G1425" s="897" t="s">
        <v>65</v>
      </c>
      <c r="H1425" s="898">
        <v>128500</v>
      </c>
      <c r="I1425" s="1435"/>
      <c r="J1425" s="1446">
        <f t="shared" si="32"/>
        <v>0</v>
      </c>
      <c r="K1425" s="898">
        <v>128500</v>
      </c>
    </row>
    <row r="1426" spans="4:11" ht="22.8" customHeight="1">
      <c r="D1426" s="1422">
        <v>1</v>
      </c>
      <c r="E1426" s="895"/>
      <c r="F1426" s="896" t="s">
        <v>574</v>
      </c>
      <c r="G1426" s="897" t="s">
        <v>65</v>
      </c>
      <c r="H1426" s="894">
        <f t="shared" ref="H1426:H1434" si="33">J1426</f>
        <v>39600</v>
      </c>
      <c r="I1426" s="1435">
        <v>44000</v>
      </c>
      <c r="J1426" s="1446">
        <f t="shared" si="32"/>
        <v>39600</v>
      </c>
      <c r="K1426" s="898">
        <v>119100</v>
      </c>
    </row>
    <row r="1427" spans="4:11" ht="22.8" hidden="1" customHeight="1">
      <c r="D1427" s="916">
        <v>12</v>
      </c>
      <c r="E1427" s="895"/>
      <c r="F1427" s="896" t="s">
        <v>6530</v>
      </c>
      <c r="G1427" s="897" t="s">
        <v>4457</v>
      </c>
      <c r="H1427" s="894">
        <f t="shared" si="33"/>
        <v>0</v>
      </c>
      <c r="I1427" s="1435"/>
      <c r="J1427" s="1446">
        <f t="shared" si="32"/>
        <v>0</v>
      </c>
      <c r="K1427" s="898">
        <v>128500</v>
      </c>
    </row>
    <row r="1428" spans="4:11" ht="22.8" hidden="1" customHeight="1">
      <c r="D1428" s="916">
        <v>13</v>
      </c>
      <c r="E1428" s="895"/>
      <c r="F1428" s="896" t="s">
        <v>6531</v>
      </c>
      <c r="G1428" s="897" t="s">
        <v>65</v>
      </c>
      <c r="H1428" s="894">
        <f t="shared" si="33"/>
        <v>0</v>
      </c>
      <c r="I1428" s="1435"/>
      <c r="J1428" s="1446">
        <f t="shared" si="32"/>
        <v>0</v>
      </c>
      <c r="K1428" s="898">
        <v>119100</v>
      </c>
    </row>
    <row r="1429" spans="4:11" ht="22.8" hidden="1" customHeight="1">
      <c r="D1429" s="916">
        <v>14</v>
      </c>
      <c r="E1429" s="895"/>
      <c r="F1429" s="896" t="s">
        <v>575</v>
      </c>
      <c r="G1429" s="897" t="s">
        <v>65</v>
      </c>
      <c r="H1429" s="894">
        <f t="shared" si="33"/>
        <v>0</v>
      </c>
      <c r="I1429" s="1435"/>
      <c r="J1429" s="1446">
        <f t="shared" si="32"/>
        <v>0</v>
      </c>
      <c r="K1429" s="898">
        <v>30000</v>
      </c>
    </row>
    <row r="1430" spans="4:11" ht="22.8" hidden="1" customHeight="1">
      <c r="D1430" s="916">
        <v>15</v>
      </c>
      <c r="E1430" s="895"/>
      <c r="F1430" s="896" t="s">
        <v>576</v>
      </c>
      <c r="G1430" s="897" t="s">
        <v>65</v>
      </c>
      <c r="H1430" s="894">
        <f t="shared" si="33"/>
        <v>0</v>
      </c>
      <c r="I1430" s="1435"/>
      <c r="J1430" s="1446">
        <f t="shared" si="32"/>
        <v>0</v>
      </c>
      <c r="K1430" s="898">
        <v>53300</v>
      </c>
    </row>
    <row r="1431" spans="4:11" ht="22.8" hidden="1" customHeight="1">
      <c r="D1431" s="916">
        <v>16</v>
      </c>
      <c r="E1431" s="895"/>
      <c r="F1431" s="896" t="s">
        <v>577</v>
      </c>
      <c r="G1431" s="897" t="s">
        <v>65</v>
      </c>
      <c r="H1431" s="894">
        <f t="shared" si="33"/>
        <v>0</v>
      </c>
      <c r="I1431" s="1435"/>
      <c r="J1431" s="1446">
        <f t="shared" si="32"/>
        <v>0</v>
      </c>
      <c r="K1431" s="898">
        <v>54700</v>
      </c>
    </row>
    <row r="1432" spans="4:11" ht="22.8" hidden="1" customHeight="1">
      <c r="D1432" s="916">
        <v>17</v>
      </c>
      <c r="E1432" s="895"/>
      <c r="F1432" s="896" t="s">
        <v>578</v>
      </c>
      <c r="G1432" s="897" t="s">
        <v>65</v>
      </c>
      <c r="H1432" s="894">
        <f t="shared" si="33"/>
        <v>0</v>
      </c>
      <c r="I1432" s="1435"/>
      <c r="J1432" s="1446">
        <f t="shared" si="32"/>
        <v>0</v>
      </c>
      <c r="K1432" s="898">
        <v>58500</v>
      </c>
    </row>
    <row r="1433" spans="4:11" ht="22.8" hidden="1" customHeight="1">
      <c r="D1433" s="916">
        <v>18</v>
      </c>
      <c r="E1433" s="895"/>
      <c r="F1433" s="896" t="s">
        <v>579</v>
      </c>
      <c r="G1433" s="897" t="s">
        <v>65</v>
      </c>
      <c r="H1433" s="894">
        <f t="shared" si="33"/>
        <v>0</v>
      </c>
      <c r="I1433" s="1435"/>
      <c r="J1433" s="1446">
        <f t="shared" si="32"/>
        <v>0</v>
      </c>
      <c r="K1433" s="898">
        <v>136600</v>
      </c>
    </row>
    <row r="1434" spans="4:11" ht="22.8" customHeight="1">
      <c r="D1434" s="1422">
        <v>1</v>
      </c>
      <c r="E1434" s="895"/>
      <c r="F1434" s="896" t="s">
        <v>580</v>
      </c>
      <c r="G1434" s="897" t="s">
        <v>65</v>
      </c>
      <c r="H1434" s="894">
        <f t="shared" si="33"/>
        <v>50400</v>
      </c>
      <c r="I1434" s="1435">
        <v>56000</v>
      </c>
      <c r="J1434" s="1446">
        <f t="shared" si="32"/>
        <v>50400</v>
      </c>
      <c r="K1434" s="898">
        <v>130500</v>
      </c>
    </row>
    <row r="1435" spans="4:11" ht="22.8" customHeight="1">
      <c r="D1435" s="1423">
        <v>3</v>
      </c>
      <c r="E1435" s="895"/>
      <c r="F1435" s="896" t="s">
        <v>1860</v>
      </c>
      <c r="G1435" s="897" t="s">
        <v>62</v>
      </c>
      <c r="H1435" s="898">
        <v>25000</v>
      </c>
      <c r="I1435" s="1442"/>
      <c r="J1435" s="1446">
        <f t="shared" si="32"/>
        <v>0</v>
      </c>
      <c r="K1435" s="898">
        <v>25000</v>
      </c>
    </row>
    <row r="1436" spans="4:11" ht="22.8" hidden="1" customHeight="1">
      <c r="D1436" s="916">
        <v>21</v>
      </c>
      <c r="E1436" s="895"/>
      <c r="F1436" s="896" t="s">
        <v>581</v>
      </c>
      <c r="G1436" s="897" t="s">
        <v>65</v>
      </c>
      <c r="H1436" s="898">
        <v>26000</v>
      </c>
      <c r="I1436" s="1435"/>
      <c r="J1436" s="1446">
        <f t="shared" si="32"/>
        <v>0</v>
      </c>
      <c r="K1436" s="898">
        <v>26000</v>
      </c>
    </row>
    <row r="1437" spans="4:11" ht="22.8" hidden="1" customHeight="1">
      <c r="D1437" s="916">
        <v>22</v>
      </c>
      <c r="E1437" s="895"/>
      <c r="F1437" s="896" t="s">
        <v>3162</v>
      </c>
      <c r="G1437" s="897" t="s">
        <v>2426</v>
      </c>
      <c r="H1437" s="898">
        <v>29120</v>
      </c>
      <c r="I1437" s="1435"/>
      <c r="J1437" s="1446">
        <f t="shared" si="32"/>
        <v>0</v>
      </c>
      <c r="K1437" s="898">
        <v>29120</v>
      </c>
    </row>
    <row r="1438" spans="4:11" ht="22.8" hidden="1" customHeight="1">
      <c r="D1438" s="916">
        <v>23</v>
      </c>
      <c r="E1438" s="895"/>
      <c r="F1438" s="896" t="s">
        <v>3163</v>
      </c>
      <c r="G1438" s="897" t="s">
        <v>65</v>
      </c>
      <c r="H1438" s="898">
        <v>18000</v>
      </c>
      <c r="I1438" s="1435"/>
      <c r="J1438" s="1446">
        <f t="shared" si="32"/>
        <v>0</v>
      </c>
      <c r="K1438" s="898">
        <v>18000</v>
      </c>
    </row>
    <row r="1439" spans="4:11" ht="22.8" hidden="1" customHeight="1">
      <c r="D1439" s="916">
        <v>24</v>
      </c>
      <c r="E1439" s="895"/>
      <c r="F1439" s="896" t="s">
        <v>3164</v>
      </c>
      <c r="G1439" s="897" t="s">
        <v>2396</v>
      </c>
      <c r="H1439" s="898">
        <v>92500</v>
      </c>
      <c r="I1439" s="1435"/>
      <c r="J1439" s="1446">
        <f t="shared" si="32"/>
        <v>0</v>
      </c>
      <c r="K1439" s="898">
        <v>92500</v>
      </c>
    </row>
    <row r="1440" spans="4:11" ht="22.8" hidden="1" customHeight="1">
      <c r="D1440" s="916">
        <v>25</v>
      </c>
      <c r="E1440" s="895"/>
      <c r="F1440" s="896" t="s">
        <v>3167</v>
      </c>
      <c r="G1440" s="897" t="s">
        <v>2167</v>
      </c>
      <c r="H1440" s="898">
        <v>400000</v>
      </c>
      <c r="I1440" s="1435"/>
      <c r="J1440" s="1446">
        <f t="shared" si="32"/>
        <v>0</v>
      </c>
      <c r="K1440" s="898">
        <v>400000</v>
      </c>
    </row>
    <row r="1441" spans="4:11" ht="22.8" hidden="1" customHeight="1">
      <c r="D1441" s="916">
        <v>26</v>
      </c>
      <c r="E1441" s="895"/>
      <c r="F1441" s="896" t="s">
        <v>6578</v>
      </c>
      <c r="G1441" s="897" t="s">
        <v>2167</v>
      </c>
      <c r="H1441" s="898">
        <v>450000</v>
      </c>
      <c r="I1441" s="1435"/>
      <c r="J1441" s="1446">
        <f t="shared" si="32"/>
        <v>0</v>
      </c>
      <c r="K1441" s="898">
        <v>450000</v>
      </c>
    </row>
    <row r="1442" spans="4:11" ht="22.8" hidden="1" customHeight="1">
      <c r="D1442" s="916">
        <v>27</v>
      </c>
      <c r="E1442" s="895"/>
      <c r="F1442" s="896" t="s">
        <v>3169</v>
      </c>
      <c r="G1442" s="897" t="s">
        <v>2167</v>
      </c>
      <c r="H1442" s="898">
        <v>55000</v>
      </c>
      <c r="I1442" s="1435"/>
      <c r="J1442" s="1446">
        <f t="shared" si="32"/>
        <v>0</v>
      </c>
      <c r="K1442" s="898">
        <v>55000</v>
      </c>
    </row>
    <row r="1443" spans="4:11" ht="22.8" hidden="1" customHeight="1">
      <c r="D1443" s="916">
        <v>28</v>
      </c>
      <c r="E1443" s="895"/>
      <c r="F1443" s="896" t="s">
        <v>3181</v>
      </c>
      <c r="G1443" s="897" t="s">
        <v>3182</v>
      </c>
      <c r="H1443" s="898">
        <v>436500</v>
      </c>
      <c r="I1443" s="1435"/>
      <c r="J1443" s="1446">
        <f t="shared" si="32"/>
        <v>0</v>
      </c>
      <c r="K1443" s="898">
        <v>436500</v>
      </c>
    </row>
    <row r="1444" spans="4:11" ht="22.8" hidden="1" customHeight="1">
      <c r="D1444" s="916">
        <v>29</v>
      </c>
      <c r="E1444" s="895"/>
      <c r="F1444" s="896" t="s">
        <v>3214</v>
      </c>
      <c r="G1444" s="897" t="s">
        <v>135</v>
      </c>
      <c r="H1444" s="898">
        <v>666000</v>
      </c>
      <c r="I1444" s="1435"/>
      <c r="J1444" s="1446">
        <f t="shared" si="32"/>
        <v>0</v>
      </c>
      <c r="K1444" s="898">
        <v>666000</v>
      </c>
    </row>
    <row r="1445" spans="4:11" ht="22.8" hidden="1" customHeight="1">
      <c r="D1445" s="916">
        <v>30</v>
      </c>
      <c r="E1445" s="895"/>
      <c r="F1445" s="896" t="s">
        <v>582</v>
      </c>
      <c r="G1445" s="897" t="s">
        <v>65</v>
      </c>
      <c r="H1445" s="898">
        <v>33500</v>
      </c>
      <c r="I1445" s="1435"/>
      <c r="J1445" s="1446">
        <f t="shared" si="32"/>
        <v>0</v>
      </c>
      <c r="K1445" s="898">
        <v>33500</v>
      </c>
    </row>
    <row r="1446" spans="4:11" ht="22.8" hidden="1" customHeight="1">
      <c r="D1446" s="916">
        <v>31</v>
      </c>
      <c r="E1446" s="895"/>
      <c r="F1446" s="896" t="s">
        <v>583</v>
      </c>
      <c r="G1446" s="897" t="s">
        <v>65</v>
      </c>
      <c r="H1446" s="898">
        <v>35500</v>
      </c>
      <c r="I1446" s="1435"/>
      <c r="J1446" s="1446">
        <f t="shared" si="32"/>
        <v>0</v>
      </c>
      <c r="K1446" s="898">
        <v>35500</v>
      </c>
    </row>
    <row r="1447" spans="4:11" ht="22.8" hidden="1" customHeight="1">
      <c r="D1447" s="916">
        <v>32</v>
      </c>
      <c r="E1447" s="895"/>
      <c r="F1447" s="896" t="s">
        <v>584</v>
      </c>
      <c r="G1447" s="897" t="s">
        <v>44</v>
      </c>
      <c r="H1447" s="898">
        <v>7100</v>
      </c>
      <c r="I1447" s="1435"/>
      <c r="J1447" s="1446">
        <f t="shared" si="32"/>
        <v>0</v>
      </c>
      <c r="K1447" s="898">
        <v>7100</v>
      </c>
    </row>
    <row r="1448" spans="4:11" ht="22.8" hidden="1" customHeight="1">
      <c r="D1448" s="916">
        <v>33</v>
      </c>
      <c r="E1448" s="895"/>
      <c r="F1448" s="896" t="s">
        <v>585</v>
      </c>
      <c r="G1448" s="897" t="s">
        <v>44</v>
      </c>
      <c r="H1448" s="898">
        <v>9800</v>
      </c>
      <c r="I1448" s="1435"/>
      <c r="J1448" s="1446">
        <f t="shared" si="32"/>
        <v>0</v>
      </c>
      <c r="K1448" s="898">
        <v>9800</v>
      </c>
    </row>
    <row r="1449" spans="4:11" ht="22.8" hidden="1" customHeight="1">
      <c r="D1449" s="916">
        <v>34</v>
      </c>
      <c r="E1449" s="895"/>
      <c r="F1449" s="896" t="s">
        <v>586</v>
      </c>
      <c r="G1449" s="897" t="s">
        <v>44</v>
      </c>
      <c r="H1449" s="898">
        <v>14100</v>
      </c>
      <c r="I1449" s="1435"/>
      <c r="J1449" s="1446">
        <f t="shared" si="32"/>
        <v>0</v>
      </c>
      <c r="K1449" s="898">
        <v>14100</v>
      </c>
    </row>
    <row r="1450" spans="4:11" ht="22.8" hidden="1" customHeight="1">
      <c r="D1450" s="916">
        <v>35</v>
      </c>
      <c r="E1450" s="895"/>
      <c r="F1450" s="896" t="s">
        <v>587</v>
      </c>
      <c r="G1450" s="897" t="s">
        <v>44</v>
      </c>
      <c r="H1450" s="898">
        <v>10400</v>
      </c>
      <c r="I1450" s="1435"/>
      <c r="J1450" s="1446">
        <f t="shared" si="32"/>
        <v>0</v>
      </c>
      <c r="K1450" s="898">
        <v>10400</v>
      </c>
    </row>
    <row r="1451" spans="4:11" ht="22.8" hidden="1" customHeight="1">
      <c r="D1451" s="916">
        <v>36</v>
      </c>
      <c r="E1451" s="895"/>
      <c r="F1451" s="896" t="s">
        <v>588</v>
      </c>
      <c r="G1451" s="897" t="s">
        <v>65</v>
      </c>
      <c r="H1451" s="898">
        <v>60000</v>
      </c>
      <c r="I1451" s="1435"/>
      <c r="J1451" s="1446">
        <f t="shared" si="32"/>
        <v>0</v>
      </c>
      <c r="K1451" s="898">
        <v>60000</v>
      </c>
    </row>
    <row r="1452" spans="4:11" ht="22.8" hidden="1" customHeight="1">
      <c r="D1452" s="916">
        <v>37</v>
      </c>
      <c r="E1452" s="895"/>
      <c r="F1452" s="896" t="s">
        <v>589</v>
      </c>
      <c r="G1452" s="897" t="s">
        <v>65</v>
      </c>
      <c r="H1452" s="898">
        <v>39700</v>
      </c>
      <c r="I1452" s="1435"/>
      <c r="J1452" s="1446">
        <f t="shared" si="32"/>
        <v>0</v>
      </c>
      <c r="K1452" s="898">
        <v>39700</v>
      </c>
    </row>
    <row r="1453" spans="4:11" ht="22.8" hidden="1" customHeight="1">
      <c r="D1453" s="916">
        <v>38</v>
      </c>
      <c r="E1453" s="895"/>
      <c r="F1453" s="896" t="s">
        <v>590</v>
      </c>
      <c r="G1453" s="897" t="s">
        <v>65</v>
      </c>
      <c r="H1453" s="898">
        <v>34500</v>
      </c>
      <c r="I1453" s="1435"/>
      <c r="J1453" s="1446">
        <f t="shared" si="32"/>
        <v>0</v>
      </c>
      <c r="K1453" s="898">
        <v>34500</v>
      </c>
    </row>
    <row r="1454" spans="4:11" ht="22.8" hidden="1" customHeight="1">
      <c r="D1454" s="916">
        <v>39</v>
      </c>
      <c r="E1454" s="895"/>
      <c r="F1454" s="896" t="s">
        <v>591</v>
      </c>
      <c r="G1454" s="897" t="s">
        <v>529</v>
      </c>
      <c r="H1454" s="898">
        <v>73700</v>
      </c>
      <c r="I1454" s="1435"/>
      <c r="J1454" s="1446">
        <f t="shared" si="32"/>
        <v>0</v>
      </c>
      <c r="K1454" s="898">
        <v>73700</v>
      </c>
    </row>
    <row r="1455" spans="4:11" ht="22.8" hidden="1" customHeight="1">
      <c r="D1455" s="916">
        <v>40</v>
      </c>
      <c r="E1455" s="895"/>
      <c r="F1455" s="896" t="s">
        <v>592</v>
      </c>
      <c r="G1455" s="897" t="s">
        <v>529</v>
      </c>
      <c r="H1455" s="898">
        <v>66200</v>
      </c>
      <c r="I1455" s="1435"/>
      <c r="J1455" s="1446">
        <f t="shared" si="32"/>
        <v>0</v>
      </c>
      <c r="K1455" s="898">
        <v>66200</v>
      </c>
    </row>
    <row r="1456" spans="4:11" ht="22.8" hidden="1" customHeight="1">
      <c r="D1456" s="916">
        <v>41</v>
      </c>
      <c r="E1456" s="895"/>
      <c r="F1456" s="896" t="s">
        <v>593</v>
      </c>
      <c r="G1456" s="897" t="s">
        <v>529</v>
      </c>
      <c r="H1456" s="898">
        <v>20000</v>
      </c>
      <c r="I1456" s="1435"/>
      <c r="J1456" s="1446">
        <f t="shared" si="32"/>
        <v>0</v>
      </c>
      <c r="K1456" s="898">
        <v>20000</v>
      </c>
    </row>
    <row r="1457" spans="4:11" ht="22.8" hidden="1" customHeight="1">
      <c r="D1457" s="916">
        <v>42</v>
      </c>
      <c r="E1457" s="895"/>
      <c r="F1457" s="896" t="s">
        <v>593</v>
      </c>
      <c r="G1457" s="897" t="s">
        <v>65</v>
      </c>
      <c r="H1457" s="898">
        <v>17400</v>
      </c>
      <c r="I1457" s="1435"/>
      <c r="J1457" s="1446">
        <f t="shared" si="32"/>
        <v>0</v>
      </c>
      <c r="K1457" s="898">
        <v>17400</v>
      </c>
    </row>
    <row r="1458" spans="4:11" ht="22.8" hidden="1" customHeight="1">
      <c r="D1458" s="916">
        <v>43</v>
      </c>
      <c r="E1458" s="895"/>
      <c r="F1458" s="896" t="s">
        <v>594</v>
      </c>
      <c r="G1458" s="897" t="s">
        <v>65</v>
      </c>
      <c r="H1458" s="898">
        <v>75000</v>
      </c>
      <c r="I1458" s="1435"/>
      <c r="J1458" s="1446">
        <f t="shared" si="32"/>
        <v>0</v>
      </c>
      <c r="K1458" s="898">
        <v>75000</v>
      </c>
    </row>
    <row r="1459" spans="4:11" ht="22.8" hidden="1" customHeight="1">
      <c r="D1459" s="916">
        <v>44</v>
      </c>
      <c r="E1459" s="895"/>
      <c r="F1459" s="896" t="s">
        <v>595</v>
      </c>
      <c r="G1459" s="897" t="s">
        <v>65</v>
      </c>
      <c r="H1459" s="898">
        <v>30100</v>
      </c>
      <c r="I1459" s="1435"/>
      <c r="J1459" s="1446">
        <f t="shared" si="32"/>
        <v>0</v>
      </c>
      <c r="K1459" s="898">
        <v>30100</v>
      </c>
    </row>
    <row r="1460" spans="4:11" ht="22.8" hidden="1" customHeight="1">
      <c r="D1460" s="916">
        <v>45</v>
      </c>
      <c r="E1460" s="895"/>
      <c r="F1460" s="896" t="s">
        <v>596</v>
      </c>
      <c r="G1460" s="897" t="s">
        <v>65</v>
      </c>
      <c r="H1460" s="898">
        <v>26500</v>
      </c>
      <c r="I1460" s="1435"/>
      <c r="J1460" s="1446">
        <f t="shared" si="32"/>
        <v>0</v>
      </c>
      <c r="K1460" s="898">
        <v>26500</v>
      </c>
    </row>
    <row r="1461" spans="4:11" ht="22.8" hidden="1" customHeight="1">
      <c r="D1461" s="916">
        <v>46</v>
      </c>
      <c r="E1461" s="895"/>
      <c r="F1461" s="896" t="s">
        <v>597</v>
      </c>
      <c r="G1461" s="897" t="s">
        <v>65</v>
      </c>
      <c r="H1461" s="898">
        <v>90000</v>
      </c>
      <c r="I1461" s="1435"/>
      <c r="J1461" s="1446">
        <f t="shared" si="32"/>
        <v>0</v>
      </c>
      <c r="K1461" s="898">
        <v>90000</v>
      </c>
    </row>
    <row r="1462" spans="4:11" ht="22.8" hidden="1" customHeight="1">
      <c r="D1462" s="916">
        <v>47</v>
      </c>
      <c r="E1462" s="895"/>
      <c r="F1462" s="896" t="s">
        <v>598</v>
      </c>
      <c r="G1462" s="897" t="s">
        <v>529</v>
      </c>
      <c r="H1462" s="898">
        <v>44500</v>
      </c>
      <c r="I1462" s="1435"/>
      <c r="J1462" s="1446">
        <f t="shared" si="32"/>
        <v>0</v>
      </c>
      <c r="K1462" s="898">
        <v>44500</v>
      </c>
    </row>
    <row r="1463" spans="4:11" ht="22.8" hidden="1" customHeight="1">
      <c r="D1463" s="916">
        <v>48</v>
      </c>
      <c r="E1463" s="895"/>
      <c r="F1463" s="896" t="s">
        <v>599</v>
      </c>
      <c r="G1463" s="897" t="s">
        <v>65</v>
      </c>
      <c r="H1463" s="898">
        <v>53000</v>
      </c>
      <c r="I1463" s="1435"/>
      <c r="J1463" s="1446">
        <f t="shared" si="32"/>
        <v>0</v>
      </c>
      <c r="K1463" s="898">
        <v>53000</v>
      </c>
    </row>
    <row r="1464" spans="4:11" ht="22.8" hidden="1" customHeight="1">
      <c r="D1464" s="916">
        <v>49</v>
      </c>
      <c r="E1464" s="895"/>
      <c r="F1464" s="896" t="s">
        <v>600</v>
      </c>
      <c r="G1464" s="897" t="s">
        <v>65</v>
      </c>
      <c r="H1464" s="898">
        <v>87000</v>
      </c>
      <c r="I1464" s="1435"/>
      <c r="J1464" s="1446">
        <f t="shared" si="32"/>
        <v>0</v>
      </c>
      <c r="K1464" s="898">
        <v>87000</v>
      </c>
    </row>
    <row r="1465" spans="4:11" ht="22.8" customHeight="1">
      <c r="D1465" s="915" t="s">
        <v>1766</v>
      </c>
      <c r="E1465" s="1795" t="s">
        <v>601</v>
      </c>
      <c r="F1465" s="1796"/>
      <c r="G1465" s="897"/>
      <c r="H1465" s="898"/>
      <c r="I1465" s="1435"/>
      <c r="J1465" s="1446">
        <f t="shared" si="32"/>
        <v>0</v>
      </c>
      <c r="K1465" s="898"/>
    </row>
    <row r="1466" spans="4:11" ht="22.8" hidden="1" customHeight="1">
      <c r="D1466" s="916">
        <v>1</v>
      </c>
      <c r="E1466" s="895"/>
      <c r="F1466" s="896" t="s">
        <v>602</v>
      </c>
      <c r="G1466" s="897" t="s">
        <v>44</v>
      </c>
      <c r="H1466" s="898">
        <v>180900</v>
      </c>
      <c r="I1466" s="1435"/>
      <c r="J1466" s="1446">
        <f t="shared" si="32"/>
        <v>0</v>
      </c>
      <c r="K1466" s="898">
        <v>180900</v>
      </c>
    </row>
    <row r="1467" spans="4:11" ht="22.8" hidden="1" customHeight="1">
      <c r="D1467" s="916">
        <v>2</v>
      </c>
      <c r="E1467" s="895"/>
      <c r="F1467" s="896" t="s">
        <v>603</v>
      </c>
      <c r="G1467" s="897" t="s">
        <v>44</v>
      </c>
      <c r="H1467" s="898">
        <v>117900</v>
      </c>
      <c r="I1467" s="1435"/>
      <c r="J1467" s="1446">
        <f t="shared" si="32"/>
        <v>0</v>
      </c>
      <c r="K1467" s="898">
        <v>117900</v>
      </c>
    </row>
    <row r="1468" spans="4:11" ht="22.8" hidden="1" customHeight="1">
      <c r="D1468" s="916">
        <v>3</v>
      </c>
      <c r="E1468" s="895"/>
      <c r="F1468" s="896" t="s">
        <v>604</v>
      </c>
      <c r="G1468" s="897" t="s">
        <v>44</v>
      </c>
      <c r="H1468" s="898">
        <v>279000</v>
      </c>
      <c r="I1468" s="1435"/>
      <c r="J1468" s="1446">
        <f t="shared" si="32"/>
        <v>0</v>
      </c>
      <c r="K1468" s="898">
        <v>279000</v>
      </c>
    </row>
    <row r="1469" spans="4:11" ht="22.8" hidden="1" customHeight="1">
      <c r="D1469" s="916">
        <v>4</v>
      </c>
      <c r="E1469" s="895"/>
      <c r="F1469" s="896" t="s">
        <v>605</v>
      </c>
      <c r="G1469" s="897" t="s">
        <v>44</v>
      </c>
      <c r="H1469" s="898">
        <v>167500</v>
      </c>
      <c r="I1469" s="1435"/>
      <c r="J1469" s="1446">
        <f t="shared" si="32"/>
        <v>0</v>
      </c>
      <c r="K1469" s="898">
        <v>167500</v>
      </c>
    </row>
    <row r="1470" spans="4:11" ht="22.8" hidden="1" customHeight="1">
      <c r="D1470" s="916">
        <v>5</v>
      </c>
      <c r="E1470" s="895"/>
      <c r="F1470" s="896" t="s">
        <v>606</v>
      </c>
      <c r="G1470" s="897" t="s">
        <v>44</v>
      </c>
      <c r="H1470" s="898">
        <v>81000</v>
      </c>
      <c r="I1470" s="1435"/>
      <c r="J1470" s="1446">
        <f t="shared" si="32"/>
        <v>0</v>
      </c>
      <c r="K1470" s="898">
        <v>81000</v>
      </c>
    </row>
    <row r="1471" spans="4:11" ht="22.8" hidden="1" customHeight="1">
      <c r="D1471" s="916">
        <v>6</v>
      </c>
      <c r="E1471" s="895"/>
      <c r="F1471" s="896" t="s">
        <v>607</v>
      </c>
      <c r="G1471" s="897" t="s">
        <v>44</v>
      </c>
      <c r="H1471" s="898">
        <v>58500</v>
      </c>
      <c r="I1471" s="1435"/>
      <c r="J1471" s="1446">
        <f t="shared" si="32"/>
        <v>0</v>
      </c>
      <c r="K1471" s="898">
        <v>58500</v>
      </c>
    </row>
    <row r="1472" spans="4:11" ht="22.8" hidden="1" customHeight="1">
      <c r="D1472" s="916">
        <v>7</v>
      </c>
      <c r="E1472" s="895"/>
      <c r="F1472" s="896" t="s">
        <v>608</v>
      </c>
      <c r="G1472" s="897" t="s">
        <v>44</v>
      </c>
      <c r="H1472" s="898">
        <v>27400</v>
      </c>
      <c r="I1472" s="1435"/>
      <c r="J1472" s="1446">
        <f t="shared" ref="J1472:J1535" si="34">I1472-(I1472*10%)</f>
        <v>0</v>
      </c>
      <c r="K1472" s="898">
        <v>27400</v>
      </c>
    </row>
    <row r="1473" spans="4:11" ht="22.8" hidden="1" customHeight="1">
      <c r="D1473" s="916">
        <v>8</v>
      </c>
      <c r="E1473" s="895"/>
      <c r="F1473" s="896" t="s">
        <v>609</v>
      </c>
      <c r="G1473" s="897" t="s">
        <v>44</v>
      </c>
      <c r="H1473" s="898">
        <v>18900</v>
      </c>
      <c r="I1473" s="1435"/>
      <c r="J1473" s="1446">
        <f t="shared" si="34"/>
        <v>0</v>
      </c>
      <c r="K1473" s="898">
        <v>18900</v>
      </c>
    </row>
    <row r="1474" spans="4:11" ht="22.8" hidden="1" customHeight="1">
      <c r="D1474" s="916">
        <v>9</v>
      </c>
      <c r="E1474" s="895"/>
      <c r="F1474" s="896" t="s">
        <v>610</v>
      </c>
      <c r="G1474" s="897" t="s">
        <v>44</v>
      </c>
      <c r="H1474" s="898">
        <v>41700</v>
      </c>
      <c r="I1474" s="1435"/>
      <c r="J1474" s="1446">
        <f t="shared" si="34"/>
        <v>0</v>
      </c>
      <c r="K1474" s="898">
        <v>41700</v>
      </c>
    </row>
    <row r="1475" spans="4:11" ht="22.8" hidden="1" customHeight="1">
      <c r="D1475" s="916">
        <v>10</v>
      </c>
      <c r="E1475" s="895"/>
      <c r="F1475" s="896" t="s">
        <v>611</v>
      </c>
      <c r="G1475" s="897" t="s">
        <v>44</v>
      </c>
      <c r="H1475" s="898">
        <v>26500</v>
      </c>
      <c r="I1475" s="1435"/>
      <c r="J1475" s="1446">
        <f t="shared" si="34"/>
        <v>0</v>
      </c>
      <c r="K1475" s="898">
        <v>26500</v>
      </c>
    </row>
    <row r="1476" spans="4:11" ht="22.8" hidden="1" customHeight="1">
      <c r="D1476" s="916">
        <v>11</v>
      </c>
      <c r="E1476" s="895"/>
      <c r="F1476" s="896" t="s">
        <v>612</v>
      </c>
      <c r="G1476" s="897" t="s">
        <v>44</v>
      </c>
      <c r="H1476" s="898">
        <v>31500</v>
      </c>
      <c r="I1476" s="1435"/>
      <c r="J1476" s="1446">
        <f t="shared" si="34"/>
        <v>0</v>
      </c>
      <c r="K1476" s="898">
        <v>31500</v>
      </c>
    </row>
    <row r="1477" spans="4:11" ht="22.8" hidden="1" customHeight="1">
      <c r="D1477" s="916">
        <v>12</v>
      </c>
      <c r="E1477" s="895"/>
      <c r="F1477" s="896" t="s">
        <v>613</v>
      </c>
      <c r="G1477" s="897" t="s">
        <v>44</v>
      </c>
      <c r="H1477" s="898">
        <v>23700</v>
      </c>
      <c r="I1477" s="1435"/>
      <c r="J1477" s="1446">
        <f t="shared" si="34"/>
        <v>0</v>
      </c>
      <c r="K1477" s="898">
        <v>23700</v>
      </c>
    </row>
    <row r="1478" spans="4:11" ht="22.8" hidden="1" customHeight="1">
      <c r="D1478" s="916">
        <v>13</v>
      </c>
      <c r="E1478" s="895"/>
      <c r="F1478" s="896" t="s">
        <v>614</v>
      </c>
      <c r="G1478" s="897" t="s">
        <v>44</v>
      </c>
      <c r="H1478" s="898">
        <v>500000</v>
      </c>
      <c r="I1478" s="1435"/>
      <c r="J1478" s="1446">
        <f t="shared" si="34"/>
        <v>0</v>
      </c>
      <c r="K1478" s="898">
        <v>500000</v>
      </c>
    </row>
    <row r="1479" spans="4:11" ht="22.8" hidden="1" customHeight="1">
      <c r="D1479" s="916">
        <v>14</v>
      </c>
      <c r="E1479" s="895"/>
      <c r="F1479" s="896" t="s">
        <v>615</v>
      </c>
      <c r="G1479" s="897" t="s">
        <v>44</v>
      </c>
      <c r="H1479" s="898">
        <v>32600</v>
      </c>
      <c r="I1479" s="1435"/>
      <c r="J1479" s="1446">
        <f t="shared" si="34"/>
        <v>0</v>
      </c>
      <c r="K1479" s="898">
        <v>32600</v>
      </c>
    </row>
    <row r="1480" spans="4:11" ht="22.8" hidden="1" customHeight="1">
      <c r="D1480" s="916">
        <v>15</v>
      </c>
      <c r="E1480" s="895"/>
      <c r="F1480" s="896" t="s">
        <v>616</v>
      </c>
      <c r="G1480" s="897" t="s">
        <v>44</v>
      </c>
      <c r="H1480" s="898">
        <v>15000</v>
      </c>
      <c r="I1480" s="1435"/>
      <c r="J1480" s="1446">
        <f t="shared" si="34"/>
        <v>0</v>
      </c>
      <c r="K1480" s="898">
        <v>15000</v>
      </c>
    </row>
    <row r="1481" spans="4:11" ht="22.8" hidden="1" customHeight="1">
      <c r="D1481" s="916">
        <v>16</v>
      </c>
      <c r="E1481" s="895"/>
      <c r="F1481" s="896" t="s">
        <v>617</v>
      </c>
      <c r="G1481" s="897" t="s">
        <v>44</v>
      </c>
      <c r="H1481" s="898">
        <v>150000</v>
      </c>
      <c r="I1481" s="1435"/>
      <c r="J1481" s="1446">
        <f t="shared" si="34"/>
        <v>0</v>
      </c>
      <c r="K1481" s="898">
        <v>150000</v>
      </c>
    </row>
    <row r="1482" spans="4:11" ht="22.8" hidden="1" customHeight="1">
      <c r="D1482" s="916">
        <v>17</v>
      </c>
      <c r="E1482" s="895"/>
      <c r="F1482" s="896" t="s">
        <v>618</v>
      </c>
      <c r="G1482" s="897" t="s">
        <v>44</v>
      </c>
      <c r="H1482" s="898">
        <v>140800</v>
      </c>
      <c r="I1482" s="1435"/>
      <c r="J1482" s="1446">
        <f t="shared" si="34"/>
        <v>0</v>
      </c>
      <c r="K1482" s="898">
        <v>140800</v>
      </c>
    </row>
    <row r="1483" spans="4:11" ht="22.8" hidden="1" customHeight="1">
      <c r="D1483" s="916">
        <v>18</v>
      </c>
      <c r="E1483" s="895"/>
      <c r="F1483" s="896" t="s">
        <v>3105</v>
      </c>
      <c r="G1483" s="897" t="s">
        <v>2167</v>
      </c>
      <c r="H1483" s="898">
        <v>58500</v>
      </c>
      <c r="I1483" s="1435"/>
      <c r="J1483" s="1446">
        <f t="shared" si="34"/>
        <v>0</v>
      </c>
      <c r="K1483" s="898">
        <v>58500</v>
      </c>
    </row>
    <row r="1484" spans="4:11" ht="22.8" hidden="1" customHeight="1">
      <c r="D1484" s="916">
        <v>19</v>
      </c>
      <c r="E1484" s="895"/>
      <c r="F1484" s="896" t="s">
        <v>619</v>
      </c>
      <c r="G1484" s="897" t="s">
        <v>44</v>
      </c>
      <c r="H1484" s="898">
        <v>12000</v>
      </c>
      <c r="I1484" s="1435"/>
      <c r="J1484" s="1446">
        <f t="shared" si="34"/>
        <v>0</v>
      </c>
      <c r="K1484" s="898">
        <v>12000</v>
      </c>
    </row>
    <row r="1485" spans="4:11" ht="22.8" hidden="1" customHeight="1">
      <c r="D1485" s="916">
        <v>20</v>
      </c>
      <c r="E1485" s="895"/>
      <c r="F1485" s="896" t="s">
        <v>620</v>
      </c>
      <c r="G1485" s="897" t="s">
        <v>44</v>
      </c>
      <c r="H1485" s="898">
        <v>14100</v>
      </c>
      <c r="I1485" s="1435"/>
      <c r="J1485" s="1446">
        <f t="shared" si="34"/>
        <v>0</v>
      </c>
      <c r="K1485" s="898">
        <v>14100</v>
      </c>
    </row>
    <row r="1486" spans="4:11" ht="22.8" hidden="1" customHeight="1">
      <c r="D1486" s="916">
        <v>21</v>
      </c>
      <c r="E1486" s="895"/>
      <c r="F1486" s="896" t="s">
        <v>621</v>
      </c>
      <c r="G1486" s="897" t="s">
        <v>44</v>
      </c>
      <c r="H1486" s="898">
        <v>70000</v>
      </c>
      <c r="I1486" s="1435"/>
      <c r="J1486" s="1446">
        <f t="shared" si="34"/>
        <v>0</v>
      </c>
      <c r="K1486" s="898">
        <v>70000</v>
      </c>
    </row>
    <row r="1487" spans="4:11" ht="22.8" hidden="1" customHeight="1">
      <c r="D1487" s="916">
        <v>22</v>
      </c>
      <c r="E1487" s="895"/>
      <c r="F1487" s="896" t="s">
        <v>622</v>
      </c>
      <c r="G1487" s="897" t="s">
        <v>44</v>
      </c>
      <c r="H1487" s="898">
        <v>101300</v>
      </c>
      <c r="I1487" s="1435"/>
      <c r="J1487" s="1446">
        <f t="shared" si="34"/>
        <v>0</v>
      </c>
      <c r="K1487" s="898">
        <v>101300</v>
      </c>
    </row>
    <row r="1488" spans="4:11" ht="22.8" hidden="1" customHeight="1">
      <c r="D1488" s="916">
        <v>23</v>
      </c>
      <c r="E1488" s="895"/>
      <c r="F1488" s="896" t="s">
        <v>1844</v>
      </c>
      <c r="G1488" s="897" t="s">
        <v>44</v>
      </c>
      <c r="H1488" s="898">
        <v>65800</v>
      </c>
      <c r="I1488" s="1435"/>
      <c r="J1488" s="1446">
        <f t="shared" si="34"/>
        <v>0</v>
      </c>
      <c r="K1488" s="898">
        <v>65800</v>
      </c>
    </row>
    <row r="1489" spans="4:11" ht="22.8" hidden="1" customHeight="1">
      <c r="D1489" s="916">
        <v>24</v>
      </c>
      <c r="E1489" s="895"/>
      <c r="F1489" s="896" t="s">
        <v>623</v>
      </c>
      <c r="G1489" s="897" t="s">
        <v>44</v>
      </c>
      <c r="H1489" s="898">
        <v>144300</v>
      </c>
      <c r="I1489" s="1435"/>
      <c r="J1489" s="1446">
        <f t="shared" si="34"/>
        <v>0</v>
      </c>
      <c r="K1489" s="898">
        <v>144300</v>
      </c>
    </row>
    <row r="1490" spans="4:11" ht="22.8" hidden="1" customHeight="1">
      <c r="D1490" s="916">
        <v>25</v>
      </c>
      <c r="E1490" s="895"/>
      <c r="F1490" s="896" t="s">
        <v>624</v>
      </c>
      <c r="G1490" s="897" t="s">
        <v>44</v>
      </c>
      <c r="H1490" s="898">
        <v>65800</v>
      </c>
      <c r="I1490" s="1435"/>
      <c r="J1490" s="1446">
        <f t="shared" si="34"/>
        <v>0</v>
      </c>
      <c r="K1490" s="898">
        <v>65800</v>
      </c>
    </row>
    <row r="1491" spans="4:11" ht="22.8" hidden="1" customHeight="1">
      <c r="D1491" s="916">
        <v>26</v>
      </c>
      <c r="E1491" s="895"/>
      <c r="F1491" s="896" t="s">
        <v>625</v>
      </c>
      <c r="G1491" s="897" t="s">
        <v>44</v>
      </c>
      <c r="H1491" s="898">
        <v>75000</v>
      </c>
      <c r="I1491" s="1435"/>
      <c r="J1491" s="1446">
        <f t="shared" si="34"/>
        <v>0</v>
      </c>
      <c r="K1491" s="898">
        <v>75000</v>
      </c>
    </row>
    <row r="1492" spans="4:11" ht="22.8" hidden="1" customHeight="1">
      <c r="D1492" s="916">
        <v>27</v>
      </c>
      <c r="E1492" s="895"/>
      <c r="F1492" s="896" t="s">
        <v>626</v>
      </c>
      <c r="G1492" s="897" t="s">
        <v>44</v>
      </c>
      <c r="H1492" s="898">
        <v>46900</v>
      </c>
      <c r="I1492" s="1435"/>
      <c r="J1492" s="1446">
        <f t="shared" si="34"/>
        <v>0</v>
      </c>
      <c r="K1492" s="898">
        <v>46900</v>
      </c>
    </row>
    <row r="1493" spans="4:11" ht="22.8" hidden="1" customHeight="1">
      <c r="D1493" s="916">
        <v>28</v>
      </c>
      <c r="E1493" s="895"/>
      <c r="F1493" s="896" t="s">
        <v>627</v>
      </c>
      <c r="G1493" s="897" t="s">
        <v>44</v>
      </c>
      <c r="H1493" s="898">
        <v>290800</v>
      </c>
      <c r="I1493" s="1435"/>
      <c r="J1493" s="1446">
        <f t="shared" si="34"/>
        <v>0</v>
      </c>
      <c r="K1493" s="898">
        <v>290800</v>
      </c>
    </row>
    <row r="1494" spans="4:11" ht="22.8" hidden="1" customHeight="1">
      <c r="D1494" s="916">
        <v>29</v>
      </c>
      <c r="E1494" s="895"/>
      <c r="F1494" s="896" t="s">
        <v>628</v>
      </c>
      <c r="G1494" s="897" t="s">
        <v>44</v>
      </c>
      <c r="H1494" s="898">
        <v>435200</v>
      </c>
      <c r="I1494" s="1435"/>
      <c r="J1494" s="1446">
        <f t="shared" si="34"/>
        <v>0</v>
      </c>
      <c r="K1494" s="898">
        <v>435200</v>
      </c>
    </row>
    <row r="1495" spans="4:11" ht="22.8" hidden="1" customHeight="1">
      <c r="D1495" s="916">
        <v>30</v>
      </c>
      <c r="E1495" s="895"/>
      <c r="F1495" s="896" t="s">
        <v>629</v>
      </c>
      <c r="G1495" s="897" t="s">
        <v>630</v>
      </c>
      <c r="H1495" s="898">
        <v>243100</v>
      </c>
      <c r="I1495" s="1435"/>
      <c r="J1495" s="1446">
        <f t="shared" si="34"/>
        <v>0</v>
      </c>
      <c r="K1495" s="898">
        <v>243100</v>
      </c>
    </row>
    <row r="1496" spans="4:11" ht="22.8" hidden="1" customHeight="1">
      <c r="D1496" s="916">
        <v>31</v>
      </c>
      <c r="E1496" s="895"/>
      <c r="F1496" s="896" t="s">
        <v>631</v>
      </c>
      <c r="G1496" s="897" t="s">
        <v>44</v>
      </c>
      <c r="H1496" s="898">
        <v>21600</v>
      </c>
      <c r="I1496" s="1435"/>
      <c r="J1496" s="1446">
        <f t="shared" si="34"/>
        <v>0</v>
      </c>
      <c r="K1496" s="898">
        <v>21600</v>
      </c>
    </row>
    <row r="1497" spans="4:11" ht="22.8" hidden="1" customHeight="1">
      <c r="D1497" s="916">
        <v>32</v>
      </c>
      <c r="E1497" s="895"/>
      <c r="F1497" s="896" t="s">
        <v>632</v>
      </c>
      <c r="G1497" s="897" t="s">
        <v>44</v>
      </c>
      <c r="H1497" s="898">
        <v>60000</v>
      </c>
      <c r="I1497" s="1435"/>
      <c r="J1497" s="1446">
        <f t="shared" si="34"/>
        <v>0</v>
      </c>
      <c r="K1497" s="898">
        <v>60000</v>
      </c>
    </row>
    <row r="1498" spans="4:11" ht="22.8" hidden="1" customHeight="1">
      <c r="D1498" s="916">
        <v>33</v>
      </c>
      <c r="E1498" s="895"/>
      <c r="F1498" s="896" t="s">
        <v>633</v>
      </c>
      <c r="G1498" s="897" t="s">
        <v>62</v>
      </c>
      <c r="H1498" s="898">
        <v>140000</v>
      </c>
      <c r="I1498" s="1435"/>
      <c r="J1498" s="1446">
        <f t="shared" si="34"/>
        <v>0</v>
      </c>
      <c r="K1498" s="898">
        <v>140000</v>
      </c>
    </row>
    <row r="1499" spans="4:11" ht="22.8" customHeight="1">
      <c r="D1499" s="915" t="s">
        <v>6638</v>
      </c>
      <c r="E1499" s="1795" t="s">
        <v>634</v>
      </c>
      <c r="F1499" s="1796"/>
      <c r="G1499" s="897"/>
      <c r="H1499" s="898"/>
      <c r="I1499" s="1435"/>
      <c r="J1499" s="1446">
        <f t="shared" si="34"/>
        <v>0</v>
      </c>
      <c r="K1499" s="898"/>
    </row>
    <row r="1500" spans="4:11" ht="22.8" customHeight="1">
      <c r="D1500" s="1422">
        <v>1</v>
      </c>
      <c r="E1500" s="895"/>
      <c r="F1500" s="896" t="s">
        <v>635</v>
      </c>
      <c r="G1500" s="897" t="s">
        <v>44</v>
      </c>
      <c r="H1500" s="898">
        <v>2500</v>
      </c>
      <c r="I1500" s="1442"/>
      <c r="J1500" s="1446">
        <f t="shared" si="34"/>
        <v>0</v>
      </c>
      <c r="K1500" s="898">
        <v>2500</v>
      </c>
    </row>
    <row r="1501" spans="4:11" ht="22.8" customHeight="1">
      <c r="D1501" s="1423">
        <v>3</v>
      </c>
      <c r="E1501" s="895"/>
      <c r="F1501" s="896" t="s">
        <v>1857</v>
      </c>
      <c r="G1501" s="897" t="s">
        <v>1859</v>
      </c>
      <c r="H1501" s="894">
        <f t="shared" ref="H1501" si="35">J1501</f>
        <v>36000</v>
      </c>
      <c r="I1501" s="1435">
        <v>40000</v>
      </c>
      <c r="J1501" s="1446">
        <f t="shared" si="34"/>
        <v>36000</v>
      </c>
      <c r="K1501" s="898">
        <v>400000</v>
      </c>
    </row>
    <row r="1502" spans="4:11" ht="22.8" hidden="1" customHeight="1">
      <c r="D1502" s="916">
        <v>3</v>
      </c>
      <c r="E1502" s="895"/>
      <c r="F1502" s="896" t="s">
        <v>636</v>
      </c>
      <c r="G1502" s="897" t="s">
        <v>44</v>
      </c>
      <c r="H1502" s="898">
        <v>400000</v>
      </c>
      <c r="I1502" s="1435"/>
      <c r="J1502" s="1446">
        <f t="shared" si="34"/>
        <v>0</v>
      </c>
      <c r="K1502" s="898">
        <v>400000</v>
      </c>
    </row>
    <row r="1503" spans="4:11" ht="22.8" hidden="1" customHeight="1">
      <c r="D1503" s="916">
        <v>4</v>
      </c>
      <c r="E1503" s="895"/>
      <c r="F1503" s="896" t="s">
        <v>3053</v>
      </c>
      <c r="G1503" s="897" t="s">
        <v>2167</v>
      </c>
      <c r="H1503" s="898">
        <v>2000000</v>
      </c>
      <c r="I1503" s="1435"/>
      <c r="J1503" s="1446">
        <f t="shared" si="34"/>
        <v>0</v>
      </c>
      <c r="K1503" s="898">
        <v>2000000</v>
      </c>
    </row>
    <row r="1504" spans="4:11" ht="22.8" hidden="1" customHeight="1">
      <c r="D1504" s="916">
        <v>5</v>
      </c>
      <c r="E1504" s="895"/>
      <c r="F1504" s="896" t="s">
        <v>3145</v>
      </c>
      <c r="G1504" s="897" t="s">
        <v>2167</v>
      </c>
      <c r="H1504" s="898">
        <v>596000</v>
      </c>
      <c r="I1504" s="1435"/>
      <c r="J1504" s="1446">
        <f t="shared" si="34"/>
        <v>0</v>
      </c>
      <c r="K1504" s="898">
        <v>596000</v>
      </c>
    </row>
    <row r="1505" spans="4:11" ht="22.8" hidden="1" customHeight="1">
      <c r="D1505" s="916">
        <v>6</v>
      </c>
      <c r="E1505" s="895"/>
      <c r="F1505" s="896" t="s">
        <v>6552</v>
      </c>
      <c r="G1505" s="897" t="s">
        <v>62</v>
      </c>
      <c r="H1505" s="898">
        <v>242000</v>
      </c>
      <c r="I1505" s="1435"/>
      <c r="J1505" s="1446">
        <f t="shared" si="34"/>
        <v>0</v>
      </c>
      <c r="K1505" s="898">
        <v>242000</v>
      </c>
    </row>
    <row r="1506" spans="4:11" ht="22.8" hidden="1" customHeight="1">
      <c r="D1506" s="916">
        <v>7</v>
      </c>
      <c r="E1506" s="895"/>
      <c r="F1506" s="896" t="s">
        <v>637</v>
      </c>
      <c r="G1506" s="897" t="s">
        <v>62</v>
      </c>
      <c r="H1506" s="898">
        <v>317000</v>
      </c>
      <c r="I1506" s="1435"/>
      <c r="J1506" s="1446">
        <f t="shared" si="34"/>
        <v>0</v>
      </c>
      <c r="K1506" s="898">
        <v>317000</v>
      </c>
    </row>
    <row r="1507" spans="4:11" ht="22.8" hidden="1" customHeight="1">
      <c r="D1507" s="916">
        <v>8</v>
      </c>
      <c r="E1507" s="895"/>
      <c r="F1507" s="896" t="s">
        <v>638</v>
      </c>
      <c r="G1507" s="897" t="s">
        <v>62</v>
      </c>
      <c r="H1507" s="898">
        <v>221400</v>
      </c>
      <c r="I1507" s="1435"/>
      <c r="J1507" s="1446">
        <f t="shared" si="34"/>
        <v>0</v>
      </c>
      <c r="K1507" s="898">
        <v>221400</v>
      </c>
    </row>
    <row r="1508" spans="4:11" ht="22.8" hidden="1" customHeight="1">
      <c r="D1508" s="916">
        <v>9</v>
      </c>
      <c r="E1508" s="895"/>
      <c r="F1508" s="896" t="s">
        <v>639</v>
      </c>
      <c r="G1508" s="897" t="s">
        <v>62</v>
      </c>
      <c r="H1508" s="898">
        <v>270900</v>
      </c>
      <c r="I1508" s="1435"/>
      <c r="J1508" s="1446">
        <f t="shared" si="34"/>
        <v>0</v>
      </c>
      <c r="K1508" s="898">
        <v>270900</v>
      </c>
    </row>
    <row r="1509" spans="4:11" ht="22.8" hidden="1" customHeight="1">
      <c r="D1509" s="916">
        <v>10</v>
      </c>
      <c r="E1509" s="895"/>
      <c r="F1509" s="896" t="s">
        <v>640</v>
      </c>
      <c r="G1509" s="897" t="s">
        <v>62</v>
      </c>
      <c r="H1509" s="898">
        <v>796100</v>
      </c>
      <c r="I1509" s="1435"/>
      <c r="J1509" s="1446">
        <f t="shared" si="34"/>
        <v>0</v>
      </c>
      <c r="K1509" s="898">
        <v>796100</v>
      </c>
    </row>
    <row r="1510" spans="4:11" ht="22.8" hidden="1" customHeight="1">
      <c r="D1510" s="916">
        <v>11</v>
      </c>
      <c r="E1510" s="895"/>
      <c r="F1510" s="896" t="s">
        <v>641</v>
      </c>
      <c r="G1510" s="897" t="s">
        <v>62</v>
      </c>
      <c r="H1510" s="898">
        <v>85000</v>
      </c>
      <c r="I1510" s="1435"/>
      <c r="J1510" s="1446">
        <f t="shared" si="34"/>
        <v>0</v>
      </c>
      <c r="K1510" s="898">
        <v>85000</v>
      </c>
    </row>
    <row r="1511" spans="4:11" ht="22.8" hidden="1" customHeight="1">
      <c r="D1511" s="916">
        <v>12</v>
      </c>
      <c r="E1511" s="895"/>
      <c r="F1511" s="896" t="s">
        <v>642</v>
      </c>
      <c r="G1511" s="897" t="s">
        <v>62</v>
      </c>
      <c r="H1511" s="898">
        <v>95000</v>
      </c>
      <c r="I1511" s="1435"/>
      <c r="J1511" s="1446">
        <f t="shared" si="34"/>
        <v>0</v>
      </c>
      <c r="K1511" s="898">
        <v>95000</v>
      </c>
    </row>
    <row r="1512" spans="4:11" ht="22.8" hidden="1" customHeight="1">
      <c r="D1512" s="916">
        <v>13</v>
      </c>
      <c r="E1512" s="895"/>
      <c r="F1512" s="896" t="s">
        <v>643</v>
      </c>
      <c r="G1512" s="897" t="s">
        <v>62</v>
      </c>
      <c r="H1512" s="898">
        <v>794400</v>
      </c>
      <c r="I1512" s="1435"/>
      <c r="J1512" s="1446">
        <f t="shared" si="34"/>
        <v>0</v>
      </c>
      <c r="K1512" s="898">
        <v>794400</v>
      </c>
    </row>
    <row r="1513" spans="4:11" ht="22.8" hidden="1" customHeight="1">
      <c r="D1513" s="916">
        <v>14</v>
      </c>
      <c r="E1513" s="895"/>
      <c r="F1513" s="896" t="s">
        <v>644</v>
      </c>
      <c r="G1513" s="897" t="s">
        <v>62</v>
      </c>
      <c r="H1513" s="898">
        <v>750000</v>
      </c>
      <c r="I1513" s="1435"/>
      <c r="J1513" s="1446">
        <f t="shared" si="34"/>
        <v>0</v>
      </c>
      <c r="K1513" s="898">
        <v>750000</v>
      </c>
    </row>
    <row r="1514" spans="4:11" ht="22.8" hidden="1" customHeight="1">
      <c r="D1514" s="916">
        <v>15</v>
      </c>
      <c r="E1514" s="895"/>
      <c r="F1514" s="896" t="s">
        <v>645</v>
      </c>
      <c r="G1514" s="897" t="s">
        <v>62</v>
      </c>
      <c r="H1514" s="898">
        <v>900000</v>
      </c>
      <c r="I1514" s="1435"/>
      <c r="J1514" s="1446">
        <f t="shared" si="34"/>
        <v>0</v>
      </c>
      <c r="K1514" s="898">
        <v>900000</v>
      </c>
    </row>
    <row r="1515" spans="4:11" ht="22.8" hidden="1" customHeight="1">
      <c r="D1515" s="916">
        <v>16</v>
      </c>
      <c r="E1515" s="895"/>
      <c r="F1515" s="896" t="s">
        <v>646</v>
      </c>
      <c r="G1515" s="897" t="s">
        <v>62</v>
      </c>
      <c r="H1515" s="898">
        <v>700000</v>
      </c>
      <c r="I1515" s="1435"/>
      <c r="J1515" s="1446">
        <f t="shared" si="34"/>
        <v>0</v>
      </c>
      <c r="K1515" s="898">
        <v>700000</v>
      </c>
    </row>
    <row r="1516" spans="4:11" ht="22.8" hidden="1" customHeight="1">
      <c r="D1516" s="916">
        <v>17</v>
      </c>
      <c r="E1516" s="895"/>
      <c r="F1516" s="896" t="s">
        <v>647</v>
      </c>
      <c r="G1516" s="897" t="s">
        <v>62</v>
      </c>
      <c r="H1516" s="898">
        <v>688700</v>
      </c>
      <c r="I1516" s="1435"/>
      <c r="J1516" s="1446">
        <f t="shared" si="34"/>
        <v>0</v>
      </c>
      <c r="K1516" s="898">
        <v>688700</v>
      </c>
    </row>
    <row r="1517" spans="4:11" ht="22.8" hidden="1" customHeight="1">
      <c r="D1517" s="916">
        <v>18</v>
      </c>
      <c r="E1517" s="895"/>
      <c r="F1517" s="896" t="s">
        <v>648</v>
      </c>
      <c r="G1517" s="897" t="s">
        <v>62</v>
      </c>
      <c r="H1517" s="898">
        <v>1516300</v>
      </c>
      <c r="I1517" s="1435"/>
      <c r="J1517" s="1446">
        <f t="shared" si="34"/>
        <v>0</v>
      </c>
      <c r="K1517" s="898">
        <v>1516300</v>
      </c>
    </row>
    <row r="1518" spans="4:11" ht="22.8" hidden="1" customHeight="1">
      <c r="D1518" s="916">
        <v>19</v>
      </c>
      <c r="E1518" s="895"/>
      <c r="F1518" s="896" t="s">
        <v>1843</v>
      </c>
      <c r="G1518" s="897" t="s">
        <v>62</v>
      </c>
      <c r="H1518" s="898">
        <v>120000</v>
      </c>
      <c r="I1518" s="1435"/>
      <c r="J1518" s="1446">
        <f t="shared" si="34"/>
        <v>0</v>
      </c>
      <c r="K1518" s="898">
        <v>120000</v>
      </c>
    </row>
    <row r="1519" spans="4:11" ht="22.8" hidden="1" customHeight="1">
      <c r="D1519" s="916">
        <v>20</v>
      </c>
      <c r="E1519" s="895"/>
      <c r="F1519" s="896" t="s">
        <v>649</v>
      </c>
      <c r="G1519" s="897" t="s">
        <v>62</v>
      </c>
      <c r="H1519" s="898">
        <v>120000</v>
      </c>
      <c r="I1519" s="1435"/>
      <c r="J1519" s="1446">
        <f t="shared" si="34"/>
        <v>0</v>
      </c>
      <c r="K1519" s="898">
        <v>120000</v>
      </c>
    </row>
    <row r="1520" spans="4:11" ht="22.8" hidden="1" customHeight="1">
      <c r="D1520" s="916">
        <v>21</v>
      </c>
      <c r="E1520" s="895"/>
      <c r="F1520" s="896" t="s">
        <v>650</v>
      </c>
      <c r="G1520" s="897" t="s">
        <v>62</v>
      </c>
      <c r="H1520" s="898">
        <v>198000</v>
      </c>
      <c r="I1520" s="1435"/>
      <c r="J1520" s="1446">
        <f t="shared" si="34"/>
        <v>0</v>
      </c>
      <c r="K1520" s="898">
        <v>198000</v>
      </c>
    </row>
    <row r="1521" spans="4:11" ht="22.8" hidden="1" customHeight="1">
      <c r="D1521" s="916">
        <v>22</v>
      </c>
      <c r="E1521" s="895"/>
      <c r="F1521" s="896" t="s">
        <v>651</v>
      </c>
      <c r="G1521" s="897" t="s">
        <v>62</v>
      </c>
      <c r="H1521" s="898">
        <v>237000</v>
      </c>
      <c r="I1521" s="1435"/>
      <c r="J1521" s="1446">
        <f t="shared" si="34"/>
        <v>0</v>
      </c>
      <c r="K1521" s="898">
        <v>237000</v>
      </c>
    </row>
    <row r="1522" spans="4:11" ht="22.8" hidden="1" customHeight="1">
      <c r="D1522" s="916">
        <v>23</v>
      </c>
      <c r="E1522" s="895"/>
      <c r="F1522" s="896" t="s">
        <v>652</v>
      </c>
      <c r="G1522" s="897" t="s">
        <v>62</v>
      </c>
      <c r="H1522" s="898">
        <v>226400</v>
      </c>
      <c r="I1522" s="1435"/>
      <c r="J1522" s="1446">
        <f t="shared" si="34"/>
        <v>0</v>
      </c>
      <c r="K1522" s="898">
        <v>226400</v>
      </c>
    </row>
    <row r="1523" spans="4:11" ht="22.8" hidden="1" customHeight="1">
      <c r="D1523" s="916">
        <v>24</v>
      </c>
      <c r="E1523" s="895"/>
      <c r="F1523" s="896" t="s">
        <v>653</v>
      </c>
      <c r="G1523" s="897" t="s">
        <v>62</v>
      </c>
      <c r="H1523" s="898">
        <v>3447000</v>
      </c>
      <c r="I1523" s="1435"/>
      <c r="J1523" s="1446">
        <f t="shared" si="34"/>
        <v>0</v>
      </c>
      <c r="K1523" s="898">
        <v>3447000</v>
      </c>
    </row>
    <row r="1524" spans="4:11" ht="22.8" hidden="1" customHeight="1">
      <c r="D1524" s="916">
        <v>25</v>
      </c>
      <c r="E1524" s="895"/>
      <c r="F1524" s="896" t="s">
        <v>654</v>
      </c>
      <c r="G1524" s="897" t="s">
        <v>62</v>
      </c>
      <c r="H1524" s="898">
        <v>600000</v>
      </c>
      <c r="I1524" s="1435"/>
      <c r="J1524" s="1446">
        <f t="shared" si="34"/>
        <v>0</v>
      </c>
      <c r="K1524" s="898">
        <v>600000</v>
      </c>
    </row>
    <row r="1525" spans="4:11" ht="22.8" hidden="1" customHeight="1">
      <c r="D1525" s="916">
        <v>26</v>
      </c>
      <c r="E1525" s="895"/>
      <c r="F1525" s="896" t="s">
        <v>655</v>
      </c>
      <c r="G1525" s="897" t="s">
        <v>62</v>
      </c>
      <c r="H1525" s="898">
        <v>3179400</v>
      </c>
      <c r="I1525" s="1435"/>
      <c r="J1525" s="1446">
        <f t="shared" si="34"/>
        <v>0</v>
      </c>
      <c r="K1525" s="898">
        <v>3179400</v>
      </c>
    </row>
    <row r="1526" spans="4:11" ht="22.8" hidden="1" customHeight="1">
      <c r="D1526" s="916">
        <v>27</v>
      </c>
      <c r="E1526" s="895"/>
      <c r="F1526" s="896" t="s">
        <v>656</v>
      </c>
      <c r="G1526" s="897" t="s">
        <v>62</v>
      </c>
      <c r="H1526" s="898">
        <v>3702800</v>
      </c>
      <c r="I1526" s="1435"/>
      <c r="J1526" s="1446">
        <f t="shared" si="34"/>
        <v>0</v>
      </c>
      <c r="K1526" s="898">
        <v>3702800</v>
      </c>
    </row>
    <row r="1527" spans="4:11" ht="22.8" hidden="1" customHeight="1">
      <c r="D1527" s="916">
        <v>28</v>
      </c>
      <c r="E1527" s="895"/>
      <c r="F1527" s="896" t="s">
        <v>657</v>
      </c>
      <c r="G1527" s="897" t="s">
        <v>62</v>
      </c>
      <c r="H1527" s="898">
        <v>144800</v>
      </c>
      <c r="I1527" s="1435"/>
      <c r="J1527" s="1446">
        <f t="shared" si="34"/>
        <v>0</v>
      </c>
      <c r="K1527" s="898">
        <v>144800</v>
      </c>
    </row>
    <row r="1528" spans="4:11" ht="22.8" hidden="1" customHeight="1">
      <c r="D1528" s="916">
        <v>29</v>
      </c>
      <c r="E1528" s="895"/>
      <c r="F1528" s="896" t="s">
        <v>658</v>
      </c>
      <c r="G1528" s="897" t="s">
        <v>659</v>
      </c>
      <c r="H1528" s="898">
        <v>14500</v>
      </c>
      <c r="I1528" s="1435"/>
      <c r="J1528" s="1446">
        <f t="shared" si="34"/>
        <v>0</v>
      </c>
      <c r="K1528" s="898">
        <v>14500</v>
      </c>
    </row>
    <row r="1529" spans="4:11" ht="22.8" hidden="1" customHeight="1">
      <c r="D1529" s="916">
        <v>30</v>
      </c>
      <c r="E1529" s="895"/>
      <c r="F1529" s="896" t="s">
        <v>6543</v>
      </c>
      <c r="G1529" s="897" t="s">
        <v>62</v>
      </c>
      <c r="H1529" s="898">
        <v>15000</v>
      </c>
      <c r="I1529" s="1435"/>
      <c r="J1529" s="1446">
        <f t="shared" si="34"/>
        <v>0</v>
      </c>
      <c r="K1529" s="898">
        <v>15000</v>
      </c>
    </row>
    <row r="1530" spans="4:11" ht="22.8" hidden="1" customHeight="1">
      <c r="D1530" s="916">
        <v>31</v>
      </c>
      <c r="E1530" s="895"/>
      <c r="F1530" s="896" t="s">
        <v>660</v>
      </c>
      <c r="G1530" s="897" t="s">
        <v>62</v>
      </c>
      <c r="H1530" s="898">
        <v>85100</v>
      </c>
      <c r="I1530" s="1435"/>
      <c r="J1530" s="1446">
        <f t="shared" si="34"/>
        <v>0</v>
      </c>
      <c r="K1530" s="898">
        <v>85100</v>
      </c>
    </row>
    <row r="1531" spans="4:11" ht="22.8" hidden="1" customHeight="1">
      <c r="D1531" s="916">
        <v>32</v>
      </c>
      <c r="E1531" s="895"/>
      <c r="F1531" s="896" t="s">
        <v>661</v>
      </c>
      <c r="G1531" s="897" t="s">
        <v>62</v>
      </c>
      <c r="H1531" s="898">
        <v>112400</v>
      </c>
      <c r="I1531" s="1435"/>
      <c r="J1531" s="1446">
        <f t="shared" si="34"/>
        <v>0</v>
      </c>
      <c r="K1531" s="898">
        <v>112400</v>
      </c>
    </row>
    <row r="1532" spans="4:11" ht="22.8" customHeight="1">
      <c r="D1532" s="915" t="s">
        <v>6639</v>
      </c>
      <c r="E1532" s="1795" t="s">
        <v>662</v>
      </c>
      <c r="F1532" s="1796"/>
      <c r="G1532" s="897"/>
      <c r="H1532" s="898"/>
      <c r="I1532" s="1435"/>
      <c r="J1532" s="1446">
        <f t="shared" si="34"/>
        <v>0</v>
      </c>
      <c r="K1532" s="898"/>
    </row>
    <row r="1533" spans="4:11" ht="22.8" hidden="1" customHeight="1">
      <c r="D1533" s="918">
        <v>1</v>
      </c>
      <c r="E1533" s="895"/>
      <c r="F1533" s="896" t="s">
        <v>663</v>
      </c>
      <c r="G1533" s="897" t="s">
        <v>44</v>
      </c>
      <c r="H1533" s="898">
        <v>1793400</v>
      </c>
      <c r="I1533" s="1435"/>
      <c r="J1533" s="1446">
        <f t="shared" si="34"/>
        <v>0</v>
      </c>
      <c r="K1533" s="898">
        <v>1793400</v>
      </c>
    </row>
    <row r="1534" spans="4:11" ht="22.8" hidden="1" customHeight="1">
      <c r="D1534" s="918">
        <v>2</v>
      </c>
      <c r="E1534" s="895"/>
      <c r="F1534" s="896" t="s">
        <v>664</v>
      </c>
      <c r="G1534" s="897" t="s">
        <v>44</v>
      </c>
      <c r="H1534" s="898">
        <v>1448700</v>
      </c>
      <c r="I1534" s="1435"/>
      <c r="J1534" s="1446">
        <f t="shared" si="34"/>
        <v>0</v>
      </c>
      <c r="K1534" s="898">
        <v>1448700</v>
      </c>
    </row>
    <row r="1535" spans="4:11" ht="22.8" hidden="1" customHeight="1">
      <c r="D1535" s="918">
        <v>3</v>
      </c>
      <c r="E1535" s="895"/>
      <c r="F1535" s="896" t="s">
        <v>665</v>
      </c>
      <c r="G1535" s="897" t="s">
        <v>44</v>
      </c>
      <c r="H1535" s="898">
        <v>2125600</v>
      </c>
      <c r="I1535" s="1435"/>
      <c r="J1535" s="1446">
        <f t="shared" si="34"/>
        <v>0</v>
      </c>
      <c r="K1535" s="898">
        <v>2125600</v>
      </c>
    </row>
    <row r="1536" spans="4:11" ht="22.8" hidden="1" customHeight="1">
      <c r="D1536" s="918">
        <v>4</v>
      </c>
      <c r="E1536" s="895"/>
      <c r="F1536" s="896" t="s">
        <v>666</v>
      </c>
      <c r="G1536" s="897" t="s">
        <v>44</v>
      </c>
      <c r="H1536" s="898">
        <v>2778200</v>
      </c>
      <c r="I1536" s="1435"/>
      <c r="J1536" s="1446">
        <f t="shared" ref="J1536:J1599" si="36">I1536-(I1536*10%)</f>
        <v>0</v>
      </c>
      <c r="K1536" s="898">
        <v>2778200</v>
      </c>
    </row>
    <row r="1537" spans="4:11" ht="22.8" hidden="1" customHeight="1">
      <c r="D1537" s="918">
        <v>5</v>
      </c>
      <c r="E1537" s="895"/>
      <c r="F1537" s="896" t="s">
        <v>667</v>
      </c>
      <c r="G1537" s="897" t="s">
        <v>44</v>
      </c>
      <c r="H1537" s="898">
        <v>868300</v>
      </c>
      <c r="I1537" s="1435"/>
      <c r="J1537" s="1446">
        <f t="shared" si="36"/>
        <v>0</v>
      </c>
      <c r="K1537" s="898">
        <v>868300</v>
      </c>
    </row>
    <row r="1538" spans="4:11" ht="22.8" hidden="1" customHeight="1">
      <c r="D1538" s="918">
        <v>6</v>
      </c>
      <c r="E1538" s="895"/>
      <c r="F1538" s="896" t="s">
        <v>668</v>
      </c>
      <c r="G1538" s="897" t="s">
        <v>44</v>
      </c>
      <c r="H1538" s="898">
        <v>230600</v>
      </c>
      <c r="I1538" s="1435"/>
      <c r="J1538" s="1446">
        <f t="shared" si="36"/>
        <v>0</v>
      </c>
      <c r="K1538" s="898">
        <v>230600</v>
      </c>
    </row>
    <row r="1539" spans="4:11" ht="22.8" hidden="1" customHeight="1">
      <c r="D1539" s="918">
        <v>7</v>
      </c>
      <c r="E1539" s="895"/>
      <c r="F1539" s="896" t="s">
        <v>669</v>
      </c>
      <c r="G1539" s="897" t="s">
        <v>44</v>
      </c>
      <c r="H1539" s="898">
        <v>600000</v>
      </c>
      <c r="I1539" s="1435"/>
      <c r="J1539" s="1446">
        <f t="shared" si="36"/>
        <v>0</v>
      </c>
      <c r="K1539" s="898">
        <v>600000</v>
      </c>
    </row>
    <row r="1540" spans="4:11" ht="22.8" hidden="1" customHeight="1">
      <c r="D1540" s="918">
        <v>8</v>
      </c>
      <c r="E1540" s="895"/>
      <c r="F1540" s="896" t="s">
        <v>670</v>
      </c>
      <c r="G1540" s="897" t="s">
        <v>44</v>
      </c>
      <c r="H1540" s="898">
        <v>400000</v>
      </c>
      <c r="I1540" s="1435"/>
      <c r="J1540" s="1446">
        <f t="shared" si="36"/>
        <v>0</v>
      </c>
      <c r="K1540" s="898">
        <v>400000</v>
      </c>
    </row>
    <row r="1541" spans="4:11" ht="22.8" hidden="1" customHeight="1">
      <c r="D1541" s="918">
        <v>9</v>
      </c>
      <c r="E1541" s="895"/>
      <c r="F1541" s="896" t="s">
        <v>671</v>
      </c>
      <c r="G1541" s="897" t="s">
        <v>44</v>
      </c>
      <c r="H1541" s="898">
        <v>328400</v>
      </c>
      <c r="I1541" s="1435"/>
      <c r="J1541" s="1446">
        <f t="shared" si="36"/>
        <v>0</v>
      </c>
      <c r="K1541" s="898">
        <v>328400</v>
      </c>
    </row>
    <row r="1542" spans="4:11" ht="22.8" hidden="1" customHeight="1">
      <c r="D1542" s="918">
        <v>10</v>
      </c>
      <c r="E1542" s="895"/>
      <c r="F1542" s="896" t="s">
        <v>672</v>
      </c>
      <c r="G1542" s="897" t="s">
        <v>44</v>
      </c>
      <c r="H1542" s="898">
        <v>450000</v>
      </c>
      <c r="I1542" s="1435"/>
      <c r="J1542" s="1446">
        <f t="shared" si="36"/>
        <v>0</v>
      </c>
      <c r="K1542" s="898">
        <v>450000</v>
      </c>
    </row>
    <row r="1543" spans="4:11" ht="22.8" hidden="1" customHeight="1">
      <c r="D1543" s="918">
        <v>11</v>
      </c>
      <c r="E1543" s="895"/>
      <c r="F1543" s="896" t="s">
        <v>673</v>
      </c>
      <c r="G1543" s="897" t="s">
        <v>135</v>
      </c>
      <c r="H1543" s="898">
        <v>2500000</v>
      </c>
      <c r="I1543" s="1435"/>
      <c r="J1543" s="1446">
        <f t="shared" si="36"/>
        <v>0</v>
      </c>
      <c r="K1543" s="898">
        <v>2500000</v>
      </c>
    </row>
    <row r="1544" spans="4:11" ht="22.8" hidden="1" customHeight="1">
      <c r="D1544" s="918">
        <v>12</v>
      </c>
      <c r="E1544" s="895"/>
      <c r="F1544" s="896" t="s">
        <v>674</v>
      </c>
      <c r="G1544" s="897" t="s">
        <v>135</v>
      </c>
      <c r="H1544" s="898">
        <v>650000</v>
      </c>
      <c r="I1544" s="1435"/>
      <c r="J1544" s="1446">
        <f t="shared" si="36"/>
        <v>0</v>
      </c>
      <c r="K1544" s="898">
        <v>650000</v>
      </c>
    </row>
    <row r="1545" spans="4:11" ht="22.8" hidden="1" customHeight="1">
      <c r="D1545" s="918">
        <v>13</v>
      </c>
      <c r="E1545" s="895"/>
      <c r="F1545" s="896" t="s">
        <v>675</v>
      </c>
      <c r="G1545" s="897" t="s">
        <v>135</v>
      </c>
      <c r="H1545" s="898">
        <v>3000000</v>
      </c>
      <c r="I1545" s="1435"/>
      <c r="J1545" s="1446">
        <f t="shared" si="36"/>
        <v>0</v>
      </c>
      <c r="K1545" s="898">
        <v>3000000</v>
      </c>
    </row>
    <row r="1546" spans="4:11" ht="22.8" hidden="1" customHeight="1">
      <c r="D1546" s="918">
        <v>14</v>
      </c>
      <c r="E1546" s="895"/>
      <c r="F1546" s="896" t="s">
        <v>676</v>
      </c>
      <c r="G1546" s="897" t="s">
        <v>44</v>
      </c>
      <c r="H1546" s="898">
        <v>70000</v>
      </c>
      <c r="I1546" s="1435"/>
      <c r="J1546" s="1446">
        <f t="shared" si="36"/>
        <v>0</v>
      </c>
      <c r="K1546" s="898">
        <v>70000</v>
      </c>
    </row>
    <row r="1547" spans="4:11" ht="22.8" hidden="1" customHeight="1">
      <c r="D1547" s="918">
        <v>15</v>
      </c>
      <c r="E1547" s="895"/>
      <c r="F1547" s="896" t="s">
        <v>677</v>
      </c>
      <c r="G1547" s="897" t="s">
        <v>113</v>
      </c>
      <c r="H1547" s="898">
        <v>55000</v>
      </c>
      <c r="I1547" s="1435"/>
      <c r="J1547" s="1446">
        <f t="shared" si="36"/>
        <v>0</v>
      </c>
      <c r="K1547" s="898">
        <v>55000</v>
      </c>
    </row>
    <row r="1548" spans="4:11" ht="22.8" hidden="1" customHeight="1">
      <c r="D1548" s="918">
        <v>16</v>
      </c>
      <c r="E1548" s="895"/>
      <c r="F1548" s="896" t="s">
        <v>677</v>
      </c>
      <c r="G1548" s="897" t="s">
        <v>44</v>
      </c>
      <c r="H1548" s="898">
        <v>50000</v>
      </c>
      <c r="I1548" s="1435"/>
      <c r="J1548" s="1446">
        <f t="shared" si="36"/>
        <v>0</v>
      </c>
      <c r="K1548" s="898">
        <v>50000</v>
      </c>
    </row>
    <row r="1549" spans="4:11" ht="22.8" customHeight="1">
      <c r="D1549" s="1423">
        <v>108</v>
      </c>
      <c r="E1549" s="895"/>
      <c r="F1549" s="896" t="s">
        <v>678</v>
      </c>
      <c r="G1549" s="897" t="s">
        <v>44</v>
      </c>
      <c r="H1549" s="894">
        <v>25000</v>
      </c>
      <c r="I1549" s="1435">
        <v>199900</v>
      </c>
      <c r="J1549" s="1446">
        <f t="shared" si="36"/>
        <v>179910</v>
      </c>
      <c r="K1549" s="898">
        <v>44700</v>
      </c>
    </row>
    <row r="1550" spans="4:11" ht="22.8" hidden="1" customHeight="1">
      <c r="D1550" s="918">
        <v>18</v>
      </c>
      <c r="E1550" s="895"/>
      <c r="F1550" s="896" t="s">
        <v>679</v>
      </c>
      <c r="G1550" s="897" t="s">
        <v>44</v>
      </c>
      <c r="H1550" s="898">
        <v>120000</v>
      </c>
      <c r="I1550" s="1435"/>
      <c r="J1550" s="1446">
        <f t="shared" si="36"/>
        <v>0</v>
      </c>
      <c r="K1550" s="898">
        <v>120000</v>
      </c>
    </row>
    <row r="1551" spans="4:11" ht="22.8" customHeight="1">
      <c r="D1551" s="918">
        <v>19</v>
      </c>
      <c r="E1551" s="895"/>
      <c r="F1551" s="896" t="s">
        <v>680</v>
      </c>
      <c r="G1551" s="897" t="s">
        <v>135</v>
      </c>
      <c r="H1551" s="898">
        <v>20000000</v>
      </c>
      <c r="I1551" s="1442"/>
      <c r="J1551" s="1446">
        <f t="shared" si="36"/>
        <v>0</v>
      </c>
      <c r="K1551" s="898">
        <v>20000000</v>
      </c>
    </row>
    <row r="1552" spans="4:11" ht="22.8" customHeight="1">
      <c r="D1552" s="918">
        <v>20</v>
      </c>
      <c r="E1552" s="895"/>
      <c r="F1552" s="896" t="s">
        <v>681</v>
      </c>
      <c r="G1552" s="897" t="s">
        <v>135</v>
      </c>
      <c r="H1552" s="898">
        <v>1000000</v>
      </c>
      <c r="I1552" s="1442"/>
      <c r="J1552" s="1446">
        <f t="shared" si="36"/>
        <v>0</v>
      </c>
      <c r="K1552" s="898">
        <v>1000000</v>
      </c>
    </row>
    <row r="1553" spans="4:11" ht="22.8" customHeight="1">
      <c r="D1553" s="918">
        <v>21</v>
      </c>
      <c r="E1553" s="895"/>
      <c r="F1553" s="896" t="s">
        <v>682</v>
      </c>
      <c r="G1553" s="897" t="s">
        <v>135</v>
      </c>
      <c r="H1553" s="898">
        <v>1500000</v>
      </c>
      <c r="I1553" s="1442"/>
      <c r="J1553" s="1446">
        <f t="shared" si="36"/>
        <v>0</v>
      </c>
      <c r="K1553" s="898">
        <v>1500000</v>
      </c>
    </row>
    <row r="1554" spans="4:11" ht="22.8" hidden="1" customHeight="1">
      <c r="D1554" s="918">
        <v>22</v>
      </c>
      <c r="E1554" s="895"/>
      <c r="F1554" s="896" t="s">
        <v>683</v>
      </c>
      <c r="G1554" s="897" t="s">
        <v>44</v>
      </c>
      <c r="H1554" s="898">
        <v>100000</v>
      </c>
      <c r="I1554" s="1435"/>
      <c r="J1554" s="1446">
        <f t="shared" si="36"/>
        <v>0</v>
      </c>
      <c r="K1554" s="898">
        <v>100000</v>
      </c>
    </row>
    <row r="1555" spans="4:11" ht="22.8" hidden="1" customHeight="1">
      <c r="D1555" s="918">
        <v>23</v>
      </c>
      <c r="E1555" s="895"/>
      <c r="F1555" s="896" t="s">
        <v>684</v>
      </c>
      <c r="G1555" s="897" t="s">
        <v>44</v>
      </c>
      <c r="H1555" s="898">
        <v>1490000</v>
      </c>
      <c r="I1555" s="1435"/>
      <c r="J1555" s="1446">
        <f t="shared" si="36"/>
        <v>0</v>
      </c>
      <c r="K1555" s="898">
        <v>1490000</v>
      </c>
    </row>
    <row r="1556" spans="4:11" ht="22.8" customHeight="1">
      <c r="D1556" s="1423">
        <v>108</v>
      </c>
      <c r="E1556" s="895"/>
      <c r="F1556" s="896" t="s">
        <v>685</v>
      </c>
      <c r="G1556" s="897" t="s">
        <v>44</v>
      </c>
      <c r="H1556" s="894">
        <f t="shared" ref="H1556:H1606" si="37">J1556</f>
        <v>386550</v>
      </c>
      <c r="I1556" s="1435">
        <v>429500</v>
      </c>
      <c r="J1556" s="1446">
        <f t="shared" si="36"/>
        <v>386550</v>
      </c>
      <c r="K1556" s="898">
        <v>250000</v>
      </c>
    </row>
    <row r="1557" spans="4:11" ht="22.8" hidden="1" customHeight="1">
      <c r="D1557" s="918">
        <v>25</v>
      </c>
      <c r="E1557" s="895"/>
      <c r="F1557" s="896" t="s">
        <v>686</v>
      </c>
      <c r="G1557" s="897" t="s">
        <v>135</v>
      </c>
      <c r="H1557" s="894">
        <f t="shared" si="37"/>
        <v>0</v>
      </c>
      <c r="I1557" s="1435"/>
      <c r="J1557" s="1446">
        <f t="shared" si="36"/>
        <v>0</v>
      </c>
      <c r="K1557" s="898">
        <v>30000000</v>
      </c>
    </row>
    <row r="1558" spans="4:11" ht="22.8" hidden="1" customHeight="1">
      <c r="D1558" s="918">
        <v>26</v>
      </c>
      <c r="E1558" s="895"/>
      <c r="F1558" s="896" t="s">
        <v>687</v>
      </c>
      <c r="G1558" s="897" t="s">
        <v>135</v>
      </c>
      <c r="H1558" s="894">
        <f t="shared" si="37"/>
        <v>0</v>
      </c>
      <c r="I1558" s="1435"/>
      <c r="J1558" s="1446">
        <f t="shared" si="36"/>
        <v>0</v>
      </c>
      <c r="K1558" s="898">
        <v>310000000</v>
      </c>
    </row>
    <row r="1559" spans="4:11" ht="22.8" hidden="1" customHeight="1">
      <c r="D1559" s="918">
        <v>27</v>
      </c>
      <c r="E1559" s="895"/>
      <c r="F1559" s="896" t="s">
        <v>688</v>
      </c>
      <c r="G1559" s="897" t="s">
        <v>135</v>
      </c>
      <c r="H1559" s="894">
        <f t="shared" si="37"/>
        <v>0</v>
      </c>
      <c r="I1559" s="1435"/>
      <c r="J1559" s="1446">
        <f t="shared" si="36"/>
        <v>0</v>
      </c>
      <c r="K1559" s="898">
        <v>390000000</v>
      </c>
    </row>
    <row r="1560" spans="4:11" ht="22.8" hidden="1" customHeight="1">
      <c r="D1560" s="918">
        <v>28</v>
      </c>
      <c r="E1560" s="895"/>
      <c r="F1560" s="896" t="s">
        <v>689</v>
      </c>
      <c r="G1560" s="897" t="s">
        <v>135</v>
      </c>
      <c r="H1560" s="894">
        <f t="shared" si="37"/>
        <v>0</v>
      </c>
      <c r="I1560" s="1435"/>
      <c r="J1560" s="1446">
        <f t="shared" si="36"/>
        <v>0</v>
      </c>
      <c r="K1560" s="898">
        <v>465000000</v>
      </c>
    </row>
    <row r="1561" spans="4:11" ht="22.8" hidden="1" customHeight="1">
      <c r="D1561" s="918">
        <v>29</v>
      </c>
      <c r="E1561" s="895"/>
      <c r="F1561" s="896" t="s">
        <v>690</v>
      </c>
      <c r="G1561" s="897" t="s">
        <v>135</v>
      </c>
      <c r="H1561" s="894">
        <f t="shared" si="37"/>
        <v>0</v>
      </c>
      <c r="I1561" s="1435"/>
      <c r="J1561" s="1446">
        <f t="shared" si="36"/>
        <v>0</v>
      </c>
      <c r="K1561" s="898">
        <v>70000000</v>
      </c>
    </row>
    <row r="1562" spans="4:11" ht="22.8" hidden="1" customHeight="1">
      <c r="D1562" s="918">
        <v>30</v>
      </c>
      <c r="E1562" s="895"/>
      <c r="F1562" s="896" t="s">
        <v>691</v>
      </c>
      <c r="G1562" s="897" t="s">
        <v>135</v>
      </c>
      <c r="H1562" s="894">
        <f t="shared" si="37"/>
        <v>0</v>
      </c>
      <c r="I1562" s="1435"/>
      <c r="J1562" s="1446">
        <f t="shared" si="36"/>
        <v>0</v>
      </c>
      <c r="K1562" s="898">
        <v>135000000</v>
      </c>
    </row>
    <row r="1563" spans="4:11" ht="22.8" hidden="1" customHeight="1">
      <c r="D1563" s="918">
        <v>31</v>
      </c>
      <c r="E1563" s="895"/>
      <c r="F1563" s="896" t="s">
        <v>692</v>
      </c>
      <c r="G1563" s="897" t="s">
        <v>135</v>
      </c>
      <c r="H1563" s="894">
        <f t="shared" si="37"/>
        <v>0</v>
      </c>
      <c r="I1563" s="1435"/>
      <c r="J1563" s="1446">
        <f t="shared" si="36"/>
        <v>0</v>
      </c>
      <c r="K1563" s="898">
        <v>245000000</v>
      </c>
    </row>
    <row r="1564" spans="4:11" ht="22.8" customHeight="1">
      <c r="D1564" s="1423">
        <v>108</v>
      </c>
      <c r="E1564" s="895"/>
      <c r="F1564" s="896" t="s">
        <v>693</v>
      </c>
      <c r="G1564" s="897" t="s">
        <v>44</v>
      </c>
      <c r="H1564" s="894">
        <f t="shared" si="37"/>
        <v>26280</v>
      </c>
      <c r="I1564" s="1435">
        <v>29200</v>
      </c>
      <c r="J1564" s="1446">
        <f t="shared" si="36"/>
        <v>26280</v>
      </c>
      <c r="K1564" s="898">
        <v>41700</v>
      </c>
    </row>
    <row r="1565" spans="4:11" ht="22.8" hidden="1" customHeight="1">
      <c r="D1565" s="918">
        <v>33</v>
      </c>
      <c r="E1565" s="895"/>
      <c r="F1565" s="896" t="s">
        <v>694</v>
      </c>
      <c r="G1565" s="897" t="s">
        <v>44</v>
      </c>
      <c r="H1565" s="894">
        <f t="shared" si="37"/>
        <v>0</v>
      </c>
      <c r="I1565" s="1435"/>
      <c r="J1565" s="1446">
        <f t="shared" si="36"/>
        <v>0</v>
      </c>
      <c r="K1565" s="898">
        <v>700000</v>
      </c>
    </row>
    <row r="1566" spans="4:11" ht="22.8" hidden="1" customHeight="1">
      <c r="D1566" s="918">
        <v>34</v>
      </c>
      <c r="E1566" s="895"/>
      <c r="F1566" s="896" t="s">
        <v>695</v>
      </c>
      <c r="G1566" s="897" t="s">
        <v>630</v>
      </c>
      <c r="H1566" s="894">
        <f t="shared" si="37"/>
        <v>0</v>
      </c>
      <c r="I1566" s="1435"/>
      <c r="J1566" s="1446">
        <f t="shared" si="36"/>
        <v>0</v>
      </c>
      <c r="K1566" s="898">
        <v>1000000</v>
      </c>
    </row>
    <row r="1567" spans="4:11" ht="22.8" hidden="1" customHeight="1">
      <c r="D1567" s="918">
        <v>35</v>
      </c>
      <c r="E1567" s="895"/>
      <c r="F1567" s="896" t="s">
        <v>696</v>
      </c>
      <c r="G1567" s="897" t="s">
        <v>135</v>
      </c>
      <c r="H1567" s="894">
        <f t="shared" si="37"/>
        <v>0</v>
      </c>
      <c r="I1567" s="1435"/>
      <c r="J1567" s="1446">
        <f t="shared" si="36"/>
        <v>0</v>
      </c>
      <c r="K1567" s="898">
        <v>1200000</v>
      </c>
    </row>
    <row r="1568" spans="4:11" ht="22.8" hidden="1" customHeight="1">
      <c r="D1568" s="918">
        <v>36</v>
      </c>
      <c r="E1568" s="895"/>
      <c r="F1568" s="896" t="s">
        <v>697</v>
      </c>
      <c r="G1568" s="897" t="s">
        <v>135</v>
      </c>
      <c r="H1568" s="894">
        <f t="shared" si="37"/>
        <v>0</v>
      </c>
      <c r="I1568" s="1435"/>
      <c r="J1568" s="1446">
        <f t="shared" si="36"/>
        <v>0</v>
      </c>
      <c r="K1568" s="898">
        <v>2970000</v>
      </c>
    </row>
    <row r="1569" spans="4:11" ht="22.8" hidden="1" customHeight="1">
      <c r="D1569" s="918">
        <v>37</v>
      </c>
      <c r="E1569" s="895"/>
      <c r="F1569" s="896" t="s">
        <v>698</v>
      </c>
      <c r="G1569" s="897" t="s">
        <v>135</v>
      </c>
      <c r="H1569" s="894">
        <f t="shared" si="37"/>
        <v>0</v>
      </c>
      <c r="I1569" s="1435"/>
      <c r="J1569" s="1446">
        <f t="shared" si="36"/>
        <v>0</v>
      </c>
      <c r="K1569" s="898">
        <v>2000000</v>
      </c>
    </row>
    <row r="1570" spans="4:11" ht="22.8" customHeight="1">
      <c r="D1570" s="1429">
        <v>36</v>
      </c>
      <c r="E1570" s="895"/>
      <c r="F1570" s="896" t="s">
        <v>699</v>
      </c>
      <c r="G1570" s="897" t="s">
        <v>135</v>
      </c>
      <c r="H1570" s="894">
        <f t="shared" si="37"/>
        <v>1575000</v>
      </c>
      <c r="I1570" s="1435">
        <v>1750000</v>
      </c>
      <c r="J1570" s="1446">
        <f t="shared" si="36"/>
        <v>1575000</v>
      </c>
      <c r="K1570" s="898">
        <v>900000</v>
      </c>
    </row>
    <row r="1571" spans="4:11" ht="22.8" hidden="1" customHeight="1">
      <c r="D1571" s="918">
        <v>39</v>
      </c>
      <c r="E1571" s="895"/>
      <c r="F1571" s="896" t="s">
        <v>700</v>
      </c>
      <c r="G1571" s="897" t="s">
        <v>135</v>
      </c>
      <c r="H1571" s="894">
        <f t="shared" si="37"/>
        <v>0</v>
      </c>
      <c r="I1571" s="1435"/>
      <c r="J1571" s="1446">
        <f t="shared" si="36"/>
        <v>0</v>
      </c>
      <c r="K1571" s="898">
        <v>1200000</v>
      </c>
    </row>
    <row r="1572" spans="4:11" ht="22.8" hidden="1" customHeight="1">
      <c r="D1572" s="918">
        <v>40</v>
      </c>
      <c r="E1572" s="895"/>
      <c r="F1572" s="896" t="s">
        <v>701</v>
      </c>
      <c r="G1572" s="897" t="s">
        <v>135</v>
      </c>
      <c r="H1572" s="894">
        <f t="shared" si="37"/>
        <v>0</v>
      </c>
      <c r="I1572" s="1435"/>
      <c r="J1572" s="1446">
        <f t="shared" si="36"/>
        <v>0</v>
      </c>
      <c r="K1572" s="898">
        <v>3500000</v>
      </c>
    </row>
    <row r="1573" spans="4:11" ht="22.8" hidden="1" customHeight="1">
      <c r="D1573" s="918">
        <v>41</v>
      </c>
      <c r="E1573" s="895"/>
      <c r="F1573" s="896" t="s">
        <v>702</v>
      </c>
      <c r="G1573" s="897" t="s">
        <v>135</v>
      </c>
      <c r="H1573" s="894">
        <f t="shared" si="37"/>
        <v>0</v>
      </c>
      <c r="I1573" s="1435"/>
      <c r="J1573" s="1446">
        <f t="shared" si="36"/>
        <v>0</v>
      </c>
      <c r="K1573" s="898">
        <v>1000000</v>
      </c>
    </row>
    <row r="1574" spans="4:11" ht="22.8" hidden="1" customHeight="1">
      <c r="D1574" s="918">
        <v>42</v>
      </c>
      <c r="E1574" s="895"/>
      <c r="F1574" s="896" t="s">
        <v>703</v>
      </c>
      <c r="G1574" s="897" t="s">
        <v>135</v>
      </c>
      <c r="H1574" s="894">
        <f t="shared" si="37"/>
        <v>0</v>
      </c>
      <c r="I1574" s="1435"/>
      <c r="J1574" s="1446">
        <f t="shared" si="36"/>
        <v>0</v>
      </c>
      <c r="K1574" s="898">
        <v>1000000</v>
      </c>
    </row>
    <row r="1575" spans="4:11" ht="22.8" hidden="1" customHeight="1">
      <c r="D1575" s="918">
        <v>43</v>
      </c>
      <c r="E1575" s="895"/>
      <c r="F1575" s="896" t="s">
        <v>704</v>
      </c>
      <c r="G1575" s="897" t="s">
        <v>135</v>
      </c>
      <c r="H1575" s="894">
        <f t="shared" si="37"/>
        <v>0</v>
      </c>
      <c r="I1575" s="1435"/>
      <c r="J1575" s="1446">
        <f t="shared" si="36"/>
        <v>0</v>
      </c>
      <c r="K1575" s="898">
        <v>17000000</v>
      </c>
    </row>
    <row r="1576" spans="4:11" ht="22.8" hidden="1" customHeight="1">
      <c r="D1576" s="918">
        <v>44</v>
      </c>
      <c r="E1576" s="895"/>
      <c r="F1576" s="896" t="s">
        <v>705</v>
      </c>
      <c r="G1576" s="897" t="s">
        <v>135</v>
      </c>
      <c r="H1576" s="894">
        <f t="shared" si="37"/>
        <v>0</v>
      </c>
      <c r="I1576" s="1435"/>
      <c r="J1576" s="1446">
        <f t="shared" si="36"/>
        <v>0</v>
      </c>
      <c r="K1576" s="898">
        <v>2850000</v>
      </c>
    </row>
    <row r="1577" spans="4:11" ht="22.8" hidden="1" customHeight="1">
      <c r="D1577" s="918">
        <v>45</v>
      </c>
      <c r="E1577" s="895"/>
      <c r="F1577" s="896" t="s">
        <v>706</v>
      </c>
      <c r="G1577" s="897" t="s">
        <v>135</v>
      </c>
      <c r="H1577" s="894">
        <f t="shared" si="37"/>
        <v>0</v>
      </c>
      <c r="I1577" s="1435"/>
      <c r="J1577" s="1446">
        <f t="shared" si="36"/>
        <v>0</v>
      </c>
      <c r="K1577" s="898">
        <v>4000000</v>
      </c>
    </row>
    <row r="1578" spans="4:11" ht="22.8" hidden="1" customHeight="1">
      <c r="D1578" s="918">
        <v>46</v>
      </c>
      <c r="E1578" s="895"/>
      <c r="F1578" s="896" t="s">
        <v>707</v>
      </c>
      <c r="G1578" s="897" t="s">
        <v>135</v>
      </c>
      <c r="H1578" s="894">
        <f t="shared" si="37"/>
        <v>0</v>
      </c>
      <c r="I1578" s="1435"/>
      <c r="J1578" s="1446">
        <f t="shared" si="36"/>
        <v>0</v>
      </c>
      <c r="K1578" s="898">
        <v>1300000</v>
      </c>
    </row>
    <row r="1579" spans="4:11" ht="22.8" hidden="1" customHeight="1">
      <c r="D1579" s="918">
        <v>47</v>
      </c>
      <c r="E1579" s="895"/>
      <c r="F1579" s="896" t="s">
        <v>708</v>
      </c>
      <c r="G1579" s="897" t="s">
        <v>135</v>
      </c>
      <c r="H1579" s="894">
        <f t="shared" si="37"/>
        <v>0</v>
      </c>
      <c r="I1579" s="1435"/>
      <c r="J1579" s="1446">
        <f t="shared" si="36"/>
        <v>0</v>
      </c>
      <c r="K1579" s="898">
        <v>2080000</v>
      </c>
    </row>
    <row r="1580" spans="4:11" ht="22.8" hidden="1" customHeight="1">
      <c r="D1580" s="918">
        <v>48</v>
      </c>
      <c r="E1580" s="895"/>
      <c r="F1580" s="896" t="s">
        <v>709</v>
      </c>
      <c r="G1580" s="897" t="s">
        <v>44</v>
      </c>
      <c r="H1580" s="894">
        <f t="shared" si="37"/>
        <v>0</v>
      </c>
      <c r="I1580" s="1435"/>
      <c r="J1580" s="1446">
        <f t="shared" si="36"/>
        <v>0</v>
      </c>
      <c r="K1580" s="898">
        <v>70000</v>
      </c>
    </row>
    <row r="1581" spans="4:11" ht="22.8" hidden="1" customHeight="1">
      <c r="D1581" s="918">
        <v>49</v>
      </c>
      <c r="E1581" s="895"/>
      <c r="F1581" s="896" t="s">
        <v>710</v>
      </c>
      <c r="G1581" s="897" t="s">
        <v>135</v>
      </c>
      <c r="H1581" s="894">
        <f t="shared" si="37"/>
        <v>0</v>
      </c>
      <c r="I1581" s="1435"/>
      <c r="J1581" s="1446">
        <f t="shared" si="36"/>
        <v>0</v>
      </c>
      <c r="K1581" s="898">
        <v>36000000</v>
      </c>
    </row>
    <row r="1582" spans="4:11" ht="22.8" hidden="1" customHeight="1">
      <c r="D1582" s="918">
        <v>50</v>
      </c>
      <c r="E1582" s="895"/>
      <c r="F1582" s="896" t="s">
        <v>711</v>
      </c>
      <c r="G1582" s="897" t="s">
        <v>135</v>
      </c>
      <c r="H1582" s="894">
        <f t="shared" si="37"/>
        <v>0</v>
      </c>
      <c r="I1582" s="1435"/>
      <c r="J1582" s="1446">
        <f t="shared" si="36"/>
        <v>0</v>
      </c>
      <c r="K1582" s="898">
        <v>6000000</v>
      </c>
    </row>
    <row r="1583" spans="4:11" ht="22.8" hidden="1" customHeight="1">
      <c r="D1583" s="918">
        <v>51</v>
      </c>
      <c r="E1583" s="895"/>
      <c r="F1583" s="896" t="s">
        <v>712</v>
      </c>
      <c r="G1583" s="897" t="s">
        <v>135</v>
      </c>
      <c r="H1583" s="894">
        <f t="shared" si="37"/>
        <v>0</v>
      </c>
      <c r="I1583" s="1435"/>
      <c r="J1583" s="1446">
        <f t="shared" si="36"/>
        <v>0</v>
      </c>
      <c r="K1583" s="898">
        <v>12000000</v>
      </c>
    </row>
    <row r="1584" spans="4:11" ht="22.8" hidden="1" customHeight="1">
      <c r="D1584" s="918">
        <v>52</v>
      </c>
      <c r="E1584" s="895"/>
      <c r="F1584" s="896" t="s">
        <v>713</v>
      </c>
      <c r="G1584" s="897" t="s">
        <v>135</v>
      </c>
      <c r="H1584" s="894">
        <f t="shared" si="37"/>
        <v>0</v>
      </c>
      <c r="I1584" s="1435"/>
      <c r="J1584" s="1446">
        <f t="shared" si="36"/>
        <v>0</v>
      </c>
      <c r="K1584" s="898">
        <v>48000000</v>
      </c>
    </row>
    <row r="1585" spans="4:11" ht="22.8" hidden="1" customHeight="1">
      <c r="D1585" s="918">
        <v>53</v>
      </c>
      <c r="E1585" s="895"/>
      <c r="F1585" s="896" t="s">
        <v>714</v>
      </c>
      <c r="G1585" s="897" t="s">
        <v>135</v>
      </c>
      <c r="H1585" s="894">
        <f t="shared" si="37"/>
        <v>0</v>
      </c>
      <c r="I1585" s="1435"/>
      <c r="J1585" s="1446">
        <f t="shared" si="36"/>
        <v>0</v>
      </c>
      <c r="K1585" s="898">
        <v>6400000</v>
      </c>
    </row>
    <row r="1586" spans="4:11" ht="22.8" hidden="1" customHeight="1">
      <c r="D1586" s="918">
        <v>54</v>
      </c>
      <c r="E1586" s="895"/>
      <c r="F1586" s="896" t="s">
        <v>715</v>
      </c>
      <c r="G1586" s="897" t="s">
        <v>135</v>
      </c>
      <c r="H1586" s="894">
        <f t="shared" si="37"/>
        <v>0</v>
      </c>
      <c r="I1586" s="1435"/>
      <c r="J1586" s="1446">
        <f t="shared" si="36"/>
        <v>0</v>
      </c>
      <c r="K1586" s="898">
        <v>15000000</v>
      </c>
    </row>
    <row r="1587" spans="4:11" ht="22.8" hidden="1" customHeight="1">
      <c r="D1587" s="918">
        <v>55</v>
      </c>
      <c r="E1587" s="895"/>
      <c r="F1587" s="896" t="s">
        <v>716</v>
      </c>
      <c r="G1587" s="897" t="s">
        <v>135</v>
      </c>
      <c r="H1587" s="894">
        <f t="shared" si="37"/>
        <v>0</v>
      </c>
      <c r="I1587" s="1435"/>
      <c r="J1587" s="1446">
        <f t="shared" si="36"/>
        <v>0</v>
      </c>
      <c r="K1587" s="898">
        <v>2500000</v>
      </c>
    </row>
    <row r="1588" spans="4:11" ht="22.8" hidden="1" customHeight="1">
      <c r="D1588" s="918">
        <v>56</v>
      </c>
      <c r="E1588" s="895"/>
      <c r="F1588" s="896" t="s">
        <v>717</v>
      </c>
      <c r="G1588" s="897" t="s">
        <v>135</v>
      </c>
      <c r="H1588" s="894">
        <f t="shared" si="37"/>
        <v>0</v>
      </c>
      <c r="I1588" s="1435"/>
      <c r="J1588" s="1446">
        <f t="shared" si="36"/>
        <v>0</v>
      </c>
      <c r="K1588" s="898">
        <v>4800000</v>
      </c>
    </row>
    <row r="1589" spans="4:11" ht="22.8" hidden="1" customHeight="1">
      <c r="D1589" s="918">
        <v>57</v>
      </c>
      <c r="E1589" s="895"/>
      <c r="F1589" s="896" t="s">
        <v>718</v>
      </c>
      <c r="G1589" s="897" t="s">
        <v>62</v>
      </c>
      <c r="H1589" s="894">
        <f t="shared" si="37"/>
        <v>0</v>
      </c>
      <c r="I1589" s="1435"/>
      <c r="J1589" s="1446">
        <f t="shared" si="36"/>
        <v>0</v>
      </c>
      <c r="K1589" s="898">
        <v>1200000</v>
      </c>
    </row>
    <row r="1590" spans="4:11" ht="22.8" hidden="1" customHeight="1">
      <c r="D1590" s="918">
        <v>58</v>
      </c>
      <c r="E1590" s="895"/>
      <c r="F1590" s="896" t="s">
        <v>719</v>
      </c>
      <c r="G1590" s="897" t="s">
        <v>135</v>
      </c>
      <c r="H1590" s="894">
        <f t="shared" si="37"/>
        <v>0</v>
      </c>
      <c r="I1590" s="1435"/>
      <c r="J1590" s="1446">
        <f t="shared" si="36"/>
        <v>0</v>
      </c>
      <c r="K1590" s="898">
        <v>3200000</v>
      </c>
    </row>
    <row r="1591" spans="4:11" ht="22.8" hidden="1" customHeight="1">
      <c r="D1591" s="918">
        <v>59</v>
      </c>
      <c r="E1591" s="895"/>
      <c r="F1591" s="896" t="s">
        <v>720</v>
      </c>
      <c r="G1591" s="897" t="s">
        <v>135</v>
      </c>
      <c r="H1591" s="894">
        <f t="shared" si="37"/>
        <v>0</v>
      </c>
      <c r="I1591" s="1435"/>
      <c r="J1591" s="1446">
        <f t="shared" si="36"/>
        <v>0</v>
      </c>
      <c r="K1591" s="898">
        <v>3500000</v>
      </c>
    </row>
    <row r="1592" spans="4:11" ht="22.8" hidden="1" customHeight="1">
      <c r="D1592" s="918">
        <v>60</v>
      </c>
      <c r="E1592" s="895"/>
      <c r="F1592" s="896" t="s">
        <v>721</v>
      </c>
      <c r="G1592" s="897" t="s">
        <v>135</v>
      </c>
      <c r="H1592" s="894">
        <f t="shared" si="37"/>
        <v>0</v>
      </c>
      <c r="I1592" s="1435"/>
      <c r="J1592" s="1446">
        <f t="shared" si="36"/>
        <v>0</v>
      </c>
      <c r="K1592" s="898">
        <v>3600000</v>
      </c>
    </row>
    <row r="1593" spans="4:11" ht="22.8" hidden="1" customHeight="1">
      <c r="D1593" s="918">
        <v>61</v>
      </c>
      <c r="E1593" s="895"/>
      <c r="F1593" s="896" t="s">
        <v>722</v>
      </c>
      <c r="G1593" s="897" t="s">
        <v>135</v>
      </c>
      <c r="H1593" s="894">
        <f t="shared" si="37"/>
        <v>0</v>
      </c>
      <c r="I1593" s="1435"/>
      <c r="J1593" s="1446">
        <f t="shared" si="36"/>
        <v>0</v>
      </c>
      <c r="K1593" s="898">
        <v>4600000</v>
      </c>
    </row>
    <row r="1594" spans="4:11" ht="22.8" hidden="1" customHeight="1">
      <c r="D1594" s="918">
        <v>62</v>
      </c>
      <c r="E1594" s="895"/>
      <c r="F1594" s="896" t="s">
        <v>723</v>
      </c>
      <c r="G1594" s="897" t="s">
        <v>135</v>
      </c>
      <c r="H1594" s="894">
        <f t="shared" si="37"/>
        <v>0</v>
      </c>
      <c r="I1594" s="1435"/>
      <c r="J1594" s="1446">
        <f t="shared" si="36"/>
        <v>0</v>
      </c>
      <c r="K1594" s="898">
        <v>16000000</v>
      </c>
    </row>
    <row r="1595" spans="4:11" ht="22.8" hidden="1" customHeight="1">
      <c r="D1595" s="918">
        <v>63</v>
      </c>
      <c r="E1595" s="895"/>
      <c r="F1595" s="896" t="s">
        <v>724</v>
      </c>
      <c r="G1595" s="897" t="s">
        <v>135</v>
      </c>
      <c r="H1595" s="894">
        <f t="shared" si="37"/>
        <v>0</v>
      </c>
      <c r="I1595" s="1435"/>
      <c r="J1595" s="1446">
        <f t="shared" si="36"/>
        <v>0</v>
      </c>
      <c r="K1595" s="898">
        <v>53200000</v>
      </c>
    </row>
    <row r="1596" spans="4:11" ht="22.8" hidden="1" customHeight="1">
      <c r="D1596" s="918">
        <v>64</v>
      </c>
      <c r="E1596" s="895"/>
      <c r="F1596" s="896" t="s">
        <v>725</v>
      </c>
      <c r="G1596" s="897" t="s">
        <v>135</v>
      </c>
      <c r="H1596" s="894">
        <f t="shared" si="37"/>
        <v>0</v>
      </c>
      <c r="I1596" s="1435"/>
      <c r="J1596" s="1446">
        <f t="shared" si="36"/>
        <v>0</v>
      </c>
      <c r="K1596" s="898">
        <v>19500000</v>
      </c>
    </row>
    <row r="1597" spans="4:11" ht="22.8" hidden="1" customHeight="1">
      <c r="D1597" s="918">
        <v>65</v>
      </c>
      <c r="E1597" s="895"/>
      <c r="F1597" s="896" t="s">
        <v>726</v>
      </c>
      <c r="G1597" s="897" t="s">
        <v>135</v>
      </c>
      <c r="H1597" s="894">
        <f t="shared" si="37"/>
        <v>0</v>
      </c>
      <c r="I1597" s="1435"/>
      <c r="J1597" s="1446">
        <f t="shared" si="36"/>
        <v>0</v>
      </c>
      <c r="K1597" s="898">
        <v>100000000</v>
      </c>
    </row>
    <row r="1598" spans="4:11" ht="22.8" hidden="1" customHeight="1">
      <c r="D1598" s="918">
        <v>66</v>
      </c>
      <c r="E1598" s="895"/>
      <c r="F1598" s="896" t="s">
        <v>727</v>
      </c>
      <c r="G1598" s="897" t="s">
        <v>135</v>
      </c>
      <c r="H1598" s="894">
        <f t="shared" si="37"/>
        <v>0</v>
      </c>
      <c r="I1598" s="1435"/>
      <c r="J1598" s="1446">
        <f t="shared" si="36"/>
        <v>0</v>
      </c>
      <c r="K1598" s="898">
        <v>33000000</v>
      </c>
    </row>
    <row r="1599" spans="4:11" ht="22.8" hidden="1" customHeight="1">
      <c r="D1599" s="918">
        <v>67</v>
      </c>
      <c r="E1599" s="895"/>
      <c r="F1599" s="896" t="s">
        <v>728</v>
      </c>
      <c r="G1599" s="897" t="s">
        <v>135</v>
      </c>
      <c r="H1599" s="894">
        <f t="shared" si="37"/>
        <v>0</v>
      </c>
      <c r="I1599" s="1435"/>
      <c r="J1599" s="1446">
        <f t="shared" si="36"/>
        <v>0</v>
      </c>
      <c r="K1599" s="898">
        <v>84000000</v>
      </c>
    </row>
    <row r="1600" spans="4:11" ht="22.8" hidden="1" customHeight="1">
      <c r="D1600" s="918">
        <v>68</v>
      </c>
      <c r="E1600" s="895"/>
      <c r="F1600" s="896" t="s">
        <v>729</v>
      </c>
      <c r="G1600" s="897" t="s">
        <v>135</v>
      </c>
      <c r="H1600" s="894">
        <f t="shared" si="37"/>
        <v>0</v>
      </c>
      <c r="I1600" s="1435"/>
      <c r="J1600" s="1446">
        <f t="shared" ref="J1600:J1663" si="38">I1600-(I1600*10%)</f>
        <v>0</v>
      </c>
      <c r="K1600" s="898">
        <v>500000</v>
      </c>
    </row>
    <row r="1601" spans="4:11" ht="22.8" hidden="1" customHeight="1">
      <c r="D1601" s="918">
        <v>69</v>
      </c>
      <c r="E1601" s="895"/>
      <c r="F1601" s="896" t="s">
        <v>730</v>
      </c>
      <c r="G1601" s="897" t="s">
        <v>44</v>
      </c>
      <c r="H1601" s="894">
        <f t="shared" si="37"/>
        <v>0</v>
      </c>
      <c r="I1601" s="1435"/>
      <c r="J1601" s="1446">
        <f t="shared" si="38"/>
        <v>0</v>
      </c>
      <c r="K1601" s="898">
        <v>150000</v>
      </c>
    </row>
    <row r="1602" spans="4:11" ht="22.8" hidden="1" customHeight="1">
      <c r="D1602" s="918">
        <v>70</v>
      </c>
      <c r="E1602" s="895"/>
      <c r="F1602" s="896" t="s">
        <v>731</v>
      </c>
      <c r="G1602" s="897" t="s">
        <v>44</v>
      </c>
      <c r="H1602" s="894">
        <f t="shared" si="37"/>
        <v>0</v>
      </c>
      <c r="I1602" s="1435"/>
      <c r="J1602" s="1446">
        <f t="shared" si="38"/>
        <v>0</v>
      </c>
      <c r="K1602" s="898">
        <v>4000</v>
      </c>
    </row>
    <row r="1603" spans="4:11" ht="22.8" hidden="1" customHeight="1">
      <c r="D1603" s="918">
        <v>71</v>
      </c>
      <c r="E1603" s="895"/>
      <c r="F1603" s="896" t="s">
        <v>732</v>
      </c>
      <c r="G1603" s="897" t="s">
        <v>44</v>
      </c>
      <c r="H1603" s="894">
        <f t="shared" si="37"/>
        <v>0</v>
      </c>
      <c r="I1603" s="1435"/>
      <c r="J1603" s="1446">
        <f t="shared" si="38"/>
        <v>0</v>
      </c>
      <c r="K1603" s="898">
        <v>6000</v>
      </c>
    </row>
    <row r="1604" spans="4:11" ht="22.8" hidden="1" customHeight="1">
      <c r="D1604" s="918">
        <v>72</v>
      </c>
      <c r="E1604" s="895"/>
      <c r="F1604" s="896" t="s">
        <v>733</v>
      </c>
      <c r="G1604" s="897" t="s">
        <v>135</v>
      </c>
      <c r="H1604" s="894">
        <f t="shared" si="37"/>
        <v>0</v>
      </c>
      <c r="I1604" s="1435"/>
      <c r="J1604" s="1446">
        <f t="shared" si="38"/>
        <v>0</v>
      </c>
      <c r="K1604" s="898">
        <v>8500000</v>
      </c>
    </row>
    <row r="1605" spans="4:11" ht="22.8" customHeight="1">
      <c r="D1605" s="1429">
        <v>36</v>
      </c>
      <c r="E1605" s="895"/>
      <c r="F1605" s="896" t="s">
        <v>734</v>
      </c>
      <c r="G1605" s="897" t="s">
        <v>135</v>
      </c>
      <c r="H1605" s="894">
        <f t="shared" si="37"/>
        <v>1573110</v>
      </c>
      <c r="I1605" s="1435">
        <v>1747900</v>
      </c>
      <c r="J1605" s="1446">
        <f t="shared" si="38"/>
        <v>1573110</v>
      </c>
      <c r="K1605" s="898">
        <v>1100000</v>
      </c>
    </row>
    <row r="1606" spans="4:11" ht="22.8" customHeight="1">
      <c r="D1606" s="1429">
        <v>36</v>
      </c>
      <c r="E1606" s="895"/>
      <c r="F1606" s="896" t="s">
        <v>735</v>
      </c>
      <c r="G1606" s="897" t="s">
        <v>135</v>
      </c>
      <c r="H1606" s="894">
        <f t="shared" si="37"/>
        <v>3295701</v>
      </c>
      <c r="I1606" s="1435">
        <v>3661890</v>
      </c>
      <c r="J1606" s="1446">
        <f t="shared" si="38"/>
        <v>3295701</v>
      </c>
      <c r="K1606" s="898">
        <v>1700000</v>
      </c>
    </row>
    <row r="1607" spans="4:11" ht="22.8" hidden="1" customHeight="1">
      <c r="D1607" s="918">
        <v>75</v>
      </c>
      <c r="E1607" s="895"/>
      <c r="F1607" s="896" t="s">
        <v>736</v>
      </c>
      <c r="G1607" s="897" t="s">
        <v>135</v>
      </c>
      <c r="H1607" s="898">
        <v>3400000</v>
      </c>
      <c r="I1607" s="1435"/>
      <c r="J1607" s="1446">
        <f t="shared" si="38"/>
        <v>0</v>
      </c>
      <c r="K1607" s="898">
        <v>3400000</v>
      </c>
    </row>
    <row r="1608" spans="4:11" ht="22.8" hidden="1" customHeight="1">
      <c r="D1608" s="918">
        <v>76</v>
      </c>
      <c r="E1608" s="895"/>
      <c r="F1608" s="896" t="s">
        <v>737</v>
      </c>
      <c r="G1608" s="897" t="s">
        <v>135</v>
      </c>
      <c r="H1608" s="898">
        <v>4600000</v>
      </c>
      <c r="I1608" s="1435"/>
      <c r="J1608" s="1446">
        <f t="shared" si="38"/>
        <v>0</v>
      </c>
      <c r="K1608" s="898">
        <v>4600000</v>
      </c>
    </row>
    <row r="1609" spans="4:11" ht="22.8" hidden="1" customHeight="1">
      <c r="D1609" s="918">
        <v>77</v>
      </c>
      <c r="E1609" s="895"/>
      <c r="F1609" s="896" t="s">
        <v>738</v>
      </c>
      <c r="G1609" s="897" t="s">
        <v>135</v>
      </c>
      <c r="H1609" s="898">
        <v>5500000</v>
      </c>
      <c r="I1609" s="1435"/>
      <c r="J1609" s="1446">
        <f t="shared" si="38"/>
        <v>0</v>
      </c>
      <c r="K1609" s="898">
        <v>5500000</v>
      </c>
    </row>
    <row r="1610" spans="4:11" ht="22.8" hidden="1" customHeight="1">
      <c r="D1610" s="918">
        <v>78</v>
      </c>
      <c r="E1610" s="895"/>
      <c r="F1610" s="896" t="s">
        <v>739</v>
      </c>
      <c r="G1610" s="897" t="s">
        <v>135</v>
      </c>
      <c r="H1610" s="898">
        <v>6900000</v>
      </c>
      <c r="I1610" s="1435"/>
      <c r="J1610" s="1446">
        <f t="shared" si="38"/>
        <v>0</v>
      </c>
      <c r="K1610" s="898">
        <v>6900000</v>
      </c>
    </row>
    <row r="1611" spans="4:11" ht="22.8" hidden="1" customHeight="1">
      <c r="D1611" s="918">
        <v>79</v>
      </c>
      <c r="E1611" s="895"/>
      <c r="F1611" s="896" t="s">
        <v>740</v>
      </c>
      <c r="G1611" s="897" t="s">
        <v>135</v>
      </c>
      <c r="H1611" s="898">
        <v>7100000</v>
      </c>
      <c r="I1611" s="1435"/>
      <c r="J1611" s="1446">
        <f t="shared" si="38"/>
        <v>0</v>
      </c>
      <c r="K1611" s="898">
        <v>7100000</v>
      </c>
    </row>
    <row r="1612" spans="4:11" ht="22.8" hidden="1" customHeight="1">
      <c r="D1612" s="918">
        <v>80</v>
      </c>
      <c r="E1612" s="895"/>
      <c r="F1612" s="896" t="s">
        <v>741</v>
      </c>
      <c r="G1612" s="897" t="s">
        <v>135</v>
      </c>
      <c r="H1612" s="898">
        <v>7850000</v>
      </c>
      <c r="I1612" s="1435"/>
      <c r="J1612" s="1446">
        <f t="shared" si="38"/>
        <v>0</v>
      </c>
      <c r="K1612" s="898">
        <v>7850000</v>
      </c>
    </row>
    <row r="1613" spans="4:11" ht="22.8" hidden="1" customHeight="1">
      <c r="D1613" s="918">
        <v>81</v>
      </c>
      <c r="E1613" s="895"/>
      <c r="F1613" s="896" t="s">
        <v>3758</v>
      </c>
      <c r="G1613" s="897" t="s">
        <v>3182</v>
      </c>
      <c r="H1613" s="898">
        <v>15000000</v>
      </c>
      <c r="I1613" s="1435"/>
      <c r="J1613" s="1446">
        <f t="shared" si="38"/>
        <v>0</v>
      </c>
      <c r="K1613" s="898">
        <v>15000000</v>
      </c>
    </row>
    <row r="1614" spans="4:11" ht="22.8" hidden="1" customHeight="1">
      <c r="D1614" s="918">
        <v>82</v>
      </c>
      <c r="E1614" s="895"/>
      <c r="F1614" s="896" t="s">
        <v>8084</v>
      </c>
      <c r="G1614" s="897" t="s">
        <v>3409</v>
      </c>
      <c r="H1614" s="898">
        <v>12500000</v>
      </c>
      <c r="I1614" s="1435"/>
      <c r="J1614" s="1446">
        <f t="shared" si="38"/>
        <v>0</v>
      </c>
      <c r="K1614" s="898">
        <v>12500000</v>
      </c>
    </row>
    <row r="1615" spans="4:11" ht="22.8" hidden="1" customHeight="1">
      <c r="D1615" s="918">
        <v>83</v>
      </c>
      <c r="E1615" s="895"/>
      <c r="F1615" s="896" t="s">
        <v>8087</v>
      </c>
      <c r="G1615" s="897" t="s">
        <v>3409</v>
      </c>
      <c r="H1615" s="898">
        <v>12000000</v>
      </c>
      <c r="I1615" s="1435"/>
      <c r="J1615" s="1446">
        <f t="shared" si="38"/>
        <v>0</v>
      </c>
      <c r="K1615" s="898">
        <v>12000000</v>
      </c>
    </row>
    <row r="1616" spans="4:11" ht="22.8" customHeight="1">
      <c r="D1616" s="1429">
        <v>36</v>
      </c>
      <c r="E1616" s="895"/>
      <c r="F1616" s="896" t="s">
        <v>3761</v>
      </c>
      <c r="G1616" s="897" t="s">
        <v>3409</v>
      </c>
      <c r="H1616" s="898">
        <v>650000</v>
      </c>
      <c r="I1616" s="1442"/>
      <c r="J1616" s="1446">
        <f t="shared" si="38"/>
        <v>0</v>
      </c>
      <c r="K1616" s="898">
        <v>650000</v>
      </c>
    </row>
    <row r="1617" spans="4:11" ht="22.8" hidden="1" customHeight="1">
      <c r="D1617" s="918">
        <v>85</v>
      </c>
      <c r="E1617" s="895"/>
      <c r="F1617" s="896" t="s">
        <v>3774</v>
      </c>
      <c r="G1617" s="897" t="s">
        <v>135</v>
      </c>
      <c r="H1617" s="898">
        <v>730000</v>
      </c>
      <c r="I1617" s="1435"/>
      <c r="J1617" s="1446">
        <f t="shared" si="38"/>
        <v>0</v>
      </c>
      <c r="K1617" s="898">
        <v>730000</v>
      </c>
    </row>
    <row r="1618" spans="4:11" ht="22.8" hidden="1" customHeight="1">
      <c r="D1618" s="918">
        <v>86</v>
      </c>
      <c r="E1618" s="895"/>
      <c r="F1618" s="896" t="s">
        <v>3804</v>
      </c>
      <c r="G1618" s="897" t="s">
        <v>42</v>
      </c>
      <c r="H1618" s="898">
        <v>45000</v>
      </c>
      <c r="I1618" s="1435"/>
      <c r="J1618" s="1446">
        <f t="shared" si="38"/>
        <v>0</v>
      </c>
      <c r="K1618" s="898">
        <v>45000</v>
      </c>
    </row>
    <row r="1619" spans="4:11" ht="22.8" hidden="1" customHeight="1">
      <c r="D1619" s="918">
        <v>87</v>
      </c>
      <c r="E1619" s="895"/>
      <c r="F1619" s="896" t="s">
        <v>8091</v>
      </c>
      <c r="G1619" s="897" t="s">
        <v>62</v>
      </c>
      <c r="H1619" s="898">
        <v>65000</v>
      </c>
      <c r="I1619" s="1435"/>
      <c r="J1619" s="1446">
        <f t="shared" si="38"/>
        <v>0</v>
      </c>
      <c r="K1619" s="898">
        <v>65000</v>
      </c>
    </row>
    <row r="1620" spans="4:11" ht="22.8" hidden="1" customHeight="1">
      <c r="D1620" s="918">
        <v>88</v>
      </c>
      <c r="E1620" s="895"/>
      <c r="F1620" s="896" t="s">
        <v>1946</v>
      </c>
      <c r="G1620" s="897" t="s">
        <v>42</v>
      </c>
      <c r="H1620" s="898">
        <v>150000</v>
      </c>
      <c r="I1620" s="1435"/>
      <c r="J1620" s="1446">
        <f t="shared" si="38"/>
        <v>0</v>
      </c>
      <c r="K1620" s="898">
        <v>150000</v>
      </c>
    </row>
    <row r="1621" spans="4:11" ht="22.8" hidden="1" customHeight="1">
      <c r="D1621" s="918">
        <v>89</v>
      </c>
      <c r="E1621" s="895"/>
      <c r="F1621" s="896" t="s">
        <v>4690</v>
      </c>
      <c r="G1621" s="897" t="s">
        <v>2167</v>
      </c>
      <c r="H1621" s="898">
        <v>93000</v>
      </c>
      <c r="I1621" s="1435"/>
      <c r="J1621" s="1446">
        <f t="shared" si="38"/>
        <v>0</v>
      </c>
      <c r="K1621" s="898">
        <v>93000</v>
      </c>
    </row>
    <row r="1622" spans="4:11" ht="22.8" hidden="1" customHeight="1">
      <c r="D1622" s="918">
        <v>90</v>
      </c>
      <c r="E1622" s="895"/>
      <c r="F1622" s="896" t="s">
        <v>4691</v>
      </c>
      <c r="G1622" s="897" t="s">
        <v>2167</v>
      </c>
      <c r="H1622" s="898">
        <v>110250</v>
      </c>
      <c r="I1622" s="1435"/>
      <c r="J1622" s="1446">
        <f t="shared" si="38"/>
        <v>0</v>
      </c>
      <c r="K1622" s="898">
        <v>110250</v>
      </c>
    </row>
    <row r="1623" spans="4:11" ht="22.8" hidden="1" customHeight="1">
      <c r="D1623" s="918">
        <v>91</v>
      </c>
      <c r="E1623" s="895"/>
      <c r="F1623" s="896" t="s">
        <v>4689</v>
      </c>
      <c r="G1623" s="897" t="s">
        <v>2167</v>
      </c>
      <c r="H1623" s="898">
        <v>115000</v>
      </c>
      <c r="I1623" s="1435"/>
      <c r="J1623" s="1446">
        <f t="shared" si="38"/>
        <v>0</v>
      </c>
      <c r="K1623" s="898">
        <v>115000</v>
      </c>
    </row>
    <row r="1624" spans="4:11" ht="22.8" hidden="1" customHeight="1">
      <c r="D1624" s="918">
        <v>92</v>
      </c>
      <c r="E1624" s="895"/>
      <c r="F1624" s="896" t="s">
        <v>4692</v>
      </c>
      <c r="G1624" s="897" t="s">
        <v>2167</v>
      </c>
      <c r="H1624" s="898">
        <v>125500</v>
      </c>
      <c r="I1624" s="1435"/>
      <c r="J1624" s="1446">
        <f t="shared" si="38"/>
        <v>0</v>
      </c>
      <c r="K1624" s="898">
        <v>125500</v>
      </c>
    </row>
    <row r="1625" spans="4:11" ht="22.8" hidden="1" customHeight="1">
      <c r="D1625" s="918">
        <v>93</v>
      </c>
      <c r="E1625" s="895"/>
      <c r="F1625" s="896" t="s">
        <v>4693</v>
      </c>
      <c r="G1625" s="897" t="s">
        <v>2167</v>
      </c>
      <c r="H1625" s="898">
        <v>150600</v>
      </c>
      <c r="I1625" s="1435"/>
      <c r="J1625" s="1446">
        <f t="shared" si="38"/>
        <v>0</v>
      </c>
      <c r="K1625" s="898">
        <v>150600</v>
      </c>
    </row>
    <row r="1626" spans="4:11" ht="22.8" hidden="1" customHeight="1">
      <c r="D1626" s="918">
        <v>94</v>
      </c>
      <c r="E1626" s="895"/>
      <c r="F1626" s="896" t="s">
        <v>4688</v>
      </c>
      <c r="G1626" s="897" t="s">
        <v>2167</v>
      </c>
      <c r="H1626" s="898">
        <v>190000</v>
      </c>
      <c r="I1626" s="1435"/>
      <c r="J1626" s="1446">
        <f t="shared" si="38"/>
        <v>0</v>
      </c>
      <c r="K1626" s="898">
        <v>190000</v>
      </c>
    </row>
    <row r="1627" spans="4:11" ht="22.8" hidden="1" customHeight="1">
      <c r="D1627" s="918">
        <v>95</v>
      </c>
      <c r="E1627" s="895"/>
      <c r="F1627" s="896" t="s">
        <v>4682</v>
      </c>
      <c r="G1627" s="897" t="s">
        <v>2167</v>
      </c>
      <c r="H1627" s="898">
        <v>75000</v>
      </c>
      <c r="I1627" s="1435"/>
      <c r="J1627" s="1446">
        <f t="shared" si="38"/>
        <v>0</v>
      </c>
      <c r="K1627" s="898">
        <v>75000</v>
      </c>
    </row>
    <row r="1628" spans="4:11" ht="22.8" hidden="1" customHeight="1">
      <c r="D1628" s="918">
        <v>96</v>
      </c>
      <c r="E1628" s="895"/>
      <c r="F1628" s="896" t="s">
        <v>4681</v>
      </c>
      <c r="G1628" s="897" t="s">
        <v>2167</v>
      </c>
      <c r="H1628" s="898">
        <v>120000</v>
      </c>
      <c r="I1628" s="1435"/>
      <c r="J1628" s="1446">
        <f t="shared" si="38"/>
        <v>0</v>
      </c>
      <c r="K1628" s="898">
        <v>120000</v>
      </c>
    </row>
    <row r="1629" spans="4:11" ht="22.8" hidden="1" customHeight="1">
      <c r="D1629" s="918">
        <v>97</v>
      </c>
      <c r="E1629" s="895"/>
      <c r="F1629" s="896" t="s">
        <v>4680</v>
      </c>
      <c r="G1629" s="897" t="s">
        <v>2167</v>
      </c>
      <c r="H1629" s="898">
        <v>150000</v>
      </c>
      <c r="I1629" s="1435"/>
      <c r="J1629" s="1446">
        <f t="shared" si="38"/>
        <v>0</v>
      </c>
      <c r="K1629" s="898">
        <v>150000</v>
      </c>
    </row>
    <row r="1630" spans="4:11" ht="22.8" hidden="1" customHeight="1">
      <c r="D1630" s="918">
        <v>98</v>
      </c>
      <c r="E1630" s="895"/>
      <c r="F1630" s="896" t="s">
        <v>4679</v>
      </c>
      <c r="G1630" s="897" t="s">
        <v>2167</v>
      </c>
      <c r="H1630" s="898">
        <v>250000</v>
      </c>
      <c r="I1630" s="1435"/>
      <c r="J1630" s="1446">
        <f t="shared" si="38"/>
        <v>0</v>
      </c>
      <c r="K1630" s="898">
        <v>250000</v>
      </c>
    </row>
    <row r="1631" spans="4:11" ht="22.8" hidden="1" customHeight="1">
      <c r="D1631" s="918">
        <v>99</v>
      </c>
      <c r="E1631" s="895"/>
      <c r="F1631" s="896" t="s">
        <v>3805</v>
      </c>
      <c r="G1631" s="897" t="s">
        <v>2167</v>
      </c>
      <c r="H1631" s="898">
        <v>255400</v>
      </c>
      <c r="I1631" s="1435"/>
      <c r="J1631" s="1446">
        <f t="shared" si="38"/>
        <v>0</v>
      </c>
      <c r="K1631" s="898">
        <v>255400</v>
      </c>
    </row>
    <row r="1632" spans="4:11" ht="22.8" hidden="1" customHeight="1">
      <c r="D1632" s="918">
        <v>100</v>
      </c>
      <c r="E1632" s="895"/>
      <c r="F1632" s="896" t="s">
        <v>4678</v>
      </c>
      <c r="G1632" s="897" t="s">
        <v>2167</v>
      </c>
      <c r="H1632" s="898">
        <v>269500</v>
      </c>
      <c r="I1632" s="1435"/>
      <c r="J1632" s="1446">
        <f t="shared" si="38"/>
        <v>0</v>
      </c>
      <c r="K1632" s="898">
        <v>269500</v>
      </c>
    </row>
    <row r="1633" spans="4:11" ht="22.8" customHeight="1">
      <c r="D1633" s="1428">
        <v>3</v>
      </c>
      <c r="E1633" s="895"/>
      <c r="F1633" s="896" t="s">
        <v>2552</v>
      </c>
      <c r="G1633" s="897" t="s">
        <v>2426</v>
      </c>
      <c r="H1633" s="894">
        <f t="shared" ref="H1633:H1652" si="39">J1633</f>
        <v>10800</v>
      </c>
      <c r="I1633" s="1435">
        <v>12000</v>
      </c>
      <c r="J1633" s="1446">
        <f t="shared" si="38"/>
        <v>10800</v>
      </c>
      <c r="K1633" s="898">
        <v>7000</v>
      </c>
    </row>
    <row r="1634" spans="4:11" ht="22.8" hidden="1" customHeight="1">
      <c r="D1634" s="918">
        <v>102</v>
      </c>
      <c r="E1634" s="895"/>
      <c r="F1634" s="896" t="s">
        <v>3802</v>
      </c>
      <c r="G1634" s="897" t="s">
        <v>42</v>
      </c>
      <c r="H1634" s="894">
        <f t="shared" si="39"/>
        <v>0</v>
      </c>
      <c r="I1634" s="1435"/>
      <c r="J1634" s="1446">
        <f t="shared" si="38"/>
        <v>0</v>
      </c>
      <c r="K1634" s="898">
        <v>825000</v>
      </c>
    </row>
    <row r="1635" spans="4:11" ht="22.8" hidden="1" customHeight="1">
      <c r="D1635" s="918">
        <v>103</v>
      </c>
      <c r="E1635" s="895"/>
      <c r="F1635" s="896" t="s">
        <v>3806</v>
      </c>
      <c r="G1635" s="897" t="s">
        <v>65</v>
      </c>
      <c r="H1635" s="894">
        <f t="shared" si="39"/>
        <v>0</v>
      </c>
      <c r="I1635" s="1435"/>
      <c r="J1635" s="1446">
        <f t="shared" si="38"/>
        <v>0</v>
      </c>
      <c r="K1635" s="898">
        <v>10300</v>
      </c>
    </row>
    <row r="1636" spans="4:11" ht="22.8" hidden="1" customHeight="1">
      <c r="D1636" s="918">
        <v>104</v>
      </c>
      <c r="E1636" s="895"/>
      <c r="F1636" s="896" t="s">
        <v>1947</v>
      </c>
      <c r="G1636" s="897" t="s">
        <v>62</v>
      </c>
      <c r="H1636" s="894">
        <f t="shared" si="39"/>
        <v>0</v>
      </c>
      <c r="I1636" s="1435"/>
      <c r="J1636" s="1446">
        <f t="shared" si="38"/>
        <v>0</v>
      </c>
      <c r="K1636" s="898">
        <v>37500</v>
      </c>
    </row>
    <row r="1637" spans="4:11" ht="22.8" hidden="1" customHeight="1">
      <c r="D1637" s="918">
        <v>105</v>
      </c>
      <c r="E1637" s="895"/>
      <c r="F1637" s="896" t="s">
        <v>4431</v>
      </c>
      <c r="G1637" s="897" t="s">
        <v>3516</v>
      </c>
      <c r="H1637" s="894">
        <f t="shared" si="39"/>
        <v>0</v>
      </c>
      <c r="I1637" s="1435"/>
      <c r="J1637" s="1446">
        <f t="shared" si="38"/>
        <v>0</v>
      </c>
      <c r="K1637" s="898">
        <v>27383</v>
      </c>
    </row>
    <row r="1638" spans="4:11" ht="22.8" hidden="1" customHeight="1">
      <c r="D1638" s="918">
        <v>106</v>
      </c>
      <c r="E1638" s="895"/>
      <c r="F1638" s="896" t="s">
        <v>4434</v>
      </c>
      <c r="G1638" s="897" t="s">
        <v>2167</v>
      </c>
      <c r="H1638" s="894">
        <f t="shared" si="39"/>
        <v>0</v>
      </c>
      <c r="I1638" s="1435"/>
      <c r="J1638" s="1446">
        <f t="shared" si="38"/>
        <v>0</v>
      </c>
      <c r="K1638" s="898">
        <v>93000</v>
      </c>
    </row>
    <row r="1639" spans="4:11" ht="22.8" hidden="1" customHeight="1">
      <c r="D1639" s="918">
        <v>107</v>
      </c>
      <c r="E1639" s="895"/>
      <c r="F1639" s="896" t="s">
        <v>4713</v>
      </c>
      <c r="G1639" s="897" t="s">
        <v>2167</v>
      </c>
      <c r="H1639" s="894">
        <f t="shared" si="39"/>
        <v>0</v>
      </c>
      <c r="I1639" s="1435"/>
      <c r="J1639" s="1446">
        <f t="shared" si="38"/>
        <v>0</v>
      </c>
      <c r="K1639" s="898">
        <v>855000</v>
      </c>
    </row>
    <row r="1640" spans="4:11" ht="22.8" hidden="1" customHeight="1">
      <c r="D1640" s="918">
        <v>108</v>
      </c>
      <c r="E1640" s="895"/>
      <c r="F1640" s="896" t="s">
        <v>4716</v>
      </c>
      <c r="G1640" s="897" t="s">
        <v>2167</v>
      </c>
      <c r="H1640" s="894">
        <f t="shared" si="39"/>
        <v>0</v>
      </c>
      <c r="I1640" s="1435"/>
      <c r="J1640" s="1446">
        <f t="shared" si="38"/>
        <v>0</v>
      </c>
      <c r="K1640" s="898">
        <v>1119000</v>
      </c>
    </row>
    <row r="1641" spans="4:11" ht="22.8" hidden="1" customHeight="1">
      <c r="D1641" s="918">
        <v>109</v>
      </c>
      <c r="E1641" s="895"/>
      <c r="F1641" s="896" t="s">
        <v>4718</v>
      </c>
      <c r="G1641" s="897" t="s">
        <v>2167</v>
      </c>
      <c r="H1641" s="894">
        <f t="shared" si="39"/>
        <v>0</v>
      </c>
      <c r="I1641" s="1435"/>
      <c r="J1641" s="1446">
        <f t="shared" si="38"/>
        <v>0</v>
      </c>
      <c r="K1641" s="898">
        <v>1504000</v>
      </c>
    </row>
    <row r="1642" spans="4:11" ht="22.8" hidden="1" customHeight="1">
      <c r="D1642" s="918">
        <v>110</v>
      </c>
      <c r="E1642" s="895"/>
      <c r="F1642" s="896" t="s">
        <v>4720</v>
      </c>
      <c r="G1642" s="897" t="s">
        <v>2167</v>
      </c>
      <c r="H1642" s="894">
        <f t="shared" si="39"/>
        <v>0</v>
      </c>
      <c r="I1642" s="1435"/>
      <c r="J1642" s="1446">
        <f t="shared" si="38"/>
        <v>0</v>
      </c>
      <c r="K1642" s="898">
        <v>2560000</v>
      </c>
    </row>
    <row r="1643" spans="4:11" ht="22.8" hidden="1" customHeight="1">
      <c r="D1643" s="918">
        <v>111</v>
      </c>
      <c r="E1643" s="895"/>
      <c r="F1643" s="896" t="s">
        <v>4722</v>
      </c>
      <c r="G1643" s="897" t="s">
        <v>2167</v>
      </c>
      <c r="H1643" s="894">
        <f t="shared" si="39"/>
        <v>0</v>
      </c>
      <c r="I1643" s="1435"/>
      <c r="J1643" s="1446">
        <f t="shared" si="38"/>
        <v>0</v>
      </c>
      <c r="K1643" s="898">
        <v>3052000</v>
      </c>
    </row>
    <row r="1644" spans="4:11" ht="22.8" hidden="1" customHeight="1">
      <c r="D1644" s="918">
        <v>112</v>
      </c>
      <c r="E1644" s="895"/>
      <c r="F1644" s="896" t="s">
        <v>4724</v>
      </c>
      <c r="G1644" s="897" t="s">
        <v>2167</v>
      </c>
      <c r="H1644" s="894">
        <f t="shared" si="39"/>
        <v>0</v>
      </c>
      <c r="I1644" s="1435"/>
      <c r="J1644" s="1446">
        <f t="shared" si="38"/>
        <v>0</v>
      </c>
      <c r="K1644" s="898">
        <v>3570000</v>
      </c>
    </row>
    <row r="1645" spans="4:11" ht="22.8" hidden="1" customHeight="1">
      <c r="D1645" s="918">
        <v>113</v>
      </c>
      <c r="E1645" s="895"/>
      <c r="F1645" s="896" t="s">
        <v>4726</v>
      </c>
      <c r="G1645" s="897" t="s">
        <v>2167</v>
      </c>
      <c r="H1645" s="894">
        <f t="shared" si="39"/>
        <v>0</v>
      </c>
      <c r="I1645" s="1435"/>
      <c r="J1645" s="1446">
        <f t="shared" si="38"/>
        <v>0</v>
      </c>
      <c r="K1645" s="898">
        <v>3930000</v>
      </c>
    </row>
    <row r="1646" spans="4:11" ht="22.8" hidden="1" customHeight="1">
      <c r="D1646" s="918">
        <v>114</v>
      </c>
      <c r="E1646" s="895"/>
      <c r="F1646" s="896" t="s">
        <v>4728</v>
      </c>
      <c r="G1646" s="897" t="s">
        <v>2167</v>
      </c>
      <c r="H1646" s="894">
        <f t="shared" si="39"/>
        <v>0</v>
      </c>
      <c r="I1646" s="1435"/>
      <c r="J1646" s="1446">
        <f t="shared" si="38"/>
        <v>0</v>
      </c>
      <c r="K1646" s="898">
        <v>4110000</v>
      </c>
    </row>
    <row r="1647" spans="4:11" ht="22.8" hidden="1" customHeight="1">
      <c r="D1647" s="918">
        <v>115</v>
      </c>
      <c r="E1647" s="895"/>
      <c r="F1647" s="896" t="s">
        <v>742</v>
      </c>
      <c r="G1647" s="897" t="s">
        <v>44</v>
      </c>
      <c r="H1647" s="894">
        <f t="shared" si="39"/>
        <v>0</v>
      </c>
      <c r="I1647" s="1435"/>
      <c r="J1647" s="1446">
        <f t="shared" si="38"/>
        <v>0</v>
      </c>
      <c r="K1647" s="898">
        <v>70100</v>
      </c>
    </row>
    <row r="1648" spans="4:11" ht="22.8" hidden="1" customHeight="1">
      <c r="D1648" s="918">
        <v>116</v>
      </c>
      <c r="E1648" s="895"/>
      <c r="F1648" s="896" t="s">
        <v>743</v>
      </c>
      <c r="G1648" s="897" t="s">
        <v>44</v>
      </c>
      <c r="H1648" s="894">
        <f t="shared" si="39"/>
        <v>0</v>
      </c>
      <c r="I1648" s="1435"/>
      <c r="J1648" s="1446">
        <f t="shared" si="38"/>
        <v>0</v>
      </c>
      <c r="K1648" s="898">
        <v>53300</v>
      </c>
    </row>
    <row r="1649" spans="4:11" ht="22.8" hidden="1" customHeight="1">
      <c r="D1649" s="918">
        <v>117</v>
      </c>
      <c r="E1649" s="895"/>
      <c r="F1649" s="896" t="s">
        <v>744</v>
      </c>
      <c r="G1649" s="897" t="s">
        <v>44</v>
      </c>
      <c r="H1649" s="894">
        <f t="shared" si="39"/>
        <v>0</v>
      </c>
      <c r="I1649" s="1435"/>
      <c r="J1649" s="1446">
        <f t="shared" si="38"/>
        <v>0</v>
      </c>
      <c r="K1649" s="898">
        <v>150000</v>
      </c>
    </row>
    <row r="1650" spans="4:11" ht="22.8" hidden="1" customHeight="1">
      <c r="D1650" s="918">
        <v>118</v>
      </c>
      <c r="E1650" s="895"/>
      <c r="F1650" s="896" t="s">
        <v>745</v>
      </c>
      <c r="G1650" s="897" t="s">
        <v>44</v>
      </c>
      <c r="H1650" s="894">
        <f t="shared" si="39"/>
        <v>0</v>
      </c>
      <c r="I1650" s="1435"/>
      <c r="J1650" s="1446">
        <f t="shared" si="38"/>
        <v>0</v>
      </c>
      <c r="K1650" s="898">
        <v>150000</v>
      </c>
    </row>
    <row r="1651" spans="4:11" ht="22.8" hidden="1" customHeight="1">
      <c r="D1651" s="918">
        <v>119</v>
      </c>
      <c r="E1651" s="895"/>
      <c r="F1651" s="896" t="s">
        <v>746</v>
      </c>
      <c r="G1651" s="897" t="s">
        <v>44</v>
      </c>
      <c r="H1651" s="894">
        <f t="shared" si="39"/>
        <v>0</v>
      </c>
      <c r="I1651" s="1435"/>
      <c r="J1651" s="1446">
        <f t="shared" si="38"/>
        <v>0</v>
      </c>
      <c r="K1651" s="898">
        <v>456800</v>
      </c>
    </row>
    <row r="1652" spans="4:11" ht="22.8" customHeight="1">
      <c r="D1652" s="1423">
        <v>108</v>
      </c>
      <c r="E1652" s="895"/>
      <c r="F1652" s="896" t="s">
        <v>747</v>
      </c>
      <c r="G1652" s="897" t="s">
        <v>44</v>
      </c>
      <c r="H1652" s="894">
        <f t="shared" si="39"/>
        <v>829260</v>
      </c>
      <c r="I1652" s="1435">
        <v>921400</v>
      </c>
      <c r="J1652" s="1446">
        <f t="shared" si="38"/>
        <v>829260</v>
      </c>
      <c r="K1652" s="898">
        <v>325100</v>
      </c>
    </row>
    <row r="1653" spans="4:11" ht="22.8" hidden="1" customHeight="1">
      <c r="D1653" s="918">
        <v>121</v>
      </c>
      <c r="E1653" s="895"/>
      <c r="F1653" s="896" t="s">
        <v>748</v>
      </c>
      <c r="G1653" s="897" t="s">
        <v>630</v>
      </c>
      <c r="H1653" s="898">
        <v>321900</v>
      </c>
      <c r="I1653" s="1435"/>
      <c r="J1653" s="1446">
        <f t="shared" si="38"/>
        <v>0</v>
      </c>
      <c r="K1653" s="898">
        <v>321900</v>
      </c>
    </row>
    <row r="1654" spans="4:11" ht="22.8" customHeight="1">
      <c r="D1654" s="915" t="s">
        <v>1767</v>
      </c>
      <c r="E1654" s="1795" t="s">
        <v>749</v>
      </c>
      <c r="F1654" s="1796"/>
      <c r="G1654" s="897"/>
      <c r="H1654" s="898"/>
      <c r="I1654" s="1435"/>
      <c r="J1654" s="1446">
        <f t="shared" si="38"/>
        <v>0</v>
      </c>
      <c r="K1654" s="898"/>
    </row>
    <row r="1655" spans="4:11" ht="22.8" hidden="1" customHeight="1">
      <c r="D1655" s="916">
        <v>1</v>
      </c>
      <c r="E1655" s="895"/>
      <c r="F1655" s="896" t="s">
        <v>750</v>
      </c>
      <c r="G1655" s="897" t="s">
        <v>529</v>
      </c>
      <c r="H1655" s="898">
        <v>7800</v>
      </c>
      <c r="I1655" s="1435"/>
      <c r="J1655" s="1446">
        <f t="shared" si="38"/>
        <v>0</v>
      </c>
      <c r="K1655" s="898">
        <v>7800</v>
      </c>
    </row>
    <row r="1656" spans="4:11" ht="22.8" hidden="1" customHeight="1">
      <c r="D1656" s="916">
        <v>2</v>
      </c>
      <c r="E1656" s="895"/>
      <c r="F1656" s="896" t="s">
        <v>751</v>
      </c>
      <c r="G1656" s="897" t="s">
        <v>529</v>
      </c>
      <c r="H1656" s="898">
        <v>8100</v>
      </c>
      <c r="I1656" s="1435"/>
      <c r="J1656" s="1446">
        <f t="shared" si="38"/>
        <v>0</v>
      </c>
      <c r="K1656" s="898">
        <v>8100</v>
      </c>
    </row>
    <row r="1657" spans="4:11" ht="22.8" hidden="1" customHeight="1">
      <c r="D1657" s="916">
        <v>3</v>
      </c>
      <c r="E1657" s="895"/>
      <c r="F1657" s="896" t="s">
        <v>752</v>
      </c>
      <c r="G1657" s="897" t="s">
        <v>42</v>
      </c>
      <c r="H1657" s="898">
        <v>20000000</v>
      </c>
      <c r="I1657" s="1435"/>
      <c r="J1657" s="1446">
        <f t="shared" si="38"/>
        <v>0</v>
      </c>
      <c r="K1657" s="898">
        <v>20000000</v>
      </c>
    </row>
    <row r="1658" spans="4:11" ht="22.8" hidden="1" customHeight="1">
      <c r="D1658" s="916">
        <v>4</v>
      </c>
      <c r="E1658" s="895"/>
      <c r="F1658" s="896" t="s">
        <v>753</v>
      </c>
      <c r="G1658" s="897" t="s">
        <v>65</v>
      </c>
      <c r="H1658" s="898">
        <v>20000</v>
      </c>
      <c r="I1658" s="1435"/>
      <c r="J1658" s="1446">
        <f t="shared" si="38"/>
        <v>0</v>
      </c>
      <c r="K1658" s="898">
        <v>20000</v>
      </c>
    </row>
    <row r="1659" spans="4:11" ht="22.8" hidden="1" customHeight="1">
      <c r="D1659" s="916">
        <v>5</v>
      </c>
      <c r="E1659" s="895"/>
      <c r="F1659" s="896" t="s">
        <v>754</v>
      </c>
      <c r="G1659" s="897" t="s">
        <v>529</v>
      </c>
      <c r="H1659" s="898">
        <v>50000</v>
      </c>
      <c r="I1659" s="1435"/>
      <c r="J1659" s="1446">
        <f t="shared" si="38"/>
        <v>0</v>
      </c>
      <c r="K1659" s="898">
        <v>50000</v>
      </c>
    </row>
    <row r="1660" spans="4:11" ht="22.8" customHeight="1">
      <c r="D1660" s="1429">
        <v>36</v>
      </c>
      <c r="E1660" s="895"/>
      <c r="F1660" s="896" t="s">
        <v>755</v>
      </c>
      <c r="G1660" s="897" t="s">
        <v>529</v>
      </c>
      <c r="H1660" s="894">
        <f t="shared" ref="H1660" si="40">J1660</f>
        <v>76500</v>
      </c>
      <c r="I1660" s="1435">
        <v>85000</v>
      </c>
      <c r="J1660" s="1446">
        <f t="shared" si="38"/>
        <v>76500</v>
      </c>
      <c r="K1660" s="898">
        <v>16800</v>
      </c>
    </row>
    <row r="1661" spans="4:11" ht="22.8" hidden="1" customHeight="1">
      <c r="D1661" s="916">
        <v>7</v>
      </c>
      <c r="E1661" s="895"/>
      <c r="F1661" s="896" t="s">
        <v>756</v>
      </c>
      <c r="G1661" s="897" t="s">
        <v>65</v>
      </c>
      <c r="H1661" s="898">
        <v>24000</v>
      </c>
      <c r="I1661" s="1435"/>
      <c r="J1661" s="1446">
        <f t="shared" si="38"/>
        <v>0</v>
      </c>
      <c r="K1661" s="898">
        <v>24000</v>
      </c>
    </row>
    <row r="1662" spans="4:11" ht="22.8" hidden="1" customHeight="1">
      <c r="D1662" s="916">
        <v>8</v>
      </c>
      <c r="E1662" s="895"/>
      <c r="F1662" s="896" t="s">
        <v>757</v>
      </c>
      <c r="G1662" s="897" t="s">
        <v>529</v>
      </c>
      <c r="H1662" s="898">
        <v>28000</v>
      </c>
      <c r="I1662" s="1435"/>
      <c r="J1662" s="1446">
        <f t="shared" si="38"/>
        <v>0</v>
      </c>
      <c r="K1662" s="898">
        <v>28000</v>
      </c>
    </row>
    <row r="1663" spans="4:11" ht="22.8" hidden="1" customHeight="1">
      <c r="D1663" s="916">
        <v>9</v>
      </c>
      <c r="E1663" s="895"/>
      <c r="F1663" s="896" t="s">
        <v>758</v>
      </c>
      <c r="G1663" s="897" t="s">
        <v>529</v>
      </c>
      <c r="H1663" s="898">
        <v>15300</v>
      </c>
      <c r="I1663" s="1435"/>
      <c r="J1663" s="1446">
        <f t="shared" si="38"/>
        <v>0</v>
      </c>
      <c r="K1663" s="898">
        <v>15300</v>
      </c>
    </row>
    <row r="1664" spans="4:11" ht="22.8" hidden="1" customHeight="1">
      <c r="D1664" s="916">
        <v>10</v>
      </c>
      <c r="E1664" s="895"/>
      <c r="F1664" s="896" t="s">
        <v>759</v>
      </c>
      <c r="G1664" s="897" t="s">
        <v>529</v>
      </c>
      <c r="H1664" s="898">
        <v>31300</v>
      </c>
      <c r="I1664" s="1435"/>
      <c r="J1664" s="1446">
        <f t="shared" ref="J1664:J1727" si="41">I1664-(I1664*10%)</f>
        <v>0</v>
      </c>
      <c r="K1664" s="898">
        <v>31300</v>
      </c>
    </row>
    <row r="1665" spans="4:11" ht="22.8" hidden="1" customHeight="1">
      <c r="D1665" s="916">
        <v>11</v>
      </c>
      <c r="E1665" s="895"/>
      <c r="F1665" s="896" t="s">
        <v>760</v>
      </c>
      <c r="G1665" s="897" t="s">
        <v>529</v>
      </c>
      <c r="H1665" s="898">
        <v>30300</v>
      </c>
      <c r="I1665" s="1435"/>
      <c r="J1665" s="1446">
        <f t="shared" si="41"/>
        <v>0</v>
      </c>
      <c r="K1665" s="898">
        <v>30300</v>
      </c>
    </row>
    <row r="1666" spans="4:11" ht="22.8" hidden="1" customHeight="1">
      <c r="D1666" s="916">
        <v>12</v>
      </c>
      <c r="E1666" s="895"/>
      <c r="F1666" s="896" t="s">
        <v>761</v>
      </c>
      <c r="G1666" s="897" t="s">
        <v>529</v>
      </c>
      <c r="H1666" s="898">
        <v>9400</v>
      </c>
      <c r="I1666" s="1435"/>
      <c r="J1666" s="1446">
        <f t="shared" si="41"/>
        <v>0</v>
      </c>
      <c r="K1666" s="898">
        <v>9400</v>
      </c>
    </row>
    <row r="1667" spans="4:11" ht="22.8" hidden="1" customHeight="1">
      <c r="D1667" s="916">
        <v>13</v>
      </c>
      <c r="E1667" s="895"/>
      <c r="F1667" s="896" t="s">
        <v>762</v>
      </c>
      <c r="G1667" s="897" t="s">
        <v>529</v>
      </c>
      <c r="H1667" s="898">
        <v>21000</v>
      </c>
      <c r="I1667" s="1435"/>
      <c r="J1667" s="1446">
        <f t="shared" si="41"/>
        <v>0</v>
      </c>
      <c r="K1667" s="898">
        <v>21000</v>
      </c>
    </row>
    <row r="1668" spans="4:11" ht="22.8" hidden="1" customHeight="1">
      <c r="D1668" s="916">
        <v>14</v>
      </c>
      <c r="E1668" s="895"/>
      <c r="F1668" s="896" t="s">
        <v>763</v>
      </c>
      <c r="G1668" s="897" t="s">
        <v>529</v>
      </c>
      <c r="H1668" s="898">
        <v>6500</v>
      </c>
      <c r="I1668" s="1435"/>
      <c r="J1668" s="1446">
        <f t="shared" si="41"/>
        <v>0</v>
      </c>
      <c r="K1668" s="898">
        <v>6500</v>
      </c>
    </row>
    <row r="1669" spans="4:11" ht="22.8" hidden="1" customHeight="1">
      <c r="D1669" s="916">
        <v>15</v>
      </c>
      <c r="E1669" s="895"/>
      <c r="F1669" s="896" t="s">
        <v>764</v>
      </c>
      <c r="G1669" s="897" t="s">
        <v>529</v>
      </c>
      <c r="H1669" s="898">
        <v>8800</v>
      </c>
      <c r="I1669" s="1435"/>
      <c r="J1669" s="1446">
        <f t="shared" si="41"/>
        <v>0</v>
      </c>
      <c r="K1669" s="898">
        <v>8800</v>
      </c>
    </row>
    <row r="1670" spans="4:11" ht="22.8" hidden="1" customHeight="1">
      <c r="D1670" s="916">
        <v>16</v>
      </c>
      <c r="E1670" s="895"/>
      <c r="F1670" s="896" t="s">
        <v>765</v>
      </c>
      <c r="G1670" s="897" t="s">
        <v>529</v>
      </c>
      <c r="H1670" s="898">
        <v>51000</v>
      </c>
      <c r="I1670" s="1435"/>
      <c r="J1670" s="1446">
        <f t="shared" si="41"/>
        <v>0</v>
      </c>
      <c r="K1670" s="898">
        <v>51000</v>
      </c>
    </row>
    <row r="1671" spans="4:11" ht="22.8" hidden="1" customHeight="1">
      <c r="D1671" s="916">
        <v>17</v>
      </c>
      <c r="E1671" s="895"/>
      <c r="F1671" s="896" t="s">
        <v>766</v>
      </c>
      <c r="G1671" s="897" t="s">
        <v>529</v>
      </c>
      <c r="H1671" s="898">
        <v>29200</v>
      </c>
      <c r="I1671" s="1435"/>
      <c r="J1671" s="1446">
        <f t="shared" si="41"/>
        <v>0</v>
      </c>
      <c r="K1671" s="898">
        <v>29200</v>
      </c>
    </row>
    <row r="1672" spans="4:11" ht="22.8" hidden="1" customHeight="1">
      <c r="D1672" s="916">
        <v>18</v>
      </c>
      <c r="E1672" s="895"/>
      <c r="F1672" s="896" t="s">
        <v>767</v>
      </c>
      <c r="G1672" s="897" t="s">
        <v>529</v>
      </c>
      <c r="H1672" s="898">
        <v>21800</v>
      </c>
      <c r="I1672" s="1435"/>
      <c r="J1672" s="1446">
        <f t="shared" si="41"/>
        <v>0</v>
      </c>
      <c r="K1672" s="898">
        <v>21800</v>
      </c>
    </row>
    <row r="1673" spans="4:11" ht="22.8" hidden="1" customHeight="1">
      <c r="D1673" s="916">
        <v>19</v>
      </c>
      <c r="E1673" s="895"/>
      <c r="F1673" s="896" t="s">
        <v>768</v>
      </c>
      <c r="G1673" s="897" t="s">
        <v>529</v>
      </c>
      <c r="H1673" s="898">
        <v>18800</v>
      </c>
      <c r="I1673" s="1435"/>
      <c r="J1673" s="1446">
        <f t="shared" si="41"/>
        <v>0</v>
      </c>
      <c r="K1673" s="898">
        <v>18800</v>
      </c>
    </row>
    <row r="1674" spans="4:11" ht="22.8" customHeight="1">
      <c r="D1674" s="915" t="s">
        <v>6565</v>
      </c>
      <c r="E1674" s="1795" t="s">
        <v>769</v>
      </c>
      <c r="F1674" s="1796"/>
      <c r="G1674" s="897"/>
      <c r="H1674" s="898"/>
      <c r="I1674" s="1435"/>
      <c r="J1674" s="1446">
        <f t="shared" si="41"/>
        <v>0</v>
      </c>
      <c r="K1674" s="898"/>
    </row>
    <row r="1675" spans="4:11" ht="22.8" hidden="1" customHeight="1">
      <c r="D1675" s="916">
        <v>1</v>
      </c>
      <c r="E1675" s="895"/>
      <c r="F1675" s="896" t="s">
        <v>770</v>
      </c>
      <c r="G1675" s="897" t="s">
        <v>62</v>
      </c>
      <c r="H1675" s="898">
        <v>225800</v>
      </c>
      <c r="I1675" s="1435"/>
      <c r="J1675" s="1446">
        <f t="shared" si="41"/>
        <v>0</v>
      </c>
      <c r="K1675" s="898">
        <v>225800</v>
      </c>
    </row>
    <row r="1676" spans="4:11" ht="22.8" hidden="1" customHeight="1">
      <c r="D1676" s="916">
        <v>2</v>
      </c>
      <c r="E1676" s="895"/>
      <c r="F1676" s="896" t="s">
        <v>771</v>
      </c>
      <c r="G1676" s="897" t="s">
        <v>129</v>
      </c>
      <c r="H1676" s="898">
        <v>200000</v>
      </c>
      <c r="I1676" s="1435"/>
      <c r="J1676" s="1446">
        <f t="shared" si="41"/>
        <v>0</v>
      </c>
      <c r="K1676" s="898">
        <v>200000</v>
      </c>
    </row>
    <row r="1677" spans="4:11" ht="22.8" customHeight="1">
      <c r="D1677" s="1423">
        <v>108</v>
      </c>
      <c r="E1677" s="895"/>
      <c r="F1677" s="896" t="s">
        <v>772</v>
      </c>
      <c r="G1677" s="897" t="s">
        <v>113</v>
      </c>
      <c r="H1677" s="894">
        <f t="shared" ref="H1677:H1722" si="42">J1677</f>
        <v>45000</v>
      </c>
      <c r="I1677" s="1435">
        <v>50000</v>
      </c>
      <c r="J1677" s="1446">
        <f t="shared" si="41"/>
        <v>45000</v>
      </c>
      <c r="K1677" s="898">
        <v>50000</v>
      </c>
    </row>
    <row r="1678" spans="4:11" ht="22.8" hidden="1" customHeight="1">
      <c r="D1678" s="916">
        <v>4</v>
      </c>
      <c r="E1678" s="895"/>
      <c r="F1678" s="896" t="s">
        <v>773</v>
      </c>
      <c r="G1678" s="897" t="s">
        <v>65</v>
      </c>
      <c r="H1678" s="894">
        <f t="shared" si="42"/>
        <v>0</v>
      </c>
      <c r="I1678" s="1435"/>
      <c r="J1678" s="1446">
        <f t="shared" si="41"/>
        <v>0</v>
      </c>
      <c r="K1678" s="898">
        <v>40200</v>
      </c>
    </row>
    <row r="1679" spans="4:11" ht="22.8" hidden="1" customHeight="1">
      <c r="D1679" s="916">
        <v>5</v>
      </c>
      <c r="E1679" s="895"/>
      <c r="F1679" s="896" t="s">
        <v>225</v>
      </c>
      <c r="G1679" s="897" t="s">
        <v>65</v>
      </c>
      <c r="H1679" s="894">
        <f t="shared" si="42"/>
        <v>0</v>
      </c>
      <c r="I1679" s="1435"/>
      <c r="J1679" s="1446">
        <f t="shared" si="41"/>
        <v>0</v>
      </c>
      <c r="K1679" s="898">
        <v>34500</v>
      </c>
    </row>
    <row r="1680" spans="4:11" ht="22.8" hidden="1" customHeight="1">
      <c r="D1680" s="916">
        <v>6</v>
      </c>
      <c r="E1680" s="895"/>
      <c r="F1680" s="896" t="s">
        <v>774</v>
      </c>
      <c r="G1680" s="897" t="s">
        <v>775</v>
      </c>
      <c r="H1680" s="894">
        <f t="shared" si="42"/>
        <v>0</v>
      </c>
      <c r="I1680" s="1435"/>
      <c r="J1680" s="1446">
        <f t="shared" si="41"/>
        <v>0</v>
      </c>
      <c r="K1680" s="898">
        <v>1055700</v>
      </c>
    </row>
    <row r="1681" spans="4:11" ht="22.8" hidden="1" customHeight="1">
      <c r="D1681" s="916">
        <v>7</v>
      </c>
      <c r="E1681" s="895"/>
      <c r="F1681" s="896" t="s">
        <v>776</v>
      </c>
      <c r="G1681" s="897" t="s">
        <v>775</v>
      </c>
      <c r="H1681" s="894">
        <f t="shared" si="42"/>
        <v>0</v>
      </c>
      <c r="I1681" s="1435"/>
      <c r="J1681" s="1446">
        <f t="shared" si="41"/>
        <v>0</v>
      </c>
      <c r="K1681" s="898">
        <v>1508800</v>
      </c>
    </row>
    <row r="1682" spans="4:11" ht="22.8" hidden="1" customHeight="1">
      <c r="D1682" s="916">
        <v>8</v>
      </c>
      <c r="E1682" s="895"/>
      <c r="F1682" s="896" t="s">
        <v>777</v>
      </c>
      <c r="G1682" s="897" t="s">
        <v>775</v>
      </c>
      <c r="H1682" s="894">
        <f t="shared" si="42"/>
        <v>0</v>
      </c>
      <c r="I1682" s="1435"/>
      <c r="J1682" s="1446">
        <f t="shared" si="41"/>
        <v>0</v>
      </c>
      <c r="K1682" s="898">
        <v>422000</v>
      </c>
    </row>
    <row r="1683" spans="4:11" ht="22.8" hidden="1" customHeight="1">
      <c r="D1683" s="916">
        <v>9</v>
      </c>
      <c r="E1683" s="895"/>
      <c r="F1683" s="896" t="s">
        <v>778</v>
      </c>
      <c r="G1683" s="897" t="s">
        <v>113</v>
      </c>
      <c r="H1683" s="894">
        <f t="shared" si="42"/>
        <v>0</v>
      </c>
      <c r="I1683" s="1435"/>
      <c r="J1683" s="1446">
        <f t="shared" si="41"/>
        <v>0</v>
      </c>
      <c r="K1683" s="898">
        <v>10700</v>
      </c>
    </row>
    <row r="1684" spans="4:11" ht="22.8" hidden="1" customHeight="1">
      <c r="D1684" s="916">
        <v>10</v>
      </c>
      <c r="E1684" s="895"/>
      <c r="F1684" s="896" t="s">
        <v>779</v>
      </c>
      <c r="G1684" s="897" t="s">
        <v>113</v>
      </c>
      <c r="H1684" s="894">
        <f t="shared" si="42"/>
        <v>0</v>
      </c>
      <c r="I1684" s="1435"/>
      <c r="J1684" s="1446">
        <f t="shared" si="41"/>
        <v>0</v>
      </c>
      <c r="K1684" s="898">
        <v>13600</v>
      </c>
    </row>
    <row r="1685" spans="4:11" ht="22.8" hidden="1" customHeight="1">
      <c r="D1685" s="916">
        <v>11</v>
      </c>
      <c r="E1685" s="895"/>
      <c r="F1685" s="896" t="s">
        <v>780</v>
      </c>
      <c r="G1685" s="897" t="s">
        <v>65</v>
      </c>
      <c r="H1685" s="894">
        <f t="shared" si="42"/>
        <v>0</v>
      </c>
      <c r="I1685" s="1435"/>
      <c r="J1685" s="1446">
        <f t="shared" si="41"/>
        <v>0</v>
      </c>
      <c r="K1685" s="898">
        <v>50600</v>
      </c>
    </row>
    <row r="1686" spans="4:11" ht="22.8" hidden="1" customHeight="1">
      <c r="D1686" s="916">
        <v>12</v>
      </c>
      <c r="E1686" s="895"/>
      <c r="F1686" s="896" t="s">
        <v>781</v>
      </c>
      <c r="G1686" s="897" t="s">
        <v>135</v>
      </c>
      <c r="H1686" s="894">
        <f t="shared" si="42"/>
        <v>0</v>
      </c>
      <c r="I1686" s="1435"/>
      <c r="J1686" s="1446">
        <f t="shared" si="41"/>
        <v>0</v>
      </c>
      <c r="K1686" s="898">
        <v>475000</v>
      </c>
    </row>
    <row r="1687" spans="4:11" ht="22.8" hidden="1" customHeight="1">
      <c r="D1687" s="916">
        <v>13</v>
      </c>
      <c r="E1687" s="895"/>
      <c r="F1687" s="896" t="s">
        <v>3043</v>
      </c>
      <c r="G1687" s="897" t="s">
        <v>2167</v>
      </c>
      <c r="H1687" s="894">
        <f t="shared" si="42"/>
        <v>0</v>
      </c>
      <c r="I1687" s="1435"/>
      <c r="J1687" s="1446">
        <f t="shared" si="41"/>
        <v>0</v>
      </c>
      <c r="K1687" s="898">
        <v>1043100</v>
      </c>
    </row>
    <row r="1688" spans="4:11" ht="22.8" hidden="1" customHeight="1">
      <c r="D1688" s="916">
        <v>14</v>
      </c>
      <c r="E1688" s="895"/>
      <c r="F1688" s="896" t="s">
        <v>3046</v>
      </c>
      <c r="G1688" s="897" t="s">
        <v>2167</v>
      </c>
      <c r="H1688" s="894">
        <f t="shared" si="42"/>
        <v>0</v>
      </c>
      <c r="I1688" s="1435"/>
      <c r="J1688" s="1446">
        <f t="shared" si="41"/>
        <v>0</v>
      </c>
      <c r="K1688" s="898">
        <v>730000</v>
      </c>
    </row>
    <row r="1689" spans="4:11" ht="22.8" hidden="1" customHeight="1">
      <c r="D1689" s="916">
        <v>15</v>
      </c>
      <c r="E1689" s="895"/>
      <c r="F1689" s="896" t="s">
        <v>782</v>
      </c>
      <c r="G1689" s="897" t="s">
        <v>113</v>
      </c>
      <c r="H1689" s="894">
        <f t="shared" si="42"/>
        <v>0</v>
      </c>
      <c r="I1689" s="1435"/>
      <c r="J1689" s="1446">
        <f t="shared" si="41"/>
        <v>0</v>
      </c>
      <c r="K1689" s="898">
        <v>38333</v>
      </c>
    </row>
    <row r="1690" spans="4:11" ht="22.8" hidden="1" customHeight="1">
      <c r="D1690" s="916">
        <v>16</v>
      </c>
      <c r="E1690" s="895"/>
      <c r="F1690" s="896" t="s">
        <v>6542</v>
      </c>
      <c r="G1690" s="897" t="s">
        <v>113</v>
      </c>
      <c r="H1690" s="894">
        <f t="shared" si="42"/>
        <v>0</v>
      </c>
      <c r="I1690" s="1435"/>
      <c r="J1690" s="1446">
        <f t="shared" si="41"/>
        <v>0</v>
      </c>
      <c r="K1690" s="898">
        <v>39000</v>
      </c>
    </row>
    <row r="1691" spans="4:11" ht="22.8" hidden="1" customHeight="1">
      <c r="D1691" s="916">
        <v>17</v>
      </c>
      <c r="E1691" s="895"/>
      <c r="F1691" s="896" t="s">
        <v>783</v>
      </c>
      <c r="G1691" s="897" t="s">
        <v>775</v>
      </c>
      <c r="H1691" s="894">
        <f t="shared" si="42"/>
        <v>0</v>
      </c>
      <c r="I1691" s="1435"/>
      <c r="J1691" s="1446">
        <f t="shared" si="41"/>
        <v>0</v>
      </c>
      <c r="K1691" s="898">
        <v>102300</v>
      </c>
    </row>
    <row r="1692" spans="4:11" ht="22.8" hidden="1" customHeight="1">
      <c r="D1692" s="916">
        <v>18</v>
      </c>
      <c r="E1692" s="895"/>
      <c r="F1692" s="896" t="s">
        <v>784</v>
      </c>
      <c r="G1692" s="897" t="s">
        <v>65</v>
      </c>
      <c r="H1692" s="894">
        <f t="shared" si="42"/>
        <v>0</v>
      </c>
      <c r="I1692" s="1435"/>
      <c r="J1692" s="1446">
        <f t="shared" si="41"/>
        <v>0</v>
      </c>
      <c r="K1692" s="898">
        <v>67800</v>
      </c>
    </row>
    <row r="1693" spans="4:11" ht="22.8" hidden="1" customHeight="1">
      <c r="D1693" s="916">
        <v>19</v>
      </c>
      <c r="E1693" s="895"/>
      <c r="F1693" s="896" t="s">
        <v>785</v>
      </c>
      <c r="G1693" s="897" t="s">
        <v>113</v>
      </c>
      <c r="H1693" s="894">
        <f t="shared" si="42"/>
        <v>0</v>
      </c>
      <c r="I1693" s="1435"/>
      <c r="J1693" s="1446">
        <f t="shared" si="41"/>
        <v>0</v>
      </c>
      <c r="K1693" s="898">
        <v>7500</v>
      </c>
    </row>
    <row r="1694" spans="4:11" ht="22.8" hidden="1" customHeight="1">
      <c r="D1694" s="916">
        <v>20</v>
      </c>
      <c r="E1694" s="895"/>
      <c r="F1694" s="896" t="s">
        <v>3020</v>
      </c>
      <c r="G1694" s="897" t="s">
        <v>113</v>
      </c>
      <c r="H1694" s="894">
        <f t="shared" si="42"/>
        <v>0</v>
      </c>
      <c r="I1694" s="1435"/>
      <c r="J1694" s="1446">
        <f t="shared" si="41"/>
        <v>0</v>
      </c>
      <c r="K1694" s="898">
        <v>7500</v>
      </c>
    </row>
    <row r="1695" spans="4:11" ht="22.8" hidden="1" customHeight="1">
      <c r="D1695" s="916">
        <v>21</v>
      </c>
      <c r="E1695" s="895"/>
      <c r="F1695" s="896" t="s">
        <v>786</v>
      </c>
      <c r="G1695" s="897" t="s">
        <v>113</v>
      </c>
      <c r="H1695" s="894">
        <f t="shared" si="42"/>
        <v>0</v>
      </c>
      <c r="I1695" s="1435"/>
      <c r="J1695" s="1446">
        <f t="shared" si="41"/>
        <v>0</v>
      </c>
      <c r="K1695" s="898">
        <v>10700</v>
      </c>
    </row>
    <row r="1696" spans="4:11" ht="22.8" hidden="1" customHeight="1">
      <c r="D1696" s="916">
        <v>22</v>
      </c>
      <c r="E1696" s="895"/>
      <c r="F1696" s="896" t="s">
        <v>787</v>
      </c>
      <c r="G1696" s="897" t="s">
        <v>62</v>
      </c>
      <c r="H1696" s="894">
        <f t="shared" si="42"/>
        <v>0</v>
      </c>
      <c r="I1696" s="1435"/>
      <c r="J1696" s="1446">
        <f t="shared" si="41"/>
        <v>0</v>
      </c>
      <c r="K1696" s="898">
        <v>600000</v>
      </c>
    </row>
    <row r="1697" spans="4:11" ht="22.8" hidden="1" customHeight="1">
      <c r="D1697" s="916">
        <v>23</v>
      </c>
      <c r="E1697" s="895"/>
      <c r="F1697" s="896" t="s">
        <v>3066</v>
      </c>
      <c r="G1697" s="897" t="s">
        <v>2167</v>
      </c>
      <c r="H1697" s="894">
        <f t="shared" si="42"/>
        <v>0</v>
      </c>
      <c r="I1697" s="1435"/>
      <c r="J1697" s="1446">
        <f t="shared" si="41"/>
        <v>0</v>
      </c>
      <c r="K1697" s="898">
        <v>49500</v>
      </c>
    </row>
    <row r="1698" spans="4:11" ht="22.8" hidden="1" customHeight="1">
      <c r="D1698" s="916">
        <v>24</v>
      </c>
      <c r="E1698" s="895"/>
      <c r="F1698" s="896" t="s">
        <v>788</v>
      </c>
      <c r="G1698" s="897" t="s">
        <v>775</v>
      </c>
      <c r="H1698" s="894">
        <f t="shared" si="42"/>
        <v>0</v>
      </c>
      <c r="I1698" s="1435"/>
      <c r="J1698" s="1446">
        <f t="shared" si="41"/>
        <v>0</v>
      </c>
      <c r="K1698" s="898">
        <v>343800</v>
      </c>
    </row>
    <row r="1699" spans="4:11" ht="22.8" hidden="1" customHeight="1">
      <c r="D1699" s="916">
        <v>25</v>
      </c>
      <c r="E1699" s="895"/>
      <c r="F1699" s="896" t="s">
        <v>789</v>
      </c>
      <c r="G1699" s="897" t="s">
        <v>775</v>
      </c>
      <c r="H1699" s="894">
        <f t="shared" si="42"/>
        <v>0</v>
      </c>
      <c r="I1699" s="1435"/>
      <c r="J1699" s="1446">
        <f t="shared" si="41"/>
        <v>0</v>
      </c>
      <c r="K1699" s="898">
        <v>301300</v>
      </c>
    </row>
    <row r="1700" spans="4:11" ht="22.8" hidden="1" customHeight="1">
      <c r="D1700" s="916">
        <v>26</v>
      </c>
      <c r="E1700" s="895"/>
      <c r="F1700" s="896" t="s">
        <v>790</v>
      </c>
      <c r="G1700" s="897" t="s">
        <v>775</v>
      </c>
      <c r="H1700" s="894">
        <f t="shared" si="42"/>
        <v>0</v>
      </c>
      <c r="I1700" s="1435"/>
      <c r="J1700" s="1446">
        <f t="shared" si="41"/>
        <v>0</v>
      </c>
      <c r="K1700" s="898">
        <v>542800</v>
      </c>
    </row>
    <row r="1701" spans="4:11" ht="22.8" hidden="1" customHeight="1">
      <c r="D1701" s="916">
        <v>27</v>
      </c>
      <c r="E1701" s="895"/>
      <c r="F1701" s="896" t="s">
        <v>791</v>
      </c>
      <c r="G1701" s="897" t="s">
        <v>113</v>
      </c>
      <c r="H1701" s="894">
        <f t="shared" si="42"/>
        <v>0</v>
      </c>
      <c r="I1701" s="1435"/>
      <c r="J1701" s="1446">
        <f t="shared" si="41"/>
        <v>0</v>
      </c>
      <c r="K1701" s="898">
        <v>107000</v>
      </c>
    </row>
    <row r="1702" spans="4:11" ht="22.8" hidden="1" customHeight="1">
      <c r="D1702" s="916">
        <v>28</v>
      </c>
      <c r="E1702" s="895"/>
      <c r="F1702" s="896" t="s">
        <v>3069</v>
      </c>
      <c r="G1702" s="897" t="s">
        <v>3070</v>
      </c>
      <c r="H1702" s="894">
        <f t="shared" si="42"/>
        <v>0</v>
      </c>
      <c r="I1702" s="1435"/>
      <c r="J1702" s="1446">
        <f t="shared" si="41"/>
        <v>0</v>
      </c>
      <c r="K1702" s="898">
        <v>270000</v>
      </c>
    </row>
    <row r="1703" spans="4:11" ht="22.8" hidden="1" customHeight="1">
      <c r="D1703" s="916">
        <v>29</v>
      </c>
      <c r="E1703" s="895"/>
      <c r="F1703" s="896" t="s">
        <v>792</v>
      </c>
      <c r="G1703" s="897" t="s">
        <v>775</v>
      </c>
      <c r="H1703" s="894">
        <f t="shared" si="42"/>
        <v>0</v>
      </c>
      <c r="I1703" s="1435"/>
      <c r="J1703" s="1446">
        <f t="shared" si="41"/>
        <v>0</v>
      </c>
      <c r="K1703" s="898">
        <v>905000</v>
      </c>
    </row>
    <row r="1704" spans="4:11" ht="22.8" hidden="1" customHeight="1">
      <c r="D1704" s="916">
        <v>30</v>
      </c>
      <c r="E1704" s="895"/>
      <c r="F1704" s="896" t="s">
        <v>793</v>
      </c>
      <c r="G1704" s="897" t="s">
        <v>775</v>
      </c>
      <c r="H1704" s="894">
        <f t="shared" si="42"/>
        <v>0</v>
      </c>
      <c r="I1704" s="1435"/>
      <c r="J1704" s="1446">
        <f t="shared" si="41"/>
        <v>0</v>
      </c>
      <c r="K1704" s="898">
        <v>693400</v>
      </c>
    </row>
    <row r="1705" spans="4:11" ht="22.8" hidden="1" customHeight="1">
      <c r="D1705" s="916">
        <v>31</v>
      </c>
      <c r="E1705" s="895"/>
      <c r="F1705" s="896" t="s">
        <v>794</v>
      </c>
      <c r="G1705" s="897" t="s">
        <v>775</v>
      </c>
      <c r="H1705" s="894">
        <f t="shared" si="42"/>
        <v>0</v>
      </c>
      <c r="I1705" s="1435"/>
      <c r="J1705" s="1446">
        <f t="shared" si="41"/>
        <v>0</v>
      </c>
      <c r="K1705" s="898">
        <v>16100</v>
      </c>
    </row>
    <row r="1706" spans="4:11" ht="22.8" hidden="1" customHeight="1">
      <c r="D1706" s="916">
        <v>32</v>
      </c>
      <c r="E1706" s="895"/>
      <c r="F1706" s="896" t="s">
        <v>795</v>
      </c>
      <c r="G1706" s="897" t="s">
        <v>775</v>
      </c>
      <c r="H1706" s="894">
        <f t="shared" si="42"/>
        <v>0</v>
      </c>
      <c r="I1706" s="1435"/>
      <c r="J1706" s="1446">
        <f t="shared" si="41"/>
        <v>0</v>
      </c>
      <c r="K1706" s="898">
        <v>19500</v>
      </c>
    </row>
    <row r="1707" spans="4:11" ht="22.8" hidden="1" customHeight="1">
      <c r="D1707" s="916">
        <v>33</v>
      </c>
      <c r="E1707" s="895"/>
      <c r="F1707" s="896" t="s">
        <v>796</v>
      </c>
      <c r="G1707" s="897" t="s">
        <v>775</v>
      </c>
      <c r="H1707" s="894">
        <f t="shared" si="42"/>
        <v>0</v>
      </c>
      <c r="I1707" s="1435"/>
      <c r="J1707" s="1446">
        <f t="shared" si="41"/>
        <v>0</v>
      </c>
      <c r="K1707" s="898">
        <v>19500</v>
      </c>
    </row>
    <row r="1708" spans="4:11" ht="22.8" hidden="1" customHeight="1">
      <c r="D1708" s="916">
        <v>34</v>
      </c>
      <c r="E1708" s="895"/>
      <c r="F1708" s="896" t="s">
        <v>5537</v>
      </c>
      <c r="G1708" s="897" t="s">
        <v>2167</v>
      </c>
      <c r="H1708" s="894">
        <f t="shared" si="42"/>
        <v>0</v>
      </c>
      <c r="I1708" s="1435"/>
      <c r="J1708" s="1446">
        <f t="shared" si="41"/>
        <v>0</v>
      </c>
      <c r="K1708" s="898">
        <v>20000</v>
      </c>
    </row>
    <row r="1709" spans="4:11" ht="22.8" hidden="1" customHeight="1">
      <c r="D1709" s="916">
        <v>35</v>
      </c>
      <c r="E1709" s="895"/>
      <c r="F1709" s="896" t="s">
        <v>5538</v>
      </c>
      <c r="G1709" s="897" t="s">
        <v>2167</v>
      </c>
      <c r="H1709" s="894">
        <f t="shared" si="42"/>
        <v>0</v>
      </c>
      <c r="I1709" s="1435"/>
      <c r="J1709" s="1446">
        <f t="shared" si="41"/>
        <v>0</v>
      </c>
      <c r="K1709" s="898">
        <v>22000</v>
      </c>
    </row>
    <row r="1710" spans="4:11" ht="22.8" hidden="1" customHeight="1">
      <c r="D1710" s="916">
        <v>36</v>
      </c>
      <c r="E1710" s="895"/>
      <c r="F1710" s="896" t="s">
        <v>5539</v>
      </c>
      <c r="G1710" s="897" t="s">
        <v>2167</v>
      </c>
      <c r="H1710" s="894">
        <f t="shared" si="42"/>
        <v>0</v>
      </c>
      <c r="I1710" s="1435"/>
      <c r="J1710" s="1446">
        <f t="shared" si="41"/>
        <v>0</v>
      </c>
      <c r="K1710" s="898">
        <v>23000</v>
      </c>
    </row>
    <row r="1711" spans="4:11" ht="22.8" hidden="1" customHeight="1">
      <c r="D1711" s="916">
        <v>37</v>
      </c>
      <c r="E1711" s="895"/>
      <c r="F1711" s="896" t="s">
        <v>5199</v>
      </c>
      <c r="G1711" s="897" t="s">
        <v>2167</v>
      </c>
      <c r="H1711" s="894">
        <f t="shared" si="42"/>
        <v>0</v>
      </c>
      <c r="I1711" s="1435"/>
      <c r="J1711" s="1446">
        <f t="shared" si="41"/>
        <v>0</v>
      </c>
      <c r="K1711" s="898">
        <v>2500</v>
      </c>
    </row>
    <row r="1712" spans="4:11" ht="22.8" hidden="1" customHeight="1">
      <c r="D1712" s="916">
        <v>38</v>
      </c>
      <c r="E1712" s="895"/>
      <c r="F1712" s="896" t="s">
        <v>797</v>
      </c>
      <c r="G1712" s="897" t="s">
        <v>65</v>
      </c>
      <c r="H1712" s="894">
        <f t="shared" si="42"/>
        <v>0</v>
      </c>
      <c r="I1712" s="1435"/>
      <c r="J1712" s="1446">
        <f t="shared" si="41"/>
        <v>0</v>
      </c>
      <c r="K1712" s="898">
        <v>210400</v>
      </c>
    </row>
    <row r="1713" spans="4:11" ht="22.8" hidden="1" customHeight="1">
      <c r="D1713" s="916">
        <v>39</v>
      </c>
      <c r="E1713" s="895"/>
      <c r="F1713" s="896" t="s">
        <v>798</v>
      </c>
      <c r="G1713" s="897" t="s">
        <v>65</v>
      </c>
      <c r="H1713" s="894">
        <f t="shared" si="42"/>
        <v>0</v>
      </c>
      <c r="I1713" s="1435"/>
      <c r="J1713" s="1446">
        <f t="shared" si="41"/>
        <v>0</v>
      </c>
      <c r="K1713" s="898">
        <v>210400</v>
      </c>
    </row>
    <row r="1714" spans="4:11" ht="22.8" hidden="1" customHeight="1">
      <c r="D1714" s="916">
        <v>40</v>
      </c>
      <c r="E1714" s="895"/>
      <c r="F1714" s="896" t="s">
        <v>799</v>
      </c>
      <c r="G1714" s="897" t="s">
        <v>775</v>
      </c>
      <c r="H1714" s="894">
        <f t="shared" si="42"/>
        <v>0</v>
      </c>
      <c r="I1714" s="1435"/>
      <c r="J1714" s="1446">
        <f t="shared" si="41"/>
        <v>0</v>
      </c>
      <c r="K1714" s="898">
        <v>102300</v>
      </c>
    </row>
    <row r="1715" spans="4:11" ht="22.8" hidden="1" customHeight="1">
      <c r="D1715" s="916">
        <v>41</v>
      </c>
      <c r="E1715" s="895"/>
      <c r="F1715" s="896" t="s">
        <v>800</v>
      </c>
      <c r="G1715" s="897" t="s">
        <v>775</v>
      </c>
      <c r="H1715" s="894">
        <f t="shared" si="42"/>
        <v>0</v>
      </c>
      <c r="I1715" s="1435"/>
      <c r="J1715" s="1446">
        <f t="shared" si="41"/>
        <v>0</v>
      </c>
      <c r="K1715" s="898">
        <v>542800</v>
      </c>
    </row>
    <row r="1716" spans="4:11" ht="22.8" hidden="1" customHeight="1">
      <c r="D1716" s="916">
        <v>42</v>
      </c>
      <c r="E1716" s="895"/>
      <c r="F1716" s="896" t="s">
        <v>801</v>
      </c>
      <c r="G1716" s="897" t="s">
        <v>113</v>
      </c>
      <c r="H1716" s="894">
        <f t="shared" si="42"/>
        <v>0</v>
      </c>
      <c r="I1716" s="1435"/>
      <c r="J1716" s="1446">
        <f t="shared" si="41"/>
        <v>0</v>
      </c>
      <c r="K1716" s="898">
        <v>73600</v>
      </c>
    </row>
    <row r="1717" spans="4:11" ht="22.8" hidden="1" customHeight="1">
      <c r="D1717" s="916">
        <v>43</v>
      </c>
      <c r="E1717" s="895"/>
      <c r="F1717" s="896" t="s">
        <v>802</v>
      </c>
      <c r="G1717" s="897" t="s">
        <v>135</v>
      </c>
      <c r="H1717" s="894">
        <f t="shared" si="42"/>
        <v>0</v>
      </c>
      <c r="I1717" s="1435"/>
      <c r="J1717" s="1446">
        <f t="shared" si="41"/>
        <v>0</v>
      </c>
      <c r="K1717" s="898">
        <v>1500000</v>
      </c>
    </row>
    <row r="1718" spans="4:11" ht="22.8" hidden="1" customHeight="1">
      <c r="D1718" s="916">
        <v>44</v>
      </c>
      <c r="E1718" s="895"/>
      <c r="F1718" s="896" t="s">
        <v>803</v>
      </c>
      <c r="G1718" s="897" t="s">
        <v>62</v>
      </c>
      <c r="H1718" s="894">
        <f t="shared" si="42"/>
        <v>0</v>
      </c>
      <c r="I1718" s="1435"/>
      <c r="J1718" s="1446">
        <f t="shared" si="41"/>
        <v>0</v>
      </c>
      <c r="K1718" s="898">
        <v>494200</v>
      </c>
    </row>
    <row r="1719" spans="4:11" ht="22.8" hidden="1" customHeight="1">
      <c r="D1719" s="916">
        <v>45</v>
      </c>
      <c r="E1719" s="895"/>
      <c r="F1719" s="896" t="s">
        <v>804</v>
      </c>
      <c r="G1719" s="897" t="s">
        <v>62</v>
      </c>
      <c r="H1719" s="894">
        <f t="shared" si="42"/>
        <v>0</v>
      </c>
      <c r="I1719" s="1435"/>
      <c r="J1719" s="1446">
        <f t="shared" si="41"/>
        <v>0</v>
      </c>
      <c r="K1719" s="898">
        <v>750000</v>
      </c>
    </row>
    <row r="1720" spans="4:11" ht="22.8" hidden="1" customHeight="1">
      <c r="D1720" s="916">
        <v>46</v>
      </c>
      <c r="E1720" s="895"/>
      <c r="F1720" s="896" t="s">
        <v>805</v>
      </c>
      <c r="G1720" s="897" t="s">
        <v>65</v>
      </c>
      <c r="H1720" s="894">
        <f t="shared" si="42"/>
        <v>0</v>
      </c>
      <c r="I1720" s="1435"/>
      <c r="J1720" s="1446">
        <f t="shared" si="41"/>
        <v>0</v>
      </c>
      <c r="K1720" s="898">
        <v>210400</v>
      </c>
    </row>
    <row r="1721" spans="4:11" ht="22.8" hidden="1" customHeight="1">
      <c r="D1721" s="916">
        <v>47</v>
      </c>
      <c r="E1721" s="895"/>
      <c r="F1721" s="896" t="s">
        <v>806</v>
      </c>
      <c r="G1721" s="897" t="s">
        <v>65</v>
      </c>
      <c r="H1721" s="894">
        <f t="shared" si="42"/>
        <v>0</v>
      </c>
      <c r="I1721" s="1435"/>
      <c r="J1721" s="1446">
        <f t="shared" si="41"/>
        <v>0</v>
      </c>
      <c r="K1721" s="898">
        <v>34500</v>
      </c>
    </row>
    <row r="1722" spans="4:11" ht="22.8" customHeight="1">
      <c r="D1722" s="1423">
        <v>108</v>
      </c>
      <c r="E1722" s="895"/>
      <c r="F1722" s="896" t="s">
        <v>807</v>
      </c>
      <c r="G1722" s="897" t="s">
        <v>113</v>
      </c>
      <c r="H1722" s="894">
        <f t="shared" si="42"/>
        <v>93600</v>
      </c>
      <c r="I1722" s="1435">
        <v>104000</v>
      </c>
      <c r="J1722" s="1446">
        <f t="shared" si="41"/>
        <v>93600</v>
      </c>
      <c r="K1722" s="898">
        <v>130000</v>
      </c>
    </row>
    <row r="1723" spans="4:11" ht="22.8" hidden="1" customHeight="1">
      <c r="D1723" s="916">
        <v>49</v>
      </c>
      <c r="E1723" s="895"/>
      <c r="F1723" s="896" t="s">
        <v>808</v>
      </c>
      <c r="G1723" s="897" t="s">
        <v>113</v>
      </c>
      <c r="H1723" s="898">
        <v>15000</v>
      </c>
      <c r="I1723" s="1435"/>
      <c r="J1723" s="1446">
        <f t="shared" si="41"/>
        <v>0</v>
      </c>
      <c r="K1723" s="898">
        <v>15000</v>
      </c>
    </row>
    <row r="1724" spans="4:11" ht="22.8" hidden="1" customHeight="1">
      <c r="D1724" s="916">
        <v>50</v>
      </c>
      <c r="E1724" s="895"/>
      <c r="F1724" s="896" t="s">
        <v>809</v>
      </c>
      <c r="G1724" s="897" t="s">
        <v>113</v>
      </c>
      <c r="H1724" s="898">
        <v>60000</v>
      </c>
      <c r="I1724" s="1435"/>
      <c r="J1724" s="1446">
        <f t="shared" si="41"/>
        <v>0</v>
      </c>
      <c r="K1724" s="898">
        <v>60000</v>
      </c>
    </row>
    <row r="1725" spans="4:11" ht="22.8" hidden="1" customHeight="1">
      <c r="D1725" s="916">
        <v>51</v>
      </c>
      <c r="E1725" s="895"/>
      <c r="F1725" s="896" t="s">
        <v>810</v>
      </c>
      <c r="G1725" s="897" t="s">
        <v>113</v>
      </c>
      <c r="H1725" s="898">
        <v>16200</v>
      </c>
      <c r="I1725" s="1435"/>
      <c r="J1725" s="1446">
        <f t="shared" si="41"/>
        <v>0</v>
      </c>
      <c r="K1725" s="898">
        <v>16200</v>
      </c>
    </row>
    <row r="1726" spans="4:11" ht="22.8" hidden="1" customHeight="1">
      <c r="D1726" s="916">
        <v>52</v>
      </c>
      <c r="E1726" s="895"/>
      <c r="F1726" s="896" t="s">
        <v>811</v>
      </c>
      <c r="G1726" s="897" t="s">
        <v>113</v>
      </c>
      <c r="H1726" s="898">
        <v>19000</v>
      </c>
      <c r="I1726" s="1435"/>
      <c r="J1726" s="1446">
        <f t="shared" si="41"/>
        <v>0</v>
      </c>
      <c r="K1726" s="898">
        <v>19000</v>
      </c>
    </row>
    <row r="1727" spans="4:11" ht="22.8" hidden="1" customHeight="1">
      <c r="D1727" s="916">
        <v>53</v>
      </c>
      <c r="E1727" s="895"/>
      <c r="F1727" s="896" t="s">
        <v>812</v>
      </c>
      <c r="G1727" s="897" t="s">
        <v>775</v>
      </c>
      <c r="H1727" s="898">
        <v>1025800</v>
      </c>
      <c r="I1727" s="1435"/>
      <c r="J1727" s="1446">
        <f t="shared" si="41"/>
        <v>0</v>
      </c>
      <c r="K1727" s="898">
        <v>1025800</v>
      </c>
    </row>
    <row r="1728" spans="4:11" ht="22.8" hidden="1" customHeight="1">
      <c r="D1728" s="916">
        <v>54</v>
      </c>
      <c r="E1728" s="895"/>
      <c r="F1728" s="896" t="s">
        <v>813</v>
      </c>
      <c r="G1728" s="897" t="s">
        <v>775</v>
      </c>
      <c r="H1728" s="898">
        <v>1750300</v>
      </c>
      <c r="I1728" s="1435"/>
      <c r="J1728" s="1446">
        <f t="shared" ref="J1728:J1791" si="43">I1728-(I1728*10%)</f>
        <v>0</v>
      </c>
      <c r="K1728" s="898">
        <v>1750300</v>
      </c>
    </row>
    <row r="1729" spans="4:11" ht="22.8" hidden="1" customHeight="1">
      <c r="D1729" s="916">
        <v>55</v>
      </c>
      <c r="E1729" s="895"/>
      <c r="F1729" s="896" t="s">
        <v>814</v>
      </c>
      <c r="G1729" s="897" t="s">
        <v>62</v>
      </c>
      <c r="H1729" s="898">
        <v>600600</v>
      </c>
      <c r="I1729" s="1435"/>
      <c r="J1729" s="1446">
        <f t="shared" si="43"/>
        <v>0</v>
      </c>
      <c r="K1729" s="898">
        <v>600600</v>
      </c>
    </row>
    <row r="1730" spans="4:11" ht="22.8" hidden="1" customHeight="1">
      <c r="D1730" s="916">
        <v>56</v>
      </c>
      <c r="E1730" s="895"/>
      <c r="F1730" s="896" t="s">
        <v>815</v>
      </c>
      <c r="G1730" s="897" t="s">
        <v>62</v>
      </c>
      <c r="H1730" s="898">
        <v>509100</v>
      </c>
      <c r="I1730" s="1435"/>
      <c r="J1730" s="1446">
        <f t="shared" si="43"/>
        <v>0</v>
      </c>
      <c r="K1730" s="898">
        <v>509100</v>
      </c>
    </row>
    <row r="1731" spans="4:11" ht="22.8" hidden="1" customHeight="1">
      <c r="D1731" s="916">
        <v>57</v>
      </c>
      <c r="E1731" s="895"/>
      <c r="F1731" s="896" t="s">
        <v>816</v>
      </c>
      <c r="G1731" s="897" t="s">
        <v>113</v>
      </c>
      <c r="H1731" s="898">
        <v>1811200</v>
      </c>
      <c r="I1731" s="1435"/>
      <c r="J1731" s="1446">
        <f t="shared" si="43"/>
        <v>0</v>
      </c>
      <c r="K1731" s="898">
        <v>1811200</v>
      </c>
    </row>
    <row r="1732" spans="4:11" ht="22.8" hidden="1" customHeight="1">
      <c r="D1732" s="916">
        <v>58</v>
      </c>
      <c r="E1732" s="895"/>
      <c r="F1732" s="896" t="s">
        <v>817</v>
      </c>
      <c r="G1732" s="897" t="s">
        <v>44</v>
      </c>
      <c r="H1732" s="898">
        <v>456000</v>
      </c>
      <c r="I1732" s="1435"/>
      <c r="J1732" s="1446">
        <f t="shared" si="43"/>
        <v>0</v>
      </c>
      <c r="K1732" s="898">
        <v>456000</v>
      </c>
    </row>
    <row r="1733" spans="4:11" ht="22.8" hidden="1" customHeight="1">
      <c r="D1733" s="916">
        <v>59</v>
      </c>
      <c r="E1733" s="895"/>
      <c r="F1733" s="896" t="s">
        <v>818</v>
      </c>
      <c r="G1733" s="897" t="s">
        <v>113</v>
      </c>
      <c r="H1733" s="898">
        <v>2750000</v>
      </c>
      <c r="I1733" s="1435"/>
      <c r="J1733" s="1446">
        <f t="shared" si="43"/>
        <v>0</v>
      </c>
      <c r="K1733" s="898">
        <v>2750000</v>
      </c>
    </row>
    <row r="1734" spans="4:11" ht="22.8" hidden="1" customHeight="1">
      <c r="D1734" s="916">
        <v>60</v>
      </c>
      <c r="E1734" s="895"/>
      <c r="F1734" s="896" t="s">
        <v>819</v>
      </c>
      <c r="G1734" s="897" t="s">
        <v>113</v>
      </c>
      <c r="H1734" s="898">
        <v>3150000</v>
      </c>
      <c r="I1734" s="1435"/>
      <c r="J1734" s="1446">
        <f t="shared" si="43"/>
        <v>0</v>
      </c>
      <c r="K1734" s="898">
        <v>3150000</v>
      </c>
    </row>
    <row r="1735" spans="4:11" ht="22.8" hidden="1" customHeight="1">
      <c r="D1735" s="916">
        <v>61</v>
      </c>
      <c r="E1735" s="895"/>
      <c r="F1735" s="896" t="s">
        <v>820</v>
      </c>
      <c r="G1735" s="897" t="s">
        <v>113</v>
      </c>
      <c r="H1735" s="898">
        <v>3500000</v>
      </c>
      <c r="I1735" s="1435"/>
      <c r="J1735" s="1446">
        <f t="shared" si="43"/>
        <v>0</v>
      </c>
      <c r="K1735" s="898">
        <v>3500000</v>
      </c>
    </row>
    <row r="1736" spans="4:11" ht="22.8" hidden="1" customHeight="1">
      <c r="D1736" s="916">
        <v>62</v>
      </c>
      <c r="E1736" s="895"/>
      <c r="F1736" s="896" t="s">
        <v>821</v>
      </c>
      <c r="G1736" s="897" t="s">
        <v>113</v>
      </c>
      <c r="H1736" s="898">
        <v>3800000</v>
      </c>
      <c r="I1736" s="1435"/>
      <c r="J1736" s="1446">
        <f t="shared" si="43"/>
        <v>0</v>
      </c>
      <c r="K1736" s="898">
        <v>3800000</v>
      </c>
    </row>
    <row r="1737" spans="4:11" ht="22.8" hidden="1" customHeight="1">
      <c r="D1737" s="916">
        <v>63</v>
      </c>
      <c r="E1737" s="895"/>
      <c r="F1737" s="896" t="s">
        <v>822</v>
      </c>
      <c r="G1737" s="897" t="s">
        <v>775</v>
      </c>
      <c r="H1737" s="898">
        <v>78200</v>
      </c>
      <c r="I1737" s="1435"/>
      <c r="J1737" s="1446">
        <f t="shared" si="43"/>
        <v>0</v>
      </c>
      <c r="K1737" s="898">
        <v>78200</v>
      </c>
    </row>
    <row r="1738" spans="4:11" ht="22.8" hidden="1" customHeight="1">
      <c r="D1738" s="916">
        <v>64</v>
      </c>
      <c r="E1738" s="895"/>
      <c r="F1738" s="896" t="s">
        <v>823</v>
      </c>
      <c r="G1738" s="897" t="s">
        <v>775</v>
      </c>
      <c r="H1738" s="898">
        <v>1146500</v>
      </c>
      <c r="I1738" s="1435"/>
      <c r="J1738" s="1446">
        <f t="shared" si="43"/>
        <v>0</v>
      </c>
      <c r="K1738" s="898">
        <v>1146500</v>
      </c>
    </row>
    <row r="1739" spans="4:11" ht="22.8" hidden="1" customHeight="1">
      <c r="D1739" s="916">
        <v>65</v>
      </c>
      <c r="E1739" s="895"/>
      <c r="F1739" s="896" t="s">
        <v>824</v>
      </c>
      <c r="G1739" s="897" t="s">
        <v>775</v>
      </c>
      <c r="H1739" s="898">
        <v>633600</v>
      </c>
      <c r="I1739" s="1435"/>
      <c r="J1739" s="1446">
        <f t="shared" si="43"/>
        <v>0</v>
      </c>
      <c r="K1739" s="898">
        <v>633600</v>
      </c>
    </row>
    <row r="1740" spans="4:11" ht="22.8" hidden="1" customHeight="1">
      <c r="D1740" s="916">
        <v>66</v>
      </c>
      <c r="E1740" s="895"/>
      <c r="F1740" s="896" t="s">
        <v>825</v>
      </c>
      <c r="G1740" s="897" t="s">
        <v>62</v>
      </c>
      <c r="H1740" s="898">
        <v>381900</v>
      </c>
      <c r="I1740" s="1435"/>
      <c r="J1740" s="1446">
        <f t="shared" si="43"/>
        <v>0</v>
      </c>
      <c r="K1740" s="898">
        <v>381900</v>
      </c>
    </row>
    <row r="1741" spans="4:11" ht="22.8" hidden="1" customHeight="1">
      <c r="D1741" s="916">
        <v>67</v>
      </c>
      <c r="E1741" s="895"/>
      <c r="F1741" s="896" t="s">
        <v>826</v>
      </c>
      <c r="G1741" s="897" t="s">
        <v>113</v>
      </c>
      <c r="H1741" s="898">
        <v>53300</v>
      </c>
      <c r="I1741" s="1435"/>
      <c r="J1741" s="1446">
        <f t="shared" si="43"/>
        <v>0</v>
      </c>
      <c r="K1741" s="898">
        <v>53300</v>
      </c>
    </row>
    <row r="1742" spans="4:11" ht="22.8" hidden="1" customHeight="1">
      <c r="D1742" s="916">
        <v>68</v>
      </c>
      <c r="E1742" s="895"/>
      <c r="F1742" s="896" t="s">
        <v>2686</v>
      </c>
      <c r="G1742" s="897" t="s">
        <v>1300</v>
      </c>
      <c r="H1742" s="898">
        <v>75000</v>
      </c>
      <c r="I1742" s="1435"/>
      <c r="J1742" s="1446">
        <f t="shared" si="43"/>
        <v>0</v>
      </c>
      <c r="K1742" s="898">
        <v>75000</v>
      </c>
    </row>
    <row r="1743" spans="4:11" ht="22.8" hidden="1" customHeight="1">
      <c r="D1743" s="916">
        <v>69</v>
      </c>
      <c r="E1743" s="895"/>
      <c r="F1743" s="896" t="s">
        <v>2685</v>
      </c>
      <c r="G1743" s="897" t="s">
        <v>1300</v>
      </c>
      <c r="H1743" s="898">
        <v>133000</v>
      </c>
      <c r="I1743" s="1435"/>
      <c r="J1743" s="1446">
        <f t="shared" si="43"/>
        <v>0</v>
      </c>
      <c r="K1743" s="898">
        <v>133000</v>
      </c>
    </row>
    <row r="1744" spans="4:11" ht="22.8" hidden="1" customHeight="1">
      <c r="D1744" s="916">
        <v>70</v>
      </c>
      <c r="E1744" s="895"/>
      <c r="F1744" s="896" t="s">
        <v>767</v>
      </c>
      <c r="G1744" s="897" t="s">
        <v>827</v>
      </c>
      <c r="H1744" s="898">
        <v>35600</v>
      </c>
      <c r="I1744" s="1435"/>
      <c r="J1744" s="1446">
        <f t="shared" si="43"/>
        <v>0</v>
      </c>
      <c r="K1744" s="898">
        <v>35600</v>
      </c>
    </row>
    <row r="1745" spans="4:11" ht="22.8" customHeight="1">
      <c r="D1745" s="915" t="s">
        <v>8802</v>
      </c>
      <c r="E1745" s="1795" t="s">
        <v>828</v>
      </c>
      <c r="F1745" s="1796"/>
      <c r="G1745" s="897"/>
      <c r="H1745" s="898"/>
      <c r="I1745" s="1435"/>
      <c r="J1745" s="1446">
        <f t="shared" si="43"/>
        <v>0</v>
      </c>
      <c r="K1745" s="898"/>
    </row>
    <row r="1746" spans="4:11" ht="22.8" hidden="1" customHeight="1">
      <c r="D1746" s="916">
        <v>1</v>
      </c>
      <c r="E1746" s="895"/>
      <c r="F1746" s="896" t="s">
        <v>829</v>
      </c>
      <c r="G1746" s="897" t="s">
        <v>44</v>
      </c>
      <c r="H1746" s="898">
        <v>300000</v>
      </c>
      <c r="I1746" s="1435"/>
      <c r="J1746" s="1446">
        <f t="shared" si="43"/>
        <v>0</v>
      </c>
      <c r="K1746" s="898">
        <v>300000</v>
      </c>
    </row>
    <row r="1747" spans="4:11" ht="22.8" hidden="1" customHeight="1">
      <c r="D1747" s="916">
        <v>2</v>
      </c>
      <c r="E1747" s="895"/>
      <c r="F1747" s="896" t="s">
        <v>830</v>
      </c>
      <c r="G1747" s="897" t="s">
        <v>113</v>
      </c>
      <c r="H1747" s="898">
        <v>29000</v>
      </c>
      <c r="I1747" s="1435"/>
      <c r="J1747" s="1446">
        <f t="shared" si="43"/>
        <v>0</v>
      </c>
      <c r="K1747" s="898">
        <v>29000</v>
      </c>
    </row>
    <row r="1748" spans="4:11" ht="22.8" hidden="1" customHeight="1">
      <c r="D1748" s="916">
        <v>3</v>
      </c>
      <c r="E1748" s="895"/>
      <c r="F1748" s="896" t="s">
        <v>831</v>
      </c>
      <c r="G1748" s="897" t="s">
        <v>113</v>
      </c>
      <c r="H1748" s="898">
        <v>33000</v>
      </c>
      <c r="I1748" s="1435"/>
      <c r="J1748" s="1446">
        <f t="shared" si="43"/>
        <v>0</v>
      </c>
      <c r="K1748" s="898">
        <v>33000</v>
      </c>
    </row>
    <row r="1749" spans="4:11" ht="22.8" hidden="1" customHeight="1">
      <c r="D1749" s="916">
        <v>4</v>
      </c>
      <c r="E1749" s="895"/>
      <c r="F1749" s="896" t="s">
        <v>832</v>
      </c>
      <c r="G1749" s="897" t="s">
        <v>113</v>
      </c>
      <c r="H1749" s="898">
        <v>53000</v>
      </c>
      <c r="I1749" s="1435"/>
      <c r="J1749" s="1446">
        <f t="shared" si="43"/>
        <v>0</v>
      </c>
      <c r="K1749" s="898">
        <v>53000</v>
      </c>
    </row>
    <row r="1750" spans="4:11" ht="22.8" hidden="1" customHeight="1">
      <c r="D1750" s="916">
        <v>5</v>
      </c>
      <c r="E1750" s="895"/>
      <c r="F1750" s="896" t="s">
        <v>833</v>
      </c>
      <c r="G1750" s="897" t="s">
        <v>113</v>
      </c>
      <c r="H1750" s="898">
        <v>72000</v>
      </c>
      <c r="I1750" s="1435"/>
      <c r="J1750" s="1446">
        <f t="shared" si="43"/>
        <v>0</v>
      </c>
      <c r="K1750" s="898">
        <v>72000</v>
      </c>
    </row>
    <row r="1751" spans="4:11" ht="22.8" hidden="1" customHeight="1">
      <c r="D1751" s="916">
        <v>6</v>
      </c>
      <c r="E1751" s="895"/>
      <c r="F1751" s="896" t="s">
        <v>834</v>
      </c>
      <c r="G1751" s="897" t="s">
        <v>113</v>
      </c>
      <c r="H1751" s="898">
        <v>12000</v>
      </c>
      <c r="I1751" s="1435"/>
      <c r="J1751" s="1446">
        <f t="shared" si="43"/>
        <v>0</v>
      </c>
      <c r="K1751" s="898">
        <v>12000</v>
      </c>
    </row>
    <row r="1752" spans="4:11" ht="22.8" hidden="1" customHeight="1">
      <c r="D1752" s="916">
        <v>7</v>
      </c>
      <c r="E1752" s="895"/>
      <c r="F1752" s="896" t="s">
        <v>835</v>
      </c>
      <c r="G1752" s="897" t="s">
        <v>113</v>
      </c>
      <c r="H1752" s="898">
        <v>95500</v>
      </c>
      <c r="I1752" s="1435"/>
      <c r="J1752" s="1446">
        <f t="shared" si="43"/>
        <v>0</v>
      </c>
      <c r="K1752" s="898">
        <v>95500</v>
      </c>
    </row>
    <row r="1753" spans="4:11" ht="22.8" hidden="1" customHeight="1">
      <c r="D1753" s="916">
        <v>8</v>
      </c>
      <c r="E1753" s="895"/>
      <c r="F1753" s="896" t="s">
        <v>836</v>
      </c>
      <c r="G1753" s="897" t="s">
        <v>113</v>
      </c>
      <c r="H1753" s="898">
        <v>13200</v>
      </c>
      <c r="I1753" s="1435"/>
      <c r="J1753" s="1446">
        <f t="shared" si="43"/>
        <v>0</v>
      </c>
      <c r="K1753" s="898">
        <v>13200</v>
      </c>
    </row>
    <row r="1754" spans="4:11" ht="22.8" hidden="1" customHeight="1">
      <c r="D1754" s="916">
        <v>9</v>
      </c>
      <c r="E1754" s="895"/>
      <c r="F1754" s="896" t="s">
        <v>7722</v>
      </c>
      <c r="G1754" s="897" t="s">
        <v>113</v>
      </c>
      <c r="H1754" s="898">
        <v>38300</v>
      </c>
      <c r="I1754" s="1435"/>
      <c r="J1754" s="1446">
        <f t="shared" si="43"/>
        <v>0</v>
      </c>
      <c r="K1754" s="898">
        <v>38300</v>
      </c>
    </row>
    <row r="1755" spans="4:11" ht="22.8" hidden="1" customHeight="1">
      <c r="D1755" s="916">
        <v>10</v>
      </c>
      <c r="E1755" s="895"/>
      <c r="F1755" s="896" t="s">
        <v>837</v>
      </c>
      <c r="G1755" s="897" t="s">
        <v>113</v>
      </c>
      <c r="H1755" s="898">
        <v>136000</v>
      </c>
      <c r="I1755" s="1435"/>
      <c r="J1755" s="1446">
        <f t="shared" si="43"/>
        <v>0</v>
      </c>
      <c r="K1755" s="898">
        <v>136000</v>
      </c>
    </row>
    <row r="1756" spans="4:11" ht="22.8" hidden="1" customHeight="1">
      <c r="D1756" s="916">
        <v>11</v>
      </c>
      <c r="E1756" s="895"/>
      <c r="F1756" s="896" t="s">
        <v>838</v>
      </c>
      <c r="G1756" s="897" t="s">
        <v>113</v>
      </c>
      <c r="H1756" s="898">
        <v>185000</v>
      </c>
      <c r="I1756" s="1435"/>
      <c r="J1756" s="1446">
        <f t="shared" si="43"/>
        <v>0</v>
      </c>
      <c r="K1756" s="898">
        <v>185000</v>
      </c>
    </row>
    <row r="1757" spans="4:11" ht="22.8" hidden="1" customHeight="1">
      <c r="D1757" s="916">
        <v>12</v>
      </c>
      <c r="E1757" s="895"/>
      <c r="F1757" s="896" t="s">
        <v>839</v>
      </c>
      <c r="G1757" s="897" t="s">
        <v>113</v>
      </c>
      <c r="H1757" s="898">
        <v>275000</v>
      </c>
      <c r="I1757" s="1435"/>
      <c r="J1757" s="1446">
        <f t="shared" si="43"/>
        <v>0</v>
      </c>
      <c r="K1757" s="898">
        <v>275000</v>
      </c>
    </row>
    <row r="1758" spans="4:11" ht="22.8" hidden="1" customHeight="1">
      <c r="D1758" s="916">
        <v>13</v>
      </c>
      <c r="E1758" s="895"/>
      <c r="F1758" s="896" t="s">
        <v>840</v>
      </c>
      <c r="G1758" s="897" t="s">
        <v>113</v>
      </c>
      <c r="H1758" s="898">
        <v>23000</v>
      </c>
      <c r="I1758" s="1435"/>
      <c r="J1758" s="1446">
        <f t="shared" si="43"/>
        <v>0</v>
      </c>
      <c r="K1758" s="898">
        <v>23000</v>
      </c>
    </row>
    <row r="1759" spans="4:11" ht="22.8" hidden="1" customHeight="1">
      <c r="D1759" s="916">
        <v>14</v>
      </c>
      <c r="E1759" s="895"/>
      <c r="F1759" s="896" t="s">
        <v>7718</v>
      </c>
      <c r="G1759" s="897" t="s">
        <v>113</v>
      </c>
      <c r="H1759" s="898">
        <v>27100</v>
      </c>
      <c r="I1759" s="1435"/>
      <c r="J1759" s="1446">
        <f t="shared" si="43"/>
        <v>0</v>
      </c>
      <c r="K1759" s="898">
        <v>27100</v>
      </c>
    </row>
    <row r="1760" spans="4:11" ht="22.8" hidden="1" customHeight="1">
      <c r="D1760" s="916">
        <v>15</v>
      </c>
      <c r="E1760" s="895"/>
      <c r="F1760" s="896" t="s">
        <v>841</v>
      </c>
      <c r="G1760" s="897" t="s">
        <v>113</v>
      </c>
      <c r="H1760" s="898">
        <v>33500</v>
      </c>
      <c r="I1760" s="1435"/>
      <c r="J1760" s="1446">
        <f t="shared" si="43"/>
        <v>0</v>
      </c>
      <c r="K1760" s="898">
        <v>33500</v>
      </c>
    </row>
    <row r="1761" spans="4:11" ht="22.8" hidden="1" customHeight="1">
      <c r="D1761" s="916">
        <v>16</v>
      </c>
      <c r="E1761" s="895"/>
      <c r="F1761" s="896" t="s">
        <v>7720</v>
      </c>
      <c r="G1761" s="897" t="s">
        <v>113</v>
      </c>
      <c r="H1761" s="898">
        <v>37600</v>
      </c>
      <c r="I1761" s="1435"/>
      <c r="J1761" s="1446">
        <f t="shared" si="43"/>
        <v>0</v>
      </c>
      <c r="K1761" s="898">
        <v>37600</v>
      </c>
    </row>
    <row r="1762" spans="4:11" ht="22.8" hidden="1" customHeight="1">
      <c r="D1762" s="916">
        <v>17</v>
      </c>
      <c r="E1762" s="895"/>
      <c r="F1762" s="896" t="s">
        <v>842</v>
      </c>
      <c r="G1762" s="897" t="s">
        <v>113</v>
      </c>
      <c r="H1762" s="898">
        <v>40000</v>
      </c>
      <c r="I1762" s="1435"/>
      <c r="J1762" s="1446">
        <f t="shared" si="43"/>
        <v>0</v>
      </c>
      <c r="K1762" s="898">
        <v>40000</v>
      </c>
    </row>
    <row r="1763" spans="4:11" ht="22.8" hidden="1" customHeight="1">
      <c r="D1763" s="916">
        <v>18</v>
      </c>
      <c r="E1763" s="895"/>
      <c r="F1763" s="896" t="s">
        <v>843</v>
      </c>
      <c r="G1763" s="897" t="s">
        <v>113</v>
      </c>
      <c r="H1763" s="898">
        <v>1607400</v>
      </c>
      <c r="I1763" s="1435"/>
      <c r="J1763" s="1446">
        <f t="shared" si="43"/>
        <v>0</v>
      </c>
      <c r="K1763" s="898">
        <v>1607400</v>
      </c>
    </row>
    <row r="1764" spans="4:11" ht="22.8" hidden="1" customHeight="1">
      <c r="D1764" s="916">
        <v>19</v>
      </c>
      <c r="E1764" s="895"/>
      <c r="F1764" s="896" t="s">
        <v>844</v>
      </c>
      <c r="G1764" s="897" t="s">
        <v>113</v>
      </c>
      <c r="H1764" s="898">
        <v>90000</v>
      </c>
      <c r="I1764" s="1435"/>
      <c r="J1764" s="1446">
        <f t="shared" si="43"/>
        <v>0</v>
      </c>
      <c r="K1764" s="898">
        <v>90000</v>
      </c>
    </row>
    <row r="1765" spans="4:11" ht="22.8" hidden="1" customHeight="1">
      <c r="D1765" s="916">
        <v>20</v>
      </c>
      <c r="E1765" s="895"/>
      <c r="F1765" s="896" t="s">
        <v>845</v>
      </c>
      <c r="G1765" s="897" t="s">
        <v>113</v>
      </c>
      <c r="H1765" s="898">
        <v>110000</v>
      </c>
      <c r="I1765" s="1435"/>
      <c r="J1765" s="1446">
        <f t="shared" si="43"/>
        <v>0</v>
      </c>
      <c r="K1765" s="898">
        <v>110000</v>
      </c>
    </row>
    <row r="1766" spans="4:11" ht="22.8" hidden="1" customHeight="1">
      <c r="D1766" s="916">
        <v>21</v>
      </c>
      <c r="E1766" s="895"/>
      <c r="F1766" s="896" t="s">
        <v>846</v>
      </c>
      <c r="G1766" s="897" t="s">
        <v>113</v>
      </c>
      <c r="H1766" s="898">
        <v>3200</v>
      </c>
      <c r="I1766" s="1435"/>
      <c r="J1766" s="1446">
        <f t="shared" si="43"/>
        <v>0</v>
      </c>
      <c r="K1766" s="898">
        <v>3200</v>
      </c>
    </row>
    <row r="1767" spans="4:11" ht="22.8" hidden="1" customHeight="1">
      <c r="D1767" s="916">
        <v>22</v>
      </c>
      <c r="E1767" s="895"/>
      <c r="F1767" s="896" t="s">
        <v>847</v>
      </c>
      <c r="G1767" s="897" t="s">
        <v>113</v>
      </c>
      <c r="H1767" s="898">
        <v>20000</v>
      </c>
      <c r="I1767" s="1435"/>
      <c r="J1767" s="1446">
        <f t="shared" si="43"/>
        <v>0</v>
      </c>
      <c r="K1767" s="898">
        <v>20000</v>
      </c>
    </row>
    <row r="1768" spans="4:11" ht="22.8" hidden="1" customHeight="1">
      <c r="D1768" s="916">
        <v>23</v>
      </c>
      <c r="E1768" s="895"/>
      <c r="F1768" s="896" t="s">
        <v>848</v>
      </c>
      <c r="G1768" s="897" t="s">
        <v>113</v>
      </c>
      <c r="H1768" s="898">
        <v>33000</v>
      </c>
      <c r="I1768" s="1435"/>
      <c r="J1768" s="1446">
        <f t="shared" si="43"/>
        <v>0</v>
      </c>
      <c r="K1768" s="898">
        <v>33000</v>
      </c>
    </row>
    <row r="1769" spans="4:11" ht="22.8" hidden="1" customHeight="1">
      <c r="D1769" s="916">
        <v>24</v>
      </c>
      <c r="E1769" s="895"/>
      <c r="F1769" s="896" t="s">
        <v>849</v>
      </c>
      <c r="G1769" s="897" t="s">
        <v>113</v>
      </c>
      <c r="H1769" s="898">
        <v>5300</v>
      </c>
      <c r="I1769" s="1435"/>
      <c r="J1769" s="1446">
        <f t="shared" si="43"/>
        <v>0</v>
      </c>
      <c r="K1769" s="898">
        <v>5300</v>
      </c>
    </row>
    <row r="1770" spans="4:11" ht="22.8" hidden="1" customHeight="1">
      <c r="D1770" s="916">
        <v>25</v>
      </c>
      <c r="E1770" s="895"/>
      <c r="F1770" s="896" t="s">
        <v>850</v>
      </c>
      <c r="G1770" s="897" t="s">
        <v>113</v>
      </c>
      <c r="H1770" s="898">
        <v>8300</v>
      </c>
      <c r="I1770" s="1435"/>
      <c r="J1770" s="1446">
        <f t="shared" si="43"/>
        <v>0</v>
      </c>
      <c r="K1770" s="898">
        <v>8300</v>
      </c>
    </row>
    <row r="1771" spans="4:11" ht="22.8" hidden="1" customHeight="1">
      <c r="D1771" s="916">
        <v>26</v>
      </c>
      <c r="E1771" s="895"/>
      <c r="F1771" s="896" t="s">
        <v>851</v>
      </c>
      <c r="G1771" s="897" t="s">
        <v>113</v>
      </c>
      <c r="H1771" s="898">
        <v>12200</v>
      </c>
      <c r="I1771" s="1435"/>
      <c r="J1771" s="1446">
        <f t="shared" si="43"/>
        <v>0</v>
      </c>
      <c r="K1771" s="898">
        <v>12200</v>
      </c>
    </row>
    <row r="1772" spans="4:11" ht="22.8" hidden="1" customHeight="1">
      <c r="D1772" s="916">
        <v>27</v>
      </c>
      <c r="E1772" s="895"/>
      <c r="F1772" s="896" t="s">
        <v>852</v>
      </c>
      <c r="G1772" s="897" t="s">
        <v>113</v>
      </c>
      <c r="H1772" s="898">
        <v>9200</v>
      </c>
      <c r="I1772" s="1435"/>
      <c r="J1772" s="1446">
        <f t="shared" si="43"/>
        <v>0</v>
      </c>
      <c r="K1772" s="898">
        <v>9200</v>
      </c>
    </row>
    <row r="1773" spans="4:11" ht="22.8" hidden="1" customHeight="1">
      <c r="D1773" s="916">
        <v>28</v>
      </c>
      <c r="E1773" s="895"/>
      <c r="F1773" s="896" t="s">
        <v>853</v>
      </c>
      <c r="G1773" s="897" t="s">
        <v>113</v>
      </c>
      <c r="H1773" s="898">
        <v>14000</v>
      </c>
      <c r="I1773" s="1435"/>
      <c r="J1773" s="1446">
        <f t="shared" si="43"/>
        <v>0</v>
      </c>
      <c r="K1773" s="898">
        <v>14000</v>
      </c>
    </row>
    <row r="1774" spans="4:11" ht="22.8" hidden="1" customHeight="1">
      <c r="D1774" s="916">
        <v>29</v>
      </c>
      <c r="E1774" s="895"/>
      <c r="F1774" s="896" t="s">
        <v>3280</v>
      </c>
      <c r="G1774" s="897" t="s">
        <v>113</v>
      </c>
      <c r="H1774" s="898">
        <v>19448</v>
      </c>
      <c r="I1774" s="1435"/>
      <c r="J1774" s="1446">
        <f t="shared" si="43"/>
        <v>0</v>
      </c>
      <c r="K1774" s="898">
        <v>19448</v>
      </c>
    </row>
    <row r="1775" spans="4:11" ht="22.8" hidden="1" customHeight="1">
      <c r="D1775" s="916">
        <v>30</v>
      </c>
      <c r="E1775" s="895"/>
      <c r="F1775" s="896" t="s">
        <v>3287</v>
      </c>
      <c r="G1775" s="897" t="s">
        <v>113</v>
      </c>
      <c r="H1775" s="898">
        <v>51500</v>
      </c>
      <c r="I1775" s="1435"/>
      <c r="J1775" s="1446">
        <f t="shared" si="43"/>
        <v>0</v>
      </c>
      <c r="K1775" s="898">
        <v>51500</v>
      </c>
    </row>
    <row r="1776" spans="4:11" ht="22.8" hidden="1" customHeight="1">
      <c r="D1776" s="916">
        <v>31</v>
      </c>
      <c r="E1776" s="895"/>
      <c r="F1776" s="896" t="s">
        <v>3292</v>
      </c>
      <c r="G1776" s="897" t="s">
        <v>113</v>
      </c>
      <c r="H1776" s="898">
        <v>71250</v>
      </c>
      <c r="I1776" s="1435"/>
      <c r="J1776" s="1446">
        <f t="shared" si="43"/>
        <v>0</v>
      </c>
      <c r="K1776" s="898">
        <v>71250</v>
      </c>
    </row>
    <row r="1777" spans="4:11" ht="22.8" hidden="1" customHeight="1">
      <c r="D1777" s="916">
        <v>32</v>
      </c>
      <c r="E1777" s="895"/>
      <c r="F1777" s="896" t="s">
        <v>3296</v>
      </c>
      <c r="G1777" s="897" t="s">
        <v>113</v>
      </c>
      <c r="H1777" s="898">
        <v>181000</v>
      </c>
      <c r="I1777" s="1435"/>
      <c r="J1777" s="1446">
        <f t="shared" si="43"/>
        <v>0</v>
      </c>
      <c r="K1777" s="898">
        <v>181000</v>
      </c>
    </row>
    <row r="1778" spans="4:11" ht="22.8" hidden="1" customHeight="1">
      <c r="D1778" s="916">
        <v>33</v>
      </c>
      <c r="E1778" s="895"/>
      <c r="F1778" s="896" t="s">
        <v>854</v>
      </c>
      <c r="G1778" s="897" t="s">
        <v>113</v>
      </c>
      <c r="H1778" s="898">
        <v>22750</v>
      </c>
      <c r="I1778" s="1435"/>
      <c r="J1778" s="1446">
        <f t="shared" si="43"/>
        <v>0</v>
      </c>
      <c r="K1778" s="898">
        <v>22750</v>
      </c>
    </row>
    <row r="1779" spans="4:11" ht="22.8" hidden="1" customHeight="1">
      <c r="D1779" s="916">
        <v>34</v>
      </c>
      <c r="E1779" s="895"/>
      <c r="F1779" s="896" t="s">
        <v>855</v>
      </c>
      <c r="G1779" s="897" t="s">
        <v>113</v>
      </c>
      <c r="H1779" s="898">
        <v>60750</v>
      </c>
      <c r="I1779" s="1435"/>
      <c r="J1779" s="1446">
        <f t="shared" si="43"/>
        <v>0</v>
      </c>
      <c r="K1779" s="898">
        <v>60750</v>
      </c>
    </row>
    <row r="1780" spans="4:11" ht="22.8" hidden="1" customHeight="1">
      <c r="D1780" s="916">
        <v>35</v>
      </c>
      <c r="E1780" s="895"/>
      <c r="F1780" s="896" t="s">
        <v>856</v>
      </c>
      <c r="G1780" s="897" t="s">
        <v>113</v>
      </c>
      <c r="H1780" s="898">
        <v>82000</v>
      </c>
      <c r="I1780" s="1435"/>
      <c r="J1780" s="1446">
        <f t="shared" si="43"/>
        <v>0</v>
      </c>
      <c r="K1780" s="898">
        <v>82000</v>
      </c>
    </row>
    <row r="1781" spans="4:11" ht="22.8" hidden="1" customHeight="1">
      <c r="D1781" s="916">
        <v>36</v>
      </c>
      <c r="E1781" s="895"/>
      <c r="F1781" s="896" t="s">
        <v>857</v>
      </c>
      <c r="G1781" s="897" t="s">
        <v>113</v>
      </c>
      <c r="H1781" s="898">
        <v>30500</v>
      </c>
      <c r="I1781" s="1435"/>
      <c r="J1781" s="1446">
        <f t="shared" si="43"/>
        <v>0</v>
      </c>
      <c r="K1781" s="898">
        <v>30500</v>
      </c>
    </row>
    <row r="1782" spans="4:11" ht="22.8" hidden="1" customHeight="1">
      <c r="D1782" s="916">
        <v>37</v>
      </c>
      <c r="E1782" s="895"/>
      <c r="F1782" s="896" t="s">
        <v>858</v>
      </c>
      <c r="G1782" s="897" t="s">
        <v>113</v>
      </c>
      <c r="H1782" s="898">
        <v>35200</v>
      </c>
      <c r="I1782" s="1435"/>
      <c r="J1782" s="1446">
        <f t="shared" si="43"/>
        <v>0</v>
      </c>
      <c r="K1782" s="898">
        <v>35200</v>
      </c>
    </row>
    <row r="1783" spans="4:11" ht="22.8" hidden="1" customHeight="1">
      <c r="D1783" s="916">
        <v>38</v>
      </c>
      <c r="E1783" s="895"/>
      <c r="F1783" s="896" t="s">
        <v>859</v>
      </c>
      <c r="G1783" s="897" t="s">
        <v>113</v>
      </c>
      <c r="H1783" s="898">
        <v>43350</v>
      </c>
      <c r="I1783" s="1435"/>
      <c r="J1783" s="1446">
        <f t="shared" si="43"/>
        <v>0</v>
      </c>
      <c r="K1783" s="898">
        <v>43350</v>
      </c>
    </row>
    <row r="1784" spans="4:11" ht="22.8" hidden="1" customHeight="1">
      <c r="D1784" s="916">
        <v>39</v>
      </c>
      <c r="E1784" s="895"/>
      <c r="F1784" s="896" t="s">
        <v>860</v>
      </c>
      <c r="G1784" s="897" t="s">
        <v>113</v>
      </c>
      <c r="H1784" s="898">
        <v>28500</v>
      </c>
      <c r="I1784" s="1435"/>
      <c r="J1784" s="1446">
        <f t="shared" si="43"/>
        <v>0</v>
      </c>
      <c r="K1784" s="898">
        <v>28500</v>
      </c>
    </row>
    <row r="1785" spans="4:11" ht="22.8" hidden="1" customHeight="1">
      <c r="D1785" s="916">
        <v>40</v>
      </c>
      <c r="E1785" s="895"/>
      <c r="F1785" s="896" t="s">
        <v>861</v>
      </c>
      <c r="G1785" s="897" t="s">
        <v>113</v>
      </c>
      <c r="H1785" s="898">
        <v>79600</v>
      </c>
      <c r="I1785" s="1435"/>
      <c r="J1785" s="1446">
        <f t="shared" si="43"/>
        <v>0</v>
      </c>
      <c r="K1785" s="898">
        <v>79600</v>
      </c>
    </row>
    <row r="1786" spans="4:11" ht="22.8" hidden="1" customHeight="1">
      <c r="D1786" s="916">
        <v>41</v>
      </c>
      <c r="E1786" s="895"/>
      <c r="F1786" s="896" t="s">
        <v>862</v>
      </c>
      <c r="G1786" s="897" t="s">
        <v>113</v>
      </c>
      <c r="H1786" s="898">
        <v>128900</v>
      </c>
      <c r="I1786" s="1435"/>
      <c r="J1786" s="1446">
        <f t="shared" si="43"/>
        <v>0</v>
      </c>
      <c r="K1786" s="898">
        <v>128900</v>
      </c>
    </row>
    <row r="1787" spans="4:11" ht="22.8" hidden="1" customHeight="1">
      <c r="D1787" s="916">
        <v>42</v>
      </c>
      <c r="E1787" s="895"/>
      <c r="F1787" s="896" t="s">
        <v>863</v>
      </c>
      <c r="G1787" s="897" t="s">
        <v>113</v>
      </c>
      <c r="H1787" s="898">
        <v>32900</v>
      </c>
      <c r="I1787" s="1435"/>
      <c r="J1787" s="1446">
        <f t="shared" si="43"/>
        <v>0</v>
      </c>
      <c r="K1787" s="898">
        <v>32900</v>
      </c>
    </row>
    <row r="1788" spans="4:11" ht="22.8" hidden="1" customHeight="1">
      <c r="D1788" s="916">
        <v>43</v>
      </c>
      <c r="E1788" s="895"/>
      <c r="F1788" s="896" t="s">
        <v>864</v>
      </c>
      <c r="G1788" s="897" t="s">
        <v>113</v>
      </c>
      <c r="H1788" s="898">
        <v>49000</v>
      </c>
      <c r="I1788" s="1435"/>
      <c r="J1788" s="1446">
        <f t="shared" si="43"/>
        <v>0</v>
      </c>
      <c r="K1788" s="898">
        <v>49000</v>
      </c>
    </row>
    <row r="1789" spans="4:11" ht="22.8" hidden="1" customHeight="1">
      <c r="D1789" s="916">
        <v>44</v>
      </c>
      <c r="E1789" s="895"/>
      <c r="F1789" s="896" t="s">
        <v>865</v>
      </c>
      <c r="G1789" s="897" t="s">
        <v>113</v>
      </c>
      <c r="H1789" s="898">
        <v>63500</v>
      </c>
      <c r="I1789" s="1435"/>
      <c r="J1789" s="1446">
        <f t="shared" si="43"/>
        <v>0</v>
      </c>
      <c r="K1789" s="898">
        <v>63500</v>
      </c>
    </row>
    <row r="1790" spans="4:11" ht="22.8" hidden="1" customHeight="1">
      <c r="D1790" s="916">
        <v>45</v>
      </c>
      <c r="E1790" s="895"/>
      <c r="F1790" s="896" t="s">
        <v>866</v>
      </c>
      <c r="G1790" s="897" t="s">
        <v>113</v>
      </c>
      <c r="H1790" s="898">
        <v>29400</v>
      </c>
      <c r="I1790" s="1435"/>
      <c r="J1790" s="1446">
        <f t="shared" si="43"/>
        <v>0</v>
      </c>
      <c r="K1790" s="898">
        <v>29400</v>
      </c>
    </row>
    <row r="1791" spans="4:11" ht="22.8" hidden="1" customHeight="1">
      <c r="D1791" s="916">
        <v>46</v>
      </c>
      <c r="E1791" s="895"/>
      <c r="F1791" s="896" t="s">
        <v>867</v>
      </c>
      <c r="G1791" s="897" t="s">
        <v>113</v>
      </c>
      <c r="H1791" s="898">
        <v>100600</v>
      </c>
      <c r="I1791" s="1435"/>
      <c r="J1791" s="1446">
        <f t="shared" si="43"/>
        <v>0</v>
      </c>
      <c r="K1791" s="898">
        <v>100600</v>
      </c>
    </row>
    <row r="1792" spans="4:11" ht="22.8" hidden="1" customHeight="1">
      <c r="D1792" s="916">
        <v>47</v>
      </c>
      <c r="E1792" s="895"/>
      <c r="F1792" s="896" t="s">
        <v>868</v>
      </c>
      <c r="G1792" s="897" t="s">
        <v>113</v>
      </c>
      <c r="H1792" s="898">
        <v>969500</v>
      </c>
      <c r="I1792" s="1435"/>
      <c r="J1792" s="1446">
        <f t="shared" ref="J1792:J1855" si="44">I1792-(I1792*10%)</f>
        <v>0</v>
      </c>
      <c r="K1792" s="898">
        <v>969500</v>
      </c>
    </row>
    <row r="1793" spans="4:11" ht="22.8" hidden="1" customHeight="1">
      <c r="D1793" s="916">
        <v>48</v>
      </c>
      <c r="E1793" s="895"/>
      <c r="F1793" s="896" t="s">
        <v>869</v>
      </c>
      <c r="G1793" s="897" t="s">
        <v>113</v>
      </c>
      <c r="H1793" s="898">
        <v>1187650</v>
      </c>
      <c r="I1793" s="1435"/>
      <c r="J1793" s="1446">
        <f t="shared" si="44"/>
        <v>0</v>
      </c>
      <c r="K1793" s="898">
        <v>1187650</v>
      </c>
    </row>
    <row r="1794" spans="4:11" ht="22.8" hidden="1" customHeight="1">
      <c r="D1794" s="916">
        <v>49</v>
      </c>
      <c r="E1794" s="895"/>
      <c r="F1794" s="896" t="s">
        <v>870</v>
      </c>
      <c r="G1794" s="897" t="s">
        <v>113</v>
      </c>
      <c r="H1794" s="898">
        <v>159300</v>
      </c>
      <c r="I1794" s="1435"/>
      <c r="J1794" s="1446">
        <f t="shared" si="44"/>
        <v>0</v>
      </c>
      <c r="K1794" s="898">
        <v>159300</v>
      </c>
    </row>
    <row r="1795" spans="4:11" ht="22.8" hidden="1" customHeight="1">
      <c r="D1795" s="916">
        <v>50</v>
      </c>
      <c r="E1795" s="895"/>
      <c r="F1795" s="896" t="s">
        <v>871</v>
      </c>
      <c r="G1795" s="897" t="s">
        <v>113</v>
      </c>
      <c r="H1795" s="898">
        <v>1470650</v>
      </c>
      <c r="I1795" s="1435"/>
      <c r="J1795" s="1446">
        <f t="shared" si="44"/>
        <v>0</v>
      </c>
      <c r="K1795" s="898">
        <v>1470650</v>
      </c>
    </row>
    <row r="1796" spans="4:11" ht="22.8" hidden="1" customHeight="1">
      <c r="D1796" s="916">
        <v>51</v>
      </c>
      <c r="E1796" s="895"/>
      <c r="F1796" s="896" t="s">
        <v>872</v>
      </c>
      <c r="G1796" s="897" t="s">
        <v>113</v>
      </c>
      <c r="H1796" s="898">
        <v>38600</v>
      </c>
      <c r="I1796" s="1435"/>
      <c r="J1796" s="1446">
        <f t="shared" si="44"/>
        <v>0</v>
      </c>
      <c r="K1796" s="898">
        <v>38600</v>
      </c>
    </row>
    <row r="1797" spans="4:11" ht="22.8" hidden="1" customHeight="1">
      <c r="D1797" s="916">
        <v>52</v>
      </c>
      <c r="E1797" s="895"/>
      <c r="F1797" s="896" t="s">
        <v>873</v>
      </c>
      <c r="G1797" s="897" t="s">
        <v>113</v>
      </c>
      <c r="H1797" s="898">
        <v>1921500</v>
      </c>
      <c r="I1797" s="1435"/>
      <c r="J1797" s="1446">
        <f t="shared" si="44"/>
        <v>0</v>
      </c>
      <c r="K1797" s="898">
        <v>1921500</v>
      </c>
    </row>
    <row r="1798" spans="4:11" ht="22.8" hidden="1" customHeight="1">
      <c r="D1798" s="916">
        <v>53</v>
      </c>
      <c r="E1798" s="895"/>
      <c r="F1798" s="896" t="s">
        <v>874</v>
      </c>
      <c r="G1798" s="897" t="s">
        <v>113</v>
      </c>
      <c r="H1798" s="898">
        <v>247200</v>
      </c>
      <c r="I1798" s="1435"/>
      <c r="J1798" s="1446">
        <f t="shared" si="44"/>
        <v>0</v>
      </c>
      <c r="K1798" s="898">
        <v>247200</v>
      </c>
    </row>
    <row r="1799" spans="4:11" ht="22.8" hidden="1" customHeight="1">
      <c r="D1799" s="916">
        <v>54</v>
      </c>
      <c r="E1799" s="895"/>
      <c r="F1799" s="896" t="s">
        <v>875</v>
      </c>
      <c r="G1799" s="897" t="s">
        <v>113</v>
      </c>
      <c r="H1799" s="898">
        <v>2392250</v>
      </c>
      <c r="I1799" s="1435"/>
      <c r="J1799" s="1446">
        <f t="shared" si="44"/>
        <v>0</v>
      </c>
      <c r="K1799" s="898">
        <v>2392250</v>
      </c>
    </row>
    <row r="1800" spans="4:11" ht="22.8" hidden="1" customHeight="1">
      <c r="D1800" s="916">
        <v>55</v>
      </c>
      <c r="E1800" s="895"/>
      <c r="F1800" s="896" t="s">
        <v>876</v>
      </c>
      <c r="G1800" s="897" t="s">
        <v>113</v>
      </c>
      <c r="H1800" s="898">
        <v>314750</v>
      </c>
      <c r="I1800" s="1435"/>
      <c r="J1800" s="1446">
        <f t="shared" si="44"/>
        <v>0</v>
      </c>
      <c r="K1800" s="898">
        <v>314750</v>
      </c>
    </row>
    <row r="1801" spans="4:11" ht="22.8" hidden="1" customHeight="1">
      <c r="D1801" s="916">
        <v>56</v>
      </c>
      <c r="E1801" s="895"/>
      <c r="F1801" s="896" t="s">
        <v>877</v>
      </c>
      <c r="G1801" s="897" t="s">
        <v>113</v>
      </c>
      <c r="H1801" s="898">
        <v>66000</v>
      </c>
      <c r="I1801" s="1435"/>
      <c r="J1801" s="1446">
        <f t="shared" si="44"/>
        <v>0</v>
      </c>
      <c r="K1801" s="898">
        <v>66000</v>
      </c>
    </row>
    <row r="1802" spans="4:11" ht="22.8" hidden="1" customHeight="1">
      <c r="D1802" s="916">
        <v>57</v>
      </c>
      <c r="E1802" s="895"/>
      <c r="F1802" s="896" t="s">
        <v>878</v>
      </c>
      <c r="G1802" s="897" t="s">
        <v>113</v>
      </c>
      <c r="H1802" s="898">
        <v>411600</v>
      </c>
      <c r="I1802" s="1435"/>
      <c r="J1802" s="1446">
        <f t="shared" si="44"/>
        <v>0</v>
      </c>
      <c r="K1802" s="898">
        <v>411600</v>
      </c>
    </row>
    <row r="1803" spans="4:11" ht="22.8" hidden="1" customHeight="1">
      <c r="D1803" s="916">
        <v>58</v>
      </c>
      <c r="E1803" s="895"/>
      <c r="F1803" s="896" t="s">
        <v>879</v>
      </c>
      <c r="G1803" s="897" t="s">
        <v>113</v>
      </c>
      <c r="H1803" s="898">
        <v>70200</v>
      </c>
      <c r="I1803" s="1435"/>
      <c r="J1803" s="1446">
        <f t="shared" si="44"/>
        <v>0</v>
      </c>
      <c r="K1803" s="898">
        <v>70200</v>
      </c>
    </row>
    <row r="1804" spans="4:11" ht="22.8" hidden="1" customHeight="1">
      <c r="D1804" s="916">
        <v>59</v>
      </c>
      <c r="E1804" s="895"/>
      <c r="F1804" s="896" t="s">
        <v>880</v>
      </c>
      <c r="G1804" s="897" t="s">
        <v>113</v>
      </c>
      <c r="H1804" s="898">
        <v>575250</v>
      </c>
      <c r="I1804" s="1435"/>
      <c r="J1804" s="1446">
        <f t="shared" si="44"/>
        <v>0</v>
      </c>
      <c r="K1804" s="898">
        <v>575250</v>
      </c>
    </row>
    <row r="1805" spans="4:11" ht="22.8" hidden="1" customHeight="1">
      <c r="D1805" s="916">
        <v>60</v>
      </c>
      <c r="E1805" s="895"/>
      <c r="F1805" s="896" t="s">
        <v>881</v>
      </c>
      <c r="G1805" s="897" t="s">
        <v>113</v>
      </c>
      <c r="H1805" s="898">
        <v>743750</v>
      </c>
      <c r="I1805" s="1435"/>
      <c r="J1805" s="1446">
        <f t="shared" si="44"/>
        <v>0</v>
      </c>
      <c r="K1805" s="898">
        <v>743750</v>
      </c>
    </row>
    <row r="1806" spans="4:11" ht="22.8" hidden="1" customHeight="1">
      <c r="D1806" s="916">
        <v>61</v>
      </c>
      <c r="E1806" s="895"/>
      <c r="F1806" s="896" t="s">
        <v>882</v>
      </c>
      <c r="G1806" s="897" t="s">
        <v>113</v>
      </c>
      <c r="H1806" s="898">
        <v>8880</v>
      </c>
      <c r="I1806" s="1435"/>
      <c r="J1806" s="1446">
        <f t="shared" si="44"/>
        <v>0</v>
      </c>
      <c r="K1806" s="898">
        <v>8880</v>
      </c>
    </row>
    <row r="1807" spans="4:11" ht="22.8" hidden="1" customHeight="1">
      <c r="D1807" s="916">
        <v>62</v>
      </c>
      <c r="E1807" s="895"/>
      <c r="F1807" s="896" t="s">
        <v>883</v>
      </c>
      <c r="G1807" s="897" t="s">
        <v>113</v>
      </c>
      <c r="H1807" s="898">
        <v>49000</v>
      </c>
      <c r="I1807" s="1435"/>
      <c r="J1807" s="1446">
        <f t="shared" si="44"/>
        <v>0</v>
      </c>
      <c r="K1807" s="898">
        <v>49000</v>
      </c>
    </row>
    <row r="1808" spans="4:11" ht="22.8" hidden="1" customHeight="1">
      <c r="D1808" s="916">
        <v>63</v>
      </c>
      <c r="E1808" s="895"/>
      <c r="F1808" s="896" t="s">
        <v>884</v>
      </c>
      <c r="G1808" s="897" t="s">
        <v>113</v>
      </c>
      <c r="H1808" s="898">
        <v>13250</v>
      </c>
      <c r="I1808" s="1435"/>
      <c r="J1808" s="1446">
        <f t="shared" si="44"/>
        <v>0</v>
      </c>
      <c r="K1808" s="898">
        <v>13250</v>
      </c>
    </row>
    <row r="1809" spans="4:11" ht="22.8" hidden="1" customHeight="1">
      <c r="D1809" s="916">
        <v>64</v>
      </c>
      <c r="E1809" s="895"/>
      <c r="F1809" s="896" t="s">
        <v>885</v>
      </c>
      <c r="G1809" s="897" t="s">
        <v>113</v>
      </c>
      <c r="H1809" s="898">
        <v>19950</v>
      </c>
      <c r="I1809" s="1435"/>
      <c r="J1809" s="1446">
        <f t="shared" si="44"/>
        <v>0</v>
      </c>
      <c r="K1809" s="898">
        <v>19950</v>
      </c>
    </row>
    <row r="1810" spans="4:11" ht="22.8" hidden="1" customHeight="1">
      <c r="D1810" s="916">
        <v>65</v>
      </c>
      <c r="E1810" s="895"/>
      <c r="F1810" s="896" t="s">
        <v>886</v>
      </c>
      <c r="G1810" s="897" t="s">
        <v>113</v>
      </c>
      <c r="H1810" s="898">
        <v>29000</v>
      </c>
      <c r="I1810" s="1435"/>
      <c r="J1810" s="1446">
        <f t="shared" si="44"/>
        <v>0</v>
      </c>
      <c r="K1810" s="898">
        <v>29000</v>
      </c>
    </row>
    <row r="1811" spans="4:11" ht="22.8" hidden="1" customHeight="1">
      <c r="D1811" s="916">
        <v>66</v>
      </c>
      <c r="E1811" s="895"/>
      <c r="F1811" s="896" t="s">
        <v>887</v>
      </c>
      <c r="G1811" s="897" t="s">
        <v>113</v>
      </c>
      <c r="H1811" s="898">
        <v>11400</v>
      </c>
      <c r="I1811" s="1435"/>
      <c r="J1811" s="1446">
        <f t="shared" si="44"/>
        <v>0</v>
      </c>
      <c r="K1811" s="898">
        <v>11400</v>
      </c>
    </row>
    <row r="1812" spans="4:11" ht="22.8" hidden="1" customHeight="1">
      <c r="D1812" s="916">
        <v>67</v>
      </c>
      <c r="E1812" s="895"/>
      <c r="F1812" s="896" t="s">
        <v>888</v>
      </c>
      <c r="G1812" s="897" t="s">
        <v>113</v>
      </c>
      <c r="H1812" s="898">
        <v>69200</v>
      </c>
      <c r="I1812" s="1435"/>
      <c r="J1812" s="1446">
        <f t="shared" si="44"/>
        <v>0</v>
      </c>
      <c r="K1812" s="898">
        <v>69200</v>
      </c>
    </row>
    <row r="1813" spans="4:11" ht="22.8" customHeight="1">
      <c r="D1813" s="1422">
        <v>1</v>
      </c>
      <c r="E1813" s="895"/>
      <c r="F1813" s="896" t="s">
        <v>889</v>
      </c>
      <c r="G1813" s="897" t="s">
        <v>113</v>
      </c>
      <c r="H1813" s="894">
        <f t="shared" ref="H1813:H1876" si="45">J1813</f>
        <v>16110</v>
      </c>
      <c r="I1813" s="1435">
        <v>17900</v>
      </c>
      <c r="J1813" s="1446">
        <f t="shared" si="44"/>
        <v>16110</v>
      </c>
      <c r="K1813" s="898">
        <v>21300</v>
      </c>
    </row>
    <row r="1814" spans="4:11" ht="22.8" hidden="1" customHeight="1">
      <c r="D1814" s="916">
        <v>69</v>
      </c>
      <c r="E1814" s="895"/>
      <c r="F1814" s="896" t="s">
        <v>890</v>
      </c>
      <c r="G1814" s="897" t="s">
        <v>113</v>
      </c>
      <c r="H1814" s="894">
        <f t="shared" si="45"/>
        <v>0</v>
      </c>
      <c r="I1814" s="1435"/>
      <c r="J1814" s="1446">
        <f t="shared" si="44"/>
        <v>0</v>
      </c>
      <c r="K1814" s="898">
        <v>27000</v>
      </c>
    </row>
    <row r="1815" spans="4:11" ht="22.8" hidden="1" customHeight="1">
      <c r="D1815" s="916">
        <v>70</v>
      </c>
      <c r="E1815" s="895"/>
      <c r="F1815" s="896" t="s">
        <v>8056</v>
      </c>
      <c r="G1815" s="897" t="s">
        <v>8057</v>
      </c>
      <c r="H1815" s="894">
        <f t="shared" si="45"/>
        <v>0</v>
      </c>
      <c r="I1815" s="1435"/>
      <c r="J1815" s="1446">
        <f t="shared" si="44"/>
        <v>0</v>
      </c>
      <c r="K1815" s="898">
        <v>21300</v>
      </c>
    </row>
    <row r="1816" spans="4:11" ht="22.8" hidden="1" customHeight="1">
      <c r="D1816" s="916">
        <v>71</v>
      </c>
      <c r="E1816" s="895"/>
      <c r="F1816" s="896" t="s">
        <v>891</v>
      </c>
      <c r="G1816" s="897" t="s">
        <v>113</v>
      </c>
      <c r="H1816" s="894">
        <f t="shared" si="45"/>
        <v>0</v>
      </c>
      <c r="I1816" s="1435"/>
      <c r="J1816" s="1446">
        <f t="shared" si="44"/>
        <v>0</v>
      </c>
      <c r="K1816" s="898">
        <v>43100</v>
      </c>
    </row>
    <row r="1817" spans="4:11" ht="22.8" hidden="1" customHeight="1">
      <c r="D1817" s="916">
        <v>72</v>
      </c>
      <c r="E1817" s="895"/>
      <c r="F1817" s="896" t="s">
        <v>892</v>
      </c>
      <c r="G1817" s="897" t="s">
        <v>113</v>
      </c>
      <c r="H1817" s="894">
        <f t="shared" si="45"/>
        <v>0</v>
      </c>
      <c r="I1817" s="1435"/>
      <c r="J1817" s="1446">
        <f t="shared" si="44"/>
        <v>0</v>
      </c>
      <c r="K1817" s="898">
        <v>14400</v>
      </c>
    </row>
    <row r="1818" spans="4:11" ht="22.8" hidden="1" customHeight="1">
      <c r="D1818" s="916">
        <v>73</v>
      </c>
      <c r="E1818" s="895"/>
      <c r="F1818" s="896" t="s">
        <v>893</v>
      </c>
      <c r="G1818" s="897" t="s">
        <v>113</v>
      </c>
      <c r="H1818" s="894">
        <f t="shared" si="45"/>
        <v>0</v>
      </c>
      <c r="I1818" s="1435"/>
      <c r="J1818" s="1446">
        <f t="shared" si="44"/>
        <v>0</v>
      </c>
      <c r="K1818" s="898">
        <v>92900</v>
      </c>
    </row>
    <row r="1819" spans="4:11" ht="22.8" hidden="1" customHeight="1">
      <c r="D1819" s="916">
        <v>74</v>
      </c>
      <c r="E1819" s="895"/>
      <c r="F1819" s="896" t="s">
        <v>894</v>
      </c>
      <c r="G1819" s="897" t="s">
        <v>113</v>
      </c>
      <c r="H1819" s="894">
        <f t="shared" si="45"/>
        <v>0</v>
      </c>
      <c r="I1819" s="1435"/>
      <c r="J1819" s="1446">
        <f t="shared" si="44"/>
        <v>0</v>
      </c>
      <c r="K1819" s="898">
        <v>150000</v>
      </c>
    </row>
    <row r="1820" spans="4:11" ht="22.8" hidden="1" customHeight="1">
      <c r="D1820" s="916">
        <v>75</v>
      </c>
      <c r="E1820" s="895"/>
      <c r="F1820" s="896" t="s">
        <v>895</v>
      </c>
      <c r="G1820" s="897" t="s">
        <v>113</v>
      </c>
      <c r="H1820" s="894">
        <f t="shared" si="45"/>
        <v>0</v>
      </c>
      <c r="I1820" s="1435"/>
      <c r="J1820" s="1446">
        <f t="shared" si="44"/>
        <v>0</v>
      </c>
      <c r="K1820" s="898">
        <v>22700</v>
      </c>
    </row>
    <row r="1821" spans="4:11" ht="22.8" hidden="1" customHeight="1">
      <c r="D1821" s="916">
        <v>76</v>
      </c>
      <c r="E1821" s="895"/>
      <c r="F1821" s="896" t="s">
        <v>896</v>
      </c>
      <c r="G1821" s="897" t="s">
        <v>113</v>
      </c>
      <c r="H1821" s="894">
        <f t="shared" si="45"/>
        <v>0</v>
      </c>
      <c r="I1821" s="1435"/>
      <c r="J1821" s="1446">
        <f t="shared" si="44"/>
        <v>0</v>
      </c>
      <c r="K1821" s="898">
        <v>37000</v>
      </c>
    </row>
    <row r="1822" spans="4:11" ht="22.8" hidden="1" customHeight="1">
      <c r="D1822" s="916">
        <v>77</v>
      </c>
      <c r="E1822" s="895"/>
      <c r="F1822" s="896" t="s">
        <v>897</v>
      </c>
      <c r="G1822" s="897" t="s">
        <v>113</v>
      </c>
      <c r="H1822" s="894">
        <f t="shared" si="45"/>
        <v>0</v>
      </c>
      <c r="I1822" s="1435"/>
      <c r="J1822" s="1446">
        <f t="shared" si="44"/>
        <v>0</v>
      </c>
      <c r="K1822" s="898">
        <v>54400</v>
      </c>
    </row>
    <row r="1823" spans="4:11" ht="22.8" hidden="1" customHeight="1">
      <c r="D1823" s="916">
        <v>78</v>
      </c>
      <c r="E1823" s="895"/>
      <c r="F1823" s="896" t="s">
        <v>898</v>
      </c>
      <c r="G1823" s="897" t="s">
        <v>113</v>
      </c>
      <c r="H1823" s="894">
        <f t="shared" si="45"/>
        <v>0</v>
      </c>
      <c r="I1823" s="1435"/>
      <c r="J1823" s="1446">
        <f t="shared" si="44"/>
        <v>0</v>
      </c>
      <c r="K1823" s="898">
        <v>9300</v>
      </c>
    </row>
    <row r="1824" spans="4:11" ht="22.8" hidden="1" customHeight="1">
      <c r="D1824" s="916">
        <v>79</v>
      </c>
      <c r="E1824" s="895"/>
      <c r="F1824" s="896" t="s">
        <v>899</v>
      </c>
      <c r="G1824" s="897" t="s">
        <v>113</v>
      </c>
      <c r="H1824" s="894">
        <f t="shared" si="45"/>
        <v>0</v>
      </c>
      <c r="I1824" s="1435"/>
      <c r="J1824" s="1446">
        <f t="shared" si="44"/>
        <v>0</v>
      </c>
      <c r="K1824" s="898">
        <v>13900</v>
      </c>
    </row>
    <row r="1825" spans="4:11" ht="22.8" hidden="1" customHeight="1">
      <c r="D1825" s="916">
        <v>80</v>
      </c>
      <c r="E1825" s="895"/>
      <c r="F1825" s="896" t="s">
        <v>900</v>
      </c>
      <c r="G1825" s="897" t="s">
        <v>113</v>
      </c>
      <c r="H1825" s="894">
        <f t="shared" si="45"/>
        <v>0</v>
      </c>
      <c r="I1825" s="1435"/>
      <c r="J1825" s="1446">
        <f t="shared" si="44"/>
        <v>0</v>
      </c>
      <c r="K1825" s="898">
        <v>13400</v>
      </c>
    </row>
    <row r="1826" spans="4:11" ht="22.8" hidden="1" customHeight="1">
      <c r="D1826" s="916">
        <v>81</v>
      </c>
      <c r="E1826" s="895"/>
      <c r="F1826" s="896" t="s">
        <v>7717</v>
      </c>
      <c r="G1826" s="897" t="s">
        <v>113</v>
      </c>
      <c r="H1826" s="894">
        <f t="shared" si="45"/>
        <v>0</v>
      </c>
      <c r="I1826" s="1435"/>
      <c r="J1826" s="1446">
        <f t="shared" si="44"/>
        <v>0</v>
      </c>
      <c r="K1826" s="898">
        <v>35000</v>
      </c>
    </row>
    <row r="1827" spans="4:11" ht="22.8" hidden="1" customHeight="1">
      <c r="D1827" s="916">
        <v>82</v>
      </c>
      <c r="E1827" s="895"/>
      <c r="F1827" s="896" t="s">
        <v>7715</v>
      </c>
      <c r="G1827" s="897" t="s">
        <v>113</v>
      </c>
      <c r="H1827" s="894">
        <f t="shared" si="45"/>
        <v>0</v>
      </c>
      <c r="I1827" s="1435"/>
      <c r="J1827" s="1446">
        <f t="shared" si="44"/>
        <v>0</v>
      </c>
      <c r="K1827" s="898">
        <v>17500</v>
      </c>
    </row>
    <row r="1828" spans="4:11" ht="22.8" hidden="1" customHeight="1">
      <c r="D1828" s="916">
        <v>83</v>
      </c>
      <c r="E1828" s="895"/>
      <c r="F1828" s="896" t="s">
        <v>901</v>
      </c>
      <c r="G1828" s="897" t="s">
        <v>113</v>
      </c>
      <c r="H1828" s="894">
        <f t="shared" si="45"/>
        <v>0</v>
      </c>
      <c r="I1828" s="1435"/>
      <c r="J1828" s="1446">
        <f t="shared" si="44"/>
        <v>0</v>
      </c>
      <c r="K1828" s="898">
        <v>21300</v>
      </c>
    </row>
    <row r="1829" spans="4:11" ht="22.8" hidden="1" customHeight="1">
      <c r="D1829" s="916">
        <v>84</v>
      </c>
      <c r="E1829" s="895"/>
      <c r="F1829" s="896" t="s">
        <v>902</v>
      </c>
      <c r="G1829" s="897" t="s">
        <v>113</v>
      </c>
      <c r="H1829" s="894">
        <f t="shared" si="45"/>
        <v>0</v>
      </c>
      <c r="I1829" s="1435"/>
      <c r="J1829" s="1446">
        <f t="shared" si="44"/>
        <v>0</v>
      </c>
      <c r="K1829" s="898">
        <v>28700</v>
      </c>
    </row>
    <row r="1830" spans="4:11" ht="22.8" hidden="1" customHeight="1">
      <c r="D1830" s="916">
        <v>85</v>
      </c>
      <c r="E1830" s="895"/>
      <c r="F1830" s="896" t="s">
        <v>903</v>
      </c>
      <c r="G1830" s="897" t="s">
        <v>113</v>
      </c>
      <c r="H1830" s="894">
        <f t="shared" si="45"/>
        <v>0</v>
      </c>
      <c r="I1830" s="1435"/>
      <c r="J1830" s="1446">
        <f t="shared" si="44"/>
        <v>0</v>
      </c>
      <c r="K1830" s="898">
        <v>18000</v>
      </c>
    </row>
    <row r="1831" spans="4:11" ht="22.8" hidden="1" customHeight="1">
      <c r="D1831" s="916">
        <v>86</v>
      </c>
      <c r="E1831" s="895"/>
      <c r="F1831" s="896" t="s">
        <v>904</v>
      </c>
      <c r="G1831" s="897" t="s">
        <v>113</v>
      </c>
      <c r="H1831" s="894">
        <f t="shared" si="45"/>
        <v>0</v>
      </c>
      <c r="I1831" s="1435"/>
      <c r="J1831" s="1446">
        <f t="shared" si="44"/>
        <v>0</v>
      </c>
      <c r="K1831" s="898">
        <v>246500</v>
      </c>
    </row>
    <row r="1832" spans="4:11" ht="22.8" hidden="1" customHeight="1">
      <c r="D1832" s="916">
        <v>87</v>
      </c>
      <c r="E1832" s="895"/>
      <c r="F1832" s="896" t="s">
        <v>905</v>
      </c>
      <c r="G1832" s="897" t="s">
        <v>113</v>
      </c>
      <c r="H1832" s="894">
        <f t="shared" si="45"/>
        <v>0</v>
      </c>
      <c r="I1832" s="1435"/>
      <c r="J1832" s="1446">
        <f t="shared" si="44"/>
        <v>0</v>
      </c>
      <c r="K1832" s="898">
        <v>303000</v>
      </c>
    </row>
    <row r="1833" spans="4:11" ht="22.8" hidden="1" customHeight="1">
      <c r="D1833" s="916">
        <v>88</v>
      </c>
      <c r="E1833" s="895"/>
      <c r="F1833" s="896" t="s">
        <v>906</v>
      </c>
      <c r="G1833" s="897" t="s">
        <v>113</v>
      </c>
      <c r="H1833" s="894">
        <f t="shared" si="45"/>
        <v>0</v>
      </c>
      <c r="I1833" s="1435"/>
      <c r="J1833" s="1446">
        <f t="shared" si="44"/>
        <v>0</v>
      </c>
      <c r="K1833" s="898">
        <v>36000</v>
      </c>
    </row>
    <row r="1834" spans="4:11" ht="22.8" hidden="1" customHeight="1">
      <c r="D1834" s="916">
        <v>89</v>
      </c>
      <c r="E1834" s="895"/>
      <c r="F1834" s="896" t="s">
        <v>907</v>
      </c>
      <c r="G1834" s="897" t="s">
        <v>113</v>
      </c>
      <c r="H1834" s="894">
        <f t="shared" si="45"/>
        <v>0</v>
      </c>
      <c r="I1834" s="1435"/>
      <c r="J1834" s="1446">
        <f t="shared" si="44"/>
        <v>0</v>
      </c>
      <c r="K1834" s="898">
        <v>377000</v>
      </c>
    </row>
    <row r="1835" spans="4:11" ht="22.8" hidden="1" customHeight="1">
      <c r="D1835" s="916">
        <v>90</v>
      </c>
      <c r="E1835" s="895"/>
      <c r="F1835" s="896" t="s">
        <v>908</v>
      </c>
      <c r="G1835" s="897" t="s">
        <v>113</v>
      </c>
      <c r="H1835" s="894">
        <f t="shared" si="45"/>
        <v>0</v>
      </c>
      <c r="I1835" s="1435"/>
      <c r="J1835" s="1446">
        <f t="shared" si="44"/>
        <v>0</v>
      </c>
      <c r="K1835" s="898">
        <v>56000</v>
      </c>
    </row>
    <row r="1836" spans="4:11" ht="22.8" hidden="1" customHeight="1">
      <c r="D1836" s="916">
        <v>91</v>
      </c>
      <c r="E1836" s="895"/>
      <c r="F1836" s="896" t="s">
        <v>909</v>
      </c>
      <c r="G1836" s="897" t="s">
        <v>113</v>
      </c>
      <c r="H1836" s="894">
        <f t="shared" si="45"/>
        <v>0</v>
      </c>
      <c r="I1836" s="1435"/>
      <c r="J1836" s="1446">
        <f t="shared" si="44"/>
        <v>0</v>
      </c>
      <c r="K1836" s="898">
        <v>496000</v>
      </c>
    </row>
    <row r="1837" spans="4:11" ht="22.8" hidden="1" customHeight="1">
      <c r="D1837" s="916">
        <v>92</v>
      </c>
      <c r="E1837" s="895"/>
      <c r="F1837" s="896" t="s">
        <v>910</v>
      </c>
      <c r="G1837" s="897" t="s">
        <v>113</v>
      </c>
      <c r="H1837" s="894">
        <f t="shared" si="45"/>
        <v>0</v>
      </c>
      <c r="I1837" s="1435"/>
      <c r="J1837" s="1446">
        <f t="shared" si="44"/>
        <v>0</v>
      </c>
      <c r="K1837" s="898">
        <v>619000</v>
      </c>
    </row>
    <row r="1838" spans="4:11" ht="22.8" hidden="1" customHeight="1">
      <c r="D1838" s="916">
        <v>93</v>
      </c>
      <c r="E1838" s="895"/>
      <c r="F1838" s="896" t="s">
        <v>911</v>
      </c>
      <c r="G1838" s="897" t="s">
        <v>113</v>
      </c>
      <c r="H1838" s="894">
        <f t="shared" si="45"/>
        <v>0</v>
      </c>
      <c r="I1838" s="1435"/>
      <c r="J1838" s="1446">
        <f t="shared" si="44"/>
        <v>0</v>
      </c>
      <c r="K1838" s="898">
        <v>75000</v>
      </c>
    </row>
    <row r="1839" spans="4:11" ht="22.8" hidden="1" customHeight="1">
      <c r="D1839" s="916">
        <v>94</v>
      </c>
      <c r="E1839" s="895"/>
      <c r="F1839" s="896" t="s">
        <v>912</v>
      </c>
      <c r="G1839" s="897" t="s">
        <v>113</v>
      </c>
      <c r="H1839" s="894">
        <f t="shared" si="45"/>
        <v>0</v>
      </c>
      <c r="I1839" s="1435"/>
      <c r="J1839" s="1446">
        <f t="shared" si="44"/>
        <v>0</v>
      </c>
      <c r="K1839" s="898">
        <v>7500</v>
      </c>
    </row>
    <row r="1840" spans="4:11" ht="22.8" hidden="1" customHeight="1">
      <c r="D1840" s="916">
        <v>95</v>
      </c>
      <c r="E1840" s="895"/>
      <c r="F1840" s="896" t="s">
        <v>913</v>
      </c>
      <c r="G1840" s="897" t="s">
        <v>113</v>
      </c>
      <c r="H1840" s="894">
        <f t="shared" si="45"/>
        <v>0</v>
      </c>
      <c r="I1840" s="1435"/>
      <c r="J1840" s="1446">
        <f t="shared" si="44"/>
        <v>0</v>
      </c>
      <c r="K1840" s="898">
        <v>786000</v>
      </c>
    </row>
    <row r="1841" spans="4:11" ht="22.8" hidden="1" customHeight="1">
      <c r="D1841" s="916">
        <v>96</v>
      </c>
      <c r="E1841" s="895"/>
      <c r="F1841" s="896" t="s">
        <v>914</v>
      </c>
      <c r="G1841" s="897" t="s">
        <v>113</v>
      </c>
      <c r="H1841" s="894">
        <f t="shared" si="45"/>
        <v>0</v>
      </c>
      <c r="I1841" s="1435"/>
      <c r="J1841" s="1446">
        <f t="shared" si="44"/>
        <v>0</v>
      </c>
      <c r="K1841" s="898">
        <v>99600</v>
      </c>
    </row>
    <row r="1842" spans="4:11" ht="22.8" hidden="1" customHeight="1">
      <c r="D1842" s="916">
        <v>97</v>
      </c>
      <c r="E1842" s="895"/>
      <c r="F1842" s="896" t="s">
        <v>915</v>
      </c>
      <c r="G1842" s="897" t="s">
        <v>113</v>
      </c>
      <c r="H1842" s="894">
        <f t="shared" si="45"/>
        <v>0</v>
      </c>
      <c r="I1842" s="1435"/>
      <c r="J1842" s="1446">
        <f t="shared" si="44"/>
        <v>0</v>
      </c>
      <c r="K1842" s="898">
        <v>1004400</v>
      </c>
    </row>
    <row r="1843" spans="4:11" ht="22.8" hidden="1" customHeight="1">
      <c r="D1843" s="916">
        <v>98</v>
      </c>
      <c r="E1843" s="895"/>
      <c r="F1843" s="896" t="s">
        <v>916</v>
      </c>
      <c r="G1843" s="897" t="s">
        <v>113</v>
      </c>
      <c r="H1843" s="894">
        <f t="shared" si="45"/>
        <v>0</v>
      </c>
      <c r="I1843" s="1435"/>
      <c r="J1843" s="1446">
        <f t="shared" si="44"/>
        <v>0</v>
      </c>
      <c r="K1843" s="898">
        <v>12000</v>
      </c>
    </row>
    <row r="1844" spans="4:11" ht="22.8" hidden="1" customHeight="1">
      <c r="D1844" s="916">
        <v>99</v>
      </c>
      <c r="E1844" s="895"/>
      <c r="F1844" s="896" t="s">
        <v>917</v>
      </c>
      <c r="G1844" s="897" t="s">
        <v>113</v>
      </c>
      <c r="H1844" s="894">
        <f t="shared" si="45"/>
        <v>0</v>
      </c>
      <c r="I1844" s="1435"/>
      <c r="J1844" s="1446">
        <f t="shared" si="44"/>
        <v>0</v>
      </c>
      <c r="K1844" s="898">
        <v>1245000</v>
      </c>
    </row>
    <row r="1845" spans="4:11" ht="22.8" hidden="1" customHeight="1">
      <c r="D1845" s="916">
        <v>100</v>
      </c>
      <c r="E1845" s="895"/>
      <c r="F1845" s="896" t="s">
        <v>918</v>
      </c>
      <c r="G1845" s="897" t="s">
        <v>113</v>
      </c>
      <c r="H1845" s="894">
        <f t="shared" si="45"/>
        <v>0</v>
      </c>
      <c r="I1845" s="1435"/>
      <c r="J1845" s="1446">
        <f t="shared" si="44"/>
        <v>0</v>
      </c>
      <c r="K1845" s="898">
        <v>142000</v>
      </c>
    </row>
    <row r="1846" spans="4:11" ht="22.8" hidden="1" customHeight="1">
      <c r="D1846" s="916">
        <v>101</v>
      </c>
      <c r="E1846" s="895"/>
      <c r="F1846" s="896" t="s">
        <v>919</v>
      </c>
      <c r="G1846" s="897" t="s">
        <v>113</v>
      </c>
      <c r="H1846" s="894">
        <f t="shared" si="45"/>
        <v>0</v>
      </c>
      <c r="I1846" s="1435"/>
      <c r="J1846" s="1446">
        <f t="shared" si="44"/>
        <v>0</v>
      </c>
      <c r="K1846" s="898">
        <v>196500</v>
      </c>
    </row>
    <row r="1847" spans="4:11" ht="22.8" hidden="1" customHeight="1">
      <c r="D1847" s="916">
        <v>102</v>
      </c>
      <c r="E1847" s="895"/>
      <c r="F1847" s="896" t="s">
        <v>920</v>
      </c>
      <c r="G1847" s="897" t="s">
        <v>113</v>
      </c>
      <c r="H1847" s="894">
        <f t="shared" si="45"/>
        <v>0</v>
      </c>
      <c r="I1847" s="1435"/>
      <c r="J1847" s="1446">
        <f t="shared" si="44"/>
        <v>0</v>
      </c>
      <c r="K1847" s="898">
        <v>12000</v>
      </c>
    </row>
    <row r="1848" spans="4:11" ht="22.8" hidden="1" customHeight="1">
      <c r="D1848" s="916">
        <v>103</v>
      </c>
      <c r="E1848" s="895"/>
      <c r="F1848" s="896" t="s">
        <v>921</v>
      </c>
      <c r="G1848" s="897" t="s">
        <v>113</v>
      </c>
      <c r="H1848" s="894">
        <f t="shared" si="45"/>
        <v>0</v>
      </c>
      <c r="I1848" s="1435"/>
      <c r="J1848" s="1446">
        <f t="shared" si="44"/>
        <v>0</v>
      </c>
      <c r="K1848" s="898">
        <v>57500</v>
      </c>
    </row>
    <row r="1849" spans="4:11" ht="22.8" hidden="1" customHeight="1">
      <c r="D1849" s="916">
        <v>104</v>
      </c>
      <c r="E1849" s="895"/>
      <c r="F1849" s="896" t="s">
        <v>922</v>
      </c>
      <c r="G1849" s="897" t="s">
        <v>113</v>
      </c>
      <c r="H1849" s="894">
        <f t="shared" si="45"/>
        <v>0</v>
      </c>
      <c r="I1849" s="1435"/>
      <c r="J1849" s="1446">
        <f t="shared" si="44"/>
        <v>0</v>
      </c>
      <c r="K1849" s="898">
        <v>92000</v>
      </c>
    </row>
    <row r="1850" spans="4:11" ht="22.8" hidden="1" customHeight="1">
      <c r="D1850" s="916">
        <v>105</v>
      </c>
      <c r="E1850" s="895"/>
      <c r="F1850" s="896" t="s">
        <v>923</v>
      </c>
      <c r="G1850" s="897" t="s">
        <v>113</v>
      </c>
      <c r="H1850" s="894">
        <f t="shared" si="45"/>
        <v>0</v>
      </c>
      <c r="I1850" s="1435"/>
      <c r="J1850" s="1446">
        <f t="shared" si="44"/>
        <v>0</v>
      </c>
      <c r="K1850" s="898">
        <v>16560</v>
      </c>
    </row>
    <row r="1851" spans="4:11" ht="22.8" hidden="1" customHeight="1">
      <c r="D1851" s="916">
        <v>106</v>
      </c>
      <c r="E1851" s="895"/>
      <c r="F1851" s="896" t="s">
        <v>924</v>
      </c>
      <c r="G1851" s="897" t="s">
        <v>113</v>
      </c>
      <c r="H1851" s="894">
        <f t="shared" si="45"/>
        <v>0</v>
      </c>
      <c r="I1851" s="1435"/>
      <c r="J1851" s="1446">
        <f t="shared" si="44"/>
        <v>0</v>
      </c>
      <c r="K1851" s="898">
        <v>23000</v>
      </c>
    </row>
    <row r="1852" spans="4:11" ht="22.8" hidden="1" customHeight="1">
      <c r="D1852" s="916">
        <v>107</v>
      </c>
      <c r="E1852" s="895"/>
      <c r="F1852" s="896" t="s">
        <v>925</v>
      </c>
      <c r="G1852" s="897" t="s">
        <v>113</v>
      </c>
      <c r="H1852" s="894">
        <f t="shared" si="45"/>
        <v>0</v>
      </c>
      <c r="I1852" s="1435"/>
      <c r="J1852" s="1446">
        <f t="shared" si="44"/>
        <v>0</v>
      </c>
      <c r="K1852" s="898">
        <v>35000</v>
      </c>
    </row>
    <row r="1853" spans="4:11" ht="22.8" customHeight="1">
      <c r="D1853" s="1423">
        <v>108</v>
      </c>
      <c r="E1853" s="895"/>
      <c r="F1853" s="896" t="s">
        <v>926</v>
      </c>
      <c r="G1853" s="897" t="s">
        <v>113</v>
      </c>
      <c r="H1853" s="894">
        <v>15000</v>
      </c>
      <c r="I1853" s="1435">
        <v>21133</v>
      </c>
      <c r="J1853" s="1446">
        <f t="shared" si="44"/>
        <v>19019.7</v>
      </c>
      <c r="K1853" s="898">
        <v>15000</v>
      </c>
    </row>
    <row r="1854" spans="4:11" ht="22.8" hidden="1" customHeight="1">
      <c r="D1854" s="916">
        <v>109</v>
      </c>
      <c r="E1854" s="895"/>
      <c r="F1854" s="896" t="s">
        <v>927</v>
      </c>
      <c r="G1854" s="897" t="s">
        <v>113</v>
      </c>
      <c r="H1854" s="894">
        <f t="shared" si="45"/>
        <v>0</v>
      </c>
      <c r="I1854" s="1435"/>
      <c r="J1854" s="1446">
        <f t="shared" si="44"/>
        <v>0</v>
      </c>
      <c r="K1854" s="898">
        <v>74600</v>
      </c>
    </row>
    <row r="1855" spans="4:11" ht="22.8" hidden="1" customHeight="1">
      <c r="D1855" s="916">
        <v>110</v>
      </c>
      <c r="E1855" s="895"/>
      <c r="F1855" s="896" t="s">
        <v>928</v>
      </c>
      <c r="G1855" s="897" t="s">
        <v>113</v>
      </c>
      <c r="H1855" s="894">
        <f t="shared" si="45"/>
        <v>0</v>
      </c>
      <c r="I1855" s="1435"/>
      <c r="J1855" s="1446">
        <f t="shared" si="44"/>
        <v>0</v>
      </c>
      <c r="K1855" s="898">
        <v>114000</v>
      </c>
    </row>
    <row r="1856" spans="4:11" ht="22.8" hidden="1" customHeight="1">
      <c r="D1856" s="916">
        <v>111</v>
      </c>
      <c r="E1856" s="895"/>
      <c r="F1856" s="896" t="s">
        <v>929</v>
      </c>
      <c r="G1856" s="897" t="s">
        <v>113</v>
      </c>
      <c r="H1856" s="894">
        <f t="shared" si="45"/>
        <v>0</v>
      </c>
      <c r="I1856" s="1435"/>
      <c r="J1856" s="1446">
        <f t="shared" ref="J1856:J1919" si="46">I1856-(I1856*10%)</f>
        <v>0</v>
      </c>
      <c r="K1856" s="898">
        <v>21500</v>
      </c>
    </row>
    <row r="1857" spans="4:11" ht="22.8" hidden="1" customHeight="1">
      <c r="D1857" s="916">
        <v>112</v>
      </c>
      <c r="E1857" s="895"/>
      <c r="F1857" s="896" t="s">
        <v>930</v>
      </c>
      <c r="G1857" s="897" t="s">
        <v>113</v>
      </c>
      <c r="H1857" s="894">
        <f t="shared" si="45"/>
        <v>0</v>
      </c>
      <c r="I1857" s="1435"/>
      <c r="J1857" s="1446">
        <f t="shared" si="46"/>
        <v>0</v>
      </c>
      <c r="K1857" s="898">
        <v>174900</v>
      </c>
    </row>
    <row r="1858" spans="4:11" ht="22.8" hidden="1" customHeight="1">
      <c r="D1858" s="916">
        <v>113</v>
      </c>
      <c r="E1858" s="895"/>
      <c r="F1858" s="896" t="s">
        <v>931</v>
      </c>
      <c r="G1858" s="897" t="s">
        <v>113</v>
      </c>
      <c r="H1858" s="894">
        <f t="shared" si="45"/>
        <v>0</v>
      </c>
      <c r="I1858" s="1435"/>
      <c r="J1858" s="1446">
        <f t="shared" si="46"/>
        <v>0</v>
      </c>
      <c r="K1858" s="898">
        <v>235500</v>
      </c>
    </row>
    <row r="1859" spans="4:11" ht="22.8" hidden="1" customHeight="1">
      <c r="D1859" s="916">
        <v>114</v>
      </c>
      <c r="E1859" s="895"/>
      <c r="F1859" s="896" t="s">
        <v>932</v>
      </c>
      <c r="G1859" s="897" t="s">
        <v>113</v>
      </c>
      <c r="H1859" s="894">
        <f t="shared" si="45"/>
        <v>0</v>
      </c>
      <c r="I1859" s="1435"/>
      <c r="J1859" s="1446">
        <f t="shared" si="46"/>
        <v>0</v>
      </c>
      <c r="K1859" s="898">
        <v>33000</v>
      </c>
    </row>
    <row r="1860" spans="4:11" ht="22.8" hidden="1" customHeight="1">
      <c r="D1860" s="916">
        <v>115</v>
      </c>
      <c r="E1860" s="895"/>
      <c r="F1860" s="896" t="s">
        <v>933</v>
      </c>
      <c r="G1860" s="897" t="s">
        <v>113</v>
      </c>
      <c r="H1860" s="894">
        <f t="shared" si="45"/>
        <v>0</v>
      </c>
      <c r="I1860" s="1435"/>
      <c r="J1860" s="1446">
        <f t="shared" si="46"/>
        <v>0</v>
      </c>
      <c r="K1860" s="898">
        <v>305700</v>
      </c>
    </row>
    <row r="1861" spans="4:11" ht="22.8" hidden="1" customHeight="1">
      <c r="D1861" s="916">
        <v>116</v>
      </c>
      <c r="E1861" s="895"/>
      <c r="F1861" s="896" t="s">
        <v>934</v>
      </c>
      <c r="G1861" s="897" t="s">
        <v>113</v>
      </c>
      <c r="H1861" s="894">
        <f t="shared" si="45"/>
        <v>0</v>
      </c>
      <c r="I1861" s="1435"/>
      <c r="J1861" s="1446">
        <f t="shared" si="46"/>
        <v>0</v>
      </c>
      <c r="K1861" s="898">
        <v>46000</v>
      </c>
    </row>
    <row r="1862" spans="4:11" ht="22.8" hidden="1" customHeight="1">
      <c r="D1862" s="916">
        <v>117</v>
      </c>
      <c r="E1862" s="895"/>
      <c r="F1862" s="896" t="s">
        <v>935</v>
      </c>
      <c r="G1862" s="897" t="s">
        <v>113</v>
      </c>
      <c r="H1862" s="894">
        <f t="shared" si="45"/>
        <v>0</v>
      </c>
      <c r="I1862" s="1435"/>
      <c r="J1862" s="1446">
        <f t="shared" si="46"/>
        <v>0</v>
      </c>
      <c r="K1862" s="898">
        <v>18600</v>
      </c>
    </row>
    <row r="1863" spans="4:11" ht="22.8" hidden="1" customHeight="1">
      <c r="D1863" s="916">
        <v>118</v>
      </c>
      <c r="E1863" s="895"/>
      <c r="F1863" s="896" t="s">
        <v>936</v>
      </c>
      <c r="G1863" s="897" t="s">
        <v>113</v>
      </c>
      <c r="H1863" s="894">
        <f t="shared" si="45"/>
        <v>0</v>
      </c>
      <c r="I1863" s="1435"/>
      <c r="J1863" s="1446">
        <f t="shared" si="46"/>
        <v>0</v>
      </c>
      <c r="K1863" s="898">
        <v>96000</v>
      </c>
    </row>
    <row r="1864" spans="4:11" ht="22.8" hidden="1" customHeight="1">
      <c r="D1864" s="916">
        <v>119</v>
      </c>
      <c r="E1864" s="895"/>
      <c r="F1864" s="896" t="s">
        <v>937</v>
      </c>
      <c r="G1864" s="897" t="s">
        <v>113</v>
      </c>
      <c r="H1864" s="894">
        <f t="shared" si="45"/>
        <v>0</v>
      </c>
      <c r="I1864" s="1435"/>
      <c r="J1864" s="1446">
        <f t="shared" si="46"/>
        <v>0</v>
      </c>
      <c r="K1864" s="898">
        <v>1011900</v>
      </c>
    </row>
    <row r="1865" spans="4:11" ht="22.8" hidden="1" customHeight="1">
      <c r="D1865" s="916">
        <v>120</v>
      </c>
      <c r="E1865" s="895"/>
      <c r="F1865" s="896" t="s">
        <v>938</v>
      </c>
      <c r="G1865" s="897" t="s">
        <v>113</v>
      </c>
      <c r="H1865" s="894">
        <f t="shared" si="45"/>
        <v>0</v>
      </c>
      <c r="I1865" s="1435"/>
      <c r="J1865" s="1446">
        <f t="shared" si="46"/>
        <v>0</v>
      </c>
      <c r="K1865" s="898">
        <v>1245000</v>
      </c>
    </row>
    <row r="1866" spans="4:11" ht="22.8" hidden="1" customHeight="1">
      <c r="D1866" s="916">
        <v>121</v>
      </c>
      <c r="E1866" s="895"/>
      <c r="F1866" s="896" t="s">
        <v>939</v>
      </c>
      <c r="G1866" s="897" t="s">
        <v>113</v>
      </c>
      <c r="H1866" s="894">
        <f t="shared" si="45"/>
        <v>0</v>
      </c>
      <c r="I1866" s="1435"/>
      <c r="J1866" s="1446">
        <f t="shared" si="46"/>
        <v>0</v>
      </c>
      <c r="K1866" s="898">
        <v>148500</v>
      </c>
    </row>
    <row r="1867" spans="4:11" ht="22.8" hidden="1" customHeight="1">
      <c r="D1867" s="916">
        <v>122</v>
      </c>
      <c r="E1867" s="895"/>
      <c r="F1867" s="896" t="s">
        <v>940</v>
      </c>
      <c r="G1867" s="897" t="s">
        <v>113</v>
      </c>
      <c r="H1867" s="894">
        <f t="shared" si="45"/>
        <v>0</v>
      </c>
      <c r="I1867" s="1435"/>
      <c r="J1867" s="1446">
        <f t="shared" si="46"/>
        <v>0</v>
      </c>
      <c r="K1867" s="898">
        <v>1552800</v>
      </c>
    </row>
    <row r="1868" spans="4:11" ht="22.8" hidden="1" customHeight="1">
      <c r="D1868" s="916">
        <v>123</v>
      </c>
      <c r="E1868" s="895"/>
      <c r="F1868" s="896" t="s">
        <v>941</v>
      </c>
      <c r="G1868" s="897" t="s">
        <v>113</v>
      </c>
      <c r="H1868" s="894">
        <f t="shared" si="45"/>
        <v>0</v>
      </c>
      <c r="I1868" s="1435"/>
      <c r="J1868" s="1446">
        <f t="shared" si="46"/>
        <v>0</v>
      </c>
      <c r="K1868" s="898">
        <v>28620</v>
      </c>
    </row>
    <row r="1869" spans="4:11" ht="22.8" hidden="1" customHeight="1">
      <c r="D1869" s="916">
        <v>124</v>
      </c>
      <c r="E1869" s="895"/>
      <c r="F1869" s="896" t="s">
        <v>942</v>
      </c>
      <c r="G1869" s="897" t="s">
        <v>113</v>
      </c>
      <c r="H1869" s="894">
        <f t="shared" si="45"/>
        <v>0</v>
      </c>
      <c r="I1869" s="1435"/>
      <c r="J1869" s="1446">
        <f t="shared" si="46"/>
        <v>0</v>
      </c>
      <c r="K1869" s="898">
        <v>2044800</v>
      </c>
    </row>
    <row r="1870" spans="4:11" ht="22.8" hidden="1" customHeight="1">
      <c r="D1870" s="916">
        <v>125</v>
      </c>
      <c r="E1870" s="895"/>
      <c r="F1870" s="896" t="s">
        <v>943</v>
      </c>
      <c r="G1870" s="897" t="s">
        <v>113</v>
      </c>
      <c r="H1870" s="894">
        <f t="shared" si="45"/>
        <v>0</v>
      </c>
      <c r="I1870" s="1435"/>
      <c r="J1870" s="1446">
        <f t="shared" si="46"/>
        <v>0</v>
      </c>
      <c r="K1870" s="898">
        <v>228000</v>
      </c>
    </row>
    <row r="1871" spans="4:11" ht="22.8" hidden="1" customHeight="1">
      <c r="D1871" s="916">
        <v>126</v>
      </c>
      <c r="E1871" s="895"/>
      <c r="F1871" s="896" t="s">
        <v>944</v>
      </c>
      <c r="G1871" s="897" t="s">
        <v>113</v>
      </c>
      <c r="H1871" s="894">
        <f t="shared" si="45"/>
        <v>0</v>
      </c>
      <c r="I1871" s="1435"/>
      <c r="J1871" s="1446">
        <f t="shared" si="46"/>
        <v>0</v>
      </c>
      <c r="K1871" s="898">
        <v>2550900</v>
      </c>
    </row>
    <row r="1872" spans="4:11" ht="22.8" hidden="1" customHeight="1">
      <c r="D1872" s="916">
        <v>127</v>
      </c>
      <c r="E1872" s="895"/>
      <c r="F1872" s="896" t="s">
        <v>945</v>
      </c>
      <c r="G1872" s="897" t="s">
        <v>113</v>
      </c>
      <c r="H1872" s="894">
        <f t="shared" si="45"/>
        <v>0</v>
      </c>
      <c r="I1872" s="1435"/>
      <c r="J1872" s="1446">
        <f t="shared" si="46"/>
        <v>0</v>
      </c>
      <c r="K1872" s="898">
        <v>310500</v>
      </c>
    </row>
    <row r="1873" spans="4:11" ht="22.8" hidden="1" customHeight="1">
      <c r="D1873" s="916">
        <v>128</v>
      </c>
      <c r="E1873" s="895"/>
      <c r="F1873" s="896" t="s">
        <v>946</v>
      </c>
      <c r="G1873" s="897" t="s">
        <v>113</v>
      </c>
      <c r="H1873" s="894">
        <f t="shared" si="45"/>
        <v>0</v>
      </c>
      <c r="I1873" s="1435"/>
      <c r="J1873" s="1446">
        <f t="shared" si="46"/>
        <v>0</v>
      </c>
      <c r="K1873" s="898">
        <v>43000</v>
      </c>
    </row>
    <row r="1874" spans="4:11" ht="22.8" hidden="1" customHeight="1">
      <c r="D1874" s="916">
        <v>129</v>
      </c>
      <c r="E1874" s="895"/>
      <c r="F1874" s="896" t="s">
        <v>947</v>
      </c>
      <c r="G1874" s="897" t="s">
        <v>113</v>
      </c>
      <c r="H1874" s="894">
        <f t="shared" si="45"/>
        <v>0</v>
      </c>
      <c r="I1874" s="1435"/>
      <c r="J1874" s="1446">
        <f t="shared" si="46"/>
        <v>0</v>
      </c>
      <c r="K1874" s="898">
        <v>412200</v>
      </c>
    </row>
    <row r="1875" spans="4:11" ht="22.8" hidden="1" customHeight="1">
      <c r="D1875" s="916">
        <v>130</v>
      </c>
      <c r="E1875" s="895"/>
      <c r="F1875" s="896" t="s">
        <v>948</v>
      </c>
      <c r="G1875" s="897" t="s">
        <v>113</v>
      </c>
      <c r="H1875" s="894">
        <f t="shared" si="45"/>
        <v>0</v>
      </c>
      <c r="I1875" s="1435"/>
      <c r="J1875" s="1446">
        <f t="shared" si="46"/>
        <v>0</v>
      </c>
      <c r="K1875" s="898">
        <v>61000</v>
      </c>
    </row>
    <row r="1876" spans="4:11" ht="22.8" hidden="1" customHeight="1">
      <c r="D1876" s="916">
        <v>131</v>
      </c>
      <c r="E1876" s="895"/>
      <c r="F1876" s="896" t="s">
        <v>949</v>
      </c>
      <c r="G1876" s="897" t="s">
        <v>113</v>
      </c>
      <c r="H1876" s="894">
        <f t="shared" si="45"/>
        <v>0</v>
      </c>
      <c r="I1876" s="1435"/>
      <c r="J1876" s="1446">
        <f t="shared" si="46"/>
        <v>0</v>
      </c>
      <c r="K1876" s="898">
        <v>584700</v>
      </c>
    </row>
    <row r="1877" spans="4:11" ht="22.8" hidden="1" customHeight="1">
      <c r="D1877" s="916">
        <v>132</v>
      </c>
      <c r="E1877" s="895"/>
      <c r="F1877" s="896" t="s">
        <v>950</v>
      </c>
      <c r="G1877" s="897" t="s">
        <v>113</v>
      </c>
      <c r="H1877" s="894">
        <f t="shared" ref="H1877:H1940" si="47">J1877</f>
        <v>0</v>
      </c>
      <c r="I1877" s="1435"/>
      <c r="J1877" s="1446">
        <f t="shared" si="46"/>
        <v>0</v>
      </c>
      <c r="K1877" s="898">
        <v>805200</v>
      </c>
    </row>
    <row r="1878" spans="4:11" ht="22.8" hidden="1" customHeight="1">
      <c r="D1878" s="916">
        <v>133</v>
      </c>
      <c r="E1878" s="895"/>
      <c r="F1878" s="896" t="s">
        <v>3376</v>
      </c>
      <c r="G1878" s="897" t="s">
        <v>113</v>
      </c>
      <c r="H1878" s="894">
        <f t="shared" si="47"/>
        <v>0</v>
      </c>
      <c r="I1878" s="1435"/>
      <c r="J1878" s="1446">
        <f t="shared" si="46"/>
        <v>0</v>
      </c>
      <c r="K1878" s="898">
        <v>4500</v>
      </c>
    </row>
    <row r="1879" spans="4:11" ht="22.8" hidden="1" customHeight="1">
      <c r="D1879" s="916">
        <v>134</v>
      </c>
      <c r="E1879" s="895"/>
      <c r="F1879" s="896" t="s">
        <v>7724</v>
      </c>
      <c r="G1879" s="897"/>
      <c r="H1879" s="894">
        <f t="shared" si="47"/>
        <v>0</v>
      </c>
      <c r="I1879" s="1435"/>
      <c r="J1879" s="1446">
        <f t="shared" si="46"/>
        <v>0</v>
      </c>
      <c r="K1879" s="898">
        <v>10700</v>
      </c>
    </row>
    <row r="1880" spans="4:11" ht="22.8" hidden="1" customHeight="1">
      <c r="D1880" s="916">
        <v>135</v>
      </c>
      <c r="E1880" s="895"/>
      <c r="F1880" s="896" t="s">
        <v>3381</v>
      </c>
      <c r="G1880" s="897" t="s">
        <v>113</v>
      </c>
      <c r="H1880" s="894">
        <f t="shared" si="47"/>
        <v>0</v>
      </c>
      <c r="I1880" s="1435"/>
      <c r="J1880" s="1446">
        <f t="shared" si="46"/>
        <v>0</v>
      </c>
      <c r="K1880" s="898">
        <v>3924</v>
      </c>
    </row>
    <row r="1881" spans="4:11" ht="22.8" hidden="1" customHeight="1">
      <c r="D1881" s="916">
        <v>136</v>
      </c>
      <c r="E1881" s="895"/>
      <c r="F1881" s="896" t="s">
        <v>7726</v>
      </c>
      <c r="G1881" s="897" t="s">
        <v>113</v>
      </c>
      <c r="H1881" s="894">
        <f t="shared" si="47"/>
        <v>0</v>
      </c>
      <c r="I1881" s="1435"/>
      <c r="J1881" s="1446">
        <f t="shared" si="46"/>
        <v>0</v>
      </c>
      <c r="K1881" s="898">
        <v>13100</v>
      </c>
    </row>
    <row r="1882" spans="4:11" ht="22.8" hidden="1" customHeight="1">
      <c r="D1882" s="916">
        <v>137</v>
      </c>
      <c r="E1882" s="895"/>
      <c r="F1882" s="896" t="s">
        <v>3385</v>
      </c>
      <c r="G1882" s="897" t="s">
        <v>113</v>
      </c>
      <c r="H1882" s="894">
        <f t="shared" si="47"/>
        <v>0</v>
      </c>
      <c r="I1882" s="1435"/>
      <c r="J1882" s="1446">
        <f t="shared" si="46"/>
        <v>0</v>
      </c>
      <c r="K1882" s="898">
        <v>1500</v>
      </c>
    </row>
    <row r="1883" spans="4:11" ht="22.8" hidden="1" customHeight="1">
      <c r="D1883" s="916">
        <v>138</v>
      </c>
      <c r="E1883" s="895"/>
      <c r="F1883" s="896" t="s">
        <v>3390</v>
      </c>
      <c r="G1883" s="897" t="s">
        <v>113</v>
      </c>
      <c r="H1883" s="894">
        <f t="shared" si="47"/>
        <v>0</v>
      </c>
      <c r="I1883" s="1435"/>
      <c r="J1883" s="1446">
        <f t="shared" si="46"/>
        <v>0</v>
      </c>
      <c r="K1883" s="898">
        <v>22800</v>
      </c>
    </row>
    <row r="1884" spans="4:11" ht="22.8" hidden="1" customHeight="1">
      <c r="D1884" s="916">
        <v>139</v>
      </c>
      <c r="E1884" s="895"/>
      <c r="F1884" s="896" t="s">
        <v>3406</v>
      </c>
      <c r="G1884" s="897" t="s">
        <v>3182</v>
      </c>
      <c r="H1884" s="894">
        <f t="shared" si="47"/>
        <v>0</v>
      </c>
      <c r="I1884" s="1435"/>
      <c r="J1884" s="1446">
        <f t="shared" si="46"/>
        <v>0</v>
      </c>
      <c r="K1884" s="898">
        <v>494000</v>
      </c>
    </row>
    <row r="1885" spans="4:11" ht="22.8" hidden="1" customHeight="1">
      <c r="D1885" s="916">
        <v>140</v>
      </c>
      <c r="E1885" s="895"/>
      <c r="F1885" s="896" t="s">
        <v>3410</v>
      </c>
      <c r="G1885" s="897" t="s">
        <v>3409</v>
      </c>
      <c r="H1885" s="894">
        <f t="shared" si="47"/>
        <v>0</v>
      </c>
      <c r="I1885" s="1435"/>
      <c r="J1885" s="1446">
        <f t="shared" si="46"/>
        <v>0</v>
      </c>
      <c r="K1885" s="898">
        <v>535000</v>
      </c>
    </row>
    <row r="1886" spans="4:11" ht="22.8" hidden="1" customHeight="1">
      <c r="D1886" s="916">
        <v>141</v>
      </c>
      <c r="E1886" s="895"/>
      <c r="F1886" s="896" t="s">
        <v>3413</v>
      </c>
      <c r="G1886" s="897" t="s">
        <v>3409</v>
      </c>
      <c r="H1886" s="894">
        <f t="shared" si="47"/>
        <v>0</v>
      </c>
      <c r="I1886" s="1435"/>
      <c r="J1886" s="1446">
        <f t="shared" si="46"/>
        <v>0</v>
      </c>
      <c r="K1886" s="898">
        <v>569000</v>
      </c>
    </row>
    <row r="1887" spans="4:11" ht="22.8" hidden="1" customHeight="1">
      <c r="D1887" s="916">
        <v>142</v>
      </c>
      <c r="E1887" s="895"/>
      <c r="F1887" s="896" t="s">
        <v>3417</v>
      </c>
      <c r="G1887" s="897" t="s">
        <v>3409</v>
      </c>
      <c r="H1887" s="894">
        <f t="shared" si="47"/>
        <v>0</v>
      </c>
      <c r="I1887" s="1435"/>
      <c r="J1887" s="1446">
        <f t="shared" si="46"/>
        <v>0</v>
      </c>
      <c r="K1887" s="898">
        <v>1639000</v>
      </c>
    </row>
    <row r="1888" spans="4:11" ht="22.8" hidden="1" customHeight="1">
      <c r="D1888" s="916">
        <v>143</v>
      </c>
      <c r="E1888" s="895"/>
      <c r="F1888" s="896" t="s">
        <v>3418</v>
      </c>
      <c r="G1888" s="897" t="s">
        <v>235</v>
      </c>
      <c r="H1888" s="894">
        <f t="shared" si="47"/>
        <v>0</v>
      </c>
      <c r="I1888" s="1435"/>
      <c r="J1888" s="1446">
        <f t="shared" si="46"/>
        <v>0</v>
      </c>
      <c r="K1888" s="898">
        <v>1255500</v>
      </c>
    </row>
    <row r="1889" spans="4:11" ht="22.8" hidden="1" customHeight="1">
      <c r="D1889" s="916">
        <v>144</v>
      </c>
      <c r="E1889" s="895"/>
      <c r="F1889" s="896" t="s">
        <v>3419</v>
      </c>
      <c r="G1889" s="897" t="s">
        <v>3409</v>
      </c>
      <c r="H1889" s="894">
        <f t="shared" si="47"/>
        <v>0</v>
      </c>
      <c r="I1889" s="1435"/>
      <c r="J1889" s="1446">
        <f t="shared" si="46"/>
        <v>0</v>
      </c>
      <c r="K1889" s="898">
        <v>890000</v>
      </c>
    </row>
    <row r="1890" spans="4:11" ht="22.8" hidden="1" customHeight="1">
      <c r="D1890" s="916">
        <v>145</v>
      </c>
      <c r="E1890" s="895"/>
      <c r="F1890" s="896" t="s">
        <v>7729</v>
      </c>
      <c r="G1890" s="897" t="s">
        <v>235</v>
      </c>
      <c r="H1890" s="894">
        <f t="shared" si="47"/>
        <v>0</v>
      </c>
      <c r="I1890" s="1435"/>
      <c r="J1890" s="1446">
        <f t="shared" si="46"/>
        <v>0</v>
      </c>
      <c r="K1890" s="898">
        <v>650000</v>
      </c>
    </row>
    <row r="1891" spans="4:11" ht="22.8" hidden="1" customHeight="1">
      <c r="D1891" s="916">
        <v>146</v>
      </c>
      <c r="E1891" s="895"/>
      <c r="F1891" s="896" t="s">
        <v>7731</v>
      </c>
      <c r="G1891" s="897" t="s">
        <v>135</v>
      </c>
      <c r="H1891" s="894">
        <f t="shared" si="47"/>
        <v>0</v>
      </c>
      <c r="I1891" s="1435"/>
      <c r="J1891" s="1446">
        <f t="shared" si="46"/>
        <v>0</v>
      </c>
      <c r="K1891" s="898">
        <v>670000</v>
      </c>
    </row>
    <row r="1892" spans="4:11" ht="22.8" hidden="1" customHeight="1">
      <c r="D1892" s="916">
        <v>147</v>
      </c>
      <c r="E1892" s="895"/>
      <c r="F1892" s="896" t="s">
        <v>7733</v>
      </c>
      <c r="G1892" s="897" t="s">
        <v>235</v>
      </c>
      <c r="H1892" s="894">
        <f t="shared" si="47"/>
        <v>0</v>
      </c>
      <c r="I1892" s="1435"/>
      <c r="J1892" s="1446">
        <f t="shared" si="46"/>
        <v>0</v>
      </c>
      <c r="K1892" s="898">
        <v>710000</v>
      </c>
    </row>
    <row r="1893" spans="4:11" ht="22.8" hidden="1" customHeight="1">
      <c r="D1893" s="916">
        <v>148</v>
      </c>
      <c r="E1893" s="895"/>
      <c r="F1893" s="896" t="s">
        <v>7736</v>
      </c>
      <c r="G1893" s="897" t="s">
        <v>3409</v>
      </c>
      <c r="H1893" s="894">
        <f t="shared" si="47"/>
        <v>0</v>
      </c>
      <c r="I1893" s="1435"/>
      <c r="J1893" s="1446">
        <f t="shared" si="46"/>
        <v>0</v>
      </c>
      <c r="K1893" s="898">
        <v>750000</v>
      </c>
    </row>
    <row r="1894" spans="4:11" ht="22.8" hidden="1" customHeight="1">
      <c r="D1894" s="916">
        <v>149</v>
      </c>
      <c r="E1894" s="895"/>
      <c r="F1894" s="896" t="s">
        <v>7739</v>
      </c>
      <c r="G1894" s="897" t="s">
        <v>3409</v>
      </c>
      <c r="H1894" s="894">
        <f t="shared" si="47"/>
        <v>0</v>
      </c>
      <c r="I1894" s="1435"/>
      <c r="J1894" s="1446">
        <f t="shared" si="46"/>
        <v>0</v>
      </c>
      <c r="K1894" s="898">
        <v>670000</v>
      </c>
    </row>
    <row r="1895" spans="4:11" ht="22.8" hidden="1" customHeight="1">
      <c r="D1895" s="916">
        <v>150</v>
      </c>
      <c r="E1895" s="895"/>
      <c r="F1895" s="896" t="s">
        <v>7742</v>
      </c>
      <c r="G1895" s="897" t="s">
        <v>3409</v>
      </c>
      <c r="H1895" s="894">
        <f t="shared" si="47"/>
        <v>0</v>
      </c>
      <c r="I1895" s="1435"/>
      <c r="J1895" s="1446">
        <f t="shared" si="46"/>
        <v>0</v>
      </c>
      <c r="K1895" s="898">
        <v>710000</v>
      </c>
    </row>
    <row r="1896" spans="4:11" ht="22.8" hidden="1" customHeight="1">
      <c r="D1896" s="916">
        <v>151</v>
      </c>
      <c r="E1896" s="895"/>
      <c r="F1896" s="896" t="s">
        <v>7745</v>
      </c>
      <c r="G1896" s="897" t="s">
        <v>3409</v>
      </c>
      <c r="H1896" s="894">
        <f t="shared" si="47"/>
        <v>0</v>
      </c>
      <c r="I1896" s="1435"/>
      <c r="J1896" s="1446">
        <f t="shared" si="46"/>
        <v>0</v>
      </c>
      <c r="K1896" s="898">
        <v>550000</v>
      </c>
    </row>
    <row r="1897" spans="4:11" ht="22.8" hidden="1" customHeight="1">
      <c r="D1897" s="916">
        <v>152</v>
      </c>
      <c r="E1897" s="895"/>
      <c r="F1897" s="896" t="s">
        <v>7748</v>
      </c>
      <c r="G1897" s="897" t="s">
        <v>235</v>
      </c>
      <c r="H1897" s="894">
        <f t="shared" si="47"/>
        <v>0</v>
      </c>
      <c r="I1897" s="1435"/>
      <c r="J1897" s="1446">
        <f t="shared" si="46"/>
        <v>0</v>
      </c>
      <c r="K1897" s="898">
        <v>570000</v>
      </c>
    </row>
    <row r="1898" spans="4:11" ht="22.8" hidden="1" customHeight="1">
      <c r="D1898" s="916">
        <v>153</v>
      </c>
      <c r="E1898" s="895"/>
      <c r="F1898" s="896" t="s">
        <v>7751</v>
      </c>
      <c r="G1898" s="897" t="s">
        <v>235</v>
      </c>
      <c r="H1898" s="894">
        <f t="shared" si="47"/>
        <v>0</v>
      </c>
      <c r="I1898" s="1435"/>
      <c r="J1898" s="1446">
        <f t="shared" si="46"/>
        <v>0</v>
      </c>
      <c r="K1898" s="898">
        <v>590000</v>
      </c>
    </row>
    <row r="1899" spans="4:11" ht="22.8" hidden="1" customHeight="1">
      <c r="D1899" s="916">
        <v>154</v>
      </c>
      <c r="E1899" s="895"/>
      <c r="F1899" s="896" t="s">
        <v>7754</v>
      </c>
      <c r="G1899" s="897" t="s">
        <v>3182</v>
      </c>
      <c r="H1899" s="894">
        <f t="shared" si="47"/>
        <v>0</v>
      </c>
      <c r="I1899" s="1435"/>
      <c r="J1899" s="1446">
        <f t="shared" si="46"/>
        <v>0</v>
      </c>
      <c r="K1899" s="898">
        <v>600000</v>
      </c>
    </row>
    <row r="1900" spans="4:11" ht="22.8" hidden="1" customHeight="1">
      <c r="D1900" s="916">
        <v>155</v>
      </c>
      <c r="E1900" s="895"/>
      <c r="F1900" s="896" t="s">
        <v>7757</v>
      </c>
      <c r="G1900" s="897" t="s">
        <v>235</v>
      </c>
      <c r="H1900" s="894">
        <f t="shared" si="47"/>
        <v>0</v>
      </c>
      <c r="I1900" s="1435"/>
      <c r="J1900" s="1446">
        <f t="shared" si="46"/>
        <v>0</v>
      </c>
      <c r="K1900" s="898">
        <v>630000</v>
      </c>
    </row>
    <row r="1901" spans="4:11" ht="22.8" hidden="1" customHeight="1">
      <c r="D1901" s="916">
        <v>156</v>
      </c>
      <c r="E1901" s="895"/>
      <c r="F1901" s="896" t="s">
        <v>7760</v>
      </c>
      <c r="G1901" s="897" t="s">
        <v>235</v>
      </c>
      <c r="H1901" s="894">
        <f t="shared" si="47"/>
        <v>0</v>
      </c>
      <c r="I1901" s="1435"/>
      <c r="J1901" s="1446">
        <f t="shared" si="46"/>
        <v>0</v>
      </c>
      <c r="K1901" s="898">
        <v>650000</v>
      </c>
    </row>
    <row r="1902" spans="4:11" ht="22.8" hidden="1" customHeight="1">
      <c r="D1902" s="916">
        <v>157</v>
      </c>
      <c r="E1902" s="895"/>
      <c r="F1902" s="896" t="s">
        <v>7763</v>
      </c>
      <c r="G1902" s="897" t="s">
        <v>235</v>
      </c>
      <c r="H1902" s="894">
        <f t="shared" si="47"/>
        <v>0</v>
      </c>
      <c r="I1902" s="1435"/>
      <c r="J1902" s="1446">
        <f t="shared" si="46"/>
        <v>0</v>
      </c>
      <c r="K1902" s="898">
        <v>400000</v>
      </c>
    </row>
    <row r="1903" spans="4:11" ht="22.8" hidden="1" customHeight="1">
      <c r="D1903" s="916">
        <v>158</v>
      </c>
      <c r="E1903" s="895"/>
      <c r="F1903" s="896" t="s">
        <v>7766</v>
      </c>
      <c r="G1903" s="897" t="s">
        <v>3182</v>
      </c>
      <c r="H1903" s="894">
        <f t="shared" si="47"/>
        <v>0</v>
      </c>
      <c r="I1903" s="1435"/>
      <c r="J1903" s="1446">
        <f t="shared" si="46"/>
        <v>0</v>
      </c>
      <c r="K1903" s="898">
        <v>430000</v>
      </c>
    </row>
    <row r="1904" spans="4:11" ht="22.8" hidden="1" customHeight="1">
      <c r="D1904" s="916">
        <v>159</v>
      </c>
      <c r="E1904" s="895"/>
      <c r="F1904" s="896" t="s">
        <v>7769</v>
      </c>
      <c r="G1904" s="897" t="s">
        <v>235</v>
      </c>
      <c r="H1904" s="894">
        <f t="shared" si="47"/>
        <v>0</v>
      </c>
      <c r="I1904" s="1435"/>
      <c r="J1904" s="1446">
        <f t="shared" si="46"/>
        <v>0</v>
      </c>
      <c r="K1904" s="898">
        <v>450000</v>
      </c>
    </row>
    <row r="1905" spans="4:11" ht="22.8" hidden="1" customHeight="1">
      <c r="D1905" s="916">
        <v>160</v>
      </c>
      <c r="E1905" s="895"/>
      <c r="F1905" s="896" t="s">
        <v>7772</v>
      </c>
      <c r="G1905" s="897" t="s">
        <v>235</v>
      </c>
      <c r="H1905" s="894">
        <f t="shared" si="47"/>
        <v>0</v>
      </c>
      <c r="I1905" s="1435"/>
      <c r="J1905" s="1446">
        <f t="shared" si="46"/>
        <v>0</v>
      </c>
      <c r="K1905" s="898">
        <v>470000</v>
      </c>
    </row>
    <row r="1906" spans="4:11" ht="22.8" hidden="1" customHeight="1">
      <c r="D1906" s="916">
        <v>161</v>
      </c>
      <c r="E1906" s="895"/>
      <c r="F1906" s="896" t="s">
        <v>7775</v>
      </c>
      <c r="G1906" s="897" t="s">
        <v>235</v>
      </c>
      <c r="H1906" s="894">
        <f t="shared" si="47"/>
        <v>0</v>
      </c>
      <c r="I1906" s="1435"/>
      <c r="J1906" s="1446">
        <f t="shared" si="46"/>
        <v>0</v>
      </c>
      <c r="K1906" s="898">
        <v>490000</v>
      </c>
    </row>
    <row r="1907" spans="4:11" ht="22.8" hidden="1" customHeight="1">
      <c r="D1907" s="916">
        <v>162</v>
      </c>
      <c r="E1907" s="895"/>
      <c r="F1907" s="896" t="s">
        <v>7778</v>
      </c>
      <c r="G1907" s="897" t="s">
        <v>3182</v>
      </c>
      <c r="H1907" s="894">
        <f t="shared" si="47"/>
        <v>0</v>
      </c>
      <c r="I1907" s="1435"/>
      <c r="J1907" s="1446">
        <f t="shared" si="46"/>
        <v>0</v>
      </c>
      <c r="K1907" s="898">
        <v>510000</v>
      </c>
    </row>
    <row r="1908" spans="4:11" ht="22.8" hidden="1" customHeight="1">
      <c r="D1908" s="916">
        <v>163</v>
      </c>
      <c r="E1908" s="895"/>
      <c r="F1908" s="896" t="s">
        <v>7781</v>
      </c>
      <c r="G1908" s="897" t="s">
        <v>235</v>
      </c>
      <c r="H1908" s="894">
        <f t="shared" si="47"/>
        <v>0</v>
      </c>
      <c r="I1908" s="1435"/>
      <c r="J1908" s="1446">
        <f t="shared" si="46"/>
        <v>0</v>
      </c>
      <c r="K1908" s="898">
        <v>350000</v>
      </c>
    </row>
    <row r="1909" spans="4:11" ht="22.8" hidden="1" customHeight="1">
      <c r="D1909" s="916">
        <v>164</v>
      </c>
      <c r="E1909" s="895"/>
      <c r="F1909" s="896" t="s">
        <v>7784</v>
      </c>
      <c r="G1909" s="897" t="s">
        <v>235</v>
      </c>
      <c r="H1909" s="894">
        <f t="shared" si="47"/>
        <v>0</v>
      </c>
      <c r="I1909" s="1435"/>
      <c r="J1909" s="1446">
        <f t="shared" si="46"/>
        <v>0</v>
      </c>
      <c r="K1909" s="898">
        <v>370000</v>
      </c>
    </row>
    <row r="1910" spans="4:11" ht="22.8" hidden="1" customHeight="1">
      <c r="D1910" s="916">
        <v>165</v>
      </c>
      <c r="E1910" s="895"/>
      <c r="F1910" s="896" t="s">
        <v>7787</v>
      </c>
      <c r="G1910" s="897" t="s">
        <v>235</v>
      </c>
      <c r="H1910" s="894">
        <f t="shared" si="47"/>
        <v>0</v>
      </c>
      <c r="I1910" s="1435"/>
      <c r="J1910" s="1446">
        <f t="shared" si="46"/>
        <v>0</v>
      </c>
      <c r="K1910" s="898">
        <v>390000</v>
      </c>
    </row>
    <row r="1911" spans="4:11" ht="22.8" hidden="1" customHeight="1">
      <c r="D1911" s="916">
        <v>166</v>
      </c>
      <c r="E1911" s="895"/>
      <c r="F1911" s="896" t="s">
        <v>7790</v>
      </c>
      <c r="G1911" s="897" t="s">
        <v>3182</v>
      </c>
      <c r="H1911" s="894">
        <f t="shared" si="47"/>
        <v>0</v>
      </c>
      <c r="I1911" s="1435"/>
      <c r="J1911" s="1446">
        <f t="shared" si="46"/>
        <v>0</v>
      </c>
      <c r="K1911" s="898">
        <v>410000</v>
      </c>
    </row>
    <row r="1912" spans="4:11" ht="22.8" hidden="1" customHeight="1">
      <c r="D1912" s="916">
        <v>167</v>
      </c>
      <c r="E1912" s="895"/>
      <c r="F1912" s="896" t="s">
        <v>7793</v>
      </c>
      <c r="G1912" s="897" t="s">
        <v>235</v>
      </c>
      <c r="H1912" s="894">
        <f t="shared" si="47"/>
        <v>0</v>
      </c>
      <c r="I1912" s="1435"/>
      <c r="J1912" s="1446">
        <f t="shared" si="46"/>
        <v>0</v>
      </c>
      <c r="K1912" s="898">
        <v>430000</v>
      </c>
    </row>
    <row r="1913" spans="4:11" ht="22.8" hidden="1" customHeight="1">
      <c r="D1913" s="916">
        <v>168</v>
      </c>
      <c r="E1913" s="895"/>
      <c r="F1913" s="896" t="s">
        <v>7796</v>
      </c>
      <c r="G1913" s="897" t="s">
        <v>235</v>
      </c>
      <c r="H1913" s="894">
        <f t="shared" si="47"/>
        <v>0</v>
      </c>
      <c r="I1913" s="1435"/>
      <c r="J1913" s="1446">
        <f t="shared" si="46"/>
        <v>0</v>
      </c>
      <c r="K1913" s="898">
        <v>450000</v>
      </c>
    </row>
    <row r="1914" spans="4:11" ht="22.8" hidden="1" customHeight="1">
      <c r="D1914" s="916">
        <v>169</v>
      </c>
      <c r="E1914" s="895"/>
      <c r="F1914" s="896" t="s">
        <v>7798</v>
      </c>
      <c r="G1914" s="897" t="s">
        <v>235</v>
      </c>
      <c r="H1914" s="894">
        <f t="shared" si="47"/>
        <v>0</v>
      </c>
      <c r="I1914" s="1435"/>
      <c r="J1914" s="1446">
        <f t="shared" si="46"/>
        <v>0</v>
      </c>
      <c r="K1914" s="898">
        <v>470000</v>
      </c>
    </row>
    <row r="1915" spans="4:11" ht="22.8" hidden="1" customHeight="1">
      <c r="D1915" s="916">
        <v>170</v>
      </c>
      <c r="E1915" s="895"/>
      <c r="F1915" s="896" t="s">
        <v>7803</v>
      </c>
      <c r="G1915" s="897" t="s">
        <v>3409</v>
      </c>
      <c r="H1915" s="894">
        <f t="shared" si="47"/>
        <v>0</v>
      </c>
      <c r="I1915" s="1435"/>
      <c r="J1915" s="1446">
        <f t="shared" si="46"/>
        <v>0</v>
      </c>
      <c r="K1915" s="898">
        <v>350000</v>
      </c>
    </row>
    <row r="1916" spans="4:11" ht="22.8" hidden="1" customHeight="1">
      <c r="D1916" s="916">
        <v>171</v>
      </c>
      <c r="E1916" s="895"/>
      <c r="F1916" s="896" t="s">
        <v>7806</v>
      </c>
      <c r="G1916" s="897" t="s">
        <v>235</v>
      </c>
      <c r="H1916" s="894">
        <f t="shared" si="47"/>
        <v>0</v>
      </c>
      <c r="I1916" s="1435"/>
      <c r="J1916" s="1446">
        <f t="shared" si="46"/>
        <v>0</v>
      </c>
      <c r="K1916" s="898">
        <v>370000</v>
      </c>
    </row>
    <row r="1917" spans="4:11" ht="22.8" hidden="1" customHeight="1">
      <c r="D1917" s="916">
        <v>172</v>
      </c>
      <c r="E1917" s="895"/>
      <c r="F1917" s="896" t="s">
        <v>7809</v>
      </c>
      <c r="G1917" s="897" t="s">
        <v>3409</v>
      </c>
      <c r="H1917" s="894">
        <f t="shared" si="47"/>
        <v>0</v>
      </c>
      <c r="I1917" s="1435"/>
      <c r="J1917" s="1446">
        <f t="shared" si="46"/>
        <v>0</v>
      </c>
      <c r="K1917" s="898">
        <v>385000</v>
      </c>
    </row>
    <row r="1918" spans="4:11" ht="22.8" hidden="1" customHeight="1">
      <c r="D1918" s="916">
        <v>173</v>
      </c>
      <c r="E1918" s="895"/>
      <c r="F1918" s="896" t="s">
        <v>7812</v>
      </c>
      <c r="G1918" s="897" t="s">
        <v>235</v>
      </c>
      <c r="H1918" s="894">
        <f t="shared" si="47"/>
        <v>0</v>
      </c>
      <c r="I1918" s="1435"/>
      <c r="J1918" s="1446">
        <f t="shared" si="46"/>
        <v>0</v>
      </c>
      <c r="K1918" s="898">
        <v>395000</v>
      </c>
    </row>
    <row r="1919" spans="4:11" ht="22.8" hidden="1" customHeight="1">
      <c r="D1919" s="916">
        <v>174</v>
      </c>
      <c r="E1919" s="895"/>
      <c r="F1919" s="896" t="s">
        <v>7815</v>
      </c>
      <c r="G1919" s="897" t="s">
        <v>3409</v>
      </c>
      <c r="H1919" s="894">
        <f t="shared" si="47"/>
        <v>0</v>
      </c>
      <c r="I1919" s="1435"/>
      <c r="J1919" s="1446">
        <f t="shared" si="46"/>
        <v>0</v>
      </c>
      <c r="K1919" s="898">
        <v>415000</v>
      </c>
    </row>
    <row r="1920" spans="4:11" ht="22.8" hidden="1" customHeight="1">
      <c r="D1920" s="916">
        <v>175</v>
      </c>
      <c r="E1920" s="895"/>
      <c r="F1920" s="896" t="s">
        <v>7818</v>
      </c>
      <c r="G1920" s="897" t="s">
        <v>235</v>
      </c>
      <c r="H1920" s="894">
        <f t="shared" si="47"/>
        <v>0</v>
      </c>
      <c r="I1920" s="1435"/>
      <c r="J1920" s="1446">
        <f t="shared" ref="J1920:J1983" si="48">I1920-(I1920*10%)</f>
        <v>0</v>
      </c>
      <c r="K1920" s="898">
        <v>430000</v>
      </c>
    </row>
    <row r="1921" spans="4:11" ht="22.8" hidden="1" customHeight="1">
      <c r="D1921" s="916">
        <v>176</v>
      </c>
      <c r="E1921" s="895"/>
      <c r="F1921" s="896" t="s">
        <v>7821</v>
      </c>
      <c r="G1921" s="897" t="s">
        <v>3409</v>
      </c>
      <c r="H1921" s="894">
        <f t="shared" si="47"/>
        <v>0</v>
      </c>
      <c r="I1921" s="1435"/>
      <c r="J1921" s="1446">
        <f t="shared" si="48"/>
        <v>0</v>
      </c>
      <c r="K1921" s="898">
        <v>445000</v>
      </c>
    </row>
    <row r="1922" spans="4:11" ht="22.8" hidden="1" customHeight="1">
      <c r="D1922" s="916">
        <v>177</v>
      </c>
      <c r="E1922" s="895"/>
      <c r="F1922" s="896" t="s">
        <v>7824</v>
      </c>
      <c r="G1922" s="897" t="s">
        <v>235</v>
      </c>
      <c r="H1922" s="894">
        <f t="shared" si="47"/>
        <v>0</v>
      </c>
      <c r="I1922" s="1435"/>
      <c r="J1922" s="1446">
        <f t="shared" si="48"/>
        <v>0</v>
      </c>
      <c r="K1922" s="898">
        <v>350000</v>
      </c>
    </row>
    <row r="1923" spans="4:11" ht="22.8" hidden="1" customHeight="1">
      <c r="D1923" s="916">
        <v>178</v>
      </c>
      <c r="E1923" s="895"/>
      <c r="F1923" s="896" t="s">
        <v>7827</v>
      </c>
      <c r="G1923" s="897" t="s">
        <v>3409</v>
      </c>
      <c r="H1923" s="894">
        <f t="shared" si="47"/>
        <v>0</v>
      </c>
      <c r="I1923" s="1435"/>
      <c r="J1923" s="1446">
        <f t="shared" si="48"/>
        <v>0</v>
      </c>
      <c r="K1923" s="898">
        <v>365000</v>
      </c>
    </row>
    <row r="1924" spans="4:11" ht="22.8" hidden="1" customHeight="1">
      <c r="D1924" s="916">
        <v>179</v>
      </c>
      <c r="E1924" s="895"/>
      <c r="F1924" s="896" t="s">
        <v>7830</v>
      </c>
      <c r="G1924" s="897" t="s">
        <v>235</v>
      </c>
      <c r="H1924" s="894">
        <f t="shared" si="47"/>
        <v>0</v>
      </c>
      <c r="I1924" s="1435"/>
      <c r="J1924" s="1446">
        <f t="shared" si="48"/>
        <v>0</v>
      </c>
      <c r="K1924" s="898">
        <v>380000</v>
      </c>
    </row>
    <row r="1925" spans="4:11" ht="22.8" hidden="1" customHeight="1">
      <c r="D1925" s="916">
        <v>180</v>
      </c>
      <c r="E1925" s="895"/>
      <c r="F1925" s="896" t="s">
        <v>7833</v>
      </c>
      <c r="G1925" s="897" t="s">
        <v>3409</v>
      </c>
      <c r="H1925" s="894">
        <f t="shared" si="47"/>
        <v>0</v>
      </c>
      <c r="I1925" s="1435"/>
      <c r="J1925" s="1446">
        <f t="shared" si="48"/>
        <v>0</v>
      </c>
      <c r="K1925" s="898">
        <v>395000</v>
      </c>
    </row>
    <row r="1926" spans="4:11" ht="22.8" hidden="1" customHeight="1">
      <c r="D1926" s="916">
        <v>181</v>
      </c>
      <c r="E1926" s="895"/>
      <c r="F1926" s="896" t="s">
        <v>7836</v>
      </c>
      <c r="G1926" s="897" t="s">
        <v>235</v>
      </c>
      <c r="H1926" s="894">
        <f t="shared" si="47"/>
        <v>0</v>
      </c>
      <c r="I1926" s="1435"/>
      <c r="J1926" s="1446">
        <f t="shared" si="48"/>
        <v>0</v>
      </c>
      <c r="K1926" s="898">
        <v>410000</v>
      </c>
    </row>
    <row r="1927" spans="4:11" ht="22.8" hidden="1" customHeight="1">
      <c r="D1927" s="916">
        <v>182</v>
      </c>
      <c r="E1927" s="895"/>
      <c r="F1927" s="896" t="s">
        <v>7839</v>
      </c>
      <c r="G1927" s="897" t="s">
        <v>3409</v>
      </c>
      <c r="H1927" s="894">
        <f t="shared" si="47"/>
        <v>0</v>
      </c>
      <c r="I1927" s="1435"/>
      <c r="J1927" s="1446">
        <f t="shared" si="48"/>
        <v>0</v>
      </c>
      <c r="K1927" s="898">
        <v>300000</v>
      </c>
    </row>
    <row r="1928" spans="4:11" ht="22.8" hidden="1" customHeight="1">
      <c r="D1928" s="916">
        <v>183</v>
      </c>
      <c r="E1928" s="895"/>
      <c r="F1928" s="896" t="s">
        <v>7842</v>
      </c>
      <c r="G1928" s="897" t="s">
        <v>235</v>
      </c>
      <c r="H1928" s="894">
        <f t="shared" si="47"/>
        <v>0</v>
      </c>
      <c r="I1928" s="1435"/>
      <c r="J1928" s="1446">
        <f t="shared" si="48"/>
        <v>0</v>
      </c>
      <c r="K1928" s="898">
        <v>320000</v>
      </c>
    </row>
    <row r="1929" spans="4:11" ht="22.8" hidden="1" customHeight="1">
      <c r="D1929" s="916">
        <v>184</v>
      </c>
      <c r="E1929" s="895"/>
      <c r="F1929" s="896" t="s">
        <v>7845</v>
      </c>
      <c r="G1929" s="897" t="s">
        <v>3409</v>
      </c>
      <c r="H1929" s="894">
        <f t="shared" si="47"/>
        <v>0</v>
      </c>
      <c r="I1929" s="1435"/>
      <c r="J1929" s="1446">
        <f t="shared" si="48"/>
        <v>0</v>
      </c>
      <c r="K1929" s="898">
        <v>340000</v>
      </c>
    </row>
    <row r="1930" spans="4:11" ht="22.8" hidden="1" customHeight="1">
      <c r="D1930" s="916">
        <v>185</v>
      </c>
      <c r="E1930" s="895"/>
      <c r="F1930" s="896" t="s">
        <v>7848</v>
      </c>
      <c r="G1930" s="897" t="s">
        <v>235</v>
      </c>
      <c r="H1930" s="894">
        <f t="shared" si="47"/>
        <v>0</v>
      </c>
      <c r="I1930" s="1435"/>
      <c r="J1930" s="1446">
        <f t="shared" si="48"/>
        <v>0</v>
      </c>
      <c r="K1930" s="898">
        <v>360000</v>
      </c>
    </row>
    <row r="1931" spans="4:11" ht="22.8" hidden="1" customHeight="1">
      <c r="D1931" s="916">
        <v>186</v>
      </c>
      <c r="E1931" s="895"/>
      <c r="F1931" s="896" t="s">
        <v>7851</v>
      </c>
      <c r="G1931" s="897" t="s">
        <v>3409</v>
      </c>
      <c r="H1931" s="894">
        <f t="shared" si="47"/>
        <v>0</v>
      </c>
      <c r="I1931" s="1435"/>
      <c r="J1931" s="1446">
        <f t="shared" si="48"/>
        <v>0</v>
      </c>
      <c r="K1931" s="898">
        <v>380000</v>
      </c>
    </row>
    <row r="1932" spans="4:11" ht="22.8" hidden="1" customHeight="1">
      <c r="D1932" s="916">
        <v>187</v>
      </c>
      <c r="E1932" s="895"/>
      <c r="F1932" s="896" t="s">
        <v>7854</v>
      </c>
      <c r="G1932" s="897" t="s">
        <v>235</v>
      </c>
      <c r="H1932" s="894">
        <f t="shared" si="47"/>
        <v>0</v>
      </c>
      <c r="I1932" s="1435"/>
      <c r="J1932" s="1446">
        <f t="shared" si="48"/>
        <v>0</v>
      </c>
      <c r="K1932" s="898">
        <v>400000</v>
      </c>
    </row>
    <row r="1933" spans="4:11" ht="22.8" hidden="1" customHeight="1">
      <c r="D1933" s="916">
        <v>188</v>
      </c>
      <c r="E1933" s="895"/>
      <c r="F1933" s="896" t="s">
        <v>7857</v>
      </c>
      <c r="G1933" s="897" t="s">
        <v>3409</v>
      </c>
      <c r="H1933" s="894">
        <f t="shared" si="47"/>
        <v>0</v>
      </c>
      <c r="I1933" s="1435"/>
      <c r="J1933" s="1446">
        <f t="shared" si="48"/>
        <v>0</v>
      </c>
      <c r="K1933" s="898">
        <v>250000</v>
      </c>
    </row>
    <row r="1934" spans="4:11" ht="22.8" hidden="1" customHeight="1">
      <c r="D1934" s="916">
        <v>189</v>
      </c>
      <c r="E1934" s="895"/>
      <c r="F1934" s="896" t="s">
        <v>7861</v>
      </c>
      <c r="G1934" s="897" t="s">
        <v>235</v>
      </c>
      <c r="H1934" s="894">
        <f t="shared" si="47"/>
        <v>0</v>
      </c>
      <c r="I1934" s="1435"/>
      <c r="J1934" s="1446">
        <f t="shared" si="48"/>
        <v>0</v>
      </c>
      <c r="K1934" s="898">
        <v>270000</v>
      </c>
    </row>
    <row r="1935" spans="4:11" ht="22.8" hidden="1" customHeight="1">
      <c r="D1935" s="916">
        <v>190</v>
      </c>
      <c r="E1935" s="895"/>
      <c r="F1935" s="896" t="s">
        <v>7863</v>
      </c>
      <c r="G1935" s="897" t="s">
        <v>3409</v>
      </c>
      <c r="H1935" s="894">
        <f t="shared" si="47"/>
        <v>0</v>
      </c>
      <c r="I1935" s="1435"/>
      <c r="J1935" s="1446">
        <f t="shared" si="48"/>
        <v>0</v>
      </c>
      <c r="K1935" s="898">
        <v>280000</v>
      </c>
    </row>
    <row r="1936" spans="4:11" ht="22.8" hidden="1" customHeight="1">
      <c r="D1936" s="916">
        <v>191</v>
      </c>
      <c r="E1936" s="895"/>
      <c r="F1936" s="896" t="s">
        <v>7866</v>
      </c>
      <c r="G1936" s="897" t="s">
        <v>235</v>
      </c>
      <c r="H1936" s="894">
        <f t="shared" si="47"/>
        <v>0</v>
      </c>
      <c r="I1936" s="1435"/>
      <c r="J1936" s="1446">
        <f t="shared" si="48"/>
        <v>0</v>
      </c>
      <c r="K1936" s="898">
        <v>300000</v>
      </c>
    </row>
    <row r="1937" spans="4:11" ht="22.8" hidden="1" customHeight="1">
      <c r="D1937" s="916">
        <v>192</v>
      </c>
      <c r="E1937" s="895"/>
      <c r="F1937" s="896" t="s">
        <v>7869</v>
      </c>
      <c r="G1937" s="897" t="s">
        <v>3409</v>
      </c>
      <c r="H1937" s="894">
        <f t="shared" si="47"/>
        <v>0</v>
      </c>
      <c r="I1937" s="1435"/>
      <c r="J1937" s="1446">
        <f t="shared" si="48"/>
        <v>0</v>
      </c>
      <c r="K1937" s="898">
        <v>250000</v>
      </c>
    </row>
    <row r="1938" spans="4:11" ht="22.8" hidden="1" customHeight="1">
      <c r="D1938" s="916">
        <v>193</v>
      </c>
      <c r="E1938" s="895"/>
      <c r="F1938" s="896" t="s">
        <v>7872</v>
      </c>
      <c r="G1938" s="897" t="s">
        <v>235</v>
      </c>
      <c r="H1938" s="894">
        <f t="shared" si="47"/>
        <v>0</v>
      </c>
      <c r="I1938" s="1435"/>
      <c r="J1938" s="1446">
        <f t="shared" si="48"/>
        <v>0</v>
      </c>
      <c r="K1938" s="898">
        <v>260000</v>
      </c>
    </row>
    <row r="1939" spans="4:11" ht="22.8" hidden="1" customHeight="1">
      <c r="D1939" s="916">
        <v>194</v>
      </c>
      <c r="E1939" s="895"/>
      <c r="F1939" s="896" t="s">
        <v>7875</v>
      </c>
      <c r="G1939" s="897" t="s">
        <v>3409</v>
      </c>
      <c r="H1939" s="894">
        <f t="shared" si="47"/>
        <v>0</v>
      </c>
      <c r="I1939" s="1435"/>
      <c r="J1939" s="1446">
        <f t="shared" si="48"/>
        <v>0</v>
      </c>
      <c r="K1939" s="898">
        <v>280000</v>
      </c>
    </row>
    <row r="1940" spans="4:11" ht="22.8" hidden="1" customHeight="1">
      <c r="D1940" s="916">
        <v>195</v>
      </c>
      <c r="E1940" s="895"/>
      <c r="F1940" s="896" t="s">
        <v>7877</v>
      </c>
      <c r="G1940" s="897" t="s">
        <v>235</v>
      </c>
      <c r="H1940" s="894">
        <f t="shared" si="47"/>
        <v>0</v>
      </c>
      <c r="I1940" s="1435"/>
      <c r="J1940" s="1446">
        <f t="shared" si="48"/>
        <v>0</v>
      </c>
      <c r="K1940" s="898">
        <v>300000</v>
      </c>
    </row>
    <row r="1941" spans="4:11" ht="22.8" hidden="1" customHeight="1">
      <c r="D1941" s="916">
        <v>196</v>
      </c>
      <c r="E1941" s="895"/>
      <c r="F1941" s="896" t="s">
        <v>7881</v>
      </c>
      <c r="G1941" s="897" t="s">
        <v>3409</v>
      </c>
      <c r="H1941" s="894">
        <f t="shared" ref="H1941:H2004" si="49">J1941</f>
        <v>0</v>
      </c>
      <c r="I1941" s="1435"/>
      <c r="J1941" s="1446">
        <f t="shared" si="48"/>
        <v>0</v>
      </c>
      <c r="K1941" s="898">
        <v>320000</v>
      </c>
    </row>
    <row r="1942" spans="4:11" ht="22.8" hidden="1" customHeight="1">
      <c r="D1942" s="916">
        <v>197</v>
      </c>
      <c r="E1942" s="895"/>
      <c r="F1942" s="896" t="s">
        <v>7884</v>
      </c>
      <c r="G1942" s="897" t="s">
        <v>235</v>
      </c>
      <c r="H1942" s="894">
        <f t="shared" si="49"/>
        <v>0</v>
      </c>
      <c r="I1942" s="1435"/>
      <c r="J1942" s="1446">
        <f t="shared" si="48"/>
        <v>0</v>
      </c>
      <c r="K1942" s="898">
        <v>350000</v>
      </c>
    </row>
    <row r="1943" spans="4:11" ht="22.8" hidden="1" customHeight="1">
      <c r="D1943" s="916">
        <v>198</v>
      </c>
      <c r="E1943" s="895"/>
      <c r="F1943" s="896" t="s">
        <v>7887</v>
      </c>
      <c r="G1943" s="897" t="s">
        <v>3409</v>
      </c>
      <c r="H1943" s="894">
        <f t="shared" si="49"/>
        <v>0</v>
      </c>
      <c r="I1943" s="1435"/>
      <c r="J1943" s="1446">
        <f t="shared" si="48"/>
        <v>0</v>
      </c>
      <c r="K1943" s="898">
        <v>350000</v>
      </c>
    </row>
    <row r="1944" spans="4:11" ht="22.8" hidden="1" customHeight="1">
      <c r="D1944" s="916">
        <v>199</v>
      </c>
      <c r="E1944" s="895"/>
      <c r="F1944" s="896" t="s">
        <v>7889</v>
      </c>
      <c r="G1944" s="897" t="s">
        <v>235</v>
      </c>
      <c r="H1944" s="894">
        <f t="shared" si="49"/>
        <v>0</v>
      </c>
      <c r="I1944" s="1435"/>
      <c r="J1944" s="1446">
        <f t="shared" si="48"/>
        <v>0</v>
      </c>
      <c r="K1944" s="898">
        <v>370000</v>
      </c>
    </row>
    <row r="1945" spans="4:11" ht="22.8" hidden="1" customHeight="1">
      <c r="D1945" s="916">
        <v>200</v>
      </c>
      <c r="E1945" s="895"/>
      <c r="F1945" s="896" t="s">
        <v>7891</v>
      </c>
      <c r="G1945" s="897" t="s">
        <v>3409</v>
      </c>
      <c r="H1945" s="894">
        <f t="shared" si="49"/>
        <v>0</v>
      </c>
      <c r="I1945" s="1435"/>
      <c r="J1945" s="1446">
        <f t="shared" si="48"/>
        <v>0</v>
      </c>
      <c r="K1945" s="898">
        <v>390000</v>
      </c>
    </row>
    <row r="1946" spans="4:11" ht="22.8" hidden="1" customHeight="1">
      <c r="D1946" s="916">
        <v>201</v>
      </c>
      <c r="E1946" s="895"/>
      <c r="F1946" s="896" t="s">
        <v>7896</v>
      </c>
      <c r="G1946" s="897" t="s">
        <v>235</v>
      </c>
      <c r="H1946" s="894">
        <f t="shared" si="49"/>
        <v>0</v>
      </c>
      <c r="I1946" s="1435"/>
      <c r="J1946" s="1446">
        <f t="shared" si="48"/>
        <v>0</v>
      </c>
      <c r="K1946" s="898">
        <v>400000</v>
      </c>
    </row>
    <row r="1947" spans="4:11" ht="22.8" hidden="1" customHeight="1">
      <c r="D1947" s="916">
        <v>202</v>
      </c>
      <c r="E1947" s="895"/>
      <c r="F1947" s="896" t="s">
        <v>7899</v>
      </c>
      <c r="G1947" s="897" t="s">
        <v>3409</v>
      </c>
      <c r="H1947" s="894">
        <f t="shared" si="49"/>
        <v>0</v>
      </c>
      <c r="I1947" s="1435"/>
      <c r="J1947" s="1446">
        <f t="shared" si="48"/>
        <v>0</v>
      </c>
      <c r="K1947" s="898">
        <v>410000</v>
      </c>
    </row>
    <row r="1948" spans="4:11" ht="22.8" hidden="1" customHeight="1">
      <c r="D1948" s="916">
        <v>203</v>
      </c>
      <c r="E1948" s="895"/>
      <c r="F1948" s="896" t="s">
        <v>7902</v>
      </c>
      <c r="G1948" s="897" t="s">
        <v>235</v>
      </c>
      <c r="H1948" s="894">
        <f t="shared" si="49"/>
        <v>0</v>
      </c>
      <c r="I1948" s="1435"/>
      <c r="J1948" s="1446">
        <f t="shared" si="48"/>
        <v>0</v>
      </c>
      <c r="K1948" s="898">
        <v>420000</v>
      </c>
    </row>
    <row r="1949" spans="4:11" ht="22.8" hidden="1" customHeight="1">
      <c r="D1949" s="916">
        <v>204</v>
      </c>
      <c r="E1949" s="895"/>
      <c r="F1949" s="896" t="s">
        <v>7905</v>
      </c>
      <c r="G1949" s="897" t="s">
        <v>235</v>
      </c>
      <c r="H1949" s="894">
        <f t="shared" si="49"/>
        <v>0</v>
      </c>
      <c r="I1949" s="1435"/>
      <c r="J1949" s="1446">
        <f t="shared" si="48"/>
        <v>0</v>
      </c>
      <c r="K1949" s="898">
        <v>340000</v>
      </c>
    </row>
    <row r="1950" spans="4:11" ht="22.8" hidden="1" customHeight="1">
      <c r="D1950" s="916">
        <v>205</v>
      </c>
      <c r="E1950" s="895"/>
      <c r="F1950" s="896" t="s">
        <v>7908</v>
      </c>
      <c r="G1950" s="897" t="s">
        <v>3409</v>
      </c>
      <c r="H1950" s="894">
        <f t="shared" si="49"/>
        <v>0</v>
      </c>
      <c r="I1950" s="1435"/>
      <c r="J1950" s="1446">
        <f t="shared" si="48"/>
        <v>0</v>
      </c>
      <c r="K1950" s="898">
        <v>350000</v>
      </c>
    </row>
    <row r="1951" spans="4:11" ht="22.8" hidden="1" customHeight="1">
      <c r="D1951" s="916">
        <v>206</v>
      </c>
      <c r="E1951" s="895"/>
      <c r="F1951" s="896" t="s">
        <v>7911</v>
      </c>
      <c r="G1951" s="897" t="s">
        <v>235</v>
      </c>
      <c r="H1951" s="894">
        <f t="shared" si="49"/>
        <v>0</v>
      </c>
      <c r="I1951" s="1435"/>
      <c r="J1951" s="1446">
        <f t="shared" si="48"/>
        <v>0</v>
      </c>
      <c r="K1951" s="898">
        <v>360000</v>
      </c>
    </row>
    <row r="1952" spans="4:11" ht="22.8" hidden="1" customHeight="1">
      <c r="D1952" s="916">
        <v>207</v>
      </c>
      <c r="E1952" s="895"/>
      <c r="F1952" s="896" t="s">
        <v>7914</v>
      </c>
      <c r="G1952" s="897" t="s">
        <v>235</v>
      </c>
      <c r="H1952" s="894">
        <f t="shared" si="49"/>
        <v>0</v>
      </c>
      <c r="I1952" s="1435"/>
      <c r="J1952" s="1446">
        <f t="shared" si="48"/>
        <v>0</v>
      </c>
      <c r="K1952" s="898">
        <v>370000</v>
      </c>
    </row>
    <row r="1953" spans="4:11" ht="22.8" hidden="1" customHeight="1">
      <c r="D1953" s="916">
        <v>208</v>
      </c>
      <c r="E1953" s="895"/>
      <c r="F1953" s="896" t="s">
        <v>7917</v>
      </c>
      <c r="G1953" s="897" t="s">
        <v>3409</v>
      </c>
      <c r="H1953" s="894">
        <f t="shared" si="49"/>
        <v>0</v>
      </c>
      <c r="I1953" s="1435"/>
      <c r="J1953" s="1446">
        <f t="shared" si="48"/>
        <v>0</v>
      </c>
      <c r="K1953" s="898">
        <v>380000</v>
      </c>
    </row>
    <row r="1954" spans="4:11" ht="22.8" hidden="1" customHeight="1">
      <c r="D1954" s="916">
        <v>209</v>
      </c>
      <c r="E1954" s="895"/>
      <c r="F1954" s="896" t="s">
        <v>7920</v>
      </c>
      <c r="G1954" s="897" t="s">
        <v>235</v>
      </c>
      <c r="H1954" s="894">
        <f t="shared" si="49"/>
        <v>0</v>
      </c>
      <c r="I1954" s="1435"/>
      <c r="J1954" s="1446">
        <f t="shared" si="48"/>
        <v>0</v>
      </c>
      <c r="K1954" s="898">
        <v>390000</v>
      </c>
    </row>
    <row r="1955" spans="4:11" ht="22.8" hidden="1" customHeight="1">
      <c r="D1955" s="916">
        <v>210</v>
      </c>
      <c r="E1955" s="895"/>
      <c r="F1955" s="896" t="s">
        <v>7923</v>
      </c>
      <c r="G1955" s="897" t="s">
        <v>235</v>
      </c>
      <c r="H1955" s="894">
        <f t="shared" si="49"/>
        <v>0</v>
      </c>
      <c r="I1955" s="1435"/>
      <c r="J1955" s="1446">
        <f t="shared" si="48"/>
        <v>0</v>
      </c>
      <c r="K1955" s="898">
        <v>350000</v>
      </c>
    </row>
    <row r="1956" spans="4:11" ht="22.8" hidden="1" customHeight="1">
      <c r="D1956" s="916">
        <v>211</v>
      </c>
      <c r="E1956" s="895"/>
      <c r="F1956" s="896" t="s">
        <v>7926</v>
      </c>
      <c r="G1956" s="897" t="s">
        <v>3409</v>
      </c>
      <c r="H1956" s="894">
        <f t="shared" si="49"/>
        <v>0</v>
      </c>
      <c r="I1956" s="1435"/>
      <c r="J1956" s="1446">
        <f t="shared" si="48"/>
        <v>0</v>
      </c>
      <c r="K1956" s="898">
        <v>360000</v>
      </c>
    </row>
    <row r="1957" spans="4:11" ht="22.8" hidden="1" customHeight="1">
      <c r="D1957" s="916">
        <v>212</v>
      </c>
      <c r="E1957" s="895"/>
      <c r="F1957" s="896" t="s">
        <v>7929</v>
      </c>
      <c r="G1957" s="897" t="s">
        <v>235</v>
      </c>
      <c r="H1957" s="894">
        <f t="shared" si="49"/>
        <v>0</v>
      </c>
      <c r="I1957" s="1435"/>
      <c r="J1957" s="1446">
        <f t="shared" si="48"/>
        <v>0</v>
      </c>
      <c r="K1957" s="898">
        <v>370000</v>
      </c>
    </row>
    <row r="1958" spans="4:11" ht="22.8" hidden="1" customHeight="1">
      <c r="D1958" s="916">
        <v>213</v>
      </c>
      <c r="E1958" s="895"/>
      <c r="F1958" s="896" t="s">
        <v>7932</v>
      </c>
      <c r="G1958" s="897" t="s">
        <v>235</v>
      </c>
      <c r="H1958" s="894">
        <f t="shared" si="49"/>
        <v>0</v>
      </c>
      <c r="I1958" s="1435"/>
      <c r="J1958" s="1446">
        <f t="shared" si="48"/>
        <v>0</v>
      </c>
      <c r="K1958" s="898">
        <v>380000</v>
      </c>
    </row>
    <row r="1959" spans="4:11" ht="22.8" hidden="1" customHeight="1">
      <c r="D1959" s="916">
        <v>214</v>
      </c>
      <c r="E1959" s="895"/>
      <c r="F1959" s="896" t="s">
        <v>7935</v>
      </c>
      <c r="G1959" s="897" t="s">
        <v>3409</v>
      </c>
      <c r="H1959" s="894">
        <f t="shared" si="49"/>
        <v>0</v>
      </c>
      <c r="I1959" s="1435"/>
      <c r="J1959" s="1446">
        <f t="shared" si="48"/>
        <v>0</v>
      </c>
      <c r="K1959" s="898">
        <v>390000</v>
      </c>
    </row>
    <row r="1960" spans="4:11" ht="22.8" hidden="1" customHeight="1">
      <c r="D1960" s="916">
        <v>215</v>
      </c>
      <c r="E1960" s="895"/>
      <c r="F1960" s="896" t="s">
        <v>7938</v>
      </c>
      <c r="G1960" s="897" t="s">
        <v>235</v>
      </c>
      <c r="H1960" s="894">
        <f t="shared" si="49"/>
        <v>0</v>
      </c>
      <c r="I1960" s="1435"/>
      <c r="J1960" s="1446">
        <f t="shared" si="48"/>
        <v>0</v>
      </c>
      <c r="K1960" s="898">
        <v>400000</v>
      </c>
    </row>
    <row r="1961" spans="4:11" ht="22.8" hidden="1" customHeight="1">
      <c r="D1961" s="916">
        <v>216</v>
      </c>
      <c r="E1961" s="895"/>
      <c r="F1961" s="896" t="s">
        <v>7941</v>
      </c>
      <c r="G1961" s="897" t="s">
        <v>235</v>
      </c>
      <c r="H1961" s="894">
        <f t="shared" si="49"/>
        <v>0</v>
      </c>
      <c r="I1961" s="1435"/>
      <c r="J1961" s="1446">
        <f t="shared" si="48"/>
        <v>0</v>
      </c>
      <c r="K1961" s="898">
        <v>340000</v>
      </c>
    </row>
    <row r="1962" spans="4:11" ht="22.8" hidden="1" customHeight="1">
      <c r="D1962" s="916">
        <v>217</v>
      </c>
      <c r="E1962" s="895"/>
      <c r="F1962" s="896" t="s">
        <v>7944</v>
      </c>
      <c r="G1962" s="897" t="s">
        <v>3409</v>
      </c>
      <c r="H1962" s="894">
        <f t="shared" si="49"/>
        <v>0</v>
      </c>
      <c r="I1962" s="1435"/>
      <c r="J1962" s="1446">
        <f t="shared" si="48"/>
        <v>0</v>
      </c>
      <c r="K1962" s="898">
        <v>350000</v>
      </c>
    </row>
    <row r="1963" spans="4:11" ht="22.8" hidden="1" customHeight="1">
      <c r="D1963" s="916">
        <v>218</v>
      </c>
      <c r="E1963" s="895"/>
      <c r="F1963" s="896" t="s">
        <v>7947</v>
      </c>
      <c r="G1963" s="897" t="s">
        <v>235</v>
      </c>
      <c r="H1963" s="894">
        <f t="shared" si="49"/>
        <v>0</v>
      </c>
      <c r="I1963" s="1435"/>
      <c r="J1963" s="1446">
        <f t="shared" si="48"/>
        <v>0</v>
      </c>
      <c r="K1963" s="898">
        <v>360000</v>
      </c>
    </row>
    <row r="1964" spans="4:11" ht="22.8" hidden="1" customHeight="1">
      <c r="D1964" s="916">
        <v>219</v>
      </c>
      <c r="E1964" s="895"/>
      <c r="F1964" s="896" t="s">
        <v>7950</v>
      </c>
      <c r="G1964" s="897" t="s">
        <v>235</v>
      </c>
      <c r="H1964" s="894">
        <f t="shared" si="49"/>
        <v>0</v>
      </c>
      <c r="I1964" s="1435"/>
      <c r="J1964" s="1446">
        <f t="shared" si="48"/>
        <v>0</v>
      </c>
      <c r="K1964" s="898">
        <v>370000</v>
      </c>
    </row>
    <row r="1965" spans="4:11" ht="22.8" hidden="1" customHeight="1">
      <c r="D1965" s="916">
        <v>220</v>
      </c>
      <c r="E1965" s="895"/>
      <c r="F1965" s="896" t="s">
        <v>7953</v>
      </c>
      <c r="G1965" s="897" t="s">
        <v>3409</v>
      </c>
      <c r="H1965" s="894">
        <f t="shared" si="49"/>
        <v>0</v>
      </c>
      <c r="I1965" s="1435"/>
      <c r="J1965" s="1446">
        <f t="shared" si="48"/>
        <v>0</v>
      </c>
      <c r="K1965" s="898">
        <v>380000</v>
      </c>
    </row>
    <row r="1966" spans="4:11" ht="22.8" hidden="1" customHeight="1">
      <c r="D1966" s="916">
        <v>221</v>
      </c>
      <c r="E1966" s="895"/>
      <c r="F1966" s="896" t="s">
        <v>7956</v>
      </c>
      <c r="G1966" s="897" t="s">
        <v>235</v>
      </c>
      <c r="H1966" s="894">
        <f t="shared" si="49"/>
        <v>0</v>
      </c>
      <c r="I1966" s="1435"/>
      <c r="J1966" s="1446">
        <f t="shared" si="48"/>
        <v>0</v>
      </c>
      <c r="K1966" s="898">
        <v>390000</v>
      </c>
    </row>
    <row r="1967" spans="4:11" ht="22.8" hidden="1" customHeight="1">
      <c r="D1967" s="916">
        <v>222</v>
      </c>
      <c r="E1967" s="895"/>
      <c r="F1967" s="896" t="s">
        <v>7959</v>
      </c>
      <c r="G1967" s="897" t="s">
        <v>235</v>
      </c>
      <c r="H1967" s="894">
        <f t="shared" si="49"/>
        <v>0</v>
      </c>
      <c r="I1967" s="1435"/>
      <c r="J1967" s="1446">
        <f t="shared" si="48"/>
        <v>0</v>
      </c>
      <c r="K1967" s="898">
        <v>340000</v>
      </c>
    </row>
    <row r="1968" spans="4:11" ht="22.8" hidden="1" customHeight="1">
      <c r="D1968" s="916">
        <v>223</v>
      </c>
      <c r="E1968" s="895"/>
      <c r="F1968" s="896" t="s">
        <v>7962</v>
      </c>
      <c r="G1968" s="897" t="s">
        <v>3409</v>
      </c>
      <c r="H1968" s="894">
        <f t="shared" si="49"/>
        <v>0</v>
      </c>
      <c r="I1968" s="1435"/>
      <c r="J1968" s="1446">
        <f t="shared" si="48"/>
        <v>0</v>
      </c>
      <c r="K1968" s="898">
        <v>350000</v>
      </c>
    </row>
    <row r="1969" spans="4:11" ht="22.8" hidden="1" customHeight="1">
      <c r="D1969" s="916">
        <v>224</v>
      </c>
      <c r="E1969" s="895"/>
      <c r="F1969" s="896" t="s">
        <v>7965</v>
      </c>
      <c r="G1969" s="897" t="s">
        <v>3409</v>
      </c>
      <c r="H1969" s="894">
        <f t="shared" si="49"/>
        <v>0</v>
      </c>
      <c r="I1969" s="1435"/>
      <c r="J1969" s="1446">
        <f t="shared" si="48"/>
        <v>0</v>
      </c>
      <c r="K1969" s="898">
        <v>360000</v>
      </c>
    </row>
    <row r="1970" spans="4:11" ht="22.8" hidden="1" customHeight="1">
      <c r="D1970" s="916">
        <v>225</v>
      </c>
      <c r="E1970" s="895"/>
      <c r="F1970" s="896" t="s">
        <v>7968</v>
      </c>
      <c r="G1970" s="897" t="s">
        <v>235</v>
      </c>
      <c r="H1970" s="894">
        <f t="shared" si="49"/>
        <v>0</v>
      </c>
      <c r="I1970" s="1435"/>
      <c r="J1970" s="1446">
        <f t="shared" si="48"/>
        <v>0</v>
      </c>
      <c r="K1970" s="898">
        <v>370000</v>
      </c>
    </row>
    <row r="1971" spans="4:11" ht="22.8" hidden="1" customHeight="1">
      <c r="D1971" s="916">
        <v>226</v>
      </c>
      <c r="E1971" s="895"/>
      <c r="F1971" s="896" t="s">
        <v>7971</v>
      </c>
      <c r="G1971" s="897" t="s">
        <v>3409</v>
      </c>
      <c r="H1971" s="894">
        <f t="shared" si="49"/>
        <v>0</v>
      </c>
      <c r="I1971" s="1435"/>
      <c r="J1971" s="1446">
        <f t="shared" si="48"/>
        <v>0</v>
      </c>
      <c r="K1971" s="898">
        <v>390000</v>
      </c>
    </row>
    <row r="1972" spans="4:11" ht="22.8" hidden="1" customHeight="1">
      <c r="D1972" s="916">
        <v>227</v>
      </c>
      <c r="E1972" s="895"/>
      <c r="F1972" s="896" t="s">
        <v>7974</v>
      </c>
      <c r="G1972" s="897" t="s">
        <v>235</v>
      </c>
      <c r="H1972" s="894">
        <f t="shared" si="49"/>
        <v>0</v>
      </c>
      <c r="I1972" s="1435"/>
      <c r="J1972" s="1446">
        <f t="shared" si="48"/>
        <v>0</v>
      </c>
      <c r="K1972" s="898">
        <v>340000</v>
      </c>
    </row>
    <row r="1973" spans="4:11" ht="22.8" hidden="1" customHeight="1">
      <c r="D1973" s="916">
        <v>228</v>
      </c>
      <c r="E1973" s="895"/>
      <c r="F1973" s="896" t="s">
        <v>7977</v>
      </c>
      <c r="G1973" s="897" t="s">
        <v>3409</v>
      </c>
      <c r="H1973" s="894">
        <f t="shared" si="49"/>
        <v>0</v>
      </c>
      <c r="I1973" s="1435"/>
      <c r="J1973" s="1446">
        <f t="shared" si="48"/>
        <v>0</v>
      </c>
      <c r="K1973" s="898">
        <v>350000</v>
      </c>
    </row>
    <row r="1974" spans="4:11" ht="22.8" hidden="1" customHeight="1">
      <c r="D1974" s="916">
        <v>229</v>
      </c>
      <c r="E1974" s="895"/>
      <c r="F1974" s="896" t="s">
        <v>7980</v>
      </c>
      <c r="G1974" s="897" t="s">
        <v>235</v>
      </c>
      <c r="H1974" s="894">
        <f t="shared" si="49"/>
        <v>0</v>
      </c>
      <c r="I1974" s="1435"/>
      <c r="J1974" s="1446">
        <f t="shared" si="48"/>
        <v>0</v>
      </c>
      <c r="K1974" s="898">
        <v>360000</v>
      </c>
    </row>
    <row r="1975" spans="4:11" ht="22.8" hidden="1" customHeight="1">
      <c r="D1975" s="916">
        <v>230</v>
      </c>
      <c r="E1975" s="895"/>
      <c r="F1975" s="896" t="s">
        <v>7983</v>
      </c>
      <c r="G1975" s="897" t="s">
        <v>3409</v>
      </c>
      <c r="H1975" s="894">
        <f t="shared" si="49"/>
        <v>0</v>
      </c>
      <c r="I1975" s="1435"/>
      <c r="J1975" s="1446">
        <f t="shared" si="48"/>
        <v>0</v>
      </c>
      <c r="K1975" s="898">
        <v>370000</v>
      </c>
    </row>
    <row r="1976" spans="4:11" ht="22.8" hidden="1" customHeight="1">
      <c r="D1976" s="916">
        <v>231</v>
      </c>
      <c r="E1976" s="895"/>
      <c r="F1976" s="896" t="s">
        <v>7986</v>
      </c>
      <c r="G1976" s="897" t="s">
        <v>235</v>
      </c>
      <c r="H1976" s="894">
        <f t="shared" si="49"/>
        <v>0</v>
      </c>
      <c r="I1976" s="1435"/>
      <c r="J1976" s="1446">
        <f t="shared" si="48"/>
        <v>0</v>
      </c>
      <c r="K1976" s="898">
        <v>380000</v>
      </c>
    </row>
    <row r="1977" spans="4:11" ht="22.8" hidden="1" customHeight="1">
      <c r="D1977" s="916">
        <v>232</v>
      </c>
      <c r="E1977" s="895"/>
      <c r="F1977" s="896" t="s">
        <v>7989</v>
      </c>
      <c r="G1977" s="897" t="s">
        <v>3409</v>
      </c>
      <c r="H1977" s="894">
        <f t="shared" si="49"/>
        <v>0</v>
      </c>
      <c r="I1977" s="1435"/>
      <c r="J1977" s="1446">
        <f t="shared" si="48"/>
        <v>0</v>
      </c>
      <c r="K1977" s="898">
        <v>340000</v>
      </c>
    </row>
    <row r="1978" spans="4:11" ht="22.8" hidden="1" customHeight="1">
      <c r="D1978" s="916">
        <v>233</v>
      </c>
      <c r="E1978" s="895"/>
      <c r="F1978" s="896" t="s">
        <v>7992</v>
      </c>
      <c r="G1978" s="897" t="s">
        <v>235</v>
      </c>
      <c r="H1978" s="894">
        <f t="shared" si="49"/>
        <v>0</v>
      </c>
      <c r="I1978" s="1435"/>
      <c r="J1978" s="1446">
        <f t="shared" si="48"/>
        <v>0</v>
      </c>
      <c r="K1978" s="898">
        <v>350000</v>
      </c>
    </row>
    <row r="1979" spans="4:11" ht="22.8" hidden="1" customHeight="1">
      <c r="D1979" s="916">
        <v>234</v>
      </c>
      <c r="E1979" s="895"/>
      <c r="F1979" s="896" t="s">
        <v>8008</v>
      </c>
      <c r="G1979" s="897" t="s">
        <v>3409</v>
      </c>
      <c r="H1979" s="894">
        <f t="shared" si="49"/>
        <v>0</v>
      </c>
      <c r="I1979" s="1435"/>
      <c r="J1979" s="1446">
        <f t="shared" si="48"/>
        <v>0</v>
      </c>
      <c r="K1979" s="898">
        <v>360000</v>
      </c>
    </row>
    <row r="1980" spans="4:11" ht="22.8" hidden="1" customHeight="1">
      <c r="D1980" s="916">
        <v>235</v>
      </c>
      <c r="E1980" s="895"/>
      <c r="F1980" s="896" t="s">
        <v>8010</v>
      </c>
      <c r="G1980" s="897" t="s">
        <v>235</v>
      </c>
      <c r="H1980" s="894">
        <f t="shared" si="49"/>
        <v>0</v>
      </c>
      <c r="I1980" s="1435"/>
      <c r="J1980" s="1446">
        <f t="shared" si="48"/>
        <v>0</v>
      </c>
      <c r="K1980" s="898">
        <v>370000</v>
      </c>
    </row>
    <row r="1981" spans="4:11" ht="22.8" hidden="1" customHeight="1">
      <c r="D1981" s="916">
        <v>236</v>
      </c>
      <c r="E1981" s="895"/>
      <c r="F1981" s="896" t="s">
        <v>8012</v>
      </c>
      <c r="G1981" s="897" t="s">
        <v>3409</v>
      </c>
      <c r="H1981" s="894">
        <f t="shared" si="49"/>
        <v>0</v>
      </c>
      <c r="I1981" s="1435"/>
      <c r="J1981" s="1446">
        <f t="shared" si="48"/>
        <v>0</v>
      </c>
      <c r="K1981" s="898">
        <v>380000</v>
      </c>
    </row>
    <row r="1982" spans="4:11" ht="22.8" hidden="1" customHeight="1">
      <c r="D1982" s="916">
        <v>237</v>
      </c>
      <c r="E1982" s="895"/>
      <c r="F1982" s="896" t="s">
        <v>8014</v>
      </c>
      <c r="G1982" s="897" t="s">
        <v>235</v>
      </c>
      <c r="H1982" s="894">
        <f t="shared" si="49"/>
        <v>0</v>
      </c>
      <c r="I1982" s="1435"/>
      <c r="J1982" s="1446">
        <f t="shared" si="48"/>
        <v>0</v>
      </c>
      <c r="K1982" s="898">
        <v>340000</v>
      </c>
    </row>
    <row r="1983" spans="4:11" ht="22.8" hidden="1" customHeight="1">
      <c r="D1983" s="916">
        <v>238</v>
      </c>
      <c r="E1983" s="895"/>
      <c r="F1983" s="896" t="s">
        <v>8016</v>
      </c>
      <c r="G1983" s="897" t="s">
        <v>3409</v>
      </c>
      <c r="H1983" s="894">
        <f t="shared" si="49"/>
        <v>0</v>
      </c>
      <c r="I1983" s="1435"/>
      <c r="J1983" s="1446">
        <f t="shared" si="48"/>
        <v>0</v>
      </c>
      <c r="K1983" s="898">
        <v>350000</v>
      </c>
    </row>
    <row r="1984" spans="4:11" ht="22.8" hidden="1" customHeight="1">
      <c r="D1984" s="916">
        <v>239</v>
      </c>
      <c r="E1984" s="895"/>
      <c r="F1984" s="896" t="s">
        <v>8018</v>
      </c>
      <c r="G1984" s="897" t="s">
        <v>235</v>
      </c>
      <c r="H1984" s="894">
        <f t="shared" si="49"/>
        <v>0</v>
      </c>
      <c r="I1984" s="1435"/>
      <c r="J1984" s="1446">
        <f t="shared" ref="J1984:J2047" si="50">I1984-(I1984*10%)</f>
        <v>0</v>
      </c>
      <c r="K1984" s="898">
        <v>360000</v>
      </c>
    </row>
    <row r="1985" spans="4:11" ht="22.8" hidden="1" customHeight="1">
      <c r="D1985" s="916">
        <v>240</v>
      </c>
      <c r="E1985" s="895"/>
      <c r="F1985" s="896" t="s">
        <v>8020</v>
      </c>
      <c r="G1985" s="897" t="s">
        <v>3409</v>
      </c>
      <c r="H1985" s="894">
        <f t="shared" si="49"/>
        <v>0</v>
      </c>
      <c r="I1985" s="1435"/>
      <c r="J1985" s="1446">
        <f t="shared" si="50"/>
        <v>0</v>
      </c>
      <c r="K1985" s="898">
        <v>370000</v>
      </c>
    </row>
    <row r="1986" spans="4:11" ht="22.8" hidden="1" customHeight="1">
      <c r="D1986" s="916">
        <v>241</v>
      </c>
      <c r="E1986" s="895"/>
      <c r="F1986" s="896" t="s">
        <v>8022</v>
      </c>
      <c r="G1986" s="897" t="s">
        <v>235</v>
      </c>
      <c r="H1986" s="894">
        <f t="shared" si="49"/>
        <v>0</v>
      </c>
      <c r="I1986" s="1435"/>
      <c r="J1986" s="1446">
        <f t="shared" si="50"/>
        <v>0</v>
      </c>
      <c r="K1986" s="898">
        <v>380000</v>
      </c>
    </row>
    <row r="1987" spans="4:11" ht="22.8" hidden="1" customHeight="1">
      <c r="D1987" s="916">
        <v>242</v>
      </c>
      <c r="E1987" s="895"/>
      <c r="F1987" s="896" t="s">
        <v>8029</v>
      </c>
      <c r="G1987" s="897" t="s">
        <v>3409</v>
      </c>
      <c r="H1987" s="894">
        <f t="shared" si="49"/>
        <v>0</v>
      </c>
      <c r="I1987" s="1435"/>
      <c r="J1987" s="1446">
        <f t="shared" si="50"/>
        <v>0</v>
      </c>
      <c r="K1987" s="898">
        <v>330000</v>
      </c>
    </row>
    <row r="1988" spans="4:11" ht="22.8" hidden="1" customHeight="1">
      <c r="D1988" s="916">
        <v>243</v>
      </c>
      <c r="E1988" s="895"/>
      <c r="F1988" s="896" t="s">
        <v>8031</v>
      </c>
      <c r="G1988" s="897" t="s">
        <v>235</v>
      </c>
      <c r="H1988" s="894">
        <f t="shared" si="49"/>
        <v>0</v>
      </c>
      <c r="I1988" s="1435"/>
      <c r="J1988" s="1446">
        <f t="shared" si="50"/>
        <v>0</v>
      </c>
      <c r="K1988" s="898">
        <v>340000</v>
      </c>
    </row>
    <row r="1989" spans="4:11" ht="22.8" hidden="1" customHeight="1">
      <c r="D1989" s="916">
        <v>244</v>
      </c>
      <c r="E1989" s="895"/>
      <c r="F1989" s="896" t="s">
        <v>8033</v>
      </c>
      <c r="G1989" s="897" t="s">
        <v>3409</v>
      </c>
      <c r="H1989" s="894">
        <f t="shared" si="49"/>
        <v>0</v>
      </c>
      <c r="I1989" s="1435"/>
      <c r="J1989" s="1446">
        <f t="shared" si="50"/>
        <v>0</v>
      </c>
      <c r="K1989" s="898">
        <v>350000</v>
      </c>
    </row>
    <row r="1990" spans="4:11" ht="22.8" hidden="1" customHeight="1">
      <c r="D1990" s="916">
        <v>245</v>
      </c>
      <c r="E1990" s="895"/>
      <c r="F1990" s="896" t="s">
        <v>8035</v>
      </c>
      <c r="G1990" s="897" t="s">
        <v>235</v>
      </c>
      <c r="H1990" s="894">
        <f t="shared" si="49"/>
        <v>0</v>
      </c>
      <c r="I1990" s="1435"/>
      <c r="J1990" s="1446">
        <f t="shared" si="50"/>
        <v>0</v>
      </c>
      <c r="K1990" s="898">
        <v>360000</v>
      </c>
    </row>
    <row r="1991" spans="4:11" ht="22.8" hidden="1" customHeight="1">
      <c r="D1991" s="916">
        <v>246</v>
      </c>
      <c r="E1991" s="895"/>
      <c r="F1991" s="896" t="s">
        <v>8037</v>
      </c>
      <c r="G1991" s="897" t="s">
        <v>3409</v>
      </c>
      <c r="H1991" s="894">
        <f t="shared" si="49"/>
        <v>0</v>
      </c>
      <c r="I1991" s="1435"/>
      <c r="J1991" s="1446">
        <f t="shared" si="50"/>
        <v>0</v>
      </c>
      <c r="K1991" s="898">
        <v>370000</v>
      </c>
    </row>
    <row r="1992" spans="4:11" ht="22.8" hidden="1" customHeight="1">
      <c r="D1992" s="916">
        <v>247</v>
      </c>
      <c r="E1992" s="895"/>
      <c r="F1992" s="896" t="s">
        <v>8039</v>
      </c>
      <c r="G1992" s="897" t="s">
        <v>235</v>
      </c>
      <c r="H1992" s="894">
        <f t="shared" si="49"/>
        <v>0</v>
      </c>
      <c r="I1992" s="1435"/>
      <c r="J1992" s="1446">
        <f t="shared" si="50"/>
        <v>0</v>
      </c>
      <c r="K1992" s="898">
        <v>330000</v>
      </c>
    </row>
    <row r="1993" spans="4:11" ht="22.8" hidden="1" customHeight="1">
      <c r="D1993" s="916">
        <v>248</v>
      </c>
      <c r="E1993" s="895"/>
      <c r="F1993" s="896" t="s">
        <v>8041</v>
      </c>
      <c r="G1993" s="897" t="s">
        <v>3409</v>
      </c>
      <c r="H1993" s="894">
        <f t="shared" si="49"/>
        <v>0</v>
      </c>
      <c r="I1993" s="1435"/>
      <c r="J1993" s="1446">
        <f t="shared" si="50"/>
        <v>0</v>
      </c>
      <c r="K1993" s="898">
        <v>340000</v>
      </c>
    </row>
    <row r="1994" spans="4:11" ht="22.8" hidden="1" customHeight="1">
      <c r="D1994" s="916">
        <v>249</v>
      </c>
      <c r="E1994" s="895"/>
      <c r="F1994" s="896" t="s">
        <v>8043</v>
      </c>
      <c r="G1994" s="897" t="s">
        <v>235</v>
      </c>
      <c r="H1994" s="894">
        <f t="shared" si="49"/>
        <v>0</v>
      </c>
      <c r="I1994" s="1435"/>
      <c r="J1994" s="1446">
        <f t="shared" si="50"/>
        <v>0</v>
      </c>
      <c r="K1994" s="898">
        <v>350000</v>
      </c>
    </row>
    <row r="1995" spans="4:11" ht="22.8" hidden="1" customHeight="1">
      <c r="D1995" s="916">
        <v>250</v>
      </c>
      <c r="E1995" s="895"/>
      <c r="F1995" s="896" t="s">
        <v>8045</v>
      </c>
      <c r="G1995" s="897" t="s">
        <v>3409</v>
      </c>
      <c r="H1995" s="894">
        <f t="shared" si="49"/>
        <v>0</v>
      </c>
      <c r="I1995" s="1435"/>
      <c r="J1995" s="1446">
        <f t="shared" si="50"/>
        <v>0</v>
      </c>
      <c r="K1995" s="898">
        <v>360000</v>
      </c>
    </row>
    <row r="1996" spans="4:11" ht="22.8" hidden="1" customHeight="1">
      <c r="D1996" s="916">
        <v>251</v>
      </c>
      <c r="E1996" s="895"/>
      <c r="F1996" s="896" t="s">
        <v>8047</v>
      </c>
      <c r="G1996" s="897" t="s">
        <v>235</v>
      </c>
      <c r="H1996" s="894">
        <f t="shared" si="49"/>
        <v>0</v>
      </c>
      <c r="I1996" s="1435"/>
      <c r="J1996" s="1446">
        <f t="shared" si="50"/>
        <v>0</v>
      </c>
      <c r="K1996" s="898">
        <v>370000</v>
      </c>
    </row>
    <row r="1997" spans="4:11" ht="22.8" hidden="1" customHeight="1">
      <c r="D1997" s="916">
        <v>252</v>
      </c>
      <c r="E1997" s="895"/>
      <c r="F1997" s="896" t="s">
        <v>8049</v>
      </c>
      <c r="G1997" s="897" t="s">
        <v>3409</v>
      </c>
      <c r="H1997" s="894">
        <f t="shared" si="49"/>
        <v>0</v>
      </c>
      <c r="I1997" s="1435"/>
      <c r="J1997" s="1446">
        <f t="shared" si="50"/>
        <v>0</v>
      </c>
      <c r="K1997" s="898">
        <v>380000</v>
      </c>
    </row>
    <row r="1998" spans="4:11" ht="22.8" hidden="1" customHeight="1">
      <c r="D1998" s="916">
        <v>253</v>
      </c>
      <c r="E1998" s="895"/>
      <c r="F1998" s="896" t="s">
        <v>951</v>
      </c>
      <c r="G1998" s="897" t="s">
        <v>113</v>
      </c>
      <c r="H1998" s="894">
        <f t="shared" si="49"/>
        <v>0</v>
      </c>
      <c r="I1998" s="1435"/>
      <c r="J1998" s="1446">
        <f t="shared" si="50"/>
        <v>0</v>
      </c>
      <c r="K1998" s="898">
        <v>175000</v>
      </c>
    </row>
    <row r="1999" spans="4:11" ht="22.8" hidden="1" customHeight="1">
      <c r="D1999" s="916">
        <v>254</v>
      </c>
      <c r="E1999" s="895"/>
      <c r="F1999" s="896" t="s">
        <v>952</v>
      </c>
      <c r="G1999" s="897" t="s">
        <v>113</v>
      </c>
      <c r="H1999" s="894">
        <f t="shared" si="49"/>
        <v>0</v>
      </c>
      <c r="I1999" s="1435"/>
      <c r="J1999" s="1446">
        <f t="shared" si="50"/>
        <v>0</v>
      </c>
      <c r="K1999" s="898">
        <v>219000</v>
      </c>
    </row>
    <row r="2000" spans="4:11" ht="22.8" hidden="1" customHeight="1">
      <c r="D2000" s="916">
        <v>255</v>
      </c>
      <c r="E2000" s="895"/>
      <c r="F2000" s="896" t="s">
        <v>953</v>
      </c>
      <c r="G2000" s="897" t="s">
        <v>113</v>
      </c>
      <c r="H2000" s="894">
        <f t="shared" si="49"/>
        <v>0</v>
      </c>
      <c r="I2000" s="1435"/>
      <c r="J2000" s="1446">
        <f t="shared" si="50"/>
        <v>0</v>
      </c>
      <c r="K2000" s="898">
        <v>265000</v>
      </c>
    </row>
    <row r="2001" spans="4:11" ht="22.8" hidden="1" customHeight="1">
      <c r="D2001" s="916">
        <v>256</v>
      </c>
      <c r="E2001" s="895"/>
      <c r="F2001" s="896" t="s">
        <v>954</v>
      </c>
      <c r="G2001" s="897" t="s">
        <v>113</v>
      </c>
      <c r="H2001" s="894">
        <f t="shared" si="49"/>
        <v>0</v>
      </c>
      <c r="I2001" s="1435"/>
      <c r="J2001" s="1446">
        <f t="shared" si="50"/>
        <v>0</v>
      </c>
      <c r="K2001" s="898">
        <v>309000</v>
      </c>
    </row>
    <row r="2002" spans="4:11" ht="22.8" hidden="1" customHeight="1">
      <c r="D2002" s="916">
        <v>257</v>
      </c>
      <c r="E2002" s="895"/>
      <c r="F2002" s="896" t="s">
        <v>955</v>
      </c>
      <c r="G2002" s="897" t="s">
        <v>113</v>
      </c>
      <c r="H2002" s="894">
        <f t="shared" si="49"/>
        <v>0</v>
      </c>
      <c r="I2002" s="1435"/>
      <c r="J2002" s="1446">
        <f t="shared" si="50"/>
        <v>0</v>
      </c>
      <c r="K2002" s="898">
        <v>352000</v>
      </c>
    </row>
    <row r="2003" spans="4:11" ht="22.8" hidden="1" customHeight="1">
      <c r="D2003" s="916">
        <v>258</v>
      </c>
      <c r="E2003" s="895"/>
      <c r="F2003" s="896" t="s">
        <v>956</v>
      </c>
      <c r="G2003" s="897" t="s">
        <v>44</v>
      </c>
      <c r="H2003" s="894">
        <f t="shared" si="49"/>
        <v>0</v>
      </c>
      <c r="I2003" s="1435"/>
      <c r="J2003" s="1446">
        <f t="shared" si="50"/>
        <v>0</v>
      </c>
      <c r="K2003" s="898">
        <v>6000</v>
      </c>
    </row>
    <row r="2004" spans="4:11" ht="22.8" customHeight="1">
      <c r="D2004" s="1422">
        <v>1</v>
      </c>
      <c r="E2004" s="895"/>
      <c r="F2004" s="896" t="s">
        <v>5816</v>
      </c>
      <c r="G2004" s="897" t="s">
        <v>2167</v>
      </c>
      <c r="H2004" s="894">
        <f t="shared" si="49"/>
        <v>891</v>
      </c>
      <c r="I2004" s="1435">
        <v>990</v>
      </c>
      <c r="J2004" s="1446">
        <f t="shared" si="50"/>
        <v>891</v>
      </c>
      <c r="K2004" s="898">
        <v>900</v>
      </c>
    </row>
    <row r="2005" spans="4:11" ht="22.8" hidden="1" customHeight="1">
      <c r="D2005" s="916">
        <v>260</v>
      </c>
      <c r="E2005" s="895"/>
      <c r="F2005" s="896" t="s">
        <v>957</v>
      </c>
      <c r="G2005" s="897" t="s">
        <v>44</v>
      </c>
      <c r="H2005" s="894">
        <f t="shared" ref="H2005:H2017" si="51">J2005</f>
        <v>0</v>
      </c>
      <c r="I2005" s="1435"/>
      <c r="J2005" s="1446">
        <f t="shared" si="50"/>
        <v>0</v>
      </c>
      <c r="K2005" s="898">
        <v>1000</v>
      </c>
    </row>
    <row r="2006" spans="4:11" ht="22.8" hidden="1" customHeight="1">
      <c r="D2006" s="916">
        <v>261</v>
      </c>
      <c r="E2006" s="895"/>
      <c r="F2006" s="896" t="s">
        <v>958</v>
      </c>
      <c r="G2006" s="897" t="s">
        <v>113</v>
      </c>
      <c r="H2006" s="894">
        <f t="shared" si="51"/>
        <v>0</v>
      </c>
      <c r="I2006" s="1435"/>
      <c r="J2006" s="1446">
        <f t="shared" si="50"/>
        <v>0</v>
      </c>
      <c r="K2006" s="898">
        <v>4100</v>
      </c>
    </row>
    <row r="2007" spans="4:11" ht="22.8" customHeight="1">
      <c r="D2007" s="1422">
        <v>1</v>
      </c>
      <c r="E2007" s="895"/>
      <c r="F2007" s="896" t="s">
        <v>5818</v>
      </c>
      <c r="G2007" s="897" t="s">
        <v>1300</v>
      </c>
      <c r="H2007" s="894">
        <f t="shared" si="51"/>
        <v>952.2</v>
      </c>
      <c r="I2007" s="1435">
        <v>1058</v>
      </c>
      <c r="J2007" s="1446">
        <f t="shared" si="50"/>
        <v>952.2</v>
      </c>
      <c r="K2007" s="898">
        <v>5400</v>
      </c>
    </row>
    <row r="2008" spans="4:11" ht="22.8" hidden="1" customHeight="1">
      <c r="D2008" s="916">
        <v>263</v>
      </c>
      <c r="E2008" s="895"/>
      <c r="F2008" s="896" t="s">
        <v>3283</v>
      </c>
      <c r="G2008" s="897" t="s">
        <v>3284</v>
      </c>
      <c r="H2008" s="894">
        <f t="shared" si="51"/>
        <v>0</v>
      </c>
      <c r="I2008" s="1435"/>
      <c r="J2008" s="1446">
        <f t="shared" si="50"/>
        <v>0</v>
      </c>
      <c r="K2008" s="898">
        <v>20000</v>
      </c>
    </row>
    <row r="2009" spans="4:11" ht="22.8" customHeight="1">
      <c r="D2009" s="1422">
        <v>1</v>
      </c>
      <c r="E2009" s="895"/>
      <c r="F2009" s="896" t="s">
        <v>3542</v>
      </c>
      <c r="G2009" s="897" t="s">
        <v>1300</v>
      </c>
      <c r="H2009" s="894">
        <f t="shared" si="51"/>
        <v>16195.5</v>
      </c>
      <c r="I2009" s="1435">
        <v>17995</v>
      </c>
      <c r="J2009" s="1446">
        <f t="shared" si="50"/>
        <v>16195.5</v>
      </c>
      <c r="K2009" s="898">
        <v>4000</v>
      </c>
    </row>
    <row r="2010" spans="4:11" ht="22.8" customHeight="1">
      <c r="D2010" s="1422">
        <v>1</v>
      </c>
      <c r="E2010" s="895"/>
      <c r="F2010" s="896" t="s">
        <v>3512</v>
      </c>
      <c r="G2010" s="897" t="s">
        <v>2167</v>
      </c>
      <c r="H2010" s="894">
        <f t="shared" si="51"/>
        <v>19800</v>
      </c>
      <c r="I2010" s="1435">
        <v>22000</v>
      </c>
      <c r="J2010" s="1446">
        <f t="shared" si="50"/>
        <v>19800</v>
      </c>
      <c r="K2010" s="898">
        <v>24000</v>
      </c>
    </row>
    <row r="2011" spans="4:11" ht="22.8" customHeight="1">
      <c r="D2011" s="1422">
        <v>1</v>
      </c>
      <c r="E2011" s="895"/>
      <c r="F2011" s="896" t="s">
        <v>3515</v>
      </c>
      <c r="G2011" s="897" t="s">
        <v>3516</v>
      </c>
      <c r="H2011" s="894">
        <f t="shared" si="51"/>
        <v>29700</v>
      </c>
      <c r="I2011" s="1435">
        <v>33000</v>
      </c>
      <c r="J2011" s="1446">
        <f t="shared" si="50"/>
        <v>29700</v>
      </c>
      <c r="K2011" s="898">
        <v>33000</v>
      </c>
    </row>
    <row r="2012" spans="4:11" ht="22.8" hidden="1" customHeight="1">
      <c r="D2012" s="916">
        <v>267</v>
      </c>
      <c r="E2012" s="895"/>
      <c r="F2012" s="896" t="s">
        <v>3519</v>
      </c>
      <c r="G2012" s="897" t="s">
        <v>3520</v>
      </c>
      <c r="H2012" s="894">
        <f t="shared" si="51"/>
        <v>0</v>
      </c>
      <c r="I2012" s="1435"/>
      <c r="J2012" s="1446">
        <f t="shared" si="50"/>
        <v>0</v>
      </c>
      <c r="K2012" s="898">
        <v>76000</v>
      </c>
    </row>
    <row r="2013" spans="4:11" ht="22.8" hidden="1" customHeight="1">
      <c r="D2013" s="916">
        <v>268</v>
      </c>
      <c r="E2013" s="895"/>
      <c r="F2013" s="896" t="s">
        <v>3523</v>
      </c>
      <c r="G2013" s="897" t="s">
        <v>3516</v>
      </c>
      <c r="H2013" s="894">
        <f t="shared" si="51"/>
        <v>0</v>
      </c>
      <c r="I2013" s="1435"/>
      <c r="J2013" s="1446">
        <f t="shared" si="50"/>
        <v>0</v>
      </c>
      <c r="K2013" s="898">
        <v>108000</v>
      </c>
    </row>
    <row r="2014" spans="4:11" ht="22.8" hidden="1" customHeight="1">
      <c r="D2014" s="916">
        <v>269</v>
      </c>
      <c r="E2014" s="895"/>
      <c r="F2014" s="896" t="s">
        <v>3529</v>
      </c>
      <c r="G2014" s="897" t="s">
        <v>2167</v>
      </c>
      <c r="H2014" s="894">
        <f t="shared" si="51"/>
        <v>0</v>
      </c>
      <c r="I2014" s="1435"/>
      <c r="J2014" s="1446">
        <f t="shared" si="50"/>
        <v>0</v>
      </c>
      <c r="K2014" s="898">
        <v>180000</v>
      </c>
    </row>
    <row r="2015" spans="4:11" ht="22.8" customHeight="1">
      <c r="D2015" s="1422">
        <v>1</v>
      </c>
      <c r="E2015" s="895"/>
      <c r="F2015" s="896" t="s">
        <v>3531</v>
      </c>
      <c r="G2015" s="897" t="s">
        <v>3516</v>
      </c>
      <c r="H2015" s="894">
        <f t="shared" si="51"/>
        <v>29700</v>
      </c>
      <c r="I2015" s="1435">
        <v>33000</v>
      </c>
      <c r="J2015" s="1446">
        <f t="shared" si="50"/>
        <v>29700</v>
      </c>
      <c r="K2015" s="898">
        <v>70000</v>
      </c>
    </row>
    <row r="2016" spans="4:11" ht="22.8" hidden="1" customHeight="1">
      <c r="D2016" s="916">
        <v>271</v>
      </c>
      <c r="E2016" s="895"/>
      <c r="F2016" s="896" t="s">
        <v>3534</v>
      </c>
      <c r="G2016" s="897" t="s">
        <v>2167</v>
      </c>
      <c r="H2016" s="894">
        <f t="shared" si="51"/>
        <v>0</v>
      </c>
      <c r="I2016" s="1435"/>
      <c r="J2016" s="1446">
        <f t="shared" si="50"/>
        <v>0</v>
      </c>
      <c r="K2016" s="898">
        <v>67900</v>
      </c>
    </row>
    <row r="2017" spans="4:11" ht="22.8" customHeight="1">
      <c r="D2017" s="1422">
        <v>1</v>
      </c>
      <c r="E2017" s="895"/>
      <c r="F2017" s="896" t="s">
        <v>3540</v>
      </c>
      <c r="G2017" s="897" t="s">
        <v>2167</v>
      </c>
      <c r="H2017" s="894">
        <f t="shared" si="51"/>
        <v>3600</v>
      </c>
      <c r="I2017" s="1435">
        <v>4000</v>
      </c>
      <c r="J2017" s="1446">
        <f t="shared" si="50"/>
        <v>3600</v>
      </c>
      <c r="K2017" s="898">
        <v>4000</v>
      </c>
    </row>
    <row r="2018" spans="4:11" ht="22.8" customHeight="1">
      <c r="D2018" s="1422">
        <v>1</v>
      </c>
      <c r="E2018" s="895"/>
      <c r="F2018" s="896" t="s">
        <v>3541</v>
      </c>
      <c r="G2018" s="897" t="s">
        <v>2167</v>
      </c>
      <c r="H2018" s="898">
        <v>700</v>
      </c>
      <c r="I2018" s="1442"/>
      <c r="J2018" s="1446">
        <f t="shared" si="50"/>
        <v>0</v>
      </c>
      <c r="K2018" s="898">
        <v>700</v>
      </c>
    </row>
    <row r="2019" spans="4:11" ht="22.8" hidden="1" customHeight="1">
      <c r="D2019" s="916">
        <v>274</v>
      </c>
      <c r="E2019" s="895"/>
      <c r="F2019" s="896" t="s">
        <v>3543</v>
      </c>
      <c r="G2019" s="897" t="s">
        <v>2167</v>
      </c>
      <c r="H2019" s="898">
        <v>298</v>
      </c>
      <c r="I2019" s="1435"/>
      <c r="J2019" s="1446">
        <f t="shared" si="50"/>
        <v>0</v>
      </c>
      <c r="K2019" s="898">
        <v>298</v>
      </c>
    </row>
    <row r="2020" spans="4:11" ht="22.8" customHeight="1">
      <c r="D2020" s="1422">
        <v>1</v>
      </c>
      <c r="E2020" s="895"/>
      <c r="F2020" s="896" t="s">
        <v>3538</v>
      </c>
      <c r="G2020" s="897" t="s">
        <v>1300</v>
      </c>
      <c r="H2020" s="894">
        <f t="shared" ref="H2020" si="52">J2020</f>
        <v>1080</v>
      </c>
      <c r="I2020" s="1435">
        <v>1200</v>
      </c>
      <c r="J2020" s="1446">
        <f t="shared" si="50"/>
        <v>1080</v>
      </c>
      <c r="K2020" s="898">
        <v>416</v>
      </c>
    </row>
    <row r="2021" spans="4:11" ht="22.8" customHeight="1">
      <c r="D2021" s="1422">
        <v>1</v>
      </c>
      <c r="E2021" s="895"/>
      <c r="F2021" s="896" t="s">
        <v>3544</v>
      </c>
      <c r="G2021" s="897" t="s">
        <v>2167</v>
      </c>
      <c r="H2021" s="898">
        <v>580</v>
      </c>
      <c r="I2021" s="1442"/>
      <c r="J2021" s="1446">
        <f t="shared" si="50"/>
        <v>0</v>
      </c>
      <c r="K2021" s="898">
        <v>580</v>
      </c>
    </row>
    <row r="2022" spans="4:11" ht="22.8" customHeight="1">
      <c r="D2022" s="1422">
        <v>1</v>
      </c>
      <c r="E2022" s="895"/>
      <c r="F2022" s="896" t="s">
        <v>3537</v>
      </c>
      <c r="G2022" s="897" t="s">
        <v>2167</v>
      </c>
      <c r="H2022" s="894">
        <f t="shared" ref="H2022:H2073" si="53">J2022</f>
        <v>2700</v>
      </c>
      <c r="I2022" s="1435">
        <v>3000</v>
      </c>
      <c r="J2022" s="1446">
        <f t="shared" si="50"/>
        <v>2700</v>
      </c>
      <c r="K2022" s="898">
        <v>550</v>
      </c>
    </row>
    <row r="2023" spans="4:11" ht="22.8" customHeight="1">
      <c r="D2023" s="1422">
        <v>1</v>
      </c>
      <c r="E2023" s="895"/>
      <c r="F2023" s="896" t="s">
        <v>3545</v>
      </c>
      <c r="G2023" s="897" t="s">
        <v>2167</v>
      </c>
      <c r="H2023" s="894">
        <f t="shared" si="53"/>
        <v>14850</v>
      </c>
      <c r="I2023" s="1435">
        <v>16500</v>
      </c>
      <c r="J2023" s="1446">
        <f t="shared" si="50"/>
        <v>14850</v>
      </c>
      <c r="K2023" s="898">
        <v>21.5</v>
      </c>
    </row>
    <row r="2024" spans="4:11" ht="22.8" customHeight="1">
      <c r="D2024" s="1422">
        <v>1</v>
      </c>
      <c r="E2024" s="895"/>
      <c r="F2024" s="896" t="s">
        <v>3551</v>
      </c>
      <c r="G2024" s="897" t="s">
        <v>3182</v>
      </c>
      <c r="H2024" s="894">
        <f t="shared" si="53"/>
        <v>160499.70000000001</v>
      </c>
      <c r="I2024" s="1435">
        <v>178333</v>
      </c>
      <c r="J2024" s="1446">
        <f t="shared" si="50"/>
        <v>160499.70000000001</v>
      </c>
      <c r="K2024" s="898">
        <v>534000</v>
      </c>
    </row>
    <row r="2025" spans="4:11" ht="22.8" hidden="1" customHeight="1">
      <c r="D2025" s="916">
        <v>280</v>
      </c>
      <c r="E2025" s="895"/>
      <c r="F2025" s="896" t="s">
        <v>3555</v>
      </c>
      <c r="G2025" s="897" t="s">
        <v>3182</v>
      </c>
      <c r="H2025" s="894">
        <f t="shared" si="53"/>
        <v>0</v>
      </c>
      <c r="I2025" s="1435"/>
      <c r="J2025" s="1446">
        <f t="shared" si="50"/>
        <v>0</v>
      </c>
      <c r="K2025" s="898">
        <v>3150000</v>
      </c>
    </row>
    <row r="2026" spans="4:11" ht="22.8" hidden="1" customHeight="1">
      <c r="D2026" s="916">
        <v>281</v>
      </c>
      <c r="E2026" s="895"/>
      <c r="F2026" s="896" t="s">
        <v>3558</v>
      </c>
      <c r="G2026" s="897" t="s">
        <v>2167</v>
      </c>
      <c r="H2026" s="894">
        <f t="shared" si="53"/>
        <v>0</v>
      </c>
      <c r="I2026" s="1435"/>
      <c r="J2026" s="1446">
        <f t="shared" si="50"/>
        <v>0</v>
      </c>
      <c r="K2026" s="898">
        <v>2000000</v>
      </c>
    </row>
    <row r="2027" spans="4:11" ht="22.8" hidden="1" customHeight="1">
      <c r="D2027" s="916">
        <v>282</v>
      </c>
      <c r="E2027" s="895"/>
      <c r="F2027" s="896" t="s">
        <v>3561</v>
      </c>
      <c r="G2027" s="897" t="s">
        <v>2167</v>
      </c>
      <c r="H2027" s="894">
        <f t="shared" si="53"/>
        <v>0</v>
      </c>
      <c r="I2027" s="1435"/>
      <c r="J2027" s="1446">
        <f t="shared" si="50"/>
        <v>0</v>
      </c>
      <c r="K2027" s="898">
        <v>33900000</v>
      </c>
    </row>
    <row r="2028" spans="4:11" ht="22.8" hidden="1" customHeight="1">
      <c r="D2028" s="916">
        <v>283</v>
      </c>
      <c r="E2028" s="895"/>
      <c r="F2028" s="896" t="s">
        <v>5304</v>
      </c>
      <c r="G2028" s="897" t="s">
        <v>3182</v>
      </c>
      <c r="H2028" s="894">
        <f t="shared" si="53"/>
        <v>0</v>
      </c>
      <c r="I2028" s="1435"/>
      <c r="J2028" s="1446">
        <f t="shared" si="50"/>
        <v>0</v>
      </c>
      <c r="K2028" s="898">
        <v>3100000</v>
      </c>
    </row>
    <row r="2029" spans="4:11" ht="22.8" hidden="1" customHeight="1">
      <c r="D2029" s="916">
        <v>284</v>
      </c>
      <c r="E2029" s="895"/>
      <c r="F2029" s="896" t="s">
        <v>5305</v>
      </c>
      <c r="G2029" s="897" t="s">
        <v>3182</v>
      </c>
      <c r="H2029" s="894">
        <f t="shared" si="53"/>
        <v>0</v>
      </c>
      <c r="I2029" s="1435"/>
      <c r="J2029" s="1446">
        <f t="shared" si="50"/>
        <v>0</v>
      </c>
      <c r="K2029" s="898">
        <v>1500000</v>
      </c>
    </row>
    <row r="2030" spans="4:11" ht="22.8" hidden="1" customHeight="1">
      <c r="D2030" s="916">
        <v>285</v>
      </c>
      <c r="E2030" s="895"/>
      <c r="F2030" s="896" t="s">
        <v>5306</v>
      </c>
      <c r="G2030" s="897" t="s">
        <v>3182</v>
      </c>
      <c r="H2030" s="894">
        <f t="shared" si="53"/>
        <v>0</v>
      </c>
      <c r="I2030" s="1435"/>
      <c r="J2030" s="1446">
        <f t="shared" si="50"/>
        <v>0</v>
      </c>
      <c r="K2030" s="898">
        <v>4500000</v>
      </c>
    </row>
    <row r="2031" spans="4:11" ht="22.8" hidden="1" customHeight="1">
      <c r="D2031" s="916">
        <v>286</v>
      </c>
      <c r="E2031" s="895"/>
      <c r="F2031" s="896" t="s">
        <v>3435</v>
      </c>
      <c r="G2031" s="897" t="s">
        <v>3409</v>
      </c>
      <c r="H2031" s="894">
        <f t="shared" si="53"/>
        <v>0</v>
      </c>
      <c r="I2031" s="1435"/>
      <c r="J2031" s="1446">
        <f t="shared" si="50"/>
        <v>0</v>
      </c>
      <c r="K2031" s="898">
        <v>4900000</v>
      </c>
    </row>
    <row r="2032" spans="4:11" ht="22.8" hidden="1" customHeight="1">
      <c r="D2032" s="916">
        <v>287</v>
      </c>
      <c r="E2032" s="895"/>
      <c r="F2032" s="896" t="s">
        <v>3438</v>
      </c>
      <c r="G2032" s="897" t="s">
        <v>135</v>
      </c>
      <c r="H2032" s="894">
        <f t="shared" si="53"/>
        <v>0</v>
      </c>
      <c r="I2032" s="1435"/>
      <c r="J2032" s="1446">
        <f t="shared" si="50"/>
        <v>0</v>
      </c>
      <c r="K2032" s="898">
        <v>3500000</v>
      </c>
    </row>
    <row r="2033" spans="4:11" ht="22.8" hidden="1" customHeight="1">
      <c r="D2033" s="916">
        <v>288</v>
      </c>
      <c r="E2033" s="895"/>
      <c r="F2033" s="896" t="s">
        <v>3441</v>
      </c>
      <c r="G2033" s="897" t="s">
        <v>135</v>
      </c>
      <c r="H2033" s="894">
        <f t="shared" si="53"/>
        <v>0</v>
      </c>
      <c r="I2033" s="1435"/>
      <c r="J2033" s="1446">
        <f t="shared" si="50"/>
        <v>0</v>
      </c>
      <c r="K2033" s="898">
        <v>3300000</v>
      </c>
    </row>
    <row r="2034" spans="4:11" ht="22.8" hidden="1" customHeight="1">
      <c r="D2034" s="916">
        <v>289</v>
      </c>
      <c r="E2034" s="895"/>
      <c r="F2034" s="896" t="s">
        <v>5307</v>
      </c>
      <c r="G2034" s="897" t="s">
        <v>3409</v>
      </c>
      <c r="H2034" s="894">
        <f t="shared" si="53"/>
        <v>0</v>
      </c>
      <c r="I2034" s="1435"/>
      <c r="J2034" s="1446">
        <f t="shared" si="50"/>
        <v>0</v>
      </c>
      <c r="K2034" s="898">
        <v>3200000</v>
      </c>
    </row>
    <row r="2035" spans="4:11" ht="22.8" hidden="1" customHeight="1">
      <c r="D2035" s="916">
        <v>290</v>
      </c>
      <c r="E2035" s="895"/>
      <c r="F2035" s="896" t="s">
        <v>5308</v>
      </c>
      <c r="G2035" s="897" t="s">
        <v>135</v>
      </c>
      <c r="H2035" s="894">
        <f t="shared" si="53"/>
        <v>0</v>
      </c>
      <c r="I2035" s="1435"/>
      <c r="J2035" s="1446">
        <f t="shared" si="50"/>
        <v>0</v>
      </c>
      <c r="K2035" s="898">
        <v>3000000</v>
      </c>
    </row>
    <row r="2036" spans="4:11" ht="22.8" hidden="1" customHeight="1">
      <c r="D2036" s="916">
        <v>291</v>
      </c>
      <c r="E2036" s="895"/>
      <c r="F2036" s="896" t="s">
        <v>3448</v>
      </c>
      <c r="G2036" s="897" t="s">
        <v>135</v>
      </c>
      <c r="H2036" s="894">
        <f t="shared" si="53"/>
        <v>0</v>
      </c>
      <c r="I2036" s="1435"/>
      <c r="J2036" s="1446">
        <f t="shared" si="50"/>
        <v>0</v>
      </c>
      <c r="K2036" s="898">
        <v>2500000</v>
      </c>
    </row>
    <row r="2037" spans="4:11" ht="22.8" hidden="1" customHeight="1">
      <c r="D2037" s="916">
        <v>292</v>
      </c>
      <c r="E2037" s="895"/>
      <c r="F2037" s="896" t="s">
        <v>3451</v>
      </c>
      <c r="G2037" s="897" t="s">
        <v>235</v>
      </c>
      <c r="H2037" s="894">
        <f t="shared" si="53"/>
        <v>0</v>
      </c>
      <c r="I2037" s="1435"/>
      <c r="J2037" s="1446">
        <f t="shared" si="50"/>
        <v>0</v>
      </c>
      <c r="K2037" s="898">
        <v>3500000</v>
      </c>
    </row>
    <row r="2038" spans="4:11" ht="22.8" hidden="1" customHeight="1">
      <c r="D2038" s="916">
        <v>293</v>
      </c>
      <c r="E2038" s="895"/>
      <c r="F2038" s="896" t="s">
        <v>5311</v>
      </c>
      <c r="G2038" s="897" t="s">
        <v>135</v>
      </c>
      <c r="H2038" s="894">
        <f t="shared" si="53"/>
        <v>0</v>
      </c>
      <c r="I2038" s="1435"/>
      <c r="J2038" s="1446">
        <f t="shared" si="50"/>
        <v>0</v>
      </c>
      <c r="K2038" s="898">
        <v>5500000</v>
      </c>
    </row>
    <row r="2039" spans="4:11" ht="22.8" hidden="1" customHeight="1">
      <c r="D2039" s="916">
        <v>294</v>
      </c>
      <c r="E2039" s="895"/>
      <c r="F2039" s="896" t="s">
        <v>5309</v>
      </c>
      <c r="G2039" s="897" t="s">
        <v>3182</v>
      </c>
      <c r="H2039" s="894">
        <f t="shared" si="53"/>
        <v>0</v>
      </c>
      <c r="I2039" s="1435"/>
      <c r="J2039" s="1446">
        <f t="shared" si="50"/>
        <v>0</v>
      </c>
      <c r="K2039" s="898">
        <v>5700000</v>
      </c>
    </row>
    <row r="2040" spans="4:11" ht="22.8" hidden="1" customHeight="1">
      <c r="D2040" s="916">
        <v>295</v>
      </c>
      <c r="E2040" s="895"/>
      <c r="F2040" s="896" t="s">
        <v>5310</v>
      </c>
      <c r="G2040" s="897" t="s">
        <v>135</v>
      </c>
      <c r="H2040" s="894">
        <f t="shared" si="53"/>
        <v>0</v>
      </c>
      <c r="I2040" s="1435"/>
      <c r="J2040" s="1446">
        <f t="shared" si="50"/>
        <v>0</v>
      </c>
      <c r="K2040" s="898">
        <v>3500000</v>
      </c>
    </row>
    <row r="2041" spans="4:11" ht="22.8" hidden="1" customHeight="1">
      <c r="D2041" s="916">
        <v>296</v>
      </c>
      <c r="E2041" s="895"/>
      <c r="F2041" s="896" t="s">
        <v>3461</v>
      </c>
      <c r="G2041" s="897" t="s">
        <v>3182</v>
      </c>
      <c r="H2041" s="894">
        <f t="shared" si="53"/>
        <v>0</v>
      </c>
      <c r="I2041" s="1435"/>
      <c r="J2041" s="1446">
        <f t="shared" si="50"/>
        <v>0</v>
      </c>
      <c r="K2041" s="898">
        <v>4900000</v>
      </c>
    </row>
    <row r="2042" spans="4:11" ht="22.8" hidden="1" customHeight="1">
      <c r="D2042" s="916">
        <v>297</v>
      </c>
      <c r="E2042" s="895"/>
      <c r="F2042" s="896" t="s">
        <v>3464</v>
      </c>
      <c r="G2042" s="897" t="s">
        <v>3182</v>
      </c>
      <c r="H2042" s="894">
        <f t="shared" si="53"/>
        <v>0</v>
      </c>
      <c r="I2042" s="1435"/>
      <c r="J2042" s="1446">
        <f t="shared" si="50"/>
        <v>0</v>
      </c>
      <c r="K2042" s="898">
        <v>1700000</v>
      </c>
    </row>
    <row r="2043" spans="4:11" ht="22.8" hidden="1" customHeight="1">
      <c r="D2043" s="916">
        <v>298</v>
      </c>
      <c r="E2043" s="895"/>
      <c r="F2043" s="896" t="s">
        <v>3467</v>
      </c>
      <c r="G2043" s="897" t="s">
        <v>3182</v>
      </c>
      <c r="H2043" s="894">
        <f t="shared" si="53"/>
        <v>0</v>
      </c>
      <c r="I2043" s="1435"/>
      <c r="J2043" s="1446">
        <f t="shared" si="50"/>
        <v>0</v>
      </c>
      <c r="K2043" s="898">
        <v>2300000</v>
      </c>
    </row>
    <row r="2044" spans="4:11" ht="22.8" hidden="1" customHeight="1">
      <c r="D2044" s="916">
        <v>299</v>
      </c>
      <c r="E2044" s="895"/>
      <c r="F2044" s="896" t="s">
        <v>5312</v>
      </c>
      <c r="G2044" s="897" t="s">
        <v>3182</v>
      </c>
      <c r="H2044" s="894">
        <f t="shared" si="53"/>
        <v>0</v>
      </c>
      <c r="I2044" s="1435"/>
      <c r="J2044" s="1446">
        <f t="shared" si="50"/>
        <v>0</v>
      </c>
      <c r="K2044" s="898">
        <v>2500000</v>
      </c>
    </row>
    <row r="2045" spans="4:11" ht="22.8" hidden="1" customHeight="1">
      <c r="D2045" s="916">
        <v>300</v>
      </c>
      <c r="E2045" s="895"/>
      <c r="F2045" s="896" t="s">
        <v>3472</v>
      </c>
      <c r="G2045" s="897" t="s">
        <v>3182</v>
      </c>
      <c r="H2045" s="894">
        <f t="shared" si="53"/>
        <v>0</v>
      </c>
      <c r="I2045" s="1435"/>
      <c r="J2045" s="1446">
        <f t="shared" si="50"/>
        <v>0</v>
      </c>
      <c r="K2045" s="898">
        <v>1900000</v>
      </c>
    </row>
    <row r="2046" spans="4:11" ht="22.8" hidden="1" customHeight="1">
      <c r="D2046" s="916">
        <v>301</v>
      </c>
      <c r="E2046" s="895"/>
      <c r="F2046" s="896" t="s">
        <v>5313</v>
      </c>
      <c r="G2046" s="897" t="s">
        <v>3182</v>
      </c>
      <c r="H2046" s="894">
        <f t="shared" si="53"/>
        <v>0</v>
      </c>
      <c r="I2046" s="1435"/>
      <c r="J2046" s="1446">
        <f t="shared" si="50"/>
        <v>0</v>
      </c>
      <c r="K2046" s="898">
        <v>2100000</v>
      </c>
    </row>
    <row r="2047" spans="4:11" ht="22.8" hidden="1" customHeight="1">
      <c r="D2047" s="916">
        <v>302</v>
      </c>
      <c r="E2047" s="895"/>
      <c r="F2047" s="896" t="s">
        <v>3480</v>
      </c>
      <c r="G2047" s="897" t="s">
        <v>3182</v>
      </c>
      <c r="H2047" s="894">
        <f t="shared" si="53"/>
        <v>0</v>
      </c>
      <c r="I2047" s="1435"/>
      <c r="J2047" s="1446">
        <f t="shared" si="50"/>
        <v>0</v>
      </c>
      <c r="K2047" s="898">
        <v>450000</v>
      </c>
    </row>
    <row r="2048" spans="4:11" ht="22.8" hidden="1" customHeight="1">
      <c r="D2048" s="916">
        <v>303</v>
      </c>
      <c r="E2048" s="895"/>
      <c r="F2048" s="896" t="s">
        <v>3485</v>
      </c>
      <c r="G2048" s="897" t="s">
        <v>135</v>
      </c>
      <c r="H2048" s="894">
        <f t="shared" si="53"/>
        <v>0</v>
      </c>
      <c r="I2048" s="1435"/>
      <c r="J2048" s="1446">
        <f t="shared" ref="J2048:J2111" si="54">I2048-(I2048*10%)</f>
        <v>0</v>
      </c>
      <c r="K2048" s="898">
        <v>75000000</v>
      </c>
    </row>
    <row r="2049" spans="4:11" ht="22.8" hidden="1" customHeight="1">
      <c r="D2049" s="916">
        <v>304</v>
      </c>
      <c r="E2049" s="895"/>
      <c r="F2049" s="896" t="s">
        <v>3493</v>
      </c>
      <c r="G2049" s="897" t="s">
        <v>3182</v>
      </c>
      <c r="H2049" s="894">
        <f t="shared" si="53"/>
        <v>0</v>
      </c>
      <c r="I2049" s="1435"/>
      <c r="J2049" s="1446">
        <f t="shared" si="54"/>
        <v>0</v>
      </c>
      <c r="K2049" s="898">
        <v>79000000</v>
      </c>
    </row>
    <row r="2050" spans="4:11" ht="22.8" hidden="1" customHeight="1">
      <c r="D2050" s="916">
        <v>305</v>
      </c>
      <c r="E2050" s="895"/>
      <c r="F2050" s="896" t="s">
        <v>3496</v>
      </c>
      <c r="G2050" s="897" t="s">
        <v>3182</v>
      </c>
      <c r="H2050" s="894">
        <f t="shared" si="53"/>
        <v>0</v>
      </c>
      <c r="I2050" s="1435"/>
      <c r="J2050" s="1446">
        <f t="shared" si="54"/>
        <v>0</v>
      </c>
      <c r="K2050" s="898">
        <v>85000000</v>
      </c>
    </row>
    <row r="2051" spans="4:11" ht="22.8" hidden="1" customHeight="1">
      <c r="D2051" s="916">
        <v>306</v>
      </c>
      <c r="E2051" s="895"/>
      <c r="F2051" s="896" t="s">
        <v>3499</v>
      </c>
      <c r="G2051" s="897" t="s">
        <v>3182</v>
      </c>
      <c r="H2051" s="894">
        <f t="shared" si="53"/>
        <v>0</v>
      </c>
      <c r="I2051" s="1435"/>
      <c r="J2051" s="1446">
        <f t="shared" si="54"/>
        <v>0</v>
      </c>
      <c r="K2051" s="898">
        <v>18000000</v>
      </c>
    </row>
    <row r="2052" spans="4:11" ht="22.8" hidden="1" customHeight="1">
      <c r="D2052" s="916">
        <v>307</v>
      </c>
      <c r="E2052" s="895"/>
      <c r="F2052" s="896" t="s">
        <v>3502</v>
      </c>
      <c r="G2052" s="897" t="s">
        <v>3182</v>
      </c>
      <c r="H2052" s="894">
        <f t="shared" si="53"/>
        <v>0</v>
      </c>
      <c r="I2052" s="1435"/>
      <c r="J2052" s="1446">
        <f t="shared" si="54"/>
        <v>0</v>
      </c>
      <c r="K2052" s="898">
        <v>4000000</v>
      </c>
    </row>
    <row r="2053" spans="4:11" ht="22.8" hidden="1" customHeight="1">
      <c r="D2053" s="916">
        <v>308</v>
      </c>
      <c r="E2053" s="895"/>
      <c r="F2053" s="896" t="s">
        <v>8053</v>
      </c>
      <c r="G2053" s="897" t="s">
        <v>3516</v>
      </c>
      <c r="H2053" s="894">
        <f t="shared" si="53"/>
        <v>0</v>
      </c>
      <c r="I2053" s="1435"/>
      <c r="J2053" s="1446">
        <f t="shared" si="54"/>
        <v>0</v>
      </c>
      <c r="K2053" s="898">
        <v>4000000</v>
      </c>
    </row>
    <row r="2054" spans="4:11" ht="22.8" hidden="1" customHeight="1">
      <c r="D2054" s="916">
        <v>309</v>
      </c>
      <c r="E2054" s="895"/>
      <c r="F2054" s="896" t="s">
        <v>3507</v>
      </c>
      <c r="G2054" s="897" t="s">
        <v>135</v>
      </c>
      <c r="H2054" s="894">
        <f t="shared" si="53"/>
        <v>0</v>
      </c>
      <c r="I2054" s="1435"/>
      <c r="J2054" s="1446">
        <f t="shared" si="54"/>
        <v>0</v>
      </c>
      <c r="K2054" s="898">
        <v>17000000</v>
      </c>
    </row>
    <row r="2055" spans="4:11" ht="22.8" hidden="1" customHeight="1">
      <c r="D2055" s="916">
        <v>310</v>
      </c>
      <c r="E2055" s="895"/>
      <c r="F2055" s="896" t="s">
        <v>5820</v>
      </c>
      <c r="G2055" s="897" t="s">
        <v>2167</v>
      </c>
      <c r="H2055" s="894">
        <f t="shared" si="53"/>
        <v>0</v>
      </c>
      <c r="I2055" s="1435"/>
      <c r="J2055" s="1446">
        <f t="shared" si="54"/>
        <v>0</v>
      </c>
      <c r="K2055" s="898">
        <v>82000</v>
      </c>
    </row>
    <row r="2056" spans="4:11" ht="22.8" hidden="1" customHeight="1">
      <c r="D2056" s="916">
        <v>311</v>
      </c>
      <c r="E2056" s="895"/>
      <c r="F2056" s="896" t="s">
        <v>5822</v>
      </c>
      <c r="G2056" s="897" t="s">
        <v>2167</v>
      </c>
      <c r="H2056" s="894">
        <f t="shared" si="53"/>
        <v>0</v>
      </c>
      <c r="I2056" s="1435"/>
      <c r="J2056" s="1446">
        <f t="shared" si="54"/>
        <v>0</v>
      </c>
      <c r="K2056" s="898">
        <v>22000</v>
      </c>
    </row>
    <row r="2057" spans="4:11" ht="22.8" hidden="1" customHeight="1">
      <c r="D2057" s="916">
        <v>312</v>
      </c>
      <c r="E2057" s="895"/>
      <c r="F2057" s="896" t="s">
        <v>5823</v>
      </c>
      <c r="G2057" s="897" t="s">
        <v>2167</v>
      </c>
      <c r="H2057" s="894">
        <f t="shared" si="53"/>
        <v>0</v>
      </c>
      <c r="I2057" s="1435"/>
      <c r="J2057" s="1446">
        <f t="shared" si="54"/>
        <v>0</v>
      </c>
      <c r="K2057" s="898">
        <v>5200</v>
      </c>
    </row>
    <row r="2058" spans="4:11" ht="22.8" hidden="1" customHeight="1">
      <c r="D2058" s="916">
        <v>313</v>
      </c>
      <c r="E2058" s="895"/>
      <c r="F2058" s="896" t="s">
        <v>5829</v>
      </c>
      <c r="G2058" s="897" t="s">
        <v>44</v>
      </c>
      <c r="H2058" s="894">
        <f t="shared" si="53"/>
        <v>0</v>
      </c>
      <c r="I2058" s="1435"/>
      <c r="J2058" s="1446">
        <f t="shared" si="54"/>
        <v>0</v>
      </c>
      <c r="K2058" s="898">
        <v>110000</v>
      </c>
    </row>
    <row r="2059" spans="4:11" ht="22.8" hidden="1" customHeight="1">
      <c r="D2059" s="916">
        <v>314</v>
      </c>
      <c r="E2059" s="895"/>
      <c r="F2059" s="896" t="s">
        <v>5832</v>
      </c>
      <c r="G2059" s="897" t="s">
        <v>2167</v>
      </c>
      <c r="H2059" s="894">
        <f t="shared" si="53"/>
        <v>0</v>
      </c>
      <c r="I2059" s="1435"/>
      <c r="J2059" s="1446">
        <f t="shared" si="54"/>
        <v>0</v>
      </c>
      <c r="K2059" s="898">
        <v>70500</v>
      </c>
    </row>
    <row r="2060" spans="4:11" ht="22.8" hidden="1" customHeight="1">
      <c r="D2060" s="916">
        <v>315</v>
      </c>
      <c r="E2060" s="895"/>
      <c r="F2060" s="896" t="s">
        <v>5837</v>
      </c>
      <c r="G2060" s="897" t="s">
        <v>135</v>
      </c>
      <c r="H2060" s="894">
        <f t="shared" si="53"/>
        <v>0</v>
      </c>
      <c r="I2060" s="1435"/>
      <c r="J2060" s="1446">
        <f t="shared" si="54"/>
        <v>0</v>
      </c>
      <c r="K2060" s="898">
        <v>265000</v>
      </c>
    </row>
    <row r="2061" spans="4:11" ht="22.8" hidden="1" customHeight="1">
      <c r="D2061" s="916">
        <v>316</v>
      </c>
      <c r="E2061" s="895"/>
      <c r="F2061" s="896" t="s">
        <v>5840</v>
      </c>
      <c r="G2061" s="897" t="s">
        <v>3182</v>
      </c>
      <c r="H2061" s="894">
        <f t="shared" si="53"/>
        <v>0</v>
      </c>
      <c r="I2061" s="1435"/>
      <c r="J2061" s="1446">
        <f t="shared" si="54"/>
        <v>0</v>
      </c>
      <c r="K2061" s="898">
        <v>125000</v>
      </c>
    </row>
    <row r="2062" spans="4:11" ht="22.8" hidden="1" customHeight="1">
      <c r="D2062" s="916">
        <v>317</v>
      </c>
      <c r="E2062" s="895"/>
      <c r="F2062" s="896" t="s">
        <v>5843</v>
      </c>
      <c r="G2062" s="897" t="s">
        <v>3182</v>
      </c>
      <c r="H2062" s="894">
        <f t="shared" si="53"/>
        <v>0</v>
      </c>
      <c r="I2062" s="1435"/>
      <c r="J2062" s="1446">
        <f t="shared" si="54"/>
        <v>0</v>
      </c>
      <c r="K2062" s="898">
        <v>34000</v>
      </c>
    </row>
    <row r="2063" spans="4:11" ht="22.8" hidden="1" customHeight="1">
      <c r="D2063" s="916">
        <v>318</v>
      </c>
      <c r="E2063" s="895"/>
      <c r="F2063" s="896" t="s">
        <v>5844</v>
      </c>
      <c r="G2063" s="897" t="s">
        <v>3182</v>
      </c>
      <c r="H2063" s="894">
        <f t="shared" si="53"/>
        <v>0</v>
      </c>
      <c r="I2063" s="1435"/>
      <c r="J2063" s="1446">
        <f t="shared" si="54"/>
        <v>0</v>
      </c>
      <c r="K2063" s="898">
        <v>18000</v>
      </c>
    </row>
    <row r="2064" spans="4:11" ht="22.8" hidden="1" customHeight="1">
      <c r="D2064" s="916">
        <v>319</v>
      </c>
      <c r="E2064" s="895"/>
      <c r="F2064" s="896" t="s">
        <v>5847</v>
      </c>
      <c r="G2064" s="897" t="s">
        <v>3182</v>
      </c>
      <c r="H2064" s="894">
        <f t="shared" si="53"/>
        <v>0</v>
      </c>
      <c r="I2064" s="1435"/>
      <c r="J2064" s="1446">
        <f t="shared" si="54"/>
        <v>0</v>
      </c>
      <c r="K2064" s="898">
        <v>1620000</v>
      </c>
    </row>
    <row r="2065" spans="4:11" ht="22.8" hidden="1" customHeight="1">
      <c r="D2065" s="916">
        <v>320</v>
      </c>
      <c r="E2065" s="895"/>
      <c r="F2065" s="896" t="s">
        <v>5850</v>
      </c>
      <c r="G2065" s="897" t="s">
        <v>2167</v>
      </c>
      <c r="H2065" s="894">
        <f t="shared" si="53"/>
        <v>0</v>
      </c>
      <c r="I2065" s="1435"/>
      <c r="J2065" s="1446">
        <f t="shared" si="54"/>
        <v>0</v>
      </c>
      <c r="K2065" s="898">
        <v>148000</v>
      </c>
    </row>
    <row r="2066" spans="4:11" ht="22.8" hidden="1" customHeight="1">
      <c r="D2066" s="916">
        <v>321</v>
      </c>
      <c r="E2066" s="895"/>
      <c r="F2066" s="896" t="s">
        <v>5852</v>
      </c>
      <c r="G2066" s="897" t="s">
        <v>44</v>
      </c>
      <c r="H2066" s="894">
        <f t="shared" si="53"/>
        <v>0</v>
      </c>
      <c r="I2066" s="1435"/>
      <c r="J2066" s="1446">
        <f t="shared" si="54"/>
        <v>0</v>
      </c>
      <c r="K2066" s="898">
        <v>65000</v>
      </c>
    </row>
    <row r="2067" spans="4:11" ht="22.8" hidden="1" customHeight="1">
      <c r="D2067" s="916">
        <v>322</v>
      </c>
      <c r="E2067" s="895"/>
      <c r="F2067" s="896" t="s">
        <v>5855</v>
      </c>
      <c r="G2067" s="897" t="s">
        <v>2167</v>
      </c>
      <c r="H2067" s="894">
        <f t="shared" si="53"/>
        <v>0</v>
      </c>
      <c r="I2067" s="1435"/>
      <c r="J2067" s="1446">
        <f t="shared" si="54"/>
        <v>0</v>
      </c>
      <c r="K2067" s="898">
        <v>72000</v>
      </c>
    </row>
    <row r="2068" spans="4:11" ht="22.8" hidden="1" customHeight="1">
      <c r="D2068" s="916">
        <v>323</v>
      </c>
      <c r="E2068" s="895"/>
      <c r="F2068" s="896" t="s">
        <v>5861</v>
      </c>
      <c r="G2068" s="897" t="s">
        <v>2167</v>
      </c>
      <c r="H2068" s="894">
        <f t="shared" si="53"/>
        <v>0</v>
      </c>
      <c r="I2068" s="1435"/>
      <c r="J2068" s="1446">
        <f t="shared" si="54"/>
        <v>0</v>
      </c>
      <c r="K2068" s="898">
        <v>144000</v>
      </c>
    </row>
    <row r="2069" spans="4:11" ht="22.8" hidden="1" customHeight="1">
      <c r="D2069" s="916">
        <v>324</v>
      </c>
      <c r="E2069" s="895"/>
      <c r="F2069" s="896" t="s">
        <v>5866</v>
      </c>
      <c r="G2069" s="897" t="s">
        <v>2167</v>
      </c>
      <c r="H2069" s="894">
        <f t="shared" si="53"/>
        <v>0</v>
      </c>
      <c r="I2069" s="1435"/>
      <c r="J2069" s="1446">
        <f t="shared" si="54"/>
        <v>0</v>
      </c>
      <c r="K2069" s="898">
        <v>495000</v>
      </c>
    </row>
    <row r="2070" spans="4:11" ht="22.8" hidden="1" customHeight="1">
      <c r="D2070" s="916">
        <v>325</v>
      </c>
      <c r="E2070" s="895"/>
      <c r="F2070" s="896" t="s">
        <v>5867</v>
      </c>
      <c r="G2070" s="897" t="s">
        <v>2167</v>
      </c>
      <c r="H2070" s="894">
        <f t="shared" si="53"/>
        <v>0</v>
      </c>
      <c r="I2070" s="1435"/>
      <c r="J2070" s="1446">
        <f t="shared" si="54"/>
        <v>0</v>
      </c>
      <c r="K2070" s="898">
        <v>2000000</v>
      </c>
    </row>
    <row r="2071" spans="4:11" ht="22.8" hidden="1" customHeight="1">
      <c r="D2071" s="916">
        <v>326</v>
      </c>
      <c r="E2071" s="895"/>
      <c r="F2071" s="896" t="s">
        <v>5870</v>
      </c>
      <c r="G2071" s="897" t="s">
        <v>2167</v>
      </c>
      <c r="H2071" s="894">
        <f t="shared" si="53"/>
        <v>0</v>
      </c>
      <c r="I2071" s="1435"/>
      <c r="J2071" s="1446">
        <f t="shared" si="54"/>
        <v>0</v>
      </c>
      <c r="K2071" s="898">
        <v>700000</v>
      </c>
    </row>
    <row r="2072" spans="4:11" ht="22.8" hidden="1" customHeight="1">
      <c r="D2072" s="916">
        <v>327</v>
      </c>
      <c r="E2072" s="895"/>
      <c r="F2072" s="896" t="s">
        <v>5873</v>
      </c>
      <c r="G2072" s="897" t="s">
        <v>2167</v>
      </c>
      <c r="H2072" s="894">
        <f t="shared" si="53"/>
        <v>0</v>
      </c>
      <c r="I2072" s="1435"/>
      <c r="J2072" s="1446">
        <f t="shared" si="54"/>
        <v>0</v>
      </c>
      <c r="K2072" s="898">
        <v>155000</v>
      </c>
    </row>
    <row r="2073" spans="4:11" ht="22.8" customHeight="1">
      <c r="D2073" s="1422">
        <v>1</v>
      </c>
      <c r="E2073" s="895"/>
      <c r="F2073" s="896" t="s">
        <v>5877</v>
      </c>
      <c r="G2073" s="897" t="s">
        <v>2167</v>
      </c>
      <c r="H2073" s="894">
        <f t="shared" si="53"/>
        <v>22500</v>
      </c>
      <c r="I2073" s="1435">
        <v>25000</v>
      </c>
      <c r="J2073" s="1446">
        <f t="shared" si="54"/>
        <v>22500</v>
      </c>
      <c r="K2073" s="898">
        <v>16000</v>
      </c>
    </row>
    <row r="2074" spans="4:11" ht="22.8" customHeight="1">
      <c r="D2074" s="1422">
        <v>1</v>
      </c>
      <c r="E2074" s="895"/>
      <c r="F2074" s="896" t="s">
        <v>5876</v>
      </c>
      <c r="G2074" s="897" t="s">
        <v>2167</v>
      </c>
      <c r="H2074" s="894">
        <v>18657</v>
      </c>
      <c r="I2074" s="1435">
        <v>33000</v>
      </c>
      <c r="J2074" s="1446">
        <f t="shared" si="54"/>
        <v>29700</v>
      </c>
      <c r="K2074" s="898">
        <v>27000</v>
      </c>
    </row>
    <row r="2075" spans="4:11" ht="22.8" hidden="1" customHeight="1">
      <c r="D2075" s="916">
        <v>330</v>
      </c>
      <c r="E2075" s="895"/>
      <c r="F2075" s="896" t="s">
        <v>5882</v>
      </c>
      <c r="G2075" s="897" t="s">
        <v>2167</v>
      </c>
      <c r="H2075" s="898">
        <v>34000</v>
      </c>
      <c r="I2075" s="1435"/>
      <c r="J2075" s="1446">
        <f t="shared" si="54"/>
        <v>0</v>
      </c>
      <c r="K2075" s="898">
        <v>34000</v>
      </c>
    </row>
    <row r="2076" spans="4:11" ht="22.8" hidden="1" customHeight="1">
      <c r="D2076" s="916">
        <v>331</v>
      </c>
      <c r="E2076" s="895"/>
      <c r="F2076" s="896" t="s">
        <v>5887</v>
      </c>
      <c r="G2076" s="897" t="s">
        <v>2167</v>
      </c>
      <c r="H2076" s="898">
        <v>77000</v>
      </c>
      <c r="I2076" s="1435"/>
      <c r="J2076" s="1446">
        <f t="shared" si="54"/>
        <v>0</v>
      </c>
      <c r="K2076" s="898">
        <v>77000</v>
      </c>
    </row>
    <row r="2077" spans="4:11" ht="22.8" hidden="1" customHeight="1">
      <c r="D2077" s="916">
        <v>332</v>
      </c>
      <c r="E2077" s="895"/>
      <c r="F2077" s="896" t="s">
        <v>5890</v>
      </c>
      <c r="G2077" s="897"/>
      <c r="H2077" s="898">
        <v>97000</v>
      </c>
      <c r="I2077" s="1435"/>
      <c r="J2077" s="1446">
        <f t="shared" si="54"/>
        <v>0</v>
      </c>
      <c r="K2077" s="898">
        <v>97000</v>
      </c>
    </row>
    <row r="2078" spans="4:11" ht="22.8" hidden="1" customHeight="1">
      <c r="D2078" s="916">
        <v>333</v>
      </c>
      <c r="E2078" s="895"/>
      <c r="F2078" s="896" t="s">
        <v>5893</v>
      </c>
      <c r="G2078" s="897"/>
      <c r="H2078" s="898">
        <v>28000</v>
      </c>
      <c r="I2078" s="1435"/>
      <c r="J2078" s="1446">
        <f t="shared" si="54"/>
        <v>0</v>
      </c>
      <c r="K2078" s="898">
        <v>28000</v>
      </c>
    </row>
    <row r="2079" spans="4:11" ht="22.8" hidden="1" customHeight="1">
      <c r="D2079" s="916">
        <v>334</v>
      </c>
      <c r="E2079" s="895"/>
      <c r="F2079" s="896" t="s">
        <v>5896</v>
      </c>
      <c r="G2079" s="897"/>
      <c r="H2079" s="898">
        <v>20000</v>
      </c>
      <c r="I2079" s="1435"/>
      <c r="J2079" s="1446">
        <f t="shared" si="54"/>
        <v>0</v>
      </c>
      <c r="K2079" s="898">
        <v>20000</v>
      </c>
    </row>
    <row r="2080" spans="4:11" ht="22.8" hidden="1" customHeight="1">
      <c r="D2080" s="916">
        <v>335</v>
      </c>
      <c r="E2080" s="895"/>
      <c r="F2080" s="896" t="s">
        <v>5899</v>
      </c>
      <c r="G2080" s="897"/>
      <c r="H2080" s="898">
        <v>30000</v>
      </c>
      <c r="I2080" s="1435"/>
      <c r="J2080" s="1446">
        <f t="shared" si="54"/>
        <v>0</v>
      </c>
      <c r="K2080" s="898">
        <v>30000</v>
      </c>
    </row>
    <row r="2081" spans="4:11" ht="22.8" hidden="1" customHeight="1">
      <c r="D2081" s="916">
        <v>336</v>
      </c>
      <c r="E2081" s="895"/>
      <c r="F2081" s="896" t="s">
        <v>5901</v>
      </c>
      <c r="G2081" s="897"/>
      <c r="H2081" s="898">
        <v>25000</v>
      </c>
      <c r="I2081" s="1435"/>
      <c r="J2081" s="1446">
        <f t="shared" si="54"/>
        <v>0</v>
      </c>
      <c r="K2081" s="898">
        <v>25000</v>
      </c>
    </row>
    <row r="2082" spans="4:11" ht="22.8" hidden="1" customHeight="1">
      <c r="D2082" s="916">
        <v>337</v>
      </c>
      <c r="E2082" s="895"/>
      <c r="F2082" s="896" t="s">
        <v>5905</v>
      </c>
      <c r="G2082" s="897"/>
      <c r="H2082" s="898">
        <v>75000</v>
      </c>
      <c r="I2082" s="1435"/>
      <c r="J2082" s="1446">
        <f t="shared" si="54"/>
        <v>0</v>
      </c>
      <c r="K2082" s="898">
        <v>75000</v>
      </c>
    </row>
    <row r="2083" spans="4:11" ht="22.8" hidden="1" customHeight="1">
      <c r="D2083" s="916">
        <v>338</v>
      </c>
      <c r="E2083" s="895"/>
      <c r="F2083" s="896" t="s">
        <v>5922</v>
      </c>
      <c r="G2083" s="897" t="s">
        <v>2167</v>
      </c>
      <c r="H2083" s="898">
        <v>375000</v>
      </c>
      <c r="I2083" s="1435"/>
      <c r="J2083" s="1446">
        <f t="shared" si="54"/>
        <v>0</v>
      </c>
      <c r="K2083" s="898">
        <v>375000</v>
      </c>
    </row>
    <row r="2084" spans="4:11" ht="22.8" hidden="1" customHeight="1">
      <c r="D2084" s="916">
        <v>339</v>
      </c>
      <c r="E2084" s="895"/>
      <c r="F2084" s="896" t="s">
        <v>5923</v>
      </c>
      <c r="G2084" s="897" t="s">
        <v>2167</v>
      </c>
      <c r="H2084" s="898">
        <v>11500</v>
      </c>
      <c r="I2084" s="1435"/>
      <c r="J2084" s="1446">
        <f t="shared" si="54"/>
        <v>0</v>
      </c>
      <c r="K2084" s="898">
        <v>11500</v>
      </c>
    </row>
    <row r="2085" spans="4:11" ht="22.8" hidden="1" customHeight="1">
      <c r="D2085" s="916">
        <v>340</v>
      </c>
      <c r="E2085" s="895"/>
      <c r="F2085" s="896" t="s">
        <v>5927</v>
      </c>
      <c r="G2085" s="897" t="s">
        <v>2167</v>
      </c>
      <c r="H2085" s="898">
        <v>142000</v>
      </c>
      <c r="I2085" s="1435"/>
      <c r="J2085" s="1446">
        <f t="shared" si="54"/>
        <v>0</v>
      </c>
      <c r="K2085" s="898">
        <v>142000</v>
      </c>
    </row>
    <row r="2086" spans="4:11" ht="22.8" hidden="1" customHeight="1">
      <c r="D2086" s="916">
        <v>341</v>
      </c>
      <c r="E2086" s="895"/>
      <c r="F2086" s="896" t="s">
        <v>5933</v>
      </c>
      <c r="G2086" s="897" t="s">
        <v>113</v>
      </c>
      <c r="H2086" s="898">
        <v>11300</v>
      </c>
      <c r="I2086" s="1435"/>
      <c r="J2086" s="1446">
        <f t="shared" si="54"/>
        <v>0</v>
      </c>
      <c r="K2086" s="898">
        <v>11300</v>
      </c>
    </row>
    <row r="2087" spans="4:11" ht="22.8" hidden="1" customHeight="1">
      <c r="D2087" s="916">
        <v>342</v>
      </c>
      <c r="E2087" s="895"/>
      <c r="F2087" s="896" t="s">
        <v>5934</v>
      </c>
      <c r="G2087" s="897" t="s">
        <v>113</v>
      </c>
      <c r="H2087" s="898">
        <v>3800</v>
      </c>
      <c r="I2087" s="1435"/>
      <c r="J2087" s="1446">
        <f t="shared" si="54"/>
        <v>0</v>
      </c>
      <c r="K2087" s="898">
        <v>3800</v>
      </c>
    </row>
    <row r="2088" spans="4:11" ht="22.8" hidden="1" customHeight="1">
      <c r="D2088" s="916">
        <v>343</v>
      </c>
      <c r="E2088" s="895"/>
      <c r="F2088" s="896" t="s">
        <v>5937</v>
      </c>
      <c r="G2088" s="897" t="s">
        <v>2167</v>
      </c>
      <c r="H2088" s="898">
        <v>1400000</v>
      </c>
      <c r="I2088" s="1435"/>
      <c r="J2088" s="1446">
        <f t="shared" si="54"/>
        <v>0</v>
      </c>
      <c r="K2088" s="898">
        <v>1400000</v>
      </c>
    </row>
    <row r="2089" spans="4:11" ht="22.8" hidden="1" customHeight="1">
      <c r="D2089" s="916">
        <v>344</v>
      </c>
      <c r="E2089" s="895"/>
      <c r="F2089" s="896" t="s">
        <v>5942</v>
      </c>
      <c r="G2089" s="897" t="s">
        <v>2167</v>
      </c>
      <c r="H2089" s="898">
        <v>58000</v>
      </c>
      <c r="I2089" s="1435"/>
      <c r="J2089" s="1446">
        <f t="shared" si="54"/>
        <v>0</v>
      </c>
      <c r="K2089" s="898">
        <v>58000</v>
      </c>
    </row>
    <row r="2090" spans="4:11" ht="22.8" hidden="1" customHeight="1">
      <c r="D2090" s="916">
        <v>345</v>
      </c>
      <c r="E2090" s="895"/>
      <c r="F2090" s="896" t="s">
        <v>5945</v>
      </c>
      <c r="G2090" s="897" t="s">
        <v>2167</v>
      </c>
      <c r="H2090" s="898">
        <v>65900</v>
      </c>
      <c r="I2090" s="1435"/>
      <c r="J2090" s="1446">
        <f t="shared" si="54"/>
        <v>0</v>
      </c>
      <c r="K2090" s="898">
        <v>65900</v>
      </c>
    </row>
    <row r="2091" spans="4:11" ht="22.8" hidden="1" customHeight="1">
      <c r="D2091" s="916">
        <v>346</v>
      </c>
      <c r="E2091" s="895"/>
      <c r="F2091" s="896" t="s">
        <v>5952</v>
      </c>
      <c r="G2091" s="897" t="s">
        <v>135</v>
      </c>
      <c r="H2091" s="898">
        <v>26250000</v>
      </c>
      <c r="I2091" s="1435"/>
      <c r="J2091" s="1446">
        <f t="shared" si="54"/>
        <v>0</v>
      </c>
      <c r="K2091" s="898">
        <v>26250000</v>
      </c>
    </row>
    <row r="2092" spans="4:11" ht="22.8" hidden="1" customHeight="1">
      <c r="D2092" s="916">
        <v>347</v>
      </c>
      <c r="E2092" s="895"/>
      <c r="F2092" s="896" t="s">
        <v>5953</v>
      </c>
      <c r="G2092" s="897" t="s">
        <v>5954</v>
      </c>
      <c r="H2092" s="898">
        <v>3500000</v>
      </c>
      <c r="I2092" s="1435"/>
      <c r="J2092" s="1446">
        <f t="shared" si="54"/>
        <v>0</v>
      </c>
      <c r="K2092" s="898">
        <v>3500000</v>
      </c>
    </row>
    <row r="2093" spans="4:11" ht="22.8" hidden="1" customHeight="1">
      <c r="D2093" s="916">
        <v>348</v>
      </c>
      <c r="E2093" s="895"/>
      <c r="F2093" s="896" t="s">
        <v>5958</v>
      </c>
      <c r="G2093" s="897" t="s">
        <v>3409</v>
      </c>
      <c r="H2093" s="898">
        <v>3500000</v>
      </c>
      <c r="I2093" s="1435"/>
      <c r="J2093" s="1446">
        <f t="shared" si="54"/>
        <v>0</v>
      </c>
      <c r="K2093" s="898">
        <v>3500000</v>
      </c>
    </row>
    <row r="2094" spans="4:11" ht="22.8" hidden="1" customHeight="1">
      <c r="D2094" s="916">
        <v>349</v>
      </c>
      <c r="E2094" s="895"/>
      <c r="F2094" s="896" t="s">
        <v>5961</v>
      </c>
      <c r="G2094" s="897" t="s">
        <v>135</v>
      </c>
      <c r="H2094" s="898">
        <v>2500000</v>
      </c>
      <c r="I2094" s="1435"/>
      <c r="J2094" s="1446">
        <f t="shared" si="54"/>
        <v>0</v>
      </c>
      <c r="K2094" s="898">
        <v>2500000</v>
      </c>
    </row>
    <row r="2095" spans="4:11" ht="22.8" hidden="1" customHeight="1">
      <c r="D2095" s="916">
        <v>350</v>
      </c>
      <c r="E2095" s="895"/>
      <c r="F2095" s="896" t="s">
        <v>5963</v>
      </c>
      <c r="G2095" s="897" t="s">
        <v>135</v>
      </c>
      <c r="H2095" s="898">
        <v>1900000</v>
      </c>
      <c r="I2095" s="1435"/>
      <c r="J2095" s="1446">
        <f t="shared" si="54"/>
        <v>0</v>
      </c>
      <c r="K2095" s="898">
        <v>1900000</v>
      </c>
    </row>
    <row r="2096" spans="4:11" ht="22.8" hidden="1" customHeight="1">
      <c r="D2096" s="916">
        <v>351</v>
      </c>
      <c r="E2096" s="895"/>
      <c r="F2096" s="896" t="s">
        <v>5967</v>
      </c>
      <c r="G2096" s="897" t="s">
        <v>135</v>
      </c>
      <c r="H2096" s="898">
        <v>2100000</v>
      </c>
      <c r="I2096" s="1435"/>
      <c r="J2096" s="1446">
        <f t="shared" si="54"/>
        <v>0</v>
      </c>
      <c r="K2096" s="898">
        <v>2100000</v>
      </c>
    </row>
    <row r="2097" spans="4:11" ht="22.8" hidden="1" customHeight="1">
      <c r="D2097" s="916">
        <v>352</v>
      </c>
      <c r="E2097" s="895"/>
      <c r="F2097" s="896" t="s">
        <v>5970</v>
      </c>
      <c r="G2097" s="897" t="s">
        <v>3182</v>
      </c>
      <c r="H2097" s="898">
        <v>265000</v>
      </c>
      <c r="I2097" s="1435"/>
      <c r="J2097" s="1446">
        <f t="shared" si="54"/>
        <v>0</v>
      </c>
      <c r="K2097" s="898">
        <v>265000</v>
      </c>
    </row>
    <row r="2098" spans="4:11" ht="22.8" hidden="1" customHeight="1">
      <c r="D2098" s="916">
        <v>353</v>
      </c>
      <c r="E2098" s="895"/>
      <c r="F2098" s="896" t="s">
        <v>5973</v>
      </c>
      <c r="G2098" s="897" t="s">
        <v>235</v>
      </c>
      <c r="H2098" s="898">
        <v>780000</v>
      </c>
      <c r="I2098" s="1435"/>
      <c r="J2098" s="1446">
        <f t="shared" si="54"/>
        <v>0</v>
      </c>
      <c r="K2098" s="898">
        <v>780000</v>
      </c>
    </row>
    <row r="2099" spans="4:11" ht="22.8" hidden="1" customHeight="1">
      <c r="D2099" s="916">
        <v>354</v>
      </c>
      <c r="E2099" s="895"/>
      <c r="F2099" s="896" t="s">
        <v>5976</v>
      </c>
      <c r="G2099" s="897" t="s">
        <v>3182</v>
      </c>
      <c r="H2099" s="898">
        <v>343000</v>
      </c>
      <c r="I2099" s="1435"/>
      <c r="J2099" s="1446">
        <f t="shared" si="54"/>
        <v>0</v>
      </c>
      <c r="K2099" s="898">
        <v>343000</v>
      </c>
    </row>
    <row r="2100" spans="4:11" ht="22.8" hidden="1" customHeight="1">
      <c r="D2100" s="916">
        <v>355</v>
      </c>
      <c r="E2100" s="895"/>
      <c r="F2100" s="896" t="s">
        <v>5979</v>
      </c>
      <c r="G2100" s="897" t="s">
        <v>3182</v>
      </c>
      <c r="H2100" s="898">
        <v>318000</v>
      </c>
      <c r="I2100" s="1435"/>
      <c r="J2100" s="1446">
        <f t="shared" si="54"/>
        <v>0</v>
      </c>
      <c r="K2100" s="898">
        <v>318000</v>
      </c>
    </row>
    <row r="2101" spans="4:11" ht="22.8" hidden="1" customHeight="1">
      <c r="D2101" s="916">
        <v>356</v>
      </c>
      <c r="E2101" s="895"/>
      <c r="F2101" s="896" t="s">
        <v>5982</v>
      </c>
      <c r="G2101" s="897" t="s">
        <v>3182</v>
      </c>
      <c r="H2101" s="898">
        <v>245000</v>
      </c>
      <c r="I2101" s="1435"/>
      <c r="J2101" s="1446">
        <f t="shared" si="54"/>
        <v>0</v>
      </c>
      <c r="K2101" s="898">
        <v>245000</v>
      </c>
    </row>
    <row r="2102" spans="4:11" ht="22.8" hidden="1" customHeight="1">
      <c r="D2102" s="916">
        <v>357</v>
      </c>
      <c r="E2102" s="895"/>
      <c r="F2102" s="896" t="s">
        <v>5985</v>
      </c>
      <c r="G2102" s="897" t="s">
        <v>3182</v>
      </c>
      <c r="H2102" s="898">
        <v>240000</v>
      </c>
      <c r="I2102" s="1435"/>
      <c r="J2102" s="1446">
        <f t="shared" si="54"/>
        <v>0</v>
      </c>
      <c r="K2102" s="898">
        <v>240000</v>
      </c>
    </row>
    <row r="2103" spans="4:11" ht="22.8" hidden="1" customHeight="1">
      <c r="D2103" s="916">
        <v>358</v>
      </c>
      <c r="E2103" s="895"/>
      <c r="F2103" s="896" t="s">
        <v>5988</v>
      </c>
      <c r="G2103" s="897" t="s">
        <v>3182</v>
      </c>
      <c r="H2103" s="898">
        <v>290000</v>
      </c>
      <c r="I2103" s="1435"/>
      <c r="J2103" s="1446">
        <f t="shared" si="54"/>
        <v>0</v>
      </c>
      <c r="K2103" s="898">
        <v>290000</v>
      </c>
    </row>
    <row r="2104" spans="4:11" ht="22.8" hidden="1" customHeight="1">
      <c r="D2104" s="916">
        <v>359</v>
      </c>
      <c r="E2104" s="895"/>
      <c r="F2104" s="896" t="s">
        <v>5991</v>
      </c>
      <c r="G2104" s="897" t="s">
        <v>3182</v>
      </c>
      <c r="H2104" s="898">
        <v>57000</v>
      </c>
      <c r="I2104" s="1435"/>
      <c r="J2104" s="1446">
        <f t="shared" si="54"/>
        <v>0</v>
      </c>
      <c r="K2104" s="898">
        <v>57000</v>
      </c>
    </row>
    <row r="2105" spans="4:11" ht="22.8" hidden="1" customHeight="1">
      <c r="D2105" s="916">
        <v>360</v>
      </c>
      <c r="E2105" s="895"/>
      <c r="F2105" s="896" t="s">
        <v>5994</v>
      </c>
      <c r="G2105" s="897" t="s">
        <v>3182</v>
      </c>
      <c r="H2105" s="898">
        <v>60000</v>
      </c>
      <c r="I2105" s="1435"/>
      <c r="J2105" s="1446">
        <f t="shared" si="54"/>
        <v>0</v>
      </c>
      <c r="K2105" s="898">
        <v>60000</v>
      </c>
    </row>
    <row r="2106" spans="4:11" ht="22.8" hidden="1" customHeight="1">
      <c r="D2106" s="916">
        <v>361</v>
      </c>
      <c r="E2106" s="895"/>
      <c r="F2106" s="896" t="s">
        <v>5997</v>
      </c>
      <c r="G2106" s="897" t="s">
        <v>3182</v>
      </c>
      <c r="H2106" s="898">
        <v>175000</v>
      </c>
      <c r="I2106" s="1435"/>
      <c r="J2106" s="1446">
        <f t="shared" si="54"/>
        <v>0</v>
      </c>
      <c r="K2106" s="898">
        <v>175000</v>
      </c>
    </row>
    <row r="2107" spans="4:11" ht="22.8" hidden="1" customHeight="1">
      <c r="D2107" s="916">
        <v>362</v>
      </c>
      <c r="E2107" s="895"/>
      <c r="F2107" s="896" t="s">
        <v>6000</v>
      </c>
      <c r="G2107" s="897" t="s">
        <v>3182</v>
      </c>
      <c r="H2107" s="898">
        <v>135000</v>
      </c>
      <c r="I2107" s="1435"/>
      <c r="J2107" s="1446">
        <f t="shared" si="54"/>
        <v>0</v>
      </c>
      <c r="K2107" s="898">
        <v>135000</v>
      </c>
    </row>
    <row r="2108" spans="4:11" ht="22.8" hidden="1" customHeight="1">
      <c r="D2108" s="916">
        <v>363</v>
      </c>
      <c r="E2108" s="895"/>
      <c r="F2108" s="896" t="s">
        <v>6003</v>
      </c>
      <c r="G2108" s="897" t="s">
        <v>3182</v>
      </c>
      <c r="H2108" s="898">
        <v>85000</v>
      </c>
      <c r="I2108" s="1435"/>
      <c r="J2108" s="1446">
        <f t="shared" si="54"/>
        <v>0</v>
      </c>
      <c r="K2108" s="898">
        <v>85000</v>
      </c>
    </row>
    <row r="2109" spans="4:11" ht="22.8" hidden="1" customHeight="1">
      <c r="D2109" s="916">
        <v>364</v>
      </c>
      <c r="E2109" s="895"/>
      <c r="F2109" s="896" t="s">
        <v>6021</v>
      </c>
      <c r="G2109" s="897" t="s">
        <v>44</v>
      </c>
      <c r="H2109" s="898">
        <v>650000</v>
      </c>
      <c r="I2109" s="1435"/>
      <c r="J2109" s="1446">
        <f t="shared" si="54"/>
        <v>0</v>
      </c>
      <c r="K2109" s="898">
        <v>650000</v>
      </c>
    </row>
    <row r="2110" spans="4:11" ht="22.8" hidden="1" customHeight="1">
      <c r="D2110" s="916">
        <v>365</v>
      </c>
      <c r="E2110" s="895"/>
      <c r="F2110" s="896" t="s">
        <v>6025</v>
      </c>
      <c r="G2110" s="897" t="s">
        <v>4490</v>
      </c>
      <c r="H2110" s="898">
        <v>350000</v>
      </c>
      <c r="I2110" s="1435"/>
      <c r="J2110" s="1446">
        <f t="shared" si="54"/>
        <v>0</v>
      </c>
      <c r="K2110" s="898">
        <v>350000</v>
      </c>
    </row>
    <row r="2111" spans="4:11" ht="22.8" hidden="1" customHeight="1">
      <c r="D2111" s="916">
        <v>366</v>
      </c>
      <c r="E2111" s="895"/>
      <c r="F2111" s="896" t="s">
        <v>6028</v>
      </c>
      <c r="G2111" s="897" t="s">
        <v>2167</v>
      </c>
      <c r="H2111" s="898">
        <v>103500</v>
      </c>
      <c r="I2111" s="1435"/>
      <c r="J2111" s="1446">
        <f t="shared" si="54"/>
        <v>0</v>
      </c>
      <c r="K2111" s="898">
        <v>103500</v>
      </c>
    </row>
    <row r="2112" spans="4:11" ht="22.8" hidden="1" customHeight="1">
      <c r="D2112" s="916">
        <v>367</v>
      </c>
      <c r="E2112" s="895"/>
      <c r="F2112" s="896" t="s">
        <v>6030</v>
      </c>
      <c r="G2112" s="897" t="s">
        <v>2167</v>
      </c>
      <c r="H2112" s="898">
        <v>220000</v>
      </c>
      <c r="I2112" s="1435"/>
      <c r="J2112" s="1446">
        <f t="shared" ref="J2112:J2175" si="55">I2112-(I2112*10%)</f>
        <v>0</v>
      </c>
      <c r="K2112" s="898">
        <v>220000</v>
      </c>
    </row>
    <row r="2113" spans="4:11" ht="22.8" hidden="1" customHeight="1">
      <c r="D2113" s="916">
        <v>368</v>
      </c>
      <c r="E2113" s="895"/>
      <c r="F2113" s="896" t="s">
        <v>6034</v>
      </c>
      <c r="G2113" s="897" t="s">
        <v>44</v>
      </c>
      <c r="H2113" s="898">
        <v>200000</v>
      </c>
      <c r="I2113" s="1435"/>
      <c r="J2113" s="1446">
        <f t="shared" si="55"/>
        <v>0</v>
      </c>
      <c r="K2113" s="898">
        <v>200000</v>
      </c>
    </row>
    <row r="2114" spans="4:11" ht="22.8" hidden="1" customHeight="1">
      <c r="D2114" s="916">
        <v>369</v>
      </c>
      <c r="E2114" s="895"/>
      <c r="F2114" s="896" t="s">
        <v>6046</v>
      </c>
      <c r="G2114" s="897" t="s">
        <v>135</v>
      </c>
      <c r="H2114" s="898">
        <v>3500000</v>
      </c>
      <c r="I2114" s="1435"/>
      <c r="J2114" s="1446">
        <f t="shared" si="55"/>
        <v>0</v>
      </c>
      <c r="K2114" s="898">
        <v>3500000</v>
      </c>
    </row>
    <row r="2115" spans="4:11" ht="22.8" hidden="1" customHeight="1">
      <c r="D2115" s="916">
        <v>370</v>
      </c>
      <c r="E2115" s="895"/>
      <c r="F2115" s="896" t="s">
        <v>6049</v>
      </c>
      <c r="G2115" s="897" t="s">
        <v>135</v>
      </c>
      <c r="H2115" s="898">
        <v>1279000</v>
      </c>
      <c r="I2115" s="1435"/>
      <c r="J2115" s="1446">
        <f t="shared" si="55"/>
        <v>0</v>
      </c>
      <c r="K2115" s="898">
        <v>1279000</v>
      </c>
    </row>
    <row r="2116" spans="4:11" ht="22.8" hidden="1" customHeight="1">
      <c r="D2116" s="916">
        <v>371</v>
      </c>
      <c r="E2116" s="895"/>
      <c r="F2116" s="896" t="s">
        <v>6058</v>
      </c>
      <c r="G2116" s="897" t="s">
        <v>135</v>
      </c>
      <c r="H2116" s="898">
        <v>3800000</v>
      </c>
      <c r="I2116" s="1435"/>
      <c r="J2116" s="1446">
        <f t="shared" si="55"/>
        <v>0</v>
      </c>
      <c r="K2116" s="898">
        <v>3800000</v>
      </c>
    </row>
    <row r="2117" spans="4:11" ht="22.8" hidden="1" customHeight="1">
      <c r="D2117" s="916">
        <v>372</v>
      </c>
      <c r="E2117" s="895"/>
      <c r="F2117" s="896" t="s">
        <v>6059</v>
      </c>
      <c r="G2117" s="897" t="s">
        <v>135</v>
      </c>
      <c r="H2117" s="898">
        <v>4100000</v>
      </c>
      <c r="I2117" s="1435"/>
      <c r="J2117" s="1446">
        <f t="shared" si="55"/>
        <v>0</v>
      </c>
      <c r="K2117" s="898">
        <v>4100000</v>
      </c>
    </row>
    <row r="2118" spans="4:11" ht="22.8" hidden="1" customHeight="1">
      <c r="D2118" s="916">
        <v>373</v>
      </c>
      <c r="E2118" s="895"/>
      <c r="F2118" s="896" t="s">
        <v>6061</v>
      </c>
      <c r="G2118" s="897" t="s">
        <v>135</v>
      </c>
      <c r="H2118" s="898">
        <v>4900000</v>
      </c>
      <c r="I2118" s="1435"/>
      <c r="J2118" s="1446">
        <f t="shared" si="55"/>
        <v>0</v>
      </c>
      <c r="K2118" s="898">
        <v>4900000</v>
      </c>
    </row>
    <row r="2119" spans="4:11" ht="22.8" hidden="1" customHeight="1">
      <c r="D2119" s="916">
        <v>374</v>
      </c>
      <c r="E2119" s="895"/>
      <c r="F2119" s="896" t="s">
        <v>6062</v>
      </c>
      <c r="G2119" s="897" t="s">
        <v>135</v>
      </c>
      <c r="H2119" s="898">
        <v>5200000</v>
      </c>
      <c r="I2119" s="1435"/>
      <c r="J2119" s="1446">
        <f t="shared" si="55"/>
        <v>0</v>
      </c>
      <c r="K2119" s="898">
        <v>5200000</v>
      </c>
    </row>
    <row r="2120" spans="4:11" ht="22.8" hidden="1" customHeight="1">
      <c r="D2120" s="916">
        <v>375</v>
      </c>
      <c r="E2120" s="895"/>
      <c r="F2120" s="896" t="s">
        <v>6065</v>
      </c>
      <c r="G2120" s="897" t="s">
        <v>135</v>
      </c>
      <c r="H2120" s="898">
        <v>5700000</v>
      </c>
      <c r="I2120" s="1435"/>
      <c r="J2120" s="1446">
        <f t="shared" si="55"/>
        <v>0</v>
      </c>
      <c r="K2120" s="898">
        <v>5700000</v>
      </c>
    </row>
    <row r="2121" spans="4:11" ht="22.8" hidden="1" customHeight="1">
      <c r="D2121" s="916">
        <v>376</v>
      </c>
      <c r="E2121" s="895"/>
      <c r="F2121" s="896" t="s">
        <v>6067</v>
      </c>
      <c r="G2121" s="897" t="s">
        <v>135</v>
      </c>
      <c r="H2121" s="898">
        <v>20000</v>
      </c>
      <c r="I2121" s="1435"/>
      <c r="J2121" s="1446">
        <f t="shared" si="55"/>
        <v>0</v>
      </c>
      <c r="K2121" s="898">
        <v>20000</v>
      </c>
    </row>
    <row r="2122" spans="4:11" ht="22.8" hidden="1" customHeight="1">
      <c r="D2122" s="916">
        <v>377</v>
      </c>
      <c r="E2122" s="895"/>
      <c r="F2122" s="896" t="s">
        <v>6072</v>
      </c>
      <c r="G2122" s="897" t="s">
        <v>135</v>
      </c>
      <c r="H2122" s="898">
        <v>1540000</v>
      </c>
      <c r="I2122" s="1435"/>
      <c r="J2122" s="1446">
        <f t="shared" si="55"/>
        <v>0</v>
      </c>
      <c r="K2122" s="898">
        <v>1540000</v>
      </c>
    </row>
    <row r="2123" spans="4:11" ht="22.8" hidden="1" customHeight="1">
      <c r="D2123" s="916">
        <v>378</v>
      </c>
      <c r="E2123" s="895"/>
      <c r="F2123" s="896" t="s">
        <v>6075</v>
      </c>
      <c r="G2123" s="897"/>
      <c r="H2123" s="898">
        <v>110000</v>
      </c>
      <c r="I2123" s="1435"/>
      <c r="J2123" s="1446">
        <f t="shared" si="55"/>
        <v>0</v>
      </c>
      <c r="K2123" s="898">
        <v>110000</v>
      </c>
    </row>
    <row r="2124" spans="4:11" ht="22.8" hidden="1" customHeight="1">
      <c r="D2124" s="916">
        <v>379</v>
      </c>
      <c r="E2124" s="895"/>
      <c r="F2124" s="896" t="s">
        <v>6078</v>
      </c>
      <c r="G2124" s="897"/>
      <c r="H2124" s="898">
        <v>273000</v>
      </c>
      <c r="I2124" s="1435"/>
      <c r="J2124" s="1446">
        <f t="shared" si="55"/>
        <v>0</v>
      </c>
      <c r="K2124" s="898">
        <v>273000</v>
      </c>
    </row>
    <row r="2125" spans="4:11" ht="22.8" hidden="1" customHeight="1">
      <c r="D2125" s="916">
        <v>380</v>
      </c>
      <c r="E2125" s="895"/>
      <c r="F2125" s="896" t="s">
        <v>6081</v>
      </c>
      <c r="G2125" s="897"/>
      <c r="H2125" s="898">
        <v>5500000</v>
      </c>
      <c r="I2125" s="1435"/>
      <c r="J2125" s="1446">
        <f t="shared" si="55"/>
        <v>0</v>
      </c>
      <c r="K2125" s="898">
        <v>5500000</v>
      </c>
    </row>
    <row r="2126" spans="4:11" ht="22.8" hidden="1" customHeight="1">
      <c r="D2126" s="916">
        <v>381</v>
      </c>
      <c r="E2126" s="895"/>
      <c r="F2126" s="896" t="s">
        <v>6082</v>
      </c>
      <c r="G2126" s="897"/>
      <c r="H2126" s="898">
        <v>1960000</v>
      </c>
      <c r="I2126" s="1435"/>
      <c r="J2126" s="1446">
        <f t="shared" si="55"/>
        <v>0</v>
      </c>
      <c r="K2126" s="898">
        <v>1960000</v>
      </c>
    </row>
    <row r="2127" spans="4:11" ht="22.8" hidden="1" customHeight="1">
      <c r="D2127" s="916">
        <v>382</v>
      </c>
      <c r="E2127" s="895"/>
      <c r="F2127" s="896" t="s">
        <v>6085</v>
      </c>
      <c r="G2127" s="897"/>
      <c r="H2127" s="898">
        <v>770000</v>
      </c>
      <c r="I2127" s="1435"/>
      <c r="J2127" s="1446">
        <f t="shared" si="55"/>
        <v>0</v>
      </c>
      <c r="K2127" s="898">
        <v>770000</v>
      </c>
    </row>
    <row r="2128" spans="4:11" ht="22.8" hidden="1" customHeight="1">
      <c r="D2128" s="916">
        <v>383</v>
      </c>
      <c r="E2128" s="895"/>
      <c r="F2128" s="896" t="s">
        <v>6088</v>
      </c>
      <c r="G2128" s="897"/>
      <c r="H2128" s="898">
        <v>2380000</v>
      </c>
      <c r="I2128" s="1435"/>
      <c r="J2128" s="1446">
        <f t="shared" si="55"/>
        <v>0</v>
      </c>
      <c r="K2128" s="898">
        <v>2380000</v>
      </c>
    </row>
    <row r="2129" spans="4:11" ht="22.8" hidden="1" customHeight="1">
      <c r="D2129" s="916">
        <v>384</v>
      </c>
      <c r="E2129" s="895"/>
      <c r="F2129" s="896" t="s">
        <v>6089</v>
      </c>
      <c r="G2129" s="897"/>
      <c r="H2129" s="898">
        <v>88500</v>
      </c>
      <c r="I2129" s="1435"/>
      <c r="J2129" s="1446">
        <f t="shared" si="55"/>
        <v>0</v>
      </c>
      <c r="K2129" s="898">
        <v>88500</v>
      </c>
    </row>
    <row r="2130" spans="4:11" ht="22.8" hidden="1" customHeight="1">
      <c r="D2130" s="916">
        <v>385</v>
      </c>
      <c r="E2130" s="895"/>
      <c r="F2130" s="896" t="s">
        <v>6092</v>
      </c>
      <c r="G2130" s="897"/>
      <c r="H2130" s="898">
        <v>3500000</v>
      </c>
      <c r="I2130" s="1435"/>
      <c r="J2130" s="1446">
        <f t="shared" si="55"/>
        <v>0</v>
      </c>
      <c r="K2130" s="898">
        <v>3500000</v>
      </c>
    </row>
    <row r="2131" spans="4:11" ht="22.8" hidden="1" customHeight="1">
      <c r="D2131" s="916">
        <v>386</v>
      </c>
      <c r="E2131" s="895"/>
      <c r="F2131" s="896" t="s">
        <v>6093</v>
      </c>
      <c r="G2131" s="897"/>
      <c r="H2131" s="898">
        <v>150000</v>
      </c>
      <c r="I2131" s="1435"/>
      <c r="J2131" s="1446">
        <f t="shared" si="55"/>
        <v>0</v>
      </c>
      <c r="K2131" s="898">
        <v>150000</v>
      </c>
    </row>
    <row r="2132" spans="4:11" ht="22.8" hidden="1" customHeight="1">
      <c r="D2132" s="916">
        <v>387</v>
      </c>
      <c r="E2132" s="895"/>
      <c r="F2132" s="896" t="s">
        <v>6096</v>
      </c>
      <c r="G2132" s="897"/>
      <c r="H2132" s="898">
        <v>350000</v>
      </c>
      <c r="I2132" s="1435"/>
      <c r="J2132" s="1446">
        <f t="shared" si="55"/>
        <v>0</v>
      </c>
      <c r="K2132" s="898">
        <v>350000</v>
      </c>
    </row>
    <row r="2133" spans="4:11" ht="22.8" hidden="1" customHeight="1">
      <c r="D2133" s="916">
        <v>388</v>
      </c>
      <c r="E2133" s="895"/>
      <c r="F2133" s="896" t="s">
        <v>6099</v>
      </c>
      <c r="G2133" s="897"/>
      <c r="H2133" s="898">
        <v>465000</v>
      </c>
      <c r="I2133" s="1435"/>
      <c r="J2133" s="1446">
        <f t="shared" si="55"/>
        <v>0</v>
      </c>
      <c r="K2133" s="898">
        <v>465000</v>
      </c>
    </row>
    <row r="2134" spans="4:11" ht="22.8" hidden="1" customHeight="1">
      <c r="D2134" s="916">
        <v>389</v>
      </c>
      <c r="E2134" s="895"/>
      <c r="F2134" s="896" t="s">
        <v>6102</v>
      </c>
      <c r="G2134" s="897"/>
      <c r="H2134" s="898">
        <v>504000</v>
      </c>
      <c r="I2134" s="1435"/>
      <c r="J2134" s="1446">
        <f t="shared" si="55"/>
        <v>0</v>
      </c>
      <c r="K2134" s="898">
        <v>504000</v>
      </c>
    </row>
    <row r="2135" spans="4:11" ht="22.8" hidden="1" customHeight="1">
      <c r="D2135" s="916">
        <v>390</v>
      </c>
      <c r="E2135" s="895"/>
      <c r="F2135" s="896" t="s">
        <v>6110</v>
      </c>
      <c r="G2135" s="897"/>
      <c r="H2135" s="898">
        <v>1450000</v>
      </c>
      <c r="I2135" s="1435"/>
      <c r="J2135" s="1446">
        <f t="shared" si="55"/>
        <v>0</v>
      </c>
      <c r="K2135" s="898">
        <v>1450000</v>
      </c>
    </row>
    <row r="2136" spans="4:11" ht="22.8" hidden="1" customHeight="1">
      <c r="D2136" s="916">
        <v>391</v>
      </c>
      <c r="E2136" s="895"/>
      <c r="F2136" s="896" t="s">
        <v>6113</v>
      </c>
      <c r="G2136" s="897"/>
      <c r="H2136" s="898">
        <v>850000</v>
      </c>
      <c r="I2136" s="1435"/>
      <c r="J2136" s="1446">
        <f t="shared" si="55"/>
        <v>0</v>
      </c>
      <c r="K2136" s="898">
        <v>850000</v>
      </c>
    </row>
    <row r="2137" spans="4:11" ht="22.8" hidden="1" customHeight="1">
      <c r="D2137" s="916">
        <v>392</v>
      </c>
      <c r="E2137" s="895"/>
      <c r="F2137" s="896" t="s">
        <v>6116</v>
      </c>
      <c r="G2137" s="897"/>
      <c r="H2137" s="898">
        <v>1500000</v>
      </c>
      <c r="I2137" s="1435"/>
      <c r="J2137" s="1446">
        <f t="shared" si="55"/>
        <v>0</v>
      </c>
      <c r="K2137" s="898">
        <v>1500000</v>
      </c>
    </row>
    <row r="2138" spans="4:11" ht="22.8" hidden="1" customHeight="1">
      <c r="D2138" s="916">
        <v>393</v>
      </c>
      <c r="E2138" s="895"/>
      <c r="F2138" s="896" t="s">
        <v>6119</v>
      </c>
      <c r="G2138" s="897"/>
      <c r="H2138" s="898">
        <v>1200000</v>
      </c>
      <c r="I2138" s="1435"/>
      <c r="J2138" s="1446">
        <f t="shared" si="55"/>
        <v>0</v>
      </c>
      <c r="K2138" s="898">
        <v>1200000</v>
      </c>
    </row>
    <row r="2139" spans="4:11" ht="22.8" hidden="1" customHeight="1">
      <c r="D2139" s="916">
        <v>394</v>
      </c>
      <c r="E2139" s="895"/>
      <c r="F2139" s="896" t="s">
        <v>6122</v>
      </c>
      <c r="G2139" s="897"/>
      <c r="H2139" s="898">
        <v>1000000</v>
      </c>
      <c r="I2139" s="1435"/>
      <c r="J2139" s="1446">
        <f t="shared" si="55"/>
        <v>0</v>
      </c>
      <c r="K2139" s="898">
        <v>1000000</v>
      </c>
    </row>
    <row r="2140" spans="4:11" ht="22.8" hidden="1" customHeight="1">
      <c r="D2140" s="916">
        <v>395</v>
      </c>
      <c r="E2140" s="895"/>
      <c r="F2140" s="896" t="s">
        <v>6125</v>
      </c>
      <c r="G2140" s="897"/>
      <c r="H2140" s="898">
        <v>250000</v>
      </c>
      <c r="I2140" s="1435"/>
      <c r="J2140" s="1446">
        <f t="shared" si="55"/>
        <v>0</v>
      </c>
      <c r="K2140" s="898">
        <v>250000</v>
      </c>
    </row>
    <row r="2141" spans="4:11" ht="22.8" hidden="1" customHeight="1">
      <c r="D2141" s="916">
        <v>396</v>
      </c>
      <c r="E2141" s="895"/>
      <c r="F2141" s="896" t="s">
        <v>6128</v>
      </c>
      <c r="G2141" s="897"/>
      <c r="H2141" s="898">
        <v>250000</v>
      </c>
      <c r="I2141" s="1435"/>
      <c r="J2141" s="1446">
        <f t="shared" si="55"/>
        <v>0</v>
      </c>
      <c r="K2141" s="898">
        <v>250000</v>
      </c>
    </row>
    <row r="2142" spans="4:11" ht="22.8" hidden="1" customHeight="1">
      <c r="D2142" s="916">
        <v>397</v>
      </c>
      <c r="E2142" s="895"/>
      <c r="F2142" s="896" t="s">
        <v>6133</v>
      </c>
      <c r="G2142" s="897" t="s">
        <v>3182</v>
      </c>
      <c r="H2142" s="898">
        <v>1000000</v>
      </c>
      <c r="I2142" s="1435"/>
      <c r="J2142" s="1446">
        <f t="shared" si="55"/>
        <v>0</v>
      </c>
      <c r="K2142" s="898">
        <v>1000000</v>
      </c>
    </row>
    <row r="2143" spans="4:11" ht="22.8" hidden="1" customHeight="1">
      <c r="D2143" s="916">
        <v>398</v>
      </c>
      <c r="E2143" s="895"/>
      <c r="F2143" s="896" t="s">
        <v>6136</v>
      </c>
      <c r="G2143" s="897"/>
      <c r="H2143" s="898">
        <v>640000</v>
      </c>
      <c r="I2143" s="1435"/>
      <c r="J2143" s="1446">
        <f t="shared" si="55"/>
        <v>0</v>
      </c>
      <c r="K2143" s="898">
        <v>640000</v>
      </c>
    </row>
    <row r="2144" spans="4:11" ht="22.8" hidden="1" customHeight="1">
      <c r="D2144" s="916">
        <v>399</v>
      </c>
      <c r="E2144" s="895"/>
      <c r="F2144" s="896" t="s">
        <v>6139</v>
      </c>
      <c r="G2144" s="897"/>
      <c r="H2144" s="898">
        <v>2475000</v>
      </c>
      <c r="I2144" s="1435"/>
      <c r="J2144" s="1446">
        <f t="shared" si="55"/>
        <v>0</v>
      </c>
      <c r="K2144" s="898">
        <v>2475000</v>
      </c>
    </row>
    <row r="2145" spans="4:11" ht="22.8" hidden="1" customHeight="1">
      <c r="D2145" s="916">
        <v>400</v>
      </c>
      <c r="E2145" s="895"/>
      <c r="F2145" s="896" t="s">
        <v>6142</v>
      </c>
      <c r="G2145" s="897"/>
      <c r="H2145" s="898">
        <v>670000</v>
      </c>
      <c r="I2145" s="1435"/>
      <c r="J2145" s="1446">
        <f t="shared" si="55"/>
        <v>0</v>
      </c>
      <c r="K2145" s="898">
        <v>670000</v>
      </c>
    </row>
    <row r="2146" spans="4:11" ht="22.8" hidden="1" customHeight="1">
      <c r="D2146" s="916">
        <v>401</v>
      </c>
      <c r="E2146" s="895"/>
      <c r="F2146" s="896" t="s">
        <v>6145</v>
      </c>
      <c r="G2146" s="897"/>
      <c r="H2146" s="898">
        <v>75000</v>
      </c>
      <c r="I2146" s="1435"/>
      <c r="J2146" s="1446">
        <f t="shared" si="55"/>
        <v>0</v>
      </c>
      <c r="K2146" s="898">
        <v>75000</v>
      </c>
    </row>
    <row r="2147" spans="4:11" ht="22.8" hidden="1" customHeight="1">
      <c r="D2147" s="916">
        <v>402</v>
      </c>
      <c r="E2147" s="895"/>
      <c r="F2147" s="896" t="s">
        <v>6148</v>
      </c>
      <c r="G2147" s="897"/>
      <c r="H2147" s="898">
        <v>680000</v>
      </c>
      <c r="I2147" s="1435"/>
      <c r="J2147" s="1446">
        <f t="shared" si="55"/>
        <v>0</v>
      </c>
      <c r="K2147" s="898">
        <v>680000</v>
      </c>
    </row>
    <row r="2148" spans="4:11" ht="22.8" hidden="1" customHeight="1">
      <c r="D2148" s="916">
        <v>403</v>
      </c>
      <c r="E2148" s="895"/>
      <c r="F2148" s="896" t="s">
        <v>6151</v>
      </c>
      <c r="G2148" s="897"/>
      <c r="H2148" s="898">
        <v>650000</v>
      </c>
      <c r="I2148" s="1435"/>
      <c r="J2148" s="1446">
        <f t="shared" si="55"/>
        <v>0</v>
      </c>
      <c r="K2148" s="898">
        <v>650000</v>
      </c>
    </row>
    <row r="2149" spans="4:11" ht="22.8" hidden="1" customHeight="1">
      <c r="D2149" s="916">
        <v>404</v>
      </c>
      <c r="E2149" s="895"/>
      <c r="F2149" s="896" t="s">
        <v>6154</v>
      </c>
      <c r="G2149" s="897"/>
      <c r="H2149" s="898">
        <v>250000</v>
      </c>
      <c r="I2149" s="1435"/>
      <c r="J2149" s="1446">
        <f t="shared" si="55"/>
        <v>0</v>
      </c>
      <c r="K2149" s="898">
        <v>250000</v>
      </c>
    </row>
    <row r="2150" spans="4:11" ht="22.8" hidden="1" customHeight="1">
      <c r="D2150" s="916">
        <v>405</v>
      </c>
      <c r="E2150" s="895"/>
      <c r="F2150" s="896" t="s">
        <v>6157</v>
      </c>
      <c r="G2150" s="897" t="s">
        <v>113</v>
      </c>
      <c r="H2150" s="898">
        <v>55500</v>
      </c>
      <c r="I2150" s="1435"/>
      <c r="J2150" s="1446">
        <f t="shared" si="55"/>
        <v>0</v>
      </c>
      <c r="K2150" s="898">
        <v>55500</v>
      </c>
    </row>
    <row r="2151" spans="4:11" ht="22.8" hidden="1" customHeight="1">
      <c r="D2151" s="916">
        <v>406</v>
      </c>
      <c r="E2151" s="895"/>
      <c r="F2151" s="896" t="s">
        <v>6166</v>
      </c>
      <c r="G2151" s="897" t="s">
        <v>235</v>
      </c>
      <c r="H2151" s="898">
        <v>125000</v>
      </c>
      <c r="I2151" s="1435"/>
      <c r="J2151" s="1446">
        <f t="shared" si="55"/>
        <v>0</v>
      </c>
      <c r="K2151" s="898">
        <v>125000</v>
      </c>
    </row>
    <row r="2152" spans="4:11" ht="22.8" hidden="1" customHeight="1">
      <c r="D2152" s="916">
        <v>407</v>
      </c>
      <c r="E2152" s="895"/>
      <c r="F2152" s="896" t="s">
        <v>6169</v>
      </c>
      <c r="G2152" s="897" t="s">
        <v>235</v>
      </c>
      <c r="H2152" s="898">
        <v>150000</v>
      </c>
      <c r="I2152" s="1435"/>
      <c r="J2152" s="1446">
        <f t="shared" si="55"/>
        <v>0</v>
      </c>
      <c r="K2152" s="898">
        <v>150000</v>
      </c>
    </row>
    <row r="2153" spans="4:11" ht="22.8" hidden="1" customHeight="1">
      <c r="D2153" s="916">
        <v>408</v>
      </c>
      <c r="E2153" s="895"/>
      <c r="F2153" s="896" t="s">
        <v>6172</v>
      </c>
      <c r="G2153" s="897" t="s">
        <v>3409</v>
      </c>
      <c r="H2153" s="898">
        <v>1000000</v>
      </c>
      <c r="I2153" s="1435"/>
      <c r="J2153" s="1446">
        <f t="shared" si="55"/>
        <v>0</v>
      </c>
      <c r="K2153" s="898">
        <v>1000000</v>
      </c>
    </row>
    <row r="2154" spans="4:11" ht="22.8" hidden="1" customHeight="1">
      <c r="D2154" s="916">
        <v>409</v>
      </c>
      <c r="E2154" s="895"/>
      <c r="F2154" s="896" t="s">
        <v>6175</v>
      </c>
      <c r="G2154" s="897" t="s">
        <v>3409</v>
      </c>
      <c r="H2154" s="898">
        <v>870000</v>
      </c>
      <c r="I2154" s="1435"/>
      <c r="J2154" s="1446">
        <f t="shared" si="55"/>
        <v>0</v>
      </c>
      <c r="K2154" s="898">
        <v>870000</v>
      </c>
    </row>
    <row r="2155" spans="4:11" ht="22.8" hidden="1" customHeight="1">
      <c r="D2155" s="916">
        <v>410</v>
      </c>
      <c r="E2155" s="895"/>
      <c r="F2155" s="896" t="s">
        <v>6178</v>
      </c>
      <c r="G2155" s="897"/>
      <c r="H2155" s="898">
        <v>250000</v>
      </c>
      <c r="I2155" s="1435"/>
      <c r="J2155" s="1446">
        <f t="shared" si="55"/>
        <v>0</v>
      </c>
      <c r="K2155" s="898">
        <v>250000</v>
      </c>
    </row>
    <row r="2156" spans="4:11" ht="22.8" hidden="1" customHeight="1">
      <c r="D2156" s="916">
        <v>411</v>
      </c>
      <c r="E2156" s="895"/>
      <c r="F2156" s="896" t="s">
        <v>6181</v>
      </c>
      <c r="G2156" s="897" t="s">
        <v>3182</v>
      </c>
      <c r="H2156" s="898">
        <v>102000</v>
      </c>
      <c r="I2156" s="1435"/>
      <c r="J2156" s="1446">
        <f t="shared" si="55"/>
        <v>0</v>
      </c>
      <c r="K2156" s="898">
        <v>102000</v>
      </c>
    </row>
    <row r="2157" spans="4:11" ht="22.8" hidden="1" customHeight="1">
      <c r="D2157" s="916">
        <v>412</v>
      </c>
      <c r="E2157" s="895"/>
      <c r="F2157" s="896" t="s">
        <v>6189</v>
      </c>
      <c r="G2157" s="897" t="s">
        <v>3409</v>
      </c>
      <c r="H2157" s="898">
        <v>6500000</v>
      </c>
      <c r="I2157" s="1435"/>
      <c r="J2157" s="1446">
        <f t="shared" si="55"/>
        <v>0</v>
      </c>
      <c r="K2157" s="898">
        <v>6500000</v>
      </c>
    </row>
    <row r="2158" spans="4:11" ht="22.8" hidden="1" customHeight="1">
      <c r="D2158" s="916">
        <v>413</v>
      </c>
      <c r="E2158" s="895"/>
      <c r="F2158" s="896" t="s">
        <v>6192</v>
      </c>
      <c r="G2158" s="897" t="s">
        <v>135</v>
      </c>
      <c r="H2158" s="898">
        <v>950000</v>
      </c>
      <c r="I2158" s="1435"/>
      <c r="J2158" s="1446">
        <f t="shared" si="55"/>
        <v>0</v>
      </c>
      <c r="K2158" s="898">
        <v>950000</v>
      </c>
    </row>
    <row r="2159" spans="4:11" ht="22.8" hidden="1" customHeight="1">
      <c r="D2159" s="916">
        <v>414</v>
      </c>
      <c r="E2159" s="895"/>
      <c r="F2159" s="896" t="s">
        <v>6195</v>
      </c>
      <c r="G2159" s="897" t="s">
        <v>135</v>
      </c>
      <c r="H2159" s="898">
        <v>650000</v>
      </c>
      <c r="I2159" s="1435"/>
      <c r="J2159" s="1446">
        <f t="shared" si="55"/>
        <v>0</v>
      </c>
      <c r="K2159" s="898">
        <v>650000</v>
      </c>
    </row>
    <row r="2160" spans="4:11" ht="22.8" hidden="1" customHeight="1">
      <c r="D2160" s="916">
        <v>415</v>
      </c>
      <c r="E2160" s="895"/>
      <c r="F2160" s="896" t="s">
        <v>6198</v>
      </c>
      <c r="G2160" s="897"/>
      <c r="H2160" s="898">
        <v>550000</v>
      </c>
      <c r="I2160" s="1435"/>
      <c r="J2160" s="1446">
        <f t="shared" si="55"/>
        <v>0</v>
      </c>
      <c r="K2160" s="898">
        <v>550000</v>
      </c>
    </row>
    <row r="2161" spans="4:11" ht="22.8" hidden="1" customHeight="1">
      <c r="D2161" s="916">
        <v>416</v>
      </c>
      <c r="E2161" s="895"/>
      <c r="F2161" s="896" t="s">
        <v>6201</v>
      </c>
      <c r="G2161" s="897"/>
      <c r="H2161" s="898">
        <v>250000</v>
      </c>
      <c r="I2161" s="1435"/>
      <c r="J2161" s="1446">
        <f t="shared" si="55"/>
        <v>0</v>
      </c>
      <c r="K2161" s="898">
        <v>250000</v>
      </c>
    </row>
    <row r="2162" spans="4:11" ht="22.8" hidden="1" customHeight="1">
      <c r="D2162" s="916">
        <v>417</v>
      </c>
      <c r="E2162" s="895"/>
      <c r="F2162" s="896" t="s">
        <v>6204</v>
      </c>
      <c r="G2162" s="897"/>
      <c r="H2162" s="898">
        <v>150000</v>
      </c>
      <c r="I2162" s="1435"/>
      <c r="J2162" s="1446">
        <f t="shared" si="55"/>
        <v>0</v>
      </c>
      <c r="K2162" s="898">
        <v>150000</v>
      </c>
    </row>
    <row r="2163" spans="4:11" ht="22.8" hidden="1" customHeight="1">
      <c r="D2163" s="916">
        <v>418</v>
      </c>
      <c r="E2163" s="895"/>
      <c r="F2163" s="896" t="s">
        <v>6209</v>
      </c>
      <c r="G2163" s="897"/>
      <c r="H2163" s="898">
        <v>30000</v>
      </c>
      <c r="I2163" s="1435"/>
      <c r="J2163" s="1446">
        <f t="shared" si="55"/>
        <v>0</v>
      </c>
      <c r="K2163" s="898">
        <v>30000</v>
      </c>
    </row>
    <row r="2164" spans="4:11" ht="22.8" hidden="1" customHeight="1">
      <c r="D2164" s="916">
        <v>419</v>
      </c>
      <c r="E2164" s="895"/>
      <c r="F2164" s="896" t="s">
        <v>6212</v>
      </c>
      <c r="G2164" s="897"/>
      <c r="H2164" s="898">
        <v>500000</v>
      </c>
      <c r="I2164" s="1435"/>
      <c r="J2164" s="1446">
        <f t="shared" si="55"/>
        <v>0</v>
      </c>
      <c r="K2164" s="898">
        <v>500000</v>
      </c>
    </row>
    <row r="2165" spans="4:11" ht="22.8" hidden="1" customHeight="1">
      <c r="D2165" s="916">
        <v>420</v>
      </c>
      <c r="E2165" s="895"/>
      <c r="F2165" s="896" t="s">
        <v>6215</v>
      </c>
      <c r="G2165" s="897"/>
      <c r="H2165" s="898">
        <v>1500000</v>
      </c>
      <c r="I2165" s="1435"/>
      <c r="J2165" s="1446">
        <f t="shared" si="55"/>
        <v>0</v>
      </c>
      <c r="K2165" s="898">
        <v>1500000</v>
      </c>
    </row>
    <row r="2166" spans="4:11" ht="22.8" hidden="1" customHeight="1">
      <c r="D2166" s="916">
        <v>421</v>
      </c>
      <c r="E2166" s="895"/>
      <c r="F2166" s="896" t="s">
        <v>6218</v>
      </c>
      <c r="G2166" s="897"/>
      <c r="H2166" s="898">
        <v>250000</v>
      </c>
      <c r="I2166" s="1435"/>
      <c r="J2166" s="1446">
        <f t="shared" si="55"/>
        <v>0</v>
      </c>
      <c r="K2166" s="898">
        <v>250000</v>
      </c>
    </row>
    <row r="2167" spans="4:11" ht="22.8" hidden="1" customHeight="1">
      <c r="D2167" s="916">
        <v>422</v>
      </c>
      <c r="E2167" s="895"/>
      <c r="F2167" s="896" t="s">
        <v>6219</v>
      </c>
      <c r="G2167" s="897"/>
      <c r="H2167" s="898">
        <v>110000</v>
      </c>
      <c r="I2167" s="1435"/>
      <c r="J2167" s="1446">
        <f t="shared" si="55"/>
        <v>0</v>
      </c>
      <c r="K2167" s="898">
        <v>110000</v>
      </c>
    </row>
    <row r="2168" spans="4:11" ht="22.8" hidden="1" customHeight="1">
      <c r="D2168" s="916">
        <v>423</v>
      </c>
      <c r="E2168" s="895"/>
      <c r="F2168" s="896" t="s">
        <v>6220</v>
      </c>
      <c r="G2168" s="897"/>
      <c r="H2168" s="898">
        <v>150000</v>
      </c>
      <c r="I2168" s="1435"/>
      <c r="J2168" s="1446">
        <f t="shared" si="55"/>
        <v>0</v>
      </c>
      <c r="K2168" s="898">
        <v>150000</v>
      </c>
    </row>
    <row r="2169" spans="4:11" ht="22.8" hidden="1" customHeight="1">
      <c r="D2169" s="916">
        <v>424</v>
      </c>
      <c r="E2169" s="895"/>
      <c r="F2169" s="896" t="s">
        <v>6225</v>
      </c>
      <c r="G2169" s="897"/>
      <c r="H2169" s="898">
        <v>2300000</v>
      </c>
      <c r="I2169" s="1435"/>
      <c r="J2169" s="1446">
        <f t="shared" si="55"/>
        <v>0</v>
      </c>
      <c r="K2169" s="898">
        <v>2300000</v>
      </c>
    </row>
    <row r="2170" spans="4:11" ht="22.8" hidden="1" customHeight="1">
      <c r="D2170" s="916">
        <v>425</v>
      </c>
      <c r="E2170" s="895"/>
      <c r="F2170" s="896" t="s">
        <v>6223</v>
      </c>
      <c r="G2170" s="897"/>
      <c r="H2170" s="898">
        <v>2500000</v>
      </c>
      <c r="I2170" s="1435"/>
      <c r="J2170" s="1446">
        <f t="shared" si="55"/>
        <v>0</v>
      </c>
      <c r="K2170" s="898">
        <v>2500000</v>
      </c>
    </row>
    <row r="2171" spans="4:11" ht="22.8" hidden="1" customHeight="1">
      <c r="D2171" s="916">
        <v>426</v>
      </c>
      <c r="E2171" s="895"/>
      <c r="F2171" s="896" t="s">
        <v>6229</v>
      </c>
      <c r="G2171" s="897"/>
      <c r="H2171" s="898">
        <v>2900000</v>
      </c>
      <c r="I2171" s="1435"/>
      <c r="J2171" s="1446">
        <f t="shared" si="55"/>
        <v>0</v>
      </c>
      <c r="K2171" s="898">
        <v>2900000</v>
      </c>
    </row>
    <row r="2172" spans="4:11" ht="22.8" hidden="1" customHeight="1">
      <c r="D2172" s="916">
        <v>427</v>
      </c>
      <c r="E2172" s="895"/>
      <c r="F2172" s="896" t="s">
        <v>6232</v>
      </c>
      <c r="G2172" s="897"/>
      <c r="H2172" s="898">
        <v>3200000</v>
      </c>
      <c r="I2172" s="1435"/>
      <c r="J2172" s="1446">
        <f t="shared" si="55"/>
        <v>0</v>
      </c>
      <c r="K2172" s="898">
        <v>3200000</v>
      </c>
    </row>
    <row r="2173" spans="4:11" ht="22.8" hidden="1" customHeight="1">
      <c r="D2173" s="916">
        <v>428</v>
      </c>
      <c r="E2173" s="895"/>
      <c r="F2173" s="896" t="s">
        <v>6235</v>
      </c>
      <c r="G2173" s="897"/>
      <c r="H2173" s="898">
        <v>150000</v>
      </c>
      <c r="I2173" s="1435"/>
      <c r="J2173" s="1446">
        <f t="shared" si="55"/>
        <v>0</v>
      </c>
      <c r="K2173" s="898">
        <v>150000</v>
      </c>
    </row>
    <row r="2174" spans="4:11" ht="22.8" hidden="1" customHeight="1">
      <c r="D2174" s="916">
        <v>429</v>
      </c>
      <c r="E2174" s="895"/>
      <c r="F2174" s="896" t="s">
        <v>6238</v>
      </c>
      <c r="G2174" s="897"/>
      <c r="H2174" s="898">
        <v>2550000</v>
      </c>
      <c r="I2174" s="1435"/>
      <c r="J2174" s="1446">
        <f t="shared" si="55"/>
        <v>0</v>
      </c>
      <c r="K2174" s="898">
        <v>2550000</v>
      </c>
    </row>
    <row r="2175" spans="4:11" ht="22.8" hidden="1" customHeight="1">
      <c r="D2175" s="916">
        <v>430</v>
      </c>
      <c r="E2175" s="895"/>
      <c r="F2175" s="896" t="s">
        <v>6243</v>
      </c>
      <c r="G2175" s="897"/>
      <c r="H2175" s="898">
        <v>2550</v>
      </c>
      <c r="I2175" s="1435"/>
      <c r="J2175" s="1446">
        <f t="shared" si="55"/>
        <v>0</v>
      </c>
      <c r="K2175" s="898">
        <v>2550</v>
      </c>
    </row>
    <row r="2176" spans="4:11" ht="22.8" hidden="1" customHeight="1">
      <c r="D2176" s="916">
        <v>431</v>
      </c>
      <c r="E2176" s="895"/>
      <c r="F2176" s="896" t="s">
        <v>6245</v>
      </c>
      <c r="G2176" s="897"/>
      <c r="H2176" s="898">
        <v>100000</v>
      </c>
      <c r="I2176" s="1435"/>
      <c r="J2176" s="1446">
        <f t="shared" ref="J2176:J2239" si="56">I2176-(I2176*10%)</f>
        <v>0</v>
      </c>
      <c r="K2176" s="898">
        <v>100000</v>
      </c>
    </row>
    <row r="2177" spans="4:11" ht="22.8" hidden="1" customHeight="1">
      <c r="D2177" s="916">
        <v>432</v>
      </c>
      <c r="E2177" s="895"/>
      <c r="F2177" s="896" t="s">
        <v>6246</v>
      </c>
      <c r="G2177" s="897"/>
      <c r="H2177" s="898">
        <v>125000</v>
      </c>
      <c r="I2177" s="1435"/>
      <c r="J2177" s="1446">
        <f t="shared" si="56"/>
        <v>0</v>
      </c>
      <c r="K2177" s="898">
        <v>125000</v>
      </c>
    </row>
    <row r="2178" spans="4:11" ht="22.8" hidden="1" customHeight="1">
      <c r="D2178" s="916">
        <v>433</v>
      </c>
      <c r="E2178" s="895"/>
      <c r="F2178" s="896" t="s">
        <v>6252</v>
      </c>
      <c r="G2178" s="897"/>
      <c r="H2178" s="898">
        <v>250000</v>
      </c>
      <c r="I2178" s="1435"/>
      <c r="J2178" s="1446">
        <f t="shared" si="56"/>
        <v>0</v>
      </c>
      <c r="K2178" s="898">
        <v>250000</v>
      </c>
    </row>
    <row r="2179" spans="4:11" ht="22.8" hidden="1" customHeight="1">
      <c r="D2179" s="916">
        <v>434</v>
      </c>
      <c r="E2179" s="895"/>
      <c r="F2179" s="896" t="s">
        <v>6255</v>
      </c>
      <c r="G2179" s="897"/>
      <c r="H2179" s="898">
        <v>130000</v>
      </c>
      <c r="I2179" s="1435"/>
      <c r="J2179" s="1446">
        <f t="shared" si="56"/>
        <v>0</v>
      </c>
      <c r="K2179" s="898">
        <v>130000</v>
      </c>
    </row>
    <row r="2180" spans="4:11" ht="22.8" hidden="1" customHeight="1">
      <c r="D2180" s="916">
        <v>435</v>
      </c>
      <c r="E2180" s="895"/>
      <c r="F2180" s="896" t="s">
        <v>6258</v>
      </c>
      <c r="G2180" s="897"/>
      <c r="H2180" s="898">
        <v>150000</v>
      </c>
      <c r="I2180" s="1435"/>
      <c r="J2180" s="1446">
        <f t="shared" si="56"/>
        <v>0</v>
      </c>
      <c r="K2180" s="898">
        <v>150000</v>
      </c>
    </row>
    <row r="2181" spans="4:11" ht="22.8" hidden="1" customHeight="1">
      <c r="D2181" s="916">
        <v>436</v>
      </c>
      <c r="E2181" s="895"/>
      <c r="F2181" s="896" t="s">
        <v>6265</v>
      </c>
      <c r="G2181" s="897"/>
      <c r="H2181" s="898">
        <v>3200000</v>
      </c>
      <c r="I2181" s="1435"/>
      <c r="J2181" s="1446">
        <f t="shared" si="56"/>
        <v>0</v>
      </c>
      <c r="K2181" s="898">
        <v>3200000</v>
      </c>
    </row>
    <row r="2182" spans="4:11" ht="22.8" hidden="1" customHeight="1">
      <c r="D2182" s="916">
        <v>437</v>
      </c>
      <c r="E2182" s="895"/>
      <c r="F2182" s="896" t="s">
        <v>6269</v>
      </c>
      <c r="G2182" s="897"/>
      <c r="H2182" s="898">
        <v>3800000</v>
      </c>
      <c r="I2182" s="1435"/>
      <c r="J2182" s="1446">
        <f t="shared" si="56"/>
        <v>0</v>
      </c>
      <c r="K2182" s="898">
        <v>3800000</v>
      </c>
    </row>
    <row r="2183" spans="4:11" ht="22.8" hidden="1" customHeight="1">
      <c r="D2183" s="916">
        <v>438</v>
      </c>
      <c r="E2183" s="895"/>
      <c r="F2183" s="896" t="s">
        <v>6271</v>
      </c>
      <c r="G2183" s="897"/>
      <c r="H2183" s="898">
        <v>4200000</v>
      </c>
      <c r="I2183" s="1435"/>
      <c r="J2183" s="1446">
        <f t="shared" si="56"/>
        <v>0</v>
      </c>
      <c r="K2183" s="898">
        <v>4200000</v>
      </c>
    </row>
    <row r="2184" spans="4:11" ht="22.8" hidden="1" customHeight="1">
      <c r="D2184" s="916">
        <v>439</v>
      </c>
      <c r="E2184" s="895"/>
      <c r="F2184" s="896" t="s">
        <v>6274</v>
      </c>
      <c r="G2184" s="897"/>
      <c r="H2184" s="898">
        <v>4500000</v>
      </c>
      <c r="I2184" s="1435"/>
      <c r="J2184" s="1446">
        <f t="shared" si="56"/>
        <v>0</v>
      </c>
      <c r="K2184" s="898">
        <v>4500000</v>
      </c>
    </row>
    <row r="2185" spans="4:11" ht="22.8" hidden="1" customHeight="1">
      <c r="D2185" s="916">
        <v>440</v>
      </c>
      <c r="E2185" s="895"/>
      <c r="F2185" s="896" t="s">
        <v>6277</v>
      </c>
      <c r="G2185" s="897"/>
      <c r="H2185" s="898">
        <v>5300000</v>
      </c>
      <c r="I2185" s="1435"/>
      <c r="J2185" s="1446">
        <f t="shared" si="56"/>
        <v>0</v>
      </c>
      <c r="K2185" s="898">
        <v>5300000</v>
      </c>
    </row>
    <row r="2186" spans="4:11" ht="22.8" hidden="1" customHeight="1">
      <c r="D2186" s="916">
        <v>441</v>
      </c>
      <c r="E2186" s="895"/>
      <c r="F2186" s="896" t="s">
        <v>6280</v>
      </c>
      <c r="G2186" s="897"/>
      <c r="H2186" s="898">
        <v>7600000</v>
      </c>
      <c r="I2186" s="1435"/>
      <c r="J2186" s="1446">
        <f t="shared" si="56"/>
        <v>0</v>
      </c>
      <c r="K2186" s="898">
        <v>7600000</v>
      </c>
    </row>
    <row r="2187" spans="4:11" ht="22.8" hidden="1" customHeight="1">
      <c r="D2187" s="916">
        <v>442</v>
      </c>
      <c r="E2187" s="895"/>
      <c r="F2187" s="896" t="s">
        <v>6283</v>
      </c>
      <c r="G2187" s="897"/>
      <c r="H2187" s="898">
        <v>10000000</v>
      </c>
      <c r="I2187" s="1435"/>
      <c r="J2187" s="1446">
        <f t="shared" si="56"/>
        <v>0</v>
      </c>
      <c r="K2187" s="898">
        <v>10000000</v>
      </c>
    </row>
    <row r="2188" spans="4:11" ht="22.8" hidden="1" customHeight="1">
      <c r="D2188" s="916">
        <v>443</v>
      </c>
      <c r="E2188" s="895"/>
      <c r="F2188" s="896" t="s">
        <v>6292</v>
      </c>
      <c r="G2188" s="897"/>
      <c r="H2188" s="898">
        <v>900000</v>
      </c>
      <c r="I2188" s="1435"/>
      <c r="J2188" s="1446">
        <f t="shared" si="56"/>
        <v>0</v>
      </c>
      <c r="K2188" s="898">
        <v>900000</v>
      </c>
    </row>
    <row r="2189" spans="4:11" ht="22.8" hidden="1" customHeight="1">
      <c r="D2189" s="916">
        <v>444</v>
      </c>
      <c r="E2189" s="895"/>
      <c r="F2189" s="896" t="s">
        <v>6295</v>
      </c>
      <c r="G2189" s="897"/>
      <c r="H2189" s="898">
        <v>1200000</v>
      </c>
      <c r="I2189" s="1435"/>
      <c r="J2189" s="1446">
        <f t="shared" si="56"/>
        <v>0</v>
      </c>
      <c r="K2189" s="898">
        <v>1200000</v>
      </c>
    </row>
    <row r="2190" spans="4:11" ht="22.8" hidden="1" customHeight="1">
      <c r="D2190" s="916">
        <v>445</v>
      </c>
      <c r="E2190" s="895"/>
      <c r="F2190" s="896" t="s">
        <v>6298</v>
      </c>
      <c r="G2190" s="897"/>
      <c r="H2190" s="898">
        <v>1350000</v>
      </c>
      <c r="I2190" s="1435"/>
      <c r="J2190" s="1446">
        <f t="shared" si="56"/>
        <v>0</v>
      </c>
      <c r="K2190" s="898">
        <v>1350000</v>
      </c>
    </row>
    <row r="2191" spans="4:11" ht="22.8" hidden="1" customHeight="1">
      <c r="D2191" s="916">
        <v>446</v>
      </c>
      <c r="E2191" s="895"/>
      <c r="F2191" s="896" t="s">
        <v>6301</v>
      </c>
      <c r="G2191" s="897"/>
      <c r="H2191" s="898">
        <v>1500000</v>
      </c>
      <c r="I2191" s="1435"/>
      <c r="J2191" s="1446">
        <f t="shared" si="56"/>
        <v>0</v>
      </c>
      <c r="K2191" s="898">
        <v>1500000</v>
      </c>
    </row>
    <row r="2192" spans="4:11" ht="22.8" hidden="1" customHeight="1">
      <c r="D2192" s="916">
        <v>447</v>
      </c>
      <c r="E2192" s="895"/>
      <c r="F2192" s="896" t="s">
        <v>6306</v>
      </c>
      <c r="G2192" s="897"/>
      <c r="H2192" s="898">
        <v>1300000</v>
      </c>
      <c r="I2192" s="1435"/>
      <c r="J2192" s="1446">
        <f t="shared" si="56"/>
        <v>0</v>
      </c>
      <c r="K2192" s="898">
        <v>1300000</v>
      </c>
    </row>
    <row r="2193" spans="4:11" ht="22.8" hidden="1" customHeight="1">
      <c r="D2193" s="916">
        <v>448</v>
      </c>
      <c r="E2193" s="895"/>
      <c r="F2193" s="896" t="s">
        <v>6308</v>
      </c>
      <c r="G2193" s="897"/>
      <c r="H2193" s="898">
        <v>1700000</v>
      </c>
      <c r="I2193" s="1435"/>
      <c r="J2193" s="1446">
        <f t="shared" si="56"/>
        <v>0</v>
      </c>
      <c r="K2193" s="898">
        <v>1700000</v>
      </c>
    </row>
    <row r="2194" spans="4:11" ht="22.8" hidden="1" customHeight="1">
      <c r="D2194" s="916">
        <v>449</v>
      </c>
      <c r="E2194" s="895"/>
      <c r="F2194" s="896" t="s">
        <v>6310</v>
      </c>
      <c r="G2194" s="897"/>
      <c r="H2194" s="898">
        <v>780000</v>
      </c>
      <c r="I2194" s="1435"/>
      <c r="J2194" s="1446">
        <f t="shared" si="56"/>
        <v>0</v>
      </c>
      <c r="K2194" s="898">
        <v>780000</v>
      </c>
    </row>
    <row r="2195" spans="4:11" ht="22.8" hidden="1" customHeight="1">
      <c r="D2195" s="916">
        <v>450</v>
      </c>
      <c r="E2195" s="895"/>
      <c r="F2195" s="896" t="s">
        <v>6313</v>
      </c>
      <c r="G2195" s="897"/>
      <c r="H2195" s="898">
        <v>860000</v>
      </c>
      <c r="I2195" s="1435"/>
      <c r="J2195" s="1446">
        <f t="shared" si="56"/>
        <v>0</v>
      </c>
      <c r="K2195" s="898">
        <v>860000</v>
      </c>
    </row>
    <row r="2196" spans="4:11" ht="22.8" hidden="1" customHeight="1">
      <c r="D2196" s="916">
        <v>451</v>
      </c>
      <c r="E2196" s="895"/>
      <c r="F2196" s="896" t="s">
        <v>6316</v>
      </c>
      <c r="G2196" s="897"/>
      <c r="H2196" s="898">
        <v>995000</v>
      </c>
      <c r="I2196" s="1435"/>
      <c r="J2196" s="1446">
        <f t="shared" si="56"/>
        <v>0</v>
      </c>
      <c r="K2196" s="898">
        <v>995000</v>
      </c>
    </row>
    <row r="2197" spans="4:11" ht="22.8" hidden="1" customHeight="1">
      <c r="D2197" s="916">
        <v>452</v>
      </c>
      <c r="E2197" s="895"/>
      <c r="F2197" s="896" t="s">
        <v>6319</v>
      </c>
      <c r="G2197" s="897"/>
      <c r="H2197" s="898">
        <v>1020000</v>
      </c>
      <c r="I2197" s="1435"/>
      <c r="J2197" s="1446">
        <f t="shared" si="56"/>
        <v>0</v>
      </c>
      <c r="K2197" s="898">
        <v>1020000</v>
      </c>
    </row>
    <row r="2198" spans="4:11" ht="22.8" hidden="1" customHeight="1">
      <c r="D2198" s="916">
        <v>453</v>
      </c>
      <c r="E2198" s="895"/>
      <c r="F2198" s="896" t="s">
        <v>6322</v>
      </c>
      <c r="G2198" s="897"/>
      <c r="H2198" s="898">
        <v>1350000</v>
      </c>
      <c r="I2198" s="1435"/>
      <c r="J2198" s="1446">
        <f t="shared" si="56"/>
        <v>0</v>
      </c>
      <c r="K2198" s="898">
        <v>1350000</v>
      </c>
    </row>
    <row r="2199" spans="4:11" ht="22.8" hidden="1" customHeight="1">
      <c r="D2199" s="916">
        <v>454</v>
      </c>
      <c r="E2199" s="895"/>
      <c r="F2199" s="896" t="s">
        <v>6325</v>
      </c>
      <c r="G2199" s="897"/>
      <c r="H2199" s="898">
        <v>1700000</v>
      </c>
      <c r="I2199" s="1435"/>
      <c r="J2199" s="1446">
        <f t="shared" si="56"/>
        <v>0</v>
      </c>
      <c r="K2199" s="898">
        <v>1700000</v>
      </c>
    </row>
    <row r="2200" spans="4:11" ht="22.8" hidden="1" customHeight="1">
      <c r="D2200" s="916">
        <v>455</v>
      </c>
      <c r="E2200" s="895"/>
      <c r="F2200" s="896" t="s">
        <v>6328</v>
      </c>
      <c r="G2200" s="897"/>
      <c r="H2200" s="898">
        <v>750000</v>
      </c>
      <c r="I2200" s="1435"/>
      <c r="J2200" s="1446">
        <f t="shared" si="56"/>
        <v>0</v>
      </c>
      <c r="K2200" s="898">
        <v>750000</v>
      </c>
    </row>
    <row r="2201" spans="4:11" ht="22.8" hidden="1" customHeight="1">
      <c r="D2201" s="916">
        <v>456</v>
      </c>
      <c r="E2201" s="895"/>
      <c r="F2201" s="896" t="s">
        <v>6331</v>
      </c>
      <c r="G2201" s="897"/>
      <c r="H2201" s="898">
        <v>1500000</v>
      </c>
      <c r="I2201" s="1435"/>
      <c r="J2201" s="1446">
        <f t="shared" si="56"/>
        <v>0</v>
      </c>
      <c r="K2201" s="898">
        <v>1500000</v>
      </c>
    </row>
    <row r="2202" spans="4:11" ht="22.8" hidden="1" customHeight="1">
      <c r="D2202" s="916">
        <v>457</v>
      </c>
      <c r="E2202" s="895"/>
      <c r="F2202" s="896" t="s">
        <v>6334</v>
      </c>
      <c r="G2202" s="897"/>
      <c r="H2202" s="898">
        <v>8300000</v>
      </c>
      <c r="I2202" s="1435"/>
      <c r="J2202" s="1446">
        <f t="shared" si="56"/>
        <v>0</v>
      </c>
      <c r="K2202" s="898">
        <v>8300000</v>
      </c>
    </row>
    <row r="2203" spans="4:11" ht="22.8" hidden="1" customHeight="1">
      <c r="D2203" s="916">
        <v>458</v>
      </c>
      <c r="E2203" s="895"/>
      <c r="F2203" s="896" t="s">
        <v>6337</v>
      </c>
      <c r="G2203" s="897"/>
      <c r="H2203" s="898">
        <v>1800000</v>
      </c>
      <c r="I2203" s="1435"/>
      <c r="J2203" s="1446">
        <f t="shared" si="56"/>
        <v>0</v>
      </c>
      <c r="K2203" s="898">
        <v>1800000</v>
      </c>
    </row>
    <row r="2204" spans="4:11" ht="22.8" hidden="1" customHeight="1">
      <c r="D2204" s="916">
        <v>459</v>
      </c>
      <c r="E2204" s="895"/>
      <c r="F2204" s="896" t="s">
        <v>6340</v>
      </c>
      <c r="G2204" s="897"/>
      <c r="H2204" s="898">
        <v>2100000</v>
      </c>
      <c r="I2204" s="1435"/>
      <c r="J2204" s="1446">
        <f t="shared" si="56"/>
        <v>0</v>
      </c>
      <c r="K2204" s="898">
        <v>2100000</v>
      </c>
    </row>
    <row r="2205" spans="4:11" ht="22.8" hidden="1" customHeight="1">
      <c r="D2205" s="916">
        <v>460</v>
      </c>
      <c r="E2205" s="895"/>
      <c r="F2205" s="896" t="s">
        <v>6343</v>
      </c>
      <c r="G2205" s="897"/>
      <c r="H2205" s="898">
        <v>2300000</v>
      </c>
      <c r="I2205" s="1435"/>
      <c r="J2205" s="1446">
        <f t="shared" si="56"/>
        <v>0</v>
      </c>
      <c r="K2205" s="898">
        <v>2300000</v>
      </c>
    </row>
    <row r="2206" spans="4:11" ht="22.8" hidden="1" customHeight="1">
      <c r="D2206" s="916">
        <v>461</v>
      </c>
      <c r="E2206" s="895"/>
      <c r="F2206" s="896" t="s">
        <v>6412</v>
      </c>
      <c r="G2206" s="897"/>
      <c r="H2206" s="898">
        <v>250000</v>
      </c>
      <c r="I2206" s="1435"/>
      <c r="J2206" s="1446">
        <f t="shared" si="56"/>
        <v>0</v>
      </c>
      <c r="K2206" s="898">
        <v>250000</v>
      </c>
    </row>
    <row r="2207" spans="4:11" ht="22.8" hidden="1" customHeight="1">
      <c r="D2207" s="916">
        <v>462</v>
      </c>
      <c r="E2207" s="895"/>
      <c r="F2207" s="896" t="s">
        <v>6346</v>
      </c>
      <c r="G2207" s="897"/>
      <c r="H2207" s="898">
        <v>2900000</v>
      </c>
      <c r="I2207" s="1435"/>
      <c r="J2207" s="1446">
        <f t="shared" si="56"/>
        <v>0</v>
      </c>
      <c r="K2207" s="898">
        <v>2900000</v>
      </c>
    </row>
    <row r="2208" spans="4:11" ht="22.8" hidden="1" customHeight="1">
      <c r="D2208" s="916">
        <v>463</v>
      </c>
      <c r="E2208" s="895"/>
      <c r="F2208" s="896" t="s">
        <v>6349</v>
      </c>
      <c r="G2208" s="897"/>
      <c r="H2208" s="898">
        <v>3500000</v>
      </c>
      <c r="I2208" s="1435"/>
      <c r="J2208" s="1446">
        <f t="shared" si="56"/>
        <v>0</v>
      </c>
      <c r="K2208" s="898">
        <v>3500000</v>
      </c>
    </row>
    <row r="2209" spans="4:11" ht="22.8" hidden="1" customHeight="1">
      <c r="D2209" s="916">
        <v>464</v>
      </c>
      <c r="E2209" s="895"/>
      <c r="F2209" s="896" t="s">
        <v>6352</v>
      </c>
      <c r="G2209" s="897"/>
      <c r="H2209" s="898">
        <v>3900000</v>
      </c>
      <c r="I2209" s="1435"/>
      <c r="J2209" s="1446">
        <f t="shared" si="56"/>
        <v>0</v>
      </c>
      <c r="K2209" s="898">
        <v>3900000</v>
      </c>
    </row>
    <row r="2210" spans="4:11" ht="22.8" hidden="1" customHeight="1">
      <c r="D2210" s="916">
        <v>465</v>
      </c>
      <c r="E2210" s="895"/>
      <c r="F2210" s="896" t="s">
        <v>6413</v>
      </c>
      <c r="G2210" s="897"/>
      <c r="H2210" s="898">
        <v>4500000</v>
      </c>
      <c r="I2210" s="1435"/>
      <c r="J2210" s="1446">
        <f t="shared" si="56"/>
        <v>0</v>
      </c>
      <c r="K2210" s="898">
        <v>4500000</v>
      </c>
    </row>
    <row r="2211" spans="4:11" ht="22.8" hidden="1" customHeight="1">
      <c r="D2211" s="916">
        <v>466</v>
      </c>
      <c r="E2211" s="895"/>
      <c r="F2211" s="896" t="s">
        <v>6355</v>
      </c>
      <c r="G2211" s="897"/>
      <c r="H2211" s="898">
        <v>95000</v>
      </c>
      <c r="I2211" s="1435"/>
      <c r="J2211" s="1446">
        <f t="shared" si="56"/>
        <v>0</v>
      </c>
      <c r="K2211" s="898">
        <v>95000</v>
      </c>
    </row>
    <row r="2212" spans="4:11" ht="22.8" hidden="1" customHeight="1">
      <c r="D2212" s="916">
        <v>467</v>
      </c>
      <c r="E2212" s="895"/>
      <c r="F2212" s="896" t="s">
        <v>6358</v>
      </c>
      <c r="G2212" s="897"/>
      <c r="H2212" s="898">
        <v>115000</v>
      </c>
      <c r="I2212" s="1435"/>
      <c r="J2212" s="1446">
        <f t="shared" si="56"/>
        <v>0</v>
      </c>
      <c r="K2212" s="898">
        <v>115000</v>
      </c>
    </row>
    <row r="2213" spans="4:11" ht="22.8" hidden="1" customHeight="1">
      <c r="D2213" s="916">
        <v>468</v>
      </c>
      <c r="E2213" s="895"/>
      <c r="F2213" s="896" t="s">
        <v>6361</v>
      </c>
      <c r="G2213" s="897"/>
      <c r="H2213" s="898">
        <v>130000</v>
      </c>
      <c r="I2213" s="1435"/>
      <c r="J2213" s="1446">
        <f t="shared" si="56"/>
        <v>0</v>
      </c>
      <c r="K2213" s="898">
        <v>130000</v>
      </c>
    </row>
    <row r="2214" spans="4:11" ht="22.8" hidden="1" customHeight="1">
      <c r="D2214" s="916">
        <v>469</v>
      </c>
      <c r="E2214" s="895"/>
      <c r="F2214" s="896" t="s">
        <v>6364</v>
      </c>
      <c r="G2214" s="897"/>
      <c r="H2214" s="898">
        <v>145000</v>
      </c>
      <c r="I2214" s="1435"/>
      <c r="J2214" s="1446">
        <f t="shared" si="56"/>
        <v>0</v>
      </c>
      <c r="K2214" s="898">
        <v>145000</v>
      </c>
    </row>
    <row r="2215" spans="4:11" ht="22.8" hidden="1" customHeight="1">
      <c r="D2215" s="916">
        <v>470</v>
      </c>
      <c r="E2215" s="895"/>
      <c r="F2215" s="896" t="s">
        <v>6367</v>
      </c>
      <c r="G2215" s="897"/>
      <c r="H2215" s="898">
        <v>135000</v>
      </c>
      <c r="I2215" s="1435"/>
      <c r="J2215" s="1446">
        <f t="shared" si="56"/>
        <v>0</v>
      </c>
      <c r="K2215" s="898">
        <v>135000</v>
      </c>
    </row>
    <row r="2216" spans="4:11" ht="22.8" hidden="1" customHeight="1">
      <c r="D2216" s="916">
        <v>471</v>
      </c>
      <c r="E2216" s="895"/>
      <c r="F2216" s="896" t="s">
        <v>6371</v>
      </c>
      <c r="G2216" s="897"/>
      <c r="H2216" s="898">
        <v>150000</v>
      </c>
      <c r="I2216" s="1435"/>
      <c r="J2216" s="1446">
        <f t="shared" si="56"/>
        <v>0</v>
      </c>
      <c r="K2216" s="898">
        <v>150000</v>
      </c>
    </row>
    <row r="2217" spans="4:11" ht="22.8" hidden="1" customHeight="1">
      <c r="D2217" s="916">
        <v>472</v>
      </c>
      <c r="E2217" s="895"/>
      <c r="F2217" s="896" t="s">
        <v>6373</v>
      </c>
      <c r="G2217" s="897"/>
      <c r="H2217" s="898">
        <v>220000</v>
      </c>
      <c r="I2217" s="1435"/>
      <c r="J2217" s="1446">
        <f t="shared" si="56"/>
        <v>0</v>
      </c>
      <c r="K2217" s="898">
        <v>220000</v>
      </c>
    </row>
    <row r="2218" spans="4:11" ht="22.8" hidden="1" customHeight="1">
      <c r="D2218" s="916">
        <v>473</v>
      </c>
      <c r="E2218" s="895"/>
      <c r="F2218" s="896" t="s">
        <v>6376</v>
      </c>
      <c r="G2218" s="897"/>
      <c r="H2218" s="898">
        <v>250000</v>
      </c>
      <c r="I2218" s="1435"/>
      <c r="J2218" s="1446">
        <f t="shared" si="56"/>
        <v>0</v>
      </c>
      <c r="K2218" s="898">
        <v>250000</v>
      </c>
    </row>
    <row r="2219" spans="4:11" ht="22.8" hidden="1" customHeight="1">
      <c r="D2219" s="916">
        <v>474</v>
      </c>
      <c r="E2219" s="895"/>
      <c r="F2219" s="896" t="s">
        <v>6379</v>
      </c>
      <c r="G2219" s="897"/>
      <c r="H2219" s="898">
        <v>270000</v>
      </c>
      <c r="I2219" s="1435"/>
      <c r="J2219" s="1446">
        <f t="shared" si="56"/>
        <v>0</v>
      </c>
      <c r="K2219" s="898">
        <v>270000</v>
      </c>
    </row>
    <row r="2220" spans="4:11" ht="22.8" hidden="1" customHeight="1">
      <c r="D2220" s="916">
        <v>475</v>
      </c>
      <c r="E2220" s="895"/>
      <c r="F2220" s="896" t="s">
        <v>6382</v>
      </c>
      <c r="G2220" s="897"/>
      <c r="H2220" s="898">
        <v>140000</v>
      </c>
      <c r="I2220" s="1435"/>
      <c r="J2220" s="1446">
        <f t="shared" si="56"/>
        <v>0</v>
      </c>
      <c r="K2220" s="898">
        <v>140000</v>
      </c>
    </row>
    <row r="2221" spans="4:11" ht="22.8" hidden="1" customHeight="1">
      <c r="D2221" s="916">
        <v>476</v>
      </c>
      <c r="E2221" s="895"/>
      <c r="F2221" s="896" t="s">
        <v>6385</v>
      </c>
      <c r="G2221" s="897"/>
      <c r="H2221" s="898">
        <v>160000</v>
      </c>
      <c r="I2221" s="1435"/>
      <c r="J2221" s="1446">
        <f t="shared" si="56"/>
        <v>0</v>
      </c>
      <c r="K2221" s="898">
        <v>160000</v>
      </c>
    </row>
    <row r="2222" spans="4:11" ht="22.8" hidden="1" customHeight="1">
      <c r="D2222" s="916">
        <v>477</v>
      </c>
      <c r="E2222" s="895"/>
      <c r="F2222" s="896" t="s">
        <v>6388</v>
      </c>
      <c r="G2222" s="897"/>
      <c r="H2222" s="898">
        <v>200000</v>
      </c>
      <c r="I2222" s="1435"/>
      <c r="J2222" s="1446">
        <f t="shared" si="56"/>
        <v>0</v>
      </c>
      <c r="K2222" s="898">
        <v>200000</v>
      </c>
    </row>
    <row r="2223" spans="4:11" ht="22.8" hidden="1" customHeight="1">
      <c r="D2223" s="916">
        <v>478</v>
      </c>
      <c r="E2223" s="895"/>
      <c r="F2223" s="896" t="s">
        <v>6391</v>
      </c>
      <c r="G2223" s="897"/>
      <c r="H2223" s="898">
        <v>230000</v>
      </c>
      <c r="I2223" s="1435"/>
      <c r="J2223" s="1446">
        <f t="shared" si="56"/>
        <v>0</v>
      </c>
      <c r="K2223" s="898">
        <v>230000</v>
      </c>
    </row>
    <row r="2224" spans="4:11" ht="22.8" hidden="1" customHeight="1">
      <c r="D2224" s="916">
        <v>479</v>
      </c>
      <c r="E2224" s="895"/>
      <c r="F2224" s="896" t="s">
        <v>6394</v>
      </c>
      <c r="G2224" s="897"/>
      <c r="H2224" s="898">
        <v>300000</v>
      </c>
      <c r="I2224" s="1435"/>
      <c r="J2224" s="1446">
        <f t="shared" si="56"/>
        <v>0</v>
      </c>
      <c r="K2224" s="898">
        <v>300000</v>
      </c>
    </row>
    <row r="2225" spans="4:11" ht="22.8" hidden="1" customHeight="1">
      <c r="D2225" s="916">
        <v>480</v>
      </c>
      <c r="E2225" s="895"/>
      <c r="F2225" s="896" t="s">
        <v>6397</v>
      </c>
      <c r="G2225" s="897"/>
      <c r="H2225" s="898">
        <v>450000</v>
      </c>
      <c r="I2225" s="1435"/>
      <c r="J2225" s="1446">
        <f t="shared" si="56"/>
        <v>0</v>
      </c>
      <c r="K2225" s="898">
        <v>450000</v>
      </c>
    </row>
    <row r="2226" spans="4:11" ht="22.8" hidden="1" customHeight="1">
      <c r="D2226" s="916">
        <v>481</v>
      </c>
      <c r="E2226" s="895"/>
      <c r="F2226" s="896" t="s">
        <v>6424</v>
      </c>
      <c r="G2226" s="897"/>
      <c r="H2226" s="898">
        <v>222000</v>
      </c>
      <c r="I2226" s="1435"/>
      <c r="J2226" s="1446">
        <f t="shared" si="56"/>
        <v>0</v>
      </c>
      <c r="K2226" s="898">
        <v>222000</v>
      </c>
    </row>
    <row r="2227" spans="4:11" ht="22.8" hidden="1" customHeight="1">
      <c r="D2227" s="916">
        <v>482</v>
      </c>
      <c r="E2227" s="895"/>
      <c r="F2227" s="896" t="s">
        <v>6419</v>
      </c>
      <c r="G2227" s="897" t="s">
        <v>5954</v>
      </c>
      <c r="H2227" s="898">
        <v>56500</v>
      </c>
      <c r="I2227" s="1435"/>
      <c r="J2227" s="1446">
        <f t="shared" si="56"/>
        <v>0</v>
      </c>
      <c r="K2227" s="898">
        <v>56500</v>
      </c>
    </row>
    <row r="2228" spans="4:11" ht="22.8" hidden="1" customHeight="1">
      <c r="D2228" s="916">
        <v>483</v>
      </c>
      <c r="E2228" s="895"/>
      <c r="F2228" s="896" t="s">
        <v>6421</v>
      </c>
      <c r="G2228" s="897" t="s">
        <v>5954</v>
      </c>
      <c r="H2228" s="898">
        <v>92000</v>
      </c>
      <c r="I2228" s="1435"/>
      <c r="J2228" s="1446">
        <f t="shared" si="56"/>
        <v>0</v>
      </c>
      <c r="K2228" s="898">
        <v>92000</v>
      </c>
    </row>
    <row r="2229" spans="4:11" ht="22.8" hidden="1" customHeight="1">
      <c r="D2229" s="916">
        <v>484</v>
      </c>
      <c r="E2229" s="895"/>
      <c r="F2229" s="896" t="s">
        <v>6422</v>
      </c>
      <c r="G2229" s="897" t="s">
        <v>6423</v>
      </c>
      <c r="H2229" s="898">
        <v>55000</v>
      </c>
      <c r="I2229" s="1435"/>
      <c r="J2229" s="1446">
        <f t="shared" si="56"/>
        <v>0</v>
      </c>
      <c r="K2229" s="898">
        <v>55000</v>
      </c>
    </row>
    <row r="2230" spans="4:11" ht="22.8" customHeight="1">
      <c r="D2230" s="918"/>
      <c r="E2230" s="895"/>
      <c r="F2230" s="896"/>
      <c r="G2230" s="897"/>
      <c r="H2230" s="898"/>
      <c r="I2230" s="1435"/>
      <c r="J2230" s="1446">
        <f t="shared" si="56"/>
        <v>0</v>
      </c>
      <c r="K2230" s="898"/>
    </row>
    <row r="2231" spans="4:11" ht="22.8" customHeight="1">
      <c r="D2231" s="915" t="s">
        <v>8803</v>
      </c>
      <c r="E2231" s="1795" t="s">
        <v>5732</v>
      </c>
      <c r="F2231" s="1796"/>
      <c r="G2231" s="897"/>
      <c r="H2231" s="898"/>
      <c r="I2231" s="1435"/>
      <c r="J2231" s="1446">
        <f t="shared" si="56"/>
        <v>0</v>
      </c>
      <c r="K2231" s="898"/>
    </row>
    <row r="2232" spans="4:11" ht="22.8" hidden="1" customHeight="1">
      <c r="D2232" s="916">
        <v>1</v>
      </c>
      <c r="E2232" s="895"/>
      <c r="F2232" s="896" t="s">
        <v>5316</v>
      </c>
      <c r="G2232" s="897" t="s">
        <v>2167</v>
      </c>
      <c r="H2232" s="898">
        <v>829900</v>
      </c>
      <c r="I2232" s="1435"/>
      <c r="J2232" s="1446">
        <f t="shared" si="56"/>
        <v>0</v>
      </c>
      <c r="K2232" s="898">
        <v>829900</v>
      </c>
    </row>
    <row r="2233" spans="4:11" ht="22.8" hidden="1" customHeight="1">
      <c r="D2233" s="916">
        <v>2</v>
      </c>
      <c r="E2233" s="895"/>
      <c r="F2233" s="896" t="s">
        <v>5723</v>
      </c>
      <c r="G2233" s="897" t="s">
        <v>44</v>
      </c>
      <c r="H2233" s="898">
        <v>135000</v>
      </c>
      <c r="I2233" s="1435"/>
      <c r="J2233" s="1446">
        <f t="shared" si="56"/>
        <v>0</v>
      </c>
      <c r="K2233" s="898">
        <v>135000</v>
      </c>
    </row>
    <row r="2234" spans="4:11" ht="22.8" hidden="1" customHeight="1">
      <c r="D2234" s="916">
        <v>3</v>
      </c>
      <c r="E2234" s="895"/>
      <c r="F2234" s="896" t="s">
        <v>5724</v>
      </c>
      <c r="G2234" s="897" t="s">
        <v>106</v>
      </c>
      <c r="H2234" s="898">
        <v>1135000</v>
      </c>
      <c r="I2234" s="1435"/>
      <c r="J2234" s="1446">
        <f t="shared" si="56"/>
        <v>0</v>
      </c>
      <c r="K2234" s="898">
        <v>1135000</v>
      </c>
    </row>
    <row r="2235" spans="4:11" ht="22.8" hidden="1" customHeight="1">
      <c r="D2235" s="916">
        <v>4</v>
      </c>
      <c r="E2235" s="895"/>
      <c r="F2235" s="896" t="s">
        <v>5725</v>
      </c>
      <c r="G2235" s="897" t="s">
        <v>5730</v>
      </c>
      <c r="H2235" s="898">
        <v>245000</v>
      </c>
      <c r="I2235" s="1435"/>
      <c r="J2235" s="1446">
        <f t="shared" si="56"/>
        <v>0</v>
      </c>
      <c r="K2235" s="898">
        <v>245000</v>
      </c>
    </row>
    <row r="2236" spans="4:11" ht="22.8" hidden="1" customHeight="1">
      <c r="D2236" s="916">
        <v>5</v>
      </c>
      <c r="E2236" s="895"/>
      <c r="F2236" s="896" t="s">
        <v>5726</v>
      </c>
      <c r="G2236" s="897" t="s">
        <v>1300</v>
      </c>
      <c r="H2236" s="898">
        <v>145000</v>
      </c>
      <c r="I2236" s="1435"/>
      <c r="J2236" s="1446">
        <f t="shared" si="56"/>
        <v>0</v>
      </c>
      <c r="K2236" s="898">
        <v>145000</v>
      </c>
    </row>
    <row r="2237" spans="4:11" ht="22.8" hidden="1" customHeight="1">
      <c r="D2237" s="916">
        <v>6</v>
      </c>
      <c r="E2237" s="895"/>
      <c r="F2237" s="896" t="s">
        <v>5727</v>
      </c>
      <c r="G2237" s="897" t="s">
        <v>1300</v>
      </c>
      <c r="H2237" s="898">
        <v>26400</v>
      </c>
      <c r="I2237" s="1435"/>
      <c r="J2237" s="1446">
        <f t="shared" si="56"/>
        <v>0</v>
      </c>
      <c r="K2237" s="898">
        <v>26400</v>
      </c>
    </row>
    <row r="2238" spans="4:11" ht="22.8" hidden="1" customHeight="1">
      <c r="D2238" s="916">
        <v>7</v>
      </c>
      <c r="E2238" s="895"/>
      <c r="F2238" s="896" t="s">
        <v>5728</v>
      </c>
      <c r="G2238" s="897" t="s">
        <v>44</v>
      </c>
      <c r="H2238" s="898">
        <v>130000</v>
      </c>
      <c r="I2238" s="1435"/>
      <c r="J2238" s="1446">
        <f t="shared" si="56"/>
        <v>0</v>
      </c>
      <c r="K2238" s="898">
        <v>130000</v>
      </c>
    </row>
    <row r="2239" spans="4:11" ht="22.8" hidden="1" customHeight="1">
      <c r="D2239" s="916">
        <v>8</v>
      </c>
      <c r="E2239" s="895"/>
      <c r="F2239" s="896" t="s">
        <v>5729</v>
      </c>
      <c r="G2239" s="897" t="s">
        <v>5730</v>
      </c>
      <c r="H2239" s="898">
        <v>50000</v>
      </c>
      <c r="I2239" s="1435"/>
      <c r="J2239" s="1446">
        <f t="shared" si="56"/>
        <v>0</v>
      </c>
      <c r="K2239" s="898">
        <v>50000</v>
      </c>
    </row>
    <row r="2240" spans="4:11" ht="22.8" hidden="1" customHeight="1">
      <c r="D2240" s="916">
        <v>9</v>
      </c>
      <c r="E2240" s="895"/>
      <c r="F2240" s="896" t="s">
        <v>5735</v>
      </c>
      <c r="G2240" s="897" t="s">
        <v>106</v>
      </c>
      <c r="H2240" s="898">
        <v>1666000</v>
      </c>
      <c r="I2240" s="1435"/>
      <c r="J2240" s="1446">
        <f t="shared" ref="J2240:J2303" si="57">I2240-(I2240*10%)</f>
        <v>0</v>
      </c>
      <c r="K2240" s="898">
        <v>1666000</v>
      </c>
    </row>
    <row r="2241" spans="4:11" ht="22.8" hidden="1" customHeight="1">
      <c r="D2241" s="916">
        <v>10</v>
      </c>
      <c r="E2241" s="895"/>
      <c r="F2241" s="896" t="s">
        <v>5740</v>
      </c>
      <c r="G2241" s="897" t="s">
        <v>135</v>
      </c>
      <c r="H2241" s="898">
        <v>1634000</v>
      </c>
      <c r="I2241" s="1435"/>
      <c r="J2241" s="1446">
        <f t="shared" si="57"/>
        <v>0</v>
      </c>
      <c r="K2241" s="898">
        <v>1634000</v>
      </c>
    </row>
    <row r="2242" spans="4:11" ht="22.8" hidden="1" customHeight="1">
      <c r="D2242" s="916">
        <v>11</v>
      </c>
      <c r="E2242" s="895"/>
      <c r="F2242" s="896" t="s">
        <v>5743</v>
      </c>
      <c r="G2242" s="897" t="s">
        <v>3182</v>
      </c>
      <c r="H2242" s="898">
        <v>587600</v>
      </c>
      <c r="I2242" s="1435"/>
      <c r="J2242" s="1446">
        <f t="shared" si="57"/>
        <v>0</v>
      </c>
      <c r="K2242" s="898">
        <v>587600</v>
      </c>
    </row>
    <row r="2243" spans="4:11" ht="22.8" hidden="1" customHeight="1">
      <c r="D2243" s="916">
        <v>12</v>
      </c>
      <c r="E2243" s="895"/>
      <c r="F2243" s="896" t="s">
        <v>5746</v>
      </c>
      <c r="G2243" s="897" t="s">
        <v>135</v>
      </c>
      <c r="H2243" s="898">
        <v>13500</v>
      </c>
      <c r="I2243" s="1435"/>
      <c r="J2243" s="1446">
        <f t="shared" si="57"/>
        <v>0</v>
      </c>
      <c r="K2243" s="898">
        <v>13500</v>
      </c>
    </row>
    <row r="2244" spans="4:11" ht="22.8" hidden="1" customHeight="1">
      <c r="D2244" s="916">
        <v>13</v>
      </c>
      <c r="E2244" s="895"/>
      <c r="F2244" s="896" t="s">
        <v>5749</v>
      </c>
      <c r="G2244" s="897" t="s">
        <v>135</v>
      </c>
      <c r="H2244" s="898">
        <v>55000</v>
      </c>
      <c r="I2244" s="1435"/>
      <c r="J2244" s="1446">
        <f t="shared" si="57"/>
        <v>0</v>
      </c>
      <c r="K2244" s="898">
        <v>55000</v>
      </c>
    </row>
    <row r="2245" spans="4:11" ht="22.8" hidden="1" customHeight="1">
      <c r="D2245" s="916">
        <v>14</v>
      </c>
      <c r="E2245" s="895"/>
      <c r="F2245" s="896" t="s">
        <v>5752</v>
      </c>
      <c r="G2245" s="897" t="s">
        <v>3182</v>
      </c>
      <c r="H2245" s="898">
        <v>35000</v>
      </c>
      <c r="I2245" s="1435"/>
      <c r="J2245" s="1446">
        <f t="shared" si="57"/>
        <v>0</v>
      </c>
      <c r="K2245" s="898">
        <v>35000</v>
      </c>
    </row>
    <row r="2246" spans="4:11" ht="22.8" hidden="1" customHeight="1">
      <c r="D2246" s="916">
        <v>15</v>
      </c>
      <c r="E2246" s="895"/>
      <c r="F2246" s="896" t="s">
        <v>5755</v>
      </c>
      <c r="G2246" s="897" t="s">
        <v>135</v>
      </c>
      <c r="H2246" s="898">
        <v>492000</v>
      </c>
      <c r="I2246" s="1435"/>
      <c r="J2246" s="1446">
        <f t="shared" si="57"/>
        <v>0</v>
      </c>
      <c r="K2246" s="898">
        <v>492000</v>
      </c>
    </row>
    <row r="2247" spans="4:11" ht="22.8" hidden="1" customHeight="1">
      <c r="D2247" s="916">
        <v>16</v>
      </c>
      <c r="E2247" s="895"/>
      <c r="F2247" s="896" t="s">
        <v>5758</v>
      </c>
      <c r="G2247" s="897" t="s">
        <v>3182</v>
      </c>
      <c r="H2247" s="898">
        <v>45000</v>
      </c>
      <c r="I2247" s="1435"/>
      <c r="J2247" s="1446">
        <f t="shared" si="57"/>
        <v>0</v>
      </c>
      <c r="K2247" s="898">
        <v>45000</v>
      </c>
    </row>
    <row r="2248" spans="4:11" ht="22.8" hidden="1" customHeight="1">
      <c r="D2248" s="916">
        <v>17</v>
      </c>
      <c r="E2248" s="895"/>
      <c r="F2248" s="896" t="s">
        <v>5761</v>
      </c>
      <c r="G2248" s="897" t="s">
        <v>135</v>
      </c>
      <c r="H2248" s="898">
        <v>83000</v>
      </c>
      <c r="I2248" s="1435"/>
      <c r="J2248" s="1446">
        <f t="shared" si="57"/>
        <v>0</v>
      </c>
      <c r="K2248" s="898">
        <v>83000</v>
      </c>
    </row>
    <row r="2249" spans="4:11" ht="22.8" hidden="1" customHeight="1">
      <c r="D2249" s="916">
        <v>18</v>
      </c>
      <c r="E2249" s="895"/>
      <c r="F2249" s="896" t="s">
        <v>5763</v>
      </c>
      <c r="G2249" s="897" t="s">
        <v>3182</v>
      </c>
      <c r="H2249" s="898">
        <v>252900</v>
      </c>
      <c r="I2249" s="1435"/>
      <c r="J2249" s="1446">
        <f t="shared" si="57"/>
        <v>0</v>
      </c>
      <c r="K2249" s="898">
        <v>252900</v>
      </c>
    </row>
    <row r="2250" spans="4:11" ht="22.8" hidden="1" customHeight="1">
      <c r="D2250" s="916">
        <v>19</v>
      </c>
      <c r="E2250" s="895"/>
      <c r="F2250" s="896" t="s">
        <v>5767</v>
      </c>
      <c r="G2250" s="897" t="s">
        <v>135</v>
      </c>
      <c r="H2250" s="898">
        <v>530000</v>
      </c>
      <c r="I2250" s="1435"/>
      <c r="J2250" s="1446">
        <f t="shared" si="57"/>
        <v>0</v>
      </c>
      <c r="K2250" s="898">
        <v>530000</v>
      </c>
    </row>
    <row r="2251" spans="4:11" ht="22.8" hidden="1" customHeight="1">
      <c r="D2251" s="916">
        <v>20</v>
      </c>
      <c r="E2251" s="895"/>
      <c r="F2251" s="896" t="s">
        <v>5770</v>
      </c>
      <c r="G2251" s="897" t="s">
        <v>3182</v>
      </c>
      <c r="H2251" s="898">
        <v>2040000</v>
      </c>
      <c r="I2251" s="1435"/>
      <c r="J2251" s="1446">
        <f t="shared" si="57"/>
        <v>0</v>
      </c>
      <c r="K2251" s="898">
        <v>2040000</v>
      </c>
    </row>
    <row r="2252" spans="4:11" ht="22.8" hidden="1" customHeight="1">
      <c r="D2252" s="916">
        <v>21</v>
      </c>
      <c r="E2252" s="895"/>
      <c r="F2252" s="896" t="s">
        <v>5773</v>
      </c>
      <c r="G2252" s="897" t="s">
        <v>3182</v>
      </c>
      <c r="H2252" s="898">
        <v>25500</v>
      </c>
      <c r="I2252" s="1435"/>
      <c r="J2252" s="1446">
        <f t="shared" si="57"/>
        <v>0</v>
      </c>
      <c r="K2252" s="898">
        <v>25500</v>
      </c>
    </row>
    <row r="2253" spans="4:11" ht="22.8" hidden="1" customHeight="1">
      <c r="D2253" s="916">
        <v>22</v>
      </c>
      <c r="E2253" s="895"/>
      <c r="F2253" s="896" t="s">
        <v>5776</v>
      </c>
      <c r="G2253" s="897" t="s">
        <v>3182</v>
      </c>
      <c r="H2253" s="898">
        <v>1500</v>
      </c>
      <c r="I2253" s="1435"/>
      <c r="J2253" s="1446">
        <f t="shared" si="57"/>
        <v>0</v>
      </c>
      <c r="K2253" s="898">
        <v>1500</v>
      </c>
    </row>
    <row r="2254" spans="4:11" ht="22.8" hidden="1" customHeight="1">
      <c r="D2254" s="916">
        <v>23</v>
      </c>
      <c r="E2254" s="895"/>
      <c r="F2254" s="896" t="s">
        <v>5779</v>
      </c>
      <c r="G2254" s="897"/>
      <c r="H2254" s="898">
        <v>189000</v>
      </c>
      <c r="I2254" s="1435"/>
      <c r="J2254" s="1446">
        <f t="shared" si="57"/>
        <v>0</v>
      </c>
      <c r="K2254" s="898">
        <v>189000</v>
      </c>
    </row>
    <row r="2255" spans="4:11" ht="22.8" hidden="1" customHeight="1">
      <c r="D2255" s="916">
        <v>24</v>
      </c>
      <c r="E2255" s="895"/>
      <c r="F2255" s="896" t="s">
        <v>5782</v>
      </c>
      <c r="G2255" s="897"/>
      <c r="H2255" s="898">
        <v>160000</v>
      </c>
      <c r="I2255" s="1435"/>
      <c r="J2255" s="1446">
        <f t="shared" si="57"/>
        <v>0</v>
      </c>
      <c r="K2255" s="898">
        <v>160000</v>
      </c>
    </row>
    <row r="2256" spans="4:11" ht="22.8" hidden="1" customHeight="1">
      <c r="D2256" s="916">
        <v>25</v>
      </c>
      <c r="E2256" s="895"/>
      <c r="F2256" s="896" t="s">
        <v>5785</v>
      </c>
      <c r="G2256" s="897"/>
      <c r="H2256" s="898">
        <v>582000</v>
      </c>
      <c r="I2256" s="1435"/>
      <c r="J2256" s="1446">
        <f t="shared" si="57"/>
        <v>0</v>
      </c>
      <c r="K2256" s="898">
        <v>582000</v>
      </c>
    </row>
    <row r="2257" spans="4:11" ht="22.8" hidden="1" customHeight="1">
      <c r="D2257" s="916">
        <v>26</v>
      </c>
      <c r="E2257" s="895"/>
      <c r="F2257" s="896" t="s">
        <v>5788</v>
      </c>
      <c r="G2257" s="897" t="s">
        <v>113</v>
      </c>
      <c r="H2257" s="898">
        <v>58620</v>
      </c>
      <c r="I2257" s="1435"/>
      <c r="J2257" s="1446">
        <f t="shared" si="57"/>
        <v>0</v>
      </c>
      <c r="K2257" s="898">
        <v>58620</v>
      </c>
    </row>
    <row r="2258" spans="4:11" ht="22.8" hidden="1" customHeight="1">
      <c r="D2258" s="916">
        <v>27</v>
      </c>
      <c r="E2258" s="895"/>
      <c r="F2258" s="896" t="s">
        <v>5791</v>
      </c>
      <c r="G2258" s="897" t="s">
        <v>2167</v>
      </c>
      <c r="H2258" s="898">
        <v>496000</v>
      </c>
      <c r="I2258" s="1435"/>
      <c r="J2258" s="1446">
        <f t="shared" si="57"/>
        <v>0</v>
      </c>
      <c r="K2258" s="898">
        <v>496000</v>
      </c>
    </row>
    <row r="2259" spans="4:11" ht="22.8" hidden="1" customHeight="1">
      <c r="D2259" s="916">
        <v>28</v>
      </c>
      <c r="E2259" s="895"/>
      <c r="F2259" s="896" t="s">
        <v>5794</v>
      </c>
      <c r="G2259" s="897" t="s">
        <v>2167</v>
      </c>
      <c r="H2259" s="898">
        <v>185000</v>
      </c>
      <c r="I2259" s="1435"/>
      <c r="J2259" s="1446">
        <f t="shared" si="57"/>
        <v>0</v>
      </c>
      <c r="K2259" s="898">
        <v>185000</v>
      </c>
    </row>
    <row r="2260" spans="4:11" ht="22.8" hidden="1" customHeight="1">
      <c r="D2260" s="916">
        <v>29</v>
      </c>
      <c r="E2260" s="895"/>
      <c r="F2260" s="896" t="s">
        <v>5797</v>
      </c>
      <c r="G2260" s="897" t="s">
        <v>44</v>
      </c>
      <c r="H2260" s="898">
        <v>142500</v>
      </c>
      <c r="I2260" s="1435"/>
      <c r="J2260" s="1446">
        <f t="shared" si="57"/>
        <v>0</v>
      </c>
      <c r="K2260" s="898">
        <v>142500</v>
      </c>
    </row>
    <row r="2261" spans="4:11" ht="22.8" hidden="1" customHeight="1">
      <c r="D2261" s="916">
        <v>30</v>
      </c>
      <c r="E2261" s="895"/>
      <c r="F2261" s="896" t="s">
        <v>5799</v>
      </c>
      <c r="G2261" s="897" t="s">
        <v>44</v>
      </c>
      <c r="H2261" s="898">
        <v>285000</v>
      </c>
      <c r="I2261" s="1435"/>
      <c r="J2261" s="1446">
        <f t="shared" si="57"/>
        <v>0</v>
      </c>
      <c r="K2261" s="898">
        <v>285000</v>
      </c>
    </row>
    <row r="2262" spans="4:11" ht="22.8" hidden="1" customHeight="1">
      <c r="D2262" s="916">
        <v>31</v>
      </c>
      <c r="E2262" s="895"/>
      <c r="F2262" s="896" t="s">
        <v>5805</v>
      </c>
      <c r="G2262" s="897" t="s">
        <v>2167</v>
      </c>
      <c r="H2262" s="898">
        <v>185000</v>
      </c>
      <c r="I2262" s="1435"/>
      <c r="J2262" s="1446">
        <f t="shared" si="57"/>
        <v>0</v>
      </c>
      <c r="K2262" s="898">
        <v>185000</v>
      </c>
    </row>
    <row r="2263" spans="4:11" ht="22.8" hidden="1" customHeight="1">
      <c r="D2263" s="916">
        <v>32</v>
      </c>
      <c r="E2263" s="895"/>
      <c r="F2263" s="896" t="s">
        <v>5808</v>
      </c>
      <c r="G2263" s="897" t="s">
        <v>3182</v>
      </c>
      <c r="H2263" s="898">
        <v>690000</v>
      </c>
      <c r="I2263" s="1435"/>
      <c r="J2263" s="1446">
        <f t="shared" si="57"/>
        <v>0</v>
      </c>
      <c r="K2263" s="898">
        <v>690000</v>
      </c>
    </row>
    <row r="2264" spans="4:11" ht="22.8" hidden="1" customHeight="1">
      <c r="D2264" s="916">
        <v>33</v>
      </c>
      <c r="E2264" s="895"/>
      <c r="F2264" s="896" t="s">
        <v>5811</v>
      </c>
      <c r="G2264" s="897" t="s">
        <v>3182</v>
      </c>
      <c r="H2264" s="898">
        <v>962000</v>
      </c>
      <c r="I2264" s="1435"/>
      <c r="J2264" s="1446">
        <f t="shared" si="57"/>
        <v>0</v>
      </c>
      <c r="K2264" s="898">
        <v>962000</v>
      </c>
    </row>
    <row r="2265" spans="4:11" ht="22.8" customHeight="1">
      <c r="D2265" s="915" t="s">
        <v>6646</v>
      </c>
      <c r="E2265" s="1795" t="s">
        <v>959</v>
      </c>
      <c r="F2265" s="1796"/>
      <c r="G2265" s="897"/>
      <c r="H2265" s="898"/>
      <c r="I2265" s="1435"/>
      <c r="J2265" s="1446">
        <f t="shared" si="57"/>
        <v>0</v>
      </c>
      <c r="K2265" s="898"/>
    </row>
    <row r="2266" spans="4:11" ht="22.8" customHeight="1">
      <c r="D2266" s="1429">
        <v>36</v>
      </c>
      <c r="E2266" s="895"/>
      <c r="F2266" s="896" t="s">
        <v>960</v>
      </c>
      <c r="G2266" s="897" t="s">
        <v>529</v>
      </c>
      <c r="H2266" s="898">
        <v>200</v>
      </c>
      <c r="I2266" s="1442"/>
      <c r="J2266" s="1446">
        <f t="shared" si="57"/>
        <v>0</v>
      </c>
      <c r="K2266" s="898">
        <v>200</v>
      </c>
    </row>
    <row r="2267" spans="4:11" ht="22.8" hidden="1" customHeight="1">
      <c r="D2267" s="916">
        <v>2</v>
      </c>
      <c r="E2267" s="895"/>
      <c r="F2267" s="896" t="s">
        <v>1837</v>
      </c>
      <c r="G2267" s="897" t="s">
        <v>62</v>
      </c>
      <c r="H2267" s="898">
        <v>100000</v>
      </c>
      <c r="I2267" s="1435"/>
      <c r="J2267" s="1446">
        <f t="shared" si="57"/>
        <v>0</v>
      </c>
      <c r="K2267" s="898">
        <v>100000</v>
      </c>
    </row>
    <row r="2268" spans="4:11" ht="22.8" hidden="1" customHeight="1">
      <c r="D2268" s="916">
        <v>3</v>
      </c>
      <c r="E2268" s="895"/>
      <c r="F2268" s="896" t="s">
        <v>1319</v>
      </c>
      <c r="G2268" s="897" t="s">
        <v>42</v>
      </c>
      <c r="H2268" s="898">
        <v>50000</v>
      </c>
      <c r="I2268" s="1435"/>
      <c r="J2268" s="1446">
        <f t="shared" si="57"/>
        <v>0</v>
      </c>
      <c r="K2268" s="898">
        <v>50000</v>
      </c>
    </row>
    <row r="2269" spans="4:11" ht="22.8" hidden="1" customHeight="1">
      <c r="D2269" s="916">
        <v>4</v>
      </c>
      <c r="E2269" s="895"/>
      <c r="F2269" s="896" t="s">
        <v>961</v>
      </c>
      <c r="G2269" s="897" t="s">
        <v>62</v>
      </c>
      <c r="H2269" s="898">
        <v>179000</v>
      </c>
      <c r="I2269" s="1435"/>
      <c r="J2269" s="1446">
        <f t="shared" si="57"/>
        <v>0</v>
      </c>
      <c r="K2269" s="898">
        <v>179000</v>
      </c>
    </row>
    <row r="2270" spans="4:11" ht="22.8" hidden="1" customHeight="1">
      <c r="D2270" s="916">
        <v>5</v>
      </c>
      <c r="E2270" s="895"/>
      <c r="F2270" s="896" t="s">
        <v>962</v>
      </c>
      <c r="G2270" s="897" t="s">
        <v>963</v>
      </c>
      <c r="H2270" s="898">
        <v>30000</v>
      </c>
      <c r="I2270" s="1435"/>
      <c r="J2270" s="1446">
        <f t="shared" si="57"/>
        <v>0</v>
      </c>
      <c r="K2270" s="898">
        <v>30000</v>
      </c>
    </row>
    <row r="2271" spans="4:11" ht="22.8" hidden="1" customHeight="1">
      <c r="D2271" s="916">
        <v>6</v>
      </c>
      <c r="E2271" s="895"/>
      <c r="F2271" s="896" t="s">
        <v>964</v>
      </c>
      <c r="G2271" s="897" t="s">
        <v>44</v>
      </c>
      <c r="H2271" s="898">
        <v>68600</v>
      </c>
      <c r="I2271" s="1435"/>
      <c r="J2271" s="1446">
        <f t="shared" si="57"/>
        <v>0</v>
      </c>
      <c r="K2271" s="898">
        <v>68600</v>
      </c>
    </row>
    <row r="2272" spans="4:11" ht="22.8" hidden="1" customHeight="1">
      <c r="D2272" s="916">
        <v>7</v>
      </c>
      <c r="E2272" s="895"/>
      <c r="F2272" s="896" t="s">
        <v>965</v>
      </c>
      <c r="G2272" s="897" t="s">
        <v>62</v>
      </c>
      <c r="H2272" s="898">
        <v>10000</v>
      </c>
      <c r="I2272" s="1435"/>
      <c r="J2272" s="1446">
        <f t="shared" si="57"/>
        <v>0</v>
      </c>
      <c r="K2272" s="898">
        <v>10000</v>
      </c>
    </row>
    <row r="2273" spans="4:12" ht="22.8" hidden="1" customHeight="1">
      <c r="D2273" s="916">
        <v>8</v>
      </c>
      <c r="E2273" s="895"/>
      <c r="F2273" s="896" t="s">
        <v>966</v>
      </c>
      <c r="G2273" s="897" t="s">
        <v>62</v>
      </c>
      <c r="H2273" s="898">
        <v>11000</v>
      </c>
      <c r="I2273" s="1435"/>
      <c r="J2273" s="1446">
        <f t="shared" si="57"/>
        <v>0</v>
      </c>
      <c r="K2273" s="898">
        <v>11000</v>
      </c>
    </row>
    <row r="2274" spans="4:12" ht="22.8" hidden="1" customHeight="1">
      <c r="D2274" s="916">
        <v>9</v>
      </c>
      <c r="E2274" s="895"/>
      <c r="F2274" s="896" t="s">
        <v>967</v>
      </c>
      <c r="G2274" s="897" t="s">
        <v>129</v>
      </c>
      <c r="H2274" s="898">
        <v>3900</v>
      </c>
      <c r="I2274" s="1435"/>
      <c r="J2274" s="1446">
        <f t="shared" si="57"/>
        <v>0</v>
      </c>
      <c r="K2274" s="898">
        <v>3900</v>
      </c>
    </row>
    <row r="2275" spans="4:12" ht="22.8" customHeight="1">
      <c r="D2275" s="1429">
        <v>36</v>
      </c>
      <c r="E2275" s="895"/>
      <c r="F2275" s="896" t="s">
        <v>968</v>
      </c>
      <c r="G2275" s="897" t="s">
        <v>106</v>
      </c>
      <c r="H2275" s="894">
        <f t="shared" ref="H2275:H2338" si="58">J2275</f>
        <v>92250</v>
      </c>
      <c r="I2275" s="1435">
        <v>102500</v>
      </c>
      <c r="J2275" s="1446">
        <f t="shared" si="57"/>
        <v>92250</v>
      </c>
      <c r="K2275" s="898">
        <v>77200</v>
      </c>
      <c r="L2275" s="188">
        <v>0.8</v>
      </c>
    </row>
    <row r="2276" spans="4:12" ht="22.8" hidden="1" customHeight="1">
      <c r="D2276" s="916">
        <v>11</v>
      </c>
      <c r="E2276" s="895"/>
      <c r="F2276" s="896" t="s">
        <v>2204</v>
      </c>
      <c r="G2276" s="897" t="s">
        <v>1300</v>
      </c>
      <c r="H2276" s="894">
        <f t="shared" si="58"/>
        <v>0</v>
      </c>
      <c r="I2276" s="1435"/>
      <c r="J2276" s="1446">
        <f t="shared" si="57"/>
        <v>0</v>
      </c>
      <c r="K2276" s="898">
        <f>K2275/6</f>
        <v>12866.666666666666</v>
      </c>
    </row>
    <row r="2277" spans="4:12" ht="22.8" hidden="1" customHeight="1">
      <c r="D2277" s="916">
        <v>12</v>
      </c>
      <c r="E2277" s="895"/>
      <c r="F2277" s="896" t="s">
        <v>5159</v>
      </c>
      <c r="G2277" s="897" t="s">
        <v>65</v>
      </c>
      <c r="H2277" s="894">
        <f t="shared" si="58"/>
        <v>0</v>
      </c>
      <c r="I2277" s="1435"/>
      <c r="J2277" s="1446">
        <f t="shared" si="57"/>
        <v>0</v>
      </c>
      <c r="K2277" s="898">
        <v>16480</v>
      </c>
    </row>
    <row r="2278" spans="4:12" ht="22.8" hidden="1" customHeight="1">
      <c r="D2278" s="916">
        <v>13</v>
      </c>
      <c r="E2278" s="895"/>
      <c r="F2278" s="896" t="s">
        <v>969</v>
      </c>
      <c r="G2278" s="897" t="s">
        <v>106</v>
      </c>
      <c r="H2278" s="894">
        <f t="shared" si="58"/>
        <v>0</v>
      </c>
      <c r="I2278" s="1435"/>
      <c r="J2278" s="1446">
        <f t="shared" si="57"/>
        <v>0</v>
      </c>
      <c r="K2278" s="898">
        <v>82400</v>
      </c>
    </row>
    <row r="2279" spans="4:12" ht="22.8" hidden="1" customHeight="1">
      <c r="D2279" s="916">
        <v>14</v>
      </c>
      <c r="E2279" s="895"/>
      <c r="F2279" s="896" t="s">
        <v>970</v>
      </c>
      <c r="G2279" s="897" t="s">
        <v>106</v>
      </c>
      <c r="H2279" s="894">
        <f t="shared" si="58"/>
        <v>0</v>
      </c>
      <c r="I2279" s="1435"/>
      <c r="J2279" s="1446">
        <f t="shared" si="57"/>
        <v>0</v>
      </c>
      <c r="K2279" s="898">
        <v>106000</v>
      </c>
    </row>
    <row r="2280" spans="4:12" ht="22.8" hidden="1" customHeight="1">
      <c r="D2280" s="916">
        <v>15</v>
      </c>
      <c r="E2280" s="895"/>
      <c r="F2280" s="896" t="s">
        <v>1759</v>
      </c>
      <c r="G2280" s="897" t="s">
        <v>113</v>
      </c>
      <c r="H2280" s="894">
        <f t="shared" si="58"/>
        <v>0</v>
      </c>
      <c r="I2280" s="1435"/>
      <c r="J2280" s="1446">
        <f t="shared" si="57"/>
        <v>0</v>
      </c>
      <c r="K2280" s="898">
        <v>17667</v>
      </c>
    </row>
    <row r="2281" spans="4:12" ht="22.8" hidden="1" customHeight="1">
      <c r="D2281" s="916">
        <v>16</v>
      </c>
      <c r="E2281" s="895"/>
      <c r="F2281" s="896" t="s">
        <v>971</v>
      </c>
      <c r="G2281" s="897" t="s">
        <v>42</v>
      </c>
      <c r="H2281" s="894">
        <f t="shared" si="58"/>
        <v>0</v>
      </c>
      <c r="I2281" s="1435"/>
      <c r="J2281" s="1446">
        <f t="shared" si="57"/>
        <v>0</v>
      </c>
      <c r="K2281" s="898">
        <v>755000</v>
      </c>
    </row>
    <row r="2282" spans="4:12" ht="22.8" hidden="1" customHeight="1">
      <c r="D2282" s="916">
        <v>17</v>
      </c>
      <c r="E2282" s="895"/>
      <c r="F2282" s="896" t="s">
        <v>972</v>
      </c>
      <c r="G2282" s="897" t="s">
        <v>235</v>
      </c>
      <c r="H2282" s="894">
        <f t="shared" si="58"/>
        <v>0</v>
      </c>
      <c r="I2282" s="1435"/>
      <c r="J2282" s="1446">
        <f t="shared" si="57"/>
        <v>0</v>
      </c>
      <c r="K2282" s="898">
        <v>145000</v>
      </c>
    </row>
    <row r="2283" spans="4:12" ht="22.8" hidden="1" customHeight="1">
      <c r="D2283" s="916">
        <v>18</v>
      </c>
      <c r="E2283" s="895"/>
      <c r="F2283" s="896" t="s">
        <v>973</v>
      </c>
      <c r="G2283" s="897" t="s">
        <v>235</v>
      </c>
      <c r="H2283" s="894">
        <f t="shared" si="58"/>
        <v>0</v>
      </c>
      <c r="I2283" s="1435"/>
      <c r="J2283" s="1446">
        <f t="shared" si="57"/>
        <v>0</v>
      </c>
      <c r="K2283" s="898">
        <v>170000</v>
      </c>
    </row>
    <row r="2284" spans="4:12" ht="22.8" hidden="1" customHeight="1">
      <c r="D2284" s="916">
        <v>19</v>
      </c>
      <c r="E2284" s="895"/>
      <c r="F2284" s="896" t="s">
        <v>974</v>
      </c>
      <c r="G2284" s="897" t="s">
        <v>65</v>
      </c>
      <c r="H2284" s="894">
        <f t="shared" si="58"/>
        <v>0</v>
      </c>
      <c r="I2284" s="1435"/>
      <c r="J2284" s="1446">
        <f t="shared" si="57"/>
        <v>0</v>
      </c>
      <c r="K2284" s="898">
        <v>6100</v>
      </c>
    </row>
    <row r="2285" spans="4:12" ht="22.8" hidden="1" customHeight="1">
      <c r="D2285" s="916">
        <v>20</v>
      </c>
      <c r="E2285" s="895"/>
      <c r="F2285" s="896" t="s">
        <v>975</v>
      </c>
      <c r="G2285" s="897" t="s">
        <v>135</v>
      </c>
      <c r="H2285" s="894">
        <f t="shared" si="58"/>
        <v>0</v>
      </c>
      <c r="I2285" s="1435"/>
      <c r="J2285" s="1446">
        <f t="shared" si="57"/>
        <v>0</v>
      </c>
      <c r="K2285" s="898">
        <v>1262500</v>
      </c>
    </row>
    <row r="2286" spans="4:12" ht="22.8" hidden="1" customHeight="1">
      <c r="D2286" s="916">
        <v>21</v>
      </c>
      <c r="E2286" s="895"/>
      <c r="F2286" s="896" t="s">
        <v>976</v>
      </c>
      <c r="G2286" s="897" t="s">
        <v>135</v>
      </c>
      <c r="H2286" s="894">
        <f t="shared" si="58"/>
        <v>0</v>
      </c>
      <c r="I2286" s="1435"/>
      <c r="J2286" s="1446">
        <f t="shared" si="57"/>
        <v>0</v>
      </c>
      <c r="K2286" s="898">
        <v>1040000</v>
      </c>
    </row>
    <row r="2287" spans="4:12" ht="22.8" hidden="1" customHeight="1">
      <c r="D2287" s="916">
        <v>22</v>
      </c>
      <c r="E2287" s="895"/>
      <c r="F2287" s="896" t="s">
        <v>977</v>
      </c>
      <c r="G2287" s="897" t="s">
        <v>44</v>
      </c>
      <c r="H2287" s="894">
        <f t="shared" si="58"/>
        <v>0</v>
      </c>
      <c r="I2287" s="1435"/>
      <c r="J2287" s="1446">
        <f t="shared" si="57"/>
        <v>0</v>
      </c>
      <c r="K2287" s="898">
        <v>2626500</v>
      </c>
    </row>
    <row r="2288" spans="4:12" ht="22.8" hidden="1" customHeight="1">
      <c r="D2288" s="916">
        <v>23</v>
      </c>
      <c r="E2288" s="895"/>
      <c r="F2288" s="896" t="s">
        <v>978</v>
      </c>
      <c r="G2288" s="897" t="s">
        <v>44</v>
      </c>
      <c r="H2288" s="894">
        <f t="shared" si="58"/>
        <v>0</v>
      </c>
      <c r="I2288" s="1435"/>
      <c r="J2288" s="1446">
        <f t="shared" si="57"/>
        <v>0</v>
      </c>
      <c r="K2288" s="898">
        <v>555600</v>
      </c>
    </row>
    <row r="2289" spans="4:11" ht="22.8" hidden="1" customHeight="1">
      <c r="D2289" s="916">
        <v>24</v>
      </c>
      <c r="E2289" s="895"/>
      <c r="F2289" s="896" t="s">
        <v>979</v>
      </c>
      <c r="G2289" s="897" t="s">
        <v>65</v>
      </c>
      <c r="H2289" s="894">
        <f t="shared" si="58"/>
        <v>0</v>
      </c>
      <c r="I2289" s="1435"/>
      <c r="J2289" s="1446">
        <f t="shared" si="57"/>
        <v>0</v>
      </c>
      <c r="K2289" s="898">
        <v>180000</v>
      </c>
    </row>
    <row r="2290" spans="4:11" ht="22.8" hidden="1" customHeight="1">
      <c r="D2290" s="916">
        <v>25</v>
      </c>
      <c r="E2290" s="895"/>
      <c r="F2290" s="896" t="s">
        <v>1867</v>
      </c>
      <c r="G2290" s="897" t="s">
        <v>65</v>
      </c>
      <c r="H2290" s="894">
        <f t="shared" si="58"/>
        <v>0</v>
      </c>
      <c r="I2290" s="1435"/>
      <c r="J2290" s="1446">
        <f t="shared" si="57"/>
        <v>0</v>
      </c>
      <c r="K2290" s="898">
        <v>1200</v>
      </c>
    </row>
    <row r="2291" spans="4:11" ht="22.8" hidden="1" customHeight="1">
      <c r="D2291" s="916">
        <v>26</v>
      </c>
      <c r="E2291" s="895"/>
      <c r="F2291" s="896" t="s">
        <v>980</v>
      </c>
      <c r="G2291" s="897" t="s">
        <v>981</v>
      </c>
      <c r="H2291" s="894">
        <f t="shared" si="58"/>
        <v>0</v>
      </c>
      <c r="I2291" s="1435"/>
      <c r="J2291" s="1446">
        <f t="shared" si="57"/>
        <v>0</v>
      </c>
      <c r="K2291" s="898">
        <v>225000</v>
      </c>
    </row>
    <row r="2292" spans="4:11" ht="22.8" hidden="1" customHeight="1">
      <c r="D2292" s="916">
        <v>27</v>
      </c>
      <c r="E2292" s="895"/>
      <c r="F2292" s="896" t="s">
        <v>982</v>
      </c>
      <c r="G2292" s="897" t="s">
        <v>62</v>
      </c>
      <c r="H2292" s="894">
        <f t="shared" si="58"/>
        <v>0</v>
      </c>
      <c r="I2292" s="1435"/>
      <c r="J2292" s="1446">
        <f t="shared" si="57"/>
        <v>0</v>
      </c>
      <c r="K2292" s="898">
        <v>100000</v>
      </c>
    </row>
    <row r="2293" spans="4:11" ht="22.8" hidden="1" customHeight="1">
      <c r="D2293" s="916">
        <v>28</v>
      </c>
      <c r="E2293" s="895"/>
      <c r="F2293" s="896" t="s">
        <v>983</v>
      </c>
      <c r="G2293" s="897" t="s">
        <v>65</v>
      </c>
      <c r="H2293" s="894">
        <f t="shared" si="58"/>
        <v>0</v>
      </c>
      <c r="I2293" s="1435"/>
      <c r="J2293" s="1446">
        <f t="shared" si="57"/>
        <v>0</v>
      </c>
      <c r="K2293" s="898">
        <v>216700</v>
      </c>
    </row>
    <row r="2294" spans="4:11" ht="22.8" hidden="1" customHeight="1">
      <c r="D2294" s="916">
        <v>29</v>
      </c>
      <c r="E2294" s="895"/>
      <c r="F2294" s="896" t="s">
        <v>984</v>
      </c>
      <c r="G2294" s="897" t="s">
        <v>129</v>
      </c>
      <c r="H2294" s="894">
        <f t="shared" si="58"/>
        <v>0</v>
      </c>
      <c r="I2294" s="1435"/>
      <c r="J2294" s="1446">
        <f t="shared" si="57"/>
        <v>0</v>
      </c>
      <c r="K2294" s="898">
        <v>51400</v>
      </c>
    </row>
    <row r="2295" spans="4:11" ht="22.8" hidden="1" customHeight="1">
      <c r="D2295" s="916">
        <v>30</v>
      </c>
      <c r="E2295" s="895"/>
      <c r="F2295" s="896" t="s">
        <v>985</v>
      </c>
      <c r="G2295" s="897" t="s">
        <v>129</v>
      </c>
      <c r="H2295" s="894">
        <f t="shared" si="58"/>
        <v>0</v>
      </c>
      <c r="I2295" s="1435"/>
      <c r="J2295" s="1446">
        <f t="shared" si="57"/>
        <v>0</v>
      </c>
      <c r="K2295" s="898">
        <v>170000</v>
      </c>
    </row>
    <row r="2296" spans="4:11" ht="22.8" hidden="1" customHeight="1">
      <c r="D2296" s="916">
        <v>31</v>
      </c>
      <c r="E2296" s="895"/>
      <c r="F2296" s="896" t="s">
        <v>986</v>
      </c>
      <c r="G2296" s="897" t="s">
        <v>52</v>
      </c>
      <c r="H2296" s="894">
        <f t="shared" si="58"/>
        <v>0</v>
      </c>
      <c r="I2296" s="1435"/>
      <c r="J2296" s="1446">
        <f t="shared" si="57"/>
        <v>0</v>
      </c>
      <c r="K2296" s="898">
        <v>10600</v>
      </c>
    </row>
    <row r="2297" spans="4:11" ht="22.8" hidden="1" customHeight="1">
      <c r="D2297" s="916">
        <v>32</v>
      </c>
      <c r="E2297" s="895"/>
      <c r="F2297" s="896" t="s">
        <v>987</v>
      </c>
      <c r="G2297" s="897" t="s">
        <v>62</v>
      </c>
      <c r="H2297" s="894">
        <f t="shared" si="58"/>
        <v>0</v>
      </c>
      <c r="I2297" s="1435"/>
      <c r="J2297" s="1446">
        <f t="shared" si="57"/>
        <v>0</v>
      </c>
      <c r="K2297" s="898">
        <v>29167</v>
      </c>
    </row>
    <row r="2298" spans="4:11" ht="22.8" hidden="1" customHeight="1">
      <c r="D2298" s="916">
        <v>33</v>
      </c>
      <c r="E2298" s="895"/>
      <c r="F2298" s="896" t="s">
        <v>988</v>
      </c>
      <c r="G2298" s="897" t="s">
        <v>113</v>
      </c>
      <c r="H2298" s="894">
        <f t="shared" si="58"/>
        <v>0</v>
      </c>
      <c r="I2298" s="1435"/>
      <c r="J2298" s="1446">
        <f t="shared" si="57"/>
        <v>0</v>
      </c>
      <c r="K2298" s="898">
        <v>761200</v>
      </c>
    </row>
    <row r="2299" spans="4:11" ht="22.8" hidden="1" customHeight="1">
      <c r="D2299" s="916">
        <v>34</v>
      </c>
      <c r="E2299" s="895"/>
      <c r="F2299" s="896" t="s">
        <v>989</v>
      </c>
      <c r="G2299" s="897" t="s">
        <v>44</v>
      </c>
      <c r="H2299" s="894">
        <f t="shared" si="58"/>
        <v>0</v>
      </c>
      <c r="I2299" s="1435"/>
      <c r="J2299" s="1446">
        <f t="shared" si="57"/>
        <v>0</v>
      </c>
      <c r="K2299" s="898">
        <v>20200</v>
      </c>
    </row>
    <row r="2300" spans="4:11" ht="22.8" hidden="1" customHeight="1">
      <c r="D2300" s="916">
        <v>35</v>
      </c>
      <c r="E2300" s="895"/>
      <c r="F2300" s="896" t="s">
        <v>990</v>
      </c>
      <c r="G2300" s="897" t="s">
        <v>44</v>
      </c>
      <c r="H2300" s="894">
        <f t="shared" si="58"/>
        <v>0</v>
      </c>
      <c r="I2300" s="1435"/>
      <c r="J2300" s="1446">
        <f t="shared" si="57"/>
        <v>0</v>
      </c>
      <c r="K2300" s="898">
        <v>9200</v>
      </c>
    </row>
    <row r="2301" spans="4:11" ht="22.8" hidden="1" customHeight="1">
      <c r="D2301" s="916">
        <v>36</v>
      </c>
      <c r="E2301" s="895"/>
      <c r="F2301" s="896" t="s">
        <v>991</v>
      </c>
      <c r="G2301" s="897" t="s">
        <v>42</v>
      </c>
      <c r="H2301" s="894">
        <f t="shared" si="58"/>
        <v>0</v>
      </c>
      <c r="I2301" s="1435"/>
      <c r="J2301" s="1446">
        <f t="shared" si="57"/>
        <v>0</v>
      </c>
      <c r="K2301" s="898">
        <v>39700</v>
      </c>
    </row>
    <row r="2302" spans="4:11" ht="22.8" hidden="1" customHeight="1">
      <c r="D2302" s="916">
        <v>37</v>
      </c>
      <c r="E2302" s="895"/>
      <c r="F2302" s="896" t="s">
        <v>992</v>
      </c>
      <c r="G2302" s="897" t="s">
        <v>62</v>
      </c>
      <c r="H2302" s="894">
        <f t="shared" si="58"/>
        <v>0</v>
      </c>
      <c r="I2302" s="1435"/>
      <c r="J2302" s="1446">
        <f t="shared" si="57"/>
        <v>0</v>
      </c>
      <c r="K2302" s="898">
        <v>70000</v>
      </c>
    </row>
    <row r="2303" spans="4:11" ht="22.8" hidden="1" customHeight="1">
      <c r="D2303" s="916">
        <v>38</v>
      </c>
      <c r="E2303" s="895"/>
      <c r="F2303" s="896" t="s">
        <v>993</v>
      </c>
      <c r="G2303" s="897" t="s">
        <v>135</v>
      </c>
      <c r="H2303" s="894">
        <f t="shared" si="58"/>
        <v>0</v>
      </c>
      <c r="I2303" s="1435"/>
      <c r="J2303" s="1446">
        <f t="shared" si="57"/>
        <v>0</v>
      </c>
      <c r="K2303" s="898">
        <v>2156800</v>
      </c>
    </row>
    <row r="2304" spans="4:11" ht="22.8" hidden="1" customHeight="1">
      <c r="D2304" s="916">
        <v>39</v>
      </c>
      <c r="E2304" s="895"/>
      <c r="F2304" s="896" t="s">
        <v>994</v>
      </c>
      <c r="G2304" s="897" t="s">
        <v>135</v>
      </c>
      <c r="H2304" s="894">
        <f t="shared" si="58"/>
        <v>0</v>
      </c>
      <c r="I2304" s="1435"/>
      <c r="J2304" s="1446">
        <f t="shared" ref="J2304:J2367" si="59">I2304-(I2304*10%)</f>
        <v>0</v>
      </c>
      <c r="K2304" s="898">
        <v>2740500</v>
      </c>
    </row>
    <row r="2305" spans="4:11" ht="22.8" hidden="1" customHeight="1">
      <c r="D2305" s="916">
        <v>40</v>
      </c>
      <c r="E2305" s="895"/>
      <c r="F2305" s="896" t="s">
        <v>995</v>
      </c>
      <c r="G2305" s="897" t="s">
        <v>135</v>
      </c>
      <c r="H2305" s="894">
        <f t="shared" si="58"/>
        <v>0</v>
      </c>
      <c r="I2305" s="1435"/>
      <c r="J2305" s="1446">
        <f t="shared" si="59"/>
        <v>0</v>
      </c>
      <c r="K2305" s="898">
        <v>5481000</v>
      </c>
    </row>
    <row r="2306" spans="4:11" ht="22.8" hidden="1" customHeight="1">
      <c r="D2306" s="916">
        <v>41</v>
      </c>
      <c r="E2306" s="895"/>
      <c r="F2306" s="896" t="s">
        <v>996</v>
      </c>
      <c r="G2306" s="897" t="s">
        <v>65</v>
      </c>
      <c r="H2306" s="894">
        <f t="shared" si="58"/>
        <v>0</v>
      </c>
      <c r="I2306" s="1435"/>
      <c r="J2306" s="1446">
        <f t="shared" si="59"/>
        <v>0</v>
      </c>
      <c r="K2306" s="898">
        <v>37300</v>
      </c>
    </row>
    <row r="2307" spans="4:11" ht="22.8" hidden="1" customHeight="1">
      <c r="D2307" s="916">
        <v>42</v>
      </c>
      <c r="E2307" s="895"/>
      <c r="F2307" s="896" t="s">
        <v>997</v>
      </c>
      <c r="G2307" s="897" t="s">
        <v>42</v>
      </c>
      <c r="H2307" s="894">
        <f t="shared" si="58"/>
        <v>0</v>
      </c>
      <c r="I2307" s="1435"/>
      <c r="J2307" s="1446">
        <f t="shared" si="59"/>
        <v>0</v>
      </c>
      <c r="K2307" s="898">
        <v>263700</v>
      </c>
    </row>
    <row r="2308" spans="4:11" ht="22.8" hidden="1" customHeight="1">
      <c r="D2308" s="916">
        <v>43</v>
      </c>
      <c r="E2308" s="895"/>
      <c r="F2308" s="896" t="s">
        <v>998</v>
      </c>
      <c r="G2308" s="897" t="s">
        <v>65</v>
      </c>
      <c r="H2308" s="894">
        <f t="shared" si="58"/>
        <v>0</v>
      </c>
      <c r="I2308" s="1435"/>
      <c r="J2308" s="1446">
        <f t="shared" si="59"/>
        <v>0</v>
      </c>
      <c r="K2308" s="898">
        <v>7000</v>
      </c>
    </row>
    <row r="2309" spans="4:11" ht="22.8" hidden="1" customHeight="1">
      <c r="D2309" s="916">
        <v>44</v>
      </c>
      <c r="E2309" s="895"/>
      <c r="F2309" s="896" t="s">
        <v>999</v>
      </c>
      <c r="G2309" s="897" t="s">
        <v>62</v>
      </c>
      <c r="H2309" s="894">
        <f t="shared" si="58"/>
        <v>0</v>
      </c>
      <c r="I2309" s="1435"/>
      <c r="J2309" s="1446">
        <f t="shared" si="59"/>
        <v>0</v>
      </c>
      <c r="K2309" s="898">
        <v>14500</v>
      </c>
    </row>
    <row r="2310" spans="4:11" ht="22.8" hidden="1" customHeight="1">
      <c r="D2310" s="916">
        <v>45</v>
      </c>
      <c r="E2310" s="895"/>
      <c r="F2310" s="896" t="s">
        <v>1000</v>
      </c>
      <c r="G2310" s="897" t="s">
        <v>44</v>
      </c>
      <c r="H2310" s="894">
        <f t="shared" si="58"/>
        <v>0</v>
      </c>
      <c r="I2310" s="1435"/>
      <c r="J2310" s="1446">
        <f t="shared" si="59"/>
        <v>0</v>
      </c>
      <c r="K2310" s="898">
        <v>3900</v>
      </c>
    </row>
    <row r="2311" spans="4:11" ht="22.8" hidden="1" customHeight="1">
      <c r="D2311" s="916">
        <v>46</v>
      </c>
      <c r="E2311" s="895"/>
      <c r="F2311" s="896" t="s">
        <v>1001</v>
      </c>
      <c r="G2311" s="897" t="s">
        <v>106</v>
      </c>
      <c r="H2311" s="894">
        <f t="shared" si="58"/>
        <v>0</v>
      </c>
      <c r="I2311" s="1435"/>
      <c r="J2311" s="1446">
        <f t="shared" si="59"/>
        <v>0</v>
      </c>
      <c r="K2311" s="898">
        <v>710500</v>
      </c>
    </row>
    <row r="2312" spans="4:11" ht="22.8" hidden="1" customHeight="1">
      <c r="D2312" s="916">
        <v>47</v>
      </c>
      <c r="E2312" s="895"/>
      <c r="F2312" s="896" t="s">
        <v>1002</v>
      </c>
      <c r="G2312" s="897" t="s">
        <v>65</v>
      </c>
      <c r="H2312" s="894">
        <f t="shared" si="58"/>
        <v>0</v>
      </c>
      <c r="I2312" s="1435"/>
      <c r="J2312" s="1446">
        <f t="shared" si="59"/>
        <v>0</v>
      </c>
      <c r="K2312" s="898">
        <v>42500</v>
      </c>
    </row>
    <row r="2313" spans="4:11" ht="22.8" hidden="1" customHeight="1">
      <c r="D2313" s="916">
        <v>48</v>
      </c>
      <c r="E2313" s="895"/>
      <c r="F2313" s="896" t="s">
        <v>1003</v>
      </c>
      <c r="G2313" s="897" t="s">
        <v>65</v>
      </c>
      <c r="H2313" s="894">
        <f t="shared" si="58"/>
        <v>0</v>
      </c>
      <c r="I2313" s="1435"/>
      <c r="J2313" s="1446">
        <f t="shared" si="59"/>
        <v>0</v>
      </c>
      <c r="K2313" s="898">
        <v>145000</v>
      </c>
    </row>
    <row r="2314" spans="4:11" ht="22.8" hidden="1" customHeight="1">
      <c r="D2314" s="916">
        <v>49</v>
      </c>
      <c r="E2314" s="895"/>
      <c r="F2314" s="896" t="s">
        <v>1004</v>
      </c>
      <c r="G2314" s="897" t="s">
        <v>65</v>
      </c>
      <c r="H2314" s="894">
        <f t="shared" si="58"/>
        <v>0</v>
      </c>
      <c r="I2314" s="1435"/>
      <c r="J2314" s="1446">
        <f t="shared" si="59"/>
        <v>0</v>
      </c>
      <c r="K2314" s="898">
        <v>16400</v>
      </c>
    </row>
    <row r="2315" spans="4:11" ht="22.8" hidden="1" customHeight="1">
      <c r="D2315" s="916">
        <v>50</v>
      </c>
      <c r="E2315" s="895"/>
      <c r="F2315" s="896" t="s">
        <v>1005</v>
      </c>
      <c r="G2315" s="897" t="s">
        <v>65</v>
      </c>
      <c r="H2315" s="894">
        <f t="shared" si="58"/>
        <v>0</v>
      </c>
      <c r="I2315" s="1435"/>
      <c r="J2315" s="1446">
        <f t="shared" si="59"/>
        <v>0</v>
      </c>
      <c r="K2315" s="898">
        <v>36900</v>
      </c>
    </row>
    <row r="2316" spans="4:11" ht="22.8" hidden="1" customHeight="1">
      <c r="D2316" s="916">
        <v>51</v>
      </c>
      <c r="E2316" s="895"/>
      <c r="F2316" s="896" t="s">
        <v>2956</v>
      </c>
      <c r="G2316" s="897" t="s">
        <v>65</v>
      </c>
      <c r="H2316" s="894">
        <f t="shared" si="58"/>
        <v>0</v>
      </c>
      <c r="I2316" s="1435"/>
      <c r="J2316" s="1446">
        <f t="shared" si="59"/>
        <v>0</v>
      </c>
      <c r="K2316" s="898">
        <v>75000</v>
      </c>
    </row>
    <row r="2317" spans="4:11" ht="22.8" hidden="1" customHeight="1">
      <c r="D2317" s="916">
        <v>52</v>
      </c>
      <c r="E2317" s="895"/>
      <c r="F2317" s="896" t="s">
        <v>1006</v>
      </c>
      <c r="G2317" s="897" t="s">
        <v>44</v>
      </c>
      <c r="H2317" s="894">
        <f t="shared" si="58"/>
        <v>0</v>
      </c>
      <c r="I2317" s="1435"/>
      <c r="J2317" s="1446">
        <f t="shared" si="59"/>
        <v>0</v>
      </c>
      <c r="K2317" s="898">
        <v>1167200</v>
      </c>
    </row>
    <row r="2318" spans="4:11" ht="22.8" hidden="1" customHeight="1">
      <c r="D2318" s="916">
        <v>53</v>
      </c>
      <c r="E2318" s="895"/>
      <c r="F2318" s="896" t="s">
        <v>1007</v>
      </c>
      <c r="G2318" s="897" t="s">
        <v>44</v>
      </c>
      <c r="H2318" s="894">
        <f t="shared" si="58"/>
        <v>0</v>
      </c>
      <c r="I2318" s="1435"/>
      <c r="J2318" s="1446">
        <f t="shared" si="59"/>
        <v>0</v>
      </c>
      <c r="K2318" s="898">
        <v>140000</v>
      </c>
    </row>
    <row r="2319" spans="4:11" ht="22.8" hidden="1" customHeight="1">
      <c r="D2319" s="916">
        <v>54</v>
      </c>
      <c r="E2319" s="895"/>
      <c r="F2319" s="896" t="s">
        <v>1008</v>
      </c>
      <c r="G2319" s="897" t="s">
        <v>44</v>
      </c>
      <c r="H2319" s="894">
        <f t="shared" si="58"/>
        <v>0</v>
      </c>
      <c r="I2319" s="1435"/>
      <c r="J2319" s="1446">
        <f t="shared" si="59"/>
        <v>0</v>
      </c>
      <c r="K2319" s="898">
        <v>525200</v>
      </c>
    </row>
    <row r="2320" spans="4:11" ht="22.8" hidden="1" customHeight="1">
      <c r="D2320" s="916">
        <v>55</v>
      </c>
      <c r="E2320" s="895"/>
      <c r="F2320" s="896" t="s">
        <v>1009</v>
      </c>
      <c r="G2320" s="897" t="s">
        <v>44</v>
      </c>
      <c r="H2320" s="894">
        <f t="shared" si="58"/>
        <v>0</v>
      </c>
      <c r="I2320" s="1435"/>
      <c r="J2320" s="1446">
        <f t="shared" si="59"/>
        <v>0</v>
      </c>
      <c r="K2320" s="898">
        <v>817000</v>
      </c>
    </row>
    <row r="2321" spans="4:11" ht="22.8" hidden="1" customHeight="1">
      <c r="D2321" s="916">
        <v>56</v>
      </c>
      <c r="E2321" s="895"/>
      <c r="F2321" s="896" t="s">
        <v>1010</v>
      </c>
      <c r="G2321" s="897" t="s">
        <v>44</v>
      </c>
      <c r="H2321" s="894">
        <f t="shared" si="58"/>
        <v>0</v>
      </c>
      <c r="I2321" s="1435"/>
      <c r="J2321" s="1446">
        <f t="shared" si="59"/>
        <v>0</v>
      </c>
      <c r="K2321" s="898">
        <v>8000</v>
      </c>
    </row>
    <row r="2322" spans="4:11" ht="22.8" hidden="1" customHeight="1">
      <c r="D2322" s="916">
        <v>57</v>
      </c>
      <c r="E2322" s="895"/>
      <c r="F2322" s="896" t="s">
        <v>1011</v>
      </c>
      <c r="G2322" s="897" t="s">
        <v>553</v>
      </c>
      <c r="H2322" s="894">
        <f t="shared" si="58"/>
        <v>0</v>
      </c>
      <c r="I2322" s="1435"/>
      <c r="J2322" s="1446">
        <f t="shared" si="59"/>
        <v>0</v>
      </c>
      <c r="K2322" s="898">
        <v>99600</v>
      </c>
    </row>
    <row r="2323" spans="4:11" ht="22.8" hidden="1" customHeight="1">
      <c r="D2323" s="916">
        <v>58</v>
      </c>
      <c r="E2323" s="895"/>
      <c r="F2323" s="896" t="s">
        <v>1012</v>
      </c>
      <c r="G2323" s="897" t="s">
        <v>553</v>
      </c>
      <c r="H2323" s="894">
        <f t="shared" si="58"/>
        <v>0</v>
      </c>
      <c r="I2323" s="1435"/>
      <c r="J2323" s="1446">
        <f t="shared" si="59"/>
        <v>0</v>
      </c>
      <c r="K2323" s="898">
        <v>85600</v>
      </c>
    </row>
    <row r="2324" spans="4:11" ht="22.8" hidden="1" customHeight="1">
      <c r="D2324" s="916">
        <v>59</v>
      </c>
      <c r="E2324" s="895"/>
      <c r="F2324" s="896" t="s">
        <v>1013</v>
      </c>
      <c r="G2324" s="897" t="s">
        <v>553</v>
      </c>
      <c r="H2324" s="894">
        <f t="shared" si="58"/>
        <v>0</v>
      </c>
      <c r="I2324" s="1435"/>
      <c r="J2324" s="1446">
        <f t="shared" si="59"/>
        <v>0</v>
      </c>
      <c r="K2324" s="898">
        <v>82600</v>
      </c>
    </row>
    <row r="2325" spans="4:11" ht="22.8" customHeight="1">
      <c r="D2325" s="1429">
        <v>36</v>
      </c>
      <c r="E2325" s="895"/>
      <c r="F2325" s="896" t="s">
        <v>1014</v>
      </c>
      <c r="G2325" s="897" t="s">
        <v>65</v>
      </c>
      <c r="H2325" s="894">
        <f t="shared" si="58"/>
        <v>1687.5</v>
      </c>
      <c r="I2325" s="1435">
        <v>1875</v>
      </c>
      <c r="J2325" s="1446">
        <f t="shared" si="59"/>
        <v>1687.5</v>
      </c>
      <c r="K2325" s="898">
        <v>1850</v>
      </c>
    </row>
    <row r="2326" spans="4:11" ht="22.8" hidden="1" customHeight="1">
      <c r="D2326" s="916">
        <v>61</v>
      </c>
      <c r="E2326" s="895"/>
      <c r="F2326" s="896" t="s">
        <v>2802</v>
      </c>
      <c r="G2326" s="897" t="s">
        <v>65</v>
      </c>
      <c r="H2326" s="894">
        <f t="shared" si="58"/>
        <v>0</v>
      </c>
      <c r="I2326" s="1435"/>
      <c r="J2326" s="1446">
        <f t="shared" si="59"/>
        <v>0</v>
      </c>
      <c r="K2326" s="898">
        <v>5070</v>
      </c>
    </row>
    <row r="2327" spans="4:11" ht="22.8" hidden="1" customHeight="1">
      <c r="D2327" s="916">
        <v>62</v>
      </c>
      <c r="E2327" s="895"/>
      <c r="F2327" s="896" t="s">
        <v>1015</v>
      </c>
      <c r="G2327" s="897" t="s">
        <v>44</v>
      </c>
      <c r="H2327" s="894">
        <f t="shared" si="58"/>
        <v>0</v>
      </c>
      <c r="I2327" s="1435"/>
      <c r="J2327" s="1446">
        <f t="shared" si="59"/>
        <v>0</v>
      </c>
      <c r="K2327" s="898">
        <v>8700</v>
      </c>
    </row>
    <row r="2328" spans="4:11" ht="22.8" hidden="1" customHeight="1">
      <c r="D2328" s="916">
        <v>63</v>
      </c>
      <c r="E2328" s="895"/>
      <c r="F2328" s="896" t="s">
        <v>1016</v>
      </c>
      <c r="G2328" s="897" t="s">
        <v>981</v>
      </c>
      <c r="H2328" s="894">
        <f t="shared" si="58"/>
        <v>0</v>
      </c>
      <c r="I2328" s="1435"/>
      <c r="J2328" s="1446">
        <f t="shared" si="59"/>
        <v>0</v>
      </c>
      <c r="K2328" s="898">
        <v>515000</v>
      </c>
    </row>
    <row r="2329" spans="4:11" ht="22.8" hidden="1" customHeight="1">
      <c r="D2329" s="916">
        <v>64</v>
      </c>
      <c r="E2329" s="895"/>
      <c r="F2329" s="896" t="s">
        <v>1017</v>
      </c>
      <c r="G2329" s="897" t="s">
        <v>235</v>
      </c>
      <c r="H2329" s="894">
        <f t="shared" si="58"/>
        <v>0</v>
      </c>
      <c r="I2329" s="1435"/>
      <c r="J2329" s="1446">
        <f t="shared" si="59"/>
        <v>0</v>
      </c>
      <c r="K2329" s="898">
        <v>107070707</v>
      </c>
    </row>
    <row r="2330" spans="4:11" ht="22.8" hidden="1" customHeight="1">
      <c r="D2330" s="916">
        <v>65</v>
      </c>
      <c r="E2330" s="895"/>
      <c r="F2330" s="896" t="s">
        <v>1018</v>
      </c>
      <c r="G2330" s="897" t="s">
        <v>44</v>
      </c>
      <c r="H2330" s="894">
        <f t="shared" si="58"/>
        <v>0</v>
      </c>
      <c r="I2330" s="1435"/>
      <c r="J2330" s="1446">
        <f t="shared" si="59"/>
        <v>0</v>
      </c>
      <c r="K2330" s="898">
        <v>7000</v>
      </c>
    </row>
    <row r="2331" spans="4:11" ht="22.8" hidden="1" customHeight="1">
      <c r="D2331" s="916">
        <v>66</v>
      </c>
      <c r="E2331" s="895"/>
      <c r="F2331" s="896" t="s">
        <v>1019</v>
      </c>
      <c r="G2331" s="897" t="s">
        <v>65</v>
      </c>
      <c r="H2331" s="894">
        <f t="shared" si="58"/>
        <v>0</v>
      </c>
      <c r="I2331" s="1435"/>
      <c r="J2331" s="1446">
        <f t="shared" si="59"/>
        <v>0</v>
      </c>
      <c r="K2331" s="898">
        <v>36800</v>
      </c>
    </row>
    <row r="2332" spans="4:11" ht="22.8" hidden="1" customHeight="1">
      <c r="D2332" s="916">
        <v>67</v>
      </c>
      <c r="E2332" s="895"/>
      <c r="F2332" s="896" t="s">
        <v>1020</v>
      </c>
      <c r="G2332" s="897" t="s">
        <v>62</v>
      </c>
      <c r="H2332" s="894">
        <f t="shared" si="58"/>
        <v>0</v>
      </c>
      <c r="I2332" s="1435"/>
      <c r="J2332" s="1446">
        <f t="shared" si="59"/>
        <v>0</v>
      </c>
      <c r="K2332" s="898">
        <v>215000</v>
      </c>
    </row>
    <row r="2333" spans="4:11" ht="22.8" hidden="1" customHeight="1">
      <c r="D2333" s="916">
        <v>68</v>
      </c>
      <c r="E2333" s="895"/>
      <c r="F2333" s="896" t="s">
        <v>1021</v>
      </c>
      <c r="G2333" s="897" t="s">
        <v>135</v>
      </c>
      <c r="H2333" s="894">
        <f t="shared" si="58"/>
        <v>0</v>
      </c>
      <c r="I2333" s="1435"/>
      <c r="J2333" s="1446">
        <f t="shared" si="59"/>
        <v>0</v>
      </c>
      <c r="K2333" s="898">
        <v>4689300</v>
      </c>
    </row>
    <row r="2334" spans="4:11" ht="22.8" hidden="1" customHeight="1">
      <c r="D2334" s="916">
        <v>69</v>
      </c>
      <c r="E2334" s="895"/>
      <c r="F2334" s="896" t="s">
        <v>1022</v>
      </c>
      <c r="G2334" s="897" t="s">
        <v>659</v>
      </c>
      <c r="H2334" s="894">
        <f t="shared" si="58"/>
        <v>0</v>
      </c>
      <c r="I2334" s="1435"/>
      <c r="J2334" s="1446">
        <f t="shared" si="59"/>
        <v>0</v>
      </c>
      <c r="K2334" s="898">
        <v>94600</v>
      </c>
    </row>
    <row r="2335" spans="4:11" ht="22.8" hidden="1" customHeight="1">
      <c r="D2335" s="916">
        <v>70</v>
      </c>
      <c r="E2335" s="895"/>
      <c r="F2335" s="896" t="s">
        <v>1023</v>
      </c>
      <c r="G2335" s="897" t="s">
        <v>106</v>
      </c>
      <c r="H2335" s="894">
        <f t="shared" si="58"/>
        <v>0</v>
      </c>
      <c r="I2335" s="1435"/>
      <c r="J2335" s="1446">
        <f t="shared" si="59"/>
        <v>0</v>
      </c>
      <c r="K2335" s="898">
        <v>1152000</v>
      </c>
    </row>
    <row r="2336" spans="4:11" ht="22.8" hidden="1" customHeight="1">
      <c r="D2336" s="916">
        <v>71</v>
      </c>
      <c r="E2336" s="895"/>
      <c r="F2336" s="896" t="s">
        <v>1024</v>
      </c>
      <c r="G2336" s="897" t="s">
        <v>106</v>
      </c>
      <c r="H2336" s="894">
        <f t="shared" si="58"/>
        <v>0</v>
      </c>
      <c r="I2336" s="1435"/>
      <c r="J2336" s="1446">
        <f t="shared" si="59"/>
        <v>0</v>
      </c>
      <c r="K2336" s="898">
        <v>1253500</v>
      </c>
    </row>
    <row r="2337" spans="4:11" ht="22.8" hidden="1" customHeight="1">
      <c r="D2337" s="916">
        <v>72</v>
      </c>
      <c r="E2337" s="895"/>
      <c r="F2337" s="896" t="s">
        <v>1025</v>
      </c>
      <c r="G2337" s="897" t="s">
        <v>106</v>
      </c>
      <c r="H2337" s="894">
        <f t="shared" si="58"/>
        <v>0</v>
      </c>
      <c r="I2337" s="1435"/>
      <c r="J2337" s="1446">
        <f t="shared" si="59"/>
        <v>0</v>
      </c>
      <c r="K2337" s="898">
        <v>1598600</v>
      </c>
    </row>
    <row r="2338" spans="4:11" ht="22.8" hidden="1" customHeight="1">
      <c r="D2338" s="916">
        <v>73</v>
      </c>
      <c r="E2338" s="895"/>
      <c r="F2338" s="896" t="s">
        <v>1026</v>
      </c>
      <c r="G2338" s="897" t="s">
        <v>106</v>
      </c>
      <c r="H2338" s="894">
        <f t="shared" si="58"/>
        <v>0</v>
      </c>
      <c r="I2338" s="1435"/>
      <c r="J2338" s="1446">
        <f t="shared" si="59"/>
        <v>0</v>
      </c>
      <c r="K2338" s="898">
        <v>1877700</v>
      </c>
    </row>
    <row r="2339" spans="4:11" ht="22.8" hidden="1" customHeight="1">
      <c r="D2339" s="916">
        <v>74</v>
      </c>
      <c r="E2339" s="895"/>
      <c r="F2339" s="896" t="s">
        <v>1027</v>
      </c>
      <c r="G2339" s="897" t="s">
        <v>106</v>
      </c>
      <c r="H2339" s="894">
        <f t="shared" ref="H2339:H2363" si="60">J2339</f>
        <v>0</v>
      </c>
      <c r="I2339" s="1435"/>
      <c r="J2339" s="1446">
        <f t="shared" si="59"/>
        <v>0</v>
      </c>
      <c r="K2339" s="898">
        <v>2461300</v>
      </c>
    </row>
    <row r="2340" spans="4:11" ht="22.8" hidden="1" customHeight="1">
      <c r="D2340" s="916">
        <v>75</v>
      </c>
      <c r="E2340" s="895"/>
      <c r="F2340" s="896" t="s">
        <v>1028</v>
      </c>
      <c r="G2340" s="897" t="s">
        <v>106</v>
      </c>
      <c r="H2340" s="894">
        <f t="shared" si="60"/>
        <v>0</v>
      </c>
      <c r="I2340" s="1435"/>
      <c r="J2340" s="1446">
        <f t="shared" si="59"/>
        <v>0</v>
      </c>
      <c r="K2340" s="898">
        <v>3045000</v>
      </c>
    </row>
    <row r="2341" spans="4:11" ht="22.8" hidden="1" customHeight="1">
      <c r="D2341" s="916">
        <v>76</v>
      </c>
      <c r="E2341" s="895"/>
      <c r="F2341" s="896" t="s">
        <v>1029</v>
      </c>
      <c r="G2341" s="897" t="s">
        <v>106</v>
      </c>
      <c r="H2341" s="894">
        <f t="shared" si="60"/>
        <v>0</v>
      </c>
      <c r="I2341" s="1435"/>
      <c r="J2341" s="1446">
        <f t="shared" si="59"/>
        <v>0</v>
      </c>
      <c r="K2341" s="898">
        <v>4403200</v>
      </c>
    </row>
    <row r="2342" spans="4:11" ht="22.8" hidden="1" customHeight="1">
      <c r="D2342" s="916">
        <v>77</v>
      </c>
      <c r="E2342" s="895"/>
      <c r="F2342" s="896" t="s">
        <v>1030</v>
      </c>
      <c r="G2342" s="897" t="s">
        <v>44</v>
      </c>
      <c r="H2342" s="894">
        <f t="shared" si="60"/>
        <v>0</v>
      </c>
      <c r="I2342" s="1435"/>
      <c r="J2342" s="1446">
        <f t="shared" si="59"/>
        <v>0</v>
      </c>
      <c r="K2342" s="898">
        <v>15900</v>
      </c>
    </row>
    <row r="2343" spans="4:11" ht="22.8" hidden="1" customHeight="1">
      <c r="D2343" s="916">
        <v>78</v>
      </c>
      <c r="E2343" s="895"/>
      <c r="F2343" s="896" t="s">
        <v>1031</v>
      </c>
      <c r="G2343" s="897" t="s">
        <v>235</v>
      </c>
      <c r="H2343" s="894">
        <f t="shared" si="60"/>
        <v>0</v>
      </c>
      <c r="I2343" s="1435"/>
      <c r="J2343" s="1446">
        <f t="shared" si="59"/>
        <v>0</v>
      </c>
      <c r="K2343" s="898">
        <v>120000</v>
      </c>
    </row>
    <row r="2344" spans="4:11" ht="22.8" hidden="1" customHeight="1">
      <c r="D2344" s="916">
        <v>79</v>
      </c>
      <c r="E2344" s="895"/>
      <c r="F2344" s="896" t="s">
        <v>1032</v>
      </c>
      <c r="G2344" s="897" t="s">
        <v>44</v>
      </c>
      <c r="H2344" s="894">
        <f t="shared" si="60"/>
        <v>0</v>
      </c>
      <c r="I2344" s="1435"/>
      <c r="J2344" s="1446">
        <f t="shared" si="59"/>
        <v>0</v>
      </c>
      <c r="K2344" s="898">
        <v>3200</v>
      </c>
    </row>
    <row r="2345" spans="4:11" ht="22.8" hidden="1" customHeight="1">
      <c r="D2345" s="916">
        <v>80</v>
      </c>
      <c r="E2345" s="895"/>
      <c r="F2345" s="896" t="s">
        <v>1033</v>
      </c>
      <c r="G2345" s="897" t="s">
        <v>630</v>
      </c>
      <c r="H2345" s="894">
        <f t="shared" si="60"/>
        <v>0</v>
      </c>
      <c r="I2345" s="1435"/>
      <c r="J2345" s="1446">
        <f t="shared" si="59"/>
        <v>0</v>
      </c>
      <c r="K2345" s="898">
        <v>174100</v>
      </c>
    </row>
    <row r="2346" spans="4:11" ht="22.8" hidden="1" customHeight="1">
      <c r="D2346" s="916">
        <v>81</v>
      </c>
      <c r="E2346" s="895"/>
      <c r="F2346" s="896" t="s">
        <v>629</v>
      </c>
      <c r="G2346" s="897" t="s">
        <v>44</v>
      </c>
      <c r="H2346" s="894">
        <f t="shared" si="60"/>
        <v>0</v>
      </c>
      <c r="I2346" s="1435"/>
      <c r="J2346" s="1446">
        <f t="shared" si="59"/>
        <v>0</v>
      </c>
      <c r="K2346" s="898">
        <v>243700</v>
      </c>
    </row>
    <row r="2347" spans="4:11" ht="22.8" hidden="1" customHeight="1">
      <c r="D2347" s="916">
        <v>82</v>
      </c>
      <c r="E2347" s="895"/>
      <c r="F2347" s="896" t="s">
        <v>1034</v>
      </c>
      <c r="G2347" s="897" t="s">
        <v>106</v>
      </c>
      <c r="H2347" s="894">
        <f t="shared" si="60"/>
        <v>0</v>
      </c>
      <c r="I2347" s="1435"/>
      <c r="J2347" s="1446">
        <f t="shared" si="59"/>
        <v>0</v>
      </c>
      <c r="K2347" s="898">
        <v>33900</v>
      </c>
    </row>
    <row r="2348" spans="4:11" ht="22.8" hidden="1" customHeight="1">
      <c r="D2348" s="916">
        <v>83</v>
      </c>
      <c r="E2348" s="895"/>
      <c r="F2348" s="896" t="s">
        <v>1034</v>
      </c>
      <c r="G2348" s="897" t="s">
        <v>1300</v>
      </c>
      <c r="H2348" s="894">
        <f t="shared" si="60"/>
        <v>0</v>
      </c>
      <c r="I2348" s="1435"/>
      <c r="J2348" s="1446">
        <f t="shared" si="59"/>
        <v>0</v>
      </c>
      <c r="K2348" s="898">
        <v>6000</v>
      </c>
    </row>
    <row r="2349" spans="4:11" ht="22.8" hidden="1" customHeight="1">
      <c r="D2349" s="916">
        <v>84</v>
      </c>
      <c r="E2349" s="895"/>
      <c r="F2349" s="896" t="s">
        <v>1035</v>
      </c>
      <c r="G2349" s="897" t="s">
        <v>44</v>
      </c>
      <c r="H2349" s="894">
        <f t="shared" si="60"/>
        <v>0</v>
      </c>
      <c r="I2349" s="1435"/>
      <c r="J2349" s="1446">
        <f t="shared" si="59"/>
        <v>0</v>
      </c>
      <c r="K2349" s="898">
        <v>11300</v>
      </c>
    </row>
    <row r="2350" spans="4:11" ht="22.8" hidden="1" customHeight="1">
      <c r="D2350" s="916">
        <v>85</v>
      </c>
      <c r="E2350" s="895"/>
      <c r="F2350" s="896" t="s">
        <v>1036</v>
      </c>
      <c r="G2350" s="897" t="s">
        <v>44</v>
      </c>
      <c r="H2350" s="894">
        <f t="shared" si="60"/>
        <v>0</v>
      </c>
      <c r="I2350" s="1435"/>
      <c r="J2350" s="1446">
        <f t="shared" si="59"/>
        <v>0</v>
      </c>
      <c r="K2350" s="898">
        <v>19300</v>
      </c>
    </row>
    <row r="2351" spans="4:11" ht="22.8" hidden="1" customHeight="1">
      <c r="D2351" s="916">
        <v>86</v>
      </c>
      <c r="E2351" s="895"/>
      <c r="F2351" s="896" t="s">
        <v>1037</v>
      </c>
      <c r="G2351" s="897" t="s">
        <v>44</v>
      </c>
      <c r="H2351" s="894">
        <f t="shared" si="60"/>
        <v>0</v>
      </c>
      <c r="I2351" s="1435"/>
      <c r="J2351" s="1446">
        <f t="shared" si="59"/>
        <v>0</v>
      </c>
      <c r="K2351" s="898">
        <v>19800</v>
      </c>
    </row>
    <row r="2352" spans="4:11" ht="22.8" hidden="1" customHeight="1">
      <c r="D2352" s="916">
        <v>87</v>
      </c>
      <c r="E2352" s="895"/>
      <c r="F2352" s="896" t="s">
        <v>1038</v>
      </c>
      <c r="G2352" s="897" t="s">
        <v>44</v>
      </c>
      <c r="H2352" s="894">
        <f t="shared" si="60"/>
        <v>0</v>
      </c>
      <c r="I2352" s="1435"/>
      <c r="J2352" s="1446">
        <f t="shared" si="59"/>
        <v>0</v>
      </c>
      <c r="K2352" s="898">
        <v>13100</v>
      </c>
    </row>
    <row r="2353" spans="4:11" ht="22.8" hidden="1" customHeight="1">
      <c r="D2353" s="916">
        <v>88</v>
      </c>
      <c r="E2353" s="895"/>
      <c r="F2353" s="896" t="s">
        <v>1039</v>
      </c>
      <c r="G2353" s="897" t="s">
        <v>44</v>
      </c>
      <c r="H2353" s="894">
        <f t="shared" si="60"/>
        <v>0</v>
      </c>
      <c r="I2353" s="1435"/>
      <c r="J2353" s="1446">
        <f t="shared" si="59"/>
        <v>0</v>
      </c>
      <c r="K2353" s="898">
        <v>16500</v>
      </c>
    </row>
    <row r="2354" spans="4:11" ht="22.8" hidden="1" customHeight="1">
      <c r="D2354" s="916">
        <v>89</v>
      </c>
      <c r="E2354" s="895"/>
      <c r="F2354" s="896" t="s">
        <v>1040</v>
      </c>
      <c r="G2354" s="897" t="s">
        <v>44</v>
      </c>
      <c r="H2354" s="894">
        <f t="shared" si="60"/>
        <v>0</v>
      </c>
      <c r="I2354" s="1435"/>
      <c r="J2354" s="1446">
        <f t="shared" si="59"/>
        <v>0</v>
      </c>
      <c r="K2354" s="898">
        <v>20500</v>
      </c>
    </row>
    <row r="2355" spans="4:11" ht="22.8" hidden="1" customHeight="1">
      <c r="D2355" s="916">
        <v>90</v>
      </c>
      <c r="E2355" s="895"/>
      <c r="F2355" s="896" t="s">
        <v>1041</v>
      </c>
      <c r="G2355" s="897" t="s">
        <v>44</v>
      </c>
      <c r="H2355" s="894">
        <f t="shared" si="60"/>
        <v>0</v>
      </c>
      <c r="I2355" s="1435"/>
      <c r="J2355" s="1446">
        <f t="shared" si="59"/>
        <v>0</v>
      </c>
      <c r="K2355" s="898">
        <v>21500</v>
      </c>
    </row>
    <row r="2356" spans="4:11" ht="22.8" hidden="1" customHeight="1">
      <c r="D2356" s="916">
        <v>91</v>
      </c>
      <c r="E2356" s="895"/>
      <c r="F2356" s="896" t="s">
        <v>1042</v>
      </c>
      <c r="G2356" s="897" t="s">
        <v>44</v>
      </c>
      <c r="H2356" s="894">
        <f t="shared" si="60"/>
        <v>0</v>
      </c>
      <c r="I2356" s="1435"/>
      <c r="J2356" s="1446">
        <f t="shared" si="59"/>
        <v>0</v>
      </c>
      <c r="K2356" s="898">
        <v>149300</v>
      </c>
    </row>
    <row r="2357" spans="4:11" ht="22.8" hidden="1" customHeight="1">
      <c r="D2357" s="916">
        <v>92</v>
      </c>
      <c r="E2357" s="895"/>
      <c r="F2357" s="896" t="s">
        <v>1043</v>
      </c>
      <c r="G2357" s="897" t="s">
        <v>1044</v>
      </c>
      <c r="H2357" s="894">
        <f t="shared" si="60"/>
        <v>0</v>
      </c>
      <c r="I2357" s="1435"/>
      <c r="J2357" s="1446">
        <f t="shared" si="59"/>
        <v>0</v>
      </c>
      <c r="K2357" s="898">
        <v>19400</v>
      </c>
    </row>
    <row r="2358" spans="4:11" ht="22.8" hidden="1" customHeight="1">
      <c r="D2358" s="916">
        <v>93</v>
      </c>
      <c r="E2358" s="895"/>
      <c r="F2358" s="896" t="s">
        <v>1045</v>
      </c>
      <c r="G2358" s="897" t="s">
        <v>659</v>
      </c>
      <c r="H2358" s="894">
        <f t="shared" si="60"/>
        <v>0</v>
      </c>
      <c r="I2358" s="1435"/>
      <c r="J2358" s="1446">
        <f t="shared" si="59"/>
        <v>0</v>
      </c>
      <c r="K2358" s="898">
        <v>549300</v>
      </c>
    </row>
    <row r="2359" spans="4:11" ht="22.8" hidden="1" customHeight="1">
      <c r="D2359" s="916">
        <v>94</v>
      </c>
      <c r="E2359" s="895"/>
      <c r="F2359" s="896" t="s">
        <v>1046</v>
      </c>
      <c r="G2359" s="897" t="s">
        <v>659</v>
      </c>
      <c r="H2359" s="894">
        <f t="shared" si="60"/>
        <v>0</v>
      </c>
      <c r="I2359" s="1435"/>
      <c r="J2359" s="1446">
        <f t="shared" si="59"/>
        <v>0</v>
      </c>
      <c r="K2359" s="898">
        <v>1137800</v>
      </c>
    </row>
    <row r="2360" spans="4:11" ht="22.8" hidden="1" customHeight="1">
      <c r="D2360" s="916">
        <v>95</v>
      </c>
      <c r="E2360" s="895"/>
      <c r="F2360" s="896" t="s">
        <v>1047</v>
      </c>
      <c r="G2360" s="897" t="s">
        <v>1048</v>
      </c>
      <c r="H2360" s="894">
        <f t="shared" si="60"/>
        <v>0</v>
      </c>
      <c r="I2360" s="1435"/>
      <c r="J2360" s="1446">
        <f t="shared" si="59"/>
        <v>0</v>
      </c>
      <c r="K2360" s="898">
        <v>33100</v>
      </c>
    </row>
    <row r="2361" spans="4:11" ht="22.8" hidden="1" customHeight="1">
      <c r="D2361" s="916">
        <v>96</v>
      </c>
      <c r="E2361" s="895"/>
      <c r="F2361" s="896" t="s">
        <v>1047</v>
      </c>
      <c r="G2361" s="897" t="s">
        <v>1048</v>
      </c>
      <c r="H2361" s="894">
        <f t="shared" si="60"/>
        <v>0</v>
      </c>
      <c r="I2361" s="1435"/>
      <c r="J2361" s="1446">
        <f t="shared" si="59"/>
        <v>0</v>
      </c>
      <c r="K2361" s="898">
        <v>33500</v>
      </c>
    </row>
    <row r="2362" spans="4:11" ht="22.8" hidden="1" customHeight="1">
      <c r="D2362" s="916">
        <v>97</v>
      </c>
      <c r="E2362" s="895"/>
      <c r="F2362" s="896" t="s">
        <v>1049</v>
      </c>
      <c r="G2362" s="897" t="s">
        <v>65</v>
      </c>
      <c r="H2362" s="894">
        <f t="shared" si="60"/>
        <v>0</v>
      </c>
      <c r="I2362" s="1435"/>
      <c r="J2362" s="1446">
        <f t="shared" si="59"/>
        <v>0</v>
      </c>
      <c r="K2362" s="898">
        <v>32100</v>
      </c>
    </row>
    <row r="2363" spans="4:11" ht="22.8" customHeight="1">
      <c r="D2363" s="1423">
        <v>108</v>
      </c>
      <c r="E2363" s="895"/>
      <c r="F2363" s="896" t="s">
        <v>1050</v>
      </c>
      <c r="G2363" s="897" t="s">
        <v>44</v>
      </c>
      <c r="H2363" s="894">
        <f t="shared" si="60"/>
        <v>9000</v>
      </c>
      <c r="I2363" s="1435">
        <v>10000</v>
      </c>
      <c r="J2363" s="1446">
        <f t="shared" si="59"/>
        <v>9000</v>
      </c>
      <c r="K2363" s="898">
        <v>5700</v>
      </c>
    </row>
    <row r="2364" spans="4:11" ht="22.8" hidden="1" customHeight="1">
      <c r="D2364" s="916">
        <v>99</v>
      </c>
      <c r="E2364" s="895"/>
      <c r="F2364" s="896" t="s">
        <v>1051</v>
      </c>
      <c r="G2364" s="897" t="s">
        <v>981</v>
      </c>
      <c r="H2364" s="894">
        <f t="shared" ref="H2364:H2402" si="61">I2364</f>
        <v>0</v>
      </c>
      <c r="I2364" s="1435"/>
      <c r="J2364" s="1446">
        <f t="shared" si="59"/>
        <v>0</v>
      </c>
      <c r="K2364" s="898">
        <v>163900</v>
      </c>
    </row>
    <row r="2365" spans="4:11" ht="22.8" hidden="1" customHeight="1">
      <c r="D2365" s="916">
        <v>100</v>
      </c>
      <c r="E2365" s="895"/>
      <c r="F2365" s="896" t="s">
        <v>1052</v>
      </c>
      <c r="G2365" s="897" t="s">
        <v>44</v>
      </c>
      <c r="H2365" s="894">
        <f t="shared" si="61"/>
        <v>0</v>
      </c>
      <c r="I2365" s="1435"/>
      <c r="J2365" s="1446">
        <f t="shared" si="59"/>
        <v>0</v>
      </c>
      <c r="K2365" s="898">
        <v>3605000</v>
      </c>
    </row>
    <row r="2366" spans="4:11" ht="22.8" hidden="1" customHeight="1">
      <c r="D2366" s="916">
        <v>101</v>
      </c>
      <c r="E2366" s="895"/>
      <c r="F2366" s="896" t="s">
        <v>1053</v>
      </c>
      <c r="G2366" s="897" t="s">
        <v>44</v>
      </c>
      <c r="H2366" s="894">
        <f t="shared" si="61"/>
        <v>0</v>
      </c>
      <c r="I2366" s="1435"/>
      <c r="J2366" s="1446">
        <f t="shared" si="59"/>
        <v>0</v>
      </c>
      <c r="K2366" s="898">
        <v>5150000</v>
      </c>
    </row>
    <row r="2367" spans="4:11" ht="22.8" hidden="1" customHeight="1">
      <c r="D2367" s="916">
        <v>102</v>
      </c>
      <c r="E2367" s="895"/>
      <c r="F2367" s="896" t="s">
        <v>1054</v>
      </c>
      <c r="G2367" s="897" t="s">
        <v>44</v>
      </c>
      <c r="H2367" s="894">
        <f t="shared" si="61"/>
        <v>0</v>
      </c>
      <c r="I2367" s="1435"/>
      <c r="J2367" s="1446">
        <f t="shared" si="59"/>
        <v>0</v>
      </c>
      <c r="K2367" s="898">
        <v>9785000</v>
      </c>
    </row>
    <row r="2368" spans="4:11" ht="22.8" hidden="1" customHeight="1">
      <c r="D2368" s="916">
        <v>103</v>
      </c>
      <c r="E2368" s="895"/>
      <c r="F2368" s="896" t="s">
        <v>1055</v>
      </c>
      <c r="G2368" s="897" t="s">
        <v>44</v>
      </c>
      <c r="H2368" s="894">
        <f t="shared" si="61"/>
        <v>0</v>
      </c>
      <c r="I2368" s="1435"/>
      <c r="J2368" s="1446">
        <f t="shared" ref="J2368:J2431" si="62">I2368-(I2368*10%)</f>
        <v>0</v>
      </c>
      <c r="K2368" s="898">
        <v>2629500</v>
      </c>
    </row>
    <row r="2369" spans="4:11" ht="22.8" hidden="1" customHeight="1">
      <c r="D2369" s="916">
        <v>104</v>
      </c>
      <c r="E2369" s="895"/>
      <c r="F2369" s="896" t="s">
        <v>1056</v>
      </c>
      <c r="G2369" s="897" t="s">
        <v>129</v>
      </c>
      <c r="H2369" s="894">
        <f t="shared" si="61"/>
        <v>0</v>
      </c>
      <c r="I2369" s="1435"/>
      <c r="J2369" s="1446">
        <f t="shared" si="62"/>
        <v>0</v>
      </c>
      <c r="K2369" s="898">
        <v>19100</v>
      </c>
    </row>
    <row r="2370" spans="4:11" ht="22.8" hidden="1" customHeight="1">
      <c r="D2370" s="916">
        <v>105</v>
      </c>
      <c r="E2370" s="895"/>
      <c r="F2370" s="896" t="s">
        <v>1057</v>
      </c>
      <c r="G2370" s="897" t="s">
        <v>135</v>
      </c>
      <c r="H2370" s="894">
        <f t="shared" si="61"/>
        <v>0</v>
      </c>
      <c r="I2370" s="1435"/>
      <c r="J2370" s="1446">
        <f t="shared" si="62"/>
        <v>0</v>
      </c>
      <c r="K2370" s="898">
        <v>1987300</v>
      </c>
    </row>
    <row r="2371" spans="4:11" ht="22.8" hidden="1" customHeight="1">
      <c r="D2371" s="916">
        <v>106</v>
      </c>
      <c r="E2371" s="895"/>
      <c r="F2371" s="896" t="s">
        <v>6581</v>
      </c>
      <c r="G2371" s="897" t="s">
        <v>2167</v>
      </c>
      <c r="H2371" s="894">
        <f t="shared" si="61"/>
        <v>0</v>
      </c>
      <c r="I2371" s="1435"/>
      <c r="J2371" s="1446">
        <f t="shared" si="62"/>
        <v>0</v>
      </c>
      <c r="K2371" s="898">
        <v>1500000</v>
      </c>
    </row>
    <row r="2372" spans="4:11" ht="22.8" hidden="1" customHeight="1">
      <c r="D2372" s="916">
        <v>107</v>
      </c>
      <c r="E2372" s="895"/>
      <c r="F2372" s="896" t="s">
        <v>1058</v>
      </c>
      <c r="G2372" s="897" t="s">
        <v>135</v>
      </c>
      <c r="H2372" s="894">
        <f t="shared" si="61"/>
        <v>0</v>
      </c>
      <c r="I2372" s="1435"/>
      <c r="J2372" s="1446">
        <f t="shared" si="62"/>
        <v>0</v>
      </c>
      <c r="K2372" s="898">
        <v>2389300</v>
      </c>
    </row>
    <row r="2373" spans="4:11" ht="22.8" hidden="1" customHeight="1">
      <c r="D2373" s="916">
        <v>108</v>
      </c>
      <c r="E2373" s="895"/>
      <c r="F2373" s="896" t="s">
        <v>1059</v>
      </c>
      <c r="G2373" s="897" t="s">
        <v>44</v>
      </c>
      <c r="H2373" s="894">
        <f t="shared" si="61"/>
        <v>0</v>
      </c>
      <c r="I2373" s="1435"/>
      <c r="J2373" s="1446">
        <f t="shared" si="62"/>
        <v>0</v>
      </c>
      <c r="K2373" s="898">
        <v>1600</v>
      </c>
    </row>
    <row r="2374" spans="4:11" ht="22.8" hidden="1" customHeight="1">
      <c r="D2374" s="916">
        <v>109</v>
      </c>
      <c r="E2374" s="895"/>
      <c r="F2374" s="896" t="s">
        <v>1060</v>
      </c>
      <c r="G2374" s="897" t="s">
        <v>65</v>
      </c>
      <c r="H2374" s="894">
        <f t="shared" si="61"/>
        <v>0</v>
      </c>
      <c r="I2374" s="1435"/>
      <c r="J2374" s="1446">
        <f t="shared" si="62"/>
        <v>0</v>
      </c>
      <c r="K2374" s="898">
        <v>17900</v>
      </c>
    </row>
    <row r="2375" spans="4:11" ht="22.8" hidden="1" customHeight="1">
      <c r="D2375" s="916">
        <v>110</v>
      </c>
      <c r="E2375" s="895"/>
      <c r="F2375" s="896" t="s">
        <v>1061</v>
      </c>
      <c r="G2375" s="897" t="s">
        <v>65</v>
      </c>
      <c r="H2375" s="894">
        <f t="shared" si="61"/>
        <v>0</v>
      </c>
      <c r="I2375" s="1435"/>
      <c r="J2375" s="1446">
        <f t="shared" si="62"/>
        <v>0</v>
      </c>
      <c r="K2375" s="898">
        <v>40000</v>
      </c>
    </row>
    <row r="2376" spans="4:11" ht="22.8" hidden="1" customHeight="1">
      <c r="D2376" s="916">
        <v>111</v>
      </c>
      <c r="E2376" s="895"/>
      <c r="F2376" s="896" t="s">
        <v>1062</v>
      </c>
      <c r="G2376" s="897" t="s">
        <v>65</v>
      </c>
      <c r="H2376" s="894">
        <f t="shared" si="61"/>
        <v>0</v>
      </c>
      <c r="I2376" s="1435"/>
      <c r="J2376" s="1446">
        <f t="shared" si="62"/>
        <v>0</v>
      </c>
      <c r="K2376" s="898">
        <v>8200</v>
      </c>
    </row>
    <row r="2377" spans="4:11" ht="22.8" hidden="1" customHeight="1">
      <c r="D2377" s="916">
        <v>112</v>
      </c>
      <c r="E2377" s="895"/>
      <c r="F2377" s="896" t="s">
        <v>5560</v>
      </c>
      <c r="G2377" s="897" t="s">
        <v>113</v>
      </c>
      <c r="H2377" s="894">
        <f t="shared" si="61"/>
        <v>0</v>
      </c>
      <c r="I2377" s="1435"/>
      <c r="J2377" s="1446">
        <f t="shared" si="62"/>
        <v>0</v>
      </c>
      <c r="K2377" s="898">
        <v>200</v>
      </c>
    </row>
    <row r="2378" spans="4:11" ht="22.8" hidden="1" customHeight="1">
      <c r="D2378" s="916">
        <v>113</v>
      </c>
      <c r="E2378" s="895"/>
      <c r="F2378" s="896" t="s">
        <v>1063</v>
      </c>
      <c r="G2378" s="897" t="s">
        <v>62</v>
      </c>
      <c r="H2378" s="894">
        <f t="shared" si="61"/>
        <v>0</v>
      </c>
      <c r="I2378" s="1435"/>
      <c r="J2378" s="1446">
        <f t="shared" si="62"/>
        <v>0</v>
      </c>
      <c r="K2378" s="898">
        <v>12000</v>
      </c>
    </row>
    <row r="2379" spans="4:11" ht="22.8" hidden="1" customHeight="1">
      <c r="D2379" s="916">
        <v>114</v>
      </c>
      <c r="E2379" s="895"/>
      <c r="F2379" s="896" t="s">
        <v>1064</v>
      </c>
      <c r="G2379" s="897" t="s">
        <v>44</v>
      </c>
      <c r="H2379" s="894">
        <f t="shared" si="61"/>
        <v>0</v>
      </c>
      <c r="I2379" s="1435"/>
      <c r="J2379" s="1446">
        <f t="shared" si="62"/>
        <v>0</v>
      </c>
      <c r="K2379" s="898">
        <v>1429100</v>
      </c>
    </row>
    <row r="2380" spans="4:11" ht="22.8" hidden="1" customHeight="1">
      <c r="D2380" s="916">
        <v>115</v>
      </c>
      <c r="E2380" s="895"/>
      <c r="F2380" s="896" t="s">
        <v>1065</v>
      </c>
      <c r="G2380" s="897" t="s">
        <v>62</v>
      </c>
      <c r="H2380" s="894">
        <f t="shared" si="61"/>
        <v>0</v>
      </c>
      <c r="I2380" s="1435"/>
      <c r="J2380" s="1446">
        <f t="shared" si="62"/>
        <v>0</v>
      </c>
      <c r="K2380" s="898">
        <v>7400</v>
      </c>
    </row>
    <row r="2381" spans="4:11" ht="22.8" hidden="1" customHeight="1">
      <c r="D2381" s="916">
        <v>116</v>
      </c>
      <c r="E2381" s="895"/>
      <c r="F2381" s="896" t="s">
        <v>1066</v>
      </c>
      <c r="G2381" s="897" t="s">
        <v>113</v>
      </c>
      <c r="H2381" s="894">
        <f t="shared" si="61"/>
        <v>0</v>
      </c>
      <c r="I2381" s="1435"/>
      <c r="J2381" s="1446">
        <f t="shared" si="62"/>
        <v>0</v>
      </c>
      <c r="K2381" s="898">
        <v>13500</v>
      </c>
    </row>
    <row r="2382" spans="4:11" ht="22.8" hidden="1" customHeight="1">
      <c r="D2382" s="916">
        <v>117</v>
      </c>
      <c r="E2382" s="895"/>
      <c r="F2382" s="896" t="s">
        <v>1067</v>
      </c>
      <c r="G2382" s="897" t="s">
        <v>113</v>
      </c>
      <c r="H2382" s="894">
        <f t="shared" si="61"/>
        <v>0</v>
      </c>
      <c r="I2382" s="1435"/>
      <c r="J2382" s="1446">
        <f t="shared" si="62"/>
        <v>0</v>
      </c>
      <c r="K2382" s="898">
        <v>75000</v>
      </c>
    </row>
    <row r="2383" spans="4:11" ht="22.8" hidden="1" customHeight="1">
      <c r="D2383" s="916">
        <v>118</v>
      </c>
      <c r="E2383" s="895"/>
      <c r="F2383" s="896" t="s">
        <v>1068</v>
      </c>
      <c r="G2383" s="897" t="s">
        <v>113</v>
      </c>
      <c r="H2383" s="894">
        <f t="shared" si="61"/>
        <v>0</v>
      </c>
      <c r="I2383" s="1435"/>
      <c r="J2383" s="1446">
        <f t="shared" si="62"/>
        <v>0</v>
      </c>
      <c r="K2383" s="898">
        <v>94000</v>
      </c>
    </row>
    <row r="2384" spans="4:11" ht="22.8" hidden="1" customHeight="1">
      <c r="D2384" s="916">
        <v>119</v>
      </c>
      <c r="E2384" s="895"/>
      <c r="F2384" s="896" t="s">
        <v>1069</v>
      </c>
      <c r="G2384" s="897" t="s">
        <v>113</v>
      </c>
      <c r="H2384" s="894">
        <f t="shared" si="61"/>
        <v>0</v>
      </c>
      <c r="I2384" s="1435"/>
      <c r="J2384" s="1446">
        <f t="shared" si="62"/>
        <v>0</v>
      </c>
      <c r="K2384" s="898">
        <v>136000</v>
      </c>
    </row>
    <row r="2385" spans="4:11" ht="22.8" hidden="1" customHeight="1">
      <c r="D2385" s="916">
        <v>120</v>
      </c>
      <c r="E2385" s="895"/>
      <c r="F2385" s="896" t="s">
        <v>1070</v>
      </c>
      <c r="G2385" s="897" t="s">
        <v>65</v>
      </c>
      <c r="H2385" s="894">
        <f t="shared" si="61"/>
        <v>0</v>
      </c>
      <c r="I2385" s="1435"/>
      <c r="J2385" s="1446">
        <f t="shared" si="62"/>
        <v>0</v>
      </c>
      <c r="K2385" s="898">
        <v>130000</v>
      </c>
    </row>
    <row r="2386" spans="4:11" ht="22.8" hidden="1" customHeight="1">
      <c r="D2386" s="916">
        <v>121</v>
      </c>
      <c r="E2386" s="895"/>
      <c r="F2386" s="896" t="s">
        <v>4407</v>
      </c>
      <c r="G2386" s="897" t="s">
        <v>62</v>
      </c>
      <c r="H2386" s="894">
        <f t="shared" si="61"/>
        <v>0</v>
      </c>
      <c r="I2386" s="1435"/>
      <c r="J2386" s="1446">
        <f t="shared" si="62"/>
        <v>0</v>
      </c>
      <c r="K2386" s="898">
        <v>70000</v>
      </c>
    </row>
    <row r="2387" spans="4:11" ht="22.8" hidden="1" customHeight="1">
      <c r="D2387" s="916">
        <v>122</v>
      </c>
      <c r="E2387" s="895"/>
      <c r="F2387" s="896" t="s">
        <v>4406</v>
      </c>
      <c r="G2387" s="897" t="s">
        <v>42</v>
      </c>
      <c r="H2387" s="894">
        <f t="shared" si="61"/>
        <v>0</v>
      </c>
      <c r="I2387" s="1435"/>
      <c r="J2387" s="1446">
        <f t="shared" si="62"/>
        <v>0</v>
      </c>
      <c r="K2387" s="898">
        <v>300000</v>
      </c>
    </row>
    <row r="2388" spans="4:11" ht="22.8" hidden="1" customHeight="1">
      <c r="D2388" s="916">
        <v>123</v>
      </c>
      <c r="E2388" s="895"/>
      <c r="F2388" s="896" t="s">
        <v>4410</v>
      </c>
      <c r="G2388" s="897" t="s">
        <v>62</v>
      </c>
      <c r="H2388" s="894">
        <f t="shared" si="61"/>
        <v>0</v>
      </c>
      <c r="I2388" s="1435"/>
      <c r="J2388" s="1446">
        <f t="shared" si="62"/>
        <v>0</v>
      </c>
      <c r="K2388" s="898">
        <v>82000</v>
      </c>
    </row>
    <row r="2389" spans="4:11" ht="22.8" hidden="1" customHeight="1">
      <c r="D2389" s="916">
        <v>124</v>
      </c>
      <c r="E2389" s="895"/>
      <c r="F2389" s="896" t="s">
        <v>4419</v>
      </c>
      <c r="G2389" s="897" t="s">
        <v>62</v>
      </c>
      <c r="H2389" s="894">
        <f t="shared" si="61"/>
        <v>0</v>
      </c>
      <c r="I2389" s="1435"/>
      <c r="J2389" s="1446">
        <f t="shared" si="62"/>
        <v>0</v>
      </c>
      <c r="K2389" s="898">
        <v>85000</v>
      </c>
    </row>
    <row r="2390" spans="4:11" ht="22.8" hidden="1" customHeight="1">
      <c r="D2390" s="916">
        <v>125</v>
      </c>
      <c r="E2390" s="895"/>
      <c r="F2390" s="896" t="s">
        <v>4422</v>
      </c>
      <c r="G2390" s="897" t="s">
        <v>62</v>
      </c>
      <c r="H2390" s="894">
        <f t="shared" si="61"/>
        <v>0</v>
      </c>
      <c r="I2390" s="1435"/>
      <c r="J2390" s="1446">
        <f t="shared" si="62"/>
        <v>0</v>
      </c>
      <c r="K2390" s="898">
        <v>97000</v>
      </c>
    </row>
    <row r="2391" spans="4:11" ht="22.8" hidden="1" customHeight="1">
      <c r="D2391" s="916">
        <v>126</v>
      </c>
      <c r="E2391" s="895"/>
      <c r="F2391" s="896" t="s">
        <v>5186</v>
      </c>
      <c r="G2391" s="897" t="s">
        <v>1300</v>
      </c>
      <c r="H2391" s="894">
        <f t="shared" si="61"/>
        <v>0</v>
      </c>
      <c r="I2391" s="1435"/>
      <c r="J2391" s="1446">
        <f t="shared" si="62"/>
        <v>0</v>
      </c>
      <c r="K2391" s="898">
        <v>8570</v>
      </c>
    </row>
    <row r="2392" spans="4:11" ht="22.8" hidden="1" customHeight="1">
      <c r="D2392" s="916">
        <v>127</v>
      </c>
      <c r="E2392" s="895"/>
      <c r="F2392" s="896" t="s">
        <v>5187</v>
      </c>
      <c r="G2392" s="897" t="s">
        <v>2167</v>
      </c>
      <c r="H2392" s="894">
        <f t="shared" si="61"/>
        <v>0</v>
      </c>
      <c r="I2392" s="1435"/>
      <c r="J2392" s="1446">
        <f t="shared" si="62"/>
        <v>0</v>
      </c>
      <c r="K2392" s="898">
        <v>123000</v>
      </c>
    </row>
    <row r="2393" spans="4:11" ht="22.8" hidden="1" customHeight="1">
      <c r="D2393" s="916">
        <v>128</v>
      </c>
      <c r="E2393" s="895"/>
      <c r="F2393" s="896" t="s">
        <v>5228</v>
      </c>
      <c r="G2393" s="897" t="s">
        <v>62</v>
      </c>
      <c r="H2393" s="894">
        <f t="shared" si="61"/>
        <v>0</v>
      </c>
      <c r="I2393" s="1435"/>
      <c r="J2393" s="1446">
        <f t="shared" si="62"/>
        <v>0</v>
      </c>
      <c r="K2393" s="898">
        <v>17500</v>
      </c>
    </row>
    <row r="2394" spans="4:11" ht="22.8" hidden="1" customHeight="1">
      <c r="D2394" s="916">
        <v>129</v>
      </c>
      <c r="E2394" s="895"/>
      <c r="F2394" s="896" t="s">
        <v>5229</v>
      </c>
      <c r="G2394" s="897" t="s">
        <v>62</v>
      </c>
      <c r="H2394" s="894">
        <f t="shared" si="61"/>
        <v>0</v>
      </c>
      <c r="I2394" s="1435"/>
      <c r="J2394" s="1446">
        <f t="shared" si="62"/>
        <v>0</v>
      </c>
      <c r="K2394" s="898">
        <v>21000</v>
      </c>
    </row>
    <row r="2395" spans="4:11" ht="22.8" hidden="1" customHeight="1">
      <c r="D2395" s="916">
        <v>130</v>
      </c>
      <c r="E2395" s="895"/>
      <c r="F2395" s="896" t="s">
        <v>6460</v>
      </c>
      <c r="G2395" s="897" t="s">
        <v>62</v>
      </c>
      <c r="H2395" s="894">
        <f t="shared" si="61"/>
        <v>0</v>
      </c>
      <c r="I2395" s="1435"/>
      <c r="J2395" s="1446">
        <f t="shared" si="62"/>
        <v>0</v>
      </c>
      <c r="K2395" s="898">
        <v>32000</v>
      </c>
    </row>
    <row r="2396" spans="4:11" ht="22.8" hidden="1" customHeight="1">
      <c r="D2396" s="916">
        <v>131</v>
      </c>
      <c r="E2396" s="895"/>
      <c r="F2396" s="896" t="s">
        <v>6520</v>
      </c>
      <c r="G2396" s="897" t="s">
        <v>62</v>
      </c>
      <c r="H2396" s="894">
        <f t="shared" si="61"/>
        <v>0</v>
      </c>
      <c r="I2396" s="1435"/>
      <c r="J2396" s="1446">
        <f t="shared" si="62"/>
        <v>0</v>
      </c>
      <c r="K2396" s="898">
        <v>25000</v>
      </c>
    </row>
    <row r="2397" spans="4:11" ht="22.8" hidden="1" customHeight="1">
      <c r="D2397" s="916">
        <v>132</v>
      </c>
      <c r="E2397" s="895"/>
      <c r="F2397" s="896" t="s">
        <v>5230</v>
      </c>
      <c r="G2397" s="897" t="s">
        <v>62</v>
      </c>
      <c r="H2397" s="894">
        <f t="shared" si="61"/>
        <v>0</v>
      </c>
      <c r="I2397" s="1435"/>
      <c r="J2397" s="1446">
        <f t="shared" si="62"/>
        <v>0</v>
      </c>
      <c r="K2397" s="898">
        <v>18950</v>
      </c>
    </row>
    <row r="2398" spans="4:11" ht="22.8" hidden="1" customHeight="1">
      <c r="D2398" s="916">
        <v>133</v>
      </c>
      <c r="E2398" s="895"/>
      <c r="F2398" s="896" t="s">
        <v>5231</v>
      </c>
      <c r="G2398" s="897" t="s">
        <v>62</v>
      </c>
      <c r="H2398" s="894">
        <f t="shared" si="61"/>
        <v>0</v>
      </c>
      <c r="I2398" s="1435"/>
      <c r="J2398" s="1446">
        <f t="shared" si="62"/>
        <v>0</v>
      </c>
      <c r="K2398" s="898">
        <v>25000</v>
      </c>
    </row>
    <row r="2399" spans="4:11" ht="22.8" hidden="1" customHeight="1">
      <c r="D2399" s="916">
        <v>134</v>
      </c>
      <c r="E2399" s="895"/>
      <c r="F2399" s="896" t="s">
        <v>2166</v>
      </c>
      <c r="G2399" s="897" t="s">
        <v>2426</v>
      </c>
      <c r="H2399" s="894">
        <f t="shared" si="61"/>
        <v>0</v>
      </c>
      <c r="I2399" s="1435"/>
      <c r="J2399" s="1446">
        <f t="shared" si="62"/>
        <v>0</v>
      </c>
      <c r="K2399" s="898">
        <v>25000</v>
      </c>
    </row>
    <row r="2400" spans="4:11" ht="22.8" hidden="1" customHeight="1">
      <c r="D2400" s="916">
        <v>135</v>
      </c>
      <c r="E2400" s="895"/>
      <c r="F2400" s="896" t="s">
        <v>5592</v>
      </c>
      <c r="G2400" s="897"/>
      <c r="H2400" s="894">
        <f t="shared" si="61"/>
        <v>0</v>
      </c>
      <c r="I2400" s="1435"/>
      <c r="J2400" s="1446">
        <f t="shared" si="62"/>
        <v>0</v>
      </c>
      <c r="K2400" s="898"/>
    </row>
    <row r="2401" spans="4:11" ht="22.8" hidden="1" customHeight="1">
      <c r="D2401" s="916">
        <v>136</v>
      </c>
      <c r="E2401" s="895"/>
      <c r="F2401" s="896" t="s">
        <v>5561</v>
      </c>
      <c r="G2401" s="897" t="s">
        <v>42</v>
      </c>
      <c r="H2401" s="894">
        <f t="shared" si="61"/>
        <v>0</v>
      </c>
      <c r="I2401" s="1435"/>
      <c r="J2401" s="1446">
        <f t="shared" si="62"/>
        <v>0</v>
      </c>
      <c r="K2401" s="898">
        <v>178000</v>
      </c>
    </row>
    <row r="2402" spans="4:11" ht="22.8" hidden="1" customHeight="1">
      <c r="D2402" s="916">
        <v>137</v>
      </c>
      <c r="E2402" s="895"/>
      <c r="F2402" s="896" t="s">
        <v>5562</v>
      </c>
      <c r="G2402" s="897" t="s">
        <v>42</v>
      </c>
      <c r="H2402" s="894">
        <f t="shared" si="61"/>
        <v>0</v>
      </c>
      <c r="I2402" s="1435"/>
      <c r="J2402" s="1446">
        <f t="shared" si="62"/>
        <v>0</v>
      </c>
      <c r="K2402" s="898">
        <v>165000</v>
      </c>
    </row>
    <row r="2403" spans="4:11" ht="22.8" hidden="1" customHeight="1">
      <c r="D2403" s="916">
        <v>138</v>
      </c>
      <c r="E2403" s="895"/>
      <c r="F2403" s="896" t="s">
        <v>6955</v>
      </c>
      <c r="G2403" s="897" t="s">
        <v>2167</v>
      </c>
      <c r="H2403" s="894">
        <f t="shared" ref="H2403:H2466" si="63">I2403</f>
        <v>0</v>
      </c>
      <c r="I2403" s="1435"/>
      <c r="J2403" s="1446">
        <f t="shared" si="62"/>
        <v>0</v>
      </c>
      <c r="K2403" s="898">
        <v>135000</v>
      </c>
    </row>
    <row r="2404" spans="4:11" ht="22.8" hidden="1" customHeight="1">
      <c r="D2404" s="916">
        <v>139</v>
      </c>
      <c r="E2404" s="895"/>
      <c r="F2404" s="896" t="s">
        <v>7013</v>
      </c>
      <c r="G2404" s="897" t="s">
        <v>3516</v>
      </c>
      <c r="H2404" s="894">
        <f t="shared" si="63"/>
        <v>0</v>
      </c>
      <c r="I2404" s="1435"/>
      <c r="J2404" s="1446">
        <f t="shared" si="62"/>
        <v>0</v>
      </c>
      <c r="K2404" s="898">
        <v>150000</v>
      </c>
    </row>
    <row r="2405" spans="4:11" ht="22.8" hidden="1" customHeight="1">
      <c r="D2405" s="916">
        <v>140</v>
      </c>
      <c r="E2405" s="895"/>
      <c r="F2405" s="896" t="s">
        <v>6964</v>
      </c>
      <c r="G2405" s="897" t="s">
        <v>2167</v>
      </c>
      <c r="H2405" s="894">
        <f t="shared" si="63"/>
        <v>0</v>
      </c>
      <c r="I2405" s="1435"/>
      <c r="J2405" s="1446">
        <f t="shared" si="62"/>
        <v>0</v>
      </c>
      <c r="K2405" s="898">
        <v>135000</v>
      </c>
    </row>
    <row r="2406" spans="4:11" ht="22.8" hidden="1" customHeight="1">
      <c r="D2406" s="916">
        <v>141</v>
      </c>
      <c r="E2406" s="895"/>
      <c r="F2406" s="896" t="s">
        <v>7017</v>
      </c>
      <c r="G2406" s="897" t="s">
        <v>3516</v>
      </c>
      <c r="H2406" s="894">
        <f t="shared" si="63"/>
        <v>0</v>
      </c>
      <c r="I2406" s="1435"/>
      <c r="J2406" s="1446">
        <f t="shared" si="62"/>
        <v>0</v>
      </c>
      <c r="K2406" s="898">
        <v>150000</v>
      </c>
    </row>
    <row r="2407" spans="4:11" ht="22.8" hidden="1" customHeight="1">
      <c r="D2407" s="916">
        <v>142</v>
      </c>
      <c r="E2407" s="895"/>
      <c r="F2407" s="896" t="s">
        <v>7060</v>
      </c>
      <c r="G2407" s="897" t="s">
        <v>3516</v>
      </c>
      <c r="H2407" s="894">
        <f t="shared" si="63"/>
        <v>0</v>
      </c>
      <c r="I2407" s="1435"/>
      <c r="J2407" s="1446">
        <f t="shared" si="62"/>
        <v>0</v>
      </c>
      <c r="K2407" s="898">
        <v>200000</v>
      </c>
    </row>
    <row r="2408" spans="4:11" ht="22.8" hidden="1" customHeight="1">
      <c r="D2408" s="916">
        <v>143</v>
      </c>
      <c r="E2408" s="895"/>
      <c r="F2408" s="896" t="s">
        <v>6968</v>
      </c>
      <c r="G2408" s="897" t="s">
        <v>2167</v>
      </c>
      <c r="H2408" s="894">
        <f t="shared" si="63"/>
        <v>0</v>
      </c>
      <c r="I2408" s="1435"/>
      <c r="J2408" s="1446">
        <f t="shared" si="62"/>
        <v>0</v>
      </c>
      <c r="K2408" s="898">
        <v>150000</v>
      </c>
    </row>
    <row r="2409" spans="4:11" ht="22.8" hidden="1" customHeight="1">
      <c r="D2409" s="916">
        <v>144</v>
      </c>
      <c r="E2409" s="895"/>
      <c r="F2409" s="896" t="s">
        <v>7020</v>
      </c>
      <c r="G2409" s="897" t="s">
        <v>3516</v>
      </c>
      <c r="H2409" s="894">
        <f t="shared" si="63"/>
        <v>0</v>
      </c>
      <c r="I2409" s="1435"/>
      <c r="J2409" s="1446">
        <f t="shared" si="62"/>
        <v>0</v>
      </c>
      <c r="K2409" s="898">
        <v>175000</v>
      </c>
    </row>
    <row r="2410" spans="4:11" ht="22.8" hidden="1" customHeight="1">
      <c r="D2410" s="916">
        <v>145</v>
      </c>
      <c r="E2410" s="895"/>
      <c r="F2410" s="896" t="s">
        <v>7096</v>
      </c>
      <c r="G2410" s="897" t="s">
        <v>3516</v>
      </c>
      <c r="H2410" s="894">
        <f t="shared" si="63"/>
        <v>0</v>
      </c>
      <c r="I2410" s="1435"/>
      <c r="J2410" s="1446">
        <f t="shared" si="62"/>
        <v>0</v>
      </c>
      <c r="K2410" s="898">
        <v>350000</v>
      </c>
    </row>
    <row r="2411" spans="4:11" ht="22.8" hidden="1" customHeight="1">
      <c r="D2411" s="916">
        <v>146</v>
      </c>
      <c r="E2411" s="895"/>
      <c r="F2411" s="896" t="s">
        <v>7152</v>
      </c>
      <c r="G2411" s="897" t="s">
        <v>2167</v>
      </c>
      <c r="H2411" s="894">
        <f t="shared" si="63"/>
        <v>0</v>
      </c>
      <c r="I2411" s="1435"/>
      <c r="J2411" s="1446">
        <f t="shared" si="62"/>
        <v>0</v>
      </c>
      <c r="K2411" s="898">
        <v>375000</v>
      </c>
    </row>
    <row r="2412" spans="4:11" ht="22.8" hidden="1" customHeight="1">
      <c r="D2412" s="916">
        <v>147</v>
      </c>
      <c r="E2412" s="895"/>
      <c r="F2412" s="896" t="s">
        <v>6971</v>
      </c>
      <c r="G2412" s="897" t="s">
        <v>2167</v>
      </c>
      <c r="H2412" s="894">
        <f t="shared" si="63"/>
        <v>0</v>
      </c>
      <c r="I2412" s="1435"/>
      <c r="J2412" s="1446">
        <f t="shared" si="62"/>
        <v>0</v>
      </c>
      <c r="K2412" s="898">
        <v>155000</v>
      </c>
    </row>
    <row r="2413" spans="4:11" ht="22.8" hidden="1" customHeight="1">
      <c r="D2413" s="916">
        <v>148</v>
      </c>
      <c r="E2413" s="895"/>
      <c r="F2413" s="896" t="s">
        <v>7023</v>
      </c>
      <c r="G2413" s="897" t="s">
        <v>2167</v>
      </c>
      <c r="H2413" s="894">
        <f t="shared" si="63"/>
        <v>0</v>
      </c>
      <c r="I2413" s="1435"/>
      <c r="J2413" s="1446">
        <f t="shared" si="62"/>
        <v>0</v>
      </c>
      <c r="K2413" s="898">
        <v>170000</v>
      </c>
    </row>
    <row r="2414" spans="4:11" ht="22.8" hidden="1" customHeight="1">
      <c r="D2414" s="916">
        <v>149</v>
      </c>
      <c r="E2414" s="895"/>
      <c r="F2414" s="896" t="s">
        <v>6974</v>
      </c>
      <c r="G2414" s="897" t="s">
        <v>3516</v>
      </c>
      <c r="H2414" s="894">
        <f t="shared" si="63"/>
        <v>0</v>
      </c>
      <c r="I2414" s="1435"/>
      <c r="J2414" s="1446">
        <f t="shared" si="62"/>
        <v>0</v>
      </c>
      <c r="K2414" s="898">
        <v>165000</v>
      </c>
    </row>
    <row r="2415" spans="4:11" ht="22.8" hidden="1" customHeight="1">
      <c r="D2415" s="916">
        <v>150</v>
      </c>
      <c r="E2415" s="895"/>
      <c r="F2415" s="896" t="s">
        <v>7026</v>
      </c>
      <c r="G2415" s="897" t="s">
        <v>3516</v>
      </c>
      <c r="H2415" s="894">
        <f t="shared" si="63"/>
        <v>0</v>
      </c>
      <c r="I2415" s="1435"/>
      <c r="J2415" s="1446">
        <f t="shared" si="62"/>
        <v>0</v>
      </c>
      <c r="K2415" s="898">
        <v>180000</v>
      </c>
    </row>
    <row r="2416" spans="4:11" ht="22.8" hidden="1" customHeight="1">
      <c r="D2416" s="916">
        <v>151</v>
      </c>
      <c r="E2416" s="895"/>
      <c r="F2416" s="896" t="s">
        <v>6977</v>
      </c>
      <c r="G2416" s="897" t="s">
        <v>3516</v>
      </c>
      <c r="H2416" s="894">
        <f t="shared" si="63"/>
        <v>0</v>
      </c>
      <c r="I2416" s="1435"/>
      <c r="J2416" s="1446">
        <f t="shared" si="62"/>
        <v>0</v>
      </c>
      <c r="K2416" s="898">
        <v>170000</v>
      </c>
    </row>
    <row r="2417" spans="4:11" ht="22.8" hidden="1" customHeight="1">
      <c r="D2417" s="916">
        <v>152</v>
      </c>
      <c r="E2417" s="895"/>
      <c r="F2417" s="896" t="s">
        <v>7029</v>
      </c>
      <c r="G2417" s="897" t="s">
        <v>4490</v>
      </c>
      <c r="H2417" s="894">
        <f t="shared" si="63"/>
        <v>0</v>
      </c>
      <c r="I2417" s="1435"/>
      <c r="J2417" s="1446">
        <f t="shared" si="62"/>
        <v>0</v>
      </c>
      <c r="K2417" s="898">
        <v>190000</v>
      </c>
    </row>
    <row r="2418" spans="4:11" ht="22.8" hidden="1" customHeight="1">
      <c r="D2418" s="916">
        <v>153</v>
      </c>
      <c r="E2418" s="895"/>
      <c r="F2418" s="896" t="s">
        <v>6980</v>
      </c>
      <c r="G2418" s="897" t="s">
        <v>3516</v>
      </c>
      <c r="H2418" s="894">
        <f t="shared" si="63"/>
        <v>0</v>
      </c>
      <c r="I2418" s="1435"/>
      <c r="J2418" s="1446">
        <f t="shared" si="62"/>
        <v>0</v>
      </c>
      <c r="K2418" s="898">
        <v>175000</v>
      </c>
    </row>
    <row r="2419" spans="4:11" ht="22.8" hidden="1" customHeight="1">
      <c r="D2419" s="916">
        <v>154</v>
      </c>
      <c r="E2419" s="895"/>
      <c r="F2419" s="896" t="s">
        <v>7032</v>
      </c>
      <c r="G2419" s="897" t="s">
        <v>4490</v>
      </c>
      <c r="H2419" s="894">
        <f t="shared" si="63"/>
        <v>0</v>
      </c>
      <c r="I2419" s="1435"/>
      <c r="J2419" s="1446">
        <f t="shared" si="62"/>
        <v>0</v>
      </c>
      <c r="K2419" s="898">
        <v>190000</v>
      </c>
    </row>
    <row r="2420" spans="4:11" ht="22.8" hidden="1" customHeight="1">
      <c r="D2420" s="916">
        <v>155</v>
      </c>
      <c r="E2420" s="895"/>
      <c r="F2420" s="896" t="s">
        <v>6983</v>
      </c>
      <c r="G2420" s="897" t="s">
        <v>3516</v>
      </c>
      <c r="H2420" s="894">
        <f t="shared" si="63"/>
        <v>0</v>
      </c>
      <c r="I2420" s="1435"/>
      <c r="J2420" s="1446">
        <f t="shared" si="62"/>
        <v>0</v>
      </c>
      <c r="K2420" s="898">
        <v>180000</v>
      </c>
    </row>
    <row r="2421" spans="4:11" ht="22.8" hidden="1" customHeight="1">
      <c r="D2421" s="916">
        <v>156</v>
      </c>
      <c r="E2421" s="895"/>
      <c r="F2421" s="896" t="s">
        <v>7034</v>
      </c>
      <c r="G2421" s="897" t="s">
        <v>3516</v>
      </c>
      <c r="H2421" s="894">
        <f t="shared" si="63"/>
        <v>0</v>
      </c>
      <c r="I2421" s="1435"/>
      <c r="J2421" s="1446">
        <f t="shared" si="62"/>
        <v>0</v>
      </c>
      <c r="K2421" s="898">
        <v>190000</v>
      </c>
    </row>
    <row r="2422" spans="4:11" ht="22.8" hidden="1" customHeight="1">
      <c r="D2422" s="916">
        <v>157</v>
      </c>
      <c r="E2422" s="895"/>
      <c r="F2422" s="896" t="s">
        <v>6986</v>
      </c>
      <c r="G2422" s="897" t="s">
        <v>3516</v>
      </c>
      <c r="H2422" s="894">
        <f t="shared" si="63"/>
        <v>0</v>
      </c>
      <c r="I2422" s="1435"/>
      <c r="J2422" s="1446">
        <f t="shared" si="62"/>
        <v>0</v>
      </c>
      <c r="K2422" s="898">
        <v>185000</v>
      </c>
    </row>
    <row r="2423" spans="4:11" ht="22.8" hidden="1" customHeight="1">
      <c r="D2423" s="916">
        <v>158</v>
      </c>
      <c r="E2423" s="895"/>
      <c r="F2423" s="896" t="s">
        <v>6989</v>
      </c>
      <c r="G2423" s="897" t="s">
        <v>3516</v>
      </c>
      <c r="H2423" s="894">
        <f t="shared" si="63"/>
        <v>0</v>
      </c>
      <c r="I2423" s="1435"/>
      <c r="J2423" s="1446">
        <f t="shared" si="62"/>
        <v>0</v>
      </c>
      <c r="K2423" s="898">
        <v>190000</v>
      </c>
    </row>
    <row r="2424" spans="4:11" ht="22.8" hidden="1" customHeight="1">
      <c r="D2424" s="916">
        <v>159</v>
      </c>
      <c r="E2424" s="895"/>
      <c r="F2424" s="896" t="s">
        <v>7038</v>
      </c>
      <c r="G2424" s="897" t="s">
        <v>3516</v>
      </c>
      <c r="H2424" s="894">
        <f t="shared" si="63"/>
        <v>0</v>
      </c>
      <c r="I2424" s="1435"/>
      <c r="J2424" s="1446">
        <f t="shared" si="62"/>
        <v>0</v>
      </c>
      <c r="K2424" s="898">
        <v>200000</v>
      </c>
    </row>
    <row r="2425" spans="4:11" ht="22.8" hidden="1" customHeight="1">
      <c r="D2425" s="916">
        <v>160</v>
      </c>
      <c r="E2425" s="895"/>
      <c r="F2425" s="896" t="s">
        <v>6994</v>
      </c>
      <c r="G2425" s="897" t="s">
        <v>2167</v>
      </c>
      <c r="H2425" s="894">
        <f t="shared" si="63"/>
        <v>0</v>
      </c>
      <c r="I2425" s="1435"/>
      <c r="J2425" s="1446">
        <f t="shared" si="62"/>
        <v>0</v>
      </c>
      <c r="K2425" s="898">
        <v>150000</v>
      </c>
    </row>
    <row r="2426" spans="4:11" ht="22.8" hidden="1" customHeight="1">
      <c r="D2426" s="916">
        <v>161</v>
      </c>
      <c r="E2426" s="895"/>
      <c r="F2426" s="896" t="s">
        <v>7041</v>
      </c>
      <c r="G2426" s="897" t="s">
        <v>3516</v>
      </c>
      <c r="H2426" s="894">
        <f t="shared" si="63"/>
        <v>0</v>
      </c>
      <c r="I2426" s="1435"/>
      <c r="J2426" s="1446">
        <f t="shared" si="62"/>
        <v>0</v>
      </c>
      <c r="K2426" s="898">
        <v>165000</v>
      </c>
    </row>
    <row r="2427" spans="4:11" ht="22.8" hidden="1" customHeight="1">
      <c r="D2427" s="916">
        <v>162</v>
      </c>
      <c r="E2427" s="895"/>
      <c r="F2427" s="896" t="s">
        <v>5554</v>
      </c>
      <c r="G2427" s="897" t="s">
        <v>2167</v>
      </c>
      <c r="H2427" s="894">
        <f t="shared" si="63"/>
        <v>0</v>
      </c>
      <c r="I2427" s="1435"/>
      <c r="J2427" s="1446">
        <f t="shared" si="62"/>
        <v>0</v>
      </c>
      <c r="K2427" s="898">
        <v>18000</v>
      </c>
    </row>
    <row r="2428" spans="4:11" ht="22.8" hidden="1" customHeight="1">
      <c r="D2428" s="916">
        <v>163</v>
      </c>
      <c r="E2428" s="895"/>
      <c r="F2428" s="896" t="s">
        <v>5563</v>
      </c>
      <c r="G2428" s="897" t="s">
        <v>65</v>
      </c>
      <c r="H2428" s="894">
        <f t="shared" si="63"/>
        <v>0</v>
      </c>
      <c r="I2428" s="1435"/>
      <c r="J2428" s="1446">
        <f t="shared" si="62"/>
        <v>0</v>
      </c>
      <c r="K2428" s="898">
        <v>28500</v>
      </c>
    </row>
    <row r="2429" spans="4:11" ht="22.8" hidden="1" customHeight="1">
      <c r="D2429" s="916">
        <v>164</v>
      </c>
      <c r="E2429" s="895"/>
      <c r="F2429" s="896" t="s">
        <v>5565</v>
      </c>
      <c r="G2429" s="897" t="s">
        <v>44</v>
      </c>
      <c r="H2429" s="894">
        <f t="shared" si="63"/>
        <v>0</v>
      </c>
      <c r="I2429" s="1435"/>
      <c r="J2429" s="1446">
        <f t="shared" si="62"/>
        <v>0</v>
      </c>
      <c r="K2429" s="898">
        <v>50000</v>
      </c>
    </row>
    <row r="2430" spans="4:11" ht="22.8" hidden="1" customHeight="1">
      <c r="D2430" s="916">
        <v>165</v>
      </c>
      <c r="E2430" s="895"/>
      <c r="F2430" s="896" t="s">
        <v>6741</v>
      </c>
      <c r="G2430" s="897" t="s">
        <v>6744</v>
      </c>
      <c r="H2430" s="894">
        <f t="shared" si="63"/>
        <v>0</v>
      </c>
      <c r="I2430" s="1435"/>
      <c r="J2430" s="1446">
        <f t="shared" si="62"/>
        <v>0</v>
      </c>
      <c r="K2430" s="898">
        <v>350000</v>
      </c>
    </row>
    <row r="2431" spans="4:11" ht="22.8" hidden="1" customHeight="1">
      <c r="D2431" s="916">
        <v>166</v>
      </c>
      <c r="E2431" s="895"/>
      <c r="F2431" s="896" t="s">
        <v>6757</v>
      </c>
      <c r="G2431" s="897" t="s">
        <v>6744</v>
      </c>
      <c r="H2431" s="894">
        <f t="shared" si="63"/>
        <v>0</v>
      </c>
      <c r="I2431" s="1435"/>
      <c r="J2431" s="1446">
        <f t="shared" si="62"/>
        <v>0</v>
      </c>
      <c r="K2431" s="898">
        <v>400000</v>
      </c>
    </row>
    <row r="2432" spans="4:11" ht="22.8" hidden="1" customHeight="1">
      <c r="D2432" s="916">
        <v>167</v>
      </c>
      <c r="E2432" s="895"/>
      <c r="F2432" s="896" t="s">
        <v>6777</v>
      </c>
      <c r="G2432" s="897" t="s">
        <v>6744</v>
      </c>
      <c r="H2432" s="894">
        <f t="shared" si="63"/>
        <v>0</v>
      </c>
      <c r="I2432" s="1435"/>
      <c r="J2432" s="1446">
        <f t="shared" ref="J2432:J2495" si="64">I2432-(I2432*10%)</f>
        <v>0</v>
      </c>
      <c r="K2432" s="898">
        <v>500000</v>
      </c>
    </row>
    <row r="2433" spans="4:11" ht="22.8" hidden="1" customHeight="1">
      <c r="D2433" s="916">
        <v>168</v>
      </c>
      <c r="E2433" s="895"/>
      <c r="F2433" s="896" t="s">
        <v>6785</v>
      </c>
      <c r="G2433" s="897" t="s">
        <v>6744</v>
      </c>
      <c r="H2433" s="894">
        <f t="shared" si="63"/>
        <v>0</v>
      </c>
      <c r="I2433" s="1435"/>
      <c r="J2433" s="1446">
        <f t="shared" si="64"/>
        <v>0</v>
      </c>
      <c r="K2433" s="898">
        <v>530000</v>
      </c>
    </row>
    <row r="2434" spans="4:11" ht="22.8" hidden="1" customHeight="1">
      <c r="D2434" s="916">
        <v>169</v>
      </c>
      <c r="E2434" s="895"/>
      <c r="F2434" s="896" t="s">
        <v>7123</v>
      </c>
      <c r="G2434" s="897" t="s">
        <v>3516</v>
      </c>
      <c r="H2434" s="894">
        <f t="shared" si="63"/>
        <v>0</v>
      </c>
      <c r="I2434" s="1435"/>
      <c r="J2434" s="1446">
        <f t="shared" si="64"/>
        <v>0</v>
      </c>
      <c r="K2434" s="898">
        <v>150000</v>
      </c>
    </row>
    <row r="2435" spans="4:11" ht="22.8" hidden="1" customHeight="1">
      <c r="D2435" s="916">
        <v>170</v>
      </c>
      <c r="E2435" s="895"/>
      <c r="F2435" s="896" t="s">
        <v>7172</v>
      </c>
      <c r="G2435" s="897" t="s">
        <v>3516</v>
      </c>
      <c r="H2435" s="894">
        <f t="shared" si="63"/>
        <v>0</v>
      </c>
      <c r="I2435" s="1435"/>
      <c r="J2435" s="1446">
        <f t="shared" si="64"/>
        <v>0</v>
      </c>
      <c r="K2435" s="898">
        <v>275000</v>
      </c>
    </row>
    <row r="2436" spans="4:11" ht="22.8" hidden="1" customHeight="1">
      <c r="D2436" s="916">
        <v>171</v>
      </c>
      <c r="E2436" s="895"/>
      <c r="F2436" s="896" t="s">
        <v>7200</v>
      </c>
      <c r="G2436" s="897" t="s">
        <v>2167</v>
      </c>
      <c r="H2436" s="894">
        <f t="shared" si="63"/>
        <v>0</v>
      </c>
      <c r="I2436" s="1435"/>
      <c r="J2436" s="1446">
        <f t="shared" si="64"/>
        <v>0</v>
      </c>
      <c r="K2436" s="898">
        <v>300000</v>
      </c>
    </row>
    <row r="2437" spans="4:11" ht="22.8" hidden="1" customHeight="1">
      <c r="D2437" s="916">
        <v>172</v>
      </c>
      <c r="E2437" s="895"/>
      <c r="F2437" s="896" t="s">
        <v>7223</v>
      </c>
      <c r="G2437" s="897" t="s">
        <v>3516</v>
      </c>
      <c r="H2437" s="894">
        <f t="shared" si="63"/>
        <v>0</v>
      </c>
      <c r="I2437" s="1435"/>
      <c r="J2437" s="1446">
        <f t="shared" si="64"/>
        <v>0</v>
      </c>
      <c r="K2437" s="898">
        <v>325000</v>
      </c>
    </row>
    <row r="2438" spans="4:11" ht="22.8" hidden="1" customHeight="1">
      <c r="D2438" s="916">
        <v>173</v>
      </c>
      <c r="E2438" s="895"/>
      <c r="F2438" s="896" t="s">
        <v>7245</v>
      </c>
      <c r="G2438" s="897" t="s">
        <v>3516</v>
      </c>
      <c r="H2438" s="894">
        <f t="shared" si="63"/>
        <v>0</v>
      </c>
      <c r="I2438" s="1435"/>
      <c r="J2438" s="1446">
        <f t="shared" si="64"/>
        <v>0</v>
      </c>
      <c r="K2438" s="898">
        <v>350000</v>
      </c>
    </row>
    <row r="2439" spans="4:11" ht="22.8" hidden="1" customHeight="1">
      <c r="D2439" s="916">
        <v>174</v>
      </c>
      <c r="E2439" s="895"/>
      <c r="F2439" s="896" t="s">
        <v>5568</v>
      </c>
      <c r="G2439" s="897" t="s">
        <v>44</v>
      </c>
      <c r="H2439" s="894">
        <f t="shared" si="63"/>
        <v>0</v>
      </c>
      <c r="I2439" s="1435"/>
      <c r="J2439" s="1446">
        <f t="shared" si="64"/>
        <v>0</v>
      </c>
      <c r="K2439" s="898">
        <v>150000</v>
      </c>
    </row>
    <row r="2440" spans="4:11" ht="22.8" hidden="1" customHeight="1">
      <c r="D2440" s="916">
        <v>175</v>
      </c>
      <c r="E2440" s="895"/>
      <c r="F2440" s="896" t="s">
        <v>7120</v>
      </c>
      <c r="G2440" s="897" t="s">
        <v>4490</v>
      </c>
      <c r="H2440" s="894">
        <f t="shared" si="63"/>
        <v>0</v>
      </c>
      <c r="I2440" s="1435"/>
      <c r="J2440" s="1446">
        <f t="shared" si="64"/>
        <v>0</v>
      </c>
      <c r="K2440" s="898">
        <v>150000</v>
      </c>
    </row>
    <row r="2441" spans="4:11" ht="22.8" hidden="1" customHeight="1">
      <c r="D2441" s="916">
        <v>176</v>
      </c>
      <c r="E2441" s="895"/>
      <c r="F2441" s="896" t="s">
        <v>6814</v>
      </c>
      <c r="G2441" s="897" t="s">
        <v>6744</v>
      </c>
      <c r="H2441" s="894">
        <f t="shared" si="63"/>
        <v>0</v>
      </c>
      <c r="I2441" s="1435"/>
      <c r="J2441" s="1446">
        <f t="shared" si="64"/>
        <v>0</v>
      </c>
      <c r="K2441" s="898">
        <v>400000</v>
      </c>
    </row>
    <row r="2442" spans="4:11" ht="22.8" hidden="1" customHeight="1">
      <c r="D2442" s="916">
        <v>177</v>
      </c>
      <c r="E2442" s="895"/>
      <c r="F2442" s="896" t="s">
        <v>6827</v>
      </c>
      <c r="G2442" s="897" t="s">
        <v>6744</v>
      </c>
      <c r="H2442" s="894">
        <f t="shared" si="63"/>
        <v>0</v>
      </c>
      <c r="I2442" s="1435"/>
      <c r="J2442" s="1446">
        <f t="shared" si="64"/>
        <v>0</v>
      </c>
      <c r="K2442" s="898">
        <v>425000</v>
      </c>
    </row>
    <row r="2443" spans="4:11" ht="22.8" hidden="1" customHeight="1">
      <c r="D2443" s="916">
        <v>178</v>
      </c>
      <c r="E2443" s="895"/>
      <c r="F2443" s="896" t="s">
        <v>6832</v>
      </c>
      <c r="G2443" s="897" t="s">
        <v>6744</v>
      </c>
      <c r="H2443" s="894">
        <f t="shared" si="63"/>
        <v>0</v>
      </c>
      <c r="I2443" s="1435"/>
      <c r="J2443" s="1446">
        <f t="shared" si="64"/>
        <v>0</v>
      </c>
      <c r="K2443" s="898">
        <v>550000</v>
      </c>
    </row>
    <row r="2444" spans="4:11" ht="22.8" hidden="1" customHeight="1">
      <c r="D2444" s="916">
        <v>179</v>
      </c>
      <c r="E2444" s="895"/>
      <c r="F2444" s="896" t="s">
        <v>6840</v>
      </c>
      <c r="G2444" s="897" t="s">
        <v>6744</v>
      </c>
      <c r="H2444" s="894">
        <f t="shared" si="63"/>
        <v>0</v>
      </c>
      <c r="I2444" s="1435"/>
      <c r="J2444" s="1446">
        <f t="shared" si="64"/>
        <v>0</v>
      </c>
      <c r="K2444" s="898">
        <v>590000</v>
      </c>
    </row>
    <row r="2445" spans="4:11" ht="22.8" hidden="1" customHeight="1">
      <c r="D2445" s="916">
        <v>180</v>
      </c>
      <c r="E2445" s="895"/>
      <c r="F2445" s="896" t="s">
        <v>7143</v>
      </c>
      <c r="G2445" s="897" t="s">
        <v>2167</v>
      </c>
      <c r="H2445" s="894">
        <f t="shared" si="63"/>
        <v>0</v>
      </c>
      <c r="I2445" s="1435"/>
      <c r="J2445" s="1446">
        <f t="shared" si="64"/>
        <v>0</v>
      </c>
      <c r="K2445" s="898">
        <v>250000</v>
      </c>
    </row>
    <row r="2446" spans="4:11" ht="22.8" hidden="1" customHeight="1">
      <c r="D2446" s="916">
        <v>181</v>
      </c>
      <c r="E2446" s="895"/>
      <c r="F2446" s="896" t="s">
        <v>7190</v>
      </c>
      <c r="G2446" s="897" t="s">
        <v>3516</v>
      </c>
      <c r="H2446" s="894">
        <f t="shared" si="63"/>
        <v>0</v>
      </c>
      <c r="I2446" s="1435"/>
      <c r="J2446" s="1446">
        <f t="shared" si="64"/>
        <v>0</v>
      </c>
      <c r="K2446" s="898">
        <v>275000</v>
      </c>
    </row>
    <row r="2447" spans="4:11" ht="22.8" hidden="1" customHeight="1">
      <c r="D2447" s="916">
        <v>182</v>
      </c>
      <c r="E2447" s="895"/>
      <c r="F2447" s="896" t="s">
        <v>7237</v>
      </c>
      <c r="G2447" s="897" t="s">
        <v>3516</v>
      </c>
      <c r="H2447" s="894">
        <f t="shared" si="63"/>
        <v>0</v>
      </c>
      <c r="I2447" s="1435"/>
      <c r="J2447" s="1446">
        <f t="shared" si="64"/>
        <v>0</v>
      </c>
      <c r="K2447" s="898">
        <v>300000</v>
      </c>
    </row>
    <row r="2448" spans="4:11" ht="22.8" hidden="1" customHeight="1">
      <c r="D2448" s="916">
        <v>183</v>
      </c>
      <c r="E2448" s="895"/>
      <c r="F2448" s="896" t="s">
        <v>5570</v>
      </c>
      <c r="G2448" s="897" t="s">
        <v>44</v>
      </c>
      <c r="H2448" s="894">
        <f t="shared" si="63"/>
        <v>0</v>
      </c>
      <c r="I2448" s="1435"/>
      <c r="J2448" s="1446">
        <f t="shared" si="64"/>
        <v>0</v>
      </c>
      <c r="K2448" s="898">
        <v>450000</v>
      </c>
    </row>
    <row r="2449" spans="4:11" ht="22.8" hidden="1" customHeight="1">
      <c r="D2449" s="916">
        <v>184</v>
      </c>
      <c r="E2449" s="895"/>
      <c r="F2449" s="896" t="s">
        <v>7052</v>
      </c>
      <c r="G2449" s="897" t="s">
        <v>3516</v>
      </c>
      <c r="H2449" s="894">
        <f t="shared" si="63"/>
        <v>0</v>
      </c>
      <c r="I2449" s="1435"/>
      <c r="J2449" s="1446">
        <f t="shared" si="64"/>
        <v>0</v>
      </c>
      <c r="K2449" s="898">
        <v>220000</v>
      </c>
    </row>
    <row r="2450" spans="4:11" ht="22.8" hidden="1" customHeight="1">
      <c r="D2450" s="916">
        <v>185</v>
      </c>
      <c r="E2450" s="895"/>
      <c r="F2450" s="896" t="s">
        <v>7085</v>
      </c>
      <c r="G2450" s="897" t="s">
        <v>3516</v>
      </c>
      <c r="H2450" s="894">
        <f t="shared" si="63"/>
        <v>0</v>
      </c>
      <c r="I2450" s="1435"/>
      <c r="J2450" s="1446">
        <f t="shared" si="64"/>
        <v>0</v>
      </c>
      <c r="K2450" s="898">
        <v>350000</v>
      </c>
    </row>
    <row r="2451" spans="4:11" ht="22.8" hidden="1" customHeight="1">
      <c r="D2451" s="916">
        <v>186</v>
      </c>
      <c r="E2451" s="895"/>
      <c r="F2451" s="896" t="s">
        <v>5571</v>
      </c>
      <c r="G2451" s="897" t="s">
        <v>44</v>
      </c>
      <c r="H2451" s="894">
        <f t="shared" si="63"/>
        <v>0</v>
      </c>
      <c r="I2451" s="1435"/>
      <c r="J2451" s="1446">
        <f t="shared" si="64"/>
        <v>0</v>
      </c>
      <c r="K2451" s="898">
        <v>550000</v>
      </c>
    </row>
    <row r="2452" spans="4:11" ht="22.8" hidden="1" customHeight="1">
      <c r="D2452" s="916">
        <v>187</v>
      </c>
      <c r="E2452" s="895"/>
      <c r="F2452" s="896" t="s">
        <v>5574</v>
      </c>
      <c r="G2452" s="897" t="s">
        <v>44</v>
      </c>
      <c r="H2452" s="894">
        <f t="shared" si="63"/>
        <v>0</v>
      </c>
      <c r="I2452" s="1435"/>
      <c r="J2452" s="1446">
        <f t="shared" si="64"/>
        <v>0</v>
      </c>
      <c r="K2452" s="898">
        <v>2900000</v>
      </c>
    </row>
    <row r="2453" spans="4:11" ht="22.8" hidden="1" customHeight="1">
      <c r="D2453" s="916">
        <v>188</v>
      </c>
      <c r="E2453" s="895"/>
      <c r="F2453" s="896" t="s">
        <v>5576</v>
      </c>
      <c r="G2453" s="897" t="s">
        <v>44</v>
      </c>
      <c r="H2453" s="894">
        <f t="shared" si="63"/>
        <v>0</v>
      </c>
      <c r="I2453" s="1435"/>
      <c r="J2453" s="1446">
        <f t="shared" si="64"/>
        <v>0</v>
      </c>
      <c r="K2453" s="898">
        <v>5390000</v>
      </c>
    </row>
    <row r="2454" spans="4:11" ht="22.8" hidden="1" customHeight="1">
      <c r="D2454" s="916">
        <v>189</v>
      </c>
      <c r="E2454" s="895"/>
      <c r="F2454" s="896" t="s">
        <v>5578</v>
      </c>
      <c r="G2454" s="897" t="s">
        <v>44</v>
      </c>
      <c r="H2454" s="894">
        <f t="shared" si="63"/>
        <v>0</v>
      </c>
      <c r="I2454" s="1435"/>
      <c r="J2454" s="1446">
        <f t="shared" si="64"/>
        <v>0</v>
      </c>
      <c r="K2454" s="898">
        <v>650000</v>
      </c>
    </row>
    <row r="2455" spans="4:11" ht="22.8" hidden="1" customHeight="1">
      <c r="D2455" s="916">
        <v>190</v>
      </c>
      <c r="E2455" s="895"/>
      <c r="F2455" s="896" t="s">
        <v>7135</v>
      </c>
      <c r="G2455" s="897" t="s">
        <v>2167</v>
      </c>
      <c r="H2455" s="894">
        <f t="shared" si="63"/>
        <v>0</v>
      </c>
      <c r="I2455" s="1435"/>
      <c r="J2455" s="1446">
        <f t="shared" si="64"/>
        <v>0</v>
      </c>
      <c r="K2455" s="898">
        <v>150000</v>
      </c>
    </row>
    <row r="2456" spans="4:11" ht="22.8" hidden="1" customHeight="1">
      <c r="D2456" s="916">
        <v>191</v>
      </c>
      <c r="E2456" s="895"/>
      <c r="F2456" s="896" t="s">
        <v>7181</v>
      </c>
      <c r="G2456" s="897" t="s">
        <v>2167</v>
      </c>
      <c r="H2456" s="894">
        <f t="shared" si="63"/>
        <v>0</v>
      </c>
      <c r="I2456" s="1435"/>
      <c r="J2456" s="1446">
        <f t="shared" si="64"/>
        <v>0</v>
      </c>
      <c r="K2456" s="898">
        <v>275000</v>
      </c>
    </row>
    <row r="2457" spans="4:11" ht="22.8" hidden="1" customHeight="1">
      <c r="D2457" s="916">
        <v>192</v>
      </c>
      <c r="E2457" s="895"/>
      <c r="F2457" s="896" t="s">
        <v>7230</v>
      </c>
      <c r="G2457" s="897" t="s">
        <v>3516</v>
      </c>
      <c r="H2457" s="894">
        <f t="shared" si="63"/>
        <v>0</v>
      </c>
      <c r="I2457" s="1435"/>
      <c r="J2457" s="1446">
        <f t="shared" si="64"/>
        <v>0</v>
      </c>
      <c r="K2457" s="898">
        <v>300000</v>
      </c>
    </row>
    <row r="2458" spans="4:11" ht="22.8" hidden="1" customHeight="1">
      <c r="D2458" s="916">
        <v>193</v>
      </c>
      <c r="E2458" s="895"/>
      <c r="F2458" s="896" t="s">
        <v>7229</v>
      </c>
      <c r="G2458" s="897" t="s">
        <v>4490</v>
      </c>
      <c r="H2458" s="894">
        <f t="shared" si="63"/>
        <v>0</v>
      </c>
      <c r="I2458" s="1435"/>
      <c r="J2458" s="1446">
        <f t="shared" si="64"/>
        <v>0</v>
      </c>
      <c r="K2458" s="898">
        <v>325000</v>
      </c>
    </row>
    <row r="2459" spans="4:11" ht="22.8" hidden="1" customHeight="1">
      <c r="D2459" s="916">
        <v>194</v>
      </c>
      <c r="E2459" s="895"/>
      <c r="F2459" s="896" t="s">
        <v>7250</v>
      </c>
      <c r="G2459" s="897" t="s">
        <v>4490</v>
      </c>
      <c r="H2459" s="894">
        <f t="shared" si="63"/>
        <v>0</v>
      </c>
      <c r="I2459" s="1435"/>
      <c r="J2459" s="1446">
        <f t="shared" si="64"/>
        <v>0</v>
      </c>
      <c r="K2459" s="898">
        <v>350000</v>
      </c>
    </row>
    <row r="2460" spans="4:11" ht="22.8" hidden="1" customHeight="1">
      <c r="D2460" s="916">
        <v>195</v>
      </c>
      <c r="E2460" s="895"/>
      <c r="F2460" s="896" t="s">
        <v>6997</v>
      </c>
      <c r="G2460" s="897" t="s">
        <v>2167</v>
      </c>
      <c r="H2460" s="894">
        <f t="shared" si="63"/>
        <v>0</v>
      </c>
      <c r="I2460" s="1435"/>
      <c r="J2460" s="1446">
        <f t="shared" si="64"/>
        <v>0</v>
      </c>
      <c r="K2460" s="898">
        <v>170000</v>
      </c>
    </row>
    <row r="2461" spans="4:11" ht="22.8" hidden="1" customHeight="1">
      <c r="D2461" s="916">
        <v>196</v>
      </c>
      <c r="E2461" s="895"/>
      <c r="F2461" s="896" t="s">
        <v>7044</v>
      </c>
      <c r="G2461" s="897" t="s">
        <v>3516</v>
      </c>
      <c r="H2461" s="894">
        <f t="shared" si="63"/>
        <v>0</v>
      </c>
      <c r="I2461" s="1435"/>
      <c r="J2461" s="1446">
        <f t="shared" si="64"/>
        <v>0</v>
      </c>
      <c r="K2461" s="898">
        <v>190000</v>
      </c>
    </row>
    <row r="2462" spans="4:11" ht="22.8" hidden="1" customHeight="1">
      <c r="D2462" s="916">
        <v>197</v>
      </c>
      <c r="E2462" s="895"/>
      <c r="F2462" s="896" t="s">
        <v>7000</v>
      </c>
      <c r="G2462" s="897" t="s">
        <v>2167</v>
      </c>
      <c r="H2462" s="894">
        <f t="shared" si="63"/>
        <v>0</v>
      </c>
      <c r="I2462" s="1435"/>
      <c r="J2462" s="1446">
        <f t="shared" si="64"/>
        <v>0</v>
      </c>
      <c r="K2462" s="898">
        <v>180000</v>
      </c>
    </row>
    <row r="2463" spans="4:11" ht="22.8" hidden="1" customHeight="1">
      <c r="D2463" s="916">
        <v>198</v>
      </c>
      <c r="E2463" s="895"/>
      <c r="F2463" s="896" t="s">
        <v>7047</v>
      </c>
      <c r="G2463" s="897" t="s">
        <v>2167</v>
      </c>
      <c r="H2463" s="894">
        <f t="shared" si="63"/>
        <v>0</v>
      </c>
      <c r="I2463" s="1435"/>
      <c r="J2463" s="1446">
        <f t="shared" si="64"/>
        <v>0</v>
      </c>
      <c r="K2463" s="898">
        <v>190000</v>
      </c>
    </row>
    <row r="2464" spans="4:11" ht="22.8" hidden="1" customHeight="1">
      <c r="D2464" s="916">
        <v>199</v>
      </c>
      <c r="E2464" s="895"/>
      <c r="F2464" s="896" t="s">
        <v>7003</v>
      </c>
      <c r="G2464" s="897" t="s">
        <v>2167</v>
      </c>
      <c r="H2464" s="894">
        <f t="shared" si="63"/>
        <v>0</v>
      </c>
      <c r="I2464" s="1435"/>
      <c r="J2464" s="1446">
        <f t="shared" si="64"/>
        <v>0</v>
      </c>
      <c r="K2464" s="898">
        <v>210000</v>
      </c>
    </row>
    <row r="2465" spans="4:11" ht="22.8" hidden="1" customHeight="1">
      <c r="D2465" s="916">
        <v>200</v>
      </c>
      <c r="E2465" s="895"/>
      <c r="F2465" s="896" t="s">
        <v>7006</v>
      </c>
      <c r="G2465" s="897" t="s">
        <v>2167</v>
      </c>
      <c r="H2465" s="894">
        <f t="shared" si="63"/>
        <v>0</v>
      </c>
      <c r="I2465" s="1435"/>
      <c r="J2465" s="1446">
        <f t="shared" si="64"/>
        <v>0</v>
      </c>
      <c r="K2465" s="898">
        <v>200000</v>
      </c>
    </row>
    <row r="2466" spans="4:11" ht="22.8" hidden="1" customHeight="1">
      <c r="D2466" s="916">
        <v>201</v>
      </c>
      <c r="E2466" s="895"/>
      <c r="F2466" s="896" t="s">
        <v>7009</v>
      </c>
      <c r="G2466" s="897" t="s">
        <v>2167</v>
      </c>
      <c r="H2466" s="894">
        <f t="shared" si="63"/>
        <v>0</v>
      </c>
      <c r="I2466" s="1435"/>
      <c r="J2466" s="1446">
        <f t="shared" si="64"/>
        <v>0</v>
      </c>
      <c r="K2466" s="898">
        <v>190000</v>
      </c>
    </row>
    <row r="2467" spans="4:11" ht="22.8" hidden="1" customHeight="1">
      <c r="D2467" s="916">
        <v>202</v>
      </c>
      <c r="E2467" s="895"/>
      <c r="F2467" s="896" t="s">
        <v>7063</v>
      </c>
      <c r="G2467" s="897" t="s">
        <v>3516</v>
      </c>
      <c r="H2467" s="894">
        <f t="shared" ref="H2467:H2530" si="65">I2467</f>
        <v>0</v>
      </c>
      <c r="I2467" s="1435"/>
      <c r="J2467" s="1446">
        <f t="shared" si="64"/>
        <v>0</v>
      </c>
      <c r="K2467" s="898">
        <v>210000</v>
      </c>
    </row>
    <row r="2468" spans="4:11" ht="22.8" hidden="1" customHeight="1">
      <c r="D2468" s="916">
        <v>203</v>
      </c>
      <c r="E2468" s="895"/>
      <c r="F2468" s="896" t="s">
        <v>7066</v>
      </c>
      <c r="G2468" s="897" t="s">
        <v>3516</v>
      </c>
      <c r="H2468" s="894">
        <f t="shared" si="65"/>
        <v>0</v>
      </c>
      <c r="I2468" s="1435"/>
      <c r="J2468" s="1446">
        <f t="shared" si="64"/>
        <v>0</v>
      </c>
      <c r="K2468" s="898">
        <v>210000</v>
      </c>
    </row>
    <row r="2469" spans="4:11" ht="22.8" hidden="1" customHeight="1">
      <c r="D2469" s="916">
        <v>204</v>
      </c>
      <c r="E2469" s="895"/>
      <c r="F2469" s="896" t="s">
        <v>7099</v>
      </c>
      <c r="G2469" s="897" t="s">
        <v>3516</v>
      </c>
      <c r="H2469" s="894">
        <f t="shared" si="65"/>
        <v>0</v>
      </c>
      <c r="I2469" s="1435"/>
      <c r="J2469" s="1446">
        <f t="shared" si="64"/>
        <v>0</v>
      </c>
      <c r="K2469" s="898">
        <v>350000</v>
      </c>
    </row>
    <row r="2470" spans="4:11" ht="22.8" hidden="1" customHeight="1">
      <c r="D2470" s="916">
        <v>205</v>
      </c>
      <c r="E2470" s="895"/>
      <c r="F2470" s="896" t="s">
        <v>7155</v>
      </c>
      <c r="G2470" s="897" t="s">
        <v>3516</v>
      </c>
      <c r="H2470" s="894">
        <f t="shared" si="65"/>
        <v>0</v>
      </c>
      <c r="I2470" s="1435"/>
      <c r="J2470" s="1446">
        <f t="shared" si="64"/>
        <v>0</v>
      </c>
      <c r="K2470" s="898">
        <v>375000</v>
      </c>
    </row>
    <row r="2471" spans="4:11" ht="22.8" hidden="1" customHeight="1">
      <c r="D2471" s="916">
        <v>206</v>
      </c>
      <c r="E2471" s="895"/>
      <c r="F2471" s="896" t="s">
        <v>7194</v>
      </c>
      <c r="G2471" s="897" t="s">
        <v>3516</v>
      </c>
      <c r="H2471" s="894">
        <f t="shared" si="65"/>
        <v>0</v>
      </c>
      <c r="I2471" s="1435"/>
      <c r="J2471" s="1446">
        <f t="shared" si="64"/>
        <v>0</v>
      </c>
      <c r="K2471" s="898">
        <v>400000</v>
      </c>
    </row>
    <row r="2472" spans="4:11" ht="22.8" hidden="1" customHeight="1">
      <c r="D2472" s="916">
        <v>207</v>
      </c>
      <c r="E2472" s="895"/>
      <c r="F2472" s="896" t="s">
        <v>7217</v>
      </c>
      <c r="G2472" s="897" t="s">
        <v>3516</v>
      </c>
      <c r="H2472" s="894">
        <f t="shared" si="65"/>
        <v>0</v>
      </c>
      <c r="I2472" s="1435"/>
      <c r="J2472" s="1446">
        <f t="shared" si="64"/>
        <v>0</v>
      </c>
      <c r="K2472" s="898">
        <v>425000</v>
      </c>
    </row>
    <row r="2473" spans="4:11" ht="22.8" hidden="1" customHeight="1">
      <c r="D2473" s="916">
        <v>208</v>
      </c>
      <c r="E2473" s="895"/>
      <c r="F2473" s="896" t="s">
        <v>7102</v>
      </c>
      <c r="G2473" s="897" t="s">
        <v>3516</v>
      </c>
      <c r="H2473" s="894">
        <f t="shared" si="65"/>
        <v>0</v>
      </c>
      <c r="I2473" s="1435"/>
      <c r="J2473" s="1446">
        <f t="shared" si="64"/>
        <v>0</v>
      </c>
      <c r="K2473" s="898">
        <v>350000</v>
      </c>
    </row>
    <row r="2474" spans="4:11" ht="22.8" hidden="1" customHeight="1">
      <c r="D2474" s="916">
        <v>209</v>
      </c>
      <c r="E2474" s="895"/>
      <c r="F2474" s="896" t="s">
        <v>7069</v>
      </c>
      <c r="G2474" s="897" t="s">
        <v>3516</v>
      </c>
      <c r="H2474" s="894">
        <f t="shared" si="65"/>
        <v>0</v>
      </c>
      <c r="I2474" s="1435"/>
      <c r="J2474" s="1446">
        <f t="shared" si="64"/>
        <v>0</v>
      </c>
      <c r="K2474" s="898">
        <v>220000</v>
      </c>
    </row>
    <row r="2475" spans="4:11" ht="22.8" hidden="1" customHeight="1">
      <c r="D2475" s="916">
        <v>210</v>
      </c>
      <c r="E2475" s="895"/>
      <c r="F2475" s="896" t="s">
        <v>7105</v>
      </c>
      <c r="G2475" s="897" t="s">
        <v>3516</v>
      </c>
      <c r="H2475" s="894">
        <f t="shared" si="65"/>
        <v>0</v>
      </c>
      <c r="I2475" s="1435"/>
      <c r="J2475" s="1446">
        <f t="shared" si="64"/>
        <v>0</v>
      </c>
      <c r="K2475" s="898">
        <v>350000</v>
      </c>
    </row>
    <row r="2476" spans="4:11" ht="22.8" hidden="1" customHeight="1">
      <c r="D2476" s="916">
        <v>211</v>
      </c>
      <c r="E2476" s="895"/>
      <c r="F2476" s="896" t="s">
        <v>7072</v>
      </c>
      <c r="G2476" s="897" t="s">
        <v>3516</v>
      </c>
      <c r="H2476" s="894">
        <f t="shared" si="65"/>
        <v>0</v>
      </c>
      <c r="I2476" s="1435"/>
      <c r="J2476" s="1446">
        <f t="shared" si="64"/>
        <v>0</v>
      </c>
      <c r="K2476" s="898">
        <v>225000</v>
      </c>
    </row>
    <row r="2477" spans="4:11" ht="22.8" hidden="1" customHeight="1">
      <c r="D2477" s="916">
        <v>212</v>
      </c>
      <c r="E2477" s="895"/>
      <c r="F2477" s="896" t="s">
        <v>7117</v>
      </c>
      <c r="G2477" s="897" t="s">
        <v>3516</v>
      </c>
      <c r="H2477" s="894">
        <f t="shared" si="65"/>
        <v>0</v>
      </c>
      <c r="I2477" s="1435"/>
      <c r="J2477" s="1446">
        <f t="shared" si="64"/>
        <v>0</v>
      </c>
      <c r="K2477" s="898">
        <v>350000</v>
      </c>
    </row>
    <row r="2478" spans="4:11" ht="22.8" hidden="1" customHeight="1">
      <c r="D2478" s="916">
        <v>213</v>
      </c>
      <c r="E2478" s="895"/>
      <c r="F2478" s="896" t="s">
        <v>7167</v>
      </c>
      <c r="G2478" s="897" t="s">
        <v>3516</v>
      </c>
      <c r="H2478" s="894">
        <f t="shared" si="65"/>
        <v>0</v>
      </c>
      <c r="I2478" s="1435"/>
      <c r="J2478" s="1446">
        <f t="shared" si="64"/>
        <v>0</v>
      </c>
      <c r="K2478" s="898">
        <v>375000</v>
      </c>
    </row>
    <row r="2479" spans="4:11" ht="22.8" hidden="1" customHeight="1">
      <c r="D2479" s="916">
        <v>214</v>
      </c>
      <c r="E2479" s="895"/>
      <c r="F2479" s="896" t="s">
        <v>7075</v>
      </c>
      <c r="G2479" s="897" t="s">
        <v>3516</v>
      </c>
      <c r="H2479" s="894">
        <f t="shared" si="65"/>
        <v>0</v>
      </c>
      <c r="I2479" s="1435"/>
      <c r="J2479" s="1446">
        <f t="shared" si="64"/>
        <v>0</v>
      </c>
      <c r="K2479" s="898">
        <v>225000</v>
      </c>
    </row>
    <row r="2480" spans="4:11" ht="22.8" hidden="1" customHeight="1">
      <c r="D2480" s="916">
        <v>215</v>
      </c>
      <c r="E2480" s="895"/>
      <c r="F2480" s="896" t="s">
        <v>7129</v>
      </c>
      <c r="G2480" s="897" t="s">
        <v>3516</v>
      </c>
      <c r="H2480" s="894">
        <f t="shared" si="65"/>
        <v>0</v>
      </c>
      <c r="I2480" s="1435"/>
      <c r="J2480" s="1446">
        <f t="shared" si="64"/>
        <v>0</v>
      </c>
      <c r="K2480" s="898">
        <v>150000</v>
      </c>
    </row>
    <row r="2481" spans="4:11" ht="22.8" hidden="1" customHeight="1">
      <c r="D2481" s="916">
        <v>216</v>
      </c>
      <c r="E2481" s="895"/>
      <c r="F2481" s="896" t="s">
        <v>7178</v>
      </c>
      <c r="G2481" s="897" t="s">
        <v>3516</v>
      </c>
      <c r="H2481" s="894">
        <f t="shared" si="65"/>
        <v>0</v>
      </c>
      <c r="I2481" s="1435"/>
      <c r="J2481" s="1446">
        <f t="shared" si="64"/>
        <v>0</v>
      </c>
      <c r="K2481" s="898">
        <v>275000</v>
      </c>
    </row>
    <row r="2482" spans="4:11" ht="22.8" hidden="1" customHeight="1">
      <c r="D2482" s="916">
        <v>217</v>
      </c>
      <c r="E2482" s="895"/>
      <c r="F2482" s="896" t="s">
        <v>7203</v>
      </c>
      <c r="G2482" s="897" t="s">
        <v>3516</v>
      </c>
      <c r="H2482" s="894">
        <f t="shared" si="65"/>
        <v>0</v>
      </c>
      <c r="I2482" s="1435"/>
      <c r="J2482" s="1446">
        <f t="shared" si="64"/>
        <v>0</v>
      </c>
      <c r="K2482" s="898">
        <v>300000</v>
      </c>
    </row>
    <row r="2483" spans="4:11" ht="22.8" hidden="1" customHeight="1">
      <c r="D2483" s="916">
        <v>218</v>
      </c>
      <c r="E2483" s="895"/>
      <c r="F2483" s="896" t="s">
        <v>7226</v>
      </c>
      <c r="G2483" s="897" t="s">
        <v>3516</v>
      </c>
      <c r="H2483" s="894">
        <f t="shared" si="65"/>
        <v>0</v>
      </c>
      <c r="I2483" s="1435"/>
      <c r="J2483" s="1446">
        <f t="shared" si="64"/>
        <v>0</v>
      </c>
      <c r="K2483" s="898">
        <v>325000</v>
      </c>
    </row>
    <row r="2484" spans="4:11" ht="22.8" hidden="1" customHeight="1">
      <c r="D2484" s="916">
        <v>219</v>
      </c>
      <c r="E2484" s="895"/>
      <c r="F2484" s="896" t="s">
        <v>7248</v>
      </c>
      <c r="G2484" s="897" t="s">
        <v>4490</v>
      </c>
      <c r="H2484" s="894">
        <f t="shared" si="65"/>
        <v>0</v>
      </c>
      <c r="I2484" s="1435"/>
      <c r="J2484" s="1446">
        <f t="shared" si="64"/>
        <v>0</v>
      </c>
      <c r="K2484" s="898">
        <v>350000</v>
      </c>
    </row>
    <row r="2485" spans="4:11" ht="22.8" hidden="1" customHeight="1">
      <c r="D2485" s="916">
        <v>220</v>
      </c>
      <c r="E2485" s="895"/>
      <c r="F2485" s="896" t="s">
        <v>7078</v>
      </c>
      <c r="G2485" s="897" t="s">
        <v>3516</v>
      </c>
      <c r="H2485" s="894">
        <f t="shared" si="65"/>
        <v>0</v>
      </c>
      <c r="I2485" s="1435"/>
      <c r="J2485" s="1446">
        <f t="shared" si="64"/>
        <v>0</v>
      </c>
      <c r="K2485" s="898">
        <v>225000</v>
      </c>
    </row>
    <row r="2486" spans="4:11" ht="22.8" hidden="1" customHeight="1">
      <c r="D2486" s="916">
        <v>221</v>
      </c>
      <c r="E2486" s="895"/>
      <c r="F2486" s="896" t="s">
        <v>7132</v>
      </c>
      <c r="G2486" s="897" t="s">
        <v>3516</v>
      </c>
      <c r="H2486" s="894">
        <f t="shared" si="65"/>
        <v>0</v>
      </c>
      <c r="I2486" s="1435"/>
      <c r="J2486" s="1446">
        <f t="shared" si="64"/>
        <v>0</v>
      </c>
      <c r="K2486" s="898">
        <v>150000</v>
      </c>
    </row>
    <row r="2487" spans="4:11" ht="22.8" hidden="1" customHeight="1">
      <c r="D2487" s="916">
        <v>222</v>
      </c>
      <c r="E2487" s="895"/>
      <c r="F2487" s="896" t="s">
        <v>7081</v>
      </c>
      <c r="G2487" s="897" t="s">
        <v>3516</v>
      </c>
      <c r="H2487" s="894">
        <f t="shared" si="65"/>
        <v>0</v>
      </c>
      <c r="I2487" s="1435"/>
      <c r="J2487" s="1446">
        <f t="shared" si="64"/>
        <v>0</v>
      </c>
      <c r="K2487" s="898">
        <v>225000</v>
      </c>
    </row>
    <row r="2488" spans="4:11" ht="22.8" hidden="1" customHeight="1">
      <c r="D2488" s="916">
        <v>223</v>
      </c>
      <c r="E2488" s="895"/>
      <c r="F2488" s="896" t="s">
        <v>7138</v>
      </c>
      <c r="G2488" s="897" t="s">
        <v>3516</v>
      </c>
      <c r="H2488" s="894">
        <f t="shared" si="65"/>
        <v>0</v>
      </c>
      <c r="I2488" s="1435"/>
      <c r="J2488" s="1446">
        <f t="shared" si="64"/>
        <v>0</v>
      </c>
      <c r="K2488" s="898">
        <v>250000</v>
      </c>
    </row>
    <row r="2489" spans="4:11" ht="22.8" hidden="1" customHeight="1">
      <c r="D2489" s="916">
        <v>224</v>
      </c>
      <c r="E2489" s="895"/>
      <c r="F2489" s="896" t="s">
        <v>7091</v>
      </c>
      <c r="G2489" s="897" t="s">
        <v>3516</v>
      </c>
      <c r="H2489" s="894">
        <f t="shared" si="65"/>
        <v>0</v>
      </c>
      <c r="I2489" s="1435"/>
      <c r="J2489" s="1446">
        <f t="shared" si="64"/>
        <v>0</v>
      </c>
      <c r="K2489" s="898">
        <v>350000</v>
      </c>
    </row>
    <row r="2490" spans="4:11" ht="22.8" hidden="1" customHeight="1">
      <c r="D2490" s="916">
        <v>225</v>
      </c>
      <c r="E2490" s="895"/>
      <c r="F2490" s="896" t="s">
        <v>7146</v>
      </c>
      <c r="G2490" s="897" t="s">
        <v>3516</v>
      </c>
      <c r="H2490" s="894">
        <f t="shared" si="65"/>
        <v>0</v>
      </c>
      <c r="I2490" s="1435"/>
      <c r="J2490" s="1446">
        <f t="shared" si="64"/>
        <v>0</v>
      </c>
      <c r="K2490" s="898">
        <v>375000</v>
      </c>
    </row>
    <row r="2491" spans="4:11" ht="22.8" hidden="1" customHeight="1">
      <c r="D2491" s="916">
        <v>226</v>
      </c>
      <c r="E2491" s="895"/>
      <c r="F2491" s="896" t="s">
        <v>7108</v>
      </c>
      <c r="G2491" s="897" t="s">
        <v>3516</v>
      </c>
      <c r="H2491" s="894">
        <f t="shared" si="65"/>
        <v>0</v>
      </c>
      <c r="I2491" s="1435"/>
      <c r="J2491" s="1446">
        <f t="shared" si="64"/>
        <v>0</v>
      </c>
      <c r="K2491" s="898">
        <v>350000</v>
      </c>
    </row>
    <row r="2492" spans="4:11" ht="22.8" hidden="1" customHeight="1">
      <c r="D2492" s="916">
        <v>227</v>
      </c>
      <c r="E2492" s="895"/>
      <c r="F2492" s="896" t="s">
        <v>7158</v>
      </c>
      <c r="G2492" s="897" t="s">
        <v>2167</v>
      </c>
      <c r="H2492" s="894">
        <f t="shared" si="65"/>
        <v>0</v>
      </c>
      <c r="I2492" s="1435"/>
      <c r="J2492" s="1446">
        <f t="shared" si="64"/>
        <v>0</v>
      </c>
      <c r="K2492" s="898">
        <v>375000</v>
      </c>
    </row>
    <row r="2493" spans="4:11" ht="22.8" hidden="1" customHeight="1">
      <c r="D2493" s="916">
        <v>228</v>
      </c>
      <c r="E2493" s="895"/>
      <c r="F2493" s="896" t="s">
        <v>7197</v>
      </c>
      <c r="G2493" s="897" t="s">
        <v>3516</v>
      </c>
      <c r="H2493" s="894">
        <f t="shared" si="65"/>
        <v>0</v>
      </c>
      <c r="I2493" s="1435"/>
      <c r="J2493" s="1446">
        <f t="shared" si="64"/>
        <v>0</v>
      </c>
      <c r="K2493" s="898">
        <v>400000</v>
      </c>
    </row>
    <row r="2494" spans="4:11" ht="22.8" hidden="1" customHeight="1">
      <c r="D2494" s="916">
        <v>229</v>
      </c>
      <c r="E2494" s="895"/>
      <c r="F2494" s="896" t="s">
        <v>7220</v>
      </c>
      <c r="G2494" s="897" t="s">
        <v>3516</v>
      </c>
      <c r="H2494" s="894">
        <f t="shared" si="65"/>
        <v>0</v>
      </c>
      <c r="I2494" s="1435"/>
      <c r="J2494" s="1446">
        <f t="shared" si="64"/>
        <v>0</v>
      </c>
      <c r="K2494" s="898">
        <v>425000</v>
      </c>
    </row>
    <row r="2495" spans="4:11" ht="22.8" hidden="1" customHeight="1">
      <c r="D2495" s="916">
        <v>230</v>
      </c>
      <c r="E2495" s="895"/>
      <c r="F2495" s="896" t="s">
        <v>7111</v>
      </c>
      <c r="G2495" s="897" t="s">
        <v>3516</v>
      </c>
      <c r="H2495" s="894">
        <f t="shared" si="65"/>
        <v>0</v>
      </c>
      <c r="I2495" s="1435"/>
      <c r="J2495" s="1446">
        <f t="shared" si="64"/>
        <v>0</v>
      </c>
      <c r="K2495" s="898">
        <v>350000</v>
      </c>
    </row>
    <row r="2496" spans="4:11" ht="22.8" hidden="1" customHeight="1">
      <c r="D2496" s="916">
        <v>231</v>
      </c>
      <c r="E2496" s="895"/>
      <c r="F2496" s="896" t="s">
        <v>7161</v>
      </c>
      <c r="G2496" s="897" t="s">
        <v>3516</v>
      </c>
      <c r="H2496" s="894">
        <f t="shared" si="65"/>
        <v>0</v>
      </c>
      <c r="I2496" s="1435"/>
      <c r="J2496" s="1446">
        <f t="shared" ref="J2496:J2559" si="66">I2496-(I2496*10%)</f>
        <v>0</v>
      </c>
      <c r="K2496" s="898">
        <v>350000</v>
      </c>
    </row>
    <row r="2497" spans="4:11" ht="22.8" hidden="1" customHeight="1">
      <c r="D2497" s="916">
        <v>232</v>
      </c>
      <c r="E2497" s="895"/>
      <c r="F2497" s="896" t="s">
        <v>7114</v>
      </c>
      <c r="G2497" s="897" t="s">
        <v>3516</v>
      </c>
      <c r="H2497" s="894">
        <f t="shared" si="65"/>
        <v>0</v>
      </c>
      <c r="I2497" s="1435"/>
      <c r="J2497" s="1446">
        <f t="shared" si="66"/>
        <v>0</v>
      </c>
      <c r="K2497" s="898">
        <v>350000</v>
      </c>
    </row>
    <row r="2498" spans="4:11" ht="22.8" hidden="1" customHeight="1">
      <c r="D2498" s="916">
        <v>233</v>
      </c>
      <c r="E2498" s="895"/>
      <c r="F2498" s="896" t="s">
        <v>7164</v>
      </c>
      <c r="G2498" s="897" t="s">
        <v>3516</v>
      </c>
      <c r="H2498" s="894">
        <f t="shared" si="65"/>
        <v>0</v>
      </c>
      <c r="I2498" s="1435"/>
      <c r="J2498" s="1446">
        <f t="shared" si="66"/>
        <v>0</v>
      </c>
      <c r="K2498" s="898">
        <v>375000</v>
      </c>
    </row>
    <row r="2499" spans="4:11" ht="22.8" hidden="1" customHeight="1">
      <c r="D2499" s="916">
        <v>234</v>
      </c>
      <c r="E2499" s="895"/>
      <c r="F2499" s="896" t="s">
        <v>7126</v>
      </c>
      <c r="G2499" s="897" t="s">
        <v>3516</v>
      </c>
      <c r="H2499" s="894">
        <f t="shared" si="65"/>
        <v>0</v>
      </c>
      <c r="I2499" s="1435"/>
      <c r="J2499" s="1446">
        <f t="shared" si="66"/>
        <v>0</v>
      </c>
      <c r="K2499" s="898">
        <v>150000</v>
      </c>
    </row>
    <row r="2500" spans="4:11" ht="22.8" hidden="1" customHeight="1">
      <c r="D2500" s="916">
        <v>235</v>
      </c>
      <c r="E2500" s="895"/>
      <c r="F2500" s="896" t="s">
        <v>7175</v>
      </c>
      <c r="G2500" s="897" t="s">
        <v>3516</v>
      </c>
      <c r="H2500" s="894">
        <f t="shared" si="65"/>
        <v>0</v>
      </c>
      <c r="I2500" s="1435"/>
      <c r="J2500" s="1446">
        <f t="shared" si="66"/>
        <v>0</v>
      </c>
      <c r="K2500" s="898">
        <v>275000</v>
      </c>
    </row>
    <row r="2501" spans="4:11" ht="22.8" hidden="1" customHeight="1">
      <c r="D2501" s="916">
        <v>236</v>
      </c>
      <c r="E2501" s="895"/>
      <c r="F2501" s="896" t="s">
        <v>7149</v>
      </c>
      <c r="G2501" s="897" t="s">
        <v>2167</v>
      </c>
      <c r="H2501" s="894">
        <f t="shared" si="65"/>
        <v>0</v>
      </c>
      <c r="I2501" s="1435"/>
      <c r="J2501" s="1446">
        <f t="shared" si="66"/>
        <v>0</v>
      </c>
      <c r="K2501" s="898">
        <v>275000</v>
      </c>
    </row>
    <row r="2502" spans="4:11" ht="22.8" hidden="1" customHeight="1">
      <c r="D2502" s="916">
        <v>237</v>
      </c>
      <c r="E2502" s="895"/>
      <c r="F2502" s="896" t="s">
        <v>7185</v>
      </c>
      <c r="G2502" s="897" t="s">
        <v>3516</v>
      </c>
      <c r="H2502" s="894">
        <f t="shared" si="65"/>
        <v>0</v>
      </c>
      <c r="I2502" s="1435"/>
      <c r="J2502" s="1446">
        <f t="shared" si="66"/>
        <v>0</v>
      </c>
      <c r="K2502" s="898">
        <v>300000</v>
      </c>
    </row>
    <row r="2503" spans="4:11" ht="22.8" hidden="1" customHeight="1">
      <c r="D2503" s="916">
        <v>238</v>
      </c>
      <c r="E2503" s="895"/>
      <c r="F2503" s="896" t="s">
        <v>7214</v>
      </c>
      <c r="G2503" s="897" t="s">
        <v>3516</v>
      </c>
      <c r="H2503" s="894">
        <f t="shared" si="65"/>
        <v>0</v>
      </c>
      <c r="I2503" s="1435"/>
      <c r="J2503" s="1446">
        <f t="shared" si="66"/>
        <v>0</v>
      </c>
      <c r="K2503" s="898">
        <v>325000</v>
      </c>
    </row>
    <row r="2504" spans="4:11" ht="22.8" hidden="1" customHeight="1">
      <c r="D2504" s="916">
        <v>239</v>
      </c>
      <c r="E2504" s="895"/>
      <c r="F2504" s="896" t="s">
        <v>7240</v>
      </c>
      <c r="G2504" s="897" t="s">
        <v>4490</v>
      </c>
      <c r="H2504" s="894">
        <f t="shared" si="65"/>
        <v>0</v>
      </c>
      <c r="I2504" s="1435"/>
      <c r="J2504" s="1446">
        <f t="shared" si="66"/>
        <v>0</v>
      </c>
      <c r="K2504" s="898">
        <v>350000</v>
      </c>
    </row>
    <row r="2505" spans="4:11" ht="22.8" hidden="1" customHeight="1">
      <c r="D2505" s="916">
        <v>240</v>
      </c>
      <c r="E2505" s="895"/>
      <c r="F2505" s="896" t="s">
        <v>7234</v>
      </c>
      <c r="G2505" s="897" t="s">
        <v>4490</v>
      </c>
      <c r="H2505" s="894">
        <f t="shared" si="65"/>
        <v>0</v>
      </c>
      <c r="I2505" s="1435"/>
      <c r="J2505" s="1446">
        <f t="shared" si="66"/>
        <v>0</v>
      </c>
      <c r="K2505" s="898">
        <v>350000</v>
      </c>
    </row>
    <row r="2506" spans="4:11" ht="22.8" hidden="1" customHeight="1">
      <c r="D2506" s="916">
        <v>241</v>
      </c>
      <c r="E2506" s="895"/>
      <c r="F2506" s="896" t="s">
        <v>7301</v>
      </c>
      <c r="G2506" s="897" t="s">
        <v>3516</v>
      </c>
      <c r="H2506" s="894">
        <f t="shared" si="65"/>
        <v>0</v>
      </c>
      <c r="I2506" s="1435"/>
      <c r="J2506" s="1446">
        <f t="shared" si="66"/>
        <v>0</v>
      </c>
      <c r="K2506" s="898">
        <v>250000</v>
      </c>
    </row>
    <row r="2507" spans="4:11" ht="22.8" hidden="1" customHeight="1">
      <c r="D2507" s="916">
        <v>242</v>
      </c>
      <c r="E2507" s="895"/>
      <c r="F2507" s="896" t="s">
        <v>7304</v>
      </c>
      <c r="G2507" s="897" t="s">
        <v>3516</v>
      </c>
      <c r="H2507" s="894">
        <f t="shared" si="65"/>
        <v>0</v>
      </c>
      <c r="I2507" s="1435"/>
      <c r="J2507" s="1446">
        <f t="shared" si="66"/>
        <v>0</v>
      </c>
      <c r="K2507" s="898">
        <v>250000</v>
      </c>
    </row>
    <row r="2508" spans="4:11" ht="22.8" hidden="1" customHeight="1">
      <c r="D2508" s="916">
        <v>243</v>
      </c>
      <c r="E2508" s="895"/>
      <c r="F2508" s="896" t="s">
        <v>7320</v>
      </c>
      <c r="G2508" s="897" t="s">
        <v>3516</v>
      </c>
      <c r="H2508" s="894">
        <f t="shared" si="65"/>
        <v>0</v>
      </c>
      <c r="I2508" s="1435"/>
      <c r="J2508" s="1446">
        <f t="shared" si="66"/>
        <v>0</v>
      </c>
      <c r="K2508" s="898">
        <v>300000</v>
      </c>
    </row>
    <row r="2509" spans="4:11" ht="22.8" hidden="1" customHeight="1">
      <c r="D2509" s="916">
        <v>244</v>
      </c>
      <c r="E2509" s="895"/>
      <c r="F2509" s="896" t="s">
        <v>7336</v>
      </c>
      <c r="G2509" s="897" t="s">
        <v>3516</v>
      </c>
      <c r="H2509" s="894">
        <f t="shared" si="65"/>
        <v>0</v>
      </c>
      <c r="I2509" s="1435"/>
      <c r="J2509" s="1446">
        <f t="shared" si="66"/>
        <v>0</v>
      </c>
      <c r="K2509" s="898">
        <v>400000</v>
      </c>
    </row>
    <row r="2510" spans="4:11" ht="22.8" hidden="1" customHeight="1">
      <c r="D2510" s="916">
        <v>245</v>
      </c>
      <c r="E2510" s="895"/>
      <c r="F2510" s="896" t="s">
        <v>7355</v>
      </c>
      <c r="G2510" s="897" t="s">
        <v>3516</v>
      </c>
      <c r="H2510" s="894">
        <f t="shared" si="65"/>
        <v>0</v>
      </c>
      <c r="I2510" s="1435"/>
      <c r="J2510" s="1446">
        <f t="shared" si="66"/>
        <v>0</v>
      </c>
      <c r="K2510" s="898">
        <v>450000</v>
      </c>
    </row>
    <row r="2511" spans="4:11" ht="22.8" hidden="1" customHeight="1">
      <c r="D2511" s="916">
        <v>246</v>
      </c>
      <c r="E2511" s="895"/>
      <c r="F2511" s="896" t="s">
        <v>7307</v>
      </c>
      <c r="G2511" s="897" t="s">
        <v>3516</v>
      </c>
      <c r="H2511" s="894">
        <f t="shared" si="65"/>
        <v>0</v>
      </c>
      <c r="I2511" s="1435"/>
      <c r="J2511" s="1446">
        <f t="shared" si="66"/>
        <v>0</v>
      </c>
      <c r="K2511" s="898">
        <v>200000</v>
      </c>
    </row>
    <row r="2512" spans="4:11" ht="22.8" hidden="1" customHeight="1">
      <c r="D2512" s="916">
        <v>247</v>
      </c>
      <c r="E2512" s="895"/>
      <c r="F2512" s="896" t="s">
        <v>7323</v>
      </c>
      <c r="G2512" s="897" t="s">
        <v>3516</v>
      </c>
      <c r="H2512" s="894">
        <f t="shared" si="65"/>
        <v>0</v>
      </c>
      <c r="I2512" s="1435"/>
      <c r="J2512" s="1446">
        <f t="shared" si="66"/>
        <v>0</v>
      </c>
      <c r="K2512" s="898">
        <v>300000</v>
      </c>
    </row>
    <row r="2513" spans="4:11" ht="22.8" hidden="1" customHeight="1">
      <c r="D2513" s="916">
        <v>248</v>
      </c>
      <c r="E2513" s="895"/>
      <c r="F2513" s="896" t="s">
        <v>7339</v>
      </c>
      <c r="G2513" s="897" t="s">
        <v>3516</v>
      </c>
      <c r="H2513" s="894">
        <f t="shared" si="65"/>
        <v>0</v>
      </c>
      <c r="I2513" s="1435"/>
      <c r="J2513" s="1446">
        <f t="shared" si="66"/>
        <v>0</v>
      </c>
      <c r="K2513" s="898">
        <v>400000</v>
      </c>
    </row>
    <row r="2514" spans="4:11" ht="22.8" hidden="1" customHeight="1">
      <c r="D2514" s="916">
        <v>249</v>
      </c>
      <c r="E2514" s="895"/>
      <c r="F2514" s="896" t="s">
        <v>7358</v>
      </c>
      <c r="G2514" s="897" t="s">
        <v>3516</v>
      </c>
      <c r="H2514" s="894">
        <f t="shared" si="65"/>
        <v>0</v>
      </c>
      <c r="I2514" s="1435"/>
      <c r="J2514" s="1446">
        <f t="shared" si="66"/>
        <v>0</v>
      </c>
      <c r="K2514" s="898">
        <v>450000</v>
      </c>
    </row>
    <row r="2515" spans="4:11" ht="22.8" hidden="1" customHeight="1">
      <c r="D2515" s="916">
        <v>250</v>
      </c>
      <c r="E2515" s="895"/>
      <c r="F2515" s="896" t="s">
        <v>7310</v>
      </c>
      <c r="G2515" s="897" t="s">
        <v>3516</v>
      </c>
      <c r="H2515" s="894">
        <f t="shared" si="65"/>
        <v>0</v>
      </c>
      <c r="I2515" s="1435"/>
      <c r="J2515" s="1446">
        <f t="shared" si="66"/>
        <v>0</v>
      </c>
      <c r="K2515" s="898">
        <v>250000</v>
      </c>
    </row>
    <row r="2516" spans="4:11" ht="22.8" hidden="1" customHeight="1">
      <c r="D2516" s="916">
        <v>251</v>
      </c>
      <c r="E2516" s="895"/>
      <c r="F2516" s="896" t="s">
        <v>7326</v>
      </c>
      <c r="G2516" s="897" t="s">
        <v>3516</v>
      </c>
      <c r="H2516" s="894">
        <f t="shared" si="65"/>
        <v>0</v>
      </c>
      <c r="I2516" s="1435"/>
      <c r="J2516" s="1446">
        <f t="shared" si="66"/>
        <v>0</v>
      </c>
      <c r="K2516" s="898">
        <v>300000</v>
      </c>
    </row>
    <row r="2517" spans="4:11" ht="22.8" hidden="1" customHeight="1">
      <c r="D2517" s="916">
        <v>252</v>
      </c>
      <c r="E2517" s="895"/>
      <c r="F2517" s="896" t="s">
        <v>7342</v>
      </c>
      <c r="G2517" s="897" t="s">
        <v>3516</v>
      </c>
      <c r="H2517" s="894">
        <f t="shared" si="65"/>
        <v>0</v>
      </c>
      <c r="I2517" s="1435"/>
      <c r="J2517" s="1446">
        <f t="shared" si="66"/>
        <v>0</v>
      </c>
      <c r="K2517" s="898">
        <v>400000</v>
      </c>
    </row>
    <row r="2518" spans="4:11" ht="22.8" hidden="1" customHeight="1">
      <c r="D2518" s="916">
        <v>253</v>
      </c>
      <c r="E2518" s="895"/>
      <c r="F2518" s="896" t="s">
        <v>7361</v>
      </c>
      <c r="G2518" s="897" t="s">
        <v>4490</v>
      </c>
      <c r="H2518" s="894">
        <f t="shared" si="65"/>
        <v>0</v>
      </c>
      <c r="I2518" s="1435"/>
      <c r="J2518" s="1446">
        <f t="shared" si="66"/>
        <v>0</v>
      </c>
      <c r="K2518" s="898">
        <v>450000</v>
      </c>
    </row>
    <row r="2519" spans="4:11" ht="22.8" hidden="1" customHeight="1">
      <c r="D2519" s="916">
        <v>254</v>
      </c>
      <c r="E2519" s="895"/>
      <c r="F2519" s="896" t="s">
        <v>7313</v>
      </c>
      <c r="G2519" s="897" t="s">
        <v>3516</v>
      </c>
      <c r="H2519" s="894">
        <f t="shared" si="65"/>
        <v>0</v>
      </c>
      <c r="I2519" s="1435"/>
      <c r="J2519" s="1446">
        <f t="shared" si="66"/>
        <v>0</v>
      </c>
      <c r="K2519" s="898">
        <v>250000</v>
      </c>
    </row>
    <row r="2520" spans="4:11" ht="22.8" hidden="1" customHeight="1">
      <c r="D2520" s="916">
        <v>255</v>
      </c>
      <c r="E2520" s="895"/>
      <c r="F2520" s="896" t="s">
        <v>7329</v>
      </c>
      <c r="G2520" s="897" t="s">
        <v>3516</v>
      </c>
      <c r="H2520" s="894">
        <f t="shared" si="65"/>
        <v>0</v>
      </c>
      <c r="I2520" s="1435"/>
      <c r="J2520" s="1446">
        <f t="shared" si="66"/>
        <v>0</v>
      </c>
      <c r="K2520" s="898">
        <v>300000</v>
      </c>
    </row>
    <row r="2521" spans="4:11" ht="22.8" hidden="1" customHeight="1">
      <c r="D2521" s="916">
        <v>256</v>
      </c>
      <c r="E2521" s="895"/>
      <c r="F2521" s="896" t="s">
        <v>7345</v>
      </c>
      <c r="G2521" s="897" t="s">
        <v>3516</v>
      </c>
      <c r="H2521" s="894">
        <f t="shared" si="65"/>
        <v>0</v>
      </c>
      <c r="I2521" s="1435"/>
      <c r="J2521" s="1446">
        <f t="shared" si="66"/>
        <v>0</v>
      </c>
      <c r="K2521" s="898">
        <v>400000</v>
      </c>
    </row>
    <row r="2522" spans="4:11" ht="22.8" hidden="1" customHeight="1">
      <c r="D2522" s="916">
        <v>257</v>
      </c>
      <c r="E2522" s="895"/>
      <c r="F2522" s="896" t="s">
        <v>7349</v>
      </c>
      <c r="G2522" s="897" t="s">
        <v>3516</v>
      </c>
      <c r="H2522" s="894">
        <f t="shared" si="65"/>
        <v>0</v>
      </c>
      <c r="I2522" s="1435"/>
      <c r="J2522" s="1446">
        <f t="shared" si="66"/>
        <v>0</v>
      </c>
      <c r="K2522" s="898">
        <v>450000</v>
      </c>
    </row>
    <row r="2523" spans="4:11" ht="22.8" hidden="1" customHeight="1">
      <c r="D2523" s="916">
        <v>258</v>
      </c>
      <c r="E2523" s="895"/>
      <c r="F2523" s="896" t="s">
        <v>5581</v>
      </c>
      <c r="G2523" s="897" t="s">
        <v>44</v>
      </c>
      <c r="H2523" s="894">
        <f t="shared" si="65"/>
        <v>0</v>
      </c>
      <c r="I2523" s="1435"/>
      <c r="J2523" s="1446">
        <f t="shared" si="66"/>
        <v>0</v>
      </c>
      <c r="K2523" s="898">
        <v>15000</v>
      </c>
    </row>
    <row r="2524" spans="4:11" ht="22.8" hidden="1" customHeight="1">
      <c r="D2524" s="916">
        <v>259</v>
      </c>
      <c r="E2524" s="895"/>
      <c r="F2524" s="896" t="s">
        <v>5583</v>
      </c>
      <c r="G2524" s="897" t="s">
        <v>44</v>
      </c>
      <c r="H2524" s="894">
        <f t="shared" si="65"/>
        <v>0</v>
      </c>
      <c r="I2524" s="1435"/>
      <c r="J2524" s="1446">
        <f t="shared" si="66"/>
        <v>0</v>
      </c>
      <c r="K2524" s="898">
        <v>45000</v>
      </c>
    </row>
    <row r="2525" spans="4:11" ht="22.8" hidden="1" customHeight="1">
      <c r="D2525" s="916">
        <v>260</v>
      </c>
      <c r="E2525" s="895"/>
      <c r="F2525" s="896" t="s">
        <v>5585</v>
      </c>
      <c r="G2525" s="897" t="s">
        <v>44</v>
      </c>
      <c r="H2525" s="894">
        <f t="shared" si="65"/>
        <v>0</v>
      </c>
      <c r="I2525" s="1435"/>
      <c r="J2525" s="1446">
        <f t="shared" si="66"/>
        <v>0</v>
      </c>
      <c r="K2525" s="898">
        <v>230000</v>
      </c>
    </row>
    <row r="2526" spans="4:11" ht="22.8" hidden="1" customHeight="1">
      <c r="D2526" s="916">
        <v>261</v>
      </c>
      <c r="E2526" s="895"/>
      <c r="F2526" s="896" t="s">
        <v>7317</v>
      </c>
      <c r="G2526" s="897" t="s">
        <v>3516</v>
      </c>
      <c r="H2526" s="894">
        <f t="shared" si="65"/>
        <v>0</v>
      </c>
      <c r="I2526" s="1435"/>
      <c r="J2526" s="1446">
        <f t="shared" si="66"/>
        <v>0</v>
      </c>
      <c r="K2526" s="898">
        <v>300000</v>
      </c>
    </row>
    <row r="2527" spans="4:11" ht="22.8" hidden="1" customHeight="1">
      <c r="D2527" s="916">
        <v>262</v>
      </c>
      <c r="E2527" s="895"/>
      <c r="F2527" s="896" t="s">
        <v>7333</v>
      </c>
      <c r="G2527" s="897" t="s">
        <v>3516</v>
      </c>
      <c r="H2527" s="894">
        <f t="shared" si="65"/>
        <v>0</v>
      </c>
      <c r="I2527" s="1435"/>
      <c r="J2527" s="1446">
        <f t="shared" si="66"/>
        <v>0</v>
      </c>
      <c r="K2527" s="898">
        <v>400000</v>
      </c>
    </row>
    <row r="2528" spans="4:11" ht="22.8" hidden="1" customHeight="1">
      <c r="D2528" s="916">
        <v>263</v>
      </c>
      <c r="E2528" s="895"/>
      <c r="F2528" s="896" t="s">
        <v>7352</v>
      </c>
      <c r="G2528" s="897" t="s">
        <v>3516</v>
      </c>
      <c r="H2528" s="894">
        <f t="shared" si="65"/>
        <v>0</v>
      </c>
      <c r="I2528" s="1435"/>
      <c r="J2528" s="1446">
        <f t="shared" si="66"/>
        <v>0</v>
      </c>
      <c r="K2528" s="898">
        <v>450000</v>
      </c>
    </row>
    <row r="2529" spans="4:11" ht="22.8" hidden="1" customHeight="1">
      <c r="D2529" s="916">
        <v>264</v>
      </c>
      <c r="E2529" s="895"/>
      <c r="F2529" s="896" t="s">
        <v>5587</v>
      </c>
      <c r="G2529" s="897" t="s">
        <v>44</v>
      </c>
      <c r="H2529" s="894">
        <f t="shared" si="65"/>
        <v>0</v>
      </c>
      <c r="I2529" s="1435"/>
      <c r="J2529" s="1446">
        <f t="shared" si="66"/>
        <v>0</v>
      </c>
      <c r="K2529" s="898">
        <v>445000</v>
      </c>
    </row>
    <row r="2530" spans="4:11" ht="22.8" hidden="1" customHeight="1">
      <c r="D2530" s="916">
        <v>265</v>
      </c>
      <c r="E2530" s="895"/>
      <c r="F2530" s="896" t="s">
        <v>5589</v>
      </c>
      <c r="G2530" s="897"/>
      <c r="H2530" s="894">
        <f t="shared" si="65"/>
        <v>0</v>
      </c>
      <c r="I2530" s="1435"/>
      <c r="J2530" s="1446">
        <f t="shared" si="66"/>
        <v>0</v>
      </c>
      <c r="K2530" s="898">
        <v>460000</v>
      </c>
    </row>
    <row r="2531" spans="4:11" ht="22.8" hidden="1" customHeight="1">
      <c r="D2531" s="916">
        <v>266</v>
      </c>
      <c r="E2531" s="895"/>
      <c r="F2531" s="896" t="s">
        <v>7256</v>
      </c>
      <c r="G2531" s="897" t="s">
        <v>3516</v>
      </c>
      <c r="H2531" s="894">
        <f t="shared" ref="H2531:H2594" si="67">I2531</f>
        <v>0</v>
      </c>
      <c r="I2531" s="1435"/>
      <c r="J2531" s="1446">
        <f t="shared" si="66"/>
        <v>0</v>
      </c>
      <c r="K2531" s="898">
        <v>150000</v>
      </c>
    </row>
    <row r="2532" spans="4:11" ht="22.8" hidden="1" customHeight="1">
      <c r="D2532" s="916">
        <v>267</v>
      </c>
      <c r="E2532" s="895"/>
      <c r="F2532" s="896" t="s">
        <v>7279</v>
      </c>
      <c r="G2532" s="897" t="s">
        <v>4490</v>
      </c>
      <c r="H2532" s="894">
        <f t="shared" si="67"/>
        <v>0</v>
      </c>
      <c r="I2532" s="1435"/>
      <c r="J2532" s="1446">
        <f t="shared" si="66"/>
        <v>0</v>
      </c>
      <c r="K2532" s="898">
        <v>200000</v>
      </c>
    </row>
    <row r="2533" spans="4:11" ht="22.8" hidden="1" customHeight="1">
      <c r="D2533" s="916">
        <v>268</v>
      </c>
      <c r="E2533" s="895"/>
      <c r="F2533" s="896" t="s">
        <v>7260</v>
      </c>
      <c r="G2533" s="897" t="s">
        <v>3516</v>
      </c>
      <c r="H2533" s="894">
        <f t="shared" si="67"/>
        <v>0</v>
      </c>
      <c r="I2533" s="1435"/>
      <c r="J2533" s="1446">
        <f t="shared" si="66"/>
        <v>0</v>
      </c>
      <c r="K2533" s="898">
        <v>150000</v>
      </c>
    </row>
    <row r="2534" spans="4:11" ht="22.8" hidden="1" customHeight="1">
      <c r="D2534" s="916">
        <v>269</v>
      </c>
      <c r="E2534" s="895"/>
      <c r="F2534" s="896" t="s">
        <v>7282</v>
      </c>
      <c r="G2534" s="897" t="s">
        <v>4490</v>
      </c>
      <c r="H2534" s="894">
        <f t="shared" si="67"/>
        <v>0</v>
      </c>
      <c r="I2534" s="1435"/>
      <c r="J2534" s="1446">
        <f t="shared" si="66"/>
        <v>0</v>
      </c>
      <c r="K2534" s="898">
        <v>200000</v>
      </c>
    </row>
    <row r="2535" spans="4:11" ht="22.8" hidden="1" customHeight="1">
      <c r="D2535" s="916">
        <v>270</v>
      </c>
      <c r="E2535" s="895"/>
      <c r="F2535" s="896" t="s">
        <v>7263</v>
      </c>
      <c r="G2535" s="897" t="s">
        <v>3516</v>
      </c>
      <c r="H2535" s="894">
        <f t="shared" si="67"/>
        <v>0</v>
      </c>
      <c r="I2535" s="1435"/>
      <c r="J2535" s="1446">
        <f t="shared" si="66"/>
        <v>0</v>
      </c>
      <c r="K2535" s="898">
        <v>150000</v>
      </c>
    </row>
    <row r="2536" spans="4:11" ht="22.8" hidden="1" customHeight="1">
      <c r="D2536" s="916">
        <v>271</v>
      </c>
      <c r="E2536" s="895"/>
      <c r="F2536" s="896" t="s">
        <v>7285</v>
      </c>
      <c r="G2536" s="897" t="s">
        <v>4490</v>
      </c>
      <c r="H2536" s="894">
        <f t="shared" si="67"/>
        <v>0</v>
      </c>
      <c r="I2536" s="1435"/>
      <c r="J2536" s="1446">
        <f t="shared" si="66"/>
        <v>0</v>
      </c>
      <c r="K2536" s="898">
        <v>200000</v>
      </c>
    </row>
    <row r="2537" spans="4:11" ht="22.8" hidden="1" customHeight="1">
      <c r="D2537" s="916">
        <v>272</v>
      </c>
      <c r="E2537" s="895"/>
      <c r="F2537" s="896" t="s">
        <v>7266</v>
      </c>
      <c r="G2537" s="897" t="s">
        <v>3516</v>
      </c>
      <c r="H2537" s="894">
        <f t="shared" si="67"/>
        <v>0</v>
      </c>
      <c r="I2537" s="1435"/>
      <c r="J2537" s="1446">
        <f t="shared" si="66"/>
        <v>0</v>
      </c>
      <c r="K2537" s="898">
        <v>150000</v>
      </c>
    </row>
    <row r="2538" spans="4:11" ht="22.8" hidden="1" customHeight="1">
      <c r="D2538" s="916">
        <v>273</v>
      </c>
      <c r="E2538" s="895"/>
      <c r="F2538" s="896" t="s">
        <v>7269</v>
      </c>
      <c r="G2538" s="897" t="s">
        <v>3516</v>
      </c>
      <c r="H2538" s="894">
        <f t="shared" si="67"/>
        <v>0</v>
      </c>
      <c r="I2538" s="1435"/>
      <c r="J2538" s="1446">
        <f t="shared" si="66"/>
        <v>0</v>
      </c>
      <c r="K2538" s="898">
        <v>150000</v>
      </c>
    </row>
    <row r="2539" spans="4:11" ht="22.8" hidden="1" customHeight="1">
      <c r="D2539" s="916">
        <v>274</v>
      </c>
      <c r="E2539" s="895"/>
      <c r="F2539" s="896" t="s">
        <v>7291</v>
      </c>
      <c r="G2539" s="897" t="s">
        <v>3516</v>
      </c>
      <c r="H2539" s="894">
        <f t="shared" si="67"/>
        <v>0</v>
      </c>
      <c r="I2539" s="1435"/>
      <c r="J2539" s="1446">
        <f t="shared" si="66"/>
        <v>0</v>
      </c>
      <c r="K2539" s="898">
        <v>200000</v>
      </c>
    </row>
    <row r="2540" spans="4:11" ht="22.8" hidden="1" customHeight="1">
      <c r="D2540" s="916">
        <v>275</v>
      </c>
      <c r="E2540" s="895"/>
      <c r="F2540" s="896" t="s">
        <v>7272</v>
      </c>
      <c r="G2540" s="897" t="s">
        <v>4490</v>
      </c>
      <c r="H2540" s="894">
        <f t="shared" si="67"/>
        <v>0</v>
      </c>
      <c r="I2540" s="1435"/>
      <c r="J2540" s="1446">
        <f t="shared" si="66"/>
        <v>0</v>
      </c>
      <c r="K2540" s="898">
        <v>150000</v>
      </c>
    </row>
    <row r="2541" spans="4:11" ht="22.8" hidden="1" customHeight="1">
      <c r="D2541" s="916">
        <v>276</v>
      </c>
      <c r="E2541" s="895"/>
      <c r="F2541" s="896" t="s">
        <v>7294</v>
      </c>
      <c r="G2541" s="897" t="s">
        <v>3516</v>
      </c>
      <c r="H2541" s="894">
        <f t="shared" si="67"/>
        <v>0</v>
      </c>
      <c r="I2541" s="1435"/>
      <c r="J2541" s="1446">
        <f t="shared" si="66"/>
        <v>0</v>
      </c>
      <c r="K2541" s="898">
        <v>200000</v>
      </c>
    </row>
    <row r="2542" spans="4:11" ht="22.8" hidden="1" customHeight="1">
      <c r="D2542" s="916">
        <v>277</v>
      </c>
      <c r="E2542" s="895"/>
      <c r="F2542" s="896" t="s">
        <v>7275</v>
      </c>
      <c r="G2542" s="897" t="s">
        <v>4490</v>
      </c>
      <c r="H2542" s="894">
        <f t="shared" si="67"/>
        <v>0</v>
      </c>
      <c r="I2542" s="1435"/>
      <c r="J2542" s="1446">
        <f t="shared" si="66"/>
        <v>0</v>
      </c>
      <c r="K2542" s="898">
        <v>150000</v>
      </c>
    </row>
    <row r="2543" spans="4:11" ht="22.8" hidden="1" customHeight="1">
      <c r="D2543" s="916">
        <v>278</v>
      </c>
      <c r="E2543" s="895"/>
      <c r="F2543" s="896" t="s">
        <v>7297</v>
      </c>
      <c r="G2543" s="897" t="s">
        <v>4490</v>
      </c>
      <c r="H2543" s="894">
        <f t="shared" si="67"/>
        <v>0</v>
      </c>
      <c r="I2543" s="1435"/>
      <c r="J2543" s="1446">
        <f t="shared" si="66"/>
        <v>0</v>
      </c>
      <c r="K2543" s="898">
        <v>200000</v>
      </c>
    </row>
    <row r="2544" spans="4:11" ht="22.8" hidden="1" customHeight="1">
      <c r="D2544" s="916">
        <v>279</v>
      </c>
      <c r="E2544" s="895"/>
      <c r="F2544" s="896" t="s">
        <v>7288</v>
      </c>
      <c r="G2544" s="897" t="s">
        <v>3516</v>
      </c>
      <c r="H2544" s="894">
        <f t="shared" si="67"/>
        <v>0</v>
      </c>
      <c r="I2544" s="1435"/>
      <c r="J2544" s="1446">
        <f t="shared" si="66"/>
        <v>0</v>
      </c>
      <c r="K2544" s="898">
        <v>200000</v>
      </c>
    </row>
    <row r="2545" spans="4:11" ht="22.8" hidden="1" customHeight="1">
      <c r="D2545" s="916">
        <v>280</v>
      </c>
      <c r="E2545" s="895"/>
      <c r="F2545" s="896" t="s">
        <v>5591</v>
      </c>
      <c r="G2545" s="897" t="s">
        <v>3516</v>
      </c>
      <c r="H2545" s="894">
        <f t="shared" si="67"/>
        <v>0</v>
      </c>
      <c r="I2545" s="1435"/>
      <c r="J2545" s="1446">
        <f t="shared" si="66"/>
        <v>0</v>
      </c>
      <c r="K2545" s="898">
        <v>510000</v>
      </c>
    </row>
    <row r="2546" spans="4:11" ht="22.8" hidden="1" customHeight="1">
      <c r="D2546" s="916">
        <v>281</v>
      </c>
      <c r="E2546" s="895"/>
      <c r="F2546" s="896" t="s">
        <v>6859</v>
      </c>
      <c r="G2546" s="897" t="s">
        <v>6675</v>
      </c>
      <c r="H2546" s="894">
        <f t="shared" si="67"/>
        <v>0</v>
      </c>
      <c r="I2546" s="1435"/>
      <c r="J2546" s="1446">
        <f t="shared" si="66"/>
        <v>0</v>
      </c>
      <c r="K2546" s="898">
        <v>10000</v>
      </c>
    </row>
    <row r="2547" spans="4:11" ht="22.8" hidden="1" customHeight="1">
      <c r="D2547" s="916">
        <v>282</v>
      </c>
      <c r="E2547" s="895"/>
      <c r="F2547" s="896" t="s">
        <v>6867</v>
      </c>
      <c r="G2547" s="897" t="s">
        <v>6675</v>
      </c>
      <c r="H2547" s="894">
        <f t="shared" si="67"/>
        <v>0</v>
      </c>
      <c r="I2547" s="1435"/>
      <c r="J2547" s="1446">
        <f t="shared" si="66"/>
        <v>0</v>
      </c>
      <c r="K2547" s="898">
        <v>15000</v>
      </c>
    </row>
    <row r="2548" spans="4:11" ht="22.8" hidden="1" customHeight="1">
      <c r="D2548" s="916">
        <v>283</v>
      </c>
      <c r="E2548" s="895"/>
      <c r="F2548" s="896" t="s">
        <v>6874</v>
      </c>
      <c r="G2548" s="897" t="s">
        <v>6675</v>
      </c>
      <c r="H2548" s="894">
        <f t="shared" si="67"/>
        <v>0</v>
      </c>
      <c r="I2548" s="1435"/>
      <c r="J2548" s="1446">
        <f t="shared" si="66"/>
        <v>0</v>
      </c>
      <c r="K2548" s="898">
        <v>20000</v>
      </c>
    </row>
    <row r="2549" spans="4:11" ht="22.8" hidden="1" customHeight="1">
      <c r="D2549" s="916">
        <v>284</v>
      </c>
      <c r="E2549" s="895"/>
      <c r="F2549" s="896" t="s">
        <v>7367</v>
      </c>
      <c r="G2549" s="897" t="s">
        <v>4490</v>
      </c>
      <c r="H2549" s="894">
        <f t="shared" si="67"/>
        <v>0</v>
      </c>
      <c r="I2549" s="1435"/>
      <c r="J2549" s="1446">
        <f t="shared" si="66"/>
        <v>0</v>
      </c>
      <c r="K2549" s="898">
        <v>3000</v>
      </c>
    </row>
    <row r="2550" spans="4:11" ht="22.8" hidden="1" customHeight="1">
      <c r="D2550" s="916">
        <v>285</v>
      </c>
      <c r="E2550" s="895"/>
      <c r="F2550" s="896" t="s">
        <v>7414</v>
      </c>
      <c r="G2550" s="897" t="s">
        <v>3516</v>
      </c>
      <c r="H2550" s="894">
        <f t="shared" si="67"/>
        <v>0</v>
      </c>
      <c r="I2550" s="1435"/>
      <c r="J2550" s="1446">
        <f t="shared" si="66"/>
        <v>0</v>
      </c>
      <c r="K2550" s="898">
        <v>5000</v>
      </c>
    </row>
    <row r="2551" spans="4:11" ht="22.8" hidden="1" customHeight="1">
      <c r="D2551" s="916">
        <v>286</v>
      </c>
      <c r="E2551" s="895"/>
      <c r="F2551" s="896" t="s">
        <v>7491</v>
      </c>
      <c r="G2551" s="897" t="s">
        <v>3516</v>
      </c>
      <c r="H2551" s="894">
        <f t="shared" si="67"/>
        <v>0</v>
      </c>
      <c r="I2551" s="1435"/>
      <c r="J2551" s="1446">
        <f t="shared" si="66"/>
        <v>0</v>
      </c>
      <c r="K2551" s="898">
        <v>9000</v>
      </c>
    </row>
    <row r="2552" spans="4:11" ht="22.8" hidden="1" customHeight="1">
      <c r="D2552" s="916">
        <v>287</v>
      </c>
      <c r="E2552" s="895"/>
      <c r="F2552" s="896" t="s">
        <v>7411</v>
      </c>
      <c r="G2552" s="897" t="s">
        <v>3516</v>
      </c>
      <c r="H2552" s="894">
        <f t="shared" si="67"/>
        <v>0</v>
      </c>
      <c r="I2552" s="1435"/>
      <c r="J2552" s="1446">
        <f t="shared" si="66"/>
        <v>0</v>
      </c>
      <c r="K2552" s="898">
        <v>5000</v>
      </c>
    </row>
    <row r="2553" spans="4:11" ht="22.8" hidden="1" customHeight="1">
      <c r="D2553" s="916">
        <v>288</v>
      </c>
      <c r="E2553" s="895"/>
      <c r="F2553" s="896" t="s">
        <v>7489</v>
      </c>
      <c r="G2553" s="897" t="s">
        <v>3516</v>
      </c>
      <c r="H2553" s="894">
        <f t="shared" si="67"/>
        <v>0</v>
      </c>
      <c r="I2553" s="1435"/>
      <c r="J2553" s="1446">
        <f t="shared" si="66"/>
        <v>0</v>
      </c>
      <c r="K2553" s="898">
        <v>9000</v>
      </c>
    </row>
    <row r="2554" spans="4:11" ht="22.8" hidden="1" customHeight="1">
      <c r="D2554" s="916">
        <v>289</v>
      </c>
      <c r="E2554" s="895"/>
      <c r="F2554" s="896" t="s">
        <v>7371</v>
      </c>
      <c r="G2554" s="897" t="s">
        <v>3516</v>
      </c>
      <c r="H2554" s="894">
        <f t="shared" si="67"/>
        <v>0</v>
      </c>
      <c r="I2554" s="1435"/>
      <c r="J2554" s="1446">
        <f t="shared" si="66"/>
        <v>0</v>
      </c>
      <c r="K2554" s="898">
        <v>3500</v>
      </c>
    </row>
    <row r="2555" spans="4:11" ht="22.8" hidden="1" customHeight="1">
      <c r="D2555" s="916">
        <v>290</v>
      </c>
      <c r="E2555" s="895"/>
      <c r="F2555" s="896" t="s">
        <v>7420</v>
      </c>
      <c r="G2555" s="897" t="s">
        <v>3516</v>
      </c>
      <c r="H2555" s="894">
        <f t="shared" si="67"/>
        <v>0</v>
      </c>
      <c r="I2555" s="1435"/>
      <c r="J2555" s="1446">
        <f t="shared" si="66"/>
        <v>0</v>
      </c>
      <c r="K2555" s="898">
        <v>5000</v>
      </c>
    </row>
    <row r="2556" spans="4:11" ht="22.8" hidden="1" customHeight="1">
      <c r="D2556" s="916">
        <v>291</v>
      </c>
      <c r="E2556" s="895"/>
      <c r="F2556" s="896" t="s">
        <v>7417</v>
      </c>
      <c r="G2556" s="897" t="s">
        <v>3516</v>
      </c>
      <c r="H2556" s="894">
        <f t="shared" si="67"/>
        <v>0</v>
      </c>
      <c r="I2556" s="1435"/>
      <c r="J2556" s="1446">
        <f t="shared" si="66"/>
        <v>0</v>
      </c>
      <c r="K2556" s="898">
        <v>5000</v>
      </c>
    </row>
    <row r="2557" spans="4:11" ht="22.8" hidden="1" customHeight="1">
      <c r="D2557" s="916">
        <v>292</v>
      </c>
      <c r="E2557" s="895"/>
      <c r="F2557" s="896" t="s">
        <v>7493</v>
      </c>
      <c r="G2557" s="897" t="s">
        <v>3516</v>
      </c>
      <c r="H2557" s="894">
        <f t="shared" si="67"/>
        <v>0</v>
      </c>
      <c r="I2557" s="1435"/>
      <c r="J2557" s="1446">
        <f t="shared" si="66"/>
        <v>0</v>
      </c>
      <c r="K2557" s="898">
        <v>9000</v>
      </c>
    </row>
    <row r="2558" spans="4:11" ht="22.8" hidden="1" customHeight="1">
      <c r="D2558" s="916">
        <v>293</v>
      </c>
      <c r="E2558" s="895"/>
      <c r="F2558" s="896" t="s">
        <v>7423</v>
      </c>
      <c r="G2558" s="897" t="s">
        <v>3516</v>
      </c>
      <c r="H2558" s="894">
        <f t="shared" si="67"/>
        <v>0</v>
      </c>
      <c r="I2558" s="1435"/>
      <c r="J2558" s="1446">
        <f t="shared" si="66"/>
        <v>0</v>
      </c>
      <c r="K2558" s="898">
        <v>5000</v>
      </c>
    </row>
    <row r="2559" spans="4:11" ht="22.8" hidden="1" customHeight="1">
      <c r="D2559" s="916">
        <v>294</v>
      </c>
      <c r="E2559" s="895"/>
      <c r="F2559" s="896" t="s">
        <v>7495</v>
      </c>
      <c r="G2559" s="897" t="s">
        <v>3516</v>
      </c>
      <c r="H2559" s="894">
        <f t="shared" si="67"/>
        <v>0</v>
      </c>
      <c r="I2559" s="1435"/>
      <c r="J2559" s="1446">
        <f t="shared" si="66"/>
        <v>0</v>
      </c>
      <c r="K2559" s="898">
        <v>9000</v>
      </c>
    </row>
    <row r="2560" spans="4:11" ht="22.8" hidden="1" customHeight="1">
      <c r="D2560" s="916">
        <v>295</v>
      </c>
      <c r="E2560" s="895"/>
      <c r="F2560" s="896" t="s">
        <v>7497</v>
      </c>
      <c r="G2560" s="897" t="s">
        <v>3516</v>
      </c>
      <c r="H2560" s="894">
        <f t="shared" si="67"/>
        <v>0</v>
      </c>
      <c r="I2560" s="1435"/>
      <c r="J2560" s="1446">
        <f t="shared" ref="J2560:J2623" si="68">I2560-(I2560*10%)</f>
        <v>0</v>
      </c>
      <c r="K2560" s="898">
        <v>9000</v>
      </c>
    </row>
    <row r="2561" spans="4:11" ht="22.8" hidden="1" customHeight="1">
      <c r="D2561" s="916">
        <v>296</v>
      </c>
      <c r="E2561" s="895"/>
      <c r="F2561" s="896" t="s">
        <v>7374</v>
      </c>
      <c r="G2561" s="897" t="s">
        <v>3516</v>
      </c>
      <c r="H2561" s="894">
        <f t="shared" si="67"/>
        <v>0</v>
      </c>
      <c r="I2561" s="1435"/>
      <c r="J2561" s="1446">
        <f t="shared" si="68"/>
        <v>0</v>
      </c>
      <c r="K2561" s="898">
        <v>3000</v>
      </c>
    </row>
    <row r="2562" spans="4:11" ht="22.8" hidden="1" customHeight="1">
      <c r="D2562" s="916">
        <v>297</v>
      </c>
      <c r="E2562" s="895"/>
      <c r="F2562" s="896" t="s">
        <v>7426</v>
      </c>
      <c r="G2562" s="897" t="s">
        <v>4490</v>
      </c>
      <c r="H2562" s="894">
        <f t="shared" si="67"/>
        <v>0</v>
      </c>
      <c r="I2562" s="1435"/>
      <c r="J2562" s="1446">
        <f t="shared" si="68"/>
        <v>0</v>
      </c>
      <c r="K2562" s="898">
        <v>5000</v>
      </c>
    </row>
    <row r="2563" spans="4:11" ht="22.8" hidden="1" customHeight="1">
      <c r="D2563" s="916">
        <v>298</v>
      </c>
      <c r="E2563" s="895"/>
      <c r="F2563" s="896" t="s">
        <v>7499</v>
      </c>
      <c r="G2563" s="897" t="s">
        <v>3516</v>
      </c>
      <c r="H2563" s="894">
        <f t="shared" si="67"/>
        <v>0</v>
      </c>
      <c r="I2563" s="1435"/>
      <c r="J2563" s="1446">
        <f t="shared" si="68"/>
        <v>0</v>
      </c>
      <c r="K2563" s="898">
        <v>9000</v>
      </c>
    </row>
    <row r="2564" spans="4:11" ht="22.8" hidden="1" customHeight="1">
      <c r="D2564" s="916">
        <v>299</v>
      </c>
      <c r="E2564" s="895"/>
      <c r="F2564" s="896" t="s">
        <v>7377</v>
      </c>
      <c r="G2564" s="897" t="s">
        <v>3516</v>
      </c>
      <c r="H2564" s="894">
        <f t="shared" si="67"/>
        <v>0</v>
      </c>
      <c r="I2564" s="1435"/>
      <c r="J2564" s="1446">
        <f t="shared" si="68"/>
        <v>0</v>
      </c>
      <c r="K2564" s="898">
        <v>3000</v>
      </c>
    </row>
    <row r="2565" spans="4:11" ht="22.8" hidden="1" customHeight="1">
      <c r="D2565" s="916">
        <v>300</v>
      </c>
      <c r="E2565" s="895"/>
      <c r="F2565" s="896" t="s">
        <v>7501</v>
      </c>
      <c r="G2565" s="897" t="s">
        <v>3516</v>
      </c>
      <c r="H2565" s="894">
        <f t="shared" si="67"/>
        <v>0</v>
      </c>
      <c r="I2565" s="1435"/>
      <c r="J2565" s="1446">
        <f t="shared" si="68"/>
        <v>0</v>
      </c>
      <c r="K2565" s="898">
        <v>9000</v>
      </c>
    </row>
    <row r="2566" spans="4:11" ht="22.8" hidden="1" customHeight="1">
      <c r="D2566" s="916">
        <v>301</v>
      </c>
      <c r="E2566" s="895"/>
      <c r="F2566" s="896" t="s">
        <v>5594</v>
      </c>
      <c r="G2566" s="897" t="s">
        <v>3516</v>
      </c>
      <c r="H2566" s="894">
        <f t="shared" si="67"/>
        <v>0</v>
      </c>
      <c r="I2566" s="1435"/>
      <c r="J2566" s="1446">
        <f t="shared" si="68"/>
        <v>0</v>
      </c>
      <c r="K2566" s="898">
        <v>2100</v>
      </c>
    </row>
    <row r="2567" spans="4:11" ht="22.8" hidden="1" customHeight="1">
      <c r="D2567" s="916">
        <v>302</v>
      </c>
      <c r="E2567" s="895"/>
      <c r="F2567" s="896" t="s">
        <v>7380</v>
      </c>
      <c r="G2567" s="897" t="s">
        <v>3516</v>
      </c>
      <c r="H2567" s="894">
        <f t="shared" si="67"/>
        <v>0</v>
      </c>
      <c r="I2567" s="1435"/>
      <c r="J2567" s="1446">
        <f t="shared" si="68"/>
        <v>0</v>
      </c>
      <c r="K2567" s="898">
        <v>3000</v>
      </c>
    </row>
    <row r="2568" spans="4:11" ht="22.8" hidden="1" customHeight="1">
      <c r="D2568" s="916">
        <v>303</v>
      </c>
      <c r="E2568" s="895"/>
      <c r="F2568" s="896" t="s">
        <v>7429</v>
      </c>
      <c r="G2568" s="897" t="s">
        <v>4490</v>
      </c>
      <c r="H2568" s="894">
        <f t="shared" si="67"/>
        <v>0</v>
      </c>
      <c r="I2568" s="1435"/>
      <c r="J2568" s="1446">
        <f t="shared" si="68"/>
        <v>0</v>
      </c>
      <c r="K2568" s="898">
        <v>5000</v>
      </c>
    </row>
    <row r="2569" spans="4:11" ht="22.8" hidden="1" customHeight="1">
      <c r="D2569" s="916">
        <v>304</v>
      </c>
      <c r="E2569" s="895"/>
      <c r="F2569" s="896" t="s">
        <v>7429</v>
      </c>
      <c r="G2569" s="897" t="s">
        <v>4490</v>
      </c>
      <c r="H2569" s="894">
        <f t="shared" si="67"/>
        <v>0</v>
      </c>
      <c r="I2569" s="1435"/>
      <c r="J2569" s="1446">
        <f t="shared" si="68"/>
        <v>0</v>
      </c>
      <c r="K2569" s="898">
        <v>5000</v>
      </c>
    </row>
    <row r="2570" spans="4:11" ht="22.8" hidden="1" customHeight="1">
      <c r="D2570" s="916">
        <v>305</v>
      </c>
      <c r="E2570" s="895"/>
      <c r="F2570" s="896" t="s">
        <v>7431</v>
      </c>
      <c r="G2570" s="897" t="s">
        <v>3516</v>
      </c>
      <c r="H2570" s="894">
        <f t="shared" si="67"/>
        <v>0</v>
      </c>
      <c r="I2570" s="1435"/>
      <c r="J2570" s="1446">
        <f t="shared" si="68"/>
        <v>0</v>
      </c>
      <c r="K2570" s="898">
        <v>5000</v>
      </c>
    </row>
    <row r="2571" spans="4:11" ht="22.8" hidden="1" customHeight="1">
      <c r="D2571" s="916">
        <v>306</v>
      </c>
      <c r="E2571" s="895"/>
      <c r="F2571" s="896" t="s">
        <v>7435</v>
      </c>
      <c r="G2571" s="897" t="s">
        <v>3516</v>
      </c>
      <c r="H2571" s="894">
        <f t="shared" si="67"/>
        <v>0</v>
      </c>
      <c r="I2571" s="1435"/>
      <c r="J2571" s="1446">
        <f t="shared" si="68"/>
        <v>0</v>
      </c>
      <c r="K2571" s="898">
        <v>5000</v>
      </c>
    </row>
    <row r="2572" spans="4:11" ht="22.8" hidden="1" customHeight="1">
      <c r="D2572" s="916">
        <v>307</v>
      </c>
      <c r="E2572" s="895"/>
      <c r="F2572" s="896" t="s">
        <v>7503</v>
      </c>
      <c r="G2572" s="897" t="s">
        <v>3516</v>
      </c>
      <c r="H2572" s="894">
        <f t="shared" si="67"/>
        <v>0</v>
      </c>
      <c r="I2572" s="1435"/>
      <c r="J2572" s="1446">
        <f t="shared" si="68"/>
        <v>0</v>
      </c>
      <c r="K2572" s="898">
        <v>9000</v>
      </c>
    </row>
    <row r="2573" spans="4:11" ht="22.8" hidden="1" customHeight="1">
      <c r="D2573" s="916">
        <v>308</v>
      </c>
      <c r="E2573" s="895"/>
      <c r="F2573" s="896" t="s">
        <v>7505</v>
      </c>
      <c r="G2573" s="897" t="s">
        <v>3516</v>
      </c>
      <c r="H2573" s="894">
        <f t="shared" si="67"/>
        <v>0</v>
      </c>
      <c r="I2573" s="1435"/>
      <c r="J2573" s="1446">
        <f t="shared" si="68"/>
        <v>0</v>
      </c>
      <c r="K2573" s="898">
        <v>9000</v>
      </c>
    </row>
    <row r="2574" spans="4:11" ht="22.8" hidden="1" customHeight="1">
      <c r="D2574" s="916">
        <v>309</v>
      </c>
      <c r="E2574" s="895"/>
      <c r="F2574" s="896" t="s">
        <v>7438</v>
      </c>
      <c r="G2574" s="897" t="s">
        <v>3516</v>
      </c>
      <c r="H2574" s="894">
        <f t="shared" si="67"/>
        <v>0</v>
      </c>
      <c r="I2574" s="1435"/>
      <c r="J2574" s="1446">
        <f t="shared" si="68"/>
        <v>0</v>
      </c>
      <c r="K2574" s="898">
        <v>5000</v>
      </c>
    </row>
    <row r="2575" spans="4:11" ht="22.8" hidden="1" customHeight="1">
      <c r="D2575" s="916">
        <v>310</v>
      </c>
      <c r="E2575" s="895"/>
      <c r="F2575" s="896" t="s">
        <v>7507</v>
      </c>
      <c r="G2575" s="897" t="s">
        <v>3516</v>
      </c>
      <c r="H2575" s="894">
        <f t="shared" si="67"/>
        <v>0</v>
      </c>
      <c r="I2575" s="1435"/>
      <c r="J2575" s="1446">
        <f t="shared" si="68"/>
        <v>0</v>
      </c>
      <c r="K2575" s="898">
        <v>9000</v>
      </c>
    </row>
    <row r="2576" spans="4:11" ht="22.8" hidden="1" customHeight="1">
      <c r="D2576" s="916">
        <v>311</v>
      </c>
      <c r="E2576" s="895"/>
      <c r="F2576" s="896" t="s">
        <v>7441</v>
      </c>
      <c r="G2576" s="897" t="s">
        <v>3516</v>
      </c>
      <c r="H2576" s="894">
        <f t="shared" si="67"/>
        <v>0</v>
      </c>
      <c r="I2576" s="1435"/>
      <c r="J2576" s="1446">
        <f t="shared" si="68"/>
        <v>0</v>
      </c>
      <c r="K2576" s="898">
        <v>5000</v>
      </c>
    </row>
    <row r="2577" spans="4:11" ht="22.8" hidden="1" customHeight="1">
      <c r="D2577" s="916">
        <v>312</v>
      </c>
      <c r="E2577" s="895"/>
      <c r="F2577" s="896" t="s">
        <v>7509</v>
      </c>
      <c r="G2577" s="897" t="s">
        <v>3516</v>
      </c>
      <c r="H2577" s="894">
        <f t="shared" si="67"/>
        <v>0</v>
      </c>
      <c r="I2577" s="1435"/>
      <c r="J2577" s="1446">
        <f t="shared" si="68"/>
        <v>0</v>
      </c>
      <c r="K2577" s="898">
        <v>9000</v>
      </c>
    </row>
    <row r="2578" spans="4:11" ht="22.8" hidden="1" customHeight="1">
      <c r="D2578" s="916">
        <v>313</v>
      </c>
      <c r="E2578" s="895"/>
      <c r="F2578" s="896" t="s">
        <v>7383</v>
      </c>
      <c r="G2578" s="897" t="s">
        <v>3516</v>
      </c>
      <c r="H2578" s="894">
        <f t="shared" si="67"/>
        <v>0</v>
      </c>
      <c r="I2578" s="1435"/>
      <c r="J2578" s="1446">
        <f t="shared" si="68"/>
        <v>0</v>
      </c>
      <c r="K2578" s="898">
        <v>3000</v>
      </c>
    </row>
    <row r="2579" spans="4:11" ht="22.8" hidden="1" customHeight="1">
      <c r="D2579" s="916">
        <v>314</v>
      </c>
      <c r="E2579" s="895"/>
      <c r="F2579" s="896" t="s">
        <v>7444</v>
      </c>
      <c r="G2579" s="897" t="s">
        <v>3516</v>
      </c>
      <c r="H2579" s="894">
        <f t="shared" si="67"/>
        <v>0</v>
      </c>
      <c r="I2579" s="1435"/>
      <c r="J2579" s="1446">
        <f t="shared" si="68"/>
        <v>0</v>
      </c>
      <c r="K2579" s="898">
        <v>5000</v>
      </c>
    </row>
    <row r="2580" spans="4:11" ht="22.8" hidden="1" customHeight="1">
      <c r="D2580" s="916">
        <v>315</v>
      </c>
      <c r="E2580" s="895"/>
      <c r="F2580" s="896" t="s">
        <v>7512</v>
      </c>
      <c r="G2580" s="897" t="s">
        <v>3516</v>
      </c>
      <c r="H2580" s="894">
        <f t="shared" si="67"/>
        <v>0</v>
      </c>
      <c r="I2580" s="1435"/>
      <c r="J2580" s="1446">
        <f t="shared" si="68"/>
        <v>0</v>
      </c>
      <c r="K2580" s="898">
        <v>9000</v>
      </c>
    </row>
    <row r="2581" spans="4:11" ht="22.8" hidden="1" customHeight="1">
      <c r="D2581" s="916">
        <v>316</v>
      </c>
      <c r="E2581" s="895"/>
      <c r="F2581" s="896" t="s">
        <v>7386</v>
      </c>
      <c r="G2581" s="897" t="s">
        <v>3516</v>
      </c>
      <c r="H2581" s="894">
        <f t="shared" si="67"/>
        <v>0</v>
      </c>
      <c r="I2581" s="1435"/>
      <c r="J2581" s="1446">
        <f t="shared" si="68"/>
        <v>0</v>
      </c>
      <c r="K2581" s="898">
        <v>3000</v>
      </c>
    </row>
    <row r="2582" spans="4:11" ht="22.8" hidden="1" customHeight="1">
      <c r="D2582" s="916">
        <v>317</v>
      </c>
      <c r="E2582" s="895"/>
      <c r="F2582" s="896" t="s">
        <v>7447</v>
      </c>
      <c r="G2582" s="897" t="s">
        <v>4490</v>
      </c>
      <c r="H2582" s="894">
        <f t="shared" si="67"/>
        <v>0</v>
      </c>
      <c r="I2582" s="1435"/>
      <c r="J2582" s="1446">
        <f t="shared" si="68"/>
        <v>0</v>
      </c>
      <c r="K2582" s="898">
        <v>5000</v>
      </c>
    </row>
    <row r="2583" spans="4:11" ht="22.8" hidden="1" customHeight="1">
      <c r="D2583" s="916">
        <v>318</v>
      </c>
      <c r="E2583" s="895"/>
      <c r="F2583" s="896" t="s">
        <v>7450</v>
      </c>
      <c r="G2583" s="897" t="s">
        <v>3516</v>
      </c>
      <c r="H2583" s="894">
        <f t="shared" si="67"/>
        <v>0</v>
      </c>
      <c r="I2583" s="1435"/>
      <c r="J2583" s="1446">
        <f t="shared" si="68"/>
        <v>0</v>
      </c>
      <c r="K2583" s="898">
        <v>5000</v>
      </c>
    </row>
    <row r="2584" spans="4:11" ht="22.8" hidden="1" customHeight="1">
      <c r="D2584" s="916">
        <v>319</v>
      </c>
      <c r="E2584" s="895"/>
      <c r="F2584" s="896" t="s">
        <v>7526</v>
      </c>
      <c r="G2584" s="897" t="s">
        <v>3516</v>
      </c>
      <c r="H2584" s="894">
        <f t="shared" si="67"/>
        <v>0</v>
      </c>
      <c r="I2584" s="1435"/>
      <c r="J2584" s="1446">
        <f t="shared" si="68"/>
        <v>0</v>
      </c>
      <c r="K2584" s="898">
        <v>9000</v>
      </c>
    </row>
    <row r="2585" spans="4:11" ht="22.8" hidden="1" customHeight="1">
      <c r="D2585" s="916">
        <v>320</v>
      </c>
      <c r="E2585" s="895"/>
      <c r="F2585" s="896" t="s">
        <v>7529</v>
      </c>
      <c r="G2585" s="897" t="s">
        <v>3516</v>
      </c>
      <c r="H2585" s="894">
        <f t="shared" si="67"/>
        <v>0</v>
      </c>
      <c r="I2585" s="1435"/>
      <c r="J2585" s="1446">
        <f t="shared" si="68"/>
        <v>0</v>
      </c>
      <c r="K2585" s="898">
        <v>9000</v>
      </c>
    </row>
    <row r="2586" spans="4:11" ht="22.8" hidden="1" customHeight="1">
      <c r="D2586" s="916">
        <v>321</v>
      </c>
      <c r="E2586" s="895"/>
      <c r="F2586" s="896" t="s">
        <v>7389</v>
      </c>
      <c r="G2586" s="897" t="s">
        <v>4490</v>
      </c>
      <c r="H2586" s="894">
        <f t="shared" si="67"/>
        <v>0</v>
      </c>
      <c r="I2586" s="1435"/>
      <c r="J2586" s="1446">
        <f t="shared" si="68"/>
        <v>0</v>
      </c>
      <c r="K2586" s="898">
        <v>3000</v>
      </c>
    </row>
    <row r="2587" spans="4:11" ht="22.8" hidden="1" customHeight="1">
      <c r="D2587" s="916">
        <v>322</v>
      </c>
      <c r="E2587" s="895"/>
      <c r="F2587" s="896" t="s">
        <v>7453</v>
      </c>
      <c r="G2587" s="897" t="s">
        <v>3516</v>
      </c>
      <c r="H2587" s="894">
        <f t="shared" si="67"/>
        <v>0</v>
      </c>
      <c r="I2587" s="1435"/>
      <c r="J2587" s="1446">
        <f t="shared" si="68"/>
        <v>0</v>
      </c>
      <c r="K2587" s="898">
        <v>5000</v>
      </c>
    </row>
    <row r="2588" spans="4:11" ht="22.8" hidden="1" customHeight="1">
      <c r="D2588" s="916">
        <v>323</v>
      </c>
      <c r="E2588" s="895"/>
      <c r="F2588" s="896" t="s">
        <v>7456</v>
      </c>
      <c r="G2588" s="897" t="s">
        <v>3516</v>
      </c>
      <c r="H2588" s="894">
        <f t="shared" si="67"/>
        <v>0</v>
      </c>
      <c r="I2588" s="1435"/>
      <c r="J2588" s="1446">
        <f t="shared" si="68"/>
        <v>0</v>
      </c>
      <c r="K2588" s="898">
        <v>5000</v>
      </c>
    </row>
    <row r="2589" spans="4:11" ht="22.8" hidden="1" customHeight="1">
      <c r="D2589" s="916">
        <v>324</v>
      </c>
      <c r="E2589" s="895"/>
      <c r="F2589" s="896" t="s">
        <v>7392</v>
      </c>
      <c r="G2589" s="897" t="s">
        <v>4490</v>
      </c>
      <c r="H2589" s="894">
        <f t="shared" si="67"/>
        <v>0</v>
      </c>
      <c r="I2589" s="1435"/>
      <c r="J2589" s="1446">
        <f t="shared" si="68"/>
        <v>0</v>
      </c>
      <c r="K2589" s="898">
        <v>3000</v>
      </c>
    </row>
    <row r="2590" spans="4:11" ht="22.8" hidden="1" customHeight="1">
      <c r="D2590" s="916">
        <v>325</v>
      </c>
      <c r="E2590" s="895"/>
      <c r="F2590" s="896" t="s">
        <v>7459</v>
      </c>
      <c r="G2590" s="897" t="s">
        <v>3516</v>
      </c>
      <c r="H2590" s="894">
        <f t="shared" si="67"/>
        <v>0</v>
      </c>
      <c r="I2590" s="1435"/>
      <c r="J2590" s="1446">
        <f t="shared" si="68"/>
        <v>0</v>
      </c>
      <c r="K2590" s="898">
        <v>5000</v>
      </c>
    </row>
    <row r="2591" spans="4:11" ht="22.8" hidden="1" customHeight="1">
      <c r="D2591" s="916">
        <v>326</v>
      </c>
      <c r="E2591" s="895"/>
      <c r="F2591" s="896" t="s">
        <v>7462</v>
      </c>
      <c r="G2591" s="897" t="s">
        <v>4490</v>
      </c>
      <c r="H2591" s="894">
        <f t="shared" si="67"/>
        <v>0</v>
      </c>
      <c r="I2591" s="1435"/>
      <c r="J2591" s="1446">
        <f t="shared" si="68"/>
        <v>0</v>
      </c>
      <c r="K2591" s="898">
        <v>5000</v>
      </c>
    </row>
    <row r="2592" spans="4:11" ht="22.8" hidden="1" customHeight="1">
      <c r="D2592" s="916">
        <v>327</v>
      </c>
      <c r="E2592" s="895"/>
      <c r="F2592" s="896" t="s">
        <v>7465</v>
      </c>
      <c r="G2592" s="897" t="s">
        <v>3516</v>
      </c>
      <c r="H2592" s="894">
        <f t="shared" si="67"/>
        <v>0</v>
      </c>
      <c r="I2592" s="1435"/>
      <c r="J2592" s="1446">
        <f t="shared" si="68"/>
        <v>0</v>
      </c>
      <c r="K2592" s="898">
        <v>5000</v>
      </c>
    </row>
    <row r="2593" spans="4:11" ht="22.8" hidden="1" customHeight="1">
      <c r="D2593" s="916">
        <v>328</v>
      </c>
      <c r="E2593" s="895"/>
      <c r="F2593" s="896" t="s">
        <v>7532</v>
      </c>
      <c r="G2593" s="897" t="s">
        <v>3516</v>
      </c>
      <c r="H2593" s="894">
        <f t="shared" si="67"/>
        <v>0</v>
      </c>
      <c r="I2593" s="1435"/>
      <c r="J2593" s="1446">
        <f t="shared" si="68"/>
        <v>0</v>
      </c>
      <c r="K2593" s="898">
        <v>9000</v>
      </c>
    </row>
    <row r="2594" spans="4:11" ht="22.8" hidden="1" customHeight="1">
      <c r="D2594" s="916">
        <v>329</v>
      </c>
      <c r="E2594" s="895"/>
      <c r="F2594" s="896" t="s">
        <v>7395</v>
      </c>
      <c r="G2594" s="897" t="s">
        <v>4490</v>
      </c>
      <c r="H2594" s="894">
        <f t="shared" si="67"/>
        <v>0</v>
      </c>
      <c r="I2594" s="1435"/>
      <c r="J2594" s="1446">
        <f t="shared" si="68"/>
        <v>0</v>
      </c>
      <c r="K2594" s="898">
        <v>3000</v>
      </c>
    </row>
    <row r="2595" spans="4:11" ht="22.8" hidden="1" customHeight="1">
      <c r="D2595" s="916">
        <v>330</v>
      </c>
      <c r="E2595" s="895"/>
      <c r="F2595" s="896" t="s">
        <v>7535</v>
      </c>
      <c r="G2595" s="897" t="s">
        <v>3516</v>
      </c>
      <c r="H2595" s="894">
        <f t="shared" ref="H2595:H2646" si="69">I2595</f>
        <v>0</v>
      </c>
      <c r="I2595" s="1435"/>
      <c r="J2595" s="1446">
        <f t="shared" si="68"/>
        <v>0</v>
      </c>
      <c r="K2595" s="898">
        <v>9000</v>
      </c>
    </row>
    <row r="2596" spans="4:11" ht="22.8" hidden="1" customHeight="1">
      <c r="D2596" s="916">
        <v>331</v>
      </c>
      <c r="E2596" s="895"/>
      <c r="F2596" s="896" t="s">
        <v>7398</v>
      </c>
      <c r="G2596" s="897" t="s">
        <v>4490</v>
      </c>
      <c r="H2596" s="894">
        <f t="shared" si="69"/>
        <v>0</v>
      </c>
      <c r="I2596" s="1435"/>
      <c r="J2596" s="1446">
        <f t="shared" si="68"/>
        <v>0</v>
      </c>
      <c r="K2596" s="898">
        <v>3000</v>
      </c>
    </row>
    <row r="2597" spans="4:11" ht="22.8" hidden="1" customHeight="1">
      <c r="D2597" s="916">
        <v>332</v>
      </c>
      <c r="E2597" s="895"/>
      <c r="F2597" s="896" t="s">
        <v>7468</v>
      </c>
      <c r="G2597" s="897" t="s">
        <v>3516</v>
      </c>
      <c r="H2597" s="894">
        <f t="shared" si="69"/>
        <v>0</v>
      </c>
      <c r="I2597" s="1435"/>
      <c r="J2597" s="1446">
        <f t="shared" si="68"/>
        <v>0</v>
      </c>
      <c r="K2597" s="898">
        <v>5000</v>
      </c>
    </row>
    <row r="2598" spans="4:11" ht="22.8" hidden="1" customHeight="1">
      <c r="D2598" s="916">
        <v>333</v>
      </c>
      <c r="E2598" s="895"/>
      <c r="F2598" s="896" t="s">
        <v>7471</v>
      </c>
      <c r="G2598" s="897" t="s">
        <v>3516</v>
      </c>
      <c r="H2598" s="894">
        <f t="shared" si="69"/>
        <v>0</v>
      </c>
      <c r="I2598" s="1435"/>
      <c r="J2598" s="1446">
        <f t="shared" si="68"/>
        <v>0</v>
      </c>
      <c r="K2598" s="898">
        <v>5000</v>
      </c>
    </row>
    <row r="2599" spans="4:11" ht="22.8" hidden="1" customHeight="1">
      <c r="D2599" s="916">
        <v>334</v>
      </c>
      <c r="E2599" s="895"/>
      <c r="F2599" s="896" t="s">
        <v>7538</v>
      </c>
      <c r="G2599" s="897" t="s">
        <v>3516</v>
      </c>
      <c r="H2599" s="894">
        <f t="shared" si="69"/>
        <v>0</v>
      </c>
      <c r="I2599" s="1435"/>
      <c r="J2599" s="1446">
        <f t="shared" si="68"/>
        <v>0</v>
      </c>
      <c r="K2599" s="898">
        <v>9000</v>
      </c>
    </row>
    <row r="2600" spans="4:11" ht="22.8" hidden="1" customHeight="1">
      <c r="D2600" s="916">
        <v>335</v>
      </c>
      <c r="E2600" s="895"/>
      <c r="F2600" s="896" t="s">
        <v>7474</v>
      </c>
      <c r="G2600" s="897" t="s">
        <v>3516</v>
      </c>
      <c r="H2600" s="894">
        <f t="shared" si="69"/>
        <v>0</v>
      </c>
      <c r="I2600" s="1435"/>
      <c r="J2600" s="1446">
        <f t="shared" si="68"/>
        <v>0</v>
      </c>
      <c r="K2600" s="898">
        <v>5000</v>
      </c>
    </row>
    <row r="2601" spans="4:11" ht="22.8" hidden="1" customHeight="1">
      <c r="D2601" s="916">
        <v>336</v>
      </c>
      <c r="E2601" s="895"/>
      <c r="F2601" s="896" t="s">
        <v>7401</v>
      </c>
      <c r="G2601" s="897" t="s">
        <v>3516</v>
      </c>
      <c r="H2601" s="894">
        <f t="shared" si="69"/>
        <v>0</v>
      </c>
      <c r="I2601" s="1435"/>
      <c r="J2601" s="1446">
        <f t="shared" si="68"/>
        <v>0</v>
      </c>
      <c r="K2601" s="898">
        <v>3000</v>
      </c>
    </row>
    <row r="2602" spans="4:11" ht="22.8" hidden="1" customHeight="1">
      <c r="D2602" s="916">
        <v>337</v>
      </c>
      <c r="E2602" s="895"/>
      <c r="F2602" s="896" t="s">
        <v>7477</v>
      </c>
      <c r="G2602" s="897" t="s">
        <v>3516</v>
      </c>
      <c r="H2602" s="894">
        <f t="shared" si="69"/>
        <v>0</v>
      </c>
      <c r="I2602" s="1435"/>
      <c r="J2602" s="1446">
        <f t="shared" si="68"/>
        <v>0</v>
      </c>
      <c r="K2602" s="898">
        <v>5000</v>
      </c>
    </row>
    <row r="2603" spans="4:11" ht="22.8" hidden="1" customHeight="1">
      <c r="D2603" s="916">
        <v>338</v>
      </c>
      <c r="E2603" s="895"/>
      <c r="F2603" s="896" t="s">
        <v>7480</v>
      </c>
      <c r="G2603" s="897" t="s">
        <v>3516</v>
      </c>
      <c r="H2603" s="894">
        <f t="shared" si="69"/>
        <v>0</v>
      </c>
      <c r="I2603" s="1435"/>
      <c r="J2603" s="1446">
        <f t="shared" si="68"/>
        <v>0</v>
      </c>
      <c r="K2603" s="898">
        <v>5000</v>
      </c>
    </row>
    <row r="2604" spans="4:11" ht="22.8" hidden="1" customHeight="1">
      <c r="D2604" s="916">
        <v>339</v>
      </c>
      <c r="E2604" s="895"/>
      <c r="F2604" s="896" t="s">
        <v>7404</v>
      </c>
      <c r="G2604" s="897" t="s">
        <v>3516</v>
      </c>
      <c r="H2604" s="894">
        <f t="shared" si="69"/>
        <v>0</v>
      </c>
      <c r="I2604" s="1435"/>
      <c r="J2604" s="1446">
        <f t="shared" si="68"/>
        <v>0</v>
      </c>
      <c r="K2604" s="898">
        <v>3000</v>
      </c>
    </row>
    <row r="2605" spans="4:11" ht="22.8" hidden="1" customHeight="1">
      <c r="D2605" s="916">
        <v>340</v>
      </c>
      <c r="E2605" s="895"/>
      <c r="F2605" s="896" t="s">
        <v>7483</v>
      </c>
      <c r="G2605" s="897" t="s">
        <v>3516</v>
      </c>
      <c r="H2605" s="894">
        <f t="shared" si="69"/>
        <v>0</v>
      </c>
      <c r="I2605" s="1435"/>
      <c r="J2605" s="1446">
        <f t="shared" si="68"/>
        <v>0</v>
      </c>
      <c r="K2605" s="898">
        <v>5000</v>
      </c>
    </row>
    <row r="2606" spans="4:11" ht="22.8" hidden="1" customHeight="1">
      <c r="D2606" s="916">
        <v>341</v>
      </c>
      <c r="E2606" s="895"/>
      <c r="F2606" s="896" t="s">
        <v>7541</v>
      </c>
      <c r="G2606" s="897" t="s">
        <v>3516</v>
      </c>
      <c r="H2606" s="894">
        <f t="shared" si="69"/>
        <v>0</v>
      </c>
      <c r="I2606" s="1435"/>
      <c r="J2606" s="1446">
        <f t="shared" si="68"/>
        <v>0</v>
      </c>
      <c r="K2606" s="898">
        <v>9000</v>
      </c>
    </row>
    <row r="2607" spans="4:11" ht="22.8" hidden="1" customHeight="1">
      <c r="D2607" s="916">
        <v>342</v>
      </c>
      <c r="E2607" s="895"/>
      <c r="F2607" s="896" t="s">
        <v>7407</v>
      </c>
      <c r="G2607" s="897" t="s">
        <v>3516</v>
      </c>
      <c r="H2607" s="894">
        <f t="shared" si="69"/>
        <v>0</v>
      </c>
      <c r="I2607" s="1435"/>
      <c r="J2607" s="1446">
        <f t="shared" si="68"/>
        <v>0</v>
      </c>
      <c r="K2607" s="898">
        <v>3000</v>
      </c>
    </row>
    <row r="2608" spans="4:11" ht="22.8" hidden="1" customHeight="1">
      <c r="D2608" s="916">
        <v>343</v>
      </c>
      <c r="E2608" s="895"/>
      <c r="F2608" s="896" t="s">
        <v>7486</v>
      </c>
      <c r="G2608" s="897" t="s">
        <v>3516</v>
      </c>
      <c r="H2608" s="894">
        <f t="shared" si="69"/>
        <v>0</v>
      </c>
      <c r="I2608" s="1435"/>
      <c r="J2608" s="1446">
        <f t="shared" si="68"/>
        <v>0</v>
      </c>
      <c r="K2608" s="898">
        <v>5000</v>
      </c>
    </row>
    <row r="2609" spans="4:11" ht="22.8" hidden="1" customHeight="1">
      <c r="D2609" s="916">
        <v>344</v>
      </c>
      <c r="E2609" s="895"/>
      <c r="F2609" s="896" t="s">
        <v>7544</v>
      </c>
      <c r="G2609" s="897" t="s">
        <v>3516</v>
      </c>
      <c r="H2609" s="894">
        <f t="shared" si="69"/>
        <v>0</v>
      </c>
      <c r="I2609" s="1435"/>
      <c r="J2609" s="1446">
        <f t="shared" si="68"/>
        <v>0</v>
      </c>
      <c r="K2609" s="898">
        <v>9000</v>
      </c>
    </row>
    <row r="2610" spans="4:11" ht="22.8" hidden="1" customHeight="1">
      <c r="D2610" s="916">
        <v>345</v>
      </c>
      <c r="E2610" s="895"/>
      <c r="F2610" s="896" t="s">
        <v>5598</v>
      </c>
      <c r="G2610" s="897"/>
      <c r="H2610" s="894">
        <f t="shared" si="69"/>
        <v>0</v>
      </c>
      <c r="I2610" s="1435"/>
      <c r="J2610" s="1446">
        <f t="shared" si="68"/>
        <v>0</v>
      </c>
      <c r="K2610" s="898">
        <v>2500</v>
      </c>
    </row>
    <row r="2611" spans="4:11" ht="22.8" hidden="1" customHeight="1">
      <c r="D2611" s="916">
        <v>346</v>
      </c>
      <c r="E2611" s="895"/>
      <c r="F2611" s="896" t="s">
        <v>7548</v>
      </c>
      <c r="G2611" s="897" t="s">
        <v>62</v>
      </c>
      <c r="H2611" s="894">
        <f t="shared" si="69"/>
        <v>0</v>
      </c>
      <c r="I2611" s="1435"/>
      <c r="J2611" s="1446">
        <f t="shared" si="68"/>
        <v>0</v>
      </c>
      <c r="K2611" s="898">
        <v>15000</v>
      </c>
    </row>
    <row r="2612" spans="4:11" ht="22.8" hidden="1" customHeight="1">
      <c r="D2612" s="916">
        <v>347</v>
      </c>
      <c r="E2612" s="895"/>
      <c r="F2612" s="896" t="s">
        <v>7556</v>
      </c>
      <c r="G2612" s="897" t="s">
        <v>62</v>
      </c>
      <c r="H2612" s="894">
        <f t="shared" si="69"/>
        <v>0</v>
      </c>
      <c r="I2612" s="1435"/>
      <c r="J2612" s="1446">
        <f t="shared" si="68"/>
        <v>0</v>
      </c>
      <c r="K2612" s="898">
        <v>15000</v>
      </c>
    </row>
    <row r="2613" spans="4:11" ht="22.8" hidden="1" customHeight="1">
      <c r="D2613" s="916">
        <v>348</v>
      </c>
      <c r="E2613" s="895"/>
      <c r="F2613" s="896" t="s">
        <v>7554</v>
      </c>
      <c r="G2613" s="897" t="s">
        <v>62</v>
      </c>
      <c r="H2613" s="894">
        <f t="shared" si="69"/>
        <v>0</v>
      </c>
      <c r="I2613" s="1435"/>
      <c r="J2613" s="1446">
        <f t="shared" si="68"/>
        <v>0</v>
      </c>
      <c r="K2613" s="898">
        <v>15000</v>
      </c>
    </row>
    <row r="2614" spans="4:11" ht="22.8" hidden="1" customHeight="1">
      <c r="D2614" s="916">
        <v>349</v>
      </c>
      <c r="E2614" s="895"/>
      <c r="F2614" s="896" t="s">
        <v>7552</v>
      </c>
      <c r="G2614" s="897" t="s">
        <v>62</v>
      </c>
      <c r="H2614" s="894">
        <f t="shared" si="69"/>
        <v>0</v>
      </c>
      <c r="I2614" s="1435"/>
      <c r="J2614" s="1446">
        <f t="shared" si="68"/>
        <v>0</v>
      </c>
      <c r="K2614" s="898">
        <v>15000</v>
      </c>
    </row>
    <row r="2615" spans="4:11" ht="22.8" hidden="1" customHeight="1">
      <c r="D2615" s="916">
        <v>350</v>
      </c>
      <c r="E2615" s="895"/>
      <c r="F2615" s="896" t="s">
        <v>7550</v>
      </c>
      <c r="G2615" s="897" t="s">
        <v>62</v>
      </c>
      <c r="H2615" s="894">
        <f t="shared" si="69"/>
        <v>0</v>
      </c>
      <c r="I2615" s="1435"/>
      <c r="J2615" s="1446">
        <f t="shared" si="68"/>
        <v>0</v>
      </c>
      <c r="K2615" s="898">
        <v>15000</v>
      </c>
    </row>
    <row r="2616" spans="4:11" ht="22.8" hidden="1" customHeight="1">
      <c r="D2616" s="916">
        <v>351</v>
      </c>
      <c r="E2616" s="895"/>
      <c r="F2616" s="896" t="s">
        <v>7571</v>
      </c>
      <c r="G2616" s="897" t="s">
        <v>62</v>
      </c>
      <c r="H2616" s="894">
        <f t="shared" si="69"/>
        <v>0</v>
      </c>
      <c r="I2616" s="1435"/>
      <c r="J2616" s="1446">
        <f t="shared" si="68"/>
        <v>0</v>
      </c>
      <c r="K2616" s="898">
        <v>17000</v>
      </c>
    </row>
    <row r="2617" spans="4:11" ht="22.8" hidden="1" customHeight="1">
      <c r="D2617" s="916">
        <v>352</v>
      </c>
      <c r="E2617" s="895"/>
      <c r="F2617" s="896" t="s">
        <v>7560</v>
      </c>
      <c r="G2617" s="897" t="s">
        <v>62</v>
      </c>
      <c r="H2617" s="894">
        <f t="shared" si="69"/>
        <v>0</v>
      </c>
      <c r="I2617" s="1435"/>
      <c r="J2617" s="1446">
        <f t="shared" si="68"/>
        <v>0</v>
      </c>
      <c r="K2617" s="898">
        <v>10000</v>
      </c>
    </row>
    <row r="2618" spans="4:11" ht="22.8" hidden="1" customHeight="1">
      <c r="D2618" s="916">
        <v>353</v>
      </c>
      <c r="E2618" s="895"/>
      <c r="F2618" s="896" t="s">
        <v>7565</v>
      </c>
      <c r="G2618" s="897" t="s">
        <v>62</v>
      </c>
      <c r="H2618" s="894">
        <f t="shared" si="69"/>
        <v>0</v>
      </c>
      <c r="I2618" s="1435"/>
      <c r="J2618" s="1446">
        <f t="shared" si="68"/>
        <v>0</v>
      </c>
      <c r="K2618" s="898">
        <v>15000</v>
      </c>
    </row>
    <row r="2619" spans="4:11" ht="22.8" hidden="1" customHeight="1">
      <c r="D2619" s="916">
        <v>354</v>
      </c>
      <c r="E2619" s="895"/>
      <c r="F2619" s="896" t="s">
        <v>7568</v>
      </c>
      <c r="G2619" s="897" t="s">
        <v>62</v>
      </c>
      <c r="H2619" s="894">
        <f t="shared" si="69"/>
        <v>0</v>
      </c>
      <c r="I2619" s="1435"/>
      <c r="J2619" s="1446">
        <f t="shared" si="68"/>
        <v>0</v>
      </c>
      <c r="K2619" s="898">
        <v>19000</v>
      </c>
    </row>
    <row r="2620" spans="4:11" ht="22.8" hidden="1" customHeight="1">
      <c r="D2620" s="916">
        <v>355</v>
      </c>
      <c r="E2620" s="895"/>
      <c r="F2620" s="896" t="s">
        <v>5604</v>
      </c>
      <c r="G2620" s="897" t="s">
        <v>62</v>
      </c>
      <c r="H2620" s="894">
        <f t="shared" si="69"/>
        <v>0</v>
      </c>
      <c r="I2620" s="1435"/>
      <c r="J2620" s="1446">
        <f t="shared" si="68"/>
        <v>0</v>
      </c>
      <c r="K2620" s="898">
        <v>5600</v>
      </c>
    </row>
    <row r="2621" spans="4:11" ht="22.8" hidden="1" customHeight="1">
      <c r="D2621" s="916">
        <v>356</v>
      </c>
      <c r="E2621" s="895"/>
      <c r="F2621" s="896" t="s">
        <v>5608</v>
      </c>
      <c r="G2621" s="897" t="s">
        <v>65</v>
      </c>
      <c r="H2621" s="894">
        <f t="shared" si="69"/>
        <v>0</v>
      </c>
      <c r="I2621" s="1435"/>
      <c r="J2621" s="1446">
        <f t="shared" si="68"/>
        <v>0</v>
      </c>
      <c r="K2621" s="898">
        <v>16000</v>
      </c>
    </row>
    <row r="2622" spans="4:11" ht="22.8" hidden="1" customHeight="1">
      <c r="D2622" s="916">
        <v>357</v>
      </c>
      <c r="E2622" s="895"/>
      <c r="F2622" s="896" t="s">
        <v>5605</v>
      </c>
      <c r="G2622" s="897" t="s">
        <v>65</v>
      </c>
      <c r="H2622" s="894">
        <f t="shared" si="69"/>
        <v>0</v>
      </c>
      <c r="I2622" s="1435"/>
      <c r="J2622" s="1446">
        <f t="shared" si="68"/>
        <v>0</v>
      </c>
      <c r="K2622" s="898">
        <v>80000</v>
      </c>
    </row>
    <row r="2623" spans="4:11" ht="22.8" hidden="1" customHeight="1">
      <c r="D2623" s="916">
        <v>358</v>
      </c>
      <c r="E2623" s="895"/>
      <c r="F2623" s="896" t="s">
        <v>5606</v>
      </c>
      <c r="G2623" s="897" t="s">
        <v>65</v>
      </c>
      <c r="H2623" s="894">
        <f t="shared" si="69"/>
        <v>0</v>
      </c>
      <c r="I2623" s="1435"/>
      <c r="J2623" s="1446">
        <f t="shared" si="68"/>
        <v>0</v>
      </c>
      <c r="K2623" s="898">
        <v>35000</v>
      </c>
    </row>
    <row r="2624" spans="4:11" ht="22.8" hidden="1" customHeight="1">
      <c r="D2624" s="916">
        <v>359</v>
      </c>
      <c r="E2624" s="895"/>
      <c r="F2624" s="896" t="s">
        <v>7576</v>
      </c>
      <c r="G2624" s="897" t="s">
        <v>65</v>
      </c>
      <c r="H2624" s="894">
        <f t="shared" si="69"/>
        <v>0</v>
      </c>
      <c r="I2624" s="1435"/>
      <c r="J2624" s="1446">
        <f t="shared" ref="J2624:J2687" si="70">I2624-(I2624*10%)</f>
        <v>0</v>
      </c>
      <c r="K2624" s="898">
        <v>18000</v>
      </c>
    </row>
    <row r="2625" spans="4:11" ht="22.8" hidden="1" customHeight="1">
      <c r="D2625" s="916">
        <v>360</v>
      </c>
      <c r="E2625" s="895"/>
      <c r="F2625" s="896" t="s">
        <v>5691</v>
      </c>
      <c r="G2625" s="897" t="s">
        <v>42</v>
      </c>
      <c r="H2625" s="894">
        <f t="shared" si="69"/>
        <v>0</v>
      </c>
      <c r="I2625" s="1435"/>
      <c r="J2625" s="1446">
        <f t="shared" si="70"/>
        <v>0</v>
      </c>
      <c r="K2625" s="898">
        <v>180000</v>
      </c>
    </row>
    <row r="2626" spans="4:11" ht="22.8" hidden="1" customHeight="1">
      <c r="D2626" s="916">
        <v>361</v>
      </c>
      <c r="E2626" s="895"/>
      <c r="F2626" s="896" t="s">
        <v>5695</v>
      </c>
      <c r="G2626" s="897" t="s">
        <v>2676</v>
      </c>
      <c r="H2626" s="894">
        <f t="shared" si="69"/>
        <v>0</v>
      </c>
      <c r="I2626" s="1435"/>
      <c r="J2626" s="1446">
        <f t="shared" si="70"/>
        <v>0</v>
      </c>
      <c r="K2626" s="898">
        <v>150000</v>
      </c>
    </row>
    <row r="2627" spans="4:11" ht="22.8" hidden="1" customHeight="1">
      <c r="D2627" s="916">
        <v>362</v>
      </c>
      <c r="E2627" s="895"/>
      <c r="F2627" s="896" t="s">
        <v>7662</v>
      </c>
      <c r="G2627" s="897" t="s">
        <v>42</v>
      </c>
      <c r="H2627" s="894">
        <f t="shared" si="69"/>
        <v>0</v>
      </c>
      <c r="I2627" s="1435"/>
      <c r="J2627" s="1446">
        <f t="shared" si="70"/>
        <v>0</v>
      </c>
      <c r="K2627" s="898">
        <v>150000</v>
      </c>
    </row>
    <row r="2628" spans="4:11" ht="22.8" hidden="1" customHeight="1">
      <c r="D2628" s="916">
        <v>363</v>
      </c>
      <c r="E2628" s="895"/>
      <c r="F2628" s="896" t="s">
        <v>7578</v>
      </c>
      <c r="G2628" s="897" t="s">
        <v>65</v>
      </c>
      <c r="H2628" s="894">
        <f t="shared" si="69"/>
        <v>0</v>
      </c>
      <c r="I2628" s="1435"/>
      <c r="J2628" s="1446">
        <f t="shared" si="70"/>
        <v>0</v>
      </c>
      <c r="K2628" s="898">
        <v>18000</v>
      </c>
    </row>
    <row r="2629" spans="4:11" ht="22.8" hidden="1" customHeight="1">
      <c r="D2629" s="916">
        <v>364</v>
      </c>
      <c r="E2629" s="895"/>
      <c r="F2629" s="896" t="s">
        <v>5611</v>
      </c>
      <c r="G2629" s="897" t="s">
        <v>62</v>
      </c>
      <c r="H2629" s="894">
        <f t="shared" si="69"/>
        <v>0</v>
      </c>
      <c r="I2629" s="1435"/>
      <c r="J2629" s="1446">
        <f t="shared" si="70"/>
        <v>0</v>
      </c>
      <c r="K2629" s="898">
        <v>7500</v>
      </c>
    </row>
    <row r="2630" spans="4:11" ht="22.8" hidden="1" customHeight="1">
      <c r="D2630" s="916">
        <v>365</v>
      </c>
      <c r="E2630" s="895"/>
      <c r="F2630" s="896" t="s">
        <v>5613</v>
      </c>
      <c r="G2630" s="897"/>
      <c r="H2630" s="894">
        <f t="shared" si="69"/>
        <v>0</v>
      </c>
      <c r="I2630" s="1435"/>
      <c r="J2630" s="1446">
        <f t="shared" si="70"/>
        <v>0</v>
      </c>
      <c r="K2630" s="898">
        <v>9500</v>
      </c>
    </row>
    <row r="2631" spans="4:11" ht="22.8" hidden="1" customHeight="1">
      <c r="D2631" s="916">
        <v>366</v>
      </c>
      <c r="E2631" s="895"/>
      <c r="F2631" s="896" t="s">
        <v>5617</v>
      </c>
      <c r="G2631" s="897" t="s">
        <v>65</v>
      </c>
      <c r="H2631" s="894">
        <f t="shared" si="69"/>
        <v>0</v>
      </c>
      <c r="I2631" s="1435"/>
      <c r="J2631" s="1446">
        <f t="shared" si="70"/>
        <v>0</v>
      </c>
      <c r="K2631" s="898">
        <v>166000</v>
      </c>
    </row>
    <row r="2632" spans="4:11" ht="22.8" hidden="1" customHeight="1">
      <c r="D2632" s="916">
        <v>367</v>
      </c>
      <c r="E2632" s="895"/>
      <c r="F2632" s="896" t="s">
        <v>5624</v>
      </c>
      <c r="G2632" s="897" t="s">
        <v>42</v>
      </c>
      <c r="H2632" s="894">
        <f t="shared" si="69"/>
        <v>0</v>
      </c>
      <c r="I2632" s="1435"/>
      <c r="J2632" s="1446">
        <f t="shared" si="70"/>
        <v>0</v>
      </c>
      <c r="K2632" s="898">
        <v>10500</v>
      </c>
    </row>
    <row r="2633" spans="4:11" ht="22.8" hidden="1" customHeight="1">
      <c r="D2633" s="916">
        <v>368</v>
      </c>
      <c r="E2633" s="895"/>
      <c r="F2633" s="896" t="s">
        <v>5625</v>
      </c>
      <c r="G2633" s="897" t="s">
        <v>2426</v>
      </c>
      <c r="H2633" s="894">
        <f t="shared" si="69"/>
        <v>0</v>
      </c>
      <c r="I2633" s="1435"/>
      <c r="J2633" s="1446">
        <f t="shared" si="70"/>
        <v>0</v>
      </c>
      <c r="K2633" s="898">
        <v>3100</v>
      </c>
    </row>
    <row r="2634" spans="4:11" ht="22.8" hidden="1" customHeight="1">
      <c r="D2634" s="916">
        <v>369</v>
      </c>
      <c r="E2634" s="895"/>
      <c r="F2634" s="896" t="s">
        <v>1980</v>
      </c>
      <c r="G2634" s="897" t="s">
        <v>42</v>
      </c>
      <c r="H2634" s="894">
        <f t="shared" si="69"/>
        <v>0</v>
      </c>
      <c r="I2634" s="1435"/>
      <c r="J2634" s="1446">
        <f t="shared" si="70"/>
        <v>0</v>
      </c>
      <c r="K2634" s="898">
        <v>250000</v>
      </c>
    </row>
    <row r="2635" spans="4:11" ht="22.8" hidden="1" customHeight="1">
      <c r="D2635" s="916">
        <v>370</v>
      </c>
      <c r="E2635" s="895"/>
      <c r="F2635" s="896" t="s">
        <v>5632</v>
      </c>
      <c r="G2635" s="897" t="s">
        <v>65</v>
      </c>
      <c r="H2635" s="894">
        <f t="shared" si="69"/>
        <v>0</v>
      </c>
      <c r="I2635" s="1435"/>
      <c r="J2635" s="1446">
        <f t="shared" si="70"/>
        <v>0</v>
      </c>
      <c r="K2635" s="898">
        <v>12000</v>
      </c>
    </row>
    <row r="2636" spans="4:11" ht="22.8" hidden="1" customHeight="1">
      <c r="D2636" s="916">
        <v>371</v>
      </c>
      <c r="E2636" s="895"/>
      <c r="F2636" s="896" t="s">
        <v>5649</v>
      </c>
      <c r="G2636" s="897" t="s">
        <v>2469</v>
      </c>
      <c r="H2636" s="894">
        <f t="shared" si="69"/>
        <v>0</v>
      </c>
      <c r="I2636" s="1435"/>
      <c r="J2636" s="1446">
        <f t="shared" si="70"/>
        <v>0</v>
      </c>
      <c r="K2636" s="898">
        <v>550</v>
      </c>
    </row>
    <row r="2637" spans="4:11" ht="22.8" hidden="1" customHeight="1">
      <c r="D2637" s="916">
        <v>372</v>
      </c>
      <c r="E2637" s="895"/>
      <c r="F2637" s="896" t="s">
        <v>5706</v>
      </c>
      <c r="G2637" s="897" t="s">
        <v>2426</v>
      </c>
      <c r="H2637" s="894">
        <f t="shared" si="69"/>
        <v>0</v>
      </c>
      <c r="I2637" s="1435"/>
      <c r="J2637" s="1446">
        <f t="shared" si="70"/>
        <v>0</v>
      </c>
      <c r="K2637" s="898">
        <v>430000</v>
      </c>
    </row>
    <row r="2638" spans="4:11" ht="22.8" hidden="1" customHeight="1">
      <c r="D2638" s="916">
        <v>373</v>
      </c>
      <c r="E2638" s="895"/>
      <c r="F2638" s="896" t="s">
        <v>5718</v>
      </c>
      <c r="G2638" s="897" t="s">
        <v>2469</v>
      </c>
      <c r="H2638" s="894">
        <f t="shared" si="69"/>
        <v>0</v>
      </c>
      <c r="I2638" s="1435"/>
      <c r="J2638" s="1446">
        <f t="shared" si="70"/>
        <v>0</v>
      </c>
      <c r="K2638" s="898">
        <v>48500</v>
      </c>
    </row>
    <row r="2639" spans="4:11" ht="22.8" hidden="1" customHeight="1">
      <c r="D2639" s="916">
        <v>374</v>
      </c>
      <c r="E2639" s="895"/>
      <c r="F2639" s="896" t="s">
        <v>5714</v>
      </c>
      <c r="G2639" s="897" t="s">
        <v>44</v>
      </c>
      <c r="H2639" s="894">
        <f t="shared" si="69"/>
        <v>0</v>
      </c>
      <c r="I2639" s="1435"/>
      <c r="J2639" s="1446">
        <f t="shared" si="70"/>
        <v>0</v>
      </c>
      <c r="K2639" s="898">
        <v>340000</v>
      </c>
    </row>
    <row r="2640" spans="4:11" ht="22.8" hidden="1" customHeight="1">
      <c r="D2640" s="916">
        <v>375</v>
      </c>
      <c r="E2640" s="895"/>
      <c r="F2640" s="896" t="s">
        <v>5715</v>
      </c>
      <c r="G2640" s="897" t="s">
        <v>42</v>
      </c>
      <c r="H2640" s="894">
        <f t="shared" si="69"/>
        <v>0</v>
      </c>
      <c r="I2640" s="1435"/>
      <c r="J2640" s="1446">
        <f t="shared" si="70"/>
        <v>0</v>
      </c>
      <c r="K2640" s="898">
        <v>13700</v>
      </c>
    </row>
    <row r="2641" spans="3:11" ht="22.8" hidden="1" customHeight="1">
      <c r="D2641" s="916">
        <v>376</v>
      </c>
      <c r="E2641" s="895"/>
      <c r="F2641" s="896" t="s">
        <v>6956</v>
      </c>
      <c r="G2641" s="897" t="s">
        <v>113</v>
      </c>
      <c r="H2641" s="894">
        <f t="shared" si="69"/>
        <v>0</v>
      </c>
      <c r="I2641" s="1435"/>
      <c r="J2641" s="1446">
        <f t="shared" si="70"/>
        <v>0</v>
      </c>
      <c r="K2641" s="898">
        <v>700</v>
      </c>
    </row>
    <row r="2642" spans="3:11" ht="22.8" hidden="1" customHeight="1">
      <c r="D2642" s="916">
        <v>377</v>
      </c>
      <c r="E2642" s="895"/>
      <c r="F2642" s="896" t="s">
        <v>7054</v>
      </c>
      <c r="G2642" s="897" t="s">
        <v>1300</v>
      </c>
      <c r="H2642" s="894">
        <f t="shared" si="69"/>
        <v>0</v>
      </c>
      <c r="I2642" s="1435"/>
      <c r="J2642" s="1446">
        <f t="shared" si="70"/>
        <v>0</v>
      </c>
      <c r="K2642" s="898">
        <v>900</v>
      </c>
    </row>
    <row r="2643" spans="3:11" ht="22.8" hidden="1" customHeight="1">
      <c r="D2643" s="916">
        <v>378</v>
      </c>
      <c r="E2643" s="895"/>
      <c r="F2643" s="896" t="s">
        <v>7142</v>
      </c>
      <c r="G2643" s="897" t="s">
        <v>6565</v>
      </c>
      <c r="H2643" s="894">
        <f t="shared" si="69"/>
        <v>0</v>
      </c>
      <c r="I2643" s="1435"/>
      <c r="J2643" s="1446">
        <f t="shared" si="70"/>
        <v>0</v>
      </c>
      <c r="K2643" s="898">
        <v>12000</v>
      </c>
    </row>
    <row r="2644" spans="3:11" ht="22.8" hidden="1" customHeight="1">
      <c r="D2644" s="916">
        <v>379</v>
      </c>
      <c r="E2644" s="895"/>
      <c r="F2644" s="896" t="s">
        <v>7209</v>
      </c>
      <c r="G2644" s="897" t="s">
        <v>1300</v>
      </c>
      <c r="H2644" s="894">
        <f t="shared" si="69"/>
        <v>0</v>
      </c>
      <c r="I2644" s="1435"/>
      <c r="J2644" s="1446">
        <f t="shared" si="70"/>
        <v>0</v>
      </c>
      <c r="K2644" s="898">
        <v>15000</v>
      </c>
    </row>
    <row r="2645" spans="3:11" ht="22.8" hidden="1" customHeight="1">
      <c r="D2645" s="916">
        <v>380</v>
      </c>
      <c r="E2645" s="895"/>
      <c r="F2645" s="896" t="s">
        <v>7055</v>
      </c>
      <c r="G2645" s="897" t="s">
        <v>1300</v>
      </c>
      <c r="H2645" s="894">
        <f t="shared" si="69"/>
        <v>0</v>
      </c>
      <c r="I2645" s="1435"/>
      <c r="J2645" s="1446">
        <f t="shared" si="70"/>
        <v>0</v>
      </c>
      <c r="K2645" s="898">
        <v>500</v>
      </c>
    </row>
    <row r="2646" spans="3:11" ht="22.8" customHeight="1">
      <c r="D2646" s="928"/>
      <c r="E2646" s="908"/>
      <c r="F2646" s="909" t="s">
        <v>1892</v>
      </c>
      <c r="G2646" s="906" t="s">
        <v>62</v>
      </c>
      <c r="H2646" s="894">
        <f t="shared" si="69"/>
        <v>0</v>
      </c>
      <c r="I2646" s="1436"/>
      <c r="J2646" s="1446">
        <f t="shared" si="70"/>
        <v>0</v>
      </c>
      <c r="K2646" s="907">
        <v>1000000</v>
      </c>
    </row>
    <row r="2647" spans="3:11" ht="22.8" customHeight="1">
      <c r="C2647" s="933"/>
      <c r="D2647" s="932" t="s">
        <v>1071</v>
      </c>
      <c r="E2647" s="1797" t="s">
        <v>1072</v>
      </c>
      <c r="F2647" s="1798"/>
      <c r="G2647" s="930"/>
      <c r="H2647" s="931"/>
      <c r="I2647" s="1440"/>
      <c r="J2647" s="1446">
        <f t="shared" si="70"/>
        <v>0</v>
      </c>
      <c r="K2647" s="931"/>
    </row>
    <row r="2648" spans="3:11" ht="22.8" hidden="1" customHeight="1">
      <c r="D2648" s="929">
        <v>1</v>
      </c>
      <c r="E2648" s="891"/>
      <c r="F2648" s="892" t="s">
        <v>1073</v>
      </c>
      <c r="G2648" s="893" t="s">
        <v>630</v>
      </c>
      <c r="H2648" s="894">
        <v>50000</v>
      </c>
      <c r="I2648" s="1434"/>
      <c r="J2648" s="1446">
        <f t="shared" si="70"/>
        <v>0</v>
      </c>
      <c r="K2648" s="894">
        <v>50000</v>
      </c>
    </row>
    <row r="2649" spans="3:11" ht="22.8" hidden="1" customHeight="1">
      <c r="D2649" s="918">
        <v>2</v>
      </c>
      <c r="E2649" s="895"/>
      <c r="F2649" s="896" t="s">
        <v>1873</v>
      </c>
      <c r="G2649" s="897" t="s">
        <v>1074</v>
      </c>
      <c r="H2649" s="898">
        <v>307300</v>
      </c>
      <c r="I2649" s="1435"/>
      <c r="J2649" s="1446">
        <f t="shared" si="70"/>
        <v>0</v>
      </c>
      <c r="K2649" s="898">
        <v>307300</v>
      </c>
    </row>
    <row r="2650" spans="3:11" ht="22.8" hidden="1" customHeight="1">
      <c r="D2650" s="918">
        <v>3</v>
      </c>
      <c r="E2650" s="895"/>
      <c r="F2650" s="896" t="s">
        <v>1075</v>
      </c>
      <c r="G2650" s="897" t="s">
        <v>1074</v>
      </c>
      <c r="H2650" s="898">
        <v>602500</v>
      </c>
      <c r="I2650" s="1435"/>
      <c r="J2650" s="1446">
        <f t="shared" si="70"/>
        <v>0</v>
      </c>
      <c r="K2650" s="898">
        <v>602500</v>
      </c>
    </row>
    <row r="2651" spans="3:11" ht="22.8" hidden="1" customHeight="1">
      <c r="D2651" s="918">
        <v>4</v>
      </c>
      <c r="E2651" s="895"/>
      <c r="F2651" s="896" t="s">
        <v>1076</v>
      </c>
      <c r="G2651" s="897" t="s">
        <v>1074</v>
      </c>
      <c r="H2651" s="898">
        <v>61100</v>
      </c>
      <c r="I2651" s="1435"/>
      <c r="J2651" s="1446">
        <f t="shared" si="70"/>
        <v>0</v>
      </c>
      <c r="K2651" s="898">
        <v>61100</v>
      </c>
    </row>
    <row r="2652" spans="3:11" ht="22.8" hidden="1" customHeight="1">
      <c r="D2652" s="918">
        <v>5</v>
      </c>
      <c r="E2652" s="895"/>
      <c r="F2652" s="896" t="s">
        <v>1077</v>
      </c>
      <c r="G2652" s="897" t="s">
        <v>1074</v>
      </c>
      <c r="H2652" s="898">
        <v>6253800</v>
      </c>
      <c r="I2652" s="1435"/>
      <c r="J2652" s="1446">
        <f t="shared" si="70"/>
        <v>0</v>
      </c>
      <c r="K2652" s="898">
        <v>6253800</v>
      </c>
    </row>
    <row r="2653" spans="3:11" ht="22.8" hidden="1" customHeight="1">
      <c r="D2653" s="918">
        <v>6</v>
      </c>
      <c r="E2653" s="895"/>
      <c r="F2653" s="896" t="s">
        <v>1078</v>
      </c>
      <c r="G2653" s="897" t="s">
        <v>1074</v>
      </c>
      <c r="H2653" s="898">
        <v>74900</v>
      </c>
      <c r="I2653" s="1435"/>
      <c r="J2653" s="1446">
        <f t="shared" si="70"/>
        <v>0</v>
      </c>
      <c r="K2653" s="898">
        <v>74900</v>
      </c>
    </row>
    <row r="2654" spans="3:11" ht="22.8" hidden="1" customHeight="1">
      <c r="D2654" s="918">
        <v>7</v>
      </c>
      <c r="E2654" s="895"/>
      <c r="F2654" s="896" t="s">
        <v>1079</v>
      </c>
      <c r="G2654" s="897" t="s">
        <v>1080</v>
      </c>
      <c r="H2654" s="898">
        <v>850000</v>
      </c>
      <c r="I2654" s="1435"/>
      <c r="J2654" s="1446">
        <f t="shared" si="70"/>
        <v>0</v>
      </c>
      <c r="K2654" s="898">
        <v>850000</v>
      </c>
    </row>
    <row r="2655" spans="3:11" ht="22.8" hidden="1" customHeight="1">
      <c r="D2655" s="918">
        <v>8</v>
      </c>
      <c r="E2655" s="895"/>
      <c r="F2655" s="896" t="s">
        <v>1081</v>
      </c>
      <c r="G2655" s="897" t="s">
        <v>1074</v>
      </c>
      <c r="H2655" s="898">
        <v>235000</v>
      </c>
      <c r="I2655" s="1435"/>
      <c r="J2655" s="1446">
        <f t="shared" si="70"/>
        <v>0</v>
      </c>
      <c r="K2655" s="898">
        <v>235000</v>
      </c>
    </row>
    <row r="2656" spans="3:11" ht="22.8" hidden="1" customHeight="1">
      <c r="D2656" s="918">
        <v>9</v>
      </c>
      <c r="E2656" s="895"/>
      <c r="F2656" s="896" t="s">
        <v>1082</v>
      </c>
      <c r="G2656" s="897" t="s">
        <v>1074</v>
      </c>
      <c r="H2656" s="898">
        <v>476900</v>
      </c>
      <c r="I2656" s="1435"/>
      <c r="J2656" s="1446">
        <f t="shared" si="70"/>
        <v>0</v>
      </c>
      <c r="K2656" s="898">
        <v>476900</v>
      </c>
    </row>
    <row r="2657" spans="4:11" ht="22.8" hidden="1" customHeight="1">
      <c r="D2657" s="918">
        <v>10</v>
      </c>
      <c r="E2657" s="895"/>
      <c r="F2657" s="896" t="s">
        <v>1083</v>
      </c>
      <c r="G2657" s="897" t="s">
        <v>1074</v>
      </c>
      <c r="H2657" s="898">
        <v>912500</v>
      </c>
      <c r="I2657" s="1435"/>
      <c r="J2657" s="1446">
        <f t="shared" si="70"/>
        <v>0</v>
      </c>
      <c r="K2657" s="898">
        <v>912500</v>
      </c>
    </row>
    <row r="2658" spans="4:11" ht="22.8" hidden="1" customHeight="1">
      <c r="D2658" s="918">
        <v>11</v>
      </c>
      <c r="E2658" s="895"/>
      <c r="F2658" s="896" t="s">
        <v>1084</v>
      </c>
      <c r="G2658" s="897" t="s">
        <v>1074</v>
      </c>
      <c r="H2658" s="898">
        <v>60200</v>
      </c>
      <c r="I2658" s="1435"/>
      <c r="J2658" s="1446">
        <f t="shared" si="70"/>
        <v>0</v>
      </c>
      <c r="K2658" s="898">
        <v>60200</v>
      </c>
    </row>
    <row r="2659" spans="4:11" ht="22.8" hidden="1" customHeight="1">
      <c r="D2659" s="918">
        <v>12</v>
      </c>
      <c r="E2659" s="895"/>
      <c r="F2659" s="896" t="s">
        <v>1085</v>
      </c>
      <c r="G2659" s="897" t="s">
        <v>1080</v>
      </c>
      <c r="H2659" s="898">
        <v>300000</v>
      </c>
      <c r="I2659" s="1435"/>
      <c r="J2659" s="1446">
        <f t="shared" si="70"/>
        <v>0</v>
      </c>
      <c r="K2659" s="898">
        <v>300000</v>
      </c>
    </row>
    <row r="2660" spans="4:11" ht="22.8" hidden="1" customHeight="1">
      <c r="D2660" s="918">
        <v>13</v>
      </c>
      <c r="E2660" s="895"/>
      <c r="F2660" s="896" t="s">
        <v>1914</v>
      </c>
      <c r="G2660" s="897" t="s">
        <v>1080</v>
      </c>
      <c r="H2660" s="898">
        <v>300000</v>
      </c>
      <c r="I2660" s="1435"/>
      <c r="J2660" s="1446">
        <f t="shared" si="70"/>
        <v>0</v>
      </c>
      <c r="K2660" s="898">
        <v>300000</v>
      </c>
    </row>
    <row r="2661" spans="4:11" ht="22.8" hidden="1" customHeight="1">
      <c r="D2661" s="918">
        <v>14</v>
      </c>
      <c r="E2661" s="895"/>
      <c r="F2661" s="896" t="s">
        <v>1086</v>
      </c>
      <c r="G2661" s="897" t="s">
        <v>1074</v>
      </c>
      <c r="H2661" s="898">
        <v>648500</v>
      </c>
      <c r="I2661" s="1435"/>
      <c r="J2661" s="1446">
        <f t="shared" si="70"/>
        <v>0</v>
      </c>
      <c r="K2661" s="898">
        <v>648500</v>
      </c>
    </row>
    <row r="2662" spans="4:11" ht="22.8" hidden="1" customHeight="1">
      <c r="D2662" s="918">
        <v>15</v>
      </c>
      <c r="E2662" s="895"/>
      <c r="F2662" s="896" t="s">
        <v>6743</v>
      </c>
      <c r="G2662" s="897" t="s">
        <v>1074</v>
      </c>
      <c r="H2662" s="898">
        <f>Lansekap!L35</f>
        <v>314110.76</v>
      </c>
      <c r="I2662" s="1435"/>
      <c r="J2662" s="1446">
        <f t="shared" si="70"/>
        <v>0</v>
      </c>
      <c r="K2662" s="898">
        <f>Lansekap!N35</f>
        <v>418543.75999999995</v>
      </c>
    </row>
    <row r="2663" spans="4:11" ht="22.8" hidden="1" customHeight="1">
      <c r="D2663" s="918">
        <v>16</v>
      </c>
      <c r="E2663" s="895"/>
      <c r="F2663" s="896" t="s">
        <v>1087</v>
      </c>
      <c r="G2663" s="897" t="s">
        <v>1074</v>
      </c>
      <c r="H2663" s="898">
        <v>185500</v>
      </c>
      <c r="I2663" s="1435"/>
      <c r="J2663" s="1446">
        <f t="shared" si="70"/>
        <v>0</v>
      </c>
      <c r="K2663" s="898">
        <v>185500</v>
      </c>
    </row>
    <row r="2664" spans="4:11" ht="22.8" hidden="1" customHeight="1">
      <c r="D2664" s="918">
        <v>17</v>
      </c>
      <c r="E2664" s="895"/>
      <c r="F2664" s="896" t="s">
        <v>1088</v>
      </c>
      <c r="G2664" s="897" t="s">
        <v>135</v>
      </c>
      <c r="H2664" s="898">
        <v>700000</v>
      </c>
      <c r="I2664" s="1435"/>
      <c r="J2664" s="1446">
        <f t="shared" si="70"/>
        <v>0</v>
      </c>
      <c r="K2664" s="898">
        <v>700000</v>
      </c>
    </row>
    <row r="2665" spans="4:11" ht="22.8" hidden="1" customHeight="1">
      <c r="D2665" s="918">
        <v>18</v>
      </c>
      <c r="E2665" s="895"/>
      <c r="F2665" s="896" t="s">
        <v>1089</v>
      </c>
      <c r="G2665" s="897" t="s">
        <v>1074</v>
      </c>
      <c r="H2665" s="898">
        <v>94600</v>
      </c>
      <c r="I2665" s="1435"/>
      <c r="J2665" s="1446">
        <f t="shared" si="70"/>
        <v>0</v>
      </c>
      <c r="K2665" s="898">
        <v>94600</v>
      </c>
    </row>
    <row r="2666" spans="4:11" ht="22.8" hidden="1" customHeight="1">
      <c r="D2666" s="918">
        <v>19</v>
      </c>
      <c r="E2666" s="895"/>
      <c r="F2666" s="896" t="s">
        <v>1090</v>
      </c>
      <c r="G2666" s="897" t="s">
        <v>1074</v>
      </c>
      <c r="H2666" s="898">
        <v>103400</v>
      </c>
      <c r="I2666" s="1435"/>
      <c r="J2666" s="1446">
        <f t="shared" si="70"/>
        <v>0</v>
      </c>
      <c r="K2666" s="898">
        <v>103400</v>
      </c>
    </row>
    <row r="2667" spans="4:11" ht="22.8" hidden="1" customHeight="1">
      <c r="D2667" s="918">
        <v>20</v>
      </c>
      <c r="E2667" s="895"/>
      <c r="F2667" s="896" t="s">
        <v>1091</v>
      </c>
      <c r="G2667" s="897" t="s">
        <v>1074</v>
      </c>
      <c r="H2667" s="898">
        <v>576100</v>
      </c>
      <c r="I2667" s="1435"/>
      <c r="J2667" s="1446">
        <f t="shared" si="70"/>
        <v>0</v>
      </c>
      <c r="K2667" s="898">
        <v>576100</v>
      </c>
    </row>
    <row r="2668" spans="4:11" ht="22.8" hidden="1" customHeight="1">
      <c r="D2668" s="918">
        <v>21</v>
      </c>
      <c r="E2668" s="895"/>
      <c r="F2668" s="896" t="s">
        <v>1092</v>
      </c>
      <c r="G2668" s="897" t="s">
        <v>1074</v>
      </c>
      <c r="H2668" s="898">
        <v>800700</v>
      </c>
      <c r="I2668" s="1435"/>
      <c r="J2668" s="1446">
        <f t="shared" si="70"/>
        <v>0</v>
      </c>
      <c r="K2668" s="898">
        <v>800700</v>
      </c>
    </row>
    <row r="2669" spans="4:11" ht="22.8" hidden="1" customHeight="1">
      <c r="D2669" s="918">
        <v>22</v>
      </c>
      <c r="E2669" s="895"/>
      <c r="F2669" s="896" t="s">
        <v>1093</v>
      </c>
      <c r="G2669" s="897" t="s">
        <v>1074</v>
      </c>
      <c r="H2669" s="898">
        <v>296800</v>
      </c>
      <c r="I2669" s="1435"/>
      <c r="J2669" s="1446">
        <f t="shared" si="70"/>
        <v>0</v>
      </c>
      <c r="K2669" s="898">
        <v>296800</v>
      </c>
    </row>
    <row r="2670" spans="4:11" ht="22.8" hidden="1" customHeight="1">
      <c r="D2670" s="918">
        <v>23</v>
      </c>
      <c r="E2670" s="895"/>
      <c r="F2670" s="896" t="s">
        <v>1094</v>
      </c>
      <c r="G2670" s="897" t="s">
        <v>1074</v>
      </c>
      <c r="H2670" s="898">
        <v>582400</v>
      </c>
      <c r="I2670" s="1435"/>
      <c r="J2670" s="1446">
        <f t="shared" si="70"/>
        <v>0</v>
      </c>
      <c r="K2670" s="898">
        <v>582400</v>
      </c>
    </row>
    <row r="2671" spans="4:11" ht="22.8" hidden="1" customHeight="1">
      <c r="D2671" s="918">
        <v>24</v>
      </c>
      <c r="E2671" s="895"/>
      <c r="F2671" s="896" t="s">
        <v>1095</v>
      </c>
      <c r="G2671" s="897" t="s">
        <v>1080</v>
      </c>
      <c r="H2671" s="898">
        <v>800000</v>
      </c>
      <c r="I2671" s="1435"/>
      <c r="J2671" s="1446">
        <f t="shared" si="70"/>
        <v>0</v>
      </c>
      <c r="K2671" s="898">
        <v>800000</v>
      </c>
    </row>
    <row r="2672" spans="4:11" ht="22.8" hidden="1" customHeight="1">
      <c r="D2672" s="918">
        <v>25</v>
      </c>
      <c r="E2672" s="895"/>
      <c r="F2672" s="896" t="s">
        <v>1096</v>
      </c>
      <c r="G2672" s="897" t="s">
        <v>1074</v>
      </c>
      <c r="H2672" s="898">
        <v>440800</v>
      </c>
      <c r="I2672" s="1435"/>
      <c r="J2672" s="1446">
        <f t="shared" si="70"/>
        <v>0</v>
      </c>
      <c r="K2672" s="898">
        <v>440800</v>
      </c>
    </row>
    <row r="2673" spans="4:11" ht="22.8" hidden="1" customHeight="1">
      <c r="D2673" s="918">
        <v>26</v>
      </c>
      <c r="E2673" s="895"/>
      <c r="F2673" s="896" t="s">
        <v>6815</v>
      </c>
      <c r="G2673" s="897" t="s">
        <v>1074</v>
      </c>
      <c r="H2673" s="898">
        <f>Lansekap!O35</f>
        <v>430662.86</v>
      </c>
      <c r="I2673" s="1435"/>
      <c r="J2673" s="1446">
        <f t="shared" si="70"/>
        <v>0</v>
      </c>
      <c r="K2673" s="898">
        <f>Lansekap!Q35</f>
        <v>0</v>
      </c>
    </row>
    <row r="2674" spans="4:11" ht="22.8" hidden="1" customHeight="1">
      <c r="D2674" s="918">
        <v>27</v>
      </c>
      <c r="E2674" s="895"/>
      <c r="F2674" s="896" t="s">
        <v>1097</v>
      </c>
      <c r="G2674" s="897" t="s">
        <v>1074</v>
      </c>
      <c r="H2674" s="898">
        <v>359800</v>
      </c>
      <c r="I2674" s="1435"/>
      <c r="J2674" s="1446">
        <f t="shared" si="70"/>
        <v>0</v>
      </c>
      <c r="K2674" s="898">
        <v>359800</v>
      </c>
    </row>
    <row r="2675" spans="4:11" ht="22.8" hidden="1" customHeight="1">
      <c r="D2675" s="918">
        <v>28</v>
      </c>
      <c r="E2675" s="895"/>
      <c r="F2675" s="896" t="s">
        <v>1098</v>
      </c>
      <c r="G2675" s="897" t="s">
        <v>1080</v>
      </c>
      <c r="H2675" s="898">
        <v>800000</v>
      </c>
      <c r="I2675" s="1435"/>
      <c r="J2675" s="1446">
        <f t="shared" si="70"/>
        <v>0</v>
      </c>
      <c r="K2675" s="898">
        <v>800000</v>
      </c>
    </row>
    <row r="2676" spans="4:11" ht="22.8" hidden="1" customHeight="1">
      <c r="D2676" s="918">
        <v>29</v>
      </c>
      <c r="E2676" s="895"/>
      <c r="F2676" s="896" t="s">
        <v>1099</v>
      </c>
      <c r="G2676" s="897" t="s">
        <v>1074</v>
      </c>
      <c r="H2676" s="898">
        <v>55100</v>
      </c>
      <c r="I2676" s="1435"/>
      <c r="J2676" s="1446">
        <f t="shared" si="70"/>
        <v>0</v>
      </c>
      <c r="K2676" s="898">
        <v>55100</v>
      </c>
    </row>
    <row r="2677" spans="4:11" ht="22.8" hidden="1" customHeight="1">
      <c r="D2677" s="918">
        <v>30</v>
      </c>
      <c r="E2677" s="895"/>
      <c r="F2677" s="896" t="s">
        <v>1100</v>
      </c>
      <c r="G2677" s="897" t="s">
        <v>1080</v>
      </c>
      <c r="H2677" s="898">
        <v>425000</v>
      </c>
      <c r="I2677" s="1435"/>
      <c r="J2677" s="1446">
        <f t="shared" si="70"/>
        <v>0</v>
      </c>
      <c r="K2677" s="898">
        <v>425000</v>
      </c>
    </row>
    <row r="2678" spans="4:11" ht="22.8" hidden="1" customHeight="1">
      <c r="D2678" s="918">
        <v>31</v>
      </c>
      <c r="E2678" s="895"/>
      <c r="F2678" s="896" t="s">
        <v>1101</v>
      </c>
      <c r="G2678" s="897" t="s">
        <v>1080</v>
      </c>
      <c r="H2678" s="898">
        <v>42000</v>
      </c>
      <c r="I2678" s="1435"/>
      <c r="J2678" s="1446">
        <f t="shared" si="70"/>
        <v>0</v>
      </c>
      <c r="K2678" s="898">
        <v>42000</v>
      </c>
    </row>
    <row r="2679" spans="4:11" ht="22.8" hidden="1" customHeight="1">
      <c r="D2679" s="918">
        <v>32</v>
      </c>
      <c r="E2679" s="895"/>
      <c r="F2679" s="896" t="s">
        <v>1102</v>
      </c>
      <c r="G2679" s="897" t="s">
        <v>1080</v>
      </c>
      <c r="H2679" s="898">
        <v>265000</v>
      </c>
      <c r="I2679" s="1435"/>
      <c r="J2679" s="1446">
        <f t="shared" si="70"/>
        <v>0</v>
      </c>
      <c r="K2679" s="898">
        <v>265000</v>
      </c>
    </row>
    <row r="2680" spans="4:11" ht="22.8" hidden="1" customHeight="1">
      <c r="D2680" s="918">
        <v>33</v>
      </c>
      <c r="E2680" s="895"/>
      <c r="F2680" s="896" t="s">
        <v>1875</v>
      </c>
      <c r="G2680" s="897" t="s">
        <v>1074</v>
      </c>
      <c r="H2680" s="898">
        <v>556100</v>
      </c>
      <c r="I2680" s="1435"/>
      <c r="J2680" s="1446">
        <f t="shared" si="70"/>
        <v>0</v>
      </c>
      <c r="K2680" s="898">
        <v>556100</v>
      </c>
    </row>
    <row r="2681" spans="4:11" ht="22.8" hidden="1" customHeight="1">
      <c r="D2681" s="918">
        <v>34</v>
      </c>
      <c r="E2681" s="895"/>
      <c r="F2681" s="896" t="s">
        <v>1876</v>
      </c>
      <c r="G2681" s="897" t="s">
        <v>1074</v>
      </c>
      <c r="H2681" s="898">
        <v>556100</v>
      </c>
      <c r="I2681" s="1435"/>
      <c r="J2681" s="1446">
        <f t="shared" si="70"/>
        <v>0</v>
      </c>
      <c r="K2681" s="898">
        <v>556100</v>
      </c>
    </row>
    <row r="2682" spans="4:11" ht="22.8" hidden="1" customHeight="1">
      <c r="D2682" s="918">
        <v>35</v>
      </c>
      <c r="E2682" s="895"/>
      <c r="F2682" s="896" t="s">
        <v>1877</v>
      </c>
      <c r="G2682" s="897" t="s">
        <v>1074</v>
      </c>
      <c r="H2682" s="898">
        <v>556100</v>
      </c>
      <c r="I2682" s="1435"/>
      <c r="J2682" s="1446">
        <f t="shared" si="70"/>
        <v>0</v>
      </c>
      <c r="K2682" s="898">
        <v>556100</v>
      </c>
    </row>
    <row r="2683" spans="4:11" ht="22.8" hidden="1" customHeight="1">
      <c r="D2683" s="918">
        <v>36</v>
      </c>
      <c r="E2683" s="895"/>
      <c r="F2683" s="896" t="s">
        <v>1103</v>
      </c>
      <c r="G2683" s="897" t="s">
        <v>1074</v>
      </c>
      <c r="H2683" s="898">
        <v>556100</v>
      </c>
      <c r="I2683" s="1435"/>
      <c r="J2683" s="1446">
        <f t="shared" si="70"/>
        <v>0</v>
      </c>
      <c r="K2683" s="898">
        <v>556100</v>
      </c>
    </row>
    <row r="2684" spans="4:11" ht="22.8" hidden="1" customHeight="1">
      <c r="D2684" s="918">
        <v>37</v>
      </c>
      <c r="E2684" s="895"/>
      <c r="F2684" s="896" t="s">
        <v>1104</v>
      </c>
      <c r="G2684" s="897" t="s">
        <v>1074</v>
      </c>
      <c r="H2684" s="898">
        <v>304800</v>
      </c>
      <c r="I2684" s="1435"/>
      <c r="J2684" s="1446">
        <f t="shared" si="70"/>
        <v>0</v>
      </c>
      <c r="K2684" s="898">
        <v>304800</v>
      </c>
    </row>
    <row r="2685" spans="4:11" ht="22.8" hidden="1" customHeight="1">
      <c r="D2685" s="918">
        <v>38</v>
      </c>
      <c r="E2685" s="895"/>
      <c r="F2685" s="896" t="s">
        <v>1105</v>
      </c>
      <c r="G2685" s="897" t="s">
        <v>1074</v>
      </c>
      <c r="H2685" s="898">
        <v>676500</v>
      </c>
      <c r="I2685" s="1435"/>
      <c r="J2685" s="1446">
        <f t="shared" si="70"/>
        <v>0</v>
      </c>
      <c r="K2685" s="898">
        <v>676500</v>
      </c>
    </row>
    <row r="2686" spans="4:11" ht="22.8" hidden="1" customHeight="1">
      <c r="D2686" s="918">
        <v>39</v>
      </c>
      <c r="E2686" s="895"/>
      <c r="F2686" s="896" t="s">
        <v>1106</v>
      </c>
      <c r="G2686" s="897" t="s">
        <v>1074</v>
      </c>
      <c r="H2686" s="898">
        <v>344400</v>
      </c>
      <c r="I2686" s="1435"/>
      <c r="J2686" s="1446">
        <f t="shared" si="70"/>
        <v>0</v>
      </c>
      <c r="K2686" s="898">
        <v>344400</v>
      </c>
    </row>
    <row r="2687" spans="4:11" ht="22.8" hidden="1" customHeight="1">
      <c r="D2687" s="918">
        <v>40</v>
      </c>
      <c r="E2687" s="895"/>
      <c r="F2687" s="896" t="s">
        <v>6860</v>
      </c>
      <c r="G2687" s="897" t="s">
        <v>1074</v>
      </c>
      <c r="H2687" s="898">
        <f>Lansekap!P35</f>
        <v>268539.71000000002</v>
      </c>
      <c r="I2687" s="1435"/>
      <c r="J2687" s="1446">
        <f t="shared" si="70"/>
        <v>0</v>
      </c>
      <c r="K2687" s="898">
        <f>Lansekap!R35</f>
        <v>0</v>
      </c>
    </row>
    <row r="2688" spans="4:11" ht="22.8" hidden="1" customHeight="1">
      <c r="D2688" s="918">
        <v>41</v>
      </c>
      <c r="E2688" s="895"/>
      <c r="F2688" s="896" t="s">
        <v>6776</v>
      </c>
      <c r="G2688" s="897" t="s">
        <v>1074</v>
      </c>
      <c r="H2688" s="898">
        <v>418543.76</v>
      </c>
      <c r="I2688" s="1435"/>
      <c r="J2688" s="1446">
        <f t="shared" ref="J2688:J2751" si="71">I2688-(I2688*10%)</f>
        <v>0</v>
      </c>
      <c r="K2688" s="898">
        <v>418543.76</v>
      </c>
    </row>
    <row r="2689" spans="4:11" ht="22.8" hidden="1" customHeight="1">
      <c r="D2689" s="918">
        <v>42</v>
      </c>
      <c r="E2689" s="895"/>
      <c r="F2689" s="896" t="s">
        <v>5227</v>
      </c>
      <c r="G2689" s="897" t="s">
        <v>1974</v>
      </c>
      <c r="H2689" s="898">
        <v>2700000</v>
      </c>
      <c r="I2689" s="1435"/>
      <c r="J2689" s="1446">
        <f t="shared" si="71"/>
        <v>0</v>
      </c>
      <c r="K2689" s="898">
        <v>2700000</v>
      </c>
    </row>
    <row r="2690" spans="4:11" ht="22.8" hidden="1" customHeight="1">
      <c r="D2690" s="918">
        <v>43</v>
      </c>
      <c r="E2690" s="895"/>
      <c r="F2690" s="896" t="s">
        <v>2190</v>
      </c>
      <c r="G2690" s="897" t="s">
        <v>1974</v>
      </c>
      <c r="H2690" s="898">
        <v>180000</v>
      </c>
      <c r="I2690" s="1435"/>
      <c r="J2690" s="1446">
        <f t="shared" si="71"/>
        <v>0</v>
      </c>
      <c r="K2690" s="898">
        <v>180000</v>
      </c>
    </row>
    <row r="2691" spans="4:11" ht="22.8" hidden="1" customHeight="1">
      <c r="D2691" s="918">
        <v>44</v>
      </c>
      <c r="E2691" s="895"/>
      <c r="F2691" s="896" t="s">
        <v>4652</v>
      </c>
      <c r="G2691" s="897" t="s">
        <v>1074</v>
      </c>
      <c r="H2691" s="898">
        <v>480000</v>
      </c>
      <c r="I2691" s="1435"/>
      <c r="J2691" s="1446">
        <f t="shared" si="71"/>
        <v>0</v>
      </c>
      <c r="K2691" s="898">
        <v>480000</v>
      </c>
    </row>
    <row r="2692" spans="4:11" ht="22.8" hidden="1" customHeight="1">
      <c r="D2692" s="918">
        <v>45</v>
      </c>
      <c r="E2692" s="895"/>
      <c r="F2692" s="896" t="s">
        <v>4970</v>
      </c>
      <c r="G2692" s="897" t="s">
        <v>4414</v>
      </c>
      <c r="H2692" s="898">
        <v>5150000</v>
      </c>
      <c r="I2692" s="1435"/>
      <c r="J2692" s="1446">
        <f t="shared" si="71"/>
        <v>0</v>
      </c>
      <c r="K2692" s="898">
        <v>5150000</v>
      </c>
    </row>
    <row r="2693" spans="4:11" ht="22.8" hidden="1" customHeight="1">
      <c r="D2693" s="918">
        <v>46</v>
      </c>
      <c r="E2693" s="895"/>
      <c r="F2693" s="896" t="s">
        <v>1107</v>
      </c>
      <c r="G2693" s="897" t="s">
        <v>1074</v>
      </c>
      <c r="H2693" s="898">
        <v>668200</v>
      </c>
      <c r="I2693" s="1435"/>
      <c r="J2693" s="1446">
        <f t="shared" si="71"/>
        <v>0</v>
      </c>
      <c r="K2693" s="898">
        <v>668200</v>
      </c>
    </row>
    <row r="2694" spans="4:11" ht="22.8" hidden="1" customHeight="1">
      <c r="D2694" s="918">
        <v>47</v>
      </c>
      <c r="E2694" s="895"/>
      <c r="F2694" s="896" t="s">
        <v>1108</v>
      </c>
      <c r="G2694" s="897" t="s">
        <v>1074</v>
      </c>
      <c r="H2694" s="898">
        <v>465100</v>
      </c>
      <c r="I2694" s="1435"/>
      <c r="J2694" s="1446">
        <f t="shared" si="71"/>
        <v>0</v>
      </c>
      <c r="K2694" s="898">
        <v>465100</v>
      </c>
    </row>
    <row r="2695" spans="4:11" ht="22.8" hidden="1" customHeight="1">
      <c r="D2695" s="918">
        <v>48</v>
      </c>
      <c r="E2695" s="895"/>
      <c r="F2695" s="896" t="s">
        <v>1109</v>
      </c>
      <c r="G2695" s="897" t="s">
        <v>1074</v>
      </c>
      <c r="H2695" s="898">
        <v>410200</v>
      </c>
      <c r="I2695" s="1435"/>
      <c r="J2695" s="1446">
        <f t="shared" si="71"/>
        <v>0</v>
      </c>
      <c r="K2695" s="898">
        <v>410200</v>
      </c>
    </row>
    <row r="2696" spans="4:11" ht="22.8" hidden="1" customHeight="1">
      <c r="D2696" s="918">
        <v>49</v>
      </c>
      <c r="E2696" s="895"/>
      <c r="F2696" s="896" t="s">
        <v>1110</v>
      </c>
      <c r="G2696" s="897" t="s">
        <v>1080</v>
      </c>
      <c r="H2696" s="898">
        <v>350000</v>
      </c>
      <c r="I2696" s="1435"/>
      <c r="J2696" s="1446">
        <f t="shared" si="71"/>
        <v>0</v>
      </c>
      <c r="K2696" s="898">
        <v>350000</v>
      </c>
    </row>
    <row r="2697" spans="4:11" ht="22.8" hidden="1" customHeight="1">
      <c r="D2697" s="918">
        <v>50</v>
      </c>
      <c r="E2697" s="895"/>
      <c r="F2697" s="896" t="s">
        <v>1111</v>
      </c>
      <c r="G2697" s="897" t="s">
        <v>1080</v>
      </c>
      <c r="H2697" s="898">
        <v>2300000</v>
      </c>
      <c r="I2697" s="1435" t="s">
        <v>1112</v>
      </c>
      <c r="J2697" s="1446" t="e">
        <f t="shared" si="71"/>
        <v>#VALUE!</v>
      </c>
      <c r="K2697" s="898">
        <v>2300000</v>
      </c>
    </row>
    <row r="2698" spans="4:11" ht="22.8" hidden="1" customHeight="1">
      <c r="D2698" s="918">
        <v>51</v>
      </c>
      <c r="E2698" s="895"/>
      <c r="F2698" s="896" t="s">
        <v>5084</v>
      </c>
      <c r="G2698" s="897" t="s">
        <v>1974</v>
      </c>
      <c r="H2698" s="898">
        <v>150000</v>
      </c>
      <c r="I2698" s="1435"/>
      <c r="J2698" s="1446">
        <f t="shared" si="71"/>
        <v>0</v>
      </c>
      <c r="K2698" s="898">
        <v>150000</v>
      </c>
    </row>
    <row r="2699" spans="4:11" ht="22.8" hidden="1" customHeight="1">
      <c r="D2699" s="918">
        <v>52</v>
      </c>
      <c r="E2699" s="895"/>
      <c r="F2699" s="896" t="s">
        <v>1113</v>
      </c>
      <c r="G2699" s="897" t="s">
        <v>135</v>
      </c>
      <c r="H2699" s="898">
        <v>280000</v>
      </c>
      <c r="I2699" s="1435"/>
      <c r="J2699" s="1446">
        <f t="shared" si="71"/>
        <v>0</v>
      </c>
      <c r="K2699" s="898">
        <v>280000</v>
      </c>
    </row>
    <row r="2700" spans="4:11" ht="22.8" hidden="1" customHeight="1">
      <c r="D2700" s="918">
        <v>53</v>
      </c>
      <c r="E2700" s="895"/>
      <c r="F2700" s="896" t="s">
        <v>1114</v>
      </c>
      <c r="G2700" s="897" t="s">
        <v>1080</v>
      </c>
      <c r="H2700" s="898">
        <v>100000</v>
      </c>
      <c r="I2700" s="1435"/>
      <c r="J2700" s="1446">
        <f t="shared" si="71"/>
        <v>0</v>
      </c>
      <c r="K2700" s="898">
        <v>100000</v>
      </c>
    </row>
    <row r="2701" spans="4:11" ht="22.8" hidden="1" customHeight="1">
      <c r="D2701" s="918">
        <v>54</v>
      </c>
      <c r="E2701" s="895"/>
      <c r="F2701" s="896" t="s">
        <v>1115</v>
      </c>
      <c r="G2701" s="897" t="s">
        <v>1080</v>
      </c>
      <c r="H2701" s="898">
        <v>170000</v>
      </c>
      <c r="I2701" s="1435"/>
      <c r="J2701" s="1446">
        <f t="shared" si="71"/>
        <v>0</v>
      </c>
      <c r="K2701" s="898">
        <v>170000</v>
      </c>
    </row>
    <row r="2702" spans="4:11" ht="22.8" hidden="1" customHeight="1">
      <c r="D2702" s="918">
        <v>55</v>
      </c>
      <c r="E2702" s="895"/>
      <c r="F2702" s="896" t="s">
        <v>1116</v>
      </c>
      <c r="G2702" s="897" t="s">
        <v>1080</v>
      </c>
      <c r="H2702" s="898">
        <v>250000</v>
      </c>
      <c r="I2702" s="1435"/>
      <c r="J2702" s="1446">
        <f t="shared" si="71"/>
        <v>0</v>
      </c>
      <c r="K2702" s="898">
        <v>250000</v>
      </c>
    </row>
    <row r="2703" spans="4:11" ht="22.8" hidden="1" customHeight="1">
      <c r="D2703" s="918">
        <v>56</v>
      </c>
      <c r="E2703" s="895"/>
      <c r="F2703" s="896" t="s">
        <v>1117</v>
      </c>
      <c r="G2703" s="897" t="s">
        <v>1080</v>
      </c>
      <c r="H2703" s="898">
        <v>340000</v>
      </c>
      <c r="I2703" s="1435"/>
      <c r="J2703" s="1446">
        <f t="shared" si="71"/>
        <v>0</v>
      </c>
      <c r="K2703" s="898">
        <v>340000</v>
      </c>
    </row>
    <row r="2704" spans="4:11" ht="22.8" hidden="1" customHeight="1">
      <c r="D2704" s="918">
        <v>57</v>
      </c>
      <c r="E2704" s="895"/>
      <c r="F2704" s="896" t="s">
        <v>1118</v>
      </c>
      <c r="G2704" s="897" t="s">
        <v>135</v>
      </c>
      <c r="H2704" s="898">
        <v>450000</v>
      </c>
      <c r="I2704" s="1435"/>
      <c r="J2704" s="1446">
        <f t="shared" si="71"/>
        <v>0</v>
      </c>
      <c r="K2704" s="898">
        <v>450000</v>
      </c>
    </row>
    <row r="2705" spans="4:17" ht="22.8" hidden="1" customHeight="1">
      <c r="D2705" s="918">
        <v>58</v>
      </c>
      <c r="E2705" s="895"/>
      <c r="F2705" s="896" t="s">
        <v>1119</v>
      </c>
      <c r="G2705" s="897" t="s">
        <v>1074</v>
      </c>
      <c r="H2705" s="898">
        <v>325000</v>
      </c>
      <c r="I2705" s="1435"/>
      <c r="J2705" s="1446">
        <f t="shared" si="71"/>
        <v>0</v>
      </c>
      <c r="K2705" s="898">
        <v>325000</v>
      </c>
    </row>
    <row r="2706" spans="4:17" ht="22.8" hidden="1" customHeight="1">
      <c r="D2706" s="918">
        <v>59</v>
      </c>
      <c r="E2706" s="895"/>
      <c r="F2706" s="896" t="s">
        <v>1120</v>
      </c>
      <c r="G2706" s="897" t="s">
        <v>1074</v>
      </c>
      <c r="H2706" s="898">
        <v>350000</v>
      </c>
      <c r="I2706" s="1435"/>
      <c r="J2706" s="1446">
        <f t="shared" si="71"/>
        <v>0</v>
      </c>
      <c r="K2706" s="898">
        <v>350000</v>
      </c>
    </row>
    <row r="2707" spans="4:17" ht="22.8" hidden="1" customHeight="1">
      <c r="D2707" s="918">
        <v>60</v>
      </c>
      <c r="E2707" s="895"/>
      <c r="F2707" s="896" t="s">
        <v>1121</v>
      </c>
      <c r="G2707" s="897" t="s">
        <v>1074</v>
      </c>
      <c r="H2707" s="898">
        <v>415000</v>
      </c>
      <c r="I2707" s="1435"/>
      <c r="J2707" s="1446">
        <f t="shared" si="71"/>
        <v>0</v>
      </c>
      <c r="K2707" s="898">
        <v>415000</v>
      </c>
    </row>
    <row r="2708" spans="4:17" ht="22.8" hidden="1" customHeight="1">
      <c r="D2708" s="918">
        <v>61</v>
      </c>
      <c r="E2708" s="895"/>
      <c r="F2708" s="896" t="s">
        <v>1122</v>
      </c>
      <c r="G2708" s="897" t="s">
        <v>135</v>
      </c>
      <c r="H2708" s="898">
        <v>50000</v>
      </c>
      <c r="I2708" s="1435"/>
      <c r="J2708" s="1446">
        <f t="shared" si="71"/>
        <v>0</v>
      </c>
      <c r="K2708" s="898">
        <v>50000</v>
      </c>
    </row>
    <row r="2709" spans="4:17" ht="22.8" hidden="1" customHeight="1">
      <c r="D2709" s="918">
        <v>62</v>
      </c>
      <c r="E2709" s="895"/>
      <c r="F2709" s="896" t="s">
        <v>1123</v>
      </c>
      <c r="G2709" s="897" t="s">
        <v>1080</v>
      </c>
      <c r="H2709" s="898">
        <v>150000</v>
      </c>
      <c r="I2709" s="1435"/>
      <c r="J2709" s="1446">
        <f t="shared" si="71"/>
        <v>0</v>
      </c>
      <c r="K2709" s="898">
        <v>150000</v>
      </c>
    </row>
    <row r="2710" spans="4:17" ht="22.8" hidden="1" customHeight="1">
      <c r="D2710" s="918">
        <v>63</v>
      </c>
      <c r="E2710" s="895"/>
      <c r="F2710" s="896" t="s">
        <v>1124</v>
      </c>
      <c r="G2710" s="897" t="s">
        <v>1074</v>
      </c>
      <c r="H2710" s="898">
        <v>45000</v>
      </c>
      <c r="I2710" s="1435"/>
      <c r="J2710" s="1446">
        <f t="shared" si="71"/>
        <v>0</v>
      </c>
      <c r="K2710" s="898">
        <v>45000</v>
      </c>
    </row>
    <row r="2711" spans="4:17" ht="22.8" hidden="1" customHeight="1">
      <c r="D2711" s="918">
        <v>64</v>
      </c>
      <c r="E2711" s="895"/>
      <c r="F2711" s="896" t="s">
        <v>7681</v>
      </c>
      <c r="G2711" s="897" t="s">
        <v>2139</v>
      </c>
      <c r="H2711" s="898">
        <v>150000</v>
      </c>
      <c r="I2711" s="1435"/>
      <c r="J2711" s="1446">
        <f t="shared" si="71"/>
        <v>0</v>
      </c>
      <c r="K2711" s="898">
        <v>150000</v>
      </c>
    </row>
    <row r="2712" spans="4:17" ht="22.8" hidden="1" customHeight="1">
      <c r="D2712" s="918">
        <v>65</v>
      </c>
      <c r="E2712" s="895"/>
      <c r="F2712" s="896" t="s">
        <v>1125</v>
      </c>
      <c r="G2712" s="897" t="s">
        <v>1074</v>
      </c>
      <c r="H2712" s="898">
        <v>548600</v>
      </c>
      <c r="I2712" s="1435"/>
      <c r="J2712" s="1446">
        <f t="shared" si="71"/>
        <v>0</v>
      </c>
      <c r="K2712" s="898">
        <v>548600</v>
      </c>
    </row>
    <row r="2713" spans="4:17" ht="22.8" hidden="1" customHeight="1">
      <c r="D2713" s="918">
        <v>66</v>
      </c>
      <c r="E2713" s="895"/>
      <c r="F2713" s="896" t="s">
        <v>1126</v>
      </c>
      <c r="G2713" s="897" t="s">
        <v>1074</v>
      </c>
      <c r="H2713" s="898">
        <v>99800</v>
      </c>
      <c r="I2713" s="1435"/>
      <c r="J2713" s="1446">
        <f t="shared" si="71"/>
        <v>0</v>
      </c>
      <c r="K2713" s="898">
        <v>99800</v>
      </c>
    </row>
    <row r="2714" spans="4:17" ht="22.8" hidden="1" customHeight="1">
      <c r="D2714" s="918">
        <v>67</v>
      </c>
      <c r="E2714" s="895"/>
      <c r="F2714" s="896" t="s">
        <v>1127</v>
      </c>
      <c r="G2714" s="897" t="s">
        <v>1074</v>
      </c>
      <c r="H2714" s="898">
        <v>153400</v>
      </c>
      <c r="I2714" s="1435"/>
      <c r="J2714" s="1446">
        <f t="shared" si="71"/>
        <v>0</v>
      </c>
      <c r="K2714" s="898">
        <v>153400</v>
      </c>
    </row>
    <row r="2715" spans="4:17" ht="22.8" hidden="1" customHeight="1">
      <c r="D2715" s="918">
        <v>68</v>
      </c>
      <c r="E2715" s="895"/>
      <c r="F2715" s="896" t="s">
        <v>1128</v>
      </c>
      <c r="G2715" s="897" t="s">
        <v>1074</v>
      </c>
      <c r="H2715" s="898">
        <v>491000</v>
      </c>
      <c r="I2715" s="1435"/>
      <c r="J2715" s="1446">
        <f t="shared" si="71"/>
        <v>0</v>
      </c>
      <c r="K2715" s="898">
        <v>491000</v>
      </c>
    </row>
    <row r="2716" spans="4:17" ht="22.8" hidden="1" customHeight="1">
      <c r="D2716" s="918">
        <v>69</v>
      </c>
      <c r="E2716" s="895"/>
      <c r="F2716" s="896" t="s">
        <v>1129</v>
      </c>
      <c r="G2716" s="897" t="s">
        <v>1080</v>
      </c>
      <c r="H2716" s="898">
        <v>6600000</v>
      </c>
      <c r="I2716" s="1435"/>
      <c r="J2716" s="1446">
        <f t="shared" si="71"/>
        <v>0</v>
      </c>
      <c r="K2716" s="898">
        <v>6600000</v>
      </c>
      <c r="Q2716" s="912"/>
    </row>
    <row r="2717" spans="4:17" ht="22.8" hidden="1" customHeight="1">
      <c r="D2717" s="918">
        <v>70</v>
      </c>
      <c r="E2717" s="895"/>
      <c r="F2717" s="896" t="s">
        <v>1130</v>
      </c>
      <c r="G2717" s="897" t="s">
        <v>1080</v>
      </c>
      <c r="H2717" s="898">
        <v>6300000</v>
      </c>
      <c r="I2717" s="1435"/>
      <c r="J2717" s="1446">
        <f t="shared" si="71"/>
        <v>0</v>
      </c>
      <c r="K2717" s="898">
        <v>6300000</v>
      </c>
    </row>
    <row r="2718" spans="4:17" ht="22.8" hidden="1" customHeight="1">
      <c r="D2718" s="918">
        <v>71</v>
      </c>
      <c r="E2718" s="895"/>
      <c r="F2718" s="896" t="s">
        <v>1131</v>
      </c>
      <c r="G2718" s="897" t="s">
        <v>1080</v>
      </c>
      <c r="H2718" s="898">
        <v>8000000</v>
      </c>
      <c r="I2718" s="1435"/>
      <c r="J2718" s="1446">
        <f t="shared" si="71"/>
        <v>0</v>
      </c>
      <c r="K2718" s="898">
        <v>8000000</v>
      </c>
    </row>
    <row r="2719" spans="4:17" ht="22.8" hidden="1" customHeight="1">
      <c r="D2719" s="918">
        <v>72</v>
      </c>
      <c r="E2719" s="895"/>
      <c r="F2719" s="896" t="s">
        <v>1132</v>
      </c>
      <c r="G2719" s="897" t="s">
        <v>1080</v>
      </c>
      <c r="H2719" s="898">
        <v>6000000</v>
      </c>
      <c r="I2719" s="1435"/>
      <c r="J2719" s="1446">
        <f t="shared" si="71"/>
        <v>0</v>
      </c>
      <c r="K2719" s="898">
        <v>6000000</v>
      </c>
    </row>
    <row r="2720" spans="4:17" ht="22.8" hidden="1" customHeight="1">
      <c r="D2720" s="918">
        <v>73</v>
      </c>
      <c r="E2720" s="895"/>
      <c r="F2720" s="896" t="s">
        <v>1133</v>
      </c>
      <c r="G2720" s="897" t="s">
        <v>135</v>
      </c>
      <c r="H2720" s="898">
        <v>300000</v>
      </c>
      <c r="I2720" s="1435"/>
      <c r="J2720" s="1446">
        <f t="shared" si="71"/>
        <v>0</v>
      </c>
      <c r="K2720" s="898">
        <v>300000</v>
      </c>
    </row>
    <row r="2721" spans="4:11" ht="22.8" hidden="1" customHeight="1">
      <c r="D2721" s="918">
        <v>74</v>
      </c>
      <c r="E2721" s="895"/>
      <c r="F2721" s="896" t="s">
        <v>1134</v>
      </c>
      <c r="G2721" s="897" t="s">
        <v>135</v>
      </c>
      <c r="H2721" s="898">
        <v>160000</v>
      </c>
      <c r="I2721" s="1435"/>
      <c r="J2721" s="1446">
        <f t="shared" si="71"/>
        <v>0</v>
      </c>
      <c r="K2721" s="898">
        <v>160000</v>
      </c>
    </row>
    <row r="2722" spans="4:11" ht="22.8" hidden="1" customHeight="1">
      <c r="D2722" s="918">
        <v>75</v>
      </c>
      <c r="E2722" s="895"/>
      <c r="F2722" s="896" t="s">
        <v>1135</v>
      </c>
      <c r="G2722" s="897" t="s">
        <v>1074</v>
      </c>
      <c r="H2722" s="898">
        <v>491000</v>
      </c>
      <c r="I2722" s="1435"/>
      <c r="J2722" s="1446">
        <f t="shared" si="71"/>
        <v>0</v>
      </c>
      <c r="K2722" s="898">
        <v>491000</v>
      </c>
    </row>
    <row r="2723" spans="4:11" ht="22.8" hidden="1" customHeight="1">
      <c r="D2723" s="918">
        <v>76</v>
      </c>
      <c r="E2723" s="895"/>
      <c r="F2723" s="896" t="s">
        <v>1136</v>
      </c>
      <c r="G2723" s="897" t="s">
        <v>1080</v>
      </c>
      <c r="H2723" s="898">
        <v>25000</v>
      </c>
      <c r="I2723" s="1435"/>
      <c r="J2723" s="1446">
        <f t="shared" si="71"/>
        <v>0</v>
      </c>
      <c r="K2723" s="898">
        <v>25000</v>
      </c>
    </row>
    <row r="2724" spans="4:11" ht="22.8" hidden="1" customHeight="1">
      <c r="D2724" s="918">
        <v>77</v>
      </c>
      <c r="E2724" s="895"/>
      <c r="F2724" s="896" t="s">
        <v>1137</v>
      </c>
      <c r="G2724" s="897" t="s">
        <v>1080</v>
      </c>
      <c r="H2724" s="898">
        <v>25000</v>
      </c>
      <c r="I2724" s="1435"/>
      <c r="J2724" s="1446">
        <f t="shared" si="71"/>
        <v>0</v>
      </c>
      <c r="K2724" s="898">
        <v>25000</v>
      </c>
    </row>
    <row r="2725" spans="4:11" ht="22.8" hidden="1" customHeight="1">
      <c r="D2725" s="918">
        <v>78</v>
      </c>
      <c r="E2725" s="895"/>
      <c r="F2725" s="896" t="s">
        <v>3125</v>
      </c>
      <c r="G2725" s="897" t="s">
        <v>2396</v>
      </c>
      <c r="H2725" s="898">
        <v>3125</v>
      </c>
      <c r="I2725" s="1435"/>
      <c r="J2725" s="1446">
        <f t="shared" si="71"/>
        <v>0</v>
      </c>
      <c r="K2725" s="898">
        <v>3125</v>
      </c>
    </row>
    <row r="2726" spans="4:11" ht="22.8" hidden="1" customHeight="1">
      <c r="D2726" s="918">
        <v>79</v>
      </c>
      <c r="E2726" s="895"/>
      <c r="F2726" s="896" t="s">
        <v>6505</v>
      </c>
      <c r="G2726" s="897" t="s">
        <v>2396</v>
      </c>
      <c r="H2726" s="898">
        <v>3125</v>
      </c>
      <c r="I2726" s="1435"/>
      <c r="J2726" s="1446">
        <f t="shared" si="71"/>
        <v>0</v>
      </c>
      <c r="K2726" s="898">
        <v>3125</v>
      </c>
    </row>
    <row r="2727" spans="4:11" ht="22.8" hidden="1" customHeight="1">
      <c r="D2727" s="918">
        <v>80</v>
      </c>
      <c r="E2727" s="895"/>
      <c r="F2727" s="896" t="s">
        <v>6506</v>
      </c>
      <c r="G2727" s="897" t="s">
        <v>2396</v>
      </c>
      <c r="H2727" s="898">
        <v>3125</v>
      </c>
      <c r="I2727" s="1435"/>
      <c r="J2727" s="1446">
        <f t="shared" si="71"/>
        <v>0</v>
      </c>
      <c r="K2727" s="898">
        <v>3125</v>
      </c>
    </row>
    <row r="2728" spans="4:11" ht="22.8" hidden="1" customHeight="1">
      <c r="D2728" s="918">
        <v>81</v>
      </c>
      <c r="E2728" s="895"/>
      <c r="F2728" s="896" t="s">
        <v>6507</v>
      </c>
      <c r="G2728" s="897" t="s">
        <v>2396</v>
      </c>
      <c r="H2728" s="898">
        <v>3125</v>
      </c>
      <c r="I2728" s="1435"/>
      <c r="J2728" s="1446">
        <f t="shared" si="71"/>
        <v>0</v>
      </c>
      <c r="K2728" s="898">
        <v>3125</v>
      </c>
    </row>
    <row r="2729" spans="4:11" ht="22.8" hidden="1" customHeight="1">
      <c r="D2729" s="918">
        <v>82</v>
      </c>
      <c r="E2729" s="895"/>
      <c r="F2729" s="896" t="s">
        <v>6508</v>
      </c>
      <c r="G2729" s="897" t="s">
        <v>2396</v>
      </c>
      <c r="H2729" s="898">
        <v>3125</v>
      </c>
      <c r="I2729" s="1435"/>
      <c r="J2729" s="1446">
        <f t="shared" si="71"/>
        <v>0</v>
      </c>
      <c r="K2729" s="898">
        <v>3125</v>
      </c>
    </row>
    <row r="2730" spans="4:11" ht="22.8" hidden="1" customHeight="1">
      <c r="D2730" s="918">
        <v>83</v>
      </c>
      <c r="E2730" s="895"/>
      <c r="F2730" s="896" t="s">
        <v>5226</v>
      </c>
      <c r="G2730" s="897" t="s">
        <v>1974</v>
      </c>
      <c r="H2730" s="898">
        <v>25000</v>
      </c>
      <c r="I2730" s="1435"/>
      <c r="J2730" s="1446">
        <f t="shared" si="71"/>
        <v>0</v>
      </c>
      <c r="K2730" s="898">
        <v>25000</v>
      </c>
    </row>
    <row r="2731" spans="4:11" ht="22.8" hidden="1" customHeight="1">
      <c r="D2731" s="918">
        <v>84</v>
      </c>
      <c r="E2731" s="895"/>
      <c r="F2731" s="896" t="s">
        <v>5246</v>
      </c>
      <c r="G2731" s="897" t="s">
        <v>1080</v>
      </c>
      <c r="H2731" s="898">
        <v>20000</v>
      </c>
      <c r="I2731" s="1435"/>
      <c r="J2731" s="1446">
        <f t="shared" si="71"/>
        <v>0</v>
      </c>
      <c r="K2731" s="898">
        <v>20000</v>
      </c>
    </row>
    <row r="2732" spans="4:11" ht="22.8" hidden="1" customHeight="1">
      <c r="D2732" s="918">
        <v>85</v>
      </c>
      <c r="E2732" s="895"/>
      <c r="F2732" s="896" t="s">
        <v>1138</v>
      </c>
      <c r="G2732" s="897" t="s">
        <v>1080</v>
      </c>
      <c r="H2732" s="898">
        <v>150000</v>
      </c>
      <c r="I2732" s="1435"/>
      <c r="J2732" s="1446">
        <f t="shared" si="71"/>
        <v>0</v>
      </c>
      <c r="K2732" s="898">
        <v>150000</v>
      </c>
    </row>
    <row r="2733" spans="4:11" ht="22.8" hidden="1" customHeight="1">
      <c r="D2733" s="918">
        <v>86</v>
      </c>
      <c r="E2733" s="895"/>
      <c r="F2733" s="896" t="s">
        <v>1139</v>
      </c>
      <c r="G2733" s="897"/>
      <c r="H2733" s="898"/>
      <c r="I2733" s="1435"/>
      <c r="J2733" s="1446">
        <f t="shared" si="71"/>
        <v>0</v>
      </c>
      <c r="K2733" s="898"/>
    </row>
    <row r="2734" spans="4:11" ht="22.8" hidden="1" customHeight="1">
      <c r="D2734" s="918">
        <v>87</v>
      </c>
      <c r="E2734" s="895"/>
      <c r="F2734" s="896" t="s">
        <v>1141</v>
      </c>
      <c r="G2734" s="897" t="s">
        <v>1140</v>
      </c>
      <c r="H2734" s="898">
        <v>8800</v>
      </c>
      <c r="I2734" s="1435"/>
      <c r="J2734" s="1446">
        <f t="shared" si="71"/>
        <v>0</v>
      </c>
      <c r="K2734" s="898">
        <v>8800</v>
      </c>
    </row>
    <row r="2735" spans="4:11" ht="22.8" hidden="1" customHeight="1">
      <c r="D2735" s="918">
        <v>88</v>
      </c>
      <c r="E2735" s="895"/>
      <c r="F2735" s="896" t="s">
        <v>1142</v>
      </c>
      <c r="G2735" s="897" t="s">
        <v>1140</v>
      </c>
      <c r="H2735" s="898">
        <v>17600</v>
      </c>
      <c r="I2735" s="1435"/>
      <c r="J2735" s="1446">
        <f t="shared" si="71"/>
        <v>0</v>
      </c>
      <c r="K2735" s="898">
        <v>17600</v>
      </c>
    </row>
    <row r="2736" spans="4:11" ht="22.8" hidden="1" customHeight="1">
      <c r="D2736" s="918">
        <v>89</v>
      </c>
      <c r="E2736" s="895"/>
      <c r="F2736" s="896" t="s">
        <v>3153</v>
      </c>
      <c r="G2736" s="897" t="s">
        <v>1080</v>
      </c>
      <c r="H2736" s="898">
        <f>H2735/30</f>
        <v>586.66666666666663</v>
      </c>
      <c r="I2736" s="1435"/>
      <c r="J2736" s="1446">
        <f t="shared" si="71"/>
        <v>0</v>
      </c>
      <c r="K2736" s="898">
        <f>K2735/30</f>
        <v>586.66666666666663</v>
      </c>
    </row>
    <row r="2737" spans="4:11" ht="22.8" hidden="1" customHeight="1">
      <c r="D2737" s="918">
        <v>90</v>
      </c>
      <c r="E2737" s="895"/>
      <c r="F2737" s="896" t="s">
        <v>3154</v>
      </c>
      <c r="G2737" s="897" t="s">
        <v>1080</v>
      </c>
      <c r="H2737" s="898">
        <v>322000</v>
      </c>
      <c r="I2737" s="1435"/>
      <c r="J2737" s="1446">
        <f t="shared" si="71"/>
        <v>0</v>
      </c>
      <c r="K2737" s="898">
        <v>322000</v>
      </c>
    </row>
    <row r="2738" spans="4:11" ht="22.8" hidden="1" customHeight="1">
      <c r="D2738" s="918">
        <v>91</v>
      </c>
      <c r="E2738" s="895"/>
      <c r="F2738" s="896" t="s">
        <v>5253</v>
      </c>
      <c r="G2738" s="897" t="s">
        <v>1974</v>
      </c>
      <c r="H2738" s="898">
        <v>850</v>
      </c>
      <c r="I2738" s="1435"/>
      <c r="J2738" s="1446">
        <f t="shared" si="71"/>
        <v>0</v>
      </c>
      <c r="K2738" s="898">
        <v>850</v>
      </c>
    </row>
    <row r="2739" spans="4:11" ht="22.8" hidden="1" customHeight="1">
      <c r="D2739" s="918">
        <v>92</v>
      </c>
      <c r="E2739" s="895"/>
      <c r="F2739" s="896" t="s">
        <v>1143</v>
      </c>
      <c r="G2739" s="897" t="s">
        <v>1074</v>
      </c>
      <c r="H2739" s="898">
        <v>35000</v>
      </c>
      <c r="I2739" s="1435"/>
      <c r="J2739" s="1446">
        <f t="shared" si="71"/>
        <v>0</v>
      </c>
      <c r="K2739" s="898">
        <v>35000</v>
      </c>
    </row>
    <row r="2740" spans="4:11" ht="22.8" hidden="1" customHeight="1">
      <c r="D2740" s="918">
        <v>93</v>
      </c>
      <c r="E2740" s="895"/>
      <c r="F2740" s="896" t="s">
        <v>7654</v>
      </c>
      <c r="G2740" s="897" t="s">
        <v>4414</v>
      </c>
      <c r="H2740" s="898">
        <v>350000</v>
      </c>
      <c r="I2740" s="1435"/>
      <c r="J2740" s="1446">
        <f t="shared" si="71"/>
        <v>0</v>
      </c>
      <c r="K2740" s="898">
        <v>350000</v>
      </c>
    </row>
    <row r="2741" spans="4:11" ht="22.8" hidden="1" customHeight="1">
      <c r="D2741" s="918">
        <v>94</v>
      </c>
      <c r="E2741" s="895"/>
      <c r="F2741" s="896" t="s">
        <v>4413</v>
      </c>
      <c r="G2741" s="897" t="s">
        <v>4414</v>
      </c>
      <c r="H2741" s="898">
        <v>350000</v>
      </c>
      <c r="I2741" s="1435"/>
      <c r="J2741" s="1446">
        <f t="shared" si="71"/>
        <v>0</v>
      </c>
      <c r="K2741" s="898">
        <v>350000</v>
      </c>
    </row>
    <row r="2742" spans="4:11" ht="22.8" hidden="1" customHeight="1">
      <c r="D2742" s="918">
        <v>95</v>
      </c>
      <c r="E2742" s="895"/>
      <c r="F2742" s="896" t="s">
        <v>5218</v>
      </c>
      <c r="G2742" s="897" t="s">
        <v>1974</v>
      </c>
      <c r="H2742" s="898">
        <v>290000</v>
      </c>
      <c r="I2742" s="1435"/>
      <c r="J2742" s="1446">
        <f t="shared" si="71"/>
        <v>0</v>
      </c>
      <c r="K2742" s="898">
        <v>290000</v>
      </c>
    </row>
    <row r="2743" spans="4:11" ht="22.8" hidden="1" customHeight="1">
      <c r="D2743" s="918">
        <v>96</v>
      </c>
      <c r="E2743" s="895"/>
      <c r="F2743" s="896" t="s">
        <v>5220</v>
      </c>
      <c r="G2743" s="897" t="s">
        <v>1974</v>
      </c>
      <c r="H2743" s="898">
        <v>310000</v>
      </c>
      <c r="I2743" s="1435"/>
      <c r="J2743" s="1446">
        <f t="shared" si="71"/>
        <v>0</v>
      </c>
      <c r="K2743" s="898">
        <v>310000</v>
      </c>
    </row>
    <row r="2744" spans="4:11" ht="22.8" hidden="1" customHeight="1">
      <c r="D2744" s="918">
        <v>97</v>
      </c>
      <c r="E2744" s="895"/>
      <c r="F2744" s="896" t="s">
        <v>5221</v>
      </c>
      <c r="G2744" s="897" t="s">
        <v>1974</v>
      </c>
      <c r="H2744" s="898">
        <v>350000</v>
      </c>
      <c r="I2744" s="1435"/>
      <c r="J2744" s="1446">
        <f t="shared" si="71"/>
        <v>0</v>
      </c>
      <c r="K2744" s="898">
        <v>350000</v>
      </c>
    </row>
    <row r="2745" spans="4:11" ht="22.8" hidden="1" customHeight="1">
      <c r="D2745" s="918">
        <v>98</v>
      </c>
      <c r="E2745" s="895"/>
      <c r="F2745" s="896" t="s">
        <v>1144</v>
      </c>
      <c r="G2745" s="897" t="s">
        <v>1080</v>
      </c>
      <c r="H2745" s="898">
        <v>95000</v>
      </c>
      <c r="I2745" s="1435"/>
      <c r="J2745" s="1446">
        <f t="shared" si="71"/>
        <v>0</v>
      </c>
      <c r="K2745" s="898">
        <v>95000</v>
      </c>
    </row>
    <row r="2746" spans="4:11" ht="22.8" hidden="1" customHeight="1">
      <c r="D2746" s="918">
        <v>99</v>
      </c>
      <c r="E2746" s="895"/>
      <c r="F2746" s="896" t="s">
        <v>1145</v>
      </c>
      <c r="G2746" s="897" t="s">
        <v>1074</v>
      </c>
      <c r="H2746" s="898">
        <v>799500</v>
      </c>
      <c r="I2746" s="1435"/>
      <c r="J2746" s="1446">
        <f t="shared" si="71"/>
        <v>0</v>
      </c>
      <c r="K2746" s="898">
        <v>799500</v>
      </c>
    </row>
    <row r="2747" spans="4:11" ht="22.8" hidden="1" customHeight="1">
      <c r="D2747" s="918">
        <v>100</v>
      </c>
      <c r="E2747" s="895"/>
      <c r="F2747" s="896" t="s">
        <v>1146</v>
      </c>
      <c r="G2747" s="897" t="s">
        <v>1074</v>
      </c>
      <c r="H2747" s="898">
        <v>469500</v>
      </c>
      <c r="I2747" s="1435"/>
      <c r="J2747" s="1446">
        <f t="shared" si="71"/>
        <v>0</v>
      </c>
      <c r="K2747" s="898">
        <v>469500</v>
      </c>
    </row>
    <row r="2748" spans="4:11" ht="22.8" hidden="1" customHeight="1">
      <c r="D2748" s="918">
        <v>101</v>
      </c>
      <c r="E2748" s="895"/>
      <c r="F2748" s="896" t="s">
        <v>1147</v>
      </c>
      <c r="G2748" s="897" t="s">
        <v>1080</v>
      </c>
      <c r="H2748" s="898">
        <v>150000</v>
      </c>
      <c r="I2748" s="1435"/>
      <c r="J2748" s="1446">
        <f t="shared" si="71"/>
        <v>0</v>
      </c>
      <c r="K2748" s="898">
        <v>150000</v>
      </c>
    </row>
    <row r="2749" spans="4:11" ht="22.8" hidden="1" customHeight="1">
      <c r="D2749" s="918">
        <v>102</v>
      </c>
      <c r="E2749" s="895"/>
      <c r="F2749" s="896" t="s">
        <v>1878</v>
      </c>
      <c r="G2749" s="897" t="s">
        <v>1074</v>
      </c>
      <c r="H2749" s="898">
        <v>262300</v>
      </c>
      <c r="I2749" s="1435"/>
      <c r="J2749" s="1446">
        <f t="shared" si="71"/>
        <v>0</v>
      </c>
      <c r="K2749" s="898">
        <v>262300</v>
      </c>
    </row>
    <row r="2750" spans="4:11" ht="22.8" hidden="1" customHeight="1">
      <c r="D2750" s="918">
        <v>103</v>
      </c>
      <c r="E2750" s="895"/>
      <c r="F2750" s="896" t="s">
        <v>4478</v>
      </c>
      <c r="G2750" s="897" t="s">
        <v>2396</v>
      </c>
      <c r="H2750" s="898">
        <v>275000</v>
      </c>
      <c r="I2750" s="1435"/>
      <c r="J2750" s="1446">
        <f t="shared" si="71"/>
        <v>0</v>
      </c>
      <c r="K2750" s="898">
        <v>275000</v>
      </c>
    </row>
    <row r="2751" spans="4:11" ht="22.8" hidden="1" customHeight="1">
      <c r="D2751" s="918">
        <v>104</v>
      </c>
      <c r="E2751" s="895"/>
      <c r="F2751" s="896" t="s">
        <v>1148</v>
      </c>
      <c r="G2751" s="897" t="s">
        <v>1080</v>
      </c>
      <c r="H2751" s="898">
        <v>3442900</v>
      </c>
      <c r="I2751" s="1435"/>
      <c r="J2751" s="1446">
        <f t="shared" si="71"/>
        <v>0</v>
      </c>
      <c r="K2751" s="898">
        <v>3442900</v>
      </c>
    </row>
    <row r="2752" spans="4:11" ht="22.8" hidden="1" customHeight="1">
      <c r="D2752" s="918">
        <v>105</v>
      </c>
      <c r="E2752" s="895"/>
      <c r="F2752" s="896" t="s">
        <v>2502</v>
      </c>
      <c r="G2752" s="897" t="s">
        <v>1974</v>
      </c>
      <c r="H2752" s="898">
        <v>3442900</v>
      </c>
      <c r="I2752" s="1435"/>
      <c r="J2752" s="1446">
        <f t="shared" ref="J2752:J2815" si="72">I2752-(I2752*10%)</f>
        <v>0</v>
      </c>
      <c r="K2752" s="898">
        <v>3442900</v>
      </c>
    </row>
    <row r="2753" spans="4:11" ht="22.8" hidden="1" customHeight="1">
      <c r="D2753" s="918">
        <v>106</v>
      </c>
      <c r="E2753" s="895"/>
      <c r="F2753" s="896" t="s">
        <v>2502</v>
      </c>
      <c r="G2753" s="897" t="s">
        <v>2396</v>
      </c>
      <c r="H2753" s="898">
        <v>430000</v>
      </c>
      <c r="I2753" s="1435"/>
      <c r="J2753" s="1446">
        <f t="shared" si="72"/>
        <v>0</v>
      </c>
      <c r="K2753" s="898">
        <v>430000</v>
      </c>
    </row>
    <row r="2754" spans="4:11" ht="22.8" hidden="1" customHeight="1">
      <c r="D2754" s="918">
        <v>107</v>
      </c>
      <c r="E2754" s="895"/>
      <c r="F2754" s="896" t="s">
        <v>7188</v>
      </c>
      <c r="G2754" s="897" t="s">
        <v>2396</v>
      </c>
      <c r="H2754" s="898">
        <v>430000</v>
      </c>
      <c r="I2754" s="1435"/>
      <c r="J2754" s="1446">
        <f t="shared" si="72"/>
        <v>0</v>
      </c>
      <c r="K2754" s="898">
        <v>430000</v>
      </c>
    </row>
    <row r="2755" spans="4:11" ht="22.8" hidden="1" customHeight="1">
      <c r="D2755" s="918">
        <v>108</v>
      </c>
      <c r="E2755" s="895"/>
      <c r="F2755" s="896" t="s">
        <v>1149</v>
      </c>
      <c r="G2755" s="897" t="s">
        <v>135</v>
      </c>
      <c r="H2755" s="898">
        <v>500000</v>
      </c>
      <c r="I2755" s="1435"/>
      <c r="J2755" s="1446">
        <f t="shared" si="72"/>
        <v>0</v>
      </c>
      <c r="K2755" s="898">
        <v>500000</v>
      </c>
    </row>
    <row r="2756" spans="4:11" ht="22.8" hidden="1" customHeight="1">
      <c r="D2756" s="918">
        <v>109</v>
      </c>
      <c r="E2756" s="895"/>
      <c r="F2756" s="896" t="s">
        <v>1150</v>
      </c>
      <c r="G2756" s="897" t="s">
        <v>1074</v>
      </c>
      <c r="H2756" s="898">
        <v>58800</v>
      </c>
      <c r="I2756" s="1435"/>
      <c r="J2756" s="1446">
        <f t="shared" si="72"/>
        <v>0</v>
      </c>
      <c r="K2756" s="898">
        <v>58800</v>
      </c>
    </row>
    <row r="2757" spans="4:11" ht="22.8" hidden="1" customHeight="1">
      <c r="D2757" s="918">
        <v>110</v>
      </c>
      <c r="E2757" s="895"/>
      <c r="F2757" s="896" t="s">
        <v>1151</v>
      </c>
      <c r="G2757" s="897" t="s">
        <v>1074</v>
      </c>
      <c r="H2757" s="898">
        <v>95000</v>
      </c>
      <c r="I2757" s="1435"/>
      <c r="J2757" s="1446">
        <f t="shared" si="72"/>
        <v>0</v>
      </c>
      <c r="K2757" s="898">
        <v>95000</v>
      </c>
    </row>
    <row r="2758" spans="4:11" ht="22.8" hidden="1" customHeight="1">
      <c r="D2758" s="918">
        <v>111</v>
      </c>
      <c r="E2758" s="895"/>
      <c r="F2758" s="896" t="s">
        <v>1152</v>
      </c>
      <c r="G2758" s="897" t="s">
        <v>1074</v>
      </c>
      <c r="H2758" s="898">
        <v>392200</v>
      </c>
      <c r="I2758" s="1435"/>
      <c r="J2758" s="1446">
        <f t="shared" si="72"/>
        <v>0</v>
      </c>
      <c r="K2758" s="898">
        <v>392200</v>
      </c>
    </row>
    <row r="2759" spans="4:11" ht="22.8" hidden="1" customHeight="1">
      <c r="D2759" s="918">
        <v>112</v>
      </c>
      <c r="E2759" s="895"/>
      <c r="F2759" s="896" t="s">
        <v>1153</v>
      </c>
      <c r="G2759" s="897" t="s">
        <v>1074</v>
      </c>
      <c r="H2759" s="898">
        <v>71700</v>
      </c>
      <c r="I2759" s="1435"/>
      <c r="J2759" s="1446">
        <f t="shared" si="72"/>
        <v>0</v>
      </c>
      <c r="K2759" s="898">
        <v>71700</v>
      </c>
    </row>
    <row r="2760" spans="4:11" ht="22.8" hidden="1" customHeight="1">
      <c r="D2760" s="918">
        <v>113</v>
      </c>
      <c r="E2760" s="895"/>
      <c r="F2760" s="896" t="s">
        <v>1154</v>
      </c>
      <c r="G2760" s="897" t="s">
        <v>1074</v>
      </c>
      <c r="H2760" s="898">
        <v>255200</v>
      </c>
      <c r="I2760" s="1435"/>
      <c r="J2760" s="1446">
        <f t="shared" si="72"/>
        <v>0</v>
      </c>
      <c r="K2760" s="898">
        <v>255200</v>
      </c>
    </row>
    <row r="2761" spans="4:11" ht="22.8" hidden="1" customHeight="1">
      <c r="D2761" s="918">
        <v>114</v>
      </c>
      <c r="E2761" s="895"/>
      <c r="F2761" s="896" t="s">
        <v>5663</v>
      </c>
      <c r="G2761" s="897" t="s">
        <v>1974</v>
      </c>
      <c r="H2761" s="898">
        <v>1550000</v>
      </c>
      <c r="I2761" s="1435"/>
      <c r="J2761" s="1446">
        <f t="shared" si="72"/>
        <v>0</v>
      </c>
      <c r="K2761" s="898">
        <v>1550000</v>
      </c>
    </row>
    <row r="2762" spans="4:11" ht="22.8" customHeight="1">
      <c r="D2762" s="1423">
        <v>3</v>
      </c>
      <c r="E2762" s="895"/>
      <c r="F2762" s="896" t="s">
        <v>1155</v>
      </c>
      <c r="G2762" s="897" t="s">
        <v>1080</v>
      </c>
      <c r="H2762" s="898">
        <v>75000</v>
      </c>
      <c r="I2762" s="1442"/>
      <c r="J2762" s="1446">
        <f t="shared" si="72"/>
        <v>0</v>
      </c>
      <c r="K2762" s="898">
        <v>75000</v>
      </c>
    </row>
    <row r="2763" spans="4:11" ht="22.8" hidden="1" customHeight="1">
      <c r="D2763" s="918">
        <v>116</v>
      </c>
      <c r="E2763" s="895"/>
      <c r="F2763" s="896" t="s">
        <v>1874</v>
      </c>
      <c r="G2763" s="897" t="s">
        <v>1074</v>
      </c>
      <c r="H2763" s="898">
        <v>472400</v>
      </c>
      <c r="I2763" s="1442"/>
      <c r="J2763" s="1446">
        <f t="shared" si="72"/>
        <v>0</v>
      </c>
      <c r="K2763" s="898">
        <v>472400</v>
      </c>
    </row>
    <row r="2764" spans="4:11" ht="22.8" hidden="1" customHeight="1">
      <c r="D2764" s="918">
        <v>117</v>
      </c>
      <c r="E2764" s="895"/>
      <c r="F2764" s="896" t="s">
        <v>4481</v>
      </c>
      <c r="G2764" s="897" t="s">
        <v>2139</v>
      </c>
      <c r="H2764" s="898">
        <v>3981125</v>
      </c>
      <c r="I2764" s="1442"/>
      <c r="J2764" s="1446">
        <f t="shared" si="72"/>
        <v>0</v>
      </c>
      <c r="K2764" s="898">
        <v>3981125</v>
      </c>
    </row>
    <row r="2765" spans="4:11" ht="22.8" hidden="1" customHeight="1">
      <c r="D2765" s="918">
        <v>118</v>
      </c>
      <c r="E2765" s="895"/>
      <c r="F2765" s="896" t="s">
        <v>4477</v>
      </c>
      <c r="G2765" s="897" t="s">
        <v>2139</v>
      </c>
      <c r="H2765" s="898">
        <v>450000</v>
      </c>
      <c r="I2765" s="1442"/>
      <c r="J2765" s="1446">
        <f t="shared" si="72"/>
        <v>0</v>
      </c>
      <c r="K2765" s="898">
        <v>450000</v>
      </c>
    </row>
    <row r="2766" spans="4:11" ht="22.8" hidden="1" customHeight="1">
      <c r="D2766" s="918">
        <v>119</v>
      </c>
      <c r="E2766" s="895"/>
      <c r="F2766" s="896" t="s">
        <v>1156</v>
      </c>
      <c r="G2766" s="897" t="s">
        <v>1074</v>
      </c>
      <c r="H2766" s="898">
        <v>472400</v>
      </c>
      <c r="I2766" s="1442"/>
      <c r="J2766" s="1446">
        <f t="shared" si="72"/>
        <v>0</v>
      </c>
      <c r="K2766" s="898">
        <v>472400</v>
      </c>
    </row>
    <row r="2767" spans="4:11" ht="22.8" hidden="1" customHeight="1">
      <c r="D2767" s="918">
        <v>120</v>
      </c>
      <c r="E2767" s="895"/>
      <c r="F2767" s="896" t="s">
        <v>1157</v>
      </c>
      <c r="G2767" s="897" t="s">
        <v>1080</v>
      </c>
      <c r="H2767" s="898">
        <v>350000</v>
      </c>
      <c r="I2767" s="1442"/>
      <c r="J2767" s="1446">
        <f t="shared" si="72"/>
        <v>0</v>
      </c>
      <c r="K2767" s="898">
        <v>350000</v>
      </c>
    </row>
    <row r="2768" spans="4:11" ht="22.8" hidden="1" customHeight="1">
      <c r="D2768" s="918">
        <v>121</v>
      </c>
      <c r="E2768" s="895"/>
      <c r="F2768" s="896" t="s">
        <v>5256</v>
      </c>
      <c r="G2768" s="897" t="s">
        <v>1974</v>
      </c>
      <c r="H2768" s="898">
        <v>250000</v>
      </c>
      <c r="I2768" s="1442"/>
      <c r="J2768" s="1446">
        <f t="shared" si="72"/>
        <v>0</v>
      </c>
      <c r="K2768" s="898">
        <v>250000</v>
      </c>
    </row>
    <row r="2769" spans="4:11" ht="22.8" hidden="1" customHeight="1">
      <c r="D2769" s="918">
        <v>122</v>
      </c>
      <c r="E2769" s="895"/>
      <c r="F2769" s="896" t="s">
        <v>5244</v>
      </c>
      <c r="G2769" s="897" t="s">
        <v>1974</v>
      </c>
      <c r="H2769" s="898">
        <v>487000</v>
      </c>
      <c r="I2769" s="1442"/>
      <c r="J2769" s="1446">
        <f t="shared" si="72"/>
        <v>0</v>
      </c>
      <c r="K2769" s="898">
        <v>487000</v>
      </c>
    </row>
    <row r="2770" spans="4:11" ht="22.8" hidden="1" customHeight="1">
      <c r="D2770" s="918">
        <v>123</v>
      </c>
      <c r="E2770" s="895"/>
      <c r="F2770" s="896" t="s">
        <v>1158</v>
      </c>
      <c r="G2770" s="897" t="s">
        <v>1080</v>
      </c>
      <c r="H2770" s="898">
        <v>350000</v>
      </c>
      <c r="I2770" s="1442"/>
      <c r="J2770" s="1446">
        <f t="shared" si="72"/>
        <v>0</v>
      </c>
      <c r="K2770" s="898">
        <v>350000</v>
      </c>
    </row>
    <row r="2771" spans="4:11" ht="22.8" hidden="1" customHeight="1">
      <c r="D2771" s="918">
        <v>124</v>
      </c>
      <c r="E2771" s="895"/>
      <c r="F2771" s="896" t="s">
        <v>5235</v>
      </c>
      <c r="G2771" s="897" t="s">
        <v>2167</v>
      </c>
      <c r="H2771" s="898">
        <v>200000</v>
      </c>
      <c r="I2771" s="1442"/>
      <c r="J2771" s="1446">
        <f t="shared" si="72"/>
        <v>0</v>
      </c>
      <c r="K2771" s="898">
        <v>200000</v>
      </c>
    </row>
    <row r="2772" spans="4:11" ht="22.8" hidden="1" customHeight="1">
      <c r="D2772" s="918">
        <v>125</v>
      </c>
      <c r="E2772" s="895"/>
      <c r="F2772" s="896" t="s">
        <v>5240</v>
      </c>
      <c r="G2772" s="897" t="s">
        <v>2167</v>
      </c>
      <c r="H2772" s="898">
        <v>250000</v>
      </c>
      <c r="I2772" s="1442"/>
      <c r="J2772" s="1446">
        <f t="shared" si="72"/>
        <v>0</v>
      </c>
      <c r="K2772" s="898">
        <v>250000</v>
      </c>
    </row>
    <row r="2773" spans="4:11" ht="22.8" hidden="1" customHeight="1">
      <c r="D2773" s="918">
        <v>126</v>
      </c>
      <c r="E2773" s="895"/>
      <c r="F2773" s="896" t="s">
        <v>6492</v>
      </c>
      <c r="G2773" s="897" t="s">
        <v>2167</v>
      </c>
      <c r="H2773" s="898">
        <v>250000</v>
      </c>
      <c r="I2773" s="1442"/>
      <c r="J2773" s="1446">
        <f t="shared" si="72"/>
        <v>0</v>
      </c>
      <c r="K2773" s="898">
        <v>250000</v>
      </c>
    </row>
    <row r="2774" spans="4:11" ht="22.8" hidden="1" customHeight="1">
      <c r="D2774" s="918">
        <v>127</v>
      </c>
      <c r="E2774" s="895"/>
      <c r="F2774" s="896" t="s">
        <v>6500</v>
      </c>
      <c r="G2774" s="897" t="s">
        <v>2167</v>
      </c>
      <c r="H2774" s="898">
        <v>255000</v>
      </c>
      <c r="I2774" s="1442"/>
      <c r="J2774" s="1446">
        <f t="shared" si="72"/>
        <v>0</v>
      </c>
      <c r="K2774" s="898">
        <v>255000</v>
      </c>
    </row>
    <row r="2775" spans="4:11" ht="22.8" hidden="1" customHeight="1">
      <c r="D2775" s="918">
        <v>128</v>
      </c>
      <c r="E2775" s="895"/>
      <c r="F2775" s="896" t="s">
        <v>5257</v>
      </c>
      <c r="G2775" s="897" t="s">
        <v>2167</v>
      </c>
      <c r="H2775" s="898">
        <v>250000</v>
      </c>
      <c r="I2775" s="1442"/>
      <c r="J2775" s="1446">
        <f t="shared" si="72"/>
        <v>0</v>
      </c>
      <c r="K2775" s="898">
        <v>250000</v>
      </c>
    </row>
    <row r="2776" spans="4:11" ht="22.8" hidden="1" customHeight="1">
      <c r="D2776" s="918">
        <v>129</v>
      </c>
      <c r="E2776" s="895"/>
      <c r="F2776" s="896" t="s">
        <v>5242</v>
      </c>
      <c r="G2776" s="897" t="s">
        <v>2167</v>
      </c>
      <c r="H2776" s="898">
        <v>124500</v>
      </c>
      <c r="I2776" s="1442"/>
      <c r="J2776" s="1446">
        <f t="shared" si="72"/>
        <v>0</v>
      </c>
      <c r="K2776" s="898">
        <v>124500</v>
      </c>
    </row>
    <row r="2777" spans="4:11" ht="22.8" hidden="1" customHeight="1">
      <c r="D2777" s="918">
        <v>130</v>
      </c>
      <c r="E2777" s="895"/>
      <c r="F2777" s="896" t="s">
        <v>5236</v>
      </c>
      <c r="G2777" s="897" t="s">
        <v>2167</v>
      </c>
      <c r="H2777" s="898">
        <v>124500</v>
      </c>
      <c r="I2777" s="1442"/>
      <c r="J2777" s="1446">
        <f t="shared" si="72"/>
        <v>0</v>
      </c>
      <c r="K2777" s="898">
        <v>124500</v>
      </c>
    </row>
    <row r="2778" spans="4:11" ht="22.8" hidden="1" customHeight="1">
      <c r="D2778" s="918">
        <v>131</v>
      </c>
      <c r="E2778" s="895"/>
      <c r="F2778" s="896" t="s">
        <v>6495</v>
      </c>
      <c r="G2778" s="897" t="s">
        <v>2167</v>
      </c>
      <c r="H2778" s="898">
        <v>135000</v>
      </c>
      <c r="I2778" s="1442"/>
      <c r="J2778" s="1446">
        <f t="shared" si="72"/>
        <v>0</v>
      </c>
      <c r="K2778" s="898">
        <v>135000</v>
      </c>
    </row>
    <row r="2779" spans="4:11" ht="22.8" hidden="1" customHeight="1">
      <c r="D2779" s="918">
        <v>132</v>
      </c>
      <c r="E2779" s="895"/>
      <c r="F2779" s="896" t="s">
        <v>6501</v>
      </c>
      <c r="G2779" s="897" t="s">
        <v>2167</v>
      </c>
      <c r="H2779" s="898">
        <v>140000</v>
      </c>
      <c r="I2779" s="1442"/>
      <c r="J2779" s="1446">
        <f t="shared" si="72"/>
        <v>0</v>
      </c>
      <c r="K2779" s="898">
        <v>140000</v>
      </c>
    </row>
    <row r="2780" spans="4:11" ht="22.8" hidden="1" customHeight="1">
      <c r="D2780" s="918">
        <v>133</v>
      </c>
      <c r="E2780" s="895"/>
      <c r="F2780" s="896" t="s">
        <v>6493</v>
      </c>
      <c r="G2780" s="897" t="s">
        <v>2396</v>
      </c>
      <c r="H2780" s="898">
        <v>500000</v>
      </c>
      <c r="I2780" s="1442"/>
      <c r="J2780" s="1446">
        <f t="shared" si="72"/>
        <v>0</v>
      </c>
      <c r="K2780" s="898">
        <v>500000</v>
      </c>
    </row>
    <row r="2781" spans="4:11" ht="22.8" hidden="1" customHeight="1">
      <c r="D2781" s="918">
        <v>134</v>
      </c>
      <c r="E2781" s="895"/>
      <c r="F2781" s="896" t="s">
        <v>6516</v>
      </c>
      <c r="G2781" s="897" t="s">
        <v>2396</v>
      </c>
      <c r="H2781" s="898">
        <v>550000</v>
      </c>
      <c r="I2781" s="1442"/>
      <c r="J2781" s="1446">
        <f t="shared" si="72"/>
        <v>0</v>
      </c>
      <c r="K2781" s="898">
        <v>550000</v>
      </c>
    </row>
    <row r="2782" spans="4:11" ht="22.8" hidden="1" customHeight="1">
      <c r="D2782" s="918">
        <v>135</v>
      </c>
      <c r="E2782" s="895"/>
      <c r="F2782" s="896" t="s">
        <v>6504</v>
      </c>
      <c r="G2782" s="897" t="s">
        <v>2396</v>
      </c>
      <c r="H2782" s="898">
        <v>50000</v>
      </c>
      <c r="I2782" s="1442"/>
      <c r="J2782" s="1446">
        <f t="shared" si="72"/>
        <v>0</v>
      </c>
      <c r="K2782" s="898">
        <v>50000</v>
      </c>
    </row>
    <row r="2783" spans="4:11" ht="22.8" hidden="1" customHeight="1">
      <c r="D2783" s="918">
        <v>136</v>
      </c>
      <c r="E2783" s="895"/>
      <c r="F2783" s="896" t="s">
        <v>6494</v>
      </c>
      <c r="G2783" s="897" t="s">
        <v>2396</v>
      </c>
      <c r="H2783" s="898">
        <v>50000</v>
      </c>
      <c r="I2783" s="1442"/>
      <c r="J2783" s="1446">
        <f t="shared" si="72"/>
        <v>0</v>
      </c>
      <c r="K2783" s="898">
        <v>50000</v>
      </c>
    </row>
    <row r="2784" spans="4:11" ht="22.8" hidden="1" customHeight="1">
      <c r="D2784" s="918">
        <v>137</v>
      </c>
      <c r="E2784" s="895"/>
      <c r="F2784" s="896" t="s">
        <v>5607</v>
      </c>
      <c r="G2784" s="897" t="s">
        <v>2469</v>
      </c>
      <c r="H2784" s="898">
        <v>350000</v>
      </c>
      <c r="I2784" s="1442"/>
      <c r="J2784" s="1446">
        <f t="shared" si="72"/>
        <v>0</v>
      </c>
      <c r="K2784" s="898">
        <v>350000</v>
      </c>
    </row>
    <row r="2785" spans="4:11" ht="22.8" hidden="1" customHeight="1">
      <c r="D2785" s="918">
        <v>138</v>
      </c>
      <c r="E2785" s="895"/>
      <c r="F2785" s="896" t="s">
        <v>1159</v>
      </c>
      <c r="G2785" s="897" t="s">
        <v>630</v>
      </c>
      <c r="H2785" s="898">
        <v>45000</v>
      </c>
      <c r="I2785" s="1442"/>
      <c r="J2785" s="1446">
        <f t="shared" si="72"/>
        <v>0</v>
      </c>
      <c r="K2785" s="898">
        <v>45000</v>
      </c>
    </row>
    <row r="2786" spans="4:11" ht="22.8" hidden="1" customHeight="1">
      <c r="D2786" s="918">
        <v>139</v>
      </c>
      <c r="E2786" s="895"/>
      <c r="F2786" s="896" t="s">
        <v>5232</v>
      </c>
      <c r="G2786" s="897" t="s">
        <v>2167</v>
      </c>
      <c r="H2786" s="898">
        <v>18500</v>
      </c>
      <c r="I2786" s="1442"/>
      <c r="J2786" s="1446">
        <f t="shared" si="72"/>
        <v>0</v>
      </c>
      <c r="K2786" s="898">
        <v>18500</v>
      </c>
    </row>
    <row r="2787" spans="4:11" ht="22.8" hidden="1" customHeight="1">
      <c r="D2787" s="918">
        <v>140</v>
      </c>
      <c r="E2787" s="895"/>
      <c r="F2787" s="896" t="s">
        <v>1160</v>
      </c>
      <c r="G2787" s="897" t="s">
        <v>106</v>
      </c>
      <c r="H2787" s="898">
        <v>52000</v>
      </c>
      <c r="I2787" s="1442"/>
      <c r="J2787" s="1446">
        <f t="shared" si="72"/>
        <v>0</v>
      </c>
      <c r="K2787" s="898">
        <v>52000</v>
      </c>
    </row>
    <row r="2788" spans="4:11" ht="22.8" hidden="1" customHeight="1">
      <c r="D2788" s="918">
        <v>141</v>
      </c>
      <c r="E2788" s="895"/>
      <c r="F2788" s="896" t="s">
        <v>1161</v>
      </c>
      <c r="G2788" s="897" t="s">
        <v>1162</v>
      </c>
      <c r="H2788" s="898">
        <v>969</v>
      </c>
      <c r="I2788" s="1442"/>
      <c r="J2788" s="1446">
        <f t="shared" si="72"/>
        <v>0</v>
      </c>
      <c r="K2788" s="898">
        <v>969</v>
      </c>
    </row>
    <row r="2789" spans="4:11" ht="22.8" hidden="1" customHeight="1">
      <c r="D2789" s="918">
        <v>142</v>
      </c>
      <c r="E2789" s="895"/>
      <c r="F2789" s="896" t="s">
        <v>1163</v>
      </c>
      <c r="G2789" s="897" t="s">
        <v>44</v>
      </c>
      <c r="H2789" s="898">
        <v>15000</v>
      </c>
      <c r="I2789" s="1442"/>
      <c r="J2789" s="1446">
        <f t="shared" si="72"/>
        <v>0</v>
      </c>
      <c r="K2789" s="898">
        <v>15000</v>
      </c>
    </row>
    <row r="2790" spans="4:11" ht="22.8" hidden="1" customHeight="1">
      <c r="D2790" s="918">
        <v>143</v>
      </c>
      <c r="E2790" s="895"/>
      <c r="F2790" s="896" t="s">
        <v>1164</v>
      </c>
      <c r="G2790" s="897" t="s">
        <v>44</v>
      </c>
      <c r="H2790" s="898">
        <v>3500</v>
      </c>
      <c r="I2790" s="1442"/>
      <c r="J2790" s="1446">
        <f t="shared" si="72"/>
        <v>0</v>
      </c>
      <c r="K2790" s="898">
        <v>3500</v>
      </c>
    </row>
    <row r="2791" spans="4:11" ht="22.8" hidden="1" customHeight="1">
      <c r="D2791" s="918">
        <v>144</v>
      </c>
      <c r="E2791" s="895"/>
      <c r="F2791" s="896" t="s">
        <v>1165</v>
      </c>
      <c r="G2791" s="897" t="s">
        <v>1162</v>
      </c>
      <c r="H2791" s="898">
        <v>850</v>
      </c>
      <c r="I2791" s="1442"/>
      <c r="J2791" s="1446">
        <f t="shared" si="72"/>
        <v>0</v>
      </c>
      <c r="K2791" s="898">
        <v>850</v>
      </c>
    </row>
    <row r="2792" spans="4:11" ht="22.8" hidden="1" customHeight="1">
      <c r="D2792" s="918">
        <v>145</v>
      </c>
      <c r="E2792" s="895"/>
      <c r="F2792" s="896" t="s">
        <v>1166</v>
      </c>
      <c r="G2792" s="897" t="s">
        <v>44</v>
      </c>
      <c r="H2792" s="898">
        <v>30000</v>
      </c>
      <c r="I2792" s="1442"/>
      <c r="J2792" s="1446">
        <f t="shared" si="72"/>
        <v>0</v>
      </c>
      <c r="K2792" s="898">
        <v>30000</v>
      </c>
    </row>
    <row r="2793" spans="4:11" ht="22.8" hidden="1" customHeight="1">
      <c r="D2793" s="918">
        <v>146</v>
      </c>
      <c r="E2793" s="895"/>
      <c r="F2793" s="896" t="s">
        <v>1320</v>
      </c>
      <c r="G2793" s="897" t="s">
        <v>1074</v>
      </c>
      <c r="H2793" s="898">
        <v>85000</v>
      </c>
      <c r="I2793" s="1442"/>
      <c r="J2793" s="1446">
        <f t="shared" si="72"/>
        <v>0</v>
      </c>
      <c r="K2793" s="898">
        <v>85000</v>
      </c>
    </row>
    <row r="2794" spans="4:11" ht="22.8" customHeight="1">
      <c r="D2794" s="1429">
        <v>36</v>
      </c>
      <c r="E2794" s="895"/>
      <c r="F2794" s="896" t="s">
        <v>1167</v>
      </c>
      <c r="G2794" s="897" t="s">
        <v>1080</v>
      </c>
      <c r="H2794" s="898">
        <v>300000</v>
      </c>
      <c r="I2794" s="1442"/>
      <c r="J2794" s="1446">
        <f t="shared" si="72"/>
        <v>0</v>
      </c>
      <c r="K2794" s="898">
        <v>300000</v>
      </c>
    </row>
    <row r="2795" spans="4:11" ht="22.8" hidden="1" customHeight="1">
      <c r="D2795" s="918">
        <v>148</v>
      </c>
      <c r="E2795" s="895"/>
      <c r="F2795" s="896" t="s">
        <v>7603</v>
      </c>
      <c r="G2795" s="897" t="s">
        <v>1974</v>
      </c>
      <c r="H2795" s="898">
        <v>300000</v>
      </c>
      <c r="I2795" s="1435"/>
      <c r="J2795" s="1446">
        <f t="shared" si="72"/>
        <v>0</v>
      </c>
      <c r="K2795" s="898">
        <v>300000</v>
      </c>
    </row>
    <row r="2796" spans="4:11" ht="22.8" hidden="1" customHeight="1">
      <c r="D2796" s="918">
        <v>149</v>
      </c>
      <c r="E2796" s="895"/>
      <c r="F2796" s="896" t="s">
        <v>1168</v>
      </c>
      <c r="G2796" s="897" t="s">
        <v>44</v>
      </c>
      <c r="H2796" s="898">
        <v>15000</v>
      </c>
      <c r="I2796" s="1435"/>
      <c r="J2796" s="1446">
        <f t="shared" si="72"/>
        <v>0</v>
      </c>
      <c r="K2796" s="898">
        <v>15000</v>
      </c>
    </row>
    <row r="2797" spans="4:11" ht="22.8" hidden="1" customHeight="1">
      <c r="D2797" s="918">
        <v>150</v>
      </c>
      <c r="E2797" s="895"/>
      <c r="F2797" s="896" t="s">
        <v>1169</v>
      </c>
      <c r="G2797" s="897" t="s">
        <v>44</v>
      </c>
      <c r="H2797" s="898">
        <v>25000</v>
      </c>
      <c r="I2797" s="1435"/>
      <c r="J2797" s="1446">
        <f t="shared" si="72"/>
        <v>0</v>
      </c>
      <c r="K2797" s="898">
        <v>25000</v>
      </c>
    </row>
    <row r="2798" spans="4:11" ht="22.8" hidden="1" customHeight="1">
      <c r="D2798" s="918">
        <v>151</v>
      </c>
      <c r="E2798" s="895"/>
      <c r="F2798" s="896" t="s">
        <v>1170</v>
      </c>
      <c r="G2798" s="897" t="s">
        <v>1171</v>
      </c>
      <c r="H2798" s="898">
        <v>20000</v>
      </c>
      <c r="I2798" s="1435"/>
      <c r="J2798" s="1446">
        <f t="shared" si="72"/>
        <v>0</v>
      </c>
      <c r="K2798" s="898">
        <v>20000</v>
      </c>
    </row>
    <row r="2799" spans="4:11" ht="22.8" hidden="1" customHeight="1">
      <c r="D2799" s="918">
        <v>152</v>
      </c>
      <c r="E2799" s="895"/>
      <c r="F2799" s="896" t="s">
        <v>1172</v>
      </c>
      <c r="G2799" s="897" t="s">
        <v>44</v>
      </c>
      <c r="H2799" s="898">
        <v>52000</v>
      </c>
      <c r="I2799" s="1435"/>
      <c r="J2799" s="1446">
        <f t="shared" si="72"/>
        <v>0</v>
      </c>
      <c r="K2799" s="898">
        <v>52000</v>
      </c>
    </row>
    <row r="2800" spans="4:11" ht="22.8" hidden="1" customHeight="1">
      <c r="D2800" s="918">
        <v>153</v>
      </c>
      <c r="E2800" s="895"/>
      <c r="F2800" s="896" t="s">
        <v>1173</v>
      </c>
      <c r="G2800" s="897" t="s">
        <v>1080</v>
      </c>
      <c r="H2800" s="898">
        <v>500000</v>
      </c>
      <c r="I2800" s="1435"/>
      <c r="J2800" s="1446">
        <f t="shared" si="72"/>
        <v>0</v>
      </c>
      <c r="K2800" s="898">
        <v>500000</v>
      </c>
    </row>
    <row r="2801" spans="4:11" ht="22.8" hidden="1" customHeight="1">
      <c r="D2801" s="918">
        <v>154</v>
      </c>
      <c r="E2801" s="895"/>
      <c r="F2801" s="896" t="s">
        <v>1174</v>
      </c>
      <c r="G2801" s="897" t="s">
        <v>1080</v>
      </c>
      <c r="H2801" s="898">
        <v>1000000</v>
      </c>
      <c r="I2801" s="1435"/>
      <c r="J2801" s="1446">
        <f t="shared" si="72"/>
        <v>0</v>
      </c>
      <c r="K2801" s="898">
        <v>1000000</v>
      </c>
    </row>
    <row r="2802" spans="4:11" ht="22.8" hidden="1" customHeight="1">
      <c r="D2802" s="918">
        <v>155</v>
      </c>
      <c r="E2802" s="895"/>
      <c r="F2802" s="896" t="s">
        <v>1175</v>
      </c>
      <c r="G2802" s="897" t="s">
        <v>1080</v>
      </c>
      <c r="H2802" s="898">
        <v>250000</v>
      </c>
      <c r="I2802" s="1435"/>
      <c r="J2802" s="1446">
        <f t="shared" si="72"/>
        <v>0</v>
      </c>
      <c r="K2802" s="898">
        <v>250000</v>
      </c>
    </row>
    <row r="2803" spans="4:11" ht="22.8" hidden="1" customHeight="1">
      <c r="D2803" s="918">
        <v>156</v>
      </c>
      <c r="E2803" s="895"/>
      <c r="F2803" s="896" t="s">
        <v>5085</v>
      </c>
      <c r="G2803" s="897" t="s">
        <v>1080</v>
      </c>
      <c r="H2803" s="898">
        <v>280000</v>
      </c>
      <c r="I2803" s="1435"/>
      <c r="J2803" s="1446">
        <f t="shared" si="72"/>
        <v>0</v>
      </c>
      <c r="K2803" s="898">
        <v>280000</v>
      </c>
    </row>
    <row r="2804" spans="4:11" ht="22.8" hidden="1" customHeight="1">
      <c r="D2804" s="918">
        <v>157</v>
      </c>
      <c r="E2804" s="895"/>
      <c r="F2804" s="896" t="s">
        <v>5215</v>
      </c>
      <c r="G2804" s="897" t="s">
        <v>1974</v>
      </c>
      <c r="H2804" s="898">
        <v>280000</v>
      </c>
      <c r="I2804" s="1435"/>
      <c r="J2804" s="1446">
        <f t="shared" si="72"/>
        <v>0</v>
      </c>
      <c r="K2804" s="898">
        <v>280000</v>
      </c>
    </row>
    <row r="2805" spans="4:11" ht="22.8" hidden="1" customHeight="1">
      <c r="D2805" s="918">
        <v>158</v>
      </c>
      <c r="E2805" s="895"/>
      <c r="F2805" s="896" t="s">
        <v>5217</v>
      </c>
      <c r="G2805" s="897" t="s">
        <v>1974</v>
      </c>
      <c r="H2805" s="898">
        <v>260000</v>
      </c>
      <c r="I2805" s="1435"/>
      <c r="J2805" s="1446">
        <f t="shared" si="72"/>
        <v>0</v>
      </c>
      <c r="K2805" s="898">
        <v>260000</v>
      </c>
    </row>
    <row r="2806" spans="4:11" ht="22.8" hidden="1" customHeight="1">
      <c r="D2806" s="918">
        <v>159</v>
      </c>
      <c r="E2806" s="895"/>
      <c r="F2806" s="896" t="s">
        <v>5223</v>
      </c>
      <c r="G2806" s="897" t="s">
        <v>5224</v>
      </c>
      <c r="H2806" s="898">
        <v>67500</v>
      </c>
      <c r="I2806" s="1435"/>
      <c r="J2806" s="1446">
        <f t="shared" si="72"/>
        <v>0</v>
      </c>
      <c r="K2806" s="898">
        <v>67500</v>
      </c>
    </row>
    <row r="2807" spans="4:11" ht="22.8" hidden="1" customHeight="1">
      <c r="D2807" s="918">
        <v>160</v>
      </c>
      <c r="E2807" s="895"/>
      <c r="F2807" s="896" t="s">
        <v>5924</v>
      </c>
      <c r="G2807" s="897" t="s">
        <v>1080</v>
      </c>
      <c r="H2807" s="898">
        <v>3300000</v>
      </c>
      <c r="I2807" s="1435"/>
      <c r="J2807" s="1446">
        <f t="shared" si="72"/>
        <v>0</v>
      </c>
      <c r="K2807" s="898">
        <v>3300000</v>
      </c>
    </row>
    <row r="2808" spans="4:11" ht="22.8" hidden="1" customHeight="1">
      <c r="D2808" s="918">
        <v>161</v>
      </c>
      <c r="E2808" s="895"/>
      <c r="F2808" s="896" t="s">
        <v>1176</v>
      </c>
      <c r="G2808" s="897" t="s">
        <v>135</v>
      </c>
      <c r="H2808" s="898">
        <v>1920000</v>
      </c>
      <c r="I2808" s="1435"/>
      <c r="J2808" s="1446">
        <f t="shared" si="72"/>
        <v>0</v>
      </c>
      <c r="K2808" s="898">
        <v>1920000</v>
      </c>
    </row>
    <row r="2809" spans="4:11" ht="22.8" hidden="1" customHeight="1">
      <c r="D2809" s="918">
        <v>162</v>
      </c>
      <c r="E2809" s="895"/>
      <c r="F2809" s="896" t="s">
        <v>1177</v>
      </c>
      <c r="G2809" s="897" t="s">
        <v>1074</v>
      </c>
      <c r="H2809" s="898">
        <v>42000</v>
      </c>
      <c r="I2809" s="1435"/>
      <c r="J2809" s="1446">
        <f t="shared" si="72"/>
        <v>0</v>
      </c>
      <c r="K2809" s="898">
        <v>42000</v>
      </c>
    </row>
    <row r="2810" spans="4:11" ht="22.8" hidden="1" customHeight="1">
      <c r="D2810" s="918">
        <v>163</v>
      </c>
      <c r="E2810" s="895"/>
      <c r="F2810" s="896" t="s">
        <v>1178</v>
      </c>
      <c r="G2810" s="897" t="s">
        <v>1080</v>
      </c>
      <c r="H2810" s="898">
        <v>44000</v>
      </c>
      <c r="I2810" s="1435"/>
      <c r="J2810" s="1446">
        <f t="shared" si="72"/>
        <v>0</v>
      </c>
      <c r="K2810" s="898">
        <v>44000</v>
      </c>
    </row>
    <row r="2811" spans="4:11" ht="22.8" hidden="1" customHeight="1">
      <c r="D2811" s="918">
        <v>164</v>
      </c>
      <c r="E2811" s="895"/>
      <c r="F2811" s="896" t="s">
        <v>1179</v>
      </c>
      <c r="G2811" s="897" t="s">
        <v>1080</v>
      </c>
      <c r="H2811" s="898">
        <v>7500</v>
      </c>
      <c r="I2811" s="1435"/>
      <c r="J2811" s="1446">
        <f t="shared" si="72"/>
        <v>0</v>
      </c>
      <c r="K2811" s="898">
        <v>7500</v>
      </c>
    </row>
    <row r="2812" spans="4:11" ht="22.8" hidden="1" customHeight="1">
      <c r="D2812" s="918">
        <v>165</v>
      </c>
      <c r="E2812" s="895"/>
      <c r="F2812" s="896" t="s">
        <v>1180</v>
      </c>
      <c r="G2812" s="897" t="s">
        <v>1080</v>
      </c>
      <c r="H2812" s="898">
        <v>7500</v>
      </c>
      <c r="I2812" s="1435"/>
      <c r="J2812" s="1446">
        <f t="shared" si="72"/>
        <v>0</v>
      </c>
      <c r="K2812" s="898">
        <v>7500</v>
      </c>
    </row>
    <row r="2813" spans="4:11" ht="22.8" hidden="1" customHeight="1">
      <c r="D2813" s="918">
        <v>166</v>
      </c>
      <c r="E2813" s="895"/>
      <c r="F2813" s="896" t="s">
        <v>1138</v>
      </c>
      <c r="G2813" s="897" t="s">
        <v>1080</v>
      </c>
      <c r="H2813" s="898">
        <v>150000</v>
      </c>
      <c r="I2813" s="1435"/>
      <c r="J2813" s="1446">
        <f t="shared" si="72"/>
        <v>0</v>
      </c>
      <c r="K2813" s="898">
        <v>150000</v>
      </c>
    </row>
    <row r="2814" spans="4:11" ht="22.8" hidden="1" customHeight="1">
      <c r="D2814" s="918">
        <v>167</v>
      </c>
      <c r="E2814" s="895"/>
      <c r="F2814" s="896" t="s">
        <v>1181</v>
      </c>
      <c r="G2814" s="897" t="s">
        <v>1080</v>
      </c>
      <c r="H2814" s="898">
        <v>1450000</v>
      </c>
      <c r="I2814" s="1435"/>
      <c r="J2814" s="1446">
        <f t="shared" si="72"/>
        <v>0</v>
      </c>
      <c r="K2814" s="898">
        <v>1450000</v>
      </c>
    </row>
    <row r="2815" spans="4:11" ht="22.8" hidden="1" customHeight="1">
      <c r="D2815" s="918">
        <v>168</v>
      </c>
      <c r="E2815" s="895"/>
      <c r="F2815" s="896" t="s">
        <v>1182</v>
      </c>
      <c r="G2815" s="897" t="s">
        <v>1080</v>
      </c>
      <c r="H2815" s="898">
        <v>3400000</v>
      </c>
      <c r="I2815" s="1435"/>
      <c r="J2815" s="1446">
        <f t="shared" si="72"/>
        <v>0</v>
      </c>
      <c r="K2815" s="898">
        <v>3400000</v>
      </c>
    </row>
    <row r="2816" spans="4:11" ht="22.8" hidden="1" customHeight="1">
      <c r="D2816" s="918">
        <v>169</v>
      </c>
      <c r="E2816" s="895"/>
      <c r="F2816" s="896" t="s">
        <v>1183</v>
      </c>
      <c r="G2816" s="897" t="s">
        <v>1080</v>
      </c>
      <c r="H2816" s="898">
        <v>6250000</v>
      </c>
      <c r="I2816" s="1435"/>
      <c r="J2816" s="1446">
        <f t="shared" ref="J2816:J2820" si="73">I2816-(I2816*10%)</f>
        <v>0</v>
      </c>
      <c r="K2816" s="898">
        <v>6250000</v>
      </c>
    </row>
    <row r="2817" spans="4:11" ht="22.8" hidden="1" customHeight="1">
      <c r="D2817" s="918">
        <v>170</v>
      </c>
      <c r="E2817" s="895"/>
      <c r="F2817" s="896" t="s">
        <v>1184</v>
      </c>
      <c r="G2817" s="897" t="s">
        <v>1080</v>
      </c>
      <c r="H2817" s="898">
        <v>1450000</v>
      </c>
      <c r="I2817" s="1435"/>
      <c r="J2817" s="1446">
        <f t="shared" si="73"/>
        <v>0</v>
      </c>
      <c r="K2817" s="898">
        <v>1450000</v>
      </c>
    </row>
    <row r="2818" spans="4:11" ht="22.8" hidden="1" customHeight="1">
      <c r="D2818" s="918">
        <v>171</v>
      </c>
      <c r="E2818" s="895"/>
      <c r="F2818" s="896" t="s">
        <v>1185</v>
      </c>
      <c r="G2818" s="897" t="s">
        <v>44</v>
      </c>
      <c r="H2818" s="898">
        <v>50000</v>
      </c>
      <c r="I2818" s="1435"/>
      <c r="J2818" s="1446">
        <f t="shared" si="73"/>
        <v>0</v>
      </c>
      <c r="K2818" s="898">
        <v>50000</v>
      </c>
    </row>
    <row r="2819" spans="4:11" ht="22.8" hidden="1" customHeight="1">
      <c r="D2819" s="918">
        <v>172</v>
      </c>
      <c r="E2819" s="895"/>
      <c r="F2819" s="896" t="s">
        <v>1185</v>
      </c>
      <c r="G2819" s="897" t="s">
        <v>1080</v>
      </c>
      <c r="H2819" s="898">
        <v>50000</v>
      </c>
      <c r="I2819" s="1435"/>
      <c r="J2819" s="1446">
        <f t="shared" si="73"/>
        <v>0</v>
      </c>
      <c r="K2819" s="898">
        <v>50000</v>
      </c>
    </row>
    <row r="2820" spans="4:11" ht="22.8" customHeight="1">
      <c r="D2820" s="1429">
        <v>36</v>
      </c>
      <c r="E2820" s="895"/>
      <c r="F2820" s="896" t="s">
        <v>4444</v>
      </c>
      <c r="G2820" s="897" t="s">
        <v>1974</v>
      </c>
      <c r="H2820" s="898">
        <v>25000</v>
      </c>
      <c r="I2820" s="1435">
        <v>3685000</v>
      </c>
      <c r="J2820" s="1446">
        <f t="shared" si="73"/>
        <v>3316500</v>
      </c>
      <c r="K2820" s="898">
        <v>25000</v>
      </c>
    </row>
    <row r="2821" spans="4:11" ht="22.8" hidden="1" customHeight="1">
      <c r="D2821" s="918">
        <v>174</v>
      </c>
      <c r="E2821" s="895"/>
      <c r="F2821" s="896" t="s">
        <v>3130</v>
      </c>
      <c r="G2821" s="897" t="s">
        <v>2167</v>
      </c>
      <c r="H2821" s="898">
        <v>1144000</v>
      </c>
      <c r="I2821" s="1435"/>
      <c r="J2821" s="1447"/>
      <c r="K2821" s="898">
        <v>1144000</v>
      </c>
    </row>
    <row r="2822" spans="4:11" ht="22.8" hidden="1" customHeight="1">
      <c r="D2822" s="918">
        <v>175</v>
      </c>
      <c r="E2822" s="895"/>
      <c r="F2822" s="896" t="s">
        <v>1186</v>
      </c>
      <c r="G2822" s="897" t="s">
        <v>1162</v>
      </c>
      <c r="H2822" s="898">
        <v>30</v>
      </c>
      <c r="I2822" s="1435"/>
      <c r="J2822" s="1447"/>
      <c r="K2822" s="898">
        <v>30</v>
      </c>
    </row>
    <row r="2823" spans="4:11" ht="22.8" hidden="1" customHeight="1">
      <c r="D2823" s="918">
        <v>176</v>
      </c>
      <c r="E2823" s="895"/>
      <c r="F2823" s="896" t="s">
        <v>1187</v>
      </c>
      <c r="G2823" s="897" t="s">
        <v>1080</v>
      </c>
      <c r="H2823" s="898">
        <v>250000</v>
      </c>
      <c r="I2823" s="1435"/>
      <c r="J2823" s="1447"/>
      <c r="K2823" s="898">
        <v>250000</v>
      </c>
    </row>
    <row r="2824" spans="4:11" ht="22.8" hidden="1" customHeight="1">
      <c r="D2824" s="918">
        <v>177</v>
      </c>
      <c r="E2824" s="895"/>
      <c r="F2824" s="896" t="s">
        <v>1188</v>
      </c>
      <c r="G2824" s="897" t="s">
        <v>1074</v>
      </c>
      <c r="H2824" s="898">
        <v>525000</v>
      </c>
      <c r="I2824" s="1435"/>
      <c r="J2824" s="1447"/>
      <c r="K2824" s="898">
        <v>525000</v>
      </c>
    </row>
    <row r="2825" spans="4:11" ht="22.8" hidden="1" customHeight="1">
      <c r="D2825" s="918">
        <v>178</v>
      </c>
      <c r="E2825" s="895"/>
      <c r="F2825" s="896" t="s">
        <v>1189</v>
      </c>
      <c r="G2825" s="897" t="s">
        <v>1162</v>
      </c>
      <c r="H2825" s="898">
        <v>165</v>
      </c>
      <c r="I2825" s="1435"/>
      <c r="J2825" s="1447"/>
      <c r="K2825" s="898">
        <v>165</v>
      </c>
    </row>
    <row r="2826" spans="4:11" ht="22.8" hidden="1" customHeight="1">
      <c r="D2826" s="918">
        <v>179</v>
      </c>
      <c r="E2826" s="895"/>
      <c r="F2826" s="896" t="s">
        <v>1281</v>
      </c>
      <c r="G2826" s="897" t="s">
        <v>1300</v>
      </c>
      <c r="H2826" s="898">
        <v>25000</v>
      </c>
      <c r="I2826" s="1435"/>
      <c r="J2826" s="1447"/>
      <c r="K2826" s="898">
        <v>25000</v>
      </c>
    </row>
    <row r="2827" spans="4:11" ht="22.8" hidden="1" customHeight="1">
      <c r="D2827" s="918">
        <v>180</v>
      </c>
      <c r="E2827" s="895"/>
      <c r="F2827" s="896" t="s">
        <v>1286</v>
      </c>
      <c r="G2827" s="897" t="s">
        <v>1300</v>
      </c>
      <c r="H2827" s="898">
        <v>30700</v>
      </c>
      <c r="I2827" s="1435"/>
      <c r="J2827" s="1447"/>
      <c r="K2827" s="898">
        <v>30700</v>
      </c>
    </row>
    <row r="2828" spans="4:11" ht="22.8" hidden="1" customHeight="1">
      <c r="D2828" s="918">
        <v>181</v>
      </c>
      <c r="E2828" s="895"/>
      <c r="F2828" s="896" t="s">
        <v>1291</v>
      </c>
      <c r="G2828" s="897" t="s">
        <v>1300</v>
      </c>
      <c r="H2828" s="898">
        <v>43500</v>
      </c>
      <c r="I2828" s="1435"/>
      <c r="J2828" s="1447"/>
      <c r="K2828" s="898">
        <v>43500</v>
      </c>
    </row>
    <row r="2829" spans="4:11" ht="22.8" hidden="1" customHeight="1">
      <c r="D2829" s="918">
        <v>182</v>
      </c>
      <c r="E2829" s="895"/>
      <c r="F2829" s="896" t="s">
        <v>1296</v>
      </c>
      <c r="G2829" s="897" t="s">
        <v>1300</v>
      </c>
      <c r="H2829" s="898">
        <v>55800</v>
      </c>
      <c r="I2829" s="1435"/>
      <c r="J2829" s="1447"/>
      <c r="K2829" s="898">
        <v>55800</v>
      </c>
    </row>
    <row r="2830" spans="4:11" ht="22.8" hidden="1" customHeight="1">
      <c r="D2830" s="918">
        <v>183</v>
      </c>
      <c r="E2830" s="895"/>
      <c r="F2830" s="896" t="s">
        <v>1517</v>
      </c>
      <c r="G2830" s="897" t="s">
        <v>1518</v>
      </c>
      <c r="H2830" s="898">
        <v>332</v>
      </c>
      <c r="I2830" s="1435"/>
      <c r="J2830" s="1447"/>
      <c r="K2830" s="898">
        <v>332</v>
      </c>
    </row>
    <row r="2831" spans="4:11" ht="22.8" hidden="1" customHeight="1" thickBot="1">
      <c r="D2831" s="919">
        <v>184</v>
      </c>
      <c r="E2831" s="920"/>
      <c r="F2831" s="921" t="s">
        <v>3093</v>
      </c>
      <c r="G2831" s="922" t="s">
        <v>2426</v>
      </c>
      <c r="H2831" s="923">
        <v>28000</v>
      </c>
      <c r="I2831" s="1441"/>
      <c r="J2831" s="1451"/>
      <c r="K2831" s="923">
        <v>28000</v>
      </c>
    </row>
  </sheetData>
  <mergeCells count="20">
    <mergeCell ref="D4:I4"/>
    <mergeCell ref="E54:I54"/>
    <mergeCell ref="E55:I55"/>
    <mergeCell ref="E130:F130"/>
    <mergeCell ref="E190:F190"/>
    <mergeCell ref="E1745:F1745"/>
    <mergeCell ref="E2231:F2231"/>
    <mergeCell ref="E2265:F2265"/>
    <mergeCell ref="E2647:F2647"/>
    <mergeCell ref="E8:F8"/>
    <mergeCell ref="E1465:F1465"/>
    <mergeCell ref="E1499:F1499"/>
    <mergeCell ref="E1532:F1532"/>
    <mergeCell ref="E1654:F1654"/>
    <mergeCell ref="E1674:F1674"/>
    <mergeCell ref="E954:F954"/>
    <mergeCell ref="E1061:F1061"/>
    <mergeCell ref="E1176:F1176"/>
    <mergeCell ref="E1324:F1324"/>
    <mergeCell ref="E1415:F1415"/>
  </mergeCells>
  <phoneticPr fontId="19" type="noConversion"/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309A-672E-4D92-8CC0-D9B208285851}">
  <dimension ref="A4:Q1550"/>
  <sheetViews>
    <sheetView topLeftCell="A563" zoomScale="61" workbookViewId="0">
      <selection activeCell="D574" sqref="D574"/>
    </sheetView>
  </sheetViews>
  <sheetFormatPr defaultRowHeight="13.2"/>
  <cols>
    <col min="3" max="3" width="7.44140625" bestFit="1" customWidth="1"/>
    <col min="4" max="4" width="63.6640625" bestFit="1" customWidth="1"/>
    <col min="5" max="5" width="5.109375" bestFit="1" customWidth="1"/>
    <col min="6" max="6" width="13.77734375" bestFit="1" customWidth="1"/>
    <col min="7" max="7" width="9.44140625" bestFit="1" customWidth="1"/>
    <col min="8" max="8" width="19.21875" bestFit="1" customWidth="1"/>
    <col min="9" max="10" width="18.5546875" bestFit="1" customWidth="1"/>
    <col min="11" max="11" width="31.5546875" bestFit="1" customWidth="1"/>
    <col min="12" max="12" width="21.33203125" style="1406" bestFit="1" customWidth="1"/>
    <col min="13" max="13" width="13" bestFit="1" customWidth="1"/>
  </cols>
  <sheetData>
    <row r="4" spans="3:13">
      <c r="C4" s="1173" t="s">
        <v>9064</v>
      </c>
      <c r="D4" s="1382">
        <v>0.1</v>
      </c>
    </row>
    <row r="5" spans="3:13" s="59" customFormat="1" ht="29.4" customHeight="1" thickBot="1">
      <c r="C5" s="47" t="s">
        <v>1847</v>
      </c>
      <c r="D5" s="47" t="s">
        <v>1848</v>
      </c>
      <c r="E5" s="47"/>
      <c r="F5" s="47"/>
      <c r="G5" s="47"/>
      <c r="H5" s="47"/>
      <c r="I5" s="47"/>
      <c r="J5" s="47"/>
      <c r="K5" s="120">
        <f>ROUNDDOWN(J30,-2)</f>
        <v>2089800</v>
      </c>
      <c r="L5" s="1407" t="s">
        <v>6454</v>
      </c>
      <c r="M5" s="940" t="s">
        <v>6451</v>
      </c>
    </row>
    <row r="6" spans="3:13" s="59" customFormat="1" ht="14.4" thickTop="1">
      <c r="C6" s="1163" t="s">
        <v>1195</v>
      </c>
      <c r="D6" s="976" t="s">
        <v>1196</v>
      </c>
      <c r="E6" s="976"/>
      <c r="F6" s="976" t="s">
        <v>1197</v>
      </c>
      <c r="G6" s="976" t="s">
        <v>1198</v>
      </c>
      <c r="H6" s="976" t="s">
        <v>1199</v>
      </c>
      <c r="I6" s="1164"/>
      <c r="J6" s="1165" t="s">
        <v>1200</v>
      </c>
      <c r="K6" s="289"/>
      <c r="L6" s="1407"/>
      <c r="M6" s="940"/>
    </row>
    <row r="7" spans="3:13" s="59" customFormat="1" ht="13.8">
      <c r="C7" s="1166" t="s">
        <v>1201</v>
      </c>
      <c r="D7" s="285" t="s">
        <v>1202</v>
      </c>
      <c r="E7" s="285"/>
      <c r="F7" s="1103"/>
      <c r="G7" s="1103"/>
      <c r="H7" s="1103"/>
      <c r="I7" s="1167"/>
      <c r="J7" s="1104"/>
      <c r="K7" s="280"/>
      <c r="L7" s="1407"/>
      <c r="M7" s="940"/>
    </row>
    <row r="8" spans="3:13" s="59" customFormat="1" ht="13.8">
      <c r="C8" s="1110" t="s">
        <v>1203</v>
      </c>
      <c r="D8" s="285" t="s">
        <v>5</v>
      </c>
      <c r="E8" s="285" t="s">
        <v>1774</v>
      </c>
      <c r="F8" s="291" t="s">
        <v>6</v>
      </c>
      <c r="G8" s="870">
        <v>1.2</v>
      </c>
      <c r="H8" s="1132">
        <f>VLOOKUP(D8,upahbahan,3,FALSE)</f>
        <v>100000</v>
      </c>
      <c r="I8" s="1133"/>
      <c r="J8" s="1134">
        <f>G8*H8</f>
        <v>120000</v>
      </c>
      <c r="K8" s="280"/>
      <c r="L8" s="1407"/>
      <c r="M8" s="940"/>
    </row>
    <row r="9" spans="3:13" s="59" customFormat="1" ht="13.8">
      <c r="C9" s="1110">
        <v>2</v>
      </c>
      <c r="D9" s="285" t="s">
        <v>7</v>
      </c>
      <c r="E9" s="285" t="s">
        <v>1775</v>
      </c>
      <c r="F9" s="291" t="s">
        <v>6</v>
      </c>
      <c r="G9" s="870">
        <v>0.4</v>
      </c>
      <c r="H9" s="1132">
        <f>VLOOKUP(D9,upahbahan,3,FALSE)</f>
        <v>135000</v>
      </c>
      <c r="I9" s="1133"/>
      <c r="J9" s="1134">
        <f>G9*H9</f>
        <v>54000</v>
      </c>
      <c r="K9" s="280"/>
      <c r="L9" s="1407"/>
      <c r="M9" s="940"/>
    </row>
    <row r="10" spans="3:13" s="59" customFormat="1" ht="13.8">
      <c r="C10" s="1110">
        <v>3</v>
      </c>
      <c r="D10" s="285" t="s">
        <v>18</v>
      </c>
      <c r="E10" s="285" t="s">
        <v>1776</v>
      </c>
      <c r="F10" s="291" t="s">
        <v>6</v>
      </c>
      <c r="G10" s="870">
        <v>0.04</v>
      </c>
      <c r="H10" s="1132">
        <f>VLOOKUP(D10,upahbahan,3,FALSE)</f>
        <v>150000</v>
      </c>
      <c r="I10" s="1133"/>
      <c r="J10" s="1134">
        <f>G10*H10</f>
        <v>6000</v>
      </c>
      <c r="K10" s="280"/>
      <c r="L10" s="1407"/>
      <c r="M10" s="940"/>
    </row>
    <row r="11" spans="3:13" s="59" customFormat="1" ht="13.8">
      <c r="C11" s="1110">
        <v>4</v>
      </c>
      <c r="D11" s="285" t="s">
        <v>19</v>
      </c>
      <c r="E11" s="285" t="s">
        <v>1777</v>
      </c>
      <c r="F11" s="291" t="s">
        <v>6</v>
      </c>
      <c r="G11" s="870">
        <v>0.12</v>
      </c>
      <c r="H11" s="1132">
        <f>VLOOKUP(D11,upahbahan,3,FALSE)</f>
        <v>160000</v>
      </c>
      <c r="I11" s="1133"/>
      <c r="J11" s="1134">
        <f>G11*H11</f>
        <v>19200</v>
      </c>
      <c r="K11" s="280"/>
      <c r="L11" s="1407"/>
      <c r="M11" s="940"/>
    </row>
    <row r="12" spans="3:13" s="59" customFormat="1" ht="13.8">
      <c r="C12" s="66" t="s">
        <v>1208</v>
      </c>
      <c r="D12" s="67"/>
      <c r="E12" s="67"/>
      <c r="F12" s="67"/>
      <c r="G12" s="67"/>
      <c r="H12" s="1168"/>
      <c r="I12" s="1169"/>
      <c r="J12" s="1134">
        <f>SUM(J8:J11)</f>
        <v>199200</v>
      </c>
      <c r="K12" s="280"/>
      <c r="L12" s="1407"/>
      <c r="M12" s="940"/>
    </row>
    <row r="13" spans="3:13" s="59" customFormat="1" ht="13.8">
      <c r="C13" s="1166" t="s">
        <v>1209</v>
      </c>
      <c r="D13" s="285" t="s">
        <v>1210</v>
      </c>
      <c r="E13" s="285"/>
      <c r="F13" s="1103"/>
      <c r="G13" s="1103"/>
      <c r="H13" s="1135"/>
      <c r="I13" s="1136"/>
      <c r="J13" s="1104"/>
      <c r="K13" s="280"/>
      <c r="L13" s="1407"/>
      <c r="M13" s="940"/>
    </row>
    <row r="14" spans="3:13" s="59" customFormat="1" ht="13.8">
      <c r="C14" s="1110" t="s">
        <v>1203</v>
      </c>
      <c r="D14" s="1103" t="s">
        <v>1849</v>
      </c>
      <c r="E14" s="1103"/>
      <c r="F14" s="102" t="s">
        <v>42</v>
      </c>
      <c r="G14" s="870">
        <v>0.35</v>
      </c>
      <c r="H14" s="1135">
        <f t="shared" ref="H14:H19" si="0">VLOOKUP(D14,upahbahan,3,FALSE)</f>
        <v>2250000</v>
      </c>
      <c r="I14" s="1136"/>
      <c r="J14" s="284">
        <f t="shared" ref="J14:J24" si="1">G14*H14</f>
        <v>787500</v>
      </c>
      <c r="K14" s="280"/>
      <c r="L14" s="1407"/>
      <c r="M14" s="940"/>
    </row>
    <row r="15" spans="3:13" s="59" customFormat="1" ht="13.8">
      <c r="C15" s="1110" t="s">
        <v>1204</v>
      </c>
      <c r="D15" s="285" t="s">
        <v>1850</v>
      </c>
      <c r="E15" s="285"/>
      <c r="F15" s="102" t="s">
        <v>129</v>
      </c>
      <c r="G15" s="870">
        <v>1</v>
      </c>
      <c r="H15" s="1135">
        <f t="shared" si="0"/>
        <v>64620</v>
      </c>
      <c r="I15" s="1136"/>
      <c r="J15" s="284">
        <f t="shared" si="1"/>
        <v>64620</v>
      </c>
      <c r="K15" s="280"/>
      <c r="L15" s="1407"/>
      <c r="M15" s="940"/>
    </row>
    <row r="16" spans="3:13" s="59" customFormat="1" ht="13.8">
      <c r="C16" s="1110" t="s">
        <v>1205</v>
      </c>
      <c r="D16" s="1103" t="s">
        <v>1851</v>
      </c>
      <c r="E16" s="1103"/>
      <c r="F16" s="291" t="s">
        <v>42</v>
      </c>
      <c r="G16" s="870">
        <v>0.17</v>
      </c>
      <c r="H16" s="1135">
        <f t="shared" si="0"/>
        <v>322875</v>
      </c>
      <c r="I16" s="1136"/>
      <c r="J16" s="284">
        <f t="shared" si="1"/>
        <v>54888.750000000007</v>
      </c>
      <c r="K16" s="280"/>
      <c r="L16" s="1407"/>
      <c r="M16" s="940"/>
    </row>
    <row r="17" spans="3:13" s="59" customFormat="1" ht="13.8">
      <c r="C17" s="1110" t="s">
        <v>1206</v>
      </c>
      <c r="D17" s="285" t="s">
        <v>1852</v>
      </c>
      <c r="E17" s="285"/>
      <c r="F17" s="291" t="s">
        <v>129</v>
      </c>
      <c r="G17" s="870">
        <v>1.24</v>
      </c>
      <c r="H17" s="1135">
        <f t="shared" si="0"/>
        <v>72000</v>
      </c>
      <c r="I17" s="1136"/>
      <c r="J17" s="284">
        <f>G17*H17</f>
        <v>89280</v>
      </c>
      <c r="K17" s="280"/>
      <c r="L17" s="1407"/>
      <c r="M17" s="940"/>
    </row>
    <row r="18" spans="3:13" s="59" customFormat="1" ht="13.8">
      <c r="C18" s="1110" t="s">
        <v>1207</v>
      </c>
      <c r="D18" s="285" t="s">
        <v>1823</v>
      </c>
      <c r="E18" s="285"/>
      <c r="F18" s="291" t="s">
        <v>65</v>
      </c>
      <c r="G18" s="870">
        <v>0.75</v>
      </c>
      <c r="H18" s="1135">
        <f t="shared" si="0"/>
        <v>33075</v>
      </c>
      <c r="I18" s="1136"/>
      <c r="J18" s="284">
        <f t="shared" si="1"/>
        <v>24806.25</v>
      </c>
      <c r="K18" s="280"/>
      <c r="L18" s="1407"/>
      <c r="M18" s="940"/>
    </row>
    <row r="19" spans="3:13" s="59" customFormat="1" ht="13.8">
      <c r="C19" s="1110" t="s">
        <v>1211</v>
      </c>
      <c r="D19" s="285" t="s">
        <v>1853</v>
      </c>
      <c r="E19" s="285"/>
      <c r="F19" s="102" t="s">
        <v>129</v>
      </c>
      <c r="G19" s="870">
        <v>0.3</v>
      </c>
      <c r="H19" s="1135">
        <f t="shared" si="0"/>
        <v>101475</v>
      </c>
      <c r="I19" s="1136"/>
      <c r="J19" s="284">
        <f t="shared" si="1"/>
        <v>30442.5</v>
      </c>
      <c r="K19" s="280"/>
      <c r="L19" s="1407"/>
      <c r="M19" s="940"/>
    </row>
    <row r="20" spans="3:13" s="59" customFormat="1" ht="13.8">
      <c r="C20" s="1110" t="s">
        <v>1212</v>
      </c>
      <c r="D20" s="285" t="s">
        <v>1854</v>
      </c>
      <c r="E20" s="285"/>
      <c r="F20" s="102" t="s">
        <v>65</v>
      </c>
      <c r="G20" s="870">
        <v>0.1</v>
      </c>
      <c r="H20" s="1541">
        <f>'Upah Bahan'!H1023</f>
        <v>33075</v>
      </c>
      <c r="I20" s="1142"/>
      <c r="J20" s="284">
        <f t="shared" si="1"/>
        <v>3307.5</v>
      </c>
      <c r="K20" s="280"/>
      <c r="L20" s="1407"/>
      <c r="M20" s="940"/>
    </row>
    <row r="21" spans="3:13" s="59" customFormat="1" ht="13.8">
      <c r="C21" s="1110" t="s">
        <v>1213</v>
      </c>
      <c r="D21" s="285" t="s">
        <v>1855</v>
      </c>
      <c r="E21" s="285"/>
      <c r="F21" s="102" t="s">
        <v>42</v>
      </c>
      <c r="G21" s="870">
        <v>0.15</v>
      </c>
      <c r="H21" s="1135">
        <f t="shared" ref="H21:H24" si="2">VLOOKUP(D21,upahbahan,3,FALSE)</f>
        <v>805600</v>
      </c>
      <c r="I21" s="1136"/>
      <c r="J21" s="284">
        <f t="shared" si="1"/>
        <v>120840</v>
      </c>
      <c r="K21" s="280"/>
      <c r="L21" s="1407"/>
      <c r="M21" s="940"/>
    </row>
    <row r="22" spans="3:13" s="59" customFormat="1" ht="13.8">
      <c r="C22" s="1110" t="s">
        <v>1230</v>
      </c>
      <c r="D22" s="285" t="s">
        <v>1856</v>
      </c>
      <c r="E22" s="285"/>
      <c r="F22" s="291" t="s">
        <v>62</v>
      </c>
      <c r="G22" s="870">
        <v>0.1</v>
      </c>
      <c r="H22" s="1135">
        <f t="shared" si="2"/>
        <v>765000</v>
      </c>
      <c r="I22" s="1136"/>
      <c r="J22" s="284">
        <f t="shared" si="1"/>
        <v>76500</v>
      </c>
      <c r="K22" s="280"/>
      <c r="L22" s="1407"/>
      <c r="M22" s="940"/>
    </row>
    <row r="23" spans="3:13" s="59" customFormat="1" ht="13.8">
      <c r="C23" s="1110" t="s">
        <v>1231</v>
      </c>
      <c r="D23" s="285" t="s">
        <v>1857</v>
      </c>
      <c r="E23" s="285"/>
      <c r="F23" s="291" t="s">
        <v>1859</v>
      </c>
      <c r="G23" s="870">
        <v>1</v>
      </c>
      <c r="H23" s="1135">
        <f t="shared" si="2"/>
        <v>36000</v>
      </c>
      <c r="I23" s="1136"/>
      <c r="J23" s="284">
        <f t="shared" si="1"/>
        <v>36000</v>
      </c>
      <c r="K23" s="280"/>
      <c r="L23" s="1407"/>
      <c r="M23" s="940"/>
    </row>
    <row r="24" spans="3:13" s="59" customFormat="1" ht="13.8">
      <c r="C24" s="1110" t="s">
        <v>1232</v>
      </c>
      <c r="D24" s="285" t="s">
        <v>1858</v>
      </c>
      <c r="E24" s="285"/>
      <c r="F24" s="291" t="s">
        <v>62</v>
      </c>
      <c r="G24" s="870">
        <v>16.5</v>
      </c>
      <c r="H24" s="1135">
        <f t="shared" si="2"/>
        <v>25000</v>
      </c>
      <c r="I24" s="1136"/>
      <c r="J24" s="284">
        <f t="shared" si="1"/>
        <v>412500</v>
      </c>
      <c r="K24" s="280"/>
      <c r="L24" s="1407"/>
      <c r="M24" s="940"/>
    </row>
    <row r="25" spans="3:13" s="59" customFormat="1" ht="13.8">
      <c r="C25" s="66" t="s">
        <v>1214</v>
      </c>
      <c r="D25" s="67"/>
      <c r="E25" s="67"/>
      <c r="F25" s="67"/>
      <c r="G25" s="67"/>
      <c r="H25" s="961"/>
      <c r="I25" s="962"/>
      <c r="J25" s="284">
        <f>SUM(J14:J24)</f>
        <v>1700685</v>
      </c>
      <c r="K25" s="280"/>
      <c r="L25" s="1407"/>
      <c r="M25" s="940"/>
    </row>
    <row r="26" spans="3:13" s="59" customFormat="1" ht="13.8">
      <c r="C26" s="1166" t="s">
        <v>1215</v>
      </c>
      <c r="D26" s="285" t="s">
        <v>1216</v>
      </c>
      <c r="E26" s="285"/>
      <c r="F26" s="1103"/>
      <c r="G26" s="1103"/>
      <c r="H26" s="1170"/>
      <c r="I26" s="1171"/>
      <c r="J26" s="1104"/>
      <c r="K26" s="280"/>
      <c r="L26" s="1407"/>
      <c r="M26" s="940"/>
    </row>
    <row r="27" spans="3:13" s="59" customFormat="1" ht="13.8">
      <c r="C27" s="66" t="s">
        <v>1217</v>
      </c>
      <c r="D27" s="67"/>
      <c r="E27" s="67"/>
      <c r="F27" s="67"/>
      <c r="G27" s="67"/>
      <c r="H27" s="961"/>
      <c r="I27" s="962"/>
      <c r="J27" s="1172">
        <v>0</v>
      </c>
      <c r="K27" s="280"/>
      <c r="L27" s="1407"/>
      <c r="M27" s="940"/>
    </row>
    <row r="28" spans="3:13" s="59" customFormat="1" ht="13.8">
      <c r="C28" s="293" t="s">
        <v>1218</v>
      </c>
      <c r="D28" s="294" t="s">
        <v>1219</v>
      </c>
      <c r="E28" s="295"/>
      <c r="F28" s="295"/>
      <c r="G28" s="295"/>
      <c r="H28" s="1137"/>
      <c r="I28" s="1138"/>
      <c r="J28" s="284">
        <f>J12+J25+J27</f>
        <v>1899885</v>
      </c>
      <c r="K28" s="280"/>
      <c r="L28" s="1407"/>
      <c r="M28" s="940"/>
    </row>
    <row r="29" spans="3:13" s="59" customFormat="1" ht="13.8">
      <c r="C29" s="293" t="s">
        <v>1220</v>
      </c>
      <c r="D29" s="294" t="s">
        <v>1249</v>
      </c>
      <c r="E29" s="295"/>
      <c r="F29" s="295"/>
      <c r="G29" s="296"/>
      <c r="H29" s="298">
        <f>$D$4</f>
        <v>0.1</v>
      </c>
      <c r="I29" s="1116"/>
      <c r="J29" s="284">
        <f>J28*H29</f>
        <v>189988.5</v>
      </c>
      <c r="K29" s="280"/>
      <c r="L29" s="1407"/>
      <c r="M29" s="940"/>
    </row>
    <row r="30" spans="3:13" s="59" customFormat="1" ht="14.4" thickBot="1">
      <c r="C30" s="299" t="s">
        <v>1221</v>
      </c>
      <c r="D30" s="300" t="s">
        <v>1222</v>
      </c>
      <c r="E30" s="301"/>
      <c r="F30" s="301"/>
      <c r="G30" s="301"/>
      <c r="H30" s="1139"/>
      <c r="I30" s="1140"/>
      <c r="J30" s="303">
        <f>SUM(J28:J29)</f>
        <v>2089873.5</v>
      </c>
      <c r="K30" s="280"/>
      <c r="L30" s="1407"/>
      <c r="M30" s="940"/>
    </row>
    <row r="31" spans="3:13" ht="13.8" thickTop="1"/>
    <row r="32" spans="3:13" s="59" customFormat="1" ht="14.4" thickBot="1">
      <c r="C32" s="47" t="s">
        <v>1935</v>
      </c>
      <c r="D32" s="48" t="s">
        <v>1936</v>
      </c>
      <c r="E32" s="48"/>
      <c r="F32" s="329"/>
      <c r="G32" s="329"/>
      <c r="H32" s="329"/>
      <c r="I32" s="329"/>
      <c r="J32" s="952"/>
      <c r="K32" s="120">
        <f>ROUNDDOWN(J50,-2)</f>
        <v>74500</v>
      </c>
      <c r="L32" s="1407" t="s">
        <v>5296</v>
      </c>
      <c r="M32" s="940" t="s">
        <v>7699</v>
      </c>
    </row>
    <row r="33" spans="3:16" s="59" customFormat="1" ht="28.2" thickTop="1">
      <c r="C33" s="51" t="s">
        <v>1195</v>
      </c>
      <c r="D33" s="52" t="s">
        <v>1196</v>
      </c>
      <c r="E33" s="52" t="s">
        <v>1906</v>
      </c>
      <c r="F33" s="52" t="s">
        <v>1197</v>
      </c>
      <c r="G33" s="52" t="s">
        <v>1198</v>
      </c>
      <c r="H33" s="52" t="s">
        <v>1199</v>
      </c>
      <c r="I33" s="582"/>
      <c r="J33" s="942" t="s">
        <v>1200</v>
      </c>
      <c r="K33" s="289"/>
      <c r="L33" s="1407"/>
      <c r="M33" s="940"/>
    </row>
    <row r="34" spans="3:16" s="59" customFormat="1" ht="18.600000000000001" customHeight="1">
      <c r="C34" s="293" t="s">
        <v>1201</v>
      </c>
      <c r="D34" s="182" t="s">
        <v>1202</v>
      </c>
      <c r="E34" s="182"/>
      <c r="F34" s="1103"/>
      <c r="G34" s="486"/>
      <c r="H34" s="486"/>
      <c r="I34" s="294"/>
      <c r="J34" s="1104"/>
      <c r="K34" s="280"/>
      <c r="L34" s="1407"/>
      <c r="M34" s="940"/>
      <c r="P34" s="374"/>
    </row>
    <row r="35" spans="3:16" s="59" customFormat="1" ht="18.600000000000001" customHeight="1">
      <c r="C35" s="1110" t="s">
        <v>1203</v>
      </c>
      <c r="D35" s="1103" t="s">
        <v>5</v>
      </c>
      <c r="E35" s="102" t="s">
        <v>1774</v>
      </c>
      <c r="F35" s="102" t="s">
        <v>6</v>
      </c>
      <c r="G35" s="1111">
        <v>1.2E-2</v>
      </c>
      <c r="H35" s="283">
        <f>VLOOKUP(D35,upahbahan,3,FALSE)</f>
        <v>100000</v>
      </c>
      <c r="I35" s="872"/>
      <c r="J35" s="284">
        <f>G35*H35</f>
        <v>1200</v>
      </c>
      <c r="K35" s="280"/>
      <c r="L35" s="1407"/>
      <c r="M35" s="940"/>
    </row>
    <row r="36" spans="3:16" s="59" customFormat="1" ht="18.600000000000001" customHeight="1">
      <c r="C36" s="1110" t="s">
        <v>1204</v>
      </c>
      <c r="D36" s="182" t="s">
        <v>8</v>
      </c>
      <c r="E36" s="176" t="s">
        <v>1775</v>
      </c>
      <c r="F36" s="102" t="s">
        <v>6</v>
      </c>
      <c r="G36" s="1111">
        <v>6.0000000000000001E-3</v>
      </c>
      <c r="H36" s="283">
        <f>VLOOKUP(D36,upahbahan,3,FALSE)</f>
        <v>135000</v>
      </c>
      <c r="I36" s="872"/>
      <c r="J36" s="284">
        <f>G36*H36</f>
        <v>810</v>
      </c>
      <c r="K36" s="280"/>
      <c r="L36" s="1407"/>
      <c r="M36" s="940"/>
    </row>
    <row r="37" spans="3:16" s="59" customFormat="1" ht="18.600000000000001" customHeight="1">
      <c r="C37" s="1110" t="s">
        <v>1205</v>
      </c>
      <c r="D37" s="182" t="s">
        <v>18</v>
      </c>
      <c r="E37" s="176" t="s">
        <v>1776</v>
      </c>
      <c r="F37" s="102" t="s">
        <v>6</v>
      </c>
      <c r="G37" s="1111">
        <v>5.9999999999999995E-4</v>
      </c>
      <c r="H37" s="283">
        <f>VLOOKUP(D37,upahbahan,3,FALSE)</f>
        <v>150000</v>
      </c>
      <c r="I37" s="872"/>
      <c r="J37" s="284">
        <f>G37*H37</f>
        <v>89.999999999999986</v>
      </c>
      <c r="K37" s="280"/>
      <c r="L37" s="1407"/>
      <c r="M37" s="940"/>
    </row>
    <row r="38" spans="3:16" s="59" customFormat="1" ht="18.600000000000001" customHeight="1">
      <c r="C38" s="1110" t="s">
        <v>1206</v>
      </c>
      <c r="D38" s="1103" t="s">
        <v>19</v>
      </c>
      <c r="E38" s="102" t="s">
        <v>1777</v>
      </c>
      <c r="F38" s="102" t="s">
        <v>6</v>
      </c>
      <c r="G38" s="1111">
        <v>1.1999999999999999E-3</v>
      </c>
      <c r="H38" s="283">
        <f>VLOOKUP(D38,upahbahan,3,FALSE)</f>
        <v>160000</v>
      </c>
      <c r="I38" s="872"/>
      <c r="J38" s="284">
        <f>G38*H38</f>
        <v>191.99999999999997</v>
      </c>
      <c r="K38" s="280"/>
      <c r="L38" s="1407"/>
      <c r="M38" s="940"/>
    </row>
    <row r="39" spans="3:16" s="59" customFormat="1" ht="18.600000000000001" customHeight="1">
      <c r="C39" s="66" t="s">
        <v>1208</v>
      </c>
      <c r="D39" s="944"/>
      <c r="E39" s="944"/>
      <c r="F39" s="944"/>
      <c r="G39" s="944"/>
      <c r="H39" s="944"/>
      <c r="I39" s="978"/>
      <c r="J39" s="1106">
        <f>SUM(J35:J38)</f>
        <v>2292</v>
      </c>
      <c r="K39" s="280"/>
      <c r="L39" s="1407"/>
      <c r="M39" s="940"/>
    </row>
    <row r="40" spans="3:16" s="59" customFormat="1" ht="18.600000000000001" customHeight="1">
      <c r="C40" s="293" t="s">
        <v>1209</v>
      </c>
      <c r="D40" s="182" t="s">
        <v>1210</v>
      </c>
      <c r="E40" s="182"/>
      <c r="F40" s="1103"/>
      <c r="G40" s="1107"/>
      <c r="H40" s="486"/>
      <c r="I40" s="294"/>
      <c r="J40" s="1104"/>
      <c r="K40" s="280"/>
      <c r="L40" s="1407"/>
      <c r="M40" s="940"/>
    </row>
    <row r="41" spans="3:16" s="59" customFormat="1" ht="18.600000000000001" customHeight="1">
      <c r="C41" s="1110" t="s">
        <v>1203</v>
      </c>
      <c r="D41" s="1103" t="s">
        <v>1849</v>
      </c>
      <c r="E41" s="1103"/>
      <c r="F41" s="291" t="s">
        <v>42</v>
      </c>
      <c r="G41" s="526">
        <v>1.2999999999999999E-2</v>
      </c>
      <c r="H41" s="283">
        <f>VLOOKUP(D41,upahbahan,3,FALSE)</f>
        <v>2250000</v>
      </c>
      <c r="I41" s="872"/>
      <c r="J41" s="284">
        <f>G41*H41</f>
        <v>29250</v>
      </c>
      <c r="K41" s="280"/>
      <c r="L41" s="1407"/>
      <c r="M41" s="940"/>
    </row>
    <row r="42" spans="3:16" s="59" customFormat="1" ht="18.600000000000001" customHeight="1">
      <c r="C42" s="1110" t="s">
        <v>1204</v>
      </c>
      <c r="D42" s="1103" t="s">
        <v>121</v>
      </c>
      <c r="E42" s="1103"/>
      <c r="F42" s="291" t="s">
        <v>42</v>
      </c>
      <c r="G42" s="526">
        <v>7.0000000000000001E-3</v>
      </c>
      <c r="H42" s="283">
        <f>VLOOKUP(D42,upahbahan,3,FALSE)</f>
        <v>3150000</v>
      </c>
      <c r="I42" s="872"/>
      <c r="J42" s="284">
        <f>G42*H42</f>
        <v>22050</v>
      </c>
      <c r="K42" s="280"/>
      <c r="L42" s="1407"/>
      <c r="M42" s="940"/>
    </row>
    <row r="43" spans="3:16" s="59" customFormat="1" ht="18.600000000000001" customHeight="1">
      <c r="C43" s="1110" t="s">
        <v>1205</v>
      </c>
      <c r="D43" s="1103" t="s">
        <v>261</v>
      </c>
      <c r="E43" s="1103"/>
      <c r="F43" s="102" t="s">
        <v>65</v>
      </c>
      <c r="G43" s="526">
        <v>0.02</v>
      </c>
      <c r="H43" s="283">
        <f>VLOOKUP(D43,upahbahan,3,FALSE)</f>
        <v>33901.875</v>
      </c>
      <c r="I43" s="872"/>
      <c r="J43" s="284">
        <f>G43*H43</f>
        <v>678.03750000000002</v>
      </c>
      <c r="K43" s="280"/>
      <c r="L43" s="1407"/>
      <c r="M43" s="940"/>
    </row>
    <row r="44" spans="3:16" s="59" customFormat="1" ht="18.600000000000001" customHeight="1">
      <c r="C44" s="66" t="s">
        <v>1214</v>
      </c>
      <c r="D44" s="944"/>
      <c r="E44" s="944"/>
      <c r="F44" s="944"/>
      <c r="G44" s="944"/>
      <c r="H44" s="944"/>
      <c r="I44" s="978"/>
      <c r="J44" s="1106">
        <f>SUM(J41:J43)</f>
        <v>51978.037499999999</v>
      </c>
      <c r="K44" s="280"/>
      <c r="L44" s="1407"/>
      <c r="M44" s="940"/>
    </row>
    <row r="45" spans="3:16" s="59" customFormat="1" ht="18.600000000000001" customHeight="1">
      <c r="C45" s="293" t="s">
        <v>1215</v>
      </c>
      <c r="D45" s="182" t="s">
        <v>1216</v>
      </c>
      <c r="E45" s="182"/>
      <c r="F45" s="1103"/>
      <c r="G45" s="1107"/>
      <c r="H45" s="486"/>
      <c r="I45" s="294"/>
      <c r="J45" s="1104"/>
      <c r="K45" s="280"/>
      <c r="L45" s="1407"/>
      <c r="M45" s="940"/>
    </row>
    <row r="46" spans="3:16" s="59" customFormat="1" ht="18.600000000000001" customHeight="1">
      <c r="C46" s="1155">
        <v>1</v>
      </c>
      <c r="D46" s="182" t="s">
        <v>1155</v>
      </c>
      <c r="E46" s="182"/>
      <c r="F46" s="102" t="s">
        <v>1080</v>
      </c>
      <c r="G46" s="1107">
        <v>6.0000000000000001E-3</v>
      </c>
      <c r="H46" s="283">
        <f>VLOOKUP(D14,upahbahan,3,FALSE)</f>
        <v>2250000</v>
      </c>
      <c r="I46" s="872"/>
      <c r="J46" s="284">
        <f>G46*H46</f>
        <v>13500</v>
      </c>
      <c r="K46" s="280"/>
      <c r="L46" s="1407"/>
      <c r="M46" s="940"/>
    </row>
    <row r="47" spans="3:16" s="59" customFormat="1" ht="18.600000000000001" customHeight="1">
      <c r="C47" s="66" t="s">
        <v>1217</v>
      </c>
      <c r="D47" s="944"/>
      <c r="E47" s="944"/>
      <c r="F47" s="944"/>
      <c r="G47" s="944"/>
      <c r="H47" s="944"/>
      <c r="I47" s="978"/>
      <c r="J47" s="1106">
        <f>SUM(J46)</f>
        <v>13500</v>
      </c>
      <c r="K47" s="280"/>
      <c r="L47" s="1407"/>
      <c r="M47" s="940"/>
    </row>
    <row r="48" spans="3:16" s="59" customFormat="1" ht="18.600000000000001" customHeight="1">
      <c r="C48" s="293" t="s">
        <v>1218</v>
      </c>
      <c r="D48" s="294" t="s">
        <v>1219</v>
      </c>
      <c r="E48" s="295"/>
      <c r="F48" s="295"/>
      <c r="G48" s="295"/>
      <c r="H48" s="296"/>
      <c r="I48" s="295"/>
      <c r="J48" s="284">
        <f>J39+J44+J47</f>
        <v>67770.037500000006</v>
      </c>
      <c r="K48" s="280"/>
      <c r="L48" s="1407"/>
      <c r="M48" s="940"/>
    </row>
    <row r="49" spans="3:13" s="59" customFormat="1" ht="18.600000000000001" customHeight="1">
      <c r="C49" s="293" t="s">
        <v>1220</v>
      </c>
      <c r="D49" s="294" t="s">
        <v>1249</v>
      </c>
      <c r="E49" s="295"/>
      <c r="F49" s="295"/>
      <c r="G49" s="296"/>
      <c r="H49" s="298">
        <f>$D$4</f>
        <v>0.1</v>
      </c>
      <c r="I49" s="1116"/>
      <c r="J49" s="284">
        <f>J48*H49</f>
        <v>6777.0037500000008</v>
      </c>
      <c r="K49" s="280"/>
      <c r="L49" s="1407"/>
      <c r="M49" s="940"/>
    </row>
    <row r="50" spans="3:13" s="59" customFormat="1" ht="18.600000000000001" customHeight="1" thickBot="1">
      <c r="C50" s="299" t="s">
        <v>1221</v>
      </c>
      <c r="D50" s="300" t="s">
        <v>1222</v>
      </c>
      <c r="E50" s="301"/>
      <c r="F50" s="301"/>
      <c r="G50" s="301"/>
      <c r="H50" s="302"/>
      <c r="I50" s="301"/>
      <c r="J50" s="303">
        <f>SUM(J48:J49)</f>
        <v>74547.041250000009</v>
      </c>
      <c r="K50" s="280"/>
      <c r="L50" s="1407"/>
      <c r="M50" s="940"/>
    </row>
    <row r="51" spans="3:13" ht="13.8" thickTop="1"/>
    <row r="52" spans="3:13" s="59" customFormat="1" ht="21.6" customHeight="1" thickBot="1">
      <c r="C52" s="259" t="s">
        <v>1810</v>
      </c>
      <c r="D52" s="1073" t="s">
        <v>1956</v>
      </c>
      <c r="E52" s="1070"/>
      <c r="F52" s="1070"/>
      <c r="G52" s="1070"/>
      <c r="H52" s="1070"/>
      <c r="I52" s="1070"/>
      <c r="J52" s="120"/>
      <c r="K52" s="1102">
        <f>ROUNDDOWN(I64,-2)</f>
        <v>89100</v>
      </c>
      <c r="L52" s="1408"/>
    </row>
    <row r="53" spans="3:13" s="59" customFormat="1" ht="21.6" customHeight="1" thickTop="1">
      <c r="C53" s="51" t="s">
        <v>1195</v>
      </c>
      <c r="D53" s="52" t="s">
        <v>1196</v>
      </c>
      <c r="E53" s="52"/>
      <c r="F53" s="52" t="s">
        <v>1197</v>
      </c>
      <c r="G53" s="52" t="s">
        <v>1198</v>
      </c>
      <c r="H53" s="52" t="s">
        <v>1199</v>
      </c>
      <c r="I53" s="53" t="s">
        <v>1200</v>
      </c>
      <c r="J53" s="126"/>
      <c r="L53" s="1408"/>
    </row>
    <row r="54" spans="3:13" s="59" customFormat="1" ht="21.6" customHeight="1">
      <c r="C54" s="290" t="s">
        <v>1201</v>
      </c>
      <c r="D54" s="182" t="s">
        <v>1202</v>
      </c>
      <c r="E54" s="182"/>
      <c r="F54" s="70"/>
      <c r="G54" s="70"/>
      <c r="H54" s="70"/>
      <c r="I54" s="71"/>
      <c r="J54" s="119"/>
      <c r="L54" s="1408"/>
    </row>
    <row r="55" spans="3:13" s="59" customFormat="1" ht="21.6" customHeight="1">
      <c r="C55" s="281">
        <v>1</v>
      </c>
      <c r="D55" s="182" t="s">
        <v>5</v>
      </c>
      <c r="E55" s="176" t="s">
        <v>1774</v>
      </c>
      <c r="F55" s="176" t="s">
        <v>6</v>
      </c>
      <c r="G55" s="282">
        <v>0.75</v>
      </c>
      <c r="H55" s="283">
        <f>VLOOKUP(D55,upahbahan,3,FALSE)</f>
        <v>100000</v>
      </c>
      <c r="I55" s="284">
        <f>G55*H55</f>
        <v>75000</v>
      </c>
      <c r="J55" s="119"/>
      <c r="L55" s="1408"/>
    </row>
    <row r="56" spans="3:13" s="59" customFormat="1" ht="21.6" customHeight="1">
      <c r="C56" s="281">
        <v>2</v>
      </c>
      <c r="D56" s="182" t="s">
        <v>19</v>
      </c>
      <c r="E56" s="176" t="s">
        <v>1777</v>
      </c>
      <c r="F56" s="176" t="s">
        <v>6</v>
      </c>
      <c r="G56" s="282">
        <v>3.7999999999999999E-2</v>
      </c>
      <c r="H56" s="283">
        <f>VLOOKUP(D56,upahbahan,3,FALSE)</f>
        <v>160000</v>
      </c>
      <c r="I56" s="284">
        <f>G56*H56</f>
        <v>6080</v>
      </c>
      <c r="J56" s="119"/>
      <c r="L56" s="1408"/>
    </row>
    <row r="57" spans="3:13" s="59" customFormat="1" ht="21.6" customHeight="1">
      <c r="C57" s="66" t="s">
        <v>1208</v>
      </c>
      <c r="D57" s="263"/>
      <c r="E57" s="263"/>
      <c r="F57" s="263"/>
      <c r="G57" s="263"/>
      <c r="H57" s="264"/>
      <c r="I57" s="284">
        <f>SUM(I55:I56)</f>
        <v>81080</v>
      </c>
      <c r="J57" s="119"/>
      <c r="L57" s="1408"/>
    </row>
    <row r="58" spans="3:13" s="59" customFormat="1" ht="21.6" customHeight="1">
      <c r="C58" s="290" t="s">
        <v>1209</v>
      </c>
      <c r="D58" s="182" t="s">
        <v>1210</v>
      </c>
      <c r="E58" s="182"/>
      <c r="F58" s="70"/>
      <c r="G58" s="70"/>
      <c r="H58" s="70"/>
      <c r="I58" s="71"/>
      <c r="J58" s="119"/>
      <c r="L58" s="1408"/>
    </row>
    <row r="59" spans="3:13" s="59" customFormat="1" ht="21.6" customHeight="1">
      <c r="C59" s="66" t="s">
        <v>1214</v>
      </c>
      <c r="D59" s="67"/>
      <c r="E59" s="67"/>
      <c r="F59" s="67"/>
      <c r="G59" s="67"/>
      <c r="H59" s="69"/>
      <c r="I59" s="292">
        <v>0</v>
      </c>
      <c r="J59" s="119"/>
      <c r="L59" s="1408"/>
    </row>
    <row r="60" spans="3:13" s="59" customFormat="1" ht="21.6" customHeight="1">
      <c r="C60" s="290" t="s">
        <v>1215</v>
      </c>
      <c r="D60" s="182" t="s">
        <v>1216</v>
      </c>
      <c r="E60" s="182"/>
      <c r="F60" s="70"/>
      <c r="G60" s="70"/>
      <c r="H60" s="70"/>
      <c r="I60" s="71"/>
      <c r="J60" s="119"/>
      <c r="L60" s="1408"/>
    </row>
    <row r="61" spans="3:13" s="59" customFormat="1" ht="21.6" customHeight="1">
      <c r="C61" s="66" t="s">
        <v>1217</v>
      </c>
      <c r="D61" s="67"/>
      <c r="E61" s="67"/>
      <c r="F61" s="67"/>
      <c r="G61" s="67"/>
      <c r="H61" s="69"/>
      <c r="I61" s="292">
        <v>0</v>
      </c>
      <c r="J61" s="119"/>
      <c r="L61" s="1408"/>
    </row>
    <row r="62" spans="3:13" s="59" customFormat="1" ht="21.6" customHeight="1">
      <c r="C62" s="293" t="s">
        <v>1218</v>
      </c>
      <c r="D62" s="294" t="s">
        <v>1219</v>
      </c>
      <c r="E62" s="295"/>
      <c r="F62" s="295"/>
      <c r="G62" s="295"/>
      <c r="H62" s="296"/>
      <c r="I62" s="284">
        <f>I57+I59+I61</f>
        <v>81080</v>
      </c>
      <c r="J62" s="119"/>
      <c r="L62" s="1408"/>
    </row>
    <row r="63" spans="3:13" s="59" customFormat="1" ht="21.6" customHeight="1">
      <c r="C63" s="293" t="s">
        <v>1220</v>
      </c>
      <c r="D63" s="294" t="s">
        <v>1249</v>
      </c>
      <c r="E63" s="295"/>
      <c r="F63" s="295"/>
      <c r="G63" s="296"/>
      <c r="H63" s="298">
        <f>$D$4</f>
        <v>0.1</v>
      </c>
      <c r="I63" s="284">
        <f>I62*H63</f>
        <v>8108</v>
      </c>
      <c r="J63" s="119"/>
      <c r="L63" s="1408"/>
    </row>
    <row r="64" spans="3:13" s="59" customFormat="1" ht="21.6" customHeight="1" thickBot="1">
      <c r="C64" s="299" t="s">
        <v>1221</v>
      </c>
      <c r="D64" s="300" t="s">
        <v>1222</v>
      </c>
      <c r="E64" s="301"/>
      <c r="F64" s="301"/>
      <c r="G64" s="301"/>
      <c r="H64" s="302"/>
      <c r="I64" s="303">
        <f>SUM(I62:I63)</f>
        <v>89188</v>
      </c>
      <c r="J64" s="119"/>
      <c r="L64" s="1408"/>
    </row>
    <row r="65" spans="3:17" ht="13.8" thickTop="1"/>
    <row r="66" spans="3:17" s="119" customFormat="1" ht="14.4" thickBot="1">
      <c r="C66" s="119" t="s">
        <v>2072</v>
      </c>
      <c r="D66" s="488" t="s">
        <v>6455</v>
      </c>
      <c r="E66" s="488"/>
      <c r="F66" s="329"/>
      <c r="G66" s="329"/>
      <c r="H66" s="329"/>
      <c r="I66" s="329"/>
      <c r="J66" s="120"/>
      <c r="K66" s="120">
        <f>ROUNDDOWN(I78,-2)</f>
        <v>59400</v>
      </c>
      <c r="L66" s="1409"/>
    </row>
    <row r="67" spans="3:17" s="289" customFormat="1" ht="31.65" customHeight="1" thickTop="1">
      <c r="C67" s="51" t="s">
        <v>1195</v>
      </c>
      <c r="D67" s="52" t="s">
        <v>1196</v>
      </c>
      <c r="E67" s="52" t="s">
        <v>1906</v>
      </c>
      <c r="F67" s="52" t="s">
        <v>1197</v>
      </c>
      <c r="G67" s="52" t="s">
        <v>1198</v>
      </c>
      <c r="H67" s="52" t="s">
        <v>1199</v>
      </c>
      <c r="I67" s="53" t="s">
        <v>1200</v>
      </c>
      <c r="J67" s="126"/>
      <c r="K67" s="126"/>
      <c r="L67" s="1410"/>
    </row>
    <row r="68" spans="3:17" s="280" customFormat="1" ht="22.8" customHeight="1">
      <c r="C68" s="290" t="s">
        <v>1201</v>
      </c>
      <c r="D68" s="182" t="s">
        <v>1202</v>
      </c>
      <c r="E68" s="182"/>
      <c r="F68" s="70"/>
      <c r="G68" s="70"/>
      <c r="H68" s="70"/>
      <c r="I68" s="71"/>
      <c r="J68" s="119"/>
      <c r="K68" s="119"/>
      <c r="L68" s="1409"/>
      <c r="N68" s="59" t="s">
        <v>1247</v>
      </c>
      <c r="O68" s="59"/>
      <c r="P68" s="59"/>
      <c r="Q68" s="59"/>
    </row>
    <row r="69" spans="3:17" s="280" customFormat="1" ht="22.8" customHeight="1">
      <c r="C69" s="281">
        <v>1</v>
      </c>
      <c r="D69" s="182" t="s">
        <v>5</v>
      </c>
      <c r="E69" s="176" t="s">
        <v>1774</v>
      </c>
      <c r="F69" s="176" t="s">
        <v>6</v>
      </c>
      <c r="G69" s="282">
        <v>0.5</v>
      </c>
      <c r="H69" s="283">
        <f>VLOOKUP(D69,upahbahan,3,FALSE)</f>
        <v>100000</v>
      </c>
      <c r="I69" s="284">
        <f>G69*H69</f>
        <v>50000</v>
      </c>
      <c r="J69" s="119"/>
      <c r="K69" s="119"/>
      <c r="L69" s="1409"/>
      <c r="N69" s="59" t="s">
        <v>1248</v>
      </c>
      <c r="O69" s="59"/>
      <c r="P69" s="59"/>
      <c r="Q69" s="65">
        <v>0.1</v>
      </c>
    </row>
    <row r="70" spans="3:17" s="280" customFormat="1" ht="22.8" customHeight="1">
      <c r="C70" s="281">
        <v>2</v>
      </c>
      <c r="D70" s="182" t="s">
        <v>19</v>
      </c>
      <c r="E70" s="176" t="s">
        <v>1777</v>
      </c>
      <c r="F70" s="176" t="s">
        <v>6</v>
      </c>
      <c r="G70" s="282">
        <v>2.5000000000000001E-2</v>
      </c>
      <c r="H70" s="283">
        <f>VLOOKUP(D70,upahbahan,3,FALSE)</f>
        <v>160000</v>
      </c>
      <c r="I70" s="284">
        <f>G70*H70</f>
        <v>4000</v>
      </c>
      <c r="J70" s="119"/>
      <c r="K70" s="119"/>
      <c r="L70" s="1409"/>
    </row>
    <row r="71" spans="3:17" s="280" customFormat="1" ht="22.8" customHeight="1">
      <c r="C71" s="66" t="s">
        <v>1208</v>
      </c>
      <c r="D71" s="263"/>
      <c r="E71" s="263"/>
      <c r="F71" s="263"/>
      <c r="G71" s="263"/>
      <c r="H71" s="264"/>
      <c r="I71" s="284">
        <f>SUM(I69:I70)</f>
        <v>54000</v>
      </c>
      <c r="J71" s="119"/>
      <c r="K71" s="119"/>
      <c r="L71" s="1409"/>
    </row>
    <row r="72" spans="3:17" s="280" customFormat="1" ht="22.8" customHeight="1">
      <c r="C72" s="290" t="s">
        <v>1209</v>
      </c>
      <c r="D72" s="182" t="s">
        <v>1210</v>
      </c>
      <c r="E72" s="182"/>
      <c r="F72" s="70"/>
      <c r="G72" s="70"/>
      <c r="H72" s="70"/>
      <c r="I72" s="71"/>
      <c r="J72" s="119"/>
      <c r="K72" s="119"/>
      <c r="L72" s="1409"/>
    </row>
    <row r="73" spans="3:17" s="280" customFormat="1" ht="22.8" customHeight="1">
      <c r="C73" s="66" t="s">
        <v>1214</v>
      </c>
      <c r="D73" s="67"/>
      <c r="E73" s="67"/>
      <c r="F73" s="67"/>
      <c r="G73" s="67"/>
      <c r="H73" s="69"/>
      <c r="I73" s="292">
        <v>0</v>
      </c>
      <c r="J73" s="119"/>
      <c r="K73" s="119"/>
      <c r="L73" s="1409"/>
    </row>
    <row r="74" spans="3:17" s="280" customFormat="1" ht="22.8" customHeight="1">
      <c r="C74" s="290" t="s">
        <v>1215</v>
      </c>
      <c r="D74" s="182" t="s">
        <v>1216</v>
      </c>
      <c r="E74" s="182"/>
      <c r="F74" s="70"/>
      <c r="G74" s="70"/>
      <c r="H74" s="70"/>
      <c r="I74" s="71"/>
      <c r="J74" s="119"/>
      <c r="K74" s="119"/>
      <c r="L74" s="1409"/>
    </row>
    <row r="75" spans="3:17" s="280" customFormat="1" ht="22.8" customHeight="1">
      <c r="C75" s="66" t="s">
        <v>1217</v>
      </c>
      <c r="D75" s="67"/>
      <c r="E75" s="67"/>
      <c r="F75" s="67"/>
      <c r="G75" s="67"/>
      <c r="H75" s="69"/>
      <c r="I75" s="292">
        <v>0</v>
      </c>
      <c r="J75" s="119"/>
      <c r="K75" s="119"/>
      <c r="L75" s="1409"/>
    </row>
    <row r="76" spans="3:17" s="297" customFormat="1" ht="22.8" customHeight="1">
      <c r="C76" s="293" t="s">
        <v>1218</v>
      </c>
      <c r="D76" s="294" t="s">
        <v>1219</v>
      </c>
      <c r="E76" s="295"/>
      <c r="F76" s="295"/>
      <c r="G76" s="295"/>
      <c r="H76" s="296"/>
      <c r="I76" s="284">
        <f>I71+I73+I75</f>
        <v>54000</v>
      </c>
      <c r="J76" s="119"/>
      <c r="K76" s="119"/>
      <c r="L76" s="1409"/>
    </row>
    <row r="77" spans="3:17" s="297" customFormat="1" ht="22.8" customHeight="1">
      <c r="C77" s="293" t="s">
        <v>1220</v>
      </c>
      <c r="D77" s="294" t="s">
        <v>1321</v>
      </c>
      <c r="E77" s="295"/>
      <c r="F77" s="295"/>
      <c r="G77" s="296"/>
      <c r="H77" s="298">
        <f>$D$4</f>
        <v>0.1</v>
      </c>
      <c r="I77" s="284">
        <f>I76*H77</f>
        <v>5400</v>
      </c>
      <c r="J77" s="119"/>
      <c r="K77" s="119"/>
      <c r="L77" s="1409"/>
    </row>
    <row r="78" spans="3:17" s="297" customFormat="1" ht="22.8" customHeight="1" thickBot="1">
      <c r="C78" s="299" t="s">
        <v>1221</v>
      </c>
      <c r="D78" s="300" t="s">
        <v>1222</v>
      </c>
      <c r="E78" s="301"/>
      <c r="F78" s="301"/>
      <c r="G78" s="301"/>
      <c r="H78" s="302"/>
      <c r="I78" s="303">
        <f>SUM(I76:I77)</f>
        <v>59400</v>
      </c>
      <c r="J78" s="119"/>
      <c r="K78" s="119"/>
      <c r="L78" s="1409"/>
    </row>
    <row r="79" spans="3:17" s="297" customFormat="1" ht="22.8" customHeight="1" thickTop="1">
      <c r="C79" s="289"/>
      <c r="I79" s="139"/>
      <c r="J79" s="119"/>
      <c r="K79" s="119"/>
      <c r="L79" s="1409"/>
    </row>
    <row r="80" spans="3:17" s="297" customFormat="1" ht="22.8" customHeight="1">
      <c r="C80" s="289"/>
      <c r="I80" s="139"/>
      <c r="J80" s="119"/>
      <c r="K80" s="119"/>
      <c r="L80" s="1409"/>
    </row>
    <row r="81" spans="3:12" s="280" customFormat="1" ht="14.4" thickBot="1">
      <c r="C81" s="119" t="s">
        <v>2073</v>
      </c>
      <c r="D81" s="488" t="s">
        <v>1260</v>
      </c>
      <c r="E81" s="488"/>
      <c r="F81" s="965"/>
      <c r="G81" s="965"/>
      <c r="H81" s="965"/>
      <c r="I81" s="965"/>
      <c r="J81" s="120"/>
      <c r="K81" s="120">
        <f>ROUNDDOWN(I94,-2)</f>
        <v>326700</v>
      </c>
      <c r="L81" s="1409"/>
    </row>
    <row r="82" spans="3:12" s="342" customFormat="1" ht="28.2" thickTop="1">
      <c r="C82" s="51" t="s">
        <v>1195</v>
      </c>
      <c r="D82" s="52" t="s">
        <v>1196</v>
      </c>
      <c r="E82" s="52" t="s">
        <v>1906</v>
      </c>
      <c r="F82" s="52" t="s">
        <v>1197</v>
      </c>
      <c r="G82" s="52" t="s">
        <v>1198</v>
      </c>
      <c r="H82" s="52" t="s">
        <v>1199</v>
      </c>
      <c r="I82" s="53" t="s">
        <v>1200</v>
      </c>
      <c r="J82" s="1074"/>
      <c r="K82" s="1074"/>
      <c r="L82" s="1411"/>
    </row>
    <row r="83" spans="3:12" s="280" customFormat="1" ht="22.8" customHeight="1">
      <c r="C83" s="290" t="s">
        <v>1201</v>
      </c>
      <c r="D83" s="182" t="s">
        <v>1202</v>
      </c>
      <c r="E83" s="182"/>
      <c r="F83" s="70"/>
      <c r="G83" s="70"/>
      <c r="H83" s="70"/>
      <c r="I83" s="71"/>
      <c r="J83" s="119"/>
      <c r="K83" s="119"/>
      <c r="L83" s="1409"/>
    </row>
    <row r="84" spans="3:12" s="280" customFormat="1" ht="22.8" customHeight="1">
      <c r="C84" s="281">
        <v>1</v>
      </c>
      <c r="D84" s="182" t="s">
        <v>5</v>
      </c>
      <c r="E84" s="176" t="s">
        <v>1774</v>
      </c>
      <c r="F84" s="176" t="s">
        <v>6</v>
      </c>
      <c r="G84" s="315">
        <v>0.3</v>
      </c>
      <c r="H84" s="283">
        <f>VLOOKUP(D84,upahbahan,3,FALSE)</f>
        <v>100000</v>
      </c>
      <c r="I84" s="284">
        <f>G84*H84</f>
        <v>30000</v>
      </c>
      <c r="J84" s="119"/>
      <c r="K84" s="119"/>
      <c r="L84" s="1409"/>
    </row>
    <row r="85" spans="3:12" s="280" customFormat="1" ht="22.8" customHeight="1">
      <c r="C85" s="281">
        <v>2</v>
      </c>
      <c r="D85" s="182" t="s">
        <v>19</v>
      </c>
      <c r="E85" s="176" t="s">
        <v>1777</v>
      </c>
      <c r="F85" s="176" t="s">
        <v>6</v>
      </c>
      <c r="G85" s="315">
        <v>1.4999999999999999E-2</v>
      </c>
      <c r="H85" s="283">
        <f>VLOOKUP(D85,upahbahan,3,FALSE)</f>
        <v>160000</v>
      </c>
      <c r="I85" s="284">
        <f>G85*H85</f>
        <v>2400</v>
      </c>
      <c r="J85" s="119"/>
      <c r="K85" s="119"/>
      <c r="L85" s="1409"/>
    </row>
    <row r="86" spans="3:12" s="280" customFormat="1" ht="22.8" customHeight="1">
      <c r="C86" s="66" t="s">
        <v>1208</v>
      </c>
      <c r="D86" s="67"/>
      <c r="E86" s="67"/>
      <c r="F86" s="67"/>
      <c r="G86" s="67"/>
      <c r="H86" s="69"/>
      <c r="I86" s="284">
        <f>SUM(I84:I85)</f>
        <v>32400</v>
      </c>
      <c r="J86" s="119"/>
      <c r="K86" s="119"/>
      <c r="L86" s="1409"/>
    </row>
    <row r="87" spans="3:12" s="280" customFormat="1" ht="22.8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  <c r="J87" s="119"/>
      <c r="K87" s="119"/>
      <c r="L87" s="1409"/>
    </row>
    <row r="88" spans="3:12" s="280" customFormat="1" ht="22.8" customHeight="1">
      <c r="C88" s="290">
        <v>1</v>
      </c>
      <c r="D88" s="182" t="s">
        <v>88</v>
      </c>
      <c r="E88" s="182"/>
      <c r="F88" s="124" t="s">
        <v>42</v>
      </c>
      <c r="G88" s="127">
        <v>1.2</v>
      </c>
      <c r="H88" s="283">
        <f>VLOOKUP(D88,upahbahan,3,FALSE)</f>
        <v>220500</v>
      </c>
      <c r="I88" s="284">
        <f>G88*H88</f>
        <v>264600</v>
      </c>
      <c r="J88" s="119"/>
      <c r="K88" s="119"/>
      <c r="L88" s="1409"/>
    </row>
    <row r="89" spans="3:12" s="280" customFormat="1" ht="22.8" customHeight="1">
      <c r="C89" s="66" t="s">
        <v>1214</v>
      </c>
      <c r="D89" s="67"/>
      <c r="E89" s="67"/>
      <c r="F89" s="67"/>
      <c r="G89" s="67"/>
      <c r="H89" s="69"/>
      <c r="I89" s="284">
        <f>SUM(I88)</f>
        <v>264600</v>
      </c>
      <c r="J89" s="119"/>
      <c r="K89" s="119"/>
      <c r="L89" s="1409"/>
    </row>
    <row r="90" spans="3:12" s="280" customFormat="1" ht="22.8" customHeight="1">
      <c r="C90" s="290" t="s">
        <v>1215</v>
      </c>
      <c r="D90" s="182" t="s">
        <v>1216</v>
      </c>
      <c r="E90" s="182"/>
      <c r="F90" s="70"/>
      <c r="G90" s="70"/>
      <c r="H90" s="70"/>
      <c r="I90" s="71"/>
      <c r="J90" s="119"/>
      <c r="K90" s="119"/>
      <c r="L90" s="1409"/>
    </row>
    <row r="91" spans="3:12" s="280" customFormat="1" ht="22.8" customHeight="1">
      <c r="C91" s="66" t="s">
        <v>1217</v>
      </c>
      <c r="D91" s="67"/>
      <c r="E91" s="67"/>
      <c r="F91" s="67"/>
      <c r="G91" s="67"/>
      <c r="H91" s="69"/>
      <c r="I91" s="292">
        <v>0</v>
      </c>
      <c r="J91" s="119"/>
      <c r="K91" s="119"/>
      <c r="L91" s="1409"/>
    </row>
    <row r="92" spans="3:12" s="297" customFormat="1" ht="22.8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I86+I89+I91</f>
        <v>297000</v>
      </c>
      <c r="J92" s="119"/>
      <c r="K92" s="119"/>
      <c r="L92" s="1409"/>
    </row>
    <row r="93" spans="3:12" s="297" customFormat="1" ht="22.8" customHeight="1">
      <c r="C93" s="293" t="s">
        <v>1220</v>
      </c>
      <c r="D93" s="294" t="s">
        <v>1321</v>
      </c>
      <c r="E93" s="295"/>
      <c r="F93" s="295"/>
      <c r="G93" s="296"/>
      <c r="H93" s="298">
        <f>$D$4</f>
        <v>0.1</v>
      </c>
      <c r="I93" s="284">
        <f>I92*H93</f>
        <v>29700</v>
      </c>
      <c r="J93" s="119"/>
      <c r="K93" s="119"/>
      <c r="L93" s="1409"/>
    </row>
    <row r="94" spans="3:12" s="297" customFormat="1" ht="22.8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326700</v>
      </c>
      <c r="J94" s="119"/>
      <c r="K94" s="119"/>
      <c r="L94" s="1409"/>
    </row>
    <row r="95" spans="3:12" ht="13.8" thickTop="1"/>
    <row r="96" spans="3:12" s="45" customFormat="1" ht="16.5" customHeight="1" thickBot="1">
      <c r="C96" s="44" t="s">
        <v>2112</v>
      </c>
      <c r="D96" s="171" t="s">
        <v>2118</v>
      </c>
      <c r="E96" s="171"/>
      <c r="F96" s="171"/>
      <c r="G96" s="171"/>
      <c r="H96" s="171"/>
      <c r="I96" s="171"/>
      <c r="J96" s="50"/>
      <c r="K96" s="50">
        <f>ROUNDDOWN(I108,-2)</f>
        <v>26700</v>
      </c>
      <c r="L96" s="1412"/>
    </row>
    <row r="97" spans="3:14" s="174" customFormat="1" ht="28.2" thickTop="1">
      <c r="C97" s="51" t="s">
        <v>1195</v>
      </c>
      <c r="D97" s="52" t="s">
        <v>1196</v>
      </c>
      <c r="E97" s="52" t="s">
        <v>1906</v>
      </c>
      <c r="F97" s="52" t="s">
        <v>1197</v>
      </c>
      <c r="G97" s="52" t="s">
        <v>1198</v>
      </c>
      <c r="H97" s="52" t="s">
        <v>1199</v>
      </c>
      <c r="I97" s="53" t="s">
        <v>1200</v>
      </c>
      <c r="J97" s="173"/>
      <c r="L97" s="1413"/>
    </row>
    <row r="98" spans="3:14" s="45" customFormat="1" ht="14.25" customHeight="1">
      <c r="C98" s="55" t="s">
        <v>1201</v>
      </c>
      <c r="D98" s="56" t="s">
        <v>1202</v>
      </c>
      <c r="E98" s="56"/>
      <c r="F98" s="57"/>
      <c r="G98" s="57"/>
      <c r="H98" s="57"/>
      <c r="I98" s="58"/>
      <c r="J98" s="44"/>
      <c r="L98" s="1412"/>
    </row>
    <row r="99" spans="3:14" s="45" customFormat="1" ht="13.8">
      <c r="C99" s="129">
        <v>1</v>
      </c>
      <c r="D99" s="56" t="s">
        <v>5</v>
      </c>
      <c r="E99" s="61" t="s">
        <v>1774</v>
      </c>
      <c r="F99" s="93" t="s">
        <v>2102</v>
      </c>
      <c r="G99" s="103">
        <v>0.22539999999999999</v>
      </c>
      <c r="H99" s="63">
        <f>VLOOKUP(D99,upahbahan,3,FALSE)</f>
        <v>100000</v>
      </c>
      <c r="I99" s="175">
        <f>H99*G99</f>
        <v>22540</v>
      </c>
      <c r="J99" s="44"/>
      <c r="L99" s="1412"/>
    </row>
    <row r="100" spans="3:14" s="45" customFormat="1" ht="13.8">
      <c r="C100" s="129">
        <v>2</v>
      </c>
      <c r="D100" s="56" t="s">
        <v>19</v>
      </c>
      <c r="E100" s="61" t="s">
        <v>1777</v>
      </c>
      <c r="F100" s="93" t="s">
        <v>2102</v>
      </c>
      <c r="G100" s="103">
        <v>1.12E-2</v>
      </c>
      <c r="H100" s="63">
        <f>VLOOKUP(D100,upahbahan,3,FALSE)</f>
        <v>160000</v>
      </c>
      <c r="I100" s="175">
        <f>H100*G100</f>
        <v>1792</v>
      </c>
      <c r="J100" s="44"/>
      <c r="L100" s="1412"/>
    </row>
    <row r="101" spans="3:14" s="45" customFormat="1" ht="15.75" customHeight="1">
      <c r="C101" s="66" t="s">
        <v>1208</v>
      </c>
      <c r="D101" s="67"/>
      <c r="E101" s="67"/>
      <c r="F101" s="67"/>
      <c r="G101" s="67"/>
      <c r="H101" s="69"/>
      <c r="I101" s="64">
        <f>SUM(I99:I100)</f>
        <v>24332</v>
      </c>
      <c r="J101" s="44"/>
      <c r="L101" s="1412"/>
    </row>
    <row r="102" spans="3:14" s="45" customFormat="1" ht="13.8">
      <c r="C102" s="55" t="s">
        <v>1209</v>
      </c>
      <c r="D102" s="56" t="s">
        <v>1210</v>
      </c>
      <c r="E102" s="56"/>
      <c r="F102" s="57"/>
      <c r="G102" s="57"/>
      <c r="H102" s="57"/>
      <c r="I102" s="58"/>
      <c r="J102" s="44"/>
      <c r="L102" s="1412"/>
    </row>
    <row r="103" spans="3:14" s="45" customFormat="1" ht="15.75" customHeight="1">
      <c r="C103" s="66" t="s">
        <v>1214</v>
      </c>
      <c r="D103" s="67"/>
      <c r="E103" s="67"/>
      <c r="F103" s="67"/>
      <c r="G103" s="67"/>
      <c r="H103" s="69"/>
      <c r="I103" s="64">
        <f>SUM(I102)</f>
        <v>0</v>
      </c>
      <c r="J103" s="44"/>
      <c r="L103" s="1412"/>
    </row>
    <row r="104" spans="3:14" s="45" customFormat="1" ht="13.8">
      <c r="C104" s="55" t="s">
        <v>1215</v>
      </c>
      <c r="D104" s="56" t="s">
        <v>1216</v>
      </c>
      <c r="E104" s="56"/>
      <c r="F104" s="70"/>
      <c r="G104" s="70"/>
      <c r="H104" s="70"/>
      <c r="I104" s="58"/>
      <c r="J104" s="44"/>
      <c r="L104" s="1412"/>
    </row>
    <row r="105" spans="3:14" s="45" customFormat="1" ht="15.75" customHeight="1">
      <c r="C105" s="66" t="s">
        <v>1217</v>
      </c>
      <c r="D105" s="67"/>
      <c r="E105" s="67"/>
      <c r="F105" s="67"/>
      <c r="G105" s="67"/>
      <c r="H105" s="69"/>
      <c r="I105" s="74">
        <f>SUM(I104)</f>
        <v>0</v>
      </c>
      <c r="J105" s="44"/>
      <c r="L105" s="1412"/>
    </row>
    <row r="106" spans="3:14" s="79" customFormat="1" ht="13.8">
      <c r="C106" s="75" t="s">
        <v>1218</v>
      </c>
      <c r="D106" s="76" t="s">
        <v>1219</v>
      </c>
      <c r="E106" s="77"/>
      <c r="F106" s="77"/>
      <c r="G106" s="77"/>
      <c r="H106" s="78"/>
      <c r="I106" s="64">
        <f>I101+I103+I105</f>
        <v>24332</v>
      </c>
      <c r="J106" s="44"/>
      <c r="L106" s="1414"/>
    </row>
    <row r="107" spans="3:14" s="79" customFormat="1" ht="13.8">
      <c r="C107" s="75" t="s">
        <v>1220</v>
      </c>
      <c r="D107" s="76" t="s">
        <v>1321</v>
      </c>
      <c r="E107" s="77"/>
      <c r="F107" s="77"/>
      <c r="G107" s="78"/>
      <c r="H107" s="298">
        <f>$D$4</f>
        <v>0.1</v>
      </c>
      <c r="I107" s="64">
        <f>I106*H107</f>
        <v>2433.2000000000003</v>
      </c>
      <c r="J107" s="44"/>
      <c r="L107" s="1414"/>
    </row>
    <row r="108" spans="3:14" s="79" customFormat="1" ht="14.4" thickBot="1">
      <c r="C108" s="81" t="s">
        <v>1221</v>
      </c>
      <c r="D108" s="82" t="s">
        <v>1222</v>
      </c>
      <c r="E108" s="83"/>
      <c r="F108" s="83"/>
      <c r="G108" s="83"/>
      <c r="H108" s="84"/>
      <c r="I108" s="85">
        <f>SUM(I106:I107)</f>
        <v>26765.200000000001</v>
      </c>
      <c r="J108" s="44"/>
      <c r="L108" s="1414"/>
    </row>
    <row r="109" spans="3:14" ht="13.8" thickTop="1"/>
    <row r="110" spans="3:14" s="280" customFormat="1" ht="14.4" thickBot="1">
      <c r="C110" s="119" t="s">
        <v>2200</v>
      </c>
      <c r="D110" s="170" t="s">
        <v>1322</v>
      </c>
      <c r="E110" s="170"/>
      <c r="F110" s="275"/>
      <c r="G110" s="275"/>
      <c r="H110" s="275"/>
      <c r="I110" s="275"/>
      <c r="J110" s="120"/>
      <c r="K110" s="120">
        <f>ROUNDDOWN(I126,-2)</f>
        <v>177400</v>
      </c>
      <c r="L110" s="1415"/>
    </row>
    <row r="111" spans="3:14" s="280" customFormat="1" ht="28.2" thickTop="1">
      <c r="C111" s="51" t="s">
        <v>1195</v>
      </c>
      <c r="D111" s="52" t="s">
        <v>1196</v>
      </c>
      <c r="E111" s="52" t="s">
        <v>1906</v>
      </c>
      <c r="F111" s="52" t="s">
        <v>1197</v>
      </c>
      <c r="G111" s="52" t="s">
        <v>1198</v>
      </c>
      <c r="H111" s="52" t="s">
        <v>1199</v>
      </c>
      <c r="I111" s="53" t="s">
        <v>1200</v>
      </c>
      <c r="J111" s="119"/>
      <c r="L111" s="1415"/>
    </row>
    <row r="112" spans="3:14" s="280" customFormat="1" ht="18" customHeight="1">
      <c r="C112" s="290" t="s">
        <v>1201</v>
      </c>
      <c r="D112" s="182" t="s">
        <v>1202</v>
      </c>
      <c r="E112" s="182"/>
      <c r="F112" s="70"/>
      <c r="G112" s="70"/>
      <c r="H112" s="70"/>
      <c r="I112" s="71"/>
      <c r="J112" s="119"/>
      <c r="K112" s="59" t="s">
        <v>1247</v>
      </c>
      <c r="L112" s="1408"/>
      <c r="M112" s="59"/>
      <c r="N112" s="59"/>
    </row>
    <row r="113" spans="3:14" s="280" customFormat="1" ht="18" customHeight="1">
      <c r="C113" s="281">
        <v>1</v>
      </c>
      <c r="D113" s="182" t="s">
        <v>5</v>
      </c>
      <c r="E113" s="176" t="s">
        <v>1774</v>
      </c>
      <c r="F113" s="176" t="s">
        <v>6</v>
      </c>
      <c r="G113" s="309">
        <v>0.73399999999999999</v>
      </c>
      <c r="H113" s="283">
        <f>VLOOKUP(D113,upahbahan,3,FALSE)</f>
        <v>100000</v>
      </c>
      <c r="I113" s="284"/>
      <c r="J113" s="119"/>
      <c r="K113" s="59" t="s">
        <v>1248</v>
      </c>
      <c r="L113" s="1408"/>
      <c r="M113" s="59"/>
      <c r="N113" s="65">
        <v>0.1</v>
      </c>
    </row>
    <row r="114" spans="3:14" s="280" customFormat="1" ht="18" customHeight="1">
      <c r="C114" s="281">
        <v>2</v>
      </c>
      <c r="D114" s="182" t="s">
        <v>9</v>
      </c>
      <c r="E114" s="176" t="s">
        <v>1775</v>
      </c>
      <c r="F114" s="176" t="s">
        <v>6</v>
      </c>
      <c r="G114" s="309">
        <v>0.73399999999999999</v>
      </c>
      <c r="H114" s="283">
        <f>VLOOKUP(D114,upahbahan,3,FALSE)</f>
        <v>135000</v>
      </c>
      <c r="I114" s="284"/>
      <c r="J114" s="119"/>
      <c r="L114" s="1415"/>
    </row>
    <row r="115" spans="3:14" s="280" customFormat="1" ht="18" customHeight="1">
      <c r="C115" s="281">
        <v>3</v>
      </c>
      <c r="D115" s="182" t="s">
        <v>18</v>
      </c>
      <c r="E115" s="176" t="s">
        <v>1776</v>
      </c>
      <c r="F115" s="176" t="s">
        <v>6</v>
      </c>
      <c r="G115" s="309">
        <v>7.2999999999999995E-2</v>
      </c>
      <c r="H115" s="283">
        <f>VLOOKUP(D115,upahbahan,3,FALSE)</f>
        <v>150000</v>
      </c>
      <c r="I115" s="284"/>
      <c r="J115" s="119"/>
      <c r="L115" s="1415"/>
    </row>
    <row r="116" spans="3:14" s="280" customFormat="1" ht="18" customHeight="1">
      <c r="C116" s="281">
        <v>4</v>
      </c>
      <c r="D116" s="182" t="s">
        <v>19</v>
      </c>
      <c r="E116" s="176" t="s">
        <v>1777</v>
      </c>
      <c r="F116" s="176" t="s">
        <v>6</v>
      </c>
      <c r="G116" s="309">
        <v>2.4E-2</v>
      </c>
      <c r="H116" s="283">
        <f>VLOOKUP(D116,upahbahan,3,FALSE)</f>
        <v>160000</v>
      </c>
      <c r="I116" s="284"/>
      <c r="J116" s="119"/>
      <c r="L116" s="1415"/>
    </row>
    <row r="117" spans="3:14" s="280" customFormat="1" ht="18" customHeight="1">
      <c r="C117" s="322">
        <v>5</v>
      </c>
      <c r="D117" s="1076" t="s">
        <v>9312</v>
      </c>
      <c r="E117" s="1766"/>
      <c r="F117" s="1766" t="s">
        <v>62</v>
      </c>
      <c r="G117" s="1767">
        <v>1</v>
      </c>
      <c r="H117" s="1768">
        <v>32500</v>
      </c>
      <c r="I117" s="284">
        <f>G117*H117</f>
        <v>32500</v>
      </c>
      <c r="J117" s="119" t="s">
        <v>9313</v>
      </c>
      <c r="L117" s="1415"/>
    </row>
    <row r="118" spans="3:14" s="280" customFormat="1" ht="18" customHeight="1">
      <c r="C118" s="66" t="s">
        <v>1208</v>
      </c>
      <c r="D118" s="67"/>
      <c r="E118" s="67"/>
      <c r="F118" s="67"/>
      <c r="G118" s="142"/>
      <c r="H118" s="153"/>
      <c r="I118" s="284">
        <f>SUM(I113:I117)</f>
        <v>32500</v>
      </c>
      <c r="J118" s="319"/>
      <c r="K118" s="320"/>
      <c r="L118" s="1415"/>
    </row>
    <row r="119" spans="3:14" s="280" customFormat="1" ht="18" customHeight="1">
      <c r="C119" s="290" t="s">
        <v>1209</v>
      </c>
      <c r="D119" s="182" t="s">
        <v>1210</v>
      </c>
      <c r="E119" s="182"/>
      <c r="F119" s="70"/>
      <c r="G119" s="70"/>
      <c r="H119" s="70"/>
      <c r="I119" s="71"/>
      <c r="J119" s="119"/>
      <c r="L119" s="1415"/>
    </row>
    <row r="120" spans="3:14" s="280" customFormat="1" ht="18" customHeight="1">
      <c r="C120" s="281">
        <v>1</v>
      </c>
      <c r="D120" s="182" t="s">
        <v>968</v>
      </c>
      <c r="E120" s="182"/>
      <c r="F120" s="291" t="s">
        <v>62</v>
      </c>
      <c r="G120" s="309">
        <v>1</v>
      </c>
      <c r="H120" s="283">
        <v>128800</v>
      </c>
      <c r="I120" s="284">
        <f>G120*H120</f>
        <v>128800</v>
      </c>
      <c r="J120" s="119"/>
      <c r="L120" s="1415"/>
    </row>
    <row r="121" spans="3:14" s="280" customFormat="1" ht="18" customHeight="1">
      <c r="C121" s="66" t="s">
        <v>1214</v>
      </c>
      <c r="D121" s="67"/>
      <c r="E121" s="67"/>
      <c r="F121" s="67"/>
      <c r="G121" s="67"/>
      <c r="H121" s="69"/>
      <c r="I121" s="284">
        <f>SUM(I120)</f>
        <v>128800</v>
      </c>
      <c r="J121" s="119"/>
      <c r="L121" s="1415"/>
    </row>
    <row r="122" spans="3:14" s="280" customFormat="1" ht="18" customHeight="1">
      <c r="C122" s="321" t="s">
        <v>1215</v>
      </c>
      <c r="D122" s="182" t="s">
        <v>1216</v>
      </c>
      <c r="E122" s="182"/>
      <c r="F122" s="70"/>
      <c r="G122" s="70"/>
      <c r="H122" s="70"/>
      <c r="I122" s="71"/>
      <c r="J122" s="119"/>
      <c r="L122" s="1415"/>
    </row>
    <row r="123" spans="3:14" s="280" customFormat="1" ht="18" customHeight="1">
      <c r="C123" s="66" t="s">
        <v>1217</v>
      </c>
      <c r="D123" s="67"/>
      <c r="E123" s="67"/>
      <c r="F123" s="67"/>
      <c r="G123" s="67"/>
      <c r="H123" s="69"/>
      <c r="I123" s="292">
        <v>0</v>
      </c>
      <c r="J123" s="119"/>
      <c r="L123" s="1415"/>
    </row>
    <row r="124" spans="3:14" s="297" customFormat="1" ht="18" customHeight="1">
      <c r="C124" s="293" t="s">
        <v>1218</v>
      </c>
      <c r="D124" s="294" t="s">
        <v>1219</v>
      </c>
      <c r="E124" s="295"/>
      <c r="F124" s="295"/>
      <c r="G124" s="295"/>
      <c r="H124" s="296"/>
      <c r="I124" s="284">
        <f>I123+I121+I118</f>
        <v>161300</v>
      </c>
      <c r="J124" s="119"/>
      <c r="L124" s="1130"/>
    </row>
    <row r="125" spans="3:14" s="297" customFormat="1" ht="18" customHeight="1">
      <c r="C125" s="293" t="s">
        <v>1220</v>
      </c>
      <c r="D125" s="294" t="s">
        <v>1321</v>
      </c>
      <c r="E125" s="295"/>
      <c r="F125" s="295"/>
      <c r="G125" s="296"/>
      <c r="H125" s="298">
        <f>$D$4</f>
        <v>0.1</v>
      </c>
      <c r="I125" s="284">
        <f>I124*H125</f>
        <v>16130</v>
      </c>
      <c r="J125" s="119"/>
      <c r="L125" s="1130"/>
    </row>
    <row r="126" spans="3:14" s="297" customFormat="1" ht="18" customHeight="1" thickBot="1">
      <c r="C126" s="299" t="s">
        <v>1221</v>
      </c>
      <c r="D126" s="300" t="s">
        <v>1222</v>
      </c>
      <c r="E126" s="301"/>
      <c r="F126" s="301"/>
      <c r="G126" s="301"/>
      <c r="H126" s="302"/>
      <c r="I126" s="303">
        <f>SUM(I124:I125)</f>
        <v>177430</v>
      </c>
      <c r="J126" s="119"/>
      <c r="L126" s="1130"/>
    </row>
    <row r="127" spans="3:14" ht="13.8" thickTop="1"/>
    <row r="128" spans="3:14" s="280" customFormat="1" ht="15.75" customHeight="1" thickBot="1">
      <c r="C128" s="119" t="s">
        <v>2228</v>
      </c>
      <c r="D128" s="47" t="s">
        <v>6483</v>
      </c>
      <c r="E128" s="88"/>
      <c r="F128" s="88"/>
      <c r="G128" s="88"/>
      <c r="H128" s="88"/>
      <c r="I128" s="120"/>
      <c r="K128" s="120">
        <f>ROUNDDOWN(H144,-2)</f>
        <v>15900</v>
      </c>
      <c r="L128" s="120" t="s">
        <v>6456</v>
      </c>
      <c r="M128" s="1409" t="s">
        <v>6484</v>
      </c>
    </row>
    <row r="129" spans="3:13" s="289" customFormat="1" ht="31.65" customHeight="1" thickTop="1">
      <c r="C129" s="51" t="s">
        <v>1195</v>
      </c>
      <c r="D129" s="52" t="s">
        <v>1196</v>
      </c>
      <c r="E129" s="52" t="s">
        <v>1197</v>
      </c>
      <c r="F129" s="52" t="s">
        <v>1198</v>
      </c>
      <c r="G129" s="52" t="s">
        <v>1199</v>
      </c>
      <c r="H129" s="53" t="s">
        <v>1200</v>
      </c>
      <c r="I129" s="126"/>
      <c r="K129" s="126"/>
      <c r="L129" s="126"/>
      <c r="M129" s="1416"/>
    </row>
    <row r="130" spans="3:13" s="280" customFormat="1" ht="18.600000000000001" customHeight="1">
      <c r="C130" s="290" t="s">
        <v>1201</v>
      </c>
      <c r="D130" s="182" t="s">
        <v>1202</v>
      </c>
      <c r="E130" s="70"/>
      <c r="F130" s="70"/>
      <c r="G130" s="70"/>
      <c r="H130" s="71"/>
      <c r="I130" s="119"/>
      <c r="K130" s="119"/>
      <c r="L130" s="119"/>
      <c r="M130" s="1415"/>
    </row>
    <row r="131" spans="3:13" s="280" customFormat="1" ht="18.600000000000001" customHeight="1">
      <c r="C131" s="281">
        <v>1</v>
      </c>
      <c r="D131" s="182" t="s">
        <v>5</v>
      </c>
      <c r="E131" s="176" t="s">
        <v>6</v>
      </c>
      <c r="F131" s="330">
        <v>1.6000000000000001E-3</v>
      </c>
      <c r="G131" s="283">
        <f>VLOOKUP(D131,upahbahan,3,FALSE)</f>
        <v>100000</v>
      </c>
      <c r="H131" s="284">
        <f>F131*G131</f>
        <v>160</v>
      </c>
      <c r="I131" s="119"/>
      <c r="K131" s="119"/>
      <c r="L131" s="119"/>
      <c r="M131" s="1415"/>
    </row>
    <row r="132" spans="3:13" s="280" customFormat="1" ht="18.600000000000001" customHeight="1">
      <c r="C132" s="281">
        <v>2</v>
      </c>
      <c r="D132" s="182" t="s">
        <v>9</v>
      </c>
      <c r="E132" s="176" t="s">
        <v>6</v>
      </c>
      <c r="F132" s="330">
        <v>1.6000000000000001E-3</v>
      </c>
      <c r="G132" s="283">
        <f>VLOOKUP(D132,upahbahan,3,FALSE)</f>
        <v>135000</v>
      </c>
      <c r="H132" s="284">
        <f>F132*G132</f>
        <v>216</v>
      </c>
      <c r="I132" s="119"/>
      <c r="K132" s="119"/>
      <c r="L132" s="119"/>
      <c r="M132" s="1415"/>
    </row>
    <row r="133" spans="3:13" s="59" customFormat="1" ht="18.600000000000001" customHeight="1">
      <c r="C133" s="281">
        <v>3</v>
      </c>
      <c r="D133" s="182" t="s">
        <v>18</v>
      </c>
      <c r="E133" s="176" t="s">
        <v>6</v>
      </c>
      <c r="F133" s="330">
        <v>1.6000000000000001E-4</v>
      </c>
      <c r="G133" s="283">
        <f>VLOOKUP(D133,upahbahan,3,FALSE)</f>
        <v>150000</v>
      </c>
      <c r="H133" s="284">
        <f>F133*G133</f>
        <v>24.000000000000004</v>
      </c>
      <c r="I133" s="119"/>
      <c r="K133" s="119"/>
      <c r="L133" s="119"/>
      <c r="M133" s="1408"/>
    </row>
    <row r="134" spans="3:13" s="280" customFormat="1" ht="18.600000000000001" customHeight="1">
      <c r="C134" s="281">
        <v>4</v>
      </c>
      <c r="D134" s="182" t="s">
        <v>19</v>
      </c>
      <c r="E134" s="176" t="s">
        <v>6</v>
      </c>
      <c r="F134" s="330">
        <v>1.6000000000000001E-4</v>
      </c>
      <c r="G134" s="283">
        <f>VLOOKUP(D134,upahbahan,3,FALSE)</f>
        <v>160000</v>
      </c>
      <c r="H134" s="284">
        <f>F134*G134</f>
        <v>25.6</v>
      </c>
      <c r="I134" s="119"/>
      <c r="K134" s="119"/>
      <c r="L134" s="119"/>
      <c r="M134" s="1415"/>
    </row>
    <row r="135" spans="3:13" s="280" customFormat="1" ht="18.600000000000001" customHeight="1">
      <c r="C135" s="66" t="s">
        <v>1208</v>
      </c>
      <c r="D135" s="67"/>
      <c r="E135" s="67"/>
      <c r="F135" s="68"/>
      <c r="G135" s="69"/>
      <c r="H135" s="284">
        <f>SUM(H131:H134)</f>
        <v>425.6</v>
      </c>
      <c r="I135" s="119"/>
      <c r="K135" s="119"/>
      <c r="L135" s="119"/>
      <c r="M135" s="1415"/>
    </row>
    <row r="136" spans="3:13" s="280" customFormat="1" ht="18.600000000000001" customHeight="1">
      <c r="C136" s="321" t="s">
        <v>1209</v>
      </c>
      <c r="D136" s="182" t="s">
        <v>1210</v>
      </c>
      <c r="E136" s="70"/>
      <c r="F136" s="70"/>
      <c r="G136" s="70"/>
      <c r="H136" s="71"/>
      <c r="I136" s="119"/>
      <c r="K136" s="119"/>
      <c r="L136" s="119"/>
      <c r="M136" s="1415"/>
    </row>
    <row r="137" spans="3:13" s="280" customFormat="1" ht="18.600000000000001" customHeight="1">
      <c r="C137" s="281">
        <v>1</v>
      </c>
      <c r="D137" s="182" t="s">
        <v>6476</v>
      </c>
      <c r="E137" s="176" t="s">
        <v>65</v>
      </c>
      <c r="F137" s="282">
        <v>1.02</v>
      </c>
      <c r="G137" s="283">
        <f>VLOOKUP(D137,upahbahan,3,FALSE)</f>
        <v>13050</v>
      </c>
      <c r="H137" s="284">
        <f>F137*G137</f>
        <v>13311</v>
      </c>
      <c r="I137" s="119"/>
      <c r="J137" s="280">
        <f>1*5%</f>
        <v>0.05</v>
      </c>
      <c r="K137" s="119"/>
      <c r="L137" s="119"/>
      <c r="M137" s="1415"/>
    </row>
    <row r="138" spans="3:13" s="280" customFormat="1" ht="18.600000000000001" customHeight="1">
      <c r="C138" s="281">
        <v>2</v>
      </c>
      <c r="D138" s="182" t="s">
        <v>251</v>
      </c>
      <c r="E138" s="176" t="s">
        <v>65</v>
      </c>
      <c r="F138" s="309">
        <v>2.8000000000000001E-2</v>
      </c>
      <c r="G138" s="283">
        <f>VLOOKUP(D138,upahbahan,3,FALSE)</f>
        <v>27720</v>
      </c>
      <c r="H138" s="284">
        <f>F138*G138</f>
        <v>776.16</v>
      </c>
      <c r="I138" s="119"/>
      <c r="K138" s="119"/>
      <c r="L138" s="119"/>
      <c r="M138" s="1415"/>
    </row>
    <row r="139" spans="3:13" s="280" customFormat="1" ht="18.600000000000001" customHeight="1">
      <c r="C139" s="66" t="s">
        <v>1214</v>
      </c>
      <c r="D139" s="67"/>
      <c r="E139" s="67"/>
      <c r="F139" s="67"/>
      <c r="G139" s="69"/>
      <c r="H139" s="284">
        <f>SUM(H137:H138)</f>
        <v>14087.16</v>
      </c>
      <c r="I139" s="119"/>
      <c r="K139" s="119"/>
      <c r="L139" s="119"/>
      <c r="M139" s="1415"/>
    </row>
    <row r="140" spans="3:13" s="280" customFormat="1" ht="18.600000000000001" customHeight="1">
      <c r="C140" s="321" t="s">
        <v>1215</v>
      </c>
      <c r="D140" s="182" t="s">
        <v>1216</v>
      </c>
      <c r="E140" s="70"/>
      <c r="F140" s="70"/>
      <c r="G140" s="70"/>
      <c r="H140" s="71"/>
      <c r="I140" s="119"/>
      <c r="K140" s="119"/>
      <c r="L140" s="119"/>
      <c r="M140" s="1415"/>
    </row>
    <row r="141" spans="3:13" s="280" customFormat="1" ht="18.600000000000001" customHeight="1">
      <c r="C141" s="66" t="s">
        <v>1217</v>
      </c>
      <c r="D141" s="67"/>
      <c r="E141" s="67"/>
      <c r="F141" s="67"/>
      <c r="G141" s="69"/>
      <c r="H141" s="292">
        <v>0</v>
      </c>
      <c r="I141" s="119"/>
      <c r="K141" s="119"/>
      <c r="L141" s="119"/>
      <c r="M141" s="1415"/>
    </row>
    <row r="142" spans="3:13" s="297" customFormat="1" ht="18.600000000000001" customHeight="1">
      <c r="C142" s="293" t="s">
        <v>1218</v>
      </c>
      <c r="D142" s="294" t="s">
        <v>1219</v>
      </c>
      <c r="E142" s="295"/>
      <c r="F142" s="295"/>
      <c r="G142" s="296"/>
      <c r="H142" s="284">
        <f>H141+H139+H135</f>
        <v>14512.76</v>
      </c>
      <c r="I142" s="119"/>
      <c r="K142" s="119"/>
      <c r="L142" s="119"/>
      <c r="M142" s="1130"/>
    </row>
    <row r="143" spans="3:13" s="297" customFormat="1" ht="18.600000000000001" customHeight="1">
      <c r="C143" s="293" t="s">
        <v>1220</v>
      </c>
      <c r="D143" s="294" t="s">
        <v>1321</v>
      </c>
      <c r="E143" s="295"/>
      <c r="F143" s="296"/>
      <c r="G143" s="298">
        <f>$D$4</f>
        <v>0.1</v>
      </c>
      <c r="H143" s="284">
        <f>H142*G143</f>
        <v>1451.2760000000001</v>
      </c>
      <c r="I143" s="119"/>
      <c r="K143" s="119"/>
      <c r="L143" s="119"/>
      <c r="M143" s="1130"/>
    </row>
    <row r="144" spans="3:13" s="297" customFormat="1" ht="18.600000000000001" customHeight="1" thickBot="1">
      <c r="C144" s="299" t="s">
        <v>1221</v>
      </c>
      <c r="D144" s="300" t="s">
        <v>1222</v>
      </c>
      <c r="E144" s="301"/>
      <c r="F144" s="301"/>
      <c r="G144" s="302"/>
      <c r="H144" s="303">
        <f>SUM(H142:H143)</f>
        <v>15964.036</v>
      </c>
      <c r="I144" s="119"/>
      <c r="K144" s="119"/>
      <c r="L144" s="119"/>
      <c r="M144" s="1130"/>
    </row>
    <row r="145" spans="3:13" ht="13.8" thickTop="1">
      <c r="L145"/>
      <c r="M145" s="1406"/>
    </row>
    <row r="146" spans="3:13" s="280" customFormat="1" ht="14.4" thickBot="1">
      <c r="C146" s="119" t="s">
        <v>2248</v>
      </c>
      <c r="D146" s="48" t="s">
        <v>2249</v>
      </c>
      <c r="E146" s="48"/>
      <c r="F146" s="48"/>
      <c r="G146" s="48"/>
      <c r="H146" s="48"/>
      <c r="I146" s="120"/>
      <c r="K146" s="120">
        <f>ROUNDDOWN(H163,-2)</f>
        <v>183600</v>
      </c>
      <c r="L146" s="120"/>
      <c r="M146" s="1415"/>
    </row>
    <row r="147" spans="3:13" s="289" customFormat="1" ht="31.65" customHeight="1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  <c r="I147" s="126"/>
      <c r="K147" s="126"/>
      <c r="L147" s="126"/>
      <c r="M147" s="1416"/>
    </row>
    <row r="148" spans="3:13" s="280" customFormat="1" ht="22.2" customHeight="1">
      <c r="C148" s="290" t="s">
        <v>1201</v>
      </c>
      <c r="D148" s="182" t="s">
        <v>1202</v>
      </c>
      <c r="E148" s="70"/>
      <c r="F148" s="70"/>
      <c r="G148" s="70"/>
      <c r="H148" s="71"/>
      <c r="I148" s="119"/>
      <c r="K148" s="119"/>
      <c r="L148" s="119"/>
      <c r="M148" s="1415"/>
    </row>
    <row r="149" spans="3:13" s="280" customFormat="1" ht="22.2" customHeight="1">
      <c r="C149" s="281">
        <v>1</v>
      </c>
      <c r="D149" s="182" t="s">
        <v>5</v>
      </c>
      <c r="E149" s="176" t="s">
        <v>6</v>
      </c>
      <c r="F149" s="282">
        <v>0.52</v>
      </c>
      <c r="G149" s="283">
        <f>VLOOKUP(D149,upahbahan,3,FALSE)</f>
        <v>100000</v>
      </c>
      <c r="H149" s="284">
        <f>F149*G149</f>
        <v>52000</v>
      </c>
      <c r="I149" s="119"/>
      <c r="K149" s="119"/>
      <c r="L149" s="119"/>
      <c r="M149" s="1415"/>
    </row>
    <row r="150" spans="3:13" s="280" customFormat="1" ht="22.2" customHeight="1">
      <c r="C150" s="281">
        <v>2</v>
      </c>
      <c r="D150" s="182" t="s">
        <v>8</v>
      </c>
      <c r="E150" s="176" t="s">
        <v>6</v>
      </c>
      <c r="F150" s="282">
        <v>0.26</v>
      </c>
      <c r="G150" s="283">
        <f>VLOOKUP(D150,upahbahan,3,FALSE)</f>
        <v>135000</v>
      </c>
      <c r="H150" s="284">
        <f>F150*G150</f>
        <v>35100</v>
      </c>
      <c r="I150" s="119"/>
      <c r="K150" s="119"/>
      <c r="L150" s="119"/>
      <c r="M150" s="1415"/>
    </row>
    <row r="151" spans="3:13" s="59" customFormat="1" ht="22.2" customHeight="1">
      <c r="C151" s="281">
        <v>3</v>
      </c>
      <c r="D151" s="182" t="s">
        <v>18</v>
      </c>
      <c r="E151" s="176" t="s">
        <v>6</v>
      </c>
      <c r="F151" s="282">
        <v>2.5999999999999999E-2</v>
      </c>
      <c r="G151" s="283">
        <f>VLOOKUP(D151,upahbahan,3,FALSE)</f>
        <v>150000</v>
      </c>
      <c r="H151" s="284">
        <f>F151*G151</f>
        <v>3900</v>
      </c>
      <c r="I151" s="119"/>
      <c r="K151" s="119"/>
      <c r="L151" s="119"/>
      <c r="M151" s="1408"/>
    </row>
    <row r="152" spans="3:13" s="280" customFormat="1" ht="22.2" customHeight="1">
      <c r="C152" s="281">
        <v>4</v>
      </c>
      <c r="D152" s="182" t="s">
        <v>19</v>
      </c>
      <c r="E152" s="176" t="s">
        <v>6</v>
      </c>
      <c r="F152" s="282">
        <v>8.9999999999999993E-3</v>
      </c>
      <c r="G152" s="283">
        <f>VLOOKUP(D152,upahbahan,3,FALSE)</f>
        <v>160000</v>
      </c>
      <c r="H152" s="284">
        <f>F152*G152</f>
        <v>1440</v>
      </c>
      <c r="I152" s="119"/>
      <c r="K152" s="119"/>
      <c r="L152" s="119"/>
      <c r="M152" s="1415"/>
    </row>
    <row r="153" spans="3:13" s="280" customFormat="1" ht="22.2" customHeight="1">
      <c r="C153" s="66" t="s">
        <v>1208</v>
      </c>
      <c r="D153" s="67"/>
      <c r="E153" s="67"/>
      <c r="F153" s="68"/>
      <c r="G153" s="69"/>
      <c r="H153" s="284">
        <f>SUM(H149:H152)</f>
        <v>92440</v>
      </c>
      <c r="I153" s="119"/>
      <c r="K153" s="119"/>
      <c r="L153" s="119"/>
      <c r="M153" s="1415"/>
    </row>
    <row r="154" spans="3:13" s="280" customFormat="1" ht="22.2" customHeight="1">
      <c r="C154" s="290" t="s">
        <v>1209</v>
      </c>
      <c r="D154" s="182" t="s">
        <v>1210</v>
      </c>
      <c r="E154" s="70"/>
      <c r="F154" s="70"/>
      <c r="G154" s="70"/>
      <c r="H154" s="71"/>
      <c r="I154" s="119"/>
      <c r="K154" s="119"/>
      <c r="L154" s="119"/>
      <c r="M154" s="1415"/>
    </row>
    <row r="155" spans="3:13" s="280" customFormat="1" ht="22.2" customHeight="1">
      <c r="C155" s="310" t="s">
        <v>1203</v>
      </c>
      <c r="D155" s="285" t="s">
        <v>124</v>
      </c>
      <c r="E155" s="176" t="s">
        <v>44</v>
      </c>
      <c r="F155" s="282">
        <v>1.7999999999999999E-2</v>
      </c>
      <c r="G155" s="283">
        <f>VLOOKUP(D155,upahbahan,3,FALSE)</f>
        <v>3150000</v>
      </c>
      <c r="H155" s="284">
        <f>F155*G155</f>
        <v>56699.999999999993</v>
      </c>
      <c r="I155" s="119"/>
      <c r="K155" s="119"/>
      <c r="L155" s="119"/>
      <c r="M155" s="1415"/>
    </row>
    <row r="156" spans="3:13" s="280" customFormat="1" ht="22.2" customHeight="1">
      <c r="C156" s="310" t="s">
        <v>1204</v>
      </c>
      <c r="D156" s="285" t="s">
        <v>262</v>
      </c>
      <c r="E156" s="176" t="s">
        <v>65</v>
      </c>
      <c r="F156" s="282">
        <v>0.3</v>
      </c>
      <c r="G156" s="283">
        <f>VLOOKUP(D156,upahbahan,3,FALSE)</f>
        <v>33901.875</v>
      </c>
      <c r="H156" s="284">
        <f>F156*G156</f>
        <v>10170.5625</v>
      </c>
      <c r="I156" s="119"/>
      <c r="K156" s="119"/>
      <c r="L156" s="119"/>
      <c r="M156" s="1415"/>
    </row>
    <row r="157" spans="3:13" s="280" customFormat="1" ht="22.2" customHeight="1">
      <c r="C157" s="310" t="s">
        <v>1205</v>
      </c>
      <c r="D157" s="285" t="s">
        <v>2250</v>
      </c>
      <c r="E157" s="176" t="s">
        <v>42</v>
      </c>
      <c r="F157" s="282">
        <v>0.1</v>
      </c>
      <c r="G157" s="283">
        <f>VLOOKUP(D157,upahbahan,3,FALSE)</f>
        <v>76500</v>
      </c>
      <c r="H157" s="284">
        <f>F157*G157</f>
        <v>7650</v>
      </c>
      <c r="I157" s="119"/>
      <c r="K157" s="119"/>
      <c r="L157" s="119"/>
      <c r="M157" s="1415"/>
    </row>
    <row r="158" spans="3:13" s="280" customFormat="1" ht="22.2" customHeight="1">
      <c r="C158" s="66" t="s">
        <v>1214</v>
      </c>
      <c r="D158" s="67"/>
      <c r="E158" s="67"/>
      <c r="F158" s="67"/>
      <c r="G158" s="69"/>
      <c r="H158" s="284">
        <f>SUM(H155:H157)</f>
        <v>74520.5625</v>
      </c>
      <c r="I158" s="119"/>
      <c r="K158" s="119"/>
      <c r="L158" s="119"/>
      <c r="M158" s="1415"/>
    </row>
    <row r="159" spans="3:13" s="280" customFormat="1" ht="22.2" customHeight="1">
      <c r="C159" s="290" t="s">
        <v>1215</v>
      </c>
      <c r="D159" s="182" t="s">
        <v>1216</v>
      </c>
      <c r="E159" s="70"/>
      <c r="F159" s="70"/>
      <c r="G159" s="70"/>
      <c r="H159" s="105"/>
      <c r="I159" s="119"/>
      <c r="K159" s="119"/>
      <c r="L159" s="119"/>
      <c r="M159" s="1415"/>
    </row>
    <row r="160" spans="3:13" s="280" customFormat="1" ht="22.2" customHeight="1">
      <c r="C160" s="66" t="s">
        <v>1217</v>
      </c>
      <c r="D160" s="67"/>
      <c r="E160" s="67"/>
      <c r="F160" s="67"/>
      <c r="G160" s="69"/>
      <c r="H160" s="292">
        <v>0</v>
      </c>
      <c r="I160" s="119"/>
      <c r="K160" s="119"/>
      <c r="L160" s="119"/>
      <c r="M160" s="1415"/>
    </row>
    <row r="161" spans="3:13" s="297" customFormat="1" ht="22.2" customHeight="1">
      <c r="C161" s="293" t="s">
        <v>1218</v>
      </c>
      <c r="D161" s="294" t="s">
        <v>1219</v>
      </c>
      <c r="E161" s="295"/>
      <c r="F161" s="295"/>
      <c r="G161" s="296"/>
      <c r="H161" s="284">
        <f>H160+H158+H153</f>
        <v>166960.5625</v>
      </c>
      <c r="I161" s="119"/>
      <c r="K161" s="119"/>
      <c r="L161" s="119"/>
      <c r="M161" s="1130"/>
    </row>
    <row r="162" spans="3:13" s="297" customFormat="1" ht="22.2" customHeight="1">
      <c r="C162" s="293" t="s">
        <v>1220</v>
      </c>
      <c r="D162" s="294" t="s">
        <v>1321</v>
      </c>
      <c r="E162" s="295"/>
      <c r="F162" s="296"/>
      <c r="G162" s="298">
        <f>$D$4</f>
        <v>0.1</v>
      </c>
      <c r="H162" s="284">
        <f>H161*G162</f>
        <v>16696.056250000001</v>
      </c>
      <c r="I162" s="119"/>
      <c r="K162" s="119"/>
      <c r="L162" s="119"/>
      <c r="M162" s="1130"/>
    </row>
    <row r="163" spans="3:13" s="297" customFormat="1" ht="22.2" customHeight="1" thickBot="1">
      <c r="C163" s="299" t="s">
        <v>1221</v>
      </c>
      <c r="D163" s="300" t="s">
        <v>1222</v>
      </c>
      <c r="E163" s="301"/>
      <c r="F163" s="301"/>
      <c r="G163" s="302"/>
      <c r="H163" s="303">
        <f>SUM(H161:H162)</f>
        <v>183656.61874999999</v>
      </c>
      <c r="I163" s="119"/>
      <c r="K163" s="119"/>
      <c r="L163" s="119"/>
      <c r="M163" s="1130"/>
    </row>
    <row r="164" spans="3:13" s="280" customFormat="1" ht="14.4" thickTop="1">
      <c r="C164" s="289"/>
      <c r="I164" s="119"/>
      <c r="K164" s="119"/>
      <c r="L164" s="119"/>
      <c r="M164" s="1415"/>
    </row>
    <row r="165" spans="3:13" s="280" customFormat="1" ht="13.8">
      <c r="C165" s="289"/>
      <c r="I165" s="119"/>
      <c r="K165" s="119"/>
      <c r="L165" s="119"/>
      <c r="M165" s="1415"/>
    </row>
    <row r="166" spans="3:13" s="280" customFormat="1" ht="20.399999999999999" customHeight="1" thickBot="1">
      <c r="C166" s="119" t="s">
        <v>2251</v>
      </c>
      <c r="D166" s="48" t="s">
        <v>1304</v>
      </c>
      <c r="E166" s="48"/>
      <c r="F166" s="48"/>
      <c r="G166" s="48"/>
      <c r="H166" s="48"/>
      <c r="I166" s="120"/>
      <c r="K166" s="120">
        <f>ROUNDDOWN(H185,-2)</f>
        <v>216900</v>
      </c>
      <c r="L166" s="120"/>
      <c r="M166" s="1415"/>
    </row>
    <row r="167" spans="3:13" s="289" customFormat="1" ht="31.65" customHeight="1" thickTop="1">
      <c r="C167" s="51" t="s">
        <v>1195</v>
      </c>
      <c r="D167" s="52" t="s">
        <v>1196</v>
      </c>
      <c r="E167" s="52" t="s">
        <v>1197</v>
      </c>
      <c r="F167" s="52" t="s">
        <v>1198</v>
      </c>
      <c r="G167" s="52" t="s">
        <v>1199</v>
      </c>
      <c r="H167" s="53" t="s">
        <v>1200</v>
      </c>
      <c r="I167" s="126"/>
      <c r="K167" s="126"/>
      <c r="L167" s="126"/>
      <c r="M167" s="1416"/>
    </row>
    <row r="168" spans="3:13" s="280" customFormat="1" ht="22.2" customHeight="1">
      <c r="C168" s="290" t="s">
        <v>1201</v>
      </c>
      <c r="D168" s="182" t="s">
        <v>1202</v>
      </c>
      <c r="E168" s="70"/>
      <c r="F168" s="70"/>
      <c r="G168" s="70"/>
      <c r="H168" s="71"/>
      <c r="I168" s="119"/>
      <c r="K168" s="119"/>
      <c r="L168" s="119"/>
      <c r="M168" s="1415"/>
    </row>
    <row r="169" spans="3:13" s="280" customFormat="1" ht="22.2" customHeight="1">
      <c r="C169" s="281">
        <v>1</v>
      </c>
      <c r="D169" s="182" t="s">
        <v>5</v>
      </c>
      <c r="E169" s="176" t="s">
        <v>6</v>
      </c>
      <c r="F169" s="282">
        <v>0.66</v>
      </c>
      <c r="G169" s="283">
        <f>VLOOKUP(D169,upahbahan,3,FALSE)</f>
        <v>100000</v>
      </c>
      <c r="H169" s="284">
        <f>F169*G169</f>
        <v>66000</v>
      </c>
      <c r="I169" s="119"/>
      <c r="K169" s="119"/>
      <c r="L169" s="119"/>
      <c r="M169" s="1415"/>
    </row>
    <row r="170" spans="3:13" s="280" customFormat="1" ht="22.2" customHeight="1">
      <c r="C170" s="281">
        <v>2</v>
      </c>
      <c r="D170" s="182" t="s">
        <v>8</v>
      </c>
      <c r="E170" s="176" t="s">
        <v>6</v>
      </c>
      <c r="F170" s="282">
        <v>0.33</v>
      </c>
      <c r="G170" s="283">
        <f>VLOOKUP(D170,upahbahan,3,FALSE)</f>
        <v>135000</v>
      </c>
      <c r="H170" s="284">
        <f>F170*G170</f>
        <v>44550</v>
      </c>
      <c r="I170" s="119"/>
      <c r="K170" s="119"/>
      <c r="L170" s="119"/>
      <c r="M170" s="1415"/>
    </row>
    <row r="171" spans="3:13" s="59" customFormat="1" ht="22.2" customHeight="1">
      <c r="C171" s="281">
        <v>3</v>
      </c>
      <c r="D171" s="182" t="s">
        <v>18</v>
      </c>
      <c r="E171" s="176" t="s">
        <v>6</v>
      </c>
      <c r="F171" s="282">
        <v>3.3000000000000002E-2</v>
      </c>
      <c r="G171" s="283">
        <f>VLOOKUP(D171,upahbahan,3,FALSE)</f>
        <v>150000</v>
      </c>
      <c r="H171" s="284">
        <f>F171*G171</f>
        <v>4950</v>
      </c>
      <c r="I171" s="119"/>
      <c r="K171" s="119"/>
      <c r="L171" s="119"/>
      <c r="M171" s="1408"/>
    </row>
    <row r="172" spans="3:13" s="280" customFormat="1" ht="22.2" customHeight="1">
      <c r="C172" s="281">
        <v>4</v>
      </c>
      <c r="D172" s="182" t="s">
        <v>19</v>
      </c>
      <c r="E172" s="176" t="s">
        <v>6</v>
      </c>
      <c r="F172" s="282">
        <v>1.0999999999999999E-2</v>
      </c>
      <c r="G172" s="283">
        <f>VLOOKUP(D172,upahbahan,3,FALSE)</f>
        <v>160000</v>
      </c>
      <c r="H172" s="284">
        <f>F172*G172</f>
        <v>1760</v>
      </c>
      <c r="I172" s="119"/>
      <c r="K172" s="119"/>
      <c r="L172" s="119"/>
      <c r="M172" s="1415"/>
    </row>
    <row r="173" spans="3:13" s="280" customFormat="1" ht="22.2" customHeight="1">
      <c r="C173" s="66" t="s">
        <v>1208</v>
      </c>
      <c r="D173" s="67"/>
      <c r="E173" s="67"/>
      <c r="F173" s="68"/>
      <c r="G173" s="69"/>
      <c r="H173" s="284">
        <f>SUM(H169:H172)</f>
        <v>117260</v>
      </c>
      <c r="I173" s="119"/>
      <c r="K173" s="119"/>
      <c r="L173" s="119"/>
      <c r="M173" s="1415"/>
    </row>
    <row r="174" spans="3:13" s="280" customFormat="1" ht="22.2" customHeight="1">
      <c r="C174" s="290" t="s">
        <v>1209</v>
      </c>
      <c r="D174" s="182" t="s">
        <v>1210</v>
      </c>
      <c r="E174" s="70"/>
      <c r="F174" s="70"/>
      <c r="G174" s="70"/>
      <c r="H174" s="71"/>
      <c r="I174" s="119"/>
      <c r="K174" s="119"/>
      <c r="L174" s="119"/>
      <c r="M174" s="1415"/>
    </row>
    <row r="175" spans="3:13" s="280" customFormat="1" ht="22.2" customHeight="1">
      <c r="C175" s="310" t="s">
        <v>1203</v>
      </c>
      <c r="D175" s="285" t="s">
        <v>260</v>
      </c>
      <c r="E175" s="176" t="s">
        <v>65</v>
      </c>
      <c r="F175" s="330">
        <v>0.4</v>
      </c>
      <c r="G175" s="283">
        <f>VLOOKUP(D175,upahbahan,3,FALSE)</f>
        <v>33901.875</v>
      </c>
      <c r="H175" s="284">
        <f>F175*G175</f>
        <v>13560.75</v>
      </c>
      <c r="I175" s="119"/>
      <c r="K175" s="119"/>
      <c r="L175" s="119"/>
      <c r="M175" s="1415"/>
    </row>
    <row r="176" spans="3:13" s="280" customFormat="1" ht="22.2" customHeight="1">
      <c r="C176" s="310" t="s">
        <v>1204</v>
      </c>
      <c r="D176" s="285" t="s">
        <v>755</v>
      </c>
      <c r="E176" s="176" t="s">
        <v>529</v>
      </c>
      <c r="F176" s="330">
        <v>0.2</v>
      </c>
      <c r="G176" s="283">
        <f>VLOOKUP(D176,upahbahan,3,FALSE)</f>
        <v>76500</v>
      </c>
      <c r="H176" s="284">
        <f>F176*G176</f>
        <v>15300</v>
      </c>
      <c r="I176" s="119"/>
      <c r="K176" s="119"/>
      <c r="L176" s="119"/>
      <c r="M176" s="1415"/>
    </row>
    <row r="177" spans="3:13" s="280" customFormat="1" ht="22.2" customHeight="1">
      <c r="C177" s="310" t="s">
        <v>1205</v>
      </c>
      <c r="D177" s="285" t="s">
        <v>115</v>
      </c>
      <c r="E177" s="176" t="s">
        <v>42</v>
      </c>
      <c r="F177" s="330">
        <v>4.6499999999999996E-3</v>
      </c>
      <c r="G177" s="283">
        <f>VLOOKUP(D177,upahbahan,3,FALSE)</f>
        <v>5904000</v>
      </c>
      <c r="H177" s="284">
        <f>F177*G177</f>
        <v>27453.599999999999</v>
      </c>
      <c r="I177" s="119"/>
      <c r="K177" s="119"/>
      <c r="L177" s="119"/>
      <c r="M177" s="1415"/>
    </row>
    <row r="178" spans="3:13" s="280" customFormat="1" ht="22.2" customHeight="1">
      <c r="C178" s="310" t="s">
        <v>1206</v>
      </c>
      <c r="D178" s="285" t="s">
        <v>136</v>
      </c>
      <c r="E178" s="176" t="s">
        <v>129</v>
      </c>
      <c r="F178" s="330">
        <v>0.12705</v>
      </c>
      <c r="G178" s="283">
        <f>VLOOKUP(D178,upahbahan,3,FALSE)</f>
        <v>157500</v>
      </c>
      <c r="H178" s="284">
        <f>F178*G178</f>
        <v>20010.375</v>
      </c>
      <c r="I178" s="119"/>
      <c r="K178" s="119"/>
      <c r="L178" s="119"/>
      <c r="M178" s="1415"/>
    </row>
    <row r="179" spans="3:13" s="280" customFormat="1" ht="22.2" customHeight="1">
      <c r="C179" s="310" t="s">
        <v>1207</v>
      </c>
      <c r="D179" s="285" t="s">
        <v>112</v>
      </c>
      <c r="E179" s="176" t="s">
        <v>106</v>
      </c>
      <c r="F179" s="330">
        <v>0.65</v>
      </c>
      <c r="G179" s="283">
        <f>VLOOKUP(D179,upahbahan,3,FALSE)</f>
        <v>5625</v>
      </c>
      <c r="H179" s="284">
        <f>F179*G179</f>
        <v>3656.25</v>
      </c>
      <c r="I179" s="119"/>
      <c r="K179" s="119"/>
      <c r="L179" s="119"/>
      <c r="M179" s="1415"/>
    </row>
    <row r="180" spans="3:13" s="280" customFormat="1" ht="22.2" customHeight="1">
      <c r="C180" s="66" t="s">
        <v>1214</v>
      </c>
      <c r="D180" s="67"/>
      <c r="E180" s="67"/>
      <c r="F180" s="67"/>
      <c r="G180" s="69"/>
      <c r="H180" s="284">
        <f>SUM(H175:H179)</f>
        <v>79980.975000000006</v>
      </c>
      <c r="I180" s="119"/>
      <c r="K180" s="119"/>
      <c r="L180" s="119"/>
      <c r="M180" s="1415"/>
    </row>
    <row r="181" spans="3:13" s="280" customFormat="1" ht="22.2" customHeight="1">
      <c r="C181" s="290" t="s">
        <v>1215</v>
      </c>
      <c r="D181" s="182" t="s">
        <v>1216</v>
      </c>
      <c r="E181" s="70"/>
      <c r="F181" s="70"/>
      <c r="G181" s="70"/>
      <c r="H181" s="105"/>
      <c r="I181" s="119"/>
      <c r="K181" s="119"/>
      <c r="L181" s="119"/>
      <c r="M181" s="1415"/>
    </row>
    <row r="182" spans="3:13" s="280" customFormat="1" ht="22.2" customHeight="1">
      <c r="C182" s="66" t="s">
        <v>1217</v>
      </c>
      <c r="D182" s="67"/>
      <c r="E182" s="67"/>
      <c r="F182" s="67"/>
      <c r="G182" s="69"/>
      <c r="H182" s="292">
        <v>0</v>
      </c>
      <c r="I182" s="119"/>
      <c r="K182" s="119"/>
      <c r="L182" s="119"/>
      <c r="M182" s="1415"/>
    </row>
    <row r="183" spans="3:13" s="297" customFormat="1" ht="22.2" customHeight="1">
      <c r="C183" s="293" t="s">
        <v>1218</v>
      </c>
      <c r="D183" s="294" t="s">
        <v>1219</v>
      </c>
      <c r="E183" s="295"/>
      <c r="F183" s="295"/>
      <c r="G183" s="296"/>
      <c r="H183" s="284">
        <f>H182+H180+H173</f>
        <v>197240.97500000001</v>
      </c>
      <c r="I183" s="119"/>
      <c r="K183" s="119"/>
      <c r="L183" s="119"/>
      <c r="M183" s="1130"/>
    </row>
    <row r="184" spans="3:13" s="297" customFormat="1" ht="22.2" customHeight="1">
      <c r="C184" s="293" t="s">
        <v>1220</v>
      </c>
      <c r="D184" s="294" t="s">
        <v>1321</v>
      </c>
      <c r="E184" s="295"/>
      <c r="F184" s="296"/>
      <c r="G184" s="298">
        <f>$D$4</f>
        <v>0.1</v>
      </c>
      <c r="H184" s="284">
        <f>H183*G184</f>
        <v>19724.097500000003</v>
      </c>
      <c r="I184" s="119"/>
      <c r="K184" s="119"/>
      <c r="L184" s="119"/>
      <c r="M184" s="1130"/>
    </row>
    <row r="185" spans="3:13" s="297" customFormat="1" ht="22.2" customHeight="1" thickBot="1">
      <c r="C185" s="299" t="s">
        <v>1221</v>
      </c>
      <c r="D185" s="300" t="s">
        <v>1222</v>
      </c>
      <c r="E185" s="301"/>
      <c r="F185" s="301"/>
      <c r="G185" s="302"/>
      <c r="H185" s="303">
        <f>SUM(H183:H184)</f>
        <v>216965.07250000001</v>
      </c>
      <c r="I185" s="119"/>
      <c r="K185" s="119"/>
      <c r="L185" s="119"/>
      <c r="M185" s="1130"/>
    </row>
    <row r="186" spans="3:13" s="280" customFormat="1" ht="14.4" thickTop="1">
      <c r="C186" s="289"/>
      <c r="I186" s="119"/>
      <c r="K186" s="119"/>
      <c r="L186" s="119"/>
      <c r="M186" s="1415"/>
    </row>
    <row r="187" spans="3:13" s="280" customFormat="1" ht="22.2" customHeight="1" thickBot="1">
      <c r="C187" s="126" t="s">
        <v>2252</v>
      </c>
      <c r="D187" s="48" t="s">
        <v>1305</v>
      </c>
      <c r="E187" s="48"/>
      <c r="F187" s="48"/>
      <c r="G187" s="48"/>
      <c r="H187" s="48"/>
      <c r="I187" s="120"/>
      <c r="K187" s="120">
        <f>ROUNDDOWN(H206,-2)</f>
        <v>223000</v>
      </c>
      <c r="L187" s="120"/>
      <c r="M187" s="1415"/>
    </row>
    <row r="188" spans="3:13" s="289" customFormat="1" ht="31.65" customHeight="1" thickTop="1">
      <c r="C188" s="51" t="s">
        <v>1195</v>
      </c>
      <c r="D188" s="52" t="s">
        <v>1196</v>
      </c>
      <c r="E188" s="52" t="s">
        <v>1197</v>
      </c>
      <c r="F188" s="52" t="s">
        <v>1198</v>
      </c>
      <c r="G188" s="52" t="s">
        <v>1199</v>
      </c>
      <c r="H188" s="53" t="s">
        <v>1200</v>
      </c>
      <c r="I188" s="126"/>
      <c r="K188" s="126"/>
      <c r="L188" s="126"/>
      <c r="M188" s="1416"/>
    </row>
    <row r="189" spans="3:13" s="280" customFormat="1" ht="22.2" customHeight="1">
      <c r="C189" s="290" t="s">
        <v>1201</v>
      </c>
      <c r="D189" s="182" t="s">
        <v>1202</v>
      </c>
      <c r="E189" s="70"/>
      <c r="F189" s="70"/>
      <c r="G189" s="70"/>
      <c r="H189" s="71"/>
      <c r="I189" s="119"/>
      <c r="K189" s="119"/>
      <c r="L189" s="119"/>
      <c r="M189" s="1415"/>
    </row>
    <row r="190" spans="3:13" s="280" customFormat="1" ht="22.2" customHeight="1">
      <c r="C190" s="281">
        <v>1</v>
      </c>
      <c r="D190" s="182" t="s">
        <v>5</v>
      </c>
      <c r="E190" s="176" t="s">
        <v>6</v>
      </c>
      <c r="F190" s="282">
        <v>0.66</v>
      </c>
      <c r="G190" s="283">
        <f>VLOOKUP(D190,upahbahan,3,FALSE)</f>
        <v>100000</v>
      </c>
      <c r="H190" s="284">
        <f>F190*G190</f>
        <v>66000</v>
      </c>
      <c r="I190" s="119"/>
      <c r="K190" s="119"/>
      <c r="L190" s="119"/>
      <c r="M190" s="1415"/>
    </row>
    <row r="191" spans="3:13" s="280" customFormat="1" ht="22.2" customHeight="1">
      <c r="C191" s="281">
        <v>2</v>
      </c>
      <c r="D191" s="182" t="s">
        <v>8</v>
      </c>
      <c r="E191" s="176" t="s">
        <v>6</v>
      </c>
      <c r="F191" s="282">
        <v>0.33</v>
      </c>
      <c r="G191" s="283">
        <f>VLOOKUP(D191,upahbahan,3,FALSE)</f>
        <v>135000</v>
      </c>
      <c r="H191" s="284">
        <f>F191*G191</f>
        <v>44550</v>
      </c>
      <c r="I191" s="119"/>
      <c r="K191" s="119"/>
      <c r="L191" s="119"/>
      <c r="M191" s="1415"/>
    </row>
    <row r="192" spans="3:13" s="59" customFormat="1" ht="22.2" customHeight="1">
      <c r="C192" s="281">
        <v>3</v>
      </c>
      <c r="D192" s="182" t="s">
        <v>18</v>
      </c>
      <c r="E192" s="176" t="s">
        <v>6</v>
      </c>
      <c r="F192" s="282">
        <v>3.3000000000000002E-2</v>
      </c>
      <c r="G192" s="283">
        <f>VLOOKUP(D192,upahbahan,3,FALSE)</f>
        <v>150000</v>
      </c>
      <c r="H192" s="284">
        <f>F192*G192</f>
        <v>4950</v>
      </c>
      <c r="I192" s="119"/>
      <c r="K192" s="119"/>
      <c r="L192" s="119"/>
      <c r="M192" s="1408"/>
    </row>
    <row r="193" spans="3:13" s="280" customFormat="1" ht="22.2" customHeight="1">
      <c r="C193" s="281">
        <v>4</v>
      </c>
      <c r="D193" s="182" t="s">
        <v>19</v>
      </c>
      <c r="E193" s="176" t="s">
        <v>6</v>
      </c>
      <c r="F193" s="282">
        <v>1.0999999999999999E-2</v>
      </c>
      <c r="G193" s="283">
        <f>VLOOKUP(D193,upahbahan,3,FALSE)</f>
        <v>160000</v>
      </c>
      <c r="H193" s="284">
        <f>F193*G193</f>
        <v>1760</v>
      </c>
      <c r="I193" s="119"/>
      <c r="K193" s="119"/>
      <c r="L193" s="119"/>
      <c r="M193" s="1415"/>
    </row>
    <row r="194" spans="3:13" s="280" customFormat="1" ht="22.2" customHeight="1">
      <c r="C194" s="66" t="s">
        <v>1208</v>
      </c>
      <c r="D194" s="67"/>
      <c r="E194" s="67"/>
      <c r="F194" s="68"/>
      <c r="G194" s="69"/>
      <c r="H194" s="284">
        <f>SUM(H190:H193)</f>
        <v>117260</v>
      </c>
      <c r="I194" s="119"/>
      <c r="K194" s="119"/>
      <c r="L194" s="119"/>
      <c r="M194" s="1415"/>
    </row>
    <row r="195" spans="3:13" s="280" customFormat="1" ht="22.2" customHeight="1">
      <c r="C195" s="290" t="s">
        <v>1209</v>
      </c>
      <c r="D195" s="182" t="s">
        <v>1210</v>
      </c>
      <c r="E195" s="70"/>
      <c r="F195" s="70"/>
      <c r="G195" s="70"/>
      <c r="H195" s="71"/>
      <c r="I195" s="119"/>
      <c r="K195" s="119"/>
      <c r="L195" s="119"/>
      <c r="M195" s="1415"/>
    </row>
    <row r="196" spans="3:13" s="280" customFormat="1" ht="22.2" customHeight="1">
      <c r="C196" s="310" t="s">
        <v>1203</v>
      </c>
      <c r="D196" s="285" t="s">
        <v>260</v>
      </c>
      <c r="E196" s="176" t="s">
        <v>65</v>
      </c>
      <c r="F196" s="330">
        <v>0.4</v>
      </c>
      <c r="G196" s="283">
        <f>VLOOKUP(D196,upahbahan,3,FALSE)</f>
        <v>33901.875</v>
      </c>
      <c r="H196" s="284">
        <f>F196*G196</f>
        <v>13560.75</v>
      </c>
      <c r="I196" s="119"/>
      <c r="K196" s="119"/>
      <c r="L196" s="119"/>
      <c r="M196" s="1415"/>
    </row>
    <row r="197" spans="3:13" s="280" customFormat="1" ht="22.2" customHeight="1">
      <c r="C197" s="310" t="s">
        <v>1204</v>
      </c>
      <c r="D197" s="285" t="s">
        <v>755</v>
      </c>
      <c r="E197" s="176" t="s">
        <v>529</v>
      </c>
      <c r="F197" s="330">
        <v>0.2</v>
      </c>
      <c r="G197" s="283">
        <f>VLOOKUP(D197,upahbahan,3,FALSE)</f>
        <v>76500</v>
      </c>
      <c r="H197" s="284">
        <f>F197*G197</f>
        <v>15300</v>
      </c>
      <c r="I197" s="119"/>
      <c r="K197" s="119"/>
      <c r="L197" s="119"/>
      <c r="M197" s="1415"/>
    </row>
    <row r="198" spans="3:13" s="280" customFormat="1" ht="22.2" customHeight="1">
      <c r="C198" s="310" t="s">
        <v>1205</v>
      </c>
      <c r="D198" s="285" t="s">
        <v>115</v>
      </c>
      <c r="E198" s="176" t="s">
        <v>42</v>
      </c>
      <c r="F198" s="330">
        <v>5.5799999999999999E-3</v>
      </c>
      <c r="G198" s="283">
        <f>VLOOKUP(D198,upahbahan,3,FALSE)</f>
        <v>5904000</v>
      </c>
      <c r="H198" s="284">
        <f>F198*G198</f>
        <v>32944.32</v>
      </c>
      <c r="I198" s="119"/>
      <c r="K198" s="119"/>
      <c r="L198" s="119"/>
      <c r="M198" s="1415"/>
    </row>
    <row r="199" spans="3:13" s="280" customFormat="1" ht="22.2" customHeight="1">
      <c r="C199" s="310" t="s">
        <v>1206</v>
      </c>
      <c r="D199" s="285" t="s">
        <v>136</v>
      </c>
      <c r="E199" s="176" t="s">
        <v>129</v>
      </c>
      <c r="F199" s="330">
        <v>0.12705</v>
      </c>
      <c r="G199" s="283">
        <f>VLOOKUP(D199,upahbahan,3,FALSE)</f>
        <v>157500</v>
      </c>
      <c r="H199" s="284">
        <f>F199*G199</f>
        <v>20010.375</v>
      </c>
      <c r="I199" s="119"/>
      <c r="K199" s="119"/>
      <c r="L199" s="119"/>
      <c r="M199" s="1415"/>
    </row>
    <row r="200" spans="3:13" s="280" customFormat="1" ht="22.2" customHeight="1">
      <c r="C200" s="310" t="s">
        <v>1207</v>
      </c>
      <c r="D200" s="285" t="s">
        <v>112</v>
      </c>
      <c r="E200" s="176" t="s">
        <v>106</v>
      </c>
      <c r="F200" s="330">
        <v>0.65</v>
      </c>
      <c r="G200" s="283">
        <f>VLOOKUP(D200,upahbahan,3,FALSE)</f>
        <v>5625</v>
      </c>
      <c r="H200" s="284">
        <f>F200*G200</f>
        <v>3656.25</v>
      </c>
      <c r="I200" s="119"/>
      <c r="K200" s="119"/>
      <c r="L200" s="119"/>
      <c r="M200" s="1415"/>
    </row>
    <row r="201" spans="3:13" s="280" customFormat="1" ht="22.2" customHeight="1">
      <c r="C201" s="66" t="s">
        <v>1214</v>
      </c>
      <c r="D201" s="67"/>
      <c r="E201" s="67"/>
      <c r="F201" s="67"/>
      <c r="G201" s="69"/>
      <c r="H201" s="284">
        <f>SUM(H196:H200)</f>
        <v>85471.695000000007</v>
      </c>
      <c r="I201" s="119"/>
      <c r="K201" s="119"/>
      <c r="L201" s="119"/>
      <c r="M201" s="1415"/>
    </row>
    <row r="202" spans="3:13" s="280" customFormat="1" ht="22.2" customHeight="1">
      <c r="C202" s="290" t="s">
        <v>1215</v>
      </c>
      <c r="D202" s="182" t="s">
        <v>1216</v>
      </c>
      <c r="E202" s="70"/>
      <c r="F202" s="70"/>
      <c r="G202" s="70"/>
      <c r="H202" s="105"/>
      <c r="I202" s="119"/>
      <c r="K202" s="119"/>
      <c r="L202" s="119"/>
      <c r="M202" s="1415"/>
    </row>
    <row r="203" spans="3:13" s="280" customFormat="1" ht="22.2" customHeight="1">
      <c r="C203" s="66" t="s">
        <v>1217</v>
      </c>
      <c r="D203" s="67"/>
      <c r="E203" s="67"/>
      <c r="F203" s="67"/>
      <c r="G203" s="69"/>
      <c r="H203" s="292">
        <v>0</v>
      </c>
      <c r="I203" s="119"/>
      <c r="K203" s="119"/>
      <c r="L203" s="119"/>
      <c r="M203" s="1415"/>
    </row>
    <row r="204" spans="3:13" s="297" customFormat="1" ht="22.2" customHeight="1">
      <c r="C204" s="293" t="s">
        <v>1218</v>
      </c>
      <c r="D204" s="294" t="s">
        <v>1219</v>
      </c>
      <c r="E204" s="295"/>
      <c r="F204" s="295"/>
      <c r="G204" s="296"/>
      <c r="H204" s="284">
        <f>H203+H201+H194</f>
        <v>202731.69500000001</v>
      </c>
      <c r="I204" s="119"/>
      <c r="K204" s="119"/>
      <c r="L204" s="119"/>
      <c r="M204" s="1130"/>
    </row>
    <row r="205" spans="3:13" s="297" customFormat="1" ht="22.2" customHeight="1">
      <c r="C205" s="293" t="s">
        <v>1220</v>
      </c>
      <c r="D205" s="294" t="s">
        <v>1321</v>
      </c>
      <c r="E205" s="295"/>
      <c r="F205" s="296"/>
      <c r="G205" s="298">
        <f>$D$4</f>
        <v>0.1</v>
      </c>
      <c r="H205" s="284">
        <f>H204*G205</f>
        <v>20273.169500000004</v>
      </c>
      <c r="I205" s="119"/>
      <c r="K205" s="119"/>
      <c r="L205" s="119"/>
      <c r="M205" s="1130"/>
    </row>
    <row r="206" spans="3:13" s="297" customFormat="1" ht="22.2" customHeight="1" thickBot="1">
      <c r="C206" s="299" t="s">
        <v>1221</v>
      </c>
      <c r="D206" s="300" t="s">
        <v>1222</v>
      </c>
      <c r="E206" s="301"/>
      <c r="F206" s="301"/>
      <c r="G206" s="302"/>
      <c r="H206" s="303">
        <f>SUM(H204:H205)</f>
        <v>223004.86450000003</v>
      </c>
      <c r="I206" s="119"/>
      <c r="K206" s="119"/>
      <c r="L206" s="119"/>
      <c r="M206" s="1130"/>
    </row>
    <row r="207" spans="3:13" s="297" customFormat="1" ht="14.4" thickTop="1">
      <c r="C207" s="289"/>
      <c r="H207" s="139"/>
      <c r="I207" s="119"/>
      <c r="K207" s="119"/>
      <c r="L207" s="119"/>
      <c r="M207" s="1130"/>
    </row>
    <row r="208" spans="3:13" s="280" customFormat="1" ht="14.4" thickBot="1">
      <c r="C208" s="119" t="s">
        <v>2253</v>
      </c>
      <c r="D208" s="48" t="s">
        <v>1306</v>
      </c>
      <c r="E208" s="48"/>
      <c r="F208" s="48"/>
      <c r="G208" s="48"/>
      <c r="H208" s="48"/>
      <c r="I208" s="120"/>
      <c r="K208" s="120">
        <f>ROUNDDOWN(H227,-2)</f>
        <v>225000</v>
      </c>
      <c r="L208" s="120"/>
      <c r="M208" s="1415"/>
    </row>
    <row r="209" spans="3:13" s="289" customFormat="1" ht="31.65" customHeight="1" thickTop="1">
      <c r="C209" s="51" t="s">
        <v>1195</v>
      </c>
      <c r="D209" s="52" t="s">
        <v>1196</v>
      </c>
      <c r="E209" s="52" t="s">
        <v>1197</v>
      </c>
      <c r="F209" s="52" t="s">
        <v>1198</v>
      </c>
      <c r="G209" s="52" t="s">
        <v>1199</v>
      </c>
      <c r="H209" s="53" t="s">
        <v>1200</v>
      </c>
      <c r="I209" s="126"/>
      <c r="K209" s="126"/>
      <c r="L209" s="126"/>
      <c r="M209" s="1416"/>
    </row>
    <row r="210" spans="3:13" s="280" customFormat="1" ht="22.8" customHeight="1">
      <c r="C210" s="290" t="s">
        <v>1201</v>
      </c>
      <c r="D210" s="182" t="s">
        <v>1202</v>
      </c>
      <c r="E210" s="70"/>
      <c r="F210" s="70"/>
      <c r="G210" s="70"/>
      <c r="H210" s="71"/>
      <c r="I210" s="119"/>
      <c r="K210" s="119"/>
      <c r="L210" s="119"/>
      <c r="M210" s="1415"/>
    </row>
    <row r="211" spans="3:13" s="280" customFormat="1" ht="22.8" customHeight="1">
      <c r="C211" s="281">
        <v>1</v>
      </c>
      <c r="D211" s="182" t="s">
        <v>5</v>
      </c>
      <c r="E211" s="176" t="s">
        <v>6</v>
      </c>
      <c r="F211" s="282">
        <v>0.66</v>
      </c>
      <c r="G211" s="283">
        <f>VLOOKUP(D211,upahbahan,3,FALSE)</f>
        <v>100000</v>
      </c>
      <c r="H211" s="284">
        <f>F211*G211</f>
        <v>66000</v>
      </c>
      <c r="I211" s="119"/>
      <c r="K211" s="119"/>
      <c r="L211" s="119"/>
      <c r="M211" s="1415"/>
    </row>
    <row r="212" spans="3:13" s="280" customFormat="1" ht="22.8" customHeight="1">
      <c r="C212" s="281">
        <v>2</v>
      </c>
      <c r="D212" s="182" t="s">
        <v>8</v>
      </c>
      <c r="E212" s="176" t="s">
        <v>6</v>
      </c>
      <c r="F212" s="282">
        <v>0.33</v>
      </c>
      <c r="G212" s="283">
        <f>VLOOKUP(D212,upahbahan,3,FALSE)</f>
        <v>135000</v>
      </c>
      <c r="H212" s="284">
        <f>F212*G212</f>
        <v>44550</v>
      </c>
      <c r="I212" s="119"/>
      <c r="K212" s="119"/>
      <c r="L212" s="119"/>
      <c r="M212" s="1415"/>
    </row>
    <row r="213" spans="3:13" s="59" customFormat="1" ht="22.8" customHeight="1">
      <c r="C213" s="281">
        <v>3</v>
      </c>
      <c r="D213" s="182" t="s">
        <v>18</v>
      </c>
      <c r="E213" s="176" t="s">
        <v>6</v>
      </c>
      <c r="F213" s="282">
        <v>3.3000000000000002E-2</v>
      </c>
      <c r="G213" s="283">
        <f>VLOOKUP(D213,upahbahan,3,FALSE)</f>
        <v>150000</v>
      </c>
      <c r="H213" s="284">
        <f>F213*G213</f>
        <v>4950</v>
      </c>
      <c r="I213" s="119"/>
      <c r="K213" s="119"/>
      <c r="L213" s="119"/>
      <c r="M213" s="1408"/>
    </row>
    <row r="214" spans="3:13" s="280" customFormat="1" ht="22.8" customHeight="1">
      <c r="C214" s="281">
        <v>4</v>
      </c>
      <c r="D214" s="182" t="s">
        <v>19</v>
      </c>
      <c r="E214" s="176" t="s">
        <v>6</v>
      </c>
      <c r="F214" s="282">
        <v>1.0999999999999999E-2</v>
      </c>
      <c r="G214" s="283">
        <f>VLOOKUP(D214,upahbahan,3,FALSE)</f>
        <v>160000</v>
      </c>
      <c r="H214" s="284">
        <f>F214*G214</f>
        <v>1760</v>
      </c>
      <c r="I214" s="119"/>
      <c r="K214" s="119"/>
      <c r="L214" s="119"/>
      <c r="M214" s="1415"/>
    </row>
    <row r="215" spans="3:13" s="280" customFormat="1" ht="22.8" customHeight="1">
      <c r="C215" s="66" t="s">
        <v>1208</v>
      </c>
      <c r="D215" s="67"/>
      <c r="E215" s="67"/>
      <c r="F215" s="68"/>
      <c r="G215" s="69"/>
      <c r="H215" s="284">
        <f>SUM(H211:H214)</f>
        <v>117260</v>
      </c>
      <c r="I215" s="119"/>
      <c r="K215" s="119"/>
      <c r="L215" s="119"/>
      <c r="M215" s="1415"/>
    </row>
    <row r="216" spans="3:13" s="280" customFormat="1" ht="22.8" customHeight="1">
      <c r="C216" s="290" t="s">
        <v>1209</v>
      </c>
      <c r="D216" s="182" t="s">
        <v>1210</v>
      </c>
      <c r="E216" s="70"/>
      <c r="F216" s="70"/>
      <c r="G216" s="70"/>
      <c r="H216" s="71"/>
      <c r="I216" s="119"/>
      <c r="K216" s="119"/>
      <c r="L216" s="119"/>
      <c r="M216" s="1415"/>
    </row>
    <row r="217" spans="3:13" s="280" customFormat="1" ht="22.8" customHeight="1">
      <c r="C217" s="310" t="s">
        <v>1203</v>
      </c>
      <c r="D217" s="285" t="s">
        <v>262</v>
      </c>
      <c r="E217" s="176" t="s">
        <v>65</v>
      </c>
      <c r="F217" s="330">
        <v>0.4</v>
      </c>
      <c r="G217" s="283">
        <f>VLOOKUP(D217,upahbahan,3,FALSE)</f>
        <v>33901.875</v>
      </c>
      <c r="H217" s="284">
        <f>F217*G217</f>
        <v>13560.75</v>
      </c>
      <c r="I217" s="119"/>
      <c r="K217" s="119"/>
      <c r="L217" s="119"/>
      <c r="M217" s="1415"/>
    </row>
    <row r="218" spans="3:13" s="280" customFormat="1" ht="22.8" customHeight="1">
      <c r="C218" s="310" t="s">
        <v>1204</v>
      </c>
      <c r="D218" s="285" t="s">
        <v>755</v>
      </c>
      <c r="E218" s="176" t="s">
        <v>529</v>
      </c>
      <c r="F218" s="330">
        <v>0.2</v>
      </c>
      <c r="G218" s="283">
        <f>VLOOKUP(D218,upahbahan,3,FALSE)</f>
        <v>76500</v>
      </c>
      <c r="H218" s="284">
        <f>F218*G218</f>
        <v>15300</v>
      </c>
      <c r="I218" s="119"/>
      <c r="K218" s="119"/>
      <c r="L218" s="119"/>
      <c r="M218" s="1415"/>
    </row>
    <row r="219" spans="3:13" s="280" customFormat="1" ht="22.8" customHeight="1">
      <c r="C219" s="310" t="s">
        <v>1205</v>
      </c>
      <c r="D219" s="285" t="s">
        <v>115</v>
      </c>
      <c r="E219" s="176" t="s">
        <v>42</v>
      </c>
      <c r="F219" s="330">
        <v>4.6499999999999996E-3</v>
      </c>
      <c r="G219" s="283">
        <f>VLOOKUP(D219,upahbahan,3,FALSE)</f>
        <v>5904000</v>
      </c>
      <c r="H219" s="284">
        <f>F219*G219</f>
        <v>27453.599999999999</v>
      </c>
      <c r="I219" s="119"/>
      <c r="K219" s="119"/>
      <c r="L219" s="119"/>
      <c r="M219" s="1415"/>
    </row>
    <row r="220" spans="3:13" s="280" customFormat="1" ht="22.8" customHeight="1">
      <c r="C220" s="310" t="s">
        <v>1206</v>
      </c>
      <c r="D220" s="285" t="s">
        <v>136</v>
      </c>
      <c r="E220" s="176" t="s">
        <v>129</v>
      </c>
      <c r="F220" s="330">
        <v>0.127</v>
      </c>
      <c r="G220" s="283">
        <f>VLOOKUP(D220,upahbahan,3,FALSE)</f>
        <v>157500</v>
      </c>
      <c r="H220" s="284">
        <f>F220*G220</f>
        <v>20002.5</v>
      </c>
      <c r="I220" s="119"/>
      <c r="K220" s="119"/>
      <c r="L220" s="119"/>
      <c r="M220" s="1415"/>
    </row>
    <row r="221" spans="3:13" s="280" customFormat="1" ht="22.8" customHeight="1">
      <c r="C221" s="310" t="s">
        <v>1207</v>
      </c>
      <c r="D221" s="285" t="s">
        <v>112</v>
      </c>
      <c r="E221" s="176" t="s">
        <v>106</v>
      </c>
      <c r="F221" s="330">
        <v>1.95</v>
      </c>
      <c r="G221" s="283">
        <f>VLOOKUP(D221,upahbahan,3,FALSE)</f>
        <v>5625</v>
      </c>
      <c r="H221" s="284">
        <f>F221*G221</f>
        <v>10968.75</v>
      </c>
      <c r="I221" s="119"/>
      <c r="K221" s="119"/>
      <c r="L221" s="119"/>
      <c r="M221" s="1415"/>
    </row>
    <row r="222" spans="3:13" s="280" customFormat="1" ht="22.8" customHeight="1">
      <c r="C222" s="66" t="s">
        <v>1214</v>
      </c>
      <c r="D222" s="67"/>
      <c r="E222" s="67"/>
      <c r="F222" s="67"/>
      <c r="G222" s="69"/>
      <c r="H222" s="284">
        <f>SUM(H217:H221)</f>
        <v>87285.6</v>
      </c>
      <c r="I222" s="119"/>
      <c r="K222" s="119"/>
      <c r="L222" s="119"/>
      <c r="M222" s="1415"/>
    </row>
    <row r="223" spans="3:13" s="280" customFormat="1" ht="22.8" customHeight="1">
      <c r="C223" s="290" t="s">
        <v>1215</v>
      </c>
      <c r="D223" s="182" t="s">
        <v>1216</v>
      </c>
      <c r="E223" s="70"/>
      <c r="F223" s="70"/>
      <c r="G223" s="70"/>
      <c r="H223" s="105"/>
      <c r="I223" s="119"/>
      <c r="K223" s="119"/>
      <c r="L223" s="119"/>
      <c r="M223" s="1415"/>
    </row>
    <row r="224" spans="3:13" s="280" customFormat="1" ht="22.8" customHeight="1">
      <c r="C224" s="66" t="s">
        <v>1217</v>
      </c>
      <c r="D224" s="67"/>
      <c r="E224" s="67"/>
      <c r="F224" s="67"/>
      <c r="G224" s="69"/>
      <c r="H224" s="292">
        <v>0</v>
      </c>
      <c r="I224" s="119"/>
      <c r="K224" s="119"/>
      <c r="L224" s="119"/>
      <c r="M224" s="1415"/>
    </row>
    <row r="225" spans="3:16" s="297" customFormat="1" ht="22.8" customHeight="1">
      <c r="C225" s="293" t="s">
        <v>1218</v>
      </c>
      <c r="D225" s="294" t="s">
        <v>1219</v>
      </c>
      <c r="E225" s="295"/>
      <c r="F225" s="295"/>
      <c r="G225" s="296"/>
      <c r="H225" s="284">
        <f>H224+H222+H215</f>
        <v>204545.6</v>
      </c>
      <c r="I225" s="119"/>
      <c r="K225" s="119"/>
      <c r="L225" s="119"/>
      <c r="M225" s="1130"/>
    </row>
    <row r="226" spans="3:16" s="297" customFormat="1" ht="22.8" customHeight="1">
      <c r="C226" s="293" t="s">
        <v>1220</v>
      </c>
      <c r="D226" s="294" t="s">
        <v>1321</v>
      </c>
      <c r="E226" s="295"/>
      <c r="F226" s="296"/>
      <c r="G226" s="298">
        <f>$D$4</f>
        <v>0.1</v>
      </c>
      <c r="H226" s="284">
        <f>H225*G226</f>
        <v>20454.560000000001</v>
      </c>
      <c r="I226" s="119"/>
      <c r="K226" s="119"/>
      <c r="L226" s="119"/>
      <c r="M226" s="1130"/>
    </row>
    <row r="227" spans="3:16" s="297" customFormat="1" ht="22.8" customHeight="1" thickBot="1">
      <c r="C227" s="299" t="s">
        <v>1221</v>
      </c>
      <c r="D227" s="300" t="s">
        <v>1222</v>
      </c>
      <c r="E227" s="301"/>
      <c r="F227" s="301"/>
      <c r="G227" s="302"/>
      <c r="H227" s="303">
        <f>SUM(H225:H226)</f>
        <v>225000.16</v>
      </c>
      <c r="I227" s="119"/>
      <c r="K227" s="119"/>
      <c r="L227" s="119"/>
      <c r="M227" s="1130"/>
    </row>
    <row r="228" spans="3:16" ht="13.8" thickTop="1">
      <c r="L228"/>
      <c r="M228" s="1406"/>
    </row>
    <row r="229" spans="3:16" s="280" customFormat="1" ht="33" customHeight="1" thickBot="1">
      <c r="C229" s="126" t="s">
        <v>2265</v>
      </c>
      <c r="D229" s="47" t="s">
        <v>2266</v>
      </c>
      <c r="E229" s="88"/>
      <c r="F229" s="88"/>
      <c r="G229" s="88"/>
      <c r="H229" s="88"/>
      <c r="K229" s="120">
        <f>ROUNDDOWN(H247,-2)</f>
        <v>1068400</v>
      </c>
      <c r="L229" s="120"/>
      <c r="P229" s="333"/>
    </row>
    <row r="230" spans="3:16" s="289" customFormat="1" ht="31.65" customHeight="1" thickTop="1">
      <c r="C230" s="51" t="s">
        <v>1195</v>
      </c>
      <c r="D230" s="52" t="s">
        <v>1196</v>
      </c>
      <c r="E230" s="52" t="s">
        <v>1197</v>
      </c>
      <c r="F230" s="52" t="s">
        <v>1198</v>
      </c>
      <c r="G230" s="52" t="s">
        <v>1199</v>
      </c>
      <c r="H230" s="53" t="s">
        <v>1200</v>
      </c>
      <c r="I230" s="126"/>
      <c r="K230" s="126"/>
      <c r="L230" s="126"/>
      <c r="P230" s="333"/>
    </row>
    <row r="231" spans="3:16" s="280" customFormat="1" ht="19.8" customHeight="1">
      <c r="C231" s="290" t="s">
        <v>1201</v>
      </c>
      <c r="D231" s="182" t="s">
        <v>1202</v>
      </c>
      <c r="E231" s="70"/>
      <c r="F231" s="70"/>
      <c r="G231" s="70"/>
      <c r="H231" s="71"/>
      <c r="I231" s="119"/>
      <c r="K231" s="119"/>
      <c r="L231" s="119"/>
      <c r="P231" s="333"/>
    </row>
    <row r="232" spans="3:16" s="280" customFormat="1" ht="19.8" customHeight="1">
      <c r="C232" s="310" t="s">
        <v>1203</v>
      </c>
      <c r="D232" s="182" t="s">
        <v>5</v>
      </c>
      <c r="E232" s="176" t="s">
        <v>6</v>
      </c>
      <c r="F232" s="282">
        <v>1.65</v>
      </c>
      <c r="G232" s="283">
        <f>VLOOKUP(D232,upahbahan,3,FALSE)</f>
        <v>100000</v>
      </c>
      <c r="H232" s="284">
        <f>F232*G232</f>
        <v>165000</v>
      </c>
      <c r="I232" s="119"/>
      <c r="K232" s="119"/>
      <c r="L232" s="119"/>
      <c r="P232" s="333"/>
    </row>
    <row r="233" spans="3:16" s="280" customFormat="1" ht="19.8" customHeight="1">
      <c r="C233" s="310" t="s">
        <v>1204</v>
      </c>
      <c r="D233" s="182" t="s">
        <v>7</v>
      </c>
      <c r="E233" s="176" t="s">
        <v>6</v>
      </c>
      <c r="F233" s="282">
        <v>0.27500000000000002</v>
      </c>
      <c r="G233" s="283">
        <f>VLOOKUP(D233,upahbahan,3,FALSE)</f>
        <v>135000</v>
      </c>
      <c r="H233" s="284">
        <f>F233*G233</f>
        <v>37125</v>
      </c>
      <c r="I233" s="119"/>
      <c r="K233" s="119"/>
      <c r="L233" s="119"/>
      <c r="P233" s="333"/>
    </row>
    <row r="234" spans="3:16" s="280" customFormat="1" ht="19.8" customHeight="1">
      <c r="C234" s="310" t="s">
        <v>1205</v>
      </c>
      <c r="D234" s="182" t="s">
        <v>1310</v>
      </c>
      <c r="E234" s="176" t="s">
        <v>6</v>
      </c>
      <c r="F234" s="282">
        <v>2.8000000000000001E-2</v>
      </c>
      <c r="G234" s="283">
        <f>VLOOKUP(D234,upahbahan,3,FALSE)</f>
        <v>150000</v>
      </c>
      <c r="H234" s="284">
        <f>F234*G234</f>
        <v>4200</v>
      </c>
      <c r="I234" s="119"/>
      <c r="K234" s="119"/>
      <c r="L234" s="119"/>
      <c r="P234" s="333"/>
    </row>
    <row r="235" spans="3:16" s="280" customFormat="1" ht="19.8" customHeight="1">
      <c r="C235" s="310" t="s">
        <v>1206</v>
      </c>
      <c r="D235" s="182" t="s">
        <v>19</v>
      </c>
      <c r="E235" s="176" t="s">
        <v>6</v>
      </c>
      <c r="F235" s="282">
        <v>8.9999999999999993E-3</v>
      </c>
      <c r="G235" s="283">
        <f>VLOOKUP(D235,upahbahan,3,FALSE)</f>
        <v>160000</v>
      </c>
      <c r="H235" s="284">
        <f>F235*G235</f>
        <v>1440</v>
      </c>
      <c r="I235" s="119"/>
      <c r="K235" s="119"/>
      <c r="L235" s="119"/>
      <c r="P235" s="333"/>
    </row>
    <row r="236" spans="3:16" s="280" customFormat="1" ht="19.8" customHeight="1">
      <c r="C236" s="66" t="s">
        <v>1208</v>
      </c>
      <c r="D236" s="67"/>
      <c r="E236" s="67"/>
      <c r="F236" s="68"/>
      <c r="G236" s="69"/>
      <c r="H236" s="284">
        <f>SUM(H232:H235)</f>
        <v>207765</v>
      </c>
      <c r="I236" s="119"/>
      <c r="K236" s="119"/>
      <c r="L236" s="119"/>
    </row>
    <row r="237" spans="3:16" s="280" customFormat="1" ht="19.8" customHeight="1">
      <c r="C237" s="290" t="s">
        <v>1209</v>
      </c>
      <c r="D237" s="182" t="s">
        <v>1210</v>
      </c>
      <c r="E237" s="70"/>
      <c r="F237" s="70"/>
      <c r="G237" s="70"/>
      <c r="H237" s="71"/>
      <c r="I237" s="119"/>
      <c r="K237" s="119"/>
      <c r="L237" s="119"/>
    </row>
    <row r="238" spans="3:16" s="280" customFormat="1" ht="19.8" customHeight="1">
      <c r="C238" s="306" t="s">
        <v>1203</v>
      </c>
      <c r="D238" s="182" t="s">
        <v>1796</v>
      </c>
      <c r="E238" s="124" t="s">
        <v>65</v>
      </c>
      <c r="F238" s="127">
        <v>267</v>
      </c>
      <c r="G238" s="283">
        <f>VLOOKUP(D238,upahbahan,3,FALSE)</f>
        <v>1530</v>
      </c>
      <c r="H238" s="284">
        <f>F238*G238</f>
        <v>408510</v>
      </c>
      <c r="I238" s="119"/>
      <c r="K238" s="119"/>
      <c r="L238" s="119"/>
    </row>
    <row r="239" spans="3:16" s="280" customFormat="1" ht="19.8" customHeight="1">
      <c r="C239" s="306" t="s">
        <v>1204</v>
      </c>
      <c r="D239" s="182" t="s">
        <v>79</v>
      </c>
      <c r="E239" s="124" t="s">
        <v>65</v>
      </c>
      <c r="F239" s="127">
        <v>871</v>
      </c>
      <c r="G239" s="283">
        <f>VLOOKUP(D239,upahbahan,3,FALSE)</f>
        <v>221.78700000000001</v>
      </c>
      <c r="H239" s="284">
        <f>F239*G239</f>
        <v>193176.47700000001</v>
      </c>
      <c r="I239" s="119"/>
      <c r="K239" s="119"/>
      <c r="L239" s="119"/>
    </row>
    <row r="240" spans="3:16" s="280" customFormat="1" ht="19.8" customHeight="1">
      <c r="C240" s="306" t="s">
        <v>1205</v>
      </c>
      <c r="D240" s="182" t="s">
        <v>72</v>
      </c>
      <c r="E240" s="124" t="s">
        <v>65</v>
      </c>
      <c r="F240" s="127">
        <v>1009</v>
      </c>
      <c r="G240" s="283">
        <f>VLOOKUP(D240,upahbahan,3,FALSE)/1350</f>
        <v>216.66666666666666</v>
      </c>
      <c r="H240" s="284">
        <f>F240*G240</f>
        <v>218616.66666666666</v>
      </c>
      <c r="I240" s="119"/>
      <c r="K240" s="119"/>
      <c r="L240" s="119"/>
    </row>
    <row r="241" spans="3:16" s="280" customFormat="1" ht="19.8" customHeight="1">
      <c r="C241" s="306" t="s">
        <v>1206</v>
      </c>
      <c r="D241" s="182" t="s">
        <v>960</v>
      </c>
      <c r="E241" s="124" t="s">
        <v>529</v>
      </c>
      <c r="F241" s="127">
        <v>202</v>
      </c>
      <c r="G241" s="283">
        <f>VLOOKUP(D241,upahbahan,3,FALSE)</f>
        <v>200</v>
      </c>
      <c r="H241" s="284">
        <f>F241*G241</f>
        <v>40400</v>
      </c>
      <c r="I241" s="119"/>
      <c r="K241" s="119"/>
      <c r="L241" s="119"/>
    </row>
    <row r="242" spans="3:16" s="280" customFormat="1" ht="19.8" customHeight="1">
      <c r="C242" s="66" t="s">
        <v>1214</v>
      </c>
      <c r="D242" s="67"/>
      <c r="E242" s="67"/>
      <c r="F242" s="67"/>
      <c r="G242" s="69"/>
      <c r="H242" s="284">
        <f>SUM(H238:H241)</f>
        <v>860703.14366666658</v>
      </c>
      <c r="I242" s="119"/>
      <c r="K242" s="119"/>
      <c r="L242" s="119"/>
    </row>
    <row r="243" spans="3:16" s="280" customFormat="1" ht="19.8" customHeight="1">
      <c r="C243" s="290" t="s">
        <v>1215</v>
      </c>
      <c r="D243" s="182" t="s">
        <v>1216</v>
      </c>
      <c r="E243" s="70"/>
      <c r="F243" s="70"/>
      <c r="G243" s="70"/>
      <c r="H243" s="105"/>
      <c r="I243" s="119"/>
      <c r="K243" s="119"/>
      <c r="L243" s="119"/>
    </row>
    <row r="244" spans="3:16" s="280" customFormat="1" ht="19.8" customHeight="1">
      <c r="C244" s="66" t="s">
        <v>1217</v>
      </c>
      <c r="D244" s="67"/>
      <c r="E244" s="67"/>
      <c r="F244" s="67"/>
      <c r="G244" s="69"/>
      <c r="H244" s="292">
        <v>0</v>
      </c>
      <c r="I244" s="119"/>
      <c r="K244" s="119"/>
      <c r="L244" s="119"/>
    </row>
    <row r="245" spans="3:16" s="297" customFormat="1" ht="19.8" customHeight="1">
      <c r="C245" s="293" t="s">
        <v>1218</v>
      </c>
      <c r="D245" s="294" t="s">
        <v>1219</v>
      </c>
      <c r="E245" s="295"/>
      <c r="F245" s="295"/>
      <c r="G245" s="296"/>
      <c r="H245" s="284">
        <f>H244+H242+H236</f>
        <v>1068468.1436666665</v>
      </c>
      <c r="I245" s="119"/>
      <c r="K245" s="119"/>
      <c r="L245" s="119"/>
    </row>
    <row r="246" spans="3:16" s="297" customFormat="1" ht="19.8" customHeight="1">
      <c r="C246" s="293" t="s">
        <v>1220</v>
      </c>
      <c r="D246" s="294" t="s">
        <v>1321</v>
      </c>
      <c r="E246" s="295"/>
      <c r="F246" s="296"/>
      <c r="G246" s="298">
        <f>$O$9</f>
        <v>0</v>
      </c>
      <c r="H246" s="284">
        <f>H245*G246</f>
        <v>0</v>
      </c>
      <c r="I246" s="119"/>
      <c r="K246" s="119"/>
      <c r="L246" s="119"/>
    </row>
    <row r="247" spans="3:16" s="297" customFormat="1" ht="19.8" customHeight="1" thickBot="1">
      <c r="C247" s="299" t="s">
        <v>1221</v>
      </c>
      <c r="D247" s="300" t="s">
        <v>1222</v>
      </c>
      <c r="E247" s="301"/>
      <c r="F247" s="301"/>
      <c r="G247" s="302"/>
      <c r="H247" s="303">
        <f>SUM(H245:H246)</f>
        <v>1068468.1436666665</v>
      </c>
      <c r="I247" s="119"/>
      <c r="K247" s="119"/>
      <c r="L247" s="119"/>
    </row>
    <row r="248" spans="3:16" s="297" customFormat="1" ht="19.8" customHeight="1" thickTop="1">
      <c r="C248" s="289"/>
      <c r="H248" s="139"/>
      <c r="I248" s="119"/>
      <c r="K248" s="119"/>
      <c r="L248" s="119"/>
    </row>
    <row r="249" spans="3:16" s="280" customFormat="1" ht="33" customHeight="1" thickBot="1">
      <c r="C249" s="126" t="s">
        <v>2271</v>
      </c>
      <c r="D249" s="47" t="s">
        <v>2272</v>
      </c>
      <c r="E249" s="88"/>
      <c r="F249" s="88"/>
      <c r="G249" s="88"/>
      <c r="H249" s="88"/>
      <c r="K249" s="120">
        <f>ROUNDDOWN(H267,-2)</f>
        <v>1291800</v>
      </c>
      <c r="L249" s="120"/>
      <c r="M249" s="1415"/>
      <c r="P249" s="333"/>
    </row>
    <row r="250" spans="3:16" s="289" customFormat="1" ht="31.65" customHeight="1" thickTop="1">
      <c r="C250" s="51" t="s">
        <v>1195</v>
      </c>
      <c r="D250" s="52" t="s">
        <v>1196</v>
      </c>
      <c r="E250" s="52" t="s">
        <v>1197</v>
      </c>
      <c r="F250" s="52" t="s">
        <v>1198</v>
      </c>
      <c r="G250" s="52" t="s">
        <v>1199</v>
      </c>
      <c r="H250" s="53" t="s">
        <v>1200</v>
      </c>
      <c r="I250" s="126"/>
      <c r="K250" s="126"/>
      <c r="L250" s="126"/>
      <c r="M250" s="1416"/>
      <c r="P250" s="333"/>
    </row>
    <row r="251" spans="3:16" s="280" customFormat="1" ht="21.6" customHeight="1">
      <c r="C251" s="290" t="s">
        <v>1201</v>
      </c>
      <c r="D251" s="182" t="s">
        <v>1202</v>
      </c>
      <c r="E251" s="70"/>
      <c r="F251" s="70"/>
      <c r="G251" s="70"/>
      <c r="H251" s="71"/>
      <c r="I251" s="119"/>
      <c r="K251" s="119"/>
      <c r="L251" s="119"/>
      <c r="M251" s="1415"/>
      <c r="P251" s="333"/>
    </row>
    <row r="252" spans="3:16" s="280" customFormat="1" ht="21.6" customHeight="1">
      <c r="C252" s="310" t="s">
        <v>1203</v>
      </c>
      <c r="D252" s="182" t="s">
        <v>5</v>
      </c>
      <c r="E252" s="176" t="s">
        <v>6</v>
      </c>
      <c r="F252" s="282">
        <v>1.65</v>
      </c>
      <c r="G252" s="283">
        <f>VLOOKUP(D252,upahbahan,3,FALSE)</f>
        <v>100000</v>
      </c>
      <c r="H252" s="284">
        <f>F252*G252</f>
        <v>165000</v>
      </c>
      <c r="I252" s="119"/>
      <c r="K252" s="119"/>
      <c r="L252" s="119"/>
      <c r="M252" s="1415"/>
      <c r="P252" s="333"/>
    </row>
    <row r="253" spans="3:16" s="280" customFormat="1" ht="21.6" customHeight="1">
      <c r="C253" s="310" t="s">
        <v>1204</v>
      </c>
      <c r="D253" s="182" t="s">
        <v>7</v>
      </c>
      <c r="E253" s="176" t="s">
        <v>6</v>
      </c>
      <c r="F253" s="282">
        <v>0.27500000000000002</v>
      </c>
      <c r="G253" s="283">
        <f>VLOOKUP(D253,upahbahan,3,FALSE)</f>
        <v>135000</v>
      </c>
      <c r="H253" s="284">
        <f>F253*G253</f>
        <v>37125</v>
      </c>
      <c r="I253" s="119"/>
      <c r="K253" s="119"/>
      <c r="L253" s="119"/>
      <c r="M253" s="1415"/>
      <c r="P253" s="333"/>
    </row>
    <row r="254" spans="3:16" s="280" customFormat="1" ht="21.6" customHeight="1">
      <c r="C254" s="310" t="s">
        <v>1205</v>
      </c>
      <c r="D254" s="182" t="s">
        <v>1310</v>
      </c>
      <c r="E254" s="176" t="s">
        <v>6</v>
      </c>
      <c r="F254" s="282">
        <v>2.8000000000000001E-2</v>
      </c>
      <c r="G254" s="283">
        <f>VLOOKUP(D254,upahbahan,3,FALSE)</f>
        <v>150000</v>
      </c>
      <c r="H254" s="284">
        <f>F254*G254</f>
        <v>4200</v>
      </c>
      <c r="I254" s="119"/>
      <c r="K254" s="119"/>
      <c r="L254" s="119"/>
      <c r="M254" s="1415"/>
      <c r="P254" s="333"/>
    </row>
    <row r="255" spans="3:16" s="280" customFormat="1" ht="21.6" customHeight="1">
      <c r="C255" s="310" t="s">
        <v>1206</v>
      </c>
      <c r="D255" s="182" t="s">
        <v>19</v>
      </c>
      <c r="E255" s="176" t="s">
        <v>6</v>
      </c>
      <c r="F255" s="282">
        <v>8.9999999999999993E-3</v>
      </c>
      <c r="G255" s="283">
        <f>VLOOKUP(D255,upahbahan,3,FALSE)</f>
        <v>160000</v>
      </c>
      <c r="H255" s="284">
        <f>F255*G255</f>
        <v>1440</v>
      </c>
      <c r="I255" s="119"/>
      <c r="K255" s="119"/>
      <c r="L255" s="119"/>
      <c r="M255" s="1415"/>
      <c r="P255" s="333"/>
    </row>
    <row r="256" spans="3:16" s="280" customFormat="1" ht="21.6" customHeight="1">
      <c r="C256" s="66" t="s">
        <v>1208</v>
      </c>
      <c r="D256" s="67"/>
      <c r="E256" s="67"/>
      <c r="F256" s="68"/>
      <c r="G256" s="69"/>
      <c r="H256" s="284">
        <f>SUM(H252:H255)</f>
        <v>207765</v>
      </c>
      <c r="I256" s="119"/>
      <c r="K256" s="119"/>
      <c r="L256" s="119"/>
      <c r="M256" s="1415"/>
    </row>
    <row r="257" spans="3:16" s="280" customFormat="1" ht="21.6" customHeight="1">
      <c r="C257" s="290" t="s">
        <v>1209</v>
      </c>
      <c r="D257" s="182" t="s">
        <v>1210</v>
      </c>
      <c r="E257" s="70"/>
      <c r="F257" s="70"/>
      <c r="G257" s="70"/>
      <c r="H257" s="71"/>
      <c r="I257" s="119"/>
      <c r="K257" s="119"/>
      <c r="L257" s="119"/>
      <c r="M257" s="1415"/>
    </row>
    <row r="258" spans="3:16" s="280" customFormat="1" ht="21.6" customHeight="1">
      <c r="C258" s="306" t="s">
        <v>1203</v>
      </c>
      <c r="D258" s="182" t="s">
        <v>1796</v>
      </c>
      <c r="E258" s="124" t="s">
        <v>65</v>
      </c>
      <c r="F258" s="127">
        <v>348</v>
      </c>
      <c r="G258" s="283">
        <f>VLOOKUP(D258,upahbahan,3,FALSE)</f>
        <v>1530</v>
      </c>
      <c r="H258" s="284">
        <f>F258*G258</f>
        <v>532440</v>
      </c>
      <c r="I258" s="119"/>
      <c r="K258" s="119"/>
      <c r="L258" s="119"/>
      <c r="M258" s="1415"/>
    </row>
    <row r="259" spans="3:16" s="280" customFormat="1" ht="21.6" customHeight="1">
      <c r="C259" s="306" t="s">
        <v>1204</v>
      </c>
      <c r="D259" s="182" t="s">
        <v>79</v>
      </c>
      <c r="E259" s="124" t="s">
        <v>65</v>
      </c>
      <c r="F259" s="127">
        <v>790</v>
      </c>
      <c r="G259" s="283">
        <f>VLOOKUP(D259,upahbahan,3,FALSE)</f>
        <v>221.78700000000001</v>
      </c>
      <c r="H259" s="284">
        <f>F259*G259</f>
        <v>175211.73</v>
      </c>
      <c r="I259" s="119"/>
      <c r="K259" s="119"/>
      <c r="L259" s="119"/>
      <c r="M259" s="1415"/>
    </row>
    <row r="260" spans="3:16" s="280" customFormat="1" ht="21.6" customHeight="1">
      <c r="C260" s="306" t="s">
        <v>1205</v>
      </c>
      <c r="D260" s="182" t="s">
        <v>72</v>
      </c>
      <c r="E260" s="124" t="s">
        <v>65</v>
      </c>
      <c r="F260" s="127">
        <v>1009</v>
      </c>
      <c r="G260" s="283">
        <f>VLOOKUP(D260,upahbahan,3,FALSE)/1350</f>
        <v>216.66666666666666</v>
      </c>
      <c r="H260" s="284">
        <f>F260*G260</f>
        <v>218616.66666666666</v>
      </c>
      <c r="I260" s="119"/>
      <c r="K260" s="119"/>
      <c r="L260" s="119"/>
      <c r="M260" s="1415"/>
    </row>
    <row r="261" spans="3:16" s="280" customFormat="1" ht="21.6" customHeight="1">
      <c r="C261" s="306" t="s">
        <v>1206</v>
      </c>
      <c r="D261" s="182" t="s">
        <v>960</v>
      </c>
      <c r="E261" s="124" t="s">
        <v>529</v>
      </c>
      <c r="F261" s="127">
        <v>202</v>
      </c>
      <c r="G261" s="283">
        <f>VLOOKUP(D261,upahbahan,3,FALSE)</f>
        <v>200</v>
      </c>
      <c r="H261" s="284">
        <f>F261*G261</f>
        <v>40400</v>
      </c>
      <c r="I261" s="119"/>
      <c r="K261" s="119"/>
      <c r="L261" s="119"/>
      <c r="M261" s="1415"/>
    </row>
    <row r="262" spans="3:16" s="280" customFormat="1" ht="21.6" customHeight="1">
      <c r="C262" s="66" t="s">
        <v>1214</v>
      </c>
      <c r="D262" s="67"/>
      <c r="E262" s="67"/>
      <c r="F262" s="67"/>
      <c r="G262" s="69"/>
      <c r="H262" s="284">
        <f>SUM(H258:H261)</f>
        <v>966668.39666666661</v>
      </c>
      <c r="I262" s="119"/>
      <c r="K262" s="119"/>
      <c r="L262" s="119"/>
      <c r="M262" s="1415"/>
    </row>
    <row r="263" spans="3:16" s="280" customFormat="1" ht="21.6" customHeight="1">
      <c r="C263" s="290" t="s">
        <v>1215</v>
      </c>
      <c r="D263" s="182" t="s">
        <v>1216</v>
      </c>
      <c r="E263" s="70"/>
      <c r="F263" s="70"/>
      <c r="G263" s="70"/>
      <c r="H263" s="105"/>
      <c r="I263" s="119"/>
      <c r="K263" s="119"/>
      <c r="L263" s="119"/>
      <c r="M263" s="1415"/>
    </row>
    <row r="264" spans="3:16" s="280" customFormat="1" ht="21.6" customHeight="1">
      <c r="C264" s="66" t="s">
        <v>1217</v>
      </c>
      <c r="D264" s="67"/>
      <c r="E264" s="67"/>
      <c r="F264" s="67"/>
      <c r="G264" s="69"/>
      <c r="H264" s="292">
        <v>0</v>
      </c>
      <c r="I264" s="119"/>
      <c r="K264" s="119"/>
      <c r="L264" s="119"/>
      <c r="M264" s="1415"/>
    </row>
    <row r="265" spans="3:16" s="297" customFormat="1" ht="21.6" customHeight="1">
      <c r="C265" s="293" t="s">
        <v>1218</v>
      </c>
      <c r="D265" s="294" t="s">
        <v>1219</v>
      </c>
      <c r="E265" s="295"/>
      <c r="F265" s="295"/>
      <c r="G265" s="296"/>
      <c r="H265" s="284">
        <f>H264+H262+H256</f>
        <v>1174433.3966666665</v>
      </c>
      <c r="I265" s="119"/>
      <c r="K265" s="119"/>
      <c r="L265" s="119"/>
      <c r="M265" s="1130"/>
    </row>
    <row r="266" spans="3:16" s="297" customFormat="1" ht="21.6" customHeight="1">
      <c r="C266" s="293" t="s">
        <v>1220</v>
      </c>
      <c r="D266" s="294" t="s">
        <v>1321</v>
      </c>
      <c r="E266" s="295"/>
      <c r="F266" s="296"/>
      <c r="G266" s="298">
        <f>$D$4</f>
        <v>0.1</v>
      </c>
      <c r="H266" s="284">
        <f>H265*G266</f>
        <v>117443.33966666665</v>
      </c>
      <c r="I266" s="119"/>
      <c r="K266" s="119"/>
      <c r="L266" s="119"/>
      <c r="M266" s="1130"/>
    </row>
    <row r="267" spans="3:16" s="297" customFormat="1" ht="21.6" customHeight="1" thickBot="1">
      <c r="C267" s="299" t="s">
        <v>1221</v>
      </c>
      <c r="D267" s="300" t="s">
        <v>1222</v>
      </c>
      <c r="E267" s="301"/>
      <c r="F267" s="301"/>
      <c r="G267" s="302"/>
      <c r="H267" s="303">
        <f>SUM(H265:H266)</f>
        <v>1291876.7363333332</v>
      </c>
      <c r="I267" s="119">
        <f>0.204*H267</f>
        <v>263542.85421199998</v>
      </c>
      <c r="K267" s="119"/>
      <c r="L267" s="119"/>
      <c r="M267" s="1130"/>
    </row>
    <row r="268" spans="3:16" ht="13.8" thickTop="1">
      <c r="L268"/>
      <c r="M268" s="1406"/>
    </row>
    <row r="269" spans="3:16" s="280" customFormat="1" ht="14.4" thickBot="1">
      <c r="C269" s="119" t="s">
        <v>2331</v>
      </c>
      <c r="D269" s="47" t="s">
        <v>1317</v>
      </c>
      <c r="E269" s="47"/>
      <c r="F269" s="47"/>
      <c r="G269" s="47"/>
      <c r="H269" s="47"/>
      <c r="K269" s="120">
        <f>ROUNDDOWN(H292,-2)</f>
        <v>105800</v>
      </c>
      <c r="L269" s="120"/>
      <c r="M269" s="1415"/>
      <c r="P269" s="333"/>
    </row>
    <row r="270" spans="3:16" s="289" customFormat="1" ht="31.65" customHeight="1" thickTop="1">
      <c r="C270" s="51" t="s">
        <v>1195</v>
      </c>
      <c r="D270" s="52" t="s">
        <v>1196</v>
      </c>
      <c r="E270" s="52" t="s">
        <v>1197</v>
      </c>
      <c r="F270" s="52" t="s">
        <v>1198</v>
      </c>
      <c r="G270" s="52" t="s">
        <v>1199</v>
      </c>
      <c r="H270" s="53" t="s">
        <v>1200</v>
      </c>
      <c r="I270" s="126"/>
      <c r="K270" s="126"/>
      <c r="L270" s="126"/>
      <c r="M270" s="1416"/>
      <c r="P270" s="333"/>
    </row>
    <row r="271" spans="3:16" s="280" customFormat="1" ht="24.6" customHeight="1">
      <c r="C271" s="290" t="s">
        <v>1201</v>
      </c>
      <c r="D271" s="182" t="s">
        <v>1202</v>
      </c>
      <c r="E271" s="70"/>
      <c r="F271" s="70"/>
      <c r="G271" s="70"/>
      <c r="H271" s="71"/>
      <c r="I271" s="119"/>
      <c r="K271" s="119"/>
      <c r="L271" s="119"/>
      <c r="M271" s="1415"/>
      <c r="P271" s="333"/>
    </row>
    <row r="272" spans="3:16" s="280" customFormat="1" ht="24.6" customHeight="1">
      <c r="C272" s="310" t="s">
        <v>1203</v>
      </c>
      <c r="D272" s="182" t="s">
        <v>5</v>
      </c>
      <c r="E272" s="176" t="s">
        <v>6</v>
      </c>
      <c r="F272" s="282">
        <v>0.18</v>
      </c>
      <c r="G272" s="283">
        <f t="shared" ref="G272:G277" si="3">VLOOKUP(D272,upahbahan,3,FALSE)</f>
        <v>100000</v>
      </c>
      <c r="H272" s="284">
        <f t="shared" ref="H272:H275" si="4">F272*G272</f>
        <v>18000</v>
      </c>
      <c r="I272" s="119"/>
      <c r="K272" s="119"/>
      <c r="L272" s="119"/>
      <c r="M272" s="1415"/>
      <c r="P272" s="333"/>
    </row>
    <row r="273" spans="3:16" s="280" customFormat="1" ht="24.6" customHeight="1">
      <c r="C273" s="310" t="s">
        <v>1204</v>
      </c>
      <c r="D273" s="182" t="s">
        <v>7</v>
      </c>
      <c r="E273" s="176" t="s">
        <v>6</v>
      </c>
      <c r="F273" s="282">
        <v>0.02</v>
      </c>
      <c r="G273" s="283">
        <f t="shared" si="3"/>
        <v>135000</v>
      </c>
      <c r="H273" s="284">
        <f t="shared" si="4"/>
        <v>2700</v>
      </c>
      <c r="I273" s="119"/>
      <c r="K273" s="119"/>
      <c r="L273" s="119"/>
      <c r="M273" s="1415"/>
      <c r="P273" s="333"/>
    </row>
    <row r="274" spans="3:16" s="280" customFormat="1" ht="24.6" customHeight="1">
      <c r="C274" s="310" t="s">
        <v>1205</v>
      </c>
      <c r="D274" s="182" t="s">
        <v>8</v>
      </c>
      <c r="E274" s="176" t="s">
        <v>6</v>
      </c>
      <c r="F274" s="282">
        <v>0.02</v>
      </c>
      <c r="G274" s="283">
        <f t="shared" si="3"/>
        <v>135000</v>
      </c>
      <c r="H274" s="284">
        <f t="shared" si="4"/>
        <v>2700</v>
      </c>
      <c r="I274" s="119"/>
      <c r="K274" s="119"/>
      <c r="L274" s="119"/>
      <c r="M274" s="1415"/>
      <c r="P274" s="333"/>
    </row>
    <row r="275" spans="3:16" s="280" customFormat="1" ht="24.6" customHeight="1">
      <c r="C275" s="310" t="s">
        <v>1206</v>
      </c>
      <c r="D275" s="182" t="s">
        <v>9</v>
      </c>
      <c r="E275" s="176" t="s">
        <v>6</v>
      </c>
      <c r="F275" s="282">
        <v>0.02</v>
      </c>
      <c r="G275" s="283">
        <f t="shared" si="3"/>
        <v>135000</v>
      </c>
      <c r="H275" s="284">
        <f t="shared" si="4"/>
        <v>2700</v>
      </c>
      <c r="I275" s="119"/>
      <c r="K275" s="119"/>
      <c r="L275" s="119"/>
      <c r="M275" s="1415"/>
      <c r="P275" s="333"/>
    </row>
    <row r="276" spans="3:16" s="280" customFormat="1" ht="24.6" customHeight="1">
      <c r="C276" s="310" t="s">
        <v>1207</v>
      </c>
      <c r="D276" s="182" t="s">
        <v>18</v>
      </c>
      <c r="E276" s="176" t="s">
        <v>6</v>
      </c>
      <c r="F276" s="282">
        <v>6.0000000000000001E-3</v>
      </c>
      <c r="G276" s="283">
        <f t="shared" si="3"/>
        <v>150000</v>
      </c>
      <c r="H276" s="284">
        <f>F276*G276</f>
        <v>900</v>
      </c>
      <c r="I276" s="119"/>
      <c r="K276" s="119"/>
      <c r="L276" s="119"/>
      <c r="M276" s="1415"/>
      <c r="P276" s="333"/>
    </row>
    <row r="277" spans="3:16" s="280" customFormat="1" ht="24.6" customHeight="1">
      <c r="C277" s="310" t="s">
        <v>1211</v>
      </c>
      <c r="D277" s="182" t="s">
        <v>19</v>
      </c>
      <c r="E277" s="176" t="s">
        <v>6</v>
      </c>
      <c r="F277" s="282">
        <v>2E-3</v>
      </c>
      <c r="G277" s="283">
        <f t="shared" si="3"/>
        <v>160000</v>
      </c>
      <c r="H277" s="284">
        <f>F277*G277</f>
        <v>320</v>
      </c>
      <c r="I277" s="119"/>
      <c r="K277" s="119"/>
      <c r="L277" s="119"/>
      <c r="M277" s="1415"/>
      <c r="P277" s="333"/>
    </row>
    <row r="278" spans="3:16" s="280" customFormat="1" ht="24.6" customHeight="1">
      <c r="C278" s="66" t="s">
        <v>1208</v>
      </c>
      <c r="D278" s="67"/>
      <c r="E278" s="67"/>
      <c r="F278" s="68"/>
      <c r="G278" s="69"/>
      <c r="H278" s="284">
        <f>SUM(H272:H277)</f>
        <v>27320</v>
      </c>
      <c r="I278" s="119"/>
      <c r="K278" s="119"/>
      <c r="L278" s="119"/>
      <c r="M278" s="1415"/>
    </row>
    <row r="279" spans="3:16" s="280" customFormat="1" ht="24.6" customHeight="1">
      <c r="C279" s="290" t="s">
        <v>1209</v>
      </c>
      <c r="D279" s="182" t="s">
        <v>1210</v>
      </c>
      <c r="E279" s="70"/>
      <c r="F279" s="336"/>
      <c r="G279" s="70"/>
      <c r="H279" s="71"/>
      <c r="I279" s="119"/>
      <c r="K279" s="119"/>
      <c r="L279" s="119"/>
      <c r="M279" s="1415"/>
    </row>
    <row r="280" spans="3:16" s="280" customFormat="1" ht="24.6" customHeight="1">
      <c r="C280" s="306" t="s">
        <v>1203</v>
      </c>
      <c r="D280" s="182" t="s">
        <v>124</v>
      </c>
      <c r="E280" s="124" t="s">
        <v>42</v>
      </c>
      <c r="F280" s="127">
        <v>2E-3</v>
      </c>
      <c r="G280" s="283">
        <f t="shared" ref="G280:G286" si="5">VLOOKUP(D280,upahbahan,3,FALSE)</f>
        <v>3150000</v>
      </c>
      <c r="H280" s="284">
        <f>F280*G280</f>
        <v>6300</v>
      </c>
      <c r="I280" s="119"/>
      <c r="K280" s="119"/>
      <c r="L280" s="119"/>
      <c r="M280" s="1415"/>
    </row>
    <row r="281" spans="3:16" s="280" customFormat="1" ht="24.6" customHeight="1">
      <c r="C281" s="306" t="s">
        <v>1204</v>
      </c>
      <c r="D281" s="182" t="s">
        <v>260</v>
      </c>
      <c r="E281" s="124" t="s">
        <v>65</v>
      </c>
      <c r="F281" s="127">
        <v>0.01</v>
      </c>
      <c r="G281" s="283">
        <f t="shared" si="5"/>
        <v>33901.875</v>
      </c>
      <c r="H281" s="284">
        <f t="shared" ref="H281:H286" si="6">F281*G281</f>
        <v>339.01875000000001</v>
      </c>
      <c r="I281" s="119"/>
      <c r="K281" s="119"/>
      <c r="L281" s="119"/>
      <c r="M281" s="1415"/>
    </row>
    <row r="282" spans="3:16" s="280" customFormat="1" ht="24.6" customHeight="1">
      <c r="C282" s="306" t="s">
        <v>1205</v>
      </c>
      <c r="D282" s="182" t="s">
        <v>232</v>
      </c>
      <c r="E282" s="124" t="s">
        <v>65</v>
      </c>
      <c r="F282" s="127">
        <v>3</v>
      </c>
      <c r="G282" s="283">
        <f t="shared" si="5"/>
        <v>13050</v>
      </c>
      <c r="H282" s="284">
        <f t="shared" si="6"/>
        <v>39150</v>
      </c>
      <c r="I282" s="119"/>
      <c r="K282" s="119"/>
      <c r="L282" s="119"/>
      <c r="M282" s="1415"/>
    </row>
    <row r="283" spans="3:16" s="280" customFormat="1" ht="24.6" customHeight="1">
      <c r="C283" s="306" t="s">
        <v>1206</v>
      </c>
      <c r="D283" s="182" t="s">
        <v>251</v>
      </c>
      <c r="E283" s="124" t="s">
        <v>65</v>
      </c>
      <c r="F283" s="127">
        <v>0.45</v>
      </c>
      <c r="G283" s="283">
        <f t="shared" si="5"/>
        <v>27720</v>
      </c>
      <c r="H283" s="284">
        <f t="shared" si="6"/>
        <v>12474</v>
      </c>
      <c r="I283" s="119"/>
      <c r="K283" s="119"/>
      <c r="L283" s="119"/>
      <c r="M283" s="1415"/>
    </row>
    <row r="284" spans="3:16" s="280" customFormat="1" ht="24.6" customHeight="1">
      <c r="C284" s="306" t="s">
        <v>1207</v>
      </c>
      <c r="D284" s="182" t="s">
        <v>2332</v>
      </c>
      <c r="E284" s="124" t="s">
        <v>65</v>
      </c>
      <c r="F284" s="127">
        <v>4</v>
      </c>
      <c r="G284" s="283">
        <f t="shared" si="5"/>
        <v>1530</v>
      </c>
      <c r="H284" s="284">
        <f t="shared" si="6"/>
        <v>6120</v>
      </c>
      <c r="I284" s="119"/>
      <c r="K284" s="119"/>
      <c r="L284" s="119"/>
      <c r="M284" s="1415"/>
    </row>
    <row r="285" spans="3:16" s="280" customFormat="1" ht="24.6" customHeight="1">
      <c r="C285" s="306" t="s">
        <v>1211</v>
      </c>
      <c r="D285" s="182" t="s">
        <v>82</v>
      </c>
      <c r="E285" s="124" t="s">
        <v>42</v>
      </c>
      <c r="F285" s="127">
        <v>6.0000000000000001E-3</v>
      </c>
      <c r="G285" s="283">
        <f t="shared" si="5"/>
        <v>310500</v>
      </c>
      <c r="H285" s="284">
        <f t="shared" si="6"/>
        <v>1863</v>
      </c>
      <c r="I285" s="119"/>
      <c r="K285" s="119"/>
      <c r="L285" s="119"/>
      <c r="M285" s="1415"/>
    </row>
    <row r="286" spans="3:16" s="280" customFormat="1" ht="24.6" customHeight="1">
      <c r="C286" s="306" t="s">
        <v>1212</v>
      </c>
      <c r="D286" s="182" t="s">
        <v>71</v>
      </c>
      <c r="E286" s="124" t="s">
        <v>42</v>
      </c>
      <c r="F286" s="127">
        <v>8.9999999999999993E-3</v>
      </c>
      <c r="G286" s="283">
        <f t="shared" si="5"/>
        <v>292500</v>
      </c>
      <c r="H286" s="284">
        <f t="shared" si="6"/>
        <v>2632.5</v>
      </c>
      <c r="I286" s="119"/>
      <c r="K286" s="119"/>
      <c r="L286" s="119"/>
      <c r="M286" s="1415"/>
    </row>
    <row r="287" spans="3:16" s="280" customFormat="1" ht="24.6" customHeight="1">
      <c r="C287" s="66" t="s">
        <v>1214</v>
      </c>
      <c r="D287" s="67"/>
      <c r="E287" s="67"/>
      <c r="F287" s="68"/>
      <c r="G287" s="69"/>
      <c r="H287" s="284">
        <f>SUM(H280:H286)</f>
        <v>68878.518750000003</v>
      </c>
      <c r="I287" s="119"/>
      <c r="K287" s="119"/>
      <c r="L287" s="119"/>
      <c r="M287" s="1415"/>
    </row>
    <row r="288" spans="3:16" s="280" customFormat="1" ht="24.6" customHeight="1">
      <c r="C288" s="290" t="s">
        <v>1215</v>
      </c>
      <c r="D288" s="182" t="s">
        <v>1216</v>
      </c>
      <c r="E288" s="70"/>
      <c r="F288" s="336"/>
      <c r="G288" s="70"/>
      <c r="H288" s="105"/>
      <c r="I288" s="119"/>
      <c r="K288" s="119"/>
      <c r="L288" s="119"/>
      <c r="M288" s="1415"/>
    </row>
    <row r="289" spans="3:16" s="280" customFormat="1" ht="24.6" customHeight="1">
      <c r="C289" s="66" t="s">
        <v>1217</v>
      </c>
      <c r="D289" s="67"/>
      <c r="E289" s="67"/>
      <c r="F289" s="67"/>
      <c r="G289" s="69"/>
      <c r="H289" s="313">
        <v>0</v>
      </c>
      <c r="I289" s="119"/>
      <c r="K289" s="119"/>
      <c r="L289" s="119"/>
      <c r="M289" s="1415"/>
    </row>
    <row r="290" spans="3:16" s="297" customFormat="1" ht="24.6" customHeight="1">
      <c r="C290" s="293" t="s">
        <v>1218</v>
      </c>
      <c r="D290" s="294" t="s">
        <v>1219</v>
      </c>
      <c r="E290" s="295"/>
      <c r="F290" s="295"/>
      <c r="G290" s="296"/>
      <c r="H290" s="284">
        <f>H289+H287+H278</f>
        <v>96198.518750000003</v>
      </c>
      <c r="I290" s="119"/>
      <c r="K290" s="119"/>
      <c r="L290" s="119"/>
      <c r="M290" s="1130"/>
    </row>
    <row r="291" spans="3:16" s="297" customFormat="1" ht="24.6" customHeight="1">
      <c r="C291" s="293" t="s">
        <v>1220</v>
      </c>
      <c r="D291" s="294" t="s">
        <v>1321</v>
      </c>
      <c r="E291" s="295"/>
      <c r="F291" s="296"/>
      <c r="G291" s="298">
        <f>$D$4</f>
        <v>0.1</v>
      </c>
      <c r="H291" s="284">
        <f>H290*G291</f>
        <v>9619.8518750000003</v>
      </c>
      <c r="I291" s="119"/>
      <c r="K291" s="119"/>
      <c r="L291" s="119"/>
      <c r="M291" s="1130"/>
    </row>
    <row r="292" spans="3:16" s="297" customFormat="1" ht="24.6" customHeight="1" thickBot="1">
      <c r="C292" s="299" t="s">
        <v>1221</v>
      </c>
      <c r="D292" s="300" t="s">
        <v>1222</v>
      </c>
      <c r="E292" s="301"/>
      <c r="F292" s="301"/>
      <c r="G292" s="302"/>
      <c r="H292" s="303">
        <f>SUM(H290:H291)</f>
        <v>105818.37062500001</v>
      </c>
      <c r="I292" s="119"/>
      <c r="K292" s="119"/>
      <c r="L292" s="119"/>
      <c r="M292" s="1130"/>
    </row>
    <row r="293" spans="3:16" s="280" customFormat="1" ht="14.4" thickTop="1">
      <c r="C293" s="289"/>
      <c r="I293" s="119"/>
      <c r="K293" s="119"/>
      <c r="L293" s="119"/>
      <c r="M293" s="1415"/>
    </row>
    <row r="294" spans="3:16" s="280" customFormat="1" ht="14.4" thickBot="1">
      <c r="C294" s="119" t="s">
        <v>2333</v>
      </c>
      <c r="D294" s="47" t="s">
        <v>1318</v>
      </c>
      <c r="E294" s="47"/>
      <c r="F294" s="47"/>
      <c r="G294" s="47"/>
      <c r="H294" s="47"/>
      <c r="K294" s="120">
        <f>ROUNDDOWN(H318,-2)</f>
        <v>147800</v>
      </c>
      <c r="L294" s="120"/>
      <c r="M294" s="1415"/>
      <c r="P294" s="333"/>
    </row>
    <row r="295" spans="3:16" s="289" customFormat="1" ht="31.65" customHeight="1" thickTop="1">
      <c r="C295" s="51" t="s">
        <v>1195</v>
      </c>
      <c r="D295" s="52" t="s">
        <v>1196</v>
      </c>
      <c r="E295" s="52" t="s">
        <v>1197</v>
      </c>
      <c r="F295" s="52" t="s">
        <v>1198</v>
      </c>
      <c r="G295" s="52" t="s">
        <v>1199</v>
      </c>
      <c r="H295" s="53" t="s">
        <v>1200</v>
      </c>
      <c r="I295" s="126"/>
      <c r="K295" s="126"/>
      <c r="L295" s="126"/>
      <c r="M295" s="1416"/>
      <c r="P295" s="333"/>
    </row>
    <row r="296" spans="3:16" s="280" customFormat="1" ht="24" customHeight="1">
      <c r="C296" s="290" t="s">
        <v>1201</v>
      </c>
      <c r="D296" s="182" t="s">
        <v>1202</v>
      </c>
      <c r="E296" s="70"/>
      <c r="F296" s="70"/>
      <c r="G296" s="70"/>
      <c r="H296" s="71"/>
      <c r="I296" s="119"/>
      <c r="K296" s="119"/>
      <c r="L296" s="119"/>
      <c r="M296" s="1415"/>
      <c r="P296" s="333"/>
    </row>
    <row r="297" spans="3:16" s="280" customFormat="1" ht="24" customHeight="1">
      <c r="C297" s="310" t="s">
        <v>1203</v>
      </c>
      <c r="D297" s="182" t="s">
        <v>5</v>
      </c>
      <c r="E297" s="176" t="s">
        <v>6</v>
      </c>
      <c r="F297" s="282">
        <v>0.29699999999999999</v>
      </c>
      <c r="G297" s="283">
        <f t="shared" ref="G297:G302" si="7">VLOOKUP(D297,upahbahan,3,FALSE)</f>
        <v>100000</v>
      </c>
      <c r="H297" s="284">
        <f t="shared" ref="H297:H302" si="8">F297*G297</f>
        <v>29700</v>
      </c>
      <c r="I297" s="119"/>
      <c r="K297" s="119"/>
      <c r="L297" s="119"/>
      <c r="M297" s="1415"/>
      <c r="P297" s="333"/>
    </row>
    <row r="298" spans="3:16" s="280" customFormat="1" ht="24" customHeight="1">
      <c r="C298" s="310" t="s">
        <v>1204</v>
      </c>
      <c r="D298" s="182" t="s">
        <v>7</v>
      </c>
      <c r="E298" s="176" t="s">
        <v>6</v>
      </c>
      <c r="F298" s="282">
        <v>3.3000000000000002E-2</v>
      </c>
      <c r="G298" s="283">
        <f t="shared" si="7"/>
        <v>135000</v>
      </c>
      <c r="H298" s="284">
        <f t="shared" si="8"/>
        <v>4455</v>
      </c>
      <c r="I298" s="119"/>
      <c r="K298" s="119"/>
      <c r="L298" s="119"/>
      <c r="M298" s="1415"/>
      <c r="P298" s="333"/>
    </row>
    <row r="299" spans="3:16" s="280" customFormat="1" ht="24" customHeight="1">
      <c r="C299" s="310" t="s">
        <v>1205</v>
      </c>
      <c r="D299" s="182" t="s">
        <v>8</v>
      </c>
      <c r="E299" s="176" t="s">
        <v>6</v>
      </c>
      <c r="F299" s="282">
        <v>3.3000000000000002E-2</v>
      </c>
      <c r="G299" s="283">
        <f t="shared" si="7"/>
        <v>135000</v>
      </c>
      <c r="H299" s="284">
        <f t="shared" si="8"/>
        <v>4455</v>
      </c>
      <c r="I299" s="119"/>
      <c r="K299" s="119"/>
      <c r="L299" s="119"/>
      <c r="M299" s="1415"/>
      <c r="P299" s="333"/>
    </row>
    <row r="300" spans="3:16" s="280" customFormat="1" ht="24" customHeight="1">
      <c r="C300" s="310" t="s">
        <v>1206</v>
      </c>
      <c r="D300" s="182" t="s">
        <v>9</v>
      </c>
      <c r="E300" s="176" t="s">
        <v>6</v>
      </c>
      <c r="F300" s="282">
        <v>3.3000000000000002E-2</v>
      </c>
      <c r="G300" s="283">
        <f t="shared" si="7"/>
        <v>135000</v>
      </c>
      <c r="H300" s="284">
        <f t="shared" si="8"/>
        <v>4455</v>
      </c>
      <c r="I300" s="119"/>
      <c r="K300" s="119"/>
      <c r="L300" s="119"/>
      <c r="M300" s="1415"/>
      <c r="P300" s="333"/>
    </row>
    <row r="301" spans="3:16" s="280" customFormat="1" ht="24" customHeight="1">
      <c r="C301" s="310" t="s">
        <v>1207</v>
      </c>
      <c r="D301" s="182" t="s">
        <v>18</v>
      </c>
      <c r="E301" s="176" t="s">
        <v>6</v>
      </c>
      <c r="F301" s="282">
        <v>0.01</v>
      </c>
      <c r="G301" s="283">
        <f t="shared" si="7"/>
        <v>150000</v>
      </c>
      <c r="H301" s="284">
        <f t="shared" si="8"/>
        <v>1500</v>
      </c>
      <c r="I301" s="119"/>
      <c r="K301" s="119"/>
      <c r="L301" s="119"/>
      <c r="M301" s="1415"/>
      <c r="P301" s="333"/>
    </row>
    <row r="302" spans="3:16" s="280" customFormat="1" ht="24" customHeight="1">
      <c r="C302" s="310" t="s">
        <v>1211</v>
      </c>
      <c r="D302" s="182" t="s">
        <v>19</v>
      </c>
      <c r="E302" s="176" t="s">
        <v>6</v>
      </c>
      <c r="F302" s="282">
        <v>3.0000000000000001E-3</v>
      </c>
      <c r="G302" s="283">
        <f t="shared" si="7"/>
        <v>160000</v>
      </c>
      <c r="H302" s="284">
        <f t="shared" si="8"/>
        <v>480</v>
      </c>
      <c r="I302" s="119"/>
      <c r="K302" s="119"/>
      <c r="L302" s="119"/>
      <c r="M302" s="1415"/>
      <c r="P302" s="333"/>
    </row>
    <row r="303" spans="3:16" s="280" customFormat="1" ht="24" customHeight="1">
      <c r="C303" s="66" t="s">
        <v>1208</v>
      </c>
      <c r="D303" s="67"/>
      <c r="E303" s="67"/>
      <c r="F303" s="68"/>
      <c r="G303" s="69"/>
      <c r="H303" s="284">
        <f>SUM(H297:H302)</f>
        <v>45045</v>
      </c>
      <c r="I303" s="119"/>
      <c r="K303" s="119"/>
      <c r="L303" s="119"/>
      <c r="M303" s="1415"/>
    </row>
    <row r="304" spans="3:16" s="280" customFormat="1" ht="24" customHeight="1">
      <c r="C304" s="290" t="s">
        <v>1209</v>
      </c>
      <c r="D304" s="182" t="s">
        <v>1210</v>
      </c>
      <c r="E304" s="70"/>
      <c r="F304" s="336"/>
      <c r="G304" s="70"/>
      <c r="H304" s="71"/>
      <c r="I304" s="119"/>
      <c r="K304" s="119"/>
      <c r="L304" s="119"/>
      <c r="M304" s="1415"/>
    </row>
    <row r="305" spans="3:13" s="280" customFormat="1" ht="24" customHeight="1">
      <c r="C305" s="306" t="s">
        <v>1203</v>
      </c>
      <c r="D305" s="182" t="s">
        <v>124</v>
      </c>
      <c r="E305" s="124" t="s">
        <v>42</v>
      </c>
      <c r="F305" s="127">
        <v>3.0000000000000001E-3</v>
      </c>
      <c r="G305" s="283">
        <f t="shared" ref="G305:G312" si="9">VLOOKUP(D305,upahbahan,3,FALSE)</f>
        <v>3150000</v>
      </c>
      <c r="H305" s="284">
        <f t="shared" ref="H305:H312" si="10">F305*G305</f>
        <v>9450</v>
      </c>
      <c r="I305" s="119"/>
      <c r="K305" s="119"/>
      <c r="L305" s="119"/>
      <c r="M305" s="1415"/>
    </row>
    <row r="306" spans="3:13" s="280" customFormat="1" ht="24" customHeight="1">
      <c r="C306" s="306" t="s">
        <v>1204</v>
      </c>
      <c r="D306" s="182" t="s">
        <v>260</v>
      </c>
      <c r="E306" s="124" t="s">
        <v>65</v>
      </c>
      <c r="F306" s="127">
        <v>0.02</v>
      </c>
      <c r="G306" s="283">
        <f t="shared" si="9"/>
        <v>33901.875</v>
      </c>
      <c r="H306" s="284">
        <f t="shared" si="10"/>
        <v>678.03750000000002</v>
      </c>
      <c r="I306" s="119"/>
      <c r="K306" s="119"/>
      <c r="L306" s="119"/>
      <c r="M306" s="1415"/>
    </row>
    <row r="307" spans="3:13" s="280" customFormat="1" ht="24" customHeight="1">
      <c r="C307" s="306" t="s">
        <v>1205</v>
      </c>
      <c r="D307" s="182" t="s">
        <v>755</v>
      </c>
      <c r="E307" s="124" t="s">
        <v>529</v>
      </c>
      <c r="F307" s="127">
        <v>0.2</v>
      </c>
      <c r="G307" s="283">
        <f t="shared" si="9"/>
        <v>76500</v>
      </c>
      <c r="H307" s="284">
        <f t="shared" si="10"/>
        <v>15300</v>
      </c>
      <c r="I307" s="119"/>
      <c r="K307" s="119"/>
      <c r="L307" s="119"/>
      <c r="M307" s="1415"/>
    </row>
    <row r="308" spans="3:13" s="280" customFormat="1" ht="24" customHeight="1">
      <c r="C308" s="306" t="s">
        <v>1206</v>
      </c>
      <c r="D308" s="182" t="s">
        <v>232</v>
      </c>
      <c r="E308" s="124" t="s">
        <v>65</v>
      </c>
      <c r="F308" s="127">
        <v>3.6</v>
      </c>
      <c r="G308" s="283">
        <f t="shared" si="9"/>
        <v>13050</v>
      </c>
      <c r="H308" s="284">
        <f t="shared" si="10"/>
        <v>46980</v>
      </c>
      <c r="I308" s="119"/>
      <c r="K308" s="119"/>
      <c r="L308" s="119"/>
      <c r="M308" s="1415"/>
    </row>
    <row r="309" spans="3:13" s="280" customFormat="1" ht="24" customHeight="1">
      <c r="C309" s="306" t="s">
        <v>1207</v>
      </c>
      <c r="D309" s="182" t="s">
        <v>251</v>
      </c>
      <c r="E309" s="124" t="s">
        <v>65</v>
      </c>
      <c r="F309" s="127">
        <v>0.05</v>
      </c>
      <c r="G309" s="283">
        <f t="shared" si="9"/>
        <v>27720</v>
      </c>
      <c r="H309" s="284">
        <f t="shared" si="10"/>
        <v>1386</v>
      </c>
      <c r="I309" s="119"/>
      <c r="K309" s="119"/>
      <c r="L309" s="119"/>
      <c r="M309" s="1415"/>
    </row>
    <row r="310" spans="3:13" s="280" customFormat="1" ht="24" customHeight="1">
      <c r="C310" s="306" t="s">
        <v>1211</v>
      </c>
      <c r="D310" s="182" t="s">
        <v>2334</v>
      </c>
      <c r="E310" s="124" t="s">
        <v>65</v>
      </c>
      <c r="F310" s="127">
        <v>5.5</v>
      </c>
      <c r="G310" s="283">
        <f t="shared" si="9"/>
        <v>1530</v>
      </c>
      <c r="H310" s="284">
        <f t="shared" si="10"/>
        <v>8415</v>
      </c>
      <c r="I310" s="119"/>
      <c r="K310" s="119"/>
      <c r="L310" s="119"/>
      <c r="M310" s="1415"/>
    </row>
    <row r="311" spans="3:13" s="280" customFormat="1" ht="24" customHeight="1">
      <c r="C311" s="306" t="s">
        <v>1212</v>
      </c>
      <c r="D311" s="182" t="s">
        <v>82</v>
      </c>
      <c r="E311" s="124" t="s">
        <v>42</v>
      </c>
      <c r="F311" s="127">
        <v>8.9999999999999993E-3</v>
      </c>
      <c r="G311" s="283">
        <f t="shared" si="9"/>
        <v>310500</v>
      </c>
      <c r="H311" s="284">
        <f t="shared" si="10"/>
        <v>2794.5</v>
      </c>
      <c r="I311" s="119"/>
      <c r="K311" s="119"/>
      <c r="L311" s="119"/>
      <c r="M311" s="1415"/>
    </row>
    <row r="312" spans="3:13" s="280" customFormat="1" ht="24" customHeight="1">
      <c r="C312" s="306" t="s">
        <v>1213</v>
      </c>
      <c r="D312" s="182" t="s">
        <v>71</v>
      </c>
      <c r="E312" s="124" t="s">
        <v>42</v>
      </c>
      <c r="F312" s="127">
        <v>1.4999999999999999E-2</v>
      </c>
      <c r="G312" s="283">
        <f t="shared" si="9"/>
        <v>292500</v>
      </c>
      <c r="H312" s="284">
        <f t="shared" si="10"/>
        <v>4387.5</v>
      </c>
      <c r="I312" s="119"/>
      <c r="K312" s="119"/>
      <c r="L312" s="119"/>
      <c r="M312" s="1415"/>
    </row>
    <row r="313" spans="3:13" s="280" customFormat="1" ht="24" customHeight="1">
      <c r="C313" s="66" t="s">
        <v>1214</v>
      </c>
      <c r="D313" s="67"/>
      <c r="E313" s="67"/>
      <c r="F313" s="68"/>
      <c r="G313" s="69"/>
      <c r="H313" s="284">
        <f>SUM(H305:H312)</f>
        <v>89391.037500000006</v>
      </c>
      <c r="I313" s="119"/>
      <c r="K313" s="119"/>
      <c r="L313" s="119"/>
      <c r="M313" s="1415"/>
    </row>
    <row r="314" spans="3:13" s="280" customFormat="1" ht="24" customHeight="1">
      <c r="C314" s="290" t="s">
        <v>1215</v>
      </c>
      <c r="D314" s="182" t="s">
        <v>1216</v>
      </c>
      <c r="E314" s="70"/>
      <c r="F314" s="336"/>
      <c r="G314" s="70"/>
      <c r="H314" s="105"/>
      <c r="I314" s="119"/>
      <c r="K314" s="119"/>
      <c r="L314" s="119"/>
      <c r="M314" s="1415"/>
    </row>
    <row r="315" spans="3:13" s="280" customFormat="1" ht="24" customHeight="1">
      <c r="C315" s="66" t="s">
        <v>1217</v>
      </c>
      <c r="D315" s="67"/>
      <c r="E315" s="67"/>
      <c r="F315" s="67"/>
      <c r="G315" s="69"/>
      <c r="H315" s="313">
        <v>0</v>
      </c>
      <c r="I315" s="119"/>
      <c r="K315" s="119"/>
      <c r="L315" s="119"/>
      <c r="M315" s="1415"/>
    </row>
    <row r="316" spans="3:13" s="297" customFormat="1" ht="24" customHeight="1">
      <c r="C316" s="293" t="s">
        <v>1218</v>
      </c>
      <c r="D316" s="294" t="s">
        <v>1219</v>
      </c>
      <c r="E316" s="295"/>
      <c r="F316" s="295"/>
      <c r="G316" s="296"/>
      <c r="H316" s="284">
        <f>H315+H313+H303</f>
        <v>134436.03750000001</v>
      </c>
      <c r="I316" s="119"/>
      <c r="K316" s="119"/>
      <c r="L316" s="119"/>
      <c r="M316" s="1130"/>
    </row>
    <row r="317" spans="3:13" s="297" customFormat="1" ht="24" customHeight="1">
      <c r="C317" s="293" t="s">
        <v>1220</v>
      </c>
      <c r="D317" s="294" t="s">
        <v>1321</v>
      </c>
      <c r="E317" s="295"/>
      <c r="F317" s="296"/>
      <c r="G317" s="298">
        <f>$D$4</f>
        <v>0.1</v>
      </c>
      <c r="H317" s="284">
        <f>H316*G317</f>
        <v>13443.603750000002</v>
      </c>
      <c r="I317" s="119"/>
      <c r="K317" s="119"/>
      <c r="L317" s="119"/>
      <c r="M317" s="1130"/>
    </row>
    <row r="318" spans="3:13" s="297" customFormat="1" ht="24" customHeight="1" thickBot="1">
      <c r="C318" s="299" t="s">
        <v>1221</v>
      </c>
      <c r="D318" s="300" t="s">
        <v>1222</v>
      </c>
      <c r="E318" s="301"/>
      <c r="F318" s="301"/>
      <c r="G318" s="302"/>
      <c r="H318" s="303">
        <f>SUM(H316:H317)</f>
        <v>147879.64125000002</v>
      </c>
      <c r="I318" s="119"/>
      <c r="K318" s="119"/>
      <c r="L318" s="119"/>
      <c r="M318" s="1130"/>
    </row>
    <row r="319" spans="3:13" ht="13.8" thickTop="1">
      <c r="L319"/>
      <c r="M319" s="1406"/>
    </row>
    <row r="320" spans="3:13" s="280" customFormat="1" ht="31.65" customHeight="1" thickBot="1">
      <c r="C320" s="126" t="s">
        <v>2354</v>
      </c>
      <c r="D320" s="47" t="s">
        <v>1270</v>
      </c>
      <c r="E320" s="88"/>
      <c r="F320" s="88"/>
      <c r="G320" s="88"/>
      <c r="H320" s="88"/>
      <c r="I320" s="88"/>
      <c r="K320" s="120">
        <f>ROUNDDOWN(I336,-2)</f>
        <v>1104800</v>
      </c>
      <c r="M320" s="1415"/>
    </row>
    <row r="321" spans="3:13" s="280" customFormat="1" ht="28.2" thickTop="1">
      <c r="C321" s="51" t="s">
        <v>1195</v>
      </c>
      <c r="D321" s="52" t="s">
        <v>1196</v>
      </c>
      <c r="E321" s="52" t="s">
        <v>1906</v>
      </c>
      <c r="F321" s="52" t="s">
        <v>1197</v>
      </c>
      <c r="G321" s="52" t="s">
        <v>1198</v>
      </c>
      <c r="H321" s="52" t="s">
        <v>1199</v>
      </c>
      <c r="I321" s="53" t="s">
        <v>1200</v>
      </c>
      <c r="K321" s="119"/>
      <c r="M321" s="1415"/>
    </row>
    <row r="322" spans="3:13" s="280" customFormat="1" ht="21.6" customHeight="1">
      <c r="C322" s="290" t="s">
        <v>1201</v>
      </c>
      <c r="D322" s="182" t="s">
        <v>1202</v>
      </c>
      <c r="E322" s="182"/>
      <c r="F322" s="70"/>
      <c r="G322" s="70"/>
      <c r="H322" s="70"/>
      <c r="I322" s="71"/>
      <c r="K322" s="119"/>
      <c r="M322" s="1415"/>
    </row>
    <row r="323" spans="3:13" s="280" customFormat="1" ht="21.6" customHeight="1">
      <c r="C323" s="281">
        <v>1</v>
      </c>
      <c r="D323" s="182" t="s">
        <v>5</v>
      </c>
      <c r="E323" s="176" t="s">
        <v>1774</v>
      </c>
      <c r="F323" s="176" t="s">
        <v>6</v>
      </c>
      <c r="G323" s="282">
        <v>1.5</v>
      </c>
      <c r="H323" s="283">
        <f>VLOOKUP(D323,upahbahan,3,FALSE)</f>
        <v>100000</v>
      </c>
      <c r="I323" s="284">
        <f>G323*H323</f>
        <v>150000</v>
      </c>
      <c r="K323" s="119"/>
      <c r="M323" s="1415"/>
    </row>
    <row r="324" spans="3:13" s="59" customFormat="1" ht="21.6" customHeight="1">
      <c r="C324" s="281">
        <v>2</v>
      </c>
      <c r="D324" s="182" t="s">
        <v>7</v>
      </c>
      <c r="E324" s="176" t="s">
        <v>1775</v>
      </c>
      <c r="F324" s="176" t="s">
        <v>6</v>
      </c>
      <c r="G324" s="282">
        <v>0.5</v>
      </c>
      <c r="H324" s="283">
        <f>VLOOKUP(D324,upahbahan,3,FALSE)</f>
        <v>135000</v>
      </c>
      <c r="I324" s="284">
        <f>G324*H324</f>
        <v>67500</v>
      </c>
      <c r="K324" s="119"/>
      <c r="M324" s="1408"/>
    </row>
    <row r="325" spans="3:13" s="59" customFormat="1" ht="21.6" customHeight="1">
      <c r="C325" s="281">
        <v>3</v>
      </c>
      <c r="D325" s="182" t="s">
        <v>19</v>
      </c>
      <c r="E325" s="176" t="s">
        <v>1777</v>
      </c>
      <c r="F325" s="176" t="s">
        <v>6</v>
      </c>
      <c r="G325" s="282">
        <v>0.15</v>
      </c>
      <c r="H325" s="283">
        <f>VLOOKUP(D325,upahbahan,3,FALSE)</f>
        <v>160000</v>
      </c>
      <c r="I325" s="284">
        <f>G325*H325</f>
        <v>24000</v>
      </c>
      <c r="K325" s="119"/>
      <c r="M325" s="1408"/>
    </row>
    <row r="326" spans="3:13" s="280" customFormat="1" ht="21.6" customHeight="1">
      <c r="C326" s="66" t="s">
        <v>1208</v>
      </c>
      <c r="D326" s="67"/>
      <c r="E326" s="67"/>
      <c r="F326" s="67"/>
      <c r="G326" s="68"/>
      <c r="H326" s="69"/>
      <c r="I326" s="284">
        <f>SUM(I323:I325)</f>
        <v>241500</v>
      </c>
      <c r="K326" s="119"/>
      <c r="M326" s="1415"/>
    </row>
    <row r="327" spans="3:13" s="280" customFormat="1" ht="21.6" customHeight="1">
      <c r="C327" s="290" t="s">
        <v>1209</v>
      </c>
      <c r="D327" s="182" t="s">
        <v>1210</v>
      </c>
      <c r="E327" s="182"/>
      <c r="F327" s="70"/>
      <c r="G327" s="70"/>
      <c r="H327" s="70"/>
      <c r="I327" s="71"/>
      <c r="K327" s="119"/>
      <c r="M327" s="1415"/>
    </row>
    <row r="328" spans="3:13" s="280" customFormat="1" ht="21.6" customHeight="1">
      <c r="C328" s="281">
        <v>1</v>
      </c>
      <c r="D328" s="285" t="s">
        <v>56</v>
      </c>
      <c r="E328" s="285"/>
      <c r="F328" s="176" t="s">
        <v>42</v>
      </c>
      <c r="G328" s="282">
        <v>1.2</v>
      </c>
      <c r="H328" s="283">
        <f>VLOOKUP(D328,upahbahan,3,FALSE)</f>
        <v>322875</v>
      </c>
      <c r="I328" s="284">
        <f>G328*H328</f>
        <v>387450</v>
      </c>
      <c r="K328" s="119"/>
      <c r="M328" s="1415"/>
    </row>
    <row r="329" spans="3:13" s="280" customFormat="1" ht="21.6" customHeight="1">
      <c r="C329" s="281">
        <v>2</v>
      </c>
      <c r="D329" s="182" t="s">
        <v>2332</v>
      </c>
      <c r="E329" s="182"/>
      <c r="F329" s="176" t="s">
        <v>65</v>
      </c>
      <c r="G329" s="282">
        <v>135</v>
      </c>
      <c r="H329" s="283">
        <f>VLOOKUP(D329,upahbahan,3,FALSE)</f>
        <v>1530</v>
      </c>
      <c r="I329" s="284">
        <f>G329*H329</f>
        <v>206550</v>
      </c>
      <c r="K329" s="119"/>
      <c r="M329" s="1415"/>
    </row>
    <row r="330" spans="3:13" s="280" customFormat="1" ht="21.6" customHeight="1">
      <c r="C330" s="281">
        <v>3</v>
      </c>
      <c r="D330" s="285" t="s">
        <v>85</v>
      </c>
      <c r="E330" s="285"/>
      <c r="F330" s="176" t="s">
        <v>42</v>
      </c>
      <c r="G330" s="282">
        <v>0.54400000000000004</v>
      </c>
      <c r="H330" s="283">
        <f>VLOOKUP(D330,upahbahan,3,FALSE)</f>
        <v>310500</v>
      </c>
      <c r="I330" s="284">
        <f>G330*H330</f>
        <v>168912</v>
      </c>
      <c r="K330" s="119"/>
      <c r="M330" s="1415"/>
    </row>
    <row r="331" spans="3:13" s="280" customFormat="1" ht="21.6" customHeight="1">
      <c r="C331" s="66" t="s">
        <v>1214</v>
      </c>
      <c r="D331" s="67"/>
      <c r="E331" s="67"/>
      <c r="F331" s="67"/>
      <c r="G331" s="67"/>
      <c r="H331" s="69"/>
      <c r="I331" s="284">
        <f>SUM(I328:I330)</f>
        <v>762912</v>
      </c>
      <c r="K331" s="119"/>
      <c r="M331" s="1415"/>
    </row>
    <row r="332" spans="3:13" s="280" customFormat="1" ht="21.6" customHeight="1">
      <c r="C332" s="290" t="s">
        <v>1215</v>
      </c>
      <c r="D332" s="182" t="s">
        <v>1216</v>
      </c>
      <c r="E332" s="182"/>
      <c r="F332" s="70"/>
      <c r="G332" s="70"/>
      <c r="H332" s="70"/>
      <c r="I332" s="71"/>
      <c r="K332" s="119"/>
      <c r="M332" s="1415"/>
    </row>
    <row r="333" spans="3:13" s="280" customFormat="1" ht="21.6" customHeight="1">
      <c r="C333" s="66" t="s">
        <v>1217</v>
      </c>
      <c r="D333" s="67"/>
      <c r="E333" s="67"/>
      <c r="F333" s="67"/>
      <c r="G333" s="67"/>
      <c r="H333" s="69"/>
      <c r="I333" s="292">
        <v>0</v>
      </c>
      <c r="K333" s="119"/>
      <c r="M333" s="1415"/>
    </row>
    <row r="334" spans="3:13" s="297" customFormat="1" ht="21.6" customHeight="1">
      <c r="C334" s="293" t="s">
        <v>1218</v>
      </c>
      <c r="D334" s="294" t="s">
        <v>1219</v>
      </c>
      <c r="E334" s="295"/>
      <c r="F334" s="295"/>
      <c r="G334" s="295"/>
      <c r="H334" s="296"/>
      <c r="I334" s="284">
        <f>I333+I331+I326</f>
        <v>1004412</v>
      </c>
      <c r="K334" s="119"/>
      <c r="M334" s="1130"/>
    </row>
    <row r="335" spans="3:13" s="297" customFormat="1" ht="21.6" customHeight="1">
      <c r="C335" s="293" t="s">
        <v>1220</v>
      </c>
      <c r="D335" s="294" t="s">
        <v>1321</v>
      </c>
      <c r="E335" s="295"/>
      <c r="F335" s="295"/>
      <c r="G335" s="296"/>
      <c r="H335" s="298">
        <f>$D$4</f>
        <v>0.1</v>
      </c>
      <c r="I335" s="284">
        <f>I334*H335</f>
        <v>100441.20000000001</v>
      </c>
      <c r="K335" s="119"/>
      <c r="M335" s="1130"/>
    </row>
    <row r="336" spans="3:13" s="297" customFormat="1" ht="21.6" customHeight="1" thickBot="1">
      <c r="C336" s="299" t="s">
        <v>1221</v>
      </c>
      <c r="D336" s="300" t="s">
        <v>1222</v>
      </c>
      <c r="E336" s="301"/>
      <c r="F336" s="301"/>
      <c r="G336" s="301"/>
      <c r="H336" s="302"/>
      <c r="I336" s="303">
        <f>SUM(I334:I335)</f>
        <v>1104853.2</v>
      </c>
      <c r="K336" s="119"/>
      <c r="M336" s="1130"/>
    </row>
    <row r="337" spans="3:13" ht="13.8" thickTop="1">
      <c r="L337"/>
      <c r="M337" s="1406"/>
    </row>
    <row r="338" spans="3:13" s="59" customFormat="1" ht="14.4" thickBot="1">
      <c r="C338" s="381" t="s">
        <v>2659</v>
      </c>
      <c r="D338" s="385" t="s">
        <v>2660</v>
      </c>
      <c r="E338" s="420"/>
      <c r="F338" s="420"/>
      <c r="G338" s="420"/>
      <c r="H338" s="420"/>
      <c r="K338" s="386">
        <f>ROUNDDOWN(H354,-2)</f>
        <v>311000</v>
      </c>
      <c r="M338" s="1408"/>
    </row>
    <row r="339" spans="3:13" s="59" customFormat="1" ht="42" thickTop="1">
      <c r="C339" s="387" t="s">
        <v>1195</v>
      </c>
      <c r="D339" s="388" t="s">
        <v>1196</v>
      </c>
      <c r="E339" s="388" t="s">
        <v>1197</v>
      </c>
      <c r="F339" s="388" t="s">
        <v>1198</v>
      </c>
      <c r="G339" s="388" t="s">
        <v>1199</v>
      </c>
      <c r="H339" s="389" t="s">
        <v>1200</v>
      </c>
      <c r="I339" s="381"/>
      <c r="M339" s="1408"/>
    </row>
    <row r="340" spans="3:13" s="59" customFormat="1" ht="21" customHeight="1">
      <c r="C340" s="390" t="s">
        <v>1201</v>
      </c>
      <c r="D340" s="391" t="s">
        <v>1202</v>
      </c>
      <c r="E340" s="392"/>
      <c r="F340" s="392"/>
      <c r="G340" s="392"/>
      <c r="H340" s="393"/>
      <c r="I340" s="381"/>
      <c r="M340" s="1408"/>
    </row>
    <row r="341" spans="3:13" s="59" customFormat="1" ht="21" customHeight="1">
      <c r="C341" s="394">
        <v>1</v>
      </c>
      <c r="D341" s="391" t="s">
        <v>5</v>
      </c>
      <c r="E341" s="395" t="s">
        <v>6</v>
      </c>
      <c r="F341" s="396">
        <v>0.1333</v>
      </c>
      <c r="G341" s="63">
        <f>VLOOKUP(D341,upahbahan,3,FALSE)</f>
        <v>100000</v>
      </c>
      <c r="H341" s="397">
        <f>F341*G341</f>
        <v>13330</v>
      </c>
      <c r="I341" s="381"/>
      <c r="M341" s="1408"/>
    </row>
    <row r="342" spans="3:13" s="59" customFormat="1" ht="21" customHeight="1">
      <c r="C342" s="394">
        <v>2</v>
      </c>
      <c r="D342" s="391" t="s">
        <v>8</v>
      </c>
      <c r="E342" s="395" t="s">
        <v>6</v>
      </c>
      <c r="F342" s="396">
        <v>6.6699999999999995E-2</v>
      </c>
      <c r="G342" s="63">
        <f>VLOOKUP(D342,upahbahan,3,FALSE)</f>
        <v>135000</v>
      </c>
      <c r="H342" s="397">
        <f>F342*G342</f>
        <v>9004.5</v>
      </c>
      <c r="I342" s="381"/>
      <c r="M342" s="1408"/>
    </row>
    <row r="343" spans="3:13" s="59" customFormat="1" ht="21" customHeight="1">
      <c r="C343" s="394">
        <v>3</v>
      </c>
      <c r="D343" s="391" t="s">
        <v>18</v>
      </c>
      <c r="E343" s="395" t="s">
        <v>6</v>
      </c>
      <c r="F343" s="396">
        <v>6.7000000000000002E-3</v>
      </c>
      <c r="G343" s="63">
        <f>VLOOKUP(D343,upahbahan,3,FALSE)</f>
        <v>150000</v>
      </c>
      <c r="H343" s="397">
        <f>F343*G343</f>
        <v>1005</v>
      </c>
      <c r="I343" s="381"/>
      <c r="M343" s="1408"/>
    </row>
    <row r="344" spans="3:13" s="59" customFormat="1" ht="21" customHeight="1">
      <c r="C344" s="394">
        <v>4</v>
      </c>
      <c r="D344" s="391" t="s">
        <v>19</v>
      </c>
      <c r="E344" s="395" t="s">
        <v>6</v>
      </c>
      <c r="F344" s="396">
        <v>2.2000000000000001E-3</v>
      </c>
      <c r="G344" s="63">
        <f>VLOOKUP(D344,upahbahan,3,FALSE)</f>
        <v>160000</v>
      </c>
      <c r="H344" s="397">
        <f>F344*G344</f>
        <v>352</v>
      </c>
      <c r="I344" s="381"/>
      <c r="M344" s="1408"/>
    </row>
    <row r="345" spans="3:13" s="59" customFormat="1" ht="21" customHeight="1">
      <c r="C345" s="398" t="s">
        <v>1208</v>
      </c>
      <c r="D345" s="399"/>
      <c r="E345" s="399"/>
      <c r="F345" s="400"/>
      <c r="G345" s="401"/>
      <c r="H345" s="397">
        <f>SUM(H341:H344)</f>
        <v>23691.5</v>
      </c>
      <c r="I345" s="402"/>
      <c r="M345" s="1408"/>
    </row>
    <row r="346" spans="3:13" s="59" customFormat="1" ht="21" customHeight="1">
      <c r="C346" s="390" t="s">
        <v>1209</v>
      </c>
      <c r="D346" s="391" t="s">
        <v>1210</v>
      </c>
      <c r="E346" s="392"/>
      <c r="F346" s="392"/>
      <c r="G346" s="392"/>
      <c r="H346" s="393"/>
      <c r="I346" s="381"/>
      <c r="M346" s="1408"/>
    </row>
    <row r="347" spans="3:13" s="59" customFormat="1" ht="21" customHeight="1">
      <c r="C347" s="394">
        <v>1</v>
      </c>
      <c r="D347" s="391" t="s">
        <v>2661</v>
      </c>
      <c r="E347" s="425" t="s">
        <v>62</v>
      </c>
      <c r="F347" s="421">
        <v>1.3</v>
      </c>
      <c r="G347" s="63">
        <f>VLOOKUP(D347,upahbahan,3,FALSE)</f>
        <v>198000</v>
      </c>
      <c r="H347" s="397">
        <f>F347*G347</f>
        <v>257400</v>
      </c>
      <c r="I347" s="381"/>
      <c r="M347" s="1408"/>
    </row>
    <row r="348" spans="3:13" s="59" customFormat="1" ht="21" customHeight="1">
      <c r="C348" s="394">
        <v>2</v>
      </c>
      <c r="D348" s="391" t="s">
        <v>259</v>
      </c>
      <c r="E348" s="395" t="s">
        <v>65</v>
      </c>
      <c r="F348" s="421">
        <v>0.05</v>
      </c>
      <c r="G348" s="63">
        <f>VLOOKUP(D348,upahbahan,3,FALSE)</f>
        <v>33075</v>
      </c>
      <c r="H348" s="397">
        <f>F348*G348</f>
        <v>1653.75</v>
      </c>
      <c r="I348" s="381"/>
      <c r="M348" s="1408"/>
    </row>
    <row r="349" spans="3:13" s="59" customFormat="1" ht="21" customHeight="1">
      <c r="C349" s="398" t="s">
        <v>1214</v>
      </c>
      <c r="D349" s="399"/>
      <c r="E349" s="399"/>
      <c r="F349" s="399"/>
      <c r="G349" s="404"/>
      <c r="H349" s="397">
        <f>SUM(H347:H348)</f>
        <v>259053.75</v>
      </c>
      <c r="I349" s="381"/>
      <c r="M349" s="1408"/>
    </row>
    <row r="350" spans="3:13" s="59" customFormat="1" ht="21" customHeight="1">
      <c r="C350" s="405" t="s">
        <v>1215</v>
      </c>
      <c r="D350" s="391" t="s">
        <v>1216</v>
      </c>
      <c r="E350" s="392"/>
      <c r="F350" s="392"/>
      <c r="G350" s="392"/>
      <c r="H350" s="393"/>
      <c r="I350" s="381"/>
      <c r="M350" s="1408"/>
    </row>
    <row r="351" spans="3:13" s="59" customFormat="1" ht="21" customHeight="1">
      <c r="C351" s="398" t="s">
        <v>1217</v>
      </c>
      <c r="D351" s="399"/>
      <c r="E351" s="399"/>
      <c r="F351" s="399"/>
      <c r="G351" s="404"/>
      <c r="H351" s="406">
        <v>0</v>
      </c>
      <c r="I351" s="381"/>
      <c r="M351" s="1408"/>
    </row>
    <row r="352" spans="3:13" s="59" customFormat="1" ht="21" customHeight="1">
      <c r="C352" s="407" t="s">
        <v>1218</v>
      </c>
      <c r="D352" s="408" t="s">
        <v>1219</v>
      </c>
      <c r="E352" s="409"/>
      <c r="F352" s="409"/>
      <c r="G352" s="410"/>
      <c r="H352" s="397">
        <f>H351+H349+H345</f>
        <v>282745.25</v>
      </c>
      <c r="I352" s="411"/>
      <c r="M352" s="1408"/>
    </row>
    <row r="353" spans="3:13" s="59" customFormat="1" ht="21" customHeight="1">
      <c r="C353" s="75" t="s">
        <v>1220</v>
      </c>
      <c r="D353" s="76" t="s">
        <v>1321</v>
      </c>
      <c r="E353" s="77"/>
      <c r="F353" s="78"/>
      <c r="G353" s="298">
        <f>$D$4</f>
        <v>0.1</v>
      </c>
      <c r="H353" s="64">
        <f>H352*G353</f>
        <v>28274.525000000001</v>
      </c>
      <c r="I353" s="411"/>
      <c r="M353" s="1408"/>
    </row>
    <row r="354" spans="3:13" s="59" customFormat="1" ht="21" customHeight="1" thickBot="1">
      <c r="C354" s="412" t="s">
        <v>1221</v>
      </c>
      <c r="D354" s="413" t="s">
        <v>1222</v>
      </c>
      <c r="E354" s="414"/>
      <c r="F354" s="414"/>
      <c r="G354" s="415"/>
      <c r="H354" s="416">
        <f>SUM(H352:H353)</f>
        <v>311019.77500000002</v>
      </c>
      <c r="I354" s="411"/>
      <c r="M354" s="1408"/>
    </row>
    <row r="355" spans="3:13" s="59" customFormat="1" ht="21" customHeight="1" thickTop="1">
      <c r="C355" s="426"/>
      <c r="D355" s="427"/>
      <c r="E355" s="427"/>
      <c r="F355" s="427"/>
      <c r="G355" s="427"/>
      <c r="H355" s="428"/>
      <c r="I355" s="411"/>
      <c r="M355" s="1408"/>
    </row>
    <row r="356" spans="3:13">
      <c r="L356"/>
      <c r="M356" s="1406"/>
    </row>
    <row r="357" spans="3:13" s="59" customFormat="1" ht="14.4" thickBot="1">
      <c r="C357" s="381" t="s">
        <v>2659</v>
      </c>
      <c r="D357" s="385" t="s">
        <v>9320</v>
      </c>
      <c r="E357" s="420"/>
      <c r="F357" s="420"/>
      <c r="G357" s="420"/>
      <c r="H357" s="420"/>
      <c r="K357" s="386">
        <f>ROUNDDOWN(H373,-2)</f>
        <v>118500</v>
      </c>
      <c r="M357" s="1408"/>
    </row>
    <row r="358" spans="3:13" s="59" customFormat="1" ht="42" thickTop="1">
      <c r="C358" s="387" t="s">
        <v>1195</v>
      </c>
      <c r="D358" s="388" t="s">
        <v>1196</v>
      </c>
      <c r="E358" s="388" t="s">
        <v>1197</v>
      </c>
      <c r="F358" s="388" t="s">
        <v>1198</v>
      </c>
      <c r="G358" s="388" t="s">
        <v>1199</v>
      </c>
      <c r="H358" s="389" t="s">
        <v>1200</v>
      </c>
      <c r="I358" s="381"/>
      <c r="M358" s="1408"/>
    </row>
    <row r="359" spans="3:13" s="59" customFormat="1" ht="21" customHeight="1">
      <c r="C359" s="390" t="s">
        <v>1201</v>
      </c>
      <c r="D359" s="391" t="s">
        <v>1202</v>
      </c>
      <c r="E359" s="392"/>
      <c r="F359" s="392"/>
      <c r="G359" s="392"/>
      <c r="H359" s="393"/>
      <c r="I359" s="381"/>
      <c r="M359" s="1408"/>
    </row>
    <row r="360" spans="3:13" s="59" customFormat="1" ht="21" customHeight="1">
      <c r="C360" s="394">
        <v>1</v>
      </c>
      <c r="D360" s="391" t="s">
        <v>5</v>
      </c>
      <c r="E360" s="395" t="s">
        <v>6</v>
      </c>
      <c r="F360" s="396">
        <v>0.1333</v>
      </c>
      <c r="G360" s="63">
        <f>VLOOKUP(D360,upahbahan,3,FALSE)</f>
        <v>100000</v>
      </c>
      <c r="H360" s="397">
        <f>F360*G360</f>
        <v>13330</v>
      </c>
      <c r="I360" s="381"/>
      <c r="M360" s="1408"/>
    </row>
    <row r="361" spans="3:13" s="59" customFormat="1" ht="21" customHeight="1">
      <c r="C361" s="394">
        <v>2</v>
      </c>
      <c r="D361" s="391" t="s">
        <v>8</v>
      </c>
      <c r="E361" s="395" t="s">
        <v>6</v>
      </c>
      <c r="F361" s="396">
        <v>6.6699999999999995E-2</v>
      </c>
      <c r="G361" s="63">
        <f>VLOOKUP(D361,upahbahan,3,FALSE)</f>
        <v>135000</v>
      </c>
      <c r="H361" s="397">
        <f>F361*G361</f>
        <v>9004.5</v>
      </c>
      <c r="I361" s="381"/>
      <c r="M361" s="1408"/>
    </row>
    <row r="362" spans="3:13" s="59" customFormat="1" ht="21" customHeight="1">
      <c r="C362" s="394">
        <v>3</v>
      </c>
      <c r="D362" s="391" t="s">
        <v>18</v>
      </c>
      <c r="E362" s="395" t="s">
        <v>6</v>
      </c>
      <c r="F362" s="396">
        <v>6.7000000000000002E-3</v>
      </c>
      <c r="G362" s="63">
        <f>VLOOKUP(D362,upahbahan,3,FALSE)</f>
        <v>150000</v>
      </c>
      <c r="H362" s="397">
        <f>F362*G362</f>
        <v>1005</v>
      </c>
      <c r="I362" s="381"/>
      <c r="M362" s="1408"/>
    </row>
    <row r="363" spans="3:13" s="59" customFormat="1" ht="21" customHeight="1">
      <c r="C363" s="394">
        <v>4</v>
      </c>
      <c r="D363" s="391" t="s">
        <v>19</v>
      </c>
      <c r="E363" s="395" t="s">
        <v>6</v>
      </c>
      <c r="F363" s="396">
        <v>2.2000000000000001E-3</v>
      </c>
      <c r="G363" s="63">
        <f>VLOOKUP(D363,upahbahan,3,FALSE)</f>
        <v>160000</v>
      </c>
      <c r="H363" s="397">
        <f>F363*G363</f>
        <v>352</v>
      </c>
      <c r="I363" s="381"/>
      <c r="M363" s="1408"/>
    </row>
    <row r="364" spans="3:13" s="59" customFormat="1" ht="21" customHeight="1">
      <c r="C364" s="398" t="s">
        <v>1208</v>
      </c>
      <c r="D364" s="399"/>
      <c r="E364" s="399"/>
      <c r="F364" s="400"/>
      <c r="G364" s="401"/>
      <c r="H364" s="397">
        <f>SUM(H360:H363)</f>
        <v>23691.5</v>
      </c>
      <c r="I364" s="402"/>
      <c r="M364" s="1408"/>
    </row>
    <row r="365" spans="3:13" s="59" customFormat="1" ht="21" customHeight="1">
      <c r="C365" s="390" t="s">
        <v>1209</v>
      </c>
      <c r="D365" s="391" t="s">
        <v>1210</v>
      </c>
      <c r="E365" s="392"/>
      <c r="F365" s="392"/>
      <c r="G365" s="392"/>
      <c r="H365" s="393"/>
      <c r="I365" s="381"/>
      <c r="M365" s="1408"/>
    </row>
    <row r="366" spans="3:13" s="59" customFormat="1" ht="21" customHeight="1">
      <c r="C366" s="394">
        <v>1</v>
      </c>
      <c r="D366" s="391" t="s">
        <v>9321</v>
      </c>
      <c r="E366" s="425" t="s">
        <v>129</v>
      </c>
      <c r="F366" s="421">
        <v>1.625</v>
      </c>
      <c r="G366" s="63">
        <f>VLOOKUP(D366,upahbahan,3,FALSE)</f>
        <v>50700</v>
      </c>
      <c r="H366" s="397">
        <f>F366*G366</f>
        <v>82387.5</v>
      </c>
      <c r="I366" s="381" t="s">
        <v>9322</v>
      </c>
      <c r="M366" s="1408"/>
    </row>
    <row r="367" spans="3:13" s="59" customFormat="1" ht="21" customHeight="1">
      <c r="C367" s="394">
        <v>2</v>
      </c>
      <c r="D367" s="391" t="s">
        <v>259</v>
      </c>
      <c r="E367" s="395" t="s">
        <v>65</v>
      </c>
      <c r="F367" s="421">
        <v>0.05</v>
      </c>
      <c r="G367" s="63">
        <f>VLOOKUP(D367,upahbahan,3,FALSE)</f>
        <v>33075</v>
      </c>
      <c r="H367" s="397">
        <f>F367*G367</f>
        <v>1653.75</v>
      </c>
      <c r="I367" s="381"/>
      <c r="M367" s="1408"/>
    </row>
    <row r="368" spans="3:13" s="59" customFormat="1" ht="21" customHeight="1">
      <c r="C368" s="398" t="s">
        <v>1214</v>
      </c>
      <c r="D368" s="399"/>
      <c r="E368" s="399"/>
      <c r="F368" s="399"/>
      <c r="G368" s="404"/>
      <c r="H368" s="397">
        <f>SUM(H366:H367)</f>
        <v>84041.25</v>
      </c>
      <c r="I368" s="381"/>
      <c r="M368" s="1408"/>
    </row>
    <row r="369" spans="3:13" s="59" customFormat="1" ht="21" customHeight="1">
      <c r="C369" s="405" t="s">
        <v>1215</v>
      </c>
      <c r="D369" s="391" t="s">
        <v>1216</v>
      </c>
      <c r="E369" s="392"/>
      <c r="F369" s="392"/>
      <c r="G369" s="392"/>
      <c r="H369" s="393"/>
      <c r="I369" s="381"/>
      <c r="M369" s="1408"/>
    </row>
    <row r="370" spans="3:13" s="59" customFormat="1" ht="21" customHeight="1">
      <c r="C370" s="398" t="s">
        <v>1217</v>
      </c>
      <c r="D370" s="399"/>
      <c r="E370" s="399"/>
      <c r="F370" s="399"/>
      <c r="G370" s="404"/>
      <c r="H370" s="406">
        <v>0</v>
      </c>
      <c r="I370" s="381"/>
      <c r="M370" s="1408"/>
    </row>
    <row r="371" spans="3:13" s="59" customFormat="1" ht="21" customHeight="1">
      <c r="C371" s="407" t="s">
        <v>1218</v>
      </c>
      <c r="D371" s="408" t="s">
        <v>1219</v>
      </c>
      <c r="E371" s="409"/>
      <c r="F371" s="409"/>
      <c r="G371" s="410"/>
      <c r="H371" s="397">
        <f>H370+H368+H364</f>
        <v>107732.75</v>
      </c>
      <c r="I371" s="411"/>
      <c r="M371" s="1408"/>
    </row>
    <row r="372" spans="3:13" s="59" customFormat="1" ht="21" customHeight="1">
      <c r="C372" s="75" t="s">
        <v>1220</v>
      </c>
      <c r="D372" s="76" t="s">
        <v>1321</v>
      </c>
      <c r="E372" s="77"/>
      <c r="F372" s="78"/>
      <c r="G372" s="298">
        <f>$D$4</f>
        <v>0.1</v>
      </c>
      <c r="H372" s="64">
        <f>H371*G372</f>
        <v>10773.275000000001</v>
      </c>
      <c r="I372" s="411"/>
      <c r="M372" s="1408"/>
    </row>
    <row r="373" spans="3:13" s="59" customFormat="1" ht="21" customHeight="1" thickBot="1">
      <c r="C373" s="412" t="s">
        <v>1221</v>
      </c>
      <c r="D373" s="413" t="s">
        <v>1222</v>
      </c>
      <c r="E373" s="414"/>
      <c r="F373" s="414"/>
      <c r="G373" s="415"/>
      <c r="H373" s="416">
        <f>SUM(H371:H372)</f>
        <v>118506.02499999999</v>
      </c>
      <c r="I373" s="411"/>
      <c r="M373" s="1408"/>
    </row>
    <row r="374" spans="3:13" s="59" customFormat="1" ht="21" customHeight="1" thickTop="1">
      <c r="C374" s="426"/>
      <c r="D374" s="427"/>
      <c r="E374" s="427"/>
      <c r="F374" s="427"/>
      <c r="G374" s="427"/>
      <c r="H374" s="428"/>
      <c r="I374" s="411"/>
      <c r="M374" s="1408"/>
    </row>
    <row r="375" spans="3:13" s="59" customFormat="1" ht="14.4" thickBot="1">
      <c r="C375" s="381" t="s">
        <v>2690</v>
      </c>
      <c r="D375" s="385" t="s">
        <v>1375</v>
      </c>
      <c r="E375" s="420"/>
      <c r="F375" s="420"/>
      <c r="G375" s="420"/>
      <c r="H375" s="420"/>
      <c r="K375" s="386">
        <f>ROUNDDOWN(H391,-2)</f>
        <v>75600</v>
      </c>
      <c r="M375" s="1408"/>
    </row>
    <row r="376" spans="3:13" s="59" customFormat="1" ht="31.2" customHeight="1" thickTop="1">
      <c r="C376" s="387" t="s">
        <v>1195</v>
      </c>
      <c r="D376" s="388" t="s">
        <v>1196</v>
      </c>
      <c r="E376" s="388" t="s">
        <v>1197</v>
      </c>
      <c r="F376" s="388" t="s">
        <v>1198</v>
      </c>
      <c r="G376" s="388" t="s">
        <v>1199</v>
      </c>
      <c r="H376" s="389" t="s">
        <v>1200</v>
      </c>
      <c r="I376" s="386"/>
      <c r="M376" s="1408"/>
    </row>
    <row r="377" spans="3:13" s="59" customFormat="1" ht="21" customHeight="1">
      <c r="C377" s="390" t="s">
        <v>1201</v>
      </c>
      <c r="D377" s="391" t="s">
        <v>1202</v>
      </c>
      <c r="E377" s="392"/>
      <c r="F377" s="392"/>
      <c r="G377" s="392"/>
      <c r="H377" s="393"/>
      <c r="I377" s="381"/>
      <c r="M377" s="1408"/>
    </row>
    <row r="378" spans="3:13" s="59" customFormat="1" ht="21" customHeight="1">
      <c r="C378" s="394">
        <v>1</v>
      </c>
      <c r="D378" s="391" t="s">
        <v>5</v>
      </c>
      <c r="E378" s="395" t="s">
        <v>6</v>
      </c>
      <c r="F378" s="396">
        <v>0.1</v>
      </c>
      <c r="G378" s="63">
        <f>VLOOKUP(D378,upahbahan,3,FALSE)</f>
        <v>100000</v>
      </c>
      <c r="H378" s="397">
        <f>F378*G378</f>
        <v>10000</v>
      </c>
      <c r="I378" s="381"/>
      <c r="M378" s="1408"/>
    </row>
    <row r="379" spans="3:13" s="59" customFormat="1" ht="21" customHeight="1">
      <c r="C379" s="394">
        <v>2</v>
      </c>
      <c r="D379" s="391" t="s">
        <v>8</v>
      </c>
      <c r="E379" s="395" t="s">
        <v>6</v>
      </c>
      <c r="F379" s="396">
        <v>0.2</v>
      </c>
      <c r="G379" s="63">
        <f>VLOOKUP(D379,upahbahan,3,FALSE)</f>
        <v>135000</v>
      </c>
      <c r="H379" s="397">
        <f>F379*G379</f>
        <v>27000</v>
      </c>
      <c r="I379" s="381"/>
      <c r="M379" s="1408"/>
    </row>
    <row r="380" spans="3:13" s="59" customFormat="1" ht="21" customHeight="1">
      <c r="C380" s="394">
        <v>3</v>
      </c>
      <c r="D380" s="391" t="s">
        <v>18</v>
      </c>
      <c r="E380" s="395" t="s">
        <v>6</v>
      </c>
      <c r="F380" s="396">
        <v>0.02</v>
      </c>
      <c r="G380" s="63">
        <f>VLOOKUP(D380,upahbahan,3,FALSE)</f>
        <v>150000</v>
      </c>
      <c r="H380" s="397">
        <f>F380*G380</f>
        <v>3000</v>
      </c>
      <c r="I380" s="381"/>
      <c r="M380" s="1408"/>
    </row>
    <row r="381" spans="3:13" s="59" customFormat="1" ht="21" customHeight="1">
      <c r="C381" s="394">
        <v>4</v>
      </c>
      <c r="D381" s="391" t="s">
        <v>19</v>
      </c>
      <c r="E381" s="395" t="s">
        <v>6</v>
      </c>
      <c r="F381" s="396">
        <v>6.7000000000000002E-3</v>
      </c>
      <c r="G381" s="63">
        <f>VLOOKUP(D381,upahbahan,3,FALSE)</f>
        <v>160000</v>
      </c>
      <c r="H381" s="397">
        <f>F381*G381</f>
        <v>1072</v>
      </c>
      <c r="I381" s="381"/>
      <c r="M381" s="1408"/>
    </row>
    <row r="382" spans="3:13" s="59" customFormat="1" ht="21" customHeight="1">
      <c r="C382" s="398" t="s">
        <v>1208</v>
      </c>
      <c r="D382" s="399"/>
      <c r="E382" s="399"/>
      <c r="F382" s="400"/>
      <c r="G382" s="401"/>
      <c r="H382" s="397">
        <f>SUM(H378:H381)</f>
        <v>41072</v>
      </c>
      <c r="I382" s="402"/>
      <c r="M382" s="1408"/>
    </row>
    <row r="383" spans="3:13" s="59" customFormat="1" ht="21" customHeight="1">
      <c r="C383" s="390" t="s">
        <v>1209</v>
      </c>
      <c r="D383" s="391" t="s">
        <v>1210</v>
      </c>
      <c r="E383" s="392"/>
      <c r="F383" s="392"/>
      <c r="G383" s="392"/>
      <c r="H383" s="393"/>
      <c r="I383" s="381"/>
      <c r="M383" s="1408"/>
    </row>
    <row r="384" spans="3:13" s="59" customFormat="1" ht="21" customHeight="1">
      <c r="C384" s="394">
        <v>1</v>
      </c>
      <c r="D384" s="391" t="s">
        <v>387</v>
      </c>
      <c r="E384" s="395" t="s">
        <v>113</v>
      </c>
      <c r="F384" s="421">
        <v>1.05</v>
      </c>
      <c r="G384" s="63">
        <f>VLOOKUP(D384,upahbahan,3,FALSE)</f>
        <v>24750</v>
      </c>
      <c r="H384" s="397">
        <f>F384*G384</f>
        <v>25987.5</v>
      </c>
      <c r="I384" s="381"/>
      <c r="M384" s="1408"/>
    </row>
    <row r="385" spans="3:13" s="59" customFormat="1" ht="21" customHeight="1">
      <c r="C385" s="394">
        <v>2</v>
      </c>
      <c r="D385" s="391" t="s">
        <v>261</v>
      </c>
      <c r="E385" s="395" t="s">
        <v>65</v>
      </c>
      <c r="F385" s="421">
        <v>0.05</v>
      </c>
      <c r="G385" s="63">
        <f>VLOOKUP(D385,upahbahan,3,FALSE)</f>
        <v>33901.875</v>
      </c>
      <c r="H385" s="397">
        <f>F385*G385</f>
        <v>1695.09375</v>
      </c>
      <c r="I385" s="381"/>
      <c r="M385" s="1408"/>
    </row>
    <row r="386" spans="3:13" s="59" customFormat="1" ht="21" customHeight="1">
      <c r="C386" s="398" t="s">
        <v>1214</v>
      </c>
      <c r="D386" s="399"/>
      <c r="E386" s="399"/>
      <c r="F386" s="399"/>
      <c r="G386" s="404"/>
      <c r="H386" s="397">
        <f>SUM(H384:H385)</f>
        <v>27682.59375</v>
      </c>
      <c r="I386" s="381"/>
      <c r="M386" s="1408"/>
    </row>
    <row r="387" spans="3:13" s="59" customFormat="1" ht="21" customHeight="1">
      <c r="C387" s="405" t="s">
        <v>1215</v>
      </c>
      <c r="D387" s="391" t="s">
        <v>1216</v>
      </c>
      <c r="E387" s="392"/>
      <c r="F387" s="392"/>
      <c r="G387" s="392"/>
      <c r="H387" s="393"/>
      <c r="I387" s="381"/>
      <c r="M387" s="1408"/>
    </row>
    <row r="388" spans="3:13" s="59" customFormat="1" ht="21" customHeight="1">
      <c r="C388" s="398" t="s">
        <v>1217</v>
      </c>
      <c r="D388" s="399"/>
      <c r="E388" s="399"/>
      <c r="F388" s="399"/>
      <c r="G388" s="404"/>
      <c r="H388" s="406">
        <v>0</v>
      </c>
      <c r="I388" s="381"/>
      <c r="M388" s="1408"/>
    </row>
    <row r="389" spans="3:13" s="59" customFormat="1" ht="21" customHeight="1">
      <c r="C389" s="407" t="s">
        <v>1218</v>
      </c>
      <c r="D389" s="408" t="s">
        <v>1219</v>
      </c>
      <c r="E389" s="409"/>
      <c r="F389" s="409"/>
      <c r="G389" s="410"/>
      <c r="H389" s="397">
        <f>H388+H386+H382</f>
        <v>68754.59375</v>
      </c>
      <c r="I389" s="411"/>
      <c r="M389" s="1408"/>
    </row>
    <row r="390" spans="3:13" s="59" customFormat="1" ht="21" customHeight="1">
      <c r="C390" s="75" t="s">
        <v>1220</v>
      </c>
      <c r="D390" s="76" t="s">
        <v>1321</v>
      </c>
      <c r="E390" s="77"/>
      <c r="F390" s="78"/>
      <c r="G390" s="298">
        <f>$D$4</f>
        <v>0.1</v>
      </c>
      <c r="H390" s="64">
        <f>H389*G390</f>
        <v>6875.4593750000004</v>
      </c>
      <c r="I390" s="411"/>
      <c r="M390" s="1408"/>
    </row>
    <row r="391" spans="3:13" s="59" customFormat="1" ht="21" customHeight="1" thickBot="1">
      <c r="C391" s="412" t="s">
        <v>1221</v>
      </c>
      <c r="D391" s="413" t="s">
        <v>1222</v>
      </c>
      <c r="E391" s="414"/>
      <c r="F391" s="414"/>
      <c r="G391" s="415"/>
      <c r="H391" s="416">
        <f>SUM(H389:H390)</f>
        <v>75630.053125000006</v>
      </c>
      <c r="I391" s="411"/>
      <c r="M391" s="1408"/>
    </row>
    <row r="392" spans="3:13" ht="13.8" thickTop="1">
      <c r="L392"/>
      <c r="M392" s="1406"/>
    </row>
    <row r="393" spans="3:13" s="59" customFormat="1" ht="14.4" thickBot="1">
      <c r="C393" s="47" t="s">
        <v>2715</v>
      </c>
      <c r="D393" s="149" t="s">
        <v>2716</v>
      </c>
      <c r="E393" s="275"/>
      <c r="F393" s="275"/>
      <c r="G393" s="275"/>
      <c r="H393" s="275"/>
      <c r="K393" s="50">
        <f>ROUNDDOWN(H409,-2)</f>
        <v>73700</v>
      </c>
      <c r="L393" s="59" t="s">
        <v>6451</v>
      </c>
      <c r="M393" s="1408" t="s">
        <v>6466</v>
      </c>
    </row>
    <row r="394" spans="3:13" s="59" customFormat="1" ht="42" thickTop="1">
      <c r="C394" s="51" t="s">
        <v>1195</v>
      </c>
      <c r="D394" s="52" t="s">
        <v>1196</v>
      </c>
      <c r="E394" s="52" t="s">
        <v>1197</v>
      </c>
      <c r="F394" s="52" t="s">
        <v>1198</v>
      </c>
      <c r="G394" s="52" t="s">
        <v>1199</v>
      </c>
      <c r="H394" s="53" t="s">
        <v>1200</v>
      </c>
      <c r="I394" s="45"/>
      <c r="M394" s="1408"/>
    </row>
    <row r="395" spans="3:13" s="59" customFormat="1" ht="18" customHeight="1">
      <c r="C395" s="55" t="s">
        <v>1201</v>
      </c>
      <c r="D395" s="56" t="s">
        <v>1202</v>
      </c>
      <c r="E395" s="57"/>
      <c r="F395" s="57"/>
      <c r="G395" s="57"/>
      <c r="H395" s="58"/>
      <c r="I395" s="45"/>
      <c r="M395" s="1408"/>
    </row>
    <row r="396" spans="3:13" s="59" customFormat="1" ht="18" customHeight="1">
      <c r="C396" s="60">
        <v>1</v>
      </c>
      <c r="D396" s="56" t="s">
        <v>5</v>
      </c>
      <c r="E396" s="61" t="s">
        <v>6</v>
      </c>
      <c r="F396" s="101">
        <v>0.1</v>
      </c>
      <c r="G396" s="63">
        <f>VLOOKUP(D396,upahbahan,3,FALSE)</f>
        <v>100000</v>
      </c>
      <c r="H396" s="64">
        <f>F396*G396</f>
        <v>10000</v>
      </c>
      <c r="I396" s="45"/>
      <c r="M396" s="1408"/>
    </row>
    <row r="397" spans="3:13" s="59" customFormat="1" ht="18" customHeight="1">
      <c r="C397" s="60">
        <v>2</v>
      </c>
      <c r="D397" s="56" t="s">
        <v>8</v>
      </c>
      <c r="E397" s="61" t="s">
        <v>6</v>
      </c>
      <c r="F397" s="101">
        <v>0.05</v>
      </c>
      <c r="G397" s="63">
        <f>VLOOKUP(D397,upahbahan,3,FALSE)</f>
        <v>135000</v>
      </c>
      <c r="H397" s="64">
        <f>F397*G397</f>
        <v>6750</v>
      </c>
      <c r="I397" s="45"/>
      <c r="M397" s="1408"/>
    </row>
    <row r="398" spans="3:13" s="59" customFormat="1" ht="18" customHeight="1">
      <c r="C398" s="60">
        <v>3</v>
      </c>
      <c r="D398" s="56" t="s">
        <v>18</v>
      </c>
      <c r="E398" s="61" t="s">
        <v>6</v>
      </c>
      <c r="F398" s="101">
        <v>5.0000000000000001E-3</v>
      </c>
      <c r="G398" s="63">
        <f>VLOOKUP(D398,upahbahan,3,FALSE)</f>
        <v>150000</v>
      </c>
      <c r="H398" s="64">
        <f>F398*G398</f>
        <v>750</v>
      </c>
      <c r="I398" s="45"/>
      <c r="M398" s="1408"/>
    </row>
    <row r="399" spans="3:13" s="59" customFormat="1" ht="18" customHeight="1">
      <c r="C399" s="60">
        <v>4</v>
      </c>
      <c r="D399" s="56" t="s">
        <v>19</v>
      </c>
      <c r="E399" s="61" t="s">
        <v>6</v>
      </c>
      <c r="F399" s="101">
        <v>1.6999999999999999E-3</v>
      </c>
      <c r="G399" s="63">
        <f>VLOOKUP(D399,upahbahan,3,FALSE)</f>
        <v>160000</v>
      </c>
      <c r="H399" s="64">
        <f>F399*G399</f>
        <v>272</v>
      </c>
      <c r="I399" s="45"/>
      <c r="M399" s="1408"/>
    </row>
    <row r="400" spans="3:13" s="59" customFormat="1" ht="18" customHeight="1">
      <c r="C400" s="66" t="s">
        <v>1208</v>
      </c>
      <c r="D400" s="67"/>
      <c r="E400" s="67"/>
      <c r="F400" s="142"/>
      <c r="G400" s="153"/>
      <c r="H400" s="64">
        <f>SUM(H396:H399)</f>
        <v>17772</v>
      </c>
      <c r="I400" s="274"/>
      <c r="K400" s="274"/>
      <c r="L400" s="274"/>
      <c r="M400" s="1408"/>
    </row>
    <row r="401" spans="3:13" s="59" customFormat="1" ht="18" customHeight="1">
      <c r="C401" s="55" t="s">
        <v>1209</v>
      </c>
      <c r="D401" s="56" t="s">
        <v>1210</v>
      </c>
      <c r="E401" s="57"/>
      <c r="F401" s="57"/>
      <c r="G401" s="57"/>
      <c r="H401" s="58"/>
      <c r="I401" s="45"/>
      <c r="M401" s="1408"/>
    </row>
    <row r="402" spans="3:13" s="59" customFormat="1" ht="18" customHeight="1">
      <c r="C402" s="60">
        <v>1</v>
      </c>
      <c r="D402" s="56" t="s">
        <v>383</v>
      </c>
      <c r="E402" s="61" t="s">
        <v>129</v>
      </c>
      <c r="F402" s="62">
        <v>0.36399999999999999</v>
      </c>
      <c r="G402" s="63">
        <f>VLOOKUP(D402,upahbahan,3,FALSE)</f>
        <v>70000</v>
      </c>
      <c r="H402" s="64">
        <f>F402*G402</f>
        <v>25480</v>
      </c>
      <c r="I402" s="45"/>
      <c r="M402" s="1408"/>
    </row>
    <row r="403" spans="3:13" s="59" customFormat="1" ht="18" customHeight="1">
      <c r="C403" s="60">
        <v>2</v>
      </c>
      <c r="D403" s="56" t="s">
        <v>268</v>
      </c>
      <c r="E403" s="61" t="s">
        <v>65</v>
      </c>
      <c r="F403" s="276">
        <v>0.11</v>
      </c>
      <c r="G403" s="63">
        <f>VLOOKUP(D403,upahbahan,3,FALSE)</f>
        <v>216000</v>
      </c>
      <c r="H403" s="64">
        <f>F403*G403</f>
        <v>23760</v>
      </c>
      <c r="I403" s="45"/>
      <c r="M403" s="1408"/>
    </row>
    <row r="404" spans="3:13" s="59" customFormat="1" ht="18" customHeight="1">
      <c r="C404" s="66" t="s">
        <v>1214</v>
      </c>
      <c r="D404" s="67"/>
      <c r="E404" s="67"/>
      <c r="F404" s="67"/>
      <c r="G404" s="69"/>
      <c r="H404" s="64">
        <f>SUM(H402:H403)</f>
        <v>49240</v>
      </c>
      <c r="M404" s="1408"/>
    </row>
    <row r="405" spans="3:13" s="59" customFormat="1" ht="18" customHeight="1">
      <c r="C405" s="167" t="s">
        <v>1215</v>
      </c>
      <c r="D405" s="56" t="s">
        <v>1216</v>
      </c>
      <c r="E405" s="57"/>
      <c r="F405" s="57"/>
      <c r="G405" s="57"/>
      <c r="H405" s="58"/>
      <c r="M405" s="1408"/>
    </row>
    <row r="406" spans="3:13" s="59" customFormat="1" ht="18" customHeight="1">
      <c r="C406" s="66" t="s">
        <v>1217</v>
      </c>
      <c r="D406" s="67"/>
      <c r="E406" s="67"/>
      <c r="F406" s="67"/>
      <c r="G406" s="69"/>
      <c r="H406" s="74">
        <v>0</v>
      </c>
      <c r="M406" s="1408"/>
    </row>
    <row r="407" spans="3:13" s="79" customFormat="1" ht="18" customHeight="1">
      <c r="C407" s="75" t="s">
        <v>1218</v>
      </c>
      <c r="D407" s="76" t="s">
        <v>1219</v>
      </c>
      <c r="E407" s="77"/>
      <c r="F407" s="77"/>
      <c r="G407" s="78"/>
      <c r="H407" s="64">
        <f>H406+H404+H400</f>
        <v>67012</v>
      </c>
      <c r="I407" s="45"/>
      <c r="M407" s="1414"/>
    </row>
    <row r="408" spans="3:13" s="79" customFormat="1" ht="18" customHeight="1">
      <c r="C408" s="75" t="s">
        <v>1220</v>
      </c>
      <c r="D408" s="76" t="s">
        <v>1321</v>
      </c>
      <c r="E408" s="77"/>
      <c r="F408" s="78"/>
      <c r="G408" s="298">
        <f>$D$4</f>
        <v>0.1</v>
      </c>
      <c r="H408" s="64">
        <f>H407*G408</f>
        <v>6701.2000000000007</v>
      </c>
      <c r="I408" s="45"/>
      <c r="M408" s="1414"/>
    </row>
    <row r="409" spans="3:13" s="79" customFormat="1" ht="18" customHeight="1" thickBot="1">
      <c r="C409" s="81" t="s">
        <v>1221</v>
      </c>
      <c r="D409" s="82" t="s">
        <v>1222</v>
      </c>
      <c r="E409" s="83"/>
      <c r="F409" s="83"/>
      <c r="G409" s="84"/>
      <c r="H409" s="85">
        <f>SUM(H407:H408)</f>
        <v>73713.2</v>
      </c>
      <c r="I409" s="45"/>
      <c r="M409" s="1414"/>
    </row>
    <row r="410" spans="3:13" ht="13.8" thickTop="1">
      <c r="L410"/>
      <c r="M410" s="1406"/>
    </row>
    <row r="411" spans="3:13" s="59" customFormat="1" ht="14.4" thickBot="1">
      <c r="C411" s="47" t="s">
        <v>2733</v>
      </c>
      <c r="D411" s="149" t="s">
        <v>1397</v>
      </c>
      <c r="E411" s="275"/>
      <c r="F411" s="275"/>
      <c r="G411" s="275"/>
      <c r="H411" s="275"/>
      <c r="K411" s="50">
        <f>ROUNDDOWN(H427,-2)</f>
        <v>21300</v>
      </c>
      <c r="M411" s="1408"/>
    </row>
    <row r="412" spans="3:13" s="59" customFormat="1" ht="42" thickTop="1">
      <c r="C412" s="51" t="s">
        <v>1195</v>
      </c>
      <c r="D412" s="52" t="s">
        <v>1196</v>
      </c>
      <c r="E412" s="52" t="s">
        <v>1197</v>
      </c>
      <c r="F412" s="52" t="s">
        <v>1198</v>
      </c>
      <c r="G412" s="52" t="s">
        <v>1199</v>
      </c>
      <c r="H412" s="53" t="s">
        <v>1200</v>
      </c>
      <c r="I412" s="45"/>
      <c r="M412" s="1408"/>
    </row>
    <row r="413" spans="3:13" s="59" customFormat="1" ht="22.2" customHeight="1">
      <c r="C413" s="55" t="s">
        <v>1201</v>
      </c>
      <c r="D413" s="56" t="s">
        <v>1202</v>
      </c>
      <c r="E413" s="57"/>
      <c r="F413" s="57"/>
      <c r="G413" s="57"/>
      <c r="H413" s="58"/>
      <c r="I413" s="45"/>
      <c r="M413" s="1408"/>
    </row>
    <row r="414" spans="3:13" s="59" customFormat="1" ht="22.2" customHeight="1">
      <c r="C414" s="60">
        <v>1</v>
      </c>
      <c r="D414" s="56" t="s">
        <v>5</v>
      </c>
      <c r="E414" s="61" t="s">
        <v>6</v>
      </c>
      <c r="F414" s="101">
        <v>2.5000000000000001E-2</v>
      </c>
      <c r="G414" s="63">
        <f>VLOOKUP(D414,upahbahan,3,FALSE)</f>
        <v>100000</v>
      </c>
      <c r="H414" s="64">
        <f>F414*G414</f>
        <v>2500</v>
      </c>
      <c r="I414" s="45"/>
      <c r="M414" s="1408"/>
    </row>
    <row r="415" spans="3:13" s="59" customFormat="1" ht="22.2" customHeight="1">
      <c r="C415" s="60">
        <v>2</v>
      </c>
      <c r="D415" s="56" t="s">
        <v>8</v>
      </c>
      <c r="E415" s="61" t="s">
        <v>6</v>
      </c>
      <c r="F415" s="101">
        <v>2.5000000000000001E-2</v>
      </c>
      <c r="G415" s="63">
        <f>VLOOKUP(D415,upahbahan,3,FALSE)</f>
        <v>135000</v>
      </c>
      <c r="H415" s="64">
        <f>F415*G415</f>
        <v>3375</v>
      </c>
      <c r="I415" s="45"/>
      <c r="M415" s="1408"/>
    </row>
    <row r="416" spans="3:13" s="59" customFormat="1" ht="22.2" customHeight="1">
      <c r="C416" s="60">
        <v>3</v>
      </c>
      <c r="D416" s="56" t="s">
        <v>18</v>
      </c>
      <c r="E416" s="61" t="s">
        <v>6</v>
      </c>
      <c r="F416" s="101">
        <v>2.5000000000000001E-3</v>
      </c>
      <c r="G416" s="63">
        <f>VLOOKUP(D416,upahbahan,3,FALSE)</f>
        <v>150000</v>
      </c>
      <c r="H416" s="64">
        <f>F416*G416</f>
        <v>375</v>
      </c>
      <c r="I416" s="45"/>
      <c r="M416" s="1408"/>
    </row>
    <row r="417" spans="3:13" s="59" customFormat="1" ht="22.2" customHeight="1">
      <c r="C417" s="60">
        <v>4</v>
      </c>
      <c r="D417" s="56" t="s">
        <v>19</v>
      </c>
      <c r="E417" s="61" t="s">
        <v>6</v>
      </c>
      <c r="F417" s="101">
        <v>8.0000000000000004E-4</v>
      </c>
      <c r="G417" s="63">
        <f>VLOOKUP(D417,upahbahan,3,FALSE)</f>
        <v>160000</v>
      </c>
      <c r="H417" s="64">
        <f>F417*G417</f>
        <v>128</v>
      </c>
      <c r="I417" s="45"/>
      <c r="M417" s="1408"/>
    </row>
    <row r="418" spans="3:13" s="59" customFormat="1" ht="22.2" customHeight="1">
      <c r="C418" s="66" t="s">
        <v>1208</v>
      </c>
      <c r="D418" s="67"/>
      <c r="E418" s="67"/>
      <c r="F418" s="142"/>
      <c r="G418" s="153"/>
      <c r="H418" s="64">
        <f>SUM(H414:H417)</f>
        <v>6378</v>
      </c>
      <c r="I418" s="274"/>
      <c r="K418" s="274"/>
      <c r="L418" s="274"/>
      <c r="M418" s="1408"/>
    </row>
    <row r="419" spans="3:13" s="59" customFormat="1" ht="22.2" customHeight="1">
      <c r="C419" s="55" t="s">
        <v>1209</v>
      </c>
      <c r="D419" s="56" t="s">
        <v>1210</v>
      </c>
      <c r="E419" s="57"/>
      <c r="F419" s="57"/>
      <c r="G419" s="57"/>
      <c r="H419" s="58"/>
      <c r="I419" s="45"/>
      <c r="M419" s="1408"/>
    </row>
    <row r="420" spans="3:13" s="59" customFormat="1" ht="22.2" customHeight="1">
      <c r="C420" s="60">
        <v>1</v>
      </c>
      <c r="D420" s="56" t="s">
        <v>386</v>
      </c>
      <c r="E420" s="61" t="s">
        <v>113</v>
      </c>
      <c r="F420" s="276">
        <v>1.1000000000000001</v>
      </c>
      <c r="G420" s="63">
        <f>VLOOKUP(D420,upahbahan,3,FALSE)</f>
        <v>9900</v>
      </c>
      <c r="H420" s="64">
        <f>F420*G420</f>
        <v>10890</v>
      </c>
      <c r="I420" s="45"/>
      <c r="M420" s="1408"/>
    </row>
    <row r="421" spans="3:13" s="59" customFormat="1" ht="22.2" customHeight="1">
      <c r="C421" s="60">
        <v>2</v>
      </c>
      <c r="D421" s="56" t="s">
        <v>268</v>
      </c>
      <c r="E421" s="61" t="s">
        <v>65</v>
      </c>
      <c r="F421" s="276">
        <v>0.01</v>
      </c>
      <c r="G421" s="63">
        <f>VLOOKUP(D421,upahbahan,3,FALSE)</f>
        <v>216000</v>
      </c>
      <c r="H421" s="64">
        <f>F421*G421</f>
        <v>2160</v>
      </c>
      <c r="I421" s="45"/>
      <c r="M421" s="1408"/>
    </row>
    <row r="422" spans="3:13" s="59" customFormat="1" ht="22.2" customHeight="1">
      <c r="C422" s="66" t="s">
        <v>1214</v>
      </c>
      <c r="D422" s="67"/>
      <c r="E422" s="67"/>
      <c r="F422" s="67"/>
      <c r="G422" s="69"/>
      <c r="H422" s="64">
        <f>SUM(H420:H421)</f>
        <v>13050</v>
      </c>
      <c r="M422" s="1408"/>
    </row>
    <row r="423" spans="3:13" s="59" customFormat="1" ht="22.2" customHeight="1">
      <c r="C423" s="167" t="s">
        <v>1215</v>
      </c>
      <c r="D423" s="56" t="s">
        <v>1216</v>
      </c>
      <c r="E423" s="57"/>
      <c r="F423" s="57"/>
      <c r="G423" s="57"/>
      <c r="H423" s="58"/>
      <c r="M423" s="1408"/>
    </row>
    <row r="424" spans="3:13" s="59" customFormat="1" ht="22.2" customHeight="1">
      <c r="C424" s="66" t="s">
        <v>1217</v>
      </c>
      <c r="D424" s="67"/>
      <c r="E424" s="67"/>
      <c r="F424" s="67"/>
      <c r="G424" s="69"/>
      <c r="H424" s="74">
        <v>0</v>
      </c>
      <c r="M424" s="1408"/>
    </row>
    <row r="425" spans="3:13" s="79" customFormat="1" ht="22.2" customHeight="1">
      <c r="C425" s="75" t="s">
        <v>1218</v>
      </c>
      <c r="D425" s="76" t="s">
        <v>1219</v>
      </c>
      <c r="E425" s="77"/>
      <c r="F425" s="77"/>
      <c r="G425" s="78"/>
      <c r="H425" s="64">
        <f>H424+H422+H418</f>
        <v>19428</v>
      </c>
      <c r="I425" s="45"/>
      <c r="M425" s="1414"/>
    </row>
    <row r="426" spans="3:13" s="79" customFormat="1" ht="22.2" customHeight="1">
      <c r="C426" s="75" t="s">
        <v>1220</v>
      </c>
      <c r="D426" s="76" t="s">
        <v>1321</v>
      </c>
      <c r="E426" s="77"/>
      <c r="F426" s="78"/>
      <c r="G426" s="298">
        <f>$D$4</f>
        <v>0.1</v>
      </c>
      <c r="H426" s="64">
        <f>H425*G426</f>
        <v>1942.8000000000002</v>
      </c>
      <c r="I426" s="45"/>
      <c r="M426" s="1414"/>
    </row>
    <row r="427" spans="3:13" s="79" customFormat="1" ht="22.2" customHeight="1" thickBot="1">
      <c r="C427" s="81" t="s">
        <v>1221</v>
      </c>
      <c r="D427" s="82" t="s">
        <v>1222</v>
      </c>
      <c r="E427" s="83"/>
      <c r="F427" s="83"/>
      <c r="G427" s="84"/>
      <c r="H427" s="85">
        <f>SUM(H425:H426)</f>
        <v>21370.799999999999</v>
      </c>
      <c r="I427" s="45"/>
      <c r="M427" s="1414"/>
    </row>
    <row r="428" spans="3:13" ht="13.8" thickTop="1">
      <c r="L428"/>
      <c r="M428" s="1406"/>
    </row>
    <row r="429" spans="3:13" s="59" customFormat="1" ht="14.4" thickBot="1">
      <c r="C429" s="47" t="s">
        <v>2737</v>
      </c>
      <c r="D429" s="149" t="s">
        <v>1399</v>
      </c>
      <c r="E429" s="275"/>
      <c r="F429" s="275"/>
      <c r="G429" s="275"/>
      <c r="H429" s="275"/>
      <c r="K429" s="50">
        <f>ROUNDDOWN(H445,-2)</f>
        <v>120400</v>
      </c>
      <c r="M429" s="1408"/>
    </row>
    <row r="430" spans="3:13" s="59" customFormat="1" ht="42" thickTop="1">
      <c r="C430" s="51" t="s">
        <v>1195</v>
      </c>
      <c r="D430" s="52" t="s">
        <v>1196</v>
      </c>
      <c r="E430" s="52" t="s">
        <v>1197</v>
      </c>
      <c r="F430" s="52" t="s">
        <v>1198</v>
      </c>
      <c r="G430" s="52" t="s">
        <v>1199</v>
      </c>
      <c r="H430" s="53" t="s">
        <v>1200</v>
      </c>
      <c r="I430" s="45"/>
      <c r="M430" s="1408"/>
    </row>
    <row r="431" spans="3:13" s="59" customFormat="1" ht="19.8" customHeight="1">
      <c r="C431" s="55" t="s">
        <v>1201</v>
      </c>
      <c r="D431" s="56" t="s">
        <v>1202</v>
      </c>
      <c r="E431" s="57"/>
      <c r="F431" s="57"/>
      <c r="G431" s="57"/>
      <c r="H431" s="58"/>
      <c r="I431" s="45"/>
      <c r="M431" s="1408"/>
    </row>
    <row r="432" spans="3:13" s="59" customFormat="1" ht="19.8" customHeight="1">
      <c r="C432" s="60">
        <v>1</v>
      </c>
      <c r="D432" s="56" t="s">
        <v>5</v>
      </c>
      <c r="E432" s="61" t="s">
        <v>6</v>
      </c>
      <c r="F432" s="101">
        <v>0.35</v>
      </c>
      <c r="G432" s="63">
        <f>VLOOKUP(D432,upahbahan,3,FALSE)</f>
        <v>100000</v>
      </c>
      <c r="H432" s="64">
        <f>F432*G432</f>
        <v>35000</v>
      </c>
      <c r="I432" s="45"/>
      <c r="M432" s="1408"/>
    </row>
    <row r="433" spans="3:13" s="59" customFormat="1" ht="19.8" customHeight="1">
      <c r="C433" s="60">
        <v>2</v>
      </c>
      <c r="D433" s="56" t="s">
        <v>9</v>
      </c>
      <c r="E433" s="61" t="s">
        <v>6</v>
      </c>
      <c r="F433" s="101">
        <v>0.35</v>
      </c>
      <c r="G433" s="63">
        <f>VLOOKUP(D433,upahbahan,3,FALSE)</f>
        <v>135000</v>
      </c>
      <c r="H433" s="64">
        <f>F433*G433</f>
        <v>47250</v>
      </c>
      <c r="I433" s="45"/>
      <c r="M433" s="1408"/>
    </row>
    <row r="434" spans="3:13" s="59" customFormat="1" ht="19.8" customHeight="1">
      <c r="C434" s="60">
        <v>3</v>
      </c>
      <c r="D434" s="56" t="s">
        <v>18</v>
      </c>
      <c r="E434" s="61" t="s">
        <v>6</v>
      </c>
      <c r="F434" s="101">
        <v>3.5000000000000003E-2</v>
      </c>
      <c r="G434" s="63">
        <f>VLOOKUP(D434,upahbahan,3,FALSE)</f>
        <v>150000</v>
      </c>
      <c r="H434" s="64">
        <f>F434*G434</f>
        <v>5250.0000000000009</v>
      </c>
      <c r="I434" s="45"/>
      <c r="M434" s="1408"/>
    </row>
    <row r="435" spans="3:13" s="59" customFormat="1" ht="19.8" customHeight="1">
      <c r="C435" s="60">
        <v>4</v>
      </c>
      <c r="D435" s="56" t="s">
        <v>19</v>
      </c>
      <c r="E435" s="61" t="s">
        <v>6</v>
      </c>
      <c r="F435" s="101">
        <v>1.17E-2</v>
      </c>
      <c r="G435" s="63">
        <f>VLOOKUP(D435,upahbahan,3,FALSE)</f>
        <v>160000</v>
      </c>
      <c r="H435" s="64">
        <f>F435*G435</f>
        <v>1872</v>
      </c>
      <c r="I435" s="45"/>
      <c r="M435" s="1408"/>
    </row>
    <row r="436" spans="3:13" s="59" customFormat="1" ht="19.8" customHeight="1">
      <c r="C436" s="66" t="s">
        <v>1208</v>
      </c>
      <c r="D436" s="67"/>
      <c r="E436" s="67"/>
      <c r="F436" s="142"/>
      <c r="G436" s="153"/>
      <c r="H436" s="64">
        <f>SUM(H432:H435)</f>
        <v>89372</v>
      </c>
      <c r="I436" s="274"/>
      <c r="K436" s="274"/>
      <c r="L436" s="274"/>
      <c r="M436" s="1408"/>
    </row>
    <row r="437" spans="3:13" s="59" customFormat="1" ht="19.8" customHeight="1">
      <c r="C437" s="55" t="s">
        <v>1209</v>
      </c>
      <c r="D437" s="56" t="s">
        <v>1210</v>
      </c>
      <c r="E437" s="57"/>
      <c r="F437" s="57"/>
      <c r="G437" s="57"/>
      <c r="H437" s="58"/>
      <c r="I437" s="45"/>
      <c r="M437" s="1408"/>
    </row>
    <row r="438" spans="3:13" s="59" customFormat="1" ht="19.8" customHeight="1">
      <c r="C438" s="60">
        <v>1</v>
      </c>
      <c r="D438" s="72" t="s">
        <v>222</v>
      </c>
      <c r="E438" s="73" t="s">
        <v>113</v>
      </c>
      <c r="F438" s="62">
        <v>4</v>
      </c>
      <c r="G438" s="63">
        <f>VLOOKUP(D438,upahbahan,3,FALSE)</f>
        <v>4200</v>
      </c>
      <c r="H438" s="64">
        <f>F438*G438</f>
        <v>16800</v>
      </c>
      <c r="I438" s="45"/>
      <c r="M438" s="1408"/>
    </row>
    <row r="439" spans="3:13" s="59" customFormat="1" ht="19.8" customHeight="1">
      <c r="C439" s="60">
        <v>2</v>
      </c>
      <c r="D439" s="72" t="s">
        <v>254</v>
      </c>
      <c r="E439" s="73" t="s">
        <v>65</v>
      </c>
      <c r="F439" s="62">
        <v>0.05</v>
      </c>
      <c r="G439" s="63">
        <f>VLOOKUP(D439,upahbahan,3,FALSE)</f>
        <v>66600</v>
      </c>
      <c r="H439" s="64">
        <f>F439*G439</f>
        <v>3330</v>
      </c>
      <c r="I439" s="45"/>
      <c r="M439" s="1408"/>
    </row>
    <row r="440" spans="3:13" s="59" customFormat="1" ht="19.8" customHeight="1">
      <c r="C440" s="66" t="s">
        <v>1214</v>
      </c>
      <c r="D440" s="67"/>
      <c r="E440" s="67"/>
      <c r="F440" s="67"/>
      <c r="G440" s="69"/>
      <c r="H440" s="64">
        <f>SUM(H438:H439)</f>
        <v>20130</v>
      </c>
      <c r="M440" s="1408"/>
    </row>
    <row r="441" spans="3:13" s="59" customFormat="1" ht="19.8" customHeight="1">
      <c r="C441" s="167" t="s">
        <v>1215</v>
      </c>
      <c r="D441" s="56" t="s">
        <v>1216</v>
      </c>
      <c r="E441" s="57"/>
      <c r="F441" s="57"/>
      <c r="G441" s="57"/>
      <c r="H441" s="58"/>
      <c r="M441" s="1408"/>
    </row>
    <row r="442" spans="3:13" s="59" customFormat="1" ht="19.8" customHeight="1">
      <c r="C442" s="66" t="s">
        <v>1217</v>
      </c>
      <c r="D442" s="67"/>
      <c r="E442" s="67"/>
      <c r="F442" s="67"/>
      <c r="G442" s="69"/>
      <c r="H442" s="74">
        <v>0</v>
      </c>
      <c r="M442" s="1408"/>
    </row>
    <row r="443" spans="3:13" s="79" customFormat="1" ht="19.8" customHeight="1">
      <c r="C443" s="75" t="s">
        <v>1218</v>
      </c>
      <c r="D443" s="76" t="s">
        <v>1219</v>
      </c>
      <c r="E443" s="77"/>
      <c r="F443" s="77"/>
      <c r="G443" s="78"/>
      <c r="H443" s="64">
        <f>H442+H440+H436</f>
        <v>109502</v>
      </c>
      <c r="I443" s="45"/>
      <c r="M443" s="1414"/>
    </row>
    <row r="444" spans="3:13" s="79" customFormat="1" ht="19.8" customHeight="1">
      <c r="C444" s="75" t="s">
        <v>1220</v>
      </c>
      <c r="D444" s="76" t="s">
        <v>1321</v>
      </c>
      <c r="E444" s="77"/>
      <c r="F444" s="78"/>
      <c r="G444" s="298">
        <f>$D$4</f>
        <v>0.1</v>
      </c>
      <c r="H444" s="64">
        <f>H443*G444</f>
        <v>10950.2</v>
      </c>
      <c r="I444" s="45"/>
      <c r="M444" s="1414"/>
    </row>
    <row r="445" spans="3:13" s="79" customFormat="1" ht="19.8" customHeight="1" thickBot="1">
      <c r="C445" s="81" t="s">
        <v>1221</v>
      </c>
      <c r="D445" s="82" t="s">
        <v>1222</v>
      </c>
      <c r="E445" s="83"/>
      <c r="F445" s="83"/>
      <c r="G445" s="84"/>
      <c r="H445" s="85">
        <f>SUM(H443:H444)</f>
        <v>120452.2</v>
      </c>
      <c r="I445" s="45"/>
      <c r="M445" s="1414"/>
    </row>
    <row r="446" spans="3:13" ht="13.8" thickTop="1">
      <c r="L446"/>
      <c r="M446" s="1406"/>
    </row>
    <row r="447" spans="3:13" s="59" customFormat="1" ht="14.4" thickBot="1">
      <c r="C447" s="44" t="s">
        <v>2766</v>
      </c>
      <c r="D447" s="451" t="s">
        <v>1350</v>
      </c>
      <c r="E447" s="456"/>
      <c r="F447" s="456"/>
      <c r="G447" s="456"/>
      <c r="H447" s="456"/>
      <c r="K447" s="50">
        <f>ROUNDDOWN(H464,-2)</f>
        <v>145700</v>
      </c>
      <c r="M447" s="1408"/>
    </row>
    <row r="448" spans="3:13" s="59" customFormat="1" ht="31.2" customHeight="1" thickTop="1">
      <c r="C448" s="51" t="s">
        <v>1195</v>
      </c>
      <c r="D448" s="52" t="s">
        <v>1196</v>
      </c>
      <c r="E448" s="52" t="s">
        <v>1197</v>
      </c>
      <c r="F448" s="52" t="s">
        <v>1198</v>
      </c>
      <c r="G448" s="52" t="s">
        <v>1199</v>
      </c>
      <c r="H448" s="53" t="s">
        <v>1200</v>
      </c>
      <c r="I448" s="45"/>
      <c r="M448" s="1408"/>
    </row>
    <row r="449" spans="3:13" s="59" customFormat="1" ht="19.8" customHeight="1">
      <c r="C449" s="55" t="s">
        <v>1201</v>
      </c>
      <c r="D449" s="56" t="s">
        <v>1202</v>
      </c>
      <c r="E449" s="57"/>
      <c r="F449" s="57"/>
      <c r="G449" s="57"/>
      <c r="H449" s="58"/>
      <c r="I449" s="45"/>
      <c r="M449" s="1408"/>
    </row>
    <row r="450" spans="3:13" s="59" customFormat="1" ht="19.8" customHeight="1">
      <c r="C450" s="60">
        <v>1</v>
      </c>
      <c r="D450" s="56" t="s">
        <v>5</v>
      </c>
      <c r="E450" s="61" t="s">
        <v>6</v>
      </c>
      <c r="F450" s="101">
        <v>0.2</v>
      </c>
      <c r="G450" s="63">
        <f>VLOOKUP(D450,upahbahan,3,FALSE)</f>
        <v>100000</v>
      </c>
      <c r="H450" s="64">
        <f>F450*G450</f>
        <v>20000</v>
      </c>
      <c r="I450" s="45"/>
      <c r="M450" s="1408"/>
    </row>
    <row r="451" spans="3:13" s="59" customFormat="1" ht="19.8" customHeight="1">
      <c r="C451" s="60">
        <v>2</v>
      </c>
      <c r="D451" s="56" t="s">
        <v>7</v>
      </c>
      <c r="E451" s="61" t="s">
        <v>6</v>
      </c>
      <c r="F451" s="101">
        <v>0.1</v>
      </c>
      <c r="G451" s="63">
        <f>VLOOKUP(D451,upahbahan,3,FALSE)</f>
        <v>135000</v>
      </c>
      <c r="H451" s="64">
        <f>F451*G451</f>
        <v>13500</v>
      </c>
      <c r="I451" s="45"/>
      <c r="M451" s="1408"/>
    </row>
    <row r="452" spans="3:13" s="59" customFormat="1" ht="19.8" customHeight="1">
      <c r="C452" s="60">
        <v>3</v>
      </c>
      <c r="D452" s="56" t="s">
        <v>18</v>
      </c>
      <c r="E452" s="61" t="s">
        <v>6</v>
      </c>
      <c r="F452" s="101">
        <v>0.01</v>
      </c>
      <c r="G452" s="63">
        <f>VLOOKUP(D452,upahbahan,3,FALSE)</f>
        <v>150000</v>
      </c>
      <c r="H452" s="64">
        <f>F452*G452</f>
        <v>1500</v>
      </c>
      <c r="I452" s="45"/>
      <c r="M452" s="1408"/>
    </row>
    <row r="453" spans="3:13" s="59" customFormat="1" ht="19.8" customHeight="1">
      <c r="C453" s="60">
        <v>4</v>
      </c>
      <c r="D453" s="56" t="s">
        <v>19</v>
      </c>
      <c r="E453" s="61" t="s">
        <v>6</v>
      </c>
      <c r="F453" s="101">
        <v>3.3E-3</v>
      </c>
      <c r="G453" s="63">
        <f>VLOOKUP(D453,upahbahan,3,FALSE)</f>
        <v>160000</v>
      </c>
      <c r="H453" s="64">
        <f>F453*G453</f>
        <v>528</v>
      </c>
      <c r="I453" s="45"/>
      <c r="M453" s="1408"/>
    </row>
    <row r="454" spans="3:13" s="59" customFormat="1" ht="19.8" customHeight="1">
      <c r="C454" s="66" t="s">
        <v>1331</v>
      </c>
      <c r="D454" s="67"/>
      <c r="E454" s="67"/>
      <c r="F454" s="68"/>
      <c r="G454" s="69"/>
      <c r="H454" s="64">
        <f>SUM(H450:H453)</f>
        <v>35528</v>
      </c>
      <c r="I454" s="45"/>
      <c r="M454" s="1408"/>
    </row>
    <row r="455" spans="3:13" s="59" customFormat="1" ht="19.8" customHeight="1">
      <c r="C455" s="55" t="s">
        <v>1209</v>
      </c>
      <c r="D455" s="56" t="s">
        <v>1210</v>
      </c>
      <c r="E455" s="57"/>
      <c r="F455" s="287"/>
      <c r="G455" s="57"/>
      <c r="H455" s="58"/>
      <c r="I455" s="45"/>
      <c r="M455" s="1408"/>
    </row>
    <row r="456" spans="3:13" s="59" customFormat="1" ht="19.8" customHeight="1">
      <c r="C456" s="60">
        <v>1</v>
      </c>
      <c r="D456" s="56" t="s">
        <v>635</v>
      </c>
      <c r="E456" s="61" t="s">
        <v>44</v>
      </c>
      <c r="F456" s="62">
        <v>26.25</v>
      </c>
      <c r="G456" s="63">
        <f>VLOOKUP(D456,upahbahan,3,FALSE)</f>
        <v>2500</v>
      </c>
      <c r="H456" s="64">
        <f>F456*G456</f>
        <v>65625</v>
      </c>
      <c r="I456" s="45"/>
      <c r="M456" s="1408"/>
    </row>
    <row r="457" spans="3:13" s="59" customFormat="1" ht="19.8" customHeight="1">
      <c r="C457" s="60">
        <v>2</v>
      </c>
      <c r="D457" s="56" t="s">
        <v>2334</v>
      </c>
      <c r="E457" s="61" t="s">
        <v>65</v>
      </c>
      <c r="F457" s="62">
        <v>14</v>
      </c>
      <c r="G457" s="63">
        <f>VLOOKUP(D457,upahbahan,3,FALSE)</f>
        <v>1530</v>
      </c>
      <c r="H457" s="64">
        <f>F457*G457</f>
        <v>21420</v>
      </c>
      <c r="I457" s="45"/>
      <c r="M457" s="1408"/>
    </row>
    <row r="458" spans="3:13" s="59" customFormat="1" ht="19.8" customHeight="1">
      <c r="C458" s="60">
        <v>3</v>
      </c>
      <c r="D458" s="72" t="s">
        <v>85</v>
      </c>
      <c r="E458" s="61" t="s">
        <v>42</v>
      </c>
      <c r="F458" s="62">
        <v>3.2000000000000001E-2</v>
      </c>
      <c r="G458" s="63">
        <f>VLOOKUP(D458,upahbahan,3,FALSE)</f>
        <v>310500</v>
      </c>
      <c r="H458" s="64">
        <f>F458*G458</f>
        <v>9936</v>
      </c>
      <c r="I458" s="45"/>
      <c r="M458" s="1408"/>
    </row>
    <row r="459" spans="3:13" s="59" customFormat="1" ht="19.8" customHeight="1">
      <c r="C459" s="66" t="s">
        <v>1214</v>
      </c>
      <c r="D459" s="67"/>
      <c r="E459" s="67"/>
      <c r="F459" s="67"/>
      <c r="G459" s="69"/>
      <c r="H459" s="64">
        <f>SUM(H456:H458)</f>
        <v>96981</v>
      </c>
      <c r="I459" s="45"/>
      <c r="M459" s="1408"/>
    </row>
    <row r="460" spans="3:13" s="59" customFormat="1" ht="19.8" customHeight="1">
      <c r="C460" s="167" t="s">
        <v>1215</v>
      </c>
      <c r="D460" s="56" t="s">
        <v>1216</v>
      </c>
      <c r="E460" s="57"/>
      <c r="F460" s="57"/>
      <c r="G460" s="57"/>
      <c r="H460" s="58"/>
      <c r="I460" s="45"/>
      <c r="M460" s="1408"/>
    </row>
    <row r="461" spans="3:13" s="59" customFormat="1" ht="19.8" customHeight="1">
      <c r="C461" s="66" t="s">
        <v>1217</v>
      </c>
      <c r="D461" s="67"/>
      <c r="E461" s="67"/>
      <c r="F461" s="67"/>
      <c r="G461" s="69"/>
      <c r="H461" s="74">
        <v>0</v>
      </c>
      <c r="I461" s="45"/>
      <c r="M461" s="1408"/>
    </row>
    <row r="462" spans="3:13" s="59" customFormat="1" ht="19.8" customHeight="1">
      <c r="C462" s="75" t="s">
        <v>1218</v>
      </c>
      <c r="D462" s="76" t="s">
        <v>1219</v>
      </c>
      <c r="E462" s="77"/>
      <c r="F462" s="77"/>
      <c r="G462" s="78"/>
      <c r="H462" s="64">
        <f>H461+H459+H454</f>
        <v>132509</v>
      </c>
      <c r="I462" s="45"/>
      <c r="M462" s="1408"/>
    </row>
    <row r="463" spans="3:13" s="59" customFormat="1" ht="19.8" customHeight="1">
      <c r="C463" s="75" t="s">
        <v>1220</v>
      </c>
      <c r="D463" s="76" t="s">
        <v>1321</v>
      </c>
      <c r="E463" s="77"/>
      <c r="F463" s="78"/>
      <c r="G463" s="298">
        <f>$D$4</f>
        <v>0.1</v>
      </c>
      <c r="H463" s="64">
        <f>H462*G463</f>
        <v>13250.900000000001</v>
      </c>
      <c r="I463" s="45"/>
      <c r="M463" s="1408"/>
    </row>
    <row r="464" spans="3:13" s="59" customFormat="1" ht="19.8" customHeight="1" thickBot="1">
      <c r="C464" s="81" t="s">
        <v>1221</v>
      </c>
      <c r="D464" s="82" t="s">
        <v>1222</v>
      </c>
      <c r="E464" s="83"/>
      <c r="F464" s="83"/>
      <c r="G464" s="84"/>
      <c r="H464" s="85">
        <f>SUM(H462:H463)</f>
        <v>145759.9</v>
      </c>
      <c r="I464" s="45"/>
      <c r="M464" s="1408"/>
    </row>
    <row r="465" spans="3:13" s="59" customFormat="1" ht="14.4" thickTop="1">
      <c r="C465" s="54"/>
      <c r="D465" s="86"/>
      <c r="E465" s="86"/>
      <c r="F465" s="86"/>
      <c r="G465" s="86"/>
      <c r="H465" s="87"/>
      <c r="I465" s="45"/>
      <c r="M465" s="1408"/>
    </row>
    <row r="466" spans="3:13" s="59" customFormat="1" ht="29.4" customHeight="1" thickBot="1">
      <c r="C466" s="47" t="s">
        <v>2767</v>
      </c>
      <c r="D466" s="454" t="s">
        <v>2768</v>
      </c>
      <c r="E466" s="454"/>
      <c r="F466" s="454"/>
      <c r="G466" s="454"/>
      <c r="H466" s="454"/>
      <c r="K466" s="50">
        <f>ROUNDDOWN(H483,-2)</f>
        <v>229400</v>
      </c>
      <c r="M466" s="1408"/>
    </row>
    <row r="467" spans="3:13" s="59" customFormat="1" ht="42" thickTop="1">
      <c r="C467" s="51" t="s">
        <v>1195</v>
      </c>
      <c r="D467" s="52" t="s">
        <v>1196</v>
      </c>
      <c r="E467" s="52" t="s">
        <v>1197</v>
      </c>
      <c r="F467" s="52" t="s">
        <v>1198</v>
      </c>
      <c r="G467" s="52" t="s">
        <v>1199</v>
      </c>
      <c r="H467" s="53" t="s">
        <v>1200</v>
      </c>
      <c r="I467" s="45"/>
      <c r="M467" s="1408"/>
    </row>
    <row r="468" spans="3:13" s="59" customFormat="1" ht="19.8" customHeight="1">
      <c r="C468" s="55" t="s">
        <v>1201</v>
      </c>
      <c r="D468" s="56" t="s">
        <v>1202</v>
      </c>
      <c r="E468" s="57"/>
      <c r="F468" s="57"/>
      <c r="G468" s="57"/>
      <c r="H468" s="58"/>
      <c r="I468" s="45"/>
      <c r="M468" s="1408"/>
    </row>
    <row r="469" spans="3:13" s="59" customFormat="1" ht="19.8" customHeight="1">
      <c r="C469" s="60">
        <v>1</v>
      </c>
      <c r="D469" s="56" t="s">
        <v>5</v>
      </c>
      <c r="E469" s="61" t="s">
        <v>6</v>
      </c>
      <c r="F469" s="101">
        <v>0.2</v>
      </c>
      <c r="G469" s="63">
        <f>VLOOKUP(D469,upahbahan,3,FALSE)</f>
        <v>100000</v>
      </c>
      <c r="H469" s="64">
        <f>F469*G469</f>
        <v>20000</v>
      </c>
      <c r="I469" s="45"/>
      <c r="M469" s="1408"/>
    </row>
    <row r="470" spans="3:13" s="59" customFormat="1" ht="19.8" customHeight="1">
      <c r="C470" s="60">
        <v>2</v>
      </c>
      <c r="D470" s="56" t="s">
        <v>7</v>
      </c>
      <c r="E470" s="61" t="s">
        <v>6</v>
      </c>
      <c r="F470" s="101">
        <v>0.1</v>
      </c>
      <c r="G470" s="63">
        <f>VLOOKUP(D470,upahbahan,3,FALSE)</f>
        <v>135000</v>
      </c>
      <c r="H470" s="64">
        <f>F470*G470</f>
        <v>13500</v>
      </c>
      <c r="I470" s="45"/>
      <c r="M470" s="1408"/>
    </row>
    <row r="471" spans="3:13" s="59" customFormat="1" ht="19.8" customHeight="1">
      <c r="C471" s="60">
        <v>3</v>
      </c>
      <c r="D471" s="56" t="s">
        <v>18</v>
      </c>
      <c r="E471" s="61" t="s">
        <v>6</v>
      </c>
      <c r="F471" s="101">
        <v>0.01</v>
      </c>
      <c r="G471" s="63">
        <f>VLOOKUP(D471,upahbahan,3,FALSE)</f>
        <v>150000</v>
      </c>
      <c r="H471" s="64">
        <f>F471*G471</f>
        <v>1500</v>
      </c>
      <c r="I471" s="45"/>
      <c r="M471" s="1408"/>
    </row>
    <row r="472" spans="3:13" s="59" customFormat="1" ht="19.8" customHeight="1">
      <c r="C472" s="60">
        <v>4</v>
      </c>
      <c r="D472" s="56" t="s">
        <v>19</v>
      </c>
      <c r="E472" s="61" t="s">
        <v>6</v>
      </c>
      <c r="F472" s="101">
        <v>3.3E-3</v>
      </c>
      <c r="G472" s="63">
        <f>VLOOKUP(D472,upahbahan,3,FALSE)</f>
        <v>160000</v>
      </c>
      <c r="H472" s="64">
        <f>F472*G472</f>
        <v>528</v>
      </c>
      <c r="I472" s="45"/>
      <c r="M472" s="1408"/>
    </row>
    <row r="473" spans="3:13" s="59" customFormat="1" ht="19.8" customHeight="1">
      <c r="C473" s="66" t="s">
        <v>1331</v>
      </c>
      <c r="D473" s="67"/>
      <c r="E473" s="67"/>
      <c r="F473" s="68"/>
      <c r="G473" s="69"/>
      <c r="H473" s="64">
        <f>SUM(H469:H472)</f>
        <v>35528</v>
      </c>
      <c r="I473" s="45"/>
      <c r="M473" s="1408"/>
    </row>
    <row r="474" spans="3:13" s="59" customFormat="1" ht="19.8" customHeight="1">
      <c r="C474" s="55" t="s">
        <v>1209</v>
      </c>
      <c r="D474" s="56" t="s">
        <v>1210</v>
      </c>
      <c r="E474" s="57"/>
      <c r="F474" s="287"/>
      <c r="G474" s="57"/>
      <c r="H474" s="58"/>
      <c r="I474" s="45"/>
      <c r="M474" s="1408"/>
    </row>
    <row r="475" spans="3:13" s="59" customFormat="1" ht="19.8" customHeight="1">
      <c r="C475" s="60">
        <v>1</v>
      </c>
      <c r="D475" s="56" t="s">
        <v>50</v>
      </c>
      <c r="E475" s="61" t="s">
        <v>44</v>
      </c>
      <c r="F475" s="62">
        <v>26.25</v>
      </c>
      <c r="G475" s="63">
        <f>VLOOKUP(D475,upahbahan,3,FALSE)</f>
        <v>5400</v>
      </c>
      <c r="H475" s="64">
        <f>F475*G475</f>
        <v>141750</v>
      </c>
      <c r="I475" s="45"/>
      <c r="M475" s="1408"/>
    </row>
    <row r="476" spans="3:13" s="59" customFormat="1" ht="19.8" customHeight="1">
      <c r="C476" s="60">
        <v>2</v>
      </c>
      <c r="D476" s="56" t="s">
        <v>2332</v>
      </c>
      <c r="E476" s="61" t="s">
        <v>65</v>
      </c>
      <c r="F476" s="62">
        <v>14</v>
      </c>
      <c r="G476" s="63">
        <f>VLOOKUP(D476,upahbahan,3,FALSE)</f>
        <v>1530</v>
      </c>
      <c r="H476" s="64">
        <f>F476*G476</f>
        <v>21420</v>
      </c>
      <c r="I476" s="45"/>
      <c r="M476" s="1408"/>
    </row>
    <row r="477" spans="3:13" s="59" customFormat="1" ht="19.8" customHeight="1">
      <c r="C477" s="60">
        <v>3</v>
      </c>
      <c r="D477" s="72" t="s">
        <v>85</v>
      </c>
      <c r="E477" s="61" t="s">
        <v>42</v>
      </c>
      <c r="F477" s="62">
        <v>3.2000000000000001E-2</v>
      </c>
      <c r="G477" s="63">
        <f>VLOOKUP(D477,upahbahan,3,FALSE)</f>
        <v>310500</v>
      </c>
      <c r="H477" s="64">
        <f>F477*G477</f>
        <v>9936</v>
      </c>
      <c r="I477" s="45"/>
      <c r="M477" s="1408"/>
    </row>
    <row r="478" spans="3:13" s="59" customFormat="1" ht="19.8" customHeight="1">
      <c r="C478" s="66" t="s">
        <v>1214</v>
      </c>
      <c r="D478" s="67"/>
      <c r="E478" s="67"/>
      <c r="F478" s="67"/>
      <c r="G478" s="69"/>
      <c r="H478" s="64">
        <f>SUM(H475:H477)</f>
        <v>173106</v>
      </c>
      <c r="I478" s="45"/>
      <c r="M478" s="1408"/>
    </row>
    <row r="479" spans="3:13" s="59" customFormat="1" ht="19.8" customHeight="1">
      <c r="C479" s="167" t="s">
        <v>1215</v>
      </c>
      <c r="D479" s="56" t="s">
        <v>1216</v>
      </c>
      <c r="E479" s="57"/>
      <c r="F479" s="57"/>
      <c r="G479" s="57"/>
      <c r="H479" s="58"/>
      <c r="I479" s="45"/>
      <c r="M479" s="1408"/>
    </row>
    <row r="480" spans="3:13" s="59" customFormat="1" ht="19.8" customHeight="1">
      <c r="C480" s="66" t="s">
        <v>1217</v>
      </c>
      <c r="D480" s="67"/>
      <c r="E480" s="67"/>
      <c r="F480" s="67"/>
      <c r="G480" s="69"/>
      <c r="H480" s="74">
        <v>0</v>
      </c>
      <c r="I480" s="45"/>
      <c r="M480" s="1408"/>
    </row>
    <row r="481" spans="3:13" s="59" customFormat="1" ht="19.8" customHeight="1">
      <c r="C481" s="75" t="s">
        <v>1218</v>
      </c>
      <c r="D481" s="76" t="s">
        <v>1219</v>
      </c>
      <c r="E481" s="77"/>
      <c r="F481" s="77"/>
      <c r="G481" s="78"/>
      <c r="H481" s="64">
        <f>H480+H478+H473</f>
        <v>208634</v>
      </c>
      <c r="I481" s="45"/>
      <c r="M481" s="1408"/>
    </row>
    <row r="482" spans="3:13" s="59" customFormat="1" ht="19.8" customHeight="1">
      <c r="C482" s="75" t="s">
        <v>1220</v>
      </c>
      <c r="D482" s="76" t="s">
        <v>1321</v>
      </c>
      <c r="E482" s="77"/>
      <c r="F482" s="78"/>
      <c r="G482" s="298">
        <f>$D$4</f>
        <v>0.1</v>
      </c>
      <c r="H482" s="64">
        <f>H481*G482</f>
        <v>20863.400000000001</v>
      </c>
      <c r="I482" s="45"/>
      <c r="M482" s="1408"/>
    </row>
    <row r="483" spans="3:13" s="59" customFormat="1" ht="19.8" customHeight="1" thickBot="1">
      <c r="C483" s="81" t="s">
        <v>1221</v>
      </c>
      <c r="D483" s="82" t="s">
        <v>1222</v>
      </c>
      <c r="E483" s="83"/>
      <c r="F483" s="83"/>
      <c r="G483" s="84"/>
      <c r="H483" s="85">
        <f>SUM(H481:H482)</f>
        <v>229497.4</v>
      </c>
      <c r="I483" s="45"/>
      <c r="M483" s="1408"/>
    </row>
    <row r="484" spans="3:13" ht="13.8" thickTop="1">
      <c r="L484"/>
      <c r="M484" s="1406"/>
    </row>
    <row r="485" spans="3:13" s="59" customFormat="1" ht="14.4" thickBot="1">
      <c r="C485" s="47" t="s">
        <v>2772</v>
      </c>
      <c r="D485" s="451" t="s">
        <v>1351</v>
      </c>
      <c r="E485" s="275"/>
      <c r="F485" s="275"/>
      <c r="G485" s="275"/>
      <c r="H485" s="275"/>
      <c r="K485" s="50">
        <f>ROUNDDOWN(H501,-2)</f>
        <v>97900</v>
      </c>
      <c r="M485" s="1408"/>
    </row>
    <row r="486" spans="3:13" s="59" customFormat="1" ht="42" thickTop="1">
      <c r="C486" s="51" t="s">
        <v>1195</v>
      </c>
      <c r="D486" s="52" t="s">
        <v>1196</v>
      </c>
      <c r="E486" s="52" t="s">
        <v>1197</v>
      </c>
      <c r="F486" s="52" t="s">
        <v>1198</v>
      </c>
      <c r="G486" s="52" t="s">
        <v>1199</v>
      </c>
      <c r="H486" s="53" t="s">
        <v>1200</v>
      </c>
      <c r="I486" s="45"/>
      <c r="M486" s="1408"/>
    </row>
    <row r="487" spans="3:13" s="59" customFormat="1" ht="19.8" customHeight="1">
      <c r="C487" s="55" t="s">
        <v>1201</v>
      </c>
      <c r="D487" s="56" t="s">
        <v>1202</v>
      </c>
      <c r="E487" s="57"/>
      <c r="F487" s="57"/>
      <c r="G487" s="57"/>
      <c r="H487" s="58"/>
      <c r="I487" s="45"/>
      <c r="M487" s="1408"/>
    </row>
    <row r="488" spans="3:13" s="59" customFormat="1" ht="19.8" customHeight="1">
      <c r="C488" s="60">
        <v>1</v>
      </c>
      <c r="D488" s="56" t="s">
        <v>5</v>
      </c>
      <c r="E488" s="61" t="s">
        <v>6</v>
      </c>
      <c r="F488" s="101">
        <v>0.16769999999999999</v>
      </c>
      <c r="G488" s="63">
        <f>VLOOKUP(D488,upahbahan,3,FALSE)</f>
        <v>100000</v>
      </c>
      <c r="H488" s="64">
        <f>F488*G488</f>
        <v>16770</v>
      </c>
      <c r="I488" s="45"/>
      <c r="M488" s="1408"/>
    </row>
    <row r="489" spans="3:13" s="59" customFormat="1" ht="19.8" customHeight="1">
      <c r="C489" s="60">
        <v>2</v>
      </c>
      <c r="D489" s="56" t="s">
        <v>7</v>
      </c>
      <c r="E489" s="61" t="s">
        <v>6</v>
      </c>
      <c r="F489" s="101">
        <v>8.3299999999999999E-2</v>
      </c>
      <c r="G489" s="63">
        <f>VLOOKUP(D489,upahbahan,3,FALSE)</f>
        <v>135000</v>
      </c>
      <c r="H489" s="64">
        <f>F489*G489</f>
        <v>11245.5</v>
      </c>
      <c r="I489" s="45"/>
      <c r="M489" s="1408"/>
    </row>
    <row r="490" spans="3:13" s="59" customFormat="1" ht="19.8" customHeight="1">
      <c r="C490" s="60">
        <v>3</v>
      </c>
      <c r="D490" s="56" t="s">
        <v>18</v>
      </c>
      <c r="E490" s="61" t="s">
        <v>6</v>
      </c>
      <c r="F490" s="101">
        <v>8.3000000000000001E-3</v>
      </c>
      <c r="G490" s="63">
        <f>VLOOKUP(D490,upahbahan,3,FALSE)</f>
        <v>150000</v>
      </c>
      <c r="H490" s="64">
        <f>F490*G490</f>
        <v>1245</v>
      </c>
      <c r="I490" s="45"/>
      <c r="M490" s="1408"/>
    </row>
    <row r="491" spans="3:13" s="59" customFormat="1" ht="19.8" customHeight="1">
      <c r="C491" s="60">
        <v>4</v>
      </c>
      <c r="D491" s="56" t="s">
        <v>19</v>
      </c>
      <c r="E491" s="61" t="s">
        <v>6</v>
      </c>
      <c r="F491" s="101">
        <v>2.8E-3</v>
      </c>
      <c r="G491" s="63">
        <f>VLOOKUP(D491,upahbahan,3,FALSE)</f>
        <v>160000</v>
      </c>
      <c r="H491" s="64">
        <f>F491*G491</f>
        <v>448</v>
      </c>
      <c r="I491" s="45"/>
      <c r="M491" s="1408"/>
    </row>
    <row r="492" spans="3:13" s="59" customFormat="1" ht="19.8" customHeight="1">
      <c r="C492" s="66" t="s">
        <v>1331</v>
      </c>
      <c r="D492" s="67"/>
      <c r="E492" s="67"/>
      <c r="F492" s="68"/>
      <c r="G492" s="69"/>
      <c r="H492" s="64">
        <f>SUM(H488:H491)</f>
        <v>29708.5</v>
      </c>
      <c r="I492" s="45"/>
      <c r="M492" s="1408"/>
    </row>
    <row r="493" spans="3:13" s="59" customFormat="1" ht="19.8" customHeight="1">
      <c r="C493" s="55" t="s">
        <v>1209</v>
      </c>
      <c r="D493" s="56" t="s">
        <v>1210</v>
      </c>
      <c r="E493" s="57"/>
      <c r="F493" s="143"/>
      <c r="G493" s="57"/>
      <c r="H493" s="58"/>
      <c r="I493" s="45"/>
      <c r="M493" s="1408"/>
    </row>
    <row r="494" spans="3:13" s="59" customFormat="1" ht="19.8" customHeight="1">
      <c r="C494" s="60">
        <v>1</v>
      </c>
      <c r="D494" s="56" t="s">
        <v>49</v>
      </c>
      <c r="E494" s="61" t="s">
        <v>44</v>
      </c>
      <c r="F494" s="62">
        <v>8.75</v>
      </c>
      <c r="G494" s="63">
        <f>VLOOKUP(D494,upahbahan,3,FALSE)</f>
        <v>6120</v>
      </c>
      <c r="H494" s="64">
        <f>F494*G494</f>
        <v>53550</v>
      </c>
      <c r="I494" s="45"/>
      <c r="M494" s="1408"/>
    </row>
    <row r="495" spans="3:13" s="59" customFormat="1" ht="19.8" customHeight="1">
      <c r="C495" s="60">
        <v>2</v>
      </c>
      <c r="D495" s="56" t="s">
        <v>1014</v>
      </c>
      <c r="E495" s="61" t="s">
        <v>65</v>
      </c>
      <c r="F495" s="62">
        <v>3.4289999999999998</v>
      </c>
      <c r="G495" s="63">
        <f>VLOOKUP(D495,upahbahan,3,FALSE)</f>
        <v>1687.5</v>
      </c>
      <c r="H495" s="64">
        <f>F495*G495</f>
        <v>5786.4375</v>
      </c>
      <c r="I495" s="45"/>
      <c r="M495" s="1408"/>
    </row>
    <row r="496" spans="3:13" s="59" customFormat="1" ht="19.8" customHeight="1">
      <c r="C496" s="66" t="s">
        <v>1214</v>
      </c>
      <c r="D496" s="67"/>
      <c r="E496" s="67"/>
      <c r="F496" s="68"/>
      <c r="G496" s="69"/>
      <c r="H496" s="64">
        <f>SUM(H494:H495)</f>
        <v>59336.4375</v>
      </c>
      <c r="I496" s="45"/>
      <c r="M496" s="1408"/>
    </row>
    <row r="497" spans="3:13" s="59" customFormat="1" ht="19.8" customHeight="1">
      <c r="C497" s="167" t="s">
        <v>1215</v>
      </c>
      <c r="D497" s="56" t="s">
        <v>1216</v>
      </c>
      <c r="E497" s="57"/>
      <c r="F497" s="57"/>
      <c r="G497" s="57"/>
      <c r="H497" s="58"/>
      <c r="I497" s="45"/>
      <c r="M497" s="1408"/>
    </row>
    <row r="498" spans="3:13" s="59" customFormat="1" ht="19.8" customHeight="1">
      <c r="C498" s="66" t="s">
        <v>1217</v>
      </c>
      <c r="D498" s="67"/>
      <c r="E498" s="67"/>
      <c r="F498" s="68"/>
      <c r="G498" s="69"/>
      <c r="H498" s="74">
        <v>0</v>
      </c>
      <c r="I498" s="45"/>
      <c r="M498" s="1408"/>
    </row>
    <row r="499" spans="3:13" s="59" customFormat="1" ht="19.8" customHeight="1">
      <c r="C499" s="75" t="s">
        <v>1218</v>
      </c>
      <c r="D499" s="76" t="s">
        <v>1219</v>
      </c>
      <c r="E499" s="77"/>
      <c r="F499" s="77"/>
      <c r="G499" s="78"/>
      <c r="H499" s="64">
        <f>H498+H496+H492</f>
        <v>89044.9375</v>
      </c>
      <c r="I499" s="45"/>
      <c r="M499" s="1408"/>
    </row>
    <row r="500" spans="3:13" s="59" customFormat="1" ht="19.8" customHeight="1">
      <c r="C500" s="75" t="s">
        <v>1220</v>
      </c>
      <c r="D500" s="76" t="s">
        <v>1321</v>
      </c>
      <c r="E500" s="77"/>
      <c r="F500" s="78"/>
      <c r="G500" s="298">
        <f>$D$4</f>
        <v>0.1</v>
      </c>
      <c r="H500" s="64">
        <f>H499*G500</f>
        <v>8904.4937499999996</v>
      </c>
      <c r="I500" s="45"/>
      <c r="M500" s="1408"/>
    </row>
    <row r="501" spans="3:13" s="59" customFormat="1" ht="19.8" customHeight="1" thickBot="1">
      <c r="C501" s="81" t="s">
        <v>1221</v>
      </c>
      <c r="D501" s="82" t="s">
        <v>1222</v>
      </c>
      <c r="E501" s="83"/>
      <c r="F501" s="83"/>
      <c r="G501" s="84"/>
      <c r="H501" s="85">
        <f>SUM(H499:H500)</f>
        <v>97949.431249999994</v>
      </c>
      <c r="I501" s="45"/>
      <c r="M501" s="1408"/>
    </row>
    <row r="502" spans="3:13" ht="13.8" thickTop="1">
      <c r="L502"/>
      <c r="M502" s="1406"/>
    </row>
    <row r="503" spans="3:13" s="45" customFormat="1" ht="14.4" thickBot="1">
      <c r="C503" s="44" t="s">
        <v>2789</v>
      </c>
      <c r="D503" s="451" t="s">
        <v>1381</v>
      </c>
      <c r="E503" s="468"/>
      <c r="F503" s="468"/>
      <c r="G503" s="468"/>
      <c r="H503" s="468"/>
      <c r="K503" s="50">
        <f>ROUNDDOWN(H519,-2)</f>
        <v>56600</v>
      </c>
      <c r="M503" s="1412"/>
    </row>
    <row r="504" spans="3:13" s="45" customFormat="1" ht="42" thickTop="1">
      <c r="C504" s="51" t="s">
        <v>1195</v>
      </c>
      <c r="D504" s="52" t="s">
        <v>1196</v>
      </c>
      <c r="E504" s="52" t="s">
        <v>1197</v>
      </c>
      <c r="F504" s="52" t="s">
        <v>1198</v>
      </c>
      <c r="G504" s="52" t="s">
        <v>1199</v>
      </c>
      <c r="H504" s="53" t="s">
        <v>1200</v>
      </c>
      <c r="M504" s="1412"/>
    </row>
    <row r="505" spans="3:13" s="45" customFormat="1" ht="20.399999999999999" customHeight="1">
      <c r="C505" s="55" t="s">
        <v>1201</v>
      </c>
      <c r="D505" s="56" t="s">
        <v>1202</v>
      </c>
      <c r="E505" s="57"/>
      <c r="F505" s="57"/>
      <c r="G505" s="57"/>
      <c r="H505" s="58"/>
      <c r="M505" s="1412"/>
    </row>
    <row r="506" spans="3:13" s="45" customFormat="1" ht="20.399999999999999" customHeight="1">
      <c r="C506" s="60">
        <v>1</v>
      </c>
      <c r="D506" s="56" t="s">
        <v>5</v>
      </c>
      <c r="E506" s="61" t="s">
        <v>6</v>
      </c>
      <c r="F506" s="101">
        <v>0.2</v>
      </c>
      <c r="G506" s="63">
        <f>VLOOKUP(D506,upahbahan,3,FALSE)</f>
        <v>100000</v>
      </c>
      <c r="H506" s="64">
        <f>F506*G506</f>
        <v>20000</v>
      </c>
      <c r="M506" s="1412"/>
    </row>
    <row r="507" spans="3:13" s="45" customFormat="1" ht="20.399999999999999" customHeight="1">
      <c r="C507" s="60">
        <v>2</v>
      </c>
      <c r="D507" s="56" t="s">
        <v>7</v>
      </c>
      <c r="E507" s="61" t="s">
        <v>6</v>
      </c>
      <c r="F507" s="101">
        <v>0.1</v>
      </c>
      <c r="G507" s="63">
        <f>VLOOKUP(D507,upahbahan,3,FALSE)</f>
        <v>135000</v>
      </c>
      <c r="H507" s="64">
        <f>F507*G507</f>
        <v>13500</v>
      </c>
      <c r="M507" s="1412"/>
    </row>
    <row r="508" spans="3:13" s="45" customFormat="1" ht="20.399999999999999" customHeight="1">
      <c r="C508" s="60">
        <v>3</v>
      </c>
      <c r="D508" s="56" t="s">
        <v>18</v>
      </c>
      <c r="E508" s="61" t="s">
        <v>6</v>
      </c>
      <c r="F508" s="101">
        <v>0.01</v>
      </c>
      <c r="G508" s="63">
        <f>VLOOKUP(D508,upahbahan,3,FALSE)</f>
        <v>150000</v>
      </c>
      <c r="H508" s="64">
        <f>F508*G508</f>
        <v>1500</v>
      </c>
      <c r="M508" s="1412"/>
    </row>
    <row r="509" spans="3:13" s="45" customFormat="1" ht="20.399999999999999" customHeight="1">
      <c r="C509" s="60">
        <v>4</v>
      </c>
      <c r="D509" s="56" t="s">
        <v>19</v>
      </c>
      <c r="E509" s="61" t="s">
        <v>6</v>
      </c>
      <c r="F509" s="101">
        <v>3.3E-3</v>
      </c>
      <c r="G509" s="63">
        <f>VLOOKUP(D509,upahbahan,3,FALSE)</f>
        <v>160000</v>
      </c>
      <c r="H509" s="64">
        <f>F509*G509</f>
        <v>528</v>
      </c>
      <c r="M509" s="1412"/>
    </row>
    <row r="510" spans="3:13" s="45" customFormat="1" ht="20.399999999999999" customHeight="1">
      <c r="C510" s="66" t="s">
        <v>1331</v>
      </c>
      <c r="D510" s="67"/>
      <c r="E510" s="67"/>
      <c r="F510" s="68"/>
      <c r="G510" s="459"/>
      <c r="H510" s="64">
        <f>SUM(H506:H509)</f>
        <v>35528</v>
      </c>
      <c r="M510" s="1412"/>
    </row>
    <row r="511" spans="3:13" s="45" customFormat="1" ht="20.399999999999999" customHeight="1">
      <c r="C511" s="55" t="s">
        <v>1209</v>
      </c>
      <c r="D511" s="56" t="s">
        <v>1210</v>
      </c>
      <c r="E511" s="57"/>
      <c r="F511" s="57"/>
      <c r="G511" s="57"/>
      <c r="H511" s="58"/>
      <c r="M511" s="1412"/>
    </row>
    <row r="512" spans="3:13" s="45" customFormat="1" ht="20.399999999999999" customHeight="1">
      <c r="C512" s="60">
        <v>1</v>
      </c>
      <c r="D512" s="56" t="s">
        <v>2332</v>
      </c>
      <c r="E512" s="61" t="s">
        <v>65</v>
      </c>
      <c r="F512" s="62">
        <v>5.1840000000000002</v>
      </c>
      <c r="G512" s="63">
        <f>VLOOKUP(D512,upahbahan,3,FALSE)</f>
        <v>1530</v>
      </c>
      <c r="H512" s="64">
        <f>F512*G512</f>
        <v>7931.52</v>
      </c>
      <c r="M512" s="1412"/>
    </row>
    <row r="513" spans="3:13" s="45" customFormat="1" ht="20.399999999999999" customHeight="1">
      <c r="C513" s="60">
        <v>2</v>
      </c>
      <c r="D513" s="72" t="s">
        <v>85</v>
      </c>
      <c r="E513" s="61" t="s">
        <v>42</v>
      </c>
      <c r="F513" s="62">
        <v>2.5999999999999999E-2</v>
      </c>
      <c r="G513" s="63">
        <f>VLOOKUP(D513,upahbahan,3,FALSE)</f>
        <v>310500</v>
      </c>
      <c r="H513" s="64">
        <f>F513*G513</f>
        <v>8073</v>
      </c>
      <c r="M513" s="1412"/>
    </row>
    <row r="514" spans="3:13" s="45" customFormat="1" ht="20.399999999999999" customHeight="1">
      <c r="C514" s="66" t="s">
        <v>1214</v>
      </c>
      <c r="D514" s="67"/>
      <c r="E514" s="67"/>
      <c r="F514" s="67"/>
      <c r="G514" s="69"/>
      <c r="H514" s="64">
        <f>SUM(H512:H513)</f>
        <v>16004.52</v>
      </c>
      <c r="M514" s="1412"/>
    </row>
    <row r="515" spans="3:13" s="45" customFormat="1" ht="20.399999999999999" customHeight="1">
      <c r="C515" s="167" t="s">
        <v>1215</v>
      </c>
      <c r="D515" s="56" t="s">
        <v>1216</v>
      </c>
      <c r="E515" s="57"/>
      <c r="F515" s="57"/>
      <c r="G515" s="57"/>
      <c r="H515" s="58"/>
      <c r="M515" s="1412"/>
    </row>
    <row r="516" spans="3:13" s="45" customFormat="1" ht="20.399999999999999" customHeight="1">
      <c r="C516" s="66" t="s">
        <v>1217</v>
      </c>
      <c r="D516" s="67"/>
      <c r="E516" s="67"/>
      <c r="F516" s="67"/>
      <c r="G516" s="69"/>
      <c r="H516" s="74">
        <v>0</v>
      </c>
      <c r="M516" s="1412"/>
    </row>
    <row r="517" spans="3:13" s="79" customFormat="1" ht="20.399999999999999" customHeight="1">
      <c r="C517" s="75" t="s">
        <v>1218</v>
      </c>
      <c r="D517" s="76" t="s">
        <v>1219</v>
      </c>
      <c r="E517" s="77"/>
      <c r="F517" s="77"/>
      <c r="G517" s="78"/>
      <c r="H517" s="64">
        <f>H516+H514+H510</f>
        <v>51532.520000000004</v>
      </c>
      <c r="I517" s="45"/>
      <c r="M517" s="1414"/>
    </row>
    <row r="518" spans="3:13" s="79" customFormat="1" ht="20.399999999999999" customHeight="1">
      <c r="C518" s="75" t="s">
        <v>1220</v>
      </c>
      <c r="D518" s="76" t="s">
        <v>1321</v>
      </c>
      <c r="E518" s="77"/>
      <c r="F518" s="78"/>
      <c r="G518" s="298">
        <f>$D$4</f>
        <v>0.1</v>
      </c>
      <c r="H518" s="64">
        <f>H517*G518</f>
        <v>5153.2520000000004</v>
      </c>
      <c r="I518" s="45"/>
      <c r="M518" s="1414"/>
    </row>
    <row r="519" spans="3:13" s="79" customFormat="1" ht="20.399999999999999" customHeight="1" thickBot="1">
      <c r="C519" s="81" t="s">
        <v>1221</v>
      </c>
      <c r="D519" s="82" t="s">
        <v>1222</v>
      </c>
      <c r="E519" s="83"/>
      <c r="F519" s="83"/>
      <c r="G519" s="84"/>
      <c r="H519" s="85">
        <f>SUM(H517:H518)</f>
        <v>56685.772000000004</v>
      </c>
      <c r="I519" s="45"/>
      <c r="M519" s="1414"/>
    </row>
    <row r="520" spans="3:13" ht="13.8" thickTop="1">
      <c r="L520"/>
      <c r="M520" s="1406"/>
    </row>
    <row r="521" spans="3:13" s="45" customFormat="1" ht="14.4" thickBot="1">
      <c r="C521" s="44" t="s">
        <v>2792</v>
      </c>
      <c r="D521" s="451" t="s">
        <v>1384</v>
      </c>
      <c r="E521" s="275"/>
      <c r="F521" s="275"/>
      <c r="G521" s="275"/>
      <c r="H521" s="275"/>
      <c r="K521" s="50">
        <f>ROUNDDOWN(H536,-2)</f>
        <v>44500</v>
      </c>
      <c r="M521" s="1412"/>
    </row>
    <row r="522" spans="3:13" s="45" customFormat="1" ht="42" thickTop="1">
      <c r="C522" s="51" t="s">
        <v>1195</v>
      </c>
      <c r="D522" s="52" t="s">
        <v>1196</v>
      </c>
      <c r="E522" s="52" t="s">
        <v>1197</v>
      </c>
      <c r="F522" s="52" t="s">
        <v>1198</v>
      </c>
      <c r="G522" s="52" t="s">
        <v>1199</v>
      </c>
      <c r="H522" s="53" t="s">
        <v>1200</v>
      </c>
      <c r="M522" s="1412"/>
    </row>
    <row r="523" spans="3:13" s="45" customFormat="1" ht="20.399999999999999" customHeight="1">
      <c r="C523" s="55" t="s">
        <v>1201</v>
      </c>
      <c r="D523" s="56" t="s">
        <v>1202</v>
      </c>
      <c r="E523" s="57"/>
      <c r="F523" s="57"/>
      <c r="G523" s="57"/>
      <c r="H523" s="58"/>
      <c r="M523" s="1412"/>
    </row>
    <row r="524" spans="3:13" s="45" customFormat="1" ht="20.399999999999999" customHeight="1">
      <c r="C524" s="60">
        <v>1</v>
      </c>
      <c r="D524" s="56" t="s">
        <v>5</v>
      </c>
      <c r="E524" s="61" t="s">
        <v>6</v>
      </c>
      <c r="F524" s="101">
        <v>0.2</v>
      </c>
      <c r="G524" s="63">
        <f>VLOOKUP(D524,upahbahan,3,FALSE)</f>
        <v>100000</v>
      </c>
      <c r="H524" s="64">
        <f>F524*G524</f>
        <v>20000</v>
      </c>
      <c r="I524" s="274"/>
      <c r="K524" s="274"/>
      <c r="L524" s="274"/>
      <c r="M524" s="1412"/>
    </row>
    <row r="525" spans="3:13" s="45" customFormat="1" ht="20.399999999999999" customHeight="1">
      <c r="C525" s="60">
        <v>2</v>
      </c>
      <c r="D525" s="56" t="s">
        <v>7</v>
      </c>
      <c r="E525" s="61" t="s">
        <v>6</v>
      </c>
      <c r="F525" s="101">
        <v>0.1</v>
      </c>
      <c r="G525" s="63">
        <f>VLOOKUP(D525,upahbahan,3,FALSE)</f>
        <v>135000</v>
      </c>
      <c r="H525" s="64">
        <f>F525*G525</f>
        <v>13500</v>
      </c>
      <c r="I525" s="274"/>
      <c r="K525" s="274"/>
      <c r="L525" s="274"/>
      <c r="M525" s="1412"/>
    </row>
    <row r="526" spans="3:13" s="45" customFormat="1" ht="20.399999999999999" customHeight="1">
      <c r="C526" s="60">
        <v>3</v>
      </c>
      <c r="D526" s="56" t="s">
        <v>18</v>
      </c>
      <c r="E526" s="61" t="s">
        <v>6</v>
      </c>
      <c r="F526" s="101">
        <v>0.01</v>
      </c>
      <c r="G526" s="63">
        <f>VLOOKUP(D526,upahbahan,3,FALSE)</f>
        <v>150000</v>
      </c>
      <c r="H526" s="64">
        <f>F526*G526</f>
        <v>1500</v>
      </c>
      <c r="I526" s="274"/>
      <c r="K526" s="274"/>
      <c r="L526" s="274"/>
      <c r="M526" s="1412"/>
    </row>
    <row r="527" spans="3:13" s="45" customFormat="1" ht="20.399999999999999" customHeight="1">
      <c r="C527" s="60">
        <v>4</v>
      </c>
      <c r="D527" s="56" t="s">
        <v>19</v>
      </c>
      <c r="E527" s="61" t="s">
        <v>6</v>
      </c>
      <c r="F527" s="101">
        <v>3.3E-3</v>
      </c>
      <c r="G527" s="63">
        <f>VLOOKUP(D527,upahbahan,3,FALSE)</f>
        <v>160000</v>
      </c>
      <c r="H527" s="64">
        <f>F527*G527</f>
        <v>528</v>
      </c>
      <c r="I527" s="274"/>
      <c r="K527" s="274"/>
      <c r="L527" s="274"/>
      <c r="M527" s="1412"/>
    </row>
    <row r="528" spans="3:13" s="45" customFormat="1" ht="20.399999999999999" customHeight="1">
      <c r="C528" s="66" t="s">
        <v>1331</v>
      </c>
      <c r="D528" s="67"/>
      <c r="E528" s="67"/>
      <c r="F528" s="142"/>
      <c r="G528" s="153"/>
      <c r="H528" s="64">
        <f>SUM(H524:H527)</f>
        <v>35528</v>
      </c>
      <c r="I528" s="274"/>
      <c r="K528" s="274"/>
      <c r="L528" s="274"/>
      <c r="M528" s="1412"/>
    </row>
    <row r="529" spans="3:13" s="45" customFormat="1" ht="20.399999999999999" customHeight="1">
      <c r="C529" s="55" t="s">
        <v>1209</v>
      </c>
      <c r="D529" s="56" t="s">
        <v>1210</v>
      </c>
      <c r="E529" s="57"/>
      <c r="F529" s="143"/>
      <c r="G529" s="143"/>
      <c r="H529" s="472"/>
      <c r="I529" s="274"/>
      <c r="K529" s="274"/>
      <c r="L529" s="274"/>
      <c r="M529" s="1412"/>
    </row>
    <row r="530" spans="3:13" s="45" customFormat="1" ht="20.399999999999999" customHeight="1">
      <c r="C530" s="60">
        <v>1</v>
      </c>
      <c r="D530" s="56" t="s">
        <v>2332</v>
      </c>
      <c r="E530" s="61" t="s">
        <v>65</v>
      </c>
      <c r="F530" s="62">
        <v>3.25</v>
      </c>
      <c r="G530" s="63">
        <f>VLOOKUP(D530,upahbahan,3,FALSE)</f>
        <v>1530</v>
      </c>
      <c r="H530" s="64">
        <f>F530*G530</f>
        <v>4972.5</v>
      </c>
      <c r="I530" s="274"/>
      <c r="K530" s="274"/>
      <c r="L530" s="274"/>
      <c r="M530" s="1412"/>
    </row>
    <row r="531" spans="3:13" s="45" customFormat="1" ht="20.399999999999999" customHeight="1">
      <c r="C531" s="66" t="s">
        <v>1214</v>
      </c>
      <c r="D531" s="67"/>
      <c r="E531" s="67"/>
      <c r="F531" s="67"/>
      <c r="G531" s="69"/>
      <c r="H531" s="64">
        <f>SUM(H530:H530)</f>
        <v>4972.5</v>
      </c>
      <c r="M531" s="1412"/>
    </row>
    <row r="532" spans="3:13" s="45" customFormat="1" ht="20.399999999999999" customHeight="1">
      <c r="C532" s="167" t="s">
        <v>1215</v>
      </c>
      <c r="D532" s="56" t="s">
        <v>1216</v>
      </c>
      <c r="E532" s="57"/>
      <c r="F532" s="57"/>
      <c r="G532" s="57"/>
      <c r="H532" s="58"/>
      <c r="M532" s="1412"/>
    </row>
    <row r="533" spans="3:13" s="45" customFormat="1" ht="20.399999999999999" customHeight="1">
      <c r="C533" s="66" t="s">
        <v>1217</v>
      </c>
      <c r="D533" s="67"/>
      <c r="E533" s="67"/>
      <c r="F533" s="67"/>
      <c r="G533" s="69"/>
      <c r="H533" s="74">
        <v>0</v>
      </c>
      <c r="M533" s="1412"/>
    </row>
    <row r="534" spans="3:13" s="79" customFormat="1" ht="20.399999999999999" customHeight="1">
      <c r="C534" s="75" t="s">
        <v>1218</v>
      </c>
      <c r="D534" s="76" t="s">
        <v>1219</v>
      </c>
      <c r="E534" s="77"/>
      <c r="F534" s="77"/>
      <c r="G534" s="78"/>
      <c r="H534" s="64">
        <f>H533+H531+H528</f>
        <v>40500.5</v>
      </c>
      <c r="I534" s="45"/>
      <c r="M534" s="1414"/>
    </row>
    <row r="535" spans="3:13" s="79" customFormat="1" ht="20.399999999999999" customHeight="1">
      <c r="C535" s="75" t="s">
        <v>1220</v>
      </c>
      <c r="D535" s="76" t="s">
        <v>1321</v>
      </c>
      <c r="E535" s="77"/>
      <c r="F535" s="78"/>
      <c r="G535" s="298">
        <f>$D$4</f>
        <v>0.1</v>
      </c>
      <c r="H535" s="64">
        <f>H534*G535</f>
        <v>4050.05</v>
      </c>
      <c r="I535" s="45"/>
      <c r="M535" s="1414"/>
    </row>
    <row r="536" spans="3:13" s="79" customFormat="1" ht="20.399999999999999" customHeight="1" thickBot="1">
      <c r="C536" s="81" t="s">
        <v>1221</v>
      </c>
      <c r="D536" s="82" t="s">
        <v>1222</v>
      </c>
      <c r="E536" s="83"/>
      <c r="F536" s="83"/>
      <c r="G536" s="84"/>
      <c r="H536" s="85">
        <f>SUM(H534:H535)</f>
        <v>44550.55</v>
      </c>
      <c r="I536" s="45"/>
      <c r="M536" s="1414"/>
    </row>
    <row r="537" spans="3:13" ht="13.8" thickTop="1">
      <c r="L537"/>
      <c r="M537" s="1406"/>
    </row>
    <row r="538" spans="3:13" s="59" customFormat="1" ht="15.75" customHeight="1" thickBot="1">
      <c r="C538" s="44" t="s">
        <v>2816</v>
      </c>
      <c r="D538" s="149" t="s">
        <v>2817</v>
      </c>
      <c r="E538" s="479"/>
      <c r="F538" s="479"/>
      <c r="G538" s="479"/>
      <c r="H538" s="479"/>
      <c r="K538" s="50">
        <f>ROUNDDOWN(H554,-2)</f>
        <v>37500</v>
      </c>
      <c r="L538" s="475"/>
      <c r="M538" s="1408"/>
    </row>
    <row r="539" spans="3:13" s="59" customFormat="1" ht="42" thickTop="1">
      <c r="C539" s="51" t="s">
        <v>1195</v>
      </c>
      <c r="D539" s="52" t="s">
        <v>1196</v>
      </c>
      <c r="E539" s="52" t="s">
        <v>1197</v>
      </c>
      <c r="F539" s="52" t="s">
        <v>1198</v>
      </c>
      <c r="G539" s="52" t="s">
        <v>1199</v>
      </c>
      <c r="H539" s="53" t="s">
        <v>1200</v>
      </c>
      <c r="I539" s="44"/>
      <c r="L539" s="475"/>
      <c r="M539" s="1408"/>
    </row>
    <row r="540" spans="3:13" s="59" customFormat="1" ht="21.6" customHeight="1">
      <c r="C540" s="55" t="s">
        <v>1201</v>
      </c>
      <c r="D540" s="56" t="s">
        <v>1202</v>
      </c>
      <c r="E540" s="57"/>
      <c r="F540" s="57"/>
      <c r="G540" s="57"/>
      <c r="H540" s="58"/>
      <c r="I540" s="44"/>
      <c r="L540" s="475"/>
      <c r="M540" s="1408"/>
    </row>
    <row r="541" spans="3:13" s="59" customFormat="1" ht="21.6" customHeight="1">
      <c r="C541" s="60">
        <v>1</v>
      </c>
      <c r="D541" s="56" t="s">
        <v>5</v>
      </c>
      <c r="E541" s="61" t="s">
        <v>6</v>
      </c>
      <c r="F541" s="98">
        <v>6.6699999999999995E-2</v>
      </c>
      <c r="G541" s="63">
        <f>VLOOKUP(D541,upahbahan,3,FALSE)</f>
        <v>100000</v>
      </c>
      <c r="H541" s="64">
        <f t="shared" ref="H541:H544" si="11">F541*G541</f>
        <v>6669.9999999999991</v>
      </c>
      <c r="I541" s="44"/>
      <c r="L541" s="475"/>
      <c r="M541" s="1408"/>
    </row>
    <row r="542" spans="3:13" s="59" customFormat="1" ht="21.6" customHeight="1">
      <c r="C542" s="60">
        <v>2</v>
      </c>
      <c r="D542" s="56" t="s">
        <v>12</v>
      </c>
      <c r="E542" s="61" t="s">
        <v>6</v>
      </c>
      <c r="F542" s="98">
        <v>6.6699999999999995E-2</v>
      </c>
      <c r="G542" s="63">
        <f>VLOOKUP(D542,upahbahan,3,FALSE)</f>
        <v>135000</v>
      </c>
      <c r="H542" s="64">
        <f t="shared" si="11"/>
        <v>9004.5</v>
      </c>
      <c r="I542" s="44"/>
      <c r="L542" s="475"/>
      <c r="M542" s="1408"/>
    </row>
    <row r="543" spans="3:13" s="59" customFormat="1" ht="21.6" customHeight="1">
      <c r="C543" s="60">
        <v>3</v>
      </c>
      <c r="D543" s="56" t="s">
        <v>18</v>
      </c>
      <c r="E543" s="61" t="s">
        <v>6</v>
      </c>
      <c r="F543" s="98">
        <v>6.7000000000000002E-3</v>
      </c>
      <c r="G543" s="63">
        <f>VLOOKUP(D543,upahbahan,3,FALSE)</f>
        <v>150000</v>
      </c>
      <c r="H543" s="64">
        <f t="shared" si="11"/>
        <v>1005</v>
      </c>
      <c r="I543" s="44"/>
      <c r="L543" s="475"/>
      <c r="M543" s="1408"/>
    </row>
    <row r="544" spans="3:13" s="59" customFormat="1" ht="21.6" customHeight="1">
      <c r="C544" s="60">
        <v>4</v>
      </c>
      <c r="D544" s="56" t="s">
        <v>19</v>
      </c>
      <c r="E544" s="61" t="s">
        <v>6</v>
      </c>
      <c r="F544" s="98">
        <v>2.2000000000000001E-3</v>
      </c>
      <c r="G544" s="63">
        <f>VLOOKUP(D544,upahbahan,3,FALSE)</f>
        <v>160000</v>
      </c>
      <c r="H544" s="64">
        <f t="shared" si="11"/>
        <v>352</v>
      </c>
      <c r="I544" s="44"/>
      <c r="L544" s="475"/>
      <c r="M544" s="1408"/>
    </row>
    <row r="545" spans="3:13" s="59" customFormat="1" ht="21.6" customHeight="1">
      <c r="C545" s="66" t="s">
        <v>1208</v>
      </c>
      <c r="D545" s="67"/>
      <c r="E545" s="67"/>
      <c r="F545" s="68"/>
      <c r="G545" s="459"/>
      <c r="H545" s="64">
        <f>SUM(H541:H544)</f>
        <v>17031.5</v>
      </c>
      <c r="I545" s="44"/>
      <c r="L545" s="475"/>
      <c r="M545" s="1408"/>
    </row>
    <row r="546" spans="3:13" s="59" customFormat="1" ht="21.6" customHeight="1">
      <c r="C546" s="55" t="s">
        <v>1209</v>
      </c>
      <c r="D546" s="56" t="s">
        <v>1210</v>
      </c>
      <c r="E546" s="57"/>
      <c r="F546" s="57"/>
      <c r="G546" s="57"/>
      <c r="H546" s="58"/>
      <c r="I546" s="44"/>
      <c r="L546" s="475"/>
      <c r="M546" s="1408"/>
    </row>
    <row r="547" spans="3:13" s="59" customFormat="1" ht="21.6" customHeight="1">
      <c r="C547" s="60">
        <v>2</v>
      </c>
      <c r="D547" s="56" t="s">
        <v>574</v>
      </c>
      <c r="E547" s="61" t="s">
        <v>65</v>
      </c>
      <c r="F547" s="62">
        <v>0.1</v>
      </c>
      <c r="G547" s="63">
        <f>VLOOKUP(D547,upahbahan,3,FALSE)</f>
        <v>39600</v>
      </c>
      <c r="H547" s="64">
        <f t="shared" ref="H547:H548" si="12">F547*G547</f>
        <v>3960</v>
      </c>
      <c r="I547" s="44"/>
      <c r="L547" s="475"/>
      <c r="M547" s="1408"/>
    </row>
    <row r="548" spans="3:13" s="59" customFormat="1" ht="21.6" customHeight="1">
      <c r="C548" s="60">
        <v>3</v>
      </c>
      <c r="D548" s="56" t="s">
        <v>580</v>
      </c>
      <c r="E548" s="61" t="s">
        <v>65</v>
      </c>
      <c r="F548" s="62">
        <v>0.26</v>
      </c>
      <c r="G548" s="63">
        <f>VLOOKUP(D548,upahbahan,3,FALSE)</f>
        <v>50400</v>
      </c>
      <c r="H548" s="64">
        <f t="shared" si="12"/>
        <v>13104</v>
      </c>
      <c r="I548" s="44"/>
      <c r="L548" s="475"/>
      <c r="M548" s="1408"/>
    </row>
    <row r="549" spans="3:13" s="59" customFormat="1" ht="21.6" customHeight="1">
      <c r="C549" s="66" t="s">
        <v>1214</v>
      </c>
      <c r="D549" s="67"/>
      <c r="E549" s="67"/>
      <c r="F549" s="67"/>
      <c r="G549" s="69"/>
      <c r="H549" s="64">
        <f>SUM(H547:H548)</f>
        <v>17064</v>
      </c>
      <c r="I549" s="44"/>
      <c r="L549" s="475"/>
      <c r="M549" s="1408"/>
    </row>
    <row r="550" spans="3:13" s="59" customFormat="1" ht="21.6" customHeight="1">
      <c r="C550" s="167" t="s">
        <v>1215</v>
      </c>
      <c r="D550" s="56" t="s">
        <v>1216</v>
      </c>
      <c r="E550" s="57"/>
      <c r="F550" s="57"/>
      <c r="G550" s="57"/>
      <c r="H550" s="58"/>
      <c r="I550" s="44"/>
      <c r="L550" s="475"/>
      <c r="M550" s="1408"/>
    </row>
    <row r="551" spans="3:13" s="59" customFormat="1" ht="21.6" customHeight="1">
      <c r="C551" s="66" t="s">
        <v>1217</v>
      </c>
      <c r="D551" s="67"/>
      <c r="E551" s="67"/>
      <c r="F551" s="67"/>
      <c r="G551" s="69"/>
      <c r="H551" s="74">
        <v>0</v>
      </c>
      <c r="I551" s="44"/>
      <c r="L551" s="475"/>
      <c r="M551" s="1408"/>
    </row>
    <row r="552" spans="3:13" s="59" customFormat="1" ht="21.6" customHeight="1">
      <c r="C552" s="75" t="s">
        <v>1218</v>
      </c>
      <c r="D552" s="76" t="s">
        <v>1219</v>
      </c>
      <c r="E552" s="77"/>
      <c r="F552" s="77"/>
      <c r="G552" s="78"/>
      <c r="H552" s="64">
        <f>H551+H549+H545</f>
        <v>34095.5</v>
      </c>
      <c r="I552" s="44"/>
      <c r="L552" s="475"/>
      <c r="M552" s="1408"/>
    </row>
    <row r="553" spans="3:13" s="59" customFormat="1" ht="21.6" customHeight="1">
      <c r="C553" s="75" t="s">
        <v>1220</v>
      </c>
      <c r="D553" s="76" t="s">
        <v>1321</v>
      </c>
      <c r="E553" s="77"/>
      <c r="F553" s="78"/>
      <c r="G553" s="298">
        <f>$D$4</f>
        <v>0.1</v>
      </c>
      <c r="H553" s="64">
        <f>H552*G553</f>
        <v>3409.55</v>
      </c>
      <c r="I553" s="44"/>
      <c r="L553" s="475"/>
      <c r="M553" s="1408"/>
    </row>
    <row r="554" spans="3:13" s="59" customFormat="1" ht="21.6" customHeight="1" thickBot="1">
      <c r="C554" s="81" t="s">
        <v>1221</v>
      </c>
      <c r="D554" s="82" t="s">
        <v>1222</v>
      </c>
      <c r="E554" s="83"/>
      <c r="F554" s="83"/>
      <c r="G554" s="84"/>
      <c r="H554" s="85">
        <f>SUM(H552:H553)</f>
        <v>37505.050000000003</v>
      </c>
      <c r="I554" s="44"/>
      <c r="L554" s="475"/>
      <c r="M554" s="1408"/>
    </row>
    <row r="555" spans="3:13" ht="13.8" thickTop="1">
      <c r="L555"/>
      <c r="M555" s="1406"/>
    </row>
    <row r="556" spans="3:13" s="59" customFormat="1" ht="14.4" thickBot="1">
      <c r="C556" s="47" t="s">
        <v>2836</v>
      </c>
      <c r="D556" s="455" t="s">
        <v>2837</v>
      </c>
      <c r="E556" s="149"/>
      <c r="F556" s="149"/>
      <c r="G556" s="149"/>
      <c r="H556" s="149"/>
      <c r="K556" s="50">
        <f>ROUNDDOWN(H572,-2)</f>
        <v>32700</v>
      </c>
      <c r="L556" s="475"/>
      <c r="M556" s="1408"/>
    </row>
    <row r="557" spans="3:13" s="59" customFormat="1" ht="42" thickTop="1">
      <c r="C557" s="51" t="s">
        <v>1195</v>
      </c>
      <c r="D557" s="52" t="s">
        <v>1196</v>
      </c>
      <c r="E557" s="52" t="s">
        <v>1197</v>
      </c>
      <c r="F557" s="52" t="s">
        <v>1198</v>
      </c>
      <c r="G557" s="52" t="s">
        <v>1199</v>
      </c>
      <c r="H557" s="53" t="s">
        <v>1200</v>
      </c>
      <c r="I557" s="44"/>
      <c r="L557" s="475"/>
      <c r="M557" s="1408"/>
    </row>
    <row r="558" spans="3:13" s="59" customFormat="1" ht="21.6" customHeight="1">
      <c r="C558" s="55" t="s">
        <v>1201</v>
      </c>
      <c r="D558" s="56" t="s">
        <v>1202</v>
      </c>
      <c r="E558" s="57"/>
      <c r="F558" s="57"/>
      <c r="G558" s="57"/>
      <c r="H558" s="58"/>
      <c r="I558" s="44"/>
      <c r="L558" s="475"/>
      <c r="M558" s="1408"/>
    </row>
    <row r="559" spans="3:13" s="59" customFormat="1" ht="21.6" customHeight="1">
      <c r="C559" s="60">
        <v>1</v>
      </c>
      <c r="D559" s="56" t="s">
        <v>5</v>
      </c>
      <c r="E559" s="61" t="s">
        <v>6</v>
      </c>
      <c r="F559" s="98">
        <v>6.25E-2</v>
      </c>
      <c r="G559" s="63">
        <f>VLOOKUP(D559,upahbahan,3,FALSE)</f>
        <v>100000</v>
      </c>
      <c r="H559" s="64">
        <f t="shared" ref="H559:H562" si="13">F559*G559</f>
        <v>6250</v>
      </c>
      <c r="I559" s="44"/>
      <c r="L559" s="475"/>
      <c r="M559" s="1408"/>
    </row>
    <row r="560" spans="3:13" s="59" customFormat="1" ht="21.6" customHeight="1">
      <c r="C560" s="60">
        <v>2</v>
      </c>
      <c r="D560" s="56" t="s">
        <v>12</v>
      </c>
      <c r="E560" s="61" t="s">
        <v>6</v>
      </c>
      <c r="F560" s="98">
        <v>6.25E-2</v>
      </c>
      <c r="G560" s="63">
        <f>VLOOKUP(D560,upahbahan,3,FALSE)</f>
        <v>135000</v>
      </c>
      <c r="H560" s="64">
        <f t="shared" si="13"/>
        <v>8437.5</v>
      </c>
      <c r="I560" s="44"/>
      <c r="L560" s="475"/>
      <c r="M560" s="1408"/>
    </row>
    <row r="561" spans="3:13" s="59" customFormat="1" ht="21.6" customHeight="1">
      <c r="C561" s="60">
        <v>3</v>
      </c>
      <c r="D561" s="56" t="s">
        <v>18</v>
      </c>
      <c r="E561" s="61" t="s">
        <v>6</v>
      </c>
      <c r="F561" s="98">
        <v>6.3E-3</v>
      </c>
      <c r="G561" s="63">
        <f>VLOOKUP(D561,upahbahan,3,FALSE)</f>
        <v>150000</v>
      </c>
      <c r="H561" s="64">
        <f t="shared" si="13"/>
        <v>945</v>
      </c>
      <c r="I561" s="44"/>
      <c r="L561" s="475"/>
      <c r="M561" s="1408"/>
    </row>
    <row r="562" spans="3:13" s="59" customFormat="1" ht="21.6" customHeight="1">
      <c r="C562" s="60">
        <v>4</v>
      </c>
      <c r="D562" s="56" t="s">
        <v>19</v>
      </c>
      <c r="E562" s="61" t="s">
        <v>6</v>
      </c>
      <c r="F562" s="98">
        <v>2.0999999999999999E-3</v>
      </c>
      <c r="G562" s="63">
        <f>VLOOKUP(D562,upahbahan,3,FALSE)</f>
        <v>160000</v>
      </c>
      <c r="H562" s="64">
        <f t="shared" si="13"/>
        <v>336</v>
      </c>
      <c r="I562" s="44"/>
      <c r="L562" s="475"/>
      <c r="M562" s="1408"/>
    </row>
    <row r="563" spans="3:13" s="59" customFormat="1" ht="21.6" customHeight="1">
      <c r="C563" s="66" t="s">
        <v>1208</v>
      </c>
      <c r="D563" s="67"/>
      <c r="E563" s="67"/>
      <c r="F563" s="68"/>
      <c r="G563" s="459"/>
      <c r="H563" s="64">
        <f>SUM(H559:H562)</f>
        <v>15968.5</v>
      </c>
      <c r="I563" s="44"/>
      <c r="L563" s="475"/>
      <c r="M563" s="1408"/>
    </row>
    <row r="564" spans="3:13" s="59" customFormat="1" ht="21.6" customHeight="1">
      <c r="C564" s="55" t="s">
        <v>1209</v>
      </c>
      <c r="D564" s="56" t="s">
        <v>1210</v>
      </c>
      <c r="E564" s="57"/>
      <c r="F564" s="57"/>
      <c r="G564" s="57"/>
      <c r="H564" s="58"/>
      <c r="I564" s="44"/>
      <c r="L564" s="475"/>
      <c r="M564" s="1408"/>
    </row>
    <row r="565" spans="3:13" s="59" customFormat="1" ht="21.6" customHeight="1">
      <c r="C565" s="60">
        <v>1</v>
      </c>
      <c r="D565" s="56" t="s">
        <v>574</v>
      </c>
      <c r="E565" s="61" t="s">
        <v>65</v>
      </c>
      <c r="F565" s="62">
        <v>0.12</v>
      </c>
      <c r="G565" s="63">
        <f>VLOOKUP(D565,upahbahan,3,FALSE)</f>
        <v>39600</v>
      </c>
      <c r="H565" s="64">
        <f t="shared" ref="H565:H566" si="14">F565*G565</f>
        <v>4752</v>
      </c>
      <c r="I565" s="44"/>
      <c r="L565" s="475"/>
      <c r="M565" s="1408"/>
    </row>
    <row r="566" spans="3:13" s="59" customFormat="1" ht="21.6" customHeight="1">
      <c r="C566" s="60">
        <v>2</v>
      </c>
      <c r="D566" s="56" t="s">
        <v>580</v>
      </c>
      <c r="E566" s="61" t="s">
        <v>65</v>
      </c>
      <c r="F566" s="62">
        <v>0.18</v>
      </c>
      <c r="G566" s="63">
        <f>VLOOKUP(D566,upahbahan,3,FALSE)</f>
        <v>50400</v>
      </c>
      <c r="H566" s="64">
        <f t="shared" si="14"/>
        <v>9072</v>
      </c>
      <c r="I566" s="44"/>
      <c r="L566" s="475"/>
      <c r="M566" s="1408"/>
    </row>
    <row r="567" spans="3:13" s="59" customFormat="1" ht="21.6" customHeight="1">
      <c r="C567" s="66" t="s">
        <v>1214</v>
      </c>
      <c r="D567" s="67"/>
      <c r="E567" s="67"/>
      <c r="F567" s="67"/>
      <c r="G567" s="69"/>
      <c r="H567" s="64">
        <f>SUM(H565:H566)</f>
        <v>13824</v>
      </c>
      <c r="I567" s="44"/>
      <c r="L567" s="475"/>
      <c r="M567" s="1408"/>
    </row>
    <row r="568" spans="3:13" s="59" customFormat="1" ht="21.6" customHeight="1">
      <c r="C568" s="167" t="s">
        <v>1215</v>
      </c>
      <c r="D568" s="56" t="s">
        <v>1216</v>
      </c>
      <c r="E568" s="57"/>
      <c r="F568" s="57"/>
      <c r="G568" s="57"/>
      <c r="H568" s="58"/>
      <c r="I568" s="44"/>
      <c r="L568" s="475"/>
      <c r="M568" s="1408"/>
    </row>
    <row r="569" spans="3:13" s="59" customFormat="1" ht="21.6" customHeight="1">
      <c r="C569" s="66" t="s">
        <v>1217</v>
      </c>
      <c r="D569" s="67"/>
      <c r="E569" s="67"/>
      <c r="F569" s="67"/>
      <c r="G569" s="69"/>
      <c r="H569" s="74">
        <v>0</v>
      </c>
      <c r="I569" s="44"/>
      <c r="L569" s="475"/>
      <c r="M569" s="1408"/>
    </row>
    <row r="570" spans="3:13" s="59" customFormat="1" ht="21.6" customHeight="1">
      <c r="C570" s="75" t="s">
        <v>1218</v>
      </c>
      <c r="D570" s="76" t="s">
        <v>1219</v>
      </c>
      <c r="E570" s="77"/>
      <c r="F570" s="77"/>
      <c r="G570" s="78"/>
      <c r="H570" s="64">
        <f>H569+H567+H563</f>
        <v>29792.5</v>
      </c>
      <c r="I570" s="44"/>
      <c r="L570" s="475"/>
      <c r="M570" s="1408"/>
    </row>
    <row r="571" spans="3:13" s="59" customFormat="1" ht="21.6" customHeight="1">
      <c r="C571" s="75" t="s">
        <v>1220</v>
      </c>
      <c r="D571" s="76" t="s">
        <v>1321</v>
      </c>
      <c r="E571" s="77"/>
      <c r="F571" s="78"/>
      <c r="G571" s="298">
        <f>$D$4</f>
        <v>0.1</v>
      </c>
      <c r="H571" s="64">
        <f>H570*G571</f>
        <v>2979.25</v>
      </c>
      <c r="I571" s="44"/>
      <c r="L571" s="475"/>
      <c r="M571" s="1408"/>
    </row>
    <row r="572" spans="3:13" s="59" customFormat="1" ht="21.6" customHeight="1" thickBot="1">
      <c r="C572" s="81" t="s">
        <v>1221</v>
      </c>
      <c r="D572" s="82" t="s">
        <v>1222</v>
      </c>
      <c r="E572" s="83"/>
      <c r="F572" s="83"/>
      <c r="G572" s="84"/>
      <c r="H572" s="85">
        <f>SUM(H570:H571)</f>
        <v>32771.75</v>
      </c>
      <c r="I572" s="44"/>
      <c r="L572" s="475"/>
      <c r="M572" s="1408"/>
    </row>
    <row r="573" spans="3:13" ht="13.8" thickTop="1">
      <c r="L573"/>
      <c r="M573" s="1406"/>
    </row>
    <row r="574" spans="3:13" s="59" customFormat="1" ht="14.4" thickBot="1">
      <c r="C574" s="47" t="s">
        <v>2925</v>
      </c>
      <c r="D574" s="485" t="s">
        <v>1442</v>
      </c>
      <c r="E574" s="485"/>
      <c r="F574" s="485"/>
      <c r="G574" s="485"/>
      <c r="H574" s="485"/>
      <c r="K574" s="120">
        <f>ROUNDDOWN(H592,-2)</f>
        <v>267900</v>
      </c>
      <c r="M574" s="1408"/>
    </row>
    <row r="575" spans="3:13" s="59" customFormat="1" ht="42" thickTop="1">
      <c r="C575" s="51" t="s">
        <v>1195</v>
      </c>
      <c r="D575" s="52" t="s">
        <v>1196</v>
      </c>
      <c r="E575" s="52" t="s">
        <v>1197</v>
      </c>
      <c r="F575" s="52" t="s">
        <v>1198</v>
      </c>
      <c r="G575" s="52" t="s">
        <v>1199</v>
      </c>
      <c r="H575" s="53" t="s">
        <v>1200</v>
      </c>
      <c r="I575" s="280"/>
      <c r="M575" s="1408"/>
    </row>
    <row r="576" spans="3:13" s="59" customFormat="1" ht="21" customHeight="1">
      <c r="C576" s="290" t="s">
        <v>1201</v>
      </c>
      <c r="D576" s="182" t="s">
        <v>1202</v>
      </c>
      <c r="E576" s="70"/>
      <c r="F576" s="70"/>
      <c r="G576" s="70"/>
      <c r="H576" s="71"/>
      <c r="I576" s="280"/>
      <c r="M576" s="1408"/>
    </row>
    <row r="577" spans="3:13" s="59" customFormat="1" ht="21" customHeight="1">
      <c r="C577" s="281">
        <v>1</v>
      </c>
      <c r="D577" s="182" t="s">
        <v>5</v>
      </c>
      <c r="E577" s="176" t="s">
        <v>6</v>
      </c>
      <c r="F577" s="315">
        <v>0.7</v>
      </c>
      <c r="G577" s="283">
        <f>VLOOKUP(D577,upahbahan,3,FALSE)</f>
        <v>100000</v>
      </c>
      <c r="H577" s="284">
        <f t="shared" ref="H577:H580" si="15">F577*G577</f>
        <v>70000</v>
      </c>
      <c r="I577" s="280"/>
      <c r="M577" s="1408"/>
    </row>
    <row r="578" spans="3:13" s="59" customFormat="1" ht="21" customHeight="1">
      <c r="C578" s="281">
        <v>2</v>
      </c>
      <c r="D578" s="182" t="s">
        <v>7</v>
      </c>
      <c r="E578" s="176" t="s">
        <v>6</v>
      </c>
      <c r="F578" s="315">
        <v>0.35</v>
      </c>
      <c r="G578" s="283">
        <f>VLOOKUP(D578,upahbahan,3,FALSE)</f>
        <v>135000</v>
      </c>
      <c r="H578" s="284">
        <f t="shared" si="15"/>
        <v>47250</v>
      </c>
      <c r="I578" s="280"/>
      <c r="M578" s="1408"/>
    </row>
    <row r="579" spans="3:13" s="59" customFormat="1" ht="21" customHeight="1">
      <c r="C579" s="281">
        <v>3</v>
      </c>
      <c r="D579" s="182" t="s">
        <v>18</v>
      </c>
      <c r="E579" s="176" t="s">
        <v>6</v>
      </c>
      <c r="F579" s="315">
        <v>3.5000000000000003E-2</v>
      </c>
      <c r="G579" s="283">
        <f>VLOOKUP(D579,upahbahan,3,FALSE)</f>
        <v>150000</v>
      </c>
      <c r="H579" s="284">
        <f t="shared" si="15"/>
        <v>5250.0000000000009</v>
      </c>
      <c r="I579" s="280"/>
      <c r="M579" s="1408"/>
    </row>
    <row r="580" spans="3:13" s="59" customFormat="1" ht="21" customHeight="1">
      <c r="C580" s="281">
        <v>4</v>
      </c>
      <c r="D580" s="182" t="s">
        <v>19</v>
      </c>
      <c r="E580" s="176" t="s">
        <v>6</v>
      </c>
      <c r="F580" s="315">
        <v>1.17E-2</v>
      </c>
      <c r="G580" s="283">
        <f>VLOOKUP(D580,upahbahan,3,FALSE)</f>
        <v>160000</v>
      </c>
      <c r="H580" s="284">
        <f t="shared" si="15"/>
        <v>1872</v>
      </c>
      <c r="I580" s="280"/>
      <c r="M580" s="1408"/>
    </row>
    <row r="581" spans="3:13" s="59" customFormat="1" ht="21" customHeight="1">
      <c r="C581" s="66" t="s">
        <v>1208</v>
      </c>
      <c r="D581" s="67"/>
      <c r="E581" s="67"/>
      <c r="F581" s="142"/>
      <c r="G581" s="153"/>
      <c r="H581" s="284">
        <f>SUM(H577:H580)</f>
        <v>124372</v>
      </c>
      <c r="I581" s="320"/>
      <c r="M581" s="1408"/>
    </row>
    <row r="582" spans="3:13" s="59" customFormat="1" ht="21" customHeight="1">
      <c r="C582" s="290" t="s">
        <v>1209</v>
      </c>
      <c r="D582" s="182" t="s">
        <v>1210</v>
      </c>
      <c r="E582" s="70"/>
      <c r="F582" s="70"/>
      <c r="G582" s="70"/>
      <c r="H582" s="71"/>
      <c r="I582" s="280"/>
      <c r="M582" s="1408"/>
    </row>
    <row r="583" spans="3:13" s="59" customFormat="1" ht="21" customHeight="1">
      <c r="C583" s="310" t="s">
        <v>1203</v>
      </c>
      <c r="D583" s="285" t="s">
        <v>431</v>
      </c>
      <c r="E583" s="176" t="s">
        <v>44</v>
      </c>
      <c r="F583" s="282">
        <v>26.25</v>
      </c>
      <c r="G583" s="283">
        <f>VLOOKUP(D583,upahbahan,3,FALSE)</f>
        <v>2400</v>
      </c>
      <c r="H583" s="284">
        <f t="shared" ref="H583:H586" si="16">F583*G583</f>
        <v>63000</v>
      </c>
      <c r="I583" s="280"/>
      <c r="M583" s="1408"/>
    </row>
    <row r="584" spans="3:13" s="59" customFormat="1" ht="21" customHeight="1">
      <c r="C584" s="310" t="s">
        <v>1204</v>
      </c>
      <c r="D584" s="182" t="s">
        <v>2334</v>
      </c>
      <c r="E584" s="176" t="s">
        <v>65</v>
      </c>
      <c r="F584" s="282">
        <v>13.632</v>
      </c>
      <c r="G584" s="283">
        <f>VLOOKUP(D584,upahbahan,3,FALSE)</f>
        <v>1530</v>
      </c>
      <c r="H584" s="284">
        <f t="shared" si="16"/>
        <v>20856.96</v>
      </c>
      <c r="I584" s="280"/>
      <c r="M584" s="1408"/>
    </row>
    <row r="585" spans="3:13" s="59" customFormat="1" ht="21" customHeight="1">
      <c r="C585" s="310" t="s">
        <v>1205</v>
      </c>
      <c r="D585" s="182" t="s">
        <v>562</v>
      </c>
      <c r="E585" s="176" t="s">
        <v>65</v>
      </c>
      <c r="F585" s="282">
        <v>1.5</v>
      </c>
      <c r="G585" s="283">
        <f>VLOOKUP(D585,upahbahan,3,FALSE)</f>
        <v>18000</v>
      </c>
      <c r="H585" s="284">
        <f t="shared" si="16"/>
        <v>27000</v>
      </c>
      <c r="I585" s="280"/>
      <c r="M585" s="1408"/>
    </row>
    <row r="586" spans="3:13" s="59" customFormat="1" ht="21" customHeight="1">
      <c r="C586" s="310" t="s">
        <v>1206</v>
      </c>
      <c r="D586" s="285" t="s">
        <v>85</v>
      </c>
      <c r="E586" s="176" t="s">
        <v>42</v>
      </c>
      <c r="F586" s="282">
        <v>2.7E-2</v>
      </c>
      <c r="G586" s="283">
        <f>VLOOKUP(D586,upahbahan,3,FALSE)</f>
        <v>310500</v>
      </c>
      <c r="H586" s="284">
        <f t="shared" si="16"/>
        <v>8383.5</v>
      </c>
      <c r="I586" s="280"/>
      <c r="M586" s="1408"/>
    </row>
    <row r="587" spans="3:13" s="59" customFormat="1" ht="21" customHeight="1">
      <c r="C587" s="66" t="s">
        <v>1214</v>
      </c>
      <c r="D587" s="67"/>
      <c r="E587" s="67"/>
      <c r="F587" s="67"/>
      <c r="G587" s="69"/>
      <c r="H587" s="284">
        <f>SUM(H583:H586)</f>
        <v>119240.45999999999</v>
      </c>
      <c r="I587" s="280"/>
      <c r="M587" s="1408"/>
    </row>
    <row r="588" spans="3:13" s="59" customFormat="1" ht="21" customHeight="1">
      <c r="C588" s="321" t="s">
        <v>1215</v>
      </c>
      <c r="D588" s="182" t="s">
        <v>1216</v>
      </c>
      <c r="E588" s="70"/>
      <c r="F588" s="70"/>
      <c r="G588" s="70"/>
      <c r="H588" s="71"/>
      <c r="I588" s="280"/>
      <c r="M588" s="1408"/>
    </row>
    <row r="589" spans="3:13" s="59" customFormat="1" ht="21" customHeight="1">
      <c r="C589" s="66" t="s">
        <v>1217</v>
      </c>
      <c r="D589" s="67"/>
      <c r="E589" s="67"/>
      <c r="F589" s="67"/>
      <c r="G589" s="69"/>
      <c r="H589" s="292">
        <v>0</v>
      </c>
      <c r="I589" s="280"/>
      <c r="M589" s="1408"/>
    </row>
    <row r="590" spans="3:13" s="59" customFormat="1" ht="21" customHeight="1">
      <c r="C590" s="293" t="s">
        <v>1218</v>
      </c>
      <c r="D590" s="294" t="s">
        <v>1219</v>
      </c>
      <c r="E590" s="295"/>
      <c r="F590" s="295"/>
      <c r="G590" s="296"/>
      <c r="H590" s="284">
        <f>H589+H587+H581</f>
        <v>243612.46</v>
      </c>
      <c r="I590" s="280"/>
      <c r="M590" s="1408"/>
    </row>
    <row r="591" spans="3:13" s="59" customFormat="1" ht="21" customHeight="1">
      <c r="C591" s="293" t="s">
        <v>1220</v>
      </c>
      <c r="D591" s="294" t="s">
        <v>1321</v>
      </c>
      <c r="E591" s="295"/>
      <c r="F591" s="296"/>
      <c r="G591" s="298">
        <f>$D$4</f>
        <v>0.1</v>
      </c>
      <c r="H591" s="284">
        <f>H590*G591</f>
        <v>24361.245999999999</v>
      </c>
      <c r="I591" s="280"/>
      <c r="M591" s="1408"/>
    </row>
    <row r="592" spans="3:13" s="59" customFormat="1" ht="21" customHeight="1" thickBot="1">
      <c r="C592" s="299" t="s">
        <v>1221</v>
      </c>
      <c r="D592" s="300" t="s">
        <v>1222</v>
      </c>
      <c r="E592" s="301"/>
      <c r="F592" s="301"/>
      <c r="G592" s="302"/>
      <c r="H592" s="303">
        <f>SUM(H590:H591)</f>
        <v>267973.70600000001</v>
      </c>
      <c r="I592" s="280"/>
      <c r="M592" s="1408"/>
    </row>
    <row r="593" spans="3:13" ht="13.8" thickTop="1">
      <c r="L593"/>
      <c r="M593" s="1406"/>
    </row>
    <row r="594" spans="3:13" s="59" customFormat="1" ht="14.4" thickBot="1">
      <c r="C594" s="47" t="s">
        <v>2979</v>
      </c>
      <c r="D594" s="485" t="s">
        <v>1467</v>
      </c>
      <c r="E594" s="485"/>
      <c r="F594" s="485"/>
      <c r="G594" s="485"/>
      <c r="H594" s="485"/>
      <c r="K594" s="120">
        <f>ROUNDDOWN(H612,-2)</f>
        <v>221300</v>
      </c>
      <c r="M594" s="1408"/>
    </row>
    <row r="595" spans="3:13" s="59" customFormat="1" ht="42" thickTop="1">
      <c r="C595" s="51" t="s">
        <v>1195</v>
      </c>
      <c r="D595" s="52" t="s">
        <v>1196</v>
      </c>
      <c r="E595" s="52" t="s">
        <v>1197</v>
      </c>
      <c r="F595" s="52" t="s">
        <v>1198</v>
      </c>
      <c r="G595" s="52" t="s">
        <v>1199</v>
      </c>
      <c r="H595" s="53" t="s">
        <v>1200</v>
      </c>
      <c r="I595" s="280"/>
      <c r="M595" s="1408"/>
    </row>
    <row r="596" spans="3:13" s="59" customFormat="1" ht="20.399999999999999" customHeight="1">
      <c r="C596" s="290" t="s">
        <v>1201</v>
      </c>
      <c r="D596" s="182" t="s">
        <v>1202</v>
      </c>
      <c r="E596" s="70"/>
      <c r="F596" s="70"/>
      <c r="G596" s="70"/>
      <c r="H596" s="71"/>
      <c r="I596" s="280"/>
      <c r="M596" s="1408"/>
    </row>
    <row r="597" spans="3:13" s="59" customFormat="1" ht="20.399999999999999" customHeight="1">
      <c r="C597" s="281">
        <v>1</v>
      </c>
      <c r="D597" s="182" t="s">
        <v>5</v>
      </c>
      <c r="E597" s="176" t="s">
        <v>6</v>
      </c>
      <c r="F597" s="282">
        <v>0.4</v>
      </c>
      <c r="G597" s="283">
        <f>VLOOKUP(D597,upahbahan,3,FALSE)</f>
        <v>100000</v>
      </c>
      <c r="H597" s="284">
        <f>F597*G597</f>
        <v>40000</v>
      </c>
      <c r="I597" s="280"/>
      <c r="M597" s="1408"/>
    </row>
    <row r="598" spans="3:13" s="59" customFormat="1" ht="20.399999999999999" customHeight="1">
      <c r="C598" s="281">
        <v>2</v>
      </c>
      <c r="D598" s="182" t="s">
        <v>7</v>
      </c>
      <c r="E598" s="176" t="s">
        <v>6</v>
      </c>
      <c r="F598" s="282">
        <v>0.2</v>
      </c>
      <c r="G598" s="283">
        <f>VLOOKUP(D598,upahbahan,3,FALSE)</f>
        <v>135000</v>
      </c>
      <c r="H598" s="284">
        <f t="shared" ref="H598:H600" si="17">F598*G598</f>
        <v>27000</v>
      </c>
      <c r="I598" s="280"/>
      <c r="M598" s="1408"/>
    </row>
    <row r="599" spans="3:13" s="59" customFormat="1" ht="20.399999999999999" customHeight="1">
      <c r="C599" s="281">
        <v>3</v>
      </c>
      <c r="D599" s="182" t="s">
        <v>18</v>
      </c>
      <c r="E599" s="176" t="s">
        <v>6</v>
      </c>
      <c r="F599" s="282">
        <v>0.02</v>
      </c>
      <c r="G599" s="283">
        <f>VLOOKUP(D599,upahbahan,3,FALSE)</f>
        <v>150000</v>
      </c>
      <c r="H599" s="284">
        <f t="shared" si="17"/>
        <v>3000</v>
      </c>
      <c r="I599" s="280"/>
      <c r="M599" s="1408"/>
    </row>
    <row r="600" spans="3:13" s="59" customFormat="1" ht="20.399999999999999" customHeight="1">
      <c r="C600" s="281">
        <v>4</v>
      </c>
      <c r="D600" s="182" t="s">
        <v>19</v>
      </c>
      <c r="E600" s="176" t="s">
        <v>6</v>
      </c>
      <c r="F600" s="282">
        <v>7.0000000000000001E-3</v>
      </c>
      <c r="G600" s="283">
        <f>VLOOKUP(D600,upahbahan,3,FALSE)</f>
        <v>160000</v>
      </c>
      <c r="H600" s="284">
        <f t="shared" si="17"/>
        <v>1120</v>
      </c>
      <c r="I600" s="280"/>
      <c r="M600" s="1408"/>
    </row>
    <row r="601" spans="3:13" s="59" customFormat="1" ht="20.399999999999999" customHeight="1">
      <c r="C601" s="66" t="s">
        <v>1208</v>
      </c>
      <c r="D601" s="67"/>
      <c r="E601" s="67"/>
      <c r="F601" s="142"/>
      <c r="G601" s="153"/>
      <c r="H601" s="284">
        <f>SUM(H597:H600)</f>
        <v>71120</v>
      </c>
      <c r="I601" s="320"/>
      <c r="M601" s="1408"/>
    </row>
    <row r="602" spans="3:13" s="59" customFormat="1" ht="20.399999999999999" customHeight="1">
      <c r="C602" s="290" t="s">
        <v>1209</v>
      </c>
      <c r="D602" s="182" t="s">
        <v>1210</v>
      </c>
      <c r="E602" s="70"/>
      <c r="F602" s="70"/>
      <c r="G602" s="70"/>
      <c r="H602" s="71"/>
      <c r="I602" s="280"/>
      <c r="M602" s="1408"/>
    </row>
    <row r="603" spans="3:13" s="59" customFormat="1" ht="20.399999999999999" customHeight="1">
      <c r="C603" s="310" t="s">
        <v>1203</v>
      </c>
      <c r="D603" s="182" t="s">
        <v>437</v>
      </c>
      <c r="E603" s="176" t="s">
        <v>44</v>
      </c>
      <c r="F603" s="282">
        <v>26</v>
      </c>
      <c r="G603" s="283">
        <f>VLOOKUP(D603,upahbahan,3,FALSE)</f>
        <v>2900</v>
      </c>
      <c r="H603" s="284">
        <f t="shared" ref="H603:H606" si="18">F603*G603</f>
        <v>75400</v>
      </c>
      <c r="I603" s="280"/>
      <c r="M603" s="1408"/>
    </row>
    <row r="604" spans="3:13" s="59" customFormat="1" ht="20.399999999999999" customHeight="1">
      <c r="C604" s="310" t="s">
        <v>1204</v>
      </c>
      <c r="D604" s="182" t="s">
        <v>2332</v>
      </c>
      <c r="E604" s="176" t="s">
        <v>65</v>
      </c>
      <c r="F604" s="282">
        <v>9.3000000000000007</v>
      </c>
      <c r="G604" s="283">
        <f>VLOOKUP(D604,upahbahan,3,FALSE)</f>
        <v>1530</v>
      </c>
      <c r="H604" s="284">
        <f t="shared" si="18"/>
        <v>14229.000000000002</v>
      </c>
      <c r="I604" s="280"/>
      <c r="M604" s="1408"/>
    </row>
    <row r="605" spans="3:13" s="59" customFormat="1" ht="20.399999999999999" customHeight="1">
      <c r="C605" s="310" t="s">
        <v>1205</v>
      </c>
      <c r="D605" s="182" t="s">
        <v>562</v>
      </c>
      <c r="E605" s="176" t="s">
        <v>65</v>
      </c>
      <c r="F605" s="282">
        <v>1.94</v>
      </c>
      <c r="G605" s="283">
        <f>VLOOKUP(D605,upahbahan,3,FALSE)</f>
        <v>18000</v>
      </c>
      <c r="H605" s="284">
        <f t="shared" si="18"/>
        <v>34920</v>
      </c>
      <c r="I605" s="280"/>
      <c r="M605" s="1408"/>
    </row>
    <row r="606" spans="3:13" s="59" customFormat="1" ht="20.399999999999999" customHeight="1">
      <c r="C606" s="310" t="s">
        <v>1206</v>
      </c>
      <c r="D606" s="285" t="s">
        <v>85</v>
      </c>
      <c r="E606" s="176" t="s">
        <v>42</v>
      </c>
      <c r="F606" s="282">
        <v>1.7999999999999999E-2</v>
      </c>
      <c r="G606" s="283">
        <f>VLOOKUP(D606,upahbahan,3,FALSE)</f>
        <v>310500</v>
      </c>
      <c r="H606" s="284">
        <f t="shared" si="18"/>
        <v>5589</v>
      </c>
      <c r="I606" s="280"/>
      <c r="M606" s="1408"/>
    </row>
    <row r="607" spans="3:13" s="59" customFormat="1" ht="20.399999999999999" customHeight="1">
      <c r="C607" s="66" t="s">
        <v>1214</v>
      </c>
      <c r="D607" s="67"/>
      <c r="E607" s="67"/>
      <c r="F607" s="67"/>
      <c r="G607" s="69"/>
      <c r="H607" s="284">
        <f>SUM(H603:H606)</f>
        <v>130138</v>
      </c>
      <c r="I607" s="280"/>
      <c r="M607" s="1408"/>
    </row>
    <row r="608" spans="3:13" s="59" customFormat="1" ht="20.399999999999999" customHeight="1">
      <c r="C608" s="321" t="s">
        <v>1215</v>
      </c>
      <c r="D608" s="182" t="s">
        <v>1216</v>
      </c>
      <c r="E608" s="70"/>
      <c r="F608" s="70"/>
      <c r="G608" s="70"/>
      <c r="H608" s="71"/>
      <c r="I608" s="280"/>
      <c r="M608" s="1408"/>
    </row>
    <row r="609" spans="3:14" s="59" customFormat="1" ht="20.399999999999999" customHeight="1">
      <c r="C609" s="66" t="s">
        <v>1217</v>
      </c>
      <c r="D609" s="67"/>
      <c r="E609" s="67"/>
      <c r="F609" s="67"/>
      <c r="G609" s="69"/>
      <c r="H609" s="292">
        <v>0</v>
      </c>
      <c r="I609" s="280"/>
      <c r="M609" s="1408"/>
    </row>
    <row r="610" spans="3:14" s="59" customFormat="1" ht="20.399999999999999" customHeight="1">
      <c r="C610" s="293" t="s">
        <v>1218</v>
      </c>
      <c r="D610" s="294" t="s">
        <v>1219</v>
      </c>
      <c r="E610" s="295"/>
      <c r="F610" s="295"/>
      <c r="G610" s="296"/>
      <c r="H610" s="284">
        <f>H609+H607+H601</f>
        <v>201258</v>
      </c>
      <c r="I610" s="280"/>
      <c r="M610" s="1408"/>
    </row>
    <row r="611" spans="3:14" s="59" customFormat="1" ht="20.399999999999999" customHeight="1">
      <c r="C611" s="293" t="s">
        <v>1220</v>
      </c>
      <c r="D611" s="294" t="s">
        <v>1321</v>
      </c>
      <c r="E611" s="295"/>
      <c r="F611" s="296"/>
      <c r="G611" s="298">
        <f>$D$4</f>
        <v>0.1</v>
      </c>
      <c r="H611" s="284">
        <f>H610*G611</f>
        <v>20125.800000000003</v>
      </c>
      <c r="I611" s="280"/>
      <c r="M611" s="1408"/>
    </row>
    <row r="612" spans="3:14" s="59" customFormat="1" ht="20.399999999999999" customHeight="1" thickBot="1">
      <c r="C612" s="299" t="s">
        <v>1221</v>
      </c>
      <c r="D612" s="300" t="s">
        <v>1222</v>
      </c>
      <c r="E612" s="301"/>
      <c r="F612" s="301"/>
      <c r="G612" s="302"/>
      <c r="H612" s="303">
        <f>SUM(H610:H611)</f>
        <v>221383.8</v>
      </c>
      <c r="I612" s="280"/>
      <c r="M612" s="1408"/>
    </row>
    <row r="613" spans="3:14" ht="13.8" thickTop="1">
      <c r="L613"/>
      <c r="M613" s="1406"/>
    </row>
    <row r="614" spans="3:14" s="59" customFormat="1" ht="14.4" thickBot="1">
      <c r="C614" s="59" t="s">
        <v>3027</v>
      </c>
      <c r="D614" s="455" t="s">
        <v>1487</v>
      </c>
      <c r="E614" s="151"/>
      <c r="F614" s="151"/>
      <c r="G614" s="151"/>
      <c r="H614" s="151"/>
      <c r="K614" s="50">
        <f>ROUNDDOWN(H630,-2)</f>
        <v>1200600</v>
      </c>
      <c r="L614" s="50"/>
      <c r="M614" s="1417"/>
      <c r="N614" s="494"/>
    </row>
    <row r="615" spans="3:14" s="59" customFormat="1" ht="42" thickTop="1">
      <c r="C615" s="51" t="s">
        <v>1195</v>
      </c>
      <c r="D615" s="52" t="s">
        <v>1196</v>
      </c>
      <c r="E615" s="52" t="s">
        <v>1197</v>
      </c>
      <c r="F615" s="52" t="s">
        <v>1198</v>
      </c>
      <c r="G615" s="52" t="s">
        <v>1199</v>
      </c>
      <c r="H615" s="53" t="s">
        <v>1200</v>
      </c>
      <c r="I615" s="44"/>
      <c r="K615" s="44"/>
      <c r="L615" s="44"/>
      <c r="M615" s="1417"/>
      <c r="N615" s="494"/>
    </row>
    <row r="616" spans="3:14" s="59" customFormat="1" ht="21.6" customHeight="1">
      <c r="C616" s="55" t="s">
        <v>1201</v>
      </c>
      <c r="D616" s="56" t="s">
        <v>1202</v>
      </c>
      <c r="E616" s="57"/>
      <c r="F616" s="57"/>
      <c r="G616" s="57"/>
      <c r="H616" s="58"/>
      <c r="I616" s="44"/>
      <c r="K616" s="44"/>
      <c r="L616" s="44"/>
      <c r="M616" s="1417"/>
      <c r="N616" s="494"/>
    </row>
    <row r="617" spans="3:14" s="59" customFormat="1" ht="21.6" customHeight="1">
      <c r="C617" s="60">
        <v>1</v>
      </c>
      <c r="D617" s="56" t="s">
        <v>5</v>
      </c>
      <c r="E617" s="61" t="s">
        <v>6</v>
      </c>
      <c r="F617" s="98">
        <v>8.5000000000000006E-2</v>
      </c>
      <c r="G617" s="63">
        <f>VLOOKUP(D617,upahbahan,3,FALSE)</f>
        <v>100000</v>
      </c>
      <c r="H617" s="64">
        <f t="shared" ref="H617:H620" si="19">F617*G617</f>
        <v>8500</v>
      </c>
      <c r="I617" s="44"/>
      <c r="K617" s="44"/>
      <c r="L617" s="44"/>
      <c r="M617" s="1417"/>
      <c r="N617" s="494"/>
    </row>
    <row r="618" spans="3:14" s="59" customFormat="1" ht="21.6" customHeight="1">
      <c r="C618" s="60">
        <v>2</v>
      </c>
      <c r="D618" s="56" t="s">
        <v>14</v>
      </c>
      <c r="E618" s="61" t="s">
        <v>6</v>
      </c>
      <c r="F618" s="98">
        <v>8.5000000000000006E-2</v>
      </c>
      <c r="G618" s="63">
        <f>VLOOKUP(D618,upahbahan,3,FALSE)</f>
        <v>145000</v>
      </c>
      <c r="H618" s="64">
        <f t="shared" si="19"/>
        <v>12325</v>
      </c>
      <c r="I618" s="44"/>
      <c r="K618" s="44"/>
      <c r="L618" s="44"/>
      <c r="M618" s="1417"/>
      <c r="N618" s="494"/>
    </row>
    <row r="619" spans="3:14" s="59" customFormat="1" ht="21.6" customHeight="1">
      <c r="C619" s="60">
        <v>3</v>
      </c>
      <c r="D619" s="56" t="s">
        <v>18</v>
      </c>
      <c r="E619" s="61" t="s">
        <v>6</v>
      </c>
      <c r="F619" s="98">
        <v>8.9999999999999993E-3</v>
      </c>
      <c r="G619" s="63">
        <f>VLOOKUP(D619,upahbahan,3,FALSE)</f>
        <v>150000</v>
      </c>
      <c r="H619" s="64">
        <f t="shared" si="19"/>
        <v>1350</v>
      </c>
      <c r="I619" s="44"/>
      <c r="K619" s="44"/>
      <c r="L619" s="44"/>
      <c r="M619" s="1417"/>
      <c r="N619" s="494"/>
    </row>
    <row r="620" spans="3:14" s="59" customFormat="1" ht="21.6" customHeight="1">
      <c r="C620" s="60">
        <v>4</v>
      </c>
      <c r="D620" s="56" t="s">
        <v>19</v>
      </c>
      <c r="E620" s="61" t="s">
        <v>6</v>
      </c>
      <c r="F620" s="98">
        <v>3.0000000000000001E-3</v>
      </c>
      <c r="G620" s="63">
        <f>VLOOKUP(D620,upahbahan,3,FALSE)</f>
        <v>160000</v>
      </c>
      <c r="H620" s="64">
        <f t="shared" si="19"/>
        <v>480</v>
      </c>
      <c r="I620" s="44"/>
      <c r="K620" s="44"/>
      <c r="L620" s="44"/>
      <c r="M620" s="1417"/>
      <c r="N620" s="494"/>
    </row>
    <row r="621" spans="3:14" s="59" customFormat="1" ht="21.6" customHeight="1">
      <c r="C621" s="66" t="s">
        <v>1208</v>
      </c>
      <c r="D621" s="67"/>
      <c r="E621" s="67"/>
      <c r="F621" s="142"/>
      <c r="G621" s="153"/>
      <c r="H621" s="64">
        <f>SUM(H617:H620)</f>
        <v>22655</v>
      </c>
      <c r="I621" s="154"/>
      <c r="K621" s="154"/>
      <c r="L621" s="154"/>
      <c r="M621" s="1417"/>
      <c r="N621" s="494"/>
    </row>
    <row r="622" spans="3:14" s="59" customFormat="1" ht="21.6" customHeight="1">
      <c r="C622" s="55" t="s">
        <v>1209</v>
      </c>
      <c r="D622" s="56" t="s">
        <v>1210</v>
      </c>
      <c r="E622" s="57"/>
      <c r="F622" s="57"/>
      <c r="G622" s="57"/>
      <c r="H622" s="58"/>
      <c r="I622" s="44"/>
      <c r="K622" s="44"/>
      <c r="L622" s="44"/>
      <c r="M622" s="1417"/>
      <c r="N622" s="494"/>
    </row>
    <row r="623" spans="3:14" s="59" customFormat="1" ht="21.6" customHeight="1">
      <c r="C623" s="92" t="s">
        <v>1203</v>
      </c>
      <c r="D623" s="56" t="s">
        <v>1488</v>
      </c>
      <c r="E623" s="93" t="s">
        <v>113</v>
      </c>
      <c r="F623" s="104">
        <v>4.4000000000000004</v>
      </c>
      <c r="G623" s="63">
        <f>VLOOKUP(D623,upahbahan,3,FALSE)</f>
        <v>93600</v>
      </c>
      <c r="H623" s="64">
        <f t="shared" ref="H623:H624" si="20">F623*G623</f>
        <v>411840.00000000006</v>
      </c>
      <c r="I623" s="44"/>
      <c r="K623" s="44"/>
      <c r="L623" s="44"/>
      <c r="M623" s="1417"/>
      <c r="N623" s="494"/>
    </row>
    <row r="624" spans="3:14" s="59" customFormat="1" ht="21.6" customHeight="1">
      <c r="C624" s="92" t="s">
        <v>1204</v>
      </c>
      <c r="D624" s="56" t="s">
        <v>1489</v>
      </c>
      <c r="E624" s="61" t="s">
        <v>113</v>
      </c>
      <c r="F624" s="62">
        <v>14.6</v>
      </c>
      <c r="G624" s="63">
        <f>VLOOKUP(D624,upahbahan,3,FALSE)</f>
        <v>45000</v>
      </c>
      <c r="H624" s="64">
        <f t="shared" si="20"/>
        <v>657000</v>
      </c>
      <c r="I624" s="44"/>
      <c r="K624" s="44"/>
      <c r="L624" s="44"/>
      <c r="M624" s="1417"/>
      <c r="N624" s="494"/>
    </row>
    <row r="625" spans="3:14" s="59" customFormat="1" ht="21.6" customHeight="1">
      <c r="C625" s="66" t="s">
        <v>1214</v>
      </c>
      <c r="D625" s="67"/>
      <c r="E625" s="67"/>
      <c r="F625" s="67"/>
      <c r="G625" s="69"/>
      <c r="H625" s="64">
        <f>SUM(H623:H624)</f>
        <v>1068840</v>
      </c>
      <c r="I625" s="44"/>
      <c r="K625" s="44"/>
      <c r="L625" s="44"/>
      <c r="M625" s="1417"/>
      <c r="N625" s="494"/>
    </row>
    <row r="626" spans="3:14" s="59" customFormat="1" ht="21.6" customHeight="1">
      <c r="C626" s="167" t="s">
        <v>1215</v>
      </c>
      <c r="D626" s="56" t="s">
        <v>1216</v>
      </c>
      <c r="E626" s="57"/>
      <c r="F626" s="57"/>
      <c r="G626" s="57"/>
      <c r="H626" s="58"/>
      <c r="I626" s="44"/>
      <c r="K626" s="44"/>
      <c r="L626" s="44"/>
      <c r="M626" s="1417"/>
      <c r="N626" s="494"/>
    </row>
    <row r="627" spans="3:14" s="59" customFormat="1" ht="21.6" customHeight="1">
      <c r="C627" s="66" t="s">
        <v>1217</v>
      </c>
      <c r="D627" s="67"/>
      <c r="E627" s="67"/>
      <c r="F627" s="67"/>
      <c r="G627" s="69"/>
      <c r="H627" s="74">
        <v>0</v>
      </c>
      <c r="I627" s="44"/>
      <c r="K627" s="44"/>
      <c r="L627" s="44"/>
      <c r="M627" s="1417"/>
      <c r="N627" s="494"/>
    </row>
    <row r="628" spans="3:14" s="59" customFormat="1" ht="21.6" customHeight="1">
      <c r="C628" s="75" t="s">
        <v>1218</v>
      </c>
      <c r="D628" s="76" t="s">
        <v>1219</v>
      </c>
      <c r="E628" s="77"/>
      <c r="F628" s="77"/>
      <c r="G628" s="78"/>
      <c r="H628" s="64">
        <f>H627+H625+H621</f>
        <v>1091495</v>
      </c>
      <c r="I628" s="44"/>
      <c r="K628" s="44"/>
      <c r="L628" s="44"/>
      <c r="M628" s="1417"/>
      <c r="N628" s="494"/>
    </row>
    <row r="629" spans="3:14" s="59" customFormat="1" ht="21.6" customHeight="1">
      <c r="C629" s="75" t="s">
        <v>1220</v>
      </c>
      <c r="D629" s="76" t="s">
        <v>1321</v>
      </c>
      <c r="E629" s="77"/>
      <c r="F629" s="78"/>
      <c r="G629" s="298">
        <f>$D$4</f>
        <v>0.1</v>
      </c>
      <c r="H629" s="64">
        <f>H628*G629</f>
        <v>109149.5</v>
      </c>
      <c r="I629" s="44"/>
      <c r="K629" s="44"/>
      <c r="L629" s="44"/>
      <c r="M629" s="1417"/>
      <c r="N629" s="494"/>
    </row>
    <row r="630" spans="3:14" s="59" customFormat="1" ht="21.6" customHeight="1" thickBot="1">
      <c r="C630" s="81" t="s">
        <v>1221</v>
      </c>
      <c r="D630" s="82" t="s">
        <v>1222</v>
      </c>
      <c r="E630" s="83"/>
      <c r="F630" s="83"/>
      <c r="G630" s="84"/>
      <c r="H630" s="85">
        <f>SUM(H628:H629)</f>
        <v>1200644.5</v>
      </c>
      <c r="I630" s="44"/>
      <c r="K630" s="44"/>
      <c r="L630" s="44"/>
      <c r="M630" s="1417"/>
      <c r="N630" s="494"/>
    </row>
    <row r="631" spans="3:14" ht="13.8" thickTop="1">
      <c r="L631"/>
      <c r="M631" s="1406"/>
    </row>
    <row r="632" spans="3:14" s="59" customFormat="1" ht="20.399999999999999" customHeight="1" thickBot="1">
      <c r="C632" s="46" t="s">
        <v>3173</v>
      </c>
      <c r="D632" s="170" t="s">
        <v>1565</v>
      </c>
      <c r="E632" s="576"/>
      <c r="F632" s="576"/>
      <c r="G632" s="576"/>
      <c r="H632" s="576"/>
      <c r="K632" s="120">
        <f>ROUNDDOWN(H649,-2)</f>
        <v>1303500</v>
      </c>
      <c r="L632" s="475"/>
      <c r="M632" s="1408"/>
    </row>
    <row r="633" spans="3:14" s="59" customFormat="1" ht="42" thickTop="1">
      <c r="C633" s="51" t="s">
        <v>1195</v>
      </c>
      <c r="D633" s="52" t="s">
        <v>1196</v>
      </c>
      <c r="E633" s="52" t="s">
        <v>1197</v>
      </c>
      <c r="F633" s="52" t="s">
        <v>1198</v>
      </c>
      <c r="G633" s="52" t="s">
        <v>1199</v>
      </c>
      <c r="H633" s="53" t="s">
        <v>1200</v>
      </c>
      <c r="I633" s="119"/>
      <c r="L633" s="475"/>
      <c r="M633" s="1408"/>
    </row>
    <row r="634" spans="3:14" s="59" customFormat="1" ht="22.2" customHeight="1">
      <c r="C634" s="290" t="s">
        <v>1201</v>
      </c>
      <c r="D634" s="182" t="s">
        <v>1202</v>
      </c>
      <c r="E634" s="70"/>
      <c r="F634" s="70"/>
      <c r="G634" s="70"/>
      <c r="H634" s="71"/>
      <c r="I634" s="119"/>
      <c r="L634" s="475"/>
      <c r="M634" s="1408"/>
    </row>
    <row r="635" spans="3:14" s="59" customFormat="1" ht="22.2" customHeight="1">
      <c r="C635" s="281">
        <v>1</v>
      </c>
      <c r="D635" s="182" t="s">
        <v>5</v>
      </c>
      <c r="E635" s="176" t="s">
        <v>6</v>
      </c>
      <c r="F635" s="315">
        <v>1</v>
      </c>
      <c r="G635" s="283">
        <f>VLOOKUP(D635,upahbahan,3,FALSE)</f>
        <v>100000</v>
      </c>
      <c r="H635" s="284">
        <f t="shared" ref="H635:H638" si="21">F635*G635</f>
        <v>100000</v>
      </c>
      <c r="I635" s="119"/>
      <c r="L635" s="475"/>
      <c r="M635" s="1408"/>
    </row>
    <row r="636" spans="3:14" s="59" customFormat="1" ht="22.2" customHeight="1">
      <c r="C636" s="281">
        <v>2</v>
      </c>
      <c r="D636" s="182" t="s">
        <v>7</v>
      </c>
      <c r="E636" s="176" t="s">
        <v>6</v>
      </c>
      <c r="F636" s="315">
        <v>0.5</v>
      </c>
      <c r="G636" s="283">
        <f>VLOOKUP(D636,upahbahan,3,FALSE)</f>
        <v>135000</v>
      </c>
      <c r="H636" s="284">
        <f t="shared" si="21"/>
        <v>67500</v>
      </c>
      <c r="I636" s="119"/>
      <c r="L636" s="475"/>
      <c r="M636" s="1408"/>
    </row>
    <row r="637" spans="3:14" s="59" customFormat="1" ht="22.2" customHeight="1">
      <c r="C637" s="281">
        <v>3</v>
      </c>
      <c r="D637" s="182" t="s">
        <v>18</v>
      </c>
      <c r="E637" s="176" t="s">
        <v>6</v>
      </c>
      <c r="F637" s="315">
        <v>0.05</v>
      </c>
      <c r="G637" s="283">
        <f>VLOOKUP(D637,upahbahan,3,FALSE)</f>
        <v>150000</v>
      </c>
      <c r="H637" s="284">
        <f t="shared" si="21"/>
        <v>7500</v>
      </c>
      <c r="I637" s="119"/>
      <c r="L637" s="475"/>
      <c r="M637" s="1408"/>
    </row>
    <row r="638" spans="3:14" s="59" customFormat="1" ht="22.2" customHeight="1">
      <c r="C638" s="281">
        <v>4</v>
      </c>
      <c r="D638" s="182" t="s">
        <v>19</v>
      </c>
      <c r="E638" s="176" t="s">
        <v>6</v>
      </c>
      <c r="F638" s="315">
        <v>1.67E-2</v>
      </c>
      <c r="G638" s="283">
        <f>VLOOKUP(D638,upahbahan,3,FALSE)</f>
        <v>160000</v>
      </c>
      <c r="H638" s="284">
        <f t="shared" si="21"/>
        <v>2672</v>
      </c>
      <c r="I638" s="119"/>
      <c r="L638" s="475"/>
      <c r="M638" s="1408"/>
    </row>
    <row r="639" spans="3:14" s="59" customFormat="1" ht="22.2" customHeight="1">
      <c r="C639" s="66" t="s">
        <v>1208</v>
      </c>
      <c r="D639" s="67"/>
      <c r="E639" s="67"/>
      <c r="F639" s="142"/>
      <c r="G639" s="153"/>
      <c r="H639" s="284">
        <f>SUM(H635:H638)</f>
        <v>177672</v>
      </c>
      <c r="I639" s="319"/>
      <c r="L639" s="475"/>
      <c r="M639" s="1408"/>
    </row>
    <row r="640" spans="3:14" s="59" customFormat="1" ht="22.2" customHeight="1">
      <c r="C640" s="290" t="s">
        <v>1209</v>
      </c>
      <c r="D640" s="182" t="s">
        <v>1210</v>
      </c>
      <c r="E640" s="70"/>
      <c r="F640" s="70"/>
      <c r="G640" s="70"/>
      <c r="H640" s="71"/>
      <c r="I640" s="119"/>
      <c r="L640" s="475"/>
      <c r="M640" s="1408"/>
    </row>
    <row r="641" spans="3:13" s="59" customFormat="1" ht="22.2" customHeight="1">
      <c r="C641" s="281">
        <v>1</v>
      </c>
      <c r="D641" s="182" t="s">
        <v>747</v>
      </c>
      <c r="E641" s="176" t="s">
        <v>44</v>
      </c>
      <c r="F641" s="327">
        <v>1.2</v>
      </c>
      <c r="G641" s="283">
        <f>VLOOKUP(D641,upahbahan,3,FALSE)</f>
        <v>829260</v>
      </c>
      <c r="H641" s="284">
        <f t="shared" ref="H641:H643" si="22">F641*G641</f>
        <v>995112</v>
      </c>
      <c r="I641" s="119"/>
      <c r="L641" s="475"/>
      <c r="M641" s="1408"/>
    </row>
    <row r="642" spans="3:13" s="59" customFormat="1" ht="22.2" customHeight="1">
      <c r="C642" s="281">
        <v>2</v>
      </c>
      <c r="D642" s="182" t="s">
        <v>2332</v>
      </c>
      <c r="E642" s="176" t="s">
        <v>65</v>
      </c>
      <c r="F642" s="327">
        <v>6</v>
      </c>
      <c r="G642" s="283">
        <f>VLOOKUP(D642,upahbahan,3,FALSE)</f>
        <v>1530</v>
      </c>
      <c r="H642" s="284">
        <f t="shared" si="22"/>
        <v>9180</v>
      </c>
      <c r="I642" s="119"/>
      <c r="L642" s="475"/>
      <c r="M642" s="1408"/>
    </row>
    <row r="643" spans="3:13" s="59" customFormat="1" ht="22.2" customHeight="1">
      <c r="C643" s="281">
        <v>3</v>
      </c>
      <c r="D643" s="285" t="s">
        <v>85</v>
      </c>
      <c r="E643" s="176" t="s">
        <v>42</v>
      </c>
      <c r="F643" s="327">
        <v>0.01</v>
      </c>
      <c r="G643" s="283">
        <f>VLOOKUP(D643,upahbahan,3,FALSE)</f>
        <v>310500</v>
      </c>
      <c r="H643" s="284">
        <f t="shared" si="22"/>
        <v>3105</v>
      </c>
      <c r="I643" s="119"/>
      <c r="L643" s="475"/>
      <c r="M643" s="1408"/>
    </row>
    <row r="644" spans="3:13" s="59" customFormat="1" ht="22.2" customHeight="1">
      <c r="C644" s="66" t="s">
        <v>1214</v>
      </c>
      <c r="D644" s="67"/>
      <c r="E644" s="67"/>
      <c r="F644" s="67"/>
      <c r="G644" s="69"/>
      <c r="H644" s="284">
        <f>SUM(H641:H643)</f>
        <v>1007397</v>
      </c>
      <c r="I644" s="119"/>
      <c r="L644" s="475"/>
      <c r="M644" s="1408"/>
    </row>
    <row r="645" spans="3:13" s="59" customFormat="1" ht="22.2" customHeight="1">
      <c r="C645" s="321" t="s">
        <v>1215</v>
      </c>
      <c r="D645" s="182" t="s">
        <v>1216</v>
      </c>
      <c r="E645" s="70"/>
      <c r="F645" s="70"/>
      <c r="G645" s="70"/>
      <c r="H645" s="71"/>
      <c r="I645" s="119"/>
      <c r="L645" s="475"/>
      <c r="M645" s="1408"/>
    </row>
    <row r="646" spans="3:13" s="59" customFormat="1" ht="22.2" customHeight="1">
      <c r="C646" s="66" t="s">
        <v>1217</v>
      </c>
      <c r="D646" s="67"/>
      <c r="E646" s="67"/>
      <c r="F646" s="67"/>
      <c r="G646" s="69"/>
      <c r="H646" s="292">
        <v>0</v>
      </c>
      <c r="I646" s="119"/>
      <c r="L646" s="475"/>
      <c r="M646" s="1408"/>
    </row>
    <row r="647" spans="3:13" s="59" customFormat="1" ht="22.2" customHeight="1">
      <c r="C647" s="293" t="s">
        <v>1218</v>
      </c>
      <c r="D647" s="294" t="s">
        <v>1219</v>
      </c>
      <c r="E647" s="295"/>
      <c r="F647" s="295"/>
      <c r="G647" s="296"/>
      <c r="H647" s="284">
        <f>H646+H644+H639</f>
        <v>1185069</v>
      </c>
      <c r="I647" s="119"/>
      <c r="L647" s="475"/>
      <c r="M647" s="1408"/>
    </row>
    <row r="648" spans="3:13" s="59" customFormat="1" ht="22.2" customHeight="1">
      <c r="C648" s="293" t="s">
        <v>1220</v>
      </c>
      <c r="D648" s="294" t="s">
        <v>1321</v>
      </c>
      <c r="E648" s="295"/>
      <c r="F648" s="296"/>
      <c r="G648" s="298">
        <f>$D$4</f>
        <v>0.1</v>
      </c>
      <c r="H648" s="284">
        <f>H647*G648</f>
        <v>118506.90000000001</v>
      </c>
      <c r="I648" s="119"/>
      <c r="L648" s="475"/>
      <c r="M648" s="1408"/>
    </row>
    <row r="649" spans="3:13" s="59" customFormat="1" ht="22.2" customHeight="1" thickBot="1">
      <c r="C649" s="299" t="s">
        <v>1221</v>
      </c>
      <c r="D649" s="300" t="s">
        <v>1222</v>
      </c>
      <c r="E649" s="301"/>
      <c r="F649" s="301"/>
      <c r="G649" s="302"/>
      <c r="H649" s="303">
        <f>SUM(H647:H648)</f>
        <v>1303575.8999999999</v>
      </c>
      <c r="I649" s="119"/>
      <c r="L649" s="475"/>
      <c r="M649" s="1408"/>
    </row>
    <row r="650" spans="3:13" ht="13.8" thickTop="1">
      <c r="L650"/>
      <c r="M650" s="1406"/>
    </row>
    <row r="651" spans="3:13" s="59" customFormat="1" ht="14.4" thickBot="1">
      <c r="C651" s="47" t="s">
        <v>3186</v>
      </c>
      <c r="D651" s="170" t="s">
        <v>1560</v>
      </c>
      <c r="E651" s="275"/>
      <c r="F651" s="275"/>
      <c r="G651" s="275"/>
      <c r="H651" s="275"/>
      <c r="K651" s="120">
        <f>ROUNDDOWN(H667,-2)</f>
        <v>569400</v>
      </c>
      <c r="L651" s="475"/>
      <c r="M651" s="1408"/>
    </row>
    <row r="652" spans="3:13" s="59" customFormat="1" ht="42" thickTop="1">
      <c r="C652" s="51" t="s">
        <v>1195</v>
      </c>
      <c r="D652" s="52" t="s">
        <v>1196</v>
      </c>
      <c r="E652" s="52" t="s">
        <v>1197</v>
      </c>
      <c r="F652" s="52" t="s">
        <v>1198</v>
      </c>
      <c r="G652" s="52" t="s">
        <v>1199</v>
      </c>
      <c r="H652" s="53" t="s">
        <v>1200</v>
      </c>
      <c r="I652" s="119"/>
      <c r="L652" s="475"/>
      <c r="M652" s="1408"/>
    </row>
    <row r="653" spans="3:13" s="59" customFormat="1" ht="19.8" customHeight="1">
      <c r="C653" s="290" t="s">
        <v>1201</v>
      </c>
      <c r="D653" s="182" t="s">
        <v>1202</v>
      </c>
      <c r="E653" s="70"/>
      <c r="F653" s="70"/>
      <c r="G653" s="70"/>
      <c r="H653" s="71"/>
      <c r="I653" s="119"/>
      <c r="L653" s="475"/>
      <c r="M653" s="1408"/>
    </row>
    <row r="654" spans="3:13" s="59" customFormat="1" ht="19.8" customHeight="1">
      <c r="C654" s="281">
        <v>1</v>
      </c>
      <c r="D654" s="182" t="s">
        <v>5</v>
      </c>
      <c r="E654" s="176" t="s">
        <v>6</v>
      </c>
      <c r="F654" s="315">
        <v>0.5</v>
      </c>
      <c r="G654" s="283">
        <f>VLOOKUP(D654,upahbahan,3,FALSE)</f>
        <v>100000</v>
      </c>
      <c r="H654" s="284">
        <f>F654*G654</f>
        <v>50000</v>
      </c>
      <c r="I654" s="119"/>
      <c r="L654" s="475"/>
      <c r="M654" s="1408"/>
    </row>
    <row r="655" spans="3:13" s="59" customFormat="1" ht="19.8" customHeight="1">
      <c r="C655" s="281">
        <v>2</v>
      </c>
      <c r="D655" s="182" t="s">
        <v>7</v>
      </c>
      <c r="E655" s="176" t="s">
        <v>6</v>
      </c>
      <c r="F655" s="315">
        <v>0.5</v>
      </c>
      <c r="G655" s="283">
        <f>VLOOKUP(D655,upahbahan,3,FALSE)</f>
        <v>135000</v>
      </c>
      <c r="H655" s="284">
        <f t="shared" ref="H655:H657" si="23">F655*G655</f>
        <v>67500</v>
      </c>
      <c r="I655" s="119"/>
      <c r="L655" s="475"/>
      <c r="M655" s="1408"/>
    </row>
    <row r="656" spans="3:13" s="59" customFormat="1" ht="19.8" customHeight="1">
      <c r="C656" s="281">
        <v>3</v>
      </c>
      <c r="D656" s="182" t="s">
        <v>18</v>
      </c>
      <c r="E656" s="176" t="s">
        <v>6</v>
      </c>
      <c r="F656" s="315">
        <v>0.05</v>
      </c>
      <c r="G656" s="283">
        <f>VLOOKUP(D656,upahbahan,3,FALSE)</f>
        <v>150000</v>
      </c>
      <c r="H656" s="284">
        <f t="shared" si="23"/>
        <v>7500</v>
      </c>
      <c r="I656" s="119"/>
      <c r="L656" s="475"/>
      <c r="M656" s="1408"/>
    </row>
    <row r="657" spans="3:13" s="59" customFormat="1" ht="19.8" customHeight="1">
      <c r="C657" s="281">
        <v>4</v>
      </c>
      <c r="D657" s="182" t="s">
        <v>19</v>
      </c>
      <c r="E657" s="176" t="s">
        <v>6</v>
      </c>
      <c r="F657" s="315">
        <v>1.67E-2</v>
      </c>
      <c r="G657" s="283">
        <f>VLOOKUP(D657,upahbahan,3,FALSE)</f>
        <v>160000</v>
      </c>
      <c r="H657" s="284">
        <f t="shared" si="23"/>
        <v>2672</v>
      </c>
      <c r="I657" s="119"/>
      <c r="L657" s="475"/>
      <c r="M657" s="1408"/>
    </row>
    <row r="658" spans="3:13" s="59" customFormat="1" ht="19.8" customHeight="1">
      <c r="C658" s="66" t="s">
        <v>1208</v>
      </c>
      <c r="D658" s="67"/>
      <c r="E658" s="67"/>
      <c r="F658" s="142"/>
      <c r="G658" s="153"/>
      <c r="H658" s="284">
        <f>SUM(H654:H657)</f>
        <v>127672</v>
      </c>
      <c r="I658" s="319"/>
      <c r="L658" s="475"/>
      <c r="M658" s="1408"/>
    </row>
    <row r="659" spans="3:13" s="59" customFormat="1" ht="19.8" customHeight="1">
      <c r="C659" s="290" t="s">
        <v>1209</v>
      </c>
      <c r="D659" s="182" t="s">
        <v>1210</v>
      </c>
      <c r="E659" s="70"/>
      <c r="F659" s="70"/>
      <c r="G659" s="70"/>
      <c r="H659" s="71"/>
      <c r="I659" s="119"/>
      <c r="L659" s="475"/>
      <c r="M659" s="1408"/>
    </row>
    <row r="660" spans="3:13" s="59" customFormat="1" ht="19.8" customHeight="1">
      <c r="C660" s="281">
        <v>1</v>
      </c>
      <c r="D660" s="182" t="s">
        <v>685</v>
      </c>
      <c r="E660" s="176" t="s">
        <v>44</v>
      </c>
      <c r="F660" s="282">
        <v>1</v>
      </c>
      <c r="G660" s="283">
        <f>VLOOKUP(D660,upahbahan,3,FALSE)</f>
        <v>386550</v>
      </c>
      <c r="H660" s="284">
        <f t="shared" ref="H660:H661" si="24">F660*G660</f>
        <v>386550</v>
      </c>
      <c r="I660" s="119"/>
      <c r="L660" s="475"/>
      <c r="M660" s="1408"/>
    </row>
    <row r="661" spans="3:13" s="59" customFormat="1" ht="31.2" customHeight="1">
      <c r="C661" s="281">
        <v>2</v>
      </c>
      <c r="D661" s="580" t="s">
        <v>9217</v>
      </c>
      <c r="E661" s="176" t="s">
        <v>62</v>
      </c>
      <c r="F661" s="282">
        <v>3.5999999999999997E-2</v>
      </c>
      <c r="G661" s="283">
        <f>H1218</f>
        <v>95121.991250000006</v>
      </c>
      <c r="H661" s="284">
        <f t="shared" si="24"/>
        <v>3424.3916850000001</v>
      </c>
      <c r="I661" s="119"/>
      <c r="L661" s="475"/>
      <c r="M661" s="1408"/>
    </row>
    <row r="662" spans="3:13" s="59" customFormat="1" ht="19.8" customHeight="1">
      <c r="C662" s="66" t="s">
        <v>1214</v>
      </c>
      <c r="D662" s="67"/>
      <c r="E662" s="67"/>
      <c r="F662" s="67"/>
      <c r="G662" s="69"/>
      <c r="H662" s="284">
        <f>SUM(H660:H661)</f>
        <v>389974.39168499998</v>
      </c>
      <c r="I662" s="119"/>
      <c r="L662" s="475"/>
      <c r="M662" s="1408"/>
    </row>
    <row r="663" spans="3:13" s="59" customFormat="1" ht="19.8" customHeight="1">
      <c r="C663" s="321" t="s">
        <v>1215</v>
      </c>
      <c r="D663" s="182" t="s">
        <v>1216</v>
      </c>
      <c r="E663" s="70"/>
      <c r="F663" s="70"/>
      <c r="G663" s="70"/>
      <c r="H663" s="71"/>
      <c r="I663" s="119"/>
      <c r="L663" s="475"/>
      <c r="M663" s="1408"/>
    </row>
    <row r="664" spans="3:13" s="59" customFormat="1" ht="19.8" customHeight="1">
      <c r="C664" s="66" t="s">
        <v>1217</v>
      </c>
      <c r="D664" s="67"/>
      <c r="E664" s="67"/>
      <c r="F664" s="67"/>
      <c r="G664" s="69"/>
      <c r="H664" s="292">
        <v>0</v>
      </c>
      <c r="I664" s="119"/>
      <c r="L664" s="475"/>
      <c r="M664" s="1408"/>
    </row>
    <row r="665" spans="3:13" s="59" customFormat="1" ht="19.8" customHeight="1">
      <c r="C665" s="293" t="s">
        <v>1218</v>
      </c>
      <c r="D665" s="294" t="s">
        <v>1219</v>
      </c>
      <c r="E665" s="295"/>
      <c r="F665" s="295"/>
      <c r="G665" s="296"/>
      <c r="H665" s="284">
        <f>H664+H662+H658</f>
        <v>517646.39168499998</v>
      </c>
      <c r="I665" s="119"/>
      <c r="L665" s="475"/>
      <c r="M665" s="1408"/>
    </row>
    <row r="666" spans="3:13" s="59" customFormat="1" ht="19.8" customHeight="1">
      <c r="C666" s="293" t="s">
        <v>1220</v>
      </c>
      <c r="D666" s="294" t="s">
        <v>1321</v>
      </c>
      <c r="E666" s="295"/>
      <c r="F666" s="296"/>
      <c r="G666" s="298">
        <f>$D$4</f>
        <v>0.1</v>
      </c>
      <c r="H666" s="284">
        <f>H665*G666</f>
        <v>51764.639168499998</v>
      </c>
      <c r="I666" s="119"/>
      <c r="L666" s="475"/>
      <c r="M666" s="1408"/>
    </row>
    <row r="667" spans="3:13" s="59" customFormat="1" ht="19.8" customHeight="1" thickBot="1">
      <c r="C667" s="299" t="s">
        <v>1221</v>
      </c>
      <c r="D667" s="300" t="s">
        <v>1222</v>
      </c>
      <c r="E667" s="301"/>
      <c r="F667" s="301"/>
      <c r="G667" s="302"/>
      <c r="H667" s="303">
        <f>SUM(H665:H666)</f>
        <v>569411.03085350001</v>
      </c>
      <c r="I667" s="119"/>
      <c r="L667" s="475"/>
      <c r="M667" s="1408"/>
    </row>
    <row r="668" spans="3:13" ht="13.8" thickTop="1">
      <c r="L668"/>
      <c r="M668" s="1406"/>
    </row>
    <row r="669" spans="3:13" s="59" customFormat="1" ht="14.4" thickBot="1">
      <c r="C669" s="47" t="s">
        <v>3202</v>
      </c>
      <c r="D669" s="170" t="s">
        <v>1568</v>
      </c>
      <c r="E669" s="275"/>
      <c r="F669" s="275"/>
      <c r="G669" s="275"/>
      <c r="H669" s="275"/>
      <c r="K669" s="120">
        <f>ROUNDDOWN(H684,-2)</f>
        <v>45600</v>
      </c>
      <c r="L669" s="475"/>
      <c r="M669" s="1408"/>
    </row>
    <row r="670" spans="3:13" s="59" customFormat="1" ht="42" thickTop="1">
      <c r="C670" s="51" t="s">
        <v>1195</v>
      </c>
      <c r="D670" s="52" t="s">
        <v>1196</v>
      </c>
      <c r="E670" s="52" t="s">
        <v>1197</v>
      </c>
      <c r="F670" s="52" t="s">
        <v>1198</v>
      </c>
      <c r="G670" s="52" t="s">
        <v>1199</v>
      </c>
      <c r="H670" s="53" t="s">
        <v>1200</v>
      </c>
      <c r="I670" s="119"/>
      <c r="L670" s="475"/>
      <c r="M670" s="1408"/>
    </row>
    <row r="671" spans="3:13" s="59" customFormat="1" ht="19.8" customHeight="1">
      <c r="C671" s="290" t="s">
        <v>1201</v>
      </c>
      <c r="D671" s="182" t="s">
        <v>1202</v>
      </c>
      <c r="E671" s="70"/>
      <c r="F671" s="70"/>
      <c r="G671" s="70"/>
      <c r="H671" s="71"/>
      <c r="I671" s="119"/>
      <c r="L671" s="475"/>
      <c r="M671" s="1408"/>
    </row>
    <row r="672" spans="3:13" s="59" customFormat="1" ht="19.8" customHeight="1">
      <c r="C672" s="281">
        <v>1</v>
      </c>
      <c r="D672" s="182" t="s">
        <v>5</v>
      </c>
      <c r="E672" s="176" t="s">
        <v>6</v>
      </c>
      <c r="F672" s="315">
        <v>0.01</v>
      </c>
      <c r="G672" s="283">
        <f>VLOOKUP(D672,upahbahan,3,FALSE)</f>
        <v>100000</v>
      </c>
      <c r="H672" s="284">
        <f t="shared" ref="H672:H675" si="25">F672*G672</f>
        <v>1000</v>
      </c>
      <c r="I672" s="119"/>
      <c r="L672" s="475"/>
      <c r="M672" s="1408"/>
    </row>
    <row r="673" spans="3:13" s="59" customFormat="1" ht="19.8" customHeight="1">
      <c r="C673" s="281">
        <v>2</v>
      </c>
      <c r="D673" s="182" t="s">
        <v>7</v>
      </c>
      <c r="E673" s="176" t="s">
        <v>6</v>
      </c>
      <c r="F673" s="315">
        <v>0.1</v>
      </c>
      <c r="G673" s="283">
        <f>VLOOKUP(D673,upahbahan,3,FALSE)</f>
        <v>135000</v>
      </c>
      <c r="H673" s="284">
        <f t="shared" si="25"/>
        <v>13500</v>
      </c>
      <c r="I673" s="119"/>
      <c r="L673" s="475"/>
      <c r="M673" s="1408"/>
    </row>
    <row r="674" spans="3:13" s="59" customFormat="1" ht="19.8" customHeight="1">
      <c r="C674" s="281">
        <v>3</v>
      </c>
      <c r="D674" s="182" t="s">
        <v>18</v>
      </c>
      <c r="E674" s="176" t="s">
        <v>6</v>
      </c>
      <c r="F674" s="315">
        <v>0.01</v>
      </c>
      <c r="G674" s="283">
        <f>VLOOKUP(D674,upahbahan,3,FALSE)</f>
        <v>150000</v>
      </c>
      <c r="H674" s="284">
        <f t="shared" si="25"/>
        <v>1500</v>
      </c>
      <c r="I674" s="119"/>
      <c r="L674" s="475"/>
      <c r="M674" s="1408"/>
    </row>
    <row r="675" spans="3:13" s="59" customFormat="1" ht="19.8" customHeight="1">
      <c r="C675" s="281">
        <v>4</v>
      </c>
      <c r="D675" s="182" t="s">
        <v>19</v>
      </c>
      <c r="E675" s="176" t="s">
        <v>6</v>
      </c>
      <c r="F675" s="315">
        <v>3.3E-3</v>
      </c>
      <c r="G675" s="283">
        <f>VLOOKUP(D675,upahbahan,3,FALSE)</f>
        <v>160000</v>
      </c>
      <c r="H675" s="284">
        <f t="shared" si="25"/>
        <v>528</v>
      </c>
      <c r="I675" s="119"/>
      <c r="L675" s="475"/>
      <c r="M675" s="1408"/>
    </row>
    <row r="676" spans="3:13" s="59" customFormat="1" ht="19.8" customHeight="1">
      <c r="C676" s="66" t="s">
        <v>1208</v>
      </c>
      <c r="D676" s="67"/>
      <c r="E676" s="67"/>
      <c r="F676" s="142"/>
      <c r="G676" s="153"/>
      <c r="H676" s="284">
        <f>SUM(H672:H675)</f>
        <v>16528</v>
      </c>
      <c r="I676" s="319"/>
      <c r="L676" s="475"/>
      <c r="M676" s="1408"/>
    </row>
    <row r="677" spans="3:13" s="59" customFormat="1" ht="19.8" customHeight="1">
      <c r="C677" s="290" t="s">
        <v>1209</v>
      </c>
      <c r="D677" s="182" t="s">
        <v>1210</v>
      </c>
      <c r="E677" s="70"/>
      <c r="F677" s="70"/>
      <c r="G677" s="70"/>
      <c r="H677" s="71"/>
      <c r="I677" s="119"/>
      <c r="L677" s="475"/>
      <c r="M677" s="1408"/>
    </row>
    <row r="678" spans="3:13" s="59" customFormat="1" ht="19.8" customHeight="1">
      <c r="C678" s="281">
        <v>1</v>
      </c>
      <c r="D678" s="182" t="s">
        <v>678</v>
      </c>
      <c r="E678" s="176" t="s">
        <v>44</v>
      </c>
      <c r="F678" s="327">
        <v>1</v>
      </c>
      <c r="G678" s="283">
        <f>VLOOKUP(D678,upahbahan,3,FALSE)</f>
        <v>25000</v>
      </c>
      <c r="H678" s="284">
        <f t="shared" ref="H678" si="26">F678*G678</f>
        <v>25000</v>
      </c>
      <c r="I678" s="119"/>
      <c r="L678" s="475"/>
      <c r="M678" s="1408"/>
    </row>
    <row r="679" spans="3:13" s="59" customFormat="1" ht="19.8" customHeight="1">
      <c r="C679" s="66" t="s">
        <v>1214</v>
      </c>
      <c r="D679" s="67"/>
      <c r="E679" s="67"/>
      <c r="F679" s="67"/>
      <c r="G679" s="69"/>
      <c r="H679" s="284">
        <f>SUM(H678)</f>
        <v>25000</v>
      </c>
      <c r="I679" s="119"/>
      <c r="L679" s="475"/>
      <c r="M679" s="1408"/>
    </row>
    <row r="680" spans="3:13" s="59" customFormat="1" ht="19.8" customHeight="1">
      <c r="C680" s="321" t="s">
        <v>1215</v>
      </c>
      <c r="D680" s="182" t="s">
        <v>1216</v>
      </c>
      <c r="E680" s="70"/>
      <c r="F680" s="70"/>
      <c r="G680" s="70"/>
      <c r="H680" s="71"/>
      <c r="I680" s="119"/>
      <c r="L680" s="475"/>
      <c r="M680" s="1408"/>
    </row>
    <row r="681" spans="3:13" s="59" customFormat="1" ht="19.8" customHeight="1">
      <c r="C681" s="66" t="s">
        <v>1217</v>
      </c>
      <c r="D681" s="67"/>
      <c r="E681" s="67"/>
      <c r="F681" s="67"/>
      <c r="G681" s="69"/>
      <c r="H681" s="292">
        <v>0</v>
      </c>
      <c r="I681" s="119"/>
      <c r="L681" s="475"/>
      <c r="M681" s="1408"/>
    </row>
    <row r="682" spans="3:13" s="59" customFormat="1" ht="19.8" customHeight="1">
      <c r="C682" s="293" t="s">
        <v>1218</v>
      </c>
      <c r="D682" s="294" t="s">
        <v>1219</v>
      </c>
      <c r="E682" s="295"/>
      <c r="F682" s="295"/>
      <c r="G682" s="296"/>
      <c r="H682" s="284">
        <f>H681+H679+H676</f>
        <v>41528</v>
      </c>
      <c r="I682" s="119"/>
      <c r="L682" s="475"/>
      <c r="M682" s="1408"/>
    </row>
    <row r="683" spans="3:13" s="59" customFormat="1" ht="19.8" customHeight="1">
      <c r="C683" s="293" t="s">
        <v>1220</v>
      </c>
      <c r="D683" s="294" t="s">
        <v>1321</v>
      </c>
      <c r="E683" s="295"/>
      <c r="F683" s="296"/>
      <c r="G683" s="298">
        <f>$D$4</f>
        <v>0.1</v>
      </c>
      <c r="H683" s="284">
        <f>H682*G683</f>
        <v>4152.8</v>
      </c>
      <c r="I683" s="119"/>
      <c r="L683" s="475"/>
      <c r="M683" s="1408"/>
    </row>
    <row r="684" spans="3:13" s="59" customFormat="1" ht="19.8" customHeight="1" thickBot="1">
      <c r="C684" s="299" t="s">
        <v>1221</v>
      </c>
      <c r="D684" s="300" t="s">
        <v>1222</v>
      </c>
      <c r="E684" s="301"/>
      <c r="F684" s="301"/>
      <c r="G684" s="302"/>
      <c r="H684" s="303">
        <f>SUM(H682:H683)</f>
        <v>45680.800000000003</v>
      </c>
      <c r="I684" s="119"/>
      <c r="L684" s="475"/>
      <c r="M684" s="1408"/>
    </row>
    <row r="685" spans="3:13" ht="13.8" thickTop="1">
      <c r="L685"/>
      <c r="M685" s="1406"/>
    </row>
    <row r="686" spans="3:13" s="59" customFormat="1" ht="14.4" thickBot="1">
      <c r="C686" s="47" t="s">
        <v>3205</v>
      </c>
      <c r="D686" s="170" t="s">
        <v>1569</v>
      </c>
      <c r="E686" s="275"/>
      <c r="F686" s="275"/>
      <c r="G686" s="275"/>
      <c r="H686" s="275"/>
      <c r="K686" s="120">
        <f>ROUNDDOWN(H702,-2)</f>
        <v>98500</v>
      </c>
      <c r="L686" s="475"/>
      <c r="M686" s="1408"/>
    </row>
    <row r="687" spans="3:13" s="59" customFormat="1" ht="42" thickTop="1">
      <c r="C687" s="51" t="s">
        <v>1195</v>
      </c>
      <c r="D687" s="52" t="s">
        <v>1196</v>
      </c>
      <c r="E687" s="52" t="s">
        <v>1197</v>
      </c>
      <c r="F687" s="52" t="s">
        <v>1198</v>
      </c>
      <c r="G687" s="52" t="s">
        <v>1199</v>
      </c>
      <c r="H687" s="53" t="s">
        <v>1200</v>
      </c>
      <c r="I687" s="119"/>
      <c r="L687" s="475"/>
      <c r="M687" s="1408"/>
    </row>
    <row r="688" spans="3:13" s="59" customFormat="1" ht="20.399999999999999" customHeight="1">
      <c r="C688" s="290" t="s">
        <v>1201</v>
      </c>
      <c r="D688" s="182" t="s">
        <v>1202</v>
      </c>
      <c r="E688" s="70"/>
      <c r="F688" s="70"/>
      <c r="G688" s="70"/>
      <c r="H688" s="71"/>
      <c r="I688" s="119"/>
      <c r="L688" s="475"/>
      <c r="M688" s="1408"/>
    </row>
    <row r="689" spans="3:13" s="59" customFormat="1" ht="20.399999999999999" customHeight="1">
      <c r="C689" s="281">
        <v>1</v>
      </c>
      <c r="D689" s="182" t="s">
        <v>5</v>
      </c>
      <c r="E689" s="182" t="s">
        <v>6</v>
      </c>
      <c r="F689" s="315">
        <v>0.01</v>
      </c>
      <c r="G689" s="283">
        <f>VLOOKUP(D689,upahbahan,3,FALSE)</f>
        <v>100000</v>
      </c>
      <c r="H689" s="284">
        <f t="shared" ref="H689:H692" si="27">F689*G689</f>
        <v>1000</v>
      </c>
      <c r="I689" s="119"/>
      <c r="L689" s="475"/>
      <c r="M689" s="1408"/>
    </row>
    <row r="690" spans="3:13" s="59" customFormat="1" ht="20.399999999999999" customHeight="1">
      <c r="C690" s="281">
        <v>2</v>
      </c>
      <c r="D690" s="182" t="s">
        <v>7</v>
      </c>
      <c r="E690" s="182" t="s">
        <v>6</v>
      </c>
      <c r="F690" s="315">
        <v>0.4</v>
      </c>
      <c r="G690" s="283">
        <f>VLOOKUP(D690,upahbahan,3,FALSE)</f>
        <v>135000</v>
      </c>
      <c r="H690" s="284">
        <f t="shared" si="27"/>
        <v>54000</v>
      </c>
      <c r="I690" s="119"/>
      <c r="L690" s="475"/>
      <c r="M690" s="1408"/>
    </row>
    <row r="691" spans="3:13" s="59" customFormat="1" ht="20.399999999999999" customHeight="1">
      <c r="C691" s="281">
        <v>3</v>
      </c>
      <c r="D691" s="182" t="s">
        <v>18</v>
      </c>
      <c r="E691" s="182" t="s">
        <v>6</v>
      </c>
      <c r="F691" s="315">
        <v>0.04</v>
      </c>
      <c r="G691" s="283">
        <f>VLOOKUP(D691,upahbahan,3,FALSE)</f>
        <v>150000</v>
      </c>
      <c r="H691" s="284">
        <f t="shared" si="27"/>
        <v>6000</v>
      </c>
      <c r="I691" s="119"/>
      <c r="L691" s="475"/>
      <c r="M691" s="1408"/>
    </row>
    <row r="692" spans="3:13" s="59" customFormat="1" ht="20.399999999999999" customHeight="1">
      <c r="C692" s="281">
        <v>4</v>
      </c>
      <c r="D692" s="182" t="s">
        <v>19</v>
      </c>
      <c r="E692" s="182" t="s">
        <v>6</v>
      </c>
      <c r="F692" s="315">
        <v>1.3299999999999999E-2</v>
      </c>
      <c r="G692" s="283">
        <f>VLOOKUP(D692,upahbahan,3,FALSE)</f>
        <v>160000</v>
      </c>
      <c r="H692" s="284">
        <f t="shared" si="27"/>
        <v>2128</v>
      </c>
      <c r="I692" s="119"/>
      <c r="L692" s="475"/>
      <c r="M692" s="1408"/>
    </row>
    <row r="693" spans="3:13" s="59" customFormat="1" ht="20.399999999999999" customHeight="1">
      <c r="C693" s="66" t="s">
        <v>1208</v>
      </c>
      <c r="D693" s="67"/>
      <c r="E693" s="67"/>
      <c r="F693" s="142"/>
      <c r="G693" s="153"/>
      <c r="H693" s="284">
        <f>SUM(H689:H692)</f>
        <v>63128</v>
      </c>
      <c r="I693" s="319"/>
      <c r="L693" s="475"/>
      <c r="M693" s="1408"/>
    </row>
    <row r="694" spans="3:13" s="59" customFormat="1" ht="20.399999999999999" customHeight="1">
      <c r="C694" s="290" t="s">
        <v>1209</v>
      </c>
      <c r="D694" s="182" t="s">
        <v>1210</v>
      </c>
      <c r="E694" s="70"/>
      <c r="F694" s="70"/>
      <c r="G694" s="70"/>
      <c r="H694" s="71"/>
      <c r="I694" s="119"/>
      <c r="L694" s="475"/>
      <c r="M694" s="1408"/>
    </row>
    <row r="695" spans="3:13" s="59" customFormat="1" ht="20.399999999999999" customHeight="1">
      <c r="C695" s="281">
        <v>1</v>
      </c>
      <c r="D695" s="182" t="s">
        <v>693</v>
      </c>
      <c r="E695" s="285" t="s">
        <v>44</v>
      </c>
      <c r="F695" s="282">
        <v>1</v>
      </c>
      <c r="G695" s="283">
        <f>VLOOKUP(D695,upahbahan,3,FALSE)</f>
        <v>26280</v>
      </c>
      <c r="H695" s="284">
        <f>F695*G695</f>
        <v>26280</v>
      </c>
      <c r="I695" s="119"/>
      <c r="L695" s="475"/>
      <c r="M695" s="1408"/>
    </row>
    <row r="696" spans="3:13" s="59" customFormat="1" ht="20.399999999999999" customHeight="1">
      <c r="C696" s="281">
        <v>2</v>
      </c>
      <c r="D696" s="182" t="s">
        <v>1050</v>
      </c>
      <c r="E696" s="285" t="s">
        <v>44</v>
      </c>
      <c r="F696" s="282">
        <v>2.5000000000000001E-2</v>
      </c>
      <c r="G696" s="283">
        <f>VLOOKUP(D696,upahbahan,3,FALSE)</f>
        <v>9000</v>
      </c>
      <c r="H696" s="284">
        <f>F696*G696</f>
        <v>225</v>
      </c>
      <c r="I696" s="119"/>
      <c r="L696" s="475"/>
      <c r="M696" s="1408"/>
    </row>
    <row r="697" spans="3:13" s="59" customFormat="1" ht="20.399999999999999" customHeight="1">
      <c r="C697" s="66" t="s">
        <v>1214</v>
      </c>
      <c r="D697" s="67"/>
      <c r="E697" s="67"/>
      <c r="F697" s="67"/>
      <c r="G697" s="69"/>
      <c r="H697" s="284">
        <f>SUM(H695:H696)</f>
        <v>26505</v>
      </c>
      <c r="I697" s="119"/>
      <c r="L697" s="475"/>
      <c r="M697" s="1408"/>
    </row>
    <row r="698" spans="3:13" s="59" customFormat="1" ht="20.399999999999999" customHeight="1">
      <c r="C698" s="321" t="s">
        <v>1215</v>
      </c>
      <c r="D698" s="182" t="s">
        <v>1216</v>
      </c>
      <c r="E698" s="70"/>
      <c r="F698" s="70"/>
      <c r="G698" s="70"/>
      <c r="H698" s="71"/>
      <c r="I698" s="119"/>
      <c r="L698" s="475"/>
      <c r="M698" s="1408"/>
    </row>
    <row r="699" spans="3:13" s="59" customFormat="1" ht="20.399999999999999" customHeight="1">
      <c r="C699" s="66" t="s">
        <v>1217</v>
      </c>
      <c r="D699" s="67"/>
      <c r="E699" s="67"/>
      <c r="F699" s="67"/>
      <c r="G699" s="69"/>
      <c r="H699" s="292">
        <v>0</v>
      </c>
      <c r="I699" s="119"/>
      <c r="L699" s="475"/>
      <c r="M699" s="1408"/>
    </row>
    <row r="700" spans="3:13" s="59" customFormat="1" ht="20.399999999999999" customHeight="1">
      <c r="C700" s="293" t="s">
        <v>1218</v>
      </c>
      <c r="D700" s="294" t="s">
        <v>1219</v>
      </c>
      <c r="E700" s="295"/>
      <c r="F700" s="295"/>
      <c r="G700" s="296"/>
      <c r="H700" s="284">
        <f>H699+H697+H693</f>
        <v>89633</v>
      </c>
      <c r="I700" s="119"/>
      <c r="L700" s="475"/>
      <c r="M700" s="1408"/>
    </row>
    <row r="701" spans="3:13" s="59" customFormat="1" ht="20.399999999999999" customHeight="1">
      <c r="C701" s="293" t="s">
        <v>1220</v>
      </c>
      <c r="D701" s="294" t="s">
        <v>1321</v>
      </c>
      <c r="E701" s="295"/>
      <c r="F701" s="296"/>
      <c r="G701" s="298">
        <f>$D$4</f>
        <v>0.1</v>
      </c>
      <c r="H701" s="284">
        <f>H700*G701</f>
        <v>8963.3000000000011</v>
      </c>
      <c r="I701" s="119"/>
      <c r="L701" s="475"/>
      <c r="M701" s="1408"/>
    </row>
    <row r="702" spans="3:13" s="59" customFormat="1" ht="20.399999999999999" customHeight="1" thickBot="1">
      <c r="C702" s="299" t="s">
        <v>1221</v>
      </c>
      <c r="D702" s="300" t="s">
        <v>1222</v>
      </c>
      <c r="E702" s="301"/>
      <c r="F702" s="301"/>
      <c r="G702" s="302"/>
      <c r="H702" s="303">
        <f>SUM(H700:H701)</f>
        <v>98596.3</v>
      </c>
      <c r="I702" s="119"/>
      <c r="L702" s="475"/>
      <c r="M702" s="1408"/>
    </row>
    <row r="703" spans="3:13" ht="13.8" thickTop="1">
      <c r="L703"/>
      <c r="M703" s="1406"/>
    </row>
    <row r="704" spans="3:13" s="517" customFormat="1" ht="25.8" customHeight="1">
      <c r="C704" s="513" t="s">
        <v>3243</v>
      </c>
      <c r="D704" s="817" t="s">
        <v>1651</v>
      </c>
      <c r="E704" s="803"/>
      <c r="F704" s="803"/>
      <c r="G704" s="803"/>
      <c r="H704" s="803"/>
      <c r="K704" s="533">
        <f>ROUNDDOWN(H719,-2)</f>
        <v>29000</v>
      </c>
      <c r="L704" s="824"/>
      <c r="M704" s="1418"/>
    </row>
    <row r="705" spans="3:13" s="517" customFormat="1" ht="25.8" customHeight="1">
      <c r="C705" s="716" t="s">
        <v>1195</v>
      </c>
      <c r="D705" s="716" t="s">
        <v>1196</v>
      </c>
      <c r="E705" s="716" t="s">
        <v>1197</v>
      </c>
      <c r="F705" s="716" t="s">
        <v>1198</v>
      </c>
      <c r="G705" s="716" t="s">
        <v>1199</v>
      </c>
      <c r="H705" s="716" t="s">
        <v>1200</v>
      </c>
      <c r="I705" s="571"/>
      <c r="K705" s="536"/>
      <c r="L705" s="824"/>
      <c r="M705" s="1418"/>
    </row>
    <row r="706" spans="3:13" s="517" customFormat="1" ht="25.8" customHeight="1">
      <c r="C706" s="212" t="s">
        <v>1201</v>
      </c>
      <c r="D706" s="212" t="s">
        <v>1202</v>
      </c>
      <c r="E706" s="534"/>
      <c r="F706" s="534"/>
      <c r="G706" s="534"/>
      <c r="H706" s="534"/>
      <c r="I706" s="571"/>
      <c r="K706" s="536"/>
      <c r="L706" s="824"/>
      <c r="M706" s="1418"/>
    </row>
    <row r="707" spans="3:13" s="517" customFormat="1" ht="25.8" customHeight="1">
      <c r="C707" s="825">
        <v>1</v>
      </c>
      <c r="D707" s="212" t="s">
        <v>5</v>
      </c>
      <c r="E707" s="212" t="s">
        <v>6</v>
      </c>
      <c r="F707" s="538">
        <v>2.4E-2</v>
      </c>
      <c r="G707" s="539">
        <f>VLOOKUP(D707,upahbahan,3,FALSE)</f>
        <v>100000</v>
      </c>
      <c r="H707" s="539">
        <f>F707*G707</f>
        <v>2400</v>
      </c>
      <c r="I707" s="571"/>
      <c r="K707" s="536"/>
      <c r="L707" s="824"/>
      <c r="M707" s="1418"/>
    </row>
    <row r="708" spans="3:13" s="517" customFormat="1" ht="25.8" customHeight="1">
      <c r="C708" s="825">
        <v>2</v>
      </c>
      <c r="D708" s="212" t="str">
        <f>D691</f>
        <v>Kepala tukang</v>
      </c>
      <c r="E708" s="212" t="s">
        <v>6</v>
      </c>
      <c r="F708" s="538">
        <v>0.04</v>
      </c>
      <c r="G708" s="539">
        <f>VLOOKUP(D708,upahbahan,3,FALSE)</f>
        <v>150000</v>
      </c>
      <c r="H708" s="539">
        <f t="shared" ref="H708:H710" si="28">F708*G708</f>
        <v>6000</v>
      </c>
      <c r="I708" s="571"/>
      <c r="K708" s="536"/>
      <c r="L708" s="824"/>
      <c r="M708" s="1418"/>
    </row>
    <row r="709" spans="3:13" s="517" customFormat="1" ht="25.8" customHeight="1">
      <c r="C709" s="825">
        <v>3</v>
      </c>
      <c r="D709" s="212" t="s">
        <v>18</v>
      </c>
      <c r="E709" s="212" t="s">
        <v>6</v>
      </c>
      <c r="F709" s="538">
        <v>4.0000000000000001E-3</v>
      </c>
      <c r="G709" s="539">
        <f>VLOOKUP(D709,upahbahan,3,FALSE)</f>
        <v>150000</v>
      </c>
      <c r="H709" s="539">
        <f t="shared" si="28"/>
        <v>600</v>
      </c>
      <c r="I709" s="571"/>
      <c r="K709" s="536"/>
      <c r="L709" s="824"/>
      <c r="M709" s="1418"/>
    </row>
    <row r="710" spans="3:13" s="517" customFormat="1" ht="25.8" customHeight="1">
      <c r="C710" s="825">
        <v>4</v>
      </c>
      <c r="D710" s="212" t="s">
        <v>19</v>
      </c>
      <c r="E710" s="212" t="s">
        <v>6</v>
      </c>
      <c r="F710" s="538">
        <v>1E-3</v>
      </c>
      <c r="G710" s="539">
        <f>VLOOKUP(D710,upahbahan,3,FALSE)</f>
        <v>160000</v>
      </c>
      <c r="H710" s="539">
        <f t="shared" si="28"/>
        <v>160</v>
      </c>
      <c r="I710" s="571"/>
      <c r="K710" s="536"/>
      <c r="L710" s="824"/>
      <c r="M710" s="1418"/>
    </row>
    <row r="711" spans="3:13" s="517" customFormat="1" ht="25.8" customHeight="1">
      <c r="C711" s="702" t="s">
        <v>1208</v>
      </c>
      <c r="D711" s="208"/>
      <c r="E711" s="208"/>
      <c r="F711" s="811"/>
      <c r="G711" s="522"/>
      <c r="H711" s="539">
        <f>SUM(H707:H710)</f>
        <v>9160</v>
      </c>
      <c r="I711" s="819"/>
      <c r="K711" s="536"/>
      <c r="L711" s="824"/>
      <c r="M711" s="1418"/>
    </row>
    <row r="712" spans="3:13" s="517" customFormat="1" ht="25.8" customHeight="1">
      <c r="C712" s="212" t="s">
        <v>1209</v>
      </c>
      <c r="D712" s="212" t="s">
        <v>1210</v>
      </c>
      <c r="E712" s="534"/>
      <c r="F712" s="831"/>
      <c r="G712" s="534"/>
      <c r="H712" s="534"/>
      <c r="I712" s="571"/>
      <c r="K712" s="536"/>
      <c r="L712" s="824"/>
      <c r="M712" s="1418"/>
    </row>
    <row r="713" spans="3:13" s="517" customFormat="1" ht="25.8" customHeight="1">
      <c r="C713" s="825">
        <v>1</v>
      </c>
      <c r="D713" s="820" t="s">
        <v>926</v>
      </c>
      <c r="E713" s="807" t="s">
        <v>113</v>
      </c>
      <c r="F713" s="538">
        <v>1.1499999999999999</v>
      </c>
      <c r="G713" s="539">
        <f>VLOOKUP(D713,upahbahan,3,FALSE)</f>
        <v>15000</v>
      </c>
      <c r="H713" s="539">
        <f t="shared" ref="H713" si="29">F713*G713</f>
        <v>17250</v>
      </c>
      <c r="I713" s="571"/>
      <c r="K713" s="536"/>
      <c r="L713" s="824"/>
      <c r="M713" s="1418"/>
    </row>
    <row r="714" spans="3:13" s="517" customFormat="1" ht="25.8" customHeight="1">
      <c r="C714" s="702" t="s">
        <v>1214</v>
      </c>
      <c r="D714" s="208"/>
      <c r="E714" s="208"/>
      <c r="F714" s="208"/>
      <c r="G714" s="209"/>
      <c r="H714" s="539">
        <f>SUM(H713:H713)</f>
        <v>17250</v>
      </c>
      <c r="I714" s="571"/>
      <c r="K714" s="536"/>
      <c r="L714" s="824"/>
      <c r="M714" s="1418"/>
    </row>
    <row r="715" spans="3:13" s="517" customFormat="1" ht="25.8" customHeight="1">
      <c r="C715" s="213" t="s">
        <v>1215</v>
      </c>
      <c r="D715" s="212" t="s">
        <v>1216</v>
      </c>
      <c r="E715" s="534"/>
      <c r="F715" s="534"/>
      <c r="G715" s="534"/>
      <c r="H715" s="534"/>
      <c r="I715" s="571"/>
      <c r="K715" s="536"/>
      <c r="L715" s="824"/>
      <c r="M715" s="1418"/>
    </row>
    <row r="716" spans="3:13" s="517" customFormat="1" ht="25.8" customHeight="1">
      <c r="C716" s="702" t="s">
        <v>1217</v>
      </c>
      <c r="D716" s="208"/>
      <c r="E716" s="208"/>
      <c r="F716" s="208"/>
      <c r="G716" s="209"/>
      <c r="H716" s="821">
        <v>0</v>
      </c>
      <c r="I716" s="571"/>
      <c r="K716" s="536"/>
      <c r="L716" s="824"/>
      <c r="M716" s="1418"/>
    </row>
    <row r="717" spans="3:13" s="517" customFormat="1" ht="25.8" customHeight="1">
      <c r="C717" s="566" t="s">
        <v>1218</v>
      </c>
      <c r="D717" s="552" t="s">
        <v>1219</v>
      </c>
      <c r="E717" s="553"/>
      <c r="F717" s="553"/>
      <c r="G717" s="554"/>
      <c r="H717" s="826">
        <f>H716+H714+H711</f>
        <v>26410</v>
      </c>
      <c r="I717" s="827"/>
      <c r="K717" s="536"/>
      <c r="L717" s="824"/>
      <c r="M717" s="1418"/>
    </row>
    <row r="718" spans="3:13" s="517" customFormat="1" ht="25.8" customHeight="1">
      <c r="C718" s="566" t="s">
        <v>1220</v>
      </c>
      <c r="D718" s="552" t="s">
        <v>1321</v>
      </c>
      <c r="E718" s="553"/>
      <c r="F718" s="554"/>
      <c r="G718" s="298">
        <f>$D$4</f>
        <v>0.1</v>
      </c>
      <c r="H718" s="539">
        <f>H717*G718</f>
        <v>2641</v>
      </c>
      <c r="I718" s="827"/>
      <c r="K718" s="536"/>
      <c r="L718" s="824"/>
      <c r="M718" s="1418"/>
    </row>
    <row r="719" spans="3:13" s="517" customFormat="1" ht="25.8" customHeight="1">
      <c r="C719" s="566" t="s">
        <v>1221</v>
      </c>
      <c r="D719" s="552" t="s">
        <v>1222</v>
      </c>
      <c r="E719" s="553"/>
      <c r="F719" s="553"/>
      <c r="G719" s="554"/>
      <c r="H719" s="828">
        <f>SUM(H717:H718)</f>
        <v>29051</v>
      </c>
      <c r="I719" s="827"/>
      <c r="K719" s="536"/>
      <c r="L719" s="824"/>
      <c r="M719" s="1418"/>
    </row>
    <row r="720" spans="3:13">
      <c r="L720"/>
      <c r="M720" s="1406"/>
    </row>
    <row r="721" spans="3:13" s="517" customFormat="1" ht="25.8" customHeight="1">
      <c r="C721" s="513" t="s">
        <v>3510</v>
      </c>
      <c r="D721" s="817" t="s">
        <v>3511</v>
      </c>
      <c r="E721" s="803"/>
      <c r="F721" s="803"/>
      <c r="G721" s="803"/>
      <c r="H721" s="803"/>
      <c r="K721" s="533">
        <f>ROUNDDOWN(H736,-2)</f>
        <v>36200</v>
      </c>
      <c r="L721" s="824"/>
      <c r="M721" s="1418"/>
    </row>
    <row r="722" spans="3:13" s="517" customFormat="1" ht="25.8" customHeight="1">
      <c r="C722" s="716" t="s">
        <v>1195</v>
      </c>
      <c r="D722" s="716" t="s">
        <v>1196</v>
      </c>
      <c r="E722" s="716" t="s">
        <v>1197</v>
      </c>
      <c r="F722" s="716" t="s">
        <v>1198</v>
      </c>
      <c r="G722" s="716" t="s">
        <v>1199</v>
      </c>
      <c r="H722" s="716" t="s">
        <v>1200</v>
      </c>
      <c r="I722" s="571"/>
      <c r="M722" s="1418"/>
    </row>
    <row r="723" spans="3:13" s="517" customFormat="1" ht="25.8" customHeight="1">
      <c r="C723" s="213" t="s">
        <v>1201</v>
      </c>
      <c r="D723" s="212" t="s">
        <v>1202</v>
      </c>
      <c r="E723" s="534"/>
      <c r="F723" s="534"/>
      <c r="G723" s="534"/>
      <c r="H723" s="534"/>
      <c r="I723" s="571"/>
      <c r="M723" s="1418"/>
    </row>
    <row r="724" spans="3:13" s="517" customFormat="1" ht="25.8" customHeight="1">
      <c r="C724" s="818">
        <v>1</v>
      </c>
      <c r="D724" s="212" t="s">
        <v>5</v>
      </c>
      <c r="E724" s="212" t="s">
        <v>6</v>
      </c>
      <c r="F724" s="538">
        <v>3.1E-2</v>
      </c>
      <c r="G724" s="539">
        <f>VLOOKUP(D724,upahbahan,3,FALSE)</f>
        <v>100000</v>
      </c>
      <c r="H724" s="539">
        <f t="shared" ref="H724:H727" si="30">F724*G724</f>
        <v>3100</v>
      </c>
      <c r="I724" s="571"/>
      <c r="M724" s="1418"/>
    </row>
    <row r="725" spans="3:13" s="517" customFormat="1" ht="25.8" customHeight="1">
      <c r="C725" s="818">
        <v>2</v>
      </c>
      <c r="D725" s="212" t="s">
        <v>3295</v>
      </c>
      <c r="E725" s="212" t="s">
        <v>6</v>
      </c>
      <c r="F725" s="538">
        <v>5.1999999999999998E-2</v>
      </c>
      <c r="G725" s="539">
        <f>VLOOKUP(D725,upahbahan,3,FALSE)</f>
        <v>135000</v>
      </c>
      <c r="H725" s="539">
        <f t="shared" si="30"/>
        <v>7020</v>
      </c>
      <c r="I725" s="571"/>
      <c r="M725" s="1418"/>
    </row>
    <row r="726" spans="3:13" s="517" customFormat="1" ht="25.8" customHeight="1">
      <c r="C726" s="818">
        <v>3</v>
      </c>
      <c r="D726" s="212" t="s">
        <v>18</v>
      </c>
      <c r="E726" s="212" t="s">
        <v>6</v>
      </c>
      <c r="F726" s="538">
        <v>5.0000000000000001E-3</v>
      </c>
      <c r="G726" s="539">
        <f>VLOOKUP(D726,upahbahan,3,FALSE)</f>
        <v>150000</v>
      </c>
      <c r="H726" s="539">
        <f t="shared" si="30"/>
        <v>750</v>
      </c>
      <c r="I726" s="571"/>
      <c r="M726" s="1418"/>
    </row>
    <row r="727" spans="3:13" s="517" customFormat="1" ht="25.8" customHeight="1">
      <c r="C727" s="818">
        <v>4</v>
      </c>
      <c r="D727" s="212" t="s">
        <v>19</v>
      </c>
      <c r="E727" s="212" t="s">
        <v>6</v>
      </c>
      <c r="F727" s="538">
        <v>2E-3</v>
      </c>
      <c r="G727" s="539">
        <f>VLOOKUP(D727,upahbahan,3,FALSE)</f>
        <v>160000</v>
      </c>
      <c r="H727" s="539">
        <f t="shared" si="30"/>
        <v>320</v>
      </c>
      <c r="I727" s="571"/>
      <c r="M727" s="1418"/>
    </row>
    <row r="728" spans="3:13" s="517" customFormat="1" ht="25.8" customHeight="1">
      <c r="C728" s="702" t="s">
        <v>1208</v>
      </c>
      <c r="D728" s="208"/>
      <c r="E728" s="208"/>
      <c r="F728" s="811"/>
      <c r="G728" s="522"/>
      <c r="H728" s="539">
        <f>SUM(H724:H727)</f>
        <v>11190</v>
      </c>
      <c r="I728" s="819"/>
      <c r="M728" s="1418"/>
    </row>
    <row r="729" spans="3:13" s="517" customFormat="1" ht="25.8" customHeight="1">
      <c r="C729" s="213" t="s">
        <v>1209</v>
      </c>
      <c r="D729" s="212" t="s">
        <v>1210</v>
      </c>
      <c r="E729" s="534"/>
      <c r="F729" s="831"/>
      <c r="G729" s="534"/>
      <c r="H729" s="534"/>
      <c r="I729" s="571"/>
      <c r="M729" s="1418"/>
    </row>
    <row r="730" spans="3:13" s="865" customFormat="1" ht="25.8" customHeight="1">
      <c r="C730" s="859" t="s">
        <v>1203</v>
      </c>
      <c r="D730" s="860" t="s">
        <v>3512</v>
      </c>
      <c r="E730" s="861" t="s">
        <v>2167</v>
      </c>
      <c r="F730" s="862">
        <v>1.1000000000000001</v>
      </c>
      <c r="G730" s="863">
        <f>VLOOKUP(D730,upahbahan,3,FALSE)</f>
        <v>19800</v>
      </c>
      <c r="H730" s="863">
        <f t="shared" ref="H730" si="31">F730*G730</f>
        <v>21780</v>
      </c>
      <c r="I730" s="864"/>
      <c r="K730" s="517"/>
      <c r="L730" s="517"/>
      <c r="M730" s="1419"/>
    </row>
    <row r="731" spans="3:13" s="517" customFormat="1" ht="25.8" customHeight="1">
      <c r="C731" s="702" t="s">
        <v>1214</v>
      </c>
      <c r="D731" s="208"/>
      <c r="E731" s="208"/>
      <c r="F731" s="208"/>
      <c r="G731" s="209"/>
      <c r="H731" s="539">
        <f>SUM(H730:H730)</f>
        <v>21780</v>
      </c>
      <c r="I731" s="571"/>
      <c r="M731" s="1418"/>
    </row>
    <row r="732" spans="3:13" s="517" customFormat="1" ht="25.8" customHeight="1">
      <c r="C732" s="213" t="s">
        <v>1215</v>
      </c>
      <c r="D732" s="212" t="s">
        <v>1216</v>
      </c>
      <c r="E732" s="534"/>
      <c r="F732" s="534"/>
      <c r="G732" s="534"/>
      <c r="H732" s="534"/>
      <c r="I732" s="571"/>
      <c r="M732" s="1418"/>
    </row>
    <row r="733" spans="3:13" s="517" customFormat="1" ht="25.8" customHeight="1">
      <c r="C733" s="702" t="s">
        <v>1217</v>
      </c>
      <c r="D733" s="815"/>
      <c r="E733" s="815"/>
      <c r="F733" s="815"/>
      <c r="G733" s="209"/>
      <c r="H733" s="821">
        <f>SUM(H732)</f>
        <v>0</v>
      </c>
      <c r="I733" s="571"/>
      <c r="M733" s="1418"/>
    </row>
    <row r="734" spans="3:13" s="517" customFormat="1" ht="25.8" customHeight="1">
      <c r="C734" s="566" t="s">
        <v>1218</v>
      </c>
      <c r="D734" s="552" t="s">
        <v>1219</v>
      </c>
      <c r="E734" s="553"/>
      <c r="F734" s="553"/>
      <c r="G734" s="554"/>
      <c r="H734" s="826">
        <f>H733+H731+H728</f>
        <v>32970</v>
      </c>
      <c r="I734" s="827"/>
      <c r="M734" s="1418"/>
    </row>
    <row r="735" spans="3:13" s="517" customFormat="1" ht="25.8" customHeight="1">
      <c r="C735" s="566" t="s">
        <v>1220</v>
      </c>
      <c r="D735" s="552" t="s">
        <v>1321</v>
      </c>
      <c r="E735" s="553"/>
      <c r="F735" s="554"/>
      <c r="G735" s="298">
        <f>$D$4</f>
        <v>0.1</v>
      </c>
      <c r="H735" s="539">
        <f>H734*G735</f>
        <v>3297</v>
      </c>
      <c r="I735" s="827"/>
      <c r="M735" s="1418"/>
    </row>
    <row r="736" spans="3:13" s="517" customFormat="1" ht="25.8" customHeight="1">
      <c r="C736" s="566" t="s">
        <v>1221</v>
      </c>
      <c r="D736" s="552" t="s">
        <v>1222</v>
      </c>
      <c r="E736" s="553"/>
      <c r="F736" s="553"/>
      <c r="G736" s="554"/>
      <c r="H736" s="828">
        <f>SUM(H734:H735)</f>
        <v>36267</v>
      </c>
      <c r="I736" s="827"/>
      <c r="M736" s="1418"/>
    </row>
    <row r="737" spans="3:13" s="517" customFormat="1" ht="25.8" customHeight="1">
      <c r="C737" s="530"/>
      <c r="D737" s="530"/>
      <c r="E737" s="530"/>
      <c r="F737" s="530"/>
      <c r="G737" s="530"/>
      <c r="H737" s="530"/>
      <c r="I737" s="571"/>
      <c r="M737" s="1418"/>
    </row>
    <row r="738" spans="3:13" s="517" customFormat="1" ht="25.8" customHeight="1">
      <c r="C738" s="513" t="s">
        <v>3513</v>
      </c>
      <c r="D738" s="817" t="s">
        <v>3514</v>
      </c>
      <c r="E738" s="803"/>
      <c r="F738" s="803"/>
      <c r="G738" s="803"/>
      <c r="H738" s="803"/>
      <c r="K738" s="533">
        <f>ROUNDDOWN(H753,-2)</f>
        <v>48200</v>
      </c>
      <c r="L738" s="824"/>
      <c r="M738" s="1418"/>
    </row>
    <row r="739" spans="3:13" s="517" customFormat="1" ht="25.8" customHeight="1">
      <c r="C739" s="716" t="s">
        <v>1195</v>
      </c>
      <c r="D739" s="716" t="s">
        <v>1196</v>
      </c>
      <c r="E739" s="716" t="s">
        <v>1197</v>
      </c>
      <c r="F739" s="716" t="s">
        <v>1198</v>
      </c>
      <c r="G739" s="716" t="s">
        <v>1199</v>
      </c>
      <c r="H739" s="716" t="s">
        <v>1200</v>
      </c>
      <c r="I739" s="571"/>
      <c r="M739" s="1418"/>
    </row>
    <row r="740" spans="3:13" s="517" customFormat="1" ht="25.8" customHeight="1">
      <c r="C740" s="213" t="s">
        <v>1201</v>
      </c>
      <c r="D740" s="212" t="s">
        <v>1202</v>
      </c>
      <c r="E740" s="534"/>
      <c r="F740" s="534"/>
      <c r="G740" s="534"/>
      <c r="H740" s="534"/>
      <c r="I740" s="571"/>
      <c r="M740" s="1418"/>
    </row>
    <row r="741" spans="3:13" s="517" customFormat="1" ht="25.8" customHeight="1">
      <c r="C741" s="818">
        <v>1</v>
      </c>
      <c r="D741" s="212" t="s">
        <v>5</v>
      </c>
      <c r="E741" s="212" t="s">
        <v>6</v>
      </c>
      <c r="F741" s="538">
        <v>3.1E-2</v>
      </c>
      <c r="G741" s="539">
        <f>VLOOKUP(D741,upahbahan,3,FALSE)</f>
        <v>100000</v>
      </c>
      <c r="H741" s="539">
        <f t="shared" ref="H741:H744" si="32">F741*G741</f>
        <v>3100</v>
      </c>
      <c r="I741" s="571"/>
      <c r="M741" s="1418"/>
    </row>
    <row r="742" spans="3:13" s="517" customFormat="1" ht="25.8" customHeight="1">
      <c r="C742" s="818">
        <v>2</v>
      </c>
      <c r="D742" s="212" t="s">
        <v>3295</v>
      </c>
      <c r="E742" s="212" t="s">
        <v>6</v>
      </c>
      <c r="F742" s="538">
        <v>5.1999999999999998E-2</v>
      </c>
      <c r="G742" s="539">
        <f>VLOOKUP(D742,upahbahan,3,FALSE)</f>
        <v>135000</v>
      </c>
      <c r="H742" s="539">
        <f t="shared" si="32"/>
        <v>7020</v>
      </c>
      <c r="I742" s="571"/>
      <c r="M742" s="1418"/>
    </row>
    <row r="743" spans="3:13" s="517" customFormat="1" ht="25.8" customHeight="1">
      <c r="C743" s="818">
        <v>3</v>
      </c>
      <c r="D743" s="212" t="s">
        <v>18</v>
      </c>
      <c r="E743" s="212" t="s">
        <v>6</v>
      </c>
      <c r="F743" s="538">
        <v>5.0000000000000001E-3</v>
      </c>
      <c r="G743" s="539">
        <f>VLOOKUP(D743,upahbahan,3,FALSE)</f>
        <v>150000</v>
      </c>
      <c r="H743" s="539">
        <f t="shared" si="32"/>
        <v>750</v>
      </c>
      <c r="I743" s="571"/>
      <c r="M743" s="1418"/>
    </row>
    <row r="744" spans="3:13" s="517" customFormat="1" ht="25.8" customHeight="1">
      <c r="C744" s="818">
        <v>4</v>
      </c>
      <c r="D744" s="212" t="s">
        <v>19</v>
      </c>
      <c r="E744" s="212" t="s">
        <v>6</v>
      </c>
      <c r="F744" s="538">
        <v>2E-3</v>
      </c>
      <c r="G744" s="539">
        <f>VLOOKUP(D744,upahbahan,3,FALSE)</f>
        <v>160000</v>
      </c>
      <c r="H744" s="539">
        <f t="shared" si="32"/>
        <v>320</v>
      </c>
      <c r="I744" s="571"/>
      <c r="M744" s="1418"/>
    </row>
    <row r="745" spans="3:13" s="517" customFormat="1" ht="25.8" customHeight="1">
      <c r="C745" s="702" t="s">
        <v>1208</v>
      </c>
      <c r="D745" s="208"/>
      <c r="E745" s="208"/>
      <c r="F745" s="811"/>
      <c r="G745" s="522"/>
      <c r="H745" s="539">
        <f>SUM(H741:H744)</f>
        <v>11190</v>
      </c>
      <c r="I745" s="819"/>
      <c r="M745" s="1418"/>
    </row>
    <row r="746" spans="3:13" s="517" customFormat="1" ht="25.8" customHeight="1">
      <c r="C746" s="213" t="s">
        <v>1209</v>
      </c>
      <c r="D746" s="212" t="s">
        <v>1210</v>
      </c>
      <c r="E746" s="534"/>
      <c r="F746" s="831"/>
      <c r="G746" s="534"/>
      <c r="H746" s="534"/>
      <c r="I746" s="571"/>
      <c r="M746" s="1418"/>
    </row>
    <row r="747" spans="3:13" s="865" customFormat="1" ht="25.8" customHeight="1">
      <c r="C747" s="859" t="s">
        <v>1203</v>
      </c>
      <c r="D747" s="860" t="s">
        <v>3515</v>
      </c>
      <c r="E747" s="861" t="s">
        <v>2167</v>
      </c>
      <c r="F747" s="862">
        <v>1.1000000000000001</v>
      </c>
      <c r="G747" s="863">
        <f>VLOOKUP(D747,upahbahan,3,FALSE)</f>
        <v>29700</v>
      </c>
      <c r="H747" s="863">
        <f t="shared" ref="H747" si="33">F747*G747</f>
        <v>32670.000000000004</v>
      </c>
      <c r="I747" s="864"/>
      <c r="K747" s="517"/>
      <c r="L747" s="517"/>
      <c r="M747" s="1419"/>
    </row>
    <row r="748" spans="3:13" s="517" customFormat="1" ht="25.8" customHeight="1">
      <c r="C748" s="702" t="s">
        <v>1214</v>
      </c>
      <c r="D748" s="208"/>
      <c r="E748" s="208"/>
      <c r="F748" s="208"/>
      <c r="G748" s="209"/>
      <c r="H748" s="539">
        <f>SUM(H747:H747)</f>
        <v>32670.000000000004</v>
      </c>
      <c r="I748" s="571"/>
      <c r="M748" s="1418"/>
    </row>
    <row r="749" spans="3:13" s="517" customFormat="1" ht="25.8" customHeight="1">
      <c r="C749" s="213" t="s">
        <v>1215</v>
      </c>
      <c r="D749" s="212" t="s">
        <v>1216</v>
      </c>
      <c r="E749" s="534"/>
      <c r="F749" s="534"/>
      <c r="G749" s="534"/>
      <c r="H749" s="534"/>
      <c r="I749" s="571"/>
      <c r="M749" s="1418"/>
    </row>
    <row r="750" spans="3:13" s="517" customFormat="1" ht="25.8" customHeight="1">
      <c r="C750" s="702" t="s">
        <v>1217</v>
      </c>
      <c r="D750" s="815"/>
      <c r="E750" s="815"/>
      <c r="F750" s="815"/>
      <c r="G750" s="209"/>
      <c r="H750" s="821">
        <f>SUM(H749)</f>
        <v>0</v>
      </c>
      <c r="I750" s="571"/>
      <c r="M750" s="1418"/>
    </row>
    <row r="751" spans="3:13" s="517" customFormat="1" ht="25.8" customHeight="1">
      <c r="C751" s="566" t="s">
        <v>1218</v>
      </c>
      <c r="D751" s="552" t="s">
        <v>1219</v>
      </c>
      <c r="E751" s="553"/>
      <c r="F751" s="553"/>
      <c r="G751" s="554"/>
      <c r="H751" s="826">
        <f>H750+H748+H745</f>
        <v>43860</v>
      </c>
      <c r="I751" s="827"/>
      <c r="M751" s="1418"/>
    </row>
    <row r="752" spans="3:13" s="517" customFormat="1" ht="25.8" customHeight="1">
      <c r="C752" s="566" t="s">
        <v>1220</v>
      </c>
      <c r="D752" s="552" t="s">
        <v>1321</v>
      </c>
      <c r="E752" s="553"/>
      <c r="F752" s="554"/>
      <c r="G752" s="298">
        <f>$D$4</f>
        <v>0.1</v>
      </c>
      <c r="H752" s="539">
        <f>H751*G752</f>
        <v>4386</v>
      </c>
      <c r="I752" s="827"/>
      <c r="M752" s="1418"/>
    </row>
    <row r="753" spans="3:13" s="517" customFormat="1" ht="25.8" customHeight="1">
      <c r="C753" s="566" t="s">
        <v>1221</v>
      </c>
      <c r="D753" s="552" t="s">
        <v>1222</v>
      </c>
      <c r="E753" s="553"/>
      <c r="F753" s="553"/>
      <c r="G753" s="554"/>
      <c r="H753" s="828">
        <f>SUM(H751:H752)</f>
        <v>48246</v>
      </c>
      <c r="I753" s="827"/>
      <c r="M753" s="1418"/>
    </row>
    <row r="754" spans="3:13">
      <c r="L754"/>
      <c r="M754" s="1406"/>
    </row>
    <row r="755" spans="3:13" s="517" customFormat="1" ht="25.8" customHeight="1">
      <c r="C755" s="513" t="s">
        <v>3530</v>
      </c>
      <c r="D755" s="817" t="s">
        <v>8800</v>
      </c>
      <c r="E755" s="803"/>
      <c r="F755" s="803"/>
      <c r="G755" s="803"/>
      <c r="H755" s="803"/>
      <c r="K755" s="533">
        <f>ROUNDDOWN(H770,-2)</f>
        <v>46100</v>
      </c>
      <c r="L755" s="824"/>
      <c r="M755" s="1418"/>
    </row>
    <row r="756" spans="3:13" s="517" customFormat="1" ht="25.8" customHeight="1">
      <c r="C756" s="716" t="s">
        <v>1195</v>
      </c>
      <c r="D756" s="716" t="s">
        <v>1196</v>
      </c>
      <c r="E756" s="716" t="s">
        <v>1197</v>
      </c>
      <c r="F756" s="716" t="s">
        <v>1198</v>
      </c>
      <c r="G756" s="716" t="s">
        <v>1199</v>
      </c>
      <c r="H756" s="716" t="s">
        <v>1200</v>
      </c>
      <c r="I756" s="571"/>
      <c r="M756" s="1418"/>
    </row>
    <row r="757" spans="3:13" s="517" customFormat="1" ht="25.8" customHeight="1">
      <c r="C757" s="213" t="s">
        <v>1201</v>
      </c>
      <c r="D757" s="212" t="s">
        <v>1202</v>
      </c>
      <c r="E757" s="534"/>
      <c r="F757" s="534"/>
      <c r="G757" s="534"/>
      <c r="H757" s="534"/>
      <c r="I757" s="571"/>
      <c r="M757" s="1418"/>
    </row>
    <row r="758" spans="3:13" s="517" customFormat="1" ht="25.8" customHeight="1">
      <c r="C758" s="818">
        <v>1</v>
      </c>
      <c r="D758" s="212" t="s">
        <v>5</v>
      </c>
      <c r="E758" s="212" t="s">
        <v>6</v>
      </c>
      <c r="F758" s="538">
        <v>2.5999999999999999E-2</v>
      </c>
      <c r="G758" s="539">
        <f>VLOOKUP(D758,upahbahan,3,FALSE)</f>
        <v>100000</v>
      </c>
      <c r="H758" s="539">
        <f t="shared" ref="H758:H761" si="34">F758*G758</f>
        <v>2600</v>
      </c>
      <c r="I758" s="571"/>
      <c r="M758" s="1418"/>
    </row>
    <row r="759" spans="3:13" s="517" customFormat="1" ht="25.8" customHeight="1">
      <c r="C759" s="818">
        <v>2</v>
      </c>
      <c r="D759" s="212" t="s">
        <v>3295</v>
      </c>
      <c r="E759" s="212" t="s">
        <v>6</v>
      </c>
      <c r="F759" s="538">
        <v>4.3999999999999997E-2</v>
      </c>
      <c r="G759" s="539">
        <f>VLOOKUP(D759,upahbahan,3,FALSE)</f>
        <v>135000</v>
      </c>
      <c r="H759" s="539">
        <f t="shared" si="34"/>
        <v>5940</v>
      </c>
      <c r="I759" s="571"/>
      <c r="M759" s="1418"/>
    </row>
    <row r="760" spans="3:13" s="517" customFormat="1" ht="25.8" customHeight="1">
      <c r="C760" s="818">
        <v>3</v>
      </c>
      <c r="D760" s="212" t="s">
        <v>18</v>
      </c>
      <c r="E760" s="212" t="s">
        <v>6</v>
      </c>
      <c r="F760" s="538">
        <v>4.0000000000000001E-3</v>
      </c>
      <c r="G760" s="539">
        <f>VLOOKUP(D760,upahbahan,3,FALSE)</f>
        <v>150000</v>
      </c>
      <c r="H760" s="539">
        <f t="shared" si="34"/>
        <v>600</v>
      </c>
      <c r="I760" s="571"/>
      <c r="M760" s="1418"/>
    </row>
    <row r="761" spans="3:13" s="517" customFormat="1" ht="25.8" customHeight="1">
      <c r="C761" s="818">
        <v>4</v>
      </c>
      <c r="D761" s="212" t="s">
        <v>19</v>
      </c>
      <c r="E761" s="212" t="s">
        <v>6</v>
      </c>
      <c r="F761" s="538">
        <v>1E-3</v>
      </c>
      <c r="G761" s="539">
        <f>VLOOKUP(D761,upahbahan,3,FALSE)</f>
        <v>160000</v>
      </c>
      <c r="H761" s="539">
        <f t="shared" si="34"/>
        <v>160</v>
      </c>
      <c r="I761" s="571"/>
      <c r="M761" s="1418"/>
    </row>
    <row r="762" spans="3:13" s="517" customFormat="1" ht="25.8" customHeight="1">
      <c r="C762" s="702" t="s">
        <v>1208</v>
      </c>
      <c r="D762" s="208"/>
      <c r="E762" s="208"/>
      <c r="F762" s="811"/>
      <c r="G762" s="522"/>
      <c r="H762" s="539">
        <f>SUM(H758:H761)</f>
        <v>9300</v>
      </c>
      <c r="I762" s="819"/>
      <c r="M762" s="1418"/>
    </row>
    <row r="763" spans="3:13" s="517" customFormat="1" ht="25.8" customHeight="1">
      <c r="C763" s="213" t="s">
        <v>1209</v>
      </c>
      <c r="D763" s="212" t="s">
        <v>1210</v>
      </c>
      <c r="E763" s="534"/>
      <c r="F763" s="831"/>
      <c r="G763" s="534"/>
      <c r="H763" s="534"/>
      <c r="I763" s="571"/>
      <c r="M763" s="1418"/>
    </row>
    <row r="764" spans="3:13" s="865" customFormat="1" ht="25.8" customHeight="1">
      <c r="C764" s="859" t="s">
        <v>1203</v>
      </c>
      <c r="D764" s="860" t="s">
        <v>3531</v>
      </c>
      <c r="E764" s="861" t="s">
        <v>2167</v>
      </c>
      <c r="F764" s="862">
        <v>1.1000000000000001</v>
      </c>
      <c r="G764" s="863">
        <f>VLOOKUP(D764,upahbahan,3,FALSE)</f>
        <v>29700</v>
      </c>
      <c r="H764" s="863">
        <f t="shared" ref="H764" si="35">F764*G764</f>
        <v>32670.000000000004</v>
      </c>
      <c r="I764" s="864"/>
      <c r="K764" s="517"/>
      <c r="L764" s="517"/>
      <c r="M764" s="1419"/>
    </row>
    <row r="765" spans="3:13" s="517" customFormat="1" ht="25.8" customHeight="1">
      <c r="C765" s="702" t="s">
        <v>1214</v>
      </c>
      <c r="D765" s="208"/>
      <c r="E765" s="208"/>
      <c r="F765" s="208"/>
      <c r="G765" s="209"/>
      <c r="H765" s="539">
        <f>SUM(H764:H764)</f>
        <v>32670.000000000004</v>
      </c>
      <c r="I765" s="571"/>
      <c r="M765" s="1418"/>
    </row>
    <row r="766" spans="3:13" s="517" customFormat="1" ht="25.8" customHeight="1">
      <c r="C766" s="213" t="s">
        <v>1215</v>
      </c>
      <c r="D766" s="212" t="s">
        <v>1216</v>
      </c>
      <c r="E766" s="534"/>
      <c r="F766" s="534"/>
      <c r="G766" s="534"/>
      <c r="H766" s="534"/>
      <c r="I766" s="571"/>
      <c r="M766" s="1418"/>
    </row>
    <row r="767" spans="3:13" s="517" customFormat="1" ht="25.8" customHeight="1">
      <c r="C767" s="702" t="s">
        <v>1217</v>
      </c>
      <c r="D767" s="815"/>
      <c r="E767" s="815"/>
      <c r="F767" s="815"/>
      <c r="G767" s="209"/>
      <c r="H767" s="821">
        <f>SUM(H766)</f>
        <v>0</v>
      </c>
      <c r="I767" s="571"/>
      <c r="M767" s="1418"/>
    </row>
    <row r="768" spans="3:13" s="517" customFormat="1" ht="25.8" customHeight="1">
      <c r="C768" s="566" t="s">
        <v>1218</v>
      </c>
      <c r="D768" s="552" t="s">
        <v>1219</v>
      </c>
      <c r="E768" s="553"/>
      <c r="F768" s="553"/>
      <c r="G768" s="554"/>
      <c r="H768" s="826">
        <f>H767+H765+H762</f>
        <v>41970</v>
      </c>
      <c r="I768" s="827"/>
      <c r="M768" s="1418"/>
    </row>
    <row r="769" spans="3:13" s="517" customFormat="1" ht="25.8" customHeight="1">
      <c r="C769" s="566" t="s">
        <v>1220</v>
      </c>
      <c r="D769" s="552" t="s">
        <v>1321</v>
      </c>
      <c r="E769" s="553"/>
      <c r="F769" s="554"/>
      <c r="G769" s="298">
        <f>$D$4</f>
        <v>0.1</v>
      </c>
      <c r="H769" s="539">
        <f>H768*G769</f>
        <v>4197</v>
      </c>
      <c r="I769" s="827"/>
      <c r="M769" s="1418"/>
    </row>
    <row r="770" spans="3:13" s="517" customFormat="1" ht="25.8" customHeight="1">
      <c r="C770" s="566" t="s">
        <v>1221</v>
      </c>
      <c r="D770" s="552" t="s">
        <v>1222</v>
      </c>
      <c r="E770" s="553"/>
      <c r="F770" s="553"/>
      <c r="G770" s="554"/>
      <c r="H770" s="828">
        <f>SUM(H768:H769)</f>
        <v>46167</v>
      </c>
      <c r="I770" s="827"/>
      <c r="M770" s="1418"/>
    </row>
    <row r="771" spans="3:13">
      <c r="L771"/>
      <c r="M771" s="1406"/>
    </row>
    <row r="772" spans="3:13" s="517" customFormat="1" ht="25.8" customHeight="1">
      <c r="C772" s="513" t="s">
        <v>3549</v>
      </c>
      <c r="D772" s="817" t="s">
        <v>3548</v>
      </c>
      <c r="E772" s="803"/>
      <c r="F772" s="803"/>
      <c r="G772" s="803"/>
      <c r="H772" s="803"/>
      <c r="K772" s="533">
        <f>ROUNDDOWN(H787,-2)</f>
        <v>267500</v>
      </c>
      <c r="L772" s="824"/>
      <c r="M772" s="1418"/>
    </row>
    <row r="773" spans="3:13" s="517" customFormat="1" ht="25.8" customHeight="1">
      <c r="C773" s="716" t="s">
        <v>1195</v>
      </c>
      <c r="D773" s="716" t="s">
        <v>1196</v>
      </c>
      <c r="E773" s="716" t="s">
        <v>1197</v>
      </c>
      <c r="F773" s="716" t="s">
        <v>1198</v>
      </c>
      <c r="G773" s="716" t="s">
        <v>1199</v>
      </c>
      <c r="H773" s="716" t="s">
        <v>1200</v>
      </c>
      <c r="I773" s="571"/>
      <c r="M773" s="1418"/>
    </row>
    <row r="774" spans="3:13" s="517" customFormat="1" ht="25.8" customHeight="1">
      <c r="C774" s="213" t="s">
        <v>1201</v>
      </c>
      <c r="D774" s="212" t="s">
        <v>1202</v>
      </c>
      <c r="E774" s="534"/>
      <c r="F774" s="534"/>
      <c r="G774" s="534"/>
      <c r="H774" s="534"/>
      <c r="I774" s="571"/>
      <c r="M774" s="1418"/>
    </row>
    <row r="775" spans="3:13" s="517" customFormat="1" ht="25.8" customHeight="1">
      <c r="C775" s="818">
        <v>1</v>
      </c>
      <c r="D775" s="212" t="s">
        <v>5</v>
      </c>
      <c r="E775" s="212" t="s">
        <v>6</v>
      </c>
      <c r="F775" s="538">
        <v>0.217</v>
      </c>
      <c r="G775" s="539">
        <f>VLOOKUP(D775,upahbahan,3,FALSE)</f>
        <v>100000</v>
      </c>
      <c r="H775" s="539">
        <f t="shared" ref="H775:H778" si="36">F775*G775</f>
        <v>21700</v>
      </c>
      <c r="I775" s="571"/>
      <c r="M775" s="1418"/>
    </row>
    <row r="776" spans="3:13" s="517" customFormat="1" ht="25.8" customHeight="1">
      <c r="C776" s="818">
        <v>2</v>
      </c>
      <c r="D776" s="212" t="s">
        <v>3295</v>
      </c>
      <c r="E776" s="212" t="s">
        <v>6</v>
      </c>
      <c r="F776" s="538">
        <v>0.36199999999999999</v>
      </c>
      <c r="G776" s="539">
        <f>VLOOKUP(D776,upahbahan,3,FALSE)</f>
        <v>135000</v>
      </c>
      <c r="H776" s="539">
        <f t="shared" si="36"/>
        <v>48870</v>
      </c>
      <c r="I776" s="571"/>
      <c r="M776" s="1418"/>
    </row>
    <row r="777" spans="3:13" s="517" customFormat="1" ht="25.8" customHeight="1">
      <c r="C777" s="818">
        <v>3</v>
      </c>
      <c r="D777" s="212" t="s">
        <v>18</v>
      </c>
      <c r="E777" s="212" t="s">
        <v>6</v>
      </c>
      <c r="F777" s="538">
        <v>3.5999999999999997E-2</v>
      </c>
      <c r="G777" s="539">
        <f>VLOOKUP(D777,upahbahan,3,FALSE)</f>
        <v>150000</v>
      </c>
      <c r="H777" s="539">
        <f t="shared" si="36"/>
        <v>5400</v>
      </c>
      <c r="I777" s="571"/>
      <c r="M777" s="1418"/>
    </row>
    <row r="778" spans="3:13" s="517" customFormat="1" ht="25.8" customHeight="1">
      <c r="C778" s="818">
        <v>4</v>
      </c>
      <c r="D778" s="212" t="s">
        <v>19</v>
      </c>
      <c r="E778" s="212" t="s">
        <v>6</v>
      </c>
      <c r="F778" s="538">
        <v>1.2E-2</v>
      </c>
      <c r="G778" s="539">
        <f>VLOOKUP(D778,upahbahan,3,FALSE)</f>
        <v>160000</v>
      </c>
      <c r="H778" s="539">
        <f t="shared" si="36"/>
        <v>1920</v>
      </c>
      <c r="I778" s="571"/>
      <c r="M778" s="1418"/>
    </row>
    <row r="779" spans="3:13" s="517" customFormat="1" ht="25.8" customHeight="1">
      <c r="C779" s="702" t="s">
        <v>1208</v>
      </c>
      <c r="D779" s="208"/>
      <c r="E779" s="208"/>
      <c r="F779" s="811"/>
      <c r="G779" s="522"/>
      <c r="H779" s="539">
        <f>SUM(H775:H778)</f>
        <v>77890</v>
      </c>
      <c r="I779" s="819"/>
      <c r="M779" s="1418"/>
    </row>
    <row r="780" spans="3:13" s="517" customFormat="1" ht="25.8" customHeight="1">
      <c r="C780" s="213" t="s">
        <v>1209</v>
      </c>
      <c r="D780" s="212" t="s">
        <v>1210</v>
      </c>
      <c r="E780" s="534"/>
      <c r="F780" s="831"/>
      <c r="G780" s="534"/>
      <c r="H780" s="534"/>
      <c r="I780" s="571"/>
      <c r="M780" s="1418"/>
    </row>
    <row r="781" spans="3:13" s="517" customFormat="1" ht="25.8" customHeight="1">
      <c r="C781" s="213">
        <v>1</v>
      </c>
      <c r="D781" s="212" t="s">
        <v>3550</v>
      </c>
      <c r="E781" s="234" t="s">
        <v>135</v>
      </c>
      <c r="F781" s="831">
        <v>1.03</v>
      </c>
      <c r="G781" s="539">
        <f>VLOOKUP(D781,upahbahan,3,FALSE)</f>
        <v>160499.70000000001</v>
      </c>
      <c r="H781" s="539">
        <f t="shared" ref="H781" si="37">F781*G781</f>
        <v>165314.69100000002</v>
      </c>
      <c r="I781" s="571"/>
      <c r="M781" s="1418"/>
    </row>
    <row r="782" spans="3:13" s="517" customFormat="1" ht="25.8" customHeight="1">
      <c r="C782" s="702" t="s">
        <v>1214</v>
      </c>
      <c r="D782" s="208"/>
      <c r="E782" s="208"/>
      <c r="F782" s="208"/>
      <c r="G782" s="209"/>
      <c r="H782" s="539">
        <f>SUM(H781:H781)</f>
        <v>165314.69100000002</v>
      </c>
      <c r="I782" s="571"/>
      <c r="M782" s="1418"/>
    </row>
    <row r="783" spans="3:13" s="517" customFormat="1" ht="25.8" customHeight="1">
      <c r="C783" s="213" t="s">
        <v>1215</v>
      </c>
      <c r="D783" s="212" t="s">
        <v>1216</v>
      </c>
      <c r="E783" s="534"/>
      <c r="F783" s="534"/>
      <c r="G783" s="534"/>
      <c r="H783" s="534"/>
      <c r="I783" s="571"/>
      <c r="M783" s="1418"/>
    </row>
    <row r="784" spans="3:13" s="517" customFormat="1" ht="25.8" customHeight="1">
      <c r="C784" s="702" t="s">
        <v>1217</v>
      </c>
      <c r="D784" s="815"/>
      <c r="E784" s="815"/>
      <c r="F784" s="815"/>
      <c r="G784" s="209"/>
      <c r="H784" s="821">
        <f>SUM(H783)</f>
        <v>0</v>
      </c>
      <c r="I784" s="571"/>
      <c r="M784" s="1418"/>
    </row>
    <row r="785" spans="3:13" s="517" customFormat="1" ht="25.8" customHeight="1">
      <c r="C785" s="566" t="s">
        <v>1218</v>
      </c>
      <c r="D785" s="552" t="s">
        <v>1219</v>
      </c>
      <c r="E785" s="553"/>
      <c r="F785" s="553"/>
      <c r="G785" s="554"/>
      <c r="H785" s="826">
        <f>H784+H782+H779</f>
        <v>243204.69100000002</v>
      </c>
      <c r="I785" s="827"/>
      <c r="M785" s="1418"/>
    </row>
    <row r="786" spans="3:13" s="517" customFormat="1" ht="25.8" customHeight="1">
      <c r="C786" s="566" t="s">
        <v>1220</v>
      </c>
      <c r="D786" s="552" t="s">
        <v>1321</v>
      </c>
      <c r="E786" s="553"/>
      <c r="F786" s="554"/>
      <c r="G786" s="298">
        <f>$D$4</f>
        <v>0.1</v>
      </c>
      <c r="H786" s="539">
        <f>H785*G786</f>
        <v>24320.469100000002</v>
      </c>
      <c r="I786" s="827"/>
      <c r="M786" s="1418"/>
    </row>
    <row r="787" spans="3:13" s="517" customFormat="1" ht="25.8" customHeight="1">
      <c r="C787" s="566" t="s">
        <v>1221</v>
      </c>
      <c r="D787" s="552" t="s">
        <v>1222</v>
      </c>
      <c r="E787" s="553"/>
      <c r="F787" s="553"/>
      <c r="G787" s="554"/>
      <c r="H787" s="828">
        <f>SUM(H785:H786)</f>
        <v>267525.16010000004</v>
      </c>
      <c r="I787" s="827"/>
      <c r="M787" s="1418"/>
    </row>
    <row r="788" spans="3:13">
      <c r="L788"/>
      <c r="M788" s="1406"/>
    </row>
    <row r="789" spans="3:13" s="517" customFormat="1" ht="25.8" customHeight="1">
      <c r="C789" s="513" t="s">
        <v>3568</v>
      </c>
      <c r="D789" s="817" t="s">
        <v>5814</v>
      </c>
      <c r="E789" s="803"/>
      <c r="F789" s="803"/>
      <c r="G789" s="803"/>
      <c r="H789" s="803"/>
      <c r="K789" s="533">
        <f>ROUNDDOWN(H813,-2)</f>
        <v>180700</v>
      </c>
      <c r="L789" s="824"/>
      <c r="M789" s="1418"/>
    </row>
    <row r="790" spans="3:13" s="517" customFormat="1" ht="25.8" customHeight="1">
      <c r="C790" s="716" t="s">
        <v>1195</v>
      </c>
      <c r="D790" s="716" t="s">
        <v>1196</v>
      </c>
      <c r="E790" s="716" t="s">
        <v>1197</v>
      </c>
      <c r="F790" s="716" t="s">
        <v>1198</v>
      </c>
      <c r="G790" s="716" t="s">
        <v>1199</v>
      </c>
      <c r="H790" s="716" t="s">
        <v>1200</v>
      </c>
      <c r="I790" s="571"/>
      <c r="M790" s="1418"/>
    </row>
    <row r="791" spans="3:13" s="517" customFormat="1" ht="25.8" customHeight="1">
      <c r="C791" s="213" t="s">
        <v>1201</v>
      </c>
      <c r="D791" s="212" t="s">
        <v>1202</v>
      </c>
      <c r="E791" s="534"/>
      <c r="F791" s="534"/>
      <c r="G791" s="534"/>
      <c r="H791" s="534"/>
      <c r="I791" s="571"/>
      <c r="M791" s="1418"/>
    </row>
    <row r="792" spans="3:13" s="517" customFormat="1" ht="25.8" customHeight="1">
      <c r="C792" s="818">
        <v>1</v>
      </c>
      <c r="D792" s="212" t="s">
        <v>5</v>
      </c>
      <c r="E792" s="212" t="s">
        <v>6</v>
      </c>
      <c r="F792" s="538">
        <v>0.19</v>
      </c>
      <c r="G792" s="539">
        <f>VLOOKUP(D792,upahbahan,3,FALSE)</f>
        <v>100000</v>
      </c>
      <c r="H792" s="539">
        <f t="shared" ref="H792:H795" si="38">F792*G792</f>
        <v>19000</v>
      </c>
      <c r="I792" s="571"/>
      <c r="M792" s="1418"/>
    </row>
    <row r="793" spans="3:13" s="517" customFormat="1" ht="25.8" customHeight="1">
      <c r="C793" s="818">
        <v>2</v>
      </c>
      <c r="D793" s="212" t="s">
        <v>3295</v>
      </c>
      <c r="E793" s="212" t="s">
        <v>6</v>
      </c>
      <c r="F793" s="538">
        <v>0.318</v>
      </c>
      <c r="G793" s="539">
        <f>VLOOKUP(D793,upahbahan,3,FALSE)</f>
        <v>135000</v>
      </c>
      <c r="H793" s="539">
        <f t="shared" si="38"/>
        <v>42930</v>
      </c>
      <c r="I793" s="571"/>
      <c r="M793" s="1418"/>
    </row>
    <row r="794" spans="3:13" s="517" customFormat="1" ht="25.8" customHeight="1">
      <c r="C794" s="818">
        <v>3</v>
      </c>
      <c r="D794" s="212" t="s">
        <v>18</v>
      </c>
      <c r="E794" s="212" t="s">
        <v>6</v>
      </c>
      <c r="F794" s="538">
        <v>3.2000000000000001E-2</v>
      </c>
      <c r="G794" s="539">
        <f>VLOOKUP(D794,upahbahan,3,FALSE)</f>
        <v>150000</v>
      </c>
      <c r="H794" s="539">
        <f t="shared" si="38"/>
        <v>4800</v>
      </c>
      <c r="I794" s="571"/>
      <c r="M794" s="1418"/>
    </row>
    <row r="795" spans="3:13" s="517" customFormat="1" ht="25.8" customHeight="1">
      <c r="C795" s="818">
        <v>4</v>
      </c>
      <c r="D795" s="212" t="s">
        <v>19</v>
      </c>
      <c r="E795" s="212" t="s">
        <v>6</v>
      </c>
      <c r="F795" s="538">
        <v>1.0999999999999999E-2</v>
      </c>
      <c r="G795" s="539">
        <f>VLOOKUP(D795,upahbahan,3,FALSE)</f>
        <v>160000</v>
      </c>
      <c r="H795" s="539">
        <f t="shared" si="38"/>
        <v>1760</v>
      </c>
      <c r="I795" s="571"/>
      <c r="M795" s="1418"/>
    </row>
    <row r="796" spans="3:13" s="517" customFormat="1" ht="25.8" customHeight="1">
      <c r="C796" s="702" t="s">
        <v>1208</v>
      </c>
      <c r="D796" s="208"/>
      <c r="E796" s="208"/>
      <c r="F796" s="811"/>
      <c r="G796" s="522"/>
      <c r="H796" s="539">
        <f>SUM(H792:H795)</f>
        <v>68490</v>
      </c>
      <c r="I796" s="819"/>
      <c r="M796" s="1418"/>
    </row>
    <row r="797" spans="3:13" s="517" customFormat="1" ht="25.8" customHeight="1">
      <c r="C797" s="213" t="s">
        <v>1209</v>
      </c>
      <c r="D797" s="212" t="s">
        <v>1210</v>
      </c>
      <c r="E797" s="534"/>
      <c r="F797" s="831"/>
      <c r="G797" s="534"/>
      <c r="H797" s="534"/>
      <c r="I797" s="571"/>
      <c r="M797" s="1418"/>
    </row>
    <row r="798" spans="3:13" s="517" customFormat="1" ht="25.8" customHeight="1">
      <c r="C798" s="213">
        <v>1</v>
      </c>
      <c r="D798" s="212" t="s">
        <v>884</v>
      </c>
      <c r="E798" s="234" t="s">
        <v>1300</v>
      </c>
      <c r="F798" s="866">
        <v>5</v>
      </c>
      <c r="G798" s="539">
        <f t="shared" ref="G798:G807" si="39">VLOOKUP(D798,upahbahan,3,FALSE)</f>
        <v>13250</v>
      </c>
      <c r="H798" s="539">
        <f t="shared" ref="H798:H807" si="40">F798*G798</f>
        <v>66250</v>
      </c>
      <c r="I798" s="571"/>
      <c r="M798" s="1418"/>
    </row>
    <row r="799" spans="3:13" s="517" customFormat="1" ht="25.8" customHeight="1">
      <c r="C799" s="213">
        <v>2</v>
      </c>
      <c r="D799" s="212" t="s">
        <v>3542</v>
      </c>
      <c r="E799" s="234" t="s">
        <v>1300</v>
      </c>
      <c r="F799" s="866">
        <v>1</v>
      </c>
      <c r="G799" s="539">
        <f t="shared" si="39"/>
        <v>16195.5</v>
      </c>
      <c r="H799" s="539">
        <f t="shared" si="40"/>
        <v>16195.5</v>
      </c>
      <c r="I799" s="571"/>
      <c r="M799" s="1418"/>
    </row>
    <row r="800" spans="3:13" s="517" customFormat="1" ht="25.8" customHeight="1">
      <c r="C800" s="213">
        <v>3</v>
      </c>
      <c r="D800" s="212" t="s">
        <v>3540</v>
      </c>
      <c r="E800" s="234" t="s">
        <v>44</v>
      </c>
      <c r="F800" s="866">
        <v>1</v>
      </c>
      <c r="G800" s="539">
        <f t="shared" si="39"/>
        <v>3600</v>
      </c>
      <c r="H800" s="539">
        <f t="shared" si="40"/>
        <v>3600</v>
      </c>
      <c r="I800" s="571"/>
      <c r="M800" s="1418"/>
    </row>
    <row r="801" spans="3:13" s="517" customFormat="1" ht="25.8" customHeight="1">
      <c r="C801" s="213">
        <v>4</v>
      </c>
      <c r="D801" s="212" t="s">
        <v>3541</v>
      </c>
      <c r="E801" s="234" t="s">
        <v>44</v>
      </c>
      <c r="F801" s="866"/>
      <c r="G801" s="539">
        <f t="shared" si="39"/>
        <v>700</v>
      </c>
      <c r="H801" s="539">
        <f t="shared" si="40"/>
        <v>0</v>
      </c>
      <c r="I801" s="571"/>
      <c r="M801" s="1418"/>
    </row>
    <row r="802" spans="3:13" s="517" customFormat="1" ht="25.8" customHeight="1">
      <c r="C802" s="213">
        <v>5</v>
      </c>
      <c r="D802" s="212" t="s">
        <v>5816</v>
      </c>
      <c r="E802" s="234" t="s">
        <v>44</v>
      </c>
      <c r="F802" s="866">
        <v>2</v>
      </c>
      <c r="G802" s="539">
        <f t="shared" si="39"/>
        <v>891</v>
      </c>
      <c r="H802" s="539">
        <f t="shared" si="40"/>
        <v>1782</v>
      </c>
      <c r="I802" s="571"/>
      <c r="M802" s="1418"/>
    </row>
    <row r="803" spans="3:13" s="517" customFormat="1" ht="25.8" customHeight="1">
      <c r="C803" s="213">
        <v>6</v>
      </c>
      <c r="D803" s="212" t="s">
        <v>3545</v>
      </c>
      <c r="E803" s="234" t="s">
        <v>44</v>
      </c>
      <c r="F803" s="866">
        <v>0.5</v>
      </c>
      <c r="G803" s="539">
        <f t="shared" si="39"/>
        <v>14850</v>
      </c>
      <c r="H803" s="539">
        <f t="shared" si="40"/>
        <v>7425</v>
      </c>
      <c r="I803" s="571"/>
      <c r="M803" s="1418"/>
    </row>
    <row r="804" spans="3:13" s="517" customFormat="1" ht="25.8" customHeight="1">
      <c r="C804" s="213">
        <v>7</v>
      </c>
      <c r="D804" s="212" t="s">
        <v>5818</v>
      </c>
      <c r="E804" s="234" t="s">
        <v>1300</v>
      </c>
      <c r="F804" s="866"/>
      <c r="G804" s="539">
        <f t="shared" si="39"/>
        <v>952.2</v>
      </c>
      <c r="H804" s="539">
        <f t="shared" si="40"/>
        <v>0</v>
      </c>
      <c r="I804" s="571"/>
      <c r="M804" s="1418"/>
    </row>
    <row r="805" spans="3:13" s="517" customFormat="1" ht="25.8" customHeight="1">
      <c r="C805" s="213">
        <v>8</v>
      </c>
      <c r="D805" s="212" t="s">
        <v>3537</v>
      </c>
      <c r="E805" s="234" t="s">
        <v>44</v>
      </c>
      <c r="F805" s="866"/>
      <c r="G805" s="539">
        <f t="shared" si="39"/>
        <v>2700</v>
      </c>
      <c r="H805" s="539">
        <f t="shared" si="40"/>
        <v>0</v>
      </c>
      <c r="I805" s="571"/>
      <c r="M805" s="1418"/>
    </row>
    <row r="806" spans="3:13" s="517" customFormat="1" ht="25.8" customHeight="1">
      <c r="C806" s="213">
        <v>9</v>
      </c>
      <c r="D806" s="212" t="s">
        <v>3538</v>
      </c>
      <c r="E806" s="234" t="s">
        <v>5815</v>
      </c>
      <c r="F806" s="866">
        <v>0.5</v>
      </c>
      <c r="G806" s="539">
        <f t="shared" si="39"/>
        <v>1080</v>
      </c>
      <c r="H806" s="539">
        <f t="shared" si="40"/>
        <v>540</v>
      </c>
      <c r="I806" s="571"/>
      <c r="M806" s="1418"/>
    </row>
    <row r="807" spans="3:13" s="517" customFormat="1" ht="25.8" customHeight="1">
      <c r="C807" s="213">
        <v>10</v>
      </c>
      <c r="D807" s="212" t="s">
        <v>3544</v>
      </c>
      <c r="E807" s="234" t="s">
        <v>44</v>
      </c>
      <c r="F807" s="866"/>
      <c r="G807" s="539">
        <f t="shared" si="39"/>
        <v>580</v>
      </c>
      <c r="H807" s="539">
        <f t="shared" si="40"/>
        <v>0</v>
      </c>
      <c r="I807" s="571"/>
      <c r="M807" s="1418"/>
    </row>
    <row r="808" spans="3:13" s="517" customFormat="1" ht="25.8" customHeight="1">
      <c r="C808" s="702" t="s">
        <v>1214</v>
      </c>
      <c r="D808" s="208"/>
      <c r="E808" s="208"/>
      <c r="F808" s="208"/>
      <c r="G808" s="209"/>
      <c r="H808" s="539">
        <f>SUM(H798:H807)</f>
        <v>95792.5</v>
      </c>
      <c r="I808" s="571"/>
      <c r="M808" s="1418"/>
    </row>
    <row r="809" spans="3:13" s="517" customFormat="1" ht="25.8" customHeight="1">
      <c r="C809" s="213" t="s">
        <v>1215</v>
      </c>
      <c r="D809" s="212" t="s">
        <v>1216</v>
      </c>
      <c r="E809" s="534"/>
      <c r="F809" s="534"/>
      <c r="G809" s="534"/>
      <c r="H809" s="534"/>
      <c r="I809" s="571"/>
      <c r="M809" s="1418"/>
    </row>
    <row r="810" spans="3:13" s="517" customFormat="1" ht="25.8" customHeight="1">
      <c r="C810" s="702" t="s">
        <v>1217</v>
      </c>
      <c r="D810" s="815"/>
      <c r="E810" s="815"/>
      <c r="F810" s="815"/>
      <c r="G810" s="209"/>
      <c r="H810" s="821">
        <f>SUM(H809)</f>
        <v>0</v>
      </c>
      <c r="I810" s="571"/>
      <c r="M810" s="1418"/>
    </row>
    <row r="811" spans="3:13" s="517" customFormat="1" ht="25.8" customHeight="1">
      <c r="C811" s="566" t="s">
        <v>1218</v>
      </c>
      <c r="D811" s="552" t="s">
        <v>1219</v>
      </c>
      <c r="E811" s="553"/>
      <c r="F811" s="553"/>
      <c r="G811" s="554"/>
      <c r="H811" s="826">
        <f>H810+H808+H796</f>
        <v>164282.5</v>
      </c>
      <c r="I811" s="827"/>
      <c r="M811" s="1418"/>
    </row>
    <row r="812" spans="3:13" s="517" customFormat="1" ht="25.8" customHeight="1">
      <c r="C812" s="566" t="s">
        <v>1220</v>
      </c>
      <c r="D812" s="552" t="s">
        <v>1321</v>
      </c>
      <c r="E812" s="553"/>
      <c r="F812" s="554"/>
      <c r="G812" s="298">
        <f>$D$4</f>
        <v>0.1</v>
      </c>
      <c r="H812" s="539">
        <f>H811*G812</f>
        <v>16428.25</v>
      </c>
      <c r="I812" s="827"/>
      <c r="M812" s="1418"/>
    </row>
    <row r="813" spans="3:13" s="517" customFormat="1" ht="25.8" customHeight="1">
      <c r="C813" s="566" t="s">
        <v>1221</v>
      </c>
      <c r="D813" s="552" t="s">
        <v>1222</v>
      </c>
      <c r="E813" s="553"/>
      <c r="F813" s="553"/>
      <c r="G813" s="554"/>
      <c r="H813" s="828">
        <f>SUM(H811:H812)</f>
        <v>180710.75</v>
      </c>
      <c r="I813" s="827"/>
      <c r="M813" s="1418"/>
    </row>
    <row r="814" spans="3:13">
      <c r="L814"/>
      <c r="M814" s="1406"/>
    </row>
    <row r="815" spans="3:13" s="517" customFormat="1" ht="25.8" customHeight="1">
      <c r="C815" s="513" t="s">
        <v>5874</v>
      </c>
      <c r="D815" s="817" t="s">
        <v>5875</v>
      </c>
      <c r="E815" s="803"/>
      <c r="F815" s="803"/>
      <c r="G815" s="803"/>
      <c r="H815" s="803"/>
      <c r="K815" s="533">
        <f>ROUNDDOWN(H831,-2)</f>
        <v>75200</v>
      </c>
      <c r="L815" s="824"/>
      <c r="M815" s="1418"/>
    </row>
    <row r="816" spans="3:13" s="517" customFormat="1" ht="25.8" customHeight="1">
      <c r="C816" s="716" t="s">
        <v>1195</v>
      </c>
      <c r="D816" s="716" t="s">
        <v>1196</v>
      </c>
      <c r="E816" s="716" t="s">
        <v>1197</v>
      </c>
      <c r="F816" s="716" t="s">
        <v>1198</v>
      </c>
      <c r="G816" s="716" t="s">
        <v>1199</v>
      </c>
      <c r="H816" s="716" t="s">
        <v>1200</v>
      </c>
      <c r="I816" s="571"/>
      <c r="M816" s="1418"/>
    </row>
    <row r="817" spans="3:13" s="517" customFormat="1" ht="25.8" customHeight="1">
      <c r="C817" s="213" t="s">
        <v>1201</v>
      </c>
      <c r="D817" s="212" t="s">
        <v>1202</v>
      </c>
      <c r="E817" s="534"/>
      <c r="F817" s="534"/>
      <c r="G817" s="534"/>
      <c r="H817" s="534"/>
      <c r="I817" s="571"/>
      <c r="M817" s="1418"/>
    </row>
    <row r="818" spans="3:13" s="517" customFormat="1" ht="25.8" customHeight="1">
      <c r="C818" s="818">
        <v>1</v>
      </c>
      <c r="D818" s="212" t="s">
        <v>5</v>
      </c>
      <c r="E818" s="212" t="s">
        <v>6</v>
      </c>
      <c r="F818" s="538">
        <v>6.4000000000000001E-2</v>
      </c>
      <c r="G818" s="539">
        <f>VLOOKUP(D818,upahbahan,3,FALSE)</f>
        <v>100000</v>
      </c>
      <c r="H818" s="539">
        <f t="shared" ref="H818:H821" si="41">F818*G818</f>
        <v>6400</v>
      </c>
      <c r="I818" s="571"/>
      <c r="M818" s="1418"/>
    </row>
    <row r="819" spans="3:13" s="517" customFormat="1" ht="25.8" customHeight="1">
      <c r="C819" s="818">
        <v>2</v>
      </c>
      <c r="D819" s="212" t="s">
        <v>3295</v>
      </c>
      <c r="E819" s="212" t="s">
        <v>6</v>
      </c>
      <c r="F819" s="538">
        <v>0.107</v>
      </c>
      <c r="G819" s="539">
        <f>VLOOKUP(D819,upahbahan,3,FALSE)</f>
        <v>135000</v>
      </c>
      <c r="H819" s="539">
        <f t="shared" si="41"/>
        <v>14445</v>
      </c>
      <c r="I819" s="571"/>
      <c r="M819" s="1418"/>
    </row>
    <row r="820" spans="3:13" s="517" customFormat="1" ht="25.8" customHeight="1">
      <c r="C820" s="818">
        <v>3</v>
      </c>
      <c r="D820" s="212" t="s">
        <v>18</v>
      </c>
      <c r="E820" s="212" t="s">
        <v>6</v>
      </c>
      <c r="F820" s="538">
        <v>1.0999999999999999E-2</v>
      </c>
      <c r="G820" s="539">
        <f>VLOOKUP(D820,upahbahan,3,FALSE)</f>
        <v>150000</v>
      </c>
      <c r="H820" s="539">
        <f t="shared" si="41"/>
        <v>1650</v>
      </c>
      <c r="I820" s="571"/>
      <c r="M820" s="1418"/>
    </row>
    <row r="821" spans="3:13" s="517" customFormat="1" ht="25.8" customHeight="1">
      <c r="C821" s="818">
        <v>4</v>
      </c>
      <c r="D821" s="212" t="s">
        <v>19</v>
      </c>
      <c r="E821" s="212" t="s">
        <v>6</v>
      </c>
      <c r="F821" s="538">
        <v>4.0000000000000001E-3</v>
      </c>
      <c r="G821" s="539">
        <f>VLOOKUP(D821,upahbahan,3,FALSE)</f>
        <v>160000</v>
      </c>
      <c r="H821" s="539">
        <f t="shared" si="41"/>
        <v>640</v>
      </c>
      <c r="I821" s="571"/>
      <c r="M821" s="1418"/>
    </row>
    <row r="822" spans="3:13" s="517" customFormat="1" ht="25.8" customHeight="1">
      <c r="C822" s="702" t="s">
        <v>1208</v>
      </c>
      <c r="D822" s="208"/>
      <c r="E822" s="208"/>
      <c r="F822" s="811"/>
      <c r="G822" s="522"/>
      <c r="H822" s="539">
        <f>SUM(H818:H821)</f>
        <v>23135</v>
      </c>
      <c r="I822" s="819"/>
      <c r="M822" s="1418"/>
    </row>
    <row r="823" spans="3:13" s="517" customFormat="1" ht="25.8" customHeight="1">
      <c r="C823" s="213" t="s">
        <v>1209</v>
      </c>
      <c r="D823" s="212" t="s">
        <v>1210</v>
      </c>
      <c r="E823" s="534"/>
      <c r="F823" s="831"/>
      <c r="G823" s="534"/>
      <c r="H823" s="534"/>
      <c r="I823" s="571"/>
      <c r="M823" s="1418"/>
    </row>
    <row r="824" spans="3:13" s="517" customFormat="1" ht="25.8" customHeight="1">
      <c r="C824" s="213">
        <v>1</v>
      </c>
      <c r="D824" s="212" t="s">
        <v>5876</v>
      </c>
      <c r="E824" s="234" t="s">
        <v>2167</v>
      </c>
      <c r="F824" s="866">
        <v>1.1000000000000001</v>
      </c>
      <c r="G824" s="539">
        <f>VLOOKUP(D824,upahbahan,3,FALSE)</f>
        <v>18657</v>
      </c>
      <c r="H824" s="539">
        <f>F824*G824</f>
        <v>20522.7</v>
      </c>
      <c r="I824" s="571"/>
      <c r="M824" s="1418"/>
    </row>
    <row r="825" spans="3:13" s="517" customFormat="1" ht="25.8" customHeight="1">
      <c r="C825" s="213">
        <v>1</v>
      </c>
      <c r="D825" s="212" t="s">
        <v>5877</v>
      </c>
      <c r="E825" s="234" t="s">
        <v>2167</v>
      </c>
      <c r="F825" s="866">
        <v>1.1000000000000001</v>
      </c>
      <c r="G825" s="539">
        <f>VLOOKUP(D825,upahbahan,3,FALSE)</f>
        <v>22500</v>
      </c>
      <c r="H825" s="539">
        <f>F825*G825</f>
        <v>24750.000000000004</v>
      </c>
      <c r="I825" s="571"/>
      <c r="M825" s="1418"/>
    </row>
    <row r="826" spans="3:13" s="517" customFormat="1" ht="25.8" customHeight="1">
      <c r="C826" s="702" t="s">
        <v>1214</v>
      </c>
      <c r="D826" s="208"/>
      <c r="E826" s="208"/>
      <c r="F826" s="208"/>
      <c r="G826" s="209"/>
      <c r="H826" s="539">
        <f>SUM(H824:H825)</f>
        <v>45272.700000000004</v>
      </c>
      <c r="I826" s="571"/>
      <c r="M826" s="1418"/>
    </row>
    <row r="827" spans="3:13" s="517" customFormat="1" ht="25.8" customHeight="1">
      <c r="C827" s="213" t="s">
        <v>1215</v>
      </c>
      <c r="D827" s="212" t="s">
        <v>1216</v>
      </c>
      <c r="E827" s="534"/>
      <c r="F827" s="534"/>
      <c r="G827" s="534"/>
      <c r="H827" s="534"/>
      <c r="I827" s="571"/>
      <c r="M827" s="1418"/>
    </row>
    <row r="828" spans="3:13" s="517" customFormat="1" ht="25.8" customHeight="1">
      <c r="C828" s="702" t="s">
        <v>1217</v>
      </c>
      <c r="D828" s="815"/>
      <c r="E828" s="815"/>
      <c r="F828" s="815"/>
      <c r="G828" s="209"/>
      <c r="H828" s="821">
        <f>SUM(H827)</f>
        <v>0</v>
      </c>
      <c r="I828" s="571"/>
      <c r="M828" s="1418"/>
    </row>
    <row r="829" spans="3:13" s="517" customFormat="1" ht="25.8" customHeight="1">
      <c r="C829" s="566" t="s">
        <v>1218</v>
      </c>
      <c r="D829" s="552" t="s">
        <v>1219</v>
      </c>
      <c r="E829" s="553"/>
      <c r="F829" s="553"/>
      <c r="G829" s="554"/>
      <c r="H829" s="826">
        <f>H828+H826+H822</f>
        <v>68407.700000000012</v>
      </c>
      <c r="I829" s="827"/>
      <c r="M829" s="1418"/>
    </row>
    <row r="830" spans="3:13" s="517" customFormat="1" ht="25.8" customHeight="1">
      <c r="C830" s="566" t="s">
        <v>1220</v>
      </c>
      <c r="D830" s="552" t="s">
        <v>1321</v>
      </c>
      <c r="E830" s="553"/>
      <c r="F830" s="554"/>
      <c r="G830" s="298">
        <f>$D$4</f>
        <v>0.1</v>
      </c>
      <c r="H830" s="539">
        <f>H829*G830</f>
        <v>6840.7700000000013</v>
      </c>
      <c r="I830" s="827"/>
      <c r="M830" s="1418"/>
    </row>
    <row r="831" spans="3:13" s="517" customFormat="1" ht="25.8" customHeight="1">
      <c r="C831" s="566" t="s">
        <v>1221</v>
      </c>
      <c r="D831" s="552" t="s">
        <v>1222</v>
      </c>
      <c r="E831" s="553"/>
      <c r="F831" s="553"/>
      <c r="G831" s="554"/>
      <c r="H831" s="828">
        <f>SUM(H829:H830)</f>
        <v>75248.470000000016</v>
      </c>
      <c r="I831" s="827"/>
      <c r="M831" s="1418"/>
    </row>
    <row r="832" spans="3:13">
      <c r="L832"/>
      <c r="M832" s="1406"/>
    </row>
    <row r="833" spans="3:16" s="59" customFormat="1" ht="25.8" customHeight="1">
      <c r="C833" s="47" t="s">
        <v>3604</v>
      </c>
      <c r="D833" s="867" t="s">
        <v>8066</v>
      </c>
      <c r="E833" s="795"/>
      <c r="F833" s="795"/>
      <c r="G833" s="795"/>
      <c r="H833" s="795"/>
      <c r="K833" s="120">
        <f>ROUNDDOWN(H849,-2)</f>
        <v>30600</v>
      </c>
      <c r="L833" s="120" t="s">
        <v>6451</v>
      </c>
      <c r="M833" s="1409" t="s">
        <v>8063</v>
      </c>
    </row>
    <row r="834" spans="3:16" s="59" customFormat="1" ht="25.8" customHeight="1">
      <c r="C834" s="591" t="s">
        <v>1195</v>
      </c>
      <c r="D834" s="591" t="s">
        <v>1196</v>
      </c>
      <c r="E834" s="591" t="s">
        <v>1197</v>
      </c>
      <c r="F834" s="591" t="s">
        <v>1198</v>
      </c>
      <c r="G834" s="591" t="s">
        <v>1199</v>
      </c>
      <c r="H834" s="591" t="s">
        <v>1200</v>
      </c>
      <c r="I834" s="119"/>
      <c r="K834" s="119"/>
      <c r="L834" s="119"/>
      <c r="M834" s="1408"/>
    </row>
    <row r="835" spans="3:16" s="59" customFormat="1" ht="25.8" customHeight="1">
      <c r="C835" s="176" t="s">
        <v>1201</v>
      </c>
      <c r="D835" s="182" t="s">
        <v>1202</v>
      </c>
      <c r="E835" s="70"/>
      <c r="F835" s="70"/>
      <c r="G835" s="70"/>
      <c r="H835" s="70"/>
      <c r="I835" s="119"/>
      <c r="K835" s="119"/>
      <c r="L835" s="119"/>
      <c r="M835" s="1420" t="s">
        <v>1247</v>
      </c>
    </row>
    <row r="836" spans="3:16" s="59" customFormat="1" ht="25.8" customHeight="1">
      <c r="C836" s="869">
        <v>1</v>
      </c>
      <c r="D836" s="182" t="s">
        <v>5</v>
      </c>
      <c r="E836" s="182" t="s">
        <v>6</v>
      </c>
      <c r="F836" s="282">
        <v>3.3000000000000002E-2</v>
      </c>
      <c r="G836" s="283">
        <f>VLOOKUP(D836,upahbahan,3,FALSE)</f>
        <v>100000</v>
      </c>
      <c r="H836" s="283">
        <f>F836*G836</f>
        <v>3300</v>
      </c>
      <c r="I836" s="119"/>
      <c r="K836" s="119"/>
      <c r="L836" s="119"/>
      <c r="M836" s="1420" t="s">
        <v>1248</v>
      </c>
      <c r="P836" s="65">
        <v>0.1</v>
      </c>
    </row>
    <row r="837" spans="3:16" s="59" customFormat="1" ht="25.8" customHeight="1">
      <c r="C837" s="869">
        <v>2</v>
      </c>
      <c r="D837" s="182" t="s">
        <v>10</v>
      </c>
      <c r="E837" s="182" t="s">
        <v>6</v>
      </c>
      <c r="F837" s="282">
        <v>5.6000000000000001E-2</v>
      </c>
      <c r="G837" s="283">
        <f>VLOOKUP(D837,upahbahan,3,FALSE)</f>
        <v>135000</v>
      </c>
      <c r="H837" s="283">
        <f>F837*G837</f>
        <v>7560</v>
      </c>
      <c r="I837" s="119"/>
      <c r="K837" s="119"/>
      <c r="L837" s="119"/>
      <c r="M837" s="1408"/>
    </row>
    <row r="838" spans="3:16" s="59" customFormat="1" ht="25.8" customHeight="1">
      <c r="C838" s="869">
        <v>3</v>
      </c>
      <c r="D838" s="182" t="s">
        <v>18</v>
      </c>
      <c r="E838" s="182" t="s">
        <v>6</v>
      </c>
      <c r="F838" s="282">
        <v>6.0000000000000001E-3</v>
      </c>
      <c r="G838" s="283">
        <f>VLOOKUP(D838,upahbahan,3,FALSE)</f>
        <v>150000</v>
      </c>
      <c r="H838" s="283">
        <f>F838*G838</f>
        <v>900</v>
      </c>
      <c r="I838" s="119"/>
      <c r="K838" s="119"/>
      <c r="L838" s="119"/>
      <c r="M838" s="1408"/>
    </row>
    <row r="839" spans="3:16" s="59" customFormat="1" ht="25.8" customHeight="1">
      <c r="C839" s="869">
        <v>4</v>
      </c>
      <c r="D839" s="182" t="s">
        <v>19</v>
      </c>
      <c r="E839" s="182" t="s">
        <v>6</v>
      </c>
      <c r="F839" s="282">
        <v>2E-3</v>
      </c>
      <c r="G839" s="283">
        <f>VLOOKUP(D839,upahbahan,3,FALSE)</f>
        <v>160000</v>
      </c>
      <c r="H839" s="283">
        <f>F839*G839</f>
        <v>320</v>
      </c>
      <c r="I839" s="119"/>
      <c r="K839" s="119"/>
      <c r="L839" s="119"/>
      <c r="M839" s="1408"/>
    </row>
    <row r="840" spans="3:16" s="59" customFormat="1" ht="25.8" customHeight="1">
      <c r="C840" s="450" t="s">
        <v>1208</v>
      </c>
      <c r="D840" s="67"/>
      <c r="E840" s="67"/>
      <c r="F840" s="142"/>
      <c r="G840" s="153"/>
      <c r="H840" s="283">
        <f>SUM(H836:H839)</f>
        <v>12080</v>
      </c>
      <c r="I840" s="319"/>
      <c r="K840" s="319"/>
      <c r="L840" s="319"/>
      <c r="M840" s="1408"/>
    </row>
    <row r="841" spans="3:16" s="59" customFormat="1" ht="25.8" customHeight="1">
      <c r="C841" s="176" t="s">
        <v>1209</v>
      </c>
      <c r="D841" s="182" t="s">
        <v>1210</v>
      </c>
      <c r="E841" s="70"/>
      <c r="F841" s="70"/>
      <c r="G841" s="70"/>
      <c r="H841" s="70"/>
      <c r="I841" s="119"/>
      <c r="K841" s="119"/>
      <c r="L841" s="119"/>
      <c r="M841" s="1408"/>
    </row>
    <row r="842" spans="3:16" s="59" customFormat="1" ht="25.8" customHeight="1">
      <c r="C842" s="869">
        <v>1</v>
      </c>
      <c r="D842" s="285" t="s">
        <v>8062</v>
      </c>
      <c r="E842" s="291" t="s">
        <v>113</v>
      </c>
      <c r="F842" s="327">
        <v>1.5</v>
      </c>
      <c r="G842" s="283">
        <f>VLOOKUP(D842,upahbahan,3,FALSE)</f>
        <v>9630</v>
      </c>
      <c r="H842" s="283">
        <f t="shared" ref="H842" si="42">F842*G842</f>
        <v>14445</v>
      </c>
      <c r="I842" s="119"/>
      <c r="K842" s="119"/>
      <c r="L842" s="119"/>
      <c r="M842" s="1408"/>
    </row>
    <row r="843" spans="3:16" s="59" customFormat="1" ht="25.8" customHeight="1">
      <c r="C843" s="869">
        <v>2</v>
      </c>
      <c r="D843" s="182" t="s">
        <v>3538</v>
      </c>
      <c r="E843" s="124" t="s">
        <v>113</v>
      </c>
      <c r="F843" s="870">
        <v>1.2</v>
      </c>
      <c r="G843" s="283">
        <f>VLOOKUP(D843,upahbahan,3,FALSE)</f>
        <v>1080</v>
      </c>
      <c r="H843" s="283">
        <f>F843*G843</f>
        <v>1296</v>
      </c>
      <c r="I843" s="119"/>
      <c r="K843" s="119"/>
      <c r="L843" s="119"/>
      <c r="M843" s="1408"/>
    </row>
    <row r="844" spans="3:16" s="59" customFormat="1" ht="25.8" customHeight="1">
      <c r="C844" s="450" t="s">
        <v>1214</v>
      </c>
      <c r="D844" s="67"/>
      <c r="E844" s="67"/>
      <c r="F844" s="67"/>
      <c r="G844" s="69"/>
      <c r="H844" s="283">
        <f>SUM(H842:H843)</f>
        <v>15741</v>
      </c>
      <c r="I844" s="119"/>
      <c r="K844" s="119"/>
      <c r="L844" s="119"/>
      <c r="M844" s="1408"/>
    </row>
    <row r="845" spans="3:16" s="59" customFormat="1" ht="25.8" customHeight="1">
      <c r="C845" s="176" t="s">
        <v>1215</v>
      </c>
      <c r="D845" s="182" t="s">
        <v>1216</v>
      </c>
      <c r="E845" s="70"/>
      <c r="F845" s="70"/>
      <c r="G845" s="70"/>
      <c r="H845" s="70"/>
      <c r="I845" s="119"/>
      <c r="K845" s="119"/>
      <c r="L845" s="119"/>
      <c r="M845" s="1408"/>
    </row>
    <row r="846" spans="3:16" s="59" customFormat="1" ht="25.8" customHeight="1">
      <c r="C846" s="450" t="s">
        <v>1217</v>
      </c>
      <c r="D846" s="67"/>
      <c r="E846" s="67"/>
      <c r="F846" s="67"/>
      <c r="G846" s="69"/>
      <c r="H846" s="871">
        <v>0</v>
      </c>
      <c r="I846" s="119"/>
      <c r="K846" s="119"/>
      <c r="L846" s="119"/>
      <c r="M846" s="1408"/>
    </row>
    <row r="847" spans="3:16" s="59" customFormat="1" ht="25.8" customHeight="1">
      <c r="C847" s="102" t="s">
        <v>1218</v>
      </c>
      <c r="D847" s="294" t="s">
        <v>1219</v>
      </c>
      <c r="E847" s="295"/>
      <c r="F847" s="295"/>
      <c r="G847" s="296"/>
      <c r="H847" s="872">
        <f>H846+H844+H840</f>
        <v>27821</v>
      </c>
      <c r="I847" s="873"/>
      <c r="K847" s="119"/>
      <c r="L847" s="119"/>
      <c r="M847" s="1408"/>
    </row>
    <row r="848" spans="3:16" s="59" customFormat="1" ht="25.8" customHeight="1">
      <c r="C848" s="102" t="s">
        <v>1220</v>
      </c>
      <c r="D848" s="294" t="s">
        <v>1321</v>
      </c>
      <c r="E848" s="295"/>
      <c r="F848" s="296"/>
      <c r="G848" s="298">
        <f>$D$4</f>
        <v>0.1</v>
      </c>
      <c r="H848" s="283">
        <f>H847*G848</f>
        <v>2782.1000000000004</v>
      </c>
      <c r="I848" s="873"/>
      <c r="K848" s="119"/>
      <c r="L848" s="119"/>
      <c r="M848" s="1408"/>
    </row>
    <row r="849" spans="3:14" s="59" customFormat="1" ht="25.8" customHeight="1">
      <c r="C849" s="102" t="s">
        <v>1221</v>
      </c>
      <c r="D849" s="294" t="s">
        <v>1222</v>
      </c>
      <c r="E849" s="295"/>
      <c r="F849" s="295"/>
      <c r="G849" s="296"/>
      <c r="H849" s="874">
        <f>SUM(H847:H848)</f>
        <v>30603.1</v>
      </c>
      <c r="I849" s="873"/>
      <c r="K849" s="119"/>
      <c r="L849" s="119"/>
      <c r="M849" s="1408"/>
    </row>
    <row r="850" spans="3:14" s="59" customFormat="1" ht="25.8" customHeight="1">
      <c r="C850" s="304"/>
      <c r="D850" s="304"/>
      <c r="E850" s="304"/>
      <c r="F850" s="304"/>
      <c r="G850" s="304"/>
      <c r="H850" s="875"/>
      <c r="I850" s="119"/>
      <c r="K850" s="119"/>
      <c r="L850" s="119"/>
      <c r="M850" s="1408"/>
    </row>
    <row r="851" spans="3:14" s="59" customFormat="1" ht="25.8" customHeight="1">
      <c r="C851" s="47" t="s">
        <v>3605</v>
      </c>
      <c r="D851" s="867" t="s">
        <v>8065</v>
      </c>
      <c r="E851" s="795"/>
      <c r="F851" s="795"/>
      <c r="G851" s="795"/>
      <c r="H851" s="795"/>
      <c r="K851" s="120">
        <f>ROUNDDOWN(H867,-2)</f>
        <v>34200</v>
      </c>
      <c r="L851" s="120" t="s">
        <v>6456</v>
      </c>
      <c r="M851" s="1409" t="s">
        <v>8063</v>
      </c>
      <c r="N851" s="475"/>
    </row>
    <row r="852" spans="3:14" s="59" customFormat="1" ht="25.8" customHeight="1">
      <c r="C852" s="591" t="s">
        <v>1195</v>
      </c>
      <c r="D852" s="591" t="s">
        <v>1196</v>
      </c>
      <c r="E852" s="591" t="s">
        <v>1197</v>
      </c>
      <c r="F852" s="591" t="s">
        <v>1198</v>
      </c>
      <c r="G852" s="591" t="s">
        <v>1199</v>
      </c>
      <c r="H852" s="591" t="s">
        <v>1200</v>
      </c>
      <c r="I852" s="119"/>
      <c r="K852" s="119"/>
      <c r="L852" s="119"/>
      <c r="M852" s="1408"/>
    </row>
    <row r="853" spans="3:14" s="59" customFormat="1" ht="25.8" customHeight="1">
      <c r="C853" s="176" t="s">
        <v>1201</v>
      </c>
      <c r="D853" s="182" t="s">
        <v>1202</v>
      </c>
      <c r="E853" s="70"/>
      <c r="F853" s="70"/>
      <c r="G853" s="70"/>
      <c r="H853" s="70"/>
      <c r="I853" s="119"/>
      <c r="K853" s="119"/>
      <c r="L853" s="119"/>
      <c r="M853" s="1408"/>
    </row>
    <row r="854" spans="3:14" s="59" customFormat="1" ht="25.8" customHeight="1">
      <c r="C854" s="869">
        <v>1</v>
      </c>
      <c r="D854" s="182" t="s">
        <v>5</v>
      </c>
      <c r="E854" s="182" t="s">
        <v>6</v>
      </c>
      <c r="F854" s="282">
        <v>4.8000000000000001E-2</v>
      </c>
      <c r="G854" s="283">
        <f>VLOOKUP(D854,upahbahan,3,FALSE)</f>
        <v>100000</v>
      </c>
      <c r="H854" s="283">
        <f t="shared" ref="H854:H857" si="43">F854*G854</f>
        <v>4800</v>
      </c>
      <c r="I854" s="119"/>
      <c r="K854" s="119"/>
      <c r="L854" s="119"/>
      <c r="M854" s="1408"/>
    </row>
    <row r="855" spans="3:14" s="59" customFormat="1" ht="25.8" customHeight="1">
      <c r="C855" s="869">
        <v>2</v>
      </c>
      <c r="D855" s="182" t="str">
        <f>D837</f>
        <v>Tukang pipa</v>
      </c>
      <c r="E855" s="182" t="s">
        <v>6</v>
      </c>
      <c r="F855" s="282">
        <v>0.08</v>
      </c>
      <c r="G855" s="283">
        <f>VLOOKUP(D855,upahbahan,3,FALSE)</f>
        <v>135000</v>
      </c>
      <c r="H855" s="283">
        <f t="shared" si="43"/>
        <v>10800</v>
      </c>
      <c r="I855" s="119"/>
      <c r="K855" s="119"/>
      <c r="L855" s="119"/>
      <c r="M855" s="1408"/>
    </row>
    <row r="856" spans="3:14" s="59" customFormat="1" ht="25.8" customHeight="1">
      <c r="C856" s="869">
        <v>3</v>
      </c>
      <c r="D856" s="182" t="s">
        <v>18</v>
      </c>
      <c r="E856" s="182" t="s">
        <v>6</v>
      </c>
      <c r="F856" s="282">
        <v>8.0000000000000002E-3</v>
      </c>
      <c r="G856" s="283">
        <f>VLOOKUP(D856,upahbahan,3,FALSE)</f>
        <v>150000</v>
      </c>
      <c r="H856" s="283">
        <f t="shared" si="43"/>
        <v>1200</v>
      </c>
      <c r="I856" s="119"/>
      <c r="K856" s="119"/>
      <c r="L856" s="119"/>
      <c r="M856" s="1408"/>
    </row>
    <row r="857" spans="3:14" s="59" customFormat="1" ht="25.8" customHeight="1">
      <c r="C857" s="869">
        <v>4</v>
      </c>
      <c r="D857" s="182" t="s">
        <v>19</v>
      </c>
      <c r="E857" s="182" t="s">
        <v>6</v>
      </c>
      <c r="F857" s="282">
        <v>3.0000000000000001E-3</v>
      </c>
      <c r="G857" s="283">
        <f>VLOOKUP(D857,upahbahan,3,FALSE)</f>
        <v>160000</v>
      </c>
      <c r="H857" s="283">
        <f t="shared" si="43"/>
        <v>480</v>
      </c>
      <c r="I857" s="119"/>
      <c r="K857" s="119"/>
      <c r="L857" s="119"/>
      <c r="M857" s="1408"/>
    </row>
    <row r="858" spans="3:14" s="59" customFormat="1" ht="25.8" customHeight="1">
      <c r="C858" s="450" t="s">
        <v>1208</v>
      </c>
      <c r="D858" s="67"/>
      <c r="E858" s="67"/>
      <c r="F858" s="142"/>
      <c r="G858" s="153"/>
      <c r="H858" s="283">
        <f>SUM(H854:H857)</f>
        <v>17280</v>
      </c>
      <c r="I858" s="319"/>
      <c r="K858" s="319"/>
      <c r="L858" s="319"/>
      <c r="M858" s="1408"/>
    </row>
    <row r="859" spans="3:14" s="59" customFormat="1" ht="25.8" customHeight="1">
      <c r="C859" s="176" t="s">
        <v>1209</v>
      </c>
      <c r="D859" s="182" t="s">
        <v>1210</v>
      </c>
      <c r="E859" s="70"/>
      <c r="F859" s="70"/>
      <c r="G859" s="70"/>
      <c r="H859" s="70"/>
      <c r="I859" s="119"/>
      <c r="K859" s="119"/>
      <c r="L859" s="119"/>
      <c r="M859" s="1408"/>
    </row>
    <row r="860" spans="3:14" s="59" customFormat="1" ht="25.8" customHeight="1">
      <c r="C860" s="869">
        <v>1</v>
      </c>
      <c r="D860" s="285" t="s">
        <v>8064</v>
      </c>
      <c r="E860" s="291" t="s">
        <v>113</v>
      </c>
      <c r="F860" s="282">
        <v>1.5</v>
      </c>
      <c r="G860" s="283">
        <f>VLOOKUP(D860,upahbahan,3,FALSE)</f>
        <v>8370</v>
      </c>
      <c r="H860" s="283">
        <f t="shared" ref="H860:H861" si="44">F860*G860</f>
        <v>12555</v>
      </c>
      <c r="I860" s="119"/>
      <c r="K860" s="119"/>
      <c r="L860" s="119"/>
      <c r="M860" s="1408"/>
    </row>
    <row r="861" spans="3:14" s="59" customFormat="1" ht="25.8" customHeight="1">
      <c r="C861" s="869">
        <v>2</v>
      </c>
      <c r="D861" s="182" t="s">
        <v>3538</v>
      </c>
      <c r="E861" s="124" t="s">
        <v>113</v>
      </c>
      <c r="F861" s="870">
        <v>1.2</v>
      </c>
      <c r="G861" s="283">
        <f>VLOOKUP(D861,upahbahan,3,FALSE)</f>
        <v>1080</v>
      </c>
      <c r="H861" s="283">
        <f t="shared" si="44"/>
        <v>1296</v>
      </c>
      <c r="I861" s="119"/>
      <c r="K861" s="119"/>
      <c r="L861" s="119"/>
      <c r="M861" s="1408"/>
    </row>
    <row r="862" spans="3:14" s="59" customFormat="1" ht="25.8" customHeight="1">
      <c r="C862" s="450" t="s">
        <v>1214</v>
      </c>
      <c r="D862" s="67"/>
      <c r="E862" s="67"/>
      <c r="F862" s="67"/>
      <c r="G862" s="69"/>
      <c r="H862" s="283">
        <f>SUM(H860:H861)</f>
        <v>13851</v>
      </c>
      <c r="I862" s="119"/>
      <c r="K862" s="119"/>
      <c r="L862" s="119"/>
      <c r="M862" s="1408"/>
    </row>
    <row r="863" spans="3:14" s="59" customFormat="1" ht="25.8" customHeight="1">
      <c r="C863" s="176" t="s">
        <v>1215</v>
      </c>
      <c r="D863" s="182" t="s">
        <v>1216</v>
      </c>
      <c r="E863" s="70"/>
      <c r="F863" s="70"/>
      <c r="G863" s="70"/>
      <c r="H863" s="70"/>
      <c r="I863" s="119"/>
      <c r="K863" s="119"/>
      <c r="L863" s="119"/>
      <c r="M863" s="1408"/>
    </row>
    <row r="864" spans="3:14" s="59" customFormat="1" ht="25.8" customHeight="1">
      <c r="C864" s="450" t="s">
        <v>1217</v>
      </c>
      <c r="D864" s="67"/>
      <c r="E864" s="67"/>
      <c r="F864" s="67"/>
      <c r="G864" s="69"/>
      <c r="H864" s="871">
        <v>0</v>
      </c>
      <c r="I864" s="119"/>
      <c r="K864" s="119"/>
      <c r="L864" s="119"/>
      <c r="M864" s="1408"/>
    </row>
    <row r="865" spans="3:14" s="59" customFormat="1" ht="25.8" customHeight="1">
      <c r="C865" s="102" t="s">
        <v>1218</v>
      </c>
      <c r="D865" s="294" t="s">
        <v>1219</v>
      </c>
      <c r="E865" s="295"/>
      <c r="F865" s="295"/>
      <c r="G865" s="296"/>
      <c r="H865" s="872">
        <f>H864+H862+H858</f>
        <v>31131</v>
      </c>
      <c r="I865" s="873"/>
      <c r="K865" s="119"/>
      <c r="L865" s="119"/>
      <c r="M865" s="1408"/>
    </row>
    <row r="866" spans="3:14" s="59" customFormat="1" ht="25.8" customHeight="1">
      <c r="C866" s="102" t="s">
        <v>1220</v>
      </c>
      <c r="D866" s="294" t="s">
        <v>1321</v>
      </c>
      <c r="E866" s="295"/>
      <c r="F866" s="296"/>
      <c r="G866" s="298">
        <f>$D$4</f>
        <v>0.1</v>
      </c>
      <c r="H866" s="283">
        <f>H865*G866</f>
        <v>3113.1000000000004</v>
      </c>
      <c r="I866" s="873"/>
      <c r="K866" s="119"/>
      <c r="L866" s="119"/>
      <c r="M866" s="1408"/>
    </row>
    <row r="867" spans="3:14" s="59" customFormat="1" ht="25.8" customHeight="1">
      <c r="C867" s="102" t="s">
        <v>1221</v>
      </c>
      <c r="D867" s="294" t="s">
        <v>1222</v>
      </c>
      <c r="E867" s="295"/>
      <c r="F867" s="295"/>
      <c r="G867" s="296"/>
      <c r="H867" s="874">
        <f>SUM(H865:H866)</f>
        <v>34244.1</v>
      </c>
      <c r="I867" s="873"/>
      <c r="K867" s="119"/>
      <c r="L867" s="119"/>
      <c r="M867" s="1408"/>
    </row>
    <row r="868" spans="3:14">
      <c r="L868"/>
      <c r="M868" s="1406"/>
    </row>
    <row r="869" spans="3:14" s="59" customFormat="1" ht="25.8" customHeight="1">
      <c r="C869" s="47" t="s">
        <v>3606</v>
      </c>
      <c r="D869" s="867" t="s">
        <v>8067</v>
      </c>
      <c r="E869" s="795"/>
      <c r="F869" s="795"/>
      <c r="G869" s="795"/>
      <c r="H869" s="795"/>
      <c r="K869" s="120">
        <f>ROUNDDOWN(H885,-2)</f>
        <v>54000</v>
      </c>
      <c r="L869" s="120" t="s">
        <v>6451</v>
      </c>
      <c r="M869" s="1409" t="s">
        <v>8063</v>
      </c>
      <c r="N869" s="475"/>
    </row>
    <row r="870" spans="3:14" s="59" customFormat="1" ht="25.8" customHeight="1">
      <c r="C870" s="591" t="s">
        <v>1195</v>
      </c>
      <c r="D870" s="591" t="s">
        <v>1196</v>
      </c>
      <c r="E870" s="591" t="s">
        <v>1197</v>
      </c>
      <c r="F870" s="591" t="s">
        <v>1198</v>
      </c>
      <c r="G870" s="591" t="s">
        <v>1199</v>
      </c>
      <c r="H870" s="591" t="s">
        <v>1200</v>
      </c>
      <c r="I870" s="119"/>
      <c r="K870" s="119"/>
      <c r="L870" s="119"/>
      <c r="M870" s="1408"/>
      <c r="N870" s="475"/>
    </row>
    <row r="871" spans="3:14" s="59" customFormat="1" ht="25.8" customHeight="1">
      <c r="C871" s="176" t="s">
        <v>1201</v>
      </c>
      <c r="D871" s="182" t="s">
        <v>1202</v>
      </c>
      <c r="E871" s="70"/>
      <c r="F871" s="70"/>
      <c r="G871" s="70"/>
      <c r="H871" s="70"/>
      <c r="I871" s="119"/>
      <c r="K871" s="119"/>
      <c r="L871" s="119"/>
      <c r="M871" s="1408"/>
      <c r="N871" s="475"/>
    </row>
    <row r="872" spans="3:14" s="59" customFormat="1" ht="25.8" customHeight="1">
      <c r="C872" s="869">
        <v>1</v>
      </c>
      <c r="D872" s="182" t="s">
        <v>5</v>
      </c>
      <c r="E872" s="176" t="s">
        <v>6</v>
      </c>
      <c r="F872" s="282">
        <v>6.4000000000000001E-2</v>
      </c>
      <c r="G872" s="283">
        <f>VLOOKUP(D872,upahbahan,3,FALSE)</f>
        <v>100000</v>
      </c>
      <c r="H872" s="283">
        <f>F872*G872</f>
        <v>6400</v>
      </c>
      <c r="I872" s="119"/>
      <c r="K872" s="119"/>
      <c r="L872" s="119"/>
      <c r="M872" s="1408"/>
      <c r="N872" s="475"/>
    </row>
    <row r="873" spans="3:14" s="59" customFormat="1" ht="25.8" customHeight="1">
      <c r="C873" s="869">
        <v>2</v>
      </c>
      <c r="D873" s="182" t="str">
        <f>D855</f>
        <v>Tukang pipa</v>
      </c>
      <c r="E873" s="176" t="s">
        <v>6</v>
      </c>
      <c r="F873" s="282">
        <v>0.107</v>
      </c>
      <c r="G873" s="283">
        <f>VLOOKUP(D873,upahbahan,3,FALSE)</f>
        <v>135000</v>
      </c>
      <c r="H873" s="283">
        <f t="shared" ref="H873:H875" si="45">F873*G873</f>
        <v>14445</v>
      </c>
      <c r="I873" s="119"/>
      <c r="K873" s="119"/>
      <c r="L873" s="119"/>
      <c r="M873" s="1408"/>
      <c r="N873" s="475"/>
    </row>
    <row r="874" spans="3:14" s="59" customFormat="1" ht="25.8" customHeight="1">
      <c r="C874" s="869">
        <v>3</v>
      </c>
      <c r="D874" s="182" t="s">
        <v>18</v>
      </c>
      <c r="E874" s="176" t="s">
        <v>6</v>
      </c>
      <c r="F874" s="282">
        <v>1.0999999999999999E-2</v>
      </c>
      <c r="G874" s="283">
        <f>VLOOKUP(D874,upahbahan,3,FALSE)</f>
        <v>150000</v>
      </c>
      <c r="H874" s="283">
        <f t="shared" si="45"/>
        <v>1650</v>
      </c>
      <c r="I874" s="119"/>
      <c r="K874" s="119"/>
      <c r="L874" s="119"/>
      <c r="M874" s="1408"/>
      <c r="N874" s="475"/>
    </row>
    <row r="875" spans="3:14" s="59" customFormat="1" ht="25.8" customHeight="1">
      <c r="C875" s="869">
        <v>4</v>
      </c>
      <c r="D875" s="182" t="s">
        <v>19</v>
      </c>
      <c r="E875" s="176" t="s">
        <v>6</v>
      </c>
      <c r="F875" s="282">
        <v>4.0000000000000001E-3</v>
      </c>
      <c r="G875" s="283">
        <f>VLOOKUP(D875,upahbahan,3,FALSE)</f>
        <v>160000</v>
      </c>
      <c r="H875" s="283">
        <f t="shared" si="45"/>
        <v>640</v>
      </c>
      <c r="I875" s="119"/>
      <c r="K875" s="119"/>
      <c r="L875" s="119"/>
      <c r="M875" s="1408"/>
      <c r="N875" s="475"/>
    </row>
    <row r="876" spans="3:14" s="59" customFormat="1" ht="25.8" customHeight="1">
      <c r="C876" s="450" t="s">
        <v>1208</v>
      </c>
      <c r="D876" s="67"/>
      <c r="E876" s="67"/>
      <c r="F876" s="142"/>
      <c r="G876" s="153"/>
      <c r="H876" s="283">
        <f>SUM(H872:H875)</f>
        <v>23135</v>
      </c>
      <c r="I876" s="319"/>
      <c r="K876" s="319"/>
      <c r="L876" s="319"/>
      <c r="M876" s="1408"/>
      <c r="N876" s="475"/>
    </row>
    <row r="877" spans="3:14" s="59" customFormat="1" ht="25.8" customHeight="1">
      <c r="C877" s="176" t="s">
        <v>1209</v>
      </c>
      <c r="D877" s="182" t="s">
        <v>1210</v>
      </c>
      <c r="E877" s="124"/>
      <c r="F877" s="70"/>
      <c r="G877" s="70"/>
      <c r="H877" s="70"/>
      <c r="I877" s="119"/>
      <c r="K877" s="119"/>
      <c r="L877" s="119"/>
      <c r="M877" s="1408"/>
      <c r="N877" s="475"/>
    </row>
    <row r="878" spans="3:14" s="59" customFormat="1" ht="25.8" customHeight="1">
      <c r="C878" s="869">
        <v>1</v>
      </c>
      <c r="D878" s="285" t="s">
        <v>8068</v>
      </c>
      <c r="E878" s="291" t="s">
        <v>113</v>
      </c>
      <c r="F878" s="282">
        <v>1.5</v>
      </c>
      <c r="G878" s="283">
        <f>VLOOKUP(D878,upahbahan,3,FALSE)</f>
        <v>16470</v>
      </c>
      <c r="H878" s="283">
        <f>F878*G878</f>
        <v>24705</v>
      </c>
      <c r="I878" s="119"/>
      <c r="K878" s="119"/>
      <c r="L878" s="119"/>
      <c r="M878" s="1408"/>
      <c r="N878" s="475"/>
    </row>
    <row r="879" spans="3:14" s="59" customFormat="1" ht="25.8" customHeight="1">
      <c r="C879" s="869">
        <v>2</v>
      </c>
      <c r="D879" s="285" t="s">
        <v>3538</v>
      </c>
      <c r="E879" s="291" t="s">
        <v>113</v>
      </c>
      <c r="F879" s="870">
        <v>1.2</v>
      </c>
      <c r="G879" s="283">
        <f>VLOOKUP(D879,upahbahan,3,FALSE)</f>
        <v>1080</v>
      </c>
      <c r="H879" s="283">
        <f>F879*G879</f>
        <v>1296</v>
      </c>
      <c r="I879" s="119"/>
      <c r="K879" s="119"/>
      <c r="L879" s="119"/>
      <c r="M879" s="1408"/>
      <c r="N879" s="475"/>
    </row>
    <row r="880" spans="3:14" s="59" customFormat="1" ht="25.8" customHeight="1">
      <c r="C880" s="450" t="s">
        <v>1214</v>
      </c>
      <c r="D880" s="67"/>
      <c r="E880" s="67"/>
      <c r="F880" s="67"/>
      <c r="G880" s="69"/>
      <c r="H880" s="283">
        <f>SUM(H878:H879)</f>
        <v>26001</v>
      </c>
      <c r="I880" s="119"/>
      <c r="K880" s="119"/>
      <c r="L880" s="119"/>
      <c r="M880" s="1408"/>
      <c r="N880" s="475"/>
    </row>
    <row r="881" spans="3:14" s="59" customFormat="1" ht="25.8" customHeight="1">
      <c r="C881" s="176" t="s">
        <v>1215</v>
      </c>
      <c r="D881" s="182" t="s">
        <v>1216</v>
      </c>
      <c r="E881" s="70"/>
      <c r="F881" s="70"/>
      <c r="G881" s="70"/>
      <c r="H881" s="70"/>
      <c r="I881" s="119"/>
      <c r="K881" s="119"/>
      <c r="L881" s="119"/>
      <c r="M881" s="1408"/>
      <c r="N881" s="475"/>
    </row>
    <row r="882" spans="3:14" s="59" customFormat="1" ht="25.8" customHeight="1">
      <c r="C882" s="450" t="s">
        <v>1217</v>
      </c>
      <c r="D882" s="67"/>
      <c r="E882" s="67"/>
      <c r="F882" s="67"/>
      <c r="G882" s="69"/>
      <c r="H882" s="871">
        <v>0</v>
      </c>
      <c r="I882" s="119"/>
      <c r="K882" s="119"/>
      <c r="L882" s="119"/>
      <c r="M882" s="1408"/>
      <c r="N882" s="475"/>
    </row>
    <row r="883" spans="3:14" s="59" customFormat="1" ht="25.8" customHeight="1">
      <c r="C883" s="102" t="s">
        <v>1218</v>
      </c>
      <c r="D883" s="294" t="s">
        <v>1219</v>
      </c>
      <c r="E883" s="295"/>
      <c r="F883" s="295"/>
      <c r="G883" s="296"/>
      <c r="H883" s="872">
        <f>H882+H880+H876</f>
        <v>49136</v>
      </c>
      <c r="I883" s="873"/>
      <c r="K883" s="119"/>
      <c r="L883" s="119"/>
      <c r="M883" s="1408"/>
      <c r="N883" s="475"/>
    </row>
    <row r="884" spans="3:14" s="59" customFormat="1" ht="25.8" customHeight="1">
      <c r="C884" s="102" t="s">
        <v>1220</v>
      </c>
      <c r="D884" s="294" t="s">
        <v>1321</v>
      </c>
      <c r="E884" s="295"/>
      <c r="F884" s="296"/>
      <c r="G884" s="298">
        <f>$D$4</f>
        <v>0.1</v>
      </c>
      <c r="H884" s="283">
        <f>H883*G884</f>
        <v>4913.6000000000004</v>
      </c>
      <c r="I884" s="873"/>
      <c r="K884" s="119"/>
      <c r="L884" s="119"/>
      <c r="M884" s="1408"/>
      <c r="N884" s="475"/>
    </row>
    <row r="885" spans="3:14" s="59" customFormat="1" ht="25.8" customHeight="1">
      <c r="C885" s="102" t="s">
        <v>1221</v>
      </c>
      <c r="D885" s="294" t="s">
        <v>1222</v>
      </c>
      <c r="E885" s="295"/>
      <c r="F885" s="295"/>
      <c r="G885" s="296"/>
      <c r="H885" s="874">
        <f>SUM(H883:H884)</f>
        <v>54049.599999999999</v>
      </c>
      <c r="I885" s="873"/>
      <c r="K885" s="119"/>
      <c r="L885" s="119"/>
      <c r="M885" s="1408"/>
      <c r="N885" s="475"/>
    </row>
    <row r="886" spans="3:14">
      <c r="L886"/>
      <c r="M886" s="1406"/>
    </row>
    <row r="887" spans="3:14" s="59" customFormat="1" ht="25.8" customHeight="1">
      <c r="C887" s="119" t="s">
        <v>3609</v>
      </c>
      <c r="D887" s="867" t="s">
        <v>8073</v>
      </c>
      <c r="E887" s="795"/>
      <c r="F887" s="795"/>
      <c r="G887" s="795"/>
      <c r="H887" s="795"/>
      <c r="K887" s="120">
        <f>ROUNDDOWN(H903,-2)</f>
        <v>175000</v>
      </c>
      <c r="L887" s="120" t="s">
        <v>6451</v>
      </c>
      <c r="M887" s="1409" t="s">
        <v>8063</v>
      </c>
      <c r="N887" s="475"/>
    </row>
    <row r="888" spans="3:14" s="59" customFormat="1" ht="25.8" customHeight="1">
      <c r="C888" s="591" t="s">
        <v>1195</v>
      </c>
      <c r="D888" s="591" t="s">
        <v>1196</v>
      </c>
      <c r="E888" s="591" t="s">
        <v>1197</v>
      </c>
      <c r="F888" s="591" t="s">
        <v>1198</v>
      </c>
      <c r="G888" s="591" t="s">
        <v>1199</v>
      </c>
      <c r="H888" s="591" t="s">
        <v>1200</v>
      </c>
      <c r="I888" s="119"/>
      <c r="K888" s="119"/>
      <c r="L888" s="119"/>
      <c r="M888" s="1408"/>
      <c r="N888" s="475"/>
    </row>
    <row r="889" spans="3:14" s="59" customFormat="1" ht="25.8" customHeight="1">
      <c r="C889" s="182" t="s">
        <v>1201</v>
      </c>
      <c r="D889" s="182" t="s">
        <v>1202</v>
      </c>
      <c r="E889" s="124"/>
      <c r="F889" s="70"/>
      <c r="G889" s="70"/>
      <c r="H889" s="70"/>
      <c r="I889" s="119"/>
      <c r="K889" s="119"/>
      <c r="L889" s="119"/>
      <c r="M889" s="1408"/>
      <c r="N889" s="475"/>
    </row>
    <row r="890" spans="3:14" s="59" customFormat="1" ht="25.8" customHeight="1">
      <c r="C890" s="876">
        <v>1</v>
      </c>
      <c r="D890" s="182" t="s">
        <v>5</v>
      </c>
      <c r="E890" s="176" t="s">
        <v>6</v>
      </c>
      <c r="F890" s="282">
        <v>0.129</v>
      </c>
      <c r="G890" s="283">
        <f>VLOOKUP(D890,upahbahan,3,FALSE)</f>
        <v>100000</v>
      </c>
      <c r="H890" s="283">
        <f t="shared" ref="H890:H893" si="46">F890*G890</f>
        <v>12900</v>
      </c>
      <c r="I890" s="119"/>
      <c r="K890" s="119"/>
      <c r="L890" s="119"/>
      <c r="M890" s="1408"/>
      <c r="N890" s="475"/>
    </row>
    <row r="891" spans="3:14" s="59" customFormat="1" ht="25.8" customHeight="1">
      <c r="C891" s="876">
        <v>2</v>
      </c>
      <c r="D891" s="182" t="str">
        <f>D873</f>
        <v>Tukang pipa</v>
      </c>
      <c r="E891" s="176" t="s">
        <v>6</v>
      </c>
      <c r="F891" s="282">
        <v>0.215</v>
      </c>
      <c r="G891" s="283">
        <f>VLOOKUP(D891,upahbahan,3,FALSE)</f>
        <v>135000</v>
      </c>
      <c r="H891" s="283">
        <f t="shared" si="46"/>
        <v>29025</v>
      </c>
      <c r="I891" s="119"/>
      <c r="K891" s="119"/>
      <c r="L891" s="119"/>
      <c r="M891" s="1408"/>
      <c r="N891" s="475"/>
    </row>
    <row r="892" spans="3:14" s="59" customFormat="1" ht="25.8" customHeight="1">
      <c r="C892" s="876">
        <v>3</v>
      </c>
      <c r="D892" s="182" t="s">
        <v>18</v>
      </c>
      <c r="E892" s="176" t="s">
        <v>6</v>
      </c>
      <c r="F892" s="282">
        <v>2.1000000000000001E-2</v>
      </c>
      <c r="G892" s="283">
        <f>VLOOKUP(D892,upahbahan,3,FALSE)</f>
        <v>150000</v>
      </c>
      <c r="H892" s="283">
        <f t="shared" si="46"/>
        <v>3150</v>
      </c>
      <c r="I892" s="119"/>
      <c r="K892" s="119"/>
      <c r="L892" s="119"/>
      <c r="M892" s="1408"/>
      <c r="N892" s="475"/>
    </row>
    <row r="893" spans="3:14" s="59" customFormat="1" ht="25.8" customHeight="1">
      <c r="C893" s="876">
        <v>4</v>
      </c>
      <c r="D893" s="182" t="s">
        <v>19</v>
      </c>
      <c r="E893" s="176" t="s">
        <v>6</v>
      </c>
      <c r="F893" s="282">
        <v>7.0000000000000001E-3</v>
      </c>
      <c r="G893" s="283">
        <f>VLOOKUP(D893,upahbahan,3,FALSE)</f>
        <v>160000</v>
      </c>
      <c r="H893" s="283">
        <f t="shared" si="46"/>
        <v>1120</v>
      </c>
      <c r="I893" s="119"/>
      <c r="K893" s="119"/>
      <c r="L893" s="119"/>
      <c r="M893" s="1408"/>
      <c r="N893" s="475"/>
    </row>
    <row r="894" spans="3:14" s="59" customFormat="1" ht="25.8" customHeight="1">
      <c r="C894" s="450" t="s">
        <v>1208</v>
      </c>
      <c r="D894" s="67"/>
      <c r="E894" s="67"/>
      <c r="F894" s="142"/>
      <c r="G894" s="153"/>
      <c r="H894" s="283">
        <f>SUM(H890:H893)</f>
        <v>46195</v>
      </c>
      <c r="I894" s="319"/>
      <c r="K894" s="319"/>
      <c r="L894" s="319"/>
      <c r="M894" s="1408"/>
      <c r="N894" s="475"/>
    </row>
    <row r="895" spans="3:14" s="59" customFormat="1" ht="25.8" customHeight="1">
      <c r="C895" s="176" t="s">
        <v>1209</v>
      </c>
      <c r="D895" s="182" t="s">
        <v>1210</v>
      </c>
      <c r="E895" s="70"/>
      <c r="F895" s="70"/>
      <c r="G895" s="70"/>
      <c r="H895" s="70"/>
      <c r="I895" s="119"/>
      <c r="K895" s="119"/>
      <c r="L895" s="119"/>
      <c r="M895" s="1408"/>
      <c r="N895" s="475"/>
    </row>
    <row r="896" spans="3:14" s="59" customFormat="1" ht="25.8" customHeight="1">
      <c r="C896" s="869">
        <v>1</v>
      </c>
      <c r="D896" s="285" t="s">
        <v>8074</v>
      </c>
      <c r="E896" s="176" t="s">
        <v>113</v>
      </c>
      <c r="F896" s="282">
        <f>F878</f>
        <v>1.5</v>
      </c>
      <c r="G896" s="283">
        <f>VLOOKUP(D896,upahbahan,3,FALSE)</f>
        <v>74430</v>
      </c>
      <c r="H896" s="283">
        <f t="shared" ref="H896:H897" si="47">F896*G896</f>
        <v>111645</v>
      </c>
      <c r="I896" s="119"/>
      <c r="K896" s="119"/>
      <c r="L896" s="119"/>
      <c r="M896" s="1408"/>
      <c r="N896" s="475"/>
    </row>
    <row r="897" spans="3:14" s="59" customFormat="1" ht="25.8" customHeight="1">
      <c r="C897" s="869">
        <v>2</v>
      </c>
      <c r="D897" s="182" t="s">
        <v>3538</v>
      </c>
      <c r="E897" s="176" t="s">
        <v>113</v>
      </c>
      <c r="F897" s="870">
        <f>F879</f>
        <v>1.2</v>
      </c>
      <c r="G897" s="283">
        <f>VLOOKUP(D897,upahbahan,3,FALSE)</f>
        <v>1080</v>
      </c>
      <c r="H897" s="283">
        <f t="shared" si="47"/>
        <v>1296</v>
      </c>
      <c r="I897" s="119"/>
      <c r="K897" s="119"/>
      <c r="L897" s="119"/>
      <c r="M897" s="1408"/>
      <c r="N897" s="475"/>
    </row>
    <row r="898" spans="3:14" s="59" customFormat="1" ht="25.8" customHeight="1">
      <c r="C898" s="450" t="s">
        <v>1214</v>
      </c>
      <c r="D898" s="67"/>
      <c r="E898" s="67"/>
      <c r="F898" s="67"/>
      <c r="G898" s="69"/>
      <c r="H898" s="283">
        <f>SUM(H896:H897)</f>
        <v>112941</v>
      </c>
      <c r="I898" s="119"/>
      <c r="K898" s="119"/>
      <c r="L898" s="119"/>
      <c r="M898" s="1408"/>
      <c r="N898" s="475"/>
    </row>
    <row r="899" spans="3:14" s="59" customFormat="1" ht="25.8" customHeight="1">
      <c r="C899" s="176" t="s">
        <v>1215</v>
      </c>
      <c r="D899" s="182" t="s">
        <v>1216</v>
      </c>
      <c r="E899" s="70"/>
      <c r="F899" s="70"/>
      <c r="G899" s="70"/>
      <c r="H899" s="70"/>
      <c r="I899" s="119"/>
      <c r="K899" s="119"/>
      <c r="L899" s="119"/>
      <c r="M899" s="1408"/>
      <c r="N899" s="475"/>
    </row>
    <row r="900" spans="3:14" s="59" customFormat="1" ht="25.8" customHeight="1">
      <c r="C900" s="450" t="s">
        <v>1217</v>
      </c>
      <c r="D900" s="67"/>
      <c r="E900" s="67"/>
      <c r="F900" s="67"/>
      <c r="G900" s="69"/>
      <c r="H900" s="871">
        <v>0</v>
      </c>
      <c r="I900" s="119"/>
      <c r="K900" s="119"/>
      <c r="L900" s="119"/>
      <c r="M900" s="1408"/>
      <c r="N900" s="475"/>
    </row>
    <row r="901" spans="3:14" s="59" customFormat="1" ht="25.8" customHeight="1">
      <c r="C901" s="102" t="s">
        <v>1218</v>
      </c>
      <c r="D901" s="294" t="s">
        <v>1219</v>
      </c>
      <c r="E901" s="295"/>
      <c r="F901" s="295"/>
      <c r="G901" s="296"/>
      <c r="H901" s="872">
        <f>H900+H898+H894</f>
        <v>159136</v>
      </c>
      <c r="I901" s="873"/>
      <c r="K901" s="119"/>
      <c r="L901" s="119"/>
      <c r="M901" s="1408"/>
      <c r="N901" s="475"/>
    </row>
    <row r="902" spans="3:14" s="59" customFormat="1" ht="25.8" customHeight="1">
      <c r="C902" s="102" t="s">
        <v>1220</v>
      </c>
      <c r="D902" s="294" t="s">
        <v>1321</v>
      </c>
      <c r="E902" s="295"/>
      <c r="F902" s="296"/>
      <c r="G902" s="298">
        <f>$D$4</f>
        <v>0.1</v>
      </c>
      <c r="H902" s="283">
        <f>H901*G902</f>
        <v>15913.6</v>
      </c>
      <c r="I902" s="873"/>
      <c r="K902" s="119"/>
      <c r="L902" s="119"/>
      <c r="M902" s="1408"/>
      <c r="N902" s="475"/>
    </row>
    <row r="903" spans="3:14" s="59" customFormat="1" ht="25.8" customHeight="1">
      <c r="C903" s="102" t="s">
        <v>1221</v>
      </c>
      <c r="D903" s="294" t="s">
        <v>1222</v>
      </c>
      <c r="E903" s="295"/>
      <c r="F903" s="295"/>
      <c r="G903" s="296"/>
      <c r="H903" s="874">
        <f>SUM(H901:H902)</f>
        <v>175049.60000000001</v>
      </c>
      <c r="I903" s="873"/>
      <c r="K903" s="119"/>
      <c r="L903" s="119"/>
      <c r="M903" s="1408"/>
      <c r="N903" s="475"/>
    </row>
    <row r="904" spans="3:14">
      <c r="L904"/>
      <c r="M904" s="1406"/>
    </row>
    <row r="905" spans="3:14" s="59" customFormat="1" ht="25.8" customHeight="1">
      <c r="C905" s="119" t="s">
        <v>3611</v>
      </c>
      <c r="D905" s="867" t="s">
        <v>8077</v>
      </c>
      <c r="E905" s="795"/>
      <c r="F905" s="795"/>
      <c r="G905" s="795"/>
      <c r="H905" s="795"/>
      <c r="K905" s="120">
        <f>ROUNDDOWN(H921,-2)</f>
        <v>228200</v>
      </c>
      <c r="L905" s="120" t="s">
        <v>6451</v>
      </c>
      <c r="M905" s="1409" t="s">
        <v>8063</v>
      </c>
      <c r="N905" s="475"/>
    </row>
    <row r="906" spans="3:14" s="59" customFormat="1" ht="25.8" customHeight="1">
      <c r="C906" s="591" t="s">
        <v>1195</v>
      </c>
      <c r="D906" s="591" t="s">
        <v>1196</v>
      </c>
      <c r="E906" s="591" t="s">
        <v>1197</v>
      </c>
      <c r="F906" s="591" t="s">
        <v>1198</v>
      </c>
      <c r="G906" s="591" t="s">
        <v>1199</v>
      </c>
      <c r="H906" s="591" t="s">
        <v>1200</v>
      </c>
      <c r="I906" s="119"/>
      <c r="K906" s="119"/>
      <c r="L906" s="119"/>
      <c r="M906" s="1408"/>
      <c r="N906" s="475"/>
    </row>
    <row r="907" spans="3:14" s="59" customFormat="1" ht="25.8" customHeight="1">
      <c r="C907" s="182" t="s">
        <v>1201</v>
      </c>
      <c r="D907" s="182" t="s">
        <v>1202</v>
      </c>
      <c r="E907" s="124"/>
      <c r="F907" s="70"/>
      <c r="G907" s="70"/>
      <c r="H907" s="70"/>
      <c r="I907" s="119"/>
      <c r="K907" s="119"/>
      <c r="L907" s="119"/>
      <c r="M907" s="1408"/>
      <c r="N907" s="475"/>
    </row>
    <row r="908" spans="3:14" s="59" customFormat="1" ht="25.8" customHeight="1">
      <c r="C908" s="876">
        <v>1</v>
      </c>
      <c r="D908" s="182" t="s">
        <v>5</v>
      </c>
      <c r="E908" s="176" t="s">
        <v>6</v>
      </c>
      <c r="F908" s="309">
        <v>0.19</v>
      </c>
      <c r="G908" s="283">
        <f>VLOOKUP(D908,upahbahan,3,FALSE)</f>
        <v>100000</v>
      </c>
      <c r="H908" s="283">
        <f t="shared" ref="H908:H911" si="48">F908*G908</f>
        <v>19000</v>
      </c>
      <c r="I908" s="119"/>
      <c r="K908" s="119"/>
      <c r="L908" s="119"/>
      <c r="M908" s="1408"/>
      <c r="N908" s="475"/>
    </row>
    <row r="909" spans="3:14" s="59" customFormat="1" ht="25.8" customHeight="1">
      <c r="C909" s="876">
        <v>2</v>
      </c>
      <c r="D909" s="182" t="str">
        <f>D891</f>
        <v>Tukang pipa</v>
      </c>
      <c r="E909" s="176" t="s">
        <v>6</v>
      </c>
      <c r="F909" s="309">
        <v>0.318</v>
      </c>
      <c r="G909" s="283">
        <f>VLOOKUP(D909,upahbahan,3,FALSE)</f>
        <v>135000</v>
      </c>
      <c r="H909" s="283">
        <f t="shared" si="48"/>
        <v>42930</v>
      </c>
      <c r="I909" s="119"/>
      <c r="K909" s="119"/>
      <c r="L909" s="119"/>
      <c r="M909" s="1408"/>
      <c r="N909" s="475"/>
    </row>
    <row r="910" spans="3:14" s="59" customFormat="1" ht="25.8" customHeight="1">
      <c r="C910" s="876">
        <v>3</v>
      </c>
      <c r="D910" s="182" t="s">
        <v>18</v>
      </c>
      <c r="E910" s="176" t="s">
        <v>6</v>
      </c>
      <c r="F910" s="309">
        <v>3.2000000000000001E-2</v>
      </c>
      <c r="G910" s="283">
        <f>VLOOKUP(D910,upahbahan,3,FALSE)</f>
        <v>150000</v>
      </c>
      <c r="H910" s="283">
        <f t="shared" si="48"/>
        <v>4800</v>
      </c>
      <c r="I910" s="119"/>
      <c r="K910" s="119"/>
      <c r="L910" s="119"/>
      <c r="M910" s="1408"/>
      <c r="N910" s="475"/>
    </row>
    <row r="911" spans="3:14" s="59" customFormat="1" ht="25.8" customHeight="1">
      <c r="C911" s="876">
        <v>4</v>
      </c>
      <c r="D911" s="182" t="s">
        <v>19</v>
      </c>
      <c r="E911" s="176" t="s">
        <v>6</v>
      </c>
      <c r="F911" s="309">
        <v>1.0999999999999999E-2</v>
      </c>
      <c r="G911" s="283">
        <f>VLOOKUP(D911,upahbahan,3,FALSE)</f>
        <v>160000</v>
      </c>
      <c r="H911" s="283">
        <f t="shared" si="48"/>
        <v>1760</v>
      </c>
      <c r="I911" s="119"/>
      <c r="K911" s="119"/>
      <c r="L911" s="119"/>
      <c r="M911" s="1408"/>
      <c r="N911" s="475"/>
    </row>
    <row r="912" spans="3:14" s="59" customFormat="1" ht="25.8" customHeight="1">
      <c r="C912" s="450" t="s">
        <v>1208</v>
      </c>
      <c r="D912" s="67"/>
      <c r="E912" s="67"/>
      <c r="F912" s="142"/>
      <c r="G912" s="153"/>
      <c r="H912" s="283">
        <f>SUM(H908:H911)</f>
        <v>68490</v>
      </c>
      <c r="I912" s="319"/>
      <c r="K912" s="319"/>
      <c r="L912" s="319"/>
      <c r="M912" s="1408"/>
      <c r="N912" s="475"/>
    </row>
    <row r="913" spans="3:14" s="59" customFormat="1" ht="25.8" customHeight="1">
      <c r="C913" s="176" t="s">
        <v>1209</v>
      </c>
      <c r="D913" s="182" t="s">
        <v>1210</v>
      </c>
      <c r="E913" s="70"/>
      <c r="F913" s="70"/>
      <c r="G913" s="70"/>
      <c r="H913" s="70"/>
      <c r="I913" s="119"/>
      <c r="K913" s="119"/>
      <c r="L913" s="119"/>
      <c r="M913" s="1408"/>
      <c r="N913" s="475"/>
    </row>
    <row r="914" spans="3:14" s="59" customFormat="1" ht="25.8" customHeight="1">
      <c r="C914" s="869">
        <v>1</v>
      </c>
      <c r="D914" s="285" t="s">
        <v>8078</v>
      </c>
      <c r="E914" s="176" t="s">
        <v>113</v>
      </c>
      <c r="F914" s="282">
        <f>F896</f>
        <v>1.5</v>
      </c>
      <c r="G914" s="283">
        <f>VLOOKUP(D914,upahbahan,3,FALSE)</f>
        <v>91800</v>
      </c>
      <c r="H914" s="283">
        <f t="shared" ref="H914:H915" si="49">F914*G914</f>
        <v>137700</v>
      </c>
      <c r="I914" s="119"/>
      <c r="K914" s="119"/>
      <c r="L914" s="119"/>
      <c r="M914" s="1408"/>
      <c r="N914" s="475"/>
    </row>
    <row r="915" spans="3:14" s="59" customFormat="1" ht="25.8" customHeight="1">
      <c r="C915" s="869">
        <v>2</v>
      </c>
      <c r="D915" s="182" t="s">
        <v>3538</v>
      </c>
      <c r="E915" s="176" t="s">
        <v>113</v>
      </c>
      <c r="F915" s="870">
        <f>F897</f>
        <v>1.2</v>
      </c>
      <c r="G915" s="283">
        <f>VLOOKUP(D915,upahbahan,3,FALSE)</f>
        <v>1080</v>
      </c>
      <c r="H915" s="283">
        <f t="shared" si="49"/>
        <v>1296</v>
      </c>
      <c r="I915" s="119"/>
      <c r="K915" s="119"/>
      <c r="L915" s="119"/>
      <c r="M915" s="1408"/>
      <c r="N915" s="475"/>
    </row>
    <row r="916" spans="3:14" s="59" customFormat="1" ht="25.8" customHeight="1">
      <c r="C916" s="450" t="s">
        <v>1214</v>
      </c>
      <c r="D916" s="67"/>
      <c r="E916" s="67"/>
      <c r="F916" s="67"/>
      <c r="G916" s="69"/>
      <c r="H916" s="283">
        <f>SUM(H914:H915)</f>
        <v>138996</v>
      </c>
      <c r="I916" s="119"/>
      <c r="K916" s="119"/>
      <c r="L916" s="119"/>
      <c r="M916" s="1408"/>
      <c r="N916" s="475"/>
    </row>
    <row r="917" spans="3:14" s="59" customFormat="1" ht="25.8" customHeight="1">
      <c r="C917" s="176" t="s">
        <v>1215</v>
      </c>
      <c r="D917" s="182" t="s">
        <v>1216</v>
      </c>
      <c r="E917" s="70"/>
      <c r="F917" s="70"/>
      <c r="G917" s="70"/>
      <c r="H917" s="70"/>
      <c r="I917" s="119"/>
      <c r="K917" s="119"/>
      <c r="L917" s="119"/>
      <c r="M917" s="1408"/>
      <c r="N917" s="475"/>
    </row>
    <row r="918" spans="3:14" s="59" customFormat="1" ht="25.8" customHeight="1">
      <c r="C918" s="450" t="s">
        <v>1217</v>
      </c>
      <c r="D918" s="67"/>
      <c r="E918" s="67"/>
      <c r="F918" s="67"/>
      <c r="G918" s="69"/>
      <c r="H918" s="871">
        <v>0</v>
      </c>
      <c r="I918" s="119"/>
      <c r="K918" s="119"/>
      <c r="L918" s="119"/>
      <c r="M918" s="1408"/>
      <c r="N918" s="475"/>
    </row>
    <row r="919" spans="3:14" s="59" customFormat="1" ht="25.8" customHeight="1">
      <c r="C919" s="102" t="s">
        <v>1218</v>
      </c>
      <c r="D919" s="294" t="s">
        <v>1219</v>
      </c>
      <c r="E919" s="295"/>
      <c r="F919" s="295"/>
      <c r="G919" s="296"/>
      <c r="H919" s="872">
        <f>H918+H916+H912</f>
        <v>207486</v>
      </c>
      <c r="I919" s="873"/>
      <c r="K919" s="119"/>
      <c r="L919" s="119"/>
      <c r="M919" s="1408"/>
      <c r="N919" s="475"/>
    </row>
    <row r="920" spans="3:14" s="59" customFormat="1" ht="25.8" customHeight="1">
      <c r="C920" s="102" t="s">
        <v>1220</v>
      </c>
      <c r="D920" s="294" t="s">
        <v>1321</v>
      </c>
      <c r="E920" s="295"/>
      <c r="F920" s="296"/>
      <c r="G920" s="298">
        <f>$D$4</f>
        <v>0.1</v>
      </c>
      <c r="H920" s="283">
        <f>H919*G920</f>
        <v>20748.600000000002</v>
      </c>
      <c r="I920" s="873"/>
      <c r="K920" s="119"/>
      <c r="L920" s="119"/>
      <c r="M920" s="1408"/>
      <c r="N920" s="475"/>
    </row>
    <row r="921" spans="3:14" s="59" customFormat="1" ht="25.8" customHeight="1">
      <c r="C921" s="102" t="s">
        <v>1221</v>
      </c>
      <c r="D921" s="294" t="s">
        <v>1222</v>
      </c>
      <c r="E921" s="295"/>
      <c r="F921" s="295"/>
      <c r="G921" s="296"/>
      <c r="H921" s="874">
        <f>SUM(H919:H920)</f>
        <v>228234.6</v>
      </c>
      <c r="I921" s="873"/>
      <c r="K921" s="119"/>
      <c r="L921" s="119"/>
      <c r="M921" s="1408"/>
      <c r="N921" s="475"/>
    </row>
    <row r="922" spans="3:14">
      <c r="L922"/>
      <c r="M922" s="1406"/>
    </row>
    <row r="923" spans="3:14" s="59" customFormat="1" ht="22.8" customHeight="1">
      <c r="C923" s="45" t="s">
        <v>3748</v>
      </c>
      <c r="D923" s="794" t="s">
        <v>1581</v>
      </c>
      <c r="E923" s="797"/>
      <c r="F923" s="797"/>
      <c r="G923" s="797"/>
      <c r="H923" s="797"/>
      <c r="K923" s="50">
        <f>ROUNDDOWN(H938,-2)</f>
        <v>1819200</v>
      </c>
      <c r="L923" s="50"/>
      <c r="M923" s="1408"/>
      <c r="N923" s="475"/>
    </row>
    <row r="924" spans="3:14" s="59" customFormat="1" ht="22.8" customHeight="1">
      <c r="C924" s="591" t="s">
        <v>1195</v>
      </c>
      <c r="D924" s="591" t="s">
        <v>1196</v>
      </c>
      <c r="E924" s="591" t="s">
        <v>1197</v>
      </c>
      <c r="F924" s="591" t="s">
        <v>1198</v>
      </c>
      <c r="G924" s="591" t="s">
        <v>1199</v>
      </c>
      <c r="H924" s="591" t="s">
        <v>1200</v>
      </c>
      <c r="K924" s="44"/>
      <c r="L924" s="44"/>
      <c r="M924" s="1408"/>
      <c r="N924" s="475"/>
    </row>
    <row r="925" spans="3:14" s="59" customFormat="1" ht="22.8" customHeight="1">
      <c r="C925" s="577" t="s">
        <v>1201</v>
      </c>
      <c r="D925" s="56" t="s">
        <v>1202</v>
      </c>
      <c r="E925" s="93"/>
      <c r="F925" s="57"/>
      <c r="G925" s="57"/>
      <c r="H925" s="57"/>
      <c r="K925" s="44"/>
      <c r="L925" s="44"/>
      <c r="M925" s="1408"/>
      <c r="N925" s="475"/>
    </row>
    <row r="926" spans="3:14" s="59" customFormat="1" ht="22.8" customHeight="1">
      <c r="C926" s="798">
        <v>1</v>
      </c>
      <c r="D926" s="56" t="s">
        <v>5</v>
      </c>
      <c r="E926" s="61" t="s">
        <v>6</v>
      </c>
      <c r="F926" s="98">
        <v>0.129</v>
      </c>
      <c r="G926" s="63">
        <f>VLOOKUP(D926,upahbahan,3,FALSE)</f>
        <v>100000</v>
      </c>
      <c r="H926" s="63">
        <f t="shared" ref="H926:H929" si="50">F926*G926</f>
        <v>12900</v>
      </c>
      <c r="I926" s="44"/>
      <c r="K926" s="44"/>
      <c r="L926" s="44"/>
      <c r="M926" s="1408"/>
      <c r="N926" s="475"/>
    </row>
    <row r="927" spans="3:14" s="59" customFormat="1" ht="22.8" customHeight="1">
      <c r="C927" s="798">
        <v>2</v>
      </c>
      <c r="D927" s="56" t="str">
        <f>D910</f>
        <v>Kepala tukang</v>
      </c>
      <c r="E927" s="61" t="s">
        <v>6</v>
      </c>
      <c r="F927" s="98">
        <v>0.215</v>
      </c>
      <c r="G927" s="63">
        <f>VLOOKUP(D927,upahbahan,3,FALSE)</f>
        <v>150000</v>
      </c>
      <c r="H927" s="63">
        <f t="shared" si="50"/>
        <v>32250</v>
      </c>
      <c r="I927" s="44"/>
      <c r="K927" s="44"/>
      <c r="L927" s="44"/>
      <c r="M927" s="1408"/>
      <c r="N927" s="475"/>
    </row>
    <row r="928" spans="3:14" s="59" customFormat="1" ht="22.8" customHeight="1">
      <c r="C928" s="798">
        <v>3</v>
      </c>
      <c r="D928" s="56" t="s">
        <v>18</v>
      </c>
      <c r="E928" s="61" t="s">
        <v>6</v>
      </c>
      <c r="F928" s="98">
        <v>2.1000000000000001E-2</v>
      </c>
      <c r="G928" s="63">
        <f>VLOOKUP(D928,upahbahan,3,FALSE)</f>
        <v>150000</v>
      </c>
      <c r="H928" s="63">
        <f t="shared" si="50"/>
        <v>3150</v>
      </c>
      <c r="I928" s="44"/>
      <c r="K928" s="44"/>
      <c r="L928" s="44"/>
      <c r="M928" s="1408"/>
      <c r="N928" s="475"/>
    </row>
    <row r="929" spans="3:14" s="59" customFormat="1" ht="22.8" customHeight="1">
      <c r="C929" s="798">
        <v>4</v>
      </c>
      <c r="D929" s="56" t="s">
        <v>19</v>
      </c>
      <c r="E929" s="61" t="s">
        <v>6</v>
      </c>
      <c r="F929" s="98">
        <v>6.0000000000000001E-3</v>
      </c>
      <c r="G929" s="63">
        <f>VLOOKUP(D929,upahbahan,3,FALSE)</f>
        <v>160000</v>
      </c>
      <c r="H929" s="63">
        <f t="shared" si="50"/>
        <v>960</v>
      </c>
      <c r="I929" s="44"/>
      <c r="K929" s="44"/>
      <c r="L929" s="44"/>
      <c r="M929" s="1408"/>
      <c r="N929" s="475"/>
    </row>
    <row r="930" spans="3:14" s="59" customFormat="1" ht="22.8" customHeight="1">
      <c r="C930" s="450" t="s">
        <v>1208</v>
      </c>
      <c r="D930" s="67"/>
      <c r="E930" s="67"/>
      <c r="F930" s="142"/>
      <c r="G930" s="153"/>
      <c r="H930" s="63">
        <f>SUM(H926:H929)</f>
        <v>49260</v>
      </c>
      <c r="I930" s="154"/>
      <c r="K930" s="154"/>
      <c r="L930" s="154"/>
      <c r="M930" s="1408"/>
      <c r="N930" s="475"/>
    </row>
    <row r="931" spans="3:14" s="59" customFormat="1" ht="22.8" customHeight="1">
      <c r="C931" s="61" t="s">
        <v>1209</v>
      </c>
      <c r="D931" s="56" t="s">
        <v>1210</v>
      </c>
      <c r="E931" s="57"/>
      <c r="F931" s="57"/>
      <c r="G931" s="57"/>
      <c r="H931" s="57"/>
      <c r="I931" s="44"/>
      <c r="K931" s="44"/>
      <c r="L931" s="44"/>
      <c r="M931" s="1408"/>
      <c r="N931" s="475"/>
    </row>
    <row r="932" spans="3:14" s="59" customFormat="1" ht="22.8" customHeight="1">
      <c r="C932" s="588">
        <v>1</v>
      </c>
      <c r="D932" s="56" t="s">
        <v>734</v>
      </c>
      <c r="E932" s="61" t="s">
        <v>135</v>
      </c>
      <c r="F932" s="62">
        <v>1.02</v>
      </c>
      <c r="G932" s="63">
        <f>VLOOKUP(D932,upahbahan,3,FALSE)</f>
        <v>1573110</v>
      </c>
      <c r="H932" s="63">
        <f t="shared" ref="H932" si="51">F932*G932</f>
        <v>1604572.2</v>
      </c>
      <c r="I932" s="44"/>
      <c r="K932" s="44"/>
      <c r="L932" s="44"/>
      <c r="M932" s="1408"/>
      <c r="N932" s="475"/>
    </row>
    <row r="933" spans="3:14" s="59" customFormat="1" ht="22.8" customHeight="1">
      <c r="C933" s="450" t="s">
        <v>1214</v>
      </c>
      <c r="D933" s="67"/>
      <c r="E933" s="67"/>
      <c r="F933" s="67"/>
      <c r="G933" s="69"/>
      <c r="H933" s="63">
        <f>SUM(H932:H932)</f>
        <v>1604572.2</v>
      </c>
      <c r="I933" s="44"/>
      <c r="K933" s="44"/>
      <c r="L933" s="44"/>
      <c r="M933" s="1408"/>
      <c r="N933" s="475"/>
    </row>
    <row r="934" spans="3:14" s="59" customFormat="1" ht="22.8" customHeight="1">
      <c r="C934" s="61" t="s">
        <v>1215</v>
      </c>
      <c r="D934" s="56" t="s">
        <v>1216</v>
      </c>
      <c r="E934" s="57"/>
      <c r="F934" s="57"/>
      <c r="G934" s="57"/>
      <c r="H934" s="57"/>
      <c r="I934" s="44"/>
      <c r="K934" s="44"/>
      <c r="L934" s="44"/>
      <c r="M934" s="1408"/>
      <c r="N934" s="475"/>
    </row>
    <row r="935" spans="3:14" s="59" customFormat="1" ht="22.8" customHeight="1">
      <c r="C935" s="450" t="s">
        <v>1217</v>
      </c>
      <c r="D935" s="67"/>
      <c r="E935" s="67"/>
      <c r="F935" s="67"/>
      <c r="G935" s="69"/>
      <c r="H935" s="589">
        <v>0</v>
      </c>
      <c r="I935" s="44"/>
      <c r="K935" s="44"/>
      <c r="L935" s="44"/>
      <c r="M935" s="1408"/>
      <c r="N935" s="475"/>
    </row>
    <row r="936" spans="3:14" s="59" customFormat="1" ht="22.8" customHeight="1">
      <c r="C936" s="288" t="s">
        <v>1218</v>
      </c>
      <c r="D936" s="76" t="s">
        <v>1219</v>
      </c>
      <c r="E936" s="77"/>
      <c r="F936" s="77"/>
      <c r="G936" s="78"/>
      <c r="H936" s="585">
        <f>H935+H933+H930</f>
        <v>1653832.2</v>
      </c>
      <c r="I936" s="369"/>
      <c r="K936" s="44"/>
      <c r="L936" s="44"/>
      <c r="M936" s="1408"/>
      <c r="N936" s="475"/>
    </row>
    <row r="937" spans="3:14" s="59" customFormat="1" ht="22.8" customHeight="1">
      <c r="C937" s="288" t="s">
        <v>1220</v>
      </c>
      <c r="D937" s="76" t="s">
        <v>1402</v>
      </c>
      <c r="E937" s="77"/>
      <c r="F937" s="78"/>
      <c r="G937" s="298">
        <f>$D$4</f>
        <v>0.1</v>
      </c>
      <c r="H937" s="585">
        <f>H936*G937</f>
        <v>165383.22</v>
      </c>
      <c r="I937" s="369"/>
      <c r="K937" s="44"/>
      <c r="L937" s="44"/>
      <c r="M937" s="1408"/>
      <c r="N937" s="475"/>
    </row>
    <row r="938" spans="3:14" s="59" customFormat="1" ht="22.8" customHeight="1">
      <c r="C938" s="288" t="s">
        <v>1221</v>
      </c>
      <c r="D938" s="76" t="s">
        <v>1222</v>
      </c>
      <c r="E938" s="77"/>
      <c r="F938" s="77"/>
      <c r="G938" s="78"/>
      <c r="H938" s="799">
        <f>SUM(H936:H937)</f>
        <v>1819215.42</v>
      </c>
      <c r="I938" s="369"/>
      <c r="K938" s="44"/>
      <c r="L938" s="44"/>
      <c r="M938" s="1408"/>
      <c r="N938" s="475"/>
    </row>
    <row r="939" spans="3:14" s="59" customFormat="1" ht="22.8" customHeight="1">
      <c r="C939" s="54"/>
      <c r="D939" s="86"/>
      <c r="E939" s="86"/>
      <c r="F939" s="86"/>
      <c r="G939" s="86"/>
      <c r="H939" s="87"/>
      <c r="I939" s="44"/>
      <c r="K939" s="44"/>
      <c r="L939" s="44"/>
      <c r="M939" s="1408"/>
      <c r="N939" s="475"/>
    </row>
    <row r="940" spans="3:14" s="59" customFormat="1" ht="22.8" customHeight="1">
      <c r="C940" s="45" t="s">
        <v>3749</v>
      </c>
      <c r="D940" s="794" t="s">
        <v>1582</v>
      </c>
      <c r="E940" s="797"/>
      <c r="F940" s="797"/>
      <c r="G940" s="797"/>
      <c r="H940" s="797"/>
      <c r="K940" s="50">
        <f>ROUNDDOWN(H955,-2)</f>
        <v>3982400</v>
      </c>
      <c r="L940" s="50"/>
      <c r="M940" s="1408"/>
      <c r="N940" s="475"/>
    </row>
    <row r="941" spans="3:14" s="59" customFormat="1" ht="22.8" customHeight="1">
      <c r="C941" s="591" t="s">
        <v>1195</v>
      </c>
      <c r="D941" s="591" t="s">
        <v>1196</v>
      </c>
      <c r="E941" s="591" t="s">
        <v>1197</v>
      </c>
      <c r="F941" s="591" t="s">
        <v>1198</v>
      </c>
      <c r="G941" s="591" t="s">
        <v>1199</v>
      </c>
      <c r="H941" s="591" t="s">
        <v>1200</v>
      </c>
      <c r="K941" s="44"/>
      <c r="L941" s="44"/>
      <c r="M941" s="1408"/>
      <c r="N941" s="475"/>
    </row>
    <row r="942" spans="3:14" s="59" customFormat="1" ht="22.8" customHeight="1">
      <c r="C942" s="577" t="s">
        <v>1201</v>
      </c>
      <c r="D942" s="56" t="s">
        <v>1202</v>
      </c>
      <c r="E942" s="93"/>
      <c r="F942" s="57"/>
      <c r="G942" s="57"/>
      <c r="H942" s="57"/>
      <c r="K942" s="44"/>
      <c r="L942" s="44"/>
      <c r="M942" s="1408"/>
      <c r="N942" s="475"/>
    </row>
    <row r="943" spans="3:14" s="59" customFormat="1" ht="22.8" customHeight="1">
      <c r="C943" s="798">
        <v>1</v>
      </c>
      <c r="D943" s="56" t="s">
        <v>5</v>
      </c>
      <c r="E943" s="61" t="s">
        <v>6</v>
      </c>
      <c r="F943" s="62">
        <v>0.41699999999999998</v>
      </c>
      <c r="G943" s="63">
        <f>VLOOKUP(D943,upahbahan,3,FALSE)</f>
        <v>100000</v>
      </c>
      <c r="H943" s="63">
        <f t="shared" ref="H943:H946" si="52">F943*G943</f>
        <v>41700</v>
      </c>
      <c r="K943" s="44"/>
      <c r="L943" s="44"/>
      <c r="M943" s="1408"/>
      <c r="N943" s="475"/>
    </row>
    <row r="944" spans="3:14" s="59" customFormat="1" ht="22.8" customHeight="1">
      <c r="C944" s="798">
        <v>2</v>
      </c>
      <c r="D944" s="56" t="str">
        <f>D927</f>
        <v>Kepala tukang</v>
      </c>
      <c r="E944" s="61" t="s">
        <v>6</v>
      </c>
      <c r="F944" s="62">
        <v>0.69599999999999995</v>
      </c>
      <c r="G944" s="63">
        <f>VLOOKUP(D944,upahbahan,3,FALSE)</f>
        <v>150000</v>
      </c>
      <c r="H944" s="63">
        <f t="shared" si="52"/>
        <v>104400</v>
      </c>
      <c r="K944" s="44"/>
      <c r="L944" s="44"/>
      <c r="M944" s="1408"/>
      <c r="N944" s="475"/>
    </row>
    <row r="945" spans="3:14" s="59" customFormat="1" ht="22.8" customHeight="1">
      <c r="C945" s="798">
        <v>3</v>
      </c>
      <c r="D945" s="56" t="s">
        <v>18</v>
      </c>
      <c r="E945" s="61" t="s">
        <v>6</v>
      </c>
      <c r="F945" s="62">
        <v>7.0000000000000007E-2</v>
      </c>
      <c r="G945" s="63">
        <f>VLOOKUP(D945,upahbahan,3,FALSE)</f>
        <v>150000</v>
      </c>
      <c r="H945" s="63">
        <f t="shared" si="52"/>
        <v>10500.000000000002</v>
      </c>
      <c r="K945" s="44"/>
      <c r="L945" s="44"/>
      <c r="M945" s="1408"/>
      <c r="N945" s="475"/>
    </row>
    <row r="946" spans="3:14" s="59" customFormat="1" ht="22.8" customHeight="1">
      <c r="C946" s="798">
        <v>4</v>
      </c>
      <c r="D946" s="56" t="s">
        <v>19</v>
      </c>
      <c r="E946" s="61" t="s">
        <v>6</v>
      </c>
      <c r="F946" s="62">
        <v>2.1000000000000001E-2</v>
      </c>
      <c r="G946" s="63">
        <f>VLOOKUP(D946,upahbahan,3,FALSE)</f>
        <v>160000</v>
      </c>
      <c r="H946" s="63">
        <f t="shared" si="52"/>
        <v>3360</v>
      </c>
      <c r="K946" s="44"/>
      <c r="L946" s="44"/>
      <c r="M946" s="1408"/>
      <c r="N946" s="475"/>
    </row>
    <row r="947" spans="3:14" s="59" customFormat="1" ht="22.8" customHeight="1">
      <c r="C947" s="450" t="s">
        <v>1208</v>
      </c>
      <c r="D947" s="67"/>
      <c r="E947" s="67"/>
      <c r="F947" s="142"/>
      <c r="G947" s="153"/>
      <c r="H947" s="63">
        <f>SUM(H943:H946)</f>
        <v>159960</v>
      </c>
      <c r="K947" s="154"/>
      <c r="L947" s="154"/>
      <c r="M947" s="1408"/>
      <c r="N947" s="475"/>
    </row>
    <row r="948" spans="3:14" s="59" customFormat="1" ht="22.8" customHeight="1">
      <c r="C948" s="61" t="s">
        <v>1209</v>
      </c>
      <c r="D948" s="56" t="s">
        <v>1210</v>
      </c>
      <c r="E948" s="57"/>
      <c r="F948" s="57"/>
      <c r="G948" s="57"/>
      <c r="H948" s="57"/>
      <c r="K948" s="44"/>
      <c r="L948" s="44"/>
      <c r="M948" s="1408"/>
      <c r="N948" s="475"/>
    </row>
    <row r="949" spans="3:14" s="59" customFormat="1" ht="22.8" customHeight="1">
      <c r="C949" s="588">
        <v>1</v>
      </c>
      <c r="D949" s="56" t="s">
        <v>735</v>
      </c>
      <c r="E949" s="61" t="s">
        <v>135</v>
      </c>
      <c r="F949" s="62">
        <v>1.05</v>
      </c>
      <c r="G949" s="63">
        <f>VLOOKUP(D949,upahbahan,3,FALSE)</f>
        <v>3295701</v>
      </c>
      <c r="H949" s="63">
        <f t="shared" ref="H949" si="53">F949*G949</f>
        <v>3460486.0500000003</v>
      </c>
      <c r="K949" s="44"/>
      <c r="L949" s="44"/>
      <c r="M949" s="1408"/>
      <c r="N949" s="475"/>
    </row>
    <row r="950" spans="3:14" s="59" customFormat="1" ht="22.8" customHeight="1">
      <c r="C950" s="450" t="s">
        <v>1214</v>
      </c>
      <c r="D950" s="67"/>
      <c r="E950" s="67"/>
      <c r="F950" s="67"/>
      <c r="G950" s="69"/>
      <c r="H950" s="63">
        <f>SUM(H949:H949)</f>
        <v>3460486.0500000003</v>
      </c>
      <c r="K950" s="44"/>
      <c r="L950" s="44"/>
      <c r="M950" s="1408"/>
      <c r="N950" s="475"/>
    </row>
    <row r="951" spans="3:14" s="59" customFormat="1" ht="22.8" customHeight="1">
      <c r="C951" s="61" t="s">
        <v>1215</v>
      </c>
      <c r="D951" s="56" t="s">
        <v>1216</v>
      </c>
      <c r="E951" s="57"/>
      <c r="F951" s="57"/>
      <c r="G951" s="57"/>
      <c r="H951" s="57"/>
      <c r="K951" s="44"/>
      <c r="L951" s="44"/>
      <c r="M951" s="1408"/>
      <c r="N951" s="475"/>
    </row>
    <row r="952" spans="3:14" s="59" customFormat="1" ht="22.8" customHeight="1">
      <c r="C952" s="450" t="s">
        <v>1217</v>
      </c>
      <c r="D952" s="67"/>
      <c r="E952" s="67"/>
      <c r="F952" s="67"/>
      <c r="G952" s="69"/>
      <c r="H952" s="589">
        <v>0</v>
      </c>
      <c r="K952" s="44"/>
      <c r="L952" s="44"/>
      <c r="M952" s="1408"/>
      <c r="N952" s="475"/>
    </row>
    <row r="953" spans="3:14" s="59" customFormat="1" ht="22.8" customHeight="1">
      <c r="C953" s="288" t="s">
        <v>1218</v>
      </c>
      <c r="D953" s="76" t="s">
        <v>1219</v>
      </c>
      <c r="E953" s="77"/>
      <c r="F953" s="77"/>
      <c r="G953" s="78"/>
      <c r="H953" s="585">
        <f>H952+H950+H947</f>
        <v>3620446.0500000003</v>
      </c>
      <c r="K953" s="369"/>
      <c r="L953" s="44"/>
      <c r="M953" s="1408"/>
      <c r="N953" s="475"/>
    </row>
    <row r="954" spans="3:14" s="59" customFormat="1" ht="22.8" customHeight="1">
      <c r="C954" s="288" t="s">
        <v>1220</v>
      </c>
      <c r="D954" s="76" t="s">
        <v>1402</v>
      </c>
      <c r="E954" s="77"/>
      <c r="F954" s="78"/>
      <c r="G954" s="298">
        <f>$D$4</f>
        <v>0.1</v>
      </c>
      <c r="H954" s="585">
        <f>H953*G954</f>
        <v>362044.60500000004</v>
      </c>
      <c r="K954" s="369"/>
      <c r="L954" s="44"/>
      <c r="M954" s="1408"/>
      <c r="N954" s="475"/>
    </row>
    <row r="955" spans="3:14" s="59" customFormat="1" ht="22.8" customHeight="1">
      <c r="C955" s="288" t="s">
        <v>1221</v>
      </c>
      <c r="D955" s="76" t="s">
        <v>1222</v>
      </c>
      <c r="E955" s="77"/>
      <c r="F955" s="77"/>
      <c r="G955" s="78"/>
      <c r="H955" s="799">
        <f>SUM(H953:H954)</f>
        <v>3982490.6550000003</v>
      </c>
      <c r="K955" s="369"/>
      <c r="L955" s="44"/>
      <c r="M955" s="1408"/>
      <c r="N955" s="475"/>
    </row>
    <row r="956" spans="3:14">
      <c r="L956"/>
      <c r="M956" s="1406"/>
    </row>
    <row r="957" spans="3:14" s="59" customFormat="1" ht="22.8" customHeight="1">
      <c r="C957" s="45" t="s">
        <v>8088</v>
      </c>
      <c r="D957" s="794" t="s">
        <v>3760</v>
      </c>
      <c r="E957" s="797"/>
      <c r="F957" s="797"/>
      <c r="G957" s="797"/>
      <c r="H957" s="797"/>
      <c r="K957" s="50">
        <f>ROUNDDOWN(H972,-2)</f>
        <v>783400</v>
      </c>
      <c r="L957" s="50"/>
      <c r="M957" s="1408"/>
      <c r="N957" s="475"/>
    </row>
    <row r="958" spans="3:14" s="59" customFormat="1" ht="22.8" customHeight="1">
      <c r="C958" s="591" t="s">
        <v>1195</v>
      </c>
      <c r="D958" s="591" t="s">
        <v>1196</v>
      </c>
      <c r="E958" s="591" t="s">
        <v>1197</v>
      </c>
      <c r="F958" s="591" t="s">
        <v>1198</v>
      </c>
      <c r="G958" s="591" t="s">
        <v>1199</v>
      </c>
      <c r="H958" s="591" t="s">
        <v>1200</v>
      </c>
      <c r="K958" s="44"/>
      <c r="L958" s="44"/>
      <c r="M958" s="1408"/>
      <c r="N958" s="475"/>
    </row>
    <row r="959" spans="3:14" s="59" customFormat="1" ht="22.8" customHeight="1">
      <c r="C959" s="577" t="s">
        <v>1201</v>
      </c>
      <c r="D959" s="56" t="s">
        <v>1202</v>
      </c>
      <c r="E959" s="93"/>
      <c r="F959" s="57"/>
      <c r="G959" s="57"/>
      <c r="H959" s="57"/>
      <c r="K959" s="44"/>
      <c r="L959" s="44"/>
      <c r="M959" s="1408"/>
      <c r="N959" s="475"/>
    </row>
    <row r="960" spans="3:14" s="59" customFormat="1" ht="22.8" customHeight="1">
      <c r="C960" s="798">
        <v>1</v>
      </c>
      <c r="D960" s="56" t="s">
        <v>5</v>
      </c>
      <c r="E960" s="61" t="s">
        <v>6</v>
      </c>
      <c r="F960" s="98">
        <v>0.129</v>
      </c>
      <c r="G960" s="63">
        <f>VLOOKUP(D960,upahbahan,3,FALSE)</f>
        <v>100000</v>
      </c>
      <c r="H960" s="63">
        <f t="shared" ref="H960:H963" si="54">F960*G960</f>
        <v>12900</v>
      </c>
      <c r="K960" s="44"/>
      <c r="L960" s="44"/>
      <c r="M960" s="1408"/>
      <c r="N960" s="475"/>
    </row>
    <row r="961" spans="3:14" s="59" customFormat="1" ht="22.8" customHeight="1">
      <c r="C961" s="798">
        <v>2</v>
      </c>
      <c r="D961" s="56" t="str">
        <f>D910</f>
        <v>Kepala tukang</v>
      </c>
      <c r="E961" s="61" t="s">
        <v>6</v>
      </c>
      <c r="F961" s="98">
        <v>0.215</v>
      </c>
      <c r="G961" s="63">
        <f>VLOOKUP(D961,upahbahan,3,FALSE)</f>
        <v>150000</v>
      </c>
      <c r="H961" s="63">
        <f t="shared" si="54"/>
        <v>32250</v>
      </c>
      <c r="K961" s="44"/>
      <c r="L961" s="44"/>
      <c r="M961" s="1408"/>
      <c r="N961" s="475"/>
    </row>
    <row r="962" spans="3:14" s="59" customFormat="1" ht="22.8" customHeight="1">
      <c r="C962" s="798">
        <v>3</v>
      </c>
      <c r="D962" s="56" t="s">
        <v>18</v>
      </c>
      <c r="E962" s="61" t="s">
        <v>6</v>
      </c>
      <c r="F962" s="98">
        <v>2.1000000000000001E-2</v>
      </c>
      <c r="G962" s="63">
        <f>VLOOKUP(D962,upahbahan,3,FALSE)</f>
        <v>150000</v>
      </c>
      <c r="H962" s="63">
        <f t="shared" si="54"/>
        <v>3150</v>
      </c>
      <c r="K962" s="44"/>
      <c r="L962" s="44"/>
      <c r="M962" s="1408"/>
      <c r="N962" s="475"/>
    </row>
    <row r="963" spans="3:14" s="59" customFormat="1" ht="22.8" customHeight="1">
      <c r="C963" s="798">
        <v>4</v>
      </c>
      <c r="D963" s="56" t="s">
        <v>19</v>
      </c>
      <c r="E963" s="61" t="s">
        <v>6</v>
      </c>
      <c r="F963" s="98">
        <v>6.0000000000000001E-3</v>
      </c>
      <c r="G963" s="63">
        <f>VLOOKUP(D963,upahbahan,3,FALSE)</f>
        <v>160000</v>
      </c>
      <c r="H963" s="63">
        <f t="shared" si="54"/>
        <v>960</v>
      </c>
      <c r="K963" s="44"/>
      <c r="L963" s="44"/>
      <c r="M963" s="1408"/>
      <c r="N963" s="475"/>
    </row>
    <row r="964" spans="3:14" s="59" customFormat="1" ht="22.8" customHeight="1">
      <c r="C964" s="450" t="s">
        <v>1208</v>
      </c>
      <c r="D964" s="67"/>
      <c r="E964" s="67"/>
      <c r="F964" s="142"/>
      <c r="G964" s="153"/>
      <c r="H964" s="63">
        <f>SUM(H960:H963)</f>
        <v>49260</v>
      </c>
      <c r="K964" s="154"/>
      <c r="L964" s="154"/>
      <c r="M964" s="1408"/>
      <c r="N964" s="475"/>
    </row>
    <row r="965" spans="3:14" s="59" customFormat="1" ht="22.8" customHeight="1">
      <c r="C965" s="61" t="s">
        <v>1209</v>
      </c>
      <c r="D965" s="56" t="s">
        <v>1210</v>
      </c>
      <c r="E965" s="57"/>
      <c r="F965" s="57"/>
      <c r="G965" s="57"/>
      <c r="H965" s="57"/>
      <c r="K965" s="44"/>
      <c r="L965" s="44"/>
      <c r="M965" s="1408"/>
      <c r="N965" s="475"/>
    </row>
    <row r="966" spans="3:14" s="59" customFormat="1" ht="22.8" customHeight="1">
      <c r="C966" s="588">
        <v>1</v>
      </c>
      <c r="D966" s="56" t="s">
        <v>3761</v>
      </c>
      <c r="E966" s="61" t="s">
        <v>135</v>
      </c>
      <c r="F966" s="62">
        <v>1.02</v>
      </c>
      <c r="G966" s="63">
        <f>VLOOKUP(D966,upahbahan,3,FALSE)</f>
        <v>650000</v>
      </c>
      <c r="H966" s="63">
        <f t="shared" ref="H966" si="55">F966*G966</f>
        <v>663000</v>
      </c>
      <c r="K966" s="44"/>
      <c r="L966" s="44"/>
      <c r="M966" s="1408"/>
      <c r="N966" s="475"/>
    </row>
    <row r="967" spans="3:14" s="59" customFormat="1" ht="22.8" customHeight="1">
      <c r="C967" s="450" t="s">
        <v>1214</v>
      </c>
      <c r="D967" s="67"/>
      <c r="E967" s="67"/>
      <c r="F967" s="67"/>
      <c r="G967" s="69"/>
      <c r="H967" s="63">
        <f>SUM(H966:H966)</f>
        <v>663000</v>
      </c>
      <c r="K967" s="44"/>
      <c r="L967" s="44"/>
      <c r="M967" s="1408"/>
      <c r="N967" s="475"/>
    </row>
    <row r="968" spans="3:14" s="59" customFormat="1" ht="22.8" customHeight="1">
      <c r="C968" s="61" t="s">
        <v>1215</v>
      </c>
      <c r="D968" s="56" t="s">
        <v>1216</v>
      </c>
      <c r="E968" s="57"/>
      <c r="F968" s="57"/>
      <c r="G968" s="57"/>
      <c r="H968" s="57"/>
      <c r="K968" s="44"/>
      <c r="L968" s="44"/>
      <c r="M968" s="1408"/>
      <c r="N968" s="475"/>
    </row>
    <row r="969" spans="3:14" s="59" customFormat="1" ht="22.8" customHeight="1">
      <c r="C969" s="450" t="s">
        <v>1217</v>
      </c>
      <c r="D969" s="67"/>
      <c r="E969" s="67"/>
      <c r="F969" s="67"/>
      <c r="G969" s="69"/>
      <c r="H969" s="589">
        <v>0</v>
      </c>
      <c r="K969" s="44"/>
      <c r="L969" s="44"/>
      <c r="M969" s="1408"/>
      <c r="N969" s="475"/>
    </row>
    <row r="970" spans="3:14" s="59" customFormat="1" ht="22.8" customHeight="1">
      <c r="C970" s="288" t="s">
        <v>1218</v>
      </c>
      <c r="D970" s="76" t="s">
        <v>1219</v>
      </c>
      <c r="E970" s="77"/>
      <c r="F970" s="77"/>
      <c r="G970" s="78"/>
      <c r="H970" s="585">
        <f>H969+H967+H964</f>
        <v>712260</v>
      </c>
      <c r="K970" s="369"/>
      <c r="L970" s="44"/>
      <c r="M970" s="1408"/>
      <c r="N970" s="475"/>
    </row>
    <row r="971" spans="3:14" s="59" customFormat="1" ht="22.8" customHeight="1">
      <c r="C971" s="288" t="s">
        <v>1220</v>
      </c>
      <c r="D971" s="76" t="s">
        <v>1402</v>
      </c>
      <c r="E971" s="77"/>
      <c r="F971" s="78"/>
      <c r="G971" s="298">
        <f>$D$4</f>
        <v>0.1</v>
      </c>
      <c r="H971" s="585">
        <f>H970*G971</f>
        <v>71226</v>
      </c>
      <c r="K971" s="369"/>
      <c r="L971" s="44"/>
      <c r="M971" s="1408"/>
      <c r="N971" s="475"/>
    </row>
    <row r="972" spans="3:14" s="59" customFormat="1" ht="22.8" customHeight="1">
      <c r="C972" s="288" t="s">
        <v>1221</v>
      </c>
      <c r="D972" s="76" t="s">
        <v>1222</v>
      </c>
      <c r="E972" s="77"/>
      <c r="F972" s="77"/>
      <c r="G972" s="78"/>
      <c r="H972" s="799">
        <f>SUM(H970:H971)</f>
        <v>783486</v>
      </c>
      <c r="K972" s="369"/>
      <c r="L972" s="44"/>
      <c r="M972" s="1408"/>
      <c r="N972" s="475"/>
    </row>
    <row r="973" spans="3:14">
      <c r="L973"/>
      <c r="M973" s="1406"/>
    </row>
    <row r="974" spans="3:14" s="59" customFormat="1" ht="22.8" customHeight="1">
      <c r="C974" s="45" t="s">
        <v>3767</v>
      </c>
      <c r="D974" s="794" t="s">
        <v>1592</v>
      </c>
      <c r="E974" s="797"/>
      <c r="F974" s="797"/>
      <c r="G974" s="797"/>
      <c r="H974" s="797"/>
      <c r="K974" s="50">
        <f>ROUNDDOWN(H989,-2)</f>
        <v>2227500</v>
      </c>
      <c r="L974" s="50"/>
      <c r="M974" s="1408"/>
      <c r="N974" s="475"/>
    </row>
    <row r="975" spans="3:14" s="59" customFormat="1" ht="22.8" customHeight="1">
      <c r="C975" s="591" t="s">
        <v>1195</v>
      </c>
      <c r="D975" s="591" t="s">
        <v>1196</v>
      </c>
      <c r="E975" s="591" t="s">
        <v>1197</v>
      </c>
      <c r="F975" s="591" t="s">
        <v>1198</v>
      </c>
      <c r="G975" s="591" t="s">
        <v>1199</v>
      </c>
      <c r="H975" s="591" t="s">
        <v>1200</v>
      </c>
      <c r="K975" s="44"/>
      <c r="L975" s="44"/>
      <c r="M975" s="1408"/>
      <c r="N975" s="475"/>
    </row>
    <row r="976" spans="3:14" s="59" customFormat="1" ht="22.8" customHeight="1">
      <c r="C976" s="577" t="s">
        <v>1201</v>
      </c>
      <c r="D976" s="56" t="s">
        <v>1202</v>
      </c>
      <c r="E976" s="57"/>
      <c r="F976" s="57"/>
      <c r="G976" s="57"/>
      <c r="H976" s="57"/>
      <c r="K976" s="44"/>
      <c r="L976" s="44"/>
      <c r="M976" s="1408"/>
      <c r="N976" s="475"/>
    </row>
    <row r="977" spans="3:14" s="59" customFormat="1" ht="22.8" customHeight="1">
      <c r="C977" s="798">
        <v>1</v>
      </c>
      <c r="D977" s="56" t="s">
        <v>5</v>
      </c>
      <c r="E977" s="577" t="s">
        <v>6</v>
      </c>
      <c r="F977" s="98">
        <v>0.76300000000000001</v>
      </c>
      <c r="G977" s="63">
        <f>VLOOKUP(D977,upahbahan,3,FALSE)</f>
        <v>100000</v>
      </c>
      <c r="H977" s="63">
        <f t="shared" ref="H977:H980" si="56">F977*G977</f>
        <v>76300</v>
      </c>
      <c r="K977" s="44"/>
      <c r="L977" s="44"/>
      <c r="M977" s="1408"/>
      <c r="N977" s="475"/>
    </row>
    <row r="978" spans="3:14" s="59" customFormat="1" ht="22.8" customHeight="1">
      <c r="C978" s="798">
        <v>2</v>
      </c>
      <c r="D978" s="56" t="str">
        <f>D961</f>
        <v>Kepala tukang</v>
      </c>
      <c r="E978" s="577" t="s">
        <v>6</v>
      </c>
      <c r="F978" s="98">
        <v>1.274</v>
      </c>
      <c r="G978" s="63">
        <f>VLOOKUP(D978,upahbahan,3,FALSE)</f>
        <v>150000</v>
      </c>
      <c r="H978" s="63">
        <f t="shared" si="56"/>
        <v>191100</v>
      </c>
      <c r="K978" s="44"/>
      <c r="L978" s="44"/>
      <c r="M978" s="1408"/>
      <c r="N978" s="475"/>
    </row>
    <row r="979" spans="3:14" s="59" customFormat="1" ht="22.8" customHeight="1">
      <c r="C979" s="798">
        <v>3</v>
      </c>
      <c r="D979" s="56" t="s">
        <v>18</v>
      </c>
      <c r="E979" s="577" t="s">
        <v>6</v>
      </c>
      <c r="F979" s="98">
        <v>0.127</v>
      </c>
      <c r="G979" s="63">
        <f>VLOOKUP(D979,upahbahan,3,FALSE)</f>
        <v>150000</v>
      </c>
      <c r="H979" s="63">
        <f t="shared" si="56"/>
        <v>19050</v>
      </c>
      <c r="K979" s="44"/>
      <c r="L979" s="44"/>
      <c r="M979" s="1408"/>
      <c r="N979" s="475"/>
    </row>
    <row r="980" spans="3:14" s="59" customFormat="1" ht="22.8" customHeight="1">
      <c r="C980" s="798">
        <v>4</v>
      </c>
      <c r="D980" s="56" t="s">
        <v>19</v>
      </c>
      <c r="E980" s="577" t="s">
        <v>6</v>
      </c>
      <c r="F980" s="98">
        <v>3.7999999999999999E-2</v>
      </c>
      <c r="G980" s="63">
        <f>VLOOKUP(D980,upahbahan,3,FALSE)</f>
        <v>160000</v>
      </c>
      <c r="H980" s="63">
        <f t="shared" si="56"/>
        <v>6080</v>
      </c>
      <c r="K980" s="44"/>
      <c r="L980" s="44"/>
      <c r="M980" s="1408"/>
      <c r="N980" s="475"/>
    </row>
    <row r="981" spans="3:14" s="59" customFormat="1" ht="22.8" customHeight="1">
      <c r="C981" s="450" t="s">
        <v>1208</v>
      </c>
      <c r="D981" s="67"/>
      <c r="E981" s="67"/>
      <c r="F981" s="142"/>
      <c r="G981" s="153"/>
      <c r="H981" s="63">
        <f>SUM(H977:H980)</f>
        <v>292530</v>
      </c>
      <c r="K981" s="154"/>
      <c r="L981" s="154"/>
      <c r="M981" s="1408"/>
      <c r="N981" s="475"/>
    </row>
    <row r="982" spans="3:14" s="59" customFormat="1" ht="22.8" customHeight="1">
      <c r="C982" s="577" t="s">
        <v>1209</v>
      </c>
      <c r="D982" s="56" t="s">
        <v>1210</v>
      </c>
      <c r="E982" s="57"/>
      <c r="F982" s="57"/>
      <c r="G982" s="57"/>
      <c r="H982" s="57"/>
      <c r="K982" s="44"/>
      <c r="L982" s="44"/>
      <c r="M982" s="1408"/>
      <c r="N982" s="475"/>
    </row>
    <row r="983" spans="3:14" s="59" customFormat="1" ht="22.8" customHeight="1">
      <c r="C983" s="798">
        <v>1</v>
      </c>
      <c r="D983" s="56" t="s">
        <v>699</v>
      </c>
      <c r="E983" s="73" t="s">
        <v>135</v>
      </c>
      <c r="F983" s="276">
        <v>1.1000000000000001</v>
      </c>
      <c r="G983" s="63">
        <f>VLOOKUP(D983,upahbahan,3,FALSE)</f>
        <v>1575000</v>
      </c>
      <c r="H983" s="63">
        <f t="shared" ref="H983" si="57">F983*G983</f>
        <v>1732500.0000000002</v>
      </c>
      <c r="K983" s="44"/>
      <c r="L983" s="44"/>
      <c r="M983" s="1408"/>
      <c r="N983" s="475"/>
    </row>
    <row r="984" spans="3:14" s="59" customFormat="1" ht="22.8" customHeight="1">
      <c r="C984" s="450" t="s">
        <v>1214</v>
      </c>
      <c r="D984" s="67"/>
      <c r="E984" s="67"/>
      <c r="F984" s="67"/>
      <c r="G984" s="69"/>
      <c r="H984" s="63">
        <f>SUM(H983:H983)</f>
        <v>1732500.0000000002</v>
      </c>
      <c r="K984" s="44"/>
      <c r="L984" s="44"/>
      <c r="M984" s="1408"/>
      <c r="N984" s="475"/>
    </row>
    <row r="985" spans="3:14" s="59" customFormat="1" ht="22.8" customHeight="1">
      <c r="C985" s="61" t="s">
        <v>1215</v>
      </c>
      <c r="D985" s="56" t="s">
        <v>1216</v>
      </c>
      <c r="E985" s="57"/>
      <c r="F985" s="57"/>
      <c r="G985" s="57"/>
      <c r="H985" s="57"/>
      <c r="K985" s="44"/>
      <c r="L985" s="44"/>
      <c r="M985" s="1408"/>
      <c r="N985" s="475"/>
    </row>
    <row r="986" spans="3:14" s="59" customFormat="1" ht="22.8" customHeight="1">
      <c r="C986" s="450" t="s">
        <v>1217</v>
      </c>
      <c r="D986" s="67"/>
      <c r="E986" s="67"/>
      <c r="F986" s="67"/>
      <c r="G986" s="69"/>
      <c r="H986" s="589">
        <v>0</v>
      </c>
      <c r="K986" s="44"/>
      <c r="L986" s="44"/>
      <c r="M986" s="1408"/>
      <c r="N986" s="475"/>
    </row>
    <row r="987" spans="3:14" s="59" customFormat="1" ht="22.8" customHeight="1">
      <c r="C987" s="288" t="s">
        <v>1218</v>
      </c>
      <c r="D987" s="76" t="s">
        <v>1219</v>
      </c>
      <c r="E987" s="77"/>
      <c r="F987" s="77"/>
      <c r="G987" s="78"/>
      <c r="H987" s="585">
        <f>H986+H984+H981</f>
        <v>2025030.0000000002</v>
      </c>
      <c r="K987" s="369"/>
      <c r="L987" s="44"/>
      <c r="M987" s="1408"/>
      <c r="N987" s="475"/>
    </row>
    <row r="988" spans="3:14" s="59" customFormat="1" ht="22.8" customHeight="1">
      <c r="C988" s="288" t="s">
        <v>1220</v>
      </c>
      <c r="D988" s="76" t="s">
        <v>1402</v>
      </c>
      <c r="E988" s="77"/>
      <c r="F988" s="78"/>
      <c r="G988" s="298">
        <f>$D$4</f>
        <v>0.1</v>
      </c>
      <c r="H988" s="585">
        <f>G988*H987</f>
        <v>202503.00000000003</v>
      </c>
      <c r="K988" s="369"/>
      <c r="L988" s="44"/>
      <c r="M988" s="1408"/>
      <c r="N988" s="475"/>
    </row>
    <row r="989" spans="3:14" s="59" customFormat="1" ht="22.8" customHeight="1">
      <c r="C989" s="288" t="s">
        <v>1221</v>
      </c>
      <c r="D989" s="76" t="s">
        <v>1222</v>
      </c>
      <c r="E989" s="77"/>
      <c r="F989" s="77"/>
      <c r="G989" s="78"/>
      <c r="H989" s="799">
        <f>SUM(H987:H988)</f>
        <v>2227533.0000000005</v>
      </c>
      <c r="K989" s="369"/>
      <c r="L989" s="44"/>
      <c r="M989" s="1408"/>
      <c r="N989" s="475"/>
    </row>
    <row r="990" spans="3:14" s="59" customFormat="1" ht="22.8" customHeight="1">
      <c r="C990" s="54"/>
      <c r="D990" s="86"/>
      <c r="E990" s="86"/>
      <c r="F990" s="86"/>
      <c r="G990" s="86"/>
      <c r="H990" s="87"/>
      <c r="K990" s="44"/>
      <c r="L990" s="44"/>
      <c r="M990" s="1408"/>
      <c r="N990" s="475"/>
    </row>
    <row r="991" spans="3:14" s="59" customFormat="1" ht="21.15" customHeight="1">
      <c r="C991" s="46" t="s">
        <v>4441</v>
      </c>
      <c r="D991" s="794" t="s">
        <v>4442</v>
      </c>
      <c r="E991" s="794"/>
      <c r="F991" s="794"/>
      <c r="G991" s="794"/>
      <c r="H991" s="794"/>
      <c r="K991" s="50">
        <f>ROUNDDOWN(H1013,-2)</f>
        <v>1330200</v>
      </c>
      <c r="M991" s="1408"/>
    </row>
    <row r="992" spans="3:14" s="59" customFormat="1" ht="33" customHeight="1">
      <c r="C992" s="591" t="s">
        <v>1195</v>
      </c>
      <c r="D992" s="591" t="s">
        <v>1196</v>
      </c>
      <c r="E992" s="591" t="s">
        <v>1197</v>
      </c>
      <c r="F992" s="591" t="s">
        <v>1198</v>
      </c>
      <c r="G992" s="591" t="s">
        <v>1199</v>
      </c>
      <c r="H992" s="591" t="s">
        <v>1200</v>
      </c>
      <c r="K992" s="44"/>
      <c r="M992" s="1408"/>
    </row>
    <row r="993" spans="3:14" s="59" customFormat="1" ht="24.6" customHeight="1">
      <c r="C993" s="61" t="s">
        <v>1201</v>
      </c>
      <c r="D993" s="56" t="s">
        <v>1202</v>
      </c>
      <c r="E993" s="57"/>
      <c r="F993" s="57"/>
      <c r="G993" s="57"/>
      <c r="H993" s="57"/>
      <c r="K993" s="44"/>
      <c r="M993" s="1408"/>
    </row>
    <row r="994" spans="3:14" s="59" customFormat="1" ht="24.6" customHeight="1">
      <c r="C994" s="588">
        <v>1</v>
      </c>
      <c r="D994" s="56" t="s">
        <v>5</v>
      </c>
      <c r="E994" s="577" t="s">
        <v>6</v>
      </c>
      <c r="F994" s="101">
        <v>1.05</v>
      </c>
      <c r="G994" s="63">
        <f>VLOOKUP(D994,upahbahan,3,FALSE)</f>
        <v>100000</v>
      </c>
      <c r="H994" s="63">
        <f>F994*G994</f>
        <v>105000</v>
      </c>
      <c r="K994" s="44"/>
      <c r="M994" s="1408"/>
      <c r="N994" s="65">
        <v>0.1</v>
      </c>
    </row>
    <row r="995" spans="3:14" s="59" customFormat="1" ht="24.6" customHeight="1">
      <c r="C995" s="588">
        <v>2</v>
      </c>
      <c r="D995" s="56" t="s">
        <v>7</v>
      </c>
      <c r="E995" s="577" t="s">
        <v>6</v>
      </c>
      <c r="F995" s="101">
        <v>0.26250000000000001</v>
      </c>
      <c r="G995" s="63">
        <f>VLOOKUP(D995,upahbahan,3,FALSE)</f>
        <v>135000</v>
      </c>
      <c r="H995" s="63">
        <f>F995*G995</f>
        <v>35437.5</v>
      </c>
      <c r="K995" s="44"/>
      <c r="M995" s="1408"/>
    </row>
    <row r="996" spans="3:14" s="59" customFormat="1" ht="24.6" customHeight="1">
      <c r="C996" s="588"/>
      <c r="D996" s="56" t="s">
        <v>1310</v>
      </c>
      <c r="E996" s="577" t="s">
        <v>2102</v>
      </c>
      <c r="F996" s="101">
        <v>2.63E-2</v>
      </c>
      <c r="G996" s="63">
        <f>VLOOKUP(D996,upahbahan,3,FALSE)</f>
        <v>150000</v>
      </c>
      <c r="H996" s="63">
        <f>F996*G996</f>
        <v>3945</v>
      </c>
      <c r="K996" s="44"/>
      <c r="M996" s="1408"/>
    </row>
    <row r="997" spans="3:14" s="59" customFormat="1" ht="24.6" customHeight="1">
      <c r="C997" s="588">
        <v>4</v>
      </c>
      <c r="D997" s="56" t="s">
        <v>19</v>
      </c>
      <c r="E997" s="577" t="s">
        <v>6</v>
      </c>
      <c r="F997" s="101">
        <v>0.105</v>
      </c>
      <c r="G997" s="63">
        <f>VLOOKUP(D997,upahbahan,3,FALSE)</f>
        <v>160000</v>
      </c>
      <c r="H997" s="63">
        <f>F997*G997</f>
        <v>16800</v>
      </c>
      <c r="K997" s="44"/>
      <c r="M997" s="1408"/>
    </row>
    <row r="998" spans="3:14" s="59" customFormat="1" ht="24.6" customHeight="1">
      <c r="C998" s="450" t="s">
        <v>1208</v>
      </c>
      <c r="D998" s="67"/>
      <c r="E998" s="67"/>
      <c r="F998" s="142"/>
      <c r="G998" s="153"/>
      <c r="H998" s="63">
        <f>SUM(H994:H997)</f>
        <v>161182.5</v>
      </c>
      <c r="K998" s="154"/>
      <c r="M998" s="1408"/>
    </row>
    <row r="999" spans="3:14" s="59" customFormat="1" ht="24.6" customHeight="1">
      <c r="C999" s="61" t="s">
        <v>1209</v>
      </c>
      <c r="D999" s="56" t="s">
        <v>1210</v>
      </c>
      <c r="E999" s="57"/>
      <c r="F999" s="57"/>
      <c r="G999" s="57"/>
      <c r="H999" s="57"/>
      <c r="K999" s="44"/>
      <c r="M999" s="1408"/>
    </row>
    <row r="1000" spans="3:14" s="59" customFormat="1" ht="24.6" customHeight="1">
      <c r="C1000" s="61">
        <v>1</v>
      </c>
      <c r="D1000" s="56" t="s">
        <v>1796</v>
      </c>
      <c r="E1000" s="93" t="s">
        <v>2426</v>
      </c>
      <c r="F1000" s="103">
        <v>279</v>
      </c>
      <c r="G1000" s="63">
        <f t="shared" ref="G1000:G1005" si="58">VLOOKUP(D1000,upahbahan,3,FALSE)</f>
        <v>1530</v>
      </c>
      <c r="H1000" s="63">
        <f t="shared" ref="H1000:H1005" si="59">F1000*G1000</f>
        <v>426870</v>
      </c>
      <c r="K1000" s="44"/>
      <c r="M1000" s="1408"/>
    </row>
    <row r="1001" spans="3:14" s="59" customFormat="1" ht="24.6" customHeight="1">
      <c r="C1001" s="61">
        <v>2</v>
      </c>
      <c r="D1001" s="56" t="s">
        <v>1797</v>
      </c>
      <c r="E1001" s="93" t="s">
        <v>1044</v>
      </c>
      <c r="F1001" s="103">
        <v>873</v>
      </c>
      <c r="G1001" s="63">
        <f t="shared" si="58"/>
        <v>221.78700000000001</v>
      </c>
      <c r="H1001" s="63">
        <f t="shared" si="59"/>
        <v>193620.05100000001</v>
      </c>
      <c r="K1001" s="44"/>
      <c r="M1001" s="1408"/>
    </row>
    <row r="1002" spans="3:14" s="59" customFormat="1" ht="24.6" customHeight="1">
      <c r="C1002" s="61">
        <v>3</v>
      </c>
      <c r="D1002" s="56" t="s">
        <v>4443</v>
      </c>
      <c r="E1002" s="93" t="s">
        <v>65</v>
      </c>
      <c r="F1002" s="103">
        <v>909</v>
      </c>
      <c r="G1002" s="63">
        <f t="shared" si="58"/>
        <v>226.47058823529412</v>
      </c>
      <c r="H1002" s="63">
        <f t="shared" si="59"/>
        <v>205861.76470588235</v>
      </c>
      <c r="K1002" s="44"/>
      <c r="M1002" s="1408"/>
    </row>
    <row r="1003" spans="3:14" s="59" customFormat="1" ht="24.6" customHeight="1">
      <c r="C1003" s="61">
        <v>4</v>
      </c>
      <c r="D1003" s="56" t="s">
        <v>960</v>
      </c>
      <c r="E1003" s="93" t="s">
        <v>529</v>
      </c>
      <c r="F1003" s="103">
        <v>195</v>
      </c>
      <c r="G1003" s="63">
        <f t="shared" si="58"/>
        <v>200</v>
      </c>
      <c r="H1003" s="63">
        <f t="shared" si="59"/>
        <v>39000</v>
      </c>
      <c r="K1003" s="44"/>
      <c r="M1003" s="1408"/>
    </row>
    <row r="1004" spans="3:14" s="59" customFormat="1" ht="24.6" customHeight="1">
      <c r="C1004" s="61">
        <v>5</v>
      </c>
      <c r="D1004" s="56" t="s">
        <v>1793</v>
      </c>
      <c r="E1004" s="93" t="s">
        <v>42</v>
      </c>
      <c r="F1004" s="103">
        <v>5.1299999999999998E-2</v>
      </c>
      <c r="G1004" s="63">
        <f>'Upah Bahan'!H152</f>
        <v>2250000</v>
      </c>
      <c r="H1004" s="63">
        <f t="shared" si="59"/>
        <v>115425</v>
      </c>
      <c r="K1004" s="44"/>
      <c r="M1004" s="1408"/>
    </row>
    <row r="1005" spans="3:14" s="59" customFormat="1" ht="24.6" customHeight="1">
      <c r="C1005" s="61">
        <v>6</v>
      </c>
      <c r="D1005" s="56" t="s">
        <v>261</v>
      </c>
      <c r="E1005" s="93" t="s">
        <v>2426</v>
      </c>
      <c r="F1005" s="103">
        <v>0.1237</v>
      </c>
      <c r="G1005" s="63">
        <f t="shared" si="58"/>
        <v>33901.875</v>
      </c>
      <c r="H1005" s="63">
        <f t="shared" si="59"/>
        <v>4193.6619375</v>
      </c>
      <c r="K1005" s="44"/>
      <c r="M1005" s="1408"/>
    </row>
    <row r="1006" spans="3:14" s="59" customFormat="1" ht="24.6" customHeight="1">
      <c r="C1006" s="450" t="s">
        <v>1214</v>
      </c>
      <c r="D1006" s="67"/>
      <c r="E1006" s="67"/>
      <c r="F1006" s="67"/>
      <c r="G1006" s="69"/>
      <c r="H1006" s="63">
        <f>SUM(H1000:H1005)</f>
        <v>984970.47764338239</v>
      </c>
      <c r="K1006" s="44"/>
      <c r="M1006" s="1408"/>
    </row>
    <row r="1007" spans="3:14" s="59" customFormat="1" ht="24.6" customHeight="1">
      <c r="C1007" s="61" t="s">
        <v>1215</v>
      </c>
      <c r="D1007" s="56" t="s">
        <v>1216</v>
      </c>
      <c r="E1007" s="57"/>
      <c r="F1007" s="57"/>
      <c r="G1007" s="57"/>
      <c r="H1007" s="57"/>
      <c r="K1007" s="44"/>
      <c r="M1007" s="1408"/>
    </row>
    <row r="1008" spans="3:14" s="59" customFormat="1" ht="24.6" customHeight="1">
      <c r="C1008" s="800">
        <v>1</v>
      </c>
      <c r="D1008" s="56" t="s">
        <v>1167</v>
      </c>
      <c r="E1008" s="93" t="s">
        <v>1974</v>
      </c>
      <c r="F1008" s="94">
        <v>0.14749999999999999</v>
      </c>
      <c r="G1008" s="63">
        <f>VLOOKUP(D1008,upahbahan,3,FALSE)</f>
        <v>300000</v>
      </c>
      <c r="H1008" s="881">
        <f>G1008*F1008</f>
        <v>44250</v>
      </c>
      <c r="K1008" s="44"/>
      <c r="M1008" s="1408"/>
    </row>
    <row r="1009" spans="3:14" s="59" customFormat="1" ht="24.6" customHeight="1">
      <c r="C1009" s="800">
        <v>2</v>
      </c>
      <c r="D1009" s="56" t="s">
        <v>4444</v>
      </c>
      <c r="E1009" s="93" t="s">
        <v>1974</v>
      </c>
      <c r="F1009" s="94">
        <v>0.75539999999999996</v>
      </c>
      <c r="G1009" s="63">
        <f>VLOOKUP(D1009,upahbahan,3,FALSE)</f>
        <v>25000</v>
      </c>
      <c r="H1009" s="881">
        <f>G1009*F1009</f>
        <v>18885</v>
      </c>
      <c r="K1009" s="44"/>
      <c r="M1009" s="1408"/>
    </row>
    <row r="1010" spans="3:14" s="59" customFormat="1" ht="24.6" customHeight="1">
      <c r="C1010" s="450" t="s">
        <v>1217</v>
      </c>
      <c r="D1010" s="67"/>
      <c r="E1010" s="67"/>
      <c r="F1010" s="67"/>
      <c r="G1010" s="69"/>
      <c r="H1010" s="882">
        <f>SUM(H1008:H1009)</f>
        <v>63135</v>
      </c>
      <c r="K1010" s="44"/>
      <c r="M1010" s="1408"/>
    </row>
    <row r="1011" spans="3:14" s="59" customFormat="1" ht="24.6" customHeight="1">
      <c r="C1011" s="288" t="s">
        <v>1218</v>
      </c>
      <c r="D1011" s="76" t="s">
        <v>1219</v>
      </c>
      <c r="E1011" s="77"/>
      <c r="F1011" s="77"/>
      <c r="G1011" s="78"/>
      <c r="H1011" s="585">
        <f>H1010+H1006+H998</f>
        <v>1209287.9776433823</v>
      </c>
      <c r="K1011" s="369"/>
      <c r="M1011" s="1408"/>
    </row>
    <row r="1012" spans="3:14" s="59" customFormat="1" ht="24.6" customHeight="1">
      <c r="C1012" s="288" t="s">
        <v>1220</v>
      </c>
      <c r="D1012" s="76" t="s">
        <v>1321</v>
      </c>
      <c r="E1012" s="77"/>
      <c r="F1012" s="78"/>
      <c r="G1012" s="298">
        <f>$D$4</f>
        <v>0.1</v>
      </c>
      <c r="H1012" s="63">
        <f>G1012*H1011</f>
        <v>120928.79776433823</v>
      </c>
      <c r="K1012" s="369"/>
      <c r="M1012" s="1408"/>
    </row>
    <row r="1013" spans="3:14" s="59" customFormat="1" ht="24.6" customHeight="1">
      <c r="C1013" s="288" t="s">
        <v>1221</v>
      </c>
      <c r="D1013" s="76" t="s">
        <v>1222</v>
      </c>
      <c r="E1013" s="77"/>
      <c r="F1013" s="77"/>
      <c r="G1013" s="78"/>
      <c r="H1013" s="799">
        <f>SUM(H1011:H1012)</f>
        <v>1330216.7754077206</v>
      </c>
      <c r="K1013" s="369"/>
      <c r="M1013" s="1408"/>
    </row>
    <row r="1014" spans="3:14" s="59" customFormat="1" ht="22.8" customHeight="1">
      <c r="C1014" s="54"/>
      <c r="D1014" s="86"/>
      <c r="E1014" s="86"/>
      <c r="F1014" s="86"/>
      <c r="G1014" s="86"/>
      <c r="H1014" s="87"/>
      <c r="I1014" s="44"/>
      <c r="K1014" s="44"/>
      <c r="L1014" s="44"/>
      <c r="M1014" s="1408"/>
      <c r="N1014" s="475"/>
    </row>
    <row r="1015" spans="3:14">
      <c r="D1015" s="1174" t="s">
        <v>8806</v>
      </c>
      <c r="L1015"/>
      <c r="M1015" s="1406"/>
    </row>
    <row r="1016" spans="3:14" s="59" customFormat="1" ht="21.6" customHeight="1" thickBot="1">
      <c r="C1016" s="259" t="s">
        <v>1810</v>
      </c>
      <c r="D1016" s="1073" t="s">
        <v>1956</v>
      </c>
      <c r="E1016" s="1070"/>
      <c r="F1016" s="1070"/>
      <c r="G1016" s="1070"/>
      <c r="H1016" s="1070"/>
      <c r="I1016" s="1070"/>
      <c r="K1016" s="120">
        <f>ROUNDDOWN(I1028,-2)</f>
        <v>89100</v>
      </c>
      <c r="L1016" s="59">
        <f>2.45*1.5*1.3</f>
        <v>4.7775000000000007</v>
      </c>
      <c r="M1016" s="1408">
        <f>K1016*L1016</f>
        <v>425675.25000000006</v>
      </c>
      <c r="N1016" s="1408">
        <f>M1016</f>
        <v>425675.25000000006</v>
      </c>
    </row>
    <row r="1017" spans="3:14" s="59" customFormat="1" ht="21.6" customHeight="1" thickTop="1">
      <c r="C1017" s="51" t="s">
        <v>1195</v>
      </c>
      <c r="D1017" s="52" t="s">
        <v>1196</v>
      </c>
      <c r="E1017" s="52"/>
      <c r="F1017" s="52" t="s">
        <v>1197</v>
      </c>
      <c r="G1017" s="52" t="s">
        <v>1198</v>
      </c>
      <c r="H1017" s="52" t="s">
        <v>1199</v>
      </c>
      <c r="I1017" s="53" t="s">
        <v>1200</v>
      </c>
      <c r="K1017" s="126"/>
      <c r="M1017" s="1408"/>
    </row>
    <row r="1018" spans="3:14" s="59" customFormat="1" ht="21.6" customHeight="1">
      <c r="C1018" s="290" t="s">
        <v>1201</v>
      </c>
      <c r="D1018" s="182" t="s">
        <v>1202</v>
      </c>
      <c r="E1018" s="182"/>
      <c r="F1018" s="70"/>
      <c r="G1018" s="70"/>
      <c r="H1018" s="70"/>
      <c r="I1018" s="71"/>
      <c r="K1018" s="119"/>
      <c r="M1018" s="1408"/>
    </row>
    <row r="1019" spans="3:14" s="59" customFormat="1" ht="21.6" customHeight="1">
      <c r="C1019" s="281">
        <v>1</v>
      </c>
      <c r="D1019" s="182" t="s">
        <v>5</v>
      </c>
      <c r="E1019" s="176" t="s">
        <v>1774</v>
      </c>
      <c r="F1019" s="176" t="s">
        <v>6</v>
      </c>
      <c r="G1019" s="282">
        <v>0.75</v>
      </c>
      <c r="H1019" s="283">
        <f>VLOOKUP(D1019,upahbahan,3,FALSE)</f>
        <v>100000</v>
      </c>
      <c r="I1019" s="284">
        <f>G1019*H1019</f>
        <v>75000</v>
      </c>
      <c r="K1019" s="119"/>
      <c r="M1019" s="1408"/>
    </row>
    <row r="1020" spans="3:14" s="59" customFormat="1" ht="21.6" customHeight="1">
      <c r="C1020" s="281">
        <v>2</v>
      </c>
      <c r="D1020" s="182" t="s">
        <v>19</v>
      </c>
      <c r="E1020" s="176" t="s">
        <v>1777</v>
      </c>
      <c r="F1020" s="176" t="s">
        <v>6</v>
      </c>
      <c r="G1020" s="282">
        <v>3.7999999999999999E-2</v>
      </c>
      <c r="H1020" s="283">
        <f>VLOOKUP(D1020,upahbahan,3,FALSE)</f>
        <v>160000</v>
      </c>
      <c r="I1020" s="284">
        <f>G1020*H1020</f>
        <v>6080</v>
      </c>
      <c r="K1020" s="119"/>
      <c r="M1020" s="1408"/>
    </row>
    <row r="1021" spans="3:14" s="59" customFormat="1" ht="21.6" customHeight="1">
      <c r="C1021" s="66" t="s">
        <v>1208</v>
      </c>
      <c r="D1021" s="263"/>
      <c r="E1021" s="263"/>
      <c r="F1021" s="263"/>
      <c r="G1021" s="263"/>
      <c r="H1021" s="264"/>
      <c r="I1021" s="284">
        <f>SUM(I1019:I1020)</f>
        <v>81080</v>
      </c>
      <c r="K1021" s="119"/>
      <c r="M1021" s="1408"/>
    </row>
    <row r="1022" spans="3:14" s="59" customFormat="1" ht="21.6" customHeight="1">
      <c r="C1022" s="290" t="s">
        <v>1209</v>
      </c>
      <c r="D1022" s="182" t="s">
        <v>1210</v>
      </c>
      <c r="E1022" s="182"/>
      <c r="F1022" s="70"/>
      <c r="G1022" s="70"/>
      <c r="H1022" s="70"/>
      <c r="I1022" s="71"/>
      <c r="K1022" s="119"/>
      <c r="M1022" s="1408"/>
    </row>
    <row r="1023" spans="3:14" s="59" customFormat="1" ht="21.6" customHeight="1">
      <c r="C1023" s="66" t="s">
        <v>1214</v>
      </c>
      <c r="D1023" s="67"/>
      <c r="E1023" s="67"/>
      <c r="F1023" s="67"/>
      <c r="G1023" s="67"/>
      <c r="H1023" s="69"/>
      <c r="I1023" s="292">
        <v>0</v>
      </c>
      <c r="K1023" s="119"/>
      <c r="M1023" s="1408"/>
    </row>
    <row r="1024" spans="3:14" s="59" customFormat="1" ht="21.6" customHeight="1">
      <c r="C1024" s="290" t="s">
        <v>1215</v>
      </c>
      <c r="D1024" s="182" t="s">
        <v>1216</v>
      </c>
      <c r="E1024" s="182"/>
      <c r="F1024" s="70"/>
      <c r="G1024" s="70"/>
      <c r="H1024" s="70"/>
      <c r="I1024" s="71"/>
      <c r="K1024" s="119"/>
      <c r="M1024" s="1408"/>
    </row>
    <row r="1025" spans="3:14" s="59" customFormat="1" ht="21.6" customHeight="1">
      <c r="C1025" s="66" t="s">
        <v>1217</v>
      </c>
      <c r="D1025" s="67"/>
      <c r="E1025" s="67"/>
      <c r="F1025" s="67"/>
      <c r="G1025" s="67"/>
      <c r="H1025" s="69"/>
      <c r="I1025" s="292">
        <v>0</v>
      </c>
      <c r="K1025" s="119"/>
      <c r="M1025" s="1408"/>
    </row>
    <row r="1026" spans="3:14" s="59" customFormat="1" ht="21.6" customHeight="1">
      <c r="C1026" s="293" t="s">
        <v>1218</v>
      </c>
      <c r="D1026" s="294" t="s">
        <v>1219</v>
      </c>
      <c r="E1026" s="295"/>
      <c r="F1026" s="295"/>
      <c r="G1026" s="295"/>
      <c r="H1026" s="296"/>
      <c r="I1026" s="284">
        <f>I1021+I1023+I1025</f>
        <v>81080</v>
      </c>
      <c r="K1026" s="119"/>
      <c r="M1026" s="1408"/>
    </row>
    <row r="1027" spans="3:14" s="59" customFormat="1" ht="21.6" customHeight="1">
      <c r="C1027" s="293" t="s">
        <v>1220</v>
      </c>
      <c r="D1027" s="294" t="s">
        <v>1249</v>
      </c>
      <c r="E1027" s="295"/>
      <c r="F1027" s="295"/>
      <c r="G1027" s="296"/>
      <c r="H1027" s="298">
        <f>$D$4</f>
        <v>0.1</v>
      </c>
      <c r="I1027" s="284">
        <f>I1026*H1027</f>
        <v>8108</v>
      </c>
      <c r="K1027" s="119"/>
      <c r="M1027" s="1408"/>
    </row>
    <row r="1028" spans="3:14" s="59" customFormat="1" ht="21.6" customHeight="1" thickBot="1">
      <c r="C1028" s="299" t="s">
        <v>1221</v>
      </c>
      <c r="D1028" s="300" t="s">
        <v>1222</v>
      </c>
      <c r="E1028" s="301"/>
      <c r="F1028" s="301"/>
      <c r="G1028" s="301"/>
      <c r="H1028" s="302"/>
      <c r="I1028" s="303">
        <f>SUM(I1026:I1027)</f>
        <v>89188</v>
      </c>
      <c r="K1028" s="119"/>
      <c r="M1028" s="1408"/>
    </row>
    <row r="1029" spans="3:14" ht="13.8" thickTop="1">
      <c r="D1029" s="1174"/>
      <c r="L1029"/>
      <c r="M1029" s="1406"/>
    </row>
    <row r="1030" spans="3:14" s="45" customFormat="1" ht="16.5" customHeight="1" thickBot="1">
      <c r="C1030" s="44" t="s">
        <v>2112</v>
      </c>
      <c r="D1030" s="171" t="s">
        <v>2118</v>
      </c>
      <c r="E1030" s="171"/>
      <c r="F1030" s="171"/>
      <c r="G1030" s="171"/>
      <c r="H1030" s="171"/>
      <c r="I1030" s="171"/>
      <c r="K1030" s="50">
        <f>ROUNDDOWN(I1042,-2)</f>
        <v>26700</v>
      </c>
      <c r="L1030" s="45">
        <f>L1016</f>
        <v>4.7775000000000007</v>
      </c>
      <c r="M1030" s="1408">
        <f>K1030*L1030</f>
        <v>127559.25000000001</v>
      </c>
      <c r="N1030" s="1412">
        <f>M1030</f>
        <v>127559.25000000001</v>
      </c>
    </row>
    <row r="1031" spans="3:14" s="174" customFormat="1" ht="28.2" thickTop="1">
      <c r="C1031" s="51" t="s">
        <v>1195</v>
      </c>
      <c r="D1031" s="52" t="s">
        <v>1196</v>
      </c>
      <c r="E1031" s="52" t="s">
        <v>1906</v>
      </c>
      <c r="F1031" s="52" t="s">
        <v>1197</v>
      </c>
      <c r="G1031" s="52" t="s">
        <v>1198</v>
      </c>
      <c r="H1031" s="52" t="s">
        <v>1199</v>
      </c>
      <c r="I1031" s="53" t="s">
        <v>1200</v>
      </c>
      <c r="K1031" s="173"/>
      <c r="M1031" s="1413"/>
    </row>
    <row r="1032" spans="3:14" s="45" customFormat="1" ht="14.25" customHeight="1">
      <c r="C1032" s="55" t="s">
        <v>1201</v>
      </c>
      <c r="D1032" s="56" t="s">
        <v>1202</v>
      </c>
      <c r="E1032" s="56"/>
      <c r="F1032" s="57"/>
      <c r="G1032" s="57"/>
      <c r="H1032" s="57"/>
      <c r="I1032" s="58"/>
      <c r="K1032" s="44"/>
      <c r="M1032" s="1412"/>
    </row>
    <row r="1033" spans="3:14" s="45" customFormat="1" ht="13.8">
      <c r="C1033" s="129">
        <v>1</v>
      </c>
      <c r="D1033" s="56" t="s">
        <v>5</v>
      </c>
      <c r="E1033" s="61" t="s">
        <v>1774</v>
      </c>
      <c r="F1033" s="93" t="s">
        <v>2102</v>
      </c>
      <c r="G1033" s="103">
        <v>0.22539999999999999</v>
      </c>
      <c r="H1033" s="63">
        <f>VLOOKUP(D1033,upahbahan,3,FALSE)</f>
        <v>100000</v>
      </c>
      <c r="I1033" s="175">
        <f>H1033*G1033</f>
        <v>22540</v>
      </c>
      <c r="K1033" s="44"/>
      <c r="M1033" s="1412"/>
    </row>
    <row r="1034" spans="3:14" s="45" customFormat="1" ht="13.8">
      <c r="C1034" s="129">
        <v>2</v>
      </c>
      <c r="D1034" s="56" t="s">
        <v>19</v>
      </c>
      <c r="E1034" s="61" t="s">
        <v>1777</v>
      </c>
      <c r="F1034" s="93" t="s">
        <v>2102</v>
      </c>
      <c r="G1034" s="103">
        <v>1.12E-2</v>
      </c>
      <c r="H1034" s="63">
        <f>VLOOKUP(D1034,upahbahan,3,FALSE)</f>
        <v>160000</v>
      </c>
      <c r="I1034" s="175">
        <f>H1034*G1034</f>
        <v>1792</v>
      </c>
      <c r="K1034" s="44"/>
      <c r="M1034" s="1412"/>
    </row>
    <row r="1035" spans="3:14" s="45" customFormat="1" ht="15.75" customHeight="1">
      <c r="C1035" s="66" t="s">
        <v>1208</v>
      </c>
      <c r="D1035" s="67"/>
      <c r="E1035" s="67"/>
      <c r="F1035" s="67"/>
      <c r="G1035" s="67"/>
      <c r="H1035" s="69"/>
      <c r="I1035" s="64">
        <f>SUM(I1033:I1034)</f>
        <v>24332</v>
      </c>
      <c r="K1035" s="44"/>
      <c r="M1035" s="1412"/>
    </row>
    <row r="1036" spans="3:14" s="45" customFormat="1" ht="13.8">
      <c r="C1036" s="55" t="s">
        <v>1209</v>
      </c>
      <c r="D1036" s="56" t="s">
        <v>1210</v>
      </c>
      <c r="E1036" s="56"/>
      <c r="F1036" s="57"/>
      <c r="G1036" s="57"/>
      <c r="H1036" s="57"/>
      <c r="I1036" s="58"/>
      <c r="K1036" s="44"/>
      <c r="M1036" s="1412"/>
    </row>
    <row r="1037" spans="3:14" s="45" customFormat="1" ht="15.75" customHeight="1">
      <c r="C1037" s="66" t="s">
        <v>1214</v>
      </c>
      <c r="D1037" s="67"/>
      <c r="E1037" s="67"/>
      <c r="F1037" s="67"/>
      <c r="G1037" s="67"/>
      <c r="H1037" s="69"/>
      <c r="I1037" s="64">
        <f>SUM(I1036)</f>
        <v>0</v>
      </c>
      <c r="K1037" s="44"/>
      <c r="M1037" s="1412"/>
    </row>
    <row r="1038" spans="3:14" s="45" customFormat="1" ht="13.8">
      <c r="C1038" s="55" t="s">
        <v>1215</v>
      </c>
      <c r="D1038" s="56" t="s">
        <v>1216</v>
      </c>
      <c r="E1038" s="56"/>
      <c r="F1038" s="70"/>
      <c r="G1038" s="70"/>
      <c r="H1038" s="70"/>
      <c r="I1038" s="58"/>
      <c r="K1038" s="44"/>
      <c r="M1038" s="1412"/>
    </row>
    <row r="1039" spans="3:14" s="45" customFormat="1" ht="15.75" customHeight="1">
      <c r="C1039" s="66" t="s">
        <v>1217</v>
      </c>
      <c r="D1039" s="67"/>
      <c r="E1039" s="67"/>
      <c r="F1039" s="67"/>
      <c r="G1039" s="67"/>
      <c r="H1039" s="69"/>
      <c r="I1039" s="74">
        <f>SUM(I1038)</f>
        <v>0</v>
      </c>
      <c r="K1039" s="44"/>
      <c r="M1039" s="1412"/>
    </row>
    <row r="1040" spans="3:14" s="79" customFormat="1" ht="13.8">
      <c r="C1040" s="75" t="s">
        <v>1218</v>
      </c>
      <c r="D1040" s="76" t="s">
        <v>1219</v>
      </c>
      <c r="E1040" s="77"/>
      <c r="F1040" s="77"/>
      <c r="G1040" s="77"/>
      <c r="H1040" s="78"/>
      <c r="I1040" s="64">
        <f>I1035+I1037+I1039</f>
        <v>24332</v>
      </c>
      <c r="K1040" s="44"/>
      <c r="M1040" s="1414"/>
    </row>
    <row r="1041" spans="1:16" s="79" customFormat="1" ht="13.8">
      <c r="C1041" s="75" t="s">
        <v>1220</v>
      </c>
      <c r="D1041" s="76" t="s">
        <v>1321</v>
      </c>
      <c r="E1041" s="77"/>
      <c r="F1041" s="77"/>
      <c r="G1041" s="78"/>
      <c r="H1041" s="298">
        <f>$D$4</f>
        <v>0.1</v>
      </c>
      <c r="I1041" s="64">
        <f>I1040*H1041</f>
        <v>2433.2000000000003</v>
      </c>
      <c r="K1041" s="44"/>
      <c r="M1041" s="1414"/>
    </row>
    <row r="1042" spans="1:16" s="79" customFormat="1" ht="14.4" thickBot="1">
      <c r="C1042" s="81" t="s">
        <v>1221</v>
      </c>
      <c r="D1042" s="82" t="s">
        <v>1222</v>
      </c>
      <c r="E1042" s="83"/>
      <c r="F1042" s="83"/>
      <c r="G1042" s="83"/>
      <c r="H1042" s="84"/>
      <c r="I1042" s="85">
        <f>SUM(I1040:I1041)</f>
        <v>26765.200000000001</v>
      </c>
      <c r="K1042" s="44"/>
      <c r="M1042" s="1414"/>
    </row>
    <row r="1043" spans="1:16" ht="13.8" thickTop="1">
      <c r="D1043" s="1174"/>
      <c r="L1043"/>
      <c r="M1043" s="1406"/>
    </row>
    <row r="1044" spans="1:16" s="119" customFormat="1" ht="14.4" thickBot="1">
      <c r="A1044" s="119" t="s">
        <v>8807</v>
      </c>
      <c r="C1044" s="119" t="s">
        <v>2225</v>
      </c>
      <c r="D1044" s="48" t="s">
        <v>6470</v>
      </c>
      <c r="E1044" s="329"/>
      <c r="F1044" s="329"/>
      <c r="G1044" s="329"/>
      <c r="H1044" s="329"/>
      <c r="K1044" s="120">
        <f>ROUNDDOWN(H1060,-2)</f>
        <v>17100</v>
      </c>
      <c r="L1044" s="120">
        <f>Vol!B13+Vol!D26+Vol!B39</f>
        <v>63.594999999999999</v>
      </c>
      <c r="M1044" s="1408">
        <f>K1044*L1044</f>
        <v>1087474.5</v>
      </c>
      <c r="N1044" s="119">
        <f>(Vol!B13+(Vol!B43*Vol!B13))+(Vol!B39+(Vol!B39*Vol!B43))</f>
        <v>34.078625000000002</v>
      </c>
    </row>
    <row r="1045" spans="1:16" s="289" customFormat="1" ht="31.65" customHeight="1" thickTop="1">
      <c r="C1045" s="51" t="s">
        <v>1195</v>
      </c>
      <c r="D1045" s="52" t="s">
        <v>1196</v>
      </c>
      <c r="E1045" s="52" t="s">
        <v>1197</v>
      </c>
      <c r="F1045" s="52" t="s">
        <v>1198</v>
      </c>
      <c r="G1045" s="52" t="s">
        <v>1199</v>
      </c>
      <c r="H1045" s="53" t="s">
        <v>1200</v>
      </c>
      <c r="K1045" s="126"/>
      <c r="L1045" s="126"/>
      <c r="M1045" s="1410"/>
    </row>
    <row r="1046" spans="1:16" s="280" customFormat="1" ht="22.2" customHeight="1">
      <c r="C1046" s="290" t="s">
        <v>1201</v>
      </c>
      <c r="D1046" s="182" t="s">
        <v>1202</v>
      </c>
      <c r="E1046" s="70"/>
      <c r="F1046" s="70"/>
      <c r="G1046" s="70"/>
      <c r="H1046" s="71"/>
      <c r="K1046" s="119"/>
      <c r="L1046" s="119"/>
      <c r="M1046" s="1409"/>
      <c r="N1046" s="59"/>
      <c r="O1046" s="59"/>
      <c r="P1046" s="59"/>
    </row>
    <row r="1047" spans="1:16" s="280" customFormat="1" ht="22.2" customHeight="1">
      <c r="C1047" s="281">
        <v>1</v>
      </c>
      <c r="D1047" s="182" t="s">
        <v>5</v>
      </c>
      <c r="E1047" s="176" t="s">
        <v>6</v>
      </c>
      <c r="F1047" s="315">
        <v>7.0000000000000001E-3</v>
      </c>
      <c r="G1047" s="283">
        <f>VLOOKUP(D1047,upahbahan,3,FALSE)</f>
        <v>100000</v>
      </c>
      <c r="H1047" s="284">
        <f>F1047*G1047</f>
        <v>700</v>
      </c>
      <c r="K1047" s="119"/>
      <c r="L1047" s="119"/>
      <c r="M1047" s="1409"/>
      <c r="N1047" s="59"/>
      <c r="O1047" s="59"/>
      <c r="P1047" s="65"/>
    </row>
    <row r="1048" spans="1:16" s="280" customFormat="1" ht="22.2" customHeight="1">
      <c r="C1048" s="281">
        <v>2</v>
      </c>
      <c r="D1048" s="182" t="s">
        <v>9</v>
      </c>
      <c r="E1048" s="176" t="s">
        <v>6</v>
      </c>
      <c r="F1048" s="315">
        <v>7.0000000000000001E-3</v>
      </c>
      <c r="G1048" s="283">
        <f>VLOOKUP(D1048,upahbahan,3,FALSE)</f>
        <v>135000</v>
      </c>
      <c r="H1048" s="284">
        <f>F1048*G1048</f>
        <v>945</v>
      </c>
      <c r="I1048" s="119"/>
      <c r="K1048" s="119"/>
      <c r="L1048" s="119"/>
      <c r="M1048" s="1415"/>
    </row>
    <row r="1049" spans="1:16" s="59" customFormat="1" ht="22.2" customHeight="1">
      <c r="C1049" s="281">
        <v>3</v>
      </c>
      <c r="D1049" s="182" t="s">
        <v>18</v>
      </c>
      <c r="E1049" s="176" t="s">
        <v>6</v>
      </c>
      <c r="F1049" s="315">
        <v>6.9999999999999999E-4</v>
      </c>
      <c r="G1049" s="283">
        <f>VLOOKUP(D1049,upahbahan,3,FALSE)</f>
        <v>150000</v>
      </c>
      <c r="H1049" s="284">
        <f>F1049*G1049</f>
        <v>105</v>
      </c>
      <c r="I1049" s="119"/>
      <c r="K1049" s="119"/>
      <c r="L1049" s="119"/>
      <c r="M1049" s="1408"/>
    </row>
    <row r="1050" spans="1:16" s="280" customFormat="1" ht="22.2" customHeight="1">
      <c r="C1050" s="281">
        <v>4</v>
      </c>
      <c r="D1050" s="182" t="s">
        <v>19</v>
      </c>
      <c r="E1050" s="176" t="s">
        <v>6</v>
      </c>
      <c r="F1050" s="315">
        <v>6.9999999999999999E-4</v>
      </c>
      <c r="G1050" s="283">
        <f>VLOOKUP(D1050,upahbahan,3,FALSE)</f>
        <v>160000</v>
      </c>
      <c r="H1050" s="284">
        <f>F1050*G1050</f>
        <v>112</v>
      </c>
      <c r="I1050" s="119"/>
      <c r="K1050" s="119"/>
      <c r="L1050" s="119"/>
      <c r="M1050" s="1415"/>
    </row>
    <row r="1051" spans="1:16" s="280" customFormat="1" ht="22.2" customHeight="1">
      <c r="C1051" s="66" t="s">
        <v>1208</v>
      </c>
      <c r="D1051" s="67"/>
      <c r="E1051" s="67"/>
      <c r="F1051" s="68"/>
      <c r="G1051" s="69"/>
      <c r="H1051" s="284">
        <f>SUM(H1047:H1050)</f>
        <v>1862</v>
      </c>
      <c r="I1051" s="119"/>
      <c r="K1051" s="119"/>
      <c r="L1051" s="119"/>
      <c r="M1051" s="1415"/>
    </row>
    <row r="1052" spans="1:16" s="280" customFormat="1" ht="22.2" customHeight="1">
      <c r="C1052" s="321" t="s">
        <v>1209</v>
      </c>
      <c r="D1052" s="182" t="s">
        <v>1210</v>
      </c>
      <c r="E1052" s="70"/>
      <c r="F1052" s="70"/>
      <c r="G1052" s="70"/>
      <c r="H1052" s="71"/>
      <c r="I1052" s="119"/>
      <c r="K1052" s="119"/>
      <c r="L1052" s="119"/>
      <c r="M1052" s="1415"/>
    </row>
    <row r="1053" spans="1:16" s="280" customFormat="1" ht="22.2" customHeight="1">
      <c r="C1053" s="281">
        <v>1</v>
      </c>
      <c r="D1053" s="182" t="s">
        <v>6476</v>
      </c>
      <c r="E1053" s="176" t="s">
        <v>65</v>
      </c>
      <c r="F1053" s="282">
        <v>1.02</v>
      </c>
      <c r="G1053" s="283">
        <f>VLOOKUP(D1053,upahbahan,3,FALSE)</f>
        <v>13050</v>
      </c>
      <c r="H1053" s="284">
        <f>F1053*G1053</f>
        <v>13311</v>
      </c>
      <c r="I1053" s="119"/>
      <c r="K1053" s="119"/>
      <c r="L1053" s="119"/>
      <c r="M1053" s="1415"/>
    </row>
    <row r="1054" spans="1:16" s="280" customFormat="1" ht="22.2" customHeight="1">
      <c r="C1054" s="281">
        <v>2</v>
      </c>
      <c r="D1054" s="182" t="s">
        <v>251</v>
      </c>
      <c r="E1054" s="176" t="s">
        <v>65</v>
      </c>
      <c r="F1054" s="282">
        <v>1.4999999999999999E-2</v>
      </c>
      <c r="G1054" s="283">
        <f>VLOOKUP(D1054,upahbahan,3,FALSE)</f>
        <v>27720</v>
      </c>
      <c r="H1054" s="284">
        <f>F1054*G1054</f>
        <v>415.8</v>
      </c>
      <c r="I1054" s="119"/>
      <c r="K1054" s="119"/>
      <c r="L1054" s="119"/>
      <c r="M1054" s="1415"/>
    </row>
    <row r="1055" spans="1:16" s="280" customFormat="1" ht="22.2" customHeight="1">
      <c r="C1055" s="66" t="s">
        <v>1214</v>
      </c>
      <c r="D1055" s="67"/>
      <c r="E1055" s="67"/>
      <c r="F1055" s="67"/>
      <c r="G1055" s="69"/>
      <c r="H1055" s="284">
        <f>SUM(H1053:H1054)</f>
        <v>13726.8</v>
      </c>
      <c r="I1055" s="119"/>
      <c r="K1055" s="119"/>
      <c r="L1055" s="119"/>
      <c r="M1055" s="1415"/>
    </row>
    <row r="1056" spans="1:16" s="280" customFormat="1" ht="22.2" customHeight="1">
      <c r="C1056" s="321" t="s">
        <v>1215</v>
      </c>
      <c r="D1056" s="182" t="s">
        <v>1216</v>
      </c>
      <c r="E1056" s="70"/>
      <c r="F1056" s="70"/>
      <c r="G1056" s="70"/>
      <c r="H1056" s="71"/>
      <c r="I1056" s="119"/>
      <c r="K1056" s="119"/>
      <c r="L1056" s="119"/>
      <c r="M1056" s="1415"/>
    </row>
    <row r="1057" spans="1:16" s="280" customFormat="1" ht="22.2" customHeight="1">
      <c r="C1057" s="66" t="s">
        <v>1217</v>
      </c>
      <c r="D1057" s="67"/>
      <c r="E1057" s="67"/>
      <c r="F1057" s="67"/>
      <c r="G1057" s="69"/>
      <c r="H1057" s="292">
        <v>0</v>
      </c>
      <c r="I1057" s="119"/>
      <c r="K1057" s="119"/>
      <c r="L1057" s="119"/>
      <c r="M1057" s="1415"/>
    </row>
    <row r="1058" spans="1:16" s="297" customFormat="1" ht="22.2" customHeight="1">
      <c r="C1058" s="293" t="s">
        <v>1218</v>
      </c>
      <c r="D1058" s="294" t="s">
        <v>1219</v>
      </c>
      <c r="E1058" s="295"/>
      <c r="F1058" s="295"/>
      <c r="G1058" s="296"/>
      <c r="H1058" s="284">
        <f>H1057+H1055+H1051</f>
        <v>15588.8</v>
      </c>
      <c r="I1058" s="119"/>
      <c r="K1058" s="119"/>
      <c r="L1058" s="119"/>
      <c r="M1058" s="1130"/>
    </row>
    <row r="1059" spans="1:16" s="297" customFormat="1" ht="22.2" customHeight="1">
      <c r="C1059" s="293" t="s">
        <v>1220</v>
      </c>
      <c r="D1059" s="294" t="s">
        <v>1321</v>
      </c>
      <c r="E1059" s="295"/>
      <c r="F1059" s="296"/>
      <c r="G1059" s="298">
        <f>$D$4</f>
        <v>0.1</v>
      </c>
      <c r="H1059" s="284">
        <f>H1058*G1059</f>
        <v>1558.88</v>
      </c>
      <c r="I1059" s="119"/>
      <c r="K1059" s="119"/>
      <c r="L1059" s="119"/>
      <c r="M1059" s="1130"/>
    </row>
    <row r="1060" spans="1:16" s="297" customFormat="1" ht="22.2" customHeight="1" thickBot="1">
      <c r="C1060" s="299" t="s">
        <v>1221</v>
      </c>
      <c r="D1060" s="300" t="s">
        <v>1222</v>
      </c>
      <c r="E1060" s="301"/>
      <c r="F1060" s="301"/>
      <c r="G1060" s="302"/>
      <c r="H1060" s="303">
        <f>SUM(H1058:H1059)</f>
        <v>17147.68</v>
      </c>
      <c r="I1060" s="119"/>
      <c r="K1060" s="119"/>
      <c r="L1060" s="119"/>
      <c r="M1060" s="1130"/>
    </row>
    <row r="1061" spans="1:16" ht="13.8" thickTop="1">
      <c r="D1061" s="1174"/>
      <c r="L1061"/>
      <c r="M1061" s="1406"/>
    </row>
    <row r="1062" spans="1:16" s="280" customFormat="1" ht="33" customHeight="1" thickBot="1">
      <c r="A1062" s="280" t="s">
        <v>8807</v>
      </c>
      <c r="C1062" s="126" t="s">
        <v>2271</v>
      </c>
      <c r="D1062" s="47" t="s">
        <v>2272</v>
      </c>
      <c r="E1062" s="88"/>
      <c r="F1062" s="88"/>
      <c r="G1062" s="88"/>
      <c r="H1062" s="88"/>
      <c r="K1062" s="120">
        <f>ROUNDDOWN(H1080,-2)</f>
        <v>1291800</v>
      </c>
      <c r="L1062" s="120">
        <f>(1.3*1.3*0.1)</f>
        <v>0.16900000000000004</v>
      </c>
      <c r="M1062" s="1408">
        <f>K1062*L1062</f>
        <v>218314.20000000004</v>
      </c>
      <c r="N1062" s="1421">
        <f>2.45*1.3*0.1</f>
        <v>0.31850000000000006</v>
      </c>
      <c r="P1062" s="333"/>
    </row>
    <row r="1063" spans="1:16" s="289" customFormat="1" ht="31.65" customHeight="1" thickTop="1">
      <c r="C1063" s="51" t="s">
        <v>1195</v>
      </c>
      <c r="D1063" s="52" t="s">
        <v>1196</v>
      </c>
      <c r="E1063" s="52" t="s">
        <v>1197</v>
      </c>
      <c r="F1063" s="52" t="s">
        <v>1198</v>
      </c>
      <c r="G1063" s="52" t="s">
        <v>1199</v>
      </c>
      <c r="H1063" s="53" t="s">
        <v>1200</v>
      </c>
      <c r="I1063" s="126"/>
      <c r="K1063" s="126"/>
      <c r="L1063" s="126"/>
      <c r="M1063" s="1416"/>
      <c r="P1063" s="333"/>
    </row>
    <row r="1064" spans="1:16" s="280" customFormat="1" ht="21.6" customHeight="1">
      <c r="C1064" s="290" t="s">
        <v>1201</v>
      </c>
      <c r="D1064" s="182" t="s">
        <v>1202</v>
      </c>
      <c r="E1064" s="70"/>
      <c r="F1064" s="70"/>
      <c r="G1064" s="70"/>
      <c r="H1064" s="71"/>
      <c r="I1064" s="119"/>
      <c r="K1064" s="119"/>
      <c r="L1064" s="119"/>
      <c r="M1064" s="1415"/>
      <c r="P1064" s="333"/>
    </row>
    <row r="1065" spans="1:16" s="280" customFormat="1" ht="21.6" customHeight="1">
      <c r="C1065" s="310" t="s">
        <v>1203</v>
      </c>
      <c r="D1065" s="182" t="s">
        <v>5</v>
      </c>
      <c r="E1065" s="176" t="s">
        <v>6</v>
      </c>
      <c r="F1065" s="282">
        <v>1.65</v>
      </c>
      <c r="G1065" s="283">
        <f>VLOOKUP(D1065,upahbahan,3,FALSE)</f>
        <v>100000</v>
      </c>
      <c r="H1065" s="284">
        <f>F1065*G1065</f>
        <v>165000</v>
      </c>
      <c r="I1065" s="119"/>
      <c r="K1065" s="119"/>
      <c r="L1065" s="119"/>
      <c r="M1065" s="1415"/>
      <c r="P1065" s="333"/>
    </row>
    <row r="1066" spans="1:16" s="280" customFormat="1" ht="21.6" customHeight="1">
      <c r="C1066" s="310" t="s">
        <v>1204</v>
      </c>
      <c r="D1066" s="182" t="s">
        <v>7</v>
      </c>
      <c r="E1066" s="176" t="s">
        <v>6</v>
      </c>
      <c r="F1066" s="282">
        <v>0.27500000000000002</v>
      </c>
      <c r="G1066" s="283">
        <f>VLOOKUP(D1066,upahbahan,3,FALSE)</f>
        <v>135000</v>
      </c>
      <c r="H1066" s="284">
        <f>F1066*G1066</f>
        <v>37125</v>
      </c>
      <c r="I1066" s="119"/>
      <c r="K1066" s="119"/>
      <c r="L1066" s="119"/>
      <c r="M1066" s="1415"/>
      <c r="P1066" s="333"/>
    </row>
    <row r="1067" spans="1:16" s="280" customFormat="1" ht="21.6" customHeight="1">
      <c r="C1067" s="310" t="s">
        <v>1205</v>
      </c>
      <c r="D1067" s="182" t="s">
        <v>1310</v>
      </c>
      <c r="E1067" s="176" t="s">
        <v>6</v>
      </c>
      <c r="F1067" s="282">
        <v>2.8000000000000001E-2</v>
      </c>
      <c r="G1067" s="283">
        <f>VLOOKUP(D1067,upahbahan,3,FALSE)</f>
        <v>150000</v>
      </c>
      <c r="H1067" s="284">
        <f>F1067*G1067</f>
        <v>4200</v>
      </c>
      <c r="I1067" s="119"/>
      <c r="K1067" s="119"/>
      <c r="L1067" s="119"/>
      <c r="M1067" s="1415"/>
      <c r="P1067" s="333"/>
    </row>
    <row r="1068" spans="1:16" s="280" customFormat="1" ht="21.6" customHeight="1">
      <c r="C1068" s="310" t="s">
        <v>1206</v>
      </c>
      <c r="D1068" s="182" t="s">
        <v>19</v>
      </c>
      <c r="E1068" s="176" t="s">
        <v>6</v>
      </c>
      <c r="F1068" s="282">
        <v>8.9999999999999993E-3</v>
      </c>
      <c r="G1068" s="283">
        <f>VLOOKUP(D1068,upahbahan,3,FALSE)</f>
        <v>160000</v>
      </c>
      <c r="H1068" s="284">
        <f>F1068*G1068</f>
        <v>1440</v>
      </c>
      <c r="I1068" s="119"/>
      <c r="K1068" s="119"/>
      <c r="L1068" s="119"/>
      <c r="M1068" s="1415"/>
      <c r="P1068" s="333"/>
    </row>
    <row r="1069" spans="1:16" s="280" customFormat="1" ht="21.6" customHeight="1">
      <c r="C1069" s="66" t="s">
        <v>1208</v>
      </c>
      <c r="D1069" s="67"/>
      <c r="E1069" s="67"/>
      <c r="F1069" s="68"/>
      <c r="G1069" s="69"/>
      <c r="H1069" s="284">
        <f>SUM(H1065:H1068)</f>
        <v>207765</v>
      </c>
      <c r="I1069" s="119"/>
      <c r="K1069" s="119"/>
      <c r="L1069" s="119"/>
      <c r="M1069" s="1415"/>
    </row>
    <row r="1070" spans="1:16" s="280" customFormat="1" ht="21.6" customHeight="1">
      <c r="C1070" s="290" t="s">
        <v>1209</v>
      </c>
      <c r="D1070" s="182" t="s">
        <v>1210</v>
      </c>
      <c r="E1070" s="70"/>
      <c r="F1070" s="70"/>
      <c r="G1070" s="70"/>
      <c r="H1070" s="71"/>
      <c r="I1070" s="119"/>
      <c r="K1070" s="119"/>
      <c r="L1070" s="119"/>
      <c r="M1070" s="1415"/>
    </row>
    <row r="1071" spans="1:16" s="280" customFormat="1" ht="21.6" customHeight="1">
      <c r="C1071" s="306" t="s">
        <v>1203</v>
      </c>
      <c r="D1071" s="182" t="s">
        <v>1796</v>
      </c>
      <c r="E1071" s="124" t="s">
        <v>65</v>
      </c>
      <c r="F1071" s="127">
        <v>348</v>
      </c>
      <c r="G1071" s="283">
        <f>VLOOKUP(D1071,upahbahan,3,FALSE)</f>
        <v>1530</v>
      </c>
      <c r="H1071" s="284">
        <f>F1071*G1071</f>
        <v>532440</v>
      </c>
      <c r="I1071" s="119"/>
      <c r="K1071" s="119"/>
      <c r="L1071" s="119"/>
      <c r="M1071" s="1415"/>
    </row>
    <row r="1072" spans="1:16" s="280" customFormat="1" ht="21.6" customHeight="1">
      <c r="C1072" s="306" t="s">
        <v>1204</v>
      </c>
      <c r="D1072" s="182" t="s">
        <v>79</v>
      </c>
      <c r="E1072" s="124" t="s">
        <v>65</v>
      </c>
      <c r="F1072" s="127">
        <v>790</v>
      </c>
      <c r="G1072" s="283">
        <f>VLOOKUP(D1072,upahbahan,3,FALSE)</f>
        <v>221.78700000000001</v>
      </c>
      <c r="H1072" s="284">
        <f>F1072*G1072</f>
        <v>175211.73</v>
      </c>
      <c r="I1072" s="119"/>
      <c r="K1072" s="119"/>
      <c r="L1072" s="119"/>
      <c r="M1072" s="1415"/>
    </row>
    <row r="1073" spans="1:13" s="280" customFormat="1" ht="21.6" customHeight="1">
      <c r="C1073" s="306" t="s">
        <v>1205</v>
      </c>
      <c r="D1073" s="182" t="s">
        <v>72</v>
      </c>
      <c r="E1073" s="124" t="s">
        <v>65</v>
      </c>
      <c r="F1073" s="127">
        <v>1009</v>
      </c>
      <c r="G1073" s="283">
        <f>VLOOKUP(D1073,upahbahan,3,FALSE)/1350</f>
        <v>216.66666666666666</v>
      </c>
      <c r="H1073" s="284">
        <f>F1073*G1073</f>
        <v>218616.66666666666</v>
      </c>
      <c r="I1073" s="119"/>
      <c r="K1073" s="119"/>
      <c r="L1073" s="119"/>
      <c r="M1073" s="1415"/>
    </row>
    <row r="1074" spans="1:13" s="280" customFormat="1" ht="21.6" customHeight="1">
      <c r="C1074" s="306" t="s">
        <v>1206</v>
      </c>
      <c r="D1074" s="182" t="s">
        <v>960</v>
      </c>
      <c r="E1074" s="124" t="s">
        <v>529</v>
      </c>
      <c r="F1074" s="127">
        <v>202</v>
      </c>
      <c r="G1074" s="283">
        <f>VLOOKUP(D1074,upahbahan,3,FALSE)</f>
        <v>200</v>
      </c>
      <c r="H1074" s="284">
        <f>F1074*G1074</f>
        <v>40400</v>
      </c>
      <c r="I1074" s="119"/>
      <c r="K1074" s="119"/>
      <c r="L1074" s="119"/>
      <c r="M1074" s="1415"/>
    </row>
    <row r="1075" spans="1:13" s="280" customFormat="1" ht="21.6" customHeight="1">
      <c r="C1075" s="66" t="s">
        <v>1214</v>
      </c>
      <c r="D1075" s="67"/>
      <c r="E1075" s="67"/>
      <c r="F1075" s="67"/>
      <c r="G1075" s="69"/>
      <c r="H1075" s="284">
        <f>SUM(H1071:H1074)</f>
        <v>966668.39666666661</v>
      </c>
      <c r="I1075" s="119"/>
      <c r="K1075" s="119"/>
      <c r="L1075" s="119"/>
      <c r="M1075" s="1415"/>
    </row>
    <row r="1076" spans="1:13" s="280" customFormat="1" ht="21.6" customHeight="1">
      <c r="C1076" s="290" t="s">
        <v>1215</v>
      </c>
      <c r="D1076" s="182" t="s">
        <v>1216</v>
      </c>
      <c r="E1076" s="70"/>
      <c r="F1076" s="70"/>
      <c r="G1076" s="70"/>
      <c r="H1076" s="105"/>
      <c r="I1076" s="119"/>
      <c r="K1076" s="119"/>
      <c r="L1076" s="119"/>
      <c r="M1076" s="1415"/>
    </row>
    <row r="1077" spans="1:13" s="280" customFormat="1" ht="21.6" customHeight="1">
      <c r="C1077" s="66" t="s">
        <v>1217</v>
      </c>
      <c r="D1077" s="67"/>
      <c r="E1077" s="67"/>
      <c r="F1077" s="67"/>
      <c r="G1077" s="69"/>
      <c r="H1077" s="292">
        <v>0</v>
      </c>
      <c r="I1077" s="119"/>
      <c r="K1077" s="119"/>
      <c r="L1077" s="119"/>
      <c r="M1077" s="1415"/>
    </row>
    <row r="1078" spans="1:13" s="297" customFormat="1" ht="21.6" customHeight="1">
      <c r="C1078" s="293" t="s">
        <v>1218</v>
      </c>
      <c r="D1078" s="294" t="s">
        <v>1219</v>
      </c>
      <c r="E1078" s="295"/>
      <c r="F1078" s="295"/>
      <c r="G1078" s="296"/>
      <c r="H1078" s="284">
        <f>H1077+H1075+H1069</f>
        <v>1174433.3966666665</v>
      </c>
      <c r="I1078" s="119"/>
      <c r="K1078" s="119"/>
      <c r="L1078" s="119"/>
      <c r="M1078" s="1130"/>
    </row>
    <row r="1079" spans="1:13" s="297" customFormat="1" ht="21.6" customHeight="1">
      <c r="C1079" s="293" t="s">
        <v>1220</v>
      </c>
      <c r="D1079" s="294" t="s">
        <v>1321</v>
      </c>
      <c r="E1079" s="295"/>
      <c r="F1079" s="296"/>
      <c r="G1079" s="298">
        <f>$D$4</f>
        <v>0.1</v>
      </c>
      <c r="H1079" s="284">
        <f>H1078*G1079</f>
        <v>117443.33966666665</v>
      </c>
      <c r="I1079" s="119"/>
      <c r="K1079" s="119"/>
      <c r="L1079" s="119"/>
      <c r="M1079" s="1130"/>
    </row>
    <row r="1080" spans="1:13" s="297" customFormat="1" ht="21.6" customHeight="1" thickBot="1">
      <c r="C1080" s="299" t="s">
        <v>1221</v>
      </c>
      <c r="D1080" s="300" t="s">
        <v>1222</v>
      </c>
      <c r="E1080" s="301"/>
      <c r="F1080" s="301"/>
      <c r="G1080" s="302"/>
      <c r="H1080" s="303">
        <f>SUM(H1078:H1079)</f>
        <v>1291876.7363333332</v>
      </c>
      <c r="I1080" s="119"/>
      <c r="K1080" s="119"/>
      <c r="L1080" s="119"/>
      <c r="M1080" s="1130"/>
    </row>
    <row r="1081" spans="1:13" ht="13.8" thickTop="1">
      <c r="D1081" s="1174"/>
      <c r="L1081"/>
      <c r="M1081" s="1406"/>
    </row>
    <row r="1082" spans="1:13" ht="13.8" hidden="1">
      <c r="A1082" s="1173" t="s">
        <v>8808</v>
      </c>
      <c r="C1082" s="126" t="s">
        <v>2230</v>
      </c>
      <c r="D1082" s="138" t="s">
        <v>9056</v>
      </c>
      <c r="H1082" s="1174" t="s">
        <v>9057</v>
      </c>
      <c r="K1082" s="1383">
        <f>ROUNDDOWN(I1099,-2)</f>
        <v>14600</v>
      </c>
      <c r="L1082"/>
      <c r="M1082" s="1406"/>
    </row>
    <row r="1083" spans="1:13" ht="41.4" hidden="1">
      <c r="C1083" s="1352" t="s">
        <v>0</v>
      </c>
      <c r="D1083" s="1352" t="s">
        <v>9042</v>
      </c>
      <c r="E1083" s="1352" t="s">
        <v>9043</v>
      </c>
      <c r="F1083" s="1352" t="s">
        <v>1192</v>
      </c>
      <c r="G1083" s="1352" t="s">
        <v>9044</v>
      </c>
      <c r="H1083" s="1353" t="s">
        <v>9045</v>
      </c>
      <c r="I1083" s="1353" t="s">
        <v>9046</v>
      </c>
      <c r="L1083"/>
      <c r="M1083" s="1406"/>
    </row>
    <row r="1084" spans="1:13" ht="13.8" hidden="1">
      <c r="C1084" s="1354" t="s">
        <v>9047</v>
      </c>
      <c r="D1084" s="1355" t="s">
        <v>9048</v>
      </c>
      <c r="E1084" s="1355"/>
      <c r="F1084" s="1355"/>
      <c r="G1084" s="1355"/>
      <c r="H1084" s="1355"/>
      <c r="I1084" s="1355"/>
      <c r="L1084"/>
      <c r="M1084" s="1406"/>
    </row>
    <row r="1085" spans="1:13" ht="13.8" hidden="1">
      <c r="C1085" s="1356"/>
      <c r="D1085" s="1356" t="s">
        <v>5</v>
      </c>
      <c r="E1085" s="1357" t="s">
        <v>1774</v>
      </c>
      <c r="F1085" s="1357" t="s">
        <v>6</v>
      </c>
      <c r="G1085" s="1358">
        <v>2.5000000000000001E-3</v>
      </c>
      <c r="H1085" s="1359">
        <f>'Upah Bahan'!H9</f>
        <v>100000</v>
      </c>
      <c r="I1085" s="1359">
        <f>H1085*G1085</f>
        <v>250</v>
      </c>
      <c r="L1085"/>
      <c r="M1085" s="1406"/>
    </row>
    <row r="1086" spans="1:13" ht="13.8" hidden="1">
      <c r="C1086" s="1356"/>
      <c r="D1086" s="1356" t="s">
        <v>9</v>
      </c>
      <c r="E1086" s="1357" t="s">
        <v>1775</v>
      </c>
      <c r="F1086" s="1357" t="s">
        <v>6</v>
      </c>
      <c r="G1086" s="1358">
        <v>2.5000000000000001E-3</v>
      </c>
      <c r="H1086" s="1359">
        <f>'Upah Bahan'!H12</f>
        <v>135000</v>
      </c>
      <c r="I1086" s="1359">
        <f>H1086*G1086</f>
        <v>337.5</v>
      </c>
      <c r="L1086"/>
      <c r="M1086" s="1406"/>
    </row>
    <row r="1087" spans="1:13" ht="13.8" hidden="1">
      <c r="C1087" s="1356"/>
      <c r="D1087" s="1356" t="s">
        <v>1310</v>
      </c>
      <c r="E1087" s="1357" t="s">
        <v>1777</v>
      </c>
      <c r="F1087" s="1357" t="s">
        <v>6</v>
      </c>
      <c r="G1087" s="1360">
        <v>2.5000000000000001E-4</v>
      </c>
      <c r="H1087" s="1359">
        <f>'Upah Bahan'!H31</f>
        <v>150000</v>
      </c>
      <c r="I1087" s="1359">
        <f>H1087*G1087</f>
        <v>37.5</v>
      </c>
      <c r="L1087"/>
      <c r="M1087" s="1406"/>
    </row>
    <row r="1088" spans="1:13" ht="13.8" hidden="1">
      <c r="C1088" s="1361"/>
      <c r="D1088" s="1361" t="s">
        <v>19</v>
      </c>
      <c r="E1088" s="1362" t="s">
        <v>1777</v>
      </c>
      <c r="F1088" s="1362" t="s">
        <v>6</v>
      </c>
      <c r="G1088" s="1363">
        <v>2.5000000000000001E-4</v>
      </c>
      <c r="H1088" s="1364">
        <f>'Upah Bahan'!H32</f>
        <v>160000</v>
      </c>
      <c r="I1088" s="1359">
        <f>H1088*G1088</f>
        <v>40</v>
      </c>
      <c r="L1088"/>
      <c r="M1088" s="1406"/>
    </row>
    <row r="1089" spans="1:13" ht="13.8" hidden="1">
      <c r="C1089" s="1365"/>
      <c r="D1089" s="1366"/>
      <c r="E1089" s="1366"/>
      <c r="F1089" s="1366"/>
      <c r="G1089" s="1366"/>
      <c r="H1089" s="1367" t="s">
        <v>9049</v>
      </c>
      <c r="I1089" s="1368">
        <f>SUM(I1085:I1088)</f>
        <v>665</v>
      </c>
      <c r="L1089"/>
      <c r="M1089" s="1406"/>
    </row>
    <row r="1090" spans="1:13" ht="13.8" hidden="1">
      <c r="C1090" s="1354" t="s">
        <v>1209</v>
      </c>
      <c r="D1090" s="1355" t="s">
        <v>1210</v>
      </c>
      <c r="E1090" s="1355"/>
      <c r="F1090" s="1355"/>
      <c r="G1090" s="1369"/>
      <c r="H1090" s="1370"/>
      <c r="I1090" s="1371"/>
      <c r="L1090"/>
      <c r="M1090" s="1406"/>
    </row>
    <row r="1091" spans="1:13" ht="13.8" hidden="1">
      <c r="C1091" s="1357"/>
      <c r="D1091" s="1356" t="s">
        <v>9054</v>
      </c>
      <c r="E1091" s="1356"/>
      <c r="F1091" s="1357" t="s">
        <v>1044</v>
      </c>
      <c r="G1091" s="1372">
        <v>1.02</v>
      </c>
      <c r="H1091" s="1359">
        <f>'Upah Bahan'!H1055</f>
        <v>12430</v>
      </c>
      <c r="I1091" s="1359">
        <f>H1091*G1091</f>
        <v>12678.6</v>
      </c>
      <c r="L1091"/>
      <c r="M1091" s="1406"/>
    </row>
    <row r="1092" spans="1:13" ht="13.8" hidden="1">
      <c r="C1092" s="1357"/>
      <c r="D1092" s="1373" t="s">
        <v>9055</v>
      </c>
      <c r="E1092" s="1356"/>
      <c r="F1092" s="1357" t="s">
        <v>1044</v>
      </c>
      <c r="G1092" s="1372">
        <v>5.0000000000000001E-3</v>
      </c>
      <c r="H1092" s="1359">
        <f>'Upah Bahan'!H1013</f>
        <v>0</v>
      </c>
      <c r="I1092" s="1359">
        <f>H1092*G1092</f>
        <v>0</v>
      </c>
      <c r="L1092"/>
      <c r="M1092" s="1406"/>
    </row>
    <row r="1093" spans="1:13" ht="13.8" hidden="1">
      <c r="C1093" s="1365"/>
      <c r="D1093" s="1366"/>
      <c r="E1093" s="1366"/>
      <c r="F1093" s="1366"/>
      <c r="G1093" s="1366"/>
      <c r="H1093" s="1367" t="s">
        <v>9050</v>
      </c>
      <c r="I1093" s="1368">
        <f>SUM(I1091:I1092)</f>
        <v>12678.6</v>
      </c>
      <c r="L1093"/>
      <c r="M1093" s="1406"/>
    </row>
    <row r="1094" spans="1:13" ht="13.8" hidden="1">
      <c r="C1094" s="1354" t="s">
        <v>1215</v>
      </c>
      <c r="D1094" s="1355" t="s">
        <v>1216</v>
      </c>
      <c r="E1094" s="1369"/>
      <c r="F1094" s="1369"/>
      <c r="G1094" s="1369"/>
      <c r="H1094" s="1374"/>
      <c r="I1094" s="1356"/>
      <c r="L1094"/>
      <c r="M1094" s="1406"/>
    </row>
    <row r="1095" spans="1:13" ht="13.8" hidden="1">
      <c r="C1095" s="1375"/>
      <c r="D1095" s="1376"/>
      <c r="E1095" s="1361"/>
      <c r="F1095" s="1361"/>
      <c r="G1095" s="1361"/>
      <c r="H1095" s="1377"/>
      <c r="I1095" s="1356"/>
      <c r="L1095"/>
      <c r="M1095" s="1406"/>
    </row>
    <row r="1096" spans="1:13" ht="13.8" hidden="1">
      <c r="C1096" s="1365"/>
      <c r="D1096" s="1366"/>
      <c r="E1096" s="1366"/>
      <c r="F1096" s="1366"/>
      <c r="G1096" s="1366"/>
      <c r="H1096" s="1367" t="s">
        <v>9051</v>
      </c>
      <c r="I1096" s="1368"/>
      <c r="L1096"/>
      <c r="M1096" s="1406"/>
    </row>
    <row r="1097" spans="1:13" ht="13.8" hidden="1">
      <c r="C1097" s="1378" t="s">
        <v>1218</v>
      </c>
      <c r="D1097" s="1366" t="s">
        <v>9052</v>
      </c>
      <c r="E1097" s="1379"/>
      <c r="F1097" s="1379"/>
      <c r="G1097" s="1379"/>
      <c r="H1097" s="1380"/>
      <c r="I1097" s="1381">
        <f>SUM(I1089,I1093,I1096)</f>
        <v>13343.6</v>
      </c>
      <c r="L1097"/>
      <c r="M1097" s="1406"/>
    </row>
    <row r="1098" spans="1:13" ht="13.8" hidden="1">
      <c r="C1098" s="1378" t="s">
        <v>1220</v>
      </c>
      <c r="D1098" s="1366" t="s">
        <v>9064</v>
      </c>
      <c r="E1098" s="1379"/>
      <c r="F1098" s="1379"/>
      <c r="G1098" s="1379"/>
      <c r="H1098" s="298">
        <f>$D$4</f>
        <v>0.1</v>
      </c>
      <c r="I1098" s="1381">
        <f>H1098*I1097</f>
        <v>1334.3600000000001</v>
      </c>
      <c r="L1098"/>
      <c r="M1098" s="1406"/>
    </row>
    <row r="1099" spans="1:13" ht="13.8" hidden="1">
      <c r="C1099" s="1378" t="s">
        <v>1221</v>
      </c>
      <c r="D1099" s="1366" t="s">
        <v>9053</v>
      </c>
      <c r="E1099" s="1379"/>
      <c r="F1099" s="1379"/>
      <c r="G1099" s="1379"/>
      <c r="H1099" s="1380"/>
      <c r="I1099" s="1381">
        <f>SUM(I1097:I1098)</f>
        <v>14677.960000000001</v>
      </c>
      <c r="L1099"/>
      <c r="M1099" s="1406"/>
    </row>
    <row r="1100" spans="1:13">
      <c r="D1100" s="1174"/>
      <c r="L1100"/>
      <c r="M1100" s="1406"/>
    </row>
    <row r="1101" spans="1:13" s="280" customFormat="1" ht="14.4" thickBot="1">
      <c r="A1101" s="280" t="s">
        <v>8808</v>
      </c>
      <c r="C1101" s="119" t="s">
        <v>2254</v>
      </c>
      <c r="D1101" s="48" t="s">
        <v>1307</v>
      </c>
      <c r="E1101" s="48"/>
      <c r="F1101" s="48"/>
      <c r="G1101" s="48"/>
      <c r="H1101" s="48"/>
      <c r="K1101" s="120">
        <f>ROUNDDOWN(H1121,-2)</f>
        <v>287100</v>
      </c>
      <c r="L1101" s="120">
        <f>(1.3+1.3+1.3+1.3)*1.5</f>
        <v>7.8000000000000007</v>
      </c>
      <c r="M1101" s="1408">
        <f>K1101*L1101</f>
        <v>2239380</v>
      </c>
    </row>
    <row r="1102" spans="1:13" s="289" customFormat="1" ht="31.65" customHeight="1" thickTop="1">
      <c r="C1102" s="51" t="s">
        <v>1195</v>
      </c>
      <c r="D1102" s="52" t="s">
        <v>1196</v>
      </c>
      <c r="E1102" s="52" t="s">
        <v>1197</v>
      </c>
      <c r="F1102" s="52" t="s">
        <v>1198</v>
      </c>
      <c r="G1102" s="52" t="s">
        <v>1199</v>
      </c>
      <c r="H1102" s="53" t="s">
        <v>1200</v>
      </c>
      <c r="K1102" s="126"/>
      <c r="L1102" s="126"/>
      <c r="M1102" s="1410"/>
    </row>
    <row r="1103" spans="1:13" s="280" customFormat="1" ht="22.2" customHeight="1">
      <c r="C1103" s="290" t="s">
        <v>1201</v>
      </c>
      <c r="D1103" s="182" t="s">
        <v>1202</v>
      </c>
      <c r="E1103" s="70"/>
      <c r="F1103" s="70"/>
      <c r="G1103" s="70"/>
      <c r="H1103" s="71"/>
      <c r="K1103" s="119"/>
      <c r="L1103" s="119"/>
      <c r="M1103" s="1409"/>
    </row>
    <row r="1104" spans="1:13" s="280" customFormat="1" ht="22.2" customHeight="1">
      <c r="C1104" s="281">
        <v>1</v>
      </c>
      <c r="D1104" s="182" t="s">
        <v>5</v>
      </c>
      <c r="E1104" s="176" t="s">
        <v>6</v>
      </c>
      <c r="F1104" s="282">
        <v>0.66</v>
      </c>
      <c r="G1104" s="283">
        <f>VLOOKUP(D1104,upahbahan,3,FALSE)</f>
        <v>100000</v>
      </c>
      <c r="H1104" s="284">
        <f>F1104*G1104</f>
        <v>66000</v>
      </c>
      <c r="K1104" s="119"/>
      <c r="L1104" s="119"/>
      <c r="M1104" s="1409"/>
    </row>
    <row r="1105" spans="3:13" s="280" customFormat="1" ht="22.2" customHeight="1">
      <c r="C1105" s="281">
        <v>2</v>
      </c>
      <c r="D1105" s="182" t="s">
        <v>8</v>
      </c>
      <c r="E1105" s="176" t="s">
        <v>6</v>
      </c>
      <c r="F1105" s="282">
        <v>0.33</v>
      </c>
      <c r="G1105" s="283">
        <f>VLOOKUP(D1105,upahbahan,3,FALSE)</f>
        <v>135000</v>
      </c>
      <c r="H1105" s="284">
        <f>F1105*G1105</f>
        <v>44550</v>
      </c>
      <c r="K1105" s="119"/>
      <c r="L1105" s="119"/>
      <c r="M1105" s="1409"/>
    </row>
    <row r="1106" spans="3:13" s="59" customFormat="1" ht="22.2" customHeight="1">
      <c r="C1106" s="281">
        <v>3</v>
      </c>
      <c r="D1106" s="182" t="s">
        <v>18</v>
      </c>
      <c r="E1106" s="176" t="s">
        <v>6</v>
      </c>
      <c r="F1106" s="282">
        <v>3.3000000000000002E-2</v>
      </c>
      <c r="G1106" s="283">
        <f>VLOOKUP(D1106,upahbahan,3,FALSE)</f>
        <v>150000</v>
      </c>
      <c r="H1106" s="284">
        <f>F1106*G1106</f>
        <v>4950</v>
      </c>
      <c r="K1106" s="119"/>
      <c r="L1106" s="119"/>
      <c r="M1106" s="1409"/>
    </row>
    <row r="1107" spans="3:13" s="280" customFormat="1" ht="22.2" customHeight="1">
      <c r="C1107" s="281">
        <v>4</v>
      </c>
      <c r="D1107" s="182" t="s">
        <v>19</v>
      </c>
      <c r="E1107" s="176" t="s">
        <v>6</v>
      </c>
      <c r="F1107" s="282">
        <v>1.0999999999999999E-2</v>
      </c>
      <c r="G1107" s="283">
        <f>VLOOKUP(D1107,upahbahan,3,FALSE)</f>
        <v>160000</v>
      </c>
      <c r="H1107" s="284">
        <f>F1107*G1107</f>
        <v>1760</v>
      </c>
      <c r="K1107" s="119"/>
      <c r="L1107" s="119"/>
      <c r="M1107" s="1409"/>
    </row>
    <row r="1108" spans="3:13" s="280" customFormat="1" ht="22.2" customHeight="1">
      <c r="C1108" s="66" t="s">
        <v>1208</v>
      </c>
      <c r="D1108" s="67"/>
      <c r="E1108" s="67"/>
      <c r="F1108" s="68"/>
      <c r="G1108" s="69"/>
      <c r="H1108" s="284">
        <f>SUM(H1104:H1107)</f>
        <v>117260</v>
      </c>
      <c r="K1108" s="119"/>
      <c r="L1108" s="119"/>
      <c r="M1108" s="1409"/>
    </row>
    <row r="1109" spans="3:13" s="280" customFormat="1" ht="22.2" customHeight="1">
      <c r="C1109" s="290" t="s">
        <v>1209</v>
      </c>
      <c r="D1109" s="182" t="s">
        <v>1210</v>
      </c>
      <c r="E1109" s="70"/>
      <c r="F1109" s="70"/>
      <c r="G1109" s="70"/>
      <c r="H1109" s="71"/>
      <c r="K1109" s="119"/>
      <c r="L1109" s="119"/>
      <c r="M1109" s="1409"/>
    </row>
    <row r="1110" spans="3:13" s="280" customFormat="1" ht="22.2" customHeight="1">
      <c r="C1110" s="310" t="s">
        <v>1203</v>
      </c>
      <c r="D1110" s="285" t="s">
        <v>262</v>
      </c>
      <c r="E1110" s="176" t="s">
        <v>65</v>
      </c>
      <c r="F1110" s="330">
        <v>0.4</v>
      </c>
      <c r="G1110" s="283">
        <f t="shared" ref="G1110:G1115" si="60">VLOOKUP(D1110,upahbahan,3,FALSE)</f>
        <v>33901.875</v>
      </c>
      <c r="H1110" s="284">
        <f t="shared" ref="H1110:H1115" si="61">F1110*G1110</f>
        <v>13560.75</v>
      </c>
      <c r="K1110" s="119"/>
      <c r="L1110" s="119"/>
      <c r="M1110" s="1409"/>
    </row>
    <row r="1111" spans="3:13" s="280" customFormat="1" ht="22.2" customHeight="1">
      <c r="C1111" s="310" t="s">
        <v>1204</v>
      </c>
      <c r="D1111" s="285" t="s">
        <v>755</v>
      </c>
      <c r="E1111" s="176" t="s">
        <v>529</v>
      </c>
      <c r="F1111" s="330">
        <v>0.2</v>
      </c>
      <c r="G1111" s="283">
        <f t="shared" si="60"/>
        <v>76500</v>
      </c>
      <c r="H1111" s="284">
        <f t="shared" si="61"/>
        <v>15300</v>
      </c>
      <c r="K1111" s="119"/>
      <c r="L1111" s="119"/>
      <c r="M1111" s="1409"/>
    </row>
    <row r="1112" spans="3:13" s="280" customFormat="1" ht="22.2" customHeight="1">
      <c r="C1112" s="310" t="s">
        <v>1205</v>
      </c>
      <c r="D1112" s="285" t="s">
        <v>115</v>
      </c>
      <c r="E1112" s="176" t="s">
        <v>42</v>
      </c>
      <c r="F1112" s="330">
        <v>6.0000000000000001E-3</v>
      </c>
      <c r="G1112" s="283">
        <f t="shared" si="60"/>
        <v>5904000</v>
      </c>
      <c r="H1112" s="284">
        <f t="shared" si="61"/>
        <v>35424</v>
      </c>
      <c r="K1112" s="119"/>
      <c r="L1112" s="119"/>
      <c r="M1112" s="1409"/>
    </row>
    <row r="1113" spans="3:13" s="280" customFormat="1" ht="22.2" customHeight="1">
      <c r="C1113" s="310" t="s">
        <v>1206</v>
      </c>
      <c r="D1113" s="285" t="s">
        <v>136</v>
      </c>
      <c r="E1113" s="176" t="s">
        <v>129</v>
      </c>
      <c r="F1113" s="330">
        <v>0.127</v>
      </c>
      <c r="G1113" s="283">
        <f t="shared" si="60"/>
        <v>157500</v>
      </c>
      <c r="H1113" s="284">
        <f t="shared" si="61"/>
        <v>20002.5</v>
      </c>
      <c r="K1113" s="119"/>
      <c r="L1113" s="119"/>
      <c r="M1113" s="1409"/>
    </row>
    <row r="1114" spans="3:13" s="280" customFormat="1" ht="22.2" customHeight="1">
      <c r="C1114" s="310" t="s">
        <v>1207</v>
      </c>
      <c r="D1114" s="285" t="s">
        <v>112</v>
      </c>
      <c r="E1114" s="176" t="s">
        <v>106</v>
      </c>
      <c r="F1114" s="330">
        <v>0.97499999999999998</v>
      </c>
      <c r="G1114" s="283">
        <f t="shared" si="60"/>
        <v>5625</v>
      </c>
      <c r="H1114" s="284">
        <f t="shared" si="61"/>
        <v>5484.375</v>
      </c>
      <c r="K1114" s="119"/>
      <c r="L1114" s="119"/>
      <c r="M1114" s="1409"/>
    </row>
    <row r="1115" spans="3:13" s="280" customFormat="1" ht="22.2" customHeight="1">
      <c r="C1115" s="310" t="s">
        <v>1211</v>
      </c>
      <c r="D1115" s="285" t="s">
        <v>546</v>
      </c>
      <c r="E1115" s="176" t="s">
        <v>44</v>
      </c>
      <c r="F1115" s="330">
        <v>4</v>
      </c>
      <c r="G1115" s="283">
        <f t="shared" si="60"/>
        <v>13500</v>
      </c>
      <c r="H1115" s="284">
        <f t="shared" si="61"/>
        <v>54000</v>
      </c>
      <c r="K1115" s="119"/>
      <c r="L1115" s="119"/>
      <c r="M1115" s="1409"/>
    </row>
    <row r="1116" spans="3:13" s="280" customFormat="1" ht="22.2" customHeight="1">
      <c r="C1116" s="66" t="s">
        <v>1214</v>
      </c>
      <c r="D1116" s="67"/>
      <c r="E1116" s="67"/>
      <c r="F1116" s="67"/>
      <c r="G1116" s="69"/>
      <c r="H1116" s="284">
        <f>SUM(H1110:H1115)</f>
        <v>143771.625</v>
      </c>
      <c r="K1116" s="119"/>
      <c r="L1116" s="119"/>
      <c r="M1116" s="1409"/>
    </row>
    <row r="1117" spans="3:13" s="280" customFormat="1" ht="22.2" customHeight="1">
      <c r="C1117" s="290" t="s">
        <v>1215</v>
      </c>
      <c r="D1117" s="182" t="s">
        <v>1216</v>
      </c>
      <c r="E1117" s="70"/>
      <c r="F1117" s="70"/>
      <c r="G1117" s="70"/>
      <c r="H1117" s="105"/>
      <c r="K1117" s="119"/>
      <c r="L1117" s="119"/>
      <c r="M1117" s="1409"/>
    </row>
    <row r="1118" spans="3:13" s="280" customFormat="1" ht="22.2" customHeight="1">
      <c r="C1118" s="66" t="s">
        <v>1217</v>
      </c>
      <c r="D1118" s="67"/>
      <c r="E1118" s="67"/>
      <c r="F1118" s="67"/>
      <c r="G1118" s="69"/>
      <c r="H1118" s="292">
        <v>0</v>
      </c>
      <c r="K1118" s="119"/>
      <c r="L1118" s="119"/>
      <c r="M1118" s="1409"/>
    </row>
    <row r="1119" spans="3:13" s="297" customFormat="1" ht="22.2" customHeight="1">
      <c r="C1119" s="293" t="s">
        <v>1218</v>
      </c>
      <c r="D1119" s="294" t="s">
        <v>1219</v>
      </c>
      <c r="E1119" s="295"/>
      <c r="F1119" s="295"/>
      <c r="G1119" s="296"/>
      <c r="H1119" s="284">
        <f>H1118+H1116+H1108</f>
        <v>261031.625</v>
      </c>
      <c r="K1119" s="119"/>
      <c r="L1119" s="119"/>
      <c r="M1119" s="1409"/>
    </row>
    <row r="1120" spans="3:13" s="297" customFormat="1" ht="22.2" customHeight="1">
      <c r="C1120" s="293" t="s">
        <v>1220</v>
      </c>
      <c r="D1120" s="294" t="s">
        <v>1321</v>
      </c>
      <c r="E1120" s="295"/>
      <c r="F1120" s="296"/>
      <c r="G1120" s="298">
        <f>$D$4</f>
        <v>0.1</v>
      </c>
      <c r="H1120" s="284">
        <f>H1119*G1120</f>
        <v>26103.162500000002</v>
      </c>
      <c r="K1120" s="119"/>
      <c r="L1120" s="119"/>
      <c r="M1120" s="1409"/>
    </row>
    <row r="1121" spans="1:17" s="297" customFormat="1" ht="22.2" customHeight="1" thickBot="1">
      <c r="C1121" s="299" t="s">
        <v>1221</v>
      </c>
      <c r="D1121" s="300" t="s">
        <v>1222</v>
      </c>
      <c r="E1121" s="301"/>
      <c r="F1121" s="301"/>
      <c r="G1121" s="302"/>
      <c r="H1121" s="303">
        <f>SUM(H1119:H1120)</f>
        <v>287134.78749999998</v>
      </c>
      <c r="K1121" s="119"/>
      <c r="L1121" s="119"/>
      <c r="M1121" s="1409"/>
    </row>
    <row r="1122" spans="1:17" ht="13.8" thickTop="1">
      <c r="D1122" s="1174"/>
      <c r="L1122"/>
      <c r="M1122" s="1406"/>
    </row>
    <row r="1123" spans="1:17" s="280" customFormat="1" ht="33" customHeight="1" thickBot="1">
      <c r="A1123" s="280" t="s">
        <v>8808</v>
      </c>
      <c r="C1123" s="126" t="s">
        <v>2271</v>
      </c>
      <c r="D1123" s="47" t="s">
        <v>2272</v>
      </c>
      <c r="E1123" s="88"/>
      <c r="F1123" s="88"/>
      <c r="G1123" s="88"/>
      <c r="H1123" s="88"/>
      <c r="K1123" s="120">
        <f>ROUNDDOWN(H1141,-2)</f>
        <v>1291800</v>
      </c>
      <c r="L1123" s="120">
        <f>(1.3+1.3+1.3+1.3)*1.5*0.1</f>
        <v>0.78000000000000014</v>
      </c>
      <c r="M1123" s="1408">
        <f>K1123*L1123</f>
        <v>1007604.0000000002</v>
      </c>
      <c r="Q1123" s="333"/>
    </row>
    <row r="1124" spans="1:17" s="289" customFormat="1" ht="31.65" customHeight="1" thickTop="1">
      <c r="C1124" s="51" t="s">
        <v>1195</v>
      </c>
      <c r="D1124" s="52" t="s">
        <v>1196</v>
      </c>
      <c r="E1124" s="52" t="s">
        <v>1197</v>
      </c>
      <c r="F1124" s="52" t="s">
        <v>1198</v>
      </c>
      <c r="G1124" s="52" t="s">
        <v>1199</v>
      </c>
      <c r="H1124" s="53" t="s">
        <v>1200</v>
      </c>
      <c r="K1124" s="126"/>
      <c r="L1124" s="126"/>
      <c r="M1124" s="1410"/>
      <c r="Q1124" s="333"/>
    </row>
    <row r="1125" spans="1:17" s="280" customFormat="1" ht="21.6" customHeight="1">
      <c r="C1125" s="290" t="s">
        <v>1201</v>
      </c>
      <c r="D1125" s="182" t="s">
        <v>1202</v>
      </c>
      <c r="E1125" s="70"/>
      <c r="F1125" s="70"/>
      <c r="G1125" s="70"/>
      <c r="H1125" s="71"/>
      <c r="K1125" s="119"/>
      <c r="L1125" s="119"/>
      <c r="M1125" s="1409"/>
      <c r="Q1125" s="333"/>
    </row>
    <row r="1126" spans="1:17" s="280" customFormat="1" ht="21.6" customHeight="1">
      <c r="C1126" s="310" t="s">
        <v>1203</v>
      </c>
      <c r="D1126" s="182" t="s">
        <v>5</v>
      </c>
      <c r="E1126" s="176" t="s">
        <v>6</v>
      </c>
      <c r="F1126" s="282">
        <v>1.65</v>
      </c>
      <c r="G1126" s="283">
        <f>VLOOKUP(D1126,upahbahan,3,FALSE)</f>
        <v>100000</v>
      </c>
      <c r="H1126" s="284">
        <f>F1126*G1126</f>
        <v>165000</v>
      </c>
      <c r="K1126" s="119"/>
      <c r="L1126" s="119"/>
      <c r="M1126" s="1409"/>
      <c r="Q1126" s="333"/>
    </row>
    <row r="1127" spans="1:17" s="280" customFormat="1" ht="21.6" customHeight="1">
      <c r="C1127" s="310" t="s">
        <v>1204</v>
      </c>
      <c r="D1127" s="182" t="s">
        <v>7</v>
      </c>
      <c r="E1127" s="176" t="s">
        <v>6</v>
      </c>
      <c r="F1127" s="282">
        <v>0.27500000000000002</v>
      </c>
      <c r="G1127" s="283">
        <f>VLOOKUP(D1127,upahbahan,3,FALSE)</f>
        <v>135000</v>
      </c>
      <c r="H1127" s="284">
        <f>F1127*G1127</f>
        <v>37125</v>
      </c>
      <c r="K1127" s="119"/>
      <c r="L1127" s="119"/>
      <c r="M1127" s="1409"/>
      <c r="Q1127" s="333"/>
    </row>
    <row r="1128" spans="1:17" s="280" customFormat="1" ht="21.6" customHeight="1">
      <c r="C1128" s="310" t="s">
        <v>1205</v>
      </c>
      <c r="D1128" s="182" t="s">
        <v>1310</v>
      </c>
      <c r="E1128" s="176" t="s">
        <v>6</v>
      </c>
      <c r="F1128" s="282">
        <v>2.8000000000000001E-2</v>
      </c>
      <c r="G1128" s="283">
        <f>VLOOKUP(D1128,upahbahan,3,FALSE)</f>
        <v>150000</v>
      </c>
      <c r="H1128" s="284">
        <f>F1128*G1128</f>
        <v>4200</v>
      </c>
      <c r="K1128" s="119"/>
      <c r="L1128" s="119"/>
      <c r="M1128" s="1409"/>
      <c r="Q1128" s="333"/>
    </row>
    <row r="1129" spans="1:17" s="280" customFormat="1" ht="21.6" customHeight="1">
      <c r="C1129" s="310" t="s">
        <v>1206</v>
      </c>
      <c r="D1129" s="182" t="s">
        <v>19</v>
      </c>
      <c r="E1129" s="176" t="s">
        <v>6</v>
      </c>
      <c r="F1129" s="282">
        <v>8.9999999999999993E-3</v>
      </c>
      <c r="G1129" s="283">
        <f>VLOOKUP(D1129,upahbahan,3,FALSE)</f>
        <v>160000</v>
      </c>
      <c r="H1129" s="284">
        <f>F1129*G1129</f>
        <v>1440</v>
      </c>
      <c r="K1129" s="119"/>
      <c r="L1129" s="119"/>
      <c r="M1129" s="1409"/>
      <c r="Q1129" s="333"/>
    </row>
    <row r="1130" spans="1:17" s="280" customFormat="1" ht="21.6" customHeight="1">
      <c r="C1130" s="66" t="s">
        <v>1208</v>
      </c>
      <c r="D1130" s="67"/>
      <c r="E1130" s="67"/>
      <c r="F1130" s="68"/>
      <c r="G1130" s="69"/>
      <c r="H1130" s="284">
        <f>SUM(H1126:H1129)</f>
        <v>207765</v>
      </c>
      <c r="K1130" s="119"/>
      <c r="L1130" s="119"/>
      <c r="M1130" s="1409"/>
    </row>
    <row r="1131" spans="1:17" s="280" customFormat="1" ht="21.6" customHeight="1">
      <c r="C1131" s="290" t="s">
        <v>1209</v>
      </c>
      <c r="D1131" s="182" t="s">
        <v>1210</v>
      </c>
      <c r="E1131" s="70"/>
      <c r="F1131" s="70"/>
      <c r="G1131" s="70"/>
      <c r="H1131" s="71"/>
      <c r="K1131" s="119"/>
      <c r="L1131" s="119"/>
      <c r="M1131" s="1409"/>
    </row>
    <row r="1132" spans="1:17" s="280" customFormat="1" ht="21.6" customHeight="1">
      <c r="C1132" s="306" t="s">
        <v>1203</v>
      </c>
      <c r="D1132" s="182" t="s">
        <v>1796</v>
      </c>
      <c r="E1132" s="124" t="s">
        <v>65</v>
      </c>
      <c r="F1132" s="127">
        <v>348</v>
      </c>
      <c r="G1132" s="283">
        <f>VLOOKUP(D1132,upahbahan,3,FALSE)</f>
        <v>1530</v>
      </c>
      <c r="H1132" s="284">
        <f>F1132*G1132</f>
        <v>532440</v>
      </c>
      <c r="K1132" s="119"/>
      <c r="L1132" s="119"/>
      <c r="M1132" s="1409"/>
    </row>
    <row r="1133" spans="1:17" s="280" customFormat="1" ht="21.6" customHeight="1">
      <c r="C1133" s="306" t="s">
        <v>1204</v>
      </c>
      <c r="D1133" s="182" t="s">
        <v>79</v>
      </c>
      <c r="E1133" s="124" t="s">
        <v>65</v>
      </c>
      <c r="F1133" s="127">
        <v>790</v>
      </c>
      <c r="G1133" s="283">
        <f>VLOOKUP(D1133,upahbahan,3,FALSE)</f>
        <v>221.78700000000001</v>
      </c>
      <c r="H1133" s="284">
        <f>F1133*G1133</f>
        <v>175211.73</v>
      </c>
      <c r="K1133" s="119"/>
      <c r="L1133" s="119"/>
      <c r="M1133" s="1409"/>
    </row>
    <row r="1134" spans="1:17" s="280" customFormat="1" ht="21.6" customHeight="1">
      <c r="C1134" s="306" t="s">
        <v>1205</v>
      </c>
      <c r="D1134" s="182" t="s">
        <v>72</v>
      </c>
      <c r="E1134" s="124" t="s">
        <v>65</v>
      </c>
      <c r="F1134" s="127">
        <v>1009</v>
      </c>
      <c r="G1134" s="283">
        <f>VLOOKUP(D1134,upahbahan,3,FALSE)/1350</f>
        <v>216.66666666666666</v>
      </c>
      <c r="H1134" s="284">
        <f>F1134*G1134</f>
        <v>218616.66666666666</v>
      </c>
      <c r="K1134" s="119"/>
      <c r="L1134" s="119"/>
      <c r="M1134" s="1409"/>
    </row>
    <row r="1135" spans="1:17" s="280" customFormat="1" ht="21.6" customHeight="1">
      <c r="C1135" s="306" t="s">
        <v>1206</v>
      </c>
      <c r="D1135" s="182" t="s">
        <v>960</v>
      </c>
      <c r="E1135" s="124" t="s">
        <v>529</v>
      </c>
      <c r="F1135" s="127">
        <v>202</v>
      </c>
      <c r="G1135" s="283">
        <f>VLOOKUP(D1135,upahbahan,3,FALSE)</f>
        <v>200</v>
      </c>
      <c r="H1135" s="284">
        <f>F1135*G1135</f>
        <v>40400</v>
      </c>
      <c r="K1135" s="119"/>
      <c r="L1135" s="119"/>
      <c r="M1135" s="1409"/>
    </row>
    <row r="1136" spans="1:17" s="280" customFormat="1" ht="21.6" customHeight="1">
      <c r="C1136" s="66" t="s">
        <v>1214</v>
      </c>
      <c r="D1136" s="67"/>
      <c r="E1136" s="67"/>
      <c r="F1136" s="67"/>
      <c r="G1136" s="69"/>
      <c r="H1136" s="284">
        <f>SUM(H1132:H1135)</f>
        <v>966668.39666666661</v>
      </c>
      <c r="K1136" s="119"/>
      <c r="L1136" s="119"/>
      <c r="M1136" s="1409"/>
    </row>
    <row r="1137" spans="1:17" s="280" customFormat="1" ht="21.6" customHeight="1">
      <c r="C1137" s="290" t="s">
        <v>1215</v>
      </c>
      <c r="D1137" s="182" t="s">
        <v>1216</v>
      </c>
      <c r="E1137" s="70"/>
      <c r="F1137" s="70"/>
      <c r="G1137" s="70"/>
      <c r="H1137" s="105"/>
      <c r="K1137" s="119"/>
      <c r="L1137" s="119"/>
      <c r="M1137" s="1409"/>
    </row>
    <row r="1138" spans="1:17" s="280" customFormat="1" ht="21.6" customHeight="1">
      <c r="C1138" s="66" t="s">
        <v>1217</v>
      </c>
      <c r="D1138" s="67"/>
      <c r="E1138" s="67"/>
      <c r="F1138" s="67"/>
      <c r="G1138" s="69"/>
      <c r="H1138" s="292">
        <v>0</v>
      </c>
      <c r="K1138" s="119"/>
      <c r="L1138" s="119"/>
      <c r="M1138" s="1409"/>
    </row>
    <row r="1139" spans="1:17" s="297" customFormat="1" ht="21.6" customHeight="1">
      <c r="C1139" s="293" t="s">
        <v>1218</v>
      </c>
      <c r="D1139" s="294" t="s">
        <v>1219</v>
      </c>
      <c r="E1139" s="295"/>
      <c r="F1139" s="295"/>
      <c r="G1139" s="296"/>
      <c r="H1139" s="284">
        <f>H1138+H1136+H1130</f>
        <v>1174433.3966666665</v>
      </c>
      <c r="K1139" s="119"/>
      <c r="L1139" s="119"/>
      <c r="M1139" s="1409"/>
    </row>
    <row r="1140" spans="1:17" s="297" customFormat="1" ht="21.6" customHeight="1">
      <c r="C1140" s="293" t="s">
        <v>1220</v>
      </c>
      <c r="D1140" s="294" t="s">
        <v>1321</v>
      </c>
      <c r="E1140" s="295"/>
      <c r="F1140" s="296"/>
      <c r="G1140" s="298">
        <f>$D$4</f>
        <v>0.1</v>
      </c>
      <c r="H1140" s="284">
        <f>H1139*G1140</f>
        <v>117443.33966666665</v>
      </c>
      <c r="K1140" s="119"/>
      <c r="L1140" s="119"/>
      <c r="M1140" s="1409"/>
    </row>
    <row r="1141" spans="1:17" s="297" customFormat="1" ht="21.6" customHeight="1" thickBot="1">
      <c r="C1141" s="299" t="s">
        <v>1221</v>
      </c>
      <c r="D1141" s="300" t="s">
        <v>1222</v>
      </c>
      <c r="E1141" s="301"/>
      <c r="F1141" s="301"/>
      <c r="G1141" s="302"/>
      <c r="H1141" s="303">
        <f>SUM(H1139:H1140)</f>
        <v>1291876.7363333332</v>
      </c>
      <c r="K1141" s="119"/>
      <c r="L1141" s="119"/>
      <c r="M1141" s="1409"/>
    </row>
    <row r="1142" spans="1:17" ht="13.8" thickTop="1">
      <c r="D1142" s="1174"/>
      <c r="L1142"/>
      <c r="M1142" s="1406"/>
    </row>
    <row r="1143" spans="1:17" s="119" customFormat="1" ht="13.8" hidden="1">
      <c r="A1143" s="119" t="s">
        <v>8809</v>
      </c>
      <c r="C1143" s="119" t="s">
        <v>2225</v>
      </c>
      <c r="D1143" s="48" t="s">
        <v>6470</v>
      </c>
      <c r="E1143" s="329"/>
      <c r="F1143" s="329"/>
      <c r="G1143" s="329"/>
      <c r="H1143" s="329"/>
      <c r="K1143" s="120">
        <f>ROUNDDOWN(H1159,-2)</f>
        <v>17100</v>
      </c>
      <c r="L1143" s="120"/>
      <c r="M1143" s="1409"/>
    </row>
    <row r="1144" spans="1:17" s="289" customFormat="1" ht="31.65" hidden="1" customHeight="1" thickTop="1">
      <c r="C1144" s="51" t="s">
        <v>1195</v>
      </c>
      <c r="D1144" s="52" t="s">
        <v>1196</v>
      </c>
      <c r="E1144" s="52" t="s">
        <v>1197</v>
      </c>
      <c r="F1144" s="52" t="s">
        <v>1198</v>
      </c>
      <c r="G1144" s="52" t="s">
        <v>1199</v>
      </c>
      <c r="H1144" s="53" t="s">
        <v>1200</v>
      </c>
      <c r="K1144" s="126"/>
      <c r="L1144" s="126"/>
      <c r="M1144" s="1410"/>
    </row>
    <row r="1145" spans="1:17" s="280" customFormat="1" ht="22.2" hidden="1" customHeight="1">
      <c r="C1145" s="290" t="s">
        <v>1201</v>
      </c>
      <c r="D1145" s="182" t="s">
        <v>1202</v>
      </c>
      <c r="E1145" s="70"/>
      <c r="F1145" s="70"/>
      <c r="G1145" s="70"/>
      <c r="H1145" s="71"/>
      <c r="K1145" s="119"/>
      <c r="L1145" s="119"/>
      <c r="M1145" s="1409"/>
      <c r="N1145" s="59"/>
      <c r="O1145" s="59"/>
      <c r="P1145" s="59"/>
      <c r="Q1145" s="59"/>
    </row>
    <row r="1146" spans="1:17" s="280" customFormat="1" ht="22.2" hidden="1" customHeight="1">
      <c r="C1146" s="281">
        <v>1</v>
      </c>
      <c r="D1146" s="182" t="s">
        <v>5</v>
      </c>
      <c r="E1146" s="176" t="s">
        <v>6</v>
      </c>
      <c r="F1146" s="315">
        <v>7.0000000000000001E-3</v>
      </c>
      <c r="G1146" s="283">
        <f>VLOOKUP(D1146,upahbahan,3,FALSE)</f>
        <v>100000</v>
      </c>
      <c r="H1146" s="284">
        <f>F1146*G1146</f>
        <v>700</v>
      </c>
      <c r="K1146" s="119"/>
      <c r="L1146" s="119"/>
      <c r="M1146" s="1409"/>
      <c r="N1146" s="59"/>
      <c r="O1146" s="59"/>
      <c r="P1146" s="59"/>
      <c r="Q1146" s="65"/>
    </row>
    <row r="1147" spans="1:17" s="280" customFormat="1" ht="22.2" hidden="1" customHeight="1">
      <c r="C1147" s="281">
        <v>2</v>
      </c>
      <c r="D1147" s="182" t="s">
        <v>9</v>
      </c>
      <c r="E1147" s="176" t="s">
        <v>6</v>
      </c>
      <c r="F1147" s="315">
        <v>7.0000000000000001E-3</v>
      </c>
      <c r="G1147" s="283">
        <f>VLOOKUP(D1147,upahbahan,3,FALSE)</f>
        <v>135000</v>
      </c>
      <c r="H1147" s="284">
        <f>F1147*G1147</f>
        <v>945</v>
      </c>
      <c r="K1147" s="119"/>
      <c r="L1147" s="119"/>
      <c r="M1147" s="1409"/>
    </row>
    <row r="1148" spans="1:17" s="59" customFormat="1" ht="22.2" hidden="1" customHeight="1">
      <c r="C1148" s="281">
        <v>3</v>
      </c>
      <c r="D1148" s="182" t="s">
        <v>18</v>
      </c>
      <c r="E1148" s="176" t="s">
        <v>6</v>
      </c>
      <c r="F1148" s="315">
        <v>6.9999999999999999E-4</v>
      </c>
      <c r="G1148" s="283">
        <f>VLOOKUP(D1148,upahbahan,3,FALSE)</f>
        <v>150000</v>
      </c>
      <c r="H1148" s="284">
        <f>F1148*G1148</f>
        <v>105</v>
      </c>
      <c r="K1148" s="119"/>
      <c r="L1148" s="119"/>
      <c r="M1148" s="1409"/>
    </row>
    <row r="1149" spans="1:17" s="280" customFormat="1" ht="22.2" hidden="1" customHeight="1">
      <c r="C1149" s="281">
        <v>4</v>
      </c>
      <c r="D1149" s="182" t="s">
        <v>19</v>
      </c>
      <c r="E1149" s="176" t="s">
        <v>6</v>
      </c>
      <c r="F1149" s="315">
        <v>6.9999999999999999E-4</v>
      </c>
      <c r="G1149" s="283">
        <f>VLOOKUP(D1149,upahbahan,3,FALSE)</f>
        <v>160000</v>
      </c>
      <c r="H1149" s="284">
        <f>F1149*G1149</f>
        <v>112</v>
      </c>
      <c r="K1149" s="119"/>
      <c r="L1149" s="119"/>
      <c r="M1149" s="1409"/>
    </row>
    <row r="1150" spans="1:17" s="280" customFormat="1" ht="22.2" hidden="1" customHeight="1">
      <c r="C1150" s="66" t="s">
        <v>1208</v>
      </c>
      <c r="D1150" s="67"/>
      <c r="E1150" s="67"/>
      <c r="F1150" s="68"/>
      <c r="G1150" s="69"/>
      <c r="H1150" s="284">
        <f>SUM(H1146:H1149)</f>
        <v>1862</v>
      </c>
      <c r="K1150" s="119"/>
      <c r="L1150" s="119"/>
      <c r="M1150" s="1409"/>
    </row>
    <row r="1151" spans="1:17" s="280" customFormat="1" ht="22.2" hidden="1" customHeight="1">
      <c r="C1151" s="321" t="s">
        <v>1209</v>
      </c>
      <c r="D1151" s="182" t="s">
        <v>1210</v>
      </c>
      <c r="E1151" s="70"/>
      <c r="F1151" s="70"/>
      <c r="G1151" s="70"/>
      <c r="H1151" s="71"/>
      <c r="K1151" s="119"/>
      <c r="L1151" s="119"/>
      <c r="M1151" s="1409"/>
    </row>
    <row r="1152" spans="1:17" s="280" customFormat="1" ht="22.2" hidden="1" customHeight="1">
      <c r="C1152" s="281">
        <v>1</v>
      </c>
      <c r="D1152" s="182" t="s">
        <v>6476</v>
      </c>
      <c r="E1152" s="176" t="s">
        <v>65</v>
      </c>
      <c r="F1152" s="282">
        <v>1.02</v>
      </c>
      <c r="G1152" s="283">
        <f>VLOOKUP(D1152,upahbahan,3,FALSE)</f>
        <v>13050</v>
      </c>
      <c r="H1152" s="284">
        <f>F1152*G1152</f>
        <v>13311</v>
      </c>
      <c r="K1152" s="119"/>
      <c r="L1152" s="119"/>
      <c r="M1152" s="1409"/>
    </row>
    <row r="1153" spans="1:14" s="280" customFormat="1" ht="22.2" hidden="1" customHeight="1">
      <c r="C1153" s="281">
        <v>2</v>
      </c>
      <c r="D1153" s="182" t="s">
        <v>251</v>
      </c>
      <c r="E1153" s="176" t="s">
        <v>65</v>
      </c>
      <c r="F1153" s="282">
        <v>1.4999999999999999E-2</v>
      </c>
      <c r="G1153" s="283">
        <f>VLOOKUP(D1153,upahbahan,3,FALSE)</f>
        <v>27720</v>
      </c>
      <c r="H1153" s="284">
        <f>F1153*G1153</f>
        <v>415.8</v>
      </c>
      <c r="K1153" s="119"/>
      <c r="L1153" s="119"/>
      <c r="M1153" s="1409"/>
    </row>
    <row r="1154" spans="1:14" s="280" customFormat="1" ht="22.2" hidden="1" customHeight="1">
      <c r="C1154" s="66" t="s">
        <v>1214</v>
      </c>
      <c r="D1154" s="67"/>
      <c r="E1154" s="67"/>
      <c r="F1154" s="67"/>
      <c r="G1154" s="69"/>
      <c r="H1154" s="284">
        <f>SUM(H1152:H1153)</f>
        <v>13726.8</v>
      </c>
      <c r="K1154" s="119"/>
      <c r="L1154" s="119"/>
      <c r="M1154" s="1409"/>
    </row>
    <row r="1155" spans="1:14" s="280" customFormat="1" ht="22.2" hidden="1" customHeight="1">
      <c r="C1155" s="321" t="s">
        <v>1215</v>
      </c>
      <c r="D1155" s="182" t="s">
        <v>1216</v>
      </c>
      <c r="E1155" s="70"/>
      <c r="F1155" s="70"/>
      <c r="G1155" s="70"/>
      <c r="H1155" s="71"/>
      <c r="K1155" s="119"/>
      <c r="L1155" s="119"/>
      <c r="M1155" s="1409"/>
    </row>
    <row r="1156" spans="1:14" s="280" customFormat="1" ht="22.2" hidden="1" customHeight="1">
      <c r="C1156" s="66" t="s">
        <v>1217</v>
      </c>
      <c r="D1156" s="67"/>
      <c r="E1156" s="67"/>
      <c r="F1156" s="67"/>
      <c r="G1156" s="69"/>
      <c r="H1156" s="292">
        <v>0</v>
      </c>
      <c r="K1156" s="119"/>
      <c r="L1156" s="119"/>
      <c r="M1156" s="1409"/>
    </row>
    <row r="1157" spans="1:14" s="297" customFormat="1" ht="22.2" hidden="1" customHeight="1">
      <c r="C1157" s="293" t="s">
        <v>1218</v>
      </c>
      <c r="D1157" s="294" t="s">
        <v>1219</v>
      </c>
      <c r="E1157" s="295"/>
      <c r="F1157" s="295"/>
      <c r="G1157" s="296"/>
      <c r="H1157" s="284">
        <f>H1156+H1154+H1150</f>
        <v>15588.8</v>
      </c>
      <c r="K1157" s="119"/>
      <c r="L1157" s="119"/>
      <c r="M1157" s="1409"/>
    </row>
    <row r="1158" spans="1:14" s="297" customFormat="1" ht="22.2" hidden="1" customHeight="1">
      <c r="C1158" s="293" t="s">
        <v>1220</v>
      </c>
      <c r="D1158" s="294" t="s">
        <v>1321</v>
      </c>
      <c r="E1158" s="295"/>
      <c r="F1158" s="296"/>
      <c r="G1158" s="298">
        <f>$D$4</f>
        <v>0.1</v>
      </c>
      <c r="H1158" s="284">
        <f>H1157*G1158</f>
        <v>1558.88</v>
      </c>
      <c r="K1158" s="119"/>
      <c r="L1158" s="119"/>
      <c r="M1158" s="1409"/>
    </row>
    <row r="1159" spans="1:14" s="297" customFormat="1" ht="22.2" hidden="1" customHeight="1" thickBot="1">
      <c r="C1159" s="299" t="s">
        <v>1221</v>
      </c>
      <c r="D1159" s="300" t="s">
        <v>1222</v>
      </c>
      <c r="E1159" s="301"/>
      <c r="F1159" s="301"/>
      <c r="G1159" s="302"/>
      <c r="H1159" s="303">
        <f>SUM(H1157:H1158)</f>
        <v>17147.68</v>
      </c>
      <c r="K1159" s="119"/>
      <c r="L1159" s="119"/>
      <c r="M1159" s="1409"/>
    </row>
    <row r="1160" spans="1:14" s="297" customFormat="1" ht="22.2" customHeight="1">
      <c r="C1160" s="289"/>
      <c r="H1160" s="139"/>
      <c r="K1160" s="119"/>
      <c r="L1160" s="119"/>
      <c r="M1160" s="1409"/>
    </row>
    <row r="1161" spans="1:14" s="280" customFormat="1" ht="14.4" thickBot="1">
      <c r="A1161" s="280" t="s">
        <v>8809</v>
      </c>
      <c r="C1161" s="119" t="s">
        <v>2253</v>
      </c>
      <c r="D1161" s="48" t="s">
        <v>1306</v>
      </c>
      <c r="E1161" s="48"/>
      <c r="F1161" s="48"/>
      <c r="G1161" s="48"/>
      <c r="H1161" s="48"/>
      <c r="K1161" s="120">
        <f>ROUNDDOWN(H1180,-2)</f>
        <v>225000</v>
      </c>
      <c r="L1161" s="120">
        <f>1.3*2.45</f>
        <v>3.1850000000000005</v>
      </c>
      <c r="M1161" s="1408">
        <f>K1161*L1161</f>
        <v>716625.00000000012</v>
      </c>
      <c r="N1161" s="1415">
        <f>M1161</f>
        <v>716625.00000000012</v>
      </c>
    </row>
    <row r="1162" spans="1:14" s="289" customFormat="1" ht="31.65" customHeight="1" thickTop="1">
      <c r="C1162" s="51" t="s">
        <v>1195</v>
      </c>
      <c r="D1162" s="52" t="s">
        <v>1196</v>
      </c>
      <c r="E1162" s="52" t="s">
        <v>1197</v>
      </c>
      <c r="F1162" s="52" t="s">
        <v>1198</v>
      </c>
      <c r="G1162" s="52" t="s">
        <v>1199</v>
      </c>
      <c r="H1162" s="53" t="s">
        <v>1200</v>
      </c>
      <c r="K1162" s="126"/>
      <c r="L1162" s="126"/>
      <c r="M1162" s="1410"/>
    </row>
    <row r="1163" spans="1:14" s="280" customFormat="1" ht="22.8" customHeight="1">
      <c r="C1163" s="290" t="s">
        <v>1201</v>
      </c>
      <c r="D1163" s="182" t="s">
        <v>1202</v>
      </c>
      <c r="E1163" s="70"/>
      <c r="F1163" s="70"/>
      <c r="G1163" s="70"/>
      <c r="H1163" s="71"/>
      <c r="K1163" s="119"/>
      <c r="L1163" s="119"/>
      <c r="M1163" s="1409"/>
    </row>
    <row r="1164" spans="1:14" s="280" customFormat="1" ht="22.8" customHeight="1">
      <c r="C1164" s="281">
        <v>1</v>
      </c>
      <c r="D1164" s="182" t="s">
        <v>5</v>
      </c>
      <c r="E1164" s="176" t="s">
        <v>6</v>
      </c>
      <c r="F1164" s="282">
        <v>0.66</v>
      </c>
      <c r="G1164" s="283">
        <f>VLOOKUP(D1164,upahbahan,3,FALSE)</f>
        <v>100000</v>
      </c>
      <c r="H1164" s="284">
        <f>F1164*G1164</f>
        <v>66000</v>
      </c>
      <c r="K1164" s="119"/>
      <c r="L1164" s="119"/>
      <c r="M1164" s="1409"/>
    </row>
    <row r="1165" spans="1:14" s="280" customFormat="1" ht="22.8" customHeight="1">
      <c r="C1165" s="281">
        <v>2</v>
      </c>
      <c r="D1165" s="182" t="s">
        <v>8</v>
      </c>
      <c r="E1165" s="176" t="s">
        <v>6</v>
      </c>
      <c r="F1165" s="282">
        <v>0.33</v>
      </c>
      <c r="G1165" s="283">
        <f>VLOOKUP(D1165,upahbahan,3,FALSE)</f>
        <v>135000</v>
      </c>
      <c r="H1165" s="284">
        <f>F1165*G1165</f>
        <v>44550</v>
      </c>
      <c r="K1165" s="119"/>
      <c r="L1165" s="119"/>
      <c r="M1165" s="1409"/>
    </row>
    <row r="1166" spans="1:14" s="59" customFormat="1" ht="22.8" customHeight="1">
      <c r="C1166" s="281">
        <v>3</v>
      </c>
      <c r="D1166" s="182" t="s">
        <v>18</v>
      </c>
      <c r="E1166" s="176" t="s">
        <v>6</v>
      </c>
      <c r="F1166" s="282">
        <v>3.3000000000000002E-2</v>
      </c>
      <c r="G1166" s="283">
        <f>VLOOKUP(D1166,upahbahan,3,FALSE)</f>
        <v>150000</v>
      </c>
      <c r="H1166" s="284">
        <f>F1166*G1166</f>
        <v>4950</v>
      </c>
      <c r="K1166" s="119"/>
      <c r="L1166" s="119"/>
      <c r="M1166" s="1409"/>
    </row>
    <row r="1167" spans="1:14" s="280" customFormat="1" ht="22.8" customHeight="1">
      <c r="C1167" s="281">
        <v>4</v>
      </c>
      <c r="D1167" s="182" t="s">
        <v>19</v>
      </c>
      <c r="E1167" s="176" t="s">
        <v>6</v>
      </c>
      <c r="F1167" s="282">
        <v>1.0999999999999999E-2</v>
      </c>
      <c r="G1167" s="283">
        <f>VLOOKUP(D1167,upahbahan,3,FALSE)</f>
        <v>160000</v>
      </c>
      <c r="H1167" s="284">
        <f>F1167*G1167</f>
        <v>1760</v>
      </c>
      <c r="K1167" s="119"/>
      <c r="L1167" s="119"/>
      <c r="M1167" s="1409"/>
    </row>
    <row r="1168" spans="1:14" s="280" customFormat="1" ht="22.8" customHeight="1">
      <c r="C1168" s="66" t="s">
        <v>1208</v>
      </c>
      <c r="D1168" s="67"/>
      <c r="E1168" s="67"/>
      <c r="F1168" s="68"/>
      <c r="G1168" s="69"/>
      <c r="H1168" s="284">
        <f>SUM(H1164:H1167)</f>
        <v>117260</v>
      </c>
      <c r="K1168" s="119"/>
      <c r="L1168" s="119"/>
      <c r="M1168" s="1409"/>
    </row>
    <row r="1169" spans="1:17" s="280" customFormat="1" ht="22.8" customHeight="1">
      <c r="C1169" s="290" t="s">
        <v>1209</v>
      </c>
      <c r="D1169" s="182" t="s">
        <v>1210</v>
      </c>
      <c r="E1169" s="70"/>
      <c r="F1169" s="70"/>
      <c r="G1169" s="70"/>
      <c r="H1169" s="71"/>
      <c r="K1169" s="119"/>
      <c r="L1169" s="119"/>
      <c r="M1169" s="1409"/>
    </row>
    <row r="1170" spans="1:17" s="280" customFormat="1" ht="22.8" customHeight="1">
      <c r="C1170" s="310" t="s">
        <v>1203</v>
      </c>
      <c r="D1170" s="285" t="s">
        <v>262</v>
      </c>
      <c r="E1170" s="176" t="s">
        <v>65</v>
      </c>
      <c r="F1170" s="330">
        <v>0.4</v>
      </c>
      <c r="G1170" s="283">
        <f>VLOOKUP(D1170,upahbahan,3,FALSE)</f>
        <v>33901.875</v>
      </c>
      <c r="H1170" s="284">
        <f>F1170*G1170</f>
        <v>13560.75</v>
      </c>
      <c r="K1170" s="119"/>
      <c r="L1170" s="119"/>
      <c r="M1170" s="1409"/>
    </row>
    <row r="1171" spans="1:17" s="280" customFormat="1" ht="22.8" customHeight="1">
      <c r="C1171" s="310" t="s">
        <v>1204</v>
      </c>
      <c r="D1171" s="285" t="s">
        <v>755</v>
      </c>
      <c r="E1171" s="176" t="s">
        <v>529</v>
      </c>
      <c r="F1171" s="330">
        <v>0.2</v>
      </c>
      <c r="G1171" s="283">
        <f>VLOOKUP(D1171,upahbahan,3,FALSE)</f>
        <v>76500</v>
      </c>
      <c r="H1171" s="284">
        <f>F1171*G1171</f>
        <v>15300</v>
      </c>
      <c r="K1171" s="119"/>
      <c r="L1171" s="119"/>
      <c r="M1171" s="1409"/>
    </row>
    <row r="1172" spans="1:17" s="280" customFormat="1" ht="22.8" customHeight="1">
      <c r="C1172" s="310" t="s">
        <v>1205</v>
      </c>
      <c r="D1172" s="285" t="s">
        <v>115</v>
      </c>
      <c r="E1172" s="176" t="s">
        <v>42</v>
      </c>
      <c r="F1172" s="330">
        <v>4.6499999999999996E-3</v>
      </c>
      <c r="G1172" s="283">
        <f>VLOOKUP(D1172,upahbahan,3,FALSE)</f>
        <v>5904000</v>
      </c>
      <c r="H1172" s="284">
        <f>F1172*G1172</f>
        <v>27453.599999999999</v>
      </c>
      <c r="K1172" s="119"/>
      <c r="L1172" s="119"/>
      <c r="M1172" s="1409"/>
    </row>
    <row r="1173" spans="1:17" s="280" customFormat="1" ht="22.8" customHeight="1">
      <c r="C1173" s="310" t="s">
        <v>1206</v>
      </c>
      <c r="D1173" s="285" t="s">
        <v>136</v>
      </c>
      <c r="E1173" s="176" t="s">
        <v>129</v>
      </c>
      <c r="F1173" s="330">
        <v>0.127</v>
      </c>
      <c r="G1173" s="283">
        <f>VLOOKUP(D1173,upahbahan,3,FALSE)</f>
        <v>157500</v>
      </c>
      <c r="H1173" s="284">
        <f>F1173*G1173</f>
        <v>20002.5</v>
      </c>
      <c r="K1173" s="119"/>
      <c r="L1173" s="119"/>
      <c r="M1173" s="1409"/>
    </row>
    <row r="1174" spans="1:17" s="280" customFormat="1" ht="22.8" customHeight="1">
      <c r="C1174" s="310" t="s">
        <v>1207</v>
      </c>
      <c r="D1174" s="285" t="s">
        <v>112</v>
      </c>
      <c r="E1174" s="176" t="s">
        <v>106</v>
      </c>
      <c r="F1174" s="330">
        <v>1.95</v>
      </c>
      <c r="G1174" s="283">
        <f>VLOOKUP(D1174,upahbahan,3,FALSE)</f>
        <v>5625</v>
      </c>
      <c r="H1174" s="284">
        <f>F1174*G1174</f>
        <v>10968.75</v>
      </c>
      <c r="K1174" s="119"/>
      <c r="L1174" s="119"/>
      <c r="M1174" s="1409"/>
    </row>
    <row r="1175" spans="1:17" s="280" customFormat="1" ht="22.8" customHeight="1">
      <c r="C1175" s="66" t="s">
        <v>1214</v>
      </c>
      <c r="D1175" s="67"/>
      <c r="E1175" s="67"/>
      <c r="F1175" s="67"/>
      <c r="G1175" s="69"/>
      <c r="H1175" s="284">
        <f>SUM(H1170:H1174)</f>
        <v>87285.6</v>
      </c>
      <c r="K1175" s="119"/>
      <c r="L1175" s="119"/>
      <c r="M1175" s="1409"/>
    </row>
    <row r="1176" spans="1:17" s="280" customFormat="1" ht="22.8" customHeight="1">
      <c r="C1176" s="290" t="s">
        <v>1215</v>
      </c>
      <c r="D1176" s="182" t="s">
        <v>1216</v>
      </c>
      <c r="E1176" s="70"/>
      <c r="F1176" s="70"/>
      <c r="G1176" s="70"/>
      <c r="H1176" s="105"/>
      <c r="K1176" s="119"/>
      <c r="L1176" s="119"/>
      <c r="M1176" s="1409"/>
    </row>
    <row r="1177" spans="1:17" s="280" customFormat="1" ht="22.8" customHeight="1">
      <c r="C1177" s="66" t="s">
        <v>1217</v>
      </c>
      <c r="D1177" s="67"/>
      <c r="E1177" s="67"/>
      <c r="F1177" s="67"/>
      <c r="G1177" s="69"/>
      <c r="H1177" s="292">
        <v>0</v>
      </c>
      <c r="K1177" s="119"/>
      <c r="L1177" s="119"/>
      <c r="M1177" s="1409"/>
    </row>
    <row r="1178" spans="1:17" s="297" customFormat="1" ht="22.8" customHeight="1">
      <c r="C1178" s="293" t="s">
        <v>1218</v>
      </c>
      <c r="D1178" s="294" t="s">
        <v>1219</v>
      </c>
      <c r="E1178" s="295"/>
      <c r="F1178" s="295"/>
      <c r="G1178" s="296"/>
      <c r="H1178" s="284">
        <f>H1177+H1175+H1168</f>
        <v>204545.6</v>
      </c>
      <c r="K1178" s="119"/>
      <c r="L1178" s="119"/>
      <c r="M1178" s="1409"/>
    </row>
    <row r="1179" spans="1:17" s="297" customFormat="1" ht="22.8" customHeight="1">
      <c r="C1179" s="293" t="s">
        <v>1220</v>
      </c>
      <c r="D1179" s="294" t="s">
        <v>1321</v>
      </c>
      <c r="E1179" s="295"/>
      <c r="F1179" s="296"/>
      <c r="G1179" s="298">
        <f>$D$4</f>
        <v>0.1</v>
      </c>
      <c r="H1179" s="284">
        <f>H1178*G1179</f>
        <v>20454.560000000001</v>
      </c>
      <c r="K1179" s="119"/>
      <c r="L1179" s="119"/>
      <c r="M1179" s="1409"/>
    </row>
    <row r="1180" spans="1:17" s="297" customFormat="1" ht="22.8" customHeight="1" thickBot="1">
      <c r="C1180" s="299" t="s">
        <v>1221</v>
      </c>
      <c r="D1180" s="300" t="s">
        <v>1222</v>
      </c>
      <c r="E1180" s="301"/>
      <c r="F1180" s="301"/>
      <c r="G1180" s="302"/>
      <c r="H1180" s="303">
        <f>SUM(H1178:H1179)</f>
        <v>225000.16</v>
      </c>
      <c r="K1180" s="119"/>
      <c r="L1180" s="119"/>
      <c r="M1180" s="1409"/>
    </row>
    <row r="1181" spans="1:17" ht="13.8" thickTop="1">
      <c r="D1181" s="1174"/>
      <c r="L1181"/>
      <c r="M1181" s="1406"/>
    </row>
    <row r="1182" spans="1:17" s="280" customFormat="1" ht="33" hidden="1" customHeight="1" thickBot="1">
      <c r="A1182" s="280" t="s">
        <v>8807</v>
      </c>
      <c r="C1182" s="126" t="s">
        <v>2271</v>
      </c>
      <c r="D1182" s="47" t="s">
        <v>2272</v>
      </c>
      <c r="E1182" s="88"/>
      <c r="F1182" s="88"/>
      <c r="G1182" s="88"/>
      <c r="H1182" s="88"/>
      <c r="K1182" s="120">
        <f>ROUNDDOWN(H1200,-2)</f>
        <v>1291800</v>
      </c>
      <c r="L1182" s="120"/>
      <c r="M1182" s="1409"/>
      <c r="Q1182" s="333"/>
    </row>
    <row r="1183" spans="1:17" s="289" customFormat="1" ht="31.65" hidden="1" customHeight="1" thickTop="1">
      <c r="C1183" s="51" t="s">
        <v>1195</v>
      </c>
      <c r="D1183" s="52" t="s">
        <v>1196</v>
      </c>
      <c r="E1183" s="52" t="s">
        <v>1197</v>
      </c>
      <c r="F1183" s="52" t="s">
        <v>1198</v>
      </c>
      <c r="G1183" s="52" t="s">
        <v>1199</v>
      </c>
      <c r="H1183" s="53" t="s">
        <v>1200</v>
      </c>
      <c r="K1183" s="126"/>
      <c r="L1183" s="126"/>
      <c r="M1183" s="1410"/>
      <c r="Q1183" s="333"/>
    </row>
    <row r="1184" spans="1:17" s="280" customFormat="1" ht="21.6" hidden="1" customHeight="1">
      <c r="C1184" s="290" t="s">
        <v>1201</v>
      </c>
      <c r="D1184" s="182" t="s">
        <v>1202</v>
      </c>
      <c r="E1184" s="70"/>
      <c r="F1184" s="70"/>
      <c r="G1184" s="70"/>
      <c r="H1184" s="71"/>
      <c r="K1184" s="119"/>
      <c r="L1184" s="119"/>
      <c r="M1184" s="1409"/>
      <c r="Q1184" s="333"/>
    </row>
    <row r="1185" spans="3:17" s="280" customFormat="1" ht="21.6" hidden="1" customHeight="1">
      <c r="C1185" s="310" t="s">
        <v>1203</v>
      </c>
      <c r="D1185" s="182" t="s">
        <v>5</v>
      </c>
      <c r="E1185" s="176" t="s">
        <v>6</v>
      </c>
      <c r="F1185" s="282">
        <v>1.65</v>
      </c>
      <c r="G1185" s="283">
        <f>VLOOKUP(D1185,upahbahan,3,FALSE)</f>
        <v>100000</v>
      </c>
      <c r="H1185" s="284">
        <f>F1185*G1185</f>
        <v>165000</v>
      </c>
      <c r="K1185" s="119"/>
      <c r="L1185" s="119"/>
      <c r="M1185" s="1409"/>
      <c r="Q1185" s="333"/>
    </row>
    <row r="1186" spans="3:17" s="280" customFormat="1" ht="21.6" hidden="1" customHeight="1">
      <c r="C1186" s="310" t="s">
        <v>1204</v>
      </c>
      <c r="D1186" s="182" t="s">
        <v>7</v>
      </c>
      <c r="E1186" s="176" t="s">
        <v>6</v>
      </c>
      <c r="F1186" s="282">
        <v>0.27500000000000002</v>
      </c>
      <c r="G1186" s="283">
        <f>VLOOKUP(D1186,upahbahan,3,FALSE)</f>
        <v>135000</v>
      </c>
      <c r="H1186" s="284">
        <f>F1186*G1186</f>
        <v>37125</v>
      </c>
      <c r="K1186" s="119"/>
      <c r="L1186" s="119"/>
      <c r="M1186" s="1409"/>
      <c r="Q1186" s="333"/>
    </row>
    <row r="1187" spans="3:17" s="280" customFormat="1" ht="21.6" hidden="1" customHeight="1">
      <c r="C1187" s="310" t="s">
        <v>1205</v>
      </c>
      <c r="D1187" s="182" t="s">
        <v>1310</v>
      </c>
      <c r="E1187" s="176" t="s">
        <v>6</v>
      </c>
      <c r="F1187" s="282">
        <v>2.8000000000000001E-2</v>
      </c>
      <c r="G1187" s="283">
        <f>VLOOKUP(D1187,upahbahan,3,FALSE)</f>
        <v>150000</v>
      </c>
      <c r="H1187" s="284">
        <f>F1187*G1187</f>
        <v>4200</v>
      </c>
      <c r="K1187" s="119"/>
      <c r="L1187" s="119"/>
      <c r="M1187" s="1409"/>
      <c r="Q1187" s="333"/>
    </row>
    <row r="1188" spans="3:17" s="280" customFormat="1" ht="21.6" hidden="1" customHeight="1">
      <c r="C1188" s="310" t="s">
        <v>1206</v>
      </c>
      <c r="D1188" s="182" t="s">
        <v>19</v>
      </c>
      <c r="E1188" s="176" t="s">
        <v>6</v>
      </c>
      <c r="F1188" s="282">
        <v>8.9999999999999993E-3</v>
      </c>
      <c r="G1188" s="283">
        <f>VLOOKUP(D1188,upahbahan,3,FALSE)</f>
        <v>160000</v>
      </c>
      <c r="H1188" s="284">
        <f>F1188*G1188</f>
        <v>1440</v>
      </c>
      <c r="K1188" s="119"/>
      <c r="L1188" s="119"/>
      <c r="M1188" s="1409"/>
      <c r="Q1188" s="333"/>
    </row>
    <row r="1189" spans="3:17" s="280" customFormat="1" ht="21.6" hidden="1" customHeight="1">
      <c r="C1189" s="66" t="s">
        <v>1208</v>
      </c>
      <c r="D1189" s="67"/>
      <c r="E1189" s="67"/>
      <c r="F1189" s="68"/>
      <c r="G1189" s="69"/>
      <c r="H1189" s="284">
        <f>SUM(H1185:H1188)</f>
        <v>207765</v>
      </c>
      <c r="K1189" s="119"/>
      <c r="L1189" s="119"/>
      <c r="M1189" s="1409"/>
    </row>
    <row r="1190" spans="3:17" s="280" customFormat="1" ht="21.6" hidden="1" customHeight="1">
      <c r="C1190" s="290" t="s">
        <v>1209</v>
      </c>
      <c r="D1190" s="182" t="s">
        <v>1210</v>
      </c>
      <c r="E1190" s="70"/>
      <c r="F1190" s="70"/>
      <c r="G1190" s="70"/>
      <c r="H1190" s="71"/>
      <c r="K1190" s="119"/>
      <c r="L1190" s="119"/>
      <c r="M1190" s="1409"/>
    </row>
    <row r="1191" spans="3:17" s="280" customFormat="1" ht="21.6" hidden="1" customHeight="1">
      <c r="C1191" s="306" t="s">
        <v>1203</v>
      </c>
      <c r="D1191" s="182" t="s">
        <v>1796</v>
      </c>
      <c r="E1191" s="124" t="s">
        <v>65</v>
      </c>
      <c r="F1191" s="127">
        <v>348</v>
      </c>
      <c r="G1191" s="283">
        <f>VLOOKUP(D1191,upahbahan,3,FALSE)</f>
        <v>1530</v>
      </c>
      <c r="H1191" s="284">
        <f>F1191*G1191</f>
        <v>532440</v>
      </c>
      <c r="K1191" s="119"/>
      <c r="L1191" s="119"/>
      <c r="M1191" s="1409"/>
    </row>
    <row r="1192" spans="3:17" s="280" customFormat="1" ht="21.6" hidden="1" customHeight="1">
      <c r="C1192" s="306" t="s">
        <v>1204</v>
      </c>
      <c r="D1192" s="182" t="s">
        <v>79</v>
      </c>
      <c r="E1192" s="124" t="s">
        <v>65</v>
      </c>
      <c r="F1192" s="127">
        <v>790</v>
      </c>
      <c r="G1192" s="283">
        <f>VLOOKUP(D1192,upahbahan,3,FALSE)</f>
        <v>221.78700000000001</v>
      </c>
      <c r="H1192" s="284">
        <f>F1192*G1192</f>
        <v>175211.73</v>
      </c>
      <c r="K1192" s="119"/>
      <c r="L1192" s="119"/>
      <c r="M1192" s="1409"/>
    </row>
    <row r="1193" spans="3:17" s="280" customFormat="1" ht="21.6" hidden="1" customHeight="1">
      <c r="C1193" s="306" t="s">
        <v>1205</v>
      </c>
      <c r="D1193" s="182" t="s">
        <v>72</v>
      </c>
      <c r="E1193" s="124" t="s">
        <v>65</v>
      </c>
      <c r="F1193" s="127">
        <v>1009</v>
      </c>
      <c r="G1193" s="283">
        <f>VLOOKUP(D1193,upahbahan,3,FALSE)/1350</f>
        <v>216.66666666666666</v>
      </c>
      <c r="H1193" s="284">
        <f>F1193*G1193</f>
        <v>218616.66666666666</v>
      </c>
      <c r="K1193" s="119"/>
      <c r="L1193" s="119"/>
      <c r="M1193" s="1409"/>
    </row>
    <row r="1194" spans="3:17" s="280" customFormat="1" ht="21.6" hidden="1" customHeight="1">
      <c r="C1194" s="306" t="s">
        <v>1206</v>
      </c>
      <c r="D1194" s="182" t="s">
        <v>960</v>
      </c>
      <c r="E1194" s="124" t="s">
        <v>529</v>
      </c>
      <c r="F1194" s="127">
        <v>202</v>
      </c>
      <c r="G1194" s="283">
        <f>VLOOKUP(D1194,upahbahan,3,FALSE)</f>
        <v>200</v>
      </c>
      <c r="H1194" s="284">
        <f>F1194*G1194</f>
        <v>40400</v>
      </c>
      <c r="K1194" s="119"/>
      <c r="L1194" s="119"/>
      <c r="M1194" s="1409"/>
    </row>
    <row r="1195" spans="3:17" s="280" customFormat="1" ht="21.6" hidden="1" customHeight="1">
      <c r="C1195" s="66" t="s">
        <v>1214</v>
      </c>
      <c r="D1195" s="67"/>
      <c r="E1195" s="67"/>
      <c r="F1195" s="67"/>
      <c r="G1195" s="69"/>
      <c r="H1195" s="284">
        <f>SUM(H1191:H1194)</f>
        <v>966668.39666666661</v>
      </c>
      <c r="K1195" s="119"/>
      <c r="L1195" s="119"/>
      <c r="M1195" s="1409"/>
    </row>
    <row r="1196" spans="3:17" s="280" customFormat="1" ht="21.6" hidden="1" customHeight="1">
      <c r="C1196" s="290" t="s">
        <v>1215</v>
      </c>
      <c r="D1196" s="182" t="s">
        <v>1216</v>
      </c>
      <c r="E1196" s="70"/>
      <c r="F1196" s="70"/>
      <c r="G1196" s="70"/>
      <c r="H1196" s="105"/>
      <c r="K1196" s="119"/>
      <c r="L1196" s="119"/>
      <c r="M1196" s="1409"/>
    </row>
    <row r="1197" spans="3:17" s="280" customFormat="1" ht="21.6" hidden="1" customHeight="1">
      <c r="C1197" s="66" t="s">
        <v>1217</v>
      </c>
      <c r="D1197" s="67"/>
      <c r="E1197" s="67"/>
      <c r="F1197" s="67"/>
      <c r="G1197" s="69"/>
      <c r="H1197" s="292">
        <v>0</v>
      </c>
      <c r="K1197" s="119"/>
      <c r="L1197" s="119"/>
      <c r="M1197" s="1409"/>
    </row>
    <row r="1198" spans="3:17" s="297" customFormat="1" ht="21.6" hidden="1" customHeight="1">
      <c r="C1198" s="293" t="s">
        <v>1218</v>
      </c>
      <c r="D1198" s="294" t="s">
        <v>1219</v>
      </c>
      <c r="E1198" s="295"/>
      <c r="F1198" s="295"/>
      <c r="G1198" s="296"/>
      <c r="H1198" s="284">
        <f>H1197+H1195+H1189</f>
        <v>1174433.3966666665</v>
      </c>
      <c r="K1198" s="119"/>
      <c r="L1198" s="119"/>
      <c r="M1198" s="1409"/>
    </row>
    <row r="1199" spans="3:17" s="297" customFormat="1" ht="21.6" hidden="1" customHeight="1">
      <c r="C1199" s="293" t="s">
        <v>1220</v>
      </c>
      <c r="D1199" s="294" t="s">
        <v>1321</v>
      </c>
      <c r="E1199" s="295"/>
      <c r="F1199" s="296"/>
      <c r="G1199" s="298">
        <f>$D$4</f>
        <v>0.1</v>
      </c>
      <c r="H1199" s="284">
        <f>H1198*G1199</f>
        <v>117443.33966666665</v>
      </c>
      <c r="K1199" s="119"/>
      <c r="L1199" s="119"/>
      <c r="M1199" s="1409"/>
    </row>
    <row r="1200" spans="3:17" s="297" customFormat="1" ht="21.6" hidden="1" customHeight="1" thickBot="1">
      <c r="C1200" s="299" t="s">
        <v>1221</v>
      </c>
      <c r="D1200" s="300" t="s">
        <v>1222</v>
      </c>
      <c r="E1200" s="301"/>
      <c r="F1200" s="301"/>
      <c r="G1200" s="302"/>
      <c r="H1200" s="303">
        <f>SUM(H1198:H1199)</f>
        <v>1291876.7363333332</v>
      </c>
      <c r="K1200" s="119"/>
      <c r="L1200" s="119"/>
      <c r="M1200" s="1409"/>
    </row>
    <row r="1201" spans="1:14">
      <c r="D1201" s="1174"/>
      <c r="L1201"/>
      <c r="M1201" s="1406"/>
    </row>
    <row r="1202" spans="1:14" s="59" customFormat="1" ht="14.4" thickBot="1">
      <c r="A1202" s="59" t="s">
        <v>9058</v>
      </c>
      <c r="C1202" s="47" t="s">
        <v>2772</v>
      </c>
      <c r="D1202" s="451" t="s">
        <v>9217</v>
      </c>
      <c r="E1202" s="275"/>
      <c r="F1202" s="275"/>
      <c r="G1202" s="275"/>
      <c r="H1202" s="275"/>
      <c r="K1202" s="50">
        <f>ROUNDDOWN(H1218,-2)</f>
        <v>95100</v>
      </c>
      <c r="L1202" s="59">
        <f>((1.3+1.3+1.3)*1.5)+(1.2*1)</f>
        <v>7.0500000000000007</v>
      </c>
      <c r="M1202" s="1408">
        <f>K1202*L1202</f>
        <v>670455.00000000012</v>
      </c>
      <c r="N1202" s="59">
        <f>K1202*L1203</f>
        <v>741780.00000000012</v>
      </c>
    </row>
    <row r="1203" spans="1:14" s="59" customFormat="1" ht="42" thickTop="1">
      <c r="C1203" s="51" t="s">
        <v>1195</v>
      </c>
      <c r="D1203" s="52" t="s">
        <v>1196</v>
      </c>
      <c r="E1203" s="52" t="s">
        <v>1197</v>
      </c>
      <c r="F1203" s="52" t="s">
        <v>1198</v>
      </c>
      <c r="G1203" s="52" t="s">
        <v>1199</v>
      </c>
      <c r="H1203" s="53" t="s">
        <v>1200</v>
      </c>
      <c r="K1203" s="45"/>
      <c r="L1203" s="59">
        <f>1.5*(1.3+1.3+1.3+1.3)</f>
        <v>7.8000000000000007</v>
      </c>
      <c r="M1203" s="1408"/>
    </row>
    <row r="1204" spans="1:14" s="59" customFormat="1" ht="19.8" customHeight="1">
      <c r="C1204" s="55" t="s">
        <v>1201</v>
      </c>
      <c r="D1204" s="56" t="s">
        <v>1202</v>
      </c>
      <c r="E1204" s="57"/>
      <c r="F1204" s="57"/>
      <c r="G1204" s="57"/>
      <c r="H1204" s="58"/>
      <c r="K1204" s="45"/>
      <c r="M1204" s="1408"/>
    </row>
    <row r="1205" spans="1:14" s="59" customFormat="1" ht="19.8" customHeight="1">
      <c r="C1205" s="60">
        <v>1</v>
      </c>
      <c r="D1205" s="56" t="s">
        <v>5</v>
      </c>
      <c r="E1205" s="61" t="s">
        <v>6</v>
      </c>
      <c r="F1205" s="101">
        <v>0.16769999999999999</v>
      </c>
      <c r="G1205" s="63">
        <f>VLOOKUP(D1205,upahbahan,3,FALSE)</f>
        <v>100000</v>
      </c>
      <c r="H1205" s="64">
        <f>F1205*G1205</f>
        <v>16770</v>
      </c>
      <c r="K1205" s="45"/>
      <c r="M1205" s="1408"/>
    </row>
    <row r="1206" spans="1:14" s="59" customFormat="1" ht="19.8" customHeight="1">
      <c r="C1206" s="60">
        <v>2</v>
      </c>
      <c r="D1206" s="56" t="s">
        <v>7</v>
      </c>
      <c r="E1206" s="61" t="s">
        <v>6</v>
      </c>
      <c r="F1206" s="101">
        <v>8.3299999999999999E-2</v>
      </c>
      <c r="G1206" s="63">
        <f>VLOOKUP(D1206,upahbahan,3,FALSE)</f>
        <v>135000</v>
      </c>
      <c r="H1206" s="64">
        <f>F1206*G1206</f>
        <v>11245.5</v>
      </c>
      <c r="K1206" s="45"/>
      <c r="M1206" s="1408"/>
    </row>
    <row r="1207" spans="1:14" s="59" customFormat="1" ht="19.8" customHeight="1">
      <c r="C1207" s="60">
        <v>3</v>
      </c>
      <c r="D1207" s="56" t="s">
        <v>18</v>
      </c>
      <c r="E1207" s="61" t="s">
        <v>6</v>
      </c>
      <c r="F1207" s="101">
        <v>8.3000000000000001E-3</v>
      </c>
      <c r="G1207" s="63">
        <f>VLOOKUP(D1207,upahbahan,3,FALSE)</f>
        <v>150000</v>
      </c>
      <c r="H1207" s="64">
        <f>F1207*G1207</f>
        <v>1245</v>
      </c>
      <c r="K1207" s="45"/>
      <c r="M1207" s="1408"/>
    </row>
    <row r="1208" spans="1:14" s="59" customFormat="1" ht="19.8" customHeight="1">
      <c r="C1208" s="60">
        <v>4</v>
      </c>
      <c r="D1208" s="56" t="s">
        <v>19</v>
      </c>
      <c r="E1208" s="61" t="s">
        <v>6</v>
      </c>
      <c r="F1208" s="101">
        <v>2.8E-3</v>
      </c>
      <c r="G1208" s="63">
        <f>VLOOKUP(D1208,upahbahan,3,FALSE)</f>
        <v>160000</v>
      </c>
      <c r="H1208" s="64">
        <f>F1208*G1208</f>
        <v>448</v>
      </c>
      <c r="K1208" s="45"/>
      <c r="M1208" s="1408"/>
    </row>
    <row r="1209" spans="1:14" s="59" customFormat="1" ht="19.8" customHeight="1">
      <c r="C1209" s="66" t="s">
        <v>1331</v>
      </c>
      <c r="D1209" s="67"/>
      <c r="E1209" s="67"/>
      <c r="F1209" s="68"/>
      <c r="G1209" s="69"/>
      <c r="H1209" s="64">
        <f>SUM(H1205:H1208)</f>
        <v>29708.5</v>
      </c>
      <c r="K1209" s="45"/>
      <c r="M1209" s="1408"/>
    </row>
    <row r="1210" spans="1:14" s="59" customFormat="1" ht="19.8" customHeight="1">
      <c r="C1210" s="55" t="s">
        <v>1209</v>
      </c>
      <c r="D1210" s="56" t="s">
        <v>1210</v>
      </c>
      <c r="E1210" s="57"/>
      <c r="F1210" s="143"/>
      <c r="G1210" s="57"/>
      <c r="H1210" s="58"/>
      <c r="K1210" s="45"/>
      <c r="M1210" s="1408"/>
    </row>
    <row r="1211" spans="1:14" s="59" customFormat="1" ht="19.8" customHeight="1">
      <c r="C1211" s="60">
        <v>1</v>
      </c>
      <c r="D1211" s="56" t="s">
        <v>9215</v>
      </c>
      <c r="E1211" s="61" t="s">
        <v>44</v>
      </c>
      <c r="F1211" s="62">
        <v>8.33</v>
      </c>
      <c r="G1211" s="63">
        <f>VLOOKUP(D1211,upahbahan,3,FALSE)</f>
        <v>6120</v>
      </c>
      <c r="H1211" s="64">
        <f>F1211*G1211</f>
        <v>50979.6</v>
      </c>
      <c r="K1211" s="45"/>
      <c r="M1211" s="1408"/>
    </row>
    <row r="1212" spans="1:14" s="59" customFormat="1" ht="19.8" customHeight="1">
      <c r="C1212" s="60">
        <v>2</v>
      </c>
      <c r="D1212" s="56" t="s">
        <v>1014</v>
      </c>
      <c r="E1212" s="61" t="s">
        <v>65</v>
      </c>
      <c r="F1212" s="62">
        <v>3.4289999999999998</v>
      </c>
      <c r="G1212" s="63">
        <f>VLOOKUP(D1212,upahbahan,3,FALSE)</f>
        <v>1687.5</v>
      </c>
      <c r="H1212" s="64">
        <f>F1212*G1212</f>
        <v>5786.4375</v>
      </c>
      <c r="K1212" s="45"/>
      <c r="M1212" s="1408"/>
    </row>
    <row r="1213" spans="1:14" s="59" customFormat="1" ht="19.8" customHeight="1">
      <c r="C1213" s="66" t="s">
        <v>1214</v>
      </c>
      <c r="D1213" s="67"/>
      <c r="E1213" s="67"/>
      <c r="F1213" s="68"/>
      <c r="G1213" s="69"/>
      <c r="H1213" s="64">
        <f>SUM(H1211:H1212)</f>
        <v>56766.037499999999</v>
      </c>
      <c r="K1213" s="45"/>
      <c r="M1213" s="1408"/>
    </row>
    <row r="1214" spans="1:14" s="59" customFormat="1" ht="19.8" customHeight="1">
      <c r="C1214" s="167" t="s">
        <v>1215</v>
      </c>
      <c r="D1214" s="56" t="s">
        <v>1216</v>
      </c>
      <c r="E1214" s="57"/>
      <c r="F1214" s="57"/>
      <c r="G1214" s="57"/>
      <c r="H1214" s="58"/>
      <c r="K1214" s="45"/>
      <c r="M1214" s="1408"/>
    </row>
    <row r="1215" spans="1:14" s="59" customFormat="1" ht="19.8" customHeight="1">
      <c r="C1215" s="66" t="s">
        <v>1217</v>
      </c>
      <c r="D1215" s="67"/>
      <c r="E1215" s="67"/>
      <c r="F1215" s="68"/>
      <c r="G1215" s="69"/>
      <c r="H1215" s="74">
        <v>0</v>
      </c>
      <c r="K1215" s="45"/>
      <c r="M1215" s="1408"/>
    </row>
    <row r="1216" spans="1:14" s="59" customFormat="1" ht="19.8" customHeight="1">
      <c r="C1216" s="75" t="s">
        <v>1218</v>
      </c>
      <c r="D1216" s="76" t="s">
        <v>1219</v>
      </c>
      <c r="E1216" s="77"/>
      <c r="F1216" s="77"/>
      <c r="G1216" s="78"/>
      <c r="H1216" s="64">
        <f>H1215+H1213+H1209</f>
        <v>86474.537500000006</v>
      </c>
      <c r="K1216" s="45"/>
      <c r="M1216" s="1408"/>
    </row>
    <row r="1217" spans="1:17" s="59" customFormat="1" ht="19.8" customHeight="1">
      <c r="C1217" s="75" t="s">
        <v>1220</v>
      </c>
      <c r="D1217" s="76" t="s">
        <v>1321</v>
      </c>
      <c r="E1217" s="77"/>
      <c r="F1217" s="78"/>
      <c r="G1217" s="298">
        <f>$D$4</f>
        <v>0.1</v>
      </c>
      <c r="H1217" s="64">
        <f>H1216*G1217</f>
        <v>8647.4537500000006</v>
      </c>
      <c r="K1217" s="45"/>
      <c r="M1217" s="1408"/>
    </row>
    <row r="1218" spans="1:17" s="59" customFormat="1" ht="19.8" customHeight="1" thickBot="1">
      <c r="C1218" s="81" t="s">
        <v>1221</v>
      </c>
      <c r="D1218" s="82" t="s">
        <v>1222</v>
      </c>
      <c r="E1218" s="83"/>
      <c r="F1218" s="83"/>
      <c r="G1218" s="84"/>
      <c r="H1218" s="85">
        <f>SUM(H1216:H1217)</f>
        <v>95121.991250000006</v>
      </c>
      <c r="K1218" s="45"/>
      <c r="M1218" s="1408"/>
    </row>
    <row r="1219" spans="1:17" ht="13.8" thickTop="1">
      <c r="D1219" s="1174"/>
      <c r="L1219"/>
      <c r="M1219" s="1406"/>
    </row>
    <row r="1220" spans="1:17" s="280" customFormat="1" ht="14.4" thickBot="1">
      <c r="A1220" s="280" t="s">
        <v>9059</v>
      </c>
      <c r="C1220" s="119" t="s">
        <v>2333</v>
      </c>
      <c r="D1220" s="47" t="s">
        <v>1318</v>
      </c>
      <c r="E1220" s="47"/>
      <c r="F1220" s="47"/>
      <c r="G1220" s="47"/>
      <c r="H1220" s="47"/>
      <c r="K1220" s="120">
        <f>ROUNDDOWN(H1244,-2)</f>
        <v>147800</v>
      </c>
      <c r="L1220" s="120">
        <f>(2.45+2.45+1.3+1.3)</f>
        <v>7.5</v>
      </c>
      <c r="M1220" s="1408"/>
      <c r="N1220" s="280">
        <f>L1220*K1220</f>
        <v>1108500</v>
      </c>
      <c r="Q1220" s="333"/>
    </row>
    <row r="1221" spans="1:17" s="289" customFormat="1" ht="31.65" customHeight="1" thickTop="1">
      <c r="C1221" s="51" t="s">
        <v>1195</v>
      </c>
      <c r="D1221" s="52" t="s">
        <v>1196</v>
      </c>
      <c r="E1221" s="52" t="s">
        <v>1197</v>
      </c>
      <c r="F1221" s="52" t="s">
        <v>1198</v>
      </c>
      <c r="G1221" s="52" t="s">
        <v>1199</v>
      </c>
      <c r="H1221" s="53" t="s">
        <v>1200</v>
      </c>
      <c r="K1221" s="126"/>
      <c r="L1221" s="126"/>
      <c r="M1221" s="1410"/>
      <c r="Q1221" s="333"/>
    </row>
    <row r="1222" spans="1:17" s="280" customFormat="1" ht="24" customHeight="1">
      <c r="C1222" s="290" t="s">
        <v>1201</v>
      </c>
      <c r="D1222" s="182" t="s">
        <v>1202</v>
      </c>
      <c r="E1222" s="70"/>
      <c r="F1222" s="70"/>
      <c r="G1222" s="70"/>
      <c r="H1222" s="71"/>
      <c r="K1222" s="119"/>
      <c r="L1222" s="119"/>
      <c r="M1222" s="1409"/>
      <c r="Q1222" s="333"/>
    </row>
    <row r="1223" spans="1:17" s="280" customFormat="1" ht="24" customHeight="1">
      <c r="C1223" s="310" t="s">
        <v>1203</v>
      </c>
      <c r="D1223" s="182" t="s">
        <v>5</v>
      </c>
      <c r="E1223" s="176" t="s">
        <v>6</v>
      </c>
      <c r="F1223" s="282">
        <v>0.29699999999999999</v>
      </c>
      <c r="G1223" s="283">
        <f t="shared" ref="G1223:G1228" si="62">VLOOKUP(D1223,upahbahan,3,FALSE)</f>
        <v>100000</v>
      </c>
      <c r="H1223" s="284">
        <f t="shared" ref="H1223:H1228" si="63">F1223*G1223</f>
        <v>29700</v>
      </c>
      <c r="K1223" s="119"/>
      <c r="L1223" s="119"/>
      <c r="M1223" s="1409"/>
      <c r="Q1223" s="333"/>
    </row>
    <row r="1224" spans="1:17" s="280" customFormat="1" ht="24" customHeight="1">
      <c r="C1224" s="310" t="s">
        <v>1204</v>
      </c>
      <c r="D1224" s="182" t="s">
        <v>7</v>
      </c>
      <c r="E1224" s="176" t="s">
        <v>6</v>
      </c>
      <c r="F1224" s="282">
        <v>3.3000000000000002E-2</v>
      </c>
      <c r="G1224" s="283">
        <f t="shared" si="62"/>
        <v>135000</v>
      </c>
      <c r="H1224" s="284">
        <f t="shared" si="63"/>
        <v>4455</v>
      </c>
      <c r="K1224" s="119"/>
      <c r="L1224" s="119"/>
      <c r="M1224" s="1409"/>
      <c r="Q1224" s="333"/>
    </row>
    <row r="1225" spans="1:17" s="280" customFormat="1" ht="24" customHeight="1">
      <c r="C1225" s="310" t="s">
        <v>1205</v>
      </c>
      <c r="D1225" s="182" t="s">
        <v>8</v>
      </c>
      <c r="E1225" s="176" t="s">
        <v>6</v>
      </c>
      <c r="F1225" s="282">
        <v>3.3000000000000002E-2</v>
      </c>
      <c r="G1225" s="283">
        <f t="shared" si="62"/>
        <v>135000</v>
      </c>
      <c r="H1225" s="284">
        <f t="shared" si="63"/>
        <v>4455</v>
      </c>
      <c r="K1225" s="119"/>
      <c r="L1225" s="119"/>
      <c r="M1225" s="1409"/>
      <c r="Q1225" s="333"/>
    </row>
    <row r="1226" spans="1:17" s="280" customFormat="1" ht="24" customHeight="1">
      <c r="C1226" s="310" t="s">
        <v>1206</v>
      </c>
      <c r="D1226" s="182" t="s">
        <v>9</v>
      </c>
      <c r="E1226" s="176" t="s">
        <v>6</v>
      </c>
      <c r="F1226" s="282">
        <v>3.3000000000000002E-2</v>
      </c>
      <c r="G1226" s="283">
        <f t="shared" si="62"/>
        <v>135000</v>
      </c>
      <c r="H1226" s="284">
        <f t="shared" si="63"/>
        <v>4455</v>
      </c>
      <c r="K1226" s="119"/>
      <c r="L1226" s="119"/>
      <c r="M1226" s="1409"/>
      <c r="Q1226" s="333"/>
    </row>
    <row r="1227" spans="1:17" s="280" customFormat="1" ht="24" customHeight="1">
      <c r="C1227" s="310" t="s">
        <v>1207</v>
      </c>
      <c r="D1227" s="182" t="s">
        <v>18</v>
      </c>
      <c r="E1227" s="176" t="s">
        <v>6</v>
      </c>
      <c r="F1227" s="282">
        <v>0.01</v>
      </c>
      <c r="G1227" s="283">
        <f t="shared" si="62"/>
        <v>150000</v>
      </c>
      <c r="H1227" s="284">
        <f t="shared" si="63"/>
        <v>1500</v>
      </c>
      <c r="K1227" s="119"/>
      <c r="L1227" s="119"/>
      <c r="M1227" s="1409"/>
      <c r="Q1227" s="333"/>
    </row>
    <row r="1228" spans="1:17" s="280" customFormat="1" ht="24" customHeight="1">
      <c r="C1228" s="310" t="s">
        <v>1211</v>
      </c>
      <c r="D1228" s="182" t="s">
        <v>19</v>
      </c>
      <c r="E1228" s="176" t="s">
        <v>6</v>
      </c>
      <c r="F1228" s="282">
        <v>3.0000000000000001E-3</v>
      </c>
      <c r="G1228" s="283">
        <f t="shared" si="62"/>
        <v>160000</v>
      </c>
      <c r="H1228" s="284">
        <f t="shared" si="63"/>
        <v>480</v>
      </c>
      <c r="K1228" s="119"/>
      <c r="L1228" s="119"/>
      <c r="M1228" s="1409"/>
      <c r="Q1228" s="333"/>
    </row>
    <row r="1229" spans="1:17" s="280" customFormat="1" ht="24" customHeight="1">
      <c r="C1229" s="66" t="s">
        <v>1208</v>
      </c>
      <c r="D1229" s="67"/>
      <c r="E1229" s="67"/>
      <c r="F1229" s="68"/>
      <c r="G1229" s="69"/>
      <c r="H1229" s="284">
        <f>SUM(H1223:H1228)</f>
        <v>45045</v>
      </c>
      <c r="K1229" s="119"/>
      <c r="L1229" s="119"/>
      <c r="M1229" s="1409"/>
    </row>
    <row r="1230" spans="1:17" s="280" customFormat="1" ht="24" customHeight="1">
      <c r="C1230" s="290" t="s">
        <v>1209</v>
      </c>
      <c r="D1230" s="182" t="s">
        <v>1210</v>
      </c>
      <c r="E1230" s="70"/>
      <c r="F1230" s="336"/>
      <c r="G1230" s="70"/>
      <c r="H1230" s="71"/>
      <c r="K1230" s="119"/>
      <c r="L1230" s="119"/>
      <c r="M1230" s="1409"/>
    </row>
    <row r="1231" spans="1:17" s="280" customFormat="1" ht="24" customHeight="1">
      <c r="C1231" s="306" t="s">
        <v>1203</v>
      </c>
      <c r="D1231" s="182" t="s">
        <v>124</v>
      </c>
      <c r="E1231" s="124" t="s">
        <v>42</v>
      </c>
      <c r="F1231" s="127">
        <v>3.0000000000000001E-3</v>
      </c>
      <c r="G1231" s="283">
        <f t="shared" ref="G1231:G1238" si="64">VLOOKUP(D1231,upahbahan,3,FALSE)</f>
        <v>3150000</v>
      </c>
      <c r="H1231" s="284">
        <f t="shared" ref="H1231:H1238" si="65">F1231*G1231</f>
        <v>9450</v>
      </c>
      <c r="K1231" s="119"/>
      <c r="L1231" s="119"/>
      <c r="M1231" s="1409"/>
    </row>
    <row r="1232" spans="1:17" s="280" customFormat="1" ht="24" customHeight="1">
      <c r="C1232" s="306" t="s">
        <v>1204</v>
      </c>
      <c r="D1232" s="182" t="s">
        <v>260</v>
      </c>
      <c r="E1232" s="124" t="s">
        <v>65</v>
      </c>
      <c r="F1232" s="127">
        <v>0.02</v>
      </c>
      <c r="G1232" s="283">
        <f t="shared" si="64"/>
        <v>33901.875</v>
      </c>
      <c r="H1232" s="284">
        <f t="shared" si="65"/>
        <v>678.03750000000002</v>
      </c>
      <c r="K1232" s="119"/>
      <c r="L1232" s="119"/>
      <c r="M1232" s="1409"/>
    </row>
    <row r="1233" spans="3:17" s="280" customFormat="1" ht="24" customHeight="1">
      <c r="C1233" s="306" t="s">
        <v>1205</v>
      </c>
      <c r="D1233" s="182" t="s">
        <v>755</v>
      </c>
      <c r="E1233" s="124" t="s">
        <v>529</v>
      </c>
      <c r="F1233" s="127">
        <v>0.2</v>
      </c>
      <c r="G1233" s="283">
        <f t="shared" si="64"/>
        <v>76500</v>
      </c>
      <c r="H1233" s="284">
        <f t="shared" si="65"/>
        <v>15300</v>
      </c>
      <c r="K1233" s="119"/>
      <c r="L1233" s="119"/>
      <c r="M1233" s="1409"/>
    </row>
    <row r="1234" spans="3:17" s="280" customFormat="1" ht="24" customHeight="1">
      <c r="C1234" s="306" t="s">
        <v>1206</v>
      </c>
      <c r="D1234" s="182" t="s">
        <v>232</v>
      </c>
      <c r="E1234" s="124" t="s">
        <v>65</v>
      </c>
      <c r="F1234" s="127">
        <v>3.6</v>
      </c>
      <c r="G1234" s="283">
        <f t="shared" si="64"/>
        <v>13050</v>
      </c>
      <c r="H1234" s="284">
        <f t="shared" si="65"/>
        <v>46980</v>
      </c>
      <c r="K1234" s="119"/>
      <c r="L1234" s="119"/>
      <c r="M1234" s="1409"/>
    </row>
    <row r="1235" spans="3:17" s="280" customFormat="1" ht="24" customHeight="1">
      <c r="C1235" s="306" t="s">
        <v>1207</v>
      </c>
      <c r="D1235" s="182" t="s">
        <v>251</v>
      </c>
      <c r="E1235" s="124" t="s">
        <v>65</v>
      </c>
      <c r="F1235" s="127">
        <v>0.05</v>
      </c>
      <c r="G1235" s="283">
        <f t="shared" si="64"/>
        <v>27720</v>
      </c>
      <c r="H1235" s="284">
        <f t="shared" si="65"/>
        <v>1386</v>
      </c>
      <c r="K1235" s="119"/>
      <c r="L1235" s="119"/>
      <c r="M1235" s="1409"/>
    </row>
    <row r="1236" spans="3:17" s="280" customFormat="1" ht="24" customHeight="1">
      <c r="C1236" s="306" t="s">
        <v>1211</v>
      </c>
      <c r="D1236" s="182" t="s">
        <v>2334</v>
      </c>
      <c r="E1236" s="124" t="s">
        <v>65</v>
      </c>
      <c r="F1236" s="127">
        <v>5.5</v>
      </c>
      <c r="G1236" s="283">
        <f t="shared" si="64"/>
        <v>1530</v>
      </c>
      <c r="H1236" s="284">
        <f t="shared" si="65"/>
        <v>8415</v>
      </c>
      <c r="K1236" s="119"/>
      <c r="L1236" s="119"/>
      <c r="M1236" s="1409"/>
    </row>
    <row r="1237" spans="3:17" s="280" customFormat="1" ht="24" customHeight="1">
      <c r="C1237" s="306" t="s">
        <v>1212</v>
      </c>
      <c r="D1237" s="182" t="s">
        <v>82</v>
      </c>
      <c r="E1237" s="124" t="s">
        <v>42</v>
      </c>
      <c r="F1237" s="127">
        <v>8.9999999999999993E-3</v>
      </c>
      <c r="G1237" s="283">
        <f t="shared" si="64"/>
        <v>310500</v>
      </c>
      <c r="H1237" s="284">
        <f t="shared" si="65"/>
        <v>2794.5</v>
      </c>
      <c r="K1237" s="119"/>
      <c r="L1237" s="119"/>
      <c r="M1237" s="1409"/>
    </row>
    <row r="1238" spans="3:17" s="280" customFormat="1" ht="24" customHeight="1">
      <c r="C1238" s="306" t="s">
        <v>1213</v>
      </c>
      <c r="D1238" s="182" t="s">
        <v>71</v>
      </c>
      <c r="E1238" s="124" t="s">
        <v>42</v>
      </c>
      <c r="F1238" s="127">
        <v>1.4999999999999999E-2</v>
      </c>
      <c r="G1238" s="283">
        <f t="shared" si="64"/>
        <v>292500</v>
      </c>
      <c r="H1238" s="284">
        <f t="shared" si="65"/>
        <v>4387.5</v>
      </c>
      <c r="K1238" s="119"/>
      <c r="L1238" s="119"/>
      <c r="M1238" s="1409"/>
    </row>
    <row r="1239" spans="3:17" s="280" customFormat="1" ht="24" customHeight="1">
      <c r="C1239" s="66" t="s">
        <v>1214</v>
      </c>
      <c r="D1239" s="67"/>
      <c r="E1239" s="67"/>
      <c r="F1239" s="68"/>
      <c r="G1239" s="69"/>
      <c r="H1239" s="284">
        <f>SUM(H1231:H1238)</f>
        <v>89391.037500000006</v>
      </c>
      <c r="K1239" s="119"/>
      <c r="L1239" s="119"/>
      <c r="M1239" s="1409"/>
    </row>
    <row r="1240" spans="3:17" s="280" customFormat="1" ht="24" customHeight="1">
      <c r="C1240" s="290" t="s">
        <v>1215</v>
      </c>
      <c r="D1240" s="182" t="s">
        <v>1216</v>
      </c>
      <c r="E1240" s="70"/>
      <c r="F1240" s="336"/>
      <c r="G1240" s="70"/>
      <c r="H1240" s="105"/>
      <c r="K1240" s="119"/>
      <c r="L1240" s="119"/>
      <c r="M1240" s="1409"/>
    </row>
    <row r="1241" spans="3:17" s="280" customFormat="1" ht="24" customHeight="1">
      <c r="C1241" s="66" t="s">
        <v>1217</v>
      </c>
      <c r="D1241" s="67"/>
      <c r="E1241" s="67"/>
      <c r="F1241" s="67"/>
      <c r="G1241" s="69"/>
      <c r="H1241" s="313">
        <v>0</v>
      </c>
      <c r="K1241" s="119"/>
      <c r="L1241" s="119"/>
      <c r="M1241" s="1409"/>
    </row>
    <row r="1242" spans="3:17" s="297" customFormat="1" ht="24" customHeight="1">
      <c r="C1242" s="293" t="s">
        <v>1218</v>
      </c>
      <c r="D1242" s="294" t="s">
        <v>1219</v>
      </c>
      <c r="E1242" s="295"/>
      <c r="F1242" s="295"/>
      <c r="G1242" s="296"/>
      <c r="H1242" s="284">
        <f>H1241+H1239+H1229</f>
        <v>134436.03750000001</v>
      </c>
      <c r="K1242" s="119"/>
      <c r="L1242" s="119"/>
      <c r="M1242" s="1409"/>
    </row>
    <row r="1243" spans="3:17" s="297" customFormat="1" ht="24" customHeight="1">
      <c r="C1243" s="293" t="s">
        <v>1220</v>
      </c>
      <c r="D1243" s="294" t="s">
        <v>1321</v>
      </c>
      <c r="E1243" s="295"/>
      <c r="F1243" s="296"/>
      <c r="G1243" s="298">
        <f>$D$4</f>
        <v>0.1</v>
      </c>
      <c r="H1243" s="284">
        <f>H1242*G1243</f>
        <v>13443.603750000002</v>
      </c>
      <c r="K1243" s="119"/>
      <c r="L1243" s="119"/>
      <c r="M1243" s="1409"/>
    </row>
    <row r="1244" spans="3:17" s="297" customFormat="1" ht="24" customHeight="1" thickBot="1">
      <c r="C1244" s="299" t="s">
        <v>1221</v>
      </c>
      <c r="D1244" s="300" t="s">
        <v>1222</v>
      </c>
      <c r="E1244" s="301"/>
      <c r="F1244" s="301"/>
      <c r="G1244" s="302"/>
      <c r="H1244" s="303">
        <f>SUM(H1242:H1243)</f>
        <v>147879.64125000002</v>
      </c>
      <c r="K1244" s="119"/>
      <c r="L1244" s="119"/>
      <c r="M1244" s="1409"/>
    </row>
    <row r="1245" spans="3:17" ht="13.8" thickTop="1">
      <c r="D1245" s="1174"/>
      <c r="L1245"/>
      <c r="M1245" s="1406"/>
    </row>
    <row r="1246" spans="3:17" s="280" customFormat="1" ht="14.4" thickBot="1">
      <c r="C1246" s="119" t="s">
        <v>2331</v>
      </c>
      <c r="D1246" s="47" t="s">
        <v>1317</v>
      </c>
      <c r="E1246" s="47"/>
      <c r="F1246" s="47"/>
      <c r="G1246" s="47"/>
      <c r="H1246" s="47"/>
      <c r="K1246" s="120">
        <f>ROUNDDOWN(H1269,-2)</f>
        <v>105800</v>
      </c>
      <c r="L1246" s="120">
        <f>1.3*4</f>
        <v>5.2</v>
      </c>
      <c r="M1246" s="1408"/>
      <c r="N1246" s="280">
        <f>L1246*K1246</f>
        <v>550160</v>
      </c>
      <c r="Q1246" s="333"/>
    </row>
    <row r="1247" spans="3:17" s="289" customFormat="1" ht="31.65" customHeight="1" thickTop="1">
      <c r="C1247" s="51" t="s">
        <v>1195</v>
      </c>
      <c r="D1247" s="52" t="s">
        <v>1196</v>
      </c>
      <c r="E1247" s="52" t="s">
        <v>1197</v>
      </c>
      <c r="F1247" s="52" t="s">
        <v>1198</v>
      </c>
      <c r="G1247" s="52" t="s">
        <v>1199</v>
      </c>
      <c r="H1247" s="53" t="s">
        <v>1200</v>
      </c>
      <c r="K1247" s="126"/>
      <c r="L1247" s="126"/>
      <c r="M1247" s="1410"/>
      <c r="Q1247" s="333"/>
    </row>
    <row r="1248" spans="3:17" s="280" customFormat="1" ht="24.6" customHeight="1">
      <c r="C1248" s="290" t="s">
        <v>1201</v>
      </c>
      <c r="D1248" s="182" t="s">
        <v>1202</v>
      </c>
      <c r="E1248" s="70"/>
      <c r="F1248" s="70"/>
      <c r="G1248" s="70"/>
      <c r="H1248" s="71"/>
      <c r="K1248" s="119"/>
      <c r="L1248" s="119"/>
      <c r="M1248" s="1409"/>
      <c r="Q1248" s="333"/>
    </row>
    <row r="1249" spans="3:17" s="280" customFormat="1" ht="24.6" customHeight="1">
      <c r="C1249" s="310" t="s">
        <v>1203</v>
      </c>
      <c r="D1249" s="182" t="s">
        <v>5</v>
      </c>
      <c r="E1249" s="176" t="s">
        <v>6</v>
      </c>
      <c r="F1249" s="282">
        <v>0.18</v>
      </c>
      <c r="G1249" s="283">
        <f t="shared" ref="G1249:G1254" si="66">VLOOKUP(D1249,upahbahan,3,FALSE)</f>
        <v>100000</v>
      </c>
      <c r="H1249" s="284">
        <f t="shared" ref="H1249:H1252" si="67">F1249*G1249</f>
        <v>18000</v>
      </c>
      <c r="K1249" s="119"/>
      <c r="L1249" s="119"/>
      <c r="M1249" s="1409"/>
      <c r="Q1249" s="333"/>
    </row>
    <row r="1250" spans="3:17" s="280" customFormat="1" ht="24.6" customHeight="1">
      <c r="C1250" s="310" t="s">
        <v>1204</v>
      </c>
      <c r="D1250" s="182" t="s">
        <v>7</v>
      </c>
      <c r="E1250" s="176" t="s">
        <v>6</v>
      </c>
      <c r="F1250" s="282">
        <v>0.02</v>
      </c>
      <c r="G1250" s="283">
        <f t="shared" si="66"/>
        <v>135000</v>
      </c>
      <c r="H1250" s="284">
        <f t="shared" si="67"/>
        <v>2700</v>
      </c>
      <c r="K1250" s="119"/>
      <c r="L1250" s="119"/>
      <c r="M1250" s="1409"/>
      <c r="Q1250" s="333"/>
    </row>
    <row r="1251" spans="3:17" s="280" customFormat="1" ht="24.6" customHeight="1">
      <c r="C1251" s="310" t="s">
        <v>1205</v>
      </c>
      <c r="D1251" s="182" t="s">
        <v>8</v>
      </c>
      <c r="E1251" s="176" t="s">
        <v>6</v>
      </c>
      <c r="F1251" s="282">
        <v>0.02</v>
      </c>
      <c r="G1251" s="283">
        <f t="shared" si="66"/>
        <v>135000</v>
      </c>
      <c r="H1251" s="284">
        <f t="shared" si="67"/>
        <v>2700</v>
      </c>
      <c r="K1251" s="119"/>
      <c r="L1251" s="119"/>
      <c r="M1251" s="1409"/>
      <c r="Q1251" s="333"/>
    </row>
    <row r="1252" spans="3:17" s="280" customFormat="1" ht="24.6" customHeight="1">
      <c r="C1252" s="310" t="s">
        <v>1206</v>
      </c>
      <c r="D1252" s="182" t="s">
        <v>9</v>
      </c>
      <c r="E1252" s="176" t="s">
        <v>6</v>
      </c>
      <c r="F1252" s="282">
        <v>0.02</v>
      </c>
      <c r="G1252" s="283">
        <f t="shared" si="66"/>
        <v>135000</v>
      </c>
      <c r="H1252" s="284">
        <f t="shared" si="67"/>
        <v>2700</v>
      </c>
      <c r="K1252" s="119"/>
      <c r="L1252" s="119"/>
      <c r="M1252" s="1409"/>
      <c r="Q1252" s="333"/>
    </row>
    <row r="1253" spans="3:17" s="280" customFormat="1" ht="24.6" customHeight="1">
      <c r="C1253" s="310" t="s">
        <v>1207</v>
      </c>
      <c r="D1253" s="182" t="s">
        <v>18</v>
      </c>
      <c r="E1253" s="176" t="s">
        <v>6</v>
      </c>
      <c r="F1253" s="282">
        <v>6.0000000000000001E-3</v>
      </c>
      <c r="G1253" s="283">
        <f t="shared" si="66"/>
        <v>150000</v>
      </c>
      <c r="H1253" s="284">
        <f>F1253*G1253</f>
        <v>900</v>
      </c>
      <c r="K1253" s="119"/>
      <c r="L1253" s="119"/>
      <c r="M1253" s="1409"/>
      <c r="Q1253" s="333"/>
    </row>
    <row r="1254" spans="3:17" s="280" customFormat="1" ht="24.6" customHeight="1">
      <c r="C1254" s="310" t="s">
        <v>1211</v>
      </c>
      <c r="D1254" s="182" t="s">
        <v>19</v>
      </c>
      <c r="E1254" s="176" t="s">
        <v>6</v>
      </c>
      <c r="F1254" s="282">
        <v>2E-3</v>
      </c>
      <c r="G1254" s="283">
        <f t="shared" si="66"/>
        <v>160000</v>
      </c>
      <c r="H1254" s="284">
        <f>F1254*G1254</f>
        <v>320</v>
      </c>
      <c r="K1254" s="119"/>
      <c r="L1254" s="119"/>
      <c r="M1254" s="1409"/>
      <c r="Q1254" s="333"/>
    </row>
    <row r="1255" spans="3:17" s="280" customFormat="1" ht="24.6" customHeight="1">
      <c r="C1255" s="66" t="s">
        <v>1208</v>
      </c>
      <c r="D1255" s="67"/>
      <c r="E1255" s="67"/>
      <c r="F1255" s="68"/>
      <c r="G1255" s="69"/>
      <c r="H1255" s="284">
        <f>SUM(H1249:H1254)</f>
        <v>27320</v>
      </c>
      <c r="K1255" s="119"/>
      <c r="L1255" s="119"/>
      <c r="M1255" s="1409"/>
    </row>
    <row r="1256" spans="3:17" s="280" customFormat="1" ht="24.6" customHeight="1">
      <c r="C1256" s="290" t="s">
        <v>1209</v>
      </c>
      <c r="D1256" s="182" t="s">
        <v>1210</v>
      </c>
      <c r="E1256" s="70"/>
      <c r="F1256" s="336"/>
      <c r="G1256" s="70"/>
      <c r="H1256" s="71"/>
      <c r="K1256" s="119"/>
      <c r="L1256" s="119"/>
      <c r="M1256" s="1409"/>
    </row>
    <row r="1257" spans="3:17" s="280" customFormat="1" ht="24.6" customHeight="1">
      <c r="C1257" s="306" t="s">
        <v>1203</v>
      </c>
      <c r="D1257" s="182" t="s">
        <v>124</v>
      </c>
      <c r="E1257" s="124" t="s">
        <v>42</v>
      </c>
      <c r="F1257" s="127">
        <v>2E-3</v>
      </c>
      <c r="G1257" s="283">
        <f t="shared" ref="G1257:G1263" si="68">VLOOKUP(D1257,upahbahan,3,FALSE)</f>
        <v>3150000</v>
      </c>
      <c r="H1257" s="284">
        <f>F1257*G1257</f>
        <v>6300</v>
      </c>
      <c r="K1257" s="119"/>
      <c r="L1257" s="119"/>
      <c r="M1257" s="1409"/>
    </row>
    <row r="1258" spans="3:17" s="280" customFormat="1" ht="24.6" customHeight="1">
      <c r="C1258" s="306" t="s">
        <v>1204</v>
      </c>
      <c r="D1258" s="182" t="s">
        <v>260</v>
      </c>
      <c r="E1258" s="124" t="s">
        <v>65</v>
      </c>
      <c r="F1258" s="127">
        <v>0.01</v>
      </c>
      <c r="G1258" s="283">
        <f t="shared" si="68"/>
        <v>33901.875</v>
      </c>
      <c r="H1258" s="284">
        <f t="shared" ref="H1258:H1263" si="69">F1258*G1258</f>
        <v>339.01875000000001</v>
      </c>
      <c r="K1258" s="119"/>
      <c r="L1258" s="119"/>
      <c r="M1258" s="1409"/>
    </row>
    <row r="1259" spans="3:17" s="280" customFormat="1" ht="24.6" customHeight="1">
      <c r="C1259" s="306" t="s">
        <v>1205</v>
      </c>
      <c r="D1259" s="182" t="s">
        <v>232</v>
      </c>
      <c r="E1259" s="124" t="s">
        <v>65</v>
      </c>
      <c r="F1259" s="127">
        <v>3</v>
      </c>
      <c r="G1259" s="283">
        <f t="shared" si="68"/>
        <v>13050</v>
      </c>
      <c r="H1259" s="284">
        <f t="shared" si="69"/>
        <v>39150</v>
      </c>
      <c r="K1259" s="119"/>
      <c r="L1259" s="119"/>
      <c r="M1259" s="1409"/>
    </row>
    <row r="1260" spans="3:17" s="280" customFormat="1" ht="24.6" customHeight="1">
      <c r="C1260" s="306" t="s">
        <v>1206</v>
      </c>
      <c r="D1260" s="182" t="s">
        <v>251</v>
      </c>
      <c r="E1260" s="124" t="s">
        <v>65</v>
      </c>
      <c r="F1260" s="127">
        <v>0.45</v>
      </c>
      <c r="G1260" s="283">
        <f t="shared" si="68"/>
        <v>27720</v>
      </c>
      <c r="H1260" s="284">
        <f t="shared" si="69"/>
        <v>12474</v>
      </c>
      <c r="K1260" s="119"/>
      <c r="L1260" s="119"/>
      <c r="M1260" s="1409"/>
    </row>
    <row r="1261" spans="3:17" s="280" customFormat="1" ht="24.6" customHeight="1">
      <c r="C1261" s="306" t="s">
        <v>1207</v>
      </c>
      <c r="D1261" s="182" t="s">
        <v>2332</v>
      </c>
      <c r="E1261" s="124" t="s">
        <v>65</v>
      </c>
      <c r="F1261" s="127">
        <v>4</v>
      </c>
      <c r="G1261" s="283">
        <f t="shared" si="68"/>
        <v>1530</v>
      </c>
      <c r="H1261" s="284">
        <f t="shared" si="69"/>
        <v>6120</v>
      </c>
      <c r="K1261" s="119"/>
      <c r="L1261" s="119"/>
      <c r="M1261" s="1409"/>
    </row>
    <row r="1262" spans="3:17" s="280" customFormat="1" ht="24.6" customHeight="1">
      <c r="C1262" s="306" t="s">
        <v>1211</v>
      </c>
      <c r="D1262" s="182" t="s">
        <v>82</v>
      </c>
      <c r="E1262" s="124" t="s">
        <v>42</v>
      </c>
      <c r="F1262" s="127">
        <v>6.0000000000000001E-3</v>
      </c>
      <c r="G1262" s="283">
        <f t="shared" si="68"/>
        <v>310500</v>
      </c>
      <c r="H1262" s="284">
        <f t="shared" si="69"/>
        <v>1863</v>
      </c>
      <c r="K1262" s="119"/>
      <c r="L1262" s="119"/>
      <c r="M1262" s="1409"/>
    </row>
    <row r="1263" spans="3:17" s="280" customFormat="1" ht="24.6" customHeight="1">
      <c r="C1263" s="306" t="s">
        <v>1212</v>
      </c>
      <c r="D1263" s="182" t="s">
        <v>71</v>
      </c>
      <c r="E1263" s="124" t="s">
        <v>42</v>
      </c>
      <c r="F1263" s="127">
        <v>8.9999999999999993E-3</v>
      </c>
      <c r="G1263" s="283">
        <f t="shared" si="68"/>
        <v>292500</v>
      </c>
      <c r="H1263" s="284">
        <f t="shared" si="69"/>
        <v>2632.5</v>
      </c>
      <c r="K1263" s="119"/>
      <c r="L1263" s="119"/>
      <c r="M1263" s="1409"/>
    </row>
    <row r="1264" spans="3:17" s="280" customFormat="1" ht="24.6" customHeight="1">
      <c r="C1264" s="66" t="s">
        <v>1214</v>
      </c>
      <c r="D1264" s="67"/>
      <c r="E1264" s="67"/>
      <c r="F1264" s="68"/>
      <c r="G1264" s="69"/>
      <c r="H1264" s="284">
        <f>SUM(H1257:H1263)</f>
        <v>68878.518750000003</v>
      </c>
      <c r="K1264" s="119"/>
      <c r="L1264" s="119"/>
      <c r="M1264" s="1409"/>
    </row>
    <row r="1265" spans="3:17" s="280" customFormat="1" ht="24.6" customHeight="1">
      <c r="C1265" s="290" t="s">
        <v>1215</v>
      </c>
      <c r="D1265" s="182" t="s">
        <v>1216</v>
      </c>
      <c r="E1265" s="70"/>
      <c r="F1265" s="336"/>
      <c r="G1265" s="70"/>
      <c r="H1265" s="105"/>
      <c r="K1265" s="119"/>
      <c r="L1265" s="119"/>
      <c r="M1265" s="1409"/>
    </row>
    <row r="1266" spans="3:17" s="280" customFormat="1" ht="24.6" customHeight="1">
      <c r="C1266" s="66" t="s">
        <v>1217</v>
      </c>
      <c r="D1266" s="67"/>
      <c r="E1266" s="67"/>
      <c r="F1266" s="67"/>
      <c r="G1266" s="69"/>
      <c r="H1266" s="313">
        <v>0</v>
      </c>
      <c r="K1266" s="119"/>
      <c r="L1266" s="119"/>
      <c r="M1266" s="1409"/>
    </row>
    <row r="1267" spans="3:17" s="297" customFormat="1" ht="24.6" customHeight="1">
      <c r="C1267" s="293" t="s">
        <v>1218</v>
      </c>
      <c r="D1267" s="294" t="s">
        <v>1219</v>
      </c>
      <c r="E1267" s="295"/>
      <c r="F1267" s="295"/>
      <c r="G1267" s="296"/>
      <c r="H1267" s="284">
        <f>H1266+H1264+H1255</f>
        <v>96198.518750000003</v>
      </c>
      <c r="K1267" s="119"/>
      <c r="L1267" s="119"/>
      <c r="M1267" s="1409"/>
    </row>
    <row r="1268" spans="3:17" s="297" customFormat="1" ht="24.6" customHeight="1">
      <c r="C1268" s="293" t="s">
        <v>1220</v>
      </c>
      <c r="D1268" s="294" t="s">
        <v>1321</v>
      </c>
      <c r="E1268" s="295"/>
      <c r="F1268" s="296"/>
      <c r="G1268" s="298">
        <f>$D$4</f>
        <v>0.1</v>
      </c>
      <c r="H1268" s="284">
        <f>H1267*G1268</f>
        <v>9619.8518750000003</v>
      </c>
      <c r="K1268" s="119"/>
      <c r="L1268" s="119"/>
      <c r="M1268" s="1409"/>
    </row>
    <row r="1269" spans="3:17" s="297" customFormat="1" ht="24.6" customHeight="1" thickBot="1">
      <c r="C1269" s="299" t="s">
        <v>1221</v>
      </c>
      <c r="D1269" s="300" t="s">
        <v>1222</v>
      </c>
      <c r="E1269" s="301"/>
      <c r="F1269" s="301"/>
      <c r="G1269" s="302"/>
      <c r="H1269" s="303">
        <f>SUM(H1267:H1268)</f>
        <v>105818.37062500001</v>
      </c>
      <c r="K1269" s="119"/>
      <c r="L1269" s="119"/>
      <c r="M1269" s="1409"/>
    </row>
    <row r="1270" spans="3:17" s="280" customFormat="1" ht="14.4" thickTop="1">
      <c r="C1270" s="289"/>
      <c r="K1270" s="119"/>
      <c r="L1270" s="119"/>
      <c r="M1270" s="1409"/>
    </row>
    <row r="1271" spans="3:17" s="280" customFormat="1" ht="13.8" hidden="1">
      <c r="C1271" s="119" t="s">
        <v>2333</v>
      </c>
      <c r="D1271" s="47" t="s">
        <v>1318</v>
      </c>
      <c r="E1271" s="47"/>
      <c r="F1271" s="47"/>
      <c r="G1271" s="47"/>
      <c r="H1271" s="47"/>
      <c r="K1271" s="120">
        <f>ROUNDDOWN(H1295,-2)</f>
        <v>147800</v>
      </c>
      <c r="L1271" s="120"/>
      <c r="M1271" s="1409"/>
      <c r="Q1271" s="333"/>
    </row>
    <row r="1272" spans="3:17" s="289" customFormat="1" ht="31.65" hidden="1" customHeight="1" thickTop="1">
      <c r="C1272" s="51" t="s">
        <v>1195</v>
      </c>
      <c r="D1272" s="52" t="s">
        <v>1196</v>
      </c>
      <c r="E1272" s="52" t="s">
        <v>1197</v>
      </c>
      <c r="F1272" s="52" t="s">
        <v>1198</v>
      </c>
      <c r="G1272" s="52" t="s">
        <v>1199</v>
      </c>
      <c r="H1272" s="53" t="s">
        <v>1200</v>
      </c>
      <c r="K1272" s="126"/>
      <c r="L1272" s="126"/>
      <c r="M1272" s="1410"/>
      <c r="Q1272" s="333"/>
    </row>
    <row r="1273" spans="3:17" s="280" customFormat="1" ht="24" hidden="1" customHeight="1">
      <c r="C1273" s="290" t="s">
        <v>1201</v>
      </c>
      <c r="D1273" s="182" t="s">
        <v>1202</v>
      </c>
      <c r="E1273" s="70"/>
      <c r="F1273" s="70"/>
      <c r="G1273" s="70"/>
      <c r="H1273" s="71"/>
      <c r="K1273" s="119"/>
      <c r="L1273" s="119"/>
      <c r="M1273" s="1409"/>
      <c r="Q1273" s="333"/>
    </row>
    <row r="1274" spans="3:17" s="280" customFormat="1" ht="24" hidden="1" customHeight="1">
      <c r="C1274" s="310" t="s">
        <v>1203</v>
      </c>
      <c r="D1274" s="182" t="s">
        <v>5</v>
      </c>
      <c r="E1274" s="176" t="s">
        <v>6</v>
      </c>
      <c r="F1274" s="282">
        <v>0.29699999999999999</v>
      </c>
      <c r="G1274" s="283">
        <f t="shared" ref="G1274:G1279" si="70">VLOOKUP(D1274,upahbahan,3,FALSE)</f>
        <v>100000</v>
      </c>
      <c r="H1274" s="284">
        <f t="shared" ref="H1274:H1279" si="71">F1274*G1274</f>
        <v>29700</v>
      </c>
      <c r="K1274" s="119"/>
      <c r="L1274" s="119"/>
      <c r="M1274" s="1409"/>
      <c r="Q1274" s="333"/>
    </row>
    <row r="1275" spans="3:17" s="280" customFormat="1" ht="24" hidden="1" customHeight="1">
      <c r="C1275" s="310" t="s">
        <v>1204</v>
      </c>
      <c r="D1275" s="182" t="s">
        <v>7</v>
      </c>
      <c r="E1275" s="176" t="s">
        <v>6</v>
      </c>
      <c r="F1275" s="282">
        <v>3.3000000000000002E-2</v>
      </c>
      <c r="G1275" s="283">
        <f t="shared" si="70"/>
        <v>135000</v>
      </c>
      <c r="H1275" s="284">
        <f t="shared" si="71"/>
        <v>4455</v>
      </c>
      <c r="K1275" s="119"/>
      <c r="L1275" s="119"/>
      <c r="M1275" s="1409"/>
      <c r="Q1275" s="333"/>
    </row>
    <row r="1276" spans="3:17" s="280" customFormat="1" ht="24" hidden="1" customHeight="1">
      <c r="C1276" s="310" t="s">
        <v>1205</v>
      </c>
      <c r="D1276" s="182" t="s">
        <v>8</v>
      </c>
      <c r="E1276" s="176" t="s">
        <v>6</v>
      </c>
      <c r="F1276" s="282">
        <v>3.3000000000000002E-2</v>
      </c>
      <c r="G1276" s="283">
        <f t="shared" si="70"/>
        <v>135000</v>
      </c>
      <c r="H1276" s="284">
        <f t="shared" si="71"/>
        <v>4455</v>
      </c>
      <c r="K1276" s="119"/>
      <c r="L1276" s="119"/>
      <c r="M1276" s="1409"/>
      <c r="Q1276" s="333"/>
    </row>
    <row r="1277" spans="3:17" s="280" customFormat="1" ht="24" hidden="1" customHeight="1">
      <c r="C1277" s="310" t="s">
        <v>1206</v>
      </c>
      <c r="D1277" s="182" t="s">
        <v>9</v>
      </c>
      <c r="E1277" s="176" t="s">
        <v>6</v>
      </c>
      <c r="F1277" s="282">
        <v>3.3000000000000002E-2</v>
      </c>
      <c r="G1277" s="283">
        <f t="shared" si="70"/>
        <v>135000</v>
      </c>
      <c r="H1277" s="284">
        <f t="shared" si="71"/>
        <v>4455</v>
      </c>
      <c r="K1277" s="119"/>
      <c r="L1277" s="119"/>
      <c r="M1277" s="1409"/>
      <c r="Q1277" s="333"/>
    </row>
    <row r="1278" spans="3:17" s="280" customFormat="1" ht="24" hidden="1" customHeight="1">
      <c r="C1278" s="310" t="s">
        <v>1207</v>
      </c>
      <c r="D1278" s="182" t="s">
        <v>18</v>
      </c>
      <c r="E1278" s="176" t="s">
        <v>6</v>
      </c>
      <c r="F1278" s="282">
        <v>0.01</v>
      </c>
      <c r="G1278" s="283">
        <f t="shared" si="70"/>
        <v>150000</v>
      </c>
      <c r="H1278" s="284">
        <f t="shared" si="71"/>
        <v>1500</v>
      </c>
      <c r="K1278" s="119"/>
      <c r="L1278" s="119"/>
      <c r="M1278" s="1409"/>
      <c r="Q1278" s="333"/>
    </row>
    <row r="1279" spans="3:17" s="280" customFormat="1" ht="24" hidden="1" customHeight="1">
      <c r="C1279" s="310" t="s">
        <v>1211</v>
      </c>
      <c r="D1279" s="182" t="s">
        <v>19</v>
      </c>
      <c r="E1279" s="176" t="s">
        <v>6</v>
      </c>
      <c r="F1279" s="282">
        <v>3.0000000000000001E-3</v>
      </c>
      <c r="G1279" s="283">
        <f t="shared" si="70"/>
        <v>160000</v>
      </c>
      <c r="H1279" s="284">
        <f t="shared" si="71"/>
        <v>480</v>
      </c>
      <c r="K1279" s="119"/>
      <c r="L1279" s="119"/>
      <c r="M1279" s="1409"/>
      <c r="Q1279" s="333"/>
    </row>
    <row r="1280" spans="3:17" s="280" customFormat="1" ht="24" hidden="1" customHeight="1">
      <c r="C1280" s="66" t="s">
        <v>1208</v>
      </c>
      <c r="D1280" s="67"/>
      <c r="E1280" s="67"/>
      <c r="F1280" s="68"/>
      <c r="G1280" s="69"/>
      <c r="H1280" s="284">
        <f>SUM(H1274:H1279)</f>
        <v>45045</v>
      </c>
      <c r="K1280" s="119"/>
      <c r="L1280" s="119"/>
      <c r="M1280" s="1409"/>
    </row>
    <row r="1281" spans="3:13" s="280" customFormat="1" ht="24" hidden="1" customHeight="1">
      <c r="C1281" s="290" t="s">
        <v>1209</v>
      </c>
      <c r="D1281" s="182" t="s">
        <v>1210</v>
      </c>
      <c r="E1281" s="70"/>
      <c r="F1281" s="336"/>
      <c r="G1281" s="70"/>
      <c r="H1281" s="71"/>
      <c r="K1281" s="119"/>
      <c r="L1281" s="119"/>
      <c r="M1281" s="1409"/>
    </row>
    <row r="1282" spans="3:13" s="280" customFormat="1" ht="24" hidden="1" customHeight="1">
      <c r="C1282" s="306" t="s">
        <v>1203</v>
      </c>
      <c r="D1282" s="182" t="s">
        <v>124</v>
      </c>
      <c r="E1282" s="124" t="s">
        <v>42</v>
      </c>
      <c r="F1282" s="127">
        <v>3.0000000000000001E-3</v>
      </c>
      <c r="G1282" s="283">
        <f t="shared" ref="G1282:G1289" si="72">VLOOKUP(D1282,upahbahan,3,FALSE)</f>
        <v>3150000</v>
      </c>
      <c r="H1282" s="284">
        <f t="shared" ref="H1282:H1289" si="73">F1282*G1282</f>
        <v>9450</v>
      </c>
      <c r="K1282" s="119"/>
      <c r="L1282" s="119"/>
      <c r="M1282" s="1409"/>
    </row>
    <row r="1283" spans="3:13" s="280" customFormat="1" ht="24" hidden="1" customHeight="1">
      <c r="C1283" s="306" t="s">
        <v>1204</v>
      </c>
      <c r="D1283" s="182" t="s">
        <v>260</v>
      </c>
      <c r="E1283" s="124" t="s">
        <v>65</v>
      </c>
      <c r="F1283" s="127">
        <v>0.02</v>
      </c>
      <c r="G1283" s="283">
        <f t="shared" si="72"/>
        <v>33901.875</v>
      </c>
      <c r="H1283" s="284">
        <f t="shared" si="73"/>
        <v>678.03750000000002</v>
      </c>
      <c r="K1283" s="119"/>
      <c r="L1283" s="119"/>
      <c r="M1283" s="1409"/>
    </row>
    <row r="1284" spans="3:13" s="280" customFormat="1" ht="24" hidden="1" customHeight="1">
      <c r="C1284" s="306" t="s">
        <v>1205</v>
      </c>
      <c r="D1284" s="182" t="s">
        <v>755</v>
      </c>
      <c r="E1284" s="124" t="s">
        <v>529</v>
      </c>
      <c r="F1284" s="127">
        <v>0.2</v>
      </c>
      <c r="G1284" s="283">
        <f t="shared" si="72"/>
        <v>76500</v>
      </c>
      <c r="H1284" s="284">
        <f t="shared" si="73"/>
        <v>15300</v>
      </c>
      <c r="K1284" s="119"/>
      <c r="L1284" s="119"/>
      <c r="M1284" s="1409"/>
    </row>
    <row r="1285" spans="3:13" s="280" customFormat="1" ht="24" hidden="1" customHeight="1">
      <c r="C1285" s="306" t="s">
        <v>1206</v>
      </c>
      <c r="D1285" s="182" t="s">
        <v>232</v>
      </c>
      <c r="E1285" s="124" t="s">
        <v>65</v>
      </c>
      <c r="F1285" s="127">
        <v>3.6</v>
      </c>
      <c r="G1285" s="283">
        <f t="shared" si="72"/>
        <v>13050</v>
      </c>
      <c r="H1285" s="284">
        <f t="shared" si="73"/>
        <v>46980</v>
      </c>
      <c r="K1285" s="119"/>
      <c r="L1285" s="119"/>
      <c r="M1285" s="1409"/>
    </row>
    <row r="1286" spans="3:13" s="280" customFormat="1" ht="24" hidden="1" customHeight="1">
      <c r="C1286" s="306" t="s">
        <v>1207</v>
      </c>
      <c r="D1286" s="182" t="s">
        <v>251</v>
      </c>
      <c r="E1286" s="124" t="s">
        <v>65</v>
      </c>
      <c r="F1286" s="127">
        <v>0.05</v>
      </c>
      <c r="G1286" s="283">
        <f t="shared" si="72"/>
        <v>27720</v>
      </c>
      <c r="H1286" s="284">
        <f t="shared" si="73"/>
        <v>1386</v>
      </c>
      <c r="K1286" s="119"/>
      <c r="L1286" s="119"/>
      <c r="M1286" s="1409"/>
    </row>
    <row r="1287" spans="3:13" s="280" customFormat="1" ht="24" hidden="1" customHeight="1">
      <c r="C1287" s="306" t="s">
        <v>1211</v>
      </c>
      <c r="D1287" s="182" t="s">
        <v>2334</v>
      </c>
      <c r="E1287" s="124" t="s">
        <v>65</v>
      </c>
      <c r="F1287" s="127">
        <v>5.5</v>
      </c>
      <c r="G1287" s="283">
        <f t="shared" si="72"/>
        <v>1530</v>
      </c>
      <c r="H1287" s="284">
        <f t="shared" si="73"/>
        <v>8415</v>
      </c>
      <c r="K1287" s="119"/>
      <c r="L1287" s="119"/>
      <c r="M1287" s="1409"/>
    </row>
    <row r="1288" spans="3:13" s="280" customFormat="1" ht="24" hidden="1" customHeight="1">
      <c r="C1288" s="306" t="s">
        <v>1212</v>
      </c>
      <c r="D1288" s="182" t="s">
        <v>82</v>
      </c>
      <c r="E1288" s="124" t="s">
        <v>42</v>
      </c>
      <c r="F1288" s="127">
        <v>8.9999999999999993E-3</v>
      </c>
      <c r="G1288" s="283">
        <f t="shared" si="72"/>
        <v>310500</v>
      </c>
      <c r="H1288" s="284">
        <f t="shared" si="73"/>
        <v>2794.5</v>
      </c>
      <c r="K1288" s="119"/>
      <c r="L1288" s="119"/>
      <c r="M1288" s="1409"/>
    </row>
    <row r="1289" spans="3:13" s="280" customFormat="1" ht="24" hidden="1" customHeight="1">
      <c r="C1289" s="306" t="s">
        <v>1213</v>
      </c>
      <c r="D1289" s="182" t="s">
        <v>71</v>
      </c>
      <c r="E1289" s="124" t="s">
        <v>42</v>
      </c>
      <c r="F1289" s="127">
        <v>1.4999999999999999E-2</v>
      </c>
      <c r="G1289" s="283">
        <f t="shared" si="72"/>
        <v>292500</v>
      </c>
      <c r="H1289" s="284">
        <f t="shared" si="73"/>
        <v>4387.5</v>
      </c>
      <c r="K1289" s="119"/>
      <c r="L1289" s="119"/>
      <c r="M1289" s="1409"/>
    </row>
    <row r="1290" spans="3:13" s="280" customFormat="1" ht="24" hidden="1" customHeight="1">
      <c r="C1290" s="66" t="s">
        <v>1214</v>
      </c>
      <c r="D1290" s="67"/>
      <c r="E1290" s="67"/>
      <c r="F1290" s="68"/>
      <c r="G1290" s="69"/>
      <c r="H1290" s="284">
        <f>SUM(H1282:H1289)</f>
        <v>89391.037500000006</v>
      </c>
      <c r="K1290" s="119"/>
      <c r="L1290" s="119"/>
      <c r="M1290" s="1409"/>
    </row>
    <row r="1291" spans="3:13" s="280" customFormat="1" ht="24" hidden="1" customHeight="1">
      <c r="C1291" s="290" t="s">
        <v>1215</v>
      </c>
      <c r="D1291" s="182" t="s">
        <v>1216</v>
      </c>
      <c r="E1291" s="70"/>
      <c r="F1291" s="336"/>
      <c r="G1291" s="70"/>
      <c r="H1291" s="105"/>
      <c r="K1291" s="119"/>
      <c r="L1291" s="119"/>
      <c r="M1291" s="1409"/>
    </row>
    <row r="1292" spans="3:13" s="280" customFormat="1" ht="24" hidden="1" customHeight="1">
      <c r="C1292" s="66" t="s">
        <v>1217</v>
      </c>
      <c r="D1292" s="67"/>
      <c r="E1292" s="67"/>
      <c r="F1292" s="67"/>
      <c r="G1292" s="69"/>
      <c r="H1292" s="313">
        <v>0</v>
      </c>
      <c r="K1292" s="119"/>
      <c r="L1292" s="119"/>
      <c r="M1292" s="1409"/>
    </row>
    <row r="1293" spans="3:13" s="297" customFormat="1" ht="24" hidden="1" customHeight="1">
      <c r="C1293" s="293" t="s">
        <v>1218</v>
      </c>
      <c r="D1293" s="294" t="s">
        <v>1219</v>
      </c>
      <c r="E1293" s="295"/>
      <c r="F1293" s="295"/>
      <c r="G1293" s="296"/>
      <c r="H1293" s="284">
        <f>H1292+H1290+H1280</f>
        <v>134436.03750000001</v>
      </c>
      <c r="K1293" s="119"/>
      <c r="L1293" s="119"/>
      <c r="M1293" s="1409"/>
    </row>
    <row r="1294" spans="3:13" s="297" customFormat="1" ht="24" hidden="1" customHeight="1">
      <c r="C1294" s="293" t="s">
        <v>1220</v>
      </c>
      <c r="D1294" s="294" t="s">
        <v>1321</v>
      </c>
      <c r="E1294" s="295"/>
      <c r="F1294" s="296"/>
      <c r="G1294" s="298">
        <f>$D$4</f>
        <v>0.1</v>
      </c>
      <c r="H1294" s="284">
        <f>H1293*G1294</f>
        <v>13443.603750000002</v>
      </c>
      <c r="K1294" s="119"/>
      <c r="L1294" s="119"/>
      <c r="M1294" s="1409"/>
    </row>
    <row r="1295" spans="3:13" s="297" customFormat="1" ht="24" hidden="1" customHeight="1" thickBot="1">
      <c r="C1295" s="299" t="s">
        <v>1221</v>
      </c>
      <c r="D1295" s="300" t="s">
        <v>1222</v>
      </c>
      <c r="E1295" s="301"/>
      <c r="F1295" s="301"/>
      <c r="G1295" s="302"/>
      <c r="H1295" s="303">
        <f>SUM(H1293:H1294)</f>
        <v>147879.64125000002</v>
      </c>
      <c r="K1295" s="119"/>
      <c r="L1295" s="119"/>
      <c r="M1295" s="1409"/>
    </row>
    <row r="1296" spans="3:13">
      <c r="D1296" s="1174"/>
      <c r="L1296"/>
      <c r="M1296" s="1406"/>
    </row>
    <row r="1297" spans="1:17" s="119" customFormat="1" ht="13.8" hidden="1">
      <c r="A1297" s="119" t="s">
        <v>8809</v>
      </c>
      <c r="C1297" s="119" t="s">
        <v>2225</v>
      </c>
      <c r="D1297" s="48" t="s">
        <v>6470</v>
      </c>
      <c r="E1297" s="329"/>
      <c r="F1297" s="329"/>
      <c r="G1297" s="329"/>
      <c r="H1297" s="329"/>
      <c r="K1297" s="120">
        <f>ROUNDDOWN(H1313,-2)</f>
        <v>17100</v>
      </c>
      <c r="L1297" s="120" t="s">
        <v>6456</v>
      </c>
      <c r="M1297" s="1409" t="s">
        <v>6479</v>
      </c>
    </row>
    <row r="1298" spans="1:17" s="289" customFormat="1" ht="31.65" hidden="1" customHeight="1" thickTop="1">
      <c r="C1298" s="51" t="s">
        <v>1195</v>
      </c>
      <c r="D1298" s="52" t="s">
        <v>1196</v>
      </c>
      <c r="E1298" s="52" t="s">
        <v>1197</v>
      </c>
      <c r="F1298" s="52" t="s">
        <v>1198</v>
      </c>
      <c r="G1298" s="52" t="s">
        <v>1199</v>
      </c>
      <c r="H1298" s="53" t="s">
        <v>1200</v>
      </c>
      <c r="K1298" s="126"/>
      <c r="L1298" s="126"/>
      <c r="M1298" s="1410"/>
    </row>
    <row r="1299" spans="1:17" s="280" customFormat="1" ht="22.2" hidden="1" customHeight="1">
      <c r="C1299" s="290" t="s">
        <v>1201</v>
      </c>
      <c r="D1299" s="182" t="s">
        <v>1202</v>
      </c>
      <c r="E1299" s="70"/>
      <c r="F1299" s="70"/>
      <c r="G1299" s="70"/>
      <c r="H1299" s="71"/>
      <c r="K1299" s="119"/>
      <c r="L1299" s="119"/>
      <c r="M1299" s="1409"/>
      <c r="N1299" s="59" t="s">
        <v>1247</v>
      </c>
      <c r="O1299" s="59"/>
      <c r="P1299" s="59"/>
      <c r="Q1299" s="59"/>
    </row>
    <row r="1300" spans="1:17" s="280" customFormat="1" ht="22.2" hidden="1" customHeight="1">
      <c r="C1300" s="281">
        <v>1</v>
      </c>
      <c r="D1300" s="182" t="s">
        <v>5</v>
      </c>
      <c r="E1300" s="176" t="s">
        <v>6</v>
      </c>
      <c r="F1300" s="315">
        <v>7.0000000000000001E-3</v>
      </c>
      <c r="G1300" s="283">
        <f>VLOOKUP(D1300,upahbahan,3,FALSE)</f>
        <v>100000</v>
      </c>
      <c r="H1300" s="284">
        <f>F1300*G1300</f>
        <v>700</v>
      </c>
      <c r="K1300" s="119"/>
      <c r="L1300" s="119"/>
      <c r="M1300" s="1409"/>
      <c r="N1300" s="59" t="s">
        <v>1248</v>
      </c>
      <c r="O1300" s="59"/>
      <c r="P1300" s="59"/>
      <c r="Q1300" s="65">
        <v>0.1</v>
      </c>
    </row>
    <row r="1301" spans="1:17" s="280" customFormat="1" ht="22.2" hidden="1" customHeight="1">
      <c r="C1301" s="281">
        <v>2</v>
      </c>
      <c r="D1301" s="182" t="s">
        <v>9</v>
      </c>
      <c r="E1301" s="176" t="s">
        <v>6</v>
      </c>
      <c r="F1301" s="315">
        <v>7.0000000000000001E-3</v>
      </c>
      <c r="G1301" s="283">
        <f>VLOOKUP(D1301,upahbahan,3,FALSE)</f>
        <v>135000</v>
      </c>
      <c r="H1301" s="284">
        <f>F1301*G1301</f>
        <v>945</v>
      </c>
      <c r="K1301" s="119"/>
      <c r="L1301" s="119"/>
      <c r="M1301" s="1409"/>
    </row>
    <row r="1302" spans="1:17" s="59" customFormat="1" ht="22.2" hidden="1" customHeight="1">
      <c r="C1302" s="281">
        <v>3</v>
      </c>
      <c r="D1302" s="182" t="s">
        <v>18</v>
      </c>
      <c r="E1302" s="176" t="s">
        <v>6</v>
      </c>
      <c r="F1302" s="315">
        <v>6.9999999999999999E-4</v>
      </c>
      <c r="G1302" s="283">
        <f>VLOOKUP(D1302,upahbahan,3,FALSE)</f>
        <v>150000</v>
      </c>
      <c r="H1302" s="284">
        <f>F1302*G1302</f>
        <v>105</v>
      </c>
      <c r="K1302" s="119"/>
      <c r="L1302" s="119"/>
      <c r="M1302" s="1409"/>
    </row>
    <row r="1303" spans="1:17" s="280" customFormat="1" ht="22.2" hidden="1" customHeight="1">
      <c r="C1303" s="281">
        <v>4</v>
      </c>
      <c r="D1303" s="182" t="s">
        <v>19</v>
      </c>
      <c r="E1303" s="176" t="s">
        <v>6</v>
      </c>
      <c r="F1303" s="315">
        <v>6.9999999999999999E-4</v>
      </c>
      <c r="G1303" s="283">
        <f>VLOOKUP(D1303,upahbahan,3,FALSE)</f>
        <v>160000</v>
      </c>
      <c r="H1303" s="284">
        <f>F1303*G1303</f>
        <v>112</v>
      </c>
      <c r="K1303" s="119"/>
      <c r="L1303" s="119"/>
      <c r="M1303" s="1409"/>
    </row>
    <row r="1304" spans="1:17" s="280" customFormat="1" ht="22.2" hidden="1" customHeight="1">
      <c r="C1304" s="66" t="s">
        <v>1208</v>
      </c>
      <c r="D1304" s="67"/>
      <c r="E1304" s="67"/>
      <c r="F1304" s="68"/>
      <c r="G1304" s="69"/>
      <c r="H1304" s="284">
        <f>SUM(H1300:H1303)</f>
        <v>1862</v>
      </c>
      <c r="K1304" s="119"/>
      <c r="L1304" s="119"/>
      <c r="M1304" s="1409"/>
    </row>
    <row r="1305" spans="1:17" s="280" customFormat="1" ht="22.2" hidden="1" customHeight="1">
      <c r="C1305" s="321" t="s">
        <v>1209</v>
      </c>
      <c r="D1305" s="182" t="s">
        <v>1210</v>
      </c>
      <c r="E1305" s="70"/>
      <c r="F1305" s="70"/>
      <c r="G1305" s="70"/>
      <c r="H1305" s="71"/>
      <c r="K1305" s="119"/>
      <c r="L1305" s="119"/>
      <c r="M1305" s="1409"/>
    </row>
    <row r="1306" spans="1:17" s="280" customFormat="1" ht="22.2" hidden="1" customHeight="1">
      <c r="C1306" s="281">
        <v>1</v>
      </c>
      <c r="D1306" s="182" t="s">
        <v>6476</v>
      </c>
      <c r="E1306" s="176" t="s">
        <v>65</v>
      </c>
      <c r="F1306" s="282">
        <v>1.02</v>
      </c>
      <c r="G1306" s="283">
        <f>VLOOKUP(D1306,upahbahan,3,FALSE)</f>
        <v>13050</v>
      </c>
      <c r="H1306" s="284">
        <f>F1306*G1306</f>
        <v>13311</v>
      </c>
      <c r="K1306" s="119"/>
      <c r="L1306" s="119"/>
      <c r="M1306" s="1409"/>
    </row>
    <row r="1307" spans="1:17" s="280" customFormat="1" ht="22.2" hidden="1" customHeight="1">
      <c r="C1307" s="281">
        <v>2</v>
      </c>
      <c r="D1307" s="182" t="s">
        <v>251</v>
      </c>
      <c r="E1307" s="176" t="s">
        <v>65</v>
      </c>
      <c r="F1307" s="282">
        <v>1.4999999999999999E-2</v>
      </c>
      <c r="G1307" s="283">
        <f>VLOOKUP(D1307,upahbahan,3,FALSE)</f>
        <v>27720</v>
      </c>
      <c r="H1307" s="284">
        <f>F1307*G1307</f>
        <v>415.8</v>
      </c>
      <c r="K1307" s="119"/>
      <c r="L1307" s="119"/>
      <c r="M1307" s="1409"/>
    </row>
    <row r="1308" spans="1:17" s="280" customFormat="1" ht="22.2" hidden="1" customHeight="1">
      <c r="C1308" s="66" t="s">
        <v>1214</v>
      </c>
      <c r="D1308" s="67"/>
      <c r="E1308" s="67"/>
      <c r="F1308" s="67"/>
      <c r="G1308" s="69"/>
      <c r="H1308" s="284">
        <f>SUM(H1306:H1307)</f>
        <v>13726.8</v>
      </c>
      <c r="K1308" s="119"/>
      <c r="L1308" s="119"/>
      <c r="M1308" s="1409"/>
    </row>
    <row r="1309" spans="1:17" s="280" customFormat="1" ht="22.2" hidden="1" customHeight="1">
      <c r="C1309" s="321" t="s">
        <v>1215</v>
      </c>
      <c r="D1309" s="182" t="s">
        <v>1216</v>
      </c>
      <c r="E1309" s="70"/>
      <c r="F1309" s="70"/>
      <c r="G1309" s="70"/>
      <c r="H1309" s="71"/>
      <c r="K1309" s="119"/>
      <c r="L1309" s="119"/>
      <c r="M1309" s="1409"/>
    </row>
    <row r="1310" spans="1:17" s="280" customFormat="1" ht="22.2" hidden="1" customHeight="1">
      <c r="C1310" s="66" t="s">
        <v>1217</v>
      </c>
      <c r="D1310" s="67"/>
      <c r="E1310" s="67"/>
      <c r="F1310" s="67"/>
      <c r="G1310" s="69"/>
      <c r="H1310" s="292">
        <v>0</v>
      </c>
      <c r="K1310" s="119"/>
      <c r="L1310" s="119"/>
      <c r="M1310" s="1409"/>
    </row>
    <row r="1311" spans="1:17" s="297" customFormat="1" ht="22.2" hidden="1" customHeight="1">
      <c r="C1311" s="293" t="s">
        <v>1218</v>
      </c>
      <c r="D1311" s="294" t="s">
        <v>1219</v>
      </c>
      <c r="E1311" s="295"/>
      <c r="F1311" s="295"/>
      <c r="G1311" s="296"/>
      <c r="H1311" s="284">
        <f>H1310+H1308+H1304</f>
        <v>15588.8</v>
      </c>
      <c r="K1311" s="119"/>
      <c r="L1311" s="119"/>
      <c r="M1311" s="1409"/>
    </row>
    <row r="1312" spans="1:17" s="297" customFormat="1" ht="22.2" hidden="1" customHeight="1">
      <c r="C1312" s="293" t="s">
        <v>1220</v>
      </c>
      <c r="D1312" s="294" t="s">
        <v>1321</v>
      </c>
      <c r="E1312" s="295"/>
      <c r="F1312" s="296"/>
      <c r="G1312" s="298">
        <f>$D$4</f>
        <v>0.1</v>
      </c>
      <c r="H1312" s="284">
        <f>H1311*G1312</f>
        <v>1558.88</v>
      </c>
      <c r="K1312" s="119"/>
      <c r="L1312" s="119"/>
      <c r="M1312" s="1409"/>
    </row>
    <row r="1313" spans="1:13" s="297" customFormat="1" ht="22.2" hidden="1" customHeight="1" thickBot="1">
      <c r="C1313" s="299" t="s">
        <v>1221</v>
      </c>
      <c r="D1313" s="300" t="s">
        <v>1222</v>
      </c>
      <c r="E1313" s="301"/>
      <c r="F1313" s="301"/>
      <c r="G1313" s="302"/>
      <c r="H1313" s="303">
        <f>SUM(H1311:H1312)</f>
        <v>17147.68</v>
      </c>
      <c r="K1313" s="119"/>
      <c r="L1313" s="119"/>
      <c r="M1313" s="1409"/>
    </row>
    <row r="1314" spans="1:13" s="297" customFormat="1" ht="22.2" hidden="1" customHeight="1" thickTop="1">
      <c r="C1314" s="289"/>
      <c r="H1314" s="139"/>
      <c r="K1314" s="119"/>
      <c r="L1314" s="119"/>
      <c r="M1314" s="1409"/>
    </row>
    <row r="1315" spans="1:13" s="280" customFormat="1" ht="13.8" hidden="1">
      <c r="A1315" s="280" t="s">
        <v>8809</v>
      </c>
      <c r="C1315" s="119" t="s">
        <v>2253</v>
      </c>
      <c r="D1315" s="48" t="s">
        <v>1306</v>
      </c>
      <c r="E1315" s="48"/>
      <c r="F1315" s="48"/>
      <c r="G1315" s="48"/>
      <c r="H1315" s="48"/>
      <c r="K1315" s="120">
        <f>ROUNDDOWN(H1334,-2)</f>
        <v>225000</v>
      </c>
      <c r="L1315" s="120"/>
      <c r="M1315" s="1409"/>
    </row>
    <row r="1316" spans="1:13" s="289" customFormat="1" ht="31.65" hidden="1" customHeight="1" thickTop="1">
      <c r="C1316" s="51" t="s">
        <v>1195</v>
      </c>
      <c r="D1316" s="52" t="s">
        <v>1196</v>
      </c>
      <c r="E1316" s="52" t="s">
        <v>1197</v>
      </c>
      <c r="F1316" s="52" t="s">
        <v>1198</v>
      </c>
      <c r="G1316" s="52" t="s">
        <v>1199</v>
      </c>
      <c r="H1316" s="53" t="s">
        <v>1200</v>
      </c>
      <c r="K1316" s="126"/>
      <c r="L1316" s="126"/>
      <c r="M1316" s="1410"/>
    </row>
    <row r="1317" spans="1:13" s="280" customFormat="1" ht="22.8" hidden="1" customHeight="1">
      <c r="C1317" s="290" t="s">
        <v>1201</v>
      </c>
      <c r="D1317" s="182" t="s">
        <v>1202</v>
      </c>
      <c r="E1317" s="70"/>
      <c r="F1317" s="70"/>
      <c r="G1317" s="70"/>
      <c r="H1317" s="71"/>
      <c r="K1317" s="119"/>
      <c r="L1317" s="119"/>
      <c r="M1317" s="1409"/>
    </row>
    <row r="1318" spans="1:13" s="280" customFormat="1" ht="22.8" hidden="1" customHeight="1">
      <c r="C1318" s="281">
        <v>1</v>
      </c>
      <c r="D1318" s="182" t="s">
        <v>5</v>
      </c>
      <c r="E1318" s="176" t="s">
        <v>6</v>
      </c>
      <c r="F1318" s="282">
        <v>0.66</v>
      </c>
      <c r="G1318" s="283">
        <f>VLOOKUP(D1318,upahbahan,3,FALSE)</f>
        <v>100000</v>
      </c>
      <c r="H1318" s="284">
        <f>F1318*G1318</f>
        <v>66000</v>
      </c>
      <c r="K1318" s="119"/>
      <c r="L1318" s="119"/>
      <c r="M1318" s="1409"/>
    </row>
    <row r="1319" spans="1:13" s="280" customFormat="1" ht="22.8" hidden="1" customHeight="1">
      <c r="C1319" s="281">
        <v>2</v>
      </c>
      <c r="D1319" s="182" t="s">
        <v>8</v>
      </c>
      <c r="E1319" s="176" t="s">
        <v>6</v>
      </c>
      <c r="F1319" s="282">
        <v>0.33</v>
      </c>
      <c r="G1319" s="283">
        <f>VLOOKUP(D1319,upahbahan,3,FALSE)</f>
        <v>135000</v>
      </c>
      <c r="H1319" s="284">
        <f>F1319*G1319</f>
        <v>44550</v>
      </c>
      <c r="K1319" s="119"/>
      <c r="L1319" s="119"/>
      <c r="M1319" s="1409"/>
    </row>
    <row r="1320" spans="1:13" s="59" customFormat="1" ht="22.8" hidden="1" customHeight="1">
      <c r="C1320" s="281">
        <v>3</v>
      </c>
      <c r="D1320" s="182" t="s">
        <v>18</v>
      </c>
      <c r="E1320" s="176" t="s">
        <v>6</v>
      </c>
      <c r="F1320" s="282">
        <v>3.3000000000000002E-2</v>
      </c>
      <c r="G1320" s="283">
        <f>VLOOKUP(D1320,upahbahan,3,FALSE)</f>
        <v>150000</v>
      </c>
      <c r="H1320" s="284">
        <f>F1320*G1320</f>
        <v>4950</v>
      </c>
      <c r="K1320" s="119"/>
      <c r="L1320" s="119"/>
      <c r="M1320" s="1409"/>
    </row>
    <row r="1321" spans="1:13" s="280" customFormat="1" ht="22.8" hidden="1" customHeight="1">
      <c r="C1321" s="281">
        <v>4</v>
      </c>
      <c r="D1321" s="182" t="s">
        <v>19</v>
      </c>
      <c r="E1321" s="176" t="s">
        <v>6</v>
      </c>
      <c r="F1321" s="282">
        <v>1.0999999999999999E-2</v>
      </c>
      <c r="G1321" s="283">
        <f>VLOOKUP(D1321,upahbahan,3,FALSE)</f>
        <v>160000</v>
      </c>
      <c r="H1321" s="284">
        <f>F1321*G1321</f>
        <v>1760</v>
      </c>
      <c r="K1321" s="119"/>
      <c r="L1321" s="119"/>
      <c r="M1321" s="1409"/>
    </row>
    <row r="1322" spans="1:13" s="280" customFormat="1" ht="22.8" hidden="1" customHeight="1">
      <c r="C1322" s="66" t="s">
        <v>1208</v>
      </c>
      <c r="D1322" s="67"/>
      <c r="E1322" s="67"/>
      <c r="F1322" s="68"/>
      <c r="G1322" s="69"/>
      <c r="H1322" s="284">
        <f>SUM(H1318:H1321)</f>
        <v>117260</v>
      </c>
      <c r="K1322" s="119"/>
      <c r="L1322" s="119"/>
      <c r="M1322" s="1409"/>
    </row>
    <row r="1323" spans="1:13" s="280" customFormat="1" ht="22.8" hidden="1" customHeight="1">
      <c r="C1323" s="290" t="s">
        <v>1209</v>
      </c>
      <c r="D1323" s="182" t="s">
        <v>1210</v>
      </c>
      <c r="E1323" s="70"/>
      <c r="F1323" s="70"/>
      <c r="G1323" s="70"/>
      <c r="H1323" s="71"/>
      <c r="K1323" s="119"/>
      <c r="L1323" s="119"/>
      <c r="M1323" s="1409"/>
    </row>
    <row r="1324" spans="1:13" s="280" customFormat="1" ht="22.8" hidden="1" customHeight="1">
      <c r="C1324" s="310" t="s">
        <v>1203</v>
      </c>
      <c r="D1324" s="285" t="s">
        <v>262</v>
      </c>
      <c r="E1324" s="176" t="s">
        <v>65</v>
      </c>
      <c r="F1324" s="330">
        <v>0.4</v>
      </c>
      <c r="G1324" s="283">
        <f>VLOOKUP(D1324,upahbahan,3,FALSE)</f>
        <v>33901.875</v>
      </c>
      <c r="H1324" s="284">
        <f>F1324*G1324</f>
        <v>13560.75</v>
      </c>
      <c r="K1324" s="119"/>
      <c r="L1324" s="119"/>
      <c r="M1324" s="1409"/>
    </row>
    <row r="1325" spans="1:13" s="280" customFormat="1" ht="22.8" hidden="1" customHeight="1">
      <c r="C1325" s="310" t="s">
        <v>1204</v>
      </c>
      <c r="D1325" s="285" t="s">
        <v>755</v>
      </c>
      <c r="E1325" s="176" t="s">
        <v>529</v>
      </c>
      <c r="F1325" s="330">
        <v>0.2</v>
      </c>
      <c r="G1325" s="283">
        <f>VLOOKUP(D1325,upahbahan,3,FALSE)</f>
        <v>76500</v>
      </c>
      <c r="H1325" s="284">
        <f>F1325*G1325</f>
        <v>15300</v>
      </c>
      <c r="K1325" s="119"/>
      <c r="L1325" s="119"/>
      <c r="M1325" s="1409"/>
    </row>
    <row r="1326" spans="1:13" s="280" customFormat="1" ht="22.8" hidden="1" customHeight="1">
      <c r="C1326" s="310" t="s">
        <v>1205</v>
      </c>
      <c r="D1326" s="285" t="s">
        <v>115</v>
      </c>
      <c r="E1326" s="176" t="s">
        <v>42</v>
      </c>
      <c r="F1326" s="330">
        <v>4.6499999999999996E-3</v>
      </c>
      <c r="G1326" s="283">
        <f>VLOOKUP(D1326,upahbahan,3,FALSE)</f>
        <v>5904000</v>
      </c>
      <c r="H1326" s="284">
        <f>F1326*G1326</f>
        <v>27453.599999999999</v>
      </c>
      <c r="K1326" s="119"/>
      <c r="L1326" s="119"/>
      <c r="M1326" s="1409"/>
    </row>
    <row r="1327" spans="1:13" s="280" customFormat="1" ht="22.8" hidden="1" customHeight="1">
      <c r="C1327" s="310" t="s">
        <v>1206</v>
      </c>
      <c r="D1327" s="285" t="s">
        <v>136</v>
      </c>
      <c r="E1327" s="176" t="s">
        <v>129</v>
      </c>
      <c r="F1327" s="330">
        <v>0.127</v>
      </c>
      <c r="G1327" s="283">
        <f>VLOOKUP(D1327,upahbahan,3,FALSE)</f>
        <v>157500</v>
      </c>
      <c r="H1327" s="284">
        <f>F1327*G1327</f>
        <v>20002.5</v>
      </c>
      <c r="K1327" s="119"/>
      <c r="L1327" s="119"/>
      <c r="M1327" s="1409"/>
    </row>
    <row r="1328" spans="1:13" s="280" customFormat="1" ht="22.8" hidden="1" customHeight="1">
      <c r="C1328" s="310" t="s">
        <v>1207</v>
      </c>
      <c r="D1328" s="285" t="s">
        <v>112</v>
      </c>
      <c r="E1328" s="176" t="s">
        <v>106</v>
      </c>
      <c r="F1328" s="330">
        <v>1.95</v>
      </c>
      <c r="G1328" s="283">
        <f>VLOOKUP(D1328,upahbahan,3,FALSE)</f>
        <v>5625</v>
      </c>
      <c r="H1328" s="284">
        <f>F1328*G1328</f>
        <v>10968.75</v>
      </c>
      <c r="K1328" s="119"/>
      <c r="L1328" s="119"/>
      <c r="M1328" s="1409"/>
    </row>
    <row r="1329" spans="1:17" s="280" customFormat="1" ht="22.8" hidden="1" customHeight="1">
      <c r="C1329" s="66" t="s">
        <v>1214</v>
      </c>
      <c r="D1329" s="67"/>
      <c r="E1329" s="67"/>
      <c r="F1329" s="67"/>
      <c r="G1329" s="69"/>
      <c r="H1329" s="284">
        <f>SUM(H1324:H1328)</f>
        <v>87285.6</v>
      </c>
      <c r="K1329" s="119"/>
      <c r="L1329" s="119"/>
      <c r="M1329" s="1409"/>
    </row>
    <row r="1330" spans="1:17" s="280" customFormat="1" ht="22.8" hidden="1" customHeight="1">
      <c r="C1330" s="290" t="s">
        <v>1215</v>
      </c>
      <c r="D1330" s="182" t="s">
        <v>1216</v>
      </c>
      <c r="E1330" s="70"/>
      <c r="F1330" s="70"/>
      <c r="G1330" s="70"/>
      <c r="H1330" s="105"/>
      <c r="K1330" s="119"/>
      <c r="L1330" s="119"/>
      <c r="M1330" s="1409"/>
    </row>
    <row r="1331" spans="1:17" s="280" customFormat="1" ht="22.8" hidden="1" customHeight="1">
      <c r="C1331" s="66" t="s">
        <v>1217</v>
      </c>
      <c r="D1331" s="67"/>
      <c r="E1331" s="67"/>
      <c r="F1331" s="67"/>
      <c r="G1331" s="69"/>
      <c r="H1331" s="292">
        <v>0</v>
      </c>
      <c r="K1331" s="119"/>
      <c r="L1331" s="119"/>
      <c r="M1331" s="1409"/>
    </row>
    <row r="1332" spans="1:17" s="297" customFormat="1" ht="22.8" hidden="1" customHeight="1">
      <c r="C1332" s="293" t="s">
        <v>1218</v>
      </c>
      <c r="D1332" s="294" t="s">
        <v>1219</v>
      </c>
      <c r="E1332" s="295"/>
      <c r="F1332" s="295"/>
      <c r="G1332" s="296"/>
      <c r="H1332" s="284">
        <f>H1331+H1329+H1322</f>
        <v>204545.6</v>
      </c>
      <c r="K1332" s="119"/>
      <c r="L1332" s="119"/>
      <c r="M1332" s="1409"/>
    </row>
    <row r="1333" spans="1:17" s="297" customFormat="1" ht="22.8" hidden="1" customHeight="1">
      <c r="C1333" s="293" t="s">
        <v>1220</v>
      </c>
      <c r="D1333" s="294" t="s">
        <v>1321</v>
      </c>
      <c r="E1333" s="295"/>
      <c r="F1333" s="296"/>
      <c r="G1333" s="298">
        <f>$D$4</f>
        <v>0.1</v>
      </c>
      <c r="H1333" s="284">
        <f>H1332*G1333</f>
        <v>20454.560000000001</v>
      </c>
      <c r="K1333" s="119"/>
      <c r="L1333" s="119"/>
      <c r="M1333" s="1409"/>
    </row>
    <row r="1334" spans="1:17" s="297" customFormat="1" ht="22.8" hidden="1" customHeight="1" thickBot="1">
      <c r="C1334" s="299" t="s">
        <v>1221</v>
      </c>
      <c r="D1334" s="300" t="s">
        <v>1222</v>
      </c>
      <c r="E1334" s="301"/>
      <c r="F1334" s="301"/>
      <c r="G1334" s="302"/>
      <c r="H1334" s="303">
        <f>SUM(H1332:H1333)</f>
        <v>225000.16</v>
      </c>
      <c r="K1334" s="119"/>
      <c r="L1334" s="119"/>
      <c r="M1334" s="1409"/>
    </row>
    <row r="1335" spans="1:17" hidden="1">
      <c r="D1335" s="1174"/>
      <c r="L1335"/>
      <c r="M1335" s="1406"/>
    </row>
    <row r="1336" spans="1:17" s="280" customFormat="1" ht="33" hidden="1" customHeight="1" thickBot="1">
      <c r="A1336" s="280" t="s">
        <v>8807</v>
      </c>
      <c r="C1336" s="126" t="s">
        <v>2271</v>
      </c>
      <c r="D1336" s="47" t="s">
        <v>2272</v>
      </c>
      <c r="E1336" s="88"/>
      <c r="F1336" s="88"/>
      <c r="G1336" s="88"/>
      <c r="H1336" s="88"/>
      <c r="K1336" s="120">
        <f>ROUNDDOWN(H1354,-2)</f>
        <v>1291800</v>
      </c>
      <c r="L1336" s="120"/>
      <c r="M1336" s="1409"/>
      <c r="Q1336" s="333"/>
    </row>
    <row r="1337" spans="1:17" s="289" customFormat="1" ht="31.65" hidden="1" customHeight="1" thickTop="1">
      <c r="C1337" s="51" t="s">
        <v>1195</v>
      </c>
      <c r="D1337" s="52" t="s">
        <v>1196</v>
      </c>
      <c r="E1337" s="52" t="s">
        <v>1197</v>
      </c>
      <c r="F1337" s="52" t="s">
        <v>1198</v>
      </c>
      <c r="G1337" s="52" t="s">
        <v>1199</v>
      </c>
      <c r="H1337" s="53" t="s">
        <v>1200</v>
      </c>
      <c r="K1337" s="126"/>
      <c r="L1337" s="126"/>
      <c r="M1337" s="1410"/>
      <c r="Q1337" s="333"/>
    </row>
    <row r="1338" spans="1:17" s="280" customFormat="1" ht="21.6" hidden="1" customHeight="1">
      <c r="C1338" s="290" t="s">
        <v>1201</v>
      </c>
      <c r="D1338" s="182" t="s">
        <v>1202</v>
      </c>
      <c r="E1338" s="70"/>
      <c r="F1338" s="70"/>
      <c r="G1338" s="70"/>
      <c r="H1338" s="71"/>
      <c r="K1338" s="119"/>
      <c r="L1338" s="119"/>
      <c r="M1338" s="1409"/>
      <c r="Q1338" s="333"/>
    </row>
    <row r="1339" spans="1:17" s="280" customFormat="1" ht="21.6" hidden="1" customHeight="1">
      <c r="C1339" s="310" t="s">
        <v>1203</v>
      </c>
      <c r="D1339" s="182" t="s">
        <v>5</v>
      </c>
      <c r="E1339" s="176" t="s">
        <v>6</v>
      </c>
      <c r="F1339" s="282">
        <v>1.65</v>
      </c>
      <c r="G1339" s="283">
        <f>VLOOKUP(D1339,upahbahan,3,FALSE)</f>
        <v>100000</v>
      </c>
      <c r="H1339" s="284">
        <f>F1339*G1339</f>
        <v>165000</v>
      </c>
      <c r="K1339" s="119"/>
      <c r="L1339" s="119"/>
      <c r="M1339" s="1409"/>
      <c r="Q1339" s="333"/>
    </row>
    <row r="1340" spans="1:17" s="280" customFormat="1" ht="21.6" hidden="1" customHeight="1">
      <c r="C1340" s="310" t="s">
        <v>1204</v>
      </c>
      <c r="D1340" s="182" t="s">
        <v>7</v>
      </c>
      <c r="E1340" s="176" t="s">
        <v>6</v>
      </c>
      <c r="F1340" s="282">
        <v>0.27500000000000002</v>
      </c>
      <c r="G1340" s="283">
        <f>VLOOKUP(D1340,upahbahan,3,FALSE)</f>
        <v>135000</v>
      </c>
      <c r="H1340" s="284">
        <f>F1340*G1340</f>
        <v>37125</v>
      </c>
      <c r="K1340" s="119"/>
      <c r="L1340" s="119"/>
      <c r="M1340" s="1409"/>
      <c r="Q1340" s="333"/>
    </row>
    <row r="1341" spans="1:17" s="280" customFormat="1" ht="21.6" hidden="1" customHeight="1">
      <c r="C1341" s="310" t="s">
        <v>1205</v>
      </c>
      <c r="D1341" s="182" t="s">
        <v>1310</v>
      </c>
      <c r="E1341" s="176" t="s">
        <v>6</v>
      </c>
      <c r="F1341" s="282">
        <v>2.8000000000000001E-2</v>
      </c>
      <c r="G1341" s="283">
        <f>VLOOKUP(D1341,upahbahan,3,FALSE)</f>
        <v>150000</v>
      </c>
      <c r="H1341" s="284">
        <f>F1341*G1341</f>
        <v>4200</v>
      </c>
      <c r="K1341" s="119"/>
      <c r="L1341" s="119"/>
      <c r="M1341" s="1409"/>
      <c r="Q1341" s="333"/>
    </row>
    <row r="1342" spans="1:17" s="280" customFormat="1" ht="21.6" hidden="1" customHeight="1">
      <c r="C1342" s="310" t="s">
        <v>1206</v>
      </c>
      <c r="D1342" s="182" t="s">
        <v>19</v>
      </c>
      <c r="E1342" s="176" t="s">
        <v>6</v>
      </c>
      <c r="F1342" s="282">
        <v>8.9999999999999993E-3</v>
      </c>
      <c r="G1342" s="283">
        <f>VLOOKUP(D1342,upahbahan,3,FALSE)</f>
        <v>160000</v>
      </c>
      <c r="H1342" s="284">
        <f>F1342*G1342</f>
        <v>1440</v>
      </c>
      <c r="K1342" s="119"/>
      <c r="L1342" s="119"/>
      <c r="M1342" s="1409"/>
      <c r="Q1342" s="333"/>
    </row>
    <row r="1343" spans="1:17" s="280" customFormat="1" ht="21.6" hidden="1" customHeight="1">
      <c r="C1343" s="66" t="s">
        <v>1208</v>
      </c>
      <c r="D1343" s="67"/>
      <c r="E1343" s="67"/>
      <c r="F1343" s="68"/>
      <c r="G1343" s="69"/>
      <c r="H1343" s="284">
        <f>SUM(H1339:H1342)</f>
        <v>207765</v>
      </c>
      <c r="K1343" s="119"/>
      <c r="L1343" s="119"/>
      <c r="M1343" s="1409"/>
    </row>
    <row r="1344" spans="1:17" s="280" customFormat="1" ht="21.6" hidden="1" customHeight="1">
      <c r="C1344" s="290" t="s">
        <v>1209</v>
      </c>
      <c r="D1344" s="182" t="s">
        <v>1210</v>
      </c>
      <c r="E1344" s="70"/>
      <c r="F1344" s="70"/>
      <c r="G1344" s="70"/>
      <c r="H1344" s="71"/>
      <c r="K1344" s="119"/>
      <c r="L1344" s="119"/>
      <c r="M1344" s="1409"/>
    </row>
    <row r="1345" spans="3:14" s="280" customFormat="1" ht="21.6" hidden="1" customHeight="1">
      <c r="C1345" s="306" t="s">
        <v>1203</v>
      </c>
      <c r="D1345" s="182" t="s">
        <v>1796</v>
      </c>
      <c r="E1345" s="124" t="s">
        <v>65</v>
      </c>
      <c r="F1345" s="127">
        <v>348</v>
      </c>
      <c r="G1345" s="283">
        <f>VLOOKUP(D1345,upahbahan,3,FALSE)</f>
        <v>1530</v>
      </c>
      <c r="H1345" s="284">
        <f>F1345*G1345</f>
        <v>532440</v>
      </c>
      <c r="K1345" s="119"/>
      <c r="L1345" s="119"/>
      <c r="M1345" s="1409"/>
    </row>
    <row r="1346" spans="3:14" s="280" customFormat="1" ht="21.6" hidden="1" customHeight="1">
      <c r="C1346" s="306" t="s">
        <v>1204</v>
      </c>
      <c r="D1346" s="182" t="s">
        <v>79</v>
      </c>
      <c r="E1346" s="124" t="s">
        <v>65</v>
      </c>
      <c r="F1346" s="127">
        <v>790</v>
      </c>
      <c r="G1346" s="283">
        <f>VLOOKUP(D1346,upahbahan,3,FALSE)</f>
        <v>221.78700000000001</v>
      </c>
      <c r="H1346" s="284">
        <f>F1346*G1346</f>
        <v>175211.73</v>
      </c>
      <c r="K1346" s="119"/>
      <c r="L1346" s="119"/>
      <c r="M1346" s="1409"/>
    </row>
    <row r="1347" spans="3:14" s="280" customFormat="1" ht="21.6" hidden="1" customHeight="1">
      <c r="C1347" s="306" t="s">
        <v>1205</v>
      </c>
      <c r="D1347" s="182" t="s">
        <v>72</v>
      </c>
      <c r="E1347" s="124" t="s">
        <v>65</v>
      </c>
      <c r="F1347" s="127">
        <v>1009</v>
      </c>
      <c r="G1347" s="283">
        <f>VLOOKUP(D1347,upahbahan,3,FALSE)/1350</f>
        <v>216.66666666666666</v>
      </c>
      <c r="H1347" s="284">
        <f>F1347*G1347</f>
        <v>218616.66666666666</v>
      </c>
      <c r="K1347" s="119"/>
      <c r="L1347" s="119"/>
      <c r="M1347" s="1409"/>
    </row>
    <row r="1348" spans="3:14" s="280" customFormat="1" ht="21.6" hidden="1" customHeight="1">
      <c r="C1348" s="306" t="s">
        <v>1206</v>
      </c>
      <c r="D1348" s="182" t="s">
        <v>960</v>
      </c>
      <c r="E1348" s="124" t="s">
        <v>529</v>
      </c>
      <c r="F1348" s="127">
        <v>202</v>
      </c>
      <c r="G1348" s="283">
        <f>VLOOKUP(D1348,upahbahan,3,FALSE)</f>
        <v>200</v>
      </c>
      <c r="H1348" s="284">
        <f>F1348*G1348</f>
        <v>40400</v>
      </c>
      <c r="K1348" s="119"/>
      <c r="L1348" s="119"/>
      <c r="M1348" s="1409"/>
    </row>
    <row r="1349" spans="3:14" s="280" customFormat="1" ht="21.6" hidden="1" customHeight="1">
      <c r="C1349" s="66" t="s">
        <v>1214</v>
      </c>
      <c r="D1349" s="67"/>
      <c r="E1349" s="67"/>
      <c r="F1349" s="67"/>
      <c r="G1349" s="69"/>
      <c r="H1349" s="284">
        <f>SUM(H1345:H1348)</f>
        <v>966668.39666666661</v>
      </c>
      <c r="K1349" s="119"/>
      <c r="L1349" s="119"/>
      <c r="M1349" s="1409"/>
    </row>
    <row r="1350" spans="3:14" s="280" customFormat="1" ht="21.6" hidden="1" customHeight="1">
      <c r="C1350" s="290" t="s">
        <v>1215</v>
      </c>
      <c r="D1350" s="182" t="s">
        <v>1216</v>
      </c>
      <c r="E1350" s="70"/>
      <c r="F1350" s="70"/>
      <c r="G1350" s="70"/>
      <c r="H1350" s="105"/>
      <c r="K1350" s="119"/>
      <c r="L1350" s="119"/>
      <c r="M1350" s="1409"/>
    </row>
    <row r="1351" spans="3:14" s="280" customFormat="1" ht="21.6" hidden="1" customHeight="1">
      <c r="C1351" s="66" t="s">
        <v>1217</v>
      </c>
      <c r="D1351" s="67"/>
      <c r="E1351" s="67"/>
      <c r="F1351" s="67"/>
      <c r="G1351" s="69"/>
      <c r="H1351" s="292">
        <v>0</v>
      </c>
      <c r="K1351" s="119"/>
      <c r="L1351" s="119"/>
      <c r="M1351" s="1409"/>
    </row>
    <row r="1352" spans="3:14" s="297" customFormat="1" ht="21.6" hidden="1" customHeight="1">
      <c r="C1352" s="293" t="s">
        <v>1218</v>
      </c>
      <c r="D1352" s="294" t="s">
        <v>1219</v>
      </c>
      <c r="E1352" s="295"/>
      <c r="F1352" s="295"/>
      <c r="G1352" s="296"/>
      <c r="H1352" s="284">
        <f>H1351+H1349+H1343</f>
        <v>1174433.3966666665</v>
      </c>
      <c r="K1352" s="119"/>
      <c r="L1352" s="119"/>
      <c r="M1352" s="1409"/>
    </row>
    <row r="1353" spans="3:14" s="297" customFormat="1" ht="21.6" hidden="1" customHeight="1">
      <c r="C1353" s="293" t="s">
        <v>1220</v>
      </c>
      <c r="D1353" s="294" t="s">
        <v>1321</v>
      </c>
      <c r="E1353" s="295"/>
      <c r="F1353" s="296"/>
      <c r="G1353" s="298">
        <f>$D$4</f>
        <v>0.1</v>
      </c>
      <c r="H1353" s="284">
        <f>H1352*G1353</f>
        <v>117443.33966666665</v>
      </c>
      <c r="K1353" s="119"/>
      <c r="L1353" s="119"/>
      <c r="M1353" s="1409"/>
    </row>
    <row r="1354" spans="3:14" s="297" customFormat="1" ht="21.6" hidden="1" customHeight="1" thickBot="1">
      <c r="C1354" s="299" t="s">
        <v>1221</v>
      </c>
      <c r="D1354" s="300" t="s">
        <v>1222</v>
      </c>
      <c r="E1354" s="301"/>
      <c r="F1354" s="301"/>
      <c r="G1354" s="302"/>
      <c r="H1354" s="303">
        <f>SUM(H1352:H1353)</f>
        <v>1291876.7363333332</v>
      </c>
      <c r="K1354" s="119"/>
      <c r="L1354" s="119"/>
      <c r="M1354" s="1409"/>
    </row>
    <row r="1355" spans="3:14">
      <c r="D1355" s="1174"/>
      <c r="L1355"/>
      <c r="M1355" s="1406"/>
    </row>
    <row r="1356" spans="3:14" s="45" customFormat="1" ht="14.4" thickBot="1">
      <c r="C1356" s="44" t="s">
        <v>2792</v>
      </c>
      <c r="D1356" s="451" t="s">
        <v>1384</v>
      </c>
      <c r="E1356" s="275"/>
      <c r="F1356" s="275"/>
      <c r="G1356" s="275"/>
      <c r="H1356" s="275"/>
      <c r="K1356" s="50">
        <f>ROUNDDOWN(H1371,-2)</f>
        <v>44500</v>
      </c>
      <c r="L1356" s="45">
        <f>1.5*(2.45+2.45+1.3+1.3+1.3+1.3)</f>
        <v>15.150000000000002</v>
      </c>
      <c r="M1356" s="1408">
        <f>K1356*L1356</f>
        <v>674175.00000000012</v>
      </c>
      <c r="N1356" s="1412">
        <f>M1356</f>
        <v>674175.00000000012</v>
      </c>
    </row>
    <row r="1357" spans="3:14" s="45" customFormat="1" ht="42" thickTop="1">
      <c r="C1357" s="51" t="s">
        <v>1195</v>
      </c>
      <c r="D1357" s="52" t="s">
        <v>1196</v>
      </c>
      <c r="E1357" s="52" t="s">
        <v>1197</v>
      </c>
      <c r="F1357" s="52" t="s">
        <v>1198</v>
      </c>
      <c r="G1357" s="52" t="s">
        <v>1199</v>
      </c>
      <c r="H1357" s="53" t="s">
        <v>1200</v>
      </c>
      <c r="M1357" s="1412"/>
    </row>
    <row r="1358" spans="3:14" s="45" customFormat="1" ht="20.399999999999999" customHeight="1">
      <c r="C1358" s="55" t="s">
        <v>1201</v>
      </c>
      <c r="D1358" s="56" t="s">
        <v>1202</v>
      </c>
      <c r="E1358" s="57"/>
      <c r="F1358" s="57"/>
      <c r="G1358" s="57"/>
      <c r="H1358" s="58"/>
      <c r="M1358" s="1412"/>
    </row>
    <row r="1359" spans="3:14" s="45" customFormat="1" ht="20.399999999999999" customHeight="1">
      <c r="C1359" s="60">
        <v>1</v>
      </c>
      <c r="D1359" s="56" t="s">
        <v>5</v>
      </c>
      <c r="E1359" s="61" t="s">
        <v>6</v>
      </c>
      <c r="F1359" s="101">
        <v>0.2</v>
      </c>
      <c r="G1359" s="63">
        <f>VLOOKUP(D1359,upahbahan,3,FALSE)</f>
        <v>100000</v>
      </c>
      <c r="H1359" s="64">
        <f>F1359*G1359</f>
        <v>20000</v>
      </c>
      <c r="K1359" s="274"/>
      <c r="L1359" s="274"/>
      <c r="M1359" s="1412"/>
    </row>
    <row r="1360" spans="3:14" s="45" customFormat="1" ht="20.399999999999999" customHeight="1">
      <c r="C1360" s="60">
        <v>2</v>
      </c>
      <c r="D1360" s="56" t="s">
        <v>7</v>
      </c>
      <c r="E1360" s="61" t="s">
        <v>6</v>
      </c>
      <c r="F1360" s="101">
        <v>0.1</v>
      </c>
      <c r="G1360" s="63">
        <f>VLOOKUP(D1360,upahbahan,3,FALSE)</f>
        <v>135000</v>
      </c>
      <c r="H1360" s="64">
        <f>F1360*G1360</f>
        <v>13500</v>
      </c>
      <c r="K1360" s="274"/>
      <c r="L1360" s="274"/>
      <c r="M1360" s="1412"/>
    </row>
    <row r="1361" spans="3:14" s="45" customFormat="1" ht="20.399999999999999" customHeight="1">
      <c r="C1361" s="60">
        <v>3</v>
      </c>
      <c r="D1361" s="56" t="s">
        <v>18</v>
      </c>
      <c r="E1361" s="61" t="s">
        <v>6</v>
      </c>
      <c r="F1361" s="101">
        <v>0.01</v>
      </c>
      <c r="G1361" s="63">
        <f>VLOOKUP(D1361,upahbahan,3,FALSE)</f>
        <v>150000</v>
      </c>
      <c r="H1361" s="64">
        <f>F1361*G1361</f>
        <v>1500</v>
      </c>
      <c r="K1361" s="274"/>
      <c r="L1361" s="274"/>
      <c r="M1361" s="1412"/>
    </row>
    <row r="1362" spans="3:14" s="45" customFormat="1" ht="20.399999999999999" customHeight="1">
      <c r="C1362" s="60">
        <v>4</v>
      </c>
      <c r="D1362" s="56" t="s">
        <v>19</v>
      </c>
      <c r="E1362" s="61" t="s">
        <v>6</v>
      </c>
      <c r="F1362" s="101">
        <v>3.3E-3</v>
      </c>
      <c r="G1362" s="63">
        <f>VLOOKUP(D1362,upahbahan,3,FALSE)</f>
        <v>160000</v>
      </c>
      <c r="H1362" s="64">
        <f>F1362*G1362</f>
        <v>528</v>
      </c>
      <c r="K1362" s="274"/>
      <c r="L1362" s="274"/>
      <c r="M1362" s="1412"/>
    </row>
    <row r="1363" spans="3:14" s="45" customFormat="1" ht="20.399999999999999" customHeight="1">
      <c r="C1363" s="66" t="s">
        <v>1331</v>
      </c>
      <c r="D1363" s="67"/>
      <c r="E1363" s="67"/>
      <c r="F1363" s="142"/>
      <c r="G1363" s="153"/>
      <c r="H1363" s="64">
        <f>SUM(H1359:H1362)</f>
        <v>35528</v>
      </c>
      <c r="K1363" s="274"/>
      <c r="L1363" s="274"/>
      <c r="M1363" s="1412"/>
    </row>
    <row r="1364" spans="3:14" s="45" customFormat="1" ht="20.399999999999999" customHeight="1">
      <c r="C1364" s="55" t="s">
        <v>1209</v>
      </c>
      <c r="D1364" s="56" t="s">
        <v>1210</v>
      </c>
      <c r="E1364" s="57"/>
      <c r="F1364" s="143"/>
      <c r="G1364" s="143"/>
      <c r="H1364" s="472"/>
      <c r="K1364" s="274"/>
      <c r="L1364" s="274"/>
      <c r="M1364" s="1412"/>
    </row>
    <row r="1365" spans="3:14" s="45" customFormat="1" ht="20.399999999999999" customHeight="1">
      <c r="C1365" s="60">
        <v>1</v>
      </c>
      <c r="D1365" s="56" t="s">
        <v>2332</v>
      </c>
      <c r="E1365" s="61" t="s">
        <v>65</v>
      </c>
      <c r="F1365" s="62">
        <v>3.25</v>
      </c>
      <c r="G1365" s="63">
        <f>VLOOKUP(D1365,upahbahan,3,FALSE)</f>
        <v>1530</v>
      </c>
      <c r="H1365" s="64">
        <f>F1365*G1365</f>
        <v>4972.5</v>
      </c>
      <c r="K1365" s="274"/>
      <c r="L1365" s="274"/>
      <c r="M1365" s="1412"/>
    </row>
    <row r="1366" spans="3:14" s="45" customFormat="1" ht="20.399999999999999" customHeight="1">
      <c r="C1366" s="66" t="s">
        <v>1214</v>
      </c>
      <c r="D1366" s="67"/>
      <c r="E1366" s="67"/>
      <c r="F1366" s="67"/>
      <c r="G1366" s="69"/>
      <c r="H1366" s="64">
        <f>SUM(H1365:H1365)</f>
        <v>4972.5</v>
      </c>
      <c r="M1366" s="1412"/>
    </row>
    <row r="1367" spans="3:14" s="45" customFormat="1" ht="20.399999999999999" customHeight="1">
      <c r="C1367" s="167" t="s">
        <v>1215</v>
      </c>
      <c r="D1367" s="56" t="s">
        <v>1216</v>
      </c>
      <c r="E1367" s="57"/>
      <c r="F1367" s="57"/>
      <c r="G1367" s="57"/>
      <c r="H1367" s="58"/>
      <c r="M1367" s="1412"/>
    </row>
    <row r="1368" spans="3:14" s="45" customFormat="1" ht="20.399999999999999" customHeight="1">
      <c r="C1368" s="66" t="s">
        <v>1217</v>
      </c>
      <c r="D1368" s="67"/>
      <c r="E1368" s="67"/>
      <c r="F1368" s="67"/>
      <c r="G1368" s="69"/>
      <c r="H1368" s="74">
        <v>0</v>
      </c>
      <c r="M1368" s="1412"/>
    </row>
    <row r="1369" spans="3:14" s="79" customFormat="1" ht="20.399999999999999" customHeight="1">
      <c r="C1369" s="75" t="s">
        <v>1218</v>
      </c>
      <c r="D1369" s="76" t="s">
        <v>1219</v>
      </c>
      <c r="E1369" s="77"/>
      <c r="F1369" s="77"/>
      <c r="G1369" s="78"/>
      <c r="H1369" s="64">
        <f>H1368+H1366+H1363</f>
        <v>40500.5</v>
      </c>
      <c r="K1369" s="45"/>
      <c r="M1369" s="1414"/>
    </row>
    <row r="1370" spans="3:14" s="79" customFormat="1" ht="20.399999999999999" customHeight="1">
      <c r="C1370" s="75" t="s">
        <v>1220</v>
      </c>
      <c r="D1370" s="76" t="s">
        <v>1321</v>
      </c>
      <c r="E1370" s="77"/>
      <c r="F1370" s="78"/>
      <c r="G1370" s="298">
        <f>$D$4</f>
        <v>0.1</v>
      </c>
      <c r="H1370" s="64">
        <f>H1369*G1370</f>
        <v>4050.05</v>
      </c>
      <c r="K1370" s="45"/>
      <c r="M1370" s="1414"/>
    </row>
    <row r="1371" spans="3:14" s="79" customFormat="1" ht="20.399999999999999" customHeight="1" thickBot="1">
      <c r="C1371" s="81" t="s">
        <v>1221</v>
      </c>
      <c r="D1371" s="82" t="s">
        <v>1222</v>
      </c>
      <c r="E1371" s="83"/>
      <c r="F1371" s="83"/>
      <c r="G1371" s="84"/>
      <c r="H1371" s="85">
        <f>SUM(H1369:H1370)</f>
        <v>44550.55</v>
      </c>
      <c r="K1371" s="45"/>
      <c r="M1371" s="1414"/>
    </row>
    <row r="1372" spans="3:14" ht="13.8" thickTop="1">
      <c r="D1372" s="1174"/>
      <c r="L1372"/>
      <c r="M1372" s="1406"/>
    </row>
    <row r="1373" spans="3:14" s="59" customFormat="1" ht="15.75" customHeight="1" thickBot="1">
      <c r="C1373" s="44" t="s">
        <v>2816</v>
      </c>
      <c r="D1373" s="149" t="s">
        <v>2817</v>
      </c>
      <c r="E1373" s="479"/>
      <c r="F1373" s="479"/>
      <c r="G1373" s="479"/>
      <c r="H1373" s="479"/>
      <c r="K1373" s="50">
        <f>ROUNDDOWN(H1389,-2)</f>
        <v>37500</v>
      </c>
      <c r="L1373" s="475">
        <f>2.45*1.3</f>
        <v>3.1850000000000005</v>
      </c>
      <c r="M1373" s="1408">
        <f>K1373*L1373</f>
        <v>119437.50000000001</v>
      </c>
      <c r="N1373" s="1408">
        <f>M1373</f>
        <v>119437.50000000001</v>
      </c>
    </row>
    <row r="1374" spans="3:14" s="59" customFormat="1" ht="42" thickTop="1">
      <c r="C1374" s="51" t="s">
        <v>1195</v>
      </c>
      <c r="D1374" s="52" t="s">
        <v>1196</v>
      </c>
      <c r="E1374" s="52" t="s">
        <v>1197</v>
      </c>
      <c r="F1374" s="52" t="s">
        <v>1198</v>
      </c>
      <c r="G1374" s="52" t="s">
        <v>1199</v>
      </c>
      <c r="H1374" s="53" t="s">
        <v>1200</v>
      </c>
      <c r="I1374" s="44"/>
      <c r="L1374" s="475"/>
      <c r="M1374" s="1408"/>
    </row>
    <row r="1375" spans="3:14" s="59" customFormat="1" ht="21.6" customHeight="1">
      <c r="C1375" s="55" t="s">
        <v>1201</v>
      </c>
      <c r="D1375" s="56" t="s">
        <v>1202</v>
      </c>
      <c r="E1375" s="57"/>
      <c r="F1375" s="57"/>
      <c r="G1375" s="57"/>
      <c r="H1375" s="58"/>
      <c r="I1375" s="44"/>
      <c r="L1375" s="475"/>
      <c r="M1375" s="1408"/>
    </row>
    <row r="1376" spans="3:14" s="59" customFormat="1" ht="21.6" customHeight="1">
      <c r="C1376" s="60">
        <v>1</v>
      </c>
      <c r="D1376" s="56" t="s">
        <v>5</v>
      </c>
      <c r="E1376" s="61" t="s">
        <v>6</v>
      </c>
      <c r="F1376" s="98">
        <v>6.6699999999999995E-2</v>
      </c>
      <c r="G1376" s="63">
        <f>VLOOKUP(D1376,upahbahan,3,FALSE)</f>
        <v>100000</v>
      </c>
      <c r="H1376" s="64">
        <f t="shared" ref="H1376:H1379" si="74">F1376*G1376</f>
        <v>6669.9999999999991</v>
      </c>
      <c r="I1376" s="44"/>
      <c r="L1376" s="475"/>
      <c r="M1376" s="1408"/>
    </row>
    <row r="1377" spans="3:15" s="59" customFormat="1" ht="21.6" customHeight="1">
      <c r="C1377" s="60">
        <v>2</v>
      </c>
      <c r="D1377" s="56" t="s">
        <v>12</v>
      </c>
      <c r="E1377" s="61" t="s">
        <v>6</v>
      </c>
      <c r="F1377" s="98">
        <v>6.6699999999999995E-2</v>
      </c>
      <c r="G1377" s="63">
        <f>VLOOKUP(D1377,upahbahan,3,FALSE)</f>
        <v>135000</v>
      </c>
      <c r="H1377" s="64">
        <f t="shared" si="74"/>
        <v>9004.5</v>
      </c>
      <c r="I1377" s="44"/>
      <c r="L1377" s="475"/>
      <c r="M1377" s="1408"/>
    </row>
    <row r="1378" spans="3:15" s="59" customFormat="1" ht="21.6" customHeight="1">
      <c r="C1378" s="60">
        <v>3</v>
      </c>
      <c r="D1378" s="56" t="s">
        <v>18</v>
      </c>
      <c r="E1378" s="61" t="s">
        <v>6</v>
      </c>
      <c r="F1378" s="98">
        <v>6.7000000000000002E-3</v>
      </c>
      <c r="G1378" s="63">
        <f>VLOOKUP(D1378,upahbahan,3,FALSE)</f>
        <v>150000</v>
      </c>
      <c r="H1378" s="64">
        <f t="shared" si="74"/>
        <v>1005</v>
      </c>
      <c r="I1378" s="44"/>
      <c r="L1378" s="475"/>
      <c r="M1378" s="1408"/>
    </row>
    <row r="1379" spans="3:15" s="59" customFormat="1" ht="21.6" customHeight="1">
      <c r="C1379" s="60">
        <v>4</v>
      </c>
      <c r="D1379" s="56" t="s">
        <v>19</v>
      </c>
      <c r="E1379" s="61" t="s">
        <v>6</v>
      </c>
      <c r="F1379" s="98">
        <v>2.2000000000000001E-3</v>
      </c>
      <c r="G1379" s="63">
        <f>VLOOKUP(D1379,upahbahan,3,FALSE)</f>
        <v>160000</v>
      </c>
      <c r="H1379" s="64">
        <f t="shared" si="74"/>
        <v>352</v>
      </c>
      <c r="I1379" s="44"/>
      <c r="L1379" s="475"/>
      <c r="M1379" s="1408"/>
    </row>
    <row r="1380" spans="3:15" s="59" customFormat="1" ht="21.6" customHeight="1">
      <c r="C1380" s="66" t="s">
        <v>1208</v>
      </c>
      <c r="D1380" s="67"/>
      <c r="E1380" s="67"/>
      <c r="F1380" s="68"/>
      <c r="G1380" s="459"/>
      <c r="H1380" s="64">
        <f>SUM(H1376:H1379)</f>
        <v>17031.5</v>
      </c>
      <c r="I1380" s="44"/>
      <c r="L1380" s="475"/>
      <c r="M1380" s="1408"/>
    </row>
    <row r="1381" spans="3:15" s="59" customFormat="1" ht="21.6" customHeight="1">
      <c r="C1381" s="55" t="s">
        <v>1209</v>
      </c>
      <c r="D1381" s="56" t="s">
        <v>1210</v>
      </c>
      <c r="E1381" s="57"/>
      <c r="F1381" s="57"/>
      <c r="G1381" s="57"/>
      <c r="H1381" s="58"/>
      <c r="I1381" s="44"/>
      <c r="L1381" s="475"/>
      <c r="M1381" s="1408"/>
    </row>
    <row r="1382" spans="3:15" s="59" customFormat="1" ht="21.6" customHeight="1">
      <c r="C1382" s="60">
        <v>2</v>
      </c>
      <c r="D1382" s="56" t="s">
        <v>574</v>
      </c>
      <c r="E1382" s="61" t="s">
        <v>65</v>
      </c>
      <c r="F1382" s="62">
        <v>0.1</v>
      </c>
      <c r="G1382" s="63">
        <f>VLOOKUP(D1382,upahbahan,3,FALSE)</f>
        <v>39600</v>
      </c>
      <c r="H1382" s="64">
        <f t="shared" ref="H1382:H1383" si="75">F1382*G1382</f>
        <v>3960</v>
      </c>
      <c r="I1382" s="44"/>
      <c r="L1382" s="475"/>
      <c r="M1382" s="1408"/>
    </row>
    <row r="1383" spans="3:15" s="59" customFormat="1" ht="21.6" customHeight="1">
      <c r="C1383" s="60">
        <v>3</v>
      </c>
      <c r="D1383" s="56" t="s">
        <v>580</v>
      </c>
      <c r="E1383" s="61" t="s">
        <v>65</v>
      </c>
      <c r="F1383" s="62">
        <v>0.26</v>
      </c>
      <c r="G1383" s="63">
        <f>VLOOKUP(D1383,upahbahan,3,FALSE)</f>
        <v>50400</v>
      </c>
      <c r="H1383" s="64">
        <f t="shared" si="75"/>
        <v>13104</v>
      </c>
      <c r="I1383" s="44"/>
      <c r="L1383" s="475"/>
      <c r="M1383" s="1408"/>
    </row>
    <row r="1384" spans="3:15" s="59" customFormat="1" ht="21.6" customHeight="1">
      <c r="C1384" s="66" t="s">
        <v>1214</v>
      </c>
      <c r="D1384" s="67"/>
      <c r="E1384" s="67"/>
      <c r="F1384" s="67"/>
      <c r="G1384" s="69"/>
      <c r="H1384" s="64">
        <f>SUM(H1382:H1383)</f>
        <v>17064</v>
      </c>
      <c r="I1384" s="44"/>
      <c r="L1384" s="475"/>
      <c r="M1384" s="1408"/>
    </row>
    <row r="1385" spans="3:15" s="59" customFormat="1" ht="21.6" customHeight="1">
      <c r="C1385" s="167" t="s">
        <v>1215</v>
      </c>
      <c r="D1385" s="56" t="s">
        <v>1216</v>
      </c>
      <c r="E1385" s="57"/>
      <c r="F1385" s="57"/>
      <c r="G1385" s="57"/>
      <c r="H1385" s="58"/>
      <c r="I1385" s="44"/>
      <c r="L1385" s="475"/>
      <c r="M1385" s="1408"/>
    </row>
    <row r="1386" spans="3:15" s="59" customFormat="1" ht="21.6" customHeight="1">
      <c r="C1386" s="66" t="s">
        <v>1217</v>
      </c>
      <c r="D1386" s="67"/>
      <c r="E1386" s="67"/>
      <c r="F1386" s="67"/>
      <c r="G1386" s="69"/>
      <c r="H1386" s="74">
        <v>0</v>
      </c>
      <c r="I1386" s="44"/>
      <c r="L1386" s="475"/>
      <c r="M1386" s="1408"/>
    </row>
    <row r="1387" spans="3:15" s="59" customFormat="1" ht="21.6" customHeight="1">
      <c r="C1387" s="75" t="s">
        <v>1218</v>
      </c>
      <c r="D1387" s="76" t="s">
        <v>1219</v>
      </c>
      <c r="E1387" s="77"/>
      <c r="F1387" s="77"/>
      <c r="G1387" s="78"/>
      <c r="H1387" s="64">
        <f>H1386+H1384+H1380</f>
        <v>34095.5</v>
      </c>
      <c r="I1387" s="44"/>
      <c r="L1387" s="475"/>
      <c r="M1387" s="1408"/>
    </row>
    <row r="1388" spans="3:15" s="59" customFormat="1" ht="21.6" customHeight="1">
      <c r="C1388" s="75" t="s">
        <v>1220</v>
      </c>
      <c r="D1388" s="76" t="s">
        <v>1321</v>
      </c>
      <c r="E1388" s="77"/>
      <c r="F1388" s="78"/>
      <c r="G1388" s="298">
        <f>$D$4</f>
        <v>0.1</v>
      </c>
      <c r="H1388" s="64">
        <f>H1387*G1388</f>
        <v>3409.55</v>
      </c>
      <c r="I1388" s="44"/>
      <c r="L1388" s="475"/>
      <c r="M1388" s="1408"/>
    </row>
    <row r="1389" spans="3:15" s="59" customFormat="1" ht="21.6" customHeight="1" thickBot="1">
      <c r="C1389" s="81" t="s">
        <v>1221</v>
      </c>
      <c r="D1389" s="82" t="s">
        <v>1222</v>
      </c>
      <c r="E1389" s="83"/>
      <c r="F1389" s="83"/>
      <c r="G1389" s="84"/>
      <c r="H1389" s="85">
        <f>SUM(H1387:H1388)</f>
        <v>37505.050000000003</v>
      </c>
      <c r="I1389" s="44"/>
      <c r="L1389" s="475"/>
      <c r="M1389" s="1408"/>
    </row>
    <row r="1390" spans="3:15" ht="13.8" thickTop="1">
      <c r="D1390" s="1174"/>
      <c r="L1390"/>
      <c r="M1390" s="1406"/>
    </row>
    <row r="1391" spans="3:15" s="59" customFormat="1" ht="25.8" customHeight="1">
      <c r="C1391" s="47" t="s">
        <v>3606</v>
      </c>
      <c r="D1391" s="867" t="s">
        <v>8067</v>
      </c>
      <c r="E1391" s="795"/>
      <c r="F1391" s="795"/>
      <c r="G1391" s="795"/>
      <c r="H1391" s="795"/>
      <c r="K1391" s="120">
        <f>ROUNDDOWN(H1407,-2)</f>
        <v>54000</v>
      </c>
      <c r="L1391" s="120">
        <v>1.5</v>
      </c>
      <c r="M1391" s="1408">
        <f>K1391*L1391</f>
        <v>81000</v>
      </c>
      <c r="N1391" s="1408">
        <f>M1391</f>
        <v>81000</v>
      </c>
      <c r="O1391" s="475"/>
    </row>
    <row r="1392" spans="3:15" s="59" customFormat="1" ht="25.8" customHeight="1">
      <c r="C1392" s="591" t="s">
        <v>1195</v>
      </c>
      <c r="D1392" s="591" t="s">
        <v>1196</v>
      </c>
      <c r="E1392" s="591" t="s">
        <v>1197</v>
      </c>
      <c r="F1392" s="591" t="s">
        <v>1198</v>
      </c>
      <c r="G1392" s="591" t="s">
        <v>1199</v>
      </c>
      <c r="H1392" s="591" t="s">
        <v>1200</v>
      </c>
      <c r="K1392" s="119"/>
      <c r="L1392" s="119"/>
      <c r="M1392" s="1409"/>
      <c r="O1392" s="475"/>
    </row>
    <row r="1393" spans="3:15" s="59" customFormat="1" ht="25.8" customHeight="1">
      <c r="C1393" s="176" t="s">
        <v>1201</v>
      </c>
      <c r="D1393" s="182" t="s">
        <v>1202</v>
      </c>
      <c r="E1393" s="70"/>
      <c r="F1393" s="70"/>
      <c r="G1393" s="70"/>
      <c r="H1393" s="70"/>
      <c r="K1393" s="119"/>
      <c r="L1393" s="119"/>
      <c r="M1393" s="1409"/>
      <c r="O1393" s="475"/>
    </row>
    <row r="1394" spans="3:15" s="59" customFormat="1" ht="25.8" customHeight="1">
      <c r="C1394" s="869">
        <v>1</v>
      </c>
      <c r="D1394" s="182" t="s">
        <v>5</v>
      </c>
      <c r="E1394" s="176" t="s">
        <v>6</v>
      </c>
      <c r="F1394" s="282">
        <v>6.4000000000000001E-2</v>
      </c>
      <c r="G1394" s="283">
        <f>VLOOKUP(D1394,upahbahan,3,FALSE)</f>
        <v>100000</v>
      </c>
      <c r="H1394" s="283">
        <f>F1394*G1394</f>
        <v>6400</v>
      </c>
      <c r="K1394" s="119"/>
      <c r="L1394" s="119"/>
      <c r="M1394" s="1409"/>
      <c r="O1394" s="475"/>
    </row>
    <row r="1395" spans="3:15" s="59" customFormat="1" ht="25.8" customHeight="1">
      <c r="C1395" s="869">
        <v>2</v>
      </c>
      <c r="D1395" s="182" t="str">
        <f>D1377</f>
        <v>Tukang cat</v>
      </c>
      <c r="E1395" s="176" t="s">
        <v>6</v>
      </c>
      <c r="F1395" s="282">
        <v>0.107</v>
      </c>
      <c r="G1395" s="283">
        <f>VLOOKUP(D1395,upahbahan,3,FALSE)</f>
        <v>135000</v>
      </c>
      <c r="H1395" s="283">
        <f t="shared" ref="H1395:H1397" si="76">F1395*G1395</f>
        <v>14445</v>
      </c>
      <c r="K1395" s="119"/>
      <c r="L1395" s="119"/>
      <c r="M1395" s="1409"/>
      <c r="O1395" s="475"/>
    </row>
    <row r="1396" spans="3:15" s="59" customFormat="1" ht="25.8" customHeight="1">
      <c r="C1396" s="869">
        <v>3</v>
      </c>
      <c r="D1396" s="182" t="s">
        <v>18</v>
      </c>
      <c r="E1396" s="176" t="s">
        <v>6</v>
      </c>
      <c r="F1396" s="282">
        <v>1.0999999999999999E-2</v>
      </c>
      <c r="G1396" s="283">
        <f>VLOOKUP(D1396,upahbahan,3,FALSE)</f>
        <v>150000</v>
      </c>
      <c r="H1396" s="283">
        <f t="shared" si="76"/>
        <v>1650</v>
      </c>
      <c r="K1396" s="119"/>
      <c r="L1396" s="119"/>
      <c r="M1396" s="1409"/>
      <c r="O1396" s="475"/>
    </row>
    <row r="1397" spans="3:15" s="59" customFormat="1" ht="25.8" customHeight="1">
      <c r="C1397" s="869">
        <v>4</v>
      </c>
      <c r="D1397" s="182" t="s">
        <v>19</v>
      </c>
      <c r="E1397" s="176" t="s">
        <v>6</v>
      </c>
      <c r="F1397" s="282">
        <v>4.0000000000000001E-3</v>
      </c>
      <c r="G1397" s="283">
        <f>VLOOKUP(D1397,upahbahan,3,FALSE)</f>
        <v>160000</v>
      </c>
      <c r="H1397" s="283">
        <f t="shared" si="76"/>
        <v>640</v>
      </c>
      <c r="K1397" s="119"/>
      <c r="L1397" s="119"/>
      <c r="M1397" s="1409"/>
      <c r="O1397" s="475"/>
    </row>
    <row r="1398" spans="3:15" s="59" customFormat="1" ht="25.8" customHeight="1">
      <c r="C1398" s="450" t="s">
        <v>1208</v>
      </c>
      <c r="D1398" s="67"/>
      <c r="E1398" s="67"/>
      <c r="F1398" s="142"/>
      <c r="G1398" s="153"/>
      <c r="H1398" s="283">
        <f>SUM(H1394:H1397)</f>
        <v>23135</v>
      </c>
      <c r="K1398" s="319"/>
      <c r="L1398" s="319"/>
      <c r="M1398" s="1409"/>
      <c r="O1398" s="475"/>
    </row>
    <row r="1399" spans="3:15" s="59" customFormat="1" ht="25.8" customHeight="1">
      <c r="C1399" s="176" t="s">
        <v>1209</v>
      </c>
      <c r="D1399" s="182" t="s">
        <v>1210</v>
      </c>
      <c r="E1399" s="124"/>
      <c r="F1399" s="70"/>
      <c r="G1399" s="70"/>
      <c r="H1399" s="70"/>
      <c r="K1399" s="119"/>
      <c r="L1399" s="119"/>
      <c r="M1399" s="1409"/>
      <c r="O1399" s="475"/>
    </row>
    <row r="1400" spans="3:15" s="59" customFormat="1" ht="25.8" customHeight="1">
      <c r="C1400" s="869">
        <v>1</v>
      </c>
      <c r="D1400" s="285" t="s">
        <v>8068</v>
      </c>
      <c r="E1400" s="291" t="s">
        <v>113</v>
      </c>
      <c r="F1400" s="282">
        <v>1.5</v>
      </c>
      <c r="G1400" s="283">
        <f>VLOOKUP(D1400,upahbahan,3,FALSE)</f>
        <v>16470</v>
      </c>
      <c r="H1400" s="283">
        <f>F1400*G1400</f>
        <v>24705</v>
      </c>
      <c r="K1400" s="119"/>
      <c r="L1400" s="119"/>
      <c r="M1400" s="1409"/>
      <c r="O1400" s="475"/>
    </row>
    <row r="1401" spans="3:15" s="59" customFormat="1" ht="25.8" customHeight="1">
      <c r="C1401" s="869">
        <v>2</v>
      </c>
      <c r="D1401" s="285" t="s">
        <v>3538</v>
      </c>
      <c r="E1401" s="291" t="s">
        <v>113</v>
      </c>
      <c r="F1401" s="870">
        <v>1.2</v>
      </c>
      <c r="G1401" s="283">
        <f>VLOOKUP(D1401,upahbahan,3,FALSE)</f>
        <v>1080</v>
      </c>
      <c r="H1401" s="283">
        <f>F1401*G1401</f>
        <v>1296</v>
      </c>
      <c r="K1401" s="119"/>
      <c r="L1401" s="119"/>
      <c r="M1401" s="1409"/>
      <c r="O1401" s="475"/>
    </row>
    <row r="1402" spans="3:15" s="59" customFormat="1" ht="25.8" customHeight="1">
      <c r="C1402" s="450" t="s">
        <v>1214</v>
      </c>
      <c r="D1402" s="67"/>
      <c r="E1402" s="67"/>
      <c r="F1402" s="67"/>
      <c r="G1402" s="69"/>
      <c r="H1402" s="283">
        <f>SUM(H1400:H1401)</f>
        <v>26001</v>
      </c>
      <c r="K1402" s="119"/>
      <c r="L1402" s="119"/>
      <c r="M1402" s="1409"/>
      <c r="O1402" s="475"/>
    </row>
    <row r="1403" spans="3:15" s="59" customFormat="1" ht="25.8" customHeight="1">
      <c r="C1403" s="176" t="s">
        <v>1215</v>
      </c>
      <c r="D1403" s="182" t="s">
        <v>1216</v>
      </c>
      <c r="E1403" s="70"/>
      <c r="F1403" s="70"/>
      <c r="G1403" s="70"/>
      <c r="H1403" s="70"/>
      <c r="K1403" s="119"/>
      <c r="L1403" s="119"/>
      <c r="M1403" s="1409"/>
      <c r="O1403" s="475"/>
    </row>
    <row r="1404" spans="3:15" s="59" customFormat="1" ht="25.8" customHeight="1">
      <c r="C1404" s="450" t="s">
        <v>1217</v>
      </c>
      <c r="D1404" s="67"/>
      <c r="E1404" s="67"/>
      <c r="F1404" s="67"/>
      <c r="G1404" s="69"/>
      <c r="H1404" s="871">
        <v>0</v>
      </c>
      <c r="K1404" s="119"/>
      <c r="L1404" s="119"/>
      <c r="M1404" s="1409"/>
      <c r="O1404" s="475"/>
    </row>
    <row r="1405" spans="3:15" s="59" customFormat="1" ht="25.8" customHeight="1">
      <c r="C1405" s="102" t="s">
        <v>1218</v>
      </c>
      <c r="D1405" s="294" t="s">
        <v>1219</v>
      </c>
      <c r="E1405" s="295"/>
      <c r="F1405" s="295"/>
      <c r="G1405" s="296"/>
      <c r="H1405" s="872">
        <f>H1404+H1402+H1398</f>
        <v>49136</v>
      </c>
      <c r="K1405" s="873"/>
      <c r="L1405" s="119"/>
      <c r="M1405" s="1409"/>
      <c r="O1405" s="475"/>
    </row>
    <row r="1406" spans="3:15" s="59" customFormat="1" ht="25.8" customHeight="1">
      <c r="C1406" s="102" t="s">
        <v>1220</v>
      </c>
      <c r="D1406" s="294" t="s">
        <v>1321</v>
      </c>
      <c r="E1406" s="295"/>
      <c r="F1406" s="296"/>
      <c r="G1406" s="298">
        <f>$D$4</f>
        <v>0.1</v>
      </c>
      <c r="H1406" s="283">
        <f>H1405*G1406</f>
        <v>4913.6000000000004</v>
      </c>
      <c r="K1406" s="873"/>
      <c r="L1406" s="119"/>
      <c r="M1406" s="1409"/>
      <c r="O1406" s="475"/>
    </row>
    <row r="1407" spans="3:15" s="59" customFormat="1" ht="25.8" customHeight="1">
      <c r="C1407" s="102" t="s">
        <v>1221</v>
      </c>
      <c r="D1407" s="294" t="s">
        <v>1222</v>
      </c>
      <c r="E1407" s="295"/>
      <c r="F1407" s="295"/>
      <c r="G1407" s="296"/>
      <c r="H1407" s="874">
        <f>SUM(H1405:H1406)</f>
        <v>54049.599999999999</v>
      </c>
      <c r="K1407" s="873"/>
      <c r="L1407" s="119"/>
      <c r="M1407" s="1409"/>
      <c r="O1407" s="475"/>
    </row>
    <row r="1408" spans="3:15">
      <c r="D1408" s="1174"/>
      <c r="L1408"/>
      <c r="M1408" s="1406"/>
    </row>
    <row r="1409" spans="3:15" s="59" customFormat="1" ht="25.8" customHeight="1">
      <c r="C1409" s="119" t="s">
        <v>3611</v>
      </c>
      <c r="D1409" s="867" t="s">
        <v>8077</v>
      </c>
      <c r="E1409" s="795"/>
      <c r="F1409" s="795"/>
      <c r="G1409" s="795"/>
      <c r="H1409" s="795"/>
      <c r="K1409" s="120">
        <f>ROUNDDOWN(H1425,-2)</f>
        <v>228200</v>
      </c>
      <c r="L1409" s="120">
        <v>4</v>
      </c>
      <c r="M1409" s="1408">
        <f>K1409*L1409</f>
        <v>912800</v>
      </c>
      <c r="N1409" s="1408">
        <f>M1409</f>
        <v>912800</v>
      </c>
      <c r="O1409" s="475"/>
    </row>
    <row r="1410" spans="3:15" s="59" customFormat="1" ht="25.8" customHeight="1">
      <c r="C1410" s="591" t="s">
        <v>1195</v>
      </c>
      <c r="D1410" s="591" t="s">
        <v>1196</v>
      </c>
      <c r="E1410" s="591" t="s">
        <v>1197</v>
      </c>
      <c r="F1410" s="591" t="s">
        <v>1198</v>
      </c>
      <c r="G1410" s="591" t="s">
        <v>1199</v>
      </c>
      <c r="H1410" s="591" t="s">
        <v>1200</v>
      </c>
      <c r="K1410" s="119"/>
      <c r="L1410" s="119"/>
      <c r="M1410" s="1409">
        <f>SUM(M1016:M1409)</f>
        <v>8280499.7000000002</v>
      </c>
      <c r="N1410" s="1409">
        <f>SUM(N1016:N1409)</f>
        <v>5457746.3971250001</v>
      </c>
      <c r="O1410" s="475"/>
    </row>
    <row r="1411" spans="3:15" s="59" customFormat="1" ht="25.8" customHeight="1">
      <c r="C1411" s="182" t="s">
        <v>1201</v>
      </c>
      <c r="D1411" s="182" t="s">
        <v>1202</v>
      </c>
      <c r="E1411" s="124"/>
      <c r="F1411" s="70"/>
      <c r="G1411" s="70"/>
      <c r="H1411" s="70"/>
      <c r="K1411" s="119"/>
      <c r="L1411" s="119"/>
      <c r="M1411" s="1409"/>
      <c r="O1411" s="475"/>
    </row>
    <row r="1412" spans="3:15" s="59" customFormat="1" ht="25.8" customHeight="1">
      <c r="C1412" s="876">
        <v>1</v>
      </c>
      <c r="D1412" s="182" t="s">
        <v>5</v>
      </c>
      <c r="E1412" s="176" t="s">
        <v>6</v>
      </c>
      <c r="F1412" s="309">
        <v>0.19</v>
      </c>
      <c r="G1412" s="283">
        <f>VLOOKUP(D1412,upahbahan,3,FALSE)</f>
        <v>100000</v>
      </c>
      <c r="H1412" s="283">
        <f t="shared" ref="H1412:H1415" si="77">F1412*G1412</f>
        <v>19000</v>
      </c>
      <c r="K1412" s="119"/>
      <c r="L1412" s="119"/>
      <c r="M1412" s="1409"/>
      <c r="O1412" s="475"/>
    </row>
    <row r="1413" spans="3:15" s="59" customFormat="1" ht="25.8" customHeight="1">
      <c r="C1413" s="876">
        <v>2</v>
      </c>
      <c r="D1413" s="182" t="str">
        <f>D1395</f>
        <v>Tukang cat</v>
      </c>
      <c r="E1413" s="176" t="s">
        <v>6</v>
      </c>
      <c r="F1413" s="309">
        <v>0.318</v>
      </c>
      <c r="G1413" s="283">
        <f>VLOOKUP(D1413,upahbahan,3,FALSE)</f>
        <v>135000</v>
      </c>
      <c r="H1413" s="283">
        <f t="shared" si="77"/>
        <v>42930</v>
      </c>
      <c r="K1413" s="119"/>
      <c r="L1413" s="119"/>
      <c r="M1413" s="1409"/>
      <c r="O1413" s="475"/>
    </row>
    <row r="1414" spans="3:15" s="59" customFormat="1" ht="25.8" customHeight="1">
      <c r="C1414" s="876">
        <v>3</v>
      </c>
      <c r="D1414" s="182" t="s">
        <v>18</v>
      </c>
      <c r="E1414" s="176" t="s">
        <v>6</v>
      </c>
      <c r="F1414" s="309">
        <v>3.2000000000000001E-2</v>
      </c>
      <c r="G1414" s="283">
        <f>VLOOKUP(D1414,upahbahan,3,FALSE)</f>
        <v>150000</v>
      </c>
      <c r="H1414" s="283">
        <f t="shared" si="77"/>
        <v>4800</v>
      </c>
      <c r="K1414" s="119"/>
      <c r="L1414" s="119"/>
      <c r="M1414" s="1409"/>
      <c r="O1414" s="475"/>
    </row>
    <row r="1415" spans="3:15" s="59" customFormat="1" ht="25.8" customHeight="1">
      <c r="C1415" s="876">
        <v>4</v>
      </c>
      <c r="D1415" s="182" t="s">
        <v>19</v>
      </c>
      <c r="E1415" s="176" t="s">
        <v>6</v>
      </c>
      <c r="F1415" s="309">
        <v>1.0999999999999999E-2</v>
      </c>
      <c r="G1415" s="283">
        <f>VLOOKUP(D1415,upahbahan,3,FALSE)</f>
        <v>160000</v>
      </c>
      <c r="H1415" s="283">
        <f t="shared" si="77"/>
        <v>1760</v>
      </c>
      <c r="K1415" s="119"/>
      <c r="L1415" s="119"/>
      <c r="M1415" s="1409"/>
      <c r="O1415" s="475"/>
    </row>
    <row r="1416" spans="3:15" s="59" customFormat="1" ht="25.8" customHeight="1">
      <c r="C1416" s="450" t="s">
        <v>1208</v>
      </c>
      <c r="D1416" s="67"/>
      <c r="E1416" s="67"/>
      <c r="F1416" s="142"/>
      <c r="G1416" s="153"/>
      <c r="H1416" s="283">
        <f>SUM(H1412:H1415)</f>
        <v>68490</v>
      </c>
      <c r="K1416" s="319"/>
      <c r="L1416" s="319"/>
      <c r="M1416" s="1409"/>
      <c r="O1416" s="475"/>
    </row>
    <row r="1417" spans="3:15" s="59" customFormat="1" ht="25.8" customHeight="1">
      <c r="C1417" s="176" t="s">
        <v>1209</v>
      </c>
      <c r="D1417" s="182" t="s">
        <v>1210</v>
      </c>
      <c r="E1417" s="70"/>
      <c r="F1417" s="70"/>
      <c r="G1417" s="70"/>
      <c r="H1417" s="70"/>
      <c r="K1417" s="119"/>
      <c r="L1417" s="119"/>
      <c r="M1417" s="1409"/>
      <c r="O1417" s="475"/>
    </row>
    <row r="1418" spans="3:15" s="59" customFormat="1" ht="25.8" customHeight="1">
      <c r="C1418" s="869">
        <v>1</v>
      </c>
      <c r="D1418" s="285" t="s">
        <v>8078</v>
      </c>
      <c r="E1418" s="176" t="s">
        <v>113</v>
      </c>
      <c r="F1418" s="282">
        <f>F1400</f>
        <v>1.5</v>
      </c>
      <c r="G1418" s="283">
        <f>VLOOKUP(D1418,upahbahan,3,FALSE)</f>
        <v>91800</v>
      </c>
      <c r="H1418" s="283">
        <f t="shared" ref="H1418:H1419" si="78">F1418*G1418</f>
        <v>137700</v>
      </c>
      <c r="K1418" s="119"/>
      <c r="L1418" s="119"/>
      <c r="M1418" s="1409"/>
      <c r="O1418" s="475"/>
    </row>
    <row r="1419" spans="3:15" s="59" customFormat="1" ht="25.8" customHeight="1">
      <c r="C1419" s="869">
        <v>2</v>
      </c>
      <c r="D1419" s="182" t="s">
        <v>3538</v>
      </c>
      <c r="E1419" s="176" t="s">
        <v>113</v>
      </c>
      <c r="F1419" s="870">
        <f>F1401</f>
        <v>1.2</v>
      </c>
      <c r="G1419" s="283">
        <f>VLOOKUP(D1419,upahbahan,3,FALSE)</f>
        <v>1080</v>
      </c>
      <c r="H1419" s="283">
        <f t="shared" si="78"/>
        <v>1296</v>
      </c>
      <c r="K1419" s="119"/>
      <c r="L1419" s="119"/>
      <c r="M1419" s="1409"/>
      <c r="O1419" s="475"/>
    </row>
    <row r="1420" spans="3:15" s="59" customFormat="1" ht="25.8" customHeight="1">
      <c r="C1420" s="450" t="s">
        <v>1214</v>
      </c>
      <c r="D1420" s="67"/>
      <c r="E1420" s="67"/>
      <c r="F1420" s="67"/>
      <c r="G1420" s="69"/>
      <c r="H1420" s="283">
        <f>SUM(H1418:H1419)</f>
        <v>138996</v>
      </c>
      <c r="K1420" s="119"/>
      <c r="L1420" s="119"/>
      <c r="M1420" s="1409"/>
      <c r="O1420" s="475"/>
    </row>
    <row r="1421" spans="3:15" s="59" customFormat="1" ht="25.8" customHeight="1">
      <c r="C1421" s="176" t="s">
        <v>1215</v>
      </c>
      <c r="D1421" s="182" t="s">
        <v>1216</v>
      </c>
      <c r="E1421" s="70"/>
      <c r="F1421" s="70"/>
      <c r="G1421" s="70"/>
      <c r="H1421" s="70"/>
      <c r="K1421" s="119"/>
      <c r="L1421" s="119"/>
      <c r="M1421" s="1409"/>
      <c r="O1421" s="475"/>
    </row>
    <row r="1422" spans="3:15" s="59" customFormat="1" ht="25.8" customHeight="1">
      <c r="C1422" s="450" t="s">
        <v>1217</v>
      </c>
      <c r="D1422" s="67"/>
      <c r="E1422" s="67"/>
      <c r="F1422" s="67"/>
      <c r="G1422" s="69"/>
      <c r="H1422" s="871">
        <v>0</v>
      </c>
      <c r="K1422" s="119"/>
      <c r="L1422" s="119"/>
      <c r="M1422" s="1409"/>
      <c r="O1422" s="475"/>
    </row>
    <row r="1423" spans="3:15" s="59" customFormat="1" ht="25.8" customHeight="1">
      <c r="C1423" s="102" t="s">
        <v>1218</v>
      </c>
      <c r="D1423" s="294" t="s">
        <v>1219</v>
      </c>
      <c r="E1423" s="295"/>
      <c r="F1423" s="295"/>
      <c r="G1423" s="296"/>
      <c r="H1423" s="872">
        <f>H1422+H1420+H1416</f>
        <v>207486</v>
      </c>
      <c r="K1423" s="873"/>
      <c r="L1423" s="119"/>
      <c r="M1423" s="1409"/>
      <c r="O1423" s="475"/>
    </row>
    <row r="1424" spans="3:15" s="59" customFormat="1" ht="25.8" customHeight="1">
      <c r="C1424" s="102" t="s">
        <v>1220</v>
      </c>
      <c r="D1424" s="294" t="s">
        <v>1321</v>
      </c>
      <c r="E1424" s="295"/>
      <c r="F1424" s="296"/>
      <c r="G1424" s="298">
        <f>$D$4</f>
        <v>0.1</v>
      </c>
      <c r="H1424" s="283">
        <f>H1423*G1424</f>
        <v>20748.600000000002</v>
      </c>
      <c r="K1424" s="873"/>
      <c r="L1424" s="119"/>
      <c r="M1424" s="1409"/>
      <c r="O1424" s="475"/>
    </row>
    <row r="1425" spans="3:15" s="59" customFormat="1" ht="25.8" customHeight="1">
      <c r="C1425" s="102" t="s">
        <v>1221</v>
      </c>
      <c r="D1425" s="294" t="s">
        <v>1222</v>
      </c>
      <c r="E1425" s="295"/>
      <c r="F1425" s="295"/>
      <c r="G1425" s="296"/>
      <c r="H1425" s="874">
        <f>SUM(H1423:H1424)</f>
        <v>228234.6</v>
      </c>
      <c r="K1425" s="873"/>
      <c r="L1425" s="119"/>
      <c r="M1425" s="1409"/>
      <c r="O1425" s="475"/>
    </row>
    <row r="1426" spans="3:15">
      <c r="D1426" s="1174"/>
      <c r="L1426"/>
      <c r="M1426" s="1406"/>
    </row>
    <row r="1427" spans="3:15" s="517" customFormat="1" ht="21" customHeight="1">
      <c r="C1427" s="530"/>
      <c r="D1427" s="817" t="s">
        <v>9060</v>
      </c>
      <c r="E1427" s="803"/>
      <c r="F1427" s="803"/>
      <c r="G1427" s="803"/>
      <c r="H1427" s="803"/>
      <c r="K1427" s="533">
        <f>ROUNDDOWN(H1450,-2)</f>
        <v>680700</v>
      </c>
      <c r="M1427" s="1418"/>
    </row>
    <row r="1428" spans="3:15" s="517" customFormat="1" ht="21" customHeight="1">
      <c r="C1428" s="716" t="s">
        <v>1195</v>
      </c>
      <c r="D1428" s="716" t="s">
        <v>1196</v>
      </c>
      <c r="E1428" s="716" t="s">
        <v>1197</v>
      </c>
      <c r="F1428" s="716" t="s">
        <v>1198</v>
      </c>
      <c r="G1428" s="716" t="s">
        <v>1199</v>
      </c>
      <c r="H1428" s="716" t="s">
        <v>1200</v>
      </c>
      <c r="K1428" s="571"/>
      <c r="M1428" s="1418"/>
    </row>
    <row r="1429" spans="3:15" s="517" customFormat="1" ht="21" customHeight="1">
      <c r="C1429" s="212" t="s">
        <v>1201</v>
      </c>
      <c r="D1429" s="212" t="s">
        <v>1202</v>
      </c>
      <c r="E1429" s="534"/>
      <c r="F1429" s="534"/>
      <c r="G1429" s="534"/>
      <c r="H1429" s="534"/>
      <c r="K1429" s="571"/>
      <c r="M1429" s="1418"/>
    </row>
    <row r="1430" spans="3:15" s="517" customFormat="1" ht="21" customHeight="1">
      <c r="C1430" s="825">
        <v>1</v>
      </c>
      <c r="D1430" s="212" t="s">
        <v>5</v>
      </c>
      <c r="E1430" s="213" t="s">
        <v>6</v>
      </c>
      <c r="F1430" s="829">
        <v>0.121</v>
      </c>
      <c r="G1430" s="539">
        <f>VLOOKUP(D1430,upahbahan,3,FALSE)</f>
        <v>100000</v>
      </c>
      <c r="H1430" s="539">
        <f t="shared" ref="H1430:H1433" si="79">F1430*G1430</f>
        <v>12100</v>
      </c>
      <c r="K1430" s="571"/>
      <c r="M1430" s="1418"/>
    </row>
    <row r="1431" spans="3:15" s="517" customFormat="1" ht="21" customHeight="1">
      <c r="C1431" s="825">
        <v>2</v>
      </c>
      <c r="D1431" s="212" t="s">
        <v>7</v>
      </c>
      <c r="E1431" s="213" t="s">
        <v>6</v>
      </c>
      <c r="F1431" s="829">
        <v>0.20300000000000001</v>
      </c>
      <c r="G1431" s="539">
        <f>VLOOKUP(D1431,upahbahan,3,FALSE)</f>
        <v>135000</v>
      </c>
      <c r="H1431" s="539">
        <f t="shared" si="79"/>
        <v>27405.000000000004</v>
      </c>
      <c r="K1431" s="571"/>
      <c r="M1431" s="1418"/>
    </row>
    <row r="1432" spans="3:15" s="517" customFormat="1" ht="21" customHeight="1">
      <c r="C1432" s="825">
        <v>3</v>
      </c>
      <c r="D1432" s="212" t="s">
        <v>18</v>
      </c>
      <c r="E1432" s="213" t="s">
        <v>6</v>
      </c>
      <c r="F1432" s="829">
        <v>0.02</v>
      </c>
      <c r="G1432" s="539">
        <f>VLOOKUP(D1432,upahbahan,3,FALSE)</f>
        <v>150000</v>
      </c>
      <c r="H1432" s="539">
        <f t="shared" si="79"/>
        <v>3000</v>
      </c>
      <c r="K1432" s="571"/>
      <c r="M1432" s="1418"/>
    </row>
    <row r="1433" spans="3:15" s="517" customFormat="1" ht="21" customHeight="1">
      <c r="C1433" s="825">
        <v>4</v>
      </c>
      <c r="D1433" s="212" t="s">
        <v>19</v>
      </c>
      <c r="E1433" s="213" t="s">
        <v>6</v>
      </c>
      <c r="F1433" s="829">
        <v>6.0000000000000001E-3</v>
      </c>
      <c r="G1433" s="539">
        <f>VLOOKUP(D1433,upahbahan,3,FALSE)</f>
        <v>160000</v>
      </c>
      <c r="H1433" s="539">
        <f t="shared" si="79"/>
        <v>960</v>
      </c>
      <c r="K1433" s="571"/>
      <c r="M1433" s="1418"/>
    </row>
    <row r="1434" spans="3:15" s="517" customFormat="1" ht="21" customHeight="1">
      <c r="C1434" s="702" t="s">
        <v>1208</v>
      </c>
      <c r="D1434" s="208"/>
      <c r="E1434" s="208"/>
      <c r="F1434" s="521"/>
      <c r="G1434" s="522"/>
      <c r="H1434" s="539">
        <f>SUM(H1430:H1433)</f>
        <v>43465</v>
      </c>
      <c r="K1434" s="819"/>
      <c r="M1434" s="1418"/>
    </row>
    <row r="1435" spans="3:15" s="517" customFormat="1" ht="21" customHeight="1">
      <c r="C1435" s="213" t="s">
        <v>1209</v>
      </c>
      <c r="D1435" s="212" t="s">
        <v>1210</v>
      </c>
      <c r="E1435" s="534"/>
      <c r="F1435" s="534"/>
      <c r="G1435" s="534"/>
      <c r="H1435" s="534"/>
      <c r="K1435" s="571"/>
      <c r="M1435" s="1418"/>
    </row>
    <row r="1436" spans="3:15" s="517" customFormat="1" ht="21" customHeight="1">
      <c r="C1436" s="213">
        <v>1</v>
      </c>
      <c r="D1436" s="212" t="s">
        <v>3804</v>
      </c>
      <c r="E1436" s="534" t="s">
        <v>2676</v>
      </c>
      <c r="F1436" s="866">
        <f>1*1*1.5</f>
        <v>1.5</v>
      </c>
      <c r="G1436" s="539">
        <f>VLOOKUP(D1436,upahbahan,3,FALSE)</f>
        <v>45000</v>
      </c>
      <c r="H1436" s="539">
        <f>F1436*G1436</f>
        <v>67500</v>
      </c>
      <c r="K1436" s="571"/>
      <c r="M1436" s="1418"/>
    </row>
    <row r="1437" spans="3:15" s="517" customFormat="1" ht="21" customHeight="1">
      <c r="C1437" s="213">
        <v>2</v>
      </c>
      <c r="D1437" s="212" t="str">
        <f>'Upah Bahan'!F65</f>
        <v>Bata ringan tebal 7.5 cm</v>
      </c>
      <c r="E1437" s="534" t="s">
        <v>2167</v>
      </c>
      <c r="F1437" s="866">
        <f>K1437/K1438</f>
        <v>37.5</v>
      </c>
      <c r="G1437" s="539">
        <f>VLOOKUP(D1437,upahbahan,3,FALSE)</f>
        <v>6120</v>
      </c>
      <c r="H1437" s="539">
        <f t="shared" ref="H1437:H1444" si="80">F1437*G1437</f>
        <v>229500</v>
      </c>
      <c r="K1437" s="571">
        <f>(1*1.5*3)</f>
        <v>4.5</v>
      </c>
      <c r="M1437" s="1418"/>
    </row>
    <row r="1438" spans="3:15" s="517" customFormat="1" ht="21" customHeight="1">
      <c r="C1438" s="213">
        <v>3</v>
      </c>
      <c r="D1438" s="212" t="s">
        <v>2552</v>
      </c>
      <c r="E1438" s="534" t="s">
        <v>2426</v>
      </c>
      <c r="F1438" s="866">
        <v>9</v>
      </c>
      <c r="G1438" s="539">
        <f>VLOOKUP(D1438,upahbahan,3,FALSE)</f>
        <v>10800</v>
      </c>
      <c r="H1438" s="539">
        <f t="shared" si="80"/>
        <v>97200</v>
      </c>
      <c r="K1438" s="571">
        <f>0.2*0.6</f>
        <v>0.12</v>
      </c>
      <c r="M1438" s="1418"/>
    </row>
    <row r="1439" spans="3:15" s="517" customFormat="1" ht="21" customHeight="1">
      <c r="C1439" s="213">
        <v>4</v>
      </c>
      <c r="D1439" s="212" t="s">
        <v>2553</v>
      </c>
      <c r="E1439" s="534" t="s">
        <v>42</v>
      </c>
      <c r="F1439" s="878">
        <v>0.502</v>
      </c>
      <c r="G1439" s="539">
        <f>VLOOKUP(D1439,upahbahan,3,FALSE)</f>
        <v>292500</v>
      </c>
      <c r="H1439" s="539">
        <f t="shared" si="80"/>
        <v>146835</v>
      </c>
      <c r="K1439" s="571"/>
      <c r="M1439" s="1418"/>
    </row>
    <row r="1440" spans="3:15" s="517" customFormat="1" ht="21" customHeight="1">
      <c r="C1440" s="213">
        <v>5</v>
      </c>
      <c r="D1440" s="212" t="s">
        <v>3801</v>
      </c>
      <c r="E1440" s="534"/>
      <c r="F1440" s="878"/>
      <c r="G1440" s="539"/>
      <c r="H1440" s="539"/>
      <c r="K1440" s="571"/>
      <c r="M1440" s="1418"/>
    </row>
    <row r="1441" spans="3:13" s="517" customFormat="1" ht="21" customHeight="1">
      <c r="C1441" s="213">
        <v>6</v>
      </c>
      <c r="D1441" s="212" t="s">
        <v>3802</v>
      </c>
      <c r="E1441" s="534" t="s">
        <v>42</v>
      </c>
      <c r="F1441" s="878">
        <f>1*1*0.1</f>
        <v>0.1</v>
      </c>
      <c r="G1441" s="539">
        <f>VLOOKUP(D1441,upahbahan,3,FALSE)</f>
        <v>0</v>
      </c>
      <c r="H1441" s="539">
        <f t="shared" si="80"/>
        <v>0</v>
      </c>
      <c r="K1441" s="571"/>
      <c r="M1441" s="1418"/>
    </row>
    <row r="1442" spans="3:13" s="517" customFormat="1" ht="21" customHeight="1">
      <c r="C1442" s="213">
        <v>7</v>
      </c>
      <c r="D1442" s="212" t="s">
        <v>3803</v>
      </c>
      <c r="E1442" s="534" t="s">
        <v>2426</v>
      </c>
      <c r="F1442" s="866">
        <f>Vol!B39</f>
        <v>26.465</v>
      </c>
      <c r="G1442" s="539">
        <f>VLOOKUP(D1442,upahbahan,3,FALSE)</f>
        <v>0</v>
      </c>
      <c r="H1442" s="539">
        <f t="shared" si="80"/>
        <v>0</v>
      </c>
      <c r="K1442" s="571"/>
      <c r="M1442" s="1418"/>
    </row>
    <row r="1443" spans="3:13" s="517" customFormat="1" ht="21" customHeight="1">
      <c r="C1443" s="213">
        <v>8</v>
      </c>
      <c r="D1443" s="212" t="s">
        <v>1947</v>
      </c>
      <c r="E1443" s="534" t="s">
        <v>62</v>
      </c>
      <c r="F1443" s="878">
        <f>1*1</f>
        <v>1</v>
      </c>
      <c r="G1443" s="539">
        <f>VLOOKUP(D1443,upahbahan,3,FALSE)</f>
        <v>0</v>
      </c>
      <c r="H1443" s="539">
        <f t="shared" si="80"/>
        <v>0</v>
      </c>
      <c r="K1443" s="571"/>
      <c r="M1443" s="1418"/>
    </row>
    <row r="1444" spans="3:13" s="517" customFormat="1" ht="21" customHeight="1">
      <c r="C1444" s="213">
        <v>9</v>
      </c>
      <c r="D1444" s="212" t="s">
        <v>174</v>
      </c>
      <c r="E1444" s="534" t="s">
        <v>113</v>
      </c>
      <c r="F1444" s="878">
        <v>1.2</v>
      </c>
      <c r="G1444" s="539">
        <f>VLOOKUP(D1444,upahbahan,3,FALSE)</f>
        <v>28600</v>
      </c>
      <c r="H1444" s="539">
        <f t="shared" si="80"/>
        <v>34320</v>
      </c>
      <c r="K1444" s="571"/>
      <c r="M1444" s="1418"/>
    </row>
    <row r="1445" spans="3:13" s="517" customFormat="1" ht="21" customHeight="1">
      <c r="C1445" s="702" t="s">
        <v>1214</v>
      </c>
      <c r="D1445" s="208"/>
      <c r="E1445" s="208"/>
      <c r="F1445" s="208"/>
      <c r="G1445" s="209"/>
      <c r="H1445" s="539">
        <f>SUM(H1436:H1444)</f>
        <v>575355</v>
      </c>
      <c r="K1445" s="571"/>
      <c r="M1445" s="1418"/>
    </row>
    <row r="1446" spans="3:13" s="517" customFormat="1" ht="21" customHeight="1">
      <c r="C1446" s="213" t="s">
        <v>1215</v>
      </c>
      <c r="D1446" s="212" t="s">
        <v>1216</v>
      </c>
      <c r="E1446" s="534"/>
      <c r="F1446" s="534"/>
      <c r="G1446" s="534"/>
      <c r="H1446" s="534"/>
      <c r="K1446" s="571"/>
      <c r="M1446" s="1418"/>
    </row>
    <row r="1447" spans="3:13" s="517" customFormat="1" ht="21" customHeight="1">
      <c r="C1447" s="702" t="s">
        <v>1217</v>
      </c>
      <c r="D1447" s="208"/>
      <c r="E1447" s="208"/>
      <c r="F1447" s="208"/>
      <c r="G1447" s="209"/>
      <c r="H1447" s="821">
        <v>0</v>
      </c>
      <c r="K1447" s="571"/>
      <c r="M1447" s="1418"/>
    </row>
    <row r="1448" spans="3:13" s="517" customFormat="1" ht="21" customHeight="1">
      <c r="C1448" s="566" t="s">
        <v>1218</v>
      </c>
      <c r="D1448" s="552" t="s">
        <v>1219</v>
      </c>
      <c r="E1448" s="553"/>
      <c r="F1448" s="553"/>
      <c r="G1448" s="554"/>
      <c r="H1448" s="826">
        <f>H1447+H1445+H1434</f>
        <v>618820</v>
      </c>
      <c r="K1448" s="827"/>
      <c r="M1448" s="1418"/>
    </row>
    <row r="1449" spans="3:13" s="517" customFormat="1" ht="21" customHeight="1">
      <c r="C1449" s="566" t="s">
        <v>1220</v>
      </c>
      <c r="D1449" s="552" t="s">
        <v>1321</v>
      </c>
      <c r="E1449" s="553"/>
      <c r="F1449" s="554"/>
      <c r="G1449" s="298">
        <f>$D$4</f>
        <v>0.1</v>
      </c>
      <c r="H1449" s="539">
        <f>H1448*G1449</f>
        <v>61882</v>
      </c>
      <c r="K1449" s="827"/>
      <c r="M1449" s="1418"/>
    </row>
    <row r="1450" spans="3:13" s="517" customFormat="1" ht="21" customHeight="1">
      <c r="C1450" s="566" t="s">
        <v>1221</v>
      </c>
      <c r="D1450" s="552" t="s">
        <v>1222</v>
      </c>
      <c r="E1450" s="553"/>
      <c r="F1450" s="553"/>
      <c r="G1450" s="554"/>
      <c r="H1450" s="828">
        <f>SUM(H1448:H1449)</f>
        <v>680702</v>
      </c>
      <c r="K1450" s="827"/>
      <c r="M1450" s="1418"/>
    </row>
    <row r="1451" spans="3:13">
      <c r="D1451" s="1174"/>
      <c r="L1451"/>
      <c r="M1451" s="1406"/>
    </row>
    <row r="1452" spans="3:13" s="517" customFormat="1" ht="21" customHeight="1">
      <c r="C1452" s="530"/>
      <c r="D1452" s="817" t="s">
        <v>9062</v>
      </c>
      <c r="E1452" s="803"/>
      <c r="F1452" s="803"/>
      <c r="G1452" s="803"/>
      <c r="H1452" s="803"/>
      <c r="K1452" s="533">
        <f>ROUNDDOWN(H1473,-2)</f>
        <v>156800</v>
      </c>
      <c r="M1452" s="1418"/>
    </row>
    <row r="1453" spans="3:13" s="517" customFormat="1" ht="21" customHeight="1">
      <c r="C1453" s="716" t="s">
        <v>1195</v>
      </c>
      <c r="D1453" s="716" t="s">
        <v>1196</v>
      </c>
      <c r="E1453" s="716" t="s">
        <v>1197</v>
      </c>
      <c r="F1453" s="716" t="s">
        <v>1198</v>
      </c>
      <c r="G1453" s="716" t="s">
        <v>1199</v>
      </c>
      <c r="H1453" s="716" t="s">
        <v>1200</v>
      </c>
      <c r="K1453" s="571"/>
      <c r="M1453" s="1418"/>
    </row>
    <row r="1454" spans="3:13" s="517" customFormat="1" ht="21" customHeight="1">
      <c r="C1454" s="212" t="s">
        <v>1201</v>
      </c>
      <c r="D1454" s="212" t="s">
        <v>1202</v>
      </c>
      <c r="E1454" s="534"/>
      <c r="F1454" s="534"/>
      <c r="G1454" s="534"/>
      <c r="H1454" s="534"/>
      <c r="K1454" s="571"/>
      <c r="M1454" s="1418"/>
    </row>
    <row r="1455" spans="3:13" s="517" customFormat="1" ht="21" customHeight="1">
      <c r="C1455" s="825">
        <v>1</v>
      </c>
      <c r="D1455" s="212" t="s">
        <v>5</v>
      </c>
      <c r="E1455" s="213" t="s">
        <v>6</v>
      </c>
      <c r="F1455" s="829">
        <v>0.121</v>
      </c>
      <c r="G1455" s="539">
        <f>VLOOKUP(D1455,upahbahan,3,FALSE)</f>
        <v>100000</v>
      </c>
      <c r="H1455" s="539">
        <f t="shared" ref="H1455:H1458" si="81">F1455*G1455</f>
        <v>12100</v>
      </c>
      <c r="K1455" s="571"/>
      <c r="M1455" s="1418"/>
    </row>
    <row r="1456" spans="3:13" s="517" customFormat="1" ht="21" customHeight="1">
      <c r="C1456" s="825">
        <v>2</v>
      </c>
      <c r="D1456" s="212" t="s">
        <v>7</v>
      </c>
      <c r="E1456" s="213" t="s">
        <v>6</v>
      </c>
      <c r="F1456" s="829">
        <v>0.20300000000000001</v>
      </c>
      <c r="G1456" s="539">
        <f>VLOOKUP(D1456,upahbahan,3,FALSE)</f>
        <v>135000</v>
      </c>
      <c r="H1456" s="539">
        <f t="shared" si="81"/>
        <v>27405.000000000004</v>
      </c>
      <c r="K1456" s="571"/>
      <c r="M1456" s="1418"/>
    </row>
    <row r="1457" spans="3:13" s="517" customFormat="1" ht="21" customHeight="1">
      <c r="C1457" s="825">
        <v>3</v>
      </c>
      <c r="D1457" s="212" t="s">
        <v>18</v>
      </c>
      <c r="E1457" s="213" t="s">
        <v>6</v>
      </c>
      <c r="F1457" s="829">
        <v>0.02</v>
      </c>
      <c r="G1457" s="539">
        <f>VLOOKUP(D1457,upahbahan,3,FALSE)</f>
        <v>150000</v>
      </c>
      <c r="H1457" s="539">
        <f t="shared" si="81"/>
        <v>3000</v>
      </c>
      <c r="K1457" s="571"/>
      <c r="M1457" s="1418"/>
    </row>
    <row r="1458" spans="3:13" s="517" customFormat="1" ht="21" customHeight="1">
      <c r="C1458" s="825">
        <v>4</v>
      </c>
      <c r="D1458" s="212" t="s">
        <v>19</v>
      </c>
      <c r="E1458" s="213" t="s">
        <v>6</v>
      </c>
      <c r="F1458" s="829">
        <v>6.0000000000000001E-3</v>
      </c>
      <c r="G1458" s="539">
        <f>VLOOKUP(D1458,upahbahan,3,FALSE)</f>
        <v>160000</v>
      </c>
      <c r="H1458" s="539">
        <f t="shared" si="81"/>
        <v>960</v>
      </c>
      <c r="K1458" s="571"/>
      <c r="M1458" s="1418"/>
    </row>
    <row r="1459" spans="3:13" s="517" customFormat="1" ht="21" customHeight="1">
      <c r="C1459" s="702" t="s">
        <v>1208</v>
      </c>
      <c r="D1459" s="208"/>
      <c r="E1459" s="208"/>
      <c r="F1459" s="521"/>
      <c r="G1459" s="522"/>
      <c r="H1459" s="539">
        <f>SUM(H1455:H1458)</f>
        <v>43465</v>
      </c>
      <c r="K1459" s="819"/>
      <c r="M1459" s="1418"/>
    </row>
    <row r="1460" spans="3:13" s="517" customFormat="1" ht="21" customHeight="1">
      <c r="C1460" s="213" t="s">
        <v>1209</v>
      </c>
      <c r="D1460" s="212" t="s">
        <v>1210</v>
      </c>
      <c r="E1460" s="534"/>
      <c r="F1460" s="534"/>
      <c r="G1460" s="534"/>
      <c r="H1460" s="534"/>
      <c r="K1460" s="571"/>
      <c r="M1460" s="1418"/>
    </row>
    <row r="1461" spans="3:13" s="517" customFormat="1" ht="21" customHeight="1">
      <c r="C1461" s="213">
        <v>1</v>
      </c>
      <c r="D1461" s="212" t="s">
        <v>3804</v>
      </c>
      <c r="E1461" s="534" t="s">
        <v>2676</v>
      </c>
      <c r="F1461" s="866">
        <f>0.6*0.6*0.6</f>
        <v>0.216</v>
      </c>
      <c r="G1461" s="539">
        <f>VLOOKUP(D1461,upahbahan,3,FALSE)</f>
        <v>45000</v>
      </c>
      <c r="H1461" s="539">
        <f>F1461*G1461</f>
        <v>9720</v>
      </c>
      <c r="K1461" s="571"/>
      <c r="M1461" s="1418"/>
    </row>
    <row r="1462" spans="3:13" s="517" customFormat="1" ht="21" customHeight="1">
      <c r="C1462" s="213">
        <v>2</v>
      </c>
      <c r="D1462" s="212" t="str">
        <f>'Upah Bahan'!F65</f>
        <v>Bata ringan tebal 7.5 cm</v>
      </c>
      <c r="E1462" s="534" t="s">
        <v>2167</v>
      </c>
      <c r="F1462" s="866">
        <f>K1462/K1463</f>
        <v>9.0000000000000018</v>
      </c>
      <c r="G1462" s="539">
        <f>VLOOKUP(D1462,upahbahan,3,FALSE)</f>
        <v>6120</v>
      </c>
      <c r="H1462" s="539">
        <f t="shared" ref="H1462" si="82">F1462*G1462</f>
        <v>55080.000000000007</v>
      </c>
      <c r="K1462" s="571">
        <f>0.6*0.6*3</f>
        <v>1.08</v>
      </c>
      <c r="M1462" s="1418"/>
    </row>
    <row r="1463" spans="3:13" s="517" customFormat="1" ht="21" customHeight="1">
      <c r="C1463" s="213">
        <v>5</v>
      </c>
      <c r="D1463" s="212" t="s">
        <v>9063</v>
      </c>
      <c r="E1463" s="534"/>
      <c r="F1463" s="878"/>
      <c r="G1463" s="539"/>
      <c r="H1463" s="539"/>
      <c r="K1463" s="571">
        <f>0.2*0.6</f>
        <v>0.12</v>
      </c>
      <c r="M1463" s="1418"/>
    </row>
    <row r="1464" spans="3:13" s="517" customFormat="1" ht="21" customHeight="1">
      <c r="C1464" s="213">
        <v>6</v>
      </c>
      <c r="D1464" s="212" t="s">
        <v>3802</v>
      </c>
      <c r="E1464" s="534" t="s">
        <v>42</v>
      </c>
      <c r="F1464" s="878">
        <f>0.6*0.6*0.07*2</f>
        <v>5.04E-2</v>
      </c>
      <c r="G1464" s="539">
        <f>VLOOKUP(D1464,upahbahan,3,FALSE)</f>
        <v>0</v>
      </c>
      <c r="H1464" s="539">
        <f t="shared" ref="H1464:H1467" si="83">F1464*G1464</f>
        <v>0</v>
      </c>
      <c r="K1464" s="571"/>
      <c r="M1464" s="1418"/>
    </row>
    <row r="1465" spans="3:13" s="517" customFormat="1" ht="21" customHeight="1">
      <c r="C1465" s="213">
        <v>7</v>
      </c>
      <c r="D1465" s="212" t="s">
        <v>3803</v>
      </c>
      <c r="E1465" s="534" t="s">
        <v>2426</v>
      </c>
      <c r="F1465" s="866">
        <v>4.93</v>
      </c>
      <c r="G1465" s="539">
        <f>VLOOKUP(D1465,upahbahan,3,FALSE)</f>
        <v>0</v>
      </c>
      <c r="H1465" s="539">
        <f t="shared" si="83"/>
        <v>0</v>
      </c>
      <c r="K1465" s="571"/>
      <c r="M1465" s="1418"/>
    </row>
    <row r="1466" spans="3:13" s="517" customFormat="1" ht="21" customHeight="1">
      <c r="C1466" s="213">
        <v>8</v>
      </c>
      <c r="D1466" s="212" t="s">
        <v>1947</v>
      </c>
      <c r="E1466" s="534" t="s">
        <v>62</v>
      </c>
      <c r="F1466" s="878">
        <f>0.6*0.6</f>
        <v>0.36</v>
      </c>
      <c r="G1466" s="539">
        <f>VLOOKUP(D1466,upahbahan,3,FALSE)</f>
        <v>0</v>
      </c>
      <c r="H1466" s="539">
        <f t="shared" si="83"/>
        <v>0</v>
      </c>
      <c r="K1466" s="571"/>
      <c r="M1466" s="1418"/>
    </row>
    <row r="1467" spans="3:13" s="517" customFormat="1" ht="21" customHeight="1">
      <c r="C1467" s="213">
        <v>9</v>
      </c>
      <c r="D1467" s="212" t="s">
        <v>174</v>
      </c>
      <c r="E1467" s="534" t="s">
        <v>113</v>
      </c>
      <c r="F1467" s="878">
        <v>1.2</v>
      </c>
      <c r="G1467" s="539">
        <f>VLOOKUP(D1467,upahbahan,3,FALSE)</f>
        <v>28600</v>
      </c>
      <c r="H1467" s="539">
        <f t="shared" si="83"/>
        <v>34320</v>
      </c>
      <c r="K1467" s="571"/>
      <c r="M1467" s="1418"/>
    </row>
    <row r="1468" spans="3:13" s="517" customFormat="1" ht="21" customHeight="1">
      <c r="C1468" s="702" t="s">
        <v>1214</v>
      </c>
      <c r="D1468" s="208"/>
      <c r="E1468" s="208"/>
      <c r="F1468" s="208"/>
      <c r="G1468" s="209"/>
      <c r="H1468" s="539">
        <f>SUM(H1461:H1467)</f>
        <v>99120</v>
      </c>
      <c r="K1468" s="571"/>
      <c r="M1468" s="1418"/>
    </row>
    <row r="1469" spans="3:13" s="517" customFormat="1" ht="21" customHeight="1">
      <c r="C1469" s="213" t="s">
        <v>1215</v>
      </c>
      <c r="D1469" s="212" t="s">
        <v>1216</v>
      </c>
      <c r="E1469" s="534" t="s">
        <v>9069</v>
      </c>
      <c r="F1469" s="534"/>
      <c r="G1469" s="534"/>
      <c r="H1469" s="534"/>
      <c r="K1469" s="571"/>
      <c r="M1469" s="1418"/>
    </row>
    <row r="1470" spans="3:13" s="517" customFormat="1" ht="21" customHeight="1">
      <c r="C1470" s="702" t="s">
        <v>1217</v>
      </c>
      <c r="D1470" s="208"/>
      <c r="E1470" s="208"/>
      <c r="F1470" s="208"/>
      <c r="G1470" s="209"/>
      <c r="H1470" s="821">
        <v>0</v>
      </c>
      <c r="K1470" s="571"/>
      <c r="M1470" s="1418"/>
    </row>
    <row r="1471" spans="3:13" s="517" customFormat="1" ht="21" customHeight="1">
      <c r="C1471" s="566" t="s">
        <v>1218</v>
      </c>
      <c r="D1471" s="552" t="s">
        <v>1219</v>
      </c>
      <c r="E1471" s="553"/>
      <c r="F1471" s="553"/>
      <c r="G1471" s="554"/>
      <c r="H1471" s="826">
        <f>H1470+H1468+H1459</f>
        <v>142585</v>
      </c>
      <c r="K1471" s="827"/>
      <c r="M1471" s="1418"/>
    </row>
    <row r="1472" spans="3:13" s="517" customFormat="1" ht="21" customHeight="1">
      <c r="C1472" s="566" t="s">
        <v>1220</v>
      </c>
      <c r="D1472" s="552" t="s">
        <v>1321</v>
      </c>
      <c r="E1472" s="553"/>
      <c r="F1472" s="554"/>
      <c r="G1472" s="298">
        <f>$D$4</f>
        <v>0.1</v>
      </c>
      <c r="H1472" s="539">
        <f>H1471*G1472</f>
        <v>14258.5</v>
      </c>
      <c r="K1472" s="827"/>
      <c r="M1472" s="1418"/>
    </row>
    <row r="1473" spans="3:13" s="517" customFormat="1" ht="21" customHeight="1">
      <c r="C1473" s="566" t="s">
        <v>1221</v>
      </c>
      <c r="D1473" s="552" t="s">
        <v>1222</v>
      </c>
      <c r="E1473" s="553"/>
      <c r="F1473" s="553"/>
      <c r="G1473" s="554"/>
      <c r="H1473" s="828">
        <f>SUM(H1471:H1472)</f>
        <v>156843.5</v>
      </c>
      <c r="K1473" s="827"/>
      <c r="M1473" s="1418"/>
    </row>
    <row r="1474" spans="3:13">
      <c r="D1474" s="1174"/>
      <c r="L1474"/>
      <c r="M1474" s="1406"/>
    </row>
    <row r="1475" spans="3:13" ht="14.4">
      <c r="C1475" s="530"/>
      <c r="D1475" s="817" t="s">
        <v>9300</v>
      </c>
      <c r="E1475" s="803"/>
      <c r="F1475" s="803"/>
      <c r="G1475" s="803"/>
      <c r="H1475" s="803"/>
      <c r="I1475" s="517"/>
      <c r="J1475" s="517"/>
      <c r="K1475" s="533">
        <f>ROUNDDOWN(H1491,-2)</f>
        <v>17400</v>
      </c>
      <c r="L1475"/>
      <c r="M1475" s="1406"/>
    </row>
    <row r="1476" spans="3:13" ht="43.2">
      <c r="C1476" s="716" t="s">
        <v>1195</v>
      </c>
      <c r="D1476" s="716" t="s">
        <v>1196</v>
      </c>
      <c r="E1476" s="716" t="s">
        <v>1197</v>
      </c>
      <c r="F1476" s="716" t="s">
        <v>1198</v>
      </c>
      <c r="G1476" s="716" t="s">
        <v>1199</v>
      </c>
      <c r="H1476" s="716" t="s">
        <v>1200</v>
      </c>
      <c r="I1476" s="517"/>
      <c r="J1476" s="517"/>
      <c r="K1476" s="571"/>
      <c r="L1476"/>
      <c r="M1476" s="1406"/>
    </row>
    <row r="1477" spans="3:13" ht="14.4">
      <c r="C1477" s="212" t="s">
        <v>1201</v>
      </c>
      <c r="D1477" s="212" t="s">
        <v>1202</v>
      </c>
      <c r="E1477" s="534"/>
      <c r="F1477" s="534"/>
      <c r="G1477" s="534"/>
      <c r="H1477" s="534"/>
      <c r="I1477" s="517"/>
      <c r="J1477" s="517"/>
      <c r="K1477" s="571"/>
      <c r="L1477"/>
      <c r="M1477" s="1406"/>
    </row>
    <row r="1478" spans="3:13" ht="14.4">
      <c r="C1478" s="825">
        <v>1</v>
      </c>
      <c r="D1478" s="212" t="s">
        <v>5</v>
      </c>
      <c r="E1478" s="213" t="s">
        <v>6</v>
      </c>
      <c r="F1478" s="829">
        <v>7.0000000000000001E-3</v>
      </c>
      <c r="G1478" s="539">
        <f>VLOOKUP(D1478,upahbahan,3,FALSE)</f>
        <v>100000</v>
      </c>
      <c r="H1478" s="539">
        <f t="shared" ref="H1478:H1481" si="84">F1478*G1478</f>
        <v>700</v>
      </c>
      <c r="I1478" s="517"/>
      <c r="J1478" s="517"/>
      <c r="K1478" s="571"/>
      <c r="L1478"/>
      <c r="M1478" s="1406"/>
    </row>
    <row r="1479" spans="3:13" ht="14.4">
      <c r="C1479" s="825">
        <v>2</v>
      </c>
      <c r="D1479" s="212" t="s">
        <v>9</v>
      </c>
      <c r="E1479" s="213" t="s">
        <v>6</v>
      </c>
      <c r="F1479" s="829">
        <v>7.0000000000000001E-3</v>
      </c>
      <c r="G1479" s="539">
        <f>VLOOKUP(D1479,upahbahan,3,FALSE)</f>
        <v>135000</v>
      </c>
      <c r="H1479" s="539">
        <f t="shared" si="84"/>
        <v>945</v>
      </c>
      <c r="I1479" s="517"/>
      <c r="J1479" s="517"/>
      <c r="K1479" s="571"/>
      <c r="L1479"/>
      <c r="M1479" s="1406"/>
    </row>
    <row r="1480" spans="3:13" ht="14.4">
      <c r="C1480" s="825">
        <v>3</v>
      </c>
      <c r="D1480" s="212" t="s">
        <v>18</v>
      </c>
      <c r="E1480" s="213" t="s">
        <v>6</v>
      </c>
      <c r="F1480" s="829">
        <v>6.9999999999999999E-4</v>
      </c>
      <c r="G1480" s="539">
        <f>VLOOKUP(D1480,upahbahan,3,FALSE)</f>
        <v>150000</v>
      </c>
      <c r="H1480" s="539">
        <f t="shared" si="84"/>
        <v>105</v>
      </c>
      <c r="I1480" s="517"/>
      <c r="J1480" s="517"/>
      <c r="K1480" s="571"/>
      <c r="L1480"/>
      <c r="M1480" s="1406"/>
    </row>
    <row r="1481" spans="3:13" ht="14.4">
      <c r="C1481" s="825">
        <v>4</v>
      </c>
      <c r="D1481" s="212" t="s">
        <v>19</v>
      </c>
      <c r="E1481" s="213" t="s">
        <v>6</v>
      </c>
      <c r="F1481" s="829">
        <v>4.0000000000000002E-4</v>
      </c>
      <c r="G1481" s="539">
        <f>VLOOKUP(D1481,upahbahan,3,FALSE)</f>
        <v>160000</v>
      </c>
      <c r="H1481" s="539">
        <f t="shared" si="84"/>
        <v>64</v>
      </c>
      <c r="I1481" s="517"/>
      <c r="J1481" s="517"/>
      <c r="K1481" s="571"/>
      <c r="L1481"/>
      <c r="M1481" s="1406"/>
    </row>
    <row r="1482" spans="3:13" ht="14.4">
      <c r="C1482" s="702" t="s">
        <v>1208</v>
      </c>
      <c r="D1482" s="208"/>
      <c r="E1482" s="208"/>
      <c r="F1482" s="521"/>
      <c r="G1482" s="522"/>
      <c r="H1482" s="539">
        <f>SUM(H1478:H1481)</f>
        <v>1814</v>
      </c>
      <c r="I1482" s="517"/>
      <c r="J1482" s="517"/>
      <c r="K1482" s="819"/>
      <c r="L1482"/>
      <c r="M1482" s="1406"/>
    </row>
    <row r="1483" spans="3:13" ht="14.4">
      <c r="C1483" s="213" t="s">
        <v>1209</v>
      </c>
      <c r="D1483" s="212" t="s">
        <v>1210</v>
      </c>
      <c r="E1483" s="534"/>
      <c r="F1483" s="534"/>
      <c r="G1483" s="534"/>
      <c r="H1483" s="534"/>
      <c r="I1483" s="517"/>
      <c r="J1483" s="517"/>
      <c r="K1483" s="571"/>
      <c r="L1483"/>
      <c r="M1483" s="1406"/>
    </row>
    <row r="1484" spans="3:13" ht="14.4">
      <c r="C1484" s="281">
        <v>1</v>
      </c>
      <c r="D1484" s="182" t="s">
        <v>6476</v>
      </c>
      <c r="E1484" s="176" t="s">
        <v>65</v>
      </c>
      <c r="F1484" s="282">
        <v>1.02</v>
      </c>
      <c r="G1484" s="283">
        <f>VLOOKUP(D1484,upahbahan,3,FALSE)</f>
        <v>13050</v>
      </c>
      <c r="H1484" s="284">
        <f>F1484*G1484</f>
        <v>13311</v>
      </c>
      <c r="I1484" s="517"/>
      <c r="J1484" s="517"/>
      <c r="K1484" s="571"/>
      <c r="L1484"/>
      <c r="M1484" s="1406"/>
    </row>
    <row r="1485" spans="3:13" ht="14.4">
      <c r="C1485" s="281">
        <v>2</v>
      </c>
      <c r="D1485" s="182" t="s">
        <v>251</v>
      </c>
      <c r="E1485" s="176" t="s">
        <v>65</v>
      </c>
      <c r="F1485" s="309">
        <v>2.8000000000000001E-2</v>
      </c>
      <c r="G1485" s="283">
        <f>VLOOKUP(D1485,upahbahan,3,FALSE)</f>
        <v>27720</v>
      </c>
      <c r="H1485" s="284">
        <f>F1485*G1485</f>
        <v>776.16</v>
      </c>
      <c r="I1485" s="517"/>
      <c r="J1485" s="517"/>
      <c r="K1485" s="571">
        <f>0.6*0.6*3</f>
        <v>1.08</v>
      </c>
      <c r="L1485"/>
      <c r="M1485" s="1406"/>
    </row>
    <row r="1486" spans="3:13" ht="17.399999999999999" customHeight="1">
      <c r="C1486" s="702" t="s">
        <v>1214</v>
      </c>
      <c r="D1486" s="208"/>
      <c r="E1486" s="208"/>
      <c r="F1486" s="208"/>
      <c r="G1486" s="209"/>
      <c r="H1486" s="539">
        <f>SUM(H1484:H1485)</f>
        <v>14087.16</v>
      </c>
      <c r="I1486" s="517"/>
      <c r="J1486" s="517"/>
      <c r="K1486" s="571"/>
      <c r="L1486"/>
      <c r="M1486" s="1406"/>
    </row>
    <row r="1487" spans="3:13" ht="17.399999999999999" customHeight="1">
      <c r="C1487" s="213" t="s">
        <v>1215</v>
      </c>
      <c r="D1487" s="212" t="s">
        <v>1216</v>
      </c>
      <c r="E1487" s="534" t="s">
        <v>9069</v>
      </c>
      <c r="F1487" s="534"/>
      <c r="G1487" s="534"/>
      <c r="H1487" s="534"/>
      <c r="I1487" s="517"/>
      <c r="J1487" s="517"/>
      <c r="K1487" s="571"/>
      <c r="L1487"/>
      <c r="M1487" s="1406"/>
    </row>
    <row r="1488" spans="3:13" ht="17.399999999999999" customHeight="1">
      <c r="C1488" s="702" t="s">
        <v>1217</v>
      </c>
      <c r="D1488" s="208"/>
      <c r="E1488" s="208"/>
      <c r="F1488" s="208"/>
      <c r="G1488" s="209"/>
      <c r="H1488" s="1723">
        <v>0</v>
      </c>
      <c r="I1488" s="517"/>
      <c r="J1488" s="517"/>
      <c r="K1488" s="571"/>
      <c r="L1488"/>
      <c r="M1488" s="1406"/>
    </row>
    <row r="1489" spans="3:13" ht="17.399999999999999" customHeight="1">
      <c r="C1489" s="566" t="s">
        <v>1218</v>
      </c>
      <c r="D1489" s="552" t="s">
        <v>1219</v>
      </c>
      <c r="E1489" s="553"/>
      <c r="F1489" s="553"/>
      <c r="G1489" s="1724"/>
      <c r="H1489" s="1725">
        <f>H1488+H1486+H1482</f>
        <v>15901.16</v>
      </c>
      <c r="I1489" s="517"/>
      <c r="J1489" s="517"/>
      <c r="K1489" s="827"/>
      <c r="L1489"/>
      <c r="M1489" s="1406"/>
    </row>
    <row r="1490" spans="3:13" ht="17.399999999999999" customHeight="1">
      <c r="C1490" s="566" t="s">
        <v>1220</v>
      </c>
      <c r="D1490" s="552" t="s">
        <v>1321</v>
      </c>
      <c r="E1490" s="553"/>
      <c r="F1490" s="554"/>
      <c r="G1490" s="298">
        <f>$D$4</f>
        <v>0.1</v>
      </c>
      <c r="H1490" s="1722">
        <f>H1489*G1490</f>
        <v>1590.116</v>
      </c>
      <c r="I1490" s="517"/>
      <c r="J1490" s="517"/>
      <c r="K1490" s="827"/>
      <c r="L1490"/>
      <c r="M1490" s="1406"/>
    </row>
    <row r="1491" spans="3:13" ht="14.4">
      <c r="C1491" s="566" t="s">
        <v>1221</v>
      </c>
      <c r="D1491" s="552" t="s">
        <v>1222</v>
      </c>
      <c r="E1491" s="553"/>
      <c r="F1491" s="553"/>
      <c r="G1491" s="554"/>
      <c r="H1491" s="1726">
        <f>SUM(H1489:H1490)</f>
        <v>17491.275999999998</v>
      </c>
      <c r="I1491" s="517"/>
      <c r="J1491" s="517"/>
      <c r="K1491" s="827"/>
      <c r="L1491"/>
      <c r="M1491" s="1406"/>
    </row>
    <row r="1492" spans="3:13">
      <c r="D1492" s="1174"/>
      <c r="L1492"/>
      <c r="M1492" s="1406"/>
    </row>
    <row r="1493" spans="3:13" s="280" customFormat="1" ht="14.4" thickBot="1">
      <c r="C1493" s="119"/>
      <c r="D1493" s="48" t="s">
        <v>9299</v>
      </c>
      <c r="E1493" s="48"/>
      <c r="F1493" s="48"/>
      <c r="G1493" s="48"/>
      <c r="H1493" s="48"/>
      <c r="I1493" s="120"/>
      <c r="K1493" s="120">
        <f>ROUNDDOWN(H1511,-2)</f>
        <v>196200</v>
      </c>
      <c r="L1493" s="120"/>
      <c r="M1493" s="1415"/>
    </row>
    <row r="1494" spans="3:13" s="289" customFormat="1" ht="31.65" customHeight="1" thickTop="1">
      <c r="C1494" s="51" t="s">
        <v>1195</v>
      </c>
      <c r="D1494" s="52" t="s">
        <v>1196</v>
      </c>
      <c r="E1494" s="52" t="s">
        <v>1197</v>
      </c>
      <c r="F1494" s="52" t="s">
        <v>1198</v>
      </c>
      <c r="G1494" s="52" t="s">
        <v>1199</v>
      </c>
      <c r="H1494" s="53" t="s">
        <v>1200</v>
      </c>
      <c r="I1494" s="126"/>
      <c r="K1494" s="126"/>
      <c r="L1494" s="126"/>
      <c r="M1494" s="1416"/>
    </row>
    <row r="1495" spans="3:13" s="280" customFormat="1" ht="22.8" customHeight="1">
      <c r="C1495" s="290" t="s">
        <v>1201</v>
      </c>
      <c r="D1495" s="182" t="s">
        <v>1202</v>
      </c>
      <c r="E1495" s="70"/>
      <c r="F1495" s="70"/>
      <c r="G1495" s="70"/>
      <c r="H1495" s="71"/>
      <c r="I1495" s="119"/>
      <c r="K1495" s="119"/>
      <c r="L1495" s="119"/>
      <c r="M1495" s="1415"/>
    </row>
    <row r="1496" spans="3:13" s="280" customFormat="1" ht="22.8" customHeight="1">
      <c r="C1496" s="281">
        <v>1</v>
      </c>
      <c r="D1496" s="182" t="s">
        <v>5</v>
      </c>
      <c r="E1496" s="176" t="s">
        <v>6</v>
      </c>
      <c r="F1496" s="282">
        <v>0.52</v>
      </c>
      <c r="G1496" s="283">
        <f>VLOOKUP(D1496,upahbahan,3,FALSE)</f>
        <v>100000</v>
      </c>
      <c r="H1496" s="284">
        <f>F1496*G1496</f>
        <v>52000</v>
      </c>
      <c r="I1496" s="119"/>
      <c r="K1496" s="119"/>
      <c r="L1496" s="119"/>
      <c r="M1496" s="1415"/>
    </row>
    <row r="1497" spans="3:13" s="280" customFormat="1" ht="22.8" customHeight="1">
      <c r="C1497" s="281">
        <v>2</v>
      </c>
      <c r="D1497" s="182" t="s">
        <v>8</v>
      </c>
      <c r="E1497" s="176" t="s">
        <v>6</v>
      </c>
      <c r="F1497" s="282">
        <v>0.26</v>
      </c>
      <c r="G1497" s="283">
        <f>VLOOKUP(D1497,upahbahan,3,FALSE)</f>
        <v>135000</v>
      </c>
      <c r="H1497" s="284">
        <f>F1497*G1497</f>
        <v>35100</v>
      </c>
      <c r="I1497" s="119"/>
      <c r="K1497" s="119"/>
      <c r="L1497" s="119"/>
      <c r="M1497" s="1415"/>
    </row>
    <row r="1498" spans="3:13" s="59" customFormat="1" ht="22.8" customHeight="1">
      <c r="C1498" s="281">
        <v>3</v>
      </c>
      <c r="D1498" s="182" t="s">
        <v>18</v>
      </c>
      <c r="E1498" s="176" t="s">
        <v>6</v>
      </c>
      <c r="F1498" s="282">
        <v>2.5999999999999999E-2</v>
      </c>
      <c r="G1498" s="283">
        <f>VLOOKUP(D1498,upahbahan,3,FALSE)</f>
        <v>150000</v>
      </c>
      <c r="H1498" s="284">
        <f>F1498*G1498</f>
        <v>3900</v>
      </c>
      <c r="I1498" s="119"/>
      <c r="K1498" s="119"/>
      <c r="L1498" s="119"/>
      <c r="M1498" s="1408"/>
    </row>
    <row r="1499" spans="3:13" s="280" customFormat="1" ht="22.8" customHeight="1">
      <c r="C1499" s="281">
        <v>4</v>
      </c>
      <c r="D1499" s="182" t="s">
        <v>19</v>
      </c>
      <c r="E1499" s="176" t="s">
        <v>6</v>
      </c>
      <c r="F1499" s="282">
        <v>2.5999999999999999E-2</v>
      </c>
      <c r="G1499" s="283">
        <f>VLOOKUP(D1499,upahbahan,3,FALSE)</f>
        <v>160000</v>
      </c>
      <c r="H1499" s="284">
        <f>F1499*G1499</f>
        <v>4160</v>
      </c>
      <c r="I1499" s="119"/>
      <c r="K1499" s="119"/>
      <c r="L1499" s="119"/>
      <c r="M1499" s="1415"/>
    </row>
    <row r="1500" spans="3:13" s="280" customFormat="1" ht="22.8" customHeight="1">
      <c r="C1500" s="66" t="s">
        <v>1208</v>
      </c>
      <c r="D1500" s="67"/>
      <c r="E1500" s="67"/>
      <c r="F1500" s="68"/>
      <c r="G1500" s="69"/>
      <c r="H1500" s="284">
        <f>SUM(H1496:H1499)</f>
        <v>95160</v>
      </c>
      <c r="I1500" s="119"/>
      <c r="K1500" s="119"/>
      <c r="L1500" s="119"/>
      <c r="M1500" s="1415"/>
    </row>
    <row r="1501" spans="3:13" s="280" customFormat="1" ht="22.8" customHeight="1">
      <c r="C1501" s="290" t="s">
        <v>1209</v>
      </c>
      <c r="D1501" s="182" t="s">
        <v>1210</v>
      </c>
      <c r="E1501" s="70"/>
      <c r="F1501" s="70"/>
      <c r="G1501" s="70"/>
      <c r="H1501" s="71"/>
      <c r="I1501" s="119"/>
      <c r="K1501" s="119"/>
      <c r="L1501" s="119"/>
      <c r="M1501" s="1415"/>
    </row>
    <row r="1502" spans="3:13" s="280" customFormat="1" ht="22.8" customHeight="1">
      <c r="C1502" s="310" t="s">
        <v>1203</v>
      </c>
      <c r="D1502" s="285" t="s">
        <v>262</v>
      </c>
      <c r="E1502" s="176" t="s">
        <v>65</v>
      </c>
      <c r="F1502" s="330">
        <v>0.2</v>
      </c>
      <c r="G1502" s="283">
        <f>VLOOKUP(D1502,upahbahan,3,FALSE)</f>
        <v>33901.875</v>
      </c>
      <c r="H1502" s="284">
        <f>F1502*G1502</f>
        <v>6780.375</v>
      </c>
      <c r="I1502" s="119"/>
      <c r="K1502" s="119"/>
      <c r="L1502" s="119"/>
      <c r="M1502" s="1415"/>
    </row>
    <row r="1503" spans="3:13" s="280" customFormat="1" ht="22.8" customHeight="1">
      <c r="C1503" s="310" t="s">
        <v>1204</v>
      </c>
      <c r="D1503" s="285" t="s">
        <v>755</v>
      </c>
      <c r="E1503" s="176" t="s">
        <v>529</v>
      </c>
      <c r="F1503" s="330">
        <v>0.1</v>
      </c>
      <c r="G1503" s="283">
        <f>VLOOKUP(D1503,upahbahan,3,FALSE)</f>
        <v>76500</v>
      </c>
      <c r="H1503" s="284">
        <f>F1503*G1503</f>
        <v>7650</v>
      </c>
      <c r="I1503" s="119"/>
      <c r="K1503" s="119"/>
      <c r="L1503" s="119"/>
      <c r="M1503" s="1415"/>
    </row>
    <row r="1504" spans="3:13" s="280" customFormat="1" ht="22.8" customHeight="1">
      <c r="C1504" s="310" t="s">
        <v>1205</v>
      </c>
      <c r="D1504" s="285" t="s">
        <v>115</v>
      </c>
      <c r="E1504" s="176" t="s">
        <v>42</v>
      </c>
      <c r="F1504" s="330">
        <v>2.32E-3</v>
      </c>
      <c r="G1504" s="283">
        <f>VLOOKUP(D1504,upahbahan,3,FALSE)</f>
        <v>5904000</v>
      </c>
      <c r="H1504" s="284">
        <f>F1504*G1504</f>
        <v>13697.28</v>
      </c>
      <c r="I1504" s="119"/>
      <c r="K1504" s="119"/>
      <c r="L1504" s="119"/>
      <c r="M1504" s="1415"/>
    </row>
    <row r="1505" spans="3:13" s="280" customFormat="1" ht="22.8" customHeight="1">
      <c r="C1505" s="310" t="s">
        <v>1206</v>
      </c>
      <c r="D1505" s="285" t="s">
        <v>136</v>
      </c>
      <c r="E1505" s="176" t="s">
        <v>129</v>
      </c>
      <c r="F1505" s="330">
        <v>0.35</v>
      </c>
      <c r="G1505" s="283">
        <f>VLOOKUP(D1505,upahbahan,3,FALSE)</f>
        <v>157500</v>
      </c>
      <c r="H1505" s="284">
        <f>F1505*G1505</f>
        <v>55125</v>
      </c>
      <c r="I1505" s="119"/>
      <c r="K1505" s="119"/>
      <c r="L1505" s="119"/>
      <c r="M1505" s="1415"/>
    </row>
    <row r="1506" spans="3:13" s="280" customFormat="1" ht="22.8" customHeight="1">
      <c r="C1506" s="66" t="s">
        <v>1214</v>
      </c>
      <c r="D1506" s="67"/>
      <c r="E1506" s="67"/>
      <c r="F1506" s="67"/>
      <c r="G1506" s="69"/>
      <c r="H1506" s="284">
        <f>SUM(H1502:H1505)</f>
        <v>83252.654999999999</v>
      </c>
      <c r="I1506" s="119"/>
      <c r="K1506" s="119"/>
      <c r="L1506" s="119"/>
      <c r="M1506" s="1415"/>
    </row>
    <row r="1507" spans="3:13" s="280" customFormat="1" ht="22.8" customHeight="1">
      <c r="C1507" s="290" t="s">
        <v>1215</v>
      </c>
      <c r="D1507" s="182" t="s">
        <v>1216</v>
      </c>
      <c r="E1507" s="70"/>
      <c r="F1507" s="70"/>
      <c r="G1507" s="70"/>
      <c r="H1507" s="105"/>
      <c r="I1507" s="119"/>
      <c r="K1507" s="119"/>
      <c r="L1507" s="119"/>
      <c r="M1507" s="1415"/>
    </row>
    <row r="1508" spans="3:13" s="280" customFormat="1" ht="22.8" customHeight="1">
      <c r="C1508" s="66" t="s">
        <v>1217</v>
      </c>
      <c r="D1508" s="67"/>
      <c r="E1508" s="67"/>
      <c r="F1508" s="67"/>
      <c r="G1508" s="69"/>
      <c r="H1508" s="292">
        <v>0</v>
      </c>
      <c r="I1508" s="119"/>
      <c r="K1508" s="119"/>
      <c r="L1508" s="119"/>
      <c r="M1508" s="1415"/>
    </row>
    <row r="1509" spans="3:13" s="297" customFormat="1" ht="22.8" customHeight="1">
      <c r="C1509" s="293" t="s">
        <v>1218</v>
      </c>
      <c r="D1509" s="294" t="s">
        <v>1219</v>
      </c>
      <c r="E1509" s="295"/>
      <c r="F1509" s="295"/>
      <c r="G1509" s="296"/>
      <c r="H1509" s="284">
        <f>H1508+H1506+H1500</f>
        <v>178412.655</v>
      </c>
      <c r="I1509" s="119"/>
      <c r="K1509" s="119"/>
      <c r="L1509" s="119"/>
      <c r="M1509" s="1130"/>
    </row>
    <row r="1510" spans="3:13" s="297" customFormat="1" ht="22.8" customHeight="1">
      <c r="C1510" s="293" t="s">
        <v>1220</v>
      </c>
      <c r="D1510" s="294" t="s">
        <v>1321</v>
      </c>
      <c r="E1510" s="295"/>
      <c r="F1510" s="296"/>
      <c r="G1510" s="298">
        <f>$D$4</f>
        <v>0.1</v>
      </c>
      <c r="H1510" s="284">
        <f>H1509*G1510</f>
        <v>17841.265500000001</v>
      </c>
      <c r="I1510" s="119"/>
      <c r="K1510" s="119"/>
      <c r="L1510" s="119"/>
      <c r="M1510" s="1130"/>
    </row>
    <row r="1511" spans="3:13" s="297" customFormat="1" ht="22.8" customHeight="1" thickBot="1">
      <c r="C1511" s="299" t="s">
        <v>1221</v>
      </c>
      <c r="D1511" s="300" t="s">
        <v>1222</v>
      </c>
      <c r="E1511" s="301"/>
      <c r="F1511" s="301"/>
      <c r="G1511" s="302"/>
      <c r="H1511" s="303">
        <f>SUM(H1509:H1510)</f>
        <v>196253.92050000001</v>
      </c>
      <c r="I1511" s="119"/>
      <c r="K1511" s="119"/>
      <c r="L1511" s="119"/>
      <c r="M1511" s="1130"/>
    </row>
    <row r="1512" spans="3:13" ht="13.8" thickTop="1">
      <c r="D1512" s="1174"/>
      <c r="L1512"/>
      <c r="M1512" s="1406"/>
    </row>
    <row r="1513" spans="3:13" ht="13.8">
      <c r="C1513" s="1727" t="s">
        <v>9301</v>
      </c>
      <c r="D1513" s="1728" t="s">
        <v>9302</v>
      </c>
      <c r="E1513" s="1729"/>
      <c r="F1513" s="1730"/>
      <c r="G1513" s="1731"/>
      <c r="H1513" s="1731"/>
      <c r="I1513" s="1728"/>
      <c r="J1513" s="1728"/>
      <c r="K1513" s="120">
        <f>ROUNDDOWN(H1519,-2)</f>
        <v>731400</v>
      </c>
    </row>
    <row r="1514" spans="3:13">
      <c r="C1514" s="1732"/>
      <c r="D1514" s="1733" t="s">
        <v>9303</v>
      </c>
      <c r="E1514" s="1735" t="s">
        <v>775</v>
      </c>
      <c r="F1514" s="1736">
        <v>1</v>
      </c>
      <c r="G1514" s="1737">
        <f>sanyo</f>
        <v>530000</v>
      </c>
      <c r="H1514" s="1737">
        <f>G1514*F1514</f>
        <v>530000</v>
      </c>
      <c r="I1514" s="1734"/>
      <c r="J1514" s="1734"/>
    </row>
    <row r="1515" spans="3:13">
      <c r="C1515" s="1738"/>
      <c r="D1515" s="1739" t="s">
        <v>9304</v>
      </c>
      <c r="E1515" s="1741" t="s">
        <v>9022</v>
      </c>
      <c r="F1515" s="1742" t="s">
        <v>9305</v>
      </c>
      <c r="G1515" s="1743">
        <v>0</v>
      </c>
      <c r="H1515" s="1743">
        <f>H1514*0.2</f>
        <v>106000</v>
      </c>
      <c r="I1515" s="1740"/>
      <c r="J1515" s="1740"/>
    </row>
    <row r="1516" spans="3:13">
      <c r="C1516" s="1744"/>
      <c r="D1516" s="1745" t="s">
        <v>9306</v>
      </c>
      <c r="E1516" s="1747"/>
      <c r="F1516" s="1748"/>
      <c r="G1516" s="1749" t="s">
        <v>9307</v>
      </c>
      <c r="H1516" s="1750">
        <f>SUM(H1513:H1515)</f>
        <v>636000</v>
      </c>
      <c r="I1516" s="1746"/>
      <c r="J1516" s="1746"/>
    </row>
    <row r="1517" spans="3:13">
      <c r="C1517" s="1751"/>
      <c r="D1517" s="1752" t="s">
        <v>9308</v>
      </c>
      <c r="E1517" s="1754"/>
      <c r="F1517" s="1755"/>
      <c r="G1517" s="1756" t="s">
        <v>9307</v>
      </c>
      <c r="H1517" s="1757">
        <f>H1516*15%</f>
        <v>95400</v>
      </c>
      <c r="I1517" s="1753"/>
      <c r="J1517" s="1753"/>
    </row>
    <row r="1518" spans="3:13">
      <c r="C1518" s="1751"/>
      <c r="D1518" s="1752" t="s">
        <v>9309</v>
      </c>
      <c r="E1518" s="1754"/>
      <c r="F1518" s="1755"/>
      <c r="G1518" s="1756" t="s">
        <v>9307</v>
      </c>
      <c r="H1518" s="1757">
        <f>SUM(H1516:H1517)</f>
        <v>731400</v>
      </c>
      <c r="I1518" s="1753"/>
      <c r="J1518" s="1753"/>
    </row>
    <row r="1519" spans="3:13">
      <c r="C1519" s="1741"/>
      <c r="D1519" s="1758" t="s">
        <v>9280</v>
      </c>
      <c r="E1519" s="1760"/>
      <c r="F1519" s="1761"/>
      <c r="G1519" s="1756" t="s">
        <v>9307</v>
      </c>
      <c r="H1519" s="1762">
        <f>ROUND(SUM(H1516:H1517),0)</f>
        <v>731400</v>
      </c>
      <c r="I1519" s="1759"/>
      <c r="J1519" s="1759"/>
    </row>
    <row r="1520" spans="3:13">
      <c r="D1520" s="1174"/>
      <c r="L1520"/>
      <c r="M1520" s="1406"/>
    </row>
    <row r="1521" spans="3:13">
      <c r="D1521" s="1174"/>
      <c r="L1521"/>
      <c r="M1521" s="1406"/>
    </row>
    <row r="1522" spans="3:13" ht="41.4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L1522"/>
      <c r="M1522" s="1406"/>
    </row>
    <row r="1523" spans="3:13" ht="13.8">
      <c r="C1523" s="61" t="s">
        <v>1201</v>
      </c>
      <c r="D1523" s="56" t="s">
        <v>1202</v>
      </c>
      <c r="E1523" s="57"/>
      <c r="F1523" s="57"/>
      <c r="G1523" s="57"/>
      <c r="H1523" s="57"/>
      <c r="L1523"/>
      <c r="M1523" s="1406"/>
    </row>
    <row r="1524" spans="3:13" ht="27.6">
      <c r="C1524" s="588">
        <v>1</v>
      </c>
      <c r="D1524" s="56" t="s">
        <v>5</v>
      </c>
      <c r="E1524" s="577" t="s">
        <v>6</v>
      </c>
      <c r="F1524" s="101">
        <v>1.05</v>
      </c>
      <c r="G1524" s="63">
        <f>VLOOKUP(D1524,upahbahan,3,FALSE)</f>
        <v>100000</v>
      </c>
      <c r="H1524" s="63">
        <f>F1524*G1524</f>
        <v>105000</v>
      </c>
      <c r="L1524"/>
      <c r="M1524" s="1406"/>
    </row>
    <row r="1525" spans="3:13" ht="27.6">
      <c r="C1525" s="588">
        <v>2</v>
      </c>
      <c r="D1525" s="56" t="s">
        <v>7</v>
      </c>
      <c r="E1525" s="577" t="s">
        <v>6</v>
      </c>
      <c r="F1525" s="101">
        <v>0.26250000000000001</v>
      </c>
      <c r="G1525" s="63">
        <f>VLOOKUP(D1525,upahbahan,3,FALSE)</f>
        <v>135000</v>
      </c>
      <c r="H1525" s="63">
        <f>F1525*G1525</f>
        <v>35437.5</v>
      </c>
      <c r="L1525"/>
      <c r="M1525" s="1406"/>
    </row>
    <row r="1526" spans="3:13" ht="27.6">
      <c r="C1526" s="588"/>
      <c r="D1526" s="56" t="s">
        <v>1310</v>
      </c>
      <c r="E1526" s="577" t="s">
        <v>2102</v>
      </c>
      <c r="F1526" s="101">
        <v>2.63E-2</v>
      </c>
      <c r="G1526" s="63">
        <f>VLOOKUP(D1526,upahbahan,3,FALSE)</f>
        <v>150000</v>
      </c>
      <c r="H1526" s="63">
        <f>F1526*G1526</f>
        <v>3945</v>
      </c>
      <c r="L1526"/>
      <c r="M1526" s="1406"/>
    </row>
    <row r="1527" spans="3:13" ht="27.6">
      <c r="C1527" s="588">
        <v>4</v>
      </c>
      <c r="D1527" s="56" t="s">
        <v>19</v>
      </c>
      <c r="E1527" s="577" t="s">
        <v>6</v>
      </c>
      <c r="F1527" s="101">
        <v>0.105</v>
      </c>
      <c r="G1527" s="63">
        <f>VLOOKUP(D1527,upahbahan,3,FALSE)</f>
        <v>160000</v>
      </c>
      <c r="H1527" s="63">
        <f>F1527*G1527</f>
        <v>16800</v>
      </c>
      <c r="L1527"/>
      <c r="M1527" s="1406"/>
    </row>
    <row r="1528" spans="3:13" ht="13.8">
      <c r="C1528" s="450" t="s">
        <v>1208</v>
      </c>
      <c r="D1528" s="67"/>
      <c r="E1528" s="67"/>
      <c r="F1528" s="142"/>
      <c r="G1528" s="153"/>
      <c r="H1528" s="63">
        <f>SUM(H1524:H1527)</f>
        <v>161182.5</v>
      </c>
      <c r="L1528"/>
      <c r="M1528" s="1406"/>
    </row>
    <row r="1529" spans="3:13" ht="13.8">
      <c r="C1529" s="61" t="s">
        <v>1209</v>
      </c>
      <c r="D1529" s="56" t="s">
        <v>1210</v>
      </c>
      <c r="E1529" s="57"/>
      <c r="F1529" s="57"/>
      <c r="G1529" s="57"/>
      <c r="H1529" s="57"/>
      <c r="K1529" s="1173" t="s">
        <v>8810</v>
      </c>
      <c r="L1529"/>
      <c r="M1529" s="1406"/>
    </row>
    <row r="1530" spans="3:13" ht="13.8">
      <c r="C1530" s="61">
        <v>1</v>
      </c>
      <c r="D1530" s="56" t="str">
        <f>'Upah Bahan'!F1333</f>
        <v>Adukan beton K-200 ready mix</v>
      </c>
      <c r="E1530" s="93" t="str">
        <f>'Upah Bahan'!G1333</f>
        <v>m3</v>
      </c>
      <c r="F1530" s="103">
        <v>0.8</v>
      </c>
      <c r="G1530" s="63">
        <f t="shared" ref="G1530:G1535" si="85">VLOOKUP(D1530,upahbahan,3,FALSE)</f>
        <v>869200</v>
      </c>
      <c r="H1530" s="63">
        <f t="shared" ref="H1530:H1535" si="86">F1530*G1530</f>
        <v>695360</v>
      </c>
      <c r="K1530" s="1173" t="s">
        <v>8807</v>
      </c>
      <c r="L1530">
        <f>1*1*0.1</f>
        <v>0.1</v>
      </c>
      <c r="M1530" s="1406"/>
    </row>
    <row r="1531" spans="3:13" ht="13.8">
      <c r="C1531" s="61">
        <v>2</v>
      </c>
      <c r="D1531" s="56" t="str">
        <f>'Upah Bahan'!F991</f>
        <v>Baja Tulangan Polos (BjTP) diameter &lt; 12 mm</v>
      </c>
      <c r="E1531" s="93" t="s">
        <v>1044</v>
      </c>
      <c r="F1531" s="103">
        <v>4.74</v>
      </c>
      <c r="G1531" s="63">
        <f t="shared" si="85"/>
        <v>13050</v>
      </c>
      <c r="H1531" s="63">
        <f t="shared" si="86"/>
        <v>61857</v>
      </c>
      <c r="K1531" s="1173" t="s">
        <v>8808</v>
      </c>
      <c r="L1531">
        <f>1.5*1*0.1*4</f>
        <v>0.60000000000000009</v>
      </c>
      <c r="M1531" s="1406"/>
    </row>
    <row r="1532" spans="3:13" ht="13.8">
      <c r="C1532" s="61">
        <v>3</v>
      </c>
      <c r="D1532" s="56" t="str">
        <f>'Upah Bahan'!F991</f>
        <v>Baja Tulangan Polos (BjTP) diameter &lt; 12 mm</v>
      </c>
      <c r="E1532" s="93" t="s">
        <v>65</v>
      </c>
      <c r="F1532" s="103">
        <v>10.48</v>
      </c>
      <c r="G1532" s="63">
        <f t="shared" si="85"/>
        <v>13050</v>
      </c>
      <c r="H1532" s="63">
        <f t="shared" si="86"/>
        <v>136764</v>
      </c>
      <c r="K1532" s="1173" t="s">
        <v>8809</v>
      </c>
      <c r="L1532">
        <f>1*1*0.1</f>
        <v>0.1</v>
      </c>
      <c r="M1532" s="1406"/>
    </row>
    <row r="1533" spans="3:13" ht="13.8">
      <c r="C1533" s="61">
        <v>4</v>
      </c>
      <c r="D1533" s="56" t="str">
        <f>'Upah Bahan'!F991</f>
        <v>Baja Tulangan Polos (BjTP) diameter &lt; 12 mm</v>
      </c>
      <c r="E1533" s="93" t="s">
        <v>65</v>
      </c>
      <c r="F1533" s="103">
        <v>8.6300000000000008</v>
      </c>
      <c r="G1533" s="63">
        <f t="shared" si="85"/>
        <v>13050</v>
      </c>
      <c r="H1533" s="63">
        <f t="shared" si="86"/>
        <v>112621.50000000001</v>
      </c>
      <c r="L1533">
        <f>SUM(L1530:L1532)</f>
        <v>0.8</v>
      </c>
      <c r="M1533" s="1406"/>
    </row>
    <row r="1534" spans="3:13" ht="13.8">
      <c r="C1534" s="61">
        <v>5</v>
      </c>
      <c r="D1534" s="56" t="str">
        <f>'Upah Bahan'!F1013</f>
        <v>Kawat bendrat</v>
      </c>
      <c r="E1534" s="93" t="s">
        <v>65</v>
      </c>
      <c r="F1534" s="103">
        <v>0.37</v>
      </c>
      <c r="G1534" s="63">
        <f t="shared" si="85"/>
        <v>0</v>
      </c>
      <c r="H1534" s="63">
        <f t="shared" si="86"/>
        <v>0</v>
      </c>
      <c r="L1534"/>
      <c r="M1534" s="1406"/>
    </row>
    <row r="1535" spans="3:13" ht="13.8">
      <c r="C1535" s="1175">
        <v>6</v>
      </c>
      <c r="D1535" s="499"/>
      <c r="E1535" s="1176" t="s">
        <v>2426</v>
      </c>
      <c r="F1535" s="1177">
        <v>0.1237</v>
      </c>
      <c r="G1535" s="1178" t="e">
        <f t="shared" si="85"/>
        <v>#N/A</v>
      </c>
      <c r="H1535" s="1178" t="e">
        <f t="shared" si="86"/>
        <v>#N/A</v>
      </c>
      <c r="L1535"/>
      <c r="M1535" s="1406"/>
    </row>
    <row r="1536" spans="3:13" ht="13.8">
      <c r="C1536" s="1181"/>
      <c r="D1536" s="1182"/>
      <c r="E1536" s="1183"/>
      <c r="F1536" s="1184"/>
      <c r="G1536" s="1185"/>
      <c r="H1536" s="1185"/>
      <c r="L1536"/>
      <c r="M1536" s="1406"/>
    </row>
    <row r="1537" spans="3:13" ht="13.8">
      <c r="C1537" s="1181"/>
      <c r="D1537" s="1182"/>
      <c r="E1537" s="1183"/>
      <c r="F1537" s="1184"/>
      <c r="G1537" s="1185"/>
      <c r="H1537" s="1185"/>
      <c r="L1537"/>
      <c r="M1537" s="1406"/>
    </row>
    <row r="1538" spans="3:13" ht="13.8">
      <c r="C1538" s="1181"/>
      <c r="D1538" s="1182"/>
      <c r="E1538" s="1183"/>
      <c r="F1538" s="1184"/>
      <c r="G1538" s="1185"/>
      <c r="H1538" s="1185"/>
      <c r="L1538"/>
      <c r="M1538" s="1406"/>
    </row>
    <row r="1539" spans="3:13" ht="13.8">
      <c r="C1539" s="1181"/>
      <c r="D1539" s="1182"/>
      <c r="E1539" s="1183"/>
      <c r="F1539" s="1184"/>
      <c r="G1539" s="1185"/>
      <c r="H1539" s="1185"/>
      <c r="L1539"/>
      <c r="M1539" s="1406"/>
    </row>
    <row r="1540" spans="3:13" ht="13.8">
      <c r="C1540" s="1181"/>
      <c r="D1540" s="1182"/>
      <c r="E1540" s="1183"/>
      <c r="F1540" s="1184"/>
      <c r="G1540" s="1185"/>
      <c r="H1540" s="1185"/>
      <c r="L1540"/>
      <c r="M1540" s="1406"/>
    </row>
    <row r="1541" spans="3:13" ht="13.8">
      <c r="C1541" s="1186" t="s">
        <v>1214</v>
      </c>
      <c r="D1541" s="1186"/>
      <c r="E1541" s="1186"/>
      <c r="F1541" s="1186"/>
      <c r="G1541" s="1186"/>
      <c r="H1541" s="1185" t="e">
        <f>SUM(H1530:H1535)</f>
        <v>#N/A</v>
      </c>
      <c r="L1541"/>
      <c r="M1541" s="1406"/>
    </row>
    <row r="1542" spans="3:13" ht="13.8">
      <c r="C1542" s="1179" t="s">
        <v>1215</v>
      </c>
      <c r="D1542" s="1180" t="s">
        <v>1216</v>
      </c>
      <c r="E1542" s="469"/>
      <c r="F1542" s="469"/>
      <c r="G1542" s="469"/>
      <c r="H1542" s="469"/>
      <c r="L1542"/>
      <c r="M1542" s="1406"/>
    </row>
    <row r="1543" spans="3:13" ht="13.8">
      <c r="C1543" s="800">
        <v>1</v>
      </c>
      <c r="D1543" s="56" t="s">
        <v>1167</v>
      </c>
      <c r="E1543" s="93" t="s">
        <v>1974</v>
      </c>
      <c r="F1543" s="94">
        <v>0.14749999999999999</v>
      </c>
      <c r="G1543" s="63">
        <f>VLOOKUP(D1543,upahbahan,3,FALSE)</f>
        <v>300000</v>
      </c>
      <c r="H1543" s="881">
        <f>G1543*F1543</f>
        <v>44250</v>
      </c>
      <c r="L1543"/>
      <c r="M1543" s="1406"/>
    </row>
    <row r="1544" spans="3:13" ht="13.8">
      <c r="C1544" s="800">
        <v>2</v>
      </c>
      <c r="D1544" s="56" t="s">
        <v>4444</v>
      </c>
      <c r="E1544" s="93" t="s">
        <v>1974</v>
      </c>
      <c r="F1544" s="94">
        <v>0.75539999999999996</v>
      </c>
      <c r="G1544" s="63">
        <f>VLOOKUP(D1544,upahbahan,3,FALSE)</f>
        <v>25000</v>
      </c>
      <c r="H1544" s="881">
        <f>G1544*F1544</f>
        <v>18885</v>
      </c>
      <c r="L1544"/>
      <c r="M1544" s="1406"/>
    </row>
    <row r="1545" spans="3:13" ht="13.8">
      <c r="C1545" s="450" t="s">
        <v>1217</v>
      </c>
      <c r="D1545" s="67"/>
      <c r="E1545" s="67"/>
      <c r="F1545" s="67"/>
      <c r="G1545" s="69"/>
      <c r="H1545" s="882">
        <f>SUM(H1543:H1544)</f>
        <v>63135</v>
      </c>
      <c r="L1545"/>
      <c r="M1545" s="1406"/>
    </row>
    <row r="1546" spans="3:13" ht="13.8">
      <c r="C1546" s="288" t="s">
        <v>1218</v>
      </c>
      <c r="D1546" s="76" t="s">
        <v>1219</v>
      </c>
      <c r="E1546" s="77"/>
      <c r="F1546" s="77"/>
      <c r="G1546" s="78"/>
      <c r="H1546" s="585" t="e">
        <f>H1545+H1541+H1528</f>
        <v>#N/A</v>
      </c>
      <c r="L1546"/>
      <c r="M1546" s="1406"/>
    </row>
    <row r="1547" spans="3:13" ht="13.8">
      <c r="C1547" s="288" t="s">
        <v>1220</v>
      </c>
      <c r="D1547" s="76" t="s">
        <v>1321</v>
      </c>
      <c r="E1547" s="77"/>
      <c r="F1547" s="78"/>
      <c r="G1547" s="80">
        <v>0.1</v>
      </c>
      <c r="H1547" s="63" t="e">
        <f>H1546*G1547</f>
        <v>#N/A</v>
      </c>
      <c r="L1547"/>
      <c r="M1547" s="1406"/>
    </row>
    <row r="1548" spans="3:13" ht="13.8">
      <c r="C1548" s="288" t="s">
        <v>1221</v>
      </c>
      <c r="D1548" s="76" t="s">
        <v>1222</v>
      </c>
      <c r="E1548" s="77"/>
      <c r="F1548" s="77"/>
      <c r="G1548" s="78"/>
      <c r="H1548" s="799" t="e">
        <f>SUM(H1546:H1547)</f>
        <v>#N/A</v>
      </c>
      <c r="L1548"/>
      <c r="M1548" s="1406"/>
    </row>
    <row r="1549" spans="3:13">
      <c r="D1549" s="1173" t="s">
        <v>8804</v>
      </c>
      <c r="L1549"/>
      <c r="M1549" s="1406"/>
    </row>
    <row r="1550" spans="3:13">
      <c r="D1550" s="1173" t="s">
        <v>8805</v>
      </c>
    </row>
  </sheetData>
  <dataValidations disablePrompts="1" count="1">
    <dataValidation type="list" allowBlank="1" showInputMessage="1" showErrorMessage="1" sqref="D654:D657 D836:D839 D994:D997 D1524:D1527" xr:uid="{1B6188AB-8073-4E6C-80F1-BC955CB90DCF}">
      <formula1>TENAGA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666F-3333-4A46-ABD3-9E818C73EFAD}">
  <dimension ref="B2:V68"/>
  <sheetViews>
    <sheetView zoomScale="60" zoomScaleNormal="60" workbookViewId="0">
      <selection activeCell="O42" sqref="O42"/>
    </sheetView>
  </sheetViews>
  <sheetFormatPr defaultColWidth="9.88671875" defaultRowHeight="13.8"/>
  <cols>
    <col min="1" max="1" width="2.5546875" style="1462" customWidth="1"/>
    <col min="2" max="2" width="5.5546875" style="1462" customWidth="1"/>
    <col min="3" max="3" width="5.5546875" style="1464" customWidth="1"/>
    <col min="4" max="4" width="4.88671875" style="1464" customWidth="1"/>
    <col min="5" max="5" width="63.44140625" style="1462" customWidth="1"/>
    <col min="6" max="6" width="14.77734375" style="1462" customWidth="1"/>
    <col min="7" max="7" width="14.109375" style="1462" customWidth="1"/>
    <col min="8" max="8" width="21" style="1462" bestFit="1" customWidth="1"/>
    <col min="9" max="9" width="23" style="1462" customWidth="1"/>
    <col min="10" max="10" width="37.33203125" style="1462" hidden="1" customWidth="1"/>
    <col min="11" max="11" width="1.77734375" style="1462" hidden="1" customWidth="1"/>
    <col min="12" max="12" width="12.33203125" style="1464" hidden="1" customWidth="1"/>
    <col min="13" max="13" width="18.21875" style="1462" hidden="1" customWidth="1"/>
    <col min="14" max="16384" width="9.88671875" style="1462"/>
  </cols>
  <sheetData>
    <row r="2" spans="2:22" ht="19.2">
      <c r="B2" s="1836" t="s">
        <v>9110</v>
      </c>
      <c r="C2" s="1836"/>
      <c r="D2" s="1836"/>
      <c r="E2" s="1836"/>
      <c r="F2" s="1836"/>
      <c r="G2" s="1836"/>
      <c r="H2" s="1836"/>
      <c r="I2" s="1836"/>
      <c r="J2" s="1836"/>
      <c r="K2" s="1836"/>
      <c r="L2" s="1836"/>
      <c r="M2" s="1460"/>
      <c r="N2" s="1461"/>
      <c r="O2" s="1461"/>
      <c r="P2" s="1461"/>
      <c r="Q2" s="1461"/>
      <c r="R2" s="1461"/>
      <c r="S2" s="1461"/>
      <c r="T2" s="1461"/>
      <c r="U2" s="1461"/>
      <c r="V2" s="1461"/>
    </row>
    <row r="4" spans="2:22" ht="13.95" customHeight="1">
      <c r="B4" s="1837" t="s">
        <v>9111</v>
      </c>
      <c r="C4" s="1837"/>
      <c r="D4" s="1837"/>
      <c r="E4" s="1837"/>
      <c r="F4" s="1837"/>
      <c r="G4" s="1463"/>
    </row>
    <row r="5" spans="2:22">
      <c r="B5" s="1837"/>
      <c r="C5" s="1837"/>
      <c r="D5" s="1837"/>
      <c r="E5" s="1837"/>
      <c r="F5" s="1837"/>
      <c r="G5" s="1463"/>
    </row>
    <row r="7" spans="2:22" ht="35.4" customHeight="1">
      <c r="B7" s="1465" t="s">
        <v>9112</v>
      </c>
      <c r="C7" s="1838" t="s">
        <v>1760</v>
      </c>
      <c r="D7" s="1839"/>
      <c r="E7" s="1840"/>
      <c r="F7" s="1468" t="s">
        <v>9113</v>
      </c>
      <c r="G7" s="1465" t="s">
        <v>9114</v>
      </c>
      <c r="H7" s="1465" t="s">
        <v>9115</v>
      </c>
      <c r="I7" s="1465" t="s">
        <v>9116</v>
      </c>
      <c r="J7" s="1466" t="s">
        <v>2</v>
      </c>
      <c r="K7" s="1469"/>
      <c r="L7" s="1467" t="s">
        <v>9117</v>
      </c>
      <c r="M7" s="1467" t="s">
        <v>9118</v>
      </c>
    </row>
    <row r="8" spans="2:22" ht="14.4" customHeight="1">
      <c r="B8" s="1470">
        <v>1</v>
      </c>
      <c r="C8" s="1841">
        <v>2</v>
      </c>
      <c r="D8" s="1842"/>
      <c r="E8" s="1843"/>
      <c r="F8" s="1470">
        <v>3</v>
      </c>
      <c r="G8" s="1470">
        <v>4</v>
      </c>
      <c r="H8" s="1470">
        <v>5</v>
      </c>
      <c r="I8" s="1470" t="s">
        <v>9119</v>
      </c>
      <c r="J8" s="1471">
        <v>7</v>
      </c>
      <c r="K8" s="1473"/>
      <c r="L8" s="1472">
        <v>8</v>
      </c>
      <c r="M8" s="1472">
        <v>9</v>
      </c>
    </row>
    <row r="9" spans="2:22" ht="5.4" customHeight="1">
      <c r="B9" s="1474"/>
      <c r="C9" s="1475"/>
      <c r="D9" s="1475"/>
      <c r="E9" s="1475"/>
      <c r="F9" s="1475"/>
      <c r="G9" s="1475"/>
      <c r="H9" s="1475"/>
      <c r="I9" s="1475"/>
      <c r="J9" s="1475"/>
      <c r="K9" s="1473"/>
      <c r="L9" s="1474"/>
      <c r="M9" s="1476"/>
    </row>
    <row r="10" spans="2:22" ht="14.4" customHeight="1">
      <c r="B10" s="1466" t="s">
        <v>3</v>
      </c>
      <c r="C10" s="1820" t="s">
        <v>9120</v>
      </c>
      <c r="D10" s="1820"/>
      <c r="E10" s="1820"/>
      <c r="F10" s="1477"/>
      <c r="G10" s="1477"/>
      <c r="H10" s="1477"/>
      <c r="I10" s="1477"/>
      <c r="J10" s="1477"/>
      <c r="K10" s="1478"/>
      <c r="L10" s="1472"/>
      <c r="M10" s="1479"/>
    </row>
    <row r="11" spans="2:22" ht="14.4" customHeight="1">
      <c r="B11" s="1480"/>
      <c r="C11" s="1481" t="s">
        <v>9121</v>
      </c>
      <c r="D11" s="1811" t="s">
        <v>9122</v>
      </c>
      <c r="E11" s="1812"/>
      <c r="F11" s="1481" t="s">
        <v>9123</v>
      </c>
      <c r="G11" s="1831">
        <v>1</v>
      </c>
      <c r="H11" s="1833">
        <v>200000</v>
      </c>
      <c r="I11" s="1835">
        <f>G11*H11</f>
        <v>200000</v>
      </c>
      <c r="J11" s="1817" t="s">
        <v>9124</v>
      </c>
      <c r="K11" s="1484"/>
      <c r="L11" s="1825">
        <v>0</v>
      </c>
      <c r="M11" s="1828">
        <f>H11*L11</f>
        <v>0</v>
      </c>
    </row>
    <row r="12" spans="2:22" ht="14.4" customHeight="1">
      <c r="B12" s="1480"/>
      <c r="C12" s="1485" t="s">
        <v>9125</v>
      </c>
      <c r="D12" s="1821" t="s">
        <v>9126</v>
      </c>
      <c r="E12" s="1822"/>
      <c r="F12" s="1485" t="s">
        <v>9123</v>
      </c>
      <c r="G12" s="1832"/>
      <c r="H12" s="1834"/>
      <c r="I12" s="1832"/>
      <c r="J12" s="1817"/>
      <c r="K12" s="1484"/>
      <c r="L12" s="1826"/>
      <c r="M12" s="1829"/>
    </row>
    <row r="13" spans="2:22" ht="14.4" customHeight="1">
      <c r="B13" s="1480"/>
      <c r="C13" s="1485" t="s">
        <v>9127</v>
      </c>
      <c r="D13" s="1821" t="s">
        <v>9128</v>
      </c>
      <c r="E13" s="1822"/>
      <c r="F13" s="1485" t="s">
        <v>9123</v>
      </c>
      <c r="G13" s="1832"/>
      <c r="H13" s="1834"/>
      <c r="I13" s="1832"/>
      <c r="J13" s="1811"/>
      <c r="K13" s="1484"/>
      <c r="L13" s="1827"/>
      <c r="M13" s="1830"/>
    </row>
    <row r="14" spans="2:22" ht="14.4" customHeight="1">
      <c r="B14" s="1480"/>
      <c r="C14" s="1489" t="s">
        <v>9129</v>
      </c>
      <c r="D14" s="1823" t="s">
        <v>9130</v>
      </c>
      <c r="E14" s="1824"/>
      <c r="F14" s="1490"/>
      <c r="G14" s="1490"/>
      <c r="H14" s="1490"/>
      <c r="I14" s="1491">
        <f>SUM(I11)</f>
        <v>200000</v>
      </c>
      <c r="J14" s="1492"/>
      <c r="K14" s="1478"/>
      <c r="L14" s="1493"/>
      <c r="M14" s="1491">
        <f>SUM(M11)</f>
        <v>0</v>
      </c>
    </row>
    <row r="15" spans="2:22" ht="14.4" customHeight="1">
      <c r="B15" s="1494"/>
      <c r="C15" s="1495"/>
      <c r="D15" s="1496"/>
      <c r="E15" s="1496"/>
      <c r="F15" s="1497"/>
      <c r="G15" s="1497"/>
      <c r="H15" s="1497"/>
      <c r="I15" s="1498"/>
      <c r="J15" s="1497"/>
      <c r="K15" s="1478"/>
      <c r="L15" s="1493"/>
      <c r="M15" s="1499"/>
    </row>
    <row r="16" spans="2:22" ht="14.4" customHeight="1">
      <c r="B16" s="1466" t="s">
        <v>38</v>
      </c>
      <c r="C16" s="1820" t="s">
        <v>9131</v>
      </c>
      <c r="D16" s="1820"/>
      <c r="E16" s="1820"/>
      <c r="F16" s="1477"/>
      <c r="G16" s="1477"/>
      <c r="H16" s="1477"/>
      <c r="I16" s="1477"/>
      <c r="J16" s="1500"/>
      <c r="K16" s="1501"/>
      <c r="L16" s="1502"/>
      <c r="M16" s="1503"/>
    </row>
    <row r="17" spans="2:14" ht="27.6">
      <c r="B17" s="1480"/>
      <c r="C17" s="1481" t="s">
        <v>9121</v>
      </c>
      <c r="D17" s="1811" t="s">
        <v>9132</v>
      </c>
      <c r="E17" s="1812"/>
      <c r="F17" s="1481" t="s">
        <v>9133</v>
      </c>
      <c r="G17" s="1481">
        <v>4</v>
      </c>
      <c r="H17" s="1504">
        <v>10000</v>
      </c>
      <c r="I17" s="1504">
        <f>G17*H17</f>
        <v>40000</v>
      </c>
      <c r="J17" s="1505" t="s">
        <v>9134</v>
      </c>
      <c r="K17" s="1501"/>
      <c r="L17" s="1506">
        <v>0</v>
      </c>
      <c r="M17" s="1507">
        <f>H17*L17</f>
        <v>0</v>
      </c>
    </row>
    <row r="18" spans="2:14" ht="27.6">
      <c r="B18" s="1480"/>
      <c r="C18" s="1485" t="s">
        <v>9125</v>
      </c>
      <c r="D18" s="1821" t="s">
        <v>9135</v>
      </c>
      <c r="E18" s="1822"/>
      <c r="F18" s="1485" t="s">
        <v>9133</v>
      </c>
      <c r="G18" s="1485">
        <f>G17</f>
        <v>4</v>
      </c>
      <c r="H18" s="1504">
        <v>10000</v>
      </c>
      <c r="I18" s="1504">
        <f t="shared" ref="I18:I21" si="0">G18*H18</f>
        <v>40000</v>
      </c>
      <c r="J18" s="1508" t="s">
        <v>9136</v>
      </c>
      <c r="K18" s="1501"/>
      <c r="L18" s="1506">
        <v>0</v>
      </c>
      <c r="M18" s="1507">
        <f t="shared" ref="M18:M21" si="1">H18*L18</f>
        <v>0</v>
      </c>
    </row>
    <row r="19" spans="2:14" ht="27.6" hidden="1">
      <c r="B19" s="1480"/>
      <c r="C19" s="1485" t="s">
        <v>5558</v>
      </c>
      <c r="D19" s="1821" t="s">
        <v>9137</v>
      </c>
      <c r="E19" s="1822"/>
      <c r="F19" s="1485" t="s">
        <v>9138</v>
      </c>
      <c r="G19" s="1485"/>
      <c r="H19" s="1488">
        <f>'[45]HARGA BAHAN &amp; ALAT'!$F$189</f>
        <v>135900</v>
      </c>
      <c r="I19" s="1504">
        <f t="shared" si="0"/>
        <v>0</v>
      </c>
      <c r="J19" s="1509" t="s">
        <v>9139</v>
      </c>
      <c r="K19" s="1484"/>
      <c r="L19" s="1506" t="e">
        <f>'[45]HARGA BAHAN &amp; ALAT'!H189</f>
        <v>#REF!</v>
      </c>
      <c r="M19" s="1507" t="e">
        <f t="shared" si="1"/>
        <v>#REF!</v>
      </c>
    </row>
    <row r="20" spans="2:14" ht="27.6" hidden="1">
      <c r="B20" s="1480"/>
      <c r="C20" s="1485" t="s">
        <v>9140</v>
      </c>
      <c r="D20" s="1821" t="s">
        <v>9141</v>
      </c>
      <c r="E20" s="1822"/>
      <c r="F20" s="1485" t="s">
        <v>9138</v>
      </c>
      <c r="G20" s="1485"/>
      <c r="H20" s="1488">
        <f>'[45]HARGA BAHAN &amp; ALAT'!$F$168</f>
        <v>14000</v>
      </c>
      <c r="I20" s="1504">
        <f t="shared" si="0"/>
        <v>0</v>
      </c>
      <c r="J20" s="1509" t="s">
        <v>9139</v>
      </c>
      <c r="K20" s="1484"/>
      <c r="L20" s="1506" t="e">
        <f>'[45]HARGA BAHAN &amp; ALAT'!H168</f>
        <v>#REF!</v>
      </c>
      <c r="M20" s="1507" t="e">
        <f t="shared" si="1"/>
        <v>#REF!</v>
      </c>
    </row>
    <row r="21" spans="2:14" ht="14.4" hidden="1" customHeight="1">
      <c r="B21" s="1480"/>
      <c r="C21" s="1485" t="s">
        <v>9142</v>
      </c>
      <c r="D21" s="1821" t="s">
        <v>9143</v>
      </c>
      <c r="E21" s="1822"/>
      <c r="F21" s="1485" t="s">
        <v>4259</v>
      </c>
      <c r="G21" s="1485">
        <v>0</v>
      </c>
      <c r="H21" s="1488">
        <f>'[45]HARGA BAHAN &amp; ALAT'!$F$169</f>
        <v>426000</v>
      </c>
      <c r="I21" s="1504">
        <f t="shared" si="0"/>
        <v>0</v>
      </c>
      <c r="J21" s="1486" t="s">
        <v>9144</v>
      </c>
      <c r="K21" s="1510"/>
      <c r="L21" s="1506">
        <f>'[45]HARGA BAHAN &amp; ALAT'!J169</f>
        <v>0</v>
      </c>
      <c r="M21" s="1507">
        <f t="shared" si="1"/>
        <v>0</v>
      </c>
    </row>
    <row r="22" spans="2:14">
      <c r="B22" s="1480"/>
      <c r="C22" s="1489" t="s">
        <v>9145</v>
      </c>
      <c r="D22" s="1823" t="s">
        <v>9146</v>
      </c>
      <c r="E22" s="1824"/>
      <c r="F22" s="1485"/>
      <c r="G22" s="1485"/>
      <c r="H22" s="1488"/>
      <c r="I22" s="1511">
        <f>SUM(I17:I21)</f>
        <v>80000</v>
      </c>
      <c r="J22" s="1486"/>
      <c r="K22" s="1510"/>
      <c r="L22" s="1512"/>
      <c r="M22" s="1511" t="e">
        <f>SUM(M17:M21)</f>
        <v>#REF!</v>
      </c>
    </row>
    <row r="23" spans="2:14">
      <c r="B23" s="1480"/>
      <c r="C23" s="1485"/>
      <c r="D23" s="1513"/>
      <c r="E23" s="1499"/>
      <c r="F23" s="1485"/>
      <c r="G23" s="1485"/>
      <c r="H23" s="1488"/>
      <c r="I23" s="1488"/>
      <c r="J23" s="1486"/>
      <c r="K23" s="1510"/>
      <c r="L23" s="1493"/>
      <c r="M23" s="1487"/>
    </row>
    <row r="24" spans="2:14">
      <c r="B24" s="1466" t="s">
        <v>9147</v>
      </c>
      <c r="C24" s="1820" t="s">
        <v>9148</v>
      </c>
      <c r="D24" s="1820"/>
      <c r="E24" s="1820"/>
      <c r="F24" s="1477"/>
      <c r="G24" s="1477"/>
      <c r="H24" s="1514"/>
      <c r="I24" s="1514"/>
      <c r="J24" s="1515"/>
      <c r="K24" s="1510"/>
      <c r="L24" s="1472"/>
      <c r="M24" s="1516"/>
    </row>
    <row r="25" spans="2:14">
      <c r="B25" s="1480"/>
      <c r="C25" s="1481" t="s">
        <v>9121</v>
      </c>
      <c r="D25" s="1811" t="s">
        <v>9149</v>
      </c>
      <c r="E25" s="1812"/>
      <c r="F25" s="1481"/>
      <c r="G25" s="1481"/>
      <c r="H25" s="1483"/>
      <c r="I25" s="1483"/>
      <c r="J25" s="1517"/>
      <c r="K25" s="1510"/>
      <c r="L25" s="1493"/>
      <c r="M25" s="1487"/>
    </row>
    <row r="26" spans="2:14">
      <c r="B26" s="1480"/>
      <c r="C26" s="1485"/>
      <c r="D26" s="1518">
        <v>1</v>
      </c>
      <c r="E26" s="1499" t="s">
        <v>9150</v>
      </c>
      <c r="F26" s="1485" t="s">
        <v>4259</v>
      </c>
      <c r="G26" s="1485"/>
      <c r="H26" s="1488">
        <f>'[45]HARGA BAHAN &amp; ALAT'!F170</f>
        <v>34000</v>
      </c>
      <c r="I26" s="1504">
        <f t="shared" ref="I26:I31" si="2">G26*H26</f>
        <v>0</v>
      </c>
      <c r="J26" s="1486" t="s">
        <v>9151</v>
      </c>
      <c r="K26" s="1510"/>
      <c r="L26" s="1519">
        <f>'[45]HARGA BAHAN &amp; ALAT'!J170</f>
        <v>0</v>
      </c>
      <c r="M26" s="1507">
        <f>H26*L26</f>
        <v>0</v>
      </c>
    </row>
    <row r="27" spans="2:14">
      <c r="B27" s="1480"/>
      <c r="C27" s="1485" t="s">
        <v>9125</v>
      </c>
      <c r="D27" s="1813" t="s">
        <v>9152</v>
      </c>
      <c r="E27" s="1814"/>
      <c r="F27" s="1485"/>
      <c r="G27" s="1485"/>
      <c r="H27" s="1488"/>
      <c r="I27" s="1504"/>
      <c r="J27" s="1486"/>
      <c r="K27" s="1510"/>
      <c r="L27" s="1493"/>
      <c r="M27" s="1487"/>
    </row>
    <row r="28" spans="2:14" ht="27.6">
      <c r="B28" s="1480"/>
      <c r="C28" s="1485"/>
      <c r="D28" s="1513">
        <v>1</v>
      </c>
      <c r="E28" s="1499" t="s">
        <v>9153</v>
      </c>
      <c r="F28" s="1485" t="s">
        <v>4259</v>
      </c>
      <c r="G28" s="1485">
        <f>G18</f>
        <v>4</v>
      </c>
      <c r="H28" s="1488">
        <v>25000</v>
      </c>
      <c r="I28" s="1504">
        <f t="shared" si="2"/>
        <v>100000</v>
      </c>
      <c r="J28" s="1509" t="s">
        <v>9154</v>
      </c>
      <c r="K28" s="1484"/>
      <c r="L28" s="1520">
        <f>'[45]HARGA BAHAN &amp; ALAT'!H171</f>
        <v>0.71120000000000005</v>
      </c>
      <c r="M28" s="1507">
        <f>H28*L28</f>
        <v>17780</v>
      </c>
      <c r="N28" s="1521" t="s">
        <v>9155</v>
      </c>
    </row>
    <row r="29" spans="2:14">
      <c r="B29" s="1480"/>
      <c r="C29" s="1485"/>
      <c r="D29" s="1513">
        <v>2</v>
      </c>
      <c r="E29" s="1499" t="s">
        <v>9156</v>
      </c>
      <c r="F29" s="1485" t="s">
        <v>9157</v>
      </c>
      <c r="G29" s="1485">
        <f>G28</f>
        <v>4</v>
      </c>
      <c r="H29" s="1488">
        <v>10000</v>
      </c>
      <c r="I29" s="1504">
        <f t="shared" si="2"/>
        <v>40000</v>
      </c>
      <c r="J29" s="1486" t="s">
        <v>9151</v>
      </c>
      <c r="K29" s="1510"/>
      <c r="L29" s="1506">
        <f>'[45]HARGA BAHAN &amp; ALAT'!H175</f>
        <v>0.32629999999999998</v>
      </c>
      <c r="M29" s="1522">
        <f t="shared" ref="M29:M31" si="3">H29*L29</f>
        <v>3263</v>
      </c>
      <c r="N29" s="1521" t="s">
        <v>9158</v>
      </c>
    </row>
    <row r="30" spans="2:14" ht="27.6">
      <c r="B30" s="1480"/>
      <c r="C30" s="1485"/>
      <c r="D30" s="1518">
        <v>3</v>
      </c>
      <c r="E30" s="1523" t="s">
        <v>9159</v>
      </c>
      <c r="F30" s="1485" t="s">
        <v>9157</v>
      </c>
      <c r="G30" s="1485">
        <f t="shared" ref="G30:G31" si="4">G29</f>
        <v>4</v>
      </c>
      <c r="H30" s="1488">
        <v>87500</v>
      </c>
      <c r="I30" s="1504">
        <f t="shared" si="2"/>
        <v>350000</v>
      </c>
      <c r="J30" s="1509" t="s">
        <v>9160</v>
      </c>
      <c r="K30" s="1484"/>
      <c r="L30" s="1520">
        <f>'[45]HARGA BAHAN &amp; ALAT'!H176</f>
        <v>0.86950000000000005</v>
      </c>
      <c r="M30" s="1524">
        <f t="shared" si="3"/>
        <v>76081.25</v>
      </c>
      <c r="N30" s="1521" t="s">
        <v>9161</v>
      </c>
    </row>
    <row r="31" spans="2:14">
      <c r="B31" s="1480"/>
      <c r="C31" s="1485"/>
      <c r="D31" s="1513">
        <v>4</v>
      </c>
      <c r="E31" s="1525" t="s">
        <v>9162</v>
      </c>
      <c r="F31" s="1485" t="s">
        <v>4259</v>
      </c>
      <c r="G31" s="1485">
        <f t="shared" si="4"/>
        <v>4</v>
      </c>
      <c r="H31" s="1488">
        <v>10000</v>
      </c>
      <c r="I31" s="1504">
        <f t="shared" si="2"/>
        <v>40000</v>
      </c>
      <c r="J31" s="1486" t="s">
        <v>9151</v>
      </c>
      <c r="K31" s="1510"/>
      <c r="L31" s="1506">
        <f>'[45]HARGA BAHAN &amp; ALAT'!H188</f>
        <v>0.71220000000000006</v>
      </c>
      <c r="M31" s="1522">
        <f t="shared" si="3"/>
        <v>7122.0000000000009</v>
      </c>
      <c r="N31" s="1521" t="s">
        <v>9163</v>
      </c>
    </row>
    <row r="32" spans="2:14" ht="14.4" customHeight="1">
      <c r="B32" s="1526"/>
      <c r="C32" s="1489" t="s">
        <v>9164</v>
      </c>
      <c r="D32" s="1807" t="s">
        <v>9165</v>
      </c>
      <c r="E32" s="1808"/>
      <c r="F32" s="1490"/>
      <c r="G32" s="1490"/>
      <c r="H32" s="1527"/>
      <c r="I32" s="1491">
        <f>SUM(I25:I31)</f>
        <v>530000</v>
      </c>
      <c r="J32" s="1492"/>
      <c r="K32" s="1478"/>
      <c r="L32" s="1493"/>
      <c r="M32" s="1491"/>
    </row>
    <row r="33" spans="2:14">
      <c r="B33" s="1492"/>
      <c r="C33" s="1528"/>
      <c r="D33" s="1528"/>
      <c r="E33" s="1497"/>
      <c r="F33" s="1497"/>
      <c r="G33" s="1497"/>
      <c r="H33" s="1498"/>
      <c r="I33" s="1498"/>
      <c r="J33" s="1497"/>
      <c r="K33" s="1478"/>
      <c r="L33" s="1493"/>
      <c r="M33" s="1499"/>
    </row>
    <row r="34" spans="2:14" hidden="1">
      <c r="B34" s="1466" t="s">
        <v>9166</v>
      </c>
      <c r="C34" s="1820" t="s">
        <v>9167</v>
      </c>
      <c r="D34" s="1820"/>
      <c r="E34" s="1820"/>
      <c r="F34" s="1477"/>
      <c r="G34" s="1477"/>
      <c r="H34" s="1514"/>
      <c r="I34" s="1514"/>
      <c r="J34" s="1515"/>
      <c r="K34" s="1510"/>
      <c r="L34" s="1472"/>
      <c r="M34" s="1516"/>
    </row>
    <row r="35" spans="2:14" hidden="1">
      <c r="B35" s="1480"/>
      <c r="C35" s="1481" t="s">
        <v>9121</v>
      </c>
      <c r="D35" s="1811" t="s">
        <v>9168</v>
      </c>
      <c r="E35" s="1812"/>
      <c r="F35" s="1481" t="s">
        <v>9022</v>
      </c>
      <c r="G35" s="1481"/>
      <c r="H35" s="1483">
        <v>600000</v>
      </c>
      <c r="I35" s="1504">
        <f t="shared" ref="I35" si="5">G35*H35</f>
        <v>0</v>
      </c>
      <c r="J35" s="1517"/>
      <c r="K35" s="1510"/>
      <c r="L35" s="1520" t="e">
        <f>'[45]HARGA BAHAN &amp; ALAT'!H187</f>
        <v>#REF!</v>
      </c>
      <c r="M35" s="1524" t="e">
        <f t="shared" ref="M35" si="6">H35*L35</f>
        <v>#REF!</v>
      </c>
    </row>
    <row r="36" spans="2:14" ht="14.4" hidden="1" customHeight="1">
      <c r="B36" s="1526"/>
      <c r="C36" s="1489" t="s">
        <v>9169</v>
      </c>
      <c r="D36" s="1807" t="s">
        <v>9170</v>
      </c>
      <c r="E36" s="1808"/>
      <c r="F36" s="1490"/>
      <c r="G36" s="1490"/>
      <c r="H36" s="1527"/>
      <c r="I36" s="1491">
        <f>SUM(I35:I35)</f>
        <v>0</v>
      </c>
      <c r="J36" s="1492"/>
      <c r="K36" s="1478"/>
      <c r="L36" s="1493"/>
      <c r="M36" s="1491" t="e">
        <f>SUM(M35:M35)</f>
        <v>#REF!</v>
      </c>
    </row>
    <row r="37" spans="2:14" hidden="1">
      <c r="B37" s="1492"/>
      <c r="C37" s="1528"/>
      <c r="D37" s="1528"/>
      <c r="E37" s="1497"/>
      <c r="F37" s="1497"/>
      <c r="G37" s="1497"/>
      <c r="H37" s="1498"/>
      <c r="I37" s="1498"/>
      <c r="J37" s="1497"/>
      <c r="K37" s="1478"/>
      <c r="L37" s="1493"/>
      <c r="M37" s="1499"/>
    </row>
    <row r="38" spans="2:14" ht="13.95" customHeight="1">
      <c r="B38" s="1466" t="s">
        <v>9171</v>
      </c>
      <c r="C38" s="1820" t="s">
        <v>9172</v>
      </c>
      <c r="D38" s="1820"/>
      <c r="E38" s="1820"/>
      <c r="F38" s="1477"/>
      <c r="G38" s="1477"/>
      <c r="H38" s="1514"/>
      <c r="I38" s="1514"/>
      <c r="J38" s="1529"/>
      <c r="K38" s="1530"/>
      <c r="L38" s="1531"/>
      <c r="M38" s="1532"/>
    </row>
    <row r="39" spans="2:14" ht="14.4" customHeight="1">
      <c r="B39" s="1526"/>
      <c r="C39" s="1489" t="s">
        <v>9173</v>
      </c>
      <c r="D39" s="1807" t="s">
        <v>9174</v>
      </c>
      <c r="E39" s="1808"/>
      <c r="F39" s="1490"/>
      <c r="G39" s="1490"/>
      <c r="H39" s="1527"/>
      <c r="I39" s="1491"/>
      <c r="J39" s="1492"/>
      <c r="K39" s="1478"/>
      <c r="L39" s="1493"/>
      <c r="M39" s="1491" t="e">
        <f>SUM(#REF!)</f>
        <v>#REF!</v>
      </c>
    </row>
    <row r="40" spans="2:14">
      <c r="B40" s="1492"/>
      <c r="C40" s="1528"/>
      <c r="D40" s="1528"/>
      <c r="E40" s="1497"/>
      <c r="F40" s="1497"/>
      <c r="G40" s="1497"/>
      <c r="H40" s="1498"/>
      <c r="I40" s="1498"/>
      <c r="J40" s="1497"/>
      <c r="K40" s="1478"/>
      <c r="L40" s="1493"/>
      <c r="M40" s="1499"/>
    </row>
    <row r="41" spans="2:14">
      <c r="B41" s="1466" t="s">
        <v>9175</v>
      </c>
      <c r="C41" s="1820" t="s">
        <v>9176</v>
      </c>
      <c r="D41" s="1820"/>
      <c r="E41" s="1820"/>
      <c r="F41" s="1477"/>
      <c r="G41" s="1477"/>
      <c r="H41" s="1514"/>
      <c r="I41" s="1514"/>
      <c r="J41" s="1515"/>
      <c r="K41" s="1510"/>
      <c r="L41" s="1472"/>
      <c r="M41" s="1516"/>
    </row>
    <row r="42" spans="2:14" ht="27.6">
      <c r="B42" s="1480"/>
      <c r="C42" s="1481" t="s">
        <v>9121</v>
      </c>
      <c r="D42" s="1811" t="s">
        <v>9177</v>
      </c>
      <c r="E42" s="1812"/>
      <c r="F42" s="1481" t="s">
        <v>9022</v>
      </c>
      <c r="G42" s="1481">
        <v>1</v>
      </c>
      <c r="H42" s="1483">
        <v>190000</v>
      </c>
      <c r="I42" s="1483">
        <f>G42*H42</f>
        <v>190000</v>
      </c>
      <c r="J42" s="1482" t="s">
        <v>9178</v>
      </c>
      <c r="K42" s="1484"/>
      <c r="L42" s="1520">
        <f>'[45]HARGA BAHAN &amp; ALAT'!H178</f>
        <v>0</v>
      </c>
      <c r="M42" s="1524">
        <f t="shared" ref="M42" si="7">H42*L42</f>
        <v>0</v>
      </c>
    </row>
    <row r="43" spans="2:14" ht="14.4" customHeight="1">
      <c r="B43" s="1526"/>
      <c r="C43" s="1489" t="s">
        <v>9179</v>
      </c>
      <c r="D43" s="1807" t="s">
        <v>9180</v>
      </c>
      <c r="E43" s="1808"/>
      <c r="F43" s="1490"/>
      <c r="G43" s="1490"/>
      <c r="H43" s="1527"/>
      <c r="I43" s="1491">
        <f>SUM(I42:I42)</f>
        <v>190000</v>
      </c>
      <c r="J43" s="1492"/>
      <c r="K43" s="1478"/>
      <c r="L43" s="1493"/>
      <c r="M43" s="1491">
        <f>SUM(M42:M42)</f>
        <v>0</v>
      </c>
    </row>
    <row r="44" spans="2:14">
      <c r="B44" s="1492"/>
      <c r="C44" s="1528"/>
      <c r="D44" s="1528"/>
      <c r="E44" s="1497"/>
      <c r="F44" s="1497"/>
      <c r="G44" s="1497"/>
      <c r="H44" s="1498"/>
      <c r="I44" s="1498"/>
      <c r="J44" s="1497"/>
      <c r="K44" s="1478"/>
      <c r="L44" s="1493"/>
      <c r="M44" s="1499"/>
    </row>
    <row r="45" spans="2:14" hidden="1">
      <c r="B45" s="1466" t="s">
        <v>9181</v>
      </c>
      <c r="C45" s="1820" t="s">
        <v>9182</v>
      </c>
      <c r="D45" s="1820"/>
      <c r="E45" s="1820"/>
      <c r="F45" s="1477"/>
      <c r="G45" s="1477"/>
      <c r="H45" s="1514"/>
      <c r="I45" s="1514"/>
      <c r="J45" s="1515"/>
      <c r="K45" s="1510"/>
      <c r="L45" s="1472"/>
      <c r="M45" s="1516"/>
    </row>
    <row r="46" spans="2:14" hidden="1">
      <c r="B46" s="1480"/>
      <c r="C46" s="1481" t="s">
        <v>9121</v>
      </c>
      <c r="D46" s="1811" t="s">
        <v>9183</v>
      </c>
      <c r="E46" s="1812"/>
      <c r="F46" s="1481" t="s">
        <v>4259</v>
      </c>
      <c r="G46" s="1481"/>
      <c r="H46" s="1483">
        <f>'[45]HARGA BAHAN &amp; ALAT'!$F$179</f>
        <v>133200</v>
      </c>
      <c r="I46" s="1483">
        <f t="shared" ref="I46:I49" si="8">G46*H46</f>
        <v>0</v>
      </c>
      <c r="J46" s="1517" t="s">
        <v>9151</v>
      </c>
      <c r="K46" s="1510"/>
      <c r="L46" s="1506">
        <f>'[45]HARGA BAHAN &amp; ALAT'!$H$179</f>
        <v>0.41020000000000001</v>
      </c>
      <c r="M46" s="1524">
        <f t="shared" ref="M46:M49" si="9">H46*L46</f>
        <v>54638.64</v>
      </c>
      <c r="N46" s="1521" t="s">
        <v>9184</v>
      </c>
    </row>
    <row r="47" spans="2:14" hidden="1">
      <c r="B47" s="1480"/>
      <c r="C47" s="1485" t="s">
        <v>9125</v>
      </c>
      <c r="D47" s="1813" t="s">
        <v>9185</v>
      </c>
      <c r="E47" s="1814"/>
      <c r="F47" s="1485" t="s">
        <v>4259</v>
      </c>
      <c r="G47" s="1485"/>
      <c r="H47" s="1483">
        <f>'[45]HARGA BAHAN &amp; ALAT'!$F$179</f>
        <v>133200</v>
      </c>
      <c r="I47" s="1483">
        <f t="shared" si="8"/>
        <v>0</v>
      </c>
      <c r="J47" s="1486" t="s">
        <v>9151</v>
      </c>
      <c r="K47" s="1510"/>
      <c r="L47" s="1506">
        <f>'[45]HARGA BAHAN &amp; ALAT'!$H$179</f>
        <v>0.41020000000000001</v>
      </c>
      <c r="M47" s="1524">
        <f t="shared" si="9"/>
        <v>54638.64</v>
      </c>
      <c r="N47" s="1521" t="s">
        <v>9184</v>
      </c>
    </row>
    <row r="48" spans="2:14" hidden="1">
      <c r="B48" s="1480"/>
      <c r="C48" s="1485" t="s">
        <v>9127</v>
      </c>
      <c r="D48" s="1813" t="s">
        <v>9186</v>
      </c>
      <c r="E48" s="1814"/>
      <c r="F48" s="1485" t="s">
        <v>4259</v>
      </c>
      <c r="G48" s="1485"/>
      <c r="H48" s="1483">
        <f>'[45]HARGA BAHAN &amp; ALAT'!$F$179</f>
        <v>133200</v>
      </c>
      <c r="I48" s="1483">
        <f t="shared" si="8"/>
        <v>0</v>
      </c>
      <c r="J48" s="1486" t="s">
        <v>9151</v>
      </c>
      <c r="K48" s="1510"/>
      <c r="L48" s="1506">
        <f>'[45]HARGA BAHAN &amp; ALAT'!$H$179</f>
        <v>0.41020000000000001</v>
      </c>
      <c r="M48" s="1524">
        <f t="shared" si="9"/>
        <v>54638.64</v>
      </c>
      <c r="N48" s="1521" t="s">
        <v>9184</v>
      </c>
    </row>
    <row r="49" spans="2:14" hidden="1">
      <c r="B49" s="1480"/>
      <c r="C49" s="1485" t="s">
        <v>9140</v>
      </c>
      <c r="D49" s="1813" t="s">
        <v>9187</v>
      </c>
      <c r="E49" s="1814"/>
      <c r="F49" s="1485" t="s">
        <v>4259</v>
      </c>
      <c r="G49" s="1485"/>
      <c r="H49" s="1483">
        <f>'[45]HARGA BAHAN &amp; ALAT'!$F$179</f>
        <v>133200</v>
      </c>
      <c r="I49" s="1483">
        <f t="shared" si="8"/>
        <v>0</v>
      </c>
      <c r="J49" s="1486" t="s">
        <v>9151</v>
      </c>
      <c r="K49" s="1510"/>
      <c r="L49" s="1506">
        <f>'[45]HARGA BAHAN &amp; ALAT'!$H$179</f>
        <v>0.41020000000000001</v>
      </c>
      <c r="M49" s="1524">
        <f t="shared" si="9"/>
        <v>54638.64</v>
      </c>
      <c r="N49" s="1521" t="s">
        <v>9184</v>
      </c>
    </row>
    <row r="50" spans="2:14" ht="14.4" hidden="1" customHeight="1">
      <c r="B50" s="1526"/>
      <c r="C50" s="1489" t="s">
        <v>9188</v>
      </c>
      <c r="D50" s="1807" t="s">
        <v>9189</v>
      </c>
      <c r="E50" s="1808"/>
      <c r="F50" s="1490"/>
      <c r="G50" s="1490"/>
      <c r="H50" s="1527"/>
      <c r="I50" s="1491">
        <f>SUM(I46:I49)</f>
        <v>0</v>
      </c>
      <c r="J50" s="1492"/>
      <c r="K50" s="1478"/>
      <c r="L50" s="1493"/>
      <c r="M50" s="1491"/>
    </row>
    <row r="51" spans="2:14" hidden="1">
      <c r="B51" s="1492"/>
      <c r="C51" s="1528"/>
      <c r="D51" s="1528"/>
      <c r="E51" s="1497"/>
      <c r="F51" s="1497"/>
      <c r="G51" s="1497"/>
      <c r="H51" s="1498"/>
      <c r="I51" s="1498"/>
      <c r="J51" s="1497"/>
      <c r="K51" s="1478"/>
      <c r="L51" s="1493"/>
      <c r="M51" s="1499"/>
    </row>
    <row r="52" spans="2:14" hidden="1">
      <c r="B52" s="1466" t="s">
        <v>9190</v>
      </c>
      <c r="C52" s="1820" t="s">
        <v>9191</v>
      </c>
      <c r="D52" s="1820"/>
      <c r="E52" s="1820"/>
      <c r="F52" s="1477"/>
      <c r="G52" s="1477"/>
      <c r="H52" s="1514"/>
      <c r="I52" s="1514"/>
      <c r="J52" s="1515"/>
      <c r="K52" s="1510"/>
      <c r="L52" s="1472"/>
      <c r="M52" s="1516"/>
    </row>
    <row r="53" spans="2:14" ht="29.4" hidden="1" customHeight="1">
      <c r="B53" s="1480"/>
      <c r="C53" s="1481" t="s">
        <v>9121</v>
      </c>
      <c r="D53" s="1811" t="s">
        <v>9192</v>
      </c>
      <c r="E53" s="1812"/>
      <c r="F53" s="1481" t="s">
        <v>1863</v>
      </c>
      <c r="G53" s="1481">
        <v>0</v>
      </c>
      <c r="H53" s="1483">
        <v>500000</v>
      </c>
      <c r="I53" s="1483">
        <f t="shared" ref="I53:I54" si="10">G53*H53</f>
        <v>0</v>
      </c>
      <c r="J53" s="1815" t="s">
        <v>9193</v>
      </c>
      <c r="K53" s="1533"/>
      <c r="L53" s="1534">
        <v>1</v>
      </c>
      <c r="M53" s="1524">
        <f t="shared" ref="M53:M54" si="11">H53*L53</f>
        <v>500000</v>
      </c>
    </row>
    <row r="54" spans="2:14" hidden="1">
      <c r="B54" s="1480"/>
      <c r="C54" s="1485" t="s">
        <v>9125</v>
      </c>
      <c r="D54" s="1813" t="s">
        <v>9194</v>
      </c>
      <c r="E54" s="1814"/>
      <c r="F54" s="1485" t="s">
        <v>1863</v>
      </c>
      <c r="G54" s="1485">
        <v>0</v>
      </c>
      <c r="H54" s="1483">
        <v>500000</v>
      </c>
      <c r="I54" s="1483">
        <f t="shared" si="10"/>
        <v>0</v>
      </c>
      <c r="J54" s="1816"/>
      <c r="K54" s="1533"/>
      <c r="L54" s="1534">
        <v>1</v>
      </c>
      <c r="M54" s="1524">
        <f t="shared" si="11"/>
        <v>500000</v>
      </c>
    </row>
    <row r="55" spans="2:14" ht="14.4" hidden="1" customHeight="1">
      <c r="B55" s="1526"/>
      <c r="C55" s="1489" t="s">
        <v>9195</v>
      </c>
      <c r="D55" s="1807" t="s">
        <v>9196</v>
      </c>
      <c r="E55" s="1808"/>
      <c r="F55" s="1490"/>
      <c r="G55" s="1490"/>
      <c r="H55" s="1527"/>
      <c r="I55" s="1491">
        <f>SUM(I53:I54)</f>
        <v>0</v>
      </c>
      <c r="J55" s="1492"/>
      <c r="K55" s="1478"/>
      <c r="L55" s="1493"/>
      <c r="M55" s="1491"/>
    </row>
    <row r="56" spans="2:14" hidden="1">
      <c r="B56" s="1492"/>
      <c r="C56" s="1528"/>
      <c r="D56" s="1528"/>
      <c r="E56" s="1497"/>
      <c r="F56" s="1497"/>
      <c r="G56" s="1497"/>
      <c r="H56" s="1498"/>
      <c r="I56" s="1498"/>
      <c r="J56" s="1497"/>
      <c r="K56" s="1478"/>
      <c r="L56" s="1493"/>
      <c r="M56" s="1499"/>
    </row>
    <row r="57" spans="2:14" hidden="1">
      <c r="B57" s="1466" t="s">
        <v>9197</v>
      </c>
      <c r="C57" s="1820" t="s">
        <v>9198</v>
      </c>
      <c r="D57" s="1820"/>
      <c r="E57" s="1820"/>
      <c r="F57" s="1477"/>
      <c r="G57" s="1477"/>
      <c r="H57" s="1514"/>
      <c r="I57" s="1514"/>
      <c r="J57" s="1515"/>
      <c r="K57" s="1510"/>
      <c r="L57" s="1472"/>
      <c r="M57" s="1516"/>
    </row>
    <row r="58" spans="2:14" hidden="1">
      <c r="B58" s="1480"/>
      <c r="C58" s="1481" t="s">
        <v>9121</v>
      </c>
      <c r="D58" s="1811" t="str">
        <f>'[45]HARGA BAHAN &amp; ALAT'!D184</f>
        <v>APAR 3 kg (+ Set Komplit (Tabung+ABC Power+ Nitrogen)</v>
      </c>
      <c r="E58" s="1812"/>
      <c r="F58" s="1481" t="s">
        <v>4259</v>
      </c>
      <c r="G58" s="1481">
        <v>0</v>
      </c>
      <c r="H58" s="1483">
        <f>'[45]HARGA BAHAN &amp; ALAT'!$F$184</f>
        <v>189000</v>
      </c>
      <c r="I58" s="1483">
        <f t="shared" ref="I58:I64" si="12">G58*H58</f>
        <v>0</v>
      </c>
      <c r="J58" s="1817" t="s">
        <v>9199</v>
      </c>
      <c r="K58" s="1484"/>
      <c r="L58" s="1520">
        <f>'[45]HARGA BAHAN &amp; ALAT'!H184</f>
        <v>0.1673</v>
      </c>
      <c r="M58" s="1524">
        <f t="shared" ref="M58:M64" si="13">H58*L58</f>
        <v>31619.7</v>
      </c>
      <c r="N58" s="1521" t="s">
        <v>9200</v>
      </c>
    </row>
    <row r="59" spans="2:14" hidden="1">
      <c r="B59" s="1480"/>
      <c r="C59" s="1535" t="s">
        <v>9125</v>
      </c>
      <c r="D59" s="1818" t="s">
        <v>9201</v>
      </c>
      <c r="E59" s="1819"/>
      <c r="F59" s="1485" t="s">
        <v>4259</v>
      </c>
      <c r="G59" s="1485"/>
      <c r="H59" s="1488"/>
      <c r="I59" s="1483">
        <f t="shared" si="12"/>
        <v>0</v>
      </c>
      <c r="J59" s="1811"/>
      <c r="K59" s="1484"/>
      <c r="L59" s="1520"/>
      <c r="M59" s="1524">
        <f t="shared" si="13"/>
        <v>0</v>
      </c>
    </row>
    <row r="60" spans="2:14" hidden="1">
      <c r="B60" s="1480"/>
      <c r="C60" s="1485" t="s">
        <v>9125</v>
      </c>
      <c r="D60" s="1813" t="s">
        <v>9202</v>
      </c>
      <c r="E60" s="1814"/>
      <c r="F60" s="1485" t="s">
        <v>4259</v>
      </c>
      <c r="G60" s="1485">
        <v>0</v>
      </c>
      <c r="H60" s="1488">
        <f>'[45]HARGA BAHAN &amp; ALAT'!$F$185</f>
        <v>52000</v>
      </c>
      <c r="I60" s="1483">
        <f t="shared" si="12"/>
        <v>0</v>
      </c>
      <c r="J60" s="1486" t="s">
        <v>9151</v>
      </c>
      <c r="K60" s="1510"/>
      <c r="L60" s="1506" t="e">
        <f>'[45]HARGA BAHAN &amp; ALAT'!H185</f>
        <v>#REF!</v>
      </c>
      <c r="M60" s="1524" t="e">
        <f t="shared" si="13"/>
        <v>#REF!</v>
      </c>
    </row>
    <row r="61" spans="2:14" hidden="1">
      <c r="B61" s="1480"/>
      <c r="C61" s="1485" t="s">
        <v>9127</v>
      </c>
      <c r="D61" s="1813" t="s">
        <v>9203</v>
      </c>
      <c r="E61" s="1814"/>
      <c r="F61" s="1485" t="s">
        <v>4259</v>
      </c>
      <c r="G61" s="1485">
        <v>0</v>
      </c>
      <c r="H61" s="1488">
        <f>'[45]HARGA BAHAN &amp; ALAT'!$F$186</f>
        <v>135000</v>
      </c>
      <c r="I61" s="1483">
        <f t="shared" si="12"/>
        <v>0</v>
      </c>
      <c r="J61" s="1486" t="s">
        <v>9151</v>
      </c>
      <c r="K61" s="1510"/>
      <c r="L61" s="1506">
        <f>'[45]HARGA BAHAN &amp; ALAT'!H186</f>
        <v>0.25380000000000003</v>
      </c>
      <c r="M61" s="1524">
        <f t="shared" si="13"/>
        <v>34263</v>
      </c>
      <c r="N61" s="1521" t="s">
        <v>9204</v>
      </c>
    </row>
    <row r="62" spans="2:14" hidden="1">
      <c r="B62" s="1480"/>
      <c r="C62" s="1485" t="s">
        <v>9140</v>
      </c>
      <c r="D62" s="1813" t="s">
        <v>9205</v>
      </c>
      <c r="E62" s="1814"/>
      <c r="F62" s="1485" t="s">
        <v>9206</v>
      </c>
      <c r="G62" s="1485">
        <v>0</v>
      </c>
      <c r="H62" s="1488">
        <f>'[45]HARGA BAHAN &amp; ALAT'!$F$187</f>
        <v>10000</v>
      </c>
      <c r="I62" s="1483">
        <f t="shared" si="12"/>
        <v>0</v>
      </c>
      <c r="J62" s="1509" t="s">
        <v>9207</v>
      </c>
      <c r="K62" s="1484"/>
      <c r="L62" s="1520" t="e">
        <f>'[45]HARGA BAHAN &amp; ALAT'!H187</f>
        <v>#REF!</v>
      </c>
      <c r="M62" s="1524" t="e">
        <f t="shared" si="13"/>
        <v>#REF!</v>
      </c>
    </row>
    <row r="63" spans="2:14" ht="27.6" hidden="1">
      <c r="B63" s="1480"/>
      <c r="C63" s="1485" t="s">
        <v>9142</v>
      </c>
      <c r="D63" s="1813" t="s">
        <v>9208</v>
      </c>
      <c r="E63" s="1814"/>
      <c r="F63" s="1485" t="s">
        <v>9022</v>
      </c>
      <c r="G63" s="1485">
        <v>0</v>
      </c>
      <c r="H63" s="1488">
        <v>500000</v>
      </c>
      <c r="I63" s="1483">
        <f t="shared" si="12"/>
        <v>0</v>
      </c>
      <c r="J63" s="1509" t="s">
        <v>9209</v>
      </c>
      <c r="K63" s="1484"/>
      <c r="L63" s="1520">
        <v>0</v>
      </c>
      <c r="M63" s="1524">
        <f t="shared" si="13"/>
        <v>0</v>
      </c>
    </row>
    <row r="64" spans="2:14" ht="27.6" hidden="1">
      <c r="B64" s="1480"/>
      <c r="C64" s="1485" t="s">
        <v>9210</v>
      </c>
      <c r="D64" s="1813" t="s">
        <v>9211</v>
      </c>
      <c r="E64" s="1814"/>
      <c r="F64" s="1485" t="s">
        <v>9022</v>
      </c>
      <c r="G64" s="1485">
        <v>0</v>
      </c>
      <c r="H64" s="1488">
        <v>500000</v>
      </c>
      <c r="I64" s="1483">
        <f t="shared" si="12"/>
        <v>0</v>
      </c>
      <c r="J64" s="1509" t="s">
        <v>9209</v>
      </c>
      <c r="K64" s="1484"/>
      <c r="L64" s="1520">
        <v>0</v>
      </c>
      <c r="M64" s="1524">
        <f t="shared" si="13"/>
        <v>0</v>
      </c>
    </row>
    <row r="65" spans="2:13" ht="14.4" hidden="1" customHeight="1">
      <c r="B65" s="1526"/>
      <c r="C65" s="1489" t="s">
        <v>3</v>
      </c>
      <c r="D65" s="1807" t="s">
        <v>9212</v>
      </c>
      <c r="E65" s="1808"/>
      <c r="F65" s="1490"/>
      <c r="G65" s="1490"/>
      <c r="H65" s="1527"/>
      <c r="I65" s="1491">
        <f>SUM(I58:I64)</f>
        <v>0</v>
      </c>
      <c r="J65" s="1492"/>
      <c r="K65" s="1478"/>
      <c r="L65" s="1534"/>
      <c r="M65" s="1491"/>
    </row>
    <row r="66" spans="2:13" ht="7.95" customHeight="1">
      <c r="B66" s="1492"/>
      <c r="C66" s="1528"/>
      <c r="D66" s="1528"/>
      <c r="E66" s="1497"/>
      <c r="F66" s="1497"/>
      <c r="G66" s="1497"/>
      <c r="H66" s="1497"/>
      <c r="I66" s="1497"/>
      <c r="J66" s="1497"/>
      <c r="K66" s="1478"/>
      <c r="L66" s="1493"/>
      <c r="M66" s="1499"/>
    </row>
    <row r="67" spans="2:13" ht="21" customHeight="1">
      <c r="B67" s="1809" t="s">
        <v>9213</v>
      </c>
      <c r="C67" s="1810"/>
      <c r="D67" s="1810"/>
      <c r="E67" s="1810"/>
      <c r="F67" s="1810"/>
      <c r="G67" s="1810"/>
      <c r="H67" s="1810"/>
      <c r="I67" s="1536">
        <f>I14+I22+I32+I36+I39+I43+I50+I55+I65</f>
        <v>1000000</v>
      </c>
      <c r="J67" s="1492"/>
      <c r="K67" s="1478"/>
      <c r="L67" s="1493"/>
      <c r="M67" s="1537"/>
    </row>
    <row r="68" spans="2:13">
      <c r="K68" s="1478"/>
    </row>
  </sheetData>
  <mergeCells count="56">
    <mergeCell ref="B2:L2"/>
    <mergeCell ref="B4:F5"/>
    <mergeCell ref="C7:E7"/>
    <mergeCell ref="C8:E8"/>
    <mergeCell ref="C10:E10"/>
    <mergeCell ref="D22:E22"/>
    <mergeCell ref="L11:L13"/>
    <mergeCell ref="M11:M13"/>
    <mergeCell ref="D12:E12"/>
    <mergeCell ref="D13:E13"/>
    <mergeCell ref="D14:E14"/>
    <mergeCell ref="C16:E16"/>
    <mergeCell ref="D11:E11"/>
    <mergeCell ref="G11:G13"/>
    <mergeCell ref="H11:H13"/>
    <mergeCell ref="I11:I13"/>
    <mergeCell ref="J11:J13"/>
    <mergeCell ref="D17:E17"/>
    <mergeCell ref="D18:E18"/>
    <mergeCell ref="D19:E19"/>
    <mergeCell ref="D20:E20"/>
    <mergeCell ref="D50:E50"/>
    <mergeCell ref="C52:E52"/>
    <mergeCell ref="D53:E53"/>
    <mergeCell ref="D21:E21"/>
    <mergeCell ref="D43:E43"/>
    <mergeCell ref="C24:E24"/>
    <mergeCell ref="D25:E25"/>
    <mergeCell ref="D27:E27"/>
    <mergeCell ref="D32:E32"/>
    <mergeCell ref="C34:E34"/>
    <mergeCell ref="D35:E35"/>
    <mergeCell ref="D36:E36"/>
    <mergeCell ref="C38:E38"/>
    <mergeCell ref="D39:E39"/>
    <mergeCell ref="C41:E41"/>
    <mergeCell ref="D42:E42"/>
    <mergeCell ref="C45:E45"/>
    <mergeCell ref="D46:E46"/>
    <mergeCell ref="D47:E47"/>
    <mergeCell ref="D48:E48"/>
    <mergeCell ref="D49:E49"/>
    <mergeCell ref="J53:J54"/>
    <mergeCell ref="D54:E54"/>
    <mergeCell ref="D55:E55"/>
    <mergeCell ref="J58:J59"/>
    <mergeCell ref="D59:E59"/>
    <mergeCell ref="C57:E57"/>
    <mergeCell ref="D65:E65"/>
    <mergeCell ref="B67:H67"/>
    <mergeCell ref="D58:E58"/>
    <mergeCell ref="D60:E60"/>
    <mergeCell ref="D61:E61"/>
    <mergeCell ref="D62:E62"/>
    <mergeCell ref="D63:E63"/>
    <mergeCell ref="D64:E64"/>
  </mergeCells>
  <conditionalFormatting sqref="B10:D10">
    <cfRule type="duplicateValues" dxfId="8" priority="9"/>
  </conditionalFormatting>
  <conditionalFormatting sqref="B16:D16">
    <cfRule type="duplicateValues" dxfId="7" priority="8"/>
  </conditionalFormatting>
  <conditionalFormatting sqref="B24:D24">
    <cfRule type="duplicateValues" dxfId="6" priority="7"/>
  </conditionalFormatting>
  <conditionalFormatting sqref="B34:D34">
    <cfRule type="duplicateValues" dxfId="5" priority="6"/>
  </conditionalFormatting>
  <conditionalFormatting sqref="B38:D38">
    <cfRule type="duplicateValues" dxfId="4" priority="5"/>
  </conditionalFormatting>
  <conditionalFormatting sqref="B41:D41">
    <cfRule type="duplicateValues" dxfId="3" priority="4"/>
  </conditionalFormatting>
  <conditionalFormatting sqref="B45:D45">
    <cfRule type="duplicateValues" dxfId="2" priority="3"/>
  </conditionalFormatting>
  <conditionalFormatting sqref="B52:D52">
    <cfRule type="duplicateValues" dxfId="1" priority="2"/>
  </conditionalFormatting>
  <conditionalFormatting sqref="B57:D57">
    <cfRule type="duplicateValues" dxfId="0" priority="1"/>
  </conditionalFormatting>
  <hyperlinks>
    <hyperlink ref="N28" r:id="rId1" xr:uid="{CB9D72E7-8EB6-4FA3-B84E-3070D74BD948}"/>
    <hyperlink ref="N29" r:id="rId2" xr:uid="{D3B9CE25-7AFB-4AD5-AF22-8CEB0633E6DC}"/>
    <hyperlink ref="N30" r:id="rId3" xr:uid="{22529B40-ED4E-4A91-B29E-67168C392BC9}"/>
    <hyperlink ref="N31" r:id="rId4" xr:uid="{923421D8-8933-4154-98A4-478B3D6EC8C5}"/>
    <hyperlink ref="N46" r:id="rId5" xr:uid="{D7CBDA04-DD37-4D98-926E-18CFF5254627}"/>
    <hyperlink ref="N47" r:id="rId6" xr:uid="{16268F67-B8DF-4EB9-A7A5-940FD6696E5B}"/>
    <hyperlink ref="N48" r:id="rId7" xr:uid="{04AB1C51-E25B-4AE0-A19C-E23AB3CD51F6}"/>
    <hyperlink ref="N49" r:id="rId8" xr:uid="{17944CCB-78B8-4DB3-ABB7-A02712731C9A}"/>
    <hyperlink ref="N58" r:id="rId9" xr:uid="{372C7EF6-F8A5-4385-A981-73E683EB77F6}"/>
    <hyperlink ref="N61" r:id="rId10" xr:uid="{F9C67134-4469-43C2-9F59-E84992712E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4B3B-332B-49BC-B72D-C72F5CC46316}">
  <dimension ref="A1:M93"/>
  <sheetViews>
    <sheetView topLeftCell="A28" zoomScale="116" workbookViewId="0">
      <selection activeCell="B31" sqref="B31"/>
    </sheetView>
  </sheetViews>
  <sheetFormatPr defaultRowHeight="13.2"/>
  <cols>
    <col min="1" max="1" width="24.109375" bestFit="1" customWidth="1"/>
    <col min="4" max="4" width="12.88671875" bestFit="1" customWidth="1"/>
    <col min="5" max="5" width="5" bestFit="1" customWidth="1"/>
  </cols>
  <sheetData>
    <row r="1" spans="1:10">
      <c r="A1" s="1174" t="s">
        <v>9025</v>
      </c>
    </row>
    <row r="2" spans="1:10">
      <c r="A2" s="1174" t="s">
        <v>8807</v>
      </c>
    </row>
    <row r="3" spans="1:10">
      <c r="A3" s="1173" t="s">
        <v>9026</v>
      </c>
      <c r="B3">
        <v>1.3</v>
      </c>
      <c r="C3" s="1173" t="s">
        <v>1300</v>
      </c>
    </row>
    <row r="4" spans="1:10">
      <c r="A4" s="1173" t="s">
        <v>9027</v>
      </c>
      <c r="B4">
        <v>1.3</v>
      </c>
      <c r="C4" s="1173" t="s">
        <v>1300</v>
      </c>
    </row>
    <row r="5" spans="1:10">
      <c r="A5" s="1173" t="s">
        <v>9028</v>
      </c>
      <c r="B5">
        <v>0.15</v>
      </c>
      <c r="C5" s="1173" t="s">
        <v>1300</v>
      </c>
    </row>
    <row r="7" spans="1:10">
      <c r="A7" s="1173" t="s">
        <v>9029</v>
      </c>
      <c r="B7">
        <f>B3/B5</f>
        <v>8.6666666666666679</v>
      </c>
      <c r="C7">
        <f>ROUNDUP(B7,0)</f>
        <v>9</v>
      </c>
      <c r="D7" s="1173" t="s">
        <v>9033</v>
      </c>
    </row>
    <row r="8" spans="1:10">
      <c r="A8" s="1173" t="s">
        <v>9030</v>
      </c>
      <c r="B8">
        <f>B4/B5</f>
        <v>8.6666666666666679</v>
      </c>
      <c r="C8">
        <f>ROUNDUP(B8,0)</f>
        <v>9</v>
      </c>
      <c r="D8" s="1173" t="s">
        <v>9033</v>
      </c>
    </row>
    <row r="10" spans="1:10">
      <c r="A10" s="1173" t="s">
        <v>9031</v>
      </c>
      <c r="B10">
        <f>C7/E10</f>
        <v>0.75</v>
      </c>
      <c r="C10" s="1173" t="s">
        <v>106</v>
      </c>
      <c r="D10" s="1173" t="s">
        <v>9032</v>
      </c>
      <c r="E10">
        <v>12</v>
      </c>
      <c r="F10" s="1173" t="s">
        <v>9033</v>
      </c>
    </row>
    <row r="11" spans="1:10">
      <c r="A11" s="1173" t="s">
        <v>9034</v>
      </c>
      <c r="B11">
        <f>C8/E10</f>
        <v>0.75</v>
      </c>
      <c r="C11" s="1173" t="s">
        <v>106</v>
      </c>
      <c r="D11" s="1173" t="s">
        <v>9037</v>
      </c>
      <c r="E11" s="1351">
        <v>4.74</v>
      </c>
      <c r="F11" s="1173" t="s">
        <v>65</v>
      </c>
    </row>
    <row r="12" spans="1:10">
      <c r="A12" s="1174" t="s">
        <v>9036</v>
      </c>
      <c r="B12" s="1174">
        <f>SUM(B10:B11)</f>
        <v>1.5</v>
      </c>
      <c r="C12" s="1174" t="s">
        <v>106</v>
      </c>
    </row>
    <row r="13" spans="1:10">
      <c r="A13" s="1174" t="s">
        <v>9038</v>
      </c>
      <c r="B13" s="1174">
        <f>B12*E11</f>
        <v>7.11</v>
      </c>
      <c r="C13" s="1174" t="s">
        <v>65</v>
      </c>
    </row>
    <row r="15" spans="1:10">
      <c r="A15" s="1174" t="s">
        <v>8808</v>
      </c>
    </row>
    <row r="16" spans="1:10">
      <c r="A16" s="1173" t="s">
        <v>9026</v>
      </c>
      <c r="B16">
        <v>1.3</v>
      </c>
      <c r="C16" s="1173" t="s">
        <v>1300</v>
      </c>
      <c r="H16" s="1173"/>
      <c r="J16" s="1173"/>
    </row>
    <row r="17" spans="1:13">
      <c r="A17" s="1173" t="s">
        <v>9027</v>
      </c>
      <c r="B17">
        <v>1.5</v>
      </c>
      <c r="C17" s="1173" t="s">
        <v>1300</v>
      </c>
      <c r="H17" s="1173"/>
      <c r="J17" s="1173"/>
    </row>
    <row r="18" spans="1:13">
      <c r="A18" s="1173" t="s">
        <v>9028</v>
      </c>
      <c r="B18">
        <v>0.15</v>
      </c>
      <c r="C18" s="1173" t="s">
        <v>1300</v>
      </c>
      <c r="H18" s="1173"/>
      <c r="J18" s="1173"/>
    </row>
    <row r="20" spans="1:13">
      <c r="A20" s="1173" t="s">
        <v>9029</v>
      </c>
      <c r="B20">
        <f>B16/B18</f>
        <v>8.6666666666666679</v>
      </c>
      <c r="C20">
        <f>ROUNDUP(B20,0)</f>
        <v>9</v>
      </c>
      <c r="D20" s="1173" t="s">
        <v>9033</v>
      </c>
      <c r="H20" s="1173"/>
      <c r="K20" s="1173"/>
    </row>
    <row r="21" spans="1:13">
      <c r="A21" s="1173" t="s">
        <v>9030</v>
      </c>
      <c r="B21">
        <f>B17/B18</f>
        <v>10</v>
      </c>
      <c r="C21">
        <f>ROUNDUP(B21,0)</f>
        <v>10</v>
      </c>
      <c r="D21" s="1173" t="s">
        <v>9033</v>
      </c>
      <c r="H21" s="1173"/>
      <c r="K21" s="1173"/>
    </row>
    <row r="23" spans="1:13">
      <c r="A23" s="1173" t="s">
        <v>9031</v>
      </c>
      <c r="B23">
        <f>C20/E23</f>
        <v>0.75</v>
      </c>
      <c r="C23" s="1173" t="s">
        <v>106</v>
      </c>
      <c r="D23" s="1173" t="s">
        <v>9032</v>
      </c>
      <c r="E23">
        <v>12</v>
      </c>
      <c r="F23" s="1173" t="s">
        <v>9033</v>
      </c>
      <c r="H23" s="1173"/>
      <c r="J23" s="1173"/>
      <c r="K23" s="1173"/>
      <c r="M23" s="1173"/>
    </row>
    <row r="24" spans="1:13">
      <c r="A24" s="1173" t="s">
        <v>9034</v>
      </c>
      <c r="B24">
        <f>C21/E23</f>
        <v>0.83333333333333337</v>
      </c>
      <c r="C24" s="1173" t="s">
        <v>106</v>
      </c>
      <c r="D24" s="1173" t="s">
        <v>9037</v>
      </c>
      <c r="E24" s="1351">
        <v>4.74</v>
      </c>
      <c r="F24" s="1173" t="s">
        <v>65</v>
      </c>
      <c r="H24" s="1173"/>
      <c r="J24" s="1173"/>
      <c r="K24" s="1173"/>
      <c r="M24" s="1173"/>
    </row>
    <row r="25" spans="1:13">
      <c r="A25" s="1174" t="s">
        <v>9036</v>
      </c>
      <c r="B25" s="1174">
        <f>SUM(B23:B24)</f>
        <v>1.5833333333333335</v>
      </c>
      <c r="C25" s="1174" t="s">
        <v>106</v>
      </c>
      <c r="H25" s="1174"/>
      <c r="I25" s="1174"/>
      <c r="J25" s="1174"/>
    </row>
    <row r="26" spans="1:13">
      <c r="A26" s="1174" t="s">
        <v>9039</v>
      </c>
      <c r="B26" s="1174">
        <f>B25*E24</f>
        <v>7.5050000000000008</v>
      </c>
      <c r="C26" s="1174" t="s">
        <v>65</v>
      </c>
      <c r="D26">
        <f>B26*4</f>
        <v>30.020000000000003</v>
      </c>
      <c r="H26" s="1174"/>
      <c r="I26" s="1174"/>
      <c r="J26" s="1174"/>
    </row>
    <row r="28" spans="1:13">
      <c r="A28" s="1174" t="s">
        <v>8809</v>
      </c>
    </row>
    <row r="29" spans="1:13">
      <c r="A29" s="1173" t="s">
        <v>9026</v>
      </c>
      <c r="B29">
        <f>4.65+2.65</f>
        <v>7.3000000000000007</v>
      </c>
      <c r="C29" s="1173" t="s">
        <v>1300</v>
      </c>
    </row>
    <row r="30" spans="1:13">
      <c r="A30" s="1173" t="s">
        <v>9027</v>
      </c>
      <c r="B30">
        <f>2+0.65</f>
        <v>2.65</v>
      </c>
      <c r="C30" s="1173" t="s">
        <v>1300</v>
      </c>
    </row>
    <row r="31" spans="1:13">
      <c r="A31" s="1173" t="s">
        <v>9028</v>
      </c>
      <c r="B31">
        <v>0.15</v>
      </c>
      <c r="C31" s="1173" t="s">
        <v>1300</v>
      </c>
    </row>
    <row r="33" spans="1:6">
      <c r="A33" s="1173" t="s">
        <v>9029</v>
      </c>
      <c r="B33">
        <f>B29/B31</f>
        <v>48.666666666666671</v>
      </c>
      <c r="C33">
        <f>ROUNDUP(B33,0)</f>
        <v>49</v>
      </c>
      <c r="D33" s="1173" t="s">
        <v>9033</v>
      </c>
    </row>
    <row r="34" spans="1:6">
      <c r="A34" s="1173" t="s">
        <v>9030</v>
      </c>
      <c r="B34">
        <f>B30/B31</f>
        <v>17.666666666666668</v>
      </c>
      <c r="C34">
        <f>ROUNDUP(B34,0)</f>
        <v>18</v>
      </c>
      <c r="D34" s="1173" t="s">
        <v>9033</v>
      </c>
    </row>
    <row r="36" spans="1:6">
      <c r="A36" s="1173" t="s">
        <v>9031</v>
      </c>
      <c r="B36">
        <f>C33/E36</f>
        <v>4.083333333333333</v>
      </c>
      <c r="C36" s="1173" t="s">
        <v>106</v>
      </c>
      <c r="D36" s="1173" t="s">
        <v>9032</v>
      </c>
      <c r="E36">
        <v>12</v>
      </c>
      <c r="F36" s="1173" t="s">
        <v>9033</v>
      </c>
    </row>
    <row r="37" spans="1:6">
      <c r="A37" s="1173" t="s">
        <v>9034</v>
      </c>
      <c r="B37">
        <f>C34/E36</f>
        <v>1.5</v>
      </c>
      <c r="C37" s="1173" t="s">
        <v>106</v>
      </c>
      <c r="D37" s="1173" t="s">
        <v>9037</v>
      </c>
      <c r="E37" s="1351">
        <v>4.74</v>
      </c>
      <c r="F37" s="1173" t="s">
        <v>65</v>
      </c>
    </row>
    <row r="38" spans="1:6">
      <c r="A38" s="1174" t="s">
        <v>9036</v>
      </c>
      <c r="B38" s="1174">
        <f>SUM(B36:B37)</f>
        <v>5.583333333333333</v>
      </c>
      <c r="C38" s="1174" t="s">
        <v>106</v>
      </c>
    </row>
    <row r="39" spans="1:6">
      <c r="A39" s="1174" t="s">
        <v>9040</v>
      </c>
      <c r="B39" s="1174">
        <f>B38*E37</f>
        <v>26.465</v>
      </c>
      <c r="C39" s="1174" t="s">
        <v>65</v>
      </c>
    </row>
    <row r="41" spans="1:6">
      <c r="A41" s="1174" t="s">
        <v>9061</v>
      </c>
      <c r="C41" s="1173"/>
    </row>
    <row r="42" spans="1:6">
      <c r="A42" s="1173" t="s">
        <v>9041</v>
      </c>
      <c r="B42">
        <f>(B39+D26+B13)</f>
        <v>63.594999999999999</v>
      </c>
      <c r="C42" s="1173" t="s">
        <v>65</v>
      </c>
    </row>
    <row r="43" spans="1:6">
      <c r="A43" s="1173" t="s">
        <v>1198</v>
      </c>
      <c r="B43">
        <v>1.4999999999999999E-2</v>
      </c>
    </row>
    <row r="44" spans="1:6">
      <c r="A44" s="1174" t="s">
        <v>9035</v>
      </c>
      <c r="B44" s="1174">
        <f>B43*B42</f>
        <v>0.95392499999999991</v>
      </c>
      <c r="C44" s="1174" t="s">
        <v>65</v>
      </c>
    </row>
    <row r="46" spans="1:6">
      <c r="A46" s="1174" t="s">
        <v>9059</v>
      </c>
    </row>
    <row r="47" spans="1:6">
      <c r="A47" s="1173" t="s">
        <v>9026</v>
      </c>
      <c r="B47">
        <v>2.6</v>
      </c>
      <c r="C47" s="1173" t="s">
        <v>1300</v>
      </c>
      <c r="D47" s="1173" t="s">
        <v>9083</v>
      </c>
      <c r="E47">
        <v>0.08</v>
      </c>
    </row>
    <row r="48" spans="1:6">
      <c r="A48" s="1173" t="s">
        <v>9027</v>
      </c>
      <c r="B48">
        <v>1.35</v>
      </c>
      <c r="C48" s="1173" t="s">
        <v>1300</v>
      </c>
      <c r="D48" s="1173" t="s">
        <v>9084</v>
      </c>
      <c r="E48">
        <v>0.13</v>
      </c>
    </row>
    <row r="49" spans="1:6">
      <c r="A49" s="1173" t="s">
        <v>9028</v>
      </c>
      <c r="B49">
        <v>0.15</v>
      </c>
      <c r="C49" s="1173" t="s">
        <v>1300</v>
      </c>
      <c r="D49" s="1173" t="s">
        <v>9085</v>
      </c>
      <c r="E49">
        <v>0.05</v>
      </c>
    </row>
    <row r="51" spans="1:6">
      <c r="A51" s="1173" t="s">
        <v>9078</v>
      </c>
      <c r="B51">
        <f>(B47+B47+B48+B48+B48)*4</f>
        <v>37</v>
      </c>
      <c r="C51" s="1173" t="s">
        <v>1300</v>
      </c>
      <c r="D51" s="1173"/>
    </row>
    <row r="52" spans="1:6">
      <c r="A52" s="1173" t="s">
        <v>9077</v>
      </c>
      <c r="B52">
        <f>B51/12</f>
        <v>3.0833333333333335</v>
      </c>
      <c r="C52" s="1173" t="s">
        <v>1761</v>
      </c>
      <c r="D52" s="1173"/>
    </row>
    <row r="53" spans="1:6">
      <c r="A53" s="1173" t="s">
        <v>9076</v>
      </c>
      <c r="B53" s="1351">
        <v>4.74</v>
      </c>
      <c r="C53" s="1173" t="s">
        <v>65</v>
      </c>
    </row>
    <row r="54" spans="1:6">
      <c r="A54" s="1174" t="s">
        <v>9080</v>
      </c>
      <c r="B54" s="1174">
        <f>B53*B52</f>
        <v>14.615000000000002</v>
      </c>
      <c r="C54" s="1173" t="s">
        <v>65</v>
      </c>
      <c r="D54" s="1173"/>
      <c r="F54" s="1173"/>
    </row>
    <row r="55" spans="1:6">
      <c r="A55" s="1173" t="s">
        <v>9086</v>
      </c>
      <c r="B55">
        <f>B51/B49</f>
        <v>246.66666666666669</v>
      </c>
      <c r="C55" s="1173" t="s">
        <v>44</v>
      </c>
      <c r="D55" s="1173"/>
      <c r="F55" s="1173"/>
    </row>
    <row r="56" spans="1:6">
      <c r="A56" s="1173" t="s">
        <v>9082</v>
      </c>
      <c r="B56">
        <f>(E47*2)+(E48*2)+E49</f>
        <v>0.47000000000000003</v>
      </c>
      <c r="C56" s="1173" t="s">
        <v>1300</v>
      </c>
      <c r="D56" s="1173"/>
      <c r="F56" s="1173"/>
    </row>
    <row r="57" spans="1:6">
      <c r="A57" s="1173" t="s">
        <v>9087</v>
      </c>
      <c r="B57">
        <f>B56*B55</f>
        <v>115.93333333333335</v>
      </c>
      <c r="C57" s="1173" t="s">
        <v>1300</v>
      </c>
      <c r="D57" s="1173"/>
      <c r="F57" s="1173"/>
    </row>
    <row r="58" spans="1:6">
      <c r="A58" s="1173" t="s">
        <v>9088</v>
      </c>
      <c r="B58">
        <f>B57/12</f>
        <v>9.6611111111111132</v>
      </c>
      <c r="C58" s="1173" t="s">
        <v>1761</v>
      </c>
      <c r="D58" s="1173"/>
      <c r="F58" s="1173"/>
    </row>
    <row r="59" spans="1:6">
      <c r="A59" s="1174" t="s">
        <v>9081</v>
      </c>
      <c r="B59" s="1174">
        <f>B53*B58</f>
        <v>45.793666666666681</v>
      </c>
      <c r="C59" s="1174" t="s">
        <v>65</v>
      </c>
      <c r="D59" s="1173"/>
      <c r="F59" s="1173"/>
    </row>
    <row r="60" spans="1:6">
      <c r="A60" s="1174"/>
      <c r="C60" s="1173"/>
      <c r="D60" s="1173"/>
      <c r="F60" s="1173"/>
    </row>
    <row r="61" spans="1:6">
      <c r="A61" s="1174"/>
      <c r="C61" s="1173"/>
      <c r="D61" s="1173"/>
      <c r="F61" s="1173"/>
    </row>
    <row r="62" spans="1:6">
      <c r="A62" s="1174" t="s">
        <v>9079</v>
      </c>
      <c r="B62" s="1174"/>
      <c r="C62" s="1174"/>
    </row>
    <row r="63" spans="1:6">
      <c r="A63" s="1173" t="s">
        <v>9089</v>
      </c>
      <c r="B63" s="1173">
        <v>2.7</v>
      </c>
      <c r="C63" s="1174"/>
      <c r="D63" s="1173" t="s">
        <v>9083</v>
      </c>
      <c r="E63">
        <v>0.08</v>
      </c>
    </row>
    <row r="64" spans="1:6">
      <c r="A64" s="1173" t="s">
        <v>9090</v>
      </c>
      <c r="B64">
        <v>2.7</v>
      </c>
      <c r="D64" s="1173" t="s">
        <v>9084</v>
      </c>
      <c r="E64">
        <v>0.13</v>
      </c>
    </row>
    <row r="65" spans="1:5">
      <c r="D65" s="1173" t="s">
        <v>9085</v>
      </c>
      <c r="E65">
        <v>0.05</v>
      </c>
    </row>
    <row r="66" spans="1:5">
      <c r="A66" s="1173" t="s">
        <v>9091</v>
      </c>
      <c r="B66">
        <f>B63*2</f>
        <v>5.4</v>
      </c>
      <c r="C66" s="1173" t="s">
        <v>1300</v>
      </c>
    </row>
    <row r="67" spans="1:5">
      <c r="A67" s="1173" t="s">
        <v>9092</v>
      </c>
      <c r="B67">
        <f>B64*2</f>
        <v>5.4</v>
      </c>
      <c r="C67" s="1173" t="s">
        <v>1300</v>
      </c>
    </row>
    <row r="68" spans="1:5">
      <c r="A68" s="1173" t="s">
        <v>9093</v>
      </c>
      <c r="B68">
        <f>SUM(B66:B67)</f>
        <v>10.8</v>
      </c>
      <c r="C68" s="1173" t="s">
        <v>1300</v>
      </c>
    </row>
    <row r="69" spans="1:5">
      <c r="A69" s="1173" t="s">
        <v>9094</v>
      </c>
      <c r="B69">
        <f>B68/12</f>
        <v>0.9</v>
      </c>
      <c r="C69" s="1173" t="s">
        <v>1761</v>
      </c>
    </row>
    <row r="70" spans="1:5">
      <c r="A70" s="1173" t="s">
        <v>9076</v>
      </c>
      <c r="B70" s="1351">
        <v>4.74</v>
      </c>
      <c r="C70" s="1173" t="s">
        <v>65</v>
      </c>
    </row>
    <row r="71" spans="1:5">
      <c r="A71" s="1173" t="s">
        <v>9095</v>
      </c>
      <c r="B71">
        <f>B68/0.15</f>
        <v>72.000000000000014</v>
      </c>
    </row>
    <row r="72" spans="1:5">
      <c r="A72" s="1173" t="s">
        <v>9082</v>
      </c>
    </row>
    <row r="73" spans="1:5">
      <c r="A73" s="1173"/>
    </row>
    <row r="74" spans="1:5">
      <c r="A74" s="1173"/>
    </row>
    <row r="75" spans="1:5">
      <c r="A75" s="1173"/>
    </row>
    <row r="76" spans="1:5">
      <c r="A76" s="1173"/>
    </row>
    <row r="77" spans="1:5">
      <c r="A77" s="1173"/>
    </row>
    <row r="80" spans="1:5">
      <c r="A80" s="1174" t="s">
        <v>9059</v>
      </c>
    </row>
    <row r="81" spans="1:6">
      <c r="A81" s="1173" t="s">
        <v>9026</v>
      </c>
      <c r="B81">
        <f>1.5+1.9+1.5+1.9</f>
        <v>6.8000000000000007</v>
      </c>
      <c r="C81" s="1173" t="s">
        <v>1300</v>
      </c>
      <c r="D81" s="1173" t="s">
        <v>9083</v>
      </c>
      <c r="E81">
        <v>0.08</v>
      </c>
    </row>
    <row r="82" spans="1:6">
      <c r="A82" s="1173" t="s">
        <v>9027</v>
      </c>
      <c r="B82">
        <v>1.35</v>
      </c>
      <c r="C82" s="1173" t="s">
        <v>1300</v>
      </c>
      <c r="D82" s="1173" t="s">
        <v>9084</v>
      </c>
      <c r="E82">
        <v>0.13</v>
      </c>
    </row>
    <row r="83" spans="1:6">
      <c r="A83" s="1173" t="s">
        <v>9028</v>
      </c>
      <c r="B83">
        <v>0.15</v>
      </c>
      <c r="C83" s="1173" t="s">
        <v>1300</v>
      </c>
      <c r="D83" s="1173" t="s">
        <v>9085</v>
      </c>
      <c r="E83">
        <v>0.05</v>
      </c>
    </row>
    <row r="85" spans="1:6">
      <c r="A85" s="1173" t="s">
        <v>9078</v>
      </c>
      <c r="B85">
        <f>(B81+B81+B82+B82+B82)*4</f>
        <v>70.600000000000009</v>
      </c>
      <c r="C85" s="1173" t="s">
        <v>1300</v>
      </c>
      <c r="D85" s="1173"/>
    </row>
    <row r="86" spans="1:6">
      <c r="A86" s="1173" t="s">
        <v>9077</v>
      </c>
      <c r="B86">
        <f>B85/12</f>
        <v>5.8833333333333337</v>
      </c>
      <c r="C86" s="1173" t="s">
        <v>1761</v>
      </c>
      <c r="D86" s="1173"/>
    </row>
    <row r="87" spans="1:6">
      <c r="A87" s="1173" t="s">
        <v>9076</v>
      </c>
      <c r="B87" s="1351">
        <v>4.74</v>
      </c>
      <c r="C87" s="1173" t="s">
        <v>65</v>
      </c>
    </row>
    <row r="88" spans="1:6">
      <c r="A88" s="1174" t="s">
        <v>9080</v>
      </c>
      <c r="B88" s="1174">
        <f>B87*B86</f>
        <v>27.887000000000004</v>
      </c>
      <c r="C88" s="1173" t="s">
        <v>65</v>
      </c>
      <c r="D88" s="1173"/>
      <c r="F88" s="1173"/>
    </row>
    <row r="89" spans="1:6">
      <c r="A89" s="1173" t="s">
        <v>9086</v>
      </c>
      <c r="B89">
        <f>B85/B83</f>
        <v>470.66666666666674</v>
      </c>
      <c r="C89" s="1173" t="s">
        <v>44</v>
      </c>
      <c r="D89" s="1173"/>
      <c r="F89" s="1173"/>
    </row>
    <row r="90" spans="1:6">
      <c r="A90" s="1173" t="s">
        <v>9082</v>
      </c>
      <c r="B90">
        <f>(E81*2)+(E82*2)+E83</f>
        <v>0.47000000000000003</v>
      </c>
      <c r="C90" s="1173" t="s">
        <v>1300</v>
      </c>
      <c r="D90" s="1173"/>
      <c r="F90" s="1173"/>
    </row>
    <row r="91" spans="1:6">
      <c r="A91" s="1173" t="s">
        <v>9087</v>
      </c>
      <c r="B91">
        <f>B90*B89</f>
        <v>221.2133333333334</v>
      </c>
      <c r="C91" s="1173" t="s">
        <v>1300</v>
      </c>
      <c r="D91" s="1173"/>
      <c r="F91" s="1173"/>
    </row>
    <row r="92" spans="1:6">
      <c r="A92" s="1173" t="s">
        <v>9088</v>
      </c>
      <c r="B92">
        <f>B91/12</f>
        <v>18.434444444444448</v>
      </c>
      <c r="C92" s="1173" t="s">
        <v>1761</v>
      </c>
      <c r="D92" s="1173"/>
      <c r="F92" s="1173"/>
    </row>
    <row r="93" spans="1:6">
      <c r="A93" s="1174" t="s">
        <v>9081</v>
      </c>
      <c r="B93" s="1174">
        <f>B87*B92</f>
        <v>87.379266666666695</v>
      </c>
      <c r="C93" s="1174" t="s">
        <v>65</v>
      </c>
      <c r="D93" s="1173"/>
      <c r="F93" s="117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DDCE-D9F7-4DC7-BAC8-D4BC8B29DD94}">
  <dimension ref="A1:I91"/>
  <sheetViews>
    <sheetView topLeftCell="B63" workbookViewId="0">
      <selection activeCell="E71" sqref="E71:E75"/>
    </sheetView>
  </sheetViews>
  <sheetFormatPr defaultRowHeight="13.2"/>
  <cols>
    <col min="2" max="2" width="12.109375" customWidth="1"/>
    <col min="3" max="3" width="17.77734375" bestFit="1" customWidth="1"/>
    <col min="4" max="4" width="38.44140625" style="1385" customWidth="1"/>
    <col min="5" max="5" width="12.6640625" customWidth="1"/>
    <col min="6" max="6" width="11.6640625" bestFit="1" customWidth="1"/>
    <col min="7" max="7" width="15.77734375" style="1406" customWidth="1"/>
    <col min="8" max="8" width="12.109375" bestFit="1" customWidth="1"/>
  </cols>
  <sheetData>
    <row r="1" spans="1:8" s="2" customFormat="1" ht="13.8">
      <c r="A1" s="59"/>
      <c r="B1" s="54"/>
      <c r="C1" s="54"/>
      <c r="D1" s="1384"/>
      <c r="E1" s="45"/>
      <c r="F1" s="280"/>
      <c r="G1" s="1452"/>
      <c r="H1" s="59"/>
    </row>
    <row r="2" spans="1:8" s="2" customFormat="1" ht="15" customHeight="1">
      <c r="A2" s="59"/>
      <c r="B2" s="1845" t="s">
        <v>1771</v>
      </c>
      <c r="C2" s="1845"/>
      <c r="D2" s="1845"/>
      <c r="E2" s="1845"/>
      <c r="F2" s="1845"/>
      <c r="G2" s="1845"/>
      <c r="H2" s="59"/>
    </row>
    <row r="3" spans="1:8" s="2" customFormat="1" ht="15" customHeight="1">
      <c r="A3" s="59"/>
      <c r="B3" s="1846" t="s">
        <v>1772</v>
      </c>
      <c r="C3" s="1846"/>
      <c r="D3" s="1846"/>
      <c r="E3" s="1846"/>
      <c r="F3" s="1846"/>
      <c r="G3" s="1846"/>
      <c r="H3" s="59"/>
    </row>
    <row r="4" spans="1:8" s="2" customFormat="1" ht="15" customHeight="1">
      <c r="A4" s="59"/>
      <c r="B4" s="1846" t="s">
        <v>6447</v>
      </c>
      <c r="C4" s="1846"/>
      <c r="D4" s="1846"/>
      <c r="E4" s="1846"/>
      <c r="F4" s="1846"/>
      <c r="G4" s="1846"/>
      <c r="H4" s="59"/>
    </row>
    <row r="5" spans="1:8" s="2" customFormat="1" ht="14.4" thickBot="1">
      <c r="A5" s="59"/>
      <c r="B5" s="95"/>
      <c r="C5" s="95"/>
      <c r="D5" s="95"/>
      <c r="E5" s="95"/>
      <c r="F5" s="307"/>
      <c r="G5" s="1453"/>
      <c r="H5" s="59"/>
    </row>
    <row r="6" spans="1:8" s="2" customFormat="1" ht="28.8" thickTop="1" thickBot="1">
      <c r="A6" s="59"/>
      <c r="B6" s="1061" t="s">
        <v>9065</v>
      </c>
      <c r="C6" s="1403" t="s">
        <v>9067</v>
      </c>
      <c r="D6" s="1457" t="s">
        <v>1760</v>
      </c>
      <c r="E6" s="1457" t="s">
        <v>8925</v>
      </c>
      <c r="F6" s="1458" t="s">
        <v>1</v>
      </c>
      <c r="G6" s="1454" t="s">
        <v>9072</v>
      </c>
      <c r="H6" s="59"/>
    </row>
    <row r="7" spans="1:8" s="2" customFormat="1" ht="14.4" thickTop="1">
      <c r="A7" s="59"/>
      <c r="B7" s="1848"/>
      <c r="C7" s="1848"/>
      <c r="D7" s="1848"/>
      <c r="E7" s="1848"/>
      <c r="F7" s="1848"/>
      <c r="G7" s="1456">
        <f>SUM(G8:G55,G62:G76,G79:G91)</f>
        <v>4230165.3</v>
      </c>
      <c r="H7" s="59">
        <f>(G7*11%)+G7</f>
        <v>4695483.483</v>
      </c>
    </row>
    <row r="8" spans="1:8" ht="13.8">
      <c r="B8" s="1386" t="s">
        <v>1847</v>
      </c>
      <c r="C8" s="1386" t="s">
        <v>1772</v>
      </c>
      <c r="D8" s="1387" t="s">
        <v>9214</v>
      </c>
      <c r="E8" s="1543">
        <v>1</v>
      </c>
      <c r="F8" s="1389">
        <v>500000</v>
      </c>
      <c r="G8" s="1455">
        <f>E8*F8</f>
        <v>500000</v>
      </c>
    </row>
    <row r="9" spans="1:8" ht="13.8">
      <c r="B9" s="1386" t="s">
        <v>1935</v>
      </c>
      <c r="C9" s="1386" t="s">
        <v>9068</v>
      </c>
      <c r="D9" s="1390" t="s">
        <v>1936</v>
      </c>
      <c r="E9" s="1543">
        <f>(1.5*2)+(1.9*2)</f>
        <v>6.8</v>
      </c>
      <c r="F9" s="1389">
        <f>VLOOKUP(D9,'AHSP MCK'!D:K,8,FALSE)</f>
        <v>74500</v>
      </c>
      <c r="G9" s="1455">
        <f>E9*F9</f>
        <v>506600</v>
      </c>
    </row>
    <row r="10" spans="1:8" ht="41.4">
      <c r="B10" s="1391" t="s">
        <v>1810</v>
      </c>
      <c r="C10" s="1386" t="s">
        <v>9068</v>
      </c>
      <c r="D10" s="1392" t="s">
        <v>1956</v>
      </c>
      <c r="E10" s="1543">
        <f>0.4*0.4*(1.5+1.5+1.9+1.9)</f>
        <v>1.0880000000000003</v>
      </c>
      <c r="F10" s="1389">
        <f>VLOOKUP(D10,'AHSP MCK'!D:K,8,FALSE)</f>
        <v>89100</v>
      </c>
      <c r="G10" s="1455">
        <f t="shared" ref="G10:G73" si="0">E10*F10</f>
        <v>96940.800000000032</v>
      </c>
    </row>
    <row r="11" spans="1:8" ht="27.6">
      <c r="B11" s="1393" t="s">
        <v>2072</v>
      </c>
      <c r="C11" s="1386" t="s">
        <v>9068</v>
      </c>
      <c r="D11" s="1394" t="s">
        <v>6455</v>
      </c>
      <c r="E11" s="1543">
        <f>E10/4</f>
        <v>0.27200000000000008</v>
      </c>
      <c r="F11" s="1389">
        <f>VLOOKUP(D11,'AHSP MCK'!D:K,8,FALSE)</f>
        <v>59400</v>
      </c>
      <c r="G11" s="1455">
        <f t="shared" si="0"/>
        <v>16156.800000000005</v>
      </c>
    </row>
    <row r="12" spans="1:8" ht="27.6">
      <c r="B12" s="1393" t="s">
        <v>2073</v>
      </c>
      <c r="C12" s="1386" t="s">
        <v>9068</v>
      </c>
      <c r="D12" s="1394" t="s">
        <v>1260</v>
      </c>
      <c r="E12" s="1543">
        <v>0.1</v>
      </c>
      <c r="F12" s="1389">
        <f>VLOOKUP(D12,'AHSP MCK'!D:K,8,FALSE)</f>
        <v>326700</v>
      </c>
      <c r="G12" s="1455">
        <f t="shared" si="0"/>
        <v>32670</v>
      </c>
    </row>
    <row r="13" spans="1:8" ht="27.6">
      <c r="B13" s="1395" t="s">
        <v>2112</v>
      </c>
      <c r="C13" s="1386" t="s">
        <v>9068</v>
      </c>
      <c r="D13" s="1396" t="s">
        <v>2118</v>
      </c>
      <c r="E13" s="1543">
        <f>E10-E11</f>
        <v>0.81600000000000028</v>
      </c>
      <c r="F13" s="1389">
        <f>VLOOKUP(D13,'AHSP MCK'!D:K,8,FALSE)</f>
        <v>26700</v>
      </c>
      <c r="G13" s="1455">
        <f t="shared" si="0"/>
        <v>21787.200000000008</v>
      </c>
    </row>
    <row r="14" spans="1:8" ht="27.6">
      <c r="B14" s="1393" t="s">
        <v>2200</v>
      </c>
      <c r="C14" s="1386" t="s">
        <v>1772</v>
      </c>
      <c r="D14" s="1397" t="s">
        <v>1322</v>
      </c>
      <c r="E14" s="1543">
        <f>3.12*2</f>
        <v>6.24</v>
      </c>
      <c r="F14" s="1389">
        <f>VLOOKUP(D14,'AHSP MCK'!D:K,8,FALSE)</f>
        <v>177400</v>
      </c>
      <c r="G14" s="1455">
        <f t="shared" si="0"/>
        <v>1106976</v>
      </c>
    </row>
    <row r="15" spans="1:8" ht="41.4" hidden="1">
      <c r="B15" s="1393" t="s">
        <v>2228</v>
      </c>
      <c r="C15" s="1386" t="s">
        <v>1772</v>
      </c>
      <c r="D15" s="1398" t="s">
        <v>6483</v>
      </c>
      <c r="E15" s="1543"/>
      <c r="F15" s="1389">
        <f>VLOOKUP(D15,'AHSP MCK'!D:K,7,FALSE)</f>
        <v>0</v>
      </c>
      <c r="G15" s="1455">
        <f t="shared" si="0"/>
        <v>0</v>
      </c>
    </row>
    <row r="16" spans="1:8" ht="27.6" hidden="1">
      <c r="B16" s="1393" t="s">
        <v>2248</v>
      </c>
      <c r="C16" s="1386" t="s">
        <v>1772</v>
      </c>
      <c r="D16" s="1390" t="s">
        <v>2249</v>
      </c>
      <c r="E16" s="1543"/>
      <c r="F16" s="1389">
        <f>VLOOKUP(D16,'AHSP MCK'!D:K,7,FALSE)</f>
        <v>0</v>
      </c>
      <c r="G16" s="1455">
        <f t="shared" si="0"/>
        <v>0</v>
      </c>
    </row>
    <row r="17" spans="2:9" ht="27.6" hidden="1">
      <c r="B17" s="1393" t="s">
        <v>2248</v>
      </c>
      <c r="C17" s="1386" t="s">
        <v>1772</v>
      </c>
      <c r="D17" s="1390" t="s">
        <v>2249</v>
      </c>
      <c r="E17" s="1543"/>
      <c r="F17" s="1389">
        <f>VLOOKUP(D17,'AHSP MCK'!D:K,7,FALSE)</f>
        <v>0</v>
      </c>
      <c r="G17" s="1455">
        <f t="shared" si="0"/>
        <v>0</v>
      </c>
    </row>
    <row r="18" spans="2:9" ht="27.6" hidden="1">
      <c r="B18" s="1393" t="s">
        <v>2251</v>
      </c>
      <c r="C18" s="1386" t="s">
        <v>1772</v>
      </c>
      <c r="D18" s="1390" t="s">
        <v>1304</v>
      </c>
      <c r="E18" s="1543"/>
      <c r="F18" s="1389">
        <f>VLOOKUP(D18,'AHSP MCK'!D:K,7,FALSE)</f>
        <v>0</v>
      </c>
      <c r="G18" s="1455">
        <f t="shared" si="0"/>
        <v>0</v>
      </c>
    </row>
    <row r="19" spans="2:9" ht="27.6" hidden="1">
      <c r="B19" s="1393" t="s">
        <v>2252</v>
      </c>
      <c r="C19" s="1386" t="s">
        <v>1772</v>
      </c>
      <c r="D19" s="1390" t="s">
        <v>1305</v>
      </c>
      <c r="E19" s="1543"/>
      <c r="F19" s="1389">
        <f>VLOOKUP(D19,'AHSP MCK'!D:K,7,FALSE)</f>
        <v>0</v>
      </c>
      <c r="G19" s="1455">
        <f t="shared" si="0"/>
        <v>0</v>
      </c>
    </row>
    <row r="20" spans="2:9" ht="27.6" hidden="1">
      <c r="B20" s="1393" t="s">
        <v>2253</v>
      </c>
      <c r="C20" s="1386" t="s">
        <v>1772</v>
      </c>
      <c r="D20" s="1390" t="s">
        <v>1306</v>
      </c>
      <c r="E20" s="1543"/>
      <c r="F20" s="1389">
        <f>VLOOKUP(D20,'AHSP MCK'!D:K,7,FALSE)</f>
        <v>0</v>
      </c>
      <c r="G20" s="1455">
        <f t="shared" si="0"/>
        <v>0</v>
      </c>
    </row>
    <row r="21" spans="2:9" ht="41.4" hidden="1">
      <c r="B21" s="1393" t="s">
        <v>2271</v>
      </c>
      <c r="C21" s="1386" t="s">
        <v>1772</v>
      </c>
      <c r="D21" s="1398" t="s">
        <v>2272</v>
      </c>
      <c r="E21" s="1543"/>
      <c r="F21" s="1389">
        <f>VLOOKUP(D21,'AHSP MCK'!D:K,7,FALSE)</f>
        <v>0</v>
      </c>
      <c r="G21" s="1455">
        <f t="shared" si="0"/>
        <v>0</v>
      </c>
    </row>
    <row r="22" spans="2:9" ht="27.6">
      <c r="B22" s="1393" t="s">
        <v>2331</v>
      </c>
      <c r="C22" s="1386" t="s">
        <v>1772</v>
      </c>
      <c r="D22" s="1398" t="s">
        <v>1317</v>
      </c>
      <c r="E22" s="1543">
        <f>(2.4*2)+(2*1.8)</f>
        <v>8.4</v>
      </c>
      <c r="F22" s="1389">
        <f>VLOOKUP(D22,'AHSP MCK'!D:K,7,FALSE)</f>
        <v>0</v>
      </c>
      <c r="G22" s="1455">
        <f t="shared" si="0"/>
        <v>0</v>
      </c>
    </row>
    <row r="23" spans="2:9" ht="27.6">
      <c r="B23" s="1393" t="s">
        <v>2333</v>
      </c>
      <c r="C23" s="1386" t="s">
        <v>1772</v>
      </c>
      <c r="D23" s="1398" t="s">
        <v>1318</v>
      </c>
      <c r="E23" s="1543">
        <f>(1.9*2)+(1.2*2)+(1.9*2)+(1.5*2)</f>
        <v>13</v>
      </c>
      <c r="F23" s="1389">
        <f>VLOOKUP(D23,'AHSP MCK'!D:K,7,FALSE)</f>
        <v>0</v>
      </c>
      <c r="G23" s="1455">
        <f t="shared" si="0"/>
        <v>0</v>
      </c>
      <c r="I23">
        <f>0.1*0.15*(1.5+1.5+1.9+1.9)</f>
        <v>0.10200000000000001</v>
      </c>
    </row>
    <row r="24" spans="2:9" ht="27.6">
      <c r="B24" s="1393" t="s">
        <v>2354</v>
      </c>
      <c r="C24" s="1386" t="s">
        <v>1772</v>
      </c>
      <c r="D24" s="1398" t="s">
        <v>1270</v>
      </c>
      <c r="E24" s="1543">
        <f>((0.2+0.4)/2*0.4*(1.9+1.9+1.5+1.5))</f>
        <v>0.81600000000000017</v>
      </c>
      <c r="F24" s="1389">
        <f>VLOOKUP(D24,'AHSP MCK'!D:K,7,FALSE)</f>
        <v>0</v>
      </c>
      <c r="G24" s="1455">
        <f t="shared" si="0"/>
        <v>0</v>
      </c>
      <c r="I24">
        <f>I23*2</f>
        <v>0.20400000000000001</v>
      </c>
    </row>
    <row r="25" spans="2:9" ht="13.8">
      <c r="B25" s="1395" t="s">
        <v>2659</v>
      </c>
      <c r="C25" s="1386" t="s">
        <v>1772</v>
      </c>
      <c r="D25" s="1399" t="s">
        <v>2660</v>
      </c>
      <c r="E25" s="1543">
        <f>E14</f>
        <v>6.24</v>
      </c>
      <c r="F25" s="1389">
        <f>VLOOKUP(D25,'AHSP MCK'!D:K,7,FALSE)</f>
        <v>0</v>
      </c>
      <c r="G25" s="1455">
        <f t="shared" si="0"/>
        <v>0</v>
      </c>
    </row>
    <row r="26" spans="2:9" ht="27.6">
      <c r="B26" s="1395" t="s">
        <v>2690</v>
      </c>
      <c r="C26" s="1386" t="s">
        <v>1772</v>
      </c>
      <c r="D26" s="1399" t="s">
        <v>1375</v>
      </c>
      <c r="E26" s="1543">
        <f>3.12+3.12+2+0.5</f>
        <v>8.74</v>
      </c>
      <c r="F26" s="1389">
        <f>VLOOKUP(D26,'AHSP MCK'!D:K,7,FALSE)</f>
        <v>0</v>
      </c>
      <c r="G26" s="1455">
        <f t="shared" si="0"/>
        <v>0</v>
      </c>
    </row>
    <row r="27" spans="2:9" ht="27.6">
      <c r="B27" s="1386" t="s">
        <v>2715</v>
      </c>
      <c r="C27" s="1386" t="s">
        <v>1772</v>
      </c>
      <c r="D27" s="1399" t="s">
        <v>2716</v>
      </c>
      <c r="E27" s="1543">
        <f>1.2*1.6</f>
        <v>1.92</v>
      </c>
      <c r="F27" s="1389">
        <f>VLOOKUP(D27,'AHSP MCK'!D:K,7,FALSE)</f>
        <v>0</v>
      </c>
      <c r="G27" s="1455">
        <f t="shared" si="0"/>
        <v>0</v>
      </c>
    </row>
    <row r="28" spans="2:9" ht="13.8">
      <c r="B28" s="1386" t="s">
        <v>2733</v>
      </c>
      <c r="C28" s="1386" t="s">
        <v>1772</v>
      </c>
      <c r="D28" s="1399" t="s">
        <v>1397</v>
      </c>
      <c r="E28" s="1543"/>
      <c r="F28" s="1389">
        <f>VLOOKUP(D28,'AHSP MCK'!D:K,7,FALSE)</f>
        <v>0</v>
      </c>
      <c r="G28" s="1455">
        <f t="shared" si="0"/>
        <v>0</v>
      </c>
    </row>
    <row r="29" spans="2:9" ht="27.6">
      <c r="B29" s="1386" t="s">
        <v>2737</v>
      </c>
      <c r="C29" s="1386" t="s">
        <v>1772</v>
      </c>
      <c r="D29" s="1399" t="s">
        <v>1399</v>
      </c>
      <c r="E29" s="1543">
        <f>E27</f>
        <v>1.92</v>
      </c>
      <c r="F29" s="1389">
        <f>VLOOKUP(D29,'AHSP MCK'!D:K,7,FALSE)</f>
        <v>0</v>
      </c>
      <c r="G29" s="1455">
        <f t="shared" si="0"/>
        <v>0</v>
      </c>
    </row>
    <row r="30" spans="2:9" ht="27.6">
      <c r="B30" s="1395" t="s">
        <v>2766</v>
      </c>
      <c r="C30" s="1386" t="s">
        <v>1772</v>
      </c>
      <c r="D30" s="1400" t="s">
        <v>1350</v>
      </c>
      <c r="E30" s="1543"/>
      <c r="F30" s="1389">
        <f>VLOOKUP(D30,'AHSP MCK'!D:K,7,FALSE)</f>
        <v>0</v>
      </c>
      <c r="G30" s="1455">
        <f t="shared" si="0"/>
        <v>0</v>
      </c>
    </row>
    <row r="31" spans="2:9" ht="27.6">
      <c r="B31" s="1386" t="s">
        <v>2767</v>
      </c>
      <c r="C31" s="1386" t="s">
        <v>1772</v>
      </c>
      <c r="D31" s="1399" t="s">
        <v>2768</v>
      </c>
      <c r="E31" s="1543">
        <v>2</v>
      </c>
      <c r="F31" s="1389">
        <f>VLOOKUP(D31,'AHSP MCK'!D:K,7,FALSE)</f>
        <v>0</v>
      </c>
      <c r="G31" s="1455">
        <f t="shared" si="0"/>
        <v>0</v>
      </c>
    </row>
    <row r="32" spans="2:9" ht="27.6">
      <c r="B32" s="1386" t="s">
        <v>2772</v>
      </c>
      <c r="C32" s="1386" t="s">
        <v>1772</v>
      </c>
      <c r="D32" s="1400" t="s">
        <v>9217</v>
      </c>
      <c r="E32" s="1543">
        <f>(1.2*2.7)+(1.2*2.1)+(1.6*2.1*2)+(0.5*1.6*0.4*2)-(0.7*2)-(0.2*0.2*2)</f>
        <v>11.64</v>
      </c>
      <c r="F32" s="1389">
        <f>VLOOKUP(D32,'AHSP MCK'!D:K,7,FALSE)</f>
        <v>0</v>
      </c>
      <c r="G32" s="1455">
        <f t="shared" si="0"/>
        <v>0</v>
      </c>
    </row>
    <row r="33" spans="2:7" ht="27.6">
      <c r="B33" s="1395" t="s">
        <v>2789</v>
      </c>
      <c r="C33" s="1386" t="s">
        <v>1772</v>
      </c>
      <c r="D33" s="1400" t="s">
        <v>1381</v>
      </c>
      <c r="E33" s="1543">
        <f>(E32*2)-E38</f>
        <v>18.380000000000003</v>
      </c>
      <c r="F33" s="1389">
        <f>VLOOKUP(D33,'AHSP MCK'!D:K,7,FALSE)</f>
        <v>0</v>
      </c>
      <c r="G33" s="1455">
        <f t="shared" si="0"/>
        <v>0</v>
      </c>
    </row>
    <row r="34" spans="2:7" ht="13.8">
      <c r="B34" s="1395" t="s">
        <v>2792</v>
      </c>
      <c r="C34" s="1386" t="s">
        <v>1772</v>
      </c>
      <c r="D34" s="1400" t="s">
        <v>1384</v>
      </c>
      <c r="E34" s="1543">
        <f>E33</f>
        <v>18.380000000000003</v>
      </c>
      <c r="F34" s="1389">
        <f>VLOOKUP(D34,'AHSP MCK'!D:K,7,FALSE)</f>
        <v>0</v>
      </c>
      <c r="G34" s="1455">
        <f t="shared" si="0"/>
        <v>0</v>
      </c>
    </row>
    <row r="35" spans="2:7" ht="27.6">
      <c r="B35" s="1395" t="s">
        <v>2816</v>
      </c>
      <c r="C35" s="1386" t="s">
        <v>1772</v>
      </c>
      <c r="D35" s="1399" t="s">
        <v>2817</v>
      </c>
      <c r="E35" s="1543">
        <f>E34</f>
        <v>18.380000000000003</v>
      </c>
      <c r="F35" s="1389">
        <f>VLOOKUP(D35,'AHSP MCK'!D:K,7,FALSE)</f>
        <v>0</v>
      </c>
      <c r="G35" s="1455">
        <f t="shared" si="0"/>
        <v>0</v>
      </c>
    </row>
    <row r="36" spans="2:7" ht="27.6">
      <c r="B36" s="1386" t="s">
        <v>2836</v>
      </c>
      <c r="C36" s="1386" t="s">
        <v>1772</v>
      </c>
      <c r="D36" s="1401" t="s">
        <v>2837</v>
      </c>
      <c r="E36" s="1543">
        <f>E29</f>
        <v>1.92</v>
      </c>
      <c r="F36" s="1389">
        <f>VLOOKUP(D36,'AHSP MCK'!D:K,7,FALSE)</f>
        <v>0</v>
      </c>
      <c r="G36" s="1455">
        <f t="shared" si="0"/>
        <v>0</v>
      </c>
    </row>
    <row r="37" spans="2:7" ht="27.6">
      <c r="B37" s="1386" t="s">
        <v>2925</v>
      </c>
      <c r="C37" s="1386" t="s">
        <v>1772</v>
      </c>
      <c r="D37" s="1402" t="s">
        <v>1442</v>
      </c>
      <c r="E37" s="1543">
        <f>2.75*1.5</f>
        <v>4.125</v>
      </c>
      <c r="F37" s="1389">
        <f>VLOOKUP(D37,'AHSP MCK'!D:K,7,FALSE)</f>
        <v>0</v>
      </c>
      <c r="G37" s="1455">
        <f t="shared" si="0"/>
        <v>0</v>
      </c>
    </row>
    <row r="38" spans="2:7" ht="27.6">
      <c r="B38" s="1386" t="s">
        <v>2979</v>
      </c>
      <c r="C38" s="1386" t="s">
        <v>1772</v>
      </c>
      <c r="D38" s="1402" t="s">
        <v>1467</v>
      </c>
      <c r="E38" s="1543">
        <f>(1*(1.2+1.2+1.6+1.6))-(1*0.7)</f>
        <v>4.8999999999999995</v>
      </c>
      <c r="F38" s="1389">
        <f>VLOOKUP(D38,'AHSP MCK'!D:K,7,FALSE)</f>
        <v>0</v>
      </c>
      <c r="G38" s="1455">
        <f t="shared" si="0"/>
        <v>0</v>
      </c>
    </row>
    <row r="39" spans="2:7" ht="27.6">
      <c r="B39" s="1386" t="s">
        <v>3027</v>
      </c>
      <c r="C39" s="1386" t="s">
        <v>1772</v>
      </c>
      <c r="D39" s="1401" t="s">
        <v>1487</v>
      </c>
      <c r="E39" s="1543">
        <f>2*0.7</f>
        <v>1.4</v>
      </c>
      <c r="F39" s="1389">
        <f>VLOOKUP(D39,'AHSP MCK'!D:K,7,FALSE)</f>
        <v>0</v>
      </c>
      <c r="G39" s="1455">
        <f t="shared" si="0"/>
        <v>0</v>
      </c>
    </row>
    <row r="40" spans="2:7" ht="13.8" hidden="1">
      <c r="B40" s="1386" t="s">
        <v>3173</v>
      </c>
      <c r="C40" s="1386" t="s">
        <v>1772</v>
      </c>
      <c r="D40" s="1397" t="s">
        <v>1565</v>
      </c>
      <c r="E40" s="1543"/>
      <c r="F40" s="1389">
        <f>VLOOKUP(D40,'AHSP MCK'!D:K,7,FALSE)</f>
        <v>0</v>
      </c>
      <c r="G40" s="1455">
        <f t="shared" si="0"/>
        <v>0</v>
      </c>
    </row>
    <row r="41" spans="2:7" ht="13.8">
      <c r="B41" s="1386" t="s">
        <v>3186</v>
      </c>
      <c r="C41" s="1386" t="s">
        <v>1772</v>
      </c>
      <c r="D41" s="1397" t="s">
        <v>1560</v>
      </c>
      <c r="E41" s="1543">
        <v>1</v>
      </c>
      <c r="F41" s="1389">
        <f>VLOOKUP(D41,'AHSP MCK'!D:K,7,FALSE)</f>
        <v>0</v>
      </c>
      <c r="G41" s="1455">
        <f t="shared" si="0"/>
        <v>0</v>
      </c>
    </row>
    <row r="42" spans="2:7" ht="13.8">
      <c r="B42" s="1386" t="s">
        <v>3202</v>
      </c>
      <c r="C42" s="1386" t="s">
        <v>1772</v>
      </c>
      <c r="D42" s="1397" t="s">
        <v>1568</v>
      </c>
      <c r="E42" s="1543">
        <v>1</v>
      </c>
      <c r="F42" s="1389">
        <f>VLOOKUP(D42,'AHSP MCK'!D:K,7,FALSE)</f>
        <v>0</v>
      </c>
      <c r="G42" s="1455">
        <f t="shared" si="0"/>
        <v>0</v>
      </c>
    </row>
    <row r="43" spans="2:7" ht="27.6">
      <c r="B43" s="1386" t="s">
        <v>3205</v>
      </c>
      <c r="C43" s="1386" t="s">
        <v>1772</v>
      </c>
      <c r="D43" s="1397" t="s">
        <v>1569</v>
      </c>
      <c r="E43" s="1543">
        <v>1</v>
      </c>
      <c r="F43" s="1389">
        <f>VLOOKUP(D43,'AHSP MCK'!D:K,7,FALSE)</f>
        <v>0</v>
      </c>
      <c r="G43" s="1455">
        <f t="shared" si="0"/>
        <v>0</v>
      </c>
    </row>
    <row r="44" spans="2:7" ht="13.8">
      <c r="B44" s="1386" t="s">
        <v>3243</v>
      </c>
      <c r="C44" s="1386" t="s">
        <v>1772</v>
      </c>
      <c r="D44" s="1397" t="s">
        <v>1651</v>
      </c>
      <c r="E44" s="1543">
        <v>10</v>
      </c>
      <c r="F44" s="1389">
        <f>VLOOKUP(D44,'AHSP MCK'!D:K,7,FALSE)</f>
        <v>0</v>
      </c>
      <c r="G44" s="1455">
        <f t="shared" si="0"/>
        <v>0</v>
      </c>
    </row>
    <row r="45" spans="2:7" ht="13.8">
      <c r="B45" s="1386" t="s">
        <v>3510</v>
      </c>
      <c r="C45" s="1386" t="s">
        <v>1772</v>
      </c>
      <c r="D45" s="1397" t="s">
        <v>3511</v>
      </c>
      <c r="E45" s="1543"/>
      <c r="F45" s="1389">
        <f>VLOOKUP(D45,'AHSP MCK'!D:K,7,FALSE)</f>
        <v>0</v>
      </c>
      <c r="G45" s="1455">
        <f t="shared" si="0"/>
        <v>0</v>
      </c>
    </row>
    <row r="46" spans="2:7" ht="13.8">
      <c r="B46" s="1386" t="s">
        <v>3513</v>
      </c>
      <c r="C46" s="1386" t="s">
        <v>1772</v>
      </c>
      <c r="D46" s="1397" t="s">
        <v>3514</v>
      </c>
      <c r="E46" s="1543">
        <v>1</v>
      </c>
      <c r="F46" s="1389">
        <f>VLOOKUP(D46,'AHSP MCK'!D:K,7,FALSE)</f>
        <v>0</v>
      </c>
      <c r="G46" s="1455">
        <f t="shared" si="0"/>
        <v>0</v>
      </c>
    </row>
    <row r="47" spans="2:7" ht="27.6">
      <c r="B47" s="1386" t="s">
        <v>3530</v>
      </c>
      <c r="C47" s="1386" t="s">
        <v>1772</v>
      </c>
      <c r="D47" s="1397" t="s">
        <v>9066</v>
      </c>
      <c r="E47" s="1543">
        <v>1</v>
      </c>
      <c r="F47" s="1389">
        <f>VLOOKUP(D47,'AHSP MCK'!D:K,7,FALSE)</f>
        <v>0</v>
      </c>
      <c r="G47" s="1455">
        <f t="shared" si="0"/>
        <v>0</v>
      </c>
    </row>
    <row r="48" spans="2:7" ht="13.8">
      <c r="B48" s="1386" t="s">
        <v>3549</v>
      </c>
      <c r="C48" s="1386" t="s">
        <v>1772</v>
      </c>
      <c r="D48" s="1397" t="s">
        <v>3548</v>
      </c>
      <c r="E48" s="1543"/>
      <c r="F48" s="1389">
        <f>VLOOKUP(D48,'AHSP MCK'!D:K,7,FALSE)</f>
        <v>0</v>
      </c>
      <c r="G48" s="1455">
        <f t="shared" si="0"/>
        <v>0</v>
      </c>
    </row>
    <row r="49" spans="2:7" ht="13.8">
      <c r="B49" s="1386" t="s">
        <v>3568</v>
      </c>
      <c r="C49" s="1386" t="s">
        <v>1772</v>
      </c>
      <c r="D49" s="1397" t="s">
        <v>5814</v>
      </c>
      <c r="E49" s="1543">
        <v>2</v>
      </c>
      <c r="F49" s="1389">
        <f>VLOOKUP(D49,'AHSP MCK'!D:K,7,FALSE)</f>
        <v>0</v>
      </c>
      <c r="G49" s="1455">
        <f t="shared" si="0"/>
        <v>0</v>
      </c>
    </row>
    <row r="50" spans="2:7" ht="13.8">
      <c r="B50" s="1386" t="s">
        <v>5874</v>
      </c>
      <c r="C50" s="1386" t="s">
        <v>1772</v>
      </c>
      <c r="D50" s="1397" t="s">
        <v>5875</v>
      </c>
      <c r="E50" s="1543">
        <v>2</v>
      </c>
      <c r="F50" s="1389">
        <f>VLOOKUP(D50,'AHSP MCK'!D:K,7,FALSE)</f>
        <v>0</v>
      </c>
      <c r="G50" s="1455">
        <f t="shared" si="0"/>
        <v>0</v>
      </c>
    </row>
    <row r="51" spans="2:7" ht="27.6">
      <c r="B51" s="1386" t="s">
        <v>3604</v>
      </c>
      <c r="C51" s="1386" t="s">
        <v>1772</v>
      </c>
      <c r="D51" s="1397" t="s">
        <v>8066</v>
      </c>
      <c r="E51" s="1543">
        <v>4</v>
      </c>
      <c r="F51" s="1389">
        <f>VLOOKUP(D51,'AHSP MCK'!D:K,7,FALSE)</f>
        <v>0</v>
      </c>
      <c r="G51" s="1455">
        <f t="shared" si="0"/>
        <v>0</v>
      </c>
    </row>
    <row r="52" spans="2:7" ht="27.6">
      <c r="B52" s="1386" t="s">
        <v>3605</v>
      </c>
      <c r="C52" s="1386" t="s">
        <v>1772</v>
      </c>
      <c r="D52" s="1397" t="s">
        <v>8065</v>
      </c>
      <c r="E52" s="1543">
        <v>4</v>
      </c>
      <c r="F52" s="1389">
        <f>VLOOKUP(D52,'AHSP MCK'!D:K,7,FALSE)</f>
        <v>0</v>
      </c>
      <c r="G52" s="1455">
        <f t="shared" si="0"/>
        <v>0</v>
      </c>
    </row>
    <row r="53" spans="2:7" ht="27.6" hidden="1">
      <c r="B53" s="1386" t="s">
        <v>3606</v>
      </c>
      <c r="C53" s="1386" t="s">
        <v>1772</v>
      </c>
      <c r="D53" s="1397" t="s">
        <v>8067</v>
      </c>
      <c r="E53" s="1543"/>
      <c r="F53" s="1389">
        <f>VLOOKUP(D53,'AHSP MCK'!D:K,7,FALSE)</f>
        <v>0</v>
      </c>
      <c r="G53" s="1455">
        <f t="shared" si="0"/>
        <v>0</v>
      </c>
    </row>
    <row r="54" spans="2:7" ht="27.6" hidden="1">
      <c r="B54" s="1393" t="s">
        <v>3609</v>
      </c>
      <c r="C54" s="1386" t="s">
        <v>1772</v>
      </c>
      <c r="D54" s="1397" t="s">
        <v>8073</v>
      </c>
      <c r="E54" s="1543"/>
      <c r="F54" s="1389">
        <f>VLOOKUP(D54,'AHSP MCK'!D:K,7,FALSE)</f>
        <v>0</v>
      </c>
      <c r="G54" s="1455">
        <f t="shared" si="0"/>
        <v>0</v>
      </c>
    </row>
    <row r="55" spans="2:7" ht="27.6">
      <c r="B55" s="1393" t="s">
        <v>3611</v>
      </c>
      <c r="C55" s="1386" t="s">
        <v>1772</v>
      </c>
      <c r="D55" s="1397" t="s">
        <v>8077</v>
      </c>
      <c r="E55" s="1543">
        <v>4</v>
      </c>
      <c r="F55" s="1389">
        <f>VLOOKUP(D55,'AHSP MCK'!D:K,7,FALSE)</f>
        <v>0</v>
      </c>
      <c r="G55" s="1455">
        <f t="shared" si="0"/>
        <v>0</v>
      </c>
    </row>
    <row r="56" spans="2:7" ht="13.8" hidden="1">
      <c r="B56" s="1395" t="s">
        <v>3748</v>
      </c>
      <c r="C56" s="1386" t="s">
        <v>1772</v>
      </c>
      <c r="D56" s="1399" t="s">
        <v>1581</v>
      </c>
      <c r="E56" s="1388"/>
      <c r="F56" s="1389">
        <f>VLOOKUP(D56,'AHSP MCK'!D:K,7,FALSE)</f>
        <v>0</v>
      </c>
      <c r="G56" s="1455">
        <f t="shared" si="0"/>
        <v>0</v>
      </c>
    </row>
    <row r="57" spans="2:7" ht="13.8" hidden="1">
      <c r="B57" s="1395" t="s">
        <v>3749</v>
      </c>
      <c r="C57" s="1386" t="s">
        <v>1772</v>
      </c>
      <c r="D57" s="1399" t="s">
        <v>1582</v>
      </c>
      <c r="E57" s="1388"/>
      <c r="F57" s="1389">
        <f>VLOOKUP(D57,'AHSP MCK'!D:K,7,FALSE)</f>
        <v>0</v>
      </c>
      <c r="G57" s="1455">
        <f t="shared" si="0"/>
        <v>0</v>
      </c>
    </row>
    <row r="58" spans="2:7" ht="13.8" hidden="1">
      <c r="B58" s="1395" t="s">
        <v>8088</v>
      </c>
      <c r="C58" s="1386" t="s">
        <v>1772</v>
      </c>
      <c r="D58" s="1399" t="s">
        <v>3760</v>
      </c>
      <c r="E58" s="1388"/>
      <c r="F58" s="1389">
        <f>VLOOKUP(D58,'AHSP MCK'!D:K,7,FALSE)</f>
        <v>0</v>
      </c>
      <c r="G58" s="1455">
        <f t="shared" si="0"/>
        <v>0</v>
      </c>
    </row>
    <row r="59" spans="2:7" ht="13.8" hidden="1">
      <c r="B59" s="1395" t="s">
        <v>3767</v>
      </c>
      <c r="C59" s="1386" t="s">
        <v>1772</v>
      </c>
      <c r="D59" s="1399" t="s">
        <v>1592</v>
      </c>
      <c r="E59" s="1388"/>
      <c r="F59" s="1389">
        <f>VLOOKUP(D59,'AHSP MCK'!D:K,7,FALSE)</f>
        <v>0</v>
      </c>
      <c r="G59" s="1455">
        <f t="shared" si="0"/>
        <v>0</v>
      </c>
    </row>
    <row r="60" spans="2:7" ht="27.6" hidden="1">
      <c r="B60" s="1386" t="s">
        <v>4441</v>
      </c>
      <c r="C60" s="1386" t="s">
        <v>1772</v>
      </c>
      <c r="D60" s="1399" t="s">
        <v>4442</v>
      </c>
      <c r="E60" s="1388"/>
      <c r="F60" s="1389">
        <f>VLOOKUP(D60,'AHSP MCK'!D:K,7,FALSE)</f>
        <v>0</v>
      </c>
      <c r="G60" s="1455">
        <f t="shared" si="0"/>
        <v>0</v>
      </c>
    </row>
    <row r="61" spans="2:7">
      <c r="B61" s="1847" t="s">
        <v>9073</v>
      </c>
      <c r="C61" s="1847"/>
      <c r="D61" s="1847"/>
      <c r="E61" s="1847"/>
      <c r="F61" s="1847"/>
      <c r="G61" s="1847"/>
    </row>
    <row r="62" spans="2:7" ht="41.4">
      <c r="B62" s="1391" t="s">
        <v>1810</v>
      </c>
      <c r="C62" s="1386" t="s">
        <v>9068</v>
      </c>
      <c r="D62" s="1392" t="s">
        <v>1956</v>
      </c>
      <c r="E62" s="1542">
        <f>2.45*1.5*1.3</f>
        <v>4.7775000000000007</v>
      </c>
      <c r="F62" s="1389">
        <f>VLOOKUP(D62,'AHSP MCK'!D:K,8,FALSE)</f>
        <v>89100</v>
      </c>
      <c r="G62" s="1455">
        <f t="shared" si="0"/>
        <v>425675.25000000006</v>
      </c>
    </row>
    <row r="63" spans="2:7" ht="27.6">
      <c r="B63" s="1395" t="s">
        <v>2112</v>
      </c>
      <c r="C63" s="1386" t="s">
        <v>9068</v>
      </c>
      <c r="D63" s="1396" t="s">
        <v>2118</v>
      </c>
      <c r="E63" s="1543">
        <f>E62</f>
        <v>4.7775000000000007</v>
      </c>
      <c r="F63" s="1389">
        <f>VLOOKUP(D63,'AHSP MCK'!D:K,8,FALSE)</f>
        <v>26700</v>
      </c>
      <c r="G63" s="1455">
        <f t="shared" si="0"/>
        <v>127559.25000000001</v>
      </c>
    </row>
    <row r="64" spans="2:7" ht="39.6">
      <c r="B64" s="1425" t="s">
        <v>2225</v>
      </c>
      <c r="C64" s="1386" t="s">
        <v>1772</v>
      </c>
      <c r="D64" s="1426" t="s">
        <v>6470</v>
      </c>
      <c r="E64" s="1543">
        <f>Vol!B13</f>
        <v>7.11</v>
      </c>
      <c r="F64" s="1389">
        <f>VLOOKUP(D64,'AHSP MCK'!D:K,7,FALSE)</f>
        <v>0</v>
      </c>
      <c r="G64" s="1455">
        <f t="shared" si="0"/>
        <v>0</v>
      </c>
    </row>
    <row r="65" spans="2:7" ht="41.4">
      <c r="B65" s="1393" t="s">
        <v>2271</v>
      </c>
      <c r="C65" s="1386" t="s">
        <v>1772</v>
      </c>
      <c r="D65" s="1398" t="s">
        <v>2272</v>
      </c>
      <c r="E65" s="1543">
        <f>1.3*1.3*0.07</f>
        <v>0.11830000000000002</v>
      </c>
      <c r="F65" s="1389">
        <f>VLOOKUP(D65,'AHSP MCK'!D:K,7,FALSE)</f>
        <v>0</v>
      </c>
      <c r="G65" s="1455">
        <f t="shared" si="0"/>
        <v>0</v>
      </c>
    </row>
    <row r="66" spans="2:7" ht="26.4" hidden="1">
      <c r="B66" s="1425" t="s">
        <v>2254</v>
      </c>
      <c r="C66" s="1386" t="s">
        <v>1772</v>
      </c>
      <c r="D66" s="1427" t="s">
        <v>1307</v>
      </c>
      <c r="E66" s="1543"/>
      <c r="F66" s="1389">
        <f>VLOOKUP(D66,'AHSP MCK'!D:K,7,FALSE)</f>
        <v>0</v>
      </c>
      <c r="G66" s="1455">
        <f t="shared" si="0"/>
        <v>0</v>
      </c>
    </row>
    <row r="67" spans="2:7" ht="13.2" customHeight="1">
      <c r="B67" s="1388" t="s">
        <v>2253</v>
      </c>
      <c r="C67" s="1386" t="s">
        <v>1772</v>
      </c>
      <c r="D67" s="1427" t="s">
        <v>1306</v>
      </c>
      <c r="E67" s="1543">
        <f>2.45*1.3</f>
        <v>3.1850000000000005</v>
      </c>
      <c r="F67" s="1389">
        <f>VLOOKUP(D67,'AHSP MCK'!D:K,7,FALSE)</f>
        <v>0</v>
      </c>
      <c r="G67" s="1455">
        <f t="shared" si="0"/>
        <v>0</v>
      </c>
    </row>
    <row r="68" spans="2:7" ht="13.2" customHeight="1">
      <c r="B68" s="1388" t="s">
        <v>2772</v>
      </c>
      <c r="C68" s="1386" t="s">
        <v>1772</v>
      </c>
      <c r="D68" s="1426" t="s">
        <v>9217</v>
      </c>
      <c r="E68" s="1543">
        <f>(2.45*1.5*2)+(1.3*1.5*3)+(1.2*1)</f>
        <v>14.4</v>
      </c>
      <c r="F68" s="1389">
        <f>VLOOKUP(D68,'AHSP MCK'!D:K,7,FALSE)</f>
        <v>0</v>
      </c>
      <c r="G68" s="1455">
        <f t="shared" si="0"/>
        <v>0</v>
      </c>
    </row>
    <row r="69" spans="2:7" ht="27.6">
      <c r="B69" s="1393" t="s">
        <v>2331</v>
      </c>
      <c r="C69" s="1386" t="s">
        <v>1772</v>
      </c>
      <c r="D69" s="1398" t="s">
        <v>1317</v>
      </c>
      <c r="E69" s="1543">
        <f>1.5*4</f>
        <v>6</v>
      </c>
      <c r="F69" s="1389">
        <f>VLOOKUP(D69,'AHSP MCK'!D:K,7,FALSE)</f>
        <v>0</v>
      </c>
      <c r="G69" s="1455">
        <f t="shared" si="0"/>
        <v>0</v>
      </c>
    </row>
    <row r="70" spans="2:7" ht="27.6">
      <c r="B70" s="1393" t="s">
        <v>2333</v>
      </c>
      <c r="C70" s="1386" t="s">
        <v>1772</v>
      </c>
      <c r="D70" s="1398" t="s">
        <v>1318</v>
      </c>
      <c r="E70" s="1543"/>
      <c r="F70" s="1389">
        <f>VLOOKUP(D70,'AHSP MCK'!D:K,7,FALSE)</f>
        <v>0</v>
      </c>
      <c r="G70" s="1455">
        <f t="shared" si="0"/>
        <v>0</v>
      </c>
    </row>
    <row r="71" spans="2:7" ht="13.8">
      <c r="B71" s="1395" t="s">
        <v>2792</v>
      </c>
      <c r="C71" s="1386" t="s">
        <v>1772</v>
      </c>
      <c r="D71" s="1400" t="s">
        <v>1384</v>
      </c>
      <c r="E71" s="1543">
        <f>E68/2</f>
        <v>7.2</v>
      </c>
      <c r="F71" s="1389">
        <f>VLOOKUP(D71,'AHSP MCK'!D:K,7,FALSE)</f>
        <v>0</v>
      </c>
      <c r="G71" s="1455">
        <f t="shared" si="0"/>
        <v>0</v>
      </c>
    </row>
    <row r="72" spans="2:7" ht="27.6">
      <c r="B72" s="1395" t="s">
        <v>2789</v>
      </c>
      <c r="C72" s="1386" t="s">
        <v>1772</v>
      </c>
      <c r="D72" s="1400" t="s">
        <v>1381</v>
      </c>
      <c r="E72" s="1543">
        <f>E71</f>
        <v>7.2</v>
      </c>
      <c r="F72" s="1389">
        <f>VLOOKUP(D72,'AHSP MCK'!D:K,7,FALSE)</f>
        <v>0</v>
      </c>
      <c r="G72" s="1455">
        <f t="shared" ref="G72" si="1">E72*F72</f>
        <v>0</v>
      </c>
    </row>
    <row r="73" spans="2:7" ht="27.6">
      <c r="B73" s="1395" t="s">
        <v>2816</v>
      </c>
      <c r="C73" s="1386" t="s">
        <v>1772</v>
      </c>
      <c r="D73" s="1399" t="s">
        <v>2817</v>
      </c>
      <c r="E73" s="1543">
        <f>2.45*1.3</f>
        <v>3.1850000000000005</v>
      </c>
      <c r="F73" s="1389">
        <f>VLOOKUP(D73,'AHSP MCK'!D:K,7,FALSE)</f>
        <v>0</v>
      </c>
      <c r="G73" s="1455">
        <f t="shared" si="0"/>
        <v>0</v>
      </c>
    </row>
    <row r="74" spans="2:7" ht="27.6">
      <c r="B74" s="1386" t="s">
        <v>3606</v>
      </c>
      <c r="C74" s="1386" t="s">
        <v>1772</v>
      </c>
      <c r="D74" s="1397" t="s">
        <v>8067</v>
      </c>
      <c r="E74" s="1543">
        <v>1.5</v>
      </c>
      <c r="F74" s="1389">
        <v>47400</v>
      </c>
      <c r="G74" s="1455">
        <f t="shared" ref="G74:G75" si="2">E74*F74</f>
        <v>71100</v>
      </c>
    </row>
    <row r="75" spans="2:7" ht="27.6">
      <c r="B75" s="1393" t="s">
        <v>3611</v>
      </c>
      <c r="C75" s="1386" t="s">
        <v>1772</v>
      </c>
      <c r="D75" s="1397" t="s">
        <v>8077</v>
      </c>
      <c r="E75" s="1543">
        <v>4</v>
      </c>
      <c r="F75" s="1389">
        <v>169300</v>
      </c>
      <c r="G75" s="1455">
        <f t="shared" si="2"/>
        <v>677200</v>
      </c>
    </row>
    <row r="76" spans="2:7" ht="26.4">
      <c r="B76" s="1388"/>
      <c r="C76" s="1388"/>
      <c r="D76" s="1427" t="s">
        <v>9062</v>
      </c>
      <c r="E76" s="1543">
        <v>1</v>
      </c>
      <c r="F76" s="1389">
        <f>VLOOKUP(D76,'AHSP MCK'!D:K,7,FALSE)</f>
        <v>0</v>
      </c>
      <c r="G76" s="1455"/>
    </row>
    <row r="77" spans="2:7">
      <c r="B77" s="1844" t="s">
        <v>9096</v>
      </c>
      <c r="C77" s="1844"/>
      <c r="D77" s="1844"/>
      <c r="E77" s="1844"/>
      <c r="F77" s="1844"/>
      <c r="G77" s="1844"/>
    </row>
    <row r="78" spans="2:7">
      <c r="B78" s="1538"/>
      <c r="C78" s="1538"/>
      <c r="D78" s="1538" t="s">
        <v>9109</v>
      </c>
      <c r="E78" s="1538"/>
      <c r="F78" s="1538"/>
      <c r="G78" s="1538"/>
    </row>
    <row r="79" spans="2:7" ht="26.4">
      <c r="B79" s="1388"/>
      <c r="C79" s="1388"/>
      <c r="D79" s="1427" t="s">
        <v>9097</v>
      </c>
      <c r="E79" s="1388">
        <v>3</v>
      </c>
      <c r="F79" s="1540">
        <f>SMKK!H17</f>
        <v>10000</v>
      </c>
      <c r="G79" s="1455">
        <f t="shared" ref="G79:G80" si="3">E79*F79</f>
        <v>30000</v>
      </c>
    </row>
    <row r="80" spans="2:7" ht="26.4">
      <c r="B80" s="1388"/>
      <c r="C80" s="1388"/>
      <c r="D80" s="1427" t="s">
        <v>9098</v>
      </c>
      <c r="E80" s="1388">
        <v>3</v>
      </c>
      <c r="F80" s="1540">
        <f>SMKK!H18</f>
        <v>10000</v>
      </c>
      <c r="G80" s="1455">
        <f t="shared" si="3"/>
        <v>30000</v>
      </c>
    </row>
    <row r="81" spans="2:7">
      <c r="B81" s="1388"/>
      <c r="C81" s="1388"/>
      <c r="D81" s="1539" t="s">
        <v>9108</v>
      </c>
      <c r="E81" s="1388"/>
      <c r="F81" s="1388"/>
      <c r="G81" s="1455"/>
    </row>
    <row r="82" spans="2:7" ht="26.4">
      <c r="B82" s="1388"/>
      <c r="C82" s="1388"/>
      <c r="D82" s="1427" t="s">
        <v>9098</v>
      </c>
      <c r="E82" s="1388">
        <v>3</v>
      </c>
      <c r="F82" s="1388"/>
      <c r="G82" s="1455"/>
    </row>
    <row r="83" spans="2:7">
      <c r="B83" s="1388"/>
      <c r="C83" s="1388"/>
      <c r="D83" s="1539" t="s">
        <v>9107</v>
      </c>
      <c r="E83" s="1388"/>
      <c r="F83" s="1388"/>
      <c r="G83" s="1455"/>
    </row>
    <row r="84" spans="2:7">
      <c r="B84" s="1388"/>
      <c r="C84" s="1388"/>
      <c r="D84" s="1427" t="s">
        <v>9099</v>
      </c>
      <c r="E84" s="1388">
        <v>3</v>
      </c>
      <c r="F84" s="1540">
        <f>SMKK!H28</f>
        <v>25000</v>
      </c>
      <c r="G84" s="1455">
        <f t="shared" ref="G84:G87" si="4">E84*F84</f>
        <v>75000</v>
      </c>
    </row>
    <row r="85" spans="2:7">
      <c r="B85" s="1388"/>
      <c r="C85" s="1388"/>
      <c r="D85" s="1427" t="s">
        <v>9100</v>
      </c>
      <c r="E85" s="1388">
        <v>3</v>
      </c>
      <c r="F85" s="1540">
        <f>SMKK!H29</f>
        <v>10000</v>
      </c>
      <c r="G85" s="1455">
        <f t="shared" si="4"/>
        <v>30000</v>
      </c>
    </row>
    <row r="86" spans="2:7">
      <c r="B86" s="1388"/>
      <c r="C86" s="1388"/>
      <c r="D86" s="1427" t="s">
        <v>9101</v>
      </c>
      <c r="E86" s="1388">
        <v>3</v>
      </c>
      <c r="F86" s="1540">
        <f>SMKK!H30</f>
        <v>87500</v>
      </c>
      <c r="G86" s="1455">
        <f t="shared" si="4"/>
        <v>262500</v>
      </c>
    </row>
    <row r="87" spans="2:7">
      <c r="B87" s="1388"/>
      <c r="C87" s="1388"/>
      <c r="D87" s="1427" t="s">
        <v>9102</v>
      </c>
      <c r="E87" s="1388">
        <v>3</v>
      </c>
      <c r="F87" s="1540">
        <f>SMKK!H31</f>
        <v>10000</v>
      </c>
      <c r="G87" s="1455">
        <f t="shared" si="4"/>
        <v>30000</v>
      </c>
    </row>
    <row r="88" spans="2:7">
      <c r="B88" s="1388"/>
      <c r="C88" s="1388"/>
      <c r="D88" s="1539" t="s">
        <v>9106</v>
      </c>
      <c r="E88" s="1388"/>
      <c r="F88" s="1388"/>
      <c r="G88" s="1455"/>
    </row>
    <row r="89" spans="2:7">
      <c r="B89" s="1388"/>
      <c r="C89" s="1388"/>
      <c r="D89" s="1427" t="s">
        <v>9103</v>
      </c>
      <c r="E89" s="1388">
        <v>1</v>
      </c>
      <c r="F89" s="1388"/>
      <c r="G89" s="1455"/>
    </row>
    <row r="90" spans="2:7" ht="26.4">
      <c r="B90" s="1388"/>
      <c r="C90" s="1388"/>
      <c r="D90" s="1539" t="s">
        <v>9105</v>
      </c>
      <c r="E90" s="1388"/>
      <c r="F90" s="1388"/>
      <c r="G90" s="1455"/>
    </row>
    <row r="91" spans="2:7" ht="26.4">
      <c r="B91" s="1388"/>
      <c r="C91" s="1388"/>
      <c r="D91" s="1427" t="s">
        <v>9104</v>
      </c>
      <c r="E91" s="1388">
        <v>1</v>
      </c>
      <c r="F91" s="1540">
        <f>SMKK!H42</f>
        <v>190000</v>
      </c>
      <c r="G91" s="1455">
        <f t="shared" ref="G91" si="5">E91*F91</f>
        <v>190000</v>
      </c>
    </row>
  </sheetData>
  <mergeCells count="6">
    <mergeCell ref="B77:G77"/>
    <mergeCell ref="B2:G2"/>
    <mergeCell ref="B3:G3"/>
    <mergeCell ref="B4:G4"/>
    <mergeCell ref="B61:G61"/>
    <mergeCell ref="B7:F7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605"/>
  <sheetViews>
    <sheetView view="pageBreakPreview" topLeftCell="A392" zoomScale="67" zoomScaleNormal="103" zoomScaleSheetLayoutView="103" workbookViewId="0">
      <selection activeCell="C507" sqref="C507"/>
    </sheetView>
  </sheetViews>
  <sheetFormatPr defaultColWidth="8.88671875" defaultRowHeight="13.8"/>
  <cols>
    <col min="1" max="1" width="7.6640625" style="59" customWidth="1"/>
    <col min="2" max="2" width="10.88671875" style="3" customWidth="1"/>
    <col min="3" max="3" width="139" style="4" customWidth="1"/>
    <col min="4" max="4" width="12.6640625" style="4" customWidth="1"/>
    <col min="5" max="5" width="27" style="14" customWidth="1"/>
    <col min="6" max="6" width="23.88671875" style="4" hidden="1" customWidth="1"/>
    <col min="7" max="7" width="149.88671875" style="2" hidden="1" customWidth="1"/>
    <col min="8" max="8" width="9" style="59" customWidth="1"/>
    <col min="9" max="9" width="18.44140625" style="2" customWidth="1"/>
    <col min="10" max="16384" width="8.88671875" style="2"/>
  </cols>
  <sheetData>
    <row r="1" spans="2:9">
      <c r="B1" s="54"/>
      <c r="C1" s="45"/>
      <c r="D1" s="45"/>
      <c r="E1" s="280"/>
    </row>
    <row r="2" spans="2:9" ht="15" customHeight="1">
      <c r="B2" s="1845" t="s">
        <v>1771</v>
      </c>
      <c r="C2" s="1845"/>
      <c r="D2" s="1845"/>
      <c r="E2" s="1845"/>
      <c r="F2" s="7"/>
      <c r="G2" s="7"/>
    </row>
    <row r="3" spans="2:9" ht="15" customHeight="1">
      <c r="B3" s="1846" t="s">
        <v>1772</v>
      </c>
      <c r="C3" s="1846"/>
      <c r="D3" s="1846"/>
      <c r="E3" s="1846"/>
      <c r="F3" s="8"/>
      <c r="G3" s="8"/>
    </row>
    <row r="4" spans="2:9" ht="15" customHeight="1">
      <c r="B4" s="1846" t="s">
        <v>6447</v>
      </c>
      <c r="C4" s="1846"/>
      <c r="D4" s="1846"/>
      <c r="E4" s="1846"/>
      <c r="F4" s="8"/>
      <c r="G4" s="8"/>
    </row>
    <row r="5" spans="2:9" ht="14.4" thickBot="1">
      <c r="B5" s="95"/>
      <c r="C5" s="1069"/>
      <c r="D5" s="95"/>
      <c r="E5" s="307"/>
      <c r="F5" s="6"/>
    </row>
    <row r="6" spans="2:9" ht="28.2" customHeight="1" thickTop="1" thickBot="1">
      <c r="B6" s="1061" t="s">
        <v>0</v>
      </c>
      <c r="C6" s="1066" t="s">
        <v>1760</v>
      </c>
      <c r="D6" s="1067" t="s">
        <v>1192</v>
      </c>
      <c r="E6" s="1068" t="s">
        <v>1</v>
      </c>
      <c r="F6" s="1851" t="s">
        <v>2</v>
      </c>
      <c r="G6" s="1852"/>
    </row>
    <row r="7" spans="2:9" ht="26.1" customHeight="1" thickTop="1">
      <c r="B7" s="1062" t="str">
        <f>Persiapan!C2</f>
        <v>1.</v>
      </c>
      <c r="C7" s="1063" t="str">
        <f>VLOOKUP(B7,Persiapan!C:M,2,FALSE)</f>
        <v xml:space="preserve">PERSIAPAN LAPANGAN / SITE WORK </v>
      </c>
      <c r="D7" s="1064"/>
      <c r="E7" s="1065"/>
      <c r="F7" s="1853"/>
      <c r="G7" s="1854"/>
    </row>
    <row r="8" spans="2:9" ht="24" customHeight="1">
      <c r="B8" s="1086" t="str">
        <f>Persiapan!C3</f>
        <v>1.1</v>
      </c>
      <c r="C8" s="980" t="str">
        <f>VLOOKUP(B8,Persiapan!C:M,2,FALSE)</f>
        <v>PEKERJAAN PERSIAPAN</v>
      </c>
      <c r="D8" s="981"/>
      <c r="E8" s="1020"/>
      <c r="F8" s="1849"/>
      <c r="G8" s="1850"/>
    </row>
    <row r="9" spans="2:9" ht="24" customHeight="1">
      <c r="B9" s="1086" t="str">
        <f>Persiapan!C4</f>
        <v>1.1.1</v>
      </c>
      <c r="C9" s="980" t="str">
        <f>VLOOKUP(B9,Persiapan!C:M,2,FALSE)</f>
        <v>Pembuatan Pagar Proyek</v>
      </c>
      <c r="D9" s="981"/>
      <c r="E9" s="1020"/>
      <c r="F9" s="1087"/>
      <c r="G9" s="1088"/>
    </row>
    <row r="10" spans="2:9" ht="24" customHeight="1">
      <c r="B10" s="1089" t="str">
        <f>Persiapan!C5</f>
        <v>1.1.1.1</v>
      </c>
      <c r="C10" s="12" t="str">
        <f>VLOOKUP(B10,Persiapan!C:M,2,FALSE)</f>
        <v>Pembuatan 1 m’ pagar sementara dari kayu tinggi 2 meter</v>
      </c>
      <c r="D10" s="10" t="s">
        <v>113</v>
      </c>
      <c r="E10" s="1021">
        <f>VLOOKUP(C10,Persiapan!$D$5:$K$679,8,FALSE)</f>
        <v>348000</v>
      </c>
      <c r="F10" s="1003" t="str">
        <f>VLOOKUP(C10,Persiapan!$D$5:$M$679,10,FALSE)</f>
        <v xml:space="preserve"> -</v>
      </c>
      <c r="G10" s="12" t="str">
        <f>VLOOKUP(C10,Persiapan!$D$5:$L$679,9,FALSE)</f>
        <v xml:space="preserve"> -</v>
      </c>
      <c r="H10" s="374"/>
      <c r="I10" s="16"/>
    </row>
    <row r="11" spans="2:9" ht="24" customHeight="1">
      <c r="B11" s="1089" t="str">
        <f>Persiapan!C30</f>
        <v>1.1.1.2</v>
      </c>
      <c r="C11" s="12" t="str">
        <f>VLOOKUP(B11,Persiapan!C:M,2,FALSE)</f>
        <v>Pembuatan 1 m’ pagar sementara dari seng gelombang rangka kayu tinggi 2 meter</v>
      </c>
      <c r="D11" s="10" t="s">
        <v>113</v>
      </c>
      <c r="E11" s="1021">
        <f>VLOOKUP(C11,Persiapan!$D$5:$K$679,8,FALSE)</f>
        <v>245600</v>
      </c>
      <c r="F11" s="1003">
        <f>VLOOKUP(C11,Persiapan!$D$5:$M$679,10,FALSE)</f>
        <v>0</v>
      </c>
      <c r="G11" s="12">
        <f>VLOOKUP(C11,Persiapan!$D$5:$L$679,9,FALSE)</f>
        <v>0</v>
      </c>
      <c r="H11" s="374"/>
      <c r="I11" s="16"/>
    </row>
    <row r="12" spans="2:9" ht="24" customHeight="1">
      <c r="B12" s="1089" t="str">
        <f>Persiapan!C54</f>
        <v>1.1.1.3</v>
      </c>
      <c r="C12" s="12" t="str">
        <f>VLOOKUP(B12,Persiapan!C:M,2,FALSE)</f>
        <v>Pembuatan 1 m’ pagar sementara dari kawat duri tinggi 2 meter</v>
      </c>
      <c r="D12" s="10" t="s">
        <v>113</v>
      </c>
      <c r="E12" s="1021">
        <f>VLOOKUP(C12,Persiapan!$D$5:$K$679,8,FALSE)</f>
        <v>206200</v>
      </c>
      <c r="F12" s="1003" t="str">
        <f>VLOOKUP(C12,Persiapan!$D$5:$M$679,10,FALSE)</f>
        <v>Revisis</v>
      </c>
      <c r="G12" s="12" t="str">
        <f>VLOOKUP(C12,Persiapan!$D$5:$L$679,9,FALSE)</f>
        <v>tidak ada perubahan</v>
      </c>
      <c r="H12" s="374"/>
      <c r="I12" s="16"/>
    </row>
    <row r="13" spans="2:9" ht="24" customHeight="1">
      <c r="B13" s="1089" t="str">
        <f>Persiapan!C78</f>
        <v>1.1.1.4</v>
      </c>
      <c r="C13" s="12" t="str">
        <f>VLOOKUP(B13,Persiapan!C:M,2,FALSE)</f>
        <v>Pembuatan 1 m’ pagar sementara  seng gelombang rangka baja L.40.40.4 tinggi pagar 1.8 meter</v>
      </c>
      <c r="D13" s="10" t="s">
        <v>113</v>
      </c>
      <c r="E13" s="1021">
        <f>VLOOKUP(C13,Persiapan!$D$5:$K$679,8,FALSE)</f>
        <v>275500</v>
      </c>
      <c r="F13" s="1003" t="str">
        <f>VLOOKUP(C13,Persiapan!$D$5:$M$679,10,FALSE)</f>
        <v xml:space="preserve"> -</v>
      </c>
      <c r="G13" s="12" t="str">
        <f>VLOOKUP(C13,Persiapan!$D$5:$L$679,9,FALSE)</f>
        <v xml:space="preserve"> -</v>
      </c>
      <c r="H13" s="374"/>
      <c r="I13" s="16"/>
    </row>
    <row r="14" spans="2:9" ht="24" customHeight="1">
      <c r="B14" s="1089" t="str">
        <f>Persiapan!C98</f>
        <v>1.1.1.5</v>
      </c>
      <c r="C14" s="12" t="str">
        <f>VLOOKUP(B14,Persiapan!C:M,2,FALSE)</f>
        <v>Pembuatan 1 m2 pagar BRC Galvanis</v>
      </c>
      <c r="D14" s="9" t="s">
        <v>62</v>
      </c>
      <c r="E14" s="1021" t="e">
        <f>VLOOKUP(C14,Persiapan!$D$5:$K$679,8,FALSE)</f>
        <v>#VALUE!</v>
      </c>
      <c r="F14" s="1003" t="str">
        <f>VLOOKUP(C14,Persiapan!$D$5:$M$679,10,FALSE)</f>
        <v xml:space="preserve"> -</v>
      </c>
      <c r="G14" s="12" t="str">
        <f>VLOOKUP(C14,Persiapan!$D$5:$L$679,9,FALSE)</f>
        <v xml:space="preserve"> -</v>
      </c>
      <c r="H14" s="374"/>
      <c r="I14" s="16"/>
    </row>
    <row r="15" spans="2:9" ht="24" customHeight="1">
      <c r="B15" s="1089" t="str">
        <f>Persiapan!C115</f>
        <v>1.1.1.6</v>
      </c>
      <c r="C15" s="12" t="str">
        <f>VLOOKUP(B15,Persiapan!C:M,2,FALSE)</f>
        <v>Pemasangan 1 m2 panel beton pracetak 50x50x240 untuk pagar</v>
      </c>
      <c r="D15" s="9" t="s">
        <v>62</v>
      </c>
      <c r="E15" s="1021">
        <f>VLOOKUP(C15,Persiapan!$D$5:$K$679,8,FALSE)</f>
        <v>186000</v>
      </c>
      <c r="F15" s="1003" t="str">
        <f>VLOOKUP(C15,Persiapan!$D$5:$M$679,10,FALSE)</f>
        <v>Revisi</v>
      </c>
      <c r="G15" s="12" t="str">
        <f>VLOOKUP(C15,Persiapan!$D$5:$L$679,9,FALSE)</f>
        <v xml:space="preserve">tidak ada perubahan </v>
      </c>
      <c r="H15" s="374"/>
      <c r="I15" s="16"/>
    </row>
    <row r="16" spans="2:9" ht="24" customHeight="1">
      <c r="B16" s="1090" t="str">
        <f>Persiapan!C137</f>
        <v>1.1.2</v>
      </c>
      <c r="C16" s="1063" t="str">
        <f>VLOOKUP(B16,Persiapan!C:M,2,FALSE)</f>
        <v>Alat dan/atau sarana penunjang</v>
      </c>
      <c r="D16" s="1091"/>
      <c r="E16" s="1022">
        <f>VLOOKUP(C16,Persiapan!$D$5:$K$679,8,FALSE)</f>
        <v>0</v>
      </c>
      <c r="F16" s="1004">
        <f>VLOOKUP(C16,Persiapan!$D$5:$M$679,10,FALSE)</f>
        <v>0</v>
      </c>
      <c r="G16" s="36">
        <f>VLOOKUP(C16,Persiapan!$D$5:$L$679,9,FALSE)</f>
        <v>0</v>
      </c>
      <c r="H16" s="374"/>
      <c r="I16" s="16"/>
    </row>
    <row r="17" spans="2:9" ht="24" customHeight="1">
      <c r="B17" s="1089" t="str">
        <f>Persiapan!C139</f>
        <v>1.1.2.1</v>
      </c>
      <c r="C17" s="12" t="str">
        <f>VLOOKUP(B17,Persiapan!C:M,2,FALSE)</f>
        <v>1 buah papan nama pekerjaan ukuran 0.8x1.2 menggunakan multiflex 18 mm, frame besi siku dan tiang kayu 8/12</v>
      </c>
      <c r="D17" s="9" t="s">
        <v>44</v>
      </c>
      <c r="E17" s="1021">
        <f>VLOOKUP(C17,Persiapan!$D$5:$K$679,8,FALSE)</f>
        <v>809500</v>
      </c>
      <c r="F17" s="1003" t="str">
        <f>VLOOKUP(C17,Persiapan!$D$5:$M$679,10,FALSE)</f>
        <v xml:space="preserve"> -</v>
      </c>
      <c r="G17" s="12" t="str">
        <f>VLOOKUP(C17,Persiapan!$D$5:$L$679,9,FALSE)</f>
        <v xml:space="preserve"> -</v>
      </c>
      <c r="H17" s="374"/>
      <c r="I17" s="16"/>
    </row>
    <row r="18" spans="2:9" ht="24" customHeight="1">
      <c r="B18" s="1089" t="str">
        <f>Persiapan!C164</f>
        <v>1.1.2.2</v>
      </c>
      <c r="C18" s="12" t="str">
        <f>VLOOKUP(B18,Persiapan!C:M,2,FALSE)</f>
        <v>1 buah papan nama pekerjaan ukuran 0.6x08 menggunakan multiplex 10 mm, frame allumunium siku dan tiang kayu 5/7, printing banner plastik</v>
      </c>
      <c r="D18" s="9" t="s">
        <v>44</v>
      </c>
      <c r="E18" s="1021">
        <f>VLOOKUP(C18,Persiapan!$D$5:$K$679,8,FALSE)</f>
        <v>407100</v>
      </c>
      <c r="F18" s="1003" t="str">
        <f>VLOOKUP(C18,Persiapan!$D$5:$M$679,10,FALSE)</f>
        <v xml:space="preserve"> -</v>
      </c>
      <c r="G18" s="12" t="str">
        <f>VLOOKUP(C18,Persiapan!$D$5:$L$679,9,FALSE)</f>
        <v xml:space="preserve"> -</v>
      </c>
      <c r="H18" s="374"/>
      <c r="I18" s="16"/>
    </row>
    <row r="19" spans="2:9" ht="24" customHeight="1">
      <c r="B19" s="1089" t="str">
        <f>Persiapan!C188</f>
        <v>1.1.2.3</v>
      </c>
      <c r="C19" s="12" t="str">
        <f>VLOOKUP(B19,Persiapan!C:M,2,FALSE)</f>
        <v>Pembuatan 1 m2 kantor sementara/rumah jaga/gudang semen dan peralatan lantai plesteran, dinding setengah tembok</v>
      </c>
      <c r="D19" s="9" t="s">
        <v>62</v>
      </c>
      <c r="E19" s="1021">
        <f>VLOOKUP(C19,Persiapan!$D$5:$K$679,8,FALSE)</f>
        <v>938400</v>
      </c>
      <c r="F19" s="1003" t="str">
        <f>VLOOKUP(C19,Persiapan!$D$5:$M$679,10,FALSE)</f>
        <v xml:space="preserve"> -</v>
      </c>
      <c r="G19" s="12" t="str">
        <f>VLOOKUP(C19,Persiapan!$D$5:$L$679,9,FALSE)</f>
        <v xml:space="preserve"> -</v>
      </c>
      <c r="H19" s="374"/>
      <c r="I19" s="16"/>
    </row>
    <row r="20" spans="2:9" ht="24" customHeight="1">
      <c r="B20" s="1089" t="str">
        <f>Persiapan!C219</f>
        <v>1.1.2.4</v>
      </c>
      <c r="C20" s="1158" t="str">
        <f>VLOOKUP(B20,Persiapan!C:M,2,FALSE)</f>
        <v>Pembuatan 1 m2 direksi keet (Kantor), los kerja dan gudang</v>
      </c>
      <c r="D20" s="9" t="s">
        <v>62</v>
      </c>
      <c r="E20" s="1021">
        <f>VLOOKUP(C20,Persiapan!$D$5:$K$679,8,FALSE)</f>
        <v>2086200</v>
      </c>
      <c r="F20" s="1003" t="str">
        <f>VLOOKUP(C20,Persiapan!$D$5:$M$679,10,FALSE)</f>
        <v>Revisi</v>
      </c>
      <c r="G20" s="12" t="str">
        <f>VLOOKUP(C20,Persiapan!$D$5:$L$679,9,FALSE)</f>
        <v xml:space="preserve">tidak ada perbahan </v>
      </c>
      <c r="H20" s="374"/>
      <c r="I20" s="16"/>
    </row>
    <row r="21" spans="2:9" ht="24" customHeight="1">
      <c r="B21" s="1089" t="str">
        <f>Persiapan!C246</f>
        <v>1.1.2.5</v>
      </c>
      <c r="C21" s="12" t="str">
        <f>VLOOKUP(B21,Persiapan!C:M,2,FALSE)</f>
        <v>Pembuatan 1 m2 jalan sementara lapis macadam</v>
      </c>
      <c r="D21" s="9" t="s">
        <v>62</v>
      </c>
      <c r="E21" s="1021">
        <f>VLOOKUP(C21,Persiapan!$D$5:$K$679,8,FALSE)</f>
        <v>1262000</v>
      </c>
      <c r="F21" s="1003" t="str">
        <f>VLOOKUP(C21,Persiapan!$D$5:$M$679,10,FALSE)</f>
        <v xml:space="preserve"> -</v>
      </c>
      <c r="G21" s="12" t="str">
        <f>VLOOKUP(C21,Persiapan!$D$5:$L$679,9,FALSE)</f>
        <v xml:space="preserve"> -</v>
      </c>
      <c r="H21" s="374"/>
      <c r="I21" s="16"/>
    </row>
    <row r="22" spans="2:9" ht="24" customHeight="1">
      <c r="B22" s="1089" t="str">
        <f>Persiapan!C270</f>
        <v>1.1.2.6</v>
      </c>
      <c r="C22" s="12" t="str">
        <f>VLOOKUP(B22,Persiapan!C:M,2,FALSE)</f>
        <v>Pembuatan 1 m2 jalan sementara (Jalan Tanah)</v>
      </c>
      <c r="D22" s="9" t="s">
        <v>62</v>
      </c>
      <c r="E22" s="1021">
        <f>VLOOKUP(C22,Persiapan!$D$5:$K$679,8,FALSE)</f>
        <v>128900</v>
      </c>
      <c r="F22" s="1003" t="str">
        <f>VLOOKUP(C22,Persiapan!$D$5:$M$679,10,FALSE)</f>
        <v xml:space="preserve"> -</v>
      </c>
      <c r="G22" s="12" t="str">
        <f>VLOOKUP(C22,Persiapan!$D$5:$L$679,9,FALSE)</f>
        <v xml:space="preserve"> -</v>
      </c>
      <c r="H22" s="374"/>
      <c r="I22" s="16"/>
    </row>
    <row r="23" spans="2:9" ht="24" customHeight="1">
      <c r="B23" s="1089" t="str">
        <f>Persiapan!C286</f>
        <v>1.1.2.7</v>
      </c>
      <c r="C23" s="12" t="str">
        <f>VLOOKUP(B23,Persiapan!C:M,2,FALSE)</f>
        <v>Pembuatan 1 m2 jalan sementara (Jalan Kerikil)</v>
      </c>
      <c r="D23" s="9" t="s">
        <v>62</v>
      </c>
      <c r="E23" s="1021">
        <f>VLOOKUP(C23,Persiapan!$D$5:$K$679,8,FALSE)</f>
        <v>190800</v>
      </c>
      <c r="F23" s="1003" t="str">
        <f>VLOOKUP(C23,Persiapan!$D$5:$M$679,10,FALSE)</f>
        <v xml:space="preserve"> -</v>
      </c>
      <c r="G23" s="12" t="str">
        <f>VLOOKUP(C23,Persiapan!$D$5:$L$679,9,FALSE)</f>
        <v xml:space="preserve"> -</v>
      </c>
      <c r="H23" s="374"/>
      <c r="I23" s="16"/>
    </row>
    <row r="24" spans="2:9" ht="24" customHeight="1">
      <c r="B24" s="1090" t="str">
        <f>Persiapan!C303</f>
        <v>1.1.3</v>
      </c>
      <c r="C24" s="1063" t="str">
        <f>VLOOKUP(B24,Persiapan!C:M,2,FALSE)</f>
        <v xml:space="preserve">Pembersihan dan Pengupasan Permukaan Tanah </v>
      </c>
      <c r="D24" s="1091"/>
      <c r="E24" s="1022"/>
      <c r="F24" s="1004"/>
      <c r="G24" s="36"/>
      <c r="H24" s="374"/>
      <c r="I24" s="16"/>
    </row>
    <row r="25" spans="2:9" ht="24" customHeight="1">
      <c r="B25" s="1089" t="str">
        <f>Persiapan!C304</f>
        <v xml:space="preserve">1.1.3.1 </v>
      </c>
      <c r="C25" s="12" t="str">
        <f>VLOOKUP(B25,Persiapan!C:M,2,FALSE)</f>
        <v xml:space="preserve">1 m3 Pembersihan dan pengupasan permukaan tanah (striping) s.d. tanaman ∅ 2 cm </v>
      </c>
      <c r="D25" s="9" t="s">
        <v>62</v>
      </c>
      <c r="E25" s="1021">
        <f>VLOOKUP(C25,Persiapan!$D$5:$K$679,8,FALSE)</f>
        <v>11800</v>
      </c>
      <c r="F25" s="1003" t="str">
        <f>VLOOKUP(C25,Persiapan!$D$5:$M$679,10,FALSE)</f>
        <v xml:space="preserve"> -</v>
      </c>
      <c r="G25" s="12" t="str">
        <f>VLOOKUP(C25,Persiapan!$D$5:$L$679,9,FALSE)</f>
        <v xml:space="preserve"> -</v>
      </c>
      <c r="H25" s="374"/>
      <c r="I25" s="16"/>
    </row>
    <row r="26" spans="2:9" ht="24" customHeight="1">
      <c r="B26" s="1089" t="str">
        <f>Persiapan!C318</f>
        <v>1.1.3.2</v>
      </c>
      <c r="C26" s="12" t="str">
        <f>VLOOKUP(B26,Persiapan!C:M,2,FALSE)</f>
        <v xml:space="preserve">Tebas tebang 1 m2 tanaman/tumbuhan ∅ &lt; 5 cm </v>
      </c>
      <c r="D26" s="9" t="s">
        <v>62</v>
      </c>
      <c r="E26" s="1021">
        <f>VLOOKUP(C26,Persiapan!$D$5:$K$679,8,FALSE)</f>
        <v>3800</v>
      </c>
      <c r="F26" s="1003" t="str">
        <f>VLOOKUP(C26,Persiapan!$D$5:$M$679,10,FALSE)</f>
        <v xml:space="preserve"> -</v>
      </c>
      <c r="G26" s="12" t="str">
        <f>VLOOKUP(C26,Persiapan!$D$5:$L$679,9,FALSE)</f>
        <v xml:space="preserve"> -</v>
      </c>
      <c r="H26" s="374"/>
      <c r="I26" s="16"/>
    </row>
    <row r="27" spans="2:9" ht="24" customHeight="1">
      <c r="B27" s="1089" t="str">
        <f>Persiapan!C332</f>
        <v>1.1.3.3.</v>
      </c>
      <c r="C27" s="12" t="str">
        <f>VLOOKUP(B27,Persiapan!C:M,2,FALSE)</f>
        <v>Tebas tebang 1 m
2
 tanaman/tumbuhan ∅ &gt;5 s.d. 15 cm</v>
      </c>
      <c r="D27" s="9" t="s">
        <v>62</v>
      </c>
      <c r="E27" s="1021">
        <f>VLOOKUP(C27,Persiapan!$D$5:$K$679,8,FALSE)</f>
        <v>6300</v>
      </c>
      <c r="F27" s="1003" t="str">
        <f>VLOOKUP(C27,Persiapan!$D$5:$M$679,10,FALSE)</f>
        <v xml:space="preserve"> -</v>
      </c>
      <c r="G27" s="12" t="str">
        <f>VLOOKUP(C27,Persiapan!$D$5:$L$679,9,FALSE)</f>
        <v xml:space="preserve"> -</v>
      </c>
      <c r="H27" s="374"/>
      <c r="I27" s="16"/>
    </row>
    <row r="28" spans="2:9" ht="24" customHeight="1">
      <c r="B28" s="1089" t="str">
        <f>Persiapan!C346</f>
        <v xml:space="preserve">1.1.3.4 </v>
      </c>
      <c r="C28" s="12" t="str">
        <f>VLOOKUP(B28,Persiapan!C:M,2,FALSE)</f>
        <v>Tebas tebang 1 batang pohon/tumbuhan ∅ &gt;15 s.d. 30 cm</v>
      </c>
      <c r="D28" s="9" t="s">
        <v>1761</v>
      </c>
      <c r="E28" s="1021">
        <f>VLOOKUP(C28,Persiapan!$D$5:$K$679,8,FALSE)</f>
        <v>21900</v>
      </c>
      <c r="F28" s="1003" t="str">
        <f>VLOOKUP(C28,Persiapan!$D$5:$M$679,10,FALSE)</f>
        <v xml:space="preserve"> -</v>
      </c>
      <c r="G28" s="12" t="str">
        <f>VLOOKUP(C28,Persiapan!$D$5:$L$679,9,FALSE)</f>
        <v xml:space="preserve"> -</v>
      </c>
      <c r="H28" s="374"/>
      <c r="I28" s="16"/>
    </row>
    <row r="29" spans="2:9" ht="24" customHeight="1">
      <c r="B29" s="1089" t="str">
        <f>Persiapan!C361</f>
        <v>1.1.3.5</v>
      </c>
      <c r="C29" s="12" t="str">
        <f>VLOOKUP(B29,Persiapan!C:M,2,FALSE)</f>
        <v>Tebas tebang 1 batang pohon/tumbuhan ∅ &gt; 30 s.d 50 cm</v>
      </c>
      <c r="D29" s="9" t="s">
        <v>1761</v>
      </c>
      <c r="E29" s="1021">
        <f>VLOOKUP(C29,Persiapan!$D$5:$K$679,8,FALSE)</f>
        <v>22100</v>
      </c>
      <c r="F29" s="1003" t="str">
        <f>VLOOKUP(C29,Persiapan!$D$5:$M$679,10,FALSE)</f>
        <v xml:space="preserve"> -</v>
      </c>
      <c r="G29" s="12" t="str">
        <f>VLOOKUP(C29,Persiapan!$D$5:$L$679,9,FALSE)</f>
        <v xml:space="preserve"> -</v>
      </c>
      <c r="H29" s="374"/>
      <c r="I29" s="16"/>
    </row>
    <row r="30" spans="2:9" ht="24" customHeight="1">
      <c r="B30" s="1089" t="str">
        <f>Persiapan!C376</f>
        <v xml:space="preserve">1.1.3.6 </v>
      </c>
      <c r="C30" s="12" t="str">
        <f>VLOOKUP(B30,Persiapan!C:M,2,FALSE)</f>
        <v>Tebas tebang 1 batang pohon/tumbuhan ∅ &gt; 50 s.d 75 cm (diameter pohon diukur 1 m di atas permukaan tanah)</v>
      </c>
      <c r="D30" s="9" t="s">
        <v>1761</v>
      </c>
      <c r="E30" s="1021">
        <f>VLOOKUP(C30,Persiapan!$D$5:$K$679,8,FALSE)</f>
        <v>48000</v>
      </c>
      <c r="F30" s="1003" t="str">
        <f>VLOOKUP(C30,Persiapan!$D$5:$M$679,10,FALSE)</f>
        <v xml:space="preserve"> -</v>
      </c>
      <c r="G30" s="12" t="str">
        <f>VLOOKUP(C30,Persiapan!$D$5:$L$679,9,FALSE)</f>
        <v xml:space="preserve"> -</v>
      </c>
      <c r="H30" s="374"/>
      <c r="I30" s="16"/>
    </row>
    <row r="31" spans="2:9" ht="24" customHeight="1">
      <c r="B31" s="1089" t="str">
        <f>Persiapan!C391</f>
        <v>1.1.3.7</v>
      </c>
      <c r="C31" s="12" t="str">
        <f>VLOOKUP(B31,Persiapan!C:M,2,FALSE)</f>
        <v>Tebas tebang 1 batang pohon/tumbuhan ∅ &gt; 75 cm (diameter pohon diukur 1 m di atas permukaan tanah)</v>
      </c>
      <c r="D31" s="9" t="s">
        <v>1761</v>
      </c>
      <c r="E31" s="1021">
        <f>VLOOKUP(C31,Persiapan!$D$5:$K$679,8,FALSE)</f>
        <v>61600</v>
      </c>
      <c r="F31" s="1003" t="str">
        <f>VLOOKUP(C31,Persiapan!$D$5:$M$679,10,FALSE)</f>
        <v>-</v>
      </c>
      <c r="G31" s="12" t="str">
        <f>VLOOKUP(C31,Persiapan!$D$5:$L$679,9,FALSE)</f>
        <v xml:space="preserve"> -</v>
      </c>
      <c r="H31" s="374"/>
      <c r="I31" s="16"/>
    </row>
    <row r="32" spans="2:9" ht="24" customHeight="1">
      <c r="B32" s="1089" t="str">
        <f>Persiapan!C406</f>
        <v>1.1.3.8</v>
      </c>
      <c r="C32" s="12" t="str">
        <f>VLOOKUP(B32,Persiapan!C:M,2,FALSE)</f>
        <v>Gali dan cabut 1 tunggul pohon tanaman keras ∅ &gt; 5 s.d. 15 cm (termasuk pembuangan sisa tunggul tanpa menutup kembali bekas lubang)</v>
      </c>
      <c r="D32" s="9" t="s">
        <v>1762</v>
      </c>
      <c r="E32" s="1021">
        <f>VLOOKUP(C32,Persiapan!$D$5:$K$679,8,FALSE)</f>
        <v>47900</v>
      </c>
      <c r="F32" s="1003" t="str">
        <f>VLOOKUP(C32,Persiapan!$D$5:$M$679,10,FALSE)</f>
        <v xml:space="preserve"> -</v>
      </c>
      <c r="G32" s="12" t="str">
        <f>VLOOKUP(C32,Persiapan!$D$5:$L$679,9,FALSE)</f>
        <v xml:space="preserve"> -</v>
      </c>
      <c r="H32" s="374"/>
      <c r="I32" s="16"/>
    </row>
    <row r="33" spans="2:9" ht="24" customHeight="1">
      <c r="B33" s="1089" t="str">
        <f>Persiapan!C421</f>
        <v>1.1.3.9</v>
      </c>
      <c r="C33" s="12" t="str">
        <f>VLOOKUP(B33,Persiapan!C:M,2,FALSE)</f>
        <v xml:space="preserve">Gali dan cabut 1 tunggul pohon tanaman keras ∅ &gt; 15 cm  s.d. 30 cm (termasuk pembuangan sisa tunggul tanpa menutup kembali bekas lubang) </v>
      </c>
      <c r="D33" s="9" t="s">
        <v>1762</v>
      </c>
      <c r="E33" s="1021">
        <f>VLOOKUP(C33,Persiapan!$D$5:$K$679,8,FALSE)</f>
        <v>67500</v>
      </c>
      <c r="F33" s="1003" t="str">
        <f>VLOOKUP(C33,Persiapan!$D$5:$M$679,10,FALSE)</f>
        <v xml:space="preserve"> -</v>
      </c>
      <c r="G33" s="12" t="str">
        <f>VLOOKUP(C33,Persiapan!$D$5:$L$679,9,FALSE)</f>
        <v xml:space="preserve"> -</v>
      </c>
      <c r="H33" s="374"/>
      <c r="I33" s="16"/>
    </row>
    <row r="34" spans="2:9" ht="24" customHeight="1">
      <c r="B34" s="1089" t="str">
        <f>Persiapan!C436</f>
        <v>1.1.3.10</v>
      </c>
      <c r="C34" s="12" t="str">
        <f>VLOOKUP(B34,Persiapan!C:M,2,FALSE)</f>
        <v>Gali dan cabut 1 tunggul pohon tanaman keras ∅ &gt; 30 cm  s.d. 50 cm (termasuk pembuangan sisa tunggul tanpa menutup kembali bekas lubang)</v>
      </c>
      <c r="D34" s="9" t="s">
        <v>1762</v>
      </c>
      <c r="E34" s="1021">
        <f>VLOOKUP(C34,Persiapan!$D$5:$K$679,8,FALSE)</f>
        <v>95800</v>
      </c>
      <c r="F34" s="1003" t="str">
        <f>VLOOKUP(C34,Persiapan!$D$5:$M$679,10,FALSE)</f>
        <v xml:space="preserve"> -</v>
      </c>
      <c r="G34" s="12" t="str">
        <f>VLOOKUP(C34,Persiapan!$D$5:$L$679,9,FALSE)</f>
        <v xml:space="preserve"> -</v>
      </c>
      <c r="H34" s="374"/>
      <c r="I34" s="16"/>
    </row>
    <row r="35" spans="2:9" ht="24" customHeight="1">
      <c r="B35" s="1089" t="str">
        <f>Persiapan!C451</f>
        <v xml:space="preserve">1.1.3.11 </v>
      </c>
      <c r="C35" s="12" t="str">
        <f>VLOOKUP(B35,Persiapan!C:M,2,FALSE)</f>
        <v>Gali dan cabut 1 tunggul pohon tanaman keras ∅ &gt; 50 cm  s.d. 75 cm (termasuk pembuangan sisa tunggul tanpa menutup kembali bekas lubang)</v>
      </c>
      <c r="D35" s="9" t="s">
        <v>1762</v>
      </c>
      <c r="E35" s="1021">
        <f>VLOOKUP(C35,Persiapan!$D$5:$K$679,8,FALSE)</f>
        <v>148800</v>
      </c>
      <c r="F35" s="1003" t="str">
        <f>VLOOKUP(C35,Persiapan!$D$5:$M$679,10,FALSE)</f>
        <v xml:space="preserve"> -</v>
      </c>
      <c r="G35" s="12" t="str">
        <f>VLOOKUP(C35,Persiapan!$D$5:$L$679,9,FALSE)</f>
        <v xml:space="preserve"> -</v>
      </c>
      <c r="H35" s="374"/>
      <c r="I35" s="16"/>
    </row>
    <row r="36" spans="2:9" ht="24" customHeight="1">
      <c r="B36" s="1089" t="str">
        <f>Persiapan!C466</f>
        <v>1.1.3.12</v>
      </c>
      <c r="C36" s="12" t="str">
        <f>VLOOKUP(B36,Persiapan!C:M,2,FALSE)</f>
        <v>Gali dan cabut 1 tunggul pohon tanaman keras ∅ &gt; 75 cm (termasuk pembuangan sisa tunggul tanpa menutup kembali bekas lubang)</v>
      </c>
      <c r="D36" s="9" t="s">
        <v>1762</v>
      </c>
      <c r="E36" s="1021">
        <f>VLOOKUP(C36,Persiapan!$D$5:$K$679,8,FALSE)</f>
        <v>216700</v>
      </c>
      <c r="F36" s="1003" t="str">
        <f>VLOOKUP(C36,Persiapan!$D$5:$M$679,10,FALSE)</f>
        <v xml:space="preserve"> -</v>
      </c>
      <c r="G36" s="12" t="str">
        <f>VLOOKUP(C36,Persiapan!$D$5:$L$679,9,FALSE)</f>
        <v xml:space="preserve"> -</v>
      </c>
      <c r="H36" s="374"/>
      <c r="I36" s="16"/>
    </row>
    <row r="37" spans="2:9" ht="24" customHeight="1">
      <c r="B37" s="1089" t="str">
        <f>Persiapan!C481</f>
        <v>1.1.3.13</v>
      </c>
      <c r="C37" s="12" t="str">
        <f>VLOOKUP(B37,Persiapan!C:M,2,FALSE)</f>
        <v>Gali dan cabut 1 tunggul pohon tanaman keras ∅ &gt; 5 s.d. 15 cm (termasuk pembuangan sisa tunggul dengan menutup kembali bekas lubang)</v>
      </c>
      <c r="D37" s="9" t="s">
        <v>1762</v>
      </c>
      <c r="E37" s="1021">
        <f>VLOOKUP(C37,Persiapan!$D$5:$K$679,8,FALSE)</f>
        <v>48900</v>
      </c>
      <c r="F37" s="1003" t="str">
        <f>VLOOKUP(C37,Persiapan!$D$5:$M$679,10,FALSE)</f>
        <v xml:space="preserve"> -</v>
      </c>
      <c r="G37" s="12" t="str">
        <f>VLOOKUP(C37,Persiapan!$D$5:$L$679,9,FALSE)</f>
        <v xml:space="preserve"> -</v>
      </c>
      <c r="H37" s="374"/>
      <c r="I37" s="16"/>
    </row>
    <row r="38" spans="2:9" ht="24" customHeight="1">
      <c r="B38" s="1089" t="str">
        <f>Persiapan!C496</f>
        <v>1.1.3.14</v>
      </c>
      <c r="C38" s="12" t="str">
        <f>VLOOKUP(B38,Persiapan!C:M,2,FALSE)</f>
        <v>Gali dan cabut 1 tunggul pohon tanaman keras ∅ &gt; 15 cm s.d. 30 cm (termasuk pembuangan sisa tunggul dengan menutup kembali bekas lubang)</v>
      </c>
      <c r="D38" s="9" t="s">
        <v>1762</v>
      </c>
      <c r="E38" s="1021">
        <f>VLOOKUP(C38,Persiapan!$D$5:$K$679,8,FALSE)</f>
        <v>78000</v>
      </c>
      <c r="F38" s="1003" t="str">
        <f>VLOOKUP(C38,Persiapan!$D$5:$M$679,10,FALSE)</f>
        <v xml:space="preserve"> -</v>
      </c>
      <c r="G38" s="12" t="str">
        <f>VLOOKUP(C38,Persiapan!$D$5:$L$679,9,FALSE)</f>
        <v xml:space="preserve"> -</v>
      </c>
      <c r="H38" s="374"/>
      <c r="I38" s="16"/>
    </row>
    <row r="39" spans="2:9" ht="24" customHeight="1">
      <c r="B39" s="1089" t="str">
        <f>Persiapan!C512</f>
        <v>1.1.3.15</v>
      </c>
      <c r="C39" s="12" t="str">
        <f>VLOOKUP(B39,Persiapan!C:M,2,FALSE)</f>
        <v>Gali dan cabut 1 tunggul pohon tanaman keras ∅ &gt; 15 cm s.d. 50 cm (termasuk pembuangan sisa tunggul dengan menutup kembali bekas lubang)</v>
      </c>
      <c r="D39" s="9" t="s">
        <v>1763</v>
      </c>
      <c r="E39" s="1021">
        <f>VLOOKUP(C39,Persiapan!$D$5:$K$679,8,FALSE)</f>
        <v>111900</v>
      </c>
      <c r="F39" s="1003" t="str">
        <f>VLOOKUP(C39,Persiapan!$D$5:$M$679,10,FALSE)</f>
        <v>-</v>
      </c>
      <c r="G39" s="12" t="str">
        <f>VLOOKUP(C39,Persiapan!$D$5:$L$679,9,FALSE)</f>
        <v xml:space="preserve"> -</v>
      </c>
      <c r="H39" s="374"/>
      <c r="I39" s="16"/>
    </row>
    <row r="40" spans="2:9" ht="24" customHeight="1">
      <c r="B40" s="1089" t="str">
        <f>Persiapan!C527</f>
        <v>1.1.3.16</v>
      </c>
      <c r="C40" s="12" t="str">
        <f>VLOOKUP(B40,Persiapan!C:M,2,FALSE)</f>
        <v>Gali dan cabut 1 tunggul pohon tanaman keras ∅ &gt; 15 cm s.d. 75 cm (termasuk pembuangan sisa tunggul dengan menutup kembali bekas lubang)</v>
      </c>
      <c r="D40" s="9" t="s">
        <v>113</v>
      </c>
      <c r="E40" s="1021">
        <f>VLOOKUP(C40,Persiapan!$D$5:$K$679,8,FALSE)</f>
        <v>175600</v>
      </c>
      <c r="F40" s="1003" t="str">
        <f>VLOOKUP(C40,Persiapan!$D$5:$M$679,10,FALSE)</f>
        <v xml:space="preserve"> -</v>
      </c>
      <c r="G40" s="12" t="str">
        <f>VLOOKUP(C40,Persiapan!$D$5:$L$679,9,FALSE)</f>
        <v xml:space="preserve"> -</v>
      </c>
      <c r="H40" s="374"/>
      <c r="I40" s="16"/>
    </row>
    <row r="41" spans="2:9" ht="24" customHeight="1">
      <c r="B41" s="1089" t="str">
        <f>Persiapan!C543</f>
        <v>1.1.3.17</v>
      </c>
      <c r="C41" s="12" t="str">
        <f>VLOOKUP(B41,Persiapan!C:M,2,FALSE)</f>
        <v>Gali dan cabut 1 tunggul pohon tanaman keras ∅ &gt;  75 cm (termasuk pembuangan sisa tunggul dengan menutup kembali bekas lubang)</v>
      </c>
      <c r="D41" s="9" t="s">
        <v>113</v>
      </c>
      <c r="E41" s="1021">
        <f>VLOOKUP(C41,Persiapan!$D$5:$K$679,8,FALSE)</f>
        <v>268600</v>
      </c>
      <c r="F41" s="1003" t="str">
        <f>VLOOKUP(C41,Persiapan!$D$5:$M$679,10,FALSE)</f>
        <v>-</v>
      </c>
      <c r="G41" s="12" t="str">
        <f>VLOOKUP(C41,Persiapan!$D$5:$L$679,9,FALSE)</f>
        <v xml:space="preserve"> -</v>
      </c>
      <c r="H41" s="374"/>
      <c r="I41" s="16"/>
    </row>
    <row r="42" spans="2:9" ht="24" customHeight="1">
      <c r="B42" s="1090" t="str">
        <f>Persiapan!C559</f>
        <v xml:space="preserve">1.1.4 </v>
      </c>
      <c r="C42" s="1063" t="str">
        <f>VLOOKUP(B42,Persiapan!C:M,2,FALSE)</f>
        <v xml:space="preserve">Pengukuran dan Pasangan Bouwplank </v>
      </c>
      <c r="D42" s="1091"/>
      <c r="E42" s="1022">
        <f>VLOOKUP(C42,Persiapan!$D$5:$K$679,8,FALSE)</f>
        <v>0</v>
      </c>
      <c r="F42" s="1004">
        <f>VLOOKUP(C42,Persiapan!$D$5:$M$679,10,FALSE)</f>
        <v>0</v>
      </c>
      <c r="G42" s="36">
        <f>VLOOKUP(C42,Persiapan!$D$5:$L$679,9,FALSE)</f>
        <v>0</v>
      </c>
      <c r="H42" s="374"/>
      <c r="I42" s="16"/>
    </row>
    <row r="43" spans="2:9" ht="24" customHeight="1">
      <c r="B43" s="1089" t="str">
        <f>Persiapan!C560</f>
        <v>1.1.4.1</v>
      </c>
      <c r="C43" s="12" t="str">
        <f>VLOOKUP(B43,Persiapan!C:M,2,FALSE)</f>
        <v>Pengukuran ulang topografi seluas 1 Ha</v>
      </c>
      <c r="D43" s="9" t="s">
        <v>1763</v>
      </c>
      <c r="E43" s="1021">
        <f>VLOOKUP(C43,Persiapan!$D$5:$K$679,8,FALSE)</f>
        <v>2081300</v>
      </c>
      <c r="F43" s="1003" t="str">
        <f>VLOOKUP(C43,Persiapan!$D$5:$M$679,10,FALSE)</f>
        <v xml:space="preserve"> -</v>
      </c>
      <c r="G43" s="12" t="str">
        <f>VLOOKUP(C43,Persiapan!$D$5:$L$679,9,FALSE)</f>
        <v xml:space="preserve"> -</v>
      </c>
      <c r="H43" s="374"/>
      <c r="I43" s="16"/>
    </row>
    <row r="44" spans="2:9" ht="24" customHeight="1">
      <c r="B44" s="1089" t="str">
        <f>Persiapan!C581</f>
        <v>1.1.4.2</v>
      </c>
      <c r="C44" s="1158" t="str">
        <f>VLOOKUP(B44,Persiapan!C:M,2,FALSE)</f>
        <v>Pasangan 1 m' bouwplank</v>
      </c>
      <c r="D44" s="9" t="s">
        <v>113</v>
      </c>
      <c r="E44" s="1021">
        <f>VLOOKUP(C44,Persiapan!$D$5:$K$679,8,FALSE)</f>
        <v>60300</v>
      </c>
      <c r="F44" s="1003" t="str">
        <f>VLOOKUP(C44,Persiapan!$D$5:$M$679,10,FALSE)</f>
        <v>-</v>
      </c>
      <c r="G44" s="12" t="str">
        <f>VLOOKUP(C44,Persiapan!$D$5:$L$679,9,FALSE)</f>
        <v xml:space="preserve"> -</v>
      </c>
      <c r="H44" s="374"/>
      <c r="I44" s="16"/>
    </row>
    <row r="45" spans="2:9" ht="24" customHeight="1">
      <c r="B45" s="1089" t="str">
        <f>Persiapan!C602</f>
        <v>1.1.4.3</v>
      </c>
      <c r="C45" s="12" t="str">
        <f>VLOOKUP(B45,Persiapan!C:M,2,FALSE)</f>
        <v xml:space="preserve">Patok Kayu (kaso5/7) Panjang 0,5 m' </v>
      </c>
      <c r="D45" s="9" t="s">
        <v>113</v>
      </c>
      <c r="E45" s="1021">
        <f>VLOOKUP(C45,Persiapan!$D$5:$K$679,8,FALSE)</f>
        <v>88200</v>
      </c>
      <c r="F45" s="1003" t="str">
        <f>VLOOKUP(C45,Persiapan!$D$5:$M$679,10,FALSE)</f>
        <v xml:space="preserve"> -</v>
      </c>
      <c r="G45" s="12" t="str">
        <f>VLOOKUP(C45,Persiapan!$D$5:$L$679,9,FALSE)</f>
        <v xml:space="preserve"> -</v>
      </c>
      <c r="H45" s="374"/>
      <c r="I45" s="16"/>
    </row>
    <row r="46" spans="2:9" ht="24" customHeight="1">
      <c r="B46" s="1089" t="str">
        <f>Persiapan!C622</f>
        <v>1.1.4.4</v>
      </c>
      <c r="C46" s="12" t="str">
        <f>VLOOKUP(B46,Persiapan!C:M,2,FALSE)</f>
        <v>1 Buah Patok Kayu (Kaso 5/7) panjang 1 m'</v>
      </c>
      <c r="D46" s="9" t="s">
        <v>113</v>
      </c>
      <c r="E46" s="1021">
        <f>VLOOKUP(C46,Persiapan!$D$5:$K$679,8,FALSE)</f>
        <v>57600</v>
      </c>
      <c r="F46" s="1003" t="str">
        <f>VLOOKUP(C46,Persiapan!$D$5:$M$679,10,FALSE)</f>
        <v>-</v>
      </c>
      <c r="G46" s="12" t="str">
        <f>VLOOKUP(C46,Persiapan!$D$5:$L$679,9,FALSE)</f>
        <v xml:space="preserve"> -</v>
      </c>
      <c r="H46" s="374"/>
      <c r="I46" s="16"/>
    </row>
    <row r="47" spans="2:9" ht="24" customHeight="1">
      <c r="B47" s="1089" t="str">
        <f>Persiapan!C641</f>
        <v>1.1.4.5</v>
      </c>
      <c r="C47" s="12" t="str">
        <f>VLOOKUP(B47,Persiapan!C:M,2,FALSE)</f>
        <v>Patok Tetap Bantu (PTB)</v>
      </c>
      <c r="D47" s="9" t="s">
        <v>113</v>
      </c>
      <c r="E47" s="1021">
        <f>VLOOKUP(C47,Persiapan!$D$5:$K$679,8,FALSE)</f>
        <v>140100</v>
      </c>
      <c r="F47" s="1003" t="str">
        <f>VLOOKUP(C47,Persiapan!$D$5:$M$679,10,FALSE)</f>
        <v xml:space="preserve"> -</v>
      </c>
      <c r="G47" s="12" t="str">
        <f>VLOOKUP(C47,Persiapan!$D$5:$L$679,9,FALSE)</f>
        <v xml:space="preserve"> -</v>
      </c>
      <c r="H47" s="374"/>
      <c r="I47" s="16"/>
    </row>
    <row r="48" spans="2:9" ht="24" customHeight="1">
      <c r="B48" s="1089" t="str">
        <f>Persiapan!C661</f>
        <v>1.1.4.6</v>
      </c>
      <c r="C48" s="12" t="str">
        <f>VLOOKUP(B48,Persiapan!C:M,2,FALSE)</f>
        <v>Patok Tetap Utama (PTU)</v>
      </c>
      <c r="D48" s="9" t="s">
        <v>113</v>
      </c>
      <c r="E48" s="1021">
        <f>VLOOKUP(C48,Persiapan!$D$5:$K$679,8,FALSE)</f>
        <v>206700</v>
      </c>
      <c r="F48" s="1003" t="str">
        <f>VLOOKUP(C48,Persiapan!$D$5:$M$679,10,FALSE)</f>
        <v xml:space="preserve"> -</v>
      </c>
      <c r="G48" s="12" t="str">
        <f>VLOOKUP(C48,Persiapan!$D$5:$L$679,9,FALSE)</f>
        <v xml:space="preserve"> -</v>
      </c>
      <c r="H48" s="374"/>
      <c r="I48" s="16"/>
    </row>
    <row r="49" spans="2:9" ht="24" customHeight="1">
      <c r="B49" s="1034">
        <f>'Galian Tanah'!C3</f>
        <v>1.2</v>
      </c>
      <c r="C49" s="984" t="str">
        <f>VLOOKUP(B49,'Galian Tanah'!C:K,2,FALSE)</f>
        <v>PEKERJAAN GALIAN TANAH</v>
      </c>
      <c r="D49" s="982"/>
      <c r="E49" s="1023"/>
      <c r="F49" s="1005"/>
      <c r="G49" s="17"/>
      <c r="H49" s="374"/>
      <c r="I49" s="16"/>
    </row>
    <row r="50" spans="2:9" ht="24" customHeight="1">
      <c r="B50" s="1031" t="str">
        <f>'Galian Tanah'!C4</f>
        <v xml:space="preserve">1.2.1 </v>
      </c>
      <c r="C50" s="41" t="str">
        <f>VLOOKUP(B50,'Galian Tanah'!C:K,2,FALSE)</f>
        <v xml:space="preserve">Tanah Biasa </v>
      </c>
      <c r="D50" s="983"/>
      <c r="E50" s="1024"/>
      <c r="F50" s="1006"/>
      <c r="G50" s="37"/>
      <c r="H50" s="374"/>
      <c r="I50" s="16"/>
    </row>
    <row r="51" spans="2:9" ht="24" customHeight="1">
      <c r="B51" s="1032" t="str">
        <f>'Galian Tanah'!C5</f>
        <v>1.2.1.1</v>
      </c>
      <c r="C51" s="33" t="str">
        <f>VLOOKUP(B51,'Galian Tanah'!C:K,2,FALSE)</f>
        <v xml:space="preserve">Cara Manual </v>
      </c>
      <c r="D51" s="22"/>
      <c r="E51" s="1025"/>
      <c r="F51" s="1003"/>
      <c r="G51" s="12"/>
      <c r="H51" s="374"/>
      <c r="I51" s="16"/>
    </row>
    <row r="52" spans="2:9" ht="24" customHeight="1">
      <c r="B52" s="1033" t="str">
        <f>'Galian Tanah'!C6</f>
        <v>1.2.1.1.1</v>
      </c>
      <c r="C52" s="1158" t="str">
        <f>VLOOKUP(B52,'Galian Tanah'!C:K,2,FALSE)</f>
        <v xml:space="preserve">Penggalian 1 m3 tanah biasa sedalam 0 s.d. 1 m untuk volume s.d. 200 m3 secara manual 
</v>
      </c>
      <c r="D52" s="9" t="s">
        <v>42</v>
      </c>
      <c r="E52" s="1021">
        <f>VLOOKUP(C52,'Galian Tanah'!$D$6:$J$723,7,FALSE)</f>
        <v>89100</v>
      </c>
      <c r="F52" s="1003">
        <f>VLOOKUP(C52,'Galian Tanah'!$D$6:$K$723,8,FALSE)</f>
        <v>0</v>
      </c>
      <c r="G52" s="12">
        <f>VLOOKUP(C52,'Galian Tanah'!$D$6:$L$723,9,FALSE)</f>
        <v>0</v>
      </c>
      <c r="H52" s="374"/>
      <c r="I52" s="16"/>
    </row>
    <row r="53" spans="2:9" ht="24" customHeight="1">
      <c r="B53" s="1033" t="str">
        <f>'Galian Tanah'!C20</f>
        <v>1.2.1.1.2</v>
      </c>
      <c r="C53" s="12" t="str">
        <f>VLOOKUP(B53,'Galian Tanah'!C:K,2,FALSE)</f>
        <v>Penggalian 1 m3 tanah biasa sedalam 0 s.d. 1 m untuk volume 200 m3 s.d 2.000 m3 secara manual</v>
      </c>
      <c r="D53" s="9" t="s">
        <v>42</v>
      </c>
      <c r="E53" s="1021">
        <f>VLOOKUP(C53,'Galian Tanah'!$D$6:$J$723,7,FALSE)</f>
        <v>71800</v>
      </c>
      <c r="F53" s="1003">
        <f>VLOOKUP(C53,'Galian Tanah'!$D$6:$K$723,8,FALSE)</f>
        <v>0</v>
      </c>
      <c r="G53" s="12">
        <f>VLOOKUP(C53,'Galian Tanah'!$D$6:$L$723,9,FALSE)</f>
        <v>0</v>
      </c>
      <c r="H53" s="374"/>
      <c r="I53" s="16"/>
    </row>
    <row r="54" spans="2:9" ht="24" customHeight="1">
      <c r="B54" s="1033" t="str">
        <f>'Galian Tanah'!C34</f>
        <v>1.2.1.1.3</v>
      </c>
      <c r="C54" s="12" t="str">
        <f>VLOOKUP(B54,'Galian Tanah'!C:K,2,FALSE)</f>
        <v>Penggalian 1 m3 tanah biasa sedalam 0 s.d. 1 m untuk volume &gt; 2.000 m3 secara Manual</v>
      </c>
      <c r="D54" s="9" t="s">
        <v>42</v>
      </c>
      <c r="E54" s="1021">
        <f>VLOOKUP(C54,'Galian Tanah'!$D$6:$J$723,7,FALSE)</f>
        <v>51000</v>
      </c>
      <c r="F54" s="1003">
        <f>VLOOKUP(C54,'Galian Tanah'!$D$6:$K$723,8,FALSE)</f>
        <v>0</v>
      </c>
      <c r="G54" s="12">
        <f>VLOOKUP(C54,'Galian Tanah'!$D$6:$L$723,9,FALSE)</f>
        <v>0</v>
      </c>
      <c r="H54" s="374"/>
      <c r="I54" s="16"/>
    </row>
    <row r="55" spans="2:9" ht="24" customHeight="1">
      <c r="B55" s="1033" t="str">
        <f>'Galian Tanah'!C48</f>
        <v>1.2.1.1.4</v>
      </c>
      <c r="C55" s="12" t="str">
        <f>VLOOKUP(B55,'Galian Tanah'!C:K,2,FALSE)</f>
        <v xml:space="preserve">Penggalian 1 m3 tanah biasa sedalam &gt; 1 s.d. 2 m untuk volume s.d 200 m3 secara manual </v>
      </c>
      <c r="D55" s="9" t="s">
        <v>42</v>
      </c>
      <c r="E55" s="1021">
        <f>VLOOKUP(C55,'Galian Tanah'!$D$6:$J$723,7,FALSE)</f>
        <v>106900</v>
      </c>
      <c r="F55" s="1003">
        <f>VLOOKUP(C55,'Galian Tanah'!$D$6:$K$723,8,FALSE)</f>
        <v>0</v>
      </c>
      <c r="G55" s="12">
        <f>VLOOKUP(C55,'Galian Tanah'!$D$6:$L$723,9,FALSE)</f>
        <v>0</v>
      </c>
      <c r="H55" s="374"/>
      <c r="I55" s="16"/>
    </row>
    <row r="56" spans="2:9" ht="24" customHeight="1">
      <c r="B56" s="1033" t="str">
        <f>'Galian Tanah'!C62</f>
        <v>1.2.1.1.5</v>
      </c>
      <c r="C56" s="12" t="str">
        <f>VLOOKUP(B56,'Galian Tanah'!C:K,2,FALSE)</f>
        <v xml:space="preserve">Penggalian 1 m3 tanah biasa sedalam &gt; 1 s.d. 2 m untuk volume &gt; 200 m3 secara manual 
</v>
      </c>
      <c r="D56" s="9" t="s">
        <v>42</v>
      </c>
      <c r="E56" s="1021">
        <f>VLOOKUP(C56,'Galian Tanah'!$D$6:$J$723,7,FALSE)</f>
        <v>86100</v>
      </c>
      <c r="F56" s="1003">
        <f>VLOOKUP(C56,'Galian Tanah'!$D$6:$K$723,8,FALSE)</f>
        <v>0</v>
      </c>
      <c r="G56" s="12">
        <f>VLOOKUP(C56,'Galian Tanah'!$D$6:$L$723,9,FALSE)</f>
        <v>0</v>
      </c>
      <c r="H56" s="374"/>
      <c r="I56" s="16"/>
    </row>
    <row r="57" spans="2:9" ht="24" customHeight="1">
      <c r="B57" s="1033" t="str">
        <f>'Galian Tanah'!C76</f>
        <v>1.2.1.1.6</v>
      </c>
      <c r="C57" s="12" t="str">
        <f>VLOOKUP(B57,'Galian Tanah'!C:K,2,FALSE)</f>
        <v>Penggalian 1 m3 tanah biasa sedalam &gt; 2 s.d. 3 m untuk volume s.d 200 m3 secara manual</v>
      </c>
      <c r="D57" s="9" t="s">
        <v>42</v>
      </c>
      <c r="E57" s="1021">
        <f>VLOOKUP(C57,'Galian Tanah'!$D$6:$J$723,7,FALSE)</f>
        <v>127200</v>
      </c>
      <c r="F57" s="1003">
        <f>VLOOKUP(C57,'Galian Tanah'!$D$6:$K$723,8,FALSE)</f>
        <v>0</v>
      </c>
      <c r="G57" s="12">
        <f>VLOOKUP(C57,'Galian Tanah'!$D$6:$L$723,9,FALSE)</f>
        <v>0</v>
      </c>
      <c r="H57" s="374"/>
      <c r="I57" s="16"/>
    </row>
    <row r="58" spans="2:9" ht="24" customHeight="1">
      <c r="B58" s="1033" t="str">
        <f>'Galian Tanah'!C90</f>
        <v>1.2.1.1.7</v>
      </c>
      <c r="C58" s="12" t="str">
        <f>VLOOKUP(B58,'Galian Tanah'!C:K,2,FALSE)</f>
        <v>Penggalian 1 m3 tanah biasa sedalam &gt; 2 s.d. 3 m untuk volume &gt; 200 m3 secara manual</v>
      </c>
      <c r="D58" s="9" t="s">
        <v>42</v>
      </c>
      <c r="E58" s="1021">
        <f>VLOOKUP(C58,'Galian Tanah'!$D$6:$J$723,7,FALSE)</f>
        <v>96900</v>
      </c>
      <c r="F58" s="1003">
        <f>VLOOKUP(C58,'Galian Tanah'!$D$6:$K$723,8,FALSE)</f>
        <v>0</v>
      </c>
      <c r="G58" s="12">
        <f>VLOOKUP(C58,'Galian Tanah'!$D$6:$L$723,9,FALSE)</f>
        <v>0</v>
      </c>
      <c r="H58" s="374"/>
      <c r="I58" s="16"/>
    </row>
    <row r="59" spans="2:9" ht="24" customHeight="1">
      <c r="B59" s="1033" t="str">
        <f>'Galian Tanah'!C104</f>
        <v>1.2.1.1.8</v>
      </c>
      <c r="C59" s="12" t="str">
        <f>VLOOKUP(B59,'Galian Tanah'!C:K,2,FALSE)</f>
        <v>Penggalian 1 m3 tanah biasa sedalam &gt; 3 m, setiap penambahan kedalaman 1 m secara manual</v>
      </c>
      <c r="D59" s="9" t="s">
        <v>42</v>
      </c>
      <c r="E59" s="1021">
        <f>VLOOKUP(C59,'Galian Tanah'!$D$6:$J$723,7,FALSE)</f>
        <v>9500</v>
      </c>
      <c r="F59" s="1003">
        <f>VLOOKUP(C59,'Galian Tanah'!$D$6:$K$723,8,FALSE)</f>
        <v>0</v>
      </c>
      <c r="G59" s="12">
        <f>VLOOKUP(C59,'Galian Tanah'!$D$6:$L$723,9,FALSE)</f>
        <v>0</v>
      </c>
      <c r="H59" s="374"/>
      <c r="I59" s="16"/>
    </row>
    <row r="60" spans="2:9" ht="24" customHeight="1">
      <c r="B60" s="1032" t="str">
        <f>'Galian Tanah'!C118</f>
        <v>1.2.1.2</v>
      </c>
      <c r="C60" s="33" t="str">
        <f>VLOOKUP(B60,'Galian Tanah'!C:K,2,FALSE)</f>
        <v xml:space="preserve">Cara Semi Mekanis </v>
      </c>
      <c r="D60" s="22"/>
      <c r="E60" s="1025"/>
      <c r="F60" s="1003">
        <f>VLOOKUP(C60,'Galian Tanah'!$D$6:$K$723,8,FALSE)</f>
        <v>0</v>
      </c>
      <c r="G60" s="12">
        <f>VLOOKUP(C60,'Galian Tanah'!$D$6:$L$723,9,FALSE)</f>
        <v>0</v>
      </c>
      <c r="H60" s="374"/>
      <c r="I60" s="16"/>
    </row>
    <row r="61" spans="2:9" ht="24" customHeight="1">
      <c r="B61" s="1033" t="str">
        <f>'Galian Tanah'!C119</f>
        <v>1.2.1.2.1</v>
      </c>
      <c r="C61" s="12" t="str">
        <f>VLOOKUP(B61,'Galian Tanah'!C:K,2,FALSE)</f>
        <v xml:space="preserve">Penggalian 1 m3 tanh biasa sedalam &gt; 0 s.d 1 m secara semi mekanis </v>
      </c>
      <c r="D61" s="9" t="s">
        <v>42</v>
      </c>
      <c r="E61" s="1021">
        <f>VLOOKUP(C61,'Galian Tanah'!$D$6:$J$723,7,FALSE)</f>
        <v>131000</v>
      </c>
      <c r="F61" s="1003">
        <f>VLOOKUP(C61,'Galian Tanah'!$D$6:$K$723,8,FALSE)</f>
        <v>0</v>
      </c>
      <c r="G61" s="12">
        <f>VLOOKUP(C61,'Galian Tanah'!$D$6:$L$723,9,FALSE)</f>
        <v>0</v>
      </c>
      <c r="H61" s="374"/>
      <c r="I61" s="16"/>
    </row>
    <row r="62" spans="2:9" ht="24" customHeight="1">
      <c r="B62" s="1033" t="str">
        <f>'Galian Tanah'!C134</f>
        <v>1.2.1.2.2</v>
      </c>
      <c r="C62" s="12" t="str">
        <f>VLOOKUP(B62,'Galian Tanah'!C:K,2,FALSE)</f>
        <v xml:space="preserve">Penggalian 1 m3 tanah biasa sedalam &gt;1 s.d 2 m secara semi mekanis </v>
      </c>
      <c r="D62" s="9" t="s">
        <v>42</v>
      </c>
      <c r="E62" s="1021">
        <f>VLOOKUP(C62,'Galian Tanah'!$D$6:$J$723,7,FALSE)</f>
        <v>142800</v>
      </c>
      <c r="F62" s="1003">
        <f>VLOOKUP(C62,'Galian Tanah'!$D$6:$K$723,8,FALSE)</f>
        <v>0</v>
      </c>
      <c r="G62" s="12">
        <f>VLOOKUP(C62,'Galian Tanah'!$D$6:$L$723,9,FALSE)</f>
        <v>0</v>
      </c>
      <c r="H62" s="374"/>
      <c r="I62" s="16"/>
    </row>
    <row r="63" spans="2:9" ht="24" customHeight="1">
      <c r="B63" s="1033" t="str">
        <f>'Galian Tanah'!C149</f>
        <v>1.2.1.2.3</v>
      </c>
      <c r="C63" s="12" t="str">
        <f>VLOOKUP(B63,'Galian Tanah'!C:K,2,FALSE)</f>
        <v xml:space="preserve">Penggalian 1 m3 tanah biasa sedalam &gt;2 s.d 3 m secara semi mekanis </v>
      </c>
      <c r="D63" s="9" t="s">
        <v>42</v>
      </c>
      <c r="E63" s="1021">
        <f>VLOOKUP(C63,'Galian Tanah'!$D$6:$J$723,7,FALSE)</f>
        <v>158400</v>
      </c>
      <c r="F63" s="1003">
        <f>VLOOKUP(C63,'Galian Tanah'!$D$6:$K$723,8,FALSE)</f>
        <v>0</v>
      </c>
      <c r="G63" s="12">
        <f>VLOOKUP(C63,'Galian Tanah'!$D$6:$L$723,9,FALSE)</f>
        <v>0</v>
      </c>
      <c r="H63" s="374"/>
      <c r="I63" s="16"/>
    </row>
    <row r="64" spans="2:9" ht="24" customHeight="1">
      <c r="B64" s="1033" t="str">
        <f>'Galian Tanah'!C166</f>
        <v>1.2.1.2.4</v>
      </c>
      <c r="C64" s="12" t="str">
        <f>VLOOKUP(B64,'Galian Tanah'!C:K,2,FALSE)</f>
        <v xml:space="preserve">Penggalian 1 m3 tanah biasa &gt; 3 m untuk setiap  penambahan kedalaman 1 m secara semi mekanis </v>
      </c>
      <c r="D64" s="9" t="s">
        <v>42</v>
      </c>
      <c r="E64" s="1021">
        <f>VLOOKUP(C64,'Galian Tanah'!$D$6:$J$723,7,FALSE)</f>
        <v>17100</v>
      </c>
      <c r="F64" s="1003">
        <f>VLOOKUP(C64,'Galian Tanah'!$D$6:$K$723,8,FALSE)</f>
        <v>0</v>
      </c>
      <c r="G64" s="12">
        <f>VLOOKUP(C64,'Galian Tanah'!$D$6:$L$723,9,FALSE)</f>
        <v>0</v>
      </c>
      <c r="H64" s="374"/>
      <c r="I64" s="16"/>
    </row>
    <row r="65" spans="2:9" ht="24" customHeight="1">
      <c r="B65" s="1031" t="str">
        <f>'Galian Tanah'!C181</f>
        <v xml:space="preserve">1.2.2 </v>
      </c>
      <c r="C65" s="41" t="str">
        <f>VLOOKUP(B65,'Galian Tanah'!C:K,2,FALSE)</f>
        <v xml:space="preserve">Pasir </v>
      </c>
      <c r="D65" s="983"/>
      <c r="E65" s="1024"/>
      <c r="F65" s="1006"/>
      <c r="G65" s="37"/>
      <c r="H65" s="374"/>
      <c r="I65" s="16"/>
    </row>
    <row r="66" spans="2:9" ht="24" customHeight="1">
      <c r="B66" s="1032" t="str">
        <f>'Galian Tanah'!C182</f>
        <v xml:space="preserve">1.2.2.1 </v>
      </c>
      <c r="C66" s="33" t="str">
        <f>VLOOKUP(B66,'Galian Tanah'!C:K,2,FALSE)</f>
        <v xml:space="preserve">Cara Manual </v>
      </c>
      <c r="D66" s="22"/>
      <c r="E66" s="1025"/>
      <c r="F66" s="1003"/>
      <c r="G66" s="12"/>
      <c r="H66" s="374"/>
      <c r="I66" s="16"/>
    </row>
    <row r="67" spans="2:9" ht="24" customHeight="1">
      <c r="B67" s="1033" t="str">
        <f>'Galian Tanah'!C183</f>
        <v xml:space="preserve">1.2.2.1.1 </v>
      </c>
      <c r="C67" s="12" t="str">
        <f>VLOOKUP(B67,'Galian Tanah'!C:K,2,FALSE)</f>
        <v xml:space="preserve">Penggalian 1 m3 pasir sedalam &gt;0 s.d 1 m secara manual </v>
      </c>
      <c r="D67" s="9" t="s">
        <v>42</v>
      </c>
      <c r="E67" s="1021">
        <f>VLOOKUP(C67,'Galian Tanah'!$D$6:$J$723,7,FALSE)</f>
        <v>84200</v>
      </c>
      <c r="F67" s="1003">
        <f>VLOOKUP(C67,'Galian Tanah'!$D$6:$K$723,8,FALSE)</f>
        <v>0</v>
      </c>
      <c r="G67" s="12">
        <f>VLOOKUP(C67,'Galian Tanah'!$D$6:$L$723,9,FALSE)</f>
        <v>0</v>
      </c>
      <c r="H67" s="374"/>
      <c r="I67" s="16"/>
    </row>
    <row r="68" spans="2:9" ht="24" customHeight="1">
      <c r="B68" s="1033" t="str">
        <f>'Galian Tanah'!C197</f>
        <v>1.2.2.1.2</v>
      </c>
      <c r="C68" s="12" t="str">
        <f>VLOOKUP(B68,'Galian Tanah'!C:K,2,FALSE)</f>
        <v xml:space="preserve">Penggalian 1 m3 pasir sedalam &gt; 1 s.d 2 m secara manual </v>
      </c>
      <c r="D68" s="9" t="s">
        <v>42</v>
      </c>
      <c r="E68" s="1021">
        <f>VLOOKUP(C68,'Galian Tanah'!$D$6:$J$723,7,FALSE)</f>
        <v>89400</v>
      </c>
      <c r="F68" s="1003">
        <f>VLOOKUP(C68,'Galian Tanah'!$D$6:$K$723,8,FALSE)</f>
        <v>0</v>
      </c>
      <c r="G68" s="12">
        <f>VLOOKUP(C68,'Galian Tanah'!$D$6:$L$723,9,FALSE)</f>
        <v>0</v>
      </c>
      <c r="H68" s="374"/>
      <c r="I68" s="16"/>
    </row>
    <row r="69" spans="2:9" ht="24" customHeight="1">
      <c r="B69" s="1033" t="str">
        <f>'Galian Tanah'!C211</f>
        <v>1.2.2.1.3</v>
      </c>
      <c r="C69" s="12" t="str">
        <f>VLOOKUP(B69,'Galian Tanah'!C:K,2,FALSE)</f>
        <v xml:space="preserve">Penggalian 1 m3 pasir sedalam &gt; 2 s.d 3 m secara manual </v>
      </c>
      <c r="D69" s="9" t="s">
        <v>42</v>
      </c>
      <c r="E69" s="1021">
        <f>VLOOKUP(C69,'Galian Tanah'!$D$6:$J$723,7,FALSE)</f>
        <v>117300</v>
      </c>
      <c r="F69" s="1003">
        <f>VLOOKUP(C69,'Galian Tanah'!$D$6:$K$723,8,FALSE)</f>
        <v>0</v>
      </c>
      <c r="G69" s="12">
        <f>VLOOKUP(C69,'Galian Tanah'!$D$6:$L$723,9,FALSE)</f>
        <v>0</v>
      </c>
      <c r="H69" s="374"/>
      <c r="I69" s="16"/>
    </row>
    <row r="70" spans="2:9" ht="24" customHeight="1">
      <c r="B70" s="1033" t="str">
        <f>'Galian Tanah'!C226</f>
        <v>1.2.2.1.4</v>
      </c>
      <c r="C70" s="12" t="str">
        <f>VLOOKUP(B70,'Galian Tanah'!C:K,2,FALSE)</f>
        <v xml:space="preserve">Penggalian 1 m3 pasir sedalam &gt;  3 m  tiap tambahan dalam 1 msecara manual </v>
      </c>
      <c r="D70" s="9" t="s">
        <v>42</v>
      </c>
      <c r="E70" s="1021">
        <f>VLOOKUP(C70,'Galian Tanah'!$D$6:$J$723,7,FALSE)</f>
        <v>12700</v>
      </c>
      <c r="F70" s="1003">
        <f>VLOOKUP(C70,'Galian Tanah'!$D$6:$K$723,8,FALSE)</f>
        <v>0</v>
      </c>
      <c r="G70" s="12">
        <f>VLOOKUP(C70,'Galian Tanah'!$D$6:$L$723,9,FALSE)</f>
        <v>0</v>
      </c>
      <c r="H70" s="374"/>
      <c r="I70" s="16"/>
    </row>
    <row r="71" spans="2:9" ht="24" customHeight="1">
      <c r="B71" s="1032" t="str">
        <f>'Galian Tanah'!C241</f>
        <v>1.2.2.2</v>
      </c>
      <c r="C71" s="33" t="str">
        <f>VLOOKUP(B71,'Galian Tanah'!C:K,2,FALSE)</f>
        <v xml:space="preserve">Cara Semi Mekanis </v>
      </c>
      <c r="D71" s="22"/>
      <c r="E71" s="1025"/>
      <c r="F71" s="1003">
        <f>VLOOKUP(C71,'Galian Tanah'!$D$6:$K$723,8,FALSE)</f>
        <v>0</v>
      </c>
      <c r="G71" s="12">
        <f>VLOOKUP(C71,'Galian Tanah'!$D$6:$L$723,9,FALSE)</f>
        <v>0</v>
      </c>
      <c r="H71" s="374"/>
      <c r="I71" s="16"/>
    </row>
    <row r="72" spans="2:9" ht="24" customHeight="1">
      <c r="B72" s="1033" t="str">
        <f>'Galian Tanah'!C242</f>
        <v>1.2.2.2.1</v>
      </c>
      <c r="C72" s="12" t="str">
        <f>VLOOKUP(B72,'Galian Tanah'!C:K,2,FALSE)</f>
        <v xml:space="preserve">Penggalian 1 m3 pasir sedalam &gt;  0 s.d 1 m secara semi mekanis </v>
      </c>
      <c r="D72" s="9" t="s">
        <v>42</v>
      </c>
      <c r="E72" s="1021">
        <f>VLOOKUP(C72,'Galian Tanah'!$D$6:$J$723,7,FALSE)</f>
        <v>44200</v>
      </c>
      <c r="F72" s="1003">
        <f>VLOOKUP(C72,'Galian Tanah'!$D$6:$K$723,8,FALSE)</f>
        <v>0</v>
      </c>
      <c r="G72" s="12">
        <f>VLOOKUP(C72,'Galian Tanah'!$D$6:$L$723,9,FALSE)</f>
        <v>0</v>
      </c>
      <c r="H72" s="374"/>
      <c r="I72" s="16"/>
    </row>
    <row r="73" spans="2:9" ht="24" customHeight="1">
      <c r="B73" s="1033" t="str">
        <f>'Galian Tanah'!C257</f>
        <v>1.2.2.2.2</v>
      </c>
      <c r="C73" s="12" t="str">
        <f>VLOOKUP(B73,'Galian Tanah'!C:K,2,FALSE)</f>
        <v xml:space="preserve">Penggalian 1 m3 pasir sedalam &gt;  1 s.d 2 m secara semi mekanis </v>
      </c>
      <c r="D73" s="9" t="s">
        <v>42</v>
      </c>
      <c r="E73" s="1021">
        <f>VLOOKUP(C73,'Galian Tanah'!$D$6:$J$723,7,FALSE)</f>
        <v>50700</v>
      </c>
      <c r="F73" s="1003">
        <f>VLOOKUP(C73,'Galian Tanah'!$D$6:$K$723,8,FALSE)</f>
        <v>0</v>
      </c>
      <c r="G73" s="12">
        <f>VLOOKUP(C73,'Galian Tanah'!$D$6:$L$723,9,FALSE)</f>
        <v>0</v>
      </c>
      <c r="H73" s="374"/>
      <c r="I73" s="16"/>
    </row>
    <row r="74" spans="2:9" ht="24" customHeight="1">
      <c r="B74" s="1033" t="str">
        <f>'Galian Tanah'!C273</f>
        <v>1.2.2.2.3</v>
      </c>
      <c r="C74" s="12" t="str">
        <f>VLOOKUP(B74,'Galian Tanah'!C:K,2,FALSE)</f>
        <v xml:space="preserve">Penggalian 1 m3 pasir sedalam &gt;  2 s.d 3 m secara semi mekanis </v>
      </c>
      <c r="D74" s="9" t="s">
        <v>42</v>
      </c>
      <c r="E74" s="1021">
        <f>VLOOKUP(C74,'Galian Tanah'!$D$6:$J$723,7,FALSE)</f>
        <v>57900</v>
      </c>
      <c r="F74" s="1003">
        <f>VLOOKUP(C74,'Galian Tanah'!$D$6:$K$723,8,FALSE)</f>
        <v>0</v>
      </c>
      <c r="G74" s="12">
        <f>VLOOKUP(C74,'Galian Tanah'!$D$6:$L$723,9,FALSE)</f>
        <v>0</v>
      </c>
      <c r="H74" s="374"/>
      <c r="I74" s="16"/>
    </row>
    <row r="75" spans="2:9" ht="24" customHeight="1">
      <c r="B75" s="1033" t="str">
        <f>'Galian Tanah'!C289</f>
        <v>1.2.2.2.4</v>
      </c>
      <c r="C75" s="12" t="str">
        <f>VLOOKUP(B75,'Galian Tanah'!C:K,2,FALSE)</f>
        <v>Penggalian 1 m3 pasir sedalam &gt;   3 m secara semi mekanis untuk setiap tambahan dalm 1 m</v>
      </c>
      <c r="D75" s="9" t="s">
        <v>42</v>
      </c>
      <c r="E75" s="1021">
        <f>VLOOKUP(C75,'Galian Tanah'!$D$6:$J$723,7,FALSE)</f>
        <v>8600</v>
      </c>
      <c r="F75" s="1003">
        <f>VLOOKUP(C75,'Galian Tanah'!$D$6:$K$723,8,FALSE)</f>
        <v>0</v>
      </c>
      <c r="G75" s="12">
        <f>VLOOKUP(C75,'Galian Tanah'!$D$6:$L$723,9,FALSE)</f>
        <v>0</v>
      </c>
      <c r="H75" s="374"/>
      <c r="I75" s="16"/>
    </row>
    <row r="76" spans="2:9" ht="24" customHeight="1">
      <c r="B76" s="1031" t="str">
        <f>'Galian Tanah'!C305</f>
        <v>1.2.3</v>
      </c>
      <c r="C76" s="41" t="str">
        <f>VLOOKUP(B76,'Galian Tanah'!C:K,2,FALSE)</f>
        <v xml:space="preserve">Tanah Berbatu </v>
      </c>
      <c r="D76" s="983"/>
      <c r="E76" s="1024"/>
      <c r="F76" s="1006"/>
      <c r="G76" s="37"/>
      <c r="H76" s="374"/>
      <c r="I76" s="16"/>
    </row>
    <row r="77" spans="2:9" ht="24" customHeight="1">
      <c r="B77" s="1032" t="str">
        <f>'Galian Tanah'!C306</f>
        <v>1.2.3.1</v>
      </c>
      <c r="C77" s="33" t="str">
        <f>VLOOKUP(B77,'Galian Tanah'!C:K,2,FALSE)</f>
        <v xml:space="preserve">Cara Manual </v>
      </c>
      <c r="D77" s="22"/>
      <c r="E77" s="1025"/>
      <c r="F77" s="1003">
        <f>VLOOKUP(C77,'Galian Tanah'!$D$6:$K$723,8,FALSE)</f>
        <v>0</v>
      </c>
      <c r="G77" s="12">
        <f>VLOOKUP(C77,'Galian Tanah'!$D$6:$L$723,9,FALSE)</f>
        <v>0</v>
      </c>
      <c r="H77" s="374"/>
      <c r="I77" s="16"/>
    </row>
    <row r="78" spans="2:9" ht="24" customHeight="1">
      <c r="B78" s="1033" t="str">
        <f>'Galian Tanah'!C307</f>
        <v>1.2.3.1.1</v>
      </c>
      <c r="C78" s="12" t="str">
        <f>VLOOKUP(B78,'Galian Tanah'!C:K,2,FALSE)</f>
        <v xml:space="preserve">Penggalian 1 m3 tanah berbatu sedalam &gt; 0 s.d 1 m secara Manual </v>
      </c>
      <c r="D78" s="9" t="s">
        <v>42</v>
      </c>
      <c r="E78" s="1021">
        <f>VLOOKUP(C78,'Galian Tanah'!$D$6:$J$723,7,FALSE)</f>
        <v>150900</v>
      </c>
      <c r="F78" s="1003">
        <f>VLOOKUP(C78,'Galian Tanah'!$D$6:$K$723,8,FALSE)</f>
        <v>0</v>
      </c>
      <c r="G78" s="12">
        <f>VLOOKUP(C78,'Galian Tanah'!$D$6:$L$723,9,FALSE)</f>
        <v>0</v>
      </c>
      <c r="H78" s="374"/>
      <c r="I78" s="16"/>
    </row>
    <row r="79" spans="2:9" ht="24" customHeight="1">
      <c r="B79" s="1033" t="str">
        <f>'Galian Tanah'!C322</f>
        <v>1.2.3.1.2</v>
      </c>
      <c r="C79" s="12" t="str">
        <f>VLOOKUP(B79,'Galian Tanah'!C:K,2,FALSE)</f>
        <v xml:space="preserve">Penggalian 1 m3 tanah berbatu sedalam &gt; 1 s.d 2 m secara Manual </v>
      </c>
      <c r="D79" s="9" t="s">
        <v>42</v>
      </c>
      <c r="E79" s="1021">
        <f>VLOOKUP(C79,'Galian Tanah'!$D$6:$J$723,7,FALSE)</f>
        <v>191400</v>
      </c>
      <c r="F79" s="1003">
        <f>VLOOKUP(C79,'Galian Tanah'!$D$6:$K$723,8,FALSE)</f>
        <v>0</v>
      </c>
      <c r="G79" s="12">
        <f>VLOOKUP(C79,'Galian Tanah'!$D$6:$L$723,9,FALSE)</f>
        <v>0</v>
      </c>
      <c r="H79" s="374"/>
      <c r="I79" s="16"/>
    </row>
    <row r="80" spans="2:9" ht="24" customHeight="1">
      <c r="B80" s="1033" t="str">
        <f>'Galian Tanah'!C336</f>
        <v>1.2.3.1.3</v>
      </c>
      <c r="C80" s="12" t="str">
        <f>VLOOKUP(B80,'Galian Tanah'!C:K,2,FALSE)</f>
        <v xml:space="preserve">Penggalian 1 m3 tanah berbatu sedalam &gt; 2 s.d 3 m secara Manual </v>
      </c>
      <c r="D80" s="9" t="s">
        <v>42</v>
      </c>
      <c r="E80" s="1021">
        <f>VLOOKUP(C80,'Galian Tanah'!$D$6:$J$723,7,FALSE)</f>
        <v>210500</v>
      </c>
      <c r="F80" s="1003">
        <f>VLOOKUP(C80,'Galian Tanah'!$D$6:$K$723,8,FALSE)</f>
        <v>0</v>
      </c>
      <c r="G80" s="12">
        <f>VLOOKUP(C80,'Galian Tanah'!$D$6:$L$723,9,FALSE)</f>
        <v>0</v>
      </c>
      <c r="H80" s="374"/>
      <c r="I80" s="16"/>
    </row>
    <row r="81" spans="2:9" ht="24" customHeight="1">
      <c r="B81" s="1033" t="str">
        <f>'Galian Tanah'!C350</f>
        <v>1.2.3.1.4</v>
      </c>
      <c r="C81" s="12" t="str">
        <f>VLOOKUP(B81,'Galian Tanah'!C:K,2,FALSE)</f>
        <v xml:space="preserve">Penggalian 1 m3 tanah berbatu sedalam &gt;3 m, setiap tambah dalam 1 m secara Manual </v>
      </c>
      <c r="D81" s="9" t="s">
        <v>42</v>
      </c>
      <c r="E81" s="1021">
        <f>VLOOKUP(C81,'Galian Tanah'!$D$6:$J$723,7,FALSE)</f>
        <v>17800</v>
      </c>
      <c r="F81" s="1003">
        <f>VLOOKUP(C81,'Galian Tanah'!$D$6:$K$723,8,FALSE)</f>
        <v>0</v>
      </c>
      <c r="G81" s="12">
        <f>VLOOKUP(C81,'Galian Tanah'!$D$6:$L$723,9,FALSE)</f>
        <v>0</v>
      </c>
      <c r="H81" s="374"/>
      <c r="I81" s="16"/>
    </row>
    <row r="82" spans="2:9" ht="24" customHeight="1">
      <c r="B82" s="1032" t="str">
        <f>'Galian Tanah'!C365</f>
        <v xml:space="preserve">1.2.3.2 </v>
      </c>
      <c r="C82" s="33" t="str">
        <f>VLOOKUP(B82,'Galian Tanah'!C:K,2,FALSE)</f>
        <v xml:space="preserve">Cara Semi Mekanis </v>
      </c>
      <c r="D82" s="22"/>
      <c r="E82" s="1025"/>
      <c r="F82" s="1003">
        <f>VLOOKUP(C82,'Galian Tanah'!$D$6:$K$723,8,FALSE)</f>
        <v>0</v>
      </c>
      <c r="G82" s="12">
        <f>VLOOKUP(C82,'Galian Tanah'!$D$6:$L$723,9,FALSE)</f>
        <v>0</v>
      </c>
      <c r="H82" s="374"/>
      <c r="I82" s="16"/>
    </row>
    <row r="83" spans="2:9" ht="24" customHeight="1">
      <c r="B83" s="1033" t="str">
        <f>'Galian Tanah'!C366</f>
        <v>1.2.3.2.1</v>
      </c>
      <c r="C83" s="12" t="str">
        <f>VLOOKUP(B83,'Galian Tanah'!C:K,2,FALSE)</f>
        <v xml:space="preserve">Penggalian 1 m3 tanah berbatu sedalam &gt; 0 s.d 1 m secara semi mekanis </v>
      </c>
      <c r="D83" s="9" t="s">
        <v>42</v>
      </c>
      <c r="E83" s="1021">
        <f>VLOOKUP(C83,'Galian Tanah'!$D$6:$J$723,7,FALSE)</f>
        <v>229800</v>
      </c>
      <c r="F83" s="1003">
        <f>VLOOKUP(C83,'Galian Tanah'!$D$6:$K$723,8,FALSE)</f>
        <v>0</v>
      </c>
      <c r="G83" s="12">
        <f>VLOOKUP(C83,'Galian Tanah'!$D$6:$L$723,9,FALSE)</f>
        <v>0</v>
      </c>
      <c r="H83" s="374"/>
      <c r="I83" s="16"/>
    </row>
    <row r="84" spans="2:9" ht="24" customHeight="1">
      <c r="B84" s="1033" t="str">
        <f>'Galian Tanah'!C381</f>
        <v>1.2.3.2.2</v>
      </c>
      <c r="C84" s="12" t="str">
        <f>VLOOKUP(B84,'Galian Tanah'!C:K,2,FALSE)</f>
        <v xml:space="preserve">Penggalian 1 m3 tanah berbatu sedalam &gt; 1 s.d 2 m secara semi mekanis </v>
      </c>
      <c r="D84" s="9" t="s">
        <v>42</v>
      </c>
      <c r="E84" s="1021">
        <f>VLOOKUP(C84,'Galian Tanah'!$D$6:$J$723,7,FALSE)</f>
        <v>250200</v>
      </c>
      <c r="F84" s="1003">
        <f>VLOOKUP(C84,'Galian Tanah'!$D$6:$K$723,8,FALSE)</f>
        <v>0</v>
      </c>
      <c r="G84" s="12">
        <f>VLOOKUP(C84,'Galian Tanah'!$D$6:$L$723,9,FALSE)</f>
        <v>0</v>
      </c>
      <c r="H84" s="374"/>
      <c r="I84" s="16"/>
    </row>
    <row r="85" spans="2:9" ht="24" customHeight="1">
      <c r="B85" s="1033" t="str">
        <f>'Galian Tanah'!C396</f>
        <v>1.2.3.2.3</v>
      </c>
      <c r="C85" s="12" t="str">
        <f>VLOOKUP(B85,'Galian Tanah'!C:K,2,FALSE)</f>
        <v xml:space="preserve">Penggalian 1 m3 tanah berbatu sedalam &gt; 2 s.d 3 m secara semi mekanis </v>
      </c>
      <c r="D85" s="9" t="s">
        <v>42</v>
      </c>
      <c r="E85" s="1021">
        <f>VLOOKUP(C85,'Galian Tanah'!$D$6:$J$723,7,FALSE)</f>
        <v>276800</v>
      </c>
      <c r="F85" s="1003">
        <f>VLOOKUP(C85,'Galian Tanah'!$D$6:$K$723,8,FALSE)</f>
        <v>0</v>
      </c>
      <c r="G85" s="12">
        <f>VLOOKUP(C85,'Galian Tanah'!$D$6:$L$723,9,FALSE)</f>
        <v>0</v>
      </c>
      <c r="H85" s="374"/>
      <c r="I85" s="16"/>
    </row>
    <row r="86" spans="2:9" ht="24" customHeight="1">
      <c r="B86" s="1033" t="str">
        <f>'Galian Tanah'!C411</f>
        <v>1.2.3.2.4</v>
      </c>
      <c r="C86" s="12" t="str">
        <f>VLOOKUP(B86,'Galian Tanah'!C:K,2,FALSE)</f>
        <v xml:space="preserve">Penggalian 1 m3 tanah berbatu sedalam &gt; 3 , setiap tambahan dalam 1 m secara semi mekanis </v>
      </c>
      <c r="D86" s="9" t="s">
        <v>42</v>
      </c>
      <c r="E86" s="1021">
        <f>VLOOKUP(C86,'Galian Tanah'!$D$6:$J$723,7,FALSE)</f>
        <v>30500</v>
      </c>
      <c r="F86" s="1003">
        <f>VLOOKUP(C86,'Galian Tanah'!$D$6:$K$723,8,FALSE)</f>
        <v>0</v>
      </c>
      <c r="G86" s="12">
        <f>VLOOKUP(C86,'Galian Tanah'!$D$6:$L$723,9,FALSE)</f>
        <v>0</v>
      </c>
      <c r="H86" s="374"/>
      <c r="I86" s="16"/>
    </row>
    <row r="87" spans="2:9" ht="24" customHeight="1">
      <c r="B87" s="1031" t="str">
        <f>'Galian Tanah'!C426</f>
        <v>1.2.4</v>
      </c>
      <c r="C87" s="41" t="str">
        <f>VLOOKUP(B87,'Galian Tanah'!C:K,2,FALSE)</f>
        <v xml:space="preserve">Tanah Keras atau Cadas </v>
      </c>
      <c r="D87" s="983"/>
      <c r="E87" s="1024"/>
      <c r="F87" s="1006"/>
      <c r="G87" s="37"/>
      <c r="H87" s="374"/>
      <c r="I87" s="16"/>
    </row>
    <row r="88" spans="2:9" ht="24" customHeight="1">
      <c r="B88" s="1032" t="str">
        <f>'Galian Tanah'!C427</f>
        <v>1.2.4.1</v>
      </c>
      <c r="C88" s="33" t="str">
        <f>VLOOKUP(B88,'Galian Tanah'!C:K,2,FALSE)</f>
        <v xml:space="preserve">Cara Manual </v>
      </c>
      <c r="D88" s="22"/>
      <c r="E88" s="1025"/>
      <c r="F88" s="1003">
        <f>VLOOKUP(C88,'Galian Tanah'!$D$6:$K$723,8,FALSE)</f>
        <v>0</v>
      </c>
      <c r="G88" s="12">
        <f>VLOOKUP(C88,'Galian Tanah'!$D$6:$L$723,9,FALSE)</f>
        <v>0</v>
      </c>
      <c r="H88" s="374"/>
      <c r="I88" s="16"/>
    </row>
    <row r="89" spans="2:9" ht="24" customHeight="1">
      <c r="B89" s="1033" t="str">
        <f>'Galian Tanah'!C428</f>
        <v>1.2.4.1.1</v>
      </c>
      <c r="C89" s="12" t="str">
        <f>VLOOKUP(B89,'Galian Tanah'!C:K,2,FALSE)</f>
        <v xml:space="preserve">Penggalian 1 m3 cadas atau tanah keras sedalam &gt; 0 s.d 1 m untuk volume s.d 200m3 secara manual </v>
      </c>
      <c r="D89" s="9" t="s">
        <v>42</v>
      </c>
      <c r="E89" s="1021">
        <f>VLOOKUP(C89,'Galian Tanah'!$D$6:$J$723,7,FALSE)</f>
        <v>178200</v>
      </c>
      <c r="F89" s="1003">
        <f>VLOOKUP(C89,'Galian Tanah'!$D$6:$K$723,8,FALSE)</f>
        <v>0</v>
      </c>
      <c r="G89" s="12">
        <f>VLOOKUP(C89,'Galian Tanah'!$D$6:$L$723,9,FALSE)</f>
        <v>0</v>
      </c>
      <c r="H89" s="374"/>
      <c r="I89" s="16"/>
    </row>
    <row r="90" spans="2:9" ht="24" customHeight="1">
      <c r="B90" s="1033" t="str">
        <f>'Galian Tanah'!C442</f>
        <v>1.2.4.1.2</v>
      </c>
      <c r="C90" s="12" t="str">
        <f>VLOOKUP(B90,'Galian Tanah'!C:K,2,FALSE)</f>
        <v xml:space="preserve">Penggalian 1 m3 cadas atau tanah keras sedalam &gt; 0 s.d 1 m untuk volume &gt; 200 m3 secara manual </v>
      </c>
      <c r="D90" s="9" t="s">
        <v>42</v>
      </c>
      <c r="E90" s="1021">
        <f>VLOOKUP(C90,'Galian Tanah'!$D$6:$J$723,7,FALSE)</f>
        <v>139700</v>
      </c>
      <c r="F90" s="1003">
        <f>VLOOKUP(C90,'Galian Tanah'!$D$6:$K$723,8,FALSE)</f>
        <v>0</v>
      </c>
      <c r="G90" s="12">
        <f>VLOOKUP(C90,'Galian Tanah'!$D$6:$L$723,9,FALSE)</f>
        <v>0</v>
      </c>
      <c r="H90" s="374"/>
      <c r="I90" s="16"/>
    </row>
    <row r="91" spans="2:9" ht="24" customHeight="1">
      <c r="B91" s="1033" t="str">
        <f>'Galian Tanah'!C457</f>
        <v>1.2.4.1.3</v>
      </c>
      <c r="C91" s="12" t="str">
        <f>VLOOKUP(B91,'Galian Tanah'!C:K,2,FALSE)</f>
        <v xml:space="preserve">Penggalian 1 m3 cadas atau tanah keras sedalam &gt; 1 s.d 2 m untuk volume s.d 200 m3 secara manual </v>
      </c>
      <c r="D91" s="9" t="s">
        <v>42</v>
      </c>
      <c r="E91" s="1021">
        <f>VLOOKUP(C91,'Galian Tanah'!$D$6:$J$723,7,FALSE)</f>
        <v>175500</v>
      </c>
      <c r="F91" s="1003">
        <f>VLOOKUP(C91,'Galian Tanah'!$D$6:$K$723,8,FALSE)</f>
        <v>0</v>
      </c>
      <c r="G91" s="12">
        <f>VLOOKUP(C91,'Galian Tanah'!$D$6:$L$723,9,FALSE)</f>
        <v>0</v>
      </c>
      <c r="H91" s="374"/>
      <c r="I91" s="16"/>
    </row>
    <row r="92" spans="2:9" ht="24" customHeight="1">
      <c r="B92" s="1033" t="str">
        <f>'Galian Tanah'!C471</f>
        <v>1.2.4.1.4</v>
      </c>
      <c r="C92" s="12" t="str">
        <f>VLOOKUP(B92,'Galian Tanah'!C:K,2,FALSE)</f>
        <v xml:space="preserve">Penggalian 1 m3 cadas atau tanah keras sedalam &gt; 1 s.d 2 m untuk volume &gt; 200 m3 secara manual </v>
      </c>
      <c r="D92" s="9" t="s">
        <v>42</v>
      </c>
      <c r="E92" s="1021">
        <f>VLOOKUP(C92,'Galian Tanah'!$D$6:$J$723,7,FALSE)</f>
        <v>177600</v>
      </c>
      <c r="F92" s="1003">
        <f>VLOOKUP(C92,'Galian Tanah'!$D$6:$K$723,8,FALSE)</f>
        <v>0</v>
      </c>
      <c r="G92" s="12">
        <f>VLOOKUP(C92,'Galian Tanah'!$D$6:$L$723,9,FALSE)</f>
        <v>0</v>
      </c>
      <c r="H92" s="374"/>
      <c r="I92" s="16"/>
    </row>
    <row r="93" spans="2:9" ht="24" customHeight="1">
      <c r="B93" s="1033" t="str">
        <f>'Galian Tanah'!C485</f>
        <v>1.2.4.1.5</v>
      </c>
      <c r="C93" s="12" t="str">
        <f>VLOOKUP(B93,'Galian Tanah'!C:K,2,FALSE)</f>
        <v xml:space="preserve">Penggalian 1 m3 cadas atau tanah keras sedalam &gt; 2 s.d 3 m untuk volume &gt;s.d 200 m3 secara manual </v>
      </c>
      <c r="D93" s="9" t="s">
        <v>42</v>
      </c>
      <c r="E93" s="1021">
        <f>VLOOKUP(C93,'Galian Tanah'!$D$6:$J$723,7,FALSE)</f>
        <v>191400</v>
      </c>
      <c r="F93" s="1003">
        <f>VLOOKUP(C93,'Galian Tanah'!$D$6:$K$723,8,FALSE)</f>
        <v>0</v>
      </c>
      <c r="G93" s="12">
        <f>VLOOKUP(C93,'Galian Tanah'!$D$6:$L$723,9,FALSE)</f>
        <v>0</v>
      </c>
      <c r="H93" s="374"/>
      <c r="I93" s="16"/>
    </row>
    <row r="94" spans="2:9" ht="24" customHeight="1">
      <c r="B94" s="1033" t="str">
        <f>'Galian Tanah'!C499</f>
        <v>1.2.4.1.6</v>
      </c>
      <c r="C94" s="12" t="str">
        <f>VLOOKUP(B94,'Galian Tanah'!C:K,2,FALSE)</f>
        <v xml:space="preserve">Penggalian 1 m3 cadas atau tanah keras sedalam &gt; 3 m tiap tambahan dalam 1 m  secara manual </v>
      </c>
      <c r="D94" s="9" t="s">
        <v>42</v>
      </c>
      <c r="E94" s="1021">
        <f>VLOOKUP(C94,'Galian Tanah'!$D$6:$J$723,7,FALSE)</f>
        <v>12700</v>
      </c>
      <c r="F94" s="1003">
        <f>VLOOKUP(C94,'Galian Tanah'!$D$6:$K$723,8,FALSE)</f>
        <v>0</v>
      </c>
      <c r="G94" s="12">
        <f>VLOOKUP(C94,'Galian Tanah'!$D$6:$L$723,9,FALSE)</f>
        <v>0</v>
      </c>
      <c r="H94" s="374"/>
      <c r="I94" s="16"/>
    </row>
    <row r="95" spans="2:9" ht="24" customHeight="1">
      <c r="B95" s="1032" t="str">
        <f>'Galian Tanah'!C513</f>
        <v>1.2.4.2</v>
      </c>
      <c r="C95" s="33" t="str">
        <f>VLOOKUP(B95,'Galian Tanah'!C:K,2,FALSE)</f>
        <v xml:space="preserve">Cara Semi Mekanis </v>
      </c>
      <c r="D95" s="22"/>
      <c r="E95" s="1025"/>
      <c r="F95" s="1003">
        <f>VLOOKUP(C95,'Galian Tanah'!$D$6:$K$723,8,FALSE)</f>
        <v>0</v>
      </c>
      <c r="G95" s="12">
        <f>VLOOKUP(C95,'Galian Tanah'!$D$6:$L$723,9,FALSE)</f>
        <v>0</v>
      </c>
      <c r="H95" s="374"/>
      <c r="I95" s="16"/>
    </row>
    <row r="96" spans="2:9" ht="24" customHeight="1">
      <c r="B96" s="1033" t="str">
        <f>'Galian Tanah'!C514</f>
        <v>1.2.4.2.1</v>
      </c>
      <c r="C96" s="12" t="str">
        <f>VLOOKUP(B96,'Galian Tanah'!C:K,2,FALSE)</f>
        <v xml:space="preserve">Penggalian 1 m3 cadas atau tanah keras sedalam &gt; 0 s.d 1 m secara semi mekanis </v>
      </c>
      <c r="D96" s="9" t="s">
        <v>42</v>
      </c>
      <c r="E96" s="1021">
        <f>VLOOKUP(C96,'Galian Tanah'!$D$6:$J$723,7,FALSE)</f>
        <v>188300</v>
      </c>
      <c r="F96" s="1003">
        <f>VLOOKUP(C96,'Galian Tanah'!$D$6:$K$723,8,FALSE)</f>
        <v>0</v>
      </c>
      <c r="G96" s="12">
        <f>VLOOKUP(C96,'Galian Tanah'!$D$6:$L$723,9,FALSE)</f>
        <v>0</v>
      </c>
      <c r="H96" s="374"/>
      <c r="I96" s="16"/>
    </row>
    <row r="97" spans="2:9" ht="24" customHeight="1">
      <c r="B97" s="1033" t="str">
        <f>'Galian Tanah'!C530</f>
        <v xml:space="preserve">1.2.4.2.2 </v>
      </c>
      <c r="C97" s="12" t="str">
        <f>VLOOKUP(B97,'Galian Tanah'!C:K,2,FALSE)</f>
        <v xml:space="preserve">Penggalian 1 m3 cadas atau tanah keras sedalam &gt; 1 s.d 2 m secara semi mekanis </v>
      </c>
      <c r="D97" s="9" t="s">
        <v>42</v>
      </c>
      <c r="E97" s="1021">
        <f>VLOOKUP(C97,'Galian Tanah'!$D$6:$J$723,7,FALSE)</f>
        <v>205100</v>
      </c>
      <c r="F97" s="1003">
        <f>VLOOKUP(C97,'Galian Tanah'!$D$6:$K$723,8,FALSE)</f>
        <v>0</v>
      </c>
      <c r="G97" s="12">
        <f>VLOOKUP(C97,'Galian Tanah'!$D$6:$L$723,9,FALSE)</f>
        <v>0</v>
      </c>
      <c r="H97" s="374"/>
      <c r="I97" s="16"/>
    </row>
    <row r="98" spans="2:9" ht="24" customHeight="1">
      <c r="B98" s="1033" t="str">
        <f>'Galian Tanah'!C545</f>
        <v xml:space="preserve">1.2.4.2.3 </v>
      </c>
      <c r="C98" s="12" t="str">
        <f>VLOOKUP(B98,'Galian Tanah'!C:K,2,FALSE)</f>
        <v xml:space="preserve">Penggalian 1 m3 cadas atau tanah keras sedalam &gt; 2 s.d 3 m secara semi mekanis </v>
      </c>
      <c r="D98" s="9" t="s">
        <v>42</v>
      </c>
      <c r="E98" s="1021">
        <f>VLOOKUP(C98,'Galian Tanah'!$D$6:$J$723,7,FALSE)</f>
        <v>227100</v>
      </c>
      <c r="F98" s="1003">
        <f>VLOOKUP(C98,'Galian Tanah'!$D$6:$K$723,8,FALSE)</f>
        <v>0</v>
      </c>
      <c r="G98" s="12">
        <f>VLOOKUP(C98,'Galian Tanah'!$D$6:$L$723,9,FALSE)</f>
        <v>0</v>
      </c>
      <c r="H98" s="374"/>
      <c r="I98" s="16"/>
    </row>
    <row r="99" spans="2:9" ht="24" customHeight="1">
      <c r="B99" s="1033" t="str">
        <f>'Galian Tanah'!C560</f>
        <v xml:space="preserve">1.2.4.2.4 </v>
      </c>
      <c r="C99" s="12" t="str">
        <f>VLOOKUP(B99,'Galian Tanah'!C:K,2,FALSE)</f>
        <v xml:space="preserve">Penggalian 1 m3 cadas atau tanah keras sedalam &gt; 3 m tiap tambahan dalam 1 m secara semi mekanis </v>
      </c>
      <c r="D99" s="9" t="s">
        <v>42</v>
      </c>
      <c r="E99" s="1021">
        <f>VLOOKUP(C99,'Galian Tanah'!$D$6:$J$723,7,FALSE)</f>
        <v>22800</v>
      </c>
      <c r="F99" s="1003">
        <f>VLOOKUP(C99,'Galian Tanah'!$D$6:$K$723,8,FALSE)</f>
        <v>0</v>
      </c>
      <c r="G99" s="12">
        <f>VLOOKUP(C99,'Galian Tanah'!$D$6:$L$723,9,FALSE)</f>
        <v>0</v>
      </c>
      <c r="H99" s="374"/>
      <c r="I99" s="16"/>
    </row>
    <row r="100" spans="2:9" ht="24" customHeight="1">
      <c r="B100" s="1031" t="str">
        <f>'Galian Tanah'!C576</f>
        <v>1.2.5</v>
      </c>
      <c r="C100" s="41" t="str">
        <f>VLOOKUP(B100,'Galian Tanah'!C:K,2,FALSE)</f>
        <v>Lumpur</v>
      </c>
      <c r="D100" s="983"/>
      <c r="E100" s="1024"/>
      <c r="F100" s="1006"/>
      <c r="G100" s="37"/>
      <c r="H100" s="374"/>
      <c r="I100" s="16"/>
    </row>
    <row r="101" spans="2:9" ht="24" customHeight="1">
      <c r="B101" s="1032" t="str">
        <f>'Galian Tanah'!C577</f>
        <v>1.2.5.1</v>
      </c>
      <c r="C101" s="33" t="str">
        <f>VLOOKUP(B101,'Galian Tanah'!C:K,2,FALSE)</f>
        <v xml:space="preserve">Cara Manual </v>
      </c>
      <c r="D101" s="22"/>
      <c r="E101" s="1025"/>
      <c r="F101" s="1003">
        <f>VLOOKUP(C101,'Galian Tanah'!$D$6:$K$723,8,FALSE)</f>
        <v>0</v>
      </c>
      <c r="G101" s="12">
        <f>VLOOKUP(C101,'Galian Tanah'!$D$6:$L$723,9,FALSE)</f>
        <v>0</v>
      </c>
      <c r="H101" s="374"/>
      <c r="I101" s="16"/>
    </row>
    <row r="102" spans="2:9" ht="24" customHeight="1">
      <c r="B102" s="1033" t="str">
        <f>'Galian Tanah'!C578</f>
        <v>1.2.5.1.1</v>
      </c>
      <c r="C102" s="12" t="str">
        <f>VLOOKUP(B102,'Galian Tanah'!C:K,2,FALSE)</f>
        <v>Penggalian 1 m3 galian lumpur sedalam &gt;0 s.d 1 m untuk volume s.d 200 m3 secara manual</v>
      </c>
      <c r="D102" s="9" t="s">
        <v>42</v>
      </c>
      <c r="E102" s="1021">
        <f>VLOOKUP(C102,'Galian Tanah'!$D$6:$J$723,7,FALSE)</f>
        <v>142500</v>
      </c>
      <c r="F102" s="1003">
        <f>VLOOKUP(C102,'Galian Tanah'!$D$6:$K$723,8,FALSE)</f>
        <v>0</v>
      </c>
      <c r="G102" s="12">
        <f>VLOOKUP(C102,'Galian Tanah'!$D$6:$L$723,9,FALSE)</f>
        <v>0</v>
      </c>
      <c r="H102" s="374"/>
      <c r="I102" s="16"/>
    </row>
    <row r="103" spans="2:9" ht="24" customHeight="1">
      <c r="B103" s="1033" t="str">
        <f>'Galian Tanah'!C592</f>
        <v>1.2.5.1.2</v>
      </c>
      <c r="C103" s="12" t="str">
        <f>VLOOKUP(B103,'Galian Tanah'!C:K,2,FALSE)</f>
        <v>Penggalian 1 m3 galian lumpur sedalam &gt;0 s.d 1 m untuk volume &gt; 200 m3 secara manual</v>
      </c>
      <c r="D103" s="9" t="s">
        <v>42</v>
      </c>
      <c r="E103" s="1021">
        <f>VLOOKUP(C103,'Galian Tanah'!$D$6:$J$723,7,FALSE)</f>
        <v>105900</v>
      </c>
      <c r="F103" s="1003">
        <f>VLOOKUP(C103,'Galian Tanah'!$D$6:$K$723,8,FALSE)</f>
        <v>0</v>
      </c>
      <c r="G103" s="12">
        <f>VLOOKUP(C103,'Galian Tanah'!$D$6:$L$723,9,FALSE)</f>
        <v>0</v>
      </c>
      <c r="H103" s="374"/>
      <c r="I103" s="16"/>
    </row>
    <row r="104" spans="2:9" ht="24" customHeight="1">
      <c r="B104" s="1033" t="str">
        <f>'Galian Tanah'!C606</f>
        <v>1.2.5.1.3</v>
      </c>
      <c r="C104" s="12" t="str">
        <f>VLOOKUP(B104,'Galian Tanah'!C:K,2,FALSE)</f>
        <v>Penggalian 1 m3 galian lumpur sedalam &gt; 1 m s.d 2 m untuk volume s.d 200 m3 secara manual</v>
      </c>
      <c r="D104" s="9" t="s">
        <v>42</v>
      </c>
      <c r="E104" s="1021">
        <f>VLOOKUP(C104,'Galian Tanah'!$D$6:$J$723,7,FALSE)</f>
        <v>171000</v>
      </c>
      <c r="F104" s="1003">
        <f>VLOOKUP(C104,'Galian Tanah'!$D$6:$K$723,8,FALSE)</f>
        <v>0</v>
      </c>
      <c r="G104" s="12">
        <f>VLOOKUP(C104,'Galian Tanah'!$D$6:$L$723,9,FALSE)</f>
        <v>0</v>
      </c>
      <c r="H104" s="374"/>
      <c r="I104" s="16"/>
    </row>
    <row r="105" spans="2:9" ht="24" customHeight="1">
      <c r="B105" s="1033" t="str">
        <f>'Galian Tanah'!C620</f>
        <v>1.2.5.1.4</v>
      </c>
      <c r="C105" s="12" t="str">
        <f>VLOOKUP(B105,'Galian Tanah'!C:K,2,FALSE)</f>
        <v>Penggalian 1 m3 galian lumpur sedalam &gt; 1 m s.d 2 m untuk volume &gt; 200 m3 secara manual</v>
      </c>
      <c r="D105" s="9" t="s">
        <v>42</v>
      </c>
      <c r="E105" s="1021">
        <f>VLOOKUP(C105,'Galian Tanah'!$D$6:$J$723,7,FALSE)</f>
        <v>127600</v>
      </c>
      <c r="F105" s="1003">
        <f>VLOOKUP(C105,'Galian Tanah'!$D$6:$K$723,8,FALSE)</f>
        <v>0</v>
      </c>
      <c r="G105" s="12">
        <f>VLOOKUP(C105,'Galian Tanah'!$D$6:$L$723,9,FALSE)</f>
        <v>0</v>
      </c>
      <c r="H105" s="374"/>
      <c r="I105" s="16"/>
    </row>
    <row r="106" spans="2:9" ht="24" customHeight="1">
      <c r="B106" s="1033" t="str">
        <f>'Galian Tanah'!C635</f>
        <v>1.2.5.1.5</v>
      </c>
      <c r="C106" s="12" t="str">
        <f>VLOOKUP(B106,'Galian Tanah'!C:K,2,FALSE)</f>
        <v>Penggalian 1 m3 galian lumpur sedalam &gt;  2 m s.d 3 m  secara manual</v>
      </c>
      <c r="D106" s="9" t="s">
        <v>42</v>
      </c>
      <c r="E106" s="1021">
        <f>VLOOKUP(C106,'Galian Tanah'!$D$6:$J$723,7,FALSE)</f>
        <v>146700</v>
      </c>
      <c r="F106" s="1003">
        <f>VLOOKUP(C106,'Galian Tanah'!$D$6:$K$723,8,FALSE)</f>
        <v>0</v>
      </c>
      <c r="G106" s="12">
        <f>VLOOKUP(C106,'Galian Tanah'!$D$6:$L$723,9,FALSE)</f>
        <v>0</v>
      </c>
      <c r="H106" s="374"/>
      <c r="I106" s="16"/>
    </row>
    <row r="107" spans="2:9" ht="24" customHeight="1">
      <c r="B107" s="1033" t="str">
        <f>'Galian Tanah'!C649</f>
        <v>1.2.5.1.6</v>
      </c>
      <c r="C107" s="12" t="str">
        <f>VLOOKUP(B107,'Galian Tanah'!C:K,2,FALSE)</f>
        <v>Penggalian 1 m3 galian lumpur sedalam &gt;   3 m setiap tambahan dalam 1 m  secara manual</v>
      </c>
      <c r="D107" s="9" t="s">
        <v>42</v>
      </c>
      <c r="E107" s="1021">
        <f>VLOOKUP(C107,'Galian Tanah'!$D$6:$J$723,7,FALSE)</f>
        <v>19100</v>
      </c>
      <c r="F107" s="1003">
        <f>VLOOKUP(C107,'Galian Tanah'!$D$6:$K$723,8,FALSE)</f>
        <v>0</v>
      </c>
      <c r="G107" s="12">
        <f>VLOOKUP(C107,'Galian Tanah'!$D$6:$L$723,9,FALSE)</f>
        <v>0</v>
      </c>
      <c r="H107" s="374"/>
      <c r="I107" s="16"/>
    </row>
    <row r="108" spans="2:9" ht="24" customHeight="1">
      <c r="B108" s="1032" t="str">
        <f>'Galian Tanah'!C664</f>
        <v>1.2.5.2</v>
      </c>
      <c r="C108" s="33" t="str">
        <f>VLOOKUP(B108,'Galian Tanah'!C:K,2,FALSE)</f>
        <v xml:space="preserve">Cara Semi Mekanis </v>
      </c>
      <c r="D108" s="22"/>
      <c r="E108" s="1025"/>
      <c r="F108" s="1003">
        <f>VLOOKUP(C108,'Galian Tanah'!$D$6:$K$723,8,FALSE)</f>
        <v>0</v>
      </c>
      <c r="G108" s="12">
        <f>VLOOKUP(C108,'Galian Tanah'!$D$6:$L$723,9,FALSE)</f>
        <v>0</v>
      </c>
      <c r="H108" s="374"/>
      <c r="I108" s="16"/>
    </row>
    <row r="109" spans="2:9" ht="24" customHeight="1">
      <c r="B109" s="1033" t="str">
        <f>'Galian Tanah'!C665</f>
        <v>1.2.5.2.1</v>
      </c>
      <c r="C109" s="12" t="str">
        <f>VLOOKUP(B109,'Galian Tanah'!C:K,2,FALSE)</f>
        <v xml:space="preserve">Penggalian 1 m3 lumpur sedalam &gt;0 s.d 1 m secara semi mekanis </v>
      </c>
      <c r="D109" s="9" t="s">
        <v>42</v>
      </c>
      <c r="E109" s="1021">
        <f>VLOOKUP(C109,'Galian Tanah'!$D$6:$J$723,7,FALSE)</f>
        <v>37700</v>
      </c>
      <c r="F109" s="1003">
        <f>VLOOKUP(C109,'Galian Tanah'!$D$6:$K$723,8,FALSE)</f>
        <v>0</v>
      </c>
      <c r="G109" s="12">
        <f>VLOOKUP(C109,'Galian Tanah'!$D$6:$L$723,9,FALSE)</f>
        <v>0</v>
      </c>
      <c r="H109" s="374"/>
      <c r="I109" s="16"/>
    </row>
    <row r="110" spans="2:9" ht="24" customHeight="1">
      <c r="B110" s="1033" t="str">
        <f>'Galian Tanah'!C680</f>
        <v>1.2.5.2.2</v>
      </c>
      <c r="C110" s="12" t="str">
        <f>VLOOKUP(B110,'Galian Tanah'!C:K,2,FALSE)</f>
        <v xml:space="preserve">Penggalian 1 m3 lumpur sedalam &gt; 1 m s.d 2 m secara semi mekanis </v>
      </c>
      <c r="D110" s="9" t="s">
        <v>42</v>
      </c>
      <c r="E110" s="1021">
        <f>VLOOKUP(C110,'Galian Tanah'!$D$6:$J$723,7,FALSE)</f>
        <v>63000</v>
      </c>
      <c r="F110" s="1003">
        <f>VLOOKUP(C110,'Galian Tanah'!$D$6:$K$723,8,FALSE)</f>
        <v>0</v>
      </c>
      <c r="G110" s="12">
        <f>VLOOKUP(C110,'Galian Tanah'!$D$6:$L$723,9,FALSE)</f>
        <v>0</v>
      </c>
      <c r="H110" s="374"/>
      <c r="I110" s="16"/>
    </row>
    <row r="111" spans="2:9" ht="24" customHeight="1">
      <c r="B111" s="1033" t="str">
        <f>'Galian Tanah'!C695</f>
        <v>1.2.5.2.3</v>
      </c>
      <c r="C111" s="12" t="str">
        <f>VLOOKUP(B111,'Galian Tanah'!C:K,2,FALSE)</f>
        <v xml:space="preserve">Penggalian 1 m3 lumpur sedalam &gt; 2 m s.d 3 m secara semi mekanis </v>
      </c>
      <c r="D111" s="9" t="s">
        <v>42</v>
      </c>
      <c r="E111" s="1021">
        <f>VLOOKUP(C111,'Galian Tanah'!$D$6:$J$723,7,FALSE)</f>
        <v>50500</v>
      </c>
      <c r="F111" s="1003">
        <f>VLOOKUP(C111,'Galian Tanah'!$D$6:$K$723,8,FALSE)</f>
        <v>0</v>
      </c>
      <c r="G111" s="12">
        <f>VLOOKUP(C111,'Galian Tanah'!$D$6:$L$723,9,FALSE)</f>
        <v>0</v>
      </c>
      <c r="H111" s="374"/>
      <c r="I111" s="16"/>
    </row>
    <row r="112" spans="2:9" ht="24" customHeight="1">
      <c r="B112" s="1033" t="str">
        <f>'Galian Tanah'!C710</f>
        <v>1.2.5.2.4</v>
      </c>
      <c r="C112" s="12" t="str">
        <f>VLOOKUP(B112,'Galian Tanah'!C:K,2,FALSE)</f>
        <v xml:space="preserve">Penggalian 1 m3 lumpur sedalam &gt; 3 m setiap tambah kedalaman 1 m secara semi mekanis </v>
      </c>
      <c r="D112" s="9" t="s">
        <v>42</v>
      </c>
      <c r="E112" s="1021">
        <f>VLOOKUP(C112,'Galian Tanah'!$D$6:$J$723,7,FALSE)</f>
        <v>5400</v>
      </c>
      <c r="F112" s="1003">
        <f>VLOOKUP(C112,'Galian Tanah'!$D$6:$K$723,8,FALSE)</f>
        <v>0</v>
      </c>
      <c r="G112" s="12">
        <f>VLOOKUP(C112,'Galian Tanah'!$D$6:$L$723,9,FALSE)</f>
        <v>0</v>
      </c>
      <c r="H112" s="374"/>
      <c r="I112" s="16"/>
    </row>
    <row r="113" spans="2:9" ht="24" customHeight="1">
      <c r="B113" s="1044" t="str">
        <f>'Timbunan Pemadatan'!C3</f>
        <v xml:space="preserve">1.3 </v>
      </c>
      <c r="C113" s="984" t="str">
        <f>VLOOKUP(B113,'Timbunan Pemadatan'!C:L,2,FALSE)</f>
        <v>PEKERJAAN TIMBUNAN DAN PEMADATAN</v>
      </c>
      <c r="D113" s="995"/>
      <c r="E113" s="1026"/>
      <c r="F113" s="1007"/>
      <c r="G113" s="30"/>
      <c r="H113" s="374"/>
      <c r="I113" s="16"/>
    </row>
    <row r="114" spans="2:9" ht="24" customHeight="1">
      <c r="B114" s="1043" t="str">
        <f>'Timbunan Pemadatan'!C4</f>
        <v>1.3.1</v>
      </c>
      <c r="C114" s="41" t="str">
        <f>VLOOKUP(B114,'Timbunan Pemadatan'!C:L,2,FALSE)</f>
        <v xml:space="preserve">Timbunan atau Urukan Secara Manual </v>
      </c>
      <c r="D114" s="994"/>
      <c r="E114" s="1027"/>
      <c r="F114" s="1004"/>
      <c r="G114" s="36"/>
      <c r="H114" s="374"/>
      <c r="I114" s="16"/>
    </row>
    <row r="115" spans="2:9" ht="24" customHeight="1">
      <c r="B115" s="1033" t="str">
        <f>'Timbunan Pemadatan'!C5</f>
        <v>1.3.1.1</v>
      </c>
      <c r="C115" s="1158" t="str">
        <f>VLOOKUP(B115,'Timbunan Pemadatan'!C:L,2,FALSE)</f>
        <v>1 m3 urukan kembali galian tanah ( &gt;0 s.d 200 m3) tanpa pemadatan secara manual</v>
      </c>
      <c r="D115" s="9" t="s">
        <v>42</v>
      </c>
      <c r="E115" s="1021">
        <f>VLOOKUP(C115,'Timbunan Pemadatan'!$D$3:$J$232,7,FALSE)</f>
        <v>59400</v>
      </c>
      <c r="F115" s="1003" t="str">
        <f>VLOOKUP(C115,'Timbunan Pemadatan'!$D$3:$L$232,9,FALSE)</f>
        <v>Revisi</v>
      </c>
      <c r="G115" s="12" t="str">
        <f>VLOOKUP(C115,'Timbunan Pemadatan'!$D$3:$K$232,8,FALSE)</f>
        <v>tidak ada perubahan</v>
      </c>
      <c r="H115" s="374"/>
      <c r="I115" s="16"/>
    </row>
    <row r="116" spans="2:9" ht="24" customHeight="1">
      <c r="B116" s="1033" t="str">
        <f>'Timbunan Pemadatan'!C19</f>
        <v>1.3.1.2</v>
      </c>
      <c r="C116" s="1158" t="str">
        <f>VLOOKUP(B116,'Timbunan Pemadatan'!C:L,2,FALSE)</f>
        <v>1 m3 urukan pasir uruk untuk volume s.d 200 m3 tanpa pemadatan secara manual</v>
      </c>
      <c r="D116" s="9" t="s">
        <v>42</v>
      </c>
      <c r="E116" s="1021">
        <f>VLOOKUP(C116,'Timbunan Pemadatan'!$D$3:$J$232,7,FALSE)</f>
        <v>326700</v>
      </c>
      <c r="F116" s="1003">
        <f>VLOOKUP(C116,'Timbunan Pemadatan'!$D$3:$L$232,9,FALSE)</f>
        <v>0</v>
      </c>
      <c r="G116" s="12">
        <f>VLOOKUP(C116,'Timbunan Pemadatan'!$D$3:$K$232,8,FALSE)</f>
        <v>0</v>
      </c>
      <c r="H116" s="374"/>
      <c r="I116" s="16"/>
    </row>
    <row r="117" spans="2:9" ht="24" customHeight="1">
      <c r="B117" s="1033" t="str">
        <f>'Timbunan Pemadatan'!C34</f>
        <v xml:space="preserve">1.3.1.3 </v>
      </c>
      <c r="C117" s="12" t="str">
        <f>VLOOKUP(B117,'Timbunan Pemadatan'!C:L,2,FALSE)</f>
        <v xml:space="preserve">1 m3 urukan pasir uruk untuk volume &gt; 200 m3 tanpa pemadatan secara manual </v>
      </c>
      <c r="D117" s="9" t="s">
        <v>42</v>
      </c>
      <c r="E117" s="1021">
        <f>VLOOKUP(C117,'Timbunan Pemadatan'!$D$3:$J$232,7,FALSE)</f>
        <v>299300</v>
      </c>
      <c r="F117" s="1003">
        <f>VLOOKUP(C117,'Timbunan Pemadatan'!$D$3:$L$232,9,FALSE)</f>
        <v>0</v>
      </c>
      <c r="G117" s="12">
        <f>VLOOKUP(C117,'Timbunan Pemadatan'!$D$3:$K$232,8,FALSE)</f>
        <v>0</v>
      </c>
      <c r="H117" s="374"/>
      <c r="I117" s="16"/>
    </row>
    <row r="118" spans="2:9" ht="24" customHeight="1">
      <c r="B118" s="1033" t="str">
        <f>'Timbunan Pemadatan'!C49</f>
        <v xml:space="preserve">1.3.1.4 </v>
      </c>
      <c r="C118" s="12" t="str">
        <f>VLOOKUP(B118,'Timbunan Pemadatan'!C:L,2,FALSE)</f>
        <v>1 m3 urukan tanah biasa atau tanah liat berpasir tanpa pemadatan secara manual</v>
      </c>
      <c r="D118" s="9" t="s">
        <v>42</v>
      </c>
      <c r="E118" s="1021">
        <f>VLOOKUP(C118,'Timbunan Pemadatan'!$D$3:$J$232,7,FALSE)</f>
        <v>12700</v>
      </c>
      <c r="F118" s="1003">
        <f>VLOOKUP(C118,'Timbunan Pemadatan'!$D$3:$L$232,9,FALSE)</f>
        <v>0</v>
      </c>
      <c r="G118" s="12">
        <f>VLOOKUP(C118,'Timbunan Pemadatan'!$D$3:$K$232,8,FALSE)</f>
        <v>0</v>
      </c>
      <c r="H118" s="374"/>
      <c r="I118" s="16"/>
    </row>
    <row r="119" spans="2:9" ht="24" customHeight="1">
      <c r="B119" s="1033" t="str">
        <f>'Timbunan Pemadatan'!C65</f>
        <v xml:space="preserve">1.3.1.5 </v>
      </c>
      <c r="C119" s="12" t="str">
        <f>VLOOKUP(B119,'Timbunan Pemadatan'!C:L,2,FALSE)</f>
        <v xml:space="preserve">1 m3 Urukan tanah liat (lempung) tanpa pemadatan secara manual </v>
      </c>
      <c r="D119" s="9" t="s">
        <v>42</v>
      </c>
      <c r="E119" s="1021">
        <f>VLOOKUP(C119,'Timbunan Pemadatan'!$D$3:$J$232,7,FALSE)</f>
        <v>15900</v>
      </c>
      <c r="F119" s="1003">
        <f>VLOOKUP(C119,'Timbunan Pemadatan'!$D$3:$L$232,9,FALSE)</f>
        <v>0</v>
      </c>
      <c r="G119" s="12">
        <f>VLOOKUP(C119,'Timbunan Pemadatan'!$D$3:$K$232,8,FALSE)</f>
        <v>0</v>
      </c>
      <c r="H119" s="374"/>
      <c r="I119" s="16"/>
    </row>
    <row r="120" spans="2:9" ht="24" customHeight="1">
      <c r="B120" s="1033" t="str">
        <f>'Timbunan Pemadatan'!C81</f>
        <v xml:space="preserve">1.3.1.6 </v>
      </c>
      <c r="C120" s="12" t="str">
        <f>VLOOKUP(B120,'Timbunan Pemadatan'!C:L,2,FALSE)</f>
        <v xml:space="preserve">1m3 Urukan Batu Kerikil Tanpa Pemadatan secara manual </v>
      </c>
      <c r="D120" s="9" t="s">
        <v>42</v>
      </c>
      <c r="E120" s="1021">
        <f>VLOOKUP(C120,'Timbunan Pemadatan'!$D$3:$J$232,7,FALSE)</f>
        <v>486000</v>
      </c>
      <c r="F120" s="1003">
        <f>VLOOKUP(C120,'Timbunan Pemadatan'!$D$3:$L$232,9,FALSE)</f>
        <v>0</v>
      </c>
      <c r="G120" s="12">
        <f>VLOOKUP(C120,'Timbunan Pemadatan'!$D$3:$K$232,8,FALSE)</f>
        <v>0</v>
      </c>
      <c r="H120" s="374"/>
      <c r="I120" s="16"/>
    </row>
    <row r="121" spans="2:9" ht="24" customHeight="1">
      <c r="B121" s="1033" t="str">
        <f>'Timbunan Pemadatan'!C97</f>
        <v>1.3.1.7</v>
      </c>
      <c r="C121" s="12" t="str">
        <f>VLOOKUP(B121,'Timbunan Pemadatan'!C:L,2,FALSE)</f>
        <v xml:space="preserve">1 m3 Urukan tanah subur tanpa pemadatan secara manual </v>
      </c>
      <c r="D121" s="9" t="s">
        <v>42</v>
      </c>
      <c r="E121" s="1021">
        <f>VLOOKUP(C121,'Timbunan Pemadatan'!$D$3:$J$232,7,FALSE)</f>
        <v>35600</v>
      </c>
      <c r="F121" s="1003">
        <f>VLOOKUP(C121,'Timbunan Pemadatan'!$D$3:$L$232,9,FALSE)</f>
        <v>0</v>
      </c>
      <c r="G121" s="12">
        <f>VLOOKUP(C121,'Timbunan Pemadatan'!$D$3:$K$232,8,FALSE)</f>
        <v>0</v>
      </c>
      <c r="H121" s="374"/>
      <c r="I121" s="16"/>
    </row>
    <row r="122" spans="2:9" ht="24" customHeight="1">
      <c r="B122" s="1043" t="str">
        <f>'Timbunan Pemadatan'!C112</f>
        <v xml:space="preserve">1.3.2 </v>
      </c>
      <c r="C122" s="41" t="str">
        <f>VLOOKUP(B122,'Timbunan Pemadatan'!C:L,2,FALSE)</f>
        <v xml:space="preserve">Pemadatan Secara Menual </v>
      </c>
      <c r="D122" s="994"/>
      <c r="E122" s="1027"/>
      <c r="F122" s="1004">
        <f>VLOOKUP(C122,'Timbunan Pemadatan'!$D$3:$L$232,9,FALSE)</f>
        <v>0</v>
      </c>
      <c r="G122" s="36">
        <f>VLOOKUP(C122,'Timbunan Pemadatan'!$D$3:$K$232,8,FALSE)</f>
        <v>0</v>
      </c>
      <c r="H122" s="374"/>
      <c r="I122" s="16"/>
    </row>
    <row r="123" spans="2:9" ht="24" customHeight="1">
      <c r="B123" s="1033" t="str">
        <f>'Timbunan Pemadatan'!C113</f>
        <v xml:space="preserve">1.3.2.1 </v>
      </c>
      <c r="C123" s="12" t="str">
        <f>VLOOKUP(B123,'Timbunan Pemadatan'!C:L,2,FALSE)</f>
        <v>1 m3 pemadatan tanah per 20 cm menggunakan alat timbris secara manual</v>
      </c>
      <c r="D123" s="9" t="s">
        <v>42</v>
      </c>
      <c r="E123" s="1021">
        <f>VLOOKUP(C123,'Timbunan Pemadatan'!$D$3:$J$232,7,FALSE)</f>
        <v>59400</v>
      </c>
      <c r="F123" s="1003">
        <f>VLOOKUP(C123,'Timbunan Pemadatan'!$D$3:$L$232,9,FALSE)</f>
        <v>0</v>
      </c>
      <c r="G123" s="12">
        <f>VLOOKUP(C123,'Timbunan Pemadatan'!$D$3:$K$232,8,FALSE)</f>
        <v>0</v>
      </c>
      <c r="H123" s="374"/>
      <c r="I123" s="16"/>
    </row>
    <row r="124" spans="2:9" ht="24" customHeight="1">
      <c r="B124" s="1033" t="str">
        <f>'Timbunan Pemadatan'!C127</f>
        <v xml:space="preserve">1.3.2.2 </v>
      </c>
      <c r="C124" s="12" t="str">
        <f>VLOOKUP(B124,'Timbunan Pemadatan'!C:L,2,FALSE)</f>
        <v xml:space="preserve">1 m3 timbunan dan pemadatan sirtu  secara manual </v>
      </c>
      <c r="D124" s="9" t="s">
        <v>42</v>
      </c>
      <c r="E124" s="1021">
        <f>VLOOKUP(C124,'Timbunan Pemadatan'!$D$3:$J$232,7,FALSE)</f>
        <v>29700</v>
      </c>
      <c r="F124" s="1003">
        <f>VLOOKUP(C124,'Timbunan Pemadatan'!$D$3:$L$232,9,FALSE)</f>
        <v>0</v>
      </c>
      <c r="G124" s="12">
        <f>VLOOKUP(C124,'Timbunan Pemadatan'!$D$3:$K$232,8,FALSE)</f>
        <v>0</v>
      </c>
      <c r="H124" s="374"/>
      <c r="I124" s="16"/>
    </row>
    <row r="125" spans="2:9" ht="24" customHeight="1">
      <c r="B125" s="1043" t="str">
        <f>'Timbunan Pemadatan'!C143</f>
        <v xml:space="preserve">1.3.3 </v>
      </c>
      <c r="C125" s="41" t="str">
        <f>VLOOKUP(B125,'Timbunan Pemadatan'!C:L,2,FALSE)</f>
        <v xml:space="preserve">Pemadatan Secara Semi- Mekanis </v>
      </c>
      <c r="D125" s="994"/>
      <c r="E125" s="1027"/>
      <c r="F125" s="1004">
        <f>VLOOKUP(C125,'Timbunan Pemadatan'!$D$3:$L$232,9,FALSE)</f>
        <v>0</v>
      </c>
      <c r="G125" s="36">
        <f>VLOOKUP(C125,'Timbunan Pemadatan'!$D$3:$K$232,8,FALSE)</f>
        <v>0</v>
      </c>
      <c r="H125" s="374"/>
      <c r="I125" s="16"/>
    </row>
    <row r="126" spans="2:9" ht="24" customHeight="1">
      <c r="B126" s="1033" t="str">
        <f>'Timbunan Pemadatan'!C144</f>
        <v xml:space="preserve">1.3.3.1 </v>
      </c>
      <c r="C126" s="12" t="str">
        <f>VLOOKUP(B126,'Timbunan Pemadatan'!C:L,2,FALSE)</f>
        <v xml:space="preserve">1 m3 Pemadatan tanah setebal 10 cm menggunakan  mesin Stemper kuda semi mekanis  </v>
      </c>
      <c r="D126" s="9" t="s">
        <v>42</v>
      </c>
      <c r="E126" s="1021">
        <f>VLOOKUP(C126,'Timbunan Pemadatan'!$D$3:$J$232,7,FALSE)</f>
        <v>24500</v>
      </c>
      <c r="F126" s="1003" t="str">
        <f>VLOOKUP(C126,'Timbunan Pemadatan'!$D$3:$L$232,9,FALSE)</f>
        <v xml:space="preserve">Revisi </v>
      </c>
      <c r="G126" s="12" t="str">
        <f>VLOOKUP(C126,'Timbunan Pemadatan'!$D$3:$K$232,8,FALSE)</f>
        <v>tidak ada perubahan</v>
      </c>
      <c r="H126" s="374"/>
      <c r="I126" s="16"/>
    </row>
    <row r="127" spans="2:9" ht="24" customHeight="1">
      <c r="B127" s="1033" t="str">
        <f>'Timbunan Pemadatan'!C157</f>
        <v>1.3.3.2</v>
      </c>
      <c r="C127" s="12" t="str">
        <f>VLOOKUP(B127,'Timbunan Pemadatan'!C:L,2,FALSE)</f>
        <v xml:space="preserve">1 m3 Pemadatan pasir setebal 15 cm menggunakan mesin Stamper kodok semi mekanis </v>
      </c>
      <c r="D127" s="9" t="s">
        <v>42</v>
      </c>
      <c r="E127" s="1021">
        <f>VLOOKUP(C127,'Timbunan Pemadatan'!$D$3:$J$232,7,FALSE)</f>
        <v>22000</v>
      </c>
      <c r="F127" s="1003" t="str">
        <f>VLOOKUP(C127,'Timbunan Pemadatan'!$D$3:$L$232,9,FALSE)</f>
        <v>Revisi</v>
      </c>
      <c r="G127" s="12" t="str">
        <f>VLOOKUP(C127,'Timbunan Pemadatan'!$D$3:$K$232,8,FALSE)</f>
        <v>tidak ada perubahan</v>
      </c>
      <c r="H127" s="374"/>
      <c r="I127" s="16"/>
    </row>
    <row r="128" spans="2:9" ht="24" customHeight="1">
      <c r="B128" s="1033" t="str">
        <f>'Timbunan Pemadatan'!C171</f>
        <v>1.3.3.3</v>
      </c>
      <c r="C128" s="12" t="str">
        <f>VLOOKUP(B128,'Timbunan Pemadatan'!C:L,2,FALSE)</f>
        <v xml:space="preserve">1 m3 Pemadatan pasir setebal 20 cm menggunakan mesin Stamper VRR-550 kg semi mekanis </v>
      </c>
      <c r="D128" s="9" t="s">
        <v>42</v>
      </c>
      <c r="E128" s="1021">
        <f>VLOOKUP(C128,'Timbunan Pemadatan'!$D$3:$J$232,7,FALSE)</f>
        <v>6200</v>
      </c>
      <c r="F128" s="1003" t="str">
        <f>VLOOKUP(C128,'Timbunan Pemadatan'!$D$3:$L$232,9,FALSE)</f>
        <v>Revisi</v>
      </c>
      <c r="G128" s="12" t="str">
        <f>VLOOKUP(C128,'Timbunan Pemadatan'!$D$3:$K$232,8,FALSE)</f>
        <v>perubahan koofisien Stemper D-Drum 550 dr 0,0574 jadi 0,0183</v>
      </c>
      <c r="H128" s="374"/>
      <c r="I128" s="16"/>
    </row>
    <row r="129" spans="1:9" ht="24" customHeight="1">
      <c r="B129" s="1033" t="str">
        <f>'Timbunan Pemadatan'!C185</f>
        <v>1.3.3.4</v>
      </c>
      <c r="C129" s="12" t="str">
        <f>VLOOKUP(B129,'Timbunan Pemadatan'!C:L,2,FALSE)</f>
        <v xml:space="preserve">1 m3 Pemadatan pasir setebal 20 cm menggunakan mesin Stamper VRR-1,5 Ton semi mekanis </v>
      </c>
      <c r="D129" s="9" t="s">
        <v>42</v>
      </c>
      <c r="E129" s="1021">
        <f>VLOOKUP(C129,'Timbunan Pemadatan'!$D$3:$J$232,7,FALSE)</f>
        <v>3400</v>
      </c>
      <c r="F129" s="1003" t="str">
        <f>VLOOKUP(C129,'Timbunan Pemadatan'!$D$3:$L$232,9,FALSE)</f>
        <v>Revisi</v>
      </c>
      <c r="G129" s="12" t="str">
        <f>VLOOKUP(C129,'Timbunan Pemadatan'!$D$3:$K$232,8,FALSE)</f>
        <v>perubahan koofisien Stemper Smooth Drump 1,5 Ton dr 0,0574 jadi 0,0089</v>
      </c>
      <c r="H129" s="374"/>
      <c r="I129" s="16"/>
    </row>
    <row r="130" spans="1:9" ht="24" customHeight="1">
      <c r="B130" s="1033" t="str">
        <f>'Timbunan Pemadatan'!C200</f>
        <v>1.3.3.5</v>
      </c>
      <c r="C130" s="12" t="str">
        <f>VLOOKUP(B130,'Timbunan Pemadatan'!C:L,2,FALSE)</f>
        <v xml:space="preserve">1 m3 Tipbunan dan Pemadatan batu kerikil meggunakan mein stamper kodok semi mekanis </v>
      </c>
      <c r="D130" s="9" t="s">
        <v>42</v>
      </c>
      <c r="E130" s="1021">
        <f>VLOOKUP(C130,'Timbunan Pemadatan'!$D$3:$J$232,7,FALSE)</f>
        <v>421300</v>
      </c>
      <c r="F130" s="1003">
        <f>VLOOKUP(C130,'Timbunan Pemadatan'!$D$3:$L$232,9,FALSE)</f>
        <v>0</v>
      </c>
      <c r="G130" s="12">
        <f>VLOOKUP(C130,'Timbunan Pemadatan'!$D$3:$K$232,8,FALSE)</f>
        <v>0</v>
      </c>
      <c r="H130" s="374"/>
      <c r="I130" s="16"/>
    </row>
    <row r="131" spans="1:9" ht="24" customHeight="1">
      <c r="B131" s="1033" t="str">
        <f>'Timbunan Pemadatan'!C217</f>
        <v>1.3.3.6</v>
      </c>
      <c r="C131" s="12" t="str">
        <f>VLOOKUP(B131,'Timbunan Pemadatan'!C:L,2,FALSE)</f>
        <v xml:space="preserve">1 m3 Timbunan dan Pemadatan Makadam semi mekanis </v>
      </c>
      <c r="D131" s="9" t="s">
        <v>42</v>
      </c>
      <c r="E131" s="1021">
        <f>VLOOKUP(C131,'Timbunan Pemadatan'!$D$3:$J$232,7,FALSE)</f>
        <v>69600</v>
      </c>
      <c r="F131" s="1003" t="str">
        <f>VLOOKUP(C131,'Timbunan Pemadatan'!$D$3:$L$232,9,FALSE)</f>
        <v>Revisi</v>
      </c>
      <c r="G131" s="12" t="str">
        <f>VLOOKUP(C131,'Timbunan Pemadatan'!$D$3:$K$232,8,FALSE)</f>
        <v xml:space="preserve">tidak ada perubahan </v>
      </c>
      <c r="H131" s="374"/>
      <c r="I131" s="16"/>
    </row>
    <row r="132" spans="1:9" s="1" customFormat="1" ht="24" customHeight="1">
      <c r="A132" s="47"/>
      <c r="B132" s="1044" t="str">
        <f>'Angkut Material'!C2</f>
        <v>1.4</v>
      </c>
      <c r="C132" s="984" t="str">
        <f>VLOOKUP(B132,'Angkut Material'!C:L,2,FALSE)</f>
        <v xml:space="preserve">Pekerjaan Angkut  Materia dan/atau Hasil Galian </v>
      </c>
      <c r="D132" s="995"/>
      <c r="E132" s="1026"/>
      <c r="F132" s="1007"/>
      <c r="G132" s="30"/>
      <c r="H132" s="1092"/>
      <c r="I132" s="21"/>
    </row>
    <row r="133" spans="1:9" s="1" customFormat="1" ht="24" customHeight="1">
      <c r="A133" s="47"/>
      <c r="B133" s="1043" t="str">
        <f>'Angkut Material'!C3</f>
        <v xml:space="preserve">1.4.1 </v>
      </c>
      <c r="C133" s="41" t="str">
        <f>VLOOKUP(B133,'Angkut Material'!C:L,2,FALSE)</f>
        <v>Angkut Tanah Lepas atau Hasil Galian untuk Jarak Horizontal dan medan landai naik serta turun &gt;2"</v>
      </c>
      <c r="D133" s="994"/>
      <c r="E133" s="1027"/>
      <c r="F133" s="1004"/>
      <c r="G133" s="36"/>
      <c r="H133" s="1092"/>
      <c r="I133" s="21"/>
    </row>
    <row r="134" spans="1:9" ht="24" customHeight="1">
      <c r="B134" s="1033" t="str">
        <f>'Angkut Material'!C4</f>
        <v xml:space="preserve">1.4.1.1 </v>
      </c>
      <c r="C134" s="12" t="str">
        <f>VLOOKUP(B134,'Angkut Material'!C:L,2,FALSE)</f>
        <v>Mengangkut 1 m3 tanah lepas, jarak angkut s.d 10 m</v>
      </c>
      <c r="D134" s="9" t="s">
        <v>42</v>
      </c>
      <c r="E134" s="1021">
        <f>VLOOKUP(C134,'Angkut Material'!$D$2:$J$258,7,FALSE)</f>
        <v>24900</v>
      </c>
      <c r="F134" s="1003">
        <f>VLOOKUP(C134,'Angkut Material'!$D$2:$K$258,8,FALSE)</f>
        <v>0</v>
      </c>
      <c r="G134" s="12">
        <f>VLOOKUP(C134,'Angkut Material'!$D$2:$L$258,9,FALSE)</f>
        <v>0</v>
      </c>
      <c r="H134" s="374"/>
      <c r="I134" s="16"/>
    </row>
    <row r="135" spans="1:9" ht="24" customHeight="1">
      <c r="B135" s="1033" t="str">
        <f>'Angkut Material'!C19</f>
        <v>1.4.1.2</v>
      </c>
      <c r="C135" s="1158" t="str">
        <f>VLOOKUP(B135,'Angkut Material'!C:L,2,FALSE)</f>
        <v>Mengangkut 1 m3 tanah lepas, jarak angkut  &gt; 10 m s.d 20 m</v>
      </c>
      <c r="D135" s="9" t="s">
        <v>42</v>
      </c>
      <c r="E135" s="1021">
        <f>VLOOKUP(C135,'Angkut Material'!$D$2:$J$258,7,FALSE)</f>
        <v>26700</v>
      </c>
      <c r="F135" s="1003">
        <f>VLOOKUP(C135,'Angkut Material'!$D$2:$K$258,8,FALSE)</f>
        <v>0</v>
      </c>
      <c r="G135" s="12">
        <f>VLOOKUP(C135,'Angkut Material'!$D$2:$L$258,9,FALSE)</f>
        <v>0</v>
      </c>
      <c r="H135" s="374"/>
      <c r="I135" s="16"/>
    </row>
    <row r="136" spans="1:9" ht="24" customHeight="1">
      <c r="B136" s="1033" t="str">
        <f>'Angkut Material'!C33</f>
        <v>1.4.1.3</v>
      </c>
      <c r="C136" s="12" t="str">
        <f>VLOOKUP(B136,'Angkut Material'!C:L,2,FALSE)</f>
        <v>Mengangkut 1 m3 tanah lepas, jarak angkut &gt; 20 m s.d 30 m</v>
      </c>
      <c r="D136" s="9" t="s">
        <v>42</v>
      </c>
      <c r="E136" s="1021">
        <f>VLOOKUP(C136,'Angkut Material'!$D$2:$J$258,7,FALSE)</f>
        <v>29100</v>
      </c>
      <c r="F136" s="1003">
        <f>VLOOKUP(C136,'Angkut Material'!$D$2:$K$258,8,FALSE)</f>
        <v>0</v>
      </c>
      <c r="G136" s="12">
        <f>VLOOKUP(C136,'Angkut Material'!$D$2:$L$258,9,FALSE)</f>
        <v>0</v>
      </c>
      <c r="H136" s="374"/>
      <c r="I136" s="16"/>
    </row>
    <row r="137" spans="1:9" ht="24" customHeight="1">
      <c r="B137" s="1033" t="str">
        <f>'Angkut Material'!C47</f>
        <v>1.4.1.4</v>
      </c>
      <c r="C137" s="12" t="str">
        <f>VLOOKUP(B137,'Angkut Material'!C:L,2,FALSE)</f>
        <v>Mengangkut 1 m3 tanah lepas, jarak angkut &gt; 30 m s.d 40 m</v>
      </c>
      <c r="D137" s="9" t="s">
        <v>42</v>
      </c>
      <c r="E137" s="1021">
        <f>VLOOKUP(C137,'Angkut Material'!$D$2:$J$258,7,FALSE)</f>
        <v>29700</v>
      </c>
      <c r="F137" s="1003">
        <f>VLOOKUP(C137,'Angkut Material'!$D$2:$K$258,8,FALSE)</f>
        <v>0</v>
      </c>
      <c r="G137" s="12">
        <f>VLOOKUP(C137,'Angkut Material'!$D$2:$L$258,9,FALSE)</f>
        <v>0</v>
      </c>
      <c r="H137" s="374"/>
      <c r="I137" s="16"/>
    </row>
    <row r="138" spans="1:9" ht="24" customHeight="1">
      <c r="B138" s="1033" t="str">
        <f>'Angkut Material'!C61</f>
        <v>1.4.1.5</v>
      </c>
      <c r="C138" s="12" t="str">
        <f>VLOOKUP(B138,'Angkut Material'!C:L,2,FALSE)</f>
        <v>Mengangkut 1 m3 tanah lepas, jarak angkut &gt; 40 m s.d 50 m</v>
      </c>
      <c r="D138" s="9" t="s">
        <v>42</v>
      </c>
      <c r="E138" s="1021">
        <f>VLOOKUP(C138,'Angkut Material'!$D$2:$J$258,7,FALSE)</f>
        <v>32300</v>
      </c>
      <c r="F138" s="1003">
        <f>VLOOKUP(C138,'Angkut Material'!$D$2:$K$258,8,FALSE)</f>
        <v>0</v>
      </c>
      <c r="G138" s="12">
        <f>VLOOKUP(C138,'Angkut Material'!$D$2:$L$258,9,FALSE)</f>
        <v>0</v>
      </c>
      <c r="H138" s="374"/>
      <c r="I138" s="16"/>
    </row>
    <row r="139" spans="1:9" ht="24" customHeight="1">
      <c r="B139" s="1033" t="str">
        <f>'Angkut Material'!C76</f>
        <v>1.4.1.6</v>
      </c>
      <c r="C139" s="12" t="str">
        <f>VLOOKUP(B139,'Angkut Material'!C:L,2,FALSE)</f>
        <v>Mengangkut 1 m3 tanah lepas, jarak angkut &gt; 50 m s.d 100 m</v>
      </c>
      <c r="D139" s="9" t="s">
        <v>42</v>
      </c>
      <c r="E139" s="1021">
        <f>VLOOKUP(C139,'Angkut Material'!$D$2:$J$258,7,FALSE)</f>
        <v>40800</v>
      </c>
      <c r="F139" s="1003">
        <f>VLOOKUP(C139,'Angkut Material'!$D$2:$K$258,8,FALSE)</f>
        <v>0</v>
      </c>
      <c r="G139" s="12">
        <f>VLOOKUP(C139,'Angkut Material'!$D$2:$L$258,9,FALSE)</f>
        <v>0</v>
      </c>
      <c r="H139" s="374"/>
      <c r="I139" s="16"/>
    </row>
    <row r="140" spans="1:9" ht="24" customHeight="1">
      <c r="B140" s="1033" t="str">
        <f>'Angkut Material'!C90</f>
        <v>1.4.1.7</v>
      </c>
      <c r="C140" s="12" t="str">
        <f>VLOOKUP(B140,'Angkut Material'!C:L,2,FALSE)</f>
        <v>Mengangkut 1 m3 tanah lepas, jarak angkut &gt; 100 m s.d 200 m</v>
      </c>
      <c r="D140" s="9" t="s">
        <v>42</v>
      </c>
      <c r="E140" s="1021">
        <f>VLOOKUP(C140,'Angkut Material'!$D$2:$J$258,7,FALSE)</f>
        <v>57500</v>
      </c>
      <c r="F140" s="1003">
        <f>VLOOKUP(C140,'Angkut Material'!$D$2:$K$258,8,FALSE)</f>
        <v>0</v>
      </c>
      <c r="G140" s="12">
        <f>VLOOKUP(C140,'Angkut Material'!$D$2:$L$258,9,FALSE)</f>
        <v>0</v>
      </c>
      <c r="H140" s="374"/>
      <c r="I140" s="16"/>
    </row>
    <row r="141" spans="1:9" ht="24" customHeight="1">
      <c r="B141" s="1033" t="str">
        <f>'Angkut Material'!C105</f>
        <v>1.4.1.8</v>
      </c>
      <c r="C141" s="12" t="str">
        <f>VLOOKUP(B141,'Angkut Material'!C:L,2,FALSE)</f>
        <v>Mengangkut 1 m3 tanah lepas, jarak angkut &gt; 200 m s.d 300 m</v>
      </c>
      <c r="D141" s="9" t="s">
        <v>42</v>
      </c>
      <c r="E141" s="1021">
        <f>VLOOKUP(C141,'Angkut Material'!$D$2:$J$258,7,FALSE)</f>
        <v>77300</v>
      </c>
      <c r="F141" s="1003">
        <f>VLOOKUP(C141,'Angkut Material'!$D$2:$K$258,8,FALSE)</f>
        <v>0</v>
      </c>
      <c r="G141" s="12">
        <f>VLOOKUP(C141,'Angkut Material'!$D$2:$L$258,9,FALSE)</f>
        <v>0</v>
      </c>
      <c r="H141" s="374"/>
      <c r="I141" s="16"/>
    </row>
    <row r="142" spans="1:9" ht="24" customHeight="1">
      <c r="B142" s="1033" t="str">
        <f>'Angkut Material'!C120</f>
        <v>1.4.1.9</v>
      </c>
      <c r="C142" s="12" t="str">
        <f>VLOOKUP(B142,'Angkut Material'!C:L,2,FALSE)</f>
        <v>Mengangkut 1 m3 tanah lepas, jarak angkut &gt; 300 m s.d 400 m</v>
      </c>
      <c r="D142" s="9" t="s">
        <v>42</v>
      </c>
      <c r="E142" s="1021">
        <f>VLOOKUP(C142,'Angkut Material'!$D$2:$J$258,7,FALSE)</f>
        <v>100600</v>
      </c>
      <c r="F142" s="1003">
        <f>VLOOKUP(C142,'Angkut Material'!$D$2:$K$258,8,FALSE)</f>
        <v>0</v>
      </c>
      <c r="G142" s="12">
        <f>VLOOKUP(C142,'Angkut Material'!$D$2:$L$258,9,FALSE)</f>
        <v>0</v>
      </c>
      <c r="H142" s="374"/>
      <c r="I142" s="16"/>
    </row>
    <row r="143" spans="1:9" ht="24" customHeight="1">
      <c r="B143" s="1033" t="str">
        <f>'Angkut Material'!C135</f>
        <v>1.4.1.10</v>
      </c>
      <c r="C143" s="12" t="str">
        <f>VLOOKUP(B143,'Angkut Material'!C:L,2,FALSE)</f>
        <v>Mengangkut 1 m3 tanah lepas, jarak angkut &gt; 400 m s.d 500 m</v>
      </c>
      <c r="D143" s="9" t="s">
        <v>42</v>
      </c>
      <c r="E143" s="1021">
        <f>VLOOKUP(C143,'Angkut Material'!$D$2:$J$258,7,FALSE)</f>
        <v>129900</v>
      </c>
      <c r="F143" s="1003">
        <f>VLOOKUP(C143,'Angkut Material'!$D$2:$K$258,8,FALSE)</f>
        <v>0</v>
      </c>
      <c r="G143" s="12">
        <f>VLOOKUP(C143,'Angkut Material'!$D$2:$L$258,9,FALSE)</f>
        <v>0</v>
      </c>
      <c r="H143" s="374"/>
      <c r="I143" s="16"/>
    </row>
    <row r="144" spans="1:9" ht="24" customHeight="1">
      <c r="B144" s="1033" t="str">
        <f>'Angkut Material'!C150</f>
        <v>1.4.1.11</v>
      </c>
      <c r="C144" s="12" t="str">
        <f>VLOOKUP(B144,'Angkut Material'!C:L,2,FALSE)</f>
        <v>Mengangkut 1 m3 tanah lepas, jarak angkut &gt; 500 m s.d 600 m</v>
      </c>
      <c r="D144" s="9" t="s">
        <v>42</v>
      </c>
      <c r="E144" s="1021">
        <f>VLOOKUP(C144,'Angkut Material'!$D$2:$J$258,7,FALSE)</f>
        <v>163600</v>
      </c>
      <c r="F144" s="1003">
        <f>VLOOKUP(C144,'Angkut Material'!$D$2:$K$258,8,FALSE)</f>
        <v>0</v>
      </c>
      <c r="G144" s="12">
        <f>VLOOKUP(C144,'Angkut Material'!$D$2:$L$258,9,FALSE)</f>
        <v>0</v>
      </c>
      <c r="H144" s="374"/>
      <c r="I144" s="16"/>
    </row>
    <row r="145" spans="1:9" ht="24" customHeight="1">
      <c r="B145" s="1033" t="str">
        <f>'Angkut Material'!C165</f>
        <v>1.4.1.12</v>
      </c>
      <c r="C145" s="12" t="str">
        <f>VLOOKUP(B145,'Angkut Material'!C:L,2,FALSE)</f>
        <v xml:space="preserve">Mengangkut 1 m3 tanah lepas, jarak angkut &gt; 600 m untuk setiap penambahan jarak angkut 100m </v>
      </c>
      <c r="D145" s="9" t="s">
        <v>42</v>
      </c>
      <c r="E145" s="1021">
        <f>VLOOKUP(C145,'Angkut Material'!$D$2:$J$258,7,FALSE)</f>
        <v>32600</v>
      </c>
      <c r="F145" s="1003">
        <f>VLOOKUP(C145,'Angkut Material'!$D$2:$K$258,8,FALSE)</f>
        <v>0</v>
      </c>
      <c r="G145" s="12">
        <f>VLOOKUP(C145,'Angkut Material'!$D$2:$L$258,9,FALSE)</f>
        <v>0</v>
      </c>
      <c r="H145" s="374"/>
      <c r="I145" s="16"/>
    </row>
    <row r="146" spans="1:9" s="1" customFormat="1" ht="24" customHeight="1">
      <c r="A146" s="47"/>
      <c r="B146" s="1043" t="str">
        <f>'Angkut Material'!C179</f>
        <v xml:space="preserve">1.4.2 </v>
      </c>
      <c r="C146" s="41" t="str">
        <f>VLOOKUP(B146,'Angkut Material'!C:L,2,FALSE)</f>
        <v xml:space="preserve">Angkut Material dan / atau Hasil Galian Lainnya </v>
      </c>
      <c r="D146" s="994"/>
      <c r="E146" s="1027"/>
      <c r="F146" s="1004">
        <f>VLOOKUP(C146,'Angkut Material'!$D$2:$K$258,8,FALSE)</f>
        <v>0</v>
      </c>
      <c r="G146" s="36">
        <f>VLOOKUP(C146,'Angkut Material'!$D$2:$L$258,9,FALSE)</f>
        <v>0</v>
      </c>
      <c r="H146" s="1092"/>
      <c r="I146" s="21"/>
    </row>
    <row r="147" spans="1:9" ht="24" customHeight="1">
      <c r="B147" s="1033" t="str">
        <f>'Angkut Material'!C180</f>
        <v>1.4.2.1</v>
      </c>
      <c r="C147" s="12" t="str">
        <f>VLOOKUP(B147,'Angkut Material'!C:L,2,FALSE)</f>
        <v xml:space="preserve">1 m3 Pembuangan tanah lumpur sejauh 1 km </v>
      </c>
      <c r="D147" s="9" t="s">
        <v>42</v>
      </c>
      <c r="E147" s="1021">
        <f>VLOOKUP(C147,'Angkut Material'!$D$2:$J$258,7,FALSE)</f>
        <v>141900</v>
      </c>
      <c r="F147" s="1003">
        <f>VLOOKUP(C147,'Angkut Material'!$D$2:$K$258,8,FALSE)</f>
        <v>0</v>
      </c>
      <c r="G147" s="12">
        <f>VLOOKUP(C147,'Angkut Material'!$D$2:$L$258,9,FALSE)</f>
        <v>0</v>
      </c>
      <c r="H147" s="374"/>
      <c r="I147" s="16"/>
    </row>
    <row r="148" spans="1:9" ht="24" customHeight="1">
      <c r="B148" s="1033" t="str">
        <f>'Angkut Material'!C195</f>
        <v>1.4.2.2</v>
      </c>
      <c r="C148" s="12" t="str">
        <f>VLOOKUP(B148,'Angkut Material'!C:L,2,FALSE)</f>
        <v xml:space="preserve">1 m3 Pembuangan tanah lumpur sejauh 2 km </v>
      </c>
      <c r="D148" s="9" t="s">
        <v>42</v>
      </c>
      <c r="E148" s="1021">
        <f>VLOOKUP(C148,'Angkut Material'!$D$2:$J$258,7,FALSE)</f>
        <v>156500</v>
      </c>
      <c r="F148" s="1003">
        <f>VLOOKUP(C148,'Angkut Material'!$D$2:$K$258,8,FALSE)</f>
        <v>0</v>
      </c>
      <c r="G148" s="12">
        <f>VLOOKUP(C148,'Angkut Material'!$D$2:$L$258,9,FALSE)</f>
        <v>0</v>
      </c>
      <c r="H148" s="374"/>
      <c r="I148" s="16"/>
    </row>
    <row r="149" spans="1:9" ht="24" customHeight="1">
      <c r="B149" s="1033" t="str">
        <f>'Angkut Material'!C211</f>
        <v>1.4.2.3</v>
      </c>
      <c r="C149" s="12" t="str">
        <f>VLOOKUP(B149,'Angkut Material'!C:L,2,FALSE)</f>
        <v xml:space="preserve">1 m3 Pembuangan tanah lumpur sejauh 3 km </v>
      </c>
      <c r="D149" s="9" t="s">
        <v>42</v>
      </c>
      <c r="E149" s="1021">
        <f>VLOOKUP(C149,'Angkut Material'!$D$2:$J$258,7,FALSE)</f>
        <v>171100</v>
      </c>
      <c r="F149" s="1003">
        <f>VLOOKUP(C149,'Angkut Material'!$D$2:$K$258,8,FALSE)</f>
        <v>0</v>
      </c>
      <c r="G149" s="12">
        <f>VLOOKUP(C149,'Angkut Material'!$D$2:$L$258,9,FALSE)</f>
        <v>0</v>
      </c>
      <c r="H149" s="374"/>
      <c r="I149" s="16"/>
    </row>
    <row r="150" spans="1:9" ht="24" customHeight="1">
      <c r="B150" s="1033" t="str">
        <f>'Angkut Material'!C227</f>
        <v>1.4.2.4</v>
      </c>
      <c r="C150" s="12" t="str">
        <f>VLOOKUP(B150,'Angkut Material'!C:L,2,FALSE)</f>
        <v xml:space="preserve">1 m3 Pembuangan tanah lumpur sejauh 4 km </v>
      </c>
      <c r="D150" s="9" t="s">
        <v>42</v>
      </c>
      <c r="E150" s="1021">
        <f>VLOOKUP(C150,'Angkut Material'!$D$2:$J$258,7,FALSE)</f>
        <v>185700</v>
      </c>
      <c r="F150" s="1003">
        <f>VLOOKUP(C150,'Angkut Material'!$D$2:$K$258,8,FALSE)</f>
        <v>0</v>
      </c>
      <c r="G150" s="12">
        <f>VLOOKUP(C150,'Angkut Material'!$D$2:$L$258,9,FALSE)</f>
        <v>0</v>
      </c>
      <c r="H150" s="374"/>
      <c r="I150" s="16"/>
    </row>
    <row r="151" spans="1:9" ht="24" customHeight="1">
      <c r="B151" s="1033" t="str">
        <f>'Angkut Material'!C244</f>
        <v>1.4.2.5</v>
      </c>
      <c r="C151" s="12" t="str">
        <f>VLOOKUP(B151,'Angkut Material'!C:L,2,FALSE)</f>
        <v xml:space="preserve">1 m3 Pembuangan tanah lumpur sejauh 5 km </v>
      </c>
      <c r="D151" s="9" t="s">
        <v>42</v>
      </c>
      <c r="E151" s="1021">
        <f>VLOOKUP(C151,'Angkut Material'!$D$2:$J$258,7,FALSE)</f>
        <v>157400</v>
      </c>
      <c r="F151" s="1003">
        <f>VLOOKUP(C151,'Angkut Material'!$D$2:$K$258,8,FALSE)</f>
        <v>0</v>
      </c>
      <c r="G151" s="12">
        <f>VLOOKUP(C151,'Angkut Material'!$D$2:$L$258,9,FALSE)</f>
        <v>0</v>
      </c>
      <c r="H151" s="374"/>
      <c r="I151" s="16"/>
    </row>
    <row r="152" spans="1:9" s="1" customFormat="1" ht="24" customHeight="1">
      <c r="A152" s="47"/>
      <c r="B152" s="1043" t="str">
        <f>'Geotekstil &amp; Geomembran '!C2</f>
        <v>1.5</v>
      </c>
      <c r="C152" s="1001" t="str">
        <f>VLOOKUP(B152,'Geotekstil &amp; Geomembran '!C:L,2,FALSE)</f>
        <v xml:space="preserve">Pekerjaan Geotekstil dan Geomembran </v>
      </c>
      <c r="D152" s="994"/>
      <c r="E152" s="1027"/>
      <c r="F152" s="1007"/>
      <c r="G152" s="30"/>
      <c r="H152" s="1092"/>
      <c r="I152" s="21"/>
    </row>
    <row r="153" spans="1:9" ht="24" customHeight="1">
      <c r="B153" s="1033" t="str">
        <f>'Geotekstil &amp; Geomembran '!C3</f>
        <v>1.5.1</v>
      </c>
      <c r="C153" s="39" t="str">
        <f>VLOOKUP(B153,'Geotekstil &amp; Geomembran '!C:L,2,FALSE)</f>
        <v xml:space="preserve">1 m2 Pasangan Geotekstil, Tipis ( &gt; 100 s.d &lt;400 gr/m2), Secara Manual </v>
      </c>
      <c r="D153" s="9" t="s">
        <v>62</v>
      </c>
      <c r="E153" s="1021">
        <f>VLOOKUP(C153,'Geotekstil &amp; Geomembran '!$D$2:$J$151,7,FALSE)</f>
        <v>1900</v>
      </c>
      <c r="F153" s="1003">
        <f>VLOOKUP(C153,'Geotekstil &amp; Geomembran '!$D$2:$K$151,8,FALSE)</f>
        <v>0</v>
      </c>
      <c r="G153" s="12">
        <f>VLOOKUP(C153,'Geotekstil &amp; Geomembran '!$D$2:$L$151,9,FALSE)</f>
        <v>0</v>
      </c>
      <c r="H153" s="374"/>
      <c r="I153" s="16"/>
    </row>
    <row r="154" spans="1:9" ht="24" customHeight="1">
      <c r="B154" s="1033" t="str">
        <f>'Geotekstil &amp; Geomembran '!C20</f>
        <v>1.5.2</v>
      </c>
      <c r="C154" s="39" t="str">
        <f>VLOOKUP(B154,'Geotekstil &amp; Geomembran '!C:L,2,FALSE)</f>
        <v xml:space="preserve">1 m2 Pasangan Geotekstil, Tipis ( &gt; 100 s.d &lt;400 gr/m2), Secara Mekanis </v>
      </c>
      <c r="D154" s="9" t="s">
        <v>62</v>
      </c>
      <c r="E154" s="1021">
        <f>VLOOKUP(C154,'Geotekstil &amp; Geomembran '!$D$2:$J$151,7,FALSE)</f>
        <v>800</v>
      </c>
      <c r="F154" s="1003">
        <f>VLOOKUP(C154,'Geotekstil &amp; Geomembran '!$D$2:$K$151,8,FALSE)</f>
        <v>0</v>
      </c>
      <c r="G154" s="12">
        <f>VLOOKUP(C154,'Geotekstil &amp; Geomembran '!$D$2:$L$151,9,FALSE)</f>
        <v>0</v>
      </c>
      <c r="H154" s="374"/>
      <c r="I154" s="16"/>
    </row>
    <row r="155" spans="1:9" ht="24" customHeight="1">
      <c r="B155" s="1033" t="str">
        <f>'Geotekstil &amp; Geomembran '!C39</f>
        <v>1.5.3</v>
      </c>
      <c r="C155" s="39" t="str">
        <f>VLOOKUP(B155,'Geotekstil &amp; Geomembran '!C:L,2,FALSE)</f>
        <v xml:space="preserve">1 m2 Pasangan Geotekstil, Tebal Sedang ( &gt; 400 s.d &lt;800 gr/m2), Secara Manual </v>
      </c>
      <c r="D155" s="9" t="s">
        <v>62</v>
      </c>
      <c r="E155" s="1021">
        <f>VLOOKUP(C155,'Geotekstil &amp; Geomembran '!$D$2:$J$151,7,FALSE)</f>
        <v>2600</v>
      </c>
      <c r="F155" s="1003">
        <f>VLOOKUP(C155,'Geotekstil &amp; Geomembran '!$D$2:$K$151,8,FALSE)</f>
        <v>0</v>
      </c>
      <c r="G155" s="12">
        <f>VLOOKUP(C155,'Geotekstil &amp; Geomembran '!$D$2:$L$151,9,FALSE)</f>
        <v>0</v>
      </c>
      <c r="H155" s="374"/>
      <c r="I155" s="16"/>
    </row>
    <row r="156" spans="1:9" ht="24" customHeight="1">
      <c r="B156" s="1033" t="str">
        <f>'Geotekstil &amp; Geomembran '!C57</f>
        <v>1.5.4</v>
      </c>
      <c r="C156" s="39" t="str">
        <f>VLOOKUP(B156,'Geotekstil &amp; Geomembran '!C:L,2,FALSE)</f>
        <v xml:space="preserve">1 m2 Pasangan Geotekstil, Tebal Sedang ( &gt; 400 s.d &lt;800 gr/m2), Secara Semi Mekanis( untuk bangunan gedung) </v>
      </c>
      <c r="D156" s="9" t="s">
        <v>62</v>
      </c>
      <c r="E156" s="1021">
        <f>VLOOKUP(C156,'Geotekstil &amp; Geomembran '!$D$2:$J$151,7,FALSE)</f>
        <v>900</v>
      </c>
      <c r="F156" s="1003" t="str">
        <f>VLOOKUP(C156,'Geotekstil &amp; Geomembran '!$D$2:$K$151,8,FALSE)</f>
        <v xml:space="preserve">Revisi </v>
      </c>
      <c r="G156" s="12" t="str">
        <f>VLOOKUP(C156,'Geotekstil &amp; Geomembran '!$D$2:$L$151,9,FALSE)</f>
        <v xml:space="preserve">Tidak ada Perubahan </v>
      </c>
      <c r="H156" s="374"/>
      <c r="I156" s="16"/>
    </row>
    <row r="157" spans="1:9" ht="24" customHeight="1">
      <c r="B157" s="1033" t="str">
        <f>'Geotekstil &amp; Geomembran '!C75</f>
        <v>1.5.5</v>
      </c>
      <c r="C157" s="39" t="str">
        <f>VLOOKUP(B157,'Geotekstil &amp; Geomembran '!C:L,2,FALSE)</f>
        <v xml:space="preserve">1 m2 Pasangan Geotekstil, Tebal (  &gt;800 gr/m2), Secara Manual ( untuk bangunan gedung) </v>
      </c>
      <c r="D157" s="9" t="s">
        <v>62</v>
      </c>
      <c r="E157" s="1021">
        <f>VLOOKUP(C157,'Geotekstil &amp; Geomembran '!$D$2:$J$151,7,FALSE)</f>
        <v>4100</v>
      </c>
      <c r="F157" s="1003" t="str">
        <f>VLOOKUP(C157,'Geotekstil &amp; Geomembran '!$D$2:$K$151,8,FALSE)</f>
        <v xml:space="preserve">Revisi </v>
      </c>
      <c r="G157" s="12" t="str">
        <f>VLOOKUP(C157,'Geotekstil &amp; Geomembran '!$D$2:$L$151,9,FALSE)</f>
        <v>Perubahan di bahan awalnya Geotextile &gt;100 gr/m2 jadi &gt;800 gr/m2</v>
      </c>
      <c r="H157" s="374"/>
      <c r="I157" s="16"/>
    </row>
    <row r="158" spans="1:9" ht="24" customHeight="1">
      <c r="B158" s="1033" t="str">
        <f>'Geotekstil &amp; Geomembran '!C93</f>
        <v>1.5.6</v>
      </c>
      <c r="C158" s="39" t="str">
        <f>VLOOKUP(B158,'Geotekstil &amp; Geomembran '!C:L,2,FALSE)</f>
        <v xml:space="preserve">1 m2 Pasangan Geotekstil, Tebal (  &gt;800 gr/m2), Secara Semi Mekanis ( untuk bangunan gedung) </v>
      </c>
      <c r="D158" s="9" t="s">
        <v>62</v>
      </c>
      <c r="E158" s="1021">
        <f>VLOOKUP(C158,'Geotekstil &amp; Geomembran '!$D$2:$J$151,7,FALSE)</f>
        <v>1200</v>
      </c>
      <c r="F158" s="1003" t="str">
        <f>VLOOKUP(C158,'Geotekstil &amp; Geomembran '!$D$2:$K$151,8,FALSE)</f>
        <v>Revisi</v>
      </c>
      <c r="G158" s="12" t="str">
        <f>VLOOKUP(C158,'Geotekstil &amp; Geomembran '!$D$2:$L$151,9,FALSE)</f>
        <v>Perubahan di bahan awalnya Geotextile &gt;100 gr/m2 jadi &gt;800 gr/m2</v>
      </c>
      <c r="H158" s="374"/>
      <c r="I158" s="16"/>
    </row>
    <row r="159" spans="1:9" ht="24" customHeight="1">
      <c r="B159" s="1033" t="str">
        <f>'Geotekstil &amp; Geomembran '!C112</f>
        <v>1.5.7</v>
      </c>
      <c r="C159" s="39" t="str">
        <f>VLOOKUP(B159,'Geotekstil &amp; Geomembran '!C:L,2,FALSE)</f>
        <v>1 m2 Pasangan Geomembran, t=1,5 mm, secara semi mekanis</v>
      </c>
      <c r="D159" s="9" t="s">
        <v>62</v>
      </c>
      <c r="E159" s="1021">
        <f>VLOOKUP(C159,'Geotekstil &amp; Geomembran '!$D$2:$J$151,7,FALSE)</f>
        <v>1700</v>
      </c>
      <c r="F159" s="1003">
        <f>VLOOKUP(C159,'Geotekstil &amp; Geomembran '!$D$2:$K$151,8,FALSE)</f>
        <v>0</v>
      </c>
      <c r="G159" s="12">
        <f>VLOOKUP(C159,'Geotekstil &amp; Geomembran '!$D$2:$L$151,9,FALSE)</f>
        <v>0</v>
      </c>
      <c r="H159" s="374"/>
      <c r="I159" s="16"/>
    </row>
    <row r="160" spans="1:9" ht="24" customHeight="1">
      <c r="B160" s="1033" t="str">
        <f>'Geotekstil &amp; Geomembran '!C132</f>
        <v>1.5.8</v>
      </c>
      <c r="C160" s="39" t="str">
        <f>VLOOKUP(B160,'Geotekstil &amp; Geomembran '!C:L,2,FALSE)</f>
        <v xml:space="preserve">1 m2 Pasangan Geosynthetic Clay Liner (GCL), secara semi mekanis </v>
      </c>
      <c r="D160" s="9" t="s">
        <v>62</v>
      </c>
      <c r="E160" s="1021">
        <f>VLOOKUP(C160,'Geotekstil &amp; Geomembran '!$D$2:$J$151,7,FALSE)</f>
        <v>429400</v>
      </c>
      <c r="F160" s="1003">
        <f>VLOOKUP(C160,'Geotekstil &amp; Geomembran '!$D$2:$K$151,8,FALSE)</f>
        <v>0</v>
      </c>
      <c r="G160" s="12">
        <f>VLOOKUP(C160,'Geotekstil &amp; Geomembran '!$D$2:$L$151,9,FALSE)</f>
        <v>0</v>
      </c>
      <c r="H160" s="374"/>
      <c r="I160" s="16"/>
    </row>
    <row r="161" spans="2:9" ht="24" customHeight="1">
      <c r="B161" s="1043" t="str">
        <f>Pembongkaran!C3</f>
        <v>1.6</v>
      </c>
      <c r="C161" s="1001" t="str">
        <f>VLOOKUP(B161,Pembongkaran!C:L,2,FALSE)</f>
        <v>PEKERJAAN PEMBONGKARAN</v>
      </c>
      <c r="D161" s="994"/>
      <c r="E161" s="1027"/>
      <c r="F161" s="1007"/>
      <c r="G161" s="30"/>
      <c r="H161" s="374"/>
      <c r="I161" s="16"/>
    </row>
    <row r="162" spans="2:9" ht="24" customHeight="1">
      <c r="B162" s="1033" t="str">
        <f>Pembongkaran!C4</f>
        <v>1.6.1</v>
      </c>
      <c r="C162" s="39" t="str">
        <f>VLOOKUP(B162,Pembongkaran!C:L,2,FALSE)</f>
        <v>Bongkaran 1 m3 pasangan batu (manual) untuk bangunan gedung</v>
      </c>
      <c r="D162" s="9" t="s">
        <v>42</v>
      </c>
      <c r="E162" s="1021">
        <f>VLOOKUP(C162,Pembongkaran!D4:J221,7,FALSE)</f>
        <v>143500</v>
      </c>
      <c r="F162" s="1003">
        <f>VLOOKUP(C162,Pembongkaran!D4:L221,8,FALSE)</f>
        <v>0</v>
      </c>
      <c r="G162" s="12">
        <f>VLOOKUP(C162,Pembongkaran!D4:M221,9,FALSE)</f>
        <v>0</v>
      </c>
      <c r="H162" s="374"/>
      <c r="I162" s="16"/>
    </row>
    <row r="163" spans="2:9" ht="24" customHeight="1">
      <c r="B163" s="1033" t="str">
        <f>Pembongkaran!C23</f>
        <v>1.6.2</v>
      </c>
      <c r="C163" s="39" t="str">
        <f>VLOOKUP(B163,Pembongkaran!C:L,2,FALSE)</f>
        <v xml:space="preserve">Bongkaran 1 m3 pasangan batu dengan jack hammer untuk bangunan gedung </v>
      </c>
      <c r="D163" s="9" t="s">
        <v>42</v>
      </c>
      <c r="E163" s="1021">
        <f>VLOOKUP(C163,Pembongkaran!D5:J222,7,FALSE)</f>
        <v>150200</v>
      </c>
      <c r="F163" s="1003">
        <f>VLOOKUP(C163,Pembongkaran!D5:L222,8,FALSE)</f>
        <v>0</v>
      </c>
      <c r="G163" s="12">
        <f>VLOOKUP(C163,Pembongkaran!D5:M222,9,FALSE)</f>
        <v>0</v>
      </c>
      <c r="H163" s="374"/>
      <c r="I163" s="16"/>
    </row>
    <row r="164" spans="2:9" ht="24" customHeight="1">
      <c r="B164" s="1033" t="str">
        <f>Pembongkaran!C38</f>
        <v>1.6.3</v>
      </c>
      <c r="C164" s="39" t="str">
        <f>VLOOKUP(B164,Pembongkaran!C:L,2,FALSE)</f>
        <v>Bongkaran 1 m3 beton mutu rendah f’c &lt; 20 MPa secara manual</v>
      </c>
      <c r="D164" s="9" t="s">
        <v>42</v>
      </c>
      <c r="E164" s="1021">
        <f>VLOOKUP(C164,Pembongkaran!D6:J223,7,FALSE)</f>
        <v>206300</v>
      </c>
      <c r="F164" s="1003">
        <f>VLOOKUP(C164,Pembongkaran!D6:L223,8,FALSE)</f>
        <v>0</v>
      </c>
      <c r="G164" s="12">
        <f>VLOOKUP(C164,Pembongkaran!D6:M223,9,FALSE)</f>
        <v>0</v>
      </c>
      <c r="H164" s="374"/>
      <c r="I164" s="16"/>
    </row>
    <row r="165" spans="2:9" ht="24" customHeight="1">
      <c r="B165" s="1033" t="str">
        <f>Pembongkaran!C57</f>
        <v xml:space="preserve">1.6.4 </v>
      </c>
      <c r="C165" s="39" t="str">
        <f>VLOOKUP(B165,Pembongkaran!C:L,2,FALSE)</f>
        <v>Bongkaran 1 m3 beton mutu rendah f’c ≥ 20 MPa secara manual</v>
      </c>
      <c r="D165" s="9" t="s">
        <v>42</v>
      </c>
      <c r="E165" s="1021">
        <f>VLOOKUP(C165,Pembongkaran!D7:J224,7,FALSE)</f>
        <v>496700</v>
      </c>
      <c r="F165" s="1003">
        <f>VLOOKUP(C165,Pembongkaran!D7:L224,8,FALSE)</f>
        <v>0</v>
      </c>
      <c r="G165" s="12">
        <f>VLOOKUP(C165,Pembongkaran!D7:M224,9,FALSE)</f>
        <v>0</v>
      </c>
      <c r="H165" s="374"/>
      <c r="I165" s="16"/>
    </row>
    <row r="166" spans="2:9" ht="24" customHeight="1">
      <c r="B166" s="1033" t="str">
        <f>Pembongkaran!C76</f>
        <v>1.6.5</v>
      </c>
      <c r="C166" s="39" t="str">
        <f>VLOOKUP(B166,Pembongkaran!C:L,2,FALSE)</f>
        <v>Bongkaran 1 m3 beton mutu rendah f’c &lt; 20 MPa dengan jack hammer</v>
      </c>
      <c r="D166" s="9" t="s">
        <v>42</v>
      </c>
      <c r="E166" s="1021">
        <f>VLOOKUP(C166,Pembongkaran!D8:J225,7,FALSE)</f>
        <v>152000</v>
      </c>
      <c r="F166" s="1003">
        <f>VLOOKUP(C166,Pembongkaran!D8:L225,8,FALSE)</f>
        <v>0</v>
      </c>
      <c r="G166" s="12">
        <f>VLOOKUP(C166,Pembongkaran!D8:M225,9,FALSE)</f>
        <v>0</v>
      </c>
      <c r="H166" s="374"/>
      <c r="I166" s="16"/>
    </row>
    <row r="167" spans="2:9" ht="24" customHeight="1">
      <c r="B167" s="1033" t="str">
        <f>Pembongkaran!C91</f>
        <v xml:space="preserve">1.6.6 </v>
      </c>
      <c r="C167" s="39" t="str">
        <f>VLOOKUP(B167,Pembongkaran!C:L,2,FALSE)</f>
        <v>Bongkaran 1 m3 beton mutu sedang 20 MPa ≤ f’c ≤ 40 MPa dengan jack hammer</v>
      </c>
      <c r="D167" s="9" t="s">
        <v>42</v>
      </c>
      <c r="E167" s="1021">
        <f>VLOOKUP(C167,Pembongkaran!D9:J226,7,FALSE)</f>
        <v>174000</v>
      </c>
      <c r="F167" s="1003">
        <f>VLOOKUP(C167,Pembongkaran!D9:L226,8,FALSE)</f>
        <v>0</v>
      </c>
      <c r="G167" s="12">
        <f>VLOOKUP(C167,Pembongkaran!D9:M226,9,FALSE)</f>
        <v>0</v>
      </c>
      <c r="H167" s="374"/>
      <c r="I167" s="16"/>
    </row>
    <row r="168" spans="2:9" ht="24" customHeight="1">
      <c r="B168" s="1033" t="str">
        <f>Pembongkaran!C106</f>
        <v>1.6.7</v>
      </c>
      <c r="C168" s="39" t="str">
        <f>VLOOKUP(B168,Pembongkaran!C:L,2,FALSE)</f>
        <v>Bongkaran 1 m3 pasangan bata merah secara manual</v>
      </c>
      <c r="D168" s="9" t="s">
        <v>42</v>
      </c>
      <c r="E168" s="1021">
        <f>VLOOKUP(C168,Pembongkaran!D10:J227,7,FALSE)</f>
        <v>38600</v>
      </c>
      <c r="F168" s="1003">
        <f>VLOOKUP(C168,Pembongkaran!D10:L227,8,FALSE)</f>
        <v>0</v>
      </c>
      <c r="G168" s="12">
        <f>VLOOKUP(C168,Pembongkaran!D10:M227,9,FALSE)</f>
        <v>0</v>
      </c>
      <c r="H168" s="374"/>
      <c r="I168" s="16"/>
    </row>
    <row r="169" spans="2:9" ht="24" customHeight="1">
      <c r="B169" s="1033" t="str">
        <f>Pembongkaran!C123</f>
        <v>1.6.8</v>
      </c>
      <c r="C169" s="39" t="str">
        <f>VLOOKUP(B169,Pembongkaran!C:L,2,FALSE)</f>
        <v>Bongkaran 1 m3 pasangan bata merah dengan jack hammer</v>
      </c>
      <c r="D169" s="9" t="s">
        <v>42</v>
      </c>
      <c r="E169" s="1021">
        <f>VLOOKUP(C169,Pembongkaran!D11:J228,7,FALSE)</f>
        <v>24900</v>
      </c>
      <c r="F169" s="1003">
        <f>VLOOKUP(C169,Pembongkaran!D11:L228,8,FALSE)</f>
        <v>0</v>
      </c>
      <c r="G169" s="12">
        <f>VLOOKUP(C169,Pembongkaran!D11:M228,9,FALSE)</f>
        <v>0</v>
      </c>
      <c r="H169" s="374"/>
      <c r="I169" s="16"/>
    </row>
    <row r="170" spans="2:9" ht="24" customHeight="1">
      <c r="B170" s="1033" t="str">
        <f>Pembongkaran!C138</f>
        <v>1.6.9</v>
      </c>
      <c r="C170" s="39" t="str">
        <f>VLOOKUP(B170,Pembongkaran!C:L,2,FALSE)</f>
        <v>Bongkaran 1 m3 rangka atap / reng/ kaso struktur kayu dan ditempatkan di pemyimpanan sementara (bongkaran tidak dipakai kembali)</v>
      </c>
      <c r="D170" s="9" t="s">
        <v>42</v>
      </c>
      <c r="E170" s="1021">
        <f>VLOOKUP(C170,Pembongkaran!D12:J229,7,FALSE)</f>
        <v>13500</v>
      </c>
      <c r="F170" s="1003">
        <f>VLOOKUP(C170,Pembongkaran!D12:L229,8,FALSE)</f>
        <v>0</v>
      </c>
      <c r="G170" s="12">
        <f>VLOOKUP(C170,Pembongkaran!D12:M229,9,FALSE)</f>
        <v>0</v>
      </c>
      <c r="H170" s="374"/>
      <c r="I170" s="16"/>
    </row>
    <row r="171" spans="2:9" ht="24" customHeight="1">
      <c r="B171" s="1033" t="str">
        <f>Pembongkaran!C155</f>
        <v>1.6.10</v>
      </c>
      <c r="C171" s="39" t="str">
        <f>VLOOKUP(B171,Pembongkaran!C:L,2,FALSE)</f>
        <v>Bongkaran 1 m3 kuda-kuda / gording/ balok kayu dan ditempatkan di pemyimpanan sementara (bogkaran dipakai kembali)</v>
      </c>
      <c r="D171" s="9" t="s">
        <v>42</v>
      </c>
      <c r="E171" s="1021">
        <f>VLOOKUP(C171,Pembongkaran!D13:J230,7,FALSE)</f>
        <v>1827900</v>
      </c>
      <c r="F171" s="1003">
        <f>VLOOKUP(C171,Pembongkaran!D13:L230,8,FALSE)</f>
        <v>0</v>
      </c>
      <c r="G171" s="12">
        <f>VLOOKUP(C171,Pembongkaran!D13:M230,9,FALSE)</f>
        <v>0</v>
      </c>
      <c r="H171" s="374"/>
      <c r="I171" s="16"/>
    </row>
    <row r="172" spans="2:9" ht="24" customHeight="1">
      <c r="B172" s="1033" t="str">
        <f>Pembongkaran!C173</f>
        <v>1.6.11</v>
      </c>
      <c r="C172" s="39" t="str">
        <f>VLOOKUP(B172,Pembongkaran!C:L,2,FALSE)</f>
        <v>Bongkaran 1 m3 kuda-kuda / gording/ balok kayu dan ditempatkan di pemyimpanan sementara (bogkaran tidak dipakai kembali)</v>
      </c>
      <c r="D172" s="9" t="s">
        <v>42</v>
      </c>
      <c r="E172" s="1021">
        <f>VLOOKUP(C172,Pembongkaran!D14:J231,7,FALSE)</f>
        <v>1662800</v>
      </c>
      <c r="F172" s="1003" t="str">
        <f>VLOOKUP(C172,Pembongkaran!D14:L231,8,FALSE)</f>
        <v xml:space="preserve">Revisi </v>
      </c>
      <c r="G172" s="12" t="str">
        <f>VLOOKUP(C172,Pembongkaran!D14:M231,9,FALSE)</f>
        <v xml:space="preserve">Tidak ada perubaha </v>
      </c>
      <c r="H172" s="374"/>
      <c r="I172" s="16"/>
    </row>
    <row r="173" spans="2:9" ht="24" customHeight="1">
      <c r="B173" s="1033" t="str">
        <f>Pembongkaran!C191</f>
        <v>1.6.12</v>
      </c>
      <c r="C173" s="39" t="str">
        <f>VLOOKUP(B173,Pembongkaran!C:L,2,FALSE)</f>
        <v>Bongkaran 1 m2 plafon termasuk rangka kayu/hollow dan ditempatkan di peyimpanan sementara (bongkaran tidak dipakai kembali)</v>
      </c>
      <c r="D173" s="9" t="s">
        <v>42</v>
      </c>
      <c r="E173" s="1021">
        <f>VLOOKUP(C173,Pembongkaran!D15:J232,7,FALSE)</f>
        <v>16600</v>
      </c>
      <c r="F173" s="1003" t="str">
        <f>VLOOKUP(C173,Pembongkaran!D15:L232,8,FALSE)</f>
        <v>Revisi</v>
      </c>
      <c r="G173" s="12" t="str">
        <f>VLOOKUP(C173,Pembongkaran!D15:M232,9,FALSE)</f>
        <v>Perubahan nama item pekerjaan awalnya m3 jadi m2</v>
      </c>
      <c r="H173" s="374"/>
      <c r="I173" s="16"/>
    </row>
    <row r="174" spans="2:9" ht="24" customHeight="1">
      <c r="B174" s="1033" t="str">
        <f>Pembongkaran!C207</f>
        <v>1.6.13</v>
      </c>
      <c r="C174" s="39" t="str">
        <f>VLOOKUP(B174,Pembongkaran!C:L,2,FALSE)</f>
        <v>Bongkaran 1 m2 plafon termasuk rangka kayu/hollow dan ditempatkan di peyimpanan sementara (bongkaran  dipakai kembali)</v>
      </c>
      <c r="D174" s="9" t="s">
        <v>42</v>
      </c>
      <c r="E174" s="1021">
        <f>VLOOKUP(C174,Pembongkaran!D16:J233,7,FALSE)</f>
        <v>33300</v>
      </c>
      <c r="F174" s="1003" t="str">
        <f>VLOOKUP(C174,Pembongkaran!D16:L233,8,FALSE)</f>
        <v>Revisi</v>
      </c>
      <c r="G174" s="12" t="str">
        <f>VLOOKUP(C174,Pembongkaran!D16:M233,9,FALSE)</f>
        <v>Perubahan nama item pekerjaan awalnya m3 jadi m2</v>
      </c>
      <c r="H174" s="374"/>
      <c r="I174" s="16"/>
    </row>
    <row r="175" spans="2:9" ht="24" customHeight="1">
      <c r="B175" s="1028">
        <f>'Rangka Atap'!C2</f>
        <v>2</v>
      </c>
      <c r="C175" s="984" t="str">
        <f>VLOOKUP(B175,'Rangka Atap'!C:L,2,FALSE)</f>
        <v xml:space="preserve">PEKERJAAN STRUKTUR </v>
      </c>
      <c r="D175" s="985"/>
      <c r="E175" s="1029"/>
      <c r="F175" s="1008"/>
      <c r="G175" s="18"/>
    </row>
    <row r="176" spans="2:9" ht="24" customHeight="1">
      <c r="B176" s="1043" t="str">
        <f>'Rangka Atap'!C3</f>
        <v xml:space="preserve">2.1 </v>
      </c>
      <c r="C176" s="986" t="str">
        <f>VLOOKUP(B176,'Rangka Atap'!C:L,2,FALSE)</f>
        <v xml:space="preserve">PEKERJAAN RANGKA ATAP </v>
      </c>
      <c r="D176" s="994"/>
      <c r="E176" s="1027"/>
      <c r="F176" s="1007"/>
      <c r="G176" s="30"/>
      <c r="H176" s="374"/>
      <c r="I176" s="16"/>
    </row>
    <row r="177" spans="2:9" ht="24" customHeight="1">
      <c r="B177" s="1093" t="str">
        <f>'Rangka Atap'!C4</f>
        <v>2.1.1</v>
      </c>
      <c r="C177" s="990" t="str">
        <f>VLOOKUP(B177,'Rangka Atap'!C:L,2,FALSE)</f>
        <v xml:space="preserve">Rangka Atap Baja Ringan </v>
      </c>
      <c r="D177" s="1094"/>
      <c r="E177" s="1027"/>
      <c r="F177" s="1004"/>
      <c r="G177" s="36"/>
      <c r="H177" s="374"/>
      <c r="I177" s="16"/>
    </row>
    <row r="178" spans="2:9" ht="24" customHeight="1">
      <c r="B178" s="1095" t="str">
        <f>'Rangka Atap'!C5</f>
        <v>2.1.1.1</v>
      </c>
      <c r="C178" s="1160" t="str">
        <f>VLOOKUP(B178,'Rangka Atap'!C:L,2,FALSE)</f>
        <v>Pemasangan 1 m2 rangka atap pelana baja ringan (canai dingin) profil C75</v>
      </c>
      <c r="D178" s="988" t="s">
        <v>62</v>
      </c>
      <c r="E178" s="1021">
        <f>VLOOKUP(C178,'Rangka Atap'!D5:J191,7,FALSE)</f>
        <v>303400</v>
      </c>
      <c r="F178" s="1003">
        <f>VLOOKUP(C178,'Rangka Atap'!D5:K191,8,FALSE)</f>
        <v>0</v>
      </c>
      <c r="G178" s="12">
        <f>VLOOKUP(C178,'Rangka Atap'!D5:L191,9,FALSE)</f>
        <v>0</v>
      </c>
      <c r="H178" s="374"/>
      <c r="I178" s="16"/>
    </row>
    <row r="179" spans="2:9" ht="24" customHeight="1">
      <c r="B179" s="1095" t="str">
        <f>'Rangka Atap'!C22</f>
        <v>2.1.1.2</v>
      </c>
      <c r="C179" s="989" t="str">
        <f>VLOOKUP(B179,'Rangka Atap'!C:L,2,FALSE)</f>
        <v>Pemasangan 1 m2 rangka atap jurai/limasan baja ringan (canai dingin) profil C75</v>
      </c>
      <c r="D179" s="988" t="s">
        <v>62</v>
      </c>
      <c r="E179" s="1021">
        <f>VLOOKUP(C179,'Rangka Atap'!D6:J192,7,FALSE)</f>
        <v>311000</v>
      </c>
      <c r="F179" s="1003">
        <f>VLOOKUP(C179,'Rangka Atap'!D6:K192,8,FALSE)</f>
        <v>0</v>
      </c>
      <c r="G179" s="12">
        <f>VLOOKUP(C179,'Rangka Atap'!D6:L192,9,FALSE)</f>
        <v>0</v>
      </c>
      <c r="H179" s="374"/>
      <c r="I179" s="16"/>
    </row>
    <row r="180" spans="2:9" ht="24" customHeight="1">
      <c r="B180" s="1095" t="str">
        <f>'Rangka Atap'!C39</f>
        <v>2.1.1.3</v>
      </c>
      <c r="C180" s="989" t="str">
        <f>VLOOKUP(B180,'Rangka Atap'!C:L,2,FALSE)</f>
        <v>Pemasangan 1 m Kaso Baja Ringan C75 tebal 0,75 mm</v>
      </c>
      <c r="D180" s="988" t="s">
        <v>62</v>
      </c>
      <c r="E180" s="1021">
        <f>VLOOKUP(C180,'Rangka Atap'!D7:J193,7,FALSE)</f>
        <v>9700</v>
      </c>
      <c r="F180" s="1003">
        <f>VLOOKUP(C180,'Rangka Atap'!D7:K193,8,FALSE)</f>
        <v>0</v>
      </c>
      <c r="G180" s="12">
        <f>VLOOKUP(C180,'Rangka Atap'!D7:L193,9,FALSE)</f>
        <v>0</v>
      </c>
      <c r="H180" s="374"/>
      <c r="I180" s="16"/>
    </row>
    <row r="181" spans="2:9" ht="24" customHeight="1">
      <c r="B181" s="1095" t="str">
        <f>'Rangka Atap'!C58</f>
        <v>2.1.1.4</v>
      </c>
      <c r="C181" s="989" t="str">
        <f>VLOOKUP(B181,'Rangka Atap'!C:L,2,FALSE)</f>
        <v>Pemasangan 1 m  Baja Ringan R.32 tebal 0,45 mm</v>
      </c>
      <c r="D181" s="988" t="s">
        <v>62</v>
      </c>
      <c r="E181" s="1021">
        <f>VLOOKUP(C181,'Rangka Atap'!D8:J194,7,FALSE)</f>
        <v>4300</v>
      </c>
      <c r="F181" s="1003">
        <f>VLOOKUP(C181,'Rangka Atap'!D8:K194,8,FALSE)</f>
        <v>0</v>
      </c>
      <c r="G181" s="12">
        <f>VLOOKUP(C181,'Rangka Atap'!D8:L194,9,FALSE)</f>
        <v>0</v>
      </c>
      <c r="H181" s="374"/>
      <c r="I181" s="16"/>
    </row>
    <row r="182" spans="2:9" ht="24" customHeight="1">
      <c r="B182" s="1093" t="str">
        <f>'Rangka Atap'!C78</f>
        <v>2.1.2</v>
      </c>
      <c r="C182" s="990" t="str">
        <f>VLOOKUP(B182,'Rangka Atap'!C:L,2,FALSE)</f>
        <v xml:space="preserve">Rangka Atap Kayu </v>
      </c>
      <c r="D182" s="1094"/>
      <c r="E182" s="1027"/>
      <c r="F182" s="1004">
        <f>VLOOKUP(C182,'Rangka Atap'!D9:K195,8,FALSE)</f>
        <v>0</v>
      </c>
      <c r="G182" s="36">
        <f>VLOOKUP(C182,'Rangka Atap'!D9:L195,9,FALSE)</f>
        <v>0</v>
      </c>
      <c r="H182" s="374"/>
      <c r="I182" s="16"/>
    </row>
    <row r="183" spans="2:9" ht="24" customHeight="1">
      <c r="B183" s="1095" t="str">
        <f>'Rangka Atap'!C79</f>
        <v>2.1.2.1</v>
      </c>
      <c r="C183" s="989" t="str">
        <f>VLOOKUP(B183,'Rangka Atap'!C:L,2,FALSE)</f>
        <v xml:space="preserve">Pemasangan 1 m3 konstruksi kuda-kuda konvensional, kayu kelas I, II, dan III bentang s.d. 6 meter </v>
      </c>
      <c r="D183" s="988" t="s">
        <v>62</v>
      </c>
      <c r="E183" s="1021">
        <f>VLOOKUP(C183,'Rangka Atap'!D10:J196,7,FALSE)</f>
        <v>9843000</v>
      </c>
      <c r="F183" s="1003">
        <f>VLOOKUP(C183,'Rangka Atap'!D10:K196,8,FALSE)</f>
        <v>0</v>
      </c>
      <c r="G183" s="12">
        <f>VLOOKUP(C183,'Rangka Atap'!D10:L196,9,FALSE)</f>
        <v>0</v>
      </c>
      <c r="H183" s="374"/>
      <c r="I183" s="16"/>
    </row>
    <row r="184" spans="2:9" ht="24" customHeight="1">
      <c r="B184" s="1095" t="str">
        <f>'Rangka Atap'!C98</f>
        <v>2.1.2.2</v>
      </c>
      <c r="C184" s="989" t="str">
        <f>VLOOKUP(B184,'Rangka Atap'!C:L,2,FALSE)</f>
        <v>Pemasangan 1 m3 konstruksi kuda-kuda ekspose, kayu kelas I</v>
      </c>
      <c r="D184" s="988" t="s">
        <v>62</v>
      </c>
      <c r="E184" s="1021" t="e">
        <f>VLOOKUP(C184,'Rangka Atap'!D11:J197,7,FALSE)</f>
        <v>#VALUE!</v>
      </c>
      <c r="F184" s="1003" t="str">
        <f>VLOOKUP(C184,'Rangka Atap'!D11:K197,8,FALSE)</f>
        <v>Revisi</v>
      </c>
      <c r="G184" s="12" t="str">
        <f>VLOOKUP(C184,'Rangka Atap'!D11:L197,9,FALSE)</f>
        <v xml:space="preserve">Tidak ada Perubahan </v>
      </c>
      <c r="H184" s="374"/>
      <c r="I184" s="16"/>
    </row>
    <row r="185" spans="2:9" ht="24" customHeight="1">
      <c r="B185" s="1095" t="str">
        <f>'Rangka Atap'!C117</f>
        <v>2.1.2.3</v>
      </c>
      <c r="C185" s="989" t="str">
        <f>VLOOKUP(B185,'Rangka Atap'!C:L,2,FALSE)</f>
        <v>Pemasangan 1 m3 konstruksi gordeng, kayu kelas II</v>
      </c>
      <c r="D185" s="988" t="s">
        <v>62</v>
      </c>
      <c r="E185" s="1021">
        <f>VLOOKUP(C185,'Rangka Atap'!D12:J198,7,FALSE)</f>
        <v>8749900</v>
      </c>
      <c r="F185" s="1003" t="str">
        <f>VLOOKUP(C185,'Rangka Atap'!D12:K198,8,FALSE)</f>
        <v xml:space="preserve">Revisi </v>
      </c>
      <c r="G185" s="12" t="str">
        <f>VLOOKUP(C185,'Rangka Atap'!D12:L198,9,FALSE)</f>
        <v>Tidak ada perubahan</v>
      </c>
      <c r="H185" s="374"/>
      <c r="I185" s="16"/>
    </row>
    <row r="186" spans="2:9" ht="24" customHeight="1">
      <c r="B186" s="1095" t="str">
        <f>'Rangka Atap'!C136</f>
        <v>2.1.2.4</v>
      </c>
      <c r="C186" s="989" t="str">
        <f>VLOOKUP(B186,'Rangka Atap'!C:L,2,FALSE)</f>
        <v>Pemasangan 1 m2 rangka atap genteng keramik, kayu kelas II</v>
      </c>
      <c r="D186" s="988" t="s">
        <v>62</v>
      </c>
      <c r="E186" s="1021">
        <f>VLOOKUP(C186,'Rangka Atap'!D13:J199,7,FALSE)</f>
        <v>114600</v>
      </c>
      <c r="F186" s="1003" t="str">
        <f>VLOOKUP(C186,'Rangka Atap'!D13:K199,8,FALSE)</f>
        <v xml:space="preserve">Revisi </v>
      </c>
      <c r="G186" s="12" t="str">
        <f>VLOOKUP(C186,'Rangka Atap'!D13:L199,9,FALSE)</f>
        <v>perubahan di nama bahan awalnya paku 4 inch jadi paku 5 dan 10 cm</v>
      </c>
      <c r="H186" s="374"/>
      <c r="I186" s="16"/>
    </row>
    <row r="187" spans="2:9" ht="24" customHeight="1">
      <c r="B187" s="1095" t="str">
        <f>'Rangka Atap'!C155</f>
        <v>2.1.2.5</v>
      </c>
      <c r="C187" s="989" t="str">
        <f>VLOOKUP(B187,'Rangka Atap'!C:L,2,FALSE)</f>
        <v>Pemasangan 1 m2 rangka atap genteng beton, kayu kelas II</v>
      </c>
      <c r="D187" s="988" t="s">
        <v>62</v>
      </c>
      <c r="E187" s="1021">
        <f>VLOOKUP(C187,'Rangka Atap'!D14:J200,7,FALSE)</f>
        <v>138300</v>
      </c>
      <c r="F187" s="1003" t="str">
        <f>VLOOKUP(C187,'Rangka Atap'!D14:K200,8,FALSE)</f>
        <v xml:space="preserve">Revisi </v>
      </c>
      <c r="G187" s="12" t="str">
        <f>VLOOKUP(C187,'Rangka Atap'!D14:L200,9,FALSE)</f>
        <v>perubahan di nama bahan awalnya paku 4 inch jadi paku 5 dan 10 cm</v>
      </c>
      <c r="H187" s="374"/>
      <c r="I187" s="16"/>
    </row>
    <row r="188" spans="2:9" ht="24" customHeight="1">
      <c r="B188" s="1033" t="str">
        <f>'Rangka Atap'!C174</f>
        <v>2.1.2.6</v>
      </c>
      <c r="C188" s="42" t="str">
        <f>VLOOKUP(B188,'Rangka Atap'!C:L,2,FALSE)</f>
        <v>Pemasangan 1 m2 rangka atap sirap, kayu kelas II</v>
      </c>
      <c r="D188" s="9" t="s">
        <v>62</v>
      </c>
      <c r="E188" s="1021">
        <f>VLOOKUP(C188,'Rangka Atap'!D15:J201,7,FALSE)</f>
        <v>41100</v>
      </c>
      <c r="F188" s="1003">
        <f>VLOOKUP(C188,'Rangka Atap'!D15:K201,8,FALSE)</f>
        <v>0</v>
      </c>
      <c r="G188" s="12">
        <f>VLOOKUP(C188,'Rangka Atap'!D15:L201,9,FALSE)</f>
        <v>0</v>
      </c>
      <c r="H188" s="374"/>
      <c r="I188" s="16"/>
    </row>
    <row r="189" spans="2:9" ht="24" customHeight="1">
      <c r="B189" s="1044" t="str">
        <f>Beton!C3</f>
        <v xml:space="preserve">2.2 </v>
      </c>
      <c r="C189" s="1002" t="str">
        <f>VLOOKUP(B189,Beton!C:K,2,FALSE)</f>
        <v xml:space="preserve">PEKERJAAN STRUKTUR BETON </v>
      </c>
      <c r="D189" s="995"/>
      <c r="E189" s="1026"/>
      <c r="F189" s="1007"/>
      <c r="G189" s="30"/>
      <c r="H189" s="374"/>
      <c r="I189" s="16"/>
    </row>
    <row r="190" spans="2:9" ht="24" customHeight="1">
      <c r="B190" s="1043" t="str">
        <f>Beton!C4</f>
        <v>2.2.1</v>
      </c>
      <c r="C190" s="1001" t="str">
        <f>VLOOKUP(B190,Beton!C:K,2,FALSE)</f>
        <v xml:space="preserve">Struktur Atas </v>
      </c>
      <c r="D190" s="994"/>
      <c r="E190" s="1027"/>
      <c r="F190" s="1004"/>
      <c r="G190" s="36"/>
      <c r="H190" s="374"/>
      <c r="I190" s="16"/>
    </row>
    <row r="191" spans="2:9" ht="24" customHeight="1">
      <c r="B191" s="1041" t="str">
        <f>Beton!C5</f>
        <v>2.2.1.1</v>
      </c>
      <c r="C191" s="40" t="str">
        <f>VLOOKUP(B191,Beton!C:K,2,FALSE)</f>
        <v>Penulangan Beton</v>
      </c>
      <c r="D191" s="19"/>
      <c r="E191" s="1030"/>
      <c r="F191" s="1003"/>
      <c r="G191" s="12"/>
      <c r="H191" s="374"/>
      <c r="I191" s="16"/>
    </row>
    <row r="192" spans="2:9" ht="24" customHeight="1">
      <c r="B192" s="1033" t="str">
        <f>Beton!C6</f>
        <v>2.2.1.1.1</v>
      </c>
      <c r="C192" s="39" t="str">
        <f>VLOOKUP(B192,Beton!C:K,2,FALSE)</f>
        <v xml:space="preserve"> 1 kg penulangan slab untuk BjTP atau BjTS dia. &lt; 12 mm, cara manual (untuk bangunan gedung)</v>
      </c>
      <c r="D192" s="9" t="s">
        <v>65</v>
      </c>
      <c r="E192" s="1021">
        <f>VLOOKUP(C192,Beton!D3:$I$1125,6,FALSE)</f>
        <v>17100</v>
      </c>
      <c r="F192" s="1003" t="str">
        <f>VLOOKUP(C192,Beton!D3:$J$1125,7,FALSE)</f>
        <v xml:space="preserve">Revisi </v>
      </c>
      <c r="G192" s="12" t="str">
        <f>VLOOKUP(C192,Beton!D3:$K$1125,8,FALSE)</f>
        <v>Perubahan di nama bahan awalya BjTP jadi Baja Tulangan Polos (BjTP) diameter &lt; 12 mm</v>
      </c>
      <c r="H192" s="374"/>
      <c r="I192" s="16"/>
    </row>
    <row r="193" spans="2:9" ht="24" customHeight="1">
      <c r="B193" s="1033" t="str">
        <f>Beton!C24</f>
        <v>2.2.1.1.1a</v>
      </c>
      <c r="C193" s="39" t="str">
        <f>VLOOKUP(B193,Beton!C:K,2,FALSE)</f>
        <v xml:space="preserve"> 1 kg penulangan slab untuk  BjTS atau BjTS dia. &lt; 12 mm, cara manual (untuk bangunan gedung)</v>
      </c>
      <c r="D193" s="9" t="s">
        <v>65</v>
      </c>
      <c r="E193" s="1021">
        <f>VLOOKUP(C193,Beton!D4:$I$1125,6,FALSE)</f>
        <v>2500</v>
      </c>
      <c r="F193" s="1003" t="str">
        <f>VLOOKUP(C193,Beton!D4:$J$1125,7,FALSE)</f>
        <v xml:space="preserve">Revisi </v>
      </c>
      <c r="G193" s="12" t="str">
        <f>VLOOKUP(C193,Beton!D4:$K$1125,8,FALSE)</f>
        <v>sebelumnya belum ada no 2.2.1.1.1.a (penambahan tabel item ini)</v>
      </c>
      <c r="H193" s="374"/>
      <c r="I193" s="16"/>
    </row>
    <row r="194" spans="2:9" ht="24" customHeight="1">
      <c r="B194" s="1033" t="str">
        <f>Beton!C44</f>
        <v>2.2.1.1.2</v>
      </c>
      <c r="C194" s="39" t="str">
        <f>VLOOKUP(B194,Beton!C:K,2,FALSE)</f>
        <v xml:space="preserve"> 1 kg penulangan slab untuk BjTP dia. ≥ 12 mm, cara semi mekanis (untuk bangunan gedung)</v>
      </c>
      <c r="D194" s="9" t="s">
        <v>65</v>
      </c>
      <c r="E194" s="1021">
        <f>VLOOKUP(C194,Beton!D4:$I$1125,6,FALSE)</f>
        <v>900</v>
      </c>
      <c r="F194" s="1003" t="str">
        <f>VLOOKUP(C194,Beton!D4:$J$1125,7,FALSE)</f>
        <v xml:space="preserve">Revisi </v>
      </c>
      <c r="G194" s="12" t="str">
        <f>VLOOKUP(C194,Beton!D5:$K$1125,8,FALSE)</f>
        <v>Perubahan di judul dan bahan awalnya BjTP jadi Baja Tulangan Polos (BjTP) diameter &gt;12 mm</v>
      </c>
      <c r="H194" s="374"/>
      <c r="I194" s="16"/>
    </row>
    <row r="195" spans="2:9" ht="24" customHeight="1">
      <c r="B195" s="1033" t="str">
        <f>Beton!C64</f>
        <v>2.2.1.1.2a</v>
      </c>
      <c r="C195" s="39" t="str">
        <f>VLOOKUP(B195,Beton!C:K,2,FALSE)</f>
        <v xml:space="preserve"> 1 kg penulangan slab untuk BjTS dia. ≥ 12 mm, cara semi mekanis (untuk bangunan gedung)</v>
      </c>
      <c r="D195" s="9" t="s">
        <v>65</v>
      </c>
      <c r="E195" s="1021">
        <f>VLOOKUP(C195,Beton!D5:$I$1125,6,FALSE)</f>
        <v>900</v>
      </c>
      <c r="F195" s="1003" t="str">
        <f>VLOOKUP(C195,Beton!D5:$J$1125,7,FALSE)</f>
        <v xml:space="preserve">Revisi </v>
      </c>
      <c r="G195" s="12" t="str">
        <f>VLOOKUP(C195,Beton!D6:$K$1125,8,FALSE)</f>
        <v>sebelumnya belum ada no 2.2.1.1.2.a (penambahan tabel item ini)</v>
      </c>
      <c r="H195" s="374"/>
      <c r="I195" s="16"/>
    </row>
    <row r="196" spans="2:9" ht="24" customHeight="1">
      <c r="B196" s="1033" t="str">
        <f>Beton!C84</f>
        <v>2.2.1.1.3</v>
      </c>
      <c r="C196" s="1159" t="str">
        <f>VLOOKUP(B196,Beton!C:K,2,FALSE)</f>
        <v>1 kg Penulangan Kolom, Balok, Ring Balk dan Sloof untuk BjTP diameter &lt;12 mm cara Manual</v>
      </c>
      <c r="D196" s="9" t="s">
        <v>65</v>
      </c>
      <c r="E196" s="1021">
        <f>VLOOKUP(C196,Beton!D6:$I$1125,6,FALSE)</f>
        <v>15900</v>
      </c>
      <c r="F196" s="1003" t="str">
        <f>VLOOKUP(C196,Beton!D6:$J$1125,7,FALSE)</f>
        <v xml:space="preserve">Revisi </v>
      </c>
      <c r="G196" s="12" t="str">
        <f>VLOOKUP(C196,Beton!D7:$K$1125,8,FALSE)</f>
        <v>Perubahan di judul dan bahan awalnya BjTP jadi Baja Tulangan Polos (BjTP) diameter &lt;12 mm</v>
      </c>
      <c r="H196" s="374"/>
      <c r="I196" s="16"/>
    </row>
    <row r="197" spans="2:9" ht="24" customHeight="1">
      <c r="B197" s="1033" t="str">
        <f>Beton!C102</f>
        <v>2.2.1.1.3a</v>
      </c>
      <c r="C197" s="39" t="str">
        <f>VLOOKUP(B197,Beton!C:K,2,FALSE)</f>
        <v>1 kg Penulangan Kolom, Balok, Ring Balk dan Sloof untuk BjTS diameter &lt;12 mm cara Manual</v>
      </c>
      <c r="D197" s="9" t="s">
        <v>65</v>
      </c>
      <c r="E197" s="1021">
        <f>VLOOKUP(C197,Beton!D7:$I$1125,6,FALSE)</f>
        <v>1300</v>
      </c>
      <c r="F197" s="1003" t="str">
        <f>VLOOKUP(C197,Beton!D7:$J$1125,7,FALSE)</f>
        <v xml:space="preserve">Revisi </v>
      </c>
      <c r="G197" s="12" t="str">
        <f>VLOOKUP(C197,Beton!D8:$K$1125,8,FALSE)</f>
        <v>sebelumnya belum ada no 2.2.1.1.3.a (penambahan tabel item ini)</v>
      </c>
      <c r="H197" s="374"/>
      <c r="I197" s="16"/>
    </row>
    <row r="198" spans="2:9" ht="24" customHeight="1">
      <c r="B198" s="1033" t="str">
        <f>Beton!C121</f>
        <v>2.2.1.1.4</v>
      </c>
      <c r="C198" s="39" t="str">
        <f>VLOOKUP(B198,Beton!C:K,2,FALSE)</f>
        <v>1 kg penulangan kolom, balok, ring balk, sloof, dan shearwall untuk BjTP  dia. ≥ 12 mm, cara semi mekanis (untuk bangunan gedung)</v>
      </c>
      <c r="D198" s="9" t="s">
        <v>65</v>
      </c>
      <c r="E198" s="1021">
        <f>VLOOKUP(C198,Beton!D8:$I$1125,6,FALSE)</f>
        <v>73900</v>
      </c>
      <c r="F198" s="1003" t="str">
        <f>VLOOKUP(C198,Beton!D6:$J$1125,7,FALSE)</f>
        <v xml:space="preserve">Revisi </v>
      </c>
      <c r="G198" s="12" t="str">
        <f>VLOOKUP(C198,Beton!D6:$K$1125,8,FALSE)</f>
        <v>Perubahan di judul dan bahan awalnya BjTP jadi Baja Tulangan Polos (BjTP) diameter &gt;12 mm</v>
      </c>
      <c r="H198" s="374"/>
      <c r="I198" s="16"/>
    </row>
    <row r="199" spans="2:9" ht="24" customHeight="1">
      <c r="B199" s="1033" t="str">
        <f>Beton!C141</f>
        <v>2.2.1.1.4a</v>
      </c>
      <c r="C199" s="39" t="str">
        <f>VLOOKUP(B199,Beton!C:K,2,FALSE)</f>
        <v>1 kg penulangan kolom, balok, ring balk, sloof, dan shearwall untuk BjTPS  dia. ≥ 12 mm, cara semi mekanis (untuk bangunan gedung)</v>
      </c>
      <c r="D199" s="9" t="s">
        <v>1044</v>
      </c>
      <c r="E199" s="1021">
        <f>VLOOKUP(C199,Beton!D9:$I$1125,6,FALSE)</f>
        <v>73900</v>
      </c>
      <c r="F199" s="1003" t="str">
        <f>VLOOKUP(C199,Beton!D7:$J$1125,7,FALSE)</f>
        <v xml:space="preserve">Revisi </v>
      </c>
      <c r="G199" s="12" t="str">
        <f>VLOOKUP(C199,Beton!D7:$K$1125,8,FALSE)</f>
        <v>sebelumnya belum ada no 2.2.1.1.4.a (penambahan tabel item ini)</v>
      </c>
      <c r="H199" s="374"/>
      <c r="I199" s="16"/>
    </row>
    <row r="200" spans="2:9" ht="24" customHeight="1">
      <c r="B200" s="1033" t="str">
        <f>Beton!C161</f>
        <v>2.2.1.1.5</v>
      </c>
      <c r="C200" s="39" t="str">
        <f>VLOOKUP(B200,Beton!C:K,2,FALSE)</f>
        <v>1 kg penulangan wiremesh M6-M10 untuk slab atau dinding atau ferrocement, secara manual (untuk bangunan gedung)</v>
      </c>
      <c r="D200" s="9" t="s">
        <v>65</v>
      </c>
      <c r="E200" s="1021">
        <f>VLOOKUP(C200,Beton!D7:$I$1125,6,FALSE)</f>
        <v>13800</v>
      </c>
      <c r="F200" s="1003">
        <f>VLOOKUP(C200,Beton!D7:$J$1125,7,FALSE)</f>
        <v>0</v>
      </c>
      <c r="G200" s="12">
        <f>VLOOKUP(C200,Beton!D7:$K$1125,8,FALSE)</f>
        <v>0</v>
      </c>
      <c r="H200" s="374"/>
      <c r="I200" s="16"/>
    </row>
    <row r="201" spans="2:9" ht="24" customHeight="1">
      <c r="B201" s="1033" t="str">
        <f>Beton!C179</f>
        <v>2.2.1.1.6</v>
      </c>
      <c r="C201" s="39" t="str">
        <f>VLOOKUP(B201,Beton!C:K,2,FALSE)</f>
        <v>1 kg penulangan wiremesh M6-M10 untuk slab atau dinding atau ferrocement, secara semi mekanis</v>
      </c>
      <c r="D201" s="9" t="s">
        <v>65</v>
      </c>
      <c r="E201" s="1021">
        <f>VLOOKUP(C201,Beton!D8:$I$1125,6,FALSE)</f>
        <v>13200</v>
      </c>
      <c r="F201" s="1003">
        <f>VLOOKUP(C201,Beton!D8:$J$1125,7,FALSE)</f>
        <v>0</v>
      </c>
      <c r="G201" s="12">
        <f>VLOOKUP(C201,Beton!D8:$K$1125,8,FALSE)</f>
        <v>0</v>
      </c>
      <c r="H201" s="374"/>
      <c r="I201" s="16"/>
    </row>
    <row r="202" spans="2:9" ht="24" customHeight="1">
      <c r="B202" s="1033" t="str">
        <f>Beton!C198</f>
        <v>2.2.1.1.7</v>
      </c>
      <c r="C202" s="39" t="str">
        <f>VLOOKUP(B202,Beton!C:K,2,FALSE)</f>
        <v>Menaikkan 1 kg tulangan tiap kenaikan vertikal 4 m ke tapak pemasangan secara manual (untuk bangunan gedung)</v>
      </c>
      <c r="D202" s="9" t="s">
        <v>65</v>
      </c>
      <c r="E202" s="1021">
        <f>VLOOKUP(C202,Beton!D9:$I$1125,6,FALSE)</f>
        <v>57</v>
      </c>
      <c r="F202" s="1003">
        <f>VLOOKUP(C202,Beton!D9:$J$1125,7,FALSE)</f>
        <v>0</v>
      </c>
      <c r="G202" s="12">
        <f>VLOOKUP(C202,Beton!D9:$K$1125,8,FALSE)</f>
        <v>0</v>
      </c>
      <c r="H202" s="374"/>
      <c r="I202" s="16"/>
    </row>
    <row r="203" spans="2:9" ht="24" customHeight="1">
      <c r="B203" s="1033" t="str">
        <f>Beton!C212</f>
        <v>2.2.1.1.8</v>
      </c>
      <c r="C203" s="39" t="str">
        <f>VLOOKUP(B203,Beton!C:K,2,FALSE)</f>
        <v>Mengangkut 1 kg tulangan tiap tambahan jarak horizontal 25 m ke tapak pemasangan secara manual (untuk bangunan gedung)</v>
      </c>
      <c r="D203" s="9" t="s">
        <v>65</v>
      </c>
      <c r="E203" s="1021">
        <f>VLOOKUP(C203,Beton!D10:$I$1125,6,FALSE)</f>
        <v>26</v>
      </c>
      <c r="F203" s="1003">
        <f>VLOOKUP(C203,Beton!D10:$J$1125,7,FALSE)</f>
        <v>0</v>
      </c>
      <c r="G203" s="12">
        <f>VLOOKUP(C203,Beton!D10:$K$1125,8,FALSE)</f>
        <v>0</v>
      </c>
      <c r="H203" s="374"/>
      <c r="I203" s="16"/>
    </row>
    <row r="204" spans="2:9" ht="24" customHeight="1">
      <c r="B204" s="1033" t="str">
        <f>Beton!C226</f>
        <v>2.2.1.1.9</v>
      </c>
      <c r="C204" s="39" t="str">
        <f>VLOOKUP(B204,Beton!C:K,2,FALSE)</f>
        <v>Mengangkut/menaikkan 1 kg tulangan tiap kenaikan vertikal 4 m atau tambahan jarak horizontal 25 m ke tapak pemasangan secara mekanis (untuk bangunan gedung)</v>
      </c>
      <c r="D204" s="9" t="s">
        <v>65</v>
      </c>
      <c r="E204" s="1021">
        <f>VLOOKUP(C204,Beton!D11:$I$1125,6,FALSE)</f>
        <v>1200</v>
      </c>
      <c r="F204" s="1003">
        <f>VLOOKUP(C204,Beton!D11:$J$1125,7,FALSE)</f>
        <v>0</v>
      </c>
      <c r="G204" s="12">
        <f>VLOOKUP(C204,Beton!D11:$K$1125,8,FALSE)</f>
        <v>0</v>
      </c>
      <c r="H204" s="374"/>
      <c r="I204" s="16"/>
    </row>
    <row r="205" spans="2:9" ht="24" customHeight="1">
      <c r="B205" s="1041" t="str">
        <f>Beton!C242</f>
        <v>2.2.1.2</v>
      </c>
      <c r="C205" s="40" t="str">
        <f>VLOOKUP(B205,Beton!C:K,2,FALSE)</f>
        <v xml:space="preserve">Pemasangan 1 m' PVC waterstop </v>
      </c>
      <c r="D205" s="19"/>
      <c r="E205" s="1030"/>
      <c r="F205" s="1003">
        <f>VLOOKUP(C205,Beton!D12:$J$1125,7,FALSE)</f>
        <v>0</v>
      </c>
      <c r="G205" s="12">
        <f>VLOOKUP(C205,Beton!D12:$K$1125,8,FALSE)</f>
        <v>0</v>
      </c>
      <c r="H205" s="374"/>
      <c r="I205" s="16"/>
    </row>
    <row r="206" spans="2:9" ht="24" customHeight="1">
      <c r="B206" s="1033" t="str">
        <f>Beton!C243</f>
        <v>2.2.1.2.1</v>
      </c>
      <c r="C206" s="39" t="str">
        <f>VLOOKUP(B206,Beton!C:K,2,FALSE)</f>
        <v>Pemasangan 1 m' PVC waterstop lebar 150 mm (untuk bangunan gedung)</v>
      </c>
      <c r="D206" s="9" t="s">
        <v>1300</v>
      </c>
      <c r="E206" s="1021">
        <f>VLOOKUP(C206,Beton!D13:$I$1125,6,FALSE)</f>
        <v>11700</v>
      </c>
      <c r="F206" s="1003" t="str">
        <f>VLOOKUP(C206,Beton!D13:$J$1125,7,FALSE)</f>
        <v xml:space="preserve">Revisi </v>
      </c>
      <c r="G206" s="12" t="str">
        <f>VLOOKUP(C206,Beton!D13:$K$1125,8,FALSE)</f>
        <v>tidak ada perubahan</v>
      </c>
      <c r="H206" s="374"/>
      <c r="I206" s="16"/>
    </row>
    <row r="207" spans="2:9" ht="24" customHeight="1">
      <c r="B207" s="1033" t="str">
        <f>Beton!C260</f>
        <v>2.2.1.2.2</v>
      </c>
      <c r="C207" s="39" t="str">
        <f>VLOOKUP(B207,Beton!C:K,2,FALSE)</f>
        <v>Pemasangan 1 m' PVC waterstop lebar 200 mm</v>
      </c>
      <c r="D207" s="9" t="s">
        <v>1300</v>
      </c>
      <c r="E207" s="1021">
        <f>VLOOKUP(C207,Beton!D14:$I$1125,6,FALSE)</f>
        <v>13700</v>
      </c>
      <c r="F207" s="1003" t="str">
        <f>VLOOKUP(C207,Beton!D14:$J$1125,7,FALSE)</f>
        <v>Revisi</v>
      </c>
      <c r="G207" s="12" t="str">
        <f>VLOOKUP(C207,Beton!D14:$K$1125,8,FALSE)</f>
        <v>tidak ada perubahan</v>
      </c>
      <c r="H207" s="374"/>
      <c r="I207" s="16"/>
    </row>
    <row r="208" spans="2:9" ht="24" customHeight="1">
      <c r="B208" s="1033" t="str">
        <f>Beton!C277</f>
        <v>2.2.1.2.3</v>
      </c>
      <c r="C208" s="39" t="str">
        <f>VLOOKUP(B208,Beton!C:K,2,FALSE)</f>
        <v>Pemasangan 1 m' PVC waterstop lebar 230-320 mm</v>
      </c>
      <c r="D208" s="9" t="s">
        <v>1300</v>
      </c>
      <c r="E208" s="1021">
        <f>VLOOKUP(C208,Beton!D15:$I$1125,6,FALSE)</f>
        <v>17100</v>
      </c>
      <c r="F208" s="1003">
        <f>VLOOKUP(C208,Beton!D15:$J$1125,7,FALSE)</f>
        <v>0</v>
      </c>
      <c r="G208" s="12">
        <f>VLOOKUP(C208,Beton!D15:$K$1125,8,FALSE)</f>
        <v>0</v>
      </c>
      <c r="H208" s="374"/>
      <c r="I208" s="16"/>
    </row>
    <row r="209" spans="2:9" ht="24" customHeight="1">
      <c r="B209" s="1041" t="str">
        <f>Beton!C295</f>
        <v>2.2.1.3</v>
      </c>
      <c r="C209" s="40" t="str">
        <f>VLOOKUP(B209,Beton!C:K,2,FALSE)</f>
        <v xml:space="preserve">Pemasangan dan Pembongkaran Bekisting </v>
      </c>
      <c r="D209" s="19"/>
      <c r="E209" s="1030"/>
      <c r="F209" s="1003">
        <f>VLOOKUP(C209,Beton!D16:$J$1125,7,FALSE)</f>
        <v>0</v>
      </c>
      <c r="G209" s="12">
        <f>VLOOKUP(C209,Beton!D16:$K$1125,8,FALSE)</f>
        <v>0</v>
      </c>
      <c r="H209" s="374"/>
      <c r="I209" s="16"/>
    </row>
    <row r="210" spans="2:9" ht="24" customHeight="1">
      <c r="B210" s="1033" t="str">
        <f>Beton!C296</f>
        <v>2.2.1.3.1</v>
      </c>
      <c r="C210" s="39" t="str">
        <f>VLOOKUP(B210,Beton!C:K,2,FALSE)</f>
        <v>Pemasangan 1 m2 bekisting untuk pondasi telapak (3 kali pakai)</v>
      </c>
      <c r="D210" s="9" t="s">
        <v>62</v>
      </c>
      <c r="E210" s="1021">
        <f>VLOOKUP(C210,Beton!D17:$I$1125,6,FALSE)</f>
        <v>176700</v>
      </c>
      <c r="F210" s="1003">
        <f>VLOOKUP(C210,Beton!D17:$J$1125,7,FALSE)</f>
        <v>0</v>
      </c>
      <c r="G210" s="12">
        <f>VLOOKUP(C210,Beton!D17:$K$1125,8,FALSE)</f>
        <v>0</v>
      </c>
      <c r="H210" s="374"/>
      <c r="I210" s="16"/>
    </row>
    <row r="211" spans="2:9" ht="24" customHeight="1">
      <c r="B211" s="1033" t="str">
        <f>Beton!C315</f>
        <v>2.2.1.3.2</v>
      </c>
      <c r="C211" s="1159" t="str">
        <f>VLOOKUP(B211,Beton!C:K,2,FALSE)</f>
        <v>Pemasangan 1 m2 bekisting untuk sloof  (3 kali pakai)</v>
      </c>
      <c r="D211" s="9" t="s">
        <v>62</v>
      </c>
      <c r="E211" s="1021">
        <f>VLOOKUP(C211,Beton!D18:$I$1125,6,FALSE)</f>
        <v>183600</v>
      </c>
      <c r="F211" s="1003">
        <f>VLOOKUP(C211,Beton!D18:$J$1125,7,FALSE)</f>
        <v>0</v>
      </c>
      <c r="G211" s="12">
        <f>VLOOKUP(C211,Beton!D18:$K$1125,8,FALSE)</f>
        <v>0</v>
      </c>
      <c r="H211" s="374"/>
      <c r="I211" s="16"/>
    </row>
    <row r="212" spans="2:9" ht="24" customHeight="1">
      <c r="B212" s="1033" t="str">
        <f>Beton!C335</f>
        <v>2.2.1.3.3</v>
      </c>
      <c r="C212" s="1159" t="str">
        <f>VLOOKUP(B212,Beton!C:K,2,FALSE)</f>
        <v>Pemasangan 1 m2 bekisting untuk kolom (3 kali pakai)</v>
      </c>
      <c r="D212" s="9" t="s">
        <v>62</v>
      </c>
      <c r="E212" s="1021">
        <f>VLOOKUP(C212,Beton!D19:$I$1125,6,FALSE)</f>
        <v>216900</v>
      </c>
      <c r="F212" s="1003">
        <f>VLOOKUP(C212,Beton!D19:$J$1125,7,FALSE)</f>
        <v>0</v>
      </c>
      <c r="G212" s="12">
        <f>VLOOKUP(C212,Beton!D19:$K$1125,8,FALSE)</f>
        <v>0</v>
      </c>
      <c r="H212" s="374"/>
      <c r="I212" s="16"/>
    </row>
    <row r="213" spans="2:9" ht="24" customHeight="1">
      <c r="B213" s="1033" t="str">
        <f>Beton!C356</f>
        <v>2.2.1.3.4</v>
      </c>
      <c r="C213" s="1159" t="str">
        <f>VLOOKUP(B213,Beton!C:K,2,FALSE)</f>
        <v>Pemasangan 1 m2 bekisting untuk balok (3 kali pakai)</v>
      </c>
      <c r="D213" s="9" t="s">
        <v>62</v>
      </c>
      <c r="E213" s="1021">
        <f>VLOOKUP(C213,Beton!D20:$I$1125,6,FALSE)</f>
        <v>223000</v>
      </c>
      <c r="F213" s="1003">
        <f>VLOOKUP(C213,Beton!D20:$J$1125,7,FALSE)</f>
        <v>0</v>
      </c>
      <c r="G213" s="12">
        <f>VLOOKUP(C213,Beton!D20:$K$1125,8,FALSE)</f>
        <v>0</v>
      </c>
      <c r="H213" s="374"/>
      <c r="I213" s="16"/>
    </row>
    <row r="214" spans="2:9" ht="24" customHeight="1">
      <c r="B214" s="1033" t="str">
        <f>Beton!C377</f>
        <v>2.2.1.3.5</v>
      </c>
      <c r="C214" s="1159" t="str">
        <f>VLOOKUP(B214,Beton!C:K,2,FALSE)</f>
        <v>Pemasangan 1 m2 bekisting untuk plat lantai (3 kali pakai)</v>
      </c>
      <c r="D214" s="9" t="s">
        <v>62</v>
      </c>
      <c r="E214" s="1021">
        <f>VLOOKUP(C214,Beton!D21:$I$1125,6,FALSE)</f>
        <v>225000</v>
      </c>
      <c r="F214" s="1003">
        <f>VLOOKUP(C214,Beton!D21:$J$1125,7,FALSE)</f>
        <v>0</v>
      </c>
      <c r="G214" s="12">
        <f>VLOOKUP(C214,Beton!D21:$K$1125,8,FALSE)</f>
        <v>0</v>
      </c>
      <c r="H214" s="374"/>
      <c r="I214" s="16"/>
    </row>
    <row r="215" spans="2:9" ht="24" customHeight="1">
      <c r="B215" s="1033" t="str">
        <f>Beton!C398</f>
        <v>2.2.1.3.6</v>
      </c>
      <c r="C215" s="39" t="str">
        <f>VLOOKUP(B215,Beton!C:K,2,FALSE)</f>
        <v>Pemasangan 1 m2 bekisting untuk dinding shearwall (3 kali pakai)</v>
      </c>
      <c r="D215" s="9" t="s">
        <v>62</v>
      </c>
      <c r="E215" s="1021">
        <f>VLOOKUP(C215,Beton!D22:$I$1125,6,FALSE)</f>
        <v>287100</v>
      </c>
      <c r="F215" s="1003">
        <f>VLOOKUP(C215,Beton!D22:$J$1125,7,FALSE)</f>
        <v>0</v>
      </c>
      <c r="G215" s="12">
        <f>VLOOKUP(C215,Beton!D22:$K$1125,8,FALSE)</f>
        <v>0</v>
      </c>
      <c r="H215" s="374"/>
      <c r="I215" s="16"/>
    </row>
    <row r="216" spans="2:9" ht="24" customHeight="1">
      <c r="B216" s="1033" t="str">
        <f>Beton!C420</f>
        <v>2.2.1.3.7</v>
      </c>
      <c r="C216" s="39" t="str">
        <f>VLOOKUP(B216,Beton!C:K,2,FALSE)</f>
        <v>Pemasangan 1 m2 bekisting untuk tangga (3 kali pakai)</v>
      </c>
      <c r="D216" s="9" t="s">
        <v>62</v>
      </c>
      <c r="E216" s="1021">
        <f>VLOOKUP(C216,Beton!D23:$I$1125,6,FALSE)</f>
        <v>215000</v>
      </c>
      <c r="F216" s="1003">
        <f>VLOOKUP(C216,Beton!D23:$J$1125,7,FALSE)</f>
        <v>0</v>
      </c>
      <c r="G216" s="12">
        <f>VLOOKUP(C216,Beton!D23:$K$1125,8,FALSE)</f>
        <v>0</v>
      </c>
      <c r="H216" s="374"/>
      <c r="I216" s="16"/>
    </row>
    <row r="217" spans="2:9" ht="24" customHeight="1">
      <c r="B217" s="1033" t="str">
        <f>Beton!C441</f>
        <v>2.2.1.3.8</v>
      </c>
      <c r="C217" s="39" t="str">
        <f>VLOOKUP(B217,Beton!C:K,2,FALSE)</f>
        <v>Pemasangan 1 m2 bekisting jembatan untuk pengecoran beton (3 kali pakai)</v>
      </c>
      <c r="D217" s="9" t="s">
        <v>62</v>
      </c>
      <c r="E217" s="1021">
        <f>VLOOKUP(C217,Beton!D44:$I$1125,6,FALSE)</f>
        <v>85200</v>
      </c>
      <c r="F217" s="1003">
        <f>VLOOKUP(C217,Beton!D44:$J$1125,7,FALSE)</f>
        <v>0</v>
      </c>
      <c r="G217" s="12">
        <f>VLOOKUP(C217,Beton!D44:$K$1125,8,FALSE)</f>
        <v>0</v>
      </c>
      <c r="H217" s="374"/>
      <c r="I217" s="16"/>
    </row>
    <row r="218" spans="2:9" ht="24" customHeight="1">
      <c r="B218" s="1033" t="str">
        <f>Beton!C460</f>
        <v>2.2.1.3.9</v>
      </c>
      <c r="C218" s="39" t="str">
        <f>VLOOKUP(B218,Beton!C:K,2,FALSE)</f>
        <v>Pembongkaran 1 m2 bekisting secara biasa pada bangunan gedung (termasuk membersihkan dan membereskan puing-puing)</v>
      </c>
      <c r="D218" s="9" t="s">
        <v>62</v>
      </c>
      <c r="E218" s="1021">
        <f>VLOOKUP(C218,Beton!D45:$I$1125,6,FALSE)</f>
        <v>5100</v>
      </c>
      <c r="F218" s="1003">
        <f>VLOOKUP(C218,Beton!D45:$J$1125,7,FALSE)</f>
        <v>0</v>
      </c>
      <c r="G218" s="12">
        <f>VLOOKUP(C218,Beton!D45:$K$1125,8,FALSE)</f>
        <v>0</v>
      </c>
      <c r="H218" s="374"/>
      <c r="I218" s="16"/>
    </row>
    <row r="219" spans="2:9" ht="24" customHeight="1">
      <c r="B219" s="1033" t="str">
        <f>Beton!C474</f>
        <v>2.2.1.3.10</v>
      </c>
      <c r="C219" s="39" t="str">
        <f>VLOOKUP(B219,Beton!C:K,2,FALSE)</f>
        <v>Pembongkaran 1 m2 bekisting secara hati-hati pada bangunan gedung (untuk beton expose dan/atau pemanfaatan kembali bekisting)</v>
      </c>
      <c r="D219" s="9" t="s">
        <v>62</v>
      </c>
      <c r="E219" s="1021">
        <f>VLOOKUP(C219,Beton!D46:$I$1125,6,FALSE)</f>
        <v>7600</v>
      </c>
      <c r="F219" s="1003">
        <f>VLOOKUP(C219,Beton!D46:$J$1125,7,FALSE)</f>
        <v>0</v>
      </c>
      <c r="G219" s="12">
        <f>VLOOKUP(C219,Beton!D46:$K$1125,8,FALSE)</f>
        <v>0</v>
      </c>
      <c r="H219" s="374"/>
      <c r="I219" s="16"/>
    </row>
    <row r="220" spans="2:9" ht="24" customHeight="1">
      <c r="B220" s="1041" t="str">
        <f>Beton!C488</f>
        <v>2.2.1.4</v>
      </c>
      <c r="C220" s="40" t="str">
        <f>VLOOKUP(B220,Beton!C:K,2,FALSE)</f>
        <v xml:space="preserve">Pembuatan S.D Pengecoran Campuran Beton Secara Manual </v>
      </c>
      <c r="D220" s="19"/>
      <c r="E220" s="1030"/>
      <c r="F220" s="1003">
        <f>VLOOKUP(C220,Beton!D47:$J$1125,7,FALSE)</f>
        <v>0</v>
      </c>
      <c r="G220" s="12">
        <f>VLOOKUP(C220,Beton!D47:$K$1125,8,FALSE)</f>
        <v>0</v>
      </c>
      <c r="H220" s="374"/>
      <c r="I220" s="16"/>
    </row>
    <row r="221" spans="2:9" ht="24" customHeight="1">
      <c r="B221" s="1033" t="str">
        <f>Beton!C489</f>
        <v>2.2.1.4.1</v>
      </c>
      <c r="C221" s="39" t="str">
        <f>VLOOKUP(B221,Beton!C:K,2,FALSE)</f>
        <v xml:space="preserve"> 1 m3 beton mutu rendah f'c 7,5 MPa, slump (100 ± 25) mm, agregat maks 19 mm secara manual </v>
      </c>
      <c r="D221" s="9" t="s">
        <v>42</v>
      </c>
      <c r="E221" s="1021">
        <f>VLOOKUP(C221,Beton!D48:$I$1125,6,FALSE)</f>
        <v>910600</v>
      </c>
      <c r="F221" s="1003">
        <f>VLOOKUP(C221,Beton!D48:$J$1125,7,FALSE)</f>
        <v>0</v>
      </c>
      <c r="G221" s="12">
        <f>VLOOKUP(C221,Beton!D48:$K$1125,8,FALSE)</f>
        <v>0</v>
      </c>
      <c r="H221" s="374"/>
      <c r="I221" s="16"/>
    </row>
    <row r="222" spans="2:9" ht="24" customHeight="1">
      <c r="B222" s="1033" t="str">
        <f>Beton!C509</f>
        <v>2.2.1.4.2</v>
      </c>
      <c r="C222" s="39" t="str">
        <f>VLOOKUP(B222,Beton!C:K,2,FALSE)</f>
        <v>1 m3 beton mutu rendah f'c 10 MPa, slump (100 ± 25) mm, agregat maks 19 mm secara manual</v>
      </c>
      <c r="D222" s="9" t="s">
        <v>42</v>
      </c>
      <c r="E222" s="1021">
        <f>VLOOKUP(C222,Beton!D49:$I$1125,6,FALSE)</f>
        <v>1175300</v>
      </c>
      <c r="F222" s="1003">
        <f>VLOOKUP(C222,Beton!D49:$J$1125,7,FALSE)</f>
        <v>0</v>
      </c>
      <c r="G222" s="12">
        <f>VLOOKUP(C222,Beton!D49:$K$1125,8,FALSE)</f>
        <v>0</v>
      </c>
      <c r="H222" s="374"/>
      <c r="I222" s="16"/>
    </row>
    <row r="223" spans="2:9" ht="24" customHeight="1">
      <c r="B223" s="1033" t="str">
        <f>Beton!C529</f>
        <v>2.2.1.4.3</v>
      </c>
      <c r="C223" s="39" t="str">
        <f>VLOOKUP(B223,Beton!C:K,2,FALSE)</f>
        <v>1 m3 beton mutu rendah f'c 15 MPa, slump (100 ± 25) mm, agregat maks 19 mm secara manual</v>
      </c>
      <c r="D223" s="9" t="s">
        <v>42</v>
      </c>
      <c r="E223" s="1021">
        <f>VLOOKUP(C223,Beton!D50:$I$1125,6,FALSE)</f>
        <v>1231400</v>
      </c>
      <c r="F223" s="1003">
        <f>VLOOKUP(C223,Beton!D50:$J$1125,7,FALSE)</f>
        <v>0</v>
      </c>
      <c r="G223" s="12">
        <f>VLOOKUP(C223,Beton!D50:$K$1125,8,FALSE)</f>
        <v>0</v>
      </c>
      <c r="H223" s="374"/>
      <c r="I223" s="16"/>
    </row>
    <row r="224" spans="2:9" ht="24" customHeight="1">
      <c r="B224" s="1033" t="str">
        <f>Beton!C549</f>
        <v>2.2.1.4.4</v>
      </c>
      <c r="C224" s="39" t="str">
        <f>VLOOKUP(B224,Beton!C:K,2,FALSE)</f>
        <v xml:space="preserve"> 1 m3 beton mutu rendah f'c 17 MPa, slump (100 ± 25) mm, agregat maks 19 mm secara manual</v>
      </c>
      <c r="D224" s="9" t="s">
        <v>42</v>
      </c>
      <c r="E224" s="1021">
        <f>VLOOKUP(C224,Beton!D51:$I$1125,6,FALSE)</f>
        <v>1254700</v>
      </c>
      <c r="F224" s="1003">
        <f>VLOOKUP(C224,Beton!D51:$J$1125,7,FALSE)</f>
        <v>0</v>
      </c>
      <c r="G224" s="12">
        <f>VLOOKUP(C224,Beton!D51:$K$1125,8,FALSE)</f>
        <v>0</v>
      </c>
      <c r="H224" s="374"/>
      <c r="I224" s="16"/>
    </row>
    <row r="225" spans="2:9" ht="24" customHeight="1">
      <c r="B225" s="1033" t="str">
        <f>Beton!C569</f>
        <v>2.2.1.4.5</v>
      </c>
      <c r="C225" s="1159" t="str">
        <f>VLOOKUP(B225,Beton!C:K,2,FALSE)</f>
        <v xml:space="preserve"> 1 m3 beton mutu sedang f'c 20 MPa, slump (100 ± 25) mm, agregat maks 19 mm secara manual</v>
      </c>
      <c r="D225" s="9" t="s">
        <v>42</v>
      </c>
      <c r="E225" s="1021">
        <f>VLOOKUP(C225,Beton!D52:$I$1125,6,FALSE)</f>
        <v>1291800</v>
      </c>
      <c r="F225" s="1003">
        <f>VLOOKUP(C225,Beton!D52:$J$1125,7,FALSE)</f>
        <v>0</v>
      </c>
      <c r="G225" s="12">
        <f>VLOOKUP(C225,Beton!D52:$K$1125,8,FALSE)</f>
        <v>0</v>
      </c>
      <c r="H225" s="374"/>
      <c r="I225" s="16"/>
    </row>
    <row r="226" spans="2:9" ht="24" customHeight="1">
      <c r="B226" s="1033" t="str">
        <f>Beton!C589</f>
        <v>2.2.1.4.6</v>
      </c>
      <c r="C226" s="39" t="str">
        <f>VLOOKUP(B226,Beton!C:K,2,FALSE)</f>
        <v xml:space="preserve"> 1 m3 beton mutu sedang f'c 21 MPa, slump (100 ± 25) mm, agregat maks 19 mm secara manual</v>
      </c>
      <c r="D226" s="9" t="s">
        <v>42</v>
      </c>
      <c r="E226" s="1021">
        <f>VLOOKUP(C226,Beton!D53:$I$1125,6,FALSE)</f>
        <v>1320600</v>
      </c>
      <c r="F226" s="1003">
        <f>VLOOKUP(C226,Beton!D53:$J$1125,7,FALSE)</f>
        <v>0</v>
      </c>
      <c r="G226" s="12">
        <f>VLOOKUP(C226,Beton!D53:$K$1125,8,FALSE)</f>
        <v>0</v>
      </c>
      <c r="H226" s="374"/>
      <c r="I226" s="16"/>
    </row>
    <row r="227" spans="2:9" ht="24" customHeight="1">
      <c r="B227" s="1041" t="str">
        <f>Beton!C610</f>
        <v xml:space="preserve">2.2.4.5 </v>
      </c>
      <c r="C227" s="40" t="str">
        <f>VLOOKUP(B227,Beton!C:K,2,FALSE)</f>
        <v xml:space="preserve">Pembuatan s.d. Pengecoran Campuran Beton Secara Mekanis </v>
      </c>
      <c r="D227" s="19"/>
      <c r="E227" s="1030"/>
      <c r="F227" s="1003">
        <f>VLOOKUP(C227,Beton!D54:$J$1125,7,FALSE)</f>
        <v>0</v>
      </c>
      <c r="G227" s="12">
        <f>VLOOKUP(C227,Beton!D54:$K$1125,8,FALSE)</f>
        <v>0</v>
      </c>
      <c r="H227" s="374"/>
      <c r="I227" s="16"/>
    </row>
    <row r="228" spans="2:9" ht="24" customHeight="1">
      <c r="B228" s="1033" t="str">
        <f>Beton!C611</f>
        <v>2.2.1.5.1</v>
      </c>
      <c r="C228" s="39" t="str">
        <f>VLOOKUP(B228,Beton!C:K,2,FALSE)</f>
        <v xml:space="preserve"> 1 m3 beton mutu rendah f'c 10 MPa, slump (100 ± 25) mm, agregat maks 19 mm secara semi mekanis</v>
      </c>
      <c r="D228" s="9" t="s">
        <v>42</v>
      </c>
      <c r="E228" s="1021">
        <f>VLOOKUP(C228,Beton!D55:$I$1125,6,FALSE)</f>
        <v>1164200</v>
      </c>
      <c r="F228" s="1003">
        <f>VLOOKUP(C228,Beton!D55:$J$1125,7,FALSE)</f>
        <v>0</v>
      </c>
      <c r="G228" s="12">
        <f>VLOOKUP(C228,Beton!D55:$K$1125,8,FALSE)</f>
        <v>0</v>
      </c>
      <c r="H228" s="374"/>
      <c r="I228" s="16"/>
    </row>
    <row r="229" spans="2:9" ht="24" customHeight="1">
      <c r="B229" s="1033" t="str">
        <f>Beton!C633</f>
        <v>2.2.1.5.2</v>
      </c>
      <c r="C229" s="39" t="str">
        <f>VLOOKUP(B229,Beton!C:K,2,FALSE)</f>
        <v xml:space="preserve"> 1 m3 beton mutu rendah f'c 15 MPa, slump (100 ± 25) mm, agregat maks 19 mm secara semi mekanis</v>
      </c>
      <c r="D229" s="9" t="s">
        <v>42</v>
      </c>
      <c r="E229" s="1021">
        <f>VLOOKUP(C229,Beton!D56:$I$1125,6,FALSE)</f>
        <v>1220400</v>
      </c>
      <c r="F229" s="1003">
        <f>VLOOKUP(C229,Beton!D56:$J$1125,7,FALSE)</f>
        <v>0</v>
      </c>
      <c r="G229" s="12">
        <f>VLOOKUP(C229,Beton!D56:$K$1125,8,FALSE)</f>
        <v>0</v>
      </c>
      <c r="H229" s="374"/>
      <c r="I229" s="16"/>
    </row>
    <row r="230" spans="2:9" ht="24" customHeight="1">
      <c r="B230" s="1033" t="str">
        <f>Beton!C654</f>
        <v>2.2.1.5.3</v>
      </c>
      <c r="C230" s="39" t="str">
        <f>VLOOKUP(B230,Beton!C:K,2,FALSE)</f>
        <v>1 m3 beton mutu rendah f'c 17 MPa, slump (100 ± 25) mm, agregat maks 19 mm secara semi mekanis</v>
      </c>
      <c r="D230" s="9" t="s">
        <v>42</v>
      </c>
      <c r="E230" s="1021">
        <f>VLOOKUP(C230,Beton!D57:$I$1125,6,FALSE)</f>
        <v>1243600</v>
      </c>
      <c r="F230" s="1003">
        <f>VLOOKUP(C230,Beton!D57:$J$1125,7,FALSE)</f>
        <v>0</v>
      </c>
      <c r="G230" s="12">
        <f>VLOOKUP(C230,Beton!D57:$K$1125,8,FALSE)</f>
        <v>0</v>
      </c>
      <c r="H230" s="374"/>
      <c r="I230" s="16"/>
    </row>
    <row r="231" spans="2:9" ht="24" customHeight="1">
      <c r="B231" s="1033" t="str">
        <f>Beton!C675</f>
        <v>2.2.1.5.4</v>
      </c>
      <c r="C231" s="39" t="str">
        <f>VLOOKUP(B231,Beton!C:K,2,FALSE)</f>
        <v>1 m3 beton mutu sedang f'c 20 MPa, slump (100 ± 25) mm, agregat maks 19 mm secara semi mekanis</v>
      </c>
      <c r="D231" s="9" t="s">
        <v>42</v>
      </c>
      <c r="E231" s="1021">
        <f>VLOOKUP(C231,Beton!D58:$I$1125,6,FALSE)</f>
        <v>1280800</v>
      </c>
      <c r="F231" s="1003">
        <f>VLOOKUP(C231,Beton!D58:$J$1125,7,FALSE)</f>
        <v>0</v>
      </c>
      <c r="G231" s="12">
        <f>VLOOKUP(C231,Beton!D58:$K$1125,8,FALSE)</f>
        <v>0</v>
      </c>
      <c r="H231" s="374"/>
      <c r="I231" s="16"/>
    </row>
    <row r="232" spans="2:9" ht="24" customHeight="1">
      <c r="B232" s="1033" t="str">
        <f>Beton!C696</f>
        <v>2.2.1.5.5</v>
      </c>
      <c r="C232" s="39" t="str">
        <f>VLOOKUP(B232,Beton!C:K,2,FALSE)</f>
        <v>1 m3 beton mutu sedang f'c 21 MPa, slump (100 ± 25) mm, agregat maks 19 mm secara semi mekanis</v>
      </c>
      <c r="D232" s="9" t="s">
        <v>42</v>
      </c>
      <c r="E232" s="1021">
        <f>VLOOKUP(C232,Beton!D59:$I$1125,6,FALSE)</f>
        <v>1309600</v>
      </c>
      <c r="F232" s="1003">
        <f>VLOOKUP(C232,Beton!D59:$J$1125,7,FALSE)</f>
        <v>0</v>
      </c>
      <c r="G232" s="12">
        <f>VLOOKUP(C232,Beton!D59:$K$1125,8,FALSE)</f>
        <v>0</v>
      </c>
      <c r="H232" s="374"/>
      <c r="I232" s="16"/>
    </row>
    <row r="233" spans="2:9" ht="24" customHeight="1">
      <c r="B233" s="1033" t="str">
        <f>Beton!C717</f>
        <v>2.2.1.5.6</v>
      </c>
      <c r="C233" s="39" t="str">
        <f>VLOOKUP(B233,Beton!C:K,2,FALSE)</f>
        <v>1 m3 beton mutu sedang f'c 25 MPa, slump (100 ± 25) mm, agregat maks 19 mm secara semi mekanis</v>
      </c>
      <c r="D233" s="9" t="s">
        <v>42</v>
      </c>
      <c r="E233" s="1021">
        <f>VLOOKUP(C233,Beton!D60:$I$1125,6,FALSE)</f>
        <v>1365700</v>
      </c>
      <c r="F233" s="1003">
        <f>VLOOKUP(C233,Beton!D60:$J$1125,7,FALSE)</f>
        <v>0</v>
      </c>
      <c r="G233" s="12">
        <f>VLOOKUP(C233,Beton!D60:$K$1125,8,FALSE)</f>
        <v>0</v>
      </c>
      <c r="H233" s="374"/>
      <c r="I233" s="16"/>
    </row>
    <row r="234" spans="2:9" ht="24" customHeight="1">
      <c r="B234" s="1033" t="str">
        <f>Beton!C738</f>
        <v>2.2.1.5.7</v>
      </c>
      <c r="C234" s="39" t="str">
        <f>VLOOKUP(B234,Beton!C:K,2,FALSE)</f>
        <v>1 m3 beton mutu sedang f'c 28 MPa, slump (100 ± 25) mm, agregat maks 19 mm secara semi mekanis</v>
      </c>
      <c r="D234" s="9" t="s">
        <v>42</v>
      </c>
      <c r="E234" s="1021">
        <f>VLOOKUP(C234,Beton!D61:$I$1125,6,FALSE)</f>
        <v>1408900</v>
      </c>
      <c r="F234" s="1003">
        <f>VLOOKUP(C234,Beton!D61:$J$1125,7,FALSE)</f>
        <v>0</v>
      </c>
      <c r="G234" s="12">
        <f>VLOOKUP(C234,Beton!D61:$K$1125,8,FALSE)</f>
        <v>0</v>
      </c>
      <c r="H234" s="374"/>
      <c r="I234" s="16"/>
    </row>
    <row r="235" spans="2:9" ht="24" customHeight="1">
      <c r="B235" s="1033" t="str">
        <f>Beton!C759</f>
        <v>2.2.1.5.8</v>
      </c>
      <c r="C235" s="39" t="str">
        <f>VLOOKUP(B235,Beton!C:K,2,FALSE)</f>
        <v>1 m3 beton mutu sedang f'c 30 MPa, slump (100 ± 25) mm, agregat maks 19 mm secara semi mekanis</v>
      </c>
      <c r="D235" s="9" t="s">
        <v>42</v>
      </c>
      <c r="E235" s="1021">
        <f>VLOOKUP(C235,Beton!D62:$I$1125,6,FALSE)</f>
        <v>1437700</v>
      </c>
      <c r="F235" s="1003">
        <f>VLOOKUP(C235,Beton!D62:$J$1125,7,FALSE)</f>
        <v>0</v>
      </c>
      <c r="G235" s="12">
        <f>VLOOKUP(C235,Beton!D62:$K$1125,8,FALSE)</f>
        <v>0</v>
      </c>
      <c r="H235" s="374"/>
      <c r="I235" s="16"/>
    </row>
    <row r="236" spans="2:9" ht="24" customHeight="1">
      <c r="B236" s="1033" t="str">
        <f>Beton!C780</f>
        <v>2.2.1.5.9</v>
      </c>
      <c r="C236" s="39" t="str">
        <f>VLOOKUP(B236,Beton!C:K,2,FALSE)</f>
        <v xml:space="preserve"> 1 m3 beton mutu sedang f'c 31 MPa, slump (100 ± 25) mm, agregat maks 19 mm secara semi mekanis</v>
      </c>
      <c r="D236" s="9" t="s">
        <v>42</v>
      </c>
      <c r="E236" s="1021">
        <f>VLOOKUP(C236,Beton!D63:$I$1125,6,FALSE)</f>
        <v>1453700</v>
      </c>
      <c r="F236" s="1003">
        <f>VLOOKUP(C236,Beton!D63:$J$1125,7,FALSE)</f>
        <v>0</v>
      </c>
      <c r="G236" s="12">
        <f>VLOOKUP(C236,Beton!D63:$K$1125,8,FALSE)</f>
        <v>0</v>
      </c>
      <c r="H236" s="374"/>
      <c r="I236" s="16"/>
    </row>
    <row r="237" spans="2:9" ht="24" customHeight="1">
      <c r="B237" s="1033" t="str">
        <f>Beton!C803</f>
        <v>2.2.1.5.10</v>
      </c>
      <c r="C237" s="39" t="str">
        <f>VLOOKUP(B237,Beton!C:K,2,FALSE)</f>
        <v>1 m3 beton mutu sedang f'c 35 MPa, slump (100 ± 25) mm, agregat maks 19 mm secara semi mekanis</v>
      </c>
      <c r="D237" s="9" t="s">
        <v>42</v>
      </c>
      <c r="E237" s="1021">
        <f>VLOOKUP(C237,Beton!D83:$I$1125,6,FALSE)</f>
        <v>1342500</v>
      </c>
      <c r="F237" s="1003">
        <f>VLOOKUP(C237,Beton!D83:$J$1125,7,FALSE)</f>
        <v>0</v>
      </c>
      <c r="G237" s="12">
        <f>VLOOKUP(C237,Beton!D83:$K$1125,8,FALSE)</f>
        <v>0</v>
      </c>
      <c r="H237" s="374"/>
      <c r="I237" s="16"/>
    </row>
    <row r="238" spans="2:9" ht="24" customHeight="1">
      <c r="B238" s="1033" t="str">
        <f>Beton!C826</f>
        <v>2.2.1.5.11</v>
      </c>
      <c r="C238" s="39" t="str">
        <f>VLOOKUP(B238,Beton!C:K,2,FALSE)</f>
        <v xml:space="preserve"> 1 m3 beton kedap air dengan aditif secara semi mekanis </v>
      </c>
      <c r="D238" s="9" t="s">
        <v>42</v>
      </c>
      <c r="E238" s="1021">
        <f>VLOOKUP(C238,Beton!D85:$I$1125,6,FALSE)</f>
        <v>1420400</v>
      </c>
      <c r="F238" s="1003">
        <f>VLOOKUP(C238,Beton!D85:$J$1125,7,FALSE)</f>
        <v>0</v>
      </c>
      <c r="G238" s="12">
        <f>VLOOKUP(C238,Beton!D85:$K$1125,8,FALSE)</f>
        <v>0</v>
      </c>
      <c r="H238" s="374"/>
      <c r="I238" s="16"/>
    </row>
    <row r="239" spans="2:9" ht="24" customHeight="1">
      <c r="B239" s="1041" t="str">
        <f>Beton!C848</f>
        <v>2.2.1.6</v>
      </c>
      <c r="C239" s="40" t="str">
        <f>VLOOKUP(B239,Beton!C:K,2,FALSE)</f>
        <v>Pengecoran  Campuran Beton Ready Mix</v>
      </c>
      <c r="D239" s="19"/>
      <c r="E239" s="1030"/>
      <c r="F239" s="1003">
        <f>VLOOKUP(C239,Beton!D86:$J$1125,7,FALSE)</f>
        <v>0</v>
      </c>
      <c r="G239" s="12">
        <f>VLOOKUP(C239,Beton!D86:$K$1125,8,FALSE)</f>
        <v>0</v>
      </c>
      <c r="H239" s="374"/>
      <c r="I239" s="16"/>
    </row>
    <row r="240" spans="2:9" ht="24" customHeight="1">
      <c r="B240" s="1033" t="str">
        <f>Beton!C849</f>
        <v>2.2.1.6.1</v>
      </c>
      <c r="C240" s="39" t="str">
        <f>VLOOKUP(B240,Beton!C:K,2,FALSE)</f>
        <v>Pengecoran 1 m3  menggunakan ready mixed (untuk bangunan gedung)</v>
      </c>
      <c r="D240" s="9" t="s">
        <v>42</v>
      </c>
      <c r="E240" s="1021">
        <f>VLOOKUP(C240,Beton!D87:$I$1125,6,FALSE)</f>
        <v>1118900</v>
      </c>
      <c r="F240" s="1003">
        <f>VLOOKUP(C240,Beton!D87:$J$1125,7,FALSE)</f>
        <v>0</v>
      </c>
      <c r="G240" s="12">
        <f>VLOOKUP(C240,Beton!D87:$K$1125,8,FALSE)</f>
        <v>0</v>
      </c>
      <c r="H240" s="374"/>
      <c r="I240" s="16"/>
    </row>
    <row r="241" spans="2:9" ht="24" customHeight="1">
      <c r="B241" s="1041" t="str">
        <f>Beton!C868</f>
        <v>2.2.1.7</v>
      </c>
      <c r="C241" s="40" t="str">
        <f>VLOOKUP(B241,Beton!C:K,2,FALSE)</f>
        <v xml:space="preserve">Angkat dan Angkut Campuran Beton </v>
      </c>
      <c r="D241" s="19"/>
      <c r="E241" s="1030"/>
      <c r="F241" s="1003">
        <f>VLOOKUP(C241,Beton!D88:$J$1125,7,FALSE)</f>
        <v>0</v>
      </c>
      <c r="G241" s="12">
        <f>VLOOKUP(C241,Beton!D88:$K$1125,8,FALSE)</f>
        <v>0</v>
      </c>
      <c r="H241" s="374"/>
      <c r="I241" s="16"/>
    </row>
    <row r="242" spans="2:9" ht="24" customHeight="1">
      <c r="B242" s="1033" t="str">
        <f>Beton!C869</f>
        <v>2.2.1.7.1</v>
      </c>
      <c r="C242" s="39" t="str">
        <f>VLOOKUP(B242,Beton!C:K,2,FALSE)</f>
        <v>1 m3 beton dicorkan pada tapak setiap tambah jarak 25 m', secara manual</v>
      </c>
      <c r="D242" s="9" t="s">
        <v>42</v>
      </c>
      <c r="E242" s="1021">
        <f>VLOOKUP(C242,Beton!D89:$I$1125,6,FALSE)</f>
        <v>64200</v>
      </c>
      <c r="F242" s="1003">
        <f>VLOOKUP(C242,Beton!D89:$J$1125,7,FALSE)</f>
        <v>0</v>
      </c>
      <c r="G242" s="12">
        <f>VLOOKUP(C242,Beton!D89:$K$1125,8,FALSE)</f>
        <v>0</v>
      </c>
      <c r="H242" s="374"/>
      <c r="I242" s="16"/>
    </row>
    <row r="243" spans="2:9" ht="24" customHeight="1">
      <c r="B243" s="1033" t="str">
        <f>Beton!C883</f>
        <v>2.2.1.7.2</v>
      </c>
      <c r="C243" s="39" t="str">
        <f>VLOOKUP(B243,Beton!C:K,2,FALSE)</f>
        <v>1 m3 beton dicorkan pada tapak setiap kenaikan 4 m', secara manual</v>
      </c>
      <c r="D243" s="9" t="s">
        <v>42</v>
      </c>
      <c r="E243" s="1021">
        <f>VLOOKUP(C243,Beton!D90:$I$1125,6,FALSE)</f>
        <v>136900</v>
      </c>
      <c r="F243" s="1003">
        <f>VLOOKUP(C243,Beton!D90:$J$1125,7,FALSE)</f>
        <v>0</v>
      </c>
      <c r="G243" s="12">
        <f>VLOOKUP(C243,Beton!D90:$K$1125,8,FALSE)</f>
        <v>0</v>
      </c>
      <c r="H243" s="374"/>
      <c r="I243" s="16"/>
    </row>
    <row r="244" spans="2:9" ht="24" customHeight="1">
      <c r="B244" s="1033" t="str">
        <f>Beton!C897</f>
        <v>2.2.1.7.3</v>
      </c>
      <c r="C244" s="39" t="str">
        <f>VLOOKUP(B244,Beton!C:K,2,FALSE)</f>
        <v>Pengecoran pakai pompa beton ø 1,5"; 5 KW; 8 bar; T = 5 m' (untuk Bangunan Gedung)</v>
      </c>
      <c r="D244" s="9" t="s">
        <v>42</v>
      </c>
      <c r="E244" s="1021">
        <f>VLOOKUP(C244,Beton!D91:$I$1125,6,FALSE)</f>
        <v>941800</v>
      </c>
      <c r="F244" s="1003">
        <f>VLOOKUP(C244,Beton!D91:$J$1125,7,FALSE)</f>
        <v>0</v>
      </c>
      <c r="G244" s="12">
        <f>VLOOKUP(C244,Beton!D91:$K$1125,8,FALSE)</f>
        <v>0</v>
      </c>
      <c r="H244" s="374"/>
      <c r="I244" s="16"/>
    </row>
    <row r="245" spans="2:9" ht="24" customHeight="1">
      <c r="B245" s="1033" t="str">
        <f>Beton!C912</f>
        <v>2.2.1.7.4</v>
      </c>
      <c r="C245" s="39" t="str">
        <f>VLOOKUP(B245,Beton!C:K,2,FALSE)</f>
        <v>Pengecoran pakai pompa beton ø 2,5", 20 KW, 20 bar, T = 18m'</v>
      </c>
      <c r="D245" s="9" t="s">
        <v>42</v>
      </c>
      <c r="E245" s="1021">
        <f>VLOOKUP(C245,Beton!D92:$I$1125,6,FALSE)</f>
        <v>846900</v>
      </c>
      <c r="F245" s="1003">
        <f>VLOOKUP(C245,Beton!D92:$J$1125,7,FALSE)</f>
        <v>0</v>
      </c>
      <c r="G245" s="12">
        <f>VLOOKUP(C245,Beton!D92:$K$1125,8,FALSE)</f>
        <v>0</v>
      </c>
      <c r="H245" s="374"/>
      <c r="I245" s="16"/>
    </row>
    <row r="246" spans="2:9" ht="24" customHeight="1">
      <c r="B246" s="1033" t="str">
        <f>Beton!C927</f>
        <v>2.2.1.7.5</v>
      </c>
      <c r="C246" s="39" t="str">
        <f>VLOOKUP(B246,Beton!C:K,2,FALSE)</f>
        <v>Pengecoran pakai pompa beton ∅ 2,5”, 75 KW; 120 bar, T = 50 m’/H= 80 m’</v>
      </c>
      <c r="D246" s="9" t="s">
        <v>42</v>
      </c>
      <c r="E246" s="1021">
        <f>VLOOKUP(C246,Beton!D93:$I$1125,6,FALSE)</f>
        <v>738700</v>
      </c>
      <c r="F246" s="1003">
        <f>VLOOKUP(C246,Beton!D93:$J$1125,7,FALSE)</f>
        <v>0</v>
      </c>
      <c r="G246" s="12">
        <f>VLOOKUP(C246,Beton!D93:$K$1125,8,FALSE)</f>
        <v>0</v>
      </c>
      <c r="H246" s="374"/>
      <c r="I246" s="16"/>
    </row>
    <row r="247" spans="2:9" ht="24" customHeight="1">
      <c r="B247" s="1033" t="str">
        <f>Beton!C943</f>
        <v>2.2.1.7.6</v>
      </c>
      <c r="C247" s="39" t="str">
        <f>VLOOKUP(B247,Beton!C:K,2,FALSE)</f>
        <v>Pengecoran pakai pompa beton ∅ 3”,140 KW; 180 bar, T=75 m'/H=150 m'</v>
      </c>
      <c r="D247" s="9" t="s">
        <v>42</v>
      </c>
      <c r="E247" s="1021">
        <f>VLOOKUP(C247,Beton!D94:$I$1125,6,FALSE)</f>
        <v>724400</v>
      </c>
      <c r="F247" s="1003">
        <f>VLOOKUP(C247,Beton!D94:$J$1125,7,FALSE)</f>
        <v>0</v>
      </c>
      <c r="G247" s="12">
        <f>VLOOKUP(C247,Beton!D94:$K$1125,8,FALSE)</f>
        <v>0</v>
      </c>
      <c r="H247" s="374"/>
      <c r="I247" s="16"/>
    </row>
    <row r="248" spans="2:9" ht="24" customHeight="1">
      <c r="B248" s="1041" t="str">
        <f>Beton!C959</f>
        <v>2.2.1.8</v>
      </c>
      <c r="C248" s="40" t="str">
        <f>VLOOKUP(B248,Beton!C:K,2,FALSE)</f>
        <v xml:space="preserve">Pemadatan Beton Pada Saat Pengecoran </v>
      </c>
      <c r="D248" s="19"/>
      <c r="E248" s="1030"/>
      <c r="F248" s="1003">
        <f>VLOOKUP(C248,Beton!D95:$J$1125,7,FALSE)</f>
        <v>0</v>
      </c>
      <c r="G248" s="12">
        <f>VLOOKUP(C248,Beton!D95:$K$1125,8,FALSE)</f>
        <v>0</v>
      </c>
      <c r="H248" s="374"/>
      <c r="I248" s="16"/>
    </row>
    <row r="249" spans="2:9" ht="24" customHeight="1">
      <c r="B249" s="1033" t="str">
        <f>Beton!C960</f>
        <v>2.2.1.8.1</v>
      </c>
      <c r="C249" s="39" t="str">
        <f>VLOOKUP(B249,Beton!C:K,2,FALSE)</f>
        <v xml:space="preserve">Pemadatan 1 m3 beton dengan baja tulangan pada bangunan gedung </v>
      </c>
      <c r="D249" s="9" t="s">
        <v>42</v>
      </c>
      <c r="E249" s="1021">
        <f>VLOOKUP(C249,Beton!D86:$I$1125,6,FALSE)</f>
        <v>25500</v>
      </c>
      <c r="F249" s="1003">
        <f>VLOOKUP(C249,Beton!D96:$J$1125,7,FALSE)</f>
        <v>0</v>
      </c>
      <c r="G249" s="12">
        <f>VLOOKUP(C249,Beton!D96:$K$1125,8,FALSE)</f>
        <v>0</v>
      </c>
      <c r="H249" s="374"/>
      <c r="I249" s="16"/>
    </row>
    <row r="250" spans="2:9" ht="24" customHeight="1">
      <c r="B250" s="1033" t="str">
        <f>Beton!C974</f>
        <v>2.2.1.8.2</v>
      </c>
      <c r="C250" s="39" t="str">
        <f>VLOOKUP(B250,Beton!C:K,2,FALSE)</f>
        <v xml:space="preserve">Pemadatan 1 m3 beton menggunakan vibrator pada bangunan gedung </v>
      </c>
      <c r="D250" s="9" t="s">
        <v>42</v>
      </c>
      <c r="E250" s="1021">
        <f>VLOOKUP(C250,Beton!D87:$I$1125,6,FALSE)</f>
        <v>80600</v>
      </c>
      <c r="F250" s="1003">
        <f>VLOOKUP(C250,Beton!D97:$J$1125,7,FALSE)</f>
        <v>0</v>
      </c>
      <c r="G250" s="12">
        <f>VLOOKUP(C250,Beton!D97:$K$1125,8,FALSE)</f>
        <v>0</v>
      </c>
      <c r="H250" s="374"/>
      <c r="I250" s="16"/>
    </row>
    <row r="251" spans="2:9" ht="24" customHeight="1">
      <c r="B251" s="1041" t="str">
        <f>Beton!C990</f>
        <v>2.2.1.9</v>
      </c>
      <c r="C251" s="40" t="str">
        <f>VLOOKUP(B251,Beton!C:K,2,FALSE)</f>
        <v>Pelaksanaan Curing (Pemeliharaan)</v>
      </c>
      <c r="D251" s="19"/>
      <c r="E251" s="1030"/>
      <c r="F251" s="1003">
        <f>VLOOKUP(C251,Beton!D98:$J$1125,7,FALSE)</f>
        <v>0</v>
      </c>
      <c r="G251" s="12">
        <f>VLOOKUP(C251,Beton!D98:$K$1125,8,FALSE)</f>
        <v>0</v>
      </c>
      <c r="H251" s="374"/>
      <c r="I251" s="16"/>
    </row>
    <row r="252" spans="2:9" ht="24" customHeight="1">
      <c r="B252" s="1033" t="str">
        <f>Beton!C991</f>
        <v>2.2.1.9.1</v>
      </c>
      <c r="C252" s="39" t="str">
        <f>VLOOKUP(B252,Beton!C:K,2,FALSE)</f>
        <v>Menggenangi 1 m2 permukaan beton dengan air selama 4 hari (untuk bangunan gedung)</v>
      </c>
      <c r="D252" s="9" t="s">
        <v>62</v>
      </c>
      <c r="E252" s="1021">
        <f>VLOOKUP(C252,Beton!D89:$I$1125,6,FALSE)</f>
        <v>1800</v>
      </c>
      <c r="F252" s="1003">
        <f>VLOOKUP(C252,Beton!D99:$J$1125,7,FALSE)</f>
        <v>0</v>
      </c>
      <c r="G252" s="12">
        <f>VLOOKUP(C252,Beton!D99:$K$1125,8,FALSE)</f>
        <v>0</v>
      </c>
      <c r="H252" s="374"/>
      <c r="I252" s="16"/>
    </row>
    <row r="253" spans="2:9" ht="24" customHeight="1">
      <c r="B253" s="1033" t="str">
        <f>Beton!C1008</f>
        <v>2.2.1.9.2</v>
      </c>
      <c r="C253" s="39" t="str">
        <f>VLOOKUP(B253,Beton!C:K,2,FALSE)</f>
        <v>Menyirami 1 m2 permukaan beton menggunakan media kain terpal selama 4 hari (untuk Bangunan Gedung)</v>
      </c>
      <c r="D253" s="9" t="s">
        <v>62</v>
      </c>
      <c r="E253" s="1021">
        <f>VLOOKUP(C253,Beton!D90:$I$1125,6,FALSE)</f>
        <v>2300</v>
      </c>
      <c r="F253" s="1003">
        <f>VLOOKUP(C253,Beton!D100:$J$1125,7,FALSE)</f>
        <v>0</v>
      </c>
      <c r="G253" s="12">
        <f>VLOOKUP(C253,Beton!D100:$K$1125,8,FALSE)</f>
        <v>0</v>
      </c>
      <c r="H253" s="374"/>
      <c r="I253" s="16"/>
    </row>
    <row r="254" spans="2:9" ht="24" customHeight="1">
      <c r="B254" s="1033" t="str">
        <f>Beton!C1024</f>
        <v>2.2.1.9.3</v>
      </c>
      <c r="C254" s="39" t="str">
        <f>VLOOKUP(B254,Beton!C:K,2,FALSE)</f>
        <v>Menyirami 1 m2 permukaan beton menggunakan media karung goni selama 4 hari</v>
      </c>
      <c r="D254" s="9" t="s">
        <v>62</v>
      </c>
      <c r="E254" s="1021">
        <f>VLOOKUP(C254,Beton!D91:$I$1125,6,FALSE)</f>
        <v>2300</v>
      </c>
      <c r="F254" s="1003">
        <f>VLOOKUP(C254,Beton!D101:$J$1125,7,FALSE)</f>
        <v>0</v>
      </c>
      <c r="G254" s="12">
        <f>VLOOKUP(C254,Beton!D101:$K$1125,8,FALSE)</f>
        <v>0</v>
      </c>
      <c r="H254" s="374"/>
      <c r="I254" s="16"/>
    </row>
    <row r="255" spans="2:9" ht="24" customHeight="1">
      <c r="B255" s="1041" t="str">
        <f>Beton!C1040</f>
        <v>2.2.1.10</v>
      </c>
      <c r="C255" s="40" t="str">
        <f>VLOOKUP(B255,Beton!C:K,2,FALSE)</f>
        <v xml:space="preserve">Kolom /Balok Praktis </v>
      </c>
      <c r="D255" s="19"/>
      <c r="E255" s="1030"/>
      <c r="F255" s="1003">
        <f>VLOOKUP(C255,Beton!D121:$J$1125,7,FALSE)</f>
        <v>0</v>
      </c>
      <c r="G255" s="12">
        <f>VLOOKUP(C255,Beton!D121:$K$1125,8,FALSE)</f>
        <v>0</v>
      </c>
      <c r="H255" s="374"/>
      <c r="I255" s="16"/>
    </row>
    <row r="256" spans="2:9" ht="24" customHeight="1">
      <c r="B256" s="1033" t="str">
        <f>Beton!C1041</f>
        <v>2.2.1.10.1</v>
      </c>
      <c r="C256" s="1159" t="str">
        <f>VLOOKUP(B256,Beton!C:K,2,FALSE)</f>
        <v>Pembuatan 1 m' kolom praktis beton bertulang (11x11)</v>
      </c>
      <c r="D256" s="9" t="s">
        <v>1300</v>
      </c>
      <c r="E256" s="1021">
        <f>VLOOKUP(C256,Beton!D93:$I$1125,6,FALSE)</f>
        <v>105800</v>
      </c>
      <c r="F256" s="1003">
        <f>VLOOKUP(C256,Beton!D122:$J$1125,7,FALSE)</f>
        <v>0</v>
      </c>
      <c r="G256" s="12">
        <f>VLOOKUP(C256,Beton!D122:$K$1125,8,FALSE)</f>
        <v>0</v>
      </c>
      <c r="H256" s="374"/>
      <c r="I256" s="16"/>
    </row>
    <row r="257" spans="2:9" ht="24" customHeight="1">
      <c r="B257" s="1033" t="str">
        <f>Beton!C1066</f>
        <v>2.2.1.10.2</v>
      </c>
      <c r="C257" s="1159" t="str">
        <f>VLOOKUP(B257,Beton!C:K,2,FALSE)</f>
        <v>Pembuatan 1 m' balok praktis beton bertulang (10x15)</v>
      </c>
      <c r="D257" s="9" t="s">
        <v>1300</v>
      </c>
      <c r="E257" s="1021">
        <f>VLOOKUP(C257,Beton!D94:$I$1125,6,FALSE)</f>
        <v>147800</v>
      </c>
      <c r="F257" s="1003">
        <f>VLOOKUP(C257,Beton!D123:$J$1125,7,FALSE)</f>
        <v>0</v>
      </c>
      <c r="G257" s="12">
        <f>VLOOKUP(C257,Beton!D123:$K$1125,8,FALSE)</f>
        <v>0</v>
      </c>
      <c r="H257" s="374"/>
      <c r="I257" s="16"/>
    </row>
    <row r="258" spans="2:9" ht="24" customHeight="1">
      <c r="B258" s="1041" t="str">
        <f>Beton!C1092</f>
        <v>2.2.1.11</v>
      </c>
      <c r="C258" s="40" t="str">
        <f>VLOOKUP(B258,Beton!C:K,2,FALSE)</f>
        <v xml:space="preserve">Grouting </v>
      </c>
      <c r="D258" s="19"/>
      <c r="E258" s="1030"/>
      <c r="F258" s="1003">
        <f>VLOOKUP(C258,Beton!D124:$J$1125,7,FALSE)</f>
        <v>0</v>
      </c>
      <c r="G258" s="12">
        <f>VLOOKUP(C258,Beton!D124:$K$1125,8,FALSE)</f>
        <v>0</v>
      </c>
      <c r="H258" s="374"/>
      <c r="I258" s="16"/>
    </row>
    <row r="259" spans="2:9" ht="24" customHeight="1">
      <c r="B259" s="1033" t="str">
        <f>Beton!C1093</f>
        <v>2.2.1.11.1</v>
      </c>
      <c r="C259" s="39" t="str">
        <f>VLOOKUP(B259,Beton!C:K,2,FALSE)</f>
        <v xml:space="preserve">1 m3 pekerjaan grouting secara manual pada bangunan gedung </v>
      </c>
      <c r="D259" s="9" t="s">
        <v>42</v>
      </c>
      <c r="E259" s="1021">
        <f>VLOOKUP(C259,Beton!D96:$I$1125,6,FALSE)</f>
        <v>351000</v>
      </c>
      <c r="F259" s="1003">
        <f>VLOOKUP(C259,Beton!D125:$J$1125,7,FALSE)</f>
        <v>0</v>
      </c>
      <c r="G259" s="12">
        <f>VLOOKUP(C259,Beton!D125:$K$1125,8,FALSE)</f>
        <v>0</v>
      </c>
      <c r="H259" s="374"/>
      <c r="I259" s="16"/>
    </row>
    <row r="260" spans="2:9" ht="24" customHeight="1">
      <c r="B260" s="1033" t="str">
        <f>Beton!C1111</f>
        <v>2.2.1.11.2</v>
      </c>
      <c r="C260" s="39" t="str">
        <f>VLOOKUP(B260,Beton!C:K,2,FALSE)</f>
        <v xml:space="preserve">1 kg pekerjaan grouting secara injeksi pada bangunan gedung </v>
      </c>
      <c r="D260" s="9" t="s">
        <v>65</v>
      </c>
      <c r="E260" s="1021">
        <f>VLOOKUP(C260,Beton!D97:$I$1125,6,FALSE)</f>
        <v>23200</v>
      </c>
      <c r="F260" s="1003">
        <f>VLOOKUP(C260,Beton!D126:$J$1125,7,FALSE)</f>
        <v>0</v>
      </c>
      <c r="G260" s="12">
        <f>VLOOKUP(C260,Beton!D126:$K$1125,8,FALSE)</f>
        <v>0</v>
      </c>
      <c r="H260" s="374"/>
      <c r="I260" s="16"/>
    </row>
    <row r="261" spans="2:9" ht="24" customHeight="1">
      <c r="B261" s="1031" t="str">
        <f>Pondasi!C2</f>
        <v>2.2.2</v>
      </c>
      <c r="C261" s="41" t="str">
        <f>VLOOKUP(B261,Pondasi!C:L,2,FALSE)</f>
        <v xml:space="preserve">Struktur Bawah </v>
      </c>
      <c r="D261" s="983"/>
      <c r="E261" s="1024"/>
      <c r="F261" s="1006"/>
      <c r="G261" s="37"/>
      <c r="H261" s="374"/>
      <c r="I261" s="16"/>
    </row>
    <row r="262" spans="2:9" ht="24" customHeight="1">
      <c r="B262" s="1032" t="str">
        <f>Pondasi!C3</f>
        <v>2.2.2.1</v>
      </c>
      <c r="C262" s="33" t="str">
        <f>VLOOKUP(B262,Pondasi!C:L,2,FALSE)</f>
        <v xml:space="preserve">Fondasi Menerus Batu Belah </v>
      </c>
      <c r="D262" s="22"/>
      <c r="E262" s="1025"/>
      <c r="F262" s="1003"/>
      <c r="G262" s="12"/>
      <c r="H262" s="374"/>
      <c r="I262" s="16"/>
    </row>
    <row r="263" spans="2:9" ht="24" customHeight="1">
      <c r="B263" s="1033" t="str">
        <f>Pondasi!C4</f>
        <v>2.2.2.1.1</v>
      </c>
      <c r="C263" s="12" t="str">
        <f>VLOOKUP(B263,Pondasi!C:L,2,FALSE)</f>
        <v>Pemasangan 1 m3 batu kosong (anstamping) untuk pondasi gedung</v>
      </c>
      <c r="D263" s="9" t="s">
        <v>42</v>
      </c>
      <c r="E263" s="1021">
        <f>VLOOKUP(C263,Pondasi!D2:$J$1146,7,FALSE)</f>
        <v>683400</v>
      </c>
      <c r="F263" s="1003">
        <f>VLOOKUP(C263,Pondasi!D2:$K$1146,8,FALSE)</f>
        <v>0</v>
      </c>
      <c r="G263" s="12">
        <f>VLOOKUP(C263,Pondasi!D2:$L$1146,9,FALSE)</f>
        <v>0</v>
      </c>
      <c r="H263" s="374"/>
      <c r="I263" s="16"/>
    </row>
    <row r="264" spans="2:9" ht="24" customHeight="1">
      <c r="B264" s="1033" t="str">
        <f>Pondasi!C22</f>
        <v>2.2.2.1.2</v>
      </c>
      <c r="C264" s="12" t="str">
        <f>VLOOKUP(B264,Pondasi!C:L,2,FALSE)</f>
        <v>Pemasangan 1 m3 pondasi batu belah mortar tipe M 17,5 Mpa setara 1SP : 2PP, cara manual</v>
      </c>
      <c r="D264" s="9" t="s">
        <v>42</v>
      </c>
      <c r="E264" s="1021">
        <f>VLOOKUP(C264,Pondasi!D3:$J$1146,7,FALSE)</f>
        <v>1266200</v>
      </c>
      <c r="F264" s="1003">
        <f>VLOOKUP(C264,Pondasi!D3:$K$1146,8,FALSE)</f>
        <v>0</v>
      </c>
      <c r="G264" s="12">
        <f>VLOOKUP(C264,Pondasi!D3:$L$1146,9,FALSE)</f>
        <v>0</v>
      </c>
      <c r="H264" s="374"/>
      <c r="I264" s="16"/>
    </row>
    <row r="265" spans="2:9" ht="24" customHeight="1">
      <c r="B265" s="1033" t="str">
        <f>Pondasi!C40</f>
        <v>2.2.2.1.3</v>
      </c>
      <c r="C265" s="12" t="str">
        <f>VLOOKUP(B265,Pondasi!C:L,2,FALSE)</f>
        <v>Pemasangan 1 m3 pondasi batu belah mortar tipe M 17,5 Mpa (setara 1SP : 2PP), cara semi mekanis</v>
      </c>
      <c r="D265" s="9" t="s">
        <v>42</v>
      </c>
      <c r="E265" s="1021">
        <f>VLOOKUP(C265,Pondasi!D4:$J$1146,7,FALSE)</f>
        <v>1217000</v>
      </c>
      <c r="F265" s="1003">
        <f>VLOOKUP(C265,Pondasi!D4:$K$1146,8,FALSE)</f>
        <v>0</v>
      </c>
      <c r="G265" s="12">
        <f>VLOOKUP(C265,Pondasi!D4:$L$1146,9,FALSE)</f>
        <v>0</v>
      </c>
      <c r="H265" s="374"/>
      <c r="I265" s="16"/>
    </row>
    <row r="266" spans="2:9" ht="24" customHeight="1">
      <c r="B266" s="1033" t="str">
        <f>Pondasi!C59</f>
        <v>2.2.2.1.4</v>
      </c>
      <c r="C266" s="12" t="str">
        <f>VLOOKUP(B266,Pondasi!C:L,2,FALSE)</f>
        <v>Pemasangan 1 m3 pondasi batu belah mortar tipe S 12,5 Mpa (setara 1SP : 3PP), cara manual</v>
      </c>
      <c r="D266" s="9" t="s">
        <v>42</v>
      </c>
      <c r="E266" s="1021">
        <f>VLOOKUP(C266,Pondasi!D5:$J$1146,7,FALSE)</f>
        <v>1197400</v>
      </c>
      <c r="F266" s="1003">
        <f>VLOOKUP(C266,Pondasi!D5:$K$1146,8,FALSE)</f>
        <v>0</v>
      </c>
      <c r="G266" s="12">
        <f>VLOOKUP(C266,Pondasi!D5:$L$1146,9,FALSE)</f>
        <v>0</v>
      </c>
      <c r="H266" s="374"/>
      <c r="I266" s="16"/>
    </row>
    <row r="267" spans="2:9" ht="24" customHeight="1">
      <c r="B267" s="1033" t="str">
        <f>Pondasi!C77</f>
        <v>2.2.2.1.5</v>
      </c>
      <c r="C267" s="12" t="str">
        <f>VLOOKUP(B267,Pondasi!C:L,2,FALSE)</f>
        <v>Pemasangan 1 m3 pondasi batu belah mortar tipe S 12,5 Mpa (setara 1SP : 3PP), cara semi mekanis</v>
      </c>
      <c r="D267" s="9" t="s">
        <v>42</v>
      </c>
      <c r="E267" s="1021">
        <f>VLOOKUP(C267,Pondasi!D6:$J$1146,7,FALSE)</f>
        <v>1148200</v>
      </c>
      <c r="F267" s="1003">
        <f>VLOOKUP(C267,Pondasi!D6:$K$1146,8,FALSE)</f>
        <v>0</v>
      </c>
      <c r="G267" s="12">
        <f>VLOOKUP(C267,Pondasi!D6:$L$1146,9,FALSE)</f>
        <v>0</v>
      </c>
      <c r="H267" s="374"/>
      <c r="I267" s="16"/>
    </row>
    <row r="268" spans="2:9" ht="24" customHeight="1">
      <c r="B268" s="1033" t="str">
        <f>Pondasi!C96</f>
        <v>2.2.2.1.6</v>
      </c>
      <c r="C268" s="12" t="str">
        <f>VLOOKUP(B268,Pondasi!C:L,2,FALSE)</f>
        <v>Pemasangan 1 m3 pondasi batu belah mortar tipe N 5,2 Mpa (setara 1SP : 4PP), cara manual</v>
      </c>
      <c r="D268" s="9" t="s">
        <v>42</v>
      </c>
      <c r="E268" s="1021">
        <f>VLOOKUP(C268,Pondasi!D7:$J$1146,7,FALSE)</f>
        <v>1143700</v>
      </c>
      <c r="F268" s="1003">
        <f>VLOOKUP(C268,Pondasi!D7:$K$1146,8,FALSE)</f>
        <v>0</v>
      </c>
      <c r="G268" s="12">
        <f>VLOOKUP(C268,Pondasi!D7:$L$1146,9,FALSE)</f>
        <v>0</v>
      </c>
      <c r="H268" s="374"/>
      <c r="I268" s="16"/>
    </row>
    <row r="269" spans="2:9" ht="24" customHeight="1">
      <c r="B269" s="1033" t="str">
        <f>Pondasi!C114</f>
        <v>2.2.2.1.7</v>
      </c>
      <c r="C269" s="12" t="str">
        <f>VLOOKUP(B269,Pondasi!C:L,2,FALSE)</f>
        <v>Pemasangan 1 m3 pondasi batu belah mortar tipe N 5,2 Mpa (setara 1SP : 4PP), cara semi mekanis</v>
      </c>
      <c r="D269" s="9" t="s">
        <v>42</v>
      </c>
      <c r="E269" s="1021">
        <f>VLOOKUP(C269,Pondasi!D8:$J$1146,7,FALSE)</f>
        <v>1094500</v>
      </c>
      <c r="F269" s="1003">
        <f>VLOOKUP(C269,Pondasi!D8:$K$1146,8,FALSE)</f>
        <v>0</v>
      </c>
      <c r="G269" s="12">
        <f>VLOOKUP(C269,Pondasi!D8:$L$1146,9,FALSE)</f>
        <v>0</v>
      </c>
      <c r="H269" s="374"/>
      <c r="I269" s="16"/>
    </row>
    <row r="270" spans="2:9" ht="24" customHeight="1">
      <c r="B270" s="1033" t="str">
        <f>Pondasi!C133</f>
        <v>2.2.2.1.8</v>
      </c>
      <c r="C270" s="1158" t="str">
        <f>VLOOKUP(B270,Pondasi!C:L,2,FALSE)</f>
        <v>Pemasangan 1 m3 pondasi batu belah mortar tipe O 2,4 Mpa (setara 1SP : 5PP), cara manual</v>
      </c>
      <c r="D270" s="9" t="s">
        <v>42</v>
      </c>
      <c r="E270" s="1021">
        <f>VLOOKUP(C270,Pondasi!D9:$J$1146,7,FALSE)</f>
        <v>1104800</v>
      </c>
      <c r="F270" s="1003">
        <f>VLOOKUP(C270,Pondasi!D9:$K$1146,8,FALSE)</f>
        <v>0</v>
      </c>
      <c r="G270" s="12">
        <f>VLOOKUP(C270,Pondasi!D9:$L$1146,9,FALSE)</f>
        <v>0</v>
      </c>
      <c r="H270" s="374"/>
      <c r="I270" s="16"/>
    </row>
    <row r="271" spans="2:9" ht="24" customHeight="1">
      <c r="B271" s="1033" t="str">
        <f>Pondasi!C151</f>
        <v>2.2.2.1.9</v>
      </c>
      <c r="C271" s="12" t="str">
        <f>VLOOKUP(B271,Pondasi!C:L,2,FALSE)</f>
        <v>Pemasangan 1 m3 pondasi batu belah mortar tipe O 2,4 Mpa (setara 1SP : 5PP), cara semi mekanis</v>
      </c>
      <c r="D271" s="9" t="s">
        <v>42</v>
      </c>
      <c r="E271" s="1021">
        <f>VLOOKUP(C271,Pondasi!D10:$J$1146,7,FALSE)</f>
        <v>1055600</v>
      </c>
      <c r="F271" s="1003">
        <f>VLOOKUP(C271,Pondasi!D10:$K$1146,8,FALSE)</f>
        <v>0</v>
      </c>
      <c r="G271" s="12">
        <f>VLOOKUP(C271,Pondasi!D10:$L$1146,9,FALSE)</f>
        <v>0</v>
      </c>
      <c r="H271" s="374"/>
      <c r="I271" s="16"/>
    </row>
    <row r="272" spans="2:9" ht="24" customHeight="1">
      <c r="B272" s="1033" t="str">
        <f>Pondasi!C171</f>
        <v>2.2.2.1.10</v>
      </c>
      <c r="C272" s="12" t="str">
        <f>VLOOKUP(B272,Pondasi!C:L,2,FALSE)</f>
        <v>Pemasangan 1 m3 pondasi batu belah campuran 1SP : 6PP, cara manual</v>
      </c>
      <c r="D272" s="9" t="s">
        <v>42</v>
      </c>
      <c r="E272" s="1021">
        <f>VLOOKUP(C272,Pondasi!D11:$J$1146,7,FALSE)</f>
        <v>1080300</v>
      </c>
      <c r="F272" s="1003">
        <f>VLOOKUP(C272,Pondasi!D11:$K$1146,8,FALSE)</f>
        <v>0</v>
      </c>
      <c r="G272" s="12">
        <f>VLOOKUP(C272,Pondasi!D11:$L$1146,9,FALSE)</f>
        <v>0</v>
      </c>
      <c r="H272" s="374"/>
      <c r="I272" s="16"/>
    </row>
    <row r="273" spans="2:9" ht="24" customHeight="1">
      <c r="B273" s="1033" t="str">
        <f>Pondasi!C190</f>
        <v>2.2.2.2.11</v>
      </c>
      <c r="C273" s="12" t="str">
        <f>VLOOKUP(B273,Pondasi!C:L,2,FALSE)</f>
        <v>Pemasangan 1 m3 pondasi batu belah campuran 1SP : 6PP, cara semi mekanis</v>
      </c>
      <c r="D273" s="9" t="s">
        <v>42</v>
      </c>
      <c r="E273" s="1021">
        <f>VLOOKUP(C273,Pondasi!D12:$J$1146,7,FALSE)</f>
        <v>1031100</v>
      </c>
      <c r="F273" s="1003">
        <f>VLOOKUP(C273,Pondasi!D12:$K$1146,8,FALSE)</f>
        <v>0</v>
      </c>
      <c r="G273" s="12">
        <f>VLOOKUP(C273,Pondasi!D12:$L$1146,9,FALSE)</f>
        <v>0</v>
      </c>
      <c r="H273" s="374"/>
      <c r="I273" s="16"/>
    </row>
    <row r="274" spans="2:9" ht="24" customHeight="1">
      <c r="B274" s="1032" t="str">
        <f>Pondasi!C210</f>
        <v>2.2.2.2</v>
      </c>
      <c r="C274" s="33" t="str">
        <f>VLOOKUP(B274,Pondasi!C:L,2,FALSE)</f>
        <v>Pondasi Sumuran Beton Siklop</v>
      </c>
      <c r="D274" s="22"/>
      <c r="E274" s="1025"/>
      <c r="F274" s="1003">
        <f>VLOOKUP(C274,Pondasi!D13:$K$1146,8,FALSE)</f>
        <v>0</v>
      </c>
      <c r="G274" s="12">
        <f>VLOOKUP(C274,Pondasi!D13:$L$1146,9,FALSE)</f>
        <v>0</v>
      </c>
      <c r="H274" s="374"/>
      <c r="I274" s="16"/>
    </row>
    <row r="275" spans="2:9" ht="24" customHeight="1">
      <c r="B275" s="1033" t="str">
        <f>Pondasi!C211</f>
        <v>2.2.2.2.1</v>
      </c>
      <c r="C275" s="12" t="str">
        <f>VLOOKUP(B275,Pondasi!C:L,2,FALSE)</f>
        <v>Pembuatan 1 m3 pondasi beton siklop, 60% beton fc' 15 MPa : 40% batu belah untuk vol. s.d 200 m3 secara manual</v>
      </c>
      <c r="D275" s="9" t="s">
        <v>42</v>
      </c>
      <c r="E275" s="1021">
        <f>VLOOKUP(C275,Pondasi!D13:$J$1157,7,FALSE)</f>
        <v>1007000</v>
      </c>
      <c r="F275" s="1003">
        <f>VLOOKUP(C275,Pondasi!D14:$K$1146,8,FALSE)</f>
        <v>0</v>
      </c>
      <c r="G275" s="12">
        <f>VLOOKUP(C275,Pondasi!D14:$L$1146,9,FALSE)</f>
        <v>0</v>
      </c>
      <c r="H275" s="374"/>
      <c r="I275" s="16"/>
    </row>
    <row r="276" spans="2:9" ht="24" customHeight="1">
      <c r="B276" s="1033" t="str">
        <f>Pondasi!C231</f>
        <v>2.2.2.2.2</v>
      </c>
      <c r="C276" s="12" t="str">
        <f>VLOOKUP(B276,Pondasi!C:L,2,FALSE)</f>
        <v>Pembuatan 1 m3 pondasi beton siklop, 60% beton fc' 15 MPa : 40% batu belah untuk vol. &gt; 200 m3 secara manual</v>
      </c>
      <c r="D276" s="9" t="s">
        <v>42</v>
      </c>
      <c r="E276" s="1021">
        <f>VLOOKUP(C276,Pondasi!D14:$J$1157,7,FALSE)</f>
        <v>997200</v>
      </c>
      <c r="F276" s="1003">
        <f>VLOOKUP(C276,Pondasi!D15:$K$1146,8,FALSE)</f>
        <v>0</v>
      </c>
      <c r="G276" s="12">
        <f>VLOOKUP(C276,Pondasi!D15:$L$1146,9,FALSE)</f>
        <v>0</v>
      </c>
      <c r="H276" s="374"/>
      <c r="I276" s="16"/>
    </row>
    <row r="277" spans="2:9" ht="24" customHeight="1">
      <c r="B277" s="1033" t="str">
        <f>Pondasi!C251</f>
        <v>2.2.2.2.3</v>
      </c>
      <c r="C277" s="12" t="str">
        <f>VLOOKUP(B277,Pondasi!C:L,2,FALSE)</f>
        <v>Pembuatan 1 m3 pondasi beton siklop, 60% beton fc' 15 MPa : 40% batu belah untuk vol. &gt; 200 m3 secara semi mekanis</v>
      </c>
      <c r="D277" s="9" t="s">
        <v>42</v>
      </c>
      <c r="E277" s="1021">
        <f>VLOOKUP(C277,Pondasi!D15:$J$1157,7,FALSE)</f>
        <v>965400</v>
      </c>
      <c r="F277" s="1003">
        <f>VLOOKUP(C277,Pondasi!D16:$K$1146,8,FALSE)</f>
        <v>0</v>
      </c>
      <c r="G277" s="12">
        <f>VLOOKUP(C277,Pondasi!D16:$L$1146,9,FALSE)</f>
        <v>0</v>
      </c>
      <c r="H277" s="374"/>
      <c r="I277" s="16"/>
    </row>
    <row r="278" spans="2:9" ht="24" customHeight="1">
      <c r="B278" s="1033" t="str">
        <f>Pondasi!C272</f>
        <v>2.2.2.2.4</v>
      </c>
      <c r="C278" s="12" t="str">
        <f>VLOOKUP(B278,Pondasi!C:L,2,FALSE)</f>
        <v>Pembuatan 1 m3 pondasi beton siklop, 70% beton fc' 15 MPa : 30% batu belah untuk vol. &gt; 200 m3 secara manual</v>
      </c>
      <c r="D278" s="9" t="s">
        <v>42</v>
      </c>
      <c r="E278" s="1021">
        <f>VLOOKUP(C278,Pondasi!D16:$J$1157,7,FALSE)</f>
        <v>1063700</v>
      </c>
      <c r="F278" s="1003">
        <f>VLOOKUP(C278,Pondasi!D17:$K$1146,8,FALSE)</f>
        <v>0</v>
      </c>
      <c r="G278" s="12">
        <f>VLOOKUP(C278,Pondasi!D17:$L$1146,9,FALSE)</f>
        <v>0</v>
      </c>
      <c r="H278" s="374"/>
      <c r="I278" s="16"/>
    </row>
    <row r="279" spans="2:9" ht="24" customHeight="1">
      <c r="B279" s="1033" t="str">
        <f>Pondasi!C292</f>
        <v>2.2.2.2.5</v>
      </c>
      <c r="C279" s="12" t="str">
        <f>VLOOKUP(B279,Pondasi!C:L,2,FALSE)</f>
        <v>Pembuatan 1 m3 pondasi beton siklop, 70% beton fc' 15 MPa : 30% batu belah untuk vol. &gt; 200 m3 secara semi mekanis</v>
      </c>
      <c r="D279" s="9" t="s">
        <v>42</v>
      </c>
      <c r="E279" s="1021">
        <f>VLOOKUP(C279,Pondasi!D17:$J$1157,7,FALSE)</f>
        <v>1035300</v>
      </c>
      <c r="F279" s="1003">
        <f>VLOOKUP(C279,Pondasi!D18:$K$1146,8,FALSE)</f>
        <v>0</v>
      </c>
      <c r="G279" s="12">
        <f>VLOOKUP(C279,Pondasi!D18:$L$1146,9,FALSE)</f>
        <v>0</v>
      </c>
      <c r="H279" s="374"/>
      <c r="I279" s="16"/>
    </row>
    <row r="280" spans="2:9" ht="24" customHeight="1">
      <c r="B280" s="1033" t="str">
        <f>Pondasi!C313</f>
        <v>2.2.2.2.6</v>
      </c>
      <c r="C280" s="12" t="str">
        <f>VLOOKUP(B280,Pondasi!C:L,2,FALSE)</f>
        <v>Pembuatan 1 m3 pondasi sumuran, diameter 100 cm masif</v>
      </c>
      <c r="D280" s="9" t="s">
        <v>42</v>
      </c>
      <c r="E280" s="1021">
        <f>VLOOKUP(C280,Pondasi!D18:$J$1157,7,FALSE)</f>
        <v>1004700</v>
      </c>
      <c r="F280" s="1003">
        <f>VLOOKUP(C280,Pondasi!D19:$K$1146,8,FALSE)</f>
        <v>0</v>
      </c>
      <c r="G280" s="12">
        <f>VLOOKUP(C280,Pondasi!D19:$L$1146,9,FALSE)</f>
        <v>0</v>
      </c>
      <c r="H280" s="374"/>
      <c r="I280" s="16"/>
    </row>
    <row r="281" spans="2:9" ht="24" customHeight="1">
      <c r="B281" s="1032" t="str">
        <f>Pondasi!C333</f>
        <v xml:space="preserve">2.2.2.3 </v>
      </c>
      <c r="C281" s="33" t="str">
        <f>VLOOKUP(B281,Pondasi!C:L,2,FALSE)</f>
        <v>Pondasi Strauss Pile dan Bore Pile</v>
      </c>
      <c r="D281" s="22"/>
      <c r="E281" s="1025"/>
      <c r="F281" s="1003">
        <f>VLOOKUP(C281,Pondasi!D20:$K$1146,8,FALSE)</f>
        <v>0</v>
      </c>
      <c r="G281" s="12">
        <f>VLOOKUP(C281,Pondasi!D20:$L$1146,9,FALSE)</f>
        <v>0</v>
      </c>
      <c r="H281" s="374"/>
      <c r="I281" s="16"/>
    </row>
    <row r="282" spans="2:9" ht="24" customHeight="1">
      <c r="B282" s="1033" t="str">
        <f>Pondasi!C335</f>
        <v>2.2.2.3.1</v>
      </c>
      <c r="C282" s="12" t="str">
        <f>VLOOKUP(B282,Pondasi!C:L,2,FALSE)</f>
        <v>Pengeboran 1 m' lubang bored pile φ 20 cm pada pada tanah lunak (manual)</v>
      </c>
      <c r="D282" s="9" t="s">
        <v>113</v>
      </c>
      <c r="E282" s="1021">
        <f>VLOOKUP(C282,Pondasi!D19:$J$1163,7,FALSE)</f>
        <v>708300</v>
      </c>
      <c r="F282" s="1003">
        <f>VLOOKUP(C282,Pondasi!D21:$K$1146,8,FALSE)</f>
        <v>0</v>
      </c>
      <c r="G282" s="12">
        <f>VLOOKUP(C282,Pondasi!D21:$L$1146,9,FALSE)</f>
        <v>0</v>
      </c>
      <c r="H282" s="374"/>
      <c r="I282" s="16"/>
    </row>
    <row r="283" spans="2:9" ht="24" customHeight="1">
      <c r="B283" s="1033" t="str">
        <f>Pondasi!C353</f>
        <v>2.2.2.3.2</v>
      </c>
      <c r="C283" s="12" t="str">
        <f>VLOOKUP(B283,Pondasi!C:L,2,FALSE)</f>
        <v>Pengeboran 1 m' lubang bored pile φ 20 cm pada pada tanah sedang (manual)</v>
      </c>
      <c r="D283" s="9" t="s">
        <v>113</v>
      </c>
      <c r="E283" s="1021">
        <f>VLOOKUP(C283,Pondasi!D20:$J$1163,7,FALSE)</f>
        <v>19300</v>
      </c>
      <c r="F283" s="1003">
        <f>VLOOKUP(C283,Pondasi!D22:$K$1146,8,FALSE)</f>
        <v>0</v>
      </c>
      <c r="G283" s="12">
        <f>VLOOKUP(C283,Pondasi!D22:$L$1146,9,FALSE)</f>
        <v>0</v>
      </c>
      <c r="H283" s="374"/>
      <c r="I283" s="16"/>
    </row>
    <row r="284" spans="2:9" ht="24" customHeight="1">
      <c r="B284" s="1033" t="str">
        <f>Pondasi!C369</f>
        <v>2.2.2.3.3</v>
      </c>
      <c r="C284" s="12" t="str">
        <f>VLOOKUP(B284,Pondasi!C:L,2,FALSE)</f>
        <v>Pengeboran 1 m' lubang bored pile φ 20 cm pada pada tanah keras, sangat padat, dan batuan lunak (manual)</v>
      </c>
      <c r="D284" s="9" t="s">
        <v>113</v>
      </c>
      <c r="E284" s="1021">
        <f>VLOOKUP(C284,Pondasi!D21:$J$1163,7,FALSE)</f>
        <v>128700</v>
      </c>
      <c r="F284" s="1003">
        <f>VLOOKUP(C284,Pondasi!D23:$K$1146,8,FALSE)</f>
        <v>0</v>
      </c>
      <c r="G284" s="12">
        <f>VLOOKUP(C284,Pondasi!D23:$L$1146,9,FALSE)</f>
        <v>0</v>
      </c>
      <c r="H284" s="374"/>
      <c r="I284" s="16"/>
    </row>
    <row r="285" spans="2:9" ht="24" customHeight="1">
      <c r="B285" s="1033" t="str">
        <f>Pondasi!C385</f>
        <v>2.2.2.3.4</v>
      </c>
      <c r="C285" s="12" t="str">
        <f>VLOOKUP(B285,Pondasi!C:L,2,FALSE)</f>
        <v>Pengeboran 1 m' lubang bored pile φ 20 cm pada tanah berbatu (manual)</v>
      </c>
      <c r="D285" s="9" t="s">
        <v>113</v>
      </c>
      <c r="E285" s="1021">
        <f>VLOOKUP(C285,Pondasi!D22:$J$1163,7,FALSE)</f>
        <v>193300</v>
      </c>
      <c r="F285" s="1003">
        <f>VLOOKUP(C285,Pondasi!D24:$K$1146,8,FALSE)</f>
        <v>0</v>
      </c>
      <c r="G285" s="12">
        <f>VLOOKUP(C285,Pondasi!D24:$L$1146,9,FALSE)</f>
        <v>0</v>
      </c>
      <c r="H285" s="374"/>
      <c r="I285" s="16"/>
    </row>
    <row r="286" spans="2:9" ht="24" customHeight="1">
      <c r="B286" s="1033" t="str">
        <f>Pondasi!C401</f>
        <v>2.2.2.3.5</v>
      </c>
      <c r="C286" s="12" t="str">
        <f>VLOOKUP(B286,Pondasi!C:L,2,FALSE)</f>
        <v>Pengeboran 1 m' lubang bored pile φ 30 cm pada tanah lunak (manual)</v>
      </c>
      <c r="D286" s="9" t="s">
        <v>113</v>
      </c>
      <c r="E286" s="1021">
        <f>VLOOKUP(C286,Pondasi!D23:$J$1163,7,FALSE)</f>
        <v>1576100</v>
      </c>
      <c r="F286" s="1003">
        <f>VLOOKUP(C286,Pondasi!D25:$K$1146,8,FALSE)</f>
        <v>0</v>
      </c>
      <c r="G286" s="12">
        <f>VLOOKUP(C286,Pondasi!D25:$L$1146,9,FALSE)</f>
        <v>0</v>
      </c>
      <c r="H286" s="374"/>
      <c r="I286" s="16"/>
    </row>
    <row r="287" spans="2:9" ht="24" customHeight="1">
      <c r="B287" s="1033" t="str">
        <f>Pondasi!C419</f>
        <v>2.2.2.3.6</v>
      </c>
      <c r="C287" s="12" t="str">
        <f>VLOOKUP(B287,Pondasi!C:L,2,FALSE)</f>
        <v>Pengeboran 1 m' lubang bored pile φ 30 cm pada tanah sedang (manual)</v>
      </c>
      <c r="D287" s="9" t="s">
        <v>113</v>
      </c>
      <c r="E287" s="1021">
        <f>VLOOKUP(C287,Pondasi!D24:$J$1163,7,FALSE)</f>
        <v>48100</v>
      </c>
      <c r="F287" s="1003">
        <f>VLOOKUP(C287,Pondasi!D26:$K$1146,8,FALSE)</f>
        <v>0</v>
      </c>
      <c r="G287" s="12">
        <f>VLOOKUP(C287,Pondasi!D26:$L$1146,9,FALSE)</f>
        <v>0</v>
      </c>
      <c r="H287" s="374"/>
      <c r="I287" s="16"/>
    </row>
    <row r="288" spans="2:9" ht="24" customHeight="1">
      <c r="B288" s="1033" t="str">
        <f>Pondasi!C435</f>
        <v>2.2.2.3.7</v>
      </c>
      <c r="C288" s="12" t="str">
        <f>VLOOKUP(B288,Pondasi!C:L,2,FALSE)</f>
        <v>Pengeboran 1 m' lubang bored pile φ 30 cm pada pada tanah keras, sangat padat, dan batuan lunak (manual)</v>
      </c>
      <c r="D288" s="9" t="s">
        <v>113</v>
      </c>
      <c r="E288" s="1021">
        <f>VLOOKUP(C288,Pondasi!D25:$J$1163,7,FALSE)</f>
        <v>289900</v>
      </c>
      <c r="F288" s="1003">
        <f>VLOOKUP(C288,Pondasi!D27:$K$1146,8,FALSE)</f>
        <v>0</v>
      </c>
      <c r="G288" s="12">
        <f>VLOOKUP(C288,Pondasi!D27:$L$1146,9,FALSE)</f>
        <v>0</v>
      </c>
      <c r="H288" s="374"/>
      <c r="I288" s="16"/>
    </row>
    <row r="289" spans="2:9" ht="24" customHeight="1">
      <c r="B289" s="1033" t="str">
        <f>Pondasi!C451</f>
        <v>2.2.2.3.8</v>
      </c>
      <c r="C289" s="12" t="str">
        <f>VLOOKUP(B289,Pondasi!C:L,2,FALSE)</f>
        <v>Pengeboran 1 m' lubang bored pile φ 30 cm pada tanah berbatu (manual)</v>
      </c>
      <c r="D289" s="9" t="s">
        <v>113</v>
      </c>
      <c r="E289" s="1021">
        <f>VLOOKUP(C289,Pondasi!D26:$J$1163,7,FALSE)</f>
        <v>434800</v>
      </c>
      <c r="F289" s="1003">
        <f>VLOOKUP(C289,Pondasi!D28:$K$1146,8,FALSE)</f>
        <v>0</v>
      </c>
      <c r="G289" s="12">
        <f>VLOOKUP(C289,Pondasi!D28:$L$1146,9,FALSE)</f>
        <v>0</v>
      </c>
      <c r="H289" s="374"/>
      <c r="I289" s="16"/>
    </row>
    <row r="290" spans="2:9" ht="24" customHeight="1">
      <c r="B290" s="1033" t="str">
        <f>Pondasi!C467</f>
        <v>2.2.2.3.9</v>
      </c>
      <c r="C290" s="12" t="str">
        <f>VLOOKUP(B290,Pondasi!C:L,2,FALSE)</f>
        <v>Pengeboran 1 m' lubang bored pile φ 40 cm pada tanah lunak (manual)</v>
      </c>
      <c r="D290" s="9" t="s">
        <v>113</v>
      </c>
      <c r="E290" s="1021">
        <f>VLOOKUP(C290,Pondasi!D27:$J$1163,7,FALSE)</f>
        <v>2810800</v>
      </c>
      <c r="F290" s="1003">
        <f>VLOOKUP(C290,Pondasi!D29:$K$1146,8,FALSE)</f>
        <v>0</v>
      </c>
      <c r="G290" s="12">
        <f>VLOOKUP(C290,Pondasi!D29:$L$1146,9,FALSE)</f>
        <v>0</v>
      </c>
      <c r="H290" s="374"/>
      <c r="I290" s="16"/>
    </row>
    <row r="291" spans="2:9" ht="24" customHeight="1">
      <c r="B291" s="1033" t="str">
        <f>Pondasi!C485</f>
        <v>2.2.2.3.10</v>
      </c>
      <c r="C291" s="12" t="str">
        <f>VLOOKUP(B291,Pondasi!C:L,2,FALSE)</f>
        <v>Pengeboran 1 m' lubang bored pile φ 40 cm pada tanah sedang (manual)</v>
      </c>
      <c r="D291" s="9" t="s">
        <v>113</v>
      </c>
      <c r="E291" s="1021">
        <f>VLOOKUP(C291,Pondasi!D28:$J$1163,7,FALSE)</f>
        <v>94900</v>
      </c>
      <c r="F291" s="1003">
        <f>VLOOKUP(C291,Pondasi!D30:$K$1146,8,FALSE)</f>
        <v>0</v>
      </c>
      <c r="G291" s="12">
        <f>VLOOKUP(C291,Pondasi!D30:$L$1146,9,FALSE)</f>
        <v>0</v>
      </c>
      <c r="H291" s="374"/>
      <c r="I291" s="16"/>
    </row>
    <row r="292" spans="2:9" ht="24" customHeight="1">
      <c r="B292" s="1033" t="str">
        <f>Pondasi!C501</f>
        <v>2.2.2.3.11</v>
      </c>
      <c r="C292" s="12" t="str">
        <f>VLOOKUP(B292,Pondasi!C:L,2,FALSE)</f>
        <v>Pengeboran 1 m' lubang bored pile φ 40 cm pada pada tanah keras, sangat padat, dan batuan lunak (manual)</v>
      </c>
      <c r="D292" s="9" t="s">
        <v>113</v>
      </c>
      <c r="E292" s="1021">
        <f>VLOOKUP(C292,Pondasi!D29:$J$1163,7,FALSE)</f>
        <v>423900</v>
      </c>
      <c r="F292" s="1003">
        <f>VLOOKUP(C292,Pondasi!D31:$K$1146,8,FALSE)</f>
        <v>0</v>
      </c>
      <c r="G292" s="12">
        <f>VLOOKUP(C292,Pondasi!D31:$L$1146,9,FALSE)</f>
        <v>0</v>
      </c>
      <c r="H292" s="374"/>
      <c r="I292" s="16"/>
    </row>
    <row r="293" spans="2:9" ht="24" customHeight="1">
      <c r="B293" s="1033" t="str">
        <f>Pondasi!C517</f>
        <v>2.2.2.3.12</v>
      </c>
      <c r="C293" s="12" t="str">
        <f>VLOOKUP(B293,Pondasi!C:L,2,FALSE)</f>
        <v>Pengeboran 1 m' lubang bored pile φ 40 cm pada tanah berbatu (manual)</v>
      </c>
      <c r="D293" s="9" t="s">
        <v>113</v>
      </c>
      <c r="E293" s="1021">
        <f>VLOOKUP(C293,Pondasi!D30:$J$1163,7,FALSE)</f>
        <v>636000</v>
      </c>
      <c r="F293" s="1003">
        <f>VLOOKUP(C293,Pondasi!D32:$K$1146,8,FALSE)</f>
        <v>0</v>
      </c>
      <c r="G293" s="12">
        <f>VLOOKUP(C293,Pondasi!D32:$L$1146,9,FALSE)</f>
        <v>0</v>
      </c>
      <c r="H293" s="374"/>
      <c r="I293" s="16"/>
    </row>
    <row r="294" spans="2:9" ht="24" customHeight="1">
      <c r="B294" s="1033" t="str">
        <f>Pondasi!C533</f>
        <v>2.2.2.3.13</v>
      </c>
      <c r="C294" s="12" t="str">
        <f>VLOOKUP(B294,Pondasi!C:L,2,FALSE)</f>
        <v>Pengeboran 1 m' lubang bored pile φ 50 cm pada tanah lunak (manual)</v>
      </c>
      <c r="D294" s="9" t="s">
        <v>113</v>
      </c>
      <c r="E294" s="1021">
        <f>VLOOKUP(C294,Pondasi!D31:$J$1163,7,FALSE)</f>
        <v>4418700</v>
      </c>
      <c r="F294" s="1003">
        <f>VLOOKUP(C294,Pondasi!D33:$K$1146,8,FALSE)</f>
        <v>0</v>
      </c>
      <c r="G294" s="12">
        <f>VLOOKUP(C294,Pondasi!D33:$L$1146,9,FALSE)</f>
        <v>0</v>
      </c>
      <c r="H294" s="374"/>
      <c r="I294" s="16"/>
    </row>
    <row r="295" spans="2:9" ht="24" customHeight="1">
      <c r="B295" s="1033" t="str">
        <f>Pondasi!C551</f>
        <v>2.2.2.3.14</v>
      </c>
      <c r="C295" s="12" t="str">
        <f>VLOOKUP(B295,Pondasi!C:L,2,FALSE)</f>
        <v>Pengeboran 1 m' lubang bored pile φ 50 cm pada tanah sedang (manual)</v>
      </c>
      <c r="D295" s="9" t="s">
        <v>113</v>
      </c>
      <c r="E295" s="1021">
        <f>VLOOKUP(C295,Pondasi!D32:$J$1163,7,FALSE)</f>
        <v>164700</v>
      </c>
      <c r="F295" s="1003">
        <f>VLOOKUP(C295,Pondasi!D34:$K$1146,8,FALSE)</f>
        <v>0</v>
      </c>
      <c r="G295" s="12">
        <f>VLOOKUP(C295,Pondasi!D34:$L$1146,9,FALSE)</f>
        <v>0</v>
      </c>
      <c r="H295" s="374"/>
      <c r="I295" s="16"/>
    </row>
    <row r="296" spans="2:9" ht="24" customHeight="1">
      <c r="B296" s="1033" t="str">
        <f>Pondasi!C567</f>
        <v>2.2.2.3.15</v>
      </c>
      <c r="C296" s="12" t="str">
        <f>VLOOKUP(B296,Pondasi!C:L,2,FALSE)</f>
        <v>Pengeboran 1 m' lubang bored pile φ 50 cm pada pada tanah keras, sangat padat, dan batuan lunak (manual)</v>
      </c>
      <c r="D296" s="9" t="s">
        <v>113</v>
      </c>
      <c r="E296" s="1021">
        <f>VLOOKUP(C296,Pondasi!D33:$J$1163,7,FALSE)</f>
        <v>1098700</v>
      </c>
      <c r="F296" s="1003">
        <f>VLOOKUP(C296,Pondasi!D35:$K$1146,8,FALSE)</f>
        <v>0</v>
      </c>
      <c r="G296" s="12">
        <f>VLOOKUP(C296,Pondasi!D35:$L$1146,9,FALSE)</f>
        <v>0</v>
      </c>
      <c r="H296" s="374"/>
      <c r="I296" s="16"/>
    </row>
    <row r="297" spans="2:9" ht="24" customHeight="1">
      <c r="B297" s="1033" t="str">
        <f>Pondasi!C583</f>
        <v>2.2.2.3.16</v>
      </c>
      <c r="C297" s="12" t="str">
        <f>VLOOKUP(B297,Pondasi!C:L,2,FALSE)</f>
        <v>Pengeboran 1 m' lubang bored pile φ 50 cm pada tanah berbatu (manual)</v>
      </c>
      <c r="D297" s="9" t="s">
        <v>113</v>
      </c>
      <c r="E297" s="1021">
        <f>VLOOKUP(C297,Pondasi!D34:$J$1163,7,FALSE)</f>
        <v>1648000</v>
      </c>
      <c r="F297" s="1003">
        <f>VLOOKUP(C297,Pondasi!D36:$K$1146,8,FALSE)</f>
        <v>0</v>
      </c>
      <c r="G297" s="12">
        <f>VLOOKUP(C297,Pondasi!D36:$L$1146,9,FALSE)</f>
        <v>0</v>
      </c>
      <c r="H297" s="374"/>
      <c r="I297" s="16"/>
    </row>
    <row r="298" spans="2:9" ht="24" customHeight="1">
      <c r="B298" s="1033" t="str">
        <f>Pondasi!C600</f>
        <v>2.2.2.3.17</v>
      </c>
      <c r="C298" s="12" t="str">
        <f>VLOOKUP(B298,Pondasi!C:L,2,FALSE)</f>
        <v xml:space="preserve">Pengeboran 1 m' lubang bored pile φ 60 cm (mekanis) untuk  bangunan gedung </v>
      </c>
      <c r="D298" s="9" t="s">
        <v>113</v>
      </c>
      <c r="E298" s="1021">
        <f>VLOOKUP(C298,Pondasi!D35:$J$1163,7,FALSE)</f>
        <v>139400</v>
      </c>
      <c r="F298" s="1003">
        <f>VLOOKUP(C298,Pondasi!D37:$K$1146,8,FALSE)</f>
        <v>0</v>
      </c>
      <c r="G298" s="12">
        <f>VLOOKUP(C298,Pondasi!D37:$L$1146,9,FALSE)</f>
        <v>0</v>
      </c>
      <c r="H298" s="374"/>
      <c r="I298" s="16"/>
    </row>
    <row r="299" spans="2:9" ht="24" customHeight="1">
      <c r="B299" s="1033" t="str">
        <f>Pondasi!C616</f>
        <v>2.2.2.3.18</v>
      </c>
      <c r="C299" s="12" t="str">
        <f>VLOOKUP(B299,Pondasi!C:L,2,FALSE)</f>
        <v xml:space="preserve">Pengeboran 1 m' lubang bored pile φ 80 cm (mekanis) untuk  bangunan gedung </v>
      </c>
      <c r="D299" s="9" t="s">
        <v>113</v>
      </c>
      <c r="E299" s="1021">
        <f>VLOOKUP(C299,Pondasi!D36:$J$1163,7,FALSE)</f>
        <v>153300</v>
      </c>
      <c r="F299" s="1003">
        <f>VLOOKUP(C299,Pondasi!D38:$K$1146,8,FALSE)</f>
        <v>0</v>
      </c>
      <c r="G299" s="12">
        <f>VLOOKUP(C299,Pondasi!D38:$L$1146,9,FALSE)</f>
        <v>0</v>
      </c>
      <c r="H299" s="374"/>
      <c r="I299" s="16"/>
    </row>
    <row r="300" spans="2:9" ht="24" customHeight="1">
      <c r="B300" s="1033" t="str">
        <f>Pondasi!C632</f>
        <v>2.2.2.3.19</v>
      </c>
      <c r="C300" s="12" t="str">
        <f>VLOOKUP(B300,Pondasi!C:L,2,FALSE)</f>
        <v xml:space="preserve">Pengeboran 1 m' lubang bored pile φ 100 cm (mekanis) untuk  bangunan gedung </v>
      </c>
      <c r="D300" s="9" t="s">
        <v>113</v>
      </c>
      <c r="E300" s="1021">
        <f>VLOOKUP(C300,Pondasi!D37:$J$1163,7,FALSE)</f>
        <v>167400</v>
      </c>
      <c r="F300" s="1003">
        <f>VLOOKUP(C300,Pondasi!D39:$K$1146,8,FALSE)</f>
        <v>0</v>
      </c>
      <c r="G300" s="12">
        <f>VLOOKUP(C300,Pondasi!D39:$L$1146,9,FALSE)</f>
        <v>0</v>
      </c>
      <c r="H300" s="374"/>
      <c r="I300" s="16"/>
    </row>
    <row r="301" spans="2:9" ht="24" customHeight="1">
      <c r="B301" s="1033" t="str">
        <f>Pondasi!C648</f>
        <v>2.2.2.3.20</v>
      </c>
      <c r="C301" s="12" t="str">
        <f>VLOOKUP(B301,Pondasi!C:L,2,FALSE)</f>
        <v xml:space="preserve">Pengeboran 1 m' lubang bored pile φ 120 cm (mekanis) untuk  bangunan gedung </v>
      </c>
      <c r="D301" s="9" t="s">
        <v>113</v>
      </c>
      <c r="E301" s="1021">
        <f>VLOOKUP(C301,Pondasi!D38:$J$1163,7,FALSE)</f>
        <v>208200</v>
      </c>
      <c r="F301" s="1003">
        <f>VLOOKUP(C301,Pondasi!D40:$K$1146,8,FALSE)</f>
        <v>0</v>
      </c>
      <c r="G301" s="12">
        <f>VLOOKUP(C301,Pondasi!D40:$L$1146,9,FALSE)</f>
        <v>0</v>
      </c>
      <c r="H301" s="374"/>
      <c r="I301" s="16"/>
    </row>
    <row r="302" spans="2:9" ht="24" customHeight="1">
      <c r="B302" s="1032" t="str">
        <f>Pondasi!C665</f>
        <v>2.2.2.4</v>
      </c>
      <c r="C302" s="33" t="str">
        <f>VLOOKUP(B302,Pondasi!C:L,2,FALSE)</f>
        <v xml:space="preserve">Pondasi Tiang Pancang </v>
      </c>
      <c r="D302" s="22"/>
      <c r="E302" s="1021">
        <f>VLOOKUP(C302,Pondasi!D39:$J$1163,7,FALSE)</f>
        <v>0</v>
      </c>
      <c r="F302" s="1003">
        <f>VLOOKUP(C302,Pondasi!D41:$K$1146,8,FALSE)</f>
        <v>0</v>
      </c>
      <c r="G302" s="12">
        <f>VLOOKUP(C302,Pondasi!D41:$L$1146,9,FALSE)</f>
        <v>0</v>
      </c>
      <c r="H302" s="374"/>
      <c r="I302" s="16"/>
    </row>
    <row r="303" spans="2:9" ht="24" customHeight="1">
      <c r="B303" s="1033" t="str">
        <f>Pondasi!C666</f>
        <v>2.2.2.4.1</v>
      </c>
      <c r="C303" s="12" t="str">
        <f>VLOOKUP(B303,Pondasi!C:L,2,FALSE)</f>
        <v xml:space="preserve">Per m' penetrasi Tiang Beton ∆  28 cm secara mekanis </v>
      </c>
      <c r="D303" s="9" t="s">
        <v>113</v>
      </c>
      <c r="E303" s="1021">
        <f>VLOOKUP(C303,Pondasi!D40:$J$1184,7,FALSE)</f>
        <v>89300</v>
      </c>
      <c r="F303" s="1003">
        <f>VLOOKUP(C303,Pondasi!D42:$K$1146,8,FALSE)</f>
        <v>0</v>
      </c>
      <c r="G303" s="12">
        <f>VLOOKUP(C303,Pondasi!D42:$L$1146,9,FALSE)</f>
        <v>0</v>
      </c>
      <c r="H303" s="374"/>
      <c r="I303" s="16"/>
    </row>
    <row r="304" spans="2:9" ht="24" customHeight="1">
      <c r="B304" s="1033" t="str">
        <f>Pondasi!C687</f>
        <v>2.2.2.4.2</v>
      </c>
      <c r="C304" s="12" t="str">
        <f>VLOOKUP(B304,Pondasi!C:L,2,FALSE)</f>
        <v xml:space="preserve">Per m' penetrasi Tiang Beton ∆  32 cm secara mekanis </v>
      </c>
      <c r="D304" s="9" t="s">
        <v>113</v>
      </c>
      <c r="E304" s="1021">
        <f>VLOOKUP(C304,Pondasi!D41:$J$1184,7,FALSE)</f>
        <v>92200</v>
      </c>
      <c r="F304" s="1003">
        <f>VLOOKUP(C304,Pondasi!D43:$K$1146,8,FALSE)</f>
        <v>0</v>
      </c>
      <c r="G304" s="12">
        <f>VLOOKUP(C304,Pondasi!D43:$L$1146,9,FALSE)</f>
        <v>0</v>
      </c>
      <c r="H304" s="374"/>
      <c r="I304" s="16"/>
    </row>
    <row r="305" spans="2:9" ht="24" customHeight="1">
      <c r="B305" s="1033" t="str">
        <f>Pondasi!C707</f>
        <v>2.2.2.4.3</v>
      </c>
      <c r="C305" s="12" t="str">
        <f>VLOOKUP(B305,Pondasi!C:L,2,FALSE)</f>
        <v xml:space="preserve">Per m' penetrasi Tiang Beton persegi 20cm x 20 cm secara mekanis </v>
      </c>
      <c r="D305" s="9" t="s">
        <v>113</v>
      </c>
      <c r="E305" s="1021">
        <f>VLOOKUP(C305,Pondasi!D42:$J$1184,7,FALSE)</f>
        <v>100000</v>
      </c>
      <c r="F305" s="1003">
        <f>VLOOKUP(C305,Pondasi!D44:$K$1146,8,FALSE)</f>
        <v>0</v>
      </c>
      <c r="G305" s="12">
        <f>VLOOKUP(C305,Pondasi!D44:$L$1146,9,FALSE)</f>
        <v>0</v>
      </c>
      <c r="H305" s="374"/>
      <c r="I305" s="16"/>
    </row>
    <row r="306" spans="2:9" ht="24" customHeight="1">
      <c r="B306" s="1033" t="str">
        <f>Pondasi!C726</f>
        <v>2.2.2.4.4</v>
      </c>
      <c r="C306" s="12" t="str">
        <f>VLOOKUP(B306,Pondasi!C:L,2,FALSE)</f>
        <v xml:space="preserve">Per m' penetrasi Tiang Beton persegi 25 cm x 25 cm secara mekanis </v>
      </c>
      <c r="D306" s="9" t="s">
        <v>113</v>
      </c>
      <c r="E306" s="1021">
        <f>VLOOKUP(C306,Pondasi!D43:$J$1184,7,FALSE)</f>
        <v>104300</v>
      </c>
      <c r="F306" s="1003">
        <f>VLOOKUP(C306,Pondasi!D45:$K$1146,8,FALSE)</f>
        <v>0</v>
      </c>
      <c r="G306" s="12">
        <f>VLOOKUP(C306,Pondasi!D45:$L$1146,9,FALSE)</f>
        <v>0</v>
      </c>
      <c r="H306" s="374"/>
      <c r="I306" s="16"/>
    </row>
    <row r="307" spans="2:9" ht="24" customHeight="1">
      <c r="B307" s="1033" t="str">
        <f>Pondasi!C746</f>
        <v>2.2.2.4.5</v>
      </c>
      <c r="C307" s="12" t="str">
        <f>VLOOKUP(B307,Pondasi!C:L,2,FALSE)</f>
        <v xml:space="preserve">Per m' penetrasi Tiang Beton persegi 30 cm x 30 cm secara mekanis </v>
      </c>
      <c r="D307" s="9" t="s">
        <v>113</v>
      </c>
      <c r="E307" s="1021">
        <f>VLOOKUP(C307,Pondasi!D44:$J$1184,7,FALSE)</f>
        <v>106900</v>
      </c>
      <c r="F307" s="1003">
        <f>VLOOKUP(C307,Pondasi!D46:$K$1146,8,FALSE)</f>
        <v>0</v>
      </c>
      <c r="G307" s="12">
        <f>VLOOKUP(C307,Pondasi!D46:$L$1146,9,FALSE)</f>
        <v>0</v>
      </c>
      <c r="H307" s="374"/>
      <c r="I307" s="16"/>
    </row>
    <row r="308" spans="2:9" ht="24" customHeight="1">
      <c r="B308" s="1033" t="str">
        <f>Pondasi!C766</f>
        <v>2.2.2.4.6</v>
      </c>
      <c r="C308" s="12" t="str">
        <f>VLOOKUP(B308,Pondasi!C:L,2,FALSE)</f>
        <v xml:space="preserve">Per m' penetrasi Tiang Beton persegi 35 cm x 35 cm secara mekanis </v>
      </c>
      <c r="D308" s="9" t="s">
        <v>113</v>
      </c>
      <c r="E308" s="1021">
        <f>VLOOKUP(C308,Pondasi!D45:$J$1184,7,FALSE)</f>
        <v>107600</v>
      </c>
      <c r="F308" s="1003">
        <f>VLOOKUP(C308,Pondasi!D47:$K$1146,8,FALSE)</f>
        <v>0</v>
      </c>
      <c r="G308" s="12">
        <f>VLOOKUP(C308,Pondasi!D47:$L$1146,9,FALSE)</f>
        <v>0</v>
      </c>
      <c r="H308" s="374"/>
      <c r="I308" s="16"/>
    </row>
    <row r="309" spans="2:9" ht="24" customHeight="1">
      <c r="B309" s="1033" t="str">
        <f>Pondasi!C786</f>
        <v>2.2.2.4.7</v>
      </c>
      <c r="C309" s="12" t="str">
        <f>VLOOKUP(B309,Pondasi!C:L,2,FALSE)</f>
        <v xml:space="preserve">Per m' penetrasi Tiang Beton persegi 40 cm x 40 cm secara mekanis </v>
      </c>
      <c r="D309" s="9" t="s">
        <v>113</v>
      </c>
      <c r="E309" s="1021">
        <f>VLOOKUP(C309,Pondasi!D46:$J$1184,7,FALSE)</f>
        <v>111600</v>
      </c>
      <c r="F309" s="1003">
        <f>VLOOKUP(C309,Pondasi!D48:$K$1146,8,FALSE)</f>
        <v>0</v>
      </c>
      <c r="G309" s="12">
        <f>VLOOKUP(C309,Pondasi!D48:$L$1146,9,FALSE)</f>
        <v>0</v>
      </c>
      <c r="H309" s="374"/>
      <c r="I309" s="16"/>
    </row>
    <row r="310" spans="2:9" ht="24" customHeight="1">
      <c r="B310" s="1033" t="str">
        <f>Pondasi!C807</f>
        <v>2.2.2.4.8</v>
      </c>
      <c r="C310" s="12" t="str">
        <f>VLOOKUP(B310,Pondasi!C:L,2,FALSE)</f>
        <v xml:space="preserve">Per m' penetrasi Tiang Beton persegi 45 cm x 45 cm secara mekanis </v>
      </c>
      <c r="D310" s="9" t="s">
        <v>113</v>
      </c>
      <c r="E310" s="1021">
        <f>VLOOKUP(C310,Pondasi!D47:$J$1184,7,FALSE)</f>
        <v>115800</v>
      </c>
      <c r="F310" s="1003">
        <f>VLOOKUP(C310,Pondasi!D49:$K$1146,8,FALSE)</f>
        <v>0</v>
      </c>
      <c r="G310" s="12">
        <f>VLOOKUP(C310,Pondasi!D49:$L$1146,9,FALSE)</f>
        <v>0</v>
      </c>
      <c r="H310" s="374"/>
      <c r="I310" s="16"/>
    </row>
    <row r="311" spans="2:9" ht="24" customHeight="1">
      <c r="B311" s="1033" t="str">
        <f>Pondasi!C827</f>
        <v>2.2.2.4.9</v>
      </c>
      <c r="C311" s="12" t="str">
        <f>VLOOKUP(B311,Pondasi!C:L,2,FALSE)</f>
        <v xml:space="preserve">Per m' penetrasi Tiang Beton persegi 50 cm x 50 cm secara mekanis </v>
      </c>
      <c r="D311" s="9" t="s">
        <v>113</v>
      </c>
      <c r="E311" s="1021">
        <f>VLOOKUP(C311,Pondasi!D48:$J$1184,7,FALSE)</f>
        <v>116300</v>
      </c>
      <c r="F311" s="1003">
        <f>VLOOKUP(C311,Pondasi!D50:$K$1146,8,FALSE)</f>
        <v>0</v>
      </c>
      <c r="G311" s="12">
        <f>VLOOKUP(C311,Pondasi!D50:$L$1146,9,FALSE)</f>
        <v>0</v>
      </c>
      <c r="H311" s="374"/>
      <c r="I311" s="16"/>
    </row>
    <row r="312" spans="2:9" ht="24" customHeight="1">
      <c r="B312" s="1033" t="str">
        <f>Pondasi!C847</f>
        <v>2.2.2.4.10</v>
      </c>
      <c r="C312" s="12" t="str">
        <f>VLOOKUP(B312,Pondasi!C:L,2,FALSE)</f>
        <v xml:space="preserve">Per m' penetrasi Spun Pile Diameter 30 cm secara mekanis </v>
      </c>
      <c r="D312" s="9" t="s">
        <v>113</v>
      </c>
      <c r="E312" s="1021">
        <f>VLOOKUP(C312,Pondasi!D49:$J$1184,7,FALSE)</f>
        <v>103600</v>
      </c>
      <c r="F312" s="1003" t="str">
        <f>VLOOKUP(C312,Pondasi!D51:$K$1146,8,FALSE)</f>
        <v>Revisi</v>
      </c>
      <c r="G312" s="12" t="str">
        <f>VLOOKUP(C312,Pondasi!D51:$L$1146,9,FALSE)</f>
        <v xml:space="preserve">Perubahan penambahan dinama bahan dan peralatan </v>
      </c>
      <c r="H312" s="374"/>
      <c r="I312" s="16"/>
    </row>
    <row r="313" spans="2:9" ht="24" customHeight="1">
      <c r="B313" s="1033" t="str">
        <f>Pondasi!C867</f>
        <v>2.2.2.4.11</v>
      </c>
      <c r="C313" s="12" t="str">
        <f>VLOOKUP(B313,Pondasi!C:L,2,FALSE)</f>
        <v xml:space="preserve">Per m' penetrasi Spun Pile Diameter 35 cm secara mekanis </v>
      </c>
      <c r="D313" s="9" t="s">
        <v>113</v>
      </c>
      <c r="E313" s="1021">
        <f>VLOOKUP(C313,Pondasi!D50:$J$1184,7,FALSE)</f>
        <v>106000</v>
      </c>
      <c r="F313" s="1003" t="str">
        <f>VLOOKUP(C313,Pondasi!D52:$K$1146,8,FALSE)</f>
        <v>Revisi</v>
      </c>
      <c r="G313" s="12" t="str">
        <f>VLOOKUP(C313,Pondasi!D52:$L$1146,9,FALSE)</f>
        <v xml:space="preserve">Perubahan penambahan dinama bahan dan peralatan </v>
      </c>
      <c r="H313" s="374"/>
      <c r="I313" s="16"/>
    </row>
    <row r="314" spans="2:9" ht="24" customHeight="1">
      <c r="B314" s="1033" t="str">
        <f>Pondasi!C886</f>
        <v>2.2.2.4.12</v>
      </c>
      <c r="C314" s="12" t="str">
        <f>VLOOKUP(B314,Pondasi!C:L,2,FALSE)</f>
        <v xml:space="preserve">Per m' penetrasi Spun Pile Diameter 40 cm secara mekanis </v>
      </c>
      <c r="D314" s="9" t="s">
        <v>113</v>
      </c>
      <c r="E314" s="1021">
        <f>VLOOKUP(C314,Pondasi!D51:$J$1184,7,FALSE)</f>
        <v>108300</v>
      </c>
      <c r="F314" s="1003" t="str">
        <f>VLOOKUP(C314,Pondasi!D53:$K$1146,8,FALSE)</f>
        <v xml:space="preserve">Revisi </v>
      </c>
      <c r="G314" s="12" t="str">
        <f>VLOOKUP(C314,Pondasi!D53:$L$1146,9,FALSE)</f>
        <v xml:space="preserve">Perubahan penambahan dinama bahan dan peralatan </v>
      </c>
      <c r="H314" s="374"/>
      <c r="I314" s="16"/>
    </row>
    <row r="315" spans="2:9" ht="24" customHeight="1">
      <c r="B315" s="1033" t="str">
        <f>Pondasi!C905</f>
        <v>2.2.2.4.13</v>
      </c>
      <c r="C315" s="12" t="str">
        <f>VLOOKUP(B315,Pondasi!C:L,2,FALSE)</f>
        <v xml:space="preserve">Per m' penetrasi Spun Pile Diameter 45 cm secara mekanis </v>
      </c>
      <c r="D315" s="9" t="s">
        <v>113</v>
      </c>
      <c r="E315" s="1021">
        <f>VLOOKUP(C315,Pondasi!D52:$J$1184,7,FALSE)</f>
        <v>112500</v>
      </c>
      <c r="F315" s="1003" t="str">
        <f>VLOOKUP(C315,Pondasi!D54:$K$1146,8,FALSE)</f>
        <v xml:space="preserve">Revisi </v>
      </c>
      <c r="G315" s="12" t="str">
        <f>VLOOKUP(C315,Pondasi!D54:$L$1146,9,FALSE)</f>
        <v xml:space="preserve">Perubahan penambahan dinama bahan dan peralatan </v>
      </c>
      <c r="H315" s="374"/>
      <c r="I315" s="16"/>
    </row>
    <row r="316" spans="2:9" ht="24" customHeight="1">
      <c r="B316" s="1033" t="str">
        <f>Pondasi!C924</f>
        <v>2.2.2.4.14</v>
      </c>
      <c r="C316" s="12" t="str">
        <f>VLOOKUP(B316,Pondasi!C:L,2,FALSE)</f>
        <v xml:space="preserve">Per m' penetrasi Spun Pile Diameter 50 cm secara mekanis </v>
      </c>
      <c r="D316" s="9" t="s">
        <v>113</v>
      </c>
      <c r="E316" s="1021">
        <f>VLOOKUP(C316,Pondasi!D53:$J$1184,7,FALSE)</f>
        <v>113100</v>
      </c>
      <c r="F316" s="1003" t="str">
        <f>VLOOKUP(C316,Pondasi!D55:$K$1146,8,FALSE)</f>
        <v xml:space="preserve">Revisi </v>
      </c>
      <c r="G316" s="12" t="str">
        <f>VLOOKUP(C316,Pondasi!D55:$L$1146,9,FALSE)</f>
        <v xml:space="preserve">Perubahan penambahan dinama bahan dan peralatan </v>
      </c>
      <c r="H316" s="374"/>
      <c r="I316" s="16"/>
    </row>
    <row r="317" spans="2:9" ht="24" customHeight="1">
      <c r="B317" s="1033" t="str">
        <f>Pondasi!C944</f>
        <v>2.2.2.4.15</v>
      </c>
      <c r="C317" s="12" t="str">
        <f>VLOOKUP(B317,Pondasi!C:L,2,FALSE)</f>
        <v xml:space="preserve">Per m' penetrasi Spun Pile Diameter 60 cm secara mekanis </v>
      </c>
      <c r="D317" s="9" t="s">
        <v>113</v>
      </c>
      <c r="E317" s="1021">
        <f>VLOOKUP(C317,Pondasi!D54:$J$1184,7,FALSE)</f>
        <v>114000</v>
      </c>
      <c r="F317" s="1003" t="str">
        <f>VLOOKUP(C317,Pondasi!D56:$K$1146,8,FALSE)</f>
        <v xml:space="preserve">Revisi </v>
      </c>
      <c r="G317" s="12" t="str">
        <f>VLOOKUP(C317,Pondasi!D56:$L$1146,9,FALSE)</f>
        <v xml:space="preserve">Perubahan penambahan dinama bahan dan peralatan </v>
      </c>
      <c r="H317" s="374"/>
      <c r="I317" s="16"/>
    </row>
    <row r="318" spans="2:9" ht="24" customHeight="1">
      <c r="B318" s="1033" t="str">
        <f>Pondasi!C964</f>
        <v>2.2.2.4.16</v>
      </c>
      <c r="C318" s="12" t="str">
        <f>VLOOKUP(B318,Pondasi!C:L,2,FALSE)</f>
        <v>Per m' Pengelasan Tiang Beton tebal 5 mm</v>
      </c>
      <c r="D318" s="9" t="s">
        <v>113</v>
      </c>
      <c r="E318" s="1021">
        <f>VLOOKUP(C318,Pondasi!D55:$J$1184,7,FALSE)</f>
        <v>18000</v>
      </c>
      <c r="F318" s="1003" t="str">
        <f>VLOOKUP(C318,Pondasi!D57:$K$1146,8,FALSE)</f>
        <v xml:space="preserve">Revisi </v>
      </c>
      <c r="G318" s="12" t="str">
        <f>VLOOKUP(C318,Pondasi!D57:$L$1146,9,FALSE)</f>
        <v>Perubahan di nama Perlatan awalnya Alat Las Listrik jadi Alat Las Listrik 150 A</v>
      </c>
      <c r="H318" s="374"/>
      <c r="I318" s="16"/>
    </row>
    <row r="319" spans="2:9" ht="24" customHeight="1">
      <c r="B319" s="1033" t="str">
        <f>Pondasi!C982</f>
        <v>2.2.2.4.17</v>
      </c>
      <c r="C319" s="12" t="str">
        <f>VLOOKUP(B319,Pondasi!C:L,2,FALSE)</f>
        <v>Per m' Pengelasan Tiang Beton tebal 6 mm</v>
      </c>
      <c r="D319" s="9" t="s">
        <v>113</v>
      </c>
      <c r="E319" s="1021">
        <f>VLOOKUP(C319,Pondasi!D56:$J$1184,7,FALSE)</f>
        <v>25300</v>
      </c>
      <c r="F319" s="1003" t="str">
        <f>VLOOKUP(C319,Pondasi!D58:$K$1146,8,FALSE)</f>
        <v xml:space="preserve">Revisi </v>
      </c>
      <c r="G319" s="12" t="str">
        <f>VLOOKUP(C319,Pondasi!D58:$L$1146,9,FALSE)</f>
        <v>Perubahan di nama Perlatan awalnya Alat Las Listrik jadi Alat Las Listrik 250 A</v>
      </c>
      <c r="H319" s="374"/>
      <c r="I319" s="16"/>
    </row>
    <row r="320" spans="2:9" ht="24" customHeight="1">
      <c r="B320" s="1033" t="str">
        <f>Pondasi!C1001</f>
        <v>2.2.2.4.18</v>
      </c>
      <c r="C320" s="12" t="str">
        <f>VLOOKUP(B320,Pondasi!C:L,2,FALSE)</f>
        <v>Per m' Pengelasan Tiang Beton tebal 8 mm</v>
      </c>
      <c r="D320" s="9" t="s">
        <v>113</v>
      </c>
      <c r="E320" s="1021">
        <f>VLOOKUP(C320,Pondasi!D57:$J$1184,7,FALSE)</f>
        <v>44600</v>
      </c>
      <c r="F320" s="1003" t="str">
        <f>VLOOKUP(C320,Pondasi!D59:$K$1146,8,FALSE)</f>
        <v xml:space="preserve">Revisi </v>
      </c>
      <c r="G320" s="12" t="str">
        <f>VLOOKUP(C320,Pondasi!D59:$L$1146,9,FALSE)</f>
        <v>Perubahan di nama Perlatan awalnya Alat Las Listrik jadi Alat Las Listrik 350 A</v>
      </c>
      <c r="H320" s="374"/>
      <c r="I320" s="16"/>
    </row>
    <row r="321" spans="2:9" ht="24" customHeight="1">
      <c r="B321" s="1033" t="str">
        <f>Pondasi!C1020</f>
        <v>2.2.2.4.19</v>
      </c>
      <c r="C321" s="12" t="str">
        <f>VLOOKUP(B321,Pondasi!C:L,2,FALSE)</f>
        <v>Per m' Pengelasan Tiang Beton tebal 10 mm</v>
      </c>
      <c r="D321" s="9" t="s">
        <v>113</v>
      </c>
      <c r="E321" s="1021">
        <f>VLOOKUP(C321,Pondasi!D58:$J$1184,7,FALSE)</f>
        <v>69300</v>
      </c>
      <c r="F321" s="1003" t="str">
        <f>VLOOKUP(C321,Pondasi!D60:$K$1146,8,FALSE)</f>
        <v xml:space="preserve">Revisi </v>
      </c>
      <c r="G321" s="12" t="str">
        <f>VLOOKUP(C321,Pondasi!D60:$L$1146,9,FALSE)</f>
        <v>Perubahan di nama Perlatan awalnya Alat Las Listrik jadi Alat Las Listrik 350 A</v>
      </c>
      <c r="H321" s="374"/>
      <c r="I321" s="16"/>
    </row>
    <row r="322" spans="2:9" ht="24" customHeight="1">
      <c r="B322" s="1032" t="str">
        <f>Pondasi!C1037</f>
        <v>2.2.2.5</v>
      </c>
      <c r="C322" s="33" t="str">
        <f>VLOOKUP(B322,Pondasi!C:L,2,FALSE)</f>
        <v xml:space="preserve">Concrete Sheet Pile </v>
      </c>
      <c r="D322" s="22"/>
      <c r="E322" s="1025"/>
      <c r="F322" s="1003">
        <f>VLOOKUP(C322,Pondasi!D61:$K$1146,8,FALSE)</f>
        <v>0</v>
      </c>
      <c r="G322" s="12">
        <f>VLOOKUP(C322,Pondasi!D61:$L$1146,9,FALSE)</f>
        <v>0</v>
      </c>
      <c r="H322" s="374"/>
      <c r="I322" s="16"/>
    </row>
    <row r="323" spans="2:9" ht="24" customHeight="1">
      <c r="B323" s="1033" t="str">
        <f>Pondasi!C1039</f>
        <v>2.2.2.5.1</v>
      </c>
      <c r="C323" s="12" t="str">
        <f>VLOOKUP(B323,Pondasi!C:L,2,FALSE)</f>
        <v>Per m' penetrasi turap beton pre-cast 12 x 30 cm , pjg -4 m; berat 100 kg/m'</v>
      </c>
      <c r="D323" s="9" t="s">
        <v>113</v>
      </c>
      <c r="E323" s="1021">
        <f>VLOOKUP(C323,Pondasi!D60:J1204,7,FALSE)</f>
        <v>47400</v>
      </c>
      <c r="F323" s="1003">
        <f>VLOOKUP(C323,Pondasi!D62:$K$1146,8,FALSE)</f>
        <v>0</v>
      </c>
      <c r="G323" s="12">
        <f>VLOOKUP(C323,Pondasi!D62:$L$1146,9,FALSE)</f>
        <v>0</v>
      </c>
      <c r="H323" s="374"/>
      <c r="I323" s="16"/>
    </row>
    <row r="324" spans="2:9" ht="24" customHeight="1">
      <c r="B324" s="1033" t="str">
        <f>Pondasi!C1058</f>
        <v>2.2.2.5.2</v>
      </c>
      <c r="C324" s="12" t="str">
        <f>VLOOKUP(B324,Pondasi!C:L,2,FALSE)</f>
        <v>Per m' penetrasi turap beton pre-cast 15 x 40 cm , pjg -4 m; berat 150 kg/m'</v>
      </c>
      <c r="D324" s="9" t="s">
        <v>113</v>
      </c>
      <c r="E324" s="1021">
        <f>VLOOKUP(C324,Pondasi!D61:J1205,7,FALSE)</f>
        <v>58800</v>
      </c>
      <c r="F324" s="1003">
        <f>VLOOKUP(C324,Pondasi!D63:$K$1146,8,FALSE)</f>
        <v>0</v>
      </c>
      <c r="G324" s="12">
        <f>VLOOKUP(C324,Pondasi!D63:$L$1146,9,FALSE)</f>
        <v>0</v>
      </c>
      <c r="H324" s="374"/>
      <c r="I324" s="16"/>
    </row>
    <row r="325" spans="2:9" ht="24" customHeight="1">
      <c r="B325" s="1033" t="str">
        <f>Pondasi!C1076</f>
        <v>2.2.2.5.3</v>
      </c>
      <c r="C325" s="12" t="str">
        <f>VLOOKUP(B325,Pondasi!C:L,2,FALSE)</f>
        <v>Per m' penetrasi turap beton pre-cast 22 x 50 cm , pjg -4 m; berat 275 kg/m'</v>
      </c>
      <c r="D325" s="9" t="s">
        <v>113</v>
      </c>
      <c r="E325" s="1021">
        <f>VLOOKUP(C325,Pondasi!D62:J1206,7,FALSE)</f>
        <v>78600</v>
      </c>
      <c r="F325" s="1003">
        <f>VLOOKUP(C325,Pondasi!D64:$K$1146,8,FALSE)</f>
        <v>0</v>
      </c>
      <c r="G325" s="12">
        <f>VLOOKUP(C325,Pondasi!D64:$L$1146,9,FALSE)</f>
        <v>0</v>
      </c>
      <c r="H325" s="374"/>
      <c r="I325" s="16"/>
    </row>
    <row r="326" spans="2:9" ht="24" customHeight="1">
      <c r="B326" s="1033" t="str">
        <f>Pondasi!C1094</f>
        <v>2.2.2.5.4</v>
      </c>
      <c r="C326" s="12" t="str">
        <f>VLOOKUP(B326,Pondasi!C:L,2,FALSE)</f>
        <v>Per m' penetrasi turap beton pre-cast 32 x 50 cm , pjg -4 m; berat 400 kg/m'</v>
      </c>
      <c r="D326" s="9" t="s">
        <v>113</v>
      </c>
      <c r="E326" s="1021">
        <f>VLOOKUP(C326,Pondasi!D63:J1207,7,FALSE)</f>
        <v>85700</v>
      </c>
      <c r="F326" s="1003">
        <f>VLOOKUP(C326,Pondasi!D65:$K$1146,8,FALSE)</f>
        <v>0</v>
      </c>
      <c r="G326" s="12">
        <f>VLOOKUP(C326,Pondasi!D65:$L$1146,9,FALSE)</f>
        <v>0</v>
      </c>
      <c r="H326" s="374"/>
      <c r="I326" s="16"/>
    </row>
    <row r="327" spans="2:9" ht="24" customHeight="1">
      <c r="B327" s="1033" t="str">
        <f>Pondasi!C1112</f>
        <v>2.2.2.5.5</v>
      </c>
      <c r="C327" s="12" t="str">
        <f>VLOOKUP(B327,Pondasi!C:L,2,FALSE)</f>
        <v>Per m' penetrasi turap beton tulang  pre-cast W-400; ebar 1,0 m; pjg -4 m; berat 350 kg/m'</v>
      </c>
      <c r="D327" s="9" t="s">
        <v>113</v>
      </c>
      <c r="E327" s="1021">
        <f>VLOOKUP(C327,Pondasi!D64:J1208,7,FALSE)</f>
        <v>105600</v>
      </c>
      <c r="F327" s="1003">
        <f>VLOOKUP(C327,Pondasi!D66:$K$1146,8,FALSE)</f>
        <v>0</v>
      </c>
      <c r="G327" s="12">
        <f>VLOOKUP(C327,Pondasi!D66:$L$1146,9,FALSE)</f>
        <v>0</v>
      </c>
      <c r="H327" s="374"/>
      <c r="I327" s="16"/>
    </row>
    <row r="328" spans="2:9" ht="24" customHeight="1">
      <c r="B328" s="1033" t="str">
        <f>Pondasi!C1130</f>
        <v>2.2.2.5.6</v>
      </c>
      <c r="C328" s="12" t="str">
        <f>VLOOKUP(B328,Pondasi!C:L,2,FALSE)</f>
        <v>Per m' penetrasi turap beton tulang  pre-cast W-600; lebar 1,0 m; pjg -4 m; berat 375 kg/m' (untuk bangunan gedung)</v>
      </c>
      <c r="D328" s="9" t="s">
        <v>113</v>
      </c>
      <c r="E328" s="1021">
        <f>VLOOKUP(C328,Pondasi!D65:J1209,7,FALSE)</f>
        <v>114500</v>
      </c>
      <c r="F328" s="1003">
        <f>VLOOKUP(C328,Pondasi!D67:$K$1146,8,FALSE)</f>
        <v>0</v>
      </c>
      <c r="G328" s="12">
        <f>VLOOKUP(C328,Pondasi!D67:$L$1146,9,FALSE)</f>
        <v>0</v>
      </c>
      <c r="H328" s="374"/>
      <c r="I328" s="16"/>
    </row>
    <row r="329" spans="2:9" ht="24" customHeight="1">
      <c r="B329" s="1034" t="str">
        <f>BAJA!C2</f>
        <v>2.3</v>
      </c>
      <c r="C329" s="984" t="str">
        <f>VLOOKUP(B329,BAJA!C:L,2,FALSE)</f>
        <v xml:space="preserve">PEKERJAAN STRUKTUR BAJA </v>
      </c>
      <c r="D329" s="982"/>
      <c r="E329" s="1023"/>
      <c r="F329" s="1005"/>
      <c r="G329" s="17"/>
      <c r="H329" s="374"/>
      <c r="I329" s="16"/>
    </row>
    <row r="330" spans="2:9" ht="24" customHeight="1">
      <c r="B330" s="1031" t="str">
        <f>BAJA!C3</f>
        <v>2.23.1</v>
      </c>
      <c r="C330" s="41" t="str">
        <f>VLOOKUP(B330,BAJA!C:L,2,FALSE)</f>
        <v xml:space="preserve">Struktur Atas </v>
      </c>
      <c r="D330" s="983"/>
      <c r="E330" s="1024"/>
      <c r="F330" s="1004"/>
      <c r="G330" s="36"/>
      <c r="H330" s="374"/>
      <c r="I330" s="16"/>
    </row>
    <row r="331" spans="2:9" ht="24" customHeight="1">
      <c r="B331" s="1033" t="str">
        <f>BAJA!C4</f>
        <v>2.3.1.1</v>
      </c>
      <c r="C331" s="12" t="str">
        <f>VLOOKUP(B331,BAJA!C:L,2,FALSE)</f>
        <v xml:space="preserve">1 kg Pabrikasi dan Ereksi Baja Profil </v>
      </c>
      <c r="D331" s="9" t="s">
        <v>1044</v>
      </c>
      <c r="E331" s="1021">
        <f>VLOOKUP(C331,BAJA!D2:J118,7,FALSE)</f>
        <v>13800</v>
      </c>
      <c r="F331" s="1003" t="str">
        <f>VLOOKUP(C331,BAJA!D2:L118,8,FALSE)</f>
        <v>Revisi</v>
      </c>
      <c r="G331" s="12" t="str">
        <f>VLOOKUP(C331,BAJA!D2:M118,9,FALSE)</f>
        <v>perubahan di Tukang las di hapus dan Koofisien Baja Profil 1,200 jadi 1,15</v>
      </c>
      <c r="H331" s="374"/>
      <c r="I331" s="16"/>
    </row>
    <row r="332" spans="2:9" ht="24" customHeight="1">
      <c r="B332" s="1033" t="str">
        <f>BAJA!C24</f>
        <v>2.3.1.2</v>
      </c>
      <c r="C332" s="12" t="str">
        <f>VLOOKUP(B332,BAJA!C:L,2,FALSE)</f>
        <v>1 kg Pemasangan angkur</v>
      </c>
      <c r="D332" s="9" t="s">
        <v>1044</v>
      </c>
      <c r="E332" s="1021">
        <f>VLOOKUP(C332,BAJA!D3:J119,7,FALSE)</f>
        <v>30200</v>
      </c>
      <c r="F332" s="1003" t="str">
        <f>VLOOKUP(C332,BAJA!D3:L119,8,FALSE)</f>
        <v>Revisi</v>
      </c>
      <c r="G332" s="12" t="str">
        <f>VLOOKUP(C332,BAJA!D3:M119,9,FALSE)</f>
        <v xml:space="preserve">Perubahan  kepala tukang di hapus dan penambahan bahan kawat las dan alat las listrik  </v>
      </c>
      <c r="H332" s="374"/>
      <c r="I332" s="16"/>
    </row>
    <row r="333" spans="2:9" ht="24" customHeight="1">
      <c r="B333" s="1033" t="str">
        <f>BAJA!C43</f>
        <v>2.3.1.3</v>
      </c>
      <c r="C333" s="12" t="str">
        <f>VLOOKUP(B333,BAJA!C:L,2,FALSE)</f>
        <v>1 kg Pemasangan baut</v>
      </c>
      <c r="D333" s="9" t="s">
        <v>1044</v>
      </c>
      <c r="E333" s="1021">
        <f>VLOOKUP(C333,BAJA!D4:J120,7,FALSE)</f>
        <v>28700</v>
      </c>
      <c r="F333" s="1003">
        <f>VLOOKUP(C333,BAJA!D4:L120,8,FALSE)</f>
        <v>0</v>
      </c>
      <c r="G333" s="12">
        <f>VLOOKUP(C333,BAJA!D4:M120,9,FALSE)</f>
        <v>0</v>
      </c>
      <c r="H333" s="374"/>
      <c r="I333" s="16"/>
    </row>
    <row r="334" spans="2:9" ht="24" customHeight="1">
      <c r="B334" s="1033" t="str">
        <f>BAJA!C62</f>
        <v>2.3.1.4</v>
      </c>
      <c r="C334" s="12" t="str">
        <f>VLOOKUP(B334,BAJA!C:L,2,FALSE)</f>
        <v xml:space="preserve">1 kg pekerjaan  baja pelat secara semi mekanis </v>
      </c>
      <c r="D334" s="9" t="s">
        <v>1044</v>
      </c>
      <c r="E334" s="1021">
        <f>VLOOKUP(C334,BAJA!D5:J121,7,FALSE)</f>
        <v>13600</v>
      </c>
      <c r="F334" s="1003">
        <f>VLOOKUP(C334,BAJA!D5:L121,8,FALSE)</f>
        <v>0</v>
      </c>
      <c r="G334" s="12">
        <f>VLOOKUP(C334,BAJA!D5:M121,9,FALSE)</f>
        <v>0</v>
      </c>
      <c r="H334" s="374"/>
      <c r="I334" s="16"/>
    </row>
    <row r="335" spans="2:9" ht="24" customHeight="1">
      <c r="B335" s="1033" t="str">
        <f>BAJA!C82</f>
        <v>2.3.1.5</v>
      </c>
      <c r="C335" s="12" t="str">
        <f>VLOOKUP(B335,BAJA!C:L,2,FALSE)</f>
        <v>1 kg pekerjaan  baja profil siku dengan pengelasan secara semi mekanis</v>
      </c>
      <c r="D335" s="9" t="s">
        <v>1044</v>
      </c>
      <c r="E335" s="1021">
        <f>VLOOKUP(C335,BAJA!D6:J122,7,FALSE)</f>
        <v>13600</v>
      </c>
      <c r="F335" s="1003">
        <f>VLOOKUP(C335,BAJA!D6:L122,8,FALSE)</f>
        <v>0</v>
      </c>
      <c r="G335" s="12">
        <f>VLOOKUP(C335,BAJA!D6:M122,9,FALSE)</f>
        <v>0</v>
      </c>
      <c r="H335" s="374"/>
      <c r="I335" s="16"/>
    </row>
    <row r="336" spans="2:9" ht="24" customHeight="1">
      <c r="B336" s="1033" t="str">
        <f>BAJA!C102</f>
        <v>2.3.1.6</v>
      </c>
      <c r="C336" s="12" t="str">
        <f>VLOOKUP(B336,BAJA!C:L,2,FALSE)</f>
        <v>1 kg pekerjaan  baja profil siku tanpa pengelasan secara manual</v>
      </c>
      <c r="D336" s="9" t="s">
        <v>1044</v>
      </c>
      <c r="E336" s="1021">
        <f>VLOOKUP(C336,BAJA!D7:J123,7,FALSE)</f>
        <v>8000</v>
      </c>
      <c r="F336" s="1003">
        <f>VLOOKUP(C336,BAJA!D7:L123,8,FALSE)</f>
        <v>0</v>
      </c>
      <c r="G336" s="12">
        <f>VLOOKUP(C336,BAJA!D7:M123,9,FALSE)</f>
        <v>0</v>
      </c>
      <c r="H336" s="374"/>
      <c r="I336" s="16"/>
    </row>
    <row r="337" spans="2:9" ht="24" customHeight="1">
      <c r="B337" s="1031">
        <f>'Beton Pracetak'!C2</f>
        <v>2.4</v>
      </c>
      <c r="C337" s="41" t="str">
        <f>VLOOKUP(B337,'Beton Pracetak'!C:L,2,FALSE)</f>
        <v xml:space="preserve">Pekerjaan Struktur Beton Pracetak </v>
      </c>
      <c r="D337" s="983"/>
      <c r="E337" s="1024"/>
      <c r="F337" s="1005"/>
      <c r="G337" s="17"/>
      <c r="H337" s="374"/>
      <c r="I337" s="16"/>
    </row>
    <row r="338" spans="2:9" ht="24" customHeight="1">
      <c r="B338" s="1035" t="str">
        <f>'Beton Pracetak'!C3</f>
        <v>2.4.1</v>
      </c>
      <c r="C338" s="991" t="str">
        <f>VLOOKUP(B338,'Beton Pracetak'!C:L,2,FALSE)</f>
        <v xml:space="preserve">Pembuatan Bekisting </v>
      </c>
      <c r="D338" s="992"/>
      <c r="E338" s="1036"/>
      <c r="F338" s="1004"/>
      <c r="G338" s="36"/>
      <c r="H338" s="374"/>
      <c r="I338" s="16"/>
    </row>
    <row r="339" spans="2:9" ht="24" customHeight="1">
      <c r="B339" s="1033" t="str">
        <f>'Beton Pracetak'!C4</f>
        <v>2.4.1.1</v>
      </c>
      <c r="C339" s="12" t="str">
        <f>VLOOKUP(B339,'Beton Pracetak'!C:L,2,FALSE)</f>
        <v>Pembuatan 1 m2 Bekisting untuk pelat Beton Pracetak Komponen Modular Bangunan gedung ( 5kali pakai )</v>
      </c>
      <c r="D339" s="9" t="s">
        <v>62</v>
      </c>
      <c r="E339" s="1021">
        <f>VLOOKUP(C339,'Beton Pracetak'!$D$2:$J$470,7,FALSE)</f>
        <v>192700</v>
      </c>
      <c r="F339" s="1003">
        <f>VLOOKUP(C339,'Beton Pracetak'!$D$2:$K$470,8,FALSE)</f>
        <v>0</v>
      </c>
      <c r="G339" s="12">
        <f>VLOOKUP(C339,'Beton Pracetak'!$D$2:$L$470,9,FALSE)</f>
        <v>0</v>
      </c>
      <c r="H339" s="374"/>
      <c r="I339" s="16"/>
    </row>
    <row r="340" spans="2:9" ht="24" customHeight="1">
      <c r="B340" s="1033" t="str">
        <f>'Beton Pracetak'!C27</f>
        <v>2.4.1.2</v>
      </c>
      <c r="C340" s="12" t="str">
        <f>VLOOKUP(B340,'Beton Pracetak'!C:L,2,FALSE)</f>
        <v>Pembuatan 1 m2 Bekisting untuk balok Beton Pracetak ( 10 - 12 kali pakai )</v>
      </c>
      <c r="D340" s="9" t="s">
        <v>62</v>
      </c>
      <c r="E340" s="1021">
        <f>VLOOKUP(C340,'Beton Pracetak'!$D$2:$J$470,7,FALSE)</f>
        <v>37800</v>
      </c>
      <c r="F340" s="1003">
        <f>VLOOKUP(C340,'Beton Pracetak'!$D$2:$K$470,8,FALSE)</f>
        <v>0</v>
      </c>
      <c r="G340" s="12">
        <f>VLOOKUP(C340,'Beton Pracetak'!$D$2:$L$470,9,FALSE)</f>
        <v>0</v>
      </c>
      <c r="H340" s="374"/>
      <c r="I340" s="16"/>
    </row>
    <row r="341" spans="2:9" ht="24" customHeight="1">
      <c r="B341" s="1033" t="str">
        <f>'Beton Pracetak'!C49</f>
        <v>2.4.1.3</v>
      </c>
      <c r="C341" s="12" t="str">
        <f>VLOOKUP(B341,'Beton Pracetak'!C:L,2,FALSE)</f>
        <v>Pembuatan 1 m2 Bekisting untuk kolom Beton Pracetak ( 10 - 12 kali pakai )</v>
      </c>
      <c r="D341" s="9" t="s">
        <v>62</v>
      </c>
      <c r="E341" s="1021">
        <f>VLOOKUP(C341,'Beton Pracetak'!$D$2:$J$470,7,FALSE)</f>
        <v>25400</v>
      </c>
      <c r="F341" s="1003">
        <f>VLOOKUP(C341,'Beton Pracetak'!$D$2:$K$470,8,FALSE)</f>
        <v>0</v>
      </c>
      <c r="G341" s="12">
        <f>VLOOKUP(C341,'Beton Pracetak'!$D$2:$L$470,9,FALSE)</f>
        <v>0</v>
      </c>
      <c r="H341" s="374"/>
      <c r="I341" s="16"/>
    </row>
    <row r="342" spans="2:9" ht="24" customHeight="1">
      <c r="B342" s="1033" t="str">
        <f>'Beton Pracetak'!C71</f>
        <v>2.4.1.4</v>
      </c>
      <c r="C342" s="12" t="str">
        <f>VLOOKUP(B342,'Beton Pracetak'!C:L,2,FALSE)</f>
        <v>Pemasangan 1 titik bekisting joint pracetak</v>
      </c>
      <c r="D342" s="9" t="s">
        <v>62</v>
      </c>
      <c r="E342" s="1021">
        <f>VLOOKUP(C342,'Beton Pracetak'!$D$2:$J$470,7,FALSE)</f>
        <v>48800</v>
      </c>
      <c r="F342" s="1003">
        <f>VLOOKUP(C342,'Beton Pracetak'!$D$2:$K$470,8,FALSE)</f>
        <v>0</v>
      </c>
      <c r="G342" s="12">
        <f>VLOOKUP(C342,'Beton Pracetak'!$D$2:$L$470,9,FALSE)</f>
        <v>0</v>
      </c>
      <c r="H342" s="374"/>
      <c r="I342" s="16"/>
    </row>
    <row r="343" spans="2:9" ht="24" customHeight="1">
      <c r="B343" s="1035" t="str">
        <f>'Beton Pracetak'!C90</f>
        <v>2.4.2</v>
      </c>
      <c r="C343" s="991" t="str">
        <f>VLOOKUP(B343,'Beton Pracetak'!C:L,2,FALSE)</f>
        <v xml:space="preserve">Pemasangan dan Membuka Cetakan </v>
      </c>
      <c r="D343" s="992"/>
      <c r="E343" s="1036"/>
      <c r="F343" s="1004">
        <f>VLOOKUP(C343,'Beton Pracetak'!$D$2:$K$470,8,FALSE)</f>
        <v>0</v>
      </c>
      <c r="G343" s="36">
        <f>VLOOKUP(C343,'Beton Pracetak'!$D$2:$L$470,9,FALSE)</f>
        <v>0</v>
      </c>
      <c r="H343" s="374"/>
      <c r="I343" s="16"/>
    </row>
    <row r="344" spans="2:9" ht="24" customHeight="1">
      <c r="B344" s="1033" t="str">
        <f>'Beton Pracetak'!C91</f>
        <v xml:space="preserve">2.4.2.1 </v>
      </c>
      <c r="C344" s="12" t="str">
        <f>VLOOKUP(B344,'Beton Pracetak'!C:L,2,FALSE)</f>
        <v xml:space="preserve">Pemasangan dan membuka cetakan 1 buah komponen pelat beton pracetak </v>
      </c>
      <c r="D344" s="9" t="s">
        <v>44</v>
      </c>
      <c r="E344" s="1021">
        <f>VLOOKUP(C344,'Beton Pracetak'!$D$2:$J$470,7,FALSE)</f>
        <v>9000</v>
      </c>
      <c r="F344" s="1003">
        <f>VLOOKUP(C344,'Beton Pracetak'!$D$2:$K$470,8,FALSE)</f>
        <v>0</v>
      </c>
      <c r="G344" s="12">
        <f>VLOOKUP(C344,'Beton Pracetak'!$D$2:$L$470,9,FALSE)</f>
        <v>0</v>
      </c>
      <c r="H344" s="374"/>
      <c r="I344" s="16"/>
    </row>
    <row r="345" spans="2:9" ht="24" customHeight="1">
      <c r="B345" s="1033" t="str">
        <f>'Beton Pracetak'!C108</f>
        <v>2.4.2.2</v>
      </c>
      <c r="C345" s="12" t="str">
        <f>VLOOKUP(B345,'Beton Pracetak'!C:L,2,FALSE)</f>
        <v xml:space="preserve">Pemasangan dan membuka cetakan 1 buah komponen balok beton pracetak </v>
      </c>
      <c r="D345" s="9" t="s">
        <v>44</v>
      </c>
      <c r="E345" s="1021">
        <f>VLOOKUP(C345,'Beton Pracetak'!$D$2:$J$470,7,FALSE)</f>
        <v>14900</v>
      </c>
      <c r="F345" s="1003">
        <f>VLOOKUP(C345,'Beton Pracetak'!$D$2:$K$470,8,FALSE)</f>
        <v>0</v>
      </c>
      <c r="G345" s="12">
        <f>VLOOKUP(C345,'Beton Pracetak'!$D$2:$L$470,9,FALSE)</f>
        <v>0</v>
      </c>
      <c r="H345" s="374"/>
      <c r="I345" s="16"/>
    </row>
    <row r="346" spans="2:9" ht="24" customHeight="1">
      <c r="B346" s="1033" t="str">
        <f>'Beton Pracetak'!C126</f>
        <v>2.4.2.3</v>
      </c>
      <c r="C346" s="12" t="str">
        <f>VLOOKUP(B346,'Beton Pracetak'!C:L,2,FALSE)</f>
        <v xml:space="preserve">Pemasangan dan membuka cetakan 1 buah komponen kolom beton pracetak </v>
      </c>
      <c r="D346" s="9" t="s">
        <v>44</v>
      </c>
      <c r="E346" s="1021">
        <f>VLOOKUP(C346,'Beton Pracetak'!$D$2:$J$470,7,FALSE)</f>
        <v>11800</v>
      </c>
      <c r="F346" s="1003">
        <f>VLOOKUP(C346,'Beton Pracetak'!$D$2:$K$470,8,FALSE)</f>
        <v>0</v>
      </c>
      <c r="G346" s="12">
        <f>VLOOKUP(C346,'Beton Pracetak'!$D$2:$L$470,9,FALSE)</f>
        <v>0</v>
      </c>
      <c r="H346" s="374"/>
      <c r="I346" s="16"/>
    </row>
    <row r="347" spans="2:9" ht="24" customHeight="1">
      <c r="B347" s="1035" t="str">
        <f>'Beton Pracetak'!C143</f>
        <v>2.4.3</v>
      </c>
      <c r="C347" s="991" t="str">
        <f>VLOOKUP(B347,'Beton Pracetak'!C:L,2,FALSE)</f>
        <v>Penuangan / Menebar Beton</v>
      </c>
      <c r="D347" s="992"/>
      <c r="E347" s="1036"/>
      <c r="F347" s="1004">
        <f>VLOOKUP(C347,'Beton Pracetak'!$D$2:$K$470,8,FALSE)</f>
        <v>0</v>
      </c>
      <c r="G347" s="36">
        <f>VLOOKUP(C347,'Beton Pracetak'!$D$2:$L$470,9,FALSE)</f>
        <v>0</v>
      </c>
      <c r="H347" s="374"/>
      <c r="I347" s="16"/>
    </row>
    <row r="348" spans="2:9" ht="24" customHeight="1">
      <c r="B348" s="1033" t="str">
        <f>'Beton Pracetak'!C144</f>
        <v>2.4.3.1</v>
      </c>
      <c r="C348" s="12" t="str">
        <f>VLOOKUP(B348,'Beton Pracetak'!C:L,2,FALSE)</f>
        <v xml:space="preserve">Penuangan / Menebar Beton 1 m3 untuk Pelat Beton Pracetak </v>
      </c>
      <c r="D348" s="9" t="s">
        <v>42</v>
      </c>
      <c r="E348" s="1021">
        <f>VLOOKUP(C348,'Beton Pracetak'!$D$2:$J$470,7,FALSE)</f>
        <v>71200</v>
      </c>
      <c r="F348" s="1003">
        <f>VLOOKUP(C348,'Beton Pracetak'!$D$2:$K$470,8,FALSE)</f>
        <v>0</v>
      </c>
      <c r="G348" s="12">
        <f>VLOOKUP(C348,'Beton Pracetak'!$D$2:$L$470,9,FALSE)</f>
        <v>0</v>
      </c>
      <c r="H348" s="374"/>
      <c r="I348" s="16"/>
    </row>
    <row r="349" spans="2:9" ht="24" customHeight="1">
      <c r="B349" s="1033" t="str">
        <f>'Beton Pracetak'!C162</f>
        <v>2.4.3.2</v>
      </c>
      <c r="C349" s="12" t="str">
        <f>VLOOKUP(B349,'Beton Pracetak'!C:L,2,FALSE)</f>
        <v xml:space="preserve">Penuangan / Menebar Beton 1 m3 untuk Balok Beton Pracetak </v>
      </c>
      <c r="D349" s="9" t="s">
        <v>42</v>
      </c>
      <c r="E349" s="1021">
        <f>VLOOKUP(C349,'Beton Pracetak'!$D$2:$J$470,7,FALSE)</f>
        <v>73700</v>
      </c>
      <c r="F349" s="1003">
        <f>VLOOKUP(C349,'Beton Pracetak'!$D$2:$K$470,8,FALSE)</f>
        <v>0</v>
      </c>
      <c r="G349" s="12">
        <f>VLOOKUP(C349,'Beton Pracetak'!$D$2:$L$470,9,FALSE)</f>
        <v>0</v>
      </c>
      <c r="H349" s="374"/>
      <c r="I349" s="16"/>
    </row>
    <row r="350" spans="2:9" ht="24" customHeight="1">
      <c r="B350" s="1033" t="str">
        <f>'Beton Pracetak'!C180</f>
        <v>2.4.3.3</v>
      </c>
      <c r="C350" s="12" t="str">
        <f>VLOOKUP(B350,'Beton Pracetak'!C:L,2,FALSE)</f>
        <v xml:space="preserve">Penuangan / Menebar Beton 1 m3 untuk KOLOM Beton Pracetak </v>
      </c>
      <c r="D350" s="9" t="s">
        <v>42</v>
      </c>
      <c r="E350" s="1021">
        <f>VLOOKUP(C350,'Beton Pracetak'!$D$2:$J$470,7,FALSE)</f>
        <v>65100</v>
      </c>
      <c r="F350" s="1003">
        <f>VLOOKUP(C350,'Beton Pracetak'!$D$2:$K$470,8,FALSE)</f>
        <v>0</v>
      </c>
      <c r="G350" s="12">
        <f>VLOOKUP(C350,'Beton Pracetak'!$D$2:$L$470,9,FALSE)</f>
        <v>0</v>
      </c>
      <c r="H350" s="374"/>
      <c r="I350" s="16"/>
    </row>
    <row r="351" spans="2:9" ht="24" customHeight="1">
      <c r="B351" s="1035" t="str">
        <f>'Beton Pracetak'!C199</f>
        <v>2.4.4</v>
      </c>
      <c r="C351" s="991" t="str">
        <f>VLOOKUP(B351,'Beton Pracetak'!C:L,2,FALSE)</f>
        <v xml:space="preserve">Pemindahan Komponen Pracetak </v>
      </c>
      <c r="D351" s="992"/>
      <c r="E351" s="1036"/>
      <c r="F351" s="1004">
        <f>VLOOKUP(C351,'Beton Pracetak'!$D$2:$K$470,8,FALSE)</f>
        <v>0</v>
      </c>
      <c r="G351" s="36">
        <f>VLOOKUP(C351,'Beton Pracetak'!$D$2:$L$470,9,FALSE)</f>
        <v>0</v>
      </c>
      <c r="H351" s="374"/>
      <c r="I351" s="16"/>
    </row>
    <row r="352" spans="2:9" ht="24" customHeight="1">
      <c r="B352" s="1033" t="str">
        <f>'Beton Pracetak'!C200</f>
        <v>2.4.4.1</v>
      </c>
      <c r="C352" s="12" t="str">
        <f>VLOOKUP(B352,'Beton Pracetak'!C:L,2,FALSE)</f>
        <v>Pemindahan 1 buah Komponen untuk Pelat Pracetak (± 20 m)</v>
      </c>
      <c r="D352" s="9" t="s">
        <v>44</v>
      </c>
      <c r="E352" s="1021">
        <f>VLOOKUP(C352,'Beton Pracetak'!$D$2:$J$470,7,FALSE)</f>
        <v>78400</v>
      </c>
      <c r="F352" s="1003">
        <f>VLOOKUP(C352,'Beton Pracetak'!$D$2:$K$470,8,FALSE)</f>
        <v>0</v>
      </c>
      <c r="G352" s="12">
        <f>VLOOKUP(C352,'Beton Pracetak'!$D$2:$L$470,9,FALSE)</f>
        <v>0</v>
      </c>
      <c r="H352" s="374"/>
      <c r="I352" s="16"/>
    </row>
    <row r="353" spans="2:9" ht="24" customHeight="1">
      <c r="B353" s="1033" t="str">
        <f>'Beton Pracetak'!C217</f>
        <v>2.4.4.2</v>
      </c>
      <c r="C353" s="12" t="str">
        <f>VLOOKUP(B353,'Beton Pracetak'!C:L,2,FALSE)</f>
        <v>Pemindahan 1 buah Komponen untuk Balok Pracetak (± 20 m)</v>
      </c>
      <c r="D353" s="9" t="s">
        <v>44</v>
      </c>
      <c r="E353" s="1021">
        <f>VLOOKUP(C353,'Beton Pracetak'!$D$2:$J$470,7,FALSE)</f>
        <v>78400</v>
      </c>
      <c r="F353" s="1003">
        <f>VLOOKUP(C353,'Beton Pracetak'!$D$2:$K$470,8,FALSE)</f>
        <v>0</v>
      </c>
      <c r="G353" s="12">
        <f>VLOOKUP(C353,'Beton Pracetak'!$D$2:$L$470,9,FALSE)</f>
        <v>0</v>
      </c>
      <c r="H353" s="374"/>
      <c r="I353" s="16"/>
    </row>
    <row r="354" spans="2:9" ht="24" customHeight="1">
      <c r="B354" s="1033" t="str">
        <f>'Beton Pracetak'!C234</f>
        <v>2.4.4.3</v>
      </c>
      <c r="C354" s="12" t="str">
        <f>VLOOKUP(B354,'Beton Pracetak'!C:L,2,FALSE)</f>
        <v>Pemindahan 1 buah Komponen untuk Kolom Pracetak (± 20 m)</v>
      </c>
      <c r="D354" s="9" t="s">
        <v>44</v>
      </c>
      <c r="E354" s="1021">
        <f>VLOOKUP(C354,'Beton Pracetak'!$D$2:$J$470,7,FALSE)</f>
        <v>78400</v>
      </c>
      <c r="F354" s="1003">
        <f>VLOOKUP(C354,'Beton Pracetak'!$D$2:$K$470,8,FALSE)</f>
        <v>0</v>
      </c>
      <c r="G354" s="12">
        <f>VLOOKUP(C354,'Beton Pracetak'!$D$2:$L$470,9,FALSE)</f>
        <v>0</v>
      </c>
      <c r="H354" s="374"/>
      <c r="I354" s="16"/>
    </row>
    <row r="355" spans="2:9" ht="24" customHeight="1">
      <c r="B355" s="1035" t="str">
        <f>'Beton Pracetak'!C251</f>
        <v>2.4.5</v>
      </c>
      <c r="C355" s="991" t="str">
        <f>VLOOKUP(B355,'Beton Pracetak'!C:L,2,FALSE)</f>
        <v xml:space="preserve">Pemasagan dan Ereksi Komponen Pracetak </v>
      </c>
      <c r="D355" s="992"/>
      <c r="E355" s="1036"/>
      <c r="F355" s="1004">
        <f>VLOOKUP(C355,'Beton Pracetak'!$D$2:$K$470,8,FALSE)</f>
        <v>0</v>
      </c>
      <c r="G355" s="36">
        <f>VLOOKUP(C355,'Beton Pracetak'!$D$2:$L$470,9,FALSE)</f>
        <v>0</v>
      </c>
      <c r="H355" s="374"/>
      <c r="I355" s="16"/>
    </row>
    <row r="356" spans="2:9" ht="24" customHeight="1">
      <c r="B356" s="1037" t="str">
        <f>'Beton Pracetak'!C252</f>
        <v>2.4.5.1</v>
      </c>
      <c r="C356" s="285" t="str">
        <f>VLOOKUP(B356,'Beton Pracetak'!C:L,2,FALSE)</f>
        <v xml:space="preserve">Pemasangan 1 buah Komponen untuk Pelat Beton Pracetak Beserta Indeks Kenaikan Lantai Ereksi Pelat  Hingga 24 Lantai </v>
      </c>
      <c r="D356" s="176" t="s">
        <v>44</v>
      </c>
      <c r="E356" s="1038">
        <f>VLOOKUP(C356,'Beton Pracetak'!$D$2:$J$470,7,FALSE)</f>
        <v>308300</v>
      </c>
      <c r="F356" s="1003">
        <f>VLOOKUP(C356,'Beton Pracetak'!$D$2:$K$470,8,FALSE)</f>
        <v>0</v>
      </c>
      <c r="G356" s="12">
        <f>VLOOKUP(C356,'Beton Pracetak'!$D$2:$L$470,9,FALSE)</f>
        <v>0</v>
      </c>
      <c r="H356" s="374"/>
      <c r="I356" s="16"/>
    </row>
    <row r="357" spans="2:9" ht="24" customHeight="1">
      <c r="B357" s="1037" t="str">
        <f>'Beton Pracetak'!C273</f>
        <v>2.4.5.2</v>
      </c>
      <c r="C357" s="285" t="str">
        <f>VLOOKUP(B357,'Beton Pracetak'!C:L,2,FALSE)</f>
        <v xml:space="preserve">Pemasangan 1 buah Komponen untuk Balok  Pracetak Beserta Indeks Kenaikan Lantai Ereksi Pelat  Hingga 24 Lantai </v>
      </c>
      <c r="D357" s="176" t="s">
        <v>2167</v>
      </c>
      <c r="E357" s="1038">
        <f>VLOOKUP(C357,'Beton Pracetak'!$D$2:$J$470,7,FALSE)</f>
        <v>280500</v>
      </c>
      <c r="F357" s="1003">
        <f>VLOOKUP(C357,'Beton Pracetak'!$D$2:$K$470,8,FALSE)</f>
        <v>0</v>
      </c>
      <c r="G357" s="12">
        <f>VLOOKUP(C357,'Beton Pracetak'!$D$2:$L$470,9,FALSE)</f>
        <v>0</v>
      </c>
      <c r="H357" s="374"/>
      <c r="I357" s="16"/>
    </row>
    <row r="358" spans="2:9" ht="24" customHeight="1">
      <c r="B358" s="1037" t="str">
        <f>'Beton Pracetak'!C292</f>
        <v>2.4.5.3</v>
      </c>
      <c r="C358" s="285" t="str">
        <f>VLOOKUP(B358,'Beton Pracetak'!C:L,2,FALSE)</f>
        <v xml:space="preserve">Ereksi 1 buah komponen untuk pelat pracetak </v>
      </c>
      <c r="D358" s="176" t="s">
        <v>2167</v>
      </c>
      <c r="E358" s="1038">
        <f>VLOOKUP(C358,'Beton Pracetak'!$D$2:$J$470,7,FALSE)</f>
        <v>308000</v>
      </c>
      <c r="F358" s="1003">
        <f>VLOOKUP(C358,'Beton Pracetak'!$D$2:$K$470,8,FALSE)</f>
        <v>0</v>
      </c>
      <c r="G358" s="12">
        <f>VLOOKUP(C358,'Beton Pracetak'!$D$2:$L$470,9,FALSE)</f>
        <v>0</v>
      </c>
      <c r="H358" s="374"/>
      <c r="I358" s="16"/>
    </row>
    <row r="359" spans="2:9" ht="24" customHeight="1">
      <c r="B359" s="1037" t="str">
        <f>'Beton Pracetak'!C312</f>
        <v>2.4.5.4</v>
      </c>
      <c r="C359" s="285" t="str">
        <f>VLOOKUP(B359,'Beton Pracetak'!C:L,2,FALSE)</f>
        <v xml:space="preserve">Ereksi 1 buah komponen untuk balok pracetak </v>
      </c>
      <c r="D359" s="176" t="s">
        <v>2167</v>
      </c>
      <c r="E359" s="1038">
        <f>VLOOKUP(C359,'Beton Pracetak'!$D$2:$J$470,7,FALSE)</f>
        <v>280500</v>
      </c>
      <c r="F359" s="1003">
        <f>VLOOKUP(C359,'Beton Pracetak'!$D$2:$K$470,8,FALSE)</f>
        <v>0</v>
      </c>
      <c r="G359" s="12">
        <f>VLOOKUP(C359,'Beton Pracetak'!$D$2:$L$470,9,FALSE)</f>
        <v>0</v>
      </c>
      <c r="H359" s="374"/>
      <c r="I359" s="16"/>
    </row>
    <row r="360" spans="2:9" ht="24" customHeight="1">
      <c r="B360" s="1037" t="str">
        <f>'Beton Pracetak'!C333</f>
        <v>2.4.5.5</v>
      </c>
      <c r="C360" s="285" t="str">
        <f>VLOOKUP(B360,'Beton Pracetak'!C:L,2,FALSE)</f>
        <v xml:space="preserve">Ereksi 1 buah komponen untuk kolom pracetak </v>
      </c>
      <c r="D360" s="176" t="s">
        <v>2167</v>
      </c>
      <c r="E360" s="1038">
        <f>VLOOKUP(C360,'Beton Pracetak'!$D$2:$J$470,7,FALSE)</f>
        <v>382300</v>
      </c>
      <c r="F360" s="1003">
        <f>VLOOKUP(C360,'Beton Pracetak'!$D$2:$K$470,8,FALSE)</f>
        <v>0</v>
      </c>
      <c r="G360" s="12">
        <f>VLOOKUP(C360,'Beton Pracetak'!$D$2:$L$470,9,FALSE)</f>
        <v>0</v>
      </c>
      <c r="H360" s="374"/>
      <c r="I360" s="16"/>
    </row>
    <row r="361" spans="2:9" ht="24" customHeight="1">
      <c r="B361" s="1037" t="str">
        <f>'Beton Pracetak'!C354</f>
        <v>2.4.5.6</v>
      </c>
      <c r="C361" s="285" t="str">
        <f>VLOOKUP(B361,'Beton Pracetak'!C:L,2,FALSE)</f>
        <v xml:space="preserve">Upah 1 tititk pekerjaan Grout pada Joint Beton Pracetak </v>
      </c>
      <c r="D361" s="176" t="s">
        <v>5250</v>
      </c>
      <c r="E361" s="1038">
        <f>VLOOKUP(C361,'Beton Pracetak'!$D$2:$J$470,7,FALSE)</f>
        <v>71100</v>
      </c>
      <c r="F361" s="1003">
        <f>VLOOKUP(C361,'Beton Pracetak'!$D$2:$K$470,8,FALSE)</f>
        <v>0</v>
      </c>
      <c r="G361" s="12">
        <f>VLOOKUP(C361,'Beton Pracetak'!$D$2:$L$470,9,FALSE)</f>
        <v>0</v>
      </c>
      <c r="H361" s="374"/>
      <c r="I361" s="16"/>
    </row>
    <row r="362" spans="2:9" ht="24" customHeight="1">
      <c r="B362" s="1037" t="str">
        <f>'Beton Pracetak'!C370</f>
        <v>2.4.5.7</v>
      </c>
      <c r="C362" s="285" t="str">
        <f>VLOOKUP(B362,'Beton Pracetak'!C:L,2,FALSE)</f>
        <v xml:space="preserve">Upah 1 titik joint dengan sling </v>
      </c>
      <c r="D362" s="176" t="s">
        <v>5250</v>
      </c>
      <c r="E362" s="1038">
        <f>VLOOKUP(C362,'Beton Pracetak'!$D$2:$J$470,7,FALSE)</f>
        <v>72900</v>
      </c>
      <c r="F362" s="1003">
        <f>VLOOKUP(C362,'Beton Pracetak'!$D$2:$K$470,8,FALSE)</f>
        <v>0</v>
      </c>
      <c r="G362" s="12">
        <f>VLOOKUP(C362,'Beton Pracetak'!$D$2:$L$470,9,FALSE)</f>
        <v>0</v>
      </c>
      <c r="H362" s="374"/>
      <c r="I362" s="16"/>
    </row>
    <row r="363" spans="2:9" ht="24" customHeight="1">
      <c r="B363" s="1035" t="str">
        <f>'Beton Pracetak'!C387</f>
        <v>2.4.6</v>
      </c>
      <c r="C363" s="991" t="str">
        <f>VLOOKUP(B363,'Beton Pracetak'!C:L,2,FALSE)</f>
        <v xml:space="preserve">Produksi Lahan </v>
      </c>
      <c r="D363" s="992"/>
      <c r="E363" s="1036"/>
      <c r="F363" s="1004">
        <f>VLOOKUP(C363,'Beton Pracetak'!$D$2:$K$470,8,FALSE)</f>
        <v>0</v>
      </c>
      <c r="G363" s="36">
        <f>VLOOKUP(C363,'Beton Pracetak'!$D$2:$L$470,9,FALSE)</f>
        <v>0</v>
      </c>
      <c r="H363" s="374"/>
      <c r="I363" s="16"/>
    </row>
    <row r="364" spans="2:9" ht="24" customHeight="1">
      <c r="B364" s="1037" t="str">
        <f>'Beton Pracetak'!C388</f>
        <v>2.4.6.1</v>
      </c>
      <c r="C364" s="285" t="str">
        <f>VLOOKUP(B364,'Beton Pracetak'!C:L,2,FALSE)</f>
        <v>Pembuatan 1 m2 lahan produksi tebal 8 cm beton fc' = 14.5 Mpa, slump ( 120 ± 20) mm</v>
      </c>
      <c r="D364" s="176" t="s">
        <v>62</v>
      </c>
      <c r="E364" s="1038">
        <f>VLOOKUP(C364,'Beton Pracetak'!$D$2:$J$470,7,FALSE)</f>
        <v>80800</v>
      </c>
      <c r="F364" s="1003">
        <f>VLOOKUP(C364,'Beton Pracetak'!$D$2:$K$470,8,FALSE)</f>
        <v>0</v>
      </c>
      <c r="G364" s="12">
        <f>VLOOKUP(C364,'Beton Pracetak'!$D$2:$L$470,9,FALSE)</f>
        <v>0</v>
      </c>
      <c r="H364" s="374"/>
      <c r="I364" s="16"/>
    </row>
    <row r="365" spans="2:9" ht="24" customHeight="1">
      <c r="B365" s="1037" t="str">
        <f>'Beton Pracetak'!C409</f>
        <v>2.4.6.2</v>
      </c>
      <c r="C365" s="285" t="str">
        <f>VLOOKUP(B365,'Beton Pracetak'!C:L,2,FALSE)</f>
        <v>Pembuatan 1 m2 lahan produksi tebal 10 cm beton fc' = 14.5 Mpa, slump ( 120 ± 20) mm</v>
      </c>
      <c r="D365" s="176" t="s">
        <v>62</v>
      </c>
      <c r="E365" s="1038">
        <f>VLOOKUP(C365,'Beton Pracetak'!$D$2:$J$470,7,FALSE)</f>
        <v>101100</v>
      </c>
      <c r="F365" s="1003">
        <f>VLOOKUP(C365,'Beton Pracetak'!$D$2:$K$470,8,FALSE)</f>
        <v>0</v>
      </c>
      <c r="G365" s="12">
        <f>VLOOKUP(C365,'Beton Pracetak'!$D$2:$L$470,9,FALSE)</f>
        <v>0</v>
      </c>
      <c r="H365" s="374"/>
      <c r="I365" s="16"/>
    </row>
    <row r="366" spans="2:9" ht="24" customHeight="1">
      <c r="B366" s="1037" t="str">
        <f>'Beton Pracetak'!C430</f>
        <v>2.4.6.3</v>
      </c>
      <c r="C366" s="285" t="str">
        <f>VLOOKUP(B366,'Beton Pracetak'!C:L,2,FALSE)</f>
        <v>Pembuatan 1 m2 lahan produksi tebal 12 cm beton fc' = 14.5 Mpa, slump ( 120 ± 20) mm</v>
      </c>
      <c r="D366" s="176" t="s">
        <v>62</v>
      </c>
      <c r="E366" s="1038">
        <f>VLOOKUP(C366,'Beton Pracetak'!$D$2:$J$470,7,FALSE)</f>
        <v>121100</v>
      </c>
      <c r="F366" s="1003">
        <f>VLOOKUP(C366,'Beton Pracetak'!$D$2:$K$470,8,FALSE)</f>
        <v>0</v>
      </c>
      <c r="G366" s="12">
        <f>VLOOKUP(C366,'Beton Pracetak'!$D$2:$L$470,9,FALSE)</f>
        <v>0</v>
      </c>
      <c r="H366" s="374"/>
      <c r="I366" s="16"/>
    </row>
    <row r="367" spans="2:9" ht="24" customHeight="1">
      <c r="B367" s="1037" t="str">
        <f>'Beton Pracetak'!C451</f>
        <v>2.4.6.4</v>
      </c>
      <c r="C367" s="285" t="str">
        <f>VLOOKUP(B367,'Beton Pracetak'!C:L,2,FALSE)</f>
        <v>Pembuatan 1 m2 lahan produksi tebal 15 cm beton fc' = 14.5 Mpa, slump ( 120 ± 20) mm</v>
      </c>
      <c r="D367" s="176" t="s">
        <v>62</v>
      </c>
      <c r="E367" s="1038">
        <f>VLOOKUP(C367,'Beton Pracetak'!$D$2:$J$470,7,FALSE)</f>
        <v>151400</v>
      </c>
      <c r="F367" s="1003">
        <f>VLOOKUP(C367,'Beton Pracetak'!$D$2:$K$470,8,FALSE)</f>
        <v>0</v>
      </c>
      <c r="G367" s="12">
        <f>VLOOKUP(C367,'Beton Pracetak'!$D$2:$L$470,9,FALSE)</f>
        <v>0</v>
      </c>
      <c r="H367" s="374"/>
      <c r="I367" s="16"/>
    </row>
    <row r="368" spans="2:9" ht="24" customHeight="1">
      <c r="B368" s="1035" t="str">
        <f>'Beton Prategang '!C2</f>
        <v>2.5</v>
      </c>
      <c r="C368" s="991" t="str">
        <f>VLOOKUP(B368,'Beton Prategang '!C:L,2,FALSE)</f>
        <v xml:space="preserve">PEKERJAAN STRUKTUR BETON PRATEGANG </v>
      </c>
      <c r="D368" s="992"/>
      <c r="E368" s="1036"/>
      <c r="F368" s="1005"/>
      <c r="G368" s="17"/>
      <c r="H368" s="374"/>
      <c r="I368" s="16"/>
    </row>
    <row r="369" spans="2:9" ht="24" customHeight="1">
      <c r="B369" s="1039" t="str">
        <f>'Beton Prategang '!C3</f>
        <v>2.5.1</v>
      </c>
      <c r="C369" s="12" t="str">
        <f>VLOOKUP(B369,'Beton Prategang '!C:L,2,FALSE)</f>
        <v>Pemasangan 1 kg kabel prategang (prestressed) polos/strand</v>
      </c>
      <c r="D369" s="5" t="s">
        <v>65</v>
      </c>
      <c r="E369" s="1021">
        <f>VLOOKUP(C369,'Beton Prategang '!D2:J20,7,FALSE)</f>
        <v>73600</v>
      </c>
      <c r="F369" s="1003">
        <f>VLOOKUP(C369,'Beton Prategang '!D2:L20,8,FALSE)</f>
        <v>0</v>
      </c>
      <c r="G369" s="12">
        <f>VLOOKUP(C369,'Beton Prategang '!D2:M20,9,FALSE)</f>
        <v>0</v>
      </c>
      <c r="H369" s="374"/>
      <c r="I369" s="16"/>
    </row>
    <row r="370" spans="2:9" ht="24" customHeight="1">
      <c r="B370" s="1031" t="str">
        <f>'Struktur Kayu'!C1</f>
        <v>2.6</v>
      </c>
      <c r="C370" s="41" t="str">
        <f>VLOOKUP(B370,'Struktur Kayu'!C:L,2,FALSE)</f>
        <v xml:space="preserve">Pekerjaan Struktur Kayu </v>
      </c>
      <c r="D370" s="983"/>
      <c r="E370" s="1024"/>
      <c r="F370" s="1005"/>
      <c r="G370" s="17"/>
      <c r="H370" s="374"/>
      <c r="I370" s="16"/>
    </row>
    <row r="371" spans="2:9" ht="24" customHeight="1">
      <c r="B371" s="1035" t="str">
        <f>'Struktur Kayu'!C2</f>
        <v>2.6.1</v>
      </c>
      <c r="C371" s="991" t="str">
        <f>VLOOKUP(B371,'Struktur Kayu'!C:L,2,FALSE)</f>
        <v xml:space="preserve">Struktur Atas </v>
      </c>
      <c r="D371" s="992"/>
      <c r="E371" s="1036"/>
      <c r="F371" s="1004"/>
      <c r="G371" s="36"/>
      <c r="H371" s="374"/>
      <c r="I371" s="16"/>
    </row>
    <row r="372" spans="2:9" ht="24" customHeight="1">
      <c r="B372" s="1035" t="str">
        <f>'Struktur Kayu'!C3</f>
        <v>2.6.2</v>
      </c>
      <c r="C372" s="991" t="str">
        <f>VLOOKUP(B372,'Struktur Kayu'!C:L,2,FALSE)</f>
        <v xml:space="preserve">Pemancangan Tiang Kayu / Cerucuk Bambu/ Dolken </v>
      </c>
      <c r="D372" s="992"/>
      <c r="E372" s="1036"/>
      <c r="F372" s="1004"/>
      <c r="G372" s="36"/>
      <c r="H372" s="374"/>
      <c r="I372" s="16"/>
    </row>
    <row r="373" spans="2:9" ht="24" customHeight="1">
      <c r="B373" s="1033" t="str">
        <f>'Struktur Kayu'!C4</f>
        <v>2.6.2.1</v>
      </c>
      <c r="C373" s="12" t="str">
        <f>VLOOKUP(B373,'Struktur Kayu'!C:L,2,FALSE)</f>
        <v xml:space="preserve">Pemancangan per m' tiang pancang kayu atau dolken dia. 6-8 cm </v>
      </c>
      <c r="D373" s="9" t="s">
        <v>1300</v>
      </c>
      <c r="E373" s="1021">
        <f>VLOOKUP(C373,'Struktur Kayu'!$D$1:$J$60,7,FALSE)</f>
        <v>163800</v>
      </c>
      <c r="F373" s="1003">
        <f>VLOOKUP(C373,'Struktur Kayu'!$D$1:$K$60,8,FALSE)</f>
        <v>0</v>
      </c>
      <c r="G373" s="12">
        <f>VLOOKUP(C373,'Struktur Kayu'!$D$1:$L$60,9,FALSE)</f>
        <v>0</v>
      </c>
      <c r="H373" s="374"/>
      <c r="I373" s="16"/>
    </row>
    <row r="374" spans="2:9" ht="24" customHeight="1">
      <c r="B374" s="1033" t="str">
        <f>'Struktur Kayu'!C22</f>
        <v>2.6.2.2</v>
      </c>
      <c r="C374" s="12" t="str">
        <f>VLOOKUP(B374,'Struktur Kayu'!C:L,2,FALSE)</f>
        <v xml:space="preserve">Pemancangan per m' Tiang kayu Gelondongan dia. 18-20 cm </v>
      </c>
      <c r="D374" s="9" t="s">
        <v>1300</v>
      </c>
      <c r="E374" s="1021">
        <f>VLOOKUP(C374,'Struktur Kayu'!$D$1:$J$60,7,FALSE)</f>
        <v>268500</v>
      </c>
      <c r="F374" s="1003">
        <f>VLOOKUP(C374,'Struktur Kayu'!$D$1:$K$60,8,FALSE)</f>
        <v>0</v>
      </c>
      <c r="G374" s="12">
        <f>VLOOKUP(C374,'Struktur Kayu'!$D$1:$L$60,9,FALSE)</f>
        <v>0</v>
      </c>
      <c r="H374" s="374"/>
      <c r="I374" s="16"/>
    </row>
    <row r="375" spans="2:9" ht="24" customHeight="1">
      <c r="B375" s="1033" t="str">
        <f>'Struktur Kayu'!C41</f>
        <v>2.6.2.3</v>
      </c>
      <c r="C375" s="12" t="str">
        <f>VLOOKUP(B375,'Struktur Kayu'!C:L,2,FALSE)</f>
        <v>1 m2 Turap bambu dari geribig bambu secara manual, JAT &lt; 0,5 m</v>
      </c>
      <c r="D375" s="9" t="s">
        <v>62</v>
      </c>
      <c r="E375" s="1021">
        <f>VLOOKUP(C375,'Struktur Kayu'!$D$1:$J$60,7,FALSE)</f>
        <v>21800</v>
      </c>
      <c r="F375" s="1003">
        <f>VLOOKUP(C375,'Struktur Kayu'!$D$1:$K$60,8,FALSE)</f>
        <v>0</v>
      </c>
      <c r="G375" s="12">
        <f>VLOOKUP(C375,'Struktur Kayu'!$D$1:$L$60,9,FALSE)</f>
        <v>0</v>
      </c>
      <c r="H375" s="374"/>
      <c r="I375" s="16"/>
    </row>
    <row r="376" spans="2:9" ht="24" customHeight="1">
      <c r="B376" s="1031" t="str">
        <f>'Dinding Penahan Tanah '!C2</f>
        <v>2.7</v>
      </c>
      <c r="C376" s="41" t="str">
        <f>VLOOKUP(B376,'Dinding Penahan Tanah '!C:L,2,FALSE)</f>
        <v xml:space="preserve">Pekerjaan Dinding Penahan Tanah </v>
      </c>
      <c r="D376" s="983"/>
      <c r="E376" s="1024"/>
      <c r="F376" s="1009"/>
      <c r="G376" s="31"/>
      <c r="H376" s="374"/>
      <c r="I376" s="16"/>
    </row>
    <row r="377" spans="2:9" ht="24" customHeight="1">
      <c r="B377" s="1033" t="str">
        <f>'Dinding Penahan Tanah '!C3</f>
        <v>2.7.1</v>
      </c>
      <c r="C377" s="12" t="str">
        <f>VLOOKUP(B377,'Dinding Penahan Tanah '!C:L,2,FALSE)</f>
        <v>Pemasangan 1 M' pipa suling -suling menggunakan pipa PVC dia. 1" (untuk bangunan gedung)</v>
      </c>
      <c r="D377" s="9" t="s">
        <v>113</v>
      </c>
      <c r="E377" s="1021">
        <f>VLOOKUP(C377,'Dinding Penahan Tanah '!$D$2:$J$293,7,FALSE)</f>
        <v>25900</v>
      </c>
      <c r="F377" s="1003" t="str">
        <f>VLOOKUP(C377,'Dinding Penahan Tanah '!$D$2:$K$293,8,FALSE)</f>
        <v>Revisi</v>
      </c>
      <c r="G377" s="12" t="str">
        <f>VLOOKUP(C377,'Dinding Penahan Tanah '!$D$2:$M$293,9,FALSE)</f>
        <v>Perubahan di bahan Geotekstil &gt;100 gr/m2 jadi Geotekstil woven 400 gr/m2</v>
      </c>
      <c r="H377" s="374"/>
      <c r="I377" s="16"/>
    </row>
    <row r="378" spans="2:9" ht="24" customHeight="1">
      <c r="B378" s="1033" t="s">
        <v>2554</v>
      </c>
      <c r="C378" s="12" t="str">
        <f>VLOOKUP(B378,'Dinding Penahan Tanah '!C:L,2,FALSE)</f>
        <v>Pemasangan 1 M' pipa suling -suling menggunakan pipa PVC dia. 2" (untuk bangunan gedung)</v>
      </c>
      <c r="D378" s="9" t="s">
        <v>62</v>
      </c>
      <c r="E378" s="1021">
        <f>VLOOKUP(C378,'Dinding Penahan Tanah '!$D$2:$J$293,7,FALSE)</f>
        <v>46900</v>
      </c>
      <c r="F378" s="1003" t="str">
        <f>VLOOKUP(C378,'Dinding Penahan Tanah '!$D$2:$K$293,8,FALSE)</f>
        <v>Revisi</v>
      </c>
      <c r="G378" s="12" t="str">
        <f>VLOOKUP(C378,'Dinding Penahan Tanah '!$D$2:$M$293,9,FALSE)</f>
        <v>Perubahan di bahan Geotekstil &gt;100 gr/m2 jadi Geotekstil woven 400 gr/m2</v>
      </c>
      <c r="H378" s="374"/>
      <c r="I378" s="16"/>
    </row>
    <row r="379" spans="2:9" ht="24" customHeight="1">
      <c r="B379" s="1033" t="s">
        <v>2556</v>
      </c>
      <c r="C379" s="12" t="str">
        <f>VLOOKUP(B379,'Dinding Penahan Tanah '!C:L,2,FALSE)</f>
        <v xml:space="preserve">Pemasangan 1 m2 Lapisan Ijuk tebal 10 cm </v>
      </c>
      <c r="D379" s="9" t="s">
        <v>62</v>
      </c>
      <c r="E379" s="1021">
        <f>VLOOKUP(C379,'Dinding Penahan Tanah '!$D$2:$J$293,7,FALSE)</f>
        <v>90400</v>
      </c>
      <c r="F379" s="1003">
        <f>VLOOKUP(C379,'Dinding Penahan Tanah '!$D$2:$K$293,8,FALSE)</f>
        <v>0</v>
      </c>
      <c r="G379" s="12">
        <f>VLOOKUP(C379,'Dinding Penahan Tanah '!$D$2:$M$293,9,FALSE)</f>
        <v>0</v>
      </c>
      <c r="H379" s="374"/>
      <c r="I379" s="16"/>
    </row>
    <row r="380" spans="2:9" ht="24" customHeight="1">
      <c r="B380" s="1033" t="s">
        <v>2558</v>
      </c>
      <c r="C380" s="12" t="str">
        <f>VLOOKUP(B380,'Dinding Penahan Tanah '!C:L,2,FALSE)</f>
        <v>Pemasangan 1 m2 finishing siar pasangan batu kali, campuran 1SP : 2PP</v>
      </c>
      <c r="D380" s="9" t="s">
        <v>62</v>
      </c>
      <c r="E380" s="1021">
        <f>VLOOKUP(C380,'Dinding Penahan Tanah '!$D$2:$J$293,7,FALSE)</f>
        <v>71000</v>
      </c>
      <c r="F380" s="1003" t="str">
        <f>VLOOKUP(C380,'Dinding Penahan Tanah '!$D$2:$K$293,8,FALSE)</f>
        <v>Revisi</v>
      </c>
      <c r="G380" s="12" t="str">
        <f>VLOOKUP(C380,'Dinding Penahan Tanah '!$D$2:$M$293,9,FALSE)</f>
        <v>Tidak ada perubahan</v>
      </c>
      <c r="H380" s="374"/>
      <c r="I380" s="16"/>
    </row>
    <row r="381" spans="2:9" ht="24" customHeight="1">
      <c r="B381" s="1033" t="s">
        <v>2560</v>
      </c>
      <c r="C381" s="12" t="str">
        <f>VLOOKUP(B381,'Dinding Penahan Tanah '!C:L,2,FALSE)</f>
        <v>1 m3 bronjong kawat digalvanis, lubang heksagonal 80 x 100 mm, beda tinggi &gt;0 s.d 1 m' berkontak langsung dengan tanah ( kawat dibuat sendiri)</v>
      </c>
      <c r="D381" s="9" t="s">
        <v>62</v>
      </c>
      <c r="E381" s="1021">
        <f>VLOOKUP(C381,'Dinding Penahan Tanah '!$D$2:$J$293,7,FALSE)</f>
        <v>141600</v>
      </c>
      <c r="F381" s="1003">
        <f>VLOOKUP(C381,'Dinding Penahan Tanah '!$D$2:$K$293,8,FALSE)</f>
        <v>0</v>
      </c>
      <c r="G381" s="12">
        <f>VLOOKUP(C381,'Dinding Penahan Tanah '!$D$2:$M$293,9,FALSE)</f>
        <v>0</v>
      </c>
      <c r="H381" s="374"/>
      <c r="I381" s="16"/>
    </row>
    <row r="382" spans="2:9" ht="24" customHeight="1">
      <c r="B382" s="1033" t="s">
        <v>2563</v>
      </c>
      <c r="C382" s="12" t="str">
        <f>VLOOKUP(B382,'Dinding Penahan Tanah '!C:L,2,FALSE)</f>
        <v>1 m3 bronjong kawat digalvanis, lubang heksagonal 80 x 100 mm; beda tinggi &gt; 0 s.d 1 m' tidak berkontak langsung dengan tanah (kawat dibuat sendiri)</v>
      </c>
      <c r="D382" s="9" t="s">
        <v>42</v>
      </c>
      <c r="E382" s="1021">
        <f>VLOOKUP(C382,'Dinding Penahan Tanah '!$D$2:$J$293,7,FALSE)</f>
        <v>141600</v>
      </c>
      <c r="F382" s="1003">
        <f>VLOOKUP(C382,'Dinding Penahan Tanah '!$D$2:$K$293,8,FALSE)</f>
        <v>0</v>
      </c>
      <c r="G382" s="12">
        <f>VLOOKUP(C382,'Dinding Penahan Tanah '!$D$2:$M$293,9,FALSE)</f>
        <v>0</v>
      </c>
      <c r="H382" s="374"/>
      <c r="I382" s="16"/>
    </row>
    <row r="383" spans="2:9" ht="24" customHeight="1">
      <c r="B383" s="1033" t="s">
        <v>2567</v>
      </c>
      <c r="C383" s="12" t="str">
        <f>VLOOKUP(B383,'Dinding Penahan Tanah '!C:L,2,FALSE)</f>
        <v xml:space="preserve"> 1 m3 bronjong kawat digalvanis, lubang heksagonal 80x100mm; beda tinggi &gt;3 s.d 4 m' berkontak langsung dengan tanah (kawat dibuat sendiri)</v>
      </c>
      <c r="D383" s="9" t="s">
        <v>42</v>
      </c>
      <c r="E383" s="1021">
        <f>VLOOKUP(C383,'Dinding Penahan Tanah '!$D$2:$J$293,7,FALSE)</f>
        <v>213400</v>
      </c>
      <c r="F383" s="1003">
        <f>VLOOKUP(C383,'Dinding Penahan Tanah '!$D$2:$K$293,8,FALSE)</f>
        <v>0</v>
      </c>
      <c r="G383" s="12">
        <f>VLOOKUP(C383,'Dinding Penahan Tanah '!$D$2:$M$293,9,FALSE)</f>
        <v>0</v>
      </c>
      <c r="H383" s="374"/>
      <c r="I383" s="16"/>
    </row>
    <row r="384" spans="2:9" ht="24" customHeight="1">
      <c r="B384" s="1033" t="s">
        <v>2568</v>
      </c>
      <c r="C384" s="12" t="str">
        <f>VLOOKUP(B384,'Dinding Penahan Tanah '!C:L,2,FALSE)</f>
        <v xml:space="preserve"> 1 m3 bronjong kawat digalvanis, lubang heksagonal 80x100mm; beda tinggi &gt;3 s.d 4 m' tidak berkontak langsung dengan tanah (kawat dibuat sendiri)</v>
      </c>
      <c r="D384" s="9" t="s">
        <v>42</v>
      </c>
      <c r="E384" s="1021">
        <f>VLOOKUP(C384,'Dinding Penahan Tanah '!$D$2:$J$293,7,FALSE)</f>
        <v>213400</v>
      </c>
      <c r="F384" s="1003">
        <f>VLOOKUP(C384,'Dinding Penahan Tanah '!$D$2:$K$293,8,FALSE)</f>
        <v>0</v>
      </c>
      <c r="G384" s="12">
        <f>VLOOKUP(C384,'Dinding Penahan Tanah '!$D$2:$M$293,9,FALSE)</f>
        <v>0</v>
      </c>
      <c r="H384" s="374"/>
      <c r="I384" s="16"/>
    </row>
    <row r="385" spans="2:9" ht="24" customHeight="1">
      <c r="B385" s="1033" t="s">
        <v>2570</v>
      </c>
      <c r="C385" s="12" t="str">
        <f>VLOOKUP(B385,'Dinding Penahan Tanah '!C:L,2,FALSE)</f>
        <v xml:space="preserve"> 1 m3 kawat bronjong kawat digalvanis, lubang heksagonal 100x120mm; beda tinggi &gt;0 s.d 1 m' berkontak langsung dengan tanah (kawat dibuat sendiri)</v>
      </c>
      <c r="D385" s="9" t="s">
        <v>42</v>
      </c>
      <c r="E385" s="1021">
        <f>VLOOKUP(C385,'Dinding Penahan Tanah '!$D$2:$J$293,7,FALSE)</f>
        <v>114300</v>
      </c>
      <c r="F385" s="1003">
        <f>VLOOKUP(C385,'Dinding Penahan Tanah '!$D$2:$K$293,8,FALSE)</f>
        <v>0</v>
      </c>
      <c r="G385" s="12">
        <f>VLOOKUP(C385,'Dinding Penahan Tanah '!$D$2:$M$293,9,FALSE)</f>
        <v>0</v>
      </c>
      <c r="H385" s="374"/>
      <c r="I385" s="16"/>
    </row>
    <row r="386" spans="2:9" ht="24" customHeight="1">
      <c r="B386" s="1033" t="s">
        <v>2572</v>
      </c>
      <c r="C386" s="12" t="str">
        <f>VLOOKUP(B386,'Dinding Penahan Tanah '!C:L,2,FALSE)</f>
        <v xml:space="preserve"> 1 m3 kawat bronjong kawat digalvanis, lubang heksagonal 100x120mm; beda tinggi &gt; 0 s.d 1 m' berkontak langsung dengan tanah (kawat dibuat sendiri)</v>
      </c>
      <c r="D386" s="9" t="s">
        <v>42</v>
      </c>
      <c r="E386" s="1021">
        <f>VLOOKUP(C386,'Dinding Penahan Tanah '!$D$2:$J$293,7,FALSE)</f>
        <v>114300</v>
      </c>
      <c r="F386" s="1003">
        <f>VLOOKUP(C386,'Dinding Penahan Tanah '!$D$2:$K$293,8,FALSE)</f>
        <v>0</v>
      </c>
      <c r="G386" s="12">
        <f>VLOOKUP(C386,'Dinding Penahan Tanah '!$D$2:$M$293,9,FALSE)</f>
        <v>0</v>
      </c>
      <c r="H386" s="374"/>
      <c r="I386" s="16"/>
    </row>
    <row r="387" spans="2:9" ht="24" customHeight="1">
      <c r="B387" s="1033" t="s">
        <v>2574</v>
      </c>
      <c r="C387" s="12" t="str">
        <f>VLOOKUP(B387,'Dinding Penahan Tanah '!C:L,2,FALSE)</f>
        <v xml:space="preserve"> 1 m3 kawat bronjong kawat digalvanis, lubang heksagonal 100x120mm; beda tinggi &gt; 3 s.d 4 m' berkontak langsung dengan tanah (kawat dibuat sendiri)</v>
      </c>
      <c r="D387" s="9" t="s">
        <v>42</v>
      </c>
      <c r="E387" s="1021">
        <f>VLOOKUP(C387,'Dinding Penahan Tanah '!$D$2:$J$293,7,FALSE)</f>
        <v>176100</v>
      </c>
      <c r="F387" s="1003">
        <f>VLOOKUP(C387,'Dinding Penahan Tanah '!$D$2:$K$293,8,FALSE)</f>
        <v>0</v>
      </c>
      <c r="G387" s="12">
        <f>VLOOKUP(C387,'Dinding Penahan Tanah '!$D$2:$M$293,9,FALSE)</f>
        <v>0</v>
      </c>
      <c r="H387" s="374"/>
      <c r="I387" s="16"/>
    </row>
    <row r="388" spans="2:9" ht="24" customHeight="1">
      <c r="B388" s="1033" t="s">
        <v>2576</v>
      </c>
      <c r="C388" s="12" t="str">
        <f>VLOOKUP(B388,'Dinding Penahan Tanah '!C:L,2,FALSE)</f>
        <v xml:space="preserve"> 1 m3 kawat bronjong kawat digalvanis, lubang heksagonal 100x120mm; beda tinggi &gt; 3 s.d 4 m'  tidak berkontak langsung dengan tanah (kawat dibuat sendiri)</v>
      </c>
      <c r="D388" s="9" t="s">
        <v>42</v>
      </c>
      <c r="E388" s="1021">
        <f>VLOOKUP(C388,'Dinding Penahan Tanah '!$D$2:$J$293,7,FALSE)</f>
        <v>176100</v>
      </c>
      <c r="F388" s="1003">
        <f>VLOOKUP(C388,'Dinding Penahan Tanah '!$D$2:$K$293,8,FALSE)</f>
        <v>0</v>
      </c>
      <c r="G388" s="12">
        <f>VLOOKUP(C388,'Dinding Penahan Tanah '!$D$2:$M$293,9,FALSE)</f>
        <v>0</v>
      </c>
      <c r="H388" s="374"/>
      <c r="I388" s="16"/>
    </row>
    <row r="389" spans="2:9" ht="24" customHeight="1">
      <c r="B389" s="1033" t="s">
        <v>2578</v>
      </c>
      <c r="C389" s="12" t="str">
        <f>VLOOKUP(B389,'Dinding Penahan Tanah '!C:L,2,FALSE)</f>
        <v xml:space="preserve">1 m3 pasangan batu bronjong kawat paprikasi; beda tinggi &gt; 0 s.d 1 m' berkontak langsung dengan tanah </v>
      </c>
      <c r="D389" s="9" t="s">
        <v>42</v>
      </c>
      <c r="E389" s="1021">
        <f>VLOOKUP(C389,'Dinding Penahan Tanah '!$D$2:$J$293,7,FALSE)</f>
        <v>63700</v>
      </c>
      <c r="F389" s="1003">
        <f>VLOOKUP(C389,'Dinding Penahan Tanah '!$D$2:$K$293,8,FALSE)</f>
        <v>0</v>
      </c>
      <c r="G389" s="12">
        <f>VLOOKUP(C389,'Dinding Penahan Tanah '!$D$2:$M$293,9,FALSE)</f>
        <v>0</v>
      </c>
      <c r="H389" s="374"/>
      <c r="I389" s="16"/>
    </row>
    <row r="390" spans="2:9" ht="24" customHeight="1">
      <c r="B390" s="1033" t="s">
        <v>2580</v>
      </c>
      <c r="C390" s="12" t="str">
        <f>VLOOKUP(B390,'Dinding Penahan Tanah '!C:L,2,FALSE)</f>
        <v xml:space="preserve">1 m3 pasangan batu bronjong kawat paprikasi; beda tinggi &gt; 0 s.d 1 m' tidak berkontak langsung dengan tanah </v>
      </c>
      <c r="D390" s="9" t="s">
        <v>42</v>
      </c>
      <c r="E390" s="1021">
        <f>VLOOKUP(C390,'Dinding Penahan Tanah '!$D$2:$J$293,7,FALSE)</f>
        <v>63700</v>
      </c>
      <c r="F390" s="1003">
        <f>VLOOKUP(C390,'Dinding Penahan Tanah '!$D$2:$K$293,8,FALSE)</f>
        <v>0</v>
      </c>
      <c r="G390" s="12">
        <f>VLOOKUP(C390,'Dinding Penahan Tanah '!$D$2:$M$293,9,FALSE)</f>
        <v>0</v>
      </c>
      <c r="H390" s="374"/>
      <c r="I390" s="16"/>
    </row>
    <row r="391" spans="2:9" ht="24" customHeight="1">
      <c r="B391" s="1033" t="s">
        <v>2582</v>
      </c>
      <c r="C391" s="12" t="str">
        <f>VLOOKUP(B391,'Dinding Penahan Tanah '!C:L,2,FALSE)</f>
        <v xml:space="preserve">1 m3 pasangan batu bronjong kawat paprikasi; beda tinggi &gt; 3 s.4  m' berkontak langsung dengan tanah </v>
      </c>
      <c r="D391" s="9" t="s">
        <v>42</v>
      </c>
      <c r="E391" s="1021">
        <f>VLOOKUP(C391,'Dinding Penahan Tanah '!$D$2:$J$293,7,FALSE)</f>
        <v>124200</v>
      </c>
      <c r="F391" s="1003">
        <f>VLOOKUP(C391,'Dinding Penahan Tanah '!$D$2:$K$293,8,FALSE)</f>
        <v>0</v>
      </c>
      <c r="G391" s="12">
        <f>VLOOKUP(C391,'Dinding Penahan Tanah '!$D$2:$M$293,9,FALSE)</f>
        <v>0</v>
      </c>
      <c r="H391" s="374"/>
      <c r="I391" s="16"/>
    </row>
    <row r="392" spans="2:9" ht="24" customHeight="1">
      <c r="B392" s="1033" t="s">
        <v>2584</v>
      </c>
      <c r="C392" s="12" t="str">
        <f>VLOOKUP(B392,'Dinding Penahan Tanah '!C:L,2,FALSE)</f>
        <v xml:space="preserve">1 m3 pasangan batu bronjong kawat paprikasi; beda tinggi &gt; 3 s.4  m' tidak berkontak langsung dengan tanah </v>
      </c>
      <c r="D392" s="9" t="s">
        <v>42</v>
      </c>
      <c r="E392" s="1021">
        <f>VLOOKUP(C392,'Dinding Penahan Tanah '!$D$2:$J$293,7,FALSE)</f>
        <v>124200</v>
      </c>
      <c r="F392" s="1003">
        <f>VLOOKUP(C392,'Dinding Penahan Tanah '!$D$2:$K$293,8,FALSE)</f>
        <v>0</v>
      </c>
      <c r="G392" s="12">
        <f>VLOOKUP(C392,'Dinding Penahan Tanah '!$D$2:$M$293,9,FALSE)</f>
        <v>0</v>
      </c>
      <c r="H392" s="374"/>
      <c r="I392" s="16"/>
    </row>
    <row r="393" spans="2:9" ht="24" customHeight="1">
      <c r="B393" s="1028">
        <f>'Penutup Atap'!C2</f>
        <v>3</v>
      </c>
      <c r="C393" s="984" t="str">
        <f>VLOOKUP(B393,'Penutup Atap'!C:K,2,FALSE)</f>
        <v xml:space="preserve">PEKERJAAN ARSITEKTUR </v>
      </c>
      <c r="D393" s="985"/>
      <c r="E393" s="1029"/>
      <c r="F393" s="1008"/>
      <c r="G393" s="18"/>
    </row>
    <row r="394" spans="2:9" ht="24" customHeight="1">
      <c r="B394" s="1043" t="str">
        <f>'Penutup Atap'!C3</f>
        <v>3.1</v>
      </c>
      <c r="C394" s="986" t="str">
        <f>VLOOKUP(B394,'Penutup Atap'!C:K,2,FALSE)</f>
        <v>PEKERJAAN PENUTUP ATAP</v>
      </c>
      <c r="D394" s="994"/>
      <c r="E394" s="1027"/>
      <c r="F394" s="1007"/>
      <c r="G394" s="30"/>
      <c r="H394" s="374"/>
      <c r="I394" s="16"/>
    </row>
    <row r="395" spans="2:9" ht="24" customHeight="1">
      <c r="B395" s="1046" t="str">
        <f>'Penutup Atap'!C4</f>
        <v>3.1.1</v>
      </c>
      <c r="C395" s="991" t="str">
        <f>VLOOKUP(B395,'Penutup Atap'!C:K,2,FALSE)</f>
        <v xml:space="preserve">Atap Genteng </v>
      </c>
      <c r="D395" s="587"/>
      <c r="E395" s="1040"/>
      <c r="F395" s="1004"/>
      <c r="G395" s="36"/>
      <c r="H395" s="374"/>
      <c r="I395" s="16"/>
    </row>
    <row r="396" spans="2:9" ht="24" customHeight="1">
      <c r="B396" s="1033" t="str">
        <f>'Penutup Atap'!C5</f>
        <v>3.1.1.1</v>
      </c>
      <c r="C396" s="12" t="str">
        <f>VLOOKUP(B396,'Penutup Atap'!C:K,2,FALSE)</f>
        <v xml:space="preserve">Pemasangan 1 m2 atap Genteng Palentong  Kecil </v>
      </c>
      <c r="D396" s="9" t="s">
        <v>62</v>
      </c>
      <c r="E396" s="1021">
        <f>VLOOKUP(C396,'Penutup Atap'!$D$2:$I$1059,6,FALSE)</f>
        <v>29300</v>
      </c>
      <c r="F396" s="1003">
        <f>VLOOKUP(C396,'Penutup Atap'!$D$2:$J$1059,7,FALSE)</f>
        <v>0</v>
      </c>
      <c r="G396" s="12">
        <f>VLOOKUP(C396,'Penutup Atap'!$D$2:$K$1059,8,FALSE)</f>
        <v>0</v>
      </c>
      <c r="H396" s="374"/>
      <c r="I396" s="16"/>
    </row>
    <row r="397" spans="2:9" ht="24" customHeight="1">
      <c r="B397" s="1033" t="str">
        <f>'Penutup Atap'!C22</f>
        <v>3.1.1.2</v>
      </c>
      <c r="C397" s="12" t="str">
        <f>VLOOKUP(B397,'Penutup Atap'!C:K,2,FALSE)</f>
        <v>Pemasangan 1 m2 atap genteng kodok glazuur</v>
      </c>
      <c r="D397" s="9" t="s">
        <v>62</v>
      </c>
      <c r="E397" s="1021">
        <f>VLOOKUP(C397,'Penutup Atap'!$D$2:$I$1059,6,FALSE)</f>
        <v>29300</v>
      </c>
      <c r="F397" s="1003">
        <f>VLOOKUP(C397,'Penutup Atap'!$D$2:$J$1059,7,FALSE)</f>
        <v>0</v>
      </c>
      <c r="G397" s="12">
        <f>VLOOKUP(C397,'Penutup Atap'!$D$2:$K$1059,8,FALSE)</f>
        <v>0</v>
      </c>
      <c r="H397" s="374"/>
      <c r="I397" s="16"/>
    </row>
    <row r="398" spans="2:9" ht="24" customHeight="1">
      <c r="B398" s="1033" t="str">
        <f>'Penutup Atap'!C39</f>
        <v>3.1.1.3</v>
      </c>
      <c r="C398" s="12" t="str">
        <f>VLOOKUP(B398,'Penutup Atap'!C:K,2,FALSE)</f>
        <v>Pemasangan 1 m2 atap genteng palentong besar</v>
      </c>
      <c r="D398" s="9" t="s">
        <v>62</v>
      </c>
      <c r="E398" s="1021" t="e">
        <f>VLOOKUP(C398,'Penutup Atap'!$D$2:$I$1059,6,FALSE)</f>
        <v>#VALUE!</v>
      </c>
      <c r="F398" s="1003">
        <f>VLOOKUP(C398,'Penutup Atap'!$D$2:$J$1059,7,FALSE)</f>
        <v>0</v>
      </c>
      <c r="G398" s="12">
        <f>VLOOKUP(C398,'Penutup Atap'!$D$2:$K$1059,8,FALSE)</f>
        <v>0</v>
      </c>
      <c r="H398" s="374"/>
      <c r="I398" s="16"/>
    </row>
    <row r="399" spans="2:9" ht="24" customHeight="1">
      <c r="B399" s="1033" t="str">
        <f>'Penutup Atap'!C56</f>
        <v>3.1.1.4</v>
      </c>
      <c r="C399" s="12" t="str">
        <f>VLOOKUP(B399,'Penutup Atap'!C:K,2,FALSE)</f>
        <v>Pemasangan 1 m2 atap genteng beton</v>
      </c>
      <c r="D399" s="9" t="s">
        <v>62</v>
      </c>
      <c r="E399" s="1021">
        <f>VLOOKUP(C399,'Penutup Atap'!$D$2:$I$1059,6,FALSE)</f>
        <v>39700</v>
      </c>
      <c r="F399" s="1003">
        <f>VLOOKUP(C399,'Penutup Atap'!$D$2:$J$1059,7,FALSE)</f>
        <v>0</v>
      </c>
      <c r="G399" s="12">
        <f>VLOOKUP(C399,'Penutup Atap'!$D$2:$K$1059,8,FALSE)</f>
        <v>0</v>
      </c>
      <c r="H399" s="374"/>
      <c r="I399" s="16"/>
    </row>
    <row r="400" spans="2:9" ht="24" customHeight="1">
      <c r="B400" s="1033" t="str">
        <f>'Penutup Atap'!C74</f>
        <v>3.1.1.5</v>
      </c>
      <c r="C400" s="12" t="str">
        <f>VLOOKUP(B400,'Penutup Atap'!C:K,2,FALSE)</f>
        <v>Pemasangan 1 m' Nok/bubung genteng palentong kecil</v>
      </c>
      <c r="D400" s="9" t="s">
        <v>62</v>
      </c>
      <c r="E400" s="1021">
        <f>VLOOKUP(C400,'Penutup Atap'!$D$2:$I$1059,6,FALSE)</f>
        <v>102500</v>
      </c>
      <c r="F400" s="1003">
        <f>VLOOKUP(C400,'Penutup Atap'!$D$2:$J$1059,7,FALSE)</f>
        <v>0</v>
      </c>
      <c r="G400" s="12">
        <f>VLOOKUP(C400,'Penutup Atap'!$D$2:$K$1059,8,FALSE)</f>
        <v>0</v>
      </c>
      <c r="H400" s="374"/>
      <c r="I400" s="16"/>
    </row>
    <row r="401" spans="2:9" ht="24" customHeight="1">
      <c r="B401" s="1033" t="str">
        <f>'Penutup Atap'!C93</f>
        <v>3.1.1.6</v>
      </c>
      <c r="C401" s="12" t="str">
        <f>VLOOKUP(B401,'Penutup Atap'!C:K,2,FALSE)</f>
        <v>Pemasangan 1 m' Nok/bubung genteng kodok glazuur</v>
      </c>
      <c r="D401" s="9" t="s">
        <v>62</v>
      </c>
      <c r="E401" s="1021">
        <f>VLOOKUP(C401,'Penutup Atap'!$D$2:$I$1059,6,FALSE)</f>
        <v>102500</v>
      </c>
      <c r="F401" s="1003">
        <f>VLOOKUP(C401,'Penutup Atap'!$D$2:$J$1059,7,FALSE)</f>
        <v>0</v>
      </c>
      <c r="G401" s="12">
        <f>VLOOKUP(C401,'Penutup Atap'!$D$2:$K$1059,8,FALSE)</f>
        <v>0</v>
      </c>
      <c r="H401" s="374"/>
      <c r="I401" s="16"/>
    </row>
    <row r="402" spans="2:9" ht="24" customHeight="1">
      <c r="B402" s="1033" t="str">
        <f>'Penutup Atap'!C112</f>
        <v>3.1.1.7</v>
      </c>
      <c r="C402" s="12" t="str">
        <f>VLOOKUP(B402,'Penutup Atap'!C:K,2,FALSE)</f>
        <v>Pemasangan 1 m' Nok/bubung genteng palentong besar</v>
      </c>
      <c r="D402" s="9" t="s">
        <v>62</v>
      </c>
      <c r="E402" s="1021">
        <f>VLOOKUP(C402,'Penutup Atap'!$D$2:$I$1059,6,FALSE)</f>
        <v>102500</v>
      </c>
      <c r="F402" s="1003">
        <f>VLOOKUP(C402,'Penutup Atap'!$D$2:$J$1059,7,FALSE)</f>
        <v>0</v>
      </c>
      <c r="G402" s="12">
        <f>VLOOKUP(C402,'Penutup Atap'!$D$2:$K$1059,8,FALSE)</f>
        <v>0</v>
      </c>
      <c r="H402" s="374"/>
      <c r="I402" s="16"/>
    </row>
    <row r="403" spans="2:9" ht="24" customHeight="1">
      <c r="B403" s="1033" t="str">
        <f>'Penutup Atap'!C131</f>
        <v>3.1.1.8</v>
      </c>
      <c r="C403" s="12" t="str">
        <f>VLOOKUP(B403,'Penutup Atap'!C:K,2,FALSE)</f>
        <v>Pemasangan 1 m' Nok/bubung genteng beton</v>
      </c>
      <c r="D403" s="9" t="s">
        <v>62</v>
      </c>
      <c r="E403" s="1021">
        <f>VLOOKUP(C403,'Penutup Atap'!$D$2:$I$1059,6,FALSE)</f>
        <v>128900</v>
      </c>
      <c r="F403" s="1003">
        <f>VLOOKUP(C403,'Penutup Atap'!$D$2:$J$1059,7,FALSE)</f>
        <v>0</v>
      </c>
      <c r="G403" s="12">
        <f>VLOOKUP(C403,'Penutup Atap'!$D$2:$K$1059,8,FALSE)</f>
        <v>0</v>
      </c>
      <c r="H403" s="374"/>
      <c r="I403" s="16"/>
    </row>
    <row r="404" spans="2:9" ht="24" customHeight="1">
      <c r="B404" s="1043" t="str">
        <f>'Penutup Atap'!C152</f>
        <v>3.1.2</v>
      </c>
      <c r="C404" s="41" t="str">
        <f>VLOOKUP(B404,'Penutup Atap'!C:K,2,FALSE)</f>
        <v>ATAP SERAT SEMEN GELOMBANG</v>
      </c>
      <c r="D404" s="994"/>
      <c r="E404" s="1027"/>
      <c r="F404" s="1004">
        <f>VLOOKUP(C404,'Penutup Atap'!$D$2:$J$1059,7,FALSE)</f>
        <v>0</v>
      </c>
      <c r="G404" s="36">
        <f>VLOOKUP(C404,'Penutup Atap'!$D$2:$K$1059,8,FALSE)</f>
        <v>0</v>
      </c>
      <c r="H404" s="374"/>
      <c r="I404" s="16"/>
    </row>
    <row r="405" spans="2:9" ht="24" customHeight="1">
      <c r="B405" s="1033" t="str">
        <f>'Penutup Atap'!C153</f>
        <v>3.1.2.1</v>
      </c>
      <c r="C405" s="12" t="str">
        <f>VLOOKUP(B405,'Penutup Atap'!C:K,2,FALSE)</f>
        <v>Pemasangan 1 m2 atap serat semen gelombang 92 cm x 250 cm x 5 mm</v>
      </c>
      <c r="D405" s="9" t="s">
        <v>62</v>
      </c>
      <c r="E405" s="1021">
        <f>VLOOKUP(C405,'Penutup Atap'!$D$2:$I$1059,6,FALSE)</f>
        <v>93100</v>
      </c>
      <c r="F405" s="1003">
        <f>VLOOKUP(C405,'Penutup Atap'!$D$2:$J$1059,7,FALSE)</f>
        <v>0</v>
      </c>
      <c r="G405" s="12">
        <f>VLOOKUP(C405,'Penutup Atap'!$D$2:$K$1059,8,FALSE)</f>
        <v>0</v>
      </c>
      <c r="H405" s="374"/>
      <c r="I405" s="16"/>
    </row>
    <row r="406" spans="2:9" ht="24" customHeight="1">
      <c r="B406" s="1033" t="str">
        <f>'Penutup Atap'!C171</f>
        <v>3.1.2.2</v>
      </c>
      <c r="C406" s="12" t="str">
        <f>VLOOKUP(B406,'Penutup Atap'!C:K,2,FALSE)</f>
        <v>Pemasangan 1 m2 atap serat semen gelombang 92 cm x 225 cm x 5 mm</v>
      </c>
      <c r="D406" s="9" t="s">
        <v>62</v>
      </c>
      <c r="E406" s="1021">
        <f>VLOOKUP(C406,'Penutup Atap'!$D$2:$I$1059,6,FALSE)</f>
        <v>100000</v>
      </c>
      <c r="F406" s="1003">
        <f>VLOOKUP(C406,'Penutup Atap'!$D$2:$J$1059,7,FALSE)</f>
        <v>0</v>
      </c>
      <c r="G406" s="12">
        <f>VLOOKUP(C406,'Penutup Atap'!$D$2:$K$1059,8,FALSE)</f>
        <v>0</v>
      </c>
      <c r="H406" s="374"/>
      <c r="I406" s="16"/>
    </row>
    <row r="407" spans="2:9" ht="24" customHeight="1">
      <c r="B407" s="1033" t="str">
        <f>'Penutup Atap'!C189</f>
        <v>3.1.2.3</v>
      </c>
      <c r="C407" s="12" t="str">
        <f>VLOOKUP(B407,'Penutup Atap'!C:K,2,FALSE)</f>
        <v>Pemasangan 1 m2 atap Serat Semen gelombang 92 cm x 200 cm x 5 mm</v>
      </c>
      <c r="D407" s="9" t="s">
        <v>62</v>
      </c>
      <c r="E407" s="1021">
        <f>VLOOKUP(C407,'Penutup Atap'!$D$2:$I$1059,6,FALSE)</f>
        <v>91900</v>
      </c>
      <c r="F407" s="1003">
        <f>VLOOKUP(C407,'Penutup Atap'!$D$2:$J$1059,7,FALSE)</f>
        <v>0</v>
      </c>
      <c r="G407" s="12">
        <f>VLOOKUP(C407,'Penutup Atap'!$D$2:$K$1059,8,FALSE)</f>
        <v>0</v>
      </c>
      <c r="H407" s="374"/>
      <c r="I407" s="16"/>
    </row>
    <row r="408" spans="2:9" ht="24" customHeight="1">
      <c r="B408" s="1033" t="str">
        <f>'Penutup Atap'!C207</f>
        <v>3.1.2.4</v>
      </c>
      <c r="C408" s="12" t="str">
        <f>VLOOKUP(B408,'Penutup Atap'!C:K,2,FALSE)</f>
        <v>Pemasangan 1 m2 atap Serat Semen gelombang 92 cm x 180 cm x 5 mm</v>
      </c>
      <c r="D408" s="9" t="s">
        <v>62</v>
      </c>
      <c r="E408" s="1021">
        <f>VLOOKUP(C408,'Penutup Atap'!$D$2:$I$1059,6,FALSE)</f>
        <v>100400</v>
      </c>
      <c r="F408" s="1003">
        <f>VLOOKUP(C408,'Penutup Atap'!$D$2:$J$1059,7,FALSE)</f>
        <v>0</v>
      </c>
      <c r="G408" s="12">
        <f>VLOOKUP(C408,'Penutup Atap'!$D$2:$K$1059,8,FALSE)</f>
        <v>0</v>
      </c>
      <c r="H408" s="374"/>
      <c r="I408" s="16"/>
    </row>
    <row r="409" spans="2:9" ht="24" customHeight="1">
      <c r="B409" s="1033" t="str">
        <f>'Penutup Atap'!C225</f>
        <v>3.1.2.5</v>
      </c>
      <c r="C409" s="12" t="str">
        <f>VLOOKUP(B409,'Penutup Atap'!C:K,2,FALSE)</f>
        <v>Pemasangan 1 m2 atap Serat Semen gelombang 105 cm x 270 cm x 4 mm</v>
      </c>
      <c r="D409" s="9" t="s">
        <v>62</v>
      </c>
      <c r="E409" s="1021">
        <f>VLOOKUP(C409,'Penutup Atap'!$D$2:$I$1059,6,FALSE)</f>
        <v>70700</v>
      </c>
      <c r="F409" s="1003">
        <f>VLOOKUP(C409,'Penutup Atap'!$D$2:$J$1059,7,FALSE)</f>
        <v>0</v>
      </c>
      <c r="G409" s="12">
        <f>VLOOKUP(C409,'Penutup Atap'!$D$2:$K$1059,8,FALSE)</f>
        <v>0</v>
      </c>
      <c r="H409" s="374"/>
      <c r="I409" s="16"/>
    </row>
    <row r="410" spans="2:9" ht="24" customHeight="1">
      <c r="B410" s="1033" t="str">
        <f>'Penutup Atap'!C243</f>
        <v>3.1.2.6</v>
      </c>
      <c r="C410" s="12" t="str">
        <f>VLOOKUP(B410,'Penutup Atap'!C:K,2,FALSE)</f>
        <v>Pemasangan 1 m2 atap Serat Semen gelombang 105 cm x 300 cm x 5 mm</v>
      </c>
      <c r="D410" s="9" t="s">
        <v>62</v>
      </c>
      <c r="E410" s="1021">
        <f>VLOOKUP(C410,'Penutup Atap'!$D$2:$I$1059,6,FALSE)</f>
        <v>81800</v>
      </c>
      <c r="F410" s="1003">
        <f>VLOOKUP(C410,'Penutup Atap'!$D$2:$J$1059,7,FALSE)</f>
        <v>0</v>
      </c>
      <c r="G410" s="12">
        <f>VLOOKUP(C410,'Penutup Atap'!$D$2:$K$1059,8,FALSE)</f>
        <v>0</v>
      </c>
      <c r="H410" s="374"/>
      <c r="I410" s="16"/>
    </row>
    <row r="411" spans="2:9" ht="24" customHeight="1">
      <c r="B411" s="1033" t="str">
        <f>'Penutup Atap'!C261</f>
        <v>3.1.2.7</v>
      </c>
      <c r="C411" s="12" t="str">
        <f>VLOOKUP(B411,'Penutup Atap'!C:K,2,FALSE)</f>
        <v>Pemasangan 1 m2 atap Serat Semen gelombang 105 cm x 240 cm x 5 mm</v>
      </c>
      <c r="D411" s="9" t="s">
        <v>62</v>
      </c>
      <c r="E411" s="1021">
        <f>VLOOKUP(C411,'Penutup Atap'!$D$2:$I$1059,6,FALSE)</f>
        <v>92800</v>
      </c>
      <c r="F411" s="1003">
        <f>VLOOKUP(C411,'Penutup Atap'!$D$2:$J$1059,7,FALSE)</f>
        <v>0</v>
      </c>
      <c r="G411" s="12">
        <f>VLOOKUP(C411,'Penutup Atap'!$D$2:$K$1059,8,FALSE)</f>
        <v>0</v>
      </c>
      <c r="H411" s="374"/>
      <c r="I411" s="16"/>
    </row>
    <row r="412" spans="2:9" ht="24" customHeight="1">
      <c r="B412" s="1033" t="str">
        <f>'Penutup Atap'!C279</f>
        <v>3.1.2.8</v>
      </c>
      <c r="C412" s="12" t="str">
        <f>VLOOKUP(B412,'Penutup Atap'!C:K,2,FALSE)</f>
        <v>Pemasangan 1 m2 atap Serat gelombang 105 cm x 210 cm x 5 mm</v>
      </c>
      <c r="D412" s="9" t="s">
        <v>62</v>
      </c>
      <c r="E412" s="1021">
        <f>VLOOKUP(C412,'Penutup Atap'!$D$2:$I$1059,6,FALSE)</f>
        <v>100000</v>
      </c>
      <c r="F412" s="1003">
        <f>VLOOKUP(C412,'Penutup Atap'!$D$2:$J$1059,7,FALSE)</f>
        <v>0</v>
      </c>
      <c r="G412" s="12">
        <f>VLOOKUP(C412,'Penutup Atap'!$D$2:$K$1059,8,FALSE)</f>
        <v>0</v>
      </c>
      <c r="H412" s="374"/>
      <c r="I412" s="16"/>
    </row>
    <row r="413" spans="2:9" ht="24" customHeight="1">
      <c r="B413" s="1033" t="str">
        <f>'Penutup Atap'!C297</f>
        <v>3.1.2.9</v>
      </c>
      <c r="C413" s="12" t="str">
        <f>VLOOKUP(B413,'Penutup Atap'!C:K,2,FALSE)</f>
        <v>Pemasangan 1 m2 atap Serat Semen gelombang 105 cm x 150 cm x 5 mm</v>
      </c>
      <c r="D413" s="9" t="s">
        <v>62</v>
      </c>
      <c r="E413" s="1021">
        <f>VLOOKUP(C413,'Penutup Atap'!$D$2:$I$1059,6,FALSE)</f>
        <v>135500</v>
      </c>
      <c r="F413" s="1003">
        <f>VLOOKUP(C413,'Penutup Atap'!$D$2:$J$1059,7,FALSE)</f>
        <v>0</v>
      </c>
      <c r="G413" s="12">
        <f>VLOOKUP(C413,'Penutup Atap'!$D$2:$K$1059,8,FALSE)</f>
        <v>0</v>
      </c>
      <c r="H413" s="374"/>
      <c r="I413" s="16"/>
    </row>
    <row r="414" spans="2:9" ht="24" customHeight="1">
      <c r="B414" s="1033" t="str">
        <f>'Penutup Atap'!C315</f>
        <v>3.1.2.10</v>
      </c>
      <c r="C414" s="12" t="str">
        <f>VLOOKUP(B414,'Penutup Atap'!C:K,2,FALSE)</f>
        <v>Pemasangan 1 m2 atap Serat Semen gelombang 108 cm x 300 cm x 6 mm</v>
      </c>
      <c r="D414" s="9" t="s">
        <v>62</v>
      </c>
      <c r="E414" s="1021">
        <f>VLOOKUP(C414,'Penutup Atap'!$D$2:$I$1059,6,FALSE)</f>
        <v>83200</v>
      </c>
      <c r="F414" s="1003">
        <f>VLOOKUP(C414,'Penutup Atap'!$D$2:$J$1059,7,FALSE)</f>
        <v>0</v>
      </c>
      <c r="G414" s="12">
        <f>VLOOKUP(C414,'Penutup Atap'!$D$2:$K$1059,8,FALSE)</f>
        <v>0</v>
      </c>
      <c r="H414" s="374"/>
      <c r="I414" s="16"/>
    </row>
    <row r="415" spans="2:9" ht="24" customHeight="1">
      <c r="B415" s="1033" t="str">
        <f>'Penutup Atap'!C333</f>
        <v>3.1.2.11</v>
      </c>
      <c r="C415" s="12" t="str">
        <f>VLOOKUP(B415,'Penutup Atap'!C:K,2,FALSE)</f>
        <v>Pemasangan 1 m2 atap serat Semen gelombang 108 cm x 270 cm x 6 mm</v>
      </c>
      <c r="D415" s="9" t="s">
        <v>62</v>
      </c>
      <c r="E415" s="1021">
        <f>VLOOKUP(C415,'Penutup Atap'!$D$2:$I$1059,6,FALSE)</f>
        <v>77300</v>
      </c>
      <c r="F415" s="1003">
        <f>VLOOKUP(C415,'Penutup Atap'!$D$2:$J$1059,7,FALSE)</f>
        <v>0</v>
      </c>
      <c r="G415" s="12">
        <f>VLOOKUP(C415,'Penutup Atap'!$D$2:$K$1059,8,FALSE)</f>
        <v>0</v>
      </c>
      <c r="H415" s="374"/>
      <c r="I415" s="16"/>
    </row>
    <row r="416" spans="2:9" ht="24" customHeight="1">
      <c r="B416" s="1033" t="str">
        <f>'Penutup Atap'!C351</f>
        <v>3.1.2.12</v>
      </c>
      <c r="C416" s="12" t="str">
        <f>VLOOKUP(B416,'Penutup Atap'!C:K,2,FALSE)</f>
        <v>Pemasangan 1 m2 atap Serat Semen gelombang 108 cm x 240 cm x 6 mm</v>
      </c>
      <c r="D416" s="9" t="s">
        <v>62</v>
      </c>
      <c r="E416" s="1021">
        <f>VLOOKUP(C416,'Penutup Atap'!$D$2:$I$1059,6,FALSE)</f>
        <v>80300</v>
      </c>
      <c r="F416" s="1003">
        <f>VLOOKUP(C416,'Penutup Atap'!$D$2:$J$1059,7,FALSE)</f>
        <v>0</v>
      </c>
      <c r="G416" s="12">
        <f>VLOOKUP(C416,'Penutup Atap'!$D$2:$K$1059,8,FALSE)</f>
        <v>0</v>
      </c>
      <c r="H416" s="374"/>
      <c r="I416" s="16"/>
    </row>
    <row r="417" spans="2:9" ht="24" customHeight="1">
      <c r="B417" s="1033" t="str">
        <f>'Penutup Atap'!C369</f>
        <v>3.1.2.13</v>
      </c>
      <c r="C417" s="12" t="str">
        <f>VLOOKUP(B417,'Penutup Atap'!C:K,2,FALSE)</f>
        <v>Pemasangan 1 m2 atap Serat Semen gelombang 108 cm x 210 cm x 6 mm</v>
      </c>
      <c r="D417" s="9" t="s">
        <v>62</v>
      </c>
      <c r="E417" s="1021">
        <f>VLOOKUP(C417,'Penutup Atap'!$D$2:$I$1059,6,FALSE)</f>
        <v>79900</v>
      </c>
      <c r="F417" s="1003">
        <f>VLOOKUP(C417,'Penutup Atap'!$D$2:$J$1059,7,FALSE)</f>
        <v>0</v>
      </c>
      <c r="G417" s="12">
        <f>VLOOKUP(C417,'Penutup Atap'!$D$2:$K$1059,8,FALSE)</f>
        <v>0</v>
      </c>
      <c r="H417" s="374"/>
      <c r="I417" s="16"/>
    </row>
    <row r="418" spans="2:9" ht="24" customHeight="1">
      <c r="B418" s="1033" t="str">
        <f>'Penutup Atap'!C387</f>
        <v>3.1.2.14</v>
      </c>
      <c r="C418" s="12" t="str">
        <f>VLOOKUP(B418,'Penutup Atap'!C:K,2,FALSE)</f>
        <v>Pemasangan 1 m2 atap Serat Semen gelombang 108 cm x 180 cm x 6 mm</v>
      </c>
      <c r="D418" s="9" t="s">
        <v>62</v>
      </c>
      <c r="E418" s="1021">
        <f>VLOOKUP(C418,'Penutup Atap'!$D$2:$I$1059,6,FALSE)</f>
        <v>88200</v>
      </c>
      <c r="F418" s="1003">
        <f>VLOOKUP(C418,'Penutup Atap'!$D$2:$J$1059,7,FALSE)</f>
        <v>0</v>
      </c>
      <c r="G418" s="12">
        <f>VLOOKUP(C418,'Penutup Atap'!$D$2:$K$1059,8,FALSE)</f>
        <v>0</v>
      </c>
      <c r="H418" s="374"/>
      <c r="I418" s="16"/>
    </row>
    <row r="419" spans="2:9" ht="24" customHeight="1">
      <c r="B419" s="1033" t="str">
        <f>'Penutup Atap'!C405</f>
        <v>3.1.2.15</v>
      </c>
      <c r="C419" s="12" t="str">
        <f>VLOOKUP(B419,'Penutup Atap'!C:K,2,FALSE)</f>
        <v>Pemasangan 1 m' Nok/bubung setel gelombang 92 cm</v>
      </c>
      <c r="D419" s="9" t="s">
        <v>113</v>
      </c>
      <c r="E419" s="1021">
        <f>VLOOKUP(C419,'Penutup Atap'!$D$2:$I$1059,6,FALSE)</f>
        <v>1456200</v>
      </c>
      <c r="F419" s="1003">
        <f>VLOOKUP(C419,'Penutup Atap'!$D$2:$J$1059,7,FALSE)</f>
        <v>0</v>
      </c>
      <c r="G419" s="12">
        <f>VLOOKUP(C419,'Penutup Atap'!$D$2:$K$1059,8,FALSE)</f>
        <v>0</v>
      </c>
      <c r="H419" s="374"/>
      <c r="I419" s="16"/>
    </row>
    <row r="420" spans="2:9" ht="24" customHeight="1">
      <c r="B420" s="1033" t="str">
        <f>'Penutup Atap'!C423</f>
        <v>3.1.2.16</v>
      </c>
      <c r="C420" s="12" t="str">
        <f>VLOOKUP(B420,'Penutup Atap'!C:K,2,FALSE)</f>
        <v>Pemasangan 1 m' Nok/bubung stel gelombang 105 cm</v>
      </c>
      <c r="D420" s="9" t="s">
        <v>113</v>
      </c>
      <c r="E420" s="1021">
        <f>VLOOKUP(C420,'Penutup Atap'!$D$2:$I$1059,6,FALSE)</f>
        <v>1456200</v>
      </c>
      <c r="F420" s="1003">
        <f>VLOOKUP(C420,'Penutup Atap'!$D$2:$J$1059,7,FALSE)</f>
        <v>0</v>
      </c>
      <c r="G420" s="12">
        <f>VLOOKUP(C420,'Penutup Atap'!$D$2:$K$1059,8,FALSE)</f>
        <v>0</v>
      </c>
      <c r="H420" s="374"/>
      <c r="I420" s="16"/>
    </row>
    <row r="421" spans="2:9" ht="24" customHeight="1">
      <c r="B421" s="1033" t="str">
        <f>'Penutup Atap'!C441</f>
        <v>3.1.2.17</v>
      </c>
      <c r="C421" s="12" t="str">
        <f>VLOOKUP(B421,'Penutup Atap'!C:K,2,FALSE)</f>
        <v>Pemasangan 1 m' Nok/bubung stel gelombang 108 cm</v>
      </c>
      <c r="D421" s="9" t="s">
        <v>113</v>
      </c>
      <c r="E421" s="1021">
        <f>VLOOKUP(C421,'Penutup Atap'!$D$2:$I$1059,6,FALSE)</f>
        <v>1456200</v>
      </c>
      <c r="F421" s="1003">
        <f>VLOOKUP(C421,'Penutup Atap'!$D$2:$J$1059,7,FALSE)</f>
        <v>0</v>
      </c>
      <c r="G421" s="12">
        <f>VLOOKUP(C421,'Penutup Atap'!$D$2:$K$1059,8,FALSE)</f>
        <v>0</v>
      </c>
      <c r="H421" s="374"/>
      <c r="I421" s="16"/>
    </row>
    <row r="422" spans="2:9" ht="24" customHeight="1">
      <c r="B422" s="1033" t="str">
        <f>'Penutup Atap'!C459</f>
        <v>3.1.2.18</v>
      </c>
      <c r="C422" s="12" t="str">
        <f>VLOOKUP(B422,'Penutup Atap'!C:K,2,FALSE)</f>
        <v>Pemasangan 1 m'Nok/ bubung paten (Permanen) 92 cm</v>
      </c>
      <c r="D422" s="9" t="s">
        <v>113</v>
      </c>
      <c r="E422" s="1021">
        <f>VLOOKUP(C422,'Penutup Atap'!$D$2:$I$1059,6,FALSE)</f>
        <v>1456200</v>
      </c>
      <c r="F422" s="1003">
        <f>VLOOKUP(C422,'Penutup Atap'!$D$2:$J$1059,7,FALSE)</f>
        <v>0</v>
      </c>
      <c r="G422" s="12">
        <f>VLOOKUP(C422,'Penutup Atap'!$D$2:$K$1059,8,FALSE)</f>
        <v>0</v>
      </c>
      <c r="H422" s="374"/>
      <c r="I422" s="16"/>
    </row>
    <row r="423" spans="2:9" ht="24" customHeight="1">
      <c r="B423" s="1033" t="str">
        <f>'Penutup Atap'!C477</f>
        <v>3.1.2.19</v>
      </c>
      <c r="C423" s="12" t="str">
        <f>VLOOKUP(B423,'Penutup Atap'!C:K,2,FALSE)</f>
        <v>Pemasangan 1 m' Nok/bubung paten (Permanen) 105 cm</v>
      </c>
      <c r="D423" s="9" t="s">
        <v>113</v>
      </c>
      <c r="E423" s="1021">
        <f>VLOOKUP(C423,'Penutup Atap'!$D$2:$I$1059,6,FALSE)</f>
        <v>1456200</v>
      </c>
      <c r="F423" s="1003">
        <f>VLOOKUP(C423,'Penutup Atap'!$D$2:$J$1059,7,FALSE)</f>
        <v>0</v>
      </c>
      <c r="G423" s="12">
        <f>VLOOKUP(C423,'Penutup Atap'!$D$2:$K$1059,8,FALSE)</f>
        <v>0</v>
      </c>
      <c r="H423" s="374"/>
      <c r="I423" s="16"/>
    </row>
    <row r="424" spans="2:9" ht="24" customHeight="1">
      <c r="B424" s="1033" t="str">
        <f>'Penutup Atap'!C495</f>
        <v>3.1.2.20</v>
      </c>
      <c r="C424" s="12" t="str">
        <f>VLOOKUP(B424,'Penutup Atap'!C:K,2,FALSE)</f>
        <v>Pemasangan 1 m' Nok/bubung paten(Permanen) 108 cm</v>
      </c>
      <c r="D424" s="9" t="s">
        <v>113</v>
      </c>
      <c r="E424" s="1021">
        <f>VLOOKUP(C424,'Penutup Atap'!$D$2:$I$1059,6,FALSE)</f>
        <v>1456200</v>
      </c>
      <c r="F424" s="1003">
        <f>VLOOKUP(C424,'Penutup Atap'!$D$2:$J$1059,7,FALSE)</f>
        <v>0</v>
      </c>
      <c r="G424" s="12">
        <f>VLOOKUP(C424,'Penutup Atap'!$D$2:$K$1059,8,FALSE)</f>
        <v>0</v>
      </c>
      <c r="H424" s="374"/>
      <c r="I424" s="16"/>
    </row>
    <row r="425" spans="2:9" ht="24" customHeight="1">
      <c r="B425" s="1033" t="str">
        <f>'Penutup Atap'!C513</f>
        <v>3.1.2.21</v>
      </c>
      <c r="C425" s="12" t="str">
        <f>VLOOKUP(B425,'Penutup Atap'!C:K,2,FALSE)</f>
        <v>Pemasangan 1 m' Nok/bubung setel rata 92 cm</v>
      </c>
      <c r="D425" s="9" t="s">
        <v>113</v>
      </c>
      <c r="E425" s="1021">
        <f>VLOOKUP(C425,'Penutup Atap'!$D$2:$I$1059,6,FALSE)</f>
        <v>1456200</v>
      </c>
      <c r="F425" s="1003" t="str">
        <f>VLOOKUP(C425,'Penutup Atap'!$D$2:$J$1059,7,FALSE)</f>
        <v>Revisi</v>
      </c>
      <c r="G425" s="12" t="str">
        <f>VLOOKUP(C425,'Penutup Atap'!$D$2:$K$1059,8,FALSE)</f>
        <v xml:space="preserve">Perubahan di semua kooefisien Tenaga kerja </v>
      </c>
      <c r="H425" s="374"/>
      <c r="I425" s="16"/>
    </row>
    <row r="426" spans="2:9" ht="24" customHeight="1">
      <c r="B426" s="1033" t="str">
        <f>'Penutup Atap'!C531</f>
        <v>3.1.2.22</v>
      </c>
      <c r="C426" s="12" t="str">
        <f>VLOOKUP(B426,'Penutup Atap'!C:K,2,FALSE)</f>
        <v>Pemasangan 1 m' ok/bubung setel rata 105 cm</v>
      </c>
      <c r="D426" s="9" t="s">
        <v>113</v>
      </c>
      <c r="E426" s="1021">
        <f>VLOOKUP(C426,'Penutup Atap'!$D$2:$I$1059,6,FALSE)</f>
        <v>1456200</v>
      </c>
      <c r="F426" s="1003">
        <f>VLOOKUP(C426,'Penutup Atap'!$D$2:$J$1059,7,FALSE)</f>
        <v>0</v>
      </c>
      <c r="G426" s="12">
        <f>VLOOKUP(C426,'Penutup Atap'!$D$2:$K$1059,8,FALSE)</f>
        <v>0</v>
      </c>
      <c r="H426" s="374"/>
      <c r="I426" s="16"/>
    </row>
    <row r="427" spans="2:9" ht="24" customHeight="1">
      <c r="B427" s="1033" t="str">
        <f>'Penutup Atap'!C549</f>
        <v>3.1.2.23</v>
      </c>
      <c r="C427" s="12" t="str">
        <f>VLOOKUP(B427,'Penutup Atap'!C:K,2,FALSE)</f>
        <v>Pemasangan 1 m' Nok/bubung setel rata 108 cm</v>
      </c>
      <c r="D427" s="9" t="s">
        <v>113</v>
      </c>
      <c r="E427" s="1021">
        <f>VLOOKUP(C427,'Penutup Atap'!$D$2:$I$1059,6,FALSE)</f>
        <v>1456200</v>
      </c>
      <c r="F427" s="1003">
        <f>VLOOKUP(C427,'Penutup Atap'!$D$2:$J$1059,7,FALSE)</f>
        <v>0</v>
      </c>
      <c r="G427" s="12">
        <f>VLOOKUP(C427,'Penutup Atap'!$D$2:$K$1059,8,FALSE)</f>
        <v>0</v>
      </c>
      <c r="H427" s="374"/>
      <c r="I427" s="16"/>
    </row>
    <row r="428" spans="2:9" ht="24" customHeight="1">
      <c r="B428" s="1043" t="str">
        <f>'Penutup Atap'!C567</f>
        <v>3.1.3</v>
      </c>
      <c r="C428" s="41" t="str">
        <f>VLOOKUP(B428,'Penutup Atap'!C:K,2,FALSE)</f>
        <v xml:space="preserve">Penutup Atap Lainnya </v>
      </c>
      <c r="D428" s="994"/>
      <c r="E428" s="1027"/>
      <c r="F428" s="1004">
        <f>VLOOKUP(C428,'Penutup Atap'!$D$2:$J$1059,7,FALSE)</f>
        <v>0</v>
      </c>
      <c r="G428" s="36">
        <f>VLOOKUP(C428,'Penutup Atap'!$D$2:$K$1059,8,FALSE)</f>
        <v>0</v>
      </c>
      <c r="H428" s="374"/>
      <c r="I428" s="16"/>
    </row>
    <row r="429" spans="2:9" ht="24" customHeight="1">
      <c r="B429" s="1033" t="str">
        <f>'Penutup Atap'!C568</f>
        <v>3.1.3.1</v>
      </c>
      <c r="C429" s="12" t="str">
        <f>VLOOKUP(B429,'Penutup Atap'!C:K,2,FALSE)</f>
        <v>Pemasangan 1 m2 atap seng gelombang 105x180 cm</v>
      </c>
      <c r="D429" s="9" t="s">
        <v>62</v>
      </c>
      <c r="E429" s="1021">
        <f>VLOOKUP(C429,'Penutup Atap'!$D$2:$I$1059,6,FALSE)</f>
        <v>24100</v>
      </c>
      <c r="F429" s="1003">
        <f>VLOOKUP(C429,'Penutup Atap'!$D$2:$J$1059,7,FALSE)</f>
        <v>0</v>
      </c>
      <c r="G429" s="12">
        <f>VLOOKUP(C429,'Penutup Atap'!$D$2:$K$1059,8,FALSE)</f>
        <v>0</v>
      </c>
      <c r="H429" s="374"/>
      <c r="I429" s="16"/>
    </row>
    <row r="430" spans="2:9" ht="24" customHeight="1">
      <c r="B430" s="1033" t="str">
        <f>'Penutup Atap'!C586</f>
        <v>3.1.3.2</v>
      </c>
      <c r="C430" s="12" t="str">
        <f>VLOOKUP(B430,'Penutup Atap'!C:K,2,FALSE)</f>
        <v>Pemasangan 1 m2 atap aluminium gelombang 95x180 cm</v>
      </c>
      <c r="D430" s="9" t="s">
        <v>62</v>
      </c>
      <c r="E430" s="1021">
        <f>VLOOKUP(C430,'Penutup Atap'!$D$2:$I$1059,6,FALSE)</f>
        <v>293900</v>
      </c>
      <c r="F430" s="1003">
        <f>VLOOKUP(C430,'Penutup Atap'!$D$2:$J$1059,7,FALSE)</f>
        <v>0</v>
      </c>
      <c r="G430" s="12">
        <f>VLOOKUP(C430,'Penutup Atap'!$D$2:$K$1059,8,FALSE)</f>
        <v>0</v>
      </c>
      <c r="H430" s="374"/>
      <c r="I430" s="16"/>
    </row>
    <row r="431" spans="2:9" ht="24" customHeight="1">
      <c r="B431" s="1033" t="str">
        <f>'Penutup Atap'!C604</f>
        <v>3.1.3.3</v>
      </c>
      <c r="C431" s="12" t="str">
        <f>VLOOKUP(B431,'Penutup Atap'!C:K,2,FALSE)</f>
        <v>Pemasangan 1 m2 atap sirap kayu</v>
      </c>
      <c r="D431" s="9" t="s">
        <v>62</v>
      </c>
      <c r="E431" s="1021">
        <f>VLOOKUP(C431,'Penutup Atap'!$D$2:$I$1059,6,FALSE)</f>
        <v>68200</v>
      </c>
      <c r="F431" s="1003">
        <f>VLOOKUP(C431,'Penutup Atap'!$D$2:$J$1059,7,FALSE)</f>
        <v>0</v>
      </c>
      <c r="G431" s="12">
        <f>VLOOKUP(C431,'Penutup Atap'!$D$2:$K$1059,8,FALSE)</f>
        <v>0</v>
      </c>
      <c r="H431" s="374"/>
      <c r="I431" s="16"/>
    </row>
    <row r="432" spans="2:9" ht="24" customHeight="1">
      <c r="B432" s="1033" t="str">
        <f>'Penutup Atap'!C622</f>
        <v>3.1.3.4</v>
      </c>
      <c r="C432" s="12" t="str">
        <f>VLOOKUP(B432,'Penutup Atap'!C:K,2,FALSE)</f>
        <v>Pemasangan 1 m2 atap fibreglass 90x180 cm</v>
      </c>
      <c r="D432" s="9" t="s">
        <v>62</v>
      </c>
      <c r="E432" s="1021">
        <f>VLOOKUP(C432,'Penutup Atap'!$D$2:$I$1059,6,FALSE)</f>
        <v>28600</v>
      </c>
      <c r="F432" s="1003" t="str">
        <f>VLOOKUP(C432,'Penutup Atap'!$D$2:$J$1059,7,FALSE)</f>
        <v>Revisi</v>
      </c>
      <c r="G432" s="12" t="str">
        <f>VLOOKUP(C432,'Penutup Atap'!$D$2:$K$1059,8,FALSE)</f>
        <v xml:space="preserve">Tidak ada perubahan </v>
      </c>
      <c r="H432" s="374"/>
      <c r="I432" s="16"/>
    </row>
    <row r="433" spans="2:9" ht="24" customHeight="1">
      <c r="B433" s="1033" t="str">
        <f>'Penutup Atap'!C640</f>
        <v>3.1.3.5</v>
      </c>
      <c r="C433" s="12" t="str">
        <f>VLOOKUP(B433,'Penutup Atap'!C:K,2,FALSE)</f>
        <v>Pemasangan 1 m2 atap UPVC</v>
      </c>
      <c r="D433" s="9" t="s">
        <v>62</v>
      </c>
      <c r="E433" s="1021">
        <f>VLOOKUP(C433,'Penutup Atap'!$D$2:$I$1059,6,FALSE)</f>
        <v>53100</v>
      </c>
      <c r="F433" s="1003">
        <f>VLOOKUP(C433,'Penutup Atap'!$D$2:$J$1059,7,FALSE)</f>
        <v>0</v>
      </c>
      <c r="G433" s="12">
        <f>VLOOKUP(C433,'Penutup Atap'!$D$2:$K$1059,8,FALSE)</f>
        <v>0</v>
      </c>
      <c r="H433" s="374"/>
      <c r="I433" s="16"/>
    </row>
    <row r="434" spans="2:9" ht="24" customHeight="1">
      <c r="B434" s="1033" t="str">
        <f>'Penutup Atap'!C658</f>
        <v>3.1.3.6</v>
      </c>
      <c r="C434" s="12" t="str">
        <f>VLOOKUP(B434,'Penutup Atap'!C:K,2,FALSE)</f>
        <v>Pemasangan 1 m2 atap aspal/bitumen</v>
      </c>
      <c r="D434" s="9" t="s">
        <v>62</v>
      </c>
      <c r="E434" s="1021">
        <f>VLOOKUP(C434,'Penutup Atap'!$D$2:$I$1059,6,FALSE)</f>
        <v>106700</v>
      </c>
      <c r="F434" s="1003">
        <f>VLOOKUP(C434,'Penutup Atap'!$D$2:$J$1059,7,FALSE)</f>
        <v>0</v>
      </c>
      <c r="G434" s="12">
        <f>VLOOKUP(C434,'Penutup Atap'!$D$2:$K$1059,8,FALSE)</f>
        <v>0</v>
      </c>
      <c r="H434" s="374"/>
      <c r="I434" s="16"/>
    </row>
    <row r="435" spans="2:9" ht="24" customHeight="1">
      <c r="B435" s="1033" t="str">
        <f>'Penutup Atap'!C678</f>
        <v>3.1.3.7</v>
      </c>
      <c r="C435" s="1158" t="str">
        <f>VLOOKUP(B435,'Penutup Atap'!C:K,2,FALSE)</f>
        <v>Pemasangan 1 m2 atap metal lembaran</v>
      </c>
      <c r="D435" s="9" t="s">
        <v>62</v>
      </c>
      <c r="E435" s="1021">
        <f>VLOOKUP(C435,'Penutup Atap'!$D$2:$I$1059,6,FALSE)</f>
        <v>311000</v>
      </c>
      <c r="F435" s="1003">
        <f>VLOOKUP(C435,'Penutup Atap'!$D$2:$J$1059,7,FALSE)</f>
        <v>0</v>
      </c>
      <c r="G435" s="12">
        <f>VLOOKUP(C435,'Penutup Atap'!$D$2:$K$1059,8,FALSE)</f>
        <v>0</v>
      </c>
      <c r="H435" s="374"/>
      <c r="I435" s="16"/>
    </row>
    <row r="436" spans="2:9" ht="24" customHeight="1">
      <c r="B436" s="1033" t="str">
        <f>'Penutup Atap'!C696</f>
        <v>3.1.3.8</v>
      </c>
      <c r="C436" s="12" t="str">
        <f>VLOOKUP(B436,'Penutup Atap'!C:K,2,FALSE)</f>
        <v>Pemasangan 1 m2 atap metal menerus tebal 0,4 mm</v>
      </c>
      <c r="D436" s="9" t="s">
        <v>62</v>
      </c>
      <c r="E436" s="1021">
        <f>VLOOKUP(C436,'Penutup Atap'!$D$2:$I$1059,6,FALSE)</f>
        <v>51200</v>
      </c>
      <c r="F436" s="1003">
        <f>VLOOKUP(C436,'Penutup Atap'!$D$2:$J$1059,7,FALSE)</f>
        <v>0</v>
      </c>
      <c r="G436" s="12">
        <f>VLOOKUP(C436,'Penutup Atap'!$D$2:$K$1059,8,FALSE)</f>
        <v>0</v>
      </c>
      <c r="H436" s="374"/>
      <c r="I436" s="16"/>
    </row>
    <row r="437" spans="2:9" ht="24" customHeight="1">
      <c r="B437" s="1033" t="str">
        <f>'Penutup Atap'!C714</f>
        <v>3.1.3.9</v>
      </c>
      <c r="C437" s="12" t="str">
        <f>VLOOKUP(B437,'Penutup Atap'!C:K,2,FALSE)</f>
        <v>Pemasangan 1 m2 Atap Kaca Tempered</v>
      </c>
      <c r="D437" s="9" t="s">
        <v>62</v>
      </c>
      <c r="E437" s="1021">
        <f>VLOOKUP(C437,'Penutup Atap'!$D$2:$I$1059,6,FALSE)</f>
        <v>0</v>
      </c>
      <c r="F437" s="1003">
        <f>VLOOKUP(C437,'Penutup Atap'!$D$2:$J$1059,7,FALSE)</f>
        <v>0</v>
      </c>
      <c r="G437" s="12">
        <f>VLOOKUP(C437,'Penutup Atap'!$D$2:$K$1059,8,FALSE)</f>
        <v>0</v>
      </c>
      <c r="H437" s="374"/>
      <c r="I437" s="16"/>
    </row>
    <row r="438" spans="2:9" ht="24" customHeight="1">
      <c r="B438" s="1033" t="str">
        <f>'Penutup Atap'!C715</f>
        <v>3.1.3.9.1</v>
      </c>
      <c r="C438" s="12" t="str">
        <f>VLOOKUP(B438,'Penutup Atap'!C:K,2,FALSE)</f>
        <v>Pemasangan 1 m2 atap kaca ketebalan 8/10/12 mm</v>
      </c>
      <c r="D438" s="9" t="s">
        <v>62</v>
      </c>
      <c r="E438" s="1021">
        <f>VLOOKUP(C438,'Penutup Atap'!$D$2:$I$1059,6,FALSE)</f>
        <v>776000</v>
      </c>
      <c r="F438" s="1003">
        <f>VLOOKUP(C438,'Penutup Atap'!$D$2:$J$1059,7,FALSE)</f>
        <v>0</v>
      </c>
      <c r="G438" s="12">
        <f>VLOOKUP(C438,'Penutup Atap'!$D$2:$K$1059,8,FALSE)</f>
        <v>0</v>
      </c>
      <c r="H438" s="374"/>
      <c r="I438" s="16"/>
    </row>
    <row r="439" spans="2:9" ht="24" customHeight="1">
      <c r="B439" s="1033" t="str">
        <f>'Penutup Atap'!C733</f>
        <v>3.1.3.10</v>
      </c>
      <c r="C439" s="12" t="str">
        <f>VLOOKUP(B439,'Penutup Atap'!C:K,2,FALSE)</f>
        <v>Pemasangan 1 m' Nok/bubung atap seng gelombang</v>
      </c>
      <c r="D439" s="9" t="s">
        <v>113</v>
      </c>
      <c r="E439" s="1021">
        <f>VLOOKUP(C439,'Penutup Atap'!$D$2:$I$1059,6,FALSE)</f>
        <v>29900</v>
      </c>
      <c r="F439" s="1003">
        <f>VLOOKUP(C439,'Penutup Atap'!$D$2:$J$1059,7,FALSE)</f>
        <v>0</v>
      </c>
      <c r="G439" s="12">
        <f>VLOOKUP(C439,'Penutup Atap'!$D$2:$K$1059,8,FALSE)</f>
        <v>0</v>
      </c>
      <c r="H439" s="374"/>
      <c r="I439" s="16"/>
    </row>
    <row r="440" spans="2:9" ht="24" customHeight="1">
      <c r="B440" s="1033" t="str">
        <f>'Penutup Atap'!C751</f>
        <v>3.1.3.11</v>
      </c>
      <c r="C440" s="12" t="str">
        <f>VLOOKUP(B440,'Penutup Atap'!C:K,2,FALSE)</f>
        <v>Pemasangan 1 m' Nok/bubung atap aluminium gelombang</v>
      </c>
      <c r="D440" s="9" t="s">
        <v>5271</v>
      </c>
      <c r="E440" s="1021">
        <f>VLOOKUP(C440,'Penutup Atap'!$D$2:$I$1059,6,FALSE)</f>
        <v>182200</v>
      </c>
      <c r="F440" s="1003">
        <f>VLOOKUP(C440,'Penutup Atap'!$D$2:$J$1059,7,FALSE)</f>
        <v>0</v>
      </c>
      <c r="G440" s="12">
        <f>VLOOKUP(C440,'Penutup Atap'!$D$2:$K$1059,8,FALSE)</f>
        <v>0</v>
      </c>
      <c r="H440" s="374"/>
      <c r="I440" s="16"/>
    </row>
    <row r="441" spans="2:9" ht="24" customHeight="1">
      <c r="B441" s="1033" t="str">
        <f>'Penutup Atap'!C769</f>
        <v>3.1.3.12</v>
      </c>
      <c r="C441" s="12" t="str">
        <f>VLOOKUP(B441,'Penutup Atap'!C:K,2,FALSE)</f>
        <v>Pemasangan 1 m' Nok/bubung atap sirap kayu</v>
      </c>
      <c r="D441" s="9" t="s">
        <v>113</v>
      </c>
      <c r="E441" s="1021">
        <f>VLOOKUP(C441,'Penutup Atap'!$D$2:$I$1059,6,FALSE)</f>
        <v>58200</v>
      </c>
      <c r="F441" s="1003">
        <f>VLOOKUP(C441,'Penutup Atap'!$D$2:$J$1059,7,FALSE)</f>
        <v>0</v>
      </c>
      <c r="G441" s="12">
        <f>VLOOKUP(C441,'Penutup Atap'!$D$2:$K$1059,8,FALSE)</f>
        <v>0</v>
      </c>
      <c r="H441" s="374"/>
      <c r="I441" s="16"/>
    </row>
    <row r="442" spans="2:9" ht="24" customHeight="1">
      <c r="B442" s="1033" t="str">
        <f>'Penutup Atap'!C787</f>
        <v>3.1.3.13</v>
      </c>
      <c r="C442" s="12" t="str">
        <f>VLOOKUP(B442,'Penutup Atap'!C:K,2,FALSE)</f>
        <v>Pemasangan 1 m' Nok/bubung atap aspal/bitumen</v>
      </c>
      <c r="D442" s="9" t="s">
        <v>113</v>
      </c>
      <c r="E442" s="1021">
        <f>VLOOKUP(C442,'Penutup Atap'!$D$2:$I$1059,6,FALSE)</f>
        <v>58200</v>
      </c>
      <c r="F442" s="1003">
        <f>VLOOKUP(C442,'Penutup Atap'!$D$2:$J$1059,7,FALSE)</f>
        <v>0</v>
      </c>
      <c r="G442" s="12">
        <f>VLOOKUP(C442,'Penutup Atap'!$D$2:$K$1059,8,FALSE)</f>
        <v>0</v>
      </c>
      <c r="H442" s="374"/>
      <c r="I442" s="16"/>
    </row>
    <row r="443" spans="2:9" ht="24" customHeight="1">
      <c r="B443" s="1033" t="str">
        <f>'Penutup Atap'!C806</f>
        <v>3.1.3.14</v>
      </c>
      <c r="C443" s="12" t="str">
        <f>VLOOKUP(B443,'Penutup Atap'!C:K,2,FALSE)</f>
        <v>Pemasangan 1 m' Nok/bubung genteng metal</v>
      </c>
      <c r="D443" s="9" t="s">
        <v>113</v>
      </c>
      <c r="E443" s="1021">
        <f>VLOOKUP(C443,'Penutup Atap'!$D$2:$I$1059,6,FALSE)</f>
        <v>65000</v>
      </c>
      <c r="F443" s="1003">
        <f>VLOOKUP(C443,'Penutup Atap'!$D$2:$J$1059,7,FALSE)</f>
        <v>0</v>
      </c>
      <c r="G443" s="12">
        <f>VLOOKUP(C443,'Penutup Atap'!$D$2:$K$1059,8,FALSE)</f>
        <v>0</v>
      </c>
      <c r="H443" s="374"/>
      <c r="I443" s="16"/>
    </row>
    <row r="444" spans="2:9" ht="24" customHeight="1">
      <c r="B444" s="1043" t="str">
        <f>'Penutup Atap'!C824</f>
        <v>3.2</v>
      </c>
      <c r="C444" s="41" t="str">
        <f>VLOOKUP(B444,'Penutup Atap'!C:K,2,FALSE)</f>
        <v>PEKERJAAN INSULASI</v>
      </c>
      <c r="D444" s="994"/>
      <c r="E444" s="1027"/>
      <c r="F444" s="1004">
        <f>VLOOKUP(C444,'Penutup Atap'!$D$2:$J$1059,7,FALSE)</f>
        <v>0</v>
      </c>
      <c r="G444" s="36">
        <f>VLOOKUP(C444,'Penutup Atap'!$D$2:$K$1059,8,FALSE)</f>
        <v>0</v>
      </c>
      <c r="H444" s="374"/>
      <c r="I444" s="16"/>
    </row>
    <row r="445" spans="2:9" ht="24" customHeight="1">
      <c r="B445" s="1033" t="str">
        <f>'Penutup Atap'!C825</f>
        <v>3.2.1</v>
      </c>
      <c r="C445" s="12" t="str">
        <f>VLOOKUP(B445,'Penutup Atap'!C:K,2,FALSE)</f>
        <v>Pemasangan 1 m2 lembaran insulasi atap</v>
      </c>
      <c r="D445" s="9" t="s">
        <v>62</v>
      </c>
      <c r="E445" s="1021">
        <f>VLOOKUP(C445,'Penutup Atap'!$D$2:$I$1059,6,FALSE)</f>
        <v>28900</v>
      </c>
      <c r="F445" s="1003">
        <f>VLOOKUP(C445,'Penutup Atap'!$D$2:$J$1059,7,FALSE)</f>
        <v>0</v>
      </c>
      <c r="G445" s="12">
        <f>VLOOKUP(C445,'Penutup Atap'!$D$2:$K$1059,8,FALSE)</f>
        <v>0</v>
      </c>
      <c r="H445" s="374"/>
      <c r="I445" s="16"/>
    </row>
    <row r="446" spans="2:9" ht="24" customHeight="1">
      <c r="B446" s="1033" t="str">
        <f>'Penutup Atap'!C842</f>
        <v>3.2.2</v>
      </c>
      <c r="C446" s="12" t="str">
        <f>VLOOKUP(B446,'Penutup Atap'!C:K,2,FALSE)</f>
        <v>Pemasangan 1 m2 modul insulasi tebal 8 mm</v>
      </c>
      <c r="D446" s="9" t="s">
        <v>62</v>
      </c>
      <c r="E446" s="1021">
        <f>VLOOKUP(C446,'Penutup Atap'!$D$2:$I$1059,6,FALSE)</f>
        <v>25000</v>
      </c>
      <c r="F446" s="1003">
        <f>VLOOKUP(C446,'Penutup Atap'!$D$2:$J$1059,7,FALSE)</f>
        <v>0</v>
      </c>
      <c r="G446" s="12">
        <f>VLOOKUP(C446,'Penutup Atap'!$D$2:$K$1059,8,FALSE)</f>
        <v>0</v>
      </c>
      <c r="H446" s="374"/>
      <c r="I446" s="16"/>
    </row>
    <row r="447" spans="2:9" ht="24" customHeight="1">
      <c r="B447" s="1033" t="str">
        <f>'Penutup Atap'!C860</f>
        <v>3.2.3</v>
      </c>
      <c r="C447" s="12" t="str">
        <f>VLOOKUP(B447,'Penutup Atap'!C:K,2,FALSE)</f>
        <v>Pemasangan 1 m2 foam insulasi atap</v>
      </c>
      <c r="D447" s="9" t="s">
        <v>62</v>
      </c>
      <c r="E447" s="1021">
        <f>VLOOKUP(C447,'Penutup Atap'!$D$2:$I$1059,6,FALSE)</f>
        <v>19500</v>
      </c>
      <c r="F447" s="1003">
        <f>VLOOKUP(C447,'Penutup Atap'!$D$2:$J$1059,7,FALSE)</f>
        <v>0</v>
      </c>
      <c r="G447" s="12">
        <f>VLOOKUP(C447,'Penutup Atap'!$D$2:$K$1059,8,FALSE)</f>
        <v>0</v>
      </c>
      <c r="H447" s="374"/>
      <c r="I447" s="16"/>
    </row>
    <row r="448" spans="2:9" ht="24" customHeight="1">
      <c r="B448" s="1043" t="str">
        <f>'Penutup Atap'!C877</f>
        <v>3.3.</v>
      </c>
      <c r="C448" s="41" t="str">
        <f>VLOOKUP(B448,'Penutup Atap'!C:K,2,FALSE)</f>
        <v>PEKERJAAN AKSESORIS ATAP</v>
      </c>
      <c r="D448" s="994"/>
      <c r="E448" s="1027"/>
      <c r="F448" s="1004">
        <f>VLOOKUP(C448,'Penutup Atap'!$D$2:$J$1059,7,FALSE)</f>
        <v>0</v>
      </c>
      <c r="G448" s="36">
        <f>VLOOKUP(C448,'Penutup Atap'!$D$2:$K$1059,8,FALSE)</f>
        <v>0</v>
      </c>
      <c r="H448" s="374"/>
      <c r="I448" s="16"/>
    </row>
    <row r="449" spans="2:9" ht="24" customHeight="1">
      <c r="B449" s="1033" t="str">
        <f>'Penutup Atap'!C878</f>
        <v>3.3.1</v>
      </c>
      <c r="C449" s="12" t="str">
        <f>VLOOKUP(B449,'Penutup Atap'!C:K,2,FALSE)</f>
        <v>Pemasangan 1 m' talang datar/jurai seng BJLS 28 lebar 90 cm</v>
      </c>
      <c r="D449" s="9" t="s">
        <v>113</v>
      </c>
      <c r="E449" s="1021">
        <f>VLOOKUP(C449,'Penutup Atap'!$D$2:$I$1059,6,FALSE)</f>
        <v>209100</v>
      </c>
      <c r="F449" s="1003">
        <f>VLOOKUP(C449,'Penutup Atap'!$D$2:$J$1059,7,FALSE)</f>
        <v>0</v>
      </c>
      <c r="G449" s="12">
        <f>VLOOKUP(C449,'Penutup Atap'!$D$2:$K$1059,8,FALSE)</f>
        <v>0</v>
      </c>
      <c r="H449" s="374"/>
      <c r="I449" s="16"/>
    </row>
    <row r="450" spans="2:9" ht="24" customHeight="1">
      <c r="B450" s="1033" t="str">
        <f>'Penutup Atap'!C897</f>
        <v>3.3.2</v>
      </c>
      <c r="C450" s="12" t="str">
        <f>VLOOKUP(B450,'Penutup Atap'!C:K,2,FALSE)</f>
        <v>Pemasangan 1 m' talang ½ lingkaran D-15 cm seng plat BJLS 30</v>
      </c>
      <c r="D450" s="9" t="s">
        <v>113</v>
      </c>
      <c r="E450" s="1021">
        <f>VLOOKUP(C450,'Penutup Atap'!$D$2:$I$1059,6,FALSE)</f>
        <v>221700</v>
      </c>
      <c r="F450" s="1003">
        <f>VLOOKUP(C450,'Penutup Atap'!$D$2:$J$1059,7,FALSE)</f>
        <v>0</v>
      </c>
      <c r="G450" s="12">
        <f>VLOOKUP(C450,'Penutup Atap'!$D$2:$K$1059,8,FALSE)</f>
        <v>0</v>
      </c>
      <c r="H450" s="374"/>
      <c r="I450" s="16"/>
    </row>
    <row r="451" spans="2:9" ht="24" customHeight="1">
      <c r="B451" s="1033" t="str">
        <f>'Penutup Atap'!C916</f>
        <v>3.3.3</v>
      </c>
      <c r="C451" s="12" t="str">
        <f>VLOOKUP(B451,'Penutup Atap'!C:K,2,FALSE)</f>
        <v>Pemasangan 1 m' lisplank uk. 3x20 cm, kayu kelas I atau II</v>
      </c>
      <c r="D451" s="9" t="s">
        <v>113</v>
      </c>
      <c r="E451" s="1021" t="e">
        <f>VLOOKUP(C451,'Penutup Atap'!$D$2:$I$1059,6,FALSE)</f>
        <v>#VALUE!</v>
      </c>
      <c r="F451" s="1003">
        <f>VLOOKUP(C451,'Penutup Atap'!$D$2:$J$1059,7,FALSE)</f>
        <v>0</v>
      </c>
      <c r="G451" s="12">
        <f>VLOOKUP(C451,'Penutup Atap'!$D$2:$K$1059,8,FALSE)</f>
        <v>0</v>
      </c>
      <c r="H451" s="374"/>
      <c r="I451" s="16"/>
    </row>
    <row r="452" spans="2:9" ht="24" customHeight="1">
      <c r="B452" s="1033" t="str">
        <f>'Penutup Atap'!C934</f>
        <v>3.3.4</v>
      </c>
      <c r="C452" s="12" t="str">
        <f>VLOOKUP(B452,'Penutup Atap'!C:K,2,FALSE)</f>
        <v>Pemasangan 1 m' lisplank uk. 3x30 cm, kayu kelas I atau II</v>
      </c>
      <c r="D452" s="9" t="s">
        <v>113</v>
      </c>
      <c r="E452" s="1021" t="e">
        <f>VLOOKUP(C452,'Penutup Atap'!$D$2:$I$1059,6,FALSE)</f>
        <v>#VALUE!</v>
      </c>
      <c r="F452" s="1003">
        <f>VLOOKUP(C452,'Penutup Atap'!$D$2:$J$1059,7,FALSE)</f>
        <v>0</v>
      </c>
      <c r="G452" s="12">
        <f>VLOOKUP(C452,'Penutup Atap'!$D$2:$K$1059,8,FALSE)</f>
        <v>0</v>
      </c>
      <c r="H452" s="374"/>
      <c r="I452" s="16"/>
    </row>
    <row r="453" spans="2:9" ht="24" customHeight="1">
      <c r="B453" s="1033" t="str">
        <f>'Penutup Atap'!C952</f>
        <v>3.3.5</v>
      </c>
      <c r="C453" s="12" t="str">
        <f>VLOOKUP(B453,'Penutup Atap'!C:K,2,FALSE)</f>
        <v>Pemasangan 1 m' lisplank non kayu (GRC, serat semen) lebar 30 cm</v>
      </c>
      <c r="D453" s="9" t="s">
        <v>113</v>
      </c>
      <c r="E453" s="1021">
        <f>VLOOKUP(C453,'Penutup Atap'!$D$2:$I$1059,6,FALSE)</f>
        <v>73600</v>
      </c>
      <c r="F453" s="1003">
        <f>VLOOKUP(C453,'Penutup Atap'!$D$2:$J$1059,7,FALSE)</f>
        <v>0</v>
      </c>
      <c r="G453" s="12">
        <f>VLOOKUP(C453,'Penutup Atap'!$D$2:$K$1059,8,FALSE)</f>
        <v>0</v>
      </c>
      <c r="H453" s="374"/>
      <c r="I453" s="16"/>
    </row>
    <row r="454" spans="2:9" ht="24" customHeight="1">
      <c r="B454" s="1033" t="str">
        <f>'Penutup Atap'!C970</f>
        <v>3.3.6</v>
      </c>
      <c r="C454" s="1158" t="str">
        <f>VLOOKUP(B454,'Penutup Atap'!C:K,2,FALSE)</f>
        <v>Pemasangan 1 m' lisplank non kayu (GRC, serat semen) lebar 20 cm</v>
      </c>
      <c r="D454" s="9" t="s">
        <v>113</v>
      </c>
      <c r="E454" s="1021">
        <f>VLOOKUP(C454,'Penutup Atap'!$D$2:$I$1059,6,FALSE)</f>
        <v>75600</v>
      </c>
      <c r="F454" s="1003">
        <f>VLOOKUP(C454,'Penutup Atap'!$D$2:$J$1059,7,FALSE)</f>
        <v>0</v>
      </c>
      <c r="G454" s="12">
        <f>VLOOKUP(C454,'Penutup Atap'!$D$2:$K$1059,8,FALSE)</f>
        <v>0</v>
      </c>
      <c r="H454" s="374"/>
      <c r="I454" s="16"/>
    </row>
    <row r="455" spans="2:9" ht="24" customHeight="1">
      <c r="B455" s="1043" t="str">
        <f>'Penutup Atap'!C988</f>
        <v>3.4</v>
      </c>
      <c r="C455" s="41" t="str">
        <f>VLOOKUP(B455,'Penutup Atap'!C:K,2,FALSE)</f>
        <v>PEKERJAAN WATERPROOFING</v>
      </c>
      <c r="D455" s="994"/>
      <c r="E455" s="1027"/>
      <c r="F455" s="1004">
        <f>VLOOKUP(C455,'Penutup Atap'!$D$2:$J$1059,7,FALSE)</f>
        <v>0</v>
      </c>
      <c r="G455" s="36">
        <f>VLOOKUP(C455,'Penutup Atap'!$D$2:$K$1059,8,FALSE)</f>
        <v>0</v>
      </c>
      <c r="H455" s="374"/>
      <c r="I455" s="16"/>
    </row>
    <row r="456" spans="2:9" ht="24" customHeight="1">
      <c r="B456" s="1033" t="str">
        <f>'Penutup Atap'!C989</f>
        <v>3.4.1</v>
      </c>
      <c r="C456" s="12" t="str">
        <f>VLOOKUP(B456,'Penutup Atap'!C:K,2,FALSE)</f>
        <v>Pemasangan 1 m2 Waterproofing Membran Bakar</v>
      </c>
      <c r="D456" s="9" t="s">
        <v>62</v>
      </c>
      <c r="E456" s="1021">
        <f>VLOOKUP(C456,'Penutup Atap'!$D$2:$I$1059,6,FALSE)</f>
        <v>206300</v>
      </c>
      <c r="F456" s="1003">
        <f>VLOOKUP(C456,'Penutup Atap'!$D$2:$J$1059,7,FALSE)</f>
        <v>0</v>
      </c>
      <c r="G456" s="12">
        <f>VLOOKUP(C456,'Penutup Atap'!$D$2:$K$1059,8,FALSE)</f>
        <v>0</v>
      </c>
      <c r="H456" s="374"/>
      <c r="I456" s="16"/>
    </row>
    <row r="457" spans="2:9" ht="24" customHeight="1">
      <c r="B457" s="1033" t="str">
        <f>'Penutup Atap'!C1008</f>
        <v>3.4.2</v>
      </c>
      <c r="C457" s="12" t="str">
        <f>VLOOKUP(B457,'Penutup Atap'!C:K,2,FALSE)</f>
        <v>Pelapisan 1 M2 Waterproofing Cristalin</v>
      </c>
      <c r="D457" s="9" t="s">
        <v>62</v>
      </c>
      <c r="E457" s="1021">
        <f>VLOOKUP(C457,'Penutup Atap'!$D$2:$I$1059,6,FALSE)</f>
        <v>122800</v>
      </c>
      <c r="F457" s="1003">
        <f>VLOOKUP(C457,'Penutup Atap'!$D$2:$J$1059,7,FALSE)</f>
        <v>0</v>
      </c>
      <c r="G457" s="12">
        <f>VLOOKUP(C457,'Penutup Atap'!$D$2:$K$1059,8,FALSE)</f>
        <v>0</v>
      </c>
      <c r="H457" s="374"/>
      <c r="I457" s="16"/>
    </row>
    <row r="458" spans="2:9" ht="24" customHeight="1">
      <c r="B458" s="1033" t="str">
        <f>'Penutup Atap'!C1025</f>
        <v>3.4.3</v>
      </c>
      <c r="C458" s="12" t="str">
        <f>VLOOKUP(B458,'Penutup Atap'!C:K,2,FALSE)</f>
        <v xml:space="preserve">Pelapisan 1 M2 Waterproofing  Semen Base </v>
      </c>
      <c r="D458" s="9" t="s">
        <v>62</v>
      </c>
      <c r="E458" s="1021">
        <f>VLOOKUP(C458,'Penutup Atap'!$D$2:$I$1059,6,FALSE)</f>
        <v>141900</v>
      </c>
      <c r="F458" s="1003">
        <f>VLOOKUP(C458,'Penutup Atap'!$D$2:$J$1059,7,FALSE)</f>
        <v>0</v>
      </c>
      <c r="G458" s="12">
        <f>VLOOKUP(C458,'Penutup Atap'!$D$2:$K$1059,8,FALSE)</f>
        <v>0</v>
      </c>
      <c r="H458" s="374"/>
      <c r="I458" s="16"/>
    </row>
    <row r="459" spans="2:9" ht="24" customHeight="1">
      <c r="B459" s="1033" t="str">
        <f>'Penutup Atap'!C1043</f>
        <v>3.4.4</v>
      </c>
      <c r="C459" s="12" t="str">
        <f>VLOOKUP(B459,'Penutup Atap'!C:K,2,FALSE)</f>
        <v xml:space="preserve">Pelapisan 1 M2 Waterproofing Acrylic Base </v>
      </c>
      <c r="D459" s="9" t="s">
        <v>62</v>
      </c>
      <c r="E459" s="1021">
        <f>VLOOKUP(C459,'Penutup Atap'!$D$2:$I$1059,6,FALSE)</f>
        <v>125800</v>
      </c>
      <c r="F459" s="1003">
        <f>VLOOKUP(C459,'Penutup Atap'!$D$2:$J$1059,7,FALSE)</f>
        <v>0</v>
      </c>
      <c r="G459" s="12">
        <f>VLOOKUP(C459,'Penutup Atap'!$D$2:$K$1059,8,FALSE)</f>
        <v>0</v>
      </c>
      <c r="H459" s="374"/>
      <c r="I459" s="16"/>
    </row>
    <row r="460" spans="2:9" ht="24" customHeight="1">
      <c r="B460" s="1044" t="str">
        <f>Plafon!C3</f>
        <v>3,5</v>
      </c>
      <c r="C460" s="1002" t="str">
        <f>VLOOKUP(B460,Plafon!C:K,2,FALSE)</f>
        <v>PEKERJAAN LANGIT-LANGIT (PLAFON)</v>
      </c>
      <c r="D460" s="995"/>
      <c r="E460" s="1026"/>
      <c r="F460" s="1007"/>
      <c r="G460" s="30"/>
      <c r="H460" s="374"/>
      <c r="I460" s="16"/>
    </row>
    <row r="461" spans="2:9" ht="24" customHeight="1">
      <c r="B461" s="1043" t="str">
        <f>Plafon!C4</f>
        <v>3,5,1</v>
      </c>
      <c r="C461" s="1001" t="str">
        <f>VLOOKUP(B461,Plafon!C:K,2,FALSE)</f>
        <v xml:space="preserve">Langit-Langit (Plafon) Akusik </v>
      </c>
      <c r="D461" s="994"/>
      <c r="E461" s="1027"/>
      <c r="F461" s="1004"/>
      <c r="G461" s="36"/>
      <c r="H461" s="374"/>
      <c r="I461" s="16"/>
    </row>
    <row r="462" spans="2:9" ht="24" customHeight="1">
      <c r="B462" s="1033" t="str">
        <f>Plafon!C5</f>
        <v>3.2.1.1</v>
      </c>
      <c r="C462" s="39" t="str">
        <f>VLOOKUP(B462,Plafon!C:K,2,FALSE)</f>
        <v>Pemasangan 1 m2 plafon akustik uk. 30x30 cm</v>
      </c>
      <c r="D462" s="9" t="s">
        <v>62</v>
      </c>
      <c r="E462" s="1021">
        <f>VLOOKUP(C462,Plafon!$D$3:$I$296,6,FALSE)</f>
        <v>115500</v>
      </c>
      <c r="F462" s="1003">
        <f>VLOOKUP(C462,Plafon!$D$3:$J$296,7,FALSE)</f>
        <v>0</v>
      </c>
      <c r="G462" s="12">
        <f>VLOOKUP(C462,Plafon!$D$3:$K$296,8,FALSE)</f>
        <v>0</v>
      </c>
      <c r="H462" s="374"/>
      <c r="I462" s="16"/>
    </row>
    <row r="463" spans="2:9" ht="24" customHeight="1">
      <c r="B463" s="1033" t="str">
        <f>Plafon!C22</f>
        <v>3.5.1.2</v>
      </c>
      <c r="C463" s="39" t="str">
        <f>VLOOKUP(B463,Plafon!C:K,2,FALSE)</f>
        <v>Pemasangan 1 m2 plafon akustik uk. 30x60 cm</v>
      </c>
      <c r="D463" s="9" t="s">
        <v>62</v>
      </c>
      <c r="E463" s="1021">
        <f>VLOOKUP(C463,Plafon!$D$3:$I$296,6,FALSE)</f>
        <v>122300</v>
      </c>
      <c r="F463" s="1003">
        <f>VLOOKUP(C463,Plafon!$D$3:$J$296,7,FALSE)</f>
        <v>0</v>
      </c>
      <c r="G463" s="12">
        <f>VLOOKUP(C463,Plafon!$D$3:$K$296,8,FALSE)</f>
        <v>0</v>
      </c>
      <c r="H463" s="374"/>
      <c r="I463" s="16"/>
    </row>
    <row r="464" spans="2:9" ht="24" customHeight="1">
      <c r="B464" s="1033" t="str">
        <f>Plafon!C39</f>
        <v>3.5.1.3</v>
      </c>
      <c r="C464" s="39" t="str">
        <f>VLOOKUP(B464,Plafon!C:K,2,FALSE)</f>
        <v>Pemasangan 1 m2 plafon akustik uk. 60x120 cm</v>
      </c>
      <c r="D464" s="9" t="s">
        <v>62</v>
      </c>
      <c r="E464" s="1021">
        <f>VLOOKUP(C464,Plafon!$D$3:$I$296,6,FALSE)</f>
        <v>67600</v>
      </c>
      <c r="F464" s="1003">
        <f>VLOOKUP(C464,Plafon!$D$3:$J$296,7,FALSE)</f>
        <v>0</v>
      </c>
      <c r="G464" s="12">
        <f>VLOOKUP(C464,Plafon!$D$3:$K$296,8,FALSE)</f>
        <v>0</v>
      </c>
      <c r="H464" s="374"/>
      <c r="I464" s="16"/>
    </row>
    <row r="465" spans="2:9" ht="24" customHeight="1">
      <c r="B465" s="1033" t="str">
        <f>Plafon!C56</f>
        <v>3.5.1.4</v>
      </c>
      <c r="C465" s="39" t="str">
        <f>VLOOKUP(B465,Plafon!C:K,2,FALSE)</f>
        <v xml:space="preserve">Pemasangan 1 m2 plafon akustik uk. 60x120 cm dengan profil aluminium </v>
      </c>
      <c r="D465" s="9" t="s">
        <v>62</v>
      </c>
      <c r="E465" s="1021">
        <f>VLOOKUP(C465,Plafon!$D$3:$I$296,6,FALSE)</f>
        <v>239400</v>
      </c>
      <c r="F465" s="1003">
        <f>VLOOKUP(C465,Plafon!$D$3:$J$296,7,FALSE)</f>
        <v>0</v>
      </c>
      <c r="G465" s="12">
        <f>VLOOKUP(C465,Plafon!$D$3:$K$296,8,FALSE)</f>
        <v>0</v>
      </c>
      <c r="H465" s="374"/>
      <c r="I465" s="16"/>
    </row>
    <row r="466" spans="2:9" ht="24" customHeight="1">
      <c r="B466" s="1046" t="str">
        <f>Plafon!C76</f>
        <v>3.5.2</v>
      </c>
      <c r="C466" s="1096" t="str">
        <f>VLOOKUP(B466,Plafon!C:K,2,FALSE)</f>
        <v xml:space="preserve">Langit -Langit (Plafon) Lainnya </v>
      </c>
      <c r="D466" s="587"/>
      <c r="E466" s="1040"/>
      <c r="F466" s="1004">
        <f>VLOOKUP(C466,Plafon!$D$3:$J$296,7,FALSE)</f>
        <v>0</v>
      </c>
      <c r="G466" s="36">
        <f>VLOOKUP(C466,Plafon!$D$3:$K$296,8,FALSE)</f>
        <v>0</v>
      </c>
      <c r="H466" s="374"/>
      <c r="I466" s="16"/>
    </row>
    <row r="467" spans="2:9" ht="24" customHeight="1">
      <c r="B467" s="1033" t="str">
        <f>Plafon!C77</f>
        <v>3.5.2.1</v>
      </c>
      <c r="C467" s="1159" t="str">
        <f>VLOOKUP(B467,Plafon!C:K,2,FALSE)</f>
        <v>Pemasangan 1 m2 plafon papan gypsum tebal 9 mm</v>
      </c>
      <c r="D467" s="9" t="s">
        <v>62</v>
      </c>
      <c r="E467" s="1021">
        <f>VLOOKUP(C467,Plafon!$D$3:$I$296,6,FALSE)</f>
        <v>73700</v>
      </c>
      <c r="F467" s="1003" t="str">
        <f>VLOOKUP(C467,Plafon!$D$3:$J$296,7,FALSE)</f>
        <v>Revisi</v>
      </c>
      <c r="G467" s="12" t="str">
        <f>VLOOKUP(C467,Plafon!$D$3:$K$296,8,FALSE)</f>
        <v>Tidak ada perubahan</v>
      </c>
      <c r="H467" s="374"/>
      <c r="I467" s="16"/>
    </row>
    <row r="468" spans="2:9" ht="24" customHeight="1">
      <c r="B468" s="1033" t="str">
        <f>Plafon!C96</f>
        <v>3.5.2.2</v>
      </c>
      <c r="C468" s="39" t="str">
        <f>VLOOKUP(B468,Plafon!C:K,2,FALSE)</f>
        <v>Pemasangan 1 m2 plafon serat semen/GRC tebal 4 mm, 5 mm, dan 6 mm</v>
      </c>
      <c r="D468" s="9" t="s">
        <v>62</v>
      </c>
      <c r="E468" s="1021">
        <f>VLOOKUP(C468,Plafon!$D$3:$I$296,6,FALSE)</f>
        <v>75500</v>
      </c>
      <c r="F468" s="1003">
        <f>VLOOKUP(C468,Plafon!$D$3:$J$296,7,FALSE)</f>
        <v>0</v>
      </c>
      <c r="G468" s="12">
        <f>VLOOKUP(C468,Plafon!$D$3:$K$296,8,FALSE)</f>
        <v>0</v>
      </c>
      <c r="H468" s="374"/>
      <c r="I468" s="16"/>
    </row>
    <row r="469" spans="2:9" ht="24" customHeight="1">
      <c r="B469" s="1033" t="str">
        <f>Plafon!C114</f>
        <v>3.5.2.3</v>
      </c>
      <c r="C469" s="39" t="str">
        <f>VLOOKUP(B469,Plafon!C:K,2,FALSE)</f>
        <v>Pemasangan 1 m2 langit-langit (plafon) kayu lapis, tebal 3 mm, 4 mm dan 6 mm</v>
      </c>
      <c r="D469" s="9" t="s">
        <v>62</v>
      </c>
      <c r="E469" s="1021">
        <f>VLOOKUP(C469,Plafon!$D$3:$I$296,6,FALSE)</f>
        <v>0</v>
      </c>
      <c r="F469" s="1003">
        <f>VLOOKUP(C469,Plafon!$D$3:$J$296,7,FALSE)</f>
        <v>0</v>
      </c>
      <c r="G469" s="12">
        <f>VLOOKUP(C469,Plafon!$D$3:$K$296,8,FALSE)</f>
        <v>0</v>
      </c>
      <c r="H469" s="374"/>
      <c r="I469" s="16"/>
    </row>
    <row r="470" spans="2:9" ht="24" customHeight="1">
      <c r="B470" s="1033" t="str">
        <f>Plafon!C115</f>
        <v>3.5.2.3.1</v>
      </c>
      <c r="C470" s="39" t="str">
        <f>VLOOKUP(B470,Plafon!C:K,2,FALSE)</f>
        <v>Pemasangan 1 m2 plafon kayu lapis tebal 3 mm</v>
      </c>
      <c r="D470" s="9" t="s">
        <v>62</v>
      </c>
      <c r="E470" s="1021">
        <f>VLOOKUP(C470,Plafon!$D$3:$I$296,6,FALSE)</f>
        <v>54400</v>
      </c>
      <c r="F470" s="1003">
        <f>VLOOKUP(C470,Plafon!$D$3:$J$296,7,FALSE)</f>
        <v>0</v>
      </c>
      <c r="G470" s="12">
        <f>VLOOKUP(C470,Plafon!$D$3:$K$296,8,FALSE)</f>
        <v>0</v>
      </c>
      <c r="H470" s="374"/>
      <c r="I470" s="16"/>
    </row>
    <row r="471" spans="2:9" ht="24" customHeight="1">
      <c r="B471" s="1033" t="str">
        <f>Plafon!C134</f>
        <v>3.5.2.3.2</v>
      </c>
      <c r="C471" s="39" t="str">
        <f>VLOOKUP(B471,Plafon!C:K,2,FALSE)</f>
        <v>Pemasangan 1 m2 plafon kayu lapis tebal 4 mm</v>
      </c>
      <c r="D471" s="9" t="s">
        <v>62</v>
      </c>
      <c r="E471" s="1021">
        <f>VLOOKUP(C471,Plafon!$D$3:$I$296,6,FALSE)</f>
        <v>59500</v>
      </c>
      <c r="F471" s="1003">
        <f>VLOOKUP(C471,Plafon!$D$3:$J$296,7,FALSE)</f>
        <v>0</v>
      </c>
      <c r="G471" s="12">
        <f>VLOOKUP(C471,Plafon!$D$3:$K$296,8,FALSE)</f>
        <v>0</v>
      </c>
      <c r="H471" s="374"/>
      <c r="I471" s="16"/>
    </row>
    <row r="472" spans="2:9" ht="24" customHeight="1">
      <c r="B472" s="1033" t="str">
        <f>Plafon!C152</f>
        <v>3.5.2.3.3</v>
      </c>
      <c r="C472" s="39" t="str">
        <f>VLOOKUP(B472,Plafon!C:K,2,FALSE)</f>
        <v>Pemasangan 1 m2 plafon kayu lapis tebal 6 mm</v>
      </c>
      <c r="D472" s="9" t="s">
        <v>62</v>
      </c>
      <c r="E472" s="1021">
        <f>VLOOKUP(C472,Plafon!$D$3:$I$296,6,FALSE)</f>
        <v>63300</v>
      </c>
      <c r="F472" s="1003">
        <f>VLOOKUP(C472,Plafon!$D$3:$J$296,7,FALSE)</f>
        <v>0</v>
      </c>
      <c r="G472" s="12">
        <f>VLOOKUP(C472,Plafon!$D$3:$K$296,8,FALSE)</f>
        <v>0</v>
      </c>
      <c r="H472" s="374"/>
      <c r="I472" s="16"/>
    </row>
    <row r="473" spans="2:9" ht="24" customHeight="1">
      <c r="B473" s="1033" t="str">
        <f>Plafon!C170</f>
        <v>3.5.2.4</v>
      </c>
      <c r="C473" s="39" t="str">
        <f>VLOOKUP(B473,Plafon!C:K,2,FALSE)</f>
        <v>Pemasangan 1 m2 plafon lambisering kayu tebal 9 mm</v>
      </c>
      <c r="D473" s="9" t="s">
        <v>62</v>
      </c>
      <c r="E473" s="1021">
        <f>VLOOKUP(C473,Plafon!$D$3:$I$296,6,FALSE)</f>
        <v>224800</v>
      </c>
      <c r="F473" s="1003">
        <f>VLOOKUP(C473,Plafon!$D$3:$J$296,7,FALSE)</f>
        <v>0</v>
      </c>
      <c r="G473" s="12">
        <f>VLOOKUP(C473,Plafon!$D$3:$K$296,8,FALSE)</f>
        <v>0</v>
      </c>
      <c r="H473" s="374"/>
      <c r="I473" s="16"/>
    </row>
    <row r="474" spans="2:9" ht="24" customHeight="1">
      <c r="B474" s="1033" t="str">
        <f>Plafon!C188</f>
        <v>3.5.2.5</v>
      </c>
      <c r="C474" s="39" t="str">
        <f>VLOOKUP(B474,Plafon!C:K,2,FALSE)</f>
        <v>Pemasangan 1 m' list plafon kayu profil</v>
      </c>
      <c r="D474" s="9" t="s">
        <v>113</v>
      </c>
      <c r="E474" s="1021">
        <f>VLOOKUP(C474,Plafon!$D$3:$I$296,6,FALSE)</f>
        <v>9300</v>
      </c>
      <c r="F474" s="1003">
        <f>VLOOKUP(C474,Plafon!$D$3:$J$296,7,FALSE)</f>
        <v>0</v>
      </c>
      <c r="G474" s="12">
        <f>VLOOKUP(C474,Plafon!$D$3:$K$296,8,FALSE)</f>
        <v>0</v>
      </c>
      <c r="H474" s="374"/>
      <c r="I474" s="16"/>
    </row>
    <row r="475" spans="2:9" ht="24" customHeight="1">
      <c r="B475" s="1033" t="str">
        <f>Plafon!C206</f>
        <v>3.5.2.6</v>
      </c>
      <c r="C475" s="1159" t="str">
        <f>VLOOKUP(B475,Plafon!C:K,2,FALSE)</f>
        <v>Pemasangan 1 m' list plafon gypsum</v>
      </c>
      <c r="D475" s="9" t="s">
        <v>113</v>
      </c>
      <c r="E475" s="1021">
        <f>VLOOKUP(C475,Plafon!$D$3:$I$296,6,FALSE)</f>
        <v>21300</v>
      </c>
      <c r="F475" s="1003">
        <f>VLOOKUP(C475,Plafon!$D$3:$J$296,7,FALSE)</f>
        <v>0</v>
      </c>
      <c r="G475" s="12">
        <f>VLOOKUP(C475,Plafon!$D$3:$K$296,8,FALSE)</f>
        <v>0</v>
      </c>
      <c r="H475" s="374"/>
      <c r="I475" s="16"/>
    </row>
    <row r="476" spans="2:9" ht="24" customHeight="1">
      <c r="B476" s="1033" t="str">
        <f>Plafon!C224</f>
        <v>3.5.2.7</v>
      </c>
      <c r="C476" s="39" t="str">
        <f>VLOOKUP(B476,Plafon!C:K,2,FALSE)</f>
        <v xml:space="preserve">Pemasangan 1 m2 plafon aluminium spandrel </v>
      </c>
      <c r="D476" s="9" t="s">
        <v>62</v>
      </c>
      <c r="E476" s="1021">
        <f>VLOOKUP(C476,Plafon!$D$3:$I$296,6,FALSE)</f>
        <v>416500</v>
      </c>
      <c r="F476" s="1003">
        <f>VLOOKUP(C476,Plafon!$D$3:$J$296,7,FALSE)</f>
        <v>0</v>
      </c>
      <c r="G476" s="12">
        <f>VLOOKUP(C476,Plafon!$D$3:$K$296,8,FALSE)</f>
        <v>0</v>
      </c>
      <c r="H476" s="374"/>
      <c r="I476" s="16"/>
    </row>
    <row r="477" spans="2:9" ht="24" customHeight="1">
      <c r="B477" s="1046" t="str">
        <f>Plafon!C242</f>
        <v>3.5.3</v>
      </c>
      <c r="C477" s="1096" t="str">
        <f>VLOOKUP(B477,Plafon!C:K,2,FALSE)</f>
        <v>Rangka Langit-Langit (Plafon)</v>
      </c>
      <c r="D477" s="587"/>
      <c r="E477" s="1040"/>
      <c r="F477" s="1004">
        <f>VLOOKUP(C477,Plafon!$D$3:$J$296,7,FALSE)</f>
        <v>0</v>
      </c>
      <c r="G477" s="36">
        <f>VLOOKUP(C477,Plafon!$D$3:$K$296,8,FALSE)</f>
        <v>0</v>
      </c>
      <c r="H477" s="374"/>
      <c r="I477" s="16"/>
    </row>
    <row r="478" spans="2:9" ht="24" customHeight="1">
      <c r="B478" s="1033" t="str">
        <f>Plafon!C243</f>
        <v>3.5.3.1</v>
      </c>
      <c r="C478" s="1159" t="str">
        <f>VLOOKUP(B478,Plafon!C:K,2,FALSE)</f>
        <v>Pemasangan 1 m2 rangka plafon besi hollow 40.40, modul 60x60 cm</v>
      </c>
      <c r="D478" s="9" t="s">
        <v>62</v>
      </c>
      <c r="E478" s="1021">
        <f>VLOOKUP(C478,Plafon!$D$3:$I$296,6,FALSE)</f>
        <v>120400</v>
      </c>
      <c r="F478" s="1003">
        <f>VLOOKUP(C478,Plafon!$D$3:$J$296,7,FALSE)</f>
        <v>0</v>
      </c>
      <c r="G478" s="12">
        <f>VLOOKUP(C478,Plafon!$D$3:$K$296,8,FALSE)</f>
        <v>0</v>
      </c>
      <c r="H478" s="374"/>
      <c r="I478" s="16"/>
    </row>
    <row r="479" spans="2:9" ht="24" customHeight="1">
      <c r="B479" s="1033" t="str">
        <f>Plafon!C261</f>
        <v>3.5.3.2</v>
      </c>
      <c r="C479" s="39" t="str">
        <f>VLOOKUP(B479,Plafon!C:K,2,FALSE)</f>
        <v>Pemasangan 1 m2 Rangka Langit-langit (Plafon) (50x 100) cm, Kayu Kelas II atau III</v>
      </c>
      <c r="D479" s="9" t="s">
        <v>62</v>
      </c>
      <c r="E479" s="1021">
        <f>VLOOKUP(C479,Plafon!$D$3:$I$296,6,FALSE)</f>
        <v>123000</v>
      </c>
      <c r="F479" s="1003" t="str">
        <f>VLOOKUP(C479,Plafon!$D$3:$J$296,7,FALSE)</f>
        <v>Revisi</v>
      </c>
      <c r="G479" s="12" t="str">
        <f>VLOOKUP(C479,Plafon!$D$3:$K$296,8,FALSE)</f>
        <v xml:space="preserve">Pelengkapan nama bahan Kaso kelas II dan Paku saja </v>
      </c>
      <c r="H479" s="374"/>
      <c r="I479" s="16"/>
    </row>
    <row r="480" spans="2:9" ht="24" customHeight="1">
      <c r="B480" s="1033" t="str">
        <f>Plafon!C279</f>
        <v>3.5.3.3</v>
      </c>
      <c r="C480" s="39" t="str">
        <f>VLOOKUP(B480,Plafon!C:K,2,FALSE)</f>
        <v>Pemasangan 1 m2 Rangka Langit-langit (Plafon) (60x 100) cm, Kayu Kelas II atau III</v>
      </c>
      <c r="D480" s="9" t="s">
        <v>62</v>
      </c>
      <c r="E480" s="1021">
        <f>VLOOKUP(C480,Plafon!$D$3:$I$296,6,FALSE)</f>
        <v>132800</v>
      </c>
      <c r="F480" s="1003" t="str">
        <f>VLOOKUP(C480,Plafon!$D$3:$J$296,7,FALSE)</f>
        <v>Revisi</v>
      </c>
      <c r="G480" s="12" t="str">
        <f>VLOOKUP(C480,Plafon!$D$3:$K$296,8,FALSE)</f>
        <v xml:space="preserve">Pelengkapan nama bahan Kaso kelas II dan Paku saja </v>
      </c>
      <c r="H480" s="374"/>
      <c r="I480" s="16"/>
    </row>
    <row r="481" spans="2:9" ht="24" customHeight="1">
      <c r="B481" s="1044" t="str">
        <f>'Pasangan Dinding'!C3</f>
        <v>3,6</v>
      </c>
      <c r="C481" s="1002" t="str">
        <f>VLOOKUP(B481,'Pasangan Dinding'!C:K,2,FALSE)</f>
        <v>PEKERJAAN PASANGAN DINDING</v>
      </c>
      <c r="D481" s="995"/>
      <c r="E481" s="1026"/>
      <c r="F481" s="1007"/>
      <c r="G481" s="30"/>
      <c r="H481" s="374"/>
      <c r="I481" s="16"/>
    </row>
    <row r="482" spans="2:9" ht="24" customHeight="1">
      <c r="B482" s="1043" t="str">
        <f>'Pasangan Dinding'!C4</f>
        <v>3.6.1</v>
      </c>
      <c r="C482" s="1001" t="str">
        <f>VLOOKUP(B482,'Pasangan Dinding'!C:K,2,FALSE)</f>
        <v>Dinding Bata Merah</v>
      </c>
      <c r="D482" s="994"/>
      <c r="E482" s="1027"/>
      <c r="F482" s="1004"/>
      <c r="G482" s="36"/>
      <c r="H482" s="374"/>
      <c r="I482" s="16"/>
    </row>
    <row r="483" spans="2:9" ht="24" customHeight="1">
      <c r="B483" s="1033" t="str">
        <f>'Pasangan Dinding'!C5</f>
        <v>3.6.1.1</v>
      </c>
      <c r="C483" s="39" t="str">
        <f>VLOOKUP(B483,'Pasangan Dinding'!C:K,2,FALSE)</f>
        <v xml:space="preserve">Pemasangan 1 m2 dinding bata merah tebal 1 batu dengan mortar tipe M,fc’ 17,2 MPa (Setara Campuran 1SP : 2PP) </v>
      </c>
      <c r="D483" s="9" t="s">
        <v>62</v>
      </c>
      <c r="E483" s="1021">
        <f>VLOOKUP(C483,'Pasangan Dinding'!$D$3:$I$528,6,FALSE)</f>
        <v>289400</v>
      </c>
      <c r="F483" s="1003">
        <f>VLOOKUP(C483,'Pasangan Dinding'!$D$3:$J$528,7,FALSE)</f>
        <v>0</v>
      </c>
      <c r="G483" s="12">
        <f>VLOOKUP(C483,'Pasangan Dinding'!$D$3:$K$528,8,FALSE)</f>
        <v>0</v>
      </c>
      <c r="H483" s="374"/>
      <c r="I483" s="16"/>
    </row>
    <row r="484" spans="2:9" ht="24" customHeight="1">
      <c r="B484" s="1033" t="str">
        <f>'Pasangan Dinding'!C24</f>
        <v>3.6.1.2</v>
      </c>
      <c r="C484" s="39" t="str">
        <f>VLOOKUP(B484,'Pasangan Dinding'!C:K,2,FALSE)</f>
        <v>Pemasangan 1 m2 dinding bata merah tebal 1 batu dengan mortar tipe S,fc’ 12,5 MPa (Setara Campuran 1SP : 3PP)</v>
      </c>
      <c r="D484" s="9" t="s">
        <v>62</v>
      </c>
      <c r="E484" s="1021">
        <f>VLOOKUP(C484,'Pasangan Dinding'!$D$3:$I$528,6,FALSE)</f>
        <v>275400</v>
      </c>
      <c r="F484" s="1003">
        <f>VLOOKUP(C484,'Pasangan Dinding'!$D$3:$J$528,7,FALSE)</f>
        <v>0</v>
      </c>
      <c r="G484" s="12">
        <f>VLOOKUP(C484,'Pasangan Dinding'!$D$3:$K$528,8,FALSE)</f>
        <v>0</v>
      </c>
      <c r="H484" s="374"/>
      <c r="I484" s="16"/>
    </row>
    <row r="485" spans="2:9" ht="24" customHeight="1">
      <c r="B485" s="1033" t="str">
        <f>'Pasangan Dinding'!C43</f>
        <v>3.6.1.3</v>
      </c>
      <c r="C485" s="39" t="str">
        <f>VLOOKUP(B485,'Pasangan Dinding'!C:K,2,FALSE)</f>
        <v>Pemasangan 1 m2 dinding bata merah tebal 1 batu dengan mortar tipe N,fc’ 5,2 MPa (Setara Campuran 1SP : 4PP)</v>
      </c>
      <c r="D485" s="9" t="s">
        <v>62</v>
      </c>
      <c r="E485" s="1021">
        <f>VLOOKUP(C485,'Pasangan Dinding'!$D$3:$I$528,6,FALSE)</f>
        <v>265300</v>
      </c>
      <c r="F485" s="1003">
        <f>VLOOKUP(C485,'Pasangan Dinding'!$D$3:$J$528,7,FALSE)</f>
        <v>0</v>
      </c>
      <c r="G485" s="12">
        <f>VLOOKUP(C485,'Pasangan Dinding'!$D$3:$K$528,8,FALSE)</f>
        <v>0</v>
      </c>
      <c r="H485" s="374"/>
      <c r="I485" s="16"/>
    </row>
    <row r="486" spans="2:9" ht="24" customHeight="1">
      <c r="B486" s="1033" t="str">
        <f>'Pasangan Dinding'!C62</f>
        <v>3.6.1.4</v>
      </c>
      <c r="C486" s="39" t="str">
        <f>VLOOKUP(B486,'Pasangan Dinding'!C:K,2,FALSE)</f>
        <v>Pemasangan 1 m2 dinding bata merah tebal 1 batu dengan mortar tipe O,fc’ 2,4 MPa (Setara Campuran 1SP : 5PP)</v>
      </c>
      <c r="D486" s="9" t="s">
        <v>62</v>
      </c>
      <c r="E486" s="1021">
        <f>VLOOKUP(C486,'Pasangan Dinding'!$D$3:$I$528,6,FALSE)</f>
        <v>261100</v>
      </c>
      <c r="F486" s="1003">
        <f>VLOOKUP(C486,'Pasangan Dinding'!$D$3:$J$528,7,FALSE)</f>
        <v>0</v>
      </c>
      <c r="G486" s="12">
        <f>VLOOKUP(C486,'Pasangan Dinding'!$D$3:$K$528,8,FALSE)</f>
        <v>0</v>
      </c>
      <c r="H486" s="374"/>
      <c r="I486" s="16"/>
    </row>
    <row r="487" spans="2:9" ht="24" customHeight="1">
      <c r="B487" s="1033" t="str">
        <f>'Pasangan Dinding'!C81</f>
        <v>3.6.1.5</v>
      </c>
      <c r="C487" s="39" t="str">
        <f>VLOOKUP(B487,'Pasangan Dinding'!C:K,2,FALSE)</f>
        <v>Pemasangan 1 m2 dinding bata merah tebal 1 batu campuran 1SP : 6PP</v>
      </c>
      <c r="D487" s="9" t="s">
        <v>62</v>
      </c>
      <c r="E487" s="1021">
        <f>VLOOKUP(C487,'Pasangan Dinding'!$D$3:$I$528,6,FALSE)</f>
        <v>261700</v>
      </c>
      <c r="F487" s="1003">
        <f>VLOOKUP(C487,'Pasangan Dinding'!$D$3:$J$528,7,FALSE)</f>
        <v>0</v>
      </c>
      <c r="G487" s="12">
        <f>VLOOKUP(C487,'Pasangan Dinding'!$D$3:$K$528,8,FALSE)</f>
        <v>0</v>
      </c>
      <c r="H487" s="374"/>
      <c r="I487" s="16"/>
    </row>
    <row r="488" spans="2:9" ht="24" customHeight="1">
      <c r="B488" s="1033" t="str">
        <f>'Pasangan Dinding'!C100</f>
        <v>3.6.1.6</v>
      </c>
      <c r="C488" s="39" t="str">
        <f>VLOOKUP(B488,'Pasangan Dinding'!C:K,2,FALSE)</f>
        <v xml:space="preserve">Pemasangan 1 m2 dinding bata merah tebal 1/2 batu dengan mortar tipe M,fc’ 17,2 MPa (Setara Campuran 1SP : 2PP) </v>
      </c>
      <c r="D488" s="9" t="s">
        <v>62</v>
      </c>
      <c r="E488" s="1021">
        <f>VLOOKUP(C488,'Pasangan Dinding'!$D$3:$I$528,6,FALSE)</f>
        <v>139300</v>
      </c>
      <c r="F488" s="1003">
        <f>VLOOKUP(C488,'Pasangan Dinding'!$D$3:$J$528,7,FALSE)</f>
        <v>0</v>
      </c>
      <c r="G488" s="12">
        <f>VLOOKUP(C488,'Pasangan Dinding'!$D$3:$K$528,8,FALSE)</f>
        <v>0</v>
      </c>
      <c r="H488" s="374"/>
      <c r="I488" s="16"/>
    </row>
    <row r="489" spans="2:9" ht="24" customHeight="1">
      <c r="B489" s="1033" t="str">
        <f>'Pasangan Dinding'!C119</f>
        <v>3.6.1.7</v>
      </c>
      <c r="C489" s="39" t="str">
        <f>VLOOKUP(B489,'Pasangan Dinding'!C:K,2,FALSE)</f>
        <v xml:space="preserve">Pemasangan 1 m2 dinding bata merah tebal 1/2 batu dengan mortar tipe S,fc’ 12,5 MPa (Setara Campuran 1SP : 3PP) </v>
      </c>
      <c r="D489" s="9" t="s">
        <v>62</v>
      </c>
      <c r="E489" s="1021">
        <f>VLOOKUP(C489,'Pasangan Dinding'!$D$3:$I$528,6,FALSE)</f>
        <v>132200</v>
      </c>
      <c r="F489" s="1003">
        <f>VLOOKUP(C489,'Pasangan Dinding'!$D$3:$J$528,7,FALSE)</f>
        <v>0</v>
      </c>
      <c r="G489" s="12">
        <f>VLOOKUP(C489,'Pasangan Dinding'!$D$3:$K$528,8,FALSE)</f>
        <v>0</v>
      </c>
      <c r="H489" s="374"/>
      <c r="I489" s="16"/>
    </row>
    <row r="490" spans="2:9" ht="24" customHeight="1">
      <c r="B490" s="1033" t="str">
        <f>'Pasangan Dinding'!C138</f>
        <v>3.6.1.8</v>
      </c>
      <c r="C490" s="39" t="str">
        <f>VLOOKUP(B490,'Pasangan Dinding'!C:K,2,FALSE)</f>
        <v xml:space="preserve">Pemasangan 1 m2 dinding bata merah tebal 1/2 batu dengan mortar tipe N,fc’ 5,2 MPa (Setara Campuran 1SP : 4PP) </v>
      </c>
      <c r="D490" s="9" t="s">
        <v>62</v>
      </c>
      <c r="E490" s="1021">
        <f>VLOOKUP(C490,'Pasangan Dinding'!$D$3:$I$528,6,FALSE)</f>
        <v>128400</v>
      </c>
      <c r="F490" s="1003">
        <f>VLOOKUP(C490,'Pasangan Dinding'!$D$3:$J$528,7,FALSE)</f>
        <v>0</v>
      </c>
      <c r="G490" s="12">
        <f>VLOOKUP(C490,'Pasangan Dinding'!$D$3:$K$528,8,FALSE)</f>
        <v>0</v>
      </c>
      <c r="H490" s="374"/>
      <c r="I490" s="16"/>
    </row>
    <row r="491" spans="2:9" ht="24" customHeight="1">
      <c r="B491" s="1033" t="str">
        <f>'Pasangan Dinding'!C157</f>
        <v>3.6.1.9</v>
      </c>
      <c r="C491" s="39" t="str">
        <f>VLOOKUP(B491,'Pasangan Dinding'!C:K,2,FALSE)</f>
        <v xml:space="preserve">Pemasangan 1 m2 dinding bata merah tebal 1/2 batu dengan mortar tipe O,fc’ 2,4 MPa (Setara Campuran 1SP : 5PP) </v>
      </c>
      <c r="D491" s="9" t="s">
        <v>62</v>
      </c>
      <c r="E491" s="1021">
        <f>VLOOKUP(C491,'Pasangan Dinding'!$D$3:$I$528,6,FALSE)</f>
        <v>126100</v>
      </c>
      <c r="F491" s="1003">
        <f>VLOOKUP(C491,'Pasangan Dinding'!$D$3:$J$528,7,FALSE)</f>
        <v>0</v>
      </c>
      <c r="G491" s="12">
        <f>VLOOKUP(C491,'Pasangan Dinding'!$D$3:$K$528,8,FALSE)</f>
        <v>0</v>
      </c>
      <c r="H491" s="374"/>
      <c r="I491" s="16"/>
    </row>
    <row r="492" spans="2:9" ht="24" customHeight="1">
      <c r="B492" s="1033" t="str">
        <f>'Pasangan Dinding'!C176</f>
        <v>3.6.1.10</v>
      </c>
      <c r="C492" s="39" t="str">
        <f>VLOOKUP(B492,'Pasangan Dinding'!C:K,2,FALSE)</f>
        <v>Pemasangan 1 m2 dinding bata merah tebal 1/2 batu campuran 1SP : 6PP</v>
      </c>
      <c r="D492" s="9" t="s">
        <v>62</v>
      </c>
      <c r="E492" s="1021">
        <f>VLOOKUP(C492,'Pasangan Dinding'!$D$3:$I$528,6,FALSE)</f>
        <v>125100</v>
      </c>
      <c r="F492" s="1003">
        <f>VLOOKUP(C492,'Pasangan Dinding'!$D$3:$J$528,7,FALSE)</f>
        <v>0</v>
      </c>
      <c r="G492" s="12">
        <f>VLOOKUP(C492,'Pasangan Dinding'!$D$3:$K$528,8,FALSE)</f>
        <v>0</v>
      </c>
      <c r="H492" s="374"/>
      <c r="I492" s="16"/>
    </row>
    <row r="493" spans="2:9" ht="24" customHeight="1">
      <c r="B493" s="1043" t="str">
        <f>'Pasangan Dinding'!C195</f>
        <v>3.6.2</v>
      </c>
      <c r="C493" s="1001" t="str">
        <f>VLOOKUP(B493,'Pasangan Dinding'!C:K,2,FALSE)</f>
        <v>DINDING CONBLOCK</v>
      </c>
      <c r="D493" s="994"/>
      <c r="E493" s="1027"/>
      <c r="F493" s="1004">
        <f>VLOOKUP(C493,'Pasangan Dinding'!$D$3:$J$528,7,FALSE)</f>
        <v>0</v>
      </c>
      <c r="G493" s="36">
        <f>VLOOKUP(C493,'Pasangan Dinding'!$D$3:$K$528,8,FALSE)</f>
        <v>0</v>
      </c>
      <c r="H493" s="374"/>
      <c r="I493" s="16"/>
    </row>
    <row r="494" spans="2:9" ht="24" customHeight="1">
      <c r="B494" s="1033" t="str">
        <f>'Pasangan Dinding'!C196</f>
        <v>3.6.2.1</v>
      </c>
      <c r="C494" s="39" t="str">
        <f>VLOOKUP(B494,'Pasangan Dinding'!C:K,2,FALSE)</f>
        <v xml:space="preserve">Pemasangan 1 m2 dinding conblock HB20 dengan mortar tipe S,fc’ 12,5 MPa (Setara Campuran 1SP : 3PP) </v>
      </c>
      <c r="D494" s="9" t="s">
        <v>62</v>
      </c>
      <c r="E494" s="1021">
        <f>VLOOKUP(C494,'Pasangan Dinding'!$D$3:$I$528,6,FALSE)</f>
        <v>343000</v>
      </c>
      <c r="F494" s="1003">
        <f>VLOOKUP(C494,'Pasangan Dinding'!$D$3:$J$528,7,FALSE)</f>
        <v>0</v>
      </c>
      <c r="G494" s="12">
        <f>VLOOKUP(C494,'Pasangan Dinding'!$D$3:$K$528,8,FALSE)</f>
        <v>0</v>
      </c>
      <c r="H494" s="374"/>
      <c r="I494" s="16"/>
    </row>
    <row r="495" spans="2:9" ht="24" customHeight="1">
      <c r="B495" s="1033" t="str">
        <f>'Pasangan Dinding'!C216</f>
        <v>3.6.2.2</v>
      </c>
      <c r="C495" s="39" t="str">
        <f>VLOOKUP(B495,'Pasangan Dinding'!C:K,2,FALSE)</f>
        <v xml:space="preserve">Pemasangan 1 m2 dinding conblock HB20 dengan mortar tipe N,fc’ 5,2 MPa (Setara Campuran 1SP : 4PP) </v>
      </c>
      <c r="D495" s="9" t="s">
        <v>62</v>
      </c>
      <c r="E495" s="1021">
        <f>VLOOKUP(C495,'Pasangan Dinding'!$D$3:$I$528,6,FALSE)</f>
        <v>354300</v>
      </c>
      <c r="F495" s="1003">
        <f>VLOOKUP(C495,'Pasangan Dinding'!$D$3:$J$528,7,FALSE)</f>
        <v>0</v>
      </c>
      <c r="G495" s="12">
        <f>VLOOKUP(C495,'Pasangan Dinding'!$D$3:$K$528,8,FALSE)</f>
        <v>0</v>
      </c>
      <c r="H495" s="374"/>
      <c r="I495" s="16"/>
    </row>
    <row r="496" spans="2:9" ht="24" customHeight="1">
      <c r="B496" s="1033" t="str">
        <f>'Pasangan Dinding'!C236</f>
        <v>3.6.2.3</v>
      </c>
      <c r="C496" s="39" t="str">
        <f>VLOOKUP(B496,'Pasangan Dinding'!C:K,2,FALSE)</f>
        <v xml:space="preserve">Pemasangan 1 m2 dinding conblock HB15 dengan mortar tipe S,fc’ 12,5 MPa (Setara Campuran 1SP : 3PP) </v>
      </c>
      <c r="D496" s="9" t="s">
        <v>62</v>
      </c>
      <c r="E496" s="1021">
        <f>VLOOKUP(C496,'Pasangan Dinding'!$D$3:$I$528,6,FALSE)</f>
        <v>269400</v>
      </c>
      <c r="F496" s="1003" t="str">
        <f>VLOOKUP(C496,'Pasangan Dinding'!$D$3:$J$528,7,FALSE)</f>
        <v>Revisi</v>
      </c>
      <c r="G496" s="12" t="str">
        <f>VLOOKUP(C496,'Pasangan Dinding'!$D$3:$K$528,8,FALSE)</f>
        <v>Perubahan di kooefisie Semen Portland awalnya 24,740 jadi 22,74</v>
      </c>
      <c r="H496" s="374"/>
      <c r="I496" s="16"/>
    </row>
    <row r="497" spans="2:9" ht="24" customHeight="1">
      <c r="B497" s="1033" t="str">
        <f>'Pasangan Dinding'!C256</f>
        <v>3.6.2.4</v>
      </c>
      <c r="C497" s="39" t="str">
        <f>VLOOKUP(B497,'Pasangan Dinding'!C:K,2,FALSE)</f>
        <v xml:space="preserve">Pemasangan 1 m2 dinding conblock HB15 dengan mortar tipe N,fc’ 5,2 MPa (Setara Campuran 1SP : 4PP) </v>
      </c>
      <c r="D497" s="9" t="s">
        <v>62</v>
      </c>
      <c r="E497" s="1021">
        <f>VLOOKUP(C497,'Pasangan Dinding'!$D$3:$I$528,6,FALSE)</f>
        <v>272700</v>
      </c>
      <c r="F497" s="1003">
        <f>VLOOKUP(C497,'Pasangan Dinding'!$D$3:$J$528,7,FALSE)</f>
        <v>0</v>
      </c>
      <c r="G497" s="12">
        <f>VLOOKUP(C497,'Pasangan Dinding'!$D$3:$K$528,8,FALSE)</f>
        <v>0</v>
      </c>
      <c r="H497" s="374"/>
      <c r="I497" s="16"/>
    </row>
    <row r="498" spans="2:9" ht="24" customHeight="1">
      <c r="B498" s="1033" t="str">
        <f>'Pasangan Dinding'!C276</f>
        <v>3.6.2.5</v>
      </c>
      <c r="C498" s="39" t="str">
        <f>VLOOKUP(B498,'Pasangan Dinding'!C:K,2,FALSE)</f>
        <v xml:space="preserve">Pemasangan 1 m2 dinding conblock HB10 dengan mortar tipe S,fc’ 12,5 MPa (Setara Campuran 1SP : 3PP) </v>
      </c>
      <c r="D498" s="9" t="s">
        <v>62</v>
      </c>
      <c r="E498" s="1021">
        <f>VLOOKUP(C498,'Pasangan Dinding'!$D$3:$I$528,6,FALSE)</f>
        <v>193100</v>
      </c>
      <c r="F498" s="1003">
        <f>VLOOKUP(C498,'Pasangan Dinding'!$D$3:$J$528,7,FALSE)</f>
        <v>0</v>
      </c>
      <c r="G498" s="12">
        <f>VLOOKUP(C498,'Pasangan Dinding'!$D$3:$K$528,8,FALSE)</f>
        <v>0</v>
      </c>
      <c r="H498" s="374"/>
      <c r="I498" s="16"/>
    </row>
    <row r="499" spans="2:9" ht="24" customHeight="1">
      <c r="B499" s="1033" t="str">
        <f>'Pasangan Dinding'!C296</f>
        <v>3.6.2.6</v>
      </c>
      <c r="C499" s="39" t="str">
        <f>VLOOKUP(B499,'Pasangan Dinding'!C:K,2,FALSE)</f>
        <v xml:space="preserve">Pemasangan 1 m2 dinding conblock HB10 dengan mortar tipe N,fc’ 5,2 MPa (Setara Campuran 1SP : 4PP) </v>
      </c>
      <c r="D499" s="9" t="s">
        <v>62</v>
      </c>
      <c r="E499" s="1021">
        <f>VLOOKUP(C499,'Pasangan Dinding'!$D$3:$I$528,6,FALSE)</f>
        <v>196200</v>
      </c>
      <c r="F499" s="1003">
        <f>VLOOKUP(C499,'Pasangan Dinding'!$D$3:$J$528,7,FALSE)</f>
        <v>0</v>
      </c>
      <c r="G499" s="12">
        <f>VLOOKUP(C499,'Pasangan Dinding'!$D$3:$K$528,8,FALSE)</f>
        <v>0</v>
      </c>
      <c r="H499" s="374"/>
      <c r="I499" s="16"/>
    </row>
    <row r="500" spans="2:9" ht="24" customHeight="1">
      <c r="B500" s="1043" t="str">
        <f>'Pasangan Dinding'!C316</f>
        <v>3.6.3</v>
      </c>
      <c r="C500" s="1001" t="str">
        <f>VLOOKUP(B500,'Pasangan Dinding'!C:K,2,FALSE)</f>
        <v>DINDING ROSTER</v>
      </c>
      <c r="D500" s="994"/>
      <c r="E500" s="1027"/>
      <c r="F500" s="1004">
        <f>VLOOKUP(C500,'Pasangan Dinding'!$D$3:$J$528,7,FALSE)</f>
        <v>0</v>
      </c>
      <c r="G500" s="36">
        <f>VLOOKUP(C500,'Pasangan Dinding'!$D$3:$K$528,8,FALSE)</f>
        <v>0</v>
      </c>
      <c r="H500" s="374"/>
      <c r="I500" s="16"/>
    </row>
    <row r="501" spans="2:9" ht="24" customHeight="1">
      <c r="B501" s="1033" t="str">
        <f>'Pasangan Dinding'!C317</f>
        <v>3.6.3.1</v>
      </c>
      <c r="C501" s="39" t="str">
        <f>VLOOKUP(B501,'Pasangan Dinding'!C:K,2,FALSE)</f>
        <v>Pemasangan 1 m2 dinding kerawang (rooster) 12x11x24 dengan mortar tipe S,fc’ 12,5 MPa (Setara Campuran 1SP : 3PP)</v>
      </c>
      <c r="D501" s="9" t="s">
        <v>62</v>
      </c>
      <c r="E501" s="1021">
        <f>VLOOKUP(C501,'Pasangan Dinding'!$D$3:$I$528,6,FALSE)</f>
        <v>291100</v>
      </c>
      <c r="F501" s="1003" t="str">
        <f>VLOOKUP(C501,'Pasangan Dinding'!$D$3:$J$528,7,FALSE)</f>
        <v>Revisi</v>
      </c>
      <c r="G501" s="12" t="str">
        <f>VLOOKUP(C501,'Pasangan Dinding'!$D$3:$K$528,8,FALSE)</f>
        <v>Perubahan di koefisien Seme Portland 11,00 jadi 14,0</v>
      </c>
      <c r="H501" s="374"/>
      <c r="I501" s="16"/>
    </row>
    <row r="502" spans="2:9" ht="24" customHeight="1">
      <c r="B502" s="1033" t="str">
        <f>'Pasangan Dinding'!C336</f>
        <v>3.6.3.2</v>
      </c>
      <c r="C502" s="39" t="str">
        <f>VLOOKUP(B502,'Pasangan Dinding'!C:K,2,FALSE)</f>
        <v>Pemasangan 1 m2 dinding kerawang (rooster) 12x11x24 dengan mortar tipe N,fc’ 5,2 MPa (Setara Campuran 1SP : 4PP)</v>
      </c>
      <c r="D502" s="9" t="s">
        <v>62</v>
      </c>
      <c r="E502" s="1021">
        <f>VLOOKUP(C502,'Pasangan Dinding'!$D$3:$I$528,6,FALSE)</f>
        <v>286100</v>
      </c>
      <c r="F502" s="1003">
        <f>VLOOKUP(C502,'Pasangan Dinding'!$D$3:$J$528,7,FALSE)</f>
        <v>0</v>
      </c>
      <c r="G502" s="12">
        <f>VLOOKUP(C502,'Pasangan Dinding'!$D$3:$K$528,8,FALSE)</f>
        <v>0</v>
      </c>
      <c r="H502" s="374"/>
      <c r="I502" s="16"/>
    </row>
    <row r="503" spans="2:9" ht="24" customHeight="1">
      <c r="B503" s="1033" t="str">
        <f>'Pasangan Dinding'!C355</f>
        <v>3.6.3.3</v>
      </c>
      <c r="C503" s="39" t="str">
        <f>VLOOKUP(B503,'Pasangan Dinding'!C:K,2,FALSE)</f>
        <v>Pemasangan 1 m2 dinding bata berongga ekspose 12x11x24 dengan mortar tipe S,fc’ 12,5 MPa (Setara Campuran 1SP : 3PP)</v>
      </c>
      <c r="D503" s="9" t="s">
        <v>62</v>
      </c>
      <c r="E503" s="1021">
        <f>VLOOKUP(C503,'Pasangan Dinding'!$D$3:$I$528,6,FALSE)</f>
        <v>93100</v>
      </c>
      <c r="F503" s="1003">
        <f>VLOOKUP(C503,'Pasangan Dinding'!$D$3:$J$528,7,FALSE)</f>
        <v>0</v>
      </c>
      <c r="G503" s="12">
        <f>VLOOKUP(C503,'Pasangan Dinding'!$D$3:$K$528,8,FALSE)</f>
        <v>0</v>
      </c>
      <c r="H503" s="374"/>
      <c r="I503" s="16"/>
    </row>
    <row r="504" spans="2:9" ht="24" customHeight="1">
      <c r="B504" s="1033" t="str">
        <f>'Pasangan Dinding'!C374</f>
        <v>3.6.3.4</v>
      </c>
      <c r="C504" s="1159" t="str">
        <f>VLOOKUP(B504,'Pasangan Dinding'!C:K,2,FALSE)</f>
        <v>Pemasangan 1 m2 glass block 20x20 cm, 1PC : 3PP</v>
      </c>
      <c r="D504" s="9" t="s">
        <v>62</v>
      </c>
      <c r="E504" s="1021">
        <f>VLOOKUP(C504,'Pasangan Dinding'!$D$3:$I$528,6,FALSE)</f>
        <v>145700</v>
      </c>
      <c r="F504" s="1003">
        <f>VLOOKUP(C504,'Pasangan Dinding'!$D$3:$J$528,7,FALSE)</f>
        <v>0</v>
      </c>
      <c r="G504" s="12">
        <f>VLOOKUP(C504,'Pasangan Dinding'!$D$3:$K$528,8,FALSE)</f>
        <v>0</v>
      </c>
      <c r="H504" s="374"/>
      <c r="I504" s="16"/>
    </row>
    <row r="505" spans="2:9" ht="24" customHeight="1">
      <c r="B505" s="1033" t="str">
        <f>'Pasangan Dinding'!C393</f>
        <v>3.6.3.5</v>
      </c>
      <c r="C505" s="1159" t="str">
        <f>VLOOKUP(B505,'Pasangan Dinding'!C:K,2,FALSE)</f>
        <v>Pemasangan 1 m2 dinding kerawang (rooster) 20x20 (Setara Campuran 1SP : 3PP)</v>
      </c>
      <c r="D505" s="9" t="s">
        <v>62</v>
      </c>
      <c r="E505" s="1021">
        <f>VLOOKUP(C505,'Pasangan Dinding'!$D$3:$I$528,6,FALSE)</f>
        <v>229400</v>
      </c>
      <c r="F505" s="1003">
        <f>VLOOKUP(C505,'Pasangan Dinding'!$D$3:$J$528,7,FALSE)</f>
        <v>0</v>
      </c>
      <c r="G505" s="12">
        <f>VLOOKUP(C505,'Pasangan Dinding'!$D$3:$K$528,8,FALSE)</f>
        <v>0</v>
      </c>
      <c r="H505" s="374"/>
      <c r="I505" s="16"/>
    </row>
    <row r="506" spans="2:9" ht="24" customHeight="1">
      <c r="B506" s="1043" t="str">
        <f>'Pasangan Dinding'!C413</f>
        <v>3.6.4</v>
      </c>
      <c r="C506" s="1001" t="str">
        <f>VLOOKUP(B506,'Pasangan Dinding'!C:K,2,FALSE)</f>
        <v xml:space="preserve">DINDING BATA RINGAN </v>
      </c>
      <c r="D506" s="994"/>
      <c r="E506" s="1027"/>
      <c r="F506" s="1004">
        <f>VLOOKUP(C506,'Pasangan Dinding'!$D$3:$J$528,7,FALSE)</f>
        <v>0</v>
      </c>
      <c r="G506" s="36">
        <f>VLOOKUP(C506,'Pasangan Dinding'!$D$3:$K$528,8,FALSE)</f>
        <v>0</v>
      </c>
      <c r="H506" s="374"/>
      <c r="I506" s="16"/>
    </row>
    <row r="507" spans="2:9" ht="24" customHeight="1">
      <c r="B507" s="1033" t="str">
        <f>'Pasangan Dinding'!C414</f>
        <v>3.6.4.1</v>
      </c>
      <c r="C507" s="39" t="str">
        <f>VLOOKUP(B507,'Pasangan Dinding'!C:K,2,FALSE)</f>
        <v>Pemasangan 1 m2 dinding bata ringan tebal 7,5 cm dengan mortar siap pakai</v>
      </c>
      <c r="D507" s="9" t="s">
        <v>62</v>
      </c>
      <c r="E507" s="1021">
        <f>VLOOKUP(C507,'Pasangan Dinding'!$D$3:$I$528,6,FALSE)</f>
        <v>96300</v>
      </c>
      <c r="F507" s="1003">
        <f>VLOOKUP(C507,'Pasangan Dinding'!$D$3:$J$528,7,FALSE)</f>
        <v>0</v>
      </c>
      <c r="G507" s="12">
        <f>VLOOKUP(C507,'Pasangan Dinding'!$D$3:$K$528,8,FALSE)</f>
        <v>0</v>
      </c>
      <c r="H507" s="374"/>
      <c r="I507" s="16"/>
    </row>
    <row r="508" spans="2:9" ht="24" customHeight="1">
      <c r="B508" s="1033" t="str">
        <f>'Pasangan Dinding'!C432</f>
        <v>3.6.4.2</v>
      </c>
      <c r="C508" s="1159" t="str">
        <f>VLOOKUP(B508,'Pasangan Dinding'!C:K,2,FALSE)</f>
        <v>Pemasangan 1 m2 dinding bata ringan tebal 10 cm dengan mortar siap pakai</v>
      </c>
      <c r="D508" s="9" t="s">
        <v>62</v>
      </c>
      <c r="E508" s="1021" t="e">
        <f>VLOOKUP(C508,'Pasangan Dinding'!$D$3:$I$528,6,FALSE)</f>
        <v>#N/A</v>
      </c>
      <c r="F508" s="1003">
        <f>VLOOKUP(C508,'Pasangan Dinding'!$D$3:$J$528,7,FALSE)</f>
        <v>0</v>
      </c>
      <c r="G508" s="12">
        <f>VLOOKUP(C508,'Pasangan Dinding'!$D$3:$K$528,8,FALSE)</f>
        <v>0</v>
      </c>
      <c r="H508" s="374"/>
      <c r="I508" s="16"/>
    </row>
    <row r="509" spans="2:9" ht="24" customHeight="1">
      <c r="B509" s="1033" t="str">
        <f>'Pasangan Dinding'!C450</f>
        <v>3.6.4.3</v>
      </c>
      <c r="C509" s="39" t="str">
        <f>VLOOKUP(B509,'Pasangan Dinding'!C:K,2,FALSE)</f>
        <v>Pemasangan 1 m2 dinding bata ringan tebal 20 cm dengan mortar siap pakai</v>
      </c>
      <c r="D509" s="9" t="s">
        <v>62</v>
      </c>
      <c r="E509" s="1021">
        <f>VLOOKUP(C509,'Pasangan Dinding'!$D$3:$I$528,6,FALSE)</f>
        <v>217500</v>
      </c>
      <c r="F509" s="1003">
        <f>VLOOKUP(C509,'Pasangan Dinding'!$D$3:$J$528,7,FALSE)</f>
        <v>0</v>
      </c>
      <c r="G509" s="12">
        <f>VLOOKUP(C509,'Pasangan Dinding'!$D$3:$K$528,8,FALSE)</f>
        <v>0</v>
      </c>
      <c r="H509" s="374"/>
      <c r="I509" s="16"/>
    </row>
    <row r="510" spans="2:9" ht="24" customHeight="1">
      <c r="B510" s="1043" t="str">
        <f>'Pasangan Dinding'!C468</f>
        <v>3.6.5</v>
      </c>
      <c r="C510" s="1001" t="str">
        <f>VLOOKUP(B510,'Pasangan Dinding'!C:K,2,FALSE)</f>
        <v xml:space="preserve">DINDING BATAKO </v>
      </c>
      <c r="D510" s="994"/>
      <c r="E510" s="1027"/>
      <c r="F510" s="1004">
        <f>VLOOKUP(C510,'Pasangan Dinding'!$D$3:$J$528,7,FALSE)</f>
        <v>0</v>
      </c>
      <c r="G510" s="36">
        <f>VLOOKUP(C510,'Pasangan Dinding'!$D$3:$K$528,8,FALSE)</f>
        <v>0</v>
      </c>
      <c r="H510" s="374"/>
      <c r="I510" s="16"/>
    </row>
    <row r="511" spans="2:9" ht="24" customHeight="1">
      <c r="B511" s="1033" t="str">
        <f>'Pasangan Dinding'!C469</f>
        <v>3.6.5.1</v>
      </c>
      <c r="C511" s="39" t="str">
        <f>VLOOKUP(B511,'Pasangan Dinding'!C:K,2,FALSE)</f>
        <v xml:space="preserve">Pemasangan 1 m2 dinding batako dengan mortar tipe S,fc’ 12,5 MPa (Setara Campuran 1SP : 3PP) </v>
      </c>
      <c r="D511" s="9" t="s">
        <v>62</v>
      </c>
      <c r="E511" s="1021">
        <f>VLOOKUP(C511,'Pasangan Dinding'!$D$3:$I$528,6,FALSE)</f>
        <v>175600</v>
      </c>
      <c r="F511" s="1003">
        <f>VLOOKUP(C511,'Pasangan Dinding'!$D$3:$J$528,7,FALSE)</f>
        <v>0</v>
      </c>
      <c r="G511" s="12">
        <f>VLOOKUP(C511,'Pasangan Dinding'!$D$3:$K$528,8,FALSE)</f>
        <v>0</v>
      </c>
      <c r="H511" s="374"/>
      <c r="I511" s="16"/>
    </row>
    <row r="512" spans="2:9" ht="24" customHeight="1">
      <c r="B512" s="1033" t="str">
        <f>'Pasangan Dinding'!C489</f>
        <v>3.6.5.2</v>
      </c>
      <c r="C512" s="39" t="str">
        <f>VLOOKUP(B512,'Pasangan Dinding'!C:K,2,FALSE)</f>
        <v>Pemasangan 1 m2 dinding batako dengan mortar tipe N,fc’ 5,2 MPa (Setara Campuran 1SP : 4PP)</v>
      </c>
      <c r="D512" s="9" t="s">
        <v>62</v>
      </c>
      <c r="E512" s="1021">
        <f>VLOOKUP(C512,'Pasangan Dinding'!$D$3:$I$528,6,FALSE)</f>
        <v>394000</v>
      </c>
      <c r="F512" s="1003">
        <f>VLOOKUP(C512,'Pasangan Dinding'!$D$3:$J$528,7,FALSE)</f>
        <v>0</v>
      </c>
      <c r="G512" s="12">
        <f>VLOOKUP(C512,'Pasangan Dinding'!$D$3:$K$528,8,FALSE)</f>
        <v>0</v>
      </c>
      <c r="H512" s="374"/>
      <c r="I512" s="16"/>
    </row>
    <row r="513" spans="2:9" ht="24" customHeight="1">
      <c r="B513" s="1043" t="str">
        <f>'Pasangan Dinding'!C509</f>
        <v>3.6.6</v>
      </c>
      <c r="C513" s="1001" t="str">
        <f>VLOOKUP(B513,'Pasangan Dinding'!C:K,2,FALSE)</f>
        <v xml:space="preserve">DINDING PARTISI </v>
      </c>
      <c r="D513" s="994"/>
      <c r="E513" s="1027"/>
      <c r="F513" s="1004">
        <f>VLOOKUP(C513,'Pasangan Dinding'!$D$3:$J$528,7,FALSE)</f>
        <v>0</v>
      </c>
      <c r="G513" s="36">
        <f>VLOOKUP(C513,'Pasangan Dinding'!$D$3:$K$528,8,FALSE)</f>
        <v>0</v>
      </c>
      <c r="H513" s="374"/>
      <c r="I513" s="16"/>
    </row>
    <row r="514" spans="2:9" ht="24" customHeight="1">
      <c r="B514" s="1033" t="str">
        <f>'Pasangan Dinding'!C510</f>
        <v>3.6.6.1</v>
      </c>
      <c r="C514" s="39" t="str">
        <f>VLOOKUP(B514,'Pasangan Dinding'!C:K,2,FALSE)</f>
        <v>Pemasangan 1 m2 dinding partisi, Gypsumboard t=12mm</v>
      </c>
      <c r="D514" s="9" t="s">
        <v>62</v>
      </c>
      <c r="E514" s="1021">
        <f>VLOOKUP(C514,'Pasangan Dinding'!$D$3:$I$528,6,FALSE)</f>
        <v>480200</v>
      </c>
      <c r="F514" s="1003">
        <f>VLOOKUP(C514,'Pasangan Dinding'!$D$3:$J$528,7,FALSE)</f>
        <v>0</v>
      </c>
      <c r="G514" s="12">
        <f>VLOOKUP(C514,'Pasangan Dinding'!$D$3:$K$528,8,FALSE)</f>
        <v>0</v>
      </c>
      <c r="H514" s="374"/>
      <c r="I514" s="16"/>
    </row>
    <row r="515" spans="2:9" ht="24" customHeight="1">
      <c r="B515" s="1043" t="str">
        <f>'Plesteran Dan Acian'!C3</f>
        <v>3.7</v>
      </c>
      <c r="C515" s="1001" t="str">
        <f>VLOOKUP(B515,'Plesteran Dan Acian'!C:K,2,FALSE)</f>
        <v>PEKERJAAN PLESTERAN DAN ACIAN</v>
      </c>
      <c r="D515" s="994"/>
      <c r="E515" s="1027"/>
      <c r="F515" s="1007"/>
      <c r="G515" s="30"/>
      <c r="H515" s="374"/>
      <c r="I515" s="16"/>
    </row>
    <row r="516" spans="2:9" ht="24" customHeight="1">
      <c r="B516" s="1033" t="str">
        <f>'Plesteran Dan Acian'!C4</f>
        <v>3.7.1</v>
      </c>
      <c r="C516" s="39" t="str">
        <f>VLOOKUP(B516,'Plesteran Dan Acian'!C:K,2,FALSE)</f>
        <v>Pemasangan 1 m2 plesteran 1SP : 1PP tebal 15 mm</v>
      </c>
      <c r="D516" s="9" t="s">
        <v>62</v>
      </c>
      <c r="E516" s="1021">
        <f>VLOOKUP(C516,'Plesteran Dan Acian'!D3:I286,6,FALSE)</f>
        <v>70600</v>
      </c>
      <c r="F516" s="1003">
        <f>VLOOKUP(C516,'Plesteran Dan Acian'!D3:K286,7,FALSE)</f>
        <v>0</v>
      </c>
      <c r="G516" s="12">
        <f>VLOOKUP(C516,'Plesteran Dan Acian'!D3:M286,8,FALSE)</f>
        <v>0</v>
      </c>
      <c r="H516" s="374"/>
      <c r="I516" s="16"/>
    </row>
    <row r="517" spans="2:9" ht="24" customHeight="1">
      <c r="B517" s="1033" t="str">
        <f>'Plesteran Dan Acian'!C22</f>
        <v>3.7.2</v>
      </c>
      <c r="C517" s="39" t="str">
        <f>VLOOKUP(B517,'Plesteran Dan Acian'!C:K,2,FALSE)</f>
        <v>Pemasangan 1 m2 plesteran 1SP : 2PP tebal 15 mm</v>
      </c>
      <c r="D517" s="9" t="s">
        <v>62</v>
      </c>
      <c r="E517" s="1021">
        <f>VLOOKUP(C517,'Plesteran Dan Acian'!D4:I287,6,FALSE)</f>
        <v>63100</v>
      </c>
      <c r="F517" s="1003">
        <f>VLOOKUP(C517,'Plesteran Dan Acian'!D4:K287,7,FALSE)</f>
        <v>0</v>
      </c>
      <c r="G517" s="12">
        <f>VLOOKUP(C517,'Plesteran Dan Acian'!D4:M287,8,FALSE)</f>
        <v>0</v>
      </c>
      <c r="H517" s="374"/>
      <c r="I517" s="16"/>
    </row>
    <row r="518" spans="2:9" ht="24" customHeight="1">
      <c r="B518" s="1033" t="str">
        <f>'Plesteran Dan Acian'!C40</f>
        <v>3.7.3</v>
      </c>
      <c r="C518" s="39" t="str">
        <f>VLOOKUP(B518,'Plesteran Dan Acian'!C:K,2,FALSE)</f>
        <v>Pemasangan 1 m2 plesteran 1SP : 3PP tebal 15 mm</v>
      </c>
      <c r="D518" s="9" t="s">
        <v>62</v>
      </c>
      <c r="E518" s="1021">
        <f>VLOOKUP(C518,'Plesteran Dan Acian'!D5:I288,6,FALSE)</f>
        <v>60000</v>
      </c>
      <c r="F518" s="1003">
        <f>VLOOKUP(C518,'Plesteran Dan Acian'!D5:K288,7,FALSE)</f>
        <v>0</v>
      </c>
      <c r="G518" s="12">
        <f>VLOOKUP(C518,'Plesteran Dan Acian'!D5:M288,8,FALSE)</f>
        <v>0</v>
      </c>
      <c r="H518" s="374"/>
      <c r="I518" s="16"/>
    </row>
    <row r="519" spans="2:9" ht="24" customHeight="1">
      <c r="B519" s="1033" t="str">
        <f>'Plesteran Dan Acian'!C58</f>
        <v>3.7.4</v>
      </c>
      <c r="C519" s="39" t="str">
        <f>VLOOKUP(B519,'Plesteran Dan Acian'!C:K,2,FALSE)</f>
        <v>Pemasangan 1 m2 plesteran 1SP : 4PP tebal 15 mm</v>
      </c>
      <c r="D519" s="9" t="s">
        <v>62</v>
      </c>
      <c r="E519" s="1021">
        <f>VLOOKUP(C519,'Plesteran Dan Acian'!D6:I289,6,FALSE)</f>
        <v>57700</v>
      </c>
      <c r="F519" s="1003">
        <f>VLOOKUP(C519,'Plesteran Dan Acian'!D6:K289,7,FALSE)</f>
        <v>0</v>
      </c>
      <c r="G519" s="12">
        <f>VLOOKUP(C519,'Plesteran Dan Acian'!D6:M289,8,FALSE)</f>
        <v>0</v>
      </c>
      <c r="H519" s="374"/>
      <c r="I519" s="16"/>
    </row>
    <row r="520" spans="2:9" ht="24" customHeight="1">
      <c r="B520" s="1033" t="str">
        <f>'Plesteran Dan Acian'!C76</f>
        <v>3.7.5</v>
      </c>
      <c r="C520" s="1159" t="str">
        <f>VLOOKUP(B520,'Plesteran Dan Acian'!C:K,2,FALSE)</f>
        <v>Pemasangan 1 m2 plesteran 1SP : 5PP tebal 15 mm</v>
      </c>
      <c r="D520" s="9" t="s">
        <v>62</v>
      </c>
      <c r="E520" s="1021">
        <f>VLOOKUP(C520,'Plesteran Dan Acian'!D7:I290,6,FALSE)</f>
        <v>56600</v>
      </c>
      <c r="F520" s="1003">
        <f>VLOOKUP(C520,'Plesteran Dan Acian'!D7:K290,7,FALSE)</f>
        <v>0</v>
      </c>
      <c r="G520" s="12">
        <f>VLOOKUP(C520,'Plesteran Dan Acian'!D7:M290,8,FALSE)</f>
        <v>0</v>
      </c>
      <c r="H520" s="374"/>
      <c r="I520" s="16"/>
    </row>
    <row r="521" spans="2:9" ht="24" customHeight="1">
      <c r="B521" s="1033" t="str">
        <f>'Plesteran Dan Acian'!C94</f>
        <v>3.7.6</v>
      </c>
      <c r="C521" s="39" t="str">
        <f>VLOOKUP(B521,'Plesteran Dan Acian'!C:K,2,FALSE)</f>
        <v>Pemasangan 1 m2 plesteran 1SP : 6PP tebal 15 mm</v>
      </c>
      <c r="D521" s="9" t="s">
        <v>62</v>
      </c>
      <c r="E521" s="1021">
        <f>VLOOKUP(C521,'Plesteran Dan Acian'!D8:I291,6,FALSE)</f>
        <v>55700</v>
      </c>
      <c r="F521" s="1003">
        <f>VLOOKUP(C521,'Plesteran Dan Acian'!D8:K291,7,FALSE)</f>
        <v>0</v>
      </c>
      <c r="G521" s="12">
        <f>VLOOKUP(C521,'Plesteran Dan Acian'!D8:M291,8,FALSE)</f>
        <v>0</v>
      </c>
      <c r="H521" s="374"/>
      <c r="I521" s="16"/>
    </row>
    <row r="522" spans="2:9" ht="24" customHeight="1">
      <c r="B522" s="1033" t="str">
        <f>'Plesteran Dan Acian'!C112</f>
        <v>3.7.7</v>
      </c>
      <c r="C522" s="39" t="str">
        <f>VLOOKUP(B522,'Plesteran Dan Acian'!C:K,2,FALSE)</f>
        <v>Pemasangan 1 m2 plesteran dengan semen instan tebal 10 mm</v>
      </c>
      <c r="D522" s="9" t="s">
        <v>62</v>
      </c>
      <c r="E522" s="1021">
        <f>VLOOKUP(C522,'Plesteran Dan Acian'!D9:I292,6,FALSE)</f>
        <v>63500</v>
      </c>
      <c r="F522" s="1003">
        <f>VLOOKUP(C522,'Plesteran Dan Acian'!D9:K292,7,FALSE)</f>
        <v>0</v>
      </c>
      <c r="G522" s="12">
        <f>VLOOKUP(C522,'Plesteran Dan Acian'!D9:M292,8,FALSE)</f>
        <v>0</v>
      </c>
      <c r="H522" s="374"/>
      <c r="I522" s="16"/>
    </row>
    <row r="523" spans="2:9" ht="24" customHeight="1">
      <c r="B523" s="1033" t="str">
        <f>'Plesteran Dan Acian'!C129</f>
        <v>3.7.8</v>
      </c>
      <c r="C523" s="1159" t="str">
        <f>VLOOKUP(B523,'Plesteran Dan Acian'!C:K,2,FALSE)</f>
        <v>Pemasangan 1 m2 acian</v>
      </c>
      <c r="D523" s="9" t="s">
        <v>62</v>
      </c>
      <c r="E523" s="1021">
        <f>VLOOKUP(C523,'Plesteran Dan Acian'!D10:I293,6,FALSE)</f>
        <v>44500</v>
      </c>
      <c r="F523" s="1003">
        <f>VLOOKUP(C523,'Plesteran Dan Acian'!D10:K293,7,FALSE)</f>
        <v>0</v>
      </c>
      <c r="G523" s="12">
        <f>VLOOKUP(C523,'Plesteran Dan Acian'!D10:M293,8,FALSE)</f>
        <v>0</v>
      </c>
      <c r="H523" s="374"/>
      <c r="I523" s="16"/>
    </row>
    <row r="524" spans="2:9" ht="24" customHeight="1">
      <c r="B524" s="1033" t="str">
        <f>'Plesteran Dan Acian'!C146</f>
        <v>3.7.9</v>
      </c>
      <c r="C524" s="39" t="str">
        <f>VLOOKUP(B524,'Plesteran Dan Acian'!C:K,2,FALSE)</f>
        <v>Pemasangan 1 m2 berapen 1SP : 5PP tebal 15 mm</v>
      </c>
      <c r="D524" s="9" t="s">
        <v>62</v>
      </c>
      <c r="E524" s="1021">
        <f>VLOOKUP(C524,'Plesteran Dan Acian'!D11:I294,6,FALSE)</f>
        <v>67500</v>
      </c>
      <c r="F524" s="1003">
        <f>VLOOKUP(C524,'Plesteran Dan Acian'!D11:K294,7,FALSE)</f>
        <v>0</v>
      </c>
      <c r="G524" s="12">
        <f>VLOOKUP(C524,'Plesteran Dan Acian'!D11:M294,8,FALSE)</f>
        <v>0</v>
      </c>
      <c r="H524" s="374"/>
      <c r="I524" s="16"/>
    </row>
    <row r="525" spans="2:9" ht="24" customHeight="1">
      <c r="B525" s="1033" t="str">
        <f>'Plesteran Dan Acian'!C164</f>
        <v>3.7.10</v>
      </c>
      <c r="C525" s="39" t="str">
        <f>VLOOKUP(B525,'Plesteran Dan Acian'!C:K,2,FALSE)</f>
        <v>Pemasangan 1 m' plesteran skoning 1SP : 3PP lebar 10 cm</v>
      </c>
      <c r="D525" s="9" t="s">
        <v>62</v>
      </c>
      <c r="E525" s="1021">
        <f>VLOOKUP(C525,'Plesteran Dan Acian'!D12:I295,6,FALSE)</f>
        <v>55400</v>
      </c>
      <c r="F525" s="1003">
        <f>VLOOKUP(C525,'Plesteran Dan Acian'!D12:K295,7,FALSE)</f>
        <v>0</v>
      </c>
      <c r="G525" s="12">
        <f>VLOOKUP(C525,'Plesteran Dan Acian'!D12:M295,8,FALSE)</f>
        <v>0</v>
      </c>
      <c r="H525" s="374"/>
      <c r="I525" s="16"/>
    </row>
    <row r="526" spans="2:9" ht="24" customHeight="1">
      <c r="B526" s="1033" t="str">
        <f>'Plesteran Dan Acian'!C182</f>
        <v>3.7.11</v>
      </c>
      <c r="C526" s="39" t="str">
        <f>VLOOKUP(B526,'Plesteran Dan Acian'!C:K,2,FALSE)</f>
        <v>Pemasangan 1 m2 plesteran serbuk batu granit 1SP : 2 granit, tebal 10 mm</v>
      </c>
      <c r="D526" s="9" t="s">
        <v>62</v>
      </c>
      <c r="E526" s="1021">
        <f>VLOOKUP(C526,'Plesteran Dan Acian'!D13:I296,6,FALSE)</f>
        <v>55800</v>
      </c>
      <c r="F526" s="1003">
        <f>VLOOKUP(C526,'Plesteran Dan Acian'!D13:K296,7,FALSE)</f>
        <v>0</v>
      </c>
      <c r="G526" s="12">
        <f>VLOOKUP(C526,'Plesteran Dan Acian'!D13:M296,8,FALSE)</f>
        <v>0</v>
      </c>
      <c r="H526" s="374"/>
      <c r="I526" s="16"/>
    </row>
    <row r="527" spans="2:9" ht="24" customHeight="1">
      <c r="B527" s="1033" t="str">
        <f>'Plesteran Dan Acian'!C200</f>
        <v>3.7.12</v>
      </c>
      <c r="C527" s="39" t="str">
        <f>VLOOKUP(B527,'Plesteran Dan Acian'!C:K,2,FALSE)</f>
        <v>Pemasangan 1 m2 plesteran serbuk batu traso 1SP : 2 traso, tebal 10 mm</v>
      </c>
      <c r="D527" s="9" t="s">
        <v>62</v>
      </c>
      <c r="E527" s="1021">
        <f>VLOOKUP(C527,'Plesteran Dan Acian'!D14:I297,6,FALSE)</f>
        <v>55800</v>
      </c>
      <c r="F527" s="1003">
        <f>VLOOKUP(C527,'Plesteran Dan Acian'!D14:K297,7,FALSE)</f>
        <v>0</v>
      </c>
      <c r="G527" s="12">
        <f>VLOOKUP(C527,'Plesteran Dan Acian'!D14:M297,8,FALSE)</f>
        <v>0</v>
      </c>
      <c r="H527" s="374"/>
      <c r="I527" s="16"/>
    </row>
    <row r="528" spans="2:9" ht="24" customHeight="1">
      <c r="B528" s="1033" t="str">
        <f>'Plesteran Dan Acian'!C218</f>
        <v>3.7.13</v>
      </c>
      <c r="C528" s="39" t="str">
        <f>VLOOKUP(B528,'Plesteran Dan Acian'!C:K,2,FALSE)</f>
        <v>Pemasangan 1 m2 kamprotan untuk finishing 1SP : 2PP</v>
      </c>
      <c r="D528" s="9" t="s">
        <v>62</v>
      </c>
      <c r="E528" s="1021">
        <f>VLOOKUP(C528,'Plesteran Dan Acian'!D15:I298,6,FALSE)</f>
        <v>33300</v>
      </c>
      <c r="F528" s="1003" t="str">
        <f>VLOOKUP(C528,'Plesteran Dan Acian'!D15:K298,7,FALSE)</f>
        <v>Revisi</v>
      </c>
      <c r="G528" s="12" t="str">
        <f>VLOOKUP(C528,'Plesteran Dan Acian'!D15:M298,8,FALSE)</f>
        <v xml:space="preserve">Tidak ada perubahan koefisien hanya nama bahan pasir jadi pasir pasang saja </v>
      </c>
      <c r="H528" s="374"/>
      <c r="I528" s="16"/>
    </row>
    <row r="529" spans="2:9" ht="24" customHeight="1">
      <c r="B529" s="1033" t="str">
        <f>'Plesteran Dan Acian'!C236</f>
        <v>3.7.14</v>
      </c>
      <c r="C529" s="39" t="str">
        <f>VLOOKUP(B529,'Plesteran Dan Acian'!C:K,2,FALSE)</f>
        <v>Pemasangan 1 m2 finishing siar pasangan bata merah</v>
      </c>
      <c r="D529" s="9" t="s">
        <v>62</v>
      </c>
      <c r="E529" s="1021">
        <f>VLOOKUP(C529,'Plesteran Dan Acian'!D16:I299,6,FALSE)</f>
        <v>35200</v>
      </c>
      <c r="F529" s="1003">
        <f>VLOOKUP(C529,'Plesteran Dan Acian'!D16:K299,7,FALSE)</f>
        <v>0</v>
      </c>
      <c r="G529" s="12">
        <f>VLOOKUP(C529,'Plesteran Dan Acian'!D16:M299,8,FALSE)</f>
        <v>0</v>
      </c>
      <c r="H529" s="374"/>
      <c r="I529" s="16"/>
    </row>
    <row r="530" spans="2:9" ht="24" customHeight="1">
      <c r="B530" s="1033" t="str">
        <f>'Plesteran Dan Acian'!C253</f>
        <v>3.7.15</v>
      </c>
      <c r="C530" s="39" t="str">
        <f>VLOOKUP(B530,'Plesteran Dan Acian'!C:K,2,FALSE)</f>
        <v>Pemasangan 1 m2 finishing dinding siar pasangan conblock ekspose</v>
      </c>
      <c r="D530" s="9" t="s">
        <v>62</v>
      </c>
      <c r="E530" s="1021">
        <f>VLOOKUP(C530,'Plesteran Dan Acian'!D17:I300,6,FALSE)</f>
        <v>25200</v>
      </c>
      <c r="F530" s="1003">
        <f>VLOOKUP(C530,'Plesteran Dan Acian'!D17:K300,7,FALSE)</f>
        <v>0</v>
      </c>
      <c r="G530" s="12">
        <f>VLOOKUP(C530,'Plesteran Dan Acian'!D17:M300,8,FALSE)</f>
        <v>0</v>
      </c>
      <c r="H530" s="374"/>
      <c r="I530" s="16"/>
    </row>
    <row r="531" spans="2:9" ht="24" customHeight="1">
      <c r="B531" s="1033" t="str">
        <f>'Plesteran Dan Acian'!C271</f>
        <v>3.7.16</v>
      </c>
      <c r="C531" s="39" t="str">
        <f>VLOOKUP(B531,'Plesteran Dan Acian'!C:K,2,FALSE)</f>
        <v xml:space="preserve">Pekerjaan 1 m2 Beton Expose </v>
      </c>
      <c r="D531" s="9" t="s">
        <v>62</v>
      </c>
      <c r="E531" s="1021">
        <f>VLOOKUP(C531,'Plesteran Dan Acian'!D18:I301,6,FALSE)</f>
        <v>28000</v>
      </c>
      <c r="F531" s="1003">
        <f>VLOOKUP(C531,'Plesteran Dan Acian'!D18:K301,7,FALSE)</f>
        <v>0</v>
      </c>
      <c r="G531" s="12">
        <f>VLOOKUP(C531,'Plesteran Dan Acian'!D18:M301,8,FALSE)</f>
        <v>0</v>
      </c>
      <c r="H531" s="374"/>
      <c r="I531" s="16"/>
    </row>
    <row r="532" spans="2:9" ht="24" customHeight="1">
      <c r="B532" s="1043" t="str">
        <f>'Pengecatan dan Pelituran'!C3</f>
        <v>3.8</v>
      </c>
      <c r="C532" s="1001" t="str">
        <f>VLOOKUP(B532,'Pengecatan dan Pelituran'!C:K,2,FALSE)</f>
        <v>PEKERJAAN PENGECATAN DAN PELITURAN</v>
      </c>
      <c r="D532" s="994"/>
      <c r="E532" s="1027"/>
      <c r="F532" s="1007"/>
      <c r="G532" s="30"/>
      <c r="H532" s="374"/>
      <c r="I532" s="16"/>
    </row>
    <row r="533" spans="2:9" ht="24" customHeight="1">
      <c r="B533" s="1033" t="str">
        <f>'Pengecatan dan Pelituran'!C4</f>
        <v>3.8.1</v>
      </c>
      <c r="C533" s="39" t="str">
        <f>VLOOKUP(B533,'Pengecatan dan Pelituran'!C:K,2,FALSE)</f>
        <v>Pengikisan/pengerokan 1 m2 permukaan cat lama (cat minyak)</v>
      </c>
      <c r="D533" s="9" t="s">
        <v>62</v>
      </c>
      <c r="E533" s="1021">
        <f>VLOOKUP(C533,'Pengecatan dan Pelituran'!$D$3:$I$471,6,FALSE)</f>
        <v>17800</v>
      </c>
      <c r="F533" s="1003">
        <f>VLOOKUP(C533,'Pengecatan dan Pelituran'!$D$3:$J$471,7,FALSE)</f>
        <v>0</v>
      </c>
      <c r="G533" s="12">
        <f>VLOOKUP(C533,'Pengecatan dan Pelituran'!$D$3:$K$471,8,FALSE)</f>
        <v>0</v>
      </c>
      <c r="H533" s="374"/>
      <c r="I533" s="16"/>
    </row>
    <row r="534" spans="2:9" ht="24" customHeight="1">
      <c r="B534" s="1033" t="str">
        <f>'Pengecatan dan Pelituran'!C19</f>
        <v>3.8.2</v>
      </c>
      <c r="C534" s="39" t="str">
        <f>VLOOKUP(B534,'Pengecatan dan Pelituran'!C:K,2,FALSE)</f>
        <v>Pencucian 1 m2 permukaan tembok yang pernah dicat</v>
      </c>
      <c r="D534" s="9" t="s">
        <v>62</v>
      </c>
      <c r="E534" s="1021">
        <f>VLOOKUP(C534,'Pengecatan dan Pelituran'!$D$3:$I$471,6,FALSE)</f>
        <v>17800</v>
      </c>
      <c r="F534" s="1003">
        <f>VLOOKUP(C534,'Pengecatan dan Pelituran'!$D$3:$J$471,7,FALSE)</f>
        <v>0</v>
      </c>
      <c r="G534" s="12">
        <f>VLOOKUP(C534,'Pengecatan dan Pelituran'!$D$3:$K$471,8,FALSE)</f>
        <v>0</v>
      </c>
      <c r="H534" s="374"/>
      <c r="I534" s="16"/>
    </row>
    <row r="535" spans="2:9" ht="24" customHeight="1">
      <c r="B535" s="1033" t="str">
        <f>'Pengecatan dan Pelituran'!C34</f>
        <v>3.8.3</v>
      </c>
      <c r="C535" s="39" t="str">
        <f>VLOOKUP(B535,'Pengecatan dan Pelituran'!C:K,2,FALSE)</f>
        <v>Pengerokan 1 m2 karat pada permukaan baja cara manual</v>
      </c>
      <c r="D535" s="9" t="s">
        <v>62</v>
      </c>
      <c r="E535" s="1021">
        <f>VLOOKUP(C535,'Pengecatan dan Pelituran'!$D$3:$I$471,6,FALSE)</f>
        <v>18900</v>
      </c>
      <c r="F535" s="1003">
        <f>VLOOKUP(C535,'Pengecatan dan Pelituran'!$D$3:$J$471,7,FALSE)</f>
        <v>0</v>
      </c>
      <c r="G535" s="12">
        <f>VLOOKUP(C535,'Pengecatan dan Pelituran'!$D$3:$K$471,8,FALSE)</f>
        <v>0</v>
      </c>
      <c r="H535" s="374"/>
      <c r="I535" s="16"/>
    </row>
    <row r="536" spans="2:9" ht="24" customHeight="1">
      <c r="B536" s="1033" t="str">
        <f>'Pengecatan dan Pelituran'!C49</f>
        <v>3.8.4</v>
      </c>
      <c r="C536" s="39" t="str">
        <f>VLOOKUP(B536,'Pengecatan dan Pelituran'!C:K,2,FALSE)</f>
        <v>Pengecatan 1 m2 bidang kayu baru (1 lapis plamir, 1 lapis cat dasar, 2 lapis cat penutup)</v>
      </c>
      <c r="D536" s="9" t="s">
        <v>62</v>
      </c>
      <c r="E536" s="1021">
        <f>VLOOKUP(C536,'Pengecatan dan Pelituran'!$D$3:$I$471,6,FALSE)</f>
        <v>30500</v>
      </c>
      <c r="F536" s="1003">
        <f>VLOOKUP(C536,'Pengecatan dan Pelituran'!$D$3:$J$471,7,FALSE)</f>
        <v>0</v>
      </c>
      <c r="G536" s="12">
        <f>VLOOKUP(C536,'Pengecatan dan Pelituran'!$D$3:$K$471,8,FALSE)</f>
        <v>0</v>
      </c>
      <c r="H536" s="374"/>
      <c r="I536" s="16"/>
    </row>
    <row r="537" spans="2:9" ht="24" customHeight="1">
      <c r="B537" s="1033" t="str">
        <f>'Pengecatan dan Pelituran'!C72</f>
        <v>3.8.5</v>
      </c>
      <c r="C537" s="39" t="str">
        <f>VLOOKUP(B537,'Pengecatan dan Pelituran'!C:K,2,FALSE)</f>
        <v>Pengecatan 1 m2 bidang kayu baru (1 lapis plamir, 1 lapis cat dasar, 3 lapis cat penutup)</v>
      </c>
      <c r="D537" s="9" t="s">
        <v>62</v>
      </c>
      <c r="E537" s="1021">
        <f>VLOOKUP(C537,'Pengecatan dan Pelituran'!$D$3:$I$471,6,FALSE)</f>
        <v>46900</v>
      </c>
      <c r="F537" s="1003">
        <f>VLOOKUP(C537,'Pengecatan dan Pelituran'!$D$3:$J$471,7,FALSE)</f>
        <v>0</v>
      </c>
      <c r="G537" s="12">
        <f>VLOOKUP(C537,'Pengecatan dan Pelituran'!$D$3:$K$471,8,FALSE)</f>
        <v>0</v>
      </c>
      <c r="H537" s="374"/>
      <c r="I537" s="16"/>
    </row>
    <row r="538" spans="2:9" ht="24" customHeight="1">
      <c r="B538" s="1033" t="str">
        <f>'Pengecatan dan Pelituran'!C95</f>
        <v>3.8.6</v>
      </c>
      <c r="C538" s="39" t="str">
        <f>VLOOKUP(B538,'Pengecatan dan Pelituran'!C:K,2,FALSE)</f>
        <v>Pelaburan 1 m2 bidang kayu dengan teak oil</v>
      </c>
      <c r="D538" s="9" t="s">
        <v>62</v>
      </c>
      <c r="E538" s="1021">
        <f>VLOOKUP(C538,'Pengecatan dan Pelituran'!$D$3:$I$471,6,FALSE)</f>
        <v>26700</v>
      </c>
      <c r="F538" s="1003">
        <f>VLOOKUP(C538,'Pengecatan dan Pelituran'!$D$3:$J$471,7,FALSE)</f>
        <v>0</v>
      </c>
      <c r="G538" s="12">
        <f>VLOOKUP(C538,'Pengecatan dan Pelituran'!$D$3:$K$471,8,FALSE)</f>
        <v>0</v>
      </c>
      <c r="H538" s="374"/>
      <c r="I538" s="16"/>
    </row>
    <row r="539" spans="2:9" ht="24" customHeight="1">
      <c r="B539" s="1033" t="str">
        <f>'Pengecatan dan Pelituran'!C112</f>
        <v>3.8.7</v>
      </c>
      <c r="C539" s="39" t="str">
        <f>VLOOKUP(B539,'Pengecatan dan Pelituran'!C:K,2,FALSE)</f>
        <v>Pelaburan 1 m2 bidang kayu dengan pelitur</v>
      </c>
      <c r="D539" s="9" t="s">
        <v>62</v>
      </c>
      <c r="E539" s="1021">
        <f>VLOOKUP(C539,'Pengecatan dan Pelituran'!$D$3:$I$471,6,FALSE)</f>
        <v>62400</v>
      </c>
      <c r="F539" s="1003">
        <f>VLOOKUP(C539,'Pengecatan dan Pelituran'!$D$3:$J$471,7,FALSE)</f>
        <v>0</v>
      </c>
      <c r="G539" s="12">
        <f>VLOOKUP(C539,'Pengecatan dan Pelituran'!$D$3:$K$471,8,FALSE)</f>
        <v>0</v>
      </c>
      <c r="H539" s="374"/>
      <c r="I539" s="16"/>
    </row>
    <row r="540" spans="2:9" ht="24" customHeight="1">
      <c r="B540" s="1033" t="str">
        <f>'Pengecatan dan Pelituran'!C131</f>
        <v>3.8.8</v>
      </c>
      <c r="C540" s="39" t="str">
        <f>VLOOKUP(B540,'Pengecatan dan Pelituran'!C:K,2,FALSE)</f>
        <v>Pelaburan 1 m2 bidang kayu dengan residu atau Ter</v>
      </c>
      <c r="D540" s="9" t="s">
        <v>62</v>
      </c>
      <c r="E540" s="1021">
        <f>VLOOKUP(C540,'Pengecatan dan Pelituran'!$D$3:$I$471,6,FALSE)</f>
        <v>19900</v>
      </c>
      <c r="F540" s="1003">
        <f>VLOOKUP(C540,'Pengecatan dan Pelituran'!$D$3:$J$471,7,FALSE)</f>
        <v>0</v>
      </c>
      <c r="G540" s="12">
        <f>VLOOKUP(C540,'Pengecatan dan Pelituran'!$D$3:$K$471,8,FALSE)</f>
        <v>0</v>
      </c>
      <c r="H540" s="374"/>
      <c r="I540" s="16"/>
    </row>
    <row r="541" spans="2:9" ht="24" customHeight="1">
      <c r="B541" s="1033" t="str">
        <f>'Pengecatan dan Pelituran'!C146</f>
        <v>3.8.9</v>
      </c>
      <c r="C541" s="39" t="str">
        <f>VLOOKUP(B541,'Pengecatan dan Pelituran'!C:K,2,FALSE)</f>
        <v>Pelaburan 1 m2 bidang kayu dengan vernis</v>
      </c>
      <c r="D541" s="9" t="s">
        <v>62</v>
      </c>
      <c r="E541" s="1021">
        <f>VLOOKUP(C541,'Pengecatan dan Pelituran'!$D$3:$I$471,6,FALSE)</f>
        <v>54500</v>
      </c>
      <c r="F541" s="1003">
        <f>VLOOKUP(C541,'Pengecatan dan Pelituran'!$D$3:$J$471,7,FALSE)</f>
        <v>0</v>
      </c>
      <c r="G541" s="12">
        <f>VLOOKUP(C541,'Pengecatan dan Pelituran'!$D$3:$K$471,8,FALSE)</f>
        <v>0</v>
      </c>
      <c r="H541" s="374"/>
      <c r="I541" s="16"/>
    </row>
    <row r="542" spans="2:9" ht="24" customHeight="1">
      <c r="B542" s="1041" t="str">
        <f>'Pengecatan dan Pelituran'!C165</f>
        <v>3.8.10</v>
      </c>
      <c r="C542" s="40" t="str">
        <f>VLOOKUP(B542,'Pengecatan dan Pelituran'!C:K,2,FALSE)</f>
        <v>Pengecatan 1 M2 Tembol Baru</v>
      </c>
      <c r="D542" s="19"/>
      <c r="E542" s="1030"/>
      <c r="F542" s="1010"/>
      <c r="G542" s="34"/>
      <c r="H542" s="374"/>
      <c r="I542" s="16"/>
    </row>
    <row r="543" spans="2:9" ht="24" customHeight="1">
      <c r="B543" s="1033" t="str">
        <f>'Pengecatan dan Pelituran'!C166</f>
        <v>3.8.10.1</v>
      </c>
      <c r="C543" s="39" t="str">
        <f>VLOOKUP(B543,'Pengecatan dan Pelituran'!C:K,2,FALSE)</f>
        <v>Pengecatan 1 m2 tembok baru Interior( 1 lapis cat dasar, 2 lapis cat penutup)</v>
      </c>
      <c r="D543" s="9" t="s">
        <v>62</v>
      </c>
      <c r="E543" s="1021">
        <f>VLOOKUP(C543,'Pengecatan dan Pelituran'!$D$3:$I$471,6,FALSE)</f>
        <v>37500</v>
      </c>
      <c r="F543" s="1003">
        <f>VLOOKUP(C543,'Pengecatan dan Pelituran'!$D$3:$J$471,7,FALSE)</f>
        <v>0</v>
      </c>
      <c r="G543" s="12">
        <f>VLOOKUP(C543,'Pengecatan dan Pelituran'!$D$3:$K$471,8,FALSE)</f>
        <v>0</v>
      </c>
      <c r="H543" s="374"/>
      <c r="I543" s="16"/>
    </row>
    <row r="544" spans="2:9" ht="24" customHeight="1">
      <c r="B544" s="1033" t="str">
        <f>'Pengecatan dan Pelituran'!C184</f>
        <v>3.8.10.2</v>
      </c>
      <c r="C544" s="39" t="str">
        <f>VLOOKUP(B544,'Pengecatan dan Pelituran'!C:K,2,FALSE)</f>
        <v>Pengecatan 1 m2 tembok baru Ekterior (1 lapis cat dasar, 2 lapis cat penutup), eksterior</v>
      </c>
      <c r="D544" s="9" t="s">
        <v>62</v>
      </c>
      <c r="E544" s="1021">
        <f>VLOOKUP(C544,'Pengecatan dan Pelituran'!$D$3:$I$471,6,FALSE)</f>
        <v>35700</v>
      </c>
      <c r="F544" s="1003">
        <f>VLOOKUP(C544,'Pengecatan dan Pelituran'!$D$3:$J$471,7,FALSE)</f>
        <v>0</v>
      </c>
      <c r="G544" s="12">
        <f>VLOOKUP(C544,'Pengecatan dan Pelituran'!$D$3:$K$471,8,FALSE)</f>
        <v>0</v>
      </c>
      <c r="H544" s="374"/>
      <c r="I544" s="16"/>
    </row>
    <row r="545" spans="2:9" ht="24" customHeight="1">
      <c r="B545" s="1041" t="str">
        <f>'Pengecatan dan Pelituran'!C202</f>
        <v>3.8.11</v>
      </c>
      <c r="C545" s="40" t="str">
        <f>VLOOKUP(B545,'Pengecatan dan Pelituran'!C:K,2,FALSE)</f>
        <v xml:space="preserve">Pengecatan 1 m2 Tembok Lama </v>
      </c>
      <c r="D545" s="19"/>
      <c r="E545" s="1030"/>
      <c r="F545" s="1010"/>
      <c r="G545" s="34"/>
      <c r="H545" s="374"/>
      <c r="I545" s="16"/>
    </row>
    <row r="546" spans="2:9" ht="24" customHeight="1">
      <c r="B546" s="1033" t="str">
        <f>'Pengecatan dan Pelituran'!C203</f>
        <v>3.8.11.1</v>
      </c>
      <c r="C546" s="1159" t="str">
        <f>VLOOKUP(B546,'Pengecatan dan Pelituran'!C:K,2,FALSE)</f>
        <v>Pengecatan 1 m2 tembok lama Interior  (1 lapis cat dasar, 2 lapis cat penutup)</v>
      </c>
      <c r="D546" s="9" t="s">
        <v>62</v>
      </c>
      <c r="E546" s="1021">
        <f>VLOOKUP(C546,'Pengecatan dan Pelituran'!$D$3:$I$471,6,FALSE)</f>
        <v>29200</v>
      </c>
      <c r="F546" s="1003">
        <f>VLOOKUP(C546,'Pengecatan dan Pelituran'!$D$3:$J$471,7,FALSE)</f>
        <v>0</v>
      </c>
      <c r="G546" s="12">
        <f>VLOOKUP(C546,'Pengecatan dan Pelituran'!$D$3:$K$471,8,FALSE)</f>
        <v>0</v>
      </c>
      <c r="H546" s="374"/>
      <c r="I546" s="16"/>
    </row>
    <row r="547" spans="2:9" ht="24" customHeight="1">
      <c r="B547" s="1033" t="str">
        <f>'Pengecatan dan Pelituran'!C221</f>
        <v>3.8.11.2</v>
      </c>
      <c r="C547" s="39" t="str">
        <f>VLOOKUP(B547,'Pengecatan dan Pelituran'!C:K,2,FALSE)</f>
        <v>Pengecatan 1 m2 tembok lama Ekterior (1 lapis cat dasar, 2 lapis cat penutup)</v>
      </c>
      <c r="D547" s="9" t="s">
        <v>62</v>
      </c>
      <c r="E547" s="1021">
        <f>VLOOKUP(C547,'Pengecatan dan Pelituran'!$D$3:$I$471,6,FALSE)</f>
        <v>31000</v>
      </c>
      <c r="F547" s="1003">
        <f>VLOOKUP(C547,'Pengecatan dan Pelituran'!$D$3:$J$471,7,FALSE)</f>
        <v>0</v>
      </c>
      <c r="G547" s="12">
        <f>VLOOKUP(C547,'Pengecatan dan Pelituran'!$D$3:$K$471,8,FALSE)</f>
        <v>0</v>
      </c>
      <c r="H547" s="374"/>
      <c r="I547" s="16"/>
    </row>
    <row r="548" spans="2:9" ht="24" customHeight="1">
      <c r="B548" s="1033" t="str">
        <f>'Pengecatan dan Pelituran'!C239</f>
        <v>3.8.12</v>
      </c>
      <c r="C548" s="39" t="str">
        <f>VLOOKUP(B548,'Pengecatan dan Pelituran'!C:K,2,FALSE)</f>
        <v>Pelaburan 1 m2 tembok baru dengan kapur padam (kapur pemutih)</v>
      </c>
      <c r="D548" s="9" t="s">
        <v>62</v>
      </c>
      <c r="E548" s="1021">
        <f>VLOOKUP(C548,'Pengecatan dan Pelituran'!$D$3:$I$471,6,FALSE)</f>
        <v>25300</v>
      </c>
      <c r="F548" s="1003">
        <f>VLOOKUP(C548,'Pengecatan dan Pelituran'!$D$3:$J$471,7,FALSE)</f>
        <v>0</v>
      </c>
      <c r="G548" s="12">
        <f>VLOOKUP(C548,'Pengecatan dan Pelituran'!$D$3:$K$471,8,FALSE)</f>
        <v>0</v>
      </c>
      <c r="H548" s="374"/>
      <c r="I548" s="16"/>
    </row>
    <row r="549" spans="2:9" ht="24" customHeight="1">
      <c r="B549" s="1033" t="str">
        <f>'Pengecatan dan Pelituran'!C258</f>
        <v>3.8.13</v>
      </c>
      <c r="C549" s="39" t="str">
        <f>VLOOKUP(B549,'Pengecatan dan Pelituran'!C:K,2,FALSE)</f>
        <v>Pelaburan 1 m2 tembok lama dengan kapur padam (kapur pemutih)</v>
      </c>
      <c r="D549" s="9" t="s">
        <v>62</v>
      </c>
      <c r="E549" s="1021">
        <f>VLOOKUP(C549,'Pengecatan dan Pelituran'!$D$3:$I$471,6,FALSE)</f>
        <v>14300</v>
      </c>
      <c r="F549" s="1003">
        <f>VLOOKUP(C549,'Pengecatan dan Pelituran'!$D$3:$J$471,7,FALSE)</f>
        <v>0</v>
      </c>
      <c r="G549" s="12">
        <f>VLOOKUP(C549,'Pengecatan dan Pelituran'!$D$3:$K$471,8,FALSE)</f>
        <v>0</v>
      </c>
      <c r="H549" s="374"/>
      <c r="I549" s="16"/>
    </row>
    <row r="550" spans="2:9" ht="24" customHeight="1">
      <c r="B550" s="1033" t="str">
        <f>'Pengecatan dan Pelituran'!C277</f>
        <v>3.8.14</v>
      </c>
      <c r="C550" s="39" t="str">
        <f>VLOOKUP(B550,'Pengecatan dan Pelituran'!C:K,2,FALSE)</f>
        <v>Pengecatan 1 m2 permukaan baja galvanis 3 lapis cat terakhir secara semprot</v>
      </c>
      <c r="D550" s="9" t="s">
        <v>62</v>
      </c>
      <c r="E550" s="1021">
        <f>VLOOKUP(C550,'Pengecatan dan Pelituran'!$D$3:$I$471,6,FALSE)</f>
        <v>73600</v>
      </c>
      <c r="F550" s="1003">
        <f>VLOOKUP(C550,'Pengecatan dan Pelituran'!$D$3:$J$471,7,FALSE)</f>
        <v>0</v>
      </c>
      <c r="G550" s="12">
        <f>VLOOKUP(C550,'Pengecatan dan Pelituran'!$D$3:$K$471,8,FALSE)</f>
        <v>0</v>
      </c>
      <c r="H550" s="374"/>
      <c r="I550" s="16"/>
    </row>
    <row r="551" spans="2:9" ht="24" customHeight="1">
      <c r="B551" s="1033" t="str">
        <f>'Pengecatan dan Pelituran'!C295</f>
        <v>3.8.15</v>
      </c>
      <c r="C551" s="39" t="str">
        <f>VLOOKUP(B551,'Pengecatan dan Pelituran'!C:K,2,FALSE)</f>
        <v>Pengecatan 1 m2 permukaan baja galvanis secara manual sistem 3 lapis</v>
      </c>
      <c r="D551" s="9" t="s">
        <v>62</v>
      </c>
      <c r="E551" s="1021">
        <f>VLOOKUP(C551,'Pengecatan dan Pelituran'!$D$3:$I$471,6,FALSE)</f>
        <v>196600</v>
      </c>
      <c r="F551" s="1003">
        <f>VLOOKUP(C551,'Pengecatan dan Pelituran'!$D$3:$J$471,7,FALSE)</f>
        <v>0</v>
      </c>
      <c r="G551" s="12">
        <f>VLOOKUP(C551,'Pengecatan dan Pelituran'!$D$3:$K$471,8,FALSE)</f>
        <v>0</v>
      </c>
      <c r="H551" s="374"/>
      <c r="I551" s="16"/>
    </row>
    <row r="552" spans="2:9" ht="24" customHeight="1">
      <c r="B552" s="1033" t="str">
        <f>'Pengecatan dan Pelituran'!C316</f>
        <v>3.8.16</v>
      </c>
      <c r="C552" s="39" t="str">
        <f>VLOOKUP(B552,'Pengecatan dan Pelituran'!C:K,2,FALSE)</f>
        <v>Pengecatan 1 m2 permukaan baja dengan menie besi (Zinc Chromate)</v>
      </c>
      <c r="D552" s="9" t="s">
        <v>62</v>
      </c>
      <c r="E552" s="1021">
        <f>VLOOKUP(C552,'Pengecatan dan Pelituran'!$D$3:$I$471,6,FALSE)</f>
        <v>41100</v>
      </c>
      <c r="F552" s="1003">
        <f>VLOOKUP(C552,'Pengecatan dan Pelituran'!$D$3:$J$471,7,FALSE)</f>
        <v>0</v>
      </c>
      <c r="G552" s="12">
        <f>VLOOKUP(C552,'Pengecatan dan Pelituran'!$D$3:$K$471,8,FALSE)</f>
        <v>0</v>
      </c>
      <c r="H552" s="374"/>
      <c r="I552" s="16"/>
    </row>
    <row r="553" spans="2:9" ht="24" customHeight="1">
      <c r="B553" s="1033" t="str">
        <f>'Pengecatan dan Pelituran'!C336</f>
        <v>3.8.17</v>
      </c>
      <c r="C553" s="39" t="str">
        <f>VLOOKUP(B553,'Pengecatan dan Pelituran'!C:K,2,FALSE)</f>
        <v>Pengecatan 1 m2 permukaan baja dengan menie besi dengan perancah</v>
      </c>
      <c r="D553" s="9" t="s">
        <v>62</v>
      </c>
      <c r="E553" s="1021">
        <f>VLOOKUP(C553,'Pengecatan dan Pelituran'!$D$3:$I$471,6,FALSE)</f>
        <v>70600</v>
      </c>
      <c r="F553" s="1003">
        <f>VLOOKUP(C553,'Pengecatan dan Pelituran'!$D$3:$J$471,7,FALSE)</f>
        <v>0</v>
      </c>
      <c r="G553" s="12">
        <f>VLOOKUP(C553,'Pengecatan dan Pelituran'!$D$3:$K$471,8,FALSE)</f>
        <v>0</v>
      </c>
      <c r="H553" s="374"/>
      <c r="I553" s="16"/>
    </row>
    <row r="554" spans="2:9" ht="24" customHeight="1">
      <c r="B554" s="1033" t="str">
        <f>'Pengecatan dan Pelituran'!C356</f>
        <v>3.8.18</v>
      </c>
      <c r="C554" s="39" t="str">
        <f>VLOOKUP(B554,'Pengecatan dan Pelituran'!C:K,2,FALSE)</f>
        <v>Pengecatan 1 m2 permukaan baja galvanis secara manual sistem 4 lapis</v>
      </c>
      <c r="D554" s="9" t="s">
        <v>62</v>
      </c>
      <c r="E554" s="1021">
        <f>VLOOKUP(C554,'Pengecatan dan Pelituran'!$D$3:$I$471,6,FALSE)</f>
        <v>81700</v>
      </c>
      <c r="F554" s="1003">
        <f>VLOOKUP(C554,'Pengecatan dan Pelituran'!$D$3:$J$471,7,FALSE)</f>
        <v>0</v>
      </c>
      <c r="G554" s="12">
        <f>VLOOKUP(C554,'Pengecatan dan Pelituran'!$D$3:$K$471,8,FALSE)</f>
        <v>0</v>
      </c>
      <c r="H554" s="374"/>
      <c r="I554" s="16"/>
    </row>
    <row r="555" spans="2:9" ht="24" customHeight="1">
      <c r="B555" s="1033" t="str">
        <f>'Pengecatan dan Pelituran'!C377</f>
        <v>3.8.19</v>
      </c>
      <c r="C555" s="39" t="str">
        <f>VLOOKUP(B555,'Pengecatan dan Pelituran'!C:K,2,FALSE)</f>
        <v>Pengecatan 1 m2 permukaan baja galvanis secara manual sistem 1 lapis cat penutup</v>
      </c>
      <c r="D555" s="9" t="s">
        <v>62</v>
      </c>
      <c r="E555" s="1021">
        <f>VLOOKUP(C555,'Pengecatan dan Pelituran'!$D$3:$I$471,6,FALSE)</f>
        <v>17100</v>
      </c>
      <c r="F555" s="1003">
        <f>VLOOKUP(C555,'Pengecatan dan Pelituran'!$D$3:$J$471,7,FALSE)</f>
        <v>0</v>
      </c>
      <c r="G555" s="12">
        <f>VLOOKUP(C555,'Pengecatan dan Pelituran'!$D$3:$K$471,8,FALSE)</f>
        <v>0</v>
      </c>
      <c r="H555" s="374"/>
      <c r="I555" s="16"/>
    </row>
    <row r="556" spans="2:9" ht="24" customHeight="1">
      <c r="B556" s="1041" t="str">
        <f>'Pengecatan dan Pelituran'!C396</f>
        <v>3.8.20</v>
      </c>
      <c r="C556" s="40" t="str">
        <f>VLOOKUP(B556,'Pengecatan dan Pelituran'!C:K,2,FALSE)</f>
        <v>Pengecatan 1 m2 plafon (1 lapis cat dasar dan 2 lapis cat penutup)</v>
      </c>
      <c r="D556" s="9" t="s">
        <v>62</v>
      </c>
      <c r="E556" s="1021">
        <f>VLOOKUP(C556,'Pengecatan dan Pelituran'!$D$3:$I$471,6,FALSE)</f>
        <v>0</v>
      </c>
      <c r="F556" s="1003">
        <f>VLOOKUP(C556,'Pengecatan dan Pelituran'!$D$3:$J$471,7,FALSE)</f>
        <v>0</v>
      </c>
      <c r="G556" s="12">
        <f>VLOOKUP(C556,'Pengecatan dan Pelituran'!$D$3:$K$471,8,FALSE)</f>
        <v>0</v>
      </c>
      <c r="H556" s="374"/>
      <c r="I556" s="16"/>
    </row>
    <row r="557" spans="2:9" ht="24" customHeight="1">
      <c r="B557" s="1033" t="str">
        <f>'Pengecatan dan Pelituran'!C397</f>
        <v>3.8.20.1</v>
      </c>
      <c r="C557" s="1159" t="str">
        <f>VLOOKUP(B557,'Pengecatan dan Pelituran'!C:K,2,FALSE)</f>
        <v>Pengecatan 1 m2 plafon Interior ( 1 lapis Cat Dasar dan 2 Lapis Cat Penutup)</v>
      </c>
      <c r="D557" s="9" t="s">
        <v>62</v>
      </c>
      <c r="E557" s="1021">
        <f>VLOOKUP(C557,'Pengecatan dan Pelituran'!$D$3:$I$471,6,FALSE)</f>
        <v>32700</v>
      </c>
      <c r="F557" s="1003">
        <f>VLOOKUP(C557,'Pengecatan dan Pelituran'!$D$3:$J$471,7,FALSE)</f>
        <v>0</v>
      </c>
      <c r="G557" s="12">
        <f>VLOOKUP(C557,'Pengecatan dan Pelituran'!$D$3:$K$471,8,FALSE)</f>
        <v>0</v>
      </c>
      <c r="H557" s="374"/>
      <c r="I557" s="16"/>
    </row>
    <row r="558" spans="2:9" ht="24" customHeight="1">
      <c r="B558" s="1033" t="str">
        <f>'Pengecatan dan Pelituran'!C415</f>
        <v>3.8.20.2</v>
      </c>
      <c r="C558" s="39" t="str">
        <f>VLOOKUP(B558,'Pengecatan dan Pelituran'!C:K,2,FALSE)</f>
        <v>Pengecatan 1 m2 plafon eksterior ( 1 lapis Cat Dasar dan 2 Lapis Cat Penutup)</v>
      </c>
      <c r="D558" s="9" t="s">
        <v>62</v>
      </c>
      <c r="E558" s="1021">
        <f>VLOOKUP(C558,'Pengecatan dan Pelituran'!$D$3:$I$471,6,FALSE)</f>
        <v>17500</v>
      </c>
      <c r="F558" s="1003" t="str">
        <f>VLOOKUP(C558,'Pengecatan dan Pelituran'!$D$3:$J$471,7,FALSE)</f>
        <v xml:space="preserve">Revisi </v>
      </c>
      <c r="G558" s="12" t="str">
        <f>VLOOKUP(C558,'Pengecatan dan Pelituran'!$D$3:$K$471,8,FALSE)</f>
        <v xml:space="preserve">Tidak ada perubahan Koefisien Cuma di nama bahan saja </v>
      </c>
      <c r="H558" s="374"/>
      <c r="I558" s="16"/>
    </row>
    <row r="559" spans="2:9" ht="24" customHeight="1">
      <c r="B559" s="1033" t="str">
        <f>'Pengecatan dan Pelituran'!C433</f>
        <v>3.8.21</v>
      </c>
      <c r="C559" s="39" t="str">
        <f>VLOOKUP(B559,'Pengecatan dan Pelituran'!C:K,2,FALSE)</f>
        <v xml:space="preserve">Pengecatan 1 m2 cat epoxy tebal 2 mm </v>
      </c>
      <c r="D559" s="9" t="s">
        <v>62</v>
      </c>
      <c r="E559" s="1021">
        <f>VLOOKUP(C559,'Pengecatan dan Pelituran'!$D$3:$I$471,6,FALSE)</f>
        <v>56100</v>
      </c>
      <c r="F559" s="1003">
        <f>VLOOKUP(C559,'Pengecatan dan Pelituran'!$D$3:$J$471,7,FALSE)</f>
        <v>0</v>
      </c>
      <c r="G559" s="12">
        <f>VLOOKUP(C559,'Pengecatan dan Pelituran'!$D$3:$K$471,8,FALSE)</f>
        <v>0</v>
      </c>
      <c r="H559" s="374"/>
      <c r="I559" s="16"/>
    </row>
    <row r="560" spans="2:9" ht="24" customHeight="1">
      <c r="B560" s="1033" t="str">
        <f>'Pengecatan dan Pelituran'!C450</f>
        <v>3.8.22</v>
      </c>
      <c r="C560" s="39" t="str">
        <f>VLOOKUP(B560,'Pengecatan dan Pelituran'!C:K,2,FALSE)</f>
        <v>Pelituran 1 m2 dengan pelitur melamic</v>
      </c>
      <c r="D560" s="9" t="s">
        <v>62</v>
      </c>
      <c r="E560" s="1021">
        <f>VLOOKUP(C560,'Pengecatan dan Pelituran'!$D$3:$I$471,6,FALSE)</f>
        <v>288200</v>
      </c>
      <c r="F560" s="1003">
        <f>VLOOKUP(C560,'Pengecatan dan Pelituran'!$D$3:$J$471,7,FALSE)</f>
        <v>0</v>
      </c>
      <c r="G560" s="12">
        <f>VLOOKUP(C560,'Pengecatan dan Pelituran'!$D$3:$K$471,8,FALSE)</f>
        <v>0</v>
      </c>
      <c r="H560" s="374"/>
      <c r="I560" s="16"/>
    </row>
    <row r="561" spans="2:9" ht="24" customHeight="1">
      <c r="B561" s="1044" t="str">
        <f>'Penutup Lantai dan Dinding'!C3</f>
        <v>3.9</v>
      </c>
      <c r="C561" s="1002" t="str">
        <f>VLOOKUP(B561,'Penutup Lantai dan Dinding'!C:K,2,FALSE)</f>
        <v>PEKERJAAN PENUTUP LANTAI</v>
      </c>
      <c r="D561" s="995"/>
      <c r="E561" s="1026"/>
      <c r="F561" s="1007"/>
      <c r="G561" s="30"/>
      <c r="H561" s="374"/>
      <c r="I561" s="16"/>
    </row>
    <row r="562" spans="2:9" ht="24" customHeight="1">
      <c r="B562" s="1043" t="str">
        <f>'Penutup Lantai dan Dinding'!C4</f>
        <v xml:space="preserve">3.9.1 </v>
      </c>
      <c r="C562" s="1001" t="str">
        <f>VLOOKUP(B562,'Penutup Lantai dan Dinding'!C:K,2,FALSE)</f>
        <v>UBIN PC</v>
      </c>
      <c r="D562" s="994"/>
      <c r="E562" s="1027"/>
      <c r="F562" s="1004"/>
      <c r="G562" s="36"/>
      <c r="H562" s="374"/>
      <c r="I562" s="16"/>
    </row>
    <row r="563" spans="2:9" ht="24" customHeight="1">
      <c r="B563" s="1033" t="str">
        <f>'Penutup Lantai dan Dinding'!C5</f>
        <v>3.9.1</v>
      </c>
      <c r="C563" s="39" t="str">
        <f>VLOOKUP(B563,'Penutup Lantai dan Dinding'!C:K,2,FALSE)</f>
        <v xml:space="preserve">Pemasangan 1 m2 lantai ubin PC abu-abu uk. 20x20 cm (1SP : 2PP) </v>
      </c>
      <c r="D563" s="9" t="s">
        <v>62</v>
      </c>
      <c r="E563" s="1021">
        <f>VLOOKUP(C563,'Penutup Lantai dan Dinding'!$D$3:$I$2044,6,FALSE)</f>
        <v>115900</v>
      </c>
      <c r="F563" s="1003">
        <f>VLOOKUP(C563,'Penutup Lantai dan Dinding'!$D$3:$J$2044,7,FALSE)</f>
        <v>0</v>
      </c>
      <c r="G563" s="12">
        <f>VLOOKUP(C563,'Penutup Lantai dan Dinding'!$D$3:$K$2044,8,FALSE)</f>
        <v>0</v>
      </c>
      <c r="H563" s="374"/>
      <c r="I563" s="16"/>
    </row>
    <row r="564" spans="2:9" ht="24" customHeight="1">
      <c r="B564" s="1033" t="str">
        <f>'Penutup Lantai dan Dinding'!C24</f>
        <v>3.9.1.2</v>
      </c>
      <c r="C564" s="39" t="str">
        <f>VLOOKUP(B564,'Penutup Lantai dan Dinding'!C:K,2,FALSE)</f>
        <v xml:space="preserve">Pemasangan 1 m2 lantai ubin PC abu-abu uk. 30x30 cm (1SP : 2PP) </v>
      </c>
      <c r="D564" s="9" t="s">
        <v>62</v>
      </c>
      <c r="E564" s="1021">
        <f>VLOOKUP(C564,'Penutup Lantai dan Dinding'!$D$3:$I$2044,6,FALSE)</f>
        <v>103700</v>
      </c>
      <c r="F564" s="1003">
        <f>VLOOKUP(C564,'Penutup Lantai dan Dinding'!$D$3:$J$2044,7,FALSE)</f>
        <v>0</v>
      </c>
      <c r="G564" s="12">
        <f>VLOOKUP(C564,'Penutup Lantai dan Dinding'!$D$3:$K$2044,8,FALSE)</f>
        <v>0</v>
      </c>
      <c r="H564" s="374"/>
      <c r="I564" s="16"/>
    </row>
    <row r="565" spans="2:9" ht="24" customHeight="1">
      <c r="B565" s="1033" t="str">
        <f>'Penutup Lantai dan Dinding'!C43</f>
        <v>3.9.1.3</v>
      </c>
      <c r="C565" s="39" t="str">
        <f>VLOOKUP(B565,'Penutup Lantai dan Dinding'!C:K,2,FALSE)</f>
        <v xml:space="preserve">Pemasangan 1 m2 lantai ubin PC abu-abu uk. 40x40 cm (1SP : 2PP) </v>
      </c>
      <c r="D565" s="9" t="s">
        <v>62</v>
      </c>
      <c r="E565" s="1021">
        <f>VLOOKUP(C565,'Penutup Lantai dan Dinding'!$D$3:$I$2044,6,FALSE)</f>
        <v>95400</v>
      </c>
      <c r="F565" s="1003">
        <f>VLOOKUP(C565,'Penutup Lantai dan Dinding'!$D$3:$J$2044,7,FALSE)</f>
        <v>0</v>
      </c>
      <c r="G565" s="12">
        <f>VLOOKUP(C565,'Penutup Lantai dan Dinding'!$D$3:$K$2044,8,FALSE)</f>
        <v>0</v>
      </c>
      <c r="H565" s="374"/>
      <c r="I565" s="16"/>
    </row>
    <row r="566" spans="2:9" ht="24" customHeight="1">
      <c r="B566" s="1033" t="str">
        <f>'Penutup Lantai dan Dinding'!C62</f>
        <v>3.9.1.4</v>
      </c>
      <c r="C566" s="39" t="str">
        <f>VLOOKUP(B566,'Penutup Lantai dan Dinding'!C:K,2,FALSE)</f>
        <v xml:space="preserve">Pemasangan 1 m2 lantai ubin PC abu-abu uk. 60x60 cm (1SP : 2PP) </v>
      </c>
      <c r="D566" s="9" t="s">
        <v>62</v>
      </c>
      <c r="E566" s="1021">
        <f>VLOOKUP(C566,'Penutup Lantai dan Dinding'!$D$3:$I$2044,6,FALSE)</f>
        <v>93100</v>
      </c>
      <c r="F566" s="1003">
        <f>VLOOKUP(C566,'Penutup Lantai dan Dinding'!$D$3:$J$2044,7,FALSE)</f>
        <v>0</v>
      </c>
      <c r="G566" s="12">
        <f>VLOOKUP(C566,'Penutup Lantai dan Dinding'!$D$3:$K$2044,8,FALSE)</f>
        <v>0</v>
      </c>
      <c r="H566" s="374"/>
      <c r="I566" s="16"/>
    </row>
    <row r="567" spans="2:9" ht="24" customHeight="1">
      <c r="B567" s="1033" t="str">
        <f>'Penutup Lantai dan Dinding'!C81</f>
        <v>3.9.1.5</v>
      </c>
      <c r="C567" s="39" t="str">
        <f>VLOOKUP(B567,'Penutup Lantai dan Dinding'!C:K,2,FALSE)</f>
        <v>Pemasangan 1 m’ plint ubin PC abu-abu uk. 10 s.d. 15x20 cm (1SP : 2PP)</v>
      </c>
      <c r="D567" s="9" t="s">
        <v>113</v>
      </c>
      <c r="E567" s="1021">
        <f>VLOOKUP(C567,'Penutup Lantai dan Dinding'!$D$3:$I$2044,6,FALSE)</f>
        <v>20800</v>
      </c>
      <c r="F567" s="1003">
        <f>VLOOKUP(C567,'Penutup Lantai dan Dinding'!$D$3:$J$2044,7,FALSE)</f>
        <v>0</v>
      </c>
      <c r="G567" s="12">
        <f>VLOOKUP(C567,'Penutup Lantai dan Dinding'!$D$3:$K$2044,8,FALSE)</f>
        <v>0</v>
      </c>
      <c r="H567" s="374"/>
      <c r="I567" s="16"/>
    </row>
    <row r="568" spans="2:9" ht="24" customHeight="1">
      <c r="B568" s="1033" t="str">
        <f>'Penutup Lantai dan Dinding'!C100</f>
        <v>3.9.1.6</v>
      </c>
      <c r="C568" s="39" t="str">
        <f>VLOOKUP(B568,'Penutup Lantai dan Dinding'!C:K,2,FALSE)</f>
        <v>Pemasangan 1 m’ plint ubin PC abu-abu uk. 10 s.d. 15x30 cm (1SP : 2PP)</v>
      </c>
      <c r="D568" s="9" t="s">
        <v>113</v>
      </c>
      <c r="E568" s="1021">
        <f>VLOOKUP(C568,'Penutup Lantai dan Dinding'!$D$3:$I$2044,6,FALSE)</f>
        <v>21800</v>
      </c>
      <c r="F568" s="1003">
        <f>VLOOKUP(C568,'Penutup Lantai dan Dinding'!$D$3:$J$2044,7,FALSE)</f>
        <v>0</v>
      </c>
      <c r="G568" s="12">
        <f>VLOOKUP(C568,'Penutup Lantai dan Dinding'!$D$3:$K$2044,8,FALSE)</f>
        <v>0</v>
      </c>
      <c r="H568" s="374"/>
      <c r="I568" s="16"/>
    </row>
    <row r="569" spans="2:9" ht="24" customHeight="1">
      <c r="B569" s="1033" t="str">
        <f>'Penutup Lantai dan Dinding'!C119</f>
        <v>3.9.1.7</v>
      </c>
      <c r="C569" s="39" t="str">
        <f>VLOOKUP(B569,'Penutup Lantai dan Dinding'!C:K,2,FALSE)</f>
        <v>Pemasangan 1 m’ plint ubin PC abu-abu uk. 10 s.d. 15x40 cm (1SP : 2PP)</v>
      </c>
      <c r="D569" s="9" t="s">
        <v>113</v>
      </c>
      <c r="E569" s="1021">
        <f>VLOOKUP(C569,'Penutup Lantai dan Dinding'!$D$3:$I$2044,6,FALSE)</f>
        <v>22600</v>
      </c>
      <c r="F569" s="1003">
        <f>VLOOKUP(C569,'Penutup Lantai dan Dinding'!$D$3:$J$2044,7,FALSE)</f>
        <v>0</v>
      </c>
      <c r="G569" s="12">
        <f>VLOOKUP(C569,'Penutup Lantai dan Dinding'!$D$3:$K$2044,8,FALSE)</f>
        <v>0</v>
      </c>
      <c r="H569" s="374"/>
      <c r="I569" s="16"/>
    </row>
    <row r="570" spans="2:9" ht="24" customHeight="1">
      <c r="B570" s="1033" t="str">
        <f>'Penutup Lantai dan Dinding'!C138</f>
        <v>3.9.1.8</v>
      </c>
      <c r="C570" s="39" t="str">
        <f>VLOOKUP(B570,'Penutup Lantai dan Dinding'!C:K,2,FALSE)</f>
        <v>Pemasangan 1 m’ plint ubin PC abu-abu uk. 10 s.d. 15x60 cm (1SP : 2PP)</v>
      </c>
      <c r="D570" s="9" t="s">
        <v>113</v>
      </c>
      <c r="E570" s="1021">
        <f>VLOOKUP(C570,'Penutup Lantai dan Dinding'!$D$3:$I$2044,6,FALSE)</f>
        <v>22600</v>
      </c>
      <c r="F570" s="1003">
        <f>VLOOKUP(C570,'Penutup Lantai dan Dinding'!$D$3:$J$2044,7,FALSE)</f>
        <v>0</v>
      </c>
      <c r="G570" s="12">
        <f>VLOOKUP(C570,'Penutup Lantai dan Dinding'!$D$3:$K$2044,8,FALSE)</f>
        <v>0</v>
      </c>
      <c r="H570" s="374"/>
      <c r="I570" s="16"/>
    </row>
    <row r="571" spans="2:9" ht="24" customHeight="1">
      <c r="B571" s="1043" t="str">
        <f>'Penutup Lantai dan Dinding'!C157</f>
        <v>3.9.2</v>
      </c>
      <c r="C571" s="1001" t="str">
        <f>VLOOKUP(B571,'Penutup Lantai dan Dinding'!C:K,2,FALSE)</f>
        <v>UBIN WARNA</v>
      </c>
      <c r="D571" s="994"/>
      <c r="E571" s="1027"/>
      <c r="F571" s="1004">
        <f>VLOOKUP(C571,'Penutup Lantai dan Dinding'!$D$3:$J$2044,7,FALSE)</f>
        <v>0</v>
      </c>
      <c r="G571" s="36">
        <f>VLOOKUP(C571,'Penutup Lantai dan Dinding'!$D$3:$K$2044,8,FALSE)</f>
        <v>0</v>
      </c>
      <c r="H571" s="374"/>
      <c r="I571" s="16"/>
    </row>
    <row r="572" spans="2:9" ht="24" customHeight="1">
      <c r="B572" s="1033" t="str">
        <f>'Penutup Lantai dan Dinding'!C158</f>
        <v>3.9.2.1</v>
      </c>
      <c r="C572" s="39" t="str">
        <f>VLOOKUP(B572,'Penutup Lantai dan Dinding'!C:K,2,FALSE)</f>
        <v>Pemasangan 1 m2 lantai ubin warna uk. 20x20 cm (1SP : 2PP)</v>
      </c>
      <c r="D572" s="9" t="s">
        <v>62</v>
      </c>
      <c r="E572" s="1021">
        <f>VLOOKUP(C572,'Penutup Lantai dan Dinding'!$D$3:$I$2044,6,FALSE)</f>
        <v>145600</v>
      </c>
      <c r="F572" s="1003">
        <f>VLOOKUP(C572,'Penutup Lantai dan Dinding'!$D$3:$J$2044,7,FALSE)</f>
        <v>0</v>
      </c>
      <c r="G572" s="12">
        <f>VLOOKUP(C572,'Penutup Lantai dan Dinding'!$D$3:$K$2044,8,FALSE)</f>
        <v>0</v>
      </c>
      <c r="H572" s="374"/>
      <c r="I572" s="16"/>
    </row>
    <row r="573" spans="2:9" ht="24" customHeight="1">
      <c r="B573" s="1033" t="str">
        <f>'Penutup Lantai dan Dinding'!C178</f>
        <v>3.9.2.2</v>
      </c>
      <c r="C573" s="39" t="str">
        <f>VLOOKUP(B573,'Penutup Lantai dan Dinding'!C:K,2,FALSE)</f>
        <v>Pemasangan 1 m2 lantai ubin warna uk. 30x30 cm (1SP : 2PP)</v>
      </c>
      <c r="D573" s="9" t="s">
        <v>62</v>
      </c>
      <c r="E573" s="1021">
        <f>VLOOKUP(C573,'Penutup Lantai dan Dinding'!$D$3:$I$2044,6,FALSE)</f>
        <v>147500</v>
      </c>
      <c r="F573" s="1003">
        <f>VLOOKUP(C573,'Penutup Lantai dan Dinding'!$D$3:$J$2044,7,FALSE)</f>
        <v>0</v>
      </c>
      <c r="G573" s="12">
        <f>VLOOKUP(C573,'Penutup Lantai dan Dinding'!$D$3:$K$2044,8,FALSE)</f>
        <v>0</v>
      </c>
      <c r="H573" s="374"/>
      <c r="I573" s="16"/>
    </row>
    <row r="574" spans="2:9" ht="24" customHeight="1">
      <c r="B574" s="1033" t="str">
        <f>'Penutup Lantai dan Dinding'!C198</f>
        <v>3.9.2.3</v>
      </c>
      <c r="C574" s="39" t="str">
        <f>VLOOKUP(B574,'Penutup Lantai dan Dinding'!C:K,2,FALSE)</f>
        <v>Pemasangan 1 m2 lantai ubin warna uk. 40x40 cm (1SP : 2PP)</v>
      </c>
      <c r="D574" s="9" t="s">
        <v>62</v>
      </c>
      <c r="E574" s="1021">
        <f>VLOOKUP(C574,'Penutup Lantai dan Dinding'!$D$3:$I$2044,6,FALSE)</f>
        <v>135200</v>
      </c>
      <c r="F574" s="1003">
        <f>VLOOKUP(C574,'Penutup Lantai dan Dinding'!$D$3:$J$2044,7,FALSE)</f>
        <v>0</v>
      </c>
      <c r="G574" s="12">
        <f>VLOOKUP(C574,'Penutup Lantai dan Dinding'!$D$3:$K$2044,8,FALSE)</f>
        <v>0</v>
      </c>
      <c r="H574" s="374"/>
      <c r="I574" s="16"/>
    </row>
    <row r="575" spans="2:9" ht="24" customHeight="1">
      <c r="B575" s="1033" t="str">
        <f>'Penutup Lantai dan Dinding'!C218</f>
        <v>3.9.2.4</v>
      </c>
      <c r="C575" s="39" t="str">
        <f>VLOOKUP(B575,'Penutup Lantai dan Dinding'!C:K,2,FALSE)</f>
        <v>Pemasangan 1 m2 lantai ubin warna uk. 60x60 cm (1SP : 2PP)</v>
      </c>
      <c r="D575" s="9" t="s">
        <v>62</v>
      </c>
      <c r="E575" s="1021">
        <f>VLOOKUP(C575,'Penutup Lantai dan Dinding'!$D$3:$I$2044,6,FALSE)</f>
        <v>129200</v>
      </c>
      <c r="F575" s="1003">
        <f>VLOOKUP(C575,'Penutup Lantai dan Dinding'!$D$3:$J$2044,7,FALSE)</f>
        <v>0</v>
      </c>
      <c r="G575" s="12">
        <f>VLOOKUP(C575,'Penutup Lantai dan Dinding'!$D$3:$K$2044,8,FALSE)</f>
        <v>0</v>
      </c>
      <c r="H575" s="374"/>
      <c r="I575" s="16"/>
    </row>
    <row r="576" spans="2:9" ht="24" customHeight="1">
      <c r="B576" s="1033" t="str">
        <f>'Penutup Lantai dan Dinding'!C238</f>
        <v>3.9.2.5</v>
      </c>
      <c r="C576" s="39" t="str">
        <f>VLOOKUP(B576,'Penutup Lantai dan Dinding'!C:K,2,FALSE)</f>
        <v>Pemasangan 1 m' plint ubin warna uk. 10 s.d. 15x20 cm (1SP : 2PP)</v>
      </c>
      <c r="D576" s="9" t="s">
        <v>62</v>
      </c>
      <c r="E576" s="1021">
        <f>VLOOKUP(C576,'Penutup Lantai dan Dinding'!$D$3:$I$2044,6,FALSE)</f>
        <v>27400</v>
      </c>
      <c r="F576" s="1003">
        <f>VLOOKUP(C576,'Penutup Lantai dan Dinding'!$D$3:$J$2044,7,FALSE)</f>
        <v>0</v>
      </c>
      <c r="G576" s="12">
        <f>VLOOKUP(C576,'Penutup Lantai dan Dinding'!$D$3:$K$2044,8,FALSE)</f>
        <v>0</v>
      </c>
      <c r="H576" s="374"/>
      <c r="I576" s="16"/>
    </row>
    <row r="577" spans="2:9" ht="24" customHeight="1">
      <c r="B577" s="1033" t="str">
        <f>'Penutup Lantai dan Dinding'!C258</f>
        <v>3.9.2.6</v>
      </c>
      <c r="C577" s="39" t="str">
        <f>VLOOKUP(B577,'Penutup Lantai dan Dinding'!C:K,2,FALSE)</f>
        <v>Pemasangan 1 m' plint ubin warna uk. 10 s.d. 15x30 cm (1SP : 2PP)</v>
      </c>
      <c r="D577" s="9" t="s">
        <v>62</v>
      </c>
      <c r="E577" s="1021">
        <f>VLOOKUP(C577,'Penutup Lantai dan Dinding'!$D$3:$I$2044,6,FALSE)</f>
        <v>27500</v>
      </c>
      <c r="F577" s="1003">
        <f>VLOOKUP(C577,'Penutup Lantai dan Dinding'!$D$3:$J$2044,7,FALSE)</f>
        <v>0</v>
      </c>
      <c r="G577" s="12">
        <f>VLOOKUP(C577,'Penutup Lantai dan Dinding'!$D$3:$K$2044,8,FALSE)</f>
        <v>0</v>
      </c>
      <c r="H577" s="374"/>
      <c r="I577" s="16"/>
    </row>
    <row r="578" spans="2:9" ht="24" customHeight="1">
      <c r="B578" s="1033" t="str">
        <f>'Penutup Lantai dan Dinding'!C278</f>
        <v>3.9.2.7</v>
      </c>
      <c r="C578" s="39" t="str">
        <f>VLOOKUP(B578,'Penutup Lantai dan Dinding'!C:K,2,FALSE)</f>
        <v>Pemasangan 1 m' plint ubin warna uk. 10 s.d. 15x40 cm (1SP : 2PP)</v>
      </c>
      <c r="D578" s="9" t="s">
        <v>62</v>
      </c>
      <c r="E578" s="1021">
        <f>VLOOKUP(C578,'Penutup Lantai dan Dinding'!$D$3:$I$2044,6,FALSE)</f>
        <v>8683100</v>
      </c>
      <c r="F578" s="1003">
        <f>VLOOKUP(C578,'Penutup Lantai dan Dinding'!$D$3:$J$2044,7,FALSE)</f>
        <v>0</v>
      </c>
      <c r="G578" s="12">
        <f>VLOOKUP(C578,'Penutup Lantai dan Dinding'!$D$3:$K$2044,8,FALSE)</f>
        <v>0</v>
      </c>
      <c r="H578" s="374"/>
      <c r="I578" s="16"/>
    </row>
    <row r="579" spans="2:9" ht="24" customHeight="1">
      <c r="B579" s="1033" t="str">
        <f>'Penutup Lantai dan Dinding'!C298</f>
        <v>3.9.2.8</v>
      </c>
      <c r="C579" s="39" t="str">
        <f>VLOOKUP(B579,'Penutup Lantai dan Dinding'!C:K,2,FALSE)</f>
        <v>Pemasangan 1 m' plint ubin warna uk. 10 s.d. 15x60 cm (1SP : 2PP)</v>
      </c>
      <c r="D579" s="9" t="s">
        <v>62</v>
      </c>
      <c r="E579" s="1021">
        <f>VLOOKUP(C579,'Penutup Lantai dan Dinding'!$D$3:$I$2044,6,FALSE)</f>
        <v>30200</v>
      </c>
      <c r="F579" s="1003">
        <f>VLOOKUP(C579,'Penutup Lantai dan Dinding'!$D$3:$J$2044,7,FALSE)</f>
        <v>0</v>
      </c>
      <c r="G579" s="12">
        <f>VLOOKUP(C579,'Penutup Lantai dan Dinding'!$D$3:$K$2044,8,FALSE)</f>
        <v>0</v>
      </c>
      <c r="H579" s="374"/>
      <c r="I579" s="16"/>
    </row>
    <row r="580" spans="2:9" ht="24" customHeight="1">
      <c r="B580" s="1043" t="str">
        <f>'Penutup Lantai dan Dinding'!C318</f>
        <v>3.9.3</v>
      </c>
      <c r="C580" s="1001" t="str">
        <f>VLOOKUP(B580,'Penutup Lantai dan Dinding'!C:K,2,FALSE)</f>
        <v xml:space="preserve">UBIN TERASO </v>
      </c>
      <c r="D580" s="994"/>
      <c r="E580" s="1027"/>
      <c r="F580" s="1004">
        <f>VLOOKUP(C580,'Penutup Lantai dan Dinding'!$D$3:$J$2044,7,FALSE)</f>
        <v>0</v>
      </c>
      <c r="G580" s="36">
        <f>VLOOKUP(C580,'Penutup Lantai dan Dinding'!$D$3:$K$2044,8,FALSE)</f>
        <v>0</v>
      </c>
      <c r="H580" s="374"/>
      <c r="I580" s="16"/>
    </row>
    <row r="581" spans="2:9" ht="24" customHeight="1">
      <c r="B581" s="1033" t="str">
        <f>'Penutup Lantai dan Dinding'!C319</f>
        <v>3.9.3.1</v>
      </c>
      <c r="C581" s="39" t="str">
        <f>VLOOKUP(B581,'Penutup Lantai dan Dinding'!C:K,2,FALSE)</f>
        <v>Pemasangan 1 m2 lantai ubin teraso uk. 30x30 cm (1SP : 2PP)</v>
      </c>
      <c r="D581" s="9" t="s">
        <v>62</v>
      </c>
      <c r="E581" s="1021">
        <f>VLOOKUP(C581,'Penutup Lantai dan Dinding'!$D$3:$I$2044,6,FALSE)</f>
        <v>397700</v>
      </c>
      <c r="F581" s="1003">
        <f>VLOOKUP(C581,'Penutup Lantai dan Dinding'!$D$3:$J$2044,7,FALSE)</f>
        <v>0</v>
      </c>
      <c r="G581" s="12">
        <f>VLOOKUP(C581,'Penutup Lantai dan Dinding'!$D$3:$K$2044,8,FALSE)</f>
        <v>0</v>
      </c>
      <c r="H581" s="374"/>
      <c r="I581" s="16"/>
    </row>
    <row r="582" spans="2:9" ht="24" customHeight="1">
      <c r="B582" s="1033" t="str">
        <f>'Penutup Lantai dan Dinding'!C339</f>
        <v>3.9.3.2</v>
      </c>
      <c r="C582" s="39" t="str">
        <f>VLOOKUP(B582,'Penutup Lantai dan Dinding'!C:K,2,FALSE)</f>
        <v>Pemasangan 1 m2 lantai ubin teraso uk. 40x40 cm (1SP : 2PP)</v>
      </c>
      <c r="D582" s="9" t="s">
        <v>62</v>
      </c>
      <c r="E582" s="1021">
        <f>VLOOKUP(C582,'Penutup Lantai dan Dinding'!$D$3:$I$2044,6,FALSE)</f>
        <v>308500</v>
      </c>
      <c r="F582" s="1003">
        <f>VLOOKUP(C582,'Penutup Lantai dan Dinding'!$D$3:$J$2044,7,FALSE)</f>
        <v>0</v>
      </c>
      <c r="G582" s="12">
        <f>VLOOKUP(C582,'Penutup Lantai dan Dinding'!$D$3:$K$2044,8,FALSE)</f>
        <v>0</v>
      </c>
      <c r="H582" s="374"/>
      <c r="I582" s="16"/>
    </row>
    <row r="583" spans="2:9" ht="24" customHeight="1">
      <c r="B583" s="1033" t="str">
        <f>'Penutup Lantai dan Dinding'!C359</f>
        <v>3.9.3.3</v>
      </c>
      <c r="C583" s="39" t="str">
        <f>VLOOKUP(B583,'Penutup Lantai dan Dinding'!C:K,2,FALSE)</f>
        <v xml:space="preserve">Pemasangan 1 m2 lantai teraso cor di tempat, tebal 3cm  </v>
      </c>
      <c r="D583" s="9" t="s">
        <v>62</v>
      </c>
      <c r="E583" s="1021">
        <f>VLOOKUP(C583,'Penutup Lantai dan Dinding'!$D$3:$I$2044,6,FALSE)</f>
        <v>210900</v>
      </c>
      <c r="F583" s="1003">
        <f>VLOOKUP(C583,'Penutup Lantai dan Dinding'!$D$3:$J$2044,7,FALSE)</f>
        <v>0</v>
      </c>
      <c r="G583" s="12">
        <f>VLOOKUP(C583,'Penutup Lantai dan Dinding'!$D$3:$K$2044,8,FALSE)</f>
        <v>0</v>
      </c>
      <c r="H583" s="374"/>
      <c r="I583" s="16"/>
    </row>
    <row r="584" spans="2:9" ht="24" customHeight="1">
      <c r="B584" s="1033" t="str">
        <f>'Penutup Lantai dan Dinding'!C377</f>
        <v>3.9.3.4</v>
      </c>
      <c r="C584" s="39" t="str">
        <f>VLOOKUP(B584,'Penutup Lantai dan Dinding'!C:K,2,FALSE)</f>
        <v>Pemasangan 1 m' plint ubin teraso uk. 10 s.d. 15x30 cm (1SP : 2PP)</v>
      </c>
      <c r="D584" s="9" t="s">
        <v>62</v>
      </c>
      <c r="E584" s="1021">
        <f>VLOOKUP(C584,'Penutup Lantai dan Dinding'!$D$3:$I$2044,6,FALSE)</f>
        <v>35200</v>
      </c>
      <c r="F584" s="1003">
        <f>VLOOKUP(C584,'Penutup Lantai dan Dinding'!$D$3:$J$2044,7,FALSE)</f>
        <v>0</v>
      </c>
      <c r="G584" s="12">
        <f>VLOOKUP(C584,'Penutup Lantai dan Dinding'!$D$3:$K$2044,8,FALSE)</f>
        <v>0</v>
      </c>
      <c r="H584" s="374"/>
      <c r="I584" s="16"/>
    </row>
    <row r="585" spans="2:9" ht="24" customHeight="1">
      <c r="B585" s="1033" t="str">
        <f>'Penutup Lantai dan Dinding'!C397</f>
        <v>3.9.3.5</v>
      </c>
      <c r="C585" s="39" t="str">
        <f>VLOOKUP(B585,'Penutup Lantai dan Dinding'!C:K,2,FALSE)</f>
        <v>Pemasangan 1 m' plint ubin teraso uk. 10 s.d. 15x40 cm (1SP : 2PP)</v>
      </c>
      <c r="D585" s="9" t="s">
        <v>62</v>
      </c>
      <c r="E585" s="1021">
        <f>VLOOKUP(C585,'Penutup Lantai dan Dinding'!$D$3:$I$2044,6,FALSE)</f>
        <v>37900</v>
      </c>
      <c r="F585" s="1003">
        <f>VLOOKUP(C585,'Penutup Lantai dan Dinding'!$D$3:$J$2044,7,FALSE)</f>
        <v>0</v>
      </c>
      <c r="G585" s="12">
        <f>VLOOKUP(C585,'Penutup Lantai dan Dinding'!$D$3:$K$2044,8,FALSE)</f>
        <v>0</v>
      </c>
      <c r="H585" s="374"/>
      <c r="I585" s="16"/>
    </row>
    <row r="586" spans="2:9" ht="24" customHeight="1">
      <c r="B586" s="1043" t="str">
        <f>'Penutup Lantai dan Dinding'!C417</f>
        <v>3.9.4</v>
      </c>
      <c r="C586" s="1001" t="str">
        <f>VLOOKUP(B586,'Penutup Lantai dan Dinding'!C:K,2,FALSE)</f>
        <v>HOMOGENEOUS TILE</v>
      </c>
      <c r="D586" s="994"/>
      <c r="E586" s="1027"/>
      <c r="F586" s="1004">
        <f>VLOOKUP(C586,'Penutup Lantai dan Dinding'!$D$3:$J$2044,7,FALSE)</f>
        <v>0</v>
      </c>
      <c r="G586" s="36">
        <f>VLOOKUP(C586,'Penutup Lantai dan Dinding'!$D$3:$K$2044,8,FALSE)</f>
        <v>0</v>
      </c>
      <c r="H586" s="374"/>
      <c r="I586" s="16"/>
    </row>
    <row r="587" spans="2:9" ht="24" customHeight="1">
      <c r="B587" s="1033" t="str">
        <f>'Penutup Lantai dan Dinding'!C418</f>
        <v>3.9.4.1</v>
      </c>
      <c r="C587" s="39" t="str">
        <f>VLOOKUP(B587,'Penutup Lantai dan Dinding'!C:K,2,FALSE)</f>
        <v>Pemasangan 1 m2 lantai homogenous tile  Polis uk. 30x30 cm (1SP : 2PP)</v>
      </c>
      <c r="D587" s="9" t="s">
        <v>62</v>
      </c>
      <c r="E587" s="1021">
        <f>VLOOKUP(C587,'Penutup Lantai dan Dinding'!$D$3:$I$2044,6,FALSE)</f>
        <v>346400</v>
      </c>
      <c r="F587" s="1003">
        <f>VLOOKUP(C587,'Penutup Lantai dan Dinding'!$D$3:$J$2044,7,FALSE)</f>
        <v>0</v>
      </c>
      <c r="G587" s="12">
        <f>VLOOKUP(C587,'Penutup Lantai dan Dinding'!$D$3:$K$2044,8,FALSE)</f>
        <v>0</v>
      </c>
      <c r="H587" s="374"/>
      <c r="I587" s="16"/>
    </row>
    <row r="588" spans="2:9" ht="24" customHeight="1">
      <c r="B588" s="1033" t="str">
        <f>'Penutup Lantai dan Dinding'!C438</f>
        <v>3.9.4.2</v>
      </c>
      <c r="C588" s="39" t="str">
        <f>VLOOKUP(B588,'Penutup Lantai dan Dinding'!C:K,2,FALSE)</f>
        <v>Pemasangan 1 m2 lantai homogenous tile polish uk. 40x40 cm (1SP : 2PP)</v>
      </c>
      <c r="D588" s="9" t="s">
        <v>62</v>
      </c>
      <c r="E588" s="1021">
        <f>VLOOKUP(C588,'Penutup Lantai dan Dinding'!$D$3:$I$2044,6,FALSE)</f>
        <v>308500</v>
      </c>
      <c r="F588" s="1003">
        <f>VLOOKUP(C588,'Penutup Lantai dan Dinding'!$D$3:$J$2044,7,FALSE)</f>
        <v>0</v>
      </c>
      <c r="G588" s="12">
        <f>VLOOKUP(C588,'Penutup Lantai dan Dinding'!$D$3:$K$2044,8,FALSE)</f>
        <v>0</v>
      </c>
      <c r="H588" s="374"/>
      <c r="I588" s="16"/>
    </row>
    <row r="589" spans="2:9" ht="24" customHeight="1">
      <c r="B589" s="1033" t="str">
        <f>'Penutup Lantai dan Dinding'!C458</f>
        <v>3.9.4.3</v>
      </c>
      <c r="C589" s="39" t="str">
        <f>VLOOKUP(B589,'Penutup Lantai dan Dinding'!C:K,2,FALSE)</f>
        <v>Pemasangan 1 m2 lantai homogenous tile Polish  uk. 60x60 cm (1SP : 2PP)</v>
      </c>
      <c r="D589" s="9" t="s">
        <v>62</v>
      </c>
      <c r="E589" s="1021">
        <f>VLOOKUP(C589,'Penutup Lantai dan Dinding'!$D$3:$I$2044,6,FALSE)</f>
        <v>264000</v>
      </c>
      <c r="F589" s="1003">
        <f>VLOOKUP(C589,'Penutup Lantai dan Dinding'!$D$3:$J$2044,7,FALSE)</f>
        <v>0</v>
      </c>
      <c r="G589" s="12">
        <f>VLOOKUP(C589,'Penutup Lantai dan Dinding'!$D$3:$K$2044,8,FALSE)</f>
        <v>0</v>
      </c>
      <c r="H589" s="374"/>
      <c r="I589" s="16"/>
    </row>
    <row r="590" spans="2:9" ht="24" customHeight="1">
      <c r="B590" s="1033" t="str">
        <f>'Penutup Lantai dan Dinding'!C478</f>
        <v>3.9.4.4</v>
      </c>
      <c r="C590" s="39" t="str">
        <f>VLOOKUP(B590,'Penutup Lantai dan Dinding'!C:K,2,FALSE)</f>
        <v>Pemasangan 1 m' plint homogenous tile Polish  uk. 10 s.d. 15x30 cm (1SP : 2PP)</v>
      </c>
      <c r="D590" s="9" t="s">
        <v>113</v>
      </c>
      <c r="E590" s="1021">
        <f>VLOOKUP(C590,'Penutup Lantai dan Dinding'!$D$3:$I$2044,6,FALSE)</f>
        <v>39000</v>
      </c>
      <c r="F590" s="1003">
        <f>VLOOKUP(C590,'Penutup Lantai dan Dinding'!$D$3:$J$2044,7,FALSE)</f>
        <v>0</v>
      </c>
      <c r="G590" s="12">
        <f>VLOOKUP(C590,'Penutup Lantai dan Dinding'!$D$3:$K$2044,8,FALSE)</f>
        <v>0</v>
      </c>
      <c r="H590" s="374"/>
      <c r="I590" s="16"/>
    </row>
    <row r="591" spans="2:9" ht="24" customHeight="1">
      <c r="B591" s="1033" t="str">
        <f>'Penutup Lantai dan Dinding'!C498</f>
        <v>3.9.4.5</v>
      </c>
      <c r="C591" s="39" t="str">
        <f>VLOOKUP(B591,'Penutup Lantai dan Dinding'!C:K,2,FALSE)</f>
        <v>Pemasangan 1 m' plint homogenous tile polish uk. 10 s.d. 15x40 cm (1SP : 2PP)</v>
      </c>
      <c r="D591" s="9" t="s">
        <v>113</v>
      </c>
      <c r="E591" s="1021">
        <f>VLOOKUP(C591,'Penutup Lantai dan Dinding'!$D$3:$I$2044,6,FALSE)</f>
        <v>40800</v>
      </c>
      <c r="F591" s="1003">
        <f>VLOOKUP(C591,'Penutup Lantai dan Dinding'!$D$3:$J$2044,7,FALSE)</f>
        <v>0</v>
      </c>
      <c r="G591" s="12">
        <f>VLOOKUP(C591,'Penutup Lantai dan Dinding'!$D$3:$K$2044,8,FALSE)</f>
        <v>0</v>
      </c>
      <c r="H591" s="374"/>
      <c r="I591" s="16"/>
    </row>
    <row r="592" spans="2:9" ht="24" customHeight="1">
      <c r="B592" s="1033" t="str">
        <f>'Penutup Lantai dan Dinding'!C518</f>
        <v>3.9.4.6</v>
      </c>
      <c r="C592" s="39" t="str">
        <f>VLOOKUP(B592,'Penutup Lantai dan Dinding'!C:K,2,FALSE)</f>
        <v>Pemasangan 1 m' plint homogenous tile polish uk. 10 s.d. 15x60 cm (1SP : 2PP)</v>
      </c>
      <c r="D592" s="9" t="s">
        <v>113</v>
      </c>
      <c r="E592" s="1021">
        <f>VLOOKUP(C592,'Penutup Lantai dan Dinding'!$D$3:$I$2044,6,FALSE)</f>
        <v>40800</v>
      </c>
      <c r="F592" s="1003">
        <f>VLOOKUP(C592,'Penutup Lantai dan Dinding'!$D$3:$J$2044,7,FALSE)</f>
        <v>0</v>
      </c>
      <c r="G592" s="12">
        <f>VLOOKUP(C592,'Penutup Lantai dan Dinding'!$D$3:$K$2044,8,FALSE)</f>
        <v>0</v>
      </c>
      <c r="H592" s="374"/>
      <c r="I592" s="16"/>
    </row>
    <row r="593" spans="2:9" ht="24" customHeight="1">
      <c r="B593" s="1033" t="str">
        <f>'Penutup Lantai dan Dinding'!C539</f>
        <v>3.9.4.7</v>
      </c>
      <c r="C593" s="39" t="str">
        <f>VLOOKUP(B593,'Penutup Lantai dan Dinding'!C:K,2,FALSE)</f>
        <v>Pemasangan 1 m' lantai homogenous tile unpolish uk. 30x30 cm (1SP : 2PP)</v>
      </c>
      <c r="D593" s="9" t="s">
        <v>113</v>
      </c>
      <c r="E593" s="1021">
        <f>VLOOKUP(C593,'Penutup Lantai dan Dinding'!$D$3:$I$2044,6,FALSE)</f>
        <v>436200</v>
      </c>
      <c r="F593" s="1003">
        <f>VLOOKUP(C593,'Penutup Lantai dan Dinding'!$D$3:$J$2044,7,FALSE)</f>
        <v>0</v>
      </c>
      <c r="G593" s="12">
        <f>VLOOKUP(C593,'Penutup Lantai dan Dinding'!$D$3:$K$2044,8,FALSE)</f>
        <v>0</v>
      </c>
      <c r="H593" s="374"/>
      <c r="I593" s="16"/>
    </row>
    <row r="594" spans="2:9" ht="24" customHeight="1">
      <c r="B594" s="1033" t="str">
        <f>'Penutup Lantai dan Dinding'!C559</f>
        <v>3.9.4.8</v>
      </c>
      <c r="C594" s="39" t="str">
        <f>VLOOKUP(B594,'Penutup Lantai dan Dinding'!C:K,2,FALSE)</f>
        <v>Pemasangan 1 m' lantai homogenous tile unpolish uk. 40x40 cm (1SP : 2PP)</v>
      </c>
      <c r="D594" s="9" t="s">
        <v>113</v>
      </c>
      <c r="E594" s="1021">
        <f>VLOOKUP(C594,'Penutup Lantai dan Dinding'!$D$3:$I$2044,6,FALSE)</f>
        <v>373400</v>
      </c>
      <c r="F594" s="1003">
        <f>VLOOKUP(C594,'Penutup Lantai dan Dinding'!$D$3:$J$2044,7,FALSE)</f>
        <v>0</v>
      </c>
      <c r="G594" s="12">
        <f>VLOOKUP(C594,'Penutup Lantai dan Dinding'!$D$3:$K$2044,8,FALSE)</f>
        <v>0</v>
      </c>
      <c r="H594" s="374"/>
      <c r="I594" s="16"/>
    </row>
    <row r="595" spans="2:9" ht="24" customHeight="1">
      <c r="B595" s="1033" t="str">
        <f>'Penutup Lantai dan Dinding'!C579</f>
        <v>3.9.4.9</v>
      </c>
      <c r="C595" s="39" t="str">
        <f>VLOOKUP(B595,'Penutup Lantai dan Dinding'!C:K,2,FALSE)</f>
        <v>Pemasangan 1 m' lantai homogenous tile unpolish uk. 60x60 cm (1SP : 2PP)</v>
      </c>
      <c r="D595" s="9" t="s">
        <v>113</v>
      </c>
      <c r="E595" s="1021">
        <f>VLOOKUP(C595,'Penutup Lantai dan Dinding'!$D$3:$I$2044,6,FALSE)</f>
        <v>283200</v>
      </c>
      <c r="F595" s="1003">
        <f>VLOOKUP(C595,'Penutup Lantai dan Dinding'!$D$3:$J$2044,7,FALSE)</f>
        <v>0</v>
      </c>
      <c r="G595" s="12">
        <f>VLOOKUP(C595,'Penutup Lantai dan Dinding'!$D$3:$K$2044,8,FALSE)</f>
        <v>0</v>
      </c>
      <c r="H595" s="374"/>
      <c r="I595" s="16"/>
    </row>
    <row r="596" spans="2:9" ht="24" customHeight="1">
      <c r="B596" s="1033" t="str">
        <f>'Penutup Lantai dan Dinding'!C599</f>
        <v>3.9.4.10</v>
      </c>
      <c r="C596" s="39" t="str">
        <f>VLOOKUP(B596,'Penutup Lantai dan Dinding'!C:K,2,FALSE)</f>
        <v>Pemasangan 1 m' plint homogenous tile unpolish uk. 10 s.d. 15x30 cm (1SP : 2PP)</v>
      </c>
      <c r="D596" s="9" t="s">
        <v>113</v>
      </c>
      <c r="E596" s="1021">
        <f>VLOOKUP(C596,'Penutup Lantai dan Dinding'!$D$3:$I$2044,6,FALSE)</f>
        <v>46700</v>
      </c>
      <c r="F596" s="1003">
        <f>VLOOKUP(C596,'Penutup Lantai dan Dinding'!$D$3:$J$2044,7,FALSE)</f>
        <v>0</v>
      </c>
      <c r="G596" s="12">
        <f>VLOOKUP(C596,'Penutup Lantai dan Dinding'!$D$3:$K$2044,8,FALSE)</f>
        <v>0</v>
      </c>
      <c r="H596" s="374"/>
      <c r="I596" s="16"/>
    </row>
    <row r="597" spans="2:9" ht="24" customHeight="1">
      <c r="B597" s="1033" t="str">
        <f>'Penutup Lantai dan Dinding'!C620</f>
        <v>3.9.4.11</v>
      </c>
      <c r="C597" s="39" t="str">
        <f>VLOOKUP(B597,'Penutup Lantai dan Dinding'!C:K,2,FALSE)</f>
        <v>Pemasangan 1 m' plint homogenous tile unpolish uk. 10 s.d. 15x40 cm (1SP : 2PP)</v>
      </c>
      <c r="D597" s="9" t="s">
        <v>113</v>
      </c>
      <c r="E597" s="1021">
        <f>VLOOKUP(C597,'Penutup Lantai dan Dinding'!$D$3:$I$2044,6,FALSE)</f>
        <v>46600</v>
      </c>
      <c r="F597" s="1003">
        <f>VLOOKUP(C597,'Penutup Lantai dan Dinding'!$D$3:$J$2044,7,FALSE)</f>
        <v>0</v>
      </c>
      <c r="G597" s="12">
        <f>VLOOKUP(C597,'Penutup Lantai dan Dinding'!$D$3:$K$2044,8,FALSE)</f>
        <v>0</v>
      </c>
      <c r="H597" s="374"/>
      <c r="I597" s="16"/>
    </row>
    <row r="598" spans="2:9" ht="24" customHeight="1">
      <c r="B598" s="1033" t="str">
        <f>'Penutup Lantai dan Dinding'!C640</f>
        <v>3.9.4.12</v>
      </c>
      <c r="C598" s="39" t="str">
        <f>VLOOKUP(B598,'Penutup Lantai dan Dinding'!C:K,2,FALSE)</f>
        <v>Pemasangan 1 m' plint homogenous tile unpolish uk. 10 s.d. 15x60 cm (1SP : 2PP)</v>
      </c>
      <c r="D598" s="9" t="s">
        <v>113</v>
      </c>
      <c r="E598" s="1021">
        <f>VLOOKUP(C598,'Penutup Lantai dan Dinding'!$D$3:$I$2044,6,FALSE)</f>
        <v>46600</v>
      </c>
      <c r="F598" s="1003">
        <f>VLOOKUP(C598,'Penutup Lantai dan Dinding'!$D$3:$J$2044,7,FALSE)</f>
        <v>0</v>
      </c>
      <c r="G598" s="12">
        <f>VLOOKUP(C598,'Penutup Lantai dan Dinding'!$D$3:$K$2044,8,FALSE)</f>
        <v>0</v>
      </c>
      <c r="H598" s="374"/>
      <c r="I598" s="16"/>
    </row>
    <row r="599" spans="2:9" ht="24" customHeight="1">
      <c r="B599" s="1043" t="str">
        <f>'Penutup Lantai dan Dinding'!C661</f>
        <v>3.9.5</v>
      </c>
      <c r="C599" s="1001" t="str">
        <f>VLOOKUP(B599,'Penutup Lantai dan Dinding'!C:K,2,FALSE)</f>
        <v>UBIN GRANIT</v>
      </c>
      <c r="D599" s="994"/>
      <c r="E599" s="1027"/>
      <c r="F599" s="1004">
        <f>VLOOKUP(C599,'Penutup Lantai dan Dinding'!$D$3:$J$2044,7,FALSE)</f>
        <v>0</v>
      </c>
      <c r="G599" s="36">
        <f>VLOOKUP(C599,'Penutup Lantai dan Dinding'!$D$3:$K$2044,8,FALSE)</f>
        <v>0</v>
      </c>
      <c r="H599" s="374"/>
      <c r="I599" s="16"/>
    </row>
    <row r="600" spans="2:9" ht="24" customHeight="1">
      <c r="B600" s="1033" t="str">
        <f>'Penutup Lantai dan Dinding'!C662</f>
        <v>3.9.5.1</v>
      </c>
      <c r="C600" s="39" t="str">
        <f>VLOOKUP(B600,'Penutup Lantai dan Dinding'!C:K,2,FALSE)</f>
        <v xml:space="preserve">Pemasangan 1 m2 lantai ubin granit uk. 30x30 cm (1SP : 2PP) </v>
      </c>
      <c r="D600" s="9" t="s">
        <v>62</v>
      </c>
      <c r="E600" s="1021">
        <f>VLOOKUP(C600,'Penutup Lantai dan Dinding'!$D$3:$I$2044,6,FALSE)</f>
        <v>272000</v>
      </c>
      <c r="F600" s="1003">
        <f>VLOOKUP(C600,'Penutup Lantai dan Dinding'!$D$3:$J$2044,7,FALSE)</f>
        <v>0</v>
      </c>
      <c r="G600" s="12">
        <f>VLOOKUP(C600,'Penutup Lantai dan Dinding'!$D$3:$K$2044,8,FALSE)</f>
        <v>0</v>
      </c>
      <c r="H600" s="374"/>
      <c r="I600" s="16"/>
    </row>
    <row r="601" spans="2:9" ht="24" customHeight="1">
      <c r="B601" s="1033" t="str">
        <f>'Penutup Lantai dan Dinding'!C682</f>
        <v>3.9.5.2</v>
      </c>
      <c r="C601" s="39" t="str">
        <f>VLOOKUP(B601,'Penutup Lantai dan Dinding'!C:K,2,FALSE)</f>
        <v xml:space="preserve">Pemasangan 1 m2 lantai ubin granit uk. 40x40 cm (1SP : 2PP) </v>
      </c>
      <c r="D601" s="9" t="s">
        <v>62</v>
      </c>
      <c r="E601" s="1021">
        <f>VLOOKUP(C601,'Penutup Lantai dan Dinding'!$D$3:$I$2044,6,FALSE)</f>
        <v>236300</v>
      </c>
      <c r="F601" s="1003">
        <f>VLOOKUP(C601,'Penutup Lantai dan Dinding'!$D$3:$J$2044,7,FALSE)</f>
        <v>0</v>
      </c>
      <c r="G601" s="12">
        <f>VLOOKUP(C601,'Penutup Lantai dan Dinding'!$D$3:$K$2044,8,FALSE)</f>
        <v>0</v>
      </c>
      <c r="H601" s="374"/>
      <c r="I601" s="16"/>
    </row>
    <row r="602" spans="2:9" ht="24" customHeight="1">
      <c r="B602" s="1033" t="str">
        <f>'Penutup Lantai dan Dinding'!C702</f>
        <v>3.9.5.3</v>
      </c>
      <c r="C602" s="39" t="str">
        <f>VLOOKUP(B602,'Penutup Lantai dan Dinding'!C:K,2,FALSE)</f>
        <v xml:space="preserve">Pemasangan 1 m2 lantai ubin granit uk. 60x60 cm (1SP : 2PP) </v>
      </c>
      <c r="D602" s="9" t="s">
        <v>62</v>
      </c>
      <c r="E602" s="1021">
        <f>VLOOKUP(C602,'Penutup Lantai dan Dinding'!$D$3:$I$2044,6,FALSE)</f>
        <v>199800</v>
      </c>
      <c r="F602" s="1003">
        <f>VLOOKUP(C602,'Penutup Lantai dan Dinding'!$D$3:$J$2044,7,FALSE)</f>
        <v>0</v>
      </c>
      <c r="G602" s="12">
        <f>VLOOKUP(C602,'Penutup Lantai dan Dinding'!$D$3:$K$2044,8,FALSE)</f>
        <v>0</v>
      </c>
      <c r="H602" s="374"/>
      <c r="I602" s="16"/>
    </row>
    <row r="603" spans="2:9" ht="24" customHeight="1">
      <c r="B603" s="1033" t="str">
        <f>'Penutup Lantai dan Dinding'!C722</f>
        <v>3.9.5.4</v>
      </c>
      <c r="C603" s="39" t="str">
        <f>VLOOKUP(B603,'Penutup Lantai dan Dinding'!C:K,2,FALSE)</f>
        <v>Pemasangan 1 m' plint ubin granit uk. 10 s.d. 15x30 cm (1SP : 2PP)</v>
      </c>
      <c r="D603" s="9" t="s">
        <v>62</v>
      </c>
      <c r="E603" s="1021">
        <f>VLOOKUP(C603,'Penutup Lantai dan Dinding'!$D$3:$I$2044,6,FALSE)</f>
        <v>42900</v>
      </c>
      <c r="F603" s="1003">
        <f>VLOOKUP(C603,'Penutup Lantai dan Dinding'!$D$3:$J$2044,7,FALSE)</f>
        <v>0</v>
      </c>
      <c r="G603" s="12">
        <f>VLOOKUP(C603,'Penutup Lantai dan Dinding'!$D$3:$K$2044,8,FALSE)</f>
        <v>0</v>
      </c>
      <c r="H603" s="374"/>
      <c r="I603" s="16"/>
    </row>
    <row r="604" spans="2:9" ht="24" customHeight="1">
      <c r="B604" s="1033" t="str">
        <f>'Penutup Lantai dan Dinding'!C742</f>
        <v>3.9.5.5</v>
      </c>
      <c r="C604" s="39" t="str">
        <f>VLOOKUP(B604,'Penutup Lantai dan Dinding'!C:K,2,FALSE)</f>
        <v>Pemasangan 1 m' plint ubin granit uk. 10 s.d. 15x40 cm (1SP : 2PP)</v>
      </c>
      <c r="D604" s="9" t="s">
        <v>62</v>
      </c>
      <c r="E604" s="1021">
        <f>VLOOKUP(C604,'Penutup Lantai dan Dinding'!$D$3:$I$2044,6,FALSE)</f>
        <v>43700</v>
      </c>
      <c r="F604" s="1003">
        <f>VLOOKUP(C604,'Penutup Lantai dan Dinding'!$D$3:$J$2044,7,FALSE)</f>
        <v>0</v>
      </c>
      <c r="G604" s="12">
        <f>VLOOKUP(C604,'Penutup Lantai dan Dinding'!$D$3:$K$2044,8,FALSE)</f>
        <v>0</v>
      </c>
      <c r="H604" s="374"/>
      <c r="I604" s="16"/>
    </row>
    <row r="605" spans="2:9" ht="24" customHeight="1">
      <c r="B605" s="1033" t="str">
        <f>'Penutup Lantai dan Dinding'!C762</f>
        <v>3.9.5.6</v>
      </c>
      <c r="C605" s="39" t="str">
        <f>VLOOKUP(B605,'Penutup Lantai dan Dinding'!C:K,2,FALSE)</f>
        <v>Pemasangan 1 m' plint ubin granit uk. 10 s.d. 15x60 cm (1SP : 2PP)</v>
      </c>
      <c r="D605" s="9" t="s">
        <v>62</v>
      </c>
      <c r="E605" s="1021">
        <f>VLOOKUP(C605,'Penutup Lantai dan Dinding'!$D$3:$I$2044,6,FALSE)</f>
        <v>40800</v>
      </c>
      <c r="F605" s="1003">
        <f>VLOOKUP(C605,'Penutup Lantai dan Dinding'!$D$3:$J$2044,7,FALSE)</f>
        <v>0</v>
      </c>
      <c r="G605" s="12">
        <f>VLOOKUP(C605,'Penutup Lantai dan Dinding'!$D$3:$K$2044,8,FALSE)</f>
        <v>0</v>
      </c>
      <c r="H605" s="374"/>
      <c r="I605" s="16"/>
    </row>
    <row r="606" spans="2:9" ht="24" customHeight="1">
      <c r="B606" s="1043" t="str">
        <f>'Penutup Lantai dan Dinding'!C782</f>
        <v>3.9.6</v>
      </c>
      <c r="C606" s="1001" t="str">
        <f>VLOOKUP(B606,'Penutup Lantai dan Dinding'!C:K,2,FALSE)</f>
        <v>UBIN TERALUX</v>
      </c>
      <c r="D606" s="994"/>
      <c r="E606" s="1027"/>
      <c r="F606" s="1004">
        <f>VLOOKUP(C606,'Penutup Lantai dan Dinding'!$D$3:$J$2044,7,FALSE)</f>
        <v>0</v>
      </c>
      <c r="G606" s="36">
        <f>VLOOKUP(C606,'Penutup Lantai dan Dinding'!$D$3:$K$2044,8,FALSE)</f>
        <v>0</v>
      </c>
      <c r="H606" s="374"/>
      <c r="I606" s="16"/>
    </row>
    <row r="607" spans="2:9" ht="24" customHeight="1">
      <c r="B607" s="1033" t="str">
        <f>'Penutup Lantai dan Dinding'!C783</f>
        <v>3.9.6.1</v>
      </c>
      <c r="C607" s="39" t="str">
        <f>VLOOKUP(B607,'Penutup Lantai dan Dinding'!C:K,2,FALSE)</f>
        <v>Pemasangan 1 m2 lantai ubin teralux marmer uk. 30x30 cm (1SP : 2PP)</v>
      </c>
      <c r="D607" s="9" t="s">
        <v>62</v>
      </c>
      <c r="E607" s="1021">
        <f>VLOOKUP(C607,'Penutup Lantai dan Dinding'!$D$3:$I$2044,6,FALSE)</f>
        <v>667200</v>
      </c>
      <c r="F607" s="1003">
        <f>VLOOKUP(C607,'Penutup Lantai dan Dinding'!$D$3:$J$2044,7,FALSE)</f>
        <v>0</v>
      </c>
      <c r="G607" s="12">
        <f>VLOOKUP(C607,'Penutup Lantai dan Dinding'!$D$3:$K$2044,8,FALSE)</f>
        <v>0</v>
      </c>
      <c r="H607" s="374"/>
      <c r="I607" s="16"/>
    </row>
    <row r="608" spans="2:9" ht="24" customHeight="1">
      <c r="B608" s="1033" t="str">
        <f>'Penutup Lantai dan Dinding'!C803</f>
        <v>3.9.6.2</v>
      </c>
      <c r="C608" s="39" t="str">
        <f>VLOOKUP(B608,'Penutup Lantai dan Dinding'!C:K,2,FALSE)</f>
        <v>Pemasangan 1 m2 lantai ubin teralux marmer uk. 40x40 cm (1SP : 2PP)</v>
      </c>
      <c r="D608" s="9" t="s">
        <v>62</v>
      </c>
      <c r="E608" s="1021">
        <f>VLOOKUP(C608,'Penutup Lantai dan Dinding'!$D$3:$I$2044,6,FALSE)</f>
        <v>525000</v>
      </c>
      <c r="F608" s="1003">
        <f>VLOOKUP(C608,'Penutup Lantai dan Dinding'!$D$3:$J$2044,7,FALSE)</f>
        <v>0</v>
      </c>
      <c r="G608" s="12">
        <f>VLOOKUP(C608,'Penutup Lantai dan Dinding'!$D$3:$K$2044,8,FALSE)</f>
        <v>0</v>
      </c>
      <c r="H608" s="374"/>
      <c r="I608" s="16"/>
    </row>
    <row r="609" spans="2:9" ht="24" customHeight="1">
      <c r="B609" s="1033" t="str">
        <f>'Penutup Lantai dan Dinding'!C823</f>
        <v>3.9.6.3</v>
      </c>
      <c r="C609" s="39" t="str">
        <f>VLOOKUP(B609,'Penutup Lantai dan Dinding'!C:K,2,FALSE)</f>
        <v>Pemasangan 1 m2 lantai ubin teralux marmer uk. 60x60 cm (1SP : 2PP)</v>
      </c>
      <c r="D609" s="9" t="s">
        <v>62</v>
      </c>
      <c r="E609" s="1021">
        <f>VLOOKUP(C609,'Penutup Lantai dan Dinding'!$D$3:$I$2044,6,FALSE)</f>
        <v>328200</v>
      </c>
      <c r="F609" s="1003">
        <f>VLOOKUP(C609,'Penutup Lantai dan Dinding'!$D$3:$J$2044,7,FALSE)</f>
        <v>0</v>
      </c>
      <c r="G609" s="12">
        <f>VLOOKUP(C609,'Penutup Lantai dan Dinding'!$D$3:$K$2044,8,FALSE)</f>
        <v>0</v>
      </c>
      <c r="H609" s="374"/>
      <c r="I609" s="16"/>
    </row>
    <row r="610" spans="2:9" ht="24" customHeight="1">
      <c r="B610" s="1033" t="str">
        <f>'Penutup Lantai dan Dinding'!C843</f>
        <v>3.9.6.4</v>
      </c>
      <c r="C610" s="39" t="str">
        <f>VLOOKUP(B610,'Penutup Lantai dan Dinding'!C:K,2,FALSE)</f>
        <v>Pemasangan 1 m' plint ubin teralux kerang uk. 10 s.d. 15x30 cm (1SP : 2PP)</v>
      </c>
      <c r="D610" s="9" t="s">
        <v>62</v>
      </c>
      <c r="E610" s="1021">
        <f>VLOOKUP(C610,'Penutup Lantai dan Dinding'!$D$3:$I$2044,6,FALSE)</f>
        <v>27500</v>
      </c>
      <c r="F610" s="1003">
        <f>VLOOKUP(C610,'Penutup Lantai dan Dinding'!$D$3:$J$2044,7,FALSE)</f>
        <v>0</v>
      </c>
      <c r="G610" s="12">
        <f>VLOOKUP(C610,'Penutup Lantai dan Dinding'!$D$3:$K$2044,8,FALSE)</f>
        <v>0</v>
      </c>
      <c r="H610" s="374"/>
      <c r="I610" s="16"/>
    </row>
    <row r="611" spans="2:9" ht="24" customHeight="1">
      <c r="B611" s="1033" t="str">
        <f>'Penutup Lantai dan Dinding'!C863</f>
        <v>3.9.6.5</v>
      </c>
      <c r="C611" s="39" t="str">
        <f>VLOOKUP(B611,'Penutup Lantai dan Dinding'!C:K,2,FALSE)</f>
        <v>Pemasangan 1 m' plint ubin teralux kerang uk. 10 s.d. 15x40 cm (1SP : 2PP)</v>
      </c>
      <c r="D611" s="9" t="s">
        <v>62</v>
      </c>
      <c r="E611" s="1021">
        <f>VLOOKUP(C611,'Penutup Lantai dan Dinding'!$D$3:$I$2044,6,FALSE)</f>
        <v>29200</v>
      </c>
      <c r="F611" s="1003">
        <f>VLOOKUP(C611,'Penutup Lantai dan Dinding'!$D$3:$J$2044,7,FALSE)</f>
        <v>0</v>
      </c>
      <c r="G611" s="12">
        <f>VLOOKUP(C611,'Penutup Lantai dan Dinding'!$D$3:$K$2044,8,FALSE)</f>
        <v>0</v>
      </c>
      <c r="H611" s="374"/>
      <c r="I611" s="16"/>
    </row>
    <row r="612" spans="2:9" ht="24" customHeight="1">
      <c r="B612" s="1033" t="str">
        <f>'Penutup Lantai dan Dinding'!C883</f>
        <v>3.9.6.6</v>
      </c>
      <c r="C612" s="39" t="str">
        <f>VLOOKUP(B612,'Penutup Lantai dan Dinding'!C:K,2,FALSE)</f>
        <v>Pemasangan 1 m' plint ubin teralux kerang uk. 10 s.d. 15x60 cm (1SP : 2PP)</v>
      </c>
      <c r="D612" s="9" t="s">
        <v>62</v>
      </c>
      <c r="E612" s="1021">
        <f>VLOOKUP(C612,'Penutup Lantai dan Dinding'!$D$3:$I$2044,6,FALSE)</f>
        <v>29200</v>
      </c>
      <c r="F612" s="1003">
        <f>VLOOKUP(C612,'Penutup Lantai dan Dinding'!$D$3:$J$2044,7,FALSE)</f>
        <v>0</v>
      </c>
      <c r="G612" s="12">
        <f>VLOOKUP(C612,'Penutup Lantai dan Dinding'!$D$3:$K$2044,8,FALSE)</f>
        <v>0</v>
      </c>
      <c r="H612" s="374"/>
      <c r="I612" s="16"/>
    </row>
    <row r="613" spans="2:9" ht="24" customHeight="1">
      <c r="B613" s="1033" t="str">
        <f>'Penutup Lantai dan Dinding'!C903</f>
        <v>3.9.6.7</v>
      </c>
      <c r="C613" s="39" t="str">
        <f>VLOOKUP(B613,'Penutup Lantai dan Dinding'!C:K,2,FALSE)</f>
        <v>Pemasangan 1 m' plint ubin teralux marmer uk. 10 s.d. 15x30 cm (1SP : 2PP)</v>
      </c>
      <c r="D613" s="9" t="s">
        <v>62</v>
      </c>
      <c r="E613" s="1021">
        <f>VLOOKUP(C613,'Penutup Lantai dan Dinding'!$D$3:$I$2044,6,FALSE)</f>
        <v>29400</v>
      </c>
      <c r="F613" s="1003">
        <f>VLOOKUP(C613,'Penutup Lantai dan Dinding'!$D$3:$J$2044,7,FALSE)</f>
        <v>0</v>
      </c>
      <c r="G613" s="12">
        <f>VLOOKUP(C613,'Penutup Lantai dan Dinding'!$D$3:$K$2044,8,FALSE)</f>
        <v>0</v>
      </c>
      <c r="H613" s="374"/>
      <c r="I613" s="16"/>
    </row>
    <row r="614" spans="2:9" ht="24" customHeight="1">
      <c r="B614" s="1033" t="str">
        <f>'Penutup Lantai dan Dinding'!C923</f>
        <v>3.9.6.8</v>
      </c>
      <c r="C614" s="39" t="str">
        <f>VLOOKUP(B614,'Penutup Lantai dan Dinding'!C:K,2,FALSE)</f>
        <v>Pemasangan 1 m' plint ubin teralux marmer uk. 10 s.d. 15x40 cm (1SP : 2PP)</v>
      </c>
      <c r="D614" s="9" t="s">
        <v>62</v>
      </c>
      <c r="E614" s="1021">
        <f>VLOOKUP(C614,'Penutup Lantai dan Dinding'!$D$3:$I$2044,6,FALSE)</f>
        <v>29200</v>
      </c>
      <c r="F614" s="1003">
        <f>VLOOKUP(C614,'Penutup Lantai dan Dinding'!$D$3:$J$2044,7,FALSE)</f>
        <v>0</v>
      </c>
      <c r="G614" s="12">
        <f>VLOOKUP(C614,'Penutup Lantai dan Dinding'!$D$3:$K$2044,8,FALSE)</f>
        <v>0</v>
      </c>
      <c r="H614" s="374"/>
      <c r="I614" s="16"/>
    </row>
    <row r="615" spans="2:9" ht="24" customHeight="1">
      <c r="B615" s="1033" t="str">
        <f>'Penutup Lantai dan Dinding'!C943</f>
        <v>3.9.6.9</v>
      </c>
      <c r="C615" s="39" t="str">
        <f>VLOOKUP(B615,'Penutup Lantai dan Dinding'!C:K,2,FALSE)</f>
        <v>Pemasangan 1 m' plint ubin teralux marmer uk. 10 s.d. 15x60 cm (1SP : 2PP)</v>
      </c>
      <c r="D615" s="9" t="s">
        <v>62</v>
      </c>
      <c r="E615" s="1021">
        <f>VLOOKUP(C615,'Penutup Lantai dan Dinding'!$D$3:$I$2044,6,FALSE)</f>
        <v>29200</v>
      </c>
      <c r="F615" s="1003">
        <f>VLOOKUP(C615,'Penutup Lantai dan Dinding'!$D$3:$J$2044,7,FALSE)</f>
        <v>0</v>
      </c>
      <c r="G615" s="12">
        <f>VLOOKUP(C615,'Penutup Lantai dan Dinding'!$D$3:$K$2044,8,FALSE)</f>
        <v>0</v>
      </c>
      <c r="H615" s="374"/>
      <c r="I615" s="16"/>
    </row>
    <row r="616" spans="2:9" ht="24" customHeight="1">
      <c r="B616" s="1043" t="str">
        <f>'Penutup Lantai dan Dinding'!C964</f>
        <v>3.9.7</v>
      </c>
      <c r="C616" s="1001" t="str">
        <f>VLOOKUP(B616,'Penutup Lantai dan Dinding'!C:K,2,FALSE)</f>
        <v xml:space="preserve">KERAMIK ARTISTIK </v>
      </c>
      <c r="D616" s="994"/>
      <c r="E616" s="1027"/>
      <c r="F616" s="1004">
        <f>VLOOKUP(C616,'Penutup Lantai dan Dinding'!$D$3:$J$2044,7,FALSE)</f>
        <v>0</v>
      </c>
      <c r="G616" s="36">
        <f>VLOOKUP(C616,'Penutup Lantai dan Dinding'!$D$3:$K$2044,8,FALSE)</f>
        <v>0</v>
      </c>
      <c r="H616" s="374"/>
      <c r="I616" s="16"/>
    </row>
    <row r="617" spans="2:9" ht="24" customHeight="1">
      <c r="B617" s="1033" t="str">
        <f>'Penutup Lantai dan Dinding'!C965</f>
        <v>3.9.7.1</v>
      </c>
      <c r="C617" s="39" t="str">
        <f>VLOOKUP(B617,'Penutup Lantai dan Dinding'!C:K,2,FALSE)</f>
        <v>Pemasangan 1 m2 lantai keramik artistik uk. 8x8 cm (1SP : 2PP)</v>
      </c>
      <c r="D617" s="9" t="s">
        <v>62</v>
      </c>
      <c r="E617" s="1021">
        <f>VLOOKUP(C617,'Penutup Lantai dan Dinding'!$D$3:$I$2044,6,FALSE)</f>
        <v>307400</v>
      </c>
      <c r="F617" s="1003">
        <f>VLOOKUP(C617,'Penutup Lantai dan Dinding'!$D$3:$J$2044,7,FALSE)</f>
        <v>0</v>
      </c>
      <c r="G617" s="12">
        <f>VLOOKUP(C617,'Penutup Lantai dan Dinding'!$D$3:$K$2044,8,FALSE)</f>
        <v>0</v>
      </c>
      <c r="H617" s="374"/>
      <c r="I617" s="16"/>
    </row>
    <row r="618" spans="2:9" ht="24" customHeight="1">
      <c r="B618" s="1033" t="str">
        <f>'Penutup Lantai dan Dinding'!C985</f>
        <v>3.9.7.2</v>
      </c>
      <c r="C618" s="39" t="str">
        <f>VLOOKUP(B618,'Penutup Lantai dan Dinding'!C:K,2,FALSE)</f>
        <v>Pemasangan 1 m2 lantai keramik artistik uk. 10x10 cm (1SP : 2PP)</v>
      </c>
      <c r="D618" s="9" t="s">
        <v>62</v>
      </c>
      <c r="E618" s="1021">
        <f>VLOOKUP(C618,'Penutup Lantai dan Dinding'!$D$3:$I$2044,6,FALSE)</f>
        <v>300200</v>
      </c>
      <c r="F618" s="1003">
        <f>VLOOKUP(C618,'Penutup Lantai dan Dinding'!$D$3:$J$2044,7,FALSE)</f>
        <v>0</v>
      </c>
      <c r="G618" s="12">
        <f>VLOOKUP(C618,'Penutup Lantai dan Dinding'!$D$3:$K$2044,8,FALSE)</f>
        <v>0</v>
      </c>
      <c r="H618" s="374"/>
      <c r="I618" s="16"/>
    </row>
    <row r="619" spans="2:9" ht="24" customHeight="1">
      <c r="B619" s="1033" t="str">
        <f>'Penutup Lantai dan Dinding'!C1005</f>
        <v>3.9.7.3</v>
      </c>
      <c r="C619" s="1159" t="str">
        <f>VLOOKUP(B619,'Penutup Lantai dan Dinding'!C:K,2,FALSE)</f>
        <v>Pemasangan 1 m2 lantai keramik artistik uk. 20x20 cm (1SP : 2PP)</v>
      </c>
      <c r="D619" s="9" t="s">
        <v>62</v>
      </c>
      <c r="E619" s="1021">
        <f>VLOOKUP(C619,'Penutup Lantai dan Dinding'!$D$3:$I$2044,6,FALSE)</f>
        <v>267900</v>
      </c>
      <c r="F619" s="1003">
        <f>VLOOKUP(C619,'Penutup Lantai dan Dinding'!$D$3:$J$2044,7,FALSE)</f>
        <v>0</v>
      </c>
      <c r="G619" s="12">
        <f>VLOOKUP(C619,'Penutup Lantai dan Dinding'!$D$3:$K$2044,8,FALSE)</f>
        <v>0</v>
      </c>
      <c r="H619" s="374"/>
      <c r="I619" s="16"/>
    </row>
    <row r="620" spans="2:9" ht="24" customHeight="1">
      <c r="B620" s="1033" t="str">
        <f>'Penutup Lantai dan Dinding'!C1025</f>
        <v>3.9.7.4</v>
      </c>
      <c r="C620" s="39" t="str">
        <f>VLOOKUP(B620,'Penutup Lantai dan Dinding'!C:K,2,FALSE)</f>
        <v>Pemasangan 1 m2 lantai keramik artistik uk. 30x30 cm (1SP : 2PP)</v>
      </c>
      <c r="D620" s="9" t="s">
        <v>62</v>
      </c>
      <c r="E620" s="1021">
        <f>VLOOKUP(C620,'Penutup Lantai dan Dinding'!$D$3:$I$2044,6,FALSE)</f>
        <v>237100</v>
      </c>
      <c r="F620" s="1003">
        <f>VLOOKUP(C620,'Penutup Lantai dan Dinding'!$D$3:$J$2044,7,FALSE)</f>
        <v>0</v>
      </c>
      <c r="G620" s="12">
        <f>VLOOKUP(C620,'Penutup Lantai dan Dinding'!$D$3:$K$2044,8,FALSE)</f>
        <v>0</v>
      </c>
      <c r="H620" s="374"/>
      <c r="I620" s="16"/>
    </row>
    <row r="621" spans="2:9" ht="24" customHeight="1">
      <c r="B621" s="1033" t="str">
        <f>'Penutup Lantai dan Dinding'!C1045</f>
        <v>3.9.7.5</v>
      </c>
      <c r="C621" s="39" t="str">
        <f>VLOOKUP(B621,'Penutup Lantai dan Dinding'!C:K,2,FALSE)</f>
        <v>Pemasangan 1 m2 lantai keramik artistik uk. 40x40 cm (1SP : 2PP)</v>
      </c>
      <c r="D621" s="9" t="s">
        <v>62</v>
      </c>
      <c r="E621" s="1021">
        <f>VLOOKUP(C621,'Penutup Lantai dan Dinding'!$D$3:$I$2044,6,FALSE)</f>
        <v>227500</v>
      </c>
      <c r="F621" s="1003">
        <f>VLOOKUP(C621,'Penutup Lantai dan Dinding'!$D$3:$J$2044,7,FALSE)</f>
        <v>0</v>
      </c>
      <c r="G621" s="12">
        <f>VLOOKUP(C621,'Penutup Lantai dan Dinding'!$D$3:$K$2044,8,FALSE)</f>
        <v>0</v>
      </c>
      <c r="H621" s="374"/>
      <c r="I621" s="16"/>
    </row>
    <row r="622" spans="2:9" ht="24" customHeight="1">
      <c r="B622" s="1033" t="str">
        <f>'Penutup Lantai dan Dinding'!C1065</f>
        <v>3.9.7.6</v>
      </c>
      <c r="C622" s="39" t="str">
        <f>VLOOKUP(B622,'Penutup Lantai dan Dinding'!C:K,2,FALSE)</f>
        <v>Pemasangan 1 m' plint internal cove artistik uk. 5x5x20 cm (1SP : 2PP)</v>
      </c>
      <c r="D622" s="9" t="s">
        <v>62</v>
      </c>
      <c r="E622" s="1021">
        <f>VLOOKUP(C622,'Penutup Lantai dan Dinding'!$D$3:$I$2044,6,FALSE)</f>
        <v>247400</v>
      </c>
      <c r="F622" s="1003">
        <f>VLOOKUP(C622,'Penutup Lantai dan Dinding'!$D$3:$J$2044,7,FALSE)</f>
        <v>0</v>
      </c>
      <c r="G622" s="12">
        <f>VLOOKUP(C622,'Penutup Lantai dan Dinding'!$D$3:$K$2044,8,FALSE)</f>
        <v>0</v>
      </c>
      <c r="H622" s="374"/>
      <c r="I622" s="16"/>
    </row>
    <row r="623" spans="2:9" ht="24" customHeight="1">
      <c r="B623" s="1043" t="str">
        <f>'Penutup Lantai dan Dinding'!C1086</f>
        <v>3.9.8</v>
      </c>
      <c r="C623" s="1001" t="str">
        <f>VLOOKUP(B623,'Penutup Lantai dan Dinding'!C:K,2,FALSE)</f>
        <v xml:space="preserve">KERAMIK </v>
      </c>
      <c r="D623" s="994"/>
      <c r="E623" s="1027"/>
      <c r="F623" s="1004">
        <f>VLOOKUP(C623,'Penutup Lantai dan Dinding'!$D$3:$J$2044,7,FALSE)</f>
        <v>0</v>
      </c>
      <c r="G623" s="36">
        <f>VLOOKUP(C623,'Penutup Lantai dan Dinding'!$D$3:$K$2044,8,FALSE)</f>
        <v>0</v>
      </c>
      <c r="H623" s="374"/>
      <c r="I623" s="16"/>
    </row>
    <row r="624" spans="2:9" ht="24" customHeight="1">
      <c r="B624" s="1033" t="str">
        <f>'Penutup Lantai dan Dinding'!C1087</f>
        <v>3.9.8.1</v>
      </c>
      <c r="C624" s="39" t="str">
        <f>VLOOKUP(B624,'Penutup Lantai dan Dinding'!C:K,2,FALSE)</f>
        <v>Pemasangan 1 m2 lantai keramik uk. 20x20 cm (1SP : 2PP)</v>
      </c>
      <c r="D624" s="9" t="s">
        <v>62</v>
      </c>
      <c r="E624" s="1021">
        <f>VLOOKUP(C624,'Penutup Lantai dan Dinding'!$D$3:$I$2044,6,FALSE)</f>
        <v>151400</v>
      </c>
      <c r="F624" s="1003">
        <f>VLOOKUP(C624,'Penutup Lantai dan Dinding'!$D$3:$J$2044,7,FALSE)</f>
        <v>0</v>
      </c>
      <c r="G624" s="12">
        <f>VLOOKUP(C624,'Penutup Lantai dan Dinding'!$D$3:$K$2044,8,FALSE)</f>
        <v>0</v>
      </c>
      <c r="H624" s="374"/>
      <c r="I624" s="16"/>
    </row>
    <row r="625" spans="2:9" ht="24" customHeight="1">
      <c r="B625" s="1033" t="str">
        <f>'Penutup Lantai dan Dinding'!C1107</f>
        <v>3.9.8.2</v>
      </c>
      <c r="C625" s="39" t="str">
        <f>VLOOKUP(B625,'Penutup Lantai dan Dinding'!C:K,2,FALSE)</f>
        <v>Pemasangan 1 m2 lantai keramik uk. 30x30 cm (1SP : 2PP)</v>
      </c>
      <c r="D625" s="9" t="s">
        <v>62</v>
      </c>
      <c r="E625" s="1021">
        <f>VLOOKUP(C625,'Penutup Lantai dan Dinding'!$D$3:$I$2044,6,FALSE)</f>
        <v>141100</v>
      </c>
      <c r="F625" s="1003">
        <f>VLOOKUP(C625,'Penutup Lantai dan Dinding'!$D$3:$J$2044,7,FALSE)</f>
        <v>0</v>
      </c>
      <c r="G625" s="12">
        <f>VLOOKUP(C625,'Penutup Lantai dan Dinding'!$D$3:$K$2044,8,FALSE)</f>
        <v>0</v>
      </c>
      <c r="H625" s="374"/>
      <c r="I625" s="16"/>
    </row>
    <row r="626" spans="2:9" ht="24" customHeight="1">
      <c r="B626" s="1033" t="str">
        <f>'Penutup Lantai dan Dinding'!C1127</f>
        <v>3.9.8.3</v>
      </c>
      <c r="C626" s="39" t="str">
        <f>VLOOKUP(B626,'Penutup Lantai dan Dinding'!C:K,2,FALSE)</f>
        <v>Pemasangan 1 m2 lantai keramik uk. 40x40 cm (1SP : 2PP)</v>
      </c>
      <c r="D626" s="9" t="s">
        <v>62</v>
      </c>
      <c r="E626" s="1021">
        <f>VLOOKUP(C626,'Penutup Lantai dan Dinding'!$D$3:$I$2044,6,FALSE)</f>
        <v>150400</v>
      </c>
      <c r="F626" s="1003">
        <f>VLOOKUP(C626,'Penutup Lantai dan Dinding'!$D$3:$J$2044,7,FALSE)</f>
        <v>0</v>
      </c>
      <c r="G626" s="12">
        <f>VLOOKUP(C626,'Penutup Lantai dan Dinding'!$D$3:$K$2044,8,FALSE)</f>
        <v>0</v>
      </c>
      <c r="H626" s="374"/>
      <c r="I626" s="16"/>
    </row>
    <row r="627" spans="2:9" ht="24" customHeight="1">
      <c r="B627" s="1041" t="str">
        <f>'Penutup Lantai dan Dinding'!C1147</f>
        <v>3.9.8.4</v>
      </c>
      <c r="C627" s="40" t="str">
        <f>VLOOKUP(B627,'Penutup Lantai dan Dinding'!C:K,2,FALSE)</f>
        <v xml:space="preserve">Pemasangan Lantai Keramik untuk Variasi/Border </v>
      </c>
      <c r="D627" s="19"/>
      <c r="E627" s="1030"/>
      <c r="F627" s="1003">
        <f>VLOOKUP(C627,'Penutup Lantai dan Dinding'!$D$3:$J$2044,7,FALSE)</f>
        <v>0</v>
      </c>
      <c r="G627" s="12">
        <f>VLOOKUP(C627,'Penutup Lantai dan Dinding'!$D$3:$K$2044,8,FALSE)</f>
        <v>0</v>
      </c>
      <c r="H627" s="374"/>
      <c r="I627" s="16"/>
    </row>
    <row r="628" spans="2:9" ht="24" customHeight="1">
      <c r="B628" s="1033" t="str">
        <f>'Penutup Lantai dan Dinding'!C1148</f>
        <v>3.9.8.4.1</v>
      </c>
      <c r="C628" s="39" t="str">
        <f>VLOOKUP(B628,'Penutup Lantai dan Dinding'!C:K,2,FALSE)</f>
        <v>Pemasangan 1 m2 lantai keramik uk. 30x30 cm  untuk Variasi/Border (1SP : 2PP)</v>
      </c>
      <c r="D628" s="9" t="s">
        <v>62</v>
      </c>
      <c r="E628" s="1021">
        <f>VLOOKUP(C628,'Penutup Lantai dan Dinding'!$D$3:$I$2044,6,FALSE)</f>
        <v>308600</v>
      </c>
      <c r="F628" s="1003">
        <f>VLOOKUP(C628,'Penutup Lantai dan Dinding'!$D$3:$J$2044,7,FALSE)</f>
        <v>0</v>
      </c>
      <c r="G628" s="12">
        <f>VLOOKUP(C628,'Penutup Lantai dan Dinding'!$D$3:$K$2044,8,FALSE)</f>
        <v>0</v>
      </c>
      <c r="H628" s="374"/>
      <c r="I628" s="16"/>
    </row>
    <row r="629" spans="2:9" ht="24" customHeight="1">
      <c r="B629" s="1033" t="str">
        <f>'Penutup Lantai dan Dinding'!C1168</f>
        <v>3.9.8.4.2</v>
      </c>
      <c r="C629" s="39" t="str">
        <f>VLOOKUP(B629,'Penutup Lantai dan Dinding'!C:K,2,FALSE)</f>
        <v>Pemasangan 1 m2 lantai keramik uk. 40x40 cm  untuk Variasi/Border (1SP : 2PP)</v>
      </c>
      <c r="D629" s="9" t="s">
        <v>62</v>
      </c>
      <c r="E629" s="1021">
        <f>VLOOKUP(C629,'Penutup Lantai dan Dinding'!$D$3:$I$2044,6,FALSE)</f>
        <v>315700</v>
      </c>
      <c r="F629" s="1003">
        <f>VLOOKUP(C629,'Penutup Lantai dan Dinding'!$D$3:$J$2044,7,FALSE)</f>
        <v>0</v>
      </c>
      <c r="G629" s="12">
        <f>VLOOKUP(C629,'Penutup Lantai dan Dinding'!$D$3:$K$2044,8,FALSE)</f>
        <v>0</v>
      </c>
      <c r="H629" s="374"/>
      <c r="I629" s="16"/>
    </row>
    <row r="630" spans="2:9" ht="24" customHeight="1">
      <c r="B630" s="1033" t="str">
        <f>'Penutup Lantai dan Dinding'!C1189</f>
        <v>3.9.8.5</v>
      </c>
      <c r="C630" s="39" t="str">
        <f>VLOOKUP(B630,'Penutup Lantai dan Dinding'!C:K,2,FALSE)</f>
        <v>Pemasangan 1 m' plint keramik uk. 10 s.d. 15x20 cm (1SP : 2PP)</v>
      </c>
      <c r="D630" s="9" t="s">
        <v>62</v>
      </c>
      <c r="E630" s="1021">
        <f>VLOOKUP(C630,'Penutup Lantai dan Dinding'!$D$3:$I$2044,6,FALSE)</f>
        <v>30300</v>
      </c>
      <c r="F630" s="1003">
        <f>VLOOKUP(C630,'Penutup Lantai dan Dinding'!$D$3:$J$2044,7,FALSE)</f>
        <v>0</v>
      </c>
      <c r="G630" s="12">
        <f>VLOOKUP(C630,'Penutup Lantai dan Dinding'!$D$3:$K$2044,8,FALSE)</f>
        <v>0</v>
      </c>
      <c r="H630" s="374"/>
      <c r="I630" s="16"/>
    </row>
    <row r="631" spans="2:9" ht="24" customHeight="1">
      <c r="B631" s="1033" t="str">
        <f>'Penutup Lantai dan Dinding'!C1209</f>
        <v>3.9.8.6</v>
      </c>
      <c r="C631" s="39" t="str">
        <f>VLOOKUP(B631,'Penutup Lantai dan Dinding'!C:K,2,FALSE)</f>
        <v>Pemasangan 1 m' plint keramik uk. 10 s.d. 15x30 cm (1SP : 2PP)</v>
      </c>
      <c r="D631" s="9" t="s">
        <v>62</v>
      </c>
      <c r="E631" s="1021">
        <f>VLOOKUP(C631,'Penutup Lantai dan Dinding'!$D$3:$I$2044,6,FALSE)</f>
        <v>31300</v>
      </c>
      <c r="F631" s="1003">
        <f>VLOOKUP(C631,'Penutup Lantai dan Dinding'!$D$3:$J$2044,7,FALSE)</f>
        <v>0</v>
      </c>
      <c r="G631" s="12">
        <f>VLOOKUP(C631,'Penutup Lantai dan Dinding'!$D$3:$K$2044,8,FALSE)</f>
        <v>0</v>
      </c>
      <c r="H631" s="374"/>
      <c r="I631" s="16"/>
    </row>
    <row r="632" spans="2:9" ht="24" customHeight="1">
      <c r="B632" s="1033" t="str">
        <f>'Penutup Lantai dan Dinding'!C1229</f>
        <v>3.9.8.7</v>
      </c>
      <c r="C632" s="39" t="str">
        <f>VLOOKUP(B632,'Penutup Lantai dan Dinding'!C:K,2,FALSE)</f>
        <v>Pemasangan 1 m' plint keramik uk. 10 s.d. 15x40 cm (1SP : 2PP)</v>
      </c>
      <c r="D632" s="9" t="s">
        <v>62</v>
      </c>
      <c r="E632" s="1021">
        <f>VLOOKUP(C632,'Penutup Lantai dan Dinding'!$D$3:$I$2044,6,FALSE)</f>
        <v>32100</v>
      </c>
      <c r="F632" s="1003">
        <f>VLOOKUP(C632,'Penutup Lantai dan Dinding'!$D$3:$J$2044,7,FALSE)</f>
        <v>0</v>
      </c>
      <c r="G632" s="12">
        <f>VLOOKUP(C632,'Penutup Lantai dan Dinding'!$D$3:$K$2044,8,FALSE)</f>
        <v>0</v>
      </c>
      <c r="H632" s="374"/>
      <c r="I632" s="16"/>
    </row>
    <row r="633" spans="2:9" ht="24" customHeight="1">
      <c r="B633" s="1033" t="str">
        <f>'Penutup Lantai dan Dinding'!C1249</f>
        <v>3.9.8.8</v>
      </c>
      <c r="C633" s="39" t="str">
        <f>VLOOKUP(B633,'Penutup Lantai dan Dinding'!C:K,2,FALSE)</f>
        <v>Pemasangan 1 m' plint keramik uk. 10 s.d. 15x60 cm (1SP : 2PP)</v>
      </c>
      <c r="D633" s="9" t="s">
        <v>62</v>
      </c>
      <c r="E633" s="1021">
        <f>VLOOKUP(C633,'Penutup Lantai dan Dinding'!$D$3:$I$2044,6,FALSE)</f>
        <v>31200</v>
      </c>
      <c r="F633" s="1003">
        <f>VLOOKUP(C633,'Penutup Lantai dan Dinding'!$D$3:$J$2044,7,FALSE)</f>
        <v>0</v>
      </c>
      <c r="G633" s="12">
        <f>VLOOKUP(C633,'Penutup Lantai dan Dinding'!$D$3:$K$2044,8,FALSE)</f>
        <v>0</v>
      </c>
      <c r="H633" s="374"/>
      <c r="I633" s="16"/>
    </row>
    <row r="634" spans="2:9" ht="24" customHeight="1">
      <c r="B634" s="1033" t="str">
        <f>'Penutup Lantai dan Dinding'!C1269</f>
        <v>3.9.8.9</v>
      </c>
      <c r="C634" s="39" t="str">
        <f>VLOOKUP(B634,'Penutup Lantai dan Dinding'!C:K,2,FALSE)</f>
        <v>Pemasangan 1 m' Step Nosing Keramik 10cm x 60 cm (1SP:2PP)</v>
      </c>
      <c r="D634" s="9" t="s">
        <v>62</v>
      </c>
      <c r="E634" s="1021">
        <f>VLOOKUP(C634,'Penutup Lantai dan Dinding'!$D$3:$I$2044,6,FALSE)</f>
        <v>75400</v>
      </c>
      <c r="F634" s="1003">
        <f>VLOOKUP(C634,'Penutup Lantai dan Dinding'!$D$3:$J$2044,7,FALSE)</f>
        <v>0</v>
      </c>
      <c r="G634" s="12">
        <f>VLOOKUP(C634,'Penutup Lantai dan Dinding'!$D$3:$K$2044,8,FALSE)</f>
        <v>0</v>
      </c>
      <c r="H634" s="374"/>
      <c r="I634" s="16"/>
    </row>
    <row r="635" spans="2:9" ht="24" customHeight="1">
      <c r="B635" s="1043" t="str">
        <f>'Penutup Lantai dan Dinding'!C1290</f>
        <v>3.9.9</v>
      </c>
      <c r="C635" s="1001" t="str">
        <f>VLOOKUP(B635,'Penutup Lantai dan Dinding'!C:K,2,FALSE)</f>
        <v>PENUTUP LANTAI LAINNYA</v>
      </c>
      <c r="D635" s="994"/>
      <c r="E635" s="1027"/>
      <c r="F635" s="1004">
        <f>VLOOKUP(C635,'Penutup Lantai dan Dinding'!$D$3:$J$2044,7,FALSE)</f>
        <v>0</v>
      </c>
      <c r="G635" s="36">
        <f>VLOOKUP(C635,'Penutup Lantai dan Dinding'!$D$3:$K$2044,8,FALSE)</f>
        <v>0</v>
      </c>
      <c r="H635" s="374"/>
      <c r="I635" s="16"/>
    </row>
    <row r="636" spans="2:9" ht="24" customHeight="1">
      <c r="B636" s="1033" t="str">
        <f>'Penutup Lantai dan Dinding'!C1291</f>
        <v>3.9.9.1</v>
      </c>
      <c r="C636" s="39" t="str">
        <f>VLOOKUP(B636,'Penutup Lantai dan Dinding'!C:K,2,FALSE)</f>
        <v>Pemasangan 1 m2 lantai marmer uk. 100x100 cm</v>
      </c>
      <c r="D636" s="9" t="s">
        <v>62</v>
      </c>
      <c r="E636" s="1021">
        <f>VLOOKUP(C636,'Penutup Lantai dan Dinding'!$D$3:$I$2044,6,FALSE)</f>
        <v>1101400</v>
      </c>
      <c r="F636" s="1003">
        <f>VLOOKUP(C636,'Penutup Lantai dan Dinding'!$D$3:$J$2044,7,FALSE)</f>
        <v>0</v>
      </c>
      <c r="G636" s="12">
        <f>VLOOKUP(C636,'Penutup Lantai dan Dinding'!$D$3:$K$2044,8,FALSE)</f>
        <v>0</v>
      </c>
      <c r="H636" s="374"/>
      <c r="I636" s="16"/>
    </row>
    <row r="637" spans="2:9" ht="24" customHeight="1">
      <c r="B637" s="1033" t="str">
        <f>'Penutup Lantai dan Dinding'!C1311</f>
        <v>3.9.9.2</v>
      </c>
      <c r="C637" s="39" t="str">
        <f>VLOOKUP(B637,'Penutup Lantai dan Dinding'!C:K,2,FALSE)</f>
        <v>Pemasangan 1 m2 lantai karpet</v>
      </c>
      <c r="D637" s="9" t="s">
        <v>62</v>
      </c>
      <c r="E637" s="1021">
        <f>VLOOKUP(C637,'Penutup Lantai dan Dinding'!$D$3:$I$2044,6,FALSE)</f>
        <v>99700</v>
      </c>
      <c r="F637" s="1003">
        <f>VLOOKUP(C637,'Penutup Lantai dan Dinding'!$D$3:$J$2044,7,FALSE)</f>
        <v>0</v>
      </c>
      <c r="G637" s="12">
        <f>VLOOKUP(C637,'Penutup Lantai dan Dinding'!$D$3:$K$2044,8,FALSE)</f>
        <v>0</v>
      </c>
      <c r="H637" s="374"/>
      <c r="I637" s="16"/>
    </row>
    <row r="638" spans="2:9" ht="24" customHeight="1">
      <c r="B638" s="1033" t="str">
        <f>'Penutup Lantai dan Dinding'!C1329</f>
        <v>3.9.9.3</v>
      </c>
      <c r="C638" s="39" t="str">
        <f>VLOOKUP(B638,'Penutup Lantai dan Dinding'!C:K,2,FALSE)</f>
        <v>Pemasangan 1 m2 underlayer (pelapis bawah karpet)</v>
      </c>
      <c r="D638" s="9" t="s">
        <v>62</v>
      </c>
      <c r="E638" s="1021">
        <f>VLOOKUP(C638,'Penutup Lantai dan Dinding'!$D$3:$I$2044,6,FALSE)</f>
        <v>45200</v>
      </c>
      <c r="F638" s="1003">
        <f>VLOOKUP(C638,'Penutup Lantai dan Dinding'!$D$3:$J$2044,7,FALSE)</f>
        <v>0</v>
      </c>
      <c r="G638" s="12">
        <f>VLOOKUP(C638,'Penutup Lantai dan Dinding'!$D$3:$K$2044,8,FALSE)</f>
        <v>0</v>
      </c>
      <c r="H638" s="374"/>
      <c r="I638" s="16"/>
    </row>
    <row r="639" spans="2:9" ht="24" customHeight="1">
      <c r="B639" s="1033" t="str">
        <f>'Penutup Lantai dan Dinding'!C1347</f>
        <v>3.9.9.4</v>
      </c>
      <c r="C639" s="39" t="str">
        <f>VLOOKUP(B639,'Penutup Lantai dan Dinding'!C:K,2,FALSE)</f>
        <v>Pemasangan 1 m2 lantai parquet kayu solid</v>
      </c>
      <c r="D639" s="9" t="s">
        <v>62</v>
      </c>
      <c r="E639" s="1021">
        <f>VLOOKUP(C639,'Penutup Lantai dan Dinding'!$D$3:$I$2044,6,FALSE)</f>
        <v>490900</v>
      </c>
      <c r="F639" s="1003">
        <f>VLOOKUP(C639,'Penutup Lantai dan Dinding'!$D$3:$J$2044,7,FALSE)</f>
        <v>0</v>
      </c>
      <c r="G639" s="12">
        <f>VLOOKUP(C639,'Penutup Lantai dan Dinding'!$D$3:$K$2044,8,FALSE)</f>
        <v>0</v>
      </c>
      <c r="H639" s="374"/>
      <c r="I639" s="16"/>
    </row>
    <row r="640" spans="2:9" ht="24" customHeight="1">
      <c r="B640" s="1033" t="str">
        <f>'Penutup Lantai dan Dinding'!C1365</f>
        <v>9.9.9.5</v>
      </c>
      <c r="C640" s="39" t="str">
        <f>VLOOKUP(B640,'Penutup Lantai dan Dinding'!C:K,2,FALSE)</f>
        <v>Pemasangan 1 m2 lantai engineering wood</v>
      </c>
      <c r="D640" s="9" t="s">
        <v>62</v>
      </c>
      <c r="E640" s="1021">
        <f>VLOOKUP(C640,'Penutup Lantai dan Dinding'!$D$3:$I$2044,6,FALSE)</f>
        <v>367800</v>
      </c>
      <c r="F640" s="1003">
        <f>VLOOKUP(C640,'Penutup Lantai dan Dinding'!$D$3:$J$2044,7,FALSE)</f>
        <v>0</v>
      </c>
      <c r="G640" s="12">
        <f>VLOOKUP(C640,'Penutup Lantai dan Dinding'!$D$3:$K$2044,8,FALSE)</f>
        <v>0</v>
      </c>
      <c r="H640" s="374"/>
      <c r="I640" s="16"/>
    </row>
    <row r="641" spans="2:9" ht="24" customHeight="1">
      <c r="B641" s="1033" t="str">
        <f>'Penutup Lantai dan Dinding'!C1383</f>
        <v>3.9.9.6</v>
      </c>
      <c r="C641" s="39" t="str">
        <f>VLOOKUP(B641,'Penutup Lantai dan Dinding'!C:K,2,FALSE)</f>
        <v>Pemasangan 1 m' plint kayu tebal 2 cm lebar 10 cm</v>
      </c>
      <c r="D641" s="9" t="s">
        <v>62</v>
      </c>
      <c r="E641" s="1021" t="e">
        <f>VLOOKUP(C641,'Penutup Lantai dan Dinding'!$D$3:$I$2044,6,FALSE)</f>
        <v>#VALUE!</v>
      </c>
      <c r="F641" s="1003">
        <f>VLOOKUP(C641,'Penutup Lantai dan Dinding'!$D$3:$J$2044,7,FALSE)</f>
        <v>0</v>
      </c>
      <c r="G641" s="12">
        <f>VLOOKUP(C641,'Penutup Lantai dan Dinding'!$D$3:$K$2044,8,FALSE)</f>
        <v>0</v>
      </c>
      <c r="H641" s="374"/>
      <c r="I641" s="16"/>
    </row>
    <row r="642" spans="2:9" ht="24" customHeight="1">
      <c r="B642" s="1033" t="str">
        <f>'Penutup Lantai dan Dinding'!C1401</f>
        <v>3.9.9.7</v>
      </c>
      <c r="C642" s="39" t="str">
        <f>VLOOKUP(B642,'Penutup Lantai dan Dinding'!C:K,2,FALSE)</f>
        <v>Pemasangan 1 m2 lantai vinyl uk. 30x30 cm</v>
      </c>
      <c r="D642" s="9" t="s">
        <v>62</v>
      </c>
      <c r="E642" s="1021">
        <f>VLOOKUP(C642,'Penutup Lantai dan Dinding'!$D$3:$I$2044,6,FALSE)</f>
        <v>156600</v>
      </c>
      <c r="F642" s="1003">
        <f>VLOOKUP(C642,'Penutup Lantai dan Dinding'!$D$3:$J$2044,7,FALSE)</f>
        <v>0</v>
      </c>
      <c r="G642" s="12">
        <f>VLOOKUP(C642,'Penutup Lantai dan Dinding'!$D$3:$K$2044,8,FALSE)</f>
        <v>0</v>
      </c>
      <c r="H642" s="374"/>
      <c r="I642" s="16"/>
    </row>
    <row r="643" spans="2:9" ht="24" customHeight="1">
      <c r="B643" s="1033" t="str">
        <f>'Penutup Lantai dan Dinding'!C1419</f>
        <v>3.9.9.8</v>
      </c>
      <c r="C643" s="39" t="str">
        <f>VLOOKUP(B643,'Penutup Lantai dan Dinding'!C:K,2,FALSE)</f>
        <v>Pemasangan 1 m' plint vinyl uk. 15x30 cm</v>
      </c>
      <c r="D643" s="9" t="s">
        <v>62</v>
      </c>
      <c r="E643" s="1021">
        <f>VLOOKUP(C643,'Penutup Lantai dan Dinding'!$D$3:$I$2044,6,FALSE)</f>
        <v>51600</v>
      </c>
      <c r="F643" s="1003">
        <f>VLOOKUP(C643,'Penutup Lantai dan Dinding'!$D$3:$J$2044,7,FALSE)</f>
        <v>0</v>
      </c>
      <c r="G643" s="12">
        <f>VLOOKUP(C643,'Penutup Lantai dan Dinding'!$D$3:$K$2044,8,FALSE)</f>
        <v>0</v>
      </c>
      <c r="H643" s="374"/>
      <c r="I643" s="16"/>
    </row>
    <row r="644" spans="2:9" ht="24" customHeight="1">
      <c r="B644" s="1033" t="str">
        <f>'Penutup Lantai dan Dinding'!C1437</f>
        <v>3.9.9.9</v>
      </c>
      <c r="C644" s="39" t="str">
        <f>VLOOKUP(B644,'Penutup Lantai dan Dinding'!C:K,2,FALSE)</f>
        <v>Pemasangan 1 m2 floor hardener</v>
      </c>
      <c r="D644" s="9" t="s">
        <v>62</v>
      </c>
      <c r="E644" s="1021">
        <f>VLOOKUP(C644,'Penutup Lantai dan Dinding'!$D$3:$I$2044,6,FALSE)</f>
        <v>61200</v>
      </c>
      <c r="F644" s="1003">
        <f>VLOOKUP(C644,'Penutup Lantai dan Dinding'!$D$3:$J$2044,7,FALSE)</f>
        <v>0</v>
      </c>
      <c r="G644" s="12">
        <f>VLOOKUP(C644,'Penutup Lantai dan Dinding'!$D$3:$K$2044,8,FALSE)</f>
        <v>0</v>
      </c>
      <c r="H644" s="374"/>
      <c r="I644" s="16"/>
    </row>
    <row r="645" spans="2:9" ht="24" customHeight="1">
      <c r="B645" s="1033" t="str">
        <f>'Penutup Lantai dan Dinding'!C1454</f>
        <v>3.9.9.10</v>
      </c>
      <c r="C645" s="39" t="str">
        <f>VLOOKUP(B645,'Penutup Lantai dan Dinding'!C:K,2,FALSE)</f>
        <v>Pemasangan 1 m2 lantai UPVC decking</v>
      </c>
      <c r="D645" s="9" t="s">
        <v>62</v>
      </c>
      <c r="E645" s="1021">
        <f>VLOOKUP(C645,'Penutup Lantai dan Dinding'!$D$3:$I$2044,6,FALSE)</f>
        <v>1529500</v>
      </c>
      <c r="F645" s="1003">
        <f>VLOOKUP(C645,'Penutup Lantai dan Dinding'!$D$3:$J$2044,7,FALSE)</f>
        <v>0</v>
      </c>
      <c r="G645" s="12">
        <f>VLOOKUP(C645,'Penutup Lantai dan Dinding'!$D$3:$K$2044,8,FALSE)</f>
        <v>0</v>
      </c>
      <c r="H645" s="374"/>
      <c r="I645" s="16"/>
    </row>
    <row r="646" spans="2:9" ht="24" customHeight="1">
      <c r="B646" s="1033" t="str">
        <f>'Penutup Lantai dan Dinding'!C1471</f>
        <v>3.9.9.11</v>
      </c>
      <c r="C646" s="39" t="str">
        <f>VLOOKUP(B646,'Penutup Lantai dan Dinding'!C:K,2,FALSE)</f>
        <v>Pemolesan 1 m2 lantai ubin teraso, granit, marmer</v>
      </c>
      <c r="D646" s="9" t="s">
        <v>62</v>
      </c>
      <c r="E646" s="1021">
        <f>VLOOKUP(C646,'Penutup Lantai dan Dinding'!$D$3:$I$2044,6,FALSE)</f>
        <v>59900</v>
      </c>
      <c r="F646" s="1003">
        <f>VLOOKUP(C646,'Penutup Lantai dan Dinding'!$D$3:$J$2044,7,FALSE)</f>
        <v>0</v>
      </c>
      <c r="G646" s="12">
        <f>VLOOKUP(C646,'Penutup Lantai dan Dinding'!$D$3:$K$2044,8,FALSE)</f>
        <v>0</v>
      </c>
      <c r="H646" s="374"/>
      <c r="I646" s="16"/>
    </row>
    <row r="647" spans="2:9" ht="24" customHeight="1">
      <c r="B647" s="1033" t="str">
        <f>'Penutup Lantai dan Dinding'!C1490</f>
        <v>3.9.9.12</v>
      </c>
      <c r="C647" s="39" t="str">
        <f>VLOOKUP(B647,'Penutup Lantai dan Dinding'!C:K,2,FALSE)</f>
        <v>Pemasangan 1 m2 Lantai Keramik Tactile Ukuran 30x30 cm ( 1SP:2PP)</v>
      </c>
      <c r="D647" s="9" t="s">
        <v>62</v>
      </c>
      <c r="E647" s="1021">
        <f>VLOOKUP(C647,'Penutup Lantai dan Dinding'!$D$3:$I$2044,6,FALSE)</f>
        <v>555400</v>
      </c>
      <c r="F647" s="1003" t="str">
        <f>VLOOKUP(C647,'Penutup Lantai dan Dinding'!$D$3:$J$2044,7,FALSE)</f>
        <v>Revisi</v>
      </c>
      <c r="G647" s="12" t="str">
        <f>VLOOKUP(C647,'Penutup Lantai dan Dinding'!$D$3:$K$2044,8,FALSE)</f>
        <v>perubahan di peralatan awalnya ada alat mesin polos</v>
      </c>
      <c r="H647" s="374"/>
      <c r="I647" s="16"/>
    </row>
    <row r="648" spans="2:9" ht="24" customHeight="1">
      <c r="B648" s="1033" t="str">
        <f>'Penutup Lantai dan Dinding'!C1511</f>
        <v>3.9.9.13</v>
      </c>
      <c r="C648" s="39" t="str">
        <f>VLOOKUP(B648,'Penutup Lantai dan Dinding'!C:K,2,FALSE)</f>
        <v>Pemasangan 1 m2 Lantai Keramik Tactile Ukuran 40x40 cm ( 1SP:2PP)</v>
      </c>
      <c r="D648" s="9" t="s">
        <v>62</v>
      </c>
      <c r="E648" s="1021">
        <f>VLOOKUP(C648,'Penutup Lantai dan Dinding'!$D$3:$I$2044,6,FALSE)</f>
        <v>377000</v>
      </c>
      <c r="F648" s="1003" t="str">
        <f>VLOOKUP(C648,'Penutup Lantai dan Dinding'!$D$3:$J$2044,7,FALSE)</f>
        <v>Revisi</v>
      </c>
      <c r="G648" s="12" t="str">
        <f>VLOOKUP(C648,'Penutup Lantai dan Dinding'!$D$3:$K$2044,8,FALSE)</f>
        <v>perubahan di peralatan awalnya ada alat mesin polos</v>
      </c>
      <c r="H648" s="374"/>
      <c r="I648" s="16"/>
    </row>
    <row r="649" spans="2:9" ht="24" customHeight="1">
      <c r="B649" s="1044" t="str">
        <f>'Penutup Lantai dan Dinding'!C1532</f>
        <v>3,10</v>
      </c>
      <c r="C649" s="1002" t="str">
        <f>VLOOKUP(B649,'Penutup Lantai dan Dinding'!C:K,2,FALSE)</f>
        <v xml:space="preserve">PEKERJAAN PENUTUP DINDING </v>
      </c>
      <c r="D649" s="995"/>
      <c r="E649" s="1026"/>
      <c r="F649" s="1007"/>
      <c r="G649" s="30"/>
      <c r="H649" s="374"/>
      <c r="I649" s="16"/>
    </row>
    <row r="650" spans="2:9" ht="24" customHeight="1">
      <c r="B650" s="1043" t="str">
        <f>'Penutup Lantai dan Dinding'!C1533</f>
        <v>3.10.1</v>
      </c>
      <c r="C650" s="1001" t="str">
        <f>VLOOKUP(B650,'Penutup Lantai dan Dinding'!C:K,2,FALSE)</f>
        <v xml:space="preserve">Dinding Keramik </v>
      </c>
      <c r="D650" s="994"/>
      <c r="E650" s="1027"/>
      <c r="F650" s="1004"/>
      <c r="G650" s="36">
        <f>VLOOKUP(C650,'Penutup Lantai dan Dinding'!$D$3:$K$2044,8,FALSE)</f>
        <v>0</v>
      </c>
      <c r="H650" s="374"/>
      <c r="I650" s="16"/>
    </row>
    <row r="651" spans="2:9" ht="24" customHeight="1">
      <c r="B651" s="1033" t="str">
        <f>'Penutup Lantai dan Dinding'!C1534</f>
        <v>3.10.1.1</v>
      </c>
      <c r="C651" s="39" t="str">
        <f>VLOOKUP(B651,'Penutup Lantai dan Dinding'!C:K,2,FALSE)</f>
        <v>Pemasangan 1 m2 dinding keramik artistik uk. 10x20 cm (1SP : 2PP)</v>
      </c>
      <c r="D651" s="9" t="s">
        <v>62</v>
      </c>
      <c r="E651" s="1021">
        <f>VLOOKUP(C651,'Penutup Lantai dan Dinding'!$D$3:$I$2044,6,FALSE)</f>
        <v>350900</v>
      </c>
      <c r="F651" s="1003">
        <f>VLOOKUP(C651,'Penutup Lantai dan Dinding'!$D$3:$J$2044,7,FALSE)</f>
        <v>0</v>
      </c>
      <c r="G651" s="12">
        <f>VLOOKUP(C651,'Penutup Lantai dan Dinding'!$D$3:$K$2044,8,FALSE)</f>
        <v>0</v>
      </c>
      <c r="H651" s="374"/>
      <c r="I651" s="16"/>
    </row>
    <row r="652" spans="2:9" ht="24" customHeight="1">
      <c r="B652" s="1033" t="str">
        <f>'Penutup Lantai dan Dinding'!C1554</f>
        <v>3.10.1.2</v>
      </c>
      <c r="C652" s="39" t="str">
        <f>VLOOKUP(B652,'Penutup Lantai dan Dinding'!C:K,2,FALSE)</f>
        <v>Pemasangan 1 m2 dinding keramik artistik uk. 5x20 cm (1SP : 2PP)</v>
      </c>
      <c r="D652" s="9" t="s">
        <v>62</v>
      </c>
      <c r="E652" s="1021">
        <f>VLOOKUP(C652,'Penutup Lantai dan Dinding'!$D$3:$I$2044,6,FALSE)</f>
        <v>487800</v>
      </c>
      <c r="F652" s="1003">
        <f>VLOOKUP(C652,'Penutup Lantai dan Dinding'!$D$3:$J$2044,7,FALSE)</f>
        <v>0</v>
      </c>
      <c r="G652" s="12">
        <f>VLOOKUP(C652,'Penutup Lantai dan Dinding'!$D$3:$K$2044,8,FALSE)</f>
        <v>0</v>
      </c>
      <c r="H652" s="374"/>
      <c r="I652" s="16"/>
    </row>
    <row r="653" spans="2:9" ht="24" customHeight="1">
      <c r="B653" s="1033" t="str">
        <f>'Penutup Lantai dan Dinding'!C1574</f>
        <v>3.10.1.3</v>
      </c>
      <c r="C653" s="39" t="str">
        <f>VLOOKUP(B653,'Penutup Lantai dan Dinding'!C:K,2,FALSE)</f>
        <v>Pemasangan 1 m2 dinding keramik uk. 10x20 cm (1SP : 2PP)</v>
      </c>
      <c r="D653" s="9" t="s">
        <v>62</v>
      </c>
      <c r="E653" s="1021">
        <f>VLOOKUP(C653,'Penutup Lantai dan Dinding'!$D$3:$I$2044,6,FALSE)</f>
        <v>288300</v>
      </c>
      <c r="F653" s="1003">
        <f>VLOOKUP(C653,'Penutup Lantai dan Dinding'!$D$3:$J$2044,7,FALSE)</f>
        <v>0</v>
      </c>
      <c r="G653" s="12">
        <f>VLOOKUP(C653,'Penutup Lantai dan Dinding'!$D$3:$K$2044,8,FALSE)</f>
        <v>0</v>
      </c>
      <c r="H653" s="374"/>
      <c r="I653" s="16"/>
    </row>
    <row r="654" spans="2:9" ht="24" customHeight="1">
      <c r="B654" s="1037" t="str">
        <f>'Penutup Lantai dan Dinding'!C1594</f>
        <v>3.10.1.4</v>
      </c>
      <c r="C654" s="1159" t="str">
        <f>VLOOKUP(B654,'Penutup Lantai dan Dinding'!C:K,2,FALSE)</f>
        <v>Pemasangan 1 m2 dinding keramik uk. 20x20 cm (1SP : 2PP)</v>
      </c>
      <c r="D654" s="176" t="s">
        <v>62</v>
      </c>
      <c r="E654" s="1038">
        <f>VLOOKUP(C654,'Penutup Lantai dan Dinding'!$D$3:$I$2044,6,FALSE)</f>
        <v>221300</v>
      </c>
      <c r="F654" s="1003">
        <f>VLOOKUP(C654,'Penutup Lantai dan Dinding'!$D$3:$J$2044,7,FALSE)</f>
        <v>0</v>
      </c>
      <c r="G654" s="12">
        <f>VLOOKUP(C654,'Penutup Lantai dan Dinding'!$D$3:$K$2044,8,FALSE)</f>
        <v>0</v>
      </c>
      <c r="H654" s="374"/>
      <c r="I654" s="16"/>
    </row>
    <row r="655" spans="2:9" ht="24" customHeight="1">
      <c r="B655" s="1046" t="str">
        <f>'Penutup Lantai dan Dinding'!C1615</f>
        <v>3.10.2</v>
      </c>
      <c r="C655" s="1096" t="str">
        <f>VLOOKUP(B655,'Penutup Lantai dan Dinding'!C:K,2,FALSE)</f>
        <v xml:space="preserve">Dinding Homogeneous Tile </v>
      </c>
      <c r="D655" s="587"/>
      <c r="E655" s="1040"/>
      <c r="F655" s="1004">
        <f>VLOOKUP(C655,'Penutup Lantai dan Dinding'!$D$3:$J$2044,7,FALSE)</f>
        <v>0</v>
      </c>
      <c r="G655" s="36">
        <f>VLOOKUP(C655,'Penutup Lantai dan Dinding'!$D$3:$K$2044,8,FALSE)</f>
        <v>0</v>
      </c>
      <c r="H655" s="374"/>
      <c r="I655" s="16"/>
    </row>
    <row r="656" spans="2:9" ht="24" customHeight="1">
      <c r="B656" s="1037" t="str">
        <f>'Penutup Lantai dan Dinding'!C1616</f>
        <v>3.10.2.1</v>
      </c>
      <c r="C656" s="1097" t="str">
        <f>VLOOKUP(B656,'Penutup Lantai dan Dinding'!C:K,2,FALSE)</f>
        <v>Pemasangan 1 m2 dinding homogeneous tile Polish uk. 30x30 cm (1SP : 2PP)</v>
      </c>
      <c r="D656" s="176" t="s">
        <v>62</v>
      </c>
      <c r="E656" s="1038">
        <f>VLOOKUP(C656,'Penutup Lantai dan Dinding'!$D$3:$I$2044,6,FALSE)</f>
        <v>499600</v>
      </c>
      <c r="F656" s="1003">
        <f>VLOOKUP(C656,'Penutup Lantai dan Dinding'!$D$3:$J$2044,7,FALSE)</f>
        <v>0</v>
      </c>
      <c r="G656" s="12">
        <f>VLOOKUP(C656,'Penutup Lantai dan Dinding'!$D$3:$K$2044,8,FALSE)</f>
        <v>0</v>
      </c>
      <c r="H656" s="374"/>
      <c r="I656" s="16"/>
    </row>
    <row r="657" spans="2:9" ht="24" customHeight="1">
      <c r="B657" s="1037" t="str">
        <f>'Penutup Lantai dan Dinding'!C1635</f>
        <v>3.10.2.2</v>
      </c>
      <c r="C657" s="1097" t="str">
        <f>VLOOKUP(B657,'Penutup Lantai dan Dinding'!C:K,2,FALSE)</f>
        <v>Pemasangan 1 m2 dinding homogeneous tile Polish uk. 40x40 cm (1SP : 2PP)</v>
      </c>
      <c r="D657" s="176" t="s">
        <v>62</v>
      </c>
      <c r="E657" s="1038">
        <f>VLOOKUP(C657,'Penutup Lantai dan Dinding'!$D$3:$I$2044,6,FALSE)</f>
        <v>414100</v>
      </c>
      <c r="F657" s="1003">
        <f>VLOOKUP(C657,'Penutup Lantai dan Dinding'!$D$3:$J$2044,7,FALSE)</f>
        <v>0</v>
      </c>
      <c r="G657" s="12">
        <f>VLOOKUP(C657,'Penutup Lantai dan Dinding'!$D$3:$K$2044,8,FALSE)</f>
        <v>0</v>
      </c>
      <c r="H657" s="374"/>
      <c r="I657" s="16"/>
    </row>
    <row r="658" spans="2:9" ht="24" customHeight="1">
      <c r="B658" s="1037" t="str">
        <f>'Penutup Lantai dan Dinding'!C1654</f>
        <v>3.10.2.3</v>
      </c>
      <c r="C658" s="1097" t="str">
        <f>VLOOKUP(B658,'Penutup Lantai dan Dinding'!C:K,2,FALSE)</f>
        <v>Pemasangan 1 m2 dinding homogeneous tile polish uk. 60x60 cm (1SP : 2PP)</v>
      </c>
      <c r="D658" s="176" t="s">
        <v>62</v>
      </c>
      <c r="E658" s="1038">
        <f>VLOOKUP(C658,'Penutup Lantai dan Dinding'!$D$3:$I$2044,6,FALSE)</f>
        <v>212400</v>
      </c>
      <c r="F658" s="1003">
        <f>VLOOKUP(C658,'Penutup Lantai dan Dinding'!$D$3:$J$2044,7,FALSE)</f>
        <v>0</v>
      </c>
      <c r="G658" s="12">
        <f>VLOOKUP(C658,'Penutup Lantai dan Dinding'!$D$3:$K$2044,8,FALSE)</f>
        <v>0</v>
      </c>
      <c r="H658" s="374"/>
      <c r="I658" s="16"/>
    </row>
    <row r="659" spans="2:9" ht="24" customHeight="1">
      <c r="B659" s="1037" t="str">
        <f>'Penutup Lantai dan Dinding'!C1673</f>
        <v>3.10.2.4</v>
      </c>
      <c r="C659" s="1097" t="str">
        <f>VLOOKUP(B659,'Penutup Lantai dan Dinding'!C:K,2,FALSE)</f>
        <v>Pemasangan 1 m2 dinding homogeneous tile Unpolish uk. 30x30 cm (1SP : 2PP)</v>
      </c>
      <c r="D659" s="176" t="s">
        <v>62</v>
      </c>
      <c r="E659" s="1038">
        <f>VLOOKUP(C659,'Penutup Lantai dan Dinding'!$D$3:$I$2044,6,FALSE)</f>
        <v>499600</v>
      </c>
      <c r="F659" s="1003">
        <f>VLOOKUP(C659,'Penutup Lantai dan Dinding'!$D$3:$J$2044,7,FALSE)</f>
        <v>0</v>
      </c>
      <c r="G659" s="12">
        <f>VLOOKUP(C659,'Penutup Lantai dan Dinding'!$D$3:$K$2044,8,FALSE)</f>
        <v>0</v>
      </c>
      <c r="H659" s="374"/>
      <c r="I659" s="16"/>
    </row>
    <row r="660" spans="2:9" ht="24" customHeight="1">
      <c r="B660" s="1037" t="str">
        <f>'Penutup Lantai dan Dinding'!C1692</f>
        <v>3.10.2.5</v>
      </c>
      <c r="C660" s="1097" t="str">
        <f>VLOOKUP(B660,'Penutup Lantai dan Dinding'!C:K,2,FALSE)</f>
        <v>Pemasangan 1 m2 dinding homogeneous tile Unpolish uk. 40x40 cm (1SP : 2PP)</v>
      </c>
      <c r="D660" s="176" t="s">
        <v>62</v>
      </c>
      <c r="E660" s="1038">
        <f>VLOOKUP(C660,'Penutup Lantai dan Dinding'!$D$3:$I$2044,6,FALSE)</f>
        <v>414100</v>
      </c>
      <c r="F660" s="1003">
        <f>VLOOKUP(C660,'Penutup Lantai dan Dinding'!$D$3:$J$2044,7,FALSE)</f>
        <v>0</v>
      </c>
      <c r="G660" s="12">
        <f>VLOOKUP(C660,'Penutup Lantai dan Dinding'!$D$3:$K$2044,8,FALSE)</f>
        <v>0</v>
      </c>
      <c r="H660" s="374"/>
      <c r="I660" s="16"/>
    </row>
    <row r="661" spans="2:9" ht="24" customHeight="1">
      <c r="B661" s="1037" t="str">
        <f>'Penutup Lantai dan Dinding'!C1711</f>
        <v>3.10.2.6</v>
      </c>
      <c r="C661" s="1097" t="str">
        <f>VLOOKUP(B661,'Penutup Lantai dan Dinding'!C:K,2,FALSE)</f>
        <v>Pemasangan 1 m2 dinding homogeneous tile Unpolish uk. 60x60 cm (1SP : 2PP)</v>
      </c>
      <c r="D661" s="176" t="s">
        <v>62</v>
      </c>
      <c r="E661" s="1038">
        <f>VLOOKUP(C661,'Penutup Lantai dan Dinding'!$D$3:$I$2044,6,FALSE)</f>
        <v>212400</v>
      </c>
      <c r="F661" s="1003">
        <f>VLOOKUP(C661,'Penutup Lantai dan Dinding'!$D$3:$J$2044,7,FALSE)</f>
        <v>0</v>
      </c>
      <c r="G661" s="12">
        <f>VLOOKUP(C661,'Penutup Lantai dan Dinding'!$D$3:$K$2044,8,FALSE)</f>
        <v>0</v>
      </c>
      <c r="H661" s="374"/>
      <c r="I661" s="16"/>
    </row>
    <row r="662" spans="2:9" ht="24" customHeight="1">
      <c r="B662" s="1046" t="str">
        <f>'Penutup Lantai dan Dinding'!C1730</f>
        <v>3.10.3</v>
      </c>
      <c r="C662" s="1096" t="str">
        <f>VLOOKUP(B662,'Penutup Lantai dan Dinding'!C:K,2,FALSE)</f>
        <v xml:space="preserve">DINDING PORSELEN </v>
      </c>
      <c r="D662" s="587"/>
      <c r="E662" s="1040"/>
      <c r="F662" s="1004">
        <f>VLOOKUP(C662,'Penutup Lantai dan Dinding'!$D$3:$J$2044,7,FALSE)</f>
        <v>0</v>
      </c>
      <c r="G662" s="36">
        <f>VLOOKUP(C662,'Penutup Lantai dan Dinding'!$D$3:$K$2044,8,FALSE)</f>
        <v>0</v>
      </c>
      <c r="H662" s="374"/>
      <c r="I662" s="16"/>
    </row>
    <row r="663" spans="2:9" ht="24" customHeight="1">
      <c r="B663" s="1037" t="str">
        <f>'Penutup Lantai dan Dinding'!C1731</f>
        <v>3.10.3.1</v>
      </c>
      <c r="C663" s="1097" t="str">
        <f>VLOOKUP(B663,'Penutup Lantai dan Dinding'!C:K,2,FALSE)</f>
        <v>Pemasangan 1 m2 dinding porselen uk. 11x11 cm (1SP : 2PP)</v>
      </c>
      <c r="D663" s="176" t="s">
        <v>62</v>
      </c>
      <c r="E663" s="1038">
        <f>VLOOKUP(C663,'Penutup Lantai dan Dinding'!$D$3:$I$2044,6,FALSE)</f>
        <v>323000</v>
      </c>
      <c r="F663" s="1003">
        <f>VLOOKUP(C663,'Penutup Lantai dan Dinding'!$D$3:$J$2044,7,FALSE)</f>
        <v>0</v>
      </c>
      <c r="G663" s="12">
        <f>VLOOKUP(C663,'Penutup Lantai dan Dinding'!$D$3:$K$2044,8,FALSE)</f>
        <v>0</v>
      </c>
      <c r="H663" s="374"/>
      <c r="I663" s="16"/>
    </row>
    <row r="664" spans="2:9" ht="24" customHeight="1">
      <c r="B664" s="1037" t="str">
        <f>'Penutup Lantai dan Dinding'!C1751</f>
        <v>3.10.3.2</v>
      </c>
      <c r="C664" s="1097" t="str">
        <f>VLOOKUP(B664,'Penutup Lantai dan Dinding'!C:K,2,FALSE)</f>
        <v>Pemasangan 1 m2 dinding porselen uk. 10x20 cm (1SP : 2PP)</v>
      </c>
      <c r="D664" s="176" t="s">
        <v>62</v>
      </c>
      <c r="E664" s="1038">
        <f>VLOOKUP(C664,'Penutup Lantai dan Dinding'!$D$3:$I$2044,6,FALSE)</f>
        <v>368700</v>
      </c>
      <c r="F664" s="1003">
        <f>VLOOKUP(C664,'Penutup Lantai dan Dinding'!$D$3:$J$2044,7,FALSE)</f>
        <v>0</v>
      </c>
      <c r="G664" s="12">
        <f>VLOOKUP(C664,'Penutup Lantai dan Dinding'!$D$3:$K$2044,8,FALSE)</f>
        <v>0</v>
      </c>
      <c r="H664" s="374"/>
      <c r="I664" s="16"/>
    </row>
    <row r="665" spans="2:9" ht="24" customHeight="1">
      <c r="B665" s="1037" t="str">
        <f>'Penutup Lantai dan Dinding'!C1771</f>
        <v>3.10.3.3</v>
      </c>
      <c r="C665" s="1097" t="str">
        <f>VLOOKUP(B665,'Penutup Lantai dan Dinding'!C:K,2,FALSE)</f>
        <v>Pemasangan 1 m2 dinding porselen uk. 20x20 cm (1SP : 2PP)</v>
      </c>
      <c r="D665" s="176" t="s">
        <v>62</v>
      </c>
      <c r="E665" s="1038">
        <f>VLOOKUP(C665,'Penutup Lantai dan Dinding'!$D$3:$I$2044,6,FALSE)</f>
        <v>224500</v>
      </c>
      <c r="F665" s="1003">
        <f>VLOOKUP(C665,'Penutup Lantai dan Dinding'!$D$3:$J$2044,7,FALSE)</f>
        <v>0</v>
      </c>
      <c r="G665" s="12">
        <f>VLOOKUP(C665,'Penutup Lantai dan Dinding'!$D$3:$K$2044,8,FALSE)</f>
        <v>0</v>
      </c>
      <c r="H665" s="374"/>
      <c r="I665" s="16"/>
    </row>
    <row r="666" spans="2:9" ht="24" customHeight="1">
      <c r="B666" s="1046" t="str">
        <f>'Penutup Lantai dan Dinding'!C1791</f>
        <v>3.10.4</v>
      </c>
      <c r="C666" s="1096" t="str">
        <f>VLOOKUP(B666,'Penutup Lantai dan Dinding'!C:K,2,FALSE)</f>
        <v xml:space="preserve">DINDING BATU ALAM </v>
      </c>
      <c r="D666" s="587"/>
      <c r="E666" s="1040"/>
      <c r="F666" s="1004">
        <f>VLOOKUP(C666,'Penutup Lantai dan Dinding'!$D$3:$J$2044,7,FALSE)</f>
        <v>0</v>
      </c>
      <c r="G666" s="36">
        <f>VLOOKUP(C666,'Penutup Lantai dan Dinding'!$D$3:$K$2044,8,FALSE)</f>
        <v>0</v>
      </c>
      <c r="H666" s="374"/>
      <c r="I666" s="16"/>
    </row>
    <row r="667" spans="2:9" ht="24" customHeight="1">
      <c r="B667" s="1037" t="str">
        <f>'Penutup Lantai dan Dinding'!C1792</f>
        <v>3.10.4.1</v>
      </c>
      <c r="C667" s="1097" t="str">
        <f>VLOOKUP(B667,'Penutup Lantai dan Dinding'!C:K,2,FALSE)</f>
        <v>Pemasangan 1 m2 dinding bata pelapis uk. 3x7x24 cm</v>
      </c>
      <c r="D667" s="176" t="s">
        <v>62</v>
      </c>
      <c r="E667" s="1038">
        <f>VLOOKUP(C667,'Penutup Lantai dan Dinding'!$D$3:$I$2044,6,FALSE)</f>
        <v>452600</v>
      </c>
      <c r="F667" s="1003">
        <f>VLOOKUP(C667,'Penutup Lantai dan Dinding'!$D$3:$J$2044,7,FALSE)</f>
        <v>0</v>
      </c>
      <c r="G667" s="12">
        <f>VLOOKUP(C667,'Penutup Lantai dan Dinding'!$D$3:$K$2044,8,FALSE)</f>
        <v>0</v>
      </c>
      <c r="H667" s="374"/>
      <c r="I667" s="16"/>
    </row>
    <row r="668" spans="2:9" ht="24" customHeight="1">
      <c r="B668" s="1037" t="str">
        <f>'Penutup Lantai dan Dinding'!C1812</f>
        <v>3.10.4.2</v>
      </c>
      <c r="C668" s="1097" t="str">
        <f>VLOOKUP(B668,'Penutup Lantai dan Dinding'!C:K,2,FALSE)</f>
        <v>Pemasangan 1 m2 dinding batu paras</v>
      </c>
      <c r="D668" s="176" t="s">
        <v>62</v>
      </c>
      <c r="E668" s="1038">
        <f>VLOOKUP(C668,'Penutup Lantai dan Dinding'!$D$3:$I$2044,6,FALSE)</f>
        <v>168500</v>
      </c>
      <c r="F668" s="1003">
        <f>VLOOKUP(C668,'Penutup Lantai dan Dinding'!$D$3:$J$2044,7,FALSE)</f>
        <v>0</v>
      </c>
      <c r="G668" s="12">
        <f>VLOOKUP(C668,'Penutup Lantai dan Dinding'!$D$3:$K$2044,8,FALSE)</f>
        <v>0</v>
      </c>
      <c r="H668" s="374"/>
      <c r="I668" s="16"/>
    </row>
    <row r="669" spans="2:9" ht="24" customHeight="1">
      <c r="B669" s="1037" t="str">
        <f>'Penutup Lantai dan Dinding'!C1831</f>
        <v>3.10.4.3</v>
      </c>
      <c r="C669" s="1097" t="str">
        <f>VLOOKUP(B669,'Penutup Lantai dan Dinding'!C:K,2,FALSE)</f>
        <v>Pemasangan 1 m2 dinding batu tempel hitam</v>
      </c>
      <c r="D669" s="176" t="s">
        <v>62</v>
      </c>
      <c r="E669" s="1038">
        <f>VLOOKUP(C669,'Penutup Lantai dan Dinding'!$D$3:$I$2044,6,FALSE)</f>
        <v>168500</v>
      </c>
      <c r="F669" s="1003">
        <f>VLOOKUP(C669,'Penutup Lantai dan Dinding'!$D$3:$J$2044,7,FALSE)</f>
        <v>0</v>
      </c>
      <c r="G669" s="12">
        <f>VLOOKUP(C669,'Penutup Lantai dan Dinding'!$D$3:$K$2044,8,FALSE)</f>
        <v>0</v>
      </c>
      <c r="H669" s="374"/>
      <c r="I669" s="16"/>
    </row>
    <row r="670" spans="2:9" ht="24" customHeight="1">
      <c r="B670" s="1046" t="str">
        <f>'Penutup Lantai dan Dinding'!C1850</f>
        <v>3.10.5</v>
      </c>
      <c r="C670" s="1096" t="str">
        <f>VLOOKUP(B670,'Penutup Lantai dan Dinding'!C:K,2,FALSE)</f>
        <v xml:space="preserve">PENUTUP DINDING LAINNYA </v>
      </c>
      <c r="D670" s="587"/>
      <c r="E670" s="1040"/>
      <c r="F670" s="1004">
        <f>VLOOKUP(C670,'Penutup Lantai dan Dinding'!$D$3:$J$2044,7,FALSE)</f>
        <v>0</v>
      </c>
      <c r="G670" s="36">
        <f>VLOOKUP(C670,'Penutup Lantai dan Dinding'!$D$3:$K$2044,8,FALSE)</f>
        <v>0</v>
      </c>
      <c r="H670" s="374"/>
      <c r="I670" s="16"/>
    </row>
    <row r="671" spans="2:9" ht="24" customHeight="1">
      <c r="B671" s="1037" t="str">
        <f>'Penutup Lantai dan Dinding'!C1851</f>
        <v>3.10.5.1</v>
      </c>
      <c r="C671" s="1097" t="str">
        <f>VLOOKUP(B671,'Penutup Lantai dan Dinding'!C:K,2,FALSE)</f>
        <v>Pemasangan 1 m2 wallpaper lebar 50 cm</v>
      </c>
      <c r="D671" s="176" t="s">
        <v>62</v>
      </c>
      <c r="E671" s="1038">
        <f>VLOOKUP(C671,'Penutup Lantai dan Dinding'!$D$3:$I$2044,6,FALSE)</f>
        <v>85000</v>
      </c>
      <c r="F671" s="1003">
        <f>VLOOKUP(C671,'Penutup Lantai dan Dinding'!$D$3:$J$2044,7,FALSE)</f>
        <v>0</v>
      </c>
      <c r="G671" s="12">
        <f>VLOOKUP(C671,'Penutup Lantai dan Dinding'!$D$3:$K$2044,8,FALSE)</f>
        <v>0</v>
      </c>
      <c r="H671" s="374"/>
      <c r="I671" s="16"/>
    </row>
    <row r="672" spans="2:9" ht="24" customHeight="1">
      <c r="B672" s="1037" t="str">
        <f>'Penutup Lantai dan Dinding'!C1869</f>
        <v>3.10.5.2</v>
      </c>
      <c r="C672" s="1097" t="str">
        <f>VLOOKUP(B672,'Penutup Lantai dan Dinding'!C:K,2,FALSE)</f>
        <v>Pemasangan 1 m2 dinding pemisah plywood rangkap, rangka kayu kelas II</v>
      </c>
      <c r="D672" s="176" t="s">
        <v>62</v>
      </c>
      <c r="E672" s="1038">
        <f>VLOOKUP(C672,'Penutup Lantai dan Dinding'!$D$3:$I$2044,6,FALSE)</f>
        <v>349400</v>
      </c>
      <c r="F672" s="1003" t="str">
        <f>VLOOKUP(C672,'Penutup Lantai dan Dinding'!$D$3:$J$2044,7,FALSE)</f>
        <v>Revisi</v>
      </c>
      <c r="G672" s="12" t="str">
        <f>VLOOKUP(C672,'Penutup Lantai dan Dinding'!$D$3:$K$2044,8,FALSE)</f>
        <v xml:space="preserve">Bahan Paku 12 cm jadi paku 5 dan 10 cm </v>
      </c>
      <c r="H672" s="374"/>
      <c r="I672" s="16"/>
    </row>
    <row r="673" spans="2:9" ht="24" customHeight="1">
      <c r="B673" s="1037" t="str">
        <f>'Penutup Lantai dan Dinding'!C1889</f>
        <v>3.10.5.3</v>
      </c>
      <c r="C673" s="1097" t="str">
        <f>VLOOKUP(B673,'Penutup Lantai dan Dinding'!C:K,2,FALSE)</f>
        <v>Pemasangan 1 m2 dinding lambisering dari papan kayu kelas I</v>
      </c>
      <c r="D673" s="176" t="s">
        <v>62</v>
      </c>
      <c r="E673" s="1038" t="e">
        <f>VLOOKUP(C673,'Penutup Lantai dan Dinding'!$D$3:$I$2044,6,FALSE)</f>
        <v>#VALUE!</v>
      </c>
      <c r="F673" s="1003">
        <f>VLOOKUP(C673,'Penutup Lantai dan Dinding'!$D$3:$J$2044,7,FALSE)</f>
        <v>0</v>
      </c>
      <c r="G673" s="12">
        <f>VLOOKUP(C673,'Penutup Lantai dan Dinding'!$D$3:$K$2044,8,FALSE)</f>
        <v>0</v>
      </c>
      <c r="H673" s="374"/>
      <c r="I673" s="16"/>
    </row>
    <row r="674" spans="2:9" ht="24" customHeight="1">
      <c r="B674" s="1037" t="str">
        <f>'Penutup Lantai dan Dinding'!C1908</f>
        <v>3.10.5.4</v>
      </c>
      <c r="C674" s="1097" t="str">
        <f>VLOOKUP(B674,'Penutup Lantai dan Dinding'!C:K,2,FALSE)</f>
        <v>Pemasangan 1 m2 dinding lambrisering dari plywood (Kayu Lapis) ukuran 120x240cm</v>
      </c>
      <c r="D674" s="176" t="s">
        <v>62</v>
      </c>
      <c r="E674" s="1038">
        <f>VLOOKUP(C674,'Penutup Lantai dan Dinding'!$D$3:$I$2044,6,FALSE)</f>
        <v>2813700</v>
      </c>
      <c r="F674" s="1003">
        <f>VLOOKUP(C674,'Penutup Lantai dan Dinding'!$D$3:$J$2044,7,FALSE)</f>
        <v>0</v>
      </c>
      <c r="G674" s="12">
        <f>VLOOKUP(C674,'Penutup Lantai dan Dinding'!$D$3:$K$2044,8,FALSE)</f>
        <v>0</v>
      </c>
      <c r="H674" s="374"/>
      <c r="I674" s="16"/>
    </row>
    <row r="675" spans="2:9" ht="24" customHeight="1">
      <c r="B675" s="1037" t="str">
        <f>'Penutup Lantai dan Dinding'!C1926</f>
        <v>3.10.5.5</v>
      </c>
      <c r="C675" s="1097" t="str">
        <f>VLOOKUP(B675,'Penutup Lantai dan Dinding'!C:K,2,FALSE)</f>
        <v>Pemasangan 1 m2 dinding bilik, rangka kayu kelas III atau IV</v>
      </c>
      <c r="D675" s="176" t="s">
        <v>62</v>
      </c>
      <c r="E675" s="1038">
        <f>VLOOKUP(C675,'Penutup Lantai dan Dinding'!$D$3:$I$2044,6,FALSE)</f>
        <v>20000</v>
      </c>
      <c r="F675" s="1003" t="str">
        <f>VLOOKUP(C675,'Penutup Lantai dan Dinding'!$D$3:$J$2044,7,FALSE)</f>
        <v>Revisi</v>
      </c>
      <c r="G675" s="12" t="str">
        <f>VLOOKUP(C675,'Penutup Lantai dan Dinding'!$D$3:$K$2044,8,FALSE)</f>
        <v xml:space="preserve">tidak ada perubahan koefisien </v>
      </c>
      <c r="H675" s="374"/>
      <c r="I675" s="16"/>
    </row>
    <row r="676" spans="2:9" ht="24" customHeight="1">
      <c r="B676" s="1037" t="str">
        <f>'Penutup Lantai dan Dinding'!C1946</f>
        <v>3.10.5.6</v>
      </c>
      <c r="C676" s="1097" t="str">
        <f>VLOOKUP(B676,'Penutup Lantai dan Dinding'!C:K,2,FALSE)</f>
        <v>Pemasangan kering 1 m2 dinding marmer 100x100 cm tebal 2 cm</v>
      </c>
      <c r="D676" s="176" t="s">
        <v>62</v>
      </c>
      <c r="E676" s="1038">
        <f>VLOOKUP(C676,'Penutup Lantai dan Dinding'!$D$3:$I$2044,6,FALSE)</f>
        <v>1273400</v>
      </c>
      <c r="F676" s="1003">
        <f>VLOOKUP(C676,'Penutup Lantai dan Dinding'!$D$3:$J$2044,7,FALSE)</f>
        <v>0</v>
      </c>
      <c r="G676" s="12">
        <f>VLOOKUP(C676,'Penutup Lantai dan Dinding'!$D$3:$K$2044,8,FALSE)</f>
        <v>0</v>
      </c>
      <c r="H676" s="374"/>
      <c r="I676" s="16"/>
    </row>
    <row r="677" spans="2:9" ht="24" customHeight="1">
      <c r="B677" s="1037" t="str">
        <f>'Penutup Lantai dan Dinding'!C1966</f>
        <v>3.10.5.7</v>
      </c>
      <c r="C677" s="1097" t="str">
        <f>VLOOKUP(B677,'Penutup Lantai dan Dinding'!C:K,2,FALSE)</f>
        <v>Pemasangan basah 1 m2 dinding marmer 100x100 cm tebal 2 cm</v>
      </c>
      <c r="D677" s="176" t="s">
        <v>62</v>
      </c>
      <c r="E677" s="1038">
        <f>VLOOKUP(C677,'Penutup Lantai dan Dinding'!$D$3:$I$2044,6,FALSE)</f>
        <v>1465000</v>
      </c>
      <c r="F677" s="1003">
        <f>VLOOKUP(C677,'Penutup Lantai dan Dinding'!$D$3:$J$2044,7,FALSE)</f>
        <v>0</v>
      </c>
      <c r="G677" s="12">
        <f>VLOOKUP(C677,'Penutup Lantai dan Dinding'!$D$3:$K$2044,8,FALSE)</f>
        <v>0</v>
      </c>
      <c r="H677" s="374"/>
      <c r="I677" s="16"/>
    </row>
    <row r="678" spans="2:9" ht="24" customHeight="1">
      <c r="B678" s="1046" t="str">
        <f>'Penutup Lantai dan Dinding'!C1987</f>
        <v>3.10.6</v>
      </c>
      <c r="C678" s="1096" t="str">
        <f>VLOOKUP(B678,'Penutup Lantai dan Dinding'!C:K,2,FALSE)</f>
        <v xml:space="preserve">RANGKA DINDING </v>
      </c>
      <c r="D678" s="587"/>
      <c r="E678" s="1040"/>
      <c r="F678" s="1004">
        <f>VLOOKUP(C678,'Penutup Lantai dan Dinding'!$D$3:$J$2044,7,FALSE)</f>
        <v>0</v>
      </c>
      <c r="G678" s="36">
        <f>VLOOKUP(C678,'Penutup Lantai dan Dinding'!$D$3:$K$2044,8,FALSE)</f>
        <v>0</v>
      </c>
      <c r="H678" s="374"/>
      <c r="I678" s="16"/>
    </row>
    <row r="679" spans="2:9" ht="24" customHeight="1">
      <c r="B679" s="1037" t="str">
        <f>'Penutup Lantai dan Dinding'!C1988</f>
        <v>3.10.6.1</v>
      </c>
      <c r="C679" s="1097" t="str">
        <f>VLOOKUP(B679,'Penutup Lantai dan Dinding'!C:K,2,FALSE)</f>
        <v>Pemasangan 1 m2 rangka besi hollow galvanis 40x40 mm, modul 60x120 cm, untuk partisi</v>
      </c>
      <c r="D679" s="176" t="s">
        <v>62</v>
      </c>
      <c r="E679" s="1038">
        <f>VLOOKUP(C679,'Penutup Lantai dan Dinding'!$D$3:$I$2044,6,FALSE)</f>
        <v>58100</v>
      </c>
      <c r="F679" s="1003">
        <f>VLOOKUP(C679,'Penutup Lantai dan Dinding'!$D$3:$J$2044,7,FALSE)</f>
        <v>0</v>
      </c>
      <c r="G679" s="12">
        <f>VLOOKUP(C679,'Penutup Lantai dan Dinding'!$D$3:$K$2044,8,FALSE)</f>
        <v>0</v>
      </c>
      <c r="H679" s="374"/>
      <c r="I679" s="16"/>
    </row>
    <row r="680" spans="2:9" ht="24" customHeight="1">
      <c r="B680" s="1037" t="str">
        <f>'Penutup Lantai dan Dinding'!C2007</f>
        <v>3.10.6.2</v>
      </c>
      <c r="C680" s="1097" t="str">
        <f>VLOOKUP(B680,'Penutup Lantai dan Dinding'!C:K,2,FALSE)</f>
        <v>Pemasangan 1 m2 rangka dinding pemisah 60x120 cm kayu kelas II atau III</v>
      </c>
      <c r="D680" s="176" t="s">
        <v>62</v>
      </c>
      <c r="E680" s="1038">
        <f>VLOOKUP(C680,'Penutup Lantai dan Dinding'!$D$3:$I$2044,6,FALSE)</f>
        <v>91100</v>
      </c>
      <c r="F680" s="1003" t="str">
        <f>VLOOKUP(C680,'Penutup Lantai dan Dinding'!$D$3:$J$2044,7,FALSE)</f>
        <v>Revisi</v>
      </c>
      <c r="G680" s="12" t="str">
        <f>VLOOKUP(C680,'Penutup Lantai dan Dinding'!$D$3:$K$2044,8,FALSE)</f>
        <v xml:space="preserve">Tidak ada Perubahan koefisien, tapi perubahan di bahan paku jadi paku 5dan 7 cm </v>
      </c>
      <c r="H680" s="374"/>
      <c r="I680" s="16"/>
    </row>
    <row r="681" spans="2:9" ht="24" customHeight="1">
      <c r="B681" s="1037" t="str">
        <f>'Penutup Lantai dan Dinding'!C2026</f>
        <v>3.10.6.3</v>
      </c>
      <c r="C681" s="1097" t="str">
        <f>VLOOKUP(B681,'Penutup Lantai dan Dinding'!C:K,2,FALSE)</f>
        <v>Pemasangan 1 m2 Rangka Besi Hollow Galvanis 20x40 mm</v>
      </c>
      <c r="D681" s="176" t="s">
        <v>62</v>
      </c>
      <c r="E681" s="1038">
        <f>VLOOKUP(C681,'Penutup Lantai dan Dinding'!$D$3:$I$2044,6,FALSE)</f>
        <v>44900</v>
      </c>
      <c r="F681" s="1003">
        <f>VLOOKUP(C681,'Penutup Lantai dan Dinding'!$D$3:$J$2044,7,FALSE)</f>
        <v>0</v>
      </c>
      <c r="G681" s="12">
        <f>VLOOKUP(C681,'Penutup Lantai dan Dinding'!$D$3:$K$2044,8,FALSE)</f>
        <v>0</v>
      </c>
      <c r="H681" s="374"/>
      <c r="I681" s="16"/>
    </row>
    <row r="682" spans="2:9" ht="24" customHeight="1">
      <c r="B682" s="1044" t="str">
        <f>'Pintu dan Jendela'!C3</f>
        <v>3.11</v>
      </c>
      <c r="C682" s="1002" t="str">
        <f>VLOOKUP(B682,'Pintu dan Jendela'!C:K,2,FALSE)</f>
        <v>PEKERJAAN PINTU DAN JENDELA</v>
      </c>
      <c r="D682" s="995"/>
      <c r="E682" s="1026"/>
      <c r="F682" s="1007"/>
      <c r="G682" s="30"/>
      <c r="H682" s="374"/>
      <c r="I682" s="16"/>
    </row>
    <row r="683" spans="2:9" ht="24" customHeight="1">
      <c r="B683" s="1043" t="str">
        <f>'Pintu dan Jendela'!C4</f>
        <v>3.11.1</v>
      </c>
      <c r="C683" s="1001" t="str">
        <f>VLOOKUP(B683,'Pintu dan Jendela'!C:K,2,FALSE)</f>
        <v xml:space="preserve">Pintu </v>
      </c>
      <c r="D683" s="994"/>
      <c r="E683" s="1027"/>
      <c r="F683" s="1004"/>
      <c r="G683" s="36"/>
      <c r="H683" s="374"/>
      <c r="I683" s="16"/>
    </row>
    <row r="684" spans="2:9" ht="24" customHeight="1">
      <c r="B684" s="1033" t="str">
        <f>'Pintu dan Jendela'!C5</f>
        <v>3.11.1.1</v>
      </c>
      <c r="C684" s="39" t="str">
        <f>VLOOKUP(B684,'Pintu dan Jendela'!C:K,2,FALSE)</f>
        <v>Pemasangan 1 m2 rolling door besi</v>
      </c>
      <c r="D684" s="9" t="s">
        <v>62</v>
      </c>
      <c r="E684" s="1021">
        <f>VLOOKUP(C684,'Pintu dan Jendela'!$D$3:$I$982,6,FALSE)</f>
        <v>586200</v>
      </c>
      <c r="F684" s="1003" t="str">
        <f>VLOOKUP(C684,'Pintu dan Jendela'!$D$3:$L$982,7,FALSE)</f>
        <v>Revisi</v>
      </c>
      <c r="G684" s="12" t="str">
        <f>VLOOKUP(C684,'Pintu dan Jendela'!$D$3:$M$982,8,FALSE)</f>
        <v>Perubahan semua koefisien Tenaga kerja dan penambahan Peralatan</v>
      </c>
      <c r="H684" s="374"/>
      <c r="I684" s="16"/>
    </row>
    <row r="685" spans="2:9" ht="24" customHeight="1">
      <c r="B685" s="1033" t="str">
        <f>'Pintu dan Jendela'!C23</f>
        <v>3.11.1.2</v>
      </c>
      <c r="C685" s="39" t="str">
        <f>VLOOKUP(B685,'Pintu dan Jendela'!C:K,2,FALSE)</f>
        <v>Pemasangan 1 m2 rolling door alumunium</v>
      </c>
      <c r="D685" s="9" t="s">
        <v>62</v>
      </c>
      <c r="E685" s="1021">
        <f>VLOOKUP(C685,'Pintu dan Jendela'!$D$3:$I$982,6,FALSE)</f>
        <v>680700</v>
      </c>
      <c r="F685" s="1003" t="str">
        <f>VLOOKUP(C685,'Pintu dan Jendela'!$D$3:$L$982,7,FALSE)</f>
        <v>Revisi</v>
      </c>
      <c r="G685" s="12" t="str">
        <f>VLOOKUP(C685,'Pintu dan Jendela'!$D$3:$M$982,8,FALSE)</f>
        <v xml:space="preserve">Perubahan di Koefisien Tenaga Kerja </v>
      </c>
      <c r="H685" s="374"/>
      <c r="I685" s="16"/>
    </row>
    <row r="686" spans="2:9" ht="24" customHeight="1">
      <c r="B686" s="1033" t="str">
        <f>'Pintu dan Jendela'!C40</f>
        <v>3.11.1.3</v>
      </c>
      <c r="C686" s="39" t="str">
        <f>VLOOKUP(B686,'Pintu dan Jendela'!C:K,2,FALSE)</f>
        <v>Pemasangan 1 m2 pintu lipat PVC</v>
      </c>
      <c r="D686" s="9" t="s">
        <v>62</v>
      </c>
      <c r="E686" s="1021">
        <f>VLOOKUP(C686,'Pintu dan Jendela'!$D$3:$I$982,6,FALSE)</f>
        <v>16000</v>
      </c>
      <c r="F686" s="1003" t="str">
        <f>VLOOKUP(C686,'Pintu dan Jendela'!$D$3:$L$982,7,FALSE)</f>
        <v>Revisi</v>
      </c>
      <c r="G686" s="12" t="str">
        <f>VLOOKUP(C686,'Pintu dan Jendela'!$D$3:$M$982,8,FALSE)</f>
        <v xml:space="preserve">Perubahan di Koefisien Tenaga Kerja </v>
      </c>
      <c r="H686" s="374"/>
      <c r="I686" s="16"/>
    </row>
    <row r="687" spans="2:9" ht="24" customHeight="1">
      <c r="B687" s="1033" t="str">
        <f>'Pintu dan Jendela'!C57</f>
        <v>3.11.1.4</v>
      </c>
      <c r="C687" s="1159" t="str">
        <f>VLOOKUP(B687,'Pintu dan Jendela'!C:K,2,FALSE)</f>
        <v>Pemasangan 1 m2 pintu aluminium strip lebar 8 cm</v>
      </c>
      <c r="D687" s="9" t="s">
        <v>62</v>
      </c>
      <c r="E687" s="1021">
        <f>VLOOKUP(C687,'Pintu dan Jendela'!$D$3:$I$982,6,FALSE)</f>
        <v>1200600</v>
      </c>
      <c r="F687" s="1003">
        <f>VLOOKUP(C687,'Pintu dan Jendela'!$D$3:$L$982,7,FALSE)</f>
        <v>0</v>
      </c>
      <c r="G687" s="12">
        <f>VLOOKUP(C687,'Pintu dan Jendela'!$D$3:$M$982,8,FALSE)</f>
        <v>0</v>
      </c>
      <c r="H687" s="374"/>
      <c r="I687" s="16"/>
    </row>
    <row r="688" spans="2:9" ht="24" customHeight="1">
      <c r="B688" s="1033" t="str">
        <f>'Pintu dan Jendela'!C75</f>
        <v>3.11.1.5</v>
      </c>
      <c r="C688" s="39" t="str">
        <f>VLOOKUP(B688,'Pintu dan Jendela'!C:K,2,FALSE)</f>
        <v>Pemasangan 1 m2 pintu kaca Tebal 6 mm rangka aluminium</v>
      </c>
      <c r="D688" s="9" t="s">
        <v>62</v>
      </c>
      <c r="E688" s="1021">
        <f>VLOOKUP(C688,'Pintu dan Jendela'!$D$3:$I$982,6,FALSE)</f>
        <v>43000</v>
      </c>
      <c r="F688" s="1003" t="str">
        <f>VLOOKUP(C688,'Pintu dan Jendela'!$D$3:$L$982,7,FALSE)</f>
        <v>Revisi</v>
      </c>
      <c r="G688" s="12" t="str">
        <f>VLOOKUP(C688,'Pintu dan Jendela'!$D$3:$M$982,8,FALSE)</f>
        <v xml:space="preserve">Tidak ada perubahan Koefisien hanya  penambahan judul "kaca tebal 6 mm" dan perubahan nama  bahan saja </v>
      </c>
      <c r="H688" s="374"/>
      <c r="I688" s="16"/>
    </row>
    <row r="689" spans="2:9" ht="24" customHeight="1">
      <c r="B689" s="1033" t="str">
        <f>'Pintu dan Jendela'!C94</f>
        <v>3.11.1.6</v>
      </c>
      <c r="C689" s="39" t="str">
        <f>VLOOKUP(B689,'Pintu dan Jendela'!C:K,2,FALSE)</f>
        <v>Pemasangan 1 m2 jendela kacaTebal 6 mm  rangka aluminium</v>
      </c>
      <c r="D689" s="9" t="s">
        <v>62</v>
      </c>
      <c r="E689" s="1021">
        <f>VLOOKUP(C689,'Pintu dan Jendela'!$D$3:$I$982,6,FALSE)</f>
        <v>43000</v>
      </c>
      <c r="F689" s="1003" t="str">
        <f>VLOOKUP(C689,'Pintu dan Jendela'!$D$3:$L$982,7,FALSE)</f>
        <v>Revisi</v>
      </c>
      <c r="G689" s="12" t="str">
        <f>VLOOKUP(C689,'Pintu dan Jendela'!$D$3:$M$982,8,FALSE)</f>
        <v xml:space="preserve">Tidak ada perubahan Koefisien hanya  penambahan judul "kaca tebal 6 mm" dan perubahan nama  bahan saja </v>
      </c>
      <c r="H689" s="374"/>
      <c r="I689" s="16"/>
    </row>
    <row r="690" spans="2:9" ht="24" customHeight="1">
      <c r="B690" s="1033" t="str">
        <f>'Pintu dan Jendela'!C113</f>
        <v>3.11.1.7</v>
      </c>
      <c r="C690" s="39" t="str">
        <f>VLOOKUP(B690,'Pintu dan Jendela'!C:K,2,FALSE)</f>
        <v>Pembuatan dan pemasangan 1 m2 pintu klamp standar, kayu kelas II</v>
      </c>
      <c r="D690" s="9" t="s">
        <v>62</v>
      </c>
      <c r="E690" s="1021" t="e">
        <f>VLOOKUP(C690,'Pintu dan Jendela'!$D$3:$I$982,6,FALSE)</f>
        <v>#VALUE!</v>
      </c>
      <c r="F690" s="1003">
        <f>VLOOKUP(C690,'Pintu dan Jendela'!$D$3:$L$982,7,FALSE)</f>
        <v>0</v>
      </c>
      <c r="G690" s="12">
        <f>VLOOKUP(C690,'Pintu dan Jendela'!$D$3:$M$982,8,FALSE)</f>
        <v>0</v>
      </c>
      <c r="H690" s="374"/>
      <c r="I690" s="16"/>
    </row>
    <row r="691" spans="2:9" ht="24" customHeight="1">
      <c r="B691" s="1033" t="str">
        <f>'Pintu dan Jendela'!C131</f>
        <v>3.11.1.8</v>
      </c>
      <c r="C691" s="39" t="str">
        <f>VLOOKUP(B691,'Pintu dan Jendela'!C:K,2,FALSE)</f>
        <v>Pembuatan dan pemasangan 1 m2 pintu klamp sederhana, kayu kelas III</v>
      </c>
      <c r="D691" s="9" t="s">
        <v>62</v>
      </c>
      <c r="E691" s="1021">
        <f>VLOOKUP(C691,'Pintu dan Jendela'!$D$3:$I$982,6,FALSE)</f>
        <v>357600</v>
      </c>
      <c r="F691" s="1003" t="str">
        <f>VLOOKUP(C691,'Pintu dan Jendela'!$D$3:$L$982,7,FALSE)</f>
        <v xml:space="preserve">Revisi </v>
      </c>
      <c r="G691" s="12" t="str">
        <f>VLOOKUP(C691,'Pintu dan Jendela'!$D$3:$M$982,8,FALSE)</f>
        <v>Tidak ada perubahan koefisien hanya bahan paku 2 inch jadi paku 5 - 7 cm</v>
      </c>
      <c r="H691" s="374"/>
      <c r="I691" s="16"/>
    </row>
    <row r="692" spans="2:9" ht="24" customHeight="1">
      <c r="B692" s="1033" t="str">
        <f>'Pintu dan Jendela'!C149</f>
        <v>3.11.1.9</v>
      </c>
      <c r="C692" s="39" t="str">
        <f>VLOOKUP(B692,'Pintu dan Jendela'!C:K,2,FALSE)</f>
        <v>Pembuatan 1 m2 pintu dan jendela kaca, kayu kelas I atau II</v>
      </c>
      <c r="D692" s="9" t="s">
        <v>62</v>
      </c>
      <c r="E692" s="1021" t="e">
        <f>VLOOKUP(C692,'Pintu dan Jendela'!$D$3:$I$982,6,FALSE)</f>
        <v>#VALUE!</v>
      </c>
      <c r="F692" s="1003" t="str">
        <f>VLOOKUP(C692,'Pintu dan Jendela'!$D$3:$L$982,7,FALSE)</f>
        <v>Revisi</v>
      </c>
      <c r="G692" s="12" t="str">
        <f>VLOOKUP(C692,'Pintu dan Jendela'!$D$3:$M$982,8,FALSE)</f>
        <v>Perubahan koefisien Kayu Papan kelas II 0,040 jadi 0,024</v>
      </c>
      <c r="H692" s="374"/>
      <c r="I692" s="16"/>
    </row>
    <row r="693" spans="2:9" ht="24" customHeight="1">
      <c r="B693" s="1033" t="str">
        <f>'Pintu dan Jendela'!C167</f>
        <v>3.11.1.10</v>
      </c>
      <c r="C693" s="39" t="str">
        <f>VLOOKUP(B693,'Pintu dan Jendela'!C:K,2,FALSE)</f>
        <v>Pembuatan 1 m2 pintu dan jendela jalusi, kayu kelas I atau II</v>
      </c>
      <c r="D693" s="9" t="s">
        <v>62</v>
      </c>
      <c r="E693" s="1021" t="e">
        <f>VLOOKUP(C693,'Pintu dan Jendela'!$D$3:$I$982,6,FALSE)</f>
        <v>#VALUE!</v>
      </c>
      <c r="F693" s="1003">
        <f>VLOOKUP(C693,'Pintu dan Jendela'!$D$3:$L$982,7,FALSE)</f>
        <v>0</v>
      </c>
      <c r="G693" s="12">
        <f>VLOOKUP(C693,'Pintu dan Jendela'!$D$3:$M$982,8,FALSE)</f>
        <v>0</v>
      </c>
      <c r="H693" s="374"/>
      <c r="I693" s="16"/>
    </row>
    <row r="694" spans="2:9" ht="24" customHeight="1">
      <c r="B694" s="1033" t="str">
        <f>'Pintu dan Jendela'!C185</f>
        <v>3.11.1.11</v>
      </c>
      <c r="C694" s="39" t="str">
        <f>VLOOKUP(B694,'Pintu dan Jendela'!C:K,2,FALSE)</f>
        <v>Pembuatan 1 m2 daun pintu panel, kayu kelas I atau II</v>
      </c>
      <c r="D694" s="9" t="s">
        <v>62</v>
      </c>
      <c r="E694" s="1021" t="e">
        <f>VLOOKUP(C694,'Pintu dan Jendela'!$D$3:$I$982,6,FALSE)</f>
        <v>#VALUE!</v>
      </c>
      <c r="F694" s="1003">
        <f>VLOOKUP(C694,'Pintu dan Jendela'!$D$3:$L$982,7,FALSE)</f>
        <v>0</v>
      </c>
      <c r="G694" s="12">
        <f>VLOOKUP(C694,'Pintu dan Jendela'!$D$3:$M$982,8,FALSE)</f>
        <v>0</v>
      </c>
      <c r="H694" s="374"/>
      <c r="I694" s="16"/>
    </row>
    <row r="695" spans="2:9" ht="24" customHeight="1">
      <c r="B695" s="1033" t="str">
        <f>'Pintu dan Jendela'!C203</f>
        <v>3.11.1.12</v>
      </c>
      <c r="C695" s="39" t="str">
        <f>VLOOKUP(B695,'Pintu dan Jendela'!C:K,2,FALSE)</f>
        <v>Pembuatan 1 m2 daun pintu plywood rangkap, rangka kayu kelas II tertutup (lebar s.d. 90 cm)</v>
      </c>
      <c r="D695" s="9" t="s">
        <v>62</v>
      </c>
      <c r="E695" s="1021" t="e">
        <f>VLOOKUP(C695,'Pintu dan Jendela'!$D$3:$I$982,6,FALSE)</f>
        <v>#VALUE!</v>
      </c>
      <c r="F695" s="1003">
        <f>VLOOKUP(C695,'Pintu dan Jendela'!$D$3:$L$982,7,FALSE)</f>
        <v>0</v>
      </c>
      <c r="G695" s="12">
        <f>VLOOKUP(C695,'Pintu dan Jendela'!$D$3:$M$982,8,FALSE)</f>
        <v>0</v>
      </c>
      <c r="H695" s="374"/>
      <c r="I695" s="16"/>
    </row>
    <row r="696" spans="2:9" ht="24" customHeight="1">
      <c r="B696" s="1033" t="str">
        <f>'Pintu dan Jendela'!C223</f>
        <v>3.11.1.13</v>
      </c>
      <c r="C696" s="39" t="str">
        <f>VLOOKUP(B696,'Pintu dan Jendela'!C:K,2,FALSE)</f>
        <v>Pembuatan 1 m2 daun pintu plywood rangkap, rangka expose kayu kelas I atau II</v>
      </c>
      <c r="D696" s="9" t="s">
        <v>62</v>
      </c>
      <c r="E696" s="1021" t="e">
        <f>VLOOKUP(C696,'Pintu dan Jendela'!$D$3:$I$982,6,FALSE)</f>
        <v>#VALUE!</v>
      </c>
      <c r="F696" s="1003">
        <f>VLOOKUP(C696,'Pintu dan Jendela'!$D$3:$L$982,7,FALSE)</f>
        <v>0</v>
      </c>
      <c r="G696" s="12">
        <f>VLOOKUP(C696,'Pintu dan Jendela'!$D$3:$M$982,8,FALSE)</f>
        <v>0</v>
      </c>
      <c r="H696" s="374"/>
      <c r="I696" s="16"/>
    </row>
    <row r="697" spans="2:9" ht="24" customHeight="1">
      <c r="B697" s="1033" t="str">
        <f>'Pintu dan Jendela'!C243</f>
        <v>3.11.1.14</v>
      </c>
      <c r="C697" s="39" t="str">
        <f>VLOOKUP(B697,'Pintu dan Jendela'!C:K,2,FALSE)</f>
        <v xml:space="preserve">Pembuatan dan pemasangan 1 buah pintu panel kayu lapis timbal di tengah (khusus RS/Laboratorium/R.Radiologi) </v>
      </c>
      <c r="D697" s="9" t="s">
        <v>62</v>
      </c>
      <c r="E697" s="1021">
        <f>VLOOKUP(C697,'Pintu dan Jendela'!$D$3:$I$982,6,FALSE)</f>
        <v>781700</v>
      </c>
      <c r="F697" s="1003">
        <f>VLOOKUP(C697,'Pintu dan Jendela'!$D$3:$L$982,7,FALSE)</f>
        <v>0</v>
      </c>
      <c r="G697" s="12">
        <f>VLOOKUP(C697,'Pintu dan Jendela'!$D$3:$M$982,8,FALSE)</f>
        <v>0</v>
      </c>
      <c r="H697" s="374"/>
      <c r="I697" s="16"/>
    </row>
    <row r="698" spans="2:9" ht="24" customHeight="1">
      <c r="B698" s="1033" t="str">
        <f>'Pintu dan Jendela'!C260</f>
        <v>3.11.1.15</v>
      </c>
      <c r="C698" s="39" t="str">
        <f>VLOOKUP(B698,'Pintu dan Jendela'!C:K,2,FALSE)</f>
        <v xml:space="preserve">Pembuatan dan pemasangan 1 m2 pintu besi pelat baja tebal 2 mm rangkap, rangka baja siku </v>
      </c>
      <c r="D698" s="9" t="s">
        <v>62</v>
      </c>
      <c r="E698" s="1021">
        <f>VLOOKUP(C698,'Pintu dan Jendela'!$D$3:$I$982,6,FALSE)</f>
        <v>298500</v>
      </c>
      <c r="F698" s="1003">
        <f>VLOOKUP(C698,'Pintu dan Jendela'!$D$3:$L$982,7,FALSE)</f>
        <v>0</v>
      </c>
      <c r="G698" s="12">
        <f>VLOOKUP(C698,'Pintu dan Jendela'!$D$3:$M$982,8,FALSE)</f>
        <v>0</v>
      </c>
      <c r="H698" s="374"/>
      <c r="I698" s="16"/>
    </row>
    <row r="699" spans="2:9" ht="24" customHeight="1">
      <c r="B699" s="1033" t="str">
        <f>'Pintu dan Jendela'!C279</f>
        <v>3.11.1.16</v>
      </c>
      <c r="C699" s="39" t="str">
        <f>VLOOKUP(B699,'Pintu dan Jendela'!C:K,2,FALSE)</f>
        <v>Pemasangan 1 buah pintu besi tahan api</v>
      </c>
      <c r="D699" s="9" t="s">
        <v>62</v>
      </c>
      <c r="E699" s="1021">
        <f>VLOOKUP(C699,'Pintu dan Jendela'!$D$3:$I$982,6,FALSE)</f>
        <v>9242300</v>
      </c>
      <c r="F699" s="1003">
        <f>VLOOKUP(C699,'Pintu dan Jendela'!$D$3:$L$982,7,FALSE)</f>
        <v>0</v>
      </c>
      <c r="G699" s="12">
        <f>VLOOKUP(C699,'Pintu dan Jendela'!$D$3:$M$982,8,FALSE)</f>
        <v>0</v>
      </c>
      <c r="H699" s="374"/>
      <c r="I699" s="16"/>
    </row>
    <row r="700" spans="2:9" ht="24" customHeight="1">
      <c r="B700" s="1033" t="str">
        <f>'Pintu dan Jendela'!C296</f>
        <v>3.11.1.17</v>
      </c>
      <c r="C700" s="39" t="str">
        <f>VLOOKUP(B700,'Pintu dan Jendela'!C:K,2,FALSE)</f>
        <v>Pemasangan 1 m2 pintu engineering wood</v>
      </c>
      <c r="D700" s="9" t="s">
        <v>62</v>
      </c>
      <c r="E700" s="1021">
        <f>VLOOKUP(C700,'Pintu dan Jendela'!$D$3:$I$982,6,FALSE)</f>
        <v>952600</v>
      </c>
      <c r="F700" s="1003">
        <f>VLOOKUP(C700,'Pintu dan Jendela'!$D$3:$L$982,7,FALSE)</f>
        <v>0</v>
      </c>
      <c r="G700" s="12">
        <f>VLOOKUP(C700,'Pintu dan Jendela'!$D$3:$M$982,8,FALSE)</f>
        <v>0</v>
      </c>
      <c r="H700" s="374"/>
      <c r="I700" s="16"/>
    </row>
    <row r="701" spans="2:9" ht="24" customHeight="1">
      <c r="B701" s="1033" t="str">
        <f>'Pintu dan Jendela'!C316</f>
        <v>3.11.1.18</v>
      </c>
      <c r="C701" s="39" t="str">
        <f>VLOOKUP(B701,'Pintu dan Jendela'!C:K,2,FALSE)</f>
        <v xml:space="preserve">Pemasangan 1 buah Pintu uPVC lebar 80 cm lengkap dengan aksesoris </v>
      </c>
      <c r="D701" s="9" t="s">
        <v>62</v>
      </c>
      <c r="E701" s="1021">
        <f>VLOOKUP(C701,'Pintu dan Jendela'!$D$3:$I$982,6,FALSE)</f>
        <v>46900</v>
      </c>
      <c r="F701" s="1003">
        <f>VLOOKUP(C701,'Pintu dan Jendela'!$D$3:$L$982,7,FALSE)</f>
        <v>0</v>
      </c>
      <c r="G701" s="12">
        <f>VLOOKUP(C701,'Pintu dan Jendela'!$D$3:$M$982,8,FALSE)</f>
        <v>0</v>
      </c>
      <c r="H701" s="374"/>
      <c r="I701" s="16"/>
    </row>
    <row r="702" spans="2:9" ht="24" customHeight="1">
      <c r="B702" s="1033" t="str">
        <f>'Pintu dan Jendela'!C333</f>
        <v>3.11.1.19</v>
      </c>
      <c r="C702" s="39" t="str">
        <f>VLOOKUP(B702,'Pintu dan Jendela'!C:K,2,FALSE)</f>
        <v xml:space="preserve">Pemasangan 1 buah Pintu uPVC lebar 70 cm lengkap dengan aksesoris </v>
      </c>
      <c r="D702" s="9" t="s">
        <v>62</v>
      </c>
      <c r="E702" s="1021">
        <f>VLOOKUP(C702,'Pintu dan Jendela'!$D$3:$I$982,6,FALSE)</f>
        <v>46900</v>
      </c>
      <c r="F702" s="1003">
        <f>VLOOKUP(C702,'Pintu dan Jendela'!$D$3:$L$982,7,FALSE)</f>
        <v>0</v>
      </c>
      <c r="G702" s="12">
        <f>VLOOKUP(C702,'Pintu dan Jendela'!$D$3:$M$982,8,FALSE)</f>
        <v>0</v>
      </c>
      <c r="H702" s="374"/>
      <c r="I702" s="16"/>
    </row>
    <row r="703" spans="2:9" ht="24" customHeight="1">
      <c r="B703" s="1043" t="str">
        <f>'Pintu dan Jendela'!C350</f>
        <v>3.11.2</v>
      </c>
      <c r="C703" s="1001" t="str">
        <f>VLOOKUP(B703,'Pintu dan Jendela'!C:K,2,FALSE)</f>
        <v xml:space="preserve">JENDELA </v>
      </c>
      <c r="D703" s="994"/>
      <c r="E703" s="1027"/>
      <c r="F703" s="1004">
        <f>VLOOKUP(C703,'Pintu dan Jendela'!$D$3:$L$982,7,FALSE)</f>
        <v>0</v>
      </c>
      <c r="G703" s="36">
        <f>VLOOKUP(C703,'Pintu dan Jendela'!$D$3:$M$982,8,FALSE)</f>
        <v>0</v>
      </c>
      <c r="H703" s="374"/>
      <c r="I703" s="16"/>
    </row>
    <row r="704" spans="2:9" ht="24" customHeight="1">
      <c r="B704" s="1037" t="str">
        <f>'Pintu dan Jendela'!C351</f>
        <v>3.11.2.1</v>
      </c>
      <c r="C704" s="1097" t="str">
        <f>VLOOKUP(B704,'Pintu dan Jendela'!C:K,2,FALSE)</f>
        <v xml:space="preserve">Pemasangan 1 m2 Jendela Kaca Tebal 5 mm Nako Aluminium </v>
      </c>
      <c r="D704" s="176" t="s">
        <v>62</v>
      </c>
      <c r="E704" s="1038">
        <f>VLOOKUP(C704,'Pintu dan Jendela'!$D$3:$I$982,6,FALSE)</f>
        <v>366600</v>
      </c>
      <c r="F704" s="1003" t="str">
        <f>VLOOKUP(C704,'Pintu dan Jendela'!$D$3:$L$982,7,FALSE)</f>
        <v>Revisi</v>
      </c>
      <c r="G704" s="12" t="str">
        <f>VLOOKUP(C704,'Pintu dan Jendela'!$D$3:$M$982,8,FALSE)</f>
        <v>tidak ada perubahan koefisien ,Penambahan Judul "Kaca tebal 5 mm" dan penambhan uraian nama bahan</v>
      </c>
      <c r="H704" s="374"/>
      <c r="I704" s="16"/>
    </row>
    <row r="705" spans="2:9" ht="24" customHeight="1">
      <c r="B705" s="1037" t="str">
        <f>'Pintu dan Jendela'!C369</f>
        <v>3.11.2.2</v>
      </c>
      <c r="C705" s="1097" t="str">
        <f>VLOOKUP(B705,'Pintu dan Jendela'!C:K,2,FALSE)</f>
        <v>Pemasangan 1 m2 jendela Kaca Tebal 5 mm nako dan tralis</v>
      </c>
      <c r="D705" s="176" t="s">
        <v>2167</v>
      </c>
      <c r="E705" s="1038">
        <f>VLOOKUP(C705,'Pintu dan Jendela'!$D$3:$I$982,6,FALSE)</f>
        <v>366600</v>
      </c>
      <c r="F705" s="1003" t="str">
        <f>VLOOKUP(C705,'Pintu dan Jendela'!$D$3:$L$982,7,FALSE)</f>
        <v>Revisi</v>
      </c>
      <c r="G705" s="12" t="str">
        <f>VLOOKUP(C705,'Pintu dan Jendela'!$D$3:$M$982,8,FALSE)</f>
        <v>tidak ada perubahan koefisien ,Penambahan Judul "Kaca tebal 5 mm" dan penambhan uraian nama bahan</v>
      </c>
      <c r="H705" s="374"/>
      <c r="I705" s="16"/>
    </row>
    <row r="706" spans="2:9" ht="24" customHeight="1">
      <c r="B706" s="1037" t="str">
        <f>'Pintu dan Jendela'!C406</f>
        <v>3.11.2.4</v>
      </c>
      <c r="C706" s="1097" t="str">
        <f>VLOOKUP(B706,'Pintu dan Jendela'!C:K,2,FALSE)</f>
        <v>Pemasangan 1 buah Jendela Kaca Upvc 1 daun ukuran 0,79 x 1,30 m</v>
      </c>
      <c r="D706" s="176" t="s">
        <v>2167</v>
      </c>
      <c r="E706" s="1038">
        <f>VLOOKUP(C706,'Pintu dan Jendela'!$D$3:$I$982,6,FALSE)</f>
        <v>2223300</v>
      </c>
      <c r="F706" s="1003">
        <f>VLOOKUP(C706,'Pintu dan Jendela'!$D$3:$L$982,7,FALSE)</f>
        <v>0</v>
      </c>
      <c r="G706" s="12">
        <f>VLOOKUP(C706,'Pintu dan Jendela'!$D$3:$M$982,8,FALSE)</f>
        <v>0</v>
      </c>
      <c r="H706" s="374"/>
      <c r="I706" s="16"/>
    </row>
    <row r="707" spans="2:9" ht="24" customHeight="1">
      <c r="B707" s="1046" t="str">
        <f>'Pintu dan Jendela'!C424</f>
        <v xml:space="preserve">3.11.3 </v>
      </c>
      <c r="C707" s="1096" t="str">
        <f>VLOOKUP(B707,'Pintu dan Jendela'!C:K,2,FALSE)</f>
        <v xml:space="preserve">Kusen Pintu dan Jendela </v>
      </c>
      <c r="D707" s="587"/>
      <c r="E707" s="1040"/>
      <c r="F707" s="1003">
        <f>VLOOKUP(C707,'Pintu dan Jendela'!$D$3:$L$982,7,FALSE)</f>
        <v>0</v>
      </c>
      <c r="G707" s="12">
        <f>VLOOKUP(C707,'Pintu dan Jendela'!$D$3:$M$982,8,FALSE)</f>
        <v>0</v>
      </c>
      <c r="H707" s="374"/>
      <c r="I707" s="16"/>
    </row>
    <row r="708" spans="2:9" ht="24" customHeight="1">
      <c r="B708" s="1033" t="str">
        <f>'Pintu dan Jendela'!C425</f>
        <v>3.11.3.1</v>
      </c>
      <c r="C708" s="39" t="str">
        <f>VLOOKUP(B708,'Pintu dan Jendela'!C:K,2,FALSE)</f>
        <v>Pemasangan 1 m' kusen aluminium</v>
      </c>
      <c r="D708" s="9"/>
      <c r="E708" s="1021">
        <f>VLOOKUP(C708,'Pintu dan Jendela'!$D$3:$I$982,6,FALSE)</f>
        <v>125600</v>
      </c>
      <c r="F708" s="1003">
        <f>VLOOKUP(C708,'Pintu dan Jendela'!$D$3:$L$982,7,FALSE)</f>
        <v>0</v>
      </c>
      <c r="G708" s="12">
        <f>VLOOKUP(C708,'Pintu dan Jendela'!$D$3:$M$982,8,FALSE)</f>
        <v>0</v>
      </c>
      <c r="H708" s="374"/>
      <c r="I708" s="16"/>
    </row>
    <row r="709" spans="2:9" ht="24" customHeight="1">
      <c r="B709" s="1033" t="str">
        <f>'Pintu dan Jendela'!C444</f>
        <v>3.11.3.2</v>
      </c>
      <c r="C709" s="39" t="str">
        <f>VLOOKUP(B709,'Pintu dan Jendela'!C:K,2,FALSE)</f>
        <v>Pembuatan dan pemasangan 1 m’ kusen pintu dan kusen jendela, kayu kelas I uk. 6x12 cm</v>
      </c>
      <c r="D709" s="9" t="s">
        <v>113</v>
      </c>
      <c r="E709" s="1021" t="e">
        <f>VLOOKUP(C709,'Pintu dan Jendela'!$D$3:$I$982,6,FALSE)</f>
        <v>#VALUE!</v>
      </c>
      <c r="F709" s="1003">
        <f>VLOOKUP(C709,'Pintu dan Jendela'!$D$3:$L$982,7,FALSE)</f>
        <v>0</v>
      </c>
      <c r="G709" s="12">
        <f>VLOOKUP(C709,'Pintu dan Jendela'!$D$3:$M$982,8,FALSE)</f>
        <v>0</v>
      </c>
      <c r="H709" s="374"/>
      <c r="I709" s="16"/>
    </row>
    <row r="710" spans="2:9" ht="24" customHeight="1">
      <c r="B710" s="1033" t="str">
        <f>'Pintu dan Jendela'!C463</f>
        <v>3.11.3.3</v>
      </c>
      <c r="C710" s="39" t="str">
        <f>VLOOKUP(B710,'Pintu dan Jendela'!C:K,2,FALSE)</f>
        <v>Pembuatan dan pemasangan 1 m’ kusen pintu dan kusen jendela, kayu kelas I uk. 6x15 cm</v>
      </c>
      <c r="D710" s="9" t="s">
        <v>113</v>
      </c>
      <c r="E710" s="1021">
        <f>VLOOKUP(C710,'Pintu dan Jendela'!$D$3:$I$982,6,FALSE)</f>
        <v>60600</v>
      </c>
      <c r="F710" s="1003">
        <f>VLOOKUP(C710,'Pintu dan Jendela'!$D$3:$L$982,7,FALSE)</f>
        <v>0</v>
      </c>
      <c r="G710" s="12">
        <f>VLOOKUP(C710,'Pintu dan Jendela'!$D$3:$M$982,8,FALSE)</f>
        <v>0</v>
      </c>
      <c r="H710" s="374"/>
      <c r="I710" s="16"/>
    </row>
    <row r="711" spans="2:9" ht="24" customHeight="1">
      <c r="B711" s="1033" t="str">
        <f>'Pintu dan Jendela'!C482</f>
        <v>3.11.3.4</v>
      </c>
      <c r="C711" s="39" t="str">
        <f>VLOOKUP(B711,'Pintu dan Jendela'!C:K,2,FALSE)</f>
        <v>Pembuatan dan pemasangan 1 m’ kusen pintu dan kusen jendela, kayu kelas II atau III uk. 6x12 cm</v>
      </c>
      <c r="D711" s="9" t="s">
        <v>113</v>
      </c>
      <c r="E711" s="1021">
        <f>VLOOKUP(C711,'Pintu dan Jendela'!$D$3:$I$982,6,FALSE)</f>
        <v>116400</v>
      </c>
      <c r="F711" s="1003">
        <f>VLOOKUP(C711,'Pintu dan Jendela'!$D$3:$L$982,7,FALSE)</f>
        <v>0</v>
      </c>
      <c r="G711" s="12">
        <f>VLOOKUP(C711,'Pintu dan Jendela'!$D$3:$M$982,8,FALSE)</f>
        <v>0</v>
      </c>
      <c r="H711" s="374"/>
      <c r="I711" s="16"/>
    </row>
    <row r="712" spans="2:9" ht="24" customHeight="1">
      <c r="B712" s="1033" t="str">
        <f>'Pintu dan Jendela'!C501</f>
        <v>3.11.3.5</v>
      </c>
      <c r="C712" s="39" t="str">
        <f>VLOOKUP(B712,'Pintu dan Jendela'!C:K,2,FALSE)</f>
        <v>Pembuatan dan pemasangan 1 m’ kusen pintu dan kusen jendela, kayu kelas II atau III uk. 6x15 cm</v>
      </c>
      <c r="D712" s="9" t="s">
        <v>113</v>
      </c>
      <c r="E712" s="1021">
        <f>VLOOKUP(C712,'Pintu dan Jendela'!$D$3:$I$982,6,FALSE)</f>
        <v>60600</v>
      </c>
      <c r="F712" s="1003">
        <f>VLOOKUP(C712,'Pintu dan Jendela'!$D$3:$L$982,7,FALSE)</f>
        <v>0</v>
      </c>
      <c r="G712" s="12">
        <f>VLOOKUP(C712,'Pintu dan Jendela'!$D$3:$M$982,8,FALSE)</f>
        <v>0</v>
      </c>
      <c r="H712" s="374"/>
      <c r="I712" s="16"/>
    </row>
    <row r="713" spans="2:9" ht="24" customHeight="1">
      <c r="B713" s="1033" t="str">
        <f>'Pintu dan Jendela'!C520</f>
        <v>3.11.3.6</v>
      </c>
      <c r="C713" s="39" t="str">
        <f>VLOOKUP(B713,'Pintu dan Jendela'!C:K,2,FALSE)</f>
        <v>Pembuatan dan pemasangan 1 m2 jalusi kusen, kayu kelas I atau II</v>
      </c>
      <c r="D713" s="9" t="s">
        <v>62</v>
      </c>
      <c r="E713" s="1021" t="e">
        <f>VLOOKUP(C713,'Pintu dan Jendela'!$D$3:$I$982,6,FALSE)</f>
        <v>#VALUE!</v>
      </c>
      <c r="F713" s="1003">
        <f>VLOOKUP(C713,'Pintu dan Jendela'!$D$3:$L$982,7,FALSE)</f>
        <v>0</v>
      </c>
      <c r="G713" s="12">
        <f>VLOOKUP(C713,'Pintu dan Jendela'!$D$3:$M$982,8,FALSE)</f>
        <v>0</v>
      </c>
      <c r="H713" s="374"/>
      <c r="I713" s="16"/>
    </row>
    <row r="714" spans="2:9" ht="24" customHeight="1">
      <c r="B714" s="1033" t="str">
        <f>'Pintu dan Jendela'!C539</f>
        <v>3.11.3.7</v>
      </c>
      <c r="C714" s="39" t="str">
        <f>VLOOKUP(B714,'Pintu dan Jendela'!C:K,2,FALSE)</f>
        <v>Pemasangan 1 buah Jalusi Upvc</v>
      </c>
      <c r="D714" s="9" t="s">
        <v>2167</v>
      </c>
      <c r="E714" s="1021">
        <f>VLOOKUP(C714,'Pintu dan Jendela'!$D$3:$I$982,6,FALSE)</f>
        <v>15800</v>
      </c>
      <c r="F714" s="1003">
        <f>VLOOKUP(C714,'Pintu dan Jendela'!$D$3:$L$982,7,FALSE)</f>
        <v>0</v>
      </c>
      <c r="G714" s="12">
        <f>VLOOKUP(C714,'Pintu dan Jendela'!$D$3:$M$982,8,FALSE)</f>
        <v>0</v>
      </c>
      <c r="H714" s="374"/>
      <c r="I714" s="16"/>
    </row>
    <row r="715" spans="2:9" ht="24" customHeight="1">
      <c r="B715" s="1033" t="str">
        <f>'Pintu dan Jendela'!C557</f>
        <v>3.11.3.8</v>
      </c>
      <c r="C715" s="39" t="str">
        <f>VLOOKUP(B715,'Pintu dan Jendela'!C:K,2,FALSE)</f>
        <v>Pemasangan 1 buah Kusen Bovenlight uPVC</v>
      </c>
      <c r="D715" s="9" t="s">
        <v>2167</v>
      </c>
      <c r="E715" s="1021">
        <f>VLOOKUP(C715,'Pintu dan Jendela'!$D$3:$I$982,6,FALSE)</f>
        <v>15800</v>
      </c>
      <c r="F715" s="1003">
        <f>VLOOKUP(C715,'Pintu dan Jendela'!$D$3:$L$982,7,FALSE)</f>
        <v>0</v>
      </c>
      <c r="G715" s="12">
        <f>VLOOKUP(C715,'Pintu dan Jendela'!$D$3:$M$982,8,FALSE)</f>
        <v>0</v>
      </c>
      <c r="H715" s="374"/>
      <c r="I715" s="16"/>
    </row>
    <row r="716" spans="2:9" ht="24" customHeight="1">
      <c r="B716" s="1044" t="str">
        <f>'Pintu dan Jendela'!C575</f>
        <v>3.11.4</v>
      </c>
      <c r="C716" s="1002" t="str">
        <f>VLOOKUP(B716,'Pintu dan Jendela'!C:K,2,FALSE)</f>
        <v xml:space="preserve">AKSESORIS PINTU DA JENDELA </v>
      </c>
      <c r="D716" s="995"/>
      <c r="E716" s="1026"/>
      <c r="F716" s="1004">
        <f>VLOOKUP(C716,'Pintu dan Jendela'!$D$3:$L$982,7,FALSE)</f>
        <v>0</v>
      </c>
      <c r="G716" s="36">
        <f>VLOOKUP(C716,'Pintu dan Jendela'!$D$3:$M$982,8,FALSE)</f>
        <v>0</v>
      </c>
      <c r="H716" s="374"/>
      <c r="I716" s="16"/>
    </row>
    <row r="717" spans="2:9" ht="24" customHeight="1">
      <c r="B717" s="1033" t="str">
        <f>'Pintu dan Jendela'!C576</f>
        <v>3.11.4.1</v>
      </c>
      <c r="C717" s="39" t="str">
        <f>VLOOKUP(B717,'Pintu dan Jendela'!C:K,2,FALSE)</f>
        <v>Pemasangan 1 buah kunci tanam antik</v>
      </c>
      <c r="D717" s="9" t="s">
        <v>2167</v>
      </c>
      <c r="E717" s="1021">
        <f>VLOOKUP(C717,'Pintu dan Jendela'!$D$3:$I$982,6,FALSE)</f>
        <v>267800</v>
      </c>
      <c r="F717" s="1003">
        <f>VLOOKUP(C717,'Pintu dan Jendela'!$D$3:$L$982,7,FALSE)</f>
        <v>0</v>
      </c>
      <c r="G717" s="12">
        <f>VLOOKUP(C717,'Pintu dan Jendela'!$D$3:$M$982,8,FALSE)</f>
        <v>0</v>
      </c>
      <c r="H717" s="374"/>
      <c r="I717" s="16"/>
    </row>
    <row r="718" spans="2:9" ht="24" customHeight="1">
      <c r="B718" s="1033" t="str">
        <f>'Pintu dan Jendela'!C593</f>
        <v>3.11.4.2</v>
      </c>
      <c r="C718" s="39" t="str">
        <f>VLOOKUP(B718,'Pintu dan Jendela'!C:K,2,FALSE)</f>
        <v>Pemasangan 1 buah kunci tanam biasa</v>
      </c>
      <c r="D718" s="9" t="s">
        <v>2167</v>
      </c>
      <c r="E718" s="1021">
        <f>VLOOKUP(C718,'Pintu dan Jendela'!$D$3:$I$982,6,FALSE)</f>
        <v>158900</v>
      </c>
      <c r="F718" s="1003">
        <f>VLOOKUP(C718,'Pintu dan Jendela'!$D$3:$L$982,7,FALSE)</f>
        <v>0</v>
      </c>
      <c r="G718" s="12">
        <f>VLOOKUP(C718,'Pintu dan Jendela'!$D$3:$M$982,8,FALSE)</f>
        <v>0</v>
      </c>
      <c r="H718" s="374"/>
      <c r="I718" s="16"/>
    </row>
    <row r="719" spans="2:9" ht="24" customHeight="1">
      <c r="B719" s="1033" t="str">
        <f>'Pintu dan Jendela'!C610</f>
        <v>3.11.4.3</v>
      </c>
      <c r="C719" s="39" t="str">
        <f>VLOOKUP(B719,'Pintu dan Jendela'!C:K,2,FALSE)</f>
        <v>Pemasangan 1 buah kunci tanam kamar mandi</v>
      </c>
      <c r="D719" s="9" t="s">
        <v>2167</v>
      </c>
      <c r="E719" s="1021">
        <f>VLOOKUP(C719,'Pintu dan Jendela'!$D$3:$I$982,6,FALSE)</f>
        <v>137600</v>
      </c>
      <c r="F719" s="1003">
        <f>VLOOKUP(C719,'Pintu dan Jendela'!$D$3:$L$982,7,FALSE)</f>
        <v>0</v>
      </c>
      <c r="G719" s="12">
        <f>VLOOKUP(C719,'Pintu dan Jendela'!$D$3:$M$982,8,FALSE)</f>
        <v>0</v>
      </c>
      <c r="H719" s="374"/>
      <c r="I719" s="16"/>
    </row>
    <row r="720" spans="2:9" ht="24" customHeight="1">
      <c r="B720" s="1033" t="str">
        <f>'Pintu dan Jendela'!C627</f>
        <v>3.11.4.4</v>
      </c>
      <c r="C720" s="39" t="str">
        <f>VLOOKUP(B720,'Pintu dan Jendela'!C:K,2,FALSE)</f>
        <v>Pemasangan 1 buah kunci tanam silinder</v>
      </c>
      <c r="D720" s="9" t="s">
        <v>2167</v>
      </c>
      <c r="E720" s="1021">
        <f>VLOOKUP(C720,'Pintu dan Jendela'!$D$3:$I$982,6,FALSE)</f>
        <v>163000</v>
      </c>
      <c r="F720" s="1003">
        <f>VLOOKUP(C720,'Pintu dan Jendela'!$D$3:$L$982,7,FALSE)</f>
        <v>0</v>
      </c>
      <c r="G720" s="12">
        <f>VLOOKUP(C720,'Pintu dan Jendela'!$D$3:$M$982,8,FALSE)</f>
        <v>0</v>
      </c>
      <c r="H720" s="374"/>
      <c r="I720" s="16"/>
    </row>
    <row r="721" spans="2:9" ht="24" customHeight="1">
      <c r="B721" s="1033" t="str">
        <f>'Pintu dan Jendela'!C644</f>
        <v>3.11.4.5</v>
      </c>
      <c r="C721" s="39" t="str">
        <f>VLOOKUP(B721,'Pintu dan Jendela'!C:K,2,FALSE)</f>
        <v>Pemasangan 1 buah engsel pintu</v>
      </c>
      <c r="D721" s="9" t="s">
        <v>2167</v>
      </c>
      <c r="E721" s="1021">
        <f>VLOOKUP(C721,'Pintu dan Jendela'!$D$3:$I$982,6,FALSE)</f>
        <v>61900</v>
      </c>
      <c r="F721" s="1003">
        <f>VLOOKUP(C721,'Pintu dan Jendela'!$D$3:$L$982,7,FALSE)</f>
        <v>0</v>
      </c>
      <c r="G721" s="12">
        <f>VLOOKUP(C721,'Pintu dan Jendela'!$D$3:$M$982,8,FALSE)</f>
        <v>0</v>
      </c>
      <c r="H721" s="374"/>
      <c r="I721" s="16"/>
    </row>
    <row r="722" spans="2:9" ht="24" customHeight="1">
      <c r="B722" s="1033" t="str">
        <f>'Pintu dan Jendela'!C661</f>
        <v>3.11.4.6</v>
      </c>
      <c r="C722" s="39" t="str">
        <f>VLOOKUP(B722,'Pintu dan Jendela'!C:K,2,FALSE)</f>
        <v>Pemasangan 1 buah engsel tanam (floor hinge)</v>
      </c>
      <c r="D722" s="9" t="s">
        <v>2167</v>
      </c>
      <c r="E722" s="1021">
        <f>VLOOKUP(C722,'Pintu dan Jendela'!$D$3:$I$982,6,FALSE)</f>
        <v>640300</v>
      </c>
      <c r="F722" s="1003" t="str">
        <f>VLOOKUP(C722,'Pintu dan Jendela'!$D$3:$L$982,7,FALSE)</f>
        <v>Revisi</v>
      </c>
      <c r="G722" s="12" t="str">
        <f>VLOOKUP(C722,'Pintu dan Jendela'!$D$3:$M$982,8,FALSE)</f>
        <v>Tidak ada perubahan</v>
      </c>
      <c r="H722" s="374"/>
      <c r="I722" s="16"/>
    </row>
    <row r="723" spans="2:9" ht="24" customHeight="1">
      <c r="B723" s="1033" t="str">
        <f>'Pintu dan Jendela'!C679</f>
        <v>3.11.4.7</v>
      </c>
      <c r="C723" s="39" t="str">
        <f>VLOOKUP(B723,'Pintu dan Jendela'!C:K,2,FALSE)</f>
        <v xml:space="preserve">Pemasangan 1 buah Door Closer </v>
      </c>
      <c r="D723" s="9" t="s">
        <v>2167</v>
      </c>
      <c r="E723" s="1021">
        <f>VLOOKUP(C723,'Pintu dan Jendela'!$D$3:$I$982,6,FALSE)</f>
        <v>275200</v>
      </c>
      <c r="F723" s="1003">
        <f>VLOOKUP(C723,'Pintu dan Jendela'!$D$3:$L$982,7,FALSE)</f>
        <v>0</v>
      </c>
      <c r="G723" s="12">
        <f>VLOOKUP(C723,'Pintu dan Jendela'!$D$3:$M$982,8,FALSE)</f>
        <v>0</v>
      </c>
      <c r="H723" s="374"/>
      <c r="I723" s="16"/>
    </row>
    <row r="724" spans="2:9" ht="24" customHeight="1">
      <c r="B724" s="1033" t="str">
        <f>'Pintu dan Jendela'!C697</f>
        <v>3.11.4.8</v>
      </c>
      <c r="C724" s="39" t="str">
        <f>VLOOKUP(B724,'Pintu dan Jendela'!C:K,2,FALSE)</f>
        <v xml:space="preserve">Pemasangan 1 buah Door Holder </v>
      </c>
      <c r="D724" s="9" t="s">
        <v>2167</v>
      </c>
      <c r="E724" s="1021">
        <f>VLOOKUP(C724,'Pintu dan Jendela'!$D$3:$I$982,6,FALSE)</f>
        <v>180000</v>
      </c>
      <c r="F724" s="1003">
        <f>VLOOKUP(C724,'Pintu dan Jendela'!$D$3:$L$982,7,FALSE)</f>
        <v>0</v>
      </c>
      <c r="G724" s="12">
        <f>VLOOKUP(C724,'Pintu dan Jendela'!$D$3:$M$982,8,FALSE)</f>
        <v>0</v>
      </c>
      <c r="H724" s="374"/>
      <c r="I724" s="16"/>
    </row>
    <row r="725" spans="2:9" ht="24" customHeight="1">
      <c r="B725" s="1033" t="str">
        <f>'Pintu dan Jendela'!C715</f>
        <v>3.11.4.9</v>
      </c>
      <c r="C725" s="39" t="str">
        <f>VLOOKUP(B725,'Pintu dan Jendela'!C:K,2,FALSE)</f>
        <v>Pemasangan 1 buah Door Stop</v>
      </c>
      <c r="D725" s="9" t="s">
        <v>2167</v>
      </c>
      <c r="E725" s="1021">
        <f>VLOOKUP(C725,'Pintu dan Jendela'!$D$3:$I$982,6,FALSE)</f>
        <v>82400</v>
      </c>
      <c r="F725" s="1003">
        <f>VLOOKUP(C725,'Pintu dan Jendela'!$D$3:$L$982,7,FALSE)</f>
        <v>0</v>
      </c>
      <c r="G725" s="12">
        <f>VLOOKUP(C725,'Pintu dan Jendela'!$D$3:$M$982,8,FALSE)</f>
        <v>0</v>
      </c>
      <c r="H725" s="374"/>
      <c r="I725" s="16"/>
    </row>
    <row r="726" spans="2:9" ht="24" customHeight="1">
      <c r="B726" s="1033" t="str">
        <f>'Pintu dan Jendela'!C733</f>
        <v>3.11.4.10</v>
      </c>
      <c r="C726" s="39" t="str">
        <f>VLOOKUP(B726,'Pintu dan Jendela'!C:K,2,FALSE)</f>
        <v>Pemasangan 1 buah Rel Pintu Dorong</v>
      </c>
      <c r="D726" s="9" t="s">
        <v>2167</v>
      </c>
      <c r="E726" s="1021">
        <f>VLOOKUP(C726,'Pintu dan Jendela'!$D$3:$I$982,6,FALSE)</f>
        <v>376500</v>
      </c>
      <c r="F726" s="1003">
        <f>VLOOKUP(C726,'Pintu dan Jendela'!$D$3:$L$982,7,FALSE)</f>
        <v>0</v>
      </c>
      <c r="G726" s="12">
        <f>VLOOKUP(C726,'Pintu dan Jendela'!$D$3:$M$982,8,FALSE)</f>
        <v>0</v>
      </c>
      <c r="H726" s="374"/>
      <c r="I726" s="16"/>
    </row>
    <row r="727" spans="2:9" ht="24" customHeight="1">
      <c r="B727" s="1033" t="str">
        <f>'Pintu dan Jendela'!C751</f>
        <v>3.11.4.11</v>
      </c>
      <c r="C727" s="39" t="str">
        <f>VLOOKUP(B727,'Pintu dan Jendela'!C:K,2,FALSE)</f>
        <v>Pemasangan 1 buah Venetions Blinds dan Vertical Blinds</v>
      </c>
      <c r="D727" s="9" t="s">
        <v>2167</v>
      </c>
      <c r="E727" s="1021">
        <f>VLOOKUP(C727,'Pintu dan Jendela'!$D$3:$I$982,6,FALSE)</f>
        <v>252300</v>
      </c>
      <c r="F727" s="1003">
        <f>VLOOKUP(C727,'Pintu dan Jendela'!$D$3:$L$982,7,FALSE)</f>
        <v>0</v>
      </c>
      <c r="G727" s="12">
        <f>VLOOKUP(C727,'Pintu dan Jendela'!$D$3:$M$982,8,FALSE)</f>
        <v>0</v>
      </c>
      <c r="H727" s="374"/>
      <c r="I727" s="16"/>
    </row>
    <row r="728" spans="2:9" ht="24" customHeight="1">
      <c r="B728" s="1033" t="str">
        <f>'Pintu dan Jendela'!C769</f>
        <v>3.11.4.12</v>
      </c>
      <c r="C728" s="39" t="str">
        <f>VLOOKUP(B728,'Pintu dan Jendela'!C:K,2,FALSE)</f>
        <v xml:space="preserve">Pemasangan 1 m2 Teralis Besi Strip </v>
      </c>
      <c r="D728" s="9" t="s">
        <v>2167</v>
      </c>
      <c r="E728" s="1021">
        <f>VLOOKUP(C728,'Pintu dan Jendela'!$D$3:$I$982,6,FALSE)</f>
        <v>31200</v>
      </c>
      <c r="F728" s="1003" t="str">
        <f>VLOOKUP(C728,'Pintu dan Jendela'!$D$3:$L$982,7,FALSE)</f>
        <v>Revisi</v>
      </c>
      <c r="G728" s="12" t="str">
        <f>VLOOKUP(C728,'Pintu dan Jendela'!$D$3:$M$982,8,FALSE)</f>
        <v>Perubahan di koefisien semua Tenaga Kerja,  Teralis Besi Strip (satuan kg jadi m2) dan penghapusan Bahan "Pengelasan"</v>
      </c>
      <c r="H728" s="374"/>
      <c r="I728" s="16"/>
    </row>
    <row r="729" spans="2:9" ht="24" customHeight="1">
      <c r="B729" s="1033" t="str">
        <f>'Pintu dan Jendela'!C788</f>
        <v>3.11.4.13</v>
      </c>
      <c r="C729" s="39" t="str">
        <f>VLOOKUP(B729,'Pintu dan Jendela'!C:K,2,FALSE)</f>
        <v xml:space="preserve">Pemasangan 1 m2 Kawat Nyamuk Rangka Besi </v>
      </c>
      <c r="D729" s="9" t="s">
        <v>2167</v>
      </c>
      <c r="E729" s="1021">
        <f>VLOOKUP(C729,'Pintu dan Jendela'!$D$3:$I$982,6,FALSE)</f>
        <v>65900</v>
      </c>
      <c r="F729" s="1003" t="str">
        <f>VLOOKUP(C729,'Pintu dan Jendela'!$D$3:$L$982,7,FALSE)</f>
        <v>Revisi</v>
      </c>
      <c r="G729" s="12" t="str">
        <f>VLOOKUP(C729,'Pintu dan Jendela'!$D$3:$M$982,8,FALSE)</f>
        <v xml:space="preserve">Perubahan di koefisien semua Tenaga Kerja,  judul Teralis Besi Strip satuan buah jadi m2 Rangka Besi, perubahan bahan  dan penambahan perlatan </v>
      </c>
      <c r="H729" s="374"/>
      <c r="I729" s="16"/>
    </row>
    <row r="730" spans="2:9" ht="24" customHeight="1">
      <c r="B730" s="1033" t="str">
        <f>'Pintu dan Jendela'!C808</f>
        <v>3.11.4.13.1</v>
      </c>
      <c r="C730" s="39" t="str">
        <f>VLOOKUP(B730,'Pintu dan Jendela'!C:K,2,FALSE)</f>
        <v xml:space="preserve">Pemasangan 1 m2 Kawat Nyamuk Rangka Kayu Kelas II </v>
      </c>
      <c r="D730" s="9" t="s">
        <v>2167</v>
      </c>
      <c r="E730" s="1021">
        <f>VLOOKUP(C730,'Pintu dan Jendela'!$D$3:$I$982,6,FALSE)</f>
        <v>44600</v>
      </c>
      <c r="F730" s="1003" t="str">
        <f>VLOOKUP(C730,'Pintu dan Jendela'!$D$3:$L$982,7,FALSE)</f>
        <v xml:space="preserve">Revisi </v>
      </c>
      <c r="G730" s="12" t="str">
        <f>VLOOKUP(C730,'Pintu dan Jendela'!$D$3:$M$982,8,FALSE)</f>
        <v xml:space="preserve">Penambahan Item sebelumya tidak ada </v>
      </c>
      <c r="H730" s="374"/>
      <c r="I730" s="16"/>
    </row>
    <row r="731" spans="2:9" ht="24" customHeight="1">
      <c r="B731" s="1033" t="str">
        <f>'Pintu dan Jendela'!C827</f>
        <v>3.11.4.14</v>
      </c>
      <c r="C731" s="39" t="str">
        <f>VLOOKUP(B731,'Pintu dan Jendela'!C:K,2,FALSE)</f>
        <v xml:space="preserve">Pemasangan 1 Buah Kunci Slot (Grendel) untuk Jedela </v>
      </c>
      <c r="D731" s="9" t="s">
        <v>2167</v>
      </c>
      <c r="E731" s="1021">
        <f>VLOOKUP(C731,'Pintu dan Jendela'!$D$3:$I$982,6,FALSE)</f>
        <v>52800</v>
      </c>
      <c r="F731" s="1003" t="str">
        <f>VLOOKUP(C731,'Pintu dan Jendela'!$D$3:$L$982,7,FALSE)</f>
        <v>Revisi</v>
      </c>
      <c r="G731" s="12" t="str">
        <f>VLOOKUP(C731,'Pintu dan Jendela'!$D$3:$M$982,8,FALSE)</f>
        <v>Perubahan di koefisien bahan grende dari 1,716 jadi 1,00</v>
      </c>
      <c r="H731" s="374"/>
      <c r="I731" s="16"/>
    </row>
    <row r="732" spans="2:9" ht="24" customHeight="1">
      <c r="B732" s="1033" t="str">
        <f>'Pintu dan Jendela'!C845</f>
        <v>3.11.4.15</v>
      </c>
      <c r="C732" s="39" t="str">
        <f>VLOOKUP(B732,'Pintu dan Jendela'!C:K,2,FALSE)</f>
        <v>Pemasangan 1 buah engsel jendela kupu-kupu</v>
      </c>
      <c r="D732" s="9" t="s">
        <v>2167</v>
      </c>
      <c r="E732" s="1021">
        <f>VLOOKUP(C732,'Pintu dan Jendela'!$D$3:$I$982,6,FALSE)</f>
        <v>64000</v>
      </c>
      <c r="F732" s="1003">
        <f>VLOOKUP(C732,'Pintu dan Jendela'!$D$3:$L$982,7,FALSE)</f>
        <v>0</v>
      </c>
      <c r="G732" s="12">
        <f>VLOOKUP(C732,'Pintu dan Jendela'!$D$3:$M$982,8,FALSE)</f>
        <v>0</v>
      </c>
      <c r="H732" s="374"/>
      <c r="I732" s="16"/>
    </row>
    <row r="733" spans="2:9" ht="24" customHeight="1">
      <c r="B733" s="1033" t="str">
        <f>'Pintu dan Jendela'!C862</f>
        <v>3.11.4.16</v>
      </c>
      <c r="C733" s="39" t="str">
        <f>VLOOKUP(B733,'Pintu dan Jendela'!C:K,2,FALSE)</f>
        <v>Pemasangan 1 buah engsel angin</v>
      </c>
      <c r="D733" s="9" t="s">
        <v>2167</v>
      </c>
      <c r="E733" s="1021">
        <f>VLOOKUP(C733,'Pintu dan Jendela'!$D$3:$I$982,6,FALSE)</f>
        <v>75300</v>
      </c>
      <c r="F733" s="1003">
        <f>VLOOKUP(C733,'Pintu dan Jendela'!$D$3:$L$982,7,FALSE)</f>
        <v>0</v>
      </c>
      <c r="G733" s="12">
        <f>VLOOKUP(C733,'Pintu dan Jendela'!$D$3:$M$982,8,FALSE)</f>
        <v>0</v>
      </c>
      <c r="H733" s="374"/>
      <c r="I733" s="16"/>
    </row>
    <row r="734" spans="2:9" ht="24" customHeight="1">
      <c r="B734" s="1033" t="str">
        <f>'Pintu dan Jendela'!C879</f>
        <v>3.11.4.17</v>
      </c>
      <c r="C734" s="39" t="str">
        <f>VLOOKUP(B734,'Pintu dan Jendela'!C:K,2,FALSE)</f>
        <v>Pemasangan 1 buah spring knip (kunci slot) untuk jendela</v>
      </c>
      <c r="D734" s="9" t="s">
        <v>2167</v>
      </c>
      <c r="E734" s="1021">
        <f>VLOOKUP(C734,'Pintu dan Jendela'!$D$3:$I$982,6,FALSE)</f>
        <v>51000</v>
      </c>
      <c r="F734" s="1003" t="str">
        <f>VLOOKUP(C734,'Pintu dan Jendela'!$D$3:$L$982,7,FALSE)</f>
        <v>Revisi</v>
      </c>
      <c r="G734" s="12" t="str">
        <f>VLOOKUP(C734,'Pintu dan Jendela'!$D$3:$M$982,8,FALSE)</f>
        <v>tidak ada perubahan</v>
      </c>
      <c r="H734" s="374"/>
      <c r="I734" s="16"/>
    </row>
    <row r="735" spans="2:9" ht="24" customHeight="1">
      <c r="B735" s="1033" t="str">
        <f>'Pintu dan Jendela'!C896</f>
        <v>3.11.4.18</v>
      </c>
      <c r="C735" s="39" t="str">
        <f>VLOOKUP(B735,'Pintu dan Jendela'!C:K,2,FALSE)</f>
        <v>Pemasangan 1 buah kait angin</v>
      </c>
      <c r="D735" s="9" t="s">
        <v>2167</v>
      </c>
      <c r="E735" s="1021">
        <f>VLOOKUP(C735,'Pintu dan Jendela'!$D$3:$I$982,6,FALSE)</f>
        <v>40400</v>
      </c>
      <c r="F735" s="1003">
        <f>VLOOKUP(C735,'Pintu dan Jendela'!$D$3:$L$982,7,FALSE)</f>
        <v>0</v>
      </c>
      <c r="G735" s="12">
        <f>VLOOKUP(C735,'Pintu dan Jendela'!$D$3:$M$982,8,FALSE)</f>
        <v>0</v>
      </c>
      <c r="H735" s="374"/>
      <c r="I735" s="16"/>
    </row>
    <row r="736" spans="2:9" ht="24" customHeight="1">
      <c r="B736" s="1033" t="str">
        <f>'Pintu dan Jendela'!C914</f>
        <v>3.11.4.19</v>
      </c>
      <c r="C736" s="39" t="str">
        <f>VLOOKUP(B736,'Pintu dan Jendela'!C:K,2,FALSE)</f>
        <v>Pemasangan 1 buah kunci lemari</v>
      </c>
      <c r="D736" s="9" t="s">
        <v>2167</v>
      </c>
      <c r="E736" s="1021">
        <f>VLOOKUP(C736,'Pintu dan Jendela'!$D$3:$I$982,6,FALSE)</f>
        <v>59700</v>
      </c>
      <c r="F736" s="1003">
        <f>VLOOKUP(C736,'Pintu dan Jendela'!$D$3:$L$982,7,FALSE)</f>
        <v>0</v>
      </c>
      <c r="G736" s="12">
        <f>VLOOKUP(C736,'Pintu dan Jendela'!$D$3:$M$982,8,FALSE)</f>
        <v>0</v>
      </c>
      <c r="H736" s="374"/>
      <c r="I736" s="16"/>
    </row>
    <row r="737" spans="2:9" ht="24" customHeight="1">
      <c r="B737" s="1033" t="str">
        <f>'Pintu dan Jendela'!C931</f>
        <v>3.11.4.20</v>
      </c>
      <c r="C737" s="39" t="str">
        <f>VLOOKUP(B737,'Pintu dan Jendela'!C:K,2,FALSE)</f>
        <v>Pemasangan 1 buah grendel</v>
      </c>
      <c r="D737" s="9" t="s">
        <v>2167</v>
      </c>
      <c r="E737" s="1021">
        <f>VLOOKUP(C737,'Pintu dan Jendela'!$D$3:$I$982,6,FALSE)</f>
        <v>43700</v>
      </c>
      <c r="F737" s="1003">
        <f>VLOOKUP(C737,'Pintu dan Jendela'!$D$3:$L$982,7,FALSE)</f>
        <v>0</v>
      </c>
      <c r="G737" s="12">
        <f>VLOOKUP(C737,'Pintu dan Jendela'!$D$3:$M$982,8,FALSE)</f>
        <v>0</v>
      </c>
      <c r="H737" s="374"/>
      <c r="I737" s="16"/>
    </row>
    <row r="738" spans="2:9" ht="24" customHeight="1">
      <c r="B738" s="1033" t="str">
        <f>'Pintu dan Jendela'!C948</f>
        <v>3.11.4.21</v>
      </c>
      <c r="C738" s="39" t="str">
        <f>VLOOKUP(B738,'Pintu dan Jendela'!C:K,2,FALSE)</f>
        <v>Pemasangan 1 buah grendel tanam</v>
      </c>
      <c r="D738" s="9" t="s">
        <v>2167</v>
      </c>
      <c r="E738" s="1021">
        <f>VLOOKUP(C738,'Pintu dan Jendela'!$D$3:$I$982,6,FALSE)</f>
        <v>205900</v>
      </c>
      <c r="F738" s="1003">
        <f>VLOOKUP(C738,'Pintu dan Jendela'!$D$3:$L$982,7,FALSE)</f>
        <v>0</v>
      </c>
      <c r="G738" s="12">
        <f>VLOOKUP(C738,'Pintu dan Jendela'!$D$3:$M$982,8,FALSE)</f>
        <v>0</v>
      </c>
      <c r="H738" s="374"/>
      <c r="I738" s="16"/>
    </row>
    <row r="739" spans="2:9" ht="24" customHeight="1">
      <c r="B739" s="1033" t="str">
        <f>'Pintu dan Jendela'!C966</f>
        <v>3.11.4.22</v>
      </c>
      <c r="C739" s="39" t="str">
        <f>VLOOKUP(B739,'Pintu dan Jendela'!C:K,2,FALSE)</f>
        <v xml:space="preserve">Pemasangan 1 buah Handle Jendela </v>
      </c>
      <c r="D739" s="9" t="s">
        <v>2167</v>
      </c>
      <c r="E739" s="1021">
        <f>VLOOKUP(C739,'Pintu dan Jendela'!$D$3:$I$982,6,FALSE)</f>
        <v>74400</v>
      </c>
      <c r="F739" s="1003">
        <f>VLOOKUP(C739,'Pintu dan Jendela'!$D$3:$L$982,7,FALSE)</f>
        <v>0</v>
      </c>
      <c r="G739" s="12">
        <f>VLOOKUP(C739,'Pintu dan Jendela'!$D$3:$M$982,8,FALSE)</f>
        <v>0</v>
      </c>
      <c r="H739" s="374"/>
      <c r="I739" s="16"/>
    </row>
    <row r="740" spans="2:9" ht="24" customHeight="1">
      <c r="B740" s="1044" t="str">
        <f>Kaca!C3</f>
        <v xml:space="preserve">3.12 </v>
      </c>
      <c r="C740" s="1002" t="str">
        <f>VLOOKUP(B740,Kaca!C:K,2,FALSE)</f>
        <v>PEKERJAAN KACA</v>
      </c>
      <c r="D740" s="995"/>
      <c r="E740" s="1026"/>
      <c r="F740" s="1009"/>
      <c r="G740" s="31"/>
      <c r="H740" s="374"/>
      <c r="I740" s="16"/>
    </row>
    <row r="741" spans="2:9" ht="24" customHeight="1">
      <c r="B741" s="1033" t="str">
        <f>Kaca!C4</f>
        <v>3.12.1</v>
      </c>
      <c r="C741" s="39" t="str">
        <f>VLOOKUP(B741,Kaca!C:K,2,FALSE)</f>
        <v>Pemasangan 1 m2 sunscreen alumunium</v>
      </c>
      <c r="D741" s="9" t="s">
        <v>62</v>
      </c>
      <c r="E741" s="1021">
        <f>VLOOKUP(C741,Kaca!$D$3:$I$2556,6,FALSE)</f>
        <v>574300</v>
      </c>
      <c r="F741" s="1003">
        <f>VLOOKUP(C741,Kaca!$D$3:$J$2556,7,FALSE)</f>
        <v>0</v>
      </c>
      <c r="G741" s="12">
        <f>VLOOKUP(C741,Kaca!$D$3:$K$2556,8,FALSE)</f>
        <v>0</v>
      </c>
      <c r="H741" s="374"/>
      <c r="I741" s="16"/>
    </row>
    <row r="742" spans="2:9" ht="24" customHeight="1">
      <c r="B742" s="1033" t="str">
        <f>Kaca!C21</f>
        <v>3.12.2</v>
      </c>
      <c r="C742" s="39" t="str">
        <f>VLOOKUP(B742,Kaca!C:K,2,FALSE)</f>
        <v>Pemasangan 1 m2 kaca polos tebal 3 mm</v>
      </c>
      <c r="D742" s="9" t="s">
        <v>62</v>
      </c>
      <c r="E742" s="1021">
        <f>VLOOKUP(C742,Kaca!$D$3:$I$2556,6,FALSE)</f>
        <v>172400</v>
      </c>
      <c r="F742" s="1003">
        <f>VLOOKUP(C742,Kaca!$D$3:$J$2556,7,FALSE)</f>
        <v>0</v>
      </c>
      <c r="G742" s="12">
        <f>VLOOKUP(C742,Kaca!$D$3:$K$2556,8,FALSE)</f>
        <v>0</v>
      </c>
      <c r="H742" s="374"/>
      <c r="I742" s="16"/>
    </row>
    <row r="743" spans="2:9" ht="24" customHeight="1">
      <c r="B743" s="1033" t="str">
        <f>Kaca!C39</f>
        <v>3.12.3</v>
      </c>
      <c r="C743" s="39" t="str">
        <f>VLOOKUP(B743,Kaca!C:K,2,FALSE)</f>
        <v>Pemasangan 1 m2 kaca polos tebal 5 mm</v>
      </c>
      <c r="D743" s="9" t="s">
        <v>62</v>
      </c>
      <c r="E743" s="1021">
        <f>VLOOKUP(C743,Kaca!$D$3:$I$2556,6,FALSE)</f>
        <v>266800</v>
      </c>
      <c r="F743" s="1003">
        <f>VLOOKUP(C743,Kaca!$D$3:$J$2556,7,FALSE)</f>
        <v>0</v>
      </c>
      <c r="G743" s="12">
        <f>VLOOKUP(C743,Kaca!$D$3:$K$2556,8,FALSE)</f>
        <v>0</v>
      </c>
      <c r="H743" s="374"/>
      <c r="I743" s="16"/>
    </row>
    <row r="744" spans="2:9" ht="24" customHeight="1">
      <c r="B744" s="1033" t="str">
        <f>Kaca!C57</f>
        <v>3.12.4</v>
      </c>
      <c r="C744" s="39" t="str">
        <f>VLOOKUP(B744,Kaca!C:K,2,FALSE)</f>
        <v>Pemasangan 1 m2 kaca polos tebal 6 mm</v>
      </c>
      <c r="D744" s="9" t="s">
        <v>62</v>
      </c>
      <c r="E744" s="1021">
        <f>VLOOKUP(C744,Kaca!$D$3:$I$2556,6,FALSE)</f>
        <v>315800</v>
      </c>
      <c r="F744" s="1003">
        <f>VLOOKUP(C744,Kaca!$D$3:$J$2556,7,FALSE)</f>
        <v>0</v>
      </c>
      <c r="G744" s="12">
        <f>VLOOKUP(C744,Kaca!$D$3:$K$2556,8,FALSE)</f>
        <v>0</v>
      </c>
      <c r="H744" s="374"/>
      <c r="I744" s="16"/>
    </row>
    <row r="745" spans="2:9" ht="24" customHeight="1">
      <c r="B745" s="1033" t="str">
        <f>Kaca!C75</f>
        <v>3.12.5</v>
      </c>
      <c r="C745" s="39" t="str">
        <f>VLOOKUP(B745,Kaca!C:K,2,FALSE)</f>
        <v>Pemasangan 1 m2 kaca polos tebal 8 mm</v>
      </c>
      <c r="D745" s="9" t="s">
        <v>62</v>
      </c>
      <c r="E745" s="1021">
        <f>VLOOKUP(C745,Kaca!$D$3:$I$2556,6,FALSE)</f>
        <v>304800</v>
      </c>
      <c r="F745" s="1003">
        <f>VLOOKUP(C745,Kaca!$D$3:$J$2556,7,FALSE)</f>
        <v>0</v>
      </c>
      <c r="G745" s="12">
        <f>VLOOKUP(C745,Kaca!$D$3:$K$2556,8,FALSE)</f>
        <v>0</v>
      </c>
      <c r="H745" s="374"/>
      <c r="I745" s="16"/>
    </row>
    <row r="746" spans="2:9" ht="24" customHeight="1">
      <c r="B746" s="1033" t="str">
        <f>Kaca!C93</f>
        <v>3.12.6</v>
      </c>
      <c r="C746" s="39" t="str">
        <f>VLOOKUP(B746,Kaca!C:K,2,FALSE)</f>
        <v>Pemasangan 1 m2 kaca buram tebal 12 mm</v>
      </c>
      <c r="D746" s="9" t="s">
        <v>62</v>
      </c>
      <c r="E746" s="1021">
        <f>VLOOKUP(C746,Kaca!$D$3:$I$2556,6,FALSE)</f>
        <v>429000</v>
      </c>
      <c r="F746" s="1003" t="str">
        <f>VLOOKUP(C746,Kaca!$D$3:$J$2556,7,FALSE)</f>
        <v>Revisi</v>
      </c>
      <c r="G746" s="12" t="str">
        <f>VLOOKUP(C746,Kaca!$D$3:$K$2556,8,FALSE)</f>
        <v>Tidak ada perubahan</v>
      </c>
      <c r="H746" s="374"/>
      <c r="I746" s="16"/>
    </row>
    <row r="747" spans="2:9" ht="24" customHeight="1">
      <c r="B747" s="1033" t="str">
        <f>Kaca!C111</f>
        <v>3.12.7</v>
      </c>
      <c r="C747" s="39" t="str">
        <f>VLOOKUP(B747,Kaca!C:K,2,FALSE)</f>
        <v>Pemasangan 1 m2 kaca cermin tebal 5 mm</v>
      </c>
      <c r="D747" s="9" t="s">
        <v>62</v>
      </c>
      <c r="E747" s="1021">
        <f>VLOOKUP(C747,Kaca!$D$3:$I$2556,6,FALSE)</f>
        <v>268700</v>
      </c>
      <c r="F747" s="1003">
        <f>VLOOKUP(C747,Kaca!$D$3:$J$2556,7,FALSE)</f>
        <v>0</v>
      </c>
      <c r="G747" s="12">
        <f>VLOOKUP(C747,Kaca!$D$3:$K$2556,8,FALSE)</f>
        <v>0</v>
      </c>
      <c r="H747" s="374"/>
      <c r="I747" s="16"/>
    </row>
    <row r="748" spans="2:9" ht="24" customHeight="1">
      <c r="B748" s="1033" t="str">
        <f>Kaca!C128</f>
        <v>3.12.8</v>
      </c>
      <c r="C748" s="39" t="str">
        <f>VLOOKUP(B748,Kaca!C:K,2,FALSE)</f>
        <v>Pemasangan 1 m2 kaca cermin tebal 8 mm</v>
      </c>
      <c r="D748" s="9" t="s">
        <v>62</v>
      </c>
      <c r="E748" s="1021">
        <f>VLOOKUP(C748,Kaca!$D$3:$I$2556,6,FALSE)</f>
        <v>994200</v>
      </c>
      <c r="F748" s="1003">
        <f>VLOOKUP(C748,Kaca!$D$3:$J$2556,7,FALSE)</f>
        <v>0</v>
      </c>
      <c r="G748" s="12">
        <f>VLOOKUP(C748,Kaca!$D$3:$K$2556,8,FALSE)</f>
        <v>0</v>
      </c>
      <c r="H748" s="374"/>
      <c r="I748" s="16"/>
    </row>
    <row r="749" spans="2:9" ht="24" customHeight="1">
      <c r="B749" s="1033" t="str">
        <f>Kaca!C145</f>
        <v>3.12.9</v>
      </c>
      <c r="C749" s="39" t="str">
        <f>VLOOKUP(B749,Kaca!C:K,2,FALSE)</f>
        <v>Pemasangan 1 m2 kaca wireglass tebal 5 mm</v>
      </c>
      <c r="D749" s="9" t="s">
        <v>62</v>
      </c>
      <c r="E749" s="1021">
        <f>VLOOKUP(C749,Kaca!$D$3:$I$2556,6,FALSE)</f>
        <v>202400</v>
      </c>
      <c r="F749" s="1003">
        <f>VLOOKUP(C749,Kaca!$D$3:$J$2556,7,FALSE)</f>
        <v>0</v>
      </c>
      <c r="G749" s="12">
        <f>VLOOKUP(C749,Kaca!$D$3:$K$2556,8,FALSE)</f>
        <v>0</v>
      </c>
      <c r="H749" s="374"/>
      <c r="I749" s="16"/>
    </row>
    <row r="750" spans="2:9" ht="24" customHeight="1">
      <c r="B750" s="1033" t="str">
        <f>Kaca!C162</f>
        <v>3.12.10</v>
      </c>
      <c r="C750" s="39" t="str">
        <f>VLOOKUP(B750,Kaca!C:K,2,FALSE)</f>
        <v>Pemasangan 1 m2 kaca patri tebal 5 mm</v>
      </c>
      <c r="D750" s="9" t="s">
        <v>62</v>
      </c>
      <c r="E750" s="1021">
        <f>VLOOKUP(C750,Kaca!$D$3:$I$2556,6,FALSE)</f>
        <v>1868600</v>
      </c>
      <c r="F750" s="1003">
        <f>VLOOKUP(C750,Kaca!$D$3:$J$2556,7,FALSE)</f>
        <v>0</v>
      </c>
      <c r="G750" s="12">
        <f>VLOOKUP(C750,Kaca!$D$3:$K$2556,8,FALSE)</f>
        <v>0</v>
      </c>
      <c r="H750" s="374"/>
      <c r="I750" s="16"/>
    </row>
    <row r="751" spans="2:9" ht="24" customHeight="1">
      <c r="B751" s="1033" t="str">
        <f>Kaca!C180</f>
        <v>3.12.11</v>
      </c>
      <c r="C751" s="39" t="str">
        <f>VLOOKUP(B751,Kaca!C:K,2,FALSE)</f>
        <v>Pemasangan 1 m2 kaca laminated tebal 16 mm (8 mm double)</v>
      </c>
      <c r="D751" s="9" t="s">
        <v>62</v>
      </c>
      <c r="E751" s="1021">
        <f>VLOOKUP(C751,Kaca!$D$3:$I$2556,6,FALSE)</f>
        <v>1665900</v>
      </c>
      <c r="F751" s="1003">
        <f>VLOOKUP(C751,Kaca!$D$3:$J$2556,7,FALSE)</f>
        <v>0</v>
      </c>
      <c r="G751" s="12">
        <f>VLOOKUP(C751,Kaca!$D$3:$K$2556,8,FALSE)</f>
        <v>0</v>
      </c>
      <c r="H751" s="374"/>
      <c r="I751" s="16"/>
    </row>
    <row r="752" spans="2:9" ht="24" customHeight="1">
      <c r="B752" s="1033" t="str">
        <f>Kaca!C198</f>
        <v>3.12.12</v>
      </c>
      <c r="C752" s="39" t="str">
        <f>VLOOKUP(B752,Kaca!C:K,2,FALSE)</f>
        <v>Pemasangan 1 m2 kaca laminated tebal 16 mm (8 mm double) dengan aluminium frame</v>
      </c>
      <c r="D752" s="9" t="s">
        <v>62</v>
      </c>
      <c r="E752" s="1021">
        <f>VLOOKUP(C752,Kaca!$D$3:$I$2556,6,FALSE)</f>
        <v>1681800</v>
      </c>
      <c r="F752" s="1003">
        <f>VLOOKUP(C752,Kaca!$D$3:$J$2556,7,FALSE)</f>
        <v>0</v>
      </c>
      <c r="G752" s="12">
        <f>VLOOKUP(C752,Kaca!$D$3:$K$2556,8,FALSE)</f>
        <v>0</v>
      </c>
      <c r="H752" s="374"/>
      <c r="I752" s="16"/>
    </row>
    <row r="753" spans="2:9" ht="24" customHeight="1">
      <c r="B753" s="1033" t="str">
        <f>Kaca!C218</f>
        <v>3.12.13</v>
      </c>
      <c r="C753" s="39" t="str">
        <f>VLOOKUP(B753,Kaca!C:K,2,FALSE)</f>
        <v>Pemasangan 1 m2 kaca tempered tebal 12 mm</v>
      </c>
      <c r="D753" s="9" t="s">
        <v>62</v>
      </c>
      <c r="E753" s="1021">
        <f>VLOOKUP(C753,Kaca!$D$3:$I$2556,6,FALSE)</f>
        <v>766100</v>
      </c>
      <c r="F753" s="1003">
        <f>VLOOKUP(C753,Kaca!$D$3:$J$2556,7,FALSE)</f>
        <v>0</v>
      </c>
      <c r="G753" s="12">
        <f>VLOOKUP(C753,Kaca!$D$3:$K$2556,8,FALSE)</f>
        <v>0</v>
      </c>
      <c r="H753" s="374"/>
      <c r="I753" s="16"/>
    </row>
    <row r="754" spans="2:9" ht="24" customHeight="1">
      <c r="B754" s="1033" t="str">
        <f>Kaca!C236</f>
        <v>3.12.14</v>
      </c>
      <c r="C754" s="39" t="str">
        <f>VLOOKUP(B754,Kaca!C:K,2,FALSE)</f>
        <v>Pemasangan 1 m2 kaca laminated tebal 12 mm dengan aluminium frame</v>
      </c>
      <c r="D754" s="9" t="s">
        <v>62</v>
      </c>
      <c r="E754" s="1021">
        <f>VLOOKUP(C754,Kaca!$D$3:$I$2556,6,FALSE)</f>
        <v>1153800</v>
      </c>
      <c r="F754" s="1003">
        <f>VLOOKUP(C754,Kaca!$D$3:$J$2556,7,FALSE)</f>
        <v>0</v>
      </c>
      <c r="G754" s="12">
        <f>VLOOKUP(C754,Kaca!$D$3:$K$2556,8,FALSE)</f>
        <v>0</v>
      </c>
      <c r="H754" s="374"/>
      <c r="I754" s="16"/>
    </row>
    <row r="755" spans="2:9" ht="24" customHeight="1">
      <c r="B755" s="1044" t="str">
        <f>'Besi dan Aluminium'!C3</f>
        <v>3.13</v>
      </c>
      <c r="C755" s="1002" t="str">
        <f>VLOOKUP(B755,'Besi dan Aluminium'!C:K,2,FALSE)</f>
        <v>PEKERJAAN BESI DAN ALUMINIUM</v>
      </c>
      <c r="D755" s="995"/>
      <c r="E755" s="1026"/>
      <c r="F755" s="1009"/>
      <c r="G755" s="31"/>
      <c r="H755" s="374"/>
      <c r="I755" s="16"/>
    </row>
    <row r="756" spans="2:9" ht="24" customHeight="1">
      <c r="B756" s="1033" t="str">
        <f>'Besi dan Aluminium'!C4</f>
        <v>3.13.1</v>
      </c>
      <c r="C756" s="39" t="str">
        <f>VLOOKUP(B756,'Besi dan Aluminium'!C:K,2,FALSE)</f>
        <v>Pemasangan 1 m’ Shalimar Aluminium</v>
      </c>
      <c r="D756" s="9" t="s">
        <v>113</v>
      </c>
      <c r="E756" s="1021">
        <f>VLOOKUP(C756,'Besi dan Aluminium'!$D$3:$I$117,6,FALSE)</f>
        <v>85100</v>
      </c>
      <c r="F756" s="1003">
        <f>VLOOKUP(C756,'Besi dan Aluminium'!$D$3:$J$117,7,FALSE)</f>
        <v>0</v>
      </c>
      <c r="G756" s="12">
        <f>VLOOKUP(C756,'Besi dan Aluminium'!$D$3:$K$117,8,FALSE)</f>
        <v>0</v>
      </c>
      <c r="H756" s="374"/>
      <c r="I756" s="16"/>
    </row>
    <row r="757" spans="2:9" ht="24" customHeight="1">
      <c r="B757" s="1033" t="str">
        <f>'Besi dan Aluminium'!C22</f>
        <v>3.13.2</v>
      </c>
      <c r="C757" s="39" t="str">
        <f>VLOOKUP(B757,'Besi dan Aluminium'!C:K,2,FALSE)</f>
        <v>Pemasangan 1 m2 profil jalusi aluminium</v>
      </c>
      <c r="D757" s="9" t="s">
        <v>62</v>
      </c>
      <c r="E757" s="1021">
        <f>VLOOKUP(C757,'Besi dan Aluminium'!$D$3:$I$117,6,FALSE)</f>
        <v>12500</v>
      </c>
      <c r="F757" s="1003">
        <f>VLOOKUP(C757,'Besi dan Aluminium'!$D$3:$J$117,7,FALSE)</f>
        <v>0</v>
      </c>
      <c r="G757" s="12">
        <f>VLOOKUP(C757,'Besi dan Aluminium'!$D$3:$K$117,8,FALSE)</f>
        <v>0</v>
      </c>
      <c r="H757" s="374"/>
      <c r="I757" s="16"/>
    </row>
    <row r="758" spans="2:9" ht="24" customHeight="1">
      <c r="B758" s="1033" t="str">
        <f>'Besi dan Aluminium'!C40</f>
        <v>3.13.3</v>
      </c>
      <c r="C758" s="39" t="str">
        <f>VLOOKUP(B758,'Besi dan Aluminium'!C:K,2,FALSE)</f>
        <v xml:space="preserve">Pengelasan 1 m’ dengan las listrik </v>
      </c>
      <c r="D758" s="9" t="s">
        <v>113</v>
      </c>
      <c r="E758" s="1021">
        <f>VLOOKUP(C758,'Besi dan Aluminium'!$D$3:$I$117,6,FALSE)</f>
        <v>22100</v>
      </c>
      <c r="F758" s="1003" t="str">
        <f>VLOOKUP(C758,'Besi dan Aluminium'!$D$3:$J$117,7,FALSE)</f>
        <v>Revisi</v>
      </c>
      <c r="G758" s="12" t="str">
        <f>VLOOKUP(C758,'Besi dan Aluminium'!$D$3:$K$117,8,FALSE)</f>
        <v>Perubaha di koefisien Tenaga kerja dan penghapusan kepala tukang, koefisie baha dan juga peralatan</v>
      </c>
      <c r="H758" s="374"/>
      <c r="I758" s="16"/>
    </row>
    <row r="759" spans="2:9" ht="24" customHeight="1">
      <c r="B759" s="1033" t="str">
        <f>'Besi dan Aluminium'!C57</f>
        <v>3.13.4</v>
      </c>
      <c r="C759" s="39" t="str">
        <f>VLOOKUP(B759,'Besi dan Aluminium'!C:K,2,FALSE)</f>
        <v>Pembuatan dan pemasangan 1 m' railing besi pengaman tinggi 1.2 m</v>
      </c>
      <c r="D759" s="9" t="s">
        <v>113</v>
      </c>
      <c r="E759" s="1021">
        <f>VLOOKUP(C759,'Besi dan Aluminium'!$D$3:$I$117,6,FALSE)</f>
        <v>488600</v>
      </c>
      <c r="F759" s="1003" t="str">
        <f>VLOOKUP(C759,'Besi dan Aluminium'!$D$3:$J$117,7,FALSE)</f>
        <v>Revisi</v>
      </c>
      <c r="G759" s="12" t="str">
        <f>VLOOKUP(C759,'Besi dan Aluminium'!$D$3:$K$117,8,FALSE)</f>
        <v xml:space="preserve">Perubahan koefisien Tenaga keja dan penambahan pealatan </v>
      </c>
      <c r="H759" s="374"/>
      <c r="I759" s="16"/>
    </row>
    <row r="760" spans="2:9" ht="24" customHeight="1">
      <c r="B760" s="1033" t="str">
        <f>'Besi dan Aluminium'!C78</f>
        <v>3.13.5</v>
      </c>
      <c r="C760" s="39" t="str">
        <f>VLOOKUP(B760,'Besi dan Aluminium'!C:K,2,FALSE)</f>
        <v>Pembuatan dan pemasangan 1 m' railing tangga/ramp dan hand rail tinggi 0.85 m dan 0.65 m</v>
      </c>
      <c r="D760" s="9" t="s">
        <v>113</v>
      </c>
      <c r="E760" s="1021">
        <f>VLOOKUP(C760,'Besi dan Aluminium'!$D$3:$I$117,6,FALSE)</f>
        <v>302000</v>
      </c>
      <c r="F760" s="1003" t="str">
        <f>VLOOKUP(C760,'Besi dan Aluminium'!$D$3:$J$117,7,FALSE)</f>
        <v>Revisi</v>
      </c>
      <c r="G760" s="12" t="str">
        <f>VLOOKUP(C760,'Besi dan Aluminium'!$D$3:$K$117,8,FALSE)</f>
        <v>Perubahan Koefisien Tenaga keja da penambahan peralatan</v>
      </c>
      <c r="H760" s="374"/>
      <c r="I760" s="16"/>
    </row>
    <row r="761" spans="2:9" ht="24" customHeight="1">
      <c r="B761" s="1033" t="str">
        <f>'Besi dan Aluminium'!C101</f>
        <v>3.13.6</v>
      </c>
      <c r="C761" s="39" t="str">
        <f>VLOOKUP(B761,'Besi dan Aluminium'!C:K,2,FALSE)</f>
        <v xml:space="preserve">Pemasangan 1 buah Tangga Service tinggi 4 meter </v>
      </c>
      <c r="D761" s="9" t="s">
        <v>44</v>
      </c>
      <c r="E761" s="1021">
        <f>VLOOKUP(C761,'Besi dan Aluminium'!$D$3:$I$117,6,FALSE)</f>
        <v>1459300</v>
      </c>
      <c r="F761" s="1003" t="str">
        <f>VLOOKUP(C761,'Besi dan Aluminium'!$D$3:$J$117,7,FALSE)</f>
        <v>ada Revisi</v>
      </c>
      <c r="G761" s="12" t="str">
        <f>VLOOKUP(C761,'Besi dan Aluminium'!$D$3:$K$117,8,FALSE)</f>
        <v>Perubaha di koefisien bahan</v>
      </c>
      <c r="H761" s="374"/>
      <c r="I761" s="16"/>
    </row>
    <row r="762" spans="2:9" ht="24" customHeight="1">
      <c r="B762" s="1044" t="str">
        <f>Kayu!C2</f>
        <v>3.14</v>
      </c>
      <c r="C762" s="1002" t="str">
        <f>VLOOKUP(B762,Kayu!C:K,2,FALSE)</f>
        <v>PEKERJAAN KAYU</v>
      </c>
      <c r="D762" s="995"/>
      <c r="E762" s="1026"/>
      <c r="F762" s="1009"/>
      <c r="G762" s="31"/>
      <c r="H762" s="374"/>
      <c r="I762" s="16"/>
    </row>
    <row r="763" spans="2:9" ht="24" customHeight="1">
      <c r="B763" s="1033" t="str">
        <f>Kayu!C3</f>
        <v>3.14.1</v>
      </c>
      <c r="C763" s="39" t="str">
        <f>VLOOKUP(B763,Kayu!C:K,2,FALSE)</f>
        <v>Pembuatan 1 m2 Plywood Rangkap, Rangka Expose Kayu Kelas I</v>
      </c>
      <c r="D763" s="9"/>
      <c r="E763" s="1021" t="e">
        <f>VLOOKUP(C763,Kayu!$D$2:$I$43,6,FALSE)</f>
        <v>#VALUE!</v>
      </c>
      <c r="F763" s="1003">
        <f>VLOOKUP(C763,Kayu!$D$2:$J$43,7,FALSE)</f>
        <v>0</v>
      </c>
      <c r="G763" s="12">
        <f>VLOOKUP(C763,Kayu!$D$2:$K$43,8,FALSE)</f>
        <v>0</v>
      </c>
      <c r="H763" s="374"/>
      <c r="I763" s="16"/>
    </row>
    <row r="764" spans="2:9" ht="24" customHeight="1">
      <c r="B764" s="1033" t="str">
        <f>Kayu!C23</f>
        <v>3.14.2</v>
      </c>
      <c r="C764" s="39" t="str">
        <f>VLOOKUP(B764,Kayu!C:K,2,FALSE)</f>
        <v>Pembuatan 1 m2 Plywood Lapis Formika, Rangka Expose Kayu Kelas Ii</v>
      </c>
      <c r="D764" s="9"/>
      <c r="E764" s="1021" t="e">
        <f>VLOOKUP(C764,Kayu!$D$2:$I$43,6,FALSE)</f>
        <v>#VALUE!</v>
      </c>
      <c r="F764" s="1003">
        <f>VLOOKUP(C764,Kayu!$D$2:$J$43,7,FALSE)</f>
        <v>0</v>
      </c>
      <c r="G764" s="12">
        <f>VLOOKUP(C764,Kayu!$D$2:$K$43,8,FALSE)</f>
        <v>0</v>
      </c>
      <c r="H764" s="374"/>
      <c r="I764" s="16"/>
    </row>
    <row r="765" spans="2:9" ht="24" customHeight="1">
      <c r="B765" s="1044" t="str">
        <f>Ornamen!C2</f>
        <v>3.15</v>
      </c>
      <c r="C765" s="1002" t="str">
        <f>VLOOKUP(B765,Ornamen!C:L,2,FALSE)</f>
        <v xml:space="preserve">PEKEJAAN MONUMEN DAN ORNAMEN </v>
      </c>
      <c r="D765" s="995"/>
      <c r="E765" s="1026"/>
      <c r="F765" s="1009"/>
      <c r="G765" s="31"/>
      <c r="H765" s="374"/>
      <c r="I765" s="16"/>
    </row>
    <row r="766" spans="2:9" ht="24" customHeight="1">
      <c r="B766" s="1033" t="str">
        <f>Ornamen!C3</f>
        <v>3.15.1</v>
      </c>
      <c r="C766" s="39" t="str">
        <f>VLOOKUP(B766,Ornamen!C:L,2,FALSE)</f>
        <v>Pemasangan 1 buah jendela ornamen GRC</v>
      </c>
      <c r="D766" s="9" t="s">
        <v>2167</v>
      </c>
      <c r="E766" s="1021">
        <f>VLOOKUP(C766,Ornamen!D2:I19,6,FALSE)</f>
        <v>725800</v>
      </c>
      <c r="F766" s="1003" t="str">
        <f>VLOOKUP(C766,Ornamen!D2:K19,7,FALSE)</f>
        <v>Revisi</v>
      </c>
      <c r="G766" s="12" t="str">
        <f>VLOOKUP(C766,Ornamen!D2:L19,8,FALSE)</f>
        <v>Perubahan koefisien Pekerja 0,3333 jadi 0,333</v>
      </c>
      <c r="H766" s="374"/>
      <c r="I766" s="16"/>
    </row>
    <row r="767" spans="2:9" ht="24" customHeight="1">
      <c r="B767" s="1044" t="str">
        <f>Signage!C3</f>
        <v>3.16</v>
      </c>
      <c r="C767" s="1002" t="str">
        <f>VLOOKUP(B767,Signage!C:K,2,FALSE)</f>
        <v>PEKERJAAN SIGNAGE</v>
      </c>
      <c r="D767" s="995"/>
      <c r="E767" s="1026"/>
      <c r="F767" s="1009"/>
      <c r="G767" s="31"/>
      <c r="H767" s="374"/>
      <c r="I767" s="16"/>
    </row>
    <row r="768" spans="2:9" ht="24" customHeight="1">
      <c r="B768" s="1046" t="str">
        <f>Signage!C4</f>
        <v xml:space="preserve">3.16.1 </v>
      </c>
      <c r="C768" s="1096" t="str">
        <f>VLOOKUP(B768,Signage!C:K,2,FALSE)</f>
        <v xml:space="preserve">Pemasangan Logo PU </v>
      </c>
      <c r="D768" s="587"/>
      <c r="E768" s="1040"/>
      <c r="F768" s="1004"/>
      <c r="G768" s="36"/>
      <c r="H768" s="374"/>
      <c r="I768" s="16"/>
    </row>
    <row r="769" spans="1:9" ht="24" customHeight="1">
      <c r="B769" s="1037" t="str">
        <f>Signage!C5</f>
        <v>3.16.1.1</v>
      </c>
      <c r="C769" s="1097" t="str">
        <f>VLOOKUP(B769,Signage!C:K,2,FALSE)</f>
        <v xml:space="preserve">Pemasangan 1 buah Logo PU plat besi finish cat uk. 80x80 cm dengan scaffolding </v>
      </c>
      <c r="D769" s="176" t="s">
        <v>44</v>
      </c>
      <c r="E769" s="1038">
        <f>VLOOKUP(C769,Signage!$D$3:$I$171,6,FALSE)</f>
        <v>886400</v>
      </c>
      <c r="F769" s="1003" t="str">
        <f>VLOOKUP(C769,Signage!$D$3:$L$171,7,FALSE)</f>
        <v>Revisi</v>
      </c>
      <c r="G769" s="12" t="str">
        <f>VLOOKUP(C769,Signage!$D$3:$M$171,8,FALSE)</f>
        <v xml:space="preserve">Perubahan di koefisien pekerja, tukang besi dan penghapusan tukang las, pengurahan bahan dan perubahan koefisien bahan  </v>
      </c>
      <c r="H769" s="374"/>
      <c r="I769" s="16"/>
    </row>
    <row r="770" spans="1:9" ht="24" customHeight="1">
      <c r="B770" s="1037" t="str">
        <f>Signage!C25</f>
        <v>3.16.1.2</v>
      </c>
      <c r="C770" s="1097" t="str">
        <f>VLOOKUP(B770,Signage!C:K,2,FALSE)</f>
        <v>Pemasangan Logo PU Pelat Besi Finish Cat ukuran 80x80 cm dengan gendola</v>
      </c>
      <c r="D770" s="176" t="s">
        <v>44</v>
      </c>
      <c r="E770" s="1038">
        <f>VLOOKUP(C770,Signage!$D$3:$I$171,6,FALSE)</f>
        <v>22381400</v>
      </c>
      <c r="F770" s="1003" t="str">
        <f>VLOOKUP(C770,Signage!$D$3:$L$171,7,FALSE)</f>
        <v>Revisi</v>
      </c>
      <c r="G770" s="12" t="str">
        <f>VLOOKUP(C770,Signage!$D$3:$M$171,8,FALSE)</f>
        <v xml:space="preserve">Perubahan di koefisien pekerja, tukang besi dan penghapusan tukang las, pengurahan bahan dan perubahan koefisien bahan  </v>
      </c>
      <c r="H770" s="374"/>
      <c r="I770" s="16"/>
    </row>
    <row r="771" spans="1:9" ht="24" customHeight="1">
      <c r="B771" s="1037" t="str">
        <f>Signage!C44</f>
        <v>3.16.2</v>
      </c>
      <c r="C771" s="1097" t="str">
        <f>VLOOKUP(B771,Signage!C:K,2,FALSE)</f>
        <v xml:space="preserve">Pemasangan Signage Plat Baja Menggunakan Tiang </v>
      </c>
      <c r="D771" s="176" t="s">
        <v>44</v>
      </c>
      <c r="E771" s="1038">
        <f>VLOOKUP(C771,Signage!$D$3:$I$171,6,FALSE)</f>
        <v>80300</v>
      </c>
      <c r="F771" s="1003" t="str">
        <f>VLOOKUP(C771,Signage!$D$3:$L$171,7,FALSE)</f>
        <v>Revisi</v>
      </c>
      <c r="G771" s="12" t="str">
        <f>VLOOKUP(C771,Signage!$D$3:$M$171,8,FALSE)</f>
        <v xml:space="preserve">Perubahan judul item Pemasangan 1 m2 Signage dengan Pelat Besi, perubahan koefisien Tenaga kerja , dan penambahan Bahan </v>
      </c>
      <c r="H771" s="374"/>
      <c r="I771" s="16"/>
    </row>
    <row r="772" spans="1:9" ht="24" customHeight="1">
      <c r="B772" s="1037" t="str">
        <f>Signage!C61</f>
        <v>3.16.2.1</v>
      </c>
      <c r="C772" s="1097" t="str">
        <f>VLOOKUP(B772,Signage!C:K,2,FALSE)</f>
        <v xml:space="preserve">Pemasangan Signage Plat Baja pada Dinding </v>
      </c>
      <c r="D772" s="176" t="s">
        <v>44</v>
      </c>
      <c r="E772" s="1038">
        <f>VLOOKUP(C772,Signage!$D$3:$I$171,6,FALSE)</f>
        <v>29100</v>
      </c>
      <c r="F772" s="1003" t="str">
        <f>VLOOKUP(C772,Signage!$D$3:$L$171,7,FALSE)</f>
        <v>Revisi</v>
      </c>
      <c r="G772" s="12" t="str">
        <f>VLOOKUP(C772,Signage!$D$3:$M$171,8,FALSE)</f>
        <v xml:space="preserve">Penambahan item ini </v>
      </c>
      <c r="H772" s="374"/>
      <c r="I772" s="16"/>
    </row>
    <row r="773" spans="1:9" ht="24" customHeight="1">
      <c r="B773" s="1037" t="str">
        <f>Signage!C78</f>
        <v>3.16.3</v>
      </c>
      <c r="C773" s="1097" t="str">
        <f>VLOOKUP(B773,Signage!C:K,2,FALSE)</f>
        <v>Pemasangan Signage dengan Acrylic</v>
      </c>
      <c r="D773" s="176" t="s">
        <v>44</v>
      </c>
      <c r="E773" s="1038">
        <f>VLOOKUP(C773,Signage!$D$3:$I$171,6,FALSE)</f>
        <v>27800</v>
      </c>
      <c r="F773" s="1003">
        <f>VLOOKUP(C773,Signage!$D$3:$L$171,7,FALSE)</f>
        <v>0</v>
      </c>
      <c r="G773" s="12">
        <f>VLOOKUP(C773,Signage!$D$3:$M$171,8,FALSE)</f>
        <v>0</v>
      </c>
      <c r="H773" s="374"/>
      <c r="I773" s="16"/>
    </row>
    <row r="774" spans="1:9" ht="24" customHeight="1">
      <c r="B774" s="1037" t="str">
        <f>Signage!C97</f>
        <v>3.16.4</v>
      </c>
      <c r="C774" s="1097" t="str">
        <f>VLOOKUP(B774,Signage!C:K,2,FALSE)</f>
        <v>Pemasangan 1 m2 signage dengan cutting</v>
      </c>
      <c r="D774" s="176" t="s">
        <v>62</v>
      </c>
      <c r="E774" s="1038">
        <f>VLOOKUP(C774,Signage!$D$3:$I$171,6,FALSE)</f>
        <v>12900</v>
      </c>
      <c r="F774" s="1003">
        <f>VLOOKUP(C774,Signage!$D$3:$L$171,7,FALSE)</f>
        <v>0</v>
      </c>
      <c r="G774" s="12">
        <f>VLOOKUP(C774,Signage!$D$3:$M$171,8,FALSE)</f>
        <v>0</v>
      </c>
      <c r="H774" s="374"/>
      <c r="I774" s="16"/>
    </row>
    <row r="775" spans="1:9" ht="24" customHeight="1">
      <c r="B775" s="1037" t="str">
        <f>Signage!C115</f>
        <v>3.16.5</v>
      </c>
      <c r="C775" s="1097" t="str">
        <f>VLOOKUP(B775,Signage!C:K,2,FALSE)</f>
        <v>Pemasangan 1 m2 Marka dengan Cat Thermoplast</v>
      </c>
      <c r="D775" s="176" t="s">
        <v>5279</v>
      </c>
      <c r="E775" s="1038">
        <f>VLOOKUP(C775,Signage!$D$3:$I$171,6,FALSE)</f>
        <v>137200</v>
      </c>
      <c r="F775" s="1003">
        <f>VLOOKUP(C775,Signage!$D$3:$L$171,7,FALSE)</f>
        <v>0</v>
      </c>
      <c r="G775" s="12">
        <f>VLOOKUP(C775,Signage!$D$3:$M$171,8,FALSE)</f>
        <v>0</v>
      </c>
      <c r="H775" s="374"/>
      <c r="I775" s="16"/>
    </row>
    <row r="776" spans="1:9" ht="24" customHeight="1">
      <c r="B776" s="1037" t="str">
        <f>Signage!C135</f>
        <v>3.16.6</v>
      </c>
      <c r="C776" s="1097" t="str">
        <f>VLOOKUP(B776,Signage!C:K,2,FALSE)</f>
        <v>Pemasangan 1 buah Logo PU Akrilik ukuran 40x40 cm</v>
      </c>
      <c r="D776" s="176" t="s">
        <v>44</v>
      </c>
      <c r="E776" s="1038">
        <f>VLOOKUP(C776,Signage!$D$3:$I$171,6,FALSE)</f>
        <v>454900</v>
      </c>
      <c r="F776" s="1003" t="str">
        <f>VLOOKUP(C776,Signage!$D$3:$L$171,7,FALSE)</f>
        <v>Revisi</v>
      </c>
      <c r="G776" s="12" t="str">
        <f>VLOOKUP(C776,Signage!$D$3:$M$171,8,FALSE)</f>
        <v xml:space="preserve">Perubahan Nama bahan dan penghapusan peralatan </v>
      </c>
      <c r="H776" s="374"/>
      <c r="I776" s="16"/>
    </row>
    <row r="777" spans="1:9" ht="24" customHeight="1">
      <c r="B777" s="1037" t="str">
        <f>Signage!C154</f>
        <v>3.16.7</v>
      </c>
      <c r="C777" s="1097" t="str">
        <f>VLOOKUP(B777,Signage!C:K,2,FALSE)</f>
        <v xml:space="preserve">Pemasangan 1 buah Nomor Rumah Akrilik ukuran 15x30 cm </v>
      </c>
      <c r="D777" s="176" t="s">
        <v>44</v>
      </c>
      <c r="E777" s="1038">
        <f>VLOOKUP(C777,Signage!$D$3:$I$171,6,FALSE)</f>
        <v>75400</v>
      </c>
      <c r="F777" s="1003" t="str">
        <f>VLOOKUP(C777,Signage!$D$3:$L$171,7,FALSE)</f>
        <v>Revisi</v>
      </c>
      <c r="G777" s="12" t="str">
        <f>VLOOKUP(C777,Signage!$D$3:$M$171,8,FALSE)</f>
        <v xml:space="preserve"> penghapusan peralatan </v>
      </c>
      <c r="H777" s="374"/>
      <c r="I777" s="16"/>
    </row>
    <row r="778" spans="1:9" ht="24" customHeight="1">
      <c r="B778" s="1044" t="s">
        <v>5280</v>
      </c>
      <c r="C778" s="1002" t="s">
        <v>8782</v>
      </c>
      <c r="D778" s="995"/>
      <c r="E778" s="1026"/>
      <c r="F778" s="1009"/>
      <c r="G778" s="31"/>
      <c r="H778" s="374"/>
      <c r="I778" s="16"/>
    </row>
    <row r="779" spans="1:9" ht="24" customHeight="1">
      <c r="B779" s="1043" t="str">
        <f>Sanitair!C3</f>
        <v>3.18</v>
      </c>
      <c r="C779" s="1001" t="str">
        <f>VLOOKUP(B779,Sanitair!C:K,2,FALSE)</f>
        <v>PEKERJAAN SANITAIR</v>
      </c>
      <c r="D779" s="994"/>
      <c r="E779" s="1027"/>
      <c r="F779" s="1007"/>
      <c r="G779" s="30"/>
      <c r="H779" s="374"/>
      <c r="I779" s="16"/>
    </row>
    <row r="780" spans="1:9" ht="24" customHeight="1">
      <c r="B780" s="1041" t="str">
        <f>Sanitair!C4</f>
        <v>3.18.1</v>
      </c>
      <c r="C780" s="40" t="str">
        <f>VLOOKUP(B780,Sanitair!C:K,2,FALSE)</f>
        <v>WESTAFEL</v>
      </c>
      <c r="D780" s="19"/>
      <c r="E780" s="1030"/>
      <c r="F780" s="1003"/>
      <c r="G780" s="12"/>
      <c r="H780" s="374"/>
      <c r="I780" s="16"/>
    </row>
    <row r="781" spans="1:9" ht="24" customHeight="1">
      <c r="B781" s="1033" t="str">
        <f>Sanitair!C5</f>
        <v>3.18.1.1</v>
      </c>
      <c r="C781" s="39" t="str">
        <f>VLOOKUP(B781,Sanitair!C:K,2,FALSE)</f>
        <v>Pemasangan 1 buah wastafel</v>
      </c>
      <c r="D781" s="9" t="s">
        <v>44</v>
      </c>
      <c r="E781" s="1021">
        <f>VLOOKUP(C781,Sanitair!$D$3:$I$432,6,FALSE)</f>
        <v>1303500</v>
      </c>
      <c r="F781" s="1003">
        <f>VLOOKUP(C781,Sanitair!$D$3:$J$432,7,FALSE)</f>
        <v>0</v>
      </c>
      <c r="G781" s="12">
        <f>VLOOKUP(C781,Sanitair!$D$3:$K$432,8,FALSE)</f>
        <v>0</v>
      </c>
      <c r="H781" s="374"/>
      <c r="I781" s="16"/>
    </row>
    <row r="782" spans="1:9" s="1" customFormat="1" ht="24" customHeight="1">
      <c r="A782" s="47"/>
      <c r="B782" s="1041" t="str">
        <f>Sanitair!C24</f>
        <v>3.18.2</v>
      </c>
      <c r="C782" s="40" t="str">
        <f>VLOOKUP(B782,Sanitair!C:K,2,FALSE)</f>
        <v>KITCHEN SINK</v>
      </c>
      <c r="D782" s="19"/>
      <c r="E782" s="1042">
        <f>VLOOKUP(C782,Sanitair!$D$3:$I$432,6,FALSE)</f>
        <v>0</v>
      </c>
      <c r="F782" s="1003">
        <f>VLOOKUP(C782,Sanitair!$D$3:$J$432,7,FALSE)</f>
        <v>0</v>
      </c>
      <c r="G782" s="12">
        <f>VLOOKUP(C782,Sanitair!$D$3:$K$432,8,FALSE)</f>
        <v>0</v>
      </c>
      <c r="H782" s="1092"/>
      <c r="I782" s="21"/>
    </row>
    <row r="783" spans="1:9" ht="24" customHeight="1">
      <c r="B783" s="1033" t="str">
        <f>Sanitair!C25</f>
        <v>3.18.2.1</v>
      </c>
      <c r="C783" s="39" t="str">
        <f>VLOOKUP(B783,Sanitair!C:K,2,FALSE)</f>
        <v xml:space="preserve">Pemasangan 1 buah Bak Cuci Piring Stainlessteel </v>
      </c>
      <c r="D783" s="9" t="s">
        <v>44</v>
      </c>
      <c r="E783" s="1021">
        <f>VLOOKUP(C783,Sanitair!$D$3:$I$432,6,FALSE)</f>
        <v>662300</v>
      </c>
      <c r="F783" s="1003">
        <f>VLOOKUP(C783,Sanitair!$D$3:$J$432,7,FALSE)</f>
        <v>0</v>
      </c>
      <c r="G783" s="12">
        <f>VLOOKUP(C783,Sanitair!$D$3:$K$432,8,FALSE)</f>
        <v>0</v>
      </c>
      <c r="H783" s="374"/>
      <c r="I783" s="16"/>
    </row>
    <row r="784" spans="1:9" ht="24" customHeight="1">
      <c r="B784" s="1033" t="str">
        <f>Sanitair!C43</f>
        <v>3.18.2.2</v>
      </c>
      <c r="C784" s="39" t="str">
        <f>VLOOKUP(B784,Sanitair!C:K,2,FALSE)</f>
        <v xml:space="preserve">Pemasangan 1 Buah Bak Cuci Piring Teraso </v>
      </c>
      <c r="D784" s="9" t="s">
        <v>44</v>
      </c>
      <c r="E784" s="1021">
        <f>VLOOKUP(C784,Sanitair!$D$3:$I$432,6,FALSE)</f>
        <v>1138600</v>
      </c>
      <c r="F784" s="1003">
        <f>VLOOKUP(C784,Sanitair!$D$3:$J$432,7,FALSE)</f>
        <v>0</v>
      </c>
      <c r="G784" s="12">
        <f>VLOOKUP(C784,Sanitair!$D$3:$K$432,8,FALSE)</f>
        <v>0</v>
      </c>
      <c r="H784" s="374"/>
      <c r="I784" s="16"/>
    </row>
    <row r="785" spans="1:9" s="1" customFormat="1" ht="24" customHeight="1">
      <c r="A785" s="47"/>
      <c r="B785" s="1041" t="str">
        <f>Sanitair!C63</f>
        <v xml:space="preserve">3.18.3 </v>
      </c>
      <c r="C785" s="40" t="str">
        <f>VLOOKUP(B785,Sanitair!C:K,2,FALSE)</f>
        <v xml:space="preserve">KLOSET </v>
      </c>
      <c r="D785" s="19"/>
      <c r="E785" s="1021">
        <f>VLOOKUP(C785,Sanitair!$D$3:$I$432,6,FALSE)</f>
        <v>0</v>
      </c>
      <c r="F785" s="1003">
        <f>VLOOKUP(C785,Sanitair!$D$3:$J$432,7,FALSE)</f>
        <v>0</v>
      </c>
      <c r="G785" s="12">
        <f>VLOOKUP(C785,Sanitair!$D$3:$K$432,8,FALSE)</f>
        <v>0</v>
      </c>
      <c r="H785" s="1092"/>
      <c r="I785" s="21"/>
    </row>
    <row r="786" spans="1:9" ht="24" customHeight="1">
      <c r="B786" s="1033" t="str">
        <f>Sanitair!C64</f>
        <v>3.18.3.1</v>
      </c>
      <c r="C786" s="39" t="str">
        <f>VLOOKUP(B786,Sanitair!C:K,2,FALSE)</f>
        <v>Pemasangan 1 buah closet duduk/monoblock</v>
      </c>
      <c r="D786" s="9" t="s">
        <v>44</v>
      </c>
      <c r="E786" s="1021">
        <f>VLOOKUP(C786,Sanitair!$D$3:$I$432,6,FALSE)</f>
        <v>1997300</v>
      </c>
      <c r="F786" s="1003">
        <f>VLOOKUP(C786,Sanitair!$D$3:$J$432,7,FALSE)</f>
        <v>0</v>
      </c>
      <c r="G786" s="12">
        <f>VLOOKUP(C786,Sanitair!$D$3:$K$432,8,FALSE)</f>
        <v>0</v>
      </c>
      <c r="H786" s="374"/>
      <c r="I786" s="16"/>
    </row>
    <row r="787" spans="1:9" ht="24" customHeight="1">
      <c r="B787" s="1033" t="str">
        <f>Sanitair!C82</f>
        <v>3.18.3.2</v>
      </c>
      <c r="C787" s="1159" t="str">
        <f>VLOOKUP(B787,Sanitair!C:K,2,FALSE)</f>
        <v>Pemasangan 1 buah closet jongkok</v>
      </c>
      <c r="D787" s="9" t="s">
        <v>44</v>
      </c>
      <c r="E787" s="1021">
        <f>VLOOKUP(C787,Sanitair!$D$3:$I$432,6,FALSE)</f>
        <v>570800</v>
      </c>
      <c r="F787" s="1003">
        <f>VLOOKUP(C787,Sanitair!$D$3:$J$432,7,FALSE)</f>
        <v>0</v>
      </c>
      <c r="G787" s="12">
        <f>VLOOKUP(C787,Sanitair!$D$3:$K$432,8,FALSE)</f>
        <v>0</v>
      </c>
      <c r="H787" s="374"/>
      <c r="I787" s="16"/>
    </row>
    <row r="788" spans="1:9" ht="24" customHeight="1">
      <c r="B788" s="1033" t="str">
        <f>Sanitair!C100</f>
        <v>3.18.3.3</v>
      </c>
      <c r="C788" s="39" t="str">
        <f>VLOOKUP(B788,Sanitair!C:K,2,FALSE)</f>
        <v>Pemasangan 1 m2 kubikel toilet</v>
      </c>
      <c r="D788" s="9" t="s">
        <v>62</v>
      </c>
      <c r="E788" s="1021">
        <f>VLOOKUP(C788,Sanitair!$D$3:$I$432,6,FALSE)</f>
        <v>19500</v>
      </c>
      <c r="F788" s="1003">
        <f>VLOOKUP(C788,Sanitair!$D$3:$J$432,7,FALSE)</f>
        <v>0</v>
      </c>
      <c r="G788" s="12">
        <f>VLOOKUP(C788,Sanitair!$D$3:$K$432,8,FALSE)</f>
        <v>0</v>
      </c>
      <c r="H788" s="374"/>
      <c r="I788" s="16"/>
    </row>
    <row r="789" spans="1:9" s="1" customFormat="1" ht="24" customHeight="1">
      <c r="A789" s="47"/>
      <c r="B789" s="1041" t="str">
        <f>Sanitair!C118</f>
        <v>3.18.4</v>
      </c>
      <c r="C789" s="40" t="str">
        <f>VLOOKUP(B789,Sanitair!C:K,2,FALSE)</f>
        <v>URINOIR</v>
      </c>
      <c r="D789" s="19"/>
      <c r="E789" s="1021">
        <f>VLOOKUP(C789,Sanitair!$D$3:$I$432,6,FALSE)</f>
        <v>0</v>
      </c>
      <c r="F789" s="1003">
        <f>VLOOKUP(C789,Sanitair!$D$3:$J$432,7,FALSE)</f>
        <v>0</v>
      </c>
      <c r="G789" s="12">
        <f>VLOOKUP(C789,Sanitair!$D$3:$K$432,8,FALSE)</f>
        <v>0</v>
      </c>
      <c r="H789" s="1092"/>
      <c r="I789" s="21"/>
    </row>
    <row r="790" spans="1:9" ht="24" customHeight="1">
      <c r="B790" s="1033" t="str">
        <f>Sanitair!C119</f>
        <v>3.18.4.1</v>
      </c>
      <c r="C790" s="39" t="str">
        <f>VLOOKUP(B790,Sanitair!C:K,2,FALSE)</f>
        <v>Pemasangan 1 buah urinoir</v>
      </c>
      <c r="D790" s="9" t="s">
        <v>44</v>
      </c>
      <c r="E790" s="1021">
        <f>VLOOKUP(C790,Sanitair!$D$3:$I$432,6,FALSE)</f>
        <v>294300</v>
      </c>
      <c r="F790" s="1003">
        <f>VLOOKUP(C790,Sanitair!$D$3:$J$432,7,FALSE)</f>
        <v>0</v>
      </c>
      <c r="G790" s="12">
        <f>VLOOKUP(C790,Sanitair!$D$3:$K$432,8,FALSE)</f>
        <v>0</v>
      </c>
      <c r="H790" s="374"/>
      <c r="I790" s="16"/>
    </row>
    <row r="791" spans="1:9" ht="24" customHeight="1">
      <c r="B791" s="1033" t="str">
        <f>Sanitair!C138</f>
        <v>3.18.4.2</v>
      </c>
      <c r="C791" s="39" t="str">
        <f>VLOOKUP(B791,Sanitair!C:K,2,FALSE)</f>
        <v>Pemasangan 1 buah partisi urinoir</v>
      </c>
      <c r="D791" s="9" t="s">
        <v>44</v>
      </c>
      <c r="E791" s="1021">
        <f>VLOOKUP(C791,Sanitair!$D$3:$I$432,6,FALSE)</f>
        <v>226100</v>
      </c>
      <c r="F791" s="1003">
        <f>VLOOKUP(C791,Sanitair!$D$3:$J$432,7,FALSE)</f>
        <v>0</v>
      </c>
      <c r="G791" s="12">
        <f>VLOOKUP(C791,Sanitair!$D$3:$K$432,8,FALSE)</f>
        <v>0</v>
      </c>
      <c r="H791" s="374"/>
      <c r="I791" s="16"/>
    </row>
    <row r="792" spans="1:9" s="1" customFormat="1" ht="24" customHeight="1">
      <c r="A792" s="47"/>
      <c r="B792" s="1041" t="str">
        <f>Sanitair!C156</f>
        <v>3.18.5</v>
      </c>
      <c r="C792" s="40" t="str">
        <f>VLOOKUP(B792,Sanitair!C:K,2,FALSE)</f>
        <v xml:space="preserve">BAK AIR </v>
      </c>
      <c r="D792" s="19"/>
      <c r="E792" s="1021">
        <f>VLOOKUP(C792,Sanitair!$D$3:$I$432,6,FALSE)</f>
        <v>0</v>
      </c>
      <c r="F792" s="1003">
        <f>VLOOKUP(C792,Sanitair!$D$3:$J$432,7,FALSE)</f>
        <v>0</v>
      </c>
      <c r="G792" s="12">
        <f>VLOOKUP(C792,Sanitair!$D$3:$K$432,8,FALSE)</f>
        <v>0</v>
      </c>
      <c r="H792" s="1092"/>
      <c r="I792" s="21"/>
    </row>
    <row r="793" spans="1:9" ht="24" customHeight="1">
      <c r="B793" s="1033" t="str">
        <f>Sanitair!C157</f>
        <v>3.18.5.1</v>
      </c>
      <c r="C793" s="39" t="str">
        <f>VLOOKUP(B793,Sanitair!C:K,2,FALSE)</f>
        <v>Pemasangan 1 buah bak mandi teraso vol. 0,3 m3</v>
      </c>
      <c r="D793" s="9" t="s">
        <v>44</v>
      </c>
      <c r="E793" s="1021">
        <f>VLOOKUP(C793,Sanitair!$D$3:$I$432,6,FALSE)</f>
        <v>1654400</v>
      </c>
      <c r="F793" s="1003">
        <f>VLOOKUP(C793,Sanitair!$D$3:$J$432,7,FALSE)</f>
        <v>0</v>
      </c>
      <c r="G793" s="12">
        <f>VLOOKUP(C793,Sanitair!$D$3:$K$432,8,FALSE)</f>
        <v>0</v>
      </c>
      <c r="H793" s="374"/>
      <c r="I793" s="16"/>
    </row>
    <row r="794" spans="1:9" ht="24" customHeight="1">
      <c r="B794" s="1033" t="str">
        <f>Sanitair!C175</f>
        <v>3.18.5.2</v>
      </c>
      <c r="C794" s="39" t="str">
        <f>VLOOKUP(B794,Sanitair!C:K,2,FALSE)</f>
        <v>Pemasangan 1 buah bak mandi pasangan bata vol. 0,3 m3</v>
      </c>
      <c r="D794" s="9" t="s">
        <v>44</v>
      </c>
      <c r="E794" s="1021">
        <f>VLOOKUP(C794,Sanitair!$D$3:$I$432,6,FALSE)</f>
        <v>1988500</v>
      </c>
      <c r="F794" s="1003">
        <f>VLOOKUP(C794,Sanitair!$D$3:$J$432,7,FALSE)</f>
        <v>0</v>
      </c>
      <c r="G794" s="12">
        <f>VLOOKUP(C794,Sanitair!$D$3:$K$432,8,FALSE)</f>
        <v>0</v>
      </c>
      <c r="H794" s="374"/>
      <c r="I794" s="16"/>
    </row>
    <row r="795" spans="1:9" ht="24" customHeight="1">
      <c r="B795" s="1033" t="str">
        <f>Sanitair!C195</f>
        <v>3.18.5.3</v>
      </c>
      <c r="C795" s="39" t="str">
        <f>VLOOKUP(B795,Sanitair!C:K,2,FALSE)</f>
        <v>Pemasangan 1 buah bak fiberglass vol. 0,3 m3</v>
      </c>
      <c r="D795" s="9" t="s">
        <v>44</v>
      </c>
      <c r="E795" s="1021">
        <f>VLOOKUP(C795,Sanitair!$D$3:$I$432,6,FALSE)</f>
        <v>580500</v>
      </c>
      <c r="F795" s="1003">
        <f>VLOOKUP(C795,Sanitair!$D$3:$J$432,7,FALSE)</f>
        <v>0</v>
      </c>
      <c r="G795" s="12">
        <f>VLOOKUP(C795,Sanitair!$D$3:$K$432,8,FALSE)</f>
        <v>0</v>
      </c>
      <c r="H795" s="374"/>
      <c r="I795" s="16"/>
    </row>
    <row r="796" spans="1:9" ht="24" customHeight="1">
      <c r="B796" s="1033" t="str">
        <f>Sanitair!C214</f>
        <v>3.18.5.4</v>
      </c>
      <c r="C796" s="39" t="str">
        <f>VLOOKUP(B796,Sanitair!C:K,2,FALSE)</f>
        <v>Pemasangan 1 buah bak fiberglass vol. 1 m3</v>
      </c>
      <c r="D796" s="9" t="s">
        <v>44</v>
      </c>
      <c r="E796" s="1021">
        <f>VLOOKUP(C796,Sanitair!$D$3:$I$432,6,FALSE)</f>
        <v>659300</v>
      </c>
      <c r="F796" s="1003">
        <f>VLOOKUP(C796,Sanitair!$D$3:$J$432,7,FALSE)</f>
        <v>0</v>
      </c>
      <c r="G796" s="12">
        <f>VLOOKUP(C796,Sanitair!$D$3:$K$432,8,FALSE)</f>
        <v>0</v>
      </c>
      <c r="H796" s="374"/>
      <c r="I796" s="16"/>
    </row>
    <row r="797" spans="1:9" ht="24" customHeight="1">
      <c r="B797" s="1033" t="str">
        <f>Sanitair!C233</f>
        <v>3.18.5.5</v>
      </c>
      <c r="C797" s="39" t="str">
        <f>VLOOKUP(B797,Sanitair!C:K,2,FALSE)</f>
        <v>Pemasangan 1 buah bak beton vol. 1 m3</v>
      </c>
      <c r="D797" s="9" t="s">
        <v>44</v>
      </c>
      <c r="E797" s="1021" t="e">
        <f>VLOOKUP(C797,Sanitair!$D$3:$I$432,6,FALSE)</f>
        <v>#VALUE!</v>
      </c>
      <c r="F797" s="1003">
        <f>VLOOKUP(C797,Sanitair!$D$3:$J$432,7,FALSE)</f>
        <v>0</v>
      </c>
      <c r="G797" s="12">
        <f>VLOOKUP(C797,Sanitair!$D$3:$K$432,8,FALSE)</f>
        <v>0</v>
      </c>
      <c r="H797" s="374"/>
      <c r="I797" s="16"/>
    </row>
    <row r="798" spans="1:9" ht="24" customHeight="1">
      <c r="B798" s="1033" t="str">
        <f>Sanitair!C255</f>
        <v>3.18.5.6</v>
      </c>
      <c r="C798" s="39" t="str">
        <f>VLOOKUP(B798,Sanitair!C:K,2,FALSE)</f>
        <v>Pemasangan 1 buah bathup</v>
      </c>
      <c r="D798" s="9" t="s">
        <v>44</v>
      </c>
      <c r="E798" s="1021">
        <f>VLOOKUP(C798,Sanitair!$D$3:$I$432,6,FALSE)</f>
        <v>2946900</v>
      </c>
      <c r="F798" s="1003">
        <f>VLOOKUP(C798,Sanitair!$D$3:$J$432,7,FALSE)</f>
        <v>0</v>
      </c>
      <c r="G798" s="12">
        <f>VLOOKUP(C798,Sanitair!$D$3:$K$432,8,FALSE)</f>
        <v>0</v>
      </c>
      <c r="H798" s="374"/>
      <c r="I798" s="16"/>
    </row>
    <row r="799" spans="1:9" s="1" customFormat="1" ht="24" customHeight="1">
      <c r="A799" s="47"/>
      <c r="B799" s="1041" t="str">
        <f>Sanitair!C274</f>
        <v>3.18.6</v>
      </c>
      <c r="C799" s="40" t="str">
        <f>VLOOKUP(B799,Sanitair!C:K,2,FALSE)</f>
        <v>AKSESORIS SANITAIR</v>
      </c>
      <c r="D799" s="19"/>
      <c r="E799" s="1021">
        <f>VLOOKUP(C799,Sanitair!$D$3:$I$432,6,FALSE)</f>
        <v>0</v>
      </c>
      <c r="F799" s="1003">
        <f>VLOOKUP(C799,Sanitair!$D$3:$J$432,7,FALSE)</f>
        <v>0</v>
      </c>
      <c r="G799" s="12">
        <f>VLOOKUP(C799,Sanitair!$D$3:$K$432,8,FALSE)</f>
        <v>0</v>
      </c>
      <c r="H799" s="1092"/>
      <c r="I799" s="21"/>
    </row>
    <row r="800" spans="1:9" ht="24" customHeight="1">
      <c r="B800" s="1033" t="str">
        <f>Sanitair!C275</f>
        <v>3.18.6.1</v>
      </c>
      <c r="C800" s="1159" t="str">
        <f>VLOOKUP(B800,Sanitair!C:K,2,FALSE)</f>
        <v>Pemasangan 1 buah floor drain stainless steel</v>
      </c>
      <c r="D800" s="9" t="s">
        <v>44</v>
      </c>
      <c r="E800" s="1021">
        <f>VLOOKUP(C800,Sanitair!$D$3:$I$432,6,FALSE)</f>
        <v>45600</v>
      </c>
      <c r="F800" s="1003">
        <f>VLOOKUP(C800,Sanitair!$D$3:$J$432,7,FALSE)</f>
        <v>0</v>
      </c>
      <c r="G800" s="12">
        <f>VLOOKUP(C800,Sanitair!$D$3:$K$432,8,FALSE)</f>
        <v>0</v>
      </c>
      <c r="H800" s="374"/>
      <c r="I800" s="16"/>
    </row>
    <row r="801" spans="2:9" ht="24" customHeight="1">
      <c r="B801" s="1033" t="str">
        <f>Sanitair!C292</f>
        <v>3.18.6.2</v>
      </c>
      <c r="C801" s="39" t="str">
        <f>VLOOKUP(B801,Sanitair!C:K,2,FALSE)</f>
        <v xml:space="preserve">Pemasanga 1 Buah Kran </v>
      </c>
      <c r="D801" s="9" t="s">
        <v>44</v>
      </c>
      <c r="E801" s="1021">
        <f>VLOOKUP(C801,Sanitair!$D$3:$I$432,6,FALSE)</f>
        <v>0</v>
      </c>
      <c r="F801" s="1003">
        <f>VLOOKUP(C801,Sanitair!$D$3:$J$432,7,FALSE)</f>
        <v>0</v>
      </c>
      <c r="G801" s="12">
        <f>VLOOKUP(C801,Sanitair!$D$3:$K$432,8,FALSE)</f>
        <v>0</v>
      </c>
      <c r="H801" s="374"/>
      <c r="I801" s="16"/>
    </row>
    <row r="802" spans="2:9" ht="24" customHeight="1">
      <c r="B802" s="1033" t="str">
        <f>Sanitair!C293</f>
        <v>3.18.6.2.1</v>
      </c>
      <c r="C802" s="1159" t="str">
        <f>VLOOKUP(B802,Sanitair!C:K,2,FALSE)</f>
        <v>Pemasangan 1 buah kran diameter ½" atau 3/4"</v>
      </c>
      <c r="D802" s="9" t="s">
        <v>44</v>
      </c>
      <c r="E802" s="1021">
        <f>VLOOKUP(C802,Sanitair!$D$3:$I$432,6,FALSE)</f>
        <v>98500</v>
      </c>
      <c r="F802" s="1003">
        <f>VLOOKUP(C802,Sanitair!$D$3:$J$432,7,FALSE)</f>
        <v>0</v>
      </c>
      <c r="G802" s="12">
        <f>VLOOKUP(C802,Sanitair!$D$3:$K$432,8,FALSE)</f>
        <v>0</v>
      </c>
      <c r="H802" s="374"/>
      <c r="I802" s="16"/>
    </row>
    <row r="803" spans="2:9" ht="24" customHeight="1">
      <c r="B803" s="1033" t="str">
        <f>Sanitair!C311</f>
        <v>3.18.6.3</v>
      </c>
      <c r="C803" s="39" t="str">
        <f>VLOOKUP(B803,Sanitair!C:K,2,FALSE)</f>
        <v>Pemasangan 1 buah jet washer</v>
      </c>
      <c r="D803" s="9" t="s">
        <v>44</v>
      </c>
      <c r="E803" s="1021">
        <f>VLOOKUP(C803,Sanitair!$D$3:$I$432,6,FALSE)</f>
        <v>179600</v>
      </c>
      <c r="F803" s="1003">
        <f>VLOOKUP(C803,Sanitair!$D$3:$J$432,7,FALSE)</f>
        <v>0</v>
      </c>
      <c r="G803" s="12">
        <f>VLOOKUP(C803,Sanitair!$D$3:$K$432,8,FALSE)</f>
        <v>0</v>
      </c>
      <c r="H803" s="374"/>
      <c r="I803" s="16"/>
    </row>
    <row r="804" spans="2:9" ht="24" customHeight="1">
      <c r="B804" s="1033" t="str">
        <f>Sanitair!C329</f>
        <v>3.18.6.4</v>
      </c>
      <c r="C804" s="39" t="str">
        <f>VLOOKUP(B804,Sanitair!C:K,2,FALSE)</f>
        <v>Pemasangan 1 buah gantungan baju (robe hook)</v>
      </c>
      <c r="D804" s="9" t="s">
        <v>44</v>
      </c>
      <c r="E804" s="1021">
        <f>VLOOKUP(C804,Sanitair!$D$3:$I$432,6,FALSE)</f>
        <v>18100</v>
      </c>
      <c r="F804" s="1003">
        <f>VLOOKUP(C804,Sanitair!$D$3:$J$432,7,FALSE)</f>
        <v>0</v>
      </c>
      <c r="G804" s="12">
        <f>VLOOKUP(C804,Sanitair!$D$3:$K$432,8,FALSE)</f>
        <v>0</v>
      </c>
      <c r="H804" s="374"/>
      <c r="I804" s="16"/>
    </row>
    <row r="805" spans="2:9" ht="24" customHeight="1">
      <c r="B805" s="1033" t="str">
        <f>Sanitair!C346</f>
        <v>3.18.6.5</v>
      </c>
      <c r="C805" s="39" t="str">
        <f>VLOOKUP(B805,Sanitair!C:K,2,FALSE)</f>
        <v>Pemasangan 1 buah towel bar</v>
      </c>
      <c r="D805" s="9" t="s">
        <v>44</v>
      </c>
      <c r="E805" s="1021">
        <f>VLOOKUP(C805,Sanitair!$D$3:$I$432,6,FALSE)</f>
        <v>18100</v>
      </c>
      <c r="F805" s="1003">
        <f>VLOOKUP(C805,Sanitair!$D$3:$J$432,7,FALSE)</f>
        <v>0</v>
      </c>
      <c r="G805" s="12">
        <f>VLOOKUP(C805,Sanitair!$D$3:$K$432,8,FALSE)</f>
        <v>0</v>
      </c>
      <c r="H805" s="374"/>
      <c r="I805" s="16"/>
    </row>
    <row r="806" spans="2:9" ht="24" customHeight="1">
      <c r="B806" s="1033" t="str">
        <f>Sanitair!C363</f>
        <v>3.18.6.6</v>
      </c>
      <c r="C806" s="39" t="str">
        <f>VLOOKUP(B806,Sanitair!C:K,2,FALSE)</f>
        <v>Pemasangan 1 buah grab bar</v>
      </c>
      <c r="D806" s="9" t="s">
        <v>44</v>
      </c>
      <c r="E806" s="1021">
        <f>VLOOKUP(C806,Sanitair!$D$3:$I$432,6,FALSE)</f>
        <v>150100</v>
      </c>
      <c r="F806" s="1003">
        <f>VLOOKUP(C806,Sanitair!$D$3:$J$432,7,FALSE)</f>
        <v>0</v>
      </c>
      <c r="G806" s="12">
        <f>VLOOKUP(C806,Sanitair!$D$3:$K$432,8,FALSE)</f>
        <v>0</v>
      </c>
      <c r="H806" s="374"/>
      <c r="I806" s="16"/>
    </row>
    <row r="807" spans="2:9" ht="24" customHeight="1">
      <c r="B807" s="1033" t="str">
        <f>Sanitair!C381</f>
        <v>3.18.6.7</v>
      </c>
      <c r="C807" s="39" t="str">
        <f>VLOOKUP(B807,Sanitair!C:K,2,FALSE)</f>
        <v>Pemasangan 1 buah soap holder</v>
      </c>
      <c r="D807" s="9" t="s">
        <v>44</v>
      </c>
      <c r="E807" s="1021">
        <f>VLOOKUP(C807,Sanitair!$D$3:$I$432,6,FALSE)</f>
        <v>18100</v>
      </c>
      <c r="F807" s="1003">
        <f>VLOOKUP(C807,Sanitair!$D$3:$J$432,7,FALSE)</f>
        <v>0</v>
      </c>
      <c r="G807" s="12">
        <f>VLOOKUP(C807,Sanitair!$D$3:$K$432,8,FALSE)</f>
        <v>0</v>
      </c>
      <c r="H807" s="374"/>
      <c r="I807" s="16"/>
    </row>
    <row r="808" spans="2:9" ht="24" customHeight="1">
      <c r="B808" s="1033" t="str">
        <f>Sanitair!C398</f>
        <v>3.18.6.8</v>
      </c>
      <c r="C808" s="39" t="str">
        <f>VLOOKUP(B808,Sanitair!C:K,2,FALSE)</f>
        <v>Pemasangan 1 buah tissue holder</v>
      </c>
      <c r="D808" s="9" t="s">
        <v>44</v>
      </c>
      <c r="E808" s="1021">
        <f>VLOOKUP(C808,Sanitair!$D$3:$I$432,6,FALSE)</f>
        <v>18100</v>
      </c>
      <c r="F808" s="1003">
        <f>VLOOKUP(C808,Sanitair!$D$3:$J$432,7,FALSE)</f>
        <v>0</v>
      </c>
      <c r="G808" s="12">
        <f>VLOOKUP(C808,Sanitair!$D$3:$K$432,8,FALSE)</f>
        <v>0</v>
      </c>
      <c r="H808" s="374"/>
      <c r="I808" s="16"/>
    </row>
    <row r="809" spans="2:9" ht="24" customHeight="1">
      <c r="B809" s="1033" t="str">
        <f>Sanitair!C415</f>
        <v>3.18.6.9</v>
      </c>
      <c r="C809" s="39" t="str">
        <f>VLOOKUP(B809,Sanitair!C:K,2,FALSE)</f>
        <v>Pemasangan 1 buah Shower Set</v>
      </c>
      <c r="D809" s="9" t="s">
        <v>44</v>
      </c>
      <c r="E809" s="1021">
        <f>VLOOKUP(C809,Sanitair!$D$3:$I$432,6,FALSE)</f>
        <v>69600</v>
      </c>
      <c r="F809" s="1003">
        <f>VLOOKUP(C809,Sanitair!$D$3:$J$432,7,FALSE)</f>
        <v>0</v>
      </c>
      <c r="G809" s="12">
        <f>VLOOKUP(C809,Sanitair!$D$3:$K$432,8,FALSE)</f>
        <v>0</v>
      </c>
      <c r="H809" s="374"/>
      <c r="I809" s="16"/>
    </row>
    <row r="810" spans="2:9" ht="24" customHeight="1">
      <c r="B810" s="1028">
        <f>Lansekap!C2</f>
        <v>4</v>
      </c>
      <c r="C810" s="984" t="str">
        <f>VLOOKUP(B810,Lansekap!C:T,2,FALSE)</f>
        <v xml:space="preserve">PEKERJAAN LANSEKAP </v>
      </c>
      <c r="D810" s="985"/>
      <c r="E810" s="1029"/>
      <c r="F810" s="1008"/>
      <c r="G810" s="18"/>
    </row>
    <row r="811" spans="2:9" ht="24" customHeight="1">
      <c r="B811" s="1043" t="str">
        <f>Lansekap!C3</f>
        <v xml:space="preserve">4.1 </v>
      </c>
      <c r="C811" s="41" t="str">
        <f>VLOOKUP(B811,Lansekap!C:T,2,FALSE)</f>
        <v xml:space="preserve">Pekerjaan Penanaman Taman </v>
      </c>
      <c r="D811" s="994"/>
      <c r="E811" s="1027"/>
      <c r="F811" s="1007"/>
      <c r="G811" s="30"/>
      <c r="H811" s="374"/>
      <c r="I811" s="16"/>
    </row>
    <row r="812" spans="2:9" ht="24" customHeight="1">
      <c r="B812" s="1046" t="str">
        <f>Lansekap!C4</f>
        <v>4.1.1</v>
      </c>
      <c r="C812" s="987" t="str">
        <f>VLOOKUP(B812,Lansekap!C:T,2,FALSE)</f>
        <v xml:space="preserve">HSD Pengadaan dan Pengangkutan Tanaman </v>
      </c>
      <c r="D812" s="587"/>
      <c r="E812" s="1040"/>
      <c r="F812" s="1004"/>
      <c r="G812" s="36"/>
      <c r="H812" s="374"/>
      <c r="I812" s="16"/>
    </row>
    <row r="813" spans="2:9" ht="24" customHeight="1">
      <c r="B813" s="1033" t="str">
        <f>Lansekap!C5</f>
        <v>4.1.1.1</v>
      </c>
      <c r="C813" s="12" t="str">
        <f>VLOOKUP(B813,Lansekap!C:T,2,FALSE)</f>
        <v xml:space="preserve">Analisa Biaya Operasi Alat Berat untuk Pengangkutan Tanaman </v>
      </c>
      <c r="D813" s="9" t="s">
        <v>44</v>
      </c>
      <c r="E813" s="1021" t="str">
        <f>VLOOKUP(C813,Lansekap!$D$2:$R$572,15,FALSE)</f>
        <v xml:space="preserve"> -</v>
      </c>
      <c r="F813" s="1003" t="str">
        <f>VLOOKUP(C813,Lansekap!$D$2:$S$572,16,FALSE)</f>
        <v>Revisi</v>
      </c>
      <c r="G813" s="12" t="str">
        <f>VLOOKUP(C813,Lansekap!$D$2:$T$572,17,FALSE)</f>
        <v xml:space="preserve">Judul dan semua item ini diganti </v>
      </c>
      <c r="H813" s="374"/>
      <c r="I813" s="16"/>
    </row>
    <row r="814" spans="2:9" ht="24" customHeight="1">
      <c r="B814" s="1033" t="str">
        <f>Lansekap!C42</f>
        <v>4.1.1.2</v>
      </c>
      <c r="C814" s="12" t="str">
        <f>VLOOKUP(B814,Lansekap!C:T,2,FALSE)</f>
        <v xml:space="preserve">Analisis Produktivitas Truck Angkutan Pohon Kecil di Polybag 20 Liter </v>
      </c>
      <c r="D814" s="9" t="s">
        <v>44</v>
      </c>
      <c r="E814" s="1021" t="str">
        <f>VLOOKUP(C814,Lansekap!$D$2:$R$572,15,FALSE)</f>
        <v xml:space="preserve"> -</v>
      </c>
      <c r="F814" s="1003" t="str">
        <f>VLOOKUP(C814,Lansekap!$D$2:$S$572,16,FALSE)</f>
        <v>Revisi</v>
      </c>
      <c r="G814" s="12" t="str">
        <f>VLOOKUP(C814,Lansekap!$D$2:$T$572,17,FALSE)</f>
        <v xml:space="preserve">Judul dan semua </v>
      </c>
      <c r="H814" s="374"/>
      <c r="I814" s="16"/>
    </row>
    <row r="815" spans="2:9" ht="24" customHeight="1">
      <c r="B815" s="1033" t="str">
        <f>Lansekap!C86</f>
        <v>4.1.1.3</v>
      </c>
      <c r="C815" s="12" t="str">
        <f>VLOOKUP(B815,Lansekap!C:T,2,FALSE)</f>
        <v xml:space="preserve">Pengadaan dan Pengangkutan Pohon Kecil di Polybag 20 Liter </v>
      </c>
      <c r="D815" s="9" t="s">
        <v>44</v>
      </c>
      <c r="E815" s="1021">
        <f>VLOOKUP(C815,Lansekap!$D$2:$R$572,15,FALSE)</f>
        <v>9100</v>
      </c>
      <c r="F815" s="1003" t="str">
        <f>VLOOKUP(C815,Lansekap!$D$2:$S$572,16,FALSE)</f>
        <v xml:space="preserve">Revisi </v>
      </c>
      <c r="G815" s="12" t="str">
        <f>VLOOKUP(C815,Lansekap!$D$2:$T$572,17,FALSE)</f>
        <v xml:space="preserve">semua </v>
      </c>
      <c r="H815" s="374"/>
      <c r="I815" s="16"/>
    </row>
    <row r="816" spans="2:9" ht="24" customHeight="1">
      <c r="B816" s="1033" t="str">
        <f>Lansekap!C103</f>
        <v>4.1.1.4</v>
      </c>
      <c r="C816" s="12" t="str">
        <f>VLOOKUP(B816,Lansekap!C:T,2,FALSE)</f>
        <v xml:space="preserve">Analisis Produktivitas Truck Angkut Pohon Kecil di Polybag 25 Liter  </v>
      </c>
      <c r="D816" s="9" t="s">
        <v>44</v>
      </c>
      <c r="E816" s="1021" t="str">
        <f>VLOOKUP(C816,Lansekap!$D$2:$R$572,15,FALSE)</f>
        <v xml:space="preserve"> -</v>
      </c>
      <c r="F816" s="1003" t="str">
        <f>VLOOKUP(C816,Lansekap!$D$2:$S$572,16,FALSE)</f>
        <v>Revisi</v>
      </c>
      <c r="G816" s="12" t="str">
        <f>VLOOKUP(C816,Lansekap!$D$2:$T$572,17,FALSE)</f>
        <v xml:space="preserve">Semuanya mulai dari judul item </v>
      </c>
      <c r="H816" s="374"/>
      <c r="I816" s="16"/>
    </row>
    <row r="817" spans="2:9" ht="24" customHeight="1">
      <c r="B817" s="1033" t="str">
        <f>Lansekap!C147</f>
        <v>4.1.1.5</v>
      </c>
      <c r="C817" s="12" t="str">
        <f>VLOOKUP(B817,Lansekap!C:T,2,FALSE)</f>
        <v xml:space="preserve">Pengadaan dan Pengangkutan Pohon Kecil di Polybag 25 Liter </v>
      </c>
      <c r="D817" s="9" t="s">
        <v>44</v>
      </c>
      <c r="E817" s="1021">
        <f>VLOOKUP(C817,Lansekap!$D$2:$R$572,15,FALSE)</f>
        <v>12700</v>
      </c>
      <c r="F817" s="1003" t="str">
        <f>VLOOKUP(C817,Lansekap!$D$2:$S$572,16,FALSE)</f>
        <v xml:space="preserve">Revisi </v>
      </c>
      <c r="G817" s="12" t="str">
        <f>VLOOKUP(C817,Lansekap!$D$2:$T$572,17,FALSE)</f>
        <v xml:space="preserve">Perubahan semua mulai dr judul item </v>
      </c>
      <c r="H817" s="374"/>
      <c r="I817" s="16"/>
    </row>
    <row r="818" spans="2:9" ht="24" customHeight="1">
      <c r="B818" s="1033" t="str">
        <f>Lansekap!C164</f>
        <v>4.1.1.6</v>
      </c>
      <c r="C818" s="12" t="str">
        <f>VLOOKUP(B818,Lansekap!C:T,2,FALSE)</f>
        <v xml:space="preserve">Analisis Produktivitas Truck Angkutan Pohon Sedang di Polybag 50 Liter </v>
      </c>
      <c r="D818" s="9" t="s">
        <v>44</v>
      </c>
      <c r="E818" s="1021">
        <f>VLOOKUP(C818,Lansekap!$D$2:$R$572,15,FALSE)</f>
        <v>0</v>
      </c>
      <c r="F818" s="1003" t="str">
        <f>VLOOKUP(C818,Lansekap!$D$2:$S$572,16,FALSE)</f>
        <v xml:space="preserve">Baru </v>
      </c>
      <c r="G818" s="12" t="str">
        <f>VLOOKUP(C818,Lansekap!$D$2:$T$572,17,FALSE)</f>
        <v xml:space="preserve">Penambahan Item ini sebelumnya tidak ada </v>
      </c>
      <c r="H818" s="374"/>
      <c r="I818" s="16"/>
    </row>
    <row r="819" spans="2:9" ht="24" customHeight="1">
      <c r="B819" s="1033" t="str">
        <f>Lansekap!C207</f>
        <v>4.1.1.7</v>
      </c>
      <c r="C819" s="12" t="str">
        <f>VLOOKUP(B819,Lansekap!C:T,2,FALSE)</f>
        <v xml:space="preserve">Pengadaan dan Pengangkutan Pohon Sedang di Polybag 50 Liter </v>
      </c>
      <c r="D819" s="9" t="s">
        <v>44</v>
      </c>
      <c r="E819" s="1021">
        <f>VLOOKUP(C819,Lansekap!$D$2:$R$572,15,FALSE)</f>
        <v>13200</v>
      </c>
      <c r="F819" s="1003" t="str">
        <f>VLOOKUP(C819,Lansekap!$D$2:$S$572,16,FALSE)</f>
        <v xml:space="preserve">Baru </v>
      </c>
      <c r="G819" s="12" t="str">
        <f>VLOOKUP(C819,Lansekap!$D$2:$T$572,17,FALSE)</f>
        <v>Penambahan item ini</v>
      </c>
      <c r="H819" s="374"/>
      <c r="I819" s="16"/>
    </row>
    <row r="820" spans="2:9" ht="24" customHeight="1">
      <c r="B820" s="1033" t="str">
        <f>Lansekap!C223</f>
        <v>4.1.1.8</v>
      </c>
      <c r="C820" s="12" t="str">
        <f>VLOOKUP(B820,Lansekap!C:T,2,FALSE)</f>
        <v xml:space="preserve">Analisis Poduktivitas Truck Angkutan Pohon Sedang di Polybag 75 Liter </v>
      </c>
      <c r="D820" s="9" t="s">
        <v>44</v>
      </c>
      <c r="E820" s="1021">
        <f>VLOOKUP(C820,Lansekap!$D$2:$R$572,15,FALSE)</f>
        <v>0</v>
      </c>
      <c r="F820" s="1003" t="str">
        <f>VLOOKUP(C820,Lansekap!$D$2:$S$572,16,FALSE)</f>
        <v xml:space="preserve">Baru </v>
      </c>
      <c r="G820" s="12" t="str">
        <f>VLOOKUP(C820,Lansekap!$D$2:$T$572,17,FALSE)</f>
        <v xml:space="preserve">Penambahan Item ini sebelumnya tidak ada </v>
      </c>
      <c r="H820" s="374"/>
      <c r="I820" s="16"/>
    </row>
    <row r="821" spans="2:9" ht="24" customHeight="1">
      <c r="B821" s="1033" t="str">
        <f>Lansekap!C266</f>
        <v>4.1.1.9</v>
      </c>
      <c r="C821" s="12" t="str">
        <f>VLOOKUP(B821,Lansekap!C:T,2,FALSE)</f>
        <v xml:space="preserve">Pengadaan dan Pengangkutan Pohon Sedang di Polybag 75 Liter </v>
      </c>
      <c r="D821" s="9" t="s">
        <v>44</v>
      </c>
      <c r="E821" s="1021">
        <f>VLOOKUP(C821,Lansekap!$D$2:$R$572,15,FALSE)</f>
        <v>17000</v>
      </c>
      <c r="F821" s="1003" t="str">
        <f>VLOOKUP(C821,Lansekap!$D$2:$S$572,16,FALSE)</f>
        <v xml:space="preserve">Baru </v>
      </c>
      <c r="G821" s="12" t="str">
        <f>VLOOKUP(C821,Lansekap!$D$2:$T$572,17,FALSE)</f>
        <v>Penambahan item ini</v>
      </c>
      <c r="H821" s="374"/>
      <c r="I821" s="16"/>
    </row>
    <row r="822" spans="2:9" ht="24" customHeight="1">
      <c r="B822" s="1033" t="str">
        <f>Lansekap!C282</f>
        <v>4.1.1.10</v>
      </c>
      <c r="C822" s="12" t="str">
        <f>VLOOKUP(B822,Lansekap!C:T,2,FALSE)</f>
        <v xml:space="preserve">Analisis Poduktivitas Truck Angkutan Pohon Sedang di Polybag 100 Liter </v>
      </c>
      <c r="D822" s="9" t="s">
        <v>44</v>
      </c>
      <c r="E822" s="1021">
        <f>VLOOKUP(C822,Lansekap!$D$2:$R$572,15,FALSE)</f>
        <v>0</v>
      </c>
      <c r="F822" s="1003" t="str">
        <f>VLOOKUP(C822,Lansekap!$D$2:$S$572,16,FALSE)</f>
        <v xml:space="preserve">Baru </v>
      </c>
      <c r="G822" s="12" t="str">
        <f>VLOOKUP(C822,Lansekap!$D$2:$T$572,17,FALSE)</f>
        <v xml:space="preserve">Item Baru </v>
      </c>
      <c r="H822" s="374"/>
      <c r="I822" s="16"/>
    </row>
    <row r="823" spans="2:9" ht="24" customHeight="1">
      <c r="B823" s="1033" t="str">
        <f>Lansekap!C327</f>
        <v>4.1.1.11</v>
      </c>
      <c r="C823" s="12" t="str">
        <f>VLOOKUP(B823,Lansekap!C:T,2,FALSE)</f>
        <v xml:space="preserve">Pengadaan dan Pengangkutan Pohon Besar di Polybag 100 Liter </v>
      </c>
      <c r="D823" s="9" t="s">
        <v>44</v>
      </c>
      <c r="E823" s="1021">
        <f>VLOOKUP(C823,Lansekap!$D$2:$R$572,15,FALSE)</f>
        <v>154500</v>
      </c>
      <c r="F823" s="1003" t="str">
        <f>VLOOKUP(C823,Lansekap!$D$2:$S$572,16,FALSE)</f>
        <v xml:space="preserve">Baru </v>
      </c>
      <c r="G823" s="12" t="str">
        <f>VLOOKUP(C823,Lansekap!$D$2:$T$572,17,FALSE)</f>
        <v>Penambahan item ini</v>
      </c>
      <c r="H823" s="374"/>
      <c r="I823" s="16"/>
    </row>
    <row r="824" spans="2:9" ht="24" customHeight="1">
      <c r="B824" s="1033" t="str">
        <f>Lansekap!C344</f>
        <v>4.1.1.12</v>
      </c>
      <c r="C824" s="12" t="str">
        <f>VLOOKUP(B824,Lansekap!C:T,2,FALSE)</f>
        <v xml:space="preserve">Analisis Poduktivitas Truck Angkutan Pohon Sedang di Polybag 150 Liter </v>
      </c>
      <c r="D824" s="9" t="s">
        <v>44</v>
      </c>
      <c r="E824" s="1021">
        <f>VLOOKUP(C824,Lansekap!$D$2:$R$572,15,FALSE)</f>
        <v>0</v>
      </c>
      <c r="F824" s="1003" t="str">
        <f>VLOOKUP(C824,Lansekap!$D$2:$S$572,16,FALSE)</f>
        <v xml:space="preserve">Baru </v>
      </c>
      <c r="G824" s="12" t="str">
        <f>VLOOKUP(C824,Lansekap!$D$2:$T$572,17,FALSE)</f>
        <v xml:space="preserve">Item Baru </v>
      </c>
      <c r="H824" s="374"/>
      <c r="I824" s="16"/>
    </row>
    <row r="825" spans="2:9" ht="24" customHeight="1">
      <c r="B825" s="1033" t="str">
        <f>Lansekap!C389</f>
        <v>4.1.1.13</v>
      </c>
      <c r="C825" s="12" t="str">
        <f>VLOOKUP(B825,Lansekap!C:T,2,FALSE)</f>
        <v xml:space="preserve">Pengadaan dan Pengangkutan Pohon Besar di Polybag 150 Liter </v>
      </c>
      <c r="D825" s="9" t="s">
        <v>44</v>
      </c>
      <c r="E825" s="1021">
        <f>VLOOKUP(C825,Lansekap!$D$2:$R$572,15,FALSE)</f>
        <v>163200</v>
      </c>
      <c r="F825" s="1003" t="str">
        <f>VLOOKUP(C825,Lansekap!$D$2:$S$572,16,FALSE)</f>
        <v xml:space="preserve">Baru </v>
      </c>
      <c r="G825" s="12" t="str">
        <f>VLOOKUP(C825,Lansekap!$D$2:$T$572,17,FALSE)</f>
        <v>Penambahan item ini</v>
      </c>
      <c r="H825" s="374"/>
      <c r="I825" s="16"/>
    </row>
    <row r="826" spans="2:9" ht="24" customHeight="1">
      <c r="B826" s="1033" t="str">
        <f>Lansekap!C406</f>
        <v>4.1.1.14</v>
      </c>
      <c r="C826" s="12" t="str">
        <f>VLOOKUP(B826,Lansekap!C:T,2,FALSE)</f>
        <v xml:space="preserve">Analisis Poduktivitas Truck Angkutan Pohon Sedang di Polybag 200 Liter </v>
      </c>
      <c r="D826" s="9" t="s">
        <v>44</v>
      </c>
      <c r="E826" s="1021">
        <f>VLOOKUP(C826,Lansekap!$D$2:$R$572,15,FALSE)</f>
        <v>0</v>
      </c>
      <c r="F826" s="1003" t="str">
        <f>VLOOKUP(C826,Lansekap!$D$2:$S$572,16,FALSE)</f>
        <v xml:space="preserve">Baru </v>
      </c>
      <c r="G826" s="12" t="str">
        <f>VLOOKUP(C826,Lansekap!$D$2:$T$572,17,FALSE)</f>
        <v xml:space="preserve">Item Baru </v>
      </c>
      <c r="H826" s="374"/>
      <c r="I826" s="16"/>
    </row>
    <row r="827" spans="2:9" ht="24" customHeight="1">
      <c r="B827" s="1033" t="str">
        <f>Lansekap!C451</f>
        <v>4.1.1.15</v>
      </c>
      <c r="C827" s="12" t="str">
        <f>VLOOKUP(B827,Lansekap!C:T,2,FALSE)</f>
        <v xml:space="preserve">Pengadaan dan Pengangkutan Pohon Besar di Polybag 200 Liter </v>
      </c>
      <c r="D827" s="9" t="s">
        <v>44</v>
      </c>
      <c r="E827" s="1021">
        <f>VLOOKUP(C827,Lansekap!$D$2:$R$572,15,FALSE)</f>
        <v>231900</v>
      </c>
      <c r="F827" s="1003" t="str">
        <f>VLOOKUP(C827,Lansekap!$D$2:$S$572,16,FALSE)</f>
        <v xml:space="preserve">Baru </v>
      </c>
      <c r="G827" s="12" t="str">
        <f>VLOOKUP(C827,Lansekap!$D$2:$T$572,17,FALSE)</f>
        <v>Penambahan item ini</v>
      </c>
      <c r="H827" s="374"/>
      <c r="I827" s="16"/>
    </row>
    <row r="828" spans="2:9" ht="24" customHeight="1">
      <c r="B828" s="1033" t="str">
        <f>Lansekap!C468</f>
        <v>4.1.1.16</v>
      </c>
      <c r="C828" s="12" t="str">
        <f>VLOOKUP(B828,Lansekap!C:T,2,FALSE)</f>
        <v xml:space="preserve">Analisis Poduktivitas Truck Angkutan Pohon Sedang di Polybag 250 Liter </v>
      </c>
      <c r="D828" s="9" t="s">
        <v>44</v>
      </c>
      <c r="E828" s="1021">
        <f>VLOOKUP(C828,Lansekap!$D$2:$R$572,15,FALSE)</f>
        <v>0</v>
      </c>
      <c r="F828" s="1003" t="str">
        <f>VLOOKUP(C828,Lansekap!$D$2:$S$572,16,FALSE)</f>
        <v xml:space="preserve">Baru </v>
      </c>
      <c r="G828" s="12" t="str">
        <f>VLOOKUP(C828,Lansekap!$D$2:$T$572,17,FALSE)</f>
        <v xml:space="preserve">Item Baru </v>
      </c>
      <c r="H828" s="374"/>
      <c r="I828" s="16"/>
    </row>
    <row r="829" spans="2:9" ht="24" customHeight="1">
      <c r="B829" s="1033" t="str">
        <f>Lansekap!C513</f>
        <v>4.1.1.17</v>
      </c>
      <c r="C829" s="12" t="str">
        <f>VLOOKUP(B829,Lansekap!C:T,2,FALSE)</f>
        <v xml:space="preserve">Pengadaan dan Pengangkutan Pohon Besar di Polybag 250 Liter </v>
      </c>
      <c r="D829" s="9" t="s">
        <v>44</v>
      </c>
      <c r="E829" s="1021">
        <f>VLOOKUP(C829,Lansekap!$D$2:$R$572,15,FALSE)</f>
        <v>315800</v>
      </c>
      <c r="F829" s="1003" t="str">
        <f>VLOOKUP(C829,Lansekap!$D$2:$S$572,16,FALSE)</f>
        <v xml:space="preserve">Baru </v>
      </c>
      <c r="G829" s="12" t="str">
        <f>VLOOKUP(C829,Lansekap!$D$2:$T$572,17,FALSE)</f>
        <v>Penambahan item ini</v>
      </c>
      <c r="H829" s="374"/>
      <c r="I829" s="16"/>
    </row>
    <row r="830" spans="2:9" ht="24" customHeight="1">
      <c r="B830" s="1033" t="str">
        <f>Lansekap!C530</f>
        <v>4.1.1.18</v>
      </c>
      <c r="C830" s="12" t="str">
        <f>VLOOKUP(B830,Lansekap!C:T,2,FALSE)</f>
        <v xml:space="preserve">Analisis Poduktivitas Truck Angkutan Semak di Polybag 5 Liter Liter </v>
      </c>
      <c r="D830" s="9" t="s">
        <v>44</v>
      </c>
      <c r="E830" s="1021">
        <f>VLOOKUP(C830,Lansekap!$D$2:$R$572,15,FALSE)</f>
        <v>0</v>
      </c>
      <c r="F830" s="1003" t="str">
        <f>VLOOKUP(C830,Lansekap!$D$2:$S$572,16,FALSE)</f>
        <v xml:space="preserve">Baru </v>
      </c>
      <c r="G830" s="12" t="str">
        <f>VLOOKUP(C830,Lansekap!$D$2:$T$572,17,FALSE)</f>
        <v xml:space="preserve">Item Baru </v>
      </c>
      <c r="H830" s="374"/>
      <c r="I830" s="16"/>
    </row>
    <row r="831" spans="2:9" ht="24" customHeight="1">
      <c r="B831" s="1033" t="str">
        <f>Lansekap!C573</f>
        <v>4.1.1.19</v>
      </c>
      <c r="C831" s="12" t="str">
        <f>VLOOKUP(B831,Lansekap!C:T,2,FALSE)</f>
        <v>Pengadaan dan Pengangkutan Semak di Polybag 5 Liter</v>
      </c>
      <c r="D831" s="9" t="s">
        <v>44</v>
      </c>
      <c r="E831" s="1021">
        <f>VLOOKUP(C831,Lansekap!$D$573:$R$573,15,FALSE)</f>
        <v>3600</v>
      </c>
      <c r="F831" s="1003" t="str">
        <f>VLOOKUP(C831,Lansekap!$D$573:$S$573,16,FALSE)</f>
        <v xml:space="preserve">Baru </v>
      </c>
      <c r="G831" s="12" t="str">
        <f>VLOOKUP(C831,Lansekap!$D$573:$T$573,17,FALSE)</f>
        <v>Penambahan item ini</v>
      </c>
      <c r="H831" s="374"/>
      <c r="I831" s="16"/>
    </row>
    <row r="832" spans="2:9" ht="24" customHeight="1">
      <c r="B832" s="1033" t="str">
        <f>Lansekap!C589</f>
        <v>4.1.1.20</v>
      </c>
      <c r="C832" s="12" t="str">
        <f>VLOOKUP(B832,Lansekap!C:T,2,FALSE)</f>
        <v xml:space="preserve">Analisis Poduktivitas Truck Angkutan Semak di Polybag 11 Liter </v>
      </c>
      <c r="D832" s="9" t="s">
        <v>44</v>
      </c>
      <c r="E832" s="1021">
        <f>VLOOKUP(C832,Lansekap!D589:R589,15,FALSE)</f>
        <v>0</v>
      </c>
      <c r="F832" s="1003" t="str">
        <f>VLOOKUP(C832,Lansekap!D589:T589,16,FALSE)</f>
        <v xml:space="preserve">Baru </v>
      </c>
      <c r="G832" s="12" t="str">
        <f>VLOOKUP(C832,Lansekap!D589:V589,17,FALSE)</f>
        <v xml:space="preserve">Item Baru </v>
      </c>
      <c r="H832" s="374"/>
      <c r="I832" s="16"/>
    </row>
    <row r="833" spans="1:9" ht="24" customHeight="1">
      <c r="B833" s="1033" t="str">
        <f>Lansekap!C632</f>
        <v>4.1.1.21</v>
      </c>
      <c r="C833" s="12" t="str">
        <f>VLOOKUP(B833,Lansekap!C:T,2,FALSE)</f>
        <v>Pengadaan dan Pengangkutan Semak di Polybag 11 Liter</v>
      </c>
      <c r="D833" s="9" t="s">
        <v>44</v>
      </c>
      <c r="E833" s="1021">
        <f>VLOOKUP(C833,Lansekap!$D$632:$R$632,15,FALSE)</f>
        <v>4800</v>
      </c>
      <c r="F833" s="1003" t="str">
        <f>VLOOKUP(C833,Lansekap!D:T,16,FALSE)</f>
        <v xml:space="preserve">Baru </v>
      </c>
      <c r="G833" s="12" t="str">
        <f>VLOOKUP(C833,Lansekap!D:T,17,FALSE)</f>
        <v>Penambahan item ini</v>
      </c>
      <c r="H833" s="374"/>
      <c r="I833" s="16"/>
    </row>
    <row r="834" spans="1:9" ht="24" customHeight="1">
      <c r="B834" s="1033" t="str">
        <f>Lansekap!C648</f>
        <v>4.1.1.22</v>
      </c>
      <c r="C834" s="12" t="str">
        <f>VLOOKUP(B834,Lansekap!C:T,2,FALSE)</f>
        <v xml:space="preserve">Analisis Poduktivitas Truck Angkutan Semak di Polybag 20 Liter </v>
      </c>
      <c r="D834" s="9" t="s">
        <v>44</v>
      </c>
      <c r="E834" s="1021">
        <f>VLOOKUP(C834,Lansekap!D:T,15,FALSE)</f>
        <v>0</v>
      </c>
      <c r="F834" s="1003" t="str">
        <f>VLOOKUP(C834,Lansekap!D:T,16,FALSE)</f>
        <v xml:space="preserve">Baru </v>
      </c>
      <c r="G834" s="12" t="str">
        <f>VLOOKUP(C834,Lansekap!D:T,17,FALSE)</f>
        <v xml:space="preserve">Item Baru </v>
      </c>
      <c r="H834" s="374"/>
      <c r="I834" s="16"/>
    </row>
    <row r="835" spans="1:9" ht="24" customHeight="1">
      <c r="B835" s="1033" t="str">
        <f>Lansekap!C691</f>
        <v>4.1.1.23</v>
      </c>
      <c r="C835" s="12" t="str">
        <f>VLOOKUP(B835,Lansekap!C:T,2,FALSE)</f>
        <v>Pengadaan dan Pengangkutan Semak di Polybag 20 Liter</v>
      </c>
      <c r="D835" s="9" t="s">
        <v>44</v>
      </c>
      <c r="E835" s="1021">
        <f>VLOOKUP(C835,Lansekap!D:T,15,FALSE)</f>
        <v>14000</v>
      </c>
      <c r="F835" s="1003" t="str">
        <f>VLOOKUP(C835,Lansekap!D:T,16,FALSE)</f>
        <v xml:space="preserve">Baru </v>
      </c>
      <c r="G835" s="12" t="str">
        <f>VLOOKUP(C835,Lansekap!D:T,17,FALSE)</f>
        <v>Penambahan item ini</v>
      </c>
      <c r="H835" s="374"/>
      <c r="I835" s="16"/>
    </row>
    <row r="836" spans="1:9" ht="24" customHeight="1">
      <c r="B836" s="1033" t="str">
        <f>Lansekap!C707</f>
        <v>4.1.1.24</v>
      </c>
      <c r="C836" s="12" t="str">
        <f>VLOOKUP(B836,Lansekap!C:T,2,FALSE)</f>
        <v>Analisis Poduktivitas Truck Angkutan Penutup Tanah</v>
      </c>
      <c r="D836" s="9" t="s">
        <v>44</v>
      </c>
      <c r="E836" s="1021">
        <f>VLOOKUP(C836,Lansekap!D:T,15,FALSE)</f>
        <v>0</v>
      </c>
      <c r="F836" s="1003" t="str">
        <f>VLOOKUP(C836,Lansekap!D:T,16,FALSE)</f>
        <v xml:space="preserve">Baru </v>
      </c>
      <c r="G836" s="12" t="str">
        <f>VLOOKUP(C836,Lansekap!D:T,17,FALSE)</f>
        <v xml:space="preserve">Item Baru </v>
      </c>
      <c r="H836" s="374"/>
      <c r="I836" s="16"/>
    </row>
    <row r="837" spans="1:9" ht="24" customHeight="1">
      <c r="B837" s="1033" t="str">
        <f>Lansekap!C749</f>
        <v>4.1.1.25</v>
      </c>
      <c r="C837" s="12" t="str">
        <f>VLOOKUP(B837,Lansekap!C:T,2,FALSE)</f>
        <v xml:space="preserve">Pengadaan dan Pengangkutan Penutup Tanah </v>
      </c>
      <c r="D837" s="9" t="s">
        <v>44</v>
      </c>
      <c r="E837" s="1021">
        <f>VLOOKUP(C837,Lansekap!D:T,15,FALSE)</f>
        <v>6000</v>
      </c>
      <c r="F837" s="1003" t="str">
        <f>VLOOKUP(C837,Lansekap!D:T,16,FALSE)</f>
        <v xml:space="preserve">Baru </v>
      </c>
      <c r="G837" s="12" t="str">
        <f>VLOOKUP(C837,Lansekap!D:T,17,FALSE)</f>
        <v>Penambahan item ini</v>
      </c>
      <c r="H837" s="374"/>
      <c r="I837" s="16"/>
    </row>
    <row r="838" spans="1:9" ht="24" customHeight="1">
      <c r="B838" s="1033" t="str">
        <f>Lansekap!C765</f>
        <v>4.1.1.26</v>
      </c>
      <c r="C838" s="12" t="str">
        <f>VLOOKUP(B838,Lansekap!C:T,2,FALSE)</f>
        <v>Analisis Poduktivitas Truck Angkutan Rumput</v>
      </c>
      <c r="D838" s="9" t="s">
        <v>44</v>
      </c>
      <c r="E838" s="1021">
        <f>VLOOKUP(C838,Lansekap!D:T,15,FALSE)</f>
        <v>0</v>
      </c>
      <c r="F838" s="1003" t="str">
        <f>VLOOKUP(C838,Lansekap!D:T,16,FALSE)</f>
        <v xml:space="preserve">Baru </v>
      </c>
      <c r="G838" s="12" t="str">
        <f>VLOOKUP(C838,Lansekap!D:T,17,FALSE)</f>
        <v xml:space="preserve">Item Baru </v>
      </c>
      <c r="H838" s="374"/>
      <c r="I838" s="16"/>
    </row>
    <row r="839" spans="1:9" ht="24" customHeight="1">
      <c r="B839" s="1033" t="str">
        <f>Lansekap!C807</f>
        <v>4.1.1.27</v>
      </c>
      <c r="C839" s="12" t="str">
        <f>VLOOKUP(B839,Lansekap!C:T,2,FALSE)</f>
        <v>Pengadaan dan Pengangkutan Rumput</v>
      </c>
      <c r="D839" s="9" t="s">
        <v>44</v>
      </c>
      <c r="E839" s="1021">
        <f>VLOOKUP(C839,Lansekap!D:T,15,FALSE)</f>
        <v>12000</v>
      </c>
      <c r="F839" s="1003" t="str">
        <f>VLOOKUP(C839,Lansekap!D:T,16,FALSE)</f>
        <v xml:space="preserve">Baru </v>
      </c>
      <c r="G839" s="12" t="str">
        <f>VLOOKUP(C839,Lansekap!D:T,17,FALSE)</f>
        <v>Penambahan item ini</v>
      </c>
      <c r="H839" s="374"/>
      <c r="I839" s="16"/>
    </row>
    <row r="840" spans="1:9" ht="24" customHeight="1">
      <c r="B840" s="1033" t="str">
        <f>Lansekap!C823</f>
        <v>4.1.1.28</v>
      </c>
      <c r="C840" s="12" t="str">
        <f>VLOOKUP(B840,Lansekap!C:T,2,FALSE)</f>
        <v xml:space="preserve">Harga Satuan Dasar Water Truck untuk Penyiraman </v>
      </c>
      <c r="D840" s="9" t="s">
        <v>44</v>
      </c>
      <c r="E840" s="1021">
        <f>VLOOKUP(C840,Lansekap!D:T,15,FALSE)</f>
        <v>0</v>
      </c>
      <c r="F840" s="1003" t="str">
        <f>VLOOKUP(C840,Lansekap!D:T,16,FALSE)</f>
        <v xml:space="preserve">Baru </v>
      </c>
      <c r="G840" s="12" t="str">
        <f>VLOOKUP(C840,Lansekap!D:T,17,FALSE)</f>
        <v xml:space="preserve">Item Baru </v>
      </c>
      <c r="H840" s="374"/>
      <c r="I840" s="16"/>
    </row>
    <row r="841" spans="1:9" s="1" customFormat="1" ht="24" customHeight="1">
      <c r="A841" s="47"/>
      <c r="B841" s="1043" t="str">
        <f>Lansekap!C871</f>
        <v>4.1.2</v>
      </c>
      <c r="C841" s="986" t="str">
        <f>VLOOKUP(B841,Lansekap!C:T,2,FALSE)</f>
        <v>Penanaman Pohon</v>
      </c>
      <c r="D841" s="993" t="s">
        <v>44</v>
      </c>
      <c r="E841" s="1022">
        <f>VLOOKUP(C841,Lansekap!D:T,15,FALSE)</f>
        <v>0</v>
      </c>
      <c r="F841" s="1004">
        <f>VLOOKUP(C841,Lansekap!D:T,16,FALSE)</f>
        <v>0</v>
      </c>
      <c r="G841" s="36">
        <f>VLOOKUP(C841,Lansekap!D:T,17,FALSE)</f>
        <v>0</v>
      </c>
      <c r="H841" s="1092"/>
      <c r="I841" s="21"/>
    </row>
    <row r="842" spans="1:9" ht="24" customHeight="1">
      <c r="B842" s="1033" t="str">
        <f>Lansekap!C872</f>
        <v>4.1.2.1</v>
      </c>
      <c r="C842" s="12" t="str">
        <f>VLOOKUP(B842,Lansekap!C:T,2,FALSE)</f>
        <v xml:space="preserve">Pohon Kecil , Polibag 20 L </v>
      </c>
      <c r="D842" s="9" t="s">
        <v>44</v>
      </c>
      <c r="E842" s="1021">
        <f>VLOOKUP(C842,Lansekap!D:T,15,FALSE)</f>
        <v>0</v>
      </c>
      <c r="F842" s="1003">
        <f>VLOOKUP(C842,Lansekap!D:T,16,FALSE)</f>
        <v>0</v>
      </c>
      <c r="G842" s="12">
        <f>VLOOKUP(C842,Lansekap!D:T,17,FALSE)</f>
        <v>0</v>
      </c>
      <c r="H842" s="374"/>
      <c r="I842" s="16"/>
    </row>
    <row r="843" spans="1:9" ht="24" customHeight="1">
      <c r="B843" s="1033" t="str">
        <f>Lansekap!C873</f>
        <v>4.1.2.1.1</v>
      </c>
      <c r="C843" s="12" t="str">
        <f>VLOOKUP(B843,Lansekap!C:T,2,FALSE)</f>
        <v xml:space="preserve">Penanaman 1 Buah Pohon Kecil Bungan Mentega (Natrium Oleander ) Diameter 1-2 cm, Tinggi 2-2,5 Meter, Polibag 20 L </v>
      </c>
      <c r="D843" s="9" t="s">
        <v>44</v>
      </c>
      <c r="E843" s="1021">
        <f>VLOOKUP(C843,Lansekap!D:T,15,FALSE)</f>
        <v>4200</v>
      </c>
      <c r="F843" s="1003" t="str">
        <f>VLOOKUP(C843,Lansekap!D:T,16,FALSE)</f>
        <v>Revisi</v>
      </c>
      <c r="G843" s="12" t="str">
        <f>VLOOKUP(C843,Lansekap!D:T,17,FALSE)</f>
        <v xml:space="preserve">Perubahan mulai dr judul item, penambahan tenaga kerja </v>
      </c>
      <c r="H843" s="374"/>
      <c r="I843" s="16"/>
    </row>
    <row r="844" spans="1:9" ht="24" customHeight="1">
      <c r="B844" s="1033" t="str">
        <f>Lansekap!C901</f>
        <v>4.1.2.1.2</v>
      </c>
      <c r="C844" s="12" t="str">
        <f>VLOOKUP(B844,Lansekap!C:T,2,FALSE)</f>
        <v xml:space="preserve">Penanaman 1 Buah Pohon Kecil Bunga Terompet Kuning (Tecoma Stans) Diameter 1-2 cm, Tinggi 2-2,5 Meter, Polibag 20 L </v>
      </c>
      <c r="D844" s="9" t="s">
        <v>44</v>
      </c>
      <c r="E844" s="1021">
        <f>VLOOKUP(C844,Lansekap!D:T,15,FALSE)</f>
        <v>4200</v>
      </c>
      <c r="F844" s="1003" t="str">
        <f>VLOOKUP(C844,Lansekap!D:T,16,FALSE)</f>
        <v>Revisi</v>
      </c>
      <c r="G844" s="12" t="str">
        <f>VLOOKUP(C844,Lansekap!D:T,17,FALSE)</f>
        <v xml:space="preserve">Item baru </v>
      </c>
      <c r="H844" s="374"/>
      <c r="I844" s="16"/>
    </row>
    <row r="845" spans="1:9" ht="24" customHeight="1">
      <c r="B845" s="1033" t="str">
        <f>Lansekap!C929</f>
        <v>4.1.2.1.3</v>
      </c>
      <c r="C845" s="12" t="str">
        <f>VLOOKUP(B845,Lansekap!C:T,2,FALSE)</f>
        <v xml:space="preserve">Penanaman 1 Buah Pohon Kecil Bungur Sakura / Bungur Jepang (Lagerstromia indica) Diameter 1-2 cm, Tinggi 2-2,5 Meter, Polibag 20 L </v>
      </c>
      <c r="D845" s="9" t="s">
        <v>44</v>
      </c>
      <c r="E845" s="1021">
        <f>VLOOKUP(C845,Lansekap!D:T,15,FALSE)</f>
        <v>4200</v>
      </c>
      <c r="F845" s="1003" t="str">
        <f>VLOOKUP(C845,Lansekap!D:T,16,FALSE)</f>
        <v>Revisi</v>
      </c>
      <c r="G845" s="12" t="str">
        <f>VLOOKUP(C845,Lansekap!D:T,17,FALSE)</f>
        <v xml:space="preserve">Item baru </v>
      </c>
      <c r="H845" s="374"/>
      <c r="I845" s="16"/>
    </row>
    <row r="846" spans="1:9" ht="24" customHeight="1">
      <c r="B846" s="1033" t="str">
        <f>Lansekap!C957</f>
        <v>4.1.2.1.4</v>
      </c>
      <c r="C846" s="12" t="str">
        <f>VLOOKUP(B846,Lansekap!C:T,2,FALSE)</f>
        <v xml:space="preserve">Penanaman 1 Buah Pohon Kecil Cassia Glauca / Hujan Emas (Sena Surttensis) Diameter 1-2 cm, Tinggi 2-2,5 Meter, Polibag 20 L </v>
      </c>
      <c r="D846" s="9" t="s">
        <v>44</v>
      </c>
      <c r="E846" s="1021">
        <f>VLOOKUP(C846,Lansekap!D:T,15,FALSE)</f>
        <v>4200</v>
      </c>
      <c r="F846" s="1003" t="str">
        <f>VLOOKUP(C846,Lansekap!D:T,16,FALSE)</f>
        <v>Revisi</v>
      </c>
      <c r="G846" s="12" t="str">
        <f>VLOOKUP(C846,Lansekap!D:T,17,FALSE)</f>
        <v xml:space="preserve">Item baru </v>
      </c>
      <c r="H846" s="374"/>
      <c r="I846" s="16"/>
    </row>
    <row r="847" spans="1:9" ht="24" customHeight="1">
      <c r="B847" s="1033" t="str">
        <f>Lansekap!C985</f>
        <v>4.1.2.1.5</v>
      </c>
      <c r="C847" s="12" t="str">
        <f>VLOOKUP(B847,Lansekap!C:T,2,FALSE)</f>
        <v xml:space="preserve">Penanaman 1 Buah Pohon Kecil Dracaena ' song of india' (Dracaena Reflexa "sog of india) Diameter 1-2 cm, Tinggi 2-2,5 Meter, Polibag 20 L </v>
      </c>
      <c r="D847" s="9" t="s">
        <v>44</v>
      </c>
      <c r="E847" s="1021">
        <f>VLOOKUP(C847,Lansekap!D:T,15,FALSE)</f>
        <v>4200</v>
      </c>
      <c r="F847" s="1003" t="str">
        <f>VLOOKUP(C847,Lansekap!D:T,16,FALSE)</f>
        <v>Revisi</v>
      </c>
      <c r="G847" s="12" t="str">
        <f>VLOOKUP(C847,Lansekap!D:T,17,FALSE)</f>
        <v xml:space="preserve">Item baru </v>
      </c>
      <c r="H847" s="374"/>
      <c r="I847" s="16"/>
    </row>
    <row r="848" spans="1:9" ht="24" customHeight="1">
      <c r="B848" s="1033" t="str">
        <f>Lansekap!C1013</f>
        <v>4.1.2.1.6</v>
      </c>
      <c r="C848" s="12" t="str">
        <f>VLOOKUP(B848,Lansekap!C:T,2,FALSE)</f>
        <v xml:space="preserve">Penanaman 1 Buah Pohon Kecil Dracaena 'Song of Jamaica'
(Dracaena Reflexa "Song of Jamaica") Diameter 1-2 cm, Tinggi 2-2,5 Meter, Polibag 20 L </v>
      </c>
      <c r="D848" s="9" t="s">
        <v>44</v>
      </c>
      <c r="E848" s="1021">
        <f>VLOOKUP(C848,Lansekap!D:T,15,FALSE)</f>
        <v>4200</v>
      </c>
      <c r="F848" s="1003" t="str">
        <f>VLOOKUP(C848,Lansekap!D:T,16,FALSE)</f>
        <v>Revisi</v>
      </c>
      <c r="G848" s="12" t="str">
        <f>VLOOKUP(C848,Lansekap!D:T,17,FALSE)</f>
        <v xml:space="preserve">Item baru </v>
      </c>
      <c r="H848" s="374"/>
      <c r="I848" s="16"/>
    </row>
    <row r="849" spans="1:9" ht="24" customHeight="1">
      <c r="B849" s="1033" t="str">
        <f>Lansekap!C1041</f>
        <v>4.1.2.1.7</v>
      </c>
      <c r="C849" s="12" t="str">
        <f>VLOOKUP(B849,Lansekap!C:T,2,FALSE)</f>
        <v xml:space="preserve">Penanaman 1 Buah Pohon Kecil Jarak Batavia (Jatropha
Integerrima) Diameter 1-2 cm, Tinggi 2-2,5 Meter, Polibag 20 L </v>
      </c>
      <c r="D849" s="9" t="s">
        <v>44</v>
      </c>
      <c r="E849" s="1021">
        <f>VLOOKUP(C849,Lansekap!D:T,15,FALSE)</f>
        <v>4200</v>
      </c>
      <c r="F849" s="1003" t="str">
        <f>VLOOKUP(C849,Lansekap!D:T,16,FALSE)</f>
        <v>Revisi</v>
      </c>
      <c r="G849" s="12" t="str">
        <f>VLOOKUP(C849,Lansekap!D:T,17,FALSE)</f>
        <v xml:space="preserve">Item baru </v>
      </c>
      <c r="H849" s="374"/>
      <c r="I849" s="16"/>
    </row>
    <row r="850" spans="1:9" ht="24" customHeight="1">
      <c r="B850" s="1033" t="str">
        <f>Lansekap!C1069</f>
        <v>4.1.2.1.8</v>
      </c>
      <c r="C850" s="12" t="str">
        <f>VLOOKUP(B850,Lansekap!C:T,2,FALSE)</f>
        <v xml:space="preserve">Penanaman 1 Buah Pohon Kecil Kayu Putih Kuning (Melaleuca
Revolution Gold) Diameter 1-2 cm, Tinggi 2-2,5 Meter, Polibag 20 L </v>
      </c>
      <c r="D850" s="9" t="s">
        <v>44</v>
      </c>
      <c r="E850" s="1021">
        <f>VLOOKUP(C850,Lansekap!D:T,15,FALSE)</f>
        <v>4200</v>
      </c>
      <c r="F850" s="1003" t="str">
        <f>VLOOKUP(C850,Lansekap!D:T,16,FALSE)</f>
        <v>Revisi</v>
      </c>
      <c r="G850" s="12" t="str">
        <f>VLOOKUP(C850,Lansekap!D:T,17,FALSE)</f>
        <v xml:space="preserve">Item baru </v>
      </c>
      <c r="H850" s="374"/>
      <c r="I850" s="16"/>
    </row>
    <row r="851" spans="1:9" ht="24" customHeight="1">
      <c r="B851" s="1033" t="str">
        <f>Lansekap!C1097</f>
        <v>4.1.2.1.9</v>
      </c>
      <c r="C851" s="12" t="str">
        <f>VLOOKUP(B851,Lansekap!C:T,2,FALSE)</f>
        <v xml:space="preserve">Penanaman 1 Buah Pohon Kecil Bugenvil/Bunga Kertas
(Bougainvillea sp.) Diameter 1-2 cm, Tinggi 2-2,5 Meter, Polibag 20 L </v>
      </c>
      <c r="D851" s="9" t="s">
        <v>44</v>
      </c>
      <c r="E851" s="1021">
        <f>VLOOKUP(C851,Lansekap!D:T,15,FALSE)</f>
        <v>4200</v>
      </c>
      <c r="F851" s="1003" t="str">
        <f>VLOOKUP(C851,Lansekap!D:T,16,FALSE)</f>
        <v>Revisi</v>
      </c>
      <c r="G851" s="12" t="str">
        <f>VLOOKUP(C851,Lansekap!D:T,17,FALSE)</f>
        <v xml:space="preserve">Item baru </v>
      </c>
      <c r="H851" s="374"/>
      <c r="I851" s="16"/>
    </row>
    <row r="852" spans="1:9" ht="24" customHeight="1">
      <c r="B852" s="1033" t="str">
        <f>Lansekap!C1125</f>
        <v>4.1.2.1.10</v>
      </c>
      <c r="C852" s="12" t="str">
        <f>VLOOKUP(B852,Lansekap!C:T,2,FALSE)</f>
        <v xml:space="preserve">Penanaman 1 Buah Pohon Kecil Penda Merah (Xanthostemon
Youngii) Diameter 1-2 cm, Tinggi 2-2,5 Meter, Polibag 20 L </v>
      </c>
      <c r="D852" s="9" t="s">
        <v>44</v>
      </c>
      <c r="E852" s="1021">
        <f>VLOOKUP(C852,Lansekap!D:T,15,FALSE)</f>
        <v>4200</v>
      </c>
      <c r="F852" s="1003" t="str">
        <f>VLOOKUP(C852,Lansekap!D:T,16,FALSE)</f>
        <v>Revisi</v>
      </c>
      <c r="G852" s="12" t="str">
        <f>VLOOKUP(C852,Lansekap!D:T,17,FALSE)</f>
        <v xml:space="preserve">Item baru </v>
      </c>
      <c r="H852" s="374"/>
      <c r="I852" s="16"/>
    </row>
    <row r="853" spans="1:9" ht="24" customHeight="1">
      <c r="B853" s="1033" t="str">
        <f>Lansekap!C1153</f>
        <v>4.1.2.1.11</v>
      </c>
      <c r="C853" s="12" t="str">
        <f>VLOOKUP(B853,Lansekap!C:T,2,FALSE)</f>
        <v xml:space="preserve">Penanaman 1 Buah Pohon Kecil Pucuk Merah (Syzygium
Myrtifolium) Diameter 1-2 cm, Tinggi 2-2,5 Meter, Polibag 20 L </v>
      </c>
      <c r="D853" s="9" t="s">
        <v>44</v>
      </c>
      <c r="E853" s="1021">
        <f>VLOOKUP(C853,Lansekap!D:T,15,FALSE)</f>
        <v>4200</v>
      </c>
      <c r="F853" s="1003" t="str">
        <f>VLOOKUP(C853,Lansekap!D:T,16,FALSE)</f>
        <v>Revisi</v>
      </c>
      <c r="G853" s="12" t="str">
        <f>VLOOKUP(C853,Lansekap!D:T,17,FALSE)</f>
        <v xml:space="preserve">Item baru </v>
      </c>
      <c r="H853" s="374"/>
      <c r="I853" s="16"/>
    </row>
    <row r="854" spans="1:9" ht="24" customHeight="1">
      <c r="B854" s="1033" t="str">
        <f>Lansekap!C1181</f>
        <v>4.1.2.1.12</v>
      </c>
      <c r="C854" s="12" t="str">
        <f>VLOOKUP(B854,Lansekap!C:T,2,FALSE)</f>
        <v xml:space="preserve">Penanaman 1 Buah Pohon Kecil Sikat Botol (Callistemon
Viminalis) Diameter 1-2 cm, Tinggi 2-2,5 Meter, Polibag 20 L </v>
      </c>
      <c r="D854" s="9" t="s">
        <v>44</v>
      </c>
      <c r="E854" s="1021">
        <f>VLOOKUP(C854,Lansekap!D:T,15,FALSE)</f>
        <v>4200</v>
      </c>
      <c r="F854" s="1003" t="str">
        <f>VLOOKUP(C854,Lansekap!D:T,16,FALSE)</f>
        <v>Revisi</v>
      </c>
      <c r="G854" s="12" t="str">
        <f>VLOOKUP(C854,Lansekap!D:T,17,FALSE)</f>
        <v xml:space="preserve">Item baru </v>
      </c>
      <c r="H854" s="374"/>
      <c r="I854" s="16"/>
    </row>
    <row r="855" spans="1:9" ht="24" customHeight="1">
      <c r="B855" s="1033" t="str">
        <f>Lansekap!C1209</f>
        <v>4.1.2.1.13</v>
      </c>
      <c r="C855" s="12" t="str">
        <f>VLOOKUP(B855,Lansekap!C:T,2,FALSE)</f>
        <v xml:space="preserve">Penanaman 1 Buah Pohon Kecil Thevetia (Thevetia Peruviana) Diameter 1-2 cm, Tinggi 2-2,5 Meter, Polibag 20 L </v>
      </c>
      <c r="D855" s="9" t="s">
        <v>44</v>
      </c>
      <c r="E855" s="1021">
        <f>VLOOKUP(C855,Lansekap!D:T,15,FALSE)</f>
        <v>4200</v>
      </c>
      <c r="F855" s="1003" t="str">
        <f>VLOOKUP(C855,Lansekap!D:T,16,FALSE)</f>
        <v>Revisi</v>
      </c>
      <c r="G855" s="12" t="str">
        <f>VLOOKUP(C855,Lansekap!D:T,17,FALSE)</f>
        <v xml:space="preserve">Item baru </v>
      </c>
      <c r="H855" s="374"/>
      <c r="I855" s="16"/>
    </row>
    <row r="856" spans="1:9" ht="24" customHeight="1">
      <c r="B856" s="1033" t="str">
        <f>Lansekap!C1237</f>
        <v>4.1.2.1.14</v>
      </c>
      <c r="C856" s="12" t="str">
        <f>VLOOKUP(B856,Lansekap!C:T,2,FALSE)</f>
        <v xml:space="preserve">Penanaman 1 Buah Pohon Kecil Turi (Sesbania Grandiflora) Diameter 1-2 cm, Tinggi 2-2,5 Meter, Polibag 20 L </v>
      </c>
      <c r="D856" s="9" t="s">
        <v>44</v>
      </c>
      <c r="E856" s="1021">
        <f>VLOOKUP(C856,Lansekap!D:T,15,FALSE)</f>
        <v>4200</v>
      </c>
      <c r="F856" s="1003" t="str">
        <f>VLOOKUP(C856,Lansekap!D:T,16,FALSE)</f>
        <v>Revisi</v>
      </c>
      <c r="G856" s="12" t="str">
        <f>VLOOKUP(C856,Lansekap!D:T,17,FALSE)</f>
        <v xml:space="preserve">Item baru </v>
      </c>
      <c r="H856" s="374"/>
      <c r="I856" s="16"/>
    </row>
    <row r="857" spans="1:9" ht="24" customHeight="1">
      <c r="B857" s="1033" t="str">
        <f>Lansekap!C1265</f>
        <v>4.1.2.1.15</v>
      </c>
      <c r="C857" s="12" t="str">
        <f>VLOOKUP(B857,Lansekap!C:T,2,FALSE)</f>
        <v xml:space="preserve">Penanaman 1 Buah Pohon Kecil Kembang Merak (Caesalpinia
Pulcherrima)Diameter 1-2 cm, Tinggi 2-2,5 Meter, Polibag 20 L </v>
      </c>
      <c r="D857" s="9" t="s">
        <v>44</v>
      </c>
      <c r="E857" s="1021">
        <f>VLOOKUP(C857,Lansekap!D:T,15,FALSE)</f>
        <v>4200</v>
      </c>
      <c r="F857" s="1003" t="str">
        <f>VLOOKUP(C857,Lansekap!D:T,16,FALSE)</f>
        <v>Revisi</v>
      </c>
      <c r="G857" s="12" t="str">
        <f>VLOOKUP(C857,Lansekap!D:T,17,FALSE)</f>
        <v xml:space="preserve">Item baru </v>
      </c>
      <c r="H857" s="374"/>
      <c r="I857" s="16"/>
    </row>
    <row r="858" spans="1:9" ht="24" customHeight="1">
      <c r="B858" s="1033" t="str">
        <f>Lansekap!C1293</f>
        <v>4.1.2.1.16</v>
      </c>
      <c r="C858" s="12" t="str">
        <f>VLOOKUP(B858,Lansekap!C:T,2,FALSE)</f>
        <v xml:space="preserve">Penanaman 1 Buah Pohon Kecil Pandan Bali (Cordyline
Australis) Diameter 1-2 cm, Tinggi 2-2,5 Meter, Polibag 20 L </v>
      </c>
      <c r="D858" s="9" t="s">
        <v>44</v>
      </c>
      <c r="E858" s="1021">
        <f>VLOOKUP(C858,Lansekap!D:T,15,FALSE)</f>
        <v>4200</v>
      </c>
      <c r="F858" s="1003" t="str">
        <f>VLOOKUP(C858,Lansekap!D:T,16,FALSE)</f>
        <v>Revisi</v>
      </c>
      <c r="G858" s="12" t="str">
        <f>VLOOKUP(C858,Lansekap!D:T,17,FALSE)</f>
        <v xml:space="preserve">Item baru </v>
      </c>
      <c r="H858" s="374"/>
      <c r="I858" s="16"/>
    </row>
    <row r="859" spans="1:9" ht="24" customHeight="1">
      <c r="B859" s="1033" t="str">
        <f>Lansekap!C1321</f>
        <v>4.1.2.1.17</v>
      </c>
      <c r="C859" s="12" t="str">
        <f>VLOOKUP(B859,Lansekap!C:T,2,FALSE)</f>
        <v xml:space="preserve">Penanaman 1 Buah Pohon Kecil Yucca (Yucca sp.) Diameter 1-2 cm, Tinggi 2-2,5 Meter, Polibag 20 L </v>
      </c>
      <c r="D859" s="9" t="s">
        <v>44</v>
      </c>
      <c r="E859" s="1021">
        <f>VLOOKUP(C859,Lansekap!D:T,15,FALSE)</f>
        <v>4200</v>
      </c>
      <c r="F859" s="1003" t="str">
        <f>VLOOKUP(C859,Lansekap!D:T,16,FALSE)</f>
        <v>Revisi</v>
      </c>
      <c r="G859" s="12" t="str">
        <f>VLOOKUP(C859,Lansekap!D:T,17,FALSE)</f>
        <v xml:space="preserve">Item baru </v>
      </c>
      <c r="H859" s="374"/>
      <c r="I859" s="16"/>
    </row>
    <row r="860" spans="1:9" s="1" customFormat="1" ht="24" customHeight="1">
      <c r="A860" s="47"/>
      <c r="B860" s="1041" t="str">
        <f>Lansekap!C1350</f>
        <v>4.1.2.2</v>
      </c>
      <c r="C860" s="33" t="str">
        <f>VLOOKUP(B860,Lansekap!C:T,2,FALSE)</f>
        <v>Poho Kecil, Polybag 25 L</v>
      </c>
      <c r="D860" s="19"/>
      <c r="E860" s="1021">
        <f>VLOOKUP(C860,Lansekap!D:T,15,FALSE)</f>
        <v>0</v>
      </c>
      <c r="F860" s="1003">
        <f>VLOOKUP(C860,Lansekap!D:T,16,FALSE)</f>
        <v>0</v>
      </c>
      <c r="G860" s="12">
        <f>VLOOKUP(C860,Lansekap!D:T,17,FALSE)</f>
        <v>0</v>
      </c>
      <c r="H860" s="1092"/>
      <c r="I860" s="21"/>
    </row>
    <row r="861" spans="1:9" ht="24" customHeight="1">
      <c r="B861" s="1033" t="str">
        <f>Lansekap!C1351</f>
        <v>4.1.2.2.1</v>
      </c>
      <c r="C861" s="12" t="str">
        <f>VLOOKUP(B861,Lansekap!C:T,2,FALSE)</f>
        <v xml:space="preserve">Penanaman 1 Buah Pohon Kecil Bugan Mentega (Natrium Oleande) Diameter 2-3 cm, Tinggi 2-2,5 meter, Polybag 25 L </v>
      </c>
      <c r="D861" s="9" t="s">
        <v>44</v>
      </c>
      <c r="E861" s="1021">
        <f>VLOOKUP(C861,Lansekap!D:T,15,FALSE)</f>
        <v>5900</v>
      </c>
      <c r="F861" s="1003" t="str">
        <f>VLOOKUP(C861,Lansekap!D:T,16,FALSE)</f>
        <v>Revisi</v>
      </c>
      <c r="G861" s="12" t="str">
        <f>VLOOKUP(C861,Lansekap!D:T,17,FALSE)</f>
        <v xml:space="preserve">mulai dari penomoran dan judul </v>
      </c>
      <c r="H861" s="374"/>
      <c r="I861" s="16"/>
    </row>
    <row r="862" spans="1:9" ht="24" customHeight="1">
      <c r="B862" s="1033" t="str">
        <f>Lansekap!C1379</f>
        <v>4.1.2.2.2</v>
      </c>
      <c r="C862" s="12" t="str">
        <f>VLOOKUP(B862,Lansekap!C:T,2,FALSE)</f>
        <v xml:space="preserve">Penanaman 1 Buah Pohon Kecil Bunga Terompet Kuning
(Tecoma stans) Diameter 2-3 cm, Tinggi 2-2,5 meter, Polybag 25 L </v>
      </c>
      <c r="D862" s="9" t="s">
        <v>44</v>
      </c>
      <c r="E862" s="1021">
        <f>VLOOKUP(C862,Lansekap!D:T,15,FALSE)</f>
        <v>5900</v>
      </c>
      <c r="F862" s="1003" t="str">
        <f>VLOOKUP(C862,Lansekap!D:T,16,FALSE)</f>
        <v>Revisi</v>
      </c>
      <c r="G862" s="12" t="str">
        <f>VLOOKUP(C862,Lansekap!D:T,17,FALSE)</f>
        <v>Item Baru</v>
      </c>
      <c r="H862" s="374"/>
      <c r="I862" s="16"/>
    </row>
    <row r="863" spans="1:9" ht="24" customHeight="1">
      <c r="B863" s="1033" t="str">
        <f>Lansekap!C1407</f>
        <v>4.1.2.2.3</v>
      </c>
      <c r="C863" s="12" t="str">
        <f>VLOOKUP(B863,Lansekap!C:T,2,FALSE)</f>
        <v xml:space="preserve">Penanaman 1 Buah Pohon Kecil Bunga Terompet Kuning
(Tecoma stans)Bungur Sakura/Bungur Jepang
(Lagerstroemia indica), Diameter 2-3 cm, Tinggi 2-2,5 meter, Polybag 25 L </v>
      </c>
      <c r="D863" s="9" t="s">
        <v>44</v>
      </c>
      <c r="E863" s="1021">
        <f>VLOOKUP(C863,Lansekap!D:T,15,FALSE)</f>
        <v>5900</v>
      </c>
      <c r="F863" s="1003" t="str">
        <f>VLOOKUP(C863,Lansekap!D:T,16,FALSE)</f>
        <v>Revisi</v>
      </c>
      <c r="G863" s="12" t="str">
        <f>VLOOKUP(C863,Lansekap!D:T,17,FALSE)</f>
        <v>Item Baru</v>
      </c>
      <c r="H863" s="374"/>
      <c r="I863" s="16"/>
    </row>
    <row r="864" spans="1:9" ht="24" customHeight="1">
      <c r="B864" s="1033" t="str">
        <f>Lansekap!C1435</f>
        <v>4.1.2.2.4</v>
      </c>
      <c r="C864" s="12" t="str">
        <f>VLOOKUP(B864,Lansekap!C:T,2,FALSE)</f>
        <v xml:space="preserve">Penanaman 1 Buah Pohon KecilCassia Glauca (Senna
Surattensis), Diameter 2-3 cm, Tinggi 2-2,5 meter, Polybag 25 L </v>
      </c>
      <c r="D864" s="9" t="s">
        <v>44</v>
      </c>
      <c r="E864" s="1021">
        <f>VLOOKUP(C864,Lansekap!D:T,15,FALSE)</f>
        <v>5900</v>
      </c>
      <c r="F864" s="1003" t="str">
        <f>VLOOKUP(C864,Lansekap!D:T,16,FALSE)</f>
        <v>Revisi</v>
      </c>
      <c r="G864" s="12" t="str">
        <f>VLOOKUP(C864,Lansekap!D:T,17,FALSE)</f>
        <v>Item Baru</v>
      </c>
      <c r="H864" s="374"/>
      <c r="I864" s="16"/>
    </row>
    <row r="865" spans="1:9" ht="24" customHeight="1">
      <c r="B865" s="1033" t="str">
        <f>Lansekap!C1464</f>
        <v>4.1.2.2.5</v>
      </c>
      <c r="C865" s="12" t="str">
        <f>VLOOKUP(B865,Lansekap!C:T,2,FALSE)</f>
        <v xml:space="preserve">Penanaman 1 Buah Pohon Kecil Dracaena ‘Song of India’
(Dracaena reflexa "song of india"), Diameter 2-3 cm, Tinggi 2-2,5 meter, Polybag 25 L </v>
      </c>
      <c r="D865" s="9" t="s">
        <v>44</v>
      </c>
      <c r="E865" s="1021">
        <f>VLOOKUP(C865,Lansekap!D:T,15,FALSE)</f>
        <v>5900</v>
      </c>
      <c r="F865" s="1003" t="str">
        <f>VLOOKUP(C865,Lansekap!D:T,16,FALSE)</f>
        <v>Revisi</v>
      </c>
      <c r="G865" s="12" t="str">
        <f>VLOOKUP(C865,Lansekap!D:T,17,FALSE)</f>
        <v>Item Baru</v>
      </c>
      <c r="H865" s="374"/>
      <c r="I865" s="16"/>
    </row>
    <row r="866" spans="1:9" ht="24" customHeight="1">
      <c r="B866" s="1033" t="str">
        <f>Lansekap!C1492</f>
        <v>4.1.2.2.6</v>
      </c>
      <c r="C866" s="12" t="str">
        <f>VLOOKUP(B866,Lansekap!C:T,2,FALSE)</f>
        <v xml:space="preserve">Penanaman 1 Buah Pohon Kecil Dracaena 'Song of Jamaica'
(Dracaena reflexa "song of jamaica"), Diameter 2-3 cm, Tinggi 2-2,5 meter, Polybag 25 L </v>
      </c>
      <c r="D866" s="9" t="s">
        <v>44</v>
      </c>
      <c r="E866" s="1021">
        <f>VLOOKUP(C866,Lansekap!D:T,15,FALSE)</f>
        <v>5900</v>
      </c>
      <c r="F866" s="1003" t="str">
        <f>VLOOKUP(C866,Lansekap!D:T,16,FALSE)</f>
        <v>Revisi</v>
      </c>
      <c r="G866" s="12" t="str">
        <f>VLOOKUP(C866,Lansekap!D:T,17,FALSE)</f>
        <v>Item Baru</v>
      </c>
      <c r="H866" s="374"/>
      <c r="I866" s="16"/>
    </row>
    <row r="867" spans="1:9" ht="24" customHeight="1">
      <c r="B867" s="1033" t="str">
        <f>Lansekap!C1520</f>
        <v>4.1.2.2.7</v>
      </c>
      <c r="C867" s="12" t="str">
        <f>VLOOKUP(B867,Lansekap!C:T,2,FALSE)</f>
        <v xml:space="preserve">Penanaman 1 Buah Pohon Kecil Jarak Batavia (Jatropha Integerrima), Diameter 2-3 cm, Tinggi 2-2,5 meter, Polybag 25 L </v>
      </c>
      <c r="D867" s="9" t="s">
        <v>44</v>
      </c>
      <c r="E867" s="1021">
        <f>VLOOKUP(C867,Lansekap!D:T,15,FALSE)</f>
        <v>5900</v>
      </c>
      <c r="F867" s="1003" t="str">
        <f>VLOOKUP(C867,Lansekap!D:T,16,FALSE)</f>
        <v>Revisi</v>
      </c>
      <c r="G867" s="12" t="str">
        <f>VLOOKUP(C867,Lansekap!D:T,17,FALSE)</f>
        <v>Item Baru</v>
      </c>
      <c r="H867" s="374"/>
      <c r="I867" s="16"/>
    </row>
    <row r="868" spans="1:9" ht="24" customHeight="1">
      <c r="B868" s="1033" t="str">
        <f>Lansekap!C1548</f>
        <v>4.1.2.2.8</v>
      </c>
      <c r="C868" s="12" t="str">
        <f>VLOOKUP(B868,Lansekap!C:T,2,FALSE)</f>
        <v xml:space="preserve">Penanaman 1 Buah Pohon Kecil Kayu Putih Kuning (Melaleuca Revolution Gold),  Diameter 2-3 cm, Tinggi 2-2,5 meter, Polybag 25 L </v>
      </c>
      <c r="D868" s="9" t="s">
        <v>44</v>
      </c>
      <c r="E868" s="1021">
        <f>VLOOKUP(C868,Lansekap!D:T,15,FALSE)</f>
        <v>5900</v>
      </c>
      <c r="F868" s="1003" t="str">
        <f>VLOOKUP(C868,Lansekap!D:T,16,FALSE)</f>
        <v>Revisi</v>
      </c>
      <c r="G868" s="12" t="str">
        <f>VLOOKUP(C868,Lansekap!D:T,17,FALSE)</f>
        <v>Item Baru</v>
      </c>
      <c r="H868" s="374"/>
      <c r="I868" s="16"/>
    </row>
    <row r="869" spans="1:9" ht="24" customHeight="1">
      <c r="B869" s="1033" t="str">
        <f>Lansekap!C1576</f>
        <v>4.1.2.2.9</v>
      </c>
      <c r="C869" s="12" t="str">
        <f>VLOOKUP(B869,Lansekap!C:T,2,FALSE)</f>
        <v xml:space="preserve">Penanaman 1 Buah Pohon Kecil Pucuk Merah (Syzygium Myrtifolium), Diameter 2-3 cm, Tinggi 2-2,5 meter, Polybag 25 L </v>
      </c>
      <c r="D869" s="9" t="s">
        <v>44</v>
      </c>
      <c r="E869" s="1021">
        <f>VLOOKUP(C869,Lansekap!D:T,15,FALSE)</f>
        <v>5900</v>
      </c>
      <c r="F869" s="1003" t="str">
        <f>VLOOKUP(C869,Lansekap!D:T,16,FALSE)</f>
        <v>Revisi</v>
      </c>
      <c r="G869" s="12" t="str">
        <f>VLOOKUP(C869,Lansekap!D:T,17,FALSE)</f>
        <v>Item Baru</v>
      </c>
      <c r="H869" s="374"/>
      <c r="I869" s="16"/>
    </row>
    <row r="870" spans="1:9" ht="24" customHeight="1">
      <c r="B870" s="1033" t="str">
        <f>Lansekap!C1604</f>
        <v>4.1.2.2.10</v>
      </c>
      <c r="C870" s="12" t="str">
        <f>VLOOKUP(B870,Lansekap!C:T,2,FALSE)</f>
        <v xml:space="preserve">Penanaman 1 Buah Pohon Kecil Sikat Botol (Callistemon
Viminalis),  Diameter 2-3 cm, Tinggi 2-2,5 meter, Polybag 25 L </v>
      </c>
      <c r="D870" s="9" t="s">
        <v>44</v>
      </c>
      <c r="E870" s="1021">
        <f>VLOOKUP(C870,Lansekap!D:T,15,FALSE)</f>
        <v>5900</v>
      </c>
      <c r="F870" s="1003" t="str">
        <f>VLOOKUP(C870,Lansekap!D:T,16,FALSE)</f>
        <v>Revisi</v>
      </c>
      <c r="G870" s="12" t="str">
        <f>VLOOKUP(C870,Lansekap!D:T,17,FALSE)</f>
        <v>Item Baru</v>
      </c>
      <c r="H870" s="374"/>
      <c r="I870" s="16"/>
    </row>
    <row r="871" spans="1:9" ht="24" customHeight="1">
      <c r="B871" s="1033" t="str">
        <f>Lansekap!C1632</f>
        <v>4.1.2.2.11</v>
      </c>
      <c r="C871" s="12" t="str">
        <f>VLOOKUP(B871,Lansekap!C:T,2,FALSE)</f>
        <v xml:space="preserve">Penanaman 1 Buah Pohon Kecil Kecil Thevetia (Thevetia peruviana),  Diameter 2-3 cm, Tinggi 2-2,5 meter, Polybag 25 L </v>
      </c>
      <c r="D871" s="9" t="s">
        <v>44</v>
      </c>
      <c r="E871" s="1021">
        <f>VLOOKUP(C871,Lansekap!D:T,15,FALSE)</f>
        <v>5900</v>
      </c>
      <c r="F871" s="1003" t="str">
        <f>VLOOKUP(C871,Lansekap!D:T,16,FALSE)</f>
        <v>Revisi</v>
      </c>
      <c r="G871" s="12" t="str">
        <f>VLOOKUP(C871,Lansekap!D:T,17,FALSE)</f>
        <v>Item Baru</v>
      </c>
      <c r="H871" s="374"/>
      <c r="I871" s="16"/>
    </row>
    <row r="872" spans="1:9" ht="24" customHeight="1">
      <c r="B872" s="1033" t="str">
        <f>Lansekap!C1660</f>
        <v>4.1.2.2.12</v>
      </c>
      <c r="C872" s="12" t="str">
        <f>VLOOKUP(B872,Lansekap!C:T,2,FALSE)</f>
        <v xml:space="preserve">Penanaman 1 Buah Pohon Kecil Turi (Sesbania Grandiflora),  Diameter 2-3 cm, Tinggi 2-2,5 meter, Polybag 25 L </v>
      </c>
      <c r="D872" s="9" t="s">
        <v>44</v>
      </c>
      <c r="E872" s="1021">
        <f>VLOOKUP(C872,Lansekap!D:T,15,FALSE)</f>
        <v>5900</v>
      </c>
      <c r="F872" s="1003" t="str">
        <f>VLOOKUP(C872,Lansekap!D:T,16,FALSE)</f>
        <v>Revisi</v>
      </c>
      <c r="G872" s="12" t="str">
        <f>VLOOKUP(C872,Lansekap!D:T,17,FALSE)</f>
        <v>Item Baru</v>
      </c>
      <c r="H872" s="374"/>
      <c r="I872" s="16"/>
    </row>
    <row r="873" spans="1:9" ht="24" customHeight="1">
      <c r="B873" s="1033" t="str">
        <f>Lansekap!C1688</f>
        <v>4.1.2.2.13</v>
      </c>
      <c r="C873" s="12" t="str">
        <f>VLOOKUP(B873,Lansekap!C:T,2,FALSE)</f>
        <v xml:space="preserve">Penanaman 1 Buah Pohon Kecil Turi (Sesbania Grandiflora),  Diameter 2-3 cm, Tinggi 2-2,5 meter, Polybag 25 L </v>
      </c>
      <c r="D873" s="9" t="s">
        <v>44</v>
      </c>
      <c r="E873" s="1021">
        <f>VLOOKUP(C873,Lansekap!D:T,15,FALSE)</f>
        <v>5900</v>
      </c>
      <c r="F873" s="1003" t="str">
        <f>VLOOKUP(C873,Lansekap!D:T,16,FALSE)</f>
        <v>Revisi</v>
      </c>
      <c r="G873" s="12" t="str">
        <f>VLOOKUP(C873,Lansekap!D:T,17,FALSE)</f>
        <v>Item Baru</v>
      </c>
      <c r="H873" s="374"/>
      <c r="I873" s="16"/>
    </row>
    <row r="874" spans="1:9" s="1" customFormat="1" ht="24" customHeight="1">
      <c r="A874" s="47"/>
      <c r="B874" s="1041" t="str">
        <f>Lansekap!C1716</f>
        <v>4.1.2.3</v>
      </c>
      <c r="C874" s="33" t="str">
        <f>VLOOKUP(B874,Lansekap!C:T,2,FALSE)</f>
        <v>Pohon Sedang, Polybag 50 L</v>
      </c>
      <c r="D874" s="19"/>
      <c r="E874" s="1021">
        <f>VLOOKUP(C874,Lansekap!D:T,15,FALSE)</f>
        <v>0</v>
      </c>
      <c r="F874" s="1003">
        <f>VLOOKUP(C874,Lansekap!D:T,16,FALSE)</f>
        <v>0</v>
      </c>
      <c r="G874" s="12">
        <f>VLOOKUP(C874,Lansekap!D:T,17,FALSE)</f>
        <v>0</v>
      </c>
      <c r="H874" s="1092"/>
      <c r="I874" s="21"/>
    </row>
    <row r="875" spans="1:9" ht="24" customHeight="1">
      <c r="B875" s="1033" t="str">
        <f>Lansekap!C1717</f>
        <v>4.1.2.3.1</v>
      </c>
      <c r="C875" s="12" t="str">
        <f>VLOOKUP(B875,Lansekap!C:T,2,FALSE)</f>
        <v xml:space="preserve">Penanaman 1 Buah Pohon Sedang Bintaro (Cerbera Manghas), Diameter 3-5 cm, Tinggi 3-4 Meter, Polybag 50 L </v>
      </c>
      <c r="D875" s="9" t="s">
        <v>4490</v>
      </c>
      <c r="E875" s="1021">
        <f>VLOOKUP(C875,Lansekap!D:T,15,FALSE)</f>
        <v>16200</v>
      </c>
      <c r="F875" s="1003" t="str">
        <f>VLOOKUP(C875,Lansekap!D:T,16,FALSE)</f>
        <v>Revisi</v>
      </c>
      <c r="G875" s="12" t="str">
        <f>VLOOKUP(C875,Lansekap!D:T,17,FALSE)</f>
        <v>Item Baru</v>
      </c>
      <c r="H875" s="374"/>
      <c r="I875" s="16"/>
    </row>
    <row r="876" spans="1:9" ht="24" customHeight="1">
      <c r="B876" s="1033" t="str">
        <f>Lansekap!C1746</f>
        <v>4.1.2.3.2</v>
      </c>
      <c r="C876" s="12" t="str">
        <f>VLOOKUP(B876,Lansekap!C:T,2,FALSE)</f>
        <v xml:space="preserve">Penanaman 1 Buah Pohon Sedang Bunga Kupu-Kupu (Bauhinia
Blakeana/Purpurea),, Diameter 3-5 cm, Tinggi 3-4 Meter, Polybag 50 L </v>
      </c>
      <c r="D876" s="9" t="s">
        <v>4490</v>
      </c>
      <c r="E876" s="1021">
        <f>VLOOKUP(C876,Lansekap!D:T,15,FALSE)</f>
        <v>16200</v>
      </c>
      <c r="F876" s="1003" t="str">
        <f>VLOOKUP(C876,Lansekap!D:T,16,FALSE)</f>
        <v>Revisi</v>
      </c>
      <c r="G876" s="12" t="str">
        <f>VLOOKUP(C876,Lansekap!D:T,17,FALSE)</f>
        <v>Item Baru</v>
      </c>
      <c r="H876" s="374"/>
      <c r="I876" s="16"/>
    </row>
    <row r="877" spans="1:9" ht="24" customHeight="1">
      <c r="B877" s="1033" t="str">
        <f>Lansekap!C1775</f>
        <v>4.1.2.3.3</v>
      </c>
      <c r="C877" s="12" t="str">
        <f>VLOOKUP(B877,Lansekap!C:T,2,FALSE)</f>
        <v xml:space="preserve">Penanaman 1 Buah Pohon Sedang Bunga Terompet Kuning (Tecoma stans), Diameter 3-5 cm, Tinggi 3-4 Meter, Polybag 50 L </v>
      </c>
      <c r="D877" s="9" t="s">
        <v>4490</v>
      </c>
      <c r="E877" s="1021">
        <f>VLOOKUP(C877,Lansekap!D:T,15,FALSE)</f>
        <v>16200</v>
      </c>
      <c r="F877" s="1003" t="str">
        <f>VLOOKUP(C877,Lansekap!D:T,16,FALSE)</f>
        <v>Revisi</v>
      </c>
      <c r="G877" s="12" t="str">
        <f>VLOOKUP(C877,Lansekap!D:T,17,FALSE)</f>
        <v>Item Baru</v>
      </c>
      <c r="H877" s="374"/>
      <c r="I877" s="16"/>
    </row>
    <row r="878" spans="1:9" ht="24" customHeight="1">
      <c r="B878" s="1033" t="str">
        <f>Lansekap!C1804</f>
        <v>4.1.2.3.4</v>
      </c>
      <c r="C878" s="12" t="str">
        <f>VLOOKUP(B878,Lansekap!C:T,2,FALSE)</f>
        <v xml:space="preserve">Penanaman 1 Buah Pohon Sedang Bunga Flamboyan (Delonix Regia), Diameter 3-5 cm, Tinggi 3-4 Meter, Polybag 50 L </v>
      </c>
      <c r="D878" s="9" t="s">
        <v>4490</v>
      </c>
      <c r="E878" s="1021">
        <f>VLOOKUP(C878,Lansekap!D:T,15,FALSE)</f>
        <v>16200</v>
      </c>
      <c r="F878" s="1003" t="str">
        <f>VLOOKUP(C878,Lansekap!D:T,16,FALSE)</f>
        <v>Revisi</v>
      </c>
      <c r="G878" s="12" t="str">
        <f>VLOOKUP(C878,Lansekap!D:T,17,FALSE)</f>
        <v>Item Baru</v>
      </c>
      <c r="H878" s="374"/>
      <c r="I878" s="16"/>
    </row>
    <row r="879" spans="1:9" ht="24" customHeight="1">
      <c r="B879" s="1033" t="str">
        <f>Lansekap!C1833</f>
        <v>4.1.2.3.5</v>
      </c>
      <c r="C879" s="12" t="str">
        <f>VLOOKUP(B879,Lansekap!C:T,2,FALSE)</f>
        <v xml:space="preserve">Penanaman 1 Buah Pohon Sedang Flamboyan Kuning (Peltophorum Pterocarpum), Diameter 3-5 cm, Tinggi 3-4 Meter, Polybag 50 L </v>
      </c>
      <c r="D879" s="9" t="s">
        <v>4490</v>
      </c>
      <c r="E879" s="1021">
        <f>VLOOKUP(C879,Lansekap!D:T,15,FALSE)</f>
        <v>16200</v>
      </c>
      <c r="F879" s="1003" t="str">
        <f>VLOOKUP(C879,Lansekap!D:T,16,FALSE)</f>
        <v>Revisi</v>
      </c>
      <c r="G879" s="12" t="str">
        <f>VLOOKUP(C879,Lansekap!D:T,17,FALSE)</f>
        <v>Item Baru</v>
      </c>
      <c r="H879" s="374"/>
      <c r="I879" s="16"/>
    </row>
    <row r="880" spans="1:9" ht="24" customHeight="1">
      <c r="B880" s="1033" t="str">
        <f>Lansekap!C1862</f>
        <v>4.1.2.3.6</v>
      </c>
      <c r="C880" s="12" t="str">
        <f>VLOOKUP(B880,Lansekap!C:T,2,FALSE)</f>
        <v xml:space="preserve">Penanaman 1 Buah Pohon Sedang Janda Merana (Salix Babilonica), Diameter 3-5 cm, Tinggi 3-4 Meter, Polybag 50 L </v>
      </c>
      <c r="D880" s="9" t="s">
        <v>4490</v>
      </c>
      <c r="E880" s="1021">
        <f>VLOOKUP(C880,Lansekap!D:T,15,FALSE)</f>
        <v>16200</v>
      </c>
      <c r="F880" s="1003" t="str">
        <f>VLOOKUP(C880,Lansekap!D:T,16,FALSE)</f>
        <v>Revisi</v>
      </c>
      <c r="G880" s="12" t="str">
        <f>VLOOKUP(C880,Lansekap!D:T,17,FALSE)</f>
        <v>Item Baru</v>
      </c>
      <c r="H880" s="374"/>
      <c r="I880" s="16"/>
    </row>
    <row r="881" spans="1:9" ht="24" customHeight="1">
      <c r="B881" s="1033" t="str">
        <f>Lansekap!C1891</f>
        <v>4.1.2.3.7</v>
      </c>
      <c r="C881" s="12" t="str">
        <f>VLOOKUP(B881,Lansekap!C:T,2,FALSE)</f>
        <v xml:space="preserve">Penanaman 1 Buah Pohon Sedang Ketapang kencana (Terminalia mantaly), Diameter 3-5 cm, Tinggi 3-4 Meter, Polybag 50 L </v>
      </c>
      <c r="D881" s="9" t="s">
        <v>4490</v>
      </c>
      <c r="E881" s="1021">
        <f>VLOOKUP(C881,Lansekap!D:T,15,FALSE)</f>
        <v>16200</v>
      </c>
      <c r="F881" s="1003" t="str">
        <f>VLOOKUP(C881,Lansekap!D:T,16,FALSE)</f>
        <v>Revisi</v>
      </c>
      <c r="G881" s="12" t="str">
        <f>VLOOKUP(C881,Lansekap!D:T,17,FALSE)</f>
        <v>Item Baru</v>
      </c>
      <c r="H881" s="374"/>
      <c r="I881" s="16"/>
    </row>
    <row r="882" spans="1:9" ht="24" customHeight="1">
      <c r="B882" s="1033" t="str">
        <f>Lansekap!C1920</f>
        <v>4.1.2.3.8</v>
      </c>
      <c r="C882" s="12" t="str">
        <f>VLOOKUP(B882,Lansekap!C:T,2,FALSE)</f>
        <v xml:space="preserve">Penanaman 1 Buah Pohon Sedang Sosis (Kigelia Africana), Diameter 3-5 cm, Tinggi 3-4 Meter, Polybag 50 L </v>
      </c>
      <c r="D882" s="9" t="s">
        <v>4490</v>
      </c>
      <c r="E882" s="1021">
        <f>VLOOKUP(C882,Lansekap!D:T,15,FALSE)</f>
        <v>16200</v>
      </c>
      <c r="F882" s="1003" t="str">
        <f>VLOOKUP(C882,Lansekap!D:T,16,FALSE)</f>
        <v>Revisi</v>
      </c>
      <c r="G882" s="12" t="str">
        <f>VLOOKUP(C882,Lansekap!D:T,17,FALSE)</f>
        <v>Item Baru</v>
      </c>
      <c r="H882" s="374"/>
      <c r="I882" s="16"/>
    </row>
    <row r="883" spans="1:9" ht="24" customHeight="1">
      <c r="B883" s="1033" t="str">
        <f>Lansekap!C1949</f>
        <v>4.1.2.3.9</v>
      </c>
      <c r="C883" s="12" t="str">
        <f>VLOOKUP(B883,Lansekap!C:T,2,FALSE)</f>
        <v xml:space="preserve">Penanaman 1 Buah Pohon Sedang Tabebuya (Tabebuia sp.) Diameter 3-5 cm, Tinggi 3-4 Meter, Polybag 50 L </v>
      </c>
      <c r="D883" s="9" t="s">
        <v>4490</v>
      </c>
      <c r="E883" s="1021">
        <f>VLOOKUP(C883,Lansekap!D:T,15,FALSE)</f>
        <v>16200</v>
      </c>
      <c r="F883" s="1003" t="str">
        <f>VLOOKUP(C883,Lansekap!D:T,16,FALSE)</f>
        <v>Revisi</v>
      </c>
      <c r="G883" s="12" t="str">
        <f>VLOOKUP(C883,Lansekap!D:T,17,FALSE)</f>
        <v>Item Baru</v>
      </c>
      <c r="H883" s="374"/>
      <c r="I883" s="16"/>
    </row>
    <row r="884" spans="1:9" ht="24" customHeight="1">
      <c r="B884" s="1033" t="str">
        <f>Lansekap!C1978</f>
        <v>4.1.2.3.10</v>
      </c>
      <c r="C884" s="12" t="str">
        <f>VLOOKUP(B884,Lansekap!C:T,2,FALSE)</f>
        <v xml:space="preserve">Penanaman 1 Buah Pohon Sedang Waru (Hibiscus Tiliaceus), Diameter 3-5 cm, Tinggi 3-4 Meter, Polybag 50 L </v>
      </c>
      <c r="D884" s="9" t="s">
        <v>4490</v>
      </c>
      <c r="E884" s="1021">
        <f>VLOOKUP(C884,Lansekap!D:T,15,FALSE)</f>
        <v>16200</v>
      </c>
      <c r="F884" s="1003" t="str">
        <f>VLOOKUP(C884,Lansekap!D:T,16,FALSE)</f>
        <v>Revisi</v>
      </c>
      <c r="G884" s="12" t="str">
        <f>VLOOKUP(C884,Lansekap!D:T,17,FALSE)</f>
        <v>Item Baru</v>
      </c>
      <c r="H884" s="374"/>
      <c r="I884" s="16"/>
    </row>
    <row r="885" spans="1:9" ht="24" customHeight="1">
      <c r="B885" s="1033" t="str">
        <f>Lansekap!C2007</f>
        <v>4.1.2.3.11</v>
      </c>
      <c r="C885" s="12" t="str">
        <f>VLOOKUP(B885,Lansekap!C:T,2,FALSE)</f>
        <v xml:space="preserve">Penanaman 1 Buah Pohon Sedang Waru (Hibiscus Tiliaceus), Diameter 3-5 cm, Tinggi 3-4 Meter, Polybag 50 L </v>
      </c>
      <c r="D885" s="9" t="s">
        <v>4490</v>
      </c>
      <c r="E885" s="1021">
        <f>VLOOKUP(C885,Lansekap!D:T,15,FALSE)</f>
        <v>16200</v>
      </c>
      <c r="F885" s="1003" t="str">
        <f>VLOOKUP(C885,Lansekap!D:T,16,FALSE)</f>
        <v>Revisi</v>
      </c>
      <c r="G885" s="12" t="str">
        <f>VLOOKUP(C885,Lansekap!D:T,17,FALSE)</f>
        <v>Item Baru</v>
      </c>
      <c r="H885" s="374"/>
      <c r="I885" s="16"/>
    </row>
    <row r="886" spans="1:9" s="1" customFormat="1" ht="24" customHeight="1">
      <c r="A886" s="47"/>
      <c r="B886" s="1041" t="str">
        <f>Lansekap!C2036</f>
        <v>4.1.2.4</v>
      </c>
      <c r="C886" s="33" t="str">
        <f>VLOOKUP(B886,Lansekap!C:T,2,FALSE)</f>
        <v>Pohon Sedang, Polybag 75 L</v>
      </c>
      <c r="D886" s="19"/>
      <c r="E886" s="1021">
        <f>VLOOKUP(C886,Lansekap!D:T,15,FALSE)</f>
        <v>0</v>
      </c>
      <c r="F886" s="1003">
        <f>VLOOKUP(C886,Lansekap!D:T,16,FALSE)</f>
        <v>0</v>
      </c>
      <c r="G886" s="12">
        <f>VLOOKUP(C886,Lansekap!D:T,17,FALSE)</f>
        <v>0</v>
      </c>
      <c r="H886" s="1092"/>
      <c r="I886" s="21"/>
    </row>
    <row r="887" spans="1:9" ht="24" customHeight="1">
      <c r="B887" s="1033" t="str">
        <f>Lansekap!C2037</f>
        <v>4.1.2.4.1</v>
      </c>
      <c r="C887" s="12" t="str">
        <f>VLOOKUP(B887,Lansekap!C:T,2,FALSE)</f>
        <v>Penanaman 1 Buah Poho Sedang Bitaro (Cerbera Manghas), Diameter 5-7 cm, Tinggi 3-4 Meter Polybag 75 L</v>
      </c>
      <c r="D887" s="9" t="s">
        <v>4490</v>
      </c>
      <c r="E887" s="1021">
        <f>VLOOKUP(C887,Lansekap!D:T,15,FALSE)</f>
        <v>27300</v>
      </c>
      <c r="F887" s="1003" t="str">
        <f>VLOOKUP(C887,Lansekap!D:T,16,FALSE)</f>
        <v>Revisi</v>
      </c>
      <c r="G887" s="12" t="str">
        <f>VLOOKUP(C887,Lansekap!D:T,17,FALSE)</f>
        <v>Item Baru</v>
      </c>
      <c r="H887" s="374"/>
      <c r="I887" s="16"/>
    </row>
    <row r="888" spans="1:9" ht="24" customHeight="1">
      <c r="B888" s="1033" t="str">
        <f>Lansekap!C2066</f>
        <v>4.1.2.4.2</v>
      </c>
      <c r="C888" s="12" t="str">
        <f>VLOOKUP(B888,Lansekap!C:T,2,FALSE)</f>
        <v>Penanaman 1 Buah Poho Sedang Biola Cantik (Ficus Lyrata), Diameter 5-7 cm, Tinggi 3-4 Meter Polybag 75 L</v>
      </c>
      <c r="D888" s="9" t="s">
        <v>4490</v>
      </c>
      <c r="E888" s="1021">
        <f>VLOOKUP(C888,Lansekap!D:T,15,FALSE)</f>
        <v>27300</v>
      </c>
      <c r="F888" s="1003" t="str">
        <f>VLOOKUP(C888,Lansekap!D:T,16,FALSE)</f>
        <v>Revisi</v>
      </c>
      <c r="G888" s="12" t="str">
        <f>VLOOKUP(C888,Lansekap!D:T,17,FALSE)</f>
        <v>Item Baru</v>
      </c>
      <c r="H888" s="374"/>
      <c r="I888" s="16"/>
    </row>
    <row r="889" spans="1:9" ht="24" customHeight="1">
      <c r="B889" s="1033" t="str">
        <f>Lansekap!C2095</f>
        <v>4.1.2.4.3</v>
      </c>
      <c r="C889" s="12" t="str">
        <f>VLOOKUP(B889,Lansekap!C:T,2,FALSE)</f>
        <v>Penanaman 1 Buah Poho Sedang Bunga Kupu-Kupu (Bauhinia Blakeana/Purpurea), Diameter 5-7 cm, Tinggi 3-4 Meter Polybag 75 L</v>
      </c>
      <c r="D889" s="9" t="s">
        <v>4490</v>
      </c>
      <c r="E889" s="1021">
        <f>VLOOKUP(C889,Lansekap!D:T,15,FALSE)</f>
        <v>27300</v>
      </c>
      <c r="F889" s="1003" t="str">
        <f>VLOOKUP(C889,Lansekap!D:T,16,FALSE)</f>
        <v>Revisi</v>
      </c>
      <c r="G889" s="12" t="str">
        <f>VLOOKUP(C889,Lansekap!D:T,17,FALSE)</f>
        <v>Item Baru</v>
      </c>
      <c r="H889" s="374"/>
      <c r="I889" s="16"/>
    </row>
    <row r="890" spans="1:9" ht="24" customHeight="1">
      <c r="B890" s="1033" t="str">
        <f>Lansekap!C2124</f>
        <v>4.1.2.4.4</v>
      </c>
      <c r="C890" s="12" t="str">
        <f>VLOOKUP(B890,Lansekap!C:T,2,FALSE)</f>
        <v>Penanaman 1 Buah Poho Sedang Bungur (Lagerstroemia Speciosa),  Diameter 5-7 cm, Tinggi 3-4 Meter Polybag 75 L</v>
      </c>
      <c r="D890" s="9" t="s">
        <v>4490</v>
      </c>
      <c r="E890" s="1021">
        <f>VLOOKUP(C890,Lansekap!D:T,15,FALSE)</f>
        <v>27300</v>
      </c>
      <c r="F890" s="1003" t="str">
        <f>VLOOKUP(C890,Lansekap!D:T,16,FALSE)</f>
        <v>Revisi</v>
      </c>
      <c r="G890" s="12" t="str">
        <f>VLOOKUP(C890,Lansekap!D:T,17,FALSE)</f>
        <v>Item Baru</v>
      </c>
      <c r="H890" s="374"/>
      <c r="I890" s="16"/>
    </row>
    <row r="891" spans="1:9" ht="24" customHeight="1">
      <c r="B891" s="1033" t="str">
        <f>Lansekap!C2153</f>
        <v>4.1.2.4.5</v>
      </c>
      <c r="C891" s="12" t="str">
        <f>VLOOKUP(B891,Lansekap!C:T,2,FALSE)</f>
        <v>Penanaman 1 Buah Poho Sedang Flamboyan (Delonix Regia),  Diameter 5-7 cm, Tinggi 3-4 Meter Polybag 75 L</v>
      </c>
      <c r="D891" s="9" t="s">
        <v>4490</v>
      </c>
      <c r="E891" s="1021">
        <f>VLOOKUP(C891,Lansekap!D:T,15,FALSE)</f>
        <v>27300</v>
      </c>
      <c r="F891" s="1003" t="str">
        <f>VLOOKUP(C891,Lansekap!D:T,16,FALSE)</f>
        <v>Revisi</v>
      </c>
      <c r="G891" s="12" t="str">
        <f>VLOOKUP(C891,Lansekap!D:T,17,FALSE)</f>
        <v>Item Baru</v>
      </c>
      <c r="H891" s="374"/>
      <c r="I891" s="16"/>
    </row>
    <row r="892" spans="1:9" ht="24" customHeight="1">
      <c r="B892" s="1033" t="str">
        <f>Lansekap!C2182</f>
        <v>4.1.2.4.6</v>
      </c>
      <c r="C892" s="12" t="str">
        <f>VLOOKUP(B892,Lansekap!C:T,2,FALSE)</f>
        <v>Penanaman 1 Buah Poho Sedang Flamboyan Kuning (Peltophorum Pterocarpum),  Diameter 5-7 cm, Tinggi 3-4 Meter Polybag 75 L</v>
      </c>
      <c r="D892" s="9" t="s">
        <v>4490</v>
      </c>
      <c r="E892" s="1021">
        <f>VLOOKUP(C892,Lansekap!D:T,15,FALSE)</f>
        <v>27300</v>
      </c>
      <c r="F892" s="1003" t="str">
        <f>VLOOKUP(C892,Lansekap!D:T,16,FALSE)</f>
        <v>Revisi</v>
      </c>
      <c r="G892" s="12" t="str">
        <f>VLOOKUP(C892,Lansekap!D:T,17,FALSE)</f>
        <v>Item Baru</v>
      </c>
      <c r="H892" s="374"/>
      <c r="I892" s="16"/>
    </row>
    <row r="893" spans="1:9" ht="24" customHeight="1">
      <c r="B893" s="1033" t="str">
        <f>Lansekap!C2211</f>
        <v>4.1.2.4.7</v>
      </c>
      <c r="C893" s="12" t="str">
        <f>VLOOKUP(B893,Lansekap!C:T,2,FALSE)</f>
        <v>Penanaman 1 Buah Poho SedangJanda Merana (Salix Babilonica), Diameter 5-7 cm, Tinggi 3-4 Meter Polybag 75 L</v>
      </c>
      <c r="D893" s="9" t="s">
        <v>4490</v>
      </c>
      <c r="E893" s="1021">
        <f>VLOOKUP(C893,Lansekap!D:T,15,FALSE)</f>
        <v>27300</v>
      </c>
      <c r="F893" s="1003" t="str">
        <f>VLOOKUP(C893,Lansekap!D:T,16,FALSE)</f>
        <v>Revisi</v>
      </c>
      <c r="G893" s="12" t="str">
        <f>VLOOKUP(C893,Lansekap!D:T,17,FALSE)</f>
        <v>Item Baru</v>
      </c>
      <c r="H893" s="374"/>
      <c r="I893" s="16"/>
    </row>
    <row r="894" spans="1:9" ht="24" customHeight="1">
      <c r="B894" s="1033" t="str">
        <f>Lansekap!C2240</f>
        <v>4.1.2.4.8</v>
      </c>
      <c r="C894" s="12" t="str">
        <f>VLOOKUP(B894,Lansekap!C:T,2,FALSE)</f>
        <v>Penanaman 1 Buah Poho Sedang Kamboja (Plumeria Sp.), Diameter 5-7 cm, Tinggi 3-4 Meter Polybag 75 L</v>
      </c>
      <c r="D894" s="9" t="s">
        <v>4490</v>
      </c>
      <c r="E894" s="1021">
        <f>VLOOKUP(C894,Lansekap!D:T,15,FALSE)</f>
        <v>27300</v>
      </c>
      <c r="F894" s="1003" t="str">
        <f>VLOOKUP(C894,Lansekap!D:T,16,FALSE)</f>
        <v>Revisi</v>
      </c>
      <c r="G894" s="12" t="str">
        <f>VLOOKUP(C894,Lansekap!D:T,17,FALSE)</f>
        <v>Item Baru</v>
      </c>
      <c r="H894" s="374"/>
      <c r="I894" s="16"/>
    </row>
    <row r="895" spans="1:9" ht="24" customHeight="1">
      <c r="B895" s="1033" t="str">
        <f>Lansekap!C2269</f>
        <v>4.1.2.4.9</v>
      </c>
      <c r="C895" s="12" t="str">
        <f>VLOOKUP(B895,Lansekap!C:T,2,FALSE)</f>
        <v>Penanaman 1 Buah Poho Sedang Keben (Barringtonia Asiatica), Diameter 5-7 cm, Tinggi 3-4 Meter Polybag 75 L</v>
      </c>
      <c r="D895" s="9" t="s">
        <v>4490</v>
      </c>
      <c r="E895" s="1021">
        <f>VLOOKUP(C895,Lansekap!D:T,15,FALSE)</f>
        <v>27300</v>
      </c>
      <c r="F895" s="1003" t="str">
        <f>VLOOKUP(C895,Lansekap!D:T,16,FALSE)</f>
        <v>Revisi</v>
      </c>
      <c r="G895" s="12" t="str">
        <f>VLOOKUP(C895,Lansekap!D:T,17,FALSE)</f>
        <v>Item Baru</v>
      </c>
      <c r="H895" s="374"/>
      <c r="I895" s="16"/>
    </row>
    <row r="896" spans="1:9" ht="24" customHeight="1">
      <c r="B896" s="1033" t="str">
        <f>Lansekap!C2298</f>
        <v>4.1.2.4.10</v>
      </c>
      <c r="C896" s="12" t="str">
        <f>VLOOKUP(B896,Lansekap!C:T,2,FALSE)</f>
        <v>Penanaman 1 Buah Poho Sedang Kecrutan (Spathodea
Campanulata), Diameter 5-7 cm, Tinggi 3-4 Meter Polybag 75 L</v>
      </c>
      <c r="D896" s="9" t="s">
        <v>4490</v>
      </c>
      <c r="E896" s="1021">
        <f>VLOOKUP(C896,Lansekap!D:T,15,FALSE)</f>
        <v>27300</v>
      </c>
      <c r="F896" s="1003" t="str">
        <f>VLOOKUP(C896,Lansekap!D:T,16,FALSE)</f>
        <v>Revisi</v>
      </c>
      <c r="G896" s="12" t="str">
        <f>VLOOKUP(C896,Lansekap!D:T,17,FALSE)</f>
        <v>Item Baru</v>
      </c>
      <c r="H896" s="374"/>
      <c r="I896" s="16"/>
    </row>
    <row r="897" spans="1:9" ht="24" customHeight="1">
      <c r="B897" s="1033" t="str">
        <f>Lansekap!C2327</f>
        <v>4.1.2.4.11</v>
      </c>
      <c r="C897" s="12" t="str">
        <f>VLOOKUP(B897,Lansekap!C:T,2,FALSE)</f>
        <v>Penanaman 1 Buah Poho Sedang Ketapang Kencana (Terminalia Mantaly), Diameter 5-7 cm, Tinggi 3-4 Meter Polybag 75 L</v>
      </c>
      <c r="D897" s="9" t="s">
        <v>4490</v>
      </c>
      <c r="E897" s="1021">
        <f>VLOOKUP(C897,Lansekap!D:T,15,FALSE)</f>
        <v>27300</v>
      </c>
      <c r="F897" s="1003" t="str">
        <f>VLOOKUP(C897,Lansekap!D:T,16,FALSE)</f>
        <v>Revisi</v>
      </c>
      <c r="G897" s="12" t="str">
        <f>VLOOKUP(C897,Lansekap!D:T,17,FALSE)</f>
        <v>Item Baru</v>
      </c>
      <c r="H897" s="374"/>
      <c r="I897" s="16"/>
    </row>
    <row r="898" spans="1:9" ht="24" customHeight="1">
      <c r="B898" s="1033" t="str">
        <f>Lansekap!C2356</f>
        <v>4.1.2.4.12</v>
      </c>
      <c r="C898" s="12" t="str">
        <f>VLOOKUP(B898,Lansekap!C:T,2,FALSE)</f>
        <v>Penanaman 1 Buah Poho Sedang Mahoni (Swietenia
Mahagoni), Diameter 5-7 cm, Tinggi 3-4 Meter Polybag 75 L</v>
      </c>
      <c r="D898" s="9" t="s">
        <v>4490</v>
      </c>
      <c r="E898" s="1021">
        <f>VLOOKUP(C898,Lansekap!D:T,15,FALSE)</f>
        <v>27300</v>
      </c>
      <c r="F898" s="1003" t="str">
        <f>VLOOKUP(C898,Lansekap!D:T,16,FALSE)</f>
        <v>Revisi</v>
      </c>
      <c r="G898" s="12" t="str">
        <f>VLOOKUP(C898,Lansekap!D:T,17,FALSE)</f>
        <v>Item Baru</v>
      </c>
      <c r="H898" s="374"/>
      <c r="I898" s="16"/>
    </row>
    <row r="899" spans="1:9" ht="24" customHeight="1">
      <c r="B899" s="1033" t="str">
        <f>Lansekap!C2385</f>
        <v>4.1.2.4.13</v>
      </c>
      <c r="C899" s="12" t="str">
        <f>VLOOKUP(B899,Lansekap!C:T,2,FALSE)</f>
        <v>Penanaman 1 Buah Poho Sedang Pulai (Alstonia Scholaris),, Diameter 5-7 cm, Tinggi 3-4 Meter Polybag 75 L</v>
      </c>
      <c r="D899" s="9" t="s">
        <v>4490</v>
      </c>
      <c r="E899" s="1021">
        <f>VLOOKUP(C899,Lansekap!D:T,15,FALSE)</f>
        <v>27300</v>
      </c>
      <c r="F899" s="1003" t="str">
        <f>VLOOKUP(C899,Lansekap!D:T,16,FALSE)</f>
        <v>Revisi</v>
      </c>
      <c r="G899" s="12" t="str">
        <f>VLOOKUP(C899,Lansekap!D:T,17,FALSE)</f>
        <v>Item Baru</v>
      </c>
      <c r="H899" s="374"/>
      <c r="I899" s="16"/>
    </row>
    <row r="900" spans="1:9" ht="24" customHeight="1">
      <c r="B900" s="1033" t="str">
        <f>Lansekap!C2414</f>
        <v>4.1.2.4.14</v>
      </c>
      <c r="C900" s="12" t="str">
        <f>VLOOKUP(B900,Lansekap!C:T,2,FALSE)</f>
        <v>Penanaman 1 Buah Poho Sedang Putat (Planchonia Valida), Diameter 5-7 cm, Tinggi 3-4 Meter Polybag 75 L</v>
      </c>
      <c r="D900" s="9" t="s">
        <v>4490</v>
      </c>
      <c r="E900" s="1021">
        <f>VLOOKUP(C900,Lansekap!D:T,15,FALSE)</f>
        <v>27300</v>
      </c>
      <c r="F900" s="1003" t="str">
        <f>VLOOKUP(C900,Lansekap!D:T,16,FALSE)</f>
        <v>Revisi</v>
      </c>
      <c r="G900" s="12" t="str">
        <f>VLOOKUP(C900,Lansekap!D:T,17,FALSE)</f>
        <v>Item Baru</v>
      </c>
      <c r="H900" s="374"/>
      <c r="I900" s="16"/>
    </row>
    <row r="901" spans="1:9" ht="24" customHeight="1">
      <c r="B901" s="1033" t="str">
        <f>Lansekap!C2443</f>
        <v>4.1.2.4.15</v>
      </c>
      <c r="C901" s="12" t="str">
        <f>VLOOKUP(B901,Lansekap!C:T,2,FALSE)</f>
        <v>Penanaman 1 Buah Poho Sedang Sosis (Kigelia Africana), Diameter 5-7 cm, Tinggi 3-4 Meter Polybag 75 L</v>
      </c>
      <c r="D901" s="9" t="s">
        <v>4490</v>
      </c>
      <c r="E901" s="1021">
        <f>VLOOKUP(C901,Lansekap!D:T,15,FALSE)</f>
        <v>27300</v>
      </c>
      <c r="F901" s="1003" t="str">
        <f>VLOOKUP(C901,Lansekap!D:T,16,FALSE)</f>
        <v>Revisi</v>
      </c>
      <c r="G901" s="12" t="str">
        <f>VLOOKUP(C901,Lansekap!D:T,17,FALSE)</f>
        <v>Item Baru</v>
      </c>
      <c r="H901" s="374"/>
      <c r="I901" s="16"/>
    </row>
    <row r="902" spans="1:9" ht="24" customHeight="1">
      <c r="B902" s="1033" t="str">
        <f>Lansekap!C2472</f>
        <v>4.1.2.4.16</v>
      </c>
      <c r="C902" s="12" t="str">
        <f>VLOOKUP(B902,Lansekap!C:T,2,FALSE)</f>
        <v>Penanaman 1 Buah Poho Sedang Tabebuya (Tabebuia Sp.), Diameter 5-7 cm, Tinggi 3-4 Meter Polybag 75 L</v>
      </c>
      <c r="D902" s="9" t="s">
        <v>4490</v>
      </c>
      <c r="E902" s="1021">
        <f>VLOOKUP(C902,Lansekap!D:T,15,FALSE)</f>
        <v>27300</v>
      </c>
      <c r="F902" s="1003" t="str">
        <f>VLOOKUP(C902,Lansekap!D:T,16,FALSE)</f>
        <v>Revisi</v>
      </c>
      <c r="G902" s="12" t="str">
        <f>VLOOKUP(C902,Lansekap!D:T,17,FALSE)</f>
        <v>Item Baru</v>
      </c>
      <c r="H902" s="374"/>
      <c r="I902" s="16"/>
    </row>
    <row r="903" spans="1:9" ht="24" customHeight="1">
      <c r="B903" s="1033" t="str">
        <f>Lansekap!C2501</f>
        <v>4.1.2.4.17</v>
      </c>
      <c r="C903" s="12" t="str">
        <f>VLOOKUP(B903,Lansekap!C:T,2,FALSE)</f>
        <v>Penanaman 1 Buah Poho Sedang Trembesi (Samanea Saman), Diameter 5-7 cm, Tinggi 3-4 Meter Polybag 75 L</v>
      </c>
      <c r="D903" s="9" t="s">
        <v>4490</v>
      </c>
      <c r="E903" s="1021">
        <f>VLOOKUP(C903,Lansekap!D:T,15,FALSE)</f>
        <v>27300</v>
      </c>
      <c r="F903" s="1003" t="str">
        <f>VLOOKUP(C903,Lansekap!D:T,16,FALSE)</f>
        <v>Revisi</v>
      </c>
      <c r="G903" s="12" t="str">
        <f>VLOOKUP(C903,Lansekap!D:T,17,FALSE)</f>
        <v>Item Baru</v>
      </c>
      <c r="H903" s="374"/>
      <c r="I903" s="16"/>
    </row>
    <row r="904" spans="1:9" ht="24" customHeight="1">
      <c r="B904" s="1033" t="str">
        <f>Lansekap!C2530</f>
        <v>4.1.2.4.18</v>
      </c>
      <c r="C904" s="12" t="str">
        <f>VLOOKUP(B904,Lansekap!C:T,2,FALSE)</f>
        <v>Penanaman 1 Buah Poho Sedang Waru (Hibiscus Tiliaceus), Diameter 5-7 cm, Tinggi 3-4 Meter Polybag 75 L</v>
      </c>
      <c r="D904" s="9" t="s">
        <v>4490</v>
      </c>
      <c r="E904" s="1021">
        <f>VLOOKUP(C904,Lansekap!D:T,15,FALSE)</f>
        <v>27300</v>
      </c>
      <c r="F904" s="1003" t="str">
        <f>VLOOKUP(C904,Lansekap!D:T,16,FALSE)</f>
        <v>Revisi</v>
      </c>
      <c r="G904" s="12" t="str">
        <f>VLOOKUP(C904,Lansekap!D:T,17,FALSE)</f>
        <v>Item Baru</v>
      </c>
      <c r="H904" s="374"/>
      <c r="I904" s="16"/>
    </row>
    <row r="905" spans="1:9" s="1" customFormat="1" ht="24" customHeight="1">
      <c r="A905" s="47"/>
      <c r="B905" s="1041" t="str">
        <f>Lansekap!C2559</f>
        <v>4.1.2.5</v>
      </c>
      <c r="C905" s="33" t="str">
        <f>VLOOKUP(B905,Lansekap!C:T,2,FALSE)</f>
        <v>Pohon Besar, Polybag 100 L</v>
      </c>
      <c r="D905" s="19"/>
      <c r="E905" s="1021">
        <f>VLOOKUP(C905,Lansekap!D:T,15,FALSE)</f>
        <v>0</v>
      </c>
      <c r="F905" s="1003">
        <f>VLOOKUP(C905,Lansekap!D:T,16,FALSE)</f>
        <v>0</v>
      </c>
      <c r="G905" s="12">
        <f>VLOOKUP(C905,Lansekap!D:T,17,FALSE)</f>
        <v>0</v>
      </c>
      <c r="H905" s="1092"/>
      <c r="I905" s="21"/>
    </row>
    <row r="906" spans="1:9" ht="24" customHeight="1">
      <c r="B906" s="1033" t="str">
        <f>Lansekap!C2560</f>
        <v>4.1.2.5.1</v>
      </c>
      <c r="C906" s="12" t="str">
        <f>VLOOKUP(B906,Lansekap!C:T,2,FALSE)</f>
        <v>Penanaman 1 Buah Pohon Besar Pohon Beringi (Ficus Benjamine), Diameter 7-15 cm, Tinggi diatas 5 meter, Polybag 100 L</v>
      </c>
      <c r="D906" s="9" t="s">
        <v>4490</v>
      </c>
      <c r="E906" s="1021">
        <f>VLOOKUP(C906,Lansekap!D:T,15,FALSE)</f>
        <v>18300</v>
      </c>
      <c r="F906" s="1003" t="str">
        <f>VLOOKUP(C906,Lansekap!D:T,16,FALSE)</f>
        <v>Revisi</v>
      </c>
      <c r="G906" s="12" t="str">
        <f>VLOOKUP(C906,Lansekap!D:T,17,FALSE)</f>
        <v>Item Baru</v>
      </c>
      <c r="H906" s="374"/>
      <c r="I906" s="16"/>
    </row>
    <row r="907" spans="1:9" ht="24" customHeight="1">
      <c r="B907" s="1033" t="str">
        <f>Lansekap!C2589</f>
        <v>4.1.2.5.2</v>
      </c>
      <c r="C907" s="12" t="str">
        <f>VLOOKUP(B907,Lansekap!C:T,2,FALSE)</f>
        <v>Penanaman 1 Buah Pohon Besar Biola Cantik (Ficus Lyrata), Diameter 7-15 cm, Tinggi diatas 5 meter, Polybag 100 L</v>
      </c>
      <c r="D907" s="9" t="s">
        <v>4490</v>
      </c>
      <c r="E907" s="1021">
        <f>VLOOKUP(C907,Lansekap!D:T,15,FALSE)</f>
        <v>18300</v>
      </c>
      <c r="F907" s="1003" t="str">
        <f>VLOOKUP(C907,Lansekap!D:T,16,FALSE)</f>
        <v>Revisi</v>
      </c>
      <c r="G907" s="12" t="str">
        <f>VLOOKUP(C907,Lansekap!D:T,17,FALSE)</f>
        <v>Item Baru</v>
      </c>
      <c r="H907" s="374"/>
      <c r="I907" s="16"/>
    </row>
    <row r="908" spans="1:9" ht="24" customHeight="1">
      <c r="B908" s="1033" t="str">
        <f>Lansekap!C2618</f>
        <v>4.1.2.5.3</v>
      </c>
      <c r="C908" s="12" t="str">
        <f>VLOOKUP(B908,Lansekap!C:T,2,FALSE)</f>
        <v>Penanaman 1 Buah Pohon Besar Bodhi (Ficus Religiosa), Diameter 7-15 cm, Tinggi diatas 5 meter, Polybag 100 L</v>
      </c>
      <c r="D908" s="9" t="s">
        <v>4490</v>
      </c>
      <c r="E908" s="1021">
        <f>VLOOKUP(C908,Lansekap!D:T,15,FALSE)</f>
        <v>18300</v>
      </c>
      <c r="F908" s="1003" t="str">
        <f>VLOOKUP(C908,Lansekap!D:T,16,FALSE)</f>
        <v>Revisi</v>
      </c>
      <c r="G908" s="12" t="str">
        <f>VLOOKUP(C908,Lansekap!D:T,17,FALSE)</f>
        <v>Item Baru</v>
      </c>
      <c r="H908" s="374"/>
      <c r="I908" s="16"/>
    </row>
    <row r="909" spans="1:9" ht="24" customHeight="1">
      <c r="B909" s="1033" t="str">
        <f>Lansekap!C2647</f>
        <v>4.1.2.5.4</v>
      </c>
      <c r="C909" s="12" t="str">
        <f>VLOOKUP(B909,Lansekap!C:T,2,FALSE)</f>
        <v>Penanaman 1 Buah Pohon Besar Bungur (Lagerstroemis Speciosa), Diameter 7-15 cm, Tinggi diatas 5 meter, Polybag 100 L</v>
      </c>
      <c r="D909" s="9" t="s">
        <v>4490</v>
      </c>
      <c r="E909" s="1021">
        <f>VLOOKUP(C909,Lansekap!D:T,15,FALSE)</f>
        <v>18300</v>
      </c>
      <c r="F909" s="1003" t="str">
        <f>VLOOKUP(C909,Lansekap!D:T,16,FALSE)</f>
        <v>Revisi</v>
      </c>
      <c r="G909" s="12" t="str">
        <f>VLOOKUP(C909,Lansekap!D:T,17,FALSE)</f>
        <v>Item Baru</v>
      </c>
      <c r="H909" s="374"/>
      <c r="I909" s="16"/>
    </row>
    <row r="910" spans="1:9" ht="24" customHeight="1">
      <c r="B910" s="1033" t="str">
        <f>Lansekap!C2676</f>
        <v>4.1.2.5.5</v>
      </c>
      <c r="C910" s="12" t="str">
        <f>VLOOKUP(B910,Lansekap!C:T,2,FALSE)</f>
        <v>Penanaman 1 Buah Pohon Besar Flamboyan (Delonix Regia), Diameter 7-15 cm, Tinggi diatas 5 meter, Polybag 100 L</v>
      </c>
      <c r="D910" s="9" t="s">
        <v>4490</v>
      </c>
      <c r="E910" s="1021">
        <f>VLOOKUP(C910,Lansekap!D:T,15,FALSE)</f>
        <v>18300</v>
      </c>
      <c r="F910" s="1003" t="str">
        <f>VLOOKUP(C910,Lansekap!D:T,16,FALSE)</f>
        <v>Revisi</v>
      </c>
      <c r="G910" s="12" t="str">
        <f>VLOOKUP(C910,Lansekap!D:T,17,FALSE)</f>
        <v>Item Baru</v>
      </c>
      <c r="H910" s="374"/>
      <c r="I910" s="16"/>
    </row>
    <row r="911" spans="1:9" ht="24" customHeight="1">
      <c r="B911" s="1033" t="str">
        <f>Lansekap!C2706</f>
        <v>4.1.2.5.6</v>
      </c>
      <c r="C911" s="12" t="str">
        <f>VLOOKUP(B911,Lansekap!C:T,2,FALSE)</f>
        <v>Penanaman 1 Buah Pohon Besar Kamboja (Plumeria Sp.), Diameter 7-15 cm, Tinggi diatas 5 meter, Polybag 100 L</v>
      </c>
      <c r="D911" s="9" t="s">
        <v>4490</v>
      </c>
      <c r="E911" s="1021">
        <f>VLOOKUP(C911,Lansekap!D:T,15,FALSE)</f>
        <v>18300</v>
      </c>
      <c r="F911" s="1003" t="str">
        <f>VLOOKUP(C911,Lansekap!D:T,16,FALSE)</f>
        <v>Revisi</v>
      </c>
      <c r="G911" s="12" t="str">
        <f>VLOOKUP(C911,Lansekap!D:T,17,FALSE)</f>
        <v>Item Baru</v>
      </c>
      <c r="H911" s="374"/>
      <c r="I911" s="16"/>
    </row>
    <row r="912" spans="1:9" ht="24" customHeight="1">
      <c r="B912" s="1033" t="str">
        <f>Lansekap!C2735</f>
        <v>4.1.2.5.7</v>
      </c>
      <c r="C912" s="12" t="str">
        <f>VLOOKUP(B912,Lansekap!C:T,2,FALSE)</f>
        <v>Penanaman 1 Buah Pohon Besar Keben (Barringtonia Asiatica), Diameter 7-15 cm, Tinggi diatas 5 meter, Polybag 100 L</v>
      </c>
      <c r="D912" s="9" t="s">
        <v>4490</v>
      </c>
      <c r="E912" s="1021">
        <f>VLOOKUP(C912,Lansekap!D:T,15,FALSE)</f>
        <v>18300</v>
      </c>
      <c r="F912" s="1003" t="str">
        <f>VLOOKUP(C912,Lansekap!D:T,16,FALSE)</f>
        <v>Revisi</v>
      </c>
      <c r="G912" s="12" t="str">
        <f>VLOOKUP(C912,Lansekap!D:T,17,FALSE)</f>
        <v>Item Baru</v>
      </c>
      <c r="H912" s="374"/>
      <c r="I912" s="16"/>
    </row>
    <row r="913" spans="1:9" ht="24" customHeight="1">
      <c r="B913" s="1033" t="str">
        <f>Lansekap!C2764</f>
        <v>4.1.2.5.8</v>
      </c>
      <c r="C913" s="12" t="str">
        <f>VLOOKUP(B913,Lansekap!C:T,2,FALSE)</f>
        <v>Penanaman 1 Buah Pohon Besar Kecrutan (Spathodea Campanulata), Diameter 7-15 cm, Tinggi diatas 5 meter, Polybag 100 L</v>
      </c>
      <c r="D913" s="9" t="s">
        <v>4490</v>
      </c>
      <c r="E913" s="1021">
        <f>VLOOKUP(C913,Lansekap!D:T,15,FALSE)</f>
        <v>18300</v>
      </c>
      <c r="F913" s="1003" t="str">
        <f>VLOOKUP(C913,Lansekap!D:T,16,FALSE)</f>
        <v>Revisi</v>
      </c>
      <c r="G913" s="12" t="str">
        <f>VLOOKUP(C913,Lansekap!D:T,17,FALSE)</f>
        <v>Item Baru</v>
      </c>
      <c r="H913" s="374"/>
      <c r="I913" s="16"/>
    </row>
    <row r="914" spans="1:9" ht="24" customHeight="1">
      <c r="B914" s="1033" t="str">
        <f>Lansekap!C2793</f>
        <v>4.1.2.5.9</v>
      </c>
      <c r="C914" s="12" t="str">
        <f>VLOOKUP(B914,Lansekap!C:T,2,FALSE)</f>
        <v>Penanaman 1 Buah Pohon Besar Ketapang Kencana (Terminalia Mantaly), Diameter 7-15 cm, Tinggi diatas 5 meter, Polybag 100 L</v>
      </c>
      <c r="D914" s="9" t="s">
        <v>4490</v>
      </c>
      <c r="E914" s="1021">
        <f>VLOOKUP(C914,Lansekap!D:T,15,FALSE)</f>
        <v>18300</v>
      </c>
      <c r="F914" s="1003" t="str">
        <f>VLOOKUP(C914,Lansekap!D:T,16,FALSE)</f>
        <v>Revisi</v>
      </c>
      <c r="G914" s="12" t="str">
        <f>VLOOKUP(C914,Lansekap!D:T,17,FALSE)</f>
        <v>Item Baru</v>
      </c>
      <c r="H914" s="374"/>
      <c r="I914" s="16"/>
    </row>
    <row r="915" spans="1:9" ht="24" customHeight="1">
      <c r="B915" s="1033" t="str">
        <f>Lansekap!C2822</f>
        <v>4.1.2.5.10</v>
      </c>
      <c r="C915" s="12" t="str">
        <f>VLOOKUP(B915,Lansekap!C:T,2,FALSE)</f>
        <v>Penanaman 1 Buah Pohon Besar Mahoni (Swietenia Mahagoni), Diameter 7-15 cm, Tinggi diatas 5 meter, Polybag 100 L</v>
      </c>
      <c r="D915" s="9" t="s">
        <v>4490</v>
      </c>
      <c r="E915" s="1021">
        <f>VLOOKUP(C915,Lansekap!D:T,15,FALSE)</f>
        <v>18300</v>
      </c>
      <c r="F915" s="1003" t="str">
        <f>VLOOKUP(C915,Lansekap!D:T,16,FALSE)</f>
        <v>Revisi</v>
      </c>
      <c r="G915" s="12" t="str">
        <f>VLOOKUP(C915,Lansekap!D:T,17,FALSE)</f>
        <v>Item Baru</v>
      </c>
      <c r="H915" s="374"/>
      <c r="I915" s="16"/>
    </row>
    <row r="916" spans="1:9" ht="24" customHeight="1">
      <c r="B916" s="1033" t="str">
        <f>Lansekap!C2851</f>
        <v>4.1.2.5.11</v>
      </c>
      <c r="C916" s="12" t="str">
        <f>VLOOKUP(B916,Lansekap!C:T,2,FALSE)</f>
        <v>Penanaman 1 Buah Pohon Besar Pulai (Alstonia Scholaris), Diameter 7-15 cm, Tinggi diatas 5 meter, Polybag 100 L</v>
      </c>
      <c r="D916" s="9" t="s">
        <v>4490</v>
      </c>
      <c r="E916" s="1021">
        <f>VLOOKUP(C916,Lansekap!D:T,15,FALSE)</f>
        <v>18300</v>
      </c>
      <c r="F916" s="1003" t="str">
        <f>VLOOKUP(C916,Lansekap!D:T,16,FALSE)</f>
        <v>Revisi</v>
      </c>
      <c r="G916" s="12" t="str">
        <f>VLOOKUP(C916,Lansekap!D:T,17,FALSE)</f>
        <v>Item Baru</v>
      </c>
      <c r="H916" s="374"/>
      <c r="I916" s="16"/>
    </row>
    <row r="917" spans="1:9" ht="24" customHeight="1">
      <c r="B917" s="1033" t="str">
        <f>Lansekap!C2880</f>
        <v>4.1.2.5.12</v>
      </c>
      <c r="C917" s="12" t="str">
        <f>VLOOKUP(B917,Lansekap!C:T,2,FALSE)</f>
        <v>Penanaman 1 Buah Pohon Besar Putat (Planchonia Valida), Diameter 7-15 cm, Tinggi diatas 5 meter, Polybag 100 L</v>
      </c>
      <c r="D917" s="9" t="s">
        <v>4490</v>
      </c>
      <c r="E917" s="1021">
        <f>VLOOKUP(C917,Lansekap!D:T,15,FALSE)</f>
        <v>18300</v>
      </c>
      <c r="F917" s="1003" t="str">
        <f>VLOOKUP(C917,Lansekap!D:T,16,FALSE)</f>
        <v>Revisi</v>
      </c>
      <c r="G917" s="12" t="str">
        <f>VLOOKUP(C917,Lansekap!D:T,17,FALSE)</f>
        <v>Item Baru</v>
      </c>
      <c r="H917" s="374"/>
      <c r="I917" s="16"/>
    </row>
    <row r="918" spans="1:9" ht="24" customHeight="1">
      <c r="B918" s="1033" t="str">
        <f>Lansekap!C2909</f>
        <v>4.1.2.5.13</v>
      </c>
      <c r="C918" s="12" t="str">
        <f>VLOOKUP(B918,Lansekap!C:T,2,FALSE)</f>
        <v>Penanaman 1 Buah Pohon Besar Sosis (Kigelia Africana), Diameter 7-15 cm, Tinggi diatas 5 meter, Polybag 100 L</v>
      </c>
      <c r="D918" s="9" t="s">
        <v>4490</v>
      </c>
      <c r="E918" s="1021">
        <f>VLOOKUP(C918,Lansekap!D:T,15,FALSE)</f>
        <v>18300</v>
      </c>
      <c r="F918" s="1003" t="str">
        <f>VLOOKUP(C918,Lansekap!D:T,16,FALSE)</f>
        <v>Revisi</v>
      </c>
      <c r="G918" s="12" t="str">
        <f>VLOOKUP(C918,Lansekap!D:T,17,FALSE)</f>
        <v>Item Baru</v>
      </c>
      <c r="H918" s="374"/>
      <c r="I918" s="16"/>
    </row>
    <row r="919" spans="1:9" ht="24" customHeight="1">
      <c r="B919" s="1033" t="str">
        <f>Lansekap!C2938</f>
        <v>4.1.2.5.14</v>
      </c>
      <c r="C919" s="12" t="str">
        <f>VLOOKUP(B919,Lansekap!C:T,2,FALSE)</f>
        <v>Penanaman 1 Buah Pohon Besar Trembesi (Samanea Saman), Diameter 7-15 cm, Tinggi diatas 5 meter, Polybag 100 L</v>
      </c>
      <c r="D919" s="9" t="s">
        <v>4490</v>
      </c>
      <c r="E919" s="1021">
        <f>VLOOKUP(C919,Lansekap!D:T,15,FALSE)</f>
        <v>18300</v>
      </c>
      <c r="F919" s="1003" t="str">
        <f>VLOOKUP(C919,Lansekap!D:T,16,FALSE)</f>
        <v>Revisi</v>
      </c>
      <c r="G919" s="12" t="str">
        <f>VLOOKUP(C919,Lansekap!D:T,17,FALSE)</f>
        <v>Item Baru</v>
      </c>
      <c r="H919" s="374"/>
      <c r="I919" s="16"/>
    </row>
    <row r="920" spans="1:9" s="1" customFormat="1" ht="24" customHeight="1">
      <c r="A920" s="47"/>
      <c r="B920" s="1041" t="str">
        <f>Lansekap!C2967</f>
        <v>4.1.2.6</v>
      </c>
      <c r="C920" s="33" t="str">
        <f>VLOOKUP(B920,Lansekap!C:T,2,FALSE)</f>
        <v xml:space="preserve">Pohon Besar, Polybag 150 L </v>
      </c>
      <c r="D920" s="19"/>
      <c r="E920" s="1021">
        <f>VLOOKUP(C920,Lansekap!D:T,15,FALSE)</f>
        <v>0</v>
      </c>
      <c r="F920" s="1003">
        <f>VLOOKUP(C920,Lansekap!D:T,16,FALSE)</f>
        <v>0</v>
      </c>
      <c r="G920" s="12">
        <f>VLOOKUP(C920,Lansekap!D:T,17,FALSE)</f>
        <v>0</v>
      </c>
      <c r="H920" s="1092"/>
      <c r="I920" s="21"/>
    </row>
    <row r="921" spans="1:9" ht="24" customHeight="1">
      <c r="B921" s="1033" t="str">
        <f>Lansekap!C2968</f>
        <v>4.1.2.6.1</v>
      </c>
      <c r="C921" s="12" t="str">
        <f>VLOOKUP(B921,Lansekap!C:T,2,FALSE)</f>
        <v>Penanaman 1 Buah Pohon Besar Bodhi (Ficus Religiosa), Diameter 15-20 cm, Tinggi diatas 5 meter, Polybag 150 L</v>
      </c>
      <c r="D921" s="9" t="s">
        <v>4490</v>
      </c>
      <c r="E921" s="1021">
        <f>VLOOKUP(C921,Lansekap!D:T,15,FALSE)</f>
        <v>224500</v>
      </c>
      <c r="F921" s="1003" t="str">
        <f>VLOOKUP(C921,Lansekap!D:T,16,FALSE)</f>
        <v>Revisi</v>
      </c>
      <c r="G921" s="12" t="str">
        <f>VLOOKUP(C921,Lansekap!D:T,17,FALSE)</f>
        <v>Item Baru</v>
      </c>
      <c r="H921" s="374"/>
      <c r="I921" s="16"/>
    </row>
    <row r="922" spans="1:9" ht="24" customHeight="1">
      <c r="B922" s="1033" t="str">
        <f>Lansekap!C2998</f>
        <v>4.1.2.6.2</v>
      </c>
      <c r="C922" s="12" t="str">
        <f>VLOOKUP(B922,Lansekap!C:T,2,FALSE)</f>
        <v>Penanaman 1 Buah Pohon Besar Beringin (Ficus Benjamina), Diameter 15-20 cm, Tinggi diatas 5 meter, Polybag 150 L</v>
      </c>
      <c r="D922" s="9" t="s">
        <v>44</v>
      </c>
      <c r="E922" s="1021">
        <f>VLOOKUP(C922,Lansekap!D:T,15,FALSE)</f>
        <v>224500</v>
      </c>
      <c r="F922" s="1003" t="str">
        <f>VLOOKUP(C922,Lansekap!D:T,16,FALSE)</f>
        <v>Revisi</v>
      </c>
      <c r="G922" s="12" t="str">
        <f>VLOOKUP(C922,Lansekap!D:T,17,FALSE)</f>
        <v>Item Baru</v>
      </c>
      <c r="H922" s="374"/>
      <c r="I922" s="16"/>
    </row>
    <row r="923" spans="1:9" ht="24" customHeight="1">
      <c r="B923" s="1033" t="str">
        <f>Lansekap!C3028</f>
        <v>4.1.2.6.3</v>
      </c>
      <c r="C923" s="12" t="str">
        <f>VLOOKUP(B923,Lansekap!C:T,2,FALSE)</f>
        <v>Penanaman 1 Buah Pohon Besar Bodhi (Ficus Religiosa), Diameter 15-20 cm, Tinggi diatas 5 meter, Polybag 150 L</v>
      </c>
      <c r="D923" s="9" t="s">
        <v>4490</v>
      </c>
      <c r="E923" s="1021">
        <f>VLOOKUP(C923,Lansekap!D:T,15,FALSE)</f>
        <v>224500</v>
      </c>
      <c r="F923" s="1003" t="str">
        <f>VLOOKUP(C923,Lansekap!D:T,16,FALSE)</f>
        <v>Revisi</v>
      </c>
      <c r="G923" s="12" t="str">
        <f>VLOOKUP(C923,Lansekap!D:T,17,FALSE)</f>
        <v>Item Baru</v>
      </c>
      <c r="H923" s="374"/>
      <c r="I923" s="16"/>
    </row>
    <row r="924" spans="1:9" ht="24" customHeight="1">
      <c r="B924" s="1033" t="str">
        <f>Lansekap!C3058</f>
        <v>4.1.2.6.4</v>
      </c>
      <c r="C924" s="12" t="str">
        <f>VLOOKUP(B924,Lansekap!C:T,2,FALSE)</f>
        <v>Penanaman 1 Buah Pohon Besar Flamboyan (Delonix Regia), Diameter 15-20 cm, Tinggi diatas 5 meter, Polybag 150 L</v>
      </c>
      <c r="D924" s="9" t="s">
        <v>44</v>
      </c>
      <c r="E924" s="1021">
        <f>VLOOKUP(C924,Lansekap!D:T,15,FALSE)</f>
        <v>224500</v>
      </c>
      <c r="F924" s="1003" t="str">
        <f>VLOOKUP(C924,Lansekap!D:T,16,FALSE)</f>
        <v>Revisi</v>
      </c>
      <c r="G924" s="12" t="str">
        <f>VLOOKUP(C924,Lansekap!D:T,17,FALSE)</f>
        <v>Item Baru</v>
      </c>
      <c r="H924" s="374"/>
      <c r="I924" s="16"/>
    </row>
    <row r="925" spans="1:9" ht="24" customHeight="1">
      <c r="B925" s="1033" t="str">
        <f>Lansekap!C3088</f>
        <v>4.1.2.6.5</v>
      </c>
      <c r="C925" s="12" t="str">
        <f>VLOOKUP(B925,Lansekap!C:T,2,FALSE)</f>
        <v>Penanaman 1 Buah Pohon Besar Kamboja (Plumeria Sp.), Diameter 15-20 cm, Tinggi diatas 5 meter, Polybag 150 L</v>
      </c>
      <c r="D925" s="9" t="s">
        <v>4490</v>
      </c>
      <c r="E925" s="1021">
        <f>VLOOKUP(C925,Lansekap!D:T,15,FALSE)</f>
        <v>224500</v>
      </c>
      <c r="F925" s="1003" t="str">
        <f>VLOOKUP(C925,Lansekap!D:T,16,FALSE)</f>
        <v>Revisi</v>
      </c>
      <c r="G925" s="12" t="str">
        <f>VLOOKUP(C925,Lansekap!D:T,17,FALSE)</f>
        <v>Item Baru</v>
      </c>
      <c r="H925" s="374"/>
      <c r="I925" s="16"/>
    </row>
    <row r="926" spans="1:9" ht="24" customHeight="1">
      <c r="B926" s="1033" t="str">
        <f>Lansekap!C3118</f>
        <v>4.1.2.6.6</v>
      </c>
      <c r="C926" s="12" t="str">
        <f>VLOOKUP(B926,Lansekap!C:T,2,FALSE)</f>
        <v>Penanaman 1 Buah Pohon Besar Besar Pulai (Alstonia Scholaris), Diameter 15-20 cm, Tinggi diatas 5 meter, Polybag 150 L</v>
      </c>
      <c r="D926" s="9" t="s">
        <v>44</v>
      </c>
      <c r="E926" s="1021">
        <f>VLOOKUP(C926,Lansekap!D:T,15,FALSE)</f>
        <v>224500</v>
      </c>
      <c r="F926" s="1003" t="str">
        <f>VLOOKUP(C926,Lansekap!D:T,16,FALSE)</f>
        <v>Revisi</v>
      </c>
      <c r="G926" s="12" t="str">
        <f>VLOOKUP(C926,Lansekap!D:T,17,FALSE)</f>
        <v>Item Baru</v>
      </c>
      <c r="H926" s="374"/>
      <c r="I926" s="16"/>
    </row>
    <row r="927" spans="1:9" ht="24" customHeight="1">
      <c r="B927" s="1033" t="str">
        <f>Lansekap!C3148</f>
        <v>4.1.2.6.7</v>
      </c>
      <c r="C927" s="12" t="str">
        <f>VLOOKUP(B927,Lansekap!C:T,2,FALSE)</f>
        <v>Penanaman 1 Buah Pohon Besar Besar Sosis (Kigelia Africana), Diameter 15-20 cm, Tinggi diatas 5 meter, Polybag 150 L</v>
      </c>
      <c r="D927" s="9" t="s">
        <v>4490</v>
      </c>
      <c r="E927" s="1021">
        <f>VLOOKUP(C927,Lansekap!D:T,15,FALSE)</f>
        <v>224500</v>
      </c>
      <c r="F927" s="1003" t="str">
        <f>VLOOKUP(C927,Lansekap!D:T,16,FALSE)</f>
        <v>Revisi</v>
      </c>
      <c r="G927" s="12" t="str">
        <f>VLOOKUP(C927,Lansekap!D:T,17,FALSE)</f>
        <v>Item Baru</v>
      </c>
      <c r="H927" s="374"/>
      <c r="I927" s="16"/>
    </row>
    <row r="928" spans="1:9" ht="24" customHeight="1">
      <c r="B928" s="1033" t="str">
        <f>Lansekap!C3178</f>
        <v>4.1.2.6.8</v>
      </c>
      <c r="C928" s="12" t="str">
        <f>VLOOKUP(B928,Lansekap!C:T,2,FALSE)</f>
        <v>Penanaman 1 Buah Pohon Besar Besar Trembesi (Samanea Saman), Diameter 15-20 cm, Tinggi diatas 5 meter, Polybag 150 L</v>
      </c>
      <c r="D928" s="9" t="s">
        <v>44</v>
      </c>
      <c r="E928" s="1021" t="e">
        <f>VLOOKUP(C928,Lansekap!D:T,15,FALSE)</f>
        <v>#N/A</v>
      </c>
      <c r="F928" s="1003" t="str">
        <f>VLOOKUP(C928,Lansekap!D:T,16,FALSE)</f>
        <v>Revisi</v>
      </c>
      <c r="G928" s="12" t="str">
        <f>VLOOKUP(C928,Lansekap!D:T,17,FALSE)</f>
        <v>Item Baru</v>
      </c>
      <c r="H928" s="374"/>
      <c r="I928" s="16"/>
    </row>
    <row r="929" spans="1:9" s="1" customFormat="1" ht="24" customHeight="1">
      <c r="A929" s="47"/>
      <c r="B929" s="1041" t="str">
        <f>Lansekap!C3208</f>
        <v>4.1.2.7</v>
      </c>
      <c r="C929" s="33" t="str">
        <f>VLOOKUP(B929,Lansekap!C:T,2,FALSE)</f>
        <v>Pohon Besar, Polybag 200 L</v>
      </c>
      <c r="D929" s="9"/>
      <c r="E929" s="1021">
        <f>VLOOKUP(C929,Lansekap!D:T,15,FALSE)</f>
        <v>0</v>
      </c>
      <c r="F929" s="1003">
        <f>VLOOKUP(C929,Lansekap!D:T,16,FALSE)</f>
        <v>0</v>
      </c>
      <c r="G929" s="12">
        <f>VLOOKUP(C929,Lansekap!D:T,17,FALSE)</f>
        <v>0</v>
      </c>
      <c r="H929" s="1092"/>
      <c r="I929" s="21"/>
    </row>
    <row r="930" spans="1:9" ht="24" customHeight="1">
      <c r="B930" s="1033" t="str">
        <f>Lansekap!C3209</f>
        <v>4.1.2.7.1</v>
      </c>
      <c r="C930" s="12" t="str">
        <f>VLOOKUP(B930,Lansekap!C:T,2,FALSE)</f>
        <v>Penanaman 1 Buah Pohon Besar Beringin (Ficus Benjamina), Diameter 20-25 cm, Tinggi Diatas 5 meter, Polybag 200 L</v>
      </c>
      <c r="D930" s="9" t="s">
        <v>44</v>
      </c>
      <c r="E930" s="1021">
        <f>VLOOKUP(C930,Lansekap!D:T,15,FALSE)</f>
        <v>310700</v>
      </c>
      <c r="F930" s="1003" t="str">
        <f>VLOOKUP(C930,Lansekap!D:T,16,FALSE)</f>
        <v>Revisi</v>
      </c>
      <c r="G930" s="12" t="str">
        <f>VLOOKUP(C930,Lansekap!D:T,17,FALSE)</f>
        <v>Item Baru</v>
      </c>
      <c r="H930" s="374"/>
      <c r="I930" s="16"/>
    </row>
    <row r="931" spans="1:9" ht="24" customHeight="1">
      <c r="B931" s="1033" t="str">
        <f>Lansekap!C3239</f>
        <v>4.1.2.7.2</v>
      </c>
      <c r="C931" s="12" t="str">
        <f>VLOOKUP(B931,Lansekap!C:T,2,FALSE)</f>
        <v>Penanaman 1 Buah Pohon Besar Bodhi (Ficus Religiosa), Diameter 20-25 cm, Tinggi Diatas 5 meter, Polybag 200 L</v>
      </c>
      <c r="D931" s="9" t="s">
        <v>4490</v>
      </c>
      <c r="E931" s="1021">
        <f>VLOOKUP(C931,Lansekap!D:T,15,FALSE)</f>
        <v>310700</v>
      </c>
      <c r="F931" s="1003" t="str">
        <f>VLOOKUP(C931,Lansekap!D:T,16,FALSE)</f>
        <v>Revisi</v>
      </c>
      <c r="G931" s="12" t="str">
        <f>VLOOKUP(C931,Lansekap!D:T,17,FALSE)</f>
        <v>Item Baru</v>
      </c>
      <c r="H931" s="374"/>
      <c r="I931" s="16"/>
    </row>
    <row r="932" spans="1:9" ht="24" customHeight="1">
      <c r="B932" s="1033" t="str">
        <f>Lansekap!C3269</f>
        <v>4.1.2.7.3</v>
      </c>
      <c r="C932" s="12" t="str">
        <f>VLOOKUP(B932,Lansekap!C:T,2,FALSE)</f>
        <v>Penanaman 1 Buah Pohon Besar Flamboyan (Delonix Regia), Diameter 20-25 cm, Tinggi Diatas 5 meter, Polybag 200 L</v>
      </c>
      <c r="D932" s="9" t="s">
        <v>44</v>
      </c>
      <c r="E932" s="1021">
        <f>VLOOKUP(C932,Lansekap!D:T,15,FALSE)</f>
        <v>310700</v>
      </c>
      <c r="F932" s="1003" t="str">
        <f>VLOOKUP(C932,Lansekap!D:T,16,FALSE)</f>
        <v>Revisi</v>
      </c>
      <c r="G932" s="12" t="str">
        <f>VLOOKUP(C932,Lansekap!D:T,17,FALSE)</f>
        <v>Item Baru</v>
      </c>
      <c r="H932" s="374"/>
      <c r="I932" s="16"/>
    </row>
    <row r="933" spans="1:9" ht="24" customHeight="1">
      <c r="B933" s="1033" t="str">
        <f>Lansekap!C3299</f>
        <v>4.1.2.7.4</v>
      </c>
      <c r="C933" s="12" t="str">
        <f>VLOOKUP(B933,Lansekap!C:T,2,FALSE)</f>
        <v>Penanaman 1 Buah Pohon Besar Kamboja Fosil (Plumeria Sp.), Diameter 20-25 cm, Tinggi Diatas 5 meter, Polybag 200 L</v>
      </c>
      <c r="D933" s="9" t="s">
        <v>4490</v>
      </c>
      <c r="E933" s="1021">
        <f>VLOOKUP(C933,Lansekap!D:T,15,FALSE)</f>
        <v>310700</v>
      </c>
      <c r="F933" s="1003" t="str">
        <f>VLOOKUP(C933,Lansekap!D:T,16,FALSE)</f>
        <v>Revisi</v>
      </c>
      <c r="G933" s="12" t="str">
        <f>VLOOKUP(C933,Lansekap!D:T,17,FALSE)</f>
        <v>Item Baru</v>
      </c>
      <c r="H933" s="374"/>
      <c r="I933" s="16"/>
    </row>
    <row r="934" spans="1:9" ht="24" customHeight="1">
      <c r="B934" s="1033" t="str">
        <f>Lansekap!C3329</f>
        <v>4.1.2.7.5</v>
      </c>
      <c r="C934" s="12" t="str">
        <f>VLOOKUP(B934,Lansekap!C:T,2,FALSE)</f>
        <v>Penanaman 1 Buah Pohon Besar Pulai (Alstonia Scholaris), Diameter 20-25 cm, Tinggi Diatas 5 meter, Polybag 200 L</v>
      </c>
      <c r="D934" s="9" t="s">
        <v>44</v>
      </c>
      <c r="E934" s="1021">
        <f>VLOOKUP(C934,Lansekap!D:T,15,FALSE)</f>
        <v>310700</v>
      </c>
      <c r="F934" s="1003" t="str">
        <f>VLOOKUP(C934,Lansekap!D:T,16,FALSE)</f>
        <v>Revisi</v>
      </c>
      <c r="G934" s="12" t="str">
        <f>VLOOKUP(C934,Lansekap!D:T,17,FALSE)</f>
        <v>Item Baru</v>
      </c>
      <c r="H934" s="374"/>
      <c r="I934" s="16"/>
    </row>
    <row r="935" spans="1:9" ht="24" customHeight="1">
      <c r="B935" s="1033" t="str">
        <f>Lansekap!C3359</f>
        <v>4.1.2.7.6</v>
      </c>
      <c r="C935" s="12" t="str">
        <f>VLOOKUP(B935,Lansekap!C:T,2,FALSE)</f>
        <v>Penanaman 1 Buah Pohon Besar Sosis (Kigelia Africana), Diameter 20-25 cm, Tinggi Diatas 5 meter, Polybag 200 L</v>
      </c>
      <c r="D935" s="9" t="s">
        <v>4490</v>
      </c>
      <c r="E935" s="1021">
        <f>VLOOKUP(C935,Lansekap!D:T,15,FALSE)</f>
        <v>310700</v>
      </c>
      <c r="F935" s="1003" t="str">
        <f>VLOOKUP(C935,Lansekap!D:T,16,FALSE)</f>
        <v>Revisi</v>
      </c>
      <c r="G935" s="12" t="str">
        <f>VLOOKUP(C935,Lansekap!D:T,17,FALSE)</f>
        <v>Item Baru</v>
      </c>
      <c r="H935" s="374"/>
      <c r="I935" s="16"/>
    </row>
    <row r="936" spans="1:9" ht="24" customHeight="1">
      <c r="B936" s="1033" t="str">
        <f>Lansekap!C3389</f>
        <v>4.1.2.7.7</v>
      </c>
      <c r="C936" s="12" t="str">
        <f>VLOOKUP(B936,Lansekap!C:T,2,FALSE)</f>
        <v>Penanaman 1 Buah Pohon Besar Trembesi (Samanea Saman), Diameter 20-25 cm, Tinggi Diatas 5 meter, Polybag 200 L</v>
      </c>
      <c r="D936" s="9" t="s">
        <v>44</v>
      </c>
      <c r="E936" s="1021">
        <f>VLOOKUP(C936,Lansekap!D:T,15,FALSE)</f>
        <v>310700</v>
      </c>
      <c r="F936" s="1003" t="str">
        <f>VLOOKUP(C936,Lansekap!D:T,16,FALSE)</f>
        <v>Revisi</v>
      </c>
      <c r="G936" s="12" t="str">
        <f>VLOOKUP(C936,Lansekap!D:T,17,FALSE)</f>
        <v>Item Baru</v>
      </c>
      <c r="H936" s="374"/>
      <c r="I936" s="16"/>
    </row>
    <row r="937" spans="1:9" s="1" customFormat="1" ht="24" customHeight="1">
      <c r="A937" s="47"/>
      <c r="B937" s="1041" t="str">
        <f>Lansekap!C3419</f>
        <v>4.1.2.8</v>
      </c>
      <c r="C937" s="33" t="str">
        <f>VLOOKUP(B937,Lansekap!C:T,2,FALSE)</f>
        <v>Pohon Besar, Polybag 250 L</v>
      </c>
      <c r="D937" s="9"/>
      <c r="E937" s="1021">
        <f>VLOOKUP(C937,Lansekap!D:T,15,FALSE)</f>
        <v>0</v>
      </c>
      <c r="F937" s="1003">
        <f>VLOOKUP(C937,Lansekap!D:T,16,FALSE)</f>
        <v>0</v>
      </c>
      <c r="G937" s="12">
        <f>VLOOKUP(C937,Lansekap!D:T,17,FALSE)</f>
        <v>0</v>
      </c>
      <c r="H937" s="1092"/>
      <c r="I937" s="21"/>
    </row>
    <row r="938" spans="1:9" ht="24" customHeight="1">
      <c r="B938" s="1033" t="str">
        <f>Lansekap!C3420</f>
        <v>4.1.2.8.1</v>
      </c>
      <c r="C938" s="12" t="str">
        <f>VLOOKUP(B938,Lansekap!C:T,2,FALSE)</f>
        <v>Penanaman 1 Buah Pohon Besar Baobab (Adansonia Digitata), Diameter 25-30 cm, Tinggi Diatas 6 meter, Polybag 250 L</v>
      </c>
      <c r="D938" s="9" t="s">
        <v>44</v>
      </c>
      <c r="E938" s="1021">
        <f>VLOOKUP(C938,Lansekap!D:T,15,FALSE)</f>
        <v>377000</v>
      </c>
      <c r="F938" s="1003" t="str">
        <f>VLOOKUP(C938,Lansekap!D:T,16,FALSE)</f>
        <v>Revisi</v>
      </c>
      <c r="G938" s="12" t="str">
        <f>VLOOKUP(C938,Lansekap!D:T,17,FALSE)</f>
        <v>Item Baru</v>
      </c>
      <c r="H938" s="374"/>
      <c r="I938" s="16"/>
    </row>
    <row r="939" spans="1:9" ht="24" customHeight="1">
      <c r="B939" s="1033" t="str">
        <f>Lansekap!C3450</f>
        <v>4.1.2.8.2</v>
      </c>
      <c r="C939" s="12" t="str">
        <f>VLOOKUP(B939,Lansekap!C:T,2,FALSE)</f>
        <v>Penanaman 1 Buah Pohon Besar Beringin (Ficus Benjamina), Diameter 25-30 cm, Tinggi Diatas 6 meter, Polybag 250 L</v>
      </c>
      <c r="D939" s="9" t="s">
        <v>4490</v>
      </c>
      <c r="E939" s="1021">
        <f>VLOOKUP(C939,Lansekap!D:T,15,FALSE)</f>
        <v>377000</v>
      </c>
      <c r="F939" s="1003" t="str">
        <f>VLOOKUP(C939,Lansekap!D:T,16,FALSE)</f>
        <v>Revisi</v>
      </c>
      <c r="G939" s="12" t="str">
        <f>VLOOKUP(C939,Lansekap!D:T,17,FALSE)</f>
        <v>Item Baru</v>
      </c>
      <c r="H939" s="374"/>
      <c r="I939" s="16"/>
    </row>
    <row r="940" spans="1:9" ht="24" customHeight="1">
      <c r="B940" s="1033" t="str">
        <f>Lansekap!C3480</f>
        <v>4.1.2.8.3</v>
      </c>
      <c r="C940" s="12" t="str">
        <f>VLOOKUP(B940,Lansekap!C:T,2,FALSE)</f>
        <v>Penanaman 1 Buah Pohon Besar Bodhi (Ficus Religiosa), Diameter 25-30 cm, Tinggi Diatas 6 meter, Polybag 250 L</v>
      </c>
      <c r="D940" s="9" t="s">
        <v>44</v>
      </c>
      <c r="E940" s="1021">
        <f>VLOOKUP(C940,Lansekap!D:T,15,FALSE)</f>
        <v>377000</v>
      </c>
      <c r="F940" s="1003" t="str">
        <f>VLOOKUP(C940,Lansekap!D:T,16,FALSE)</f>
        <v>Revisi</v>
      </c>
      <c r="G940" s="12" t="str">
        <f>VLOOKUP(C940,Lansekap!D:T,17,FALSE)</f>
        <v>Item Baru</v>
      </c>
      <c r="H940" s="374"/>
      <c r="I940" s="16"/>
    </row>
    <row r="941" spans="1:9" ht="24" customHeight="1">
      <c r="B941" s="1033" t="str">
        <f>Lansekap!C3510</f>
        <v>4.1.2.8.4</v>
      </c>
      <c r="C941" s="12" t="str">
        <f>VLOOKUP(B941,Lansekap!C:T,2,FALSE)</f>
        <v>Penanaman 1 Buah Pohon Besar Kamboja Fosil (Plumeria Sp.), Diameter 25-30 cm, Tinggi Diatas 6 meter, Polybag 250 L</v>
      </c>
      <c r="D941" s="9" t="s">
        <v>4490</v>
      </c>
      <c r="E941" s="1021">
        <f>VLOOKUP(C941,Lansekap!D:T,15,FALSE)</f>
        <v>377000</v>
      </c>
      <c r="F941" s="1003" t="str">
        <f>VLOOKUP(C941,Lansekap!D:T,16,FALSE)</f>
        <v>Revisi</v>
      </c>
      <c r="G941" s="12" t="str">
        <f>VLOOKUP(C941,Lansekap!D:T,17,FALSE)</f>
        <v>Item Baru</v>
      </c>
      <c r="H941" s="374"/>
      <c r="I941" s="16"/>
    </row>
    <row r="942" spans="1:9" ht="24" customHeight="1">
      <c r="B942" s="1033" t="str">
        <f>Lansekap!C3540</f>
        <v>4.1.2.8.5</v>
      </c>
      <c r="C942" s="12" t="str">
        <f>VLOOKUP(B942,Lansekap!C:T,2,FALSE)</f>
        <v>Penanaman 1 Buah Pohon Besar Pulai (Alstonia Scholaris), Diameter 25-30 cm, Tinggi Diatas 6 meter, Polybag 250 L</v>
      </c>
      <c r="D942" s="9" t="s">
        <v>44</v>
      </c>
      <c r="E942" s="1021">
        <f>VLOOKUP(C942,Lansekap!D:T,15,FALSE)</f>
        <v>377000</v>
      </c>
      <c r="F942" s="1003" t="str">
        <f>VLOOKUP(C942,Lansekap!D:T,16,FALSE)</f>
        <v>Revisi</v>
      </c>
      <c r="G942" s="12" t="str">
        <f>VLOOKUP(C942,Lansekap!D:T,17,FALSE)</f>
        <v>Item Baru</v>
      </c>
      <c r="H942" s="374"/>
      <c r="I942" s="16"/>
    </row>
    <row r="943" spans="1:9" ht="24" customHeight="1">
      <c r="B943" s="1033" t="str">
        <f>Lansekap!C3570</f>
        <v>4.1.2.8.6</v>
      </c>
      <c r="C943" s="12" t="str">
        <f>VLOOKUP(B943,Lansekap!C:T,2,FALSE)</f>
        <v>Penanaman 1 Buah Pohon Besar Sosis (Kigelia Africana), Diameter 25-30 cm, Tinggi Diatas 6 meter, Polybag 250 L</v>
      </c>
      <c r="D943" s="9" t="s">
        <v>4490</v>
      </c>
      <c r="E943" s="1021">
        <f>VLOOKUP(C943,Lansekap!D:T,15,FALSE)</f>
        <v>377000</v>
      </c>
      <c r="F943" s="1003" t="str">
        <f>VLOOKUP(C943,Lansekap!D:T,16,FALSE)</f>
        <v>Revisi</v>
      </c>
      <c r="G943" s="12" t="str">
        <f>VLOOKUP(C943,Lansekap!D:T,17,FALSE)</f>
        <v>Item Baru</v>
      </c>
      <c r="H943" s="374"/>
      <c r="I943" s="16"/>
    </row>
    <row r="944" spans="1:9" ht="24" customHeight="1">
      <c r="B944" s="1033" t="str">
        <f>Lansekap!C3600</f>
        <v>4.1.2.8.7</v>
      </c>
      <c r="C944" s="12" t="str">
        <f>VLOOKUP(B944,Lansekap!C:T,2,FALSE)</f>
        <v>Penanaman 1 Buah Pohon Besar Trembesi (Samanea Saman), Diameter 25-30 cm, Tinggi Diatas 6 meter, Polybag 250 L</v>
      </c>
      <c r="D944" s="9" t="s">
        <v>44</v>
      </c>
      <c r="E944" s="1021">
        <f>VLOOKUP(C944,Lansekap!D:T,15,FALSE)</f>
        <v>377000</v>
      </c>
      <c r="F944" s="1003" t="str">
        <f>VLOOKUP(C944,Lansekap!D:T,16,FALSE)</f>
        <v>Revisi</v>
      </c>
      <c r="G944" s="12" t="str">
        <f>VLOOKUP(C944,Lansekap!D:T,17,FALSE)</f>
        <v>Item Baru</v>
      </c>
      <c r="H944" s="374"/>
      <c r="I944" s="16"/>
    </row>
    <row r="945" spans="1:9" s="1" customFormat="1" ht="24" customHeight="1">
      <c r="A945" s="47"/>
      <c r="B945" s="1043" t="str">
        <f>Lansekap!C3632</f>
        <v>4.1.3</v>
      </c>
      <c r="C945" s="986" t="str">
        <f>VLOOKUP(B945,Lansekap!C:T,2,FALSE)</f>
        <v xml:space="preserve">Penanaman Palem </v>
      </c>
      <c r="D945" s="993"/>
      <c r="E945" s="1022">
        <f>VLOOKUP(C945,Lansekap!D:T,15,FALSE)</f>
        <v>0</v>
      </c>
      <c r="F945" s="1004">
        <f>VLOOKUP(C945,Lansekap!D:T,16,FALSE)</f>
        <v>0</v>
      </c>
      <c r="G945" s="36">
        <f>VLOOKUP(C945,Lansekap!D:T,17,FALSE)</f>
        <v>0</v>
      </c>
      <c r="H945" s="1092"/>
      <c r="I945" s="21"/>
    </row>
    <row r="946" spans="1:9" s="1" customFormat="1" ht="24" customHeight="1">
      <c r="A946" s="47"/>
      <c r="B946" s="1041" t="str">
        <f>Lansekap!C3633</f>
        <v>4.1.3.1</v>
      </c>
      <c r="C946" s="33" t="str">
        <f>VLOOKUP(B946,Lansekap!C:T,2,FALSE)</f>
        <v xml:space="preserve">Palem Kecil, Polybag 50 L </v>
      </c>
      <c r="D946" s="9"/>
      <c r="E946" s="1021">
        <f>VLOOKUP(C946,Lansekap!D:T,15,FALSE)</f>
        <v>0</v>
      </c>
      <c r="F946" s="1003">
        <f>VLOOKUP(C946,Lansekap!D:T,16,FALSE)</f>
        <v>0</v>
      </c>
      <c r="G946" s="12">
        <f>VLOOKUP(C946,Lansekap!D:T,17,FALSE)</f>
        <v>0</v>
      </c>
      <c r="H946" s="1092"/>
      <c r="I946" s="21"/>
    </row>
    <row r="947" spans="1:9" ht="24" customHeight="1">
      <c r="B947" s="1033" t="str">
        <f>Lansekap!C3634</f>
        <v>4.1.3.1.1</v>
      </c>
      <c r="C947" s="12" t="str">
        <f>VLOOKUP(B947,Lansekap!C:T,2,FALSE)</f>
        <v xml:space="preserve">Penaman 1 Buah Pelem Kecil, Palem Jepang (Ptychosperma Macarthurii), Diameter s.d 5 cm, Tinggi 1-1,2 meter, Polybag 50 L </v>
      </c>
      <c r="D947" s="9" t="s">
        <v>4490</v>
      </c>
      <c r="E947" s="1021">
        <f>VLOOKUP(C947,Lansekap!D:T,15,FALSE)</f>
        <v>18300</v>
      </c>
      <c r="F947" s="1003" t="str">
        <f>VLOOKUP(C947,Lansekap!D:T,16,FALSE)</f>
        <v>Revisi</v>
      </c>
      <c r="G947" s="12" t="str">
        <f>VLOOKUP(C947,Lansekap!D:T,17,FALSE)</f>
        <v xml:space="preserve">perubahan nama pohon, koefisien dan penambahan tenaga kerja </v>
      </c>
      <c r="H947" s="374"/>
      <c r="I947" s="16"/>
    </row>
    <row r="948" spans="1:9" ht="24" customHeight="1">
      <c r="B948" s="1033" t="str">
        <f>Lansekap!C3663</f>
        <v>4.1.3.1.2</v>
      </c>
      <c r="C948" s="12" t="str">
        <f>VLOOKUP(B948,Lansekap!C:T,2,FALSE)</f>
        <v xml:space="preserve">Penaman 1 Buah Pelem Kecil, Palem Komodoria/
Komodor/Chamadorea (Chamaedorea Elegans), Diameter s.d 5 cm, Tinggi 1-1,2 meter, Polybag 50 L </v>
      </c>
      <c r="D948" s="9" t="s">
        <v>44</v>
      </c>
      <c r="E948" s="1021">
        <f>VLOOKUP(C948,Lansekap!D:T,15,FALSE)</f>
        <v>18300</v>
      </c>
      <c r="F948" s="1003" t="str">
        <f>VLOOKUP(C948,Lansekap!D:T,16,FALSE)</f>
        <v>Revisi</v>
      </c>
      <c r="G948" s="12" t="str">
        <f>VLOOKUP(C948,Lansekap!D:T,17,FALSE)</f>
        <v xml:space="preserve">perubahan nama pohon, koefisien dan penambahan tenaga kerja </v>
      </c>
      <c r="H948" s="374"/>
      <c r="I948" s="16"/>
    </row>
    <row r="949" spans="1:9" ht="24" customHeight="1">
      <c r="B949" s="1033" t="str">
        <f>Lansekap!C3692</f>
        <v>4.1.3.1.3</v>
      </c>
      <c r="C949" s="12" t="str">
        <f>VLOOKUP(B949,Lansekap!C:T,2,FALSE)</f>
        <v xml:space="preserve">Penaman 1 Buah Pelem Kecil, Palem Kuning (Dypsis
Lutescens), Diameter s.d 5 cm, Tinggi 1-1,2 meter, Polybag 50 L </v>
      </c>
      <c r="D949" s="9" t="s">
        <v>4490</v>
      </c>
      <c r="E949" s="1021">
        <f>VLOOKUP(C949,Lansekap!D:T,15,FALSE)</f>
        <v>18300</v>
      </c>
      <c r="F949" s="1003" t="str">
        <f>VLOOKUP(C949,Lansekap!D:T,16,FALSE)</f>
        <v>Revisi</v>
      </c>
      <c r="G949" s="12" t="str">
        <f>VLOOKUP(C949,Lansekap!D:T,17,FALSE)</f>
        <v xml:space="preserve">perubahan nama pohon, koefisien dan penambahan tenaga kerja </v>
      </c>
      <c r="H949" s="374"/>
      <c r="I949" s="16"/>
    </row>
    <row r="950" spans="1:9" ht="24" customHeight="1">
      <c r="B950" s="1033" t="str">
        <f>Lansekap!C3721</f>
        <v>4.1.3.1.4</v>
      </c>
      <c r="C950" s="12" t="str">
        <f>VLOOKUP(B950,Lansekap!C:T,2,FALSE)</f>
        <v xml:space="preserve">Penaman 1 Buah Pelem Kecil, Palem Merah/ Pinang Merah
(Cyrtostachys Renda), Tinggi 1-1,2 meter, Polybag 50 L </v>
      </c>
      <c r="D950" s="9" t="s">
        <v>44</v>
      </c>
      <c r="E950" s="1021">
        <f>VLOOKUP(C950,Lansekap!D:T,15,FALSE)</f>
        <v>18300</v>
      </c>
      <c r="F950" s="1003" t="str">
        <f>VLOOKUP(C950,Lansekap!D:T,16,FALSE)</f>
        <v>Revisi</v>
      </c>
      <c r="G950" s="12" t="str">
        <f>VLOOKUP(C950,Lansekap!D:T,17,FALSE)</f>
        <v xml:space="preserve">perubahan nama pohon, koefisien dan penambahan tenaga kerja </v>
      </c>
      <c r="H950" s="374"/>
      <c r="I950" s="16"/>
    </row>
    <row r="951" spans="1:9" ht="24" customHeight="1">
      <c r="B951" s="1033" t="str">
        <f>Lansekap!C3750</f>
        <v>4.1.3.1.5</v>
      </c>
      <c r="C951" s="12" t="str">
        <f>VLOOKUP(B951,Lansekap!C:T,2,FALSE)</f>
        <v xml:space="preserve">Penaman 1 Buah Pelem Kecil, Palem Waregu (Rhapis
Excelsa), Tinggi 1-1,2 meter, Polybag 50 L </v>
      </c>
      <c r="D951" s="9" t="s">
        <v>4490</v>
      </c>
      <c r="E951" s="1021">
        <f>VLOOKUP(C951,Lansekap!D:T,15,FALSE)</f>
        <v>18300</v>
      </c>
      <c r="F951" s="1003" t="str">
        <f>VLOOKUP(C951,Lansekap!D:T,16,FALSE)</f>
        <v>Revisi</v>
      </c>
      <c r="G951" s="12" t="str">
        <f>VLOOKUP(C951,Lansekap!D:T,17,FALSE)</f>
        <v xml:space="preserve">perubahan nama pohon, koefisien dan penambahan tenaga kerja </v>
      </c>
      <c r="H951" s="374"/>
      <c r="I951" s="16"/>
    </row>
    <row r="952" spans="1:9" ht="24" customHeight="1">
      <c r="B952" s="1033" t="str">
        <f>Lansekap!C3779</f>
        <v>4.1.3.1.6</v>
      </c>
      <c r="C952" s="12" t="str">
        <f>VLOOKUP(B952,Lansekap!C:T,2,FALSE)</f>
        <v xml:space="preserve">Penaman 1 Buah Pelem Kecil, Sikas Halus/Mawar Jambe
(Cycas Revoluta), Tinggi 1-1,2 meter, Polybag 50 L </v>
      </c>
      <c r="D952" s="9" t="s">
        <v>44</v>
      </c>
      <c r="E952" s="1021">
        <f>VLOOKUP(C952,Lansekap!D:T,15,FALSE)</f>
        <v>18300</v>
      </c>
      <c r="F952" s="1003" t="str">
        <f>VLOOKUP(C952,Lansekap!D:T,16,FALSE)</f>
        <v>Revisi</v>
      </c>
      <c r="G952" s="12" t="str">
        <f>VLOOKUP(C952,Lansekap!D:T,17,FALSE)</f>
        <v xml:space="preserve">perubahan nama pohon, koefisien dan penambahan tenaga kerja </v>
      </c>
      <c r="H952" s="374"/>
      <c r="I952" s="16"/>
    </row>
    <row r="953" spans="1:9" ht="24" customHeight="1">
      <c r="B953" s="1033" t="str">
        <f>Lansekap!C3808</f>
        <v>4.1.3.1.7</v>
      </c>
      <c r="C953" s="12" t="str">
        <f>VLOOKUP(B953,Lansekap!C:T,2,FALSE)</f>
        <v xml:space="preserve">Penaman 1 Buah Pelem Kecil, Palem Phoenix (Phoenix
Roebelenii), Tinggi 1-1,2 meter, Polybag 50 L </v>
      </c>
      <c r="D953" s="9" t="s">
        <v>4490</v>
      </c>
      <c r="E953" s="1021">
        <f>VLOOKUP(C953,Lansekap!D:T,15,FALSE)</f>
        <v>18300</v>
      </c>
      <c r="F953" s="1003" t="str">
        <f>VLOOKUP(C953,Lansekap!D:T,16,FALSE)</f>
        <v>Revisi</v>
      </c>
      <c r="G953" s="12" t="str">
        <f>VLOOKUP(C953,Lansekap!D:T,17,FALSE)</f>
        <v>Item Baru</v>
      </c>
      <c r="H953" s="374"/>
      <c r="I953" s="16"/>
    </row>
    <row r="954" spans="1:9" s="1" customFormat="1" ht="24" customHeight="1">
      <c r="A954" s="47"/>
      <c r="B954" s="1041" t="str">
        <f>Lansekap!C3837</f>
        <v>4.1.3.2</v>
      </c>
      <c r="C954" s="33" t="str">
        <f>VLOOKUP(B954,Lansekap!C:T,2,FALSE)</f>
        <v>Palem Kecil, Polybag 75 L</v>
      </c>
      <c r="D954" s="19"/>
      <c r="E954" s="1021">
        <f>VLOOKUP(C954,Lansekap!D:T,15,FALSE)</f>
        <v>0</v>
      </c>
      <c r="F954" s="1003">
        <f>VLOOKUP(C954,Lansekap!D:T,16,FALSE)</f>
        <v>0</v>
      </c>
      <c r="G954" s="12">
        <f>VLOOKUP(C954,Lansekap!D:T,17,FALSE)</f>
        <v>0</v>
      </c>
      <c r="H954" s="1092"/>
      <c r="I954" s="21"/>
    </row>
    <row r="955" spans="1:9" ht="24" customHeight="1">
      <c r="B955" s="1033" t="str">
        <f>Lansekap!C3867</f>
        <v>4.1.3.2.2</v>
      </c>
      <c r="C955" s="12" t="str">
        <f>VLOOKUP(B955,Lansekap!C:T,2,FALSE)</f>
        <v xml:space="preserve">Penaman 1 Buah Pelem Kecil, Palem Komodoria/
Komodor/Chamadorea (Chamaedorea Elegans), Diameter 5-7 cm, Tinggi 1,2 - 1,5 meter, Polybag 75 L </v>
      </c>
      <c r="D955" s="9" t="s">
        <v>4490</v>
      </c>
      <c r="E955" s="1021">
        <f>VLOOKUP(C955,Lansekap!D:T,15,FALSE)</f>
        <v>27600</v>
      </c>
      <c r="F955" s="1003" t="str">
        <f>VLOOKUP(C955,Lansekap!D:T,16,FALSE)</f>
        <v>Revisi</v>
      </c>
      <c r="G955" s="12" t="str">
        <f>VLOOKUP(C955,Lansekap!D:T,17,FALSE)</f>
        <v>Item Baru</v>
      </c>
      <c r="H955" s="374"/>
      <c r="I955" s="16"/>
    </row>
    <row r="956" spans="1:9" ht="24" customHeight="1">
      <c r="B956" s="1033" t="str">
        <f>Lansekap!C3896</f>
        <v>4.1.3.2.3</v>
      </c>
      <c r="C956" s="12" t="str">
        <f>VLOOKUP(B956,Lansekap!C:T,2,FALSE)</f>
        <v xml:space="preserve">Penaman 1 Buah Pelem Kecil, Palem Kuning (Dypsis
Lutescens),  Diameter 5-7 cm, Tinggi 1,2 - 1,5 meter, Polybag 75 L </v>
      </c>
      <c r="D956" s="9" t="s">
        <v>4490</v>
      </c>
      <c r="E956" s="1021">
        <f>VLOOKUP(C956,Lansekap!D:T,15,FALSE)</f>
        <v>27600</v>
      </c>
      <c r="F956" s="1003" t="str">
        <f>VLOOKUP(C956,Lansekap!D:T,16,FALSE)</f>
        <v>Revisi</v>
      </c>
      <c r="G956" s="12" t="str">
        <f>VLOOKUP(C956,Lansekap!D:T,17,FALSE)</f>
        <v>Item Baru</v>
      </c>
      <c r="H956" s="374"/>
      <c r="I956" s="16"/>
    </row>
    <row r="957" spans="1:9" ht="24" customHeight="1">
      <c r="B957" s="1033" t="str">
        <f>Lansekap!C3925</f>
        <v>4.1.3.2.4</v>
      </c>
      <c r="C957" s="12" t="str">
        <f>VLOOKUP(B957,Lansekap!C:T,2,FALSE)</f>
        <v xml:space="preserve">Penaman 1 Buah Pelem Kecil, Palem Merah/ Pinang Merah
(Cyrtostachys Renda), Diameter Diameter 5-7 cm, Tinggi 1,2 - 1,5 meter, Polybag 75 L </v>
      </c>
      <c r="D957" s="9" t="s">
        <v>4490</v>
      </c>
      <c r="E957" s="1021">
        <f>VLOOKUP(C957,Lansekap!D:T,15,FALSE)</f>
        <v>27600</v>
      </c>
      <c r="F957" s="1003" t="str">
        <f>VLOOKUP(C957,Lansekap!D:T,16,FALSE)</f>
        <v>Revisi</v>
      </c>
      <c r="G957" s="12" t="str">
        <f>VLOOKUP(C957,Lansekap!D:T,17,FALSE)</f>
        <v>Item Baru</v>
      </c>
      <c r="H957" s="374"/>
      <c r="I957" s="16"/>
    </row>
    <row r="958" spans="1:9" ht="24" customHeight="1">
      <c r="B958" s="1033" t="str">
        <f>Lansekap!C3954</f>
        <v>4.1.3.2.5</v>
      </c>
      <c r="C958" s="12" t="str">
        <f>VLOOKUP(B958,Lansekap!C:T,2,FALSE)</f>
        <v xml:space="preserve">Penaman 1 Buah Pelem Kecil, Palem Waregu (Rhapis Excelsa), Diameter Diameter 5-7 cm, Tinggi 1,2 - 1,5 meter, Polybag 75 L </v>
      </c>
      <c r="D958" s="9" t="s">
        <v>4490</v>
      </c>
      <c r="E958" s="1021">
        <f>VLOOKUP(C958,Lansekap!D:T,15,FALSE)</f>
        <v>27600</v>
      </c>
      <c r="F958" s="1003" t="str">
        <f>VLOOKUP(C958,Lansekap!D:T,16,FALSE)</f>
        <v>Revisi</v>
      </c>
      <c r="G958" s="12" t="str">
        <f>VLOOKUP(C958,Lansekap!D:T,17,FALSE)</f>
        <v>Item Baru</v>
      </c>
      <c r="H958" s="374"/>
      <c r="I958" s="16"/>
    </row>
    <row r="959" spans="1:9" ht="24" customHeight="1">
      <c r="B959" s="1033" t="str">
        <f>Lansekap!C3983</f>
        <v>4.1.3.2.6</v>
      </c>
      <c r="C959" s="12" t="str">
        <f>VLOOKUP(B959,Lansekap!C:T,2,FALSE)</f>
        <v xml:space="preserve">Penaman 1 Buah Pelem Kecil,Sikas Halus/Mawar Jambe
(Cycas Revoluta), Diameter Diameter 5-7 cm, Tinggi 1,2 - 1,5 meter, Polybag 75 L </v>
      </c>
      <c r="D959" s="9" t="s">
        <v>4490</v>
      </c>
      <c r="E959" s="1021">
        <f>VLOOKUP(C959,Lansekap!D:T,15,FALSE)</f>
        <v>27600</v>
      </c>
      <c r="F959" s="1003" t="str">
        <f>VLOOKUP(C959,Lansekap!D:T,16,FALSE)</f>
        <v>Revisi</v>
      </c>
      <c r="G959" s="12" t="str">
        <f>VLOOKUP(C959,Lansekap!D:T,17,FALSE)</f>
        <v>Item Baru</v>
      </c>
      <c r="H959" s="374"/>
      <c r="I959" s="16"/>
    </row>
    <row r="960" spans="1:9" ht="24" customHeight="1">
      <c r="B960" s="1033" t="str">
        <f>Lansekap!C4012</f>
        <v>4.1.3.2.7</v>
      </c>
      <c r="C960" s="12" t="str">
        <f>VLOOKUP(B960,Lansekap!C:T,2,FALSE)</f>
        <v xml:space="preserve">Penaman 1 Buah Pelem Kecil,Palem Phoenix (Phoenix
Roebelenii), Diameter Diameter 5-7 cm, Tinggi 1,2 - 1,5 meter, Polybag 75 L </v>
      </c>
      <c r="D960" s="9" t="s">
        <v>4490</v>
      </c>
      <c r="E960" s="1021">
        <f>VLOOKUP(C960,Lansekap!D:T,15,FALSE)</f>
        <v>27600</v>
      </c>
      <c r="F960" s="1003" t="str">
        <f>VLOOKUP(C960,Lansekap!D:T,16,FALSE)</f>
        <v>Revisi</v>
      </c>
      <c r="G960" s="12" t="str">
        <f>VLOOKUP(C960,Lansekap!D:T,17,FALSE)</f>
        <v>Item Baru</v>
      </c>
      <c r="H960" s="374"/>
      <c r="I960" s="16"/>
    </row>
    <row r="961" spans="1:9" s="1" customFormat="1" ht="24" customHeight="1">
      <c r="A961" s="47"/>
      <c r="B961" s="1041" t="str">
        <f>Lansekap!C4041</f>
        <v>4.1.3.3</v>
      </c>
      <c r="C961" s="33" t="str">
        <f>VLOOKUP(B961,Lansekap!C:T,2,FALSE)</f>
        <v>Palem Besar, Polibag 100 L</v>
      </c>
      <c r="D961" s="19"/>
      <c r="E961" s="1021">
        <f>VLOOKUP(C961,Lansekap!D:T,15,FALSE)</f>
        <v>0</v>
      </c>
      <c r="F961" s="1003">
        <f>VLOOKUP(C961,Lansekap!D:T,16,FALSE)</f>
        <v>0</v>
      </c>
      <c r="G961" s="12">
        <f>VLOOKUP(C961,Lansekap!D:T,17,FALSE)</f>
        <v>0</v>
      </c>
      <c r="H961" s="1092"/>
      <c r="I961" s="21"/>
    </row>
    <row r="962" spans="1:9" ht="24" customHeight="1">
      <c r="B962" s="1033" t="str">
        <f>Lansekap!C4042</f>
        <v>4.1.3.3.1</v>
      </c>
      <c r="C962" s="12" t="str">
        <f>VLOOKUP(B962,Lansekap!C:T,2,FALSE)</f>
        <v>Penanaman 1 Buah Palem Besar, Palem Ekor Tupai (Wodyetia Bifucata), Diameter 7-15 cm, Tinggi 3-3,8 meter, Polybag 100 L</v>
      </c>
      <c r="D962" s="9" t="s">
        <v>4490</v>
      </c>
      <c r="E962" s="1021">
        <f>VLOOKUP(C962,Lansekap!D:T,15,FALSE)</f>
        <v>150800</v>
      </c>
      <c r="F962" s="1003" t="str">
        <f>VLOOKUP(C962,Lansekap!D:T,16,FALSE)</f>
        <v>Revisi</v>
      </c>
      <c r="G962" s="12" t="str">
        <f>VLOOKUP(C962,Lansekap!D:T,17,FALSE)</f>
        <v>Item Baru</v>
      </c>
      <c r="H962" s="374"/>
      <c r="I962" s="16"/>
    </row>
    <row r="963" spans="1:9" ht="24" customHeight="1">
      <c r="B963" s="1033" t="str">
        <f>Lansekap!C4072</f>
        <v>4.1.3.3.2</v>
      </c>
      <c r="C963" s="12" t="str">
        <f>VLOOKUP(B963,Lansekap!C:T,2,FALSE)</f>
        <v>Penanaman 1 Buah Palem Besar, Sylvertris (Phoenix Sylvertris),
Diameter 7-15 cm, Diameter 7-15 cm, Tinggi 3-3,8 meter, Polybag 100 L</v>
      </c>
      <c r="D963" s="9" t="s">
        <v>4490</v>
      </c>
      <c r="E963" s="1021">
        <f>VLOOKUP(C963,Lansekap!D:T,15,FALSE)</f>
        <v>150800</v>
      </c>
      <c r="F963" s="1003" t="str">
        <f>VLOOKUP(C963,Lansekap!D:T,16,FALSE)</f>
        <v>Revisi</v>
      </c>
      <c r="G963" s="12" t="str">
        <f>VLOOKUP(C963,Lansekap!D:T,17,FALSE)</f>
        <v>Item Baru</v>
      </c>
      <c r="H963" s="374"/>
      <c r="I963" s="16"/>
    </row>
    <row r="964" spans="1:9" ht="24" customHeight="1">
      <c r="B964" s="1033" t="str">
        <f>Lansekap!C4102</f>
        <v>4.1.3.3.3</v>
      </c>
      <c r="C964" s="12" t="str">
        <f>VLOOKUP(B964,Lansekap!C:T,2,FALSE)</f>
        <v>Penanaman 1 Buah Palem Besar, Palem Putri (Veitchia Merillii),
Diameter 7-15 cm, Diameter 7-15 cm, Tinggi 3-3,8 meter, Polybag 100 L</v>
      </c>
      <c r="D964" s="9" t="s">
        <v>4490</v>
      </c>
      <c r="E964" s="1021">
        <f>VLOOKUP(C964,Lansekap!D:T,15,FALSE)</f>
        <v>150800</v>
      </c>
      <c r="F964" s="1003" t="str">
        <f>VLOOKUP(C964,Lansekap!D:T,16,FALSE)</f>
        <v>Revisi</v>
      </c>
      <c r="G964" s="12" t="str">
        <f>VLOOKUP(C964,Lansekap!D:T,17,FALSE)</f>
        <v>Item Baru</v>
      </c>
      <c r="H964" s="374"/>
      <c r="I964" s="16"/>
    </row>
    <row r="965" spans="1:9" ht="24" customHeight="1">
      <c r="B965" s="1033" t="str">
        <f>Lansekap!C4132</f>
        <v>4.1.3.3.4</v>
      </c>
      <c r="C965" s="12" t="str">
        <f>VLOOKUP(B965,Lansekap!C:T,2,FALSE)</f>
        <v>Penanaman 1 Buah Palem Besar, alem Raja (Roystonea Regia),
Diameter 7-15 cm, Diameter 7-15 cm, Tinggi 3-3,8 meter, Polybag 100 L</v>
      </c>
      <c r="D965" s="9" t="s">
        <v>4490</v>
      </c>
      <c r="E965" s="1021">
        <f>VLOOKUP(C965,Lansekap!D:T,15,FALSE)</f>
        <v>150800</v>
      </c>
      <c r="F965" s="1003" t="str">
        <f>VLOOKUP(C965,Lansekap!D:T,16,FALSE)</f>
        <v>Revisi</v>
      </c>
      <c r="G965" s="12" t="str">
        <f>VLOOKUP(C965,Lansekap!D:T,17,FALSE)</f>
        <v>Item Baru</v>
      </c>
      <c r="H965" s="374"/>
      <c r="I965" s="16"/>
    </row>
    <row r="966" spans="1:9" ht="24" customHeight="1">
      <c r="B966" s="1033" t="str">
        <f>Lansekap!C4162</f>
        <v>4.1.3.3.5</v>
      </c>
      <c r="C966" s="12" t="str">
        <f>VLOOKUP(B966,Lansekap!C:T,2,FALSE)</f>
        <v>Penanaman 1 Buah Palem Besar, Palem Sadeng (Saribus
Rotundifolius),
Diameter 7-15 cm, Diameter 7-15 cm, Tinggi 3-3,8 meter, Polybag 100 L</v>
      </c>
      <c r="D966" s="9" t="s">
        <v>4490</v>
      </c>
      <c r="E966" s="1021">
        <f>VLOOKUP(C966,Lansekap!D:T,15,FALSE)</f>
        <v>150800</v>
      </c>
      <c r="F966" s="1003" t="str">
        <f>VLOOKUP(C966,Lansekap!D:T,16,FALSE)</f>
        <v>Revisi</v>
      </c>
      <c r="G966" s="12" t="str">
        <f>VLOOKUP(C966,Lansekap!D:T,17,FALSE)</f>
        <v>Item Baru</v>
      </c>
      <c r="H966" s="374"/>
      <c r="I966" s="16"/>
    </row>
    <row r="967" spans="1:9" s="1" customFormat="1" ht="24" customHeight="1">
      <c r="A967" s="47"/>
      <c r="B967" s="1041" t="str">
        <f>Lansekap!C4192</f>
        <v>4.1.3.4</v>
      </c>
      <c r="C967" s="33" t="str">
        <f>VLOOKUP(B967,Lansekap!C:T,2,FALSE)</f>
        <v>Palem Besar, Polybag 150 L</v>
      </c>
      <c r="D967" s="19"/>
      <c r="E967" s="1021">
        <f>VLOOKUP(C967,Lansekap!D:T,15,FALSE)</f>
        <v>0</v>
      </c>
      <c r="F967" s="1003">
        <f>VLOOKUP(C967,Lansekap!D:T,16,FALSE)</f>
        <v>0</v>
      </c>
      <c r="G967" s="12">
        <f>VLOOKUP(C967,Lansekap!D:T,17,FALSE)</f>
        <v>0</v>
      </c>
      <c r="H967" s="1092"/>
      <c r="I967" s="21"/>
    </row>
    <row r="968" spans="1:9" ht="24" customHeight="1">
      <c r="B968" s="1033" t="str">
        <f>Lansekap!C4193</f>
        <v>4.1.3.4.1</v>
      </c>
      <c r="C968" s="12" t="str">
        <f>VLOOKUP(B968,Lansekap!C:T,2,FALSE)</f>
        <v>Penanaman 1 Buah Palem Besar,Palem Ekor Tupai (Wodyetia
Bifurcata), Diameter 15 -20 cm, Tinggi 4 – 5 meter, Polybag
150L</v>
      </c>
      <c r="D968" s="9" t="s">
        <v>4490</v>
      </c>
      <c r="E968" s="1021">
        <f>VLOOKUP(C968,Lansekap!D:T,15,FALSE)</f>
        <v>224500</v>
      </c>
      <c r="F968" s="1003" t="str">
        <f>VLOOKUP(C968,Lansekap!D:T,16,FALSE)</f>
        <v>Revisi</v>
      </c>
      <c r="G968" s="12" t="str">
        <f>VLOOKUP(C968,Lansekap!D:T,17,FALSE)</f>
        <v>Item Baru</v>
      </c>
      <c r="H968" s="374"/>
      <c r="I968" s="16"/>
    </row>
    <row r="969" spans="1:9" ht="24" customHeight="1">
      <c r="B969" s="1033" t="str">
        <f>Lansekap!C4223</f>
        <v>4.1.3.4.2</v>
      </c>
      <c r="C969" s="12" t="str">
        <f>VLOOKUP(B969,Lansekap!C:T,2,FALSE)</f>
        <v>Penanaman 1 Buah Palem Besar,Sylvertris (Phoenix Sylvertris),, Diameter 15 -20 cm, Tinggi 4 – 5 meter, Polybag
150L</v>
      </c>
      <c r="D969" s="9" t="s">
        <v>4490</v>
      </c>
      <c r="E969" s="1021">
        <f>VLOOKUP(C969,Lansekap!D:T,15,FALSE)</f>
        <v>224500</v>
      </c>
      <c r="F969" s="1003" t="str">
        <f>VLOOKUP(C969,Lansekap!D:T,16,FALSE)</f>
        <v>Revisi</v>
      </c>
      <c r="G969" s="12" t="str">
        <f>VLOOKUP(C969,Lansekap!D:T,17,FALSE)</f>
        <v>Item Baru</v>
      </c>
      <c r="H969" s="374"/>
      <c r="I969" s="16"/>
    </row>
    <row r="970" spans="1:9" ht="24" customHeight="1">
      <c r="B970" s="1033" t="str">
        <f>Lansekap!C4253</f>
        <v>4.1.3.4.3</v>
      </c>
      <c r="C970" s="12" t="str">
        <f>VLOOKUP(B970,Lansekap!C:T,2,FALSE)</f>
        <v>Penanaman 1 Buah Palem Besar,Palem Putri (Veitchia Merillii), Diameter 15 -20 cm, Tinggi 4 – 5 meter, Polybag
150L</v>
      </c>
      <c r="D970" s="9" t="s">
        <v>4490</v>
      </c>
      <c r="E970" s="1021">
        <f>VLOOKUP(C970,Lansekap!D:T,15,FALSE)</f>
        <v>224500</v>
      </c>
      <c r="F970" s="1003" t="str">
        <f>VLOOKUP(C970,Lansekap!D:T,16,FALSE)</f>
        <v>Revisi</v>
      </c>
      <c r="G970" s="12" t="str">
        <f>VLOOKUP(C970,Lansekap!D:T,17,FALSE)</f>
        <v>Item Baru</v>
      </c>
      <c r="H970" s="374"/>
      <c r="I970" s="16"/>
    </row>
    <row r="971" spans="1:9" ht="24" customHeight="1">
      <c r="B971" s="1033" t="str">
        <f>Lansekap!C4283</f>
        <v>4.1.3.4.4</v>
      </c>
      <c r="C971" s="12" t="str">
        <f>VLOOKUP(B971,Lansekap!C:T,2,FALSE)</f>
        <v>Penanaman 1 Buah Palem Besar, Palem Raja (Roystonea Regia), Diameter 15 -20 cm, Tinggi 4 – 5 meter, Polybag
150L</v>
      </c>
      <c r="D971" s="9" t="s">
        <v>4490</v>
      </c>
      <c r="E971" s="1021">
        <f>VLOOKUP(C971,Lansekap!D:T,15,FALSE)</f>
        <v>224500</v>
      </c>
      <c r="F971" s="1003" t="str">
        <f>VLOOKUP(C971,Lansekap!D:T,16,FALSE)</f>
        <v>Revisi</v>
      </c>
      <c r="G971" s="12" t="str">
        <f>VLOOKUP(C971,Lansekap!D:T,17,FALSE)</f>
        <v>Item Baru</v>
      </c>
      <c r="H971" s="374"/>
      <c r="I971" s="16"/>
    </row>
    <row r="972" spans="1:9" ht="24" customHeight="1">
      <c r="B972" s="1033" t="str">
        <f>Lansekap!C4313</f>
        <v>4.1.3.4.5</v>
      </c>
      <c r="C972" s="12" t="str">
        <f>VLOOKUP(B972,Lansekap!C:T,2,FALSE)</f>
        <v>Penanaman 1 Buah Palem Besar, Palem Sadeng (Saribus
Rotundifolius) Diameter 15 -20 cm, Tinggi 4 – 5 meter, Polybag
150L</v>
      </c>
      <c r="D972" s="9" t="s">
        <v>4490</v>
      </c>
      <c r="E972" s="1021">
        <f>VLOOKUP(C972,Lansekap!D:T,15,FALSE)</f>
        <v>224500</v>
      </c>
      <c r="F972" s="1003" t="str">
        <f>VLOOKUP(C972,Lansekap!D:T,16,FALSE)</f>
        <v>Revisi</v>
      </c>
      <c r="G972" s="12" t="str">
        <f>VLOOKUP(C972,Lansekap!D:T,17,FALSE)</f>
        <v>Item Baru</v>
      </c>
      <c r="H972" s="374"/>
      <c r="I972" s="16"/>
    </row>
    <row r="973" spans="1:9" s="1" customFormat="1" ht="24" customHeight="1">
      <c r="A973" s="47"/>
      <c r="B973" s="1041" t="str">
        <f>Lansekap!C4343</f>
        <v>4.1.3.5</v>
      </c>
      <c r="C973" s="33" t="str">
        <f>VLOOKUP(B973,Lansekap!C:T,2,FALSE)</f>
        <v xml:space="preserve">Palem Besar, Polybag 200 L </v>
      </c>
      <c r="D973" s="19"/>
      <c r="E973" s="1021">
        <f>VLOOKUP(C973,Lansekap!D:T,15,FALSE)</f>
        <v>0</v>
      </c>
      <c r="F973" s="1003">
        <f>VLOOKUP(C973,Lansekap!D:T,16,FALSE)</f>
        <v>0</v>
      </c>
      <c r="G973" s="12">
        <f>VLOOKUP(C973,Lansekap!D:T,17,FALSE)</f>
        <v>0</v>
      </c>
      <c r="H973" s="1092"/>
      <c r="I973" s="21"/>
    </row>
    <row r="974" spans="1:9" ht="24" customHeight="1">
      <c r="B974" s="1033" t="str">
        <f>Lansekap!C4344</f>
        <v>4.1.3.5.1</v>
      </c>
      <c r="C974" s="12" t="str">
        <f>VLOOKUP(B974,Lansekap!C:T,2,FALSE)</f>
        <v>Penanaman 1 Buah Palem Besar,Palem Ekor Tupai (Wodyetia
Bifurcata), Diameter 20-25 cm, Tinggi Diatas 5 meter, Polybag
200 L</v>
      </c>
      <c r="D974" s="9" t="s">
        <v>4490</v>
      </c>
      <c r="E974" s="1021">
        <f>VLOOKUP(C974,Lansekap!D:T,15,FALSE)</f>
        <v>310700</v>
      </c>
      <c r="F974" s="1003" t="str">
        <f>VLOOKUP(C974,Lansekap!D:T,16,FALSE)</f>
        <v>Revisi</v>
      </c>
      <c r="G974" s="12" t="str">
        <f>VLOOKUP(C974,Lansekap!D:T,17,FALSE)</f>
        <v>Item Baru</v>
      </c>
      <c r="H974" s="374"/>
      <c r="I974" s="16"/>
    </row>
    <row r="975" spans="1:9" ht="24" customHeight="1">
      <c r="B975" s="1033" t="str">
        <f>Lansekap!C4374</f>
        <v>4.1.3.5.2</v>
      </c>
      <c r="C975" s="12" t="str">
        <f>VLOOKUP(B975,Lansekap!C:T,2,FALSE)</f>
        <v>Penanaman 1 Buah Palem Besar,Sylvertris (Phoenix Sylvertris), Diameter 20-25 cm, Tinggi Diatas 5 meter, Polybag
200 L</v>
      </c>
      <c r="D975" s="9" t="s">
        <v>4490</v>
      </c>
      <c r="E975" s="1021">
        <f>VLOOKUP(C975,Lansekap!D:T,15,FALSE)</f>
        <v>310700</v>
      </c>
      <c r="F975" s="1003" t="str">
        <f>VLOOKUP(C975,Lansekap!D:T,16,FALSE)</f>
        <v>Revisi</v>
      </c>
      <c r="G975" s="12" t="str">
        <f>VLOOKUP(C975,Lansekap!D:T,17,FALSE)</f>
        <v>Item Baru</v>
      </c>
      <c r="H975" s="374"/>
      <c r="I975" s="16"/>
    </row>
    <row r="976" spans="1:9" ht="24" customHeight="1">
      <c r="B976" s="1033" t="str">
        <f>Lansekap!C4404</f>
        <v>4.1.3.5.3</v>
      </c>
      <c r="C976" s="12" t="str">
        <f>VLOOKUP(B976,Lansekap!C:T,2,FALSE)</f>
        <v>Penanaman 1 Buah Palem Besar,Palem Putri (Veitchia Merillii), Diameter 20-25 cm, Tinggi Diatas 5 meter, Polybag
200 L</v>
      </c>
      <c r="D976" s="9" t="s">
        <v>4490</v>
      </c>
      <c r="E976" s="1021">
        <f>VLOOKUP(C976,Lansekap!D:T,15,FALSE)</f>
        <v>310700</v>
      </c>
      <c r="F976" s="1003" t="str">
        <f>VLOOKUP(C976,Lansekap!D:T,16,FALSE)</f>
        <v>Revisi</v>
      </c>
      <c r="G976" s="12" t="str">
        <f>VLOOKUP(C976,Lansekap!D:T,17,FALSE)</f>
        <v>Item Baru</v>
      </c>
      <c r="H976" s="374"/>
      <c r="I976" s="16"/>
    </row>
    <row r="977" spans="1:9" ht="24" customHeight="1">
      <c r="B977" s="1033" t="str">
        <f>Lansekap!C4434</f>
        <v>4.1.3.5.4</v>
      </c>
      <c r="C977" s="12" t="str">
        <f>VLOOKUP(B977,Lansekap!C:T,2,FALSE)</f>
        <v>Penanaman 1 Buah Palem Besar,Palem Raja (Roystonea Regia), Diameter 20-25 cm, Tinggi Diatas 5 meter, Polybag
200 L</v>
      </c>
      <c r="D977" s="9" t="s">
        <v>4490</v>
      </c>
      <c r="E977" s="1021">
        <f>VLOOKUP(C977,Lansekap!D:T,15,FALSE)</f>
        <v>310700</v>
      </c>
      <c r="F977" s="1003" t="str">
        <f>VLOOKUP(C977,Lansekap!D:T,16,FALSE)</f>
        <v>Revisi</v>
      </c>
      <c r="G977" s="12" t="str">
        <f>VLOOKUP(C977,Lansekap!D:T,17,FALSE)</f>
        <v>Item Baru</v>
      </c>
      <c r="H977" s="374"/>
      <c r="I977" s="16"/>
    </row>
    <row r="978" spans="1:9" ht="24" customHeight="1">
      <c r="B978" s="1033" t="str">
        <f>Lansekap!C4464</f>
        <v>4.1.3.5.5</v>
      </c>
      <c r="C978" s="12" t="str">
        <f>VLOOKUP(B978,Lansekap!C:T,2,FALSE)</f>
        <v>Penanaman 1 Buah Palem Besar,Palem Sadeng (Saribus
Rotundifolius), Diameter 20-25 cm, Tinggi Diatas 5 meter, Polybag
200 L</v>
      </c>
      <c r="D978" s="9" t="s">
        <v>4490</v>
      </c>
      <c r="E978" s="1021">
        <f>VLOOKUP(C978,Lansekap!D:T,15,FALSE)</f>
        <v>310700</v>
      </c>
      <c r="F978" s="1003" t="str">
        <f>VLOOKUP(C978,Lansekap!D:T,16,FALSE)</f>
        <v>Revisi</v>
      </c>
      <c r="G978" s="12" t="str">
        <f>VLOOKUP(C978,Lansekap!D:T,17,FALSE)</f>
        <v>Item Baru</v>
      </c>
      <c r="H978" s="374"/>
      <c r="I978" s="16"/>
    </row>
    <row r="979" spans="1:9" s="1" customFormat="1" ht="24" customHeight="1">
      <c r="A979" s="47"/>
      <c r="B979" s="1041" t="str">
        <f>Lansekap!C4494</f>
        <v>4.1.3.6</v>
      </c>
      <c r="C979" s="33" t="str">
        <f>VLOOKUP(B979,Lansekap!C:T,2,FALSE)</f>
        <v>Palem Besar, Polybag 250 L</v>
      </c>
      <c r="D979" s="9"/>
      <c r="E979" s="1021">
        <f>VLOOKUP(C979,Lansekap!D:T,15,FALSE)</f>
        <v>0</v>
      </c>
      <c r="F979" s="1003">
        <f>VLOOKUP(C979,Lansekap!D:T,16,FALSE)</f>
        <v>0</v>
      </c>
      <c r="G979" s="12">
        <f>VLOOKUP(C979,Lansekap!D:T,17,FALSE)</f>
        <v>0</v>
      </c>
      <c r="H979" s="1092"/>
      <c r="I979" s="21"/>
    </row>
    <row r="980" spans="1:9" ht="24" customHeight="1">
      <c r="B980" s="1033" t="str">
        <f>Lansekap!C4495</f>
        <v>4.1.3.6.1</v>
      </c>
      <c r="C980" s="12" t="str">
        <f>VLOOKUP(B980,Lansekap!C:T,2,FALSE)</f>
        <v xml:space="preserve">Penanaman 1 Buah Palem Besar Palem Sadeng ( Saribus Rotundifolius), Diameter 25-30 cm, Tinggi Diatas 5 meter, Polybag 250 L </v>
      </c>
      <c r="D980" s="9" t="s">
        <v>4490</v>
      </c>
      <c r="E980" s="1021">
        <f>VLOOKUP(C980,Lansekap!D:T,15,FALSE)</f>
        <v>377000</v>
      </c>
      <c r="F980" s="1003" t="str">
        <f>VLOOKUP(C980,Lansekap!D:T,16,FALSE)</f>
        <v>Revisi</v>
      </c>
      <c r="G980" s="12" t="str">
        <f>VLOOKUP(C980,Lansekap!D:T,17,FALSE)</f>
        <v>Item Baru</v>
      </c>
      <c r="H980" s="374"/>
      <c r="I980" s="16"/>
    </row>
    <row r="981" spans="1:9" ht="24" customHeight="1">
      <c r="B981" s="1033" t="str">
        <f>Lansekap!C4525</f>
        <v>4.1.3.6.2</v>
      </c>
      <c r="C981" s="12" t="str">
        <f>VLOOKUP(B981,Lansekap!C:T,2,FALSE)</f>
        <v xml:space="preserve">Penanaman 1 Buah Palem Besar Palem Ekor Tupai (Wodyetia
Bifurcata), Diameter 25-30 cm, Tinggi Diatas 5 meter, Polybag 250 L </v>
      </c>
      <c r="D981" s="9" t="s">
        <v>4490</v>
      </c>
      <c r="E981" s="1021">
        <f>VLOOKUP(C981,Lansekap!D:T,15,FALSE)</f>
        <v>377000</v>
      </c>
      <c r="F981" s="1003" t="str">
        <f>VLOOKUP(C981,Lansekap!D:T,16,FALSE)</f>
        <v>Revisi</v>
      </c>
      <c r="G981" s="12" t="str">
        <f>VLOOKUP(C981,Lansekap!D:T,17,FALSE)</f>
        <v>Item Baru</v>
      </c>
      <c r="H981" s="374"/>
      <c r="I981" s="16"/>
    </row>
    <row r="982" spans="1:9" ht="24" customHeight="1">
      <c r="B982" s="1033" t="str">
        <f>Lansekap!C4555</f>
        <v>4.1.3.6.3</v>
      </c>
      <c r="C982" s="12" t="str">
        <f>VLOOKUP(B982,Lansekap!C:T,2,FALSE)</f>
        <v xml:space="preserve">Penanaman 1 Buah Palem Besar, Sylvertris (Phoenix Sylvertris), Diameter 25-30 cm, Tinggi Diatas 5 meter, Polybag 250 L </v>
      </c>
      <c r="D982" s="9" t="s">
        <v>4490</v>
      </c>
      <c r="E982" s="1021">
        <f>VLOOKUP(C982,Lansekap!D:T,15,FALSE)</f>
        <v>377000</v>
      </c>
      <c r="F982" s="1003" t="str">
        <f>VLOOKUP(C982,Lansekap!D:T,16,FALSE)</f>
        <v>Revisi</v>
      </c>
      <c r="G982" s="12" t="str">
        <f>VLOOKUP(C982,Lansekap!D:T,17,FALSE)</f>
        <v>Item Baru</v>
      </c>
      <c r="H982" s="374"/>
      <c r="I982" s="16"/>
    </row>
    <row r="983" spans="1:9" ht="24" customHeight="1">
      <c r="B983" s="1033" t="str">
        <f>Lansekap!C4585</f>
        <v>4.1.3.6.4</v>
      </c>
      <c r="C983" s="12" t="str">
        <f>VLOOKUP(B983,Lansekap!C:T,2,FALSE)</f>
        <v xml:space="preserve">Penanaman 1 Buah Palem Besar, Palem Putri (Veitchia Merillii), Diameter 25-30 cm, Tinggi Diatas 5 meter, Polybag 250 L </v>
      </c>
      <c r="D983" s="9" t="s">
        <v>4490</v>
      </c>
      <c r="E983" s="1021">
        <f>VLOOKUP(C983,Lansekap!D:T,15,FALSE)</f>
        <v>377000</v>
      </c>
      <c r="F983" s="1003" t="str">
        <f>VLOOKUP(C983,Lansekap!D:T,16,FALSE)</f>
        <v>Revisi</v>
      </c>
      <c r="G983" s="12" t="str">
        <f>VLOOKUP(C983,Lansekap!D:T,17,FALSE)</f>
        <v>Item Baru</v>
      </c>
      <c r="H983" s="374"/>
      <c r="I983" s="16"/>
    </row>
    <row r="984" spans="1:9" ht="24" customHeight="1">
      <c r="B984" s="1033" t="str">
        <f>Lansekap!C4615</f>
        <v>4.1.3.6.5</v>
      </c>
      <c r="C984" s="12" t="str">
        <f>VLOOKUP(B984,Lansekap!C:T,2,FALSE)</f>
        <v xml:space="preserve">Penanaman 1 Buah Palem Besar, Palem Raja (Roystonea Regia), Diameter 25-30 cm, Tinggi Diatas 5 meter, Polybag 250 L </v>
      </c>
      <c r="D984" s="9" t="s">
        <v>4490</v>
      </c>
      <c r="E984" s="1021">
        <f>VLOOKUP(C984,Lansekap!D:T,15,FALSE)</f>
        <v>377000</v>
      </c>
      <c r="F984" s="1003" t="str">
        <f>VLOOKUP(C984,Lansekap!D:T,16,FALSE)</f>
        <v>Revisi</v>
      </c>
      <c r="G984" s="12" t="str">
        <f>VLOOKUP(C984,Lansekap!D:T,17,FALSE)</f>
        <v>Item Baru</v>
      </c>
      <c r="H984" s="374"/>
      <c r="I984" s="16"/>
    </row>
    <row r="985" spans="1:9" s="1" customFormat="1" ht="24" customHeight="1">
      <c r="A985" s="47"/>
      <c r="B985" s="1043" t="str">
        <f>Lansekap!C4645</f>
        <v>4.1.4.</v>
      </c>
      <c r="C985" s="986" t="str">
        <f>VLOOKUP(B985,Lansekap!C:T,2,FALSE)</f>
        <v>Penanaman Semak</v>
      </c>
      <c r="D985" s="994"/>
      <c r="E985" s="1022">
        <f>VLOOKUP(C985,Lansekap!D:T,15,FALSE)</f>
        <v>0</v>
      </c>
      <c r="F985" s="1004">
        <f>VLOOKUP(C985,Lansekap!D:T,16,FALSE)</f>
        <v>0</v>
      </c>
      <c r="G985" s="36">
        <f>VLOOKUP(C985,Lansekap!D:T,17,FALSE)</f>
        <v>0</v>
      </c>
      <c r="H985" s="1092"/>
      <c r="I985" s="21"/>
    </row>
    <row r="986" spans="1:9" s="1" customFormat="1" ht="24" customHeight="1">
      <c r="A986" s="47"/>
      <c r="B986" s="1041" t="str">
        <f>Lansekap!C4646</f>
        <v xml:space="preserve">4.1.4.1 </v>
      </c>
      <c r="C986" s="33" t="str">
        <f>VLOOKUP(B986,Lansekap!C:T,2,FALSE)</f>
        <v>Semak, Polybag 5 L</v>
      </c>
      <c r="D986" s="19"/>
      <c r="E986" s="1021">
        <f>VLOOKUP(C986,Lansekap!D:T,15,FALSE)</f>
        <v>0</v>
      </c>
      <c r="F986" s="1003">
        <f>VLOOKUP(C986,Lansekap!D:T,16,FALSE)</f>
        <v>0</v>
      </c>
      <c r="G986" s="12">
        <f>VLOOKUP(C986,Lansekap!D:T,17,FALSE)</f>
        <v>0</v>
      </c>
      <c r="H986" s="1092"/>
      <c r="I986" s="21"/>
    </row>
    <row r="987" spans="1:9" ht="24" customHeight="1">
      <c r="B987" s="1033" t="str">
        <f>Lansekap!C4647</f>
        <v>4.1.4.1.1</v>
      </c>
      <c r="C987" s="12" t="str">
        <f>VLOOKUP(B987,Lansekap!C:T,2,FALSE)</f>
        <v>Penanaman 1 m2 Semak, Alamanda/Bunga Terompet Emas ( Allamanda Cathartica), 25 Buah/m2, Polybag 5 L</v>
      </c>
      <c r="D987" s="9" t="s">
        <v>62</v>
      </c>
      <c r="E987" s="1021">
        <f>VLOOKUP(C987,Lansekap!D:T,15,FALSE)</f>
        <v>12900</v>
      </c>
      <c r="F987" s="1003" t="str">
        <f>VLOOKUP(C987,Lansekap!D:T,16,FALSE)</f>
        <v>Revisi</v>
      </c>
      <c r="G987" s="12" t="str">
        <f>VLOOKUP(C987,Lansekap!D:T,17,FALSE)</f>
        <v>Item Baru</v>
      </c>
      <c r="H987" s="374"/>
      <c r="I987" s="16"/>
    </row>
    <row r="988" spans="1:9" ht="24" customHeight="1">
      <c r="B988" s="1033" t="str">
        <f>Lansekap!C4672</f>
        <v>4.1.4.1.2</v>
      </c>
      <c r="C988" s="12" t="str">
        <f>VLOOKUP(B988,Lansekap!C:T,2,FALSE)</f>
        <v>Penanaman 1 m2 Semak,Bakung Lele (Hymenocalis Speciosa),
36 Buah/m2,, Polybag 5 L</v>
      </c>
      <c r="D988" s="9" t="s">
        <v>62</v>
      </c>
      <c r="E988" s="1021">
        <f>VLOOKUP(C988,Lansekap!D:T,15,FALSE)</f>
        <v>12900</v>
      </c>
      <c r="F988" s="1003" t="str">
        <f>VLOOKUP(C988,Lansekap!D:T,16,FALSE)</f>
        <v>Revisi</v>
      </c>
      <c r="G988" s="12" t="str">
        <f>VLOOKUP(C988,Lansekap!D:T,17,FALSE)</f>
        <v>Item Baru</v>
      </c>
      <c r="H988" s="374"/>
      <c r="I988" s="16"/>
    </row>
    <row r="989" spans="1:9" ht="24" customHeight="1">
      <c r="B989" s="1033" t="str">
        <f>Lansekap!C4697</f>
        <v>4.1.4.1.3</v>
      </c>
      <c r="C989" s="12" t="str">
        <f>VLOOKUP(B989,Lansekap!C:T,2,FALSE)</f>
        <v>Penanaman 1 m2 Semak,Bunga Iris (Neomarica Longifolia), 36
Buah/m2, Polybag 5 L</v>
      </c>
      <c r="D989" s="9" t="s">
        <v>62</v>
      </c>
      <c r="E989" s="1021">
        <f>VLOOKUP(C989,Lansekap!D:T,15,FALSE)</f>
        <v>12900</v>
      </c>
      <c r="F989" s="1003" t="str">
        <f>VLOOKUP(C989,Lansekap!D:T,16,FALSE)</f>
        <v>Revisi</v>
      </c>
      <c r="G989" s="12" t="str">
        <f>VLOOKUP(C989,Lansekap!D:T,17,FALSE)</f>
        <v>Item Baru</v>
      </c>
      <c r="H989" s="374"/>
      <c r="I989" s="16"/>
    </row>
    <row r="990" spans="1:9" ht="24" customHeight="1">
      <c r="B990" s="1033" t="str">
        <f>Lansekap!C4722</f>
        <v>4.1.4.1.4</v>
      </c>
      <c r="C990" s="12" t="str">
        <f>VLOOKUP(B990,Lansekap!C:T,2,FALSE)</f>
        <v>Penanaman 1 m2 Semak,Calathea (Calathea Sp.), 16 Buah/m2, 36
Buah/m2, Polybag 5 L</v>
      </c>
      <c r="D990" s="9" t="s">
        <v>62</v>
      </c>
      <c r="E990" s="1021">
        <f>VLOOKUP(C990,Lansekap!D:T,15,FALSE)</f>
        <v>12900</v>
      </c>
      <c r="F990" s="1003" t="str">
        <f>VLOOKUP(C990,Lansekap!D:T,16,FALSE)</f>
        <v>Revisi</v>
      </c>
      <c r="G990" s="12" t="str">
        <f>VLOOKUP(C990,Lansekap!D:T,17,FALSE)</f>
        <v>Item Baru</v>
      </c>
      <c r="H990" s="374"/>
      <c r="I990" s="16"/>
    </row>
    <row r="991" spans="1:9" ht="24" customHeight="1">
      <c r="B991" s="1033" t="str">
        <f>Lansekap!C4747</f>
        <v>4.1.4.1.5</v>
      </c>
      <c r="C991" s="12" t="str">
        <f>VLOOKUP(B991,Lansekap!C:T,2,FALSE)</f>
        <v>Penanaman 1 m2 Semak,Cendrawasih (Phyllanthus Myrtifolius),
36 Buah/m2, Polybag 5 L</v>
      </c>
      <c r="D991" s="9" t="s">
        <v>62</v>
      </c>
      <c r="E991" s="1021">
        <f>VLOOKUP(C991,Lansekap!D:T,15,FALSE)</f>
        <v>12900</v>
      </c>
      <c r="F991" s="1003" t="str">
        <f>VLOOKUP(C991,Lansekap!D:T,16,FALSE)</f>
        <v>Revisi</v>
      </c>
      <c r="G991" s="12" t="str">
        <f>VLOOKUP(C991,Lansekap!D:T,17,FALSE)</f>
        <v>Item Baru</v>
      </c>
      <c r="H991" s="374"/>
      <c r="I991" s="16"/>
    </row>
    <row r="992" spans="1:9" ht="24" customHeight="1">
      <c r="B992" s="1033" t="str">
        <f>Lansekap!C4772</f>
        <v>4.1.4.1.6</v>
      </c>
      <c r="C992" s="12" t="str">
        <f>VLOOKUP(B992,Lansekap!C:T,2,FALSE)</f>
        <v>Penanaman 1 m2 SemakHujan Mas (Galphimia Glauca), 25
Buah/m2, Polybag 5 L</v>
      </c>
      <c r="D992" s="9" t="s">
        <v>62</v>
      </c>
      <c r="E992" s="1021">
        <f>VLOOKUP(C992,Lansekap!D:T,15,FALSE)</f>
        <v>12900</v>
      </c>
      <c r="F992" s="1003" t="str">
        <f>VLOOKUP(C992,Lansekap!D:T,16,FALSE)</f>
        <v>Revisi</v>
      </c>
      <c r="G992" s="12" t="str">
        <f>VLOOKUP(C992,Lansekap!D:T,17,FALSE)</f>
        <v>Item Baru</v>
      </c>
      <c r="H992" s="374"/>
      <c r="I992" s="16"/>
    </row>
    <row r="993" spans="1:9" ht="24" customHeight="1">
      <c r="B993" s="1033" t="str">
        <f>Lansekap!C4797</f>
        <v>4.1.4.1.7</v>
      </c>
      <c r="C993" s="12" t="str">
        <f>VLOOKUP(B993,Lansekap!C:T,2,FALSE)</f>
        <v>Penanaman 1 m2 Semak, Kacapiring Wangi/Gardenia (Gardenia
Jasminoides), 25 Buah/m2 Polybag 5 L</v>
      </c>
      <c r="D993" s="9" t="s">
        <v>62</v>
      </c>
      <c r="E993" s="1021">
        <f>VLOOKUP(C993,Lansekap!D:T,15,FALSE)</f>
        <v>12900</v>
      </c>
      <c r="F993" s="1003" t="str">
        <f>VLOOKUP(C993,Lansekap!D:T,16,FALSE)</f>
        <v>Revisi</v>
      </c>
      <c r="G993" s="12" t="str">
        <f>VLOOKUP(C993,Lansekap!D:T,17,FALSE)</f>
        <v>Item Baru</v>
      </c>
      <c r="H993" s="374"/>
      <c r="I993" s="16"/>
    </row>
    <row r="994" spans="1:9" ht="24" customHeight="1">
      <c r="B994" s="1033" t="str">
        <f>Lansekap!C4822</f>
        <v>4.1.4.1.8</v>
      </c>
      <c r="C994" s="12" t="str">
        <f>VLOOKUP(B994,Lansekap!C:T,2,FALSE)</f>
        <v>Penanaman 1 m2 Semak,Kemuning (Murraya Paniculata), 25
Buah/m2, 25 Buah/m2 Polybag 5 L</v>
      </c>
      <c r="D994" s="9" t="s">
        <v>62</v>
      </c>
      <c r="E994" s="1021">
        <f>VLOOKUP(C994,Lansekap!D:T,15,FALSE)</f>
        <v>12900</v>
      </c>
      <c r="F994" s="1003" t="str">
        <f>VLOOKUP(C994,Lansekap!D:T,16,FALSE)</f>
        <v>Revisi</v>
      </c>
      <c r="G994" s="12" t="str">
        <f>VLOOKUP(C994,Lansekap!D:T,17,FALSE)</f>
        <v>Item Baru</v>
      </c>
      <c r="H994" s="374"/>
      <c r="I994" s="16"/>
    </row>
    <row r="995" spans="1:9" ht="24" customHeight="1">
      <c r="B995" s="1033" t="str">
        <f>Lansekap!C4847</f>
        <v>4.1.4.1.9</v>
      </c>
      <c r="C995" s="12" t="str">
        <f>VLOOKUP(B995,Lansekap!C:T,2,FALSE)</f>
        <v>Penanaman 1 m2 Semak Melati Putih (Jasminum Sambac), 25
Buah/m2, Polybag 5 L</v>
      </c>
      <c r="D995" s="9" t="s">
        <v>62</v>
      </c>
      <c r="E995" s="1021">
        <f>VLOOKUP(C995,Lansekap!D:T,15,FALSE)</f>
        <v>12900</v>
      </c>
      <c r="F995" s="1003" t="str">
        <f>VLOOKUP(C995,Lansekap!D:T,16,FALSE)</f>
        <v>Revisi</v>
      </c>
      <c r="G995" s="12" t="str">
        <f>VLOOKUP(C995,Lansekap!D:T,17,FALSE)</f>
        <v>Item Baru</v>
      </c>
      <c r="H995" s="374"/>
      <c r="I995" s="16"/>
    </row>
    <row r="996" spans="1:9" ht="24" customHeight="1">
      <c r="B996" s="1033" t="str">
        <f>Lansekap!C4872</f>
        <v>4.1.4.1.10</v>
      </c>
      <c r="C996" s="12" t="str">
        <f>VLOOKUP(B996,Lansekap!C:T,2,FALSE)</f>
        <v>Penanaman 1 m2 Semak, Pandan Kuning (Pandanus
Pygmaeus), 25 Buah/m2, Polybag 5 L</v>
      </c>
      <c r="D996" s="9" t="s">
        <v>62</v>
      </c>
      <c r="E996" s="1021">
        <f>VLOOKUP(C996,Lansekap!D:T,15,FALSE)</f>
        <v>12900</v>
      </c>
      <c r="F996" s="1003" t="str">
        <f>VLOOKUP(C996,Lansekap!D:T,16,FALSE)</f>
        <v>Revisi</v>
      </c>
      <c r="G996" s="12" t="str">
        <f>VLOOKUP(C996,Lansekap!D:T,17,FALSE)</f>
        <v>Item Baru</v>
      </c>
      <c r="H996" s="374"/>
      <c r="I996" s="16"/>
    </row>
    <row r="997" spans="1:9" ht="24" customHeight="1">
      <c r="B997" s="1033" t="str">
        <f>Lansekap!C4897</f>
        <v>4.1.4.1.11</v>
      </c>
      <c r="C997" s="12" t="str">
        <f>VLOOKUP(B997,Lansekap!C:T,2,FALSE)</f>
        <v>Penanaman 1 m2 Semak, Pretty Pink (Breynia Disticha), 25
Buah/m2, 25 Buah/m2, Polybag 5 L</v>
      </c>
      <c r="D997" s="9" t="s">
        <v>62</v>
      </c>
      <c r="E997" s="1021">
        <f>VLOOKUP(C997,Lansekap!D:T,15,FALSE)</f>
        <v>12900</v>
      </c>
      <c r="F997" s="1003" t="str">
        <f>VLOOKUP(C997,Lansekap!D:T,16,FALSE)</f>
        <v>Revisi</v>
      </c>
      <c r="G997" s="12" t="str">
        <f>VLOOKUP(C997,Lansekap!D:T,17,FALSE)</f>
        <v>Item Baru</v>
      </c>
      <c r="H997" s="374"/>
      <c r="I997" s="16"/>
    </row>
    <row r="998" spans="1:9" ht="24" customHeight="1">
      <c r="B998" s="1033" t="str">
        <f>Lansekap!C4922</f>
        <v>4.1.4.1.12</v>
      </c>
      <c r="C998" s="12" t="str">
        <f>VLOOKUP(B998,Lansekap!C:T,2,FALSE)</f>
        <v>Penanaman 1 m2 Semak, Sansevieria/Lidah Mertua
(Sansevieria Trifasciata), 25 Buah/m2, Polybag 5 L</v>
      </c>
      <c r="D998" s="9" t="s">
        <v>62</v>
      </c>
      <c r="E998" s="1021">
        <f>VLOOKUP(C998,Lansekap!D:T,15,FALSE)</f>
        <v>12900</v>
      </c>
      <c r="F998" s="1003" t="str">
        <f>VLOOKUP(C998,Lansekap!D:T,16,FALSE)</f>
        <v>Revisi</v>
      </c>
      <c r="G998" s="12" t="str">
        <f>VLOOKUP(C998,Lansekap!D:T,17,FALSE)</f>
        <v>Item Baru</v>
      </c>
      <c r="H998" s="374"/>
      <c r="I998" s="16"/>
    </row>
    <row r="999" spans="1:9" ht="24" customHeight="1">
      <c r="B999" s="1033" t="str">
        <f>Lansekap!C4947</f>
        <v>4.1.4.1.13</v>
      </c>
      <c r="C999" s="12" t="str">
        <f>VLOOKUP(B999,Lansekap!C:T,2,FALSE)</f>
        <v>Penanaman 1 m2 Semak,Tabernae/Mondokaki
(Tabernaemontana Divaricata ), 25 Buah/m2, Polybag 5 L</v>
      </c>
      <c r="D999" s="9" t="s">
        <v>62</v>
      </c>
      <c r="E999" s="1021">
        <f>VLOOKUP(C999,Lansekap!D:T,15,FALSE)</f>
        <v>12900</v>
      </c>
      <c r="F999" s="1003" t="str">
        <f>VLOOKUP(C999,Lansekap!D:T,16,FALSE)</f>
        <v>Revisi</v>
      </c>
      <c r="G999" s="12" t="str">
        <f>VLOOKUP(C999,Lansekap!D:T,17,FALSE)</f>
        <v>Item Baru</v>
      </c>
      <c r="H999" s="374"/>
      <c r="I999" s="16"/>
    </row>
    <row r="1000" spans="1:9" ht="24" customHeight="1">
      <c r="B1000" s="1033" t="str">
        <f>Lansekap!C4972</f>
        <v>4.1.4.1.14</v>
      </c>
      <c r="C1000" s="12" t="str">
        <f>VLOOKUP(B1000,Lansekap!C:T,2,FALSE)</f>
        <v>Penanaman 1 m2 Semak,Walisongo/Umbrella Tree (Schefflera
Arboricola), 25 Buah/m2, Polybag 5 L</v>
      </c>
      <c r="D1000" s="9" t="s">
        <v>62</v>
      </c>
      <c r="E1000" s="1021">
        <f>VLOOKUP(C1000,Lansekap!D:T,15,FALSE)</f>
        <v>12900</v>
      </c>
      <c r="F1000" s="1003" t="str">
        <f>VLOOKUP(C1000,Lansekap!D:T,16,FALSE)</f>
        <v>Revisi</v>
      </c>
      <c r="G1000" s="12" t="str">
        <f>VLOOKUP(C1000,Lansekap!D:T,17,FALSE)</f>
        <v>Item Baru</v>
      </c>
      <c r="H1000" s="374"/>
      <c r="I1000" s="16"/>
    </row>
    <row r="1001" spans="1:9" s="1" customFormat="1" ht="24" customHeight="1">
      <c r="A1001" s="47"/>
      <c r="B1001" s="1041" t="str">
        <f>Lansekap!C4997</f>
        <v>4.1.4.2</v>
      </c>
      <c r="C1001" s="33" t="str">
        <f>VLOOKUP(B1001,Lansekap!C:T,2,FALSE)</f>
        <v xml:space="preserve">Semak , Polybag 11 L </v>
      </c>
      <c r="D1001" s="19"/>
      <c r="E1001" s="1021">
        <f>VLOOKUP(C1001,Lansekap!D:T,15,FALSE)</f>
        <v>0</v>
      </c>
      <c r="F1001" s="1003">
        <f>VLOOKUP(C1001,Lansekap!D:T,16,FALSE)</f>
        <v>0</v>
      </c>
      <c r="G1001" s="12">
        <f>VLOOKUP(C1001,Lansekap!D:T,17,FALSE)</f>
        <v>0</v>
      </c>
      <c r="H1001" s="1092"/>
      <c r="I1001" s="21"/>
    </row>
    <row r="1002" spans="1:9" ht="24" customHeight="1">
      <c r="B1002" s="1033" t="str">
        <f>Lansekap!C4998</f>
        <v>4.1.4.2.1</v>
      </c>
      <c r="C1002" s="12" t="str">
        <f>VLOOKUP(B1002,Lansekap!C:T,2,FALSE)</f>
        <v>Penanaman 1 m2 Semak, Agave/ Lidah Naga ( Agave Americana), 5 buah/m2, Polybag 11 L</v>
      </c>
      <c r="D1002" s="9" t="s">
        <v>62</v>
      </c>
      <c r="E1002" s="1021">
        <f>VLOOKUP(C1002,Lansekap!D:T,15,FALSE)</f>
        <v>12900</v>
      </c>
      <c r="F1002" s="1003" t="str">
        <f>VLOOKUP(C1002,Lansekap!D:T,16,FALSE)</f>
        <v>Revisi</v>
      </c>
      <c r="G1002" s="12" t="str">
        <f>VLOOKUP(C1002,Lansekap!D:T,17,FALSE)</f>
        <v>Item Baru</v>
      </c>
      <c r="H1002" s="374"/>
      <c r="I1002" s="16"/>
    </row>
    <row r="1003" spans="1:9" ht="24" customHeight="1">
      <c r="B1003" s="1033" t="str">
        <f>Lansekap!C5023</f>
        <v>4.1.4.2.2</v>
      </c>
      <c r="C1003" s="12" t="str">
        <f>VLOOKUP(B1003,Lansekap!C:T,2,FALSE)</f>
        <v>Penanaman 1 m2 Semak, Alamanda/Bunga Terompet Emas
(Allamanda Cathartica), 9 Buah/m2, Polybag 11 L</v>
      </c>
      <c r="D1003" s="9" t="s">
        <v>62</v>
      </c>
      <c r="E1003" s="1021">
        <f>VLOOKUP(C1003,Lansekap!D:T,15,FALSE)</f>
        <v>12900</v>
      </c>
      <c r="F1003" s="1003" t="str">
        <f>VLOOKUP(C1003,Lansekap!D:T,16,FALSE)</f>
        <v>Revisi</v>
      </c>
      <c r="G1003" s="12" t="str">
        <f>VLOOKUP(C1003,Lansekap!D:T,17,FALSE)</f>
        <v>Item Baru</v>
      </c>
      <c r="H1003" s="374"/>
      <c r="I1003" s="16"/>
    </row>
    <row r="1004" spans="1:9" ht="24" customHeight="1">
      <c r="B1004" s="1033" t="str">
        <f>Lansekap!C5048</f>
        <v>4.1.4.2.3</v>
      </c>
      <c r="C1004" s="12" t="str">
        <f>VLOOKUP(B1004,Lansekap!C:T,2,FALSE)</f>
        <v>Penanaman 1 m2 Semak, Bakung Jawa (Crinum Asiaticum), 16
Buah/m2,, Polybag 11 L</v>
      </c>
      <c r="D1004" s="9" t="s">
        <v>62</v>
      </c>
      <c r="E1004" s="1021">
        <f>VLOOKUP(C1004,Lansekap!D:T,15,FALSE)</f>
        <v>12900</v>
      </c>
      <c r="F1004" s="1003" t="str">
        <f>VLOOKUP(C1004,Lansekap!D:T,16,FALSE)</f>
        <v>Revisi</v>
      </c>
      <c r="G1004" s="12" t="str">
        <f>VLOOKUP(C1004,Lansekap!D:T,17,FALSE)</f>
        <v>Item Baru</v>
      </c>
      <c r="H1004" s="374"/>
      <c r="I1004" s="16"/>
    </row>
    <row r="1005" spans="1:9" ht="24" customHeight="1">
      <c r="B1005" s="1033" t="str">
        <f>Lansekap!C5073</f>
        <v>4.1.4.2.4</v>
      </c>
      <c r="C1005" s="12" t="str">
        <f>VLOOKUP(B1005,Lansekap!C:T,2,FALSE)</f>
        <v>Penanaman 1 m2 Semak, Bakung Lele (Hymenocalis Speciosa),
16 Buah/m2, Polybag 11 L</v>
      </c>
      <c r="D1005" s="9" t="s">
        <v>62</v>
      </c>
      <c r="E1005" s="1021">
        <f>VLOOKUP(C1005,Lansekap!D:T,15,FALSE)</f>
        <v>12900</v>
      </c>
      <c r="F1005" s="1003" t="str">
        <f>VLOOKUP(C1005,Lansekap!D:T,16,FALSE)</f>
        <v>Revisi</v>
      </c>
      <c r="G1005" s="12" t="str">
        <f>VLOOKUP(C1005,Lansekap!D:T,17,FALSE)</f>
        <v>Item Baru</v>
      </c>
      <c r="H1005" s="374"/>
      <c r="I1005" s="16"/>
    </row>
    <row r="1006" spans="1:9" ht="24" customHeight="1">
      <c r="B1006" s="1033" t="str">
        <f>Lansekap!C5099</f>
        <v>4.1.4.2.5</v>
      </c>
      <c r="C1006" s="12" t="str">
        <f>VLOOKUP(B1006,Lansekap!C:T,2,FALSE)</f>
        <v>Penanaman 1 m2 Semak, Bromelia (Bromelia Sp.), 5 Buah/m2, Polybag 11 L</v>
      </c>
      <c r="D1006" s="9" t="s">
        <v>62</v>
      </c>
      <c r="E1006" s="1021">
        <f>VLOOKUP(C1006,Lansekap!D:T,15,FALSE)</f>
        <v>12900</v>
      </c>
      <c r="F1006" s="1003" t="str">
        <f>VLOOKUP(C1006,Lansekap!D:T,16,FALSE)</f>
        <v>Revisi</v>
      </c>
      <c r="G1006" s="12" t="str">
        <f>VLOOKUP(C1006,Lansekap!D:T,17,FALSE)</f>
        <v>Item Baru</v>
      </c>
      <c r="H1006" s="374"/>
      <c r="I1006" s="16"/>
    </row>
    <row r="1007" spans="1:9" ht="24" customHeight="1">
      <c r="B1007" s="1033" t="str">
        <f>Lansekap!C5124</f>
        <v>4.1.4.2.6</v>
      </c>
      <c r="C1007" s="12" t="str">
        <f>VLOOKUP(B1007,Lansekap!C:T,2,FALSE)</f>
        <v>Penanaman 1 m2 Semak,Bunga Terompet Kuning (Tecoma
Stans), 9 Buah/m2, Polybag 11 L</v>
      </c>
      <c r="D1007" s="9" t="s">
        <v>62</v>
      </c>
      <c r="E1007" s="1021">
        <f>VLOOKUP(C1007,Lansekap!D:T,15,FALSE)</f>
        <v>12900</v>
      </c>
      <c r="F1007" s="1003" t="str">
        <f>VLOOKUP(C1007,Lansekap!D:T,16,FALSE)</f>
        <v>Revisi</v>
      </c>
      <c r="G1007" s="12" t="str">
        <f>VLOOKUP(C1007,Lansekap!D:T,17,FALSE)</f>
        <v>Item Baru</v>
      </c>
      <c r="H1007" s="374"/>
      <c r="I1007" s="16"/>
    </row>
    <row r="1008" spans="1:9" ht="24" customHeight="1">
      <c r="B1008" s="1033" t="str">
        <f>Lansekap!C5149</f>
        <v>4.1.4.2.7</v>
      </c>
      <c r="C1008" s="12" t="str">
        <f>VLOOKUP(B1008,Lansekap!C:T,2,FALSE)</f>
        <v>Penanaman 1 m2 Semak, Costus (Costus Woodsonii), 16
Buah/m2, Polybag 11 L</v>
      </c>
      <c r="D1008" s="9" t="s">
        <v>62</v>
      </c>
      <c r="E1008" s="1021">
        <f>VLOOKUP(C1008,Lansekap!D:T,15,FALSE)</f>
        <v>12900</v>
      </c>
      <c r="F1008" s="1003" t="str">
        <f>VLOOKUP(C1008,Lansekap!D:T,16,FALSE)</f>
        <v>Revisi</v>
      </c>
      <c r="G1008" s="12" t="str">
        <f>VLOOKUP(C1008,Lansekap!D:T,17,FALSE)</f>
        <v>Item Baru</v>
      </c>
      <c r="H1008" s="374"/>
      <c r="I1008" s="16"/>
    </row>
    <row r="1009" spans="2:9" ht="24" customHeight="1">
      <c r="B1009" s="1033" t="str">
        <f>Lansekap!C5174</f>
        <v>4.1.4.2.8</v>
      </c>
      <c r="C1009" s="12" t="str">
        <f>VLOOKUP(B1009,Lansekap!C:T,2,FALSE)</f>
        <v>Penanaman 1 m2 Semak, Dracaena ‘Song Of India’ (Dracaena
Reflexa "Song Of India"), 9 Buah/m2,  Polybag 11 L</v>
      </c>
      <c r="D1009" s="9" t="s">
        <v>62</v>
      </c>
      <c r="E1009" s="1021">
        <f>VLOOKUP(C1009,Lansekap!D:T,15,FALSE)</f>
        <v>12900</v>
      </c>
      <c r="F1009" s="1003" t="str">
        <f>VLOOKUP(C1009,Lansekap!D:T,16,FALSE)</f>
        <v>Revisi</v>
      </c>
      <c r="G1009" s="12" t="str">
        <f>VLOOKUP(C1009,Lansekap!D:T,17,FALSE)</f>
        <v>Item Baru</v>
      </c>
      <c r="H1009" s="374"/>
      <c r="I1009" s="16"/>
    </row>
    <row r="1010" spans="2:9" ht="24" customHeight="1">
      <c r="B1010" s="1033" t="str">
        <f>Lansekap!C5199</f>
        <v>4.1.4.2.9</v>
      </c>
      <c r="C1010" s="12" t="str">
        <f>VLOOKUP(B1010,Lansekap!C:T,2,FALSE)</f>
        <v>Penanaman 1 m2 Semak,Dracaena 'Song Of Jamaica' (Dracaena
Reflexa "Song Of Jamaica"), 9 Buah/m2,  Polybag 11 L</v>
      </c>
      <c r="D1010" s="9" t="s">
        <v>62</v>
      </c>
      <c r="E1010" s="1021">
        <f>VLOOKUP(C1010,Lansekap!D:T,15,FALSE)</f>
        <v>12900</v>
      </c>
      <c r="F1010" s="1003" t="str">
        <f>VLOOKUP(C1010,Lansekap!D:T,16,FALSE)</f>
        <v>Revisi</v>
      </c>
      <c r="G1010" s="12" t="str">
        <f>VLOOKUP(C1010,Lansekap!D:T,17,FALSE)</f>
        <v>Item Baru</v>
      </c>
      <c r="H1010" s="374"/>
      <c r="I1010" s="16"/>
    </row>
    <row r="1011" spans="2:9" ht="24" customHeight="1">
      <c r="B1011" s="1033" t="str">
        <f>Lansekap!C5224</f>
        <v>4.1.4.2.10</v>
      </c>
      <c r="C1011" s="12" t="str">
        <f>VLOOKUP(B1011,Lansekap!C:T,2,FALSE)</f>
        <v>Penanaman 1 m2 Semak, Helliconia (Heliconia Psittacorum),
16 Buah/m2,, 9 Buah/m2,  Polybag 11 L</v>
      </c>
      <c r="D1011" s="9" t="s">
        <v>62</v>
      </c>
      <c r="E1011" s="1021">
        <f>VLOOKUP(C1011,Lansekap!D:T,15,FALSE)</f>
        <v>12900</v>
      </c>
      <c r="F1011" s="1003" t="str">
        <f>VLOOKUP(C1011,Lansekap!D:T,16,FALSE)</f>
        <v>Revisi</v>
      </c>
      <c r="G1011" s="12" t="str">
        <f>VLOOKUP(C1011,Lansekap!D:T,17,FALSE)</f>
        <v>Item Baru</v>
      </c>
      <c r="H1011" s="374"/>
      <c r="I1011" s="16"/>
    </row>
    <row r="1012" spans="2:9" ht="24" customHeight="1">
      <c r="B1012" s="1033" t="str">
        <f>Lansekap!C5249</f>
        <v>4.1.4.2.11</v>
      </c>
      <c r="C1012" s="12" t="str">
        <f>VLOOKUP(B1012,Lansekap!C:T,2,FALSE)</f>
        <v>Penanaman 1 m2 Semak, Honje/Kecombrang (Etlingera
Elatior), 16 Buah/m2,  Polybag 11 L</v>
      </c>
      <c r="D1012" s="9" t="s">
        <v>62</v>
      </c>
      <c r="E1012" s="1021">
        <f>VLOOKUP(C1012,Lansekap!D:T,15,FALSE)</f>
        <v>12900</v>
      </c>
      <c r="F1012" s="1003" t="str">
        <f>VLOOKUP(C1012,Lansekap!D:T,16,FALSE)</f>
        <v>Revisi</v>
      </c>
      <c r="G1012" s="12" t="str">
        <f>VLOOKUP(C1012,Lansekap!D:T,17,FALSE)</f>
        <v>Item Baru</v>
      </c>
      <c r="H1012" s="374"/>
      <c r="I1012" s="16"/>
    </row>
    <row r="1013" spans="2:9" ht="24" customHeight="1">
      <c r="B1013" s="1033" t="str">
        <f>Lansekap!C5274</f>
        <v>4.1.4.2.12</v>
      </c>
      <c r="C1013" s="12" t="str">
        <f>VLOOKUP(B1013,Lansekap!C:T,2,FALSE)</f>
        <v>Penanaman 1 m2 Semak, Hujan Mas (Galphimia Glauca), 16
Buah/m2,  Polybag 11 L</v>
      </c>
      <c r="D1013" s="9" t="s">
        <v>62</v>
      </c>
      <c r="E1013" s="1021">
        <f>VLOOKUP(C1013,Lansekap!D:T,15,FALSE)</f>
        <v>12900</v>
      </c>
      <c r="F1013" s="1003" t="str">
        <f>VLOOKUP(C1013,Lansekap!D:T,16,FALSE)</f>
        <v>Revisi</v>
      </c>
      <c r="G1013" s="12" t="str">
        <f>VLOOKUP(C1013,Lansekap!D:T,17,FALSE)</f>
        <v>Item Baru</v>
      </c>
      <c r="H1013" s="374"/>
      <c r="I1013" s="16"/>
    </row>
    <row r="1014" spans="2:9" ht="24" customHeight="1">
      <c r="B1014" s="1033" t="str">
        <f>Lansekap!C5299</f>
        <v>4.1.4.2.13</v>
      </c>
      <c r="C1014" s="12" t="str">
        <f>VLOOKUP(B1014,Lansekap!C:T,2,FALSE)</f>
        <v>Penanaman 1 m2 Semak, Kaca Piring (Gardenia Augusta), 16
Buah/m2, Polybag 11 L</v>
      </c>
      <c r="D1014" s="9" t="s">
        <v>62</v>
      </c>
      <c r="E1014" s="1021">
        <f>VLOOKUP(C1014,Lansekap!D:T,15,FALSE)</f>
        <v>12900</v>
      </c>
      <c r="F1014" s="1003" t="str">
        <f>VLOOKUP(C1014,Lansekap!D:T,16,FALSE)</f>
        <v>Revisi</v>
      </c>
      <c r="G1014" s="12" t="str">
        <f>VLOOKUP(C1014,Lansekap!D:T,17,FALSE)</f>
        <v>Item Baru</v>
      </c>
      <c r="H1014" s="374"/>
      <c r="I1014" s="16"/>
    </row>
    <row r="1015" spans="2:9" ht="24" customHeight="1">
      <c r="B1015" s="1033" t="str">
        <f>Lansekap!C5324</f>
        <v>4.1.4.2.14</v>
      </c>
      <c r="C1015" s="12" t="str">
        <f>VLOOKUP(B1015,Lansekap!C:T,2,FALSE)</f>
        <v>Penanaman 1 m2 Semak, Kacapiring Wangi/Gardenia
(Gardenia Jasminoides), 16 Buah/m2 Polybag 11 L</v>
      </c>
      <c r="D1015" s="9" t="s">
        <v>62</v>
      </c>
      <c r="E1015" s="1021">
        <f>VLOOKUP(C1015,Lansekap!D:T,15,FALSE)</f>
        <v>12900</v>
      </c>
      <c r="F1015" s="1003" t="str">
        <f>VLOOKUP(C1015,Lansekap!D:T,16,FALSE)</f>
        <v>Revisi</v>
      </c>
      <c r="G1015" s="12" t="str">
        <f>VLOOKUP(C1015,Lansekap!D:T,17,FALSE)</f>
        <v>Item Baru</v>
      </c>
      <c r="H1015" s="374"/>
      <c r="I1015" s="16"/>
    </row>
    <row r="1016" spans="2:9" ht="24" customHeight="1">
      <c r="B1016" s="1033" t="str">
        <f>Lansekap!C5349</f>
        <v>4.1.4.2.15</v>
      </c>
      <c r="C1016" s="12" t="str">
        <f>VLOOKUP(B1016,Lansekap!C:T,2,FALSE)</f>
        <v>Penanaman 1 m2 Semak, Kana (Canna Indica), 16 Buah/m2, Polybag 11 L</v>
      </c>
      <c r="D1016" s="9" t="s">
        <v>62</v>
      </c>
      <c r="E1016" s="1021">
        <f>VLOOKUP(C1016,Lansekap!D:T,15,FALSE)</f>
        <v>12900</v>
      </c>
      <c r="F1016" s="1003" t="str">
        <f>VLOOKUP(C1016,Lansekap!D:T,16,FALSE)</f>
        <v>Revisi</v>
      </c>
      <c r="G1016" s="12" t="str">
        <f>VLOOKUP(C1016,Lansekap!D:T,17,FALSE)</f>
        <v>Item Baru</v>
      </c>
      <c r="H1016" s="374"/>
      <c r="I1016" s="16"/>
    </row>
    <row r="1017" spans="2:9" ht="24" customHeight="1">
      <c r="B1017" s="1033" t="str">
        <f>Lansekap!C5374</f>
        <v>4.1.4.2.16</v>
      </c>
      <c r="C1017" s="12" t="str">
        <f>VLOOKUP(B1017,Lansekap!C:T,2,FALSE)</f>
        <v>Penanaman 1 m2 Semak,Lili Brazil (Dianella Tasmanica), 16
Buah/m2, Polybag 11 L</v>
      </c>
      <c r="D1017" s="9" t="s">
        <v>62</v>
      </c>
      <c r="E1017" s="1021">
        <f>VLOOKUP(C1017,Lansekap!D:T,15,FALSE)</f>
        <v>12900</v>
      </c>
      <c r="F1017" s="1003" t="str">
        <f>VLOOKUP(C1017,Lansekap!D:T,16,FALSE)</f>
        <v>Revisi</v>
      </c>
      <c r="G1017" s="12" t="str">
        <f>VLOOKUP(C1017,Lansekap!D:T,17,FALSE)</f>
        <v>Item Baru</v>
      </c>
      <c r="H1017" s="374"/>
      <c r="I1017" s="16"/>
    </row>
    <row r="1018" spans="2:9" ht="24" customHeight="1">
      <c r="B1018" s="1033" t="str">
        <f>Lansekap!C5399</f>
        <v>4.1.4.2.17</v>
      </c>
      <c r="C1018" s="12" t="str">
        <f>VLOOKUP(B1018,Lansekap!C:T,2,FALSE)</f>
        <v>Penanaman 1 m2 Semak,Melati Putih (Jasminum Sambac), 16
Buah/m2, Polybag 11 L</v>
      </c>
      <c r="D1018" s="9" t="s">
        <v>62</v>
      </c>
      <c r="E1018" s="1021">
        <f>VLOOKUP(C1018,Lansekap!D:T,15,FALSE)</f>
        <v>12900</v>
      </c>
      <c r="F1018" s="1003" t="str">
        <f>VLOOKUP(C1018,Lansekap!D:T,16,FALSE)</f>
        <v>Revisi</v>
      </c>
      <c r="G1018" s="12" t="str">
        <f>VLOOKUP(C1018,Lansekap!D:T,17,FALSE)</f>
        <v>Item Baru</v>
      </c>
      <c r="H1018" s="374"/>
      <c r="I1018" s="16"/>
    </row>
    <row r="1019" spans="2:9" ht="24" customHeight="1">
      <c r="B1019" s="1033" t="str">
        <f>Lansekap!C5424</f>
        <v>4.1.4.2.18</v>
      </c>
      <c r="C1019" s="12" t="str">
        <f>VLOOKUP(B1019,Lansekap!C:T,2,FALSE)</f>
        <v>Penanaman 1 m2 Semak, Nusa Indah (Mussaenda), 9 Buah/m2, Polybag 11 L</v>
      </c>
      <c r="D1019" s="9" t="s">
        <v>62</v>
      </c>
      <c r="E1019" s="1021">
        <f>VLOOKUP(C1019,Lansekap!D:T,15,FALSE)</f>
        <v>12900</v>
      </c>
      <c r="F1019" s="1003" t="str">
        <f>VLOOKUP(C1019,Lansekap!D:T,16,FALSE)</f>
        <v>Revisi</v>
      </c>
      <c r="G1019" s="12" t="str">
        <f>VLOOKUP(C1019,Lansekap!D:T,17,FALSE)</f>
        <v>Item Baru</v>
      </c>
      <c r="H1019" s="374"/>
      <c r="I1019" s="16"/>
    </row>
    <row r="1020" spans="2:9" ht="24" customHeight="1">
      <c r="B1020" s="1033" t="str">
        <f>Lansekap!C5449</f>
        <v>4.1.4.2.19</v>
      </c>
      <c r="C1020" s="12" t="str">
        <f>VLOOKUP(B1020,Lansekap!C:T,2,FALSE)</f>
        <v>Penanaman 1 m2 Semak, Oleander/Bunga Mentega (Nerium
Oleander), 16 Buah/m2,, Polybag 11 L</v>
      </c>
      <c r="D1020" s="9" t="s">
        <v>62</v>
      </c>
      <c r="E1020" s="1021">
        <f>VLOOKUP(C1020,Lansekap!D:T,15,FALSE)</f>
        <v>12900</v>
      </c>
      <c r="F1020" s="1003" t="str">
        <f>VLOOKUP(C1020,Lansekap!D:T,16,FALSE)</f>
        <v>Revisi</v>
      </c>
      <c r="G1020" s="12" t="str">
        <f>VLOOKUP(C1020,Lansekap!D:T,17,FALSE)</f>
        <v>Item Baru</v>
      </c>
      <c r="H1020" s="374"/>
      <c r="I1020" s="16"/>
    </row>
    <row r="1021" spans="2:9" ht="24" customHeight="1">
      <c r="B1021" s="1033" t="str">
        <f>Lansekap!C5474</f>
        <v>4.1.4.2.20</v>
      </c>
      <c r="C1021" s="12" t="str">
        <f>VLOOKUP(B1021,Lansekap!C:T,2,FALSE)</f>
        <v>Penanaman 1 m2 Semak, Pretty Pink (Breynia Disticha), 16
Buah/m2, Polybag 11 L</v>
      </c>
      <c r="D1021" s="9" t="s">
        <v>62</v>
      </c>
      <c r="E1021" s="1021">
        <f>VLOOKUP(C1021,Lansekap!D:T,15,FALSE)</f>
        <v>12900</v>
      </c>
      <c r="F1021" s="1003" t="str">
        <f>VLOOKUP(C1021,Lansekap!D:T,16,FALSE)</f>
        <v>Revisi</v>
      </c>
      <c r="G1021" s="12" t="str">
        <f>VLOOKUP(C1021,Lansekap!D:T,17,FALSE)</f>
        <v>Item Baru</v>
      </c>
      <c r="H1021" s="374"/>
      <c r="I1021" s="16"/>
    </row>
    <row r="1022" spans="2:9" ht="24" customHeight="1">
      <c r="B1022" s="1033" t="str">
        <f>Lansekap!C5499</f>
        <v>4.1.4.2.21</v>
      </c>
      <c r="C1022" s="12" t="str">
        <f>VLOOKUP(B1022,Lansekap!C:T,2,FALSE)</f>
        <v>Penanaman 1 m2 Semak, Puring (Codiaeum Variegatum), 16
Buah/m2, Polybag 11 L</v>
      </c>
      <c r="D1022" s="9" t="s">
        <v>62</v>
      </c>
      <c r="E1022" s="1021">
        <f>VLOOKUP(C1022,Lansekap!D:T,15,FALSE)</f>
        <v>12900</v>
      </c>
      <c r="F1022" s="1003" t="str">
        <f>VLOOKUP(C1022,Lansekap!D:T,16,FALSE)</f>
        <v>Revisi</v>
      </c>
      <c r="G1022" s="12" t="str">
        <f>VLOOKUP(C1022,Lansekap!D:T,17,FALSE)</f>
        <v>Item Baru</v>
      </c>
      <c r="H1022" s="374"/>
      <c r="I1022" s="16"/>
    </row>
    <row r="1023" spans="2:9" ht="24" customHeight="1">
      <c r="B1023" s="1033" t="str">
        <f>Lansekap!C5524</f>
        <v>4.1.4.2.22</v>
      </c>
      <c r="C1023" s="12" t="str">
        <f>VLOOKUP(B1023,Lansekap!C:T,2,FALSE)</f>
        <v>Penanaman 1 m2 Semak, Ruelia / Kencana Ungu (Ruellia
Simplex), 16 Buah/m2, Polybag 11 L</v>
      </c>
      <c r="D1023" s="9" t="s">
        <v>62</v>
      </c>
      <c r="E1023" s="1021">
        <f>VLOOKUP(C1023,Lansekap!D:T,15,FALSE)</f>
        <v>12900</v>
      </c>
      <c r="F1023" s="1003" t="str">
        <f>VLOOKUP(C1023,Lansekap!D:T,16,FALSE)</f>
        <v>Revisi</v>
      </c>
      <c r="G1023" s="12" t="str">
        <f>VLOOKUP(C1023,Lansekap!D:T,17,FALSE)</f>
        <v>Item Baru</v>
      </c>
      <c r="H1023" s="374"/>
      <c r="I1023" s="16"/>
    </row>
    <row r="1024" spans="2:9" ht="24" customHeight="1">
      <c r="B1024" s="1033" t="str">
        <f>Lansekap!C5549</f>
        <v>4.1.4.2.23</v>
      </c>
      <c r="C1024" s="12" t="str">
        <f>VLOOKUP(B1024,Lansekap!C:T,2,FALSE)</f>
        <v>Penanaman 1 m2 Semak, Sansevieria/Lidah Mertua
(Sansevieria Trifasciata), 16 Buah/m2, Polybag 11 L</v>
      </c>
      <c r="D1024" s="9" t="s">
        <v>62</v>
      </c>
      <c r="E1024" s="1021">
        <f>VLOOKUP(C1024,Lansekap!D:T,15,FALSE)</f>
        <v>12900</v>
      </c>
      <c r="F1024" s="1003" t="str">
        <f>VLOOKUP(C1024,Lansekap!D:T,16,FALSE)</f>
        <v>Revisi</v>
      </c>
      <c r="G1024" s="12" t="str">
        <f>VLOOKUP(C1024,Lansekap!D:T,17,FALSE)</f>
        <v>Item Baru</v>
      </c>
      <c r="H1024" s="374"/>
      <c r="I1024" s="16"/>
    </row>
    <row r="1025" spans="1:9" ht="24" customHeight="1">
      <c r="B1025" s="1033" t="str">
        <f>Lansekap!C5574</f>
        <v>4.1.4.2.24</v>
      </c>
      <c r="C1025" s="12" t="str">
        <f>VLOOKUP(B1025,Lansekap!C:T,2,FALSE)</f>
        <v>Penanaman 1 m2 Semak, Soka (Ixora Coccinea), 16 Buah/m2, Polybag 11 L</v>
      </c>
      <c r="D1025" s="9" t="s">
        <v>62</v>
      </c>
      <c r="E1025" s="1021">
        <f>VLOOKUP(C1025,Lansekap!D:T,15,FALSE)</f>
        <v>12900</v>
      </c>
      <c r="F1025" s="1003" t="str">
        <f>VLOOKUP(C1025,Lansekap!D:T,16,FALSE)</f>
        <v>Revisi</v>
      </c>
      <c r="G1025" s="12" t="str">
        <f>VLOOKUP(C1025,Lansekap!D:T,17,FALSE)</f>
        <v>Item Baru</v>
      </c>
      <c r="H1025" s="374"/>
      <c r="I1025" s="16"/>
    </row>
    <row r="1026" spans="1:9" ht="24" customHeight="1">
      <c r="B1026" s="1033" t="str">
        <f>Lansekap!C5599</f>
        <v>4.1.4.2.25</v>
      </c>
      <c r="C1026" s="12" t="str">
        <f>VLOOKUP(B1026,Lansekap!C:T,2,FALSE)</f>
        <v>Penanaman 1 m2 Semak, Tabernae (Tabernaemontana Sp.), 16
Buah/m2, Polybag 11 L</v>
      </c>
      <c r="D1026" s="9" t="s">
        <v>62</v>
      </c>
      <c r="E1026" s="1021">
        <f>VLOOKUP(C1026,Lansekap!D:T,15,FALSE)</f>
        <v>12900</v>
      </c>
      <c r="F1026" s="1003" t="str">
        <f>VLOOKUP(C1026,Lansekap!D:T,16,FALSE)</f>
        <v>Revisi</v>
      </c>
      <c r="G1026" s="12" t="str">
        <f>VLOOKUP(C1026,Lansekap!D:T,17,FALSE)</f>
        <v>Item Baru</v>
      </c>
      <c r="H1026" s="374"/>
      <c r="I1026" s="16"/>
    </row>
    <row r="1027" spans="1:9" ht="24" customHeight="1">
      <c r="B1027" s="1033" t="str">
        <f>Lansekap!C5624</f>
        <v>4.1.4.2.26</v>
      </c>
      <c r="C1027" s="12" t="str">
        <f>VLOOKUP(B1027,Lansekap!C:T,2,FALSE)</f>
        <v>Penanaman 1 m2 Semak,Walisongo/Umbrella Tree (Schefflera
Arboricola), 16 Buah/m2,, Polybag 11 L</v>
      </c>
      <c r="D1027" s="9" t="s">
        <v>62</v>
      </c>
      <c r="E1027" s="1021">
        <f>VLOOKUP(C1027,Lansekap!D:T,15,FALSE)</f>
        <v>12900</v>
      </c>
      <c r="F1027" s="1003" t="str">
        <f>VLOOKUP(C1027,Lansekap!D:T,16,FALSE)</f>
        <v>Revisi</v>
      </c>
      <c r="G1027" s="12" t="str">
        <f>VLOOKUP(C1027,Lansekap!D:T,17,FALSE)</f>
        <v>Item Baru</v>
      </c>
      <c r="H1027" s="374"/>
      <c r="I1027" s="16"/>
    </row>
    <row r="1028" spans="1:9" s="1" customFormat="1" ht="24" customHeight="1">
      <c r="A1028" s="47"/>
      <c r="B1028" s="1041" t="str">
        <f>Lansekap!C5649</f>
        <v>4.1.4.3</v>
      </c>
      <c r="C1028" s="33" t="str">
        <f>VLOOKUP(B1028,Lansekap!C:T,2,FALSE)</f>
        <v>Semak, Polybag 20 L</v>
      </c>
      <c r="D1028" s="19"/>
      <c r="E1028" s="1021">
        <f>VLOOKUP(C1028,Lansekap!D:T,15,FALSE)</f>
        <v>0</v>
      </c>
      <c r="F1028" s="1003">
        <f>VLOOKUP(C1028,Lansekap!D:T,16,FALSE)</f>
        <v>0</v>
      </c>
      <c r="G1028" s="12">
        <f>VLOOKUP(C1028,Lansekap!D:T,17,FALSE)</f>
        <v>0</v>
      </c>
      <c r="H1028" s="1092"/>
      <c r="I1028" s="21"/>
    </row>
    <row r="1029" spans="1:9" ht="24" customHeight="1">
      <c r="B1029" s="1033" t="str">
        <f>Lansekap!C5650</f>
        <v>4.1.4.3.1</v>
      </c>
      <c r="C1029" s="12" t="str">
        <f>VLOOKUP(B1029,Lansekap!C:T,2,FALSE)</f>
        <v xml:space="preserve">Penanaman 1 m2 Semak, Agave/ Lidah Naga (Agave Americana), 23 Buah/m2, Polybag 20 L </v>
      </c>
      <c r="D1029" s="9" t="s">
        <v>62</v>
      </c>
      <c r="E1029" s="1021">
        <f>VLOOKUP(C1029,Lansekap!D:T,15,FALSE)</f>
        <v>12900</v>
      </c>
      <c r="F1029" s="1003" t="str">
        <f>VLOOKUP(C1029,Lansekap!D:T,16,FALSE)</f>
        <v>Revisi</v>
      </c>
      <c r="G1029" s="12" t="str">
        <f>VLOOKUP(C1029,Lansekap!D:T,17,FALSE)</f>
        <v>Item Baru</v>
      </c>
      <c r="H1029" s="374"/>
      <c r="I1029" s="16"/>
    </row>
    <row r="1030" spans="1:9" ht="24" customHeight="1">
      <c r="B1030" s="1033" t="str">
        <f>Lansekap!C5675</f>
        <v>4.1.4.3.2</v>
      </c>
      <c r="C1030" s="12" t="str">
        <f>VLOOKUP(B1030,Lansekap!C:T,2,FALSE)</f>
        <v xml:space="preserve">Penanaman 1 m2 Semak, Alamanda/Bunga Terompet Emas
(Allamanda Cathartica), 5 Buah/ m2, Polybag 20 L </v>
      </c>
      <c r="D1030" s="9" t="s">
        <v>62</v>
      </c>
      <c r="E1030" s="1021">
        <f>VLOOKUP(C1030,Lansekap!D:T,15,FALSE)</f>
        <v>12900</v>
      </c>
      <c r="F1030" s="1003" t="str">
        <f>VLOOKUP(C1030,Lansekap!D:T,16,FALSE)</f>
        <v>Revisi</v>
      </c>
      <c r="G1030" s="12" t="str">
        <f>VLOOKUP(C1030,Lansekap!D:T,17,FALSE)</f>
        <v>Item Baru</v>
      </c>
      <c r="H1030" s="374"/>
      <c r="I1030" s="16"/>
    </row>
    <row r="1031" spans="1:9" ht="24" customHeight="1">
      <c r="B1031" s="1033" t="str">
        <f>Lansekap!C5700</f>
        <v>4.1.4.3.3</v>
      </c>
      <c r="C1031" s="12" t="str">
        <f>VLOOKUP(B1031,Lansekap!C:T,2,FALSE)</f>
        <v xml:space="preserve">Penanaman 1 m2 Semak, Bakung Jawa (Crinum Asiaticum), 12
Buah/ m2, Polybag 20 L </v>
      </c>
      <c r="D1031" s="9" t="s">
        <v>62</v>
      </c>
      <c r="E1031" s="1021">
        <f>VLOOKUP(C1031,Lansekap!D:T,15,FALSE)</f>
        <v>12900</v>
      </c>
      <c r="F1031" s="1003" t="str">
        <f>VLOOKUP(C1031,Lansekap!D:T,16,FALSE)</f>
        <v>Revisi</v>
      </c>
      <c r="G1031" s="12" t="str">
        <f>VLOOKUP(C1031,Lansekap!D:T,17,FALSE)</f>
        <v>Item Baru</v>
      </c>
      <c r="H1031" s="374"/>
      <c r="I1031" s="16"/>
    </row>
    <row r="1032" spans="1:9" ht="24" customHeight="1">
      <c r="B1032" s="1033" t="str">
        <f>Lansekap!C5725</f>
        <v>4.1.4.3.4</v>
      </c>
      <c r="C1032" s="12" t="str">
        <f>VLOOKUP(B1032,Lansekap!C:T,2,FALSE)</f>
        <v xml:space="preserve">Penanaman 1 m2 Semak, Bromelia (Bromelia Sp.), 3 Buah/ m2,, Polybag 20 L </v>
      </c>
      <c r="D1032" s="9" t="s">
        <v>62</v>
      </c>
      <c r="E1032" s="1021">
        <f>VLOOKUP(C1032,Lansekap!D:T,15,FALSE)</f>
        <v>12900</v>
      </c>
      <c r="F1032" s="1003" t="str">
        <f>VLOOKUP(C1032,Lansekap!D:T,16,FALSE)</f>
        <v>Revisi</v>
      </c>
      <c r="G1032" s="12" t="str">
        <f>VLOOKUP(C1032,Lansekap!D:T,17,FALSE)</f>
        <v>Item Baru</v>
      </c>
      <c r="H1032" s="374"/>
      <c r="I1032" s="16"/>
    </row>
    <row r="1033" spans="1:9" ht="24" customHeight="1">
      <c r="B1033" s="1033" t="str">
        <f>Lansekap!C5750</f>
        <v>4.1.4.3.5</v>
      </c>
      <c r="C1033" s="12" t="str">
        <f>VLOOKUP(B1033,Lansekap!C:T,2,FALSE)</f>
        <v xml:space="preserve">Penanaman 1 m2 Semak, Bugenvil/Bunga Kertas (Bougenvillea
Sp), 12 Buah/ m2, Polybag 20 L </v>
      </c>
      <c r="D1033" s="9" t="s">
        <v>62</v>
      </c>
      <c r="E1033" s="1021">
        <f>VLOOKUP(C1033,Lansekap!D:T,15,FALSE)</f>
        <v>12900</v>
      </c>
      <c r="F1033" s="1003" t="str">
        <f>VLOOKUP(C1033,Lansekap!D:T,16,FALSE)</f>
        <v>Revisi</v>
      </c>
      <c r="G1033" s="12" t="str">
        <f>VLOOKUP(C1033,Lansekap!D:T,17,FALSE)</f>
        <v>Item Baru</v>
      </c>
      <c r="H1033" s="374"/>
      <c r="I1033" s="16"/>
    </row>
    <row r="1034" spans="1:9" ht="24" customHeight="1">
      <c r="B1034" s="1033" t="str">
        <f>Lansekap!C5775</f>
        <v>4.1.4.3.6</v>
      </c>
      <c r="C1034" s="12" t="str">
        <f>VLOOKUP(B1034,Lansekap!C:T,2,FALSE)</f>
        <v xml:space="preserve">Penanaman 1 m2 Semak, Bunga Terompet Kuning (Tecoma
Stans), 12 Buah/ m2, Polybag 20 L </v>
      </c>
      <c r="D1034" s="9" t="s">
        <v>62</v>
      </c>
      <c r="E1034" s="1021">
        <f>VLOOKUP(C1034,Lansekap!D:T,15,FALSE)</f>
        <v>12900</v>
      </c>
      <c r="F1034" s="1003" t="str">
        <f>VLOOKUP(C1034,Lansekap!D:T,16,FALSE)</f>
        <v>Revisi</v>
      </c>
      <c r="G1034" s="12" t="str">
        <f>VLOOKUP(C1034,Lansekap!D:T,17,FALSE)</f>
        <v>Item Baru</v>
      </c>
      <c r="H1034" s="374"/>
      <c r="I1034" s="16"/>
    </row>
    <row r="1035" spans="1:9" ht="24" customHeight="1">
      <c r="B1035" s="1033" t="str">
        <f>Lansekap!C5800</f>
        <v>4.1.4.3.7</v>
      </c>
      <c r="C1035" s="12" t="str">
        <f>VLOOKUP(B1035,Lansekap!C:T,2,FALSE)</f>
        <v xml:space="preserve">Penanaman 1 m2 Semak, Canna (Canna Indica), 12 Buah/ m2, Polybag 20 L </v>
      </c>
      <c r="D1035" s="9" t="s">
        <v>62</v>
      </c>
      <c r="E1035" s="1021">
        <f>VLOOKUP(C1035,Lansekap!D:T,15,FALSE)</f>
        <v>12900</v>
      </c>
      <c r="F1035" s="1003" t="str">
        <f>VLOOKUP(C1035,Lansekap!D:T,16,FALSE)</f>
        <v>Revisi</v>
      </c>
      <c r="G1035" s="12" t="str">
        <f>VLOOKUP(C1035,Lansekap!D:T,17,FALSE)</f>
        <v>Item Baru</v>
      </c>
      <c r="H1035" s="374"/>
      <c r="I1035" s="16"/>
    </row>
    <row r="1036" spans="1:9" ht="24" customHeight="1">
      <c r="B1036" s="1033" t="str">
        <f>Lansekap!C5825</f>
        <v>4.1.4.3.8</v>
      </c>
      <c r="C1036" s="12" t="str">
        <f>VLOOKUP(B1036,Lansekap!C:T,2,FALSE)</f>
        <v xml:space="preserve">Penanaman 1 m2 Semak, Dracaena ‘Song Of India’ (Dracaena
Reflexa "Song Of India"), 12 Buah/ m2,  Polybag 20 L </v>
      </c>
      <c r="D1036" s="9" t="s">
        <v>62</v>
      </c>
      <c r="E1036" s="1021">
        <f>VLOOKUP(C1036,Lansekap!D:T,15,FALSE)</f>
        <v>12900</v>
      </c>
      <c r="F1036" s="1003" t="str">
        <f>VLOOKUP(C1036,Lansekap!D:T,16,FALSE)</f>
        <v>Revisi</v>
      </c>
      <c r="G1036" s="12" t="str">
        <f>VLOOKUP(C1036,Lansekap!D:T,17,FALSE)</f>
        <v>Item Baru</v>
      </c>
      <c r="H1036" s="374"/>
      <c r="I1036" s="16"/>
    </row>
    <row r="1037" spans="1:9" ht="24" customHeight="1">
      <c r="B1037" s="1033" t="str">
        <f>Lansekap!C5850</f>
        <v>4.1.4.3.9</v>
      </c>
      <c r="C1037" s="12" t="str">
        <f>VLOOKUP(B1037,Lansekap!C:T,2,FALSE)</f>
        <v xml:space="preserve">Penanaman 1 m2 Semak, Dracaena 'Song Of Jamaica' (Dracaena
Reflexa "Song Of Jamaica"), 12 Buah/ m2,  Polybag 20 L </v>
      </c>
      <c r="D1037" s="9" t="s">
        <v>62</v>
      </c>
      <c r="E1037" s="1021">
        <f>VLOOKUP(C1037,Lansekap!D:T,15,FALSE)</f>
        <v>12900</v>
      </c>
      <c r="F1037" s="1003" t="str">
        <f>VLOOKUP(C1037,Lansekap!D:T,16,FALSE)</f>
        <v>Revisi</v>
      </c>
      <c r="G1037" s="12" t="str">
        <f>VLOOKUP(C1037,Lansekap!D:T,17,FALSE)</f>
        <v>Item Baru</v>
      </c>
      <c r="H1037" s="374"/>
      <c r="I1037" s="16"/>
    </row>
    <row r="1038" spans="1:9" ht="24" customHeight="1">
      <c r="B1038" s="1033" t="str">
        <f>Lansekap!C5875</f>
        <v>4.1.4.3.10</v>
      </c>
      <c r="C1038" s="12" t="str">
        <f>VLOOKUP(B1038,Lansekap!C:T,2,FALSE)</f>
        <v xml:space="preserve">Penanaman 1 m2 Semak, Helliconia (Heliconia Psittacorum),
12 Buah/ m2,,  Polybag 20 L </v>
      </c>
      <c r="D1038" s="9" t="s">
        <v>62</v>
      </c>
      <c r="E1038" s="1021">
        <f>VLOOKUP(C1038,Lansekap!D:T,15,FALSE)</f>
        <v>12900</v>
      </c>
      <c r="F1038" s="1003" t="str">
        <f>VLOOKUP(C1038,Lansekap!D:T,16,FALSE)</f>
        <v>Revisi</v>
      </c>
      <c r="G1038" s="12" t="str">
        <f>VLOOKUP(C1038,Lansekap!D:T,17,FALSE)</f>
        <v>Item Baru</v>
      </c>
      <c r="H1038" s="374"/>
      <c r="I1038" s="16"/>
    </row>
    <row r="1039" spans="1:9" ht="24" customHeight="1">
      <c r="B1039" s="1033" t="str">
        <f>Lansekap!C5900</f>
        <v>4.1.4.3.11</v>
      </c>
      <c r="C1039" s="12" t="str">
        <f>VLOOKUP(B1039,Lansekap!C:T,2,FALSE)</f>
        <v xml:space="preserve">Penanaman 1 m2 Semak, Honje/Kecombrang (Etlingera
Elatior), 12 Buah/ m2, Polybag 20 L </v>
      </c>
      <c r="D1039" s="9" t="s">
        <v>62</v>
      </c>
      <c r="E1039" s="1021">
        <f>VLOOKUP(C1039,Lansekap!D:T,15,FALSE)</f>
        <v>12900</v>
      </c>
      <c r="F1039" s="1003" t="str">
        <f>VLOOKUP(C1039,Lansekap!D:T,16,FALSE)</f>
        <v>Revisi</v>
      </c>
      <c r="G1039" s="12" t="str">
        <f>VLOOKUP(C1039,Lansekap!D:T,17,FALSE)</f>
        <v>Item Baru</v>
      </c>
      <c r="H1039" s="374"/>
      <c r="I1039" s="16"/>
    </row>
    <row r="1040" spans="1:9" ht="24" customHeight="1">
      <c r="B1040" s="1033" t="str">
        <f>Lansekap!C5925</f>
        <v>4.1.4.3.12</v>
      </c>
      <c r="C1040" s="12" t="str">
        <f>VLOOKUP(B1040,Lansekap!C:T,2,FALSE)</f>
        <v xml:space="preserve">Penanaman 1 m2 Semak, Hujan Mas (Galphimia Glauca), 12
Buah/ m2, Polybag 20 L </v>
      </c>
      <c r="D1040" s="9" t="s">
        <v>62</v>
      </c>
      <c r="E1040" s="1021">
        <f>VLOOKUP(C1040,Lansekap!D:T,15,FALSE)</f>
        <v>12900</v>
      </c>
      <c r="F1040" s="1003" t="str">
        <f>VLOOKUP(C1040,Lansekap!D:T,16,FALSE)</f>
        <v>Revisi</v>
      </c>
      <c r="G1040" s="12" t="str">
        <f>VLOOKUP(C1040,Lansekap!D:T,17,FALSE)</f>
        <v>Item Baru</v>
      </c>
      <c r="H1040" s="374"/>
      <c r="I1040" s="16"/>
    </row>
    <row r="1041" spans="1:9" ht="24" customHeight="1">
      <c r="B1041" s="1033" t="str">
        <f>Lansekap!C5950</f>
        <v>4.1.4.3.13</v>
      </c>
      <c r="C1041" s="12" t="str">
        <f>VLOOKUP(B1041,Lansekap!C:T,2,FALSE)</f>
        <v xml:space="preserve">Penanaman 1 m2 Semak, Kacapiring Wangi/Gardenia (Gardenia
Jasminoides), 12 Buah/ m2, Polybag 20 L </v>
      </c>
      <c r="D1041" s="9" t="s">
        <v>62</v>
      </c>
      <c r="E1041" s="1021">
        <f>VLOOKUP(C1041,Lansekap!D:T,15,FALSE)</f>
        <v>12900</v>
      </c>
      <c r="F1041" s="1003" t="str">
        <f>VLOOKUP(C1041,Lansekap!D:T,16,FALSE)</f>
        <v>Revisi</v>
      </c>
      <c r="G1041" s="12" t="str">
        <f>VLOOKUP(C1041,Lansekap!D:T,17,FALSE)</f>
        <v>Item Baru</v>
      </c>
      <c r="H1041" s="374"/>
      <c r="I1041" s="16"/>
    </row>
    <row r="1042" spans="1:9" ht="24" customHeight="1">
      <c r="B1042" s="1033" t="str">
        <f>Lansekap!C5975</f>
        <v>4.1.4.3.14</v>
      </c>
      <c r="C1042" s="12" t="str">
        <f>VLOOKUP(B1042,Lansekap!C:T,2,FALSE)</f>
        <v xml:space="preserve">Penanaman 1 m2 Semak, Kembang Sepatu (Hibiscus Rosa-
Sinensis), 12 Buah/ m2,, Polybag 20 L </v>
      </c>
      <c r="D1042" s="9" t="s">
        <v>62</v>
      </c>
      <c r="E1042" s="1021">
        <f>VLOOKUP(C1042,Lansekap!D:T,15,FALSE)</f>
        <v>12900</v>
      </c>
      <c r="F1042" s="1003" t="str">
        <f>VLOOKUP(C1042,Lansekap!D:T,16,FALSE)</f>
        <v>Revisi</v>
      </c>
      <c r="G1042" s="12" t="str">
        <f>VLOOKUP(C1042,Lansekap!D:T,17,FALSE)</f>
        <v>Item Baru</v>
      </c>
      <c r="H1042" s="374"/>
      <c r="I1042" s="16"/>
    </row>
    <row r="1043" spans="1:9" ht="24" customHeight="1">
      <c r="B1043" s="1033" t="str">
        <f>Lansekap!C6000</f>
        <v>4.1.4.3.15</v>
      </c>
      <c r="C1043" s="12" t="str">
        <f>VLOOKUP(B1043,Lansekap!C:T,2,FALSE)</f>
        <v xml:space="preserve">Penanaman 1 m2 Semak, Oleander/Bunga Mentega (Nerium
Oleander), 12 Buah/ m2, Polybag 20 L </v>
      </c>
      <c r="D1043" s="9" t="s">
        <v>62</v>
      </c>
      <c r="E1043" s="1021">
        <f>VLOOKUP(C1043,Lansekap!D:T,15,FALSE)</f>
        <v>12900</v>
      </c>
      <c r="F1043" s="1003" t="str">
        <f>VLOOKUP(C1043,Lansekap!D:T,16,FALSE)</f>
        <v>Revisi</v>
      </c>
      <c r="G1043" s="12" t="str">
        <f>VLOOKUP(C1043,Lansekap!D:T,17,FALSE)</f>
        <v>Item Baru</v>
      </c>
      <c r="H1043" s="374"/>
      <c r="I1043" s="16"/>
    </row>
    <row r="1044" spans="1:9" ht="24" customHeight="1">
      <c r="B1044" s="1033" t="str">
        <f>Lansekap!C6025</f>
        <v>4.1.4.3.16</v>
      </c>
      <c r="C1044" s="12" t="str">
        <f>VLOOKUP(B1044,Lansekap!C:T,2,FALSE)</f>
        <v xml:space="preserve">Penanaman 1 m2 Semak, Penda Emas (Xanthostemon
Chrysanthus), 12 Buah/ m2, Polybag 20 L </v>
      </c>
      <c r="D1044" s="9" t="s">
        <v>62</v>
      </c>
      <c r="E1044" s="1021">
        <f>VLOOKUP(C1044,Lansekap!D:T,15,FALSE)</f>
        <v>12900</v>
      </c>
      <c r="F1044" s="1003" t="str">
        <f>VLOOKUP(C1044,Lansekap!D:T,16,FALSE)</f>
        <v>Revisi</v>
      </c>
      <c r="G1044" s="12" t="str">
        <f>VLOOKUP(C1044,Lansekap!D:T,17,FALSE)</f>
        <v>Item Baru</v>
      </c>
      <c r="H1044" s="374"/>
      <c r="I1044" s="16"/>
    </row>
    <row r="1045" spans="1:9" ht="24" customHeight="1">
      <c r="B1045" s="1033" t="str">
        <f>Lansekap!C6050</f>
        <v>4.1.4.3.17</v>
      </c>
      <c r="C1045" s="12" t="str">
        <f>VLOOKUP(B1045,Lansekap!C:T,2,FALSE)</f>
        <v xml:space="preserve">Penanaman 1 m2 Semak,Puring (Codiaeum Variegatum), 12
Buah/ m2, Polybag 20 L </v>
      </c>
      <c r="D1045" s="9" t="s">
        <v>62</v>
      </c>
      <c r="E1045" s="1021">
        <f>VLOOKUP(C1045,Lansekap!D:T,15,FALSE)</f>
        <v>12900</v>
      </c>
      <c r="F1045" s="1003" t="str">
        <f>VLOOKUP(C1045,Lansekap!D:T,16,FALSE)</f>
        <v>Revisi</v>
      </c>
      <c r="G1045" s="12" t="str">
        <f>VLOOKUP(C1045,Lansekap!D:T,17,FALSE)</f>
        <v>Item Baru</v>
      </c>
      <c r="H1045" s="374"/>
      <c r="I1045" s="16"/>
    </row>
    <row r="1046" spans="1:9" ht="24" customHeight="1">
      <c r="B1046" s="1033" t="str">
        <f>Lansekap!C6075</f>
        <v>4.1.4.3.18</v>
      </c>
      <c r="C1046" s="12" t="str">
        <f>VLOOKUP(B1046,Lansekap!C:T,2,FALSE)</f>
        <v xml:space="preserve">Penanaman 1 m2 Semak, Tabernac (Tabernaemontana Sp. ), 12
Buah/ m2, Polybag 20 L </v>
      </c>
      <c r="D1046" s="9" t="s">
        <v>62</v>
      </c>
      <c r="E1046" s="1021">
        <f>VLOOKUP(C1046,Lansekap!D:T,15,FALSE)</f>
        <v>12900</v>
      </c>
      <c r="F1046" s="1003" t="str">
        <f>VLOOKUP(C1046,Lansekap!D:T,16,FALSE)</f>
        <v>Revisi</v>
      </c>
      <c r="G1046" s="12" t="str">
        <f>VLOOKUP(C1046,Lansekap!D:T,17,FALSE)</f>
        <v>Item Baru</v>
      </c>
      <c r="H1046" s="374"/>
      <c r="I1046" s="16"/>
    </row>
    <row r="1047" spans="1:9" ht="24" customHeight="1">
      <c r="B1047" s="1033" t="str">
        <f>Lansekap!C6100</f>
        <v>4.1.4.3.19</v>
      </c>
      <c r="C1047" s="12" t="str">
        <f>VLOOKUP(B1047,Lansekap!C:T,2,FALSE)</f>
        <v xml:space="preserve">Penanaman 1 m2 SemakWalisongo/Umbrella Tree (Schefflera
Arboricola), 12 Buah/ m2, Polybag 20 L </v>
      </c>
      <c r="D1047" s="9" t="s">
        <v>62</v>
      </c>
      <c r="E1047" s="1021">
        <f>VLOOKUP(C1047,Lansekap!D:T,15,FALSE)</f>
        <v>12900</v>
      </c>
      <c r="F1047" s="1003" t="str">
        <f>VLOOKUP(C1047,Lansekap!D:T,16,FALSE)</f>
        <v>Revisi</v>
      </c>
      <c r="G1047" s="12" t="str">
        <f>VLOOKUP(C1047,Lansekap!D:T,17,FALSE)</f>
        <v>Item Baru</v>
      </c>
      <c r="H1047" s="374"/>
      <c r="I1047" s="16"/>
    </row>
    <row r="1048" spans="1:9" s="1" customFormat="1" ht="24" customHeight="1">
      <c r="A1048" s="47"/>
      <c r="B1048" s="1043" t="str">
        <f>Lansekap!C6125</f>
        <v xml:space="preserve">4.1.5 </v>
      </c>
      <c r="C1048" s="986" t="str">
        <f>VLOOKUP(B1048,Lansekap!C:T,2,FALSE)</f>
        <v>Penanaman Penutup Tanah (Ground Cover)</v>
      </c>
      <c r="D1048" s="994"/>
      <c r="E1048" s="1022">
        <f>VLOOKUP(C1048,Lansekap!D:T,15,FALSE)</f>
        <v>0</v>
      </c>
      <c r="F1048" s="1004">
        <f>VLOOKUP(C1048,Lansekap!D:T,16,FALSE)</f>
        <v>0</v>
      </c>
      <c r="G1048" s="36">
        <f>VLOOKUP(C1048,Lansekap!D:T,17,FALSE)</f>
        <v>0</v>
      </c>
      <c r="H1048" s="1092"/>
      <c r="I1048" s="21"/>
    </row>
    <row r="1049" spans="1:9" ht="24" customHeight="1">
      <c r="B1049" s="1033" t="str">
        <f>Lansekap!C6126</f>
        <v>4.1.5.1</v>
      </c>
      <c r="C1049" s="12" t="str">
        <f>VLOOKUP(B1049,Lansekap!C:T,2,FALSE)</f>
        <v xml:space="preserve">Penanaman 1 m2 Penutup Tanah, Kacang Hias (Arachis Pintoi) 50 Buah / m2, Polybag 0,5 L </v>
      </c>
      <c r="D1049" s="9" t="s">
        <v>62</v>
      </c>
      <c r="E1049" s="1021">
        <f>VLOOKUP(C1049,Lansekap!D:T,15,FALSE)</f>
        <v>10900</v>
      </c>
      <c r="F1049" s="1003" t="str">
        <f>VLOOKUP(C1049,Lansekap!D:T,16,FALSE)</f>
        <v>Revisi</v>
      </c>
      <c r="G1049" s="12" t="str">
        <f>VLOOKUP(C1049,Lansekap!D:T,17,FALSE)</f>
        <v xml:space="preserve">Perubahan di judul buah/m2 , panambahan tenaga kerja, koefisien Bahan </v>
      </c>
      <c r="H1049" s="374"/>
      <c r="I1049" s="16"/>
    </row>
    <row r="1050" spans="1:9" ht="24" customHeight="1">
      <c r="B1050" s="1033" t="str">
        <f>Lansekap!C6151</f>
        <v>4.1.5.2</v>
      </c>
      <c r="C1050" s="12" t="str">
        <f>VLOOKUP(B1050,Lansekap!C:T,2,FALSE)</f>
        <v xml:space="preserve">Penanaman 1 m2 Penutup Tanah, Widelia (Wedelia Trilobata), 50
Buah/ m2, Polybag 0,5 L </v>
      </c>
      <c r="D1050" s="9" t="s">
        <v>62</v>
      </c>
      <c r="E1050" s="1021">
        <f>VLOOKUP(C1050,Lansekap!D:T,15,FALSE)</f>
        <v>10900</v>
      </c>
      <c r="F1050" s="1003" t="str">
        <f>VLOOKUP(C1050,Lansekap!D:T,16,FALSE)</f>
        <v>Revisi</v>
      </c>
      <c r="G1050" s="12" t="str">
        <f>VLOOKUP(C1050,Lansekap!D:T,17,FALSE)</f>
        <v>Item Baru</v>
      </c>
      <c r="H1050" s="374"/>
      <c r="I1050" s="16"/>
    </row>
    <row r="1051" spans="1:9" ht="24" customHeight="1">
      <c r="B1051" s="1033" t="str">
        <f>Lansekap!C6176</f>
        <v>4.1.5.3</v>
      </c>
      <c r="C1051" s="12" t="str">
        <f>VLOOKUP(B1051,Lansekap!C:T,2,FALSE)</f>
        <v xml:space="preserve">Penanaman 1 m2 Penutup Tanah, Sutra Bombay (Portulaca Sp.),
50 Buah/ m2, Polybag 0,5 L </v>
      </c>
      <c r="D1051" s="9" t="s">
        <v>62</v>
      </c>
      <c r="E1051" s="1021">
        <f>VLOOKUP(C1051,Lansekap!D:T,15,FALSE)</f>
        <v>10900</v>
      </c>
      <c r="F1051" s="1003" t="str">
        <f>VLOOKUP(C1051,Lansekap!D:T,16,FALSE)</f>
        <v>Revisi</v>
      </c>
      <c r="G1051" s="12" t="str">
        <f>VLOOKUP(C1051,Lansekap!D:T,17,FALSE)</f>
        <v xml:space="preserve">Item Baru </v>
      </c>
      <c r="H1051" s="374"/>
      <c r="I1051" s="16"/>
    </row>
    <row r="1052" spans="1:9" ht="24" customHeight="1">
      <c r="B1052" s="1033" t="str">
        <f>Lansekap!C6201</f>
        <v>4.1.5.4</v>
      </c>
      <c r="C1052" s="12" t="str">
        <f>VLOOKUP(B1052,Lansekap!C:T,2,FALSE)</f>
        <v xml:space="preserve">Penanaman 1 m2 Penutup Tanah, Lantana (Lantana Camara), 50
Buah/ m2, Polybag 0,5 L </v>
      </c>
      <c r="D1052" s="9" t="s">
        <v>62</v>
      </c>
      <c r="E1052" s="1021">
        <f>VLOOKUP(C1052,Lansekap!D:T,15,FALSE)</f>
        <v>10900</v>
      </c>
      <c r="F1052" s="1003" t="str">
        <f>VLOOKUP(C1052,Lansekap!D:T,16,FALSE)</f>
        <v>Revisi</v>
      </c>
      <c r="G1052" s="12" t="str">
        <f>VLOOKUP(C1052,Lansekap!D:T,17,FALSE)</f>
        <v xml:space="preserve">Item Baru </v>
      </c>
      <c r="H1052" s="374"/>
      <c r="I1052" s="16"/>
    </row>
    <row r="1053" spans="1:9" ht="24" customHeight="1">
      <c r="B1053" s="1033" t="str">
        <f>Lansekap!C6226</f>
        <v>4.1.5.5</v>
      </c>
      <c r="C1053" s="12" t="str">
        <f>VLOOKUP(B1053,Lansekap!C:T,2,FALSE)</f>
        <v xml:space="preserve">Penanaman 1 m2 Penutup Tanah,Kucai Mini (Ophiopogon
Japonicus), 50 Buah/ m2, Polybag 0,5 L </v>
      </c>
      <c r="D1053" s="9" t="s">
        <v>62</v>
      </c>
      <c r="E1053" s="1021">
        <f>VLOOKUP(C1053,Lansekap!D:T,15,FALSE)</f>
        <v>10900</v>
      </c>
      <c r="F1053" s="1003" t="str">
        <f>VLOOKUP(C1053,Lansekap!D:T,16,FALSE)</f>
        <v>Revisi</v>
      </c>
      <c r="G1053" s="12" t="str">
        <f>VLOOKUP(C1053,Lansekap!D:T,17,FALSE)</f>
        <v xml:space="preserve">Item Baru </v>
      </c>
      <c r="H1053" s="374"/>
      <c r="I1053" s="16"/>
    </row>
    <row r="1054" spans="1:9" s="1" customFormat="1" ht="24" customHeight="1">
      <c r="A1054" s="47"/>
      <c r="B1054" s="1043" t="str">
        <f>Lansekap!C6251</f>
        <v xml:space="preserve">4.1.6 </v>
      </c>
      <c r="C1054" s="986" t="str">
        <f>VLOOKUP(B1054,Lansekap!C:T,2,FALSE)</f>
        <v xml:space="preserve">Penanaman Rumput </v>
      </c>
      <c r="D1054" s="994"/>
      <c r="E1054" s="1022">
        <f>VLOOKUP(C1054,Lansekap!D:T,15,FALSE)</f>
        <v>0</v>
      </c>
      <c r="F1054" s="1004">
        <f>VLOOKUP(C1054,Lansekap!D:T,16,FALSE)</f>
        <v>0</v>
      </c>
      <c r="G1054" s="36">
        <f>VLOOKUP(C1054,Lansekap!D:T,17,FALSE)</f>
        <v>0</v>
      </c>
      <c r="H1054" s="1092"/>
      <c r="I1054" s="21"/>
    </row>
    <row r="1055" spans="1:9" ht="24" customHeight="1">
      <c r="B1055" s="1033" t="str">
        <f>Lansekap!C6252</f>
        <v>4.1.6.1</v>
      </c>
      <c r="C1055" s="12" t="str">
        <f>VLOOKUP(B1055,Lansekap!C:T,2,FALSE)</f>
        <v>Penanaman 1 m2 Rumput,Rumput Gajah (Pennisetum Purpureum)</v>
      </c>
      <c r="D1055" s="9" t="s">
        <v>62</v>
      </c>
      <c r="E1055" s="1021">
        <f>VLOOKUP(C1055,Lansekap!D:T,15,FALSE)</f>
        <v>7300</v>
      </c>
      <c r="F1055" s="1003" t="str">
        <f>VLOOKUP(C1055,Lansekap!D:T,16,FALSE)</f>
        <v>Revisi</v>
      </c>
      <c r="G1055" s="12" t="str">
        <f>VLOOKUP(C1055,Lansekap!D:T,17,FALSE)</f>
        <v xml:space="preserve">Perubahan Judul, penambahan tenaga kerja </v>
      </c>
      <c r="H1055" s="374"/>
      <c r="I1055" s="16"/>
    </row>
    <row r="1056" spans="1:9" ht="24" customHeight="1">
      <c r="B1056" s="1033" t="str">
        <f>Lansekap!C6276</f>
        <v>4.1.6.2</v>
      </c>
      <c r="C1056" s="12" t="str">
        <f>VLOOKUP(B1056,Lansekap!C:T,2,FALSE)</f>
        <v>Penanaman 1 m2 Rumput,Rumput Gajah Mini (Axonopus
Compressus)</v>
      </c>
      <c r="D1056" s="9" t="s">
        <v>62</v>
      </c>
      <c r="E1056" s="1021">
        <f>VLOOKUP(C1056,Lansekap!D:T,15,FALSE)</f>
        <v>7300</v>
      </c>
      <c r="F1056" s="1003" t="str">
        <f>VLOOKUP(C1056,Lansekap!D:T,16,FALSE)</f>
        <v>Revisi</v>
      </c>
      <c r="G1056" s="12" t="str">
        <f>VLOOKUP(C1056,Lansekap!D:T,17,FALSE)</f>
        <v>Item Baru</v>
      </c>
      <c r="H1056" s="374"/>
      <c r="I1056" s="16"/>
    </row>
    <row r="1057" spans="1:9" ht="24" customHeight="1">
      <c r="B1057" s="1033" t="str">
        <f>Lansekap!C6300</f>
        <v>4.1.6.3</v>
      </c>
      <c r="C1057" s="12" t="str">
        <f>VLOOKUP(B1057,Lansekap!C:T,2,FALSE)</f>
        <v>Penanaman 1 m2 Rumput,Rumput Peking (Agrostis Stolonifera)</v>
      </c>
      <c r="D1057" s="9" t="s">
        <v>62</v>
      </c>
      <c r="E1057" s="1021">
        <f>VLOOKUP(C1057,Lansekap!D:T,15,FALSE)</f>
        <v>7300</v>
      </c>
      <c r="F1057" s="1003" t="str">
        <f>VLOOKUP(C1057,Lansekap!D:T,16,FALSE)</f>
        <v>Revisi</v>
      </c>
      <c r="G1057" s="12" t="str">
        <f>VLOOKUP(C1057,Lansekap!D:T,17,FALSE)</f>
        <v>Item Baru</v>
      </c>
      <c r="H1057" s="374"/>
      <c r="I1057" s="16"/>
    </row>
    <row r="1058" spans="1:9" ht="24" customHeight="1">
      <c r="B1058" s="1033" t="str">
        <f>Lansekap!C6324</f>
        <v>4.1.6.4</v>
      </c>
      <c r="C1058" s="12" t="str">
        <f>VLOOKUP(B1058,Lansekap!C:T,2,FALSE)</f>
        <v>Penanaman 1 m2 Rumput, Rumput Embun (Bothriochloa Pertusa)</v>
      </c>
      <c r="D1058" s="9" t="s">
        <v>62</v>
      </c>
      <c r="E1058" s="1021">
        <f>VLOOKUP(C1058,Lansekap!D:T,15,FALSE)</f>
        <v>7300</v>
      </c>
      <c r="F1058" s="1003" t="str">
        <f>VLOOKUP(C1058,Lansekap!D:T,16,FALSE)</f>
        <v>Revisi</v>
      </c>
      <c r="G1058" s="12" t="str">
        <f>VLOOKUP(C1058,Lansekap!D:T,17,FALSE)</f>
        <v>Item Baru</v>
      </c>
      <c r="H1058" s="374"/>
      <c r="I1058" s="16"/>
    </row>
    <row r="1059" spans="1:9" s="1" customFormat="1" ht="24" customHeight="1">
      <c r="A1059" s="47"/>
      <c r="B1059" s="1043" t="str">
        <f>Lansekap!C6348</f>
        <v>4.1.7</v>
      </c>
      <c r="C1059" s="986" t="str">
        <f>VLOOKUP(B1059,Lansekap!C:T,2,FALSE)</f>
        <v xml:space="preserve">Penanaman pada Lahan Miring/Kelerengan </v>
      </c>
      <c r="D1059" s="994"/>
      <c r="E1059" s="1022">
        <f>VLOOKUP(C1059,Lansekap!D:T,15,FALSE)</f>
        <v>0</v>
      </c>
      <c r="F1059" s="1004">
        <f>VLOOKUP(C1059,Lansekap!D:T,16,FALSE)</f>
        <v>0</v>
      </c>
      <c r="G1059" s="36">
        <f>VLOOKUP(C1059,Lansekap!D:T,17,FALSE)</f>
        <v>0</v>
      </c>
      <c r="H1059" s="1092"/>
      <c r="I1059" s="21"/>
    </row>
    <row r="1060" spans="1:9" ht="24" customHeight="1">
      <c r="B1060" s="1033" t="str">
        <f>Lansekap!C6349</f>
        <v>4.1.7.1</v>
      </c>
      <c r="C1060" s="12" t="str">
        <f>VLOOKUP(B1060,Lansekap!C:T,2,FALSE)</f>
        <v>Penanaman pada Lereng Tanah 1:2 (13-26,5° ), Metode Hydroseeding per m2 permukaan lereng ( Menggunakan Jenis Biji Rumput)</v>
      </c>
      <c r="D1060" s="9" t="s">
        <v>62</v>
      </c>
      <c r="E1060" s="1021">
        <f>VLOOKUP(C1060,Lansekap!D:T,15,FALSE)</f>
        <v>1700</v>
      </c>
      <c r="F1060" s="1003" t="str">
        <f>VLOOKUP(C1060,Lansekap!D:T,16,FALSE)</f>
        <v>Revisi</v>
      </c>
      <c r="G1060" s="12" t="str">
        <f>VLOOKUP(C1060,Lansekap!D:T,17,FALSE)</f>
        <v xml:space="preserve">Perubahan judul dan penambahan Tenaga Kerja </v>
      </c>
      <c r="H1060" s="374"/>
      <c r="I1060" s="16"/>
    </row>
    <row r="1061" spans="1:9" ht="24" customHeight="1">
      <c r="B1061" s="1033" t="str">
        <f>Lansekap!C6377</f>
        <v>4.1.7.2</v>
      </c>
      <c r="C1061" s="12" t="str">
        <f>VLOOKUP(B1061,Lansekap!C:T,2,FALSE)</f>
        <v>Penanaman pada Lereng Tanah 1:2 (13°-26.5°), Metode Taplok per
m2 Permukaan Lereng (Menggunakan Jenis Biji Rumput)</v>
      </c>
      <c r="D1061" s="9" t="s">
        <v>62</v>
      </c>
      <c r="E1061" s="1021">
        <f>VLOOKUP(C1061,Lansekap!D:T,15,FALSE)</f>
        <v>16900</v>
      </c>
      <c r="F1061" s="1003" t="str">
        <f>VLOOKUP(C1061,Lansekap!D:T,16,FALSE)</f>
        <v>Revisi</v>
      </c>
      <c r="G1061" s="12" t="str">
        <f>VLOOKUP(C1061,Lansekap!D:T,17,FALSE)</f>
        <v xml:space="preserve">Perubaha penambahan tenaga kerja </v>
      </c>
      <c r="H1061" s="374"/>
      <c r="I1061" s="16"/>
    </row>
    <row r="1062" spans="1:9" ht="24" customHeight="1">
      <c r="B1062" s="1033" t="str">
        <f>Lansekap!C6404</f>
        <v>4.1.7.3</v>
      </c>
      <c r="C1062" s="12" t="str">
        <f>VLOOKUP(B1062,Lansekap!C:T,2,FALSE)</f>
        <v>Penanaman pada Lereng Tanah 1:1 (26.5°-45°), Metode
Hydroseeding per m2 Permukaan Lereng (Menggunakan Jenis Biji
Rumput)</v>
      </c>
      <c r="D1062" s="9" t="s">
        <v>62</v>
      </c>
      <c r="E1062" s="1021">
        <f>VLOOKUP(C1062,Lansekap!D:T,15,FALSE)</f>
        <v>1900</v>
      </c>
      <c r="F1062" s="1003" t="str">
        <f>VLOOKUP(C1062,Lansekap!D:T,16,FALSE)</f>
        <v>Revisi</v>
      </c>
      <c r="G1062" s="12" t="str">
        <f>VLOOKUP(C1062,Lansekap!D:T,17,FALSE)</f>
        <v xml:space="preserve">Perubahan judul dan penambahan Tenaga Kerja </v>
      </c>
      <c r="H1062" s="374"/>
      <c r="I1062" s="16"/>
    </row>
    <row r="1063" spans="1:9" ht="24" customHeight="1">
      <c r="B1063" s="1033" t="str">
        <f>Lansekap!C6432</f>
        <v>4.1.7.4</v>
      </c>
      <c r="C1063" s="12" t="str">
        <f>VLOOKUP(B1063,Lansekap!C:T,2,FALSE)</f>
        <v>Penanaman pada Lereng Tanah 1:1 (26.5°-45°), Metode Taplok per
m2 Permukaan Lereng (Menggunakan Jenis Biji Rumput</v>
      </c>
      <c r="D1063" s="9" t="s">
        <v>62</v>
      </c>
      <c r="E1063" s="1021">
        <f>VLOOKUP(C1063,Lansekap!D:T,15,FALSE)</f>
        <v>14700</v>
      </c>
      <c r="F1063" s="1003" t="str">
        <f>VLOOKUP(C1063,Lansekap!D:T,16,FALSE)</f>
        <v>Revisi</v>
      </c>
      <c r="G1063" s="12" t="str">
        <f>VLOOKUP(C1063,Lansekap!D:T,17,FALSE)</f>
        <v xml:space="preserve">Perubaha penambahan tenaga kerja </v>
      </c>
      <c r="H1063" s="374"/>
      <c r="I1063" s="16"/>
    </row>
    <row r="1064" spans="1:9" ht="24" customHeight="1">
      <c r="B1064" s="1033" t="str">
        <f>Lansekap!C6459</f>
        <v>4.1.7.5</v>
      </c>
      <c r="C1064" s="12" t="str">
        <f>VLOOKUP(B1064,Lansekap!C:T,2,FALSE)</f>
        <v>Penanaman pada Lereng Tanah dan/atau Kombinasi Tanah dan
Batuan 1:0.5 (45°-63°), Metode Hydroseeding per m2 Permukaan
Lereng (Menggunakan Jenis Biji Rumput)</v>
      </c>
      <c r="D1064" s="9" t="s">
        <v>62</v>
      </c>
      <c r="E1064" s="1021">
        <f>VLOOKUP(C1064,Lansekap!D:T,15,FALSE)</f>
        <v>3400</v>
      </c>
      <c r="F1064" s="1003" t="str">
        <f>VLOOKUP(C1064,Lansekap!D:T,16,FALSE)</f>
        <v>Revisi</v>
      </c>
      <c r="G1064" s="12" t="str">
        <f>VLOOKUP(C1064,Lansekap!D:T,17,FALSE)</f>
        <v xml:space="preserve">Perubahan judul dan penambahan Tenaga Kerja </v>
      </c>
      <c r="H1064" s="374"/>
      <c r="I1064" s="16"/>
    </row>
    <row r="1065" spans="1:9" ht="24" customHeight="1">
      <c r="B1065" s="1033" t="str">
        <f>Lansekap!C6487</f>
        <v>4.1.7.6</v>
      </c>
      <c r="C1065" s="12" t="str">
        <f>VLOOKUP(B1065,Lansekap!C:T,2,FALSE)</f>
        <v>Penanaman pada Lereng Tanah dan/atau Kombinasi Tanah dan
Batuan 1:0.5 (45°-63°), Metode Taplok per m2 Permukaan Lereng
(Menggunakan Jenis Biji Rumput</v>
      </c>
      <c r="D1065" s="9" t="s">
        <v>62</v>
      </c>
      <c r="E1065" s="1021">
        <f>VLOOKUP(C1065,Lansekap!D:T,15,FALSE)</f>
        <v>64000</v>
      </c>
      <c r="F1065" s="1003" t="str">
        <f>VLOOKUP(C1065,Lansekap!D:T,16,FALSE)</f>
        <v>Revisi</v>
      </c>
      <c r="G1065" s="12" t="str">
        <f>VLOOKUP(C1065,Lansekap!D:T,17,FALSE)</f>
        <v xml:space="preserve">Perubaha penambahan tenaga kerja </v>
      </c>
      <c r="H1065" s="374"/>
      <c r="I1065" s="16"/>
    </row>
    <row r="1066" spans="1:9" ht="24" customHeight="1">
      <c r="B1066" s="1033" t="str">
        <f>Lansekap!C6514</f>
        <v>4.1.7.7</v>
      </c>
      <c r="C1066" s="12" t="str">
        <f>VLOOKUP(B1066,Lansekap!C:T,2,FALSE)</f>
        <v>Penanaman pada Lereng Tanah 1:2 (13°-26.5°), Metode
Hydroseeding per m2 Permukaan Lereng (Menggunakan Jenis Biji
Legume Crop Cover/LCC)</v>
      </c>
      <c r="D1066" s="9" t="s">
        <v>62</v>
      </c>
      <c r="E1066" s="1021">
        <f>VLOOKUP(C1066,Lansekap!D:T,15,FALSE)</f>
        <v>1700</v>
      </c>
      <c r="F1066" s="1003" t="str">
        <f>VLOOKUP(C1066,Lansekap!D:T,16,FALSE)</f>
        <v>Revisi</v>
      </c>
      <c r="G1066" s="12" t="str">
        <f>VLOOKUP(C1066,Lansekap!D:T,17,FALSE)</f>
        <v xml:space="preserve">Perubahan judul dan penambahan Tenaga Kerja </v>
      </c>
      <c r="H1066" s="374"/>
      <c r="I1066" s="16"/>
    </row>
    <row r="1067" spans="1:9" ht="24" customHeight="1">
      <c r="B1067" s="1033" t="str">
        <f>Lansekap!C6542</f>
        <v>4.1.7.8</v>
      </c>
      <c r="C1067" s="12" t="str">
        <f>VLOOKUP(B1067,Lansekap!C:T,2,FALSE)</f>
        <v>Penanaman pada Lereng Tanah 1:2 (13°-26.5°), Metode Taplok per
m2 Permukaan Lereng (Menggunakan Jenis Biji Legume Crop
Cover/LCC)</v>
      </c>
      <c r="D1067" s="9" t="s">
        <v>62</v>
      </c>
      <c r="E1067" s="1021">
        <f>VLOOKUP(C1067,Lansekap!D:T,15,FALSE)</f>
        <v>16900</v>
      </c>
      <c r="F1067" s="1003" t="str">
        <f>VLOOKUP(C1067,Lansekap!D:T,16,FALSE)</f>
        <v>Revisi</v>
      </c>
      <c r="G1067" s="12" t="str">
        <f>VLOOKUP(C1067,Lansekap!D:T,17,FALSE)</f>
        <v xml:space="preserve">Perubaha penambahan tenaga kerja </v>
      </c>
      <c r="H1067" s="374"/>
      <c r="I1067" s="16"/>
    </row>
    <row r="1068" spans="1:9" ht="24" customHeight="1">
      <c r="B1068" s="1033" t="str">
        <f>Lansekap!C6569</f>
        <v>4.1.7.9</v>
      </c>
      <c r="C1068" s="12" t="str">
        <f>VLOOKUP(B1068,Lansekap!C:T,2,FALSE)</f>
        <v>Penanaman pada Lereng Tanah 1:1 (26.5°-45°), Metode
Hydroseeding per m2 Permukaan Lereng (Menggunakan Jenis Biji
Legume Crop Cover/LCC)</v>
      </c>
      <c r="D1068" s="9" t="s">
        <v>62</v>
      </c>
      <c r="E1068" s="1021">
        <f>VLOOKUP(C1068,Lansekap!D:T,15,FALSE)</f>
        <v>1900</v>
      </c>
      <c r="F1068" s="1003" t="str">
        <f>VLOOKUP(C1068,Lansekap!D:T,16,FALSE)</f>
        <v>Revisi</v>
      </c>
      <c r="G1068" s="12" t="str">
        <f>VLOOKUP(C1068,Lansekap!D:T,17,FALSE)</f>
        <v xml:space="preserve">Perubahan judul dan penambahan Tenaga Kerja </v>
      </c>
      <c r="H1068" s="374"/>
      <c r="I1068" s="16"/>
    </row>
    <row r="1069" spans="1:9" ht="24" customHeight="1">
      <c r="B1069" s="1033" t="str">
        <f>Lansekap!C6597</f>
        <v>4.1.7.10</v>
      </c>
      <c r="C1069" s="12" t="str">
        <f>VLOOKUP(B1069,Lansekap!C:T,2,FALSE)</f>
        <v>Penanaman Pada Lereng Tanah 1:1 (26.5°-45°), Metode Taplok per
m2 Permukaan Lereng (Menggunakan Jenis Biji Legume Crop
Cover/LCC)</v>
      </c>
      <c r="D1069" s="9" t="s">
        <v>62</v>
      </c>
      <c r="E1069" s="1021">
        <f>VLOOKUP(C1069,Lansekap!D:T,15,FALSE)</f>
        <v>14700</v>
      </c>
      <c r="F1069" s="1003" t="str">
        <f>VLOOKUP(C1069,Lansekap!D:T,16,FALSE)</f>
        <v>Revisi</v>
      </c>
      <c r="G1069" s="12" t="str">
        <f>VLOOKUP(C1069,Lansekap!D:T,17,FALSE)</f>
        <v xml:space="preserve">Perubaha penambahan tenaga kerja </v>
      </c>
      <c r="H1069" s="374"/>
      <c r="I1069" s="16"/>
    </row>
    <row r="1070" spans="1:9" ht="24" customHeight="1">
      <c r="B1070" s="1033" t="str">
        <f>Lansekap!C6624</f>
        <v>4.1.7.11</v>
      </c>
      <c r="C1070" s="12" t="str">
        <f>VLOOKUP(B1070,Lansekap!C:T,2,FALSE)</f>
        <v>Penanaman pada Lereng Tanah dan/atau Kombinasi Tanah dan
Batuan 1:0.5 (45°-63°), Metode Hydroseeding per m2 Permukaan
Lereng (Menggunakan Jenis Biji Legume Crop Cover/LCC)</v>
      </c>
      <c r="D1070" s="9" t="s">
        <v>62</v>
      </c>
      <c r="E1070" s="1021">
        <f>VLOOKUP(C1070,Lansekap!D:T,15,FALSE)</f>
        <v>2500</v>
      </c>
      <c r="F1070" s="1003" t="str">
        <f>VLOOKUP(C1070,Lansekap!D:T,16,FALSE)</f>
        <v>Revisi</v>
      </c>
      <c r="G1070" s="12" t="str">
        <f>VLOOKUP(C1070,Lansekap!D:T,17,FALSE)</f>
        <v xml:space="preserve">Perubahan judul dan penambahan Tenaga Kerja </v>
      </c>
      <c r="H1070" s="374"/>
      <c r="I1070" s="16"/>
    </row>
    <row r="1071" spans="1:9" ht="24" customHeight="1">
      <c r="B1071" s="1033" t="str">
        <f>Lansekap!C6652</f>
        <v>4.1.7.12</v>
      </c>
      <c r="C1071" s="12" t="str">
        <f>VLOOKUP(B1071,Lansekap!C:T,2,FALSE)</f>
        <v>Penanaman pada Lereng Tanah dan/atau Kombinasi Tanah dan
Batuan 1:0.5 (45°-63°), Metode Taplok per m2 Permukaan Lereng
(Menggunakan Jenis Biji Legume Crop Cover/LCC)</v>
      </c>
      <c r="D1071" s="9" t="s">
        <v>62</v>
      </c>
      <c r="E1071" s="1021">
        <f>VLOOKUP(C1071,Lansekap!D:T,15,FALSE)</f>
        <v>64000</v>
      </c>
      <c r="F1071" s="1003" t="str">
        <f>VLOOKUP(C1071,Lansekap!D:T,16,FALSE)</f>
        <v>Revisi</v>
      </c>
      <c r="G1071" s="12" t="str">
        <f>VLOOKUP(C1071,Lansekap!D:T,17,FALSE)</f>
        <v xml:space="preserve">Perubaha penambahan tenaga kerja </v>
      </c>
      <c r="H1071" s="374"/>
      <c r="I1071" s="16"/>
    </row>
    <row r="1072" spans="1:9" s="1" customFormat="1" ht="24" customHeight="1">
      <c r="A1072" s="47"/>
      <c r="B1072" s="1043" t="str">
        <f>Lansekap!C6679</f>
        <v>4.1.8</v>
      </c>
      <c r="C1072" s="986" t="str">
        <f>VLOOKUP(B1072,Lansekap!C:T,2,FALSE)</f>
        <v xml:space="preserve">Pengolaha Tanah berPH Tidak Subur </v>
      </c>
      <c r="D1072" s="994"/>
      <c r="E1072" s="1022">
        <f>VLOOKUP(C1072,Lansekap!D:T,15,FALSE)</f>
        <v>0</v>
      </c>
      <c r="F1072" s="1004">
        <f>VLOOKUP(C1072,Lansekap!D:T,16,FALSE)</f>
        <v>0</v>
      </c>
      <c r="G1072" s="36">
        <f>VLOOKUP(C1072,Lansekap!D:T,17,FALSE)</f>
        <v>0</v>
      </c>
      <c r="H1072" s="1092"/>
      <c r="I1072" s="21"/>
    </row>
    <row r="1073" spans="1:9" ht="24" customHeight="1">
      <c r="B1073" s="1033" t="str">
        <f>Lansekap!C6680</f>
        <v xml:space="preserve">4.1.8.1 </v>
      </c>
      <c r="C1073" s="12" t="str">
        <f>VLOOKUP(B1073,Lansekap!C:T,2,FALSE)</f>
        <v xml:space="preserve">Cara Perhitungan AHSP Pengelolaan Tanah Tidak Subur </v>
      </c>
      <c r="D1073" s="9"/>
      <c r="E1073" s="1021">
        <f>VLOOKUP(C1073,Lansekap!D:T,15,FALSE)</f>
        <v>0</v>
      </c>
      <c r="F1073" s="1003" t="str">
        <f>VLOOKUP(C1073,Lansekap!D:T,16,FALSE)</f>
        <v xml:space="preserve">Revisis </v>
      </c>
      <c r="G1073" s="12" t="str">
        <f>VLOOKUP(C1073,Lansekap!D:T,17,FALSE)</f>
        <v>Item Baru</v>
      </c>
      <c r="H1073" s="374"/>
      <c r="I1073" s="16"/>
    </row>
    <row r="1074" spans="1:9" ht="24" customHeight="1">
      <c r="B1074" s="1033" t="str">
        <f>Lansekap!C6697</f>
        <v>4.1.8.2</v>
      </c>
      <c r="C1074" s="12" t="str">
        <f>VLOOKUP(B1074,Lansekap!C:T,2,FALSE)</f>
        <v>Pengolahan Tanah berPH 4,50-5,50 dan bertekstur Pasir 60,01%-100,00% atau tanah sandy per m3</v>
      </c>
      <c r="D1074" s="9"/>
      <c r="E1074" s="1021">
        <f>VLOOKUP(C1074,Lansekap!D:T,15,FALSE)</f>
        <v>69400</v>
      </c>
      <c r="F1074" s="1003" t="str">
        <f>VLOOKUP(C1074,Lansekap!D:T,16,FALSE)</f>
        <v>Revisis</v>
      </c>
      <c r="G1074" s="12" t="str">
        <f>VLOOKUP(C1074,Lansekap!D:T,17,FALSE)</f>
        <v xml:space="preserve">perubahan di penomoran item saja </v>
      </c>
      <c r="H1074" s="374"/>
      <c r="I1074" s="16"/>
    </row>
    <row r="1075" spans="1:9" ht="24" customHeight="1">
      <c r="B1075" s="1033" t="str">
        <f>Lansekap!C6715</f>
        <v>4.1.8.3</v>
      </c>
      <c r="C1075" s="12" t="str">
        <f>VLOOKUP(B1075,Lansekap!C:T,2,FALSE)</f>
        <v>Pengolahan Tanah berPH 4.50-5.50 dan Bertekstur Liat 40.01% -
60.00% atau Tanah Sandy Loam per m3</v>
      </c>
      <c r="D1075" s="9"/>
      <c r="E1075" s="1021">
        <f>VLOOKUP(C1075,Lansekap!D:T,15,FALSE)</f>
        <v>69400</v>
      </c>
      <c r="F1075" s="1003" t="str">
        <f>VLOOKUP(C1075,Lansekap!D:T,16,FALSE)</f>
        <v>Revisis</v>
      </c>
      <c r="G1075" s="12" t="str">
        <f>VLOOKUP(C1075,Lansekap!D:T,17,FALSE)</f>
        <v xml:space="preserve">perubahan di penomoran item saja </v>
      </c>
      <c r="H1075" s="374"/>
      <c r="I1075" s="16"/>
    </row>
    <row r="1076" spans="1:9" ht="24" customHeight="1">
      <c r="B1076" s="1033" t="str">
        <f>Lansekap!C6733</f>
        <v>4.1.8.4</v>
      </c>
      <c r="C1076" s="12" t="str">
        <f>VLOOKUP(B1076,Lansekap!C:T,2,FALSE)</f>
        <v>Pengolahan Tanah berPH 4.50-5.50 dan Bertekstur Liat 60.01% -
100.00% atau Tanah Loam To Clay Loam per m3</v>
      </c>
      <c r="D1076" s="9"/>
      <c r="E1076" s="1021">
        <f>VLOOKUP(C1076,Lansekap!D:T,15,FALSE)</f>
        <v>69400</v>
      </c>
      <c r="F1076" s="1003" t="str">
        <f>VLOOKUP(C1076,Lansekap!D:T,16,FALSE)</f>
        <v>Revisis</v>
      </c>
      <c r="G1076" s="12" t="str">
        <f>VLOOKUP(C1076,Lansekap!D:T,17,FALSE)</f>
        <v xml:space="preserve">perubahan di penomoran item dan koefisien kapur </v>
      </c>
      <c r="H1076" s="374"/>
      <c r="I1076" s="16"/>
    </row>
    <row r="1077" spans="1:9" ht="24" customHeight="1">
      <c r="B1077" s="1033" t="str">
        <f>Lansekap!C6751</f>
        <v>4.1.8.5</v>
      </c>
      <c r="C1077" s="12" t="str">
        <f>VLOOKUP(B1077,Lansekap!C:T,2,FALSE)</f>
        <v>Pengolahan Tanah berPH 3.50-4.49 dan Bertekstur Liat 60.01% -
100.00% atau Tanah Sandy per m3</v>
      </c>
      <c r="D1077" s="9"/>
      <c r="E1077" s="1021">
        <f>VLOOKUP(C1077,Lansekap!D:T,15,FALSE)</f>
        <v>69400</v>
      </c>
      <c r="F1077" s="1003" t="str">
        <f>VLOOKUP(C1077,Lansekap!D:T,16,FALSE)</f>
        <v>Revisis</v>
      </c>
      <c r="G1077" s="12" t="str">
        <f>VLOOKUP(C1077,Lansekap!D:T,17,FALSE)</f>
        <v xml:space="preserve">perubahan di penomoran item saja </v>
      </c>
      <c r="H1077" s="374"/>
      <c r="I1077" s="16"/>
    </row>
    <row r="1078" spans="1:9" ht="24" customHeight="1">
      <c r="B1078" s="1033" t="str">
        <f>Lansekap!C6769</f>
        <v>4.1.8.6</v>
      </c>
      <c r="C1078" s="12" t="str">
        <f>VLOOKUP(B1078,Lansekap!C:T,2,FALSE)</f>
        <v>Pengolahan Tanah berPH 3.50-4.49 dan Bertekstur Liat 40.01% -
60.00% atau Tanah Sandy Loam per m3</v>
      </c>
      <c r="D1078" s="9"/>
      <c r="E1078" s="1021">
        <f>VLOOKUP(C1078,Lansekap!D:T,15,FALSE)</f>
        <v>69400</v>
      </c>
      <c r="F1078" s="1003" t="str">
        <f>VLOOKUP(C1078,Lansekap!D:T,16,FALSE)</f>
        <v>Revisis</v>
      </c>
      <c r="G1078" s="12" t="str">
        <f>VLOOKUP(C1078,Lansekap!D:T,17,FALSE)</f>
        <v xml:space="preserve">perubahan di penomoran item saja </v>
      </c>
      <c r="H1078" s="374"/>
      <c r="I1078" s="16"/>
    </row>
    <row r="1079" spans="1:9" ht="24" customHeight="1">
      <c r="B1079" s="1033" t="str">
        <f>Lansekap!C6787</f>
        <v>4.1.8.7</v>
      </c>
      <c r="C1079" s="12" t="str">
        <f>VLOOKUP(B1079,Lansekap!C:T,2,FALSE)</f>
        <v>Pengolahan Tanah berPH 3.50-4.49 dan Bertekstur Liat 60.01% -
100.00% atau Tanah Loam To Clay Loam per m3</v>
      </c>
      <c r="D1079" s="9"/>
      <c r="E1079" s="1021">
        <f>VLOOKUP(C1079,Lansekap!D:T,15,FALSE)</f>
        <v>69400</v>
      </c>
      <c r="F1079" s="1003" t="str">
        <f>VLOOKUP(C1079,Lansekap!D:T,16,FALSE)</f>
        <v>Revisis</v>
      </c>
      <c r="G1079" s="12" t="str">
        <f>VLOOKUP(C1079,Lansekap!D:T,17,FALSE)</f>
        <v xml:space="preserve">perubahan di penomoran item saja </v>
      </c>
      <c r="H1079" s="374"/>
      <c r="I1079" s="16"/>
    </row>
    <row r="1080" spans="1:9" ht="24" customHeight="1">
      <c r="B1080" s="1033" t="str">
        <f>Lansekap!C6806</f>
        <v>4.1.8.8</v>
      </c>
      <c r="C1080" s="12" t="str">
        <f>VLOOKUP(B1080,Lansekap!C:T,2,FALSE)</f>
        <v>Pengolahan Tanah berPH &gt;7.5 per m3</v>
      </c>
      <c r="D1080" s="9"/>
      <c r="E1080" s="1021">
        <f>VLOOKUP(C1080,Lansekap!D:T,15,FALSE)</f>
        <v>69400</v>
      </c>
      <c r="F1080" s="1003" t="str">
        <f>VLOOKUP(C1080,Lansekap!D:T,16,FALSE)</f>
        <v>Revisis</v>
      </c>
      <c r="G1080" s="12" t="str">
        <f>VLOOKUP(C1080,Lansekap!D:T,17,FALSE)</f>
        <v xml:space="preserve">perubahan di penomoran item saja </v>
      </c>
      <c r="H1080" s="374"/>
      <c r="I1080" s="16"/>
    </row>
    <row r="1081" spans="1:9" ht="24" customHeight="1">
      <c r="B1081" s="1033" t="str">
        <f>Lansekap!C6824</f>
        <v>4.1.8.9</v>
      </c>
      <c r="C1081" s="12" t="str">
        <f>VLOOKUP(B1081,Lansekap!C:T,2,FALSE)</f>
        <v>Pengolahan Tanah berPH &gt;7.5 dan Bertekstur Pasir 60.01% -
100.00% atau Tanah Sandy per m3</v>
      </c>
      <c r="D1081" s="9"/>
      <c r="E1081" s="1021">
        <f>VLOOKUP(C1081,Lansekap!D:T,15,FALSE)</f>
        <v>69400</v>
      </c>
      <c r="F1081" s="1003" t="str">
        <f>VLOOKUP(C1081,Lansekap!D:T,16,FALSE)</f>
        <v>Revisis</v>
      </c>
      <c r="G1081" s="12" t="str">
        <f>VLOOKUP(C1081,Lansekap!D:T,17,FALSE)</f>
        <v xml:space="preserve">perubahan di penomoran item saja </v>
      </c>
      <c r="H1081" s="374"/>
      <c r="I1081" s="16"/>
    </row>
    <row r="1082" spans="1:9" ht="24" customHeight="1">
      <c r="B1082" s="1033" t="str">
        <f>Lansekap!C6842</f>
        <v>4.1.8.10</v>
      </c>
      <c r="C1082" s="12" t="str">
        <f>VLOOKUP(B1082,Lansekap!C:T,2,FALSE)</f>
        <v>Pengolahan Tanah berPH &gt;7.5 dan Bertekstur Liat 40.01% -
60.00% atau Tanah Sandy Loam per m3</v>
      </c>
      <c r="D1082" s="9"/>
      <c r="E1082" s="1021">
        <f>VLOOKUP(C1082,Lansekap!D:T,15,FALSE)</f>
        <v>69400</v>
      </c>
      <c r="F1082" s="1003" t="str">
        <f>VLOOKUP(C1082,Lansekap!D:T,16,FALSE)</f>
        <v>Revisis</v>
      </c>
      <c r="G1082" s="12" t="str">
        <f>VLOOKUP(C1082,Lansekap!D:T,17,FALSE)</f>
        <v xml:space="preserve">perubahan di penomoran item saja </v>
      </c>
      <c r="H1082" s="374"/>
      <c r="I1082" s="16"/>
    </row>
    <row r="1083" spans="1:9" ht="24" customHeight="1">
      <c r="B1083" s="1033" t="str">
        <f>Lansekap!C6859</f>
        <v>4.1.8.11</v>
      </c>
      <c r="C1083" s="12" t="str">
        <f>VLOOKUP(B1083,Lansekap!C:T,2,FALSE)</f>
        <v>Pengolahan Tanah berPH &gt;7.5 dan Bertekstur Liat 60.01% -
100.00% atau Tanah Loam To Clay Loam per m3</v>
      </c>
      <c r="D1083" s="9"/>
      <c r="E1083" s="1021">
        <f>VLOOKUP(C1083,Lansekap!D:T,15,FALSE)</f>
        <v>69400</v>
      </c>
      <c r="F1083" s="1003" t="str">
        <f>VLOOKUP(C1083,Lansekap!D:T,16,FALSE)</f>
        <v>Revisis</v>
      </c>
      <c r="G1083" s="12" t="str">
        <f>VLOOKUP(C1083,Lansekap!D:T,17,FALSE)</f>
        <v xml:space="preserve">perubahan di penomoran item saja </v>
      </c>
      <c r="H1083" s="374"/>
      <c r="I1083" s="16"/>
    </row>
    <row r="1084" spans="1:9" s="1" customFormat="1" ht="24" customHeight="1">
      <c r="A1084" s="47"/>
      <c r="B1084" s="1043" t="str">
        <f>Lansekap!C6877</f>
        <v>4.1.9</v>
      </c>
      <c r="C1084" s="986" t="str">
        <f>VLOOKUP(B1084,Lansekap!C:T,2,FALSE)</f>
        <v xml:space="preserve">Pengolahan Tanah Bertekstur Tidak Subur </v>
      </c>
      <c r="D1084" s="994"/>
      <c r="E1084" s="1022">
        <f>VLOOKUP(C1084,Lansekap!D:T,15,FALSE)</f>
        <v>0</v>
      </c>
      <c r="F1084" s="1004">
        <f>VLOOKUP(C1084,Lansekap!D:T,16,FALSE)</f>
        <v>0</v>
      </c>
      <c r="G1084" s="36">
        <f>VLOOKUP(C1084,Lansekap!D:T,17,FALSE)</f>
        <v>0</v>
      </c>
      <c r="H1084" s="1092"/>
      <c r="I1084" s="21"/>
    </row>
    <row r="1085" spans="1:9" ht="24" customHeight="1">
      <c r="B1085" s="1033" t="str">
        <f>Lansekap!C6878</f>
        <v>4.1.9.1</v>
      </c>
      <c r="C1085" s="12" t="str">
        <f>VLOOKUP(B1085,Lansekap!C:T,2,FALSE)</f>
        <v>Pengolahan Tanah bertekstur  liat  40,01%-60,00% atau tanah Sandy per m3</v>
      </c>
      <c r="D1085" s="9" t="s">
        <v>42</v>
      </c>
      <c r="E1085" s="1021">
        <f>VLOOKUP(C1085,Lansekap!D:T,15,FALSE)</f>
        <v>69400</v>
      </c>
      <c r="F1085" s="1003">
        <f>VLOOKUP(C1085,Lansekap!D:T,16,FALSE)</f>
        <v>0</v>
      </c>
      <c r="G1085" s="12">
        <f>VLOOKUP(C1085,Lansekap!D:T,17,FALSE)</f>
        <v>0</v>
      </c>
      <c r="H1085" s="374"/>
      <c r="I1085" s="16"/>
    </row>
    <row r="1086" spans="1:9" ht="24" customHeight="1">
      <c r="B1086" s="1033" t="str">
        <f>Lansekap!C6894</f>
        <v>4.1.9.2</v>
      </c>
      <c r="C1086" s="12" t="str">
        <f>VLOOKUP(B1086,Lansekap!C:T,2,FALSE)</f>
        <v>Pengolahan Tanah bertekstur  liat  60,01%-100,00% atau tanah Sandy Loam per m3</v>
      </c>
      <c r="D1086" s="9" t="s">
        <v>62</v>
      </c>
      <c r="E1086" s="1021">
        <f>VLOOKUP(C1086,Lansekap!D:T,15,FALSE)</f>
        <v>0</v>
      </c>
      <c r="F1086" s="1003">
        <f>VLOOKUP(C1086,Lansekap!D:T,16,FALSE)</f>
        <v>0</v>
      </c>
      <c r="G1086" s="12">
        <f>VLOOKUP(C1086,Lansekap!D:T,17,FALSE)</f>
        <v>0</v>
      </c>
      <c r="H1086" s="374"/>
      <c r="I1086" s="16"/>
    </row>
    <row r="1087" spans="1:9" ht="24" customHeight="1">
      <c r="B1087" s="1033" t="str">
        <f>Lansekap!C6912</f>
        <v>4.1.9.3</v>
      </c>
      <c r="C1087" s="12" t="str">
        <f>VLOOKUP(B1087,Lansekap!C:T,2,FALSE)</f>
        <v>Pengolahan Tanah bertekstur  liat  60,01%-100,00% atau tanah Loam to Clay Loam per m3</v>
      </c>
      <c r="D1087" s="9" t="s">
        <v>42</v>
      </c>
      <c r="E1087" s="1021">
        <f>VLOOKUP(C1087,Lansekap!D:T,15,FALSE)</f>
        <v>69400</v>
      </c>
      <c r="F1087" s="1003">
        <f>VLOOKUP(C1087,Lansekap!D:T,16,FALSE)</f>
        <v>0</v>
      </c>
      <c r="G1087" s="12">
        <f>VLOOKUP(C1087,Lansekap!D:T,17,FALSE)</f>
        <v>0</v>
      </c>
      <c r="H1087" s="374"/>
      <c r="I1087" s="16"/>
    </row>
    <row r="1088" spans="1:9" s="1" customFormat="1" ht="24" customHeight="1">
      <c r="A1088" s="47"/>
      <c r="B1088" s="1043" t="str">
        <f>Lansekap!C6928</f>
        <v>4.1.10</v>
      </c>
      <c r="C1088" s="986" t="str">
        <f>VLOOKUP(B1088,Lansekap!C:T,2,FALSE)</f>
        <v>Penyiraman Pada Tanah Datar (Lahan Subur)</v>
      </c>
      <c r="D1088" s="994"/>
      <c r="E1088" s="1022">
        <f>VLOOKUP(C1088,Lansekap!D:T,15,FALSE)</f>
        <v>0</v>
      </c>
      <c r="F1088" s="1004">
        <f>VLOOKUP(C1088,Lansekap!D:T,16,FALSE)</f>
        <v>0</v>
      </c>
      <c r="G1088" s="36">
        <f>VLOOKUP(C1088,Lansekap!D:T,17,FALSE)</f>
        <v>0</v>
      </c>
      <c r="H1088" s="1092"/>
      <c r="I1088" s="21"/>
    </row>
    <row r="1089" spans="1:9" ht="24" customHeight="1">
      <c r="B1089" s="1033" t="str">
        <f>Lansekap!C6929</f>
        <v>4.1.10.1</v>
      </c>
      <c r="C1089" s="12" t="str">
        <f>VLOOKUP(B1089,Lansekap!C:T,2,FALSE)</f>
        <v>Peyiraman untuk 1 hari ( dengan selang plastik 3/4 ich) untuk 1 buah pohon/palem</v>
      </c>
      <c r="D1089" s="9" t="s">
        <v>1080</v>
      </c>
      <c r="E1089" s="1021">
        <f>VLOOKUP(C1089,Lansekap!D:T,15,FALSE)</f>
        <v>200</v>
      </c>
      <c r="F1089" s="1003" t="str">
        <f>VLOOKUP(C1089,Lansekap!D:T,16,FALSE)</f>
        <v xml:space="preserve">Revisis </v>
      </c>
      <c r="G1089" s="12" t="str">
        <f>VLOOKUP(C1089,Lansekap!D:T,17,FALSE)</f>
        <v xml:space="preserve">Penambahan tenaga kerja "Mandor" dan perubahan pada  koefisien Air Bersih </v>
      </c>
      <c r="H1089" s="374"/>
      <c r="I1089" s="16"/>
    </row>
    <row r="1090" spans="1:9" ht="24" customHeight="1">
      <c r="B1090" s="1033" t="str">
        <f>Lansekap!C6945</f>
        <v>4.1.10.2</v>
      </c>
      <c r="C1090" s="12" t="str">
        <f>VLOOKUP(B1090,Lansekap!C:T,2,FALSE)</f>
        <v xml:space="preserve">Peyiraman untuk 1 m2 Semak/Penutup tanah untuk 1 hari ( dengan selang plastik 3/4 ich) </v>
      </c>
      <c r="D1090" s="9" t="s">
        <v>62</v>
      </c>
      <c r="E1090" s="1021">
        <f>VLOOKUP(C1090,Lansekap!D:T,15,FALSE)</f>
        <v>0</v>
      </c>
      <c r="F1090" s="1003" t="str">
        <f>VLOOKUP(C1090,Lansekap!D:T,16,FALSE)</f>
        <v xml:space="preserve">Revisi </v>
      </c>
      <c r="G1090" s="12" t="str">
        <f>VLOOKUP(C1090,Lansekap!D:T,17,FALSE)</f>
        <v xml:space="preserve">penambahan tenaga kerja mandor </v>
      </c>
      <c r="H1090" s="374"/>
      <c r="I1090" s="16"/>
    </row>
    <row r="1091" spans="1:9" ht="24" customHeight="1">
      <c r="B1091" s="1033" t="str">
        <f>Lansekap!C6960</f>
        <v>4.1.10.3</v>
      </c>
      <c r="C1091" s="12" t="str">
        <f>VLOOKUP(B1091,Lansekap!C:T,2,FALSE)</f>
        <v xml:space="preserve">Peyiraman untuk 1 m2 Rumput untuk 1 hari ( dengan selang plastik 3/4 ich) </v>
      </c>
      <c r="D1091" s="9" t="s">
        <v>62</v>
      </c>
      <c r="E1091" s="1021">
        <f>VLOOKUP(C1091,Lansekap!D:T,15,FALSE)</f>
        <v>100</v>
      </c>
      <c r="F1091" s="1003" t="str">
        <f>VLOOKUP(C1091,Lansekap!D:T,16,FALSE)</f>
        <v xml:space="preserve">Revisi Penambahan Tenaga Kerja Mandor </v>
      </c>
      <c r="G1091" s="12">
        <f>VLOOKUP(C1091,Lansekap!D:T,17,FALSE)</f>
        <v>0</v>
      </c>
      <c r="H1091" s="374"/>
      <c r="I1091" s="16"/>
    </row>
    <row r="1092" spans="1:9" ht="24" customHeight="1">
      <c r="B1092" s="1033" t="str">
        <f>Lansekap!C6976</f>
        <v>4.1.10.4</v>
      </c>
      <c r="C1092" s="12" t="str">
        <f>VLOOKUP(B1092,Lansekap!C:T,2,FALSE)</f>
        <v xml:space="preserve">Peyiraman untuk 1 m2 Semak/Penutup Tanah  untuk 1 hari ( dengan Sprinkler) *Sistem Sprinkler tersedia </v>
      </c>
      <c r="D1092" s="9" t="s">
        <v>62</v>
      </c>
      <c r="E1092" s="1021">
        <f>VLOOKUP(C1092,Lansekap!D:T,15,FALSE)</f>
        <v>0</v>
      </c>
      <c r="F1092" s="1003" t="str">
        <f>VLOOKUP(C1092,Lansekap!D:T,16,FALSE)</f>
        <v xml:space="preserve">Revisi </v>
      </c>
      <c r="G1092" s="12" t="str">
        <f>VLOOKUP(C1092,Lansekap!D:T,17,FALSE)</f>
        <v>Perubahan Koefisien Tenaga kerja dan penambahan tenaga kerja mandor</v>
      </c>
      <c r="H1092" s="374"/>
      <c r="I1092" s="16"/>
    </row>
    <row r="1093" spans="1:9" ht="24" customHeight="1">
      <c r="B1093" s="1033" t="str">
        <f>Lansekap!C6991</f>
        <v>4.1.10.5</v>
      </c>
      <c r="C1093" s="12" t="str">
        <f>VLOOKUP(B1093,Lansekap!C:T,2,FALSE)</f>
        <v xml:space="preserve">Peyiraman untuk 1 m2 Rumput untuk 1 hari ( dengan Sprinkler) *Sistem Sprinkler tersedia </v>
      </c>
      <c r="D1093" s="9" t="s">
        <v>62</v>
      </c>
      <c r="E1093" s="1021">
        <f>VLOOKUP(C1093,Lansekap!D:T,15,FALSE)</f>
        <v>0</v>
      </c>
      <c r="F1093" s="1003" t="str">
        <f>VLOOKUP(C1093,Lansekap!D:T,16,FALSE)</f>
        <v>Revisi</v>
      </c>
      <c r="G1093" s="12" t="str">
        <f>VLOOKUP(C1093,Lansekap!D:T,17,FALSE)</f>
        <v xml:space="preserve">Penambahan tenaga kerja mandor </v>
      </c>
      <c r="H1093" s="374"/>
      <c r="I1093" s="16"/>
    </row>
    <row r="1094" spans="1:9" s="1" customFormat="1" ht="24" customHeight="1">
      <c r="A1094" s="47"/>
      <c r="B1094" s="1043" t="str">
        <f>Lansekap!C7007</f>
        <v>4.1.11</v>
      </c>
      <c r="C1094" s="986" t="str">
        <f>VLOOKUP(B1094,Lansekap!C:T,2,FALSE)</f>
        <v>Penyiraman pada Tanah Tidak Subur di Lahan Datar</v>
      </c>
      <c r="D1094" s="994"/>
      <c r="E1094" s="1022">
        <f>VLOOKUP(C1094,Lansekap!D:T,15,FALSE)</f>
        <v>0</v>
      </c>
      <c r="F1094" s="1004">
        <f>VLOOKUP(C1094,Lansekap!D:T,16,FALSE)</f>
        <v>0</v>
      </c>
      <c r="G1094" s="36">
        <f>VLOOKUP(C1094,Lansekap!D:T,17,FALSE)</f>
        <v>0</v>
      </c>
      <c r="H1094" s="1092"/>
      <c r="I1094" s="21"/>
    </row>
    <row r="1095" spans="1:9" ht="24" customHeight="1">
      <c r="B1095" s="1033" t="str">
        <f>Lansekap!C7008</f>
        <v>4.1.11.1</v>
      </c>
      <c r="C1095" s="12" t="str">
        <f>VLOOKUP(B1095,Lansekap!C:T,2,FALSE)</f>
        <v>Penyiraman untuk 1 hari (dengan Selang Plastik 3/4 inch) untuk 1 buah pohon/palem di tanah tidak subur di lahan datar dan tidak memiliki jaringa air yang baik</v>
      </c>
      <c r="D1095" s="9" t="s">
        <v>1080</v>
      </c>
      <c r="E1095" s="1021">
        <f>VLOOKUP(C1095,Lansekap!D:T,15,FALSE)</f>
        <v>1100</v>
      </c>
      <c r="F1095" s="1003" t="str">
        <f>VLOOKUP(C1095,Lansekap!D:T,16,FALSE)</f>
        <v>Revisi</v>
      </c>
      <c r="G1095" s="12" t="str">
        <f>VLOOKUP(C1095,Lansekap!D:T,17,FALSE)</f>
        <v xml:space="preserve">Perubahan Koe. Tenaga kerja dan penambahan tenaga kerja mandor </v>
      </c>
      <c r="H1095" s="374"/>
      <c r="I1095" s="16"/>
    </row>
    <row r="1096" spans="1:9" ht="24" customHeight="1">
      <c r="B1096" s="1033" t="str">
        <f>Lansekap!C7026</f>
        <v>4.1.11.2</v>
      </c>
      <c r="C1096" s="12" t="str">
        <f>VLOOKUP(B1096,Lansekap!C:T,2,FALSE)</f>
        <v>Penyiraman untuk 1 Hari (dengan Selang Plastik 3/4 inch) untuk
1 m2 Semak/Penutup Tanah di Tanah Tidak Subur di Lahan Datar
dan Tidak Memiliki Jaringan Air Yang Baik</v>
      </c>
      <c r="D1096" s="9" t="s">
        <v>7704</v>
      </c>
      <c r="E1096" s="1021">
        <f>VLOOKUP(C1096,Lansekap!D:T,15,FALSE)</f>
        <v>900</v>
      </c>
      <c r="F1096" s="1003" t="str">
        <f>VLOOKUP(C1096,Lansekap!D:T,16,FALSE)</f>
        <v>Revisi</v>
      </c>
      <c r="G1096" s="12" t="str">
        <f>VLOOKUP(C1096,Lansekap!D:T,17,FALSE)</f>
        <v xml:space="preserve">Perubahan Koe. Tenaga kerja dan penambahan tenaga kerja mandor </v>
      </c>
      <c r="H1096" s="374"/>
      <c r="I1096" s="16"/>
    </row>
    <row r="1097" spans="1:9" ht="24" customHeight="1">
      <c r="B1097" s="1033" t="str">
        <f>Lansekap!C7044</f>
        <v>4.1.11.3</v>
      </c>
      <c r="C1097" s="12" t="str">
        <f>VLOOKUP(B1097,Lansekap!C:T,2,FALSE)</f>
        <v>Penyiraman untuk 1 Hari (dengan Selang Plastik 3/4 inch) untuk
1 m2 Rumput di Tanah Tidak Subur di Lahan Datar dan Tidak
Memiliki Jaringan Air Yang Baik</v>
      </c>
      <c r="D1097" s="9" t="s">
        <v>7704</v>
      </c>
      <c r="E1097" s="1021">
        <f>VLOOKUP(C1097,Lansekap!D:T,15,FALSE)</f>
        <v>900</v>
      </c>
      <c r="F1097" s="1003" t="str">
        <f>VLOOKUP(C1097,Lansekap!D:T,16,FALSE)</f>
        <v>Revisi</v>
      </c>
      <c r="G1097" s="12" t="str">
        <f>VLOOKUP(C1097,Lansekap!D:T,17,FALSE)</f>
        <v xml:space="preserve">Perubahan Koe. Tenaga kerja dan penambahan tenaga kerja mandor </v>
      </c>
      <c r="H1097" s="374"/>
      <c r="I1097" s="16"/>
    </row>
    <row r="1098" spans="1:9" ht="24" customHeight="1">
      <c r="B1098" s="1033" t="str">
        <f>Lansekap!C7061</f>
        <v>4.1.11.4</v>
      </c>
      <c r="C1098" s="12" t="str">
        <f>VLOOKUP(B1098,Lansekap!C:T,2,FALSE)</f>
        <v>Penyiraman untuk 1 Hari (dengan Selang Plastik 3/4 inch) untuk
1 m2 Rumput di Tanah Tidak Subur di Lahan Datar dan Tidak
Memiliki Jaringan Air Yang Baik</v>
      </c>
      <c r="D1098" s="9" t="s">
        <v>7704</v>
      </c>
      <c r="E1098" s="1021">
        <f>VLOOKUP(C1098,Lansekap!D:T,15,FALSE)</f>
        <v>900</v>
      </c>
      <c r="F1098" s="1003" t="str">
        <f>VLOOKUP(C1098,Lansekap!D:T,16,FALSE)</f>
        <v>Revisi</v>
      </c>
      <c r="G1098" s="12" t="str">
        <f>VLOOKUP(C1098,Lansekap!D:T,17,FALSE)</f>
        <v xml:space="preserve">Perubahan Koe. Tenaga kerja dan penambahan tenaga kerja mandor </v>
      </c>
      <c r="H1098" s="374"/>
      <c r="I1098" s="16"/>
    </row>
    <row r="1099" spans="1:9" ht="24" customHeight="1">
      <c r="B1099" s="1033" t="str">
        <f>Lansekap!C7078</f>
        <v>4.1.11.5</v>
      </c>
      <c r="C1099" s="12" t="str">
        <f>VLOOKUP(B1099,Lansekap!C:T,2,FALSE)</f>
        <v>Penyiraman untuk 1 Hari (dengan Sprinkler*) untuk 1 m2 Rumput
di Tanah Tidak Subur di Lahan Datar dan Tidak Memiliki Jaringan
Air Yang Baik</v>
      </c>
      <c r="D1099" s="9" t="s">
        <v>7704</v>
      </c>
      <c r="E1099" s="1021">
        <f>VLOOKUP(C1099,Lansekap!D:T,15,FALSE)</f>
        <v>800</v>
      </c>
      <c r="F1099" s="1003" t="str">
        <f>VLOOKUP(C1099,Lansekap!D:T,16,FALSE)</f>
        <v>Revisi</v>
      </c>
      <c r="G1099" s="12" t="str">
        <f>VLOOKUP(C1099,Lansekap!D:T,17,FALSE)</f>
        <v xml:space="preserve">Perubahan Koe. Tenaga kerja dan penambahan tenaga kerja mandor </v>
      </c>
      <c r="H1099" s="374"/>
      <c r="I1099" s="16"/>
    </row>
    <row r="1100" spans="1:9" ht="24" customHeight="1">
      <c r="B1100" s="1033" t="str">
        <f>Lansekap!C7095</f>
        <v>4.1.11.6</v>
      </c>
      <c r="C1100" s="12" t="str">
        <f>VLOOKUP(B1100,Lansekap!C:T,2,FALSE)</f>
        <v>Penyiraman untuk 1 Hari (dengan Selang Plastik 3/4 inch) untuk
1 Buah Pohon/Palem di Tanah Tidak Subur di Lahan Datar dan
Memiliki Jaringan Air Yang Baik</v>
      </c>
      <c r="D1100" s="9" t="s">
        <v>7704</v>
      </c>
      <c r="E1100" s="1021">
        <f>VLOOKUP(C1100,Lansekap!D:T,15,FALSE)</f>
        <v>1100</v>
      </c>
      <c r="F1100" s="1003" t="str">
        <f>VLOOKUP(C1100,Lansekap!D:T,16,FALSE)</f>
        <v>Revisi</v>
      </c>
      <c r="G1100" s="12" t="str">
        <f>VLOOKUP(C1100,Lansekap!D:T,17,FALSE)</f>
        <v xml:space="preserve">Perubahan Koe. Tenaga kerja dan penambahan tenaga kerja mandor </v>
      </c>
      <c r="H1100" s="374"/>
      <c r="I1100" s="16"/>
    </row>
    <row r="1101" spans="1:9" ht="24" customHeight="1">
      <c r="B1101" s="1033" t="str">
        <f>Lansekap!C7113</f>
        <v>4.1.11.7</v>
      </c>
      <c r="C1101" s="12" t="str">
        <f>VLOOKUP(B1101,Lansekap!C:T,2,FALSE)</f>
        <v>Penyiraman untuk 1 Hari (dengan Selang Plastik 3/4 inch) untuk
1 m2 Semak/Penutup Tanah di Tanah Tidak Subur di Lahan Datar
dan Memiliki Jaringan Air Yang Baik</v>
      </c>
      <c r="D1101" s="9" t="s">
        <v>7704</v>
      </c>
      <c r="E1101" s="1021">
        <f>VLOOKUP(C1101,Lansekap!D:T,15,FALSE)</f>
        <v>0</v>
      </c>
      <c r="F1101" s="1003" t="str">
        <f>VLOOKUP(C1101,Lansekap!D:T,16,FALSE)</f>
        <v>Revisi</v>
      </c>
      <c r="G1101" s="12" t="str">
        <f>VLOOKUP(C1101,Lansekap!D:T,17,FALSE)</f>
        <v xml:space="preserve">Perubahan Koe. Tenaga kerja dan penambahan tenaga kerja mandor </v>
      </c>
      <c r="H1101" s="374"/>
      <c r="I1101" s="16"/>
    </row>
    <row r="1102" spans="1:9" ht="24" customHeight="1">
      <c r="B1102" s="1033" t="str">
        <f>Lansekap!C7129</f>
        <v>4.1.11.8</v>
      </c>
      <c r="C1102" s="12" t="str">
        <f>VLOOKUP(B1102,Lansekap!C:T,2,FALSE)</f>
        <v>Penyiraman untuk 1 Hari (dengan Selang Plastik 3/4 inch) untuk
1 m2 Rumput di Tanah Tidak Subur di Lahan Datar dan Memiliki
Jaringan Air Yang Baik</v>
      </c>
      <c r="D1102" s="9" t="s">
        <v>7704</v>
      </c>
      <c r="E1102" s="1021">
        <f>VLOOKUP(C1102,Lansekap!D:T,15,FALSE)</f>
        <v>0</v>
      </c>
      <c r="F1102" s="1003" t="str">
        <f>VLOOKUP(C1102,Lansekap!D:T,16,FALSE)</f>
        <v>Revisi</v>
      </c>
      <c r="G1102" s="12" t="str">
        <f>VLOOKUP(C1102,Lansekap!D:T,17,FALSE)</f>
        <v xml:space="preserve">Perubahan Koe. Tenaga kerja dan penambahan tenaga kerja mandor </v>
      </c>
      <c r="H1102" s="374"/>
      <c r="I1102" s="16"/>
    </row>
    <row r="1103" spans="1:9" ht="24" customHeight="1">
      <c r="B1103" s="1033" t="str">
        <f>Lansekap!C7145</f>
        <v>4.1.11.9</v>
      </c>
      <c r="C1103" s="12" t="str">
        <f>VLOOKUP(B1103,Lansekap!C:T,2,FALSE)</f>
        <v>Penyiraman untuk 1 Hari (dengan Sprinkler*) untuk 1 m2
Semak/Penutup Tanah di Tanah Tidak Subur di Lahan Datar dan
Memiliki Jaringan Air Yang Baik</v>
      </c>
      <c r="D1103" s="9" t="s">
        <v>7704</v>
      </c>
      <c r="E1103" s="1021">
        <f>VLOOKUP(C1103,Lansekap!D:T,15,FALSE)</f>
        <v>0</v>
      </c>
      <c r="F1103" s="1003" t="str">
        <f>VLOOKUP(C1103,Lansekap!D:T,16,FALSE)</f>
        <v>Revisi</v>
      </c>
      <c r="G1103" s="12" t="str">
        <f>VLOOKUP(C1103,Lansekap!D:T,17,FALSE)</f>
        <v xml:space="preserve">Perubahan Koe. Tenaga kerja dan penambahan tenaga kerja mandor </v>
      </c>
      <c r="H1103" s="374"/>
      <c r="I1103" s="16"/>
    </row>
    <row r="1104" spans="1:9" ht="24" customHeight="1">
      <c r="B1104" s="1033" t="str">
        <f>Lansekap!C7162</f>
        <v>4.1.11.10</v>
      </c>
      <c r="C1104" s="12" t="str">
        <f>VLOOKUP(B1104,Lansekap!C:T,2,FALSE)</f>
        <v>Penyiraman untuk 1 Hari (dengan Sprinkler*) untuk 1 m2
Rumput di Tanah Tidak Subur di Lahan Datar dan Memiliki
Jaringan Air Yang Baik</v>
      </c>
      <c r="D1104" s="9" t="s">
        <v>7704</v>
      </c>
      <c r="E1104" s="1021">
        <f>VLOOKUP(C1104,Lansekap!D:T,15,FALSE)</f>
        <v>0</v>
      </c>
      <c r="F1104" s="1003" t="str">
        <f>VLOOKUP(C1104,Lansekap!D:T,16,FALSE)</f>
        <v>Revisi</v>
      </c>
      <c r="G1104" s="12" t="str">
        <f>VLOOKUP(C1104,Lansekap!D:T,17,FALSE)</f>
        <v xml:space="preserve">Perubahan Koe. Tenaga kerja dan penambahan tenaga kerja mandor </v>
      </c>
      <c r="H1104" s="374"/>
      <c r="I1104" s="16"/>
    </row>
    <row r="1105" spans="1:9" s="1" customFormat="1" ht="24" customHeight="1">
      <c r="A1105" s="47"/>
      <c r="B1105" s="1043" t="str">
        <f>Lansekap!C7178</f>
        <v>4.1.12</v>
      </c>
      <c r="C1105" s="986" t="str">
        <f>VLOOKUP(B1105,Lansekap!C:T,2,FALSE)</f>
        <v>Penyiraman pada Tanah Subur di Lahan Miring/Kelerengan</v>
      </c>
      <c r="D1105" s="994"/>
      <c r="E1105" s="1022">
        <f>VLOOKUP(C1105,Lansekap!D:T,15,FALSE)</f>
        <v>0</v>
      </c>
      <c r="F1105" s="1004">
        <f>VLOOKUP(C1105,Lansekap!D:T,16,FALSE)</f>
        <v>0</v>
      </c>
      <c r="G1105" s="36">
        <f>VLOOKUP(C1105,Lansekap!D:T,17,FALSE)</f>
        <v>0</v>
      </c>
      <c r="H1105" s="1092"/>
      <c r="I1105" s="21"/>
    </row>
    <row r="1106" spans="1:9" ht="24" customHeight="1">
      <c r="B1106" s="1033" t="str">
        <f>Lansekap!C7179</f>
        <v>4.1.12.1</v>
      </c>
      <c r="C1106" s="12" t="str">
        <f>VLOOKUP(B1106,Lansekap!C:T,2,FALSE)</f>
        <v>Penyiraman untuk 1 Hari di Tanah Subur di Kelerengan Tanah 1:2
(13° - 26.5°) per m2</v>
      </c>
      <c r="D1106" s="9" t="s">
        <v>7704</v>
      </c>
      <c r="E1106" s="1021">
        <f>VLOOKUP(C1106,Lansekap!D:T,15,FALSE)</f>
        <v>0</v>
      </c>
      <c r="F1106" s="1003">
        <f>VLOOKUP(C1106,Lansekap!D:T,16,FALSE)</f>
        <v>0</v>
      </c>
      <c r="G1106" s="12">
        <f>VLOOKUP(C1106,Lansekap!D:T,17,FALSE)</f>
        <v>0</v>
      </c>
      <c r="H1106" s="374"/>
      <c r="I1106" s="16"/>
    </row>
    <row r="1107" spans="1:9" ht="24" customHeight="1">
      <c r="B1107" s="1033" t="str">
        <f>Lansekap!C7195</f>
        <v>4.1.12.2</v>
      </c>
      <c r="C1107" s="12" t="str">
        <f>VLOOKUP(B1107,Lansekap!C:T,2,FALSE)</f>
        <v>Penyiraman untuk 1 Hari di Tanah Subur di Kelerengan Tanah 1:2
(26.5°- 45°) per m2</v>
      </c>
      <c r="D1107" s="9" t="s">
        <v>7705</v>
      </c>
      <c r="E1107" s="1021">
        <f>VLOOKUP(C1107,Lansekap!D:T,15,FALSE)</f>
        <v>0</v>
      </c>
      <c r="F1107" s="1003">
        <f>VLOOKUP(C1107,Lansekap!D:T,16,FALSE)</f>
        <v>0</v>
      </c>
      <c r="G1107" s="12">
        <f>VLOOKUP(C1107,Lansekap!D:T,17,FALSE)</f>
        <v>0</v>
      </c>
      <c r="H1107" s="374"/>
      <c r="I1107" s="16"/>
    </row>
    <row r="1108" spans="1:9" ht="24" customHeight="1">
      <c r="B1108" s="1033" t="str">
        <f>Lansekap!C7211</f>
        <v>4.1.12.3</v>
      </c>
      <c r="C1108" s="12" t="str">
        <f>VLOOKUP(B1108,Lansekap!C:T,2,FALSE)</f>
        <v>Penyiraman untuk 1 Hari di Tanah Subur di Kelerengan Tanah
1:0.5 (45° - 63°) per m2</v>
      </c>
      <c r="D1108" s="9" t="s">
        <v>7706</v>
      </c>
      <c r="E1108" s="1021">
        <f>VLOOKUP(C1108,Lansekap!D:T,15,FALSE)</f>
        <v>100</v>
      </c>
      <c r="F1108" s="1003">
        <f>VLOOKUP(C1108,Lansekap!D:T,16,FALSE)</f>
        <v>0</v>
      </c>
      <c r="G1108" s="12">
        <f>VLOOKUP(C1108,Lansekap!D:T,17,FALSE)</f>
        <v>0</v>
      </c>
      <c r="H1108" s="374"/>
      <c r="I1108" s="16"/>
    </row>
    <row r="1109" spans="1:9" s="1" customFormat="1" ht="24" customHeight="1">
      <c r="A1109" s="47"/>
      <c r="B1109" s="1043" t="str">
        <f>Lansekap!C7227</f>
        <v>4.1.13</v>
      </c>
      <c r="C1109" s="986" t="str">
        <f>VLOOKUP(B1109,Lansekap!C:T,2,FALSE)</f>
        <v xml:space="preserve">Penyiraman pada Tanah Subur di Lahan Miring/Kelerengan </v>
      </c>
      <c r="D1109" s="993" t="s">
        <v>7707</v>
      </c>
      <c r="E1109" s="1022">
        <f>VLOOKUP(C1109,Lansekap!D:T,15,FALSE)</f>
        <v>0</v>
      </c>
      <c r="F1109" s="1004">
        <f>VLOOKUP(C1109,Lansekap!D:T,16,FALSE)</f>
        <v>0</v>
      </c>
      <c r="G1109" s="36">
        <f>VLOOKUP(C1109,Lansekap!D:T,17,FALSE)</f>
        <v>0</v>
      </c>
      <c r="H1109" s="1092"/>
      <c r="I1109" s="21"/>
    </row>
    <row r="1110" spans="1:9" ht="24" customHeight="1">
      <c r="B1110" s="1033" t="str">
        <f>Lansekap!C7228</f>
        <v>4.1.13.1</v>
      </c>
      <c r="C1110" s="12" t="str">
        <f>VLOOKUP(B1110,Lansekap!C:T,2,FALSE)</f>
        <v>Penyiraman untuk 1 Hari di Tanah Tidak Subur di Kelerengan
Tanah 1:2 (13° - 26.5°) per m2 untuk Sumber Air Dari Luar Lokasi
Pekerjaan</v>
      </c>
      <c r="D1110" s="9" t="s">
        <v>7708</v>
      </c>
      <c r="E1110" s="1021">
        <f>VLOOKUP(C1110,Lansekap!D:T,15,FALSE)</f>
        <v>900</v>
      </c>
      <c r="F1110" s="1003" t="str">
        <f>VLOOKUP(C1110,Lansekap!D:T,16,FALSE)</f>
        <v>Revisi</v>
      </c>
      <c r="G1110" s="12" t="str">
        <f>VLOOKUP(C1110,Lansekap!D:T,17,FALSE)</f>
        <v xml:space="preserve">Tidak ada perubahan </v>
      </c>
      <c r="H1110" s="374"/>
      <c r="I1110" s="16"/>
    </row>
    <row r="1111" spans="1:9" ht="24" customHeight="1">
      <c r="B1111" s="1033" t="str">
        <f>Lansekap!C7245</f>
        <v>4.1.13.2</v>
      </c>
      <c r="C1111" s="12" t="str">
        <f>VLOOKUP(B1111,Lansekap!C:T,2,FALSE)</f>
        <v>Penyiraman untuk 1 Hari di Tanah Tidak Subur di Kelerengan
Tanah 1:1 (26.5° - 45°) per m2 untuk Sumber Air Dari Luar Lokasi
Pekerjaan</v>
      </c>
      <c r="D1111" s="9" t="s">
        <v>7709</v>
      </c>
      <c r="E1111" s="1021">
        <f>VLOOKUP(C1111,Lansekap!D:T,15,FALSE)</f>
        <v>900</v>
      </c>
      <c r="F1111" s="1003" t="str">
        <f>VLOOKUP(C1111,Lansekap!D:T,16,FALSE)</f>
        <v>Revisi</v>
      </c>
      <c r="G1111" s="12" t="str">
        <f>VLOOKUP(C1111,Lansekap!D:T,17,FALSE)</f>
        <v xml:space="preserve">Tidak ada perubahan </v>
      </c>
      <c r="H1111" s="374"/>
      <c r="I1111" s="16"/>
    </row>
    <row r="1112" spans="1:9" ht="24" customHeight="1">
      <c r="B1112" s="1033" t="str">
        <f>Lansekap!C7262</f>
        <v>4.1.13.3</v>
      </c>
      <c r="C1112" s="12" t="str">
        <f>VLOOKUP(B1112,Lansekap!C:T,2,FALSE)</f>
        <v>Penyiraman untuk 1 Hari di Tanah Tidak Subur di Kelerengan
Tanah 1:0.5 (45° - 63°) per m2 untuk Sumber Air Dari Luar Lokasi
Pekerjaan</v>
      </c>
      <c r="D1112" s="9" t="s">
        <v>7710</v>
      </c>
      <c r="E1112" s="1021">
        <f>VLOOKUP(C1112,Lansekap!D:T,15,FALSE)</f>
        <v>1000</v>
      </c>
      <c r="F1112" s="1003" t="str">
        <f>VLOOKUP(C1112,Lansekap!D:T,16,FALSE)</f>
        <v>Revisi</v>
      </c>
      <c r="G1112" s="12" t="str">
        <f>VLOOKUP(C1112,Lansekap!D:T,17,FALSE)</f>
        <v xml:space="preserve">Tidak ada perubahan </v>
      </c>
      <c r="H1112" s="374"/>
      <c r="I1112" s="16"/>
    </row>
    <row r="1113" spans="1:9" ht="24" customHeight="1">
      <c r="B1113" s="1033" t="str">
        <f>Lansekap!C7279</f>
        <v>4.1.13.4</v>
      </c>
      <c r="C1113" s="12" t="str">
        <f>VLOOKUP(B1113,Lansekap!C:T,2,FALSE)</f>
        <v>Penyiraman untuk 1 Hari di Tanah Tidak Subur di Kelerengan
Tanah 1:2 (13° - 26.5°) per m2 untuk Sumber Air Tersedia Lokasi
Pekerjaan</v>
      </c>
      <c r="D1113" s="9" t="s">
        <v>7711</v>
      </c>
      <c r="E1113" s="1021">
        <f>VLOOKUP(C1113,Lansekap!D:T,15,FALSE)</f>
        <v>0</v>
      </c>
      <c r="F1113" s="1003" t="str">
        <f>VLOOKUP(C1113,Lansekap!D:T,16,FALSE)</f>
        <v>Revisi</v>
      </c>
      <c r="G1113" s="12" t="str">
        <f>VLOOKUP(C1113,Lansekap!D:T,17,FALSE)</f>
        <v xml:space="preserve">Perubahan penghapusan peralatan </v>
      </c>
      <c r="H1113" s="374"/>
      <c r="I1113" s="16"/>
    </row>
    <row r="1114" spans="1:9" ht="24" customHeight="1">
      <c r="B1114" s="1033" t="str">
        <f>Lansekap!C7295</f>
        <v>4.1.13.5</v>
      </c>
      <c r="C1114" s="12" t="str">
        <f>VLOOKUP(B1114,Lansekap!C:T,2,FALSE)</f>
        <v>Penyiraman untuk 1 Hari di Tanah Tidak Subur di Kelerengan
Tanah 1:1 (26.5° - 45°) per m2 untuk Sumber Air Tersedia Lokasi
Pekerjaan</v>
      </c>
      <c r="D1114" s="9" t="s">
        <v>7712</v>
      </c>
      <c r="E1114" s="1021">
        <f>VLOOKUP(C1114,Lansekap!D:T,15,FALSE)</f>
        <v>0</v>
      </c>
      <c r="F1114" s="1003" t="str">
        <f>VLOOKUP(C1114,Lansekap!D:T,16,FALSE)</f>
        <v>Revisi</v>
      </c>
      <c r="G1114" s="12" t="str">
        <f>VLOOKUP(C1114,Lansekap!D:T,17,FALSE)</f>
        <v xml:space="preserve">Perubahan penghapusan peralatan dan koefisisen tenaga kerja </v>
      </c>
      <c r="H1114" s="374"/>
      <c r="I1114" s="16"/>
    </row>
    <row r="1115" spans="1:9" ht="24" customHeight="1">
      <c r="B1115" s="1033" t="str">
        <f>Lansekap!C7311</f>
        <v>4.1.13.6</v>
      </c>
      <c r="C1115" s="12" t="str">
        <f>VLOOKUP(B1115,Lansekap!C:T,2,FALSE)</f>
        <v>Penyiraman untuk 1 Hari di Tanah Tidak Subur di Kelerengan
Tanah 1:0.5 (45° - 63°) per m2 untuk Sumber Air Tersedia Lokasi
Pekerjaan</v>
      </c>
      <c r="D1115" s="9" t="s">
        <v>7713</v>
      </c>
      <c r="E1115" s="1021">
        <f>VLOOKUP(C1115,Lansekap!D:T,15,FALSE)</f>
        <v>100</v>
      </c>
      <c r="F1115" s="1003" t="str">
        <f>VLOOKUP(C1115,Lansekap!D:T,16,FALSE)</f>
        <v>Revisi</v>
      </c>
      <c r="G1115" s="12" t="str">
        <f>VLOOKUP(C1115,Lansekap!D:T,17,FALSE)</f>
        <v>Perubahan penghapusan peralatan</v>
      </c>
      <c r="H1115" s="374"/>
      <c r="I1115" s="16"/>
    </row>
    <row r="1116" spans="1:9" s="47" customFormat="1" ht="24" customHeight="1">
      <c r="B1116" s="1044" t="str">
        <f>Lansekap!C7327</f>
        <v xml:space="preserve">4.2 </v>
      </c>
      <c r="C1116" s="984" t="str">
        <f>VLOOKUP(B1116,Lansekap!C:T,2,FALSE)</f>
        <v xml:space="preserve">PEKERJAAN PEMELIHARAAN TANAMAN </v>
      </c>
      <c r="D1116" s="995"/>
      <c r="E1116" s="1045"/>
      <c r="F1116" s="1011"/>
      <c r="G1116" s="587"/>
      <c r="H1116" s="1092"/>
      <c r="I1116" s="996"/>
    </row>
    <row r="1117" spans="1:9" s="1" customFormat="1" ht="24" customHeight="1">
      <c r="A1117" s="47"/>
      <c r="B1117" s="1043" t="str">
        <f>Lansekap!C7328</f>
        <v>4.2.1</v>
      </c>
      <c r="C1117" s="986" t="str">
        <f>VLOOKUP(B1117,Lansekap!C:T,2,FALSE)</f>
        <v xml:space="preserve">Penyiraman pada Masa Pemeliharaan </v>
      </c>
      <c r="D1117" s="994"/>
      <c r="E1117" s="1022">
        <f>VLOOKUP(C1117,Lansekap!D:T,15,FALSE)</f>
        <v>0</v>
      </c>
      <c r="F1117" s="1004">
        <f>VLOOKUP(C1117,Lansekap!D:T,16,FALSE)</f>
        <v>0</v>
      </c>
      <c r="G1117" s="36">
        <f>VLOOKUP(C1117,Lansekap!D:T,17,FALSE)</f>
        <v>0</v>
      </c>
      <c r="H1117" s="1092"/>
      <c r="I1117" s="21"/>
    </row>
    <row r="1118" spans="1:9" ht="24" customHeight="1">
      <c r="B1118" s="1033" t="str">
        <f>Lansekap!C7329</f>
        <v>4.2.1.1</v>
      </c>
      <c r="C1118" s="12" t="str">
        <f>VLOOKUP(B1118,Lansekap!C:T,2,FALSE)</f>
        <v>Penyiraman 1m2 Area Tanam untuk 1 hari (dengan Selang Plastik
3/4 inch)</v>
      </c>
      <c r="D1118" s="9" t="s">
        <v>62</v>
      </c>
      <c r="E1118" s="1021">
        <f>VLOOKUP(C1118,Lansekap!D:T,15,FALSE)</f>
        <v>0</v>
      </c>
      <c r="F1118" s="1003" t="str">
        <f>VLOOKUP(C1118,Lansekap!D:T,16,FALSE)</f>
        <v>Revisi</v>
      </c>
      <c r="G1118" s="12" t="str">
        <f>VLOOKUP(C1118,Lansekap!D:T,17,FALSE)</f>
        <v xml:space="preserve">Perubaha penambahan tenaga kerja mandor </v>
      </c>
      <c r="H1118" s="374"/>
      <c r="I1118" s="16"/>
    </row>
    <row r="1119" spans="1:9" ht="24" customHeight="1">
      <c r="B1119" s="1033" t="str">
        <f>Lansekap!C7345</f>
        <v>4.2.1.2</v>
      </c>
      <c r="C1119" s="12" t="str">
        <f>VLOOKUP(B1119,Lansekap!C:T,2,FALSE)</f>
        <v>Penyiraman 1 m2 Area Tanam untuk 1 hari (dengan Sprinkler)
*Sistem Sprinkler Tersedia</v>
      </c>
      <c r="D1119" s="9" t="s">
        <v>62</v>
      </c>
      <c r="E1119" s="1021">
        <f>VLOOKUP(C1119,Lansekap!D:T,15,FALSE)</f>
        <v>0</v>
      </c>
      <c r="F1119" s="1003" t="str">
        <f>VLOOKUP(C1119,Lansekap!D:T,16,FALSE)</f>
        <v>Revisi</v>
      </c>
      <c r="G1119" s="12" t="str">
        <f>VLOOKUP(C1119,Lansekap!D:T,17,FALSE)</f>
        <v xml:space="preserve">Perubaha penambahan tenaga kerja mandor </v>
      </c>
      <c r="H1119" s="374"/>
      <c r="I1119" s="16"/>
    </row>
    <row r="1120" spans="1:9" s="1" customFormat="1" ht="24" customHeight="1">
      <c r="A1120" s="47"/>
      <c r="B1120" s="1046" t="str">
        <f>Lansekap!C7361</f>
        <v>4.2.2</v>
      </c>
      <c r="C1120" s="987" t="str">
        <f>VLOOKUP(B1120,Lansekap!C:T,2,FALSE)</f>
        <v xml:space="preserve">Pemupukan Organik </v>
      </c>
      <c r="D1120" s="587"/>
      <c r="E1120" s="1038">
        <f>VLOOKUP(C1120,Lansekap!D:T,15,FALSE)</f>
        <v>0</v>
      </c>
      <c r="F1120" s="1004">
        <f>VLOOKUP(C1120,Lansekap!D:T,16,FALSE)</f>
        <v>0</v>
      </c>
      <c r="G1120" s="36">
        <f>VLOOKUP(C1120,Lansekap!D:T,17,FALSE)</f>
        <v>0</v>
      </c>
      <c r="H1120" s="1092"/>
      <c r="I1120" s="21"/>
    </row>
    <row r="1121" spans="1:9" ht="24" customHeight="1">
      <c r="B1121" s="1037" t="s">
        <v>5687</v>
      </c>
      <c r="C1121" s="285" t="str">
        <f>VLOOKUP(B1121,Lansekap!C:T,2,FALSE)</f>
        <v>Pemupukan Pupuk Organik (1 kali) untuk 1 Buah Pohon/Palem</v>
      </c>
      <c r="D1121" s="176" t="s">
        <v>44</v>
      </c>
      <c r="E1121" s="1038">
        <f>VLOOKUP(C1121,Lansekap!D:T,15,FALSE)</f>
        <v>3400</v>
      </c>
      <c r="F1121" s="1003" t="str">
        <f>VLOOKUP(C1121,Lansekap!D:T,16,FALSE)</f>
        <v>Revisi</v>
      </c>
      <c r="G1121" s="12" t="str">
        <f>VLOOKUP(C1121,Lansekap!D:T,17,FALSE)</f>
        <v xml:space="preserve">Perubaha penambahan tenaga kerja mandor dan perubahan koefisien Bahan </v>
      </c>
      <c r="H1121" s="374"/>
      <c r="I1121" s="16"/>
    </row>
    <row r="1122" spans="1:9" ht="24" customHeight="1">
      <c r="B1122" s="1037" t="str">
        <f>Lansekap!C7378</f>
        <v>4.2.2.2</v>
      </c>
      <c r="C1122" s="285" t="str">
        <f>VLOOKUP(B1122,Lansekap!C:T,2,FALSE)</f>
        <v>Pemupukan Pupuk Organik (1 kali) untuk 1 m2 Semak/Penutup
Tanah/Rumput</v>
      </c>
      <c r="D1122" s="176" t="s">
        <v>62</v>
      </c>
      <c r="E1122" s="1038">
        <f>VLOOKUP(C1122,Lansekap!D:T,15,FALSE)</f>
        <v>200</v>
      </c>
      <c r="F1122" s="1003" t="str">
        <f>VLOOKUP(C1122,Lansekap!D:T,16,FALSE)</f>
        <v>Revisi</v>
      </c>
      <c r="G1122" s="12" t="str">
        <f>VLOOKUP(C1122,Lansekap!D:T,17,FALSE)</f>
        <v xml:space="preserve">Perubaha penambahan tenaga kerja mandor dan perubahan koefisien Bahan </v>
      </c>
      <c r="H1122" s="374"/>
      <c r="I1122" s="16"/>
    </row>
    <row r="1123" spans="1:9" s="1" customFormat="1" ht="24" customHeight="1">
      <c r="A1123" s="47"/>
      <c r="B1123" s="1046" t="str">
        <f>Lansekap!C7394</f>
        <v>4.2.3</v>
      </c>
      <c r="C1123" s="987" t="str">
        <f>VLOOKUP(B1123,Lansekap!C:T,2,FALSE)</f>
        <v xml:space="preserve">Pemupukan Anorganik </v>
      </c>
      <c r="D1123" s="587"/>
      <c r="E1123" s="1038">
        <f>VLOOKUP(C1123,Lansekap!D:T,15,FALSE)</f>
        <v>0</v>
      </c>
      <c r="F1123" s="1003">
        <f>VLOOKUP(C1123,Lansekap!D:T,16,FALSE)</f>
        <v>0</v>
      </c>
      <c r="G1123" s="12">
        <f>VLOOKUP(C1123,Lansekap!D:T,17,FALSE)</f>
        <v>0</v>
      </c>
      <c r="H1123" s="1092"/>
      <c r="I1123" s="21"/>
    </row>
    <row r="1124" spans="1:9" ht="24" customHeight="1">
      <c r="B1124" s="1037" t="str">
        <f>Lansekap!C7395</f>
        <v>4.2.3.1</v>
      </c>
      <c r="C1124" s="285" t="str">
        <f>VLOOKUP(B1124,Lansekap!C:T,2,FALSE)</f>
        <v>Pemupukan Pupuk Anorganik Padat (1 kali) untuk 1 Buah
Pohon/Palem</v>
      </c>
      <c r="D1124" s="176" t="s">
        <v>44</v>
      </c>
      <c r="E1124" s="1038">
        <f>VLOOKUP(C1124,Lansekap!D:T,15,FALSE)</f>
        <v>4400</v>
      </c>
      <c r="F1124" s="1003" t="str">
        <f>VLOOKUP(C1124,Lansekap!D:T,16,FALSE)</f>
        <v>Revisi</v>
      </c>
      <c r="G1124" s="12" t="str">
        <f>VLOOKUP(C1124,Lansekap!D:T,17,FALSE)</f>
        <v xml:space="preserve">PerubahanTenaga kerja jadi mandor, koefisie tenaga kerja dan penambahan peralatan </v>
      </c>
      <c r="H1124" s="374"/>
      <c r="I1124" s="16"/>
    </row>
    <row r="1125" spans="1:9" ht="24" customHeight="1">
      <c r="B1125" s="1037" t="str">
        <f>Lansekap!C7413</f>
        <v>4.2.3.2</v>
      </c>
      <c r="C1125" s="285" t="str">
        <f>VLOOKUP(B1125,Lansekap!C:T,2,FALSE)</f>
        <v>Pemupukan Pupuk Anorganik Padat (1 kali) untuk 1 m2 Semak</v>
      </c>
      <c r="D1125" s="176" t="s">
        <v>62</v>
      </c>
      <c r="E1125" s="1038">
        <f>VLOOKUP(C1125,Lansekap!D:T,15,FALSE)</f>
        <v>1400</v>
      </c>
      <c r="F1125" s="1003" t="str">
        <f>VLOOKUP(C1125,Lansekap!D:T,16,FALSE)</f>
        <v>Revisi</v>
      </c>
      <c r="G1125" s="12" t="str">
        <f>VLOOKUP(C1125,Lansekap!D:T,17,FALSE)</f>
        <v xml:space="preserve">PerubahanTenaga kerja jadi mandor, koefisie tenaga kerja dan penambahan peralatan </v>
      </c>
      <c r="H1125" s="374"/>
      <c r="I1125" s="16"/>
    </row>
    <row r="1126" spans="1:9" ht="24" customHeight="1">
      <c r="B1126" s="1037" t="str">
        <f>Lansekap!C7431</f>
        <v>4.2.3.2a</v>
      </c>
      <c r="C1126" s="285" t="str">
        <f>VLOOKUP(B1126,Lansekap!C:T,2,FALSE)</f>
        <v>Pemupukan Pupuk Anorganik Padat (1 kali) untuk 1 m2 Semak</v>
      </c>
      <c r="D1126" s="176" t="s">
        <v>62</v>
      </c>
      <c r="E1126" s="1038">
        <f>VLOOKUP(C1126,Lansekap!D:T,15,FALSE)</f>
        <v>1400</v>
      </c>
      <c r="F1126" s="1003" t="str">
        <f>VLOOKUP(C1126,Lansekap!D:T,16,FALSE)</f>
        <v>Revisi</v>
      </c>
      <c r="G1126" s="12" t="str">
        <f>VLOOKUP(C1126,Lansekap!D:T,17,FALSE)</f>
        <v xml:space="preserve">PerubahanTenaga kerja jadi mandor, koefisie tenaga kerja dan penambahan peralatan </v>
      </c>
      <c r="H1126" s="374"/>
      <c r="I1126" s="16"/>
    </row>
    <row r="1127" spans="1:9" ht="24" customHeight="1">
      <c r="B1127" s="1037" t="str">
        <f>Lansekap!C7450</f>
        <v>4.2.3.3</v>
      </c>
      <c r="C1127" s="285" t="str">
        <f>VLOOKUP(B1127,Lansekap!C:T,2,FALSE)</f>
        <v>Pemupukan pupuk anorganik cair (1 kali) untuk 1 buah
pohon/palem</v>
      </c>
      <c r="D1127" s="176" t="s">
        <v>44</v>
      </c>
      <c r="E1127" s="1038">
        <f>VLOOKUP(C1127,Lansekap!D:T,15,FALSE)</f>
        <v>4400</v>
      </c>
      <c r="F1127" s="1003" t="str">
        <f>VLOOKUP(C1127,Lansekap!D:T,16,FALSE)</f>
        <v>Revisi</v>
      </c>
      <c r="G1127" s="12" t="str">
        <f>VLOOKUP(C1127,Lansekap!D:T,17,FALSE)</f>
        <v>Perubahan Koefisien Bahan Pupuk</v>
      </c>
      <c r="H1127" s="374"/>
      <c r="I1127" s="16"/>
    </row>
    <row r="1128" spans="1:9" ht="24" customHeight="1">
      <c r="B1128" s="1037" t="str">
        <f>Lansekap!C7467</f>
        <v>4.2.3.4</v>
      </c>
      <c r="C1128" s="285" t="str">
        <f>VLOOKUP(B1128,Lansekap!C:T,2,FALSE)</f>
        <v>Pemupukan pupuk anorganik cair (1 kali) untuk 1 buah
semak/penutup tanah/rumput</v>
      </c>
      <c r="D1128" s="176" t="s">
        <v>44</v>
      </c>
      <c r="E1128" s="1038">
        <f>VLOOKUP(C1128,Lansekap!D:T,15,FALSE)</f>
        <v>1200</v>
      </c>
      <c r="F1128" s="1003">
        <f>VLOOKUP(C1128,Lansekap!D:T,16,FALSE)</f>
        <v>0</v>
      </c>
      <c r="G1128" s="12">
        <f>VLOOKUP(C1128,Lansekap!D:T,17,FALSE)</f>
        <v>0</v>
      </c>
      <c r="H1128" s="374"/>
      <c r="I1128" s="16"/>
    </row>
    <row r="1129" spans="1:9" s="1" customFormat="1" ht="24" customHeight="1">
      <c r="A1129" s="47"/>
      <c r="B1129" s="1046" t="str">
        <f>Lansekap!C7484</f>
        <v>4.2.4</v>
      </c>
      <c r="C1129" s="987" t="str">
        <f>VLOOKUP(B1129,Lansekap!C:T,2,FALSE)</f>
        <v xml:space="preserve">Pemangkasan </v>
      </c>
      <c r="D1129" s="587"/>
      <c r="E1129" s="1038">
        <f>VLOOKUP(C1129,Lansekap!D:T,15,FALSE)</f>
        <v>0</v>
      </c>
      <c r="F1129" s="1003">
        <f>VLOOKUP(C1129,Lansekap!D:T,16,FALSE)</f>
        <v>0</v>
      </c>
      <c r="G1129" s="12">
        <f>VLOOKUP(C1129,Lansekap!D:T,17,FALSE)</f>
        <v>0</v>
      </c>
      <c r="H1129" s="1092"/>
      <c r="I1129" s="21"/>
    </row>
    <row r="1130" spans="1:9" ht="24" customHeight="1">
      <c r="B1130" s="1037" t="str">
        <f>Lansekap!C7485</f>
        <v>4.2.4.1</v>
      </c>
      <c r="C1130" s="285" t="str">
        <f>VLOOKUP(B1130,Lansekap!C:T,2,FALSE)</f>
        <v>Pemangkasan 1 Buah Pohon Kecil (Dia. Tajuk &lt; 5 m, Tinggi 3-6m)
Termasuk Pengangkutan Keluar Area Tanam</v>
      </c>
      <c r="D1130" s="176" t="s">
        <v>44</v>
      </c>
      <c r="E1130" s="1038">
        <f>VLOOKUP(C1130,Lansekap!D:T,15,FALSE)</f>
        <v>10200</v>
      </c>
      <c r="F1130" s="1003" t="str">
        <f>VLOOKUP(C1130,Lansekap!D:T,16,FALSE)</f>
        <v>Revisi</v>
      </c>
      <c r="G1130" s="12" t="str">
        <f>VLOOKUP(C1130,Lansekap!D:T,17,FALSE)</f>
        <v xml:space="preserve">Penambahan pada tenaga kerja KepalaTukang Tanam dan mandor </v>
      </c>
      <c r="H1130" s="374"/>
      <c r="I1130" s="16"/>
    </row>
    <row r="1131" spans="1:9" ht="24" customHeight="1">
      <c r="B1131" s="1037" t="str">
        <f>Lansekap!C7503</f>
        <v>4.2.4.2</v>
      </c>
      <c r="C1131" s="285" t="str">
        <f>VLOOKUP(B1131,Lansekap!C:T,2,FALSE)</f>
        <v>Pemangkasan 1 Buah Pohon Kecil (Dia. Tajuk &lt; 5 m, Tinggi 3-6m)
Termasuk Pengangkutan Keluar Area Tanam</v>
      </c>
      <c r="D1131" s="176" t="s">
        <v>44</v>
      </c>
      <c r="E1131" s="1038">
        <f>VLOOKUP(C1131,Lansekap!D:T,15,FALSE)</f>
        <v>10200</v>
      </c>
      <c r="F1131" s="1003" t="str">
        <f>VLOOKUP(C1131,Lansekap!D:T,16,FALSE)</f>
        <v>Revisi</v>
      </c>
      <c r="G1131" s="12" t="str">
        <f>VLOOKUP(C1131,Lansekap!D:T,17,FALSE)</f>
        <v xml:space="preserve">Penambahan pada tenaga kerja KepalaTukang Tanam dan mandor </v>
      </c>
      <c r="H1131" s="374"/>
      <c r="I1131" s="16"/>
    </row>
    <row r="1132" spans="1:9" ht="24" customHeight="1">
      <c r="B1132" s="1037" t="str">
        <f>Lansekap!C7522</f>
        <v>4.2.4.3</v>
      </c>
      <c r="C1132" s="285" t="str">
        <f>VLOOKUP(B1132,Lansekap!C:T,2,FALSE)</f>
        <v>Pemangkasan 1 Buah Pohon Besar (Dia. Tajuk &gt; 10 m) Termasuk
Pengangkutan Keluar Area Tanam</v>
      </c>
      <c r="D1132" s="176" t="s">
        <v>44</v>
      </c>
      <c r="E1132" s="1038">
        <f>VLOOKUP(C1132,Lansekap!D:T,15,FALSE)</f>
        <v>31300</v>
      </c>
      <c r="F1132" s="1003" t="str">
        <f>VLOOKUP(C1132,Lansekap!D:T,16,FALSE)</f>
        <v>Revisi</v>
      </c>
      <c r="G1132" s="12" t="str">
        <f>VLOOKUP(C1132,Lansekap!D:T,17,FALSE)</f>
        <v xml:space="preserve">Penambahan pada tenaga kerja KepalaTukang Tanam dan mandor </v>
      </c>
      <c r="H1132" s="374"/>
      <c r="I1132" s="16"/>
    </row>
    <row r="1133" spans="1:9" ht="24" customHeight="1">
      <c r="B1133" s="1037" t="str">
        <f>Lansekap!C7540</f>
        <v>4.2.4.3a</v>
      </c>
      <c r="C1133" s="285" t="str">
        <f>VLOOKUP(B1133,Lansekap!C:T,2,FALSE)</f>
        <v>Pemangkasan 1 Buah Palem Sedang/Besar, Termasuk
Pengangkutan Keluar Area Tanam</v>
      </c>
      <c r="D1133" s="176" t="s">
        <v>44</v>
      </c>
      <c r="E1133" s="1038">
        <f>VLOOKUP(C1133,Lansekap!D:T,15,FALSE)</f>
        <v>17500</v>
      </c>
      <c r="F1133" s="1003" t="str">
        <f>VLOOKUP(C1133,Lansekap!D:T,16,FALSE)</f>
        <v>Revisi</v>
      </c>
      <c r="G1133" s="12" t="str">
        <f>VLOOKUP(C1133,Lansekap!D:T,17,FALSE)</f>
        <v>Item Baru</v>
      </c>
      <c r="H1133" s="374"/>
      <c r="I1133" s="16"/>
    </row>
    <row r="1134" spans="1:9" ht="24" customHeight="1">
      <c r="B1134" s="1037" t="str">
        <f>Lansekap!C7555</f>
        <v>4.2.4.4</v>
      </c>
      <c r="C1134" s="285" t="str">
        <f>VLOOKUP(B1134,Lansekap!C:T,2,FALSE)</f>
        <v>Pemangkasan 1 m2 Semak dengan Gunting Pangkas</v>
      </c>
      <c r="D1134" s="176" t="s">
        <v>62</v>
      </c>
      <c r="E1134" s="1038">
        <f>VLOOKUP(C1134,Lansekap!D:T,15,FALSE)</f>
        <v>2500</v>
      </c>
      <c r="F1134" s="1003" t="str">
        <f>VLOOKUP(C1134,Lansekap!D:T,16,FALSE)</f>
        <v>Revisi</v>
      </c>
      <c r="G1134" s="12" t="str">
        <f>VLOOKUP(C1134,Lansekap!D:T,17,FALSE)</f>
        <v xml:space="preserve">Penambahan pada tenaga kerja KepalaTukang Tanam dan mandor </v>
      </c>
      <c r="H1134" s="374"/>
      <c r="I1134" s="16"/>
    </row>
    <row r="1135" spans="1:9" ht="24" customHeight="1">
      <c r="B1135" s="1037" t="str">
        <f>Lansekap!C7573</f>
        <v>4.2.4.4a</v>
      </c>
      <c r="C1135" s="285" t="str">
        <f>VLOOKUP(B1135,Lansekap!C:T,2,FALSE)</f>
        <v>Pemangkasan 1 m2 Penutup Tanah dengan Gunting Pangkas</v>
      </c>
      <c r="D1135" s="176" t="s">
        <v>62</v>
      </c>
      <c r="E1135" s="1038">
        <f>VLOOKUP(C1135,Lansekap!D:T,15,FALSE)</f>
        <v>1600</v>
      </c>
      <c r="F1135" s="1003" t="str">
        <f>VLOOKUP(C1135,Lansekap!D:T,16,FALSE)</f>
        <v>Revisi</v>
      </c>
      <c r="G1135" s="12" t="str">
        <f>VLOOKUP(C1135,Lansekap!D:T,17,FALSE)</f>
        <v>Item Baru</v>
      </c>
      <c r="H1135" s="374"/>
      <c r="I1135" s="16"/>
    </row>
    <row r="1136" spans="1:9" ht="24" customHeight="1">
      <c r="B1136" s="1037" t="str">
        <f>Lansekap!C7588</f>
        <v>4.2.4.5</v>
      </c>
      <c r="C1136" s="285" t="str">
        <f>VLOOKUP(B1136,Lansekap!C:T,2,FALSE)</f>
        <v>Pemangkasan 1 m2 Rumput dengan Mesin Gendong</v>
      </c>
      <c r="D1136" s="176" t="s">
        <v>62</v>
      </c>
      <c r="E1136" s="1038">
        <f>VLOOKUP(C1136,Lansekap!D:T,15,FALSE)</f>
        <v>1400</v>
      </c>
      <c r="F1136" s="1003" t="str">
        <f>VLOOKUP(C1136,Lansekap!D:T,16,FALSE)</f>
        <v>Revisi</v>
      </c>
      <c r="G1136" s="12" t="str">
        <f>VLOOKUP(C1136,Lansekap!D:T,17,FALSE)</f>
        <v xml:space="preserve">Penambahan pada tenaga kerja KepalaTukang Tanam dan mandor </v>
      </c>
      <c r="H1136" s="374"/>
      <c r="I1136" s="16"/>
    </row>
    <row r="1137" spans="1:9" ht="24" customHeight="1">
      <c r="B1137" s="1037" t="str">
        <f>Lansekap!C7604</f>
        <v>4.2.4.6</v>
      </c>
      <c r="C1137" s="285" t="str">
        <f>VLOOKUP(B1137,Lansekap!C:T,2,FALSE)</f>
        <v>Pemangkasan 1 m2 Rumput dengan Mesin Dorong</v>
      </c>
      <c r="D1137" s="176" t="s">
        <v>7714</v>
      </c>
      <c r="E1137" s="1038">
        <f>VLOOKUP(C1137,Lansekap!D:T,15,FALSE)</f>
        <v>0</v>
      </c>
      <c r="F1137" s="1003" t="str">
        <f>VLOOKUP(C1137,Lansekap!D:T,16,FALSE)</f>
        <v>Revisi</v>
      </c>
      <c r="G1137" s="12" t="str">
        <f>VLOOKUP(C1137,Lansekap!D:T,17,FALSE)</f>
        <v xml:space="preserve">Penambahan pada tenaga kerja KepalaTukang Tanam dan mandor, dan penambahan peralatan  </v>
      </c>
      <c r="H1137" s="374"/>
      <c r="I1137" s="16"/>
    </row>
    <row r="1138" spans="1:9" s="1" customFormat="1" ht="24" customHeight="1">
      <c r="A1138" s="47"/>
      <c r="B1138" s="1046" t="str">
        <f>Lansekap!C7621</f>
        <v>4.2.5</v>
      </c>
      <c r="C1138" s="991" t="str">
        <f>VLOOKUP(B1138,Lansekap!C:T,2,FALSE)</f>
        <v>Penyemprotan Pestisida (Insektisida/Fungisida)</v>
      </c>
      <c r="D1138" s="587"/>
      <c r="E1138" s="1038">
        <f>VLOOKUP(C1138,Lansekap!D:T,15,FALSE)</f>
        <v>0</v>
      </c>
      <c r="F1138" s="1003">
        <f>VLOOKUP(C1138,Lansekap!D:T,16,FALSE)</f>
        <v>0</v>
      </c>
      <c r="G1138" s="12">
        <f>VLOOKUP(C1138,Lansekap!D:T,17,FALSE)</f>
        <v>0</v>
      </c>
      <c r="H1138" s="1092"/>
      <c r="I1138" s="21"/>
    </row>
    <row r="1139" spans="1:9" ht="24" customHeight="1">
      <c r="B1139" s="1037" t="str">
        <f>Lansekap!C7622</f>
        <v>4.2.5.1</v>
      </c>
      <c r="C1139" s="285" t="str">
        <f>VLOOKUP(B1139,Lansekap!C:T,2,FALSE)</f>
        <v>Penyemprotan Pestisida (Insektisida/Fungisida) dengan Sprayer
Gendong 1 Kali untuk 1 Buah Pohon/Palem</v>
      </c>
      <c r="D1139" s="176" t="s">
        <v>44</v>
      </c>
      <c r="E1139" s="1038">
        <f>VLOOKUP(C1139,Lansekap!D:T,15,FALSE)</f>
        <v>3600</v>
      </c>
      <c r="F1139" s="1003" t="str">
        <f>VLOOKUP(C1139,Lansekap!D:T,16,FALSE)</f>
        <v>Revisi</v>
      </c>
      <c r="G1139" s="12" t="str">
        <f>VLOOKUP(C1139,Lansekap!D:T,17,FALSE)</f>
        <v xml:space="preserve">Perubahan tenaga kerja pekerja jadi mandor, perubahan koefisien da penambahan peralatan </v>
      </c>
      <c r="H1139" s="374"/>
      <c r="I1139" s="16"/>
    </row>
    <row r="1140" spans="1:9" ht="24" customHeight="1">
      <c r="B1140" s="1037" t="str">
        <f>Lansekap!C7640</f>
        <v>4.2.5.2</v>
      </c>
      <c r="C1140" s="285" t="str">
        <f>VLOOKUP(B1140,Lansekap!C:T,2,FALSE)</f>
        <v>Penyemprotan Pestisida (Fungisida /Insektisida) dengan Sprayer
Gendong 1 Kali untuk 1 m2 Semak</v>
      </c>
      <c r="D1140" s="176" t="s">
        <v>62</v>
      </c>
      <c r="E1140" s="1038">
        <f>VLOOKUP(C1140,Lansekap!D:T,15,FALSE)</f>
        <v>900</v>
      </c>
      <c r="F1140" s="1003" t="str">
        <f>VLOOKUP(C1140,Lansekap!D:T,16,FALSE)</f>
        <v>Revisi</v>
      </c>
      <c r="G1140" s="12" t="str">
        <f>VLOOKUP(C1140,Lansekap!D:T,17,FALSE)</f>
        <v xml:space="preserve">Perubahan tenaga kerja pekerja jadi mandor, perubahan koefisien da penambahan peralatan </v>
      </c>
      <c r="H1140" s="374"/>
      <c r="I1140" s="16"/>
    </row>
    <row r="1141" spans="1:9" ht="24" customHeight="1">
      <c r="B1141" s="1037" t="str">
        <f>Lansekap!C7658</f>
        <v>4.2.5.3</v>
      </c>
      <c r="C1141" s="285" t="str">
        <f>VLOOKUP(B1141,Lansekap!C:T,2,FALSE)</f>
        <v>Penyemprotan Pestisida (Fungisida /Insektisida) dengan Sprayer
Gendong 1 Kali untuk 1 m2 Penutup Tanah/Rumput</v>
      </c>
      <c r="D1141" s="176" t="s">
        <v>62</v>
      </c>
      <c r="E1141" s="1038">
        <f>VLOOKUP(C1141,Lansekap!D:T,15,FALSE)</f>
        <v>700</v>
      </c>
      <c r="F1141" s="1003" t="str">
        <f>VLOOKUP(C1141,Lansekap!D:T,16,FALSE)</f>
        <v>Revisi</v>
      </c>
      <c r="G1141" s="12" t="str">
        <f>VLOOKUP(C1141,Lansekap!D:T,17,FALSE)</f>
        <v xml:space="preserve">Item Baru </v>
      </c>
      <c r="H1141" s="374"/>
      <c r="I1141" s="16"/>
    </row>
    <row r="1142" spans="1:9" s="1" customFormat="1" ht="24" customHeight="1">
      <c r="A1142" s="47"/>
      <c r="B1142" s="1046" t="str">
        <f>Lansekap!C7676</f>
        <v>4.2.6</v>
      </c>
      <c r="C1142" s="991" t="str">
        <f>VLOOKUP(B1142,Lansekap!C:T,2,FALSE)</f>
        <v>Pembersihan Lahan (Menyapu)</v>
      </c>
      <c r="D1142" s="587"/>
      <c r="E1142" s="1038">
        <f>VLOOKUP(C1142,Lansekap!D:T,15,FALSE)</f>
        <v>0</v>
      </c>
      <c r="F1142" s="1003">
        <f>VLOOKUP(C1142,Lansekap!D:T,16,FALSE)</f>
        <v>0</v>
      </c>
      <c r="G1142" s="12">
        <f>VLOOKUP(C1142,Lansekap!D:T,17,FALSE)</f>
        <v>0</v>
      </c>
      <c r="H1142" s="1092"/>
      <c r="I1142" s="21"/>
    </row>
    <row r="1143" spans="1:9" ht="24" customHeight="1">
      <c r="B1143" s="1037" t="str">
        <f>Lansekap!C7677</f>
        <v>4.2.6.1</v>
      </c>
      <c r="C1143" s="285" t="str">
        <f>VLOOKUP(B1143,Lansekap!C:T,2,FALSE)</f>
        <v>Pembersihan (Penyapuan) 1 m2 Area Tanam</v>
      </c>
      <c r="D1143" s="176" t="s">
        <v>62</v>
      </c>
      <c r="E1143" s="1038">
        <f>VLOOKUP(C1143,Lansekap!D:T,15,FALSE)</f>
        <v>0</v>
      </c>
      <c r="F1143" s="1003" t="str">
        <f>VLOOKUP(C1143,Lansekap!D:T,16,FALSE)</f>
        <v>Revisi</v>
      </c>
      <c r="G1143" s="12" t="str">
        <f>VLOOKUP(C1143,Lansekap!D:T,17,FALSE)</f>
        <v xml:space="preserve">Penambahan Tenaga Kerja Mandor </v>
      </c>
      <c r="H1143" s="374"/>
      <c r="I1143" s="16"/>
    </row>
    <row r="1144" spans="1:9" s="1" customFormat="1" ht="24" customHeight="1">
      <c r="A1144" s="47"/>
      <c r="B1144" s="1046" t="str">
        <f>Lansekap!C7692</f>
        <v>4.2.7</v>
      </c>
      <c r="C1144" s="991" t="str">
        <f>VLOOKUP(B1144,Lansekap!C:T,2,FALSE)</f>
        <v xml:space="preserve">Pencabutan Gulma </v>
      </c>
      <c r="D1144" s="587"/>
      <c r="E1144" s="1038">
        <f>VLOOKUP(C1144,Lansekap!D:T,15,FALSE)</f>
        <v>0</v>
      </c>
      <c r="F1144" s="1003">
        <f>VLOOKUP(C1144,Lansekap!D:T,16,FALSE)</f>
        <v>0</v>
      </c>
      <c r="G1144" s="12">
        <f>VLOOKUP(C1144,Lansekap!D:T,17,FALSE)</f>
        <v>0</v>
      </c>
      <c r="H1144" s="1092"/>
      <c r="I1144" s="21"/>
    </row>
    <row r="1145" spans="1:9" ht="24" customHeight="1">
      <c r="B1145" s="1037" t="str">
        <f>Lansekap!C7693</f>
        <v xml:space="preserve">4.2.7.1 </v>
      </c>
      <c r="C1145" s="285" t="str">
        <f>VLOOKUP(B1145,Lansekap!C:T,2,FALSE)</f>
        <v xml:space="preserve">Pencabutan Gulma (Intensitas Gulma di Atas 50%) 1 m2 Rumput </v>
      </c>
      <c r="D1145" s="176" t="s">
        <v>62</v>
      </c>
      <c r="E1145" s="1038">
        <f>VLOOKUP(C1145,Lansekap!D:T,15,FALSE)</f>
        <v>2600</v>
      </c>
      <c r="F1145" s="1003" t="str">
        <f>VLOOKUP(C1145,Lansekap!D:T,16,FALSE)</f>
        <v>Revisi</v>
      </c>
      <c r="G1145" s="12" t="str">
        <f>VLOOKUP(C1145,Lansekap!D:T,17,FALSE)</f>
        <v xml:space="preserve">Item Baru </v>
      </c>
      <c r="H1145" s="374"/>
      <c r="I1145" s="16"/>
    </row>
    <row r="1146" spans="1:9" ht="24" customHeight="1">
      <c r="B1146" s="1037" t="str">
        <f>Lansekap!C7709</f>
        <v xml:space="preserve">4.2.7.2 </v>
      </c>
      <c r="C1146" s="285" t="str">
        <f>VLOOKUP(B1146,Lansekap!C:T,2,FALSE)</f>
        <v>Pencabutan Gulma (Intensitas Gulma di Atas 20%) 1 m2 Rumput</v>
      </c>
      <c r="D1146" s="176" t="s">
        <v>62</v>
      </c>
      <c r="E1146" s="1038">
        <f>VLOOKUP(C1146,Lansekap!D:T,15,FALSE)</f>
        <v>1600</v>
      </c>
      <c r="F1146" s="1003" t="str">
        <f>VLOOKUP(C1146,Lansekap!D:T,16,FALSE)</f>
        <v>Revisi</v>
      </c>
      <c r="G1146" s="12" t="str">
        <f>VLOOKUP(C1146,Lansekap!D:T,17,FALSE)</f>
        <v xml:space="preserve">Item Baru </v>
      </c>
      <c r="H1146" s="374"/>
      <c r="I1146" s="16"/>
    </row>
    <row r="1147" spans="1:9" s="24" customFormat="1" ht="24" customHeight="1">
      <c r="A1147" s="47"/>
      <c r="B1147" s="1046" t="str">
        <f>Lansekap!C7726</f>
        <v>4.3.</v>
      </c>
      <c r="C1147" s="991" t="str">
        <f>VLOOKUP(B1147,Lansekap!C:T,2,FALSE)</f>
        <v>PEKERJAAN HARDSCAPE DAN STREET FURNITURE</v>
      </c>
      <c r="D1147" s="587"/>
      <c r="E1147" s="1047"/>
      <c r="F1147" s="1012"/>
      <c r="G1147" s="23"/>
      <c r="H1147" s="1092"/>
      <c r="I1147" s="25"/>
    </row>
    <row r="1148" spans="1:9" ht="24" customHeight="1">
      <c r="B1148" s="1037" t="str">
        <f>Lansekap!C7727</f>
        <v>4.3.1</v>
      </c>
      <c r="C1148" s="285" t="str">
        <f>VLOOKUP(B1148,Lansekap!C:T,2,FALSE)</f>
        <v>Pembuatan dan pemasangan 1 buah Tong Sampah Kaleng 2 Tabung dengan Rangka Hollow 30x60</v>
      </c>
      <c r="D1148" s="176" t="s">
        <v>44</v>
      </c>
      <c r="E1148" s="1038">
        <f>VLOOKUP(C1148,Lansekap!D:T,15,FALSE)</f>
        <v>16100</v>
      </c>
      <c r="F1148" s="1003">
        <f>VLOOKUP(C1148,Lansekap!D:T,16,FALSE)</f>
        <v>0</v>
      </c>
      <c r="G1148" s="12">
        <f>VLOOKUP(C1148,Lansekap!D:T,17,FALSE)</f>
        <v>0</v>
      </c>
      <c r="H1148" s="374"/>
      <c r="I1148" s="16"/>
    </row>
    <row r="1149" spans="1:9" s="26" customFormat="1" ht="24" customHeight="1">
      <c r="A1149" s="59"/>
      <c r="B1149" s="1044">
        <f>'Jaringan Listrik'!C2</f>
        <v>5</v>
      </c>
      <c r="C1149" s="1002" t="str">
        <f>VLOOKUP(B1149,'Jaringan Listrik'!C:K,2,FALSE)</f>
        <v xml:space="preserve">PEKERJAAN MEKANIKAL DAN ELEKTRIKAL </v>
      </c>
      <c r="D1149" s="995"/>
      <c r="E1149" s="1026"/>
      <c r="F1149" s="1013"/>
      <c r="G1149" s="32"/>
      <c r="H1149" s="374"/>
      <c r="I1149" s="27"/>
    </row>
    <row r="1150" spans="1:9" ht="24" customHeight="1">
      <c r="B1150" s="1043" t="str">
        <f>'Jaringan Listrik'!C3</f>
        <v>5.1</v>
      </c>
      <c r="C1150" s="1001" t="str">
        <f>VLOOKUP(B1150,'Jaringan Listrik'!C:K,2,FALSE)</f>
        <v>PEKERJAAN SISTEM DISTRIBUSI JARINGAN LISTRIK</v>
      </c>
      <c r="D1150" s="994"/>
      <c r="E1150" s="1027"/>
      <c r="F1150" s="1007"/>
      <c r="G1150" s="30"/>
      <c r="H1150" s="374"/>
      <c r="I1150" s="16"/>
    </row>
    <row r="1151" spans="1:9" s="1" customFormat="1" ht="24" customHeight="1">
      <c r="A1151" s="47"/>
      <c r="B1151" s="1046" t="str">
        <f>'Jaringan Listrik'!C4</f>
        <v>5.1.1</v>
      </c>
      <c r="C1151" s="1096" t="str">
        <f>VLOOKUP(B1151,'Jaringan Listrik'!C:K,2,FALSE)</f>
        <v>Pemasangan kabel arus kuat (kabel, kabel tray/ladder)</v>
      </c>
      <c r="D1151" s="587"/>
      <c r="E1151" s="1048">
        <f>VLOOKUP(C1151,'Jaringan Listrik'!$D$2:$I$5188,6,FALSE)</f>
        <v>0</v>
      </c>
      <c r="F1151" s="1014" t="e">
        <f>VLOOKUP(C1151,Persiapan!$D$5:$M$679,10,FALSE)</f>
        <v>#N/A</v>
      </c>
      <c r="G1151" s="38" t="e">
        <f>VLOOKUP(C1151,'Penutup Lantai dan Dinding'!$D$3:$K$2044,8,FALSE)</f>
        <v>#N/A</v>
      </c>
      <c r="H1151" s="1092"/>
      <c r="I1151" s="21"/>
    </row>
    <row r="1152" spans="1:9" s="1" customFormat="1" ht="24" customHeight="1">
      <c r="A1152" s="47"/>
      <c r="B1152" s="1041" t="str">
        <f>'Jaringan Listrik'!C5</f>
        <v>5.1.1.1</v>
      </c>
      <c r="C1152" s="40" t="str">
        <f>VLOOKUP(B1152,'Jaringan Listrik'!C:K,2,FALSE)</f>
        <v>Kabel NYY</v>
      </c>
      <c r="D1152" s="19"/>
      <c r="E1152" s="1042">
        <f>VLOOKUP(C1152,'Jaringan Listrik'!$D$2:$I$5188,6,FALSE)</f>
        <v>0</v>
      </c>
      <c r="F1152" s="1015" t="e">
        <f>VLOOKUP(C1152,Persiapan!$D$5:$M$679,10,FALSE)</f>
        <v>#N/A</v>
      </c>
      <c r="G1152" s="33" t="e">
        <f>VLOOKUP(C1152,'Penutup Lantai dan Dinding'!$D$3:$K$2044,8,FALSE)</f>
        <v>#N/A</v>
      </c>
      <c r="H1152" s="1092"/>
      <c r="I1152" s="21"/>
    </row>
    <row r="1153" spans="2:9" ht="24" customHeight="1">
      <c r="B1153" s="1033" t="str">
        <f>'Jaringan Listrik'!C6</f>
        <v>5.1.1.1.1</v>
      </c>
      <c r="C1153" s="39" t="str">
        <f>VLOOKUP(B1153,'Jaringan Listrik'!C:K,2,FALSE)</f>
        <v xml:space="preserve">Pemasangan 1 m' kabel NYY 1 x 4 mm² </v>
      </c>
      <c r="D1153" s="9" t="s">
        <v>113</v>
      </c>
      <c r="E1153" s="1021">
        <f>VLOOKUP(C1153,'Jaringan Listrik'!$D$2:$I$5188,6,FALSE)</f>
        <v>9400</v>
      </c>
      <c r="F1153" s="1003">
        <f>VLOOKUP(C1153,'Jaringan Listrik'!$D:$K,7,FALSE)</f>
        <v>0</v>
      </c>
      <c r="G1153" s="12">
        <f>VLOOKUP(C1153,'Jaringan Listrik'!$D:$K,8,FALSE)</f>
        <v>0</v>
      </c>
      <c r="H1153" s="374"/>
      <c r="I1153" s="16"/>
    </row>
    <row r="1154" spans="2:9" ht="24" customHeight="1">
      <c r="B1154" s="1033" t="str">
        <f>'Jaringan Listrik'!C23</f>
        <v>5.1.1.1.2</v>
      </c>
      <c r="C1154" s="39" t="str">
        <f>VLOOKUP(B1154,'Jaringan Listrik'!C:K,2,FALSE)</f>
        <v xml:space="preserve">Pemasangan 1 m' kabel NYY 1 x 6 mm² </v>
      </c>
      <c r="D1154" s="9" t="s">
        <v>113</v>
      </c>
      <c r="E1154" s="1021">
        <f>VLOOKUP(C1154,'Jaringan Listrik'!$D$2:$I$5188,6,FALSE)</f>
        <v>9400</v>
      </c>
      <c r="F1154" s="1003">
        <f>VLOOKUP(C1154,'Jaringan Listrik'!$D:$K,7,FALSE)</f>
        <v>0</v>
      </c>
      <c r="G1154" s="12">
        <f>VLOOKUP(C1154,'Jaringan Listrik'!$D:$K,8,FALSE)</f>
        <v>0</v>
      </c>
      <c r="H1154" s="374"/>
      <c r="I1154" s="16"/>
    </row>
    <row r="1155" spans="2:9" ht="24" customHeight="1">
      <c r="B1155" s="1033" t="str">
        <f>'Jaringan Listrik'!C40</f>
        <v>5.1.1.1.3</v>
      </c>
      <c r="C1155" s="39" t="str">
        <f>VLOOKUP(B1155,'Jaringan Listrik'!C:K,2,FALSE)</f>
        <v xml:space="preserve">Pemasangan 1 m' kabel NYY 1 x 10 mm² </v>
      </c>
      <c r="D1155" s="9" t="s">
        <v>113</v>
      </c>
      <c r="E1155" s="1021">
        <f>VLOOKUP(C1155,'Jaringan Listrik'!$D$2:$I$5188,6,FALSE)</f>
        <v>9400</v>
      </c>
      <c r="F1155" s="1003">
        <f>VLOOKUP(C1155,'Jaringan Listrik'!$D:$K,7,FALSE)</f>
        <v>0</v>
      </c>
      <c r="G1155" s="12">
        <f>VLOOKUP(C1155,'Jaringan Listrik'!$D:$K,8,FALSE)</f>
        <v>0</v>
      </c>
      <c r="H1155" s="374"/>
      <c r="I1155" s="16"/>
    </row>
    <row r="1156" spans="2:9" ht="24" customHeight="1">
      <c r="B1156" s="1033" t="str">
        <f>'Jaringan Listrik'!C57</f>
        <v>5.1.1.1.4</v>
      </c>
      <c r="C1156" s="39" t="str">
        <f>VLOOKUP(B1156,'Jaringan Listrik'!C:K,2,FALSE)</f>
        <v xml:space="preserve">Pemasangan 1 m' kabel NYY 1 x 16 mm² </v>
      </c>
      <c r="D1156" s="9" t="s">
        <v>113</v>
      </c>
      <c r="E1156" s="1021">
        <f>VLOOKUP(C1156,'Jaringan Listrik'!$D$2:$I$5188,6,FALSE)</f>
        <v>9400</v>
      </c>
      <c r="F1156" s="1003">
        <f>VLOOKUP(C1156,'Jaringan Listrik'!$D:$K,7,FALSE)</f>
        <v>0</v>
      </c>
      <c r="G1156" s="12">
        <f>VLOOKUP(C1156,'Jaringan Listrik'!$D:$K,8,FALSE)</f>
        <v>0</v>
      </c>
      <c r="H1156" s="374"/>
      <c r="I1156" s="16"/>
    </row>
    <row r="1157" spans="2:9" ht="24" customHeight="1">
      <c r="B1157" s="1033" t="str">
        <f>'Jaringan Listrik'!C74</f>
        <v>5.1.1.1.5</v>
      </c>
      <c r="C1157" s="39" t="str">
        <f>VLOOKUP(B1157,'Jaringan Listrik'!C:K,2,FALSE)</f>
        <v xml:space="preserve">Pemasangan 1 m' kabel NYY 1 x 25 mm² </v>
      </c>
      <c r="D1157" s="9" t="s">
        <v>113</v>
      </c>
      <c r="E1157" s="1021">
        <f>VLOOKUP(C1157,'Jaringan Listrik'!$D$2:$I$5188,6,FALSE)</f>
        <v>11400</v>
      </c>
      <c r="F1157" s="1003">
        <f>VLOOKUP(C1157,'Jaringan Listrik'!$D:$K,7,FALSE)</f>
        <v>0</v>
      </c>
      <c r="G1157" s="12">
        <f>VLOOKUP(C1157,'Jaringan Listrik'!$D:$K,8,FALSE)</f>
        <v>0</v>
      </c>
      <c r="H1157" s="374"/>
      <c r="I1157" s="16"/>
    </row>
    <row r="1158" spans="2:9" ht="24" customHeight="1">
      <c r="B1158" s="1033" t="str">
        <f>'Jaringan Listrik'!C91</f>
        <v>5.1.1.1.6</v>
      </c>
      <c r="C1158" s="39" t="str">
        <f>VLOOKUP(B1158,'Jaringan Listrik'!C:K,2,FALSE)</f>
        <v xml:space="preserve">Pemasangan 1 m' kabel NYY 1 x 35 mm² </v>
      </c>
      <c r="D1158" s="9" t="s">
        <v>113</v>
      </c>
      <c r="E1158" s="1021">
        <f>VLOOKUP(C1158,'Jaringan Listrik'!$D$2:$I$5188,6,FALSE)</f>
        <v>14200</v>
      </c>
      <c r="F1158" s="1003">
        <f>VLOOKUP(C1158,'Jaringan Listrik'!$D:$K,7,FALSE)</f>
        <v>0</v>
      </c>
      <c r="G1158" s="12">
        <f>VLOOKUP(C1158,'Jaringan Listrik'!$D:$K,8,FALSE)</f>
        <v>0</v>
      </c>
      <c r="H1158" s="374"/>
      <c r="I1158" s="16"/>
    </row>
    <row r="1159" spans="2:9" ht="24" customHeight="1">
      <c r="B1159" s="1033" t="str">
        <f>'Jaringan Listrik'!C108</f>
        <v>5.1.1.1.7</v>
      </c>
      <c r="C1159" s="39" t="str">
        <f>VLOOKUP(B1159,'Jaringan Listrik'!C:K,2,FALSE)</f>
        <v xml:space="preserve">Pemasangan 1 m' kabel NYY 1 x 50 mm² </v>
      </c>
      <c r="D1159" s="9" t="s">
        <v>113</v>
      </c>
      <c r="E1159" s="1021">
        <f>VLOOKUP(C1159,'Jaringan Listrik'!$D$2:$I$5188,6,FALSE)</f>
        <v>14200</v>
      </c>
      <c r="F1159" s="1003">
        <f>VLOOKUP(C1159,'Jaringan Listrik'!$D:$K,7,FALSE)</f>
        <v>0</v>
      </c>
      <c r="G1159" s="12">
        <f>VLOOKUP(C1159,'Jaringan Listrik'!$D:$K,8,FALSE)</f>
        <v>0</v>
      </c>
      <c r="H1159" s="374"/>
      <c r="I1159" s="16"/>
    </row>
    <row r="1160" spans="2:9" ht="24" customHeight="1">
      <c r="B1160" s="1033" t="str">
        <f>'Jaringan Listrik'!C125</f>
        <v>5.1.1.1.8</v>
      </c>
      <c r="C1160" s="39" t="str">
        <f>VLOOKUP(B1160,'Jaringan Listrik'!C:K,2,FALSE)</f>
        <v xml:space="preserve">Pemasangan 1 m' kabel NYY 1 x 70 mm² </v>
      </c>
      <c r="D1160" s="9" t="s">
        <v>113</v>
      </c>
      <c r="E1160" s="1021">
        <f>VLOOKUP(C1160,'Jaringan Listrik'!$D$2:$I$5188,6,FALSE)</f>
        <v>23400</v>
      </c>
      <c r="F1160" s="1003">
        <f>VLOOKUP(C1160,'Jaringan Listrik'!$D:$K,7,FALSE)</f>
        <v>0</v>
      </c>
      <c r="G1160" s="12">
        <f>VLOOKUP(C1160,'Jaringan Listrik'!$D:$K,8,FALSE)</f>
        <v>0</v>
      </c>
      <c r="H1160" s="374"/>
      <c r="I1160" s="16"/>
    </row>
    <row r="1161" spans="2:9" ht="24" customHeight="1">
      <c r="B1161" s="1033" t="str">
        <f>'Jaringan Listrik'!C142</f>
        <v>5.1.1.1.9</v>
      </c>
      <c r="C1161" s="39" t="str">
        <f>VLOOKUP(B1161,'Jaringan Listrik'!C:K,2,FALSE)</f>
        <v xml:space="preserve">Pemasangan 1 m' kabel NYY 1 x 95 mm² </v>
      </c>
      <c r="D1161" s="9" t="s">
        <v>113</v>
      </c>
      <c r="E1161" s="1021">
        <f>VLOOKUP(C1161,'Jaringan Listrik'!$D$2:$I$5188,6,FALSE)</f>
        <v>23400</v>
      </c>
      <c r="F1161" s="1003">
        <f>VLOOKUP(C1161,'Jaringan Listrik'!$D:$K,7,FALSE)</f>
        <v>0</v>
      </c>
      <c r="G1161" s="12">
        <f>VLOOKUP(C1161,'Jaringan Listrik'!$D:$K,8,FALSE)</f>
        <v>0</v>
      </c>
      <c r="H1161" s="374"/>
      <c r="I1161" s="16"/>
    </row>
    <row r="1162" spans="2:9" ht="24" customHeight="1">
      <c r="B1162" s="1033" t="str">
        <f>'Jaringan Listrik'!C159</f>
        <v>5.1.1.1.10</v>
      </c>
      <c r="C1162" s="39" t="str">
        <f>VLOOKUP(B1162,'Jaringan Listrik'!C:K,2,FALSE)</f>
        <v xml:space="preserve">Pemasangan 1 m' kabel NYY 1 x 120 mm² </v>
      </c>
      <c r="D1162" s="9" t="s">
        <v>113</v>
      </c>
      <c r="E1162" s="1021">
        <f>VLOOKUP(C1162,'Jaringan Listrik'!$D$2:$I$5188,6,FALSE)</f>
        <v>23400</v>
      </c>
      <c r="F1162" s="1003">
        <f>VLOOKUP(C1162,'Jaringan Listrik'!$D:$K,7,FALSE)</f>
        <v>0</v>
      </c>
      <c r="G1162" s="12">
        <f>VLOOKUP(C1162,'Jaringan Listrik'!$D:$K,8,FALSE)</f>
        <v>0</v>
      </c>
      <c r="H1162" s="374"/>
      <c r="I1162" s="16"/>
    </row>
    <row r="1163" spans="2:9" ht="24" customHeight="1">
      <c r="B1163" s="1033" t="str">
        <f>'Jaringan Listrik'!C176</f>
        <v>5.1.1.1.11</v>
      </c>
      <c r="C1163" s="39" t="str">
        <f>VLOOKUP(B1163,'Jaringan Listrik'!C:K,2,FALSE)</f>
        <v xml:space="preserve">Pemasangan 1 m' kabel NYY 1 x 150 mm² </v>
      </c>
      <c r="D1163" s="9" t="s">
        <v>113</v>
      </c>
      <c r="E1163" s="1021">
        <f>VLOOKUP(C1163,'Jaringan Listrik'!$D$2:$I$5188,6,FALSE)</f>
        <v>23400</v>
      </c>
      <c r="F1163" s="1003">
        <f>VLOOKUP(C1163,'Jaringan Listrik'!$D:$K,7,FALSE)</f>
        <v>0</v>
      </c>
      <c r="G1163" s="12">
        <f>VLOOKUP(C1163,'Jaringan Listrik'!$D:$K,8,FALSE)</f>
        <v>0</v>
      </c>
      <c r="H1163" s="374"/>
      <c r="I1163" s="16"/>
    </row>
    <row r="1164" spans="2:9" ht="24" customHeight="1">
      <c r="B1164" s="1033" t="str">
        <f>'Jaringan Listrik'!C193</f>
        <v>5.1.1.1.12</v>
      </c>
      <c r="C1164" s="39" t="str">
        <f>VLOOKUP(B1164,'Jaringan Listrik'!C:K,2,FALSE)</f>
        <v xml:space="preserve">Pemasangan 1 m' kabel NYY 1 x 185 mm² </v>
      </c>
      <c r="D1164" s="9" t="s">
        <v>113</v>
      </c>
      <c r="E1164" s="1021">
        <f>VLOOKUP(C1164,'Jaringan Listrik'!$D$2:$I$5188,6,FALSE)</f>
        <v>28100</v>
      </c>
      <c r="F1164" s="1003">
        <f>VLOOKUP(C1164,'Jaringan Listrik'!$D:$K,7,FALSE)</f>
        <v>0</v>
      </c>
      <c r="G1164" s="12">
        <f>VLOOKUP(C1164,'Jaringan Listrik'!$D:$K,8,FALSE)</f>
        <v>0</v>
      </c>
      <c r="H1164" s="374"/>
      <c r="I1164" s="16"/>
    </row>
    <row r="1165" spans="2:9" ht="24" customHeight="1">
      <c r="B1165" s="1033" t="str">
        <f>'Jaringan Listrik'!C210</f>
        <v>5.1.1.1.13</v>
      </c>
      <c r="C1165" s="39" t="str">
        <f>VLOOKUP(B1165,'Jaringan Listrik'!C:K,2,FALSE)</f>
        <v xml:space="preserve">Pemasangan 1 m' kabel NYY 1 x 250 mm² </v>
      </c>
      <c r="D1165" s="9" t="s">
        <v>113</v>
      </c>
      <c r="E1165" s="1021">
        <f>VLOOKUP(C1165,'Jaringan Listrik'!$D$2:$I$5188,6,FALSE)</f>
        <v>28100</v>
      </c>
      <c r="F1165" s="1003">
        <f>VLOOKUP(C1165,'Jaringan Listrik'!$D:$K,7,FALSE)</f>
        <v>0</v>
      </c>
      <c r="G1165" s="12">
        <f>VLOOKUP(C1165,'Jaringan Listrik'!$D:$K,8,FALSE)</f>
        <v>0</v>
      </c>
      <c r="H1165" s="374"/>
      <c r="I1165" s="16"/>
    </row>
    <row r="1166" spans="2:9" ht="24" customHeight="1">
      <c r="B1166" s="1033" t="str">
        <f>'Jaringan Listrik'!C227</f>
        <v>5.1.1.1.14</v>
      </c>
      <c r="C1166" s="39" t="str">
        <f>VLOOKUP(B1166,'Jaringan Listrik'!C:K,2,FALSE)</f>
        <v xml:space="preserve">Pemasangan 1 m' kabel NYY 1 x 300 mm² </v>
      </c>
      <c r="D1166" s="9" t="s">
        <v>113</v>
      </c>
      <c r="E1166" s="1021">
        <f>VLOOKUP(C1166,'Jaringan Listrik'!$D$2:$I$5188,6,FALSE)</f>
        <v>32900</v>
      </c>
      <c r="F1166" s="1003">
        <f>VLOOKUP(C1166,'Jaringan Listrik'!$D:$K,7,FALSE)</f>
        <v>0</v>
      </c>
      <c r="G1166" s="12">
        <f>VLOOKUP(C1166,'Jaringan Listrik'!$D:$K,8,FALSE)</f>
        <v>0</v>
      </c>
      <c r="H1166" s="374"/>
      <c r="I1166" s="16"/>
    </row>
    <row r="1167" spans="2:9" ht="24" customHeight="1">
      <c r="B1167" s="1033" t="str">
        <f>'Jaringan Listrik'!C244</f>
        <v>5.1.1.1.15</v>
      </c>
      <c r="C1167" s="39" t="str">
        <f>VLOOKUP(B1167,'Jaringan Listrik'!C:K,2,FALSE)</f>
        <v xml:space="preserve">Pemasangan 1 m' kabel NYY 1 x 400 mm² </v>
      </c>
      <c r="D1167" s="9" t="s">
        <v>113</v>
      </c>
      <c r="E1167" s="1021">
        <f>VLOOKUP(C1167,'Jaringan Listrik'!$D$2:$I$5188,6,FALSE)</f>
        <v>37500</v>
      </c>
      <c r="F1167" s="1003">
        <f>VLOOKUP(C1167,'Jaringan Listrik'!$D:$K,7,FALSE)</f>
        <v>0</v>
      </c>
      <c r="G1167" s="12">
        <f>VLOOKUP(C1167,'Jaringan Listrik'!$D:$K,8,FALSE)</f>
        <v>0</v>
      </c>
      <c r="H1167" s="374"/>
      <c r="I1167" s="16"/>
    </row>
    <row r="1168" spans="2:9" ht="24" customHeight="1">
      <c r="B1168" s="1033" t="str">
        <f>'Jaringan Listrik'!C261</f>
        <v>5.1.1.1.16</v>
      </c>
      <c r="C1168" s="39" t="str">
        <f>VLOOKUP(B1168,'Jaringan Listrik'!C:K,2,FALSE)</f>
        <v xml:space="preserve">Pemasangan 1 m' kabel NYY 1 x 500 mm² </v>
      </c>
      <c r="D1168" s="9" t="s">
        <v>113</v>
      </c>
      <c r="E1168" s="1021">
        <f>VLOOKUP(C1168,'Jaringan Listrik'!$D$2:$I$5188,6,FALSE)</f>
        <v>47100</v>
      </c>
      <c r="F1168" s="1003">
        <f>VLOOKUP(C1168,'Jaringan Listrik'!$D:$K,7,FALSE)</f>
        <v>0</v>
      </c>
      <c r="G1168" s="12">
        <f>VLOOKUP(C1168,'Jaringan Listrik'!$D:$K,8,FALSE)</f>
        <v>0</v>
      </c>
      <c r="H1168" s="374"/>
      <c r="I1168" s="16"/>
    </row>
    <row r="1169" spans="2:9" ht="24" customHeight="1">
      <c r="B1169" s="1033" t="str">
        <f>'Jaringan Listrik'!C278</f>
        <v>5.1.1.1.17</v>
      </c>
      <c r="C1169" s="39" t="str">
        <f>VLOOKUP(B1169,'Jaringan Listrik'!C:K,2,FALSE)</f>
        <v xml:space="preserve">Pemasangan 1 m' kabel NYY 1 x 630 mm² </v>
      </c>
      <c r="D1169" s="9" t="s">
        <v>113</v>
      </c>
      <c r="E1169" s="1021">
        <f>VLOOKUP(C1169,'Jaringan Listrik'!$D$2:$I$5188,6,FALSE)</f>
        <v>56500</v>
      </c>
      <c r="F1169" s="1003">
        <f>VLOOKUP(C1169,'Jaringan Listrik'!$D:$K,7,FALSE)</f>
        <v>0</v>
      </c>
      <c r="G1169" s="12">
        <f>VLOOKUP(C1169,'Jaringan Listrik'!$D:$K,8,FALSE)</f>
        <v>0</v>
      </c>
      <c r="H1169" s="374"/>
      <c r="I1169" s="16"/>
    </row>
    <row r="1170" spans="2:9" ht="24" customHeight="1">
      <c r="B1170" s="1033" t="str">
        <f>'Jaringan Listrik'!C295</f>
        <v>5.1.1.1.18</v>
      </c>
      <c r="C1170" s="39" t="str">
        <f>VLOOKUP(B1170,'Jaringan Listrik'!C:K,2,FALSE)</f>
        <v xml:space="preserve">Pemasangan 1 m' kabel NYY 2 x 1,5 mm² </v>
      </c>
      <c r="D1170" s="9" t="s">
        <v>113</v>
      </c>
      <c r="E1170" s="1021">
        <f>VLOOKUP(C1170,'Jaringan Listrik'!$D$2:$I$5188,6,FALSE)</f>
        <v>9400</v>
      </c>
      <c r="F1170" s="1003">
        <f>VLOOKUP(C1170,'Jaringan Listrik'!$D:$K,7,FALSE)</f>
        <v>0</v>
      </c>
      <c r="G1170" s="12">
        <f>VLOOKUP(C1170,'Jaringan Listrik'!$D:$K,8,FALSE)</f>
        <v>0</v>
      </c>
      <c r="H1170" s="374"/>
      <c r="I1170" s="16"/>
    </row>
    <row r="1171" spans="2:9" ht="24" customHeight="1">
      <c r="B1171" s="1033" t="str">
        <f>'Jaringan Listrik'!C312</f>
        <v>5.1.1.1.19</v>
      </c>
      <c r="C1171" s="39" t="str">
        <f>VLOOKUP(B1171,'Jaringan Listrik'!C:K,2,FALSE)</f>
        <v xml:space="preserve">Pemasangan 1 m' kabel NYY 2 x 2,5 mm² </v>
      </c>
      <c r="D1171" s="9" t="s">
        <v>113</v>
      </c>
      <c r="E1171" s="1021">
        <f>VLOOKUP(C1171,'Jaringan Listrik'!$D$2:$I$5188,6,FALSE)</f>
        <v>9400</v>
      </c>
      <c r="F1171" s="1003">
        <f>VLOOKUP(C1171,'Jaringan Listrik'!$D:$K,7,FALSE)</f>
        <v>0</v>
      </c>
      <c r="G1171" s="12">
        <f>VLOOKUP(C1171,'Jaringan Listrik'!$D:$K,8,FALSE)</f>
        <v>0</v>
      </c>
      <c r="H1171" s="374"/>
      <c r="I1171" s="16"/>
    </row>
    <row r="1172" spans="2:9" ht="24" customHeight="1">
      <c r="B1172" s="1033" t="str">
        <f>'Jaringan Listrik'!C329</f>
        <v>5.1.1.1.20</v>
      </c>
      <c r="C1172" s="39" t="str">
        <f>VLOOKUP(B1172,'Jaringan Listrik'!C:K,2,FALSE)</f>
        <v xml:space="preserve">Pemasangan 1 m' kabel NYY 2 x 4 mm² </v>
      </c>
      <c r="D1172" s="9" t="s">
        <v>113</v>
      </c>
      <c r="E1172" s="1021">
        <f>VLOOKUP(C1172,'Jaringan Listrik'!$D$2:$I$5188,6,FALSE)</f>
        <v>9400</v>
      </c>
      <c r="F1172" s="1003">
        <f>VLOOKUP(C1172,'Jaringan Listrik'!$D:$K,7,FALSE)</f>
        <v>0</v>
      </c>
      <c r="G1172" s="12">
        <f>VLOOKUP(C1172,'Jaringan Listrik'!$D:$K,8,FALSE)</f>
        <v>0</v>
      </c>
      <c r="H1172" s="374"/>
      <c r="I1172" s="16"/>
    </row>
    <row r="1173" spans="2:9" ht="24" customHeight="1">
      <c r="B1173" s="1033" t="str">
        <f>'Jaringan Listrik'!C346</f>
        <v>5.1.1.1..21</v>
      </c>
      <c r="C1173" s="39" t="str">
        <f>VLOOKUP(B1173,'Jaringan Listrik'!C:K,2,FALSE)</f>
        <v xml:space="preserve">Pemasangan 1 m' kabel NYY 2 x 6 mm² </v>
      </c>
      <c r="D1173" s="9" t="s">
        <v>113</v>
      </c>
      <c r="E1173" s="1021">
        <f>VLOOKUP(C1173,'Jaringan Listrik'!$D$2:$I$5188,6,FALSE)</f>
        <v>9400</v>
      </c>
      <c r="F1173" s="1003">
        <f>VLOOKUP(C1173,'Jaringan Listrik'!$D:$K,7,FALSE)</f>
        <v>0</v>
      </c>
      <c r="G1173" s="12">
        <f>VLOOKUP(C1173,'Jaringan Listrik'!$D:$K,8,FALSE)</f>
        <v>0</v>
      </c>
      <c r="H1173" s="374"/>
      <c r="I1173" s="16"/>
    </row>
    <row r="1174" spans="2:9" ht="24" customHeight="1">
      <c r="B1174" s="1033" t="str">
        <f>'Jaringan Listrik'!C363</f>
        <v>5.1.1.1.22</v>
      </c>
      <c r="C1174" s="39" t="str">
        <f>VLOOKUP(B1174,'Jaringan Listrik'!C:K,2,FALSE)</f>
        <v xml:space="preserve">Pemasangan 1 m' kabel NYY 2 x 10 mm² </v>
      </c>
      <c r="D1174" s="9" t="s">
        <v>113</v>
      </c>
      <c r="E1174" s="1021">
        <f>VLOOKUP(C1174,'Jaringan Listrik'!$D$2:$I$5188,6,FALSE)</f>
        <v>9400</v>
      </c>
      <c r="F1174" s="1003">
        <f>VLOOKUP(C1174,'Jaringan Listrik'!$D:$K,7,FALSE)</f>
        <v>0</v>
      </c>
      <c r="G1174" s="12">
        <f>VLOOKUP(C1174,'Jaringan Listrik'!$D:$K,8,FALSE)</f>
        <v>0</v>
      </c>
      <c r="H1174" s="374"/>
      <c r="I1174" s="16"/>
    </row>
    <row r="1175" spans="2:9" ht="24" customHeight="1">
      <c r="B1175" s="1033" t="str">
        <f>'Jaringan Listrik'!C380</f>
        <v>5.1.1.1.23</v>
      </c>
      <c r="C1175" s="39" t="str">
        <f>VLOOKUP(B1175,'Jaringan Listrik'!C:K,2,FALSE)</f>
        <v xml:space="preserve">Pemasangan 1 m' kabel NYY 2 x 16 mm² </v>
      </c>
      <c r="D1175" s="9" t="s">
        <v>113</v>
      </c>
      <c r="E1175" s="1021">
        <f>VLOOKUP(C1175,'Jaringan Listrik'!$D$2:$I$5188,6,FALSE)</f>
        <v>9400</v>
      </c>
      <c r="F1175" s="1003">
        <f>VLOOKUP(C1175,'Jaringan Listrik'!$D:$K,7,FALSE)</f>
        <v>0</v>
      </c>
      <c r="G1175" s="12">
        <f>VLOOKUP(C1175,'Jaringan Listrik'!$D:$K,8,FALSE)</f>
        <v>0</v>
      </c>
      <c r="H1175" s="374"/>
      <c r="I1175" s="16"/>
    </row>
    <row r="1176" spans="2:9" ht="24" customHeight="1">
      <c r="B1176" s="1033" t="str">
        <f>'Jaringan Listrik'!C397</f>
        <v>5.1.1.1.24</v>
      </c>
      <c r="C1176" s="1159" t="str">
        <f>VLOOKUP(B1176,'Jaringan Listrik'!C:K,2,FALSE)</f>
        <v xml:space="preserve">Pemasangan 1 m' kabel NYY 3 x 1,5 mm² </v>
      </c>
      <c r="D1176" s="9" t="s">
        <v>113</v>
      </c>
      <c r="E1176" s="1021">
        <f>VLOOKUP(C1176,'Jaringan Listrik'!$D$2:$I$5188,6,FALSE)</f>
        <v>28300</v>
      </c>
      <c r="F1176" s="1003">
        <f>VLOOKUP(C1176,'Jaringan Listrik'!$D:$K,7,FALSE)</f>
        <v>0</v>
      </c>
      <c r="G1176" s="12">
        <f>VLOOKUP(C1176,'Jaringan Listrik'!$D:$K,8,FALSE)</f>
        <v>0</v>
      </c>
      <c r="H1176" s="374"/>
      <c r="I1176" s="16"/>
    </row>
    <row r="1177" spans="2:9" ht="24" customHeight="1">
      <c r="B1177" s="1033" t="str">
        <f>'Jaringan Listrik'!C414</f>
        <v>5.1.1.1.25</v>
      </c>
      <c r="C1177" s="39" t="str">
        <f>VLOOKUP(B1177,'Jaringan Listrik'!C:K,2,FALSE)</f>
        <v xml:space="preserve">Pemasangan 1 m' kabel NYY 3 x 2,5 mm² </v>
      </c>
      <c r="D1177" s="9" t="s">
        <v>113</v>
      </c>
      <c r="E1177" s="1021">
        <f>VLOOKUP(C1177,'Jaringan Listrik'!$D$2:$I$5188,6,FALSE)</f>
        <v>9400</v>
      </c>
      <c r="F1177" s="1003">
        <f>VLOOKUP(C1177,'Jaringan Listrik'!$D:$K,7,FALSE)</f>
        <v>0</v>
      </c>
      <c r="G1177" s="12">
        <f>VLOOKUP(C1177,'Jaringan Listrik'!$D:$K,8,FALSE)</f>
        <v>0</v>
      </c>
      <c r="H1177" s="374"/>
      <c r="I1177" s="16"/>
    </row>
    <row r="1178" spans="2:9" ht="24" customHeight="1">
      <c r="B1178" s="1033" t="str">
        <f>'Jaringan Listrik'!C431</f>
        <v>5.1.1.1.26</v>
      </c>
      <c r="C1178" s="39" t="str">
        <f>VLOOKUP(B1178,'Jaringan Listrik'!C:K,2,FALSE)</f>
        <v xml:space="preserve">Pemasangan 1 m' kabel NYY 3 x 4 mm² </v>
      </c>
      <c r="D1178" s="9" t="s">
        <v>113</v>
      </c>
      <c r="E1178" s="1021">
        <f>VLOOKUP(C1178,'Jaringan Listrik'!$D$2:$I$5188,6,FALSE)</f>
        <v>11400</v>
      </c>
      <c r="F1178" s="1003">
        <f>VLOOKUP(C1178,'Jaringan Listrik'!$D:$K,7,FALSE)</f>
        <v>0</v>
      </c>
      <c r="G1178" s="12">
        <f>VLOOKUP(C1178,'Jaringan Listrik'!$D:$K,8,FALSE)</f>
        <v>0</v>
      </c>
      <c r="H1178" s="374"/>
      <c r="I1178" s="16"/>
    </row>
    <row r="1179" spans="2:9" ht="24" customHeight="1">
      <c r="B1179" s="1033" t="str">
        <f>'Jaringan Listrik'!C448</f>
        <v>5.1.1.1.27</v>
      </c>
      <c r="C1179" s="39" t="str">
        <f>VLOOKUP(B1179,'Jaringan Listrik'!C:K,2,FALSE)</f>
        <v xml:space="preserve">Pemasangan 1 m' kabel NYY 3 x 6 mm² </v>
      </c>
      <c r="D1179" s="9" t="s">
        <v>113</v>
      </c>
      <c r="E1179" s="1021">
        <f>VLOOKUP(C1179,'Jaringan Listrik'!$D$2:$I$5188,6,FALSE)</f>
        <v>11400</v>
      </c>
      <c r="F1179" s="1003">
        <f>VLOOKUP(C1179,'Jaringan Listrik'!$D:$K,7,FALSE)</f>
        <v>0</v>
      </c>
      <c r="G1179" s="12">
        <f>VLOOKUP(C1179,'Jaringan Listrik'!$D:$K,8,FALSE)</f>
        <v>0</v>
      </c>
      <c r="H1179" s="374"/>
      <c r="I1179" s="16"/>
    </row>
    <row r="1180" spans="2:9" ht="24" customHeight="1">
      <c r="B1180" s="1033" t="str">
        <f>'Jaringan Listrik'!C465</f>
        <v>5.1.1.1.28</v>
      </c>
      <c r="C1180" s="39" t="str">
        <f>VLOOKUP(B1180,'Jaringan Listrik'!C:K,2,FALSE)</f>
        <v xml:space="preserve">Pemasangan 1 m' kabel NYY 3 x 10 mm² </v>
      </c>
      <c r="D1180" s="9" t="s">
        <v>113</v>
      </c>
      <c r="E1180" s="1021">
        <f>VLOOKUP(C1180,'Jaringan Listrik'!$D$2:$I$5188,6,FALSE)</f>
        <v>14200</v>
      </c>
      <c r="F1180" s="1003">
        <f>VLOOKUP(C1180,'Jaringan Listrik'!$D:$K,7,FALSE)</f>
        <v>0</v>
      </c>
      <c r="G1180" s="12">
        <f>VLOOKUP(C1180,'Jaringan Listrik'!$D:$K,8,FALSE)</f>
        <v>0</v>
      </c>
      <c r="H1180" s="374"/>
      <c r="I1180" s="16"/>
    </row>
    <row r="1181" spans="2:9" ht="24" customHeight="1">
      <c r="B1181" s="1033" t="str">
        <f>'Jaringan Listrik'!C482</f>
        <v>5.1.1.1.29</v>
      </c>
      <c r="C1181" s="39" t="str">
        <f>VLOOKUP(B1181,'Jaringan Listrik'!C:K,2,FALSE)</f>
        <v xml:space="preserve">Pemasangan 1 m' kabel NYY 3 x 16 mm² </v>
      </c>
      <c r="D1181" s="9" t="s">
        <v>113</v>
      </c>
      <c r="E1181" s="1021">
        <f>VLOOKUP(C1181,'Jaringan Listrik'!$D$2:$I$5188,6,FALSE)</f>
        <v>14200</v>
      </c>
      <c r="F1181" s="1003">
        <f>VLOOKUP(C1181,'Jaringan Listrik'!$D:$K,7,FALSE)</f>
        <v>0</v>
      </c>
      <c r="G1181" s="12">
        <f>VLOOKUP(C1181,'Jaringan Listrik'!$D:$K,8,FALSE)</f>
        <v>0</v>
      </c>
      <c r="H1181" s="374"/>
      <c r="I1181" s="16"/>
    </row>
    <row r="1182" spans="2:9" ht="24" customHeight="1">
      <c r="B1182" s="1033" t="str">
        <f>'Jaringan Listrik'!C499</f>
        <v>5.1.1.1.30</v>
      </c>
      <c r="C1182" s="39" t="str">
        <f>VLOOKUP(B1182,'Jaringan Listrik'!C:K,2,FALSE)</f>
        <v xml:space="preserve">Pemasangan 1 m' kabel NYY 3 x 25 mm² </v>
      </c>
      <c r="D1182" s="9" t="s">
        <v>113</v>
      </c>
      <c r="E1182" s="1021">
        <f>VLOOKUP(C1182,'Jaringan Listrik'!$D$2:$I$5188,6,FALSE)</f>
        <v>14200</v>
      </c>
      <c r="F1182" s="1003">
        <f>VLOOKUP(C1182,'Jaringan Listrik'!$D:$K,7,FALSE)</f>
        <v>0</v>
      </c>
      <c r="G1182" s="12">
        <f>VLOOKUP(C1182,'Jaringan Listrik'!$D:$K,8,FALSE)</f>
        <v>0</v>
      </c>
      <c r="H1182" s="374"/>
      <c r="I1182" s="16"/>
    </row>
    <row r="1183" spans="2:9" ht="24" customHeight="1">
      <c r="B1183" s="1033" t="str">
        <f>'Jaringan Listrik'!C516</f>
        <v>5.1.1.1.31</v>
      </c>
      <c r="C1183" s="39" t="str">
        <f>VLOOKUP(B1183,'Jaringan Listrik'!C:K,2,FALSE)</f>
        <v xml:space="preserve">Pemasangan 1 m' kabel NYY 3 x 35 mm² </v>
      </c>
      <c r="D1183" s="9" t="s">
        <v>113</v>
      </c>
      <c r="E1183" s="1021">
        <f>VLOOKUP(C1183,'Jaringan Listrik'!$D$2:$I$5188,6,FALSE)</f>
        <v>16900</v>
      </c>
      <c r="F1183" s="1003">
        <f>VLOOKUP(C1183,'Jaringan Listrik'!$D:$K,7,FALSE)</f>
        <v>0</v>
      </c>
      <c r="G1183" s="12">
        <f>VLOOKUP(C1183,'Jaringan Listrik'!$D:$K,8,FALSE)</f>
        <v>0</v>
      </c>
      <c r="H1183" s="374"/>
      <c r="I1183" s="16"/>
    </row>
    <row r="1184" spans="2:9" ht="24" customHeight="1">
      <c r="B1184" s="1033" t="str">
        <f>'Jaringan Listrik'!C533</f>
        <v>5.1.1.1.32</v>
      </c>
      <c r="C1184" s="39" t="str">
        <f>VLOOKUP(B1184,'Jaringan Listrik'!C:K,2,FALSE)</f>
        <v xml:space="preserve">Pemasangan 1 m' kabel NYY 3 x 50 mm² </v>
      </c>
      <c r="D1184" s="9" t="s">
        <v>113</v>
      </c>
      <c r="E1184" s="1021">
        <f>VLOOKUP(C1184,'Jaringan Listrik'!$D$2:$I$5188,6,FALSE)</f>
        <v>19000</v>
      </c>
      <c r="F1184" s="1003">
        <f>VLOOKUP(C1184,'Jaringan Listrik'!$D:$K,7,FALSE)</f>
        <v>0</v>
      </c>
      <c r="G1184" s="12">
        <f>VLOOKUP(C1184,'Jaringan Listrik'!$D:$K,8,FALSE)</f>
        <v>0</v>
      </c>
      <c r="H1184" s="374"/>
      <c r="I1184" s="16"/>
    </row>
    <row r="1185" spans="2:9" ht="24" customHeight="1">
      <c r="B1185" s="1033" t="str">
        <f>'Jaringan Listrik'!C550</f>
        <v>5.1.1.1.33</v>
      </c>
      <c r="C1185" s="39" t="str">
        <f>VLOOKUP(B1185,'Jaringan Listrik'!C:K,2,FALSE)</f>
        <v xml:space="preserve">Pemasangan 1 m' kabel NYY 4 x 1,5 mm² </v>
      </c>
      <c r="D1185" s="9" t="s">
        <v>113</v>
      </c>
      <c r="E1185" s="1021">
        <f>VLOOKUP(C1185,'Jaringan Listrik'!$D$2:$I$5188,6,FALSE)</f>
        <v>9400</v>
      </c>
      <c r="F1185" s="1003">
        <f>VLOOKUP(C1185,'Jaringan Listrik'!$D:$K,7,FALSE)</f>
        <v>0</v>
      </c>
      <c r="G1185" s="12">
        <f>VLOOKUP(C1185,'Jaringan Listrik'!$D:$K,8,FALSE)</f>
        <v>0</v>
      </c>
      <c r="H1185" s="374"/>
      <c r="I1185" s="16"/>
    </row>
    <row r="1186" spans="2:9" ht="24" customHeight="1">
      <c r="B1186" s="1033" t="str">
        <f>'Jaringan Listrik'!C567</f>
        <v>5.1.1.1.34</v>
      </c>
      <c r="C1186" s="39" t="str">
        <f>VLOOKUP(B1186,'Jaringan Listrik'!C:K,2,FALSE)</f>
        <v xml:space="preserve">Pemasangan 1 m' kabel NYY 4 x 2,5 mm² </v>
      </c>
      <c r="D1186" s="9" t="s">
        <v>113</v>
      </c>
      <c r="E1186" s="1021">
        <f>VLOOKUP(C1186,'Jaringan Listrik'!$D$2:$I$5188,6,FALSE)</f>
        <v>9400</v>
      </c>
      <c r="F1186" s="1003">
        <f>VLOOKUP(C1186,'Jaringan Listrik'!$D:$K,7,FALSE)</f>
        <v>0</v>
      </c>
      <c r="G1186" s="12">
        <f>VLOOKUP(C1186,'Jaringan Listrik'!$D:$K,8,FALSE)</f>
        <v>0</v>
      </c>
      <c r="H1186" s="374"/>
      <c r="I1186" s="16"/>
    </row>
    <row r="1187" spans="2:9" ht="24" customHeight="1">
      <c r="B1187" s="1033" t="str">
        <f>'Jaringan Listrik'!C584</f>
        <v>5.1.1.1.35</v>
      </c>
      <c r="C1187" s="39" t="str">
        <f>VLOOKUP(B1187,'Jaringan Listrik'!C:K,2,FALSE)</f>
        <v xml:space="preserve">Pemasangan 1 m' kabel NYY 4 x 4 mm² </v>
      </c>
      <c r="D1187" s="9" t="s">
        <v>113</v>
      </c>
      <c r="E1187" s="1021">
        <f>VLOOKUP(C1187,'Jaringan Listrik'!$D$2:$I$5188,6,FALSE)</f>
        <v>11400</v>
      </c>
      <c r="F1187" s="1003">
        <f>VLOOKUP(C1187,'Jaringan Listrik'!$D:$K,7,FALSE)</f>
        <v>0</v>
      </c>
      <c r="G1187" s="12">
        <f>VLOOKUP(C1187,'Jaringan Listrik'!$D:$K,8,FALSE)</f>
        <v>0</v>
      </c>
      <c r="H1187" s="374"/>
      <c r="I1187" s="16"/>
    </row>
    <row r="1188" spans="2:9" ht="24" customHeight="1">
      <c r="B1188" s="1033" t="str">
        <f>'Jaringan Listrik'!C601</f>
        <v>5.1.1.1.36</v>
      </c>
      <c r="C1188" s="39" t="str">
        <f>VLOOKUP(B1188,'Jaringan Listrik'!C:K,2,FALSE)</f>
        <v xml:space="preserve">Pemasangan 1 m' kabel NYY 4 x 6 mm² </v>
      </c>
      <c r="D1188" s="9" t="s">
        <v>113</v>
      </c>
      <c r="E1188" s="1021">
        <f>VLOOKUP(C1188,'Jaringan Listrik'!$D$2:$I$5188,6,FALSE)</f>
        <v>11400</v>
      </c>
      <c r="F1188" s="1003">
        <f>VLOOKUP(C1188,'Jaringan Listrik'!$D:$K,7,FALSE)</f>
        <v>0</v>
      </c>
      <c r="G1188" s="12">
        <f>VLOOKUP(C1188,'Jaringan Listrik'!$D:$K,8,FALSE)</f>
        <v>0</v>
      </c>
      <c r="H1188" s="374"/>
      <c r="I1188" s="16"/>
    </row>
    <row r="1189" spans="2:9" ht="24" customHeight="1">
      <c r="B1189" s="1033" t="str">
        <f>'Jaringan Listrik'!C618</f>
        <v>5.1.1.1.37</v>
      </c>
      <c r="C1189" s="39" t="str">
        <f>VLOOKUP(B1189,'Jaringan Listrik'!C:K,2,FALSE)</f>
        <v xml:space="preserve">Pemasangan 1 m' kabel NYY 4 x 10 mm² </v>
      </c>
      <c r="D1189" s="9" t="s">
        <v>113</v>
      </c>
      <c r="E1189" s="1021">
        <f>VLOOKUP(C1189,'Jaringan Listrik'!$D$2:$I$5188,6,FALSE)</f>
        <v>14200</v>
      </c>
      <c r="F1189" s="1003">
        <f>VLOOKUP(C1189,'Jaringan Listrik'!$D:$K,7,FALSE)</f>
        <v>0</v>
      </c>
      <c r="G1189" s="12">
        <f>VLOOKUP(C1189,'Jaringan Listrik'!$D:$K,8,FALSE)</f>
        <v>0</v>
      </c>
      <c r="H1189" s="374"/>
      <c r="I1189" s="16"/>
    </row>
    <row r="1190" spans="2:9" ht="24" customHeight="1">
      <c r="B1190" s="1033" t="str">
        <f>'Jaringan Listrik'!C635</f>
        <v>5.1.1.1.38</v>
      </c>
      <c r="C1190" s="39" t="str">
        <f>VLOOKUP(B1190,'Jaringan Listrik'!C:K,2,FALSE)</f>
        <v xml:space="preserve">Pemasangan 1 m' kabel NYY 4 x 16 mm² </v>
      </c>
      <c r="D1190" s="9" t="s">
        <v>113</v>
      </c>
      <c r="E1190" s="1021">
        <f>VLOOKUP(C1190,'Jaringan Listrik'!$D$2:$I$5188,6,FALSE)</f>
        <v>14200</v>
      </c>
      <c r="F1190" s="1003">
        <f>VLOOKUP(C1190,'Jaringan Listrik'!$D:$K,7,FALSE)</f>
        <v>0</v>
      </c>
      <c r="G1190" s="12">
        <f>VLOOKUP(C1190,'Jaringan Listrik'!$D:$K,8,FALSE)</f>
        <v>0</v>
      </c>
      <c r="H1190" s="374"/>
      <c r="I1190" s="16"/>
    </row>
    <row r="1191" spans="2:9" ht="24" customHeight="1">
      <c r="B1191" s="1033" t="str">
        <f>'Jaringan Listrik'!C652</f>
        <v>5.1.1.1.39</v>
      </c>
      <c r="C1191" s="39" t="str">
        <f>VLOOKUP(B1191,'Jaringan Listrik'!C:K,2,FALSE)</f>
        <v xml:space="preserve">Pemasangan 1 m' kabel NYY 4 x 25 mm² </v>
      </c>
      <c r="D1191" s="9" t="s">
        <v>113</v>
      </c>
      <c r="E1191" s="1021">
        <f>VLOOKUP(C1191,'Jaringan Listrik'!$D$2:$I$5188,6,FALSE)</f>
        <v>19000</v>
      </c>
      <c r="F1191" s="1003">
        <f>VLOOKUP(C1191,'Jaringan Listrik'!$D:$K,7,FALSE)</f>
        <v>0</v>
      </c>
      <c r="G1191" s="12">
        <f>VLOOKUP(C1191,'Jaringan Listrik'!$D:$K,8,FALSE)</f>
        <v>0</v>
      </c>
      <c r="H1191" s="374"/>
      <c r="I1191" s="16"/>
    </row>
    <row r="1192" spans="2:9" ht="24" customHeight="1">
      <c r="B1192" s="1033" t="str">
        <f>'Jaringan Listrik'!C669</f>
        <v>5.1.1.1.40</v>
      </c>
      <c r="C1192" s="39" t="str">
        <f>VLOOKUP(B1192,'Jaringan Listrik'!C:K,2,FALSE)</f>
        <v xml:space="preserve">Pemasangan 1 m' kabel NYY 4 x 35 mm² </v>
      </c>
      <c r="D1192" s="9" t="s">
        <v>113</v>
      </c>
      <c r="E1192" s="1021">
        <f>VLOOKUP(C1192,'Jaringan Listrik'!$D$2:$I$5188,6,FALSE)</f>
        <v>23400</v>
      </c>
      <c r="F1192" s="1003">
        <f>VLOOKUP(C1192,'Jaringan Listrik'!$D:$K,7,FALSE)</f>
        <v>0</v>
      </c>
      <c r="G1192" s="12">
        <f>VLOOKUP(C1192,'Jaringan Listrik'!$D:$K,8,FALSE)</f>
        <v>0</v>
      </c>
      <c r="H1192" s="374"/>
      <c r="I1192" s="16"/>
    </row>
    <row r="1193" spans="2:9" ht="24" customHeight="1">
      <c r="B1193" s="1033" t="str">
        <f>'Jaringan Listrik'!C686</f>
        <v>5.1.1.1.41</v>
      </c>
      <c r="C1193" s="39" t="str">
        <f>VLOOKUP(B1193,'Jaringan Listrik'!C:K,2,FALSE)</f>
        <v xml:space="preserve">Pemasangan 1 m' kabel NYY 4 x 50 mm² </v>
      </c>
      <c r="D1193" s="9" t="s">
        <v>113</v>
      </c>
      <c r="E1193" s="1021">
        <f>VLOOKUP(C1193,'Jaringan Listrik'!$D$2:$I$5188,6,FALSE)</f>
        <v>28100</v>
      </c>
      <c r="F1193" s="1003">
        <f>VLOOKUP(C1193,'Jaringan Listrik'!$D:$K,7,FALSE)</f>
        <v>0</v>
      </c>
      <c r="G1193" s="12">
        <f>VLOOKUP(C1193,'Jaringan Listrik'!$D:$K,8,FALSE)</f>
        <v>0</v>
      </c>
      <c r="H1193" s="374"/>
      <c r="I1193" s="16"/>
    </row>
    <row r="1194" spans="2:9" ht="24" customHeight="1">
      <c r="B1194" s="1033" t="str">
        <f>'Jaringan Listrik'!C703</f>
        <v>5.1.1.1.42</v>
      </c>
      <c r="C1194" s="39" t="str">
        <f>VLOOKUP(B1194,'Jaringan Listrik'!C:K,2,FALSE)</f>
        <v xml:space="preserve">Pemasangan 1 m' kabel NYY 4 x 70 mm² </v>
      </c>
      <c r="D1194" s="9" t="s">
        <v>113</v>
      </c>
      <c r="E1194" s="1021">
        <f>VLOOKUP(C1194,'Jaringan Listrik'!$D$2:$I$5188,6,FALSE)</f>
        <v>42300</v>
      </c>
      <c r="F1194" s="1003">
        <f>VLOOKUP(C1194,'Jaringan Listrik'!$D:$K,7,FALSE)</f>
        <v>0</v>
      </c>
      <c r="G1194" s="12">
        <f>VLOOKUP(C1194,'Jaringan Listrik'!$D:$K,8,FALSE)</f>
        <v>0</v>
      </c>
      <c r="H1194" s="374"/>
      <c r="I1194" s="16"/>
    </row>
    <row r="1195" spans="2:9" ht="24" customHeight="1">
      <c r="B1195" s="1033" t="str">
        <f>'Jaringan Listrik'!C720</f>
        <v>5.1.1.1.43</v>
      </c>
      <c r="C1195" s="39" t="str">
        <f>VLOOKUP(B1195,'Jaringan Listrik'!C:K,2,FALSE)</f>
        <v xml:space="preserve">Pemasangan 1 m' kabel NYY 4 x 95 mm² </v>
      </c>
      <c r="D1195" s="9" t="s">
        <v>113</v>
      </c>
      <c r="E1195" s="1021">
        <f>VLOOKUP(C1195,'Jaringan Listrik'!$D$2:$I$5188,6,FALSE)</f>
        <v>56500</v>
      </c>
      <c r="F1195" s="1003">
        <f>VLOOKUP(C1195,'Jaringan Listrik'!$D:$K,7,FALSE)</f>
        <v>0</v>
      </c>
      <c r="G1195" s="12">
        <f>VLOOKUP(C1195,'Jaringan Listrik'!$D:$K,8,FALSE)</f>
        <v>0</v>
      </c>
      <c r="H1195" s="374"/>
      <c r="I1195" s="16"/>
    </row>
    <row r="1196" spans="2:9" ht="24" customHeight="1">
      <c r="B1196" s="1033" t="str">
        <f>'Jaringan Listrik'!C737</f>
        <v>5.1.1.1.44</v>
      </c>
      <c r="C1196" s="39" t="str">
        <f>VLOOKUP(B1196,'Jaringan Listrik'!C:K,2,FALSE)</f>
        <v xml:space="preserve">Pemasangan 1 m' kabel NYY 4 x 120 mm² </v>
      </c>
      <c r="D1196" s="9" t="s">
        <v>113</v>
      </c>
      <c r="E1196" s="1021">
        <f>VLOOKUP(C1196,'Jaringan Listrik'!$D$2:$I$5188,6,FALSE)</f>
        <v>56500</v>
      </c>
      <c r="F1196" s="1003">
        <f>VLOOKUP(C1196,'Jaringan Listrik'!$D:$K,7,FALSE)</f>
        <v>0</v>
      </c>
      <c r="G1196" s="12">
        <f>VLOOKUP(C1196,'Jaringan Listrik'!$D:$K,8,FALSE)</f>
        <v>0</v>
      </c>
      <c r="H1196" s="374"/>
      <c r="I1196" s="16"/>
    </row>
    <row r="1197" spans="2:9" ht="24" customHeight="1">
      <c r="B1197" s="1033" t="str">
        <f>'Jaringan Listrik'!C754</f>
        <v>5.1.1.1.45</v>
      </c>
      <c r="C1197" s="39" t="str">
        <f>VLOOKUP(B1197,'Jaringan Listrik'!C:K,2,FALSE)</f>
        <v xml:space="preserve">Pemasangan 1 m' kabel NYY 4 x 150 mm² </v>
      </c>
      <c r="D1197" s="9" t="s">
        <v>113</v>
      </c>
      <c r="E1197" s="1021">
        <f>VLOOKUP(C1197,'Jaringan Listrik'!$D$2:$I$5188,6,FALSE)</f>
        <v>70600</v>
      </c>
      <c r="F1197" s="1003">
        <f>VLOOKUP(C1197,'Jaringan Listrik'!$D:$K,7,FALSE)</f>
        <v>0</v>
      </c>
      <c r="G1197" s="12">
        <f>VLOOKUP(C1197,'Jaringan Listrik'!$D:$K,8,FALSE)</f>
        <v>0</v>
      </c>
      <c r="H1197" s="374"/>
      <c r="I1197" s="16"/>
    </row>
    <row r="1198" spans="2:9" ht="24" customHeight="1">
      <c r="B1198" s="1033" t="str">
        <f>'Jaringan Listrik'!C771</f>
        <v>5.1.1.1.46</v>
      </c>
      <c r="C1198" s="39" t="str">
        <f>VLOOKUP(B1198,'Jaringan Listrik'!C:K,2,FALSE)</f>
        <v xml:space="preserve">Pemasangan 1 m' kabel NYY 4 x 185 mm² </v>
      </c>
      <c r="D1198" s="9" t="s">
        <v>113</v>
      </c>
      <c r="E1198" s="1021">
        <f>VLOOKUP(C1198,'Jaringan Listrik'!$D$2:$I$5188,6,FALSE)</f>
        <v>70600</v>
      </c>
      <c r="F1198" s="1003">
        <f>VLOOKUP(C1198,'Jaringan Listrik'!$D:$K,7,FALSE)</f>
        <v>0</v>
      </c>
      <c r="G1198" s="12">
        <f>VLOOKUP(C1198,'Jaringan Listrik'!$D:$K,8,FALSE)</f>
        <v>0</v>
      </c>
      <c r="H1198" s="374"/>
      <c r="I1198" s="16"/>
    </row>
    <row r="1199" spans="2:9" ht="24" customHeight="1">
      <c r="B1199" s="1033" t="str">
        <f>'Jaringan Listrik'!C788</f>
        <v>5.1.1.1.47</v>
      </c>
      <c r="C1199" s="39" t="str">
        <f>VLOOKUP(B1199,'Jaringan Listrik'!C:K,2,FALSE)</f>
        <v xml:space="preserve">Pemasangan 1 m' kabel NYY 4 x 240 mm² </v>
      </c>
      <c r="D1199" s="9" t="s">
        <v>113</v>
      </c>
      <c r="E1199" s="1021">
        <f>VLOOKUP(C1199,'Jaringan Listrik'!$D$2:$I$5188,6,FALSE)</f>
        <v>94100</v>
      </c>
      <c r="F1199" s="1003">
        <f>VLOOKUP(C1199,'Jaringan Listrik'!$D:$K,7,FALSE)</f>
        <v>0</v>
      </c>
      <c r="G1199" s="12">
        <f>VLOOKUP(C1199,'Jaringan Listrik'!$D:$K,8,FALSE)</f>
        <v>0</v>
      </c>
      <c r="H1199" s="374"/>
      <c r="I1199" s="16"/>
    </row>
    <row r="1200" spans="2:9" ht="24" customHeight="1">
      <c r="B1200" s="1033" t="str">
        <f>'Jaringan Listrik'!C805</f>
        <v>5.1.1.1.48</v>
      </c>
      <c r="C1200" s="39" t="str">
        <f>VLOOKUP(B1200,'Jaringan Listrik'!C:K,2,FALSE)</f>
        <v xml:space="preserve">Pemasangan 1 m' kabel NYY 4 x 300 mm² </v>
      </c>
      <c r="D1200" s="9" t="s">
        <v>113</v>
      </c>
      <c r="E1200" s="1021">
        <f>VLOOKUP(C1200,'Jaringan Listrik'!$D$2:$I$5188,6,FALSE)</f>
        <v>94100</v>
      </c>
      <c r="F1200" s="1003">
        <f>VLOOKUP(C1200,'Jaringan Listrik'!$D:$K,7,FALSE)</f>
        <v>0</v>
      </c>
      <c r="G1200" s="12">
        <f>VLOOKUP(C1200,'Jaringan Listrik'!$D:$K,8,FALSE)</f>
        <v>0</v>
      </c>
      <c r="H1200" s="374"/>
      <c r="I1200" s="16"/>
    </row>
    <row r="1201" spans="2:9" ht="24" customHeight="1">
      <c r="B1201" s="1041" t="str">
        <f>'Jaringan Listrik'!C822</f>
        <v>5.1.1.2</v>
      </c>
      <c r="C1201" s="40" t="str">
        <f>VLOOKUP(B1201,'Jaringan Listrik'!C:K,2,FALSE)</f>
        <v>Kabel NYA</v>
      </c>
      <c r="D1201" s="19"/>
      <c r="E1201" s="1030"/>
      <c r="F1201" s="1010"/>
      <c r="G1201" s="34"/>
      <c r="H1201" s="374"/>
      <c r="I1201" s="16"/>
    </row>
    <row r="1202" spans="2:9" ht="24" customHeight="1">
      <c r="B1202" s="1033" t="str">
        <f>'Jaringan Listrik'!C823</f>
        <v>5.1.1.2.1</v>
      </c>
      <c r="C1202" s="39" t="str">
        <f>VLOOKUP(B1202,'Jaringan Listrik'!C:K,2,FALSE)</f>
        <v xml:space="preserve">Pemasangan 1 m' kabel NYA 1 x 1,5 mm² </v>
      </c>
      <c r="D1202" s="9" t="s">
        <v>113</v>
      </c>
      <c r="E1202" s="1021">
        <f>VLOOKUP(C1202,'Jaringan Listrik'!$D$2:$I$5188,6,FALSE)</f>
        <v>8800</v>
      </c>
      <c r="F1202" s="1003">
        <f>VLOOKUP(C1202,'Jaringan Listrik'!$D:$K,7,FALSE)</f>
        <v>0</v>
      </c>
      <c r="G1202" s="12">
        <f>VLOOKUP(C1202,'Jaringan Listrik'!$D:$K,8,FALSE)</f>
        <v>0</v>
      </c>
      <c r="H1202" s="374"/>
      <c r="I1202" s="16"/>
    </row>
    <row r="1203" spans="2:9" ht="24" customHeight="1">
      <c r="B1203" s="1033" t="str">
        <f>'Jaringan Listrik'!C840</f>
        <v>5.1.1.2.2</v>
      </c>
      <c r="C1203" s="39" t="str">
        <f>VLOOKUP(B1203,'Jaringan Listrik'!C:K,2,FALSE)</f>
        <v xml:space="preserve">Pemasangan 1 m' kabel NYA 1 x 2,5 mm² </v>
      </c>
      <c r="D1203" s="9" t="s">
        <v>113</v>
      </c>
      <c r="E1203" s="1021">
        <f>VLOOKUP(C1203,'Jaringan Listrik'!$D$2:$I$5188,6,FALSE)</f>
        <v>11500</v>
      </c>
      <c r="F1203" s="1003">
        <f>VLOOKUP(C1203,'Jaringan Listrik'!$D:$K,7,FALSE)</f>
        <v>0</v>
      </c>
      <c r="G1203" s="12">
        <f>VLOOKUP(C1203,'Jaringan Listrik'!$D:$K,8,FALSE)</f>
        <v>0</v>
      </c>
      <c r="H1203" s="374"/>
      <c r="I1203" s="16"/>
    </row>
    <row r="1204" spans="2:9" ht="24" customHeight="1">
      <c r="B1204" s="1033" t="str">
        <f>'Jaringan Listrik'!C857</f>
        <v>5.1.1.2.3</v>
      </c>
      <c r="C1204" s="39" t="str">
        <f>VLOOKUP(B1204,'Jaringan Listrik'!C:K,2,FALSE)</f>
        <v xml:space="preserve">Pemasangan 1 m' kabel NYA 1 x 4 mm² </v>
      </c>
      <c r="D1204" s="9" t="s">
        <v>113</v>
      </c>
      <c r="E1204" s="1021">
        <f>VLOOKUP(C1204,'Jaringan Listrik'!$D$2:$I$5188,6,FALSE)</f>
        <v>18000</v>
      </c>
      <c r="F1204" s="1003">
        <f>VLOOKUP(C1204,'Jaringan Listrik'!$D:$K,7,FALSE)</f>
        <v>0</v>
      </c>
      <c r="G1204" s="12">
        <f>VLOOKUP(C1204,'Jaringan Listrik'!$D:$K,8,FALSE)</f>
        <v>0</v>
      </c>
      <c r="H1204" s="374"/>
      <c r="I1204" s="16"/>
    </row>
    <row r="1205" spans="2:9" ht="24" customHeight="1">
      <c r="B1205" s="1033" t="str">
        <f>'Jaringan Listrik'!C874</f>
        <v>5.1.1.2.4</v>
      </c>
      <c r="C1205" s="39" t="str">
        <f>VLOOKUP(B1205,'Jaringan Listrik'!C:K,2,FALSE)</f>
        <v xml:space="preserve">Pemasangan 1 m' kabel NYA 1 x 6 mm² </v>
      </c>
      <c r="D1205" s="9" t="s">
        <v>113</v>
      </c>
      <c r="E1205" s="1021">
        <f>VLOOKUP(C1205,'Jaringan Listrik'!$D$2:$I$5188,6,FALSE)</f>
        <v>22900</v>
      </c>
      <c r="F1205" s="1003">
        <f>VLOOKUP(C1205,'Jaringan Listrik'!$D:$K,7,FALSE)</f>
        <v>0</v>
      </c>
      <c r="G1205" s="12">
        <f>VLOOKUP(C1205,'Jaringan Listrik'!$D:$K,8,FALSE)</f>
        <v>0</v>
      </c>
      <c r="H1205" s="374"/>
      <c r="I1205" s="16"/>
    </row>
    <row r="1206" spans="2:9" ht="24" customHeight="1">
      <c r="B1206" s="1033" t="str">
        <f>'Jaringan Listrik'!C891</f>
        <v>5.1.1.2.5</v>
      </c>
      <c r="C1206" s="39" t="str">
        <f>VLOOKUP(B1206,'Jaringan Listrik'!C:K,2,FALSE)</f>
        <v xml:space="preserve">Pemasangan 1 m' kabel NYA 1 x 10 mm² </v>
      </c>
      <c r="D1206" s="9" t="s">
        <v>113</v>
      </c>
      <c r="E1206" s="1021">
        <f>VLOOKUP(C1206,'Jaringan Listrik'!$D$2:$I$5188,6,FALSE)</f>
        <v>34700</v>
      </c>
      <c r="F1206" s="1003">
        <f>VLOOKUP(C1206,'Jaringan Listrik'!$D:$K,7,FALSE)</f>
        <v>0</v>
      </c>
      <c r="G1206" s="12">
        <f>VLOOKUP(C1206,'Jaringan Listrik'!$D:$K,8,FALSE)</f>
        <v>0</v>
      </c>
      <c r="H1206" s="374"/>
      <c r="I1206" s="16"/>
    </row>
    <row r="1207" spans="2:9" ht="24" customHeight="1">
      <c r="B1207" s="1033" t="str">
        <f>'Jaringan Listrik'!C908</f>
        <v>5.1.1.2.6</v>
      </c>
      <c r="C1207" s="39" t="str">
        <f>VLOOKUP(B1207,'Jaringan Listrik'!C:K,2,FALSE)</f>
        <v xml:space="preserve">Pemasangan 1 m' kabel NYA 1 x 16 mm² </v>
      </c>
      <c r="D1207" s="9" t="s">
        <v>113</v>
      </c>
      <c r="E1207" s="1021">
        <f>VLOOKUP(C1207,'Jaringan Listrik'!$D$2:$I$5188,6,FALSE)</f>
        <v>51100</v>
      </c>
      <c r="F1207" s="1003">
        <f>VLOOKUP(C1207,'Jaringan Listrik'!$D:$K,7,FALSE)</f>
        <v>0</v>
      </c>
      <c r="G1207" s="12">
        <f>VLOOKUP(C1207,'Jaringan Listrik'!$D:$K,8,FALSE)</f>
        <v>0</v>
      </c>
      <c r="H1207" s="374"/>
      <c r="I1207" s="16"/>
    </row>
    <row r="1208" spans="2:9" ht="24" customHeight="1">
      <c r="B1208" s="1033" t="str">
        <f>'Jaringan Listrik'!C925</f>
        <v>5.1.1.2.7</v>
      </c>
      <c r="C1208" s="39" t="str">
        <f>VLOOKUP(B1208,'Jaringan Listrik'!C:K,2,FALSE)</f>
        <v xml:space="preserve">Pemasangan 1 m' kabel NYA 2 x 1,5 mm² + PVC conduit HI 20 mm²
</v>
      </c>
      <c r="D1208" s="9" t="s">
        <v>113</v>
      </c>
      <c r="E1208" s="1021">
        <f>VLOOKUP(C1208,'Jaringan Listrik'!$D$2:$I$5188,6,FALSE)</f>
        <v>21000</v>
      </c>
      <c r="F1208" s="1003">
        <f>VLOOKUP(C1208,'Jaringan Listrik'!$D:$K,7,FALSE)</f>
        <v>0</v>
      </c>
      <c r="G1208" s="12">
        <f>VLOOKUP(C1208,'Jaringan Listrik'!$D:$K,8,FALSE)</f>
        <v>0</v>
      </c>
      <c r="H1208" s="374"/>
      <c r="I1208" s="16"/>
    </row>
    <row r="1209" spans="2:9" ht="24" customHeight="1">
      <c r="B1209" s="1033" t="str">
        <f>'Jaringan Listrik'!C943</f>
        <v>5.1.1.2.8</v>
      </c>
      <c r="C1209" s="39" t="str">
        <f>VLOOKUP(B1209,'Jaringan Listrik'!C:K,2,FALSE)</f>
        <v xml:space="preserve">Pemasangan 1 m' kabel NYA 3 x 1,5 mm² + PVC conduit HI 20 mm²
</v>
      </c>
      <c r="D1209" s="9" t="s">
        <v>113</v>
      </c>
      <c r="E1209" s="1021">
        <f>VLOOKUP(C1209,'Jaringan Listrik'!$D$2:$I$5188,6,FALSE)</f>
        <v>27100</v>
      </c>
      <c r="F1209" s="1003">
        <f>VLOOKUP(C1209,'Jaringan Listrik'!$D:$K,7,FALSE)</f>
        <v>0</v>
      </c>
      <c r="G1209" s="12">
        <f>VLOOKUP(C1209,'Jaringan Listrik'!$D:$K,8,FALSE)</f>
        <v>0</v>
      </c>
      <c r="H1209" s="374"/>
      <c r="I1209" s="16"/>
    </row>
    <row r="1210" spans="2:9" ht="24" customHeight="1">
      <c r="B1210" s="1033" t="str">
        <f>'Jaringan Listrik'!C961</f>
        <v>5.1.1.2.9</v>
      </c>
      <c r="C1210" s="39" t="str">
        <f>VLOOKUP(B1210,'Jaringan Listrik'!C:K,2,FALSE)</f>
        <v xml:space="preserve">Pemasangan 1 m' kabel NYA 3 x 2,5 mm² + PVC conduit HI 20 mm²
</v>
      </c>
      <c r="D1210" s="9" t="s">
        <v>113</v>
      </c>
      <c r="E1210" s="1021">
        <f>VLOOKUP(C1210,'Jaringan Listrik'!$D$2:$I$5188,6,FALSE)</f>
        <v>34000</v>
      </c>
      <c r="F1210" s="1003">
        <f>VLOOKUP(C1210,'Jaringan Listrik'!$D:$K,7,FALSE)</f>
        <v>0</v>
      </c>
      <c r="G1210" s="12">
        <f>VLOOKUP(C1210,'Jaringan Listrik'!$D:$K,8,FALSE)</f>
        <v>0</v>
      </c>
      <c r="H1210" s="374"/>
      <c r="I1210" s="16"/>
    </row>
    <row r="1211" spans="2:9" ht="24" customHeight="1">
      <c r="B1211" s="1033" t="str">
        <f>'Jaringan Listrik'!C980</f>
        <v>5.1.1.2.10</v>
      </c>
      <c r="C1211" s="39" t="str">
        <f>VLOOKUP(B1211,'Jaringan Listrik'!C:K,2,FALSE)</f>
        <v xml:space="preserve">Pemasangan 1 m' kabel NYA 3 x 2,5 mm² + PVC conduit HI 32 mm²
</v>
      </c>
      <c r="D1211" s="9" t="s">
        <v>113</v>
      </c>
      <c r="E1211" s="1021">
        <f>VLOOKUP(C1211,'Jaringan Listrik'!$D$2:$I$5188,6,FALSE)</f>
        <v>34000</v>
      </c>
      <c r="F1211" s="1003">
        <f>VLOOKUP(C1211,'Jaringan Listrik'!$D:$K,7,FALSE)</f>
        <v>0</v>
      </c>
      <c r="G1211" s="12">
        <f>VLOOKUP(C1211,'Jaringan Listrik'!$D:$K,8,FALSE)</f>
        <v>0</v>
      </c>
      <c r="H1211" s="374"/>
      <c r="I1211" s="16"/>
    </row>
    <row r="1212" spans="2:9" ht="24" customHeight="1">
      <c r="B1212" s="1033" t="str">
        <f>'Jaringan Listrik'!C999</f>
        <v>5.1.1.2.11</v>
      </c>
      <c r="C1212" s="39" t="str">
        <f>VLOOKUP(B1212,'Jaringan Listrik'!C:K,2,FALSE)</f>
        <v xml:space="preserve">Pemasangan 1 m' kabel NYA 5 x 2,5 mm² + PVC conduit HI 20 mm²
</v>
      </c>
      <c r="D1212" s="9" t="s">
        <v>113</v>
      </c>
      <c r="E1212" s="1021">
        <f>VLOOKUP(C1212,'Jaringan Listrik'!$D$2:$I$5188,6,FALSE)</f>
        <v>74500</v>
      </c>
      <c r="F1212" s="1003">
        <f>VLOOKUP(C1212,'Jaringan Listrik'!$D:$K,7,FALSE)</f>
        <v>0</v>
      </c>
      <c r="G1212" s="12">
        <f>VLOOKUP(C1212,'Jaringan Listrik'!$D:$K,8,FALSE)</f>
        <v>0</v>
      </c>
      <c r="H1212" s="374"/>
      <c r="I1212" s="16"/>
    </row>
    <row r="1213" spans="2:9" ht="24" customHeight="1">
      <c r="B1213" s="1033" t="str">
        <f>'Jaringan Listrik'!C1018</f>
        <v>5.1.1.2.12</v>
      </c>
      <c r="C1213" s="39" t="str">
        <f>VLOOKUP(B1213,'Jaringan Listrik'!C:K,2,FALSE)</f>
        <v xml:space="preserve">Pemasangan 1 m' kabel NYA 5 x 2,5 mm² + PVC conduit HI 32 mm²
</v>
      </c>
      <c r="D1213" s="9" t="s">
        <v>113</v>
      </c>
      <c r="E1213" s="1021">
        <f>VLOOKUP(C1213,'Jaringan Listrik'!$D$2:$I$5188,6,FALSE)</f>
        <v>74500</v>
      </c>
      <c r="F1213" s="1003">
        <f>VLOOKUP(C1213,'Jaringan Listrik'!$D:$K,7,FALSE)</f>
        <v>0</v>
      </c>
      <c r="G1213" s="12">
        <f>VLOOKUP(C1213,'Jaringan Listrik'!$D:$K,8,FALSE)</f>
        <v>0</v>
      </c>
      <c r="H1213" s="374"/>
      <c r="I1213" s="16"/>
    </row>
    <row r="1214" spans="2:9" ht="24" customHeight="1">
      <c r="B1214" s="1033" t="str">
        <f>'Jaringan Listrik'!C1036</f>
        <v>5.1.1.2.13</v>
      </c>
      <c r="C1214" s="39" t="str">
        <f>VLOOKUP(B1214,'Jaringan Listrik'!C:K,2,FALSE)</f>
        <v xml:space="preserve">Pemasangan 1 m' kabel NYA 1 x 35 mm² 
</v>
      </c>
      <c r="D1214" s="9" t="s">
        <v>113</v>
      </c>
      <c r="E1214" s="1021">
        <f>VLOOKUP(C1214,'Jaringan Listrik'!$D$2:$I$5188,6,FALSE)</f>
        <v>104300</v>
      </c>
      <c r="F1214" s="1003">
        <f>VLOOKUP(C1214,'Jaringan Listrik'!$D:$K,7,FALSE)</f>
        <v>0</v>
      </c>
      <c r="G1214" s="12">
        <f>VLOOKUP(C1214,'Jaringan Listrik'!$D:$K,8,FALSE)</f>
        <v>0</v>
      </c>
      <c r="H1214" s="374"/>
      <c r="I1214" s="16"/>
    </row>
    <row r="1215" spans="2:9" ht="24" customHeight="1">
      <c r="B1215" s="1033" t="str">
        <f>'Jaringan Listrik'!C1053</f>
        <v>5.1.1.2.14</v>
      </c>
      <c r="C1215" s="39" t="str">
        <f>VLOOKUP(B1215,'Jaringan Listrik'!C:K,2,FALSE)</f>
        <v xml:space="preserve">Pemasangan 1 m' kabel NYA 1 x 95 mm² 
</v>
      </c>
      <c r="D1215" s="9" t="s">
        <v>113</v>
      </c>
      <c r="E1215" s="1021">
        <f>VLOOKUP(C1215,'Jaringan Listrik'!$D$2:$I$5188,6,FALSE)</f>
        <v>252400</v>
      </c>
      <c r="F1215" s="1003">
        <f>VLOOKUP(C1215,'Jaringan Listrik'!$D:$K,7,FALSE)</f>
        <v>0</v>
      </c>
      <c r="G1215" s="12">
        <f>VLOOKUP(C1215,'Jaringan Listrik'!$D:$K,8,FALSE)</f>
        <v>0</v>
      </c>
      <c r="H1215" s="374"/>
      <c r="I1215" s="16"/>
    </row>
    <row r="1216" spans="2:9" ht="24" customHeight="1">
      <c r="B1216" s="1041" t="str">
        <f>'Jaringan Listrik'!C1070</f>
        <v>5.1.1.3</v>
      </c>
      <c r="C1216" s="40" t="str">
        <f>VLOOKUP(B1216,'Jaringan Listrik'!C:K,2,FALSE)</f>
        <v xml:space="preserve">Kabel NYM </v>
      </c>
      <c r="D1216" s="19"/>
      <c r="E1216" s="1030"/>
      <c r="F1216" s="1010"/>
      <c r="G1216" s="34"/>
      <c r="H1216" s="374"/>
      <c r="I1216" s="16"/>
    </row>
    <row r="1217" spans="2:9" ht="24" customHeight="1">
      <c r="B1217" s="1033" t="str">
        <f>'Jaringan Listrik'!C1071</f>
        <v>5.1.1.3.1</v>
      </c>
      <c r="C1217" s="39" t="str">
        <f>VLOOKUP(B1217,'Jaringan Listrik'!C:K,2,FALSE)</f>
        <v xml:space="preserve">Pemasangan 1 m' kabel NYM 2 x 1,5 mm²
</v>
      </c>
      <c r="D1217" s="9" t="s">
        <v>113</v>
      </c>
      <c r="E1217" s="1021">
        <f>VLOOKUP(C1217,'Jaringan Listrik'!$D$2:$I$5188,6,FALSE)</f>
        <v>21100</v>
      </c>
      <c r="F1217" s="1003">
        <f>VLOOKUP(C1217,'Jaringan Listrik'!$D:$K,7,FALSE)</f>
        <v>0</v>
      </c>
      <c r="G1217" s="12">
        <f>VLOOKUP(C1217,'Jaringan Listrik'!$D:$K,8,FALSE)</f>
        <v>0</v>
      </c>
      <c r="H1217" s="374"/>
      <c r="I1217" s="16"/>
    </row>
    <row r="1218" spans="2:9" ht="24" customHeight="1">
      <c r="B1218" s="1033" t="str">
        <f>'Jaringan Listrik'!C1088</f>
        <v>5.1.1.3.2</v>
      </c>
      <c r="C1218" s="39" t="str">
        <f>VLOOKUP(B1218,'Jaringan Listrik'!C:K,2,FALSE)</f>
        <v xml:space="preserve">Pemasangan 1 m' kabel NYM 2 x 2,5 mm²
</v>
      </c>
      <c r="D1218" s="9" t="s">
        <v>113</v>
      </c>
      <c r="E1218" s="1021">
        <f>VLOOKUP(C1218,'Jaringan Listrik'!$D$2:$I$5188,6,FALSE)</f>
        <v>26900</v>
      </c>
      <c r="F1218" s="1003">
        <f>VLOOKUP(C1218,'Jaringan Listrik'!$D:$K,7,FALSE)</f>
        <v>0</v>
      </c>
      <c r="G1218" s="12">
        <f>VLOOKUP(C1218,'Jaringan Listrik'!$D:$K,8,FALSE)</f>
        <v>0</v>
      </c>
      <c r="H1218" s="374"/>
      <c r="I1218" s="16"/>
    </row>
    <row r="1219" spans="2:9" ht="24" customHeight="1">
      <c r="B1219" s="1033" t="str">
        <f>'Jaringan Listrik'!C1105</f>
        <v>5.1.1.3.3</v>
      </c>
      <c r="C1219" s="39" t="str">
        <f>VLOOKUP(B1219,'Jaringan Listrik'!C:K,2,FALSE)</f>
        <v xml:space="preserve">Pemasangan 1 m' kabel NYM 2 x 4 mm²
</v>
      </c>
      <c r="D1219" s="9" t="s">
        <v>113</v>
      </c>
      <c r="E1219" s="1021">
        <f>VLOOKUP(C1219,'Jaringan Listrik'!$D$2:$I$5188,6,FALSE)</f>
        <v>35700</v>
      </c>
      <c r="F1219" s="1003">
        <f>VLOOKUP(C1219,'Jaringan Listrik'!$D:$K,7,FALSE)</f>
        <v>0</v>
      </c>
      <c r="G1219" s="12">
        <f>VLOOKUP(C1219,'Jaringan Listrik'!$D:$K,8,FALSE)</f>
        <v>0</v>
      </c>
      <c r="H1219" s="374"/>
      <c r="I1219" s="16"/>
    </row>
    <row r="1220" spans="2:9" ht="24" customHeight="1">
      <c r="B1220" s="1033" t="str">
        <f>'Jaringan Listrik'!C1122</f>
        <v>5.1.1.3.4</v>
      </c>
      <c r="C1220" s="39" t="str">
        <f>VLOOKUP(B1220,'Jaringan Listrik'!C:K,2,FALSE)</f>
        <v xml:space="preserve">Pemasangan 1 m' kabel NYM 2 x 6 mm²
</v>
      </c>
      <c r="D1220" s="9" t="s">
        <v>113</v>
      </c>
      <c r="E1220" s="1021">
        <f>VLOOKUP(C1220,'Jaringan Listrik'!$D$2:$I$5188,6,FALSE)</f>
        <v>47600</v>
      </c>
      <c r="F1220" s="1003">
        <f>VLOOKUP(C1220,'Jaringan Listrik'!$D:$K,7,FALSE)</f>
        <v>0</v>
      </c>
      <c r="G1220" s="12">
        <f>VLOOKUP(C1220,'Jaringan Listrik'!$D:$K,8,FALSE)</f>
        <v>0</v>
      </c>
      <c r="H1220" s="374"/>
      <c r="I1220" s="16"/>
    </row>
    <row r="1221" spans="2:9" ht="24" customHeight="1">
      <c r="B1221" s="1033" t="str">
        <f>'Jaringan Listrik'!C1139</f>
        <v>5.1.1.3.5</v>
      </c>
      <c r="C1221" s="39" t="str">
        <f>VLOOKUP(B1221,'Jaringan Listrik'!C:K,2,FALSE)</f>
        <v xml:space="preserve">Pemasangan 1 m' kabel NYM 2 x 10 mm²
</v>
      </c>
      <c r="D1221" s="9" t="s">
        <v>113</v>
      </c>
      <c r="E1221" s="1021">
        <f>VLOOKUP(C1221,'Jaringan Listrik'!$D$2:$I$5188,6,FALSE)</f>
        <v>74000</v>
      </c>
      <c r="F1221" s="1003">
        <f>VLOOKUP(C1221,'Jaringan Listrik'!$D:$K,7,FALSE)</f>
        <v>0</v>
      </c>
      <c r="G1221" s="12">
        <f>VLOOKUP(C1221,'Jaringan Listrik'!$D:$K,8,FALSE)</f>
        <v>0</v>
      </c>
      <c r="H1221" s="374"/>
      <c r="I1221" s="16"/>
    </row>
    <row r="1222" spans="2:9" ht="24" customHeight="1">
      <c r="B1222" s="1033" t="str">
        <f>'Jaringan Listrik'!C1156</f>
        <v>5.1.1.3.6</v>
      </c>
      <c r="C1222" s="39" t="str">
        <f>VLOOKUP(B1222,'Jaringan Listrik'!C:K,2,FALSE)</f>
        <v xml:space="preserve">Pemasangan 1 m' kabel NYM 3 x 1,5 mm²
</v>
      </c>
      <c r="D1222" s="9" t="s">
        <v>113</v>
      </c>
      <c r="E1222" s="1021">
        <f>VLOOKUP(C1222,'Jaringan Listrik'!$D$2:$I$5188,6,FALSE)</f>
        <v>24400</v>
      </c>
      <c r="F1222" s="1003">
        <f>VLOOKUP(C1222,'Jaringan Listrik'!$D:$K,7,FALSE)</f>
        <v>0</v>
      </c>
      <c r="G1222" s="12">
        <f>VLOOKUP(C1222,'Jaringan Listrik'!$D:$K,8,FALSE)</f>
        <v>0</v>
      </c>
      <c r="H1222" s="374"/>
      <c r="I1222" s="16"/>
    </row>
    <row r="1223" spans="2:9" ht="24" customHeight="1">
      <c r="B1223" s="1033" t="str">
        <f>'Jaringan Listrik'!C1173</f>
        <v>5.1.1.3.7</v>
      </c>
      <c r="C1223" s="39" t="str">
        <f>VLOOKUP(B1223,'Jaringan Listrik'!C:K,2,FALSE)</f>
        <v xml:space="preserve">Pemasangan 1 m' kabel NYM 3 x 2,5 mm²
</v>
      </c>
      <c r="D1223" s="9" t="s">
        <v>113</v>
      </c>
      <c r="E1223" s="1021">
        <f>VLOOKUP(C1223,'Jaringan Listrik'!$D$2:$I$5188,6,FALSE)</f>
        <v>30600</v>
      </c>
      <c r="F1223" s="1003">
        <f>VLOOKUP(C1223,'Jaringan Listrik'!$D:$K,7,FALSE)</f>
        <v>0</v>
      </c>
      <c r="G1223" s="12">
        <f>VLOOKUP(C1223,'Jaringan Listrik'!$D:$K,8,FALSE)</f>
        <v>0</v>
      </c>
      <c r="H1223" s="374"/>
      <c r="I1223" s="16"/>
    </row>
    <row r="1224" spans="2:9" ht="24" customHeight="1">
      <c r="B1224" s="1033" t="str">
        <f>'Jaringan Listrik'!C1190</f>
        <v>5.1.1.3.8</v>
      </c>
      <c r="C1224" s="39" t="str">
        <f>VLOOKUP(B1224,'Jaringan Listrik'!C:K,2,FALSE)</f>
        <v xml:space="preserve">Pemasangan 1 m' kabel NYM 3 x 4 mm²
</v>
      </c>
      <c r="D1224" s="9" t="s">
        <v>113</v>
      </c>
      <c r="E1224" s="1021">
        <f>VLOOKUP(C1224,'Jaringan Listrik'!$D$2:$I$5188,6,FALSE)</f>
        <v>11400</v>
      </c>
      <c r="F1224" s="1003">
        <f>VLOOKUP(C1224,'Jaringan Listrik'!$D:$K,7,FALSE)</f>
        <v>0</v>
      </c>
      <c r="G1224" s="12">
        <f>VLOOKUP(C1224,'Jaringan Listrik'!$D:$K,8,FALSE)</f>
        <v>0</v>
      </c>
      <c r="H1224" s="374"/>
      <c r="I1224" s="16"/>
    </row>
    <row r="1225" spans="2:9" ht="24" customHeight="1">
      <c r="B1225" s="1033" t="str">
        <f>'Jaringan Listrik'!C1207</f>
        <v>5.1.1.3.9</v>
      </c>
      <c r="C1225" s="39" t="str">
        <f>VLOOKUP(B1225,'Jaringan Listrik'!C:K,2,FALSE)</f>
        <v xml:space="preserve">Pemasangan 1 m' kabel NYM 3 x 6 mm²
</v>
      </c>
      <c r="D1225" s="9" t="s">
        <v>113</v>
      </c>
      <c r="E1225" s="1021">
        <f>VLOOKUP(C1225,'Jaringan Listrik'!$D$2:$I$5188,6,FALSE)</f>
        <v>11400</v>
      </c>
      <c r="F1225" s="1003">
        <f>VLOOKUP(C1225,'Jaringan Listrik'!$D:$K,7,FALSE)</f>
        <v>0</v>
      </c>
      <c r="G1225" s="12">
        <f>VLOOKUP(C1225,'Jaringan Listrik'!$D:$K,8,FALSE)</f>
        <v>0</v>
      </c>
      <c r="H1225" s="374"/>
      <c r="I1225" s="16"/>
    </row>
    <row r="1226" spans="2:9" ht="24" customHeight="1">
      <c r="B1226" s="1033" t="str">
        <f>'Jaringan Listrik'!C1224</f>
        <v>5.1.1.3.10</v>
      </c>
      <c r="C1226" s="39" t="str">
        <f>VLOOKUP(B1226,'Jaringan Listrik'!C:K,2,FALSE)</f>
        <v xml:space="preserve">Pemasangan 1 m' kabel NYM 3 x 10 mm²
</v>
      </c>
      <c r="D1226" s="9" t="s">
        <v>113</v>
      </c>
      <c r="E1226" s="1021">
        <f>VLOOKUP(C1226,'Jaringan Listrik'!$D$2:$I$5188,6,FALSE)</f>
        <v>105500</v>
      </c>
      <c r="F1226" s="1003">
        <f>VLOOKUP(C1226,'Jaringan Listrik'!$D:$K,7,FALSE)</f>
        <v>0</v>
      </c>
      <c r="G1226" s="12">
        <f>VLOOKUP(C1226,'Jaringan Listrik'!$D:$K,8,FALSE)</f>
        <v>0</v>
      </c>
      <c r="H1226" s="374"/>
      <c r="I1226" s="16"/>
    </row>
    <row r="1227" spans="2:9" ht="24" customHeight="1">
      <c r="B1227" s="1033" t="str">
        <f>'Jaringan Listrik'!C1241</f>
        <v>5.1.1.3.11</v>
      </c>
      <c r="C1227" s="39" t="str">
        <f>VLOOKUP(B1227,'Jaringan Listrik'!C:K,2,FALSE)</f>
        <v xml:space="preserve">Pemasangan 1 m' kabel NYM 4 x 1,5 mm²
</v>
      </c>
      <c r="D1227" s="9" t="s">
        <v>113</v>
      </c>
      <c r="E1227" s="1021">
        <f>VLOOKUP(C1227,'Jaringan Listrik'!$D$2:$I$5188,6,FALSE)</f>
        <v>9400</v>
      </c>
      <c r="F1227" s="1003">
        <f>VLOOKUP(C1227,'Jaringan Listrik'!$D:$K,7,FALSE)</f>
        <v>0</v>
      </c>
      <c r="G1227" s="12">
        <f>VLOOKUP(C1227,'Jaringan Listrik'!$D:$K,8,FALSE)</f>
        <v>0</v>
      </c>
      <c r="H1227" s="374"/>
      <c r="I1227" s="16"/>
    </row>
    <row r="1228" spans="2:9" ht="24" customHeight="1">
      <c r="B1228" s="1033" t="str">
        <f>'Jaringan Listrik'!C1258</f>
        <v>5.1.1.3.12</v>
      </c>
      <c r="C1228" s="39" t="str">
        <f>VLOOKUP(B1228,'Jaringan Listrik'!C:K,2,FALSE)</f>
        <v xml:space="preserve">Pemasangan 1 m' kabel NYM 4 x 2,5 mm²
</v>
      </c>
      <c r="D1228" s="9" t="s">
        <v>113</v>
      </c>
      <c r="E1228" s="1021">
        <f>VLOOKUP(C1228,'Jaringan Listrik'!$D$2:$I$5188,6,FALSE)</f>
        <v>9400</v>
      </c>
      <c r="F1228" s="1003">
        <f>VLOOKUP(C1228,'Jaringan Listrik'!$D:$K,7,FALSE)</f>
        <v>0</v>
      </c>
      <c r="G1228" s="12">
        <f>VLOOKUP(C1228,'Jaringan Listrik'!$D:$K,8,FALSE)</f>
        <v>0</v>
      </c>
      <c r="H1228" s="374"/>
      <c r="I1228" s="16"/>
    </row>
    <row r="1229" spans="2:9" ht="24" customHeight="1">
      <c r="B1229" s="1033" t="str">
        <f>'Jaringan Listrik'!C1275</f>
        <v>5.1.1.3.13</v>
      </c>
      <c r="C1229" s="39" t="str">
        <f>VLOOKUP(B1229,'Jaringan Listrik'!C:K,2,FALSE)</f>
        <v xml:space="preserve">Pemasangan 1 m' kabel NYM 4 x 4 mm²
</v>
      </c>
      <c r="D1229" s="9" t="s">
        <v>113</v>
      </c>
      <c r="E1229" s="1021">
        <f>VLOOKUP(C1229,'Jaringan Listrik'!$D$2:$I$5188,6,FALSE)</f>
        <v>11400</v>
      </c>
      <c r="F1229" s="1003">
        <f>VLOOKUP(C1229,'Jaringan Listrik'!$D:$K,7,FALSE)</f>
        <v>0</v>
      </c>
      <c r="G1229" s="12">
        <f>VLOOKUP(C1229,'Jaringan Listrik'!$D:$K,8,FALSE)</f>
        <v>0</v>
      </c>
      <c r="H1229" s="374"/>
      <c r="I1229" s="16"/>
    </row>
    <row r="1230" spans="2:9" ht="24" customHeight="1">
      <c r="B1230" s="1033" t="str">
        <f>'Jaringan Listrik'!C1292</f>
        <v>5.1.1.3.14</v>
      </c>
      <c r="C1230" s="39" t="str">
        <f>VLOOKUP(B1230,'Jaringan Listrik'!C:K,2,FALSE)</f>
        <v xml:space="preserve">Pemasangan 1 m' kabel NYM 4 x 6 mm²
</v>
      </c>
      <c r="D1230" s="9" t="s">
        <v>113</v>
      </c>
      <c r="E1230" s="1021">
        <f>VLOOKUP(C1230,'Jaringan Listrik'!$D$2:$I$5188,6,FALSE)</f>
        <v>11400</v>
      </c>
      <c r="F1230" s="1003">
        <f>VLOOKUP(C1230,'Jaringan Listrik'!$D:$K,7,FALSE)</f>
        <v>0</v>
      </c>
      <c r="G1230" s="12">
        <f>VLOOKUP(C1230,'Jaringan Listrik'!$D:$K,8,FALSE)</f>
        <v>0</v>
      </c>
      <c r="H1230" s="374"/>
      <c r="I1230" s="16"/>
    </row>
    <row r="1231" spans="2:9" ht="24" customHeight="1">
      <c r="B1231" s="1033" t="str">
        <f>'Jaringan Listrik'!C1309</f>
        <v>5.1.1.3.15</v>
      </c>
      <c r="C1231" s="39" t="str">
        <f>VLOOKUP(B1231,'Jaringan Listrik'!C:K,2,FALSE)</f>
        <v xml:space="preserve">Pemasangan 1 m' kabel NYM 4 x 10 mm²
</v>
      </c>
      <c r="D1231" s="9" t="s">
        <v>113</v>
      </c>
      <c r="E1231" s="1021">
        <f>VLOOKUP(C1231,'Jaringan Listrik'!$D$2:$I$5188,6,FALSE)</f>
        <v>14200</v>
      </c>
      <c r="F1231" s="1003">
        <f>VLOOKUP(C1231,'Jaringan Listrik'!$D:$K,7,FALSE)</f>
        <v>0</v>
      </c>
      <c r="G1231" s="12">
        <f>VLOOKUP(C1231,'Jaringan Listrik'!$D:$K,8,FALSE)</f>
        <v>0</v>
      </c>
      <c r="H1231" s="374"/>
      <c r="I1231" s="16"/>
    </row>
    <row r="1232" spans="2:9" ht="24" customHeight="1">
      <c r="B1232" s="1033" t="str">
        <f>'Jaringan Listrik'!C1326</f>
        <v>5.1.1.3.16</v>
      </c>
      <c r="C1232" s="39" t="str">
        <f>VLOOKUP(B1232,'Jaringan Listrik'!C:K,2,FALSE)</f>
        <v xml:space="preserve">Pemasangan 1 m' kabel NYM 4 x 16 mm²
</v>
      </c>
      <c r="D1232" s="9" t="s">
        <v>113</v>
      </c>
      <c r="E1232" s="1021">
        <f>VLOOKUP(C1232,'Jaringan Listrik'!$D$2:$I$5188,6,FALSE)</f>
        <v>14200</v>
      </c>
      <c r="F1232" s="1003">
        <f>VLOOKUP(C1232,'Jaringan Listrik'!$D:$K,7,FALSE)</f>
        <v>0</v>
      </c>
      <c r="G1232" s="12">
        <f>VLOOKUP(C1232,'Jaringan Listrik'!$D:$K,8,FALSE)</f>
        <v>0</v>
      </c>
      <c r="H1232" s="374"/>
      <c r="I1232" s="16"/>
    </row>
    <row r="1233" spans="2:9" ht="24" customHeight="1">
      <c r="B1233" s="1041" t="str">
        <f>'Jaringan Listrik'!C1343</f>
        <v>5.1.1.4</v>
      </c>
      <c r="C1233" s="40" t="str">
        <f>VLOOKUP(B1233,'Jaringan Listrik'!C:K,2,FALSE)</f>
        <v>Kabel NYMHY</v>
      </c>
      <c r="D1233" s="19"/>
      <c r="E1233" s="1030"/>
      <c r="F1233" s="1010"/>
      <c r="G1233" s="34"/>
      <c r="H1233" s="374"/>
      <c r="I1233" s="16"/>
    </row>
    <row r="1234" spans="2:9" ht="24" customHeight="1">
      <c r="B1234" s="1033" t="str">
        <f>'Jaringan Listrik'!C1344</f>
        <v>5.1.1.4.1</v>
      </c>
      <c r="C1234" s="39" t="str">
        <f>VLOOKUP(B1234,'Jaringan Listrik'!C:K,2,FALSE)</f>
        <v xml:space="preserve">Pemasangan 1 m' kabel NYMHY 2 x 1,5 mm²
</v>
      </c>
      <c r="D1234" s="9" t="s">
        <v>113</v>
      </c>
      <c r="E1234" s="1021">
        <f>VLOOKUP(C1234,'Jaringan Listrik'!$D$2:$I$5188,6,FALSE)</f>
        <v>9400</v>
      </c>
      <c r="F1234" s="1003">
        <f>VLOOKUP(C1234,'Jaringan Listrik'!$D:$K,7,FALSE)</f>
        <v>0</v>
      </c>
      <c r="G1234" s="12">
        <f>VLOOKUP(C1234,'Jaringan Listrik'!$D:$K,8,FALSE)</f>
        <v>0</v>
      </c>
      <c r="H1234" s="374"/>
      <c r="I1234" s="16"/>
    </row>
    <row r="1235" spans="2:9" ht="24" customHeight="1">
      <c r="B1235" s="1033" t="str">
        <f>'Jaringan Listrik'!C1361</f>
        <v>5.1.1.4.2</v>
      </c>
      <c r="C1235" s="39" t="str">
        <f>VLOOKUP(B1235,'Jaringan Listrik'!C:K,2,FALSE)</f>
        <v xml:space="preserve">Pemasangan 1 m' kabel NYMHY 2 x 2,5 mm²
</v>
      </c>
      <c r="D1235" s="9" t="s">
        <v>113</v>
      </c>
      <c r="E1235" s="1021">
        <f>VLOOKUP(C1235,'Jaringan Listrik'!$D$2:$I$5188,6,FALSE)</f>
        <v>9400</v>
      </c>
      <c r="F1235" s="1003">
        <f>VLOOKUP(C1235,'Jaringan Listrik'!$D:$K,7,FALSE)</f>
        <v>0</v>
      </c>
      <c r="G1235" s="12">
        <f>VLOOKUP(C1235,'Jaringan Listrik'!$D:$K,8,FALSE)</f>
        <v>0</v>
      </c>
      <c r="H1235" s="374"/>
      <c r="I1235" s="16"/>
    </row>
    <row r="1236" spans="2:9" ht="24" customHeight="1">
      <c r="B1236" s="1033" t="str">
        <f>'Jaringan Listrik'!C1378</f>
        <v>5.1.1.4.3</v>
      </c>
      <c r="C1236" s="39" t="str">
        <f>VLOOKUP(B1236,'Jaringan Listrik'!C:K,2,FALSE)</f>
        <v xml:space="preserve">Pemasangan 1 m' kabel NYMHY 3 x 1,5 mm²
</v>
      </c>
      <c r="D1236" s="9" t="s">
        <v>113</v>
      </c>
      <c r="E1236" s="1021">
        <f>VLOOKUP(C1236,'Jaringan Listrik'!$D$2:$I$5188,6,FALSE)</f>
        <v>9400</v>
      </c>
      <c r="F1236" s="1003">
        <f>VLOOKUP(C1236,'Jaringan Listrik'!$D:$K,7,FALSE)</f>
        <v>0</v>
      </c>
      <c r="G1236" s="12">
        <f>VLOOKUP(C1236,'Jaringan Listrik'!$D:$K,8,FALSE)</f>
        <v>0</v>
      </c>
      <c r="H1236" s="374"/>
      <c r="I1236" s="16"/>
    </row>
    <row r="1237" spans="2:9" ht="24" customHeight="1">
      <c r="B1237" s="1033" t="str">
        <f>'Jaringan Listrik'!C1395</f>
        <v>5.1.1.4.4</v>
      </c>
      <c r="C1237" s="39" t="str">
        <f>VLOOKUP(B1237,'Jaringan Listrik'!C:K,2,FALSE)</f>
        <v xml:space="preserve">Pemasangan 1 m' kabel NYMHY 3 x 2,5 mm²
</v>
      </c>
      <c r="D1237" s="9" t="s">
        <v>113</v>
      </c>
      <c r="E1237" s="1021">
        <f>VLOOKUP(C1237,'Jaringan Listrik'!$D$2:$I$5188,6,FALSE)</f>
        <v>9400</v>
      </c>
      <c r="F1237" s="1003">
        <f>VLOOKUP(C1237,'Jaringan Listrik'!$D:$K,7,FALSE)</f>
        <v>0</v>
      </c>
      <c r="G1237" s="12">
        <f>VLOOKUP(C1237,'Jaringan Listrik'!$D:$K,8,FALSE)</f>
        <v>0</v>
      </c>
      <c r="H1237" s="374"/>
      <c r="I1237" s="16"/>
    </row>
    <row r="1238" spans="2:9" ht="24" customHeight="1">
      <c r="B1238" s="1033" t="str">
        <f>'Jaringan Listrik'!C1412</f>
        <v>5.1.1.4.5</v>
      </c>
      <c r="C1238" s="39" t="str">
        <f>VLOOKUP(B1238,'Jaringan Listrik'!C:K,2,FALSE)</f>
        <v xml:space="preserve">Pemasangan 1 m' kabel NYMHY 4 x 2,5 mm²
</v>
      </c>
      <c r="D1238" s="9" t="s">
        <v>113</v>
      </c>
      <c r="E1238" s="1021">
        <f>VLOOKUP(C1238,'Jaringan Listrik'!$D$2:$I$5188,6,FALSE)</f>
        <v>9400</v>
      </c>
      <c r="F1238" s="1003">
        <f>VLOOKUP(C1238,'Jaringan Listrik'!$D:$K,7,FALSE)</f>
        <v>0</v>
      </c>
      <c r="G1238" s="12">
        <f>VLOOKUP(C1238,'Jaringan Listrik'!$D:$K,8,FALSE)</f>
        <v>0</v>
      </c>
      <c r="H1238" s="374"/>
      <c r="I1238" s="16"/>
    </row>
    <row r="1239" spans="2:9" ht="24" customHeight="1">
      <c r="B1239" s="1033" t="str">
        <f>'Jaringan Listrik'!C1429</f>
        <v>5.1.1.4.6</v>
      </c>
      <c r="C1239" s="39" t="str">
        <f>VLOOKUP(B1239,'Jaringan Listrik'!C:K,2,FALSE)</f>
        <v xml:space="preserve">Pemasangan 1 m' kabel NYMHY 3 x 1,5 mm² + PVC conduit HI 20 mm²
</v>
      </c>
      <c r="D1239" s="9" t="s">
        <v>113</v>
      </c>
      <c r="E1239" s="1021">
        <f>VLOOKUP(C1239,'Jaringan Listrik'!$D$2:$I$5188,6,FALSE)</f>
        <v>9400</v>
      </c>
      <c r="F1239" s="1003" t="str">
        <f>VLOOKUP(C1239,'Jaringan Listrik'!$D:$K,7,FALSE)</f>
        <v>Revisi</v>
      </c>
      <c r="G1239" s="12" t="str">
        <f>VLOOKUP(C1239,'Jaringan Listrik'!$D:$K,8,FALSE)</f>
        <v xml:space="preserve">Perubahan di bahan Kabel digabung dengan Conduit PVC jadi satu </v>
      </c>
      <c r="H1239" s="374"/>
      <c r="I1239" s="16"/>
    </row>
    <row r="1240" spans="2:9" ht="24" customHeight="1">
      <c r="B1240" s="1033" t="str">
        <f>'Jaringan Listrik'!C1446</f>
        <v>5.1.1.4.7</v>
      </c>
      <c r="C1240" s="39" t="str">
        <f>VLOOKUP(B1240,'Jaringan Listrik'!C:K,2,FALSE)</f>
        <v xml:space="preserve">Pemasangan 1 m' kabel NYMHY 2 (3 x 1,5 mm²) + PVC conduit HI 20 mm²
</v>
      </c>
      <c r="D1240" s="9" t="s">
        <v>113</v>
      </c>
      <c r="E1240" s="1021">
        <f>VLOOKUP(C1240,'Jaringan Listrik'!$D$2:$I$5188,6,FALSE)</f>
        <v>12300</v>
      </c>
      <c r="F1240" s="1003" t="str">
        <f>VLOOKUP(C1240,'Jaringan Listrik'!$D:$K,7,FALSE)</f>
        <v>Revisi</v>
      </c>
      <c r="G1240" s="12" t="str">
        <f>VLOOKUP(C1240,'Jaringan Listrik'!$D:$K,8,FALSE)</f>
        <v xml:space="preserve">Perubahan di bahan Kabel digabung dengan Conduit PVC jadi satu </v>
      </c>
      <c r="H1240" s="374"/>
      <c r="I1240" s="16"/>
    </row>
    <row r="1241" spans="2:9" ht="24" customHeight="1">
      <c r="B1241" s="1041" t="str">
        <f>'Jaringan Listrik'!C1463</f>
        <v>5.1.1.5</v>
      </c>
      <c r="C1241" s="40" t="str">
        <f>VLOOKUP(B1241,'Jaringan Listrik'!C:K,2,FALSE)</f>
        <v>Kabel NYFGBY</v>
      </c>
      <c r="D1241" s="19"/>
      <c r="E1241" s="1030"/>
      <c r="F1241" s="1010"/>
      <c r="G1241" s="34"/>
      <c r="H1241" s="374"/>
      <c r="I1241" s="16"/>
    </row>
    <row r="1242" spans="2:9" ht="24" customHeight="1">
      <c r="B1242" s="1033" t="str">
        <f>'Jaringan Listrik'!C1464</f>
        <v>5.1.1.5.1</v>
      </c>
      <c r="C1242" s="39" t="str">
        <f>VLOOKUP(B1242,'Jaringan Listrik'!C:K,2,FALSE)</f>
        <v xml:space="preserve">Pemasangan 1 m' kabel NYFGBY 2 x 1,5 mm²
</v>
      </c>
      <c r="D1242" s="9" t="s">
        <v>113</v>
      </c>
      <c r="E1242" s="1021">
        <f>VLOOKUP(C1242,'Jaringan Listrik'!$D$2:$I$5188,6,FALSE)</f>
        <v>39400</v>
      </c>
      <c r="F1242" s="1003">
        <f>VLOOKUP(C1242,'Jaringan Listrik'!$D:$K,7,FALSE)</f>
        <v>0</v>
      </c>
      <c r="G1242" s="12">
        <f>VLOOKUP(C1242,'Jaringan Listrik'!$D:$K,8,FALSE)</f>
        <v>0</v>
      </c>
      <c r="H1242" s="374"/>
      <c r="I1242" s="16"/>
    </row>
    <row r="1243" spans="2:9" ht="24" customHeight="1">
      <c r="B1243" s="1033" t="str">
        <f>'Jaringan Listrik'!C1481</f>
        <v>5.1.1.5.2</v>
      </c>
      <c r="C1243" s="39" t="str">
        <f>VLOOKUP(B1243,'Jaringan Listrik'!C:K,2,FALSE)</f>
        <v xml:space="preserve">Pemasangan 1 m' kabel NYFGBY 2 x 2,5 mm²
</v>
      </c>
      <c r="D1243" s="9" t="s">
        <v>113</v>
      </c>
      <c r="E1243" s="1021">
        <f>VLOOKUP(C1243,'Jaringan Listrik'!$D$2:$I$5188,6,FALSE)</f>
        <v>49600</v>
      </c>
      <c r="F1243" s="1003">
        <f>VLOOKUP(C1243,'Jaringan Listrik'!$D:$K,7,FALSE)</f>
        <v>0</v>
      </c>
      <c r="G1243" s="12">
        <f>VLOOKUP(C1243,'Jaringan Listrik'!$D:$K,8,FALSE)</f>
        <v>0</v>
      </c>
      <c r="H1243" s="374"/>
      <c r="I1243" s="16"/>
    </row>
    <row r="1244" spans="2:9" ht="24" customHeight="1">
      <c r="B1244" s="1033" t="str">
        <f>'Jaringan Listrik'!C1498</f>
        <v>5.1.1.5.3</v>
      </c>
      <c r="C1244" s="39" t="str">
        <f>VLOOKUP(B1244,'Jaringan Listrik'!C:K,2,FALSE)</f>
        <v xml:space="preserve">Pemasangan 1 m' kabel NYFGBY 2 x 4 mm²
</v>
      </c>
      <c r="D1244" s="9" t="s">
        <v>113</v>
      </c>
      <c r="E1244" s="1021">
        <f>VLOOKUP(C1244,'Jaringan Listrik'!$D$2:$I$5188,6,FALSE)</f>
        <v>55800</v>
      </c>
      <c r="F1244" s="1003">
        <f>VLOOKUP(C1244,'Jaringan Listrik'!$D:$K,7,FALSE)</f>
        <v>0</v>
      </c>
      <c r="G1244" s="12">
        <f>VLOOKUP(C1244,'Jaringan Listrik'!$D:$K,8,FALSE)</f>
        <v>0</v>
      </c>
      <c r="H1244" s="374"/>
      <c r="I1244" s="16"/>
    </row>
    <row r="1245" spans="2:9" ht="24" customHeight="1">
      <c r="B1245" s="1033" t="str">
        <f>'Jaringan Listrik'!C1515</f>
        <v>5.1.1.5.4</v>
      </c>
      <c r="C1245" s="39" t="str">
        <f>VLOOKUP(B1245,'Jaringan Listrik'!C:K,2,FALSE)</f>
        <v xml:space="preserve">Pemasangan 1 m' kabel NYFGBY 2 x 6 mm²
</v>
      </c>
      <c r="D1245" s="9" t="s">
        <v>113</v>
      </c>
      <c r="E1245" s="1021">
        <f>VLOOKUP(C1245,'Jaringan Listrik'!$D$2:$I$5188,6,FALSE)</f>
        <v>66600</v>
      </c>
      <c r="F1245" s="1003">
        <f>VLOOKUP(C1245,'Jaringan Listrik'!$D:$K,7,FALSE)</f>
        <v>0</v>
      </c>
      <c r="G1245" s="12">
        <f>VLOOKUP(C1245,'Jaringan Listrik'!$D:$K,8,FALSE)</f>
        <v>0</v>
      </c>
      <c r="H1245" s="374"/>
      <c r="I1245" s="16"/>
    </row>
    <row r="1246" spans="2:9" ht="24" customHeight="1">
      <c r="B1246" s="1033" t="str">
        <f>'Jaringan Listrik'!C1532</f>
        <v>5.1.1.5.5</v>
      </c>
      <c r="C1246" s="39" t="str">
        <f>VLOOKUP(B1246,'Jaringan Listrik'!C:K,2,FALSE)</f>
        <v xml:space="preserve">Pemasangan 1 m' kabel NYFGBY 2 x 10 mm²
</v>
      </c>
      <c r="D1246" s="9" t="s">
        <v>113</v>
      </c>
      <c r="E1246" s="1021">
        <f>VLOOKUP(C1246,'Jaringan Listrik'!$D$2:$I$5188,6,FALSE)</f>
        <v>89600</v>
      </c>
      <c r="F1246" s="1003">
        <f>VLOOKUP(C1246,'Jaringan Listrik'!$D:$K,7,FALSE)</f>
        <v>0</v>
      </c>
      <c r="G1246" s="12">
        <f>VLOOKUP(C1246,'Jaringan Listrik'!$D:$K,8,FALSE)</f>
        <v>0</v>
      </c>
      <c r="H1246" s="374"/>
      <c r="I1246" s="16"/>
    </row>
    <row r="1247" spans="2:9" ht="24" customHeight="1">
      <c r="B1247" s="1033" t="str">
        <f>'Jaringan Listrik'!C1549</f>
        <v>5.1.1.5.6</v>
      </c>
      <c r="C1247" s="39" t="str">
        <f>VLOOKUP(B1247,'Jaringan Listrik'!C:K,2,FALSE)</f>
        <v xml:space="preserve">Pemasangan 1 m' kabel NYFGBY 2 x 16 mm²
</v>
      </c>
      <c r="D1247" s="9" t="s">
        <v>113</v>
      </c>
      <c r="E1247" s="1021">
        <f>VLOOKUP(C1247,'Jaringan Listrik'!$D$2:$I$5188,6,FALSE)</f>
        <v>117600</v>
      </c>
      <c r="F1247" s="1003">
        <f>VLOOKUP(C1247,'Jaringan Listrik'!$D:$K,7,FALSE)</f>
        <v>0</v>
      </c>
      <c r="G1247" s="12">
        <f>VLOOKUP(C1247,'Jaringan Listrik'!$D:$K,8,FALSE)</f>
        <v>0</v>
      </c>
      <c r="H1247" s="374"/>
      <c r="I1247" s="16"/>
    </row>
    <row r="1248" spans="2:9" ht="24" customHeight="1">
      <c r="B1248" s="1033" t="str">
        <f>'Jaringan Listrik'!C1566</f>
        <v>5.1.1.5.7</v>
      </c>
      <c r="C1248" s="39" t="str">
        <f>VLOOKUP(B1248,'Jaringan Listrik'!C:K,2,FALSE)</f>
        <v xml:space="preserve">Pemasangan 1 m' kabel NYFGBY 3 x 1,5 mm²
</v>
      </c>
      <c r="D1248" s="9" t="s">
        <v>113</v>
      </c>
      <c r="E1248" s="1021">
        <f>VLOOKUP(C1248,'Jaringan Listrik'!$D$2:$I$5188,6,FALSE)</f>
        <v>47000</v>
      </c>
      <c r="F1248" s="1003">
        <f>VLOOKUP(C1248,'Jaringan Listrik'!$D:$K,7,FALSE)</f>
        <v>0</v>
      </c>
      <c r="G1248" s="12">
        <f>VLOOKUP(C1248,'Jaringan Listrik'!$D:$K,8,FALSE)</f>
        <v>0</v>
      </c>
      <c r="H1248" s="374"/>
      <c r="I1248" s="16"/>
    </row>
    <row r="1249" spans="2:9" ht="24" customHeight="1">
      <c r="B1249" s="1033" t="str">
        <f>'Jaringan Listrik'!C1583</f>
        <v>5.1.1.5.8</v>
      </c>
      <c r="C1249" s="39" t="str">
        <f>VLOOKUP(B1249,'Jaringan Listrik'!C:K,2,FALSE)</f>
        <v xml:space="preserve">Pemasangan 1 m' kabel NYFGBY 3 x 2,5 mm²
</v>
      </c>
      <c r="D1249" s="9" t="s">
        <v>113</v>
      </c>
      <c r="E1249" s="1021">
        <f>VLOOKUP(C1249,'Jaringan Listrik'!$D$2:$I$5188,6,FALSE)</f>
        <v>54900</v>
      </c>
      <c r="F1249" s="1003">
        <f>VLOOKUP(C1249,'Jaringan Listrik'!$D:$K,7,FALSE)</f>
        <v>0</v>
      </c>
      <c r="G1249" s="12">
        <f>VLOOKUP(C1249,'Jaringan Listrik'!$D:$K,8,FALSE)</f>
        <v>0</v>
      </c>
      <c r="H1249" s="374"/>
      <c r="I1249" s="16"/>
    </row>
    <row r="1250" spans="2:9" ht="24" customHeight="1">
      <c r="B1250" s="1033" t="str">
        <f>'Jaringan Listrik'!C1600</f>
        <v>5.1.1.5.9</v>
      </c>
      <c r="C1250" s="39" t="str">
        <f>VLOOKUP(B1250,'Jaringan Listrik'!C:K,2,FALSE)</f>
        <v xml:space="preserve">Pemasangan 1 m' kabel NYFGBY 3 x 4 mm²
</v>
      </c>
      <c r="D1250" s="9" t="s">
        <v>113</v>
      </c>
      <c r="E1250" s="1021">
        <f>VLOOKUP(C1250,'Jaringan Listrik'!$D$2:$I$5188,6,FALSE)</f>
        <v>76100</v>
      </c>
      <c r="F1250" s="1003">
        <f>VLOOKUP(C1250,'Jaringan Listrik'!$D:$K,7,FALSE)</f>
        <v>0</v>
      </c>
      <c r="G1250" s="12">
        <f>VLOOKUP(C1250,'Jaringan Listrik'!$D:$K,8,FALSE)</f>
        <v>0</v>
      </c>
      <c r="H1250" s="374"/>
      <c r="I1250" s="16"/>
    </row>
    <row r="1251" spans="2:9" ht="24" customHeight="1">
      <c r="B1251" s="1033" t="str">
        <f>'Jaringan Listrik'!C1617</f>
        <v>5.1.1.5.10</v>
      </c>
      <c r="C1251" s="39" t="str">
        <f>VLOOKUP(B1251,'Jaringan Listrik'!C:K,2,FALSE)</f>
        <v xml:space="preserve">Pemasangan 1 m' kabel NYFGBY 3 x 6 mm²
</v>
      </c>
      <c r="D1251" s="9" t="s">
        <v>113</v>
      </c>
      <c r="E1251" s="1021">
        <f>VLOOKUP(C1251,'Jaringan Listrik'!$D$2:$I$5188,6,FALSE)</f>
        <v>98000</v>
      </c>
      <c r="F1251" s="1003">
        <f>VLOOKUP(C1251,'Jaringan Listrik'!$D:$K,7,FALSE)</f>
        <v>0</v>
      </c>
      <c r="G1251" s="12">
        <f>VLOOKUP(C1251,'Jaringan Listrik'!$D:$K,8,FALSE)</f>
        <v>0</v>
      </c>
      <c r="H1251" s="374"/>
      <c r="I1251" s="16"/>
    </row>
    <row r="1252" spans="2:9" ht="24" customHeight="1">
      <c r="B1252" s="1033" t="str">
        <f>'Jaringan Listrik'!C1634</f>
        <v>5.1.1.5.11</v>
      </c>
      <c r="C1252" s="39" t="str">
        <f>VLOOKUP(B1252,'Jaringan Listrik'!C:K,2,FALSE)</f>
        <v xml:space="preserve">Pemasangan 1 m' kabel NYFGBY 3 x 10 mm²
</v>
      </c>
      <c r="D1252" s="9" t="s">
        <v>113</v>
      </c>
      <c r="E1252" s="1021">
        <f>VLOOKUP(C1252,'Jaringan Listrik'!$D$2:$I$5188,6,FALSE)</f>
        <v>119200</v>
      </c>
      <c r="F1252" s="1003">
        <f>VLOOKUP(C1252,'Jaringan Listrik'!$D:$K,7,FALSE)</f>
        <v>0</v>
      </c>
      <c r="G1252" s="12">
        <f>VLOOKUP(C1252,'Jaringan Listrik'!$D:$K,8,FALSE)</f>
        <v>0</v>
      </c>
      <c r="H1252" s="374"/>
      <c r="I1252" s="16"/>
    </row>
    <row r="1253" spans="2:9" ht="24" customHeight="1">
      <c r="B1253" s="1033" t="str">
        <f>'Jaringan Listrik'!C1651</f>
        <v>5.1.1.5.12</v>
      </c>
      <c r="C1253" s="39" t="str">
        <f>VLOOKUP(B1253,'Jaringan Listrik'!C:K,2,FALSE)</f>
        <v xml:space="preserve">Pemasangan 1 m' kabel NYFGBY 3 x 16 mm²
</v>
      </c>
      <c r="D1253" s="9" t="s">
        <v>113</v>
      </c>
      <c r="E1253" s="1021">
        <f>VLOOKUP(C1253,'Jaringan Listrik'!$D$2:$I$5188,6,FALSE)</f>
        <v>184300</v>
      </c>
      <c r="F1253" s="1003">
        <f>VLOOKUP(C1253,'Jaringan Listrik'!$D:$K,7,FALSE)</f>
        <v>0</v>
      </c>
      <c r="G1253" s="12">
        <f>VLOOKUP(C1253,'Jaringan Listrik'!$D:$K,8,FALSE)</f>
        <v>0</v>
      </c>
      <c r="H1253" s="374"/>
      <c r="I1253" s="16"/>
    </row>
    <row r="1254" spans="2:9" ht="24" customHeight="1">
      <c r="B1254" s="1033" t="str">
        <f>'Jaringan Listrik'!C1668</f>
        <v>5.1.1.5.13</v>
      </c>
      <c r="C1254" s="39" t="str">
        <f>VLOOKUP(B1254,'Jaringan Listrik'!C:K,2,FALSE)</f>
        <v xml:space="preserve">Pemasangan 1 m' kabel NYFGBY 4 x 1,5 mm²
</v>
      </c>
      <c r="D1254" s="9" t="s">
        <v>113</v>
      </c>
      <c r="E1254" s="1021">
        <f>VLOOKUP(C1254,'Jaringan Listrik'!$D$2:$I$5188,6,FALSE)</f>
        <v>48200</v>
      </c>
      <c r="F1254" s="1003">
        <f>VLOOKUP(C1254,'Jaringan Listrik'!$D:$K,7,FALSE)</f>
        <v>0</v>
      </c>
      <c r="G1254" s="12">
        <f>VLOOKUP(C1254,'Jaringan Listrik'!$D:$K,8,FALSE)</f>
        <v>0</v>
      </c>
      <c r="H1254" s="374"/>
      <c r="I1254" s="16"/>
    </row>
    <row r="1255" spans="2:9" ht="24" customHeight="1">
      <c r="B1255" s="1033" t="str">
        <f>'Jaringan Listrik'!C1685</f>
        <v>5.1.1.5.14</v>
      </c>
      <c r="C1255" s="39" t="str">
        <f>VLOOKUP(B1255,'Jaringan Listrik'!C:K,2,FALSE)</f>
        <v xml:space="preserve">Pemasangan 1 m' kabel NYFGBY 4 x 2,5 mm²
</v>
      </c>
      <c r="D1255" s="9" t="s">
        <v>113</v>
      </c>
      <c r="E1255" s="1021">
        <f>VLOOKUP(C1255,'Jaringan Listrik'!$D$2:$I$5188,6,FALSE)</f>
        <v>62400</v>
      </c>
      <c r="F1255" s="1003">
        <f>VLOOKUP(C1255,'Jaringan Listrik'!$D:$K,7,FALSE)</f>
        <v>0</v>
      </c>
      <c r="G1255" s="12">
        <f>VLOOKUP(C1255,'Jaringan Listrik'!$D:$K,8,FALSE)</f>
        <v>0</v>
      </c>
      <c r="H1255" s="374"/>
      <c r="I1255" s="16"/>
    </row>
    <row r="1256" spans="2:9" ht="24" customHeight="1">
      <c r="B1256" s="1033" t="str">
        <f>'Jaringan Listrik'!C1702</f>
        <v>5.1.1.5.15</v>
      </c>
      <c r="C1256" s="39" t="str">
        <f>VLOOKUP(B1256,'Jaringan Listrik'!C:K,2,FALSE)</f>
        <v xml:space="preserve">Pemasangan 1 m' kabel NYFGBY 4 x 4 mm²
</v>
      </c>
      <c r="D1256" s="9" t="s">
        <v>113</v>
      </c>
      <c r="E1256" s="1021">
        <f>VLOOKUP(C1256,'Jaringan Listrik'!$D$2:$I$5188,6,FALSE)</f>
        <v>98600</v>
      </c>
      <c r="F1256" s="1003">
        <f>VLOOKUP(C1256,'Jaringan Listrik'!$D:$K,7,FALSE)</f>
        <v>0</v>
      </c>
      <c r="G1256" s="12">
        <f>VLOOKUP(C1256,'Jaringan Listrik'!$D:$K,8,FALSE)</f>
        <v>0</v>
      </c>
      <c r="H1256" s="374"/>
      <c r="I1256" s="16"/>
    </row>
    <row r="1257" spans="2:9" ht="24" customHeight="1">
      <c r="B1257" s="1033" t="str">
        <f>'Jaringan Listrik'!C1719</f>
        <v>5.1.1.5.16</v>
      </c>
      <c r="C1257" s="39" t="str">
        <f>VLOOKUP(B1257,'Jaringan Listrik'!C:K,2,FALSE)</f>
        <v xml:space="preserve">Pemasangan 1 m' kabel NYFGBY 4 x 6 mm²
</v>
      </c>
      <c r="D1257" s="9" t="s">
        <v>113</v>
      </c>
      <c r="E1257" s="1021">
        <f>VLOOKUP(C1257,'Jaringan Listrik'!$D$2:$I$5188,6,FALSE)</f>
        <v>106800</v>
      </c>
      <c r="F1257" s="1003">
        <f>VLOOKUP(C1257,'Jaringan Listrik'!$D:$K,7,FALSE)</f>
        <v>0</v>
      </c>
      <c r="G1257" s="12">
        <f>VLOOKUP(C1257,'Jaringan Listrik'!$D:$K,8,FALSE)</f>
        <v>0</v>
      </c>
      <c r="H1257" s="374"/>
      <c r="I1257" s="16"/>
    </row>
    <row r="1258" spans="2:9" ht="24" customHeight="1">
      <c r="B1258" s="1033" t="str">
        <f>'Jaringan Listrik'!C1736</f>
        <v>5.1.1.5.17</v>
      </c>
      <c r="C1258" s="39" t="str">
        <f>VLOOKUP(B1258,'Jaringan Listrik'!C:K,2,FALSE)</f>
        <v xml:space="preserve">Pemasangan 1 m' kabel NYFGBY 4 x 10 mm²
</v>
      </c>
      <c r="D1258" s="9" t="s">
        <v>113</v>
      </c>
      <c r="E1258" s="1021">
        <f>VLOOKUP(C1258,'Jaringan Listrik'!$D$2:$I$5188,6,FALSE)</f>
        <v>147000</v>
      </c>
      <c r="F1258" s="1003">
        <f>VLOOKUP(C1258,'Jaringan Listrik'!$D:$K,7,FALSE)</f>
        <v>0</v>
      </c>
      <c r="G1258" s="12">
        <f>VLOOKUP(C1258,'Jaringan Listrik'!$D:$K,8,FALSE)</f>
        <v>0</v>
      </c>
      <c r="H1258" s="374"/>
      <c r="I1258" s="16"/>
    </row>
    <row r="1259" spans="2:9" ht="24" customHeight="1">
      <c r="B1259" s="1033" t="str">
        <f>'Jaringan Listrik'!C1753</f>
        <v>5.1.1.5.18</v>
      </c>
      <c r="C1259" s="39" t="str">
        <f>VLOOKUP(B1259,'Jaringan Listrik'!C:K,2,FALSE)</f>
        <v xml:space="preserve">Pemasangan 1 m' kabel NYFGBY 4 x 16 mm²
</v>
      </c>
      <c r="D1259" s="9" t="s">
        <v>113</v>
      </c>
      <c r="E1259" s="1021">
        <f>VLOOKUP(C1259,'Jaringan Listrik'!$D$2:$I$5188,6,FALSE)</f>
        <v>229200</v>
      </c>
      <c r="F1259" s="1003">
        <f>VLOOKUP(C1259,'Jaringan Listrik'!$D:$K,7,FALSE)</f>
        <v>0</v>
      </c>
      <c r="G1259" s="12">
        <f>VLOOKUP(C1259,'Jaringan Listrik'!$D:$K,8,FALSE)</f>
        <v>0</v>
      </c>
      <c r="H1259" s="374"/>
      <c r="I1259" s="16"/>
    </row>
    <row r="1260" spans="2:9" ht="24" customHeight="1">
      <c r="B1260" s="1033" t="str">
        <f>'Jaringan Listrik'!C1770</f>
        <v>5.1.1.5.19</v>
      </c>
      <c r="C1260" s="39" t="str">
        <f>VLOOKUP(B1260,'Jaringan Listrik'!C:K,2,FALSE)</f>
        <v xml:space="preserve">Pemasangan 1 m' kabel NYFGBY 4 x 25 mm²
</v>
      </c>
      <c r="D1260" s="9" t="s">
        <v>113</v>
      </c>
      <c r="E1260" s="1021">
        <f>VLOOKUP(C1260,'Jaringan Listrik'!$D$2:$I$5188,6,FALSE)</f>
        <v>349700</v>
      </c>
      <c r="F1260" s="1003">
        <f>VLOOKUP(C1260,'Jaringan Listrik'!$D:$K,7,FALSE)</f>
        <v>0</v>
      </c>
      <c r="G1260" s="12">
        <f>VLOOKUP(C1260,'Jaringan Listrik'!$D:$K,8,FALSE)</f>
        <v>0</v>
      </c>
      <c r="H1260" s="374"/>
      <c r="I1260" s="16"/>
    </row>
    <row r="1261" spans="2:9" ht="24" customHeight="1">
      <c r="B1261" s="1033" t="str">
        <f>'Jaringan Listrik'!C1787</f>
        <v>5.1.1.5.20</v>
      </c>
      <c r="C1261" s="39" t="str">
        <f>VLOOKUP(B1261,'Jaringan Listrik'!C:K,2,FALSE)</f>
        <v xml:space="preserve">Pemasangan 1 m' kabel NYFGBY 4 x 35 mm²
</v>
      </c>
      <c r="D1261" s="9" t="s">
        <v>113</v>
      </c>
      <c r="E1261" s="1021">
        <f>VLOOKUP(C1261,'Jaringan Listrik'!$D$2:$I$5188,6,FALSE)</f>
        <v>443600</v>
      </c>
      <c r="F1261" s="1003">
        <f>VLOOKUP(C1261,'Jaringan Listrik'!$D:$K,7,FALSE)</f>
        <v>0</v>
      </c>
      <c r="G1261" s="12">
        <f>VLOOKUP(C1261,'Jaringan Listrik'!$D:$K,8,FALSE)</f>
        <v>0</v>
      </c>
      <c r="H1261" s="374"/>
      <c r="I1261" s="16"/>
    </row>
    <row r="1262" spans="2:9" ht="24" customHeight="1">
      <c r="B1262" s="1033" t="str">
        <f>'Jaringan Listrik'!C1804</f>
        <v>5.1.1.5.21</v>
      </c>
      <c r="C1262" s="39" t="str">
        <f>VLOOKUP(B1262,'Jaringan Listrik'!C:K,2,FALSE)</f>
        <v xml:space="preserve">Pemasangan 1 m' kabel NYFGBY 4 x 50 mm²
</v>
      </c>
      <c r="D1262" s="9" t="s">
        <v>113</v>
      </c>
      <c r="E1262" s="1021">
        <f>VLOOKUP(C1262,'Jaringan Listrik'!$D$2:$I$5188,6,FALSE)</f>
        <v>585600</v>
      </c>
      <c r="F1262" s="1003">
        <f>VLOOKUP(C1262,'Jaringan Listrik'!$D:$K,7,FALSE)</f>
        <v>0</v>
      </c>
      <c r="G1262" s="12">
        <f>VLOOKUP(C1262,'Jaringan Listrik'!$D:$K,8,FALSE)</f>
        <v>0</v>
      </c>
      <c r="H1262" s="374"/>
      <c r="I1262" s="16"/>
    </row>
    <row r="1263" spans="2:9" ht="24" customHeight="1">
      <c r="B1263" s="1033" t="str">
        <f>'Jaringan Listrik'!C1821</f>
        <v>5.1.1.5.22</v>
      </c>
      <c r="C1263" s="39" t="str">
        <f>VLOOKUP(B1263,'Jaringan Listrik'!C:K,2,FALSE)</f>
        <v xml:space="preserve">Pemasangan 1 m' kabel NYFGBY 4 x 70 mm²
</v>
      </c>
      <c r="D1263" s="9" t="s">
        <v>113</v>
      </c>
      <c r="E1263" s="1021">
        <f>VLOOKUP(C1263,'Jaringan Listrik'!$D$2:$I$5188,6,FALSE)</f>
        <v>815900</v>
      </c>
      <c r="F1263" s="1003">
        <f>VLOOKUP(C1263,'Jaringan Listrik'!$D:$K,7,FALSE)</f>
        <v>0</v>
      </c>
      <c r="G1263" s="12">
        <f>VLOOKUP(C1263,'Jaringan Listrik'!$D:$K,8,FALSE)</f>
        <v>0</v>
      </c>
      <c r="H1263" s="374"/>
      <c r="I1263" s="16"/>
    </row>
    <row r="1264" spans="2:9" ht="24" customHeight="1">
      <c r="B1264" s="1033" t="str">
        <f>'Jaringan Listrik'!C1838</f>
        <v>5.1.1.5.23</v>
      </c>
      <c r="C1264" s="39" t="str">
        <f>VLOOKUP(B1264,'Jaringan Listrik'!C:K,2,FALSE)</f>
        <v xml:space="preserve">Pemasangan 1 m' kabel NYFGBY 4 x 95 mm²
</v>
      </c>
      <c r="D1264" s="9" t="s">
        <v>113</v>
      </c>
      <c r="E1264" s="1021">
        <f>VLOOKUP(C1264,'Jaringan Listrik'!$D$2:$I$5188,6,FALSE)</f>
        <v>1038300</v>
      </c>
      <c r="F1264" s="1003">
        <f>VLOOKUP(C1264,'Jaringan Listrik'!$D:$K,7,FALSE)</f>
        <v>0</v>
      </c>
      <c r="G1264" s="12">
        <f>VLOOKUP(C1264,'Jaringan Listrik'!$D:$K,8,FALSE)</f>
        <v>0</v>
      </c>
      <c r="H1264" s="374"/>
      <c r="I1264" s="16"/>
    </row>
    <row r="1265" spans="2:9" ht="24" customHeight="1">
      <c r="B1265" s="1033" t="str">
        <f>'Jaringan Listrik'!C1855</f>
        <v>5.1.1.5.24</v>
      </c>
      <c r="C1265" s="39" t="str">
        <f>VLOOKUP(B1265,'Jaringan Listrik'!C:K,2,FALSE)</f>
        <v xml:space="preserve">Pemasangan 1 m' kabel NYFGBY 4 x 120 mm²
</v>
      </c>
      <c r="D1265" s="9" t="s">
        <v>113</v>
      </c>
      <c r="E1265" s="1021">
        <f>VLOOKUP(C1265,'Jaringan Listrik'!$D$2:$I$5188,6,FALSE)</f>
        <v>1350300</v>
      </c>
      <c r="F1265" s="1003">
        <f>VLOOKUP(C1265,'Jaringan Listrik'!$D:$K,7,FALSE)</f>
        <v>0</v>
      </c>
      <c r="G1265" s="12">
        <f>VLOOKUP(C1265,'Jaringan Listrik'!$D:$K,8,FALSE)</f>
        <v>0</v>
      </c>
      <c r="H1265" s="374"/>
      <c r="I1265" s="16"/>
    </row>
    <row r="1266" spans="2:9" ht="24" customHeight="1">
      <c r="B1266" s="1033" t="str">
        <f>'Jaringan Listrik'!C1872</f>
        <v>5.1.1.5.25</v>
      </c>
      <c r="C1266" s="39" t="str">
        <f>VLOOKUP(B1266,'Jaringan Listrik'!C:K,2,FALSE)</f>
        <v xml:space="preserve">Pemasangan 1 m' kabel NYFGBY 4 x 150 mm²
</v>
      </c>
      <c r="D1266" s="9" t="s">
        <v>113</v>
      </c>
      <c r="E1266" s="1021">
        <f>VLOOKUP(C1266,'Jaringan Listrik'!$D$2:$I$5188,6,FALSE)</f>
        <v>1638300</v>
      </c>
      <c r="F1266" s="1003">
        <f>VLOOKUP(C1266,'Jaringan Listrik'!$D:$K,7,FALSE)</f>
        <v>0</v>
      </c>
      <c r="G1266" s="12">
        <f>VLOOKUP(C1266,'Jaringan Listrik'!$D:$K,8,FALSE)</f>
        <v>0</v>
      </c>
      <c r="H1266" s="374"/>
      <c r="I1266" s="16"/>
    </row>
    <row r="1267" spans="2:9" ht="24" customHeight="1">
      <c r="B1267" s="1033" t="str">
        <f>'Jaringan Listrik'!C1889</f>
        <v>5.1.1.5.26</v>
      </c>
      <c r="C1267" s="39" t="str">
        <f>VLOOKUP(B1267,'Jaringan Listrik'!C:K,2,FALSE)</f>
        <v xml:space="preserve">Pemasangan 1 m' kabel NYFGBY 4 x 185 mm²
</v>
      </c>
      <c r="D1267" s="9" t="s">
        <v>113</v>
      </c>
      <c r="E1267" s="1021">
        <f>VLOOKUP(C1267,'Jaringan Listrik'!$D$2:$I$5188,6,FALSE)</f>
        <v>2035400</v>
      </c>
      <c r="F1267" s="1003">
        <f>VLOOKUP(C1267,'Jaringan Listrik'!$D:$K,7,FALSE)</f>
        <v>0</v>
      </c>
      <c r="G1267" s="12">
        <f>VLOOKUP(C1267,'Jaringan Listrik'!$D:$K,8,FALSE)</f>
        <v>0</v>
      </c>
      <c r="H1267" s="374"/>
      <c r="I1267" s="16"/>
    </row>
    <row r="1268" spans="2:9" ht="24" customHeight="1">
      <c r="B1268" s="1033" t="str">
        <f>'Jaringan Listrik'!C1906</f>
        <v>5.1.1.5.27</v>
      </c>
      <c r="C1268" s="39" t="str">
        <f>VLOOKUP(B1268,'Jaringan Listrik'!C:K,2,FALSE)</f>
        <v xml:space="preserve">Pemasangan 1 m' kabel NYFGBY 4 x 240 mm²
</v>
      </c>
      <c r="D1268" s="9" t="s">
        <v>113</v>
      </c>
      <c r="E1268" s="1021">
        <f>VLOOKUP(C1268,'Jaringan Listrik'!$D$2:$I$5188,6,FALSE)</f>
        <v>2630500</v>
      </c>
      <c r="F1268" s="1003">
        <f>VLOOKUP(C1268,'Jaringan Listrik'!$D:$K,7,FALSE)</f>
        <v>0</v>
      </c>
      <c r="G1268" s="12">
        <f>VLOOKUP(C1268,'Jaringan Listrik'!$D:$K,8,FALSE)</f>
        <v>0</v>
      </c>
      <c r="H1268" s="374"/>
      <c r="I1268" s="16"/>
    </row>
    <row r="1269" spans="2:9" ht="24" customHeight="1">
      <c r="B1269" s="1033" t="str">
        <f>'Jaringan Listrik'!C1923</f>
        <v>5.1.1.5.28</v>
      </c>
      <c r="C1269" s="39" t="str">
        <f>VLOOKUP(B1269,'Jaringan Listrik'!C:K,2,FALSE)</f>
        <v xml:space="preserve">Pemasangan 1 m' kabel NYFGBY 4 x 300 mm²
</v>
      </c>
      <c r="D1269" s="9" t="s">
        <v>113</v>
      </c>
      <c r="E1269" s="1021">
        <f>VLOOKUP(C1269,'Jaringan Listrik'!$D$2:$I$5188,6,FALSE)</f>
        <v>3251900</v>
      </c>
      <c r="F1269" s="1003">
        <f>VLOOKUP(C1269,'Jaringan Listrik'!$D:$K,7,FALSE)</f>
        <v>0</v>
      </c>
      <c r="G1269" s="12">
        <f>VLOOKUP(C1269,'Jaringan Listrik'!$D:$K,8,FALSE)</f>
        <v>0</v>
      </c>
      <c r="H1269" s="374"/>
      <c r="I1269" s="16"/>
    </row>
    <row r="1270" spans="2:9" ht="24" customHeight="1">
      <c r="B1270" s="1041" t="str">
        <f>'Jaringan Listrik'!C1940</f>
        <v>5.1.1.6</v>
      </c>
      <c r="C1270" s="40" t="str">
        <f>VLOOKUP(B1270,'Jaringan Listrik'!C:K,2,FALSE)</f>
        <v>Kabel FRC 3 x 2,5 mm²</v>
      </c>
      <c r="D1270" s="19"/>
      <c r="E1270" s="1030"/>
      <c r="F1270" s="1016"/>
      <c r="G1270" s="28"/>
      <c r="H1270" s="374"/>
      <c r="I1270" s="16"/>
    </row>
    <row r="1271" spans="2:9" ht="24" customHeight="1">
      <c r="B1271" s="1033" t="str">
        <f>'Jaringan Listrik'!C1941</f>
        <v>5.1.1.6.1</v>
      </c>
      <c r="C1271" s="39" t="str">
        <f>VLOOKUP(B1271,'Jaringan Listrik'!C:K,2,FALSE)</f>
        <v xml:space="preserve">Pemasangan 1 m' kabel FRC 3 x 2,5 mm²
</v>
      </c>
      <c r="D1271" s="9" t="s">
        <v>113</v>
      </c>
      <c r="E1271" s="1021">
        <f>VLOOKUP(C1271,'Jaringan Listrik'!$D$2:$I$5188,6,FALSE)</f>
        <v>60000</v>
      </c>
      <c r="F1271" s="1003">
        <f>VLOOKUP(C1271,'Jaringan Listrik'!$D:$K,7,FALSE)</f>
        <v>0</v>
      </c>
      <c r="G1271" s="12">
        <f>VLOOKUP(C1271,'Jaringan Listrik'!$D:$K,8,FALSE)</f>
        <v>0</v>
      </c>
      <c r="H1271" s="374"/>
      <c r="I1271" s="16"/>
    </row>
    <row r="1272" spans="2:9" ht="24" customHeight="1">
      <c r="B1272" s="1033" t="str">
        <f>'Jaringan Listrik'!C1958</f>
        <v>5.1.1.6.2</v>
      </c>
      <c r="C1272" s="39" t="str">
        <f>VLOOKUP(B1272,'Jaringan Listrik'!C:K,2,FALSE)</f>
        <v xml:space="preserve">Pemasangan 1 m' kabel FRC 4 x 4 mm²
</v>
      </c>
      <c r="D1272" s="9" t="s">
        <v>113</v>
      </c>
      <c r="E1272" s="1021">
        <f>VLOOKUP(C1272,'Jaringan Listrik'!$D$2:$I$5188,6,FALSE)</f>
        <v>125300</v>
      </c>
      <c r="F1272" s="1003">
        <f>VLOOKUP(C1272,'Jaringan Listrik'!$D:$K,7,FALSE)</f>
        <v>0</v>
      </c>
      <c r="G1272" s="12">
        <f>VLOOKUP(C1272,'Jaringan Listrik'!$D:$K,8,FALSE)</f>
        <v>0</v>
      </c>
      <c r="H1272" s="374"/>
      <c r="I1272" s="16"/>
    </row>
    <row r="1273" spans="2:9" ht="24" customHeight="1">
      <c r="B1273" s="1033" t="str">
        <f>'Jaringan Listrik'!C1975</f>
        <v>5.1.1.6.3</v>
      </c>
      <c r="C1273" s="39" t="str">
        <f>VLOOKUP(B1273,'Jaringan Listrik'!C:K,2,FALSE)</f>
        <v xml:space="preserve">Pemasangan 1 m' kabel FRC 4 x 6 mm²
</v>
      </c>
      <c r="D1273" s="9" t="s">
        <v>113</v>
      </c>
      <c r="E1273" s="1021">
        <f>VLOOKUP(C1273,'Jaringan Listrik'!$D$2:$I$5188,6,FALSE)</f>
        <v>150600</v>
      </c>
      <c r="F1273" s="1003">
        <f>VLOOKUP(C1273,'Jaringan Listrik'!$D:$K,7,FALSE)</f>
        <v>0</v>
      </c>
      <c r="G1273" s="12">
        <f>VLOOKUP(C1273,'Jaringan Listrik'!$D:$K,8,FALSE)</f>
        <v>0</v>
      </c>
      <c r="H1273" s="374"/>
      <c r="I1273" s="16"/>
    </row>
    <row r="1274" spans="2:9" ht="24" customHeight="1">
      <c r="B1274" s="1033" t="str">
        <f>'Jaringan Listrik'!C1992</f>
        <v>5.1.1.6.4</v>
      </c>
      <c r="C1274" s="39" t="str">
        <f>VLOOKUP(B1274,'Jaringan Listrik'!C:K,2,FALSE)</f>
        <v xml:space="preserve">Pemasangan 1 m' kabel FRC 4 x 150 mm²
</v>
      </c>
      <c r="D1274" s="9" t="s">
        <v>113</v>
      </c>
      <c r="E1274" s="1021">
        <f>VLOOKUP(C1274,'Jaringan Listrik'!$D$2:$I$5188,6,FALSE)</f>
        <v>2104000</v>
      </c>
      <c r="F1274" s="1003">
        <f>VLOOKUP(C1274,'Jaringan Listrik'!$D:$K,7,FALSE)</f>
        <v>0</v>
      </c>
      <c r="G1274" s="12">
        <f>VLOOKUP(C1274,'Jaringan Listrik'!$D:$K,8,FALSE)</f>
        <v>0</v>
      </c>
      <c r="H1274" s="374"/>
      <c r="I1274" s="16"/>
    </row>
    <row r="1275" spans="2:9" ht="24" customHeight="1">
      <c r="B1275" s="1033" t="str">
        <f>'Jaringan Listrik'!C2009</f>
        <v>5.1.1.6.5</v>
      </c>
      <c r="C1275" s="39" t="str">
        <f>VLOOKUP(B1275,'Jaringan Listrik'!C:K,2,FALSE)</f>
        <v xml:space="preserve">Pemasangan 1 m' kabel FRC 1 x 150 mm²
</v>
      </c>
      <c r="D1275" s="9" t="s">
        <v>113</v>
      </c>
      <c r="E1275" s="1021">
        <f>VLOOKUP(C1275,'Jaringan Listrik'!$D$2:$I$5188,6,FALSE)</f>
        <v>404400</v>
      </c>
      <c r="F1275" s="1003">
        <f>VLOOKUP(C1275,'Jaringan Listrik'!$D:$K,7,FALSE)</f>
        <v>0</v>
      </c>
      <c r="G1275" s="12">
        <f>VLOOKUP(C1275,'Jaringan Listrik'!$D:$K,8,FALSE)</f>
        <v>0</v>
      </c>
      <c r="H1275" s="374"/>
      <c r="I1275" s="16"/>
    </row>
    <row r="1276" spans="2:9" ht="24" customHeight="1">
      <c r="B1276" s="1033" t="str">
        <f>'Jaringan Listrik'!C2026</f>
        <v>5.1.1.6.6</v>
      </c>
      <c r="C1276" s="39" t="str">
        <f>VLOOKUP(B1276,'Jaringan Listrik'!C:K,2,FALSE)</f>
        <v xml:space="preserve">Pemasangan 1 m' kabel FRC 2 x 1,5 mm² + PVC Conduit HI 20 mm2
</v>
      </c>
      <c r="D1276" s="9" t="s">
        <v>113</v>
      </c>
      <c r="E1276" s="1021">
        <f>VLOOKUP(C1276,'Jaringan Listrik'!$D$2:$I$5188,6,FALSE)</f>
        <v>43600</v>
      </c>
      <c r="F1276" s="1003" t="str">
        <f>VLOOKUP(C1276,'Jaringan Listrik'!$D:$K,7,FALSE)</f>
        <v>Revisi</v>
      </c>
      <c r="G1276" s="12" t="str">
        <f>VLOOKUP(C1276,'Jaringan Listrik'!$D:$K,8,FALSE)</f>
        <v xml:space="preserve">Perubahan Bahan di gabung jadi satu </v>
      </c>
      <c r="H1276" s="374"/>
      <c r="I1276" s="16"/>
    </row>
    <row r="1277" spans="2:9" ht="24" customHeight="1">
      <c r="B1277" s="1033" t="str">
        <f>'Jaringan Listrik'!C2043</f>
        <v>5.1.1.6.7</v>
      </c>
      <c r="C1277" s="39" t="str">
        <f>VLOOKUP(B1277,'Jaringan Listrik'!C:K,2,FALSE)</f>
        <v xml:space="preserve">Pemasangan 1 m' kabel FRC 2 x 2,5 mm² + PVC Conduit HI 20 mm2
</v>
      </c>
      <c r="D1277" s="9" t="s">
        <v>113</v>
      </c>
      <c r="E1277" s="1021">
        <f>VLOOKUP(C1277,'Jaringan Listrik'!$D$2:$I$5188,6,FALSE)</f>
        <v>85100</v>
      </c>
      <c r="F1277" s="1003" t="str">
        <f>VLOOKUP(C1277,'Jaringan Listrik'!$D:$K,7,FALSE)</f>
        <v>Revisi</v>
      </c>
      <c r="G1277" s="12" t="str">
        <f>VLOOKUP(C1277,'Jaringan Listrik'!$D:$K,8,FALSE)</f>
        <v xml:space="preserve">Perubahan bahan jadi satu </v>
      </c>
      <c r="H1277" s="374"/>
      <c r="I1277" s="16"/>
    </row>
    <row r="1278" spans="2:9" ht="24" customHeight="1">
      <c r="B1278" s="1041" t="str">
        <f>'Jaringan Listrik'!C2060</f>
        <v>5.1.1.7</v>
      </c>
      <c r="C1278" s="40" t="str">
        <f>VLOOKUP(B1278,'Jaringan Listrik'!C:K,2,FALSE)</f>
        <v>Kabel BCC</v>
      </c>
      <c r="D1278" s="19"/>
      <c r="E1278" s="1030"/>
      <c r="F1278" s="1016"/>
      <c r="G1278" s="28"/>
      <c r="H1278" s="374"/>
      <c r="I1278" s="16"/>
    </row>
    <row r="1279" spans="2:9" ht="24" customHeight="1">
      <c r="B1279" s="1033" t="str">
        <f>'Jaringan Listrik'!C2061</f>
        <v>5.1.1.7.1</v>
      </c>
      <c r="C1279" s="39" t="str">
        <f>VLOOKUP(B1279,'Jaringan Listrik'!C:K,2,FALSE)</f>
        <v xml:space="preserve">Pemasangan 1 m' kabel BCC 4 mm² (0,04 kg/m)
</v>
      </c>
      <c r="D1279" s="9" t="s">
        <v>113</v>
      </c>
      <c r="E1279" s="1021">
        <f>VLOOKUP(C1279,'Jaringan Listrik'!$D$2:$I$5188,6,FALSE)</f>
        <v>22600</v>
      </c>
      <c r="F1279" s="1003">
        <f>VLOOKUP(C1279,'Jaringan Listrik'!$D:$K,7,FALSE)</f>
        <v>0</v>
      </c>
      <c r="G1279" s="12">
        <f>VLOOKUP(C1279,'Jaringan Listrik'!$D:$K,8,FALSE)</f>
        <v>0</v>
      </c>
      <c r="H1279" s="374"/>
      <c r="I1279" s="16"/>
    </row>
    <row r="1280" spans="2:9" ht="24" customHeight="1">
      <c r="B1280" s="1033" t="str">
        <f>'Jaringan Listrik'!C2078</f>
        <v>5.1.1.7.2</v>
      </c>
      <c r="C1280" s="39" t="str">
        <f>VLOOKUP(B1280,'Jaringan Listrik'!C:K,2,FALSE)</f>
        <v xml:space="preserve">Pemasangan 1 m' kabel BCC 6 mm² (0,06 kg/m)
</v>
      </c>
      <c r="D1280" s="9" t="s">
        <v>113</v>
      </c>
      <c r="E1280" s="1021">
        <f>VLOOKUP(C1280,'Jaringan Listrik'!$D$2:$I$5188,6,FALSE)</f>
        <v>55900</v>
      </c>
      <c r="F1280" s="1003" t="str">
        <f>VLOOKUP(C1280,'Jaringan Listrik'!$D:$K,7,FALSE)</f>
        <v>Revisi</v>
      </c>
      <c r="G1280" s="12" t="str">
        <f>VLOOKUP(C1280,'Jaringan Listrik'!$D:$K,8,FALSE)</f>
        <v>Perubahan penambahan acsesoris di bahan</v>
      </c>
      <c r="H1280" s="374"/>
      <c r="I1280" s="16"/>
    </row>
    <row r="1281" spans="1:9" ht="24" customHeight="1">
      <c r="B1281" s="1033" t="str">
        <f>'Jaringan Listrik'!C2095</f>
        <v>5.1.1.7.3</v>
      </c>
      <c r="C1281" s="39" t="str">
        <f>VLOOKUP(B1281,'Jaringan Listrik'!C:K,2,FALSE)</f>
        <v xml:space="preserve">Pemasangan 1 m' kabel BCC 10 mm² (0,10 kg/m)
</v>
      </c>
      <c r="D1281" s="9" t="s">
        <v>113</v>
      </c>
      <c r="E1281" s="1021">
        <f>VLOOKUP(C1281,'Jaringan Listrik'!$D$2:$I$5188,6,FALSE)</f>
        <v>46100</v>
      </c>
      <c r="F1281" s="1003">
        <f>VLOOKUP(C1281,'Jaringan Listrik'!$D:$K,7,FALSE)</f>
        <v>0</v>
      </c>
      <c r="G1281" s="12">
        <f>VLOOKUP(C1281,'Jaringan Listrik'!$D:$K,8,FALSE)</f>
        <v>0</v>
      </c>
      <c r="H1281" s="374"/>
      <c r="I1281" s="16"/>
    </row>
    <row r="1282" spans="1:9" ht="24" customHeight="1">
      <c r="B1282" s="1033" t="str">
        <f>'Jaringan Listrik'!C2112</f>
        <v>5.1.1.7.4</v>
      </c>
      <c r="C1282" s="39" t="str">
        <f>VLOOKUP(B1282,'Jaringan Listrik'!C:K,2,FALSE)</f>
        <v xml:space="preserve">Pemasangan 1 m' kabel BCC 16 mm² (0,16 kg/m)
</v>
      </c>
      <c r="D1282" s="9" t="s">
        <v>113</v>
      </c>
      <c r="E1282" s="1021">
        <f>VLOOKUP(C1282,'Jaringan Listrik'!$D$2:$I$5188,6,FALSE)</f>
        <v>51100</v>
      </c>
      <c r="F1282" s="1003">
        <f>VLOOKUP(C1282,'Jaringan Listrik'!$D:$K,7,FALSE)</f>
        <v>0</v>
      </c>
      <c r="G1282" s="12">
        <f>VLOOKUP(C1282,'Jaringan Listrik'!$D:$K,8,FALSE)</f>
        <v>0</v>
      </c>
      <c r="H1282" s="374"/>
      <c r="I1282" s="16"/>
    </row>
    <row r="1283" spans="1:9" ht="24" customHeight="1">
      <c r="B1283" s="1033" t="str">
        <f>'Jaringan Listrik'!C2129</f>
        <v>5.1.1.7.5</v>
      </c>
      <c r="C1283" s="39" t="str">
        <f>VLOOKUP(B1283,'Jaringan Listrik'!C:K,2,FALSE)</f>
        <v xml:space="preserve">Pemasangan 1 m' kabel BCC 25 mm² (0,25 kg/m)
</v>
      </c>
      <c r="D1283" s="9" t="s">
        <v>113</v>
      </c>
      <c r="E1283" s="1021">
        <f>VLOOKUP(C1283,'Jaringan Listrik'!$D$2:$I$5188,6,FALSE)</f>
        <v>78500</v>
      </c>
      <c r="F1283" s="1003">
        <f>VLOOKUP(C1283,'Jaringan Listrik'!$D:$K,7,FALSE)</f>
        <v>0</v>
      </c>
      <c r="G1283" s="12">
        <f>VLOOKUP(C1283,'Jaringan Listrik'!$D:$K,8,FALSE)</f>
        <v>0</v>
      </c>
      <c r="H1283" s="374"/>
      <c r="I1283" s="16"/>
    </row>
    <row r="1284" spans="1:9" ht="24" customHeight="1">
      <c r="B1284" s="1033" t="str">
        <f>'Jaringan Listrik'!C2146</f>
        <v>5.1.1.7.6</v>
      </c>
      <c r="C1284" s="39" t="str">
        <f>VLOOKUP(B1284,'Jaringan Listrik'!C:K,2,FALSE)</f>
        <v xml:space="preserve">Pemasangan 1 m' kabel BCC 35 mm² (0,35 kg/m)
</v>
      </c>
      <c r="D1284" s="9" t="s">
        <v>113</v>
      </c>
      <c r="E1284" s="1021">
        <f>VLOOKUP(C1284,'Jaringan Listrik'!$D$2:$I$5188,6,FALSE)</f>
        <v>105200</v>
      </c>
      <c r="F1284" s="1003">
        <f>VLOOKUP(C1284,'Jaringan Listrik'!$D:$K,7,FALSE)</f>
        <v>0</v>
      </c>
      <c r="G1284" s="12">
        <f>VLOOKUP(C1284,'Jaringan Listrik'!$D:$K,8,FALSE)</f>
        <v>0</v>
      </c>
      <c r="H1284" s="374"/>
      <c r="I1284" s="16"/>
    </row>
    <row r="1285" spans="1:9" ht="24" customHeight="1">
      <c r="B1285" s="1033" t="str">
        <f>'Jaringan Listrik'!C2163</f>
        <v>5.1.1.7.7</v>
      </c>
      <c r="C1285" s="39" t="str">
        <f>VLOOKUP(B1285,'Jaringan Listrik'!C:K,2,FALSE)</f>
        <v xml:space="preserve">Pemasangan 1 m' kabel BCC 50 mm² (0,50 kg/m)
</v>
      </c>
      <c r="D1285" s="9" t="s">
        <v>113</v>
      </c>
      <c r="E1285" s="1021">
        <f>VLOOKUP(C1285,'Jaringan Listrik'!$D$2:$I$5188,6,FALSE)</f>
        <v>135000</v>
      </c>
      <c r="F1285" s="1003">
        <f>VLOOKUP(C1285,'Jaringan Listrik'!$D:$K,7,FALSE)</f>
        <v>0</v>
      </c>
      <c r="G1285" s="12">
        <f>VLOOKUP(C1285,'Jaringan Listrik'!$D:$K,8,FALSE)</f>
        <v>0</v>
      </c>
      <c r="H1285" s="374"/>
      <c r="I1285" s="16"/>
    </row>
    <row r="1286" spans="1:9" ht="24" customHeight="1">
      <c r="B1286" s="1033" t="str">
        <f>'Jaringan Listrik'!C2180</f>
        <v>5.1.1.7.8</v>
      </c>
      <c r="C1286" s="39" t="str">
        <f>VLOOKUP(B1286,'Jaringan Listrik'!C:K,2,FALSE)</f>
        <v xml:space="preserve">Pemasangan 1 m' kabel BCC 70 mm² (0,70 kg/m)
</v>
      </c>
      <c r="D1286" s="9" t="s">
        <v>113</v>
      </c>
      <c r="E1286" s="1021">
        <f>VLOOKUP(C1286,'Jaringan Listrik'!$D$2:$I$5188,6,FALSE)</f>
        <v>195500</v>
      </c>
      <c r="F1286" s="1003">
        <f>VLOOKUP(C1286,'Jaringan Listrik'!$D:$K,7,FALSE)</f>
        <v>0</v>
      </c>
      <c r="G1286" s="12">
        <f>VLOOKUP(C1286,'Jaringan Listrik'!$D:$K,8,FALSE)</f>
        <v>0</v>
      </c>
      <c r="H1286" s="374"/>
      <c r="I1286" s="16"/>
    </row>
    <row r="1287" spans="1:9" ht="24" customHeight="1">
      <c r="B1287" s="1033" t="str">
        <f>'Jaringan Listrik'!C2197</f>
        <v>5.1.1.7.9</v>
      </c>
      <c r="C1287" s="39" t="str">
        <f>VLOOKUP(B1287,'Jaringan Listrik'!C:K,2,FALSE)</f>
        <v xml:space="preserve">Pemasangan 1 m' kabel BCC 95 mm² (0,95 kg/m)
</v>
      </c>
      <c r="D1287" s="9" t="s">
        <v>113</v>
      </c>
      <c r="E1287" s="1021">
        <f>VLOOKUP(C1287,'Jaringan Listrik'!$D$2:$I$5188,6,FALSE)</f>
        <v>257500</v>
      </c>
      <c r="F1287" s="1003">
        <f>VLOOKUP(C1287,'Jaringan Listrik'!$D:$K,7,FALSE)</f>
        <v>0</v>
      </c>
      <c r="G1287" s="12">
        <f>VLOOKUP(C1287,'Jaringan Listrik'!$D:$K,8,FALSE)</f>
        <v>0</v>
      </c>
      <c r="H1287" s="374"/>
      <c r="I1287" s="16"/>
    </row>
    <row r="1288" spans="1:9" s="1" customFormat="1" ht="24" customHeight="1">
      <c r="A1288" s="47"/>
      <c r="B1288" s="1041" t="str">
        <f>'Jaringan Listrik'!C2214</f>
        <v xml:space="preserve">5.1.1.8 </v>
      </c>
      <c r="C1288" s="40" t="str">
        <f>VLOOKUP(B1288,'Jaringan Listrik'!C:K,2,FALSE)</f>
        <v>Kabel STP</v>
      </c>
      <c r="D1288" s="19"/>
      <c r="E1288" s="1030"/>
      <c r="F1288" s="1016"/>
      <c r="G1288" s="28"/>
      <c r="H1288" s="1092"/>
      <c r="I1288" s="21"/>
    </row>
    <row r="1289" spans="1:9" ht="24" customHeight="1">
      <c r="B1289" s="1033" t="str">
        <f>'Jaringan Listrik'!C2215</f>
        <v>5.1.1.8.1</v>
      </c>
      <c r="C1289" s="39" t="str">
        <f>VLOOKUP(B1289,'Jaringan Listrik'!C:K,2,FALSE)</f>
        <v xml:space="preserve">Pemasangan 1 m' Kabel STP AWG 18 + PVC Conduit HI 20 mm
</v>
      </c>
      <c r="D1289" s="9" t="s">
        <v>113</v>
      </c>
      <c r="E1289" s="1021">
        <f>VLOOKUP(C1289,'Jaringan Listrik'!$D$2:$I$5188,6,FALSE)</f>
        <v>9400</v>
      </c>
      <c r="F1289" s="1003" t="str">
        <f>VLOOKUP(C1289,'Jaringan Listrik'!$D:$K,7,FALSE)</f>
        <v>Revisi</v>
      </c>
      <c r="G1289" s="12" t="str">
        <f>VLOOKUP(C1289,'Jaringan Listrik'!$D:$K,8,FALSE)</f>
        <v xml:space="preserve">Perubahan Bahan jadi satu </v>
      </c>
      <c r="H1289" s="374"/>
      <c r="I1289" s="16"/>
    </row>
    <row r="1290" spans="1:9" s="1" customFormat="1" ht="24" customHeight="1">
      <c r="A1290" s="47"/>
      <c r="B1290" s="1041" t="str">
        <f>'Jaringan Listrik'!C2232</f>
        <v>5.1.1.9</v>
      </c>
      <c r="C1290" s="40" t="str">
        <f>VLOOKUP(B1290,'Jaringan Listrik'!C:K,2,FALSE)</f>
        <v xml:space="preserve">Kabel ITC </v>
      </c>
      <c r="D1290" s="19" t="s">
        <v>113</v>
      </c>
      <c r="E1290" s="1042">
        <f>VLOOKUP(C1290,'Jaringan Listrik'!$D$2:$I$5188,6,FALSE)</f>
        <v>0</v>
      </c>
      <c r="F1290" s="1003">
        <f>VLOOKUP(C1290,'Jaringan Listrik'!$D:$K,7,FALSE)</f>
        <v>0</v>
      </c>
      <c r="G1290" s="12">
        <f>VLOOKUP(C1290,'Jaringan Listrik'!$D:$K,8,FALSE)</f>
        <v>0</v>
      </c>
      <c r="H1290" s="1092"/>
      <c r="I1290" s="21"/>
    </row>
    <row r="1291" spans="1:9" ht="24" customHeight="1">
      <c r="B1291" s="1033" t="str">
        <f>'Jaringan Listrik'!C2233</f>
        <v>5.1.1.9.1</v>
      </c>
      <c r="C1291" s="39" t="str">
        <f>VLOOKUP(B1291,'Jaringan Listrik'!C:K,2,FALSE)</f>
        <v>Pemasangan 1 m' kabel ITC 2x2x0,6 mm2 + PVC Conduit HI 20 mm2</v>
      </c>
      <c r="D1291" s="9" t="s">
        <v>113</v>
      </c>
      <c r="E1291" s="1021">
        <f>VLOOKUP(C1291,'Jaringan Listrik'!$D$2:$I$5188,6,FALSE)</f>
        <v>9400</v>
      </c>
      <c r="F1291" s="1003" t="str">
        <f>VLOOKUP(C1291,'Jaringan Listrik'!$D:$K,7,FALSE)</f>
        <v>Revisi</v>
      </c>
      <c r="G1291" s="12" t="str">
        <f>VLOOKUP(C1291,'Jaringan Listrik'!$D:$K,8,FALSE)</f>
        <v>Perubahan Koefisisen Bshan dr 1,15 jadi 1,125</v>
      </c>
      <c r="H1291" s="374"/>
      <c r="I1291" s="16"/>
    </row>
    <row r="1292" spans="1:9" s="1" customFormat="1" ht="24" customHeight="1">
      <c r="A1292" s="47"/>
      <c r="B1292" s="1041" t="str">
        <f>'Jaringan Listrik'!C2250</f>
        <v>5.1.1.10</v>
      </c>
      <c r="C1292" s="40" t="str">
        <f>VLOOKUP(B1292,'Jaringan Listrik'!C:K,2,FALSE)</f>
        <v>Kabel UTP</v>
      </c>
      <c r="D1292" s="19" t="s">
        <v>113</v>
      </c>
      <c r="E1292" s="1042">
        <f>VLOOKUP(C1292,'Jaringan Listrik'!$D$2:$I$5188,6,FALSE)</f>
        <v>0</v>
      </c>
      <c r="F1292" s="1003">
        <f>VLOOKUP(C1292,'Jaringan Listrik'!$D:$K,7,FALSE)</f>
        <v>0</v>
      </c>
      <c r="G1292" s="12">
        <f>VLOOKUP(C1292,'Jaringan Listrik'!$D:$K,8,FALSE)</f>
        <v>0</v>
      </c>
      <c r="H1292" s="1092"/>
      <c r="I1292" s="21"/>
    </row>
    <row r="1293" spans="1:9" ht="24" customHeight="1">
      <c r="B1293" s="1033" t="str">
        <f>'Jaringan Listrik'!C2251</f>
        <v>5.1.1.10.1</v>
      </c>
      <c r="C1293" s="39" t="str">
        <f>VLOOKUP(B1293,'Jaringan Listrik'!C:K,2,FALSE)</f>
        <v>Pemasangan 1 m' kabel UTP CAT 6 + PVC Conduit HI 20 mm2</v>
      </c>
      <c r="D1293" s="9" t="s">
        <v>113</v>
      </c>
      <c r="E1293" s="1021">
        <f>VLOOKUP(C1293,'Jaringan Listrik'!$D$2:$I$5188,6,FALSE)</f>
        <v>9400</v>
      </c>
      <c r="F1293" s="1003">
        <f>VLOOKUP(C1293,'Jaringan Listrik'!$D:$K,7,FALSE)</f>
        <v>0</v>
      </c>
      <c r="G1293" s="12">
        <f>VLOOKUP(C1293,'Jaringan Listrik'!$D:$K,8,FALSE)</f>
        <v>0</v>
      </c>
      <c r="H1293" s="374"/>
      <c r="I1293" s="16"/>
    </row>
    <row r="1294" spans="1:9" s="1" customFormat="1" ht="24" customHeight="1">
      <c r="A1294" s="47"/>
      <c r="B1294" s="1041" t="str">
        <f>'Jaringan Listrik'!C2269</f>
        <v>5.1.1.11</v>
      </c>
      <c r="C1294" s="40" t="str">
        <f>VLOOKUP(B1294,'Jaringan Listrik'!C:K,2,FALSE)</f>
        <v xml:space="preserve">Kabel Coaxial </v>
      </c>
      <c r="D1294" s="19" t="s">
        <v>113</v>
      </c>
      <c r="E1294" s="1042">
        <f>VLOOKUP(C1294,'Jaringan Listrik'!$D$2:$I$5188,6,FALSE)</f>
        <v>0</v>
      </c>
      <c r="F1294" s="1003">
        <f>VLOOKUP(C1294,'Jaringan Listrik'!$D:$K,7,FALSE)</f>
        <v>0</v>
      </c>
      <c r="G1294" s="12">
        <f>VLOOKUP(C1294,'Jaringan Listrik'!$D:$K,8,FALSE)</f>
        <v>0</v>
      </c>
      <c r="H1294" s="1092"/>
      <c r="I1294" s="21"/>
    </row>
    <row r="1295" spans="1:9" ht="24" customHeight="1">
      <c r="B1295" s="1033" t="str">
        <f>'Jaringan Listrik'!C2270</f>
        <v>5.1.1.11.1</v>
      </c>
      <c r="C1295" s="39" t="str">
        <f>VLOOKUP(B1295,'Jaringan Listrik'!C:K,2,FALSE)</f>
        <v xml:space="preserve">Pemasangan 1 m' kabel Coaxial 7C-2V </v>
      </c>
      <c r="D1295" s="9" t="s">
        <v>113</v>
      </c>
      <c r="E1295" s="1021">
        <f>VLOOKUP(C1295,'Jaringan Listrik'!$D$2:$I$5188,6,FALSE)</f>
        <v>12300</v>
      </c>
      <c r="F1295" s="1003">
        <f>VLOOKUP(C1295,'Jaringan Listrik'!$D:$K,7,FALSE)</f>
        <v>0</v>
      </c>
      <c r="G1295" s="12">
        <f>VLOOKUP(C1295,'Jaringan Listrik'!$D:$K,8,FALSE)</f>
        <v>0</v>
      </c>
      <c r="H1295" s="374"/>
      <c r="I1295" s="16"/>
    </row>
    <row r="1296" spans="1:9" s="1" customFormat="1" ht="24" customHeight="1">
      <c r="A1296" s="47"/>
      <c r="B1296" s="1041" t="str">
        <f>'Jaringan Listrik'!C2287</f>
        <v>5.1.1.12</v>
      </c>
      <c r="C1296" s="40" t="str">
        <f>VLOOKUP(B1296,'Jaringan Listrik'!C:K,2,FALSE)</f>
        <v>Kabel TRAY / Ladder</v>
      </c>
      <c r="D1296" s="19"/>
      <c r="E1296" s="1042">
        <f>VLOOKUP(C1296,'Jaringan Listrik'!$D$2:$I$5188,6,FALSE)</f>
        <v>0</v>
      </c>
      <c r="F1296" s="1003">
        <f>VLOOKUP(C1296,'Jaringan Listrik'!$D:$K,7,FALSE)</f>
        <v>0</v>
      </c>
      <c r="G1296" s="12">
        <f>VLOOKUP(C1296,'Jaringan Listrik'!$D:$K,8,FALSE)</f>
        <v>0</v>
      </c>
      <c r="H1296" s="1092"/>
      <c r="I1296" s="21"/>
    </row>
    <row r="1297" spans="2:9" ht="24" customHeight="1">
      <c r="B1297" s="1033" t="str">
        <f>'Jaringan Listrik'!C2288</f>
        <v>5.1.1.12.1</v>
      </c>
      <c r="C1297" s="39" t="str">
        <f>VLOOKUP(B1297,'Jaringan Listrik'!C:K,2,FALSE)</f>
        <v xml:space="preserve">Pemasangan 1 Unit Kabel Tray (Horizontal) 600x100mm TRU Powder Coating
</v>
      </c>
      <c r="D1297" s="9" t="s">
        <v>135</v>
      </c>
      <c r="E1297" s="1021">
        <f>VLOOKUP(C1297,'Jaringan Listrik'!$D$2:$I$5188,6,FALSE)</f>
        <v>47100</v>
      </c>
      <c r="F1297" s="1003">
        <f>VLOOKUP(C1297,'Jaringan Listrik'!$D:$K,7,FALSE)</f>
        <v>0</v>
      </c>
      <c r="G1297" s="12">
        <f>VLOOKUP(C1297,'Jaringan Listrik'!$D:$K,8,FALSE)</f>
        <v>0</v>
      </c>
      <c r="H1297" s="374"/>
      <c r="I1297" s="16"/>
    </row>
    <row r="1298" spans="2:9" ht="24" customHeight="1">
      <c r="B1298" s="1033" t="str">
        <f>'Jaringan Listrik'!C2305</f>
        <v>5.1.1.12.2</v>
      </c>
      <c r="C1298" s="39" t="str">
        <f>VLOOKUP(B1298,'Jaringan Listrik'!C:K,2,FALSE)</f>
        <v xml:space="preserve">Pemasangan 1 unit kabel tray (horizontal) 500 x 100 mm
</v>
      </c>
      <c r="D1298" s="9" t="s">
        <v>135</v>
      </c>
      <c r="E1298" s="1021">
        <f>VLOOKUP(C1298,'Jaringan Listrik'!$D$2:$I$5188,6,FALSE)</f>
        <v>47100</v>
      </c>
      <c r="F1298" s="1003">
        <f>VLOOKUP(C1298,'Jaringan Listrik'!$D:$K,7,FALSE)</f>
        <v>0</v>
      </c>
      <c r="G1298" s="12">
        <f>VLOOKUP(C1298,'Jaringan Listrik'!$D:$K,8,FALSE)</f>
        <v>0</v>
      </c>
      <c r="H1298" s="374"/>
      <c r="I1298" s="16"/>
    </row>
    <row r="1299" spans="2:9" ht="24" customHeight="1">
      <c r="B1299" s="1033" t="str">
        <f>'Jaringan Listrik'!C2322</f>
        <v>5.1.1.12.3</v>
      </c>
      <c r="C1299" s="39" t="str">
        <f>VLOOKUP(B1299,'Jaringan Listrik'!C:K,2,FALSE)</f>
        <v xml:space="preserve">Pemasangan 1 unit kabel tray (horizontal) 400 x 100 mm
</v>
      </c>
      <c r="D1299" s="9" t="s">
        <v>135</v>
      </c>
      <c r="E1299" s="1021">
        <f>VLOOKUP(C1299,'Jaringan Listrik'!$D$2:$I$5188,6,FALSE)</f>
        <v>47100</v>
      </c>
      <c r="F1299" s="1003">
        <f>VLOOKUP(C1299,'Jaringan Listrik'!$D:$K,7,FALSE)</f>
        <v>0</v>
      </c>
      <c r="G1299" s="12">
        <f>VLOOKUP(C1299,'Jaringan Listrik'!$D:$K,8,FALSE)</f>
        <v>0</v>
      </c>
      <c r="H1299" s="374"/>
      <c r="I1299" s="16"/>
    </row>
    <row r="1300" spans="2:9" ht="24" customHeight="1">
      <c r="B1300" s="1033" t="str">
        <f>'Jaringan Listrik'!C2339</f>
        <v>5.1.1.12.4</v>
      </c>
      <c r="C1300" s="39" t="str">
        <f>VLOOKUP(B1300,'Jaringan Listrik'!C:K,2,FALSE)</f>
        <v xml:space="preserve">Pemasangan 1 unit kabel tray (horizontal) 300 x 100 mm
</v>
      </c>
      <c r="D1300" s="9" t="s">
        <v>135</v>
      </c>
      <c r="E1300" s="1021">
        <f>VLOOKUP(C1300,'Jaringan Listrik'!$D$2:$I$5188,6,FALSE)</f>
        <v>47100</v>
      </c>
      <c r="F1300" s="1003">
        <f>VLOOKUP(C1300,'Jaringan Listrik'!$D:$K,7,FALSE)</f>
        <v>0</v>
      </c>
      <c r="G1300" s="12">
        <f>VLOOKUP(C1300,'Jaringan Listrik'!$D:$K,8,FALSE)</f>
        <v>0</v>
      </c>
      <c r="H1300" s="374"/>
      <c r="I1300" s="16"/>
    </row>
    <row r="1301" spans="2:9" ht="24" customHeight="1">
      <c r="B1301" s="1033" t="str">
        <f>'Jaringan Listrik'!C2356</f>
        <v>5.1.1.12.5</v>
      </c>
      <c r="C1301" s="39" t="str">
        <f>VLOOKUP(B1301,'Jaringan Listrik'!C:K,2,FALSE)</f>
        <v xml:space="preserve">Pemasangan 1 unit kabel tray (horizontal) 200 x 100 mm
</v>
      </c>
      <c r="D1301" s="9" t="s">
        <v>135</v>
      </c>
      <c r="E1301" s="1021">
        <f>VLOOKUP(C1301,'Jaringan Listrik'!$D$2:$I$5188,6,FALSE)</f>
        <v>47100</v>
      </c>
      <c r="F1301" s="1003">
        <f>VLOOKUP(C1301,'Jaringan Listrik'!$D:$K,7,FALSE)</f>
        <v>0</v>
      </c>
      <c r="G1301" s="12">
        <f>VLOOKUP(C1301,'Jaringan Listrik'!$D:$K,8,FALSE)</f>
        <v>0</v>
      </c>
      <c r="H1301" s="374"/>
      <c r="I1301" s="16"/>
    </row>
    <row r="1302" spans="2:9" ht="24" customHeight="1">
      <c r="B1302" s="1033" t="str">
        <f>'Jaringan Listrik'!C2373</f>
        <v>5.1.1.12.6</v>
      </c>
      <c r="C1302" s="39" t="str">
        <f>VLOOKUP(B1302,'Jaringan Listrik'!C:K,2,FALSE)</f>
        <v xml:space="preserve">Pemasangan 1 unit kabel tray (vertikal) 600 x 100 mm
</v>
      </c>
      <c r="D1302" s="9" t="s">
        <v>135</v>
      </c>
      <c r="E1302" s="1021">
        <f>VLOOKUP(C1302,'Jaringan Listrik'!$D$2:$I$5188,6,FALSE)</f>
        <v>47100</v>
      </c>
      <c r="F1302" s="1003">
        <f>VLOOKUP(C1302,'Jaringan Listrik'!$D:$K,7,FALSE)</f>
        <v>0</v>
      </c>
      <c r="G1302" s="12">
        <f>VLOOKUP(C1302,'Jaringan Listrik'!$D:$K,8,FALSE)</f>
        <v>0</v>
      </c>
      <c r="H1302" s="374"/>
      <c r="I1302" s="16"/>
    </row>
    <row r="1303" spans="2:9" ht="24" customHeight="1">
      <c r="B1303" s="1033" t="str">
        <f>'Jaringan Listrik'!C2390</f>
        <v>51.1.12.7</v>
      </c>
      <c r="C1303" s="39" t="str">
        <f>VLOOKUP(B1303,'Jaringan Listrik'!C:K,2,FALSE)</f>
        <v xml:space="preserve">Pemasangan 1 unit kabel tray (vertikal) 500 x 100 mm
</v>
      </c>
      <c r="D1303" s="9" t="s">
        <v>135</v>
      </c>
      <c r="E1303" s="1021">
        <f>VLOOKUP(C1303,'Jaringan Listrik'!$D$2:$I$5188,6,FALSE)</f>
        <v>47100</v>
      </c>
      <c r="F1303" s="1003">
        <f>VLOOKUP(C1303,'Jaringan Listrik'!$D:$K,7,FALSE)</f>
        <v>0</v>
      </c>
      <c r="G1303" s="12">
        <f>VLOOKUP(C1303,'Jaringan Listrik'!$D:$K,8,FALSE)</f>
        <v>0</v>
      </c>
      <c r="H1303" s="374"/>
      <c r="I1303" s="16"/>
    </row>
    <row r="1304" spans="2:9" ht="24" customHeight="1">
      <c r="B1304" s="1033" t="str">
        <f>'Jaringan Listrik'!C2407</f>
        <v>5.1.1.12.8</v>
      </c>
      <c r="C1304" s="39" t="str">
        <f>VLOOKUP(B1304,'Jaringan Listrik'!C:K,2,FALSE)</f>
        <v xml:space="preserve">Pemasangan 1 unit kabel tray (vertikal) 400 x 100 mm
</v>
      </c>
      <c r="D1304" s="9" t="s">
        <v>135</v>
      </c>
      <c r="E1304" s="1021">
        <f>VLOOKUP(C1304,'Jaringan Listrik'!$D$2:$I$5188,6,FALSE)</f>
        <v>47100</v>
      </c>
      <c r="F1304" s="1003">
        <f>VLOOKUP(C1304,'Jaringan Listrik'!$D:$K,7,FALSE)</f>
        <v>0</v>
      </c>
      <c r="G1304" s="12">
        <f>VLOOKUP(C1304,'Jaringan Listrik'!$D:$K,8,FALSE)</f>
        <v>0</v>
      </c>
      <c r="H1304" s="374"/>
      <c r="I1304" s="16"/>
    </row>
    <row r="1305" spans="2:9" ht="24" customHeight="1">
      <c r="B1305" s="1033" t="str">
        <f>'Jaringan Listrik'!C2424</f>
        <v>5.1.1.12.9</v>
      </c>
      <c r="C1305" s="39" t="str">
        <f>VLOOKUP(B1305,'Jaringan Listrik'!C:K,2,FALSE)</f>
        <v xml:space="preserve">Pemasangan 1 unit kabel tray (vertikal) 300 x 100 mm
</v>
      </c>
      <c r="D1305" s="9" t="s">
        <v>135</v>
      </c>
      <c r="E1305" s="1021">
        <f>VLOOKUP(C1305,'Jaringan Listrik'!$D$2:$I$5188,6,FALSE)</f>
        <v>47100</v>
      </c>
      <c r="F1305" s="1003">
        <f>VLOOKUP(C1305,'Jaringan Listrik'!$D:$K,7,FALSE)</f>
        <v>0</v>
      </c>
      <c r="G1305" s="12">
        <f>VLOOKUP(C1305,'Jaringan Listrik'!$D:$K,8,FALSE)</f>
        <v>0</v>
      </c>
      <c r="H1305" s="374"/>
      <c r="I1305" s="16"/>
    </row>
    <row r="1306" spans="2:9" ht="24" customHeight="1">
      <c r="B1306" s="1033" t="str">
        <f>'Jaringan Listrik'!C2441</f>
        <v>5.1.1.12.10</v>
      </c>
      <c r="C1306" s="39" t="str">
        <f>VLOOKUP(B1306,'Jaringan Listrik'!C:K,2,FALSE)</f>
        <v xml:space="preserve">Pemasangan 1 unit kabel tray (vertikal) 200 x 100 mm
</v>
      </c>
      <c r="D1306" s="9" t="s">
        <v>135</v>
      </c>
      <c r="E1306" s="1021">
        <f>VLOOKUP(C1306,'Jaringan Listrik'!$D$2:$I$5188,6,FALSE)</f>
        <v>47100</v>
      </c>
      <c r="F1306" s="1003">
        <f>VLOOKUP(C1306,'Jaringan Listrik'!$D:$K,7,FALSE)</f>
        <v>0</v>
      </c>
      <c r="G1306" s="12">
        <f>VLOOKUP(C1306,'Jaringan Listrik'!$D:$K,8,FALSE)</f>
        <v>0</v>
      </c>
      <c r="H1306" s="374"/>
      <c r="I1306" s="16"/>
    </row>
    <row r="1307" spans="2:9" ht="24" customHeight="1">
      <c r="B1307" s="1033" t="str">
        <f>'Jaringan Listrik'!C2459</f>
        <v>5.1.1.12.11</v>
      </c>
      <c r="C1307" s="39" t="str">
        <f>VLOOKUP(B1307,'Jaringan Listrik'!C:K,2,FALSE)</f>
        <v xml:space="preserve">Pemasangan 1 unit kabel Ladder  500 x 100 mm
</v>
      </c>
      <c r="D1307" s="9" t="s">
        <v>135</v>
      </c>
      <c r="E1307" s="1021">
        <f>VLOOKUP(C1307,'Jaringan Listrik'!$D$2:$I$5188,6,FALSE)</f>
        <v>50400</v>
      </c>
      <c r="F1307" s="1003">
        <f>VLOOKUP(C1307,'Jaringan Listrik'!$D:$K,7,FALSE)</f>
        <v>0</v>
      </c>
      <c r="G1307" s="12">
        <f>VLOOKUP(C1307,'Jaringan Listrik'!$D:$K,8,FALSE)</f>
        <v>0</v>
      </c>
      <c r="H1307" s="374"/>
      <c r="I1307" s="16"/>
    </row>
    <row r="1308" spans="2:9" ht="24" customHeight="1">
      <c r="B1308" s="1033" t="str">
        <f>'Jaringan Listrik'!C2476</f>
        <v>5.1.1.12.12</v>
      </c>
      <c r="C1308" s="39" t="str">
        <f>VLOOKUP(B1308,'Jaringan Listrik'!C:K,2,FALSE)</f>
        <v xml:space="preserve">Pemasangan 1 unit kabel Ladder  600 x 100 mm
</v>
      </c>
      <c r="D1308" s="9" t="s">
        <v>135</v>
      </c>
      <c r="E1308" s="1021">
        <f>VLOOKUP(C1308,'Jaringan Listrik'!$D$2:$I$5188,6,FALSE)</f>
        <v>50400</v>
      </c>
      <c r="F1308" s="1003">
        <f>VLOOKUP(C1308,'Jaringan Listrik'!$D:$K,7,FALSE)</f>
        <v>0</v>
      </c>
      <c r="G1308" s="12">
        <f>VLOOKUP(C1308,'Jaringan Listrik'!$D:$K,8,FALSE)</f>
        <v>0</v>
      </c>
      <c r="H1308" s="374"/>
      <c r="I1308" s="16"/>
    </row>
    <row r="1309" spans="2:9" ht="24" customHeight="1">
      <c r="B1309" s="1033" t="str">
        <f>'Jaringan Listrik'!C2493</f>
        <v>5.1.1.12.13</v>
      </c>
      <c r="C1309" s="39" t="str">
        <f>VLOOKUP(B1309,'Jaringan Listrik'!C:K,2,FALSE)</f>
        <v xml:space="preserve">Pemasangan 1 unit kabel Ladder  800 x 100 mm
</v>
      </c>
      <c r="D1309" s="9" t="s">
        <v>135</v>
      </c>
      <c r="E1309" s="1021">
        <f>VLOOKUP(C1309,'Jaringan Listrik'!$D$2:$I$5188,6,FALSE)</f>
        <v>50400</v>
      </c>
      <c r="F1309" s="1003">
        <f>VLOOKUP(C1309,'Jaringan Listrik'!$D:$K,7,FALSE)</f>
        <v>0</v>
      </c>
      <c r="G1309" s="12">
        <f>VLOOKUP(C1309,'Jaringan Listrik'!$D:$K,8,FALSE)</f>
        <v>0</v>
      </c>
      <c r="H1309" s="374"/>
      <c r="I1309" s="16"/>
    </row>
    <row r="1310" spans="2:9" ht="24" customHeight="1">
      <c r="B1310" s="1033" t="str">
        <f>'Jaringan Listrik'!C2511</f>
        <v>5.1.1.12.14</v>
      </c>
      <c r="C1310" s="39" t="str">
        <f>VLOOKUP(B1310,'Jaringan Listrik'!C:K,2,FALSE)</f>
        <v xml:space="preserve">Pemasangan 1 unit pasang baja ringan 75 x 35 mm + Hanger
</v>
      </c>
      <c r="D1310" s="9" t="s">
        <v>135</v>
      </c>
      <c r="E1310" s="1021">
        <f>VLOOKUP(C1310,'Jaringan Listrik'!$D$2:$I$5188,6,FALSE)</f>
        <v>410200</v>
      </c>
      <c r="F1310" s="1003">
        <f>VLOOKUP(C1310,'Jaringan Listrik'!$D:$K,7,FALSE)</f>
        <v>0</v>
      </c>
      <c r="G1310" s="12">
        <f>VLOOKUP(C1310,'Jaringan Listrik'!$D:$K,8,FALSE)</f>
        <v>0</v>
      </c>
      <c r="H1310" s="374"/>
      <c r="I1310" s="16"/>
    </row>
    <row r="1311" spans="2:9" ht="24" customHeight="1">
      <c r="B1311" s="1033" t="str">
        <f>'Jaringan Listrik'!C2531</f>
        <v>5.1.1.12.15</v>
      </c>
      <c r="C1311" s="39" t="str">
        <f>VLOOKUP(B1311,'Jaringan Listrik'!C:K,2,FALSE)</f>
        <v>Pemasangan 1 Unit Kabel Tray (Horizontal) 1000 x 100 mm TRU Powder Coating</v>
      </c>
      <c r="D1311" s="9" t="s">
        <v>135</v>
      </c>
      <c r="E1311" s="1021">
        <f>VLOOKUP(C1311,'Jaringan Listrik'!$D$2:$I$5188,6,FALSE)</f>
        <v>70600</v>
      </c>
      <c r="F1311" s="1003" t="str">
        <f>VLOOKUP(C1311,'Jaringan Listrik'!$D:$K,7,FALSE)</f>
        <v xml:space="preserve">Baru </v>
      </c>
      <c r="G1311" s="12">
        <f>VLOOKUP(C1311,'Jaringan Listrik'!$D:$K,8,FALSE)</f>
        <v>0</v>
      </c>
      <c r="H1311" s="374"/>
      <c r="I1311" s="16"/>
    </row>
    <row r="1312" spans="2:9" ht="24" customHeight="1">
      <c r="B1312" s="1033" t="str">
        <f>'Jaringan Listrik'!C2548</f>
        <v>5.1.1.12.16</v>
      </c>
      <c r="C1312" s="39" t="str">
        <f>VLOOKUP(B1312,'Jaringan Listrik'!C:K,2,FALSE)</f>
        <v>Pemasangan 1 Unit Kabel Tray (Horizontal) 1000 x 100 mm TRU Hot Dip Galvanized</v>
      </c>
      <c r="D1312" s="9" t="s">
        <v>135</v>
      </c>
      <c r="E1312" s="1021">
        <f>VLOOKUP(C1312,'Jaringan Listrik'!$D$2:$I$5188,6,FALSE)</f>
        <v>70600</v>
      </c>
      <c r="F1312" s="1003" t="str">
        <f>VLOOKUP(C1312,'Jaringan Listrik'!$D:$K,7,FALSE)</f>
        <v xml:space="preserve">Baru </v>
      </c>
      <c r="G1312" s="12">
        <f>VLOOKUP(C1312,'Jaringan Listrik'!$D:$K,8,FALSE)</f>
        <v>0</v>
      </c>
      <c r="H1312" s="374"/>
      <c r="I1312" s="16"/>
    </row>
    <row r="1313" spans="2:9" ht="24" customHeight="1">
      <c r="B1313" s="1033" t="str">
        <f>'Jaringan Listrik'!C2565</f>
        <v>5.1.1.12.17</v>
      </c>
      <c r="C1313" s="39" t="str">
        <f>VLOOKUP(B1313,'Jaringan Listrik'!C:K,2,FALSE)</f>
        <v>Pemasangan 1 Unit Kabel Tray (Horizontal) 1000 x 100 mm TRU OCP</v>
      </c>
      <c r="D1313" s="9" t="s">
        <v>135</v>
      </c>
      <c r="E1313" s="1021">
        <f>VLOOKUP(C1313,'Jaringan Listrik'!$D$2:$I$5188,6,FALSE)</f>
        <v>70600</v>
      </c>
      <c r="F1313" s="1003" t="str">
        <f>VLOOKUP(C1313,'Jaringan Listrik'!$D:$K,7,FALSE)</f>
        <v xml:space="preserve">Baru </v>
      </c>
      <c r="G1313" s="12">
        <f>VLOOKUP(C1313,'Jaringan Listrik'!$D:$K,8,FALSE)</f>
        <v>0</v>
      </c>
      <c r="H1313" s="374"/>
      <c r="I1313" s="16"/>
    </row>
    <row r="1314" spans="2:9" ht="24" customHeight="1">
      <c r="B1314" s="1033" t="str">
        <f>'Jaringan Listrik'!C2582</f>
        <v>5.1.1.12.18</v>
      </c>
      <c r="C1314" s="39" t="str">
        <f>VLOOKUP(B1314,'Jaringan Listrik'!C:K,2,FALSE)</f>
        <v>Pemasangan 1 Unit Kabel Tray (Horizontal) 1000 x 100 mm TRC Powder Coating</v>
      </c>
      <c r="D1314" s="9" t="s">
        <v>135</v>
      </c>
      <c r="E1314" s="1021">
        <f>VLOOKUP(C1314,'Jaringan Listrik'!$D$2:$I$5188,6,FALSE)</f>
        <v>70600</v>
      </c>
      <c r="F1314" s="1003" t="str">
        <f>VLOOKUP(C1314,'Jaringan Listrik'!$D:$K,7,FALSE)</f>
        <v xml:space="preserve">Baru </v>
      </c>
      <c r="G1314" s="12">
        <f>VLOOKUP(C1314,'Jaringan Listrik'!$D:$K,8,FALSE)</f>
        <v>0</v>
      </c>
      <c r="H1314" s="374"/>
      <c r="I1314" s="16"/>
    </row>
    <row r="1315" spans="2:9" ht="24" customHeight="1">
      <c r="B1315" s="1033" t="str">
        <f>'Jaringan Listrik'!C2599</f>
        <v>5.1.1.12.19</v>
      </c>
      <c r="C1315" s="39" t="str">
        <f>VLOOKUP(B1315,'Jaringan Listrik'!C:K,2,FALSE)</f>
        <v>Pemasangan 1 Unit Kabel Tray (Horizontal) 1000 x 100 mm TRC Hot Dip Galvanized</v>
      </c>
      <c r="D1315" s="9" t="s">
        <v>135</v>
      </c>
      <c r="E1315" s="1021">
        <f>VLOOKUP(C1315,'Jaringan Listrik'!$D$2:$I$5188,6,FALSE)</f>
        <v>70600</v>
      </c>
      <c r="F1315" s="1003" t="str">
        <f>VLOOKUP(C1315,'Jaringan Listrik'!$D:$K,7,FALSE)</f>
        <v xml:space="preserve">Baru </v>
      </c>
      <c r="G1315" s="12">
        <f>VLOOKUP(C1315,'Jaringan Listrik'!$D:$K,8,FALSE)</f>
        <v>0</v>
      </c>
      <c r="H1315" s="374"/>
      <c r="I1315" s="16"/>
    </row>
    <row r="1316" spans="2:9" ht="24" customHeight="1">
      <c r="B1316" s="1033" t="str">
        <f>'Jaringan Listrik'!C2617</f>
        <v>5.1.1.12.20</v>
      </c>
      <c r="C1316" s="39" t="str">
        <f>VLOOKUP(B1316,'Jaringan Listrik'!C:K,2,FALSE)</f>
        <v>Pemasangan 1 Unit Kabel Tray (Horizontal) 1000 x 100 mm TRC OCP</v>
      </c>
      <c r="D1316" s="9" t="s">
        <v>135</v>
      </c>
      <c r="E1316" s="1021">
        <f>VLOOKUP(C1316,'Jaringan Listrik'!$D$2:$I$5188,6,FALSE)</f>
        <v>70600</v>
      </c>
      <c r="F1316" s="1003" t="str">
        <f>VLOOKUP(C1316,'Jaringan Listrik'!$D:$K,7,FALSE)</f>
        <v xml:space="preserve">Baru </v>
      </c>
      <c r="G1316" s="12">
        <f>VLOOKUP(C1316,'Jaringan Listrik'!$D:$K,8,FALSE)</f>
        <v>0</v>
      </c>
      <c r="H1316" s="374"/>
      <c r="I1316" s="16"/>
    </row>
    <row r="1317" spans="2:9" ht="24" customHeight="1">
      <c r="B1317" s="1033" t="str">
        <f>'Jaringan Listrik'!C2634</f>
        <v>5.1.1.12.21</v>
      </c>
      <c r="C1317" s="39" t="str">
        <f>VLOOKUP(B1317,'Jaringan Listrik'!C:K,2,FALSE)</f>
        <v>Pemasangan 1 Unit Kabel Tray (Horizontal) 900 x 100 mm TRU Powder Coating</v>
      </c>
      <c r="D1317" s="9" t="s">
        <v>135</v>
      </c>
      <c r="E1317" s="1021">
        <f>VLOOKUP(C1317,'Jaringan Listrik'!$D$2:$I$5188,6,FALSE)</f>
        <v>70600</v>
      </c>
      <c r="F1317" s="1003" t="str">
        <f>VLOOKUP(C1317,'Jaringan Listrik'!$D:$K,7,FALSE)</f>
        <v xml:space="preserve">Baru </v>
      </c>
      <c r="G1317" s="12">
        <f>VLOOKUP(C1317,'Jaringan Listrik'!$D:$K,8,FALSE)</f>
        <v>0</v>
      </c>
      <c r="H1317" s="374"/>
      <c r="I1317" s="16"/>
    </row>
    <row r="1318" spans="2:9" ht="24" customHeight="1">
      <c r="B1318" s="1033" t="str">
        <f>'Jaringan Listrik'!C2651</f>
        <v>5.1.1.12.22</v>
      </c>
      <c r="C1318" s="39" t="str">
        <f>VLOOKUP(B1318,'Jaringan Listrik'!C:K,2,FALSE)</f>
        <v>Pemasangan 1 Unit Kabel Tray (Horizontal) 900 x 100 mm
TRU Hot Dip Galvanized</v>
      </c>
      <c r="D1318" s="9" t="s">
        <v>135</v>
      </c>
      <c r="E1318" s="1021">
        <f>VLOOKUP(C1318,'Jaringan Listrik'!$D$2:$I$5188,6,FALSE)</f>
        <v>70600</v>
      </c>
      <c r="F1318" s="1003" t="str">
        <f>VLOOKUP(C1318,'Jaringan Listrik'!$D:$K,7,FALSE)</f>
        <v xml:space="preserve">Baru </v>
      </c>
      <c r="G1318" s="12">
        <f>VLOOKUP(C1318,'Jaringan Listrik'!$D:$K,8,FALSE)</f>
        <v>0</v>
      </c>
      <c r="H1318" s="374"/>
      <c r="I1318" s="16"/>
    </row>
    <row r="1319" spans="2:9" ht="24" customHeight="1">
      <c r="B1319" s="1033" t="str">
        <f>'Jaringan Listrik'!C2668</f>
        <v>5.1.1.12.23</v>
      </c>
      <c r="C1319" s="39" t="str">
        <f>VLOOKUP(B1319,'Jaringan Listrik'!C:K,2,FALSE)</f>
        <v>Pemasangan 1 Unit Kabel Tray (Horizontal) 900 x 100 mm
TRU OCP</v>
      </c>
      <c r="D1319" s="9" t="s">
        <v>135</v>
      </c>
      <c r="E1319" s="1021">
        <f>VLOOKUP(C1319,'Jaringan Listrik'!$D$2:$I$5188,6,FALSE)</f>
        <v>70600</v>
      </c>
      <c r="F1319" s="1003" t="str">
        <f>VLOOKUP(C1319,'Jaringan Listrik'!$D:$K,7,FALSE)</f>
        <v xml:space="preserve">Baru </v>
      </c>
      <c r="G1319" s="12">
        <f>VLOOKUP(C1319,'Jaringan Listrik'!$D:$K,8,FALSE)</f>
        <v>0</v>
      </c>
      <c r="H1319" s="374"/>
      <c r="I1319" s="16"/>
    </row>
    <row r="1320" spans="2:9" ht="24" customHeight="1">
      <c r="B1320" s="1033" t="str">
        <f>'Jaringan Listrik'!C2685</f>
        <v>5.1.1.12.24</v>
      </c>
      <c r="C1320" s="39" t="str">
        <f>VLOOKUP(B1320,'Jaringan Listrik'!C:K,2,FALSE)</f>
        <v>Pemasangan 1 Unit Kabel Tray (Horizontal) 900 x 100 mm TRC Powder Coating</v>
      </c>
      <c r="D1320" s="9" t="s">
        <v>135</v>
      </c>
      <c r="E1320" s="1021">
        <f>VLOOKUP(C1320,'Jaringan Listrik'!$D$2:$I$5188,6,FALSE)</f>
        <v>70600</v>
      </c>
      <c r="F1320" s="1003" t="str">
        <f>VLOOKUP(C1320,'Jaringan Listrik'!$D:$K,7,FALSE)</f>
        <v xml:space="preserve">Baru </v>
      </c>
      <c r="G1320" s="12">
        <f>VLOOKUP(C1320,'Jaringan Listrik'!$D:$K,8,FALSE)</f>
        <v>0</v>
      </c>
      <c r="H1320" s="374"/>
      <c r="I1320" s="16"/>
    </row>
    <row r="1321" spans="2:9" ht="24" customHeight="1">
      <c r="B1321" s="1033" t="str">
        <f>'Jaringan Listrik'!C2702</f>
        <v>5.1.1.12.25</v>
      </c>
      <c r="C1321" s="39" t="str">
        <f>VLOOKUP(B1321,'Jaringan Listrik'!C:K,2,FALSE)</f>
        <v>Pemasangan 1 Unit Kabel Tray (Horizontal) 900 x 100 mm TRC Hot Dip Galvanized</v>
      </c>
      <c r="D1321" s="9" t="s">
        <v>135</v>
      </c>
      <c r="E1321" s="1021">
        <f>VLOOKUP(C1321,'Jaringan Listrik'!$D$2:$I$5188,6,FALSE)</f>
        <v>70600</v>
      </c>
      <c r="F1321" s="1003" t="str">
        <f>VLOOKUP(C1321,'Jaringan Listrik'!$D:$K,7,FALSE)</f>
        <v xml:space="preserve">Baru </v>
      </c>
      <c r="G1321" s="12">
        <f>VLOOKUP(C1321,'Jaringan Listrik'!$D:$K,8,FALSE)</f>
        <v>0</v>
      </c>
      <c r="H1321" s="374"/>
      <c r="I1321" s="16"/>
    </row>
    <row r="1322" spans="2:9" ht="24" customHeight="1">
      <c r="B1322" s="1033" t="str">
        <f>'Jaringan Listrik'!C2719</f>
        <v>5.1.1.12.26</v>
      </c>
      <c r="C1322" s="39" t="str">
        <f>VLOOKUP(B1322,'Jaringan Listrik'!C:K,2,FALSE)</f>
        <v>Pemasangan 1 Unit Kabel Tray (Horizontal) 900 x 100 mm
TRC OCP</v>
      </c>
      <c r="D1322" s="9" t="s">
        <v>135</v>
      </c>
      <c r="E1322" s="1021">
        <f>VLOOKUP(C1322,'Jaringan Listrik'!$D$2:$I$5188,6,FALSE)</f>
        <v>70600</v>
      </c>
      <c r="F1322" s="1003" t="str">
        <f>VLOOKUP(C1322,'Jaringan Listrik'!$D:$K,7,FALSE)</f>
        <v xml:space="preserve">Baru </v>
      </c>
      <c r="G1322" s="12">
        <f>VLOOKUP(C1322,'Jaringan Listrik'!$D:$K,8,FALSE)</f>
        <v>0</v>
      </c>
      <c r="H1322" s="374"/>
      <c r="I1322" s="16"/>
    </row>
    <row r="1323" spans="2:9" ht="24" customHeight="1">
      <c r="B1323" s="1033" t="str">
        <f>'Jaringan Listrik'!C2736</f>
        <v>5.1.1.12.27</v>
      </c>
      <c r="C1323" s="39" t="str">
        <f>VLOOKUP(B1323,'Jaringan Listrik'!C:K,2,FALSE)</f>
        <v>Pemasangan 1 Unit Kabel Tray (Horizontal) 800 x 100 mm
TRU Powder Coating</v>
      </c>
      <c r="D1323" s="9" t="s">
        <v>135</v>
      </c>
      <c r="E1323" s="1021">
        <f>VLOOKUP(C1323,'Jaringan Listrik'!$D$2:$I$5188,6,FALSE)</f>
        <v>70600</v>
      </c>
      <c r="F1323" s="1003" t="str">
        <f>VLOOKUP(C1323,'Jaringan Listrik'!$D:$K,7,FALSE)</f>
        <v xml:space="preserve">Baru </v>
      </c>
      <c r="G1323" s="12">
        <f>VLOOKUP(C1323,'Jaringan Listrik'!$D:$K,8,FALSE)</f>
        <v>0</v>
      </c>
      <c r="H1323" s="374"/>
      <c r="I1323" s="16"/>
    </row>
    <row r="1324" spans="2:9" ht="24" customHeight="1">
      <c r="B1324" s="1033" t="str">
        <f>'Jaringan Listrik'!C2753</f>
        <v>5.1.1.12.28</v>
      </c>
      <c r="C1324" s="39" t="str">
        <f>VLOOKUP(B1324,'Jaringan Listrik'!C:K,2,FALSE)</f>
        <v>Pemasangan 1 Unit Kabel Tray (Horizontal) 800 x 100 mm
TRU Hot Dip Galvanized</v>
      </c>
      <c r="D1324" s="9" t="s">
        <v>135</v>
      </c>
      <c r="E1324" s="1021">
        <f>VLOOKUP(C1324,'Jaringan Listrik'!$D$2:$I$5188,6,FALSE)</f>
        <v>70600</v>
      </c>
      <c r="F1324" s="1003" t="str">
        <f>VLOOKUP(C1324,'Jaringan Listrik'!$D:$K,7,FALSE)</f>
        <v xml:space="preserve">Baru </v>
      </c>
      <c r="G1324" s="12">
        <f>VLOOKUP(C1324,'Jaringan Listrik'!$D:$K,8,FALSE)</f>
        <v>0</v>
      </c>
      <c r="H1324" s="374"/>
      <c r="I1324" s="16"/>
    </row>
    <row r="1325" spans="2:9" ht="24" customHeight="1">
      <c r="B1325" s="1033" t="str">
        <f>'Jaringan Listrik'!C2770</f>
        <v>5.1.1.12.29</v>
      </c>
      <c r="C1325" s="39" t="str">
        <f>VLOOKUP(B1325,'Jaringan Listrik'!C:K,2,FALSE)</f>
        <v>Pemasangan 1 Unit Kabel Tray (Horizontal) 800 x 100 mm
TRU OCP</v>
      </c>
      <c r="D1325" s="9" t="s">
        <v>135</v>
      </c>
      <c r="E1325" s="1021">
        <f>VLOOKUP(C1325,'Jaringan Listrik'!$D$2:$I$5188,6,FALSE)</f>
        <v>70600</v>
      </c>
      <c r="F1325" s="1003" t="str">
        <f>VLOOKUP(C1325,'Jaringan Listrik'!$D:$K,7,FALSE)</f>
        <v xml:space="preserve">Baru </v>
      </c>
      <c r="G1325" s="12">
        <f>VLOOKUP(C1325,'Jaringan Listrik'!$D:$K,8,FALSE)</f>
        <v>0</v>
      </c>
      <c r="H1325" s="374"/>
      <c r="I1325" s="16"/>
    </row>
    <row r="1326" spans="2:9" ht="24" customHeight="1">
      <c r="B1326" s="1033" t="str">
        <f>'Jaringan Listrik'!C2787</f>
        <v>5.1.1.12.30</v>
      </c>
      <c r="C1326" s="39" t="str">
        <f>VLOOKUP(B1326,'Jaringan Listrik'!C:K,2,FALSE)</f>
        <v>Pemasangan 1 Unit Kabel Tray (Horizontal) 800 x 100 mm
TRC Powder Coating</v>
      </c>
      <c r="D1326" s="9" t="s">
        <v>135</v>
      </c>
      <c r="E1326" s="1021">
        <f>VLOOKUP(C1326,'Jaringan Listrik'!$D$2:$I$5188,6,FALSE)</f>
        <v>70600</v>
      </c>
      <c r="F1326" s="1003" t="str">
        <f>VLOOKUP(C1326,'Jaringan Listrik'!$D:$K,7,FALSE)</f>
        <v xml:space="preserve">Baru </v>
      </c>
      <c r="G1326" s="12">
        <f>VLOOKUP(C1326,'Jaringan Listrik'!$D:$K,8,FALSE)</f>
        <v>0</v>
      </c>
      <c r="H1326" s="374"/>
      <c r="I1326" s="16"/>
    </row>
    <row r="1327" spans="2:9" ht="24" customHeight="1">
      <c r="B1327" s="1033" t="str">
        <f>'Jaringan Listrik'!C2804</f>
        <v>5.1.1.12.31</v>
      </c>
      <c r="C1327" s="39" t="str">
        <f>VLOOKUP(B1327,'Jaringan Listrik'!C:K,2,FALSE)</f>
        <v>Pemasangan 1 Unit Kabel Tray (Horizontal) 800 x 100 mm
TRC Hot Dip Galvanized</v>
      </c>
      <c r="D1327" s="9" t="s">
        <v>135</v>
      </c>
      <c r="E1327" s="1021">
        <f>VLOOKUP(C1327,'Jaringan Listrik'!$D$2:$I$5188,6,FALSE)</f>
        <v>70600</v>
      </c>
      <c r="F1327" s="1003" t="str">
        <f>VLOOKUP(C1327,'Jaringan Listrik'!$D:$K,7,FALSE)</f>
        <v xml:space="preserve">Baru </v>
      </c>
      <c r="G1327" s="12">
        <f>VLOOKUP(C1327,'Jaringan Listrik'!$D:$K,8,FALSE)</f>
        <v>0</v>
      </c>
      <c r="H1327" s="374"/>
      <c r="I1327" s="16"/>
    </row>
    <row r="1328" spans="2:9" ht="24" customHeight="1">
      <c r="B1328" s="1033" t="str">
        <f>'Jaringan Listrik'!C2821</f>
        <v>5.1.1.12.32</v>
      </c>
      <c r="C1328" s="11" t="str">
        <f>VLOOKUP(B1328,'Jaringan Listrik'!C:K,2,FALSE)</f>
        <v>Pemasangan 1 Unit Kabel Tray (Horizontal) 800 x 100 mm TRC OCP</v>
      </c>
      <c r="D1328" s="9" t="s">
        <v>135</v>
      </c>
      <c r="E1328" s="1021">
        <f>VLOOKUP(C1328,'Jaringan Listrik'!$D$2:$I$5188,6,FALSE)</f>
        <v>70600</v>
      </c>
      <c r="F1328" s="1003" t="str">
        <f>VLOOKUP(C1328,'Jaringan Listrik'!$D:$K,7,FALSE)</f>
        <v xml:space="preserve">Baru </v>
      </c>
      <c r="G1328" s="12">
        <f>VLOOKUP(C1328,'Jaringan Listrik'!$D:$K,8,FALSE)</f>
        <v>0</v>
      </c>
      <c r="H1328" s="374"/>
      <c r="I1328" s="16"/>
    </row>
    <row r="1329" spans="2:9" ht="24" customHeight="1">
      <c r="B1329" s="1033" t="str">
        <f>'Jaringan Listrik'!C2838</f>
        <v>5.1.1.12.33</v>
      </c>
      <c r="C1329" s="11" t="str">
        <f>VLOOKUP(B1329,'Jaringan Listrik'!C:K,2,FALSE)</f>
        <v>Pemasangan 1 Unit Kabel Tray (Horizontal) 700 x 100 mm TRU Powder Coating</v>
      </c>
      <c r="D1329" s="9" t="s">
        <v>135</v>
      </c>
      <c r="E1329" s="1021">
        <f>VLOOKUP(C1329,'Jaringan Listrik'!$D$2:$I$5188,6,FALSE)</f>
        <v>47100</v>
      </c>
      <c r="F1329" s="1003" t="str">
        <f>VLOOKUP(C1329,'Jaringan Listrik'!$D:$K,7,FALSE)</f>
        <v xml:space="preserve">Baru </v>
      </c>
      <c r="G1329" s="12">
        <f>VLOOKUP(C1329,'Jaringan Listrik'!$D:$K,8,FALSE)</f>
        <v>0</v>
      </c>
      <c r="H1329" s="374"/>
      <c r="I1329" s="16"/>
    </row>
    <row r="1330" spans="2:9" ht="24" customHeight="1">
      <c r="B1330" s="1033" t="str">
        <f>'Jaringan Listrik'!C2855</f>
        <v>5.1.1.12.34</v>
      </c>
      <c r="C1330" s="11" t="str">
        <f>VLOOKUP(B1330,'Jaringan Listrik'!C:K,2,FALSE)</f>
        <v>Pemasangan 1 Unit Kabel Tray (Horizontal) 700 x 100 mm TRU Hot Dip Galvanized</v>
      </c>
      <c r="D1330" s="9" t="s">
        <v>135</v>
      </c>
      <c r="E1330" s="1021">
        <f>VLOOKUP(C1330,'Jaringan Listrik'!$D$2:$I$5188,6,FALSE)</f>
        <v>47100</v>
      </c>
      <c r="F1330" s="1003" t="str">
        <f>VLOOKUP(C1330,'Jaringan Listrik'!$D:$K,7,FALSE)</f>
        <v xml:space="preserve">Baru </v>
      </c>
      <c r="G1330" s="12">
        <f>VLOOKUP(C1330,'Jaringan Listrik'!$D:$K,8,FALSE)</f>
        <v>0</v>
      </c>
      <c r="H1330" s="374"/>
      <c r="I1330" s="16"/>
    </row>
    <row r="1331" spans="2:9" ht="24" customHeight="1">
      <c r="B1331" s="1033" t="str">
        <f>'Jaringan Listrik'!C2872</f>
        <v>5.1.1.12.35</v>
      </c>
      <c r="C1331" s="11" t="str">
        <f>VLOOKUP(B1331,'Jaringan Listrik'!C:K,2,FALSE)</f>
        <v>Pemasangan 1 Unit Kabel Tray (Horizontal) 700 x 100 mm TRU OCP</v>
      </c>
      <c r="D1331" s="9" t="s">
        <v>135</v>
      </c>
      <c r="E1331" s="1021">
        <f>VLOOKUP(C1331,'Jaringan Listrik'!$D$2:$I$5188,6,FALSE)</f>
        <v>47100</v>
      </c>
      <c r="F1331" s="1003" t="str">
        <f>VLOOKUP(C1331,'Jaringan Listrik'!$D:$K,7,FALSE)</f>
        <v xml:space="preserve">Baru </v>
      </c>
      <c r="G1331" s="12">
        <f>VLOOKUP(C1331,'Jaringan Listrik'!$D:$K,8,FALSE)</f>
        <v>0</v>
      </c>
      <c r="H1331" s="374"/>
      <c r="I1331" s="16"/>
    </row>
    <row r="1332" spans="2:9" ht="24" customHeight="1">
      <c r="B1332" s="1033" t="str">
        <f>'Jaringan Listrik'!C2889</f>
        <v>5.1.1.12.36</v>
      </c>
      <c r="C1332" s="11" t="str">
        <f>VLOOKUP(B1332,'Jaringan Listrik'!C:K,2,FALSE)</f>
        <v>Pemasangan 1 Unit Kabel Tray (Horizontal) 700 x 100 mm TRC Powder Coating</v>
      </c>
      <c r="D1332" s="9" t="s">
        <v>135</v>
      </c>
      <c r="E1332" s="1021">
        <f>VLOOKUP(C1332,'Jaringan Listrik'!$D$2:$I$5188,6,FALSE)</f>
        <v>47100</v>
      </c>
      <c r="F1332" s="1003" t="str">
        <f>VLOOKUP(C1332,'Jaringan Listrik'!$D:$K,7,FALSE)</f>
        <v xml:space="preserve">Baru </v>
      </c>
      <c r="G1332" s="12">
        <f>VLOOKUP(C1332,'Jaringan Listrik'!$D:$K,8,FALSE)</f>
        <v>0</v>
      </c>
      <c r="H1332" s="374"/>
      <c r="I1332" s="16"/>
    </row>
    <row r="1333" spans="2:9" ht="24" customHeight="1">
      <c r="B1333" s="1033" t="str">
        <f>'Jaringan Listrik'!C2906</f>
        <v>5.1.1.12.37</v>
      </c>
      <c r="C1333" s="11" t="str">
        <f>VLOOKUP(B1333,'Jaringan Listrik'!C:K,2,FALSE)</f>
        <v>Pemasangan 1 Unit Kabel Tray (Horizontal) 700 x 100 mm TRC Hot Dip Galvanized</v>
      </c>
      <c r="D1333" s="9" t="s">
        <v>135</v>
      </c>
      <c r="E1333" s="1021">
        <f>VLOOKUP(C1333,'Jaringan Listrik'!$D$2:$I$5188,6,FALSE)</f>
        <v>47100</v>
      </c>
      <c r="F1333" s="1003" t="str">
        <f>VLOOKUP(C1333,'Jaringan Listrik'!$D:$K,7,FALSE)</f>
        <v xml:space="preserve">Baru </v>
      </c>
      <c r="G1333" s="12">
        <f>VLOOKUP(C1333,'Jaringan Listrik'!$D:$K,8,FALSE)</f>
        <v>0</v>
      </c>
      <c r="H1333" s="374"/>
      <c r="I1333" s="16"/>
    </row>
    <row r="1334" spans="2:9" ht="24" customHeight="1">
      <c r="B1334" s="1033" t="str">
        <f>'Jaringan Listrik'!C2923</f>
        <v>5.1.1.12.38</v>
      </c>
      <c r="C1334" s="11" t="str">
        <f>VLOOKUP(B1334,'Jaringan Listrik'!C:K,2,FALSE)</f>
        <v>Pemasangan 1 Unit Kabel Tray (Horizontal) 700 x 100 mm TRC OCP</v>
      </c>
      <c r="D1334" s="9" t="s">
        <v>135</v>
      </c>
      <c r="E1334" s="1021">
        <f>VLOOKUP(C1334,'Jaringan Listrik'!$D$2:$I$5188,6,FALSE)</f>
        <v>47100</v>
      </c>
      <c r="F1334" s="1003" t="str">
        <f>VLOOKUP(C1334,'Jaringan Listrik'!$D:$K,7,FALSE)</f>
        <v xml:space="preserve">Baru </v>
      </c>
      <c r="G1334" s="12">
        <f>VLOOKUP(C1334,'Jaringan Listrik'!$D:$K,8,FALSE)</f>
        <v>0</v>
      </c>
      <c r="H1334" s="374"/>
      <c r="I1334" s="16"/>
    </row>
    <row r="1335" spans="2:9" ht="24" customHeight="1">
      <c r="B1335" s="1033" t="str">
        <f>'Jaringan Listrik'!C2941</f>
        <v>5.1.1.12.39</v>
      </c>
      <c r="C1335" s="11" t="str">
        <f>VLOOKUP(B1335,'Jaringan Listrik'!C:K,2,FALSE)</f>
        <v xml:space="preserve">Pemasangan 1 unit Kabel Tray (Horizontal) 600x100mm TRU Hot Dip Galvanizer 
</v>
      </c>
      <c r="D1335" s="9" t="s">
        <v>135</v>
      </c>
      <c r="E1335" s="1021">
        <f>VLOOKUP(C1335,'Jaringan Listrik'!$D$2:$I$5188,6,FALSE)</f>
        <v>47100</v>
      </c>
      <c r="F1335" s="1003">
        <f>VLOOKUP(C1335,'Jaringan Listrik'!$D:$K,7,FALSE)</f>
        <v>0</v>
      </c>
      <c r="G1335" s="12">
        <f>VLOOKUP(C1335,'Jaringan Listrik'!$D:$K,8,FALSE)</f>
        <v>0</v>
      </c>
      <c r="H1335" s="374"/>
      <c r="I1335" s="16"/>
    </row>
    <row r="1336" spans="2:9" ht="24" customHeight="1">
      <c r="B1336" s="1033" t="str">
        <f>'Jaringan Listrik'!C2958</f>
        <v>5.1.1.12.40</v>
      </c>
      <c r="C1336" s="11" t="str">
        <f>VLOOKUP(B1336,'Jaringan Listrik'!C:K,2,FALSE)</f>
        <v>Pemasangan 1 unit Kabel Tray (Horizontal) 600x100mm TRU OCP</v>
      </c>
      <c r="D1336" s="9" t="s">
        <v>135</v>
      </c>
      <c r="E1336" s="1021">
        <f>VLOOKUP(C1336,'Jaringan Listrik'!$D$2:$I$5188,6,FALSE)</f>
        <v>47100</v>
      </c>
      <c r="F1336" s="1003">
        <f>VLOOKUP(C1336,'Jaringan Listrik'!$D:$K,7,FALSE)</f>
        <v>0</v>
      </c>
      <c r="G1336" s="12">
        <f>VLOOKUP(C1336,'Jaringan Listrik'!$D:$K,8,FALSE)</f>
        <v>0</v>
      </c>
      <c r="H1336" s="374"/>
      <c r="I1336" s="16"/>
    </row>
    <row r="1337" spans="2:9" ht="24" customHeight="1">
      <c r="B1337" s="1033" t="str">
        <f>'Jaringan Listrik'!C2975</f>
        <v>5.1.1.12.41</v>
      </c>
      <c r="C1337" s="11" t="str">
        <f>VLOOKUP(B1337,'Jaringan Listrik'!C:K,2,FALSE)</f>
        <v xml:space="preserve">Pemasangan 1 unit Kabel Tray (Horizontal) 600x100mm TRC Powder Coating </v>
      </c>
      <c r="D1337" s="9" t="s">
        <v>135</v>
      </c>
      <c r="E1337" s="1021">
        <f>VLOOKUP(C1337,'Jaringan Listrik'!$D$2:$I$5188,6,FALSE)</f>
        <v>47100</v>
      </c>
      <c r="F1337" s="1003">
        <f>VLOOKUP(C1337,'Jaringan Listrik'!$D:$K,7,FALSE)</f>
        <v>0</v>
      </c>
      <c r="G1337" s="12">
        <f>VLOOKUP(C1337,'Jaringan Listrik'!$D:$K,8,FALSE)</f>
        <v>0</v>
      </c>
      <c r="H1337" s="374"/>
      <c r="I1337" s="16"/>
    </row>
    <row r="1338" spans="2:9" ht="24" customHeight="1">
      <c r="B1338" s="1033" t="str">
        <f>'Jaringan Listrik'!C2992</f>
        <v>5.1.1.12.42</v>
      </c>
      <c r="C1338" s="11" t="str">
        <f>VLOOKUP(B1338,'Jaringan Listrik'!C:K,2,FALSE)</f>
        <v>Pemasangan 1 Unit Kabel Tray (Horizontal) 600 x 100 mm TRC Hot Dip Galvanized</v>
      </c>
      <c r="D1338" s="9" t="s">
        <v>135</v>
      </c>
      <c r="E1338" s="1021">
        <f>VLOOKUP(C1338,'Jaringan Listrik'!$D$2:$I$5188,6,FALSE)</f>
        <v>47100</v>
      </c>
      <c r="F1338" s="1003" t="str">
        <f>VLOOKUP(C1338,'Jaringan Listrik'!$D:$K,7,FALSE)</f>
        <v>Baru</v>
      </c>
      <c r="G1338" s="12">
        <f>VLOOKUP(C1338,'Jaringan Listrik'!$D:$K,8,FALSE)</f>
        <v>0</v>
      </c>
      <c r="H1338" s="374"/>
      <c r="I1338" s="16"/>
    </row>
    <row r="1339" spans="2:9" ht="24" customHeight="1">
      <c r="B1339" s="1033" t="str">
        <f>'Jaringan Listrik'!C3009</f>
        <v>5.1.1.12.43</v>
      </c>
      <c r="C1339" s="11" t="str">
        <f>VLOOKUP(B1339,'Jaringan Listrik'!C:K,2,FALSE)</f>
        <v>Pemasangan 1 Unit Kabel Tray (Horizontal) 600 x 100 mm TRC OCP</v>
      </c>
      <c r="D1339" s="9" t="s">
        <v>135</v>
      </c>
      <c r="E1339" s="1021">
        <f>VLOOKUP(C1339,'Jaringan Listrik'!$D$2:$I$5188,6,FALSE)</f>
        <v>47100</v>
      </c>
      <c r="F1339" s="1003" t="str">
        <f>VLOOKUP(C1339,'Jaringan Listrik'!$D:$K,7,FALSE)</f>
        <v>Baru</v>
      </c>
      <c r="G1339" s="12">
        <f>VLOOKUP(C1339,'Jaringan Listrik'!$D:$K,8,FALSE)</f>
        <v>0</v>
      </c>
      <c r="H1339" s="374"/>
      <c r="I1339" s="16"/>
    </row>
    <row r="1340" spans="2:9" ht="24" customHeight="1">
      <c r="B1340" s="1033" t="str">
        <f>'Jaringan Listrik'!C3026</f>
        <v>5.1.1.12.44</v>
      </c>
      <c r="C1340" s="11" t="str">
        <f>VLOOKUP(B1340,'Jaringan Listrik'!C:K,2,FALSE)</f>
        <v>Pemasangan 1 Unit Kabel Tray (Horizontal) 500 x 100 mm TRU Hot Dip Galvanized</v>
      </c>
      <c r="D1340" s="9" t="s">
        <v>135</v>
      </c>
      <c r="E1340" s="1021">
        <f>VLOOKUP(C1340,'Jaringan Listrik'!$D$2:$I$5188,6,FALSE)</f>
        <v>47100</v>
      </c>
      <c r="F1340" s="1003" t="str">
        <f>VLOOKUP(C1340,'Jaringan Listrik'!$D:$K,7,FALSE)</f>
        <v>Baru</v>
      </c>
      <c r="G1340" s="12">
        <f>VLOOKUP(C1340,'Jaringan Listrik'!$D:$K,8,FALSE)</f>
        <v>0</v>
      </c>
      <c r="H1340" s="374"/>
      <c r="I1340" s="16"/>
    </row>
    <row r="1341" spans="2:9" ht="24" customHeight="1">
      <c r="B1341" s="1033" t="str">
        <f>'Jaringan Listrik'!C3043</f>
        <v>5.1.1.12.45</v>
      </c>
      <c r="C1341" s="11" t="str">
        <f>VLOOKUP(B1341,'Jaringan Listrik'!C:K,2,FALSE)</f>
        <v>Pemasangan 1 Unit Kabel Tray (Horizontal) 500 x 100 mm TRU OCP</v>
      </c>
      <c r="D1341" s="9" t="s">
        <v>135</v>
      </c>
      <c r="E1341" s="1021">
        <f>VLOOKUP(C1341,'Jaringan Listrik'!$D$2:$I$5188,6,FALSE)</f>
        <v>47100</v>
      </c>
      <c r="F1341" s="1003" t="str">
        <f>VLOOKUP(C1341,'Jaringan Listrik'!$D:$K,7,FALSE)</f>
        <v>Baru</v>
      </c>
      <c r="G1341" s="12">
        <f>VLOOKUP(C1341,'Jaringan Listrik'!$D:$K,8,FALSE)</f>
        <v>0</v>
      </c>
      <c r="H1341" s="374"/>
      <c r="I1341" s="16"/>
    </row>
    <row r="1342" spans="2:9" ht="24" customHeight="1">
      <c r="B1342" s="1033" t="str">
        <f>'Jaringan Listrik'!C3060</f>
        <v>5.1.1.12.46</v>
      </c>
      <c r="C1342" s="11" t="str">
        <f>VLOOKUP(B1342,'Jaringan Listrik'!C:K,2,FALSE)</f>
        <v>Pemasangan 1 Unit Kabel Tray (Horizontal) 500 x 100 mm TRC Powder Coating</v>
      </c>
      <c r="D1342" s="9" t="s">
        <v>135</v>
      </c>
      <c r="E1342" s="1021">
        <f>VLOOKUP(C1342,'Jaringan Listrik'!$D$2:$I$5188,6,FALSE)</f>
        <v>47100</v>
      </c>
      <c r="F1342" s="1003" t="str">
        <f>VLOOKUP(C1342,'Jaringan Listrik'!$D:$K,7,FALSE)</f>
        <v>Baru</v>
      </c>
      <c r="G1342" s="12">
        <f>VLOOKUP(C1342,'Jaringan Listrik'!$D:$K,8,FALSE)</f>
        <v>0</v>
      </c>
      <c r="H1342" s="374"/>
      <c r="I1342" s="16"/>
    </row>
    <row r="1343" spans="2:9" ht="24" customHeight="1">
      <c r="B1343" s="1033" t="str">
        <f>'Jaringan Listrik'!C3077</f>
        <v>5.1.1.12.47</v>
      </c>
      <c r="C1343" s="11" t="str">
        <f>VLOOKUP(B1343,'Jaringan Listrik'!C:K,2,FALSE)</f>
        <v>Pemasangan 1 Unit Kabel Tray (Horizontal) 500 x 100 mm TRC Hot Dip Galvanized</v>
      </c>
      <c r="D1343" s="9" t="s">
        <v>135</v>
      </c>
      <c r="E1343" s="1021">
        <f>VLOOKUP(C1343,'Jaringan Listrik'!$D$2:$I$5188,6,FALSE)</f>
        <v>47100</v>
      </c>
      <c r="F1343" s="1003" t="str">
        <f>VLOOKUP(C1343,'Jaringan Listrik'!$D:$K,7,FALSE)</f>
        <v>Baru</v>
      </c>
      <c r="G1343" s="12">
        <f>VLOOKUP(C1343,'Jaringan Listrik'!$D:$K,8,FALSE)</f>
        <v>0</v>
      </c>
      <c r="H1343" s="374"/>
      <c r="I1343" s="16"/>
    </row>
    <row r="1344" spans="2:9" ht="24" customHeight="1">
      <c r="B1344" s="1033" t="str">
        <f>'Jaringan Listrik'!C3094</f>
        <v>5.1.1.12.48</v>
      </c>
      <c r="C1344" s="11" t="str">
        <f>VLOOKUP(B1344,'Jaringan Listrik'!C:K,2,FALSE)</f>
        <v>Pemasangan 1 Unit Kabel Tray (Horizontal) 500 x 100 mm TRC OCP</v>
      </c>
      <c r="D1344" s="9" t="s">
        <v>135</v>
      </c>
      <c r="E1344" s="1021">
        <f>VLOOKUP(C1344,'Jaringan Listrik'!$D$2:$I$5188,6,FALSE)</f>
        <v>47100</v>
      </c>
      <c r="F1344" s="1003" t="str">
        <f>VLOOKUP(C1344,'Jaringan Listrik'!$D:$K,7,FALSE)</f>
        <v>Baru</v>
      </c>
      <c r="G1344" s="12">
        <f>VLOOKUP(C1344,'Jaringan Listrik'!$D:$K,8,FALSE)</f>
        <v>0</v>
      </c>
      <c r="H1344" s="374"/>
      <c r="I1344" s="16"/>
    </row>
    <row r="1345" spans="2:9" ht="24" customHeight="1">
      <c r="B1345" s="1033" t="str">
        <f>'Jaringan Listrik'!C3111</f>
        <v>5.1.1.12.49</v>
      </c>
      <c r="C1345" s="11" t="str">
        <f>VLOOKUP(B1345,'Jaringan Listrik'!C:K,2,FALSE)</f>
        <v>Pemasangan 1 Unit Kabel Tray (Horizontal) 400 x 100 mm TRU Hot Dip Galvanized</v>
      </c>
      <c r="D1345" s="9" t="s">
        <v>135</v>
      </c>
      <c r="E1345" s="1021">
        <f>VLOOKUP(C1345,'Jaringan Listrik'!$D$2:$I$5188,6,FALSE)</f>
        <v>47100</v>
      </c>
      <c r="F1345" s="1003" t="str">
        <f>VLOOKUP(C1345,'Jaringan Listrik'!$D:$K,7,FALSE)</f>
        <v>Baru</v>
      </c>
      <c r="G1345" s="12">
        <f>VLOOKUP(C1345,'Jaringan Listrik'!$D:$K,8,FALSE)</f>
        <v>0</v>
      </c>
      <c r="H1345" s="374"/>
      <c r="I1345" s="16"/>
    </row>
    <row r="1346" spans="2:9" ht="24" customHeight="1">
      <c r="B1346" s="1033" t="str">
        <f>'Jaringan Listrik'!C3128</f>
        <v>5.1.1.12.50</v>
      </c>
      <c r="C1346" s="11" t="str">
        <f>VLOOKUP(B1346,'Jaringan Listrik'!C:K,2,FALSE)</f>
        <v>Pemasangan 1 Unit Kabel Tray (Horizontal) 400 x 100 mm TRU OCP</v>
      </c>
      <c r="D1346" s="9" t="s">
        <v>135</v>
      </c>
      <c r="E1346" s="1021">
        <f>VLOOKUP(C1346,'Jaringan Listrik'!$D$2:$I$5188,6,FALSE)</f>
        <v>47100</v>
      </c>
      <c r="F1346" s="1003" t="str">
        <f>VLOOKUP(C1346,'Jaringan Listrik'!$D:$K,7,FALSE)</f>
        <v>Baru</v>
      </c>
      <c r="G1346" s="12">
        <f>VLOOKUP(C1346,'Jaringan Listrik'!$D:$K,8,FALSE)</f>
        <v>0</v>
      </c>
      <c r="H1346" s="374"/>
      <c r="I1346" s="16"/>
    </row>
    <row r="1347" spans="2:9" ht="24" customHeight="1">
      <c r="B1347" s="1033" t="str">
        <f>'Jaringan Listrik'!C3145</f>
        <v>5.1.1.12.51</v>
      </c>
      <c r="C1347" s="11" t="str">
        <f>VLOOKUP(B1347,'Jaringan Listrik'!C:K,2,FALSE)</f>
        <v>Pemasangan 1 Unit Kabel Tray (Horizontal) 400 x 100 mm TRC Powder Coating</v>
      </c>
      <c r="D1347" s="9" t="s">
        <v>135</v>
      </c>
      <c r="E1347" s="1021">
        <f>VLOOKUP(C1347,'Jaringan Listrik'!$D$2:$I$5188,6,FALSE)</f>
        <v>47100</v>
      </c>
      <c r="F1347" s="1003" t="str">
        <f>VLOOKUP(C1347,'Jaringan Listrik'!$D:$K,7,FALSE)</f>
        <v>Baru</v>
      </c>
      <c r="G1347" s="12">
        <f>VLOOKUP(C1347,'Jaringan Listrik'!$D:$K,8,FALSE)</f>
        <v>0</v>
      </c>
      <c r="H1347" s="374"/>
      <c r="I1347" s="16"/>
    </row>
    <row r="1348" spans="2:9" ht="24" customHeight="1">
      <c r="B1348" s="1033" t="str">
        <f>'Jaringan Listrik'!C3162</f>
        <v>5.1.1.12.52</v>
      </c>
      <c r="C1348" s="11" t="str">
        <f>VLOOKUP(B1348,'Jaringan Listrik'!C:K,2,FALSE)</f>
        <v>Pemasangan 1 Unit Kabel Tray (Horizontal) 400 x 100 mm TRC Hot Dip Galvanized</v>
      </c>
      <c r="D1348" s="9" t="s">
        <v>135</v>
      </c>
      <c r="E1348" s="1021">
        <f>VLOOKUP(C1348,'Jaringan Listrik'!$D$2:$I$5188,6,FALSE)</f>
        <v>47100</v>
      </c>
      <c r="F1348" s="1003" t="str">
        <f>VLOOKUP(C1348,'Jaringan Listrik'!$D:$K,7,FALSE)</f>
        <v>Baru</v>
      </c>
      <c r="G1348" s="12">
        <f>VLOOKUP(C1348,'Jaringan Listrik'!$D:$K,8,FALSE)</f>
        <v>0</v>
      </c>
      <c r="H1348" s="374"/>
      <c r="I1348" s="16"/>
    </row>
    <row r="1349" spans="2:9" ht="24" customHeight="1">
      <c r="B1349" s="1033" t="str">
        <f>'Jaringan Listrik'!C3179</f>
        <v>5.1.1.12.53</v>
      </c>
      <c r="C1349" s="11" t="str">
        <f>VLOOKUP(B1349,'Jaringan Listrik'!C:K,2,FALSE)</f>
        <v>Pemasangan 1 Unit Kabel Tray (Horizontal) 400 x 100 mm TRC OCP</v>
      </c>
      <c r="D1349" s="9" t="s">
        <v>135</v>
      </c>
      <c r="E1349" s="1021">
        <f>VLOOKUP(C1349,'Jaringan Listrik'!$D$2:$I$5188,6,FALSE)</f>
        <v>47100</v>
      </c>
      <c r="F1349" s="1003" t="str">
        <f>VLOOKUP(C1349,'Jaringan Listrik'!$D:$K,7,FALSE)</f>
        <v>Baru</v>
      </c>
      <c r="G1349" s="12">
        <f>VLOOKUP(C1349,'Jaringan Listrik'!$D:$K,8,FALSE)</f>
        <v>0</v>
      </c>
      <c r="H1349" s="374"/>
      <c r="I1349" s="16"/>
    </row>
    <row r="1350" spans="2:9" ht="24" customHeight="1">
      <c r="B1350" s="1033" t="str">
        <f>'Jaringan Listrik'!C3196</f>
        <v>5.1.1.12.54</v>
      </c>
      <c r="C1350" s="11" t="str">
        <f>VLOOKUP(B1350,'Jaringan Listrik'!C:K,2,FALSE)</f>
        <v>Pemasangan 1 Unit Kabel Tray (Horizontal) 300 x 100 mm TRU Hot Dip Galvanized</v>
      </c>
      <c r="D1350" s="9" t="s">
        <v>135</v>
      </c>
      <c r="E1350" s="1021">
        <f>VLOOKUP(C1350,'Jaringan Listrik'!$D$2:$I$5188,6,FALSE)</f>
        <v>47100</v>
      </c>
      <c r="F1350" s="1003" t="str">
        <f>VLOOKUP(C1350,'Jaringan Listrik'!$D:$K,7,FALSE)</f>
        <v>Baru</v>
      </c>
      <c r="G1350" s="12">
        <f>VLOOKUP(C1350,'Jaringan Listrik'!$D:$K,8,FALSE)</f>
        <v>0</v>
      </c>
      <c r="H1350" s="374"/>
      <c r="I1350" s="16"/>
    </row>
    <row r="1351" spans="2:9" ht="24" customHeight="1">
      <c r="B1351" s="1033" t="str">
        <f>'Jaringan Listrik'!C3213</f>
        <v>5.1.1.12.55</v>
      </c>
      <c r="C1351" s="11" t="str">
        <f>VLOOKUP(B1351,'Jaringan Listrik'!C:K,2,FALSE)</f>
        <v>Pemasangan 1 Unit Kabel Tray (Horizontal) 300 x 100 mm TRU OCP</v>
      </c>
      <c r="D1351" s="9" t="s">
        <v>135</v>
      </c>
      <c r="E1351" s="1021">
        <f>VLOOKUP(C1351,'Jaringan Listrik'!$D$2:$I$5188,6,FALSE)</f>
        <v>47100</v>
      </c>
      <c r="F1351" s="1003" t="str">
        <f>VLOOKUP(C1351,'Jaringan Listrik'!$D:$K,7,FALSE)</f>
        <v>Baru</v>
      </c>
      <c r="G1351" s="12">
        <f>VLOOKUP(C1351,'Jaringan Listrik'!$D:$K,8,FALSE)</f>
        <v>0</v>
      </c>
      <c r="H1351" s="374"/>
      <c r="I1351" s="16"/>
    </row>
    <row r="1352" spans="2:9" ht="24" customHeight="1">
      <c r="B1352" s="1033" t="str">
        <f>'Jaringan Listrik'!C3230</f>
        <v>5.1.1.12.56</v>
      </c>
      <c r="C1352" s="11" t="str">
        <f>VLOOKUP(B1352,'Jaringan Listrik'!C:K,2,FALSE)</f>
        <v>Pemasangan 1 Unit Kabel Tray (Horizontal) 300 x 100 mm TRC Powder Coating</v>
      </c>
      <c r="D1352" s="9" t="s">
        <v>135</v>
      </c>
      <c r="E1352" s="1021">
        <f>VLOOKUP(C1352,'Jaringan Listrik'!$D$2:$I$5188,6,FALSE)</f>
        <v>47100</v>
      </c>
      <c r="F1352" s="1003" t="str">
        <f>VLOOKUP(C1352,'Jaringan Listrik'!$D:$K,7,FALSE)</f>
        <v>Baru</v>
      </c>
      <c r="G1352" s="12">
        <f>VLOOKUP(C1352,'Jaringan Listrik'!$D:$K,8,FALSE)</f>
        <v>0</v>
      </c>
      <c r="H1352" s="374"/>
      <c r="I1352" s="16"/>
    </row>
    <row r="1353" spans="2:9" ht="24" customHeight="1">
      <c r="B1353" s="1033" t="str">
        <f>'Jaringan Listrik'!C3247</f>
        <v>5.1.1.12.57</v>
      </c>
      <c r="C1353" s="11" t="str">
        <f>VLOOKUP(B1353,'Jaringan Listrik'!C:K,2,FALSE)</f>
        <v>Pemasangan 1 Unit Kabel Tray (Horizontal) 300 x 100 mm TRC Hot Dip Galvanized</v>
      </c>
      <c r="D1353" s="9" t="s">
        <v>135</v>
      </c>
      <c r="E1353" s="1021">
        <f>VLOOKUP(C1353,'Jaringan Listrik'!$D$2:$I$5188,6,FALSE)</f>
        <v>47100</v>
      </c>
      <c r="F1353" s="1003" t="str">
        <f>VLOOKUP(C1353,'Jaringan Listrik'!$D:$K,7,FALSE)</f>
        <v>Baru</v>
      </c>
      <c r="G1353" s="12">
        <f>VLOOKUP(C1353,'Jaringan Listrik'!$D:$K,8,FALSE)</f>
        <v>0</v>
      </c>
      <c r="H1353" s="374"/>
      <c r="I1353" s="16"/>
    </row>
    <row r="1354" spans="2:9" ht="24" customHeight="1">
      <c r="B1354" s="1033" t="str">
        <f>'Jaringan Listrik'!C3264</f>
        <v>5.1.1.12.58</v>
      </c>
      <c r="C1354" s="11" t="str">
        <f>VLOOKUP(B1354,'Jaringan Listrik'!C:K,2,FALSE)</f>
        <v>Pemasangan 1 Unit Kabel Tray (Horizontal) 300 x 100 mm TRC OCP</v>
      </c>
      <c r="D1354" s="9" t="s">
        <v>135</v>
      </c>
      <c r="E1354" s="1021">
        <f>VLOOKUP(C1354,'Jaringan Listrik'!$D$2:$I$5188,6,FALSE)</f>
        <v>47100</v>
      </c>
      <c r="F1354" s="1003" t="str">
        <f>VLOOKUP(C1354,'Jaringan Listrik'!$D:$K,7,FALSE)</f>
        <v>Baru</v>
      </c>
      <c r="G1354" s="12">
        <f>VLOOKUP(C1354,'Jaringan Listrik'!$D:$K,8,FALSE)</f>
        <v>0</v>
      </c>
      <c r="H1354" s="374"/>
      <c r="I1354" s="16"/>
    </row>
    <row r="1355" spans="2:9" ht="24" customHeight="1">
      <c r="B1355" s="1033" t="str">
        <f>'Jaringan Listrik'!C3281</f>
        <v>5.1.1.12.59</v>
      </c>
      <c r="C1355" s="11" t="str">
        <f>VLOOKUP(B1355,'Jaringan Listrik'!C:K,2,FALSE)</f>
        <v>Pemasangan 1 Unit Kabel Tray (Horizontal) 200 x 100 mm TRU Hot Dip Galvanized</v>
      </c>
      <c r="D1355" s="9" t="s">
        <v>135</v>
      </c>
      <c r="E1355" s="1021">
        <f>VLOOKUP(C1355,'Jaringan Listrik'!$D$2:$I$5188,6,FALSE)</f>
        <v>47100</v>
      </c>
      <c r="F1355" s="1003" t="str">
        <f>VLOOKUP(C1355,'Jaringan Listrik'!$D:$K,7,FALSE)</f>
        <v>Baru</v>
      </c>
      <c r="G1355" s="12">
        <f>VLOOKUP(C1355,'Jaringan Listrik'!$D:$K,8,FALSE)</f>
        <v>0</v>
      </c>
      <c r="H1355" s="374"/>
      <c r="I1355" s="16"/>
    </row>
    <row r="1356" spans="2:9" ht="24" customHeight="1">
      <c r="B1356" s="1033" t="str">
        <f>'Jaringan Listrik'!C3298</f>
        <v>5.1.1.12.60</v>
      </c>
      <c r="C1356" s="11" t="str">
        <f>VLOOKUP(B1356,'Jaringan Listrik'!C:K,2,FALSE)</f>
        <v>Pemasangan 1 Unit Kabel Tray (Horizontal) 200 x 100 mm TRU OCP</v>
      </c>
      <c r="D1356" s="9" t="s">
        <v>135</v>
      </c>
      <c r="E1356" s="1021">
        <f>VLOOKUP(C1356,'Jaringan Listrik'!$D$2:$I$5188,6,FALSE)</f>
        <v>47100</v>
      </c>
      <c r="F1356" s="1003" t="str">
        <f>VLOOKUP(C1356,'Jaringan Listrik'!$D:$K,7,FALSE)</f>
        <v>Baru</v>
      </c>
      <c r="G1356" s="12">
        <f>VLOOKUP(C1356,'Jaringan Listrik'!$D:$K,8,FALSE)</f>
        <v>0</v>
      </c>
      <c r="H1356" s="374"/>
      <c r="I1356" s="16"/>
    </row>
    <row r="1357" spans="2:9" ht="24" customHeight="1">
      <c r="B1357" s="1033" t="str">
        <f>'Jaringan Listrik'!C3315</f>
        <v>5.1.1.12.61</v>
      </c>
      <c r="C1357" s="11" t="str">
        <f>VLOOKUP(B1357,'Jaringan Listrik'!C:K,2,FALSE)</f>
        <v>Pemasangan 1 Unit Kabel Tray (Horizontal) 200 x 100 mm TRC Powder Coating</v>
      </c>
      <c r="D1357" s="9" t="s">
        <v>135</v>
      </c>
      <c r="E1357" s="1021">
        <f>VLOOKUP(C1357,'Jaringan Listrik'!$D$2:$I$5188,6,FALSE)</f>
        <v>47100</v>
      </c>
      <c r="F1357" s="1003" t="str">
        <f>VLOOKUP(C1357,'Jaringan Listrik'!$D:$K,7,FALSE)</f>
        <v>Baru</v>
      </c>
      <c r="G1357" s="12">
        <f>VLOOKUP(C1357,'Jaringan Listrik'!$D:$K,8,FALSE)</f>
        <v>0</v>
      </c>
      <c r="H1357" s="374"/>
      <c r="I1357" s="16"/>
    </row>
    <row r="1358" spans="2:9" ht="24" customHeight="1">
      <c r="B1358" s="1033" t="str">
        <f>'Jaringan Listrik'!C3332</f>
        <v>5.1.1.12.62</v>
      </c>
      <c r="C1358" s="11" t="str">
        <f>VLOOKUP(B1358,'Jaringan Listrik'!C:K,2,FALSE)</f>
        <v>Pemasangan 1 Unit Kabel Tray (Horizontal) 200 x 100 mm TRC Hot Dip Galvanized</v>
      </c>
      <c r="D1358" s="9" t="s">
        <v>135</v>
      </c>
      <c r="E1358" s="1021">
        <f>VLOOKUP(C1358,'Jaringan Listrik'!$D$2:$I$5188,6,FALSE)</f>
        <v>47100</v>
      </c>
      <c r="F1358" s="1003" t="str">
        <f>VLOOKUP(C1358,'Jaringan Listrik'!$D:$K,7,FALSE)</f>
        <v>Baru</v>
      </c>
      <c r="G1358" s="12">
        <f>VLOOKUP(C1358,'Jaringan Listrik'!$D:$K,8,FALSE)</f>
        <v>0</v>
      </c>
      <c r="H1358" s="374"/>
      <c r="I1358" s="16"/>
    </row>
    <row r="1359" spans="2:9" ht="24" customHeight="1">
      <c r="B1359" s="1033" t="str">
        <f>'Jaringan Listrik'!C3349</f>
        <v>5.1.1.12.63</v>
      </c>
      <c r="C1359" s="11" t="str">
        <f>VLOOKUP(B1359,'Jaringan Listrik'!C:K,2,FALSE)</f>
        <v>Pemasangan 1 Unit Kabel Tray (Horizontal) 200 x 100 mm TRC OCP</v>
      </c>
      <c r="D1359" s="9" t="s">
        <v>135</v>
      </c>
      <c r="E1359" s="1021">
        <f>VLOOKUP(C1359,'Jaringan Listrik'!$D$2:$I$5188,6,FALSE)</f>
        <v>47100</v>
      </c>
      <c r="F1359" s="1003" t="str">
        <f>VLOOKUP(C1359,'Jaringan Listrik'!$D:$K,7,FALSE)</f>
        <v>Baru</v>
      </c>
      <c r="G1359" s="12">
        <f>VLOOKUP(C1359,'Jaringan Listrik'!$D:$K,8,FALSE)</f>
        <v>0</v>
      </c>
      <c r="H1359" s="374"/>
      <c r="I1359" s="16"/>
    </row>
    <row r="1360" spans="2:9" ht="24" customHeight="1">
      <c r="B1360" s="1033" t="str">
        <f>'Jaringan Listrik'!C3366</f>
        <v>5.1.1.12.64</v>
      </c>
      <c r="C1360" s="11" t="str">
        <f>VLOOKUP(B1360,'Jaringan Listrik'!C:K,2,FALSE)</f>
        <v>Pemasangan 1 Unit Kabel Tray (Horizontal) 150 x 100 mm TRU Powder Coating</v>
      </c>
      <c r="D1360" s="9" t="s">
        <v>135</v>
      </c>
      <c r="E1360" s="1021">
        <f>VLOOKUP(C1360,'Jaringan Listrik'!$D$2:$I$5188,6,FALSE)</f>
        <v>47100</v>
      </c>
      <c r="F1360" s="1003" t="str">
        <f>VLOOKUP(C1360,'Jaringan Listrik'!$D:$K,7,FALSE)</f>
        <v>Baru</v>
      </c>
      <c r="G1360" s="12">
        <f>VLOOKUP(C1360,'Jaringan Listrik'!$D:$K,8,FALSE)</f>
        <v>0</v>
      </c>
      <c r="H1360" s="374"/>
      <c r="I1360" s="16"/>
    </row>
    <row r="1361" spans="2:9" ht="24" customHeight="1">
      <c r="B1361" s="1033" t="str">
        <f>'Jaringan Listrik'!C3383</f>
        <v>5.1.1.12.65</v>
      </c>
      <c r="C1361" s="11" t="str">
        <f>VLOOKUP(B1361,'Jaringan Listrik'!C:K,2,FALSE)</f>
        <v>Pemasangan 1 Unit Kabel Tray (Horizontal) 150 x 100 mm TRU Hot Dip Galvanized</v>
      </c>
      <c r="D1361" s="9" t="s">
        <v>135</v>
      </c>
      <c r="E1361" s="1021">
        <f>VLOOKUP(C1361,'Jaringan Listrik'!$D$2:$I$5188,6,FALSE)</f>
        <v>47100</v>
      </c>
      <c r="F1361" s="1003" t="str">
        <f>VLOOKUP(C1361,'Jaringan Listrik'!$D:$K,7,FALSE)</f>
        <v>Baru</v>
      </c>
      <c r="G1361" s="12">
        <f>VLOOKUP(C1361,'Jaringan Listrik'!$D:$K,8,FALSE)</f>
        <v>0</v>
      </c>
      <c r="H1361" s="374"/>
      <c r="I1361" s="16"/>
    </row>
    <row r="1362" spans="2:9" ht="24" customHeight="1">
      <c r="B1362" s="1033" t="str">
        <f>'Jaringan Listrik'!C3400</f>
        <v>5.1.1.12.66</v>
      </c>
      <c r="C1362" s="11" t="str">
        <f>VLOOKUP(B1362,'Jaringan Listrik'!C:K,2,FALSE)</f>
        <v>Pemasangan 1 Unit Kabel Tray (Horizontal) 150 x 100 mm TRU OCP</v>
      </c>
      <c r="D1362" s="9" t="s">
        <v>135</v>
      </c>
      <c r="E1362" s="1021">
        <f>VLOOKUP(C1362,'Jaringan Listrik'!$D$2:$I$5188,6,FALSE)</f>
        <v>47100</v>
      </c>
      <c r="F1362" s="1003" t="str">
        <f>VLOOKUP(C1362,'Jaringan Listrik'!$D:$K,7,FALSE)</f>
        <v>Baru</v>
      </c>
      <c r="G1362" s="12">
        <f>VLOOKUP(C1362,'Jaringan Listrik'!$D:$K,8,FALSE)</f>
        <v>0</v>
      </c>
      <c r="H1362" s="374"/>
      <c r="I1362" s="16"/>
    </row>
    <row r="1363" spans="2:9" ht="24" customHeight="1">
      <c r="B1363" s="1033" t="str">
        <f>'Jaringan Listrik'!C3417</f>
        <v>5.1.1.12.67</v>
      </c>
      <c r="C1363" s="11" t="str">
        <f>VLOOKUP(B1363,'Jaringan Listrik'!C:K,2,FALSE)</f>
        <v>Pemasangan 1 Unit Kabel Tray (Horizontal) 150 x 100 mm TRC Powder Coatingmasangan 1 Unit Kabel Tray (Horizontal) 150 x 100 mm TRU OCP</v>
      </c>
      <c r="D1363" s="9" t="s">
        <v>135</v>
      </c>
      <c r="E1363" s="1021">
        <f>VLOOKUP(C1363,'Jaringan Listrik'!$D$2:$I$5188,6,FALSE)</f>
        <v>47100</v>
      </c>
      <c r="F1363" s="1003" t="str">
        <f>VLOOKUP(C1363,'Jaringan Listrik'!$D:$K,7,FALSE)</f>
        <v>Baru</v>
      </c>
      <c r="G1363" s="12">
        <f>VLOOKUP(C1363,'Jaringan Listrik'!$D:$K,8,FALSE)</f>
        <v>0</v>
      </c>
      <c r="H1363" s="374"/>
      <c r="I1363" s="16"/>
    </row>
    <row r="1364" spans="2:9" ht="24" customHeight="1">
      <c r="B1364" s="1033" t="str">
        <f>'Jaringan Listrik'!C3434</f>
        <v>5.1.1.12.68</v>
      </c>
      <c r="C1364" s="11" t="str">
        <f>VLOOKUP(B1364,'Jaringan Listrik'!C:K,2,FALSE)</f>
        <v>Pemasangan 1 Unit Kabel Tray (Horizontal) 150 x 100 mm TRC Hot Dip Galvanized</v>
      </c>
      <c r="D1364" s="9" t="s">
        <v>135</v>
      </c>
      <c r="E1364" s="1021">
        <f>VLOOKUP(C1364,'Jaringan Listrik'!$D$2:$I$5188,6,FALSE)</f>
        <v>47100</v>
      </c>
      <c r="F1364" s="1003" t="str">
        <f>VLOOKUP(C1364,'Jaringan Listrik'!$D:$K,7,FALSE)</f>
        <v>Baru</v>
      </c>
      <c r="G1364" s="12">
        <f>VLOOKUP(C1364,'Jaringan Listrik'!$D:$K,8,FALSE)</f>
        <v>0</v>
      </c>
      <c r="H1364" s="374"/>
      <c r="I1364" s="16"/>
    </row>
    <row r="1365" spans="2:9" ht="24" customHeight="1">
      <c r="B1365" s="1033" t="str">
        <f>'Jaringan Listrik'!C3451</f>
        <v>5.1.1.12.69</v>
      </c>
      <c r="C1365" s="11" t="str">
        <f>VLOOKUP(B1365,'Jaringan Listrik'!C:K,2,FALSE)</f>
        <v>Pemasangan 1 Unit Kabel Tray (Horizontal) 150 x 100 mm TRC OCP</v>
      </c>
      <c r="D1365" s="9" t="s">
        <v>135</v>
      </c>
      <c r="E1365" s="1021">
        <f>VLOOKUP(C1365,'Jaringan Listrik'!$D$2:$I$5188,6,FALSE)</f>
        <v>70600</v>
      </c>
      <c r="F1365" s="1003" t="str">
        <f>VLOOKUP(C1365,'Jaringan Listrik'!$D:$K,7,FALSE)</f>
        <v>Baru</v>
      </c>
      <c r="G1365" s="12">
        <f>VLOOKUP(C1365,'Jaringan Listrik'!$D:$K,8,FALSE)</f>
        <v>0</v>
      </c>
      <c r="H1365" s="374"/>
      <c r="I1365" s="16"/>
    </row>
    <row r="1366" spans="2:9" ht="24" customHeight="1">
      <c r="B1366" s="1033" t="str">
        <f>'Jaringan Listrik'!C3468</f>
        <v>5.1.1.12.70</v>
      </c>
      <c r="C1366" s="11" t="str">
        <f>VLOOKUP(B1366,'Jaringan Listrik'!C:K,2,FALSE)</f>
        <v>Pemasangan 1 Unit Kabel Tray (Vertikal) 1000 x 100 mm TRU Powder Coating</v>
      </c>
      <c r="D1366" s="9" t="s">
        <v>135</v>
      </c>
      <c r="E1366" s="1021">
        <f>VLOOKUP(C1366,'Jaringan Listrik'!$D$2:$I$5188,6,FALSE)</f>
        <v>47100</v>
      </c>
      <c r="F1366" s="1003" t="str">
        <f>VLOOKUP(C1366,'Jaringan Listrik'!$D:$K,7,FALSE)</f>
        <v>Baru</v>
      </c>
      <c r="G1366" s="12">
        <f>VLOOKUP(C1366,'Jaringan Listrik'!$D:$K,8,FALSE)</f>
        <v>0</v>
      </c>
      <c r="H1366" s="374"/>
      <c r="I1366" s="16"/>
    </row>
    <row r="1367" spans="2:9" ht="24" customHeight="1">
      <c r="B1367" s="1033" t="str">
        <f>'Jaringan Listrik'!C3485</f>
        <v>5.1.1.12.71</v>
      </c>
      <c r="C1367" s="11" t="str">
        <f>VLOOKUP(B1367,'Jaringan Listrik'!C:K,2,FALSE)</f>
        <v>Pemasangan 1 Unit Kabel Tray (Vertikal) 1000 x 100 mm TRU Hot Dip Galvanized</v>
      </c>
      <c r="D1367" s="9" t="s">
        <v>135</v>
      </c>
      <c r="E1367" s="1021">
        <f>VLOOKUP(C1367,'Jaringan Listrik'!$D$2:$I$5188,6,FALSE)</f>
        <v>70600</v>
      </c>
      <c r="F1367" s="1003" t="str">
        <f>VLOOKUP(C1367,'Jaringan Listrik'!$D:$K,7,FALSE)</f>
        <v>Baru</v>
      </c>
      <c r="G1367" s="12">
        <f>VLOOKUP(C1367,'Jaringan Listrik'!$D:$K,8,FALSE)</f>
        <v>0</v>
      </c>
      <c r="H1367" s="374"/>
      <c r="I1367" s="16"/>
    </row>
    <row r="1368" spans="2:9" ht="24" customHeight="1">
      <c r="B1368" s="1033" t="str">
        <f>'Jaringan Listrik'!C3502</f>
        <v>5.1.1.12.72</v>
      </c>
      <c r="C1368" s="11" t="str">
        <f>VLOOKUP(B1368,'Jaringan Listrik'!C:K,2,FALSE)</f>
        <v>Pemasangan 1 Unit Kabel Tray (Vertikal) 1000 x 100 mm TRU OCP</v>
      </c>
      <c r="D1368" s="9" t="s">
        <v>135</v>
      </c>
      <c r="E1368" s="1021">
        <f>VLOOKUP(C1368,'Jaringan Listrik'!$D$2:$I$5188,6,FALSE)</f>
        <v>70600</v>
      </c>
      <c r="F1368" s="1003" t="str">
        <f>VLOOKUP(C1368,'Jaringan Listrik'!$D:$K,7,FALSE)</f>
        <v>Baru</v>
      </c>
      <c r="G1368" s="12">
        <f>VLOOKUP(C1368,'Jaringan Listrik'!$D:$K,8,FALSE)</f>
        <v>0</v>
      </c>
      <c r="H1368" s="374"/>
      <c r="I1368" s="16"/>
    </row>
    <row r="1369" spans="2:9" ht="24" customHeight="1">
      <c r="B1369" s="1033" t="str">
        <f>'Jaringan Listrik'!C3519</f>
        <v>5.1.1.12.73</v>
      </c>
      <c r="C1369" s="11" t="str">
        <f>VLOOKUP(B1369,'Jaringan Listrik'!C:K,2,FALSE)</f>
        <v>Pemasangan 1 Unit Kabel Tray (Vertikal) 1000 x 100 mm TRC Powder Coating</v>
      </c>
      <c r="D1369" s="9" t="s">
        <v>135</v>
      </c>
      <c r="E1369" s="1021">
        <f>VLOOKUP(C1369,'Jaringan Listrik'!$D$2:$I$5188,6,FALSE)</f>
        <v>70600</v>
      </c>
      <c r="F1369" s="1003" t="str">
        <f>VLOOKUP(C1369,'Jaringan Listrik'!$D:$K,7,FALSE)</f>
        <v>Baru</v>
      </c>
      <c r="G1369" s="12">
        <f>VLOOKUP(C1369,'Jaringan Listrik'!$D:$K,8,FALSE)</f>
        <v>0</v>
      </c>
      <c r="H1369" s="374"/>
      <c r="I1369" s="16"/>
    </row>
    <row r="1370" spans="2:9" ht="24" customHeight="1">
      <c r="B1370" s="1033" t="str">
        <f>'Jaringan Listrik'!C3536</f>
        <v>5.1.1.12.74</v>
      </c>
      <c r="C1370" s="11" t="str">
        <f>VLOOKUP(B1370,'Jaringan Listrik'!C:K,2,FALSE)</f>
        <v>Pemasangan 1 Unit Kabel Tray (Vertikal) 1000 x 100 mm TRC Hot Dip Galvanized\</v>
      </c>
      <c r="D1370" s="9" t="s">
        <v>135</v>
      </c>
      <c r="E1370" s="1021">
        <f>VLOOKUP(C1370,'Jaringan Listrik'!$D$2:$I$5188,6,FALSE)</f>
        <v>70600</v>
      </c>
      <c r="F1370" s="1003" t="str">
        <f>VLOOKUP(C1370,'Jaringan Listrik'!$D:$K,7,FALSE)</f>
        <v>Baru</v>
      </c>
      <c r="G1370" s="12">
        <f>VLOOKUP(C1370,'Jaringan Listrik'!$D:$K,8,FALSE)</f>
        <v>0</v>
      </c>
      <c r="H1370" s="374"/>
      <c r="I1370" s="16"/>
    </row>
    <row r="1371" spans="2:9" ht="24" customHeight="1">
      <c r="B1371" s="1033" t="str">
        <f>'Jaringan Listrik'!C3553</f>
        <v>5.1.1.12.75</v>
      </c>
      <c r="C1371" s="11" t="str">
        <f>VLOOKUP(B1371,'Jaringan Listrik'!C:K,2,FALSE)</f>
        <v>Pemasangan 1 Unit Kabel Tray (Vertikal) 1000 x 100 mm TRC OCP</v>
      </c>
      <c r="D1371" s="9" t="s">
        <v>135</v>
      </c>
      <c r="E1371" s="1021">
        <f>VLOOKUP(C1371,'Jaringan Listrik'!$D$2:$I$5188,6,FALSE)</f>
        <v>70600</v>
      </c>
      <c r="F1371" s="1003" t="str">
        <f>VLOOKUP(C1371,'Jaringan Listrik'!$D:$K,7,FALSE)</f>
        <v>Baru</v>
      </c>
      <c r="G1371" s="12">
        <f>VLOOKUP(C1371,'Jaringan Listrik'!$D:$K,8,FALSE)</f>
        <v>0</v>
      </c>
      <c r="H1371" s="374"/>
      <c r="I1371" s="16"/>
    </row>
    <row r="1372" spans="2:9" ht="24" customHeight="1">
      <c r="B1372" s="1033" t="str">
        <f>'Jaringan Listrik'!C3570</f>
        <v>5.1.1.12.76</v>
      </c>
      <c r="C1372" s="11" t="str">
        <f>VLOOKUP(B1372,'Jaringan Listrik'!C:K,2,FALSE)</f>
        <v>Pemasangan 1 Unit Kabel Tray (Vertikal) 900 x 100 mm TRU Powder Coating</v>
      </c>
      <c r="D1372" s="9" t="s">
        <v>135</v>
      </c>
      <c r="E1372" s="1021">
        <f>VLOOKUP(C1372,'Jaringan Listrik'!$D$2:$I$5188,6,FALSE)</f>
        <v>70600</v>
      </c>
      <c r="F1372" s="1003" t="str">
        <f>VLOOKUP(C1372,'Jaringan Listrik'!$D:$K,7,FALSE)</f>
        <v>Baru</v>
      </c>
      <c r="G1372" s="12">
        <f>VLOOKUP(C1372,'Jaringan Listrik'!$D:$K,8,FALSE)</f>
        <v>0</v>
      </c>
      <c r="H1372" s="374"/>
      <c r="I1372" s="16"/>
    </row>
    <row r="1373" spans="2:9" ht="24" customHeight="1">
      <c r="B1373" s="1033" t="str">
        <f>'Jaringan Listrik'!C3587</f>
        <v>5.1.1.12.77</v>
      </c>
      <c r="C1373" s="11" t="str">
        <f>VLOOKUP(B1373,'Jaringan Listrik'!C:K,2,FALSE)</f>
        <v>Pemasangan 1 Unit Kabel Tray (Vertikal) 900 x 100 mm TRU Hot Dip Galvanized</v>
      </c>
      <c r="D1373" s="9" t="s">
        <v>135</v>
      </c>
      <c r="E1373" s="1021">
        <f>VLOOKUP(C1373,'Jaringan Listrik'!$D$2:$I$5188,6,FALSE)</f>
        <v>70600</v>
      </c>
      <c r="F1373" s="1003" t="str">
        <f>VLOOKUP(C1373,'Jaringan Listrik'!$D:$K,7,FALSE)</f>
        <v>Baru</v>
      </c>
      <c r="G1373" s="12">
        <f>VLOOKUP(C1373,'Jaringan Listrik'!$D:$K,8,FALSE)</f>
        <v>0</v>
      </c>
      <c r="H1373" s="374"/>
      <c r="I1373" s="16"/>
    </row>
    <row r="1374" spans="2:9" ht="24" customHeight="1">
      <c r="B1374" s="1033" t="str">
        <f>'Jaringan Listrik'!C3604</f>
        <v>5.1.1.12.78</v>
      </c>
      <c r="C1374" s="11" t="str">
        <f>VLOOKUP(B1374,'Jaringan Listrik'!C:K,2,FALSE)</f>
        <v>Pemasangan 1 Unit Kabel Tray (Vertikal) 900 x 100 mm TRU OCP</v>
      </c>
      <c r="D1374" s="9" t="s">
        <v>135</v>
      </c>
      <c r="E1374" s="1021">
        <f>VLOOKUP(C1374,'Jaringan Listrik'!$D$2:$I$5188,6,FALSE)</f>
        <v>70600</v>
      </c>
      <c r="F1374" s="1003" t="str">
        <f>VLOOKUP(C1374,'Jaringan Listrik'!$D:$K,7,FALSE)</f>
        <v>Baru</v>
      </c>
      <c r="G1374" s="12">
        <f>VLOOKUP(C1374,'Jaringan Listrik'!$D:$K,8,FALSE)</f>
        <v>0</v>
      </c>
      <c r="H1374" s="374"/>
      <c r="I1374" s="16"/>
    </row>
    <row r="1375" spans="2:9" ht="24" customHeight="1">
      <c r="B1375" s="1033" t="str">
        <f>'Jaringan Listrik'!C3621</f>
        <v>5.1.1.12.79</v>
      </c>
      <c r="C1375" s="11" t="str">
        <f>VLOOKUP(B1375,'Jaringan Listrik'!C:K,2,FALSE)</f>
        <v>Pemasangan 1 Unit Kabel Tray (Vertikal) 900 x 100 mm TRC Powder Coating</v>
      </c>
      <c r="D1375" s="9" t="s">
        <v>135</v>
      </c>
      <c r="E1375" s="1021">
        <f>VLOOKUP(C1375,'Jaringan Listrik'!$D$2:$I$5188,6,FALSE)</f>
        <v>70600</v>
      </c>
      <c r="F1375" s="1003" t="str">
        <f>VLOOKUP(C1375,'Jaringan Listrik'!$D:$K,7,FALSE)</f>
        <v>Baru</v>
      </c>
      <c r="G1375" s="12">
        <f>VLOOKUP(C1375,'Jaringan Listrik'!$D:$K,8,FALSE)</f>
        <v>0</v>
      </c>
      <c r="H1375" s="374"/>
      <c r="I1375" s="16"/>
    </row>
    <row r="1376" spans="2:9" ht="24" customHeight="1">
      <c r="B1376" s="1033" t="str">
        <f>'Jaringan Listrik'!C3638</f>
        <v>5.1.1.12.80</v>
      </c>
      <c r="C1376" s="11" t="str">
        <f>VLOOKUP(B1376,'Jaringan Listrik'!C:K,2,FALSE)</f>
        <v>Pemasangan 1 Unit Kabel Tray (Vertikal) 900 x 100 mm TRC Hot Dip Galvanized</v>
      </c>
      <c r="D1376" s="9" t="s">
        <v>135</v>
      </c>
      <c r="E1376" s="1021">
        <f>VLOOKUP(C1376,'Jaringan Listrik'!$D$2:$I$5188,6,FALSE)</f>
        <v>70600</v>
      </c>
      <c r="F1376" s="1003" t="str">
        <f>VLOOKUP(C1376,'Jaringan Listrik'!$D:$K,7,FALSE)</f>
        <v>Baru</v>
      </c>
      <c r="G1376" s="12">
        <f>VLOOKUP(C1376,'Jaringan Listrik'!$D:$K,8,FALSE)</f>
        <v>0</v>
      </c>
      <c r="H1376" s="374"/>
      <c r="I1376" s="16"/>
    </row>
    <row r="1377" spans="2:9" ht="24" customHeight="1">
      <c r="B1377" s="1033" t="str">
        <f>'Jaringan Listrik'!C3655</f>
        <v>5.1.1.12.81</v>
      </c>
      <c r="C1377" s="11" t="str">
        <f>VLOOKUP(B1377,'Jaringan Listrik'!C:K,2,FALSE)</f>
        <v>Pemasangan 1 Unit Kabel Tray (Vertikal) 900 x 100 mm TRC OCP</v>
      </c>
      <c r="D1377" s="9" t="s">
        <v>135</v>
      </c>
      <c r="E1377" s="1021">
        <f>VLOOKUP(C1377,'Jaringan Listrik'!$D$2:$I$5188,6,FALSE)</f>
        <v>70600</v>
      </c>
      <c r="F1377" s="1003" t="str">
        <f>VLOOKUP(C1377,'Jaringan Listrik'!$D:$K,7,FALSE)</f>
        <v>Baru</v>
      </c>
      <c r="G1377" s="12">
        <f>VLOOKUP(C1377,'Jaringan Listrik'!$D:$K,8,FALSE)</f>
        <v>0</v>
      </c>
      <c r="H1377" s="374"/>
      <c r="I1377" s="16"/>
    </row>
    <row r="1378" spans="2:9" ht="24" customHeight="1">
      <c r="B1378" s="1033" t="str">
        <f>'Jaringan Listrik'!C3672</f>
        <v>5.1.1.12.82</v>
      </c>
      <c r="C1378" s="11" t="str">
        <f>VLOOKUP(B1378,'Jaringan Listrik'!C:K,2,FALSE)</f>
        <v>Pemasangan 1 Unit Kabel Tray (Vertikal) 800 x 100 mm TRU Powder Coating</v>
      </c>
      <c r="D1378" s="9" t="s">
        <v>135</v>
      </c>
      <c r="E1378" s="1021">
        <f>VLOOKUP(C1378,'Jaringan Listrik'!$D$2:$I$5188,6,FALSE)</f>
        <v>70600</v>
      </c>
      <c r="F1378" s="1003" t="str">
        <f>VLOOKUP(C1378,'Jaringan Listrik'!$D:$K,7,FALSE)</f>
        <v>Baru</v>
      </c>
      <c r="G1378" s="12">
        <f>VLOOKUP(C1378,'Jaringan Listrik'!$D:$K,8,FALSE)</f>
        <v>0</v>
      </c>
      <c r="H1378" s="374"/>
      <c r="I1378" s="16"/>
    </row>
    <row r="1379" spans="2:9" ht="24" customHeight="1">
      <c r="B1379" s="1033" t="str">
        <f>'Jaringan Listrik'!C3689</f>
        <v>5.1.1.12.83</v>
      </c>
      <c r="C1379" s="11" t="str">
        <f>VLOOKUP(B1379,'Jaringan Listrik'!C:K,2,FALSE)</f>
        <v>Pemasangan 1 Unit Kabel Tray (Vertikal) 800 x 100 mm TRU Hot Dip Galvanized</v>
      </c>
      <c r="D1379" s="9" t="s">
        <v>135</v>
      </c>
      <c r="E1379" s="1021">
        <f>VLOOKUP(C1379,'Jaringan Listrik'!$D$2:$I$5188,6,FALSE)</f>
        <v>70600</v>
      </c>
      <c r="F1379" s="1003" t="str">
        <f>VLOOKUP(C1379,'Jaringan Listrik'!$D:$K,7,FALSE)</f>
        <v>Baru</v>
      </c>
      <c r="G1379" s="12">
        <f>VLOOKUP(C1379,'Jaringan Listrik'!$D:$K,8,FALSE)</f>
        <v>0</v>
      </c>
      <c r="H1379" s="374"/>
      <c r="I1379" s="16"/>
    </row>
    <row r="1380" spans="2:9" ht="24" customHeight="1">
      <c r="B1380" s="1033" t="str">
        <f>'Jaringan Listrik'!C3706</f>
        <v>5.1.1.12.84</v>
      </c>
      <c r="C1380" s="11" t="str">
        <f>VLOOKUP(B1380,'Jaringan Listrik'!C:K,2,FALSE)</f>
        <v>Pemasangan 1 Unit Kabel Tray (Vertikal) 800 x 100 mm TRU OCP</v>
      </c>
      <c r="D1380" s="9" t="s">
        <v>135</v>
      </c>
      <c r="E1380" s="1021">
        <f>VLOOKUP(C1380,'Jaringan Listrik'!$D$2:$I$5188,6,FALSE)</f>
        <v>70600</v>
      </c>
      <c r="F1380" s="1003" t="str">
        <f>VLOOKUP(C1380,'Jaringan Listrik'!$D:$K,7,FALSE)</f>
        <v>Baru</v>
      </c>
      <c r="G1380" s="12">
        <f>VLOOKUP(C1380,'Jaringan Listrik'!$D:$K,8,FALSE)</f>
        <v>0</v>
      </c>
      <c r="H1380" s="374"/>
      <c r="I1380" s="16"/>
    </row>
    <row r="1381" spans="2:9" ht="24" customHeight="1">
      <c r="B1381" s="1033" t="str">
        <f>'Jaringan Listrik'!C3723</f>
        <v>5.1.1.12.85</v>
      </c>
      <c r="C1381" s="11" t="str">
        <f>VLOOKUP(B1381,'Jaringan Listrik'!C:K,2,FALSE)</f>
        <v>Pemasangan 1 Unit Kabel Tray (Vertikal) 800 x 100 mm TRC Powder Coating</v>
      </c>
      <c r="D1381" s="9" t="s">
        <v>135</v>
      </c>
      <c r="E1381" s="1021">
        <f>VLOOKUP(C1381,'Jaringan Listrik'!$D$2:$I$5188,6,FALSE)</f>
        <v>70600</v>
      </c>
      <c r="F1381" s="1003" t="str">
        <f>VLOOKUP(C1381,'Jaringan Listrik'!$D:$K,7,FALSE)</f>
        <v>Baru</v>
      </c>
      <c r="G1381" s="12">
        <f>VLOOKUP(C1381,'Jaringan Listrik'!$D:$K,8,FALSE)</f>
        <v>0</v>
      </c>
      <c r="H1381" s="374"/>
      <c r="I1381" s="16"/>
    </row>
    <row r="1382" spans="2:9" ht="24" customHeight="1">
      <c r="B1382" s="1033" t="str">
        <f>'Jaringan Listrik'!C3740</f>
        <v>5.1.1.12.86</v>
      </c>
      <c r="C1382" s="11" t="str">
        <f>VLOOKUP(B1382,'Jaringan Listrik'!C:K,2,FALSE)</f>
        <v>Pemasangan 1 Unit Kabel Tray (Vertikal) 800 x 100 mm TRC Hot Dip Galvanized</v>
      </c>
      <c r="D1382" s="9" t="s">
        <v>135</v>
      </c>
      <c r="E1382" s="1021">
        <f>VLOOKUP(C1382,'Jaringan Listrik'!$D$2:$I$5188,6,FALSE)</f>
        <v>70600</v>
      </c>
      <c r="F1382" s="1003" t="str">
        <f>VLOOKUP(C1382,'Jaringan Listrik'!$D:$K,7,FALSE)</f>
        <v>Baru</v>
      </c>
      <c r="G1382" s="12">
        <f>VLOOKUP(C1382,'Jaringan Listrik'!$D:$K,8,FALSE)</f>
        <v>0</v>
      </c>
      <c r="H1382" s="374"/>
      <c r="I1382" s="16"/>
    </row>
    <row r="1383" spans="2:9" ht="24" customHeight="1">
      <c r="B1383" s="1033" t="str">
        <f>'Jaringan Listrik'!C3757</f>
        <v>5.1.1.12.87</v>
      </c>
      <c r="C1383" s="11" t="str">
        <f>VLOOKUP(B1383,'Jaringan Listrik'!C:K,2,FALSE)</f>
        <v>Pemasangan 1 Unit Kabel Tray (Vertikal) 800 x 100 mm TRC OCP</v>
      </c>
      <c r="D1383" s="9" t="s">
        <v>135</v>
      </c>
      <c r="E1383" s="1021">
        <f>VLOOKUP(C1383,'Jaringan Listrik'!$D$2:$I$5188,6,FALSE)</f>
        <v>70600</v>
      </c>
      <c r="F1383" s="1003" t="str">
        <f>VLOOKUP(C1383,'Jaringan Listrik'!$D:$K,7,FALSE)</f>
        <v>Baru</v>
      </c>
      <c r="G1383" s="12">
        <f>VLOOKUP(C1383,'Jaringan Listrik'!$D:$K,8,FALSE)</f>
        <v>0</v>
      </c>
      <c r="H1383" s="374"/>
      <c r="I1383" s="16"/>
    </row>
    <row r="1384" spans="2:9" ht="24" customHeight="1">
      <c r="B1384" s="1033" t="str">
        <f>'Jaringan Listrik'!C3774</f>
        <v>5.1.1.12.88</v>
      </c>
      <c r="C1384" s="11" t="str">
        <f>VLOOKUP(B1384,'Jaringan Listrik'!C:K,2,FALSE)</f>
        <v>Pemasangan 1 Unit Kabel Tray (Vertikal) 700 x 100 mm TRU Powder Coating</v>
      </c>
      <c r="D1384" s="9" t="s">
        <v>135</v>
      </c>
      <c r="E1384" s="1021">
        <f>VLOOKUP(C1384,'Jaringan Listrik'!$D$2:$I$5188,6,FALSE)</f>
        <v>47100</v>
      </c>
      <c r="F1384" s="1003" t="str">
        <f>VLOOKUP(C1384,'Jaringan Listrik'!$D:$K,7,FALSE)</f>
        <v>Baru</v>
      </c>
      <c r="G1384" s="12">
        <f>VLOOKUP(C1384,'Jaringan Listrik'!$D:$K,8,FALSE)</f>
        <v>0</v>
      </c>
      <c r="H1384" s="374"/>
      <c r="I1384" s="16"/>
    </row>
    <row r="1385" spans="2:9" ht="24" customHeight="1">
      <c r="B1385" s="1033" t="str">
        <f>'Jaringan Listrik'!C3791</f>
        <v>5.1.1.12.89</v>
      </c>
      <c r="C1385" s="11" t="str">
        <f>VLOOKUP(B1385,'Jaringan Listrik'!C:K,2,FALSE)</f>
        <v>Pemasangan 1 Unit Kabel Tray (Vertikal) 700 x 100 mm TRU Hot Dip Galvanized</v>
      </c>
      <c r="D1385" s="9" t="s">
        <v>135</v>
      </c>
      <c r="E1385" s="1021">
        <f>VLOOKUP(C1385,'Jaringan Listrik'!$D$2:$I$5188,6,FALSE)</f>
        <v>47100</v>
      </c>
      <c r="F1385" s="1003" t="str">
        <f>VLOOKUP(C1385,'Jaringan Listrik'!$D:$K,7,FALSE)</f>
        <v>Baru</v>
      </c>
      <c r="G1385" s="12">
        <f>VLOOKUP(C1385,'Jaringan Listrik'!$D:$K,8,FALSE)</f>
        <v>0</v>
      </c>
      <c r="H1385" s="374"/>
      <c r="I1385" s="16"/>
    </row>
    <row r="1386" spans="2:9" ht="24" customHeight="1">
      <c r="B1386" s="1033" t="str">
        <f>'Jaringan Listrik'!C3808</f>
        <v>5.1.1.12.90</v>
      </c>
      <c r="C1386" s="11" t="str">
        <f>VLOOKUP(B1386,'Jaringan Listrik'!C:K,2,FALSE)</f>
        <v>Pemasangan 1 Unit Kabel Tray (Vertikal) 700 x 100 mm TRU OCP</v>
      </c>
      <c r="D1386" s="9" t="s">
        <v>135</v>
      </c>
      <c r="E1386" s="1021">
        <f>VLOOKUP(C1386,'Jaringan Listrik'!$D$2:$I$5188,6,FALSE)</f>
        <v>47100</v>
      </c>
      <c r="F1386" s="1003" t="str">
        <f>VLOOKUP(C1386,'Jaringan Listrik'!$D:$K,7,FALSE)</f>
        <v>Baru</v>
      </c>
      <c r="G1386" s="12">
        <f>VLOOKUP(C1386,'Jaringan Listrik'!$D:$K,8,FALSE)</f>
        <v>0</v>
      </c>
      <c r="H1386" s="374"/>
      <c r="I1386" s="16"/>
    </row>
    <row r="1387" spans="2:9" ht="24" customHeight="1">
      <c r="B1387" s="1033" t="str">
        <f>'Jaringan Listrik'!C3825</f>
        <v>5.1.1.12.91</v>
      </c>
      <c r="C1387" s="11" t="str">
        <f>VLOOKUP(B1387,'Jaringan Listrik'!C:K,2,FALSE)</f>
        <v>Pemasangan 1 Unit Kabel Tray (Vertikal) 700 x 100 mm TRC Powder Coating</v>
      </c>
      <c r="D1387" s="9" t="s">
        <v>135</v>
      </c>
      <c r="E1387" s="1021">
        <f>VLOOKUP(C1387,'Jaringan Listrik'!$D$2:$I$5188,6,FALSE)</f>
        <v>47100</v>
      </c>
      <c r="F1387" s="1003" t="str">
        <f>VLOOKUP(C1387,'Jaringan Listrik'!$D:$K,7,FALSE)</f>
        <v>Baru</v>
      </c>
      <c r="G1387" s="12">
        <f>VLOOKUP(C1387,'Jaringan Listrik'!$D:$K,8,FALSE)</f>
        <v>0</v>
      </c>
      <c r="H1387" s="374"/>
      <c r="I1387" s="16"/>
    </row>
    <row r="1388" spans="2:9" ht="24" customHeight="1">
      <c r="B1388" s="1033" t="str">
        <f>'Jaringan Listrik'!C3842</f>
        <v>5.1.1.12.92</v>
      </c>
      <c r="C1388" s="11" t="str">
        <f>VLOOKUP(B1388,'Jaringan Listrik'!C:K,2,FALSE)</f>
        <v>Pemasangan 1 Unit Kabel Tray (Vertikal) 700 x 100 mm TRC Hot Dip Galvanized</v>
      </c>
      <c r="D1388" s="9" t="s">
        <v>135</v>
      </c>
      <c r="E1388" s="1021">
        <f>VLOOKUP(C1388,'Jaringan Listrik'!$D$2:$I$5188,6,FALSE)</f>
        <v>47100</v>
      </c>
      <c r="F1388" s="1003" t="str">
        <f>VLOOKUP(C1388,'Jaringan Listrik'!$D:$K,7,FALSE)</f>
        <v>Baru</v>
      </c>
      <c r="G1388" s="12">
        <f>VLOOKUP(C1388,'Jaringan Listrik'!$D:$K,8,FALSE)</f>
        <v>0</v>
      </c>
      <c r="H1388" s="374"/>
      <c r="I1388" s="16"/>
    </row>
    <row r="1389" spans="2:9" ht="24" customHeight="1">
      <c r="B1389" s="1033" t="str">
        <f>'Jaringan Listrik'!C3859</f>
        <v>5.1.1.12.93</v>
      </c>
      <c r="C1389" s="11" t="str">
        <f>VLOOKUP(B1389,'Jaringan Listrik'!C:K,2,FALSE)</f>
        <v>Pemasangan 1 Unit Kabel Tray (Vertikal) 700 x 100 mm TRC OCP</v>
      </c>
      <c r="D1389" s="9" t="s">
        <v>135</v>
      </c>
      <c r="E1389" s="1021">
        <f>VLOOKUP(C1389,'Jaringan Listrik'!$D$2:$I$5188,6,FALSE)</f>
        <v>47100</v>
      </c>
      <c r="F1389" s="1003" t="str">
        <f>VLOOKUP(C1389,'Jaringan Listrik'!$D:$K,7,FALSE)</f>
        <v>Baru</v>
      </c>
      <c r="G1389" s="12">
        <f>VLOOKUP(C1389,'Jaringan Listrik'!$D:$K,8,FALSE)</f>
        <v>0</v>
      </c>
      <c r="H1389" s="374"/>
      <c r="I1389" s="16"/>
    </row>
    <row r="1390" spans="2:9" ht="24" customHeight="1">
      <c r="B1390" s="1033" t="str">
        <f>'Jaringan Listrik'!C3876</f>
        <v>5.1.1.12.94</v>
      </c>
      <c r="C1390" s="11" t="str">
        <f>VLOOKUP(B1390,'Jaringan Listrik'!C:K,2,FALSE)</f>
        <v>Pemasangan 1 Unit Kabel Tray (Vertikal) 600 x 100 mm TRU Hot Dip Galvanized</v>
      </c>
      <c r="D1390" s="9" t="s">
        <v>135</v>
      </c>
      <c r="E1390" s="1021">
        <f>VLOOKUP(C1390,'Jaringan Listrik'!$D$2:$I$5188,6,FALSE)</f>
        <v>47100</v>
      </c>
      <c r="F1390" s="1003" t="str">
        <f>VLOOKUP(C1390,'Jaringan Listrik'!$D:$K,7,FALSE)</f>
        <v>Baru</v>
      </c>
      <c r="G1390" s="12">
        <f>VLOOKUP(C1390,'Jaringan Listrik'!$D:$K,8,FALSE)</f>
        <v>0</v>
      </c>
      <c r="H1390" s="374"/>
      <c r="I1390" s="16"/>
    </row>
    <row r="1391" spans="2:9" ht="24" customHeight="1">
      <c r="B1391" s="1033" t="str">
        <f>'Jaringan Listrik'!C3893</f>
        <v>5.1.1.12.95</v>
      </c>
      <c r="C1391" s="11" t="str">
        <f>VLOOKUP(B1391,'Jaringan Listrik'!C:K,2,FALSE)</f>
        <v>Pemasangan 1 Unit Kabel Tray (Vertikal) 600 x 100 mm TRU OCP</v>
      </c>
      <c r="D1391" s="9" t="s">
        <v>135</v>
      </c>
      <c r="E1391" s="1021">
        <f>VLOOKUP(C1391,'Jaringan Listrik'!$D$2:$I$5188,6,FALSE)</f>
        <v>47100</v>
      </c>
      <c r="F1391" s="1003" t="str">
        <f>VLOOKUP(C1391,'Jaringan Listrik'!$D:$K,7,FALSE)</f>
        <v>Baru</v>
      </c>
      <c r="G1391" s="12">
        <f>VLOOKUP(C1391,'Jaringan Listrik'!$D:$K,8,FALSE)</f>
        <v>0</v>
      </c>
      <c r="H1391" s="374"/>
      <c r="I1391" s="16"/>
    </row>
    <row r="1392" spans="2:9" ht="24" customHeight="1">
      <c r="B1392" s="1033" t="str">
        <f>'Jaringan Listrik'!C3910</f>
        <v>5.1.1.12.96</v>
      </c>
      <c r="C1392" s="11" t="str">
        <f>VLOOKUP(B1392,'Jaringan Listrik'!C:K,2,FALSE)</f>
        <v>Pemasangan 1 Unit Kabel Tray (Vertikal) 600 x 100 mm TRC
Powder Coating</v>
      </c>
      <c r="D1392" s="9" t="s">
        <v>135</v>
      </c>
      <c r="E1392" s="1021">
        <f>VLOOKUP(C1392,'Jaringan Listrik'!$D$2:$I$5188,6,FALSE)</f>
        <v>47100</v>
      </c>
      <c r="F1392" s="1003" t="str">
        <f>VLOOKUP(C1392,'Jaringan Listrik'!$D:$K,7,FALSE)</f>
        <v>Baru</v>
      </c>
      <c r="G1392" s="12">
        <f>VLOOKUP(C1392,'Jaringan Listrik'!$D:$K,8,FALSE)</f>
        <v>0</v>
      </c>
      <c r="H1392" s="374"/>
      <c r="I1392" s="16"/>
    </row>
    <row r="1393" spans="2:9" ht="24" customHeight="1">
      <c r="B1393" s="1033" t="str">
        <f>'Jaringan Listrik'!C3927</f>
        <v>5.1.1.12.97</v>
      </c>
      <c r="C1393" s="11" t="str">
        <f>VLOOKUP(B1393,'Jaringan Listrik'!C:K,2,FALSE)</f>
        <v>Pemasangan 1 Unit Kabel Tray (Vertikal) 600 x 100 mm TRC
Hot Dip Galvanized</v>
      </c>
      <c r="D1393" s="9" t="s">
        <v>135</v>
      </c>
      <c r="E1393" s="1021">
        <f>VLOOKUP(C1393,'Jaringan Listrik'!$D$2:$I$5188,6,FALSE)</f>
        <v>47100</v>
      </c>
      <c r="F1393" s="1003" t="str">
        <f>VLOOKUP(C1393,'Jaringan Listrik'!$D:$K,7,FALSE)</f>
        <v>Baru</v>
      </c>
      <c r="G1393" s="12">
        <f>VLOOKUP(C1393,'Jaringan Listrik'!$D:$K,8,FALSE)</f>
        <v>0</v>
      </c>
      <c r="H1393" s="374"/>
      <c r="I1393" s="16"/>
    </row>
    <row r="1394" spans="2:9" ht="24" customHeight="1">
      <c r="B1394" s="1033" t="str">
        <f>'Jaringan Listrik'!C3944</f>
        <v>5.1.1.12.98</v>
      </c>
      <c r="C1394" s="11" t="str">
        <f>VLOOKUP(B1394,'Jaringan Listrik'!C:K,2,FALSE)</f>
        <v>Pemasangan 1 Unit Kabel Tray (Vertikal) 600 x 100 mm TRC
OCP</v>
      </c>
      <c r="D1394" s="9" t="s">
        <v>135</v>
      </c>
      <c r="E1394" s="1021">
        <f>VLOOKUP(C1394,'Jaringan Listrik'!$D$2:$I$5188,6,FALSE)</f>
        <v>47100</v>
      </c>
      <c r="F1394" s="1003" t="str">
        <f>VLOOKUP(C1394,'Jaringan Listrik'!$D:$K,7,FALSE)</f>
        <v>Baru</v>
      </c>
      <c r="G1394" s="12">
        <f>VLOOKUP(C1394,'Jaringan Listrik'!$D:$K,8,FALSE)</f>
        <v>0</v>
      </c>
      <c r="H1394" s="374"/>
      <c r="I1394" s="16"/>
    </row>
    <row r="1395" spans="2:9" ht="24" customHeight="1">
      <c r="B1395" s="1033" t="str">
        <f>'Jaringan Listrik'!C3961</f>
        <v>5.1.1.12.99</v>
      </c>
      <c r="C1395" s="11" t="str">
        <f>VLOOKUP(B1395,'Jaringan Listrik'!C:K,2,FALSE)</f>
        <v>Pemasangan 1 Unit Kabel Tray (Vertikal) 500 x 100 mm TRU
Hot Dip Galvanized</v>
      </c>
      <c r="D1395" s="9" t="s">
        <v>135</v>
      </c>
      <c r="E1395" s="1021">
        <f>VLOOKUP(C1395,'Jaringan Listrik'!$D$2:$I$5188,6,FALSE)</f>
        <v>47100</v>
      </c>
      <c r="F1395" s="1003" t="str">
        <f>VLOOKUP(C1395,'Jaringan Listrik'!$D:$K,7,FALSE)</f>
        <v>Baru</v>
      </c>
      <c r="G1395" s="12">
        <f>VLOOKUP(C1395,'Jaringan Listrik'!$D:$K,8,FALSE)</f>
        <v>0</v>
      </c>
      <c r="H1395" s="374"/>
      <c r="I1395" s="16"/>
    </row>
    <row r="1396" spans="2:9" ht="24" customHeight="1">
      <c r="B1396" s="1033" t="str">
        <f>'Jaringan Listrik'!C3978</f>
        <v>5.1.1.12.100</v>
      </c>
      <c r="C1396" s="11" t="str">
        <f>VLOOKUP(B1396,'Jaringan Listrik'!C:K,2,FALSE)</f>
        <v>Pemasangan 1 Unit Kabel Tray (Vertikal) 500 x 100 mm TRU
OCP</v>
      </c>
      <c r="D1396" s="9" t="s">
        <v>135</v>
      </c>
      <c r="E1396" s="1021">
        <f>VLOOKUP(C1396,'Jaringan Listrik'!$D$2:$I$5188,6,FALSE)</f>
        <v>47100</v>
      </c>
      <c r="F1396" s="1003" t="str">
        <f>VLOOKUP(C1396,'Jaringan Listrik'!$D:$K,7,FALSE)</f>
        <v>Baru</v>
      </c>
      <c r="G1396" s="12">
        <f>VLOOKUP(C1396,'Jaringan Listrik'!$D:$K,8,FALSE)</f>
        <v>0</v>
      </c>
      <c r="H1396" s="374"/>
      <c r="I1396" s="16"/>
    </row>
    <row r="1397" spans="2:9" ht="24" customHeight="1">
      <c r="B1397" s="1033" t="str">
        <f>'Jaringan Listrik'!C3995</f>
        <v>5.1.1.12.101</v>
      </c>
      <c r="C1397" s="11" t="str">
        <f>VLOOKUP(B1397,'Jaringan Listrik'!C:K,2,FALSE)</f>
        <v>Pemasangan 1 Unit Kabel Tray (Vertikal) 500 x 100 mm TRC
Powder Coating</v>
      </c>
      <c r="D1397" s="9" t="s">
        <v>135</v>
      </c>
      <c r="E1397" s="1021">
        <f>VLOOKUP(C1397,'Jaringan Listrik'!$D$2:$I$5188,6,FALSE)</f>
        <v>47100</v>
      </c>
      <c r="F1397" s="1003" t="str">
        <f>VLOOKUP(C1397,'Jaringan Listrik'!$D:$K,7,FALSE)</f>
        <v>Baru</v>
      </c>
      <c r="G1397" s="12">
        <f>VLOOKUP(C1397,'Jaringan Listrik'!$D:$K,8,FALSE)</f>
        <v>0</v>
      </c>
      <c r="H1397" s="374"/>
      <c r="I1397" s="16"/>
    </row>
    <row r="1398" spans="2:9" ht="24" customHeight="1">
      <c r="B1398" s="1033" t="str">
        <f>'Jaringan Listrik'!C4012</f>
        <v>5.1.1.12.102</v>
      </c>
      <c r="C1398" s="11" t="str">
        <f>VLOOKUP(B1398,'Jaringan Listrik'!C:K,2,FALSE)</f>
        <v>Pemasangan 1 Unit Kabel Tray (Vertikal) 500 x 100 mm TRC
Hot Dip Galvanized</v>
      </c>
      <c r="D1398" s="9" t="s">
        <v>135</v>
      </c>
      <c r="E1398" s="1021">
        <f>VLOOKUP(C1398,'Jaringan Listrik'!$D$2:$I$5188,6,FALSE)</f>
        <v>47100</v>
      </c>
      <c r="F1398" s="1003" t="str">
        <f>VLOOKUP(C1398,'Jaringan Listrik'!$D:$K,7,FALSE)</f>
        <v>Baru</v>
      </c>
      <c r="G1398" s="12">
        <f>VLOOKUP(C1398,'Jaringan Listrik'!$D:$K,8,FALSE)</f>
        <v>0</v>
      </c>
      <c r="H1398" s="374"/>
      <c r="I1398" s="16"/>
    </row>
    <row r="1399" spans="2:9" ht="24" customHeight="1">
      <c r="B1399" s="1033" t="str">
        <f>'Jaringan Listrik'!C4029</f>
        <v>5.1.1.12.103</v>
      </c>
      <c r="C1399" s="11" t="str">
        <f>VLOOKUP(B1399,'Jaringan Listrik'!C:K,2,FALSE)</f>
        <v>Pemasangan 1 Unit Kabel Tray (Vertikal) 500 x 100 mm TRC
OCP</v>
      </c>
      <c r="D1399" s="9" t="s">
        <v>135</v>
      </c>
      <c r="E1399" s="1021">
        <f>VLOOKUP(C1399,'Jaringan Listrik'!$D$2:$I$5188,6,FALSE)</f>
        <v>47100</v>
      </c>
      <c r="F1399" s="1003" t="str">
        <f>VLOOKUP(C1399,'Jaringan Listrik'!$D:$K,7,FALSE)</f>
        <v>Baru</v>
      </c>
      <c r="G1399" s="12">
        <f>VLOOKUP(C1399,'Jaringan Listrik'!$D:$K,8,FALSE)</f>
        <v>0</v>
      </c>
      <c r="H1399" s="374"/>
      <c r="I1399" s="16"/>
    </row>
    <row r="1400" spans="2:9" ht="24" customHeight="1">
      <c r="B1400" s="1033" t="str">
        <f>'Jaringan Listrik'!C4046</f>
        <v>5.1.1.12.104</v>
      </c>
      <c r="C1400" s="11" t="str">
        <f>VLOOKUP(B1400,'Jaringan Listrik'!C:K,2,FALSE)</f>
        <v>Pemasangan 1 Unit Kabel Tray (Vertikal) 400 x 100 mm TRU
Hot Dip Galvanized</v>
      </c>
      <c r="D1400" s="9" t="s">
        <v>135</v>
      </c>
      <c r="E1400" s="1021">
        <f>VLOOKUP(C1400,'Jaringan Listrik'!$D$2:$I$5188,6,FALSE)</f>
        <v>47100</v>
      </c>
      <c r="F1400" s="1003" t="str">
        <f>VLOOKUP(C1400,'Jaringan Listrik'!$D:$K,7,FALSE)</f>
        <v>Baru</v>
      </c>
      <c r="G1400" s="12">
        <f>VLOOKUP(C1400,'Jaringan Listrik'!$D:$K,8,FALSE)</f>
        <v>0</v>
      </c>
      <c r="H1400" s="374"/>
      <c r="I1400" s="16"/>
    </row>
    <row r="1401" spans="2:9" ht="24" customHeight="1">
      <c r="B1401" s="1033" t="str">
        <f>'Jaringan Listrik'!C4063</f>
        <v>5.1.1.12.105</v>
      </c>
      <c r="C1401" s="11" t="str">
        <f>VLOOKUP(B1401,'Jaringan Listrik'!C:K,2,FALSE)</f>
        <v>Pemasangan 1 Unit Kabel Tray (Vertikal) 400 x 100 mm TRU
OCP</v>
      </c>
      <c r="D1401" s="9" t="s">
        <v>135</v>
      </c>
      <c r="E1401" s="1021">
        <f>VLOOKUP(C1401,'Jaringan Listrik'!$D$2:$I$5188,6,FALSE)</f>
        <v>47100</v>
      </c>
      <c r="F1401" s="1003" t="str">
        <f>VLOOKUP(C1401,'Jaringan Listrik'!$D:$K,7,FALSE)</f>
        <v>Baru</v>
      </c>
      <c r="G1401" s="12">
        <f>VLOOKUP(C1401,'Jaringan Listrik'!$D:$K,8,FALSE)</f>
        <v>0</v>
      </c>
      <c r="H1401" s="374"/>
      <c r="I1401" s="16"/>
    </row>
    <row r="1402" spans="2:9" ht="24" customHeight="1">
      <c r="B1402" s="1033" t="str">
        <f>'Jaringan Listrik'!C4080</f>
        <v>5.1.1.12.106</v>
      </c>
      <c r="C1402" s="11" t="str">
        <f>VLOOKUP(B1402,'Jaringan Listrik'!C:K,2,FALSE)</f>
        <v>Pemasangan 1 Unit Kabel Tray (Vertikal) 400 x 100 mm TRC
Powder Coating</v>
      </c>
      <c r="D1402" s="9" t="s">
        <v>135</v>
      </c>
      <c r="E1402" s="1021">
        <f>VLOOKUP(C1402,'Jaringan Listrik'!$D$2:$I$5188,6,FALSE)</f>
        <v>47100</v>
      </c>
      <c r="F1402" s="1003" t="str">
        <f>VLOOKUP(C1402,'Jaringan Listrik'!$D:$K,7,FALSE)</f>
        <v>Baru</v>
      </c>
      <c r="G1402" s="12">
        <f>VLOOKUP(C1402,'Jaringan Listrik'!$D:$K,8,FALSE)</f>
        <v>0</v>
      </c>
      <c r="H1402" s="374"/>
      <c r="I1402" s="16"/>
    </row>
    <row r="1403" spans="2:9" ht="24" customHeight="1">
      <c r="B1403" s="1033" t="str">
        <f>'Jaringan Listrik'!C4097</f>
        <v>5.1.1.12.107</v>
      </c>
      <c r="C1403" s="11" t="str">
        <f>VLOOKUP(B1403,'Jaringan Listrik'!C:K,2,FALSE)</f>
        <v>Pemasangan 1 Unit Kabel Tray (Vertikal) 400 x 100 mm TRC
Hot Dip Galvanized</v>
      </c>
      <c r="D1403" s="9" t="s">
        <v>135</v>
      </c>
      <c r="E1403" s="1021">
        <f>VLOOKUP(C1403,'Jaringan Listrik'!$D$2:$I$5188,6,FALSE)</f>
        <v>47100</v>
      </c>
      <c r="F1403" s="1003" t="str">
        <f>VLOOKUP(C1403,'Jaringan Listrik'!$D:$K,7,FALSE)</f>
        <v>Baru</v>
      </c>
      <c r="G1403" s="12">
        <f>VLOOKUP(C1403,'Jaringan Listrik'!$D:$K,8,FALSE)</f>
        <v>0</v>
      </c>
      <c r="H1403" s="374"/>
      <c r="I1403" s="16"/>
    </row>
    <row r="1404" spans="2:9" ht="24" customHeight="1">
      <c r="B1404" s="1033" t="str">
        <f>'Jaringan Listrik'!C4114</f>
        <v>5.1.1.12.108</v>
      </c>
      <c r="C1404" s="11" t="str">
        <f>VLOOKUP(B1404,'Jaringan Listrik'!C:K,2,FALSE)</f>
        <v>Pemasangan 1 Unit Kabel Tray (Vertikal) 400 x 100 mm TRC
OCP</v>
      </c>
      <c r="D1404" s="9" t="s">
        <v>135</v>
      </c>
      <c r="E1404" s="1021">
        <f>VLOOKUP(C1404,'Jaringan Listrik'!$D$2:$I$5188,6,FALSE)</f>
        <v>47100</v>
      </c>
      <c r="F1404" s="1003" t="str">
        <f>VLOOKUP(C1404,'Jaringan Listrik'!$D:$K,7,FALSE)</f>
        <v>Baru</v>
      </c>
      <c r="G1404" s="12">
        <f>VLOOKUP(C1404,'Jaringan Listrik'!$D:$K,8,FALSE)</f>
        <v>0</v>
      </c>
      <c r="H1404" s="374"/>
      <c r="I1404" s="16"/>
    </row>
    <row r="1405" spans="2:9" ht="24" customHeight="1">
      <c r="B1405" s="1033" t="str">
        <f>'Jaringan Listrik'!C4131</f>
        <v>5.1.1.12.109</v>
      </c>
      <c r="C1405" s="11" t="str">
        <f>VLOOKUP(B1405,'Jaringan Listrik'!C:K,2,FALSE)</f>
        <v>Pemasangan 1 Unit Kabel Tray (Vertikal) 300 x 100 mm TRU
Hot Dip Galvanized</v>
      </c>
      <c r="D1405" s="9" t="s">
        <v>135</v>
      </c>
      <c r="E1405" s="1021">
        <f>VLOOKUP(C1405,'Jaringan Listrik'!$D$2:$I$5188,6,FALSE)</f>
        <v>47100</v>
      </c>
      <c r="F1405" s="1003" t="str">
        <f>VLOOKUP(C1405,'Jaringan Listrik'!$D:$K,7,FALSE)</f>
        <v>Baru</v>
      </c>
      <c r="G1405" s="12">
        <f>VLOOKUP(C1405,'Jaringan Listrik'!$D:$K,8,FALSE)</f>
        <v>0</v>
      </c>
      <c r="H1405" s="374"/>
      <c r="I1405" s="16"/>
    </row>
    <row r="1406" spans="2:9" ht="24" customHeight="1">
      <c r="B1406" s="1033" t="str">
        <f>'Jaringan Listrik'!C4148</f>
        <v>5.1.1.12.110</v>
      </c>
      <c r="C1406" s="11" t="str">
        <f>VLOOKUP(B1406,'Jaringan Listrik'!C:K,2,FALSE)</f>
        <v>Pemasangan 1 Unit Kabel Tray (Vertikal) 300 x 100 mm TRU
OCP</v>
      </c>
      <c r="D1406" s="9" t="s">
        <v>135</v>
      </c>
      <c r="E1406" s="1021">
        <f>VLOOKUP(C1406,'Jaringan Listrik'!$D$2:$I$5188,6,FALSE)</f>
        <v>47100</v>
      </c>
      <c r="F1406" s="1003" t="str">
        <f>VLOOKUP(C1406,'Jaringan Listrik'!$D:$K,7,FALSE)</f>
        <v>Baru</v>
      </c>
      <c r="G1406" s="12">
        <f>VLOOKUP(C1406,'Jaringan Listrik'!$D:$K,8,FALSE)</f>
        <v>0</v>
      </c>
      <c r="H1406" s="374"/>
      <c r="I1406" s="16"/>
    </row>
    <row r="1407" spans="2:9" ht="24" customHeight="1">
      <c r="B1407" s="1033" t="str">
        <f>'Jaringan Listrik'!C4165</f>
        <v>5.1.1.12.111</v>
      </c>
      <c r="C1407" s="11" t="str">
        <f>VLOOKUP(B1407,'Jaringan Listrik'!C:K,2,FALSE)</f>
        <v>Pemasangan 1 Unit Kabel Tray (Vertikal) 300 x 100 mm TRC
Powder Coating</v>
      </c>
      <c r="D1407" s="9" t="s">
        <v>135</v>
      </c>
      <c r="E1407" s="1021">
        <f>VLOOKUP(C1407,'Jaringan Listrik'!$D$2:$I$5188,6,FALSE)</f>
        <v>47100</v>
      </c>
      <c r="F1407" s="1003" t="str">
        <f>VLOOKUP(C1407,'Jaringan Listrik'!$D:$K,7,FALSE)</f>
        <v>Baru</v>
      </c>
      <c r="G1407" s="12">
        <f>VLOOKUP(C1407,'Jaringan Listrik'!$D:$K,8,FALSE)</f>
        <v>0</v>
      </c>
      <c r="H1407" s="374"/>
      <c r="I1407" s="16"/>
    </row>
    <row r="1408" spans="2:9" ht="24" customHeight="1">
      <c r="B1408" s="1033" t="str">
        <f>'Jaringan Listrik'!C4182</f>
        <v>5.1.1.12.112</v>
      </c>
      <c r="C1408" s="11" t="str">
        <f>VLOOKUP(B1408,'Jaringan Listrik'!C:K,2,FALSE)</f>
        <v>Pemasangan 1 Unit Kabel Tray (Vertikal) 300 x 100 mm TRC
Hot Dip Galvanized</v>
      </c>
      <c r="D1408" s="9" t="s">
        <v>135</v>
      </c>
      <c r="E1408" s="1021">
        <f>VLOOKUP(C1408,'Jaringan Listrik'!$D$2:$I$5188,6,FALSE)</f>
        <v>47100</v>
      </c>
      <c r="F1408" s="1003" t="str">
        <f>VLOOKUP(C1408,'Jaringan Listrik'!$D:$K,7,FALSE)</f>
        <v>Baru</v>
      </c>
      <c r="G1408" s="12">
        <f>VLOOKUP(C1408,'Jaringan Listrik'!$D:$K,8,FALSE)</f>
        <v>0</v>
      </c>
      <c r="H1408" s="374"/>
      <c r="I1408" s="16"/>
    </row>
    <row r="1409" spans="1:9" ht="24" customHeight="1">
      <c r="B1409" s="1033" t="str">
        <f>'Jaringan Listrik'!C4199</f>
        <v>5.1.1.12.113</v>
      </c>
      <c r="C1409" s="11" t="str">
        <f>VLOOKUP(B1409,'Jaringan Listrik'!C:K,2,FALSE)</f>
        <v>Pemasangan 1 Unit Kabel Tray (Vertikal) 300 x 100 mm TRC
OCP</v>
      </c>
      <c r="D1409" s="9" t="s">
        <v>135</v>
      </c>
      <c r="E1409" s="1021">
        <f>VLOOKUP(C1409,'Jaringan Listrik'!$D$2:$I$5188,6,FALSE)</f>
        <v>47100</v>
      </c>
      <c r="F1409" s="1003" t="str">
        <f>VLOOKUP(C1409,'Jaringan Listrik'!$D:$K,7,FALSE)</f>
        <v>Baru</v>
      </c>
      <c r="G1409" s="12">
        <f>VLOOKUP(C1409,'Jaringan Listrik'!$D:$K,8,FALSE)</f>
        <v>0</v>
      </c>
      <c r="H1409" s="374"/>
      <c r="I1409" s="16"/>
    </row>
    <row r="1410" spans="1:9" ht="24" customHeight="1">
      <c r="B1410" s="1033" t="str">
        <f>'Jaringan Listrik'!C4216</f>
        <v>5.1.1.12.114</v>
      </c>
      <c r="C1410" s="11" t="str">
        <f>VLOOKUP(B1410,'Jaringan Listrik'!C:K,2,FALSE)</f>
        <v>Pemasangan 1 Unit Kabel Tray (Vertikal) 200 x 100 mm TRU
Hot Dip Galvanized</v>
      </c>
      <c r="D1410" s="9" t="s">
        <v>135</v>
      </c>
      <c r="E1410" s="1021">
        <f>VLOOKUP(C1410,'Jaringan Listrik'!$D$2:$I$5188,6,FALSE)</f>
        <v>47100</v>
      </c>
      <c r="F1410" s="1003" t="str">
        <f>VLOOKUP(C1410,'Jaringan Listrik'!$D:$K,7,FALSE)</f>
        <v>Baru</v>
      </c>
      <c r="G1410" s="12">
        <f>VLOOKUP(C1410,'Jaringan Listrik'!$D:$K,8,FALSE)</f>
        <v>0</v>
      </c>
      <c r="H1410" s="374"/>
      <c r="I1410" s="16"/>
    </row>
    <row r="1411" spans="1:9" ht="24" customHeight="1">
      <c r="B1411" s="1033" t="str">
        <f>'Jaringan Listrik'!C4233</f>
        <v>5.1.1.12.115</v>
      </c>
      <c r="C1411" s="11" t="str">
        <f>VLOOKUP(B1411,'Jaringan Listrik'!C:K,2,FALSE)</f>
        <v>Pemasangan 1 Unit Kabel Tray (Vertikal) 200 x 100 mm TRU
OCP</v>
      </c>
      <c r="D1411" s="9" t="s">
        <v>135</v>
      </c>
      <c r="E1411" s="1021">
        <f>VLOOKUP(C1411,'Jaringan Listrik'!$D$2:$I$5188,6,FALSE)</f>
        <v>47100</v>
      </c>
      <c r="F1411" s="1003" t="str">
        <f>VLOOKUP(C1411,'Jaringan Listrik'!$D:$K,7,FALSE)</f>
        <v>Baru</v>
      </c>
      <c r="G1411" s="12">
        <f>VLOOKUP(C1411,'Jaringan Listrik'!$D:$K,8,FALSE)</f>
        <v>0</v>
      </c>
      <c r="H1411" s="374"/>
      <c r="I1411" s="16"/>
    </row>
    <row r="1412" spans="1:9" ht="24" customHeight="1">
      <c r="B1412" s="1033" t="str">
        <f>'Jaringan Listrik'!C4250</f>
        <v>5.1.1.12.116</v>
      </c>
      <c r="C1412" s="11" t="str">
        <f>VLOOKUP(B1412,'Jaringan Listrik'!C:K,2,FALSE)</f>
        <v>Pemasangan 1 Unit Kabel Tray (Vertikal) 200 x 100 mm TRC
Powder Coating</v>
      </c>
      <c r="D1412" s="9" t="s">
        <v>135</v>
      </c>
      <c r="E1412" s="1021">
        <f>VLOOKUP(C1412,'Jaringan Listrik'!$D$2:$I$5188,6,FALSE)</f>
        <v>47100</v>
      </c>
      <c r="F1412" s="1003" t="str">
        <f>VLOOKUP(C1412,'Jaringan Listrik'!$D:$K,7,FALSE)</f>
        <v>Baru</v>
      </c>
      <c r="G1412" s="12">
        <f>VLOOKUP(C1412,'Jaringan Listrik'!$D:$K,8,FALSE)</f>
        <v>0</v>
      </c>
      <c r="H1412" s="374"/>
      <c r="I1412" s="16"/>
    </row>
    <row r="1413" spans="1:9" ht="24" customHeight="1">
      <c r="B1413" s="1033" t="str">
        <f>'Jaringan Listrik'!C4267</f>
        <v>5.1.1.12.117</v>
      </c>
      <c r="C1413" s="11" t="str">
        <f>VLOOKUP(B1413,'Jaringan Listrik'!C:K,2,FALSE)</f>
        <v>Pemasangan 1 Unit Kabel Tray (Vertikal) 200 x 100 mm TRC
Hot Dip Galvanized</v>
      </c>
      <c r="D1413" s="9" t="s">
        <v>135</v>
      </c>
      <c r="E1413" s="1021">
        <f>VLOOKUP(C1413,'Jaringan Listrik'!$D$2:$I$5188,6,FALSE)</f>
        <v>47100</v>
      </c>
      <c r="F1413" s="1003" t="str">
        <f>VLOOKUP(C1413,'Jaringan Listrik'!$D:$K,7,FALSE)</f>
        <v>Baru</v>
      </c>
      <c r="G1413" s="12">
        <f>VLOOKUP(C1413,'Jaringan Listrik'!$D:$K,8,FALSE)</f>
        <v>0</v>
      </c>
      <c r="H1413" s="374"/>
      <c r="I1413" s="16"/>
    </row>
    <row r="1414" spans="1:9" ht="24" customHeight="1">
      <c r="B1414" s="1033" t="str">
        <f>'Jaringan Listrik'!C4284</f>
        <v>5.1.1.12.118</v>
      </c>
      <c r="C1414" s="11" t="str">
        <f>VLOOKUP(B1414,'Jaringan Listrik'!C:K,2,FALSE)</f>
        <v>Pemasangan 1 Unit Kabel Tray (Vertikal) 200 x 100 mm TRC
OCP</v>
      </c>
      <c r="D1414" s="9" t="s">
        <v>135</v>
      </c>
      <c r="E1414" s="1021">
        <f>VLOOKUP(C1414,'Jaringan Listrik'!$D$2:$I$5188,6,FALSE)</f>
        <v>47100</v>
      </c>
      <c r="F1414" s="1003" t="str">
        <f>VLOOKUP(C1414,'Jaringan Listrik'!$D:$K,7,FALSE)</f>
        <v>Baru</v>
      </c>
      <c r="G1414" s="12">
        <f>VLOOKUP(C1414,'Jaringan Listrik'!$D:$K,8,FALSE)</f>
        <v>0</v>
      </c>
      <c r="H1414" s="374"/>
      <c r="I1414" s="16"/>
    </row>
    <row r="1415" spans="1:9" ht="24" customHeight="1">
      <c r="B1415" s="1033" t="str">
        <f>'Jaringan Listrik'!C4301</f>
        <v>5.1.1.12.119</v>
      </c>
      <c r="C1415" s="11" t="str">
        <f>VLOOKUP(B1415,'Jaringan Listrik'!C:K,2,FALSE)</f>
        <v>Pemasangan 1 Unit Kabel Tray (Vertikal) 150 x 100 mm TRU
Powder Coating</v>
      </c>
      <c r="D1415" s="9" t="s">
        <v>135</v>
      </c>
      <c r="E1415" s="1021">
        <f>VLOOKUP(C1415,'Jaringan Listrik'!$D$2:$I$5188,6,FALSE)</f>
        <v>47100</v>
      </c>
      <c r="F1415" s="1003" t="str">
        <f>VLOOKUP(C1415,'Jaringan Listrik'!$D:$K,7,FALSE)</f>
        <v>Baru</v>
      </c>
      <c r="G1415" s="12">
        <f>VLOOKUP(C1415,'Jaringan Listrik'!$D:$K,8,FALSE)</f>
        <v>0</v>
      </c>
      <c r="H1415" s="374"/>
      <c r="I1415" s="16"/>
    </row>
    <row r="1416" spans="1:9" ht="24" customHeight="1">
      <c r="B1416" s="1033" t="str">
        <f>'Jaringan Listrik'!C4318</f>
        <v>5.1.1.12.120</v>
      </c>
      <c r="C1416" s="11" t="str">
        <f>VLOOKUP(B1416,'Jaringan Listrik'!C:K,2,FALSE)</f>
        <v>Pemasangan 1 Unit Kabel Tray (Vertikal) 150 x 100 mm TRU
Hot Dip Galvanized</v>
      </c>
      <c r="D1416" s="9" t="s">
        <v>135</v>
      </c>
      <c r="E1416" s="1021">
        <f>VLOOKUP(C1416,'Jaringan Listrik'!$D$2:$I$5188,6,FALSE)</f>
        <v>47100</v>
      </c>
      <c r="F1416" s="1003" t="str">
        <f>VLOOKUP(C1416,'Jaringan Listrik'!$D:$K,7,FALSE)</f>
        <v>Baru</v>
      </c>
      <c r="G1416" s="12">
        <f>VLOOKUP(C1416,'Jaringan Listrik'!$D:$K,8,FALSE)</f>
        <v>0</v>
      </c>
      <c r="H1416" s="374"/>
      <c r="I1416" s="16"/>
    </row>
    <row r="1417" spans="1:9" ht="24" customHeight="1">
      <c r="B1417" s="1033" t="str">
        <f>'Jaringan Listrik'!C4335</f>
        <v>5.1.1.12.121</v>
      </c>
      <c r="C1417" s="11" t="str">
        <f>VLOOKUP(B1417,'Jaringan Listrik'!C:K,2,FALSE)</f>
        <v>Pemasangan 1 Unit Kabel Tray (Vertikal) 150 x 100 mm TRU
OCP</v>
      </c>
      <c r="D1417" s="9" t="s">
        <v>135</v>
      </c>
      <c r="E1417" s="1021">
        <f>VLOOKUP(C1417,'Jaringan Listrik'!$D$2:$I$5188,6,FALSE)</f>
        <v>47100</v>
      </c>
      <c r="F1417" s="1003" t="str">
        <f>VLOOKUP(C1417,'Jaringan Listrik'!$D:$K,7,FALSE)</f>
        <v>Baru</v>
      </c>
      <c r="G1417" s="12">
        <f>VLOOKUP(C1417,'Jaringan Listrik'!$D:$K,8,FALSE)</f>
        <v>0</v>
      </c>
      <c r="H1417" s="374"/>
      <c r="I1417" s="16"/>
    </row>
    <row r="1418" spans="1:9" ht="24" customHeight="1">
      <c r="B1418" s="1033" t="str">
        <f>'Jaringan Listrik'!C4352</f>
        <v>5.1.1.12.122</v>
      </c>
      <c r="C1418" s="11" t="str">
        <f>VLOOKUP(B1418,'Jaringan Listrik'!C:K,2,FALSE)</f>
        <v>Pemasangan 1 Unit Kabel Tray (Vertikal) 150 x 100 mm TRC
Powder Coating</v>
      </c>
      <c r="D1418" s="9" t="s">
        <v>135</v>
      </c>
      <c r="E1418" s="1021">
        <f>VLOOKUP(C1418,'Jaringan Listrik'!$D$2:$I$5188,6,FALSE)</f>
        <v>47100</v>
      </c>
      <c r="F1418" s="1003" t="str">
        <f>VLOOKUP(C1418,'Jaringan Listrik'!$D:$K,7,FALSE)</f>
        <v>Baru</v>
      </c>
      <c r="G1418" s="12">
        <f>VLOOKUP(C1418,'Jaringan Listrik'!$D:$K,8,FALSE)</f>
        <v>0</v>
      </c>
      <c r="H1418" s="374"/>
      <c r="I1418" s="16"/>
    </row>
    <row r="1419" spans="1:9" ht="24" customHeight="1">
      <c r="B1419" s="1033" t="str">
        <f>'Jaringan Listrik'!C4369</f>
        <v>5.1.1.12.123</v>
      </c>
      <c r="C1419" s="11" t="str">
        <f>VLOOKUP(B1419,'Jaringan Listrik'!C:K,2,FALSE)</f>
        <v>Pemasangan 1 Unit Kabel Tray (Vertikal) 150 x 100 mm TRC
Hot Dip Galvanized</v>
      </c>
      <c r="D1419" s="9" t="s">
        <v>135</v>
      </c>
      <c r="E1419" s="1021">
        <f>VLOOKUP(C1419,'Jaringan Listrik'!$D$2:$I$5188,6,FALSE)</f>
        <v>47100</v>
      </c>
      <c r="F1419" s="1003" t="str">
        <f>VLOOKUP(C1419,'Jaringan Listrik'!$D:$K,7,FALSE)</f>
        <v>Baru</v>
      </c>
      <c r="G1419" s="12">
        <f>VLOOKUP(C1419,'Jaringan Listrik'!$D:$K,8,FALSE)</f>
        <v>0</v>
      </c>
      <c r="H1419" s="374"/>
      <c r="I1419" s="16"/>
    </row>
    <row r="1420" spans="1:9" ht="24" customHeight="1">
      <c r="B1420" s="1033" t="str">
        <f>'Jaringan Listrik'!C4386</f>
        <v>5.1.1.12.124</v>
      </c>
      <c r="C1420" s="11" t="str">
        <f>VLOOKUP(B1420,'Jaringan Listrik'!C:K,2,FALSE)</f>
        <v>Pemasangan 1 Unit Kabel Tray (Vertikal) 150 x 100 mm TRC
OCP</v>
      </c>
      <c r="D1420" s="9" t="s">
        <v>135</v>
      </c>
      <c r="E1420" s="1021">
        <f>VLOOKUP(C1420,'Jaringan Listrik'!$D$2:$I$5188,6,FALSE)</f>
        <v>47100</v>
      </c>
      <c r="F1420" s="1003" t="str">
        <f>VLOOKUP(C1420,'Jaringan Listrik'!$D:$K,7,FALSE)</f>
        <v>Baru</v>
      </c>
      <c r="G1420" s="12">
        <f>VLOOKUP(C1420,'Jaringan Listrik'!$D:$K,8,FALSE)</f>
        <v>0</v>
      </c>
      <c r="H1420" s="374"/>
      <c r="I1420" s="16"/>
    </row>
    <row r="1421" spans="1:9" s="1" customFormat="1" ht="24" customHeight="1">
      <c r="A1421" s="47"/>
      <c r="B1421" s="1043" t="str">
        <f>'Jaringan Listrik'!C4404</f>
        <v>5.1.2</v>
      </c>
      <c r="C1421" s="997" t="str">
        <f>VLOOKUP(B1421,'Jaringan Listrik'!C:K,2,FALSE)</f>
        <v xml:space="preserve">Pemasangan Panel Listrik </v>
      </c>
      <c r="D1421" s="994" t="s">
        <v>135</v>
      </c>
      <c r="E1421" s="1049">
        <f>VLOOKUP(C1421,'Jaringan Listrik'!$D$2:$I$5188,6,FALSE)</f>
        <v>0</v>
      </c>
      <c r="F1421" s="1004">
        <f>VLOOKUP(C1421,'Jaringan Listrik'!$D:$K,7,FALSE)</f>
        <v>0</v>
      </c>
      <c r="G1421" s="36">
        <f>VLOOKUP(C1421,'Jaringan Listrik'!$D:$K,8,FALSE)</f>
        <v>0</v>
      </c>
      <c r="H1421" s="1092"/>
      <c r="I1421" s="21"/>
    </row>
    <row r="1422" spans="1:9" ht="24" customHeight="1">
      <c r="B1422" s="1033" t="str">
        <f>'Jaringan Listrik'!C4405</f>
        <v>5.1.2.1</v>
      </c>
      <c r="C1422" s="11" t="str">
        <f>VLOOKUP(B1422,'Jaringan Listrik'!C:K,2,FALSE)</f>
        <v>Pemasangan 1 Unit Panel Utama Tegangan Menengah (PUTM)</v>
      </c>
      <c r="D1422" s="9" t="s">
        <v>135</v>
      </c>
      <c r="E1422" s="1021">
        <f>VLOOKUP(C1422,'Jaringan Listrik'!$D$2:$I$5188,6,FALSE)</f>
        <v>1482600</v>
      </c>
      <c r="F1422" s="1003">
        <f>VLOOKUP(C1422,'Jaringan Listrik'!$D:$K,7,FALSE)</f>
        <v>0</v>
      </c>
      <c r="G1422" s="12">
        <f>VLOOKUP(C1422,'Jaringan Listrik'!$D:$K,8,FALSE)</f>
        <v>0</v>
      </c>
      <c r="H1422" s="374"/>
      <c r="I1422" s="16"/>
    </row>
    <row r="1423" spans="1:9" ht="24" customHeight="1">
      <c r="B1423" s="1033" t="str">
        <f>'Jaringan Listrik'!C4422</f>
        <v>5.1.2.2</v>
      </c>
      <c r="C1423" s="11" t="str">
        <f>VLOOKUP(B1423,'Jaringan Listrik'!C:K,2,FALSE)</f>
        <v xml:space="preserve">Pemasangan 1 Unit Panel Utama Tegangan Redah (PUTR) per Kubikal </v>
      </c>
      <c r="D1423" s="9" t="s">
        <v>135</v>
      </c>
      <c r="E1423" s="1021">
        <f>VLOOKUP(C1423,'Jaringan Listrik'!$D$2:$I$5188,6,FALSE)</f>
        <v>1317900</v>
      </c>
      <c r="F1423" s="1003">
        <f>VLOOKUP(C1423,'Jaringan Listrik'!$D:$K,7,FALSE)</f>
        <v>0</v>
      </c>
      <c r="G1423" s="12">
        <f>VLOOKUP(C1423,'Jaringan Listrik'!$D:$K,8,FALSE)</f>
        <v>0</v>
      </c>
      <c r="H1423" s="374"/>
      <c r="I1423" s="16"/>
    </row>
    <row r="1424" spans="1:9" ht="24" customHeight="1">
      <c r="B1424" s="1033" t="str">
        <f>'Jaringan Listrik'!C4439</f>
        <v>5.1.2.3</v>
      </c>
      <c r="C1424" s="11" t="str">
        <f>VLOOKUP(B1424,'Jaringan Listrik'!C:K,2,FALSE)</f>
        <v xml:space="preserve">Pemasangan 1 Unit Main Distribution Panel (MDP) Floor Standing </v>
      </c>
      <c r="D1424" s="9" t="s">
        <v>135</v>
      </c>
      <c r="E1424" s="1021">
        <f>VLOOKUP(C1424,'Jaringan Listrik'!$D$2:$I$5188,6,FALSE)</f>
        <v>527100</v>
      </c>
      <c r="F1424" s="1003">
        <f>VLOOKUP(C1424,'Jaringan Listrik'!$D:$K,7,FALSE)</f>
        <v>0</v>
      </c>
      <c r="G1424" s="12">
        <f>VLOOKUP(C1424,'Jaringan Listrik'!$D:$K,8,FALSE)</f>
        <v>0</v>
      </c>
      <c r="H1424" s="374"/>
      <c r="I1424" s="16"/>
    </row>
    <row r="1425" spans="2:9" ht="24" customHeight="1">
      <c r="B1425" s="1033" t="str">
        <f>'Jaringan Listrik'!C4456</f>
        <v>5.1.2.4</v>
      </c>
      <c r="C1425" s="11" t="str">
        <f>VLOOKUP(B1425,'Jaringan Listrik'!C:K,2,FALSE)</f>
        <v xml:space="preserve">Pemasangan 1 Unit Main Distribution Panel (MDP) Wall Mounted </v>
      </c>
      <c r="D1425" s="9" t="s">
        <v>135</v>
      </c>
      <c r="E1425" s="1021">
        <f>VLOOKUP(C1425,'Jaringan Listrik'!$D$2:$I$5188,6,FALSE)</f>
        <v>461200</v>
      </c>
      <c r="F1425" s="1003">
        <f>VLOOKUP(C1425,'Jaringan Listrik'!$D:$K,7,FALSE)</f>
        <v>0</v>
      </c>
      <c r="G1425" s="12">
        <f>VLOOKUP(C1425,'Jaringan Listrik'!$D:$K,8,FALSE)</f>
        <v>0</v>
      </c>
      <c r="H1425" s="374"/>
      <c r="I1425" s="16"/>
    </row>
    <row r="1426" spans="2:9" ht="24" customHeight="1">
      <c r="B1426" s="1033" t="str">
        <f>'Jaringan Listrik'!C4473</f>
        <v>5.1.2.5</v>
      </c>
      <c r="C1426" s="11" t="str">
        <f>VLOOKUP(B1426,'Jaringan Listrik'!C:K,2,FALSE)</f>
        <v xml:space="preserve">Pemasangan 1 Unit Sub Distribution Panel (SDP) Floor Standig </v>
      </c>
      <c r="D1426" s="9" t="s">
        <v>135</v>
      </c>
      <c r="E1426" s="1021">
        <f>VLOOKUP(C1426,'Jaringan Listrik'!$D$2:$I$5188,6,FALSE)</f>
        <v>425400</v>
      </c>
      <c r="F1426" s="1003">
        <f>VLOOKUP(C1426,'Jaringan Listrik'!$D:$K,7,FALSE)</f>
        <v>0</v>
      </c>
      <c r="G1426" s="12">
        <f>VLOOKUP(C1426,'Jaringan Listrik'!$D:$K,8,FALSE)</f>
        <v>0</v>
      </c>
      <c r="H1426" s="374"/>
      <c r="I1426" s="16"/>
    </row>
    <row r="1427" spans="2:9" ht="24" customHeight="1">
      <c r="B1427" s="1033" t="str">
        <f>'Jaringan Listrik'!C4490</f>
        <v>5.1.2.6</v>
      </c>
      <c r="C1427" s="11" t="str">
        <f>VLOOKUP(B1427,'Jaringan Listrik'!C:K,2,FALSE)</f>
        <v xml:space="preserve">Pemasangan 1 Unit Sub Distribution Panel (SDP) Wall Maunted  </v>
      </c>
      <c r="D1427" s="9" t="s">
        <v>135</v>
      </c>
      <c r="E1427" s="1021">
        <f>VLOOKUP(C1427,'Jaringan Listrik'!$D$2:$I$5188,6,FALSE)</f>
        <v>354000</v>
      </c>
      <c r="F1427" s="1003">
        <f>VLOOKUP(C1427,'Jaringan Listrik'!$D:$K,7,FALSE)</f>
        <v>0</v>
      </c>
      <c r="G1427" s="12">
        <f>VLOOKUP(C1427,'Jaringan Listrik'!$D:$K,8,FALSE)</f>
        <v>0</v>
      </c>
      <c r="H1427" s="374"/>
      <c r="I1427" s="16"/>
    </row>
    <row r="1428" spans="2:9" ht="24" customHeight="1">
      <c r="B1428" s="1033" t="str">
        <f>'Jaringan Listrik'!C4507</f>
        <v>5.1.2.7</v>
      </c>
      <c r="C1428" s="11" t="str">
        <f>VLOOKUP(B1428,'Jaringan Listrik'!C:K,2,FALSE)</f>
        <v>Pemasangan 1 Unit Panel Lantai Wall Mounted (800x 600 x200 mm)</v>
      </c>
      <c r="D1428" s="9" t="s">
        <v>135</v>
      </c>
      <c r="E1428" s="1021">
        <f>VLOOKUP(C1428,'Jaringan Listrik'!$D$2:$I$5188,6,FALSE)</f>
        <v>247600</v>
      </c>
      <c r="F1428" s="1003">
        <f>VLOOKUP(C1428,'Jaringan Listrik'!$D:$K,7,FALSE)</f>
        <v>0</v>
      </c>
      <c r="G1428" s="12">
        <f>VLOOKUP(C1428,'Jaringan Listrik'!$D:$K,8,FALSE)</f>
        <v>0</v>
      </c>
      <c r="H1428" s="374"/>
      <c r="I1428" s="16"/>
    </row>
    <row r="1429" spans="2:9" ht="24" customHeight="1">
      <c r="B1429" s="1033" t="str">
        <f>'Jaringan Listrik'!C4524</f>
        <v>5.1.2.8</v>
      </c>
      <c r="C1429" s="11" t="str">
        <f>VLOOKUP(B1429,'Jaringan Listrik'!C:K,2,FALSE)</f>
        <v>Pemasangan 1 Unit Panel Lantai Wall Mounted (600x 400 x200 mm)</v>
      </c>
      <c r="D1429" s="9" t="s">
        <v>135</v>
      </c>
      <c r="E1429" s="1021">
        <f>VLOOKUP(C1429,'Jaringan Listrik'!$D$2:$I$5188,6,FALSE)</f>
        <v>222000</v>
      </c>
      <c r="F1429" s="1003">
        <f>VLOOKUP(C1429,'Jaringan Listrik'!$D:$K,7,FALSE)</f>
        <v>0</v>
      </c>
      <c r="G1429" s="12">
        <f>VLOOKUP(C1429,'Jaringan Listrik'!$D:$K,8,FALSE)</f>
        <v>0</v>
      </c>
      <c r="H1429" s="374"/>
      <c r="I1429" s="16"/>
    </row>
    <row r="1430" spans="2:9" ht="24" customHeight="1">
      <c r="B1430" s="1033" t="str">
        <f>'Jaringan Listrik'!C4541</f>
        <v>5.1.2.9</v>
      </c>
      <c r="C1430" s="11" t="str">
        <f>VLOOKUP(B1430,'Jaringan Listrik'!C:K,2,FALSE)</f>
        <v xml:space="preserve">Pemasangan 1 Unit Panel kWh Meter </v>
      </c>
      <c r="D1430" s="9" t="s">
        <v>135</v>
      </c>
      <c r="E1430" s="1021">
        <f>VLOOKUP(C1430,'Jaringan Listrik'!$D$2:$I$5188,6,FALSE)</f>
        <v>425400</v>
      </c>
      <c r="F1430" s="1003">
        <f>VLOOKUP(C1430,'Jaringan Listrik'!$D:$K,7,FALSE)</f>
        <v>0</v>
      </c>
      <c r="G1430" s="12">
        <f>VLOOKUP(C1430,'Jaringan Listrik'!$D:$K,8,FALSE)</f>
        <v>0</v>
      </c>
      <c r="H1430" s="374"/>
      <c r="I1430" s="16"/>
    </row>
    <row r="1431" spans="2:9" ht="24" customHeight="1">
      <c r="B1431" s="1033" t="str">
        <f>'Jaringan Listrik'!C4558</f>
        <v>5.1.2.10</v>
      </c>
      <c r="C1431" s="11" t="str">
        <f>VLOOKUP(B1431,'Jaringan Listrik'!C:K,2,FALSE)</f>
        <v xml:space="preserve">Pemasangan 1 Unit Panel Penerang Luar Outdoor </v>
      </c>
      <c r="D1431" s="9" t="s">
        <v>135</v>
      </c>
      <c r="E1431" s="1021">
        <f>VLOOKUP(C1431,'Jaringan Listrik'!$D$2:$I$5188,6,FALSE)</f>
        <v>181700</v>
      </c>
      <c r="F1431" s="1003">
        <f>VLOOKUP(C1431,'Jaringan Listrik'!$D:$K,7,FALSE)</f>
        <v>0</v>
      </c>
      <c r="G1431" s="12">
        <f>VLOOKUP(C1431,'Jaringan Listrik'!$D:$K,8,FALSE)</f>
        <v>0</v>
      </c>
      <c r="H1431" s="374"/>
      <c r="I1431" s="16"/>
    </row>
    <row r="1432" spans="2:9" ht="24" customHeight="1">
      <c r="B1432" s="1033" t="str">
        <f>'Jaringan Listrik'!C4576</f>
        <v>5.1.2.11</v>
      </c>
      <c r="C1432" s="11" t="str">
        <f>VLOOKUP(B1432,'Jaringan Listrik'!C:K,2,FALSE)</f>
        <v>Pemasangan 1 Unit Panel Kontrol (Pompa Transfer, Pompa Kolam Renang,Water Treatment Plat (WTP), Instalasi Pengelolaan Air Limbah ( IPAL), dan Power Lift)</v>
      </c>
      <c r="D1432" s="9" t="s">
        <v>135</v>
      </c>
      <c r="E1432" s="1021">
        <f>VLOOKUP(C1432,'Jaringan Listrik'!$D$2:$I$5188,6,FALSE)</f>
        <v>222000</v>
      </c>
      <c r="F1432" s="1003">
        <f>VLOOKUP(C1432,'Jaringan Listrik'!$D:$K,7,FALSE)</f>
        <v>0</v>
      </c>
      <c r="G1432" s="12">
        <f>VLOOKUP(C1432,'Jaringan Listrik'!$D:$K,8,FALSE)</f>
        <v>0</v>
      </c>
      <c r="H1432" s="374"/>
      <c r="I1432" s="16"/>
    </row>
    <row r="1433" spans="2:9" ht="24" customHeight="1">
      <c r="B1433" s="1033" t="str">
        <f>'Jaringan Listrik'!C4594</f>
        <v>5.1.2.16</v>
      </c>
      <c r="C1433" s="11" t="str">
        <f>VLOOKUP(B1433,'Jaringan Listrik'!C:K,2,FALSE)</f>
        <v xml:space="preserve">Pemasangan 1 Unit Panel Power Gondola </v>
      </c>
      <c r="D1433" s="9" t="s">
        <v>135</v>
      </c>
      <c r="E1433" s="1021">
        <f>VLOOKUP(C1433,'Jaringan Listrik'!$D$2:$I$5188,6,FALSE)</f>
        <v>181700</v>
      </c>
      <c r="F1433" s="1003">
        <f>VLOOKUP(C1433,'Jaringan Listrik'!$D:$K,7,FALSE)</f>
        <v>0</v>
      </c>
      <c r="G1433" s="12">
        <f>VLOOKUP(C1433,'Jaringan Listrik'!$D:$K,8,FALSE)</f>
        <v>0</v>
      </c>
      <c r="H1433" s="374"/>
      <c r="I1433" s="16"/>
    </row>
    <row r="1434" spans="2:9" ht="24" customHeight="1">
      <c r="B1434" s="1033" t="str">
        <f>'Jaringan Listrik'!C4612</f>
        <v>5.1.2.17</v>
      </c>
      <c r="C1434" s="11" t="str">
        <f>VLOOKUP(B1434,'Jaringan Listrik'!C:K,2,FALSE)</f>
        <v xml:space="preserve">Pemasangan 1 Unit Panel Power Elektronik </v>
      </c>
      <c r="D1434" s="9" t="s">
        <v>135</v>
      </c>
      <c r="E1434" s="1021">
        <f>VLOOKUP(C1434,'Jaringan Listrik'!$D$2:$I$5188,6,FALSE)</f>
        <v>247600</v>
      </c>
      <c r="F1434" s="1003">
        <f>VLOOKUP(C1434,'Jaringan Listrik'!$D:$K,7,FALSE)</f>
        <v>0</v>
      </c>
      <c r="G1434" s="12">
        <f>VLOOKUP(C1434,'Jaringan Listrik'!$D:$K,8,FALSE)</f>
        <v>0</v>
      </c>
      <c r="H1434" s="374"/>
      <c r="I1434" s="16"/>
    </row>
    <row r="1435" spans="2:9" ht="24" customHeight="1">
      <c r="B1435" s="1033" t="str">
        <f>'Jaringan Listrik'!C4629</f>
        <v>5.1.2.18</v>
      </c>
      <c r="C1435" s="11" t="str">
        <f>VLOOKUP(B1435,'Jaringan Listrik'!C:K,2,FALSE)</f>
        <v>Pemasangan 1 Unit Panel Power AHU</v>
      </c>
      <c r="D1435" s="9" t="s">
        <v>135</v>
      </c>
      <c r="E1435" s="1021">
        <f>VLOOKUP(C1435,'Jaringan Listrik'!$D$2:$I$5188,6,FALSE)</f>
        <v>461200</v>
      </c>
      <c r="F1435" s="1003">
        <f>VLOOKUP(C1435,'Jaringan Listrik'!$D:$K,7,FALSE)</f>
        <v>0</v>
      </c>
      <c r="G1435" s="12">
        <f>VLOOKUP(C1435,'Jaringan Listrik'!$D:$K,8,FALSE)</f>
        <v>0</v>
      </c>
      <c r="H1435" s="374"/>
      <c r="I1435" s="16"/>
    </row>
    <row r="1436" spans="2:9" ht="24" customHeight="1">
      <c r="B1436" s="1033" t="str">
        <f>'Jaringan Listrik'!C4647</f>
        <v>5.1.2.19</v>
      </c>
      <c r="C1436" s="11" t="str">
        <f>VLOOKUP(B1436,'Jaringan Listrik'!C:K,2,FALSE)</f>
        <v>Pemasangan 1 Unit Panel Power AC (VRF/DX System)</v>
      </c>
      <c r="D1436" s="9" t="s">
        <v>135</v>
      </c>
      <c r="E1436" s="1021">
        <f>VLOOKUP(C1436,'Jaringan Listrik'!$D$2:$I$5188,6,FALSE)</f>
        <v>354000</v>
      </c>
      <c r="F1436" s="1003">
        <f>VLOOKUP(C1436,'Jaringan Listrik'!$D:$K,7,FALSE)</f>
        <v>0</v>
      </c>
      <c r="G1436" s="12">
        <f>VLOOKUP(C1436,'Jaringan Listrik'!$D:$K,8,FALSE)</f>
        <v>0</v>
      </c>
      <c r="H1436" s="374"/>
      <c r="I1436" s="16"/>
    </row>
    <row r="1437" spans="2:9" ht="24" customHeight="1">
      <c r="B1437" s="1033" t="str">
        <f>'Jaringan Listrik'!C4665</f>
        <v>5.1.2.20</v>
      </c>
      <c r="C1437" s="11" t="str">
        <f>VLOOKUP(B1437,'Jaringan Listrik'!C:K,2,FALSE)</f>
        <v>Pemasangan 1 Unit Panel Power Chiller</v>
      </c>
      <c r="D1437" s="9" t="s">
        <v>135</v>
      </c>
      <c r="E1437" s="1021">
        <f>VLOOKUP(C1437,'Jaringan Listrik'!$D$2:$I$5188,6,FALSE)</f>
        <v>637300</v>
      </c>
      <c r="F1437" s="1003">
        <f>VLOOKUP(C1437,'Jaringan Listrik'!$D:$K,7,FALSE)</f>
        <v>0</v>
      </c>
      <c r="G1437" s="12">
        <f>VLOOKUP(C1437,'Jaringan Listrik'!$D:$K,8,FALSE)</f>
        <v>0</v>
      </c>
      <c r="H1437" s="374"/>
      <c r="I1437" s="16"/>
    </row>
    <row r="1438" spans="2:9" ht="24" customHeight="1">
      <c r="B1438" s="1033" t="str">
        <f>'Jaringan Listrik'!C4683</f>
        <v>5.1.2.21</v>
      </c>
      <c r="C1438" s="11" t="str">
        <f>VLOOKUP(B1438,'Jaringan Listrik'!C:K,2,FALSE)</f>
        <v>Pemasangan 1 Unit Panel Kontrol Power Chiller</v>
      </c>
      <c r="D1438" s="9" t="s">
        <v>135</v>
      </c>
      <c r="E1438" s="1021">
        <f>VLOOKUP(C1438,'Jaringan Listrik'!$D$2:$I$5188,6,FALSE)</f>
        <v>388700</v>
      </c>
      <c r="F1438" s="1003">
        <f>VLOOKUP(C1438,'Jaringan Listrik'!$D:$K,7,FALSE)</f>
        <v>0</v>
      </c>
      <c r="G1438" s="12">
        <f>VLOOKUP(C1438,'Jaringan Listrik'!$D:$K,8,FALSE)</f>
        <v>0</v>
      </c>
      <c r="H1438" s="374"/>
      <c r="I1438" s="16"/>
    </row>
    <row r="1439" spans="2:9" ht="24" customHeight="1">
      <c r="B1439" s="1033" t="str">
        <f>'Jaringan Listrik'!C4701</f>
        <v>5.1.2.22</v>
      </c>
      <c r="C1439" s="11" t="str">
        <f>VLOOKUP(B1439,'Jaringan Listrik'!C:K,2,FALSE)</f>
        <v xml:space="preserve">Pemasangan 1 Unit Panel Kontrol Pompa Cooling Tower </v>
      </c>
      <c r="D1439" s="9" t="s">
        <v>135</v>
      </c>
      <c r="E1439" s="1021">
        <f>VLOOKUP(C1439,'Jaringan Listrik'!$D$2:$I$5188,6,FALSE)</f>
        <v>486800</v>
      </c>
      <c r="F1439" s="1003">
        <f>VLOOKUP(C1439,'Jaringan Listrik'!$D:$K,7,FALSE)</f>
        <v>0</v>
      </c>
      <c r="G1439" s="12">
        <f>VLOOKUP(C1439,'Jaringan Listrik'!$D:$K,8,FALSE)</f>
        <v>0</v>
      </c>
      <c r="H1439" s="374"/>
      <c r="I1439" s="16"/>
    </row>
    <row r="1440" spans="2:9" ht="24" customHeight="1">
      <c r="B1440" s="1033" t="str">
        <f>'Jaringan Listrik'!C4719</f>
        <v>5.1.2.23</v>
      </c>
      <c r="C1440" s="11" t="str">
        <f>VLOOKUP(B1440,'Jaringan Listrik'!C:K,2,FALSE)</f>
        <v xml:space="preserve">Pemasangan 1 Unit Panel Kontrol Fan Presurisasi </v>
      </c>
      <c r="D1440" s="9" t="s">
        <v>135</v>
      </c>
      <c r="E1440" s="1021">
        <f>VLOOKUP(C1440,'Jaringan Listrik'!$D$2:$I$5188,6,FALSE)</f>
        <v>311600</v>
      </c>
      <c r="F1440" s="1003">
        <f>VLOOKUP(C1440,'Jaringan Listrik'!$D:$K,7,FALSE)</f>
        <v>0</v>
      </c>
      <c r="G1440" s="12">
        <f>VLOOKUP(C1440,'Jaringan Listrik'!$D:$K,8,FALSE)</f>
        <v>0</v>
      </c>
      <c r="H1440" s="374"/>
      <c r="I1440" s="16"/>
    </row>
    <row r="1441" spans="1:9" ht="24" customHeight="1">
      <c r="B1441" s="1033" t="str">
        <f>'Jaringan Listrik'!C4737</f>
        <v>5.1.2.24</v>
      </c>
      <c r="C1441" s="11" t="str">
        <f>VLOOKUP(B1441,'Jaringan Listrik'!C:K,2,FALSE)</f>
        <v xml:space="preserve">Pemasangan 1 Unit MCB Box </v>
      </c>
      <c r="D1441" s="9" t="s">
        <v>135</v>
      </c>
      <c r="E1441" s="1021">
        <f>VLOOKUP(C1441,'Jaringan Listrik'!$D$2:$I$5188,6,FALSE)</f>
        <v>41300</v>
      </c>
      <c r="F1441" s="1003">
        <f>VLOOKUP(C1441,'Jaringan Listrik'!$D:$K,7,FALSE)</f>
        <v>0</v>
      </c>
      <c r="G1441" s="12">
        <f>VLOOKUP(C1441,'Jaringan Listrik'!$D:$K,8,FALSE)</f>
        <v>0</v>
      </c>
      <c r="H1441" s="374"/>
      <c r="I1441" s="16"/>
    </row>
    <row r="1442" spans="1:9" s="1" customFormat="1" ht="24" customHeight="1">
      <c r="A1442" s="47"/>
      <c r="B1442" s="1043" t="str">
        <f>'Jaringan Listrik'!C4755</f>
        <v>5.1.3</v>
      </c>
      <c r="C1442" s="997" t="str">
        <f>VLOOKUP(B1442,'Jaringan Listrik'!C:K,2,FALSE)</f>
        <v xml:space="preserve">Pemasangan Genset </v>
      </c>
      <c r="D1442" s="994"/>
      <c r="E1442" s="1049">
        <f>VLOOKUP(C1442,'Jaringan Listrik'!$D$2:$I$5188,6,FALSE)</f>
        <v>0</v>
      </c>
      <c r="F1442" s="1004">
        <f>VLOOKUP(C1442,'Jaringan Listrik'!$D:$K,7,FALSE)</f>
        <v>0</v>
      </c>
      <c r="G1442" s="36">
        <f>VLOOKUP(C1442,'Jaringan Listrik'!$D:$K,8,FALSE)</f>
        <v>0</v>
      </c>
      <c r="H1442" s="1092"/>
      <c r="I1442" s="21"/>
    </row>
    <row r="1443" spans="1:9" ht="24" customHeight="1">
      <c r="B1443" s="1033" t="str">
        <f>'Jaringan Listrik'!C4756</f>
        <v>5.1.3.1</v>
      </c>
      <c r="C1443" s="11" t="str">
        <f>VLOOKUP(B1443,'Jaringan Listrik'!C:K,2,FALSE)</f>
        <v xml:space="preserve">Pemasanga 1 Unit Genset Kap : 75 Kva Silent Type </v>
      </c>
      <c r="D1443" s="9" t="s">
        <v>135</v>
      </c>
      <c r="E1443" s="1021">
        <f>VLOOKUP(C1443,'Jaringan Listrik'!$D$2:$I$5188,6,FALSE)</f>
        <v>1114000</v>
      </c>
      <c r="F1443" s="1003">
        <f>VLOOKUP(C1443,'Jaringan Listrik'!$D:$K,7,FALSE)</f>
        <v>0</v>
      </c>
      <c r="G1443" s="12">
        <f>VLOOKUP(C1443,'Jaringan Listrik'!$D:$K,8,FALSE)</f>
        <v>0</v>
      </c>
      <c r="H1443" s="374"/>
      <c r="I1443" s="16"/>
    </row>
    <row r="1444" spans="1:9" ht="24" customHeight="1">
      <c r="B1444" s="1033" t="str">
        <f>'Jaringan Listrik'!C4780</f>
        <v>5.1.3.2</v>
      </c>
      <c r="C1444" s="11" t="str">
        <f>VLOOKUP(B1444,'Jaringan Listrik'!C:K,2,FALSE)</f>
        <v xml:space="preserve">Pemasanga 1 Unit Genset Kap : 100 Kva Silent Type </v>
      </c>
      <c r="D1444" s="9" t="s">
        <v>135</v>
      </c>
      <c r="E1444" s="1021">
        <f>VLOOKUP(C1444,'Jaringan Listrik'!$D$2:$I$5188,6,FALSE)</f>
        <v>1402800</v>
      </c>
      <c r="F1444" s="1003">
        <f>VLOOKUP(C1444,'Jaringan Listrik'!$D:$K,7,FALSE)</f>
        <v>0</v>
      </c>
      <c r="G1444" s="12">
        <f>VLOOKUP(C1444,'Jaringan Listrik'!$D:$K,8,FALSE)</f>
        <v>0</v>
      </c>
      <c r="H1444" s="374"/>
      <c r="I1444" s="16"/>
    </row>
    <row r="1445" spans="1:9" ht="24" customHeight="1">
      <c r="B1445" s="1033" t="str">
        <f>'Jaringan Listrik'!C4798</f>
        <v>5.1.3.3</v>
      </c>
      <c r="C1445" s="11" t="str">
        <f>VLOOKUP(B1445,'Jaringan Listrik'!C:K,2,FALSE)</f>
        <v xml:space="preserve">Pemasanga 1 Unit Genset Kap : 400 Kva Silent Type </v>
      </c>
      <c r="D1445" s="9" t="s">
        <v>135</v>
      </c>
      <c r="E1445" s="1021">
        <f>VLOOKUP(C1445,'Jaringan Listrik'!$D$2:$I$5188,6,FALSE)</f>
        <v>31919400</v>
      </c>
      <c r="F1445" s="1003">
        <f>VLOOKUP(C1445,'Jaringan Listrik'!$D:$K,7,FALSE)</f>
        <v>0</v>
      </c>
      <c r="G1445" s="12">
        <f>VLOOKUP(C1445,'Jaringan Listrik'!$D:$K,8,FALSE)</f>
        <v>0</v>
      </c>
      <c r="H1445" s="374"/>
      <c r="I1445" s="16"/>
    </row>
    <row r="1446" spans="1:9" ht="24" customHeight="1">
      <c r="B1446" s="1033" t="str">
        <f>'Jaringan Listrik'!C4817</f>
        <v>5.1.3.4</v>
      </c>
      <c r="C1446" s="11" t="str">
        <f>VLOOKUP(B1446,'Jaringan Listrik'!C:K,2,FALSE)</f>
        <v xml:space="preserve">Pemasanga 1 Unit UPS KVA/3P Type  Online Back Up Battery 15 menit </v>
      </c>
      <c r="D1446" s="9" t="s">
        <v>135</v>
      </c>
      <c r="E1446" s="1021">
        <f>VLOOKUP(C1446,'Jaringan Listrik'!$D$2:$I$5188,6,FALSE)</f>
        <v>268600</v>
      </c>
      <c r="F1446" s="1003">
        <f>VLOOKUP(C1446,'Jaringan Listrik'!$D:$K,7,FALSE)</f>
        <v>0</v>
      </c>
      <c r="G1446" s="12">
        <f>VLOOKUP(C1446,'Jaringan Listrik'!$D:$K,8,FALSE)</f>
        <v>0</v>
      </c>
      <c r="H1446" s="374"/>
      <c r="I1446" s="16"/>
    </row>
    <row r="1447" spans="1:9" ht="24" customHeight="1">
      <c r="B1447" s="1033" t="str">
        <f>'Jaringan Listrik'!C4834</f>
        <v>5.1.3.5</v>
      </c>
      <c r="C1447" s="11" t="str">
        <f>VLOOKUP(B1447,'Jaringan Listrik'!C:K,2,FALSE)</f>
        <v>Pemasanga 1 Unit Tangki Solar Harian 500 Liter</v>
      </c>
      <c r="D1447" s="9" t="s">
        <v>135</v>
      </c>
      <c r="E1447" s="1021">
        <f>VLOOKUP(C1447,'Jaringan Listrik'!$D$2:$I$5188,6,FALSE)</f>
        <v>488600</v>
      </c>
      <c r="F1447" s="1003">
        <f>VLOOKUP(C1447,'Jaringan Listrik'!$D:$K,7,FALSE)</f>
        <v>0</v>
      </c>
      <c r="G1447" s="12">
        <f>VLOOKUP(C1447,'Jaringan Listrik'!$D:$K,8,FALSE)</f>
        <v>0</v>
      </c>
      <c r="H1447" s="374"/>
      <c r="I1447" s="16"/>
    </row>
    <row r="1448" spans="1:9" ht="24" customHeight="1">
      <c r="B1448" s="1033" t="str">
        <f>'Jaringan Listrik'!C4851</f>
        <v>5.1.3.6</v>
      </c>
      <c r="C1448" s="11" t="str">
        <f>VLOOKUP(B1448,'Jaringan Listrik'!C:K,2,FALSE)</f>
        <v xml:space="preserve">Pemasanga 1 Unit Tangki Solar </v>
      </c>
      <c r="D1448" s="9"/>
      <c r="E1448" s="1021"/>
      <c r="F1448" s="1003" t="str">
        <f>VLOOKUP(C1448,'Jaringan Listrik'!$D:$K,7,FALSE)</f>
        <v xml:space="preserve">sebelumnya belum ada item ini </v>
      </c>
      <c r="G1448" s="12">
        <f>VLOOKUP(C1448,'Jaringan Listrik'!$D:$K,8,FALSE)</f>
        <v>0</v>
      </c>
      <c r="H1448" s="374"/>
      <c r="I1448" s="16"/>
    </row>
    <row r="1449" spans="1:9" s="1" customFormat="1" ht="24" customHeight="1">
      <c r="A1449" s="47"/>
      <c r="B1449" s="1043" t="str">
        <f>'Jaringan Listrik'!C4869</f>
        <v>5.1.4</v>
      </c>
      <c r="C1449" s="997" t="str">
        <f>VLOOKUP(B1449,'Jaringan Listrik'!C:K,2,FALSE)</f>
        <v xml:space="preserve">Pemasangan Trafo </v>
      </c>
      <c r="D1449" s="994"/>
      <c r="E1449" s="1049">
        <f>VLOOKUP(C1449,'Jaringan Listrik'!$D$2:$I$5188,6,FALSE)</f>
        <v>0</v>
      </c>
      <c r="F1449" s="1004">
        <f>VLOOKUP(C1449,'Jaringan Listrik'!$D:$K,7,FALSE)</f>
        <v>0</v>
      </c>
      <c r="G1449" s="36">
        <f>VLOOKUP(C1449,'Jaringan Listrik'!$D:$K,8,FALSE)</f>
        <v>0</v>
      </c>
      <c r="H1449" s="1092"/>
      <c r="I1449" s="21"/>
    </row>
    <row r="1450" spans="1:9" ht="24" customHeight="1">
      <c r="B1450" s="1033" t="str">
        <f>'Jaringan Listrik'!C4870</f>
        <v>5.1.4.1</v>
      </c>
      <c r="C1450" s="11" t="str">
        <f>VLOOKUP(B1450,'Jaringan Listrik'!C:K,2,FALSE)</f>
        <v>Pemasanga 1 Unit Trafo Kap : 630 Kva : Synthetic Oil Ester (Termasuk Terminasi Instalasi Trafo)</v>
      </c>
      <c r="D1450" s="9" t="s">
        <v>135</v>
      </c>
      <c r="E1450" s="1021">
        <f>VLOOKUP(C1450,'Jaringan Listrik'!$D$2:$I$5188,6,FALSE)</f>
        <v>1035600</v>
      </c>
      <c r="F1450" s="1003">
        <f>VLOOKUP(C1450,'Jaringan Listrik'!$D:$K,7,FALSE)</f>
        <v>0</v>
      </c>
      <c r="G1450" s="12">
        <f>VLOOKUP(C1450,'Jaringan Listrik'!$D:$K,8,FALSE)</f>
        <v>0</v>
      </c>
      <c r="H1450" s="374"/>
      <c r="I1450" s="16"/>
    </row>
    <row r="1451" spans="1:9" s="1" customFormat="1" ht="24" customHeight="1">
      <c r="A1451" s="47"/>
      <c r="B1451" s="1043" t="str">
        <f>'Jaringan Listrik'!C4888</f>
        <v>5.1.5</v>
      </c>
      <c r="C1451" s="997" t="str">
        <f>VLOOKUP(B1451,'Jaringan Listrik'!C:K,2,FALSE)</f>
        <v xml:space="preserve">Pemasangan Saklar dan Stop Kontak </v>
      </c>
      <c r="D1451" s="994"/>
      <c r="E1451" s="1049">
        <f>VLOOKUP(C1451,'Jaringan Listrik'!$D$2:$I$5188,6,FALSE)</f>
        <v>0</v>
      </c>
      <c r="F1451" s="1004">
        <f>VLOOKUP(C1451,'Jaringan Listrik'!$D:$K,7,FALSE)</f>
        <v>0</v>
      </c>
      <c r="G1451" s="36">
        <f>VLOOKUP(C1451,'Jaringan Listrik'!$D:$K,8,FALSE)</f>
        <v>0</v>
      </c>
      <c r="H1451" s="1092"/>
      <c r="I1451" s="21"/>
    </row>
    <row r="1452" spans="1:9" ht="24" customHeight="1">
      <c r="B1452" s="1033" t="str">
        <f>'Jaringan Listrik'!C4889</f>
        <v>5.1.5.1</v>
      </c>
      <c r="C1452" s="1162" t="str">
        <f>VLOOKUP(B1452,'Jaringan Listrik'!C:K,2,FALSE)</f>
        <v xml:space="preserve">Pemasanga 1 Unit Saklar Tunggal </v>
      </c>
      <c r="D1452" s="9" t="s">
        <v>135</v>
      </c>
      <c r="E1452" s="1021">
        <f>VLOOKUP(C1452,'Jaringan Listrik'!$D$2:$I$5188,6,FALSE)</f>
        <v>36200</v>
      </c>
      <c r="F1452" s="1003">
        <f>VLOOKUP(C1452,'Jaringan Listrik'!$D:$K,7,FALSE)</f>
        <v>0</v>
      </c>
      <c r="G1452" s="12">
        <f>VLOOKUP(C1452,'Jaringan Listrik'!$D:$K,8,FALSE)</f>
        <v>0</v>
      </c>
      <c r="H1452" s="374"/>
      <c r="I1452" s="16"/>
    </row>
    <row r="1453" spans="1:9" ht="24" customHeight="1">
      <c r="B1453" s="1033" t="str">
        <f>'Jaringan Listrik'!C4906</f>
        <v>5.1.5.2</v>
      </c>
      <c r="C1453" s="1162" t="str">
        <f>VLOOKUP(B1453,'Jaringan Listrik'!C:K,2,FALSE)</f>
        <v xml:space="preserve">Pemasanga 1 Unit Saklar Ganda </v>
      </c>
      <c r="D1453" s="9" t="s">
        <v>135</v>
      </c>
      <c r="E1453" s="1021">
        <f>VLOOKUP(C1453,'Jaringan Listrik'!$D$2:$I$5188,6,FALSE)</f>
        <v>48200</v>
      </c>
      <c r="F1453" s="1003">
        <f>VLOOKUP(C1453,'Jaringan Listrik'!$D:$K,7,FALSE)</f>
        <v>0</v>
      </c>
      <c r="G1453" s="12">
        <f>VLOOKUP(C1453,'Jaringan Listrik'!$D:$K,8,FALSE)</f>
        <v>0</v>
      </c>
      <c r="H1453" s="374"/>
      <c r="I1453" s="16"/>
    </row>
    <row r="1454" spans="1:9" ht="24" customHeight="1">
      <c r="B1454" s="1033" t="str">
        <f>'Jaringan Listrik'!C4923</f>
        <v>5.1.5.3</v>
      </c>
      <c r="C1454" s="11" t="str">
        <f>VLOOKUP(B1454,'Jaringan Listrik'!C:K,2,FALSE)</f>
        <v xml:space="preserve">Pemasanga 1 Unit Saklar Triple  </v>
      </c>
      <c r="D1454" s="9" t="s">
        <v>135</v>
      </c>
      <c r="E1454" s="1021">
        <f>VLOOKUP(C1454,'Jaringan Listrik'!$D$2:$I$5188,6,FALSE)</f>
        <v>12300</v>
      </c>
      <c r="F1454" s="1003">
        <f>VLOOKUP(C1454,'Jaringan Listrik'!$D:$K,7,FALSE)</f>
        <v>0</v>
      </c>
      <c r="G1454" s="12">
        <f>VLOOKUP(C1454,'Jaringan Listrik'!$D:$K,8,FALSE)</f>
        <v>0</v>
      </c>
      <c r="H1454" s="374"/>
      <c r="I1454" s="16"/>
    </row>
    <row r="1455" spans="1:9" ht="24" customHeight="1">
      <c r="B1455" s="1033" t="str">
        <f>'Jaringan Listrik'!C4940</f>
        <v>5.1.5.4</v>
      </c>
      <c r="C1455" s="11" t="str">
        <f>VLOOKUP(B1455,'Jaringan Listrik'!C:K,2,FALSE)</f>
        <v xml:space="preserve">Pemasanga 1 Unit Grid Switch 2 x 2  </v>
      </c>
      <c r="D1455" s="9" t="s">
        <v>135</v>
      </c>
      <c r="E1455" s="1021">
        <f>VLOOKUP(C1455,'Jaringan Listrik'!$D$2:$I$5188,6,FALSE)</f>
        <v>29000</v>
      </c>
      <c r="F1455" s="1003">
        <f>VLOOKUP(C1455,'Jaringan Listrik'!$D:$K,7,FALSE)</f>
        <v>0</v>
      </c>
      <c r="G1455" s="12">
        <f>VLOOKUP(C1455,'Jaringan Listrik'!$D:$K,8,FALSE)</f>
        <v>0</v>
      </c>
      <c r="H1455" s="374"/>
      <c r="I1455" s="16"/>
    </row>
    <row r="1456" spans="1:9" ht="24" customHeight="1">
      <c r="B1456" s="1033" t="str">
        <f>'Jaringan Listrik'!C4957</f>
        <v>5.1.5.5</v>
      </c>
      <c r="C1456" s="11" t="str">
        <f>VLOOKUP(B1456,'Jaringan Listrik'!C:K,2,FALSE)</f>
        <v>Pemasanga 1 Unit Grid Switch 2 x 12  dan 14</v>
      </c>
      <c r="D1456" s="9" t="s">
        <v>135</v>
      </c>
      <c r="E1456" s="1021">
        <f>VLOOKUP(C1456,'Jaringan Listrik'!$D$2:$I$5188,6,FALSE)</f>
        <v>57400</v>
      </c>
      <c r="F1456" s="1003">
        <f>VLOOKUP(C1456,'Jaringan Listrik'!$D:$K,7,FALSE)</f>
        <v>0</v>
      </c>
      <c r="G1456" s="12">
        <f>VLOOKUP(C1456,'Jaringan Listrik'!$D:$K,8,FALSE)</f>
        <v>0</v>
      </c>
      <c r="H1456" s="374"/>
      <c r="I1456" s="16"/>
    </row>
    <row r="1457" spans="1:9" ht="24" customHeight="1">
      <c r="B1457" s="1033" t="str">
        <f>'Jaringan Listrik'!C4974</f>
        <v>5.1.5.7</v>
      </c>
      <c r="C1457" s="11" t="str">
        <f>VLOOKUP(B1457,'Jaringan Listrik'!C:K,2,FALSE)</f>
        <v xml:space="preserve">Pemasanga 1 Unit Grid Switch 2 x 24  </v>
      </c>
      <c r="D1457" s="9" t="s">
        <v>135</v>
      </c>
      <c r="E1457" s="1021">
        <f>VLOOKUP(C1457,'Jaringan Listrik'!$D$2:$I$5188,6,FALSE)</f>
        <v>86600</v>
      </c>
      <c r="F1457" s="1003">
        <f>VLOOKUP(C1457,'Jaringan Listrik'!$D:$K,7,FALSE)</f>
        <v>0</v>
      </c>
      <c r="G1457" s="12">
        <f>VLOOKUP(C1457,'Jaringan Listrik'!$D:$K,8,FALSE)</f>
        <v>0</v>
      </c>
      <c r="H1457" s="374"/>
      <c r="I1457" s="16"/>
    </row>
    <row r="1458" spans="1:9" ht="24" customHeight="1">
      <c r="B1458" s="1033" t="str">
        <f>'Jaringan Listrik'!C4991</f>
        <v>5.1.5.8</v>
      </c>
      <c r="C1458" s="11" t="str">
        <f>VLOOKUP(B1458,'Jaringan Listrik'!C:K,2,FALSE)</f>
        <v xml:space="preserve">Pemasanga 1 Unit Grid Switch 4 x 2 Gang  </v>
      </c>
      <c r="D1458" s="9" t="s">
        <v>135</v>
      </c>
      <c r="E1458" s="1021">
        <f>VLOOKUP(C1458,'Jaringan Listrik'!$D$2:$I$5188,6,FALSE)</f>
        <v>57400</v>
      </c>
      <c r="F1458" s="1003">
        <f>VLOOKUP(C1458,'Jaringan Listrik'!$D:$K,7,FALSE)</f>
        <v>0</v>
      </c>
      <c r="G1458" s="12">
        <f>VLOOKUP(C1458,'Jaringan Listrik'!$D:$K,8,FALSE)</f>
        <v>0</v>
      </c>
      <c r="H1458" s="374"/>
      <c r="I1458" s="16"/>
    </row>
    <row r="1459" spans="1:9" ht="24" customHeight="1">
      <c r="B1459" s="1033" t="str">
        <f>'Jaringan Listrik'!C5008</f>
        <v>5.1.5.9</v>
      </c>
      <c r="C1459" s="1162" t="str">
        <f>VLOOKUP(B1459,'Jaringan Listrik'!C:K,2,FALSE)</f>
        <v>Pemasanga 1 Unit Stop Kontak (1 P, 10 A, 200 W+ cover,hand Dryer 1 Ph. 1000 w)</v>
      </c>
      <c r="D1459" s="9" t="s">
        <v>135</v>
      </c>
      <c r="E1459" s="1021">
        <f>VLOOKUP(C1459,'Jaringan Listrik'!$D$2:$I$5188,6,FALSE)</f>
        <v>46100</v>
      </c>
      <c r="F1459" s="1003">
        <f>VLOOKUP(C1459,'Jaringan Listrik'!$D:$K,7,FALSE)</f>
        <v>0</v>
      </c>
      <c r="G1459" s="12">
        <f>VLOOKUP(C1459,'Jaringan Listrik'!$D:$K,8,FALSE)</f>
        <v>0</v>
      </c>
      <c r="H1459" s="374"/>
      <c r="I1459" s="16"/>
    </row>
    <row r="1460" spans="1:9" ht="24" customHeight="1">
      <c r="B1460" s="1033" t="str">
        <f>'Jaringan Listrik'!C5025</f>
        <v>5.1.5.12</v>
      </c>
      <c r="C1460" s="11" t="str">
        <f>VLOOKUP(B1460,'Jaringan Listrik'!C:K,2,FALSE)</f>
        <v xml:space="preserve">Pemasanga 1 Unit Stop Kontak AC </v>
      </c>
      <c r="D1460" s="9" t="s">
        <v>135</v>
      </c>
      <c r="E1460" s="1021">
        <f>VLOOKUP(C1460,'Jaringan Listrik'!$D$2:$I$5188,6,FALSE)</f>
        <v>15000</v>
      </c>
      <c r="F1460" s="1003">
        <f>VLOOKUP(C1460,'Jaringan Listrik'!$D:$K,7,FALSE)</f>
        <v>0</v>
      </c>
      <c r="G1460" s="12">
        <f>VLOOKUP(C1460,'Jaringan Listrik'!$D:$K,8,FALSE)</f>
        <v>0</v>
      </c>
      <c r="H1460" s="374"/>
      <c r="I1460" s="16"/>
    </row>
    <row r="1461" spans="1:9" ht="24" customHeight="1">
      <c r="B1461" s="1033" t="str">
        <f>'Jaringan Listrik'!C5042</f>
        <v>5.1.5.13</v>
      </c>
      <c r="C1461" s="11" t="str">
        <f>VLOOKUP(B1461,'Jaringan Listrik'!C:K,2,FALSE)</f>
        <v xml:space="preserve">Pemasanga 1 titik Instalasi Stop Kontak </v>
      </c>
      <c r="D1461" s="9" t="s">
        <v>135</v>
      </c>
      <c r="E1461" s="1021">
        <f>VLOOKUP(C1461,'Jaringan Listrik'!$D$2:$I$5188,6,FALSE)</f>
        <v>812800</v>
      </c>
      <c r="F1461" s="1003">
        <f>VLOOKUP(C1461,'Jaringan Listrik'!$D:$K,7,FALSE)</f>
        <v>0</v>
      </c>
      <c r="G1461" s="12">
        <f>VLOOKUP(C1461,'Jaringan Listrik'!$D:$K,8,FALSE)</f>
        <v>0</v>
      </c>
      <c r="H1461" s="374"/>
      <c r="I1461" s="16"/>
    </row>
    <row r="1462" spans="1:9" ht="24" customHeight="1">
      <c r="B1462" s="1033" t="str">
        <f>'Jaringan Listrik'!C5067</f>
        <v>5.1.5.14</v>
      </c>
      <c r="C1462" s="11" t="str">
        <f>VLOOKUP(B1462,'Jaringan Listrik'!C:K,2,FALSE)</f>
        <v>Pemasanga 1 titik Instalasi Stop Kontak (Kabel LSOH)</v>
      </c>
      <c r="D1462" s="9"/>
      <c r="E1462" s="1021"/>
      <c r="F1462" s="1003">
        <f>VLOOKUP(C1462,'Jaringan Listrik'!$D:$K,7,FALSE)</f>
        <v>0</v>
      </c>
      <c r="G1462" s="12">
        <f>VLOOKUP(C1462,'Jaringan Listrik'!$D:$K,8,FALSE)</f>
        <v>0</v>
      </c>
      <c r="H1462" s="374"/>
      <c r="I1462" s="16"/>
    </row>
    <row r="1463" spans="1:9" ht="24" customHeight="1">
      <c r="B1463" s="1043" t="str">
        <f>'Jaringan Listrik'!C5094</f>
        <v>5.1.6</v>
      </c>
      <c r="C1463" s="997" t="str">
        <f>VLOOKUP(B1463,'Jaringan Listrik'!C:K,2,FALSE)</f>
        <v xml:space="preserve">Pemasangan kWh meter token </v>
      </c>
      <c r="D1463" s="994"/>
      <c r="E1463" s="1022">
        <f>VLOOKUP(C1463,'Jaringan Listrik'!$D$2:$I$5188,6,FALSE)</f>
        <v>0</v>
      </c>
      <c r="F1463" s="1004">
        <f>VLOOKUP(C1463,'Jaringan Listrik'!$D:$K,7,FALSE)</f>
        <v>0</v>
      </c>
      <c r="G1463" s="36">
        <f>VLOOKUP(C1463,'Jaringan Listrik'!$D:$K,8,FALSE)</f>
        <v>0</v>
      </c>
      <c r="H1463" s="374"/>
      <c r="I1463" s="16"/>
    </row>
    <row r="1464" spans="1:9" ht="24" customHeight="1">
      <c r="B1464" s="1033" t="str">
        <f>'Jaringan Listrik'!C5095</f>
        <v>5.1.6.1</v>
      </c>
      <c r="C1464" s="1162" t="str">
        <f>VLOOKUP(B1464,'Jaringan Listrik'!C:K,2,FALSE)</f>
        <v xml:space="preserve">Pemasangan 1 unit kWh Meter Token 1 Phase </v>
      </c>
      <c r="D1464" s="9" t="s">
        <v>135</v>
      </c>
      <c r="E1464" s="1021">
        <f>VLOOKUP(C1464,'Jaringan Listrik'!$D$2:$I$5188,6,FALSE)</f>
        <v>267500</v>
      </c>
      <c r="F1464" s="1003">
        <f>VLOOKUP(C1464,'Jaringan Listrik'!$D:$K,7,FALSE)</f>
        <v>0</v>
      </c>
      <c r="G1464" s="12">
        <f>VLOOKUP(C1464,'Jaringan Listrik'!$D:$K,8,FALSE)</f>
        <v>0</v>
      </c>
      <c r="H1464" s="374"/>
      <c r="I1464" s="16"/>
    </row>
    <row r="1465" spans="1:9" ht="24" customHeight="1">
      <c r="B1465" s="1033" t="str">
        <f>'Jaringan Listrik'!C5112</f>
        <v>5.1.6.2</v>
      </c>
      <c r="C1465" s="11" t="str">
        <f>VLOOKUP(B1465,'Jaringan Listrik'!C:K,2,FALSE)</f>
        <v xml:space="preserve">Pemasangan 1 unit kWh Meter Token 3 Phase </v>
      </c>
      <c r="D1465" s="9" t="s">
        <v>135</v>
      </c>
      <c r="E1465" s="1021">
        <f>VLOOKUP(C1465,'Jaringan Listrik'!$D$2:$I$5188,6,FALSE)</f>
        <v>128000</v>
      </c>
      <c r="F1465" s="1003">
        <f>VLOOKUP(C1465,'Jaringan Listrik'!$D:$K,7,FALSE)</f>
        <v>0</v>
      </c>
      <c r="G1465" s="12">
        <f>VLOOKUP(C1465,'Jaringan Listrik'!$D:$K,8,FALSE)</f>
        <v>0</v>
      </c>
      <c r="H1465" s="374"/>
      <c r="I1465" s="16"/>
    </row>
    <row r="1466" spans="1:9" ht="24" customHeight="1">
      <c r="B1466" s="1033" t="str">
        <f>'Jaringan Listrik'!C5129</f>
        <v>5.1.6.3</v>
      </c>
      <c r="C1466" s="11" t="str">
        <f>VLOOKUP(B1466,'Jaringan Listrik'!C:K,2,FALSE)</f>
        <v xml:space="preserve">Pemasangan 1 unit Softwer Sistem Offile / online untuk kWh Meter Swakelola Prabayar </v>
      </c>
      <c r="D1466" s="9" t="s">
        <v>135</v>
      </c>
      <c r="E1466" s="1021">
        <f>VLOOKUP(C1466,'Jaringan Listrik'!$D$2:$I$5188,6,FALSE)</f>
        <v>251300</v>
      </c>
      <c r="F1466" s="1003">
        <f>VLOOKUP(C1466,'Jaringan Listrik'!$D:$K,7,FALSE)</f>
        <v>0</v>
      </c>
      <c r="G1466" s="12">
        <f>VLOOKUP(C1466,'Jaringan Listrik'!$D:$K,8,FALSE)</f>
        <v>0</v>
      </c>
      <c r="H1466" s="374"/>
      <c r="I1466" s="16"/>
    </row>
    <row r="1467" spans="1:9" ht="24" customHeight="1">
      <c r="B1467" s="1033" t="str">
        <f>'Jaringan Listrik'!C5146</f>
        <v>5.1.6.4</v>
      </c>
      <c r="C1467" s="11" t="str">
        <f>VLOOKUP(B1467,'Jaringan Listrik'!C:K,2,FALSE)</f>
        <v xml:space="preserve">Pemasangan 1 Unit PC Server termasuk OS Windows Server, monitor, keyboard dan Mouse </v>
      </c>
      <c r="D1467" s="9" t="s">
        <v>135</v>
      </c>
      <c r="E1467" s="1021">
        <f>VLOOKUP(C1467,'Jaringan Listrik'!$D$2:$I$5188,6,FALSE)</f>
        <v>251300</v>
      </c>
      <c r="F1467" s="1003">
        <f>VLOOKUP(C1467,'Jaringan Listrik'!$D:$K,7,FALSE)</f>
        <v>0</v>
      </c>
      <c r="G1467" s="12">
        <f>VLOOKUP(C1467,'Jaringan Listrik'!$D:$K,8,FALSE)</f>
        <v>0</v>
      </c>
      <c r="H1467" s="374"/>
      <c r="I1467" s="16"/>
    </row>
    <row r="1468" spans="1:9" s="1" customFormat="1" ht="24" customHeight="1">
      <c r="A1468" s="47"/>
      <c r="B1468" s="1043" t="str">
        <f>'Jaringan Listrik'!C5163</f>
        <v>5.1.7</v>
      </c>
      <c r="C1468" s="997" t="str">
        <f>VLOOKUP(B1468,'Jaringan Listrik'!C:K,2,FALSE)</f>
        <v>Pemasangan Panel Solar</v>
      </c>
      <c r="D1468" s="994"/>
      <c r="E1468" s="1049">
        <f>VLOOKUP(C1468,'Jaringan Listrik'!$D$2:$I$5188,6,FALSE)</f>
        <v>0</v>
      </c>
      <c r="F1468" s="1004">
        <f>VLOOKUP(C1468,'Jaringan Listrik'!$D:$K,7,FALSE)</f>
        <v>0</v>
      </c>
      <c r="G1468" s="36">
        <f>VLOOKUP(C1468,'Jaringan Listrik'!$D:$K,8,FALSE)</f>
        <v>0</v>
      </c>
      <c r="H1468" s="1092"/>
      <c r="I1468" s="21"/>
    </row>
    <row r="1469" spans="1:9" s="1" customFormat="1" ht="24" customHeight="1">
      <c r="A1469" s="47"/>
      <c r="B1469" s="1043" t="str">
        <f>'Jaringan Listrik'!C5165</f>
        <v xml:space="preserve">5.1.8 </v>
      </c>
      <c r="C1469" s="997" t="str">
        <f>VLOOKUP(B1469,'Jaringan Listrik'!C:K,2,FALSE)</f>
        <v xml:space="preserve">Pemasangan sistem Pembumian </v>
      </c>
      <c r="D1469" s="994"/>
      <c r="E1469" s="1049">
        <f>VLOOKUP(C1469,'Jaringan Listrik'!$D$2:$I$5188,6,FALSE)</f>
        <v>0</v>
      </c>
      <c r="F1469" s="1004">
        <f>VLOOKUP(C1469,'Jaringan Listrik'!$D:$K,7,FALSE)</f>
        <v>0</v>
      </c>
      <c r="G1469" s="36">
        <f>VLOOKUP(C1469,'Jaringan Listrik'!$D:$K,8,FALSE)</f>
        <v>0</v>
      </c>
      <c r="H1469" s="1092"/>
      <c r="I1469" s="21"/>
    </row>
    <row r="1470" spans="1:9" ht="24" customHeight="1">
      <c r="B1470" s="1033" t="str">
        <f>'Jaringan Listrik'!C5166</f>
        <v xml:space="preserve">5.1.8.1 </v>
      </c>
      <c r="C1470" s="11" t="str">
        <f>VLOOKUP(B1470,'Jaringan Listrik'!C:K,2,FALSE)</f>
        <v>Pemasangan 1 set pembumian sistem elektrikal dengan batang tembaga dia.5/8"</v>
      </c>
      <c r="D1470" s="9" t="s">
        <v>630</v>
      </c>
      <c r="E1470" s="1021">
        <f>VLOOKUP(C1470,'Jaringan Listrik'!$D$2:$I$5188,6,FALSE)</f>
        <v>14855200</v>
      </c>
      <c r="F1470" s="1003">
        <f>VLOOKUP(C1470,'Jaringan Listrik'!$D:$K,7,FALSE)</f>
        <v>0</v>
      </c>
      <c r="G1470" s="12">
        <f>VLOOKUP(C1470,'Jaringan Listrik'!$D:$K,8,FALSE)</f>
        <v>0</v>
      </c>
      <c r="H1470" s="374"/>
      <c r="I1470" s="16"/>
    </row>
    <row r="1471" spans="1:9" ht="24" customHeight="1">
      <c r="B1471" s="1033" t="str">
        <f>'Jaringan Listrik'!C5190</f>
        <v>5.1.8.2</v>
      </c>
      <c r="C1471" s="11" t="str">
        <f>VLOOKUP(B1471,'Jaringan Listrik'!C:K,2,FALSE)</f>
        <v>Pemasangan 1 set pembumian sistem elektrikal dengan batang tembaga dia.3/4"</v>
      </c>
      <c r="D1471" s="9" t="s">
        <v>6429</v>
      </c>
      <c r="E1471" s="1021">
        <f>VLOOKUP(C1471,'Jaringan Listrik'!$D$5165:$I$7161,6,FALSE)</f>
        <v>18359800</v>
      </c>
      <c r="F1471" s="1003">
        <f>VLOOKUP(C1471,'Jaringan Listrik'!$D:$K,7,FALSE)</f>
        <v>0</v>
      </c>
      <c r="G1471" s="12">
        <f>VLOOKUP(C1471,'Jaringan Listrik'!$D:$K,8,FALSE)</f>
        <v>0</v>
      </c>
      <c r="H1471" s="374"/>
      <c r="I1471" s="16"/>
    </row>
    <row r="1472" spans="1:9" ht="24" customHeight="1">
      <c r="B1472" s="1098" t="str">
        <f>'Jaringan Listrik'!C5214</f>
        <v>5.2</v>
      </c>
      <c r="C1472" s="998" t="str">
        <f>VLOOKUP(B1472,'Jaringan Listrik'!C:K,2,FALSE)</f>
        <v xml:space="preserve">PEKERJAAN SISTEM PROTEKSI PETIR </v>
      </c>
      <c r="D1472" s="1099"/>
      <c r="E1472" s="1050">
        <f>VLOOKUP(C1472,'Jaringan Listrik'!$D$5165:$I$7161,6,FALSE)</f>
        <v>0</v>
      </c>
      <c r="F1472" s="1009">
        <f>VLOOKUP(C1472,'Jaringan Listrik'!$D:$K,7,FALSE)</f>
        <v>0</v>
      </c>
      <c r="G1472" s="31">
        <f>VLOOKUP(C1472,'Jaringan Listrik'!$D:$K,8,FALSE)</f>
        <v>0</v>
      </c>
      <c r="H1472" s="374"/>
      <c r="I1472" s="16"/>
    </row>
    <row r="1473" spans="2:9" ht="24" customHeight="1">
      <c r="B1473" s="1033" t="str">
        <f>'Jaringan Listrik'!C5215</f>
        <v>5.2.1</v>
      </c>
      <c r="C1473" s="11" t="str">
        <f>VLOOKUP(B1473,'Jaringan Listrik'!C:K,2,FALSE)</f>
        <v>Pemasangan 1 unit Air Terminal @1.000 mm</v>
      </c>
      <c r="D1473" s="9" t="s">
        <v>135</v>
      </c>
      <c r="E1473" s="1021">
        <f>VLOOKUP(C1473,'Jaringan Listrik'!$D$5165:$I$7161,6,FALSE)</f>
        <v>2052400</v>
      </c>
      <c r="F1473" s="1003">
        <f>VLOOKUP(C1473,'Jaringan Listrik'!$D:$K,7,FALSE)</f>
        <v>0</v>
      </c>
      <c r="G1473" s="12">
        <f>VLOOKUP(C1473,'Jaringan Listrik'!$D:$K,8,FALSE)</f>
        <v>0</v>
      </c>
      <c r="H1473" s="374"/>
      <c r="I1473" s="16"/>
    </row>
    <row r="1474" spans="2:9" ht="24" customHeight="1">
      <c r="B1474" s="1033" t="str">
        <f>'Jaringan Listrik'!C5233</f>
        <v>5.2.2</v>
      </c>
      <c r="C1474" s="11" t="str">
        <f>VLOOKUP(B1474,'Jaringan Listrik'!C:K,2,FALSE)</f>
        <v xml:space="preserve">Pemasangan 1 unit Base Air Terminal </v>
      </c>
      <c r="D1474" s="9" t="s">
        <v>135</v>
      </c>
      <c r="E1474" s="1021">
        <f>VLOOKUP(C1474,'Jaringan Listrik'!$D$5165:$I$7161,6,FALSE)</f>
        <v>786300</v>
      </c>
      <c r="F1474" s="1003">
        <f>VLOOKUP(C1474,'Jaringan Listrik'!$D:$K,7,FALSE)</f>
        <v>0</v>
      </c>
      <c r="G1474" s="12">
        <f>VLOOKUP(C1474,'Jaringan Listrik'!$D:$K,8,FALSE)</f>
        <v>0</v>
      </c>
      <c r="H1474" s="374"/>
      <c r="I1474" s="16"/>
    </row>
    <row r="1475" spans="2:9" ht="24" customHeight="1">
      <c r="B1475" s="1033" t="str">
        <f>'Jaringan Listrik'!C5250</f>
        <v>5.2.3</v>
      </c>
      <c r="C1475" s="11" t="str">
        <f>VLOOKUP(B1475,'Jaringan Listrik'!C:K,2,FALSE)</f>
        <v xml:space="preserve">Pemasangan 1 Unit DC Clip Non Metalic Clamp </v>
      </c>
      <c r="D1475" s="9" t="s">
        <v>135</v>
      </c>
      <c r="E1475" s="1021">
        <f>VLOOKUP(C1475,'Jaringan Listrik'!$D$5165:$I$7161,6,FALSE)</f>
        <v>91600</v>
      </c>
      <c r="F1475" s="1003">
        <f>VLOOKUP(C1475,'Jaringan Listrik'!$D:$K,7,FALSE)</f>
        <v>0</v>
      </c>
      <c r="G1475" s="12">
        <f>VLOOKUP(C1475,'Jaringan Listrik'!$D:$K,8,FALSE)</f>
        <v>0</v>
      </c>
      <c r="H1475" s="374"/>
      <c r="I1475" s="16"/>
    </row>
    <row r="1476" spans="2:9" ht="24" customHeight="1">
      <c r="B1476" s="1033" t="str">
        <f>'Jaringan Listrik'!C5267</f>
        <v>5.2.4</v>
      </c>
      <c r="C1476" s="11" t="str">
        <f>VLOOKUP(B1476,'Jaringan Listrik'!C:K,2,FALSE)</f>
        <v>Pemasangan 1 UnitSquare Tape Clamp</v>
      </c>
      <c r="D1476" s="9" t="s">
        <v>135</v>
      </c>
      <c r="E1476" s="1021">
        <f>VLOOKUP(C1476,'Jaringan Listrik'!$D$5165:$I$7161,6,FALSE)</f>
        <v>111600</v>
      </c>
      <c r="F1476" s="1003">
        <f>VLOOKUP(C1476,'Jaringan Listrik'!$D:$K,7,FALSE)</f>
        <v>0</v>
      </c>
      <c r="G1476" s="12">
        <f>VLOOKUP(C1476,'Jaringan Listrik'!$D:$K,8,FALSE)</f>
        <v>0</v>
      </c>
      <c r="H1476" s="374"/>
      <c r="I1476" s="16"/>
    </row>
    <row r="1477" spans="2:9" ht="24" customHeight="1">
      <c r="B1477" s="1033" t="str">
        <f>'Jaringan Listrik'!C5284</f>
        <v>5.2.5</v>
      </c>
      <c r="C1477" s="11" t="str">
        <f>VLOOKUP(B1477,'Jaringan Listrik'!C:K,2,FALSE)</f>
        <v xml:space="preserve">Pemasangan 1 Unit Bimetallic Connector </v>
      </c>
      <c r="D1477" s="9" t="s">
        <v>135</v>
      </c>
      <c r="E1477" s="1021">
        <f>VLOOKUP(C1477,'Jaringan Listrik'!$D$5165:$I$7161,6,FALSE)</f>
        <v>87400</v>
      </c>
      <c r="F1477" s="1003">
        <f>VLOOKUP(C1477,'Jaringan Listrik'!$D:$K,7,FALSE)</f>
        <v>0</v>
      </c>
      <c r="G1477" s="12">
        <f>VLOOKUP(C1477,'Jaringan Listrik'!$D:$K,8,FALSE)</f>
        <v>0</v>
      </c>
      <c r="H1477" s="374"/>
      <c r="I1477" s="16"/>
    </row>
    <row r="1478" spans="2:9" ht="24" customHeight="1">
      <c r="B1478" s="1033" t="str">
        <f>'Jaringan Listrik'!C5301</f>
        <v>5.2.6</v>
      </c>
      <c r="C1478" s="11" t="str">
        <f>VLOOKUP(B1478,'Jaringan Listrik'!C:K,2,FALSE)</f>
        <v xml:space="preserve">Pemasangan 1 Unit Grounding Test Box </v>
      </c>
      <c r="D1478" s="9" t="s">
        <v>135</v>
      </c>
      <c r="E1478" s="1021">
        <f>VLOOKUP(C1478,'Jaringan Listrik'!$D$5165:$I$7161,6,FALSE)</f>
        <v>670600</v>
      </c>
      <c r="F1478" s="1003">
        <f>VLOOKUP(C1478,'Jaringan Listrik'!$D:$K,7,FALSE)</f>
        <v>0</v>
      </c>
      <c r="G1478" s="12">
        <f>VLOOKUP(C1478,'Jaringan Listrik'!$D:$K,8,FALSE)</f>
        <v>0</v>
      </c>
      <c r="H1478" s="374"/>
      <c r="I1478" s="16"/>
    </row>
    <row r="1479" spans="2:9" ht="24" customHeight="1">
      <c r="B1479" s="1033" t="str">
        <f>'Jaringan Listrik'!C5319</f>
        <v>5.2.7</v>
      </c>
      <c r="C1479" s="11" t="str">
        <f>VLOOKUP(B1479,'Jaringan Listrik'!C:K,2,FALSE)</f>
        <v>Pemasangan 1 Unit 5/8" Rod Coupling</v>
      </c>
      <c r="D1479" s="9" t="s">
        <v>135</v>
      </c>
      <c r="E1479" s="1021">
        <f>VLOOKUP(C1479,'Jaringan Listrik'!$D$5165:$I$7161,6,FALSE)</f>
        <v>127300</v>
      </c>
      <c r="F1479" s="1003" t="str">
        <f>VLOOKUP(C1479,'Jaringan Listrik'!$D:$K,7,FALSE)</f>
        <v>Revisi</v>
      </c>
      <c r="G1479" s="12" t="str">
        <f>VLOOKUP(C1479,'Jaringan Listrik'!$D:$K,8,FALSE)</f>
        <v>Perubahan Koefisien  Bhandr 1,1 jadi 1,05</v>
      </c>
      <c r="H1479" s="374"/>
      <c r="I1479" s="16"/>
    </row>
    <row r="1480" spans="2:9" ht="24" customHeight="1">
      <c r="B1480" s="1033" t="str">
        <f>'Jaringan Listrik'!C5336</f>
        <v>5.2.8</v>
      </c>
      <c r="C1480" s="11" t="str">
        <f>VLOOKUP(B1480,'Jaringan Listrik'!C:K,2,FALSE)</f>
        <v xml:space="preserve">Pemasangan 1 Unit 5/8"Driving Stud </v>
      </c>
      <c r="D1480" s="9" t="s">
        <v>135</v>
      </c>
      <c r="E1480" s="1021">
        <f>VLOOKUP(C1480,'Jaringan Listrik'!$D$5165:$I$7161,6,FALSE)</f>
        <v>119400</v>
      </c>
      <c r="F1480" s="1003">
        <f>VLOOKUP(C1480,'Jaringan Listrik'!$D:$K,7,FALSE)</f>
        <v>0</v>
      </c>
      <c r="G1480" s="12">
        <f>VLOOKUP(C1480,'Jaringan Listrik'!$D:$K,8,FALSE)</f>
        <v>0</v>
      </c>
      <c r="H1480" s="374"/>
      <c r="I1480" s="16"/>
    </row>
    <row r="1481" spans="2:9" ht="24" customHeight="1">
      <c r="B1481" s="1033" t="str">
        <f>'Jaringan Listrik'!C5353</f>
        <v>5.2.9</v>
      </c>
      <c r="C1481" s="11" t="str">
        <f>VLOOKUP(B1481,'Jaringan Listrik'!C:K,2,FALSE)</f>
        <v>Pemasangan 1 Unit Rod to Cable Clamp (Type GUV)</v>
      </c>
      <c r="D1481" s="9" t="s">
        <v>135</v>
      </c>
      <c r="E1481" s="1021">
        <f>VLOOKUP(C1481,'Jaringan Listrik'!$D$5165:$I$7161,6,FALSE)</f>
        <v>351100</v>
      </c>
      <c r="F1481" s="1003">
        <f>VLOOKUP(C1481,'Jaringan Listrik'!$D:$K,7,FALSE)</f>
        <v>0</v>
      </c>
      <c r="G1481" s="12">
        <f>VLOOKUP(C1481,'Jaringan Listrik'!$D:$K,8,FALSE)</f>
        <v>0</v>
      </c>
      <c r="H1481" s="374"/>
      <c r="I1481" s="16"/>
    </row>
    <row r="1482" spans="2:9" ht="24" customHeight="1">
      <c r="B1482" s="1033" t="str">
        <f>'Jaringan Listrik'!C5370</f>
        <v>5.2.10</v>
      </c>
      <c r="C1482" s="11" t="str">
        <f>VLOOKUP(B1482,'Jaringan Listrik'!C:K,2,FALSE)</f>
        <v>Pemasangan 1 Unit Polymer Inspection Pit</v>
      </c>
      <c r="D1482" s="9" t="s">
        <v>135</v>
      </c>
      <c r="E1482" s="1021">
        <f>VLOOKUP(C1482,'Jaringan Listrik'!$D$5165:$I$7161,6,FALSE)</f>
        <v>716600</v>
      </c>
      <c r="F1482" s="1003">
        <f>VLOOKUP(C1482,'Jaringan Listrik'!$D:$K,7,FALSE)</f>
        <v>0</v>
      </c>
      <c r="G1482" s="12">
        <f>VLOOKUP(C1482,'Jaringan Listrik'!$D:$K,8,FALSE)</f>
        <v>0</v>
      </c>
      <c r="H1482" s="374"/>
      <c r="I1482" s="16"/>
    </row>
    <row r="1483" spans="2:9" ht="24" customHeight="1">
      <c r="B1483" s="1033" t="str">
        <f>'Jaringan Listrik'!C5387</f>
        <v>5.2.11</v>
      </c>
      <c r="C1483" s="11" t="str">
        <f>VLOOKUP(B1483,'Jaringan Listrik'!C:K,2,FALSE)</f>
        <v>Pemasangan 1 Unit Coupling Bonding Grounded Rod 70 mm2</v>
      </c>
      <c r="D1483" s="9" t="s">
        <v>135</v>
      </c>
      <c r="E1483" s="1021">
        <f>VLOOKUP(C1483,'Jaringan Listrik'!$D$5165:$I$7161,6,FALSE)</f>
        <v>2707000</v>
      </c>
      <c r="F1483" s="1003">
        <f>VLOOKUP(C1483,'Jaringan Listrik'!$D:$K,7,FALSE)</f>
        <v>0</v>
      </c>
      <c r="G1483" s="12">
        <f>VLOOKUP(C1483,'Jaringan Listrik'!$D:$K,8,FALSE)</f>
        <v>0</v>
      </c>
      <c r="H1483" s="374"/>
      <c r="I1483" s="16"/>
    </row>
    <row r="1484" spans="2:9" ht="24" customHeight="1">
      <c r="B1484" s="1033" t="str">
        <f>'Jaringan Listrik'!C5404</f>
        <v>5.2.12</v>
      </c>
      <c r="C1484" s="11" t="str">
        <f>VLOOKUP(B1484,'Jaringan Listrik'!C:K,2,FALSE)</f>
        <v>Pemasangan 1 Unit Clamp BC L ukuran BC 70 mm2</v>
      </c>
      <c r="D1484" s="9" t="s">
        <v>135</v>
      </c>
      <c r="E1484" s="1021">
        <f>VLOOKUP(C1484,'Jaringan Listrik'!$D$5165:$I$7161,6,FALSE)</f>
        <v>45000</v>
      </c>
      <c r="F1484" s="1003">
        <f>VLOOKUP(C1484,'Jaringan Listrik'!$D:$K,7,FALSE)</f>
        <v>0</v>
      </c>
      <c r="G1484" s="12">
        <f>VLOOKUP(C1484,'Jaringan Listrik'!$D:$K,8,FALSE)</f>
        <v>0</v>
      </c>
      <c r="H1484" s="374"/>
      <c r="I1484" s="16"/>
    </row>
    <row r="1485" spans="2:9" ht="24" customHeight="1">
      <c r="B1485" s="1033" t="str">
        <f>'Jaringan Listrik'!C5421</f>
        <v>5.2.13</v>
      </c>
      <c r="C1485" s="11" t="str">
        <f>VLOOKUP(B1485,'Jaringan Listrik'!C:K,2,FALSE)</f>
        <v>Pemasangan 1 Unit Clamp PVC 1"</v>
      </c>
      <c r="D1485" s="9" t="s">
        <v>135</v>
      </c>
      <c r="E1485" s="1021">
        <f>VLOOKUP(C1485,'Jaringan Listrik'!$D$5165:$I$7161,6,FALSE)</f>
        <v>6700</v>
      </c>
      <c r="F1485" s="1003">
        <f>VLOOKUP(C1485,'Jaringan Listrik'!$D:$K,7,FALSE)</f>
        <v>0</v>
      </c>
      <c r="G1485" s="12">
        <f>VLOOKUP(C1485,'Jaringan Listrik'!$D:$K,8,FALSE)</f>
        <v>0</v>
      </c>
      <c r="H1485" s="374"/>
      <c r="I1485" s="16"/>
    </row>
    <row r="1486" spans="2:9" ht="24" customHeight="1">
      <c r="B1486" s="1033" t="str">
        <f>'Jaringan Listrik'!C5438</f>
        <v>5.2.14</v>
      </c>
      <c r="C1486" s="11" t="str">
        <f>VLOOKUP(B1486,'Jaringan Listrik'!C:K,2,FALSE)</f>
        <v>Pemasangan 1 unit Copper Air Terminal Base 15 mm (dudukan)</v>
      </c>
      <c r="D1486" s="9" t="s">
        <v>135</v>
      </c>
      <c r="E1486" s="1021">
        <f>VLOOKUP(C1486,'Jaringan Listrik'!$D$5165:$I$7161,6,FALSE)</f>
        <v>314300</v>
      </c>
      <c r="F1486" s="1003">
        <f>VLOOKUP(C1486,'Jaringan Listrik'!$D:$K,7,FALSE)</f>
        <v>0</v>
      </c>
      <c r="G1486" s="12">
        <f>VLOOKUP(C1486,'Jaringan Listrik'!$D:$K,8,FALSE)</f>
        <v>0</v>
      </c>
      <c r="H1486" s="374"/>
      <c r="I1486" s="16"/>
    </row>
    <row r="1487" spans="2:9" ht="24" customHeight="1">
      <c r="B1487" s="1033" t="str">
        <f>'Jaringan Listrik'!C5455</f>
        <v>5.2.15</v>
      </c>
      <c r="C1487" s="11" t="str">
        <f>VLOOKUP(B1487,'Jaringan Listrik'!C:K,2,FALSE)</f>
        <v xml:space="preserve">Pemasangan 1 unit 15x500 mm Aluminium Air Rod </v>
      </c>
      <c r="D1487" s="9" t="s">
        <v>135</v>
      </c>
      <c r="E1487" s="1021">
        <f>VLOOKUP(C1487,'Jaringan Listrik'!$D$5165:$I$7161,6,FALSE)</f>
        <v>268900</v>
      </c>
      <c r="F1487" s="1003">
        <f>VLOOKUP(C1487,'Jaringan Listrik'!$D:$K,7,FALSE)</f>
        <v>0</v>
      </c>
      <c r="G1487" s="12">
        <f>VLOOKUP(C1487,'Jaringan Listrik'!$D:$K,8,FALSE)</f>
        <v>0</v>
      </c>
      <c r="H1487" s="374"/>
      <c r="I1487" s="16"/>
    </row>
    <row r="1488" spans="2:9" ht="24" customHeight="1">
      <c r="B1488" s="1033" t="str">
        <f>'Jaringan Listrik'!C5472</f>
        <v>5.2.16</v>
      </c>
      <c r="C1488" s="11" t="str">
        <f>VLOOKUP(B1488,'Jaringan Listrik'!C:K,2,FALSE)</f>
        <v>Pemasangan 1 unit 15x500 mm Coper Air Rod</v>
      </c>
      <c r="D1488" s="9" t="s">
        <v>135</v>
      </c>
      <c r="E1488" s="1021">
        <f>VLOOKUP(C1488,'Jaringan Listrik'!$D$5165:$I$7161,6,FALSE)</f>
        <v>779500</v>
      </c>
      <c r="F1488" s="1003">
        <f>VLOOKUP(C1488,'Jaringan Listrik'!$D:$K,7,FALSE)</f>
        <v>0</v>
      </c>
      <c r="G1488" s="12">
        <f>VLOOKUP(C1488,'Jaringan Listrik'!$D:$K,8,FALSE)</f>
        <v>0</v>
      </c>
      <c r="H1488" s="374"/>
      <c r="I1488" s="16"/>
    </row>
    <row r="1489" spans="2:9" ht="24" customHeight="1">
      <c r="B1489" s="1033" t="str">
        <f>'Jaringan Listrik'!C5489</f>
        <v>5.2.17</v>
      </c>
      <c r="C1489" s="11" t="str">
        <f>VLOOKUP(B1489,'Jaringan Listrik'!C:K,2,FALSE)</f>
        <v>Pemasangan 1 m' 25x3 mm Bare Aluminium Tape</v>
      </c>
      <c r="D1489" s="9" t="s">
        <v>135</v>
      </c>
      <c r="E1489" s="1021">
        <f>VLOOKUP(C1489,'Jaringan Listrik'!$D$5165:$I$7161,6,FALSE)</f>
        <v>146200</v>
      </c>
      <c r="F1489" s="1003">
        <f>VLOOKUP(C1489,'Jaringan Listrik'!$D:$K,7,FALSE)</f>
        <v>0</v>
      </c>
      <c r="G1489" s="12">
        <f>VLOOKUP(C1489,'Jaringan Listrik'!$D:$K,8,FALSE)</f>
        <v>0</v>
      </c>
      <c r="H1489" s="374"/>
      <c r="I1489" s="16"/>
    </row>
    <row r="1490" spans="2:9" ht="24" customHeight="1">
      <c r="B1490" s="1033" t="str">
        <f>'Jaringan Listrik'!C5507</f>
        <v>5.2.18</v>
      </c>
      <c r="C1490" s="11" t="str">
        <f>VLOOKUP(B1490,'Jaringan Listrik'!C:K,2,FALSE)</f>
        <v>Pemasangan 1 buah 5/8" x 1800 mm Extensible Copperbond Rod</v>
      </c>
      <c r="D1490" s="9" t="s">
        <v>44</v>
      </c>
      <c r="E1490" s="1021">
        <f>VLOOKUP(C1490,'Jaringan Listrik'!$D$5165:$I$7161,6,FALSE)</f>
        <v>675400</v>
      </c>
      <c r="F1490" s="1003">
        <f>VLOOKUP(C1490,'Jaringan Listrik'!$D:$K,7,FALSE)</f>
        <v>0</v>
      </c>
      <c r="G1490" s="12">
        <f>VLOOKUP(C1490,'Jaringan Listrik'!$D:$K,8,FALSE)</f>
        <v>0</v>
      </c>
      <c r="H1490" s="374"/>
      <c r="I1490" s="16"/>
    </row>
    <row r="1491" spans="2:9" ht="24" customHeight="1">
      <c r="B1491" s="1033" t="str">
        <f>'Jaringan Listrik'!C5524</f>
        <v>5.2.19</v>
      </c>
      <c r="C1491" s="11" t="str">
        <f>VLOOKUP(B1491,'Jaringan Listrik'!C:K,2,FALSE)</f>
        <v>Pemasangan 1 buah 5/8" Copperbond Rod</v>
      </c>
      <c r="D1491" s="9" t="s">
        <v>44</v>
      </c>
      <c r="E1491" s="1021">
        <f>VLOOKUP(C1491,'Jaringan Listrik'!$D$5165:$I$7161,6,FALSE)</f>
        <v>299100</v>
      </c>
      <c r="F1491" s="1003">
        <f>VLOOKUP(C1491,'Jaringan Listrik'!$D:$K,7,FALSE)</f>
        <v>0</v>
      </c>
      <c r="G1491" s="12">
        <f>VLOOKUP(C1491,'Jaringan Listrik'!$D:$K,8,FALSE)</f>
        <v>0</v>
      </c>
      <c r="H1491" s="374"/>
      <c r="I1491" s="16"/>
    </row>
    <row r="1492" spans="2:9" ht="24" customHeight="1">
      <c r="B1492" s="1033" t="str">
        <f>'Jaringan Listrik'!C5542</f>
        <v>5.2.20</v>
      </c>
      <c r="C1492" s="11" t="str">
        <f>VLOOKUP(B1492,'Jaringan Listrik'!C:K,2,FALSE)</f>
        <v xml:space="preserve">Pemasangan 1 buah Grounding Rod Gip 1" Panjang 1 m </v>
      </c>
      <c r="D1492" s="9" t="s">
        <v>44</v>
      </c>
      <c r="E1492" s="1021">
        <f>VLOOKUP(C1492,'Jaringan Listrik'!$D$5165:$I$7161,6,FALSE)</f>
        <v>239900</v>
      </c>
      <c r="F1492" s="1003">
        <f>VLOOKUP(C1492,'Jaringan Listrik'!$D:$K,7,FALSE)</f>
        <v>0</v>
      </c>
      <c r="G1492" s="12">
        <f>VLOOKUP(C1492,'Jaringan Listrik'!$D:$K,8,FALSE)</f>
        <v>0</v>
      </c>
      <c r="H1492" s="374"/>
      <c r="I1492" s="16"/>
    </row>
    <row r="1493" spans="2:9" ht="24" customHeight="1">
      <c r="B1493" s="1033" t="str">
        <f>'Jaringan Listrik'!C5559</f>
        <v>5.2.21</v>
      </c>
      <c r="C1493" s="11" t="str">
        <f>VLOOKUP(B1493,'Jaringan Listrik'!C:K,2,FALSE)</f>
        <v xml:space="preserve">Pemasangan 1 buah Grounding Rod Gip 1" Panjang 2m </v>
      </c>
      <c r="D1493" s="9" t="s">
        <v>44</v>
      </c>
      <c r="E1493" s="1021">
        <f>VLOOKUP(C1493,'Jaringan Listrik'!$D$5165:$I$7161,6,FALSE)</f>
        <v>404500</v>
      </c>
      <c r="F1493" s="1003">
        <f>VLOOKUP(C1493,'Jaringan Listrik'!$D:$K,7,FALSE)</f>
        <v>0</v>
      </c>
      <c r="G1493" s="12">
        <f>VLOOKUP(C1493,'Jaringan Listrik'!$D:$K,8,FALSE)</f>
        <v>0</v>
      </c>
      <c r="H1493" s="374"/>
      <c r="I1493" s="16"/>
    </row>
    <row r="1494" spans="2:9" ht="24" customHeight="1">
      <c r="B1494" s="1033" t="str">
        <f>'Jaringan Listrik'!C5576</f>
        <v>5.2.22</v>
      </c>
      <c r="C1494" s="11" t="str">
        <f>VLOOKUP(B1494,'Jaringan Listrik'!C:K,2,FALSE)</f>
        <v xml:space="preserve">Pemasangan 1 buah 1" Rod Coupling </v>
      </c>
      <c r="D1494" s="9" t="s">
        <v>44</v>
      </c>
      <c r="E1494" s="1021">
        <f>VLOOKUP(C1494,'Jaringan Listrik'!$D$5165:$I$7161,6,FALSE)</f>
        <v>225400</v>
      </c>
      <c r="F1494" s="1003">
        <f>VLOOKUP(C1494,'Jaringan Listrik'!$D:$K,7,FALSE)</f>
        <v>0</v>
      </c>
      <c r="G1494" s="12">
        <f>VLOOKUP(C1494,'Jaringan Listrik'!$D:$K,8,FALSE)</f>
        <v>0</v>
      </c>
      <c r="H1494" s="374"/>
      <c r="I1494" s="16"/>
    </row>
    <row r="1495" spans="2:9" ht="24" customHeight="1">
      <c r="B1495" s="1033" t="str">
        <f>'Jaringan Listrik'!C5593</f>
        <v>5.2.23</v>
      </c>
      <c r="C1495" s="11" t="str">
        <f>VLOOKUP(B1495,'Jaringan Listrik'!C:K,2,FALSE)</f>
        <v xml:space="preserve">Pemasangan 1 buah Exothermic Welding </v>
      </c>
      <c r="D1495" s="9" t="s">
        <v>44</v>
      </c>
      <c r="E1495" s="1021">
        <f>VLOOKUP(C1495,'Jaringan Listrik'!$D$5165:$I$7161,6,FALSE)</f>
        <v>276400</v>
      </c>
      <c r="F1495" s="1003">
        <f>VLOOKUP(C1495,'Jaringan Listrik'!$D:$K,7,FALSE)</f>
        <v>0</v>
      </c>
      <c r="G1495" s="12">
        <f>VLOOKUP(C1495,'Jaringan Listrik'!$D:$K,8,FALSE)</f>
        <v>0</v>
      </c>
      <c r="H1495" s="374"/>
      <c r="I1495" s="16"/>
    </row>
    <row r="1496" spans="2:9" ht="24" customHeight="1">
      <c r="B1496" s="1033" t="str">
        <f>'Jaringan Listrik'!C5610</f>
        <v>5.2.24</v>
      </c>
      <c r="C1496" s="11" t="str">
        <f>VLOOKUP(B1496,'Jaringan Listrik'!C:K,2,FALSE)</f>
        <v>Pemasangan 1 unit Surge Arrester 1 Phase ( 15 KA)</v>
      </c>
      <c r="D1496" s="9" t="s">
        <v>135</v>
      </c>
      <c r="E1496" s="1021">
        <f>VLOOKUP(C1496,'Jaringan Listrik'!$D$5165:$I$7161,6,FALSE)</f>
        <v>906300</v>
      </c>
      <c r="F1496" s="1003">
        <f>VLOOKUP(C1496,'Jaringan Listrik'!$D:$K,7,FALSE)</f>
        <v>0</v>
      </c>
      <c r="G1496" s="12">
        <f>VLOOKUP(C1496,'Jaringan Listrik'!$D:$K,8,FALSE)</f>
        <v>0</v>
      </c>
      <c r="H1496" s="374"/>
      <c r="I1496" s="16"/>
    </row>
    <row r="1497" spans="2:9" ht="24" customHeight="1">
      <c r="B1497" s="1033" t="str">
        <f>'Jaringan Listrik'!C5627</f>
        <v>5.2.25</v>
      </c>
      <c r="C1497" s="11" t="str">
        <f>VLOOKUP(B1497,'Jaringan Listrik'!C:K,2,FALSE)</f>
        <v>Pemasangan 1 unit Surge Arrester 3 Phase ( 15 KA)</v>
      </c>
      <c r="D1497" s="9" t="s">
        <v>135</v>
      </c>
      <c r="E1497" s="1021">
        <f>VLOOKUP(C1497,'Jaringan Listrik'!$D$5165:$I$7161,6,FALSE)</f>
        <v>1265500</v>
      </c>
      <c r="F1497" s="1003">
        <f>VLOOKUP(C1497,'Jaringan Listrik'!$D:$K,7,FALSE)</f>
        <v>0</v>
      </c>
      <c r="G1497" s="12">
        <f>VLOOKUP(C1497,'Jaringan Listrik'!$D:$K,8,FALSE)</f>
        <v>0</v>
      </c>
      <c r="H1497" s="374"/>
      <c r="I1497" s="16"/>
    </row>
    <row r="1498" spans="2:9" ht="24" customHeight="1">
      <c r="B1498" s="1098" t="str">
        <f>'Jaringan Listrik'!C5644</f>
        <v>5.3</v>
      </c>
      <c r="C1498" s="998" t="str">
        <f>VLOOKUP(B1498,'Jaringan Listrik'!C:K,2,FALSE)</f>
        <v xml:space="preserve">PEKERJAAN SISTEM PENCAHAYAAN </v>
      </c>
      <c r="D1498" s="1099"/>
      <c r="E1498" s="1050">
        <f>VLOOKUP(C1498,'Jaringan Listrik'!$D$5165:$I$7161,6,FALSE)</f>
        <v>0</v>
      </c>
      <c r="F1498" s="1009">
        <f>VLOOKUP(C1498,'Jaringan Listrik'!$D:$K,7,FALSE)</f>
        <v>0</v>
      </c>
      <c r="G1498" s="31">
        <f>VLOOKUP(C1498,'Jaringan Listrik'!$D:$K,8,FALSE)</f>
        <v>0</v>
      </c>
      <c r="H1498" s="374"/>
      <c r="I1498" s="16"/>
    </row>
    <row r="1499" spans="2:9" ht="24" customHeight="1">
      <c r="B1499" s="1041" t="str">
        <f>'Jaringan Listrik'!C5645</f>
        <v>5.3.1</v>
      </c>
      <c r="C1499" s="20" t="str">
        <f>VLOOKUP(B1499,'Jaringan Listrik'!C:K,2,FALSE)</f>
        <v xml:space="preserve">Pemasangan Lampu dan Armatur </v>
      </c>
      <c r="D1499" s="19"/>
      <c r="E1499" s="1021">
        <f>VLOOKUP(C1499,'Jaringan Listrik'!$D$5165:$I$7161,6,FALSE)</f>
        <v>0</v>
      </c>
      <c r="F1499" s="1003">
        <f>VLOOKUP(C1499,'Jaringan Listrik'!$D:$K,7,FALSE)</f>
        <v>0</v>
      </c>
      <c r="G1499" s="12">
        <f>VLOOKUP(C1499,'Jaringan Listrik'!$D:$K,8,FALSE)</f>
        <v>0</v>
      </c>
      <c r="H1499" s="374"/>
      <c r="I1499" s="16"/>
    </row>
    <row r="1500" spans="2:9" ht="24" customHeight="1">
      <c r="B1500" s="1033" t="str">
        <f>'Jaringan Listrik'!C5646</f>
        <v>5.3.1.1</v>
      </c>
      <c r="C1500" s="1162" t="str">
        <f>VLOOKUP(B1500,'Jaringan Listrik'!C:K,2,FALSE)</f>
        <v xml:space="preserve"> Pemasangan 1 titik Instalasi Lampu</v>
      </c>
      <c r="D1500" s="9" t="s">
        <v>5250</v>
      </c>
      <c r="E1500" s="1021">
        <f>VLOOKUP(C1500,'Jaringan Listrik'!$D$5165:$I$7161,6,FALSE)</f>
        <v>666700</v>
      </c>
      <c r="F1500" s="1003">
        <f>VLOOKUP(C1500,'Jaringan Listrik'!$D:$K,7,FALSE)</f>
        <v>0</v>
      </c>
      <c r="G1500" s="12">
        <f>VLOOKUP(C1500,'Jaringan Listrik'!$D:$K,8,FALSE)</f>
        <v>0</v>
      </c>
      <c r="H1500" s="374"/>
      <c r="I1500" s="16"/>
    </row>
    <row r="1501" spans="2:9" ht="24" customHeight="1">
      <c r="B1501" s="1033" t="str">
        <f>'Jaringan Listrik'!C5672</f>
        <v>5.3.1.2</v>
      </c>
      <c r="C1501" s="11" t="str">
        <f>VLOOKUP(B1501,'Jaringan Listrik'!C:K,2,FALSE)</f>
        <v xml:space="preserve"> Pemasangan 1 titik Instalasi Lampu (Kabel LSOH)</v>
      </c>
      <c r="D1501" s="9" t="s">
        <v>6430</v>
      </c>
      <c r="E1501" s="1021">
        <f>VLOOKUP(C1501,'Jaringan Listrik'!$D$5165:$I$7161,6,FALSE)</f>
        <v>666700</v>
      </c>
      <c r="F1501" s="1003">
        <f>VLOOKUP(C1501,'Jaringan Listrik'!$D:$K,7,FALSE)</f>
        <v>0</v>
      </c>
      <c r="G1501" s="12">
        <f>VLOOKUP(C1501,'Jaringan Listrik'!$D:$K,8,FALSE)</f>
        <v>0</v>
      </c>
      <c r="H1501" s="374"/>
      <c r="I1501" s="16"/>
    </row>
    <row r="1502" spans="2:9" ht="24" customHeight="1">
      <c r="B1502" s="1033" t="str">
        <f>'Jaringan Listrik'!C5698</f>
        <v>5.3.1.3</v>
      </c>
      <c r="C1502" s="11" t="str">
        <f>VLOOKUP(B1502,'Jaringan Listrik'!C:K,2,FALSE)</f>
        <v xml:space="preserve">Pemasangan 1 Unit Downlight 5 inch 14,5 Watt LED </v>
      </c>
      <c r="D1502" s="9" t="s">
        <v>135</v>
      </c>
      <c r="E1502" s="1021">
        <f>VLOOKUP(C1502,'Jaringan Listrik'!$D$5165:$I$7161,6,FALSE)</f>
        <v>25400</v>
      </c>
      <c r="F1502" s="1003">
        <f>VLOOKUP(C1502,'Jaringan Listrik'!$D:$K,7,FALSE)</f>
        <v>0</v>
      </c>
      <c r="G1502" s="12">
        <f>VLOOKUP(C1502,'Jaringan Listrik'!$D:$K,8,FALSE)</f>
        <v>0</v>
      </c>
      <c r="H1502" s="374"/>
      <c r="I1502" s="16"/>
    </row>
    <row r="1503" spans="2:9" ht="24" customHeight="1">
      <c r="B1503" s="1033" t="str">
        <f>'Jaringan Listrik'!C5715</f>
        <v>5.3.1.4</v>
      </c>
      <c r="C1503" s="11" t="str">
        <f>VLOOKUP(B1503,'Jaringan Listrik'!C:K,2,FALSE)</f>
        <v>Pemasangan 1 Unit Fitting E27 + 10 Watt LED</v>
      </c>
      <c r="D1503" s="9" t="s">
        <v>135</v>
      </c>
      <c r="E1503" s="1021">
        <f>VLOOKUP(C1503,'Jaringan Listrik'!$D$5165:$I$7161,6,FALSE)</f>
        <v>25400</v>
      </c>
      <c r="F1503" s="1003">
        <f>VLOOKUP(C1503,'Jaringan Listrik'!$D:$K,7,FALSE)</f>
        <v>0</v>
      </c>
      <c r="G1503" s="12">
        <f>VLOOKUP(C1503,'Jaringan Listrik'!$D:$K,8,FALSE)</f>
        <v>0</v>
      </c>
      <c r="H1503" s="374"/>
      <c r="I1503" s="16"/>
    </row>
    <row r="1504" spans="2:9" ht="24" customHeight="1">
      <c r="B1504" s="1033" t="str">
        <f>'Jaringan Listrik'!C5733</f>
        <v>5.3.1.5</v>
      </c>
      <c r="C1504" s="11" t="str">
        <f>VLOOKUP(B1504,'Jaringan Listrik'!C:K,2,FALSE)</f>
        <v>Pemasangan 1 Unit Fitting E27 + 10 Watt LED c/w Nicad Battery</v>
      </c>
      <c r="D1504" s="9" t="s">
        <v>135</v>
      </c>
      <c r="E1504" s="1021">
        <f>VLOOKUP(C1504,'Jaringan Listrik'!$D$5165:$I$7161,6,FALSE)</f>
        <v>25400</v>
      </c>
      <c r="F1504" s="1003">
        <f>VLOOKUP(C1504,'Jaringan Listrik'!$D:$K,7,FALSE)</f>
        <v>0</v>
      </c>
      <c r="G1504" s="12">
        <f>VLOOKUP(C1504,'Jaringan Listrik'!$D:$K,8,FALSE)</f>
        <v>0</v>
      </c>
      <c r="H1504" s="374"/>
      <c r="I1504" s="16"/>
    </row>
    <row r="1505" spans="2:9" ht="24" customHeight="1">
      <c r="B1505" s="1033" t="str">
        <f>'Jaringan Listrik'!C5752</f>
        <v>5.3.1.6</v>
      </c>
      <c r="C1505" s="11" t="str">
        <f>VLOOKUP(B1505,'Jaringan Listrik'!C:K,2,FALSE)</f>
        <v xml:space="preserve">Pemasangan 1 Unit Fitting E27 + 19 Watt LED </v>
      </c>
      <c r="D1505" s="9" t="s">
        <v>135</v>
      </c>
      <c r="E1505" s="1021">
        <f>VLOOKUP(C1505,'Jaringan Listrik'!$D$5165:$I$7161,6,FALSE)</f>
        <v>25400</v>
      </c>
      <c r="F1505" s="1003">
        <f>VLOOKUP(C1505,'Jaringan Listrik'!$D:$K,7,FALSE)</f>
        <v>0</v>
      </c>
      <c r="G1505" s="12">
        <f>VLOOKUP(C1505,'Jaringan Listrik'!$D:$K,8,FALSE)</f>
        <v>0</v>
      </c>
      <c r="H1505" s="374"/>
      <c r="I1505" s="16"/>
    </row>
    <row r="1506" spans="2:9" ht="24" customHeight="1">
      <c r="B1506" s="1033" t="str">
        <f>'Jaringan Listrik'!C5771</f>
        <v>5.3.1.7</v>
      </c>
      <c r="C1506" s="11" t="str">
        <f>VLOOKUP(B1506,'Jaringan Listrik'!C:K,2,FALSE)</f>
        <v>Pemasangan 1 Unit Fitting E27 + 19 Watt LED  c/w Nicad Battery</v>
      </c>
      <c r="D1506" s="9" t="s">
        <v>135</v>
      </c>
      <c r="E1506" s="1021">
        <f>VLOOKUP(C1506,'Jaringan Listrik'!$D$5165:$I$7161,6,FALSE)</f>
        <v>25400</v>
      </c>
      <c r="F1506" s="1003">
        <f>VLOOKUP(C1506,'Jaringan Listrik'!$D:$K,7,FALSE)</f>
        <v>0</v>
      </c>
      <c r="G1506" s="12">
        <f>VLOOKUP(C1506,'Jaringan Listrik'!$D:$K,8,FALSE)</f>
        <v>0</v>
      </c>
      <c r="H1506" s="374"/>
      <c r="I1506" s="16"/>
    </row>
    <row r="1507" spans="2:9" ht="24" customHeight="1">
      <c r="B1507" s="1033" t="str">
        <f>'Jaringan Listrik'!C5791</f>
        <v>5.3.1.8</v>
      </c>
      <c r="C1507" s="11" t="str">
        <f>VLOOKUP(B1507,'Jaringan Listrik'!C:K,2,FALSE)</f>
        <v xml:space="preserve">Pemasangan 1 Unit RM TKI 2 x 16 Watt LED </v>
      </c>
      <c r="D1507" s="9" t="s">
        <v>135</v>
      </c>
      <c r="E1507" s="1021">
        <f>VLOOKUP(C1507,'Jaringan Listrik'!$D$5165:$I$7161,6,FALSE)</f>
        <v>50800</v>
      </c>
      <c r="F1507" s="1003">
        <f>VLOOKUP(C1507,'Jaringan Listrik'!$D:$K,7,FALSE)</f>
        <v>0</v>
      </c>
      <c r="G1507" s="12">
        <f>VLOOKUP(C1507,'Jaringan Listrik'!$D:$K,8,FALSE)</f>
        <v>0</v>
      </c>
      <c r="H1507" s="374"/>
      <c r="I1507" s="16"/>
    </row>
    <row r="1508" spans="2:9" ht="24" customHeight="1">
      <c r="B1508" s="1033" t="str">
        <f>'Jaringan Listrik'!C5808</f>
        <v>5.3.1.9</v>
      </c>
      <c r="C1508" s="11" t="str">
        <f>VLOOKUP(B1508,'Jaringan Listrik'!C:K,2,FALSE)</f>
        <v>Pemasangan 1 Unit Lampu Sorot LED 100 watt</v>
      </c>
      <c r="D1508" s="9" t="s">
        <v>135</v>
      </c>
      <c r="E1508" s="1021">
        <f>VLOOKUP(C1508,'Jaringan Listrik'!$D$5165:$I$7161,6,FALSE)</f>
        <v>50800</v>
      </c>
      <c r="F1508" s="1003">
        <f>VLOOKUP(C1508,'Jaringan Listrik'!$D:$K,7,FALSE)</f>
        <v>0</v>
      </c>
      <c r="G1508" s="12">
        <f>VLOOKUP(C1508,'Jaringan Listrik'!$D:$K,8,FALSE)</f>
        <v>0</v>
      </c>
      <c r="H1508" s="374"/>
      <c r="I1508" s="16"/>
    </row>
    <row r="1509" spans="2:9" ht="24" customHeight="1">
      <c r="B1509" s="1033" t="str">
        <f>'Jaringan Listrik'!C5825</f>
        <v>5.3.1.10</v>
      </c>
      <c r="C1509" s="11" t="str">
        <f>VLOOKUP(B1509,'Jaringan Listrik'!C:K,2,FALSE)</f>
        <v>Pemasangan 1 Unit Lampu Sorot RGB 30 Watt 100 untuk Outdoor</v>
      </c>
      <c r="D1509" s="9" t="s">
        <v>135</v>
      </c>
      <c r="E1509" s="1021">
        <f>VLOOKUP(C1509,'Jaringan Listrik'!$D$5165:$I$7161,6,FALSE)</f>
        <v>50800</v>
      </c>
      <c r="F1509" s="1003">
        <f>VLOOKUP(C1509,'Jaringan Listrik'!$D:$K,7,FALSE)</f>
        <v>0</v>
      </c>
      <c r="G1509" s="12">
        <f>VLOOKUP(C1509,'Jaringan Listrik'!$D:$K,8,FALSE)</f>
        <v>0</v>
      </c>
      <c r="H1509" s="374"/>
      <c r="I1509" s="16"/>
    </row>
    <row r="1510" spans="2:9" ht="24" customHeight="1">
      <c r="B1510" s="1033" t="str">
        <f>'Jaringan Listrik'!C5843</f>
        <v>5.3.1.11</v>
      </c>
      <c r="C1510" s="11" t="str">
        <f>VLOOKUP(B1510,'Jaringan Listrik'!C:K,2,FALSE)</f>
        <v>Pemasangan 1 Unit Lampu High Bay 100 Watt</v>
      </c>
      <c r="D1510" s="9" t="s">
        <v>135</v>
      </c>
      <c r="E1510" s="1021">
        <f>VLOOKUP(C1510,'Jaringan Listrik'!$D$5165:$I$7161,6,FALSE)</f>
        <v>100700</v>
      </c>
      <c r="F1510" s="1003">
        <f>VLOOKUP(C1510,'Jaringan Listrik'!$D:$K,7,FALSE)</f>
        <v>0</v>
      </c>
      <c r="G1510" s="12">
        <f>VLOOKUP(C1510,'Jaringan Listrik'!$D:$K,8,FALSE)</f>
        <v>0</v>
      </c>
      <c r="H1510" s="374"/>
      <c r="I1510" s="16"/>
    </row>
    <row r="1511" spans="2:9" ht="24" customHeight="1">
      <c r="B1511" s="1033" t="str">
        <f>'Jaringan Listrik'!C5860</f>
        <v>5.3.1.12</v>
      </c>
      <c r="C1511" s="11" t="str">
        <f>VLOOKUP(B1511,'Jaringan Listrik'!C:K,2,FALSE)</f>
        <v>Pemasangan 1 Unit Lampu Eksit LED 3 Watt c/w Battery</v>
      </c>
      <c r="D1511" s="9" t="s">
        <v>135</v>
      </c>
      <c r="E1511" s="1021">
        <f>VLOOKUP(C1511,'Jaringan Listrik'!$D$5165:$I$7161,6,FALSE)</f>
        <v>30000</v>
      </c>
      <c r="F1511" s="1003">
        <f>VLOOKUP(C1511,'Jaringan Listrik'!$D:$K,7,FALSE)</f>
        <v>0</v>
      </c>
      <c r="G1511" s="12">
        <f>VLOOKUP(C1511,'Jaringan Listrik'!$D:$K,8,FALSE)</f>
        <v>0</v>
      </c>
      <c r="H1511" s="374"/>
      <c r="I1511" s="16"/>
    </row>
    <row r="1512" spans="2:9" ht="24" customHeight="1">
      <c r="B1512" s="1033" t="str">
        <f>'Jaringan Listrik'!C5877</f>
        <v>5.3.1.13</v>
      </c>
      <c r="C1512" s="11" t="str">
        <f>VLOOKUP(B1512,'Jaringan Listrik'!C:K,2,FALSE)</f>
        <v>Pemasangan 1 Unit Lampu TLED 1 X 14 Watt 2.100 Lumen (Dust Proof)</v>
      </c>
      <c r="D1512" s="9" t="s">
        <v>135</v>
      </c>
      <c r="E1512" s="1021">
        <f>VLOOKUP(C1512,'Jaringan Listrik'!$D$5165:$I$7161,6,FALSE)</f>
        <v>45000</v>
      </c>
      <c r="F1512" s="1003">
        <f>VLOOKUP(C1512,'Jaringan Listrik'!$D:$K,7,FALSE)</f>
        <v>0</v>
      </c>
      <c r="G1512" s="12">
        <f>VLOOKUP(C1512,'Jaringan Listrik'!$D:$K,8,FALSE)</f>
        <v>0</v>
      </c>
      <c r="H1512" s="374"/>
      <c r="I1512" s="16"/>
    </row>
    <row r="1513" spans="2:9" ht="24" customHeight="1">
      <c r="B1513" s="1033" t="str">
        <f>'Jaringan Listrik'!C5895</f>
        <v>5.3.1.14</v>
      </c>
      <c r="C1513" s="11" t="str">
        <f>VLOOKUP(B1513,'Jaringan Listrik'!C:K,2,FALSE)</f>
        <v>Pemasangan 1 Unit Lampu TLED 1 X 24 Watt 2.100 Lumen (Balk)</v>
      </c>
      <c r="D1513" s="9" t="s">
        <v>135</v>
      </c>
      <c r="E1513" s="1021">
        <f>VLOOKUP(C1513,'Jaringan Listrik'!$D$5165:$I$7161,6,FALSE)</f>
        <v>45000</v>
      </c>
      <c r="F1513" s="1003">
        <f>VLOOKUP(C1513,'Jaringan Listrik'!$D:$K,7,FALSE)</f>
        <v>0</v>
      </c>
      <c r="G1513" s="12">
        <f>VLOOKUP(C1513,'Jaringan Listrik'!$D:$K,8,FALSE)</f>
        <v>0</v>
      </c>
      <c r="H1513" s="374"/>
      <c r="I1513" s="16"/>
    </row>
    <row r="1514" spans="2:9" ht="24" customHeight="1">
      <c r="B1514" s="1033" t="str">
        <f>'Jaringan Listrik'!C5912</f>
        <v>5.3.1.15</v>
      </c>
      <c r="C1514" s="11" t="str">
        <f>VLOOKUP(B1514,'Jaringan Listrik'!C:K,2,FALSE)</f>
        <v>Pemasangan 1 Unit Lampu TLED 1 X 24 Watt 2.100 Lumen (Balk) c/w Niced Battery</v>
      </c>
      <c r="D1514" s="9" t="s">
        <v>135</v>
      </c>
      <c r="E1514" s="1021">
        <f>VLOOKUP(C1514,'Jaringan Listrik'!$D$5165:$I$7161,6,FALSE)</f>
        <v>45000</v>
      </c>
      <c r="F1514" s="1003">
        <f>VLOOKUP(C1514,'Jaringan Listrik'!$D:$K,7,FALSE)</f>
        <v>0</v>
      </c>
      <c r="G1514" s="12">
        <f>VLOOKUP(C1514,'Jaringan Listrik'!$D:$K,8,FALSE)</f>
        <v>0</v>
      </c>
      <c r="H1514" s="374"/>
      <c r="I1514" s="16"/>
    </row>
    <row r="1515" spans="2:9" ht="24" customHeight="1">
      <c r="B1515" s="1033" t="str">
        <f>'Jaringan Listrik'!C5931</f>
        <v>5.3.1.16</v>
      </c>
      <c r="C1515" s="11" t="str">
        <f>VLOOKUP(B1515,'Jaringan Listrik'!C:K,2,FALSE)</f>
        <v>Pemasangan 1 Unit Lampu TLED 2 X 24 Watt 2.100 Lumen (Balk)</v>
      </c>
      <c r="D1515" s="9" t="s">
        <v>135</v>
      </c>
      <c r="E1515" s="1021">
        <f>VLOOKUP(C1515,'Jaringan Listrik'!$D$5165:$I$7161,6,FALSE)</f>
        <v>65800</v>
      </c>
      <c r="F1515" s="1003">
        <f>VLOOKUP(C1515,'Jaringan Listrik'!$D:$K,7,FALSE)</f>
        <v>0</v>
      </c>
      <c r="G1515" s="12">
        <f>VLOOKUP(C1515,'Jaringan Listrik'!$D:$K,8,FALSE)</f>
        <v>0</v>
      </c>
      <c r="H1515" s="374"/>
      <c r="I1515" s="16"/>
    </row>
    <row r="1516" spans="2:9" ht="24" customHeight="1">
      <c r="B1516" s="1033" t="str">
        <f>'Jaringan Listrik'!C5948</f>
        <v>5.3.1.17</v>
      </c>
      <c r="C1516" s="11" t="str">
        <f>VLOOKUP(B1516,'Jaringan Listrik'!C:K,2,FALSE)</f>
        <v>Pemasangan 1 Unit Lampu TLED 2 X 24 Watt 2.100 Lumen (Balk) c/w Nicad Battery</v>
      </c>
      <c r="D1516" s="9" t="s">
        <v>135</v>
      </c>
      <c r="E1516" s="1021">
        <f>VLOOKUP(C1516,'Jaringan Listrik'!$D$5165:$I$7161,6,FALSE)</f>
        <v>65800</v>
      </c>
      <c r="F1516" s="1003">
        <f>VLOOKUP(C1516,'Jaringan Listrik'!$D:$K,7,FALSE)</f>
        <v>0</v>
      </c>
      <c r="G1516" s="12">
        <f>VLOOKUP(C1516,'Jaringan Listrik'!$D:$K,8,FALSE)</f>
        <v>0</v>
      </c>
      <c r="H1516" s="374"/>
      <c r="I1516" s="16"/>
    </row>
    <row r="1517" spans="2:9" ht="24" customHeight="1">
      <c r="B1517" s="1033" t="str">
        <f>'Jaringan Listrik'!C5966</f>
        <v>5.3.1.18</v>
      </c>
      <c r="C1517" s="11" t="str">
        <f>VLOOKUP(B1517,'Jaringan Listrik'!C:K,2,FALSE)</f>
        <v>Pemasangan 1 unit Lampu PJU Kawasan LED 50 Watt + Tiang 6-7 M (single Pool)</v>
      </c>
      <c r="D1517" s="9" t="s">
        <v>135</v>
      </c>
      <c r="E1517" s="1021">
        <f>VLOOKUP(C1517,'Jaringan Listrik'!$D$5165:$I$7161,6,FALSE)</f>
        <v>551600</v>
      </c>
      <c r="F1517" s="1003">
        <f>VLOOKUP(C1517,'Jaringan Listrik'!$D:$K,7,FALSE)</f>
        <v>0</v>
      </c>
      <c r="G1517" s="12">
        <f>VLOOKUP(C1517,'Jaringan Listrik'!$D:$K,8,FALSE)</f>
        <v>0</v>
      </c>
      <c r="H1517" s="374"/>
      <c r="I1517" s="16"/>
    </row>
    <row r="1518" spans="2:9" ht="24" customHeight="1">
      <c r="B1518" s="1033" t="str">
        <f>'Jaringan Listrik'!C5984</f>
        <v>5.3.1.19</v>
      </c>
      <c r="C1518" s="11" t="str">
        <f>VLOOKUP(B1518,'Jaringan Listrik'!C:K,2,FALSE)</f>
        <v>Pemasangan 1 Unit Lampu Kawasan LED 50 Watt + Solar Cell + Tiang 6-7 M ( Single Pool)</v>
      </c>
      <c r="D1518" s="9" t="s">
        <v>135</v>
      </c>
      <c r="E1518" s="1021">
        <f>VLOOKUP(C1518,'Jaringan Listrik'!$D$5165:$I$7161,6,FALSE)</f>
        <v>802100</v>
      </c>
      <c r="F1518" s="1003">
        <f>VLOOKUP(C1518,'Jaringan Listrik'!$D:$K,7,FALSE)</f>
        <v>0</v>
      </c>
      <c r="G1518" s="12">
        <f>VLOOKUP(C1518,'Jaringan Listrik'!$D:$K,8,FALSE)</f>
        <v>0</v>
      </c>
      <c r="H1518" s="374"/>
      <c r="I1518" s="16"/>
    </row>
    <row r="1519" spans="2:9" ht="24" customHeight="1">
      <c r="B1519" s="1033" t="str">
        <f>'Jaringan Listrik'!C6002</f>
        <v>5.3.1.20</v>
      </c>
      <c r="C1519" s="11" t="str">
        <f>VLOOKUP(B1519,'Jaringan Listrik'!C:K,2,FALSE)</f>
        <v>Pemasangan 1 Unit Lampu Taman 25 Watt + Tiang 1 M</v>
      </c>
      <c r="D1519" s="9" t="s">
        <v>135</v>
      </c>
      <c r="E1519" s="1021">
        <f>VLOOKUP(C1519,'Jaringan Listrik'!$D$5165:$I$7161,6,FALSE)</f>
        <v>100700</v>
      </c>
      <c r="F1519" s="1003">
        <f>VLOOKUP(C1519,'Jaringan Listrik'!$D:$K,7,FALSE)</f>
        <v>0</v>
      </c>
      <c r="G1519" s="12">
        <f>VLOOKUP(C1519,'Jaringan Listrik'!$D:$K,8,FALSE)</f>
        <v>0</v>
      </c>
      <c r="H1519" s="374"/>
      <c r="I1519" s="16"/>
    </row>
    <row r="1520" spans="2:9" ht="24" customHeight="1">
      <c r="B1520" s="1033" t="str">
        <f>'Jaringan Listrik'!C6020</f>
        <v>5.3.1.21</v>
      </c>
      <c r="C1520" s="1162" t="str">
        <f>VLOOKUP(B1520,'Jaringan Listrik'!C:K,2,FALSE)</f>
        <v>Pemasangan 1 Unit Fitting + 7 Watt LED</v>
      </c>
      <c r="D1520" s="9" t="s">
        <v>135</v>
      </c>
      <c r="E1520" s="1021">
        <f>VLOOKUP(C1520,'Jaringan Listrik'!$D$5165:$I$7161,6,FALSE)</f>
        <v>75200</v>
      </c>
      <c r="F1520" s="1003">
        <f>VLOOKUP(C1520,'Jaringan Listrik'!$D:$K,7,FALSE)</f>
        <v>0</v>
      </c>
      <c r="G1520" s="12">
        <f>VLOOKUP(C1520,'Jaringan Listrik'!$D:$K,8,FALSE)</f>
        <v>0</v>
      </c>
      <c r="H1520" s="374"/>
      <c r="I1520" s="16"/>
    </row>
    <row r="1521" spans="2:9" ht="24" customHeight="1">
      <c r="B1521" s="1033" t="str">
        <f>'Jaringan Listrik'!C6038</f>
        <v>5.3.1.22</v>
      </c>
      <c r="C1521" s="11" t="str">
        <f>VLOOKUP(B1521,'Jaringan Listrik'!C:K,2,FALSE)</f>
        <v>Pemasangan 1 Unit Fitting + 7 Watt LED c/w Nicad Battery</v>
      </c>
      <c r="D1521" s="9" t="s">
        <v>135</v>
      </c>
      <c r="E1521" s="1021">
        <f>VLOOKUP(C1521,'Jaringan Listrik'!$D$5165:$I$7161,6,FALSE)</f>
        <v>75200</v>
      </c>
      <c r="F1521" s="1003">
        <f>VLOOKUP(C1521,'Jaringan Listrik'!$D:$K,7,FALSE)</f>
        <v>0</v>
      </c>
      <c r="G1521" s="12">
        <f>VLOOKUP(C1521,'Jaringan Listrik'!$D:$K,8,FALSE)</f>
        <v>0</v>
      </c>
      <c r="H1521" s="374"/>
      <c r="I1521" s="16"/>
    </row>
    <row r="1522" spans="2:9" ht="24" customHeight="1">
      <c r="B1522" s="1033" t="str">
        <f>'Jaringan Listrik'!C6057</f>
        <v>5.3.1.23</v>
      </c>
      <c r="C1522" s="11" t="str">
        <f>VLOOKUP(B1522,'Jaringan Listrik'!C:K,2,FALSE)</f>
        <v xml:space="preserve">Pemasangan 1 Unit Fitting +  9 Watt LED </v>
      </c>
      <c r="D1522" s="9" t="s">
        <v>135</v>
      </c>
      <c r="E1522" s="1021">
        <f>VLOOKUP(C1522,'Jaringan Listrik'!$D$5165:$I$7161,6,FALSE)</f>
        <v>93800</v>
      </c>
      <c r="F1522" s="1003">
        <f>VLOOKUP(C1522,'Jaringan Listrik'!$D:$K,7,FALSE)</f>
        <v>0</v>
      </c>
      <c r="G1522" s="12">
        <f>VLOOKUP(C1522,'Jaringan Listrik'!$D:$K,8,FALSE)</f>
        <v>0</v>
      </c>
      <c r="H1522" s="374"/>
      <c r="I1522" s="16"/>
    </row>
    <row r="1523" spans="2:9" ht="24" customHeight="1">
      <c r="B1523" s="1033" t="str">
        <f>'Jaringan Listrik'!C6076</f>
        <v>5.3.1.24</v>
      </c>
      <c r="C1523" s="11" t="str">
        <f>VLOOKUP(B1523,'Jaringan Listrik'!C:K,2,FALSE)</f>
        <v xml:space="preserve">Pemasangan 1 Unit Fitting +  9 Watt LED c/w Nicad Battery </v>
      </c>
      <c r="D1523" s="9" t="s">
        <v>135</v>
      </c>
      <c r="E1523" s="1021">
        <f>VLOOKUP(C1523,'Jaringan Listrik'!$D$5165:$I$7161,6,FALSE)</f>
        <v>93800</v>
      </c>
      <c r="F1523" s="1003">
        <f>VLOOKUP(C1523,'Jaringan Listrik'!$D:$K,7,FALSE)</f>
        <v>0</v>
      </c>
      <c r="G1523" s="12">
        <f>VLOOKUP(C1523,'Jaringan Listrik'!$D:$K,8,FALSE)</f>
        <v>0</v>
      </c>
      <c r="H1523" s="374"/>
      <c r="I1523" s="16"/>
    </row>
    <row r="1524" spans="2:9" ht="24" customHeight="1">
      <c r="B1524" s="1033" t="str">
        <f>'Jaringan Listrik'!C6095</f>
        <v>5.3.1.25</v>
      </c>
      <c r="C1524" s="11" t="str">
        <f>VLOOKUP(B1524,'Jaringan Listrik'!C:K,2,FALSE)</f>
        <v xml:space="preserve">Pemasangan 1 Unit Fitting +  20 Watt Baret c/w Nicad Battery </v>
      </c>
      <c r="D1524" s="9" t="s">
        <v>135</v>
      </c>
      <c r="E1524" s="1021">
        <f>VLOOKUP(C1524,'Jaringan Listrik'!$D$5165:$I$7161,6,FALSE)</f>
        <v>145800</v>
      </c>
      <c r="F1524" s="1003">
        <f>VLOOKUP(C1524,'Jaringan Listrik'!$D:$K,7,FALSE)</f>
        <v>0</v>
      </c>
      <c r="G1524" s="12">
        <f>VLOOKUP(C1524,'Jaringan Listrik'!$D:$K,8,FALSE)</f>
        <v>0</v>
      </c>
      <c r="H1524" s="374"/>
      <c r="I1524" s="16"/>
    </row>
    <row r="1525" spans="2:9" ht="24" customHeight="1">
      <c r="B1525" s="1033" t="str">
        <f>'Jaringan Listrik'!C6114</f>
        <v>5.3.1.26</v>
      </c>
      <c r="C1525" s="11" t="str">
        <f>VLOOKUP(B1525,'Jaringan Listrik'!C:K,2,FALSE)</f>
        <v xml:space="preserve">Pemasangan 1 Unit Fitting +  32 Watt Baret c/w Nicad Battery </v>
      </c>
      <c r="D1525" s="9" t="s">
        <v>135</v>
      </c>
      <c r="E1525" s="1021">
        <f>VLOOKUP(C1525,'Jaringan Listrik'!$D$5165:$I$7161,6,FALSE)</f>
        <v>170000</v>
      </c>
      <c r="F1525" s="1003">
        <f>VLOOKUP(C1525,'Jaringan Listrik'!$D:$K,7,FALSE)</f>
        <v>0</v>
      </c>
      <c r="G1525" s="12">
        <f>VLOOKUP(C1525,'Jaringan Listrik'!$D:$K,8,FALSE)</f>
        <v>0</v>
      </c>
      <c r="H1525" s="374"/>
      <c r="I1525" s="16"/>
    </row>
    <row r="1526" spans="2:9" ht="24" customHeight="1">
      <c r="B1526" s="1033" t="str">
        <f>'Jaringan Listrik'!C6133</f>
        <v>5.3.1.27</v>
      </c>
      <c r="C1526" s="11" t="str">
        <f>VLOOKUP(B1526,'Jaringan Listrik'!C:K,2,FALSE)</f>
        <v>Pemasangan 1 Unit Fitting +  40 Watt Lampu Pijar</v>
      </c>
      <c r="D1526" s="9" t="s">
        <v>135</v>
      </c>
      <c r="E1526" s="1021">
        <f>VLOOKUP(C1526,'Jaringan Listrik'!$D$5165:$I$7161,6,FALSE)</f>
        <v>86500</v>
      </c>
      <c r="F1526" s="1003">
        <f>VLOOKUP(C1526,'Jaringan Listrik'!$D:$K,7,FALSE)</f>
        <v>0</v>
      </c>
      <c r="G1526" s="12">
        <f>VLOOKUP(C1526,'Jaringan Listrik'!$D:$K,8,FALSE)</f>
        <v>0</v>
      </c>
      <c r="H1526" s="374"/>
      <c r="I1526" s="16"/>
    </row>
    <row r="1527" spans="2:9" ht="24" customHeight="1">
      <c r="B1527" s="1033" t="str">
        <f>'Jaringan Listrik'!C6151</f>
        <v>5.3.1.28</v>
      </c>
      <c r="C1527" s="11" t="str">
        <f>VLOOKUP(B1527,'Jaringan Listrik'!C:K,2,FALSE)</f>
        <v>Pemasangan 1 Unit Lampu TL 18 Watt ( Balk)</v>
      </c>
      <c r="D1527" s="9" t="s">
        <v>135</v>
      </c>
      <c r="E1527" s="1021">
        <f>VLOOKUP(C1527,'Jaringan Listrik'!$D$5165:$I$7161,6,FALSE)</f>
        <v>69200</v>
      </c>
      <c r="F1527" s="1003">
        <f>VLOOKUP(C1527,'Jaringan Listrik'!$D:$K,7,FALSE)</f>
        <v>0</v>
      </c>
      <c r="G1527" s="12">
        <f>VLOOKUP(C1527,'Jaringan Listrik'!$D:$K,8,FALSE)</f>
        <v>0</v>
      </c>
      <c r="H1527" s="374"/>
      <c r="I1527" s="16"/>
    </row>
    <row r="1528" spans="2:9" ht="24" customHeight="1">
      <c r="B1528" s="1033" t="str">
        <f>'Jaringan Listrik'!C6168</f>
        <v>5.3.1.29</v>
      </c>
      <c r="C1528" s="11" t="str">
        <f>VLOOKUP(B1528,'Jaringan Listrik'!C:K,2,FALSE)</f>
        <v>Pemasangan 1 Unit Lampu TLED 18 Watt ( Balk)</v>
      </c>
      <c r="D1528" s="9" t="s">
        <v>135</v>
      </c>
      <c r="E1528" s="1021">
        <f>VLOOKUP(C1528,'Jaringan Listrik'!$D$5165:$I$7161,6,FALSE)</f>
        <v>81300</v>
      </c>
      <c r="F1528" s="1003">
        <f>VLOOKUP(C1528,'Jaringan Listrik'!$D:$K,7,FALSE)</f>
        <v>0</v>
      </c>
      <c r="G1528" s="12">
        <f>VLOOKUP(C1528,'Jaringan Listrik'!$D:$K,8,FALSE)</f>
        <v>0</v>
      </c>
      <c r="H1528" s="374"/>
      <c r="I1528" s="16"/>
    </row>
    <row r="1529" spans="2:9" ht="24" customHeight="1">
      <c r="B1529" s="1033" t="str">
        <f>'Jaringan Listrik'!C6186</f>
        <v>5.3.1. 30</v>
      </c>
      <c r="C1529" s="11" t="str">
        <f>VLOOKUP(B1529,'Jaringan Listrik'!C:K,2,FALSE)</f>
        <v>Pemasangan 1 Unit Lampu TL  36 Watt ( Balk)</v>
      </c>
      <c r="D1529" s="9" t="s">
        <v>135</v>
      </c>
      <c r="E1529" s="1021">
        <f>VLOOKUP(C1529,'Jaringan Listrik'!$D$5165:$I$7161,6,FALSE)</f>
        <v>75300</v>
      </c>
      <c r="F1529" s="1003">
        <f>VLOOKUP(C1529,'Jaringan Listrik'!$D:$K,7,FALSE)</f>
        <v>0</v>
      </c>
      <c r="G1529" s="12">
        <f>VLOOKUP(C1529,'Jaringan Listrik'!$D:$K,8,FALSE)</f>
        <v>0</v>
      </c>
      <c r="H1529" s="374"/>
      <c r="I1529" s="16"/>
    </row>
    <row r="1530" spans="2:9" ht="24" customHeight="1">
      <c r="B1530" s="1033" t="str">
        <f>'Jaringan Listrik'!C6204</f>
        <v>5.3.1. 31</v>
      </c>
      <c r="C1530" s="11" t="str">
        <f>VLOOKUP(B1530,'Jaringan Listrik'!C:K,2,FALSE)</f>
        <v>Pemasangan 1 Unit Lampu TL ED 36 Watt ( Balk)</v>
      </c>
      <c r="D1530" s="9" t="s">
        <v>135</v>
      </c>
      <c r="E1530" s="1021">
        <f>VLOOKUP(C1530,'Jaringan Listrik'!$D$5165:$I$7161,6,FALSE)</f>
        <v>135800</v>
      </c>
      <c r="F1530" s="1003">
        <f>VLOOKUP(C1530,'Jaringan Listrik'!$D:$K,7,FALSE)</f>
        <v>0</v>
      </c>
      <c r="G1530" s="12">
        <f>VLOOKUP(C1530,'Jaringan Listrik'!$D:$K,8,FALSE)</f>
        <v>0</v>
      </c>
      <c r="H1530" s="374"/>
      <c r="I1530" s="16"/>
    </row>
    <row r="1531" spans="2:9" ht="24" customHeight="1">
      <c r="B1531" s="1033" t="str">
        <f>'Jaringan Listrik'!C6222</f>
        <v>5.3.1. 32</v>
      </c>
      <c r="C1531" s="11" t="str">
        <f>VLOOKUP(B1531,'Jaringan Listrik'!C:K,2,FALSE)</f>
        <v>Pemasangan 1 titik Instalasi Lampu Luar/Taman ( dengan Kabel NYFGBY)</v>
      </c>
      <c r="D1531" s="9" t="s">
        <v>5250</v>
      </c>
      <c r="E1531" s="1021">
        <f>VLOOKUP(C1531,'Jaringan Listrik'!$D$5165:$I$7161,6,FALSE)</f>
        <v>678900</v>
      </c>
      <c r="F1531" s="1003" t="str">
        <f>VLOOKUP(C1531,'Jaringan Listrik'!$D:$K,7,FALSE)</f>
        <v>Revisi</v>
      </c>
      <c r="G1531" s="12" t="str">
        <f>VLOOKUP(C1531,'Jaringan Listrik'!$D:$K,8,FALSE)</f>
        <v xml:space="preserve">Perubahan Koefisien Bahan Kabel 8,8 jadi 16,5 </v>
      </c>
      <c r="H1531" s="374"/>
      <c r="I1531" s="16"/>
    </row>
    <row r="1532" spans="2:9" ht="24" customHeight="1">
      <c r="B1532" s="1033" t="str">
        <f>'Jaringan Listrik'!C6243</f>
        <v>5.3.1. 33</v>
      </c>
      <c r="C1532" s="11" t="str">
        <f>VLOOKUP(B1532,'Jaringan Listrik'!C:K,2,FALSE)</f>
        <v>Pemasangan 1 titik Instalasi Lampu Luar/Taman ( dengan Kabel NYY)</v>
      </c>
      <c r="D1532" s="9" t="s">
        <v>6430</v>
      </c>
      <c r="E1532" s="1021">
        <f>VLOOKUP(C1532,'Jaringan Listrik'!$D$5165:$I$7161,6,FALSE)</f>
        <v>391400</v>
      </c>
      <c r="F1532" s="1003">
        <f>VLOOKUP(C1532,'Jaringan Listrik'!$D:$K,7,FALSE)</f>
        <v>0</v>
      </c>
      <c r="G1532" s="12">
        <f>VLOOKUP(C1532,'Jaringan Listrik'!$D:$K,8,FALSE)</f>
        <v>0</v>
      </c>
      <c r="H1532" s="374"/>
      <c r="I1532" s="16"/>
    </row>
    <row r="1533" spans="2:9" ht="24" customHeight="1">
      <c r="B1533" s="1033" t="str">
        <f>'Jaringan Listrik'!C6266</f>
        <v>5.3.1. 34</v>
      </c>
      <c r="C1533" s="11" t="str">
        <f>VLOOKUP(B1533,'Jaringan Listrik'!C:K,2,FALSE)</f>
        <v>Pemasangan 1 titik Instalasi Lampu Luar/Taman ( dengan Kabel NYM)</v>
      </c>
      <c r="D1533" s="9" t="s">
        <v>5250</v>
      </c>
      <c r="E1533" s="1021">
        <f>VLOOKUP(C1533,'Jaringan Listrik'!$D$5165:$I$7161,6,FALSE)</f>
        <v>136300</v>
      </c>
      <c r="F1533" s="1003">
        <f>VLOOKUP(C1533,'Jaringan Listrik'!$D:$K,7,FALSE)</f>
        <v>0</v>
      </c>
      <c r="G1533" s="12">
        <f>VLOOKUP(C1533,'Jaringan Listrik'!$D:$K,8,FALSE)</f>
        <v>0</v>
      </c>
      <c r="H1533" s="374"/>
      <c r="I1533" s="16"/>
    </row>
    <row r="1534" spans="2:9" ht="24" customHeight="1">
      <c r="B1534" s="1033" t="str">
        <f>'Jaringan Listrik'!C6285</f>
        <v>5.3.1. 35</v>
      </c>
      <c r="C1534" s="11" t="str">
        <f>VLOOKUP(B1534,'Jaringan Listrik'!C:K,2,FALSE)</f>
        <v>Pemasangan 1 titik Instalasi Lampu PJU ( dengan Kabel NYFGBY)</v>
      </c>
      <c r="D1534" s="9" t="s">
        <v>6430</v>
      </c>
      <c r="E1534" s="1021">
        <f>VLOOKUP(C1534,'Jaringan Listrik'!$D$5165:$I$7161,6,FALSE)</f>
        <v>1276000</v>
      </c>
      <c r="F1534" s="1003">
        <f>VLOOKUP(C1534,'Jaringan Listrik'!$D:$K,7,FALSE)</f>
        <v>0</v>
      </c>
      <c r="G1534" s="12">
        <f>VLOOKUP(C1534,'Jaringan Listrik'!$D:$K,8,FALSE)</f>
        <v>0</v>
      </c>
      <c r="H1534" s="374"/>
      <c r="I1534" s="16"/>
    </row>
    <row r="1535" spans="2:9" ht="24" customHeight="1">
      <c r="B1535" s="1033" t="str">
        <f>'Jaringan Listrik'!C6305</f>
        <v>5.3.1. 36</v>
      </c>
      <c r="C1535" s="11" t="str">
        <f>VLOOKUP(B1535,'Jaringan Listrik'!C:K,2,FALSE)</f>
        <v>Pemasangan 1 titik Instalasi Lampu PJU ( dengan Kabel NYY)</v>
      </c>
      <c r="D1535" s="9" t="s">
        <v>5250</v>
      </c>
      <c r="E1535" s="1021">
        <f>VLOOKUP(C1535,'Jaringan Listrik'!$D$5165:$I$7161,6,FALSE)</f>
        <v>685400</v>
      </c>
      <c r="F1535" s="1003">
        <f>VLOOKUP(C1535,'Jaringan Listrik'!$D:$K,7,FALSE)</f>
        <v>0</v>
      </c>
      <c r="G1535" s="12">
        <f>VLOOKUP(C1535,'Jaringan Listrik'!$D:$K,8,FALSE)</f>
        <v>0</v>
      </c>
      <c r="H1535" s="374"/>
      <c r="I1535" s="16"/>
    </row>
    <row r="1536" spans="2:9" ht="24" customHeight="1">
      <c r="B1536" s="1033" t="str">
        <f>'Jaringan Listrik'!C6328</f>
        <v>5.3.1. 37</v>
      </c>
      <c r="C1536" s="11" t="str">
        <f>VLOOKUP(B1536,'Jaringan Listrik'!C:K,2,FALSE)</f>
        <v>Pemasangan 1 titik Instalasi Lampu PJU Tiang 7 m  ( dengan Kabel NYM)</v>
      </c>
      <c r="D1536" s="9" t="s">
        <v>6430</v>
      </c>
      <c r="E1536" s="1021">
        <f>VLOOKUP(C1536,'Jaringan Listrik'!$D$5165:$I$7161,6,FALSE)</f>
        <v>233700</v>
      </c>
      <c r="F1536" s="1003">
        <f>VLOOKUP(C1536,'Jaringan Listrik'!$D:$K,7,FALSE)</f>
        <v>0</v>
      </c>
      <c r="G1536" s="12">
        <f>VLOOKUP(C1536,'Jaringan Listrik'!$D:$K,8,FALSE)</f>
        <v>0</v>
      </c>
      <c r="H1536" s="374"/>
      <c r="I1536" s="16"/>
    </row>
    <row r="1537" spans="2:9" ht="24" customHeight="1">
      <c r="B1537" s="1033" t="str">
        <f>'Jaringan Listrik'!C6348</f>
        <v>5.3.1. 38</v>
      </c>
      <c r="C1537" s="11" t="str">
        <f>VLOOKUP(B1537,'Jaringan Listrik'!C:K,2,FALSE)</f>
        <v>Pemasangan 1 titik Instalasi Lampu PJU Tiang 9 m  ( dengan Kabel NYM)</v>
      </c>
      <c r="D1537" s="9" t="s">
        <v>5250</v>
      </c>
      <c r="E1537" s="1021">
        <f>VLOOKUP(C1537,'Jaringan Listrik'!$D$5165:$I$7161,6,FALSE)</f>
        <v>272700</v>
      </c>
      <c r="F1537" s="1003">
        <f>VLOOKUP(C1537,'Jaringan Listrik'!$D:$K,7,FALSE)</f>
        <v>0</v>
      </c>
      <c r="G1537" s="12">
        <f>VLOOKUP(C1537,'Jaringan Listrik'!$D:$K,8,FALSE)</f>
        <v>0</v>
      </c>
      <c r="H1537" s="374"/>
      <c r="I1537" s="16"/>
    </row>
    <row r="1538" spans="2:9" ht="24" customHeight="1">
      <c r="B1538" s="1033" t="str">
        <f>'Jaringan Listrik'!C6368</f>
        <v>5.3.1. 39</v>
      </c>
      <c r="C1538" s="11" t="str">
        <f>VLOOKUP(B1538,'Jaringan Listrik'!C:K,2,FALSE)</f>
        <v>Pemasangan 1 Unit Sport Floodlight LED, Min 180000 Lumen, Max. 1340 W, 5700K, min. CRI 80, min. IP 66 c/w DMX Led Driver &amp; Customized Bracklet ( Field of Play)</v>
      </c>
      <c r="D1538" s="9" t="s">
        <v>135</v>
      </c>
      <c r="E1538" s="1021">
        <f>VLOOKUP(C1538,'Jaringan Listrik'!$D$5165:$I$7161,6,FALSE)</f>
        <v>1741600</v>
      </c>
      <c r="F1538" s="1003">
        <f>VLOOKUP(C1538,'Jaringan Listrik'!$D:$K,7,FALSE)</f>
        <v>0</v>
      </c>
      <c r="G1538" s="12">
        <f>VLOOKUP(C1538,'Jaringan Listrik'!$D:$K,8,FALSE)</f>
        <v>0</v>
      </c>
      <c r="H1538" s="374"/>
      <c r="I1538" s="16"/>
    </row>
    <row r="1539" spans="2:9" ht="24" customHeight="1">
      <c r="B1539" s="1033" t="str">
        <f>'Jaringan Listrik'!C6387</f>
        <v>5.3.1. 40</v>
      </c>
      <c r="C1539" s="11" t="str">
        <f>VLOOKUP(B1539,'Jaringan Listrik'!C:K,2,FALSE)</f>
        <v xml:space="preserve">Pemasangan 1 buah Junction Box IP Rated </v>
      </c>
      <c r="D1539" s="9" t="s">
        <v>44</v>
      </c>
      <c r="E1539" s="1021">
        <f>VLOOKUP(C1539,'Jaringan Listrik'!$D$5165:$I$7161,6,FALSE)</f>
        <v>205700</v>
      </c>
      <c r="F1539" s="1003">
        <f>VLOOKUP(C1539,'Jaringan Listrik'!$D:$K,7,FALSE)</f>
        <v>0</v>
      </c>
      <c r="G1539" s="12">
        <f>VLOOKUP(C1539,'Jaringan Listrik'!$D:$K,8,FALSE)</f>
        <v>0</v>
      </c>
      <c r="H1539" s="374"/>
      <c r="I1539" s="16"/>
    </row>
    <row r="1540" spans="2:9" ht="24" customHeight="1">
      <c r="B1540" s="1033" t="str">
        <f>'Jaringan Listrik'!C6405</f>
        <v>5.3.1. 41</v>
      </c>
      <c r="C1540" s="11" t="str">
        <f>VLOOKUP(B1540,'Jaringan Listrik'!C:K,2,FALSE)</f>
        <v xml:space="preserve">Setting &amp; Aiming 1 titik Lampu Field Of Play (FOP) Eksisting </v>
      </c>
      <c r="D1540" s="9" t="s">
        <v>5250</v>
      </c>
      <c r="E1540" s="1021">
        <f>VLOOKUP(C1540,'Jaringan Listrik'!$D$5165:$I$7161,6,FALSE)</f>
        <v>139700</v>
      </c>
      <c r="F1540" s="1003">
        <f>VLOOKUP(C1540,'Jaringan Listrik'!$D:$K,7,FALSE)</f>
        <v>0</v>
      </c>
      <c r="G1540" s="12">
        <f>VLOOKUP(C1540,'Jaringan Listrik'!$D:$K,8,FALSE)</f>
        <v>0</v>
      </c>
      <c r="H1540" s="374"/>
      <c r="I1540" s="16"/>
    </row>
    <row r="1541" spans="2:9" ht="24" customHeight="1">
      <c r="B1541" s="1033" t="str">
        <f>'Jaringan Listrik'!C6420</f>
        <v>5.3.1. 42</v>
      </c>
      <c r="C1541" s="11" t="str">
        <f>VLOOKUP(B1541,'Jaringan Listrik'!C:K,2,FALSE)</f>
        <v>Pemasangan 1 m' Kabel Fiber Optic Dual Core Single Mode + Pipa HDPE Conduit 20 mm</v>
      </c>
      <c r="D1541" s="9" t="s">
        <v>113</v>
      </c>
      <c r="E1541" s="1021">
        <f>VLOOKUP(C1541,'Jaringan Listrik'!$D$5165:$I$7161,6,FALSE)</f>
        <v>27600</v>
      </c>
      <c r="F1541" s="1003">
        <f>VLOOKUP(C1541,'Jaringan Listrik'!$D:$K,7,FALSE)</f>
        <v>0</v>
      </c>
      <c r="G1541" s="12">
        <f>VLOOKUP(C1541,'Jaringan Listrik'!$D:$K,8,FALSE)</f>
        <v>0</v>
      </c>
      <c r="H1541" s="374"/>
      <c r="I1541" s="16"/>
    </row>
    <row r="1542" spans="2:9" ht="24" customHeight="1">
      <c r="B1542" s="1033" t="str">
        <f>'Jaringan Listrik'!C6439</f>
        <v>5.3.1. 43</v>
      </c>
      <c r="C1542" s="11" t="str">
        <f>VLOOKUP(B1542,'Jaringan Listrik'!C:K,2,FALSE)</f>
        <v xml:space="preserve">Pemasangan 1 buah DMX LED Controller , 1 Universe </v>
      </c>
      <c r="D1542" s="9" t="s">
        <v>44</v>
      </c>
      <c r="E1542" s="1021">
        <f>VLOOKUP(C1542,'Jaringan Listrik'!$D$5165:$I$7161,6,FALSE)</f>
        <v>1963200</v>
      </c>
      <c r="F1542" s="1003">
        <f>VLOOKUP(C1542,'Jaringan Listrik'!$D:$K,7,FALSE)</f>
        <v>0</v>
      </c>
      <c r="G1542" s="12">
        <f>VLOOKUP(C1542,'Jaringan Listrik'!$D:$K,8,FALSE)</f>
        <v>0</v>
      </c>
      <c r="H1542" s="374"/>
      <c r="I1542" s="16"/>
    </row>
    <row r="1543" spans="2:9" ht="24" customHeight="1">
      <c r="B1543" s="1041" t="str">
        <f>'Jaringan Listrik'!C6456</f>
        <v>5.3.2</v>
      </c>
      <c r="C1543" s="20" t="str">
        <f>VLOOKUP(B1543,'Jaringan Listrik'!C:K,2,FALSE)</f>
        <v xml:space="preserve">Pemasangan Sensor </v>
      </c>
      <c r="D1543" s="19"/>
      <c r="E1543" s="1021">
        <f>VLOOKUP(C1543,'Jaringan Listrik'!$D$5165:$I$7161,6,FALSE)</f>
        <v>0</v>
      </c>
      <c r="F1543" s="1003">
        <f>VLOOKUP(C1543,'Jaringan Listrik'!$D:$K,7,FALSE)</f>
        <v>0</v>
      </c>
      <c r="G1543" s="12">
        <f>VLOOKUP(C1543,'Jaringan Listrik'!$D:$K,8,FALSE)</f>
        <v>0</v>
      </c>
      <c r="H1543" s="374"/>
      <c r="I1543" s="16"/>
    </row>
    <row r="1544" spans="2:9" ht="24" customHeight="1">
      <c r="B1544" s="1033" t="str">
        <f>'Jaringan Listrik'!C6457</f>
        <v>5.3.2.1</v>
      </c>
      <c r="C1544" s="11" t="str">
        <f>VLOOKUP(B1544,'Jaringan Listrik'!C:K,2,FALSE)</f>
        <v xml:space="preserve">Pemasangan 1 Unit Sensor Cahaya </v>
      </c>
      <c r="D1544" s="9" t="s">
        <v>135</v>
      </c>
      <c r="E1544" s="1021">
        <f>VLOOKUP(C1544,'Jaringan Listrik'!$D$5165:$I$7161,6,FALSE)</f>
        <v>95600</v>
      </c>
      <c r="F1544" s="1003">
        <f>VLOOKUP(C1544,'Jaringan Listrik'!$D:$K,7,FALSE)</f>
        <v>0</v>
      </c>
      <c r="G1544" s="12">
        <f>VLOOKUP(C1544,'Jaringan Listrik'!$D:$K,8,FALSE)</f>
        <v>0</v>
      </c>
      <c r="H1544" s="374"/>
      <c r="I1544" s="16"/>
    </row>
    <row r="1545" spans="2:9" ht="24" customHeight="1">
      <c r="B1545" s="1033" t="str">
        <f>'Jaringan Listrik'!C6474</f>
        <v>5.3.2.2</v>
      </c>
      <c r="C1545" s="11" t="str">
        <f>VLOOKUP(B1545,'Jaringan Listrik'!C:K,2,FALSE)</f>
        <v>Pemasangan 1 Unit Sensor Gerak</v>
      </c>
      <c r="D1545" s="9" t="s">
        <v>135</v>
      </c>
      <c r="E1545" s="1021">
        <f>VLOOKUP(C1545,'Jaringan Listrik'!$D$5165:$I$7161,6,FALSE)</f>
        <v>105100</v>
      </c>
      <c r="F1545" s="1003">
        <f>VLOOKUP(C1545,'Jaringan Listrik'!$D:$K,7,FALSE)</f>
        <v>0</v>
      </c>
      <c r="G1545" s="12">
        <f>VLOOKUP(C1545,'Jaringan Listrik'!$D:$K,8,FALSE)</f>
        <v>0</v>
      </c>
      <c r="H1545" s="374"/>
      <c r="I1545" s="16"/>
    </row>
    <row r="1546" spans="2:9" s="59" customFormat="1" ht="24" customHeight="1">
      <c r="B1546" s="1044" t="str">
        <f>'Jaringan Listrik'!C6491</f>
        <v>5.4</v>
      </c>
      <c r="C1546" s="1000" t="str">
        <f>VLOOKUP(B1546,'Jaringan Listrik'!C:K,2,FALSE)</f>
        <v>PEKERJAAN SISTEM ELEKTRONIK</v>
      </c>
      <c r="D1546" s="995"/>
      <c r="E1546" s="1051">
        <f>VLOOKUP(C1546,'Jaringan Listrik'!$D$5165:$I$7161,6,FALSE)</f>
        <v>0</v>
      </c>
      <c r="F1546" s="1017">
        <f>VLOOKUP(C1546,'Jaringan Listrik'!$D:$K,7,FALSE)</f>
        <v>0</v>
      </c>
      <c r="G1546" s="285">
        <f>VLOOKUP(C1546,'Jaringan Listrik'!$D:$K,8,FALSE)</f>
        <v>0</v>
      </c>
      <c r="H1546" s="374"/>
      <c r="I1546" s="999"/>
    </row>
    <row r="1547" spans="2:9" ht="24" customHeight="1">
      <c r="B1547" s="1041" t="str">
        <f>'Jaringan Listrik'!C6492</f>
        <v>5.4.1</v>
      </c>
      <c r="C1547" s="20" t="str">
        <f>VLOOKUP(B1547,'Jaringan Listrik'!C:K,2,FALSE)</f>
        <v xml:space="preserve">Sistem Alarm Kebakaran </v>
      </c>
      <c r="D1547" s="19"/>
      <c r="E1547" s="1021">
        <f>VLOOKUP(C1547,'Jaringan Listrik'!$D$5165:$I$7161,6,FALSE)</f>
        <v>0</v>
      </c>
      <c r="F1547" s="1003">
        <f>VLOOKUP(C1547,'Jaringan Listrik'!$D:$K,7,FALSE)</f>
        <v>0</v>
      </c>
      <c r="G1547" s="12">
        <f>VLOOKUP(C1547,'Jaringan Listrik'!$D:$K,8,FALSE)</f>
        <v>0</v>
      </c>
      <c r="H1547" s="374"/>
      <c r="I1547" s="16"/>
    </row>
    <row r="1548" spans="2:9" ht="24" customHeight="1">
      <c r="B1548" s="1033" t="str">
        <f>'Jaringan Listrik'!C6493</f>
        <v>5.4.1.1</v>
      </c>
      <c r="C1548" s="11" t="str">
        <f>VLOOKUP(B1548,'Jaringan Listrik'!C:K,2,FALSE)</f>
        <v>Pemasangan 1 Unit MCP-FA (Semi Addressable 1 Loop)</v>
      </c>
      <c r="D1548" s="9" t="s">
        <v>135</v>
      </c>
      <c r="E1548" s="1021">
        <f>VLOOKUP(C1548,'Jaringan Listrik'!$D$5165:$I$7161,6,FALSE)</f>
        <v>34266500</v>
      </c>
      <c r="F1548" s="1003" t="str">
        <f>VLOOKUP(C1548,'Jaringan Listrik'!$D:$K,7,FALSE)</f>
        <v>Revisi</v>
      </c>
      <c r="G1548" s="12" t="str">
        <f>VLOOKUP(C1548,'Jaringan Listrik'!$D:$K,8,FALSE)</f>
        <v>Perubahan Penghapusan bahan "Programming, Testing &amp; commisioning"</v>
      </c>
      <c r="H1548" s="374"/>
      <c r="I1548" s="16"/>
    </row>
    <row r="1549" spans="2:9" ht="24" customHeight="1">
      <c r="B1549" s="1033" t="str">
        <f>'Jaringan Listrik'!C6512</f>
        <v>5.4.1.2</v>
      </c>
      <c r="C1549" s="11" t="str">
        <f>VLOOKUP(B1549,'Jaringan Listrik'!C:K,2,FALSE)</f>
        <v>Pemasangan 1  Unit PC Komputer</v>
      </c>
      <c r="D1549" s="9" t="s">
        <v>135</v>
      </c>
      <c r="E1549" s="1021">
        <f>VLOOKUP(C1549,'Jaringan Listrik'!$D$5165:$I$7161,6,FALSE)</f>
        <v>4207300</v>
      </c>
      <c r="F1549" s="1003">
        <f>VLOOKUP(C1549,'Jaringan Listrik'!$D:$K,7,FALSE)</f>
        <v>0</v>
      </c>
      <c r="G1549" s="12">
        <f>VLOOKUP(C1549,'Jaringan Listrik'!$D:$K,8,FALSE)</f>
        <v>0</v>
      </c>
      <c r="H1549" s="374"/>
      <c r="I1549" s="16"/>
    </row>
    <row r="1550" spans="2:9" ht="24" customHeight="1">
      <c r="B1550" s="1033" t="str">
        <f>'Jaringan Listrik'!C6529</f>
        <v>5.4.1.3</v>
      </c>
      <c r="C1550" s="11" t="str">
        <f>VLOOKUP(B1550,'Jaringan Listrik'!C:K,2,FALSE)</f>
        <v>Pemasangan 1 Unit Alarm Printer</v>
      </c>
      <c r="D1550" s="9" t="s">
        <v>135</v>
      </c>
      <c r="E1550" s="1021">
        <f>VLOOKUP(C1550,'Jaringan Listrik'!$D$5165:$I$7161,6,FALSE)</f>
        <v>3006900</v>
      </c>
      <c r="F1550" s="1003">
        <f>VLOOKUP(C1550,'Jaringan Listrik'!$D:$K,7,FALSE)</f>
        <v>0</v>
      </c>
      <c r="G1550" s="12">
        <f>VLOOKUP(C1550,'Jaringan Listrik'!$D:$K,8,FALSE)</f>
        <v>0</v>
      </c>
      <c r="H1550" s="374"/>
      <c r="I1550" s="16"/>
    </row>
    <row r="1551" spans="2:9" ht="24" customHeight="1">
      <c r="B1551" s="1033" t="str">
        <f>'Jaringan Listrik'!C6546</f>
        <v>5.4.1.4</v>
      </c>
      <c r="C1551" s="11" t="str">
        <f>VLOOKUP(B1551,'Jaringan Listrik'!C:K,2,FALSE)</f>
        <v>Pemasangan 1 Unit Report Printer</v>
      </c>
      <c r="D1551" s="9" t="s">
        <v>135</v>
      </c>
      <c r="E1551" s="1021">
        <f>VLOOKUP(C1551,'Jaringan Listrik'!$D$5165:$I$7161,6,FALSE)</f>
        <v>2313900</v>
      </c>
      <c r="F1551" s="1003">
        <f>VLOOKUP(C1551,'Jaringan Listrik'!$D:$K,7,FALSE)</f>
        <v>0</v>
      </c>
      <c r="G1551" s="12">
        <f>VLOOKUP(C1551,'Jaringan Listrik'!$D:$K,8,FALSE)</f>
        <v>0</v>
      </c>
      <c r="H1551" s="374"/>
      <c r="I1551" s="16"/>
    </row>
    <row r="1552" spans="2:9" ht="24" customHeight="1">
      <c r="B1552" s="1033" t="str">
        <f>'Jaringan Listrik'!C6563</f>
        <v>5.4.1.5</v>
      </c>
      <c r="C1552" s="11" t="str">
        <f>VLOOKUP(B1552,'Jaringan Listrik'!C:K,2,FALSE)</f>
        <v xml:space="preserve">Pemasangan 1 Unit Announciator </v>
      </c>
      <c r="D1552" s="9" t="s">
        <v>135</v>
      </c>
      <c r="E1552" s="1021">
        <f>VLOOKUP(C1552,'Jaringan Listrik'!$D$5165:$I$7161,6,FALSE)</f>
        <v>2936400</v>
      </c>
      <c r="F1552" s="1003">
        <f>VLOOKUP(C1552,'Jaringan Listrik'!$D:$K,7,FALSE)</f>
        <v>0</v>
      </c>
      <c r="G1552" s="12">
        <f>VLOOKUP(C1552,'Jaringan Listrik'!$D:$K,8,FALSE)</f>
        <v>0</v>
      </c>
      <c r="H1552" s="374"/>
      <c r="I1552" s="16"/>
    </row>
    <row r="1553" spans="2:9" ht="24" customHeight="1">
      <c r="B1553" s="1033" t="str">
        <f>'Jaringan Listrik'!C6580</f>
        <v>5.4.1.6</v>
      </c>
      <c r="C1553" s="11" t="str">
        <f>VLOOKUP(B1553,'Jaringan Listrik'!C:K,2,FALSE)</f>
        <v xml:space="preserve">Pemasangan 1 Unit Terminal Box Fire Alarm (Lengkap dengan Modul) </v>
      </c>
      <c r="D1553" s="9" t="s">
        <v>135</v>
      </c>
      <c r="E1553" s="1021">
        <f>VLOOKUP(C1553,'Jaringan Listrik'!$D$5165:$I$7161,6,FALSE)</f>
        <v>716000</v>
      </c>
      <c r="F1553" s="1003">
        <f>VLOOKUP(C1553,'Jaringan Listrik'!$D:$K,7,FALSE)</f>
        <v>0</v>
      </c>
      <c r="G1553" s="12">
        <f>VLOOKUP(C1553,'Jaringan Listrik'!$D:$K,8,FALSE)</f>
        <v>0</v>
      </c>
      <c r="H1553" s="374"/>
      <c r="I1553" s="16"/>
    </row>
    <row r="1554" spans="2:9" ht="24" customHeight="1">
      <c r="B1554" s="1033" t="str">
        <f>'Jaringan Listrik'!C6598</f>
        <v>5.4.1.7</v>
      </c>
      <c r="C1554" s="11" t="str">
        <f>VLOOKUP(B1554,'Jaringan Listrik'!C:K,2,FALSE)</f>
        <v xml:space="preserve">Pemasangan 1 Unit Some Detector Addressable </v>
      </c>
      <c r="D1554" s="9" t="s">
        <v>135</v>
      </c>
      <c r="E1554" s="1021">
        <f>VLOOKUP(C1554,'Jaringan Listrik'!$D$5165:$I$7161,6,FALSE)</f>
        <v>938400</v>
      </c>
      <c r="F1554" s="1003">
        <f>VLOOKUP(C1554,'Jaringan Listrik'!$D:$K,7,FALSE)</f>
        <v>0</v>
      </c>
      <c r="G1554" s="12">
        <f>VLOOKUP(C1554,'Jaringan Listrik'!$D:$K,8,FALSE)</f>
        <v>0</v>
      </c>
      <c r="H1554" s="374"/>
      <c r="I1554" s="16"/>
    </row>
    <row r="1555" spans="2:9" ht="24" customHeight="1">
      <c r="B1555" s="1033" t="str">
        <f>'Jaringan Listrik'!C6615</f>
        <v>5.4.1.8</v>
      </c>
      <c r="C1555" s="11" t="str">
        <f>VLOOKUP(B1555,'Jaringan Listrik'!C:K,2,FALSE)</f>
        <v xml:space="preserve">Pemasangan 1 Unit Rate of Rise Detector Addressable </v>
      </c>
      <c r="D1555" s="9" t="s">
        <v>135</v>
      </c>
      <c r="E1555" s="1021">
        <f>VLOOKUP(C1555,'Jaringan Listrik'!$D$5165:$I$7161,6,FALSE)</f>
        <v>433700</v>
      </c>
      <c r="F1555" s="1003">
        <f>VLOOKUP(C1555,'Jaringan Listrik'!$D:$K,7,FALSE)</f>
        <v>0</v>
      </c>
      <c r="G1555" s="12">
        <f>VLOOKUP(C1555,'Jaringan Listrik'!$D:$K,8,FALSE)</f>
        <v>0</v>
      </c>
      <c r="H1555" s="374"/>
      <c r="I1555" s="16"/>
    </row>
    <row r="1556" spans="2:9" ht="24" customHeight="1">
      <c r="B1556" s="1033" t="str">
        <f>'Jaringan Listrik'!C6632</f>
        <v>5.4.1.9</v>
      </c>
      <c r="C1556" s="11" t="str">
        <f>VLOOKUP(B1556,'Jaringan Listrik'!C:K,2,FALSE)</f>
        <v xml:space="preserve">Pemasangan 1 Unit Fix Heat Detector Addressable </v>
      </c>
      <c r="D1556" s="9" t="s">
        <v>135</v>
      </c>
      <c r="E1556" s="1021">
        <f>VLOOKUP(C1556,'Jaringan Listrik'!$D$5165:$I$7161,6,FALSE)</f>
        <v>404800</v>
      </c>
      <c r="F1556" s="1003">
        <f>VLOOKUP(C1556,'Jaringan Listrik'!$D:$K,7,FALSE)</f>
        <v>0</v>
      </c>
      <c r="G1556" s="12">
        <f>VLOOKUP(C1556,'Jaringan Listrik'!$D:$K,8,FALSE)</f>
        <v>0</v>
      </c>
      <c r="H1556" s="374"/>
      <c r="I1556" s="16"/>
    </row>
    <row r="1557" spans="2:9" ht="24" customHeight="1">
      <c r="B1557" s="1033" t="str">
        <f>'Jaringan Listrik'!C6649</f>
        <v>5.4.1.10</v>
      </c>
      <c r="C1557" s="11" t="str">
        <f>VLOOKUP(B1557,'Jaringan Listrik'!C:K,2,FALSE)</f>
        <v xml:space="preserve">Pemasangan 1 Unit Smoke Detector Konvensional </v>
      </c>
      <c r="D1557" s="9" t="s">
        <v>135</v>
      </c>
      <c r="E1557" s="1021">
        <f>VLOOKUP(C1557,'Jaringan Listrik'!$D$5165:$I$7161,6,FALSE)</f>
        <v>320500</v>
      </c>
      <c r="F1557" s="1003">
        <f>VLOOKUP(C1557,'Jaringan Listrik'!$D:$K,7,FALSE)</f>
        <v>0</v>
      </c>
      <c r="G1557" s="12">
        <f>VLOOKUP(C1557,'Jaringan Listrik'!$D:$K,8,FALSE)</f>
        <v>0</v>
      </c>
      <c r="H1557" s="374"/>
      <c r="I1557" s="16"/>
    </row>
    <row r="1558" spans="2:9" ht="24" customHeight="1">
      <c r="B1558" s="1033" t="str">
        <f>'Jaringan Listrik'!C6666</f>
        <v>5.4.1.11</v>
      </c>
      <c r="C1558" s="11" t="str">
        <f>VLOOKUP(B1558,'Jaringan Listrik'!C:K,2,FALSE)</f>
        <v>Pemasangan 1 Unit Rate of Rise Detector Konvensional</v>
      </c>
      <c r="D1558" s="9" t="s">
        <v>135</v>
      </c>
      <c r="E1558" s="1021">
        <f>VLOOKUP(C1558,'Jaringan Listrik'!$D$5165:$I$7161,6,FALSE)</f>
        <v>314700</v>
      </c>
      <c r="F1558" s="1003">
        <f>VLOOKUP(C1558,'Jaringan Listrik'!$D:$K,7,FALSE)</f>
        <v>0</v>
      </c>
      <c r="G1558" s="12">
        <f>VLOOKUP(C1558,'Jaringan Listrik'!$D:$K,8,FALSE)</f>
        <v>0</v>
      </c>
      <c r="H1558" s="374"/>
      <c r="I1558" s="16"/>
    </row>
    <row r="1559" spans="2:9" ht="24" customHeight="1">
      <c r="B1559" s="1033" t="str">
        <f>'Jaringan Listrik'!C6683</f>
        <v>5.4.1.12</v>
      </c>
      <c r="C1559" s="11" t="str">
        <f>VLOOKUP(B1559,'Jaringan Listrik'!C:K,2,FALSE)</f>
        <v xml:space="preserve">Pemasangan 1 Unit Fix Heat Detector Konvensional </v>
      </c>
      <c r="D1559" s="9" t="s">
        <v>135</v>
      </c>
      <c r="E1559" s="1021">
        <f>VLOOKUP(C1559,'Jaringan Listrik'!$D$5165:$I$7161,6,FALSE)</f>
        <v>372500</v>
      </c>
      <c r="F1559" s="1003">
        <f>VLOOKUP(C1559,'Jaringan Listrik'!$D:$K,7,FALSE)</f>
        <v>0</v>
      </c>
      <c r="G1559" s="12">
        <f>VLOOKUP(C1559,'Jaringan Listrik'!$D:$K,8,FALSE)</f>
        <v>0</v>
      </c>
      <c r="H1559" s="374"/>
      <c r="I1559" s="16"/>
    </row>
    <row r="1560" spans="2:9" ht="24" customHeight="1">
      <c r="B1560" s="1033" t="str">
        <f>'Jaringan Listrik'!C6700</f>
        <v>5.4.1.13</v>
      </c>
      <c r="C1560" s="11" t="str">
        <f>VLOOKUP(B1560,'Jaringan Listrik'!C:K,2,FALSE)</f>
        <v xml:space="preserve">Pemasangan 1 Unit  Lamp Indicator </v>
      </c>
      <c r="D1560" s="9" t="s">
        <v>135</v>
      </c>
      <c r="E1560" s="1021">
        <f>VLOOKUP(C1560,'Jaringan Listrik'!$D$5165:$I$7161,6,FALSE)</f>
        <v>91200</v>
      </c>
      <c r="F1560" s="1003">
        <f>VLOOKUP(C1560,'Jaringan Listrik'!$D:$K,7,FALSE)</f>
        <v>0</v>
      </c>
      <c r="G1560" s="12">
        <f>VLOOKUP(C1560,'Jaringan Listrik'!$D:$K,8,FALSE)</f>
        <v>0</v>
      </c>
      <c r="H1560" s="374"/>
      <c r="I1560" s="16"/>
    </row>
    <row r="1561" spans="2:9" ht="24" customHeight="1">
      <c r="B1561" s="1033" t="str">
        <f>'Jaringan Listrik'!C6717</f>
        <v>5.4.1.14</v>
      </c>
      <c r="C1561" s="11" t="str">
        <f>VLOOKUP(B1561,'Jaringan Listrik'!C:K,2,FALSE)</f>
        <v>Pemasangan 1 Unit Manual Break Glass</v>
      </c>
      <c r="D1561" s="9" t="s">
        <v>135</v>
      </c>
      <c r="E1561" s="1021">
        <f>VLOOKUP(C1561,'Jaringan Listrik'!$D$5165:$I$7161,6,FALSE)</f>
        <v>94700</v>
      </c>
      <c r="F1561" s="1003">
        <f>VLOOKUP(C1561,'Jaringan Listrik'!$D:$K,7,FALSE)</f>
        <v>0</v>
      </c>
      <c r="G1561" s="12">
        <f>VLOOKUP(C1561,'Jaringan Listrik'!$D:$K,8,FALSE)</f>
        <v>0</v>
      </c>
      <c r="H1561" s="374"/>
      <c r="I1561" s="16"/>
    </row>
    <row r="1562" spans="2:9" ht="24" customHeight="1">
      <c r="B1562" s="1033" t="str">
        <f>'Jaringan Listrik'!C6734</f>
        <v>5.4.1.15</v>
      </c>
      <c r="C1562" s="11" t="str">
        <f>VLOOKUP(B1562,'Jaringan Listrik'!C:K,2,FALSE)</f>
        <v>Pemasangan 1 Unit  Horn Strobe</v>
      </c>
      <c r="D1562" s="9" t="s">
        <v>135</v>
      </c>
      <c r="E1562" s="1021">
        <f>VLOOKUP(C1562,'Jaringan Listrik'!$D$5165:$I$7161,6,FALSE)</f>
        <v>227500</v>
      </c>
      <c r="F1562" s="1003">
        <f>VLOOKUP(C1562,'Jaringan Listrik'!$D:$K,7,FALSE)</f>
        <v>0</v>
      </c>
      <c r="G1562" s="12">
        <f>VLOOKUP(C1562,'Jaringan Listrik'!$D:$K,8,FALSE)</f>
        <v>0</v>
      </c>
      <c r="H1562" s="374"/>
      <c r="I1562" s="16"/>
    </row>
    <row r="1563" spans="2:9" ht="24" customHeight="1">
      <c r="B1563" s="1033" t="str">
        <f>'Jaringan Listrik'!C6751</f>
        <v>5.4.1.16</v>
      </c>
      <c r="C1563" s="11" t="str">
        <f>VLOOKUP(B1563,'Jaringan Listrik'!C:K,2,FALSE)</f>
        <v>Pemasangan 1 Unit  Fire Fighting Telepon</v>
      </c>
      <c r="D1563" s="9" t="s">
        <v>135</v>
      </c>
      <c r="E1563" s="1021">
        <f>VLOOKUP(C1563,'Jaringan Listrik'!$D$5165:$I$7161,6,FALSE)</f>
        <v>181300</v>
      </c>
      <c r="F1563" s="1003">
        <f>VLOOKUP(C1563,'Jaringan Listrik'!$D:$K,7,FALSE)</f>
        <v>0</v>
      </c>
      <c r="G1563" s="12">
        <f>VLOOKUP(C1563,'Jaringan Listrik'!$D:$K,8,FALSE)</f>
        <v>0</v>
      </c>
      <c r="H1563" s="374"/>
      <c r="I1563" s="16"/>
    </row>
    <row r="1564" spans="2:9" ht="24" customHeight="1">
      <c r="B1564" s="1033" t="str">
        <f>'Jaringan Listrik'!C6768</f>
        <v>5.4.1.17</v>
      </c>
      <c r="C1564" s="11" t="str">
        <f>VLOOKUP(B1564,'Jaringan Listrik'!C:K,2,FALSE)</f>
        <v>Pemasangan 1 Unit  Alrm Bell</v>
      </c>
      <c r="D1564" s="9" t="s">
        <v>135</v>
      </c>
      <c r="E1564" s="1021">
        <f>VLOOKUP(C1564,'Jaringan Listrik'!$D$5165:$I$7161,6,FALSE)</f>
        <v>123600</v>
      </c>
      <c r="F1564" s="1003">
        <f>VLOOKUP(C1564,'Jaringan Listrik'!$D:$K,7,FALSE)</f>
        <v>0</v>
      </c>
      <c r="G1564" s="12">
        <f>VLOOKUP(C1564,'Jaringan Listrik'!$D:$K,8,FALSE)</f>
        <v>0</v>
      </c>
      <c r="H1564" s="374"/>
      <c r="I1564" s="16"/>
    </row>
    <row r="1565" spans="2:9" ht="24" customHeight="1">
      <c r="B1565" s="1033" t="str">
        <f>'Jaringan Listrik'!C6785</f>
        <v>5.4.1.18</v>
      </c>
      <c r="C1565" s="11" t="str">
        <f>VLOOKUP(B1565,'Jaringan Listrik'!C:K,2,FALSE)</f>
        <v>Pemasangan 1 titik Instalasi Detector Adressable Per Titik</v>
      </c>
      <c r="D1565" s="9" t="s">
        <v>5250</v>
      </c>
      <c r="E1565" s="1021">
        <f>VLOOKUP(C1565,'Jaringan Listrik'!$D$5165:$I$7161,6,FALSE)</f>
        <v>495700</v>
      </c>
      <c r="F1565" s="1003">
        <f>VLOOKUP(C1565,'Jaringan Listrik'!$D:$K,7,FALSE)</f>
        <v>0</v>
      </c>
      <c r="G1565" s="12">
        <f>VLOOKUP(C1565,'Jaringan Listrik'!$D:$K,8,FALSE)</f>
        <v>0</v>
      </c>
      <c r="H1565" s="374"/>
      <c r="I1565" s="16"/>
    </row>
    <row r="1566" spans="2:9" ht="24" customHeight="1">
      <c r="B1566" s="1033" t="str">
        <f>'Jaringan Listrik'!C6808</f>
        <v>5.4.1.19</v>
      </c>
      <c r="C1566" s="11" t="str">
        <f>VLOOKUP(B1566,'Jaringan Listrik'!C:K,2,FALSE)</f>
        <v>Pemasangan 1 titik Instalasi Detector Konvensional Per Tititk</v>
      </c>
      <c r="D1566" s="9" t="s">
        <v>5250</v>
      </c>
      <c r="E1566" s="1021">
        <f>VLOOKUP(C1566,'Jaringan Listrik'!$D$5165:$I$7161,6,FALSE)</f>
        <v>584800</v>
      </c>
      <c r="F1566" s="1003">
        <f>VLOOKUP(C1566,'Jaringan Listrik'!$D:$K,7,FALSE)</f>
        <v>0</v>
      </c>
      <c r="G1566" s="12">
        <f>VLOOKUP(C1566,'Jaringan Listrik'!$D:$K,8,FALSE)</f>
        <v>0</v>
      </c>
      <c r="H1566" s="374"/>
      <c r="I1566" s="16"/>
    </row>
    <row r="1567" spans="2:9" ht="24" customHeight="1">
      <c r="B1567" s="1033" t="str">
        <f>'Jaringan Listrik'!C6832</f>
        <v>5.4.1.20</v>
      </c>
      <c r="C1567" s="11" t="str">
        <f>VLOOKUP(B1567,'Jaringan Listrik'!C:K,2,FALSE)</f>
        <v>Pemasangan 1 titik Instalasi Lamp Indicator</v>
      </c>
      <c r="D1567" s="9" t="s">
        <v>5250</v>
      </c>
      <c r="E1567" s="1021">
        <f>VLOOKUP(C1567,'Jaringan Listrik'!$D$5165:$I$7161,6,FALSE)</f>
        <v>1006800</v>
      </c>
      <c r="F1567" s="1003">
        <f>VLOOKUP(C1567,'Jaringan Listrik'!$D:$K,7,FALSE)</f>
        <v>0</v>
      </c>
      <c r="G1567" s="12">
        <f>VLOOKUP(C1567,'Jaringan Listrik'!$D:$K,8,FALSE)</f>
        <v>0</v>
      </c>
      <c r="H1567" s="374"/>
      <c r="I1567" s="16"/>
    </row>
    <row r="1568" spans="2:9" ht="24" customHeight="1">
      <c r="B1568" s="1033" t="str">
        <f>'Jaringan Listrik'!C6855</f>
        <v>5.4.1.21</v>
      </c>
      <c r="C1568" s="11" t="str">
        <f>VLOOKUP(B1568,'Jaringan Listrik'!C:K,2,FALSE)</f>
        <v>Pemasangan 1 titik Instalasi Manual Push Button</v>
      </c>
      <c r="D1568" s="9" t="s">
        <v>5250</v>
      </c>
      <c r="E1568" s="1021">
        <f>VLOOKUP(C1568,'Jaringan Listrik'!$D$5165:$I$7161,6,FALSE)</f>
        <v>1257300</v>
      </c>
      <c r="F1568" s="1003">
        <f>VLOOKUP(C1568,'Jaringan Listrik'!$D:$K,7,FALSE)</f>
        <v>0</v>
      </c>
      <c r="G1568" s="12">
        <f>VLOOKUP(C1568,'Jaringan Listrik'!$D:$K,8,FALSE)</f>
        <v>0</v>
      </c>
      <c r="H1568" s="374"/>
      <c r="I1568" s="16"/>
    </row>
    <row r="1569" spans="2:9" ht="24" customHeight="1">
      <c r="B1569" s="1033" t="str">
        <f>'Jaringan Listrik'!C6878</f>
        <v>5.4.1.22</v>
      </c>
      <c r="C1569" s="11" t="str">
        <f>VLOOKUP(B1569,'Jaringan Listrik'!C:K,2,FALSE)</f>
        <v>Pemasangan 1 titik Instalasi Alarm Bell</v>
      </c>
      <c r="D1569" s="9" t="s">
        <v>5250</v>
      </c>
      <c r="E1569" s="1021">
        <f>VLOOKUP(C1569,'Jaringan Listrik'!$D$5165:$I$7161,6,FALSE)</f>
        <v>1006800</v>
      </c>
      <c r="F1569" s="1003">
        <f>VLOOKUP(C1569,'Jaringan Listrik'!$D:$K,7,FALSE)</f>
        <v>0</v>
      </c>
      <c r="G1569" s="12">
        <f>VLOOKUP(C1569,'Jaringan Listrik'!$D:$K,8,FALSE)</f>
        <v>0</v>
      </c>
      <c r="H1569" s="374"/>
      <c r="I1569" s="16"/>
    </row>
    <row r="1570" spans="2:9" ht="24" customHeight="1">
      <c r="B1570" s="1033" t="str">
        <f>'Jaringan Listrik'!C6901</f>
        <v>5.4.1.23</v>
      </c>
      <c r="C1570" s="11" t="str">
        <f>VLOOKUP(B1570,'Jaringan Listrik'!C:K,2,FALSE)</f>
        <v>Pemasangan 1 titik Instalasi  Indicator Bell</v>
      </c>
      <c r="D1570" s="9" t="s">
        <v>5250</v>
      </c>
      <c r="E1570" s="1021">
        <f>VLOOKUP(C1570,'Jaringan Listrik'!$D$5165:$I$7161,6,FALSE)</f>
        <v>1257300</v>
      </c>
      <c r="F1570" s="1003">
        <f>VLOOKUP(C1570,'Jaringan Listrik'!$D:$K,7,FALSE)</f>
        <v>0</v>
      </c>
      <c r="G1570" s="12">
        <f>VLOOKUP(C1570,'Jaringan Listrik'!$D:$K,8,FALSE)</f>
        <v>0</v>
      </c>
      <c r="H1570" s="374"/>
      <c r="I1570" s="16"/>
    </row>
    <row r="1571" spans="2:9" ht="24" customHeight="1">
      <c r="B1571" s="1033" t="str">
        <f>'Jaringan Listrik'!C6925</f>
        <v>5.4.1.24</v>
      </c>
      <c r="C1571" s="11" t="str">
        <f>VLOOKUP(B1571,'Jaringan Listrik'!C:K,2,FALSE)</f>
        <v>Pemasangan 1 titik Instalasi Intercom Jack</v>
      </c>
      <c r="D1571" s="9" t="s">
        <v>5250</v>
      </c>
      <c r="E1571" s="1021">
        <f>VLOOKUP(C1571,'Jaringan Listrik'!$D$5165:$I$7161,6,FALSE)</f>
        <v>839900</v>
      </c>
      <c r="F1571" s="1003">
        <f>VLOOKUP(C1571,'Jaringan Listrik'!$D:$K,7,FALSE)</f>
        <v>0</v>
      </c>
      <c r="G1571" s="12">
        <f>VLOOKUP(C1571,'Jaringan Listrik'!$D:$K,8,FALSE)</f>
        <v>0</v>
      </c>
      <c r="H1571" s="374"/>
      <c r="I1571" s="16"/>
    </row>
    <row r="1572" spans="2:9" ht="24" customHeight="1">
      <c r="B1572" s="1033" t="str">
        <f>'Jaringan Listrik'!C6949</f>
        <v>5.4.1.25</v>
      </c>
      <c r="C1572" s="11" t="str">
        <f>VLOOKUP(B1572,'Jaringan Listrik'!C:K,2,FALSE)</f>
        <v>Pemasangan 1 titik Instalasi Flow &amp; Temper Switch</v>
      </c>
      <c r="D1572" s="9" t="s">
        <v>5250</v>
      </c>
      <c r="E1572" s="1021">
        <f>VLOOKUP(C1572,'Jaringan Listrik'!$D$5165:$I$7161,6,FALSE)</f>
        <v>1881700</v>
      </c>
      <c r="F1572" s="1003">
        <f>VLOOKUP(C1572,'Jaringan Listrik'!$D:$K,7,FALSE)</f>
        <v>0</v>
      </c>
      <c r="G1572" s="12">
        <f>VLOOKUP(C1572,'Jaringan Listrik'!$D:$K,8,FALSE)</f>
        <v>0</v>
      </c>
      <c r="H1572" s="374"/>
      <c r="I1572" s="16"/>
    </row>
    <row r="1573" spans="2:9" ht="24" customHeight="1">
      <c r="B1573" s="1033" t="str">
        <f>'Jaringan Listrik'!C6972</f>
        <v>5.4.1.26</v>
      </c>
      <c r="C1573" s="11" t="str">
        <f>VLOOKUP(B1573,'Jaringan Listrik'!C:K,2,FALSE)</f>
        <v>Pemasangan 1 buah Sirine Module</v>
      </c>
      <c r="D1573" s="9" t="s">
        <v>44</v>
      </c>
      <c r="E1573" s="1021">
        <f>VLOOKUP(C1573,'Jaringan Listrik'!$D$5165:$I$7161,6,FALSE)</f>
        <v>813800</v>
      </c>
      <c r="F1573" s="1003">
        <f>VLOOKUP(C1573,'Jaringan Listrik'!$D:$K,7,FALSE)</f>
        <v>0</v>
      </c>
      <c r="G1573" s="12">
        <f>VLOOKUP(C1573,'Jaringan Listrik'!$D:$K,8,FALSE)</f>
        <v>0</v>
      </c>
      <c r="H1573" s="374"/>
      <c r="I1573" s="16"/>
    </row>
    <row r="1574" spans="2:9" ht="24" customHeight="1">
      <c r="B1574" s="1033" t="str">
        <f>'Jaringan Listrik'!C6989</f>
        <v>5.4.1.27</v>
      </c>
      <c r="C1574" s="11" t="str">
        <f>VLOOKUP(B1574,'Jaringan Listrik'!C:K,2,FALSE)</f>
        <v>Pemasangan 1 buah Control Module</v>
      </c>
      <c r="D1574" s="9" t="s">
        <v>44</v>
      </c>
      <c r="E1574" s="1021">
        <f>VLOOKUP(C1574,'Jaringan Listrik'!$D$5165:$I$7161,6,FALSE)</f>
        <v>450800</v>
      </c>
      <c r="F1574" s="1003">
        <f>VLOOKUP(C1574,'Jaringan Listrik'!$D:$K,7,FALSE)</f>
        <v>0</v>
      </c>
      <c r="G1574" s="12">
        <f>VLOOKUP(C1574,'Jaringan Listrik'!$D:$K,8,FALSE)</f>
        <v>0</v>
      </c>
      <c r="H1574" s="374"/>
      <c r="I1574" s="16"/>
    </row>
    <row r="1575" spans="2:9" ht="24" customHeight="1">
      <c r="B1575" s="1033" t="str">
        <f>'Jaringan Listrik'!C7007</f>
        <v>5.4.1.28</v>
      </c>
      <c r="C1575" s="11" t="str">
        <f>VLOOKUP(B1575,'Jaringan Listrik'!C:K,2,FALSE)</f>
        <v>Pemasangan 1 buah Relay Module</v>
      </c>
      <c r="D1575" s="9" t="s">
        <v>44</v>
      </c>
      <c r="E1575" s="1021">
        <f>VLOOKUP(C1575,'Jaringan Listrik'!$D$5165:$I$7161,6,FALSE)</f>
        <v>152500</v>
      </c>
      <c r="F1575" s="1003">
        <f>VLOOKUP(C1575,'Jaringan Listrik'!$D:$K,7,FALSE)</f>
        <v>0</v>
      </c>
      <c r="G1575" s="12">
        <f>VLOOKUP(C1575,'Jaringan Listrik'!$D:$K,8,FALSE)</f>
        <v>0</v>
      </c>
      <c r="H1575" s="374"/>
      <c r="I1575" s="16"/>
    </row>
    <row r="1576" spans="2:9" ht="24" customHeight="1">
      <c r="B1576" s="1033" t="str">
        <f>'Jaringan Listrik'!C7024</f>
        <v>5.4.1.29</v>
      </c>
      <c r="C1576" s="11" t="str">
        <f>VLOOKUP(B1576,'Jaringan Listrik'!C:K,2,FALSE)</f>
        <v xml:space="preserve">Pemasangan 1 buah Isolator Module </v>
      </c>
      <c r="D1576" s="9" t="s">
        <v>44</v>
      </c>
      <c r="E1576" s="1021">
        <f>VLOOKUP(C1576,'Jaringan Listrik'!$D$5165:$I$7161,6,FALSE)</f>
        <v>293500</v>
      </c>
      <c r="F1576" s="1003">
        <f>VLOOKUP(C1576,'Jaringan Listrik'!$D:$K,7,FALSE)</f>
        <v>0</v>
      </c>
      <c r="G1576" s="12">
        <f>VLOOKUP(C1576,'Jaringan Listrik'!$D:$K,8,FALSE)</f>
        <v>0</v>
      </c>
      <c r="H1576" s="374"/>
      <c r="I1576" s="16"/>
    </row>
    <row r="1577" spans="2:9" ht="24" customHeight="1">
      <c r="B1577" s="1033" t="str">
        <f>'Jaringan Listrik'!C7041</f>
        <v>5.4.1.30</v>
      </c>
      <c r="C1577" s="11" t="str">
        <f>VLOOKUP(B1577,'Jaringan Listrik'!C:K,2,FALSE)</f>
        <v xml:space="preserve">Pemasangan 1 buah Monitor  Module </v>
      </c>
      <c r="D1577" s="9" t="s">
        <v>44</v>
      </c>
      <c r="E1577" s="1021">
        <f>VLOOKUP(C1577,'Jaringan Listrik'!$D$5165:$I$7161,6,FALSE)</f>
        <v>269300</v>
      </c>
      <c r="F1577" s="1003">
        <f>VLOOKUP(C1577,'Jaringan Listrik'!$D:$K,7,FALSE)</f>
        <v>0</v>
      </c>
      <c r="G1577" s="12">
        <f>VLOOKUP(C1577,'Jaringan Listrik'!$D:$K,8,FALSE)</f>
        <v>0</v>
      </c>
      <c r="H1577" s="374"/>
      <c r="I1577" s="16"/>
    </row>
    <row r="1578" spans="2:9" ht="24" customHeight="1">
      <c r="B1578" s="1033" t="str">
        <f>'Jaringan Listrik'!C7059</f>
        <v>5.4.1.31</v>
      </c>
      <c r="C1578" s="11" t="str">
        <f>VLOOKUP(B1578,'Jaringan Listrik'!C:K,2,FALSE)</f>
        <v>Pemasangan 1 buah Terminal Box Fire Alarm ( Tanpa Modul)</v>
      </c>
      <c r="D1578" s="9" t="s">
        <v>44</v>
      </c>
      <c r="E1578" s="1021">
        <f>VLOOKUP(C1578,'Jaringan Listrik'!$D$5165:$I$7161,6,FALSE)</f>
        <v>367900</v>
      </c>
      <c r="F1578" s="1003">
        <f>VLOOKUP(C1578,'Jaringan Listrik'!$D:$K,7,FALSE)</f>
        <v>0</v>
      </c>
      <c r="G1578" s="12">
        <f>VLOOKUP(C1578,'Jaringan Listrik'!$D:$K,8,FALSE)</f>
        <v>0</v>
      </c>
      <c r="H1578" s="374"/>
      <c r="I1578" s="16"/>
    </row>
    <row r="1579" spans="2:9" ht="24" customHeight="1">
      <c r="B1579" s="1033" t="str">
        <f>'Jaringan Listrik'!C7076</f>
        <v>5.4.1.32</v>
      </c>
      <c r="C1579" s="11" t="str">
        <f>VLOOKUP(B1579,'Jaringan Listrik'!C:K,2,FALSE)</f>
        <v>Pemasangan 1 buah Kabel Power Fire Alarm NYA 20x1,5 mm2</v>
      </c>
      <c r="D1579" s="9" t="s">
        <v>44</v>
      </c>
      <c r="E1579" s="1021">
        <f>VLOOKUP(C1579,'Jaringan Listrik'!$D$5165:$I$7161,6,FALSE)</f>
        <v>25800</v>
      </c>
      <c r="F1579" s="1003">
        <f>VLOOKUP(C1579,'Jaringan Listrik'!$D:$K,7,FALSE)</f>
        <v>0</v>
      </c>
      <c r="G1579" s="12">
        <f>VLOOKUP(C1579,'Jaringan Listrik'!$D:$K,8,FALSE)</f>
        <v>0</v>
      </c>
      <c r="H1579" s="374"/>
      <c r="I1579" s="16"/>
    </row>
    <row r="1580" spans="2:9" ht="24" customHeight="1">
      <c r="B1580" s="1033" t="str">
        <f>'Jaringan Listrik'!C7094</f>
        <v>5.4.1.33</v>
      </c>
      <c r="C1580" s="11" t="str">
        <f>VLOOKUP(B1580,'Jaringan Listrik'!C:K,2,FALSE)</f>
        <v>Pemasangan 1 buah Kabel Power Fire Alarm NYA 3x2x2,5 mm2</v>
      </c>
      <c r="D1580" s="9" t="s">
        <v>44</v>
      </c>
      <c r="E1580" s="1021">
        <f>VLOOKUP(C1580,'Jaringan Listrik'!$D$5165:$I$7161,6,FALSE)</f>
        <v>34000</v>
      </c>
      <c r="F1580" s="1003">
        <f>VLOOKUP(C1580,'Jaringan Listrik'!$D:$K,7,FALSE)</f>
        <v>0</v>
      </c>
      <c r="G1580" s="12">
        <f>VLOOKUP(C1580,'Jaringan Listrik'!$D:$K,8,FALSE)</f>
        <v>0</v>
      </c>
      <c r="H1580" s="374"/>
      <c r="I1580" s="16"/>
    </row>
    <row r="1581" spans="2:9" ht="24" customHeight="1">
      <c r="B1581" s="1033" t="str">
        <f>'Jaringan Listrik'!C7111</f>
        <v>5.4.1.34</v>
      </c>
      <c r="C1581" s="11" t="str">
        <f>VLOOKUP(B1581,'Jaringan Listrik'!C:K,2,FALSE)</f>
        <v>Pemasangan 1 buah Kabel Power Fire Alarm NYA 5x2x2,5 mm2</v>
      </c>
      <c r="D1581" s="9" t="s">
        <v>44</v>
      </c>
      <c r="E1581" s="1021">
        <f>VLOOKUP(C1581,'Jaringan Listrik'!$D$5165:$I$7161,6,FALSE)</f>
        <v>79300</v>
      </c>
      <c r="F1581" s="1003">
        <f>VLOOKUP(C1581,'Jaringan Listrik'!$D:$K,7,FALSE)</f>
        <v>0</v>
      </c>
      <c r="G1581" s="12">
        <f>VLOOKUP(C1581,'Jaringan Listrik'!$D:$K,8,FALSE)</f>
        <v>0</v>
      </c>
      <c r="H1581" s="374"/>
      <c r="I1581" s="16"/>
    </row>
    <row r="1582" spans="2:9" ht="24" customHeight="1">
      <c r="B1582" s="1033" t="str">
        <f>'Jaringan Listrik'!C7128</f>
        <v>5.4.1.35</v>
      </c>
      <c r="C1582" s="11" t="str">
        <f>VLOOKUP(B1582,'Jaringan Listrik'!C:K,2,FALSE)</f>
        <v>Pemasangan 1 Unit Rectifier</v>
      </c>
      <c r="D1582" s="9" t="s">
        <v>135</v>
      </c>
      <c r="E1582" s="1021">
        <f>VLOOKUP(C1582,'Jaringan Listrik'!$D$5165:$I$7161,6,FALSE)</f>
        <v>4268800</v>
      </c>
      <c r="F1582" s="1003">
        <f>VLOOKUP(C1582,'Jaringan Listrik'!$D:$K,7,FALSE)</f>
        <v>0</v>
      </c>
      <c r="G1582" s="12">
        <f>VLOOKUP(C1582,'Jaringan Listrik'!$D:$K,8,FALSE)</f>
        <v>0</v>
      </c>
      <c r="H1582" s="374"/>
      <c r="I1582" s="16"/>
    </row>
    <row r="1583" spans="2:9" ht="24" customHeight="1">
      <c r="B1583" s="1033" t="str">
        <f>'Jaringan Listrik'!C7145</f>
        <v>5.4.1.36</v>
      </c>
      <c r="C1583" s="11" t="str">
        <f>VLOOKUP(B1583,'Jaringan Listrik'!C:K,2,FALSE)</f>
        <v>Pemasangan 1 Unit Power Surge Arrester</v>
      </c>
      <c r="D1583" s="9" t="s">
        <v>135</v>
      </c>
      <c r="E1583" s="1021">
        <f>VLOOKUP(C1583,'Jaringan Listrik'!$D$5165:$I$7161,6,FALSE)</f>
        <v>1619000</v>
      </c>
      <c r="F1583" s="1003">
        <f>VLOOKUP(C1583,'Jaringan Listrik'!$D:$K,7,FALSE)</f>
        <v>0</v>
      </c>
      <c r="G1583" s="12">
        <f>VLOOKUP(C1583,'Jaringan Listrik'!$D:$K,8,FALSE)</f>
        <v>0</v>
      </c>
      <c r="H1583" s="374"/>
      <c r="I1583" s="16"/>
    </row>
    <row r="1584" spans="2:9" ht="24" customHeight="1">
      <c r="B1584" s="1033" t="str">
        <f>'Jaringan Listrik'!C7162</f>
        <v>5.4.1.37</v>
      </c>
      <c r="C1584" s="11" t="str">
        <f>VLOOKUP(B1584,'Jaringan Listrik'!C:K,2,FALSE)</f>
        <v>Pemasangan 1 Unit UPS 2 KVA ( Inverter, Rectifier, Battery Backup 15 menit)</v>
      </c>
      <c r="D1584" s="9" t="s">
        <v>135</v>
      </c>
      <c r="E1584" s="1021">
        <f>VLOOKUP(C1584,'Jaringan Listrik'!$D$5165:$I$9334,6,FALSE)</f>
        <v>4487900</v>
      </c>
      <c r="F1584" s="1003">
        <f>VLOOKUP(C1584,'Jaringan Listrik'!$D:$K,7,FALSE)</f>
        <v>0</v>
      </c>
      <c r="G1584" s="12">
        <f>VLOOKUP(C1584,'Jaringan Listrik'!$D:$K,8,FALSE)</f>
        <v>0</v>
      </c>
      <c r="H1584" s="374"/>
      <c r="I1584" s="16"/>
    </row>
    <row r="1585" spans="1:9" ht="24" customHeight="1">
      <c r="B1585" s="1033" t="str">
        <f>'Jaringan Listrik'!C7179</f>
        <v>5.4.1.38</v>
      </c>
      <c r="C1585" s="11" t="str">
        <f>VLOOKUP(B1585,'Jaringan Listrik'!C:K,2,FALSE)</f>
        <v>Pemasangan 1 Unit UPS 2 KVA ( Inverter, Rectifier, Battery Backup 30 menit)</v>
      </c>
      <c r="D1585" s="9" t="s">
        <v>135</v>
      </c>
      <c r="E1585" s="1021">
        <f>VLOOKUP(C1585,'Jaringan Listrik'!$D$5165:$I$9334,6,FALSE)</f>
        <v>4834400</v>
      </c>
      <c r="F1585" s="1003">
        <f>VLOOKUP(C1585,'Jaringan Listrik'!$D:$K,7,FALSE)</f>
        <v>0</v>
      </c>
      <c r="G1585" s="12">
        <f>VLOOKUP(C1585,'Jaringan Listrik'!$D:$K,8,FALSE)</f>
        <v>0</v>
      </c>
      <c r="H1585" s="374"/>
      <c r="I1585" s="16"/>
    </row>
    <row r="1586" spans="1:9" ht="24" customHeight="1">
      <c r="B1586" s="1033" t="str">
        <f>'Jaringan Listrik'!C7196</f>
        <v>5.4.1.39</v>
      </c>
      <c r="C1586" s="11" t="str">
        <f>VLOOKUP(B1586,'Jaringan Listrik'!C:K,2,FALSE)</f>
        <v>Pemasangan 1 Unit UPS 2 KVA ( Inverter, Rectifier, Battery Backup 1 Jam)</v>
      </c>
      <c r="D1586" s="9" t="s">
        <v>135</v>
      </c>
      <c r="E1586" s="1021">
        <f>VLOOKUP(C1586,'Jaringan Listrik'!$D$5165:$I$9334,6,FALSE)</f>
        <v>5758400</v>
      </c>
      <c r="F1586" s="1003">
        <f>VLOOKUP(C1586,'Jaringan Listrik'!$D:$K,7,FALSE)</f>
        <v>0</v>
      </c>
      <c r="G1586" s="12">
        <f>VLOOKUP(C1586,'Jaringan Listrik'!$D:$K,8,FALSE)</f>
        <v>0</v>
      </c>
      <c r="H1586" s="374"/>
      <c r="I1586" s="16"/>
    </row>
    <row r="1587" spans="1:9" ht="24" customHeight="1">
      <c r="B1587" s="1033" t="str">
        <f>'Jaringan Listrik'!C7213</f>
        <v>5.4.1.40</v>
      </c>
      <c r="C1587" s="11" t="str">
        <f>VLOOKUP(B1587,'Jaringan Listrik'!C:K,2,FALSE)</f>
        <v>Pemasangan 1 Unit UPS 2 KVA ( Inverter, Rectifier, Battery Backup 2Jam)</v>
      </c>
      <c r="D1587" s="9" t="s">
        <v>135</v>
      </c>
      <c r="E1587" s="1021">
        <f>VLOOKUP(C1587,'Jaringan Listrik'!$D$5165:$I$9334,6,FALSE)</f>
        <v>6104900</v>
      </c>
      <c r="F1587" s="1003">
        <f>VLOOKUP(C1587,'Jaringan Listrik'!$D:$K,7,FALSE)</f>
        <v>0</v>
      </c>
      <c r="G1587" s="12">
        <f>VLOOKUP(C1587,'Jaringan Listrik'!$D:$K,8,FALSE)</f>
        <v>0</v>
      </c>
      <c r="H1587" s="374"/>
      <c r="I1587" s="16"/>
    </row>
    <row r="1588" spans="1:9" ht="24" customHeight="1">
      <c r="B1588" s="1033" t="str">
        <f>'Jaringan Listrik'!C7231</f>
        <v>5.4.1.41</v>
      </c>
      <c r="C1588" s="11" t="str">
        <f>VLOOKUP(B1588,'Jaringan Listrik'!C:K,2,FALSE)</f>
        <v>Pemasangan 1 Unit UPS 2 KVA ( Inverter, Rectifier, Battery Backup 4 Jam)</v>
      </c>
      <c r="D1588" s="9" t="s">
        <v>135</v>
      </c>
      <c r="E1588" s="1021">
        <f>VLOOKUP(C1588,'Jaringan Listrik'!$D$5165:$I$9334,6,FALSE)</f>
        <v>6682400</v>
      </c>
      <c r="F1588" s="1003">
        <f>VLOOKUP(C1588,'Jaringan Listrik'!$D:$K,7,FALSE)</f>
        <v>0</v>
      </c>
      <c r="G1588" s="12">
        <f>VLOOKUP(C1588,'Jaringan Listrik'!$D:$K,8,FALSE)</f>
        <v>0</v>
      </c>
      <c r="H1588" s="374"/>
      <c r="I1588" s="16"/>
    </row>
    <row r="1589" spans="1:9" ht="24" customHeight="1">
      <c r="B1589" s="1033" t="str">
        <f>'Jaringan Listrik'!C7248</f>
        <v>5.4.1.42</v>
      </c>
      <c r="C1589" s="11" t="str">
        <f>VLOOKUP(B1589,'Jaringan Listrik'!C:K,2,FALSE)</f>
        <v xml:space="preserve">Pemasangan 1 Buah End of Line Resistor </v>
      </c>
      <c r="D1589" s="9" t="s">
        <v>44</v>
      </c>
      <c r="E1589" s="1021">
        <f>VLOOKUP(C1589,'Jaringan Listrik'!$D$5165:$I$9334,6,FALSE)</f>
        <v>29700</v>
      </c>
      <c r="F1589" s="1003">
        <f>VLOOKUP(C1589,'Jaringan Listrik'!$D:$K,7,FALSE)</f>
        <v>0</v>
      </c>
      <c r="G1589" s="12">
        <f>VLOOKUP(C1589,'Jaringan Listrik'!$D:$K,8,FALSE)</f>
        <v>0</v>
      </c>
      <c r="H1589" s="374"/>
      <c r="I1589" s="16"/>
    </row>
    <row r="1590" spans="1:9" s="1" customFormat="1" ht="24" customHeight="1">
      <c r="A1590" s="47"/>
      <c r="B1590" s="1041" t="str">
        <f>'Jaringan Listrik'!C7265</f>
        <v>5.4.2</v>
      </c>
      <c r="C1590" s="20" t="str">
        <f>VLOOKUP(B1590,'Jaringan Listrik'!C:K,2,FALSE)</f>
        <v>Sistem CCTV</v>
      </c>
      <c r="D1590" s="19"/>
      <c r="E1590" s="1042">
        <f>VLOOKUP(C1590,'Jaringan Listrik'!$D$5165:$I$9334,6,FALSE)</f>
        <v>0</v>
      </c>
      <c r="F1590" s="1003">
        <f>VLOOKUP(C1590,'Jaringan Listrik'!$D:$K,7,FALSE)</f>
        <v>0</v>
      </c>
      <c r="G1590" s="12">
        <f>VLOOKUP(C1590,'Jaringan Listrik'!$D:$K,8,FALSE)</f>
        <v>0</v>
      </c>
      <c r="H1590" s="1092"/>
      <c r="I1590" s="21"/>
    </row>
    <row r="1591" spans="1:9" ht="24" customHeight="1">
      <c r="B1591" s="1033" t="str">
        <f>'Jaringan Listrik'!C7266</f>
        <v>5.4.2.1</v>
      </c>
      <c r="C1591" s="11" t="str">
        <f>VLOOKUP(B1591,'Jaringan Listrik'!C:K,2,FALSE)</f>
        <v>Pemasangan 1 Unit Patch Panel UTP Cat 6 4 Port</v>
      </c>
      <c r="D1591" s="9" t="s">
        <v>135</v>
      </c>
      <c r="E1591" s="1021">
        <f>VLOOKUP(C1591,'Jaringan Listrik'!$D$5165:$I$9334,6,FALSE)</f>
        <v>1877600</v>
      </c>
      <c r="F1591" s="1003">
        <f>VLOOKUP(C1591,'Jaringan Listrik'!$D:$K,7,FALSE)</f>
        <v>0</v>
      </c>
      <c r="G1591" s="12">
        <f>VLOOKUP(C1591,'Jaringan Listrik'!$D:$K,8,FALSE)</f>
        <v>0</v>
      </c>
      <c r="H1591" s="374"/>
      <c r="I1591" s="16"/>
    </row>
    <row r="1592" spans="1:9" ht="24" customHeight="1">
      <c r="B1592" s="1033" t="str">
        <f>'Jaringan Listrik'!C7283</f>
        <v>5.4.2.2</v>
      </c>
      <c r="C1592" s="11" t="str">
        <f>VLOOKUP(B1592,'Jaringan Listrik'!C:K,2,FALSE)</f>
        <v xml:space="preserve">Pemasangan 1 Unit  Wirig Mangement </v>
      </c>
      <c r="D1592" s="9" t="s">
        <v>135</v>
      </c>
      <c r="E1592" s="1021">
        <f>VLOOKUP(C1592,'Jaringan Listrik'!$D$5165:$I$9334,6,FALSE)</f>
        <v>176900</v>
      </c>
      <c r="F1592" s="1003">
        <f>VLOOKUP(C1592,'Jaringan Listrik'!$D:$K,7,FALSE)</f>
        <v>0</v>
      </c>
      <c r="G1592" s="12">
        <f>VLOOKUP(C1592,'Jaringan Listrik'!$D:$K,8,FALSE)</f>
        <v>0</v>
      </c>
      <c r="H1592" s="374"/>
      <c r="I1592" s="16"/>
    </row>
    <row r="1593" spans="1:9" ht="24" customHeight="1">
      <c r="B1593" s="1033" t="str">
        <f>'Jaringan Listrik'!C7301</f>
        <v>5.4.2.3</v>
      </c>
      <c r="C1593" s="11" t="str">
        <f>VLOOKUP(B1593,'Jaringan Listrik'!C:K,2,FALSE)</f>
        <v>Pemasangan 1 Unit  PoE Switch HUB</v>
      </c>
      <c r="D1593" s="9" t="s">
        <v>135</v>
      </c>
      <c r="E1593" s="1021">
        <f>VLOOKUP(C1593,'Jaringan Listrik'!$D$5165:$I$9334,6,FALSE)</f>
        <v>623700</v>
      </c>
      <c r="F1593" s="1003">
        <f>VLOOKUP(C1593,'Jaringan Listrik'!$D:$K,7,FALSE)</f>
        <v>0</v>
      </c>
      <c r="G1593" s="12">
        <f>VLOOKUP(C1593,'Jaringan Listrik'!$D:$K,8,FALSE)</f>
        <v>0</v>
      </c>
      <c r="H1593" s="374"/>
      <c r="I1593" s="16"/>
    </row>
    <row r="1594" spans="1:9" ht="24" customHeight="1">
      <c r="B1594" s="1033" t="str">
        <f>'Jaringan Listrik'!C7318</f>
        <v>5.4.2.4</v>
      </c>
      <c r="C1594" s="11" t="str">
        <f>VLOOKUP(B1594,'Jaringan Listrik'!C:K,2,FALSE)</f>
        <v>Pemasangan 1 Unit  Network Video Recorder (NVR) Kapasitas 32 Chanel + 8TB Hardisk</v>
      </c>
      <c r="D1594" s="9" t="s">
        <v>135</v>
      </c>
      <c r="E1594" s="1021">
        <f>VLOOKUP(C1594,'Jaringan Listrik'!$D$5165:$I$9334,6,FALSE)</f>
        <v>8816900</v>
      </c>
      <c r="F1594" s="1003">
        <f>VLOOKUP(C1594,'Jaringan Listrik'!$D:$K,7,FALSE)</f>
        <v>0</v>
      </c>
      <c r="G1594" s="12">
        <f>VLOOKUP(C1594,'Jaringan Listrik'!$D:$K,8,FALSE)</f>
        <v>0</v>
      </c>
      <c r="H1594" s="374"/>
      <c r="I1594" s="16"/>
    </row>
    <row r="1595" spans="1:9" ht="24" customHeight="1">
      <c r="B1595" s="1033" t="str">
        <f>'Jaringan Listrik'!C7337</f>
        <v>5.4.2.5</v>
      </c>
      <c r="C1595" s="11" t="str">
        <f>VLOOKUP(B1595,'Jaringan Listrik'!C:K,2,FALSE)</f>
        <v>Pemasangan 1 Unit  RAK HUB 12 U ( Lengkap dengan Power Outlet)</v>
      </c>
      <c r="D1595" s="9" t="s">
        <v>135</v>
      </c>
      <c r="E1595" s="1021">
        <f>VLOOKUP(C1595,'Jaringan Listrik'!$D$5165:$I$9334,6,FALSE)</f>
        <v>1039900</v>
      </c>
      <c r="F1595" s="1003">
        <f>VLOOKUP(C1595,'Jaringan Listrik'!$D:$K,7,FALSE)</f>
        <v>0</v>
      </c>
      <c r="G1595" s="12">
        <f>VLOOKUP(C1595,'Jaringan Listrik'!$D:$K,8,FALSE)</f>
        <v>0</v>
      </c>
      <c r="H1595" s="374"/>
      <c r="I1595" s="16"/>
    </row>
    <row r="1596" spans="1:9" ht="24" customHeight="1">
      <c r="B1596" s="1033" t="str">
        <f>'Jaringan Listrik'!C7355</f>
        <v>5.4.2.6</v>
      </c>
      <c r="C1596" s="11" t="str">
        <f>VLOOKUP(B1596,'Jaringan Listrik'!C:K,2,FALSE)</f>
        <v>Pemasangan 1 Unit  LCD Monitor 32"</v>
      </c>
      <c r="D1596" s="9" t="s">
        <v>135</v>
      </c>
      <c r="E1596" s="1021">
        <f>VLOOKUP(C1596,'Jaringan Listrik'!$D$5165:$I$9334,6,FALSE)</f>
        <v>2892800</v>
      </c>
      <c r="F1596" s="1003">
        <f>VLOOKUP(C1596,'Jaringan Listrik'!$D:$K,7,FALSE)</f>
        <v>0</v>
      </c>
      <c r="G1596" s="12">
        <f>VLOOKUP(C1596,'Jaringan Listrik'!$D:$K,8,FALSE)</f>
        <v>0</v>
      </c>
      <c r="H1596" s="374"/>
      <c r="I1596" s="16"/>
    </row>
    <row r="1597" spans="1:9" ht="24" customHeight="1">
      <c r="B1597" s="1033" t="str">
        <f>'Jaringan Listrik'!C7374</f>
        <v>5.4.2.7</v>
      </c>
      <c r="C1597" s="11" t="str">
        <f>VLOOKUP(B1597,'Jaringan Listrik'!C:K,2,FALSE)</f>
        <v>Pemasangan 1 Unit  LCD Monitor 50"</v>
      </c>
      <c r="D1597" s="9" t="s">
        <v>135</v>
      </c>
      <c r="E1597" s="1021">
        <f>VLOOKUP(C1597,'Jaringan Listrik'!$D$5165:$I$9334,6,FALSE)</f>
        <v>4328200</v>
      </c>
      <c r="F1597" s="1003">
        <f>VLOOKUP(C1597,'Jaringan Listrik'!$D:$K,7,FALSE)</f>
        <v>0</v>
      </c>
      <c r="G1597" s="12">
        <f>VLOOKUP(C1597,'Jaringan Listrik'!$D:$K,8,FALSE)</f>
        <v>0</v>
      </c>
      <c r="H1597" s="374"/>
      <c r="I1597" s="16"/>
    </row>
    <row r="1598" spans="1:9" ht="24" customHeight="1">
      <c r="B1598" s="1033" t="str">
        <f>'Jaringan Listrik'!C7392</f>
        <v>5.4.2.8</v>
      </c>
      <c r="C1598" s="11" t="str">
        <f>VLOOKUP(B1598,'Jaringan Listrik'!C:K,2,FALSE)</f>
        <v>Pemasangan 1 Unit  Keyboard + Mouse</v>
      </c>
      <c r="D1598" s="9" t="s">
        <v>135</v>
      </c>
      <c r="E1598" s="1021">
        <f>VLOOKUP(C1598,'Jaringan Listrik'!$D$5165:$I$9334,6,FALSE)</f>
        <v>415500</v>
      </c>
      <c r="F1598" s="1003">
        <f>VLOOKUP(C1598,'Jaringan Listrik'!$D:$K,7,FALSE)</f>
        <v>0</v>
      </c>
      <c r="G1598" s="12">
        <f>VLOOKUP(C1598,'Jaringan Listrik'!$D:$K,8,FALSE)</f>
        <v>0</v>
      </c>
      <c r="H1598" s="374"/>
      <c r="I1598" s="16"/>
    </row>
    <row r="1599" spans="1:9" ht="24" customHeight="1">
      <c r="B1599" s="1033" t="str">
        <f>'Jaringan Listrik'!C7410</f>
        <v>5.4.2.9</v>
      </c>
      <c r="C1599" s="11" t="str">
        <f>VLOOKUP(B1599,'Jaringan Listrik'!C:K,2,FALSE)</f>
        <v>Pemasangan 1 Unit  Indoor Fix Dome IP Camera</v>
      </c>
      <c r="D1599" s="9" t="s">
        <v>135</v>
      </c>
      <c r="E1599" s="1021">
        <f>VLOOKUP(C1599,'Jaringan Listrik'!$D$5165:$I$9334,6,FALSE)</f>
        <v>612400</v>
      </c>
      <c r="F1599" s="1003">
        <f>VLOOKUP(C1599,'Jaringan Listrik'!$D:$K,7,FALSE)</f>
        <v>0</v>
      </c>
      <c r="G1599" s="12">
        <f>VLOOKUP(C1599,'Jaringan Listrik'!$D:$K,8,FALSE)</f>
        <v>0</v>
      </c>
      <c r="H1599" s="374"/>
      <c r="I1599" s="16"/>
    </row>
    <row r="1600" spans="1:9" ht="24" customHeight="1">
      <c r="B1600" s="1033" t="str">
        <f>'Jaringan Listrik'!C7427</f>
        <v>5.4.2.10</v>
      </c>
      <c r="C1600" s="11" t="str">
        <f>VLOOKUP(B1600,'Jaringan Listrik'!C:K,2,FALSE)</f>
        <v>Pemasangan 1 Unit Outdoor Fix Dome IP Camera</v>
      </c>
      <c r="D1600" s="9" t="s">
        <v>135</v>
      </c>
      <c r="E1600" s="1021">
        <f>VLOOKUP(C1600,'Jaringan Listrik'!$D$5165:$I$9334,6,FALSE)</f>
        <v>657400</v>
      </c>
      <c r="F1600" s="1003">
        <f>VLOOKUP(C1600,'Jaringan Listrik'!$D:$K,7,FALSE)</f>
        <v>0</v>
      </c>
      <c r="G1600" s="12">
        <f>VLOOKUP(C1600,'Jaringan Listrik'!$D:$K,8,FALSE)</f>
        <v>0</v>
      </c>
      <c r="H1600" s="374"/>
      <c r="I1600" s="16"/>
    </row>
    <row r="1601" spans="1:9" ht="24" customHeight="1">
      <c r="B1601" s="1033" t="str">
        <f>'Jaringan Listrik'!C7445</f>
        <v>5.4.2.11</v>
      </c>
      <c r="C1601" s="11" t="str">
        <f>VLOOKUP(B1601,'Jaringan Listrik'!C:K,2,FALSE)</f>
        <v>Pemasangan 1 titik Instalasi Camera CCTV</v>
      </c>
      <c r="D1601" s="9" t="s">
        <v>5250</v>
      </c>
      <c r="E1601" s="1021">
        <f>VLOOKUP(C1601,'Jaringan Listrik'!$D$5165:$I$9334,6,FALSE)</f>
        <v>2279100</v>
      </c>
      <c r="F1601" s="1003">
        <f>VLOOKUP(C1601,'Jaringan Listrik'!$D:$K,7,FALSE)</f>
        <v>0</v>
      </c>
      <c r="G1601" s="12">
        <f>VLOOKUP(C1601,'Jaringan Listrik'!$D:$K,8,FALSE)</f>
        <v>0</v>
      </c>
      <c r="H1601" s="374"/>
      <c r="I1601" s="16"/>
    </row>
    <row r="1602" spans="1:9" s="1" customFormat="1" ht="24" customHeight="1">
      <c r="A1602" s="47"/>
      <c r="B1602" s="1041" t="str">
        <f>'Jaringan Listrik'!C7468</f>
        <v>5.4.3</v>
      </c>
      <c r="C1602" s="20" t="str">
        <f>VLOOKUP(B1602,'Jaringan Listrik'!C:K,2,FALSE)</f>
        <v xml:space="preserve">Sistem Tata Suara </v>
      </c>
      <c r="D1602" s="19"/>
      <c r="E1602" s="1042">
        <f>VLOOKUP(C1602,'Jaringan Listrik'!$D$5165:$I$9334,6,FALSE)</f>
        <v>0</v>
      </c>
      <c r="F1602" s="1003">
        <f>VLOOKUP(C1602,'Jaringan Listrik'!$D:$K,7,FALSE)</f>
        <v>0</v>
      </c>
      <c r="G1602" s="12">
        <f>VLOOKUP(C1602,'Jaringan Listrik'!$D:$K,8,FALSE)</f>
        <v>0</v>
      </c>
      <c r="H1602" s="1092"/>
      <c r="I1602" s="21"/>
    </row>
    <row r="1603" spans="1:9" ht="24" customHeight="1">
      <c r="B1603" s="1033" t="str">
        <f>'Jaringan Listrik'!C7469</f>
        <v>5.4.3.1</v>
      </c>
      <c r="C1603" s="11" t="str">
        <f>VLOOKUP(B1603,'Jaringan Listrik'!C:K,2,FALSE)</f>
        <v>Pemasangan 1 Unit MDF - SS</v>
      </c>
      <c r="D1603" s="9" t="s">
        <v>135</v>
      </c>
      <c r="E1603" s="1021">
        <f>VLOOKUP(C1603,'Jaringan Listrik'!$D$5165:$I$9334,6,FALSE)</f>
        <v>1725500</v>
      </c>
      <c r="F1603" s="1003">
        <f>VLOOKUP(C1603,'Jaringan Listrik'!$D:$K,7,FALSE)</f>
        <v>0</v>
      </c>
      <c r="G1603" s="12">
        <f>VLOOKUP(C1603,'Jaringan Listrik'!$D:$K,8,FALSE)</f>
        <v>0</v>
      </c>
      <c r="H1603" s="374"/>
      <c r="I1603" s="16"/>
    </row>
    <row r="1604" spans="1:9" ht="24" customHeight="1">
      <c r="B1604" s="1033" t="str">
        <f>'Jaringan Listrik'!C7486</f>
        <v>5.4.3.2</v>
      </c>
      <c r="C1604" s="11" t="str">
        <f>VLOOKUP(B1604,'Jaringan Listrik'!C:K,2,FALSE)</f>
        <v xml:space="preserve">Pemasangan 1 Unit Selector Switch c/w Control Panel </v>
      </c>
      <c r="D1604" s="9" t="s">
        <v>135</v>
      </c>
      <c r="E1604" s="1021">
        <f>VLOOKUP(C1604,'Jaringan Listrik'!$D$5165:$I$9334,6,FALSE)</f>
        <v>1132300</v>
      </c>
      <c r="F1604" s="1003">
        <f>VLOOKUP(C1604,'Jaringan Listrik'!$D:$K,7,FALSE)</f>
        <v>0</v>
      </c>
      <c r="G1604" s="12">
        <f>VLOOKUP(C1604,'Jaringan Listrik'!$D:$K,8,FALSE)</f>
        <v>0</v>
      </c>
      <c r="H1604" s="374"/>
      <c r="I1604" s="16"/>
    </row>
    <row r="1605" spans="1:9" ht="24" customHeight="1">
      <c r="B1605" s="1033" t="str">
        <f>'Jaringan Listrik'!C7503</f>
        <v>5.4.3.3</v>
      </c>
      <c r="C1605" s="11" t="str">
        <f>VLOOKUP(B1605,'Jaringan Listrik'!C:K,2,FALSE)</f>
        <v>Pemasangan 1 Unit Power Amplifier 360 Watt</v>
      </c>
      <c r="D1605" s="9" t="s">
        <v>135</v>
      </c>
      <c r="E1605" s="1021">
        <f>VLOOKUP(C1605,'Jaringan Listrik'!$D$5165:$I$9334,6,FALSE)</f>
        <v>1807800</v>
      </c>
      <c r="F1605" s="1003">
        <f>VLOOKUP(C1605,'Jaringan Listrik'!$D:$K,7,FALSE)</f>
        <v>0</v>
      </c>
      <c r="G1605" s="12">
        <f>VLOOKUP(C1605,'Jaringan Listrik'!$D:$K,8,FALSE)</f>
        <v>0</v>
      </c>
      <c r="H1605" s="374"/>
      <c r="I1605" s="16"/>
    </row>
    <row r="1606" spans="1:9" ht="24" customHeight="1">
      <c r="B1606" s="1033" t="str">
        <f>'Jaringan Listrik'!C7520</f>
        <v>5.4.3.4</v>
      </c>
      <c r="C1606" s="11" t="str">
        <f>VLOOKUP(B1606,'Jaringan Listrik'!C:K,2,FALSE)</f>
        <v>Pemasangan 1 Unit Power Amplifier 240 Watt</v>
      </c>
      <c r="D1606" s="9" t="s">
        <v>135</v>
      </c>
      <c r="E1606" s="1021">
        <f>VLOOKUP(C1606,'Jaringan Listrik'!$D$5165:$I$9334,6,FALSE)</f>
        <v>1461300</v>
      </c>
      <c r="F1606" s="1003">
        <f>VLOOKUP(C1606,'Jaringan Listrik'!$D:$K,7,FALSE)</f>
        <v>0</v>
      </c>
      <c r="G1606" s="12">
        <f>VLOOKUP(C1606,'Jaringan Listrik'!$D:$K,8,FALSE)</f>
        <v>0</v>
      </c>
      <c r="H1606" s="374"/>
      <c r="I1606" s="16"/>
    </row>
    <row r="1607" spans="1:9" ht="24" customHeight="1">
      <c r="B1607" s="1033" t="str">
        <f>'Jaringan Listrik'!C7537</f>
        <v>5.4.3.5</v>
      </c>
      <c r="C1607" s="11" t="str">
        <f>VLOOKUP(B1607,'Jaringan Listrik'!C:K,2,FALSE)</f>
        <v>Pemasangan 1 Unit Power Amplifier 120 Watt</v>
      </c>
      <c r="D1607" s="9" t="s">
        <v>135</v>
      </c>
      <c r="E1607" s="1021">
        <f>VLOOKUP(C1607,'Jaringan Listrik'!$D$5165:$I$9334,6,FALSE)</f>
        <v>1230300</v>
      </c>
      <c r="F1607" s="1003">
        <f>VLOOKUP(C1607,'Jaringan Listrik'!$D:$K,7,FALSE)</f>
        <v>0</v>
      </c>
      <c r="G1607" s="12">
        <f>VLOOKUP(C1607,'Jaringan Listrik'!$D:$K,8,FALSE)</f>
        <v>0</v>
      </c>
      <c r="H1607" s="374"/>
      <c r="I1607" s="16"/>
    </row>
    <row r="1608" spans="1:9" ht="24" customHeight="1">
      <c r="B1608" s="1033" t="str">
        <f>'Jaringan Listrik'!C7554</f>
        <v>5.4.3.6</v>
      </c>
      <c r="C1608" s="11" t="str">
        <f>VLOOKUP(B1608,'Jaringan Listrik'!C:K,2,FALSE)</f>
        <v>Pemasangan 1 Unit  System Controller ( Mixer Pre Amp-Equalizer)</v>
      </c>
      <c r="D1608" s="9" t="s">
        <v>135</v>
      </c>
      <c r="E1608" s="1021">
        <f>VLOOKUP(C1608,'Jaringan Listrik'!$D$5165:$I$9334,6,FALSE)</f>
        <v>428300</v>
      </c>
      <c r="F1608" s="1003">
        <f>VLOOKUP(C1608,'Jaringan Listrik'!$D:$K,7,FALSE)</f>
        <v>0</v>
      </c>
      <c r="G1608" s="12">
        <f>VLOOKUP(C1608,'Jaringan Listrik'!$D:$K,8,FALSE)</f>
        <v>0</v>
      </c>
      <c r="H1608" s="374"/>
      <c r="I1608" s="16"/>
    </row>
    <row r="1609" spans="1:9" ht="24" customHeight="1">
      <c r="B1609" s="1033" t="str">
        <f>'Jaringan Listrik'!C7571</f>
        <v>5.4.3.7</v>
      </c>
      <c r="C1609" s="11" t="str">
        <f>VLOOKUP(B1609,'Jaringan Listrik'!C:K,2,FALSE)</f>
        <v>Pemasangan 1 Unit VCD/DVD/MP3/MP4</v>
      </c>
      <c r="D1609" s="9" t="s">
        <v>135</v>
      </c>
      <c r="E1609" s="1021">
        <f>VLOOKUP(C1609,'Jaringan Listrik'!$D$5165:$I$9334,6,FALSE)</f>
        <v>308600</v>
      </c>
      <c r="F1609" s="1003">
        <f>VLOOKUP(C1609,'Jaringan Listrik'!$D:$K,7,FALSE)</f>
        <v>0</v>
      </c>
      <c r="G1609" s="12">
        <f>VLOOKUP(C1609,'Jaringan Listrik'!$D:$K,8,FALSE)</f>
        <v>0</v>
      </c>
      <c r="H1609" s="374"/>
      <c r="I1609" s="16"/>
    </row>
    <row r="1610" spans="1:9" ht="24" customHeight="1">
      <c r="B1610" s="1033" t="str">
        <f>'Jaringan Listrik'!C7588</f>
        <v>5.4.3.8</v>
      </c>
      <c r="C1610" s="11" t="str">
        <f>VLOOKUP(B1610,'Jaringan Listrik'!C:K,2,FALSE)</f>
        <v>Pemasangan 1 Unit Sound Source</v>
      </c>
      <c r="D1610" s="9" t="s">
        <v>135</v>
      </c>
      <c r="E1610" s="1021">
        <f>VLOOKUP(C1610,'Jaringan Listrik'!$D$5165:$I$9334,6,FALSE)</f>
        <v>308600</v>
      </c>
      <c r="F1610" s="1003">
        <f>VLOOKUP(C1610,'Jaringan Listrik'!$D:$K,7,FALSE)</f>
        <v>0</v>
      </c>
      <c r="G1610" s="12">
        <f>VLOOKUP(C1610,'Jaringan Listrik'!$D:$K,8,FALSE)</f>
        <v>0</v>
      </c>
      <c r="H1610" s="374"/>
      <c r="I1610" s="16"/>
    </row>
    <row r="1611" spans="1:9" ht="24" customHeight="1">
      <c r="B1611" s="1033" t="str">
        <f>'Jaringan Listrik'!C7605</f>
        <v>5.4.3.9</v>
      </c>
      <c r="C1611" s="11" t="str">
        <f>VLOOKUP(B1611,'Jaringan Listrik'!C:K,2,FALSE)</f>
        <v>Pemasangan 1 Unit Automatic Alarm System</v>
      </c>
      <c r="D1611" s="9" t="s">
        <v>135</v>
      </c>
      <c r="E1611" s="1021">
        <f>VLOOKUP(C1611,'Jaringan Listrik'!$D$5165:$I$9334,6,FALSE)</f>
        <v>1200000</v>
      </c>
      <c r="F1611" s="1003">
        <f>VLOOKUP(C1611,'Jaringan Listrik'!$D:$K,7,FALSE)</f>
        <v>0</v>
      </c>
      <c r="G1611" s="12">
        <f>VLOOKUP(C1611,'Jaringan Listrik'!$D:$K,8,FALSE)</f>
        <v>0</v>
      </c>
      <c r="H1611" s="374"/>
      <c r="I1611" s="16"/>
    </row>
    <row r="1612" spans="1:9" ht="24" customHeight="1">
      <c r="B1612" s="1033" t="str">
        <f>'Jaringan Listrik'!C7623</f>
        <v>5.4.3.10</v>
      </c>
      <c r="C1612" s="11" t="str">
        <f>VLOOKUP(B1612,'Jaringan Listrik'!C:K,2,FALSE)</f>
        <v>Pemasangan 1 Unit Paging Mic Keyboard</v>
      </c>
      <c r="D1612" s="9" t="s">
        <v>135</v>
      </c>
      <c r="E1612" s="1021">
        <f>VLOOKUP(C1612,'Jaringan Listrik'!$D$5165:$I$9334,6,FALSE)</f>
        <v>769200</v>
      </c>
      <c r="F1612" s="1003">
        <f>VLOOKUP(C1612,'Jaringan Listrik'!$D:$K,7,FALSE)</f>
        <v>0</v>
      </c>
      <c r="G1612" s="12">
        <f>VLOOKUP(C1612,'Jaringan Listrik'!$D:$K,8,FALSE)</f>
        <v>0</v>
      </c>
      <c r="H1612" s="374"/>
      <c r="I1612" s="16"/>
    </row>
    <row r="1613" spans="1:9" ht="24" customHeight="1">
      <c r="B1613" s="1033" t="str">
        <f>'Jaringan Listrik'!C7641</f>
        <v>5.4.3.11</v>
      </c>
      <c r="C1613" s="11" t="str">
        <f>VLOOKUP(B1613,'Jaringan Listrik'!C:K,2,FALSE)</f>
        <v>Pemasangan 1 Unit UPS 1 KVA ( Inverter, Rectifier, Battery Backup 4 Jam)</v>
      </c>
      <c r="D1613" s="9" t="s">
        <v>135</v>
      </c>
      <c r="E1613" s="1021">
        <f>VLOOKUP(C1613,'Jaringan Listrik'!$D$5165:$I$9334,6,FALSE)</f>
        <v>2957500</v>
      </c>
      <c r="F1613" s="1003">
        <f>VLOOKUP(C1613,'Jaringan Listrik'!$D:$K,7,FALSE)</f>
        <v>0</v>
      </c>
      <c r="G1613" s="12">
        <f>VLOOKUP(C1613,'Jaringan Listrik'!$D:$K,8,FALSE)</f>
        <v>0</v>
      </c>
      <c r="H1613" s="374"/>
      <c r="I1613" s="16"/>
    </row>
    <row r="1614" spans="1:9" ht="24" customHeight="1">
      <c r="B1614" s="1033" t="str">
        <f>'Jaringan Listrik'!C7658</f>
        <v>5.4.3.12</v>
      </c>
      <c r="C1614" s="11" t="str">
        <f>VLOOKUP(B1614,'Jaringan Listrik'!C:K,2,FALSE)</f>
        <v xml:space="preserve">Pemasangan 1 Unit Rack Cabinet </v>
      </c>
      <c r="D1614" s="9" t="s">
        <v>135</v>
      </c>
      <c r="E1614" s="1021">
        <f>VLOOKUP(C1614,'Jaringan Listrik'!$D$5165:$I$9334,6,FALSE)</f>
        <v>974300</v>
      </c>
      <c r="F1614" s="1003">
        <f>VLOOKUP(C1614,'Jaringan Listrik'!$D:$K,7,FALSE)</f>
        <v>0</v>
      </c>
      <c r="G1614" s="12">
        <f>VLOOKUP(C1614,'Jaringan Listrik'!$D:$K,8,FALSE)</f>
        <v>0</v>
      </c>
      <c r="H1614" s="374"/>
      <c r="I1614" s="16"/>
    </row>
    <row r="1615" spans="1:9" ht="24" customHeight="1">
      <c r="B1615" s="1033" t="str">
        <f>'Jaringan Listrik'!C7676</f>
        <v>5.4.3.13</v>
      </c>
      <c r="C1615" s="11" t="str">
        <f>VLOOKUP(B1615,'Jaringan Listrik'!C:K,2,FALSE)</f>
        <v>Pemasangan 1 Unit Terminal Box Tata Suara (TBTS)</v>
      </c>
      <c r="D1615" s="9" t="s">
        <v>135</v>
      </c>
      <c r="E1615" s="1021">
        <f>VLOOKUP(C1615,'Jaringan Listrik'!$D$5165:$I$9334,6,FALSE)</f>
        <v>148500</v>
      </c>
      <c r="F1615" s="1003">
        <f>VLOOKUP(C1615,'Jaringan Listrik'!$D:$K,7,FALSE)</f>
        <v>0</v>
      </c>
      <c r="G1615" s="12">
        <f>VLOOKUP(C1615,'Jaringan Listrik'!$D:$K,8,FALSE)</f>
        <v>0</v>
      </c>
      <c r="H1615" s="374"/>
      <c r="I1615" s="16"/>
    </row>
    <row r="1616" spans="1:9" ht="24" customHeight="1">
      <c r="B1616" s="1033" t="str">
        <f>'Jaringan Listrik'!C7693</f>
        <v>5.4.3.14</v>
      </c>
      <c r="C1616" s="11" t="str">
        <f>VLOOKUP(B1616,'Jaringan Listrik'!C:K,2,FALSE)</f>
        <v xml:space="preserve">Pemasangan 1 Unit Ceiling Speaker </v>
      </c>
      <c r="D1616" s="9" t="s">
        <v>135</v>
      </c>
      <c r="E1616" s="1021">
        <f>VLOOKUP(C1616,'Jaringan Listrik'!$D$5165:$I$9334,6,FALSE)</f>
        <v>822900</v>
      </c>
      <c r="F1616" s="1003">
        <f>VLOOKUP(C1616,'Jaringan Listrik'!$D:$K,7,FALSE)</f>
        <v>0</v>
      </c>
      <c r="G1616" s="12">
        <f>VLOOKUP(C1616,'Jaringan Listrik'!$D:$K,8,FALSE)</f>
        <v>0</v>
      </c>
      <c r="H1616" s="374"/>
      <c r="I1616" s="16"/>
    </row>
    <row r="1617" spans="1:9" ht="24" customHeight="1">
      <c r="B1617" s="1033" t="str">
        <f>'Jaringan Listrik'!C7711</f>
        <v>5.4.3.15</v>
      </c>
      <c r="C1617" s="11" t="str">
        <f>VLOOKUP(B1617,'Jaringan Listrik'!C:K,2,FALSE)</f>
        <v xml:space="preserve">Pemasangan 1 Unit Wall Speaker </v>
      </c>
      <c r="D1617" s="9" t="s">
        <v>135</v>
      </c>
      <c r="E1617" s="1021">
        <f>VLOOKUP(C1617,'Jaringan Listrik'!$D$5165:$I$9334,6,FALSE)</f>
        <v>868400</v>
      </c>
      <c r="F1617" s="1003">
        <f>VLOOKUP(C1617,'Jaringan Listrik'!$D:$K,7,FALSE)</f>
        <v>0</v>
      </c>
      <c r="G1617" s="12">
        <f>VLOOKUP(C1617,'Jaringan Listrik'!$D:$K,8,FALSE)</f>
        <v>0</v>
      </c>
      <c r="H1617" s="374"/>
      <c r="I1617" s="16"/>
    </row>
    <row r="1618" spans="1:9" ht="24" customHeight="1">
      <c r="B1618" s="1033" t="str">
        <f>'Jaringan Listrik'!C7728</f>
        <v>5.4.3.16</v>
      </c>
      <c r="C1618" s="11" t="str">
        <f>VLOOKUP(B1618,'Jaringan Listrik'!C:K,2,FALSE)</f>
        <v>Pemasangan 1 Unit Horn Speaker</v>
      </c>
      <c r="D1618" s="9" t="s">
        <v>135</v>
      </c>
      <c r="E1618" s="1021">
        <f>VLOOKUP(C1618,'Jaringan Listrik'!$D$5165:$I$9334,6,FALSE)</f>
        <v>326300</v>
      </c>
      <c r="F1618" s="1003">
        <f>VLOOKUP(C1618,'Jaringan Listrik'!$D:$K,7,FALSE)</f>
        <v>0</v>
      </c>
      <c r="G1618" s="12">
        <f>VLOOKUP(C1618,'Jaringan Listrik'!$D:$K,8,FALSE)</f>
        <v>0</v>
      </c>
      <c r="H1618" s="374"/>
      <c r="I1618" s="16"/>
    </row>
    <row r="1619" spans="1:9" ht="24" customHeight="1">
      <c r="B1619" s="1033" t="str">
        <f>'Jaringan Listrik'!C7745</f>
        <v>5.4.3.17</v>
      </c>
      <c r="C1619" s="11" t="str">
        <f>VLOOKUP(B1619,'Jaringan Listrik'!C:K,2,FALSE)</f>
        <v>Pemasangan 1 Unit Horn Speaker+ Tiang</v>
      </c>
      <c r="D1619" s="9" t="s">
        <v>135</v>
      </c>
      <c r="E1619" s="1021">
        <f>VLOOKUP(C1619,'Jaringan Listrik'!$D$5165:$I$9334,6,FALSE)</f>
        <v>591900</v>
      </c>
      <c r="F1619" s="1003">
        <f>VLOOKUP(C1619,'Jaringan Listrik'!$D:$K,7,FALSE)</f>
        <v>0</v>
      </c>
      <c r="G1619" s="12">
        <f>VLOOKUP(C1619,'Jaringan Listrik'!$D:$K,8,FALSE)</f>
        <v>0</v>
      </c>
      <c r="H1619" s="374"/>
      <c r="I1619" s="16"/>
    </row>
    <row r="1620" spans="1:9" ht="24" customHeight="1">
      <c r="B1620" s="1033" t="str">
        <f>'Jaringan Listrik'!C7764</f>
        <v>5.4.3.18</v>
      </c>
      <c r="C1620" s="11" t="str">
        <f>VLOOKUP(B1620,'Jaringan Listrik'!C:K,2,FALSE)</f>
        <v>Pemasangan 1 titik Instalasi  Horn Speaker</v>
      </c>
      <c r="D1620" s="9" t="s">
        <v>5250</v>
      </c>
      <c r="E1620" s="1021">
        <f>VLOOKUP(C1620,'Jaringan Listrik'!$D$5165:$I$9334,6,FALSE)</f>
        <v>684400</v>
      </c>
      <c r="F1620" s="1003">
        <f>VLOOKUP(C1620,'Jaringan Listrik'!$D:$K,7,FALSE)</f>
        <v>0</v>
      </c>
      <c r="G1620" s="12">
        <f>VLOOKUP(C1620,'Jaringan Listrik'!$D:$K,8,FALSE)</f>
        <v>0</v>
      </c>
      <c r="H1620" s="374"/>
      <c r="I1620" s="16"/>
    </row>
    <row r="1621" spans="1:9" ht="24" customHeight="1">
      <c r="B1621" s="1033" t="str">
        <f>'Jaringan Listrik'!C7787</f>
        <v>5.4.3.19</v>
      </c>
      <c r="C1621" s="11" t="str">
        <f>VLOOKUP(B1621,'Jaringan Listrik'!C:K,2,FALSE)</f>
        <v xml:space="preserve">Pemasangan 1 titik Instalasi  Ceiling Speaker </v>
      </c>
      <c r="D1621" s="9" t="s">
        <v>5250</v>
      </c>
      <c r="E1621" s="1021">
        <f>VLOOKUP(C1621,'Jaringan Listrik'!$D$5165:$I$9334,6,FALSE)</f>
        <v>502200</v>
      </c>
      <c r="F1621" s="1003">
        <f>VLOOKUP(C1621,'Jaringan Listrik'!$D:$K,7,FALSE)</f>
        <v>0</v>
      </c>
      <c r="G1621" s="12">
        <f>VLOOKUP(C1621,'Jaringan Listrik'!$D:$K,8,FALSE)</f>
        <v>0</v>
      </c>
      <c r="H1621" s="374"/>
      <c r="I1621" s="16"/>
    </row>
    <row r="1622" spans="1:9" s="1" customFormat="1" ht="24" customHeight="1">
      <c r="A1622" s="47"/>
      <c r="B1622" s="1041" t="str">
        <f>'Jaringan Listrik'!C7813</f>
        <v>5.4.4.</v>
      </c>
      <c r="C1622" s="20" t="str">
        <f>VLOOKUP(B1622,'Jaringan Listrik'!C:K,2,FALSE)</f>
        <v xml:space="preserve">Sistem Telepon </v>
      </c>
      <c r="D1622" s="19"/>
      <c r="E1622" s="1021">
        <f>VLOOKUP(C1622,'Jaringan Listrik'!$D$5165:$I$9334,6,FALSE)</f>
        <v>0</v>
      </c>
      <c r="F1622" s="1003">
        <f>VLOOKUP(C1622,'Jaringan Listrik'!$D:$K,7,FALSE)</f>
        <v>0</v>
      </c>
      <c r="G1622" s="12">
        <f>VLOOKUP(C1622,'Jaringan Listrik'!$D:$K,8,FALSE)</f>
        <v>0</v>
      </c>
      <c r="H1622" s="1092"/>
      <c r="I1622" s="21"/>
    </row>
    <row r="1623" spans="1:9" ht="24" customHeight="1">
      <c r="B1623" s="1033" t="str">
        <f>'Jaringan Listrik'!C7814</f>
        <v>5.4.4.1</v>
      </c>
      <c r="C1623" s="11" t="str">
        <f>VLOOKUP(B1623,'Jaringan Listrik'!C:K,2,FALSE)</f>
        <v xml:space="preserve">Pemasangan 1 Unit MDF 2 x 8 pair </v>
      </c>
      <c r="D1623" s="9" t="s">
        <v>135</v>
      </c>
      <c r="E1623" s="1021">
        <f>VLOOKUP(C1623,'Jaringan Listrik'!$D$5165:$I$9334,6,FALSE)</f>
        <v>202000</v>
      </c>
      <c r="F1623" s="1003">
        <f>VLOOKUP(C1623,'Jaringan Listrik'!$D:$K,7,FALSE)</f>
        <v>0</v>
      </c>
      <c r="G1623" s="12">
        <f>VLOOKUP(C1623,'Jaringan Listrik'!$D:$K,8,FALSE)</f>
        <v>0</v>
      </c>
      <c r="H1623" s="374"/>
      <c r="I1623" s="16"/>
    </row>
    <row r="1624" spans="1:9" ht="24" customHeight="1">
      <c r="B1624" s="1033" t="str">
        <f>'Jaringan Listrik'!C7831</f>
        <v>5.4.4.2</v>
      </c>
      <c r="C1624" s="11" t="str">
        <f>VLOOKUP(B1624,'Jaringan Listrik'!C:K,2,FALSE)</f>
        <v xml:space="preserve">Pemasangan 1 Unit MDF 2 x 10 pair </v>
      </c>
      <c r="D1624" s="9" t="s">
        <v>135</v>
      </c>
      <c r="E1624" s="1021">
        <f>VLOOKUP(C1624,'Jaringan Listrik'!$D$5165:$I$9334,6,FALSE)</f>
        <v>232300</v>
      </c>
      <c r="F1624" s="1003">
        <f>VLOOKUP(C1624,'Jaringan Listrik'!$D:$K,7,FALSE)</f>
        <v>0</v>
      </c>
      <c r="G1624" s="12">
        <f>VLOOKUP(C1624,'Jaringan Listrik'!$D:$K,8,FALSE)</f>
        <v>0</v>
      </c>
      <c r="H1624" s="374"/>
      <c r="I1624" s="16"/>
    </row>
    <row r="1625" spans="1:9" ht="24" customHeight="1">
      <c r="B1625" s="1033" t="str">
        <f>'Jaringan Listrik'!C7848</f>
        <v>5.4.4.3</v>
      </c>
      <c r="C1625" s="11" t="str">
        <f>VLOOKUP(B1625,'Jaringan Listrik'!C:K,2,FALSE)</f>
        <v>Pemasangan 1 Unit PABX Kap: 1 Line 10 Extension ( Lengkap dengan Pemprograman)</v>
      </c>
      <c r="D1625" s="9" t="s">
        <v>135</v>
      </c>
      <c r="E1625" s="1021">
        <f>VLOOKUP(C1625,'Jaringan Listrik'!$D$5165:$I$9334,6,FALSE)</f>
        <v>1456000</v>
      </c>
      <c r="F1625" s="1003">
        <f>VLOOKUP(C1625,'Jaringan Listrik'!$D:$K,7,FALSE)</f>
        <v>0</v>
      </c>
      <c r="G1625" s="12">
        <f>VLOOKUP(C1625,'Jaringan Listrik'!$D:$K,8,FALSE)</f>
        <v>0</v>
      </c>
      <c r="H1625" s="374"/>
      <c r="I1625" s="16"/>
    </row>
    <row r="1626" spans="1:9" ht="24" customHeight="1">
      <c r="B1626" s="1033" t="str">
        <f>'Jaringan Listrik'!C7865</f>
        <v>5.4.4.4</v>
      </c>
      <c r="C1626" s="11" t="str">
        <f>VLOOKUP(B1626,'Jaringan Listrik'!C:K,2,FALSE)</f>
        <v>Pemasangan 1 Unit PABX Kap: 1 Line 8 Extension ( Lengkap dengan Pemprograman)</v>
      </c>
      <c r="D1626" s="9" t="s">
        <v>135</v>
      </c>
      <c r="E1626" s="1021">
        <f>VLOOKUP(C1626,'Jaringan Listrik'!$D$5165:$I$9334,6,FALSE)</f>
        <v>1205300</v>
      </c>
      <c r="F1626" s="1003">
        <f>VLOOKUP(C1626,'Jaringan Listrik'!$D:$K,7,FALSE)</f>
        <v>0</v>
      </c>
      <c r="G1626" s="12">
        <f>VLOOKUP(C1626,'Jaringan Listrik'!$D:$K,8,FALSE)</f>
        <v>0</v>
      </c>
      <c r="H1626" s="374"/>
      <c r="I1626" s="16"/>
    </row>
    <row r="1627" spans="1:9" ht="24" customHeight="1">
      <c r="B1627" s="1033" t="str">
        <f>'Jaringan Listrik'!C7883</f>
        <v>5.4.4.5</v>
      </c>
      <c r="C1627" s="11" t="str">
        <f>VLOOKUP(B1627,'Jaringan Listrik'!C:K,2,FALSE)</f>
        <v xml:space="preserve">Pemasangan 1 Unit Terminal Box Telepon </v>
      </c>
      <c r="D1627" s="9" t="s">
        <v>135</v>
      </c>
      <c r="E1627" s="1021">
        <f>VLOOKUP(C1627,'Jaringan Listrik'!$D$5165:$I$9334,6,FALSE)</f>
        <v>339500</v>
      </c>
      <c r="F1627" s="1003">
        <f>VLOOKUP(C1627,'Jaringan Listrik'!$D:$K,7,FALSE)</f>
        <v>0</v>
      </c>
      <c r="G1627" s="12">
        <f>VLOOKUP(C1627,'Jaringan Listrik'!$D:$K,8,FALSE)</f>
        <v>0</v>
      </c>
      <c r="H1627" s="374"/>
      <c r="I1627" s="16"/>
    </row>
    <row r="1628" spans="1:9" ht="24" customHeight="1">
      <c r="B1628" s="1033" t="str">
        <f>'Jaringan Listrik'!C7900</f>
        <v>5.4.4.6</v>
      </c>
      <c r="C1628" s="11" t="str">
        <f>VLOOKUP(B1628,'Jaringan Listrik'!C:K,2,FALSE)</f>
        <v>Pemasangan 1 Unit Outlet Telepon</v>
      </c>
      <c r="D1628" s="9" t="s">
        <v>135</v>
      </c>
      <c r="E1628" s="1021">
        <f>VLOOKUP(C1628,'Jaringan Listrik'!$D$5165:$I$9334,6,FALSE)</f>
        <v>160000</v>
      </c>
      <c r="F1628" s="1003">
        <f>VLOOKUP(C1628,'Jaringan Listrik'!$D:$K,7,FALSE)</f>
        <v>0</v>
      </c>
      <c r="G1628" s="12">
        <f>VLOOKUP(C1628,'Jaringan Listrik'!$D:$K,8,FALSE)</f>
        <v>0</v>
      </c>
      <c r="H1628" s="374"/>
      <c r="I1628" s="16"/>
    </row>
    <row r="1629" spans="1:9" ht="24" customHeight="1">
      <c r="B1629" s="1033" t="str">
        <f>'Jaringan Listrik'!C7917</f>
        <v>5.4.4.7</v>
      </c>
      <c r="C1629" s="11" t="str">
        <f>VLOOKUP(B1629,'Jaringan Listrik'!C:K,2,FALSE)</f>
        <v>Pemasangan 1 Unit Instalasi Outlet Telepon</v>
      </c>
      <c r="D1629" s="9" t="s">
        <v>135</v>
      </c>
      <c r="E1629" s="1021">
        <f>VLOOKUP(C1629,'Jaringan Listrik'!$D$5165:$I$9334,6,FALSE)</f>
        <v>1751000</v>
      </c>
      <c r="F1629" s="1003">
        <f>VLOOKUP(C1629,'Jaringan Listrik'!$D:$K,7,FALSE)</f>
        <v>0</v>
      </c>
      <c r="G1629" s="12">
        <f>VLOOKUP(C1629,'Jaringan Listrik'!$D:$K,8,FALSE)</f>
        <v>0</v>
      </c>
      <c r="H1629" s="374"/>
      <c r="I1629" s="16"/>
    </row>
    <row r="1630" spans="1:9" s="1" customFormat="1" ht="24" customHeight="1">
      <c r="A1630" s="47"/>
      <c r="B1630" s="1041" t="str">
        <f>'Jaringan Listrik'!C7940</f>
        <v>5.4.5</v>
      </c>
      <c r="C1630" s="20" t="str">
        <f>VLOOKUP(B1630,'Jaringan Listrik'!C:K,2,FALSE)</f>
        <v xml:space="preserve">Sistem Data dan Internet </v>
      </c>
      <c r="D1630" s="19"/>
      <c r="E1630" s="1021">
        <f>VLOOKUP(C1630,'Jaringan Listrik'!$D$5165:$I$9334,6,FALSE)</f>
        <v>0</v>
      </c>
      <c r="F1630" s="1003">
        <f>VLOOKUP(C1630,'Jaringan Listrik'!$D:$K,7,FALSE)</f>
        <v>0</v>
      </c>
      <c r="G1630" s="12">
        <f>VLOOKUP(C1630,'Jaringan Listrik'!$D:$K,8,FALSE)</f>
        <v>0</v>
      </c>
      <c r="H1630" s="1092"/>
      <c r="I1630" s="21"/>
    </row>
    <row r="1631" spans="1:9" ht="24" customHeight="1">
      <c r="B1631" s="1033" t="str">
        <f>'Jaringan Listrik'!C7941</f>
        <v>5.4.5.1</v>
      </c>
      <c r="C1631" s="11" t="str">
        <f>VLOOKUP(B1631,'Jaringan Listrik'!C:K,2,FALSE)</f>
        <v xml:space="preserve">Pemasangan 1 Unit Sever / Gateway c/w PC, Monitor, Keyboar, Mouse </v>
      </c>
      <c r="D1631" s="9" t="s">
        <v>135</v>
      </c>
      <c r="E1631" s="1021">
        <f>VLOOKUP(C1631,'Jaringan Listrik'!$D$5165:$I$9334,6,FALSE)</f>
        <v>7853800</v>
      </c>
      <c r="F1631" s="1003">
        <f>VLOOKUP(C1631,'Jaringan Listrik'!$D:$K,7,FALSE)</f>
        <v>0</v>
      </c>
      <c r="G1631" s="12">
        <f>VLOOKUP(C1631,'Jaringan Listrik'!$D:$K,8,FALSE)</f>
        <v>0</v>
      </c>
      <c r="H1631" s="374"/>
      <c r="I1631" s="16"/>
    </row>
    <row r="1632" spans="1:9" ht="24" customHeight="1">
      <c r="B1632" s="1033" t="str">
        <f>'Jaringan Listrik'!C7958</f>
        <v>5.4.5.2</v>
      </c>
      <c r="C1632" s="11" t="str">
        <f>VLOOKUP(B1632,'Jaringan Listrik'!C:K,2,FALSE)</f>
        <v xml:space="preserve">Pemasangan 1 Unit Main Switch HUB 24 Port </v>
      </c>
      <c r="D1632" s="9" t="s">
        <v>135</v>
      </c>
      <c r="E1632" s="1021">
        <f>VLOOKUP(C1632,'Jaringan Listrik'!$D$5165:$I$9334,6,FALSE)</f>
        <v>1397400</v>
      </c>
      <c r="F1632" s="1003">
        <f>VLOOKUP(C1632,'Jaringan Listrik'!$D:$K,7,FALSE)</f>
        <v>0</v>
      </c>
      <c r="G1632" s="12">
        <f>VLOOKUP(C1632,'Jaringan Listrik'!$D:$K,8,FALSE)</f>
        <v>0</v>
      </c>
      <c r="H1632" s="374"/>
      <c r="I1632" s="16"/>
    </row>
    <row r="1633" spans="1:9" ht="24" customHeight="1">
      <c r="B1633" s="1033" t="str">
        <f>'Jaringan Listrik'!C7975</f>
        <v>5.4.5.3</v>
      </c>
      <c r="C1633" s="11" t="str">
        <f>VLOOKUP(B1633,'Jaringan Listrik'!C:K,2,FALSE)</f>
        <v xml:space="preserve">Pemasangan 1 Unit Main Switch HUB 12 Port </v>
      </c>
      <c r="D1633" s="9" t="s">
        <v>135</v>
      </c>
      <c r="E1633" s="1021">
        <f>VLOOKUP(C1633,'Jaringan Listrik'!$D$5165:$I$9334,6,FALSE)</f>
        <v>1050900</v>
      </c>
      <c r="F1633" s="1003">
        <f>VLOOKUP(C1633,'Jaringan Listrik'!$D:$K,7,FALSE)</f>
        <v>0</v>
      </c>
      <c r="G1633" s="12">
        <f>VLOOKUP(C1633,'Jaringan Listrik'!$D:$K,8,FALSE)</f>
        <v>0</v>
      </c>
      <c r="H1633" s="374"/>
      <c r="I1633" s="16"/>
    </row>
    <row r="1634" spans="1:9" ht="24" customHeight="1">
      <c r="B1634" s="1033" t="str">
        <f>'Jaringan Listrik'!C7992</f>
        <v>5.4.5.4</v>
      </c>
      <c r="C1634" s="11" t="str">
        <f>VLOOKUP(B1634,'Jaringan Listrik'!C:K,2,FALSE)</f>
        <v>Pemasangan 1 Unit Router Broadband</v>
      </c>
      <c r="D1634" s="9" t="s">
        <v>135</v>
      </c>
      <c r="E1634" s="1021">
        <f>VLOOKUP(C1634,'Jaringan Listrik'!$D$5165:$I$9334,6,FALSE)</f>
        <v>710500</v>
      </c>
      <c r="F1634" s="1003">
        <f>VLOOKUP(C1634,'Jaringan Listrik'!$D:$K,7,FALSE)</f>
        <v>0</v>
      </c>
      <c r="G1634" s="12">
        <f>VLOOKUP(C1634,'Jaringan Listrik'!$D:$K,8,FALSE)</f>
        <v>0</v>
      </c>
      <c r="H1634" s="374"/>
      <c r="I1634" s="16"/>
    </row>
    <row r="1635" spans="1:9" ht="24" customHeight="1">
      <c r="B1635" s="1033" t="str">
        <f>'Jaringan Listrik'!C8009</f>
        <v>5.4.5.5</v>
      </c>
      <c r="C1635" s="11" t="str">
        <f>VLOOKUP(B1635,'Jaringan Listrik'!C:K,2,FALSE)</f>
        <v xml:space="preserve">Pemasangan 1 Unit Fire Wall + Anti Virus </v>
      </c>
      <c r="D1635" s="9" t="s">
        <v>135</v>
      </c>
      <c r="E1635" s="1021">
        <f>VLOOKUP(C1635,'Jaringan Listrik'!$D$5165:$I$9334,6,FALSE)</f>
        <v>412000</v>
      </c>
      <c r="F1635" s="1003">
        <f>VLOOKUP(C1635,'Jaringan Listrik'!$D:$K,7,FALSE)</f>
        <v>0</v>
      </c>
      <c r="G1635" s="12">
        <f>VLOOKUP(C1635,'Jaringan Listrik'!$D:$K,8,FALSE)</f>
        <v>0</v>
      </c>
      <c r="H1635" s="374"/>
      <c r="I1635" s="16"/>
    </row>
    <row r="1636" spans="1:9" ht="24" customHeight="1">
      <c r="B1636" s="1033" t="str">
        <f>'Jaringan Listrik'!C8026</f>
        <v>5.4.5.6</v>
      </c>
      <c r="C1636" s="11" t="str">
        <f>VLOOKUP(B1636,'Jaringan Listrik'!C:K,2,FALSE)</f>
        <v xml:space="preserve">Pemasangan 1 Unit  Outlet Data </v>
      </c>
      <c r="D1636" s="9" t="s">
        <v>135</v>
      </c>
      <c r="E1636" s="1021">
        <f>VLOOKUP(C1636,'Jaringan Listrik'!$D$5165:$I$9334,6,FALSE)</f>
        <v>193900</v>
      </c>
      <c r="F1636" s="1003">
        <f>VLOOKUP(C1636,'Jaringan Listrik'!$D:$K,7,FALSE)</f>
        <v>0</v>
      </c>
      <c r="G1636" s="12">
        <f>VLOOKUP(C1636,'Jaringan Listrik'!$D:$K,8,FALSE)</f>
        <v>0</v>
      </c>
      <c r="H1636" s="374"/>
      <c r="I1636" s="16"/>
    </row>
    <row r="1637" spans="1:9" ht="24" customHeight="1">
      <c r="B1637" s="1033" t="str">
        <f>'Jaringan Listrik'!C8043</f>
        <v>5.4.5.7</v>
      </c>
      <c r="C1637" s="11" t="str">
        <f>VLOOKUP(B1637,'Jaringan Listrik'!C:K,2,FALSE)</f>
        <v xml:space="preserve">Pemasangan 1 Titik Instalasi Outlet Data </v>
      </c>
      <c r="D1637" s="9" t="s">
        <v>135</v>
      </c>
      <c r="E1637" s="1021">
        <f>VLOOKUP(C1637,'Jaringan Listrik'!$D$5165:$I$9334,6,FALSE)</f>
        <v>2363100</v>
      </c>
      <c r="F1637" s="1003">
        <f>VLOOKUP(C1637,'Jaringan Listrik'!$D:$K,7,FALSE)</f>
        <v>0</v>
      </c>
      <c r="G1637" s="12">
        <f>VLOOKUP(C1637,'Jaringan Listrik'!$D:$K,8,FALSE)</f>
        <v>0</v>
      </c>
      <c r="H1637" s="374"/>
      <c r="I1637" s="16"/>
    </row>
    <row r="1638" spans="1:9" ht="24" customHeight="1">
      <c r="B1638" s="1033" t="str">
        <f>'Jaringan Listrik'!C8066</f>
        <v>5.4.5.8</v>
      </c>
      <c r="C1638" s="11" t="str">
        <f>VLOOKUP(B1638,'Jaringan Listrik'!C:K,2,FALSE)</f>
        <v xml:space="preserve">Pemasangan 1 Unit Patch Cord </v>
      </c>
      <c r="D1638" s="9" t="s">
        <v>135</v>
      </c>
      <c r="E1638" s="1021">
        <f>VLOOKUP(C1638,'Jaringan Listrik'!$D$5165:$I$9334,6,FALSE)</f>
        <v>53600</v>
      </c>
      <c r="F1638" s="1003">
        <f>VLOOKUP(C1638,'Jaringan Listrik'!$D:$K,7,FALSE)</f>
        <v>0</v>
      </c>
      <c r="G1638" s="12">
        <f>VLOOKUP(C1638,'Jaringan Listrik'!$D:$K,8,FALSE)</f>
        <v>0</v>
      </c>
      <c r="H1638" s="374"/>
      <c r="I1638" s="16"/>
    </row>
    <row r="1639" spans="1:9" ht="24" customHeight="1">
      <c r="B1639" s="1033" t="str">
        <f>'Jaringan Listrik'!C8084</f>
        <v>5.4.5.9</v>
      </c>
      <c r="C1639" s="11" t="str">
        <f>VLOOKUP(B1639,'Jaringan Listrik'!C:K,2,FALSE)</f>
        <v>Pemasangan 1 Unit Patch  Panel 24 Port</v>
      </c>
      <c r="D1639" s="9" t="s">
        <v>135</v>
      </c>
      <c r="E1639" s="1021">
        <f>VLOOKUP(C1639,'Jaringan Listrik'!$D$5165:$I$9334,6,FALSE)</f>
        <v>702800</v>
      </c>
      <c r="F1639" s="1003">
        <f>VLOOKUP(C1639,'Jaringan Listrik'!$D:$K,7,FALSE)</f>
        <v>0</v>
      </c>
      <c r="G1639" s="12">
        <f>VLOOKUP(C1639,'Jaringan Listrik'!$D:$K,8,FALSE)</f>
        <v>0</v>
      </c>
      <c r="H1639" s="374"/>
      <c r="I1639" s="16"/>
    </row>
    <row r="1640" spans="1:9" ht="24" customHeight="1">
      <c r="B1640" s="1033" t="str">
        <f>'Jaringan Listrik'!C8102</f>
        <v>5.4.5.10</v>
      </c>
      <c r="C1640" s="11" t="str">
        <f>VLOOKUP(B1640,'Jaringan Listrik'!C:K,2,FALSE)</f>
        <v>Pemasangan 1 Unit Wifi Access Ponit ( Wifi 6 Radius 50 m)</v>
      </c>
      <c r="D1640" s="9" t="s">
        <v>135</v>
      </c>
      <c r="E1640" s="1021">
        <f>VLOOKUP(C1640,'Jaringan Listrik'!$D$5165:$I$9334,6,FALSE)</f>
        <v>1747500</v>
      </c>
      <c r="F1640" s="1003">
        <f>VLOOKUP(C1640,'Jaringan Listrik'!$D:$K,7,FALSE)</f>
        <v>0</v>
      </c>
      <c r="G1640" s="12">
        <f>VLOOKUP(C1640,'Jaringan Listrik'!$D:$K,8,FALSE)</f>
        <v>0</v>
      </c>
      <c r="H1640" s="374"/>
      <c r="I1640" s="16"/>
    </row>
    <row r="1641" spans="1:9" ht="24" customHeight="1">
      <c r="B1641" s="1033" t="str">
        <f>'Jaringan Listrik'!C8120</f>
        <v>5.4.5.11</v>
      </c>
      <c r="C1641" s="11" t="str">
        <f>VLOOKUP(B1641,'Jaringan Listrik'!C:K,2,FALSE)</f>
        <v>Pemasangan 1 Unit Switch HUB 8 Port, Unmanaged c/w OTB</v>
      </c>
      <c r="D1641" s="9" t="s">
        <v>135</v>
      </c>
      <c r="E1641" s="1021">
        <f>VLOOKUP(C1641,'Jaringan Listrik'!$D$5165:$I$9334,6,FALSE)</f>
        <v>1229600</v>
      </c>
      <c r="F1641" s="1003">
        <f>VLOOKUP(C1641,'Jaringan Listrik'!$D:$K,7,FALSE)</f>
        <v>0</v>
      </c>
      <c r="G1641" s="12">
        <f>VLOOKUP(C1641,'Jaringan Listrik'!$D:$K,8,FALSE)</f>
        <v>0</v>
      </c>
      <c r="H1641" s="374"/>
      <c r="I1641" s="16"/>
    </row>
    <row r="1642" spans="1:9" ht="24" customHeight="1">
      <c r="B1642" s="1033" t="str">
        <f>'Jaringan Listrik'!C8140</f>
        <v>5.4.5.12</v>
      </c>
      <c r="C1642" s="11" t="str">
        <f>VLOOKUP(B1642,'Jaringan Listrik'!C:K,2,FALSE)</f>
        <v>Pemasangan 1 Unit Touch Screen Panel 7"</v>
      </c>
      <c r="D1642" s="9" t="s">
        <v>135</v>
      </c>
      <c r="E1642" s="1021">
        <f>VLOOKUP(C1642,'Jaringan Listrik'!$D$5165:$I$9334,6,FALSE)</f>
        <v>2952600</v>
      </c>
      <c r="F1642" s="1003">
        <f>VLOOKUP(C1642,'Jaringan Listrik'!$D:$K,7,FALSE)</f>
        <v>0</v>
      </c>
      <c r="G1642" s="12">
        <f>VLOOKUP(C1642,'Jaringan Listrik'!$D:$K,8,FALSE)</f>
        <v>0</v>
      </c>
      <c r="H1642" s="374"/>
      <c r="I1642" s="16"/>
    </row>
    <row r="1643" spans="1:9" ht="24" customHeight="1">
      <c r="B1643" s="1033" t="str">
        <f>'Jaringan Listrik'!C8157</f>
        <v>5.4.5.13</v>
      </c>
      <c r="C1643" s="11" t="str">
        <f>VLOOKUP(B1643,'Jaringan Listrik'!C:K,2,FALSE)</f>
        <v>Pemasangan 1 Unit Touch Screen Panel 10"</v>
      </c>
      <c r="D1643" s="9" t="s">
        <v>135</v>
      </c>
      <c r="E1643" s="1021">
        <f>VLOOKUP(C1643,'Jaringan Listrik'!$D$5165:$I$9334,6,FALSE)</f>
        <v>3194600</v>
      </c>
      <c r="F1643" s="1003">
        <f>VLOOKUP(C1643,'Jaringan Listrik'!$D:$K,7,FALSE)</f>
        <v>0</v>
      </c>
      <c r="G1643" s="12">
        <f>VLOOKUP(C1643,'Jaringan Listrik'!$D:$K,8,FALSE)</f>
        <v>0</v>
      </c>
      <c r="H1643" s="374"/>
      <c r="I1643" s="16"/>
    </row>
    <row r="1644" spans="1:9" ht="24" customHeight="1">
      <c r="B1644" s="1033" t="str">
        <f>'Jaringan Listrik'!C8174</f>
        <v>5.4.5.14</v>
      </c>
      <c r="C1644" s="11" t="str">
        <f>VLOOKUP(B1644,'Jaringan Listrik'!C:K,2,FALSE)</f>
        <v>Pemasangan 1 Unit Touch Screen Panel 12"</v>
      </c>
      <c r="D1644" s="9" t="s">
        <v>135</v>
      </c>
      <c r="E1644" s="1021">
        <f>VLOOKUP(C1644,'Jaringan Listrik'!$D$5165:$I$9334,6,FALSE)</f>
        <v>3777200</v>
      </c>
      <c r="F1644" s="1003">
        <f>VLOOKUP(C1644,'Jaringan Listrik'!$D:$K,7,FALSE)</f>
        <v>0</v>
      </c>
      <c r="G1644" s="12">
        <f>VLOOKUP(C1644,'Jaringan Listrik'!$D:$K,8,FALSE)</f>
        <v>0</v>
      </c>
      <c r="H1644" s="374"/>
      <c r="I1644" s="16"/>
    </row>
    <row r="1645" spans="1:9" ht="24" customHeight="1">
      <c r="B1645" s="1033" t="str">
        <f>'Jaringan Listrik'!C8192</f>
        <v>5.4.5.15</v>
      </c>
      <c r="C1645" s="11" t="str">
        <f>VLOOKUP(B1645,'Jaringan Listrik'!C:K,2,FALSE)</f>
        <v>Pemasangan 1 Unit Touch Screen Panel 14"</v>
      </c>
      <c r="D1645" s="9" t="s">
        <v>135</v>
      </c>
      <c r="E1645" s="1021">
        <f>VLOOKUP(C1645,'Jaringan Listrik'!$D$5165:$I$9334,6,FALSE)</f>
        <v>4140200</v>
      </c>
      <c r="F1645" s="1003">
        <f>VLOOKUP(C1645,'Jaringan Listrik'!$D:$K,7,FALSE)</f>
        <v>0</v>
      </c>
      <c r="G1645" s="12">
        <f>VLOOKUP(C1645,'Jaringan Listrik'!$D:$K,8,FALSE)</f>
        <v>0</v>
      </c>
      <c r="H1645" s="374"/>
      <c r="I1645" s="16"/>
    </row>
    <row r="1646" spans="1:9" ht="24" customHeight="1">
      <c r="B1646" s="1033" t="str">
        <f>'Jaringan Listrik'!C8210</f>
        <v>5.4.5.16</v>
      </c>
      <c r="C1646" s="11" t="str">
        <f>VLOOKUP(B1646,'Jaringan Listrik'!C:K,2,FALSE)</f>
        <v>Pemasangan 1 Unit Wall Mounted Rack 15U</v>
      </c>
      <c r="D1646" s="9" t="s">
        <v>135</v>
      </c>
      <c r="E1646" s="1021">
        <f>VLOOKUP(C1646,'Jaringan Listrik'!$D$5165:$I$9334,6,FALSE)</f>
        <v>441500</v>
      </c>
      <c r="F1646" s="1003">
        <f>VLOOKUP(C1646,'Jaringan Listrik'!$D:$K,7,FALSE)</f>
        <v>0</v>
      </c>
      <c r="G1646" s="12">
        <f>VLOOKUP(C1646,'Jaringan Listrik'!$D:$K,8,FALSE)</f>
        <v>0</v>
      </c>
      <c r="H1646" s="374"/>
      <c r="I1646" s="16"/>
    </row>
    <row r="1647" spans="1:9" ht="24" customHeight="1">
      <c r="B1647" s="1033" t="str">
        <f>'Jaringan Listrik'!C8227</f>
        <v>5.4.5.17</v>
      </c>
      <c r="C1647" s="11" t="str">
        <f>VLOOKUP(B1647,'Jaringan Listrik'!C:K,2,FALSE)</f>
        <v xml:space="preserve">Pemasangan 1 Unit Workstation, Meja + Kursi </v>
      </c>
      <c r="D1647" s="9" t="s">
        <v>135</v>
      </c>
      <c r="E1647" s="1021">
        <f>VLOOKUP(C1647,'Jaringan Listrik'!$D$5165:$I$9334,6,FALSE)</f>
        <v>3110000</v>
      </c>
      <c r="F1647" s="1003">
        <f>VLOOKUP(C1647,'Jaringan Listrik'!$D:$K,7,FALSE)</f>
        <v>0</v>
      </c>
      <c r="G1647" s="12">
        <f>VLOOKUP(C1647,'Jaringan Listrik'!$D:$K,8,FALSE)</f>
        <v>0</v>
      </c>
      <c r="H1647" s="374"/>
      <c r="I1647" s="16"/>
    </row>
    <row r="1648" spans="1:9" s="1" customFormat="1" ht="24" customHeight="1">
      <c r="A1648" s="47"/>
      <c r="B1648" s="1041" t="str">
        <f>'Jaringan Listrik'!C8245</f>
        <v>5.4.6</v>
      </c>
      <c r="C1648" s="20" t="str">
        <f>VLOOKUP(B1648,'Jaringan Listrik'!C:K,2,FALSE)</f>
        <v>Sistem MATV</v>
      </c>
      <c r="D1648" s="19"/>
      <c r="E1648" s="1021">
        <f>VLOOKUP(C1648,'Jaringan Listrik'!$D$5165:$I$9334,6,FALSE)</f>
        <v>0</v>
      </c>
      <c r="F1648" s="1003">
        <f>VLOOKUP(C1648,'Jaringan Listrik'!$D:$K,7,FALSE)</f>
        <v>0</v>
      </c>
      <c r="G1648" s="12">
        <f>VLOOKUP(C1648,'Jaringan Listrik'!$D:$K,8,FALSE)</f>
        <v>0</v>
      </c>
      <c r="H1648" s="1092"/>
      <c r="I1648" s="21"/>
    </row>
    <row r="1649" spans="1:9" ht="24" customHeight="1">
      <c r="B1649" s="1033" t="str">
        <f>'Jaringan Listrik'!C8246</f>
        <v>5.4.6.1</v>
      </c>
      <c r="C1649" s="11" t="str">
        <f>VLOOKUP(B1649,'Jaringan Listrik'!C:K,2,FALSE)</f>
        <v xml:space="preserve">Pemasangan 1 Titik Instalasi TV </v>
      </c>
      <c r="D1649" s="9" t="s">
        <v>5250</v>
      </c>
      <c r="E1649" s="1021">
        <f>VLOOKUP(C1649,'Jaringan Listrik'!$D$5165:$I$9334,6,FALSE)</f>
        <v>1522200</v>
      </c>
      <c r="F1649" s="1003">
        <f>VLOOKUP(C1649,'Jaringan Listrik'!$D:$K,7,FALSE)</f>
        <v>0</v>
      </c>
      <c r="G1649" s="12">
        <f>VLOOKUP(C1649,'Jaringan Listrik'!$D:$K,8,FALSE)</f>
        <v>0</v>
      </c>
      <c r="H1649" s="374"/>
      <c r="I1649" s="16"/>
    </row>
    <row r="1650" spans="1:9" ht="24" customHeight="1">
      <c r="B1650" s="1033" t="str">
        <f>'Jaringan Listrik'!C8268</f>
        <v>5.4.6.2</v>
      </c>
      <c r="C1650" s="11" t="str">
        <f>VLOOKUP(B1650,'Jaringan Listrik'!C:K,2,FALSE)</f>
        <v xml:space="preserve">Pemasangan 1 Unit Splitter TV 6 Port </v>
      </c>
      <c r="D1650" s="9" t="s">
        <v>135</v>
      </c>
      <c r="E1650" s="1021">
        <f>VLOOKUP(C1650,'Jaringan Listrik'!$D$5165:$I$9334,6,FALSE)</f>
        <v>140900</v>
      </c>
      <c r="F1650" s="1003">
        <f>VLOOKUP(C1650,'Jaringan Listrik'!$D:$K,7,FALSE)</f>
        <v>0</v>
      </c>
      <c r="G1650" s="12">
        <f>VLOOKUP(C1650,'Jaringan Listrik'!$D:$K,8,FALSE)</f>
        <v>0</v>
      </c>
      <c r="H1650" s="374"/>
      <c r="I1650" s="16"/>
    </row>
    <row r="1651" spans="1:9" ht="24" customHeight="1">
      <c r="B1651" s="1033" t="str">
        <f>'Jaringan Listrik'!C8285</f>
        <v>5.4.6.3</v>
      </c>
      <c r="C1651" s="11" t="str">
        <f>VLOOKUP(B1651,'Jaringan Listrik'!C:K,2,FALSE)</f>
        <v xml:space="preserve">Pemasangan 1 Unit Splitter TV 7 Port </v>
      </c>
      <c r="D1651" s="9" t="s">
        <v>135</v>
      </c>
      <c r="E1651" s="1021">
        <f>VLOOKUP(C1651,'Jaringan Listrik'!$D$5165:$I$9334,6,FALSE)</f>
        <v>169800</v>
      </c>
      <c r="F1651" s="1003">
        <f>VLOOKUP(C1651,'Jaringan Listrik'!$D:$K,7,FALSE)</f>
        <v>0</v>
      </c>
      <c r="G1651" s="12">
        <f>VLOOKUP(C1651,'Jaringan Listrik'!$D:$K,8,FALSE)</f>
        <v>0</v>
      </c>
      <c r="H1651" s="374"/>
      <c r="I1651" s="16"/>
    </row>
    <row r="1652" spans="1:9" ht="24" customHeight="1">
      <c r="B1652" s="1033" t="str">
        <f>'Jaringan Listrik'!C8303</f>
        <v>5.4.6.4</v>
      </c>
      <c r="C1652" s="11" t="str">
        <f>VLOOKUP(B1652,'Jaringan Listrik'!C:K,2,FALSE)</f>
        <v>Pemasangan 1 Unit Terminal Box TV</v>
      </c>
      <c r="D1652" s="9" t="s">
        <v>135</v>
      </c>
      <c r="E1652" s="1021">
        <f>VLOOKUP(C1652,'Jaringan Listrik'!$D$5165:$I$9334,6,FALSE)</f>
        <v>309400</v>
      </c>
      <c r="F1652" s="1003">
        <f>VLOOKUP(C1652,'Jaringan Listrik'!$D:$K,7,FALSE)</f>
        <v>0</v>
      </c>
      <c r="G1652" s="12">
        <f>VLOOKUP(C1652,'Jaringan Listrik'!$D:$K,8,FALSE)</f>
        <v>0</v>
      </c>
      <c r="H1652" s="374"/>
      <c r="I1652" s="16"/>
    </row>
    <row r="1653" spans="1:9" ht="24" customHeight="1">
      <c r="B1653" s="1033" t="str">
        <f>'Jaringan Listrik'!C8320</f>
        <v>5.4.6.5</v>
      </c>
      <c r="C1653" s="11" t="str">
        <f>VLOOKUP(B1653,'Jaringan Listrik'!C:K,2,FALSE)</f>
        <v xml:space="preserve">Pemasangan 1 Unit Antena UHF </v>
      </c>
      <c r="D1653" s="9" t="s">
        <v>135</v>
      </c>
      <c r="E1653" s="1021">
        <f>VLOOKUP(C1653,'Jaringan Listrik'!$D$5165:$I$9334,6,FALSE)</f>
        <v>261000</v>
      </c>
      <c r="F1653" s="1003">
        <f>VLOOKUP(C1653,'Jaringan Listrik'!$D:$K,7,FALSE)</f>
        <v>0</v>
      </c>
      <c r="G1653" s="12">
        <f>VLOOKUP(C1653,'Jaringan Listrik'!$D:$K,8,FALSE)</f>
        <v>0</v>
      </c>
      <c r="H1653" s="374"/>
      <c r="I1653" s="16"/>
    </row>
    <row r="1654" spans="1:9" ht="24" customHeight="1">
      <c r="B1654" s="1033" t="str">
        <f>'Jaringan Listrik'!C8339</f>
        <v>5.4.6.6</v>
      </c>
      <c r="C1654" s="11" t="str">
        <f>VLOOKUP(B1654,'Jaringan Listrik'!C:K,2,FALSE)</f>
        <v>Pemasangan 1 Unit Antena VHF</v>
      </c>
      <c r="D1654" s="9" t="s">
        <v>135</v>
      </c>
      <c r="E1654" s="1021">
        <f>VLOOKUP(C1654,'Jaringan Listrik'!$D$5165:$I$9334,6,FALSE)</f>
        <v>284100</v>
      </c>
      <c r="F1654" s="1003">
        <f>VLOOKUP(C1654,'Jaringan Listrik'!$D:$K,7,FALSE)</f>
        <v>0</v>
      </c>
      <c r="G1654" s="12">
        <f>VLOOKUP(C1654,'Jaringan Listrik'!$D:$K,8,FALSE)</f>
        <v>0</v>
      </c>
      <c r="H1654" s="374"/>
      <c r="I1654" s="16"/>
    </row>
    <row r="1655" spans="1:9" s="47" customFormat="1" ht="24" customHeight="1">
      <c r="B1655" s="1043" t="str">
        <f>'Jaringan Listrik'!C8358</f>
        <v>5.5</v>
      </c>
      <c r="C1655" s="997" t="str">
        <f>VLOOKUP(B1655,'Jaringan Listrik'!C:K,2,FALSE)</f>
        <v xml:space="preserve">PEKERJAAN SISTEM TATA UDARA </v>
      </c>
      <c r="D1655" s="994"/>
      <c r="E1655" s="1049">
        <f>VLOOKUP(C1655,'Jaringan Listrik'!$D$5165:$I$9334,6,FALSE)</f>
        <v>0</v>
      </c>
      <c r="F1655" s="1017">
        <f>VLOOKUP(C1655,'Jaringan Listrik'!$D:$K,7,FALSE)</f>
        <v>0</v>
      </c>
      <c r="G1655" s="285">
        <f>VLOOKUP(C1655,'Jaringan Listrik'!$D:$K,8,FALSE)</f>
        <v>0</v>
      </c>
      <c r="H1655" s="1092"/>
      <c r="I1655" s="996"/>
    </row>
    <row r="1656" spans="1:9" s="1" customFormat="1" ht="24" customHeight="1">
      <c r="A1656" s="47"/>
      <c r="B1656" s="1041" t="str">
        <f>'Jaringan Listrik'!C8359</f>
        <v>5.5.1</v>
      </c>
      <c r="C1656" s="20" t="str">
        <f>VLOOKUP(B1656,'Jaringan Listrik'!C:K,2,FALSE)</f>
        <v>Pemasangan Unit AC</v>
      </c>
      <c r="D1656" s="19"/>
      <c r="E1656" s="1042">
        <f>VLOOKUP(C1656,'Jaringan Listrik'!$D$5165:$I$9334,6,FALSE)</f>
        <v>0</v>
      </c>
      <c r="F1656" s="1003">
        <f>VLOOKUP(C1656,'Jaringan Listrik'!$D:$K,7,FALSE)</f>
        <v>0</v>
      </c>
      <c r="G1656" s="12">
        <f>VLOOKUP(C1656,'Jaringan Listrik'!$D:$K,8,FALSE)</f>
        <v>0</v>
      </c>
      <c r="H1656" s="1092"/>
      <c r="I1656" s="21"/>
    </row>
    <row r="1657" spans="1:9" ht="24" customHeight="1">
      <c r="B1657" s="1033" t="str">
        <f>'Jaringan Listrik'!C8360</f>
        <v>5.5.1.1</v>
      </c>
      <c r="C1657" s="11" t="str">
        <f>VLOOKUP(B1657,'Jaringan Listrik'!C:K,2,FALSE)</f>
        <v xml:space="preserve">Pemasangan 1 Unit AC Wall Mounted Kap: 5.000 BTUH </v>
      </c>
      <c r="D1657" s="9" t="s">
        <v>135</v>
      </c>
      <c r="E1657" s="1021">
        <f>VLOOKUP(C1657,'Jaringan Listrik'!$D$5165:$I$9334,6,FALSE)</f>
        <v>4173000</v>
      </c>
      <c r="F1657" s="1003">
        <f>VLOOKUP(C1657,'Jaringan Listrik'!$D:$K,7,FALSE)</f>
        <v>0</v>
      </c>
      <c r="G1657" s="12">
        <f>VLOOKUP(C1657,'Jaringan Listrik'!$D:$K,8,FALSE)</f>
        <v>0</v>
      </c>
      <c r="H1657" s="374"/>
      <c r="I1657" s="16"/>
    </row>
    <row r="1658" spans="1:9" ht="24" customHeight="1">
      <c r="B1658" s="1033" t="str">
        <f>'Jaringan Listrik'!C8377</f>
        <v>5.5.1.2</v>
      </c>
      <c r="C1658" s="11" t="str">
        <f>VLOOKUP(B1658,'Jaringan Listrik'!C:K,2,FALSE)</f>
        <v xml:space="preserve">Pemasangan 1 Unit AC Wall Mounted Kap: 6.500 BTUH </v>
      </c>
      <c r="D1658" s="9" t="s">
        <v>135</v>
      </c>
      <c r="E1658" s="1021">
        <f>VLOOKUP(C1658,'Jaringan Listrik'!$D$5165:$I$9334,6,FALSE)</f>
        <v>4951000</v>
      </c>
      <c r="F1658" s="1003">
        <f>VLOOKUP(C1658,'Jaringan Listrik'!$D:$K,7,FALSE)</f>
        <v>0</v>
      </c>
      <c r="G1658" s="12">
        <f>VLOOKUP(C1658,'Jaringan Listrik'!$D:$K,8,FALSE)</f>
        <v>0</v>
      </c>
      <c r="H1658" s="374"/>
      <c r="I1658" s="16"/>
    </row>
    <row r="1659" spans="1:9" ht="24" customHeight="1">
      <c r="B1659" s="1033" t="str">
        <f>'Jaringan Listrik'!C8394</f>
        <v>5.5.1.3</v>
      </c>
      <c r="C1659" s="11" t="str">
        <f>VLOOKUP(B1659,'Jaringan Listrik'!C:K,2,FALSE)</f>
        <v xml:space="preserve">Pemasangan 1 Unit AC Wall Mounted Kap: 7.000 BTUH </v>
      </c>
      <c r="D1659" s="9" t="s">
        <v>135</v>
      </c>
      <c r="E1659" s="1021">
        <f>VLOOKUP(C1659,'Jaringan Listrik'!$D$5165:$I$9334,6,FALSE)</f>
        <v>5435000</v>
      </c>
      <c r="F1659" s="1003">
        <f>VLOOKUP(C1659,'Jaringan Listrik'!$D:$K,7,FALSE)</f>
        <v>0</v>
      </c>
      <c r="G1659" s="12">
        <f>VLOOKUP(C1659,'Jaringan Listrik'!$D:$K,8,FALSE)</f>
        <v>0</v>
      </c>
      <c r="H1659" s="374"/>
      <c r="I1659" s="16"/>
    </row>
    <row r="1660" spans="1:9" ht="24" customHeight="1">
      <c r="B1660" s="1033" t="str">
        <f>'Jaringan Listrik'!C8411</f>
        <v>5.5.1.4</v>
      </c>
      <c r="C1660" s="11" t="str">
        <f>VLOOKUP(B1660,'Jaringan Listrik'!C:K,2,FALSE)</f>
        <v xml:space="preserve">Pemasangan 1 Unit AC Wall Mounted Kap: 9.000 BTUH </v>
      </c>
      <c r="D1660" s="9" t="s">
        <v>135</v>
      </c>
      <c r="E1660" s="1021">
        <f>VLOOKUP(C1660,'Jaringan Listrik'!$D$5165:$I$9334,6,FALSE)</f>
        <v>5798000</v>
      </c>
      <c r="F1660" s="1003">
        <f>VLOOKUP(C1660,'Jaringan Listrik'!$D:$K,7,FALSE)</f>
        <v>0</v>
      </c>
      <c r="G1660" s="12">
        <f>VLOOKUP(C1660,'Jaringan Listrik'!$D:$K,8,FALSE)</f>
        <v>0</v>
      </c>
      <c r="H1660" s="374"/>
      <c r="I1660" s="16"/>
    </row>
    <row r="1661" spans="1:9" ht="24" customHeight="1">
      <c r="B1661" s="1033" t="str">
        <f>'Jaringan Listrik'!C8429</f>
        <v>5.5.1.5</v>
      </c>
      <c r="C1661" s="11" t="str">
        <f>VLOOKUP(B1661,'Jaringan Listrik'!C:K,2,FALSE)</f>
        <v xml:space="preserve">Pemasangan 1 Unit AC Wall Mounted Kap:12.000 BTUH </v>
      </c>
      <c r="D1661" s="9" t="s">
        <v>135</v>
      </c>
      <c r="E1661" s="1021">
        <f>VLOOKUP(C1661,'Jaringan Listrik'!$D$5165:$I$9334,6,FALSE)</f>
        <v>6766000</v>
      </c>
      <c r="F1661" s="1003">
        <f>VLOOKUP(C1661,'Jaringan Listrik'!$D:$K,7,FALSE)</f>
        <v>0</v>
      </c>
      <c r="G1661" s="12">
        <f>VLOOKUP(C1661,'Jaringan Listrik'!$D:$K,8,FALSE)</f>
        <v>0</v>
      </c>
      <c r="H1661" s="374"/>
      <c r="I1661" s="16"/>
    </row>
    <row r="1662" spans="1:9" ht="24" customHeight="1">
      <c r="B1662" s="1033" t="str">
        <f>'Jaringan Listrik'!C8446</f>
        <v>5.5.1.6</v>
      </c>
      <c r="C1662" s="11" t="str">
        <f>VLOOKUP(B1662,'Jaringan Listrik'!C:K,2,FALSE)</f>
        <v xml:space="preserve">Pemasangan 1 Unit AC Wall Mounted Kap:24.000 BTUH </v>
      </c>
      <c r="D1662" s="9" t="s">
        <v>135</v>
      </c>
      <c r="E1662" s="1021">
        <f>VLOOKUP(C1662,'Jaringan Listrik'!$D$5165:$I$9334,6,FALSE)</f>
        <v>9695600</v>
      </c>
      <c r="F1662" s="1003">
        <f>VLOOKUP(C1662,'Jaringan Listrik'!$D:$K,7,FALSE)</f>
        <v>0</v>
      </c>
      <c r="G1662" s="12">
        <f>VLOOKUP(C1662,'Jaringan Listrik'!$D:$K,8,FALSE)</f>
        <v>0</v>
      </c>
      <c r="H1662" s="374"/>
      <c r="I1662" s="16"/>
    </row>
    <row r="1663" spans="1:9" ht="24" customHeight="1">
      <c r="B1663" s="1033" t="str">
        <f>'Jaringan Listrik'!C8464</f>
        <v>5.5.1.7</v>
      </c>
      <c r="C1663" s="11" t="str">
        <f>VLOOKUP(B1663,'Jaringan Listrik'!C:K,2,FALSE)</f>
        <v xml:space="preserve">Pemasangan 1 Unit AC Wall Mounted Kap:35.000 BTUH </v>
      </c>
      <c r="D1663" s="9" t="s">
        <v>135</v>
      </c>
      <c r="E1663" s="1021">
        <f>VLOOKUP(C1663,'Jaringan Listrik'!$D$5165:$I$9334,6,FALSE)</f>
        <v>12900200</v>
      </c>
      <c r="F1663" s="1003">
        <f>VLOOKUP(C1663,'Jaringan Listrik'!$D:$K,7,FALSE)</f>
        <v>0</v>
      </c>
      <c r="G1663" s="12">
        <f>VLOOKUP(C1663,'Jaringan Listrik'!$D:$K,8,FALSE)</f>
        <v>0</v>
      </c>
      <c r="H1663" s="374"/>
      <c r="I1663" s="16"/>
    </row>
    <row r="1664" spans="1:9" ht="24" customHeight="1">
      <c r="B1664" s="1033" t="str">
        <f>'Jaringan Listrik'!C8481</f>
        <v>5.5.1.8</v>
      </c>
      <c r="C1664" s="11" t="str">
        <f>VLOOKUP(B1664,'Jaringan Listrik'!C:K,2,FALSE)</f>
        <v>Pemasangan 1 Titik Kabel Power AC NYM 3x2,5 mm2</v>
      </c>
      <c r="D1664" s="9" t="s">
        <v>5250</v>
      </c>
      <c r="E1664" s="1021">
        <f>VLOOKUP(C1664,'Jaringan Listrik'!$D$5165:$I$9334,6,FALSE)</f>
        <v>28900</v>
      </c>
      <c r="F1664" s="1003">
        <f>VLOOKUP(C1664,'Jaringan Listrik'!$D:$K,7,FALSE)</f>
        <v>0</v>
      </c>
      <c r="G1664" s="12">
        <f>VLOOKUP(C1664,'Jaringan Listrik'!$D:$K,8,FALSE)</f>
        <v>0</v>
      </c>
      <c r="H1664" s="374"/>
      <c r="I1664" s="16"/>
    </row>
    <row r="1665" spans="1:9" ht="24" customHeight="1">
      <c r="B1665" s="1033" t="str">
        <f>'Jaringan Listrik'!C8500</f>
        <v>5.5.1.9</v>
      </c>
      <c r="C1665" s="11" t="str">
        <f>VLOOKUP(B1665,'Jaringan Listrik'!C:K,2,FALSE)</f>
        <v>Pemasangan 1 Titik Kabel Kontrol AC NYM 3x2,5 mm2</v>
      </c>
      <c r="D1665" s="9" t="s">
        <v>5250</v>
      </c>
      <c r="E1665" s="1021">
        <f>VLOOKUP(C1665,'Jaringan Listrik'!$D$5165:$I$9334,6,FALSE)</f>
        <v>209600</v>
      </c>
      <c r="F1665" s="1003">
        <f>VLOOKUP(C1665,'Jaringan Listrik'!$D:$K,7,FALSE)</f>
        <v>0</v>
      </c>
      <c r="G1665" s="12">
        <f>VLOOKUP(C1665,'Jaringan Listrik'!$D:$K,8,FALSE)</f>
        <v>0</v>
      </c>
      <c r="H1665" s="374"/>
      <c r="I1665" s="16"/>
    </row>
    <row r="1666" spans="1:9" s="1" customFormat="1" ht="24" customHeight="1">
      <c r="A1666" s="47"/>
      <c r="B1666" s="1041" t="str">
        <f>'Jaringan Listrik'!C8517</f>
        <v>5.5.2</v>
      </c>
      <c r="C1666" s="20" t="str">
        <f>VLOOKUP(B1666,'Jaringan Listrik'!C:K,2,FALSE)</f>
        <v xml:space="preserve">Pemasangan Fan </v>
      </c>
      <c r="D1666" s="19"/>
      <c r="E1666" s="1021">
        <f>VLOOKUP(C1666,'Jaringan Listrik'!$D$5165:$I$9334,6,FALSE)</f>
        <v>0</v>
      </c>
      <c r="F1666" s="1003">
        <f>VLOOKUP(C1666,'Jaringan Listrik'!$D:$K,7,FALSE)</f>
        <v>0</v>
      </c>
      <c r="G1666" s="12">
        <f>VLOOKUP(C1666,'Jaringan Listrik'!$D:$K,8,FALSE)</f>
        <v>0</v>
      </c>
      <c r="H1666" s="1092"/>
      <c r="I1666" s="21"/>
    </row>
    <row r="1667" spans="1:9" ht="24" customHeight="1">
      <c r="B1667" s="1033" t="str">
        <f>'Jaringan Listrik'!C8518</f>
        <v>5.5.2.1</v>
      </c>
      <c r="C1667" s="11" t="str">
        <f>VLOOKUP(B1667,'Jaringan Listrik'!C:K,2,FALSE)</f>
        <v xml:space="preserve">Pemasangan 1 Unit Ceiling Fan : 50 CFM </v>
      </c>
      <c r="D1667" s="9" t="s">
        <v>135</v>
      </c>
      <c r="E1667" s="1021">
        <f>VLOOKUP(C1667,'Jaringan Listrik'!$D$5165:$I$9334,6,FALSE)</f>
        <v>1189700</v>
      </c>
      <c r="F1667" s="1003">
        <f>VLOOKUP(C1667,'Jaringan Listrik'!$D:$K,7,FALSE)</f>
        <v>0</v>
      </c>
      <c r="G1667" s="12">
        <f>VLOOKUP(C1667,'Jaringan Listrik'!$D:$K,8,FALSE)</f>
        <v>0</v>
      </c>
      <c r="H1667" s="374"/>
      <c r="I1667" s="16"/>
    </row>
    <row r="1668" spans="1:9" ht="24" customHeight="1">
      <c r="B1668" s="1033" t="str">
        <f>'Jaringan Listrik'!C8536</f>
        <v>5.5.2.2</v>
      </c>
      <c r="C1668" s="11" t="str">
        <f>VLOOKUP(B1668,'Jaringan Listrik'!C:K,2,FALSE)</f>
        <v xml:space="preserve">Pemasangan 1 Unit Ceiling Fan : 75 CFM </v>
      </c>
      <c r="D1668" s="9" t="s">
        <v>135</v>
      </c>
      <c r="E1668" s="1021">
        <f>VLOOKUP(C1668,'Jaringan Listrik'!$D$5165:$I$9334,6,FALSE)</f>
        <v>1552700</v>
      </c>
      <c r="F1668" s="1003">
        <f>VLOOKUP(C1668,'Jaringan Listrik'!$D:$K,7,FALSE)</f>
        <v>0</v>
      </c>
      <c r="G1668" s="12">
        <f>VLOOKUP(C1668,'Jaringan Listrik'!$D:$K,8,FALSE)</f>
        <v>0</v>
      </c>
      <c r="H1668" s="374"/>
      <c r="I1668" s="16"/>
    </row>
    <row r="1669" spans="1:9" ht="24" customHeight="1">
      <c r="B1669" s="1033" t="str">
        <f>'Jaringan Listrik'!C8553</f>
        <v>5.5.2.3</v>
      </c>
      <c r="C1669" s="11" t="str">
        <f>VLOOKUP(B1669,'Jaringan Listrik'!C:K,2,FALSE)</f>
        <v xml:space="preserve">Pemasangan 1 Unit Ceiling Fan : 100 CFM </v>
      </c>
      <c r="D1669" s="9" t="s">
        <v>135</v>
      </c>
      <c r="E1669" s="1021">
        <f>VLOOKUP(C1669,'Jaringan Listrik'!$D$5165:$I$9334,6,FALSE)</f>
        <v>1734200</v>
      </c>
      <c r="F1669" s="1003">
        <f>VLOOKUP(C1669,'Jaringan Listrik'!$D:$K,7,FALSE)</f>
        <v>0</v>
      </c>
      <c r="G1669" s="12">
        <f>VLOOKUP(C1669,'Jaringan Listrik'!$D:$K,8,FALSE)</f>
        <v>0</v>
      </c>
      <c r="H1669" s="374"/>
      <c r="I1669" s="16"/>
    </row>
    <row r="1670" spans="1:9" ht="24" customHeight="1">
      <c r="B1670" s="1033" t="str">
        <f>'Jaringan Listrik'!C8571</f>
        <v>5.5.2.4</v>
      </c>
      <c r="C1670" s="11" t="str">
        <f>VLOOKUP(B1670,'Jaringan Listrik'!C:K,2,FALSE)</f>
        <v xml:space="preserve">Pemasangan 1 Unit Ceiling Fan : 200 CFM </v>
      </c>
      <c r="D1670" s="9" t="s">
        <v>135</v>
      </c>
      <c r="E1670" s="1021">
        <f>VLOOKUP(C1670,'Jaringan Listrik'!$D$5165:$I$9334,6,FALSE)</f>
        <v>1915700</v>
      </c>
      <c r="F1670" s="1003">
        <f>VLOOKUP(C1670,'Jaringan Listrik'!$D:$K,7,FALSE)</f>
        <v>0</v>
      </c>
      <c r="G1670" s="12">
        <f>VLOOKUP(C1670,'Jaringan Listrik'!$D:$K,8,FALSE)</f>
        <v>0</v>
      </c>
      <c r="H1670" s="374"/>
      <c r="I1670" s="16"/>
    </row>
    <row r="1671" spans="1:9" ht="24" customHeight="1">
      <c r="B1671" s="1033" t="str">
        <f>'Jaringan Listrik'!C8588</f>
        <v>5.5.2.5</v>
      </c>
      <c r="C1671" s="11" t="str">
        <f>VLOOKUP(B1671,'Jaringan Listrik'!C:K,2,FALSE)</f>
        <v xml:space="preserve">Pemasangan 1 Unit Inline Fan : 500 CFM </v>
      </c>
      <c r="D1671" s="9" t="s">
        <v>135</v>
      </c>
      <c r="E1671" s="1021">
        <f>VLOOKUP(C1671,'Jaringan Listrik'!$D$5165:$I$9334,6,FALSE)</f>
        <v>2016200</v>
      </c>
      <c r="F1671" s="1003">
        <f>VLOOKUP(C1671,'Jaringan Listrik'!$D:$K,7,FALSE)</f>
        <v>0</v>
      </c>
      <c r="G1671" s="12">
        <f>VLOOKUP(C1671,'Jaringan Listrik'!$D:$K,8,FALSE)</f>
        <v>0</v>
      </c>
      <c r="H1671" s="374"/>
      <c r="I1671" s="16"/>
    </row>
    <row r="1672" spans="1:9" ht="24" customHeight="1">
      <c r="B1672" s="1033" t="str">
        <f>'Jaringan Listrik'!C8605</f>
        <v>5.5.2.6</v>
      </c>
      <c r="C1672" s="11" t="str">
        <f>VLOOKUP(B1672,'Jaringan Listrik'!C:K,2,FALSE)</f>
        <v xml:space="preserve">Pemasangan 1 Unit Inline Fan : 700 CFM </v>
      </c>
      <c r="D1672" s="9" t="s">
        <v>135</v>
      </c>
      <c r="E1672" s="1021">
        <f>VLOOKUP(C1672,'Jaringan Listrik'!$D$5165:$I$9334,6,FALSE)</f>
        <v>2544200</v>
      </c>
      <c r="F1672" s="1003">
        <f>VLOOKUP(C1672,'Jaringan Listrik'!$D:$K,7,FALSE)</f>
        <v>0</v>
      </c>
      <c r="G1672" s="12">
        <f>VLOOKUP(C1672,'Jaringan Listrik'!$D:$K,8,FALSE)</f>
        <v>0</v>
      </c>
      <c r="H1672" s="374"/>
      <c r="I1672" s="16"/>
    </row>
    <row r="1673" spans="1:9" ht="24" customHeight="1">
      <c r="B1673" s="1033" t="str">
        <f>'Jaringan Listrik'!C8622</f>
        <v>5.5.2.7</v>
      </c>
      <c r="C1673" s="11" t="str">
        <f>VLOOKUP(B1673,'Jaringan Listrik'!C:K,2,FALSE)</f>
        <v xml:space="preserve">Pemasangan 1 Unit Axial Fan : 2.600 CFM </v>
      </c>
      <c r="D1673" s="9" t="s">
        <v>135</v>
      </c>
      <c r="E1673" s="1021">
        <f>VLOOKUP(C1673,'Jaringan Listrik'!$D$5165:$I$9334,6,FALSE)</f>
        <v>1929400</v>
      </c>
      <c r="F1673" s="1003">
        <f>VLOOKUP(C1673,'Jaringan Listrik'!$D:$K,7,FALSE)</f>
        <v>0</v>
      </c>
      <c r="G1673" s="12">
        <f>VLOOKUP(C1673,'Jaringan Listrik'!$D:$K,8,FALSE)</f>
        <v>0</v>
      </c>
      <c r="H1673" s="374"/>
      <c r="I1673" s="16"/>
    </row>
    <row r="1674" spans="1:9" ht="24" customHeight="1">
      <c r="B1674" s="1033" t="str">
        <f>'Jaringan Listrik'!C8639</f>
        <v>5.5.2.8</v>
      </c>
      <c r="C1674" s="11" t="str">
        <f>VLOOKUP(B1674,'Jaringan Listrik'!C:K,2,FALSE)</f>
        <v xml:space="preserve">Pemasangan 1 Unit Axial Fan : 2.800 CFM </v>
      </c>
      <c r="D1674" s="9" t="s">
        <v>135</v>
      </c>
      <c r="E1674" s="1021">
        <f>VLOOKUP(C1674,'Jaringan Listrik'!$D$5165:$I$9334,6,FALSE)</f>
        <v>2035000</v>
      </c>
      <c r="F1674" s="1003">
        <f>VLOOKUP(C1674,'Jaringan Listrik'!$D:$K,7,FALSE)</f>
        <v>0</v>
      </c>
      <c r="G1674" s="12">
        <f>VLOOKUP(C1674,'Jaringan Listrik'!$D:$K,8,FALSE)</f>
        <v>0</v>
      </c>
      <c r="H1674" s="374"/>
      <c r="I1674" s="16"/>
    </row>
    <row r="1675" spans="1:9" ht="24" customHeight="1">
      <c r="B1675" s="1033" t="str">
        <f>'Jaringan Listrik'!C8657</f>
        <v>5.5.2.9</v>
      </c>
      <c r="C1675" s="11" t="str">
        <f>VLOOKUP(B1675,'Jaringan Listrik'!C:K,2,FALSE)</f>
        <v xml:space="preserve">Pemasangan 1 Unit Axial Fan : 3.200 CFM </v>
      </c>
      <c r="D1675" s="9" t="s">
        <v>135</v>
      </c>
      <c r="E1675" s="1021">
        <f>VLOOKUP(C1675,'Jaringan Listrik'!$D$5165:$I$9334,6,FALSE)</f>
        <v>2213200</v>
      </c>
      <c r="F1675" s="1003">
        <f>VLOOKUP(C1675,'Jaringan Listrik'!$D:$K,7,FALSE)</f>
        <v>0</v>
      </c>
      <c r="G1675" s="12">
        <f>VLOOKUP(C1675,'Jaringan Listrik'!$D:$K,8,FALSE)</f>
        <v>0</v>
      </c>
      <c r="H1675" s="374"/>
      <c r="I1675" s="16"/>
    </row>
    <row r="1676" spans="1:9" ht="24" customHeight="1">
      <c r="B1676" s="1033" t="str">
        <f>'Jaringan Listrik'!C8674</f>
        <v>5.5.2.10</v>
      </c>
      <c r="C1676" s="11" t="str">
        <f>VLOOKUP(B1676,'Jaringan Listrik'!C:K,2,FALSE)</f>
        <v xml:space="preserve">Pemasangan 1 Unit Axial Fan : 3.500 CFM </v>
      </c>
      <c r="D1676" s="9" t="s">
        <v>135</v>
      </c>
      <c r="E1676" s="1021">
        <f>VLOOKUP(C1676,'Jaringan Listrik'!$D$5165:$I$9334,6,FALSE)</f>
        <v>2645400</v>
      </c>
      <c r="F1676" s="1003">
        <f>VLOOKUP(C1676,'Jaringan Listrik'!$D:$K,7,FALSE)</f>
        <v>0</v>
      </c>
      <c r="G1676" s="12">
        <f>VLOOKUP(C1676,'Jaringan Listrik'!$D:$K,8,FALSE)</f>
        <v>0</v>
      </c>
      <c r="H1676" s="374"/>
      <c r="I1676" s="16"/>
    </row>
    <row r="1677" spans="1:9" ht="24" customHeight="1">
      <c r="B1677" s="1033" t="str">
        <f>'Jaringan Listrik'!C8691</f>
        <v>5.5.2.11</v>
      </c>
      <c r="C1677" s="11" t="str">
        <f>VLOOKUP(B1677,'Jaringan Listrik'!C:K,2,FALSE)</f>
        <v xml:space="preserve">Pemasangan 1 Unit Axial Fan : 4.000 CFM </v>
      </c>
      <c r="D1677" s="9" t="s">
        <v>135</v>
      </c>
      <c r="E1677" s="1021">
        <f>VLOOKUP(C1677,'Jaringan Listrik'!$D$5165:$I$9334,6,FALSE)</f>
        <v>3779700</v>
      </c>
      <c r="F1677" s="1003">
        <f>VLOOKUP(C1677,'Jaringan Listrik'!$D:$K,7,FALSE)</f>
        <v>0</v>
      </c>
      <c r="G1677" s="12">
        <f>VLOOKUP(C1677,'Jaringan Listrik'!$D:$K,8,FALSE)</f>
        <v>0</v>
      </c>
      <c r="H1677" s="374"/>
      <c r="I1677" s="16"/>
    </row>
    <row r="1678" spans="1:9" ht="24" customHeight="1">
      <c r="B1678" s="1033" t="str">
        <f>'Jaringan Listrik'!C8708</f>
        <v>5.5.2.12</v>
      </c>
      <c r="C1678" s="11" t="str">
        <f>VLOOKUP(B1678,'Jaringan Listrik'!C:K,2,FALSE)</f>
        <v xml:space="preserve">Pemasangan 1 Unit Axial Fan : 5.500 CFM </v>
      </c>
      <c r="D1678" s="9" t="s">
        <v>135</v>
      </c>
      <c r="E1678" s="1021">
        <f>VLOOKUP(C1678,'Jaringan Listrik'!$D$5165:$I$9334,6,FALSE)</f>
        <v>4241700</v>
      </c>
      <c r="F1678" s="1003">
        <f>VLOOKUP(C1678,'Jaringan Listrik'!$D:$K,7,FALSE)</f>
        <v>0</v>
      </c>
      <c r="G1678" s="12">
        <f>VLOOKUP(C1678,'Jaringan Listrik'!$D:$K,8,FALSE)</f>
        <v>0</v>
      </c>
      <c r="H1678" s="374"/>
      <c r="I1678" s="16"/>
    </row>
    <row r="1679" spans="1:9" ht="24" customHeight="1">
      <c r="B1679" s="1033" t="str">
        <f>'Jaringan Listrik'!C8725</f>
        <v>5.5.2.13</v>
      </c>
      <c r="C1679" s="11" t="str">
        <f>VLOOKUP(B1679,'Jaringan Listrik'!C:K,2,FALSE)</f>
        <v xml:space="preserve">Pemasangan 1 Unit Rotary Fan </v>
      </c>
      <c r="D1679" s="9" t="s">
        <v>135</v>
      </c>
      <c r="E1679" s="1021">
        <f>VLOOKUP(C1679,'Jaringan Listrik'!$D$5165:$I$9334,6,FALSE)</f>
        <v>1008200</v>
      </c>
      <c r="F1679" s="1003">
        <f>VLOOKUP(C1679,'Jaringan Listrik'!$D:$K,7,FALSE)</f>
        <v>0</v>
      </c>
      <c r="G1679" s="12">
        <f>VLOOKUP(C1679,'Jaringan Listrik'!$D:$K,8,FALSE)</f>
        <v>0</v>
      </c>
      <c r="H1679" s="374"/>
      <c r="I1679" s="16"/>
    </row>
    <row r="1680" spans="1:9" ht="24" customHeight="1">
      <c r="B1680" s="1033" t="str">
        <f>'Jaringan Listrik'!C8742</f>
        <v>5.5.2.14</v>
      </c>
      <c r="C1680" s="11" t="str">
        <f>VLOOKUP(B1680,'Jaringan Listrik'!C:K,2,FALSE)</f>
        <v xml:space="preserve">Pemasangan 1 Unit Ceiling Fan Rotary </v>
      </c>
      <c r="D1680" s="9" t="s">
        <v>135</v>
      </c>
      <c r="E1680" s="1021">
        <f>VLOOKUP(C1680,'Jaringan Listrik'!$D$5165:$I$9334,6,FALSE)</f>
        <v>1915700</v>
      </c>
      <c r="F1680" s="1003">
        <f>VLOOKUP(C1680,'Jaringan Listrik'!$D:$K,7,FALSE)</f>
        <v>0</v>
      </c>
      <c r="G1680" s="12">
        <f>VLOOKUP(C1680,'Jaringan Listrik'!$D:$K,8,FALSE)</f>
        <v>0</v>
      </c>
      <c r="H1680" s="374"/>
      <c r="I1680" s="16"/>
    </row>
    <row r="1681" spans="2:9" ht="24" customHeight="1">
      <c r="B1681" s="1033" t="str">
        <f>'Jaringan Listrik'!C8759</f>
        <v>5.5.2.15</v>
      </c>
      <c r="C1681" s="11" t="str">
        <f>VLOOKUP(B1681,'Jaringan Listrik'!C:K,2,FALSE)</f>
        <v xml:space="preserve">Pemasangan 1 Unit Bifurcated Fan : 1.500 CFM </v>
      </c>
      <c r="D1681" s="9" t="s">
        <v>135</v>
      </c>
      <c r="E1681" s="1021">
        <f>VLOOKUP(C1681,'Jaringan Listrik'!$D$5165:$I$9334,6,FALSE)</f>
        <v>11455600</v>
      </c>
      <c r="F1681" s="1003">
        <f>VLOOKUP(C1681,'Jaringan Listrik'!$D:$K,7,FALSE)</f>
        <v>0</v>
      </c>
      <c r="G1681" s="12">
        <f>VLOOKUP(C1681,'Jaringan Listrik'!$D:$K,8,FALSE)</f>
        <v>0</v>
      </c>
      <c r="H1681" s="374"/>
      <c r="I1681" s="16"/>
    </row>
    <row r="1682" spans="2:9" ht="24" customHeight="1">
      <c r="B1682" s="1033" t="str">
        <f>'Jaringan Listrik'!C8776</f>
        <v>5.5.2.16</v>
      </c>
      <c r="C1682" s="11" t="str">
        <f>VLOOKUP(B1682,'Jaringan Listrik'!C:K,2,FALSE)</f>
        <v xml:space="preserve">Pemasangan 1 Unit Propeller Fan ; 75 CFM </v>
      </c>
      <c r="D1682" s="9" t="s">
        <v>135</v>
      </c>
      <c r="E1682" s="1021">
        <f>VLOOKUP(C1682,'Jaringan Listrik'!$D$5165:$I$9334,6,FALSE)</f>
        <v>2526600</v>
      </c>
      <c r="F1682" s="1003">
        <f>VLOOKUP(C1682,'Jaringan Listrik'!$D:$K,7,FALSE)</f>
        <v>0</v>
      </c>
      <c r="G1682" s="12">
        <f>VLOOKUP(C1682,'Jaringan Listrik'!$D:$K,8,FALSE)</f>
        <v>0</v>
      </c>
      <c r="H1682" s="374"/>
      <c r="I1682" s="16"/>
    </row>
    <row r="1683" spans="2:9" ht="24" customHeight="1">
      <c r="B1683" s="1033" t="str">
        <f>'Jaringan Listrik'!C8793</f>
        <v>5.5.2.17</v>
      </c>
      <c r="C1683" s="11" t="str">
        <f>VLOOKUP(B1683,'Jaringan Listrik'!C:K,2,FALSE)</f>
        <v xml:space="preserve">Pemasangan 1 Unit Propeller Fan ; 100 CFM </v>
      </c>
      <c r="D1683" s="9" t="s">
        <v>135</v>
      </c>
      <c r="E1683" s="1021">
        <f>VLOOKUP(C1683,'Jaringan Listrik'!$D$5165:$I$9334,6,FALSE)</f>
        <v>2922600</v>
      </c>
      <c r="F1683" s="1003">
        <f>VLOOKUP(C1683,'Jaringan Listrik'!$D:$K,7,FALSE)</f>
        <v>0</v>
      </c>
      <c r="G1683" s="12">
        <f>VLOOKUP(C1683,'Jaringan Listrik'!$D:$K,8,FALSE)</f>
        <v>0</v>
      </c>
      <c r="H1683" s="374"/>
      <c r="I1683" s="16"/>
    </row>
    <row r="1684" spans="2:9" ht="24" customHeight="1">
      <c r="B1684" s="1033" t="str">
        <f>'Jaringan Listrik'!C8810</f>
        <v>5.5.2.18</v>
      </c>
      <c r="C1684" s="11" t="str">
        <f>VLOOKUP(B1684,'Jaringan Listrik'!C:K,2,FALSE)</f>
        <v xml:space="preserve">Pemasangan 1 Unit Propeller Fan ; 150 CFM </v>
      </c>
      <c r="D1684" s="9" t="s">
        <v>135</v>
      </c>
      <c r="E1684" s="1021">
        <f>VLOOKUP(C1684,'Jaringan Listrik'!$D$5165:$I$9334,6,FALSE)</f>
        <v>3186600</v>
      </c>
      <c r="F1684" s="1003">
        <f>VLOOKUP(C1684,'Jaringan Listrik'!$D:$K,7,FALSE)</f>
        <v>0</v>
      </c>
      <c r="G1684" s="12">
        <f>VLOOKUP(C1684,'Jaringan Listrik'!$D:$K,8,FALSE)</f>
        <v>0</v>
      </c>
      <c r="H1684" s="374"/>
      <c r="I1684" s="16"/>
    </row>
    <row r="1685" spans="2:9" ht="24" customHeight="1">
      <c r="B1685" s="1033" t="str">
        <f>'Jaringan Listrik'!C8828</f>
        <v>5.5.2.19</v>
      </c>
      <c r="C1685" s="11" t="str">
        <f>VLOOKUP(B1685,'Jaringan Listrik'!C:K,2,FALSE)</f>
        <v xml:space="preserve">Pemasangan 1 Unit Propeller Fan ; 375 CFM </v>
      </c>
      <c r="D1685" s="9" t="s">
        <v>135</v>
      </c>
      <c r="E1685" s="1021">
        <f>VLOOKUP(C1685,'Jaringan Listrik'!$D$5165:$I$9334,6,FALSE)</f>
        <v>3709500</v>
      </c>
      <c r="F1685" s="1003">
        <f>VLOOKUP(C1685,'Jaringan Listrik'!$D:$K,7,FALSE)</f>
        <v>0</v>
      </c>
      <c r="G1685" s="12">
        <f>VLOOKUP(C1685,'Jaringan Listrik'!$D:$K,8,FALSE)</f>
        <v>0</v>
      </c>
      <c r="H1685" s="374"/>
      <c r="I1685" s="16"/>
    </row>
    <row r="1686" spans="2:9" ht="24" customHeight="1">
      <c r="B1686" s="1033" t="str">
        <f>'Jaringan Listrik'!C8845</f>
        <v>5.5.2.20</v>
      </c>
      <c r="C1686" s="11" t="str">
        <f>VLOOKUP(B1686,'Jaringan Listrik'!C:K,2,FALSE)</f>
        <v xml:space="preserve">Pemasangan 1 Unit Propeller Fan ; 500 CFM </v>
      </c>
      <c r="D1686" s="9" t="s">
        <v>135</v>
      </c>
      <c r="E1686" s="1021">
        <f>VLOOKUP(C1686,'Jaringan Listrik'!$D$5165:$I$9334,6,FALSE)</f>
        <v>4585100</v>
      </c>
      <c r="F1686" s="1003">
        <f>VLOOKUP(C1686,'Jaringan Listrik'!$D:$K,7,FALSE)</f>
        <v>0</v>
      </c>
      <c r="G1686" s="12">
        <f>VLOOKUP(C1686,'Jaringan Listrik'!$D:$K,8,FALSE)</f>
        <v>0</v>
      </c>
      <c r="H1686" s="374"/>
      <c r="I1686" s="16"/>
    </row>
    <row r="1687" spans="2:9" ht="24" customHeight="1">
      <c r="B1687" s="1033" t="str">
        <f>'Jaringan Listrik'!C8862</f>
        <v>5.5.2.21</v>
      </c>
      <c r="C1687" s="11" t="str">
        <f>VLOOKUP(B1687,'Jaringan Listrik'!C:K,2,FALSE)</f>
        <v xml:space="preserve">Pemasangan 1 Unit Propeller Fan ; 600 CFM </v>
      </c>
      <c r="D1687" s="9" t="s">
        <v>135</v>
      </c>
      <c r="E1687" s="1021">
        <f>VLOOKUP(C1687,'Jaringan Listrik'!$D$5165:$I$9334,6,FALSE)</f>
        <v>5069100</v>
      </c>
      <c r="F1687" s="1003">
        <f>VLOOKUP(C1687,'Jaringan Listrik'!$D:$K,7,FALSE)</f>
        <v>0</v>
      </c>
      <c r="G1687" s="12">
        <f>VLOOKUP(C1687,'Jaringan Listrik'!$D:$K,8,FALSE)</f>
        <v>0</v>
      </c>
      <c r="H1687" s="374"/>
      <c r="I1687" s="16"/>
    </row>
    <row r="1688" spans="2:9" ht="24" customHeight="1">
      <c r="B1688" s="1033" t="str">
        <f>'Jaringan Listrik'!C8879</f>
        <v>5.5.2.22</v>
      </c>
      <c r="C1688" s="11" t="str">
        <f>VLOOKUP(B1688,'Jaringan Listrik'!C:K,2,FALSE)</f>
        <v>Pemasangan 1 Unit Intake Grille 600x300 mm</v>
      </c>
      <c r="D1688" s="9" t="s">
        <v>135</v>
      </c>
      <c r="E1688" s="1021">
        <f>VLOOKUP(C1688,'Jaringan Listrik'!$D$5165:$I$9334,6,FALSE)</f>
        <v>140300</v>
      </c>
      <c r="F1688" s="1003">
        <f>VLOOKUP(C1688,'Jaringan Listrik'!$D:$K,7,FALSE)</f>
        <v>0</v>
      </c>
      <c r="G1688" s="12">
        <f>VLOOKUP(C1688,'Jaringan Listrik'!$D:$K,8,FALSE)</f>
        <v>0</v>
      </c>
      <c r="H1688" s="374"/>
      <c r="I1688" s="16"/>
    </row>
    <row r="1689" spans="2:9" ht="24" customHeight="1">
      <c r="B1689" s="1033" t="str">
        <f>'Jaringan Listrik'!C8896</f>
        <v>5.5.2.23</v>
      </c>
      <c r="C1689" s="11" t="str">
        <f>VLOOKUP(B1689,'Jaringan Listrik'!C:K,2,FALSE)</f>
        <v>Pemasangan 1 Unit Intake Grille 650x350 mm</v>
      </c>
      <c r="D1689" s="9" t="s">
        <v>135</v>
      </c>
      <c r="E1689" s="1021">
        <f>VLOOKUP(C1689,'Jaringan Listrik'!$D$5165:$I$9334,6,FALSE)</f>
        <v>164500</v>
      </c>
      <c r="F1689" s="1003">
        <f>VLOOKUP(C1689,'Jaringan Listrik'!$D:$K,7,FALSE)</f>
        <v>0</v>
      </c>
      <c r="G1689" s="12">
        <f>VLOOKUP(C1689,'Jaringan Listrik'!$D:$K,8,FALSE)</f>
        <v>0</v>
      </c>
      <c r="H1689" s="374"/>
      <c r="I1689" s="16"/>
    </row>
    <row r="1690" spans="2:9" ht="24" customHeight="1">
      <c r="B1690" s="1033" t="str">
        <f>'Jaringan Listrik'!C8913</f>
        <v>5.5.2.24</v>
      </c>
      <c r="C1690" s="11" t="str">
        <f>VLOOKUP(B1690,'Jaringan Listrik'!C:K,2,FALSE)</f>
        <v>Pemasangan 1 Unit Intake Grille 800x350 mm</v>
      </c>
      <c r="D1690" s="9" t="s">
        <v>135</v>
      </c>
      <c r="E1690" s="1021">
        <f>VLOOKUP(C1690,'Jaringan Listrik'!$D$5165:$I$9334,6,FALSE)</f>
        <v>187300</v>
      </c>
      <c r="F1690" s="1003">
        <f>VLOOKUP(C1690,'Jaringan Listrik'!$D:$K,7,FALSE)</f>
        <v>0</v>
      </c>
      <c r="G1690" s="12">
        <f>VLOOKUP(C1690,'Jaringan Listrik'!$D:$K,8,FALSE)</f>
        <v>0</v>
      </c>
      <c r="H1690" s="374"/>
      <c r="I1690" s="16"/>
    </row>
    <row r="1691" spans="2:9" ht="24" customHeight="1">
      <c r="B1691" s="1033" t="str">
        <f>'Jaringan Listrik'!C8931</f>
        <v>5.5.2.25</v>
      </c>
      <c r="C1691" s="11" t="str">
        <f>VLOOKUP(B1691,'Jaringan Listrik'!C:K,2,FALSE)</f>
        <v>Pemasangan 1 Unit Intake Grille 800x400 mm</v>
      </c>
      <c r="D1691" s="9" t="s">
        <v>135</v>
      </c>
      <c r="E1691" s="1021">
        <f>VLOOKUP(C1691,'Jaringan Listrik'!$D$5165:$I$9334,6,FALSE)</f>
        <v>205500</v>
      </c>
      <c r="F1691" s="1003">
        <f>VLOOKUP(C1691,'Jaringan Listrik'!$D:$K,7,FALSE)</f>
        <v>0</v>
      </c>
      <c r="G1691" s="12">
        <f>VLOOKUP(C1691,'Jaringan Listrik'!$D:$K,8,FALSE)</f>
        <v>0</v>
      </c>
      <c r="H1691" s="374"/>
      <c r="I1691" s="16"/>
    </row>
    <row r="1692" spans="2:9" ht="24" customHeight="1">
      <c r="B1692" s="1033" t="str">
        <f>'Jaringan Listrik'!C8948</f>
        <v>5.5.2.26</v>
      </c>
      <c r="C1692" s="11" t="str">
        <f>VLOOKUP(B1692,'Jaringan Listrik'!C:K,2,FALSE)</f>
        <v>Pemasangan 1 Unit Intake Louvre 700x400 mm</v>
      </c>
      <c r="D1692" s="9" t="s">
        <v>135</v>
      </c>
      <c r="E1692" s="1021">
        <f>VLOOKUP(C1692,'Jaringan Listrik'!$D$5165:$I$9334,6,FALSE)</f>
        <v>264000</v>
      </c>
      <c r="F1692" s="1003">
        <f>VLOOKUP(C1692,'Jaringan Listrik'!$D:$K,7,FALSE)</f>
        <v>0</v>
      </c>
      <c r="G1692" s="12">
        <f>VLOOKUP(C1692,'Jaringan Listrik'!$D:$K,8,FALSE)</f>
        <v>0</v>
      </c>
      <c r="H1692" s="374"/>
      <c r="I1692" s="16"/>
    </row>
    <row r="1693" spans="2:9" ht="24" customHeight="1">
      <c r="B1693" s="1033" t="str">
        <f>'Jaringan Listrik'!C8966</f>
        <v>5.5.2.27</v>
      </c>
      <c r="C1693" s="11" t="str">
        <f>VLOOKUP(B1693,'Jaringan Listrik'!C:K,2,FALSE)</f>
        <v>Pemasangan 1 Unit Intake Louvre 750x400 mm</v>
      </c>
      <c r="D1693" s="9" t="s">
        <v>135</v>
      </c>
      <c r="E1693" s="1021">
        <f>VLOOKUP(C1693,'Jaringan Listrik'!$D$5165:$I$9334,6,FALSE)</f>
        <v>282200</v>
      </c>
      <c r="F1693" s="1003">
        <f>VLOOKUP(C1693,'Jaringan Listrik'!$D:$K,7,FALSE)</f>
        <v>0</v>
      </c>
      <c r="G1693" s="12">
        <f>VLOOKUP(C1693,'Jaringan Listrik'!$D:$K,8,FALSE)</f>
        <v>0</v>
      </c>
      <c r="H1693" s="374"/>
      <c r="I1693" s="16"/>
    </row>
    <row r="1694" spans="2:9" ht="24" customHeight="1">
      <c r="B1694" s="1033" t="str">
        <f>'Jaringan Listrik'!C8984</f>
        <v>5.5.2.28</v>
      </c>
      <c r="C1694" s="11" t="str">
        <f>VLOOKUP(B1694,'Jaringan Listrik'!C:K,2,FALSE)</f>
        <v>Pemasangan 1 Unit Fan Louvre900 x 500</v>
      </c>
      <c r="D1694" s="9" t="s">
        <v>135</v>
      </c>
      <c r="E1694" s="1021">
        <f>VLOOKUP(C1694,'Jaringan Listrik'!$D$5165:$I$9334,6,FALSE)</f>
        <v>416800</v>
      </c>
      <c r="F1694" s="1003">
        <f>VLOOKUP(C1694,'Jaringan Listrik'!$D:$K,7,FALSE)</f>
        <v>0</v>
      </c>
      <c r="G1694" s="12">
        <f>VLOOKUP(C1694,'Jaringan Listrik'!$D:$K,8,FALSE)</f>
        <v>0</v>
      </c>
      <c r="H1694" s="374"/>
      <c r="I1694" s="16"/>
    </row>
    <row r="1695" spans="2:9" ht="24" customHeight="1">
      <c r="B1695" s="1033" t="str">
        <f>'Jaringan Listrik'!C9001</f>
        <v>5.5.2.29</v>
      </c>
      <c r="C1695" s="11" t="str">
        <f>VLOOKUP(B1695,'Jaringan Listrik'!C:K,2,FALSE)</f>
        <v xml:space="preserve">Pemasangan 1 Unit Fan Louvre 1.000 x 400 mm </v>
      </c>
      <c r="D1695" s="9" t="s">
        <v>135</v>
      </c>
      <c r="E1695" s="1021">
        <f>VLOOKUP(C1695,'Jaringan Listrik'!$D$5165:$I$9334,6,FALSE)</f>
        <v>503000</v>
      </c>
      <c r="F1695" s="1003">
        <f>VLOOKUP(C1695,'Jaringan Listrik'!$D:$K,7,FALSE)</f>
        <v>0</v>
      </c>
      <c r="G1695" s="12">
        <f>VLOOKUP(C1695,'Jaringan Listrik'!$D:$K,8,FALSE)</f>
        <v>0</v>
      </c>
      <c r="H1695" s="374"/>
      <c r="I1695" s="16"/>
    </row>
    <row r="1696" spans="2:9" ht="24" customHeight="1">
      <c r="B1696" s="1033" t="str">
        <f>'Jaringan Listrik'!C9018</f>
        <v>5.5.2.30</v>
      </c>
      <c r="C1696" s="11" t="str">
        <f>VLOOKUP(B1696,'Jaringan Listrik'!C:K,2,FALSE)</f>
        <v xml:space="preserve">Pemasangan 1 Unit Fan Louvre 1.000 x 450 mm </v>
      </c>
      <c r="D1696" s="9" t="s">
        <v>135</v>
      </c>
      <c r="E1696" s="1021">
        <f>VLOOKUP(C1696,'Jaringan Listrik'!$D$5165:$I$9334,6,FALSE)</f>
        <v>527200</v>
      </c>
      <c r="F1696" s="1003">
        <f>VLOOKUP(C1696,'Jaringan Listrik'!$D:$K,7,FALSE)</f>
        <v>0</v>
      </c>
      <c r="G1696" s="12">
        <f>VLOOKUP(C1696,'Jaringan Listrik'!$D:$K,8,FALSE)</f>
        <v>0</v>
      </c>
      <c r="H1696" s="374"/>
      <c r="I1696" s="16"/>
    </row>
    <row r="1697" spans="1:9" ht="24" customHeight="1">
      <c r="B1697" s="1033" t="str">
        <f>'Jaringan Listrik'!C9035</f>
        <v>5.5.2.31</v>
      </c>
      <c r="C1697" s="11" t="str">
        <f>VLOOKUP(B1697,'Jaringan Listrik'!C:K,2,FALSE)</f>
        <v>Pemasangan 1 Unit Exhaust Grille 150 x 150 mm</v>
      </c>
      <c r="D1697" s="9" t="s">
        <v>135</v>
      </c>
      <c r="E1697" s="1021">
        <f>VLOOKUP(C1697,'Jaringan Listrik'!$D$5165:$I$9334,6,FALSE)</f>
        <v>194800</v>
      </c>
      <c r="F1697" s="1003">
        <f>VLOOKUP(C1697,'Jaringan Listrik'!$D:$K,7,FALSE)</f>
        <v>0</v>
      </c>
      <c r="G1697" s="12">
        <f>VLOOKUP(C1697,'Jaringan Listrik'!$D:$K,8,FALSE)</f>
        <v>0</v>
      </c>
      <c r="H1697" s="374"/>
      <c r="I1697" s="16"/>
    </row>
    <row r="1698" spans="1:9" ht="24" customHeight="1">
      <c r="B1698" s="1033" t="str">
        <f>'Jaringan Listrik'!C9053</f>
        <v>5.5.2.32</v>
      </c>
      <c r="C1698" s="11" t="str">
        <f>VLOOKUP(B1698,'Jaringan Listrik'!C:K,2,FALSE)</f>
        <v>Pemasangan 1 Unit Exhaust Grille 200 x 200 mm</v>
      </c>
      <c r="D1698" s="9" t="s">
        <v>135</v>
      </c>
      <c r="E1698" s="1021">
        <f>VLOOKUP(C1698,'Jaringan Listrik'!$D$5165:$I$9334,6,FALSE)</f>
        <v>219000</v>
      </c>
      <c r="F1698" s="1003">
        <f>VLOOKUP(C1698,'Jaringan Listrik'!$D:$K,7,FALSE)</f>
        <v>0</v>
      </c>
      <c r="G1698" s="12">
        <f>VLOOKUP(C1698,'Jaringan Listrik'!$D:$K,8,FALSE)</f>
        <v>0</v>
      </c>
      <c r="H1698" s="374"/>
      <c r="I1698" s="16"/>
    </row>
    <row r="1699" spans="1:9" ht="24" customHeight="1">
      <c r="B1699" s="1033" t="str">
        <f>'Jaringan Listrik'!C9070</f>
        <v>5.5.2.33</v>
      </c>
      <c r="C1699" s="11" t="str">
        <f>VLOOKUP(B1699,'Jaringan Listrik'!C:K,2,FALSE)</f>
        <v>Pemasangan 1 Unit Exhaust Grille 600 x 300 mm</v>
      </c>
      <c r="D1699" s="9" t="s">
        <v>135</v>
      </c>
      <c r="E1699" s="1021">
        <f>VLOOKUP(C1699,'Jaringan Listrik'!$D$5165:$I$9334,6,FALSE)</f>
        <v>267400</v>
      </c>
      <c r="F1699" s="1003">
        <f>VLOOKUP(C1699,'Jaringan Listrik'!$D:$K,7,FALSE)</f>
        <v>0</v>
      </c>
      <c r="G1699" s="12">
        <f>VLOOKUP(C1699,'Jaringan Listrik'!$D:$K,8,FALSE)</f>
        <v>0</v>
      </c>
      <c r="H1699" s="374"/>
      <c r="I1699" s="16"/>
    </row>
    <row r="1700" spans="1:9" ht="24" customHeight="1">
      <c r="B1700" s="1033" t="str">
        <f>'Jaringan Listrik'!C9087</f>
        <v>5.5.2.34</v>
      </c>
      <c r="C1700" s="11" t="str">
        <f>VLOOKUP(B1700,'Jaringan Listrik'!C:K,2,FALSE)</f>
        <v>Pemasangan 1 Unit Exhaust Grille 650 x 350 mm</v>
      </c>
      <c r="D1700" s="9" t="s">
        <v>135</v>
      </c>
      <c r="E1700" s="1021">
        <f>VLOOKUP(C1700,'Jaringan Listrik'!$D$5165:$I$9334,6,FALSE)</f>
        <v>303700</v>
      </c>
      <c r="F1700" s="1003">
        <f>VLOOKUP(C1700,'Jaringan Listrik'!$D:$K,7,FALSE)</f>
        <v>0</v>
      </c>
      <c r="G1700" s="12">
        <f>VLOOKUP(C1700,'Jaringan Listrik'!$D:$K,8,FALSE)</f>
        <v>0</v>
      </c>
      <c r="H1700" s="374"/>
      <c r="I1700" s="16"/>
    </row>
    <row r="1701" spans="1:9" ht="24" customHeight="1">
      <c r="B1701" s="1033" t="str">
        <f>'Jaringan Listrik'!C9104</f>
        <v>5.5.2.35</v>
      </c>
      <c r="C1701" s="11" t="str">
        <f>VLOOKUP(B1701,'Jaringan Listrik'!C:K,2,FALSE)</f>
        <v>Pemasangan 1 Unit Exhaust Grille 900 x 400 mm</v>
      </c>
      <c r="D1701" s="9" t="s">
        <v>135</v>
      </c>
      <c r="E1701" s="1021">
        <f>VLOOKUP(C1701,'Jaringan Listrik'!$D$5165:$I$9334,6,FALSE)</f>
        <v>393000</v>
      </c>
      <c r="F1701" s="1003">
        <f>VLOOKUP(C1701,'Jaringan Listrik'!$D:$K,7,FALSE)</f>
        <v>0</v>
      </c>
      <c r="G1701" s="12">
        <f>VLOOKUP(C1701,'Jaringan Listrik'!$D:$K,8,FALSE)</f>
        <v>0</v>
      </c>
      <c r="H1701" s="374"/>
      <c r="I1701" s="16"/>
    </row>
    <row r="1702" spans="1:9" ht="24" customHeight="1">
      <c r="B1702" s="1033" t="str">
        <f>'Jaringan Listrik'!C9121</f>
        <v>5.5.2.36</v>
      </c>
      <c r="C1702" s="11" t="str">
        <f>VLOOKUP(B1702,'Jaringan Listrik'!C:K,2,FALSE)</f>
        <v>Pemasangan 1 Unit Exhaust Louvre 200 x 200 mm s/d 750 x 350 mm</v>
      </c>
      <c r="D1702" s="9" t="s">
        <v>135</v>
      </c>
      <c r="E1702" s="1021">
        <f>VLOOKUP(C1702,'Jaringan Listrik'!$D$5165:$I$9334,6,FALSE)</f>
        <v>645200</v>
      </c>
      <c r="F1702" s="1003">
        <f>VLOOKUP(C1702,'Jaringan Listrik'!$D:$K,7,FALSE)</f>
        <v>0</v>
      </c>
      <c r="G1702" s="12">
        <f>VLOOKUP(C1702,'Jaringan Listrik'!$D:$K,8,FALSE)</f>
        <v>0</v>
      </c>
      <c r="H1702" s="374"/>
      <c r="I1702" s="16"/>
    </row>
    <row r="1703" spans="1:9" ht="24" customHeight="1">
      <c r="B1703" s="1033" t="str">
        <f>'Jaringan Listrik'!C9138</f>
        <v>5.5.2.40</v>
      </c>
      <c r="C1703" s="11" t="str">
        <f>VLOOKUP(B1703,'Jaringan Listrik'!C:K,2,FALSE)</f>
        <v>Pemasangan 1 Unit Exhaust Louvre 800 x 400 mm</v>
      </c>
      <c r="D1703" s="9" t="s">
        <v>135</v>
      </c>
      <c r="E1703" s="1021">
        <f>VLOOKUP(C1703,'Jaringan Listrik'!$D$5165:$I$9334,6,FALSE)</f>
        <v>695100</v>
      </c>
      <c r="F1703" s="1003">
        <f>VLOOKUP(C1703,'Jaringan Listrik'!$D:$K,7,FALSE)</f>
        <v>0</v>
      </c>
      <c r="G1703" s="12">
        <f>VLOOKUP(C1703,'Jaringan Listrik'!$D:$K,8,FALSE)</f>
        <v>0</v>
      </c>
      <c r="H1703" s="374"/>
      <c r="I1703" s="16"/>
    </row>
    <row r="1704" spans="1:9" ht="24" customHeight="1">
      <c r="B1704" s="1033" t="str">
        <f>'Jaringan Listrik'!C9155</f>
        <v>5.5.2.41</v>
      </c>
      <c r="C1704" s="11" t="str">
        <f>VLOOKUP(B1704,'Jaringan Listrik'!C:K,2,FALSE)</f>
        <v>Pemasangan 1 Unit Exhaust Louvre 850 x 400 mm &amp; 900 X 500 mm</v>
      </c>
      <c r="D1704" s="9" t="s">
        <v>135</v>
      </c>
      <c r="E1704" s="1021">
        <f>VLOOKUP(C1704,'Jaringan Listrik'!$D$5165:$I$9334,6,FALSE)</f>
        <v>740300</v>
      </c>
      <c r="F1704" s="1003">
        <f>VLOOKUP(C1704,'Jaringan Listrik'!$D:$K,7,FALSE)</f>
        <v>0</v>
      </c>
      <c r="G1704" s="12">
        <f>VLOOKUP(C1704,'Jaringan Listrik'!$D:$K,8,FALSE)</f>
        <v>0</v>
      </c>
      <c r="H1704" s="374"/>
      <c r="I1704" s="16"/>
    </row>
    <row r="1705" spans="1:9" ht="24" customHeight="1">
      <c r="B1705" s="1033" t="str">
        <f>'Jaringan Listrik'!C9172</f>
        <v>5.5.2.43</v>
      </c>
      <c r="C1705" s="11" t="str">
        <f>VLOOKUP(B1705,'Jaringan Listrik'!C:K,2,FALSE)</f>
        <v>Pemasangan 1 Unit Exhaust Louvre 1.000 x 400 mm</v>
      </c>
      <c r="D1705" s="9" t="s">
        <v>135</v>
      </c>
      <c r="E1705" s="1021">
        <f>VLOOKUP(C1705,'Jaringan Listrik'!$D$5165:$I$9334,6,FALSE)</f>
        <v>794800</v>
      </c>
      <c r="F1705" s="1003">
        <f>VLOOKUP(C1705,'Jaringan Listrik'!$D:$K,7,FALSE)</f>
        <v>0</v>
      </c>
      <c r="G1705" s="12">
        <f>VLOOKUP(C1705,'Jaringan Listrik'!$D:$K,8,FALSE)</f>
        <v>0</v>
      </c>
      <c r="H1705" s="374"/>
      <c r="I1705" s="16"/>
    </row>
    <row r="1706" spans="1:9" ht="24" customHeight="1">
      <c r="B1706" s="1033" t="str">
        <f>'Jaringan Listrik'!C9189</f>
        <v>5.5.2.44</v>
      </c>
      <c r="C1706" s="11" t="str">
        <f>VLOOKUP(B1706,'Jaringan Listrik'!C:K,2,FALSE)</f>
        <v>Pemasangan 1 Unit Exhaust Louvre 1.000 x 400 mm &amp; 1.000 x 450 mm</v>
      </c>
      <c r="D1706" s="9" t="s">
        <v>135</v>
      </c>
      <c r="E1706" s="1021">
        <f>VLOOKUP(C1706,'Jaringan Listrik'!$D$5165:$I$9334,6,FALSE)</f>
        <v>794800</v>
      </c>
      <c r="F1706" s="1003">
        <f>VLOOKUP(C1706,'Jaringan Listrik'!$D:$K,7,FALSE)</f>
        <v>0</v>
      </c>
      <c r="G1706" s="12">
        <f>VLOOKUP(C1706,'Jaringan Listrik'!$D:$K,8,FALSE)</f>
        <v>0</v>
      </c>
      <c r="H1706" s="374"/>
      <c r="I1706" s="16"/>
    </row>
    <row r="1707" spans="1:9" ht="24" customHeight="1">
      <c r="B1707" s="1033" t="str">
        <f>'Jaringan Listrik'!C9206</f>
        <v>5.5.2.45</v>
      </c>
      <c r="C1707" s="11" t="str">
        <f>VLOOKUP(B1707,'Jaringan Listrik'!C:K,2,FALSE)</f>
        <v>Pemasangan 1 Tititk Kabel Powwer Fan NYM 3 x 2,5 mm2</v>
      </c>
      <c r="D1707" s="9" t="s">
        <v>5250</v>
      </c>
      <c r="E1707" s="1021">
        <f>VLOOKUP(C1707,'Jaringan Listrik'!$D$5165:$I$9334,6,FALSE)</f>
        <v>409900</v>
      </c>
      <c r="F1707" s="1003">
        <f>VLOOKUP(C1707,'Jaringan Listrik'!$D:$K,7,FALSE)</f>
        <v>0</v>
      </c>
      <c r="G1707" s="12">
        <f>VLOOKUP(C1707,'Jaringan Listrik'!$D:$K,8,FALSE)</f>
        <v>0</v>
      </c>
      <c r="H1707" s="374"/>
      <c r="I1707" s="16"/>
    </row>
    <row r="1708" spans="1:9" ht="24" customHeight="1">
      <c r="B1708" s="1033" t="str">
        <f>'Jaringan Listrik'!C9223</f>
        <v>5.5.2.46</v>
      </c>
      <c r="C1708" s="11" t="str">
        <f>VLOOKUP(B1708,'Jaringan Listrik'!C:K,2,FALSE)</f>
        <v>Pemasangan 1 Tititk Kabel Kontrol  Fan NYM 3 x 2,5 mm2</v>
      </c>
      <c r="D1708" s="9" t="s">
        <v>5250</v>
      </c>
      <c r="E1708" s="1021">
        <f>VLOOKUP(C1708,'Jaringan Listrik'!$D$5165:$I$9334,6,FALSE)</f>
        <v>209600</v>
      </c>
      <c r="F1708" s="1003">
        <f>VLOOKUP(C1708,'Jaringan Listrik'!$D:$K,7,FALSE)</f>
        <v>0</v>
      </c>
      <c r="G1708" s="12">
        <f>VLOOKUP(C1708,'Jaringan Listrik'!$D:$K,8,FALSE)</f>
        <v>0</v>
      </c>
      <c r="H1708" s="374"/>
      <c r="I1708" s="16"/>
    </row>
    <row r="1709" spans="1:9" ht="24" customHeight="1">
      <c r="B1709" s="1033" t="str">
        <f>'Jaringan Listrik'!C9240</f>
        <v>5.5.2.47</v>
      </c>
      <c r="C1709" s="11" t="str">
        <f>VLOOKUP(B1709,'Jaringan Listrik'!C:K,2,FALSE)</f>
        <v xml:space="preserve">Pemasangan 1 Unit Proppeller Fan ; 370 CMF </v>
      </c>
      <c r="D1709" s="9" t="s">
        <v>135</v>
      </c>
      <c r="E1709" s="1021">
        <f>VLOOKUP(C1709,'Jaringan Listrik'!$D$5165:$I$9334,6,FALSE)</f>
        <v>503000</v>
      </c>
      <c r="F1709" s="1003">
        <f>VLOOKUP(C1709,'Jaringan Listrik'!$D:$K,7,FALSE)</f>
        <v>0</v>
      </c>
      <c r="G1709" s="12">
        <f>VLOOKUP(C1709,'Jaringan Listrik'!$D:$K,8,FALSE)</f>
        <v>0</v>
      </c>
      <c r="H1709" s="374"/>
      <c r="I1709" s="16"/>
    </row>
    <row r="1710" spans="1:9" ht="24" customHeight="1">
      <c r="B1710" s="1033" t="str">
        <f>'Jaringan Listrik'!C9257</f>
        <v>5.5.2.48</v>
      </c>
      <c r="C1710" s="11" t="str">
        <f>VLOOKUP(B1710,'Jaringan Listrik'!C:K,2,FALSE)</f>
        <v xml:space="preserve">Pemasangan 1 Unit Proppeller Fan ; 1200 CMF </v>
      </c>
      <c r="D1710" s="9" t="s">
        <v>135</v>
      </c>
      <c r="E1710" s="1021">
        <f>VLOOKUP(C1710,'Jaringan Listrik'!$D$5165:$I$9334,6,FALSE)</f>
        <v>5972100</v>
      </c>
      <c r="F1710" s="1003">
        <f>VLOOKUP(C1710,'Jaringan Listrik'!$D:$K,7,FALSE)</f>
        <v>0</v>
      </c>
      <c r="G1710" s="12">
        <f>VLOOKUP(C1710,'Jaringan Listrik'!$D:$K,8,FALSE)</f>
        <v>0</v>
      </c>
      <c r="H1710" s="374"/>
      <c r="I1710" s="16"/>
    </row>
    <row r="1711" spans="1:9" s="1" customFormat="1" ht="24" customHeight="1">
      <c r="A1711" s="47"/>
      <c r="B1711" s="1041" t="str">
        <f>'Jaringan Listrik'!C9274</f>
        <v>5.5.3</v>
      </c>
      <c r="C1711" s="20" t="str">
        <f>VLOOKUP(B1711,'Jaringan Listrik'!C:K,2,FALSE)</f>
        <v xml:space="preserve">Pemasagan Ducting </v>
      </c>
      <c r="D1711" s="19"/>
      <c r="E1711" s="1021">
        <f>VLOOKUP(C1711,'Jaringan Listrik'!$D$5165:$I$9334,6,FALSE)</f>
        <v>0</v>
      </c>
      <c r="F1711" s="1003">
        <f>VLOOKUP(C1711,'Jaringan Listrik'!$D:$K,7,FALSE)</f>
        <v>0</v>
      </c>
      <c r="G1711" s="12">
        <f>VLOOKUP(C1711,'Jaringan Listrik'!$D:$K,8,FALSE)</f>
        <v>0</v>
      </c>
      <c r="H1711" s="1092"/>
      <c r="I1711" s="21"/>
    </row>
    <row r="1712" spans="1:9" ht="24" customHeight="1">
      <c r="B1712" s="1033" t="str">
        <f>'Jaringan Listrik'!C9275</f>
        <v>5.5.3.1</v>
      </c>
      <c r="C1712" s="11" t="str">
        <f>VLOOKUP(B1712,'Jaringan Listrik'!C:K,2,FALSE)</f>
        <v>Pemasangan 1 m2 BJLS 50, 60, 70, 80, 100 ( Tanpa Isolasi )</v>
      </c>
      <c r="D1712" s="9" t="s">
        <v>62</v>
      </c>
      <c r="E1712" s="1021">
        <f>VLOOKUP(C1712,'Jaringan Listrik'!$D$5165:$I$9334,6,FALSE)</f>
        <v>573400</v>
      </c>
      <c r="F1712" s="1003">
        <f>VLOOKUP(C1712,'Jaringan Listrik'!$D:$K,7,FALSE)</f>
        <v>0</v>
      </c>
      <c r="G1712" s="12">
        <f>VLOOKUP(C1712,'Jaringan Listrik'!$D:$K,8,FALSE)</f>
        <v>0</v>
      </c>
      <c r="H1712" s="374"/>
      <c r="I1712" s="16"/>
    </row>
    <row r="1713" spans="2:9" ht="24" customHeight="1">
      <c r="B1713" s="1033" t="str">
        <f>'Jaringan Listrik'!C9296</f>
        <v>5.5.3.6</v>
      </c>
      <c r="C1713" s="11" t="str">
        <f>VLOOKUP(B1713,'Jaringan Listrik'!C:K,2,FALSE)</f>
        <v>Pemasangan 1 m2 BJLS 50, 60, 70, 80, 100 ( Isolasi Luar )</v>
      </c>
      <c r="D1713" s="9" t="s">
        <v>62</v>
      </c>
      <c r="E1713" s="1021">
        <f>VLOOKUP(C1713,'Jaringan Listrik'!$D$5165:$I$9334,6,FALSE)</f>
        <v>592200</v>
      </c>
      <c r="F1713" s="1003">
        <f>VLOOKUP(C1713,'Jaringan Listrik'!$D:$K,7,FALSE)</f>
        <v>0</v>
      </c>
      <c r="G1713" s="12">
        <f>VLOOKUP(C1713,'Jaringan Listrik'!$D:$K,8,FALSE)</f>
        <v>0</v>
      </c>
      <c r="H1713" s="374"/>
      <c r="I1713" s="16"/>
    </row>
    <row r="1714" spans="2:9" ht="24" customHeight="1">
      <c r="B1714" s="1033" t="str">
        <f>'Jaringan Listrik'!C9316</f>
        <v>5.5.3.11</v>
      </c>
      <c r="C1714" s="11" t="str">
        <f>VLOOKUP(B1714,'Jaringan Listrik'!C:K,2,FALSE)</f>
        <v>Pemasangan 1 m2 BJLS (50, 60, 70, 80, 100 ( Isolasi Luar  Dalam ))</v>
      </c>
      <c r="D1714" s="9" t="s">
        <v>62</v>
      </c>
      <c r="E1714" s="1021">
        <f>VLOOKUP(C1714,'Jaringan Listrik'!$D$5165:$I$9334,6,FALSE)</f>
        <v>602500</v>
      </c>
      <c r="F1714" s="1003">
        <f>VLOOKUP(C1714,'Jaringan Listrik'!$D:$K,7,FALSE)</f>
        <v>0</v>
      </c>
      <c r="G1714" s="12">
        <f>VLOOKUP(C1714,'Jaringan Listrik'!$D:$K,8,FALSE)</f>
        <v>0</v>
      </c>
      <c r="H1714" s="374"/>
      <c r="I1714" s="16"/>
    </row>
    <row r="1715" spans="2:9" ht="24" customHeight="1">
      <c r="B1715" s="1041" t="str">
        <f>'Perpipaan dan proteksi kebakar '!C3</f>
        <v>5.5.4</v>
      </c>
      <c r="C1715" s="33" t="str">
        <f>VLOOKUP(B1715,'Perpipaan dan proteksi kebakar '!C:K,2,FALSE)</f>
        <v xml:space="preserve">Pemasangan Perpipaan </v>
      </c>
      <c r="D1715" s="19"/>
      <c r="E1715" s="1030"/>
      <c r="F1715" s="1003" t="e">
        <f>VLOOKUP(C1715,Persiapan!$D$5:$M$679,10,FALSE)</f>
        <v>#N/A</v>
      </c>
      <c r="G1715" s="12" t="e">
        <f>VLOOKUP(C1715,'Penutup Lantai dan Dinding'!$D$3:$K$2044,8,FALSE)</f>
        <v>#N/A</v>
      </c>
      <c r="H1715" s="374"/>
      <c r="I1715" s="16"/>
    </row>
    <row r="1716" spans="2:9" ht="24" customHeight="1">
      <c r="B1716" s="1033" t="str">
        <f>'Perpipaan dan proteksi kebakar '!C4</f>
        <v>5.5.4.1</v>
      </c>
      <c r="C1716" s="12" t="str">
        <f>VLOOKUP(B1716,'Perpipaan dan proteksi kebakar '!C:K,2,FALSE)</f>
        <v>Pemasangan 1 m Pipa Tembaga B280 Dia. 6,4 mm (1/4")</v>
      </c>
      <c r="D1716" s="9" t="s">
        <v>113</v>
      </c>
      <c r="E1716" s="1021">
        <f>VLOOKUP(C1716,'Perpipaan dan proteksi kebakar '!$D$3:$I$1017,6,FALSE)</f>
        <v>99600</v>
      </c>
      <c r="F1716" s="1018">
        <f>VLOOKUP(C1716,'Perpipaan dan proteksi kebakar '!D:K,7,FALSE)</f>
        <v>0</v>
      </c>
      <c r="G1716" s="11">
        <f>VLOOKUP(C1716,'Perpipaan dan proteksi kebakar '!D:K,8,FALSE)</f>
        <v>0</v>
      </c>
      <c r="H1716" s="374"/>
      <c r="I1716" s="16"/>
    </row>
    <row r="1717" spans="2:9" ht="24" customHeight="1">
      <c r="B1717" s="1033" t="str">
        <f>'Perpipaan dan proteksi kebakar '!C23</f>
        <v>5.5.4.2</v>
      </c>
      <c r="C1717" s="12" t="str">
        <f>VLOOKUP(B1717,'Perpipaan dan proteksi kebakar '!C:K,2,FALSE)</f>
        <v>Pemasangan 1 m Pipa Tembaga B280 Dia. 9,5 mm (3/8")</v>
      </c>
      <c r="D1717" s="9" t="s">
        <v>113</v>
      </c>
      <c r="E1717" s="1021">
        <f>VLOOKUP(C1717,'Perpipaan dan proteksi kebakar '!$D$3:$I$1017,6,FALSE)</f>
        <v>239400</v>
      </c>
      <c r="F1717" s="1018">
        <f>VLOOKUP(C1717,'Perpipaan dan proteksi kebakar '!D:K,7,FALSE)</f>
        <v>0</v>
      </c>
      <c r="G1717" s="11">
        <f>VLOOKUP(C1717,'Perpipaan dan proteksi kebakar '!D:K,8,FALSE)</f>
        <v>0</v>
      </c>
      <c r="H1717" s="374"/>
      <c r="I1717" s="16"/>
    </row>
    <row r="1718" spans="2:9" ht="24" customHeight="1">
      <c r="B1718" s="1033" t="str">
        <f>'Perpipaan dan proteksi kebakar '!C42</f>
        <v>5.5.4.3</v>
      </c>
      <c r="C1718" s="12" t="str">
        <f>VLOOKUP(B1718,'Perpipaan dan proteksi kebakar '!C:K,2,FALSE)</f>
        <v>Pemasangan 1 m Pipa Tembaga B280 Dia. 12,7 mm (1/2")</v>
      </c>
      <c r="D1718" s="9" t="s">
        <v>113</v>
      </c>
      <c r="E1718" s="1021">
        <f>VLOOKUP(C1718,'Perpipaan dan proteksi kebakar '!$D$3:$I$1017,6,FALSE)</f>
        <v>141700</v>
      </c>
      <c r="F1718" s="1018">
        <f>VLOOKUP(C1718,'Perpipaan dan proteksi kebakar '!D:K,7,FALSE)</f>
        <v>0</v>
      </c>
      <c r="G1718" s="11">
        <f>VLOOKUP(C1718,'Perpipaan dan proteksi kebakar '!D:K,8,FALSE)</f>
        <v>0</v>
      </c>
      <c r="H1718" s="374"/>
      <c r="I1718" s="16"/>
    </row>
    <row r="1719" spans="2:9" ht="24" customHeight="1">
      <c r="B1719" s="1033" t="str">
        <f>'Perpipaan dan proteksi kebakar '!C61</f>
        <v>5.5.4.4</v>
      </c>
      <c r="C1719" s="12" t="str">
        <f>VLOOKUP(B1719,'Perpipaan dan proteksi kebakar '!C:K,2,FALSE)</f>
        <v>Pemasangan 1 m Pipa Tembaga B280 Dia. 15,9 mm (5/8")</v>
      </c>
      <c r="D1719" s="9" t="s">
        <v>113</v>
      </c>
      <c r="E1719" s="1021">
        <f>VLOOKUP(C1719,'Perpipaan dan proteksi kebakar '!$D$3:$I$1017,6,FALSE)</f>
        <v>278300</v>
      </c>
      <c r="F1719" s="1018">
        <f>VLOOKUP(C1719,'Perpipaan dan proteksi kebakar '!D:K,7,FALSE)</f>
        <v>0</v>
      </c>
      <c r="G1719" s="11">
        <f>VLOOKUP(C1719,'Perpipaan dan proteksi kebakar '!D:K,8,FALSE)</f>
        <v>0</v>
      </c>
      <c r="H1719" s="374"/>
      <c r="I1719" s="16"/>
    </row>
    <row r="1720" spans="2:9" ht="24" customHeight="1">
      <c r="B1720" s="1033" t="str">
        <f>'Perpipaan dan proteksi kebakar '!C81</f>
        <v>5.5.4.5</v>
      </c>
      <c r="C1720" s="12" t="str">
        <f>VLOOKUP(B1720,'Perpipaan dan proteksi kebakar '!C:K,2,FALSE)</f>
        <v>Pemasangan 1 m Pipa Tembaga B280 Dia. 19,1 mm (3/4")</v>
      </c>
      <c r="D1720" s="9" t="s">
        <v>113</v>
      </c>
      <c r="E1720" s="1021">
        <f>VLOOKUP(C1720,'Perpipaan dan proteksi kebakar '!$D$3:$I$1017,6,FALSE)</f>
        <v>342600</v>
      </c>
      <c r="F1720" s="1018">
        <f>VLOOKUP(C1720,'Perpipaan dan proteksi kebakar '!D:K,7,FALSE)</f>
        <v>0</v>
      </c>
      <c r="G1720" s="11">
        <f>VLOOKUP(C1720,'Perpipaan dan proteksi kebakar '!D:K,8,FALSE)</f>
        <v>0</v>
      </c>
      <c r="H1720" s="374"/>
      <c r="I1720" s="16"/>
    </row>
    <row r="1721" spans="2:9" ht="24" customHeight="1">
      <c r="B1721" s="1033" t="str">
        <f>'Perpipaan dan proteksi kebakar '!C100</f>
        <v>5.5.4.6</v>
      </c>
      <c r="C1721" s="12" t="str">
        <f>VLOOKUP(B1721,'Perpipaan dan proteksi kebakar '!C:K,2,FALSE)</f>
        <v>Pemasangan 1 m Pipa Tembaga B280 Dia. 22,2 mm (7/8")</v>
      </c>
      <c r="D1721" s="9" t="s">
        <v>113</v>
      </c>
      <c r="E1721" s="1021">
        <f>VLOOKUP(C1721,'Perpipaan dan proteksi kebakar '!$D$3:$I$1017,6,FALSE)</f>
        <v>915900</v>
      </c>
      <c r="F1721" s="1018">
        <f>VLOOKUP(C1721,'Perpipaan dan proteksi kebakar '!D:K,7,FALSE)</f>
        <v>0</v>
      </c>
      <c r="G1721" s="11">
        <f>VLOOKUP(C1721,'Perpipaan dan proteksi kebakar '!D:K,8,FALSE)</f>
        <v>0</v>
      </c>
      <c r="H1721" s="374"/>
      <c r="I1721" s="16"/>
    </row>
    <row r="1722" spans="2:9" ht="24" customHeight="1">
      <c r="B1722" s="1033" t="str">
        <f>'Perpipaan dan proteksi kebakar '!C119</f>
        <v>5.5.4.7</v>
      </c>
      <c r="C1722" s="12" t="str">
        <f>VLOOKUP(B1722,'Perpipaan dan proteksi kebakar '!C:K,2,FALSE)</f>
        <v>Pemasangan 1 m Pipa Tembaga B280 Dia. 25,4 mm (1")</v>
      </c>
      <c r="D1722" s="9" t="s">
        <v>113</v>
      </c>
      <c r="E1722" s="1021">
        <f>VLOOKUP(C1722,'Perpipaan dan proteksi kebakar '!$D$3:$I$1017,6,FALSE)</f>
        <v>967900</v>
      </c>
      <c r="F1722" s="1018">
        <f>VLOOKUP(C1722,'Perpipaan dan proteksi kebakar '!D:K,7,FALSE)</f>
        <v>0</v>
      </c>
      <c r="G1722" s="11">
        <f>VLOOKUP(C1722,'Perpipaan dan proteksi kebakar '!D:K,8,FALSE)</f>
        <v>0</v>
      </c>
      <c r="H1722" s="374"/>
      <c r="I1722" s="16"/>
    </row>
    <row r="1723" spans="2:9" ht="24" customHeight="1">
      <c r="B1723" s="1033" t="str">
        <f>'Perpipaan dan proteksi kebakar '!C138</f>
        <v>5.5.4.8</v>
      </c>
      <c r="C1723" s="12" t="str">
        <f>VLOOKUP(B1723,'Perpipaan dan proteksi kebakar '!C:K,2,FALSE)</f>
        <v>Pemasangan 1 m Pipa Tembaga B280 Dia. 28,6 mm (1-1/8")</v>
      </c>
      <c r="D1723" s="9" t="s">
        <v>113</v>
      </c>
      <c r="E1723" s="1021">
        <f>VLOOKUP(C1723,'Perpipaan dan proteksi kebakar '!$D$3:$I$1017,6,FALSE)</f>
        <v>986100</v>
      </c>
      <c r="F1723" s="1018">
        <f>VLOOKUP(C1723,'Perpipaan dan proteksi kebakar '!D:K,7,FALSE)</f>
        <v>0</v>
      </c>
      <c r="G1723" s="11">
        <f>VLOOKUP(C1723,'Perpipaan dan proteksi kebakar '!D:K,8,FALSE)</f>
        <v>0</v>
      </c>
      <c r="H1723" s="374"/>
      <c r="I1723" s="16"/>
    </row>
    <row r="1724" spans="2:9" ht="24" customHeight="1">
      <c r="B1724" s="1033" t="str">
        <f>'Perpipaan dan proteksi kebakar '!C158</f>
        <v>5.5.4.9</v>
      </c>
      <c r="C1724" s="12" t="str">
        <f>VLOOKUP(B1724,'Perpipaan dan proteksi kebakar '!C:K,2,FALSE)</f>
        <v>Pemasangan 1 m Pipa Tembaga B280 Dia. 34,9 mm (1-3/8")</v>
      </c>
      <c r="D1724" s="9" t="s">
        <v>113</v>
      </c>
      <c r="E1724" s="1021">
        <f>VLOOKUP(C1724,'Perpipaan dan proteksi kebakar '!$D$3:$I$1017,6,FALSE)</f>
        <v>1010600</v>
      </c>
      <c r="F1724" s="1018">
        <f>VLOOKUP(C1724,'Perpipaan dan proteksi kebakar '!D:K,7,FALSE)</f>
        <v>0</v>
      </c>
      <c r="G1724" s="11">
        <f>VLOOKUP(C1724,'Perpipaan dan proteksi kebakar '!D:K,8,FALSE)</f>
        <v>0</v>
      </c>
      <c r="H1724" s="374"/>
      <c r="I1724" s="16"/>
    </row>
    <row r="1725" spans="2:9" ht="24" customHeight="1">
      <c r="B1725" s="1033" t="str">
        <f>'Perpipaan dan proteksi kebakar '!C177</f>
        <v>5.5.4.10</v>
      </c>
      <c r="C1725" s="12" t="str">
        <f>VLOOKUP(B1725,'Perpipaan dan proteksi kebakar '!C:K,2,FALSE)</f>
        <v>Pemasangan 1 m Pipa Tembaga B280 Dia. 41,3 mm (1-5/8")</v>
      </c>
      <c r="D1725" s="9" t="s">
        <v>113</v>
      </c>
      <c r="E1725" s="1021">
        <f>VLOOKUP(C1725,'Perpipaan dan proteksi kebakar '!$D$3:$I$1017,6,FALSE)</f>
        <v>801200</v>
      </c>
      <c r="F1725" s="1018">
        <f>VLOOKUP(C1725,'Perpipaan dan proteksi kebakar '!D:K,7,FALSE)</f>
        <v>0</v>
      </c>
      <c r="G1725" s="11">
        <f>VLOOKUP(C1725,'Perpipaan dan proteksi kebakar '!D:K,8,FALSE)</f>
        <v>0</v>
      </c>
      <c r="H1725" s="374"/>
      <c r="I1725" s="16"/>
    </row>
    <row r="1726" spans="2:9" ht="24" customHeight="1">
      <c r="B1726" s="1033" t="str">
        <f>'Perpipaan dan proteksi kebakar '!C196</f>
        <v>5.5.4.11</v>
      </c>
      <c r="C1726" s="12" t="str">
        <f>VLOOKUP(B1726,'Perpipaan dan proteksi kebakar '!C:K,2,FALSE)</f>
        <v xml:space="preserve">Pemasangan 1 m' pipa PVC AW, DN. 1/2" (15 mm) + Isolasi </v>
      </c>
      <c r="D1726" s="9" t="s">
        <v>113</v>
      </c>
      <c r="E1726" s="1021">
        <f>VLOOKUP(C1726,'Perpipaan dan proteksi kebakar '!$D$3:$I$1017,6,FALSE)</f>
        <v>30600</v>
      </c>
      <c r="F1726" s="1018" t="str">
        <f>VLOOKUP(C1726,'Perpipaan dan proteksi kebakar '!D:K,7,FALSE)</f>
        <v>Revisi</v>
      </c>
      <c r="G1726" s="11" t="str">
        <f>VLOOKUP(C1726,'Perpipaan dan proteksi kebakar '!D:K,8,FALSE)</f>
        <v>Perubahan pada Diameter (Dia.) menjadi Diameter Nominal (DN)</v>
      </c>
      <c r="H1726" s="374"/>
      <c r="I1726" s="16"/>
    </row>
    <row r="1727" spans="2:9" ht="24" customHeight="1">
      <c r="B1727" s="1033" t="str">
        <f>'Perpipaan dan proteksi kebakar '!C214</f>
        <v xml:space="preserve">5.5.4.12 </v>
      </c>
      <c r="C1727" s="12" t="str">
        <f>VLOOKUP(B1727,'Perpipaan dan proteksi kebakar '!C:K,2,FALSE)</f>
        <v xml:space="preserve">Pemasangan 1 m' pipa PVC AW, DN. 3/4" (20 mm) + Isolasi </v>
      </c>
      <c r="D1727" s="9" t="s">
        <v>113</v>
      </c>
      <c r="E1727" s="1021">
        <f>VLOOKUP(C1727,'Perpipaan dan proteksi kebakar '!$D$3:$I$1017,6,FALSE)</f>
        <v>34200</v>
      </c>
      <c r="F1727" s="1018" t="str">
        <f>VLOOKUP(C1727,'Perpipaan dan proteksi kebakar '!D:K,7,FALSE)</f>
        <v xml:space="preserve">Revisi </v>
      </c>
      <c r="G1727" s="11" t="str">
        <f>VLOOKUP(C1727,'Perpipaan dan proteksi kebakar '!D:K,8,FALSE)</f>
        <v>Perubahan pada Diameter (Dia.) menjadi Diameter Nominal (DN)</v>
      </c>
      <c r="H1727" s="374"/>
      <c r="I1727" s="16"/>
    </row>
    <row r="1728" spans="2:9" ht="24" customHeight="1">
      <c r="B1728" s="1033" t="str">
        <f>'Perpipaan dan proteksi kebakar '!C232</f>
        <v>5.5.4.13</v>
      </c>
      <c r="C1728" s="12" t="str">
        <f>VLOOKUP(B1728,'Perpipaan dan proteksi kebakar '!C:K,2,FALSE)</f>
        <v xml:space="preserve">Pemasangan 1 m' pipa PVC AW, DN. 1" (25 mm) + Isolasi </v>
      </c>
      <c r="D1728" s="9" t="s">
        <v>113</v>
      </c>
      <c r="E1728" s="1021">
        <f>VLOOKUP(C1728,'Perpipaan dan proteksi kebakar '!$D$3:$I$1017,6,FALSE)</f>
        <v>54000</v>
      </c>
      <c r="F1728" s="1018" t="str">
        <f>VLOOKUP(C1728,'Perpipaan dan proteksi kebakar '!D:K,7,FALSE)</f>
        <v>Revisi</v>
      </c>
      <c r="G1728" s="11" t="str">
        <f>VLOOKUP(C1728,'Perpipaan dan proteksi kebakar '!D:K,8,FALSE)</f>
        <v>Perubahan pada Diameter (Dia.) menjadi Diameter Nominal (DN)</v>
      </c>
      <c r="H1728" s="374"/>
      <c r="I1728" s="16"/>
    </row>
    <row r="1729" spans="2:9" ht="24" customHeight="1">
      <c r="B1729" s="1033" t="str">
        <f>'Perpipaan dan proteksi kebakar '!C250</f>
        <v>5.5.4.14</v>
      </c>
      <c r="C1729" s="12" t="str">
        <f>VLOOKUP(B1729,'Perpipaan dan proteksi kebakar '!C:K,2,FALSE)</f>
        <v xml:space="preserve">Pemasangan 1 m' pipa PVC AW, DN. 1-1/4" (32 mm) + Isolasi </v>
      </c>
      <c r="D1729" s="9" t="s">
        <v>113</v>
      </c>
      <c r="E1729" s="1021">
        <f>VLOOKUP(C1729,'Perpipaan dan proteksi kebakar '!$D$3:$I$1017,6,FALSE)</f>
        <v>33500</v>
      </c>
      <c r="F1729" s="1018" t="str">
        <f>VLOOKUP(C1729,'Perpipaan dan proteksi kebakar '!D:K,7,FALSE)</f>
        <v>Revisi</v>
      </c>
      <c r="G1729" s="11" t="str">
        <f>VLOOKUP(C1729,'Perpipaan dan proteksi kebakar '!D:K,8,FALSE)</f>
        <v>Perubahan pada Diameter (Dia.) menjadi Diameter Nominal (DN)</v>
      </c>
      <c r="H1729" s="374"/>
      <c r="I1729" s="16"/>
    </row>
    <row r="1730" spans="2:9" ht="24" customHeight="1">
      <c r="B1730" s="1033" t="str">
        <f>'Perpipaan dan proteksi kebakar '!C268</f>
        <v>5.5.4.15</v>
      </c>
      <c r="C1730" s="12" t="str">
        <f>VLOOKUP(B1730,'Perpipaan dan proteksi kebakar '!C:K,2,FALSE)</f>
        <v xml:space="preserve">Pemasangan 1 m' pipa PVC AW, DN. 1-1/2" (40 mm) + Isolasi </v>
      </c>
      <c r="D1730" s="9" t="s">
        <v>113</v>
      </c>
      <c r="E1730" s="1021">
        <f>VLOOKUP(C1730,'Perpipaan dan proteksi kebakar '!$D$3:$I$1017,6,FALSE)</f>
        <v>39000</v>
      </c>
      <c r="F1730" s="1018" t="str">
        <f>VLOOKUP(C1730,'Perpipaan dan proteksi kebakar '!D:K,7,FALSE)</f>
        <v>Revisi</v>
      </c>
      <c r="G1730" s="11" t="str">
        <f>VLOOKUP(C1730,'Perpipaan dan proteksi kebakar '!D:K,8,FALSE)</f>
        <v>Perubahan pada Diameter (Dia.) menjadi Diameter Nominal (DN)</v>
      </c>
      <c r="H1730" s="374"/>
      <c r="I1730" s="16"/>
    </row>
    <row r="1731" spans="2:9" ht="24" customHeight="1">
      <c r="B1731" s="1033" t="str">
        <f>'Perpipaan dan proteksi kebakar '!C286</f>
        <v>5.5.4.16</v>
      </c>
      <c r="C1731" s="12" t="str">
        <f>VLOOKUP(B1731,'Perpipaan dan proteksi kebakar '!C:K,2,FALSE)</f>
        <v xml:space="preserve">Pemasangan 1 m' pipa PVC AW, DN. 2" (50 mm) + Isolasi </v>
      </c>
      <c r="D1731" s="9" t="s">
        <v>113</v>
      </c>
      <c r="E1731" s="1021">
        <f>VLOOKUP(C1731,'Perpipaan dan proteksi kebakar '!$D$3:$I$1017,6,FALSE)</f>
        <v>175000</v>
      </c>
      <c r="F1731" s="1018" t="str">
        <f>VLOOKUP(C1731,'Perpipaan dan proteksi kebakar '!D:K,7,FALSE)</f>
        <v>Revisi</v>
      </c>
      <c r="G1731" s="11" t="str">
        <f>VLOOKUP(C1731,'Perpipaan dan proteksi kebakar '!D:K,8,FALSE)</f>
        <v>Perubahan pada Diameter (Dia.) menjadi Diameter Nominal (DN)</v>
      </c>
      <c r="H1731" s="374"/>
      <c r="I1731" s="16"/>
    </row>
    <row r="1732" spans="2:9" ht="24" customHeight="1">
      <c r="B1732" s="1033" t="str">
        <f>'Perpipaan dan proteksi kebakar '!C304</f>
        <v>5.3.4.17</v>
      </c>
      <c r="C1732" s="12" t="str">
        <f>VLOOKUP(B1732,'Perpipaan dan proteksi kebakar '!C:K,2,FALSE)</f>
        <v xml:space="preserve">Pemasangan 1 m' pipa PVC AW, DN. 2-1/2" (65 mm) + Isolasi </v>
      </c>
      <c r="D1732" s="9" t="s">
        <v>113</v>
      </c>
      <c r="E1732" s="1021">
        <f>VLOOKUP(C1732,'Perpipaan dan proteksi kebakar '!$D$3:$I$1017,6,FALSE)</f>
        <v>64500</v>
      </c>
      <c r="F1732" s="1018" t="str">
        <f>VLOOKUP(C1732,'Perpipaan dan proteksi kebakar '!D:K,7,FALSE)</f>
        <v>Revisi</v>
      </c>
      <c r="G1732" s="11" t="str">
        <f>VLOOKUP(C1732,'Perpipaan dan proteksi kebakar '!D:K,8,FALSE)</f>
        <v>Perubahan pada Diameter (Dia.) menjadi Diameter Nominal (DN)</v>
      </c>
      <c r="H1732" s="374"/>
      <c r="I1732" s="16"/>
    </row>
    <row r="1733" spans="2:9" ht="24" customHeight="1">
      <c r="B1733" s="1033" t="str">
        <f>'Perpipaan dan proteksi kebakar '!C322</f>
        <v>5.5.4.18</v>
      </c>
      <c r="C1733" s="12" t="str">
        <f>VLOOKUP(B1733,'Perpipaan dan proteksi kebakar '!C:K,2,FALSE)</f>
        <v xml:space="preserve">Pemasangan 1 m' pipa PVC AW, DN. 3" (80 mm) + Isolasi </v>
      </c>
      <c r="D1733" s="9" t="s">
        <v>113</v>
      </c>
      <c r="E1733" s="1021">
        <f>VLOOKUP(C1733,'Perpipaan dan proteksi kebakar '!$D$3:$I$1017,6,FALSE)</f>
        <v>228200</v>
      </c>
      <c r="F1733" s="1018" t="str">
        <f>VLOOKUP(C1733,'Perpipaan dan proteksi kebakar '!D:K,7,FALSE)</f>
        <v>Revisi</v>
      </c>
      <c r="G1733" s="11" t="str">
        <f>VLOOKUP(C1733,'Perpipaan dan proteksi kebakar '!D:K,8,FALSE)</f>
        <v>Perubahan pada Diameter (Dia.) menjadi Diameter Nominal (DN)</v>
      </c>
      <c r="H1733" s="374"/>
      <c r="I1733" s="16"/>
    </row>
    <row r="1734" spans="2:9" ht="24" customHeight="1">
      <c r="B1734" s="1033" t="str">
        <f>'Perpipaan dan proteksi kebakar '!C340</f>
        <v>5.5.4.19</v>
      </c>
      <c r="C1734" s="12" t="str">
        <f>VLOOKUP(B1734,'Perpipaan dan proteksi kebakar '!C:K,2,FALSE)</f>
        <v xml:space="preserve">Pemasangan 1 m' pipa PVC AW, DN. 4" (100 mm) + Isolasi </v>
      </c>
      <c r="D1734" s="9" t="s">
        <v>113</v>
      </c>
      <c r="E1734" s="1021">
        <f>VLOOKUP(C1734,'Perpipaan dan proteksi kebakar '!$D$3:$I$1017,6,FALSE)</f>
        <v>222100</v>
      </c>
      <c r="F1734" s="1018" t="str">
        <f>VLOOKUP(C1734,'Perpipaan dan proteksi kebakar '!D:K,7,FALSE)</f>
        <v>Revisi</v>
      </c>
      <c r="G1734" s="11" t="str">
        <f>VLOOKUP(C1734,'Perpipaan dan proteksi kebakar '!D:K,8,FALSE)</f>
        <v>Perubahan pada Diameter (Dia.) menjadi Diameter Nominal (DN)</v>
      </c>
      <c r="H1734" s="374"/>
      <c r="I1734" s="16"/>
    </row>
    <row r="1735" spans="2:9" ht="24" customHeight="1">
      <c r="B1735" s="1031" t="str">
        <f>'Perpipaan dan proteksi kebakar '!C359</f>
        <v>5.6</v>
      </c>
      <c r="C1735" s="41" t="str">
        <f>VLOOKUP(B1735,'Perpipaan dan proteksi kebakar '!C:K,2,FALSE)</f>
        <v xml:space="preserve">Pekerjaan Sistem Proteksi Kebakaan </v>
      </c>
      <c r="D1735" s="983"/>
      <c r="E1735" s="1024"/>
      <c r="F1735" s="1009">
        <f>VLOOKUP(C1735,'Perpipaan dan proteksi kebakar '!D:K,7,FALSE)</f>
        <v>0</v>
      </c>
      <c r="G1735" s="31">
        <f>VLOOKUP(C1735,'Perpipaan dan proteksi kebakar '!D:K,8,FALSE)</f>
        <v>0</v>
      </c>
      <c r="H1735" s="374"/>
      <c r="I1735" s="16"/>
    </row>
    <row r="1736" spans="2:9" ht="24" customHeight="1">
      <c r="B1736" s="1032" t="str">
        <f>'Perpipaan dan proteksi kebakar '!C360</f>
        <v>5.6.1</v>
      </c>
      <c r="C1736" s="33" t="str">
        <f>VLOOKUP(B1736,'Perpipaan dan proteksi kebakar '!C:K,2,FALSE)</f>
        <v>Sistem Perpipaan &amp; aksesoris</v>
      </c>
      <c r="D1736" s="22"/>
      <c r="E1736" s="1025"/>
      <c r="F1736" s="1003">
        <f>VLOOKUP(C1736,'Perpipaan dan proteksi kebakar '!D:K,7,FALSE)</f>
        <v>0</v>
      </c>
      <c r="G1736" s="12">
        <f>VLOOKUP(C1736,'Perpipaan dan proteksi kebakar '!D:K,8,FALSE)</f>
        <v>0</v>
      </c>
      <c r="H1736" s="374"/>
      <c r="I1736" s="16"/>
    </row>
    <row r="1737" spans="2:9" ht="24" customHeight="1">
      <c r="B1737" s="1033" t="str">
        <f>'Perpipaan dan proteksi kebakar '!C361</f>
        <v>5.6.1.1</v>
      </c>
      <c r="C1737" s="12" t="str">
        <f>VLOOKUP(B1737,'Perpipaan dan proteksi kebakar '!C:K,2,FALSE)</f>
        <v>Pemasanga 1 Unit PRV Set Dia. 50 mm</v>
      </c>
      <c r="D1737" s="9" t="s">
        <v>135</v>
      </c>
      <c r="E1737" s="1021">
        <f>VLOOKUP(C1737,'Perpipaan dan proteksi kebakar '!$D$3:$I$1017,6,FALSE)</f>
        <v>7957900</v>
      </c>
      <c r="F1737" s="1003">
        <f>VLOOKUP(C1737,'Perpipaan dan proteksi kebakar '!D:K,7,FALSE)</f>
        <v>0</v>
      </c>
      <c r="G1737" s="12">
        <f>VLOOKUP(C1737,'Perpipaan dan proteksi kebakar '!D:K,8,FALSE)</f>
        <v>0</v>
      </c>
      <c r="H1737" s="374"/>
      <c r="I1737" s="16"/>
    </row>
    <row r="1738" spans="2:9" ht="24" customHeight="1">
      <c r="B1738" s="1033" t="str">
        <f>'Perpipaan dan proteksi kebakar '!C379</f>
        <v>5.6.1.2</v>
      </c>
      <c r="C1738" s="12" t="str">
        <f>VLOOKUP(B1738,'Perpipaan dan proteksi kebakar '!C:K,2,FALSE)</f>
        <v>Pemasanga 1 Unit PRV Set Dia. 65 mm</v>
      </c>
      <c r="D1738" s="9" t="s">
        <v>135</v>
      </c>
      <c r="E1738" s="1021">
        <f>VLOOKUP(C1738,'Perpipaan dan proteksi kebakar '!$D$3:$I$1017,6,FALSE)</f>
        <v>10873500</v>
      </c>
      <c r="F1738" s="1003">
        <f>VLOOKUP(C1738,'Perpipaan dan proteksi kebakar '!D:K,7,FALSE)</f>
        <v>0</v>
      </c>
      <c r="G1738" s="12">
        <f>VLOOKUP(C1738,'Perpipaan dan proteksi kebakar '!D:K,8,FALSE)</f>
        <v>0</v>
      </c>
      <c r="H1738" s="374"/>
      <c r="I1738" s="16"/>
    </row>
    <row r="1739" spans="2:9" ht="24" customHeight="1">
      <c r="B1739" s="1033" t="str">
        <f>'Perpipaan dan proteksi kebakar '!C396</f>
        <v>5.6.1.3</v>
      </c>
      <c r="C1739" s="12" t="str">
        <f>VLOOKUP(B1739,'Perpipaan dan proteksi kebakar '!C:K,2,FALSE)</f>
        <v>Pemasanga 1 Unit PRV Set Dia. 80 mm</v>
      </c>
      <c r="D1739" s="9" t="s">
        <v>135</v>
      </c>
      <c r="E1739" s="1021">
        <f>VLOOKUP(C1739,'Perpipaan dan proteksi kebakar '!$D$3:$I$1017,6,FALSE)</f>
        <v>12477800</v>
      </c>
      <c r="F1739" s="1003">
        <f>VLOOKUP(C1739,'Perpipaan dan proteksi kebakar '!D:K,7,FALSE)</f>
        <v>0</v>
      </c>
      <c r="G1739" s="12">
        <f>VLOOKUP(C1739,'Perpipaan dan proteksi kebakar '!D:K,8,FALSE)</f>
        <v>0</v>
      </c>
      <c r="H1739" s="374"/>
      <c r="I1739" s="16"/>
    </row>
    <row r="1740" spans="2:9" ht="24" customHeight="1">
      <c r="B1740" s="1033" t="str">
        <f>'Perpipaan dan proteksi kebakar '!C413</f>
        <v>5.6.1.4</v>
      </c>
      <c r="C1740" s="12" t="str">
        <f>VLOOKUP(B1740,'Perpipaan dan proteksi kebakar '!C:K,2,FALSE)</f>
        <v>Pemasanga 1 Unit PRV Set Dia. 100 mm</v>
      </c>
      <c r="D1740" s="9" t="s">
        <v>135</v>
      </c>
      <c r="E1740" s="1021">
        <f>VLOOKUP(C1740,'Perpipaan dan proteksi kebakar '!$D$3:$I$1017,6,FALSE)</f>
        <v>20777500</v>
      </c>
      <c r="F1740" s="1003">
        <f>VLOOKUP(C1740,'Perpipaan dan proteksi kebakar '!D:K,7,FALSE)</f>
        <v>0</v>
      </c>
      <c r="G1740" s="12">
        <f>VLOOKUP(C1740,'Perpipaan dan proteksi kebakar '!D:K,8,FALSE)</f>
        <v>0</v>
      </c>
      <c r="H1740" s="374"/>
      <c r="I1740" s="16"/>
    </row>
    <row r="1741" spans="2:9" ht="24" customHeight="1">
      <c r="B1741" s="1033" t="str">
        <f>'Perpipaan dan proteksi kebakar '!C430</f>
        <v>5.6.1.5</v>
      </c>
      <c r="C1741" s="12" t="str">
        <f>VLOOKUP(B1741,'Perpipaan dan proteksi kebakar '!C:K,2,FALSE)</f>
        <v>Pemasangan 1 Unit PRV SET dia. 150 mm</v>
      </c>
      <c r="D1741" s="9" t="s">
        <v>135</v>
      </c>
      <c r="E1741" s="1021">
        <f>VLOOKUP(C1741,'Perpipaan dan proteksi kebakar '!$D$3:$I$1017,6,FALSE)</f>
        <v>21337400</v>
      </c>
      <c r="F1741" s="1003">
        <f>VLOOKUP(C1741,'Perpipaan dan proteksi kebakar '!D:K,7,FALSE)</f>
        <v>0</v>
      </c>
      <c r="G1741" s="12">
        <f>VLOOKUP(C1741,'Perpipaan dan proteksi kebakar '!D:K,8,FALSE)</f>
        <v>0</v>
      </c>
      <c r="H1741" s="374"/>
      <c r="I1741" s="16"/>
    </row>
    <row r="1742" spans="2:9" ht="24" customHeight="1">
      <c r="B1742" s="1033" t="str">
        <f>'Perpipaan dan proteksi kebakar '!C448</f>
        <v>5.6.1.6</v>
      </c>
      <c r="C1742" s="12" t="str">
        <f>VLOOKUP(B1742,'Perpipaan dan proteksi kebakar '!C:K,2,FALSE)</f>
        <v>Pemasangan 1 Unit PRV SET dia. 200 mm</v>
      </c>
      <c r="D1742" s="9" t="s">
        <v>135</v>
      </c>
      <c r="E1742" s="1021">
        <f>VLOOKUP(C1742,'Perpipaan dan proteksi kebakar '!$D$3:$I$1017,6,FALSE)</f>
        <v>22967100</v>
      </c>
      <c r="F1742" s="1003">
        <f>VLOOKUP(C1742,'Perpipaan dan proteksi kebakar '!D:K,7,FALSE)</f>
        <v>0</v>
      </c>
      <c r="G1742" s="12">
        <f>VLOOKUP(C1742,'Perpipaan dan proteksi kebakar '!D:K,8,FALSE)</f>
        <v>0</v>
      </c>
      <c r="H1742" s="374"/>
      <c r="I1742" s="16"/>
    </row>
    <row r="1743" spans="2:9" ht="24" customHeight="1">
      <c r="B1743" s="1033" t="str">
        <f>'Perpipaan dan proteksi kebakar '!C466</f>
        <v>5.6.1.7</v>
      </c>
      <c r="C1743" s="12" t="str">
        <f>VLOOKUP(B1743,'Perpipaan dan proteksi kebakar '!C:K,2,FALSE)</f>
        <v>Pemasangan 1 Unit MCV Set dia. 80 mm</v>
      </c>
      <c r="D1743" s="9" t="s">
        <v>135</v>
      </c>
      <c r="E1743" s="1021">
        <f>VLOOKUP(C1743,'Perpipaan dan proteksi kebakar '!$D$3:$I$1017,6,FALSE)</f>
        <v>29495500</v>
      </c>
      <c r="F1743" s="1003">
        <f>VLOOKUP(C1743,'Perpipaan dan proteksi kebakar '!D:K,7,FALSE)</f>
        <v>0</v>
      </c>
      <c r="G1743" s="12">
        <f>VLOOKUP(C1743,'Perpipaan dan proteksi kebakar '!D:K,8,FALSE)</f>
        <v>0</v>
      </c>
      <c r="H1743" s="374"/>
      <c r="I1743" s="16"/>
    </row>
    <row r="1744" spans="2:9" ht="24" customHeight="1">
      <c r="B1744" s="1033" t="str">
        <f>'Perpipaan dan proteksi kebakar '!C483</f>
        <v>5.6.1.8</v>
      </c>
      <c r="C1744" s="12" t="str">
        <f>VLOOKUP(B1744,'Perpipaan dan proteksi kebakar '!C:K,2,FALSE)</f>
        <v>Pemasangan 1 Unit MCV Set dia. 100 mm</v>
      </c>
      <c r="D1744" s="9" t="s">
        <v>135</v>
      </c>
      <c r="E1744" s="1021">
        <f>VLOOKUP(C1744,'Perpipaan dan proteksi kebakar '!$D$3:$I$1017,6,FALSE)</f>
        <v>30126900</v>
      </c>
      <c r="F1744" s="1003">
        <f>VLOOKUP(C1744,'Perpipaan dan proteksi kebakar '!D:K,7,FALSE)</f>
        <v>0</v>
      </c>
      <c r="G1744" s="12">
        <f>VLOOKUP(C1744,'Perpipaan dan proteksi kebakar '!D:K,8,FALSE)</f>
        <v>0</v>
      </c>
      <c r="H1744" s="374"/>
      <c r="I1744" s="16"/>
    </row>
    <row r="1745" spans="2:9" ht="24" customHeight="1">
      <c r="B1745" s="1033" t="str">
        <f>'Perpipaan dan proteksi kebakar '!C500</f>
        <v>5.6.1.9</v>
      </c>
      <c r="C1745" s="12" t="str">
        <f>VLOOKUP(B1745,'Perpipaan dan proteksi kebakar '!C:K,2,FALSE)</f>
        <v>Pemasangan 1 Unit MCV Set dia. 150 mm</v>
      </c>
      <c r="D1745" s="9" t="s">
        <v>135</v>
      </c>
      <c r="E1745" s="1021">
        <f>VLOOKUP(C1745,'Perpipaan dan proteksi kebakar '!$D$3:$I$1017,6,FALSE)</f>
        <v>43691400</v>
      </c>
      <c r="F1745" s="1003">
        <f>VLOOKUP(C1745,'Perpipaan dan proteksi kebakar '!D:K,7,FALSE)</f>
        <v>0</v>
      </c>
      <c r="G1745" s="12">
        <f>VLOOKUP(C1745,'Perpipaan dan proteksi kebakar '!D:K,8,FALSE)</f>
        <v>0</v>
      </c>
      <c r="H1745" s="374"/>
      <c r="I1745" s="16"/>
    </row>
    <row r="1746" spans="2:9" ht="24" customHeight="1">
      <c r="B1746" s="1033" t="str">
        <f>'Perpipaan dan proteksi kebakar '!C517</f>
        <v>5.6.1.10</v>
      </c>
      <c r="C1746" s="12" t="str">
        <f>VLOOKUP(B1746,'Perpipaan dan proteksi kebakar '!C:K,2,FALSE)</f>
        <v>Pemasangan 1 Unit BCV Set dia. 50 mm</v>
      </c>
      <c r="D1746" s="9" t="s">
        <v>135</v>
      </c>
      <c r="E1746" s="1021">
        <f>VLOOKUP(C1746,'Perpipaan dan proteksi kebakar '!$D$3:$I$1017,6,FALSE)</f>
        <v>4725100</v>
      </c>
      <c r="F1746" s="1003">
        <f>VLOOKUP(C1746,'Perpipaan dan proteksi kebakar '!D:K,7,FALSE)</f>
        <v>0</v>
      </c>
      <c r="G1746" s="12">
        <f>VLOOKUP(C1746,'Perpipaan dan proteksi kebakar '!D:K,8,FALSE)</f>
        <v>0</v>
      </c>
      <c r="H1746" s="374"/>
      <c r="I1746" s="16"/>
    </row>
    <row r="1747" spans="2:9" ht="24" customHeight="1">
      <c r="B1747" s="1033" t="str">
        <f>'Perpipaan dan proteksi kebakar '!C540</f>
        <v>5.6.1.11</v>
      </c>
      <c r="C1747" s="12" t="str">
        <f>VLOOKUP(B1747,'Perpipaan dan proteksi kebakar '!C:K,2,FALSE)</f>
        <v>Pemasangan 1 Unit BCV Set dia. 65 mm</v>
      </c>
      <c r="D1747" s="9" t="s">
        <v>135</v>
      </c>
      <c r="E1747" s="1021">
        <f>VLOOKUP(C1747,'Perpipaan dan proteksi kebakar '!$D$3:$I$1017,6,FALSE)</f>
        <v>4971500</v>
      </c>
      <c r="F1747" s="1003">
        <f>VLOOKUP(C1747,'Perpipaan dan proteksi kebakar '!D:K,7,FALSE)</f>
        <v>0</v>
      </c>
      <c r="G1747" s="12">
        <f>VLOOKUP(C1747,'Perpipaan dan proteksi kebakar '!D:K,8,FALSE)</f>
        <v>0</v>
      </c>
      <c r="H1747" s="374"/>
      <c r="I1747" s="16"/>
    </row>
    <row r="1748" spans="2:9" ht="24" customHeight="1">
      <c r="B1748" s="1033" t="str">
        <f>'Perpipaan dan proteksi kebakar '!C564</f>
        <v>5.6.1.12</v>
      </c>
      <c r="C1748" s="12" t="str">
        <f>VLOOKUP(B1748,'Perpipaan dan proteksi kebakar '!C:K,2,FALSE)</f>
        <v>Pemasangan 1 Unit BCV Set dia. 80 mm</v>
      </c>
      <c r="D1748" s="9" t="s">
        <v>135</v>
      </c>
      <c r="E1748" s="1021">
        <f>VLOOKUP(C1748,'Perpipaan dan proteksi kebakar '!$D$3:$I$1017,6,FALSE)</f>
        <v>5215000</v>
      </c>
      <c r="F1748" s="1003">
        <f>VLOOKUP(C1748,'Perpipaan dan proteksi kebakar '!D:K,7,FALSE)</f>
        <v>0</v>
      </c>
      <c r="G1748" s="12">
        <f>VLOOKUP(C1748,'Perpipaan dan proteksi kebakar '!D:K,8,FALSE)</f>
        <v>0</v>
      </c>
      <c r="H1748" s="374"/>
      <c r="I1748" s="16"/>
    </row>
    <row r="1749" spans="2:9" ht="24" customHeight="1">
      <c r="B1749" s="1033" t="str">
        <f>'Perpipaan dan proteksi kebakar '!C586</f>
        <v>5.6.1.13</v>
      </c>
      <c r="C1749" s="12" t="str">
        <f>VLOOKUP(B1749,'Perpipaan dan proteksi kebakar '!C:K,2,FALSE)</f>
        <v>Pemasangan 1 Unit BCV Set dia. 100 mm</v>
      </c>
      <c r="D1749" s="9" t="s">
        <v>135</v>
      </c>
      <c r="E1749" s="1021">
        <f>VLOOKUP(C1749,'Perpipaan dan proteksi kebakar '!$D$3:$I$1017,6,FALSE)</f>
        <v>5596600</v>
      </c>
      <c r="F1749" s="1003">
        <f>VLOOKUP(C1749,'Perpipaan dan proteksi kebakar '!D:K,7,FALSE)</f>
        <v>0</v>
      </c>
      <c r="G1749" s="12">
        <f>VLOOKUP(C1749,'Perpipaan dan proteksi kebakar '!D:K,8,FALSE)</f>
        <v>0</v>
      </c>
      <c r="H1749" s="374"/>
      <c r="I1749" s="16"/>
    </row>
    <row r="1750" spans="2:9" ht="24" customHeight="1">
      <c r="B1750" s="1033" t="str">
        <f>'Perpipaan dan proteksi kebakar '!C609</f>
        <v>5.6.1.14</v>
      </c>
      <c r="C1750" s="12" t="str">
        <f>VLOOKUP(B1750,'Perpipaan dan proteksi kebakar '!C:K,2,FALSE)</f>
        <v>Pemasangan 1 Unit BCV Set dia. 150 mm</v>
      </c>
      <c r="D1750" s="9" t="s">
        <v>135</v>
      </c>
      <c r="E1750" s="1021">
        <f>VLOOKUP(C1750,'Perpipaan dan proteksi kebakar '!$D$3:$I$1017,6,FALSE)</f>
        <v>5915400</v>
      </c>
      <c r="F1750" s="1003">
        <f>VLOOKUP(C1750,'Perpipaan dan proteksi kebakar '!D:K,7,FALSE)</f>
        <v>0</v>
      </c>
      <c r="G1750" s="12">
        <f>VLOOKUP(C1750,'Perpipaan dan proteksi kebakar '!D:K,8,FALSE)</f>
        <v>0</v>
      </c>
      <c r="H1750" s="374"/>
      <c r="I1750" s="16"/>
    </row>
    <row r="1751" spans="2:9" ht="24" customHeight="1">
      <c r="B1751" s="1033" t="str">
        <f>'Perpipaan dan proteksi kebakar '!C632</f>
        <v>5.6.1.15</v>
      </c>
      <c r="C1751" s="12" t="str">
        <f>VLOOKUP(B1751,'Perpipaan dan proteksi kebakar '!C:K,2,FALSE)</f>
        <v>Pemasangan 1 Unit Automatic Air Vent dia. 50mm</v>
      </c>
      <c r="D1751" s="9" t="s">
        <v>135</v>
      </c>
      <c r="E1751" s="1021">
        <f>VLOOKUP(C1751,'Perpipaan dan proteksi kebakar '!$D$3:$I$1017,6,FALSE)</f>
        <v>840000</v>
      </c>
      <c r="F1751" s="1003">
        <f>VLOOKUP(C1751,'Perpipaan dan proteksi kebakar '!D:K,7,FALSE)</f>
        <v>0</v>
      </c>
      <c r="G1751" s="12">
        <f>VLOOKUP(C1751,'Perpipaan dan proteksi kebakar '!D:K,8,FALSE)</f>
        <v>0</v>
      </c>
      <c r="H1751" s="374"/>
      <c r="I1751" s="16"/>
    </row>
    <row r="1752" spans="2:9" ht="24" customHeight="1">
      <c r="B1752" s="1033" t="str">
        <f>'Perpipaan dan proteksi kebakar '!C650</f>
        <v>5.6.1.16</v>
      </c>
      <c r="C1752" s="12" t="str">
        <f>VLOOKUP(B1752,'Perpipaan dan proteksi kebakar '!C:K,2,FALSE)</f>
        <v>Pemasangan 1 Unit Automatic Air Vent dia. 80mm</v>
      </c>
      <c r="D1752" s="9" t="s">
        <v>135</v>
      </c>
      <c r="E1752" s="1021">
        <f>VLOOKUP(C1752,'Perpipaan dan proteksi kebakar '!$D$3:$I$1017,6,FALSE)</f>
        <v>1042000</v>
      </c>
      <c r="F1752" s="1003">
        <f>VLOOKUP(C1752,'Perpipaan dan proteksi kebakar '!D:K,7,FALSE)</f>
        <v>0</v>
      </c>
      <c r="G1752" s="12">
        <f>VLOOKUP(C1752,'Perpipaan dan proteksi kebakar '!D:K,8,FALSE)</f>
        <v>0</v>
      </c>
      <c r="H1752" s="374"/>
      <c r="I1752" s="16"/>
    </row>
    <row r="1753" spans="2:9" ht="24" customHeight="1">
      <c r="B1753" s="1033" t="str">
        <f>'Perpipaan dan proteksi kebakar '!C668</f>
        <v>5.6.1.17</v>
      </c>
      <c r="C1753" s="12" t="str">
        <f>VLOOKUP(B1753,'Perpipaan dan proteksi kebakar '!C:K,2,FALSE)</f>
        <v>Pemasangan 1 Unit Automatic Air Vent dia. 100mm</v>
      </c>
      <c r="D1753" s="9" t="s">
        <v>135</v>
      </c>
      <c r="E1753" s="1021">
        <f>VLOOKUP(C1753,'Perpipaan dan proteksi kebakar '!$D$3:$I$1017,6,FALSE)</f>
        <v>1650800</v>
      </c>
      <c r="F1753" s="1003">
        <f>VLOOKUP(C1753,'Perpipaan dan proteksi kebakar '!D:K,7,FALSE)</f>
        <v>0</v>
      </c>
      <c r="G1753" s="12">
        <f>VLOOKUP(C1753,'Perpipaan dan proteksi kebakar '!D:K,8,FALSE)</f>
        <v>0</v>
      </c>
      <c r="H1753" s="374"/>
      <c r="I1753" s="16"/>
    </row>
    <row r="1754" spans="2:9" ht="24" customHeight="1">
      <c r="B1754" s="1033" t="str">
        <f>'Perpipaan dan proteksi kebakar '!C686</f>
        <v>5.6.1.18</v>
      </c>
      <c r="C1754" s="12" t="str">
        <f>VLOOKUP(B1754,'Perpipaan dan proteksi kebakar '!C:K,2,FALSE)</f>
        <v>Pemasangan 1 Unit Automatic Air Vent dia. 150mm</v>
      </c>
      <c r="D1754" s="9" t="s">
        <v>135</v>
      </c>
      <c r="E1754" s="1021">
        <f>VLOOKUP(C1754,'Perpipaan dan proteksi kebakar '!$D$3:$I$1017,6,FALSE)</f>
        <v>2016200</v>
      </c>
      <c r="F1754" s="1003">
        <f>VLOOKUP(C1754,'Perpipaan dan proteksi kebakar '!D:K,7,FALSE)</f>
        <v>0</v>
      </c>
      <c r="G1754" s="12">
        <f>VLOOKUP(C1754,'Perpipaan dan proteksi kebakar '!D:K,8,FALSE)</f>
        <v>0</v>
      </c>
      <c r="H1754" s="374"/>
      <c r="I1754" s="16"/>
    </row>
    <row r="1755" spans="2:9" ht="24" customHeight="1">
      <c r="B1755" s="1033" t="str">
        <f>'Perpipaan dan proteksi kebakar '!C704</f>
        <v>5.6.1.19</v>
      </c>
      <c r="C1755" s="12" t="str">
        <f>VLOOKUP(B1755,'Perpipaan dan proteksi kebakar '!C:K,2,FALSE)</f>
        <v>Pemasangan 1 Unit Flow Meter Analog dia.100 mm</v>
      </c>
      <c r="D1755" s="9" t="s">
        <v>135</v>
      </c>
      <c r="E1755" s="1021">
        <f>VLOOKUP(C1755,'Perpipaan dan proteksi kebakar '!$D$3:$I$1017,6,FALSE)</f>
        <v>1858000</v>
      </c>
      <c r="F1755" s="1003">
        <f>VLOOKUP(C1755,'Perpipaan dan proteksi kebakar '!D:K,7,FALSE)</f>
        <v>0</v>
      </c>
      <c r="G1755" s="12">
        <f>VLOOKUP(C1755,'Perpipaan dan proteksi kebakar '!D:K,8,FALSE)</f>
        <v>0</v>
      </c>
      <c r="H1755" s="374"/>
      <c r="I1755" s="16"/>
    </row>
    <row r="1756" spans="2:9" ht="24" customHeight="1">
      <c r="B1756" s="1033" t="str">
        <f>'Perpipaan dan proteksi kebakar '!C722</f>
        <v>5.6.1.20</v>
      </c>
      <c r="C1756" s="12" t="str">
        <f>VLOOKUP(B1756,'Perpipaan dan proteksi kebakar '!C:K,2,FALSE)</f>
        <v>Pemasangan 1 Unit Flow Meter Analog dia.200 mm</v>
      </c>
      <c r="D1756" s="9" t="s">
        <v>135</v>
      </c>
      <c r="E1756" s="1021">
        <f>VLOOKUP(C1756,'Perpipaan dan proteksi kebakar '!$D$3:$I$1017,6,FALSE)</f>
        <v>2116000</v>
      </c>
      <c r="F1756" s="1003">
        <f>VLOOKUP(C1756,'Perpipaan dan proteksi kebakar '!D:K,7,FALSE)</f>
        <v>0</v>
      </c>
      <c r="G1756" s="12">
        <f>VLOOKUP(C1756,'Perpipaan dan proteksi kebakar '!D:K,8,FALSE)</f>
        <v>0</v>
      </c>
      <c r="H1756" s="374"/>
      <c r="I1756" s="16"/>
    </row>
    <row r="1757" spans="2:9" ht="24" customHeight="1">
      <c r="B1757" s="1033" t="str">
        <f>'Perpipaan dan proteksi kebakar '!C739</f>
        <v>5.6.1.21</v>
      </c>
      <c r="C1757" s="12" t="str">
        <f>VLOOKUP(B1757,'Perpipaan dan proteksi kebakar '!C:K,2,FALSE)</f>
        <v>Pemasangan 1 Unit Landing Velve 2,5"</v>
      </c>
      <c r="D1757" s="9" t="s">
        <v>135</v>
      </c>
      <c r="E1757" s="1021">
        <f>VLOOKUP(C1757,'Perpipaan dan proteksi kebakar '!$D$3:$I$1017,6,FALSE)</f>
        <v>1675500</v>
      </c>
      <c r="F1757" s="1003">
        <f>VLOOKUP(C1757,'Perpipaan dan proteksi kebakar '!D:K,7,FALSE)</f>
        <v>0</v>
      </c>
      <c r="G1757" s="12">
        <f>VLOOKUP(C1757,'Perpipaan dan proteksi kebakar '!D:K,8,FALSE)</f>
        <v>0</v>
      </c>
      <c r="H1757" s="374"/>
      <c r="I1757" s="16"/>
    </row>
    <row r="1758" spans="2:9" ht="24" customHeight="1">
      <c r="B1758" s="1033" t="str">
        <f>'Perpipaan dan proteksi kebakar '!C757</f>
        <v>5.6.1.22</v>
      </c>
      <c r="C1758" s="12" t="str">
        <f>VLOOKUP(B1758,'Perpipaan dan proteksi kebakar '!C:K,2,FALSE)</f>
        <v>Pemasangan 1 Unit Orifice Plate dia. 25 mm</v>
      </c>
      <c r="D1758" s="9" t="s">
        <v>135</v>
      </c>
      <c r="E1758" s="1021">
        <f>VLOOKUP(C1758,'Perpipaan dan proteksi kebakar '!$D$3:$I$1017,6,FALSE)</f>
        <v>1840400</v>
      </c>
      <c r="F1758" s="1003">
        <f>VLOOKUP(C1758,'Perpipaan dan proteksi kebakar '!D:K,7,FALSE)</f>
        <v>0</v>
      </c>
      <c r="G1758" s="12">
        <f>VLOOKUP(C1758,'Perpipaan dan proteksi kebakar '!D:K,8,FALSE)</f>
        <v>0</v>
      </c>
      <c r="H1758" s="374"/>
      <c r="I1758" s="16"/>
    </row>
    <row r="1759" spans="2:9" ht="24" customHeight="1">
      <c r="B1759" s="1032" t="str">
        <f>'Perpipaan dan proteksi kebakar '!C774</f>
        <v>5.6.2</v>
      </c>
      <c r="C1759" s="33" t="str">
        <f>VLOOKUP(B1759,'Perpipaan dan proteksi kebakar '!C:K,2,FALSE)</f>
        <v xml:space="preserve">Hidran &amp; Springkler </v>
      </c>
      <c r="D1759" s="22"/>
      <c r="E1759" s="1025"/>
      <c r="F1759" s="1003">
        <f>VLOOKUP(C1759,'Perpipaan dan proteksi kebakar '!D:K,7,FALSE)</f>
        <v>0</v>
      </c>
      <c r="G1759" s="12">
        <f>VLOOKUP(C1759,'Perpipaan dan proteksi kebakar '!D:K,8,FALSE)</f>
        <v>0</v>
      </c>
      <c r="H1759" s="374"/>
      <c r="I1759" s="16"/>
    </row>
    <row r="1760" spans="2:9" ht="24" customHeight="1">
      <c r="B1760" s="1033" t="str">
        <f>'Perpipaan dan proteksi kebakar '!C775</f>
        <v>5.6.2.1</v>
      </c>
      <c r="C1760" s="12" t="str">
        <f>VLOOKUP(B1760,'Perpipaan dan proteksi kebakar '!C:K,2,FALSE)</f>
        <v xml:space="preserve">Pemasangan 1 unit Sprinkler Head Pendant </v>
      </c>
      <c r="D1760" s="9" t="s">
        <v>135</v>
      </c>
      <c r="E1760" s="1021">
        <f>VLOOKUP(C1760,'Perpipaan dan proteksi kebakar '!$D$3:$I$1017,6,FALSE)</f>
        <v>123500</v>
      </c>
      <c r="F1760" s="1003">
        <f>VLOOKUP(C1760,'Perpipaan dan proteksi kebakar '!D:K,7,FALSE)</f>
        <v>0</v>
      </c>
      <c r="G1760" s="12">
        <f>VLOOKUP(C1760,'Perpipaan dan proteksi kebakar '!D:K,8,FALSE)</f>
        <v>0</v>
      </c>
      <c r="H1760" s="374"/>
      <c r="I1760" s="16"/>
    </row>
    <row r="1761" spans="2:9" ht="24" customHeight="1">
      <c r="B1761" s="1033" t="str">
        <f>'Perpipaan dan proteksi kebakar '!C793</f>
        <v>5.6.2.2</v>
      </c>
      <c r="C1761" s="12" t="str">
        <f>VLOOKUP(B1761,'Perpipaan dan proteksi kebakar '!C:K,2,FALSE)</f>
        <v>Pemasangan 1 unit Sprinkler Head Upright</v>
      </c>
      <c r="D1761" s="9" t="s">
        <v>135</v>
      </c>
      <c r="E1761" s="1021">
        <f>VLOOKUP(C1761,'Perpipaan dan proteksi kebakar '!$D$3:$I$1017,6,FALSE)</f>
        <v>120900</v>
      </c>
      <c r="F1761" s="1003">
        <f>VLOOKUP(C1761,'Perpipaan dan proteksi kebakar '!D:K,7,FALSE)</f>
        <v>0</v>
      </c>
      <c r="G1761" s="12">
        <f>VLOOKUP(C1761,'Perpipaan dan proteksi kebakar '!D:K,8,FALSE)</f>
        <v>0</v>
      </c>
      <c r="H1761" s="374"/>
      <c r="I1761" s="16"/>
    </row>
    <row r="1762" spans="2:9" ht="24" customHeight="1">
      <c r="B1762" s="1033" t="str">
        <f>'Perpipaan dan proteksi kebakar '!C810</f>
        <v>5.6.2.3</v>
      </c>
      <c r="C1762" s="12" t="str">
        <f>VLOOKUP(B1762,'Perpipaan dan proteksi kebakar '!C:K,2,FALSE)</f>
        <v>Pemasangan 1 unit Hydrant Pillar</v>
      </c>
      <c r="D1762" s="9" t="s">
        <v>135</v>
      </c>
      <c r="E1762" s="1021">
        <f>VLOOKUP(C1762,'Perpipaan dan proteksi kebakar '!$D$3:$I$1017,6,FALSE)</f>
        <v>5039200</v>
      </c>
      <c r="F1762" s="1003">
        <f>VLOOKUP(C1762,'Perpipaan dan proteksi kebakar '!D:K,7,FALSE)</f>
        <v>0</v>
      </c>
      <c r="G1762" s="12">
        <f>VLOOKUP(C1762,'Perpipaan dan proteksi kebakar '!D:K,8,FALSE)</f>
        <v>0</v>
      </c>
      <c r="H1762" s="374"/>
      <c r="I1762" s="16"/>
    </row>
    <row r="1763" spans="2:9" ht="24" customHeight="1">
      <c r="B1763" s="1033" t="str">
        <f>'Perpipaan dan proteksi kebakar '!C828</f>
        <v>5.6.2.4</v>
      </c>
      <c r="C1763" s="12" t="str">
        <f>VLOOKUP(B1763,'Perpipaan dan proteksi kebakar '!C:K,2,FALSE)</f>
        <v>Pemasangan 1 unit Indoor Hydrant Box (IHB)</v>
      </c>
      <c r="D1763" s="9" t="s">
        <v>135</v>
      </c>
      <c r="E1763" s="1021">
        <f>VLOOKUP(C1763,'Perpipaan dan proteksi kebakar '!$D$3:$I$1017,6,FALSE)</f>
        <v>1953700</v>
      </c>
      <c r="F1763" s="1003">
        <f>VLOOKUP(C1763,'Perpipaan dan proteksi kebakar '!D:K,7,FALSE)</f>
        <v>0</v>
      </c>
      <c r="G1763" s="12">
        <f>VLOOKUP(C1763,'Perpipaan dan proteksi kebakar '!D:K,8,FALSE)</f>
        <v>0</v>
      </c>
      <c r="H1763" s="374"/>
      <c r="I1763" s="16"/>
    </row>
    <row r="1764" spans="2:9" ht="24" customHeight="1">
      <c r="B1764" s="1033" t="str">
        <f>'Perpipaan dan proteksi kebakar '!C845</f>
        <v>5.6.2.5</v>
      </c>
      <c r="C1764" s="12" t="str">
        <f>VLOOKUP(B1764,'Perpipaan dan proteksi kebakar '!C:K,2,FALSE)</f>
        <v>Pemasangan 1 unit outdoor Hydrant Box (OHB)</v>
      </c>
      <c r="D1764" s="9" t="s">
        <v>135</v>
      </c>
      <c r="E1764" s="1021">
        <f>VLOOKUP(C1764,'Perpipaan dan proteksi kebakar '!$D$3:$I$1017,6,FALSE)</f>
        <v>2758200</v>
      </c>
      <c r="F1764" s="1003">
        <f>VLOOKUP(C1764,'Perpipaan dan proteksi kebakar '!D:K,7,FALSE)</f>
        <v>0</v>
      </c>
      <c r="G1764" s="12">
        <f>VLOOKUP(C1764,'Perpipaan dan proteksi kebakar '!D:K,8,FALSE)</f>
        <v>0</v>
      </c>
      <c r="H1764" s="374"/>
      <c r="I1764" s="16"/>
    </row>
    <row r="1765" spans="2:9" ht="24" customHeight="1">
      <c r="B1765" s="1033" t="str">
        <f>'Perpipaan dan proteksi kebakar '!C863</f>
        <v>5.6.2.6</v>
      </c>
      <c r="C1765" s="12" t="str">
        <f>VLOOKUP(B1765,'Perpipaan dan proteksi kebakar '!C:K,2,FALSE)</f>
        <v xml:space="preserve">Pemasangan 1 unit Siamesse Connection </v>
      </c>
      <c r="D1765" s="9" t="s">
        <v>135</v>
      </c>
      <c r="E1765" s="1021">
        <f>VLOOKUP(C1765,'Perpipaan dan proteksi kebakar '!$D$3:$I$1017,6,FALSE)</f>
        <v>2963000</v>
      </c>
      <c r="F1765" s="1003">
        <f>VLOOKUP(C1765,'Perpipaan dan proteksi kebakar '!D:K,7,FALSE)</f>
        <v>0</v>
      </c>
      <c r="G1765" s="12">
        <f>VLOOKUP(C1765,'Perpipaan dan proteksi kebakar '!D:K,8,FALSE)</f>
        <v>0</v>
      </c>
      <c r="H1765" s="374"/>
      <c r="I1765" s="16"/>
    </row>
    <row r="1766" spans="2:9" ht="24" customHeight="1">
      <c r="B1766" s="1032" t="str">
        <f>'Perpipaan dan proteksi kebakar '!C880</f>
        <v xml:space="preserve">5.6.3 </v>
      </c>
      <c r="C1766" s="33" t="str">
        <f>VLOOKUP(B1766,'Perpipaan dan proteksi kebakar '!C:K,2,FALSE)</f>
        <v xml:space="preserve">APAR </v>
      </c>
      <c r="D1766" s="22"/>
      <c r="E1766" s="1025"/>
      <c r="F1766" s="1003">
        <f>VLOOKUP(C1766,'Perpipaan dan proteksi kebakar '!D:K,7,FALSE)</f>
        <v>0</v>
      </c>
      <c r="G1766" s="12">
        <f>VLOOKUP(C1766,'Perpipaan dan proteksi kebakar '!D:K,8,FALSE)</f>
        <v>0</v>
      </c>
      <c r="H1766" s="374"/>
      <c r="I1766" s="16"/>
    </row>
    <row r="1767" spans="2:9" ht="24" customHeight="1">
      <c r="B1767" s="1033" t="str">
        <f>'Perpipaan dan proteksi kebakar '!C881</f>
        <v>5.6.3.1</v>
      </c>
      <c r="C1767" s="12" t="str">
        <f>VLOOKUP(B1767,'Perpipaan dan proteksi kebakar '!C:K,2,FALSE)</f>
        <v xml:space="preserve">Pemasangan 1 unit Fire Extinguisher 3 kg </v>
      </c>
      <c r="D1767" s="9" t="s">
        <v>135</v>
      </c>
      <c r="E1767" s="1021">
        <f>VLOOKUP(C1767,'Perpipaan dan proteksi kebakar '!$D$3:$I$1017,6,FALSE)</f>
        <v>247900</v>
      </c>
      <c r="F1767" s="1003">
        <f>VLOOKUP(C1767,'Perpipaan dan proteksi kebakar '!D:K,7,FALSE)</f>
        <v>0</v>
      </c>
      <c r="G1767" s="12">
        <f>VLOOKUP(C1767,'Perpipaan dan proteksi kebakar '!D:K,8,FALSE)</f>
        <v>0</v>
      </c>
      <c r="H1767" s="374"/>
      <c r="I1767" s="16"/>
    </row>
    <row r="1768" spans="2:9" ht="24" customHeight="1">
      <c r="B1768" s="1033" t="str">
        <f>'Perpipaan dan proteksi kebakar '!C898</f>
        <v>5.6.3.2</v>
      </c>
      <c r="C1768" s="12" t="str">
        <f>VLOOKUP(B1768,'Perpipaan dan proteksi kebakar '!C:K,2,FALSE)</f>
        <v xml:space="preserve">Pemasangan 1 unit Fire Extinguisher 5 kg </v>
      </c>
      <c r="D1768" s="9" t="s">
        <v>135</v>
      </c>
      <c r="E1768" s="1021">
        <f>VLOOKUP(C1768,'Perpipaan dan proteksi kebakar '!$D$3:$I$1017,6,FALSE)</f>
        <v>316200</v>
      </c>
      <c r="F1768" s="1003">
        <f>VLOOKUP(C1768,'Perpipaan dan proteksi kebakar '!D:K,7,FALSE)</f>
        <v>0</v>
      </c>
      <c r="G1768" s="12">
        <f>VLOOKUP(C1768,'Perpipaan dan proteksi kebakar '!D:K,8,FALSE)</f>
        <v>0</v>
      </c>
      <c r="H1768" s="374"/>
      <c r="I1768" s="16"/>
    </row>
    <row r="1769" spans="2:9" ht="24" customHeight="1">
      <c r="B1769" s="1033" t="str">
        <f>'Perpipaan dan proteksi kebakar '!C915</f>
        <v>5.6.3.3</v>
      </c>
      <c r="C1769" s="12" t="str">
        <f>VLOOKUP(B1769,'Perpipaan dan proteksi kebakar '!C:K,2,FALSE)</f>
        <v xml:space="preserve">Pemasangan 1 unit Fire Extinguisher 25 kg </v>
      </c>
      <c r="D1769" s="9" t="s">
        <v>135</v>
      </c>
      <c r="E1769" s="1021">
        <f>VLOOKUP(C1769,'Perpipaan dan proteksi kebakar '!$D$3:$I$1017,6,FALSE)</f>
        <v>2339400</v>
      </c>
      <c r="F1769" s="1003">
        <f>VLOOKUP(C1769,'Perpipaan dan proteksi kebakar '!D:K,7,FALSE)</f>
        <v>0</v>
      </c>
      <c r="G1769" s="12">
        <f>VLOOKUP(C1769,'Perpipaan dan proteksi kebakar '!D:K,8,FALSE)</f>
        <v>0</v>
      </c>
      <c r="H1769" s="374"/>
      <c r="I1769" s="16"/>
    </row>
    <row r="1770" spans="2:9" ht="24" customHeight="1">
      <c r="B1770" s="1032" t="str">
        <f>'Perpipaan dan proteksi kebakar '!C932</f>
        <v xml:space="preserve">5.6.4 </v>
      </c>
      <c r="C1770" s="33" t="str">
        <f>VLOOKUP(B1770,'Perpipaan dan proteksi kebakar '!C:K,2,FALSE)</f>
        <v xml:space="preserve">Pompa Kebakaran </v>
      </c>
      <c r="D1770" s="22"/>
      <c r="E1770" s="1025"/>
      <c r="F1770" s="1003">
        <f>VLOOKUP(C1770,'Perpipaan dan proteksi kebakar '!D:K,7,FALSE)</f>
        <v>0</v>
      </c>
      <c r="G1770" s="12">
        <f>VLOOKUP(C1770,'Perpipaan dan proteksi kebakar '!D:K,8,FALSE)</f>
        <v>0</v>
      </c>
      <c r="H1770" s="374"/>
      <c r="I1770" s="16"/>
    </row>
    <row r="1771" spans="2:9" ht="24" customHeight="1">
      <c r="B1771" s="1033" t="str">
        <f>'Perpipaan dan proteksi kebakar '!C933</f>
        <v>5.6.4.1</v>
      </c>
      <c r="C1771" s="12" t="str">
        <f>VLOOKUP(B1771,'Perpipaan dan proteksi kebakar '!C:K,2,FALSE)</f>
        <v xml:space="preserve">Pemasangan 1 Unit Jockey Fire Pump Vertical Multi Stage, 25 USGPM </v>
      </c>
      <c r="D1771" s="9" t="s">
        <v>135</v>
      </c>
      <c r="E1771" s="1021">
        <f>VLOOKUP(C1771,'Perpipaan dan proteksi kebakar '!$D$3:$I$1017,6,FALSE)</f>
        <v>11052700</v>
      </c>
      <c r="F1771" s="1003">
        <f>VLOOKUP(C1771,'Perpipaan dan proteksi kebakar '!D:K,7,FALSE)</f>
        <v>0</v>
      </c>
      <c r="G1771" s="12">
        <f>VLOOKUP(C1771,'Perpipaan dan proteksi kebakar '!D:K,8,FALSE)</f>
        <v>0</v>
      </c>
      <c r="H1771" s="374"/>
      <c r="I1771" s="16"/>
    </row>
    <row r="1772" spans="2:9" ht="24" customHeight="1">
      <c r="B1772" s="1033" t="str">
        <f>'Perpipaan dan proteksi kebakar '!C951</f>
        <v>5.6.4.2</v>
      </c>
      <c r="C1772" s="12" t="str">
        <f>VLOOKUP(B1772,'Perpipaan dan proteksi kebakar '!C:K,2,FALSE)</f>
        <v xml:space="preserve">Pemasangan 1 Unit Main Fire Pump Centrifugal End Suction, 1.000 USGPM </v>
      </c>
      <c r="D1772" s="9" t="s">
        <v>135</v>
      </c>
      <c r="E1772" s="1021">
        <f>VLOOKUP(C1772,'Perpipaan dan proteksi kebakar '!$D$3:$I$1017,6,FALSE)</f>
        <v>20572200</v>
      </c>
      <c r="F1772" s="1003">
        <f>VLOOKUP(C1772,'Perpipaan dan proteksi kebakar '!D:K,7,FALSE)</f>
        <v>0</v>
      </c>
      <c r="G1772" s="12">
        <f>VLOOKUP(C1772,'Perpipaan dan proteksi kebakar '!D:K,8,FALSE)</f>
        <v>0</v>
      </c>
      <c r="H1772" s="374"/>
      <c r="I1772" s="16"/>
    </row>
    <row r="1773" spans="2:9" ht="24" customHeight="1">
      <c r="B1773" s="1033" t="str">
        <f>'Perpipaan dan proteksi kebakar '!C968</f>
        <v>5.6.4.3</v>
      </c>
      <c r="C1773" s="12" t="str">
        <f>VLOOKUP(B1773,'Perpipaan dan proteksi kebakar '!C:K,2,FALSE)</f>
        <v>Pemasangan 1 Unit Diesel Fire Pump Centrifugal End Suction, 1.000 USGPM</v>
      </c>
      <c r="D1773" s="9" t="s">
        <v>135</v>
      </c>
      <c r="E1773" s="1021">
        <f>VLOOKUP(C1773,'Perpipaan dan proteksi kebakar '!$D$3:$I$1017,6,FALSE)</f>
        <v>25908700</v>
      </c>
      <c r="F1773" s="1003">
        <f>VLOOKUP(C1773,'Perpipaan dan proteksi kebakar '!D:K,7,FALSE)</f>
        <v>0</v>
      </c>
      <c r="G1773" s="12">
        <f>VLOOKUP(C1773,'Perpipaan dan proteksi kebakar '!D:K,8,FALSE)</f>
        <v>0</v>
      </c>
      <c r="H1773" s="374"/>
      <c r="I1773" s="16"/>
    </row>
    <row r="1774" spans="2:9" ht="24" customHeight="1">
      <c r="B1774" s="1033" t="str">
        <f>'Perpipaan dan proteksi kebakar '!C985</f>
        <v>5.6.4.4</v>
      </c>
      <c r="C1774" s="12" t="str">
        <f>VLOOKUP(B1774,'Perpipaan dan proteksi kebakar '!C:K,2,FALSE)</f>
        <v xml:space="preserve">Pemasangan 1 Unit Main Fire Pump Centrifugal End Suction, 1.250 USGPM </v>
      </c>
      <c r="D1774" s="9" t="s">
        <v>135</v>
      </c>
      <c r="E1774" s="1021">
        <f>VLOOKUP(C1774,'Perpipaan dan proteksi kebakar '!$D$3:$I$1017,6,FALSE)</f>
        <v>26180900</v>
      </c>
      <c r="F1774" s="1003">
        <f>VLOOKUP(C1774,'Perpipaan dan proteksi kebakar '!D:K,7,FALSE)</f>
        <v>0</v>
      </c>
      <c r="G1774" s="12">
        <f>VLOOKUP(C1774,'Perpipaan dan proteksi kebakar '!D:K,8,FALSE)</f>
        <v>0</v>
      </c>
      <c r="H1774" s="374"/>
      <c r="I1774" s="16"/>
    </row>
    <row r="1775" spans="2:9" ht="24" customHeight="1">
      <c r="B1775" s="1033" t="str">
        <f>'Perpipaan dan proteksi kebakar '!C1002</f>
        <v>5.6.4.5</v>
      </c>
      <c r="C1775" s="12" t="str">
        <f>VLOOKUP(B1775,'Perpipaan dan proteksi kebakar '!C:K,2,FALSE)</f>
        <v xml:space="preserve">Pemasangan 1 Unit Diesel Fire Centrifugal Ed Suction, 1.250 USGPM </v>
      </c>
      <c r="D1775" s="9" t="s">
        <v>135</v>
      </c>
      <c r="E1775" s="1021">
        <f>VLOOKUP(C1775,'Perpipaan dan proteksi kebakar '!$D$3:$I$1017,6,FALSE)</f>
        <v>27086900</v>
      </c>
      <c r="F1775" s="1003">
        <f>VLOOKUP(C1775,'Perpipaan dan proteksi kebakar '!D:K,7,FALSE)</f>
        <v>0</v>
      </c>
      <c r="G1775" s="12">
        <f>VLOOKUP(C1775,'Perpipaan dan proteksi kebakar '!D:K,8,FALSE)</f>
        <v>0</v>
      </c>
      <c r="H1775" s="374"/>
      <c r="I1775" s="16"/>
    </row>
    <row r="1776" spans="2:9" ht="24" customHeight="1">
      <c r="B1776" s="1034">
        <f>'Sistem Air Minum'!C2</f>
        <v>6</v>
      </c>
      <c r="C1776" s="984" t="str">
        <f>'Sistem Air Minum'!D2</f>
        <v xml:space="preserve">PEKERJAAN PLAMBING </v>
      </c>
      <c r="D1776" s="982"/>
      <c r="E1776" s="1023"/>
      <c r="F1776" s="1009" t="e">
        <f>VLOOKUP(C1776,Persiapan!$D$5:$M$679,10,FALSE)</f>
        <v>#N/A</v>
      </c>
      <c r="G1776" s="31" t="e">
        <f>VLOOKUP(C1776,'Perpipaan dan proteksi kebakar '!D:K,8,FALSE)</f>
        <v>#N/A</v>
      </c>
      <c r="H1776" s="374"/>
      <c r="I1776" s="16"/>
    </row>
    <row r="1777" spans="1:9" ht="24" customHeight="1">
      <c r="B1777" s="1052" t="str">
        <f>'Sistem Air Minum'!C3</f>
        <v xml:space="preserve">6.1 </v>
      </c>
      <c r="C1777" s="1001" t="str">
        <f>VLOOKUP(B1777,'Sistem Air Minum'!C:K,2,FALSE)</f>
        <v>PEKERJAAN SISTEM AIR MINUM</v>
      </c>
      <c r="D1777" s="983"/>
      <c r="E1777" s="1024"/>
      <c r="F1777" s="1004" t="e">
        <f>VLOOKUP(C1777,Persiapan!$D$5:$M$679,10,FALSE)</f>
        <v>#N/A</v>
      </c>
      <c r="G1777" s="1088"/>
      <c r="H1777" s="374"/>
      <c r="I1777" s="16"/>
    </row>
    <row r="1778" spans="1:9" s="1" customFormat="1" ht="24" customHeight="1">
      <c r="A1778" s="47"/>
      <c r="B1778" s="1041" t="str">
        <f>'Sistem Air Minum'!C4</f>
        <v xml:space="preserve">6.1.1 </v>
      </c>
      <c r="C1778" s="40" t="str">
        <f>VLOOKUP(B1778,'Sistem Air Minum'!C:K,2,FALSE)</f>
        <v xml:space="preserve">Roof Water Tank </v>
      </c>
      <c r="D1778" s="19" t="s">
        <v>135</v>
      </c>
      <c r="E1778" s="1021">
        <f>VLOOKUP(C1778,'Sistem Air Minum'!$D$2:$I$636,6,FALSE)</f>
        <v>0</v>
      </c>
      <c r="F1778" s="1015" t="e">
        <f>VLOOKUP(C1778,Persiapan!$D$5:$M$679,10,FALSE)</f>
        <v>#N/A</v>
      </c>
      <c r="H1778" s="1092"/>
      <c r="I1778" s="21"/>
    </row>
    <row r="1779" spans="1:9" ht="24" customHeight="1">
      <c r="B1779" s="1033" t="str">
        <f>'Sistem Air Minum'!C5</f>
        <v>6.1.1.1</v>
      </c>
      <c r="C1779" s="39" t="str">
        <f>VLOOKUP(B1779,'Sistem Air Minum'!C:K,2,FALSE)</f>
        <v>Pemasangan 1 Unit Rof Tank Fiberglass Kap. 2 m3</v>
      </c>
      <c r="D1779" s="9"/>
      <c r="E1779" s="1021">
        <f>VLOOKUP(C1779,'Sistem Air Minum'!$D$2:$I$636,6,FALSE)</f>
        <v>164400</v>
      </c>
      <c r="F1779" s="1003">
        <f>VLOOKUP(C1779,'Sistem Air Minum'!$D$2:$K$636,7,FALSE)</f>
        <v>0</v>
      </c>
      <c r="G1779" s="12">
        <f>VLOOKUP(C1779,'Sistem Air Minum'!$D$2:$K$636,8,FALSE)</f>
        <v>0</v>
      </c>
      <c r="H1779" s="374"/>
      <c r="I1779" s="16"/>
    </row>
    <row r="1780" spans="1:9" ht="24" customHeight="1">
      <c r="B1780" s="1033" t="str">
        <f>'Sistem Air Minum'!C22</f>
        <v>6.1.1.2</v>
      </c>
      <c r="C1780" s="39" t="str">
        <f>VLOOKUP(B1780,'Sistem Air Minum'!C:K,2,FALSE)</f>
        <v>Pemasangan 1 unit roof tank fiberglass kap. 4 m3</v>
      </c>
      <c r="D1780" s="9" t="s">
        <v>135</v>
      </c>
      <c r="E1780" s="1021">
        <f>VLOOKUP(C1780,'Sistem Air Minum'!$D$2:$I$636,6,FALSE)</f>
        <v>254700</v>
      </c>
      <c r="F1780" s="1003">
        <f>VLOOKUP(C1780,'Sistem Air Minum'!$D$2:$K$636,7,FALSE)</f>
        <v>0</v>
      </c>
      <c r="G1780" s="12">
        <f>VLOOKUP(C1780,'Sistem Air Minum'!$D$2:$K$636,8,FALSE)</f>
        <v>0</v>
      </c>
      <c r="H1780" s="374"/>
      <c r="I1780" s="16"/>
    </row>
    <row r="1781" spans="1:9" ht="24" customHeight="1">
      <c r="B1781" s="1033" t="str">
        <f>'Sistem Air Minum'!C39</f>
        <v>6.1.1.3</v>
      </c>
      <c r="C1781" s="39" t="str">
        <f>VLOOKUP(B1781,'Sistem Air Minum'!C:K,2,FALSE)</f>
        <v>Pemasangan 1 unit roof tank fiberglass kap. 12 m3</v>
      </c>
      <c r="D1781" s="9" t="s">
        <v>135</v>
      </c>
      <c r="E1781" s="1021">
        <f>VLOOKUP(C1781,'Sistem Air Minum'!$D$2:$I$636,6,FALSE)</f>
        <v>304200</v>
      </c>
      <c r="F1781" s="1003">
        <f>VLOOKUP(C1781,'Sistem Air Minum'!$D$2:$K$636,7,FALSE)</f>
        <v>0</v>
      </c>
      <c r="G1781" s="12">
        <f>VLOOKUP(C1781,'Sistem Air Minum'!$D$2:$K$636,8,FALSE)</f>
        <v>0</v>
      </c>
      <c r="H1781" s="374"/>
      <c r="I1781" s="16"/>
    </row>
    <row r="1782" spans="1:9" ht="24" customHeight="1">
      <c r="B1782" s="1033" t="str">
        <f>'Sistem Air Minum'!C56</f>
        <v>6.1.1.4</v>
      </c>
      <c r="C1782" s="39" t="str">
        <f>VLOOKUP(B1782,'Sistem Air Minum'!C:K,2,FALSE)</f>
        <v>Pemasangan 1 unit roof tank stainless kap. 2 m3</v>
      </c>
      <c r="D1782" s="9" t="s">
        <v>135</v>
      </c>
      <c r="E1782" s="1021">
        <f>VLOOKUP(C1782,'Sistem Air Minum'!$D$2:$I$636,6,FALSE)</f>
        <v>164400</v>
      </c>
      <c r="F1782" s="1003">
        <f>VLOOKUP(C1782,'Sistem Air Minum'!$D$2:$K$636,7,FALSE)</f>
        <v>0</v>
      </c>
      <c r="G1782" s="12">
        <f>VLOOKUP(C1782,'Sistem Air Minum'!$D$2:$K$636,8,FALSE)</f>
        <v>0</v>
      </c>
      <c r="H1782" s="374"/>
      <c r="I1782" s="16"/>
    </row>
    <row r="1783" spans="1:9" ht="24" customHeight="1">
      <c r="B1783" s="1033" t="str">
        <f>'Sistem Air Minum'!C73</f>
        <v>6.1.1.5</v>
      </c>
      <c r="C1783" s="39" t="str">
        <f>VLOOKUP(B1783,'Sistem Air Minum'!C:K,2,FALSE)</f>
        <v>Pemasangan 1 unit roof tank stainless kap. 4 m3</v>
      </c>
      <c r="D1783" s="9" t="s">
        <v>135</v>
      </c>
      <c r="E1783" s="1021">
        <f>VLOOKUP(C1783,'Sistem Air Minum'!$D$2:$I$636,6,FALSE)</f>
        <v>254700</v>
      </c>
      <c r="F1783" s="1003">
        <f>VLOOKUP(C1783,'Sistem Air Minum'!$D$2:$K$636,7,FALSE)</f>
        <v>0</v>
      </c>
      <c r="G1783" s="12">
        <f>VLOOKUP(C1783,'Sistem Air Minum'!$D$2:$K$636,8,FALSE)</f>
        <v>0</v>
      </c>
      <c r="H1783" s="374"/>
      <c r="I1783" s="16"/>
    </row>
    <row r="1784" spans="1:9" ht="24" customHeight="1">
      <c r="B1784" s="1033" t="str">
        <f>'Sistem Air Minum'!C90</f>
        <v>6.1.1.6</v>
      </c>
      <c r="C1784" s="39" t="str">
        <f>VLOOKUP(B1784,'Sistem Air Minum'!C:K,2,FALSE)</f>
        <v>Pemasangan 1 unit roof tank stainless kap. 12 m3</v>
      </c>
      <c r="D1784" s="9" t="s">
        <v>135</v>
      </c>
      <c r="E1784" s="1021">
        <f>VLOOKUP(C1784,'Sistem Air Minum'!$D$2:$I$636,6,FALSE)</f>
        <v>304200</v>
      </c>
      <c r="F1784" s="1003">
        <f>VLOOKUP(C1784,'Sistem Air Minum'!$D$2:$K$636,7,FALSE)</f>
        <v>0</v>
      </c>
      <c r="G1784" s="12">
        <f>VLOOKUP(C1784,'Sistem Air Minum'!$D$2:$K$636,8,FALSE)</f>
        <v>0</v>
      </c>
      <c r="H1784" s="374"/>
      <c r="I1784" s="16"/>
    </row>
    <row r="1785" spans="1:9" ht="24" customHeight="1">
      <c r="B1785" s="1033" t="str">
        <f>'Sistem Air Minum'!C107</f>
        <v>6.1.1.7</v>
      </c>
      <c r="C1785" s="1159" t="str">
        <f>VLOOKUP(B1785,'Sistem Air Minum'!C:K,2,FALSE)</f>
        <v>Pemasangan 1 unit tangki toren kap. 0,7 m3</v>
      </c>
      <c r="D1785" s="9" t="s">
        <v>135</v>
      </c>
      <c r="E1785" s="1021">
        <f>VLOOKUP(C1785,'Sistem Air Minum'!$D$2:$I$636,6,FALSE)</f>
        <v>1815600</v>
      </c>
      <c r="F1785" s="1003">
        <f>VLOOKUP(C1785,'Sistem Air Minum'!$D$2:$K$636,7,FALSE)</f>
        <v>0</v>
      </c>
      <c r="G1785" s="12">
        <f>VLOOKUP(C1785,'Sistem Air Minum'!$D$2:$K$636,8,FALSE)</f>
        <v>0</v>
      </c>
      <c r="H1785" s="374"/>
      <c r="I1785" s="16"/>
    </row>
    <row r="1786" spans="1:9" ht="24" customHeight="1">
      <c r="B1786" s="1033" t="str">
        <f>'Sistem Air Minum'!C124</f>
        <v>6.1.1.8</v>
      </c>
      <c r="C1786" s="1159" t="str">
        <f>VLOOKUP(B1786,'Sistem Air Minum'!C:K,2,FALSE)</f>
        <v>Pemasangan 1 unit tangki toren kap. 1,5 m3</v>
      </c>
      <c r="D1786" s="9" t="s">
        <v>135</v>
      </c>
      <c r="E1786" s="1021">
        <f>VLOOKUP(C1786,'Sistem Air Minum'!$D$2:$I$636,6,FALSE)</f>
        <v>3971000</v>
      </c>
      <c r="F1786" s="1003">
        <f>VLOOKUP(C1786,'Sistem Air Minum'!$D$2:$K$636,7,FALSE)</f>
        <v>0</v>
      </c>
      <c r="G1786" s="12">
        <f>VLOOKUP(C1786,'Sistem Air Minum'!$D$2:$K$636,8,FALSE)</f>
        <v>0</v>
      </c>
      <c r="H1786" s="374"/>
      <c r="I1786" s="16"/>
    </row>
    <row r="1787" spans="1:9" ht="24" customHeight="1">
      <c r="B1787" s="1033" t="str">
        <f>'Sistem Air Minum'!C141</f>
        <v>6.1.1.9</v>
      </c>
      <c r="C1787" s="39" t="str">
        <f>VLOOKUP(B1787,'Sistem Air Minum'!C:K,2,FALSE)</f>
        <v>Pemasangan 1 unit tangki toren kap. 2,5 m3</v>
      </c>
      <c r="D1787" s="9" t="s">
        <v>135</v>
      </c>
      <c r="E1787" s="1021">
        <f>VLOOKUP(C1787,'Sistem Air Minum'!$D$2:$I$636,6,FALSE)</f>
        <v>4091400</v>
      </c>
      <c r="F1787" s="1003">
        <f>VLOOKUP(C1787,'Sistem Air Minum'!$D$2:$K$636,7,FALSE)</f>
        <v>0</v>
      </c>
      <c r="G1787" s="12">
        <f>VLOOKUP(C1787,'Sistem Air Minum'!$D$2:$K$636,8,FALSE)</f>
        <v>0</v>
      </c>
      <c r="H1787" s="374"/>
      <c r="I1787" s="16"/>
    </row>
    <row r="1788" spans="1:9" ht="24" customHeight="1">
      <c r="B1788" s="1033" t="str">
        <f>'Sistem Air Minum'!C158</f>
        <v>6.1.1.10</v>
      </c>
      <c r="C1788" s="39" t="str">
        <f>VLOOKUP(B1788,'Sistem Air Minum'!C:K,2,FALSE)</f>
        <v>Pemasangan 1 unit tangki toren kap. 3 m3</v>
      </c>
      <c r="D1788" s="9" t="s">
        <v>135</v>
      </c>
      <c r="E1788" s="1021">
        <f>VLOOKUP(C1788,'Sistem Air Minum'!$D$2:$I$636,6,FALSE)</f>
        <v>5567700</v>
      </c>
      <c r="F1788" s="1003">
        <f>VLOOKUP(C1788,'Sistem Air Minum'!$D$2:$K$636,7,FALSE)</f>
        <v>0</v>
      </c>
      <c r="G1788" s="12">
        <f>VLOOKUP(C1788,'Sistem Air Minum'!$D$2:$K$636,8,FALSE)</f>
        <v>0</v>
      </c>
      <c r="H1788" s="374"/>
      <c r="I1788" s="16"/>
    </row>
    <row r="1789" spans="1:9" ht="24" customHeight="1">
      <c r="B1789" s="1033" t="str">
        <f>'Sistem Air Minum'!C175</f>
        <v>6.1.1.11</v>
      </c>
      <c r="C1789" s="39" t="str">
        <f>VLOOKUP(B1789,'Sistem Air Minum'!C:K,2,FALSE)</f>
        <v>Pemasangan 1 unit tangki toren kap. 4 m3</v>
      </c>
      <c r="D1789" s="9" t="s">
        <v>135</v>
      </c>
      <c r="E1789" s="1021">
        <f>VLOOKUP(C1789,'Sistem Air Minum'!$D$2:$I$636,6,FALSE)</f>
        <v>6365200</v>
      </c>
      <c r="F1789" s="1003">
        <f>VLOOKUP(C1789,'Sistem Air Minum'!$D$2:$K$636,7,FALSE)</f>
        <v>0</v>
      </c>
      <c r="G1789" s="12">
        <f>VLOOKUP(C1789,'Sistem Air Minum'!$D$2:$K$636,8,FALSE)</f>
        <v>0</v>
      </c>
      <c r="H1789" s="374"/>
      <c r="I1789" s="16"/>
    </row>
    <row r="1790" spans="1:9" ht="24" customHeight="1">
      <c r="B1790" s="1033" t="str">
        <f>'Sistem Air Minum'!C192</f>
        <v>6.1.1.12</v>
      </c>
      <c r="C1790" s="39" t="str">
        <f>VLOOKUP(B1790,'Sistem Air Minum'!C:K,2,FALSE)</f>
        <v>Pemasangan 1 unit tangki toren kap. 5 m3</v>
      </c>
      <c r="D1790" s="9" t="s">
        <v>135</v>
      </c>
      <c r="E1790" s="1021">
        <f>VLOOKUP(C1790,'Sistem Air Minum'!$D$2:$I$636,6,FALSE)</f>
        <v>7920600</v>
      </c>
      <c r="F1790" s="1003">
        <f>VLOOKUP(C1790,'Sistem Air Minum'!$D$2:$K$636,7,FALSE)</f>
        <v>0</v>
      </c>
      <c r="G1790" s="12">
        <f>VLOOKUP(C1790,'Sistem Air Minum'!$D$2:$K$636,8,FALSE)</f>
        <v>0</v>
      </c>
      <c r="H1790" s="374"/>
      <c r="I1790" s="16"/>
    </row>
    <row r="1791" spans="1:9" ht="24" customHeight="1">
      <c r="B1791" s="1033" t="str">
        <f>'Sistem Air Minum'!C209</f>
        <v>6.1.1.13</v>
      </c>
      <c r="C1791" s="39" t="str">
        <f>VLOOKUP(B1791,'Sistem Air Minum'!C:K,2,FALSE)</f>
        <v>Pemasangan 1 unit tangki toren kap. 5,5 m3</v>
      </c>
      <c r="D1791" s="9" t="s">
        <v>135</v>
      </c>
      <c r="E1791" s="1021">
        <f>VLOOKUP(C1791,'Sistem Air Minum'!$D$2:$I$636,6,FALSE)</f>
        <v>8142800</v>
      </c>
      <c r="F1791" s="1003">
        <f>VLOOKUP(C1791,'Sistem Air Minum'!$D$2:$K$636,7,FALSE)</f>
        <v>0</v>
      </c>
      <c r="G1791" s="12">
        <f>VLOOKUP(C1791,'Sistem Air Minum'!$D$2:$K$636,8,FALSE)</f>
        <v>0</v>
      </c>
      <c r="H1791" s="374"/>
      <c r="I1791" s="16"/>
    </row>
    <row r="1792" spans="1:9" ht="24" customHeight="1">
      <c r="B1792" s="1033" t="str">
        <f>'Sistem Air Minum'!C226</f>
        <v>6.1.1.14</v>
      </c>
      <c r="C1792" s="39" t="str">
        <f>VLOOKUP(B1792,'Sistem Air Minum'!C:K,2,FALSE)</f>
        <v>Pemasangan 1 unit tangki toren kap. 6 m3</v>
      </c>
      <c r="D1792" s="9" t="s">
        <v>135</v>
      </c>
      <c r="E1792" s="1021">
        <f>VLOOKUP(C1792,'Sistem Air Minum'!$D$2:$I$636,6,FALSE)</f>
        <v>9021700</v>
      </c>
      <c r="F1792" s="1003">
        <f>VLOOKUP(C1792,'Sistem Air Minum'!$D$2:$K$636,7,FALSE)</f>
        <v>0</v>
      </c>
      <c r="G1792" s="12">
        <f>VLOOKUP(C1792,'Sistem Air Minum'!$D$2:$K$636,8,FALSE)</f>
        <v>0</v>
      </c>
      <c r="H1792" s="374"/>
      <c r="I1792" s="16"/>
    </row>
    <row r="1793" spans="1:9" ht="24" customHeight="1">
      <c r="B1793" s="1033" t="str">
        <f>'Sistem Air Minum'!C243</f>
        <v>6.1.1.15</v>
      </c>
      <c r="C1793" s="39" t="str">
        <f>VLOOKUP(B1793,'Sistem Air Minum'!C:K,2,FALSE)</f>
        <v>Pemasangan 1 buah Tangki Panel FRP Kap.12 m3</v>
      </c>
      <c r="D1793" s="9" t="s">
        <v>44</v>
      </c>
      <c r="E1793" s="1021">
        <f>VLOOKUP(C1793,'Sistem Air Minum'!$D$2:$I$636,6,FALSE)</f>
        <v>18454200</v>
      </c>
      <c r="F1793" s="1003">
        <f>VLOOKUP(C1793,'Sistem Air Minum'!$D$2:$K$636,7,FALSE)</f>
        <v>0</v>
      </c>
      <c r="G1793" s="12">
        <f>VLOOKUP(C1793,'Sistem Air Minum'!$D$2:$K$636,8,FALSE)</f>
        <v>0</v>
      </c>
      <c r="H1793" s="374"/>
      <c r="I1793" s="16"/>
    </row>
    <row r="1794" spans="1:9" ht="24" customHeight="1">
      <c r="B1794" s="1033" t="str">
        <f>'Sistem Air Minum'!C260</f>
        <v>6.1.1.16</v>
      </c>
      <c r="C1794" s="39" t="str">
        <f>VLOOKUP(B1794,'Sistem Air Minum'!C:K,2,FALSE)</f>
        <v>Pemasangan 1 buah Tangki Panel Stainless Steel Kap. 12 m3</v>
      </c>
      <c r="D1794" s="9" t="s">
        <v>44</v>
      </c>
      <c r="E1794" s="1021">
        <f>VLOOKUP(C1794,'Sistem Air Minum'!$D$2:$I$636,6,FALSE)</f>
        <v>15429200</v>
      </c>
      <c r="F1794" s="1003" t="str">
        <f>VLOOKUP(C1794,'Sistem Air Minum'!$D$2:$K$636,7,FALSE)</f>
        <v>Baru</v>
      </c>
      <c r="G1794" s="12">
        <f>VLOOKUP(C1794,'Sistem Air Minum'!$D$2:$K$636,8,FALSE)</f>
        <v>0</v>
      </c>
      <c r="H1794" s="374"/>
      <c r="I1794" s="16"/>
    </row>
    <row r="1795" spans="1:9" ht="24" customHeight="1">
      <c r="B1795" s="1033" t="str">
        <f>'Sistem Air Minum'!C277</f>
        <v>6.1.1.17</v>
      </c>
      <c r="C1795" s="39" t="str">
        <f>VLOOKUP(B1795,'Sistem Air Minum'!C:K,2,FALSE)</f>
        <v>Pemasangan 1 buah Tangki Panel GRP Kap. 12 m3</v>
      </c>
      <c r="D1795" s="9"/>
      <c r="E1795" s="1021">
        <f>VLOOKUP(C1795,'Sistem Air Minum'!$D$2:$I$636,6,FALSE)</f>
        <v>14824200</v>
      </c>
      <c r="F1795" s="1003" t="str">
        <f>VLOOKUP(C1795,'Sistem Air Minum'!$D$2:$K$636,7,FALSE)</f>
        <v>Baru</v>
      </c>
      <c r="G1795" s="12">
        <f>VLOOKUP(C1795,'Sistem Air Minum'!$D$2:$K$636,8,FALSE)</f>
        <v>0</v>
      </c>
      <c r="H1795" s="374"/>
      <c r="I1795" s="16"/>
    </row>
    <row r="1796" spans="1:9" ht="24" customHeight="1">
      <c r="B1796" s="1033" t="str">
        <f>'Sistem Air Minum'!C294</f>
        <v>6.1.1.18</v>
      </c>
      <c r="C1796" s="1159" t="str">
        <f>VLOOKUP(B1796,'Sistem Air Minum'!C:K,2,FALSE)</f>
        <v>Pemasangan 1 buah Tangki Toren Kap. 0,5 m3</v>
      </c>
      <c r="D1796" s="9"/>
      <c r="E1796" s="1021">
        <f>VLOOKUP(C1796,'Sistem Air Minum'!$D$2:$I$636,6,FALSE)</f>
        <v>779900</v>
      </c>
      <c r="F1796" s="1003">
        <f>VLOOKUP(C1796,'Sistem Air Minum'!$D$2:$K$636,7,FALSE)</f>
        <v>0</v>
      </c>
      <c r="G1796" s="12">
        <f>VLOOKUP(C1796,'Sistem Air Minum'!$D$2:$K$636,8,FALSE)</f>
        <v>0</v>
      </c>
      <c r="H1796" s="374"/>
      <c r="I1796" s="16"/>
    </row>
    <row r="1797" spans="1:9" s="1" customFormat="1" ht="24" customHeight="1">
      <c r="A1797" s="47"/>
      <c r="B1797" s="1041" t="str">
        <f>'Sistem Air Minum'!C311</f>
        <v>6.1.2</v>
      </c>
      <c r="C1797" s="40" t="str">
        <f>VLOOKUP(B1797,'Sistem Air Minum'!C:K,2,FALSE)</f>
        <v xml:space="preserve">Pompa Transfer dan Booster </v>
      </c>
      <c r="D1797" s="19"/>
      <c r="E1797" s="1021">
        <f>VLOOKUP(C1797,'Sistem Air Minum'!$D$2:$I$636,6,FALSE)</f>
        <v>0</v>
      </c>
      <c r="F1797" s="1003">
        <f>VLOOKUP(C1797,'Sistem Air Minum'!$D$2:$K$636,7,FALSE)</f>
        <v>0</v>
      </c>
      <c r="G1797" s="12">
        <f>VLOOKUP(C1797,'Sistem Air Minum'!$D$2:$K$636,8,FALSE)</f>
        <v>0</v>
      </c>
      <c r="H1797" s="1092"/>
      <c r="I1797" s="21"/>
    </row>
    <row r="1798" spans="1:9" ht="24" customHeight="1">
      <c r="B1798" s="1033" t="str">
        <f>'Sistem Air Minum'!C312</f>
        <v>6.1.2.1</v>
      </c>
      <c r="C1798" s="39" t="str">
        <f>VLOOKUP(B1798,'Sistem Air Minum'!C:K,2,FALSE)</f>
        <v>Pemasangan 1 unit pompa transfer 150 lpm; centrifugal end suction</v>
      </c>
      <c r="D1798" s="9" t="s">
        <v>135</v>
      </c>
      <c r="E1798" s="1021">
        <f>VLOOKUP(C1798,'Sistem Air Minum'!$D$2:$I$636,6,FALSE)</f>
        <v>287500</v>
      </c>
      <c r="F1798" s="1003">
        <f>VLOOKUP(C1798,'Sistem Air Minum'!$D$2:$K$636,7,FALSE)</f>
        <v>0</v>
      </c>
      <c r="G1798" s="12">
        <f>VLOOKUP(C1798,'Sistem Air Minum'!$D$2:$K$636,8,FALSE)</f>
        <v>0</v>
      </c>
      <c r="H1798" s="374"/>
      <c r="I1798" s="16"/>
    </row>
    <row r="1799" spans="1:9" ht="24" customHeight="1">
      <c r="B1799" s="1033" t="str">
        <f>'Sistem Air Minum'!C329</f>
        <v>6.1.2.2</v>
      </c>
      <c r="C1799" s="39" t="str">
        <f>VLOOKUP(B1799,'Sistem Air Minum'!C:K,2,FALSE)</f>
        <v>Pemasangan 1 unit pompa booster 450 lpm; centrifugal end suction</v>
      </c>
      <c r="D1799" s="9" t="s">
        <v>135</v>
      </c>
      <c r="E1799" s="1021">
        <f>VLOOKUP(C1799,'Sistem Air Minum'!$D$2:$I$636,6,FALSE)</f>
        <v>164400</v>
      </c>
      <c r="F1799" s="1003">
        <f>VLOOKUP(C1799,'Sistem Air Minum'!$D$2:$K$636,7,FALSE)</f>
        <v>0</v>
      </c>
      <c r="G1799" s="12">
        <f>VLOOKUP(C1799,'Sistem Air Minum'!$D$2:$K$636,8,FALSE)</f>
        <v>0</v>
      </c>
      <c r="H1799" s="374"/>
      <c r="I1799" s="16"/>
    </row>
    <row r="1800" spans="1:9" ht="24" customHeight="1">
      <c r="B1800" s="1033" t="str">
        <f>'Sistem Air Minum'!C346</f>
        <v>6.1.2.3</v>
      </c>
      <c r="C1800" s="39" t="str">
        <f>VLOOKUP(B1800,'Sistem Air Minum'!C:K,2,FALSE)</f>
        <v>Pemasangan 1 unit pompa booster 150 lpm; vertical in line-packaged</v>
      </c>
      <c r="D1800" s="9" t="s">
        <v>135</v>
      </c>
      <c r="E1800" s="1021">
        <f>VLOOKUP(C1800,'Sistem Air Minum'!$D$2:$I$636,6,FALSE)</f>
        <v>164400</v>
      </c>
      <c r="F1800" s="1003">
        <f>VLOOKUP(C1800,'Sistem Air Minum'!$D$2:$K$636,7,FALSE)</f>
        <v>0</v>
      </c>
      <c r="G1800" s="12">
        <f>VLOOKUP(C1800,'Sistem Air Minum'!$D$2:$K$636,8,FALSE)</f>
        <v>0</v>
      </c>
      <c r="H1800" s="374"/>
      <c r="I1800" s="16"/>
    </row>
    <row r="1801" spans="1:9" ht="24" customHeight="1">
      <c r="B1801" s="1033" t="str">
        <f>'Sistem Air Minum'!C363</f>
        <v>6.1.2.4</v>
      </c>
      <c r="C1801" s="39" t="str">
        <f>VLOOKUP(B1801,'Sistem Air Minum'!C:K,2,FALSE)</f>
        <v>Pemasangan 1 unit pompa jet 27 lpm</v>
      </c>
      <c r="D1801" s="9" t="s">
        <v>135</v>
      </c>
      <c r="E1801" s="1021">
        <f>VLOOKUP(C1801,'Sistem Air Minum'!$D$2:$I$636,6,FALSE)</f>
        <v>2206500</v>
      </c>
      <c r="F1801" s="1003">
        <f>VLOOKUP(C1801,'Sistem Air Minum'!$D$2:$K$636,7,FALSE)</f>
        <v>0</v>
      </c>
      <c r="G1801" s="12">
        <f>VLOOKUP(C1801,'Sistem Air Minum'!$D$2:$K$636,8,FALSE)</f>
        <v>0</v>
      </c>
      <c r="H1801" s="374"/>
      <c r="I1801" s="16"/>
    </row>
    <row r="1802" spans="1:9" ht="24" customHeight="1">
      <c r="B1802" s="1033" t="str">
        <f>'Sistem Air Minum'!C380</f>
        <v>6.1.2.5</v>
      </c>
      <c r="C1802" s="39" t="str">
        <f>VLOOKUP(B1802,'Sistem Air Minum'!C:K,2,FALSE)</f>
        <v>Pemasangan 1 unit pompa jet 34 lpm</v>
      </c>
      <c r="D1802" s="9" t="s">
        <v>135</v>
      </c>
      <c r="E1802" s="1021">
        <f>VLOOKUP(C1802,'Sistem Air Minum'!$D$2:$I$636,6,FALSE)</f>
        <v>300700</v>
      </c>
      <c r="F1802" s="1003">
        <f>VLOOKUP(C1802,'Sistem Air Minum'!$D$2:$K$636,7,FALSE)</f>
        <v>0</v>
      </c>
      <c r="G1802" s="12">
        <f>VLOOKUP(C1802,'Sistem Air Minum'!$D$2:$K$636,8,FALSE)</f>
        <v>0</v>
      </c>
      <c r="H1802" s="374"/>
      <c r="I1802" s="16"/>
    </row>
    <row r="1803" spans="1:9" ht="24" customHeight="1">
      <c r="B1803" s="1033" t="str">
        <f>'Sistem Air Minum'!C397</f>
        <v>6.1.2.6</v>
      </c>
      <c r="C1803" s="39" t="str">
        <f>VLOOKUP(B1803,'Sistem Air Minum'!C:K,2,FALSE)</f>
        <v>Pemasangan 1 unit pompa jet 100 lpm</v>
      </c>
      <c r="D1803" s="9" t="s">
        <v>135</v>
      </c>
      <c r="E1803" s="1021">
        <f>VLOOKUP(C1803,'Sistem Air Minum'!$D$2:$I$636,6,FALSE)</f>
        <v>300700</v>
      </c>
      <c r="F1803" s="1003">
        <f>VLOOKUP(C1803,'Sistem Air Minum'!$D$2:$K$636,7,FALSE)</f>
        <v>0</v>
      </c>
      <c r="G1803" s="12">
        <f>VLOOKUP(C1803,'Sistem Air Minum'!$D$2:$K$636,8,FALSE)</f>
        <v>0</v>
      </c>
      <c r="H1803" s="374"/>
      <c r="I1803" s="16"/>
    </row>
    <row r="1804" spans="1:9" ht="24" customHeight="1">
      <c r="B1804" s="1033" t="str">
        <f>'Sistem Air Minum'!C414</f>
        <v>6.1.2.7</v>
      </c>
      <c r="C1804" s="39" t="str">
        <f>VLOOKUP(B1804,'Sistem Air Minum'!C:K,2,FALSE)</f>
        <v>Pemasangan 1 unit pompa lift 80 lpm</v>
      </c>
      <c r="D1804" s="9" t="s">
        <v>135</v>
      </c>
      <c r="E1804" s="1021">
        <f>VLOOKUP(C1804,'Sistem Air Minum'!$D$2:$I$636,6,FALSE)</f>
        <v>246400</v>
      </c>
      <c r="F1804" s="1003">
        <f>VLOOKUP(C1804,'Sistem Air Minum'!$D$2:$K$636,7,FALSE)</f>
        <v>0</v>
      </c>
      <c r="G1804" s="12">
        <f>VLOOKUP(C1804,'Sistem Air Minum'!$D$2:$K$636,8,FALSE)</f>
        <v>0</v>
      </c>
      <c r="H1804" s="374"/>
      <c r="I1804" s="16"/>
    </row>
    <row r="1805" spans="1:9" ht="24" customHeight="1">
      <c r="B1805" s="1033" t="str">
        <f>'Sistem Air Minum'!C431</f>
        <v>6.1.2.8</v>
      </c>
      <c r="C1805" s="39" t="str">
        <f>VLOOKUP(B1805,'Sistem Air Minum'!C:K,2,FALSE)</f>
        <v>Pemasangan 1 unit pompa lift 250 lpm</v>
      </c>
      <c r="D1805" s="9" t="s">
        <v>135</v>
      </c>
      <c r="E1805" s="1021">
        <f>VLOOKUP(C1805,'Sistem Air Minum'!$D$2:$I$636,6,FALSE)</f>
        <v>287700</v>
      </c>
      <c r="F1805" s="1003">
        <f>VLOOKUP(C1805,'Sistem Air Minum'!$D$2:$K$636,7,FALSE)</f>
        <v>0</v>
      </c>
      <c r="G1805" s="12">
        <f>VLOOKUP(C1805,'Sistem Air Minum'!$D$2:$K$636,8,FALSE)</f>
        <v>0</v>
      </c>
      <c r="H1805" s="374"/>
      <c r="I1805" s="16"/>
    </row>
    <row r="1806" spans="1:9" ht="24" customHeight="1">
      <c r="B1806" s="1033" t="str">
        <f>'Sistem Air Minum'!C448</f>
        <v>6.1.2.9</v>
      </c>
      <c r="C1806" s="39" t="str">
        <f>VLOOKUP(B1806,'Sistem Air Minum'!C:K,2,FALSE)</f>
        <v>Pemasangan 1 unit Pompa Jet 30 lpm</v>
      </c>
      <c r="D1806" s="9" t="s">
        <v>135</v>
      </c>
      <c r="E1806" s="1021">
        <f>VLOOKUP(C1806,'Sistem Air Minum'!$D$2:$I$636,6,FALSE)</f>
        <v>1184000</v>
      </c>
      <c r="F1806" s="1003">
        <f>VLOOKUP(C1806,'Sistem Air Minum'!$D$2:$K$636,7,FALSE)</f>
        <v>0</v>
      </c>
      <c r="G1806" s="12">
        <f>VLOOKUP(C1806,'Sistem Air Minum'!$D$2:$K$636,8,FALSE)</f>
        <v>0</v>
      </c>
      <c r="H1806" s="374"/>
      <c r="I1806" s="16"/>
    </row>
    <row r="1807" spans="1:9" s="1" customFormat="1" ht="24" customHeight="1">
      <c r="A1807" s="47"/>
      <c r="B1807" s="1041" t="str">
        <f>'Sistem Air Minum'!C465</f>
        <v>6.3.1</v>
      </c>
      <c r="C1807" s="40" t="str">
        <f>VLOOKUP(B1807,'Sistem Air Minum'!C:K,2,FALSE)</f>
        <v xml:space="preserve"> Filter </v>
      </c>
      <c r="D1807" s="19"/>
      <c r="E1807" s="1021">
        <f>VLOOKUP(C1807,'Sistem Air Minum'!$D$2:$I$636,6,FALSE)</f>
        <v>0</v>
      </c>
      <c r="F1807" s="1003">
        <f>VLOOKUP(C1807,'Sistem Air Minum'!$D$2:$K$636,7,FALSE)</f>
        <v>0</v>
      </c>
      <c r="G1807" s="12">
        <f>VLOOKUP(C1807,'Sistem Air Minum'!$D$2:$K$636,8,FALSE)</f>
        <v>0</v>
      </c>
      <c r="H1807" s="1092"/>
      <c r="I1807" s="21"/>
    </row>
    <row r="1808" spans="1:9" ht="24" customHeight="1">
      <c r="B1808" s="1033" t="str">
        <f>'Sistem Air Minum'!C466</f>
        <v>6.1.3.1</v>
      </c>
      <c r="C1808" s="39" t="str">
        <f>VLOOKUP(B1808,'Sistem Air Minum'!C:K,2,FALSE)</f>
        <v xml:space="preserve">Pemasangan 1 unit sand filter kap. 0,1 m3 / hari </v>
      </c>
      <c r="D1808" s="9" t="s">
        <v>135</v>
      </c>
      <c r="E1808" s="1021">
        <f>VLOOKUP(C1808,'Sistem Air Minum'!$D$2:$I$636,6,FALSE)</f>
        <v>435300</v>
      </c>
      <c r="F1808" s="1003">
        <f>VLOOKUP(C1808,'Sistem Air Minum'!$D$2:$K$636,7,FALSE)</f>
        <v>0</v>
      </c>
      <c r="G1808" s="12">
        <f>VLOOKUP(C1808,'Sistem Air Minum'!$D$2:$K$636,8,FALSE)</f>
        <v>0</v>
      </c>
      <c r="H1808" s="374"/>
      <c r="I1808" s="16"/>
    </row>
    <row r="1809" spans="1:9" ht="24" customHeight="1">
      <c r="B1809" s="1033" t="str">
        <f>'Sistem Air Minum'!C483</f>
        <v>6.1.3.2</v>
      </c>
      <c r="C1809" s="39" t="str">
        <f>VLOOKUP(B1809,'Sistem Air Minum'!C:K,2,FALSE)</f>
        <v xml:space="preserve">Pemasangan 1 unit sand filter kap. 14 m3 / hari </v>
      </c>
      <c r="D1809" s="9" t="s">
        <v>135</v>
      </c>
      <c r="E1809" s="1021">
        <f>VLOOKUP(C1809,'Sistem Air Minum'!$D$2:$I$636,6,FALSE)</f>
        <v>2218300</v>
      </c>
      <c r="F1809" s="1003">
        <f>VLOOKUP(C1809,'Sistem Air Minum'!$D$2:$K$636,7,FALSE)</f>
        <v>0</v>
      </c>
      <c r="G1809" s="12">
        <f>VLOOKUP(C1809,'Sistem Air Minum'!$D$2:$K$636,8,FALSE)</f>
        <v>0</v>
      </c>
      <c r="H1809" s="374"/>
      <c r="I1809" s="16"/>
    </row>
    <row r="1810" spans="1:9" ht="24" customHeight="1">
      <c r="B1810" s="1033" t="str">
        <f>'Sistem Air Minum'!C500</f>
        <v>6.1.3.3</v>
      </c>
      <c r="C1810" s="39" t="str">
        <f>VLOOKUP(B1810,'Sistem Air Minum'!C:K,2,FALSE)</f>
        <v xml:space="preserve">Pemasangan 1 unit carbon filter kap. 0,1 m3 / hari </v>
      </c>
      <c r="D1810" s="9" t="s">
        <v>135</v>
      </c>
      <c r="E1810" s="1021">
        <f>VLOOKUP(C1810,'Sistem Air Minum'!$D$2:$I$636,6,FALSE)</f>
        <v>1168100</v>
      </c>
      <c r="F1810" s="1003">
        <f>VLOOKUP(C1810,'Sistem Air Minum'!$D$2:$K$636,7,FALSE)</f>
        <v>0</v>
      </c>
      <c r="G1810" s="12">
        <f>VLOOKUP(C1810,'Sistem Air Minum'!$D$2:$K$636,8,FALSE)</f>
        <v>0</v>
      </c>
      <c r="H1810" s="374"/>
      <c r="I1810" s="16"/>
    </row>
    <row r="1811" spans="1:9" ht="24" customHeight="1">
      <c r="B1811" s="1033" t="str">
        <f>'Sistem Air Minum'!C517</f>
        <v>6.1.3.4</v>
      </c>
      <c r="C1811" s="39" t="str">
        <f>VLOOKUP(B1811,'Sistem Air Minum'!C:K,2,FALSE)</f>
        <v xml:space="preserve">Pemasangan 1 unit carbon filter kap. 0,6 m3 / hari </v>
      </c>
      <c r="D1811" s="9" t="s">
        <v>135</v>
      </c>
      <c r="E1811" s="1021">
        <f>VLOOKUP(C1811,'Sistem Air Minum'!$D$2:$I$636,6,FALSE)</f>
        <v>5600800</v>
      </c>
      <c r="F1811" s="1003">
        <f>VLOOKUP(C1811,'Sistem Air Minum'!$D$2:$K$636,7,FALSE)</f>
        <v>0</v>
      </c>
      <c r="G1811" s="12">
        <f>VLOOKUP(C1811,'Sistem Air Minum'!$D$2:$K$636,8,FALSE)</f>
        <v>0</v>
      </c>
      <c r="H1811" s="374"/>
      <c r="I1811" s="16"/>
    </row>
    <row r="1812" spans="1:9" ht="24" customHeight="1">
      <c r="B1812" s="1033" t="str">
        <f>'Sistem Air Minum'!C534</f>
        <v>6.1.3.5</v>
      </c>
      <c r="C1812" s="39" t="str">
        <f>VLOOKUP(B1812,'Sistem Air Minum'!C:K,2,FALSE)</f>
        <v xml:space="preserve">Pemasangan 1 unit silika filter kap. 0,1 m3 / hari </v>
      </c>
      <c r="D1812" s="9" t="s">
        <v>135</v>
      </c>
      <c r="E1812" s="1021">
        <f>VLOOKUP(C1812,'Sistem Air Minum'!$D$2:$I$636,6,FALSE)</f>
        <v>435300</v>
      </c>
      <c r="F1812" s="1003">
        <f>VLOOKUP(C1812,'Sistem Air Minum'!$D$2:$K$636,7,FALSE)</f>
        <v>0</v>
      </c>
      <c r="G1812" s="12">
        <f>VLOOKUP(C1812,'Sistem Air Minum'!$D$2:$K$636,8,FALSE)</f>
        <v>0</v>
      </c>
      <c r="H1812" s="374"/>
      <c r="I1812" s="16"/>
    </row>
    <row r="1813" spans="1:9" s="1" customFormat="1" ht="24" customHeight="1">
      <c r="A1813" s="47"/>
      <c r="B1813" s="1041" t="str">
        <f>'Sistem Air Minum'!C551</f>
        <v>6.1.4</v>
      </c>
      <c r="C1813" s="40" t="str">
        <f>VLOOKUP(B1813,'Sistem Air Minum'!C:K,2,FALSE)</f>
        <v>Ground Water Tank (Fiber)</v>
      </c>
      <c r="D1813" s="19"/>
      <c r="E1813" s="1021">
        <f>VLOOKUP(C1813,'Sistem Air Minum'!$D$2:$I$636,6,FALSE)</f>
        <v>0</v>
      </c>
      <c r="F1813" s="1003">
        <f>VLOOKUP(C1813,'Sistem Air Minum'!$D$2:$K$636,7,FALSE)</f>
        <v>0</v>
      </c>
      <c r="G1813" s="12">
        <f>VLOOKUP(C1813,'Sistem Air Minum'!$D$2:$K$636,8,FALSE)</f>
        <v>0</v>
      </c>
      <c r="H1813" s="1092"/>
      <c r="I1813" s="21"/>
    </row>
    <row r="1814" spans="1:9" ht="24" customHeight="1">
      <c r="B1814" s="1033" t="str">
        <f>'Sistem Air Minum'!C552</f>
        <v>6.1.4.1</v>
      </c>
      <c r="C1814" s="39" t="str">
        <f>VLOOKUP(B1814,'Sistem Air Minum'!C:K,2,FALSE)</f>
        <v>Pemasangan 1 set priming tank 500 liter</v>
      </c>
      <c r="D1814" s="9" t="s">
        <v>630</v>
      </c>
      <c r="E1814" s="1021">
        <f>VLOOKUP(C1814,'Sistem Air Minum'!$D$2:$I$636,6,FALSE)</f>
        <v>246400</v>
      </c>
      <c r="F1814" s="1003">
        <f>VLOOKUP(C1814,'Sistem Air Minum'!$D$2:$K$636,7,FALSE)</f>
        <v>0</v>
      </c>
      <c r="G1814" s="12">
        <f>VLOOKUP(C1814,'Sistem Air Minum'!$D$2:$K$636,8,FALSE)</f>
        <v>0</v>
      </c>
      <c r="H1814" s="374"/>
      <c r="I1814" s="16"/>
    </row>
    <row r="1815" spans="1:9" ht="24" customHeight="1">
      <c r="B1815" s="1033" t="str">
        <f>'Sistem Air Minum'!C569</f>
        <v>6.1.4.2</v>
      </c>
      <c r="C1815" s="39" t="str">
        <f>VLOOKUP(B1815,'Sistem Air Minum'!C:K,2,FALSE)</f>
        <v>Pemasangan 1 set priming tank 800 liter</v>
      </c>
      <c r="D1815" s="9" t="s">
        <v>630</v>
      </c>
      <c r="E1815" s="1021">
        <f>VLOOKUP(C1815,'Sistem Air Minum'!$D$2:$I$636,6,FALSE)</f>
        <v>262700</v>
      </c>
      <c r="F1815" s="1003">
        <f>VLOOKUP(C1815,'Sistem Air Minum'!$D$2:$K$636,7,FALSE)</f>
        <v>0</v>
      </c>
      <c r="G1815" s="12">
        <f>VLOOKUP(C1815,'Sistem Air Minum'!$D$2:$K$636,8,FALSE)</f>
        <v>0</v>
      </c>
      <c r="H1815" s="374"/>
      <c r="I1815" s="16"/>
    </row>
    <row r="1816" spans="1:9" ht="24" customHeight="1">
      <c r="B1816" s="1033" t="str">
        <f>'Sistem Air Minum'!C586</f>
        <v>6.1.4.3</v>
      </c>
      <c r="C1816" s="39" t="str">
        <f>VLOOKUP(B1816,'Sistem Air Minum'!C:K,2,FALSE)</f>
        <v>Pemasangan 1 set priming tank 1.000 liter</v>
      </c>
      <c r="D1816" s="9" t="s">
        <v>630</v>
      </c>
      <c r="E1816" s="1021">
        <f>VLOOKUP(C1816,'Sistem Air Minum'!$D$2:$I$636,6,FALSE)</f>
        <v>287700</v>
      </c>
      <c r="F1816" s="1003">
        <f>VLOOKUP(C1816,'Sistem Air Minum'!$D$2:$K$636,7,FALSE)</f>
        <v>0</v>
      </c>
      <c r="G1816" s="12">
        <f>VLOOKUP(C1816,'Sistem Air Minum'!$D$2:$K$636,8,FALSE)</f>
        <v>0</v>
      </c>
      <c r="H1816" s="374"/>
      <c r="I1816" s="16"/>
    </row>
    <row r="1817" spans="1:9" ht="24" customHeight="1">
      <c r="B1817" s="1033" t="str">
        <f>'Sistem Air Minum'!C603</f>
        <v>6.1.4.4</v>
      </c>
      <c r="C1817" s="39" t="str">
        <f>VLOOKUP(B1817,'Sistem Air Minum'!C:K,2,FALSE)</f>
        <v>Pemasangan 1 set priming tank 2.000 liter</v>
      </c>
      <c r="D1817" s="9" t="s">
        <v>630</v>
      </c>
      <c r="E1817" s="1021">
        <f>VLOOKUP(C1817,'Sistem Air Minum'!$D$2:$I$636,6,FALSE)</f>
        <v>328600</v>
      </c>
      <c r="F1817" s="1003">
        <f>VLOOKUP(C1817,'Sistem Air Minum'!$D$2:$K$636,7,FALSE)</f>
        <v>0</v>
      </c>
      <c r="G1817" s="12">
        <f>VLOOKUP(C1817,'Sistem Air Minum'!$D$2:$K$636,8,FALSE)</f>
        <v>0</v>
      </c>
      <c r="H1817" s="374"/>
      <c r="I1817" s="16"/>
    </row>
    <row r="1818" spans="1:9" ht="24" customHeight="1">
      <c r="B1818" s="1033" t="str">
        <f>'Sistem Air Minum'!C620</f>
        <v>6.1.4.5</v>
      </c>
      <c r="C1818" s="39" t="str">
        <f>VLOOKUP(B1818,'Sistem Air Minum'!C:K,2,FALSE)</f>
        <v>Pemasangan 1 set pressure tank 1.000 liter</v>
      </c>
      <c r="D1818" s="9" t="s">
        <v>630</v>
      </c>
      <c r="E1818" s="1021">
        <f>VLOOKUP(C1818,'Sistem Air Minum'!$D$2:$I$636,6,FALSE)</f>
        <v>287700</v>
      </c>
      <c r="F1818" s="1003">
        <f>VLOOKUP(C1818,'Sistem Air Minum'!$D$2:$K$636,7,FALSE)</f>
        <v>0</v>
      </c>
      <c r="G1818" s="12">
        <f>VLOOKUP(C1818,'Sistem Air Minum'!$D$2:$K$636,8,FALSE)</f>
        <v>0</v>
      </c>
      <c r="H1818" s="374"/>
      <c r="I1818" s="16"/>
    </row>
    <row r="1819" spans="1:9" ht="24" customHeight="1">
      <c r="B1819" s="1031" t="str">
        <f>'Sistem Air Limbah'!C3</f>
        <v>6.2</v>
      </c>
      <c r="C1819" s="1001" t="str">
        <f>VLOOKUP(B1819,'Sistem Air Limbah'!C:J,2,FALSE)</f>
        <v xml:space="preserve">SISTEM AIR LIMBAH </v>
      </c>
      <c r="D1819" s="983"/>
      <c r="E1819" s="1024"/>
      <c r="F1819" s="1004" t="e">
        <f>VLOOKUP(C1819,'Sistem Air Minum'!$D$2:$K$636,7,FALSE)</f>
        <v>#N/A</v>
      </c>
      <c r="G1819" s="36" t="e">
        <f>VLOOKUP(C1819,'Sistem Air Minum'!$D$2:$K$636,8,FALSE)</f>
        <v>#N/A</v>
      </c>
      <c r="H1819" s="374"/>
      <c r="I1819" s="16"/>
    </row>
    <row r="1820" spans="1:9" ht="24" customHeight="1">
      <c r="B1820" s="1053" t="str">
        <f>'Sistem Air Limbah'!C4</f>
        <v>6.2.1</v>
      </c>
      <c r="C1820" s="40" t="str">
        <f>VLOOKUP(B1820,'Sistem Air Limbah'!C:J,2,FALSE)</f>
        <v xml:space="preserve">Sewage Treatment Plan (STP) /Biofilter </v>
      </c>
      <c r="D1820" s="22"/>
      <c r="E1820" s="1021">
        <f>VLOOKUP(C1820,'Sistem Air Limbah'!D2:I2198,6,FALSE)</f>
        <v>0</v>
      </c>
      <c r="F1820" s="1003">
        <f>VLOOKUP(C1820,'Sistem Air Limbah'!D2:J2198,7,FALSE)</f>
        <v>0</v>
      </c>
      <c r="G1820" s="12">
        <f>VLOOKUP(C1820,'Sistem Air Limbah'!D2:K2198,8,FALSE)</f>
        <v>0</v>
      </c>
      <c r="H1820" s="374"/>
      <c r="I1820" s="16"/>
    </row>
    <row r="1821" spans="1:9" ht="24" customHeight="1">
      <c r="B1821" s="1033" t="str">
        <f>'Sistem Air Limbah'!C5</f>
        <v>6.2.1.1</v>
      </c>
      <c r="C1821" s="39" t="str">
        <f>VLOOKUP(B1821,'Sistem Air Limbah'!C:J,2,FALSE)</f>
        <v>Pemasangan 1 set Sewage Treatment Plant (STP) fiberglass kap. 2 m3</v>
      </c>
      <c r="D1821" s="9" t="s">
        <v>630</v>
      </c>
      <c r="E1821" s="1021">
        <f>VLOOKUP(C1821,'Sistem Air Limbah'!D3:I2199,6,FALSE)</f>
        <v>522000</v>
      </c>
      <c r="F1821" s="1003">
        <f>VLOOKUP(C1821,'Sistem Air Limbah'!D3:J2199,7,FALSE)</f>
        <v>0</v>
      </c>
      <c r="G1821" s="12">
        <f>VLOOKUP(C1821,'Sistem Air Limbah'!D3:K2199,8,FALSE)</f>
        <v>0</v>
      </c>
      <c r="H1821" s="374"/>
      <c r="I1821" s="16"/>
    </row>
    <row r="1822" spans="1:9" ht="24" customHeight="1">
      <c r="B1822" s="1033" t="str">
        <f>'Sistem Air Limbah'!C23</f>
        <v>6.2.1.2</v>
      </c>
      <c r="C1822" s="39" t="str">
        <f>VLOOKUP(B1822,'Sistem Air Limbah'!C:J,2,FALSE)</f>
        <v>Pemasangan 1 set Sewage Treatment Plant (STP) fiberglass kap. 5 m3</v>
      </c>
      <c r="D1822" s="9" t="s">
        <v>630</v>
      </c>
      <c r="E1822" s="1021">
        <f>VLOOKUP(C1822,'Sistem Air Limbah'!D4:I2200,6,FALSE)</f>
        <v>1303100</v>
      </c>
      <c r="F1822" s="1003">
        <f>VLOOKUP(C1822,'Sistem Air Limbah'!D4:J2200,7,FALSE)</f>
        <v>0</v>
      </c>
      <c r="G1822" s="12">
        <f>VLOOKUP(C1822,'Sistem Air Limbah'!D4:K2200,8,FALSE)</f>
        <v>0</v>
      </c>
      <c r="H1822" s="374"/>
      <c r="I1822" s="16"/>
    </row>
    <row r="1823" spans="1:9" ht="24" customHeight="1">
      <c r="B1823" s="1033" t="str">
        <f>'Sistem Air Limbah'!C40</f>
        <v>6.2.1.3</v>
      </c>
      <c r="C1823" s="39" t="str">
        <f>VLOOKUP(B1823,'Sistem Air Limbah'!C:J,2,FALSE)</f>
        <v>Pemasangan 1 set Sewage Treatment Plant (STP) fiberglass kap. 10 m3</v>
      </c>
      <c r="D1823" s="9" t="s">
        <v>630</v>
      </c>
      <c r="E1823" s="1021">
        <f>VLOOKUP(C1823,'Sistem Air Limbah'!D5:I2201,6,FALSE)</f>
        <v>2629000</v>
      </c>
      <c r="F1823" s="1003">
        <f>VLOOKUP(C1823,'Sistem Air Limbah'!D5:J2201,7,FALSE)</f>
        <v>0</v>
      </c>
      <c r="G1823" s="12">
        <f>VLOOKUP(C1823,'Sistem Air Limbah'!D5:K2201,8,FALSE)</f>
        <v>0</v>
      </c>
      <c r="H1823" s="374"/>
      <c r="I1823" s="16"/>
    </row>
    <row r="1824" spans="1:9" ht="24" customHeight="1">
      <c r="B1824" s="1033" t="str">
        <f>'Sistem Air Limbah'!C57</f>
        <v>6.2.1.4</v>
      </c>
      <c r="C1824" s="39" t="str">
        <f>VLOOKUP(B1824,'Sistem Air Limbah'!C:J,2,FALSE)</f>
        <v>Pemasangan 1 set Sewage Treatment Plant (STP) fiberglass kap. 30 m3</v>
      </c>
      <c r="D1824" s="9" t="s">
        <v>630</v>
      </c>
      <c r="E1824" s="1021">
        <f>VLOOKUP(C1824,'Sistem Air Limbah'!D6:I2202,6,FALSE)</f>
        <v>7846300</v>
      </c>
      <c r="F1824" s="1003">
        <f>VLOOKUP(C1824,'Sistem Air Limbah'!D6:J2202,7,FALSE)</f>
        <v>0</v>
      </c>
      <c r="G1824" s="12">
        <f>VLOOKUP(C1824,'Sistem Air Limbah'!D6:K2202,8,FALSE)</f>
        <v>0</v>
      </c>
      <c r="H1824" s="374"/>
      <c r="I1824" s="16"/>
    </row>
    <row r="1825" spans="1:9" ht="24" customHeight="1">
      <c r="B1825" s="1033" t="str">
        <f>'Sistem Air Limbah'!C74</f>
        <v>6.2.1.5</v>
      </c>
      <c r="C1825" s="39" t="str">
        <f>VLOOKUP(B1825,'Sistem Air Limbah'!C:J,2,FALSE)</f>
        <v>Pemasangan 1 set Sewage Treatment Plant (STP) precast kap. 30 m3</v>
      </c>
      <c r="D1825" s="9" t="s">
        <v>630</v>
      </c>
      <c r="E1825" s="1021">
        <f>VLOOKUP(C1825,'Sistem Air Limbah'!D7:I2203,6,FALSE)</f>
        <v>11297000</v>
      </c>
      <c r="F1825" s="1003">
        <f>VLOOKUP(C1825,'Sistem Air Limbah'!D7:J2203,7,FALSE)</f>
        <v>0</v>
      </c>
      <c r="G1825" s="12">
        <f>VLOOKUP(C1825,'Sistem Air Limbah'!D7:K2203,8,FALSE)</f>
        <v>0</v>
      </c>
      <c r="H1825" s="374"/>
      <c r="I1825" s="16"/>
    </row>
    <row r="1826" spans="1:9" ht="24" customHeight="1">
      <c r="B1826" s="1033" t="str">
        <f>'Sistem Air Limbah'!C91</f>
        <v>6.2.1.6</v>
      </c>
      <c r="C1826" s="39" t="str">
        <f>VLOOKUP(B1826,'Sistem Air Limbah'!C:J,2,FALSE)</f>
        <v>Pemasangan 1 set Sewage Treatment Plant (STP) Fiberglass kap. 1 m3</v>
      </c>
      <c r="D1826" s="9" t="s">
        <v>630</v>
      </c>
      <c r="E1826" s="1021">
        <f>VLOOKUP(C1826,'Sistem Air Limbah'!D8:I2204,6,FALSE)</f>
        <v>261000</v>
      </c>
      <c r="F1826" s="1003">
        <f>VLOOKUP(C1826,'Sistem Air Limbah'!D8:J2204,7,FALSE)</f>
        <v>0</v>
      </c>
      <c r="G1826" s="12">
        <f>VLOOKUP(C1826,'Sistem Air Limbah'!D8:K2204,8,FALSE)</f>
        <v>0</v>
      </c>
      <c r="H1826" s="374"/>
      <c r="I1826" s="16"/>
    </row>
    <row r="1827" spans="1:9" s="1" customFormat="1" ht="24" customHeight="1">
      <c r="A1827" s="47"/>
      <c r="B1827" s="1041" t="str">
        <f>'Sistem Air Limbah'!C108</f>
        <v>6.2.2</v>
      </c>
      <c r="C1827" s="40" t="str">
        <f>VLOOKUP(B1827,'Sistem Air Limbah'!C:J,2,FALSE)</f>
        <v>Bak Pengumpulan  (sump Pit )</v>
      </c>
      <c r="D1827" s="19"/>
      <c r="E1827" s="1021">
        <f>VLOOKUP(C1827,'Sistem Air Limbah'!D9:I2205,6,FALSE)</f>
        <v>0</v>
      </c>
      <c r="F1827" s="1003">
        <f>VLOOKUP(C1827,'Sistem Air Limbah'!D9:J2205,7,FALSE)</f>
        <v>0</v>
      </c>
      <c r="G1827" s="12">
        <f>VLOOKUP(C1827,'Sistem Air Limbah'!D9:K2205,8,FALSE)</f>
        <v>0</v>
      </c>
      <c r="H1827" s="1092"/>
      <c r="I1827" s="21"/>
    </row>
    <row r="1828" spans="1:9" ht="24" customHeight="1">
      <c r="B1828" s="1033" t="str">
        <f>'Sistem Air Limbah'!C109</f>
        <v>6.2.2.1</v>
      </c>
      <c r="C1828" s="39" t="str">
        <f>VLOOKUP(B1828,'Sistem Air Limbah'!C:J,2,FALSE)</f>
        <v xml:space="preserve">Pemasangan 1 unit pompa sump pit air kotor 100 m3/jam, submersible cutter pump </v>
      </c>
      <c r="D1828" s="9" t="s">
        <v>135</v>
      </c>
      <c r="E1828" s="1021">
        <f>VLOOKUP(C1828,'Sistem Air Limbah'!D10:I2206,6,FALSE)</f>
        <v>174200</v>
      </c>
      <c r="F1828" s="1003">
        <f>VLOOKUP(C1828,'Sistem Air Limbah'!D10:J2206,7,FALSE)</f>
        <v>0</v>
      </c>
      <c r="G1828" s="12">
        <f>VLOOKUP(C1828,'Sistem Air Limbah'!D10:K2206,8,FALSE)</f>
        <v>0</v>
      </c>
      <c r="H1828" s="374"/>
      <c r="I1828" s="16"/>
    </row>
    <row r="1829" spans="1:9" s="1" customFormat="1" ht="24" customHeight="1">
      <c r="A1829" s="47"/>
      <c r="B1829" s="1041" t="str">
        <f>'Sistem Air Limbah'!C126</f>
        <v>6.2.3</v>
      </c>
      <c r="C1829" s="1161" t="str">
        <f>VLOOKUP(B1829,'Sistem Air Limbah'!C:J,2,FALSE)</f>
        <v xml:space="preserve">Grase Trap </v>
      </c>
      <c r="D1829" s="19"/>
      <c r="E1829" s="1021">
        <f>VLOOKUP(C1829,'Sistem Air Limbah'!D11:I2207,6,FALSE)</f>
        <v>0</v>
      </c>
      <c r="F1829" s="1003">
        <f>VLOOKUP(C1829,'Sistem Air Limbah'!D11:J2207,7,FALSE)</f>
        <v>0</v>
      </c>
      <c r="G1829" s="12">
        <f>VLOOKUP(C1829,'Sistem Air Limbah'!D11:K2207,8,FALSE)</f>
        <v>0</v>
      </c>
      <c r="H1829" s="1092"/>
      <c r="I1829" s="21"/>
    </row>
    <row r="1830" spans="1:9" ht="24" customHeight="1">
      <c r="B1830" s="1033" t="str">
        <f>'Sistem Air Limbah'!C127</f>
        <v>6.2.3.1</v>
      </c>
      <c r="C1830" s="39" t="str">
        <f>VLOOKUP(B1830,'Sistem Air Limbah'!C:J,2,FALSE)</f>
        <v>Pemasangan 1 unit grease trap portable fiberglass, kap. 30 Liter</v>
      </c>
      <c r="D1830" s="9" t="s">
        <v>135</v>
      </c>
      <c r="E1830" s="1021">
        <f>VLOOKUP(C1830,'Sistem Air Limbah'!D12:I2208,6,FALSE)</f>
        <v>1226200</v>
      </c>
      <c r="F1830" s="1003">
        <f>VLOOKUP(C1830,'Sistem Air Limbah'!D12:J2208,7,FALSE)</f>
        <v>0</v>
      </c>
      <c r="G1830" s="12">
        <f>VLOOKUP(C1830,'Sistem Air Limbah'!D12:K2208,8,FALSE)</f>
        <v>0</v>
      </c>
      <c r="H1830" s="374"/>
      <c r="I1830" s="16"/>
    </row>
    <row r="1831" spans="1:9" ht="24" customHeight="1">
      <c r="B1831" s="1033" t="str">
        <f>'Sistem Air Limbah'!C144</f>
        <v>6.2.3.2</v>
      </c>
      <c r="C1831" s="39" t="str">
        <f>VLOOKUP(B1831,'Sistem Air Limbah'!C:J,2,FALSE)</f>
        <v>Pemasangan 1 unit grease trap portable stainless, kap. 30 Liter</v>
      </c>
      <c r="D1831" s="9" t="s">
        <v>135</v>
      </c>
      <c r="E1831" s="1021">
        <f>VLOOKUP(C1831,'Sistem Air Limbah'!D13:I2209,6,FALSE)</f>
        <v>1790000</v>
      </c>
      <c r="F1831" s="1003">
        <f>VLOOKUP(C1831,'Sistem Air Limbah'!D13:J2209,7,FALSE)</f>
        <v>0</v>
      </c>
      <c r="G1831" s="12">
        <f>VLOOKUP(C1831,'Sistem Air Limbah'!D13:K2209,8,FALSE)</f>
        <v>0</v>
      </c>
      <c r="H1831" s="374"/>
      <c r="I1831" s="16"/>
    </row>
    <row r="1832" spans="1:9" ht="24" customHeight="1">
      <c r="B1832" s="1033" t="str">
        <f>'Sistem Air Limbah'!C161</f>
        <v>6.2.3.3</v>
      </c>
      <c r="C1832" s="39" t="str">
        <f>VLOOKUP(B1832,'Sistem Air Limbah'!C:J,2,FALSE)</f>
        <v>Pemasangan 1 unit grease trap central fiberglass, kap. 5 m3</v>
      </c>
      <c r="D1832" s="9" t="s">
        <v>135</v>
      </c>
      <c r="E1832" s="1021">
        <f>VLOOKUP(C1832,'Sistem Air Limbah'!D14:I2210,6,FALSE)</f>
        <v>22960800</v>
      </c>
      <c r="F1832" s="1003">
        <f>VLOOKUP(C1832,'Sistem Air Limbah'!D14:J2210,7,FALSE)</f>
        <v>0</v>
      </c>
      <c r="G1832" s="12">
        <f>VLOOKUP(C1832,'Sistem Air Limbah'!D14:K2210,8,FALSE)</f>
        <v>0</v>
      </c>
      <c r="H1832" s="374"/>
      <c r="I1832" s="16"/>
    </row>
    <row r="1833" spans="1:9" s="1" customFormat="1" ht="24" customHeight="1">
      <c r="A1833" s="47"/>
      <c r="B1833" s="1041" t="str">
        <f>'Sistem Air Limbah'!C178</f>
        <v xml:space="preserve">6.2.4 </v>
      </c>
      <c r="C1833" s="1161" t="str">
        <f>VLOOKUP(B1833,'Sistem Air Limbah'!C:J,2,FALSE)</f>
        <v xml:space="preserve">Sumur Resapan </v>
      </c>
      <c r="D1833" s="19"/>
      <c r="E1833" s="1021">
        <f>VLOOKUP(C1833,'Sistem Air Limbah'!D15:I2211,6,FALSE)</f>
        <v>0</v>
      </c>
      <c r="F1833" s="1003">
        <f>VLOOKUP(C1833,'Sistem Air Limbah'!D15:J2211,7,FALSE)</f>
        <v>0</v>
      </c>
      <c r="G1833" s="12">
        <f>VLOOKUP(C1833,'Sistem Air Limbah'!D15:K2211,8,FALSE)</f>
        <v>0</v>
      </c>
      <c r="H1833" s="1092"/>
      <c r="I1833" s="21"/>
    </row>
    <row r="1834" spans="1:9" ht="24" customHeight="1">
      <c r="B1834" s="1033" t="str">
        <f>'Sistem Air Limbah'!C179</f>
        <v>6.2.4.1</v>
      </c>
      <c r="C1834" s="39" t="str">
        <f>VLOOKUP(B1834,'Sistem Air Limbah'!C:J,2,FALSE)</f>
        <v>Pemasangan 1 buah Sumur Resapan Air Limbah diameter 80 cm, t=100 cm ( dengan tutup Beton)</v>
      </c>
      <c r="D1834" s="9" t="s">
        <v>135</v>
      </c>
      <c r="E1834" s="1021">
        <f>VLOOKUP(C1834,'Sistem Air Limbah'!D16:I2212,6,FALSE)</f>
        <v>1029300</v>
      </c>
      <c r="F1834" s="1003">
        <f>VLOOKUP(C1834,'Sistem Air Limbah'!D16:J2212,7,FALSE)</f>
        <v>0</v>
      </c>
      <c r="G1834" s="12">
        <f>VLOOKUP(C1834,'Sistem Air Limbah'!D16:K2212,8,FALSE)</f>
        <v>0</v>
      </c>
      <c r="H1834" s="374"/>
      <c r="I1834" s="16"/>
    </row>
    <row r="1835" spans="1:9" ht="24" customHeight="1">
      <c r="B1835" s="1033" t="str">
        <f>'Sistem Air Limbah'!C204</f>
        <v>6.2.1.8</v>
      </c>
      <c r="C1835" s="39" t="str">
        <f>VLOOKUP(B1835,'Sistem Air Limbah'!C:J,2,FALSE)</f>
        <v>Pemasangan 1 buah Sumur Resapan Air Limbah diameter 80 cm, t=100 cm ( tanpa tutup Beton)</v>
      </c>
      <c r="D1835" s="9" t="s">
        <v>135</v>
      </c>
      <c r="E1835" s="1021">
        <f>VLOOKUP(C1835,'Sistem Air Limbah'!D17:I2213,6,FALSE)</f>
        <v>924200</v>
      </c>
      <c r="F1835" s="1003">
        <f>VLOOKUP(C1835,'Sistem Air Limbah'!D17:J2213,7,FALSE)</f>
        <v>0</v>
      </c>
      <c r="G1835" s="12">
        <f>VLOOKUP(C1835,'Sistem Air Limbah'!D17:K2213,8,FALSE)</f>
        <v>0</v>
      </c>
      <c r="H1835" s="374"/>
      <c r="I1835" s="16"/>
    </row>
    <row r="1836" spans="1:9" ht="24" customHeight="1">
      <c r="B1836" s="1052" t="str">
        <f>'Bak Kontrol'!C3</f>
        <v>6.3</v>
      </c>
      <c r="C1836" s="1001" t="str">
        <f>VLOOKUP(B1836,'Bak Kontrol'!C:L,2,FALSE)</f>
        <v>PEKERJAAN BAK KONTROL</v>
      </c>
      <c r="D1836" s="983"/>
      <c r="E1836" s="1024"/>
      <c r="F1836" s="1004" t="e">
        <f>VLOOKUP(C1836,'Sistem Air Limbah'!D18:J2214,7,FALSE)</f>
        <v>#N/A</v>
      </c>
      <c r="G1836" s="36" t="e">
        <f>VLOOKUP(C1836,'Sistem Air Limbah'!D18:K2214,8,FALSE)</f>
        <v>#N/A</v>
      </c>
      <c r="H1836" s="374"/>
      <c r="I1836" s="16"/>
    </row>
    <row r="1837" spans="1:9" ht="24" customHeight="1">
      <c r="B1837" s="1033" t="str">
        <f>'Bak Kontrol'!C4</f>
        <v>6.3.1</v>
      </c>
      <c r="C1837" s="39" t="str">
        <f>VLOOKUP(B1837,'Bak Kontrol'!C:L,2,FALSE)</f>
        <v>Pemasangan 1 buah bak kontrol pas. bata 30x30 cm tinggi 35 cm dengan tutup beton</v>
      </c>
      <c r="D1837" s="9" t="s">
        <v>44</v>
      </c>
      <c r="E1837" s="1021">
        <f>VLOOKUP(C1837,'Bak Kontrol'!$D$3:$I$68,6,FALSE)</f>
        <v>553000</v>
      </c>
      <c r="F1837" s="1003">
        <f>VLOOKUP(C1837,'Bak Kontrol'!$D$3:$J$68,7,FALSE)</f>
        <v>0</v>
      </c>
      <c r="G1837" s="12">
        <f>VLOOKUP(C1837,'Bak Kontrol'!$D$3:$K$68,8,FALSE)</f>
        <v>0</v>
      </c>
      <c r="H1837" s="374"/>
      <c r="I1837" s="16"/>
    </row>
    <row r="1838" spans="1:9" ht="24" customHeight="1">
      <c r="B1838" s="1033" t="str">
        <f>'Bak Kontrol'!C26</f>
        <v>6.3.2</v>
      </c>
      <c r="C1838" s="39" t="str">
        <f>VLOOKUP(B1838,'Bak Kontrol'!C:L,2,FALSE)</f>
        <v>Pemasangan 1 buah bak kontrol pas. bata 45x45 cm tinggi 50 cm dengan tutup beton</v>
      </c>
      <c r="D1838" s="9" t="s">
        <v>44</v>
      </c>
      <c r="E1838" s="1021">
        <f>VLOOKUP(C1838,'Bak Kontrol'!$D$3:$I$68,6,FALSE)</f>
        <v>829700</v>
      </c>
      <c r="F1838" s="1003">
        <f>VLOOKUP(C1838,'Bak Kontrol'!$D$3:$J$68,7,FALSE)</f>
        <v>0</v>
      </c>
      <c r="G1838" s="12">
        <f>VLOOKUP(C1838,'Bak Kontrol'!$D$3:$K$68,8,FALSE)</f>
        <v>0</v>
      </c>
      <c r="H1838" s="374"/>
      <c r="I1838" s="16"/>
    </row>
    <row r="1839" spans="1:9" ht="24" customHeight="1">
      <c r="B1839" s="1033" t="str">
        <f>'Bak Kontrol'!C48</f>
        <v>6.3.3</v>
      </c>
      <c r="C1839" s="39" t="str">
        <f>VLOOKUP(B1839,'Bak Kontrol'!C:L,2,FALSE)</f>
        <v>Pemasangan 1 buah bak kontrol pas. bata 60x60 cm tinggi 65 cm dengan tutup beton</v>
      </c>
      <c r="D1839" s="9" t="s">
        <v>44</v>
      </c>
      <c r="E1839" s="1021">
        <f>VLOOKUP(C1839,'Bak Kontrol'!$D$3:$I$68,6,FALSE)</f>
        <v>998000</v>
      </c>
      <c r="F1839" s="1003">
        <f>VLOOKUP(C1839,'Bak Kontrol'!$D$3:$J$68,7,FALSE)</f>
        <v>0</v>
      </c>
      <c r="G1839" s="12">
        <f>VLOOKUP(C1839,'Bak Kontrol'!$D$3:$K$68,8,FALSE)</f>
        <v>0</v>
      </c>
      <c r="H1839" s="374"/>
      <c r="I1839" s="16"/>
    </row>
    <row r="1840" spans="1:9" ht="24" customHeight="1">
      <c r="B1840" s="1031" t="str">
        <f>'Perpipaan dalam Gedung '!C2</f>
        <v>6.4</v>
      </c>
      <c r="C1840" s="1001" t="str">
        <f>VLOOKUP(B1840,'Perpipaan dalam Gedung '!C:K,2,FALSE)</f>
        <v xml:space="preserve">SISTEM PERPIPAAN DALAM GEDUNG </v>
      </c>
      <c r="D1840" s="983"/>
      <c r="E1840" s="1024"/>
      <c r="F1840" s="1004" t="e">
        <f>VLOOKUP(C1840,Persiapan!$D$5:$M$679,10,FALSE)</f>
        <v>#N/A</v>
      </c>
      <c r="G1840" s="1088"/>
      <c r="H1840" s="374"/>
      <c r="I1840" s="16"/>
    </row>
    <row r="1841" spans="2:9" ht="24" customHeight="1">
      <c r="B1841" s="1053" t="str">
        <f>'Perpipaan dalam Gedung '!C3</f>
        <v>6.4.1</v>
      </c>
      <c r="C1841" s="40" t="str">
        <f>VLOOKUP(B1841,'Perpipaan dalam Gedung '!C:K,2,FALSE)</f>
        <v xml:space="preserve">Pipa PVC </v>
      </c>
      <c r="D1841" s="22"/>
      <c r="E1841" s="1025"/>
      <c r="F1841" s="1003" t="e">
        <f>VLOOKUP(C1841,Persiapan!$D$5:$M$679,10,FALSE)</f>
        <v>#N/A</v>
      </c>
      <c r="H1841" s="374"/>
      <c r="I1841" s="16"/>
    </row>
    <row r="1842" spans="2:9" ht="24" customHeight="1">
      <c r="B1842" s="1033" t="str">
        <f>'Perpipaan dalam Gedung '!C4</f>
        <v>6.4.1.1</v>
      </c>
      <c r="C1842" s="1159" t="str">
        <f>VLOOKUP(B1842,'Perpipaan dalam Gedung '!C:K,2,FALSE)</f>
        <v>Pemasangan 1 m pipa PVC AW, DN. 1/2" (15 mm)</v>
      </c>
      <c r="D1842" s="9" t="s">
        <v>113</v>
      </c>
      <c r="E1842" s="1021">
        <f>VLOOKUP(C1842,'Perpipaan dalam Gedung '!$D$2:$I$5226,6,FALSE)</f>
        <v>8200</v>
      </c>
      <c r="F1842" s="1003" t="str">
        <f>VLOOKUP(C1842,'Perpipaan dalam Gedung '!$D$2:$J$5226,7,FALSE)</f>
        <v>Revisi</v>
      </c>
      <c r="G1842" s="12" t="str">
        <f>VLOOKUP(C1842,'Perpipaan dalam Gedung '!$D$2:$K$5226,8,FALSE)</f>
        <v>Perubahan Diameter (Dia.) menjadi diameter Nominal (DN)</v>
      </c>
      <c r="H1842" s="374"/>
      <c r="I1842" s="16"/>
    </row>
    <row r="1843" spans="2:9" ht="24" customHeight="1">
      <c r="B1843" s="1033" t="str">
        <f>'Perpipaan dalam Gedung '!C22</f>
        <v>6.4.1.2</v>
      </c>
      <c r="C1843" s="1159" t="str">
        <f>VLOOKUP(B1843,'Perpipaan dalam Gedung '!C:K,2,FALSE)</f>
        <v>Pemasangan 1 m pipa PVC AW, DN. 3/4" (20 mm)</v>
      </c>
      <c r="D1843" s="9" t="s">
        <v>113</v>
      </c>
      <c r="E1843" s="1021">
        <f>VLOOKUP(C1843,'Perpipaan dalam Gedung '!$D$2:$I$5226,6,FALSE)</f>
        <v>24200</v>
      </c>
      <c r="F1843" s="1003" t="str">
        <f>VLOOKUP(C1843,'Perpipaan dalam Gedung '!$D$2:$J$5226,7,FALSE)</f>
        <v>Revisi</v>
      </c>
      <c r="G1843" s="12" t="str">
        <f>VLOOKUP(C1843,'Perpipaan dalam Gedung '!$D$2:$K$5226,8,FALSE)</f>
        <v>Perubahan Diameter (Dia.) menjadi diameter Nominal (DN)</v>
      </c>
      <c r="H1843" s="374"/>
      <c r="I1843" s="16"/>
    </row>
    <row r="1844" spans="2:9" ht="24" customHeight="1">
      <c r="B1844" s="1033" t="str">
        <f>'Perpipaan dalam Gedung '!C39</f>
        <v>6.4.1.3</v>
      </c>
      <c r="C1844" s="1159" t="str">
        <f>VLOOKUP(B1844,'Perpipaan dalam Gedung '!C:K,2,FALSE)</f>
        <v>Pemasangan 1 m pipa PVC AW, DN. 1" (25 mm)</v>
      </c>
      <c r="D1844" s="9" t="s">
        <v>113</v>
      </c>
      <c r="E1844" s="1021">
        <f>VLOOKUP(C1844,'Perpipaan dalam Gedung '!$D$2:$I$5226,6,FALSE)</f>
        <v>12300</v>
      </c>
      <c r="F1844" s="1003" t="str">
        <f>VLOOKUP(C1844,'Perpipaan dalam Gedung '!$D$2:$J$5226,7,FALSE)</f>
        <v>Revisi</v>
      </c>
      <c r="G1844" s="12" t="str">
        <f>VLOOKUP(C1844,'Perpipaan dalam Gedung '!$D$2:$K$5226,8,FALSE)</f>
        <v>Perubahan Diameter (Dia.) menjadi diameter Nominal (DN)</v>
      </c>
      <c r="H1844" s="374"/>
      <c r="I1844" s="16"/>
    </row>
    <row r="1845" spans="2:9" ht="24" customHeight="1">
      <c r="B1845" s="1033" t="str">
        <f>'Perpipaan dalam Gedung '!C57</f>
        <v>6.4.1.4</v>
      </c>
      <c r="C1845" s="39" t="str">
        <f>VLOOKUP(B1845,'Perpipaan dalam Gedung '!C:K,2,FALSE)</f>
        <v>Pemasangan 1 m pipa PVC AW, DN. 1-1/4" (32 mm)</v>
      </c>
      <c r="D1845" s="9" t="s">
        <v>113</v>
      </c>
      <c r="E1845" s="1021">
        <f>VLOOKUP(C1845,'Perpipaan dalam Gedung '!$D$2:$I$5226,6,FALSE)</f>
        <v>16000</v>
      </c>
      <c r="F1845" s="1003" t="str">
        <f>VLOOKUP(C1845,'Perpipaan dalam Gedung '!$D$2:$J$5226,7,FALSE)</f>
        <v>Revisi</v>
      </c>
      <c r="G1845" s="12" t="str">
        <f>VLOOKUP(C1845,'Perpipaan dalam Gedung '!$D$2:$K$5226,8,FALSE)</f>
        <v>Perubahan Diameter (Dia.) menjadi diameter Nominal (DN)</v>
      </c>
      <c r="H1845" s="374"/>
      <c r="I1845" s="16"/>
    </row>
    <row r="1846" spans="2:9" ht="24" customHeight="1">
      <c r="B1846" s="1033" t="str">
        <f>'Perpipaan dalam Gedung '!C76</f>
        <v>6.4.1.5</v>
      </c>
      <c r="C1846" s="1159" t="str">
        <f>VLOOKUP(B1846,'Perpipaan dalam Gedung '!C:K,2,FALSE)</f>
        <v>Pemasangan 1 m pipa PVC AW, DN. 1-1/2" (40 mm)</v>
      </c>
      <c r="D1846" s="9" t="s">
        <v>113</v>
      </c>
      <c r="E1846" s="1021">
        <f>VLOOKUP(C1846,'Perpipaan dalam Gedung '!$D$2:$I$5226,6,FALSE)</f>
        <v>18800</v>
      </c>
      <c r="F1846" s="1003" t="str">
        <f>VLOOKUP(C1846,'Perpipaan dalam Gedung '!$D$2:$J$5226,7,FALSE)</f>
        <v>Revisi</v>
      </c>
      <c r="G1846" s="12" t="str">
        <f>VLOOKUP(C1846,'Perpipaan dalam Gedung '!$D$2:$K$5226,8,FALSE)</f>
        <v>Perubahan Diameter (Dia.) menjadi diameter Nominal (DN)</v>
      </c>
      <c r="H1846" s="374"/>
      <c r="I1846" s="16"/>
    </row>
    <row r="1847" spans="2:9" ht="24" customHeight="1">
      <c r="B1847" s="1033" t="str">
        <f>'Perpipaan dalam Gedung '!C94</f>
        <v>6.4.1.6</v>
      </c>
      <c r="C1847" s="39" t="str">
        <f>VLOOKUP(B1847,'Perpipaan dalam Gedung '!C:K,2,FALSE)</f>
        <v>Pemasangan 1 m pipa PVC AW, DN. 2" (50 mm)</v>
      </c>
      <c r="D1847" s="9" t="s">
        <v>113</v>
      </c>
      <c r="E1847" s="1021">
        <f>VLOOKUP(C1847,'Perpipaan dalam Gedung '!$D$2:$I$5226,6,FALSE)</f>
        <v>24500</v>
      </c>
      <c r="F1847" s="1003" t="str">
        <f>VLOOKUP(C1847,'Perpipaan dalam Gedung '!$D$2:$J$5226,7,FALSE)</f>
        <v>Revisi</v>
      </c>
      <c r="G1847" s="12" t="str">
        <f>VLOOKUP(C1847,'Perpipaan dalam Gedung '!$D$2:$K$5226,8,FALSE)</f>
        <v>Perubahan Diameter (Dia.) menjadi diameter Nominal (DN)</v>
      </c>
      <c r="H1847" s="374"/>
      <c r="I1847" s="16"/>
    </row>
    <row r="1848" spans="2:9" ht="24" customHeight="1">
      <c r="B1848" s="1033" t="str">
        <f>'Perpipaan dalam Gedung '!C112</f>
        <v>6.4.1.7</v>
      </c>
      <c r="C1848" s="39" t="str">
        <f>VLOOKUP(B1848,'Perpipaan dalam Gedung '!C:K,2,FALSE)</f>
        <v>Pemasangan 1 m pipa PVC AW, DN. 2-1/2" (65 mm)</v>
      </c>
      <c r="D1848" s="9" t="s">
        <v>113</v>
      </c>
      <c r="E1848" s="1021">
        <f>VLOOKUP(C1848,'Perpipaan dalam Gedung '!$D$2:$I$5226,6,FALSE)</f>
        <v>30400</v>
      </c>
      <c r="F1848" s="1003" t="str">
        <f>VLOOKUP(C1848,'Perpipaan dalam Gedung '!$D$2:$J$5226,7,FALSE)</f>
        <v>Revisi</v>
      </c>
      <c r="G1848" s="12" t="str">
        <f>VLOOKUP(C1848,'Perpipaan dalam Gedung '!$D$2:$K$5226,8,FALSE)</f>
        <v>Perubahan Diameter (Dia.) menjadi diameter Nominal (DN)</v>
      </c>
      <c r="H1848" s="374"/>
      <c r="I1848" s="16"/>
    </row>
    <row r="1849" spans="2:9" ht="24" customHeight="1">
      <c r="B1849" s="1033" t="str">
        <f>'Perpipaan dalam Gedung '!C131</f>
        <v>6.4.1.8</v>
      </c>
      <c r="C1849" s="1159" t="str">
        <f>VLOOKUP(B1849,'Perpipaan dalam Gedung '!C:K,2,FALSE)</f>
        <v>Pemasangan 1 m pipa PVC AW, DN. 3" (80 mm)</v>
      </c>
      <c r="D1849" s="9" t="s">
        <v>113</v>
      </c>
      <c r="E1849" s="1021">
        <f>VLOOKUP(C1849,'Perpipaan dalam Gedung '!$D$2:$I$5226,6,FALSE)</f>
        <v>37100</v>
      </c>
      <c r="F1849" s="1003" t="str">
        <f>VLOOKUP(C1849,'Perpipaan dalam Gedung '!$D$2:$J$5226,7,FALSE)</f>
        <v>Revisi</v>
      </c>
      <c r="G1849" s="12" t="str">
        <f>VLOOKUP(C1849,'Perpipaan dalam Gedung '!$D$2:$K$5226,8,FALSE)</f>
        <v>Perubahan Diameter (Dia.) menjadi diameter Nominal (DN)</v>
      </c>
      <c r="H1849" s="374"/>
      <c r="I1849" s="16"/>
    </row>
    <row r="1850" spans="2:9" ht="24" customHeight="1">
      <c r="B1850" s="1033" t="str">
        <f>'Perpipaan dalam Gedung '!C149</f>
        <v>6.4.1.9</v>
      </c>
      <c r="C1850" s="39" t="str">
        <f>VLOOKUP(B1850,'Perpipaan dalam Gedung '!C:K,2,FALSE)</f>
        <v>Pemasangan 1 m pipa PVC AW, DN. 4" (100 mm)</v>
      </c>
      <c r="D1850" s="9" t="s">
        <v>113</v>
      </c>
      <c r="E1850" s="1021">
        <f>VLOOKUP(C1850,'Perpipaan dalam Gedung '!$D$2:$I$5226,6,FALSE)</f>
        <v>166500</v>
      </c>
      <c r="F1850" s="1003" t="str">
        <f>VLOOKUP(C1850,'Perpipaan dalam Gedung '!$D$2:$J$5226,7,FALSE)</f>
        <v>Revisi</v>
      </c>
      <c r="G1850" s="12" t="str">
        <f>VLOOKUP(C1850,'Perpipaan dalam Gedung '!$D$2:$K$5226,8,FALSE)</f>
        <v>Perubahan Diameter (Dia.) menjadi diameter Nominal (DN)</v>
      </c>
      <c r="H1850" s="374"/>
      <c r="I1850" s="16"/>
    </row>
    <row r="1851" spans="2:9" ht="24" customHeight="1">
      <c r="B1851" s="1033" t="str">
        <f>'Perpipaan dalam Gedung '!C167</f>
        <v>6.4.1.10</v>
      </c>
      <c r="C1851" s="39" t="str">
        <f>VLOOKUP(B1851,'Perpipaan dalam Gedung '!C:K,2,FALSE)</f>
        <v>Pemasangan 1 m pipa PVC AW, DN. 5" (125 mm)</v>
      </c>
      <c r="D1851" s="9" t="s">
        <v>113</v>
      </c>
      <c r="E1851" s="1021">
        <f>VLOOKUP(C1851,'Perpipaan dalam Gedung '!$D$2:$I$5226,6,FALSE)</f>
        <v>221000</v>
      </c>
      <c r="F1851" s="1003" t="str">
        <f>VLOOKUP(C1851,'Perpipaan dalam Gedung '!$D$2:$J$5226,7,FALSE)</f>
        <v>Revisi</v>
      </c>
      <c r="G1851" s="12" t="str">
        <f>VLOOKUP(C1851,'Perpipaan dalam Gedung '!$D$2:$K$5226,8,FALSE)</f>
        <v>Perubahan Diameter (Dia.) menjadi diameter Nominal (DN)</v>
      </c>
      <c r="H1851" s="374"/>
      <c r="I1851" s="16"/>
    </row>
    <row r="1852" spans="2:9" ht="24" customHeight="1">
      <c r="B1852" s="1033" t="str">
        <f>'Perpipaan dalam Gedung '!C186</f>
        <v>6.4.1.11</v>
      </c>
      <c r="C1852" s="39" t="str">
        <f>VLOOKUP(B1852,'Perpipaan dalam Gedung '!C:K,2,FALSE)</f>
        <v>Pemasangan 1 m pipa PVC AW, DN. 6" (150 mm)</v>
      </c>
      <c r="D1852" s="9" t="s">
        <v>113</v>
      </c>
      <c r="E1852" s="1021">
        <f>VLOOKUP(C1852,'Perpipaan dalam Gedung '!$D$2:$I$5226,6,FALSE)</f>
        <v>244500</v>
      </c>
      <c r="F1852" s="1003" t="str">
        <f>VLOOKUP(C1852,'Perpipaan dalam Gedung '!$D$2:$J$5226,7,FALSE)</f>
        <v>Revisi</v>
      </c>
      <c r="G1852" s="12" t="str">
        <f>VLOOKUP(C1852,'Perpipaan dalam Gedung '!$D$2:$K$5226,8,FALSE)</f>
        <v>Perubahan Diameter (Dia.) menjadi diameter Nominal (DN)</v>
      </c>
      <c r="H1852" s="374"/>
      <c r="I1852" s="16"/>
    </row>
    <row r="1853" spans="2:9" ht="24" customHeight="1">
      <c r="B1853" s="1033" t="str">
        <f>'Perpipaan dalam Gedung '!C204</f>
        <v>6.4.1.12</v>
      </c>
      <c r="C1853" s="39" t="str">
        <f>VLOOKUP(B1853,'Perpipaan dalam Gedung '!C:K,2,FALSE)</f>
        <v>Pemasangan 1 m pipa PVC AW, DN. 8" (200 mm)</v>
      </c>
      <c r="D1853" s="9" t="s">
        <v>113</v>
      </c>
      <c r="E1853" s="1021">
        <f>VLOOKUP(C1853,'Perpipaan dalam Gedung '!$D$2:$I$5226,6,FALSE)</f>
        <v>309100</v>
      </c>
      <c r="F1853" s="1003" t="str">
        <f>VLOOKUP(C1853,'Perpipaan dalam Gedung '!$D$2:$J$5226,7,FALSE)</f>
        <v>Revisi</v>
      </c>
      <c r="G1853" s="12" t="str">
        <f>VLOOKUP(C1853,'Perpipaan dalam Gedung '!$D$2:$K$5226,8,FALSE)</f>
        <v>Perubahan Diameter (Dia.) menjadi diameter Nominal (DN)</v>
      </c>
      <c r="H1853" s="374"/>
      <c r="I1853" s="16"/>
    </row>
    <row r="1854" spans="2:9" ht="24" customHeight="1">
      <c r="B1854" s="1033" t="str">
        <f>'Perpipaan dalam Gedung '!C222</f>
        <v>6.4.1.13</v>
      </c>
      <c r="C1854" s="39" t="str">
        <f>VLOOKUP(B1854,'Perpipaan dalam Gedung '!C:K,2,FALSE)</f>
        <v>Pemasangan 1 m pipa PVC AW, DN. 10" (250 mm)</v>
      </c>
      <c r="D1854" s="9" t="s">
        <v>113</v>
      </c>
      <c r="E1854" s="1021">
        <f>VLOOKUP(C1854,'Perpipaan dalam Gedung '!$D$2:$I$5226,6,FALSE)</f>
        <v>490600</v>
      </c>
      <c r="F1854" s="1003" t="str">
        <f>VLOOKUP(C1854,'Perpipaan dalam Gedung '!$D$2:$J$5226,7,FALSE)</f>
        <v>Revisi</v>
      </c>
      <c r="G1854" s="12" t="str">
        <f>VLOOKUP(C1854,'Perpipaan dalam Gedung '!$D$2:$K$5226,8,FALSE)</f>
        <v>Perubahan Diameter (Dia.) menjadi diameter Nominal (DN)</v>
      </c>
      <c r="H1854" s="374"/>
      <c r="I1854" s="16"/>
    </row>
    <row r="1855" spans="2:9" ht="24" customHeight="1">
      <c r="B1855" s="1033" t="str">
        <f>'Perpipaan dalam Gedung '!C240</f>
        <v>6.4.1.14</v>
      </c>
      <c r="C1855" s="39" t="str">
        <f>VLOOKUP(B1855,'Perpipaan dalam Gedung '!C:K,2,FALSE)</f>
        <v>Pemasangan 1 m pipa PVC AW, DN. 12" (300 mm)</v>
      </c>
      <c r="D1855" s="9" t="s">
        <v>113</v>
      </c>
      <c r="E1855" s="1021">
        <f>VLOOKUP(C1855,'Perpipaan dalam Gedung '!$D$2:$I$5226,6,FALSE)</f>
        <v>144600</v>
      </c>
      <c r="F1855" s="1003" t="str">
        <f>VLOOKUP(C1855,'Perpipaan dalam Gedung '!$D$2:$J$5226,7,FALSE)</f>
        <v>Revisi</v>
      </c>
      <c r="G1855" s="12" t="str">
        <f>VLOOKUP(C1855,'Perpipaan dalam Gedung '!$D$2:$K$5226,8,FALSE)</f>
        <v>Perubahan Diameter (Dia.) menjadi diameter Nominal (DN)</v>
      </c>
      <c r="H1855" s="374"/>
      <c r="I1855" s="16"/>
    </row>
    <row r="1856" spans="2:9" ht="24" customHeight="1">
      <c r="B1856" s="1033" t="str">
        <f>'Perpipaan dalam Gedung '!C258</f>
        <v>6.4.1.15</v>
      </c>
      <c r="C1856" s="39" t="str">
        <f>VLOOKUP(B1856,'Perpipaan dalam Gedung '!C:K,2,FALSE)</f>
        <v>Pemasangan 1 m pipa PVC AW, DN. 14" (350 mm)</v>
      </c>
      <c r="D1856" s="9" t="s">
        <v>113</v>
      </c>
      <c r="E1856" s="1021">
        <f>VLOOKUP(C1856,'Perpipaan dalam Gedung '!$D$2:$I$5226,6,FALSE)</f>
        <v>168200</v>
      </c>
      <c r="F1856" s="1003" t="str">
        <f>VLOOKUP(C1856,'Perpipaan dalam Gedung '!$D$2:$J$5226,7,FALSE)</f>
        <v>Revisi</v>
      </c>
      <c r="G1856" s="12" t="str">
        <f>VLOOKUP(C1856,'Perpipaan dalam Gedung '!$D$2:$K$5226,8,FALSE)</f>
        <v>Perubahan Diameter (Dia.) menjadi diameter Nominal (DN)</v>
      </c>
      <c r="H1856" s="374"/>
      <c r="I1856" s="16"/>
    </row>
    <row r="1857" spans="1:9" ht="24" customHeight="1">
      <c r="B1857" s="1033" t="str">
        <f>'Perpipaan dalam Gedung '!C276</f>
        <v>6.4.1.16</v>
      </c>
      <c r="C1857" s="39" t="str">
        <f>VLOOKUP(B1857,'Perpipaan dalam Gedung '!C:K,2,FALSE)</f>
        <v>Pemasangan 1 m pipa PVC AW, DN. 16" (400 mm)</v>
      </c>
      <c r="D1857" s="9" t="s">
        <v>113</v>
      </c>
      <c r="E1857" s="1021">
        <f>VLOOKUP(C1857,'Perpipaan dalam Gedung '!$D$2:$I$5226,6,FALSE)</f>
        <v>192200</v>
      </c>
      <c r="F1857" s="1003" t="str">
        <f>VLOOKUP(C1857,'Perpipaan dalam Gedung '!$D$2:$J$5226,7,FALSE)</f>
        <v>Revisi</v>
      </c>
      <c r="G1857" s="12" t="str">
        <f>VLOOKUP(C1857,'Perpipaan dalam Gedung '!$D$2:$K$5226,8,FALSE)</f>
        <v>Perubahan Diameter (Dia.) menjadi diameter Nominal (DN)</v>
      </c>
      <c r="H1857" s="374"/>
      <c r="I1857" s="16"/>
    </row>
    <row r="1858" spans="1:9" ht="24" customHeight="1">
      <c r="B1858" s="1033" t="str">
        <f>'Perpipaan dalam Gedung '!C294</f>
        <v>6.4.1.17</v>
      </c>
      <c r="C1858" s="39" t="str">
        <f>VLOOKUP(B1858,'Perpipaan dalam Gedung '!C:K,2,FALSE)</f>
        <v>Pemasangan 1 m pipa PVC D, DN. 1-1/4" (32 mm)</v>
      </c>
      <c r="D1858" s="9" t="s">
        <v>113</v>
      </c>
      <c r="E1858" s="1021">
        <f>VLOOKUP(C1858,'Perpipaan dalam Gedung '!$D$2:$I$5226,6,FALSE)</f>
        <v>33400</v>
      </c>
      <c r="F1858" s="1003" t="str">
        <f>VLOOKUP(C1858,'Perpipaan dalam Gedung '!$D$2:$J$5226,7,FALSE)</f>
        <v>Revisi</v>
      </c>
      <c r="G1858" s="12" t="str">
        <f>VLOOKUP(C1858,'Perpipaan dalam Gedung '!$D$2:$K$5226,8,FALSE)</f>
        <v>Perubahan Diameter (Dia.) menjadi diameter Nominal (DN)</v>
      </c>
      <c r="H1858" s="374"/>
      <c r="I1858" s="16"/>
    </row>
    <row r="1859" spans="1:9" ht="24" customHeight="1">
      <c r="B1859" s="1033" t="str">
        <f>'Perpipaan dalam Gedung '!C312</f>
        <v>6.4.1.18</v>
      </c>
      <c r="C1859" s="39" t="str">
        <f>VLOOKUP(B1859,'Perpipaan dalam Gedung '!C:K,2,FALSE)</f>
        <v>Pemasangan 1 m pipa PVC D, DN. 1-1/2" (40 mm)</v>
      </c>
      <c r="D1859" s="9" t="s">
        <v>113</v>
      </c>
      <c r="E1859" s="1021">
        <f>VLOOKUP(C1859,'Perpipaan dalam Gedung '!$D$2:$I$5226,6,FALSE)</f>
        <v>37900</v>
      </c>
      <c r="F1859" s="1003" t="str">
        <f>VLOOKUP(C1859,'Perpipaan dalam Gedung '!$D$2:$J$5226,7,FALSE)</f>
        <v>Revisi</v>
      </c>
      <c r="G1859" s="12" t="str">
        <f>VLOOKUP(C1859,'Perpipaan dalam Gedung '!$D$2:$K$5226,8,FALSE)</f>
        <v>Perubahan Diameter (Dia.) menjadi diameter Nominal (DN)</v>
      </c>
      <c r="H1859" s="374"/>
      <c r="I1859" s="16"/>
    </row>
    <row r="1860" spans="1:9" ht="24" customHeight="1">
      <c r="B1860" s="1033" t="str">
        <f>'Perpipaan dalam Gedung '!C330</f>
        <v>6.4.1.19</v>
      </c>
      <c r="C1860" s="39" t="str">
        <f>VLOOKUP(B1860,'Perpipaan dalam Gedung '!C:K,2,FALSE)</f>
        <v>Pemasangan 1 m pipa PVC D, DN. 2" (50 mm)</v>
      </c>
      <c r="D1860" s="9" t="s">
        <v>113</v>
      </c>
      <c r="E1860" s="1021">
        <f>VLOOKUP(C1860,'Perpipaan dalam Gedung '!$D$2:$I$5226,6,FALSE)</f>
        <v>48400</v>
      </c>
      <c r="F1860" s="1003" t="str">
        <f>VLOOKUP(C1860,'Perpipaan dalam Gedung '!$D$2:$J$5226,7,FALSE)</f>
        <v>Revisi</v>
      </c>
      <c r="G1860" s="12" t="str">
        <f>VLOOKUP(C1860,'Perpipaan dalam Gedung '!$D$2:$K$5226,8,FALSE)</f>
        <v>Perubahan Diameter (Dia.) menjadi diameter Nominal (DN)</v>
      </c>
      <c r="H1860" s="374"/>
      <c r="I1860" s="16"/>
    </row>
    <row r="1861" spans="1:9" ht="24" customHeight="1">
      <c r="B1861" s="1033" t="str">
        <f>'Perpipaan dalam Gedung '!C348</f>
        <v>6.4.1.20</v>
      </c>
      <c r="C1861" s="39" t="str">
        <f>VLOOKUP(B1861,'Perpipaan dalam Gedung '!C:K,2,FALSE)</f>
        <v>Pemasangan 1 m pipa PVC D, DN. 2-1/2" (65 mm)</v>
      </c>
      <c r="D1861" s="9" t="s">
        <v>113</v>
      </c>
      <c r="E1861" s="1021">
        <f>VLOOKUP(C1861,'Perpipaan dalam Gedung '!$D$2:$I$5226,6,FALSE)</f>
        <v>63900</v>
      </c>
      <c r="F1861" s="1003" t="str">
        <f>VLOOKUP(C1861,'Perpipaan dalam Gedung '!$D$2:$J$5226,7,FALSE)</f>
        <v>Revisi</v>
      </c>
      <c r="G1861" s="12" t="str">
        <f>VLOOKUP(C1861,'Perpipaan dalam Gedung '!$D$2:$K$5226,8,FALSE)</f>
        <v>Perubahan Diameter (Dia.) menjadi diameter Nominal (DN)</v>
      </c>
      <c r="H1861" s="374"/>
      <c r="I1861" s="16"/>
    </row>
    <row r="1862" spans="1:9" ht="24" customHeight="1">
      <c r="B1862" s="1033" t="str">
        <f>'Perpipaan dalam Gedung '!C366</f>
        <v>6.4.1.21</v>
      </c>
      <c r="C1862" s="39" t="str">
        <f>VLOOKUP(B1862,'Perpipaan dalam Gedung '!C:K,2,FALSE)</f>
        <v>Pemasangan 1 m pipa PVC D, DN. 3" (80 mm)</v>
      </c>
      <c r="D1862" s="9" t="s">
        <v>113</v>
      </c>
      <c r="E1862" s="1021">
        <f>VLOOKUP(C1862,'Perpipaan dalam Gedung '!$D$2:$I$5226,6,FALSE)</f>
        <v>83400</v>
      </c>
      <c r="F1862" s="1003" t="str">
        <f>VLOOKUP(C1862,'Perpipaan dalam Gedung '!$D$2:$J$5226,7,FALSE)</f>
        <v>Revisi</v>
      </c>
      <c r="G1862" s="12" t="str">
        <f>VLOOKUP(C1862,'Perpipaan dalam Gedung '!$D$2:$K$5226,8,FALSE)</f>
        <v>Perubahan Diameter (Dia.) menjadi diameter Nominal (DN)</v>
      </c>
      <c r="H1862" s="374"/>
      <c r="I1862" s="16"/>
    </row>
    <row r="1863" spans="1:9" ht="24" customHeight="1">
      <c r="B1863" s="1033" t="str">
        <f>'Perpipaan dalam Gedung '!C384</f>
        <v>6.4.1.22</v>
      </c>
      <c r="C1863" s="39" t="str">
        <f>VLOOKUP(B1863,'Perpipaan dalam Gedung '!C:K,2,FALSE)</f>
        <v>Pemasangan 1 m pipa PVC D, DN. 4" (100 mm)</v>
      </c>
      <c r="D1863" s="9" t="s">
        <v>113</v>
      </c>
      <c r="E1863" s="1021">
        <f>VLOOKUP(C1863,'Perpipaan dalam Gedung '!$D$2:$I$5226,6,FALSE)</f>
        <v>112200</v>
      </c>
      <c r="F1863" s="1003" t="str">
        <f>VLOOKUP(C1863,'Perpipaan dalam Gedung '!$D$2:$J$5226,7,FALSE)</f>
        <v>Revisi</v>
      </c>
      <c r="G1863" s="12" t="str">
        <f>VLOOKUP(C1863,'Perpipaan dalam Gedung '!$D$2:$K$5226,8,FALSE)</f>
        <v>Perubahan Diameter (Dia.) menjadi diameter Nominal (DN)</v>
      </c>
      <c r="H1863" s="374"/>
      <c r="I1863" s="16"/>
    </row>
    <row r="1864" spans="1:9" ht="24" customHeight="1">
      <c r="B1864" s="1033" t="str">
        <f>'Perpipaan dalam Gedung '!C402</f>
        <v>6.4.1.23</v>
      </c>
      <c r="C1864" s="39" t="str">
        <f>VLOOKUP(B1864,'Perpipaan dalam Gedung '!C:K,2,FALSE)</f>
        <v>Pemasangan 1 m pipa PVC D, DN. 5" (125 mm)</v>
      </c>
      <c r="D1864" s="9" t="s">
        <v>113</v>
      </c>
      <c r="E1864" s="1021">
        <f>VLOOKUP(C1864,'Perpipaan dalam Gedung '!$D$2:$I$5226,6,FALSE)</f>
        <v>162000</v>
      </c>
      <c r="F1864" s="1003" t="str">
        <f>VLOOKUP(C1864,'Perpipaan dalam Gedung '!$D$2:$J$5226,7,FALSE)</f>
        <v>Revisi</v>
      </c>
      <c r="G1864" s="12" t="str">
        <f>VLOOKUP(C1864,'Perpipaan dalam Gedung '!$D$2:$K$5226,8,FALSE)</f>
        <v>Perubahan Diameter (Dia.) menjadi diameter Nominal (DN)</v>
      </c>
      <c r="H1864" s="374"/>
      <c r="I1864" s="16"/>
    </row>
    <row r="1865" spans="1:9" ht="24" customHeight="1">
      <c r="B1865" s="1033" t="str">
        <f>'Perpipaan dalam Gedung '!C420</f>
        <v>6.4.1.24</v>
      </c>
      <c r="C1865" s="39" t="str">
        <f>VLOOKUP(B1865,'Perpipaan dalam Gedung '!C:K,2,FALSE)</f>
        <v>Pemasangan 1 m pipa PVC D, DN. 6" (150 mm)</v>
      </c>
      <c r="D1865" s="9" t="s">
        <v>113</v>
      </c>
      <c r="E1865" s="1021">
        <f>VLOOKUP(C1865,'Perpipaan dalam Gedung '!$D$2:$I$5226,6,FALSE)</f>
        <v>199800</v>
      </c>
      <c r="F1865" s="1003" t="str">
        <f>VLOOKUP(C1865,'Perpipaan dalam Gedung '!$D$2:$J$5226,7,FALSE)</f>
        <v>Revisi</v>
      </c>
      <c r="G1865" s="12" t="str">
        <f>VLOOKUP(C1865,'Perpipaan dalam Gedung '!$D$2:$K$5226,8,FALSE)</f>
        <v>Perubahan Diameter (Dia.) menjadi diameter Nominal (DN)</v>
      </c>
      <c r="H1865" s="374"/>
      <c r="I1865" s="16"/>
    </row>
    <row r="1866" spans="1:9" ht="24" customHeight="1">
      <c r="B1866" s="1033" t="str">
        <f>'Perpipaan dalam Gedung '!C438</f>
        <v>6.4.1.25</v>
      </c>
      <c r="C1866" s="39" t="str">
        <f>VLOOKUP(B1866,'Perpipaan dalam Gedung '!C:K,2,FALSE)</f>
        <v>Pemasangan 1 m pipa PVC D, DN. 8" (200 mm)</v>
      </c>
      <c r="D1866" s="9" t="s">
        <v>113</v>
      </c>
      <c r="E1866" s="1021">
        <f>VLOOKUP(C1866,'Perpipaan dalam Gedung '!$D$2:$I$5226,6,FALSE)</f>
        <v>320200</v>
      </c>
      <c r="F1866" s="1003" t="str">
        <f>VLOOKUP(C1866,'Perpipaan dalam Gedung '!$D$2:$J$5226,7,FALSE)</f>
        <v>Revisi</v>
      </c>
      <c r="G1866" s="12" t="str">
        <f>VLOOKUP(C1866,'Perpipaan dalam Gedung '!$D$2:$K$5226,8,FALSE)</f>
        <v>Perubahan Diameter (Dia.) menjadi diameter Nominal (DN)</v>
      </c>
      <c r="H1866" s="374"/>
      <c r="I1866" s="16"/>
    </row>
    <row r="1867" spans="1:9" ht="24" customHeight="1">
      <c r="B1867" s="1033" t="str">
        <f>'Perpipaan dalam Gedung '!C456</f>
        <v>6.4.1.26</v>
      </c>
      <c r="C1867" s="39" t="str">
        <f>VLOOKUP(B1867,'Perpipaan dalam Gedung '!C:K,2,FALSE)</f>
        <v>Pemasangan 1 m pipa PVC D, DN. 10" (250 mm)</v>
      </c>
      <c r="D1867" s="9" t="s">
        <v>113</v>
      </c>
      <c r="E1867" s="1021">
        <f>VLOOKUP(C1867,'Perpipaan dalam Gedung '!$D$2:$I$5226,6,FALSE)</f>
        <v>492200</v>
      </c>
      <c r="F1867" s="1003" t="str">
        <f>VLOOKUP(C1867,'Perpipaan dalam Gedung '!$D$2:$J$5226,7,FALSE)</f>
        <v>Revisi</v>
      </c>
      <c r="G1867" s="12" t="str">
        <f>VLOOKUP(C1867,'Perpipaan dalam Gedung '!$D$2:$K$5226,8,FALSE)</f>
        <v>Perubahan Diameter (Dia.) menjadi diameter Nominal (DN)</v>
      </c>
      <c r="H1867" s="374"/>
      <c r="I1867" s="16"/>
    </row>
    <row r="1868" spans="1:9" ht="24" customHeight="1">
      <c r="B1868" s="1033" t="str">
        <f>'Perpipaan dalam Gedung '!C474</f>
        <v>6.4.1.27</v>
      </c>
      <c r="C1868" s="39" t="str">
        <f>VLOOKUP(B1868,'Perpipaan dalam Gedung '!C:K,2,FALSE)</f>
        <v>Pemasangan 1 m pipa PVC D, DN. 12" (300 mm)</v>
      </c>
      <c r="D1868" s="9" t="s">
        <v>113</v>
      </c>
      <c r="E1868" s="1021">
        <f>VLOOKUP(C1868,'Perpipaan dalam Gedung '!$D$2:$I$5226,6,FALSE)</f>
        <v>655000</v>
      </c>
      <c r="F1868" s="1003" t="str">
        <f>VLOOKUP(C1868,'Perpipaan dalam Gedung '!$D$2:$J$5226,7,FALSE)</f>
        <v>Revisi</v>
      </c>
      <c r="G1868" s="12" t="str">
        <f>VLOOKUP(C1868,'Perpipaan dalam Gedung '!$D$2:$K$5226,8,FALSE)</f>
        <v>Perubahan Diameter (Dia.) menjadi diameter Nominal (DN)</v>
      </c>
      <c r="H1868" s="374"/>
      <c r="I1868" s="16"/>
    </row>
    <row r="1869" spans="1:9" ht="24" customHeight="1">
      <c r="B1869" s="1033" t="str">
        <f>'Perpipaan dalam Gedung '!C492</f>
        <v>6.4.1.28</v>
      </c>
      <c r="C1869" s="39" t="str">
        <f>VLOOKUP(B1869,'Perpipaan dalam Gedung '!C:K,2,FALSE)</f>
        <v>Pemasangan 1 m pipa PVC D, DN. 14" (350 mm)</v>
      </c>
      <c r="D1869" s="9" t="s">
        <v>113</v>
      </c>
      <c r="E1869" s="1021">
        <f>VLOOKUP(C1869,'Perpipaan dalam Gedung '!$D$2:$I$5226,6,FALSE)</f>
        <v>683400</v>
      </c>
      <c r="F1869" s="1003" t="str">
        <f>VLOOKUP(C1869,'Perpipaan dalam Gedung '!$D$2:$J$5226,7,FALSE)</f>
        <v>Revisi</v>
      </c>
      <c r="G1869" s="12" t="str">
        <f>VLOOKUP(C1869,'Perpipaan dalam Gedung '!$D$2:$K$5226,8,FALSE)</f>
        <v>Perubahan Diameter (Dia.) menjadi diameter Nominal (DN)</v>
      </c>
      <c r="H1869" s="374"/>
      <c r="I1869" s="16"/>
    </row>
    <row r="1870" spans="1:9" ht="24" customHeight="1">
      <c r="B1870" s="1033" t="str">
        <f>'Perpipaan dalam Gedung '!C510</f>
        <v>6.4.1.29</v>
      </c>
      <c r="C1870" s="39" t="str">
        <f>VLOOKUP(B1870,'Perpipaan dalam Gedung '!C:K,2,FALSE)</f>
        <v>Pemasangan 1 m pipa PVC D, DN. 16" (400 mm)</v>
      </c>
      <c r="D1870" s="9" t="s">
        <v>113</v>
      </c>
      <c r="E1870" s="1021">
        <f>VLOOKUP(C1870,'Perpipaan dalam Gedung '!$D$2:$I$5226,6,FALSE)</f>
        <v>771100</v>
      </c>
      <c r="F1870" s="1003" t="str">
        <f>VLOOKUP(C1870,'Perpipaan dalam Gedung '!$D$2:$J$5226,7,FALSE)</f>
        <v>Revisi</v>
      </c>
      <c r="G1870" s="12" t="str">
        <f>VLOOKUP(C1870,'Perpipaan dalam Gedung '!$D$2:$K$5226,8,FALSE)</f>
        <v>Perubahan Diameter (Dia.) menjadi diameter Nominal (DN)</v>
      </c>
      <c r="H1870" s="374"/>
      <c r="I1870" s="16"/>
    </row>
    <row r="1871" spans="1:9" s="1" customFormat="1" ht="24" customHeight="1">
      <c r="A1871" s="47"/>
      <c r="B1871" s="1041" t="str">
        <f>'Perpipaan dalam Gedung '!C528</f>
        <v>6.4.2</v>
      </c>
      <c r="C1871" s="40" t="str">
        <f>VLOOKUP(B1871,'Perpipaan dalam Gedung '!C:K,2,FALSE)</f>
        <v xml:space="preserve">Pipa Galvanis </v>
      </c>
      <c r="D1871" s="19"/>
      <c r="E1871" s="1021">
        <f>VLOOKUP(C1871,'Perpipaan dalam Gedung '!$D$2:$I$5226,6,FALSE)</f>
        <v>0</v>
      </c>
      <c r="F1871" s="1003">
        <f>VLOOKUP(C1871,'Perpipaan dalam Gedung '!$D$2:$J$5226,7,FALSE)</f>
        <v>0</v>
      </c>
      <c r="G1871" s="12">
        <f>VLOOKUP(C1871,'Perpipaan dalam Gedung '!$D$2:$K$5226,8,FALSE)</f>
        <v>0</v>
      </c>
      <c r="H1871" s="1092"/>
      <c r="I1871" s="21"/>
    </row>
    <row r="1872" spans="1:9" ht="24" customHeight="1">
      <c r="B1872" s="1033" t="str">
        <f>'Perpipaan dalam Gedung '!C529</f>
        <v>6.4.2.1</v>
      </c>
      <c r="C1872" s="39" t="str">
        <f>VLOOKUP(B1872,'Perpipaan dalam Gedung '!C:K,2,FALSE)</f>
        <v>Pemasangan 1 m Pipa Galvanis MED CLASS, DN. 1/2" (15 mm)</v>
      </c>
      <c r="D1872" s="9" t="s">
        <v>113</v>
      </c>
      <c r="E1872" s="1021">
        <f>VLOOKUP(C1872,'Perpipaan dalam Gedung '!$D$2:$I$5226,6,FALSE)</f>
        <v>60000</v>
      </c>
      <c r="F1872" s="1003" t="str">
        <f>VLOOKUP(C1872,'Perpipaan dalam Gedung '!$D$2:$J$5226,7,FALSE)</f>
        <v>Revisi</v>
      </c>
      <c r="G1872" s="12" t="str">
        <f>VLOOKUP(C1872,'Perpipaan dalam Gedung '!$D$2:$K$5226,8,FALSE)</f>
        <v>Perubahan Diameter (Dia.) menjadi diameter Nominal (DN)</v>
      </c>
      <c r="H1872" s="374"/>
      <c r="I1872" s="16"/>
    </row>
    <row r="1873" spans="2:9" ht="24" customHeight="1">
      <c r="B1873" s="1033" t="str">
        <f>'Perpipaan dalam Gedung '!C547</f>
        <v>6.4.2.2</v>
      </c>
      <c r="C1873" s="39" t="str">
        <f>VLOOKUP(B1873,'Perpipaan dalam Gedung '!C:K,2,FALSE)</f>
        <v>Pemasangan 1 m Pipa Galvanis MED CLASS, DN. 3/4" (20 mm)</v>
      </c>
      <c r="D1873" s="9" t="s">
        <v>113</v>
      </c>
      <c r="E1873" s="1021">
        <f>VLOOKUP(C1873,'Perpipaan dalam Gedung '!$D$2:$I$5226,6,FALSE)</f>
        <v>80000</v>
      </c>
      <c r="F1873" s="1003" t="str">
        <f>VLOOKUP(C1873,'Perpipaan dalam Gedung '!$D$2:$J$5226,7,FALSE)</f>
        <v>Revisi</v>
      </c>
      <c r="G1873" s="12" t="str">
        <f>VLOOKUP(C1873,'Perpipaan dalam Gedung '!$D$2:$K$5226,8,FALSE)</f>
        <v>Perubahan Diameter (Dia.) menjadi diameter Nominal (DN)</v>
      </c>
      <c r="H1873" s="374"/>
      <c r="I1873" s="16"/>
    </row>
    <row r="1874" spans="2:9" ht="24" customHeight="1">
      <c r="B1874" s="1033" t="str">
        <f>'Perpipaan dalam Gedung '!C564</f>
        <v>6.4.2.3</v>
      </c>
      <c r="C1874" s="39" t="str">
        <f>VLOOKUP(B1874,'Perpipaan dalam Gedung '!C:K,2,FALSE)</f>
        <v>Pemasangan 1 m Pipa Galvanis MED CLASS, DN. 1" (25 mm)</v>
      </c>
      <c r="D1874" s="9" t="s">
        <v>113</v>
      </c>
      <c r="E1874" s="1021">
        <f>VLOOKUP(C1874,'Perpipaan dalam Gedung '!$D$2:$I$5226,6,FALSE)</f>
        <v>109500</v>
      </c>
      <c r="F1874" s="1003" t="str">
        <f>VLOOKUP(C1874,'Perpipaan dalam Gedung '!$D$2:$J$5226,7,FALSE)</f>
        <v>Revisi</v>
      </c>
      <c r="G1874" s="12" t="str">
        <f>VLOOKUP(C1874,'Perpipaan dalam Gedung '!$D$2:$K$5226,8,FALSE)</f>
        <v>Perubahan Diameter (Dia.) menjadi diameter Nominal (DN)</v>
      </c>
      <c r="H1874" s="374"/>
      <c r="I1874" s="16"/>
    </row>
    <row r="1875" spans="2:9" ht="24" customHeight="1">
      <c r="B1875" s="1033" t="str">
        <f>'Perpipaan dalam Gedung '!C581</f>
        <v>6.4.2.4</v>
      </c>
      <c r="C1875" s="39" t="str">
        <f>VLOOKUP(B1875,'Perpipaan dalam Gedung '!C:K,2,FALSE)</f>
        <v>Pemasangan 1 m Pipa Galvanis MED CLASS, DN. 1-1/4" (32 mm)</v>
      </c>
      <c r="D1875" s="9" t="s">
        <v>113</v>
      </c>
      <c r="E1875" s="1021">
        <f>VLOOKUP(C1875,'Perpipaan dalam Gedung '!$D$2:$I$5226,6,FALSE)</f>
        <v>167200</v>
      </c>
      <c r="F1875" s="1003" t="str">
        <f>VLOOKUP(C1875,'Perpipaan dalam Gedung '!$D$2:$J$5226,7,FALSE)</f>
        <v>Revisi</v>
      </c>
      <c r="G1875" s="12" t="str">
        <f>VLOOKUP(C1875,'Perpipaan dalam Gedung '!$D$2:$K$5226,8,FALSE)</f>
        <v>Perubahan Diameter (Dia.) menjadi diameter Nominal (DN)</v>
      </c>
      <c r="H1875" s="374"/>
      <c r="I1875" s="16"/>
    </row>
    <row r="1876" spans="2:9" ht="24" customHeight="1">
      <c r="B1876" s="1033" t="str">
        <f>'Perpipaan dalam Gedung '!C598</f>
        <v>6.4.2.5</v>
      </c>
      <c r="C1876" s="39" t="str">
        <f>VLOOKUP(B1876,'Perpipaan dalam Gedung '!C:K,2,FALSE)</f>
        <v>Pemasangan 1 m Pipa Galvanis MED CLASS, DN. 1-1/2" (40 mm)</v>
      </c>
      <c r="D1876" s="9" t="s">
        <v>113</v>
      </c>
      <c r="E1876" s="1021">
        <f>VLOOKUP(C1876,'Perpipaan dalam Gedung '!$D$2:$I$5226,6,FALSE)</f>
        <v>177000</v>
      </c>
      <c r="F1876" s="1003" t="str">
        <f>VLOOKUP(C1876,'Perpipaan dalam Gedung '!$D$2:$J$5226,7,FALSE)</f>
        <v>Revisi</v>
      </c>
      <c r="G1876" s="12" t="str">
        <f>VLOOKUP(C1876,'Perpipaan dalam Gedung '!$D$2:$K$5226,8,FALSE)</f>
        <v>Perubahan Diameter (Dia.) menjadi diameter Nominal (DN)</v>
      </c>
      <c r="H1876" s="374"/>
      <c r="I1876" s="16"/>
    </row>
    <row r="1877" spans="2:9" ht="24" customHeight="1">
      <c r="B1877" s="1033" t="str">
        <f>'Perpipaan dalam Gedung '!C615</f>
        <v>6.4.2.6</v>
      </c>
      <c r="C1877" s="39" t="str">
        <f>VLOOKUP(B1877,'Perpipaan dalam Gedung '!C:K,2,FALSE)</f>
        <v>Pemasangan 1 m Pipa Galvanis MED CLASS, DN. 2" (50 mm)</v>
      </c>
      <c r="D1877" s="9" t="s">
        <v>113</v>
      </c>
      <c r="E1877" s="1021">
        <f>VLOOKUP(C1877,'Perpipaan dalam Gedung '!$D$2:$I$5226,6,FALSE)</f>
        <v>209400</v>
      </c>
      <c r="F1877" s="1003" t="str">
        <f>VLOOKUP(C1877,'Perpipaan dalam Gedung '!$D$2:$J$5226,7,FALSE)</f>
        <v>Revisi</v>
      </c>
      <c r="G1877" s="12" t="str">
        <f>VLOOKUP(C1877,'Perpipaan dalam Gedung '!$D$2:$K$5226,8,FALSE)</f>
        <v>Perubahan Diameter (Dia.) menjadi diameter Nominal (DN)</v>
      </c>
      <c r="H1877" s="374"/>
      <c r="I1877" s="16"/>
    </row>
    <row r="1878" spans="2:9" ht="24" customHeight="1">
      <c r="B1878" s="1033" t="str">
        <f>'Perpipaan dalam Gedung '!C632</f>
        <v>6.4.2.7</v>
      </c>
      <c r="C1878" s="39" t="str">
        <f>VLOOKUP(B1878,'Perpipaan dalam Gedung '!C:K,2,FALSE)</f>
        <v>Pemasangan 1 m Pipa Galvanis MED CLASS, DN. 2-1/2" (65 mm)</v>
      </c>
      <c r="D1878" s="9" t="s">
        <v>113</v>
      </c>
      <c r="E1878" s="1021">
        <f>VLOOKUP(C1878,'Perpipaan dalam Gedung '!$D$2:$I$5226,6,FALSE)</f>
        <v>224200</v>
      </c>
      <c r="F1878" s="1003" t="str">
        <f>VLOOKUP(C1878,'Perpipaan dalam Gedung '!$D$2:$J$5226,7,FALSE)</f>
        <v>Revisi</v>
      </c>
      <c r="G1878" s="12" t="str">
        <f>VLOOKUP(C1878,'Perpipaan dalam Gedung '!$D$2:$K$5226,8,FALSE)</f>
        <v>Perubahan Diameter (Dia.) menjadi diameter Nominal (DN)</v>
      </c>
      <c r="H1878" s="374"/>
      <c r="I1878" s="16"/>
    </row>
    <row r="1879" spans="2:9" ht="24" customHeight="1">
      <c r="B1879" s="1033" t="str">
        <f>'Perpipaan dalam Gedung '!C649</f>
        <v>6.4.2.8</v>
      </c>
      <c r="C1879" s="39" t="str">
        <f>VLOOKUP(B1879,'Perpipaan dalam Gedung '!C:K,2,FALSE)</f>
        <v>Pemasangan 1 m Pipa Galvanis MED CLASS, DN. 3" (80 mm)</v>
      </c>
      <c r="D1879" s="9" t="s">
        <v>113</v>
      </c>
      <c r="E1879" s="1021">
        <f>VLOOKUP(C1879,'Perpipaan dalam Gedung '!$D$2:$I$5226,6,FALSE)</f>
        <v>384200</v>
      </c>
      <c r="F1879" s="1003" t="str">
        <f>VLOOKUP(C1879,'Perpipaan dalam Gedung '!$D$2:$J$5226,7,FALSE)</f>
        <v>Revisi</v>
      </c>
      <c r="G1879" s="12" t="str">
        <f>VLOOKUP(C1879,'Perpipaan dalam Gedung '!$D$2:$K$5226,8,FALSE)</f>
        <v>Perubahan Diameter (Dia.) menjadi diameter Nominal (DN)</v>
      </c>
      <c r="H1879" s="374"/>
      <c r="I1879" s="16"/>
    </row>
    <row r="1880" spans="2:9" ht="24" customHeight="1">
      <c r="B1880" s="1033" t="str">
        <f>'Perpipaan dalam Gedung '!C666</f>
        <v>6.4.2.9</v>
      </c>
      <c r="C1880" s="39" t="str">
        <f>VLOOKUP(B1880,'Perpipaan dalam Gedung '!C:K,2,FALSE)</f>
        <v>Pemasangan 1 m Pipa Galvanis MED CLASS, DN. 4" (100 mm)</v>
      </c>
      <c r="D1880" s="9" t="s">
        <v>113</v>
      </c>
      <c r="E1880" s="1021">
        <f>VLOOKUP(C1880,'Perpipaan dalam Gedung '!$D$2:$I$5226,6,FALSE)</f>
        <v>543200</v>
      </c>
      <c r="F1880" s="1003" t="str">
        <f>VLOOKUP(C1880,'Perpipaan dalam Gedung '!$D$2:$J$5226,7,FALSE)</f>
        <v>Revisi</v>
      </c>
      <c r="G1880" s="12" t="str">
        <f>VLOOKUP(C1880,'Perpipaan dalam Gedung '!$D$2:$K$5226,8,FALSE)</f>
        <v>Perubahan Diameter (Dia.) menjadi diameter Nominal (DN)</v>
      </c>
      <c r="H1880" s="374"/>
      <c r="I1880" s="16"/>
    </row>
    <row r="1881" spans="2:9" ht="24" customHeight="1">
      <c r="B1881" s="1033" t="str">
        <f>'Perpipaan dalam Gedung '!C683</f>
        <v>6.4.2.10</v>
      </c>
      <c r="C1881" s="39" t="str">
        <f>VLOOKUP(B1881,'Perpipaan dalam Gedung '!C:K,2,FALSE)</f>
        <v>Pemasangan 1 m Pipa Galvanis MED CLASS, DN. 5" (125 mm)</v>
      </c>
      <c r="D1881" s="9" t="s">
        <v>113</v>
      </c>
      <c r="E1881" s="1021">
        <f>VLOOKUP(C1881,'Perpipaan dalam Gedung '!$D$2:$I$5226,6,FALSE)</f>
        <v>709800</v>
      </c>
      <c r="F1881" s="1003" t="str">
        <f>VLOOKUP(C1881,'Perpipaan dalam Gedung '!$D$2:$J$5226,7,FALSE)</f>
        <v>Revisi</v>
      </c>
      <c r="G1881" s="12" t="str">
        <f>VLOOKUP(C1881,'Perpipaan dalam Gedung '!$D$2:$K$5226,8,FALSE)</f>
        <v>Perubahan Diameter (Dia.) menjadi diameter Nominal (DN)</v>
      </c>
      <c r="H1881" s="374"/>
      <c r="I1881" s="16"/>
    </row>
    <row r="1882" spans="2:9" ht="24" customHeight="1">
      <c r="B1882" s="1033" t="str">
        <f>'Perpipaan dalam Gedung '!C700</f>
        <v>6.4.2.11</v>
      </c>
      <c r="C1882" s="39" t="str">
        <f>VLOOKUP(B1882,'Perpipaan dalam Gedung '!C:K,2,FALSE)</f>
        <v>Pemasangan 1 m Pipa Galvanis MED CLASS, DN. 6" (150 mm)</v>
      </c>
      <c r="D1882" s="9" t="s">
        <v>113</v>
      </c>
      <c r="E1882" s="1021">
        <f>VLOOKUP(C1882,'Perpipaan dalam Gedung '!$D$2:$I$5226,6,FALSE)</f>
        <v>625500</v>
      </c>
      <c r="F1882" s="1003" t="str">
        <f>VLOOKUP(C1882,'Perpipaan dalam Gedung '!$D$2:$J$5226,7,FALSE)</f>
        <v>Revisi</v>
      </c>
      <c r="G1882" s="12" t="str">
        <f>VLOOKUP(C1882,'Perpipaan dalam Gedung '!$D$2:$K$5226,8,FALSE)</f>
        <v>Perubahan Diameter (Dia.) menjadi diameter Nominal (DN)</v>
      </c>
      <c r="H1882" s="374"/>
      <c r="I1882" s="16"/>
    </row>
    <row r="1883" spans="2:9" ht="24" customHeight="1">
      <c r="B1883" s="1033" t="str">
        <f>'Perpipaan dalam Gedung '!C717</f>
        <v>6.4.2.12</v>
      </c>
      <c r="C1883" s="39" t="str">
        <f>VLOOKUP(B1883,'Perpipaan dalam Gedung '!C:K,2,FALSE)</f>
        <v>Pemasangan 1 m Pipa Galvanis MED CLASS, DN. 8" (200 mm)</v>
      </c>
      <c r="D1883" s="9" t="s">
        <v>113</v>
      </c>
      <c r="E1883" s="1021">
        <f>VLOOKUP(C1883,'Perpipaan dalam Gedung '!$D$2:$I$5226,6,FALSE)</f>
        <v>881800</v>
      </c>
      <c r="F1883" s="1003" t="str">
        <f>VLOOKUP(C1883,'Perpipaan dalam Gedung '!$D$2:$J$5226,7,FALSE)</f>
        <v>Revisi</v>
      </c>
      <c r="G1883" s="12" t="str">
        <f>VLOOKUP(C1883,'Perpipaan dalam Gedung '!$D$2:$K$5226,8,FALSE)</f>
        <v>Perubahan Diameter (Dia.) menjadi diameter Nominal (DN)</v>
      </c>
      <c r="H1883" s="374"/>
      <c r="I1883" s="16"/>
    </row>
    <row r="1884" spans="2:9" ht="24" customHeight="1">
      <c r="B1884" s="1033" t="str">
        <f>'Perpipaan dalam Gedung '!C735</f>
        <v>6.4.2.13</v>
      </c>
      <c r="C1884" s="39" t="str">
        <f>VLOOKUP(B1884,'Perpipaan dalam Gedung '!C:K,2,FALSE)</f>
        <v>Pemasangan 1 m Pipa Galvanis MED CLASS, DN. 10" (250 mm)</v>
      </c>
      <c r="D1884" s="9" t="s">
        <v>113</v>
      </c>
      <c r="E1884" s="1021">
        <f>VLOOKUP(C1884,'Perpipaan dalam Gedung '!$D$2:$I$5226,6,FALSE)</f>
        <v>955700</v>
      </c>
      <c r="F1884" s="1003" t="str">
        <f>VLOOKUP(C1884,'Perpipaan dalam Gedung '!$D$2:$J$5226,7,FALSE)</f>
        <v>Revisi</v>
      </c>
      <c r="G1884" s="12" t="str">
        <f>VLOOKUP(C1884,'Perpipaan dalam Gedung '!$D$2:$K$5226,8,FALSE)</f>
        <v>Perubahan Diameter (Dia.) menjadi diameter Nominal (DN)</v>
      </c>
      <c r="H1884" s="374"/>
      <c r="I1884" s="16"/>
    </row>
    <row r="1885" spans="2:9" ht="24" customHeight="1">
      <c r="B1885" s="1033" t="str">
        <f>'Perpipaan dalam Gedung '!C752</f>
        <v>6.4.2.14</v>
      </c>
      <c r="C1885" s="39" t="str">
        <f>VLOOKUP(B1885,'Perpipaan dalam Gedung '!C:K,2,FALSE)</f>
        <v>Pemasangan 1 m Pipa Galvanis MED CLASS, DN. 12" (300 mm)</v>
      </c>
      <c r="D1885" s="9" t="s">
        <v>113</v>
      </c>
      <c r="E1885" s="1021">
        <f>VLOOKUP(C1885,'Perpipaan dalam Gedung '!$D$2:$I$5226,6,FALSE)</f>
        <v>933200</v>
      </c>
      <c r="F1885" s="1003" t="str">
        <f>VLOOKUP(C1885,'Perpipaan dalam Gedung '!$D$2:$J$5226,7,FALSE)</f>
        <v>Revisi</v>
      </c>
      <c r="G1885" s="12" t="str">
        <f>VLOOKUP(C1885,'Perpipaan dalam Gedung '!$D$2:$K$5226,8,FALSE)</f>
        <v>Perubahan Diameter (Dia.) menjadi diameter Nominal (DN)</v>
      </c>
      <c r="H1885" s="374"/>
      <c r="I1885" s="16"/>
    </row>
    <row r="1886" spans="2:9" ht="24" customHeight="1">
      <c r="B1886" s="1033" t="str">
        <f>'Perpipaan dalam Gedung '!C769</f>
        <v>6.4.2.15</v>
      </c>
      <c r="C1886" s="39" t="str">
        <f>VLOOKUP(B1886,'Perpipaan dalam Gedung '!C:K,2,FALSE)</f>
        <v>Pemasangan 1 m Pipa Galvanis MED CLASS, DN. 14" (350 mm)</v>
      </c>
      <c r="D1886" s="9" t="s">
        <v>113</v>
      </c>
      <c r="E1886" s="1021">
        <f>VLOOKUP(C1886,'Perpipaan dalam Gedung '!$D$2:$I$5226,6,FALSE)</f>
        <v>1112600</v>
      </c>
      <c r="F1886" s="1003" t="str">
        <f>VLOOKUP(C1886,'Perpipaan dalam Gedung '!$D$2:$J$5226,7,FALSE)</f>
        <v>Revisi</v>
      </c>
      <c r="G1886" s="12" t="str">
        <f>VLOOKUP(C1886,'Perpipaan dalam Gedung '!$D$2:$K$5226,8,FALSE)</f>
        <v>Perubahan Diameter (Dia.) menjadi diameter Nominal (DN)</v>
      </c>
      <c r="H1886" s="374"/>
      <c r="I1886" s="16"/>
    </row>
    <row r="1887" spans="2:9" ht="24" customHeight="1">
      <c r="B1887" s="1033" t="str">
        <f>'Perpipaan dalam Gedung '!C786</f>
        <v>6.4.2.16</v>
      </c>
      <c r="C1887" s="39" t="str">
        <f>VLOOKUP(B1887,'Perpipaan dalam Gedung '!C:K,2,FALSE)</f>
        <v>Pemasangan 1 m Pipa Galvanis MED CLASS, DN. 16" (400 mm)</v>
      </c>
      <c r="D1887" s="9" t="s">
        <v>113</v>
      </c>
      <c r="E1887" s="1021">
        <f>VLOOKUP(C1887,'Perpipaan dalam Gedung '!$D$2:$I$5226,6,FALSE)</f>
        <v>1185800</v>
      </c>
      <c r="F1887" s="1003" t="str">
        <f>VLOOKUP(C1887,'Perpipaan dalam Gedung '!$D$2:$J$5226,7,FALSE)</f>
        <v>Revisi</v>
      </c>
      <c r="G1887" s="12" t="str">
        <f>VLOOKUP(C1887,'Perpipaan dalam Gedung '!$D$2:$K$5226,8,FALSE)</f>
        <v>Perubahan Diameter (Dia.) menjadi diameter Nominal (DN)</v>
      </c>
      <c r="H1887" s="374"/>
      <c r="I1887" s="16"/>
    </row>
    <row r="1888" spans="2:9" ht="24" customHeight="1">
      <c r="B1888" s="1033" t="str">
        <f>'Perpipaan dalam Gedung '!C803</f>
        <v>6.4.2.17</v>
      </c>
      <c r="C1888" s="39" t="str">
        <f>VLOOKUP(B1888,'Perpipaan dalam Gedung '!C:K,2,FALSE)</f>
        <v>Pemasangan 1 m Pipa Galvanis SCH 40, DN. 1/2" (15 mm)</v>
      </c>
      <c r="D1888" s="9" t="s">
        <v>113</v>
      </c>
      <c r="E1888" s="1021">
        <f>VLOOKUP(C1888,'Perpipaan dalam Gedung '!$D$2:$I$5226,6,FALSE)</f>
        <v>79800</v>
      </c>
      <c r="F1888" s="1003" t="str">
        <f>VLOOKUP(C1888,'Perpipaan dalam Gedung '!$D$2:$J$5226,7,FALSE)</f>
        <v>Revisi</v>
      </c>
      <c r="G1888" s="12" t="str">
        <f>VLOOKUP(C1888,'Perpipaan dalam Gedung '!$D$2:$K$5226,8,FALSE)</f>
        <v>Perubahan Diameter (Dia.) menjadi diameter Nominal (DN)</v>
      </c>
      <c r="H1888" s="374"/>
      <c r="I1888" s="16"/>
    </row>
    <row r="1889" spans="1:9" ht="24" customHeight="1">
      <c r="B1889" s="1033" t="str">
        <f>'Perpipaan dalam Gedung '!C820</f>
        <v>6.4.2.18</v>
      </c>
      <c r="C1889" s="39" t="str">
        <f>VLOOKUP(B1889,'Perpipaan dalam Gedung '!C:K,2,FALSE)</f>
        <v>Pemasangan 1 m Pipa Galvanis SCH 40, DN. 3/4" (20 mm)</v>
      </c>
      <c r="D1889" s="9" t="s">
        <v>113</v>
      </c>
      <c r="E1889" s="1021">
        <f>VLOOKUP(C1889,'Perpipaan dalam Gedung '!$D$2:$I$5226,6,FALSE)</f>
        <v>99800</v>
      </c>
      <c r="F1889" s="1003" t="str">
        <f>VLOOKUP(C1889,'Perpipaan dalam Gedung '!$D$2:$J$5226,7,FALSE)</f>
        <v>Revisi</v>
      </c>
      <c r="G1889" s="12" t="str">
        <f>VLOOKUP(C1889,'Perpipaan dalam Gedung '!$D$2:$K$5226,8,FALSE)</f>
        <v>Perubahan Diameter (Dia.) menjadi diameter Nominal (DN)</v>
      </c>
      <c r="H1889" s="374"/>
      <c r="I1889" s="16"/>
    </row>
    <row r="1890" spans="1:9" ht="24" customHeight="1">
      <c r="B1890" s="1033" t="str">
        <f>'Perpipaan dalam Gedung '!C837</f>
        <v>6.4.2.19</v>
      </c>
      <c r="C1890" s="39" t="str">
        <f>VLOOKUP(B1890,'Perpipaan dalam Gedung '!C:K,2,FALSE)</f>
        <v>Pemasangan 1 m Pipa Galvanis SCH 40, DN. 1" (25 mm)</v>
      </c>
      <c r="D1890" s="9" t="s">
        <v>113</v>
      </c>
      <c r="E1890" s="1021">
        <f>VLOOKUP(C1890,'Perpipaan dalam Gedung '!$D$2:$I$5226,6,FALSE)</f>
        <v>136700</v>
      </c>
      <c r="F1890" s="1003" t="str">
        <f>VLOOKUP(C1890,'Perpipaan dalam Gedung '!$D$2:$J$5226,7,FALSE)</f>
        <v>Revisi</v>
      </c>
      <c r="G1890" s="12" t="str">
        <f>VLOOKUP(C1890,'Perpipaan dalam Gedung '!$D$2:$K$5226,8,FALSE)</f>
        <v>Perubahan Diameter (Dia.) menjadi diameter Nominal (DN)</v>
      </c>
      <c r="H1890" s="374"/>
      <c r="I1890" s="16"/>
    </row>
    <row r="1891" spans="1:9" ht="24" customHeight="1">
      <c r="B1891" s="1033" t="str">
        <f>'Perpipaan dalam Gedung '!C854</f>
        <v>6.4.2.20</v>
      </c>
      <c r="C1891" s="39" t="str">
        <f>VLOOKUP(B1891,'Perpipaan dalam Gedung '!C:K,2,FALSE)</f>
        <v>Pemasangan 1 m Pipa Galvanis SCH 40, DN. 1-1/4" (32 mm)</v>
      </c>
      <c r="D1891" s="9" t="s">
        <v>113</v>
      </c>
      <c r="E1891" s="1021">
        <f>VLOOKUP(C1891,'Perpipaan dalam Gedung '!$D$2:$I$5226,6,FALSE)</f>
        <v>179600</v>
      </c>
      <c r="F1891" s="1003" t="str">
        <f>VLOOKUP(C1891,'Perpipaan dalam Gedung '!$D$2:$J$5226,7,FALSE)</f>
        <v>Revisi</v>
      </c>
      <c r="G1891" s="12" t="str">
        <f>VLOOKUP(C1891,'Perpipaan dalam Gedung '!$D$2:$K$5226,8,FALSE)</f>
        <v>Perubahan Diameter (Dia.) menjadi diameter Nominal (DN)</v>
      </c>
      <c r="H1891" s="374"/>
      <c r="I1891" s="16"/>
    </row>
    <row r="1892" spans="1:9" ht="24" customHeight="1">
      <c r="B1892" s="1033" t="str">
        <f>'Perpipaan dalam Gedung '!C871</f>
        <v>6.4.2.21</v>
      </c>
      <c r="C1892" s="39" t="str">
        <f>VLOOKUP(B1892,'Perpipaan dalam Gedung '!C:K,2,FALSE)</f>
        <v>Pemasangan 1 m Pipa Galvanis SCH 40, DN. 1-1/2" (40 mm)</v>
      </c>
      <c r="D1892" s="9" t="s">
        <v>113</v>
      </c>
      <c r="E1892" s="1021">
        <f>VLOOKUP(C1892,'Perpipaan dalam Gedung '!$D$2:$I$5226,6,FALSE)</f>
        <v>210900</v>
      </c>
      <c r="F1892" s="1003" t="str">
        <f>VLOOKUP(C1892,'Perpipaan dalam Gedung '!$D$2:$J$5226,7,FALSE)</f>
        <v>Revisi</v>
      </c>
      <c r="G1892" s="12" t="str">
        <f>VLOOKUP(C1892,'Perpipaan dalam Gedung '!$D$2:$K$5226,8,FALSE)</f>
        <v>Perubahan Diameter (Dia.) menjadi diameter Nominal (DN)</v>
      </c>
      <c r="H1892" s="374"/>
      <c r="I1892" s="16"/>
    </row>
    <row r="1893" spans="1:9" ht="24" customHeight="1">
      <c r="B1893" s="1033" t="str">
        <f>'Perpipaan dalam Gedung '!C888</f>
        <v>6.4.2.22</v>
      </c>
      <c r="C1893" s="39" t="str">
        <f>VLOOKUP(B1893,'Perpipaan dalam Gedung '!C:K,2,FALSE)</f>
        <v>Pemasangan 1 m Pipa Galvanis SCH 40, DN. 2" (50 mm)</v>
      </c>
      <c r="D1893" s="9" t="s">
        <v>113</v>
      </c>
      <c r="E1893" s="1021">
        <f>VLOOKUP(C1893,'Perpipaan dalam Gedung '!$D$2:$I$5226,6,FALSE)</f>
        <v>366200</v>
      </c>
      <c r="F1893" s="1003" t="str">
        <f>VLOOKUP(C1893,'Perpipaan dalam Gedung '!$D$2:$J$5226,7,FALSE)</f>
        <v>Revisi</v>
      </c>
      <c r="G1893" s="12" t="str">
        <f>VLOOKUP(C1893,'Perpipaan dalam Gedung '!$D$2:$K$5226,8,FALSE)</f>
        <v>Perubahan Diameter (Dia.) menjadi diameter Nominal (DN)</v>
      </c>
      <c r="H1893" s="374"/>
      <c r="I1893" s="16"/>
    </row>
    <row r="1894" spans="1:9" ht="24" customHeight="1">
      <c r="B1894" s="1033" t="str">
        <f>'Perpipaan dalam Gedung '!C905</f>
        <v>6.4.2.23</v>
      </c>
      <c r="C1894" s="39" t="str">
        <f>VLOOKUP(B1894,'Perpipaan dalam Gedung '!C:K,2,FALSE)</f>
        <v>Pemasangan 1 m Pipa Galvanis SCH 40, DN. 2-1/2" (65 mm)</v>
      </c>
      <c r="D1894" s="9" t="s">
        <v>113</v>
      </c>
      <c r="E1894" s="1021">
        <f>VLOOKUP(C1894,'Perpipaan dalam Gedung '!$D$2:$I$5226,6,FALSE)</f>
        <v>407400</v>
      </c>
      <c r="F1894" s="1003" t="str">
        <f>VLOOKUP(C1894,'Perpipaan dalam Gedung '!$D$2:$J$5226,7,FALSE)</f>
        <v>Revisi</v>
      </c>
      <c r="G1894" s="12" t="str">
        <f>VLOOKUP(C1894,'Perpipaan dalam Gedung '!$D$2:$K$5226,8,FALSE)</f>
        <v>Perubahan Diameter (Dia.) menjadi diameter Nominal (DN)</v>
      </c>
      <c r="H1894" s="374"/>
      <c r="I1894" s="16"/>
    </row>
    <row r="1895" spans="1:9" ht="24" customHeight="1">
      <c r="B1895" s="1033" t="str">
        <f>'Perpipaan dalam Gedung '!C922</f>
        <v>6.4.2.24</v>
      </c>
      <c r="C1895" s="39" t="str">
        <f>VLOOKUP(B1895,'Perpipaan dalam Gedung '!C:K,2,FALSE)</f>
        <v>Pemasangan 1 m Pipa Galvanis SCH 40, DN. 3" (80 mm)</v>
      </c>
      <c r="D1895" s="9" t="s">
        <v>113</v>
      </c>
      <c r="E1895" s="1021">
        <f>VLOOKUP(C1895,'Perpipaan dalam Gedung '!$D$2:$I$5226,6,FALSE)</f>
        <v>687800</v>
      </c>
      <c r="F1895" s="1003" t="str">
        <f>VLOOKUP(C1895,'Perpipaan dalam Gedung '!$D$2:$J$5226,7,FALSE)</f>
        <v>Revisi</v>
      </c>
      <c r="G1895" s="12" t="str">
        <f>VLOOKUP(C1895,'Perpipaan dalam Gedung '!$D$2:$K$5226,8,FALSE)</f>
        <v>Perubahan Diameter (Dia.) menjadi diameter Nominal (DN)</v>
      </c>
      <c r="H1895" s="374"/>
      <c r="I1895" s="16"/>
    </row>
    <row r="1896" spans="1:9" ht="24" customHeight="1">
      <c r="B1896" s="1033" t="str">
        <f>'Perpipaan dalam Gedung '!C939</f>
        <v>6.4.2.25</v>
      </c>
      <c r="C1896" s="39" t="str">
        <f>VLOOKUP(B1896,'Perpipaan dalam Gedung '!C:K,2,FALSE)</f>
        <v>Pemasangan 1 m Pipa Galvanis SCH 40, DN. 4" (100 mm)</v>
      </c>
      <c r="D1896" s="9" t="s">
        <v>113</v>
      </c>
      <c r="E1896" s="1021">
        <f>VLOOKUP(C1896,'Perpipaan dalam Gedung '!$D$2:$I$5226,6,FALSE)</f>
        <v>753600</v>
      </c>
      <c r="F1896" s="1003" t="str">
        <f>VLOOKUP(C1896,'Perpipaan dalam Gedung '!$D$2:$J$5226,7,FALSE)</f>
        <v>Revisi</v>
      </c>
      <c r="G1896" s="12" t="str">
        <f>VLOOKUP(C1896,'Perpipaan dalam Gedung '!$D$2:$K$5226,8,FALSE)</f>
        <v>Perubahan Diameter (Dia.) menjadi diameter Nominal (DN)</v>
      </c>
      <c r="H1896" s="374"/>
      <c r="I1896" s="16"/>
    </row>
    <row r="1897" spans="1:9" ht="24" customHeight="1">
      <c r="B1897" s="1033" t="str">
        <f>'Perpipaan dalam Gedung '!C956</f>
        <v>6.4.2.26</v>
      </c>
      <c r="C1897" s="39" t="str">
        <f>VLOOKUP(B1897,'Perpipaan dalam Gedung '!C:K,2,FALSE)</f>
        <v>Pemasangan 1 m Pipa Galvanis SCH 40, DN. 5" (125 mm)</v>
      </c>
      <c r="D1897" s="9" t="s">
        <v>113</v>
      </c>
      <c r="E1897" s="1021">
        <f>VLOOKUP(C1897,'Perpipaan dalam Gedung '!$D$2:$I$5226,6,FALSE)</f>
        <v>983700</v>
      </c>
      <c r="F1897" s="1003" t="str">
        <f>VLOOKUP(C1897,'Perpipaan dalam Gedung '!$D$2:$J$5226,7,FALSE)</f>
        <v>Revisi</v>
      </c>
      <c r="G1897" s="12" t="str">
        <f>VLOOKUP(C1897,'Perpipaan dalam Gedung '!$D$2:$K$5226,8,FALSE)</f>
        <v>Perubahan Diameter (Dia.) menjadi diameter Nominal (DN)</v>
      </c>
      <c r="H1897" s="374"/>
      <c r="I1897" s="16"/>
    </row>
    <row r="1898" spans="1:9" ht="24" customHeight="1">
      <c r="B1898" s="1033" t="str">
        <f>'Perpipaan dalam Gedung '!C973</f>
        <v>6.4.2.27</v>
      </c>
      <c r="C1898" s="39" t="str">
        <f>VLOOKUP(B1898,'Perpipaan dalam Gedung '!C:K,2,FALSE)</f>
        <v>Pemasangan 1 m Pipa Galvanis SCH 40, DN. 6" (150 mm)</v>
      </c>
      <c r="D1898" s="9" t="s">
        <v>113</v>
      </c>
      <c r="E1898" s="1021">
        <f>VLOOKUP(C1898,'Perpipaan dalam Gedung '!$D$2:$I$5226,6,FALSE)</f>
        <v>1236000</v>
      </c>
      <c r="F1898" s="1003" t="str">
        <f>VLOOKUP(C1898,'Perpipaan dalam Gedung '!$D$2:$J$5226,7,FALSE)</f>
        <v>Revisi</v>
      </c>
      <c r="G1898" s="12" t="str">
        <f>VLOOKUP(C1898,'Perpipaan dalam Gedung '!$D$2:$K$5226,8,FALSE)</f>
        <v>Perubahan Diameter (Dia.) menjadi diameter Nominal (DN)</v>
      </c>
      <c r="H1898" s="374"/>
      <c r="I1898" s="16"/>
    </row>
    <row r="1899" spans="1:9" ht="24" customHeight="1">
      <c r="B1899" s="1033" t="str">
        <f>'Perpipaan dalam Gedung '!C990</f>
        <v>6.4.2.28</v>
      </c>
      <c r="C1899" s="39" t="str">
        <f>VLOOKUP(B1899,'Perpipaan dalam Gedung '!C:K,2,FALSE)</f>
        <v>Pemasangan 1 m Pipa Galvanis SCH 40, DN. 8" (200 mm)</v>
      </c>
      <c r="D1899" s="9" t="s">
        <v>113</v>
      </c>
      <c r="E1899" s="1021">
        <f>VLOOKUP(C1899,'Perpipaan dalam Gedung '!$D$2:$I$5226,6,FALSE)</f>
        <v>1877500</v>
      </c>
      <c r="F1899" s="1003" t="str">
        <f>VLOOKUP(C1899,'Perpipaan dalam Gedung '!$D$2:$J$5226,7,FALSE)</f>
        <v>Revisi</v>
      </c>
      <c r="G1899" s="12" t="str">
        <f>VLOOKUP(C1899,'Perpipaan dalam Gedung '!$D$2:$K$5226,8,FALSE)</f>
        <v>Perubahan Diameter (Dia.) menjadi diameter Nominal (DN)</v>
      </c>
      <c r="H1899" s="374"/>
      <c r="I1899" s="16"/>
    </row>
    <row r="1900" spans="1:9" ht="24" customHeight="1">
      <c r="B1900" s="1033" t="str">
        <f>'Perpipaan dalam Gedung '!C1007</f>
        <v>6.4.2.29</v>
      </c>
      <c r="C1900" s="39" t="str">
        <f>VLOOKUP(B1900,'Perpipaan dalam Gedung '!C:K,2,FALSE)</f>
        <v>Pemasangan 1 m Pipa Galvanis SCH 40, DN. 10" (250 mm</v>
      </c>
      <c r="D1900" s="9" t="s">
        <v>113</v>
      </c>
      <c r="E1900" s="1021">
        <f>VLOOKUP(C1900,'Perpipaan dalam Gedung '!$D$2:$I$5226,6,FALSE)</f>
        <v>2492700</v>
      </c>
      <c r="F1900" s="1003" t="str">
        <f>VLOOKUP(C1900,'Perpipaan dalam Gedung '!$D$2:$J$5226,7,FALSE)</f>
        <v>Revisi</v>
      </c>
      <c r="G1900" s="12" t="str">
        <f>VLOOKUP(C1900,'Perpipaan dalam Gedung '!$D$2:$K$5226,8,FALSE)</f>
        <v>Perubahan Diameter (Dia.) menjadi diameter Nominal (DN)</v>
      </c>
      <c r="H1900" s="374"/>
      <c r="I1900" s="16"/>
    </row>
    <row r="1901" spans="1:9" ht="24" customHeight="1">
      <c r="B1901" s="1033" t="str">
        <f>'Perpipaan dalam Gedung '!C1024</f>
        <v>6.4.2.30</v>
      </c>
      <c r="C1901" s="39" t="str">
        <f>VLOOKUP(B1901,'Perpipaan dalam Gedung '!C:K,2,FALSE)</f>
        <v>Pemasangan 1 m Pipa Galvanis SCH 40, DN. 12" (300 mm)</v>
      </c>
      <c r="D1901" s="9" t="s">
        <v>113</v>
      </c>
      <c r="E1901" s="1021">
        <f>VLOOKUP(C1901,'Perpipaan dalam Gedung '!$D$2:$I$5226,6,FALSE)</f>
        <v>2692100</v>
      </c>
      <c r="F1901" s="1003" t="str">
        <f>VLOOKUP(C1901,'Perpipaan dalam Gedung '!$D$2:$J$5226,7,FALSE)</f>
        <v>Revisi</v>
      </c>
      <c r="G1901" s="12" t="str">
        <f>VLOOKUP(C1901,'Perpipaan dalam Gedung '!$D$2:$K$5226,8,FALSE)</f>
        <v>Perubahan Diameter (Dia.) menjadi diameter Nominal (DN)</v>
      </c>
      <c r="H1901" s="374"/>
      <c r="I1901" s="16"/>
    </row>
    <row r="1902" spans="1:9" ht="24" customHeight="1">
      <c r="B1902" s="1033" t="str">
        <f>'Perpipaan dalam Gedung '!C1041</f>
        <v>6.4.2.31</v>
      </c>
      <c r="C1902" s="39" t="str">
        <f>VLOOKUP(B1902,'Perpipaan dalam Gedung '!C:K,2,FALSE)</f>
        <v>Pemasangan 1 m Pipa Galvanis SCH 40, DN. 14" (350 mm)</v>
      </c>
      <c r="D1902" s="9" t="s">
        <v>113</v>
      </c>
      <c r="E1902" s="1021">
        <f>VLOOKUP(C1902,'Perpipaan dalam Gedung '!$D$2:$I$5226,6,FALSE)</f>
        <v>2850100</v>
      </c>
      <c r="F1902" s="1003" t="str">
        <f>VLOOKUP(C1902,'Perpipaan dalam Gedung '!$D$2:$J$5226,7,FALSE)</f>
        <v>Revisi</v>
      </c>
      <c r="G1902" s="12" t="str">
        <f>VLOOKUP(C1902,'Perpipaan dalam Gedung '!$D$2:$K$5226,8,FALSE)</f>
        <v>Perubahan Diameter (Dia.) menjadi diameter Nominal (DN)</v>
      </c>
      <c r="H1902" s="374"/>
      <c r="I1902" s="16"/>
    </row>
    <row r="1903" spans="1:9" ht="24" customHeight="1">
      <c r="B1903" s="1033" t="str">
        <f>'Perpipaan dalam Gedung '!C1058</f>
        <v>6.4.2.32</v>
      </c>
      <c r="C1903" s="39" t="str">
        <f>VLOOKUP(B1903,'Perpipaan dalam Gedung '!C:K,2,FALSE)</f>
        <v>Pemasangan 1 m Pipa Galvanis SCH 40, DN. 16" (400 mm)</v>
      </c>
      <c r="D1903" s="9" t="s">
        <v>113</v>
      </c>
      <c r="E1903" s="1021">
        <f>VLOOKUP(C1903,'Perpipaan dalam Gedung '!$D$2:$I$5226,6,FALSE)</f>
        <v>2974400</v>
      </c>
      <c r="F1903" s="1003" t="str">
        <f>VLOOKUP(C1903,'Perpipaan dalam Gedung '!$D$2:$J$5226,7,FALSE)</f>
        <v>Revisi</v>
      </c>
      <c r="G1903" s="12" t="str">
        <f>VLOOKUP(C1903,'Perpipaan dalam Gedung '!$D$2:$K$5226,8,FALSE)</f>
        <v>Perubahan Diameter (Dia.) menjadi diameter Nominal (DN)</v>
      </c>
      <c r="H1903" s="374"/>
      <c r="I1903" s="16"/>
    </row>
    <row r="1904" spans="1:9" s="1" customFormat="1" ht="24" customHeight="1">
      <c r="A1904" s="47"/>
      <c r="B1904" s="1041" t="str">
        <f>'Perpipaan dalam Gedung '!C1075</f>
        <v>6.4.3</v>
      </c>
      <c r="C1904" s="40" t="str">
        <f>VLOOKUP(B1904,'Perpipaan dalam Gedung '!C:K,2,FALSE)</f>
        <v>Pipa PPR (PolyPropylene Random)</v>
      </c>
      <c r="D1904" s="19"/>
      <c r="E1904" s="1021">
        <f>VLOOKUP(C1904,'Perpipaan dalam Gedung '!$D$2:$I$5226,6,FALSE)</f>
        <v>0</v>
      </c>
      <c r="F1904" s="1003">
        <f>VLOOKUP(C1904,'Perpipaan dalam Gedung '!$D$2:$J$5226,7,FALSE)</f>
        <v>0</v>
      </c>
      <c r="G1904" s="12">
        <f>VLOOKUP(C1904,'Perpipaan dalam Gedung '!$D$2:$K$5226,8,FALSE)</f>
        <v>0</v>
      </c>
      <c r="H1904" s="1092"/>
      <c r="I1904" s="21"/>
    </row>
    <row r="1905" spans="2:9" ht="24" customHeight="1">
      <c r="B1905" s="1033" t="str">
        <f>'Perpipaan dalam Gedung '!C1076</f>
        <v>6.4.3.1</v>
      </c>
      <c r="C1905" s="39" t="str">
        <f>VLOOKUP(B1905,'Perpipaan dalam Gedung '!C:K,2,FALSE)</f>
        <v>Pemasangan 1 m pipa PPR PN 10, DN. 1/2" (15 mm)</v>
      </c>
      <c r="D1905" s="9" t="s">
        <v>113</v>
      </c>
      <c r="E1905" s="1021">
        <f>VLOOKUP(C1905,'Perpipaan dalam Gedung '!$D$2:$I$5226,6,FALSE)</f>
        <v>37400</v>
      </c>
      <c r="F1905" s="1003" t="str">
        <f>VLOOKUP(C1905,'Perpipaan dalam Gedung '!$D$2:$J$5226,7,FALSE)</f>
        <v>Revisi</v>
      </c>
      <c r="G1905" s="12" t="str">
        <f>VLOOKUP(C1905,'Perpipaan dalam Gedung '!$D$2:$K$5226,8,FALSE)</f>
        <v>Perubahan Diameter (Dia.) menjadi diameter Nominal (DN)</v>
      </c>
      <c r="H1905" s="374"/>
      <c r="I1905" s="16"/>
    </row>
    <row r="1906" spans="2:9" ht="24" customHeight="1">
      <c r="B1906" s="1033" t="str">
        <f>'Perpipaan dalam Gedung '!C1093</f>
        <v>6.4.3.2</v>
      </c>
      <c r="C1906" s="39" t="str">
        <f>VLOOKUP(B1906,'Perpipaan dalam Gedung '!C:K,2,FALSE)</f>
        <v>Pemasangan 1 m pipa PPR PN 10, DN. 3/4" (20 mm)</v>
      </c>
      <c r="D1906" s="9" t="s">
        <v>113</v>
      </c>
      <c r="E1906" s="1021">
        <f>VLOOKUP(C1906,'Perpipaan dalam Gedung '!$D$2:$I$5226,6,FALSE)</f>
        <v>48000</v>
      </c>
      <c r="F1906" s="1003" t="str">
        <f>VLOOKUP(C1906,'Perpipaan dalam Gedung '!$D$2:$J$5226,7,FALSE)</f>
        <v>Revisi</v>
      </c>
      <c r="G1906" s="12" t="str">
        <f>VLOOKUP(C1906,'Perpipaan dalam Gedung '!$D$2:$K$5226,8,FALSE)</f>
        <v>Perubahan Diameter (Dia.) menjadi diameter Nominal (DN)</v>
      </c>
      <c r="H1906" s="374"/>
      <c r="I1906" s="16"/>
    </row>
    <row r="1907" spans="2:9" ht="24" customHeight="1">
      <c r="B1907" s="1033" t="str">
        <f>'Perpipaan dalam Gedung '!C1110</f>
        <v>6.4.3.3</v>
      </c>
      <c r="C1907" s="39" t="str">
        <f>VLOOKUP(B1907,'Perpipaan dalam Gedung '!C:K,2,FALSE)</f>
        <v>Pemasangan 1 m pipa PPR PN 10, DN. 1" (25 mm)</v>
      </c>
      <c r="D1907" s="9" t="s">
        <v>113</v>
      </c>
      <c r="E1907" s="1021">
        <f>VLOOKUP(C1907,'Perpipaan dalam Gedung '!$D$2:$I$5226,6,FALSE)</f>
        <v>68900</v>
      </c>
      <c r="F1907" s="1003" t="str">
        <f>VLOOKUP(C1907,'Perpipaan dalam Gedung '!$D$2:$J$5226,7,FALSE)</f>
        <v>Revisi</v>
      </c>
      <c r="G1907" s="12" t="str">
        <f>VLOOKUP(C1907,'Perpipaan dalam Gedung '!$D$2:$K$5226,8,FALSE)</f>
        <v>Perubahan Diameter (Dia.) menjadi diameter Nominal (DN)</v>
      </c>
      <c r="H1907" s="374"/>
      <c r="I1907" s="16"/>
    </row>
    <row r="1908" spans="2:9" ht="24" customHeight="1">
      <c r="B1908" s="1033" t="str">
        <f>'Perpipaan dalam Gedung '!C1127</f>
        <v>6.4.3.4</v>
      </c>
      <c r="C1908" s="39" t="str">
        <f>VLOOKUP(B1908,'Perpipaan dalam Gedung '!C:K,2,FALSE)</f>
        <v>Pemasangan 1 m pipa PPR PN 10, DN. 1-1/4" (32 mm)</v>
      </c>
      <c r="D1908" s="9" t="s">
        <v>113</v>
      </c>
      <c r="E1908" s="1021">
        <f>VLOOKUP(C1908,'Perpipaan dalam Gedung '!$D$2:$I$5226,6,FALSE)</f>
        <v>97500</v>
      </c>
      <c r="F1908" s="1003" t="str">
        <f>VLOOKUP(C1908,'Perpipaan dalam Gedung '!$D$2:$J$5226,7,FALSE)</f>
        <v>Revisi</v>
      </c>
      <c r="G1908" s="12" t="str">
        <f>VLOOKUP(C1908,'Perpipaan dalam Gedung '!$D$2:$K$5226,8,FALSE)</f>
        <v>Perubahan Diameter (Dia.) menjadi diameter Nominal (DN)</v>
      </c>
      <c r="H1908" s="374"/>
      <c r="I1908" s="16"/>
    </row>
    <row r="1909" spans="2:9" ht="24" customHeight="1">
      <c r="B1909" s="1033" t="str">
        <f>'Perpipaan dalam Gedung '!C1144</f>
        <v>6.4.3.5</v>
      </c>
      <c r="C1909" s="39" t="str">
        <f>VLOOKUP(B1909,'Perpipaan dalam Gedung '!C:K,2,FALSE)</f>
        <v>Pemasangan 1 m pipa PPR PN 10, DN. 1-1/2" (40 mm)</v>
      </c>
      <c r="D1909" s="9" t="s">
        <v>113</v>
      </c>
      <c r="E1909" s="1021">
        <f>VLOOKUP(C1909,'Perpipaan dalam Gedung '!$D$2:$I$5226,6,FALSE)</f>
        <v>138900</v>
      </c>
      <c r="F1909" s="1003" t="str">
        <f>VLOOKUP(C1909,'Perpipaan dalam Gedung '!$D$2:$J$5226,7,FALSE)</f>
        <v>Revisi</v>
      </c>
      <c r="G1909" s="12" t="str">
        <f>VLOOKUP(C1909,'Perpipaan dalam Gedung '!$D$2:$K$5226,8,FALSE)</f>
        <v>Perubahan Diameter (Dia.) menjadi diameter Nominal (DN)</v>
      </c>
      <c r="H1909" s="374"/>
      <c r="I1909" s="16"/>
    </row>
    <row r="1910" spans="2:9" ht="24" customHeight="1">
      <c r="B1910" s="1033" t="str">
        <f>'Perpipaan dalam Gedung '!C1161</f>
        <v>6.4.3.6</v>
      </c>
      <c r="C1910" s="39" t="str">
        <f>VLOOKUP(B1910,'Perpipaan dalam Gedung '!C:K,2,FALSE)</f>
        <v>Pemasangan 1 m pipa PPR PN 10, DN. 2" (50 mm)</v>
      </c>
      <c r="D1910" s="9" t="s">
        <v>113</v>
      </c>
      <c r="E1910" s="1021">
        <f>VLOOKUP(C1910,'Perpipaan dalam Gedung '!$D$2:$I$5226,6,FALSE)</f>
        <v>204700</v>
      </c>
      <c r="F1910" s="1003" t="str">
        <f>VLOOKUP(C1910,'Perpipaan dalam Gedung '!$D$2:$J$5226,7,FALSE)</f>
        <v>Revisi</v>
      </c>
      <c r="G1910" s="12" t="str">
        <f>VLOOKUP(C1910,'Perpipaan dalam Gedung '!$D$2:$K$5226,8,FALSE)</f>
        <v>Perubahan Diameter (Dia.) menjadi diameter Nominal (DN)</v>
      </c>
      <c r="H1910" s="374"/>
      <c r="I1910" s="16"/>
    </row>
    <row r="1911" spans="2:9" ht="24" customHeight="1">
      <c r="B1911" s="1033" t="str">
        <f>'Perpipaan dalam Gedung '!C1178</f>
        <v>6.4.3.7</v>
      </c>
      <c r="C1911" s="39" t="str">
        <f>VLOOKUP(B1911,'Perpipaan dalam Gedung '!C:K,2,FALSE)</f>
        <v>Pemasangan 1 m pipa PPR PN 10, DN. 2-1/2" (65 mm)</v>
      </c>
      <c r="D1911" s="9" t="s">
        <v>113</v>
      </c>
      <c r="E1911" s="1021">
        <f>VLOOKUP(C1911,'Perpipaan dalam Gedung '!$D$2:$I$5226,6,FALSE)</f>
        <v>282100</v>
      </c>
      <c r="F1911" s="1003" t="str">
        <f>VLOOKUP(C1911,'Perpipaan dalam Gedung '!$D$2:$J$5226,7,FALSE)</f>
        <v>Revisi</v>
      </c>
      <c r="G1911" s="12" t="str">
        <f>VLOOKUP(C1911,'Perpipaan dalam Gedung '!$D$2:$K$5226,8,FALSE)</f>
        <v>Perubahan Diameter (Dia.) menjadi diameter Nominal (DN)</v>
      </c>
      <c r="H1911" s="374"/>
      <c r="I1911" s="16"/>
    </row>
    <row r="1912" spans="2:9" ht="24" customHeight="1">
      <c r="B1912" s="1033" t="str">
        <f>'Perpipaan dalam Gedung '!C1195</f>
        <v>6.4.3.8</v>
      </c>
      <c r="C1912" s="39" t="str">
        <f>VLOOKUP(B1912,'Perpipaan dalam Gedung '!C:K,2,FALSE)</f>
        <v>Pemasangan 1 m pipa PPR PN 10, DN. 3" (80 mm)</v>
      </c>
      <c r="D1912" s="9" t="s">
        <v>113</v>
      </c>
      <c r="E1912" s="1021">
        <f>VLOOKUP(C1912,'Perpipaan dalam Gedung '!$D$2:$I$5226,6,FALSE)</f>
        <v>384000</v>
      </c>
      <c r="F1912" s="1003" t="str">
        <f>VLOOKUP(C1912,'Perpipaan dalam Gedung '!$D$2:$J$5226,7,FALSE)</f>
        <v>Revisi</v>
      </c>
      <c r="G1912" s="12" t="str">
        <f>VLOOKUP(C1912,'Perpipaan dalam Gedung '!$D$2:$K$5226,8,FALSE)</f>
        <v>Perubahan Diameter (Dia.) menjadi diameter Nominal (DN)</v>
      </c>
      <c r="H1912" s="374"/>
      <c r="I1912" s="16"/>
    </row>
    <row r="1913" spans="2:9" ht="24" customHeight="1">
      <c r="B1913" s="1033" t="str">
        <f>'Perpipaan dalam Gedung '!C1212</f>
        <v>6.4.3.9</v>
      </c>
      <c r="C1913" s="39" t="str">
        <f>VLOOKUP(B1913,'Perpipaan dalam Gedung '!C:K,2,FALSE)</f>
        <v>Pemasangan 1 m pipa PPR PN 10, DN. 4" (100 mm)</v>
      </c>
      <c r="D1913" s="9" t="s">
        <v>113</v>
      </c>
      <c r="E1913" s="1021">
        <f>VLOOKUP(C1913,'Perpipaan dalam Gedung '!$D$2:$I$5226,6,FALSE)</f>
        <v>570300</v>
      </c>
      <c r="F1913" s="1003" t="str">
        <f>VLOOKUP(C1913,'Perpipaan dalam Gedung '!$D$2:$J$5226,7,FALSE)</f>
        <v>Revisi</v>
      </c>
      <c r="G1913" s="12" t="str">
        <f>VLOOKUP(C1913,'Perpipaan dalam Gedung '!$D$2:$K$5226,8,FALSE)</f>
        <v>Perubahan Diameter (Dia.) menjadi diameter Nominal (DN)</v>
      </c>
      <c r="H1913" s="374"/>
      <c r="I1913" s="16"/>
    </row>
    <row r="1914" spans="2:9" ht="24" customHeight="1">
      <c r="B1914" s="1033" t="str">
        <f>'Perpipaan dalam Gedung '!C1229</f>
        <v>6.4.3.10</v>
      </c>
      <c r="C1914" s="39" t="str">
        <f>VLOOKUP(B1914,'Perpipaan dalam Gedung '!C:K,2,FALSE)</f>
        <v>Pemasangan 1 m pipa PPR PN 10, DN. 6" (150 mm)</v>
      </c>
      <c r="D1914" s="9" t="s">
        <v>113</v>
      </c>
      <c r="E1914" s="1021">
        <f>VLOOKUP(C1914,'Perpipaan dalam Gedung '!$D$2:$I$5226,6,FALSE)</f>
        <v>1791400</v>
      </c>
      <c r="F1914" s="1003" t="str">
        <f>VLOOKUP(C1914,'Perpipaan dalam Gedung '!$D$2:$J$5226,7,FALSE)</f>
        <v>Revisi</v>
      </c>
      <c r="G1914" s="12" t="str">
        <f>VLOOKUP(C1914,'Perpipaan dalam Gedung '!$D$2:$K$5226,8,FALSE)</f>
        <v>Perubahan Diameter (Dia.) menjadi diameter Nominal (DN)</v>
      </c>
      <c r="H1914" s="374"/>
      <c r="I1914" s="16"/>
    </row>
    <row r="1915" spans="2:9" ht="24" customHeight="1">
      <c r="B1915" s="1033" t="str">
        <f>'Perpipaan dalam Gedung '!C1246</f>
        <v>6.4.3.11</v>
      </c>
      <c r="C1915" s="39" t="str">
        <f>VLOOKUP(B1915,'Perpipaan dalam Gedung '!C:K,2,FALSE)</f>
        <v>Pemasangan 1 m pipa PPR PN 20, DN. 1/2" (15 mm)</v>
      </c>
      <c r="D1915" s="9" t="s">
        <v>113</v>
      </c>
      <c r="E1915" s="1021">
        <f>VLOOKUP(C1915,'Perpipaan dalam Gedung '!$D$2:$I$5226,6,FALSE)</f>
        <v>1697900</v>
      </c>
      <c r="F1915" s="1003" t="str">
        <f>VLOOKUP(C1915,'Perpipaan dalam Gedung '!$D$2:$J$5226,7,FALSE)</f>
        <v>Revisi</v>
      </c>
      <c r="G1915" s="12" t="str">
        <f>VLOOKUP(C1915,'Perpipaan dalam Gedung '!$D$2:$K$5226,8,FALSE)</f>
        <v>Perubahan Diameter (Dia.) menjadi diameter Nominal (DN)</v>
      </c>
      <c r="H1915" s="374"/>
      <c r="I1915" s="16"/>
    </row>
    <row r="1916" spans="2:9" ht="24" customHeight="1">
      <c r="B1916" s="1033" t="str">
        <f>'Perpipaan dalam Gedung '!C1263</f>
        <v>6.4.3.12</v>
      </c>
      <c r="C1916" s="39" t="str">
        <f>VLOOKUP(B1916,'Perpipaan dalam Gedung '!C:K,2,FALSE)</f>
        <v>Pemasangan 1 m pipa PPR PN 20, DN. 3/4" (20 mm)</v>
      </c>
      <c r="D1916" s="9" t="s">
        <v>113</v>
      </c>
      <c r="E1916" s="1021">
        <f>VLOOKUP(C1916,'Perpipaan dalam Gedung '!$D$2:$I$5226,6,FALSE)</f>
        <v>64900</v>
      </c>
      <c r="F1916" s="1003" t="str">
        <f>VLOOKUP(C1916,'Perpipaan dalam Gedung '!$D$2:$J$5226,7,FALSE)</f>
        <v>Revisi</v>
      </c>
      <c r="G1916" s="12" t="str">
        <f>VLOOKUP(C1916,'Perpipaan dalam Gedung '!$D$2:$K$5226,8,FALSE)</f>
        <v>Perubahan Diameter (Dia.) menjadi diameter Nominal (DN)</v>
      </c>
      <c r="H1916" s="374"/>
      <c r="I1916" s="16"/>
    </row>
    <row r="1917" spans="2:9" ht="24" customHeight="1">
      <c r="B1917" s="1033" t="str">
        <f>'Perpipaan dalam Gedung '!C1281</f>
        <v>6.4.3.13</v>
      </c>
      <c r="C1917" s="39" t="str">
        <f>VLOOKUP(B1917,'Perpipaan dalam Gedung '!C:K,2,FALSE)</f>
        <v>Pemasangan 1 m pipa PPR PN 20, DN. 1" (25 mm)</v>
      </c>
      <c r="D1917" s="9" t="s">
        <v>113</v>
      </c>
      <c r="E1917" s="1021">
        <f>VLOOKUP(C1917,'Perpipaan dalam Gedung '!$D$2:$I$5226,6,FALSE)</f>
        <v>97000</v>
      </c>
      <c r="F1917" s="1003" t="str">
        <f>VLOOKUP(C1917,'Perpipaan dalam Gedung '!$D$2:$J$5226,7,FALSE)</f>
        <v>Revisi</v>
      </c>
      <c r="G1917" s="12" t="str">
        <f>VLOOKUP(C1917,'Perpipaan dalam Gedung '!$D$2:$K$5226,8,FALSE)</f>
        <v>Perubahan Diameter (Dia.) menjadi diameter Nominal (DN)</v>
      </c>
      <c r="H1917" s="374"/>
      <c r="I1917" s="16"/>
    </row>
    <row r="1918" spans="2:9" ht="24" customHeight="1">
      <c r="B1918" s="1033" t="str">
        <f>'Perpipaan dalam Gedung '!C1298</f>
        <v>6.4.3.14</v>
      </c>
      <c r="C1918" s="39" t="str">
        <f>VLOOKUP(B1918,'Perpipaan dalam Gedung '!C:K,2,FALSE)</f>
        <v>Pemasangan 1 m pipa PPR PN 20, DN. 1-1/4" (32 mm)</v>
      </c>
      <c r="D1918" s="9" t="s">
        <v>113</v>
      </c>
      <c r="E1918" s="1021">
        <f>VLOOKUP(C1918,'Perpipaan dalam Gedung '!$D$2:$I$5226,6,FALSE)</f>
        <v>139200</v>
      </c>
      <c r="F1918" s="1003" t="str">
        <f>VLOOKUP(C1918,'Perpipaan dalam Gedung '!$D$2:$J$5226,7,FALSE)</f>
        <v>Revisi</v>
      </c>
      <c r="G1918" s="12" t="str">
        <f>VLOOKUP(C1918,'Perpipaan dalam Gedung '!$D$2:$K$5226,8,FALSE)</f>
        <v>Perubahan Diameter (Dia.) menjadi diameter Nominal (DN)</v>
      </c>
      <c r="H1918" s="374"/>
      <c r="I1918" s="16"/>
    </row>
    <row r="1919" spans="2:9" ht="24" customHeight="1">
      <c r="B1919" s="1033" t="str">
        <f>'Perpipaan dalam Gedung '!C1315</f>
        <v>6.4.3.15</v>
      </c>
      <c r="C1919" s="39" t="str">
        <f>VLOOKUP(B1919,'Perpipaan dalam Gedung '!C:K,2,FALSE)</f>
        <v>Pemasangan 1 m pipa PPR PN 20, DN. 1-1/2" (40 mm)</v>
      </c>
      <c r="D1919" s="9" t="s">
        <v>113</v>
      </c>
      <c r="E1919" s="1021">
        <f>VLOOKUP(C1919,'Perpipaan dalam Gedung '!$D$2:$I$5226,6,FALSE)</f>
        <v>204300</v>
      </c>
      <c r="F1919" s="1003" t="str">
        <f>VLOOKUP(C1919,'Perpipaan dalam Gedung '!$D$2:$J$5226,7,FALSE)</f>
        <v>Revisi</v>
      </c>
      <c r="G1919" s="12" t="str">
        <f>VLOOKUP(C1919,'Perpipaan dalam Gedung '!$D$2:$K$5226,8,FALSE)</f>
        <v>Perubahan Diameter (Dia.) menjadi diameter Nominal (DN)</v>
      </c>
      <c r="H1919" s="374"/>
      <c r="I1919" s="16"/>
    </row>
    <row r="1920" spans="2:9" ht="24" customHeight="1">
      <c r="B1920" s="1033" t="str">
        <f>'Perpipaan dalam Gedung '!C1332</f>
        <v>6.4.3.16</v>
      </c>
      <c r="C1920" s="39" t="str">
        <f>VLOOKUP(B1920,'Perpipaan dalam Gedung '!C:K,2,FALSE)</f>
        <v>Pemasangan 1 m pipa PPR PN 20, DN. 2" (50 mm)</v>
      </c>
      <c r="D1920" s="9" t="s">
        <v>113</v>
      </c>
      <c r="E1920" s="1021">
        <f>VLOOKUP(C1920,'Perpipaan dalam Gedung '!$D$2:$I$5226,6,FALSE)</f>
        <v>312300</v>
      </c>
      <c r="F1920" s="1003" t="str">
        <f>VLOOKUP(C1920,'Perpipaan dalam Gedung '!$D$2:$J$5226,7,FALSE)</f>
        <v>Revisi</v>
      </c>
      <c r="G1920" s="12" t="str">
        <f>VLOOKUP(C1920,'Perpipaan dalam Gedung '!$D$2:$K$5226,8,FALSE)</f>
        <v>Perubahan Diameter (Dia.) menjadi diameter Nominal (DN)</v>
      </c>
      <c r="H1920" s="374"/>
      <c r="I1920" s="16"/>
    </row>
    <row r="1921" spans="1:9" ht="24" customHeight="1">
      <c r="B1921" s="1033" t="str">
        <f>'Perpipaan dalam Gedung '!C1349</f>
        <v>6.4.3.17</v>
      </c>
      <c r="C1921" s="39" t="str">
        <f>VLOOKUP(B1921,'Perpipaan dalam Gedung '!C:K,2,FALSE)</f>
        <v>Pemasangan 1 m pipa PPR PN 20, DN. 2-1/2" (65 mm)</v>
      </c>
      <c r="D1921" s="9" t="s">
        <v>113</v>
      </c>
      <c r="E1921" s="1021">
        <f>VLOOKUP(C1921,'Perpipaan dalam Gedung '!$D$2:$I$5226,6,FALSE)</f>
        <v>431900</v>
      </c>
      <c r="F1921" s="1003" t="str">
        <f>VLOOKUP(C1921,'Perpipaan dalam Gedung '!$D$2:$J$5226,7,FALSE)</f>
        <v>Revisi</v>
      </c>
      <c r="G1921" s="12" t="str">
        <f>VLOOKUP(C1921,'Perpipaan dalam Gedung '!$D$2:$K$5226,8,FALSE)</f>
        <v>Perubahan Diameter (Dia.) menjadi diameter Nominal (DN)</v>
      </c>
      <c r="H1921" s="374"/>
      <c r="I1921" s="16"/>
    </row>
    <row r="1922" spans="1:9" ht="24" customHeight="1">
      <c r="B1922" s="1033" t="str">
        <f>'Perpipaan dalam Gedung '!C1366</f>
        <v>6.4.3.18</v>
      </c>
      <c r="C1922" s="39" t="str">
        <f>VLOOKUP(B1922,'Perpipaan dalam Gedung '!C:K,2,FALSE)</f>
        <v>Pemasangan 1 m pipa PPR PN 20, DN. 3" (80 mm)</v>
      </c>
      <c r="D1922" s="9" t="s">
        <v>113</v>
      </c>
      <c r="E1922" s="1021">
        <f>VLOOKUP(C1922,'Perpipaan dalam Gedung '!$D$2:$I$5226,6,FALSE)</f>
        <v>605400</v>
      </c>
      <c r="F1922" s="1003" t="str">
        <f>VLOOKUP(C1922,'Perpipaan dalam Gedung '!$D$2:$J$5226,7,FALSE)</f>
        <v>Revisi</v>
      </c>
      <c r="G1922" s="12" t="str">
        <f>VLOOKUP(C1922,'Perpipaan dalam Gedung '!$D$2:$K$5226,8,FALSE)</f>
        <v>Perubahan Diameter (Dia.) menjadi diameter Nominal (DN)</v>
      </c>
      <c r="H1922" s="374"/>
      <c r="I1922" s="16"/>
    </row>
    <row r="1923" spans="1:9" ht="24" customHeight="1">
      <c r="B1923" s="1033" t="str">
        <f>'Perpipaan dalam Gedung '!C1383</f>
        <v>6.4.3.19</v>
      </c>
      <c r="C1923" s="39" t="str">
        <f>VLOOKUP(B1923,'Perpipaan dalam Gedung '!C:K,2,FALSE)</f>
        <v>Pemasangan 1 m pipa PPR PN 20, DN. 4" (100 mm)</v>
      </c>
      <c r="D1923" s="9" t="s">
        <v>113</v>
      </c>
      <c r="E1923" s="1021">
        <f>VLOOKUP(C1923,'Perpipaan dalam Gedung '!$D$2:$I$5226,6,FALSE)</f>
        <v>892300</v>
      </c>
      <c r="F1923" s="1003" t="str">
        <f>VLOOKUP(C1923,'Perpipaan dalam Gedung '!$D$2:$J$5226,7,FALSE)</f>
        <v>Revisi</v>
      </c>
      <c r="G1923" s="12" t="str">
        <f>VLOOKUP(C1923,'Perpipaan dalam Gedung '!$D$2:$K$5226,8,FALSE)</f>
        <v>Perubahan Diameter (Dia.) menjadi diameter Nominal (DN)</v>
      </c>
      <c r="H1923" s="374"/>
      <c r="I1923" s="16"/>
    </row>
    <row r="1924" spans="1:9" ht="24" customHeight="1">
      <c r="B1924" s="1033" t="str">
        <f>'Perpipaan dalam Gedung '!C1400</f>
        <v>6.4.3.20</v>
      </c>
      <c r="C1924" s="39" t="str">
        <f>VLOOKUP(B1924,'Perpipaan dalam Gedung '!C:K,2,FALSE)</f>
        <v>Pemasangan 1 m pipa PPR PN 20, DN. 6" (150 mm)</v>
      </c>
      <c r="D1924" s="9" t="s">
        <v>113</v>
      </c>
      <c r="E1924" s="1021">
        <f>VLOOKUP(C1924,'Perpipaan dalam Gedung '!$D$2:$I$5226,6,FALSE)</f>
        <v>2888600</v>
      </c>
      <c r="F1924" s="1003" t="str">
        <f>VLOOKUP(C1924,'Perpipaan dalam Gedung '!$D$2:$J$5226,7,FALSE)</f>
        <v>Revisi</v>
      </c>
      <c r="G1924" s="12" t="str">
        <f>VLOOKUP(C1924,'Perpipaan dalam Gedung '!$D$2:$K$5226,8,FALSE)</f>
        <v>Perubahan Diameter (Dia.) menjadi diameter Nominal (DN)</v>
      </c>
      <c r="H1924" s="374"/>
      <c r="I1924" s="16"/>
    </row>
    <row r="1925" spans="1:9" s="1" customFormat="1" ht="24" customHeight="1">
      <c r="A1925" s="47"/>
      <c r="B1925" s="1041" t="str">
        <f>'Perpipaan dalam Gedung '!C1418</f>
        <v>6.4.4</v>
      </c>
      <c r="C1925" s="40" t="str">
        <f>VLOOKUP(B1925,'Perpipaan dalam Gedung '!C:K,2,FALSE)</f>
        <v>Pipa BS (Black Steel)</v>
      </c>
      <c r="D1925" s="19"/>
      <c r="E1925" s="1021">
        <f>VLOOKUP(C1925,'Perpipaan dalam Gedung '!$D$2:$I$5226,6,FALSE)</f>
        <v>0</v>
      </c>
      <c r="F1925" s="1003">
        <f>VLOOKUP(C1925,'Perpipaan dalam Gedung '!$D$2:$J$5226,7,FALSE)</f>
        <v>0</v>
      </c>
      <c r="G1925" s="12">
        <f>VLOOKUP(C1925,'Perpipaan dalam Gedung '!$D$2:$K$5226,8,FALSE)</f>
        <v>0</v>
      </c>
      <c r="H1925" s="1092"/>
      <c r="I1925" s="21"/>
    </row>
    <row r="1926" spans="1:9" ht="24" customHeight="1">
      <c r="B1926" s="1033" t="str">
        <f>'Perpipaan dalam Gedung '!C1419</f>
        <v>6.4.4.1</v>
      </c>
      <c r="C1926" s="39" t="str">
        <f>VLOOKUP(B1926,'Perpipaan dalam Gedung '!C:K,2,FALSE)</f>
        <v>Pemasangan 1 m pipa BS MED CLASS, DN. 1/2" (15 mm)</v>
      </c>
      <c r="D1926" s="9" t="s">
        <v>113</v>
      </c>
      <c r="E1926" s="1021">
        <f>VLOOKUP(C1926,'Perpipaan dalam Gedung '!$D$2:$I$5226,6,FALSE)</f>
        <v>65800</v>
      </c>
      <c r="F1926" s="1003" t="str">
        <f>VLOOKUP(C1926,'Perpipaan dalam Gedung '!$D$2:$J$5226,7,FALSE)</f>
        <v>Revisi</v>
      </c>
      <c r="G1926" s="12" t="str">
        <f>VLOOKUP(C1926,'Perpipaan dalam Gedung '!$D$2:$K$5226,8,FALSE)</f>
        <v>Perubahan Diameter (Dia.) menjadi diameter Nominal (DN)</v>
      </c>
      <c r="H1926" s="374"/>
      <c r="I1926" s="16"/>
    </row>
    <row r="1927" spans="1:9" ht="24" customHeight="1">
      <c r="B1927" s="1033" t="str">
        <f>'Perpipaan dalam Gedung '!C1436</f>
        <v>6.4.4.2</v>
      </c>
      <c r="C1927" s="39" t="str">
        <f>VLOOKUP(B1927,'Perpipaan dalam Gedung '!C:K,2,FALSE)</f>
        <v>Pemasangan 1 m pipa BS MED CLASS, DN. 3/4" (20 mm)</v>
      </c>
      <c r="D1927" s="9" t="s">
        <v>113</v>
      </c>
      <c r="E1927" s="1021">
        <f>VLOOKUP(C1927,'Perpipaan dalam Gedung '!$D$2:$I$5226,6,FALSE)</f>
        <v>84500</v>
      </c>
      <c r="F1927" s="1003" t="str">
        <f>VLOOKUP(C1927,'Perpipaan dalam Gedung '!$D$2:$J$5226,7,FALSE)</f>
        <v>Revisi</v>
      </c>
      <c r="G1927" s="12" t="str">
        <f>VLOOKUP(C1927,'Perpipaan dalam Gedung '!$D$2:$K$5226,8,FALSE)</f>
        <v>Perubahan Diameter (Dia.) menjadi diameter Nominal (DN)</v>
      </c>
      <c r="H1927" s="374"/>
      <c r="I1927" s="16"/>
    </row>
    <row r="1928" spans="1:9" ht="24" customHeight="1">
      <c r="B1928" s="1033" t="str">
        <f>'Perpipaan dalam Gedung '!C1453</f>
        <v>6.4.4.3</v>
      </c>
      <c r="C1928" s="39" t="str">
        <f>VLOOKUP(B1928,'Perpipaan dalam Gedung '!C:K,2,FALSE)</f>
        <v>Pemasangan 1 m pipa BS MED CLASS, DN. 1" (25 mm)</v>
      </c>
      <c r="D1928" s="9" t="s">
        <v>113</v>
      </c>
      <c r="E1928" s="1021">
        <f>VLOOKUP(C1928,'Perpipaan dalam Gedung '!$D$2:$I$5226,6,FALSE)</f>
        <v>117300</v>
      </c>
      <c r="F1928" s="1003" t="str">
        <f>VLOOKUP(C1928,'Perpipaan dalam Gedung '!$D$2:$J$5226,7,FALSE)</f>
        <v>Revisi</v>
      </c>
      <c r="G1928" s="12" t="str">
        <f>VLOOKUP(C1928,'Perpipaan dalam Gedung '!$D$2:$K$5226,8,FALSE)</f>
        <v>Perubahan Diameter (Dia.) menjadi diameter Nominal (DN)</v>
      </c>
      <c r="H1928" s="374"/>
      <c r="I1928" s="16"/>
    </row>
    <row r="1929" spans="1:9" ht="24" customHeight="1">
      <c r="B1929" s="1033" t="str">
        <f>'Perpipaan dalam Gedung '!C1470</f>
        <v>6.4.4.4</v>
      </c>
      <c r="C1929" s="39" t="str">
        <f>VLOOKUP(B1929,'Perpipaan dalam Gedung '!C:K,2,FALSE)</f>
        <v>Pemasangan 1 m pipa BS MED CLASS, DN. 1-1/4" (32 mm)</v>
      </c>
      <c r="D1929" s="9" t="s">
        <v>113</v>
      </c>
      <c r="E1929" s="1021">
        <f>VLOOKUP(C1929,'Perpipaan dalam Gedung '!$D$2:$I$5226,6,FALSE)</f>
        <v>149500</v>
      </c>
      <c r="F1929" s="1003" t="str">
        <f>VLOOKUP(C1929,'Perpipaan dalam Gedung '!$D$2:$J$5226,7,FALSE)</f>
        <v>Revisi</v>
      </c>
      <c r="G1929" s="12" t="str">
        <f>VLOOKUP(C1929,'Perpipaan dalam Gedung '!$D$2:$K$5226,8,FALSE)</f>
        <v>Perubahan Diameter (Dia.) menjadi diameter Nominal (DN)</v>
      </c>
      <c r="H1929" s="374"/>
      <c r="I1929" s="16"/>
    </row>
    <row r="1930" spans="1:9" ht="24" customHeight="1">
      <c r="B1930" s="1033" t="str">
        <f>'Perpipaan dalam Gedung '!C1487</f>
        <v>6.4.4.5</v>
      </c>
      <c r="C1930" s="39" t="str">
        <f>VLOOKUP(B1930,'Perpipaan dalam Gedung '!C:K,2,FALSE)</f>
        <v>Pemasangan 1 m pipa BS MED CLASS, DN. 1-1/2" (40 mm)</v>
      </c>
      <c r="D1930" s="9" t="s">
        <v>113</v>
      </c>
      <c r="E1930" s="1021">
        <f>VLOOKUP(C1930,'Perpipaan dalam Gedung '!$D$2:$I$5226,6,FALSE)</f>
        <v>172200</v>
      </c>
      <c r="F1930" s="1003" t="str">
        <f>VLOOKUP(C1930,'Perpipaan dalam Gedung '!$D$2:$J$5226,7,FALSE)</f>
        <v>Revisi</v>
      </c>
      <c r="G1930" s="12" t="str">
        <f>VLOOKUP(C1930,'Perpipaan dalam Gedung '!$D$2:$K$5226,8,FALSE)</f>
        <v>Perubahan Diameter (Dia.) menjadi diameter Nominal (DN)</v>
      </c>
      <c r="H1930" s="374"/>
      <c r="I1930" s="16"/>
    </row>
    <row r="1931" spans="1:9" ht="24" customHeight="1">
      <c r="B1931" s="1033" t="str">
        <f>'Perpipaan dalam Gedung '!C1504</f>
        <v>6.4.4.6</v>
      </c>
      <c r="C1931" s="39" t="str">
        <f>VLOOKUP(B1931,'Perpipaan dalam Gedung '!C:K,2,FALSE)</f>
        <v>Pemasangan 1 m pipa BS MED CLASS, DN. 2" (50 mm)</v>
      </c>
      <c r="D1931" s="9" t="s">
        <v>113</v>
      </c>
      <c r="E1931" s="1021">
        <f>VLOOKUP(C1931,'Perpipaan dalam Gedung '!$D$2:$I$5226,6,FALSE)</f>
        <v>229900</v>
      </c>
      <c r="F1931" s="1003" t="str">
        <f>VLOOKUP(C1931,'Perpipaan dalam Gedung '!$D$2:$J$5226,7,FALSE)</f>
        <v>Revisi</v>
      </c>
      <c r="G1931" s="12" t="str">
        <f>VLOOKUP(C1931,'Perpipaan dalam Gedung '!$D$2:$K$5226,8,FALSE)</f>
        <v>Perubahan Diameter (Dia.) menjadi diameter Nominal (DN)</v>
      </c>
      <c r="H1931" s="374"/>
      <c r="I1931" s="16"/>
    </row>
    <row r="1932" spans="1:9" ht="24" customHeight="1">
      <c r="B1932" s="1033" t="str">
        <f>'Perpipaan dalam Gedung '!C1521</f>
        <v>6.4.4.7</v>
      </c>
      <c r="C1932" s="39" t="str">
        <f>VLOOKUP(B1932,'Perpipaan dalam Gedung '!C:K,2,FALSE)</f>
        <v>Pemasangan 1 m pipa BS MED CLASS, DN. 2-1/2" (65 mm)</v>
      </c>
      <c r="D1932" s="9" t="s">
        <v>113</v>
      </c>
      <c r="E1932" s="1021">
        <f>VLOOKUP(C1932,'Perpipaan dalam Gedung '!$D$2:$I$5226,6,FALSE)</f>
        <v>289100</v>
      </c>
      <c r="F1932" s="1003" t="str">
        <f>VLOOKUP(C1932,'Perpipaan dalam Gedung '!$D$2:$J$5226,7,FALSE)</f>
        <v>Revisi</v>
      </c>
      <c r="G1932" s="12" t="str">
        <f>VLOOKUP(C1932,'Perpipaan dalam Gedung '!$D$2:$K$5226,8,FALSE)</f>
        <v>Perubahan Diameter (Dia.) menjadi diameter Nominal (DN)</v>
      </c>
      <c r="H1932" s="374"/>
      <c r="I1932" s="16"/>
    </row>
    <row r="1933" spans="1:9" ht="24" customHeight="1">
      <c r="B1933" s="1033" t="str">
        <f>'Perpipaan dalam Gedung '!C1538</f>
        <v>6.4.4.8</v>
      </c>
      <c r="C1933" s="39" t="str">
        <f>VLOOKUP(B1933,'Perpipaan dalam Gedung '!C:K,2,FALSE)</f>
        <v>Pemasangan 1 m pipa BS MED CLASS, DN. 3" (80 mm)</v>
      </c>
      <c r="D1933" s="9" t="s">
        <v>113</v>
      </c>
      <c r="E1933" s="1021">
        <f>VLOOKUP(C1933,'Perpipaan dalam Gedung '!$D$2:$I$5226,6,FALSE)</f>
        <v>376800</v>
      </c>
      <c r="F1933" s="1003" t="str">
        <f>VLOOKUP(C1933,'Perpipaan dalam Gedung '!$D$2:$J$5226,7,FALSE)</f>
        <v>Revisi</v>
      </c>
      <c r="G1933" s="12" t="str">
        <f>VLOOKUP(C1933,'Perpipaan dalam Gedung '!$D$2:$K$5226,8,FALSE)</f>
        <v>Perubahan Diameter (Dia.) menjadi diameter Nominal (DN)</v>
      </c>
      <c r="H1933" s="374"/>
      <c r="I1933" s="16"/>
    </row>
    <row r="1934" spans="1:9" ht="24" customHeight="1">
      <c r="B1934" s="1033" t="str">
        <f>'Perpipaan dalam Gedung '!C1555</f>
        <v>6.4.4.9</v>
      </c>
      <c r="C1934" s="39" t="str">
        <f>VLOOKUP(B1934,'Perpipaan dalam Gedung '!C:K,2,FALSE)</f>
        <v>Pemasangan 1 m pipa BS MED CLASS, DN. 4" (100 mm)</v>
      </c>
      <c r="D1934" s="9" t="s">
        <v>113</v>
      </c>
      <c r="E1934" s="1021">
        <f>VLOOKUP(C1934,'Perpipaan dalam Gedung '!$D$2:$I$5226,6,FALSE)</f>
        <v>529900</v>
      </c>
      <c r="F1934" s="1003" t="str">
        <f>VLOOKUP(C1934,'Perpipaan dalam Gedung '!$D$2:$J$5226,7,FALSE)</f>
        <v>Revisi</v>
      </c>
      <c r="G1934" s="12" t="str">
        <f>VLOOKUP(C1934,'Perpipaan dalam Gedung '!$D$2:$K$5226,8,FALSE)</f>
        <v>Perubahan Diameter (Dia.) menjadi diameter Nominal (DN)</v>
      </c>
      <c r="H1934" s="374"/>
      <c r="I1934" s="16"/>
    </row>
    <row r="1935" spans="1:9" ht="24" customHeight="1">
      <c r="B1935" s="1033" t="str">
        <f>'Perpipaan dalam Gedung '!C1572</f>
        <v>6.4.4.10</v>
      </c>
      <c r="C1935" s="39" t="str">
        <f>VLOOKUP(B1935,'Perpipaan dalam Gedung '!C:K,2,FALSE)</f>
        <v>Pemasangan 1 m pipa BS MED CLASS, DN. 5" (125 mm)</v>
      </c>
      <c r="D1935" s="9" t="s">
        <v>113</v>
      </c>
      <c r="E1935" s="1021">
        <f>VLOOKUP(C1935,'Perpipaan dalam Gedung '!$D$2:$I$5226,6,FALSE)</f>
        <v>696800</v>
      </c>
      <c r="F1935" s="1003" t="str">
        <f>VLOOKUP(C1935,'Perpipaan dalam Gedung '!$D$2:$J$5226,7,FALSE)</f>
        <v>Revisi</v>
      </c>
      <c r="G1935" s="12" t="str">
        <f>VLOOKUP(C1935,'Perpipaan dalam Gedung '!$D$2:$K$5226,8,FALSE)</f>
        <v>Perubahan Diameter (Dia.) menjadi diameter Nominal (DN)</v>
      </c>
      <c r="H1935" s="374"/>
      <c r="I1935" s="16"/>
    </row>
    <row r="1936" spans="1:9" ht="24" customHeight="1">
      <c r="B1936" s="1033" t="str">
        <f>'Perpipaan dalam Gedung '!C1589</f>
        <v>6.4.4.11</v>
      </c>
      <c r="C1936" s="39" t="str">
        <f>VLOOKUP(B1936,'Perpipaan dalam Gedung '!C:K,2,FALSE)</f>
        <v>Pemasangan 1 m pipa BS MED CLASS, DN. 6" (150 mm)</v>
      </c>
      <c r="D1936" s="9" t="s">
        <v>113</v>
      </c>
      <c r="E1936" s="1021">
        <f>VLOOKUP(C1936,'Perpipaan dalam Gedung '!$D$2:$I$5226,6,FALSE)</f>
        <v>829300</v>
      </c>
      <c r="F1936" s="1003" t="str">
        <f>VLOOKUP(C1936,'Perpipaan dalam Gedung '!$D$2:$J$5226,7,FALSE)</f>
        <v>Revisi</v>
      </c>
      <c r="G1936" s="12" t="str">
        <f>VLOOKUP(C1936,'Perpipaan dalam Gedung '!$D$2:$K$5226,8,FALSE)</f>
        <v>Perubahan Diameter (Dia.) menjadi diameter Nominal (DN)</v>
      </c>
      <c r="H1936" s="374"/>
      <c r="I1936" s="16"/>
    </row>
    <row r="1937" spans="2:9" ht="24" customHeight="1">
      <c r="B1937" s="1033" t="str">
        <f>'Perpipaan dalam Gedung '!C1606</f>
        <v>6.4.4.12</v>
      </c>
      <c r="C1937" s="39" t="str">
        <f>VLOOKUP(B1937,'Perpipaan dalam Gedung '!C:K,2,FALSE)</f>
        <v>Pemasangan 1 m pipa BS MED CLASS, DN. 8" (200 mm)</v>
      </c>
      <c r="D1937" s="9" t="s">
        <v>113</v>
      </c>
      <c r="E1937" s="1021">
        <f>VLOOKUP(C1937,'Perpipaan dalam Gedung '!$D$2:$I$5226,6,FALSE)</f>
        <v>1379400</v>
      </c>
      <c r="F1937" s="1003" t="str">
        <f>VLOOKUP(C1937,'Perpipaan dalam Gedung '!$D$2:$J$5226,7,FALSE)</f>
        <v>Revisi</v>
      </c>
      <c r="G1937" s="12" t="str">
        <f>VLOOKUP(C1937,'Perpipaan dalam Gedung '!$D$2:$K$5226,8,FALSE)</f>
        <v>Perubahan Diameter (Dia.) menjadi diameter Nominal (DN)</v>
      </c>
      <c r="H1937" s="374"/>
      <c r="I1937" s="16"/>
    </row>
    <row r="1938" spans="2:9" ht="24" customHeight="1">
      <c r="B1938" s="1033" t="str">
        <f>'Perpipaan dalam Gedung '!C1623</f>
        <v>6.4.4.13</v>
      </c>
      <c r="C1938" s="39" t="str">
        <f>VLOOKUP(B1938,'Perpipaan dalam Gedung '!C:K,2,FALSE)</f>
        <v>Pemasangan 1 m pipa BS MED CLASS, DN. 10" (250 mm)</v>
      </c>
      <c r="D1938" s="9" t="s">
        <v>113</v>
      </c>
      <c r="E1938" s="1021">
        <f>VLOOKUP(C1938,'Perpipaan dalam Gedung '!$D$2:$I$5226,6,FALSE)</f>
        <v>1599500</v>
      </c>
      <c r="F1938" s="1003" t="str">
        <f>VLOOKUP(C1938,'Perpipaan dalam Gedung '!$D$2:$J$5226,7,FALSE)</f>
        <v>Revisi</v>
      </c>
      <c r="G1938" s="12" t="str">
        <f>VLOOKUP(C1938,'Perpipaan dalam Gedung '!$D$2:$K$5226,8,FALSE)</f>
        <v>Perubahan Diameter (Dia.) menjadi diameter Nominal (DN)</v>
      </c>
      <c r="H1938" s="374"/>
      <c r="I1938" s="16"/>
    </row>
    <row r="1939" spans="2:9" ht="24" customHeight="1">
      <c r="B1939" s="1033" t="str">
        <f>'Perpipaan dalam Gedung '!C1640</f>
        <v>6.4.4.14</v>
      </c>
      <c r="C1939" s="39" t="str">
        <f>VLOOKUP(B1939,'Perpipaan dalam Gedung '!C:K,2,FALSE)</f>
        <v>Pemasangan 1 m pipa BS MED CLASS, DN. 12" (300 mm)</v>
      </c>
      <c r="D1939" s="9" t="s">
        <v>113</v>
      </c>
      <c r="E1939" s="1021">
        <f>VLOOKUP(C1939,'Perpipaan dalam Gedung '!$D$2:$I$5226,6,FALSE)</f>
        <v>1877700</v>
      </c>
      <c r="F1939" s="1003" t="str">
        <f>VLOOKUP(C1939,'Perpipaan dalam Gedung '!$D$2:$J$5226,7,FALSE)</f>
        <v>Revisi</v>
      </c>
      <c r="G1939" s="12" t="str">
        <f>VLOOKUP(C1939,'Perpipaan dalam Gedung '!$D$2:$K$5226,8,FALSE)</f>
        <v>Perubahan Diameter (Dia.) menjadi diameter Nominal (DN)</v>
      </c>
      <c r="H1939" s="374"/>
      <c r="I1939" s="16"/>
    </row>
    <row r="1940" spans="2:9" ht="24" customHeight="1">
      <c r="B1940" s="1033" t="str">
        <f>'Perpipaan dalam Gedung '!C1657</f>
        <v>6.4.4.15</v>
      </c>
      <c r="C1940" s="39" t="str">
        <f>VLOOKUP(B1940,'Perpipaan dalam Gedung '!C:K,2,FALSE)</f>
        <v>Pemasangan 1 m pipa BS MED CLASS, DN. 14" (350 mm)</v>
      </c>
      <c r="D1940" s="9" t="s">
        <v>113</v>
      </c>
      <c r="E1940" s="1021">
        <f>VLOOKUP(C1940,'Perpipaan dalam Gedung '!$D$2:$I$5226,6,FALSE)</f>
        <v>2286100</v>
      </c>
      <c r="F1940" s="1003" t="str">
        <f>VLOOKUP(C1940,'Perpipaan dalam Gedung '!$D$2:$J$5226,7,FALSE)</f>
        <v>Revisi</v>
      </c>
      <c r="G1940" s="12" t="str">
        <f>VLOOKUP(C1940,'Perpipaan dalam Gedung '!$D$2:$K$5226,8,FALSE)</f>
        <v>Perubahan Diameter (Dia.) menjadi diameter Nominal (DN)</v>
      </c>
      <c r="H1940" s="374"/>
      <c r="I1940" s="16"/>
    </row>
    <row r="1941" spans="2:9" ht="24" customHeight="1">
      <c r="B1941" s="1033" t="str">
        <f>'Perpipaan dalam Gedung '!C1674</f>
        <v>6.4.4.16</v>
      </c>
      <c r="C1941" s="39" t="str">
        <f>VLOOKUP(B1941,'Perpipaan dalam Gedung '!C:K,2,FALSE)</f>
        <v>Pemasangan 1 m pipa BS MED CLASS, DN. 16" (400 mm)</v>
      </c>
      <c r="D1941" s="9" t="s">
        <v>113</v>
      </c>
      <c r="E1941" s="1021">
        <f>VLOOKUP(C1941,'Perpipaan dalam Gedung '!$D$2:$I$5226,6,FALSE)</f>
        <v>2612000</v>
      </c>
      <c r="F1941" s="1003" t="str">
        <f>VLOOKUP(C1941,'Perpipaan dalam Gedung '!$D$2:$J$5226,7,FALSE)</f>
        <v>Revisi</v>
      </c>
      <c r="G1941" s="12" t="str">
        <f>VLOOKUP(C1941,'Perpipaan dalam Gedung '!$D$2:$K$5226,8,FALSE)</f>
        <v>Perubahan Diameter (Dia.) menjadi diameter Nominal (DN)</v>
      </c>
      <c r="H1941" s="374"/>
      <c r="I1941" s="16"/>
    </row>
    <row r="1942" spans="2:9" ht="24" customHeight="1">
      <c r="B1942" s="1033" t="str">
        <f>'Perpipaan dalam Gedung '!C1691</f>
        <v>6.4.4.17</v>
      </c>
      <c r="C1942" s="39" t="str">
        <f>VLOOKUP(B1942,'Perpipaan dalam Gedung '!C:K,2,FALSE)</f>
        <v>Pemasangan 1 m pipa BS SCH 40, DN. 1/2" (15 mm)</v>
      </c>
      <c r="D1942" s="9"/>
      <c r="E1942" s="1021">
        <f>VLOOKUP(C1942,'Perpipaan dalam Gedung '!$D$2:$I$5226,6,FALSE)</f>
        <v>440000</v>
      </c>
      <c r="F1942" s="1003" t="str">
        <f>VLOOKUP(C1942,'Perpipaan dalam Gedung '!$D$2:$J$5226,7,FALSE)</f>
        <v xml:space="preserve">Baru </v>
      </c>
      <c r="G1942" s="12">
        <f>VLOOKUP(C1942,'Perpipaan dalam Gedung '!$D$2:$K$5226,8,FALSE)</f>
        <v>0</v>
      </c>
      <c r="H1942" s="374"/>
      <c r="I1942" s="16"/>
    </row>
    <row r="1943" spans="2:9" ht="24" customHeight="1">
      <c r="B1943" s="1033" t="str">
        <f>'Perpipaan dalam Gedung '!C1708</f>
        <v>6.4.4.18</v>
      </c>
      <c r="C1943" s="39" t="str">
        <f>VLOOKUP(B1943,'Perpipaan dalam Gedung '!C:K,2,FALSE)</f>
        <v>Pemasangan 1 m pipa BS SCH 40, DN. 3/4" (20 mm)</v>
      </c>
      <c r="D1943" s="9"/>
      <c r="E1943" s="1021">
        <f>VLOOKUP(C1943,'Perpipaan dalam Gedung '!$D$2:$I$5226,6,FALSE)</f>
        <v>463900</v>
      </c>
      <c r="F1943" s="1003" t="str">
        <f>VLOOKUP(C1943,'Perpipaan dalam Gedung '!$D$2:$J$5226,7,FALSE)</f>
        <v>Baru</v>
      </c>
      <c r="G1943" s="12">
        <f>VLOOKUP(C1943,'Perpipaan dalam Gedung '!$D$2:$K$5226,8,FALSE)</f>
        <v>0</v>
      </c>
      <c r="H1943" s="374"/>
      <c r="I1943" s="16"/>
    </row>
    <row r="1944" spans="2:9" ht="24" customHeight="1">
      <c r="B1944" s="1033" t="str">
        <f>'Perpipaan dalam Gedung '!C1725</f>
        <v>6.4.4.19</v>
      </c>
      <c r="C1944" s="39" t="str">
        <f>VLOOKUP(B1944,'Perpipaan dalam Gedung '!C:K,2,FALSE)</f>
        <v>Pemasangan 1 m pipa BS SCH 40, DN. 1" (25 mm)</v>
      </c>
      <c r="D1944" s="9"/>
      <c r="E1944" s="1021">
        <f>VLOOKUP(C1944,'Perpipaan dalam Gedung '!$D$2:$I$5226,6,FALSE)</f>
        <v>470300</v>
      </c>
      <c r="F1944" s="1003" t="str">
        <f>VLOOKUP(C1944,'Perpipaan dalam Gedung '!$D$2:$J$5226,7,FALSE)</f>
        <v>Baru</v>
      </c>
      <c r="G1944" s="12">
        <f>VLOOKUP(C1944,'Perpipaan dalam Gedung '!$D$2:$K$5226,8,FALSE)</f>
        <v>0</v>
      </c>
      <c r="H1944" s="374"/>
      <c r="I1944" s="16"/>
    </row>
    <row r="1945" spans="2:9" ht="24" customHeight="1">
      <c r="B1945" s="1033" t="str">
        <f>'Perpipaan dalam Gedung '!C1742</f>
        <v>6.4.4.20</v>
      </c>
      <c r="C1945" s="39" t="str">
        <f>VLOOKUP(B1945,'Perpipaan dalam Gedung '!C:K,2,FALSE)</f>
        <v>Pemasangan 1 m pipa BS SCH 40, DN. 1-1/4" (32 mm)</v>
      </c>
      <c r="D1945" s="9"/>
      <c r="E1945" s="1021">
        <f>VLOOKUP(C1945,'Perpipaan dalam Gedung '!$D$2:$I$5226,6,FALSE)</f>
        <v>493900</v>
      </c>
      <c r="F1945" s="1003" t="str">
        <f>VLOOKUP(C1945,'Perpipaan dalam Gedung '!$D$2:$J$5226,7,FALSE)</f>
        <v>Baru</v>
      </c>
      <c r="G1945" s="12">
        <f>VLOOKUP(C1945,'Perpipaan dalam Gedung '!$D$2:$K$5226,8,FALSE)</f>
        <v>0</v>
      </c>
      <c r="H1945" s="374"/>
      <c r="I1945" s="16"/>
    </row>
    <row r="1946" spans="2:9" ht="24" customHeight="1">
      <c r="B1946" s="1033" t="str">
        <f>'Perpipaan dalam Gedung '!C1759</f>
        <v>6.4.4.21</v>
      </c>
      <c r="C1946" s="39" t="str">
        <f>VLOOKUP(B1946,'Perpipaan dalam Gedung '!C:K,2,FALSE)</f>
        <v>Pemasangan 1 m pipa BS SCH 40, DN. 1-1/2" (40 mm)</v>
      </c>
      <c r="D1946" s="9"/>
      <c r="E1946" s="1021">
        <f>VLOOKUP(C1946,'Perpipaan dalam Gedung '!$D$2:$I$5226,6,FALSE)</f>
        <v>518300</v>
      </c>
      <c r="F1946" s="1003" t="str">
        <f>VLOOKUP(C1946,'Perpipaan dalam Gedung '!$D$2:$J$5226,7,FALSE)</f>
        <v>Baru</v>
      </c>
      <c r="G1946" s="12">
        <f>VLOOKUP(C1946,'Perpipaan dalam Gedung '!$D$2:$K$5226,8,FALSE)</f>
        <v>0</v>
      </c>
      <c r="H1946" s="374"/>
      <c r="I1946" s="16"/>
    </row>
    <row r="1947" spans="2:9" ht="24" customHeight="1">
      <c r="B1947" s="1033" t="str">
        <f>'Perpipaan dalam Gedung '!C1776</f>
        <v>6.4.4.22</v>
      </c>
      <c r="C1947" s="39" t="str">
        <f>VLOOKUP(B1947,'Perpipaan dalam Gedung '!C:K,2,FALSE)</f>
        <v>Pemasangan 1 m pipa BS SCH 40, DN. 2" (50 mm)</v>
      </c>
      <c r="D1947" s="9"/>
      <c r="E1947" s="1021">
        <f>VLOOKUP(C1947,'Perpipaan dalam Gedung '!$D$2:$I$5226,6,FALSE)</f>
        <v>548800</v>
      </c>
      <c r="F1947" s="1003" t="str">
        <f>VLOOKUP(C1947,'Perpipaan dalam Gedung '!$D$2:$J$5226,7,FALSE)</f>
        <v>Baru</v>
      </c>
      <c r="G1947" s="12">
        <f>VLOOKUP(C1947,'Perpipaan dalam Gedung '!$D$2:$K$5226,8,FALSE)</f>
        <v>0</v>
      </c>
      <c r="H1947" s="374"/>
      <c r="I1947" s="16"/>
    </row>
    <row r="1948" spans="2:9" ht="24" customHeight="1">
      <c r="B1948" s="1033" t="str">
        <f>'Perpipaan dalam Gedung '!C1793</f>
        <v>6.4.4.23</v>
      </c>
      <c r="C1948" s="39" t="str">
        <f>VLOOKUP(B1948,'Perpipaan dalam Gedung '!C:K,2,FALSE)</f>
        <v>Pemasangan 1 m pipa BS SCH 40, DN. 2-1/2" (65 mm)</v>
      </c>
      <c r="D1948" s="9"/>
      <c r="E1948" s="1021">
        <f>VLOOKUP(C1948,'Perpipaan dalam Gedung '!$D$2:$I$5226,6,FALSE)</f>
        <v>579000</v>
      </c>
      <c r="F1948" s="1003" t="str">
        <f>VLOOKUP(C1948,'Perpipaan dalam Gedung '!$D$2:$J$5226,7,FALSE)</f>
        <v>Baru</v>
      </c>
      <c r="G1948" s="12">
        <f>VLOOKUP(C1948,'Perpipaan dalam Gedung '!$D$2:$K$5226,8,FALSE)</f>
        <v>0</v>
      </c>
      <c r="H1948" s="374"/>
      <c r="I1948" s="16"/>
    </row>
    <row r="1949" spans="2:9" ht="24" customHeight="1">
      <c r="B1949" s="1033" t="str">
        <f>'Perpipaan dalam Gedung '!C1810</f>
        <v>6.4.4.24</v>
      </c>
      <c r="C1949" s="39" t="str">
        <f>VLOOKUP(B1949,'Perpipaan dalam Gedung '!C:K,2,FALSE)</f>
        <v>Pemasangan 1 m pipa BS SCH 40, DN. 3" (80 mm)</v>
      </c>
      <c r="D1949" s="9"/>
      <c r="E1949" s="1021">
        <f>VLOOKUP(C1949,'Perpipaan dalam Gedung '!$D$2:$I$5226,6,FALSE)</f>
        <v>622300</v>
      </c>
      <c r="F1949" s="1003" t="str">
        <f>VLOOKUP(C1949,'Perpipaan dalam Gedung '!$D$2:$J$5226,7,FALSE)</f>
        <v>Baru</v>
      </c>
      <c r="G1949" s="12">
        <f>VLOOKUP(C1949,'Perpipaan dalam Gedung '!$D$2:$K$5226,8,FALSE)</f>
        <v>0</v>
      </c>
      <c r="H1949" s="374"/>
      <c r="I1949" s="16"/>
    </row>
    <row r="1950" spans="2:9" ht="24" customHeight="1">
      <c r="B1950" s="1033" t="str">
        <f>'Perpipaan dalam Gedung '!C1827</f>
        <v>6.4.4.25</v>
      </c>
      <c r="C1950" s="39" t="str">
        <f>VLOOKUP(B1950,'Perpipaan dalam Gedung '!C:K,2,FALSE)</f>
        <v>Pemasangan 1 m pipa BS SCH 40, DN. 4" (100 mm)</v>
      </c>
      <c r="D1950" s="9"/>
      <c r="E1950" s="1021">
        <f>VLOOKUP(C1950,'Perpipaan dalam Gedung '!$D$2:$I$5226,6,FALSE)</f>
        <v>670500</v>
      </c>
      <c r="F1950" s="1003" t="str">
        <f>VLOOKUP(C1950,'Perpipaan dalam Gedung '!$D$2:$J$5226,7,FALSE)</f>
        <v>Baru</v>
      </c>
      <c r="G1950" s="12">
        <f>VLOOKUP(C1950,'Perpipaan dalam Gedung '!$D$2:$K$5226,8,FALSE)</f>
        <v>0</v>
      </c>
      <c r="H1950" s="374"/>
      <c r="I1950" s="16"/>
    </row>
    <row r="1951" spans="2:9" ht="24" customHeight="1">
      <c r="B1951" s="1033" t="str">
        <f>'Perpipaan dalam Gedung '!C1844</f>
        <v>6.4.4.26</v>
      </c>
      <c r="C1951" s="39" t="str">
        <f>VLOOKUP(B1951,'Perpipaan dalam Gedung '!C:K,2,FALSE)</f>
        <v>Pemasangan 1 m pipa BS SCH 40, DN. 5" (125 mm)</v>
      </c>
      <c r="D1951" s="9"/>
      <c r="E1951" s="1021">
        <f>VLOOKUP(C1951,'Perpipaan dalam Gedung '!$D$2:$I$5226,6,FALSE)</f>
        <v>718100</v>
      </c>
      <c r="F1951" s="1003" t="str">
        <f>VLOOKUP(C1951,'Perpipaan dalam Gedung '!$D$2:$J$5226,7,FALSE)</f>
        <v>Baru</v>
      </c>
      <c r="G1951" s="12">
        <f>VLOOKUP(C1951,'Perpipaan dalam Gedung '!$D$2:$K$5226,8,FALSE)</f>
        <v>0</v>
      </c>
      <c r="H1951" s="374"/>
      <c r="I1951" s="16"/>
    </row>
    <row r="1952" spans="2:9" ht="24" customHeight="1">
      <c r="B1952" s="1033" t="str">
        <f>'Perpipaan dalam Gedung '!C1861</f>
        <v>6.4.4.27</v>
      </c>
      <c r="C1952" s="39" t="str">
        <f>VLOOKUP(B1952,'Perpipaan dalam Gedung '!C:K,2,FALSE)</f>
        <v>Pemasangan 1 m pipa BS SCH 40, DN. 6" (150 mm)</v>
      </c>
      <c r="D1952" s="9"/>
      <c r="E1952" s="1021">
        <f>VLOOKUP(C1952,'Perpipaan dalam Gedung '!$D$2:$I$5226,6,FALSE)</f>
        <v>766300</v>
      </c>
      <c r="F1952" s="1003" t="str">
        <f>VLOOKUP(C1952,'Perpipaan dalam Gedung '!$D$2:$J$5226,7,FALSE)</f>
        <v>Baru</v>
      </c>
      <c r="G1952" s="12">
        <f>VLOOKUP(C1952,'Perpipaan dalam Gedung '!$D$2:$K$5226,8,FALSE)</f>
        <v>0</v>
      </c>
      <c r="H1952" s="374"/>
      <c r="I1952" s="16"/>
    </row>
    <row r="1953" spans="1:9" ht="24" customHeight="1">
      <c r="B1953" s="1033" t="str">
        <f>'Perpipaan dalam Gedung '!C1878</f>
        <v>6.4.4.28</v>
      </c>
      <c r="C1953" s="39" t="str">
        <f>VLOOKUP(B1953,'Perpipaan dalam Gedung '!C:K,2,FALSE)</f>
        <v>Pemasangan 1 m pipa BS SCH 40, DN. 8" (200 mm)</v>
      </c>
      <c r="D1953" s="9"/>
      <c r="E1953" s="1021">
        <f>VLOOKUP(C1953,'Perpipaan dalam Gedung '!$D$2:$I$5226,6,FALSE)</f>
        <v>844900</v>
      </c>
      <c r="F1953" s="1003" t="str">
        <f>VLOOKUP(C1953,'Perpipaan dalam Gedung '!$D$2:$J$5226,7,FALSE)</f>
        <v>Baru</v>
      </c>
      <c r="G1953" s="12">
        <f>VLOOKUP(C1953,'Perpipaan dalam Gedung '!$D$2:$K$5226,8,FALSE)</f>
        <v>0</v>
      </c>
      <c r="H1953" s="374"/>
      <c r="I1953" s="16"/>
    </row>
    <row r="1954" spans="1:9" ht="24" customHeight="1">
      <c r="B1954" s="1033" t="str">
        <f>'Perpipaan dalam Gedung '!C1895</f>
        <v>6.4.4.29</v>
      </c>
      <c r="C1954" s="39" t="str">
        <f>VLOOKUP(B1954,'Perpipaan dalam Gedung '!C:K,2,FALSE)</f>
        <v>Pemasangan 1 m pipa BS SCH 40, DN. 10" (250 mm)</v>
      </c>
      <c r="D1954" s="9"/>
      <c r="E1954" s="1021">
        <f>VLOOKUP(C1954,'Perpipaan dalam Gedung '!$D$2:$I$5226,6,FALSE)</f>
        <v>924400</v>
      </c>
      <c r="F1954" s="1003" t="str">
        <f>VLOOKUP(C1954,'Perpipaan dalam Gedung '!$D$2:$J$5226,7,FALSE)</f>
        <v>Baru</v>
      </c>
      <c r="G1954" s="12">
        <f>VLOOKUP(C1954,'Perpipaan dalam Gedung '!$D$2:$K$5226,8,FALSE)</f>
        <v>0</v>
      </c>
      <c r="H1954" s="374"/>
      <c r="I1954" s="16"/>
    </row>
    <row r="1955" spans="1:9" ht="24" customHeight="1">
      <c r="B1955" s="1033" t="str">
        <f>'Perpipaan dalam Gedung '!C1912</f>
        <v>6.4.4.30</v>
      </c>
      <c r="C1955" s="39" t="str">
        <f>VLOOKUP(B1955,'Perpipaan dalam Gedung '!C:K,2,FALSE)</f>
        <v>Pemasangan 1 m pipa BS SCH 40, DN. 12" (300 mm)</v>
      </c>
      <c r="D1955" s="9"/>
      <c r="E1955" s="1021">
        <f>VLOOKUP(C1955,'Perpipaan dalam Gedung '!$D$2:$I$5226,6,FALSE)</f>
        <v>1003000</v>
      </c>
      <c r="F1955" s="1003" t="str">
        <f>VLOOKUP(C1955,'Perpipaan dalam Gedung '!$D$2:$J$5226,7,FALSE)</f>
        <v>Baru</v>
      </c>
      <c r="G1955" s="12">
        <f>VLOOKUP(C1955,'Perpipaan dalam Gedung '!$D$2:$K$5226,8,FALSE)</f>
        <v>0</v>
      </c>
      <c r="H1955" s="374"/>
      <c r="I1955" s="16"/>
    </row>
    <row r="1956" spans="1:9" ht="24" customHeight="1">
      <c r="B1956" s="1033" t="str">
        <f>'Perpipaan dalam Gedung '!C1929</f>
        <v>6.4.4.31</v>
      </c>
      <c r="C1956" s="39" t="str">
        <f>VLOOKUP(B1956,'Perpipaan dalam Gedung '!C:K,2,FALSE)</f>
        <v>Pemasangan 1 m pipa BS SCH 40, DN. 14" (350 mm)</v>
      </c>
      <c r="D1956" s="9"/>
      <c r="E1956" s="1021">
        <f>VLOOKUP(C1956,'Perpipaan dalam Gedung '!$D$2:$I$5226,6,FALSE)</f>
        <v>1082400</v>
      </c>
      <c r="F1956" s="1003" t="str">
        <f>VLOOKUP(C1956,'Perpipaan dalam Gedung '!$D$2:$J$5226,7,FALSE)</f>
        <v>Baru</v>
      </c>
      <c r="G1956" s="12">
        <f>VLOOKUP(C1956,'Perpipaan dalam Gedung '!$D$2:$K$5226,8,FALSE)</f>
        <v>0</v>
      </c>
      <c r="H1956" s="374"/>
      <c r="I1956" s="16"/>
    </row>
    <row r="1957" spans="1:9" ht="24" customHeight="1">
      <c r="B1957" s="1033" t="str">
        <f>'Perpipaan dalam Gedung '!C1946</f>
        <v>6.4.4.32</v>
      </c>
      <c r="C1957" s="39" t="str">
        <f>VLOOKUP(B1957,'Perpipaan dalam Gedung '!C:K,2,FALSE)</f>
        <v>Pemasangan 1 m pipa BS SCH 40, DN. 16" (400 mm)</v>
      </c>
      <c r="D1957" s="9"/>
      <c r="E1957" s="1021">
        <f>VLOOKUP(C1957,'Perpipaan dalam Gedung '!$D$2:$I$5226,6,FALSE)</f>
        <v>1161000</v>
      </c>
      <c r="F1957" s="1003" t="str">
        <f>VLOOKUP(C1957,'Perpipaan dalam Gedung '!$D$2:$J$5226,7,FALSE)</f>
        <v>Baru</v>
      </c>
      <c r="G1957" s="12">
        <f>VLOOKUP(C1957,'Perpipaan dalam Gedung '!$D$2:$K$5226,8,FALSE)</f>
        <v>0</v>
      </c>
      <c r="H1957" s="374"/>
      <c r="I1957" s="16"/>
    </row>
    <row r="1958" spans="1:9" s="1" customFormat="1" ht="24" customHeight="1">
      <c r="A1958" s="47"/>
      <c r="B1958" s="1041" t="str">
        <f>'Perpipaan dalam Gedung '!C1964</f>
        <v>6.4.5</v>
      </c>
      <c r="C1958" s="40" t="str">
        <f>VLOOKUP(B1958,'Perpipaan dalam Gedung '!C:K,2,FALSE)</f>
        <v xml:space="preserve">Pipa Tanah </v>
      </c>
      <c r="D1958" s="19"/>
      <c r="E1958" s="1021">
        <f>VLOOKUP(C1958,'Perpipaan dalam Gedung '!$D$2:$I$5226,6,FALSE)</f>
        <v>0</v>
      </c>
      <c r="F1958" s="1003">
        <f>VLOOKUP(C1958,'Perpipaan dalam Gedung '!$D$2:$J$5226,7,FALSE)</f>
        <v>0</v>
      </c>
      <c r="G1958" s="12">
        <f>VLOOKUP(C1958,'Perpipaan dalam Gedung '!$D$2:$K$5226,8,FALSE)</f>
        <v>0</v>
      </c>
      <c r="H1958" s="1092"/>
      <c r="I1958" s="21"/>
    </row>
    <row r="1959" spans="1:9" ht="24" customHeight="1">
      <c r="B1959" s="1033" t="str">
        <f>'Perpipaan dalam Gedung '!C1965</f>
        <v>6.4.5.1</v>
      </c>
      <c r="C1959" s="39" t="str">
        <f>VLOOKUP(B1959,'Perpipaan dalam Gedung '!C:K,2,FALSE)</f>
        <v>Pemasangan 1 m’ Pipa Air Limbah Jenis Pipa Tanah, DN. 6" (150 mm)</v>
      </c>
      <c r="D1959" s="9" t="s">
        <v>113</v>
      </c>
      <c r="E1959" s="1021">
        <f>VLOOKUP(C1959,'Perpipaan dalam Gedung '!$D$2:$I$5226,6,FALSE)</f>
        <v>350800</v>
      </c>
      <c r="F1959" s="1003" t="str">
        <f>VLOOKUP(C1959,'Perpipaan dalam Gedung '!$D$2:$J$5226,7,FALSE)</f>
        <v>Revisi</v>
      </c>
      <c r="G1959" s="12" t="str">
        <f>VLOOKUP(C1959,'Perpipaan dalam Gedung '!$D$2:$K$5226,8,FALSE)</f>
        <v>Perubahan judul dan diameter (dia.) jadi Diameter Nominal (DN)</v>
      </c>
      <c r="H1959" s="374"/>
      <c r="I1959" s="16"/>
    </row>
    <row r="1960" spans="1:9" ht="24" customHeight="1">
      <c r="B1960" s="1033" t="str">
        <f>'Perpipaan dalam Gedung '!C1985</f>
        <v>6.4.5.2</v>
      </c>
      <c r="C1960" s="39" t="str">
        <f>VLOOKUP(B1960,'Perpipaan dalam Gedung '!C:K,2,FALSE)</f>
        <v>Pemasangan 1 m’ Pipa Air Limbah Jenis Pipa Tanah, DN. 8" (200 mm)</v>
      </c>
      <c r="D1960" s="9" t="s">
        <v>113</v>
      </c>
      <c r="E1960" s="1021">
        <f>VLOOKUP(C1960,'Perpipaan dalam Gedung '!$D$2:$I$5226,6,FALSE)</f>
        <v>443900</v>
      </c>
      <c r="F1960" s="1003" t="str">
        <f>VLOOKUP(C1960,'Perpipaan dalam Gedung '!$D$2:$J$5226,7,FALSE)</f>
        <v>Revisi</v>
      </c>
      <c r="G1960" s="12" t="str">
        <f>VLOOKUP(C1960,'Perpipaan dalam Gedung '!$D$2:$K$5226,8,FALSE)</f>
        <v>Perubahan Diameter (Dia.) menjadi diameter Nominal (DN)</v>
      </c>
      <c r="H1960" s="374"/>
      <c r="I1960" s="16"/>
    </row>
    <row r="1961" spans="1:9" ht="24" customHeight="1">
      <c r="B1961" s="1032" t="str">
        <f>'Perpipaan dalam Gedung '!C2005</f>
        <v xml:space="preserve">6.4.6 </v>
      </c>
      <c r="C1961" s="40" t="str">
        <f>VLOOKUP(B1961,'Perpipaan dalam Gedung '!C:K,2,FALSE)</f>
        <v>Pipa HDPE/PE</v>
      </c>
      <c r="D1961" s="22"/>
      <c r="E1961" s="1025"/>
      <c r="F1961" s="1003">
        <f>VLOOKUP(C1961,'Perpipaan dalam Gedung '!$D$2:$J$5226,7,FALSE)</f>
        <v>0</v>
      </c>
      <c r="G1961" s="12">
        <f>VLOOKUP(C1961,'Perpipaan dalam Gedung '!$D$2:$K$5226,8,FALSE)</f>
        <v>0</v>
      </c>
      <c r="H1961" s="374"/>
      <c r="I1961" s="16"/>
    </row>
    <row r="1962" spans="1:9" ht="24" customHeight="1">
      <c r="B1962" s="1032" t="str">
        <f>'Perpipaan dalam Gedung '!C2006</f>
        <v>6.4.7</v>
      </c>
      <c r="C1962" s="40" t="str">
        <f>VLOOKUP(B1962,'Perpipaan dalam Gedung '!C:K,2,FALSE)</f>
        <v>Pipa DCI (Ductile Cast Iron)</v>
      </c>
      <c r="D1962" s="22"/>
      <c r="E1962" s="1025"/>
      <c r="F1962" s="1003">
        <f>VLOOKUP(C1962,'Perpipaan dalam Gedung '!$D$2:$J$5226,7,FALSE)</f>
        <v>0</v>
      </c>
      <c r="G1962" s="12">
        <f>VLOOKUP(C1962,'Perpipaan dalam Gedung '!$D$2:$K$5226,8,FALSE)</f>
        <v>0</v>
      </c>
      <c r="H1962" s="374"/>
      <c r="I1962" s="16"/>
    </row>
    <row r="1963" spans="1:9" ht="24" customHeight="1">
      <c r="B1963" s="1032" t="str">
        <f>'Perpipaan dalam Gedung '!C2007</f>
        <v>6.4.8</v>
      </c>
      <c r="C1963" s="40" t="str">
        <f>VLOOKUP(B1963,'Perpipaan dalam Gedung '!C:K,2,FALSE)</f>
        <v xml:space="preserve">Pipa Karbon </v>
      </c>
      <c r="D1963" s="22"/>
      <c r="E1963" s="1025"/>
      <c r="F1963" s="1003">
        <f>VLOOKUP(C1963,'Perpipaan dalam Gedung '!$D$2:$J$5226,7,FALSE)</f>
        <v>0</v>
      </c>
      <c r="G1963" s="12">
        <f>VLOOKUP(C1963,'Perpipaan dalam Gedung '!$D$2:$K$5226,8,FALSE)</f>
        <v>0</v>
      </c>
      <c r="H1963" s="374"/>
      <c r="I1963" s="16"/>
    </row>
    <row r="1964" spans="1:9" ht="24" customHeight="1">
      <c r="B1964" s="1054" t="str">
        <f>'Perpipaan dalam Gedung '!C2009</f>
        <v>6.5</v>
      </c>
      <c r="C1964" s="1002" t="str">
        <f>VLOOKUP(B1964,'Perpipaan dalam Gedung '!C:K,2,FALSE)</f>
        <v xml:space="preserve">AKSESORIES PIPA </v>
      </c>
      <c r="D1964" s="982"/>
      <c r="E1964" s="1023"/>
      <c r="F1964" s="1004">
        <f>VLOOKUP(C1964,'Perpipaan dalam Gedung '!$D$2:$J$5226,7,FALSE)</f>
        <v>0</v>
      </c>
      <c r="G1964" s="36">
        <f>VLOOKUP(C1964,'Perpipaan dalam Gedung '!$D$2:$K$5226,8,FALSE)</f>
        <v>0</v>
      </c>
      <c r="H1964" s="374"/>
      <c r="I1964" s="16"/>
    </row>
    <row r="1965" spans="1:9" ht="24" customHeight="1">
      <c r="B1965" s="1053" t="str">
        <f>'Perpipaan dalam Gedung '!C2010</f>
        <v>6.5.1</v>
      </c>
      <c r="C1965" s="40" t="str">
        <f>VLOOKUP(B1965,'Perpipaan dalam Gedung '!C:K,2,FALSE)</f>
        <v xml:space="preserve">Gate Valve (10, 12, 16, 20, 25) K </v>
      </c>
      <c r="D1965" s="22"/>
      <c r="E1965" s="1025"/>
      <c r="F1965" s="1003">
        <f>VLOOKUP(C1965,'Perpipaan dalam Gedung '!$D$2:$J$5226,7,FALSE)</f>
        <v>0</v>
      </c>
      <c r="G1965" s="12">
        <f>VLOOKUP(C1965,'Perpipaan dalam Gedung '!$D$2:$K$5226,8,FALSE)</f>
        <v>0</v>
      </c>
      <c r="H1965" s="374"/>
      <c r="I1965" s="16"/>
    </row>
    <row r="1966" spans="1:9" ht="24" customHeight="1">
      <c r="B1966" s="1033" t="str">
        <f>'Perpipaan dalam Gedung '!C2011</f>
        <v>6.5.1.1</v>
      </c>
      <c r="C1966" s="39" t="str">
        <f>VLOOKUP(B1966,'Perpipaan dalam Gedung '!C:K,2,FALSE)</f>
        <v>Pemasangan 1 buah gate velve (10,16,20) K, dia. 1/2" (15 mm)</v>
      </c>
      <c r="D1966" s="9" t="s">
        <v>44</v>
      </c>
      <c r="E1966" s="1021">
        <f>VLOOKUP(C1966,'Perpipaan dalam Gedung '!$D$2:$I$5226,6,FALSE)</f>
        <v>1918100</v>
      </c>
      <c r="F1966" s="1003">
        <f>VLOOKUP(C1966,'Perpipaan dalam Gedung '!$D$2:$J$5226,7,FALSE)</f>
        <v>0</v>
      </c>
      <c r="G1966" s="12">
        <f>VLOOKUP(C1966,'Perpipaan dalam Gedung '!$D$2:$K$5226,8,FALSE)</f>
        <v>0</v>
      </c>
      <c r="H1966" s="374"/>
      <c r="I1966" s="16"/>
    </row>
    <row r="1967" spans="1:9" ht="24" customHeight="1">
      <c r="B1967" s="1033" t="str">
        <f>'Perpipaan dalam Gedung '!C2028</f>
        <v>6.5.1.2</v>
      </c>
      <c r="C1967" s="39" t="str">
        <f>VLOOKUP(B1967,'Perpipaan dalam Gedung '!C:K,2,FALSE)</f>
        <v>Pemasangan 1 buah gate velve (10, 16) K, dia. 3/4" (20 mm)</v>
      </c>
      <c r="D1967" s="9" t="s">
        <v>44</v>
      </c>
      <c r="E1967" s="1021">
        <f>VLOOKUP(C1967,'Perpipaan dalam Gedung '!$D$2:$I$5226,6,FALSE)</f>
        <v>2181400</v>
      </c>
      <c r="F1967" s="1003">
        <f>VLOOKUP(C1967,'Perpipaan dalam Gedung '!$D$2:$J$5226,7,FALSE)</f>
        <v>0</v>
      </c>
      <c r="G1967" s="12">
        <f>VLOOKUP(C1967,'Perpipaan dalam Gedung '!$D$2:$K$5226,8,FALSE)</f>
        <v>0</v>
      </c>
      <c r="H1967" s="374"/>
      <c r="I1967" s="16"/>
    </row>
    <row r="1968" spans="1:9" ht="24" customHeight="1">
      <c r="B1968" s="1033" t="str">
        <f>'Perpipaan dalam Gedung '!C2046</f>
        <v>6.5.1.3</v>
      </c>
      <c r="C1968" s="39" t="str">
        <f>VLOOKUP(B1968,'Perpipaan dalam Gedung '!C:K,2,FALSE)</f>
        <v>Pemasangan 1 buah gate velve (10, 16, 20) K, dia. 1" (25 mm)</v>
      </c>
      <c r="D1968" s="9" t="s">
        <v>44</v>
      </c>
      <c r="E1968" s="1021">
        <f>VLOOKUP(C1968,'Perpipaan dalam Gedung '!$D$2:$I$5226,6,FALSE)</f>
        <v>2444700</v>
      </c>
      <c r="F1968" s="1003">
        <f>VLOOKUP(C1968,'Perpipaan dalam Gedung '!$D$2:$J$5226,7,FALSE)</f>
        <v>0</v>
      </c>
      <c r="G1968" s="12">
        <f>VLOOKUP(C1968,'Perpipaan dalam Gedung '!$D$2:$K$5226,8,FALSE)</f>
        <v>0</v>
      </c>
      <c r="H1968" s="374"/>
      <c r="I1968" s="16"/>
    </row>
    <row r="1969" spans="1:9" ht="24" customHeight="1">
      <c r="B1969" s="1033" t="str">
        <f>'Perpipaan dalam Gedung '!C2063</f>
        <v>6.5.1.4</v>
      </c>
      <c r="C1969" s="39" t="str">
        <f>VLOOKUP(B1969,'Perpipaan dalam Gedung '!C:K,2,FALSE)</f>
        <v>Pemasangan 1 buah gate velve (10, 16) K, dia. 1-1/4" (32 mm)</v>
      </c>
      <c r="D1969" s="9" t="s">
        <v>44</v>
      </c>
      <c r="E1969" s="1021">
        <f>VLOOKUP(C1969,'Perpipaan dalam Gedung '!$D$2:$I$5226,6,FALSE)</f>
        <v>2643800</v>
      </c>
      <c r="F1969" s="1003">
        <f>VLOOKUP(C1969,'Perpipaan dalam Gedung '!$D$2:$J$5226,7,FALSE)</f>
        <v>0</v>
      </c>
      <c r="G1969" s="12">
        <f>VLOOKUP(C1969,'Perpipaan dalam Gedung '!$D$2:$K$5226,8,FALSE)</f>
        <v>0</v>
      </c>
      <c r="H1969" s="374"/>
      <c r="I1969" s="16"/>
    </row>
    <row r="1970" spans="1:9" ht="24" customHeight="1">
      <c r="B1970" s="1033" t="str">
        <f>'Perpipaan dalam Gedung '!C2080</f>
        <v>6.5.1.5</v>
      </c>
      <c r="C1970" s="39" t="str">
        <f>VLOOKUP(B1970,'Perpipaan dalam Gedung '!C:K,2,FALSE)</f>
        <v>Pemasangan 1 buah gate velve (10, 16) K, dia. 1-1/2" (40 mm)</v>
      </c>
      <c r="D1970" s="9" t="s">
        <v>44</v>
      </c>
      <c r="E1970" s="1021">
        <f>VLOOKUP(C1970,'Perpipaan dalam Gedung '!$D$2:$I$5226,6,FALSE)</f>
        <v>2750000</v>
      </c>
      <c r="F1970" s="1003">
        <f>VLOOKUP(C1970,'Perpipaan dalam Gedung '!$D$2:$J$5226,7,FALSE)</f>
        <v>0</v>
      </c>
      <c r="G1970" s="12">
        <f>VLOOKUP(C1970,'Perpipaan dalam Gedung '!$D$2:$K$5226,8,FALSE)</f>
        <v>0</v>
      </c>
      <c r="H1970" s="374"/>
      <c r="I1970" s="16"/>
    </row>
    <row r="1971" spans="1:9" ht="24" customHeight="1">
      <c r="B1971" s="1033" t="str">
        <f>'Perpipaan dalam Gedung '!C2097</f>
        <v>6.5.1.6</v>
      </c>
      <c r="C1971" s="39" t="str">
        <f>VLOOKUP(B1971,'Perpipaan dalam Gedung '!C:K,2,FALSE)</f>
        <v>Pemasangan 1 buah gate velve (10, 16, 20) K, dia. 2" (50 mm)</v>
      </c>
      <c r="D1971" s="9" t="s">
        <v>44</v>
      </c>
      <c r="E1971" s="1021">
        <f>VLOOKUP(C1971,'Perpipaan dalam Gedung '!$D$2:$I$5226,6,FALSE)</f>
        <v>3010100</v>
      </c>
      <c r="F1971" s="1003">
        <f>VLOOKUP(C1971,'Perpipaan dalam Gedung '!$D$2:$J$5226,7,FALSE)</f>
        <v>0</v>
      </c>
      <c r="G1971" s="12">
        <f>VLOOKUP(C1971,'Perpipaan dalam Gedung '!$D$2:$K$5226,8,FALSE)</f>
        <v>0</v>
      </c>
      <c r="H1971" s="374"/>
      <c r="I1971" s="16"/>
    </row>
    <row r="1972" spans="1:9" ht="24" customHeight="1">
      <c r="B1972" s="1033" t="str">
        <f>'Perpipaan dalam Gedung '!C2114</f>
        <v>6.5.1.7</v>
      </c>
      <c r="C1972" s="39" t="str">
        <f>VLOOKUP(B1972,'Perpipaan dalam Gedung '!C:K,2,FALSE)</f>
        <v>Pemasangan 1 buah gate velve (10, 16, 20)K, dia. 2-1/2" (65 mm)</v>
      </c>
      <c r="D1972" s="9" t="s">
        <v>44</v>
      </c>
      <c r="E1972" s="1021">
        <f>VLOOKUP(C1972,'Perpipaan dalam Gedung '!$D$2:$I$5226,6,FALSE)</f>
        <v>3233100</v>
      </c>
      <c r="F1972" s="1003">
        <f>VLOOKUP(C1972,'Perpipaan dalam Gedung '!$D$2:$J$5226,7,FALSE)</f>
        <v>0</v>
      </c>
      <c r="G1972" s="12">
        <f>VLOOKUP(C1972,'Perpipaan dalam Gedung '!$D$2:$K$5226,8,FALSE)</f>
        <v>0</v>
      </c>
      <c r="H1972" s="374"/>
      <c r="I1972" s="16"/>
    </row>
    <row r="1973" spans="1:9" ht="24" customHeight="1">
      <c r="B1973" s="1033" t="str">
        <f>'Perpipaan dalam Gedung '!C2132</f>
        <v>6.5.1.8</v>
      </c>
      <c r="C1973" s="39" t="str">
        <f>VLOOKUP(B1973,'Perpipaan dalam Gedung '!C:K,2,FALSE)</f>
        <v>Pemasangan 1 buah gate velve (10, 16, 25) K, dia. 3" (80 mm)</v>
      </c>
      <c r="D1973" s="9" t="s">
        <v>44</v>
      </c>
      <c r="E1973" s="1021">
        <f>VLOOKUP(C1973,'Perpipaan dalam Gedung '!$D$2:$I$5226,6,FALSE)</f>
        <v>4118400</v>
      </c>
      <c r="F1973" s="1003">
        <f>VLOOKUP(C1973,'Perpipaan dalam Gedung '!$D$2:$J$5226,7,FALSE)</f>
        <v>0</v>
      </c>
      <c r="G1973" s="12">
        <f>VLOOKUP(C1973,'Perpipaan dalam Gedung '!$D$2:$K$5226,8,FALSE)</f>
        <v>0</v>
      </c>
      <c r="H1973" s="374"/>
      <c r="I1973" s="16"/>
    </row>
    <row r="1974" spans="1:9" ht="24" customHeight="1">
      <c r="B1974" s="1033" t="str">
        <f>'Perpipaan dalam Gedung '!C2149</f>
        <v>6.5.1.9</v>
      </c>
      <c r="C1974" s="39" t="str">
        <f>VLOOKUP(B1974,'Perpipaan dalam Gedung '!C:K,2,FALSE)</f>
        <v>Pemasangan 1 buah gate velve (10, 16, 25) K, dia. 4" (100 mm)</v>
      </c>
      <c r="D1974" s="9" t="s">
        <v>44</v>
      </c>
      <c r="E1974" s="1021">
        <f>VLOOKUP(C1974,'Perpipaan dalam Gedung '!$D$2:$I$5226,6,FALSE)</f>
        <v>4531700</v>
      </c>
      <c r="F1974" s="1003">
        <f>VLOOKUP(C1974,'Perpipaan dalam Gedung '!$D$2:$J$5226,7,FALSE)</f>
        <v>0</v>
      </c>
      <c r="G1974" s="12">
        <f>VLOOKUP(C1974,'Perpipaan dalam Gedung '!$D$2:$K$5226,8,FALSE)</f>
        <v>0</v>
      </c>
      <c r="H1974" s="374"/>
      <c r="I1974" s="16"/>
    </row>
    <row r="1975" spans="1:9" ht="24" customHeight="1">
      <c r="B1975" s="1033" t="str">
        <f>'Perpipaan dalam Gedung '!C2166</f>
        <v>6.5.1.10</v>
      </c>
      <c r="C1975" s="39" t="str">
        <f>VLOOKUP(B1975,'Perpipaan dalam Gedung '!C:K,2,FALSE)</f>
        <v>Pemasangan 1 buah gate velve (10, 16) K, dia. 5" (125 mm)</v>
      </c>
      <c r="D1975" s="9" t="s">
        <v>44</v>
      </c>
      <c r="E1975" s="1021">
        <f>VLOOKUP(C1975,'Perpipaan dalam Gedung '!$D$2:$I$5226,6,FALSE)</f>
        <v>4958200</v>
      </c>
      <c r="F1975" s="1003">
        <f>VLOOKUP(C1975,'Perpipaan dalam Gedung '!$D$2:$J$5226,7,FALSE)</f>
        <v>0</v>
      </c>
      <c r="G1975" s="12">
        <f>VLOOKUP(C1975,'Perpipaan dalam Gedung '!$D$2:$K$5226,8,FALSE)</f>
        <v>0</v>
      </c>
      <c r="H1975" s="374"/>
      <c r="I1975" s="16"/>
    </row>
    <row r="1976" spans="1:9" ht="24" customHeight="1">
      <c r="B1976" s="1033" t="str">
        <f>'Perpipaan dalam Gedung '!C2183</f>
        <v>6.5.1.11</v>
      </c>
      <c r="C1976" s="39" t="str">
        <f>VLOOKUP(B1976,'Perpipaan dalam Gedung '!C:K,2,FALSE)</f>
        <v>Pemasangan 1 buah gate velve (10, 12, 16, 25)K, dia. 6" (150 mm)</v>
      </c>
      <c r="D1976" s="9" t="s">
        <v>44</v>
      </c>
      <c r="E1976" s="1021">
        <f>VLOOKUP(C1976,'Perpipaan dalam Gedung '!$D$2:$I$5226,6,FALSE)</f>
        <v>5477800</v>
      </c>
      <c r="F1976" s="1003">
        <f>VLOOKUP(C1976,'Perpipaan dalam Gedung '!$D$2:$J$5226,7,FALSE)</f>
        <v>0</v>
      </c>
      <c r="G1976" s="12">
        <f>VLOOKUP(C1976,'Perpipaan dalam Gedung '!$D$2:$K$5226,8,FALSE)</f>
        <v>0</v>
      </c>
      <c r="H1976" s="374"/>
      <c r="I1976" s="16"/>
    </row>
    <row r="1977" spans="1:9" ht="24" customHeight="1">
      <c r="B1977" s="1033" t="str">
        <f>'Perpipaan dalam Gedung '!C2200</f>
        <v>6.5.1.12</v>
      </c>
      <c r="C1977" s="39" t="str">
        <f>VLOOKUP(B1977,'Perpipaan dalam Gedung '!C:K,2,FALSE)</f>
        <v>Pemasangan 1 buah gate velve (10, 16) K, dia. 8" (200 mm)</v>
      </c>
      <c r="D1977" s="9" t="s">
        <v>44</v>
      </c>
      <c r="E1977" s="1021">
        <f>VLOOKUP(C1977,'Perpipaan dalam Gedung '!$D$2:$I$5226,6,FALSE)</f>
        <v>6145100</v>
      </c>
      <c r="F1977" s="1003">
        <f>VLOOKUP(C1977,'Perpipaan dalam Gedung '!$D$2:$J$5226,7,FALSE)</f>
        <v>0</v>
      </c>
      <c r="G1977" s="12">
        <f>VLOOKUP(C1977,'Perpipaan dalam Gedung '!$D$2:$K$5226,8,FALSE)</f>
        <v>0</v>
      </c>
      <c r="H1977" s="374"/>
      <c r="I1977" s="16"/>
    </row>
    <row r="1978" spans="1:9" ht="24" customHeight="1">
      <c r="B1978" s="1033" t="str">
        <f>'Perpipaan dalam Gedung '!C2217</f>
        <v>6.5.1.13</v>
      </c>
      <c r="C1978" s="39" t="str">
        <f>VLOOKUP(B1978,'Perpipaan dalam Gedung '!C:K,2,FALSE)</f>
        <v>Pemasangan 1 buah gate velve (10, 16) K, dia. 10" (250 mm)</v>
      </c>
      <c r="D1978" s="9" t="s">
        <v>44</v>
      </c>
      <c r="E1978" s="1021">
        <f>VLOOKUP(C1978,'Perpipaan dalam Gedung '!$D$2:$I$5226,6,FALSE)</f>
        <v>6640900</v>
      </c>
      <c r="F1978" s="1003">
        <f>VLOOKUP(C1978,'Perpipaan dalam Gedung '!$D$2:$J$5226,7,FALSE)</f>
        <v>0</v>
      </c>
      <c r="G1978" s="12">
        <f>VLOOKUP(C1978,'Perpipaan dalam Gedung '!$D$2:$K$5226,8,FALSE)</f>
        <v>0</v>
      </c>
      <c r="H1978" s="374"/>
      <c r="I1978" s="16"/>
    </row>
    <row r="1979" spans="1:9" ht="24" customHeight="1">
      <c r="B1979" s="1033" t="str">
        <f>'Perpipaan dalam Gedung '!C2234</f>
        <v>6.5.1.14</v>
      </c>
      <c r="C1979" s="39" t="str">
        <f>VLOOKUP(B1979,'Perpipaan dalam Gedung '!C:K,2,FALSE)</f>
        <v>Pemasangan 1 buah gate velve (10, 16) K, dia. 12" (300 mm)</v>
      </c>
      <c r="D1979" s="9" t="s">
        <v>44</v>
      </c>
      <c r="E1979" s="1021">
        <f>VLOOKUP(C1979,'Perpipaan dalam Gedung '!$D$2:$I$5226,6,FALSE)</f>
        <v>7207200</v>
      </c>
      <c r="F1979" s="1003">
        <f>VLOOKUP(C1979,'Perpipaan dalam Gedung '!$D$2:$J$5226,7,FALSE)</f>
        <v>0</v>
      </c>
      <c r="G1979" s="12">
        <f>VLOOKUP(C1979,'Perpipaan dalam Gedung '!$D$2:$K$5226,8,FALSE)</f>
        <v>0</v>
      </c>
      <c r="H1979" s="374"/>
      <c r="I1979" s="16"/>
    </row>
    <row r="1980" spans="1:9" s="1" customFormat="1" ht="24" customHeight="1">
      <c r="A1980" s="47"/>
      <c r="B1980" s="1041" t="str">
        <f>'Perpipaan dalam Gedung '!C2252</f>
        <v xml:space="preserve">6.5.2 </v>
      </c>
      <c r="C1980" s="40" t="str">
        <f>VLOOKUP(B1980,'Perpipaan dalam Gedung '!C:K,2,FALSE)</f>
        <v xml:space="preserve">Ball Velve </v>
      </c>
      <c r="D1980" s="19"/>
      <c r="E1980" s="1021">
        <f>VLOOKUP(C1980,'Perpipaan dalam Gedung '!$D$2:$I$5226,6,FALSE)</f>
        <v>0</v>
      </c>
      <c r="F1980" s="1003">
        <f>VLOOKUP(C1980,'Perpipaan dalam Gedung '!$D$2:$J$5226,7,FALSE)</f>
        <v>0</v>
      </c>
      <c r="G1980" s="12">
        <f>VLOOKUP(C1980,'Perpipaan dalam Gedung '!$D$2:$K$5226,8,FALSE)</f>
        <v>0</v>
      </c>
      <c r="H1980" s="1092"/>
      <c r="I1980" s="21"/>
    </row>
    <row r="1981" spans="1:9" ht="24" customHeight="1">
      <c r="B1981" s="1033" t="str">
        <f>'Perpipaan dalam Gedung '!C2253</f>
        <v>6.5.2.1</v>
      </c>
      <c r="C1981" s="39" t="str">
        <f>VLOOKUP(B1981,'Perpipaan dalam Gedung '!C:K,2,FALSE)</f>
        <v>Pemasangan 1 buah ball velve, Dia. 1/2" (15 mm)</v>
      </c>
      <c r="D1981" s="9" t="s">
        <v>44</v>
      </c>
      <c r="E1981" s="1021">
        <f>VLOOKUP(C1981,'Perpipaan dalam Gedung '!$D$2:$I$5226,6,FALSE)</f>
        <v>52200</v>
      </c>
      <c r="F1981" s="1003">
        <f>VLOOKUP(C1981,'Perpipaan dalam Gedung '!$D$2:$J$5226,7,FALSE)</f>
        <v>0</v>
      </c>
      <c r="G1981" s="12">
        <f>VLOOKUP(C1981,'Perpipaan dalam Gedung '!$D$2:$K$5226,8,FALSE)</f>
        <v>0</v>
      </c>
      <c r="H1981" s="374"/>
      <c r="I1981" s="16"/>
    </row>
    <row r="1982" spans="1:9" ht="24" customHeight="1">
      <c r="B1982" s="1033" t="str">
        <f>'Perpipaan dalam Gedung '!C2270</f>
        <v>6.5.2.2</v>
      </c>
      <c r="C1982" s="39" t="str">
        <f>VLOOKUP(B1982,'Perpipaan dalam Gedung '!C:K,2,FALSE)</f>
        <v>Pemasangan 1 buah ball velve, Dia. 3/4" (20 mm)</v>
      </c>
      <c r="D1982" s="9" t="s">
        <v>44</v>
      </c>
      <c r="E1982" s="1021">
        <f>VLOOKUP(C1982,'Perpipaan dalam Gedung '!$D$2:$I$5226,6,FALSE)</f>
        <v>77400</v>
      </c>
      <c r="F1982" s="1003">
        <f>VLOOKUP(C1982,'Perpipaan dalam Gedung '!$D$2:$J$5226,7,FALSE)</f>
        <v>0</v>
      </c>
      <c r="G1982" s="12">
        <f>VLOOKUP(C1982,'Perpipaan dalam Gedung '!$D$2:$K$5226,8,FALSE)</f>
        <v>0</v>
      </c>
      <c r="H1982" s="374"/>
      <c r="I1982" s="16"/>
    </row>
    <row r="1983" spans="1:9" ht="24" customHeight="1">
      <c r="B1983" s="1033" t="str">
        <f>'Perpipaan dalam Gedung '!C2287</f>
        <v>6.5.2.3</v>
      </c>
      <c r="C1983" s="39" t="str">
        <f>VLOOKUP(B1983,'Perpipaan dalam Gedung '!C:K,2,FALSE)</f>
        <v>Pemasangan 1 buah ball velve, Dia. 1" (25 mm)</v>
      </c>
      <c r="D1983" s="9" t="s">
        <v>44</v>
      </c>
      <c r="E1983" s="1021">
        <f>VLOOKUP(C1983,'Perpipaan dalam Gedung '!$D$2:$I$5226,6,FALSE)</f>
        <v>99500</v>
      </c>
      <c r="F1983" s="1003">
        <f>VLOOKUP(C1983,'Perpipaan dalam Gedung '!$D$2:$J$5226,7,FALSE)</f>
        <v>0</v>
      </c>
      <c r="G1983" s="12">
        <f>VLOOKUP(C1983,'Perpipaan dalam Gedung '!$D$2:$K$5226,8,FALSE)</f>
        <v>0</v>
      </c>
      <c r="H1983" s="374"/>
      <c r="I1983" s="16"/>
    </row>
    <row r="1984" spans="1:9" ht="24" customHeight="1">
      <c r="B1984" s="1033" t="str">
        <f>'Perpipaan dalam Gedung '!C2304</f>
        <v>6.5.2.4</v>
      </c>
      <c r="C1984" s="39" t="str">
        <f>VLOOKUP(B1984,'Perpipaan dalam Gedung '!C:K,2,FALSE)</f>
        <v>Pemasangan 1 buah ball velve, Dia. 1-1/4" (32 mm)</v>
      </c>
      <c r="D1984" s="9" t="s">
        <v>44</v>
      </c>
      <c r="E1984" s="1021">
        <f>VLOOKUP(C1984,'Perpipaan dalam Gedung '!$D$2:$I$5226,6,FALSE)</f>
        <v>136600</v>
      </c>
      <c r="F1984" s="1003">
        <f>VLOOKUP(C1984,'Perpipaan dalam Gedung '!$D$2:$J$5226,7,FALSE)</f>
        <v>0</v>
      </c>
      <c r="G1984" s="12">
        <f>VLOOKUP(C1984,'Perpipaan dalam Gedung '!$D$2:$K$5226,8,FALSE)</f>
        <v>0</v>
      </c>
      <c r="H1984" s="374"/>
      <c r="I1984" s="16"/>
    </row>
    <row r="1985" spans="1:9" ht="24" customHeight="1">
      <c r="B1985" s="1033" t="str">
        <f>'Perpipaan dalam Gedung '!C2321</f>
        <v>6.5.2.5</v>
      </c>
      <c r="C1985" s="39" t="str">
        <f>VLOOKUP(B1985,'Perpipaan dalam Gedung '!C:K,2,FALSE)</f>
        <v>Pemasangan 1 buah ball velve, Dia. 1-1/2" (40 mm)</v>
      </c>
      <c r="D1985" s="9" t="s">
        <v>44</v>
      </c>
      <c r="E1985" s="1021">
        <f>VLOOKUP(C1985,'Perpipaan dalam Gedung '!$D$2:$I$5226,6,FALSE)</f>
        <v>161800</v>
      </c>
      <c r="F1985" s="1003">
        <f>VLOOKUP(C1985,'Perpipaan dalam Gedung '!$D$2:$J$5226,7,FALSE)</f>
        <v>0</v>
      </c>
      <c r="G1985" s="12">
        <f>VLOOKUP(C1985,'Perpipaan dalam Gedung '!$D$2:$K$5226,8,FALSE)</f>
        <v>0</v>
      </c>
      <c r="H1985" s="374"/>
      <c r="I1985" s="16"/>
    </row>
    <row r="1986" spans="1:9" ht="24" customHeight="1">
      <c r="B1986" s="1033" t="str">
        <f>'Perpipaan dalam Gedung '!C2338</f>
        <v>6.5.2.6</v>
      </c>
      <c r="C1986" s="39" t="str">
        <f>VLOOKUP(B1986,'Perpipaan dalam Gedung '!C:K,2,FALSE)</f>
        <v>Pemasangan 1 buah ball velve, Dia.2" (50 mm)</v>
      </c>
      <c r="D1986" s="9" t="s">
        <v>44</v>
      </c>
      <c r="E1986" s="1021">
        <f>VLOOKUP(C1986,'Perpipaan dalam Gedung '!$D$2:$I$5226,6,FALSE)</f>
        <v>230900</v>
      </c>
      <c r="F1986" s="1003">
        <f>VLOOKUP(C1986,'Perpipaan dalam Gedung '!$D$2:$J$5226,7,FALSE)</f>
        <v>0</v>
      </c>
      <c r="G1986" s="12">
        <f>VLOOKUP(C1986,'Perpipaan dalam Gedung '!$D$2:$K$5226,8,FALSE)</f>
        <v>0</v>
      </c>
      <c r="H1986" s="374"/>
      <c r="I1986" s="16"/>
    </row>
    <row r="1987" spans="1:9" ht="24" customHeight="1">
      <c r="B1987" s="1033" t="str">
        <f>'Perpipaan dalam Gedung '!C2356</f>
        <v>6.5.2.7</v>
      </c>
      <c r="C1987" s="39" t="str">
        <f>VLOOKUP(B1987,'Perpipaan dalam Gedung '!C:K,2,FALSE)</f>
        <v>Pemasangan 1 buah ball velve, Dia.2-1/2" (65 mm)</v>
      </c>
      <c r="D1987" s="9" t="s">
        <v>44</v>
      </c>
      <c r="E1987" s="1021">
        <f>VLOOKUP(C1987,'Perpipaan dalam Gedung '!$D$2:$I$5226,6,FALSE)</f>
        <v>285700</v>
      </c>
      <c r="F1987" s="1003">
        <f>VLOOKUP(C1987,'Perpipaan dalam Gedung '!$D$2:$J$5226,7,FALSE)</f>
        <v>0</v>
      </c>
      <c r="G1987" s="12">
        <f>VLOOKUP(C1987,'Perpipaan dalam Gedung '!$D$2:$K$5226,8,FALSE)</f>
        <v>0</v>
      </c>
      <c r="H1987" s="374"/>
      <c r="I1987" s="16"/>
    </row>
    <row r="1988" spans="1:9" ht="24" customHeight="1">
      <c r="B1988" s="1033" t="str">
        <f>'Perpipaan dalam Gedung '!C2373</f>
        <v>6.5.2.8</v>
      </c>
      <c r="C1988" s="39" t="str">
        <f>VLOOKUP(B1988,'Perpipaan dalam Gedung '!C:K,2,FALSE)</f>
        <v>Pemasangan 1 buah ball velve, Dia.3" (80 mm)</v>
      </c>
      <c r="D1988" s="9" t="s">
        <v>44</v>
      </c>
      <c r="E1988" s="1021">
        <f>VLOOKUP(C1988,'Perpipaan dalam Gedung '!$D$2:$I$5226,6,FALSE)</f>
        <v>493300</v>
      </c>
      <c r="F1988" s="1003">
        <f>VLOOKUP(C1988,'Perpipaan dalam Gedung '!$D$2:$J$5226,7,FALSE)</f>
        <v>0</v>
      </c>
      <c r="G1988" s="12">
        <f>VLOOKUP(C1988,'Perpipaan dalam Gedung '!$D$2:$K$5226,8,FALSE)</f>
        <v>0</v>
      </c>
      <c r="H1988" s="374"/>
      <c r="I1988" s="16"/>
    </row>
    <row r="1989" spans="1:9" ht="24" customHeight="1">
      <c r="B1989" s="1033" t="str">
        <f>'Perpipaan dalam Gedung '!C2390</f>
        <v>6.5.2.9</v>
      </c>
      <c r="C1989" s="39" t="str">
        <f>VLOOKUP(B1989,'Perpipaan dalam Gedung '!C:K,2,FALSE)</f>
        <v>Pemasangan 1 buah ball velve, Dia.4" (100 mm)</v>
      </c>
      <c r="D1989" s="9" t="s">
        <v>44</v>
      </c>
      <c r="E1989" s="1021">
        <f>VLOOKUP(C1989,'Perpipaan dalam Gedung '!$D$2:$I$5226,6,FALSE)</f>
        <v>582500</v>
      </c>
      <c r="F1989" s="1003">
        <f>VLOOKUP(C1989,'Perpipaan dalam Gedung '!$D$2:$J$5226,7,FALSE)</f>
        <v>0</v>
      </c>
      <c r="G1989" s="12">
        <f>VLOOKUP(C1989,'Perpipaan dalam Gedung '!$D$2:$K$5226,8,FALSE)</f>
        <v>0</v>
      </c>
      <c r="H1989" s="374"/>
      <c r="I1989" s="16"/>
    </row>
    <row r="1990" spans="1:9" s="1" customFormat="1" ht="24" customHeight="1">
      <c r="A1990" s="47"/>
      <c r="B1990" s="1041" t="str">
        <f>'Perpipaan dalam Gedung '!C2407</f>
        <v>6.5.3</v>
      </c>
      <c r="C1990" s="40" t="str">
        <f>VLOOKUP(B1990,'Perpipaan dalam Gedung '!C:K,2,FALSE)</f>
        <v xml:space="preserve">Check Velve </v>
      </c>
      <c r="D1990" s="19"/>
      <c r="E1990" s="1021">
        <f>VLOOKUP(C1990,'Perpipaan dalam Gedung '!$D$2:$I$5226,6,FALSE)</f>
        <v>0</v>
      </c>
      <c r="F1990" s="1003">
        <f>VLOOKUP(C1990,'Perpipaan dalam Gedung '!$D$2:$J$5226,7,FALSE)</f>
        <v>0</v>
      </c>
      <c r="G1990" s="12">
        <f>VLOOKUP(C1990,'Perpipaan dalam Gedung '!$D$2:$K$5226,8,FALSE)</f>
        <v>0</v>
      </c>
      <c r="H1990" s="1092"/>
      <c r="I1990" s="21"/>
    </row>
    <row r="1991" spans="1:9" ht="24" customHeight="1">
      <c r="B1991" s="1033" t="str">
        <f>'Perpipaan dalam Gedung '!C2408</f>
        <v>6.5.3.1</v>
      </c>
      <c r="C1991" s="39" t="str">
        <f>VLOOKUP(B1991,'Perpipaan dalam Gedung '!C:K,2,FALSE)</f>
        <v>Pemasangan 1 buah Check Velve 10 K, Dia. 1/2" (15 mm)</v>
      </c>
      <c r="D1991" s="9" t="s">
        <v>44</v>
      </c>
      <c r="E1991" s="1021">
        <f>VLOOKUP(C1991,'Perpipaan dalam Gedung '!$D$2:$I$5226,6,FALSE)</f>
        <v>69900</v>
      </c>
      <c r="F1991" s="1003">
        <f>VLOOKUP(C1991,'Perpipaan dalam Gedung '!$D$2:$J$5226,7,FALSE)</f>
        <v>0</v>
      </c>
      <c r="G1991" s="12">
        <f>VLOOKUP(C1991,'Perpipaan dalam Gedung '!$D$2:$K$5226,8,FALSE)</f>
        <v>0</v>
      </c>
      <c r="H1991" s="374"/>
      <c r="I1991" s="16"/>
    </row>
    <row r="1992" spans="1:9" ht="24" customHeight="1">
      <c r="B1992" s="1033" t="str">
        <f>'Perpipaan dalam Gedung '!C2425</f>
        <v>6.5.3.2</v>
      </c>
      <c r="C1992" s="39" t="str">
        <f>VLOOKUP(B1992,'Perpipaan dalam Gedung '!C:K,2,FALSE)</f>
        <v>Pemasangan 1 buah Check Velve 10 K, Dia. 3/4" (20 mm)</v>
      </c>
      <c r="D1992" s="9" t="s">
        <v>44</v>
      </c>
      <c r="E1992" s="1021">
        <f>VLOOKUP(C1992,'Perpipaan dalam Gedung '!$D$2:$I$5226,6,FALSE)</f>
        <v>105600</v>
      </c>
      <c r="F1992" s="1003">
        <f>VLOOKUP(C1992,'Perpipaan dalam Gedung '!$D$2:$J$5226,7,FALSE)</f>
        <v>0</v>
      </c>
      <c r="G1992" s="12">
        <f>VLOOKUP(C1992,'Perpipaan dalam Gedung '!$D$2:$K$5226,8,FALSE)</f>
        <v>0</v>
      </c>
      <c r="H1992" s="374"/>
      <c r="I1992" s="16"/>
    </row>
    <row r="1993" spans="1:9" ht="24" customHeight="1">
      <c r="B1993" s="1033" t="str">
        <f>'Perpipaan dalam Gedung '!C2442</f>
        <v>6.5.3.3</v>
      </c>
      <c r="C1993" s="39" t="str">
        <f>VLOOKUP(B1993,'Perpipaan dalam Gedung '!C:K,2,FALSE)</f>
        <v>Pemasangan 1 buah Check Velve 10 K, Dia. 1" (25 mm)</v>
      </c>
      <c r="D1993" s="9" t="s">
        <v>44</v>
      </c>
      <c r="E1993" s="1021">
        <f>VLOOKUP(C1993,'Perpipaan dalam Gedung '!$D$2:$I$5226,6,FALSE)</f>
        <v>152900</v>
      </c>
      <c r="F1993" s="1003">
        <f>VLOOKUP(C1993,'Perpipaan dalam Gedung '!$D$2:$J$5226,7,FALSE)</f>
        <v>0</v>
      </c>
      <c r="G1993" s="12">
        <f>VLOOKUP(C1993,'Perpipaan dalam Gedung '!$D$2:$K$5226,8,FALSE)</f>
        <v>0</v>
      </c>
      <c r="H1993" s="374"/>
      <c r="I1993" s="16"/>
    </row>
    <row r="1994" spans="1:9" ht="24" customHeight="1">
      <c r="B1994" s="1033" t="str">
        <f>'Perpipaan dalam Gedung '!C2459</f>
        <v>6.5.3.4</v>
      </c>
      <c r="C1994" s="39" t="str">
        <f>VLOOKUP(B1994,'Perpipaan dalam Gedung '!C:K,2,FALSE)</f>
        <v>Pemasangan 1 buah Check Velve 10 K, Dia. 1-1/4" (32 mm)</v>
      </c>
      <c r="D1994" s="9" t="s">
        <v>44</v>
      </c>
      <c r="E1994" s="1021">
        <f>VLOOKUP(C1994,'Perpipaan dalam Gedung '!$D$2:$I$5226,6,FALSE)</f>
        <v>191000</v>
      </c>
      <c r="F1994" s="1003">
        <f>VLOOKUP(C1994,'Perpipaan dalam Gedung '!$D$2:$J$5226,7,FALSE)</f>
        <v>0</v>
      </c>
      <c r="G1994" s="12">
        <f>VLOOKUP(C1994,'Perpipaan dalam Gedung '!$D$2:$K$5226,8,FALSE)</f>
        <v>0</v>
      </c>
      <c r="H1994" s="374"/>
      <c r="I1994" s="16"/>
    </row>
    <row r="1995" spans="1:9" ht="24" customHeight="1">
      <c r="B1995" s="1033" t="str">
        <f>'Perpipaan dalam Gedung '!C2476</f>
        <v>6.5.3.5</v>
      </c>
      <c r="C1995" s="39" t="str">
        <f>VLOOKUP(B1995,'Perpipaan dalam Gedung '!C:K,2,FALSE)</f>
        <v>Pemasangan 1 buah Check Velve 10 K, Dia. 1-1/2" (40 mm)</v>
      </c>
      <c r="D1995" s="9" t="s">
        <v>44</v>
      </c>
      <c r="E1995" s="1021">
        <f>VLOOKUP(C1995,'Perpipaan dalam Gedung '!$D$2:$I$5226,6,FALSE)</f>
        <v>250300</v>
      </c>
      <c r="F1995" s="1003">
        <f>VLOOKUP(C1995,'Perpipaan dalam Gedung '!$D$2:$J$5226,7,FALSE)</f>
        <v>0</v>
      </c>
      <c r="G1995" s="12">
        <f>VLOOKUP(C1995,'Perpipaan dalam Gedung '!$D$2:$K$5226,8,FALSE)</f>
        <v>0</v>
      </c>
      <c r="H1995" s="374"/>
      <c r="I1995" s="16"/>
    </row>
    <row r="1996" spans="1:9" ht="24" customHeight="1">
      <c r="B1996" s="1033" t="str">
        <f>'Perpipaan dalam Gedung '!C2493</f>
        <v>6.5.3.6</v>
      </c>
      <c r="C1996" s="39" t="str">
        <f>VLOOKUP(B1996,'Perpipaan dalam Gedung '!C:K,2,FALSE)</f>
        <v>Pemasangan 1 buah Check Velve (10, 16) K, Dia. 2" (50 mm)</v>
      </c>
      <c r="D1996" s="9" t="s">
        <v>44</v>
      </c>
      <c r="E1996" s="1021">
        <f>VLOOKUP(C1996,'Perpipaan dalam Gedung '!$D$2:$I$5226,6,FALSE)</f>
        <v>354200</v>
      </c>
      <c r="F1996" s="1003">
        <f>VLOOKUP(C1996,'Perpipaan dalam Gedung '!$D$2:$J$5226,7,FALSE)</f>
        <v>0</v>
      </c>
      <c r="G1996" s="12">
        <f>VLOOKUP(C1996,'Perpipaan dalam Gedung '!$D$2:$K$5226,8,FALSE)</f>
        <v>0</v>
      </c>
      <c r="H1996" s="374"/>
      <c r="I1996" s="16"/>
    </row>
    <row r="1997" spans="1:9" ht="24" customHeight="1">
      <c r="B1997" s="1033" t="str">
        <f>'Perpipaan dalam Gedung '!C2510</f>
        <v>6.5.3.7</v>
      </c>
      <c r="C1997" s="39" t="str">
        <f>VLOOKUP(B1997,'Perpipaan dalam Gedung '!C:K,2,FALSE)</f>
        <v>Pemasangan 1 buah Check Velve (10,16) K, Dia. 2-1/2" (65 mm)</v>
      </c>
      <c r="D1997" s="9" t="s">
        <v>44</v>
      </c>
      <c r="E1997" s="1021">
        <f>VLOOKUP(C1997,'Perpipaan dalam Gedung '!$D$2:$I$5226,6,FALSE)</f>
        <v>437500</v>
      </c>
      <c r="F1997" s="1003">
        <f>VLOOKUP(C1997,'Perpipaan dalam Gedung '!$D$2:$J$5226,7,FALSE)</f>
        <v>0</v>
      </c>
      <c r="G1997" s="12">
        <f>VLOOKUP(C1997,'Perpipaan dalam Gedung '!$D$2:$K$5226,8,FALSE)</f>
        <v>0</v>
      </c>
      <c r="H1997" s="374"/>
      <c r="I1997" s="16"/>
    </row>
    <row r="1998" spans="1:9" ht="24" customHeight="1">
      <c r="B1998" s="1033" t="str">
        <f>'Perpipaan dalam Gedung '!C2527</f>
        <v>6.5.3.8</v>
      </c>
      <c r="C1998" s="39" t="str">
        <f>VLOOKUP(B1998,'Perpipaan dalam Gedung '!C:K,2,FALSE)</f>
        <v>Pemasangan 1 buah Check Velve (10,16) K, Dia. 3" (80 mm)</v>
      </c>
      <c r="D1998" s="9" t="s">
        <v>44</v>
      </c>
      <c r="E1998" s="1021">
        <f>VLOOKUP(C1998,'Perpipaan dalam Gedung '!$D$2:$I$5226,6,FALSE)</f>
        <v>1025300</v>
      </c>
      <c r="F1998" s="1003">
        <f>VLOOKUP(C1998,'Perpipaan dalam Gedung '!$D$2:$J$5226,7,FALSE)</f>
        <v>0</v>
      </c>
      <c r="G1998" s="12">
        <f>VLOOKUP(C1998,'Perpipaan dalam Gedung '!$D$2:$K$5226,8,FALSE)</f>
        <v>0</v>
      </c>
      <c r="H1998" s="374"/>
      <c r="I1998" s="16"/>
    </row>
    <row r="1999" spans="1:9" ht="24" customHeight="1">
      <c r="B1999" s="1033" t="str">
        <f>'Perpipaan dalam Gedung '!C2545</f>
        <v>6.5.3.9</v>
      </c>
      <c r="C1999" s="39" t="str">
        <f>VLOOKUP(B1999,'Perpipaan dalam Gedung '!C:K,2,FALSE)</f>
        <v>Pemasangan 1 buah Check Velve (10,16) K, Dia. 4" (100 mm)</v>
      </c>
      <c r="D1999" s="9" t="s">
        <v>44</v>
      </c>
      <c r="E1999" s="1021">
        <f>VLOOKUP(C1999,'Perpipaan dalam Gedung '!$D$2:$I$5226,6,FALSE)</f>
        <v>2308000</v>
      </c>
      <c r="F1999" s="1003">
        <f>VLOOKUP(C1999,'Perpipaan dalam Gedung '!$D$2:$J$5226,7,FALSE)</f>
        <v>0</v>
      </c>
      <c r="G1999" s="12">
        <f>VLOOKUP(C1999,'Perpipaan dalam Gedung '!$D$2:$K$5226,8,FALSE)</f>
        <v>0</v>
      </c>
      <c r="H1999" s="374"/>
      <c r="I1999" s="16"/>
    </row>
    <row r="2000" spans="1:9" ht="24" customHeight="1">
      <c r="B2000" s="1033" t="str">
        <f>'Perpipaan dalam Gedung '!C2562</f>
        <v>6.5.3.10</v>
      </c>
      <c r="C2000" s="39" t="str">
        <f>VLOOKUP(B2000,'Perpipaan dalam Gedung '!C:K,2,FALSE)</f>
        <v>Pemasangan 1 buah Check Velve (10, 16) K, Dia. 5" (125 mm)</v>
      </c>
      <c r="D2000" s="9" t="s">
        <v>44</v>
      </c>
      <c r="E2000" s="1021">
        <f>VLOOKUP(C2000,'Perpipaan dalam Gedung '!$D$2:$I$5226,6,FALSE)</f>
        <v>4243200</v>
      </c>
      <c r="F2000" s="1003">
        <f>VLOOKUP(C2000,'Perpipaan dalam Gedung '!$D$2:$J$5226,7,FALSE)</f>
        <v>0</v>
      </c>
      <c r="G2000" s="12">
        <f>VLOOKUP(C2000,'Perpipaan dalam Gedung '!$D$2:$K$5226,8,FALSE)</f>
        <v>0</v>
      </c>
      <c r="H2000" s="374"/>
      <c r="I2000" s="16"/>
    </row>
    <row r="2001" spans="1:9" ht="24" customHeight="1">
      <c r="B2001" s="1033" t="str">
        <f>'Perpipaan dalam Gedung '!C2579</f>
        <v>6.5.3.11</v>
      </c>
      <c r="C2001" s="39" t="str">
        <f>VLOOKUP(B2001,'Perpipaan dalam Gedung '!C:K,2,FALSE)</f>
        <v>Pemasangan 1 buah Check Velve (10, 16) K, Dia. 6" (150 mm)</v>
      </c>
      <c r="D2001" s="9" t="s">
        <v>44</v>
      </c>
      <c r="E2001" s="1021">
        <f>VLOOKUP(C2001,'Perpipaan dalam Gedung '!$D$2:$I$5226,6,FALSE)</f>
        <v>4734200</v>
      </c>
      <c r="F2001" s="1003">
        <f>VLOOKUP(C2001,'Perpipaan dalam Gedung '!$D$2:$J$5226,7,FALSE)</f>
        <v>0</v>
      </c>
      <c r="G2001" s="12">
        <f>VLOOKUP(C2001,'Perpipaan dalam Gedung '!$D$2:$K$5226,8,FALSE)</f>
        <v>0</v>
      </c>
      <c r="H2001" s="374"/>
      <c r="I2001" s="16"/>
    </row>
    <row r="2002" spans="1:9" ht="24" customHeight="1">
      <c r="B2002" s="1033" t="str">
        <f>'Perpipaan dalam Gedung '!C2596</f>
        <v>6.5.3.12</v>
      </c>
      <c r="C2002" s="39" t="str">
        <f>VLOOKUP(B2002,'Perpipaan dalam Gedung '!C:K,2,FALSE)</f>
        <v>Pemasangan 1 buah Check Velve (10, 16) K, Dia. 8" (200 mm)</v>
      </c>
      <c r="D2002" s="9" t="s">
        <v>44</v>
      </c>
      <c r="E2002" s="1021">
        <f>VLOOKUP(C2002,'Perpipaan dalam Gedung '!$D$2:$I$5226,6,FALSE)</f>
        <v>5458700</v>
      </c>
      <c r="F2002" s="1003">
        <f>VLOOKUP(C2002,'Perpipaan dalam Gedung '!$D$2:$J$5226,7,FALSE)</f>
        <v>0</v>
      </c>
      <c r="G2002" s="12">
        <f>VLOOKUP(C2002,'Perpipaan dalam Gedung '!$D$2:$K$5226,8,FALSE)</f>
        <v>0</v>
      </c>
      <c r="H2002" s="374"/>
      <c r="I2002" s="16"/>
    </row>
    <row r="2003" spans="1:9" ht="24" customHeight="1">
      <c r="B2003" s="1033" t="str">
        <f>'Perpipaan dalam Gedung '!C2613</f>
        <v>6.5.3.13</v>
      </c>
      <c r="C2003" s="39" t="str">
        <f>VLOOKUP(B2003,'Perpipaan dalam Gedung '!C:K,2,FALSE)</f>
        <v>Pemasangan 1 buah Check Velve (10,16)  K, Dia. 10" (250 mm)</v>
      </c>
      <c r="D2003" s="9" t="s">
        <v>44</v>
      </c>
      <c r="E2003" s="1021">
        <f>VLOOKUP(C2003,'Perpipaan dalam Gedung '!$D$2:$I$5226,6,FALSE)</f>
        <v>5883000</v>
      </c>
      <c r="F2003" s="1003">
        <f>VLOOKUP(C2003,'Perpipaan dalam Gedung '!$D$2:$J$5226,7,FALSE)</f>
        <v>0</v>
      </c>
      <c r="G2003" s="12">
        <f>VLOOKUP(C2003,'Perpipaan dalam Gedung '!$D$2:$K$5226,8,FALSE)</f>
        <v>0</v>
      </c>
      <c r="H2003" s="374"/>
      <c r="I2003" s="16"/>
    </row>
    <row r="2004" spans="1:9" ht="24" customHeight="1">
      <c r="B2004" s="1033" t="str">
        <f>'Perpipaan dalam Gedung '!C2630</f>
        <v>6.5.3.14</v>
      </c>
      <c r="C2004" s="39" t="str">
        <f>VLOOKUP(B2004,'Perpipaan dalam Gedung '!C:K,2,FALSE)</f>
        <v>Pemasangan 1 buah Check Velve (10, 16) K, Dia. 12" (300 mm)</v>
      </c>
      <c r="D2004" s="9" t="s">
        <v>44</v>
      </c>
      <c r="E2004" s="1021">
        <f>VLOOKUP(C2004,'Perpipaan dalam Gedung '!$D$2:$I$5226,6,FALSE)</f>
        <v>6420700</v>
      </c>
      <c r="F2004" s="1003">
        <f>VLOOKUP(C2004,'Perpipaan dalam Gedung '!$D$2:$J$5226,7,FALSE)</f>
        <v>0</v>
      </c>
      <c r="G2004" s="12">
        <f>VLOOKUP(C2004,'Perpipaan dalam Gedung '!$D$2:$K$5226,8,FALSE)</f>
        <v>0</v>
      </c>
      <c r="H2004" s="374"/>
      <c r="I2004" s="16"/>
    </row>
    <row r="2005" spans="1:9" s="1" customFormat="1" ht="24" customHeight="1">
      <c r="A2005" s="47"/>
      <c r="B2005" s="1041" t="str">
        <f>'Perpipaan dalam Gedung '!C2647</f>
        <v>6.5.4</v>
      </c>
      <c r="C2005" s="40" t="str">
        <f>VLOOKUP(B2005,'Perpipaan dalam Gedung '!C:K,2,FALSE)</f>
        <v xml:space="preserve">Strainer </v>
      </c>
      <c r="D2005" s="19"/>
      <c r="E2005" s="1021">
        <f>VLOOKUP(C2005,'Perpipaan dalam Gedung '!$D$2:$I$5226,6,FALSE)</f>
        <v>0</v>
      </c>
      <c r="F2005" s="1003">
        <f>VLOOKUP(C2005,'Perpipaan dalam Gedung '!$D$2:$J$5226,7,FALSE)</f>
        <v>0</v>
      </c>
      <c r="G2005" s="12">
        <f>VLOOKUP(C2005,'Perpipaan dalam Gedung '!$D$2:$K$5226,8,FALSE)</f>
        <v>0</v>
      </c>
      <c r="H2005" s="1092"/>
      <c r="I2005" s="21"/>
    </row>
    <row r="2006" spans="1:9" ht="24" customHeight="1">
      <c r="B2006" s="1033" t="str">
        <f>'Perpipaan dalam Gedung '!C2648</f>
        <v>6.5.4.1</v>
      </c>
      <c r="C2006" s="39" t="str">
        <f>VLOOKUP(B2006,'Perpipaan dalam Gedung '!C:K,2,FALSE)</f>
        <v>Pemasangan 1 buah strainer 10 K, Dia. 1/2 " (15 mm)</v>
      </c>
      <c r="D2006" s="9" t="s">
        <v>44</v>
      </c>
      <c r="E2006" s="1021">
        <f>VLOOKUP(C2006,'Perpipaan dalam Gedung '!$D$2:$I$5226,6,FALSE)</f>
        <v>66100</v>
      </c>
      <c r="F2006" s="1003">
        <f>VLOOKUP(C2006,'Perpipaan dalam Gedung '!$D$2:$J$5226,7,FALSE)</f>
        <v>0</v>
      </c>
      <c r="G2006" s="12">
        <f>VLOOKUP(C2006,'Perpipaan dalam Gedung '!$D$2:$K$5226,8,FALSE)</f>
        <v>0</v>
      </c>
      <c r="H2006" s="374"/>
      <c r="I2006" s="16"/>
    </row>
    <row r="2007" spans="1:9" ht="24" customHeight="1">
      <c r="B2007" s="1033" t="str">
        <f>'Perpipaan dalam Gedung '!C2666</f>
        <v>6.5.4.2</v>
      </c>
      <c r="C2007" s="39" t="str">
        <f>VLOOKUP(B2007,'Perpipaan dalam Gedung '!C:K,2,FALSE)</f>
        <v>Pemasangan 1 buah strainer 10 K, Dia. 3/4 " (20 mm)</v>
      </c>
      <c r="D2007" s="9" t="s">
        <v>44</v>
      </c>
      <c r="E2007" s="1021">
        <f>VLOOKUP(C2007,'Perpipaan dalam Gedung '!$D$2:$I$5226,6,FALSE)</f>
        <v>90400</v>
      </c>
      <c r="F2007" s="1003">
        <f>VLOOKUP(C2007,'Perpipaan dalam Gedung '!$D$2:$J$5226,7,FALSE)</f>
        <v>0</v>
      </c>
      <c r="G2007" s="12">
        <f>VLOOKUP(C2007,'Perpipaan dalam Gedung '!$D$2:$K$5226,8,FALSE)</f>
        <v>0</v>
      </c>
      <c r="H2007" s="374"/>
      <c r="I2007" s="16"/>
    </row>
    <row r="2008" spans="1:9" ht="24" customHeight="1">
      <c r="B2008" s="1033" t="str">
        <f>'Perpipaan dalam Gedung '!C2684</f>
        <v>6.5.4.3</v>
      </c>
      <c r="C2008" s="39" t="str">
        <f>VLOOKUP(B2008,'Perpipaan dalam Gedung '!C:K,2,FALSE)</f>
        <v>Pemasangan 1 buah strainer 10 K, Dia. 1 " (25 mm)</v>
      </c>
      <c r="D2008" s="9" t="s">
        <v>44</v>
      </c>
      <c r="E2008" s="1021">
        <f>VLOOKUP(C2008,'Perpipaan dalam Gedung '!$D$2:$I$5226,6,FALSE)</f>
        <v>115800</v>
      </c>
      <c r="F2008" s="1003">
        <f>VLOOKUP(C2008,'Perpipaan dalam Gedung '!$D$2:$J$5226,7,FALSE)</f>
        <v>0</v>
      </c>
      <c r="G2008" s="12">
        <f>VLOOKUP(C2008,'Perpipaan dalam Gedung '!$D$2:$K$5226,8,FALSE)</f>
        <v>0</v>
      </c>
      <c r="H2008" s="374"/>
      <c r="I2008" s="16"/>
    </row>
    <row r="2009" spans="1:9" ht="24" customHeight="1">
      <c r="B2009" s="1033" t="str">
        <f>'Perpipaan dalam Gedung '!C2701</f>
        <v>6.5.4.4</v>
      </c>
      <c r="C2009" s="39" t="str">
        <f>VLOOKUP(B2009,'Perpipaan dalam Gedung '!C:K,2,FALSE)</f>
        <v>Pemasangan 1 buah strainer 10 K, Dia. 1-1/4 " (32 mm)</v>
      </c>
      <c r="D2009" s="9" t="s">
        <v>44</v>
      </c>
      <c r="E2009" s="1021">
        <f>VLOOKUP(C2009,'Perpipaan dalam Gedung '!$D$2:$I$5226,6,FALSE)</f>
        <v>171500</v>
      </c>
      <c r="F2009" s="1003">
        <f>VLOOKUP(C2009,'Perpipaan dalam Gedung '!$D$2:$J$5226,7,FALSE)</f>
        <v>0</v>
      </c>
      <c r="G2009" s="12">
        <f>VLOOKUP(C2009,'Perpipaan dalam Gedung '!$D$2:$K$5226,8,FALSE)</f>
        <v>0</v>
      </c>
      <c r="H2009" s="374"/>
      <c r="I2009" s="16"/>
    </row>
    <row r="2010" spans="1:9" ht="24" customHeight="1">
      <c r="B2010" s="1033" t="str">
        <f>'Perpipaan dalam Gedung '!C2719</f>
        <v>6.5.4.5</v>
      </c>
      <c r="C2010" s="39" t="str">
        <f>VLOOKUP(B2010,'Perpipaan dalam Gedung '!C:K,2,FALSE)</f>
        <v>Pemasangan 1 buah strainer 10 K, Dia. 1-1/2 " (40 mm)</v>
      </c>
      <c r="D2010" s="9" t="s">
        <v>44</v>
      </c>
      <c r="E2010" s="1021">
        <f>VLOOKUP(C2010,'Perpipaan dalam Gedung '!$D$2:$I$5226,6,FALSE)</f>
        <v>242700</v>
      </c>
      <c r="F2010" s="1003">
        <f>VLOOKUP(C2010,'Perpipaan dalam Gedung '!$D$2:$J$5226,7,FALSE)</f>
        <v>0</v>
      </c>
      <c r="G2010" s="12">
        <f>VLOOKUP(C2010,'Perpipaan dalam Gedung '!$D$2:$K$5226,8,FALSE)</f>
        <v>0</v>
      </c>
      <c r="H2010" s="374"/>
      <c r="I2010" s="16"/>
    </row>
    <row r="2011" spans="1:9" ht="24" customHeight="1">
      <c r="B2011" s="1033" t="str">
        <f>'Perpipaan dalam Gedung '!C2736</f>
        <v>6.5.4.6</v>
      </c>
      <c r="C2011" s="39" t="str">
        <f>VLOOKUP(B2011,'Perpipaan dalam Gedung '!C:K,2,FALSE)</f>
        <v>Pemasangan 1 buah strainer (10, 16) K, Dia. 2 " (50 mm)</v>
      </c>
      <c r="D2011" s="9" t="s">
        <v>44</v>
      </c>
      <c r="E2011" s="1021">
        <f>VLOOKUP(C2011,'Perpipaan dalam Gedung '!$D$2:$I$5226,6,FALSE)</f>
        <v>465700</v>
      </c>
      <c r="F2011" s="1003">
        <f>VLOOKUP(C2011,'Perpipaan dalam Gedung '!$D$2:$J$5226,7,FALSE)</f>
        <v>0</v>
      </c>
      <c r="G2011" s="12">
        <f>VLOOKUP(C2011,'Perpipaan dalam Gedung '!$D$2:$K$5226,8,FALSE)</f>
        <v>0</v>
      </c>
      <c r="H2011" s="374"/>
      <c r="I2011" s="16"/>
    </row>
    <row r="2012" spans="1:9" ht="24" customHeight="1">
      <c r="B2012" s="1033" t="str">
        <f>'Perpipaan dalam Gedung '!C2753</f>
        <v>6.5.4.7</v>
      </c>
      <c r="C2012" s="39" t="str">
        <f>VLOOKUP(B2012,'Perpipaan dalam Gedung '!C:K,2,FALSE)</f>
        <v>Pemasangan 1 buah strainer (10, 16) K, Dia. 2-1/2 " (65 mm)</v>
      </c>
      <c r="D2012" s="9" t="s">
        <v>44</v>
      </c>
      <c r="E2012" s="1021">
        <f>VLOOKUP(C2012,'Perpipaan dalam Gedung '!$D$2:$I$5226,6,FALSE)</f>
        <v>628000</v>
      </c>
      <c r="F2012" s="1003">
        <f>VLOOKUP(C2012,'Perpipaan dalam Gedung '!$D$2:$J$5226,7,FALSE)</f>
        <v>0</v>
      </c>
      <c r="G2012" s="12">
        <f>VLOOKUP(C2012,'Perpipaan dalam Gedung '!$D$2:$K$5226,8,FALSE)</f>
        <v>0</v>
      </c>
      <c r="H2012" s="374"/>
      <c r="I2012" s="16"/>
    </row>
    <row r="2013" spans="1:9" ht="24" customHeight="1">
      <c r="B2013" s="1033" t="str">
        <f>'Perpipaan dalam Gedung '!C2770</f>
        <v>6.5.4.8</v>
      </c>
      <c r="C2013" s="39" t="str">
        <f>VLOOKUP(B2013,'Perpipaan dalam Gedung '!C:K,2,FALSE)</f>
        <v>Pemasangan 1 buah strainer (10, 16) K, Dia. 3 " (80 mm)</v>
      </c>
      <c r="D2013" s="9" t="s">
        <v>44</v>
      </c>
      <c r="E2013" s="1021">
        <f>VLOOKUP(C2013,'Perpipaan dalam Gedung '!$D$2:$I$5226,6,FALSE)</f>
        <v>975200</v>
      </c>
      <c r="F2013" s="1003">
        <f>VLOOKUP(C2013,'Perpipaan dalam Gedung '!$D$2:$J$5226,7,FALSE)</f>
        <v>0</v>
      </c>
      <c r="G2013" s="12">
        <f>VLOOKUP(C2013,'Perpipaan dalam Gedung '!$D$2:$K$5226,8,FALSE)</f>
        <v>0</v>
      </c>
      <c r="H2013" s="374"/>
      <c r="I2013" s="16"/>
    </row>
    <row r="2014" spans="1:9" ht="24" customHeight="1">
      <c r="B2014" s="1033" t="str">
        <f>'Perpipaan dalam Gedung '!C2787</f>
        <v>6.5.4.9</v>
      </c>
      <c r="C2014" s="39" t="str">
        <f>VLOOKUP(B2014,'Perpipaan dalam Gedung '!C:K,2,FALSE)</f>
        <v>Pemasangan 1 buah strainer (10, 16) K, Dia. 4" (100 mm)</v>
      </c>
      <c r="D2014" s="9" t="s">
        <v>44</v>
      </c>
      <c r="E2014" s="1021">
        <f>VLOOKUP(C2014,'Perpipaan dalam Gedung '!$D$2:$I$5226,6,FALSE)</f>
        <v>1406600</v>
      </c>
      <c r="F2014" s="1003">
        <f>VLOOKUP(C2014,'Perpipaan dalam Gedung '!$D$2:$J$5226,7,FALSE)</f>
        <v>0</v>
      </c>
      <c r="G2014" s="12">
        <f>VLOOKUP(C2014,'Perpipaan dalam Gedung '!$D$2:$K$5226,8,FALSE)</f>
        <v>0</v>
      </c>
      <c r="H2014" s="374"/>
      <c r="I2014" s="16"/>
    </row>
    <row r="2015" spans="1:9" ht="24" customHeight="1">
      <c r="B2015" s="1033" t="str">
        <f>'Perpipaan dalam Gedung '!C2804</f>
        <v>6.5.4.10</v>
      </c>
      <c r="C2015" s="39" t="str">
        <f>VLOOKUP(B2015,'Perpipaan dalam Gedung '!C:K,2,FALSE)</f>
        <v>Pemasangan 1 buah strainer (10, 16) K, Dia. 5" (125 mm)</v>
      </c>
      <c r="D2015" s="9" t="s">
        <v>44</v>
      </c>
      <c r="E2015" s="1021">
        <f>VLOOKUP(C2015,'Perpipaan dalam Gedung '!$D$2:$I$5226,6,FALSE)</f>
        <v>1559100</v>
      </c>
      <c r="F2015" s="1003">
        <f>VLOOKUP(C2015,'Perpipaan dalam Gedung '!$D$2:$J$5226,7,FALSE)</f>
        <v>0</v>
      </c>
      <c r="G2015" s="12">
        <f>VLOOKUP(C2015,'Perpipaan dalam Gedung '!$D$2:$K$5226,8,FALSE)</f>
        <v>0</v>
      </c>
      <c r="H2015" s="374"/>
      <c r="I2015" s="16"/>
    </row>
    <row r="2016" spans="1:9" ht="24" customHeight="1">
      <c r="B2016" s="1033" t="str">
        <f>'Perpipaan dalam Gedung '!C2821</f>
        <v>6.5.4.11</v>
      </c>
      <c r="C2016" s="39" t="str">
        <f>VLOOKUP(B2016,'Perpipaan dalam Gedung '!C:K,2,FALSE)</f>
        <v>Pemasangan 1 buah strainer (10, 16) K, Dia. 6" (150 mm)</v>
      </c>
      <c r="D2016" s="9" t="s">
        <v>44</v>
      </c>
      <c r="E2016" s="1021">
        <f>VLOOKUP(C2016,'Perpipaan dalam Gedung '!$D$2:$I$5226,6,FALSE)</f>
        <v>1760500</v>
      </c>
      <c r="F2016" s="1003">
        <f>VLOOKUP(C2016,'Perpipaan dalam Gedung '!$D$2:$J$5226,7,FALSE)</f>
        <v>0</v>
      </c>
      <c r="G2016" s="12">
        <f>VLOOKUP(C2016,'Perpipaan dalam Gedung '!$D$2:$K$5226,8,FALSE)</f>
        <v>0</v>
      </c>
      <c r="H2016" s="374"/>
      <c r="I2016" s="16"/>
    </row>
    <row r="2017" spans="1:9" ht="24" customHeight="1">
      <c r="B2017" s="1033" t="str">
        <f>'Perpipaan dalam Gedung '!C2838</f>
        <v>6.5.4.12</v>
      </c>
      <c r="C2017" s="39" t="str">
        <f>VLOOKUP(B2017,'Perpipaan dalam Gedung '!C:K,2,FALSE)</f>
        <v>Pemasangan 1 buah strainer (10, 16) K, Dia. 8" (200 mm)</v>
      </c>
      <c r="D2017" s="9" t="s">
        <v>44</v>
      </c>
      <c r="E2017" s="1021">
        <f>VLOOKUP(C2017,'Perpipaan dalam Gedung '!$D$2:$I$5226,6,FALSE)</f>
        <v>2298400</v>
      </c>
      <c r="F2017" s="1003">
        <f>VLOOKUP(C2017,'Perpipaan dalam Gedung '!$D$2:$J$5226,7,FALSE)</f>
        <v>0</v>
      </c>
      <c r="G2017" s="12">
        <f>VLOOKUP(C2017,'Perpipaan dalam Gedung '!$D$2:$K$5226,8,FALSE)</f>
        <v>0</v>
      </c>
      <c r="H2017" s="374"/>
      <c r="I2017" s="16"/>
    </row>
    <row r="2018" spans="1:9" ht="24" customHeight="1">
      <c r="B2018" s="1033" t="str">
        <f>'Perpipaan dalam Gedung '!C2856</f>
        <v>6.5.4.13</v>
      </c>
      <c r="C2018" s="39" t="str">
        <f>VLOOKUP(B2018,'Perpipaan dalam Gedung '!C:K,2,FALSE)</f>
        <v>Pemasangan 1 buah strainer (10, 16) K, Dia. 10" (250 mm)</v>
      </c>
      <c r="D2018" s="9" t="s">
        <v>44</v>
      </c>
      <c r="E2018" s="1021">
        <f>VLOOKUP(C2018,'Perpipaan dalam Gedung '!$D$2:$I$5226,6,FALSE)</f>
        <v>2822800</v>
      </c>
      <c r="F2018" s="1003">
        <f>VLOOKUP(C2018,'Perpipaan dalam Gedung '!$D$2:$J$5226,7,FALSE)</f>
        <v>0</v>
      </c>
      <c r="G2018" s="12">
        <f>VLOOKUP(C2018,'Perpipaan dalam Gedung '!$D$2:$K$5226,8,FALSE)</f>
        <v>0</v>
      </c>
      <c r="H2018" s="374"/>
      <c r="I2018" s="16"/>
    </row>
    <row r="2019" spans="1:9" ht="24" customHeight="1">
      <c r="B2019" s="1033" t="str">
        <f>'Perpipaan dalam Gedung '!C2873</f>
        <v>6.5.4.14</v>
      </c>
      <c r="C2019" s="39" t="str">
        <f>VLOOKUP(B2019,'Perpipaan dalam Gedung '!C:K,2,FALSE)</f>
        <v>Pemasangan 1 buah strainer (10, 16) K, Dia. 12" (300 mm)</v>
      </c>
      <c r="D2019" s="9" t="s">
        <v>44</v>
      </c>
      <c r="E2019" s="1021">
        <f>VLOOKUP(C2019,'Perpipaan dalam Gedung '!$D$2:$I$5226,6,FALSE)</f>
        <v>3131700</v>
      </c>
      <c r="F2019" s="1003">
        <f>VLOOKUP(C2019,'Perpipaan dalam Gedung '!$D$2:$J$5226,7,FALSE)</f>
        <v>0</v>
      </c>
      <c r="G2019" s="12">
        <f>VLOOKUP(C2019,'Perpipaan dalam Gedung '!$D$2:$K$5226,8,FALSE)</f>
        <v>0</v>
      </c>
      <c r="H2019" s="374"/>
      <c r="I2019" s="16"/>
    </row>
    <row r="2020" spans="1:9" ht="24" customHeight="1">
      <c r="B2020" s="1033" t="str">
        <f>'Perpipaan dalam Gedung '!C2890</f>
        <v>6.5.4.15</v>
      </c>
      <c r="C2020" s="39" t="str">
        <f>VLOOKUP(B2020,'Perpipaan dalam Gedung '!C:K,2,FALSE)</f>
        <v>Pemasangan 1 buah strainer 10 K, Dia. 14" (350 mm)</v>
      </c>
      <c r="D2020" s="9" t="s">
        <v>44</v>
      </c>
      <c r="E2020" s="1021">
        <f>VLOOKUP(C2020,'Perpipaan dalam Gedung '!$D$2:$I$5226,6,FALSE)</f>
        <v>3471000</v>
      </c>
      <c r="F2020" s="1003">
        <f>VLOOKUP(C2020,'Perpipaan dalam Gedung '!$D$2:$J$5226,7,FALSE)</f>
        <v>0</v>
      </c>
      <c r="G2020" s="12">
        <f>VLOOKUP(C2020,'Perpipaan dalam Gedung '!$D$2:$K$5226,8,FALSE)</f>
        <v>0</v>
      </c>
      <c r="H2020" s="374"/>
      <c r="I2020" s="16"/>
    </row>
    <row r="2021" spans="1:9" s="1" customFormat="1" ht="24" customHeight="1">
      <c r="A2021" s="47"/>
      <c r="B2021" s="1041" t="str">
        <f>'Perpipaan dalam Gedung '!C2907</f>
        <v>6.5.5</v>
      </c>
      <c r="C2021" s="40" t="str">
        <f>VLOOKUP(B2021,'Perpipaan dalam Gedung '!C:K,2,FALSE)</f>
        <v>Floater Velve</v>
      </c>
      <c r="D2021" s="19"/>
      <c r="E2021" s="1021">
        <f>VLOOKUP(C2021,'Perpipaan dalam Gedung '!$D$2:$I$5226,6,FALSE)</f>
        <v>0</v>
      </c>
      <c r="F2021" s="1003">
        <f>VLOOKUP(C2021,'Perpipaan dalam Gedung '!$D$2:$J$5226,7,FALSE)</f>
        <v>0</v>
      </c>
      <c r="G2021" s="12">
        <f>VLOOKUP(C2021,'Perpipaan dalam Gedung '!$D$2:$K$5226,8,FALSE)</f>
        <v>0</v>
      </c>
      <c r="H2021" s="1092"/>
      <c r="I2021" s="21"/>
    </row>
    <row r="2022" spans="1:9" ht="24" customHeight="1">
      <c r="B2022" s="1033" t="str">
        <f>'Perpipaan dalam Gedung '!C2908</f>
        <v>6.5.5.1</v>
      </c>
      <c r="C2022" s="39" t="str">
        <f>VLOOKUP(B2022,'Perpipaan dalam Gedung '!C:K,2,FALSE)</f>
        <v>Pemasangan 1 buah Floater Velve, Dia 1/2" ( 15 mm)</v>
      </c>
      <c r="D2022" s="9" t="s">
        <v>44</v>
      </c>
      <c r="E2022" s="1021">
        <f>VLOOKUP(C2022,'Perpipaan dalam Gedung '!$D$2:$I$5226,6,FALSE)</f>
        <v>300200</v>
      </c>
      <c r="F2022" s="1003">
        <f>VLOOKUP(C2022,'Perpipaan dalam Gedung '!$D$2:$J$5226,7,FALSE)</f>
        <v>0</v>
      </c>
      <c r="G2022" s="12">
        <f>VLOOKUP(C2022,'Perpipaan dalam Gedung '!$D$2:$K$5226,8,FALSE)</f>
        <v>0</v>
      </c>
      <c r="H2022" s="374"/>
      <c r="I2022" s="16"/>
    </row>
    <row r="2023" spans="1:9" ht="24" customHeight="1">
      <c r="B2023" s="1033" t="str">
        <f>'Perpipaan dalam Gedung '!C2925</f>
        <v>6.5.5.2</v>
      </c>
      <c r="C2023" s="39" t="str">
        <f>VLOOKUP(B2023,'Perpipaan dalam Gedung '!C:K,2,FALSE)</f>
        <v>Pemasangan 1 buah Floater Velve, Dia 3/4" ( 20 mm)</v>
      </c>
      <c r="D2023" s="9" t="s">
        <v>44</v>
      </c>
      <c r="E2023" s="1021">
        <f>VLOOKUP(C2023,'Perpipaan dalam Gedung '!$D$2:$I$5226,6,FALSE)</f>
        <v>347200</v>
      </c>
      <c r="F2023" s="1003">
        <f>VLOOKUP(C2023,'Perpipaan dalam Gedung '!$D$2:$J$5226,7,FALSE)</f>
        <v>0</v>
      </c>
      <c r="G2023" s="12">
        <f>VLOOKUP(C2023,'Perpipaan dalam Gedung '!$D$2:$K$5226,8,FALSE)</f>
        <v>0</v>
      </c>
      <c r="H2023" s="374"/>
      <c r="I2023" s="16"/>
    </row>
    <row r="2024" spans="1:9" ht="24" customHeight="1">
      <c r="B2024" s="1033" t="str">
        <f>'Perpipaan dalam Gedung '!C2942</f>
        <v>6.5.5.3</v>
      </c>
      <c r="C2024" s="39" t="str">
        <f>VLOOKUP(B2024,'Perpipaan dalam Gedung '!C:K,2,FALSE)</f>
        <v>Pemasangan 1 buah Floater Velve, Dia 1" ( 25 mm)</v>
      </c>
      <c r="D2024" s="9" t="s">
        <v>44</v>
      </c>
      <c r="E2024" s="1021">
        <f>VLOOKUP(C2024,'Perpipaan dalam Gedung '!$D$2:$I$5226,6,FALSE)</f>
        <v>515500</v>
      </c>
      <c r="F2024" s="1003">
        <f>VLOOKUP(C2024,'Perpipaan dalam Gedung '!$D$2:$J$5226,7,FALSE)</f>
        <v>0</v>
      </c>
      <c r="G2024" s="12">
        <f>VLOOKUP(C2024,'Perpipaan dalam Gedung '!$D$2:$K$5226,8,FALSE)</f>
        <v>0</v>
      </c>
      <c r="H2024" s="374"/>
      <c r="I2024" s="16"/>
    </row>
    <row r="2025" spans="1:9" ht="24" customHeight="1">
      <c r="B2025" s="1033" t="str">
        <f>'Perpipaan dalam Gedung '!C2959</f>
        <v>6.5.5.4</v>
      </c>
      <c r="C2025" s="39" t="str">
        <f>VLOOKUP(B2025,'Perpipaan dalam Gedung '!C:K,2,FALSE)</f>
        <v>Pemasangan 1 buah Floater Velve Dia. 1-1/4 " (32 mm)</v>
      </c>
      <c r="D2025" s="9" t="s">
        <v>44</v>
      </c>
      <c r="E2025" s="1021">
        <f>VLOOKUP(C2025,'Perpipaan dalam Gedung '!$D$2:$I$5226,6,FALSE)</f>
        <v>664100</v>
      </c>
      <c r="F2025" s="1003">
        <f>VLOOKUP(C2025,'Perpipaan dalam Gedung '!$D$2:$J$5226,7,FALSE)</f>
        <v>0</v>
      </c>
      <c r="G2025" s="12">
        <f>VLOOKUP(C2025,'Perpipaan dalam Gedung '!$D$2:$K$5226,8,FALSE)</f>
        <v>0</v>
      </c>
      <c r="H2025" s="374"/>
      <c r="I2025" s="16"/>
    </row>
    <row r="2026" spans="1:9" ht="24" customHeight="1">
      <c r="B2026" s="1033" t="str">
        <f>'Perpipaan dalam Gedung '!C2977</f>
        <v>6.5.5.5</v>
      </c>
      <c r="C2026" s="39" t="str">
        <f>VLOOKUP(B2026,'Perpipaan dalam Gedung '!C:K,2,FALSE)</f>
        <v>Pemasangan 1 buah Floater Velve, Dia. 1-1/2 " (40 mm)</v>
      </c>
      <c r="D2026" s="9" t="s">
        <v>44</v>
      </c>
      <c r="E2026" s="1021">
        <f>VLOOKUP(C2026,'Perpipaan dalam Gedung '!$D$2:$I$5226,6,FALSE)</f>
        <v>858800</v>
      </c>
      <c r="F2026" s="1003">
        <f>VLOOKUP(C2026,'Perpipaan dalam Gedung '!$D$2:$J$5226,7,FALSE)</f>
        <v>0</v>
      </c>
      <c r="G2026" s="12">
        <f>VLOOKUP(C2026,'Perpipaan dalam Gedung '!$D$2:$K$5226,8,FALSE)</f>
        <v>0</v>
      </c>
      <c r="H2026" s="374"/>
      <c r="I2026" s="16"/>
    </row>
    <row r="2027" spans="1:9" ht="24" customHeight="1">
      <c r="B2027" s="1033" t="str">
        <f>'Perpipaan dalam Gedung '!C2994</f>
        <v>6.5.5.6</v>
      </c>
      <c r="C2027" s="39" t="str">
        <f>VLOOKUP(B2027,'Perpipaan dalam Gedung '!C:K,2,FALSE)</f>
        <v>Pemasangan 1 buahFloater Velve, Dia. 2 " (50 mm)</v>
      </c>
      <c r="D2027" s="9" t="s">
        <v>44</v>
      </c>
      <c r="E2027" s="1021">
        <f>VLOOKUP(C2027,'Perpipaan dalam Gedung '!$D$2:$I$5226,6,FALSE)</f>
        <v>1182200</v>
      </c>
      <c r="F2027" s="1003">
        <f>VLOOKUP(C2027,'Perpipaan dalam Gedung '!$D$2:$J$5226,7,FALSE)</f>
        <v>0</v>
      </c>
      <c r="G2027" s="12">
        <f>VLOOKUP(C2027,'Perpipaan dalam Gedung '!$D$2:$K$5226,8,FALSE)</f>
        <v>0</v>
      </c>
      <c r="H2027" s="374"/>
      <c r="I2027" s="16"/>
    </row>
    <row r="2028" spans="1:9" ht="24" customHeight="1">
      <c r="B2028" s="1033" t="str">
        <f>'Perpipaan dalam Gedung '!C3011</f>
        <v>6.5.5.7</v>
      </c>
      <c r="C2028" s="39" t="str">
        <f>VLOOKUP(B2028,'Perpipaan dalam Gedung '!C:K,2,FALSE)</f>
        <v>Pemasangan 1 buah Floater Velve, Dia. 2-1/2 " (65 mm)</v>
      </c>
      <c r="D2028" s="9" t="s">
        <v>44</v>
      </c>
      <c r="E2028" s="1021">
        <f>VLOOKUP(C2028,'Perpipaan dalam Gedung '!$D$2:$I$5226,6,FALSE)</f>
        <v>1341900</v>
      </c>
      <c r="F2028" s="1003">
        <f>VLOOKUP(C2028,'Perpipaan dalam Gedung '!$D$2:$J$5226,7,FALSE)</f>
        <v>0</v>
      </c>
      <c r="G2028" s="12">
        <f>VLOOKUP(C2028,'Perpipaan dalam Gedung '!$D$2:$K$5226,8,FALSE)</f>
        <v>0</v>
      </c>
      <c r="H2028" s="374"/>
      <c r="I2028" s="16"/>
    </row>
    <row r="2029" spans="1:9" ht="24" customHeight="1">
      <c r="B2029" s="1033" t="str">
        <f>'Perpipaan dalam Gedung '!C3028</f>
        <v>6.5.5.8</v>
      </c>
      <c r="C2029" s="39" t="str">
        <f>VLOOKUP(B2029,'Perpipaan dalam Gedung '!C:K,2,FALSE)</f>
        <v>Pemasangan 1 buah Floater Velve, Dia. 3 " (80 mm)</v>
      </c>
      <c r="D2029" s="9" t="s">
        <v>44</v>
      </c>
      <c r="E2029" s="1021">
        <f>VLOOKUP(C2029,'Perpipaan dalam Gedung '!$D$2:$I$5226,6,FALSE)</f>
        <v>1859000</v>
      </c>
      <c r="F2029" s="1003">
        <f>VLOOKUP(C2029,'Perpipaan dalam Gedung '!$D$2:$J$5226,7,FALSE)</f>
        <v>0</v>
      </c>
      <c r="G2029" s="12">
        <f>VLOOKUP(C2029,'Perpipaan dalam Gedung '!$D$2:$K$5226,8,FALSE)</f>
        <v>0</v>
      </c>
      <c r="H2029" s="374"/>
      <c r="I2029" s="16"/>
    </row>
    <row r="2030" spans="1:9" ht="24" customHeight="1">
      <c r="B2030" s="1033" t="str">
        <f>'Perpipaan dalam Gedung '!C3045</f>
        <v>6.5.5.9</v>
      </c>
      <c r="C2030" s="39" t="str">
        <f>VLOOKUP(B2030,'Perpipaan dalam Gedung '!C:K,2,FALSE)</f>
        <v>Pemasangan 1 buah Floater Velve, Dia. 4" (100 mm)</v>
      </c>
      <c r="D2030" s="9" t="s">
        <v>44</v>
      </c>
      <c r="E2030" s="1021">
        <f>VLOOKUP(C2030,'Perpipaan dalam Gedung '!$D$2:$I$5226,6,FALSE)</f>
        <v>2207900</v>
      </c>
      <c r="F2030" s="1003">
        <f>VLOOKUP(C2030,'Perpipaan dalam Gedung '!$D$2:$J$5226,7,FALSE)</f>
        <v>0</v>
      </c>
      <c r="G2030" s="12">
        <f>VLOOKUP(C2030,'Perpipaan dalam Gedung '!$D$2:$K$5226,8,FALSE)</f>
        <v>0</v>
      </c>
      <c r="H2030" s="374"/>
      <c r="I2030" s="16"/>
    </row>
    <row r="2031" spans="1:9" ht="24" customHeight="1">
      <c r="B2031" s="1033" t="str">
        <f>'Perpipaan dalam Gedung '!C3062</f>
        <v>6.5.5.10</v>
      </c>
      <c r="C2031" s="39" t="str">
        <f>VLOOKUP(B2031,'Perpipaan dalam Gedung '!C:K,2,FALSE)</f>
        <v>Pemasangan 1 buah Floater Velve, Dia. 5" (125 mm)</v>
      </c>
      <c r="D2031" s="9" t="s">
        <v>44</v>
      </c>
      <c r="E2031" s="1021">
        <f>VLOOKUP(C2031,'Perpipaan dalam Gedung '!$D$2:$I$5226,6,FALSE)</f>
        <v>2484300</v>
      </c>
      <c r="F2031" s="1003">
        <f>VLOOKUP(C2031,'Perpipaan dalam Gedung '!$D$2:$J$5226,7,FALSE)</f>
        <v>0</v>
      </c>
      <c r="G2031" s="12">
        <f>VLOOKUP(C2031,'Perpipaan dalam Gedung '!$D$2:$K$5226,8,FALSE)</f>
        <v>0</v>
      </c>
      <c r="H2031" s="374"/>
      <c r="I2031" s="16"/>
    </row>
    <row r="2032" spans="1:9" ht="24" customHeight="1">
      <c r="B2032" s="1033" t="str">
        <f>'Perpipaan dalam Gedung '!C3079</f>
        <v>6.5.5.11</v>
      </c>
      <c r="C2032" s="39" t="str">
        <f>VLOOKUP(B2032,'Perpipaan dalam Gedung '!C:K,2,FALSE)</f>
        <v>Pemasangan 1 buah Floater Velve, Dia. 6" (150 mm)</v>
      </c>
      <c r="D2032" s="9" t="s">
        <v>44</v>
      </c>
      <c r="E2032" s="1021">
        <f>VLOOKUP(C2032,'Perpipaan dalam Gedung '!$D$2:$I$5226,6,FALSE)</f>
        <v>2860900</v>
      </c>
      <c r="F2032" s="1003">
        <f>VLOOKUP(C2032,'Perpipaan dalam Gedung '!$D$2:$J$5226,7,FALSE)</f>
        <v>0</v>
      </c>
      <c r="G2032" s="12">
        <f>VLOOKUP(C2032,'Perpipaan dalam Gedung '!$D$2:$K$5226,8,FALSE)</f>
        <v>0</v>
      </c>
      <c r="H2032" s="374"/>
      <c r="I2032" s="16"/>
    </row>
    <row r="2033" spans="1:9" ht="24" customHeight="1">
      <c r="B2033" s="1033" t="str">
        <f>'Perpipaan dalam Gedung '!C3096</f>
        <v>6.5.5.12</v>
      </c>
      <c r="C2033" s="39" t="str">
        <f>VLOOKUP(B2033,'Perpipaan dalam Gedung '!C:K,2,FALSE)</f>
        <v>Pemasangan 1 buah Floater Velve, Dia. 8" (200 mm)</v>
      </c>
      <c r="D2033" s="9" t="s">
        <v>44</v>
      </c>
      <c r="E2033" s="1021">
        <f>VLOOKUP(C2033,'Perpipaan dalam Gedung '!$D$2:$I$5226,6,FALSE)</f>
        <v>3299400</v>
      </c>
      <c r="F2033" s="1003">
        <f>VLOOKUP(C2033,'Perpipaan dalam Gedung '!$D$2:$J$5226,7,FALSE)</f>
        <v>0</v>
      </c>
      <c r="G2033" s="12">
        <f>VLOOKUP(C2033,'Perpipaan dalam Gedung '!$D$2:$K$5226,8,FALSE)</f>
        <v>0</v>
      </c>
      <c r="H2033" s="374"/>
      <c r="I2033" s="16"/>
    </row>
    <row r="2034" spans="1:9" ht="24" customHeight="1">
      <c r="B2034" s="1033" t="str">
        <f>'Perpipaan dalam Gedung '!C3114</f>
        <v>6.5.5.13</v>
      </c>
      <c r="C2034" s="39" t="str">
        <f>VLOOKUP(B2034,'Perpipaan dalam Gedung '!C:K,2,FALSE)</f>
        <v>Pemasangan 1 buah Floater Velve, Dia. 10" (250 mm)</v>
      </c>
      <c r="D2034" s="9" t="s">
        <v>44</v>
      </c>
      <c r="E2034" s="1021">
        <f>VLOOKUP(C2034,'Perpipaan dalam Gedung '!$D$2:$I$5226,6,FALSE)</f>
        <v>3666500</v>
      </c>
      <c r="F2034" s="1003">
        <f>VLOOKUP(C2034,'Perpipaan dalam Gedung '!$D$2:$J$5226,7,FALSE)</f>
        <v>0</v>
      </c>
      <c r="G2034" s="12">
        <f>VLOOKUP(C2034,'Perpipaan dalam Gedung '!$D$2:$K$5226,8,FALSE)</f>
        <v>0</v>
      </c>
      <c r="H2034" s="374"/>
      <c r="I2034" s="16"/>
    </row>
    <row r="2035" spans="1:9" ht="24" customHeight="1">
      <c r="B2035" s="1033" t="str">
        <f>'Perpipaan dalam Gedung '!C3131</f>
        <v>6.5.5.14</v>
      </c>
      <c r="C2035" s="39" t="str">
        <f>VLOOKUP(B2035,'Perpipaan dalam Gedung '!C:K,2,FALSE)</f>
        <v>Pemasangan 1 buah Floater Velve, Dia. 12" (300 mm)</v>
      </c>
      <c r="D2035" s="9" t="s">
        <v>44</v>
      </c>
      <c r="E2035" s="1021">
        <f>VLOOKUP(C2035,'Perpipaan dalam Gedung '!$D$2:$I$5226,6,FALSE)</f>
        <v>4290000</v>
      </c>
      <c r="F2035" s="1003">
        <f>VLOOKUP(C2035,'Perpipaan dalam Gedung '!$D$2:$J$5226,7,FALSE)</f>
        <v>0</v>
      </c>
      <c r="G2035" s="12">
        <f>VLOOKUP(C2035,'Perpipaan dalam Gedung '!$D$2:$K$5226,8,FALSE)</f>
        <v>0</v>
      </c>
      <c r="H2035" s="374"/>
      <c r="I2035" s="16"/>
    </row>
    <row r="2036" spans="1:9" s="1" customFormat="1" ht="24" customHeight="1">
      <c r="A2036" s="47"/>
      <c r="B2036" s="1041" t="str">
        <f>'Perpipaan dalam Gedung '!C3149</f>
        <v>6.5.6</v>
      </c>
      <c r="C2036" s="40" t="str">
        <f>VLOOKUP(B2036,'Perpipaan dalam Gedung '!C:K,2,FALSE)</f>
        <v xml:space="preserve">Foot Velve </v>
      </c>
      <c r="D2036" s="19"/>
      <c r="E2036" s="1021">
        <f>VLOOKUP(C2036,'Perpipaan dalam Gedung '!$D$2:$I$5226,6,FALSE)</f>
        <v>0</v>
      </c>
      <c r="F2036" s="1003">
        <f>VLOOKUP(C2036,'Perpipaan dalam Gedung '!$D$2:$J$5226,7,FALSE)</f>
        <v>0</v>
      </c>
      <c r="G2036" s="12">
        <f>VLOOKUP(C2036,'Perpipaan dalam Gedung '!$D$2:$K$5226,8,FALSE)</f>
        <v>0</v>
      </c>
      <c r="H2036" s="1092"/>
      <c r="I2036" s="21"/>
    </row>
    <row r="2037" spans="1:9" ht="24" customHeight="1">
      <c r="B2037" s="1033" t="str">
        <f>'Perpipaan dalam Gedung '!C3150</f>
        <v>6.5.6.1</v>
      </c>
      <c r="C2037" s="39" t="str">
        <f>VLOOKUP(B2037,'Perpipaan dalam Gedung '!C:K,2,FALSE)</f>
        <v>Pemasangan 1 buah Foot Velve, Dia 1/2" ( 15 mm)</v>
      </c>
      <c r="D2037" s="9" t="s">
        <v>44</v>
      </c>
      <c r="E2037" s="1021">
        <f>VLOOKUP(C2037,'Perpipaan dalam Gedung '!$D$2:$I$5226,6,FALSE)</f>
        <v>47700</v>
      </c>
      <c r="F2037" s="1003">
        <f>VLOOKUP(C2037,'Perpipaan dalam Gedung '!$D$2:$J$5226,7,FALSE)</f>
        <v>0</v>
      </c>
      <c r="G2037" s="12">
        <f>VLOOKUP(C2037,'Perpipaan dalam Gedung '!$D$2:$K$5226,8,FALSE)</f>
        <v>0</v>
      </c>
      <c r="H2037" s="374"/>
      <c r="I2037" s="16"/>
    </row>
    <row r="2038" spans="1:9" ht="24" customHeight="1">
      <c r="B2038" s="1033" t="str">
        <f>'Perpipaan dalam Gedung '!C3167</f>
        <v>6.5.6.2</v>
      </c>
      <c r="C2038" s="39" t="str">
        <f>VLOOKUP(B2038,'Perpipaan dalam Gedung '!C:K,2,FALSE)</f>
        <v>Pemasangan 1 buah Foot Velve, Dia 3/4" ( 20 mm)</v>
      </c>
      <c r="D2038" s="9" t="s">
        <v>44</v>
      </c>
      <c r="E2038" s="1021">
        <f>VLOOKUP(C2038,'Perpipaan dalam Gedung '!$D$2:$I$5226,6,FALSE)</f>
        <v>118700</v>
      </c>
      <c r="F2038" s="1003">
        <f>VLOOKUP(C2038,'Perpipaan dalam Gedung '!$D$2:$J$5226,7,FALSE)</f>
        <v>0</v>
      </c>
      <c r="G2038" s="12">
        <f>VLOOKUP(C2038,'Perpipaan dalam Gedung '!$D$2:$K$5226,8,FALSE)</f>
        <v>0</v>
      </c>
      <c r="H2038" s="374"/>
      <c r="I2038" s="16"/>
    </row>
    <row r="2039" spans="1:9" ht="24" customHeight="1">
      <c r="B2039" s="1033" t="str">
        <f>'Perpipaan dalam Gedung '!C3184</f>
        <v>6.5.6.3</v>
      </c>
      <c r="C2039" s="39" t="str">
        <f>VLOOKUP(B2039,'Perpipaan dalam Gedung '!C:K,2,FALSE)</f>
        <v>Pemasangan 1 buah Floater Velve, Dia 1" ( 25 mm)</v>
      </c>
      <c r="D2039" s="9" t="s">
        <v>44</v>
      </c>
      <c r="E2039" s="1021">
        <f>VLOOKUP(C2039,'Perpipaan dalam Gedung '!$D$2:$I$5226,6,FALSE)</f>
        <v>515500</v>
      </c>
      <c r="F2039" s="1003">
        <f>VLOOKUP(C2039,'Perpipaan dalam Gedung '!$D$2:$J$5226,7,FALSE)</f>
        <v>0</v>
      </c>
      <c r="G2039" s="12">
        <f>VLOOKUP(C2039,'Perpipaan dalam Gedung '!$D$2:$K$5226,8,FALSE)</f>
        <v>0</v>
      </c>
      <c r="H2039" s="374"/>
      <c r="I2039" s="16"/>
    </row>
    <row r="2040" spans="1:9" ht="24" customHeight="1">
      <c r="B2040" s="1033" t="str">
        <f>'Perpipaan dalam Gedung '!C3201</f>
        <v>6.5.5.4</v>
      </c>
      <c r="C2040" s="39" t="str">
        <f>VLOOKUP(B2040,'Perpipaan dalam Gedung '!C:K,2,FALSE)</f>
        <v>Pemasangan 1 buah Floater Velve Dia. 1-1/4 " (32 mm)</v>
      </c>
      <c r="D2040" s="9" t="s">
        <v>44</v>
      </c>
      <c r="E2040" s="1021">
        <f>VLOOKUP(C2040,'Perpipaan dalam Gedung '!$D$2:$I$5226,6,FALSE)</f>
        <v>664100</v>
      </c>
      <c r="F2040" s="1003">
        <f>VLOOKUP(C2040,'Perpipaan dalam Gedung '!$D$2:$J$5226,7,FALSE)</f>
        <v>0</v>
      </c>
      <c r="G2040" s="12">
        <f>VLOOKUP(C2040,'Perpipaan dalam Gedung '!$D$2:$K$5226,8,FALSE)</f>
        <v>0</v>
      </c>
      <c r="H2040" s="374"/>
      <c r="I2040" s="16"/>
    </row>
    <row r="2041" spans="1:9" ht="24" customHeight="1">
      <c r="B2041" s="1033" t="str">
        <f>'Perpipaan dalam Gedung '!C3219</f>
        <v>6.5.5.5</v>
      </c>
      <c r="C2041" s="39" t="str">
        <f>VLOOKUP(B2041,'Perpipaan dalam Gedung '!C:K,2,FALSE)</f>
        <v>Pemasangan 1 buah Floater Velve, Dia. 1-1/2 " (40 mm)</v>
      </c>
      <c r="D2041" s="9" t="s">
        <v>44</v>
      </c>
      <c r="E2041" s="1021">
        <f>VLOOKUP(C2041,'Perpipaan dalam Gedung '!$D$2:$I$5226,6,FALSE)</f>
        <v>858800</v>
      </c>
      <c r="F2041" s="1003">
        <f>VLOOKUP(C2041,'Perpipaan dalam Gedung '!$D$2:$J$5226,7,FALSE)</f>
        <v>0</v>
      </c>
      <c r="G2041" s="12">
        <f>VLOOKUP(C2041,'Perpipaan dalam Gedung '!$D$2:$K$5226,8,FALSE)</f>
        <v>0</v>
      </c>
      <c r="H2041" s="374"/>
      <c r="I2041" s="16"/>
    </row>
    <row r="2042" spans="1:9" ht="24" customHeight="1">
      <c r="B2042" s="1033" t="str">
        <f>'Perpipaan dalam Gedung '!C3236</f>
        <v>6.5.6.6</v>
      </c>
      <c r="C2042" s="39" t="str">
        <f>VLOOKUP(B2042,'Perpipaan dalam Gedung '!C:K,2,FALSE)</f>
        <v>Pemasangan 1 buah Foot Velve, Dia. 2 " (50 mm)</v>
      </c>
      <c r="D2042" s="9" t="s">
        <v>44</v>
      </c>
      <c r="E2042" s="1021">
        <f>VLOOKUP(C2042,'Perpipaan dalam Gedung '!$D$2:$I$5226,6,FALSE)</f>
        <v>500700</v>
      </c>
      <c r="F2042" s="1003">
        <f>VLOOKUP(C2042,'Perpipaan dalam Gedung '!$D$2:$J$5226,7,FALSE)</f>
        <v>0</v>
      </c>
      <c r="G2042" s="12">
        <f>VLOOKUP(C2042,'Perpipaan dalam Gedung '!$D$2:$K$5226,8,FALSE)</f>
        <v>0</v>
      </c>
      <c r="H2042" s="374"/>
      <c r="I2042" s="16"/>
    </row>
    <row r="2043" spans="1:9" ht="24" customHeight="1">
      <c r="B2043" s="1033" t="str">
        <f>'Perpipaan dalam Gedung '!C3253</f>
        <v>6.5.6.7</v>
      </c>
      <c r="C2043" s="39" t="str">
        <f>VLOOKUP(B2043,'Perpipaan dalam Gedung '!C:K,2,FALSE)</f>
        <v>Pemasangan 1 buah Foot Velve, Dia. 2-1/2 " (65 mm)</v>
      </c>
      <c r="D2043" s="9" t="s">
        <v>44</v>
      </c>
      <c r="E2043" s="1021">
        <f>VLOOKUP(C2043,'Perpipaan dalam Gedung '!$D$2:$I$5226,6,FALSE)</f>
        <v>542500</v>
      </c>
      <c r="F2043" s="1003">
        <f>VLOOKUP(C2043,'Perpipaan dalam Gedung '!$D$2:$J$5226,7,FALSE)</f>
        <v>0</v>
      </c>
      <c r="G2043" s="12">
        <f>VLOOKUP(C2043,'Perpipaan dalam Gedung '!$D$2:$K$5226,8,FALSE)</f>
        <v>0</v>
      </c>
      <c r="H2043" s="374"/>
      <c r="I2043" s="16"/>
    </row>
    <row r="2044" spans="1:9" ht="24" customHeight="1">
      <c r="B2044" s="1033" t="str">
        <f>'Perpipaan dalam Gedung '!C3270</f>
        <v>6.5.6.8</v>
      </c>
      <c r="C2044" s="39" t="str">
        <f>VLOOKUP(B2044,'Perpipaan dalam Gedung '!C:K,2,FALSE)</f>
        <v>Pemasangan 1 buah Foot Velve, Dia. 3 " (80 mm)</v>
      </c>
      <c r="D2044" s="9" t="s">
        <v>44</v>
      </c>
      <c r="E2044" s="1021">
        <f>VLOOKUP(C2044,'Perpipaan dalam Gedung '!$D$2:$I$5226,6,FALSE)</f>
        <v>1056800</v>
      </c>
      <c r="F2044" s="1003">
        <f>VLOOKUP(C2044,'Perpipaan dalam Gedung '!$D$2:$J$5226,7,FALSE)</f>
        <v>0</v>
      </c>
      <c r="G2044" s="12">
        <f>VLOOKUP(C2044,'Perpipaan dalam Gedung '!$D$2:$K$5226,8,FALSE)</f>
        <v>0</v>
      </c>
      <c r="H2044" s="374"/>
      <c r="I2044" s="16"/>
    </row>
    <row r="2045" spans="1:9" ht="24" customHeight="1">
      <c r="B2045" s="1033" t="str">
        <f>'Perpipaan dalam Gedung '!C3287</f>
        <v>6.5.6.9</v>
      </c>
      <c r="C2045" s="39" t="str">
        <f>VLOOKUP(B2045,'Perpipaan dalam Gedung '!C:K,2,FALSE)</f>
        <v>Pemasangan 1 buah Foot Velve, Dia. 4" (100 mm)</v>
      </c>
      <c r="D2045" s="9" t="s">
        <v>44</v>
      </c>
      <c r="E2045" s="1021">
        <f>VLOOKUP(C2045,'Perpipaan dalam Gedung '!$D$2:$I$5226,6,FALSE)</f>
        <v>1492900</v>
      </c>
      <c r="F2045" s="1003">
        <f>VLOOKUP(C2045,'Perpipaan dalam Gedung '!$D$2:$J$5226,7,FALSE)</f>
        <v>0</v>
      </c>
      <c r="G2045" s="12">
        <f>VLOOKUP(C2045,'Perpipaan dalam Gedung '!$D$2:$K$5226,8,FALSE)</f>
        <v>0</v>
      </c>
      <c r="H2045" s="374"/>
      <c r="I2045" s="16"/>
    </row>
    <row r="2046" spans="1:9" ht="24" customHeight="1">
      <c r="B2046" s="1033" t="str">
        <f>'Perpipaan dalam Gedung '!C3304</f>
        <v>6.5.6.10</v>
      </c>
      <c r="C2046" s="39" t="str">
        <f>VLOOKUP(B2046,'Perpipaan dalam Gedung '!C:K,2,FALSE)</f>
        <v>Pemasangan 1 buah Foot Velve, Dia. 5" (125 mm)</v>
      </c>
      <c r="D2046" s="9" t="s">
        <v>44</v>
      </c>
      <c r="E2046" s="1021">
        <f>VLOOKUP(C2046,'Perpipaan dalam Gedung '!$D$2:$I$5226,6,FALSE)</f>
        <v>1627000</v>
      </c>
      <c r="F2046" s="1003">
        <f>VLOOKUP(C2046,'Perpipaan dalam Gedung '!$D$2:$J$5226,7,FALSE)</f>
        <v>0</v>
      </c>
      <c r="G2046" s="12">
        <f>VLOOKUP(C2046,'Perpipaan dalam Gedung '!$D$2:$K$5226,8,FALSE)</f>
        <v>0</v>
      </c>
      <c r="H2046" s="374"/>
      <c r="I2046" s="16"/>
    </row>
    <row r="2047" spans="1:9" ht="24" customHeight="1">
      <c r="B2047" s="1033" t="str">
        <f>'Perpipaan dalam Gedung '!C3321</f>
        <v>6.5.6.11</v>
      </c>
      <c r="C2047" s="39" t="str">
        <f>VLOOKUP(B2047,'Perpipaan dalam Gedung '!C:K,2,FALSE)</f>
        <v>Pemasangan 1 buah Foot Velve, Dia. 6" (150 mm)</v>
      </c>
      <c r="D2047" s="9" t="s">
        <v>44</v>
      </c>
      <c r="E2047" s="1021">
        <f>VLOOKUP(C2047,'Perpipaan dalam Gedung '!$D$2:$I$5226,6,FALSE)</f>
        <v>1881400</v>
      </c>
      <c r="F2047" s="1003">
        <f>VLOOKUP(C2047,'Perpipaan dalam Gedung '!$D$2:$J$5226,7,FALSE)</f>
        <v>0</v>
      </c>
      <c r="G2047" s="12">
        <f>VLOOKUP(C2047,'Perpipaan dalam Gedung '!$D$2:$K$5226,8,FALSE)</f>
        <v>0</v>
      </c>
      <c r="H2047" s="374"/>
      <c r="I2047" s="16"/>
    </row>
    <row r="2048" spans="1:9" ht="24" customHeight="1">
      <c r="B2048" s="1033" t="str">
        <f>'Perpipaan dalam Gedung '!C3338</f>
        <v>6.5.6.12</v>
      </c>
      <c r="C2048" s="39" t="str">
        <f>VLOOKUP(B2048,'Perpipaan dalam Gedung '!C:K,2,FALSE)</f>
        <v>Pemasangan 1 buah Floater Velve, Dia. 8" (200 mm)</v>
      </c>
      <c r="D2048" s="9" t="s">
        <v>44</v>
      </c>
      <c r="E2048" s="1021">
        <f>VLOOKUP(C2048,'Perpipaan dalam Gedung '!$D$2:$I$5226,6,FALSE)</f>
        <v>3299400</v>
      </c>
      <c r="F2048" s="1003">
        <f>VLOOKUP(C2048,'Perpipaan dalam Gedung '!$D$2:$J$5226,7,FALSE)</f>
        <v>0</v>
      </c>
      <c r="G2048" s="12">
        <f>VLOOKUP(C2048,'Perpipaan dalam Gedung '!$D$2:$K$5226,8,FALSE)</f>
        <v>0</v>
      </c>
      <c r="H2048" s="374"/>
      <c r="I2048" s="16"/>
    </row>
    <row r="2049" spans="2:9" ht="24" customHeight="1">
      <c r="B2049" s="1033" t="str">
        <f>'Perpipaan dalam Gedung '!C3356</f>
        <v>6.5.6.13</v>
      </c>
      <c r="C2049" s="39" t="str">
        <f>VLOOKUP(B2049,'Perpipaan dalam Gedung '!C:K,2,FALSE)</f>
        <v>Pemasangan 1 buah Foot Velve, Dia. 10" (250 mm)</v>
      </c>
      <c r="D2049" s="9" t="s">
        <v>44</v>
      </c>
      <c r="E2049" s="1021">
        <f>VLOOKUP(C2049,'Perpipaan dalam Gedung '!$D$2:$I$5226,6,FALSE)</f>
        <v>2801400</v>
      </c>
      <c r="F2049" s="1003">
        <f>VLOOKUP(C2049,'Perpipaan dalam Gedung '!$D$2:$J$5226,7,FALSE)</f>
        <v>0</v>
      </c>
      <c r="G2049" s="12">
        <f>VLOOKUP(C2049,'Perpipaan dalam Gedung '!$D$2:$K$5226,8,FALSE)</f>
        <v>0</v>
      </c>
      <c r="H2049" s="374"/>
      <c r="I2049" s="16"/>
    </row>
    <row r="2050" spans="2:9" ht="24" customHeight="1">
      <c r="B2050" s="1033" t="str">
        <f>'Perpipaan dalam Gedung '!C3373</f>
        <v>6.5.6.14</v>
      </c>
      <c r="C2050" s="39" t="str">
        <f>VLOOKUP(B2050,'Perpipaan dalam Gedung '!C:K,2,FALSE)</f>
        <v>Pemasangan 1 buah Foot Velve, Dia. 12" (300 mm)</v>
      </c>
      <c r="D2050" s="9" t="s">
        <v>44</v>
      </c>
      <c r="E2050" s="1021">
        <f>VLOOKUP(C2050,'Perpipaan dalam Gedung '!$D$2:$I$5226,6,FALSE)</f>
        <v>3231800</v>
      </c>
      <c r="F2050" s="1003">
        <f>VLOOKUP(C2050,'Perpipaan dalam Gedung '!$D$2:$J$5226,7,FALSE)</f>
        <v>0</v>
      </c>
      <c r="G2050" s="12">
        <f>VLOOKUP(C2050,'Perpipaan dalam Gedung '!$D$2:$K$5226,8,FALSE)</f>
        <v>0</v>
      </c>
      <c r="H2050" s="374"/>
      <c r="I2050" s="16"/>
    </row>
    <row r="2051" spans="2:9" ht="24" customHeight="1">
      <c r="B2051" s="1033" t="str">
        <f>'Perpipaan dalam Gedung '!C3390</f>
        <v>6.5.6.15</v>
      </c>
      <c r="C2051" s="39" t="str">
        <f>VLOOKUP(B2051,'Perpipaan dalam Gedung '!C:K,2,FALSE)</f>
        <v>Pemasangan 1 buah Foot Velve, Dia. 14" (350 mm)</v>
      </c>
      <c r="D2051" s="9" t="s">
        <v>44</v>
      </c>
      <c r="E2051" s="1021">
        <f>VLOOKUP(C2051,'Perpipaan dalam Gedung '!$D$2:$I$5226,6,FALSE)</f>
        <v>3699800</v>
      </c>
      <c r="F2051" s="1003">
        <f>VLOOKUP(C2051,'Perpipaan dalam Gedung '!$D$2:$J$5226,7,FALSE)</f>
        <v>0</v>
      </c>
      <c r="G2051" s="12">
        <f>VLOOKUP(C2051,'Perpipaan dalam Gedung '!$D$2:$K$5226,8,FALSE)</f>
        <v>0</v>
      </c>
      <c r="H2051" s="374"/>
      <c r="I2051" s="16"/>
    </row>
    <row r="2052" spans="2:9" ht="24" customHeight="1">
      <c r="B2052" s="1041" t="str">
        <f>'Perpipaan dalam Gedung '!C3408</f>
        <v>6.5.7</v>
      </c>
      <c r="C2052" s="40" t="str">
        <f>VLOOKUP(B2052,'Perpipaan dalam Gedung '!C:K,2,FALSE)</f>
        <v xml:space="preserve">Flexible Joint </v>
      </c>
      <c r="D2052" s="9"/>
      <c r="E2052" s="1021">
        <f>VLOOKUP(C2052,'Perpipaan dalam Gedung '!$D$2:$I$5226,6,FALSE)</f>
        <v>0</v>
      </c>
      <c r="F2052" s="1003">
        <f>VLOOKUP(C2052,'Perpipaan dalam Gedung '!$D$2:$J$5226,7,FALSE)</f>
        <v>0</v>
      </c>
      <c r="G2052" s="12">
        <f>VLOOKUP(C2052,'Perpipaan dalam Gedung '!$D$2:$K$5226,8,FALSE)</f>
        <v>0</v>
      </c>
      <c r="H2052" s="374"/>
      <c r="I2052" s="16"/>
    </row>
    <row r="2053" spans="2:9" ht="24" customHeight="1">
      <c r="B2053" s="1033" t="str">
        <f>'Perpipaan dalam Gedung '!C3409</f>
        <v>6.5.7.1</v>
      </c>
      <c r="C2053" s="39" t="str">
        <f>VLOOKUP(B2053,'Perpipaan dalam Gedung '!C:K,2,FALSE)</f>
        <v>Pemasangan 1 buah Flexible Joint 10 K, Dia 1/2" ( 15 mm)</v>
      </c>
      <c r="D2053" s="9" t="s">
        <v>44</v>
      </c>
      <c r="E2053" s="1021">
        <f>VLOOKUP(C2053,'Perpipaan dalam Gedung '!$D$2:$I$5226,6,FALSE)</f>
        <v>63100</v>
      </c>
      <c r="F2053" s="1003">
        <f>VLOOKUP(C2053,'Perpipaan dalam Gedung '!$D$2:$J$5226,7,FALSE)</f>
        <v>0</v>
      </c>
      <c r="G2053" s="12">
        <f>VLOOKUP(C2053,'Perpipaan dalam Gedung '!$D$2:$K$5226,8,FALSE)</f>
        <v>0</v>
      </c>
      <c r="H2053" s="374"/>
      <c r="I2053" s="16"/>
    </row>
    <row r="2054" spans="2:9" ht="24" customHeight="1">
      <c r="B2054" s="1033" t="str">
        <f>'Perpipaan dalam Gedung '!C3426</f>
        <v>6.5.7.2</v>
      </c>
      <c r="C2054" s="39" t="str">
        <f>VLOOKUP(B2054,'Perpipaan dalam Gedung '!C:K,2,FALSE)</f>
        <v>Pemasangan 1 buah Flexible Joint 10 K, Dia 3/4" ( 20 mm)</v>
      </c>
      <c r="D2054" s="9" t="s">
        <v>44</v>
      </c>
      <c r="E2054" s="1021">
        <f>VLOOKUP(C2054,'Perpipaan dalam Gedung '!$D$2:$I$5226,6,FALSE)</f>
        <v>89800</v>
      </c>
      <c r="F2054" s="1003">
        <f>VLOOKUP(C2054,'Perpipaan dalam Gedung '!$D$2:$J$5226,7,FALSE)</f>
        <v>0</v>
      </c>
      <c r="G2054" s="12">
        <f>VLOOKUP(C2054,'Perpipaan dalam Gedung '!$D$2:$K$5226,8,FALSE)</f>
        <v>0</v>
      </c>
      <c r="H2054" s="374"/>
      <c r="I2054" s="16"/>
    </row>
    <row r="2055" spans="2:9" ht="24" customHeight="1">
      <c r="B2055" s="1033" t="str">
        <f>'Perpipaan dalam Gedung '!C3443</f>
        <v>6.5.7.3</v>
      </c>
      <c r="C2055" s="39" t="str">
        <f>VLOOKUP(B2055,'Perpipaan dalam Gedung '!C:K,2,FALSE)</f>
        <v>Pemasangan 1 buah Flexible Joint 10 K, Dia 1" ( 25 mm)</v>
      </c>
      <c r="D2055" s="9" t="s">
        <v>44</v>
      </c>
      <c r="E2055" s="1021">
        <f>VLOOKUP(C2055,'Perpipaan dalam Gedung '!$D$2:$I$5226,6,FALSE)</f>
        <v>151900</v>
      </c>
      <c r="F2055" s="1003">
        <f>VLOOKUP(C2055,'Perpipaan dalam Gedung '!$D$2:$J$5226,7,FALSE)</f>
        <v>0</v>
      </c>
      <c r="G2055" s="12">
        <f>VLOOKUP(C2055,'Perpipaan dalam Gedung '!$D$2:$K$5226,8,FALSE)</f>
        <v>0</v>
      </c>
      <c r="H2055" s="374"/>
      <c r="I2055" s="16"/>
    </row>
    <row r="2056" spans="2:9" ht="24" customHeight="1">
      <c r="B2056" s="1033" t="str">
        <f>'Perpipaan dalam Gedung '!C3460</f>
        <v>6.5.7.4</v>
      </c>
      <c r="C2056" s="39" t="str">
        <f>VLOOKUP(B2056,'Perpipaan dalam Gedung '!C:K,2,FALSE)</f>
        <v>Pemasangan 1 buah Flexible Joint 10 K, Dia. 1-1/4 " (32 mm)</v>
      </c>
      <c r="D2056" s="9" t="s">
        <v>44</v>
      </c>
      <c r="E2056" s="1021">
        <f>VLOOKUP(C2056,'Perpipaan dalam Gedung '!$D$2:$I$5226,6,FALSE)</f>
        <v>174300</v>
      </c>
      <c r="F2056" s="1003">
        <f>VLOOKUP(C2056,'Perpipaan dalam Gedung '!$D$2:$J$5226,7,FALSE)</f>
        <v>0</v>
      </c>
      <c r="G2056" s="12">
        <f>VLOOKUP(C2056,'Perpipaan dalam Gedung '!$D$2:$K$5226,8,FALSE)</f>
        <v>0</v>
      </c>
      <c r="H2056" s="374"/>
      <c r="I2056" s="16"/>
    </row>
    <row r="2057" spans="2:9" ht="24" customHeight="1">
      <c r="B2057" s="1033" t="str">
        <f>'Perpipaan dalam Gedung '!C3478</f>
        <v>6.5.7.5</v>
      </c>
      <c r="C2057" s="39" t="str">
        <f>VLOOKUP(B2057,'Perpipaan dalam Gedung '!C:K,2,FALSE)</f>
        <v>Pemasangan 1 buah Flexible Joint 10 K, Dia. 1-1/2 " (40 mm)</v>
      </c>
      <c r="D2057" s="9" t="s">
        <v>44</v>
      </c>
      <c r="E2057" s="1021">
        <f>VLOOKUP(C2057,'Perpipaan dalam Gedung '!$D$2:$I$5226,6,FALSE)</f>
        <v>195500</v>
      </c>
      <c r="F2057" s="1003">
        <f>VLOOKUP(C2057,'Perpipaan dalam Gedung '!$D$2:$J$5226,7,FALSE)</f>
        <v>0</v>
      </c>
      <c r="G2057" s="12">
        <f>VLOOKUP(C2057,'Perpipaan dalam Gedung '!$D$2:$K$5226,8,FALSE)</f>
        <v>0</v>
      </c>
      <c r="H2057" s="374"/>
      <c r="I2057" s="16"/>
    </row>
    <row r="2058" spans="2:9" ht="24" customHeight="1">
      <c r="B2058" s="1033" t="str">
        <f>'Perpipaan dalam Gedung '!C3495</f>
        <v>6.5.7.6</v>
      </c>
      <c r="C2058" s="39" t="str">
        <f>VLOOKUP(B2058,'Perpipaan dalam Gedung '!C:K,2,FALSE)</f>
        <v>Pemasangan 1 buah Flexible Joint (10, 20) K, Dia. 2 " (50 mm)</v>
      </c>
      <c r="D2058" s="9" t="s">
        <v>44</v>
      </c>
      <c r="E2058" s="1021">
        <f>VLOOKUP(C2058,'Perpipaan dalam Gedung '!$D$2:$I$5226,6,FALSE)</f>
        <v>254300</v>
      </c>
      <c r="F2058" s="1003">
        <f>VLOOKUP(C2058,'Perpipaan dalam Gedung '!$D$2:$J$5226,7,FALSE)</f>
        <v>0</v>
      </c>
      <c r="G2058" s="12">
        <f>VLOOKUP(C2058,'Perpipaan dalam Gedung '!$D$2:$K$5226,8,FALSE)</f>
        <v>0</v>
      </c>
      <c r="H2058" s="374"/>
      <c r="I2058" s="16"/>
    </row>
    <row r="2059" spans="2:9" ht="24" customHeight="1">
      <c r="B2059" s="1033" t="str">
        <f>'Perpipaan dalam Gedung '!C3512</f>
        <v>6.5.7.7</v>
      </c>
      <c r="C2059" s="39" t="str">
        <f>VLOOKUP(B2059,'Perpipaan dalam Gedung '!C:K,2,FALSE)</f>
        <v>Pemasangan 1 buah Flexible Joint (10, 20) K, Dia. 2-1/2 " (65 mm)</v>
      </c>
      <c r="D2059" s="9" t="s">
        <v>44</v>
      </c>
      <c r="E2059" s="1021">
        <f>VLOOKUP(C2059,'Perpipaan dalam Gedung '!$D$2:$I$5226,6,FALSE)</f>
        <v>302000</v>
      </c>
      <c r="F2059" s="1003">
        <f>VLOOKUP(C2059,'Perpipaan dalam Gedung '!$D$2:$J$5226,7,FALSE)</f>
        <v>0</v>
      </c>
      <c r="G2059" s="12">
        <f>VLOOKUP(C2059,'Perpipaan dalam Gedung '!$D$2:$K$5226,8,FALSE)</f>
        <v>0</v>
      </c>
      <c r="H2059" s="374"/>
      <c r="I2059" s="16"/>
    </row>
    <row r="2060" spans="2:9" ht="24" customHeight="1">
      <c r="B2060" s="1033" t="str">
        <f>'Perpipaan dalam Gedung '!C3529</f>
        <v>6.5.7.8</v>
      </c>
      <c r="C2060" s="39" t="str">
        <f>VLOOKUP(B2060,'Perpipaan dalam Gedung '!C:K,2,FALSE)</f>
        <v>Pemasangan 1 buah Flexible Joint (10, 20) K, Dia. 3 " (80 mm)</v>
      </c>
      <c r="D2060" s="9" t="s">
        <v>44</v>
      </c>
      <c r="E2060" s="1021">
        <f>VLOOKUP(C2060,'Perpipaan dalam Gedung '!$D$2:$I$5226,6,FALSE)</f>
        <v>422400</v>
      </c>
      <c r="F2060" s="1003">
        <f>VLOOKUP(C2060,'Perpipaan dalam Gedung '!$D$2:$J$5226,7,FALSE)</f>
        <v>0</v>
      </c>
      <c r="G2060" s="12">
        <f>VLOOKUP(C2060,'Perpipaan dalam Gedung '!$D$2:$K$5226,8,FALSE)</f>
        <v>0</v>
      </c>
      <c r="H2060" s="374"/>
      <c r="I2060" s="16"/>
    </row>
    <row r="2061" spans="2:9" ht="24" customHeight="1">
      <c r="B2061" s="1033" t="str">
        <f>'Perpipaan dalam Gedung '!C3546</f>
        <v>6.5.7.9</v>
      </c>
      <c r="C2061" s="39" t="str">
        <f>VLOOKUP(B2061,'Perpipaan dalam Gedung '!C:K,2,FALSE)</f>
        <v>Pemasangan 1 buah Flexible Joint (10, 20) K, Dia. 4" (100 mm)</v>
      </c>
      <c r="D2061" s="9" t="s">
        <v>44</v>
      </c>
      <c r="E2061" s="1021">
        <f>VLOOKUP(C2061,'Perpipaan dalam Gedung '!$D$2:$I$5226,6,FALSE)</f>
        <v>763600</v>
      </c>
      <c r="F2061" s="1003">
        <f>VLOOKUP(C2061,'Perpipaan dalam Gedung '!$D$2:$J$5226,7,FALSE)</f>
        <v>0</v>
      </c>
      <c r="G2061" s="12">
        <f>VLOOKUP(C2061,'Perpipaan dalam Gedung '!$D$2:$K$5226,8,FALSE)</f>
        <v>0</v>
      </c>
      <c r="H2061" s="374"/>
      <c r="I2061" s="16"/>
    </row>
    <row r="2062" spans="2:9" ht="24" customHeight="1">
      <c r="B2062" s="1033" t="str">
        <f>'Perpipaan dalam Gedung '!C3563</f>
        <v>6.5.7.10</v>
      </c>
      <c r="C2062" s="39" t="str">
        <f>VLOOKUP(B2062,'Perpipaan dalam Gedung '!C:K,2,FALSE)</f>
        <v>Pemasangan 1 buah Flexible Joint (10, 20) K, Dia. 5" (125 mm)</v>
      </c>
      <c r="D2062" s="9" t="s">
        <v>44</v>
      </c>
      <c r="E2062" s="1021">
        <f>VLOOKUP(C2062,'Perpipaan dalam Gedung '!$D$2:$I$5226,6,FALSE)</f>
        <v>1370200</v>
      </c>
      <c r="F2062" s="1003">
        <f>VLOOKUP(C2062,'Perpipaan dalam Gedung '!$D$2:$J$5226,7,FALSE)</f>
        <v>0</v>
      </c>
      <c r="G2062" s="12">
        <f>VLOOKUP(C2062,'Perpipaan dalam Gedung '!$D$2:$K$5226,8,FALSE)</f>
        <v>0</v>
      </c>
      <c r="H2062" s="374"/>
      <c r="I2062" s="16"/>
    </row>
    <row r="2063" spans="2:9" ht="24" customHeight="1">
      <c r="B2063" s="1033" t="str">
        <f>'Perpipaan dalam Gedung '!C3580</f>
        <v>6.5.7.11</v>
      </c>
      <c r="C2063" s="39" t="str">
        <f>VLOOKUP(B2063,'Perpipaan dalam Gedung '!C:K,2,FALSE)</f>
        <v>Pemasangan 1 buah Flexible Joint (10, 20) K, Dia. 6" (150 mm)</v>
      </c>
      <c r="D2063" s="9" t="s">
        <v>44</v>
      </c>
      <c r="E2063" s="1021">
        <f>VLOOKUP(C2063,'Perpipaan dalam Gedung '!$D$2:$I$5226,6,FALSE)</f>
        <v>1713300</v>
      </c>
      <c r="F2063" s="1003">
        <f>VLOOKUP(C2063,'Perpipaan dalam Gedung '!$D$2:$J$5226,7,FALSE)</f>
        <v>0</v>
      </c>
      <c r="G2063" s="12">
        <f>VLOOKUP(C2063,'Perpipaan dalam Gedung '!$D$2:$K$5226,8,FALSE)</f>
        <v>0</v>
      </c>
      <c r="H2063" s="374"/>
      <c r="I2063" s="16"/>
    </row>
    <row r="2064" spans="2:9" ht="24" customHeight="1">
      <c r="B2064" s="1033" t="str">
        <f>'Perpipaan dalam Gedung '!C3597</f>
        <v>6.5.7.12</v>
      </c>
      <c r="C2064" s="39" t="str">
        <f>VLOOKUP(B2064,'Perpipaan dalam Gedung '!C:K,2,FALSE)</f>
        <v>Pemasangan 1 buah Flexible Joint (10, 20) K, Dia. 8" (200 mm)</v>
      </c>
      <c r="D2064" s="9" t="s">
        <v>44</v>
      </c>
      <c r="E2064" s="1021">
        <f>VLOOKUP(C2064,'Perpipaan dalam Gedung '!$D$2:$I$5226,6,FALSE)</f>
        <v>1999400</v>
      </c>
      <c r="F2064" s="1003">
        <f>VLOOKUP(C2064,'Perpipaan dalam Gedung '!$D$2:$J$5226,7,FALSE)</f>
        <v>0</v>
      </c>
      <c r="G2064" s="12">
        <f>VLOOKUP(C2064,'Perpipaan dalam Gedung '!$D$2:$K$5226,8,FALSE)</f>
        <v>0</v>
      </c>
      <c r="H2064" s="374"/>
      <c r="I2064" s="16"/>
    </row>
    <row r="2065" spans="1:9" ht="24" customHeight="1">
      <c r="B2065" s="1033" t="str">
        <f>'Perpipaan dalam Gedung '!C3615</f>
        <v>6.5.7.13</v>
      </c>
      <c r="C2065" s="39" t="str">
        <f>VLOOKUP(B2065,'Perpipaan dalam Gedung '!C:K,2,FALSE)</f>
        <v>Pemasangan 1 buah Flexible Joint (10, 20) K, Dia. 10" (250 mm)</v>
      </c>
      <c r="D2065" s="9" t="s">
        <v>44</v>
      </c>
      <c r="E2065" s="1021">
        <f>VLOOKUP(C2065,'Perpipaan dalam Gedung '!$D$2:$I$5226,6,FALSE)</f>
        <v>2544000</v>
      </c>
      <c r="F2065" s="1003">
        <f>VLOOKUP(C2065,'Perpipaan dalam Gedung '!$D$2:$J$5226,7,FALSE)</f>
        <v>0</v>
      </c>
      <c r="G2065" s="12">
        <f>VLOOKUP(C2065,'Perpipaan dalam Gedung '!$D$2:$K$5226,8,FALSE)</f>
        <v>0</v>
      </c>
      <c r="H2065" s="374"/>
      <c r="I2065" s="16"/>
    </row>
    <row r="2066" spans="1:9" ht="24" customHeight="1">
      <c r="B2066" s="1033" t="str">
        <f>'Perpipaan dalam Gedung '!C3632</f>
        <v>6.5.7.14</v>
      </c>
      <c r="C2066" s="39" t="str">
        <f>VLOOKUP(B2066,'Perpipaan dalam Gedung '!C:K,2,FALSE)</f>
        <v>Pemasangan 1 buah Flexible Joint 10 K, Dia. 12" (300 mm)</v>
      </c>
      <c r="D2066" s="9" t="s">
        <v>44</v>
      </c>
      <c r="E2066" s="1021">
        <f>VLOOKUP(C2066,'Perpipaan dalam Gedung '!$D$2:$I$5226,6,FALSE)</f>
        <v>3050400</v>
      </c>
      <c r="F2066" s="1003">
        <f>VLOOKUP(C2066,'Perpipaan dalam Gedung '!$D$2:$J$5226,7,FALSE)</f>
        <v>0</v>
      </c>
      <c r="G2066" s="12">
        <f>VLOOKUP(C2066,'Perpipaan dalam Gedung '!$D$2:$K$5226,8,FALSE)</f>
        <v>0</v>
      </c>
      <c r="H2066" s="374"/>
      <c r="I2066" s="16"/>
    </row>
    <row r="2067" spans="1:9" ht="24" customHeight="1">
      <c r="B2067" s="1033" t="str">
        <f>'Perpipaan dalam Gedung '!C3649</f>
        <v>6.5.7.23</v>
      </c>
      <c r="C2067" s="39" t="str">
        <f>VLOOKUP(B2067,'Perpipaan dalam Gedung '!C:K,2,FALSE)</f>
        <v>Pemasangan 1 buah Flexible Joint 20 K, Dia. 12" (300 mm)</v>
      </c>
      <c r="D2067" s="9" t="s">
        <v>44</v>
      </c>
      <c r="E2067" s="1021">
        <f>VLOOKUP(C2067,'Perpipaan dalam Gedung '!$D$2:$I$5226,6,FALSE)</f>
        <v>3143100</v>
      </c>
      <c r="F2067" s="1003">
        <f>VLOOKUP(C2067,'Perpipaan dalam Gedung '!$D$2:$J$5226,7,FALSE)</f>
        <v>0</v>
      </c>
      <c r="G2067" s="12">
        <f>VLOOKUP(C2067,'Perpipaan dalam Gedung '!$D$2:$K$5226,8,FALSE)</f>
        <v>0</v>
      </c>
      <c r="H2067" s="374"/>
      <c r="I2067" s="16"/>
    </row>
    <row r="2068" spans="1:9" ht="24" customHeight="1">
      <c r="B2068" s="1033" t="str">
        <f>'Perpipaan dalam Gedung '!C3666</f>
        <v>6.5.7.24</v>
      </c>
      <c r="C2068" s="39" t="str">
        <f>VLOOKUP(B2068,'Perpipaan dalam Gedung '!C:K,2,FALSE)</f>
        <v>Pemasangan 1 buah Flexible Joint 20 K, Dia. 14" (350 mm)</v>
      </c>
      <c r="D2068" s="9" t="s">
        <v>44</v>
      </c>
      <c r="E2068" s="1021">
        <f>VLOOKUP(C2068,'Perpipaan dalam Gedung '!$D$2:$I$5226,6,FALSE)</f>
        <v>3649800</v>
      </c>
      <c r="F2068" s="1003">
        <f>VLOOKUP(C2068,'Perpipaan dalam Gedung '!$D$2:$J$5226,7,FALSE)</f>
        <v>0</v>
      </c>
      <c r="G2068" s="12">
        <f>VLOOKUP(C2068,'Perpipaan dalam Gedung '!$D$2:$K$5226,8,FALSE)</f>
        <v>0</v>
      </c>
      <c r="H2068" s="374"/>
      <c r="I2068" s="16"/>
    </row>
    <row r="2069" spans="1:9" s="1" customFormat="1" ht="24" customHeight="1">
      <c r="A2069" s="47"/>
      <c r="B2069" s="1041" t="str">
        <f>'Perpipaan dalam Gedung '!C3683</f>
        <v xml:space="preserve">6.5.8 </v>
      </c>
      <c r="C2069" s="40" t="str">
        <f>VLOOKUP(B2069,'Perpipaan dalam Gedung '!C:K,2,FALSE)</f>
        <v xml:space="preserve">Butterfly Velve </v>
      </c>
      <c r="D2069" s="9"/>
      <c r="E2069" s="1021">
        <f>VLOOKUP(C2069,'Perpipaan dalam Gedung '!$D$2:$I$5226,6,FALSE)</f>
        <v>0</v>
      </c>
      <c r="F2069" s="1003">
        <f>VLOOKUP(C2069,'Perpipaan dalam Gedung '!$D$2:$J$5226,7,FALSE)</f>
        <v>0</v>
      </c>
      <c r="G2069" s="12">
        <f>VLOOKUP(C2069,'Perpipaan dalam Gedung '!$D$2:$K$5226,8,FALSE)</f>
        <v>0</v>
      </c>
      <c r="H2069" s="1092"/>
      <c r="I2069" s="21"/>
    </row>
    <row r="2070" spans="1:9" ht="24" customHeight="1">
      <c r="B2070" s="1033" t="str">
        <f>'Perpipaan dalam Gedung '!C3684</f>
        <v>6.5.8.1</v>
      </c>
      <c r="C2070" s="39" t="str">
        <f>VLOOKUP(B2070,'Perpipaan dalam Gedung '!C:K,2,FALSE)</f>
        <v>Pemasangan 1 buah Butterfly Velve, Dia. 2" (50 mm)</v>
      </c>
      <c r="D2070" s="9" t="s">
        <v>44</v>
      </c>
      <c r="E2070" s="1021">
        <f>VLOOKUP(C2070,'Perpipaan dalam Gedung '!$D$2:$I$5226,6,FALSE)</f>
        <v>253800</v>
      </c>
      <c r="F2070" s="1003">
        <f>VLOOKUP(C2070,'Perpipaan dalam Gedung '!$D$2:$J$5226,7,FALSE)</f>
        <v>0</v>
      </c>
      <c r="G2070" s="12">
        <f>VLOOKUP(C2070,'Perpipaan dalam Gedung '!$D$2:$K$5226,8,FALSE)</f>
        <v>0</v>
      </c>
      <c r="H2070" s="374"/>
      <c r="I2070" s="16"/>
    </row>
    <row r="2071" spans="1:9" ht="24" customHeight="1">
      <c r="B2071" s="1033" t="str">
        <f>'Perpipaan dalam Gedung '!C3701</f>
        <v>6.5.8.2</v>
      </c>
      <c r="C2071" s="39" t="str">
        <f>VLOOKUP(B2071,'Perpipaan dalam Gedung '!C:K,2,FALSE)</f>
        <v>Pemasangan 1 buah Butterfly Velve, Dia. 2-1/2 " (65 mm)</v>
      </c>
      <c r="D2071" s="9" t="s">
        <v>44</v>
      </c>
      <c r="E2071" s="1021">
        <f>VLOOKUP(C2071,'Perpipaan dalam Gedung '!$D$2:$I$5226,6,FALSE)</f>
        <v>318200</v>
      </c>
      <c r="F2071" s="1003">
        <f>VLOOKUP(C2071,'Perpipaan dalam Gedung '!$D$2:$J$5226,7,FALSE)</f>
        <v>0</v>
      </c>
      <c r="G2071" s="12">
        <f>VLOOKUP(C2071,'Perpipaan dalam Gedung '!$D$2:$K$5226,8,FALSE)</f>
        <v>0</v>
      </c>
      <c r="H2071" s="374"/>
      <c r="I2071" s="16"/>
    </row>
    <row r="2072" spans="1:9" ht="24" customHeight="1">
      <c r="B2072" s="1033" t="str">
        <f>'Perpipaan dalam Gedung '!C3718</f>
        <v>6.5.8.3</v>
      </c>
      <c r="C2072" s="39" t="str">
        <f>VLOOKUP(B2072,'Perpipaan dalam Gedung '!C:K,2,FALSE)</f>
        <v>Pemasangan 1 buah Butterfly Velve, Dia. 3 " (80 mm)</v>
      </c>
      <c r="D2072" s="9" t="s">
        <v>44</v>
      </c>
      <c r="E2072" s="1021">
        <f>VLOOKUP(C2072,'Perpipaan dalam Gedung '!$D$2:$I$5226,6,FALSE)</f>
        <v>581100</v>
      </c>
      <c r="F2072" s="1003">
        <f>VLOOKUP(C2072,'Perpipaan dalam Gedung '!$D$2:$J$5226,7,FALSE)</f>
        <v>0</v>
      </c>
      <c r="G2072" s="12">
        <f>VLOOKUP(C2072,'Perpipaan dalam Gedung '!$D$2:$K$5226,8,FALSE)</f>
        <v>0</v>
      </c>
      <c r="H2072" s="374"/>
      <c r="I2072" s="16"/>
    </row>
    <row r="2073" spans="1:9" ht="24" customHeight="1">
      <c r="B2073" s="1033" t="str">
        <f>'Perpipaan dalam Gedung '!C3735</f>
        <v>6.5.8.4</v>
      </c>
      <c r="C2073" s="39" t="str">
        <f>VLOOKUP(B2073,'Perpipaan dalam Gedung '!C:K,2,FALSE)</f>
        <v>Pemasangan 1 buah Butterfly Velve, Dia. 4" (100 mm)</v>
      </c>
      <c r="D2073" s="9" t="s">
        <v>44</v>
      </c>
      <c r="E2073" s="1021">
        <f>VLOOKUP(C2073,'Perpipaan dalam Gedung '!$D$2:$I$5226,6,FALSE)</f>
        <v>683000</v>
      </c>
      <c r="F2073" s="1003">
        <f>VLOOKUP(C2073,'Perpipaan dalam Gedung '!$D$2:$J$5226,7,FALSE)</f>
        <v>0</v>
      </c>
      <c r="G2073" s="12">
        <f>VLOOKUP(C2073,'Perpipaan dalam Gedung '!$D$2:$K$5226,8,FALSE)</f>
        <v>0</v>
      </c>
      <c r="H2073" s="374"/>
      <c r="I2073" s="16"/>
    </row>
    <row r="2074" spans="1:9" ht="24" customHeight="1">
      <c r="B2074" s="1033" t="str">
        <f>'Perpipaan dalam Gedung '!C3752</f>
        <v>6.5.8.5</v>
      </c>
      <c r="C2074" s="39" t="str">
        <f>VLOOKUP(B2074,'Perpipaan dalam Gedung '!C:K,2,FALSE)</f>
        <v>Pemasangan 1 buah Buttefly Velve, Dia. 5" (125 mm)</v>
      </c>
      <c r="D2074" s="9" t="s">
        <v>44</v>
      </c>
      <c r="E2074" s="1021">
        <f>VLOOKUP(C2074,'Perpipaan dalam Gedung '!$D$2:$I$5226,6,FALSE)</f>
        <v>1047400</v>
      </c>
      <c r="F2074" s="1003">
        <f>VLOOKUP(C2074,'Perpipaan dalam Gedung '!$D$2:$J$5226,7,FALSE)</f>
        <v>0</v>
      </c>
      <c r="G2074" s="12">
        <f>VLOOKUP(C2074,'Perpipaan dalam Gedung '!$D$2:$K$5226,8,FALSE)</f>
        <v>0</v>
      </c>
      <c r="H2074" s="374"/>
      <c r="I2074" s="16"/>
    </row>
    <row r="2075" spans="1:9" ht="24" customHeight="1">
      <c r="B2075" s="1033" t="str">
        <f>'Perpipaan dalam Gedung '!C3769</f>
        <v>6.5.8.6</v>
      </c>
      <c r="C2075" s="39" t="str">
        <f>VLOOKUP(B2075,'Perpipaan dalam Gedung '!C:K,2,FALSE)</f>
        <v>Pemasangan 1 buah Butterfly Velve, Dia. 6" (150 mm)</v>
      </c>
      <c r="D2075" s="9" t="s">
        <v>44</v>
      </c>
      <c r="E2075" s="1021">
        <f>VLOOKUP(C2075,'Perpipaan dalam Gedung '!$D$2:$I$5226,6,FALSE)</f>
        <v>1558600</v>
      </c>
      <c r="F2075" s="1003">
        <f>VLOOKUP(C2075,'Perpipaan dalam Gedung '!$D$2:$J$5226,7,FALSE)</f>
        <v>0</v>
      </c>
      <c r="G2075" s="12">
        <f>VLOOKUP(C2075,'Perpipaan dalam Gedung '!$D$2:$K$5226,8,FALSE)</f>
        <v>0</v>
      </c>
      <c r="H2075" s="374"/>
      <c r="I2075" s="16"/>
    </row>
    <row r="2076" spans="1:9" ht="24" customHeight="1">
      <c r="B2076" s="1033" t="str">
        <f>'Perpipaan dalam Gedung '!C3786</f>
        <v>6.5.8.7</v>
      </c>
      <c r="C2076" s="39" t="str">
        <f>VLOOKUP(B2076,'Perpipaan dalam Gedung '!C:K,2,FALSE)</f>
        <v>Pemasangan 1 buah Butterfly Velve, Dia. 8" (200 mm)</v>
      </c>
      <c r="D2076" s="9" t="s">
        <v>44</v>
      </c>
      <c r="E2076" s="1021">
        <f>VLOOKUP(C2076,'Perpipaan dalam Gedung '!$D$2:$I$5226,6,FALSE)</f>
        <v>2447800</v>
      </c>
      <c r="F2076" s="1003">
        <f>VLOOKUP(C2076,'Perpipaan dalam Gedung '!$D$2:$J$5226,7,FALSE)</f>
        <v>0</v>
      </c>
      <c r="G2076" s="12">
        <f>VLOOKUP(C2076,'Perpipaan dalam Gedung '!$D$2:$K$5226,8,FALSE)</f>
        <v>0</v>
      </c>
      <c r="H2076" s="374"/>
      <c r="I2076" s="16"/>
    </row>
    <row r="2077" spans="1:9" ht="24" customHeight="1">
      <c r="B2077" s="1033" t="str">
        <f>'Perpipaan dalam Gedung '!C3804</f>
        <v>6.5.8.8</v>
      </c>
      <c r="C2077" s="39" t="str">
        <f>VLOOKUP(B2077,'Perpipaan dalam Gedung '!C:K,2,FALSE)</f>
        <v>Pemasangan 1 buah Butterfly Velve, Dia. 10" (250 mm)</v>
      </c>
      <c r="D2077" s="9" t="s">
        <v>44</v>
      </c>
      <c r="E2077" s="1021">
        <f>VLOOKUP(C2077,'Perpipaan dalam Gedung '!$D$2:$I$5226,6,FALSE)</f>
        <v>3207400</v>
      </c>
      <c r="F2077" s="1003">
        <f>VLOOKUP(C2077,'Perpipaan dalam Gedung '!$D$2:$J$5226,7,FALSE)</f>
        <v>0</v>
      </c>
      <c r="G2077" s="12">
        <f>VLOOKUP(C2077,'Perpipaan dalam Gedung '!$D$2:$K$5226,8,FALSE)</f>
        <v>0</v>
      </c>
      <c r="H2077" s="374"/>
      <c r="I2077" s="16"/>
    </row>
    <row r="2078" spans="1:9" ht="24" customHeight="1">
      <c r="B2078" s="1033" t="str">
        <f>'Perpipaan dalam Gedung '!C3821</f>
        <v>6.5.8.9</v>
      </c>
      <c r="C2078" s="39" t="str">
        <f>VLOOKUP(B2078,'Perpipaan dalam Gedung '!C:K,2,FALSE)</f>
        <v>Pemasangan 1 buah Butterfly Velve, Dia. 12" (300 mm)</v>
      </c>
      <c r="D2078" s="9" t="s">
        <v>44</v>
      </c>
      <c r="E2078" s="1021">
        <f>VLOOKUP(C2078,'Perpipaan dalam Gedung '!$D$2:$I$5226,6,FALSE)</f>
        <v>3755100</v>
      </c>
      <c r="F2078" s="1003">
        <f>VLOOKUP(C2078,'Perpipaan dalam Gedung '!$D$2:$J$5226,7,FALSE)</f>
        <v>0</v>
      </c>
      <c r="G2078" s="12">
        <f>VLOOKUP(C2078,'Perpipaan dalam Gedung '!$D$2:$K$5226,8,FALSE)</f>
        <v>0</v>
      </c>
      <c r="H2078" s="374"/>
      <c r="I2078" s="16"/>
    </row>
    <row r="2079" spans="1:9" ht="24" customHeight="1">
      <c r="B2079" s="1033" t="str">
        <f>'Perpipaan dalam Gedung '!C3838</f>
        <v>6.5.8.10</v>
      </c>
      <c r="C2079" s="39" t="str">
        <f>VLOOKUP(B2079,'Perpipaan dalam Gedung '!C:K,2,FALSE)</f>
        <v>Pemasangan 1 buah Butterfly Velve, Dia. 12" (300 mm)</v>
      </c>
      <c r="D2079" s="9" t="s">
        <v>44</v>
      </c>
      <c r="E2079" s="1021">
        <f>VLOOKUP(C2079,'Perpipaan dalam Gedung '!$D$2:$I$5226,6,FALSE)</f>
        <v>3755100</v>
      </c>
      <c r="F2079" s="1003">
        <f>VLOOKUP(C2079,'Perpipaan dalam Gedung '!$D$2:$J$5226,7,FALSE)</f>
        <v>0</v>
      </c>
      <c r="G2079" s="12">
        <f>VLOOKUP(C2079,'Perpipaan dalam Gedung '!$D$2:$K$5226,8,FALSE)</f>
        <v>0</v>
      </c>
      <c r="H2079" s="374"/>
      <c r="I2079" s="16"/>
    </row>
    <row r="2080" spans="1:9" s="1" customFormat="1" ht="24" customHeight="1">
      <c r="A2080" s="47"/>
      <c r="B2080" s="1041" t="str">
        <f>'Perpipaan dalam Gedung '!C3855</f>
        <v>6.5.9</v>
      </c>
      <c r="C2080" s="40" t="str">
        <f>VLOOKUP(B2080,'Perpipaan dalam Gedung '!C:K,2,FALSE)</f>
        <v>Globe Velve</v>
      </c>
      <c r="D2080" s="19"/>
      <c r="E2080" s="1021">
        <f>VLOOKUP(C2080,'Perpipaan dalam Gedung '!$D$2:$I$5226,6,FALSE)</f>
        <v>0</v>
      </c>
      <c r="F2080" s="1003">
        <f>VLOOKUP(C2080,'Perpipaan dalam Gedung '!$D$2:$J$5226,7,FALSE)</f>
        <v>0</v>
      </c>
      <c r="G2080" s="12">
        <f>VLOOKUP(C2080,'Perpipaan dalam Gedung '!$D$2:$K$5226,8,FALSE)</f>
        <v>0</v>
      </c>
      <c r="H2080" s="1092"/>
      <c r="I2080" s="21"/>
    </row>
    <row r="2081" spans="1:9" ht="24" customHeight="1">
      <c r="B2081" s="1033" t="str">
        <f>'Perpipaan dalam Gedung '!C3856</f>
        <v>6.5.9.1</v>
      </c>
      <c r="C2081" s="39" t="str">
        <f>VLOOKUP(B2081,'Perpipaan dalam Gedung '!C:K,2,FALSE)</f>
        <v>Pemasangan 1 buah Globe Velve, Dia. 1/2" (15 mm)</v>
      </c>
      <c r="D2081" s="9" t="s">
        <v>44</v>
      </c>
      <c r="E2081" s="1021">
        <f>VLOOKUP(C2081,'Perpipaan dalam Gedung '!$D$2:$I$5226,6,FALSE)</f>
        <v>152800</v>
      </c>
      <c r="F2081" s="1003">
        <f>VLOOKUP(C2081,'Perpipaan dalam Gedung '!$D$2:$J$5226,7,FALSE)</f>
        <v>0</v>
      </c>
      <c r="G2081" s="12">
        <f>VLOOKUP(C2081,'Perpipaan dalam Gedung '!$D$2:$K$5226,8,FALSE)</f>
        <v>0</v>
      </c>
      <c r="H2081" s="374"/>
      <c r="I2081" s="16"/>
    </row>
    <row r="2082" spans="1:9" ht="24" customHeight="1">
      <c r="B2082" s="1033" t="str">
        <f>'Perpipaan dalam Gedung '!C3873</f>
        <v>6.5.9.2</v>
      </c>
      <c r="C2082" s="39" t="str">
        <f>VLOOKUP(B2082,'Perpipaan dalam Gedung '!C:K,2,FALSE)</f>
        <v>Pemasangan 1 buah Globe Velve, Dia 3/4" ( 20 mm)</v>
      </c>
      <c r="D2082" s="9" t="s">
        <v>44</v>
      </c>
      <c r="E2082" s="1021">
        <f>VLOOKUP(C2082,'Perpipaan dalam Gedung '!$D$2:$I$5226,6,FALSE)</f>
        <v>180200</v>
      </c>
      <c r="F2082" s="1003">
        <f>VLOOKUP(C2082,'Perpipaan dalam Gedung '!$D$2:$J$5226,7,FALSE)</f>
        <v>0</v>
      </c>
      <c r="G2082" s="12">
        <f>VLOOKUP(C2082,'Perpipaan dalam Gedung '!$D$2:$K$5226,8,FALSE)</f>
        <v>0</v>
      </c>
      <c r="H2082" s="374"/>
      <c r="I2082" s="16"/>
    </row>
    <row r="2083" spans="1:9" ht="24" customHeight="1">
      <c r="B2083" s="1033" t="str">
        <f>'Perpipaan dalam Gedung '!C3890</f>
        <v>6.5.9.3</v>
      </c>
      <c r="C2083" s="39" t="str">
        <f>VLOOKUP(B2083,'Perpipaan dalam Gedung '!C:K,2,FALSE)</f>
        <v>Pemasangan 1 buah Globe Velve, Dia 1" ( 25 mm)</v>
      </c>
      <c r="D2083" s="9" t="s">
        <v>44</v>
      </c>
      <c r="E2083" s="1021">
        <f>VLOOKUP(C2083,'Perpipaan dalam Gedung '!$D$2:$I$5226,6,FALSE)</f>
        <v>218900</v>
      </c>
      <c r="F2083" s="1003">
        <f>VLOOKUP(C2083,'Perpipaan dalam Gedung '!$D$2:$J$5226,7,FALSE)</f>
        <v>0</v>
      </c>
      <c r="G2083" s="12">
        <f>VLOOKUP(C2083,'Perpipaan dalam Gedung '!$D$2:$K$5226,8,FALSE)</f>
        <v>0</v>
      </c>
      <c r="H2083" s="374"/>
      <c r="I2083" s="16"/>
    </row>
    <row r="2084" spans="1:9" ht="24" customHeight="1">
      <c r="B2084" s="1033" t="str">
        <f>'Perpipaan dalam Gedung '!C3907</f>
        <v>6.5.9.4</v>
      </c>
      <c r="C2084" s="39" t="str">
        <f>VLOOKUP(B2084,'Perpipaan dalam Gedung '!C:K,2,FALSE)</f>
        <v>Pemasangan 1 buah Globe Velve, Dia. 1-1/4 " (32 mm)</v>
      </c>
      <c r="D2084" s="9" t="s">
        <v>44</v>
      </c>
      <c r="E2084" s="1021">
        <f>VLOOKUP(C2084,'Perpipaan dalam Gedung '!$D$2:$I$5226,6,FALSE)</f>
        <v>290800</v>
      </c>
      <c r="F2084" s="1003">
        <f>VLOOKUP(C2084,'Perpipaan dalam Gedung '!$D$2:$J$5226,7,FALSE)</f>
        <v>0</v>
      </c>
      <c r="G2084" s="12">
        <f>VLOOKUP(C2084,'Perpipaan dalam Gedung '!$D$2:$K$5226,8,FALSE)</f>
        <v>0</v>
      </c>
      <c r="H2084" s="374"/>
      <c r="I2084" s="16"/>
    </row>
    <row r="2085" spans="1:9" ht="24" customHeight="1">
      <c r="B2085" s="1033" t="str">
        <f>'Perpipaan dalam Gedung '!C3925</f>
        <v>6.5.9.5</v>
      </c>
      <c r="C2085" s="39" t="str">
        <f>VLOOKUP(B2085,'Perpipaan dalam Gedung '!C:K,2,FALSE)</f>
        <v>Pemasangan 1 buah Globe Velve, Dia. 1-1/2 " (40 mm)</v>
      </c>
      <c r="D2085" s="9" t="s">
        <v>44</v>
      </c>
      <c r="E2085" s="1021">
        <f>VLOOKUP(C2085,'Perpipaan dalam Gedung '!$D$2:$I$5226,6,FALSE)</f>
        <v>381700</v>
      </c>
      <c r="F2085" s="1003">
        <f>VLOOKUP(C2085,'Perpipaan dalam Gedung '!$D$2:$J$5226,7,FALSE)</f>
        <v>0</v>
      </c>
      <c r="G2085" s="12">
        <f>VLOOKUP(C2085,'Perpipaan dalam Gedung '!$D$2:$K$5226,8,FALSE)</f>
        <v>0</v>
      </c>
      <c r="H2085" s="374"/>
      <c r="I2085" s="16"/>
    </row>
    <row r="2086" spans="1:9" ht="24" customHeight="1">
      <c r="B2086" s="1033" t="str">
        <f>'Perpipaan dalam Gedung '!C3942</f>
        <v>6.5.9.6</v>
      </c>
      <c r="C2086" s="39" t="str">
        <f>VLOOKUP(B2086,'Perpipaan dalam Gedung '!C:K,2,FALSE)</f>
        <v>Pemasangan 1 buah Globe Velve, Dia. 2 " (50 mm)</v>
      </c>
      <c r="D2086" s="9" t="s">
        <v>44</v>
      </c>
      <c r="E2086" s="1021">
        <f>VLOOKUP(C2086,'Perpipaan dalam Gedung '!$D$2:$I$5226,6,FALSE)</f>
        <v>1304000</v>
      </c>
      <c r="F2086" s="1003">
        <f>VLOOKUP(C2086,'Perpipaan dalam Gedung '!$D$2:$J$5226,7,FALSE)</f>
        <v>0</v>
      </c>
      <c r="G2086" s="12">
        <f>VLOOKUP(C2086,'Perpipaan dalam Gedung '!$D$2:$K$5226,8,FALSE)</f>
        <v>0</v>
      </c>
      <c r="H2086" s="374"/>
      <c r="I2086" s="16"/>
    </row>
    <row r="2087" spans="1:9" ht="24" customHeight="1">
      <c r="B2087" s="1033" t="str">
        <f>'Perpipaan dalam Gedung '!C3959</f>
        <v>6.5.9.7</v>
      </c>
      <c r="C2087" s="39" t="str">
        <f>VLOOKUP(B2087,'Perpipaan dalam Gedung '!C:K,2,FALSE)</f>
        <v>Pemasangan 1 buah Globe Velve, Dia. 2-1/2 " (65 mm)</v>
      </c>
      <c r="D2087" s="9" t="s">
        <v>44</v>
      </c>
      <c r="E2087" s="1021">
        <f>VLOOKUP(C2087,'Perpipaan dalam Gedung '!$D$2:$I$5226,6,FALSE)</f>
        <v>1638300</v>
      </c>
      <c r="F2087" s="1003">
        <f>VLOOKUP(C2087,'Perpipaan dalam Gedung '!$D$2:$J$5226,7,FALSE)</f>
        <v>0</v>
      </c>
      <c r="G2087" s="12">
        <f>VLOOKUP(C2087,'Perpipaan dalam Gedung '!$D$2:$K$5226,8,FALSE)</f>
        <v>0</v>
      </c>
      <c r="H2087" s="374"/>
      <c r="I2087" s="16"/>
    </row>
    <row r="2088" spans="1:9" ht="24" customHeight="1">
      <c r="B2088" s="1033" t="str">
        <f>'Perpipaan dalam Gedung '!C3976</f>
        <v>6.5.9.8</v>
      </c>
      <c r="C2088" s="39" t="str">
        <f>VLOOKUP(B2088,'Perpipaan dalam Gedung '!C:K,2,FALSE)</f>
        <v>Pemasangan 1 buah Globe Velve, Dia. 3 " (80 mm)</v>
      </c>
      <c r="D2088" s="9" t="s">
        <v>44</v>
      </c>
      <c r="E2088" s="1021">
        <f>VLOOKUP(C2088,'Perpipaan dalam Gedung '!$D$2:$I$5226,6,FALSE)</f>
        <v>2435400</v>
      </c>
      <c r="F2088" s="1003">
        <f>VLOOKUP(C2088,'Perpipaan dalam Gedung '!$D$2:$J$5226,7,FALSE)</f>
        <v>0</v>
      </c>
      <c r="G2088" s="12">
        <f>VLOOKUP(C2088,'Perpipaan dalam Gedung '!$D$2:$K$5226,8,FALSE)</f>
        <v>0</v>
      </c>
      <c r="H2088" s="374"/>
      <c r="I2088" s="16"/>
    </row>
    <row r="2089" spans="1:9" ht="24" customHeight="1">
      <c r="B2089" s="1033" t="str">
        <f>'Perpipaan dalam Gedung '!C3993</f>
        <v>6.5.9.9</v>
      </c>
      <c r="C2089" s="39" t="str">
        <f>VLOOKUP(B2089,'Perpipaan dalam Gedung '!C:K,2,FALSE)</f>
        <v>Pemasangan 1 buah Flexible Joint (10, 20) K, Dia. 4" (100 mm)</v>
      </c>
      <c r="D2089" s="9" t="s">
        <v>44</v>
      </c>
      <c r="E2089" s="1021">
        <f>VLOOKUP(C2089,'Perpipaan dalam Gedung '!$D$2:$I$5226,6,FALSE)</f>
        <v>763600</v>
      </c>
      <c r="F2089" s="1003">
        <f>VLOOKUP(C2089,'Perpipaan dalam Gedung '!$D$2:$J$5226,7,FALSE)</f>
        <v>0</v>
      </c>
      <c r="G2089" s="12">
        <f>VLOOKUP(C2089,'Perpipaan dalam Gedung '!$D$2:$K$5226,8,FALSE)</f>
        <v>0</v>
      </c>
      <c r="H2089" s="374"/>
      <c r="I2089" s="16"/>
    </row>
    <row r="2090" spans="1:9" ht="24" customHeight="1">
      <c r="B2090" s="1033" t="str">
        <f>'Perpipaan dalam Gedung '!C4010</f>
        <v>6.5.9.10</v>
      </c>
      <c r="C2090" s="39" t="str">
        <f>VLOOKUP(B2090,'Perpipaan dalam Gedung '!C:K,2,FALSE)</f>
        <v>Pemasangan 1 buah Flexible Joint (10, 20) K, Dia. 5" (125 mm)</v>
      </c>
      <c r="D2090" s="9" t="s">
        <v>44</v>
      </c>
      <c r="E2090" s="1021">
        <f>VLOOKUP(C2090,'Perpipaan dalam Gedung '!$D$2:$I$5226,6,FALSE)</f>
        <v>1370200</v>
      </c>
      <c r="F2090" s="1003">
        <f>VLOOKUP(C2090,'Perpipaan dalam Gedung '!$D$2:$J$5226,7,FALSE)</f>
        <v>0</v>
      </c>
      <c r="G2090" s="12">
        <f>VLOOKUP(C2090,'Perpipaan dalam Gedung '!$D$2:$K$5226,8,FALSE)</f>
        <v>0</v>
      </c>
      <c r="H2090" s="374"/>
      <c r="I2090" s="16"/>
    </row>
    <row r="2091" spans="1:9" ht="24" customHeight="1">
      <c r="B2091" s="1033" t="str">
        <f>'Perpipaan dalam Gedung '!C4027</f>
        <v>6.5.9.11</v>
      </c>
      <c r="C2091" s="39" t="str">
        <f>VLOOKUP(B2091,'Perpipaan dalam Gedung '!C:K,2,FALSE)</f>
        <v>Pemasangan 1 buah Globe Velve, Dia. 6" (150 mm)</v>
      </c>
      <c r="D2091" s="9" t="s">
        <v>44</v>
      </c>
      <c r="E2091" s="1021">
        <f>VLOOKUP(C2091,'Perpipaan dalam Gedung '!$D$2:$I$5226,6,FALSE)</f>
        <v>7517000</v>
      </c>
      <c r="F2091" s="1003">
        <f>VLOOKUP(C2091,'Perpipaan dalam Gedung '!$D$2:$J$5226,7,FALSE)</f>
        <v>0</v>
      </c>
      <c r="G2091" s="12">
        <f>VLOOKUP(C2091,'Perpipaan dalam Gedung '!$D$2:$K$5226,8,FALSE)</f>
        <v>0</v>
      </c>
      <c r="H2091" s="374"/>
      <c r="I2091" s="16"/>
    </row>
    <row r="2092" spans="1:9" ht="24" customHeight="1">
      <c r="B2092" s="1033" t="str">
        <f>'Perpipaan dalam Gedung '!C4044</f>
        <v>6.5.9.12</v>
      </c>
      <c r="C2092" s="39" t="str">
        <f>VLOOKUP(B2092,'Perpipaan dalam Gedung '!C:K,2,FALSE)</f>
        <v>Pemasangan 1 buah Globe Velve, Dia. 8" (200 mm)</v>
      </c>
      <c r="D2092" s="9" t="s">
        <v>44</v>
      </c>
      <c r="E2092" s="1021">
        <f>VLOOKUP(C2092,'Perpipaan dalam Gedung '!$D$2:$I$5226,6,FALSE)</f>
        <v>8704800</v>
      </c>
      <c r="F2092" s="1003">
        <f>VLOOKUP(C2092,'Perpipaan dalam Gedung '!$D$2:$J$5226,7,FALSE)</f>
        <v>0</v>
      </c>
      <c r="G2092" s="12">
        <f>VLOOKUP(C2092,'Perpipaan dalam Gedung '!$D$2:$K$5226,8,FALSE)</f>
        <v>0</v>
      </c>
      <c r="H2092" s="374"/>
      <c r="I2092" s="16"/>
    </row>
    <row r="2093" spans="1:9" s="1" customFormat="1" ht="24" customHeight="1">
      <c r="A2093" s="47"/>
      <c r="B2093" s="1041" t="str">
        <f>'Perpipaan dalam Gedung '!C4061</f>
        <v>6.5.10</v>
      </c>
      <c r="C2093" s="40" t="str">
        <f>VLOOKUP(B2093,'Perpipaan dalam Gedung '!C:K,2,FALSE)</f>
        <v xml:space="preserve">Pressure Gauge </v>
      </c>
      <c r="D2093" s="19"/>
      <c r="E2093" s="1021">
        <f>VLOOKUP(C2093,'Perpipaan dalam Gedung '!$D$2:$I$5226,6,FALSE)</f>
        <v>0</v>
      </c>
      <c r="F2093" s="1003">
        <f>VLOOKUP(C2093,'Perpipaan dalam Gedung '!$D$2:$J$5226,7,FALSE)</f>
        <v>0</v>
      </c>
      <c r="G2093" s="12">
        <f>VLOOKUP(C2093,'Perpipaan dalam Gedung '!$D$2:$K$5226,8,FALSE)</f>
        <v>0</v>
      </c>
      <c r="H2093" s="1092"/>
      <c r="I2093" s="21"/>
    </row>
    <row r="2094" spans="1:9" ht="24" customHeight="1">
      <c r="B2094" s="1033" t="str">
        <f>'Perpipaan dalam Gedung '!C4062</f>
        <v>6.5.10.1</v>
      </c>
      <c r="C2094" s="39" t="str">
        <f>VLOOKUP(B2094,'Perpipaan dalam Gedung '!C:K,2,FALSE)</f>
        <v>Pemasangan 1 buah Pressure Gauge (16,25, 40) K + Gate Velve, Dia. 1/2" (15 mm)</v>
      </c>
      <c r="D2094" s="9" t="s">
        <v>44</v>
      </c>
      <c r="E2094" s="1021">
        <f>VLOOKUP(C2094,'Perpipaan dalam Gedung '!$D$2:$I$5226,6,FALSE)</f>
        <v>1744000</v>
      </c>
      <c r="F2094" s="1003">
        <f>VLOOKUP(C2094,'Perpipaan dalam Gedung '!$D$2:$J$5226,7,FALSE)</f>
        <v>0</v>
      </c>
      <c r="G2094" s="12">
        <f>VLOOKUP(C2094,'Perpipaan dalam Gedung '!$D$2:$K$5226,8,FALSE)</f>
        <v>0</v>
      </c>
      <c r="H2094" s="374"/>
      <c r="I2094" s="16"/>
    </row>
    <row r="2095" spans="1:9" ht="24" customHeight="1">
      <c r="B2095" s="1033" t="str">
        <f>'Perpipaan dalam Gedung '!C4080</f>
        <v>6.5.10.2</v>
      </c>
      <c r="C2095" s="39" t="str">
        <f>VLOOKUP(B2095,'Perpipaan dalam Gedung '!C:K,2,FALSE)</f>
        <v>Pemasangan 1 buah Pressure Gauge (16, 25, 40) K + Gate Valve, Dia 1" ( 25 mm)</v>
      </c>
      <c r="D2095" s="9" t="s">
        <v>44</v>
      </c>
      <c r="E2095" s="1021">
        <f>VLOOKUP(C2095,'Perpipaan dalam Gedung '!$D$2:$I$5226,6,FALSE)</f>
        <v>2232100</v>
      </c>
      <c r="F2095" s="1003">
        <f>VLOOKUP(C2095,'Perpipaan dalam Gedung '!$D$2:$J$5226,7,FALSE)</f>
        <v>0</v>
      </c>
      <c r="G2095" s="12">
        <f>VLOOKUP(C2095,'Perpipaan dalam Gedung '!$D$2:$K$5226,8,FALSE)</f>
        <v>0</v>
      </c>
      <c r="H2095" s="374"/>
      <c r="I2095" s="16"/>
    </row>
    <row r="2096" spans="1:9" ht="24" customHeight="1">
      <c r="B2096" s="1033" t="str">
        <f>'Perpipaan dalam Gedung '!C4098</f>
        <v>6.5.10.3</v>
      </c>
      <c r="C2096" s="39" t="str">
        <f>VLOOKUP(B2096,'Perpipaan dalam Gedung '!C:K,2,FALSE)</f>
        <v>Pemasangan 1 buah Pressure Gauge (16, 25) K + Gate Valve, Dia. 2 " (50 mm)</v>
      </c>
      <c r="D2096" s="9" t="s">
        <v>44</v>
      </c>
      <c r="E2096" s="1021">
        <f>VLOOKUP(C2096,'Perpipaan dalam Gedung '!$D$2:$I$5226,6,FALSE)</f>
        <v>2783700</v>
      </c>
      <c r="F2096" s="1003">
        <f>VLOOKUP(C2096,'Perpipaan dalam Gedung '!$D$2:$J$5226,7,FALSE)</f>
        <v>0</v>
      </c>
      <c r="G2096" s="12">
        <f>VLOOKUP(C2096,'Perpipaan dalam Gedung '!$D$2:$K$5226,8,FALSE)</f>
        <v>0</v>
      </c>
      <c r="H2096" s="374"/>
      <c r="I2096" s="16"/>
    </row>
    <row r="2097" spans="1:9" ht="24" customHeight="1">
      <c r="B2097" s="1033" t="str">
        <f>'Perpipaan dalam Gedung '!C4116</f>
        <v>6.5.10.4</v>
      </c>
      <c r="C2097" s="39" t="str">
        <f>VLOOKUP(B2097,'Perpipaan dalam Gedung '!C:K,2,FALSE)</f>
        <v>Pemasangan 1 buah Pressure Gauge + Gate Valve, Dia. 3 " (80 mm)</v>
      </c>
      <c r="D2097" s="9" t="s">
        <v>44</v>
      </c>
      <c r="E2097" s="1021">
        <f>VLOOKUP(C2097,'Perpipaan dalam Gedung '!$D$2:$I$5226,6,FALSE)</f>
        <v>3447400</v>
      </c>
      <c r="F2097" s="1003">
        <f>VLOOKUP(C2097,'Perpipaan dalam Gedung '!$D$2:$J$5226,7,FALSE)</f>
        <v>0</v>
      </c>
      <c r="G2097" s="12">
        <f>VLOOKUP(C2097,'Perpipaan dalam Gedung '!$D$2:$K$5226,8,FALSE)</f>
        <v>0</v>
      </c>
      <c r="H2097" s="374"/>
      <c r="I2097" s="16"/>
    </row>
    <row r="2098" spans="1:9" ht="24" customHeight="1">
      <c r="B2098" s="1033" t="str">
        <f>'Perpipaan dalam Gedung '!C4134</f>
        <v>6.5.10.5</v>
      </c>
      <c r="C2098" s="39" t="str">
        <f>VLOOKUP(B2098,'Perpipaan dalam Gedung '!C:K,2,FALSE)</f>
        <v>Pemasangan 1 buah Pressure Gauge 16 K + Gate Vave, Dia. 4" (100 mm)</v>
      </c>
      <c r="D2098" s="9" t="s">
        <v>44</v>
      </c>
      <c r="E2098" s="1021">
        <f>VLOOKUP(C2098,'Perpipaan dalam Gedung '!$D$2:$I$5226,6,FALSE)</f>
        <v>3855800</v>
      </c>
      <c r="F2098" s="1003">
        <f>VLOOKUP(C2098,'Perpipaan dalam Gedung '!$D$2:$J$5226,7,FALSE)</f>
        <v>0</v>
      </c>
      <c r="G2098" s="12">
        <f>VLOOKUP(C2098,'Perpipaan dalam Gedung '!$D$2:$K$5226,8,FALSE)</f>
        <v>0</v>
      </c>
      <c r="H2098" s="374"/>
      <c r="I2098" s="16"/>
    </row>
    <row r="2099" spans="1:9" ht="24" customHeight="1">
      <c r="B2099" s="1033" t="str">
        <f>'Perpipaan dalam Gedung '!C4152</f>
        <v>6.5.10.9</v>
      </c>
      <c r="C2099" s="39" t="str">
        <f>VLOOKUP(B2099,'Perpipaan dalam Gedung '!C:K,2,FALSE)</f>
        <v>Pemasangan 1 buah Pressure Gauge 25 K +Gate Valve, Dia. 4" (100 mm)</v>
      </c>
      <c r="D2099" s="9" t="s">
        <v>44</v>
      </c>
      <c r="E2099" s="1021">
        <f>VLOOKUP(C2099,'Perpipaan dalam Gedung '!$D$2:$I$5226,6,FALSE)</f>
        <v>3792800</v>
      </c>
      <c r="F2099" s="1003">
        <f>VLOOKUP(C2099,'Perpipaan dalam Gedung '!$D$2:$J$5226,7,FALSE)</f>
        <v>0</v>
      </c>
      <c r="G2099" s="12">
        <f>VLOOKUP(C2099,'Perpipaan dalam Gedung '!$D$2:$K$5226,8,FALSE)</f>
        <v>0</v>
      </c>
      <c r="H2099" s="374"/>
      <c r="I2099" s="16"/>
    </row>
    <row r="2100" spans="1:9" ht="24" customHeight="1">
      <c r="B2100" s="1033" t="str">
        <f>'Perpipaan dalam Gedung '!C4170</f>
        <v>6.5.10.10</v>
      </c>
      <c r="C2100" s="39" t="str">
        <f>VLOOKUP(B2100,'Perpipaan dalam Gedung '!C:K,2,FALSE)</f>
        <v>Pemasangan 1 buah Pressure Gauge 25 K + Gate Valve, Dia. 3" (80 mm)</v>
      </c>
      <c r="D2100" s="9" t="s">
        <v>44</v>
      </c>
      <c r="E2100" s="1021">
        <f>VLOOKUP(C2100,'Perpipaan dalam Gedung '!$D$2:$I$5226,6,FALSE)</f>
        <v>3510400</v>
      </c>
      <c r="F2100" s="1003">
        <f>VLOOKUP(C2100,'Perpipaan dalam Gedung '!$D$2:$J$5226,7,FALSE)</f>
        <v>0</v>
      </c>
      <c r="G2100" s="12">
        <f>VLOOKUP(C2100,'Perpipaan dalam Gedung '!$D$2:$K$5226,8,FALSE)</f>
        <v>0</v>
      </c>
      <c r="H2100" s="374"/>
      <c r="I2100" s="16"/>
    </row>
    <row r="2101" spans="1:9" s="1" customFormat="1" ht="24" customHeight="1">
      <c r="A2101" s="47"/>
      <c r="B2101" s="1041" t="str">
        <f>'Perpipaan dalam Gedung '!C4189</f>
        <v>6.5.11</v>
      </c>
      <c r="C2101" s="40" t="str">
        <f>VLOOKUP(B2101,'Perpipaan dalam Gedung '!C:K,2,FALSE)</f>
        <v>Water Meter</v>
      </c>
      <c r="D2101" s="19"/>
      <c r="E2101" s="1021">
        <f>VLOOKUP(C2101,'Perpipaan dalam Gedung '!$D$2:$I$5226,6,FALSE)</f>
        <v>0</v>
      </c>
      <c r="F2101" s="1003">
        <f>VLOOKUP(C2101,'Perpipaan dalam Gedung '!$D$2:$J$5226,7,FALSE)</f>
        <v>0</v>
      </c>
      <c r="G2101" s="12">
        <f>VLOOKUP(C2101,'Perpipaan dalam Gedung '!$D$2:$K$5226,8,FALSE)</f>
        <v>0</v>
      </c>
      <c r="H2101" s="1092"/>
      <c r="I2101" s="21"/>
    </row>
    <row r="2102" spans="1:9" ht="24" customHeight="1">
      <c r="B2102" s="1033" t="str">
        <f>'Perpipaan dalam Gedung '!C4190</f>
        <v>6.5.11.1</v>
      </c>
      <c r="C2102" s="39" t="str">
        <f>VLOOKUP(B2102,'Perpipaan dalam Gedung '!C:K,2,FALSE)</f>
        <v>Pemasangan 1 buah Water Meter, Dia. 1/2" (15 mm)</v>
      </c>
      <c r="D2102" s="9" t="s">
        <v>44</v>
      </c>
      <c r="E2102" s="1021">
        <f>VLOOKUP(C2102,'Perpipaan dalam Gedung '!$D$2:$I$5226,6,FALSE)</f>
        <v>363100</v>
      </c>
      <c r="F2102" s="1003">
        <f>VLOOKUP(C2102,'Perpipaan dalam Gedung '!$D$2:$J$5226,7,FALSE)</f>
        <v>0</v>
      </c>
      <c r="G2102" s="12">
        <f>VLOOKUP(C2102,'Perpipaan dalam Gedung '!$D$2:$K$5226,8,FALSE)</f>
        <v>0</v>
      </c>
      <c r="H2102" s="374"/>
      <c r="I2102" s="16"/>
    </row>
    <row r="2103" spans="1:9" ht="24" customHeight="1">
      <c r="B2103" s="1033" t="str">
        <f>'Perpipaan dalam Gedung '!C4207</f>
        <v>6.5.11.2</v>
      </c>
      <c r="C2103" s="39" t="str">
        <f>VLOOKUP(B2103,'Perpipaan dalam Gedung '!C:K,2,FALSE)</f>
        <v>Pemasangan 1 buah Water Meter, Dia. 3/4" (20 mm)</v>
      </c>
      <c r="D2103" s="9" t="s">
        <v>44</v>
      </c>
      <c r="E2103" s="1021">
        <f>VLOOKUP(C2103,'Perpipaan dalam Gedung '!$D$2:$I$5226,6,FALSE)</f>
        <v>860700</v>
      </c>
      <c r="F2103" s="1003">
        <f>VLOOKUP(C2103,'Perpipaan dalam Gedung '!$D$2:$J$5226,7,FALSE)</f>
        <v>0</v>
      </c>
      <c r="G2103" s="12">
        <f>VLOOKUP(C2103,'Perpipaan dalam Gedung '!$D$2:$K$5226,8,FALSE)</f>
        <v>0</v>
      </c>
      <c r="H2103" s="374"/>
      <c r="I2103" s="16"/>
    </row>
    <row r="2104" spans="1:9" ht="24" customHeight="1">
      <c r="B2104" s="1033" t="str">
        <f>'Perpipaan dalam Gedung '!C4225</f>
        <v>6.5.11.3</v>
      </c>
      <c r="C2104" s="39" t="str">
        <f>VLOOKUP(B2104,'Perpipaan dalam Gedung '!C:K,2,FALSE)</f>
        <v>Pemasangan 1 buah Water Meter, Dia 1" ( 25 mm)</v>
      </c>
      <c r="D2104" s="9" t="s">
        <v>44</v>
      </c>
      <c r="E2104" s="1021">
        <f>VLOOKUP(C2104,'Perpipaan dalam Gedung '!$D$2:$I$5226,6,FALSE)</f>
        <v>1833400</v>
      </c>
      <c r="F2104" s="1003">
        <f>VLOOKUP(C2104,'Perpipaan dalam Gedung '!$D$2:$J$5226,7,FALSE)</f>
        <v>0</v>
      </c>
      <c r="G2104" s="12">
        <f>VLOOKUP(C2104,'Perpipaan dalam Gedung '!$D$2:$K$5226,8,FALSE)</f>
        <v>0</v>
      </c>
      <c r="H2104" s="374"/>
      <c r="I2104" s="16"/>
    </row>
    <row r="2105" spans="1:9" ht="24" customHeight="1">
      <c r="B2105" s="1033" t="str">
        <f>'Perpipaan dalam Gedung '!C4242</f>
        <v>6.5.11.4</v>
      </c>
      <c r="C2105" s="39" t="str">
        <f>VLOOKUP(B2105,'Perpipaan dalam Gedung '!C:K,2,FALSE)</f>
        <v>Pemasangan 1 buah Water Meter, Dia 1-1/2" ( 40 mm)</v>
      </c>
      <c r="D2105" s="9" t="s">
        <v>44</v>
      </c>
      <c r="E2105" s="1021">
        <f>VLOOKUP(C2105,'Perpipaan dalam Gedung '!$D$2:$I$5226,6,FALSE)</f>
        <v>2263700</v>
      </c>
      <c r="F2105" s="1003">
        <f>VLOOKUP(C2105,'Perpipaan dalam Gedung '!$D$2:$J$5226,7,FALSE)</f>
        <v>0</v>
      </c>
      <c r="G2105" s="12">
        <f>VLOOKUP(C2105,'Perpipaan dalam Gedung '!$D$2:$K$5226,8,FALSE)</f>
        <v>0</v>
      </c>
      <c r="H2105" s="374"/>
      <c r="I2105" s="16"/>
    </row>
    <row r="2106" spans="1:9" ht="24" customHeight="1">
      <c r="B2106" s="1033" t="str">
        <f>'Perpipaan dalam Gedung '!C4260</f>
        <v>6.5.11.5</v>
      </c>
      <c r="C2106" s="39" t="str">
        <f>VLOOKUP(B2106,'Perpipaan dalam Gedung '!C:K,2,FALSE)</f>
        <v>Pemasangan 1 buah Water Meter, Dia. 2 " (50 mm)</v>
      </c>
      <c r="D2106" s="9" t="s">
        <v>44</v>
      </c>
      <c r="E2106" s="1021">
        <f>VLOOKUP(C2106,'Perpipaan dalam Gedung '!$D$2:$I$5226,6,FALSE)</f>
        <v>3107500</v>
      </c>
      <c r="F2106" s="1003">
        <f>VLOOKUP(C2106,'Perpipaan dalam Gedung '!$D$2:$J$5226,7,FALSE)</f>
        <v>0</v>
      </c>
      <c r="G2106" s="12">
        <f>VLOOKUP(C2106,'Perpipaan dalam Gedung '!$D$2:$K$5226,8,FALSE)</f>
        <v>0</v>
      </c>
      <c r="H2106" s="374"/>
      <c r="I2106" s="16"/>
    </row>
    <row r="2107" spans="1:9" ht="24" customHeight="1">
      <c r="B2107" s="1033" t="str">
        <f>'Perpipaan dalam Gedung '!C4277</f>
        <v>6.5.11.6</v>
      </c>
      <c r="C2107" s="39" t="str">
        <f>VLOOKUP(B2107,'Perpipaan dalam Gedung '!C:K,2,FALSE)</f>
        <v>Pemasangan 1 buah Water Meter, Dia. 3 " (80 mm)</v>
      </c>
      <c r="D2107" s="9" t="s">
        <v>44</v>
      </c>
      <c r="E2107" s="1021">
        <f>VLOOKUP(C2107,'Perpipaan dalam Gedung '!$D$2:$I$5226,6,FALSE)</f>
        <v>4046900</v>
      </c>
      <c r="F2107" s="1003">
        <f>VLOOKUP(C2107,'Perpipaan dalam Gedung '!$D$2:$J$5226,7,FALSE)</f>
        <v>0</v>
      </c>
      <c r="G2107" s="12">
        <f>VLOOKUP(C2107,'Perpipaan dalam Gedung '!$D$2:$K$5226,8,FALSE)</f>
        <v>0</v>
      </c>
      <c r="H2107" s="374"/>
      <c r="I2107" s="16"/>
    </row>
    <row r="2108" spans="1:9" ht="24" customHeight="1">
      <c r="B2108" s="1033" t="str">
        <f>'Perpipaan dalam Gedung '!C4294</f>
        <v>6.5.11.7</v>
      </c>
      <c r="C2108" s="39" t="str">
        <f>VLOOKUP(B2108,'Perpipaan dalam Gedung '!C:K,2,FALSE)</f>
        <v>Pemasangan 1 buah Water Meter, Dia. 4" (100 mm)</v>
      </c>
      <c r="D2108" s="9" t="s">
        <v>44</v>
      </c>
      <c r="E2108" s="1021">
        <f>VLOOKUP(C2108,'Perpipaan dalam Gedung '!$D$2:$I$5226,6,FALSE)</f>
        <v>4510200</v>
      </c>
      <c r="F2108" s="1003">
        <f>VLOOKUP(C2108,'Perpipaan dalam Gedung '!$D$2:$J$5226,7,FALSE)</f>
        <v>0</v>
      </c>
      <c r="G2108" s="12">
        <f>VLOOKUP(C2108,'Perpipaan dalam Gedung '!$D$2:$K$5226,8,FALSE)</f>
        <v>0</v>
      </c>
      <c r="H2108" s="374"/>
      <c r="I2108" s="16"/>
    </row>
    <row r="2109" spans="1:9" ht="24" customHeight="1">
      <c r="B2109" s="1033" t="str">
        <f>'Perpipaan dalam Gedung '!C4311</f>
        <v>6.5.11.8</v>
      </c>
      <c r="C2109" s="39" t="str">
        <f>VLOOKUP(B2109,'Perpipaan dalam Gedung '!C:K,2,FALSE)</f>
        <v>Pemasangan 1 buah Water Meter, Dia. 6" (150 mm)</v>
      </c>
      <c r="D2109" s="9" t="s">
        <v>44</v>
      </c>
      <c r="E2109" s="1021">
        <f>VLOOKUP(C2109,'Perpipaan dalam Gedung '!$D$2:$I$5226,6,FALSE)</f>
        <v>5436200</v>
      </c>
      <c r="F2109" s="1003">
        <f>VLOOKUP(C2109,'Perpipaan dalam Gedung '!$D$2:$J$5226,7,FALSE)</f>
        <v>0</v>
      </c>
      <c r="G2109" s="12">
        <f>VLOOKUP(C2109,'Perpipaan dalam Gedung '!$D$2:$K$5226,8,FALSE)</f>
        <v>0</v>
      </c>
      <c r="H2109" s="374"/>
      <c r="I2109" s="16"/>
    </row>
    <row r="2110" spans="1:9" ht="24" customHeight="1">
      <c r="B2110" s="1033" t="str">
        <f>'Perpipaan dalam Gedung '!C4328</f>
        <v>6.5.11.9</v>
      </c>
      <c r="C2110" s="39" t="str">
        <f>VLOOKUP(B2110,'Perpipaan dalam Gedung '!C:K,2,FALSE)</f>
        <v>Pemasangan 1 buah Water Meter, Dia. 8" (200 mm)</v>
      </c>
      <c r="D2110" s="9" t="s">
        <v>44</v>
      </c>
      <c r="E2110" s="1021">
        <f>VLOOKUP(C2110,'Perpipaan dalam Gedung '!$D$2:$I$5226,6,FALSE)</f>
        <v>6140800</v>
      </c>
      <c r="F2110" s="1003">
        <f>VLOOKUP(C2110,'Perpipaan dalam Gedung '!$D$2:$J$5226,7,FALSE)</f>
        <v>0</v>
      </c>
      <c r="G2110" s="12">
        <f>VLOOKUP(C2110,'Perpipaan dalam Gedung '!$D$2:$K$5226,8,FALSE)</f>
        <v>0</v>
      </c>
      <c r="H2110" s="374"/>
      <c r="I2110" s="16"/>
    </row>
    <row r="2111" spans="1:9" ht="24" customHeight="1">
      <c r="B2111" s="1033" t="str">
        <f>'Perpipaan dalam Gedung '!C4345</f>
        <v>6.5.11.10</v>
      </c>
      <c r="C2111" s="39" t="str">
        <f>VLOOKUP(B2111,'Perpipaan dalam Gedung '!C:K,2,FALSE)</f>
        <v>Pemasangan 1 buah Water Meter, Dia. 10" (250 mm)</v>
      </c>
      <c r="D2111" s="9" t="s">
        <v>44</v>
      </c>
      <c r="E2111" s="1021">
        <f>VLOOKUP(C2111,'Perpipaan dalam Gedung '!$D$2:$I$5226,6,FALSE)</f>
        <v>6670800</v>
      </c>
      <c r="F2111" s="1003">
        <f>VLOOKUP(C2111,'Perpipaan dalam Gedung '!$D$2:$J$5226,7,FALSE)</f>
        <v>0</v>
      </c>
      <c r="G2111" s="12">
        <f>VLOOKUP(C2111,'Perpipaan dalam Gedung '!$D$2:$K$5226,8,FALSE)</f>
        <v>0</v>
      </c>
      <c r="H2111" s="374"/>
      <c r="I2111" s="16"/>
    </row>
    <row r="2112" spans="1:9" ht="24" customHeight="1">
      <c r="B2112" s="1033" t="str">
        <f>'Perpipaan dalam Gedung '!C4362</f>
        <v>6.5.11.11</v>
      </c>
      <c r="C2112" s="39" t="str">
        <f>VLOOKUP(B2112,'Perpipaan dalam Gedung '!C:K,2,FALSE)</f>
        <v>Pemasangan 1 buah Water Meter, Dia. 12" (300 mm)</v>
      </c>
      <c r="D2112" s="9" t="s">
        <v>44</v>
      </c>
      <c r="E2112" s="1021">
        <f>VLOOKUP(C2112,'Perpipaan dalam Gedung '!$D$2:$I$5226,6,FALSE)</f>
        <v>7264400</v>
      </c>
      <c r="F2112" s="1003">
        <f>VLOOKUP(C2112,'Perpipaan dalam Gedung '!$D$2:$J$5226,7,FALSE)</f>
        <v>0</v>
      </c>
      <c r="G2112" s="12">
        <f>VLOOKUP(C2112,'Perpipaan dalam Gedung '!$D$2:$K$5226,8,FALSE)</f>
        <v>0</v>
      </c>
      <c r="H2112" s="374"/>
      <c r="I2112" s="16"/>
    </row>
    <row r="2113" spans="1:9" ht="24" customHeight="1">
      <c r="B2113" s="1033" t="str">
        <f>'Perpipaan dalam Gedung '!C4379</f>
        <v>6.5.11.12</v>
      </c>
      <c r="C2113" s="39" t="str">
        <f>VLOOKUP(B2113,'Perpipaan dalam Gedung '!C:K,2,FALSE)</f>
        <v>Pemasangan 1 buah Water Meter, Dia. 16" (400 mm)</v>
      </c>
      <c r="D2113" s="9" t="s">
        <v>44</v>
      </c>
      <c r="E2113" s="1021">
        <f>VLOOKUP(C2113,'Perpipaan dalam Gedung '!$D$2:$I$5226,6,FALSE)</f>
        <v>7676500</v>
      </c>
      <c r="F2113" s="1003">
        <f>VLOOKUP(C2113,'Perpipaan dalam Gedung '!$D$2:$J$5226,7,FALSE)</f>
        <v>0</v>
      </c>
      <c r="G2113" s="12">
        <f>VLOOKUP(C2113,'Perpipaan dalam Gedung '!$D$2:$K$5226,8,FALSE)</f>
        <v>0</v>
      </c>
      <c r="H2113" s="374"/>
      <c r="I2113" s="16"/>
    </row>
    <row r="2114" spans="1:9" ht="24" customHeight="1">
      <c r="B2114" s="1033" t="str">
        <f>'Perpipaan dalam Gedung '!C4396</f>
        <v>6.5.11.13</v>
      </c>
      <c r="C2114" s="39" t="str">
        <f>VLOOKUP(B2114,'Perpipaan dalam Gedung '!C:K,2,FALSE)</f>
        <v>Pemasangan 1 buah Flow Meter Analog 10 K, Dia. 4" (100 mm)</v>
      </c>
      <c r="D2114" s="9" t="s">
        <v>44</v>
      </c>
      <c r="E2114" s="1021">
        <f>VLOOKUP(C2114,'Perpipaan dalam Gedung '!$D$2:$I$5226,6,FALSE)</f>
        <v>3750900</v>
      </c>
      <c r="F2114" s="1003">
        <f>VLOOKUP(C2114,'Perpipaan dalam Gedung '!$D$2:$J$5226,7,FALSE)</f>
        <v>0</v>
      </c>
      <c r="G2114" s="12">
        <f>VLOOKUP(C2114,'Perpipaan dalam Gedung '!$D$2:$K$5226,8,FALSE)</f>
        <v>0</v>
      </c>
      <c r="H2114" s="374"/>
      <c r="I2114" s="16"/>
    </row>
    <row r="2115" spans="1:9" s="1" customFormat="1" ht="24" customHeight="1">
      <c r="A2115" s="47"/>
      <c r="B2115" s="1041" t="str">
        <f>'Perpipaan dalam Gedung '!C4413</f>
        <v>6.5.12.</v>
      </c>
      <c r="C2115" s="40" t="str">
        <f>VLOOKUP(B2115,'Perpipaan dalam Gedung '!C:K,2,FALSE)</f>
        <v xml:space="preserve">Clean Out </v>
      </c>
      <c r="D2115" s="19"/>
      <c r="E2115" s="1021">
        <f>VLOOKUP(C2115,'Perpipaan dalam Gedung '!$D$2:$I$5226,6,FALSE)</f>
        <v>0</v>
      </c>
      <c r="F2115" s="1003">
        <f>VLOOKUP(C2115,'Perpipaan dalam Gedung '!$D$2:$J$5226,7,FALSE)</f>
        <v>0</v>
      </c>
      <c r="G2115" s="12">
        <f>VLOOKUP(C2115,'Perpipaan dalam Gedung '!$D$2:$K$5226,8,FALSE)</f>
        <v>0</v>
      </c>
      <c r="H2115" s="1092"/>
      <c r="I2115" s="21"/>
    </row>
    <row r="2116" spans="1:9" ht="24" customHeight="1">
      <c r="B2116" s="1033" t="str">
        <f>'Perpipaan dalam Gedung '!C4414</f>
        <v>6.5.12.1</v>
      </c>
      <c r="C2116" s="39" t="str">
        <f>VLOOKUP(B2116,'Perpipaan dalam Gedung '!C:K,2,FALSE)</f>
        <v>Pemasangan 1 buah Clean Out, Dia. 2" (50 mm)</v>
      </c>
      <c r="D2116" s="9" t="s">
        <v>44</v>
      </c>
      <c r="E2116" s="1021">
        <f>VLOOKUP(C2116,'Perpipaan dalam Gedung '!$D$2:$I$5226,6,FALSE)</f>
        <v>94600</v>
      </c>
      <c r="F2116" s="1003">
        <f>VLOOKUP(C2116,'Perpipaan dalam Gedung '!$D$2:$J$5226,7,FALSE)</f>
        <v>0</v>
      </c>
      <c r="G2116" s="12">
        <f>VLOOKUP(C2116,'Perpipaan dalam Gedung '!$D$2:$K$5226,8,FALSE)</f>
        <v>0</v>
      </c>
      <c r="H2116" s="374"/>
      <c r="I2116" s="16"/>
    </row>
    <row r="2117" spans="1:9" ht="24" customHeight="1">
      <c r="B2117" s="1033" t="str">
        <f>'Perpipaan dalam Gedung '!C4431</f>
        <v>6.5.12.2</v>
      </c>
      <c r="C2117" s="39" t="str">
        <f>VLOOKUP(B2117,'Perpipaan dalam Gedung '!C:K,2,FALSE)</f>
        <v>Pemasangan 1 buah Clean Out, Dia. 2-1/2" (65 mm)</v>
      </c>
      <c r="D2117" s="9" t="s">
        <v>44</v>
      </c>
      <c r="E2117" s="1021">
        <f>VLOOKUP(C2117,'Perpipaan dalam Gedung '!$D$2:$I$5226,6,FALSE)</f>
        <v>114100</v>
      </c>
      <c r="F2117" s="1003">
        <f>VLOOKUP(C2117,'Perpipaan dalam Gedung '!$D$2:$J$5226,7,FALSE)</f>
        <v>0</v>
      </c>
      <c r="G2117" s="12">
        <f>VLOOKUP(C2117,'Perpipaan dalam Gedung '!$D$2:$K$5226,8,FALSE)</f>
        <v>0</v>
      </c>
      <c r="H2117" s="374"/>
      <c r="I2117" s="16"/>
    </row>
    <row r="2118" spans="1:9" ht="24" customHeight="1">
      <c r="B2118" s="1033" t="str">
        <f>'Perpipaan dalam Gedung '!C4448</f>
        <v>6.5.12.3</v>
      </c>
      <c r="C2118" s="39" t="str">
        <f>VLOOKUP(B2118,'Perpipaan dalam Gedung '!C:K,2,FALSE)</f>
        <v>Pemasangan 1 buah Clean Out, Dia. 3" (80 mm)</v>
      </c>
      <c r="D2118" s="9" t="s">
        <v>44</v>
      </c>
      <c r="E2118" s="1021">
        <f>VLOOKUP(C2118,'Perpipaan dalam Gedung '!$D$2:$I$5226,6,FALSE)</f>
        <v>150900</v>
      </c>
      <c r="F2118" s="1003">
        <f>VLOOKUP(C2118,'Perpipaan dalam Gedung '!$D$2:$J$5226,7,FALSE)</f>
        <v>0</v>
      </c>
      <c r="G2118" s="12">
        <f>VLOOKUP(C2118,'Perpipaan dalam Gedung '!$D$2:$K$5226,8,FALSE)</f>
        <v>0</v>
      </c>
      <c r="H2118" s="374"/>
      <c r="I2118" s="16"/>
    </row>
    <row r="2119" spans="1:9" ht="24" customHeight="1">
      <c r="B2119" s="1033" t="str">
        <f>'Perpipaan dalam Gedung '!C4465</f>
        <v>6.5.12.4</v>
      </c>
      <c r="C2119" s="39" t="str">
        <f>VLOOKUP(B2119,'Perpipaan dalam Gedung '!C:K,2,FALSE)</f>
        <v>Pemasangan 1 buah Clean Out, Dia. 4" (100 mm)</v>
      </c>
      <c r="D2119" s="9" t="s">
        <v>44</v>
      </c>
      <c r="E2119" s="1021">
        <f>VLOOKUP(C2119,'Perpipaan dalam Gedung '!$D$2:$I$5226,6,FALSE)</f>
        <v>184000</v>
      </c>
      <c r="F2119" s="1003">
        <f>VLOOKUP(C2119,'Perpipaan dalam Gedung '!$D$2:$J$5226,7,FALSE)</f>
        <v>0</v>
      </c>
      <c r="G2119" s="12">
        <f>VLOOKUP(C2119,'Perpipaan dalam Gedung '!$D$2:$K$5226,8,FALSE)</f>
        <v>0</v>
      </c>
      <c r="H2119" s="374"/>
      <c r="I2119" s="16"/>
    </row>
    <row r="2120" spans="1:9" ht="24" customHeight="1">
      <c r="B2120" s="1033" t="str">
        <f>'Perpipaan dalam Gedung '!C4482</f>
        <v>6.5.12.5</v>
      </c>
      <c r="C2120" s="39" t="str">
        <f>VLOOKUP(B2120,'Perpipaan dalam Gedung '!C:K,2,FALSE)</f>
        <v>Pemasangan 1 buah Clean Out, Dia. 5" (125 mm)</v>
      </c>
      <c r="D2120" s="9" t="s">
        <v>44</v>
      </c>
      <c r="E2120" s="1021">
        <f>VLOOKUP(C2120,'Perpipaan dalam Gedung '!$D$2:$I$5226,6,FALSE)</f>
        <v>336600</v>
      </c>
      <c r="F2120" s="1003">
        <f>VLOOKUP(C2120,'Perpipaan dalam Gedung '!$D$2:$J$5226,7,FALSE)</f>
        <v>0</v>
      </c>
      <c r="G2120" s="12">
        <f>VLOOKUP(C2120,'Perpipaan dalam Gedung '!$D$2:$K$5226,8,FALSE)</f>
        <v>0</v>
      </c>
      <c r="H2120" s="374"/>
      <c r="I2120" s="16"/>
    </row>
    <row r="2121" spans="1:9" ht="24" customHeight="1">
      <c r="B2121" s="1033" t="str">
        <f>'Perpipaan dalam Gedung '!C4499</f>
        <v>6.5.12.6</v>
      </c>
      <c r="C2121" s="39" t="str">
        <f>VLOOKUP(B2121,'Perpipaan dalam Gedung '!C:K,2,FALSE)</f>
        <v>Pemasangan 1 buah Clean Out, Dia. 6" (150 mm)</v>
      </c>
      <c r="D2121" s="9" t="s">
        <v>44</v>
      </c>
      <c r="E2121" s="1021">
        <f>VLOOKUP(C2121,'Perpipaan dalam Gedung '!$D$2:$I$5226,6,FALSE)</f>
        <v>423800</v>
      </c>
      <c r="F2121" s="1003">
        <f>VLOOKUP(C2121,'Perpipaan dalam Gedung '!$D$2:$J$5226,7,FALSE)</f>
        <v>0</v>
      </c>
      <c r="G2121" s="12">
        <f>VLOOKUP(C2121,'Perpipaan dalam Gedung '!$D$2:$K$5226,8,FALSE)</f>
        <v>0</v>
      </c>
      <c r="H2121" s="374"/>
      <c r="I2121" s="16"/>
    </row>
    <row r="2122" spans="1:9" ht="24" customHeight="1">
      <c r="B2122" s="1033" t="str">
        <f>'Perpipaan dalam Gedung '!C4516</f>
        <v>6.5.12.7</v>
      </c>
      <c r="C2122" s="39" t="str">
        <f>VLOOKUP(B2122,'Perpipaan dalam Gedung '!C:K,2,FALSE)</f>
        <v>Pemasangan 1 buah Clean Out, Dia. 8" (200 mm)</v>
      </c>
      <c r="D2122" s="9" t="s">
        <v>44</v>
      </c>
      <c r="E2122" s="1021">
        <f>VLOOKUP(C2122,'Perpipaan dalam Gedung '!$D$2:$I$5226,6,FALSE)</f>
        <v>640100</v>
      </c>
      <c r="F2122" s="1003">
        <f>VLOOKUP(C2122,'Perpipaan dalam Gedung '!$D$2:$J$5226,7,FALSE)</f>
        <v>0</v>
      </c>
      <c r="G2122" s="12">
        <f>VLOOKUP(C2122,'Perpipaan dalam Gedung '!$D$2:$K$5226,8,FALSE)</f>
        <v>0</v>
      </c>
      <c r="H2122" s="374"/>
      <c r="I2122" s="16"/>
    </row>
    <row r="2123" spans="1:9" s="1" customFormat="1" ht="24" customHeight="1">
      <c r="A2123" s="47"/>
      <c r="B2123" s="1041" t="str">
        <f>'Perpipaan dalam Gedung '!C4533</f>
        <v xml:space="preserve">6.5.13 </v>
      </c>
      <c r="C2123" s="40" t="str">
        <f>VLOOKUP(B2123,'Perpipaan dalam Gedung '!C:K,2,FALSE)</f>
        <v xml:space="preserve">Roof Drain </v>
      </c>
      <c r="D2123" s="19"/>
      <c r="E2123" s="1021">
        <f>VLOOKUP(C2123,'Perpipaan dalam Gedung '!$D$2:$I$5226,6,FALSE)</f>
        <v>0</v>
      </c>
      <c r="F2123" s="1003">
        <f>VLOOKUP(C2123,'Perpipaan dalam Gedung '!$D$2:$J$5226,7,FALSE)</f>
        <v>0</v>
      </c>
      <c r="G2123" s="12">
        <f>VLOOKUP(C2123,'Perpipaan dalam Gedung '!$D$2:$K$5226,8,FALSE)</f>
        <v>0</v>
      </c>
      <c r="H2123" s="1092"/>
      <c r="I2123" s="21"/>
    </row>
    <row r="2124" spans="1:9" ht="24" customHeight="1">
      <c r="B2124" s="1033" t="str">
        <f>'Perpipaan dalam Gedung '!C4534</f>
        <v>6.5.13.1</v>
      </c>
      <c r="C2124" s="39" t="str">
        <f>VLOOKUP(B2124,'Perpipaan dalam Gedung '!C:K,2,FALSE)</f>
        <v>Pemasangan 1 buahRoof Drain, Dia. 2" (50 mm)</v>
      </c>
      <c r="D2124" s="9" t="s">
        <v>44</v>
      </c>
      <c r="E2124" s="1021">
        <f>VLOOKUP(C2124,'Perpipaan dalam Gedung '!$D$2:$I$5226,6,FALSE)</f>
        <v>95400</v>
      </c>
      <c r="F2124" s="1003">
        <f>VLOOKUP(C2124,'Perpipaan dalam Gedung '!$D$2:$J$5226,7,FALSE)</f>
        <v>0</v>
      </c>
      <c r="G2124" s="12">
        <f>VLOOKUP(C2124,'Perpipaan dalam Gedung '!$D$2:$K$5226,8,FALSE)</f>
        <v>0</v>
      </c>
      <c r="H2124" s="374"/>
      <c r="I2124" s="16"/>
    </row>
    <row r="2125" spans="1:9" ht="24" customHeight="1">
      <c r="B2125" s="1033" t="str">
        <f>'Perpipaan dalam Gedung '!C4552</f>
        <v>6.5.13.2</v>
      </c>
      <c r="C2125" s="39" t="str">
        <f>VLOOKUP(B2125,'Perpipaan dalam Gedung '!C:K,2,FALSE)</f>
        <v>Pemasangan 1 buahRoof Drain, Dia. 2-1/2" (65 mm)</v>
      </c>
      <c r="D2125" s="9" t="s">
        <v>44</v>
      </c>
      <c r="E2125" s="1021">
        <f>VLOOKUP(C2125,'Perpipaan dalam Gedung '!$D$2:$I$5226,6,FALSE)</f>
        <v>114900</v>
      </c>
      <c r="F2125" s="1003">
        <f>VLOOKUP(C2125,'Perpipaan dalam Gedung '!$D$2:$J$5226,7,FALSE)</f>
        <v>0</v>
      </c>
      <c r="G2125" s="12">
        <f>VLOOKUP(C2125,'Perpipaan dalam Gedung '!$D$2:$K$5226,8,FALSE)</f>
        <v>0</v>
      </c>
      <c r="H2125" s="374"/>
      <c r="I2125" s="16"/>
    </row>
    <row r="2126" spans="1:9" ht="24" customHeight="1">
      <c r="B2126" s="1033" t="str">
        <f>'Perpipaan dalam Gedung '!C4569</f>
        <v>6.5.13.3</v>
      </c>
      <c r="C2126" s="39" t="str">
        <f>VLOOKUP(B2126,'Perpipaan dalam Gedung '!C:K,2,FALSE)</f>
        <v>Pemasangan 1 buahRoof Drain, Dia. 3" (80 mm)</v>
      </c>
      <c r="D2126" s="9" t="s">
        <v>44</v>
      </c>
      <c r="E2126" s="1021">
        <f>VLOOKUP(C2126,'Perpipaan dalam Gedung '!$D$2:$I$5226,6,FALSE)</f>
        <v>133400</v>
      </c>
      <c r="F2126" s="1003">
        <f>VLOOKUP(C2126,'Perpipaan dalam Gedung '!$D$2:$J$5226,7,FALSE)</f>
        <v>0</v>
      </c>
      <c r="G2126" s="12">
        <f>VLOOKUP(C2126,'Perpipaan dalam Gedung '!$D$2:$K$5226,8,FALSE)</f>
        <v>0</v>
      </c>
      <c r="H2126" s="374"/>
      <c r="I2126" s="16"/>
    </row>
    <row r="2127" spans="1:9" ht="24" customHeight="1">
      <c r="B2127" s="1033" t="str">
        <f>'Perpipaan dalam Gedung '!C4586</f>
        <v>6.5.13.4</v>
      </c>
      <c r="C2127" s="39" t="str">
        <f>VLOOKUP(B2127,'Perpipaan dalam Gedung '!C:K,2,FALSE)</f>
        <v>Pemasangan 1 buahRoof Drain, Dia. 4" (100 mm)</v>
      </c>
      <c r="D2127" s="9" t="s">
        <v>44</v>
      </c>
      <c r="E2127" s="1021">
        <f>VLOOKUP(C2127,'Perpipaan dalam Gedung '!$D$2:$I$5226,6,FALSE)</f>
        <v>161300</v>
      </c>
      <c r="F2127" s="1003">
        <f>VLOOKUP(C2127,'Perpipaan dalam Gedung '!$D$2:$J$5226,7,FALSE)</f>
        <v>0</v>
      </c>
      <c r="G2127" s="12">
        <f>VLOOKUP(C2127,'Perpipaan dalam Gedung '!$D$2:$K$5226,8,FALSE)</f>
        <v>0</v>
      </c>
      <c r="H2127" s="374"/>
      <c r="I2127" s="16"/>
    </row>
    <row r="2128" spans="1:9" ht="24" customHeight="1">
      <c r="B2128" s="1033" t="str">
        <f>'Perpipaan dalam Gedung '!C4603</f>
        <v>6.5.13.5</v>
      </c>
      <c r="C2128" s="39" t="str">
        <f>VLOOKUP(B2128,'Perpipaan dalam Gedung '!C:K,2,FALSE)</f>
        <v>Pemasangan 1 buahRoof Drain, Dia. 5" (125 mm)</v>
      </c>
      <c r="D2128" s="9" t="s">
        <v>44</v>
      </c>
      <c r="E2128" s="1021">
        <f>VLOOKUP(C2128,'Perpipaan dalam Gedung '!$D$2:$I$5226,6,FALSE)</f>
        <v>206700</v>
      </c>
      <c r="F2128" s="1003">
        <f>VLOOKUP(C2128,'Perpipaan dalam Gedung '!$D$2:$J$5226,7,FALSE)</f>
        <v>0</v>
      </c>
      <c r="G2128" s="12">
        <f>VLOOKUP(C2128,'Perpipaan dalam Gedung '!$D$2:$K$5226,8,FALSE)</f>
        <v>0</v>
      </c>
      <c r="H2128" s="374"/>
      <c r="I2128" s="16"/>
    </row>
    <row r="2129" spans="1:9" ht="24" customHeight="1">
      <c r="B2129" s="1033" t="str">
        <f>'Perpipaan dalam Gedung '!C4620</f>
        <v>6.5.13.6</v>
      </c>
      <c r="C2129" s="39" t="str">
        <f>VLOOKUP(B2129,'Perpipaan dalam Gedung '!C:K,2,FALSE)</f>
        <v>Pemasangan 1 buahRoof Drain, Dia. 6" (150 mm)</v>
      </c>
      <c r="D2129" s="9" t="s">
        <v>44</v>
      </c>
      <c r="E2129" s="1021">
        <f>VLOOKUP(C2129,'Perpipaan dalam Gedung '!$D$2:$I$5226,6,FALSE)</f>
        <v>246900</v>
      </c>
      <c r="F2129" s="1003">
        <f>VLOOKUP(C2129,'Perpipaan dalam Gedung '!$D$2:$J$5226,7,FALSE)</f>
        <v>0</v>
      </c>
      <c r="G2129" s="12">
        <f>VLOOKUP(C2129,'Perpipaan dalam Gedung '!$D$2:$K$5226,8,FALSE)</f>
        <v>0</v>
      </c>
      <c r="H2129" s="374" t="s">
        <v>6432</v>
      </c>
      <c r="I2129" s="16"/>
    </row>
    <row r="2130" spans="1:9" ht="24" customHeight="1">
      <c r="B2130" s="1033" t="str">
        <f>'Perpipaan dalam Gedung '!C4637</f>
        <v>6.5.13.7</v>
      </c>
      <c r="C2130" s="39" t="str">
        <f>VLOOKUP(B2130,'Perpipaan dalam Gedung '!C:K,2,FALSE)</f>
        <v>Pemasangan 1 buahRoof Drain, Dia. 8" (200 mm)</v>
      </c>
      <c r="D2130" s="9" t="s">
        <v>44</v>
      </c>
      <c r="E2130" s="1021">
        <f>VLOOKUP(C2130,'Perpipaan dalam Gedung '!$D$2:$I$5226,6,FALSE)</f>
        <v>341100</v>
      </c>
      <c r="F2130" s="1003">
        <f>VLOOKUP(C2130,'Perpipaan dalam Gedung '!$D$2:$J$5226,7,FALSE)</f>
        <v>0</v>
      </c>
      <c r="G2130" s="12">
        <f>VLOOKUP(C2130,'Perpipaan dalam Gedung '!$D$2:$K$5226,8,FALSE)</f>
        <v>0</v>
      </c>
      <c r="H2130" s="374"/>
      <c r="I2130" s="16"/>
    </row>
    <row r="2131" spans="1:9" ht="24" customHeight="1">
      <c r="B2131" s="1033" t="str">
        <f>'Perpipaan dalam Gedung '!C4654</f>
        <v>6.5.13.8</v>
      </c>
      <c r="C2131" s="39" t="str">
        <f>VLOOKUP(B2131,'Perpipaan dalam Gedung '!C:K,2,FALSE)</f>
        <v>Pemasangan 1 buahRoof Drain, Dia. 10" (200 mm)</v>
      </c>
      <c r="D2131" s="9" t="s">
        <v>44</v>
      </c>
      <c r="E2131" s="1021">
        <f>VLOOKUP(C2131,'Perpipaan dalam Gedung '!$D$2:$I$5226,6,FALSE)</f>
        <v>467200</v>
      </c>
      <c r="F2131" s="1003">
        <f>VLOOKUP(C2131,'Perpipaan dalam Gedung '!$D$2:$J$5226,7,FALSE)</f>
        <v>0</v>
      </c>
      <c r="G2131" s="12">
        <f>VLOOKUP(C2131,'Perpipaan dalam Gedung '!$D$2:$K$5226,8,FALSE)</f>
        <v>0</v>
      </c>
      <c r="H2131" s="374"/>
      <c r="I2131" s="16"/>
    </row>
    <row r="2132" spans="1:9" ht="24" customHeight="1">
      <c r="B2132" s="1033" t="str">
        <f>'Perpipaan dalam Gedung '!C4671</f>
        <v>6.5.13.9</v>
      </c>
      <c r="C2132" s="39" t="str">
        <f>VLOOKUP(B2132,'Perpipaan dalam Gedung '!C:K,2,FALSE)</f>
        <v>Pemasangan 1 buahRoof Drain, Dia. 12" (300 mm)</v>
      </c>
      <c r="D2132" s="9" t="s">
        <v>44</v>
      </c>
      <c r="E2132" s="1021">
        <f>VLOOKUP(C2132,'Perpipaan dalam Gedung '!$D$2:$I$5226,6,FALSE)</f>
        <v>555200</v>
      </c>
      <c r="F2132" s="1003">
        <f>VLOOKUP(C2132,'Perpipaan dalam Gedung '!$D$2:$J$5226,7,FALSE)</f>
        <v>0</v>
      </c>
      <c r="G2132" s="12">
        <f>VLOOKUP(C2132,'Perpipaan dalam Gedung '!$D$2:$K$5226,8,FALSE)</f>
        <v>0</v>
      </c>
      <c r="H2132" s="374"/>
      <c r="I2132" s="16"/>
    </row>
    <row r="2133" spans="1:9" s="1" customFormat="1" ht="24" customHeight="1">
      <c r="A2133" s="47"/>
      <c r="B2133" s="1041" t="str">
        <f>'Perpipaan dalam Gedung '!C4688</f>
        <v xml:space="preserve">6.5.14 </v>
      </c>
      <c r="C2133" s="40" t="str">
        <f>VLOOKUP(B2133,'Perpipaan dalam Gedung '!C:K,2,FALSE)</f>
        <v>Floor Clean Out (fCO)</v>
      </c>
      <c r="D2133" s="19"/>
      <c r="E2133" s="1021">
        <f>VLOOKUP(C2133,'Perpipaan dalam Gedung '!$D$2:$I$5226,6,FALSE)</f>
        <v>0</v>
      </c>
      <c r="F2133" s="1003">
        <f>VLOOKUP(C2133,'Perpipaan dalam Gedung '!$D$2:$J$5226,7,FALSE)</f>
        <v>0</v>
      </c>
      <c r="G2133" s="12">
        <f>VLOOKUP(C2133,'Perpipaan dalam Gedung '!$D$2:$K$5226,8,FALSE)</f>
        <v>0</v>
      </c>
      <c r="H2133" s="1092"/>
      <c r="I2133" s="21"/>
    </row>
    <row r="2134" spans="1:9" ht="24" customHeight="1">
      <c r="B2134" s="1033" t="str">
        <f>'Perpipaan dalam Gedung '!C4689</f>
        <v>6.5.14.1</v>
      </c>
      <c r="C2134" s="39" t="str">
        <f>VLOOKUP(B2134,'Perpipaan dalam Gedung '!C:K,2,FALSE)</f>
        <v>Pemasangan 1 buah Floor Clean Out, Dia. 2" (50 mm)</v>
      </c>
      <c r="D2134" s="9" t="s">
        <v>44</v>
      </c>
      <c r="E2134" s="1021">
        <f>VLOOKUP(C2134,'Perpipaan dalam Gedung '!$D$2:$I$5226,6,FALSE)</f>
        <v>227500</v>
      </c>
      <c r="F2134" s="1003">
        <f>VLOOKUP(C2134,'Perpipaan dalam Gedung '!$D$2:$J$5226,7,FALSE)</f>
        <v>0</v>
      </c>
      <c r="G2134" s="12">
        <f>VLOOKUP(C2134,'Perpipaan dalam Gedung '!$D$2:$K$5226,8,FALSE)</f>
        <v>0</v>
      </c>
      <c r="H2134" s="374"/>
      <c r="I2134" s="16"/>
    </row>
    <row r="2135" spans="1:9" ht="24" customHeight="1">
      <c r="B2135" s="1033" t="str">
        <f>'Perpipaan dalam Gedung '!C4706</f>
        <v>6.5.14.2</v>
      </c>
      <c r="C2135" s="39" t="str">
        <f>VLOOKUP(B2135,'Perpipaan dalam Gedung '!C:K,2,FALSE)</f>
        <v>Pemasangan 1 buah Floor Clean Out, Dia. 2-1/2" (65 mm)</v>
      </c>
      <c r="D2135" s="9" t="s">
        <v>44</v>
      </c>
      <c r="E2135" s="1021">
        <f>VLOOKUP(C2135,'Perpipaan dalam Gedung '!$D$2:$I$5226,6,FALSE)</f>
        <v>292500</v>
      </c>
      <c r="F2135" s="1003">
        <f>VLOOKUP(C2135,'Perpipaan dalam Gedung '!$D$2:$J$5226,7,FALSE)</f>
        <v>0</v>
      </c>
      <c r="G2135" s="12">
        <f>VLOOKUP(C2135,'Perpipaan dalam Gedung '!$D$2:$K$5226,8,FALSE)</f>
        <v>0</v>
      </c>
      <c r="H2135" s="374"/>
      <c r="I2135" s="16"/>
    </row>
    <row r="2136" spans="1:9" ht="24" customHeight="1">
      <c r="B2136" s="1033" t="str">
        <f>'Perpipaan dalam Gedung '!C4723</f>
        <v>6.5.14.3</v>
      </c>
      <c r="C2136" s="39" t="str">
        <f>VLOOKUP(B2136,'Perpipaan dalam Gedung '!C:K,2,FALSE)</f>
        <v>Pemasangan 1 buah Floor Clean Out, Dia. 3" (80 mm)</v>
      </c>
      <c r="D2136" s="9" t="s">
        <v>44</v>
      </c>
      <c r="E2136" s="1021">
        <f>VLOOKUP(C2136,'Perpipaan dalam Gedung '!$D$2:$I$5226,6,FALSE)</f>
        <v>356400</v>
      </c>
      <c r="F2136" s="1003">
        <f>VLOOKUP(C2136,'Perpipaan dalam Gedung '!$D$2:$J$5226,7,FALSE)</f>
        <v>0</v>
      </c>
      <c r="G2136" s="12">
        <f>VLOOKUP(C2136,'Perpipaan dalam Gedung '!$D$2:$K$5226,8,FALSE)</f>
        <v>0</v>
      </c>
      <c r="H2136" s="374"/>
      <c r="I2136" s="16"/>
    </row>
    <row r="2137" spans="1:9" ht="24" customHeight="1">
      <c r="B2137" s="1033" t="str">
        <f>'Perpipaan dalam Gedung '!C4740</f>
        <v>6.5.14.4</v>
      </c>
      <c r="C2137" s="39" t="str">
        <f>VLOOKUP(B2137,'Perpipaan dalam Gedung '!C:K,2,FALSE)</f>
        <v>Pemasangan 1 buah Floor Clean Out, Dia. 4" (100 mm)</v>
      </c>
      <c r="D2137" s="9" t="s">
        <v>44</v>
      </c>
      <c r="E2137" s="1021">
        <f>VLOOKUP(C2137,'Perpipaan dalam Gedung '!$D$2:$I$5226,6,FALSE)</f>
        <v>518800</v>
      </c>
      <c r="F2137" s="1003">
        <f>VLOOKUP(C2137,'Perpipaan dalam Gedung '!$D$2:$J$5226,7,FALSE)</f>
        <v>0</v>
      </c>
      <c r="G2137" s="12">
        <f>VLOOKUP(C2137,'Perpipaan dalam Gedung '!$D$2:$K$5226,8,FALSE)</f>
        <v>0</v>
      </c>
      <c r="H2137" s="374"/>
      <c r="I2137" s="16"/>
    </row>
    <row r="2138" spans="1:9" ht="24" customHeight="1">
      <c r="B2138" s="1033" t="str">
        <f>'Perpipaan dalam Gedung '!C4757</f>
        <v>6.5.14.5</v>
      </c>
      <c r="C2138" s="39" t="str">
        <f>VLOOKUP(B2138,'Perpipaan dalam Gedung '!C:K,2,FALSE)</f>
        <v>Pemasangan 1 buah Floor Clean Out, Dia. 6" (150 mm)</v>
      </c>
      <c r="D2138" s="9" t="s">
        <v>44</v>
      </c>
      <c r="E2138" s="1021">
        <f>VLOOKUP(C2138,'Perpipaan dalam Gedung '!$D$2:$I$5226,6,FALSE)</f>
        <v>734200</v>
      </c>
      <c r="F2138" s="1003">
        <f>VLOOKUP(C2138,'Perpipaan dalam Gedung '!$D$2:$J$5226,7,FALSE)</f>
        <v>0</v>
      </c>
      <c r="G2138" s="12">
        <f>VLOOKUP(C2138,'Perpipaan dalam Gedung '!$D$2:$K$5226,8,FALSE)</f>
        <v>0</v>
      </c>
      <c r="H2138" s="374"/>
      <c r="I2138" s="16"/>
    </row>
    <row r="2139" spans="1:9" ht="24" customHeight="1">
      <c r="B2139" s="1033" t="str">
        <f>'Perpipaan dalam Gedung '!C4774</f>
        <v>6.5.14.6</v>
      </c>
      <c r="C2139" s="39" t="str">
        <f>VLOOKUP(B2139,'Perpipaan dalam Gedung '!C:K,2,FALSE)</f>
        <v>Pemasangan 1 buah Floor Clean Out, Dia. 8" (200 mm)</v>
      </c>
      <c r="D2139" s="9" t="s">
        <v>44</v>
      </c>
      <c r="E2139" s="1021">
        <f>VLOOKUP(C2139,'Perpipaan dalam Gedung '!$D$2:$I$5226,6,FALSE)</f>
        <v>915000</v>
      </c>
      <c r="F2139" s="1003">
        <f>VLOOKUP(C2139,'Perpipaan dalam Gedung '!$D$2:$J$5226,7,FALSE)</f>
        <v>0</v>
      </c>
      <c r="G2139" s="12">
        <f>VLOOKUP(C2139,'Perpipaan dalam Gedung '!$D$2:$K$5226,8,FALSE)</f>
        <v>0</v>
      </c>
      <c r="H2139" s="374"/>
      <c r="I2139" s="16"/>
    </row>
    <row r="2140" spans="1:9" s="1" customFormat="1" ht="24" customHeight="1">
      <c r="A2140" s="47"/>
      <c r="B2140" s="1041" t="str">
        <f>'Perpipaan dalam Gedung '!C4791</f>
        <v>6.5.15</v>
      </c>
      <c r="C2140" s="40" t="str">
        <f>VLOOKUP(B2140,'Perpipaan dalam Gedung '!C:K,2,FALSE)</f>
        <v xml:space="preserve">Vent Cap </v>
      </c>
      <c r="D2140" s="19"/>
      <c r="E2140" s="1021">
        <f>VLOOKUP(C2140,'Perpipaan dalam Gedung '!$D$2:$I$5226,6,FALSE)</f>
        <v>0</v>
      </c>
      <c r="F2140" s="1003">
        <f>VLOOKUP(C2140,'Perpipaan dalam Gedung '!$D$2:$J$5226,7,FALSE)</f>
        <v>0</v>
      </c>
      <c r="G2140" s="12">
        <f>VLOOKUP(C2140,'Perpipaan dalam Gedung '!$D$2:$K$5226,8,FALSE)</f>
        <v>0</v>
      </c>
      <c r="H2140" s="1092"/>
      <c r="I2140" s="21"/>
    </row>
    <row r="2141" spans="1:9" ht="24" customHeight="1">
      <c r="B2141" s="1033" t="str">
        <f>'Perpipaan dalam Gedung '!C4792</f>
        <v>6.5.15.1</v>
      </c>
      <c r="C2141" s="39" t="str">
        <f>VLOOKUP(B2141,'Perpipaan dalam Gedung '!C:K,2,FALSE)</f>
        <v>Pemasangan 1 buah Vent Cap, Dia 2" (50 mm)</v>
      </c>
      <c r="D2141" s="9" t="s">
        <v>44</v>
      </c>
      <c r="E2141" s="1021">
        <f>VLOOKUP(C2141,'Perpipaan dalam Gedung '!$D$2:$I$5226,6,FALSE)</f>
        <v>91600</v>
      </c>
      <c r="F2141" s="1003">
        <f>VLOOKUP(C2141,'Perpipaan dalam Gedung '!$D$2:$J$5226,7,FALSE)</f>
        <v>0</v>
      </c>
      <c r="G2141" s="12">
        <f>VLOOKUP(C2141,'Perpipaan dalam Gedung '!$D$2:$K$5226,8,FALSE)</f>
        <v>0</v>
      </c>
      <c r="H2141" s="374"/>
      <c r="I2141" s="16"/>
    </row>
    <row r="2142" spans="1:9" ht="24" customHeight="1">
      <c r="B2142" s="1033" t="str">
        <f>'Perpipaan dalam Gedung '!C4809</f>
        <v>6.5.15.2</v>
      </c>
      <c r="C2142" s="39" t="str">
        <f>VLOOKUP(B2142,'Perpipaan dalam Gedung '!C:K,2,FALSE)</f>
        <v>Pemasangan 1 buah Vent Cap, Dia 3" (80 mm)</v>
      </c>
      <c r="D2142" s="9" t="s">
        <v>44</v>
      </c>
      <c r="E2142" s="1021">
        <f>VLOOKUP(C2142,'Perpipaan dalam Gedung '!$D$2:$I$5226,6,FALSE)</f>
        <v>150900</v>
      </c>
      <c r="F2142" s="1003">
        <f>VLOOKUP(C2142,'Perpipaan dalam Gedung '!$D$2:$J$5226,7,FALSE)</f>
        <v>0</v>
      </c>
      <c r="G2142" s="12">
        <f>VLOOKUP(C2142,'Perpipaan dalam Gedung '!$D$2:$K$5226,8,FALSE)</f>
        <v>0</v>
      </c>
      <c r="H2142" s="374"/>
      <c r="I2142" s="16"/>
    </row>
    <row r="2143" spans="1:9" ht="24" customHeight="1">
      <c r="B2143" s="1033" t="str">
        <f>'Perpipaan dalam Gedung '!C4826</f>
        <v>6.5.15.3</v>
      </c>
      <c r="C2143" s="39" t="str">
        <f>VLOOKUP(B2143,'Perpipaan dalam Gedung '!C:K,2,FALSE)</f>
        <v>Pemasangan 1 buah Vent Cap, Dia 4" (100 mm)</v>
      </c>
      <c r="D2143" s="9" t="s">
        <v>44</v>
      </c>
      <c r="E2143" s="1021">
        <f>VLOOKUP(C2143,'Perpipaan dalam Gedung '!$D$2:$I$5226,6,FALSE)</f>
        <v>194600</v>
      </c>
      <c r="F2143" s="1003">
        <f>VLOOKUP(C2143,'Perpipaan dalam Gedung '!$D$2:$J$5226,7,FALSE)</f>
        <v>0</v>
      </c>
      <c r="G2143" s="12">
        <f>VLOOKUP(C2143,'Perpipaan dalam Gedung '!$D$2:$K$5226,8,FALSE)</f>
        <v>0</v>
      </c>
      <c r="H2143" s="374"/>
      <c r="I2143" s="16"/>
    </row>
    <row r="2144" spans="1:9" s="1" customFormat="1" ht="24" customHeight="1">
      <c r="A2144" s="47"/>
      <c r="B2144" s="1041" t="str">
        <f>'Perpipaan dalam Gedung '!C4843</f>
        <v>6.5.16</v>
      </c>
      <c r="C2144" s="40" t="str">
        <f>VLOOKUP(B2144,'Perpipaan dalam Gedung '!C:K,2,FALSE)</f>
        <v>Pressure Recude Velve (PRV)</v>
      </c>
      <c r="D2144" s="19"/>
      <c r="E2144" s="1021">
        <f>VLOOKUP(C2144,'Perpipaan dalam Gedung '!$D$2:$I$5226,6,FALSE)</f>
        <v>0</v>
      </c>
      <c r="F2144" s="1003">
        <f>VLOOKUP(C2144,'Perpipaan dalam Gedung '!$D$2:$J$5226,7,FALSE)</f>
        <v>0</v>
      </c>
      <c r="G2144" s="12">
        <f>VLOOKUP(C2144,'Perpipaan dalam Gedung '!$D$2:$K$5226,8,FALSE)</f>
        <v>0</v>
      </c>
      <c r="H2144" s="1092"/>
      <c r="I2144" s="21"/>
    </row>
    <row r="2145" spans="1:9" ht="24" customHeight="1">
      <c r="B2145" s="1033" t="str">
        <f>'Perpipaan dalam Gedung '!C4844</f>
        <v>6.5.16.1</v>
      </c>
      <c r="C2145" s="39" t="str">
        <f>VLOOKUP(B2145,'Perpipaan dalam Gedung '!C:K,2,FALSE)</f>
        <v>Pemasangan 1 buah PRV, Dia 2" (50 mm)</v>
      </c>
      <c r="D2145" s="9" t="s">
        <v>44</v>
      </c>
      <c r="E2145" s="1021">
        <f>VLOOKUP(C2145,'Perpipaan dalam Gedung '!$D$2:$I$5226,6,FALSE)</f>
        <v>6404000</v>
      </c>
      <c r="F2145" s="1003">
        <f>VLOOKUP(C2145,'Perpipaan dalam Gedung '!$D$2:$J$5226,7,FALSE)</f>
        <v>0</v>
      </c>
      <c r="G2145" s="12">
        <f>VLOOKUP(C2145,'Perpipaan dalam Gedung '!$D$2:$K$5226,8,FALSE)</f>
        <v>0</v>
      </c>
      <c r="H2145" s="374"/>
      <c r="I2145" s="16"/>
    </row>
    <row r="2146" spans="1:9" ht="24" customHeight="1">
      <c r="B2146" s="1033" t="str">
        <f>'Perpipaan dalam Gedung '!C4861</f>
        <v>6.5.16.2</v>
      </c>
      <c r="C2146" s="39" t="str">
        <f>VLOOKUP(B2146,'Perpipaan dalam Gedung '!C:K,2,FALSE)</f>
        <v>Pemasangan 1 buah PRV, Dia 2-1/2" (65 mm)</v>
      </c>
      <c r="D2146" s="9" t="s">
        <v>44</v>
      </c>
      <c r="E2146" s="1021">
        <f>VLOOKUP(C2146,'Perpipaan dalam Gedung '!$D$2:$I$5226,6,FALSE)</f>
        <v>7018500</v>
      </c>
      <c r="F2146" s="1003">
        <f>VLOOKUP(C2146,'Perpipaan dalam Gedung '!$D$2:$J$5226,7,FALSE)</f>
        <v>0</v>
      </c>
      <c r="G2146" s="12">
        <f>VLOOKUP(C2146,'Perpipaan dalam Gedung '!$D$2:$K$5226,8,FALSE)</f>
        <v>0</v>
      </c>
      <c r="H2146" s="374"/>
      <c r="I2146" s="16"/>
    </row>
    <row r="2147" spans="1:9" ht="24" customHeight="1">
      <c r="B2147" s="1033" t="str">
        <f>'Perpipaan dalam Gedung '!C4878</f>
        <v>6.5.16.3</v>
      </c>
      <c r="C2147" s="39" t="str">
        <f>VLOOKUP(B2147,'Perpipaan dalam Gedung '!C:K,2,FALSE)</f>
        <v>Pemasangan 1 buah PRV Dia 3" (80 mm)</v>
      </c>
      <c r="D2147" s="9" t="s">
        <v>44</v>
      </c>
      <c r="E2147" s="1021">
        <f>VLOOKUP(C2147,'Perpipaan dalam Gedung '!$D$2:$I$5226,6,FALSE)</f>
        <v>11026300</v>
      </c>
      <c r="F2147" s="1003">
        <f>VLOOKUP(C2147,'Perpipaan dalam Gedung '!$D$2:$J$5226,7,FALSE)</f>
        <v>0</v>
      </c>
      <c r="G2147" s="12">
        <f>VLOOKUP(C2147,'Perpipaan dalam Gedung '!$D$2:$K$5226,8,FALSE)</f>
        <v>0</v>
      </c>
      <c r="H2147" s="374"/>
      <c r="I2147" s="16"/>
    </row>
    <row r="2148" spans="1:9" ht="24" customHeight="1">
      <c r="B2148" s="1033" t="str">
        <f>'Perpipaan dalam Gedung '!C4895</f>
        <v>6.5.16.4</v>
      </c>
      <c r="C2148" s="39" t="str">
        <f>VLOOKUP(B2148,'Perpipaan dalam Gedung '!C:K,2,FALSE)</f>
        <v>Pemasangan 1 buah PRV Dia 4" (100 mm)</v>
      </c>
      <c r="D2148" s="9" t="s">
        <v>44</v>
      </c>
      <c r="E2148" s="1021">
        <f>VLOOKUP(C2148,'Perpipaan dalam Gedung '!$D$2:$I$5226,6,FALSE)</f>
        <v>12486300</v>
      </c>
      <c r="F2148" s="1003">
        <f>VLOOKUP(C2148,'Perpipaan dalam Gedung '!$D$2:$J$5226,7,FALSE)</f>
        <v>0</v>
      </c>
      <c r="G2148" s="12">
        <f>VLOOKUP(C2148,'Perpipaan dalam Gedung '!$D$2:$K$5226,8,FALSE)</f>
        <v>0</v>
      </c>
      <c r="H2148" s="374"/>
      <c r="I2148" s="16"/>
    </row>
    <row r="2149" spans="1:9" ht="24" customHeight="1">
      <c r="B2149" s="1033" t="str">
        <f>'Perpipaan dalam Gedung '!C4912</f>
        <v>6.5.16.5</v>
      </c>
      <c r="C2149" s="39" t="str">
        <f>VLOOKUP(B2149,'Perpipaan dalam Gedung '!C:K,2,FALSE)</f>
        <v>Pemasangan 1 buah PRV Dia 6" (150 mm)</v>
      </c>
      <c r="D2149" s="9" t="s">
        <v>44</v>
      </c>
      <c r="E2149" s="1021">
        <f>VLOOKUP(C2149,'Perpipaan dalam Gedung '!$D$2:$I$5226,6,FALSE)</f>
        <v>13377800</v>
      </c>
      <c r="F2149" s="1003">
        <f>VLOOKUP(C2149,'Perpipaan dalam Gedung '!$D$2:$J$5226,7,FALSE)</f>
        <v>0</v>
      </c>
      <c r="G2149" s="12">
        <f>VLOOKUP(C2149,'Perpipaan dalam Gedung '!$D$2:$K$5226,8,FALSE)</f>
        <v>0</v>
      </c>
      <c r="H2149" s="374"/>
      <c r="I2149" s="16"/>
    </row>
    <row r="2150" spans="1:9" ht="24" customHeight="1">
      <c r="B2150" s="1033" t="str">
        <f>'Perpipaan dalam Gedung '!C4930</f>
        <v>6.5.16.6</v>
      </c>
      <c r="C2150" s="39" t="str">
        <f>VLOOKUP(B2150,'Perpipaan dalam Gedung '!C:K,2,FALSE)</f>
        <v>Pemasangan 1 buah PRV Dia 8" (200 mm)</v>
      </c>
      <c r="D2150" s="9" t="s">
        <v>44</v>
      </c>
      <c r="E2150" s="1021">
        <f>VLOOKUP(C2150,'Perpipaan dalam Gedung '!$D$2:$I$5226,6,FALSE)</f>
        <v>14285900</v>
      </c>
      <c r="F2150" s="1003">
        <f>VLOOKUP(C2150,'Perpipaan dalam Gedung '!$D$2:$J$5226,7,FALSE)</f>
        <v>0</v>
      </c>
      <c r="G2150" s="12">
        <f>VLOOKUP(C2150,'Perpipaan dalam Gedung '!$D$2:$K$5226,8,FALSE)</f>
        <v>0</v>
      </c>
      <c r="H2150" s="374"/>
      <c r="I2150" s="16"/>
    </row>
    <row r="2151" spans="1:9" s="1" customFormat="1" ht="24" customHeight="1">
      <c r="A2151" s="47"/>
      <c r="B2151" s="1041" t="str">
        <f>'Perpipaan dalam Gedung '!C4947</f>
        <v xml:space="preserve">6.5.17 </v>
      </c>
      <c r="C2151" s="40" t="str">
        <f>VLOOKUP(B2151,'Perpipaan dalam Gedung '!C:K,2,FALSE)</f>
        <v>Automatic Air Vent (AAV)</v>
      </c>
      <c r="D2151" s="19"/>
      <c r="E2151" s="1021">
        <f>VLOOKUP(C2151,'Perpipaan dalam Gedung '!$D$2:$I$5226,6,FALSE)</f>
        <v>0</v>
      </c>
      <c r="F2151" s="1003">
        <f>VLOOKUP(C2151,'Perpipaan dalam Gedung '!$D$2:$J$5226,7,FALSE)</f>
        <v>0</v>
      </c>
      <c r="G2151" s="12">
        <f>VLOOKUP(C2151,'Perpipaan dalam Gedung '!$D$2:$K$5226,8,FALSE)</f>
        <v>0</v>
      </c>
      <c r="H2151" s="1092"/>
      <c r="I2151" s="21"/>
    </row>
    <row r="2152" spans="1:9" ht="24" customHeight="1">
      <c r="B2152" s="1033" t="str">
        <f>'Perpipaan dalam Gedung '!C4948</f>
        <v>6.5.17.1</v>
      </c>
      <c r="C2152" s="39" t="str">
        <f>VLOOKUP(B2152,'Perpipaan dalam Gedung '!C:K,2,FALSE)</f>
        <v>Pemasangan 1 buah Automatic Air Vent, Dia. 1/2" (15 mm)</v>
      </c>
      <c r="D2152" s="9" t="s">
        <v>44</v>
      </c>
      <c r="E2152" s="1021">
        <f>VLOOKUP(C2152,'Perpipaan dalam Gedung '!$D$2:$I$5226,6,FALSE)</f>
        <v>325600</v>
      </c>
      <c r="F2152" s="1003">
        <f>VLOOKUP(C2152,'Perpipaan dalam Gedung '!$D$2:$J$5226,7,FALSE)</f>
        <v>0</v>
      </c>
      <c r="G2152" s="12">
        <f>VLOOKUP(C2152,'Perpipaan dalam Gedung '!$D$2:$K$5226,8,FALSE)</f>
        <v>0</v>
      </c>
      <c r="H2152" s="374"/>
      <c r="I2152" s="16"/>
    </row>
    <row r="2153" spans="1:9" ht="24" customHeight="1">
      <c r="B2153" s="1033" t="str">
        <f>'Perpipaan dalam Gedung '!C4965</f>
        <v>6.5.17.2</v>
      </c>
      <c r="C2153" s="39" t="str">
        <f>VLOOKUP(B2153,'Perpipaan dalam Gedung '!C:K,2,FALSE)</f>
        <v>Pemasangan 1 buah Automatic Air Vent, Dia. 1" (25 mm)</v>
      </c>
      <c r="D2153" s="9" t="s">
        <v>44</v>
      </c>
      <c r="E2153" s="1021">
        <f>VLOOKUP(C2153,'Perpipaan dalam Gedung '!$D$2:$I$5226,6,FALSE)</f>
        <v>1094000</v>
      </c>
      <c r="F2153" s="1003">
        <f>VLOOKUP(C2153,'Perpipaan dalam Gedung '!$D$2:$J$5226,7,FALSE)</f>
        <v>0</v>
      </c>
      <c r="G2153" s="12">
        <f>VLOOKUP(C2153,'Perpipaan dalam Gedung '!$D$2:$K$5226,8,FALSE)</f>
        <v>0</v>
      </c>
      <c r="H2153" s="374"/>
      <c r="I2153" s="16"/>
    </row>
    <row r="2154" spans="1:9" ht="24" customHeight="1">
      <c r="B2154" s="1033" t="str">
        <f>'Perpipaan dalam Gedung '!C4982</f>
        <v>6.5.17.3</v>
      </c>
      <c r="C2154" s="39" t="str">
        <f>VLOOKUP(B2154,'Perpipaan dalam Gedung '!C:K,2,FALSE)</f>
        <v>Pemasangan 1 buah Automatic Air Vent, Dia. 2" (50 mm)</v>
      </c>
      <c r="D2154" s="9" t="s">
        <v>44</v>
      </c>
      <c r="E2154" s="1021">
        <f>VLOOKUP(C2154,'Perpipaan dalam Gedung '!$D$2:$I$5226,6,FALSE)</f>
        <v>1365400</v>
      </c>
      <c r="F2154" s="1003">
        <f>VLOOKUP(C2154,'Perpipaan dalam Gedung '!$D$2:$J$5226,7,FALSE)</f>
        <v>0</v>
      </c>
      <c r="G2154" s="12">
        <f>VLOOKUP(C2154,'Perpipaan dalam Gedung '!$D$2:$K$5226,8,FALSE)</f>
        <v>0</v>
      </c>
      <c r="H2154" s="374"/>
      <c r="I2154" s="16"/>
    </row>
    <row r="2155" spans="1:9" ht="24" customHeight="1">
      <c r="B2155" s="1033" t="str">
        <f>'Perpipaan dalam Gedung '!C4999</f>
        <v>6.5.17.4</v>
      </c>
      <c r="C2155" s="39" t="str">
        <f>VLOOKUP(B2155,'Perpipaan dalam Gedung '!C:K,2,FALSE)</f>
        <v>Pemasangan 1 buah Automatic Air Vent, Dia. 3" (80 mm)</v>
      </c>
      <c r="D2155" s="9" t="s">
        <v>44</v>
      </c>
      <c r="E2155" s="1021">
        <f>VLOOKUP(C2155,'Perpipaan dalam Gedung '!$D$2:$I$5226,6,FALSE)</f>
        <v>1629200</v>
      </c>
      <c r="F2155" s="1003">
        <f>VLOOKUP(C2155,'Perpipaan dalam Gedung '!$D$2:$J$5226,7,FALSE)</f>
        <v>0</v>
      </c>
      <c r="G2155" s="12">
        <f>VLOOKUP(C2155,'Perpipaan dalam Gedung '!$D$2:$K$5226,8,FALSE)</f>
        <v>0</v>
      </c>
      <c r="H2155" s="374"/>
      <c r="I2155" s="16"/>
    </row>
    <row r="2156" spans="1:9" ht="24" customHeight="1">
      <c r="B2156" s="1033" t="str">
        <f>'Perpipaan dalam Gedung '!C5016</f>
        <v>6.5.17.5</v>
      </c>
      <c r="C2156" s="39" t="str">
        <f>VLOOKUP(B2156,'Perpipaan dalam Gedung '!C:K,2,FALSE)</f>
        <v>Pemasangan 1 buah Automatic Air Vent, Dia. 4" (100 mm)</v>
      </c>
      <c r="D2156" s="9" t="s">
        <v>44</v>
      </c>
      <c r="E2156" s="1021">
        <f>VLOOKUP(C2156,'Perpipaan dalam Gedung '!$D$2:$I$5226,6,FALSE)</f>
        <v>1907700</v>
      </c>
      <c r="F2156" s="1003">
        <f>VLOOKUP(C2156,'Perpipaan dalam Gedung '!$D$2:$J$5226,7,FALSE)</f>
        <v>0</v>
      </c>
      <c r="G2156" s="12">
        <f>VLOOKUP(C2156,'Perpipaan dalam Gedung '!$D$2:$K$5226,8,FALSE)</f>
        <v>0</v>
      </c>
      <c r="H2156" s="374"/>
      <c r="I2156" s="16"/>
    </row>
    <row r="2157" spans="1:9" ht="24" customHeight="1">
      <c r="B2157" s="1033" t="str">
        <f>'Perpipaan dalam Gedung '!C5033</f>
        <v>6.5.17.6</v>
      </c>
      <c r="C2157" s="39" t="str">
        <f>VLOOKUP(B2157,'Perpipaan dalam Gedung '!C:K,2,FALSE)</f>
        <v>Pemasangan 1 buah Automatic Air Vent, Dia. 6" (150 mm)</v>
      </c>
      <c r="D2157" s="9" t="s">
        <v>44</v>
      </c>
      <c r="E2157" s="1021">
        <f>VLOOKUP(C2157,'Perpipaan dalam Gedung '!$D$2:$I$5226,6,FALSE)</f>
        <v>2235000</v>
      </c>
      <c r="F2157" s="1003">
        <f>VLOOKUP(C2157,'Perpipaan dalam Gedung '!$D$2:$J$5226,7,FALSE)</f>
        <v>0</v>
      </c>
      <c r="G2157" s="12">
        <f>VLOOKUP(C2157,'Perpipaan dalam Gedung '!$D$2:$K$5226,8,FALSE)</f>
        <v>0</v>
      </c>
      <c r="H2157" s="374"/>
      <c r="I2157" s="16"/>
    </row>
    <row r="2158" spans="1:9" s="1" customFormat="1" ht="24" customHeight="1">
      <c r="A2158" s="47"/>
      <c r="B2158" s="1041" t="str">
        <f>'Perpipaan dalam Gedung '!C5051</f>
        <v>6.5.18</v>
      </c>
      <c r="C2158" s="40" t="str">
        <f>VLOOKUP(B2158,'Perpipaan dalam Gedung '!C:K,2,FALSE)</f>
        <v xml:space="preserve">Vent Out </v>
      </c>
      <c r="D2158" s="19"/>
      <c r="E2158" s="1021">
        <f>VLOOKUP(C2158,'Perpipaan dalam Gedung '!$D$2:$I$5226,6,FALSE)</f>
        <v>0</v>
      </c>
      <c r="F2158" s="1003">
        <f>VLOOKUP(C2158,'Perpipaan dalam Gedung '!$D$2:$J$5226,7,FALSE)</f>
        <v>0</v>
      </c>
      <c r="G2158" s="12">
        <f>VLOOKUP(C2158,'Perpipaan dalam Gedung '!$D$2:$K$5226,8,FALSE)</f>
        <v>0</v>
      </c>
      <c r="H2158" s="1092"/>
      <c r="I2158" s="21"/>
    </row>
    <row r="2159" spans="1:9" ht="24" customHeight="1">
      <c r="B2159" s="1033" t="str">
        <f>'Perpipaan dalam Gedung '!C5052</f>
        <v>6.5.18.1</v>
      </c>
      <c r="C2159" s="39" t="str">
        <f>VLOOKUP(B2159,'Perpipaan dalam Gedung '!C:K,2,FALSE)</f>
        <v>Pemasangan 1 buah Vent Out, Dia. 2" (50 mm)</v>
      </c>
      <c r="D2159" s="9" t="s">
        <v>44</v>
      </c>
      <c r="E2159" s="1021">
        <f>VLOOKUP(C2159,'Perpipaan dalam Gedung '!$D$2:$I$5226,6,FALSE)</f>
        <v>329400</v>
      </c>
      <c r="F2159" s="1003">
        <f>VLOOKUP(C2159,'Perpipaan dalam Gedung '!$D$2:$J$5226,7,FALSE)</f>
        <v>0</v>
      </c>
      <c r="G2159" s="12">
        <f>VLOOKUP(C2159,'Perpipaan dalam Gedung '!$D$2:$K$5226,8,FALSE)</f>
        <v>0</v>
      </c>
      <c r="H2159" s="374"/>
      <c r="I2159" s="16"/>
    </row>
    <row r="2160" spans="1:9" s="1" customFormat="1" ht="24" customHeight="1">
      <c r="A2160" s="47"/>
      <c r="B2160" s="1041" t="str">
        <f>'Perpipaan dalam Gedung '!C5069</f>
        <v>6.5.19</v>
      </c>
      <c r="C2160" s="40" t="str">
        <f>VLOOKUP(B2160,'Perpipaan dalam Gedung '!C:K,2,FALSE)</f>
        <v xml:space="preserve">Water Level Control (WLC) &amp; Pengkabelan </v>
      </c>
      <c r="D2160" s="9"/>
      <c r="E2160" s="1021">
        <f>VLOOKUP(C2160,'Perpipaan dalam Gedung '!$D$2:$I$5226,6,FALSE)</f>
        <v>0</v>
      </c>
      <c r="F2160" s="1003">
        <f>VLOOKUP(C2160,'Perpipaan dalam Gedung '!$D$2:$J$5226,7,FALSE)</f>
        <v>0</v>
      </c>
      <c r="G2160" s="12">
        <f>VLOOKUP(C2160,'Perpipaan dalam Gedung '!$D$2:$K$5226,8,FALSE)</f>
        <v>0</v>
      </c>
      <c r="H2160" s="1092"/>
      <c r="I2160" s="21"/>
    </row>
    <row r="2161" spans="1:9" ht="24" customHeight="1">
      <c r="B2161" s="1033" t="str">
        <f>'Perpipaan dalam Gedung '!C5070</f>
        <v>6.5.19.1</v>
      </c>
      <c r="C2161" s="39" t="str">
        <f>VLOOKUP(B2161,'Perpipaan dalam Gedung '!C:K,2,FALSE)</f>
        <v>Pemasangan 1 buah Vent OutWLC &amp; Pengkabelan</v>
      </c>
      <c r="D2161" s="9" t="s">
        <v>6431</v>
      </c>
      <c r="E2161" s="1021">
        <f>VLOOKUP(C2161,'Perpipaan dalam Gedung '!$D$2:$I$5226,6,FALSE)</f>
        <v>169300</v>
      </c>
      <c r="F2161" s="1003">
        <f>VLOOKUP(C2161,'Perpipaan dalam Gedung '!$D$2:$J$5226,7,FALSE)</f>
        <v>0</v>
      </c>
      <c r="G2161" s="12">
        <f>VLOOKUP(C2161,'Perpipaan dalam Gedung '!$D$2:$K$5226,8,FALSE)</f>
        <v>0</v>
      </c>
      <c r="H2161" s="374"/>
      <c r="I2161" s="16"/>
    </row>
    <row r="2162" spans="1:9" s="1" customFormat="1" ht="24" customHeight="1">
      <c r="A2162" s="47"/>
      <c r="B2162" s="1041" t="str">
        <f>'Perpipaan dalam Gedung '!C5087</f>
        <v>6.5.20</v>
      </c>
      <c r="C2162" s="40" t="str">
        <f>VLOOKUP(B2162,'Perpipaan dalam Gedung '!C:K,2,FALSE)</f>
        <v xml:space="preserve">Pressure Switch </v>
      </c>
      <c r="D2162" s="19"/>
      <c r="E2162" s="1021">
        <f>VLOOKUP(C2162,'Perpipaan dalam Gedung '!$D$2:$I$5226,6,FALSE)</f>
        <v>0</v>
      </c>
      <c r="F2162" s="1003">
        <f>VLOOKUP(C2162,'Perpipaan dalam Gedung '!$D$2:$J$5226,7,FALSE)</f>
        <v>0</v>
      </c>
      <c r="G2162" s="12">
        <f>VLOOKUP(C2162,'Perpipaan dalam Gedung '!$D$2:$K$5226,8,FALSE)</f>
        <v>0</v>
      </c>
      <c r="H2162" s="1092"/>
      <c r="I2162" s="21"/>
    </row>
    <row r="2163" spans="1:9" ht="24" customHeight="1">
      <c r="B2163" s="1033" t="str">
        <f>'Perpipaan dalam Gedung '!C5088</f>
        <v>6.5.20.1</v>
      </c>
      <c r="C2163" s="39" t="str">
        <f>VLOOKUP(B2163,'Perpipaan dalam Gedung '!C:K,2,FALSE)</f>
        <v xml:space="preserve">Pemasangan 1 buah Pressure Switch </v>
      </c>
      <c r="D2163" s="9" t="s">
        <v>44</v>
      </c>
      <c r="E2163" s="1021">
        <f>VLOOKUP(C2163,'Perpipaan dalam Gedung '!$D$2:$I$5226,6,FALSE)</f>
        <v>305600</v>
      </c>
      <c r="F2163" s="1003">
        <f>VLOOKUP(C2163,'Perpipaan dalam Gedung '!$D$2:$J$5226,7,FALSE)</f>
        <v>0</v>
      </c>
      <c r="G2163" s="12">
        <f>VLOOKUP(C2163,'Perpipaan dalam Gedung '!$D$2:$K$5226,8,FALSE)</f>
        <v>0</v>
      </c>
      <c r="H2163" s="374"/>
      <c r="I2163" s="16"/>
    </row>
    <row r="2164" spans="1:9" s="1" customFormat="1" ht="24" customHeight="1">
      <c r="A2164" s="47"/>
      <c r="B2164" s="1041" t="str">
        <f>'Perpipaan dalam Gedung '!C5105</f>
        <v>6.5.21</v>
      </c>
      <c r="C2164" s="40" t="str">
        <f>VLOOKUP(B2164,'Perpipaan dalam Gedung '!C:K,2,FALSE)</f>
        <v xml:space="preserve">Header Pipa PVC </v>
      </c>
      <c r="D2164" s="9"/>
      <c r="E2164" s="1021">
        <f>VLOOKUP(C2164,'Perpipaan dalam Gedung '!$D$2:$I$5226,6,FALSE)</f>
        <v>0</v>
      </c>
      <c r="F2164" s="1003">
        <f>VLOOKUP(C2164,'Perpipaan dalam Gedung '!$D$2:$J$5226,7,FALSE)</f>
        <v>0</v>
      </c>
      <c r="G2164" s="12">
        <f>VLOOKUP(C2164,'Perpipaan dalam Gedung '!$D$2:$K$5226,8,FALSE)</f>
        <v>0</v>
      </c>
      <c r="H2164" s="1092"/>
      <c r="I2164" s="21"/>
    </row>
    <row r="2165" spans="1:9" ht="24" customHeight="1">
      <c r="B2165" s="1033" t="str">
        <f>'Perpipaan dalam Gedung '!C5106</f>
        <v>6.5.21.1</v>
      </c>
      <c r="C2165" s="39" t="str">
        <f>VLOOKUP(B2165,'Perpipaan dalam Gedung '!C:K,2,FALSE)</f>
        <v>Pemasangan 1 m Header Pipa PVC AW, Dia. 4" ( 100 mm)</v>
      </c>
      <c r="D2165" s="9" t="s">
        <v>113</v>
      </c>
      <c r="E2165" s="1021">
        <f>VLOOKUP(C2165,'Perpipaan dalam Gedung '!$D$2:$I$5226,6,FALSE)</f>
        <v>1991000</v>
      </c>
      <c r="F2165" s="1003">
        <f>VLOOKUP(C2165,'Perpipaan dalam Gedung '!$D$2:$J$5226,7,FALSE)</f>
        <v>0</v>
      </c>
      <c r="G2165" s="12">
        <f>VLOOKUP(C2165,'Perpipaan dalam Gedung '!$D$2:$K$5226,8,FALSE)</f>
        <v>0</v>
      </c>
      <c r="H2165" s="374"/>
      <c r="I2165" s="16"/>
    </row>
    <row r="2166" spans="1:9" s="1" customFormat="1" ht="24" customHeight="1">
      <c r="A2166" s="47"/>
      <c r="B2166" s="1041" t="str">
        <f>'Perpipaan dalam Gedung '!C5123</f>
        <v>6.5.22</v>
      </c>
      <c r="C2166" s="40" t="str">
        <f>VLOOKUP(B2166,'Perpipaan dalam Gedung '!C:K,2,FALSE)</f>
        <v xml:space="preserve">Header Pipa Galvanis MED Class </v>
      </c>
      <c r="D2166" s="19"/>
      <c r="E2166" s="1021">
        <f>VLOOKUP(C2166,'Perpipaan dalam Gedung '!$D$2:$I$5226,6,FALSE)</f>
        <v>0</v>
      </c>
      <c r="F2166" s="1003">
        <f>VLOOKUP(C2166,'Perpipaan dalam Gedung '!$D$2:$J$5226,7,FALSE)</f>
        <v>0</v>
      </c>
      <c r="G2166" s="12">
        <f>VLOOKUP(C2166,'Perpipaan dalam Gedung '!$D$2:$K$5226,8,FALSE)</f>
        <v>0</v>
      </c>
      <c r="H2166" s="1092"/>
      <c r="I2166" s="21"/>
    </row>
    <row r="2167" spans="1:9" ht="24" customHeight="1">
      <c r="B2167" s="1033" t="str">
        <f>'Perpipaan dalam Gedung '!C5124</f>
        <v>6.5.22.1</v>
      </c>
      <c r="C2167" s="39" t="str">
        <f>VLOOKUP(B2167,'Perpipaan dalam Gedung '!C:K,2,FALSE)</f>
        <v>Pemasangan 1 m Header Pipa Galvanis Medd Class, Dia. 4" ( 100 mm)</v>
      </c>
      <c r="D2167" s="9" t="s">
        <v>113</v>
      </c>
      <c r="E2167" s="1021">
        <f>VLOOKUP(C2167,'Perpipaan dalam Gedung '!$D$2:$I$5226,6,FALSE)</f>
        <v>8870800</v>
      </c>
      <c r="F2167" s="1003">
        <f>VLOOKUP(C2167,'Perpipaan dalam Gedung '!$D$2:$J$5226,7,FALSE)</f>
        <v>0</v>
      </c>
      <c r="G2167" s="12">
        <f>VLOOKUP(C2167,'Perpipaan dalam Gedung '!$D$2:$K$5226,8,FALSE)</f>
        <v>0</v>
      </c>
      <c r="H2167" s="374"/>
      <c r="I2167" s="16"/>
    </row>
    <row r="2168" spans="1:9" s="1" customFormat="1" ht="24" customHeight="1">
      <c r="A2168" s="47"/>
      <c r="B2168" s="1041" t="str">
        <f>'Perpipaan dalam Gedung '!C5141</f>
        <v>6.5.23</v>
      </c>
      <c r="C2168" s="40" t="str">
        <f>VLOOKUP(B2168,'Perpipaan dalam Gedung '!C:K,2,FALSE)</f>
        <v>Header Pipa Black Steel (BS)</v>
      </c>
      <c r="D2168" s="19"/>
      <c r="E2168" s="1021">
        <f>VLOOKUP(C2168,'Perpipaan dalam Gedung '!$D$2:$I$5226,6,FALSE)</f>
        <v>0</v>
      </c>
      <c r="F2168" s="1003">
        <f>VLOOKUP(C2168,'Perpipaan dalam Gedung '!$D$2:$J$5226,7,FALSE)</f>
        <v>0</v>
      </c>
      <c r="G2168" s="12">
        <f>VLOOKUP(C2168,'Perpipaan dalam Gedung '!$D$2:$K$5226,8,FALSE)</f>
        <v>0</v>
      </c>
      <c r="H2168" s="1092"/>
      <c r="I2168" s="21"/>
    </row>
    <row r="2169" spans="1:9" ht="24" customHeight="1">
      <c r="B2169" s="1033" t="str">
        <f>'Perpipaan dalam Gedung '!C5142</f>
        <v>6.5.23.1</v>
      </c>
      <c r="C2169" s="39" t="str">
        <f>VLOOKUP(B2169,'Perpipaan dalam Gedung '!C:K,2,FALSE)</f>
        <v>Pemasangan 1 m Header Pipa BS SCH 40, Dia. 8" ( 200 mm)</v>
      </c>
      <c r="D2169" s="9" t="s">
        <v>113</v>
      </c>
      <c r="E2169" s="1021">
        <f>VLOOKUP(C2169,'Perpipaan dalam Gedung '!$D$2:$I$5226,6,FALSE)</f>
        <v>5883900</v>
      </c>
      <c r="F2169" s="1003">
        <f>VLOOKUP(C2169,'Perpipaan dalam Gedung '!$D$2:$J$5226,7,FALSE)</f>
        <v>0</v>
      </c>
      <c r="G2169" s="12">
        <f>VLOOKUP(C2169,'Perpipaan dalam Gedung '!$D$2:$K$5226,8,FALSE)</f>
        <v>0</v>
      </c>
      <c r="H2169" s="374"/>
      <c r="I2169" s="16"/>
    </row>
    <row r="2170" spans="1:9" ht="24" customHeight="1">
      <c r="B2170" s="1033" t="str">
        <f>'Perpipaan dalam Gedung '!C5159</f>
        <v>6.5.23.2</v>
      </c>
      <c r="C2170" s="39" t="str">
        <f>VLOOKUP(B2170,'Perpipaan dalam Gedung '!C:K,2,FALSE)</f>
        <v>Pemasangan 1 m Header Pipa BS SCH 40, Dia. 10" ( 250 mm)</v>
      </c>
      <c r="D2170" s="9" t="s">
        <v>113</v>
      </c>
      <c r="E2170" s="1021">
        <f>VLOOKUP(C2170,'Perpipaan dalam Gedung '!$D$2:$I$5226,6,FALSE)</f>
        <v>7703600</v>
      </c>
      <c r="F2170" s="1003">
        <f>VLOOKUP(C2170,'Perpipaan dalam Gedung '!$D$2:$J$5226,7,FALSE)</f>
        <v>0</v>
      </c>
      <c r="G2170" s="12">
        <f>VLOOKUP(C2170,'Perpipaan dalam Gedung '!$D$2:$K$5226,8,FALSE)</f>
        <v>0</v>
      </c>
      <c r="H2170" s="374"/>
      <c r="I2170" s="16"/>
    </row>
    <row r="2171" spans="1:9" s="1" customFormat="1" ht="24" customHeight="1">
      <c r="A2171" s="47"/>
      <c r="B2171" s="1041" t="str">
        <f>'Perpipaan dalam Gedung '!C5176</f>
        <v>6.5.24</v>
      </c>
      <c r="C2171" s="40" t="str">
        <f>VLOOKUP(B2171,'Perpipaan dalam Gedung '!C:K,2,FALSE)</f>
        <v xml:space="preserve">Dop PVC </v>
      </c>
      <c r="D2171" s="19"/>
      <c r="E2171" s="1021">
        <f>VLOOKUP(C2171,'Perpipaan dalam Gedung '!$D$2:$I$5226,6,FALSE)</f>
        <v>0</v>
      </c>
      <c r="F2171" s="1003">
        <f>VLOOKUP(C2171,'Perpipaan dalam Gedung '!$D$2:$J$5226,7,FALSE)</f>
        <v>0</v>
      </c>
      <c r="G2171" s="12">
        <f>VLOOKUP(C2171,'Perpipaan dalam Gedung '!$D$2:$K$5226,8,FALSE)</f>
        <v>0</v>
      </c>
      <c r="H2171" s="1092"/>
      <c r="I2171" s="21"/>
    </row>
    <row r="2172" spans="1:9" ht="24" customHeight="1">
      <c r="B2172" s="1033" t="str">
        <f>'Perpipaan dalam Gedung '!C5177</f>
        <v>6.5.24.1</v>
      </c>
      <c r="C2172" s="39" t="str">
        <f>VLOOKUP(B2172,'Perpipaan dalam Gedung '!C:K,2,FALSE)</f>
        <v>Pemasangan 1 buah DOP PVC dia. 3" (80 mm)</v>
      </c>
      <c r="D2172" s="9" t="s">
        <v>44</v>
      </c>
      <c r="E2172" s="1021">
        <f>VLOOKUP(C2172,'Perpipaan dalam Gedung '!$D$2:$I$5226,6,FALSE)</f>
        <v>30800</v>
      </c>
      <c r="F2172" s="1003">
        <f>VLOOKUP(C2172,'Perpipaan dalam Gedung '!$D$2:$J$5226,7,FALSE)</f>
        <v>0</v>
      </c>
      <c r="G2172" s="12">
        <f>VLOOKUP(C2172,'Perpipaan dalam Gedung '!$D$2:$K$5226,8,FALSE)</f>
        <v>0</v>
      </c>
      <c r="H2172" s="374"/>
      <c r="I2172" s="16"/>
    </row>
    <row r="2173" spans="1:9" ht="24" customHeight="1">
      <c r="B2173" s="1033" t="str">
        <f>'Perpipaan dalam Gedung '!C5194</f>
        <v>6.5.24.2</v>
      </c>
      <c r="C2173" s="39" t="str">
        <f>VLOOKUP(B2173,'Perpipaan dalam Gedung '!C:K,2,FALSE)</f>
        <v>Pemasangan 1 buah DOP PVC dia. 4" (100 mm)</v>
      </c>
      <c r="D2173" s="9" t="s">
        <v>44</v>
      </c>
      <c r="E2173" s="1021">
        <f>VLOOKUP(C2173,'Perpipaan dalam Gedung '!$D$2:$I$5226,6,FALSE)</f>
        <v>47800</v>
      </c>
      <c r="F2173" s="1003">
        <f>VLOOKUP(C2173,'Perpipaan dalam Gedung '!$D$2:$J$5226,7,FALSE)</f>
        <v>0</v>
      </c>
      <c r="G2173" s="12">
        <f>VLOOKUP(C2173,'Perpipaan dalam Gedung '!$D$2:$K$5226,8,FALSE)</f>
        <v>0</v>
      </c>
      <c r="H2173" s="374"/>
      <c r="I2173" s="16"/>
    </row>
    <row r="2174" spans="1:9" ht="24" customHeight="1">
      <c r="B2174" s="1033" t="str">
        <f>'Perpipaan dalam Gedung '!C5211</f>
        <v>6.5.24.3</v>
      </c>
      <c r="C2174" s="39" t="str">
        <f>VLOOKUP(B2174,'Perpipaan dalam Gedung '!C:K,2,FALSE)</f>
        <v>Pemasangan 1 buah DOP PVC dia. 6" (150 mm)</v>
      </c>
      <c r="D2174" s="9" t="s">
        <v>44</v>
      </c>
      <c r="E2174" s="1021">
        <f>VLOOKUP(C2174,'Perpipaan dalam Gedung '!$D$2:$I$5226,6,FALSE)</f>
        <v>71400</v>
      </c>
      <c r="F2174" s="1003">
        <f>VLOOKUP(C2174,'Perpipaan dalam Gedung '!$D$2:$J$5226,7,FALSE)</f>
        <v>0</v>
      </c>
      <c r="G2174" s="12">
        <f>VLOOKUP(C2174,'Perpipaan dalam Gedung '!$D$2:$K$5226,8,FALSE)</f>
        <v>0</v>
      </c>
      <c r="H2174" s="374"/>
      <c r="I2174" s="16"/>
    </row>
    <row r="2175" spans="1:9" ht="24" customHeight="1">
      <c r="B2175" s="1052" t="str">
        <f>'Sistem Air Hujan'!C2</f>
        <v>6.6</v>
      </c>
      <c r="C2175" s="1001" t="str">
        <f>VLOOKUP(B2175,'Sistem Air Hujan'!C:I,2,FALSE)</f>
        <v xml:space="preserve">SISTEM AIR HUJAN </v>
      </c>
      <c r="D2175" s="983"/>
      <c r="E2175" s="1024"/>
      <c r="F2175" s="1004"/>
      <c r="G2175" s="36"/>
      <c r="H2175" s="374"/>
      <c r="I2175" s="16"/>
    </row>
    <row r="2176" spans="1:9" ht="24" customHeight="1">
      <c r="B2176" s="1053" t="str">
        <f>'Sistem Air Hujan'!C3</f>
        <v xml:space="preserve">6.6.1 </v>
      </c>
      <c r="C2176" s="40" t="str">
        <f>VLOOKUP(B2176,'Sistem Air Hujan'!C:I,2,FALSE)</f>
        <v xml:space="preserve">Sumur Resapan </v>
      </c>
      <c r="D2176" s="22"/>
      <c r="E2176" s="1025"/>
      <c r="F2176" s="1003">
        <f>VLOOKUP(C2176,'Sistem Air Hujan'!D1:K25,7,FALSE)</f>
        <v>0</v>
      </c>
      <c r="G2176" s="12">
        <f>VLOOKUP(C2176,'Sistem Air Hujan'!D1:L25,8,FALSE)</f>
        <v>0</v>
      </c>
      <c r="H2176" s="374"/>
      <c r="I2176" s="16"/>
    </row>
    <row r="2177" spans="1:9" ht="24" customHeight="1">
      <c r="B2177" s="1033" t="str">
        <f>'Sistem Air Hujan'!C4</f>
        <v>6.6.1.1</v>
      </c>
      <c r="C2177" s="39" t="str">
        <f>VLOOKUP(B2177,'Sistem Air Hujan'!C:I,2,FALSE)</f>
        <v xml:space="preserve">Pembuatan 1 buah sumur Resapan Air Hujan diameter 80 cm, t=100 cm </v>
      </c>
      <c r="D2177" s="9" t="s">
        <v>44</v>
      </c>
      <c r="E2177" s="1021">
        <f>VLOOKUP(C2177,'Sistem Air Hujan'!D2:I26,6,FALSE)</f>
        <v>380300</v>
      </c>
      <c r="F2177" s="1003">
        <f>VLOOKUP(C2177,'Sistem Air Hujan'!D2:K26,7,FALSE)</f>
        <v>0</v>
      </c>
      <c r="G2177" s="12">
        <f>VLOOKUP(C2177,'Sistem Air Hujan'!D2:L26,8,FALSE)</f>
        <v>0</v>
      </c>
      <c r="H2177" s="374"/>
      <c r="I2177" s="16"/>
    </row>
    <row r="2178" spans="1:9" ht="24" customHeight="1">
      <c r="B2178" s="1054">
        <f>'Jalan Pada Pemukiman'!C3</f>
        <v>7</v>
      </c>
      <c r="C2178" s="1002" t="str">
        <f>VLOOKUP(B2178,'Jalan Pada Pemukiman'!C:J,2,FALSE)</f>
        <v>JALAN PADA PEMUKIMAN</v>
      </c>
      <c r="D2178" s="982"/>
      <c r="E2178" s="1023"/>
      <c r="F2178" s="1009">
        <f>VLOOKUP(C2178,'Jalan Pada Pemukiman'!$D$3:$J$514,7,FALSE)</f>
        <v>0</v>
      </c>
      <c r="G2178" s="29">
        <f>VLOOKUP(C2178,'Jalan Pada Pemukiman'!$D$3:$K$514,8,FALSE)</f>
        <v>0</v>
      </c>
      <c r="H2178" s="374"/>
      <c r="I2178" s="16"/>
    </row>
    <row r="2179" spans="1:9" ht="24" customHeight="1">
      <c r="B2179" s="1052" t="str">
        <f>'Jalan Pada Pemukiman'!C4</f>
        <v>7.1</v>
      </c>
      <c r="C2179" s="1001" t="str">
        <f>VLOOKUP(B2179,'Jalan Pada Pemukiman'!C:J,2,FALSE)</f>
        <v>JALAN PAVING BLOCK</v>
      </c>
      <c r="D2179" s="983"/>
      <c r="E2179" s="1024"/>
      <c r="F2179" s="1004">
        <f>VLOOKUP(C2179,'Jalan Pada Pemukiman'!$D$3:$J$514,7,FALSE)</f>
        <v>0</v>
      </c>
      <c r="G2179" s="35">
        <f>VLOOKUP(C2179,'Jalan Pada Pemukiman'!$D$3:$K$514,8,FALSE)</f>
        <v>0</v>
      </c>
      <c r="H2179" s="374"/>
      <c r="I2179" s="16"/>
    </row>
    <row r="2180" spans="1:9" s="1" customFormat="1" ht="24" customHeight="1">
      <c r="A2180" s="47"/>
      <c r="B2180" s="1041" t="str">
        <f>'Jalan Pada Pemukiman'!C5</f>
        <v>7.1.1</v>
      </c>
      <c r="C2180" s="40" t="str">
        <f>VLOOKUP(B2180,'Jalan Pada Pemukiman'!C:J,2,FALSE)</f>
        <v xml:space="preserve">Pemasangan Paving Block </v>
      </c>
      <c r="D2180" s="19"/>
      <c r="E2180" s="1021">
        <f>VLOOKUP(C2180,'Jalan Pada Pemukiman'!$D$3:$I$514,6,FALSE)</f>
        <v>0</v>
      </c>
      <c r="F2180" s="1003">
        <f>VLOOKUP(C2180,'Jalan Pada Pemukiman'!$D$3:$J$514,7,FALSE)</f>
        <v>0</v>
      </c>
      <c r="G2180" s="11">
        <f>VLOOKUP(C2180,'Jalan Pada Pemukiman'!$D$3:$K$514,8,FALSE)</f>
        <v>0</v>
      </c>
      <c r="H2180" s="1092"/>
      <c r="I2180" s="21"/>
    </row>
    <row r="2181" spans="1:9" ht="24" customHeight="1">
      <c r="B2181" s="1033" t="str">
        <f>'Jalan Pada Pemukiman'!C6</f>
        <v>7.1.1.1</v>
      </c>
      <c r="C2181" s="39" t="str">
        <f>VLOOKUP(B2181,'Jalan Pada Pemukiman'!C:J,2,FALSE)</f>
        <v xml:space="preserve">Pemasangan 1 m2 Paving Block (Blok Beton) Natural Tebal 6 cm fc'20 Mpa dan Pengunci Uskup untuk Jalan Lingkungan (Jalan Lokal) Secara Manual </v>
      </c>
      <c r="D2181" s="9" t="s">
        <v>62</v>
      </c>
      <c r="E2181" s="1021">
        <f>VLOOKUP(C2181,'Jalan Pada Pemukiman'!$D$3:$I$514,6,FALSE)</f>
        <v>59500</v>
      </c>
      <c r="F2181" s="1003">
        <f>VLOOKUP(C2181,'Jalan Pada Pemukiman'!$D$3:$J$514,7,FALSE)</f>
        <v>0</v>
      </c>
      <c r="G2181" s="12">
        <f>VLOOKUP(C2181,'Jalan Pada Pemukiman'!$D$3:$K$514,8,FALSE)</f>
        <v>0</v>
      </c>
      <c r="H2181" s="374"/>
      <c r="I2181" s="16"/>
    </row>
    <row r="2182" spans="1:9" ht="24" customHeight="1">
      <c r="B2182" s="1033" t="str">
        <f>'Jalan Pada Pemukiman'!C26</f>
        <v>7.1.1.2</v>
      </c>
      <c r="C2182" s="39" t="str">
        <f>VLOOKUP(B2182,'Jalan Pada Pemukiman'!C:J,2,FALSE)</f>
        <v xml:space="preserve">Pemasangan 1 m2 Paving Block (Blok Beton) Natural Tebal 6 cm fc'25 Mpa dan Pengunci Uskup untuk Jalan Lakses/Penghubug (Jalan Kolektor) Secara Manual </v>
      </c>
      <c r="D2182" s="9" t="s">
        <v>62</v>
      </c>
      <c r="E2182" s="1021">
        <f>VLOOKUP(C2182,'Jalan Pada Pemukiman'!$D$3:$I$514,6,FALSE)</f>
        <v>59500</v>
      </c>
      <c r="F2182" s="1003">
        <f>VLOOKUP(C2182,'Jalan Pada Pemukiman'!$D$3:$J$514,7,FALSE)</f>
        <v>0</v>
      </c>
      <c r="G2182" s="12">
        <f>VLOOKUP(C2182,'Jalan Pada Pemukiman'!$D$3:$K$514,8,FALSE)</f>
        <v>0</v>
      </c>
      <c r="H2182" s="374"/>
      <c r="I2182" s="16"/>
    </row>
    <row r="2183" spans="1:9" ht="24" customHeight="1">
      <c r="B2183" s="1033" t="str">
        <f>'Jalan Pada Pemukiman'!C45</f>
        <v>7.1.1.3</v>
      </c>
      <c r="C2183" s="39" t="str">
        <f>VLOOKUP(B2183,'Jalan Pada Pemukiman'!C:J,2,FALSE)</f>
        <v xml:space="preserve">Pemasangan 1 m2 Paving Block (Blok Beton) Natural Tebal 6 cm fc'20 Mpa dan Pengunci Uskup untuk Jalan Lingkungan (Jalan Lokal) Secara semi mekanis </v>
      </c>
      <c r="D2183" s="9" t="s">
        <v>62</v>
      </c>
      <c r="E2183" s="1021">
        <f>VLOOKUP(C2183,'Jalan Pada Pemukiman'!$D$3:$I$514,6,FALSE)</f>
        <v>44600</v>
      </c>
      <c r="F2183" s="1003">
        <f>VLOOKUP(C2183,'Jalan Pada Pemukiman'!$D$3:$J$514,7,FALSE)</f>
        <v>0</v>
      </c>
      <c r="G2183" s="12">
        <f>VLOOKUP(C2183,'Jalan Pada Pemukiman'!$D$3:$K$514,8,FALSE)</f>
        <v>0</v>
      </c>
      <c r="H2183" s="374"/>
      <c r="I2183" s="16"/>
    </row>
    <row r="2184" spans="1:9" ht="24" customHeight="1">
      <c r="B2184" s="1033" t="str">
        <f>'Jalan Pada Pemukiman'!C65</f>
        <v>7.1.1.4</v>
      </c>
      <c r="C2184" s="39" t="str">
        <f>VLOOKUP(B2184,'Jalan Pada Pemukiman'!C:J,2,FALSE)</f>
        <v xml:space="preserve">Pemasangan 1 m2 Paving Block (Blok Beton) Natural Tebal 6 cm fc'25 Mpa dan Pengunci Uskup untuk Jalan Lingkungan (Jalan Lokal) Secara semi mekanis </v>
      </c>
      <c r="D2184" s="9" t="s">
        <v>62</v>
      </c>
      <c r="E2184" s="1021">
        <f>VLOOKUP(C2184,'Jalan Pada Pemukiman'!$D$3:$I$514,6,FALSE)</f>
        <v>44600</v>
      </c>
      <c r="F2184" s="1003">
        <f>VLOOKUP(C2184,'Jalan Pada Pemukiman'!$D$3:$J$514,7,FALSE)</f>
        <v>0</v>
      </c>
      <c r="G2184" s="12">
        <f>VLOOKUP(C2184,'Jalan Pada Pemukiman'!$D$3:$K$514,8,FALSE)</f>
        <v>0</v>
      </c>
      <c r="H2184" s="374"/>
      <c r="I2184" s="16"/>
    </row>
    <row r="2185" spans="1:9" ht="24" customHeight="1">
      <c r="B2185" s="1033" t="str">
        <f>'Jalan Pada Pemukiman'!C85</f>
        <v>7.1.1.5</v>
      </c>
      <c r="C2185" s="39" t="str">
        <f>VLOOKUP(B2185,'Jalan Pada Pemukiman'!C:J,2,FALSE)</f>
        <v>Pemasangan 1 m2 Paving Block (Blok Beton) Natural Tebal 8 cm fc'20 Mpa dan Pengunci Topi Uskup untuk Jalan Lingkungan (Jalan Lokal) Secara manual</v>
      </c>
      <c r="D2185" s="9" t="s">
        <v>62</v>
      </c>
      <c r="E2185" s="1021">
        <f>VLOOKUP(C2185,'Jalan Pada Pemukiman'!$D$3:$I$514,6,FALSE)</f>
        <v>71800</v>
      </c>
      <c r="F2185" s="1003">
        <f>VLOOKUP(C2185,'Jalan Pada Pemukiman'!$D$3:$J$514,7,FALSE)</f>
        <v>0</v>
      </c>
      <c r="G2185" s="12">
        <f>VLOOKUP(C2185,'Jalan Pada Pemukiman'!$D$3:$K$514,8,FALSE)</f>
        <v>0</v>
      </c>
      <c r="H2185" s="374"/>
      <c r="I2185" s="16"/>
    </row>
    <row r="2186" spans="1:9" ht="24" customHeight="1">
      <c r="B2186" s="1033" t="str">
        <f>'Jalan Pada Pemukiman'!C104</f>
        <v>7.1.1.6</v>
      </c>
      <c r="C2186" s="39" t="str">
        <f>VLOOKUP(B2186,'Jalan Pada Pemukiman'!C:J,2,FALSE)</f>
        <v>Pemasangan 1 m2 Paving Block (Blok Beton) Natural Tebal 8 cm fc'25 Mpa dan Pengunci Topi Uskup untuk Jalan akses/penghubung (Jalan kolektor) Secara manual</v>
      </c>
      <c r="D2186" s="9" t="s">
        <v>62</v>
      </c>
      <c r="E2186" s="1021">
        <f>VLOOKUP(C2186,'Jalan Pada Pemukiman'!$D$3:$I$514,6,FALSE)</f>
        <v>71800</v>
      </c>
      <c r="F2186" s="1003">
        <f>VLOOKUP(C2186,'Jalan Pada Pemukiman'!$D$3:$J$514,7,FALSE)</f>
        <v>0</v>
      </c>
      <c r="G2186" s="12">
        <f>VLOOKUP(C2186,'Jalan Pada Pemukiman'!$D$3:$K$514,8,FALSE)</f>
        <v>0</v>
      </c>
      <c r="H2186" s="374"/>
      <c r="I2186" s="16"/>
    </row>
    <row r="2187" spans="1:9" ht="24" customHeight="1">
      <c r="B2187" s="1033" t="str">
        <f>'Jalan Pada Pemukiman'!C123</f>
        <v>7.1.1.7</v>
      </c>
      <c r="C2187" s="39" t="str">
        <f>VLOOKUP(B2187,'Jalan Pada Pemukiman'!C:J,2,FALSE)</f>
        <v xml:space="preserve">Pemasangan 1 m2 Paving Block (Blok Beton) Natural Tebal 8 cm fc'20 Mpa dan Pengunci Topi Uskup untuk Jalan Lingkungan (Jalan Lokal) Secara semi mekanis </v>
      </c>
      <c r="D2187" s="9" t="s">
        <v>62</v>
      </c>
      <c r="E2187" s="1021">
        <f>VLOOKUP(C2187,'Jalan Pada Pemukiman'!$D$3:$I$514,6,FALSE)</f>
        <v>57300</v>
      </c>
      <c r="F2187" s="1003">
        <f>VLOOKUP(C2187,'Jalan Pada Pemukiman'!$D$3:$J$514,7,FALSE)</f>
        <v>0</v>
      </c>
      <c r="G2187" s="12">
        <f>VLOOKUP(C2187,'Jalan Pada Pemukiman'!$D$3:$K$514,8,FALSE)</f>
        <v>0</v>
      </c>
      <c r="H2187" s="374"/>
      <c r="I2187" s="16"/>
    </row>
    <row r="2188" spans="1:9" ht="24" customHeight="1">
      <c r="B2188" s="1033" t="str">
        <f>'Jalan Pada Pemukiman'!C143</f>
        <v>7.1.1.8</v>
      </c>
      <c r="C2188" s="39" t="str">
        <f>VLOOKUP(B2188,'Jalan Pada Pemukiman'!C:J,2,FALSE)</f>
        <v xml:space="preserve">Pemasangan 1 m2 Paving Block (Blok Beton) Natural Tebal 8 cm fc'25 Mpa dan Pengunci Topi Uskup untuk Jalan Akses/Penghubung  (Jalan Kolektor) Secara semi mekanis </v>
      </c>
      <c r="D2188" s="9" t="s">
        <v>62</v>
      </c>
      <c r="E2188" s="1021">
        <f>VLOOKUP(C2188,'Jalan Pada Pemukiman'!$D$3:$I$514,6,FALSE)</f>
        <v>57300</v>
      </c>
      <c r="F2188" s="1003">
        <f>VLOOKUP(C2188,'Jalan Pada Pemukiman'!$D$3:$J$514,7,FALSE)</f>
        <v>0</v>
      </c>
      <c r="G2188" s="12">
        <f>VLOOKUP(C2188,'Jalan Pada Pemukiman'!$D$3:$K$514,8,FALSE)</f>
        <v>0</v>
      </c>
      <c r="H2188" s="374"/>
      <c r="I2188" s="16"/>
    </row>
    <row r="2189" spans="1:9" ht="24" customHeight="1">
      <c r="B2189" s="1041" t="str">
        <f>'Jalan Pada Pemukiman'!C164</f>
        <v>7.1.2</v>
      </c>
      <c r="C2189" s="40" t="str">
        <f>VLOOKUP(B2189,'Jalan Pada Pemukiman'!C:J,2,FALSE)</f>
        <v>Pemasangan Kanstin</v>
      </c>
      <c r="D2189" s="9"/>
      <c r="E2189" s="1021">
        <f>VLOOKUP(C2189,'Jalan Pada Pemukiman'!$D$3:$I$514,6,FALSE)</f>
        <v>0</v>
      </c>
      <c r="F2189" s="1003">
        <f>VLOOKUP(C2189,'Jalan Pada Pemukiman'!$D$3:$J$514,7,FALSE)</f>
        <v>0</v>
      </c>
      <c r="G2189" s="12">
        <f>VLOOKUP(C2189,'Jalan Pada Pemukiman'!$D$3:$K$514,8,FALSE)</f>
        <v>0</v>
      </c>
      <c r="H2189" s="374"/>
      <c r="I2189" s="16"/>
    </row>
    <row r="2190" spans="1:9" ht="24" customHeight="1">
      <c r="B2190" s="1033" t="str">
        <f>'Jalan Pada Pemukiman'!C165</f>
        <v>7.1.2.1</v>
      </c>
      <c r="C2190" s="39" t="str">
        <f>VLOOKUP(B2190,'Jalan Pada Pemukiman'!C:J,2,FALSE)</f>
        <v>Pemasangan 1 m' Kanstin, Tebal 10x20x40 cm dengan kupingan untuk jalan Lingkungan (Jalan Lokal)</v>
      </c>
      <c r="D2190" s="9" t="s">
        <v>113</v>
      </c>
      <c r="E2190" s="1021">
        <f>VLOOKUP(C2190,'Jalan Pada Pemukiman'!$D$3:$I$514,6,FALSE)</f>
        <v>10300</v>
      </c>
      <c r="F2190" s="1003">
        <f>VLOOKUP(C2190,'Jalan Pada Pemukiman'!$D$3:$J$514,7,FALSE)</f>
        <v>0</v>
      </c>
      <c r="G2190" s="12">
        <f>VLOOKUP(C2190,'Jalan Pada Pemukiman'!$D$3:$K$514,8,FALSE)</f>
        <v>0</v>
      </c>
      <c r="H2190" s="374"/>
      <c r="I2190" s="16"/>
    </row>
    <row r="2191" spans="1:9" ht="24" customHeight="1">
      <c r="B2191" s="1033" t="str">
        <f>'Jalan Pada Pemukiman'!C184</f>
        <v>7.1.2.2</v>
      </c>
      <c r="C2191" s="39" t="str">
        <f>VLOOKUP(B2191,'Jalan Pada Pemukiman'!C:J,2,FALSE)</f>
        <v>Pemasangan 1 m' Kanstin, Tebal 15x40x460 cm dengan kupingan untuk jalan Akses/penghubung (Jalan Kolektor)</v>
      </c>
      <c r="D2191" s="9" t="s">
        <v>113</v>
      </c>
      <c r="E2191" s="1021">
        <f>VLOOKUP(C2191,'Jalan Pada Pemukiman'!$D$3:$I$514,6,FALSE)</f>
        <v>12300</v>
      </c>
      <c r="F2191" s="1003">
        <f>VLOOKUP(C2191,'Jalan Pada Pemukiman'!$D$3:$J$514,7,FALSE)</f>
        <v>0</v>
      </c>
      <c r="G2191" s="12">
        <f>VLOOKUP(C2191,'Jalan Pada Pemukiman'!$D$3:$K$514,8,FALSE)</f>
        <v>0</v>
      </c>
      <c r="H2191" s="374"/>
      <c r="I2191" s="16"/>
    </row>
    <row r="2192" spans="1:9" ht="24" customHeight="1">
      <c r="B2192" s="1033" t="str">
        <f>'Jalan Pada Pemukiman'!C202</f>
        <v>7.1.2.3</v>
      </c>
      <c r="C2192" s="39" t="str">
        <f>VLOOKUP(B2192,'Jalan Pada Pemukiman'!C:J,2,FALSE)</f>
        <v>Pemasangan 1 m' Kanstin, Tebal 10x20x40 cm tanpa kupingan untuk jalan Lingkungan (Jalan Lokal)</v>
      </c>
      <c r="D2192" s="9" t="s">
        <v>113</v>
      </c>
      <c r="E2192" s="1021">
        <f>VLOOKUP(C2192,'Jalan Pada Pemukiman'!$D$3:$I$514,6,FALSE)</f>
        <v>11400</v>
      </c>
      <c r="F2192" s="1003">
        <f>VLOOKUP(C2192,'Jalan Pada Pemukiman'!$D$3:$J$514,7,FALSE)</f>
        <v>0</v>
      </c>
      <c r="G2192" s="12">
        <f>VLOOKUP(C2192,'Jalan Pada Pemukiman'!$D$3:$K$514,8,FALSE)</f>
        <v>0</v>
      </c>
      <c r="H2192" s="374"/>
      <c r="I2192" s="16"/>
    </row>
    <row r="2193" spans="1:9" ht="24" customHeight="1">
      <c r="B2193" s="1033" t="str">
        <f>'Jalan Pada Pemukiman'!C220</f>
        <v>7.1.2.4</v>
      </c>
      <c r="C2193" s="39" t="str">
        <f>VLOOKUP(B2193,'Jalan Pada Pemukiman'!C:J,2,FALSE)</f>
        <v>Pemasangan 1 m' Kanstin, Tebal 15x40x460 cm Tanpa kupingan untuk jalan Akses/penghubung (Jalan Kolektor)</v>
      </c>
      <c r="D2193" s="9" t="s">
        <v>113</v>
      </c>
      <c r="E2193" s="1021">
        <f>VLOOKUP(C2193,'Jalan Pada Pemukiman'!$D$3:$I$514,6,FALSE)</f>
        <v>13900</v>
      </c>
      <c r="F2193" s="1003">
        <f>VLOOKUP(C2193,'Jalan Pada Pemukiman'!$D$3:$J$514,7,FALSE)</f>
        <v>0</v>
      </c>
      <c r="G2193" s="12">
        <f>VLOOKUP(C2193,'Jalan Pada Pemukiman'!$D$3:$K$514,8,FALSE)</f>
        <v>0</v>
      </c>
      <c r="H2193" s="374"/>
      <c r="I2193" s="16"/>
    </row>
    <row r="2194" spans="1:9" s="1" customFormat="1" ht="24" customHeight="1">
      <c r="A2194" s="47"/>
      <c r="B2194" s="1043" t="str">
        <f>'Jalan Pada Pemukiman'!C239</f>
        <v>7.2</v>
      </c>
      <c r="C2194" s="1001" t="str">
        <f>VLOOKUP(B2194,'Jalan Pada Pemukiman'!C:J,2,FALSE)</f>
        <v xml:space="preserve">JALAN BETON </v>
      </c>
      <c r="D2194" s="994"/>
      <c r="E2194" s="1022">
        <f>VLOOKUP(C2194,'Jalan Pada Pemukiman'!$D$3:$I$514,6,FALSE)</f>
        <v>0</v>
      </c>
      <c r="F2194" s="1004">
        <f>VLOOKUP(C2194,'Jalan Pada Pemukiman'!$D$3:$J$514,7,FALSE)</f>
        <v>0</v>
      </c>
      <c r="G2194" s="36">
        <f>VLOOKUP(C2194,'Jalan Pada Pemukiman'!$D$3:$K$514,8,FALSE)</f>
        <v>0</v>
      </c>
      <c r="H2194" s="1092"/>
      <c r="I2194" s="21"/>
    </row>
    <row r="2195" spans="1:9" s="1" customFormat="1" ht="24" customHeight="1">
      <c r="A2195" s="47"/>
      <c r="B2195" s="1041" t="str">
        <f>'Jalan Pada Pemukiman'!C240</f>
        <v>7.2.1</v>
      </c>
      <c r="C2195" s="40" t="str">
        <f>VLOOKUP(B2195,'Jalan Pada Pemukiman'!C:J,2,FALSE)</f>
        <v xml:space="preserve">Pembuatan Beton Kurus </v>
      </c>
      <c r="D2195" s="19"/>
      <c r="E2195" s="1021">
        <f>VLOOKUP(C2195,'Jalan Pada Pemukiman'!$D$3:$I$514,6,FALSE)</f>
        <v>0</v>
      </c>
      <c r="F2195" s="1003">
        <f>VLOOKUP(C2195,'Jalan Pada Pemukiman'!$D$3:$J$514,7,FALSE)</f>
        <v>0</v>
      </c>
      <c r="G2195" s="12">
        <f>VLOOKUP(C2195,'Jalan Pada Pemukiman'!$D$3:$K$514,8,FALSE)</f>
        <v>0</v>
      </c>
      <c r="H2195" s="1092"/>
      <c r="I2195" s="21"/>
    </row>
    <row r="2196" spans="1:9" ht="24" customHeight="1">
      <c r="B2196" s="1033" t="str">
        <f>'Jalan Pada Pemukiman'!C241</f>
        <v>7.2.1.1</v>
      </c>
      <c r="C2196" s="39" t="str">
        <f>VLOOKUP(B2196,'Jalan Pada Pemukiman'!C:J,2,FALSE)</f>
        <v xml:space="preserve">1 m3 Beton Kurus fc 10 Mpa untuk Jalan Lingkungan (Jalan Lokal) Semi Mekanis </v>
      </c>
      <c r="D2196" s="9" t="s">
        <v>42</v>
      </c>
      <c r="E2196" s="1021">
        <f>VLOOKUP(C2196,'Jalan Pada Pemukiman'!$D$3:$I$514,6,FALSE)</f>
        <v>1373300</v>
      </c>
      <c r="F2196" s="1003">
        <f>VLOOKUP(C2196,'Jalan Pada Pemukiman'!$D$3:$J$514,7,FALSE)</f>
        <v>0</v>
      </c>
      <c r="G2196" s="12">
        <f>VLOOKUP(C2196,'Jalan Pada Pemukiman'!$D$3:$K$514,8,FALSE)</f>
        <v>0</v>
      </c>
      <c r="H2196" s="374"/>
      <c r="I2196" s="16"/>
    </row>
    <row r="2197" spans="1:9" ht="24" customHeight="1">
      <c r="B2197" s="1033" t="str">
        <f>'Jalan Pada Pemukiman'!C265</f>
        <v>7.2.1.2</v>
      </c>
      <c r="C2197" s="39" t="str">
        <f>VLOOKUP(B2197,'Jalan Pada Pemukiman'!C:J,2,FALSE)</f>
        <v xml:space="preserve">1 m3 Beton Kurus fc 10 Mpa untuk Jalan Akses/Penghubung (Jalan Kolektor) Semi Mekanis </v>
      </c>
      <c r="D2197" s="9" t="s">
        <v>42</v>
      </c>
      <c r="E2197" s="1021">
        <f>VLOOKUP(C2197,'Jalan Pada Pemukiman'!$D$3:$I$514,6,FALSE)</f>
        <v>1346500</v>
      </c>
      <c r="F2197" s="1003">
        <f>VLOOKUP(C2197,'Jalan Pada Pemukiman'!$D$3:$J$514,7,FALSE)</f>
        <v>0</v>
      </c>
      <c r="G2197" s="12">
        <f>VLOOKUP(C2197,'Jalan Pada Pemukiman'!$D$3:$K$514,8,FALSE)</f>
        <v>0</v>
      </c>
      <c r="H2197" s="374"/>
      <c r="I2197" s="16"/>
    </row>
    <row r="2198" spans="1:9" ht="24" customHeight="1">
      <c r="B2198" s="1033" t="str">
        <f>'Jalan Pada Pemukiman'!C292</f>
        <v>7.2.1.3</v>
      </c>
      <c r="C2198" s="39" t="str">
        <f>VLOOKUP(B2198,'Jalan Pada Pemukiman'!C:J,2,FALSE)</f>
        <v>1 m3 Beton Kurus fc 10 Mpa untuk JalanLingkungan (Jalan Lokal) Ready Mixed</v>
      </c>
      <c r="D2198" s="9" t="s">
        <v>42</v>
      </c>
      <c r="E2198" s="1021">
        <f>VLOOKUP(C2198,'Jalan Pada Pemukiman'!$D$3:$I$514,6,FALSE)</f>
        <v>1129900</v>
      </c>
      <c r="F2198" s="1003">
        <f>VLOOKUP(C2198,'Jalan Pada Pemukiman'!$D$3:$J$514,7,FALSE)</f>
        <v>0</v>
      </c>
      <c r="G2198" s="12">
        <f>VLOOKUP(C2198,'Jalan Pada Pemukiman'!$D$3:$K$514,8,FALSE)</f>
        <v>0</v>
      </c>
      <c r="H2198" s="374"/>
      <c r="I2198" s="16"/>
    </row>
    <row r="2199" spans="1:9" ht="24" customHeight="1">
      <c r="B2199" s="1033" t="str">
        <f>'Jalan Pada Pemukiman'!C311</f>
        <v>7.2.1.4</v>
      </c>
      <c r="C2199" s="39" t="str">
        <f>VLOOKUP(B2199,'Jalan Pada Pemukiman'!C:J,2,FALSE)</f>
        <v>1 m3 Beton Kurus fc 10 Mpa untuk Jalan Akses / penghubung  (Jalan Kolektor) Ready Mixed</v>
      </c>
      <c r="D2199" s="9" t="s">
        <v>42</v>
      </c>
      <c r="E2199" s="1021">
        <f>VLOOKUP(C2199,'Jalan Pada Pemukiman'!$D$3:$I$514,6,FALSE)</f>
        <v>1209000</v>
      </c>
      <c r="F2199" s="1003">
        <f>VLOOKUP(C2199,'Jalan Pada Pemukiman'!$D$3:$J$514,7,FALSE)</f>
        <v>0</v>
      </c>
      <c r="G2199" s="12">
        <f>VLOOKUP(C2199,'Jalan Pada Pemukiman'!$D$3:$K$514,8,FALSE)</f>
        <v>0</v>
      </c>
      <c r="H2199" s="374"/>
      <c r="I2199" s="16"/>
    </row>
    <row r="2200" spans="1:9" s="1" customFormat="1" ht="24" customHeight="1">
      <c r="A2200" s="47"/>
      <c r="B2200" s="1041" t="str">
        <f>'Jalan Pada Pemukiman'!C332</f>
        <v>7.2.2</v>
      </c>
      <c r="C2200" s="40" t="str">
        <f>VLOOKUP(B2200,'Jalan Pada Pemukiman'!C:J,2,FALSE)</f>
        <v xml:space="preserve">Pembuatan Perkerasan Beton </v>
      </c>
      <c r="D2200" s="19"/>
      <c r="E2200" s="1021">
        <f>VLOOKUP(C2200,'Jalan Pada Pemukiman'!$D$3:$I$514,6,FALSE)</f>
        <v>0</v>
      </c>
      <c r="F2200" s="1003">
        <f>VLOOKUP(C2200,'Jalan Pada Pemukiman'!$D$3:$J$514,7,FALSE)</f>
        <v>0</v>
      </c>
      <c r="G2200" s="12">
        <f>VLOOKUP(C2200,'Jalan Pada Pemukiman'!$D$3:$K$514,8,FALSE)</f>
        <v>0</v>
      </c>
      <c r="H2200" s="1092"/>
      <c r="I2200" s="21"/>
    </row>
    <row r="2201" spans="1:9" ht="24" customHeight="1">
      <c r="B2201" s="1033" t="str">
        <f>'Jalan Pada Pemukiman'!C333</f>
        <v>7.2.2.1</v>
      </c>
      <c r="C2201" s="39" t="str">
        <f>VLOOKUP(B2201,'Jalan Pada Pemukiman'!C:J,2,FALSE)</f>
        <v xml:space="preserve">1 m3Perkerasan Beton Sc 3,5 Mpa (Setara Fc 25 Mpa) untuk Jalan Lingkungan (Jalan Lokal) Semi Mekanis </v>
      </c>
      <c r="D2201" s="9" t="s">
        <v>42</v>
      </c>
      <c r="E2201" s="1021">
        <f>VLOOKUP(C2201,'Jalan Pada Pemukiman'!$D$3:$I$514,6,FALSE)</f>
        <v>1716100</v>
      </c>
      <c r="F2201" s="1003">
        <f>VLOOKUP(C2201,'Jalan Pada Pemukiman'!$D$3:$J$514,7,FALSE)</f>
        <v>0</v>
      </c>
      <c r="G2201" s="12">
        <f>VLOOKUP(C2201,'Jalan Pada Pemukiman'!$D$3:$K$514,8,FALSE)</f>
        <v>0</v>
      </c>
      <c r="H2201" s="374"/>
      <c r="I2201" s="16"/>
    </row>
    <row r="2202" spans="1:9" ht="24" customHeight="1">
      <c r="B2202" s="1033" t="str">
        <f>'Jalan Pada Pemukiman'!C365</f>
        <v>7.2.2.2</v>
      </c>
      <c r="C2202" s="39" t="str">
        <f>VLOOKUP(B2202,'Jalan Pada Pemukiman'!C:J,2,FALSE)</f>
        <v xml:space="preserve">1 m3 Perkerasan Beton Sc 3,8 Mpa (Setara Fc 30 Mpa) untuk Jalan Akses/Penghubung (Jalan Kolektor) Semi Mekanis </v>
      </c>
      <c r="D2202" s="9" t="s">
        <v>42</v>
      </c>
      <c r="E2202" s="1021">
        <f>VLOOKUP(C2202,'Jalan Pada Pemukiman'!$D$3:$I$514,6,FALSE)</f>
        <v>2533300</v>
      </c>
      <c r="F2202" s="1003">
        <f>VLOOKUP(C2202,'Jalan Pada Pemukiman'!$D$3:$J$514,7,FALSE)</f>
        <v>0</v>
      </c>
      <c r="G2202" s="12">
        <f>VLOOKUP(C2202,'Jalan Pada Pemukiman'!$D$3:$K$514,8,FALSE)</f>
        <v>0</v>
      </c>
      <c r="H2202" s="374"/>
      <c r="I2202" s="16"/>
    </row>
    <row r="2203" spans="1:9" ht="24" customHeight="1">
      <c r="B2203" s="1033" t="str">
        <f>'Jalan Pada Pemukiman'!C398</f>
        <v>7.2.2.3</v>
      </c>
      <c r="C2203" s="39" t="str">
        <f>VLOOKUP(B2203,'Jalan Pada Pemukiman'!C:J,2,FALSE)</f>
        <v xml:space="preserve">1 m3 Perkerasan Beton Sc 3,5 Mpa (Setara Fc 25 Mpa) untuk Jalan Lingkungan (Jalan Lokal) Ready Mixed </v>
      </c>
      <c r="D2203" s="9" t="s">
        <v>42</v>
      </c>
      <c r="E2203" s="1021">
        <f>VLOOKUP(C2203,'Jalan Pada Pemukiman'!$D$3:$I$514,6,FALSE)</f>
        <v>1458800</v>
      </c>
      <c r="F2203" s="1003">
        <f>VLOOKUP(C2203,'Jalan Pada Pemukiman'!$D$3:$J$514,7,FALSE)</f>
        <v>0</v>
      </c>
      <c r="G2203" s="12">
        <f>VLOOKUP(C2203,'Jalan Pada Pemukiman'!$D$3:$K$514,8,FALSE)</f>
        <v>0</v>
      </c>
      <c r="H2203" s="374"/>
      <c r="I2203" s="16"/>
    </row>
    <row r="2204" spans="1:9" ht="24" customHeight="1">
      <c r="B2204" s="1033" t="str">
        <f>'Jalan Pada Pemukiman'!C423</f>
        <v>7.2.2.4</v>
      </c>
      <c r="C2204" s="39" t="str">
        <f>VLOOKUP(B2204,'Jalan Pada Pemukiman'!C:J,2,FALSE)</f>
        <v xml:space="preserve">1 m3 Perkerasan Beton Sc 3,8 Mpa (Setara Fc 30 Mpa) untuk Jalan Akses/Penghubung (Jalan Jalan Kolektor) Ready Mixed </v>
      </c>
      <c r="D2204" s="9" t="s">
        <v>42</v>
      </c>
      <c r="E2204" s="1021">
        <f>VLOOKUP(C2204,'Jalan Pada Pemukiman'!$D$3:$I$514,6,FALSE)</f>
        <v>2244700</v>
      </c>
      <c r="F2204" s="1003">
        <f>VLOOKUP(C2204,'Jalan Pada Pemukiman'!$D$3:$J$514,7,FALSE)</f>
        <v>0</v>
      </c>
      <c r="G2204" s="12">
        <f>VLOOKUP(C2204,'Jalan Pada Pemukiman'!$D$3:$K$514,8,FALSE)</f>
        <v>0</v>
      </c>
      <c r="H2204" s="374"/>
      <c r="I2204" s="16"/>
    </row>
    <row r="2205" spans="1:9" s="1" customFormat="1" ht="24" customHeight="1">
      <c r="A2205" s="47"/>
      <c r="B2205" s="1043" t="str">
        <f>'Jalan Pada Pemukiman'!C450</f>
        <v xml:space="preserve">7.3 </v>
      </c>
      <c r="C2205" s="1001" t="str">
        <f>VLOOKUP(B2205,'Jalan Pada Pemukiman'!C:J,2,FALSE)</f>
        <v xml:space="preserve">Jalan Aspal </v>
      </c>
      <c r="D2205" s="994"/>
      <c r="E2205" s="1022">
        <f>VLOOKUP(C2205,'Jalan Pada Pemukiman'!$D$3:$I$514,6,FALSE)</f>
        <v>0</v>
      </c>
      <c r="F2205" s="1004">
        <f>VLOOKUP(C2205,'Jalan Pada Pemukiman'!$D$3:$J$514,7,FALSE)</f>
        <v>0</v>
      </c>
      <c r="G2205" s="36">
        <f>VLOOKUP(C2205,'Jalan Pada Pemukiman'!$D$3:$K$514,8,FALSE)</f>
        <v>0</v>
      </c>
      <c r="H2205" s="1092"/>
      <c r="I2205" s="21"/>
    </row>
    <row r="2206" spans="1:9" ht="24" customHeight="1">
      <c r="B2206" s="1033" t="str">
        <f>'Jalan Pada Pemukiman'!C451</f>
        <v>7.3.1</v>
      </c>
      <c r="C2206" s="39" t="str">
        <f>VLOOKUP(B2206,'Jalan Pada Pemukiman'!C:J,2,FALSE)</f>
        <v>1 Ton Pekerjaan Lapisan Antara (AC-BC)</v>
      </c>
      <c r="D2206" s="9" t="s">
        <v>5530</v>
      </c>
      <c r="E2206" s="1021">
        <f>VLOOKUP(C2206,'Jalan Pada Pemukiman'!$D$3:$I$514,6,FALSE)</f>
        <v>1491500</v>
      </c>
      <c r="F2206" s="1003">
        <f>VLOOKUP(C2206,'Jalan Pada Pemukiman'!$D$3:$J$514,7,FALSE)</f>
        <v>0</v>
      </c>
      <c r="G2206" s="12">
        <f>VLOOKUP(C2206,'Jalan Pada Pemukiman'!$D$3:$K$514,8,FALSE)</f>
        <v>0</v>
      </c>
      <c r="H2206" s="374"/>
      <c r="I2206" s="16"/>
    </row>
    <row r="2207" spans="1:9" ht="24" customHeight="1">
      <c r="B2207" s="1033" t="str">
        <f>'Jalan Pada Pemukiman'!C476</f>
        <v>7.3.2</v>
      </c>
      <c r="C2207" s="39" t="str">
        <f>VLOOKUP(B2207,'Jalan Pada Pemukiman'!C:J,2,FALSE)</f>
        <v>1 Ton Pekerjaan Lapisan Aus (AC-WC)</v>
      </c>
      <c r="D2207" s="9" t="s">
        <v>5530</v>
      </c>
      <c r="E2207" s="1021">
        <f>VLOOKUP(C2207,'Jalan Pada Pemukiman'!$D$3:$I$514,6,FALSE)</f>
        <v>1744800</v>
      </c>
      <c r="F2207" s="1003">
        <f>VLOOKUP(C2207,'Jalan Pada Pemukiman'!$D$3:$J$514,7,FALSE)</f>
        <v>0</v>
      </c>
      <c r="G2207" s="12">
        <f>VLOOKUP(C2207,'Jalan Pada Pemukiman'!$D$3:$K$514,8,FALSE)</f>
        <v>0</v>
      </c>
      <c r="H2207" s="374"/>
      <c r="I2207" s="16"/>
    </row>
    <row r="2208" spans="1:9" ht="24" customHeight="1">
      <c r="B2208" s="1054">
        <f>Drainase!C2</f>
        <v>8</v>
      </c>
      <c r="C2208" s="1002" t="str">
        <f>VLOOKUP(B2208,Drainase!C:K,2,FALSE)</f>
        <v>DRAINASE</v>
      </c>
      <c r="D2208" s="982"/>
      <c r="E2208" s="1023"/>
      <c r="F2208" s="1009">
        <f>VLOOKUP(C2208,Drainase!$D$2:$J$1777,7,FALSE)</f>
        <v>0</v>
      </c>
      <c r="G2208" s="31">
        <f>VLOOKUP(C2208,Drainase!$D$2:$K$1777,8,FALSE)</f>
        <v>0</v>
      </c>
      <c r="H2208" s="374"/>
      <c r="I2208" s="16"/>
    </row>
    <row r="2209" spans="1:9" ht="24" customHeight="1">
      <c r="B2209" s="1052" t="str">
        <f>Drainase!C3</f>
        <v>8.1</v>
      </c>
      <c r="C2209" s="1001" t="str">
        <f>VLOOKUP(B2209,Drainase!C:K,2,FALSE)</f>
        <v xml:space="preserve">Drainase U-Ditch </v>
      </c>
      <c r="D2209" s="983"/>
      <c r="E2209" s="1024"/>
      <c r="F2209" s="1004">
        <f>VLOOKUP(C2209,Drainase!$D$2:$J$1777,7,FALSE)</f>
        <v>0</v>
      </c>
      <c r="G2209" s="36">
        <f>VLOOKUP(C2209,Drainase!$D$2:$K$1777,8,FALSE)</f>
        <v>0</v>
      </c>
      <c r="H2209" s="374"/>
      <c r="I2209" s="16"/>
    </row>
    <row r="2210" spans="1:9" s="1" customFormat="1" ht="24" customHeight="1">
      <c r="A2210" s="47"/>
      <c r="B2210" s="1041" t="str">
        <f>Drainase!C4</f>
        <v>8.1.1</v>
      </c>
      <c r="C2210" s="40" t="str">
        <f>VLOOKUP(B2210,Drainase!C:K,2,FALSE)</f>
        <v xml:space="preserve">Saluran U-Ditch dengan Lantai Kerja 10 Mpa </v>
      </c>
      <c r="D2210" s="19"/>
      <c r="E2210" s="1021">
        <f>VLOOKUP(C2210,Drainase!$D$2:$I$1777,6,FALSE)</f>
        <v>0</v>
      </c>
      <c r="F2210" s="1003">
        <f>VLOOKUP(C2210,Drainase!$D$2:$J$1777,7,FALSE)</f>
        <v>0</v>
      </c>
      <c r="G2210" s="12">
        <f>VLOOKUP(C2210,Drainase!$D$2:$K$1777,8,FALSE)</f>
        <v>0</v>
      </c>
      <c r="H2210" s="1092"/>
      <c r="I2210" s="21"/>
    </row>
    <row r="2211" spans="1:9" ht="24" customHeight="1">
      <c r="B2211" s="1033" t="str">
        <f>Drainase!C5</f>
        <v>8.1.1.1</v>
      </c>
      <c r="C2211" s="39" t="str">
        <f>VLOOKUP(B2211,Drainase!C:K,2,FALSE)</f>
        <v xml:space="preserve">1 m' Saluran U-Ditch 30x30x120 cm dengan lantai kerja fc 10 Mpa </v>
      </c>
      <c r="D2211" s="9" t="s">
        <v>113</v>
      </c>
      <c r="E2211" s="1021">
        <f>VLOOKUP(C2211,Drainase!$D$2:$I$1777,6,FALSE)</f>
        <v>417400</v>
      </c>
      <c r="F2211" s="1003">
        <f>VLOOKUP(C2211,Drainase!$D$2:$J$1777,7,FALSE)</f>
        <v>0</v>
      </c>
      <c r="G2211" s="12">
        <f>VLOOKUP(C2211,Drainase!$D$2:$K$1777,8,FALSE)</f>
        <v>0</v>
      </c>
      <c r="H2211" s="374"/>
      <c r="I2211" s="16"/>
    </row>
    <row r="2212" spans="1:9" ht="24" customHeight="1">
      <c r="B2212" s="1033" t="str">
        <f>Drainase!C24</f>
        <v>8.1.1.2</v>
      </c>
      <c r="C2212" s="39" t="str">
        <f>VLOOKUP(B2212,Drainase!C:K,2,FALSE)</f>
        <v xml:space="preserve">1 m Saluran U-Ditch 30x40x120 cm dengan lantai kerja fc 10 Mpa </v>
      </c>
      <c r="D2212" s="9" t="s">
        <v>113</v>
      </c>
      <c r="E2212" s="1021">
        <f>VLOOKUP(C2212,Drainase!$D$2:$I$1777,6,FALSE)</f>
        <v>464600</v>
      </c>
      <c r="F2212" s="1003">
        <f>VLOOKUP(C2212,Drainase!$D$2:$J$1777,7,FALSE)</f>
        <v>0</v>
      </c>
      <c r="G2212" s="12">
        <f>VLOOKUP(C2212,Drainase!$D$2:$K$1777,8,FALSE)</f>
        <v>0</v>
      </c>
      <c r="H2212" s="374"/>
      <c r="I2212" s="16"/>
    </row>
    <row r="2213" spans="1:9" ht="24" customHeight="1">
      <c r="B2213" s="1033" t="str">
        <f>Drainase!C43</f>
        <v>8.1.1.3</v>
      </c>
      <c r="C2213" s="39" t="str">
        <f>VLOOKUP(B2213,Drainase!C:K,2,FALSE)</f>
        <v xml:space="preserve">1 m Saluran U-Ditch 40x40x120 cm dengan lantai kerja fc 10 Mpa </v>
      </c>
      <c r="D2213" s="9" t="s">
        <v>113</v>
      </c>
      <c r="E2213" s="1021">
        <f>VLOOKUP(C2213,Drainase!$D$2:$I$1777,6,FALSE)</f>
        <v>524600</v>
      </c>
      <c r="F2213" s="1003">
        <f>VLOOKUP(C2213,Drainase!$D$2:$J$1777,7,FALSE)</f>
        <v>0</v>
      </c>
      <c r="G2213" s="12">
        <f>VLOOKUP(C2213,Drainase!$D$2:$K$1777,8,FALSE)</f>
        <v>0</v>
      </c>
      <c r="H2213" s="374"/>
      <c r="I2213" s="16"/>
    </row>
    <row r="2214" spans="1:9" ht="24" customHeight="1">
      <c r="B2214" s="1033" t="str">
        <f>Drainase!C62</f>
        <v>8.1.1.4</v>
      </c>
      <c r="C2214" s="39" t="str">
        <f>VLOOKUP(B2214,Drainase!C:K,2,FALSE)</f>
        <v xml:space="preserve">1 m Saluran U-Ditch 50x50x120 cm dengan lantai kerja fc 10 Mpa </v>
      </c>
      <c r="D2214" s="9" t="s">
        <v>113</v>
      </c>
      <c r="E2214" s="1021">
        <f>VLOOKUP(C2214,Drainase!$D$2:$I$1777,6,FALSE)</f>
        <v>563000</v>
      </c>
      <c r="F2214" s="1003">
        <f>VLOOKUP(C2214,Drainase!$D$2:$J$1777,7,FALSE)</f>
        <v>0</v>
      </c>
      <c r="G2214" s="12">
        <f>VLOOKUP(C2214,Drainase!$D$2:$K$1777,8,FALSE)</f>
        <v>0</v>
      </c>
      <c r="H2214" s="374"/>
      <c r="I2214" s="16"/>
    </row>
    <row r="2215" spans="1:9" ht="24" customHeight="1">
      <c r="B2215" s="1033" t="str">
        <f>Drainase!C81</f>
        <v>8.1.1.5</v>
      </c>
      <c r="C2215" s="39" t="str">
        <f>VLOOKUP(B2215,Drainase!C:K,2,FALSE)</f>
        <v xml:space="preserve">1 m Saluran U-Ditch 40x60x120 cm dengan lantai kerja fc 10 Mpa </v>
      </c>
      <c r="D2215" s="9" t="s">
        <v>113</v>
      </c>
      <c r="E2215" s="1021">
        <f>VLOOKUP(C2215,Drainase!$D$2:$I$1777,6,FALSE)</f>
        <v>602600</v>
      </c>
      <c r="F2215" s="1003">
        <f>VLOOKUP(C2215,Drainase!$D$2:$J$1777,7,FALSE)</f>
        <v>0</v>
      </c>
      <c r="G2215" s="12">
        <f>VLOOKUP(C2215,Drainase!$D$2:$K$1777,8,FALSE)</f>
        <v>0</v>
      </c>
      <c r="H2215" s="374"/>
      <c r="I2215" s="16"/>
    </row>
    <row r="2216" spans="1:9" ht="24" customHeight="1">
      <c r="B2216" s="1033" t="str">
        <f>Drainase!C100</f>
        <v>8.1.1.6</v>
      </c>
      <c r="C2216" s="39" t="str">
        <f>VLOOKUP(B2216,Drainase!C:K,2,FALSE)</f>
        <v xml:space="preserve">1 m Saluran U-Ditch 50x50x120 cm dengan lantai kerja fc 10 Mpa </v>
      </c>
      <c r="D2216" s="9" t="s">
        <v>113</v>
      </c>
      <c r="E2216" s="1021">
        <f>VLOOKUP(C2216,Drainase!$D$2:$I$1777,6,FALSE)</f>
        <v>563000</v>
      </c>
      <c r="F2216" s="1003">
        <f>VLOOKUP(C2216,Drainase!$D$2:$J$1777,7,FALSE)</f>
        <v>0</v>
      </c>
      <c r="G2216" s="12">
        <f>VLOOKUP(C2216,Drainase!$D$2:$K$1777,8,FALSE)</f>
        <v>0</v>
      </c>
      <c r="H2216" s="374"/>
      <c r="I2216" s="16"/>
    </row>
    <row r="2217" spans="1:9" ht="24" customHeight="1">
      <c r="B2217" s="1033" t="str">
        <f>Drainase!C120</f>
        <v>8.1.1.7</v>
      </c>
      <c r="C2217" s="39" t="str">
        <f>VLOOKUP(B2217,Drainase!C:K,2,FALSE)</f>
        <v xml:space="preserve">1 m Saluran U-Ditch 50x60x120 cm dengan lantai kerja fc 10 Mpa </v>
      </c>
      <c r="D2217" s="9" t="s">
        <v>113</v>
      </c>
      <c r="E2217" s="1021">
        <f>VLOOKUP(C2217,Drainase!$D$2:$I$1777,6,FALSE)</f>
        <v>762500</v>
      </c>
      <c r="F2217" s="1003">
        <f>VLOOKUP(C2217,Drainase!$D$2:$J$1777,7,FALSE)</f>
        <v>0</v>
      </c>
      <c r="G2217" s="12">
        <f>VLOOKUP(C2217,Drainase!$D$2:$K$1777,8,FALSE)</f>
        <v>0</v>
      </c>
      <c r="H2217" s="374"/>
      <c r="I2217" s="16"/>
    </row>
    <row r="2218" spans="1:9" ht="24" customHeight="1">
      <c r="B2218" s="1033" t="str">
        <f>Drainase!C139</f>
        <v>8.1.1.8</v>
      </c>
      <c r="C2218" s="39" t="str">
        <f>VLOOKUP(B2218,Drainase!C:K,2,FALSE)</f>
        <v xml:space="preserve">1 m Saluran U-Ditch 50x70x120 cm dengan lantai kerja fc 10 Mpa </v>
      </c>
      <c r="D2218" s="9" t="s">
        <v>113</v>
      </c>
      <c r="E2218" s="1021">
        <f>VLOOKUP(C2218,Drainase!$D$2:$I$1777,6,FALSE)</f>
        <v>790100</v>
      </c>
      <c r="F2218" s="1003">
        <f>VLOOKUP(C2218,Drainase!$D$2:$J$1777,7,FALSE)</f>
        <v>0</v>
      </c>
      <c r="G2218" s="12">
        <f>VLOOKUP(C2218,Drainase!$D$2:$K$1777,8,FALSE)</f>
        <v>0</v>
      </c>
      <c r="H2218" s="374"/>
      <c r="I2218" s="16"/>
    </row>
    <row r="2219" spans="1:9" ht="24" customHeight="1">
      <c r="B2219" s="1033" t="str">
        <f>Drainase!C158</f>
        <v>8.1.1.9</v>
      </c>
      <c r="C2219" s="39" t="str">
        <f>VLOOKUP(B2219,Drainase!C:K,2,FALSE)</f>
        <v xml:space="preserve">1 m Saluran U-Ditch 60x60x120 cm dengan lantai kerja fc 10 Mpa </v>
      </c>
      <c r="D2219" s="9" t="s">
        <v>113</v>
      </c>
      <c r="E2219" s="1021">
        <f>VLOOKUP(C2219,Drainase!$D$2:$I$1777,6,FALSE)</f>
        <v>847300</v>
      </c>
      <c r="F2219" s="1003">
        <f>VLOOKUP(C2219,Drainase!$D$2:$J$1777,7,FALSE)</f>
        <v>0</v>
      </c>
      <c r="G2219" s="12">
        <f>VLOOKUP(C2219,Drainase!$D$2:$K$1777,8,FALSE)</f>
        <v>0</v>
      </c>
      <c r="H2219" s="374"/>
      <c r="I2219" s="16"/>
    </row>
    <row r="2220" spans="1:9" ht="24" customHeight="1">
      <c r="B2220" s="1033" t="str">
        <f>Drainase!C178</f>
        <v>8.1.1.10</v>
      </c>
      <c r="C2220" s="39" t="str">
        <f>VLOOKUP(B2220,Drainase!C:K,2,FALSE)</f>
        <v xml:space="preserve">1 m Saluran U-Ditch 60x70x120 cm dengan lantai kerja fc 10 Mpa </v>
      </c>
      <c r="D2220" s="9" t="s">
        <v>113</v>
      </c>
      <c r="E2220" s="1021">
        <f>VLOOKUP(C2220,Drainase!$D$2:$I$1777,6,FALSE)</f>
        <v>866000</v>
      </c>
      <c r="F2220" s="1003">
        <f>VLOOKUP(C2220,Drainase!$D$2:$J$1777,7,FALSE)</f>
        <v>0</v>
      </c>
      <c r="G2220" s="12">
        <f>VLOOKUP(C2220,Drainase!$D$2:$K$1777,8,FALSE)</f>
        <v>0</v>
      </c>
      <c r="H2220" s="374"/>
      <c r="I2220" s="16"/>
    </row>
    <row r="2221" spans="1:9" ht="24" customHeight="1">
      <c r="B2221" s="1033" t="str">
        <f>Drainase!C198</f>
        <v>8.1.1.11</v>
      </c>
      <c r="C2221" s="39" t="str">
        <f>VLOOKUP(B2221,Drainase!C:K,2,FALSE)</f>
        <v xml:space="preserve">1 m Saluran U-Ditch 60x80x120 cm dengan lantai kerja fc 10 Mpa </v>
      </c>
      <c r="D2221" s="9" t="s">
        <v>113</v>
      </c>
      <c r="E2221" s="1021">
        <f>VLOOKUP(C2221,Drainase!$D$2:$I$1777,6,FALSE)</f>
        <v>898000</v>
      </c>
      <c r="F2221" s="1003">
        <f>VLOOKUP(C2221,Drainase!$D$2:$J$1777,7,FALSE)</f>
        <v>0</v>
      </c>
      <c r="G2221" s="12">
        <f>VLOOKUP(C2221,Drainase!$D$2:$K$1777,8,FALSE)</f>
        <v>0</v>
      </c>
      <c r="H2221" s="374"/>
      <c r="I2221" s="16"/>
    </row>
    <row r="2222" spans="1:9" ht="24" customHeight="1">
      <c r="B2222" s="1033" t="str">
        <f>Drainase!C217</f>
        <v>8.1.1.12</v>
      </c>
      <c r="C2222" s="39" t="str">
        <f>VLOOKUP(B2222,Drainase!C:K,2,FALSE)</f>
        <v xml:space="preserve">1 m Saluran U-Ditch 80x60x120 cm dengan lantai kerja fc 10 Mpa </v>
      </c>
      <c r="D2222" s="9" t="s">
        <v>113</v>
      </c>
      <c r="E2222" s="1021">
        <f>VLOOKUP(C2222,Drainase!$D$2:$I$1777,6,FALSE)</f>
        <v>934000</v>
      </c>
      <c r="F2222" s="1003">
        <f>VLOOKUP(C2222,Drainase!$D$2:$J$1777,7,FALSE)</f>
        <v>0</v>
      </c>
      <c r="G2222" s="12">
        <f>VLOOKUP(C2222,Drainase!$D$2:$K$1777,8,FALSE)</f>
        <v>0</v>
      </c>
      <c r="H2222" s="374"/>
      <c r="I2222" s="16"/>
    </row>
    <row r="2223" spans="1:9" ht="24" customHeight="1">
      <c r="B2223" s="1033" t="str">
        <f>Drainase!C236</f>
        <v>8.1.1.13</v>
      </c>
      <c r="C2223" s="39" t="str">
        <f>VLOOKUP(B2223,Drainase!C:K,2,FALSE)</f>
        <v xml:space="preserve">1 m Saluran U-Ditch 80x80x120 cm dengan lantai kerja fc 10 Mpa </v>
      </c>
      <c r="D2223" s="9" t="s">
        <v>113</v>
      </c>
      <c r="E2223" s="1021">
        <f>VLOOKUP(C2223,Drainase!$D$2:$I$1777,6,FALSE)</f>
        <v>1052400</v>
      </c>
      <c r="F2223" s="1003">
        <f>VLOOKUP(C2223,Drainase!$D$2:$J$1777,7,FALSE)</f>
        <v>0</v>
      </c>
      <c r="G2223" s="12">
        <f>VLOOKUP(C2223,Drainase!$D$2:$K$1777,8,FALSE)</f>
        <v>0</v>
      </c>
      <c r="H2223" s="374"/>
      <c r="I2223" s="16"/>
    </row>
    <row r="2224" spans="1:9" ht="24" customHeight="1">
      <c r="B2224" s="1033" t="str">
        <f>Drainase!C255</f>
        <v>8.1.1.14</v>
      </c>
      <c r="C2224" s="39" t="str">
        <f>VLOOKUP(B2224,Drainase!C:K,2,FALSE)</f>
        <v xml:space="preserve">1 m Saluran U-Ditch 80x100x120 cm dengan lantai kerja fc 10 Mpa </v>
      </c>
      <c r="D2224" s="9" t="s">
        <v>113</v>
      </c>
      <c r="E2224" s="1021">
        <f>VLOOKUP(C2224,Drainase!$D$2:$I$1777,6,FALSE)</f>
        <v>1097300</v>
      </c>
      <c r="F2224" s="1003">
        <f>VLOOKUP(C2224,Drainase!$D$2:$J$1777,7,FALSE)</f>
        <v>0</v>
      </c>
      <c r="G2224" s="12">
        <f>VLOOKUP(C2224,Drainase!$D$2:$K$1777,8,FALSE)</f>
        <v>0</v>
      </c>
      <c r="H2224" s="374"/>
      <c r="I2224" s="16"/>
    </row>
    <row r="2225" spans="1:9" ht="24" customHeight="1">
      <c r="B2225" s="1033" t="str">
        <f>Drainase!C275</f>
        <v>8.1.1.15</v>
      </c>
      <c r="C2225" s="39" t="str">
        <f>VLOOKUP(B2225,Drainase!C:K,2,FALSE)</f>
        <v xml:space="preserve">1 m Saluran U-Ditch 100x100x120 cm dengan lantai kerja fc 10 Mpa </v>
      </c>
      <c r="D2225" s="9" t="s">
        <v>113</v>
      </c>
      <c r="E2225" s="1021">
        <f>VLOOKUP(C2225,Drainase!$D$2:$I$1777,6,FALSE)</f>
        <v>1148200</v>
      </c>
      <c r="F2225" s="1003">
        <f>VLOOKUP(C2225,Drainase!$D$2:$J$1777,7,FALSE)</f>
        <v>0</v>
      </c>
      <c r="G2225" s="12">
        <f>VLOOKUP(C2225,Drainase!$D$2:$K$1777,8,FALSE)</f>
        <v>0</v>
      </c>
      <c r="H2225" s="374"/>
      <c r="I2225" s="16"/>
    </row>
    <row r="2226" spans="1:9" ht="24" customHeight="1">
      <c r="B2226" s="1033" t="str">
        <f>Drainase!C294</f>
        <v>8.1.1.16</v>
      </c>
      <c r="C2226" s="39" t="str">
        <f>VLOOKUP(B2226,Drainase!C:K,2,FALSE)</f>
        <v xml:space="preserve">1 m Saluran U-Ditch 100x120x120 cm dengan lantai kerja fc 10 Mpa </v>
      </c>
      <c r="D2226" s="9" t="s">
        <v>113</v>
      </c>
      <c r="E2226" s="1021">
        <f>VLOOKUP(C2226,Drainase!$D$2:$I$1777,6,FALSE)</f>
        <v>1177000</v>
      </c>
      <c r="F2226" s="1003">
        <f>VLOOKUP(C2226,Drainase!$D$2:$J$1777,7,FALSE)</f>
        <v>0</v>
      </c>
      <c r="G2226" s="12">
        <f>VLOOKUP(C2226,Drainase!$D$2:$K$1777,8,FALSE)</f>
        <v>0</v>
      </c>
      <c r="H2226" s="374"/>
      <c r="I2226" s="16"/>
    </row>
    <row r="2227" spans="1:9" ht="24" customHeight="1">
      <c r="B2227" s="1033" t="str">
        <f>Drainase!C314</f>
        <v>8.1.1.17</v>
      </c>
      <c r="C2227" s="39" t="str">
        <f>VLOOKUP(B2227,Drainase!C:K,2,FALSE)</f>
        <v xml:space="preserve">1 m Saluran U-Ditch 120x120x120 cm dengan lantai kerja fc 10 Mpa </v>
      </c>
      <c r="D2227" s="9" t="s">
        <v>113</v>
      </c>
      <c r="E2227" s="1021">
        <f>VLOOKUP(C2227,Drainase!$D$2:$I$1777,6,FALSE)</f>
        <v>1284900</v>
      </c>
      <c r="F2227" s="1003">
        <f>VLOOKUP(C2227,Drainase!$D$2:$J$1777,7,FALSE)</f>
        <v>0</v>
      </c>
      <c r="G2227" s="12">
        <f>VLOOKUP(C2227,Drainase!$D$2:$K$1777,8,FALSE)</f>
        <v>0</v>
      </c>
      <c r="H2227" s="374"/>
      <c r="I2227" s="16"/>
    </row>
    <row r="2228" spans="1:9" ht="24" customHeight="1">
      <c r="B2228" s="1033" t="str">
        <f>Drainase!C333</f>
        <v>8.1.1.18</v>
      </c>
      <c r="C2228" s="39" t="str">
        <f>VLOOKUP(B2228,Drainase!C:K,2,FALSE)</f>
        <v xml:space="preserve">1 m Saluran U-Ditch 120x140x120 cm dengan lantai kerja fc 10 Mpa </v>
      </c>
      <c r="D2228" s="9" t="s">
        <v>113</v>
      </c>
      <c r="E2228" s="1021">
        <f>VLOOKUP(C2228,Drainase!$D$2:$I$1777,6,FALSE)</f>
        <v>1315800</v>
      </c>
      <c r="F2228" s="1003">
        <f>VLOOKUP(C2228,Drainase!$D$2:$J$1777,7,FALSE)</f>
        <v>0</v>
      </c>
      <c r="G2228" s="12">
        <f>VLOOKUP(C2228,Drainase!$D$2:$K$1777,8,FALSE)</f>
        <v>0</v>
      </c>
      <c r="H2228" s="374"/>
      <c r="I2228" s="16"/>
    </row>
    <row r="2229" spans="1:9" ht="24" customHeight="1">
      <c r="B2229" s="1033" t="str">
        <f>Drainase!C353</f>
        <v>8.1.1.19</v>
      </c>
      <c r="C2229" s="39" t="str">
        <f>VLOOKUP(B2229,Drainase!C:K,2,FALSE)</f>
        <v xml:space="preserve">1 m Saluran U-Ditch 140x140x120 cm dengan lantai kerja fc 10 Mpa </v>
      </c>
      <c r="D2229" s="9" t="s">
        <v>113</v>
      </c>
      <c r="E2229" s="1021">
        <f>VLOOKUP(C2229,Drainase!$D$2:$I$1777,6,FALSE)</f>
        <v>1444200</v>
      </c>
      <c r="F2229" s="1003">
        <f>VLOOKUP(C2229,Drainase!$D$2:$J$1777,7,FALSE)</f>
        <v>0</v>
      </c>
      <c r="G2229" s="12">
        <f>VLOOKUP(C2229,Drainase!$D$2:$K$1777,8,FALSE)</f>
        <v>0</v>
      </c>
      <c r="H2229" s="374"/>
      <c r="I2229" s="16"/>
    </row>
    <row r="2230" spans="1:9" ht="24" customHeight="1">
      <c r="B2230" s="1033" t="str">
        <f>Drainase!C373</f>
        <v>8.1.1.20</v>
      </c>
      <c r="C2230" s="39" t="str">
        <f>VLOOKUP(B2230,Drainase!C:K,2,FALSE)</f>
        <v xml:space="preserve">1 m Saluran U-Ditch 150x100x120 cm dengan lantai kerja fc 10 Mpa </v>
      </c>
      <c r="D2230" s="9" t="s">
        <v>113</v>
      </c>
      <c r="E2230" s="1021">
        <f>VLOOKUP(C2230,Drainase!$D$2:$I$1777,6,FALSE)</f>
        <v>1386500</v>
      </c>
      <c r="F2230" s="1003">
        <f>VLOOKUP(C2230,Drainase!$D$2:$J$1777,7,FALSE)</f>
        <v>0</v>
      </c>
      <c r="G2230" s="12">
        <f>VLOOKUP(C2230,Drainase!$D$2:$K$1777,8,FALSE)</f>
        <v>0</v>
      </c>
      <c r="H2230" s="374"/>
      <c r="I2230" s="16"/>
    </row>
    <row r="2231" spans="1:9" ht="24" customHeight="1">
      <c r="B2231" s="1033" t="str">
        <f>Drainase!C392</f>
        <v>8.1.1.21</v>
      </c>
      <c r="C2231" s="39" t="str">
        <f>VLOOKUP(B2231,Drainase!C:K,2,FALSE)</f>
        <v xml:space="preserve">1 m Saluran U-Ditch 150x150x120 cm dengan lantai kerja fc 10 Mpa </v>
      </c>
      <c r="D2231" s="9" t="s">
        <v>113</v>
      </c>
      <c r="E2231" s="1021">
        <f>VLOOKUP(C2231,Drainase!$D$2:$I$1777,6,FALSE)</f>
        <v>1497200</v>
      </c>
      <c r="F2231" s="1003">
        <f>VLOOKUP(C2231,Drainase!$D$2:$J$1777,7,FALSE)</f>
        <v>0</v>
      </c>
      <c r="G2231" s="12">
        <f>VLOOKUP(C2231,Drainase!$D$2:$K$1777,8,FALSE)</f>
        <v>0</v>
      </c>
      <c r="H2231" s="374"/>
      <c r="I2231" s="16"/>
    </row>
    <row r="2232" spans="1:9" ht="24" customHeight="1">
      <c r="B2232" s="1033" t="str">
        <f>Drainase!C411</f>
        <v>8.1.1.22</v>
      </c>
      <c r="C2232" s="39" t="str">
        <f>VLOOKUP(B2232,Drainase!C:K,2,FALSE)</f>
        <v xml:space="preserve">1 m Saluran U-Ditch 150x170x120 cm dengan lantai kerja fc 10 Mpa </v>
      </c>
      <c r="D2232" s="9" t="s">
        <v>113</v>
      </c>
      <c r="E2232" s="1021">
        <f>VLOOKUP(C2232,Drainase!$D$2:$I$1777,6,FALSE)</f>
        <v>1517600</v>
      </c>
      <c r="F2232" s="1003">
        <f>VLOOKUP(C2232,Drainase!$D$2:$J$1777,7,FALSE)</f>
        <v>0</v>
      </c>
      <c r="G2232" s="12">
        <f>VLOOKUP(C2232,Drainase!$D$2:$K$1777,8,FALSE)</f>
        <v>0</v>
      </c>
      <c r="H2232" s="374"/>
      <c r="I2232" s="16"/>
    </row>
    <row r="2233" spans="1:9" ht="24" customHeight="1">
      <c r="B2233" s="1033" t="str">
        <f>Drainase!C430</f>
        <v>8.1.1.23</v>
      </c>
      <c r="C2233" s="39" t="str">
        <f>VLOOKUP(B2233,Drainase!C:K,2,FALSE)</f>
        <v xml:space="preserve">1 m Saluran U-Ditch 160x160x120 cm dengan lantai kerja fc 10 Mpa </v>
      </c>
      <c r="D2233" s="9" t="s">
        <v>113</v>
      </c>
      <c r="E2233" s="1021">
        <f>VLOOKUP(C2233,Drainase!$D$2:$I$1777,6,FALSE)</f>
        <v>1558600</v>
      </c>
      <c r="F2233" s="1003">
        <f>VLOOKUP(C2233,Drainase!$D$2:$J$1777,7,FALSE)</f>
        <v>0</v>
      </c>
      <c r="G2233" s="12">
        <f>VLOOKUP(C2233,Drainase!$D$2:$K$1777,8,FALSE)</f>
        <v>0</v>
      </c>
      <c r="H2233" s="374"/>
      <c r="I2233" s="16"/>
    </row>
    <row r="2234" spans="1:9" ht="24" customHeight="1">
      <c r="B2234" s="1033" t="str">
        <f>Drainase!C449</f>
        <v>8.1.1.24</v>
      </c>
      <c r="C2234" s="39" t="str">
        <f>VLOOKUP(B2234,Drainase!C:K,2,FALSE)</f>
        <v xml:space="preserve">1 m Saluran U-Ditch 160x180x120 cm dengan lantai kerja fc 10 Mpa </v>
      </c>
      <c r="D2234" s="9" t="s">
        <v>113</v>
      </c>
      <c r="E2234" s="1021">
        <f>VLOOKUP(C2234,Drainase!$D$2:$I$1777,6,FALSE)</f>
        <v>1595900</v>
      </c>
      <c r="F2234" s="1003">
        <f>VLOOKUP(C2234,Drainase!$D$2:$J$1777,7,FALSE)</f>
        <v>0</v>
      </c>
      <c r="G2234" s="12">
        <f>VLOOKUP(C2234,Drainase!$D$2:$K$1777,8,FALSE)</f>
        <v>0</v>
      </c>
      <c r="H2234" s="374"/>
      <c r="I2234" s="16"/>
    </row>
    <row r="2235" spans="1:9" ht="24" customHeight="1">
      <c r="B2235" s="1033" t="str">
        <f>Drainase!C468</f>
        <v>8.1.1.25</v>
      </c>
      <c r="C2235" s="39" t="str">
        <f>VLOOKUP(B2235,Drainase!C:K,2,FALSE)</f>
        <v xml:space="preserve">1 m Saluran U-Ditch 180x180x120 cm dengan lantai kerja fc 10 Mpa </v>
      </c>
      <c r="D2235" s="9" t="s">
        <v>113</v>
      </c>
      <c r="E2235" s="1021">
        <f>VLOOKUP(C2235,Drainase!$D$2:$I$1777,6,FALSE)</f>
        <v>1634300</v>
      </c>
      <c r="F2235" s="1003">
        <f>VLOOKUP(C2235,Drainase!$D$2:$J$1777,7,FALSE)</f>
        <v>0</v>
      </c>
      <c r="G2235" s="12">
        <f>VLOOKUP(C2235,Drainase!$D$2:$K$1777,8,FALSE)</f>
        <v>0</v>
      </c>
      <c r="H2235" s="374"/>
      <c r="I2235" s="16"/>
    </row>
    <row r="2236" spans="1:9" ht="24" customHeight="1">
      <c r="B2236" s="1033" t="str">
        <f>Drainase!C487</f>
        <v>8.1.1.26</v>
      </c>
      <c r="C2236" s="39" t="str">
        <f>VLOOKUP(B2236,Drainase!C:K,2,FALSE)</f>
        <v xml:space="preserve">1 m Saluran U-Ditch 180x200x120 cm dengan lantai kerja fc 10 Mpa </v>
      </c>
      <c r="D2236" s="9" t="s">
        <v>113</v>
      </c>
      <c r="E2236" s="1021">
        <f>VLOOKUP(C2236,Drainase!$D$2:$I$1777,6,FALSE)</f>
        <v>1670700</v>
      </c>
      <c r="F2236" s="1003">
        <f>VLOOKUP(C2236,Drainase!$D$2:$J$1777,7,FALSE)</f>
        <v>0</v>
      </c>
      <c r="G2236" s="12">
        <f>VLOOKUP(C2236,Drainase!$D$2:$K$1777,8,FALSE)</f>
        <v>0</v>
      </c>
      <c r="H2236" s="374"/>
      <c r="I2236" s="16"/>
    </row>
    <row r="2237" spans="1:9" ht="24" customHeight="1">
      <c r="B2237" s="1033" t="str">
        <f>Drainase!C506</f>
        <v>8.1.1.27</v>
      </c>
      <c r="C2237" s="39" t="str">
        <f>VLOOKUP(B2237,Drainase!C:K,2,FALSE)</f>
        <v xml:space="preserve">1 m Saluran U-Ditch 200x200x120 cm dengan lantai kerja fc 10 Mpa </v>
      </c>
      <c r="D2237" s="9" t="s">
        <v>113</v>
      </c>
      <c r="E2237" s="1021">
        <f>VLOOKUP(C2237,Drainase!$D$2:$I$1777,6,FALSE)</f>
        <v>1778400</v>
      </c>
      <c r="F2237" s="1003">
        <f>VLOOKUP(C2237,Drainase!$D$2:$J$1777,7,FALSE)</f>
        <v>0</v>
      </c>
      <c r="G2237" s="12">
        <f>VLOOKUP(C2237,Drainase!$D$2:$K$1777,8,FALSE)</f>
        <v>0</v>
      </c>
      <c r="H2237" s="374"/>
      <c r="I2237" s="16"/>
    </row>
    <row r="2238" spans="1:9" s="1" customFormat="1" ht="24" customHeight="1">
      <c r="A2238" s="47"/>
      <c r="B2238" s="1041" t="str">
        <f>Drainase!C525</f>
        <v>8.1.2</v>
      </c>
      <c r="C2238" s="40" t="str">
        <f>VLOOKUP(B2238,Drainase!C:K,2,FALSE)</f>
        <v xml:space="preserve">Saluran U-Ditch dengan Lantai Kerja 7,5 Mpa </v>
      </c>
      <c r="D2238" s="19"/>
      <c r="E2238" s="1021">
        <f>VLOOKUP(C2238,Drainase!$D$2:$I$1777,6,FALSE)</f>
        <v>0</v>
      </c>
      <c r="F2238" s="1003">
        <f>VLOOKUP(C2238,Drainase!$D$2:$J$1777,7,FALSE)</f>
        <v>0</v>
      </c>
      <c r="G2238" s="12">
        <f>VLOOKUP(C2238,Drainase!$D$2:$K$1777,8,FALSE)</f>
        <v>0</v>
      </c>
      <c r="H2238" s="1092"/>
      <c r="I2238" s="21"/>
    </row>
    <row r="2239" spans="1:9" ht="24" customHeight="1">
      <c r="B2239" s="1033" t="str">
        <f>Drainase!C526</f>
        <v>8.1.2.1</v>
      </c>
      <c r="C2239" s="39" t="str">
        <f>VLOOKUP(B2239,Drainase!C:K,2,FALSE)</f>
        <v xml:space="preserve">1 m Saluran U-Ditch 30x30x120 cm dengan lantai kerja fc 7,5 Mpa </v>
      </c>
      <c r="D2239" s="9" t="s">
        <v>113</v>
      </c>
      <c r="E2239" s="1021">
        <f>VLOOKUP(C2239,Drainase!$D$2:$I$1777,6,FALSE)</f>
        <v>408900</v>
      </c>
      <c r="F2239" s="1003">
        <f>VLOOKUP(C2239,Drainase!$D$2:$J$1777,7,FALSE)</f>
        <v>0</v>
      </c>
      <c r="G2239" s="12">
        <f>VLOOKUP(C2239,Drainase!$D$2:$K$1777,8,FALSE)</f>
        <v>0</v>
      </c>
      <c r="H2239" s="374"/>
      <c r="I2239" s="16"/>
    </row>
    <row r="2240" spans="1:9" ht="24" customHeight="1">
      <c r="B2240" s="1033" t="str">
        <f>Drainase!C545</f>
        <v>8.1.2.2</v>
      </c>
      <c r="C2240" s="39" t="str">
        <f>VLOOKUP(B2240,Drainase!C:K,2,FALSE)</f>
        <v xml:space="preserve">1 m Saluran U-Ditch 30x40x120 cm dengan lantai kerja fc 7,5 Mpa </v>
      </c>
      <c r="D2240" s="9" t="s">
        <v>113</v>
      </c>
      <c r="E2240" s="1021">
        <f>VLOOKUP(C2240,Drainase!$D$2:$I$1777,6,FALSE)</f>
        <v>456100</v>
      </c>
      <c r="F2240" s="1003">
        <f>VLOOKUP(C2240,Drainase!$D$2:$J$1777,7,FALSE)</f>
        <v>0</v>
      </c>
      <c r="G2240" s="12">
        <f>VLOOKUP(C2240,Drainase!$D$2:$K$1777,8,FALSE)</f>
        <v>0</v>
      </c>
      <c r="H2240" s="374"/>
      <c r="I2240" s="16"/>
    </row>
    <row r="2241" spans="2:9" ht="24" customHeight="1">
      <c r="B2241" s="1033" t="str">
        <f>Drainase!C564</f>
        <v>8.1.2.3</v>
      </c>
      <c r="C2241" s="39" t="str">
        <f>VLOOKUP(B2241,Drainase!C:K,2,FALSE)</f>
        <v xml:space="preserve">1 m Saluran U-Ditch 40x40x120 cm dengan lantai kerja fc 7,5 Mpa </v>
      </c>
      <c r="D2241" s="9" t="s">
        <v>113</v>
      </c>
      <c r="E2241" s="1021">
        <f>VLOOKUP(C2241,Drainase!$D$2:$I$1777,6,FALSE)</f>
        <v>513600</v>
      </c>
      <c r="F2241" s="1003">
        <f>VLOOKUP(C2241,Drainase!$D$2:$J$1777,7,FALSE)</f>
        <v>0</v>
      </c>
      <c r="G2241" s="12">
        <f>VLOOKUP(C2241,Drainase!$D$2:$K$1777,8,FALSE)</f>
        <v>0</v>
      </c>
      <c r="H2241" s="374"/>
      <c r="I2241" s="16"/>
    </row>
    <row r="2242" spans="2:9" ht="24" customHeight="1">
      <c r="B2242" s="1033" t="str">
        <f>Drainase!C583</f>
        <v>8.1.2.4</v>
      </c>
      <c r="C2242" s="39" t="str">
        <f>VLOOKUP(B2242,Drainase!C:K,2,FALSE)</f>
        <v xml:space="preserve">1 m Saluran U-Ditch 40x50x120 cm dengan lantai kerja fc 7,5 Mpa </v>
      </c>
      <c r="D2242" s="9" t="s">
        <v>113</v>
      </c>
      <c r="E2242" s="1021">
        <f>VLOOKUP(C2242,Drainase!$D$2:$I$1777,6,FALSE)</f>
        <v>552000</v>
      </c>
      <c r="F2242" s="1003">
        <f>VLOOKUP(C2242,Drainase!$D$2:$J$1777,7,FALSE)</f>
        <v>0</v>
      </c>
      <c r="G2242" s="12">
        <f>VLOOKUP(C2242,Drainase!$D$2:$K$1777,8,FALSE)</f>
        <v>0</v>
      </c>
      <c r="H2242" s="374"/>
      <c r="I2242" s="16"/>
    </row>
    <row r="2243" spans="2:9" ht="24" customHeight="1">
      <c r="B2243" s="1033" t="str">
        <f>Drainase!C602</f>
        <v>8.1.2.5</v>
      </c>
      <c r="C2243" s="39" t="str">
        <f>VLOOKUP(B2243,Drainase!C:K,2,FALSE)</f>
        <v xml:space="preserve">1 m Saluran U-Ditch 40x60x120 cm dengan lantai kerja fc 7,5 Mpa </v>
      </c>
      <c r="D2243" s="9" t="s">
        <v>113</v>
      </c>
      <c r="E2243" s="1021">
        <f>VLOOKUP(C2243,Drainase!$D$2:$I$1777,6,FALSE)</f>
        <v>591600</v>
      </c>
      <c r="F2243" s="1003">
        <f>VLOOKUP(C2243,Drainase!$D$2:$J$1777,7,FALSE)</f>
        <v>0</v>
      </c>
      <c r="G2243" s="12">
        <f>VLOOKUP(C2243,Drainase!$D$2:$K$1777,8,FALSE)</f>
        <v>0</v>
      </c>
      <c r="H2243" s="374"/>
      <c r="I2243" s="16"/>
    </row>
    <row r="2244" spans="2:9" ht="24" customHeight="1">
      <c r="B2244" s="1033" t="str">
        <f>Drainase!C621</f>
        <v>8.1.2.6</v>
      </c>
      <c r="C2244" s="39" t="str">
        <f>VLOOKUP(B2244,Drainase!C:K,2,FALSE)</f>
        <v xml:space="preserve">1 m Saluran U-Ditch 50x50x120 cm dengan lantai kerja fc 7,5 Mpa </v>
      </c>
      <c r="D2244" s="9" t="s">
        <v>113</v>
      </c>
      <c r="E2244" s="1021">
        <f>VLOOKUP(C2244,Drainase!$D$2:$I$1777,6,FALSE)</f>
        <v>627700</v>
      </c>
      <c r="F2244" s="1003">
        <f>VLOOKUP(C2244,Drainase!$D$2:$J$1777,7,FALSE)</f>
        <v>0</v>
      </c>
      <c r="G2244" s="12">
        <f>VLOOKUP(C2244,Drainase!$D$2:$K$1777,8,FALSE)</f>
        <v>0</v>
      </c>
      <c r="H2244" s="374"/>
      <c r="I2244" s="16"/>
    </row>
    <row r="2245" spans="2:9" ht="24" customHeight="1">
      <c r="B2245" s="1033" t="str">
        <f>Drainase!C640</f>
        <v>8.1.2.7</v>
      </c>
      <c r="C2245" s="39" t="str">
        <f>VLOOKUP(B2245,Drainase!C:K,2,FALSE)</f>
        <v xml:space="preserve">1 m Saluran U-Ditch 50x60x120 cm dengan lantai kerja fc 7,5 Mpa </v>
      </c>
      <c r="D2245" s="9" t="s">
        <v>113</v>
      </c>
      <c r="E2245" s="1021">
        <f>VLOOKUP(C2245,Drainase!$D$2:$I$1777,6,FALSE)</f>
        <v>749300</v>
      </c>
      <c r="F2245" s="1003">
        <f>VLOOKUP(C2245,Drainase!$D$2:$J$1777,7,FALSE)</f>
        <v>0</v>
      </c>
      <c r="G2245" s="12">
        <f>VLOOKUP(C2245,Drainase!$D$2:$K$1777,8,FALSE)</f>
        <v>0</v>
      </c>
      <c r="H2245" s="374"/>
      <c r="I2245" s="16"/>
    </row>
    <row r="2246" spans="2:9" ht="24" customHeight="1">
      <c r="B2246" s="1033" t="str">
        <f>Drainase!C659</f>
        <v>8.1.2.8</v>
      </c>
      <c r="C2246" s="39" t="str">
        <f>VLOOKUP(B2246,Drainase!C:K,2,FALSE)</f>
        <v xml:space="preserve">1 m Saluran U-Ditch 50x70x120 cm dengan lantai kerja fc 7,5 Mpa </v>
      </c>
      <c r="D2246" s="9" t="s">
        <v>113</v>
      </c>
      <c r="E2246" s="1021">
        <f>VLOOKUP(C2246,Drainase!$D$2:$I$1777,6,FALSE)</f>
        <v>776700</v>
      </c>
      <c r="F2246" s="1003">
        <f>VLOOKUP(C2246,Drainase!$D$2:$J$1777,7,FALSE)</f>
        <v>0</v>
      </c>
      <c r="G2246" s="12">
        <f>VLOOKUP(C2246,Drainase!$D$2:$K$1777,8,FALSE)</f>
        <v>0</v>
      </c>
      <c r="H2246" s="374"/>
      <c r="I2246" s="16"/>
    </row>
    <row r="2247" spans="2:9" ht="24" customHeight="1">
      <c r="B2247" s="1033" t="str">
        <f>Drainase!C678</f>
        <v>8.1.2.9</v>
      </c>
      <c r="C2247" s="39" t="str">
        <f>VLOOKUP(B2247,Drainase!C:K,2,FALSE)</f>
        <v xml:space="preserve">1 m Saluran U-Ditch 60x60x120 cm dengan lantai kerja fc 7,5 Mpa </v>
      </c>
      <c r="D2247" s="9" t="s">
        <v>113</v>
      </c>
      <c r="E2247" s="1021">
        <f>VLOOKUP(C2247,Drainase!$D$2:$I$1777,6,FALSE)</f>
        <v>832200</v>
      </c>
      <c r="F2247" s="1003">
        <f>VLOOKUP(C2247,Drainase!$D$2:$J$1777,7,FALSE)</f>
        <v>0</v>
      </c>
      <c r="G2247" s="12">
        <f>VLOOKUP(C2247,Drainase!$D$2:$K$1777,8,FALSE)</f>
        <v>0</v>
      </c>
      <c r="H2247" s="374"/>
      <c r="I2247" s="16"/>
    </row>
    <row r="2248" spans="2:9" ht="24" customHeight="1">
      <c r="B2248" s="1033" t="str">
        <f>Drainase!C697</f>
        <v>8.1.2.10</v>
      </c>
      <c r="C2248" s="39" t="str">
        <f>VLOOKUP(B2248,Drainase!C:K,2,FALSE)</f>
        <v xml:space="preserve">1 m Saluran U-Ditch 60x70x120 cm dengan lantai kerja fc 7,5 Mpa </v>
      </c>
      <c r="D2248" s="9" t="s">
        <v>113</v>
      </c>
      <c r="E2248" s="1021">
        <f>VLOOKUP(C2248,Drainase!$D$2:$I$1777,6,FALSE)</f>
        <v>850900</v>
      </c>
      <c r="F2248" s="1003">
        <f>VLOOKUP(C2248,Drainase!$D$2:$J$1777,7,FALSE)</f>
        <v>0</v>
      </c>
      <c r="G2248" s="12">
        <f>VLOOKUP(C2248,Drainase!$D$2:$K$1777,8,FALSE)</f>
        <v>0</v>
      </c>
      <c r="H2248" s="374"/>
      <c r="I2248" s="16"/>
    </row>
    <row r="2249" spans="2:9" ht="24" customHeight="1">
      <c r="B2249" s="1033" t="str">
        <f>Drainase!C716</f>
        <v>8.1.2.11</v>
      </c>
      <c r="C2249" s="39" t="str">
        <f>VLOOKUP(B2249,Drainase!C:K,2,FALSE)</f>
        <v xml:space="preserve">1 m Saluran U-Ditch 60x80x120 cm dengan lantai kerja fc 7,5 Mpa </v>
      </c>
      <c r="D2249" s="9" t="s">
        <v>113</v>
      </c>
      <c r="E2249" s="1021">
        <f>VLOOKUP(C2249,Drainase!$D$2:$I$1777,6,FALSE)</f>
        <v>882900</v>
      </c>
      <c r="F2249" s="1003">
        <f>VLOOKUP(C2249,Drainase!$D$2:$J$1777,7,FALSE)</f>
        <v>0</v>
      </c>
      <c r="G2249" s="12">
        <f>VLOOKUP(C2249,Drainase!$D$2:$K$1777,8,FALSE)</f>
        <v>0</v>
      </c>
      <c r="H2249" s="374"/>
      <c r="I2249" s="16"/>
    </row>
    <row r="2250" spans="2:9" ht="24" customHeight="1">
      <c r="B2250" s="1033" t="str">
        <f>Drainase!C735</f>
        <v>8.1.2.12</v>
      </c>
      <c r="C2250" s="39" t="str">
        <f>VLOOKUP(B2250,Drainase!C:K,2,FALSE)</f>
        <v xml:space="preserve">1 m Saluran U-Ditch 80x60x120 cm dengan lantai kerja fc 7,5 Mpa </v>
      </c>
      <c r="D2250" s="9" t="s">
        <v>113</v>
      </c>
      <c r="E2250" s="1021">
        <f>VLOOKUP(C2250,Drainase!$D$2:$I$1777,6,FALSE)</f>
        <v>915300</v>
      </c>
      <c r="F2250" s="1003">
        <f>VLOOKUP(C2250,Drainase!$D$2:$J$1777,7,FALSE)</f>
        <v>0</v>
      </c>
      <c r="G2250" s="12">
        <f>VLOOKUP(C2250,Drainase!$D$2:$K$1777,8,FALSE)</f>
        <v>0</v>
      </c>
      <c r="H2250" s="374"/>
      <c r="I2250" s="16"/>
    </row>
    <row r="2251" spans="2:9" ht="24" customHeight="1">
      <c r="B2251" s="1033" t="str">
        <f>Drainase!C754</f>
        <v>8.1.2.13</v>
      </c>
      <c r="C2251" s="39" t="str">
        <f>VLOOKUP(B2251,Drainase!C:K,2,FALSE)</f>
        <v xml:space="preserve">1 m Saluran U-Ditch 80x80x120 cm dengan lantai kerja fc 7,5 Mpa </v>
      </c>
      <c r="D2251" s="9" t="s">
        <v>113</v>
      </c>
      <c r="E2251" s="1021">
        <f>VLOOKUP(C2251,Drainase!$D$2:$I$1777,6,FALSE)</f>
        <v>1033900</v>
      </c>
      <c r="F2251" s="1003">
        <f>VLOOKUP(C2251,Drainase!$D$2:$J$1777,7,FALSE)</f>
        <v>0</v>
      </c>
      <c r="G2251" s="12">
        <f>VLOOKUP(C2251,Drainase!$D$2:$K$1777,8,FALSE)</f>
        <v>0</v>
      </c>
      <c r="H2251" s="374"/>
      <c r="I2251" s="16"/>
    </row>
    <row r="2252" spans="2:9" ht="24" customHeight="1">
      <c r="B2252" s="1033" t="str">
        <f>Drainase!C773</f>
        <v>8.1.2.14</v>
      </c>
      <c r="C2252" s="39" t="str">
        <f>VLOOKUP(B2252,Drainase!C:K,2,FALSE)</f>
        <v xml:space="preserve">1 m Saluran U-Ditch 80x100x120 cm dengan lantai kerja fc 7,5 Mpa </v>
      </c>
      <c r="D2252" s="9" t="s">
        <v>113</v>
      </c>
      <c r="E2252" s="1021">
        <f>VLOOKUP(C2252,Drainase!$D$2:$I$1777,6,FALSE)</f>
        <v>1078800</v>
      </c>
      <c r="F2252" s="1003">
        <f>VLOOKUP(C2252,Drainase!$D$2:$J$1777,7,FALSE)</f>
        <v>0</v>
      </c>
      <c r="G2252" s="12">
        <f>VLOOKUP(C2252,Drainase!$D$2:$K$1777,8,FALSE)</f>
        <v>0</v>
      </c>
      <c r="H2252" s="374"/>
      <c r="I2252" s="16"/>
    </row>
    <row r="2253" spans="2:9" ht="24" customHeight="1">
      <c r="B2253" s="1033" t="str">
        <f>Drainase!C792</f>
        <v>8.1.2.15</v>
      </c>
      <c r="C2253" s="39" t="str">
        <f>VLOOKUP(B2253,Drainase!C:K,2,FALSE)</f>
        <v xml:space="preserve">1 m Saluran U-Ditch 100x100x120 cm dengan lantai kerja fc 7,5 Mpa </v>
      </c>
      <c r="D2253" s="9" t="s">
        <v>113</v>
      </c>
      <c r="E2253" s="1021">
        <f>VLOOKUP(C2253,Drainase!$D$2:$I$1777,6,FALSE)</f>
        <v>1125700</v>
      </c>
      <c r="F2253" s="1003">
        <f>VLOOKUP(C2253,Drainase!$D$2:$J$1777,7,FALSE)</f>
        <v>0</v>
      </c>
      <c r="G2253" s="12">
        <f>VLOOKUP(C2253,Drainase!$D$2:$K$1777,8,FALSE)</f>
        <v>0</v>
      </c>
      <c r="H2253" s="374"/>
      <c r="I2253" s="16"/>
    </row>
    <row r="2254" spans="2:9" ht="24" customHeight="1">
      <c r="B2254" s="1033" t="str">
        <f>Drainase!C812</f>
        <v>8.1.2.16</v>
      </c>
      <c r="C2254" s="39" t="str">
        <f>VLOOKUP(B2254,Drainase!C:K,2,FALSE)</f>
        <v xml:space="preserve">1 m Saluran U-Ditch 100x120x120 cm dengan lantai kerja fc 7,5 Mpa </v>
      </c>
      <c r="D2254" s="9" t="s">
        <v>113</v>
      </c>
      <c r="E2254" s="1021">
        <f>VLOOKUP(C2254,Drainase!$D$2:$I$1777,6,FALSE)</f>
        <v>1154500</v>
      </c>
      <c r="F2254" s="1003">
        <f>VLOOKUP(C2254,Drainase!$D$2:$J$1777,7,FALSE)</f>
        <v>0</v>
      </c>
      <c r="G2254" s="12">
        <f>VLOOKUP(C2254,Drainase!$D$2:$K$1777,8,FALSE)</f>
        <v>0</v>
      </c>
      <c r="H2254" s="374"/>
      <c r="I2254" s="16"/>
    </row>
    <row r="2255" spans="2:9" ht="24" customHeight="1">
      <c r="B2255" s="1033" t="str">
        <f>Drainase!C831</f>
        <v>8.1.2.17</v>
      </c>
      <c r="C2255" s="39" t="str">
        <f>VLOOKUP(B2255,Drainase!C:K,2,FALSE)</f>
        <v xml:space="preserve">1 m Saluran U-Ditch 120x120x120 cm dengan lantai kerja fc 7,5 Mpa </v>
      </c>
      <c r="D2255" s="9" t="s">
        <v>113</v>
      </c>
      <c r="E2255" s="1021">
        <f>VLOOKUP(C2255,Drainase!$D$2:$I$1777,6,FALSE)</f>
        <v>1258800</v>
      </c>
      <c r="F2255" s="1003">
        <f>VLOOKUP(C2255,Drainase!$D$2:$J$1777,7,FALSE)</f>
        <v>0</v>
      </c>
      <c r="G2255" s="12">
        <f>VLOOKUP(C2255,Drainase!$D$2:$K$1777,8,FALSE)</f>
        <v>0</v>
      </c>
      <c r="H2255" s="374"/>
      <c r="I2255" s="16"/>
    </row>
    <row r="2256" spans="2:9" ht="24" customHeight="1">
      <c r="B2256" s="1033" t="str">
        <f>Drainase!C850</f>
        <v>8.1.2.18</v>
      </c>
      <c r="C2256" s="39" t="str">
        <f>VLOOKUP(B2256,Drainase!C:K,2,FALSE)</f>
        <v xml:space="preserve">1 m Saluran U-Ditch 120x140x120 cm dengan lantai kerja fc 7,5 Mpa </v>
      </c>
      <c r="D2256" s="9" t="s">
        <v>113</v>
      </c>
      <c r="E2256" s="1021">
        <f>VLOOKUP(C2256,Drainase!$D$2:$I$1777,6,FALSE)</f>
        <v>1289700</v>
      </c>
      <c r="F2256" s="1003">
        <f>VLOOKUP(C2256,Drainase!$D$2:$J$1777,7,FALSE)</f>
        <v>0</v>
      </c>
      <c r="G2256" s="12">
        <f>VLOOKUP(C2256,Drainase!$D$2:$K$1777,8,FALSE)</f>
        <v>0</v>
      </c>
      <c r="H2256" s="374"/>
      <c r="I2256" s="16"/>
    </row>
    <row r="2257" spans="1:9" ht="24" customHeight="1">
      <c r="B2257" s="1033" t="str">
        <f>Drainase!C869</f>
        <v>8.1.2.19</v>
      </c>
      <c r="C2257" s="39" t="str">
        <f>VLOOKUP(B2257,Drainase!C:K,2,FALSE)</f>
        <v xml:space="preserve">1 m Saluran U-Ditch 140x140x120 cm dengan lantai kerja fc 7,5 Mpa </v>
      </c>
      <c r="D2257" s="9" t="s">
        <v>113</v>
      </c>
      <c r="E2257" s="1021">
        <f>VLOOKUP(C2257,Drainase!$D$2:$I$1777,6,FALSE)</f>
        <v>1414200</v>
      </c>
      <c r="F2257" s="1003">
        <f>VLOOKUP(C2257,Drainase!$D$2:$J$1777,7,FALSE)</f>
        <v>0</v>
      </c>
      <c r="G2257" s="12">
        <f>VLOOKUP(C2257,Drainase!$D$2:$K$1777,8,FALSE)</f>
        <v>0</v>
      </c>
      <c r="H2257" s="374"/>
      <c r="I2257" s="16"/>
    </row>
    <row r="2258" spans="1:9" ht="24" customHeight="1">
      <c r="B2258" s="1033" t="str">
        <f>Drainase!C888</f>
        <v>8.1.2.20</v>
      </c>
      <c r="C2258" s="39" t="str">
        <f>VLOOKUP(B2258,Drainase!C:K,2,FALSE)</f>
        <v xml:space="preserve">1 m Saluran U-Ditch 150x100x120 cm dengan lantai kerja fc 7,5 Mpa </v>
      </c>
      <c r="D2258" s="9" t="s">
        <v>113</v>
      </c>
      <c r="E2258" s="1021">
        <f>VLOOKUP(C2258,Drainase!$D$2:$I$1777,6,FALSE)</f>
        <v>1354000</v>
      </c>
      <c r="F2258" s="1003">
        <f>VLOOKUP(C2258,Drainase!$D$2:$J$1777,7,FALSE)</f>
        <v>0</v>
      </c>
      <c r="G2258" s="12">
        <f>VLOOKUP(C2258,Drainase!$D$2:$K$1777,8,FALSE)</f>
        <v>0</v>
      </c>
      <c r="H2258" s="374"/>
      <c r="I2258" s="16"/>
    </row>
    <row r="2259" spans="1:9" ht="24" customHeight="1">
      <c r="B2259" s="1033" t="str">
        <f>Drainase!C907</f>
        <v>8.1.2.21</v>
      </c>
      <c r="C2259" s="39" t="str">
        <f>VLOOKUP(B2259,Drainase!C:K,2,FALSE)</f>
        <v xml:space="preserve">1 m Saluran U-Ditch 150x150x120 cm dengan lantai kerja fc 7,5 Mpa </v>
      </c>
      <c r="D2259" s="9" t="s">
        <v>113</v>
      </c>
      <c r="E2259" s="1021">
        <f>VLOOKUP(C2259,Drainase!$D$2:$I$1777,6,FALSE)</f>
        <v>1464900</v>
      </c>
      <c r="F2259" s="1003">
        <f>VLOOKUP(C2259,Drainase!$D$2:$J$1777,7,FALSE)</f>
        <v>0</v>
      </c>
      <c r="G2259" s="12">
        <f>VLOOKUP(C2259,Drainase!$D$2:$K$1777,8,FALSE)</f>
        <v>0</v>
      </c>
      <c r="H2259" s="374"/>
      <c r="I2259" s="16"/>
    </row>
    <row r="2260" spans="1:9" ht="24" customHeight="1">
      <c r="B2260" s="1033" t="str">
        <f>Drainase!C926</f>
        <v>8.1.2.22</v>
      </c>
      <c r="C2260" s="39" t="str">
        <f>VLOOKUP(B2260,Drainase!C:K,2,FALSE)</f>
        <v xml:space="preserve">1 m Saluran U-Ditch 150x170x120 cm dengan lantai kerja fc 7,5 Mpa </v>
      </c>
      <c r="D2260" s="9" t="s">
        <v>113</v>
      </c>
      <c r="E2260" s="1021">
        <f>VLOOKUP(C2260,Drainase!$D$2:$I$1777,6,FALSE)</f>
        <v>1485200</v>
      </c>
      <c r="F2260" s="1003">
        <f>VLOOKUP(C2260,Drainase!$D$2:$J$1777,7,FALSE)</f>
        <v>0</v>
      </c>
      <c r="G2260" s="12">
        <f>VLOOKUP(C2260,Drainase!$D$2:$K$1777,8,FALSE)</f>
        <v>0</v>
      </c>
      <c r="H2260" s="374"/>
      <c r="I2260" s="16"/>
    </row>
    <row r="2261" spans="1:9" ht="24" customHeight="1">
      <c r="B2261" s="1033" t="str">
        <f>Drainase!C945</f>
        <v>8.1.2.23</v>
      </c>
      <c r="C2261" s="39" t="str">
        <f>VLOOKUP(B2261,Drainase!C:K,2,FALSE)</f>
        <v xml:space="preserve">1 m Saluran U-Ditch 160x160x120 cm dengan lantai kerja fc 7,5 Mpa </v>
      </c>
      <c r="D2261" s="9" t="s">
        <v>113</v>
      </c>
      <c r="E2261" s="1021">
        <f>VLOOKUP(C2261,Drainase!$D$2:$I$1777,6,FALSE)</f>
        <v>1524900</v>
      </c>
      <c r="F2261" s="1003">
        <f>VLOOKUP(C2261,Drainase!$D$2:$J$1777,7,FALSE)</f>
        <v>0</v>
      </c>
      <c r="G2261" s="12">
        <f>VLOOKUP(C2261,Drainase!$D$2:$K$1777,8,FALSE)</f>
        <v>0</v>
      </c>
      <c r="H2261" s="374"/>
      <c r="I2261" s="16"/>
    </row>
    <row r="2262" spans="1:9" ht="24" customHeight="1">
      <c r="B2262" s="1033" t="str">
        <f>Drainase!C964</f>
        <v>8.1.2.24</v>
      </c>
      <c r="C2262" s="39" t="str">
        <f>VLOOKUP(B2262,Drainase!C:K,2,FALSE)</f>
        <v xml:space="preserve">1 m Saluran U-Ditch 160x180x120 cm dengan lantai kerja fc 7,5 Mpa </v>
      </c>
      <c r="D2262" s="9" t="s">
        <v>113</v>
      </c>
      <c r="E2262" s="1021">
        <f>VLOOKUP(C2262,Drainase!$D$2:$I$1777,6,FALSE)</f>
        <v>1562500</v>
      </c>
      <c r="F2262" s="1003">
        <f>VLOOKUP(C2262,Drainase!$D$2:$J$1777,7,FALSE)</f>
        <v>0</v>
      </c>
      <c r="G2262" s="12">
        <f>VLOOKUP(C2262,Drainase!$D$2:$K$1777,8,FALSE)</f>
        <v>0</v>
      </c>
      <c r="H2262" s="374"/>
      <c r="I2262" s="16"/>
    </row>
    <row r="2263" spans="1:9" ht="24" customHeight="1">
      <c r="B2263" s="1033" t="str">
        <f>Drainase!C983</f>
        <v>8.1.2.25</v>
      </c>
      <c r="C2263" s="39" t="str">
        <f>VLOOKUP(B2263,Drainase!C:K,2,FALSE)</f>
        <v xml:space="preserve">1 m Saluran U-Ditch 180x180x120 cm dengan lantai kerja fc 7,5 Mpa </v>
      </c>
      <c r="D2263" s="9" t="s">
        <v>113</v>
      </c>
      <c r="E2263" s="1021">
        <f>VLOOKUP(C2263,Drainase!$D$2:$I$1777,6,FALSE)</f>
        <v>1596200</v>
      </c>
      <c r="F2263" s="1003">
        <f>VLOOKUP(C2263,Drainase!$D$2:$J$1777,7,FALSE)</f>
        <v>0</v>
      </c>
      <c r="G2263" s="12">
        <f>VLOOKUP(C2263,Drainase!$D$2:$K$1777,8,FALSE)</f>
        <v>0</v>
      </c>
      <c r="H2263" s="374"/>
      <c r="I2263" s="16"/>
    </row>
    <row r="2264" spans="1:9" ht="24" customHeight="1">
      <c r="B2264" s="1033" t="str">
        <f>Drainase!C1002</f>
        <v>8.1.2.26</v>
      </c>
      <c r="C2264" s="39" t="str">
        <f>VLOOKUP(B2264,Drainase!C:K,2,FALSE)</f>
        <v xml:space="preserve">1 m Saluran U-Ditch 180x200x120 cm dengan lantai kerja fc 7,5 Mpa </v>
      </c>
      <c r="D2264" s="9" t="s">
        <v>113</v>
      </c>
      <c r="E2264" s="1021">
        <f>VLOOKUP(C2264,Drainase!$D$2:$I$1777,6,FALSE)</f>
        <v>1632600</v>
      </c>
      <c r="F2264" s="1003">
        <f>VLOOKUP(C2264,Drainase!$D$2:$J$1777,7,FALSE)</f>
        <v>0</v>
      </c>
      <c r="G2264" s="12">
        <f>VLOOKUP(C2264,Drainase!$D$2:$K$1777,8,FALSE)</f>
        <v>0</v>
      </c>
      <c r="H2264" s="374"/>
      <c r="I2264" s="16"/>
    </row>
    <row r="2265" spans="1:9" ht="24" customHeight="1">
      <c r="B2265" s="1033" t="str">
        <f>Drainase!C1021</f>
        <v>8.1.2.27</v>
      </c>
      <c r="C2265" s="39" t="str">
        <f>VLOOKUP(B2265,Drainase!C:K,2,FALSE)</f>
        <v xml:space="preserve">1 m Saluran U-Ditch 200x200x120 cm dengan lantai kerja fc 7,5 Mpa </v>
      </c>
      <c r="D2265" s="9" t="s">
        <v>113</v>
      </c>
      <c r="E2265" s="1021">
        <f>VLOOKUP(C2265,Drainase!$D$2:$I$1777,6,FALSE)</f>
        <v>1720000</v>
      </c>
      <c r="F2265" s="1003">
        <f>VLOOKUP(C2265,Drainase!$D$2:$J$1777,7,FALSE)</f>
        <v>0</v>
      </c>
      <c r="G2265" s="12">
        <f>VLOOKUP(C2265,Drainase!$D$2:$K$1777,8,FALSE)</f>
        <v>0</v>
      </c>
      <c r="H2265" s="374"/>
      <c r="I2265" s="16"/>
    </row>
    <row r="2266" spans="1:9" s="1" customFormat="1" ht="24" customHeight="1">
      <c r="A2266" s="47"/>
      <c r="B2266" s="1041" t="str">
        <f>Drainase!C1040</f>
        <v>8.1.3</v>
      </c>
      <c r="C2266" s="40" t="str">
        <f>VLOOKUP(B2266,Drainase!C:K,2,FALSE)</f>
        <v>Tutup U-Ditch</v>
      </c>
      <c r="D2266" s="19"/>
      <c r="E2266" s="1021">
        <f>VLOOKUP(C2266,Drainase!$D$2:$I$1777,6,FALSE)</f>
        <v>0</v>
      </c>
      <c r="F2266" s="1003">
        <f>VLOOKUP(C2266,Drainase!$D$2:$J$1777,7,FALSE)</f>
        <v>0</v>
      </c>
      <c r="G2266" s="12">
        <f>VLOOKUP(C2266,Drainase!$D$2:$K$1777,8,FALSE)</f>
        <v>0</v>
      </c>
      <c r="H2266" s="1092"/>
      <c r="I2266" s="21"/>
    </row>
    <row r="2267" spans="1:9" ht="24" customHeight="1">
      <c r="B2267" s="1033" t="str">
        <f>Drainase!C1041</f>
        <v>8.1.3.1</v>
      </c>
      <c r="C2267" s="39" t="str">
        <f>VLOOKUP(B2267,Drainase!C:K,2,FALSE)</f>
        <v xml:space="preserve">1 m' Tutup U-Ditch 39x60x6 (Tipe LD) untuk 30x30x120 cm </v>
      </c>
      <c r="D2267" s="9" t="s">
        <v>113</v>
      </c>
      <c r="E2267" s="1021">
        <f>VLOOKUP(C2267,Drainase!$D$2:$I$1777,6,FALSE)</f>
        <v>137800</v>
      </c>
      <c r="F2267" s="1003">
        <f>VLOOKUP(C2267,Drainase!$D$2:$J$1777,7,FALSE)</f>
        <v>0</v>
      </c>
      <c r="G2267" s="12">
        <f>VLOOKUP(C2267,Drainase!$D$2:$K$1777,8,FALSE)</f>
        <v>0</v>
      </c>
      <c r="H2267" s="374"/>
      <c r="I2267" s="16"/>
    </row>
    <row r="2268" spans="1:9" ht="24" customHeight="1">
      <c r="B2268" s="1033" t="str">
        <f>Drainase!C1058</f>
        <v>8.1.3.2</v>
      </c>
      <c r="C2268" s="39" t="str">
        <f>VLOOKUP(B2268,Drainase!C:K,2,FALSE)</f>
        <v xml:space="preserve">1 m' Tutup U-Ditch 51x60x7 (Tipe LD) untuk 40x40x120 cm </v>
      </c>
      <c r="D2268" s="9" t="s">
        <v>113</v>
      </c>
      <c r="E2268" s="1021">
        <f>VLOOKUP(C2268,Drainase!$D$2:$I$1777,6,FALSE)</f>
        <v>198600</v>
      </c>
      <c r="F2268" s="1003">
        <f>VLOOKUP(C2268,Drainase!$D$2:$J$1777,7,FALSE)</f>
        <v>0</v>
      </c>
      <c r="G2268" s="12">
        <f>VLOOKUP(C2268,Drainase!$D$2:$K$1777,8,FALSE)</f>
        <v>0</v>
      </c>
      <c r="H2268" s="374"/>
      <c r="I2268" s="16"/>
    </row>
    <row r="2269" spans="1:9" ht="24" customHeight="1">
      <c r="B2269" s="1033" t="str">
        <f>Drainase!C1075</f>
        <v>8.1.3.3</v>
      </c>
      <c r="C2269" s="39" t="str">
        <f>VLOOKUP(B2269,Drainase!C:K,2,FALSE)</f>
        <v xml:space="preserve">1 m' Tutup U-Ditch 62x60x7,5 (Tipe LD) untuk 50x50x120 cm </v>
      </c>
      <c r="D2269" s="9" t="s">
        <v>113</v>
      </c>
      <c r="E2269" s="1021">
        <f>VLOOKUP(C2269,Drainase!$D$2:$I$1777,6,FALSE)</f>
        <v>246000</v>
      </c>
      <c r="F2269" s="1003">
        <f>VLOOKUP(C2269,Drainase!$D$2:$J$1777,7,FALSE)</f>
        <v>0</v>
      </c>
      <c r="G2269" s="12">
        <f>VLOOKUP(C2269,Drainase!$D$2:$K$1777,8,FALSE)</f>
        <v>0</v>
      </c>
      <c r="H2269" s="374"/>
      <c r="I2269" s="16"/>
    </row>
    <row r="2270" spans="1:9" ht="24" customHeight="1">
      <c r="B2270" s="1033" t="str">
        <f>Drainase!C1091</f>
        <v>8.1.3.4</v>
      </c>
      <c r="C2270" s="39" t="str">
        <f>VLOOKUP(B2270,Drainase!C:K,2,FALSE)</f>
        <v xml:space="preserve">1 m' Tutup U-Ditch 73x60x8 (Tipe LD) untuk 60x60x120 cm </v>
      </c>
      <c r="D2270" s="9" t="s">
        <v>113</v>
      </c>
      <c r="E2270" s="1021">
        <f>VLOOKUP(C2270,Drainase!$D$2:$I$1777,6,FALSE)</f>
        <v>322400</v>
      </c>
      <c r="F2270" s="1003">
        <f>VLOOKUP(C2270,Drainase!$D$2:$J$1777,7,FALSE)</f>
        <v>0</v>
      </c>
      <c r="G2270" s="12">
        <f>VLOOKUP(C2270,Drainase!$D$2:$K$1777,8,FALSE)</f>
        <v>0</v>
      </c>
      <c r="H2270" s="374"/>
      <c r="I2270" s="16"/>
    </row>
    <row r="2271" spans="1:9" ht="24" customHeight="1">
      <c r="B2271" s="1033" t="str">
        <f>Drainase!C1107</f>
        <v>8.1.3.5</v>
      </c>
      <c r="C2271" s="39" t="str">
        <f>VLOOKUP(B2271,Drainase!C:K,2,FALSE)</f>
        <v xml:space="preserve">1 m' Tutup U-Ditch 94x60x8 (Tipe LD) untuk 80x80x120 cm </v>
      </c>
      <c r="D2271" s="9" t="s">
        <v>113</v>
      </c>
      <c r="E2271" s="1021">
        <f>VLOOKUP(C2271,Drainase!$D$2:$I$1777,6,FALSE)</f>
        <v>376800</v>
      </c>
      <c r="F2271" s="1003">
        <f>VLOOKUP(C2271,Drainase!$D$2:$J$1777,7,FALSE)</f>
        <v>0</v>
      </c>
      <c r="G2271" s="12">
        <f>VLOOKUP(C2271,Drainase!$D$2:$K$1777,8,FALSE)</f>
        <v>0</v>
      </c>
      <c r="H2271" s="374"/>
      <c r="I2271" s="16"/>
    </row>
    <row r="2272" spans="1:9" ht="24" customHeight="1">
      <c r="B2272" s="1033" t="str">
        <f>Drainase!C1123</f>
        <v>8.1.3.6</v>
      </c>
      <c r="C2272" s="39" t="str">
        <f>VLOOKUP(B2272,Drainase!C:K,2,FALSE)</f>
        <v xml:space="preserve">1 m' Tutup U-Ditch 39x60x9 (Tipe HD) untuk 30x30x120 cm </v>
      </c>
      <c r="D2272" s="9" t="s">
        <v>113</v>
      </c>
      <c r="E2272" s="1021">
        <f>VLOOKUP(C2272,Drainase!$D$2:$I$1777,6,FALSE)</f>
        <v>242900</v>
      </c>
      <c r="F2272" s="1003">
        <f>VLOOKUP(C2272,Drainase!$D$2:$J$1777,7,FALSE)</f>
        <v>0</v>
      </c>
      <c r="G2272" s="12">
        <f>VLOOKUP(C2272,Drainase!$D$2:$K$1777,8,FALSE)</f>
        <v>0</v>
      </c>
      <c r="H2272" s="374"/>
      <c r="I2272" s="16"/>
    </row>
    <row r="2273" spans="1:9" ht="24" customHeight="1">
      <c r="B2273" s="1033" t="str">
        <f>Drainase!C1139</f>
        <v>8.1.3.7</v>
      </c>
      <c r="C2273" s="39" t="str">
        <f>VLOOKUP(B2273,Drainase!C:K,2,FALSE)</f>
        <v xml:space="preserve">1 m' Tutup U-Ditch 51x60x10 (Tipe HD) untuk 40x40x120 cm </v>
      </c>
      <c r="D2273" s="9" t="s">
        <v>113</v>
      </c>
      <c r="E2273" s="1021">
        <f>VLOOKUP(C2273,Drainase!$D$2:$I$1777,6,FALSE)</f>
        <v>341000</v>
      </c>
      <c r="F2273" s="1003">
        <f>VLOOKUP(C2273,Drainase!$D$2:$J$1777,7,FALSE)</f>
        <v>0</v>
      </c>
      <c r="G2273" s="12">
        <f>VLOOKUP(C2273,Drainase!$D$2:$K$1777,8,FALSE)</f>
        <v>0</v>
      </c>
      <c r="H2273" s="374"/>
      <c r="I2273" s="16"/>
    </row>
    <row r="2274" spans="1:9" ht="24" customHeight="1">
      <c r="B2274" s="1033" t="str">
        <f>Drainase!C1155</f>
        <v>8.1.3.8</v>
      </c>
      <c r="C2274" s="39" t="str">
        <f>VLOOKUP(B2274,Drainase!C:K,2,FALSE)</f>
        <v xml:space="preserve">1 m' Tutup U-Ditch 62x60x13 (Tipe HD) untuk 50x50x120 cm </v>
      </c>
      <c r="D2274" s="9" t="s">
        <v>113</v>
      </c>
      <c r="E2274" s="1021">
        <f>VLOOKUP(C2274,Drainase!$D$2:$I$1777,6,FALSE)</f>
        <v>374600</v>
      </c>
      <c r="F2274" s="1003">
        <f>VLOOKUP(C2274,Drainase!$D$2:$J$1777,7,FALSE)</f>
        <v>0</v>
      </c>
      <c r="G2274" s="12">
        <f>VLOOKUP(C2274,Drainase!$D$2:$K$1777,8,FALSE)</f>
        <v>0</v>
      </c>
      <c r="H2274" s="374"/>
      <c r="I2274" s="16"/>
    </row>
    <row r="2275" spans="1:9" ht="24" customHeight="1">
      <c r="B2275" s="1033" t="str">
        <f>Drainase!C1172</f>
        <v>8.1.3.9</v>
      </c>
      <c r="C2275" s="39" t="str">
        <f>VLOOKUP(B2275,Drainase!C:K,2,FALSE)</f>
        <v xml:space="preserve">1 m' Tutup U-Ditch 73x60x14 (Tipe HD) untuk 60x60x120 cm </v>
      </c>
      <c r="D2275" s="9" t="s">
        <v>113</v>
      </c>
      <c r="E2275" s="1021">
        <f>VLOOKUP(C2275,Drainase!$D$2:$I$1777,6,FALSE)</f>
        <v>489000</v>
      </c>
      <c r="F2275" s="1003">
        <f>VLOOKUP(C2275,Drainase!$D$2:$J$1777,7,FALSE)</f>
        <v>0</v>
      </c>
      <c r="G2275" s="12">
        <f>VLOOKUP(C2275,Drainase!$D$2:$K$1777,8,FALSE)</f>
        <v>0</v>
      </c>
      <c r="H2275" s="374"/>
      <c r="I2275" s="16"/>
    </row>
    <row r="2276" spans="1:9" ht="24" customHeight="1">
      <c r="B2276" s="1033" t="str">
        <f>Drainase!C1189</f>
        <v>8.1.3.10</v>
      </c>
      <c r="C2276" s="39" t="str">
        <f>VLOOKUP(B2276,Drainase!C:K,2,FALSE)</f>
        <v xml:space="preserve">1 m' Tutup U-Ditch 94x60x15 (Tipe HD) untuk 80x80x120 cm </v>
      </c>
      <c r="D2276" s="9" t="s">
        <v>113</v>
      </c>
      <c r="E2276" s="1021">
        <f>VLOOKUP(C2276,Drainase!$D$2:$I$1777,6,FALSE)</f>
        <v>754100</v>
      </c>
      <c r="F2276" s="1003">
        <f>VLOOKUP(C2276,Drainase!$D$2:$J$1777,7,FALSE)</f>
        <v>0</v>
      </c>
      <c r="G2276" s="12">
        <f>VLOOKUP(C2276,Drainase!$D$2:$K$1777,8,FALSE)</f>
        <v>0</v>
      </c>
      <c r="H2276" s="374"/>
      <c r="I2276" s="16"/>
    </row>
    <row r="2277" spans="1:9" ht="24" customHeight="1">
      <c r="B2277" s="1033" t="str">
        <f>Drainase!C1206</f>
        <v>8.1.3.11</v>
      </c>
      <c r="C2277" s="39" t="str">
        <f>VLOOKUP(B2277,Drainase!C:K,2,FALSE)</f>
        <v xml:space="preserve">1 m' Grill Penutup Saluran, Besi Siku+Plat Strip </v>
      </c>
      <c r="D2277" s="9" t="s">
        <v>113</v>
      </c>
      <c r="E2277" s="1021">
        <f>VLOOKUP(C2277,Drainase!$D$2:$I$1777,6,FALSE)</f>
        <v>95100</v>
      </c>
      <c r="F2277" s="1003">
        <f>VLOOKUP(C2277,Drainase!$D$2:$J$1777,7,FALSE)</f>
        <v>0</v>
      </c>
      <c r="G2277" s="12">
        <f>VLOOKUP(C2277,Drainase!$D$2:$K$1777,8,FALSE)</f>
        <v>0</v>
      </c>
      <c r="H2277" s="374"/>
      <c r="I2277" s="16"/>
    </row>
    <row r="2278" spans="1:9" s="1" customFormat="1" ht="24" customHeight="1">
      <c r="A2278" s="47"/>
      <c r="B2278" s="1043" t="str">
        <f>Drainase!C1224</f>
        <v>8.2</v>
      </c>
      <c r="C2278" s="1001" t="str">
        <f>VLOOKUP(B2278,Drainase!C:K,2,FALSE)</f>
        <v>Saluran Buis Beton</v>
      </c>
      <c r="D2278" s="994"/>
      <c r="E2278" s="1022">
        <f>VLOOKUP(C2278,Drainase!$D$2:$I$1777,6,FALSE)</f>
        <v>0</v>
      </c>
      <c r="F2278" s="1004">
        <f>VLOOKUP(C2278,Drainase!$D$2:$J$1777,7,FALSE)</f>
        <v>0</v>
      </c>
      <c r="G2278" s="36">
        <f>VLOOKUP(C2278,Drainase!$D$2:$K$1777,8,FALSE)</f>
        <v>0</v>
      </c>
      <c r="H2278" s="1092"/>
      <c r="I2278" s="21"/>
    </row>
    <row r="2279" spans="1:9" ht="24" customHeight="1">
      <c r="B2279" s="1033" t="str">
        <f>Drainase!C1225</f>
        <v>8.2.1</v>
      </c>
      <c r="C2279" s="39" t="str">
        <f>VLOOKUP(B2279,Drainase!C:K,2,FALSE)</f>
        <v xml:space="preserve">1 m' Buis Beton 1/2 D 30-100 cm </v>
      </c>
      <c r="D2279" s="9" t="s">
        <v>113</v>
      </c>
      <c r="E2279" s="1021">
        <f>VLOOKUP(C2279,Drainase!$D$2:$I$1777,6,FALSE)</f>
        <v>118500</v>
      </c>
      <c r="F2279" s="1003">
        <f>VLOOKUP(C2279,Drainase!$D$2:$J$1777,7,FALSE)</f>
        <v>0</v>
      </c>
      <c r="G2279" s="12">
        <f>VLOOKUP(C2279,Drainase!$D$2:$K$1777,8,FALSE)</f>
        <v>0</v>
      </c>
      <c r="H2279" s="374"/>
      <c r="I2279" s="16"/>
    </row>
    <row r="2280" spans="1:9" ht="24" customHeight="1">
      <c r="B2280" s="1033" t="str">
        <f>Drainase!C1245</f>
        <v>8.2.2</v>
      </c>
      <c r="C2280" s="39" t="str">
        <f>VLOOKUP(B2280,Drainase!C:K,2,FALSE)</f>
        <v xml:space="preserve">1 m' Buis Beton 1/2 D 40-100 cm </v>
      </c>
      <c r="D2280" s="9" t="s">
        <v>113</v>
      </c>
      <c r="E2280" s="1021">
        <f>VLOOKUP(C2280,Drainase!$D$2:$I$1777,6,FALSE)</f>
        <v>143500</v>
      </c>
      <c r="F2280" s="1003">
        <f>VLOOKUP(C2280,Drainase!$D$2:$J$1777,7,FALSE)</f>
        <v>0</v>
      </c>
      <c r="G2280" s="12">
        <f>VLOOKUP(C2280,Drainase!$D$2:$K$1777,8,FALSE)</f>
        <v>0</v>
      </c>
      <c r="H2280" s="374"/>
      <c r="I2280" s="16"/>
    </row>
    <row r="2281" spans="1:9" ht="24" customHeight="1">
      <c r="B2281" s="1033" t="str">
        <f>Drainase!C1265</f>
        <v>8.2.3</v>
      </c>
      <c r="C2281" s="39" t="str">
        <f>VLOOKUP(B2281,Drainase!C:K,2,FALSE)</f>
        <v xml:space="preserve">1 m' Buis Beton 1/2 D 50-100 cm </v>
      </c>
      <c r="D2281" s="9" t="s">
        <v>113</v>
      </c>
      <c r="E2281" s="1021">
        <f>VLOOKUP(C2281,Drainase!$D$2:$I$1777,6,FALSE)</f>
        <v>153800</v>
      </c>
      <c r="F2281" s="1003">
        <f>VLOOKUP(C2281,Drainase!$D$2:$J$1777,7,FALSE)</f>
        <v>0</v>
      </c>
      <c r="G2281" s="12">
        <f>VLOOKUP(C2281,Drainase!$D$2:$K$1777,8,FALSE)</f>
        <v>0</v>
      </c>
      <c r="H2281" s="374"/>
      <c r="I2281" s="16"/>
    </row>
    <row r="2282" spans="1:9" ht="24" customHeight="1">
      <c r="B2282" s="1033" t="str">
        <f>Drainase!C1284</f>
        <v>8.2.4</v>
      </c>
      <c r="C2282" s="39" t="str">
        <f>VLOOKUP(B2282,Drainase!C:K,2,FALSE)</f>
        <v xml:space="preserve">1 m' Buis Beton 1/2 D 60-100 cm </v>
      </c>
      <c r="D2282" s="9" t="s">
        <v>113</v>
      </c>
      <c r="E2282" s="1021">
        <f>VLOOKUP(C2282,Drainase!$D$2:$I$1777,6,FALSE)</f>
        <v>198800</v>
      </c>
      <c r="F2282" s="1003">
        <f>VLOOKUP(C2282,Drainase!$D$2:$J$1777,7,FALSE)</f>
        <v>0</v>
      </c>
      <c r="G2282" s="12">
        <f>VLOOKUP(C2282,Drainase!$D$2:$K$1777,8,FALSE)</f>
        <v>0</v>
      </c>
      <c r="H2282" s="374"/>
      <c r="I2282" s="16"/>
    </row>
    <row r="2283" spans="1:9" ht="24" customHeight="1">
      <c r="B2283" s="1033" t="str">
        <f>Drainase!C1305</f>
        <v>8.2.5</v>
      </c>
      <c r="C2283" s="39" t="str">
        <f>VLOOKUP(B2283,Drainase!C:K,2,FALSE)</f>
        <v xml:space="preserve">1 m' Buis Beton 1/2 D 80-100 cm </v>
      </c>
      <c r="D2283" s="9" t="s">
        <v>113</v>
      </c>
      <c r="E2283" s="1021">
        <f>VLOOKUP(C2283,Drainase!$D$2:$I$1777,6,FALSE)</f>
        <v>415100</v>
      </c>
      <c r="F2283" s="1003">
        <f>VLOOKUP(C2283,Drainase!$D$2:$J$1777,7,FALSE)</f>
        <v>0</v>
      </c>
      <c r="G2283" s="12">
        <f>VLOOKUP(C2283,Drainase!$D$2:$K$1777,8,FALSE)</f>
        <v>0</v>
      </c>
      <c r="H2283" s="374"/>
      <c r="I2283" s="16"/>
    </row>
    <row r="2284" spans="1:9" ht="24" customHeight="1">
      <c r="B2284" s="1033" t="str">
        <f>Drainase!C1326</f>
        <v>8.2.6</v>
      </c>
      <c r="C2284" s="39" t="str">
        <f>VLOOKUP(B2284,Drainase!C:K,2,FALSE)</f>
        <v xml:space="preserve">1 m' Buis Beton 1/2 D 100-100 cm </v>
      </c>
      <c r="D2284" s="9" t="s">
        <v>113</v>
      </c>
      <c r="E2284" s="1021">
        <f>VLOOKUP(C2284,Drainase!$D$2:$I$1777,6,FALSE)</f>
        <v>518200</v>
      </c>
      <c r="F2284" s="1003">
        <f>VLOOKUP(C2284,Drainase!$D$2:$J$1777,7,FALSE)</f>
        <v>0</v>
      </c>
      <c r="G2284" s="12">
        <f>VLOOKUP(C2284,Drainase!$D$2:$K$1777,8,FALSE)</f>
        <v>0</v>
      </c>
      <c r="H2284" s="374"/>
      <c r="I2284" s="16"/>
    </row>
    <row r="2285" spans="1:9" ht="24" customHeight="1">
      <c r="B2285" s="1033" t="str">
        <f>Drainase!C1346</f>
        <v>8.2.7</v>
      </c>
      <c r="C2285" s="39" t="str">
        <f>VLOOKUP(B2285,Drainase!C:K,2,FALSE)</f>
        <v xml:space="preserve">1 m' Buis Beton  D 30-100 cm </v>
      </c>
      <c r="D2285" s="9" t="s">
        <v>113</v>
      </c>
      <c r="E2285" s="1021">
        <f>VLOOKUP(C2285,Drainase!$D$2:$I$1777,6,FALSE)</f>
        <v>108900</v>
      </c>
      <c r="F2285" s="1003">
        <f>VLOOKUP(C2285,Drainase!$D$2:$J$1777,7,FALSE)</f>
        <v>0</v>
      </c>
      <c r="G2285" s="12">
        <f>VLOOKUP(C2285,Drainase!$D$2:$K$1777,8,FALSE)</f>
        <v>0</v>
      </c>
      <c r="H2285" s="374"/>
      <c r="I2285" s="16"/>
    </row>
    <row r="2286" spans="1:9" ht="24" customHeight="1">
      <c r="B2286" s="1033" t="str">
        <f>Drainase!C1365</f>
        <v>8.2.8</v>
      </c>
      <c r="C2286" s="39" t="str">
        <f>VLOOKUP(B2286,Drainase!C:K,2,FALSE)</f>
        <v xml:space="preserve">1 m' Buis Beton D 40-100 cm </v>
      </c>
      <c r="D2286" s="9" t="s">
        <v>113</v>
      </c>
      <c r="E2286" s="1021">
        <f>VLOOKUP(C2286,Drainase!$D$2:$I$1777,6,FALSE)</f>
        <v>189500</v>
      </c>
      <c r="F2286" s="1003">
        <f>VLOOKUP(C2286,Drainase!$D$2:$J$1777,7,FALSE)</f>
        <v>0</v>
      </c>
      <c r="G2286" s="12">
        <f>VLOOKUP(C2286,Drainase!$D$2:$K$1777,8,FALSE)</f>
        <v>0</v>
      </c>
      <c r="H2286" s="374"/>
      <c r="I2286" s="16"/>
    </row>
    <row r="2287" spans="1:9" ht="24" customHeight="1">
      <c r="B2287" s="1033" t="str">
        <f>Drainase!C1386</f>
        <v>8.2.9</v>
      </c>
      <c r="C2287" s="39" t="str">
        <f>VLOOKUP(B2287,Drainase!C:K,2,FALSE)</f>
        <v xml:space="preserve">1 m' Buis Beton D 50-100 cm </v>
      </c>
      <c r="D2287" s="9" t="s">
        <v>113</v>
      </c>
      <c r="E2287" s="1021">
        <f>VLOOKUP(C2287,Drainase!$D$2:$I$1777,6,FALSE)</f>
        <v>208700</v>
      </c>
      <c r="F2287" s="1003">
        <f>VLOOKUP(C2287,Drainase!$D$2:$J$1777,7,FALSE)</f>
        <v>0</v>
      </c>
      <c r="G2287" s="12">
        <f>VLOOKUP(C2287,Drainase!$D$2:$K$1777,8,FALSE)</f>
        <v>0</v>
      </c>
      <c r="H2287" s="374"/>
      <c r="I2287" s="16"/>
    </row>
    <row r="2288" spans="1:9" ht="24" customHeight="1">
      <c r="B2288" s="1033" t="str">
        <f>Drainase!C1406</f>
        <v>8.2.10</v>
      </c>
      <c r="C2288" s="39" t="str">
        <f>VLOOKUP(B2288,Drainase!C:K,2,FALSE)</f>
        <v xml:space="preserve">1 m' Buis Beton D 60-100 cm </v>
      </c>
      <c r="D2288" s="9" t="s">
        <v>113</v>
      </c>
      <c r="E2288" s="1021">
        <f>VLOOKUP(C2288,Drainase!$D$2:$I$1777,6,FALSE)</f>
        <v>362700</v>
      </c>
      <c r="F2288" s="1003">
        <f>VLOOKUP(C2288,Drainase!$D$2:$J$1777,7,FALSE)</f>
        <v>0</v>
      </c>
      <c r="G2288" s="12">
        <f>VLOOKUP(C2288,Drainase!$D$2:$K$1777,8,FALSE)</f>
        <v>0</v>
      </c>
      <c r="H2288" s="374"/>
      <c r="I2288" s="16"/>
    </row>
    <row r="2289" spans="1:9" ht="24" customHeight="1">
      <c r="B2289" s="1033" t="str">
        <f>Drainase!C1427</f>
        <v>8.2.11</v>
      </c>
      <c r="C2289" s="39" t="str">
        <f>VLOOKUP(B2289,Drainase!C:K,2,FALSE)</f>
        <v xml:space="preserve">1 m' Buis Beton D 80-100 cm </v>
      </c>
      <c r="D2289" s="9" t="s">
        <v>113</v>
      </c>
      <c r="E2289" s="1021">
        <f>VLOOKUP(C2289,Drainase!$D$2:$I$1777,6,FALSE)</f>
        <v>674400</v>
      </c>
      <c r="F2289" s="1003">
        <f>VLOOKUP(C2289,Drainase!$D$2:$J$1777,7,FALSE)</f>
        <v>0</v>
      </c>
      <c r="G2289" s="12">
        <f>VLOOKUP(C2289,Drainase!$D$2:$K$1777,8,FALSE)</f>
        <v>0</v>
      </c>
      <c r="H2289" s="374"/>
      <c r="I2289" s="16"/>
    </row>
    <row r="2290" spans="1:9" ht="24" customHeight="1">
      <c r="B2290" s="1033" t="str">
        <f>Drainase!C1448</f>
        <v>8.2.12</v>
      </c>
      <c r="C2290" s="39" t="str">
        <f>VLOOKUP(B2290,Drainase!C:K,2,FALSE)</f>
        <v xml:space="preserve">1 m' Buis Beton D 100-100 cm </v>
      </c>
      <c r="D2290" s="9" t="s">
        <v>113</v>
      </c>
      <c r="E2290" s="1021">
        <f>VLOOKUP(C2290,Drainase!$D$2:$I$1777,6,FALSE)</f>
        <v>723000</v>
      </c>
      <c r="F2290" s="1003">
        <f>VLOOKUP(C2290,Drainase!$D$2:$J$1777,7,FALSE)</f>
        <v>0</v>
      </c>
      <c r="G2290" s="12">
        <f>VLOOKUP(C2290,Drainase!$D$2:$K$1777,8,FALSE)</f>
        <v>0</v>
      </c>
      <c r="H2290" s="374"/>
      <c r="I2290" s="16"/>
    </row>
    <row r="2291" spans="1:9" s="1" customFormat="1" ht="24" customHeight="1">
      <c r="A2291" s="47"/>
      <c r="B2291" s="1043" t="str">
        <f>Drainase!C1468</f>
        <v>8.3</v>
      </c>
      <c r="C2291" s="1001" t="str">
        <f>VLOOKUP(B2291,Drainase!C:K,2,FALSE)</f>
        <v xml:space="preserve">Saluran Box Culvert </v>
      </c>
      <c r="D2291" s="994"/>
      <c r="E2291" s="1022">
        <f>VLOOKUP(C2291,Drainase!$D$2:$I$1777,6,FALSE)</f>
        <v>0</v>
      </c>
      <c r="F2291" s="1004">
        <f>VLOOKUP(C2291,Drainase!$D$2:$J$1777,7,FALSE)</f>
        <v>0</v>
      </c>
      <c r="G2291" s="36">
        <f>VLOOKUP(C2291,Drainase!$D$2:$K$1777,8,FALSE)</f>
        <v>0</v>
      </c>
      <c r="H2291" s="1092"/>
      <c r="I2291" s="21"/>
    </row>
    <row r="2292" spans="1:9" s="1" customFormat="1" ht="24" customHeight="1">
      <c r="A2292" s="47"/>
      <c r="B2292" s="1041" t="str">
        <f>Drainase!C1469</f>
        <v>8.3.1</v>
      </c>
      <c r="C2292" s="40" t="str">
        <f>VLOOKUP(B2292,Drainase!C:K,2,FALSE)</f>
        <v xml:space="preserve">Saluran Box Culvert  dengan lantai kerja 10 Mpa </v>
      </c>
      <c r="D2292" s="19"/>
      <c r="E2292" s="1021">
        <f>VLOOKUP(C2292,Drainase!$D$2:$I$1777,6,FALSE)</f>
        <v>0</v>
      </c>
      <c r="F2292" s="1003">
        <f>VLOOKUP(C2292,Drainase!$D$2:$J$1777,7,FALSE)</f>
        <v>0</v>
      </c>
      <c r="G2292" s="12">
        <f>VLOOKUP(C2292,Drainase!$D$2:$K$1777,8,FALSE)</f>
        <v>0</v>
      </c>
      <c r="H2292" s="1092"/>
      <c r="I2292" s="21"/>
    </row>
    <row r="2293" spans="1:9" ht="24" customHeight="1">
      <c r="B2293" s="1033" t="str">
        <f>Drainase!C1470</f>
        <v>8.3.1.1</v>
      </c>
      <c r="C2293" s="39" t="str">
        <f>VLOOKUP(B2293,Drainase!C:K,2,FALSE)</f>
        <v xml:space="preserve">1 m' Box Culvert 40x40x100 dengan lantai kerja fc 10 Mpa </v>
      </c>
      <c r="D2293" s="9" t="s">
        <v>113</v>
      </c>
      <c r="E2293" s="1021">
        <f>VLOOKUP(C2293,Drainase!$D$2:$I$1777,6,FALSE)</f>
        <v>233800</v>
      </c>
      <c r="F2293" s="1003">
        <f>VLOOKUP(C2293,Drainase!$D$2:$J$1777,7,FALSE)</f>
        <v>0</v>
      </c>
      <c r="G2293" s="12">
        <f>VLOOKUP(C2293,Drainase!$D$2:$K$1777,8,FALSE)</f>
        <v>0</v>
      </c>
      <c r="H2293" s="374"/>
      <c r="I2293" s="16"/>
    </row>
    <row r="2294" spans="1:9" ht="24" customHeight="1">
      <c r="B2294" s="1033" t="str">
        <f>Drainase!C1489</f>
        <v>8.3.1.2</v>
      </c>
      <c r="C2294" s="39" t="str">
        <f>VLOOKUP(B2294,Drainase!C:K,2,FALSE)</f>
        <v xml:space="preserve">1 m' Box Culvert 50x50x100 dengan lantai kerja fc 10 Mpa </v>
      </c>
      <c r="D2294" s="9" t="s">
        <v>113</v>
      </c>
      <c r="E2294" s="1021">
        <f>VLOOKUP(C2294,Drainase!$D$2:$I$1777,6,FALSE)</f>
        <v>493300</v>
      </c>
      <c r="F2294" s="1003">
        <f>VLOOKUP(C2294,Drainase!$D$2:$J$1777,7,FALSE)</f>
        <v>0</v>
      </c>
      <c r="G2294" s="12">
        <f>VLOOKUP(C2294,Drainase!$D$2:$K$1777,8,FALSE)</f>
        <v>0</v>
      </c>
      <c r="H2294" s="374"/>
      <c r="I2294" s="16"/>
    </row>
    <row r="2295" spans="1:9" ht="24" customHeight="1">
      <c r="B2295" s="1033" t="str">
        <f>Drainase!C1508</f>
        <v>8.3.1.3</v>
      </c>
      <c r="C2295" s="39" t="str">
        <f>VLOOKUP(B2295,Drainase!C:K,2,FALSE)</f>
        <v xml:space="preserve">1 m' Box Culvert 60x60x100 dengan lantai kerja fc 10 Mpa </v>
      </c>
      <c r="D2295" s="9" t="s">
        <v>113</v>
      </c>
      <c r="E2295" s="1021">
        <f>VLOOKUP(C2295,Drainase!$D$2:$I$1777,6,FALSE)</f>
        <v>537300</v>
      </c>
      <c r="F2295" s="1003">
        <f>VLOOKUP(C2295,Drainase!$D$2:$J$1777,7,FALSE)</f>
        <v>0</v>
      </c>
      <c r="G2295" s="12">
        <f>VLOOKUP(C2295,Drainase!$D$2:$K$1777,8,FALSE)</f>
        <v>0</v>
      </c>
      <c r="H2295" s="374"/>
      <c r="I2295" s="16"/>
    </row>
    <row r="2296" spans="1:9" ht="24" customHeight="1">
      <c r="B2296" s="1033" t="str">
        <f>Drainase!C1527</f>
        <v>8.3.1.4</v>
      </c>
      <c r="C2296" s="39" t="str">
        <f>VLOOKUP(B2296,Drainase!C:K,2,FALSE)</f>
        <v xml:space="preserve">1 m' Box Culvert 80x80x100 dengan lantai kerja fc 10 Mpa </v>
      </c>
      <c r="D2296" s="9" t="s">
        <v>113</v>
      </c>
      <c r="E2296" s="1021">
        <f>VLOOKUP(C2296,Drainase!$D$2:$I$1777,6,FALSE)</f>
        <v>727600</v>
      </c>
      <c r="F2296" s="1003">
        <f>VLOOKUP(C2296,Drainase!$D$2:$J$1777,7,FALSE)</f>
        <v>0</v>
      </c>
      <c r="G2296" s="12">
        <f>VLOOKUP(C2296,Drainase!$D$2:$K$1777,8,FALSE)</f>
        <v>0</v>
      </c>
      <c r="H2296" s="374"/>
      <c r="I2296" s="16"/>
    </row>
    <row r="2297" spans="1:9" ht="24" customHeight="1">
      <c r="B2297" s="1033" t="str">
        <f>Drainase!C1546</f>
        <v>8.3.1.5</v>
      </c>
      <c r="C2297" s="39" t="str">
        <f>VLOOKUP(B2297,Drainase!C:K,2,FALSE)</f>
        <v xml:space="preserve">1 m' Box Culvert 100x100x100 dengan lantai kerja fc 10 Mpa </v>
      </c>
      <c r="D2297" s="9" t="s">
        <v>113</v>
      </c>
      <c r="E2297" s="1021">
        <f>VLOOKUP(C2297,Drainase!$D$2:$I$1777,6,FALSE)</f>
        <v>1009800</v>
      </c>
      <c r="F2297" s="1003">
        <f>VLOOKUP(C2297,Drainase!$D$2:$J$1777,7,FALSE)</f>
        <v>0</v>
      </c>
      <c r="G2297" s="12">
        <f>VLOOKUP(C2297,Drainase!$D$2:$K$1777,8,FALSE)</f>
        <v>0</v>
      </c>
      <c r="H2297" s="374"/>
      <c r="I2297" s="16"/>
    </row>
    <row r="2298" spans="1:9" ht="24" customHeight="1">
      <c r="B2298" s="1033" t="str">
        <f>Drainase!C1565</f>
        <v>8.3.1. 6</v>
      </c>
      <c r="C2298" s="39" t="str">
        <f>VLOOKUP(B2298,Drainase!C:K,2,FALSE)</f>
        <v xml:space="preserve">1 m' Box Culvert 150x150x100 dengan lantai kerja fc 10 Mpa </v>
      </c>
      <c r="D2298" s="9" t="s">
        <v>113</v>
      </c>
      <c r="E2298" s="1021">
        <f>VLOOKUP(C2298,Drainase!$D$2:$I$1777,6,FALSE)</f>
        <v>1166200</v>
      </c>
      <c r="F2298" s="1003">
        <f>VLOOKUP(C2298,Drainase!$D$2:$J$1777,7,FALSE)</f>
        <v>0</v>
      </c>
      <c r="G2298" s="12">
        <f>VLOOKUP(C2298,Drainase!$D$2:$K$1777,8,FALSE)</f>
        <v>0</v>
      </c>
      <c r="H2298" s="374"/>
      <c r="I2298" s="16"/>
    </row>
    <row r="2299" spans="1:9" ht="24" customHeight="1">
      <c r="B2299" s="1033" t="str">
        <f>Drainase!C1584</f>
        <v>8.3.1.7</v>
      </c>
      <c r="C2299" s="39" t="str">
        <f>VLOOKUP(B2299,Drainase!C:K,2,FALSE)</f>
        <v xml:space="preserve">1 m' Box Culvert 200x200x100 dengan lantai kerja fc 10 Mpa </v>
      </c>
      <c r="D2299" s="9" t="s">
        <v>113</v>
      </c>
      <c r="E2299" s="1021">
        <f>VLOOKUP(C2299,Drainase!$D$2:$I$1777,6,FALSE)</f>
        <v>1538200</v>
      </c>
      <c r="F2299" s="1003">
        <f>VLOOKUP(C2299,Drainase!$D$2:$J$1777,7,FALSE)</f>
        <v>0</v>
      </c>
      <c r="G2299" s="12">
        <f>VLOOKUP(C2299,Drainase!$D$2:$K$1777,8,FALSE)</f>
        <v>0</v>
      </c>
      <c r="H2299" s="374"/>
      <c r="I2299" s="16"/>
    </row>
    <row r="2300" spans="1:9" ht="24" customHeight="1">
      <c r="B2300" s="1033" t="str">
        <f>Drainase!C1604</f>
        <v>8.3.1. 8</v>
      </c>
      <c r="C2300" s="39" t="str">
        <f>VLOOKUP(B2300,Drainase!C:K,2,FALSE)</f>
        <v xml:space="preserve">1 m' Box Culvert 300x300x100 dengan lantai kerja fc 10 Mpa </v>
      </c>
      <c r="D2300" s="9" t="s">
        <v>113</v>
      </c>
      <c r="E2300" s="1021">
        <f>VLOOKUP(C2300,Drainase!$D$2:$I$1777,6,FALSE)</f>
        <v>2279000</v>
      </c>
      <c r="F2300" s="1003">
        <f>VLOOKUP(C2300,Drainase!$D$2:$J$1777,7,FALSE)</f>
        <v>0</v>
      </c>
      <c r="G2300" s="12">
        <f>VLOOKUP(C2300,Drainase!$D$2:$K$1777,8,FALSE)</f>
        <v>0</v>
      </c>
      <c r="H2300" s="374"/>
      <c r="I2300" s="16"/>
    </row>
    <row r="2301" spans="1:9" s="1" customFormat="1" ht="24" customHeight="1">
      <c r="A2301" s="47"/>
      <c r="B2301" s="1041" t="str">
        <f>Drainase!C1623</f>
        <v>8.3.2</v>
      </c>
      <c r="C2301" s="40" t="str">
        <f>VLOOKUP(B2301,Drainase!C:K,2,FALSE)</f>
        <v>Saluran Box Culvert dengan lantai kerja 7,5 Mpa</v>
      </c>
      <c r="D2301" s="19"/>
      <c r="E2301" s="1021">
        <f>VLOOKUP(C2301,Drainase!$D$2:$I$1777,6,FALSE)</f>
        <v>0</v>
      </c>
      <c r="F2301" s="1003">
        <f>VLOOKUP(C2301,Drainase!$D$2:$J$1777,7,FALSE)</f>
        <v>0</v>
      </c>
      <c r="G2301" s="12">
        <f>VLOOKUP(C2301,Drainase!$D$2:$K$1777,8,FALSE)</f>
        <v>0</v>
      </c>
      <c r="H2301" s="1092"/>
      <c r="I2301" s="21"/>
    </row>
    <row r="2302" spans="1:9" ht="24" customHeight="1">
      <c r="B2302" s="1033" t="str">
        <f>Drainase!C1624</f>
        <v>8.3.2.1</v>
      </c>
      <c r="C2302" s="39" t="str">
        <f>VLOOKUP(B2302,Drainase!C:K,2,FALSE)</f>
        <v xml:space="preserve">1 m' Box Culvert 40x40x100 dengan lantai kerja fc 7,5 Mpa </v>
      </c>
      <c r="D2302" s="9" t="s">
        <v>113</v>
      </c>
      <c r="E2302" s="1021">
        <f>VLOOKUP(C2302,Drainase!$D$2:$I$1777,6,FALSE)</f>
        <v>452700</v>
      </c>
      <c r="F2302" s="1003">
        <f>VLOOKUP(C2302,Drainase!$D$2:$J$1777,7,FALSE)</f>
        <v>0</v>
      </c>
      <c r="G2302" s="12">
        <f>VLOOKUP(C2302,Drainase!$D$2:$K$1777,8,FALSE)</f>
        <v>0</v>
      </c>
      <c r="H2302" s="374"/>
      <c r="I2302" s="16"/>
    </row>
    <row r="2303" spans="1:9" ht="24" customHeight="1">
      <c r="B2303" s="1033" t="str">
        <f>Drainase!C1643</f>
        <v>8.3.2.2</v>
      </c>
      <c r="C2303" s="39" t="str">
        <f>VLOOKUP(B2303,Drainase!C:K,2,FALSE)</f>
        <v xml:space="preserve">1 m' Box Culvert 50x50x100 dengan lantai kerja fc 7,5 Mpa </v>
      </c>
      <c r="D2303" s="9" t="s">
        <v>113</v>
      </c>
      <c r="E2303" s="1021">
        <f>VLOOKUP(C2303,Drainase!$D$2:$I$1777,6,FALSE)</f>
        <v>478900</v>
      </c>
      <c r="F2303" s="1003">
        <f>VLOOKUP(C2303,Drainase!$D$2:$J$1777,7,FALSE)</f>
        <v>0</v>
      </c>
      <c r="G2303" s="12">
        <f>VLOOKUP(C2303,Drainase!$D$2:$K$1777,8,FALSE)</f>
        <v>0</v>
      </c>
      <c r="H2303" s="374"/>
      <c r="I2303" s="16"/>
    </row>
    <row r="2304" spans="1:9" ht="24" customHeight="1">
      <c r="B2304" s="1033" t="str">
        <f>Drainase!C1662</f>
        <v>8.3.2.3</v>
      </c>
      <c r="C2304" s="39" t="str">
        <f>VLOOKUP(B2304,Drainase!C:K,2,FALSE)</f>
        <v xml:space="preserve">1 m' Box Culvert 60x60x100 dengan lantai kerja fc 7,5 Mpa </v>
      </c>
      <c r="D2304" s="9" t="s">
        <v>113</v>
      </c>
      <c r="E2304" s="1021">
        <f>VLOOKUP(C2304,Drainase!$D$2:$I$1777,6,FALSE)</f>
        <v>520500</v>
      </c>
      <c r="F2304" s="1003">
        <f>VLOOKUP(C2304,Drainase!$D$2:$J$1777,7,FALSE)</f>
        <v>0</v>
      </c>
      <c r="G2304" s="12">
        <f>VLOOKUP(C2304,Drainase!$D$2:$K$1777,8,FALSE)</f>
        <v>0</v>
      </c>
      <c r="H2304" s="374"/>
      <c r="I2304" s="16"/>
    </row>
    <row r="2305" spans="1:9" ht="24" customHeight="1">
      <c r="B2305" s="1033" t="str">
        <f>Drainase!C1681</f>
        <v>8.3.2.4</v>
      </c>
      <c r="C2305" s="39" t="str">
        <f>VLOOKUP(B2305,Drainase!C:K,2,FALSE)</f>
        <v xml:space="preserve">1 m' Box Culvert 80x80x100 dengan lantai kerja fc 7,5 Mpa </v>
      </c>
      <c r="D2305" s="9" t="s">
        <v>113</v>
      </c>
      <c r="E2305" s="1021">
        <f>VLOOKUP(C2305,Drainase!$D$2:$I$1777,6,FALSE)</f>
        <v>706400</v>
      </c>
      <c r="F2305" s="1003">
        <f>VLOOKUP(C2305,Drainase!$D$2:$J$1777,7,FALSE)</f>
        <v>0</v>
      </c>
      <c r="G2305" s="12">
        <f>VLOOKUP(C2305,Drainase!$D$2:$K$1777,8,FALSE)</f>
        <v>0</v>
      </c>
      <c r="H2305" s="374"/>
      <c r="I2305" s="16"/>
    </row>
    <row r="2306" spans="1:9" ht="24" customHeight="1">
      <c r="B2306" s="1033" t="str">
        <f>Drainase!C1701</f>
        <v>8.3.2.5</v>
      </c>
      <c r="C2306" s="39" t="str">
        <f>VLOOKUP(B2306,Drainase!C:K,2,FALSE)</f>
        <v xml:space="preserve">1 m' Box Culvert 100x100x100 dengan lantai kerja fc 7,5 Mpa </v>
      </c>
      <c r="D2306" s="9" t="s">
        <v>113</v>
      </c>
      <c r="E2306" s="1021">
        <f>VLOOKUP(C2306,Drainase!$D$2:$I$1777,6,FALSE)</f>
        <v>985300</v>
      </c>
      <c r="F2306" s="1003">
        <f>VLOOKUP(C2306,Drainase!$D$2:$J$1777,7,FALSE)</f>
        <v>0</v>
      </c>
      <c r="G2306" s="12">
        <f>VLOOKUP(C2306,Drainase!$D$2:$K$1777,8,FALSE)</f>
        <v>0</v>
      </c>
      <c r="H2306" s="374"/>
      <c r="I2306" s="16"/>
    </row>
    <row r="2307" spans="1:9" ht="24" customHeight="1">
      <c r="B2307" s="1033" t="str">
        <f>Drainase!C1720</f>
        <v>8.3.2.6</v>
      </c>
      <c r="C2307" s="39" t="str">
        <f>VLOOKUP(B2307,Drainase!C:K,2,FALSE)</f>
        <v xml:space="preserve">1 m' Box Culvert 150x150x100 dengan lantai kerja fc 7,5 Mpa </v>
      </c>
      <c r="D2307" s="9" t="s">
        <v>113</v>
      </c>
      <c r="E2307" s="1021">
        <f>VLOOKUP(C2307,Drainase!$D$2:$I$1777,6,FALSE)</f>
        <v>1132100</v>
      </c>
      <c r="F2307" s="1003">
        <f>VLOOKUP(C2307,Drainase!$D$2:$J$1777,7,FALSE)</f>
        <v>0</v>
      </c>
      <c r="G2307" s="12">
        <f>VLOOKUP(C2307,Drainase!$D$2:$K$1777,8,FALSE)</f>
        <v>0</v>
      </c>
      <c r="H2307" s="374"/>
      <c r="I2307" s="16"/>
    </row>
    <row r="2308" spans="1:9" ht="24" customHeight="1">
      <c r="B2308" s="1033" t="str">
        <f>Drainase!C1740</f>
        <v>8.3.2.7</v>
      </c>
      <c r="C2308" s="39" t="str">
        <f>VLOOKUP(B2308,Drainase!C:K,2,FALSE)</f>
        <v xml:space="preserve">1 m' Box Culvert 200x200x100 dengan lantai kerja fc 7,5 Mpa </v>
      </c>
      <c r="D2308" s="9" t="s">
        <v>113</v>
      </c>
      <c r="E2308" s="1021">
        <f>VLOOKUP(C2308,Drainase!$D$2:$I$1777,6,FALSE)</f>
        <v>1495000</v>
      </c>
      <c r="F2308" s="1003">
        <f>VLOOKUP(C2308,Drainase!$D$2:$J$1777,7,FALSE)</f>
        <v>0</v>
      </c>
      <c r="G2308" s="12">
        <f>VLOOKUP(C2308,Drainase!$D$2:$K$1777,8,FALSE)</f>
        <v>0</v>
      </c>
      <c r="H2308" s="374"/>
      <c r="I2308" s="16"/>
    </row>
    <row r="2309" spans="1:9" ht="24" customHeight="1">
      <c r="B2309" s="1033" t="str">
        <f>Drainase!C1759</f>
        <v>8.3.2.8</v>
      </c>
      <c r="C2309" s="39" t="str">
        <f>VLOOKUP(B2309,Drainase!C:K,2,FALSE)</f>
        <v xml:space="preserve">1 m' Box Culvert 300x300x100 dengan lantai kerja fc 7,5 Mpa </v>
      </c>
      <c r="D2309" s="9" t="s">
        <v>113</v>
      </c>
      <c r="E2309" s="1021">
        <f>VLOOKUP(C2309,Drainase!$D$2:$I$1777,6,FALSE)</f>
        <v>2215500</v>
      </c>
      <c r="F2309" s="1003">
        <f>VLOOKUP(C2309,Drainase!$D$2:$J$1777,7,FALSE)</f>
        <v>0</v>
      </c>
      <c r="G2309" s="12">
        <f>VLOOKUP(C2309,Drainase!$D$2:$K$1777,8,FALSE)</f>
        <v>0</v>
      </c>
      <c r="H2309" s="374"/>
      <c r="I2309" s="16"/>
    </row>
    <row r="2310" spans="1:9" ht="24" customHeight="1">
      <c r="B2310" s="1054">
        <f>'Jaringan Pipa Luar Gedung'!C2</f>
        <v>9</v>
      </c>
      <c r="C2310" s="1002" t="str">
        <f>VLOOKUP(B2310,'Jaringan Pipa Luar Gedung'!C:K,2,FALSE)</f>
        <v>PEKERJAAN JARINGAN PIPA LUAR GEDUNG</v>
      </c>
      <c r="D2310" s="982"/>
      <c r="E2310" s="1023"/>
      <c r="F2310" s="1009">
        <f>VLOOKUP(C2310,'Jaringan Pipa Luar Gedung'!$D$2:$J$4288,7,FALSE)</f>
        <v>0</v>
      </c>
      <c r="G2310" s="31">
        <f>VLOOKUP(C2310,'Jaringan Pipa Luar Gedung'!$D$2:$K$4288,8,FALSE)</f>
        <v>0</v>
      </c>
      <c r="H2310" s="374"/>
      <c r="I2310" s="16"/>
    </row>
    <row r="2311" spans="1:9" ht="24" customHeight="1">
      <c r="B2311" s="1052" t="str">
        <f>'Jaringan Pipa Luar Gedung'!C3</f>
        <v xml:space="preserve">9.1 </v>
      </c>
      <c r="C2311" s="1001" t="str">
        <f>VLOOKUP(B2311,'Jaringan Pipa Luar Gedung'!C:K,2,FALSE)</f>
        <v>Pipa PVC</v>
      </c>
      <c r="D2311" s="983"/>
      <c r="E2311" s="1024"/>
      <c r="F2311" s="1004">
        <f>VLOOKUP(C2311,'Jaringan Pipa Luar Gedung'!$D$2:$J$4288,7,FALSE)</f>
        <v>0</v>
      </c>
      <c r="G2311" s="36">
        <f>VLOOKUP(C2311,'Jaringan Pipa Luar Gedung'!$D$2:$K$4288,8,FALSE)</f>
        <v>0</v>
      </c>
      <c r="H2311" s="374"/>
      <c r="I2311" s="16"/>
    </row>
    <row r="2312" spans="1:9" s="1" customFormat="1" ht="24" customHeight="1">
      <c r="A2312" s="47"/>
      <c r="B2312" s="1041" t="str">
        <f>'Jaringan Pipa Luar Gedung'!C4</f>
        <v>9.1.1</v>
      </c>
      <c r="C2312" s="40" t="str">
        <f>VLOOKUP(B2312,'Jaringan Pipa Luar Gedung'!C:K,2,FALSE)</f>
        <v xml:space="preserve">Pemasangan Pipa PVC </v>
      </c>
      <c r="D2312" s="19"/>
      <c r="E2312" s="1021">
        <f>VLOOKUP(C2312,'Jaringan Pipa Luar Gedung'!$D$2:$I$4288,6,FALSE)</f>
        <v>0</v>
      </c>
      <c r="F2312" s="1003">
        <f>VLOOKUP(C2312,'Jaringan Pipa Luar Gedung'!$D$2:$J$4288,7,FALSE)</f>
        <v>0</v>
      </c>
      <c r="G2312" s="12">
        <f>VLOOKUP(C2312,'Jaringan Pipa Luar Gedung'!$D$2:$K$4288,8,FALSE)</f>
        <v>0</v>
      </c>
      <c r="H2312" s="1092"/>
      <c r="I2312" s="21"/>
    </row>
    <row r="2313" spans="1:9" ht="24" customHeight="1">
      <c r="B2313" s="1033" t="str">
        <f>'Jaringan Pipa Luar Gedung'!C5</f>
        <v>9.1.1.1</v>
      </c>
      <c r="C2313" s="39" t="str">
        <f>VLOOKUP(B2313,'Jaringan Pipa Luar Gedung'!C:K,2,FALSE)</f>
        <v>Pemasangan 1 m Pipa PVC, DN. 2-1/2" (65 mm)</v>
      </c>
      <c r="D2313" s="9" t="s">
        <v>1300</v>
      </c>
      <c r="E2313" s="1021">
        <f>VLOOKUP(C2313,'Jaringan Pipa Luar Gedung'!$D$2:$I$4288,6,FALSE)</f>
        <v>32900</v>
      </c>
      <c r="F2313" s="1003" t="str">
        <f>VLOOKUP(C2313,'Jaringan Pipa Luar Gedung'!$D$2:$J$4288,7,FALSE)</f>
        <v xml:space="preserve">Revisi </v>
      </c>
      <c r="G2313" s="12" t="str">
        <f>VLOOKUP(C2313,'Jaringan Pipa Luar Gedung'!$D$2:$K$4288,8,FALSE)</f>
        <v>Perubahan Diameter (Dia.) jadi Diameter Nominal (DN)</v>
      </c>
      <c r="H2313" s="374"/>
      <c r="I2313" s="16"/>
    </row>
    <row r="2314" spans="1:9" ht="24" customHeight="1">
      <c r="B2314" s="1033" t="str">
        <f>'Jaringan Pipa Luar Gedung'!C21</f>
        <v>9.1.1.2</v>
      </c>
      <c r="C2314" s="39" t="str">
        <f>VLOOKUP(B2314,'Jaringan Pipa Luar Gedung'!C:K,2,FALSE)</f>
        <v>Pemasangan 1 m Pipa PVC, DN. 3" (80 mm)</v>
      </c>
      <c r="D2314" s="9" t="s">
        <v>1300</v>
      </c>
      <c r="E2314" s="1021">
        <f>VLOOKUP(C2314,'Jaringan Pipa Luar Gedung'!$D$2:$I$4288,6,FALSE)</f>
        <v>50800</v>
      </c>
      <c r="F2314" s="1003" t="str">
        <f>VLOOKUP(C2314,'Jaringan Pipa Luar Gedung'!$D$2:$J$4288,7,FALSE)</f>
        <v>Revisi</v>
      </c>
      <c r="G2314" s="12" t="str">
        <f>VLOOKUP(C2314,'Jaringan Pipa Luar Gedung'!$D$2:$K$4288,8,FALSE)</f>
        <v>Perubahan diameter 90mm menjadi DN. 3" ( 80 MM)</v>
      </c>
      <c r="H2314" s="374"/>
      <c r="I2314" s="16"/>
    </row>
    <row r="2315" spans="1:9" ht="24" customHeight="1">
      <c r="B2315" s="1033" t="str">
        <f>'Jaringan Pipa Luar Gedung'!C37</f>
        <v>9.1.1.3</v>
      </c>
      <c r="C2315" s="39" t="str">
        <f>VLOOKUP(B2315,'Jaringan Pipa Luar Gedung'!C:K,2,FALSE)</f>
        <v>Pemasangan 1 m Pipa PVC, DN. 4" (100 mm)</v>
      </c>
      <c r="D2315" s="9" t="s">
        <v>1300</v>
      </c>
      <c r="E2315" s="1021">
        <f>VLOOKUP(C2315,'Jaringan Pipa Luar Gedung'!$D$2:$I$4288,6,FALSE)</f>
        <v>65300</v>
      </c>
      <c r="F2315" s="1003" t="str">
        <f>VLOOKUP(C2315,'Jaringan Pipa Luar Gedung'!$D$2:$J$4288,7,FALSE)</f>
        <v xml:space="preserve">Revisi </v>
      </c>
      <c r="G2315" s="12" t="str">
        <f>VLOOKUP(C2315,'Jaringan Pipa Luar Gedung'!$D$2:$K$4288,8,FALSE)</f>
        <v>Perubahan dia meter 110 cm menjadi DN. 4" ( 100 mm)</v>
      </c>
      <c r="H2315" s="374"/>
      <c r="I2315" s="16"/>
    </row>
    <row r="2316" spans="1:9" ht="24" customHeight="1">
      <c r="B2316" s="1033" t="str">
        <f>'Jaringan Pipa Luar Gedung'!C53</f>
        <v>9.1.1.4</v>
      </c>
      <c r="C2316" s="39" t="str">
        <f>VLOOKUP(B2316,'Jaringan Pipa Luar Gedung'!C:K,2,FALSE)</f>
        <v>Pemasangan 1 m Pipa PVC, DN. 6" (150 mm)</v>
      </c>
      <c r="D2316" s="9" t="s">
        <v>1300</v>
      </c>
      <c r="E2316" s="1021">
        <f>VLOOKUP(C2316,'Jaringan Pipa Luar Gedung'!$D$2:$I$4288,6,FALSE)</f>
        <v>94200</v>
      </c>
      <c r="F2316" s="1003" t="str">
        <f>VLOOKUP(C2316,'Jaringan Pipa Luar Gedung'!$D$2:$J$4288,7,FALSE)</f>
        <v>Revisi</v>
      </c>
      <c r="G2316" s="12" t="str">
        <f>VLOOKUP(C2316,'Jaringan Pipa Luar Gedung'!$D$2:$K$4288,8,FALSE)</f>
        <v>Perubahan dia meter 150 mm menjadi D. 6" ( 150 mm)</v>
      </c>
      <c r="H2316" s="374"/>
      <c r="I2316" s="16"/>
    </row>
    <row r="2317" spans="1:9" ht="24" customHeight="1">
      <c r="B2317" s="1033" t="str">
        <f>'Jaringan Pipa Luar Gedung'!C69</f>
        <v>9.1.1.5</v>
      </c>
      <c r="C2317" s="39" t="str">
        <f>VLOOKUP(B2317,'Jaringan Pipa Luar Gedung'!C:K,2,FALSE)</f>
        <v>Pemasangan 1 m Pipa PVC, DN. 8" (200 mm)</v>
      </c>
      <c r="D2317" s="9" t="s">
        <v>1300</v>
      </c>
      <c r="E2317" s="1021">
        <f>VLOOKUP(C2317,'Jaringan Pipa Luar Gedung'!$D$2:$I$4288,6,FALSE)</f>
        <v>192200</v>
      </c>
      <c r="F2317" s="1003" t="str">
        <f>VLOOKUP(C2317,'Jaringan Pipa Luar Gedung'!$D$2:$J$4288,7,FALSE)</f>
        <v>Revisi</v>
      </c>
      <c r="G2317" s="12" t="str">
        <f>VLOOKUP(C2317,'Jaringan Pipa Luar Gedung'!$D$2:$K$4288,8,FALSE)</f>
        <v>Perubahan diameter (Dia.) jadi Diameter Nominal (DN)</v>
      </c>
      <c r="H2317" s="374"/>
      <c r="I2317" s="16"/>
    </row>
    <row r="2318" spans="1:9" ht="24" customHeight="1">
      <c r="B2318" s="1033" t="str">
        <f>'Jaringan Pipa Luar Gedung'!C85</f>
        <v>9.1.1.6</v>
      </c>
      <c r="C2318" s="39" t="str">
        <f>VLOOKUP(B2318,'Jaringan Pipa Luar Gedung'!C:K,2,FALSE)</f>
        <v>Pemasangan 1 m Pipa PVC, DN. 10" (250 mm)</v>
      </c>
      <c r="D2318" s="9" t="s">
        <v>1300</v>
      </c>
      <c r="E2318" s="1021">
        <f>VLOOKUP(C2318,'Jaringan Pipa Luar Gedung'!$D$2:$I$4288,6,FALSE)</f>
        <v>372500</v>
      </c>
      <c r="F2318" s="1003" t="str">
        <f>VLOOKUP(C2318,'Jaringan Pipa Luar Gedung'!$D$2:$J$4288,7,FALSE)</f>
        <v>Revisi</v>
      </c>
      <c r="G2318" s="12" t="str">
        <f>VLOOKUP(C2318,'Jaringan Pipa Luar Gedung'!$D$2:$K$4288,8,FALSE)</f>
        <v>Perubahan diameter (Dia.) menjadi Diameter Nominal (DN)</v>
      </c>
      <c r="H2318" s="374"/>
      <c r="I2318" s="16"/>
    </row>
    <row r="2319" spans="1:9" ht="24" customHeight="1">
      <c r="B2319" s="1033" t="str">
        <f>'Jaringan Pipa Luar Gedung'!C102</f>
        <v>9.1.1.7</v>
      </c>
      <c r="C2319" s="39" t="str">
        <f>VLOOKUP(B2319,'Jaringan Pipa Luar Gedung'!C:K,2,FALSE)</f>
        <v>Pemasangan 1 m Pipa PVC, DN. 12" (300 mm)</v>
      </c>
      <c r="D2319" s="9" t="s">
        <v>1300</v>
      </c>
      <c r="E2319" s="1021">
        <f>VLOOKUP(C2319,'Jaringan Pipa Luar Gedung'!$D$2:$I$4288,6,FALSE)</f>
        <v>400600</v>
      </c>
      <c r="F2319" s="1003" t="str">
        <f>VLOOKUP(C2319,'Jaringan Pipa Luar Gedung'!$D$2:$J$4288,7,FALSE)</f>
        <v>Revisi</v>
      </c>
      <c r="G2319" s="12" t="str">
        <f>VLOOKUP(C2319,'Jaringan Pipa Luar Gedung'!$D$2:$K$4288,8,FALSE)</f>
        <v>Peubahan diameter (dia.) Menjadi Diameter Nominal (DN)</v>
      </c>
      <c r="H2319" s="374"/>
      <c r="I2319" s="16"/>
    </row>
    <row r="2320" spans="1:9" ht="24" customHeight="1">
      <c r="B2320" s="1033" t="str">
        <f>'Jaringan Pipa Luar Gedung'!C119</f>
        <v>9.1.1.8</v>
      </c>
      <c r="C2320" s="39" t="str">
        <f>VLOOKUP(B2320,'Jaringan Pipa Luar Gedung'!C:K,2,FALSE)</f>
        <v>Pemasangan 1 m Pipa PVC, DN. 16" (400 mm)</v>
      </c>
      <c r="D2320" s="9" t="s">
        <v>1300</v>
      </c>
      <c r="E2320" s="1021">
        <f>VLOOKUP(C2320,'Jaringan Pipa Luar Gedung'!$D$2:$I$4288,6,FALSE)</f>
        <v>453500</v>
      </c>
      <c r="F2320" s="1003" t="str">
        <f>VLOOKUP(C2320,'Jaringan Pipa Luar Gedung'!$D$2:$J$4288,7,FALSE)</f>
        <v>Revisi</v>
      </c>
      <c r="G2320" s="12" t="str">
        <f>VLOOKUP(C2320,'Jaringan Pipa Luar Gedung'!$D$2:$K$4288,8,FALSE)</f>
        <v>Perubahan Diameter (Dia.) Menjadi Diameter Nominal (DN)</v>
      </c>
      <c r="H2320" s="374"/>
      <c r="I2320" s="16"/>
    </row>
    <row r="2321" spans="1:9" ht="24" customHeight="1">
      <c r="B2321" s="1033" t="str">
        <f>'Jaringan Pipa Luar Gedung'!C136</f>
        <v>9.1.1.9</v>
      </c>
      <c r="C2321" s="39" t="str">
        <f>VLOOKUP(B2321,'Jaringan Pipa Luar Gedung'!C:K,2,FALSE)</f>
        <v>Pemasangan 1 m Pipa PVC, DN. 18" (450 mm)</v>
      </c>
      <c r="D2321" s="9" t="s">
        <v>1300</v>
      </c>
      <c r="E2321" s="1021">
        <f>VLOOKUP(C2321,'Jaringan Pipa Luar Gedung'!$D$2:$I$4288,6,FALSE)</f>
        <v>552900</v>
      </c>
      <c r="F2321" s="1003" t="str">
        <f>VLOOKUP(C2321,'Jaringan Pipa Luar Gedung'!$D$2:$J$4288,7,FALSE)</f>
        <v>Revisi</v>
      </c>
      <c r="G2321" s="12" t="str">
        <f>VLOOKUP(C2321,'Jaringan Pipa Luar Gedung'!$D$2:$K$4288,8,FALSE)</f>
        <v>Perubahan Diamter (Dia.) Menjadi Diameter Nominal )</v>
      </c>
      <c r="H2321" s="374"/>
      <c r="I2321" s="16"/>
    </row>
    <row r="2322" spans="1:9" ht="24" customHeight="1">
      <c r="B2322" s="1033" t="str">
        <f>'Jaringan Pipa Luar Gedung'!C154</f>
        <v>9.1.1.10</v>
      </c>
      <c r="C2322" s="39" t="str">
        <f>VLOOKUP(B2322,'Jaringan Pipa Luar Gedung'!C:K,2,FALSE)</f>
        <v>Pemasangan 1 m Pipa PVC, DN. 20" (500 mm)</v>
      </c>
      <c r="D2322" s="9" t="s">
        <v>1300</v>
      </c>
      <c r="E2322" s="1021">
        <f>VLOOKUP(C2322,'Jaringan Pipa Luar Gedung'!$D$2:$I$4288,6,FALSE)</f>
        <v>616700</v>
      </c>
      <c r="F2322" s="1003" t="str">
        <f>VLOOKUP(C2322,'Jaringan Pipa Luar Gedung'!$D$2:$J$4288,7,FALSE)</f>
        <v>Revisi</v>
      </c>
      <c r="G2322" s="12" t="str">
        <f>VLOOKUP(C2322,'Jaringan Pipa Luar Gedung'!$D$2:$K$4288,8,FALSE)</f>
        <v>Perubahan Diameter (Dia.) Menjadi Diameter Nominal (DN)</v>
      </c>
      <c r="H2322" s="374"/>
      <c r="I2322" s="16"/>
    </row>
    <row r="2323" spans="1:9" ht="24" customHeight="1">
      <c r="B2323" s="1033" t="str">
        <f>'Jaringan Pipa Luar Gedung'!C171</f>
        <v>9.1.1.11</v>
      </c>
      <c r="C2323" s="39" t="str">
        <f>VLOOKUP(B2323,'Jaringan Pipa Luar Gedung'!C:K,2,FALSE)</f>
        <v>Pemasangan 1 m Pipa PVC, DN. 24" (600 mm)</v>
      </c>
      <c r="D2323" s="9" t="s">
        <v>1300</v>
      </c>
      <c r="E2323" s="1021">
        <f>VLOOKUP(C2323,'Jaringan Pipa Luar Gedung'!$D$2:$I$4288,6,FALSE)</f>
        <v>679100</v>
      </c>
      <c r="F2323" s="1003" t="str">
        <f>VLOOKUP(C2323,'Jaringan Pipa Luar Gedung'!$D$2:$J$4288,7,FALSE)</f>
        <v>Revisi</v>
      </c>
      <c r="G2323" s="12" t="str">
        <f>VLOOKUP(C2323,'Jaringan Pipa Luar Gedung'!$D$2:$K$4288,8,FALSE)</f>
        <v>Perubahan Diameter (Dia.) Menjadi Diameter Nominal (DN)</v>
      </c>
      <c r="H2323" s="374"/>
      <c r="I2323" s="16"/>
    </row>
    <row r="2324" spans="1:9" ht="24" customHeight="1">
      <c r="B2324" s="1033" t="str">
        <f>'Jaringan Pipa Luar Gedung'!C188</f>
        <v>9.1.1.12</v>
      </c>
      <c r="C2324" s="39" t="str">
        <f>VLOOKUP(B2324,'Jaringan Pipa Luar Gedung'!C:K,2,FALSE)</f>
        <v>Pemasangan 1 m Pipa PVC, DN. 32" (800 mm)</v>
      </c>
      <c r="D2324" s="9" t="s">
        <v>1300</v>
      </c>
      <c r="E2324" s="1021">
        <f>VLOOKUP(C2324,'Jaringan Pipa Luar Gedung'!$D$2:$I$4288,6,FALSE)</f>
        <v>893100</v>
      </c>
      <c r="F2324" s="1003" t="str">
        <f>VLOOKUP(C2324,'Jaringan Pipa Luar Gedung'!$D$2:$J$4288,7,FALSE)</f>
        <v>Revisi</v>
      </c>
      <c r="G2324" s="12" t="str">
        <f>VLOOKUP(C2324,'Jaringan Pipa Luar Gedung'!$D$2:$K$4288,8,FALSE)</f>
        <v>Perubahan Diameter (Dia.) Menjadi Diameter Nominal (DN)</v>
      </c>
      <c r="H2324" s="374"/>
      <c r="I2324" s="16"/>
    </row>
    <row r="2325" spans="1:9" ht="24" customHeight="1">
      <c r="B2325" s="1033" t="str">
        <f>'Jaringan Pipa Luar Gedung'!C205</f>
        <v>9.1.1.13</v>
      </c>
      <c r="C2325" s="39" t="str">
        <f>VLOOKUP(B2325,'Jaringan Pipa Luar Gedung'!C:K,2,FALSE)</f>
        <v>Pemasangan 1 m Pipa PVC, DN. 36" (900 mm)</v>
      </c>
      <c r="D2325" s="9" t="s">
        <v>1300</v>
      </c>
      <c r="E2325" s="1021">
        <f>VLOOKUP(C2325,'Jaringan Pipa Luar Gedung'!$D$2:$I$4288,6,FALSE)</f>
        <v>940100</v>
      </c>
      <c r="F2325" s="1003" t="str">
        <f>VLOOKUP(C2325,'Jaringan Pipa Luar Gedung'!$D$2:$J$4288,7,FALSE)</f>
        <v>Revisi</v>
      </c>
      <c r="G2325" s="12" t="str">
        <f>VLOOKUP(C2325,'Jaringan Pipa Luar Gedung'!$D$2:$K$4288,8,FALSE)</f>
        <v>Perubahan Diameter (Dia.) Menjadi Diameter Nominal (DN)</v>
      </c>
      <c r="H2325" s="374"/>
      <c r="I2325" s="16"/>
    </row>
    <row r="2326" spans="1:9" ht="24" customHeight="1">
      <c r="B2326" s="1033" t="str">
        <f>'Jaringan Pipa Luar Gedung'!C222</f>
        <v>9.1.1.14</v>
      </c>
      <c r="C2326" s="39" t="str">
        <f>VLOOKUP(B2326,'Jaringan Pipa Luar Gedung'!C:K,2,FALSE)</f>
        <v>Pemasangan 1 m Pipa PVC, DN. 40" (1000 mm)</v>
      </c>
      <c r="D2326" s="9" t="s">
        <v>1300</v>
      </c>
      <c r="E2326" s="1021">
        <f>VLOOKUP(C2326,'Jaringan Pipa Luar Gedung'!$D$2:$I$4288,6,FALSE)</f>
        <v>1020300</v>
      </c>
      <c r="F2326" s="1003" t="str">
        <f>VLOOKUP(C2326,'Jaringan Pipa Luar Gedung'!$D$2:$J$4288,7,FALSE)</f>
        <v>Revisi</v>
      </c>
      <c r="G2326" s="12" t="str">
        <f>VLOOKUP(C2326,'Jaringan Pipa Luar Gedung'!$D$2:$K$4288,8,FALSE)</f>
        <v>Perubahan Diameter (Dia.) Menjadi Diameter Nominal (DN)</v>
      </c>
      <c r="H2326" s="374"/>
      <c r="I2326" s="16"/>
    </row>
    <row r="2327" spans="1:9" ht="24" customHeight="1">
      <c r="B2327" s="1033" t="str">
        <f>'Jaringan Pipa Luar Gedung'!C240</f>
        <v>9.1.1.15</v>
      </c>
      <c r="C2327" s="39" t="str">
        <f>VLOOKUP(B2327,'Jaringan Pipa Luar Gedung'!C:K,2,FALSE)</f>
        <v>Pemasangan 1 m Pipa PVC, DN. 44" (1100 mm)</v>
      </c>
      <c r="D2327" s="9" t="s">
        <v>1300</v>
      </c>
      <c r="E2327" s="1021">
        <f>VLOOKUP(C2327,'Jaringan Pipa Luar Gedung'!$D$2:$I$4288,6,FALSE)</f>
        <v>1111600</v>
      </c>
      <c r="F2327" s="1003" t="str">
        <f>VLOOKUP(C2327,'Jaringan Pipa Luar Gedung'!$D$2:$J$4288,7,FALSE)</f>
        <v>Revisi</v>
      </c>
      <c r="G2327" s="12" t="str">
        <f>VLOOKUP(C2327,'Jaringan Pipa Luar Gedung'!$D$2:$K$4288,8,FALSE)</f>
        <v>Perubahan Diameter (Dia.) Menjadi Diameter Nominal (DN)</v>
      </c>
      <c r="H2327" s="374"/>
      <c r="I2327" s="16"/>
    </row>
    <row r="2328" spans="1:9" ht="24" customHeight="1">
      <c r="B2328" s="1033" t="str">
        <f>'Jaringan Pipa Luar Gedung'!C257</f>
        <v>9.1.1.16</v>
      </c>
      <c r="C2328" s="39" t="str">
        <f>VLOOKUP(B2328,'Jaringan Pipa Luar Gedung'!C:K,2,FALSE)</f>
        <v>Pemasangan 1 m Pipa PVC, DN. 48" (1200 mm)</v>
      </c>
      <c r="D2328" s="9" t="s">
        <v>1300</v>
      </c>
      <c r="E2328" s="1021">
        <f>VLOOKUP(C2328,'Jaringan Pipa Luar Gedung'!$D$2:$I$4288,6,FALSE)</f>
        <v>1175400</v>
      </c>
      <c r="F2328" s="1003" t="str">
        <f>VLOOKUP(C2328,'Jaringan Pipa Luar Gedung'!$D$2:$J$4288,7,FALSE)</f>
        <v>Revisi</v>
      </c>
      <c r="G2328" s="12" t="str">
        <f>VLOOKUP(C2328,'Jaringan Pipa Luar Gedung'!$D$2:$K$4288,8,FALSE)</f>
        <v>Perubahan Diameter (Dia.) Menjadi Diameter Nominal (DN)</v>
      </c>
      <c r="H2328" s="374"/>
      <c r="I2328" s="16"/>
    </row>
    <row r="2329" spans="1:9" ht="24" customHeight="1">
      <c r="B2329" s="1033" t="str">
        <f>'Jaringan Pipa Luar Gedung'!C274</f>
        <v>9.1.1.17</v>
      </c>
      <c r="C2329" s="39" t="str">
        <f>VLOOKUP(B2329,'Jaringan Pipa Luar Gedung'!C:K,2,FALSE)</f>
        <v>Pemasangan 1 m Pipa PVC, DN. 1/2" (15 mm)</v>
      </c>
      <c r="D2329" s="9" t="s">
        <v>1300</v>
      </c>
      <c r="E2329" s="1021">
        <f>VLOOKUP(C2329,'Jaringan Pipa Luar Gedung'!$D$2:$I$4288,6,FALSE)</f>
        <v>16200</v>
      </c>
      <c r="F2329" s="1003" t="str">
        <f>VLOOKUP(C2329,'Jaringan Pipa Luar Gedung'!$D$2:$J$4288,7,FALSE)</f>
        <v>Revisi</v>
      </c>
      <c r="G2329" s="12" t="str">
        <f>VLOOKUP(C2329,'Jaringan Pipa Luar Gedung'!$D$2:$K$4288,8,FALSE)</f>
        <v>Perubahan Diameter (Dia.) Menjadi Diameter Nominal (DN)</v>
      </c>
      <c r="H2329" s="374"/>
      <c r="I2329" s="16"/>
    </row>
    <row r="2330" spans="1:9" ht="24" customHeight="1">
      <c r="B2330" s="1033" t="str">
        <f>'Jaringan Pipa Luar Gedung'!C290</f>
        <v>9.1.1.18</v>
      </c>
      <c r="C2330" s="39" t="str">
        <f>VLOOKUP(B2330,'Jaringan Pipa Luar Gedung'!C:K,2,FALSE)</f>
        <v>Pemasangan 1 m Pipa PVC, DN. 3/4" (20 mm)</v>
      </c>
      <c r="D2330" s="9" t="s">
        <v>1300</v>
      </c>
      <c r="E2330" s="1021">
        <f>VLOOKUP(C2330,'Jaringan Pipa Luar Gedung'!$D$2:$I$4288,6,FALSE)</f>
        <v>18800</v>
      </c>
      <c r="F2330" s="1003" t="str">
        <f>VLOOKUP(C2330,'Jaringan Pipa Luar Gedung'!$D$2:$J$4288,7,FALSE)</f>
        <v>Revisi</v>
      </c>
      <c r="G2330" s="12" t="str">
        <f>VLOOKUP(C2330,'Jaringan Pipa Luar Gedung'!$D$2:$K$4288,8,FALSE)</f>
        <v>Perubahan Diameter (Dia.) Menjadi Diameter Nominal (DN)</v>
      </c>
      <c r="H2330" s="374"/>
      <c r="I2330" s="16"/>
    </row>
    <row r="2331" spans="1:9" ht="24" customHeight="1">
      <c r="B2331" s="1033" t="str">
        <f>'Jaringan Pipa Luar Gedung'!C306</f>
        <v>9.1.1.19</v>
      </c>
      <c r="C2331" s="39" t="str">
        <f>VLOOKUP(B2331,'Jaringan Pipa Luar Gedung'!C:K,2,FALSE)</f>
        <v>Pemasangan 1 m Pipa PVC, DN. 1" (25 mm)</v>
      </c>
      <c r="D2331" s="9" t="s">
        <v>1300</v>
      </c>
      <c r="E2331" s="1021">
        <f>VLOOKUP(C2331,'Jaringan Pipa Luar Gedung'!$D$2:$I$4288,6,FALSE)</f>
        <v>22500</v>
      </c>
      <c r="F2331" s="1003" t="str">
        <f>VLOOKUP(C2331,'Jaringan Pipa Luar Gedung'!$D$2:$J$4288,7,FALSE)</f>
        <v>Revisi</v>
      </c>
      <c r="G2331" s="12" t="str">
        <f>VLOOKUP(C2331,'Jaringan Pipa Luar Gedung'!$D$2:$K$4288,8,FALSE)</f>
        <v>Perubahan Diameter (Dia.) Menjadi Diameter Nominal (DN)</v>
      </c>
      <c r="H2331" s="374"/>
      <c r="I2331" s="16"/>
    </row>
    <row r="2332" spans="1:9" ht="24" customHeight="1">
      <c r="B2332" s="1033" t="str">
        <f>'Jaringan Pipa Luar Gedung'!C322</f>
        <v>9.1.1.20</v>
      </c>
      <c r="C2332" s="39" t="str">
        <f>VLOOKUP(B2332,'Jaringan Pipa Luar Gedung'!C:K,2,FALSE)</f>
        <v>Pemasangan 1 m Pipa PVC, DN. 1-1/4" (32 mm)</v>
      </c>
      <c r="D2332" s="9" t="s">
        <v>1300</v>
      </c>
      <c r="E2332" s="1021">
        <f>VLOOKUP(C2332,'Jaringan Pipa Luar Gedung'!$D$2:$I$4288,6,FALSE)</f>
        <v>24200</v>
      </c>
      <c r="F2332" s="1003" t="str">
        <f>VLOOKUP(C2332,'Jaringan Pipa Luar Gedung'!$D$2:$J$4288,7,FALSE)</f>
        <v>Revisi</v>
      </c>
      <c r="G2332" s="12" t="str">
        <f>VLOOKUP(C2332,'Jaringan Pipa Luar Gedung'!$D$2:$K$4288,8,FALSE)</f>
        <v>Perubahan Diameter (Dia.) Menjadi Diameter Nominal (DN)</v>
      </c>
      <c r="H2332" s="374"/>
      <c r="I2332" s="16"/>
    </row>
    <row r="2333" spans="1:9" ht="24" customHeight="1">
      <c r="B2333" s="1033" t="str">
        <f>'Jaringan Pipa Luar Gedung'!C338</f>
        <v>9.1.1.21</v>
      </c>
      <c r="C2333" s="39" t="str">
        <f>VLOOKUP(B2333,'Jaringan Pipa Luar Gedung'!C:K,2,FALSE)</f>
        <v>Pemasangan 1 m Pipa PVC, DN. 1-1/2" (40 mm)</v>
      </c>
      <c r="D2333" s="9" t="s">
        <v>1300</v>
      </c>
      <c r="E2333" s="1021">
        <f>VLOOKUP(C2333,'Jaringan Pipa Luar Gedung'!$D$2:$I$4288,6,FALSE)</f>
        <v>24900</v>
      </c>
      <c r="F2333" s="1003" t="str">
        <f>VLOOKUP(C2333,'Jaringan Pipa Luar Gedung'!$D$2:$J$4288,7,FALSE)</f>
        <v>Revisi</v>
      </c>
      <c r="G2333" s="12" t="str">
        <f>VLOOKUP(C2333,'Jaringan Pipa Luar Gedung'!$D$2:$K$4288,8,FALSE)</f>
        <v>Perubahan Diameter (Dia.) Menjadi Diameter Nominal (DN)</v>
      </c>
      <c r="H2333" s="374"/>
      <c r="I2333" s="16"/>
    </row>
    <row r="2334" spans="1:9" ht="24" customHeight="1">
      <c r="B2334" s="1033" t="str">
        <f>'Jaringan Pipa Luar Gedung'!C354</f>
        <v>9.1.1.22</v>
      </c>
      <c r="C2334" s="39" t="str">
        <f>VLOOKUP(B2334,'Jaringan Pipa Luar Gedung'!C:K,2,FALSE)</f>
        <v>Pemasangan 1 m Pipa PVC, DN. 2" (50 mm)</v>
      </c>
      <c r="D2334" s="9" t="s">
        <v>1300</v>
      </c>
      <c r="E2334" s="1021">
        <f>VLOOKUP(C2334,'Jaringan Pipa Luar Gedung'!$D$2:$I$4288,6,FALSE)</f>
        <v>31500</v>
      </c>
      <c r="F2334" s="1003" t="str">
        <f>VLOOKUP(C2334,'Jaringan Pipa Luar Gedung'!$D$2:$J$4288,7,FALSE)</f>
        <v>Revisi</v>
      </c>
      <c r="G2334" s="12" t="str">
        <f>VLOOKUP(C2334,'Jaringan Pipa Luar Gedung'!$D$2:$K$4288,8,FALSE)</f>
        <v>Perubahan Diameter (Dia.) Menjadi Diameter Nominal (DN)</v>
      </c>
      <c r="H2334" s="374"/>
      <c r="I2334" s="16"/>
    </row>
    <row r="2335" spans="1:9" s="1" customFormat="1" ht="24" customHeight="1">
      <c r="A2335" s="47"/>
      <c r="B2335" s="1041" t="str">
        <f>'Jaringan Pipa Luar Gedung'!C370</f>
        <v>9.1.2</v>
      </c>
      <c r="C2335" s="40" t="str">
        <f>VLOOKUP(B2335,'Jaringan Pipa Luar Gedung'!C:K,2,FALSE)</f>
        <v xml:space="preserve">Pemotongan Pipa PVC </v>
      </c>
      <c r="D2335" s="19"/>
      <c r="E2335" s="1021">
        <f>VLOOKUP(C2335,'Jaringan Pipa Luar Gedung'!$D$2:$I$4288,6,FALSE)</f>
        <v>0</v>
      </c>
      <c r="F2335" s="1003">
        <f>VLOOKUP(C2335,'Jaringan Pipa Luar Gedung'!$D$2:$J$4288,7,FALSE)</f>
        <v>0</v>
      </c>
      <c r="G2335" s="12">
        <f>VLOOKUP(C2335,'Jaringan Pipa Luar Gedung'!$D$2:$K$4288,8,FALSE)</f>
        <v>0</v>
      </c>
      <c r="H2335" s="1092"/>
      <c r="I2335" s="21"/>
    </row>
    <row r="2336" spans="1:9" ht="24" customHeight="1">
      <c r="B2336" s="1033" t="str">
        <f>'Jaringan Pipa Luar Gedung'!C371</f>
        <v>9.1.2.1</v>
      </c>
      <c r="C2336" s="39" t="str">
        <f>VLOOKUP(B2336,'Jaringan Pipa Luar Gedung'!C:K,2,FALSE)</f>
        <v>Pemotongan 1 Buah Pipa PVC, DN. 2-1/2" (65 mm)</v>
      </c>
      <c r="D2336" s="9" t="s">
        <v>44</v>
      </c>
      <c r="E2336" s="1021">
        <f>VLOOKUP(C2336,'Jaringan Pipa Luar Gedung'!$D$2:$I$4288,6,FALSE)</f>
        <v>1000</v>
      </c>
      <c r="F2336" s="1003" t="str">
        <f>VLOOKUP(C2336,'Jaringan Pipa Luar Gedung'!$D$2:$J$4288,7,FALSE)</f>
        <v>Revisi</v>
      </c>
      <c r="G2336" s="12" t="str">
        <f>VLOOKUP(C2336,'Jaringan Pipa Luar Gedung'!$D$2:$K$4288,8,FALSE)</f>
        <v>Perubahan Diameter (Dia.) Menjadi Diameter Nominal (DN)</v>
      </c>
      <c r="H2336" s="374"/>
      <c r="I2336" s="16"/>
    </row>
    <row r="2337" spans="1:9" ht="24" customHeight="1">
      <c r="B2337" s="1033" t="str">
        <f>'Jaringan Pipa Luar Gedung'!C387</f>
        <v>9.1.2.2</v>
      </c>
      <c r="C2337" s="39" t="str">
        <f>VLOOKUP(B2337,'Jaringan Pipa Luar Gedung'!C:K,2,FALSE)</f>
        <v>Pemotongan 1 Buah Pipa PVC, DN. 3" (80 mm)</v>
      </c>
      <c r="D2337" s="9" t="s">
        <v>44</v>
      </c>
      <c r="E2337" s="1021">
        <f>VLOOKUP(C2337,'Jaringan Pipa Luar Gedung'!$D$2:$I$4288,6,FALSE)</f>
        <v>2800</v>
      </c>
      <c r="F2337" s="1003" t="str">
        <f>VLOOKUP(C2337,'Jaringan Pipa Luar Gedung'!$D$2:$J$4288,7,FALSE)</f>
        <v>Revisi</v>
      </c>
      <c r="G2337" s="12" t="str">
        <f>VLOOKUP(C2337,'Jaringan Pipa Luar Gedung'!$D$2:$K$4288,8,FALSE)</f>
        <v>Perubahan Diameter (Dia.) Menjadi Diameter Nominal (DN)</v>
      </c>
      <c r="H2337" s="374"/>
      <c r="I2337" s="16"/>
    </row>
    <row r="2338" spans="1:9" ht="24" customHeight="1">
      <c r="B2338" s="1033" t="str">
        <f>'Jaringan Pipa Luar Gedung'!C403</f>
        <v>9.1.2.3</v>
      </c>
      <c r="C2338" s="39" t="str">
        <f>VLOOKUP(B2338,'Jaringan Pipa Luar Gedung'!C:K,2,FALSE)</f>
        <v>Pemotongan 1 Buah Pipa PVC, DN. 4" (100 mm)</v>
      </c>
      <c r="D2338" s="9" t="s">
        <v>44</v>
      </c>
      <c r="E2338" s="1021">
        <f>VLOOKUP(C2338,'Jaringan Pipa Luar Gedung'!$D$2:$I$4288,6,FALSE)</f>
        <v>4500</v>
      </c>
      <c r="F2338" s="1003" t="str">
        <f>VLOOKUP(C2338,'Jaringan Pipa Luar Gedung'!$D$2:$J$4288,7,FALSE)</f>
        <v>Revisi</v>
      </c>
      <c r="G2338" s="12" t="str">
        <f>VLOOKUP(C2338,'Jaringan Pipa Luar Gedung'!$D$2:$K$4288,8,FALSE)</f>
        <v>Perubahan Diameter (Dia.) Menjadi Diameter Nominal (DN)</v>
      </c>
      <c r="H2338" s="374"/>
      <c r="I2338" s="16"/>
    </row>
    <row r="2339" spans="1:9" ht="24" customHeight="1">
      <c r="B2339" s="1033" t="str">
        <f>'Jaringan Pipa Luar Gedung'!C420</f>
        <v>9.1.2.4</v>
      </c>
      <c r="C2339" s="39" t="str">
        <f>VLOOKUP(B2339,'Jaringan Pipa Luar Gedung'!C:K,2,FALSE)</f>
        <v>Pemotongan 1 Buah Pipa PVC, DN. 6" (150 mm)</v>
      </c>
      <c r="D2339" s="9" t="s">
        <v>44</v>
      </c>
      <c r="E2339" s="1021">
        <f>VLOOKUP(C2339,'Jaringan Pipa Luar Gedung'!$D$2:$I$4288,6,FALSE)</f>
        <v>6200</v>
      </c>
      <c r="F2339" s="1003" t="str">
        <f>VLOOKUP(C2339,'Jaringan Pipa Luar Gedung'!$D$2:$J$4288,7,FALSE)</f>
        <v>Revisi</v>
      </c>
      <c r="G2339" s="12" t="str">
        <f>VLOOKUP(C2339,'Jaringan Pipa Luar Gedung'!$D$2:$K$4288,8,FALSE)</f>
        <v>Perubahan Diameter (Dia.) Menjadi Diameter Nominal (DN)</v>
      </c>
      <c r="H2339" s="374"/>
      <c r="I2339" s="16"/>
    </row>
    <row r="2340" spans="1:9" ht="24" customHeight="1">
      <c r="B2340" s="1033" t="str">
        <f>'Jaringan Pipa Luar Gedung'!C437</f>
        <v>9.1.2.5</v>
      </c>
      <c r="C2340" s="39" t="str">
        <f>VLOOKUP(B2340,'Jaringan Pipa Luar Gedung'!C:K,2,FALSE)</f>
        <v>Pemotongan 1 Buah Pipa PVC, DN. 8" (200 mm)</v>
      </c>
      <c r="D2340" s="9" t="s">
        <v>44</v>
      </c>
      <c r="E2340" s="1021">
        <f>VLOOKUP(C2340,'Jaringan Pipa Luar Gedung'!$D$2:$I$4288,6,FALSE)</f>
        <v>16900</v>
      </c>
      <c r="F2340" s="1003" t="str">
        <f>VLOOKUP(C2340,'Jaringan Pipa Luar Gedung'!$D$2:$J$4288,7,FALSE)</f>
        <v>Revisi</v>
      </c>
      <c r="G2340" s="12" t="str">
        <f>VLOOKUP(C2340,'Jaringan Pipa Luar Gedung'!$D$2:$K$4288,8,FALSE)</f>
        <v>Perubahan Diameter (Dia.) Menjadi Diameter Nominal (DN)</v>
      </c>
      <c r="H2340" s="374"/>
      <c r="I2340" s="16"/>
    </row>
    <row r="2341" spans="1:9" ht="24" customHeight="1">
      <c r="B2341" s="1033" t="str">
        <f>'Jaringan Pipa Luar Gedung'!C454</f>
        <v>9.1.2.6</v>
      </c>
      <c r="C2341" s="39" t="str">
        <f>VLOOKUP(B2341,'Jaringan Pipa Luar Gedung'!C:K,2,FALSE)</f>
        <v>Pemotongan 1 Buah Pipa PVC, DN. 10" (250 mm)</v>
      </c>
      <c r="D2341" s="9" t="s">
        <v>44</v>
      </c>
      <c r="E2341" s="1021">
        <f>VLOOKUP(C2341,'Jaringan Pipa Luar Gedung'!$D$2:$I$4288,6,FALSE)</f>
        <v>27000</v>
      </c>
      <c r="F2341" s="1003" t="str">
        <f>VLOOKUP(C2341,'Jaringan Pipa Luar Gedung'!$D$2:$J$4288,7,FALSE)</f>
        <v>Revisi</v>
      </c>
      <c r="G2341" s="12" t="str">
        <f>VLOOKUP(C2341,'Jaringan Pipa Luar Gedung'!$D$2:$K$4288,8,FALSE)</f>
        <v>Perubahan Diameter (Dia.) Menjadi Diameter Nominal (DN)</v>
      </c>
      <c r="H2341" s="374"/>
      <c r="I2341" s="16"/>
    </row>
    <row r="2342" spans="1:9" ht="24" customHeight="1">
      <c r="B2342" s="1033" t="str">
        <f>'Jaringan Pipa Luar Gedung'!C470</f>
        <v>9.1.2.7</v>
      </c>
      <c r="C2342" s="39" t="str">
        <f>VLOOKUP(B2342,'Jaringan Pipa Luar Gedung'!C:K,2,FALSE)</f>
        <v>Pemotongan 1 Buah Pipa PVC, DN. 12" (300 mm)</v>
      </c>
      <c r="D2342" s="9" t="s">
        <v>44</v>
      </c>
      <c r="E2342" s="1021">
        <f>VLOOKUP(C2342,'Jaringan Pipa Luar Gedung'!$D$2:$I$4288,6,FALSE)</f>
        <v>32500</v>
      </c>
      <c r="F2342" s="1003" t="str">
        <f>VLOOKUP(C2342,'Jaringan Pipa Luar Gedung'!$D$2:$J$4288,7,FALSE)</f>
        <v>Revisi</v>
      </c>
      <c r="G2342" s="12" t="str">
        <f>VLOOKUP(C2342,'Jaringan Pipa Luar Gedung'!$D$2:$K$4288,8,FALSE)</f>
        <v>Perubahan Diameter (Dia.) Menjadi Diameter Nominal (DN)</v>
      </c>
      <c r="H2342" s="374"/>
      <c r="I2342" s="16"/>
    </row>
    <row r="2343" spans="1:9" ht="24" customHeight="1">
      <c r="B2343" s="1033" t="str">
        <f>'Jaringan Pipa Luar Gedung'!C486</f>
        <v>9.1.2.8</v>
      </c>
      <c r="C2343" s="39" t="str">
        <f>VLOOKUP(B2343,'Jaringan Pipa Luar Gedung'!C:K,2,FALSE)</f>
        <v>Pemotongan 1 Buah Pipa PVC, DN. 16" (400 mm)</v>
      </c>
      <c r="D2343" s="9" t="s">
        <v>44</v>
      </c>
      <c r="E2343" s="1021">
        <f>VLOOKUP(C2343,'Jaringan Pipa Luar Gedung'!$D$2:$I$4288,6,FALSE)</f>
        <v>68700</v>
      </c>
      <c r="F2343" s="1003" t="str">
        <f>VLOOKUP(C2343,'Jaringan Pipa Luar Gedung'!$D$2:$J$4288,7,FALSE)</f>
        <v>Revisi</v>
      </c>
      <c r="G2343" s="12" t="str">
        <f>VLOOKUP(C2343,'Jaringan Pipa Luar Gedung'!$D$2:$K$4288,8,FALSE)</f>
        <v>Perubahan Diameter (Dia.) Menjadi Diameter Nominal (DN)</v>
      </c>
      <c r="H2343" s="374"/>
      <c r="I2343" s="16"/>
    </row>
    <row r="2344" spans="1:9" ht="24" customHeight="1">
      <c r="B2344" s="1033" t="str">
        <f>'Jaringan Pipa Luar Gedung'!C502</f>
        <v>9.1.2.9</v>
      </c>
      <c r="C2344" s="39" t="str">
        <f>VLOOKUP(B2344,'Jaringan Pipa Luar Gedung'!C:K,2,FALSE)</f>
        <v>Pemotongan 1 Buah Pipa PVC, DN. 18" (450 mm)</v>
      </c>
      <c r="D2344" s="9" t="s">
        <v>44</v>
      </c>
      <c r="E2344" s="1021">
        <f>VLOOKUP(C2344,'Jaringan Pipa Luar Gedung'!$D$2:$I$4288,6,FALSE)</f>
        <v>86800</v>
      </c>
      <c r="F2344" s="1003" t="str">
        <f>VLOOKUP(C2344,'Jaringan Pipa Luar Gedung'!$D$2:$J$4288,7,FALSE)</f>
        <v>Revisi</v>
      </c>
      <c r="G2344" s="12" t="str">
        <f>VLOOKUP(C2344,'Jaringan Pipa Luar Gedung'!$D$2:$K$4288,8,FALSE)</f>
        <v>Perubahan Diameter (Dia.) Menjadi Diameter Nominal (DN)</v>
      </c>
      <c r="H2344" s="374"/>
      <c r="I2344" s="16"/>
    </row>
    <row r="2345" spans="1:9" ht="24" customHeight="1">
      <c r="B2345" s="1033" t="str">
        <f>'Jaringan Pipa Luar Gedung'!C518</f>
        <v>9.1.2.10</v>
      </c>
      <c r="C2345" s="39" t="str">
        <f>VLOOKUP(B2345,'Jaringan Pipa Luar Gedung'!C:K,2,FALSE)</f>
        <v>Pemotongan 1 Buah Pipa PVC, DN. 20" (500 mm)</v>
      </c>
      <c r="D2345" s="9" t="s">
        <v>44</v>
      </c>
      <c r="E2345" s="1021">
        <f>VLOOKUP(C2345,'Jaringan Pipa Luar Gedung'!$D$2:$I$4288,6,FALSE)</f>
        <v>107200</v>
      </c>
      <c r="F2345" s="1003" t="str">
        <f>VLOOKUP(C2345,'Jaringan Pipa Luar Gedung'!$D$2:$J$4288,7,FALSE)</f>
        <v>Revisi</v>
      </c>
      <c r="G2345" s="12" t="str">
        <f>VLOOKUP(C2345,'Jaringan Pipa Luar Gedung'!$D$2:$K$4288,8,FALSE)</f>
        <v>Perubahan Diameter (Dia.) Menjadi Diameter Nominal (DN)</v>
      </c>
      <c r="H2345" s="374"/>
      <c r="I2345" s="16"/>
    </row>
    <row r="2346" spans="1:9" ht="24" customHeight="1">
      <c r="B2346" s="1033" t="str">
        <f>'Jaringan Pipa Luar Gedung'!C534</f>
        <v>9.1.2.11</v>
      </c>
      <c r="C2346" s="39" t="str">
        <f>VLOOKUP(B2346,'Jaringan Pipa Luar Gedung'!C:K,2,FALSE)</f>
        <v>Pemotongan 1 Buah Pipa PVC, DN. 24" (600 mm)</v>
      </c>
      <c r="D2346" s="9" t="s">
        <v>44</v>
      </c>
      <c r="E2346" s="1021">
        <f>VLOOKUP(C2346,'Jaringan Pipa Luar Gedung'!$D$2:$I$4288,6,FALSE)</f>
        <v>128900</v>
      </c>
      <c r="F2346" s="1003" t="str">
        <f>VLOOKUP(C2346,'Jaringan Pipa Luar Gedung'!$D$2:$J$4288,7,FALSE)</f>
        <v>Revisi</v>
      </c>
      <c r="G2346" s="12" t="str">
        <f>VLOOKUP(C2346,'Jaringan Pipa Luar Gedung'!$D$2:$K$4288,8,FALSE)</f>
        <v>Perubahan Diameter (Dia.) Menjadi Diameter Nominal (DN)</v>
      </c>
      <c r="H2346" s="374"/>
      <c r="I2346" s="16"/>
    </row>
    <row r="2347" spans="1:9" ht="24" customHeight="1">
      <c r="B2347" s="1033" t="str">
        <f>'Jaringan Pipa Luar Gedung'!C550</f>
        <v>9.1.2.12</v>
      </c>
      <c r="C2347" s="39" t="str">
        <f>VLOOKUP(B2347,'Jaringan Pipa Luar Gedung'!C:K,2,FALSE)</f>
        <v>Pemotongan 1 Buah Pipa PVC, DN. 32" (800 mm)</v>
      </c>
      <c r="D2347" s="9" t="s">
        <v>44</v>
      </c>
      <c r="E2347" s="1021">
        <f>VLOOKUP(C2347,'Jaringan Pipa Luar Gedung'!$D$2:$I$4288,6,FALSE)</f>
        <v>226000</v>
      </c>
      <c r="F2347" s="1003" t="str">
        <f>VLOOKUP(C2347,'Jaringan Pipa Luar Gedung'!$D$2:$J$4288,7,FALSE)</f>
        <v>Revisi</v>
      </c>
      <c r="G2347" s="12" t="str">
        <f>VLOOKUP(C2347,'Jaringan Pipa Luar Gedung'!$D$2:$K$4288,8,FALSE)</f>
        <v>Perubahan Diameter (Dia.) Menjadi Diameter Nominal (DN)</v>
      </c>
      <c r="H2347" s="374"/>
      <c r="I2347" s="16"/>
    </row>
    <row r="2348" spans="1:9" ht="24" customHeight="1">
      <c r="B2348" s="1033" t="str">
        <f>'Jaringan Pipa Luar Gedung'!C566</f>
        <v>9.1.2.13</v>
      </c>
      <c r="C2348" s="39" t="str">
        <f>VLOOKUP(B2348,'Jaringan Pipa Luar Gedung'!C:K,2,FALSE)</f>
        <v>Pemotongan 1 Buah Pipa PVC, DN. 36" (900 mm)</v>
      </c>
      <c r="D2348" s="9" t="s">
        <v>44</v>
      </c>
      <c r="E2348" s="1021">
        <f>VLOOKUP(C2348,'Jaringan Pipa Luar Gedung'!$D$2:$I$4288,6,FALSE)</f>
        <v>236800</v>
      </c>
      <c r="F2348" s="1003" t="str">
        <f>VLOOKUP(C2348,'Jaringan Pipa Luar Gedung'!$D$2:$J$4288,7,FALSE)</f>
        <v>Revisi</v>
      </c>
      <c r="G2348" s="12" t="str">
        <f>VLOOKUP(C2348,'Jaringan Pipa Luar Gedung'!$D$2:$K$4288,8,FALSE)</f>
        <v>Perubahan Diameter (Dia.) Menjadi Diameter Nominal (DN)</v>
      </c>
      <c r="H2348" s="374"/>
      <c r="I2348" s="16"/>
    </row>
    <row r="2349" spans="1:9" ht="24" customHeight="1">
      <c r="B2349" s="1033" t="str">
        <f>'Jaringan Pipa Luar Gedung'!C582</f>
        <v>9.1.2.14</v>
      </c>
      <c r="C2349" s="39" t="str">
        <f>VLOOKUP(B2349,'Jaringan Pipa Luar Gedung'!C:K,2,FALSE)</f>
        <v>Pemotongan 1 Buah Pipa PVC, DN. 40" (1000 mm)</v>
      </c>
      <c r="D2349" s="9" t="s">
        <v>44</v>
      </c>
      <c r="E2349" s="1021">
        <f>VLOOKUP(C2349,'Jaringan Pipa Luar Gedung'!$D$2:$I$4288,6,FALSE)</f>
        <v>266800</v>
      </c>
      <c r="F2349" s="1003" t="str">
        <f>VLOOKUP(C2349,'Jaringan Pipa Luar Gedung'!$D$2:$J$4288,7,FALSE)</f>
        <v>Revisi</v>
      </c>
      <c r="G2349" s="12" t="str">
        <f>VLOOKUP(C2349,'Jaringan Pipa Luar Gedung'!$D$2:$K$4288,8,FALSE)</f>
        <v>Perubahan Diameter (Dia.) Menjadi Diameter Nominal (DN)</v>
      </c>
      <c r="H2349" s="374"/>
      <c r="I2349" s="16"/>
    </row>
    <row r="2350" spans="1:9" ht="24" customHeight="1">
      <c r="B2350" s="1033" t="str">
        <f>'Jaringan Pipa Luar Gedung'!C598</f>
        <v>9.1.2.15</v>
      </c>
      <c r="C2350" s="39" t="str">
        <f>VLOOKUP(B2350,'Jaringan Pipa Luar Gedung'!C:K,2,FALSE)</f>
        <v>Pemotongan 1 Buah Pipa PVC, DN. 44" (1100 mm)</v>
      </c>
      <c r="D2350" s="9" t="s">
        <v>44</v>
      </c>
      <c r="E2350" s="1021">
        <f>VLOOKUP(C2350,'Jaringan Pipa Luar Gedung'!$D$2:$I$4288,6,FALSE)</f>
        <v>296700</v>
      </c>
      <c r="F2350" s="1003" t="str">
        <f>VLOOKUP(C2350,'Jaringan Pipa Luar Gedung'!$D$2:$J$4288,7,FALSE)</f>
        <v>Revisi</v>
      </c>
      <c r="G2350" s="12" t="str">
        <f>VLOOKUP(C2350,'Jaringan Pipa Luar Gedung'!$D$2:$K$4288,8,FALSE)</f>
        <v>Perubahan Diameter (Dia.) Menjadi Diameter Nominal (DN)</v>
      </c>
      <c r="H2350" s="374"/>
      <c r="I2350" s="16"/>
    </row>
    <row r="2351" spans="1:9" ht="24" customHeight="1">
      <c r="B2351" s="1033" t="str">
        <f>'Jaringan Pipa Luar Gedung'!C614</f>
        <v>9.1.2.16</v>
      </c>
      <c r="C2351" s="39" t="str">
        <f>VLOOKUP(B2351,'Jaringan Pipa Luar Gedung'!C:K,2,FALSE)</f>
        <v>Pemotongan 1 Buah Pipa PVC, DN. 48" (1200 mm)</v>
      </c>
      <c r="D2351" s="9" t="s">
        <v>44</v>
      </c>
      <c r="E2351" s="1021">
        <f>VLOOKUP(C2351,'Jaringan Pipa Luar Gedung'!$D$2:$I$4288,6,FALSE)</f>
        <v>326600</v>
      </c>
      <c r="F2351" s="1003" t="str">
        <f>VLOOKUP(C2351,'Jaringan Pipa Luar Gedung'!$D$2:$J$4288,7,FALSE)</f>
        <v>Revisi</v>
      </c>
      <c r="G2351" s="12" t="str">
        <f>VLOOKUP(C2351,'Jaringan Pipa Luar Gedung'!$D$2:$K$4288,8,FALSE)</f>
        <v>Perubahan Diameter (Dia.) Menjadi Diameter Nominal (DN)</v>
      </c>
      <c r="H2351" s="374"/>
      <c r="I2351" s="16"/>
    </row>
    <row r="2352" spans="1:9" s="1" customFormat="1" ht="24" customHeight="1">
      <c r="A2352" s="47"/>
      <c r="B2352" s="1043" t="str">
        <f>'Jaringan Pipa Luar Gedung'!C630</f>
        <v>9.2</v>
      </c>
      <c r="C2352" s="1001" t="str">
        <f>VLOOKUP(B2352,'Jaringan Pipa Luar Gedung'!C:K,2,FALSE)</f>
        <v xml:space="preserve">Pipa Galvanis </v>
      </c>
      <c r="D2352" s="994"/>
      <c r="E2352" s="1022">
        <f>VLOOKUP(C2352,'Jaringan Pipa Luar Gedung'!$D$2:$I$4288,6,FALSE)</f>
        <v>0</v>
      </c>
      <c r="F2352" s="1004">
        <f>VLOOKUP(C2352,'Jaringan Pipa Luar Gedung'!$D$2:$J$4288,7,FALSE)</f>
        <v>0</v>
      </c>
      <c r="G2352" s="36">
        <f>VLOOKUP(C2352,'Jaringan Pipa Luar Gedung'!$D$2:$K$4288,8,FALSE)</f>
        <v>0</v>
      </c>
      <c r="H2352" s="1092"/>
      <c r="I2352" s="21"/>
    </row>
    <row r="2353" spans="1:9" s="1" customFormat="1" ht="24" customHeight="1">
      <c r="A2353" s="47"/>
      <c r="B2353" s="1041" t="str">
        <f>'Jaringan Pipa Luar Gedung'!C631</f>
        <v>9.2.1</v>
      </c>
      <c r="C2353" s="40" t="str">
        <f>VLOOKUP(B2353,'Jaringan Pipa Luar Gedung'!C:K,2,FALSE)</f>
        <v xml:space="preserve">Pemasangan Pipa Galvanis </v>
      </c>
      <c r="D2353" s="19"/>
      <c r="E2353" s="1021">
        <f>VLOOKUP(C2353,'Jaringan Pipa Luar Gedung'!$D$2:$I$4288,6,FALSE)</f>
        <v>0</v>
      </c>
      <c r="F2353" s="1003">
        <f>VLOOKUP(C2353,'Jaringan Pipa Luar Gedung'!$D$2:$J$4288,7,FALSE)</f>
        <v>0</v>
      </c>
      <c r="G2353" s="12">
        <f>VLOOKUP(C2353,'Jaringan Pipa Luar Gedung'!$D$2:$K$4288,8,FALSE)</f>
        <v>0</v>
      </c>
      <c r="H2353" s="1092"/>
      <c r="I2353" s="21"/>
    </row>
    <row r="2354" spans="1:9" ht="24" customHeight="1">
      <c r="B2354" s="1033" t="str">
        <f>'Jaringan Pipa Luar Gedung'!C632</f>
        <v>9.2.1.1</v>
      </c>
      <c r="C2354" s="39" t="str">
        <f>VLOOKUP(B2354,'Jaringan Pipa Luar Gedung'!C:K,2,FALSE)</f>
        <v>Pemasangan 1 m Pipa Galvanis, DN. 2-1/2" (65 mm)</v>
      </c>
      <c r="D2354" s="9" t="s">
        <v>1300</v>
      </c>
      <c r="E2354" s="1021">
        <f>VLOOKUP(C2354,'Jaringan Pipa Luar Gedung'!$D$2:$I$4288,6,FALSE)</f>
        <v>275200</v>
      </c>
      <c r="F2354" s="1003" t="str">
        <f>VLOOKUP(C2354,'Jaringan Pipa Luar Gedung'!$D$2:$J$4288,7,FALSE)</f>
        <v>Revisi</v>
      </c>
      <c r="G2354" s="12" t="str">
        <f>VLOOKUP(C2354,'Jaringan Pipa Luar Gedung'!$D$2:$K$4288,8,FALSE)</f>
        <v>Perubahan Diameter (Dia.) Menjadi Diameter Nominal (DN)</v>
      </c>
      <c r="H2354" s="374"/>
      <c r="I2354" s="16"/>
    </row>
    <row r="2355" spans="1:9" ht="24" customHeight="1">
      <c r="B2355" s="1033" t="str">
        <f>'Jaringan Pipa Luar Gedung'!C649</f>
        <v>9.2.1.2</v>
      </c>
      <c r="C2355" s="39" t="str">
        <f>VLOOKUP(B2355,'Jaringan Pipa Luar Gedung'!C:K,2,FALSE)</f>
        <v>Pemasangan 1 m Pipa Galvanis, DN. 4" (100 mm)</v>
      </c>
      <c r="D2355" s="9" t="s">
        <v>1300</v>
      </c>
      <c r="E2355" s="1021">
        <f>VLOOKUP(C2355,'Jaringan Pipa Luar Gedung'!$D$2:$I$4288,6,FALSE)</f>
        <v>423900</v>
      </c>
      <c r="F2355" s="1003" t="str">
        <f>VLOOKUP(C2355,'Jaringan Pipa Luar Gedung'!$D$2:$J$4288,7,FALSE)</f>
        <v>Revisi</v>
      </c>
      <c r="G2355" s="12" t="str">
        <f>VLOOKUP(C2355,'Jaringan Pipa Luar Gedung'!$D$2:$K$4288,8,FALSE)</f>
        <v>Perubahan Diameter (Dia.) Menjadi Diameter Nominal (DN)</v>
      </c>
      <c r="H2355" s="374"/>
      <c r="I2355" s="16"/>
    </row>
    <row r="2356" spans="1:9" ht="24" customHeight="1">
      <c r="B2356" s="1033" t="str">
        <f>'Jaringan Pipa Luar Gedung'!C666</f>
        <v>9.2.1.3</v>
      </c>
      <c r="C2356" s="39" t="str">
        <f>VLOOKUP(B2356,'Jaringan Pipa Luar Gedung'!C:K,2,FALSE)</f>
        <v>Pemasangan 1 m Pipa Galvanis, DN. 5" (125 mm)</v>
      </c>
      <c r="D2356" s="9" t="s">
        <v>1300</v>
      </c>
      <c r="E2356" s="1021">
        <f>VLOOKUP(C2356,'Jaringan Pipa Luar Gedung'!$D$2:$I$4288,6,FALSE)</f>
        <v>572300</v>
      </c>
      <c r="F2356" s="1003" t="str">
        <f>VLOOKUP(C2356,'Jaringan Pipa Luar Gedung'!$D$2:$J$4288,7,FALSE)</f>
        <v>Revisi</v>
      </c>
      <c r="G2356" s="12" t="str">
        <f>VLOOKUP(C2356,'Jaringan Pipa Luar Gedung'!$D$2:$K$4288,8,FALSE)</f>
        <v>Perubahan Diameter (Dia.) Menjadi Diameter Nominal (DN)</v>
      </c>
      <c r="H2356" s="374"/>
      <c r="I2356" s="16"/>
    </row>
    <row r="2357" spans="1:9" ht="24" customHeight="1">
      <c r="B2357" s="1033" t="str">
        <f>'Jaringan Pipa Luar Gedung'!C683</f>
        <v>9.2.1.4</v>
      </c>
      <c r="C2357" s="39" t="str">
        <f>VLOOKUP(B2357,'Jaringan Pipa Luar Gedung'!C:K,2,FALSE)</f>
        <v>Pemasangan 1 m Pipa Galvanis, DN. 6" (150 mm)</v>
      </c>
      <c r="D2357" s="9" t="s">
        <v>1300</v>
      </c>
      <c r="E2357" s="1021">
        <f>VLOOKUP(C2357,'Jaringan Pipa Luar Gedung'!$D$2:$I$4288,6,FALSE)</f>
        <v>540000</v>
      </c>
      <c r="F2357" s="1003" t="str">
        <f>VLOOKUP(C2357,'Jaringan Pipa Luar Gedung'!$D$2:$J$4288,7,FALSE)</f>
        <v>Revisi</v>
      </c>
      <c r="G2357" s="12" t="str">
        <f>VLOOKUP(C2357,'Jaringan Pipa Luar Gedung'!$D$2:$K$4288,8,FALSE)</f>
        <v>Perubahan Diameter (Dia.) Menjadi Diameter Nominal (DN)</v>
      </c>
      <c r="H2357" s="374"/>
      <c r="I2357" s="16"/>
    </row>
    <row r="2358" spans="1:9" ht="24" customHeight="1">
      <c r="B2358" s="1033" t="str">
        <f>'Jaringan Pipa Luar Gedung'!C700</f>
        <v>9.2.1.5</v>
      </c>
      <c r="C2358" s="39" t="str">
        <f>VLOOKUP(B2358,'Jaringan Pipa Luar Gedung'!C:K,2,FALSE)</f>
        <v>Pemasangan 1 m Pipa Galvanis, DN. 8" (200 mm)</v>
      </c>
      <c r="D2358" s="9" t="s">
        <v>1300</v>
      </c>
      <c r="E2358" s="1021">
        <f>VLOOKUP(C2358,'Jaringan Pipa Luar Gedung'!$D$2:$I$4288,6,FALSE)</f>
        <v>622800</v>
      </c>
      <c r="F2358" s="1003" t="str">
        <f>VLOOKUP(C2358,'Jaringan Pipa Luar Gedung'!$D$2:$J$4288,7,FALSE)</f>
        <v>Revisi</v>
      </c>
      <c r="G2358" s="12" t="str">
        <f>VLOOKUP(C2358,'Jaringan Pipa Luar Gedung'!$D$2:$K$4288,8,FALSE)</f>
        <v>Perubahan Diameter (Dia.) Menjadi Diameter Nominal (DN)</v>
      </c>
      <c r="H2358" s="374"/>
      <c r="I2358" s="16"/>
    </row>
    <row r="2359" spans="1:9" ht="24" customHeight="1">
      <c r="B2359" s="1033" t="str">
        <f>'Jaringan Pipa Luar Gedung'!C718</f>
        <v>9.2.1.6</v>
      </c>
      <c r="C2359" s="39" t="str">
        <f>VLOOKUP(B2359,'Jaringan Pipa Luar Gedung'!C:K,2,FALSE)</f>
        <v>Pemasangan 1 m Pipa Galvanis, DN.10" (250 mm)</v>
      </c>
      <c r="D2359" s="9" t="s">
        <v>1300</v>
      </c>
      <c r="E2359" s="1021">
        <f>VLOOKUP(C2359,'Jaringan Pipa Luar Gedung'!$D$2:$I$4288,6,FALSE)</f>
        <v>711400</v>
      </c>
      <c r="F2359" s="1003" t="str">
        <f>VLOOKUP(C2359,'Jaringan Pipa Luar Gedung'!$D$2:$J$4288,7,FALSE)</f>
        <v>Revisi</v>
      </c>
      <c r="G2359" s="12" t="str">
        <f>VLOOKUP(C2359,'Jaringan Pipa Luar Gedung'!$D$2:$K$4288,8,FALSE)</f>
        <v>Perubahan Diameter (Dia.) Menjadi Diameter Nominal (DN)</v>
      </c>
      <c r="H2359" s="374"/>
      <c r="I2359" s="16"/>
    </row>
    <row r="2360" spans="1:9" ht="24" customHeight="1">
      <c r="B2360" s="1033" t="str">
        <f>'Jaringan Pipa Luar Gedung'!C735</f>
        <v>9.2.1.7</v>
      </c>
      <c r="C2360" s="39" t="str">
        <f>VLOOKUP(B2360,'Jaringan Pipa Luar Gedung'!C:K,2,FALSE)</f>
        <v>Pemasangan 1 m Pipa Galvanis, DN. 12" (300 mm)</v>
      </c>
      <c r="D2360" s="9" t="s">
        <v>1300</v>
      </c>
      <c r="E2360" s="1021">
        <f>VLOOKUP(C2360,'Jaringan Pipa Luar Gedung'!$D$2:$I$4288,6,FALSE)</f>
        <v>765400</v>
      </c>
      <c r="F2360" s="1003" t="str">
        <f>VLOOKUP(C2360,'Jaringan Pipa Luar Gedung'!$D$2:$J$4288,7,FALSE)</f>
        <v>Revisi</v>
      </c>
      <c r="G2360" s="12" t="str">
        <f>VLOOKUP(C2360,'Jaringan Pipa Luar Gedung'!$D$2:$K$4288,8,FALSE)</f>
        <v>Perubahan Diameter (Dia.) Menjadi Diameter Nominal (DN)</v>
      </c>
      <c r="H2360" s="374"/>
      <c r="I2360" s="16"/>
    </row>
    <row r="2361" spans="1:9" ht="24" customHeight="1">
      <c r="B2361" s="1033" t="str">
        <f>'Jaringan Pipa Luar Gedung'!C753</f>
        <v>9.2.1.8</v>
      </c>
      <c r="C2361" s="39" t="str">
        <f>VLOOKUP(B2361,'Jaringan Pipa Luar Gedung'!C:K,2,FALSE)</f>
        <v>Pemasangan 1 m Pipa Galvanis, DN. 16" (400 mm)</v>
      </c>
      <c r="D2361" s="9" t="s">
        <v>1300</v>
      </c>
      <c r="E2361" s="1021">
        <f>VLOOKUP(C2361,'Jaringan Pipa Luar Gedung'!$D$2:$I$4288,6,FALSE)</f>
        <v>916000</v>
      </c>
      <c r="F2361" s="1003" t="str">
        <f>VLOOKUP(C2361,'Jaringan Pipa Luar Gedung'!$D$2:$J$4288,7,FALSE)</f>
        <v>Revisi</v>
      </c>
      <c r="G2361" s="12" t="str">
        <f>VLOOKUP(C2361,'Jaringan Pipa Luar Gedung'!$D$2:$K$4288,8,FALSE)</f>
        <v>Perubahan Diameter (Dia.) Menjadi Diameter Nominal (DN)</v>
      </c>
      <c r="H2361" s="374"/>
      <c r="I2361" s="16"/>
    </row>
    <row r="2362" spans="1:9" ht="24" customHeight="1">
      <c r="B2362" s="1033" t="str">
        <f>'Jaringan Pipa Luar Gedung'!C770</f>
        <v>9.2.1.9</v>
      </c>
      <c r="C2362" s="39" t="str">
        <f>VLOOKUP(B2362,'Jaringan Pipa Luar Gedung'!C:K,2,FALSE)</f>
        <v>Pemasangan 1 m Pipa Galvanis, DN. 18" (450 mm)</v>
      </c>
      <c r="D2362" s="9" t="s">
        <v>1300</v>
      </c>
      <c r="E2362" s="1021">
        <f>VLOOKUP(C2362,'Jaringan Pipa Luar Gedung'!$D$2:$I$4288,6,FALSE)</f>
        <v>364100</v>
      </c>
      <c r="F2362" s="1003" t="str">
        <f>VLOOKUP(C2362,'Jaringan Pipa Luar Gedung'!$D$2:$J$4288,7,FALSE)</f>
        <v>Revisi</v>
      </c>
      <c r="G2362" s="12" t="str">
        <f>VLOOKUP(C2362,'Jaringan Pipa Luar Gedung'!$D$2:$K$4288,8,FALSE)</f>
        <v>Perubahan Diameter (Dia.) Menjadi Diameter Nominal (DN)</v>
      </c>
      <c r="H2362" s="374"/>
      <c r="I2362" s="16"/>
    </row>
    <row r="2363" spans="1:9" ht="24" customHeight="1">
      <c r="B2363" s="1033" t="str">
        <f>'Jaringan Pipa Luar Gedung'!C787</f>
        <v>9.2.1.10</v>
      </c>
      <c r="C2363" s="39" t="str">
        <f>VLOOKUP(B2363,'Jaringan Pipa Luar Gedung'!C:K,2,FALSE)</f>
        <v>Pemasangan 1 m Pipa Galvanis, DN. 20" (500 mm)</v>
      </c>
      <c r="D2363" s="9" t="s">
        <v>1300</v>
      </c>
      <c r="E2363" s="1021">
        <f>VLOOKUP(C2363,'Jaringan Pipa Luar Gedung'!$D$2:$I$4288,6,FALSE)</f>
        <v>1048000</v>
      </c>
      <c r="F2363" s="1003" t="str">
        <f>VLOOKUP(C2363,'Jaringan Pipa Luar Gedung'!$D$2:$J$4288,7,FALSE)</f>
        <v>Revisi</v>
      </c>
      <c r="G2363" s="12" t="str">
        <f>VLOOKUP(C2363,'Jaringan Pipa Luar Gedung'!$D$2:$K$4288,8,FALSE)</f>
        <v>Perubahan Diameter (Dia.) Menjadi Diameter Nominal (DN)</v>
      </c>
      <c r="H2363" s="374"/>
      <c r="I2363" s="16"/>
    </row>
    <row r="2364" spans="1:9" ht="24" customHeight="1">
      <c r="B2364" s="1033" t="str">
        <f>'Jaringan Pipa Luar Gedung'!C804</f>
        <v>9.2.1.11</v>
      </c>
      <c r="C2364" s="39" t="str">
        <f>VLOOKUP(B2364,'Jaringan Pipa Luar Gedung'!C:K,2,FALSE)</f>
        <v>Pemasangan 1 m Pipa Galvanis, DN. 24" (600 mm)</v>
      </c>
      <c r="D2364" s="9" t="s">
        <v>1300</v>
      </c>
      <c r="E2364" s="1021">
        <f>VLOOKUP(C2364,'Jaringan Pipa Luar Gedung'!$D$2:$I$4288,6,FALSE)</f>
        <v>1072200</v>
      </c>
      <c r="F2364" s="1003" t="str">
        <f>VLOOKUP(C2364,'Jaringan Pipa Luar Gedung'!$D$2:$J$4288,7,FALSE)</f>
        <v>Revisi</v>
      </c>
      <c r="G2364" s="12" t="str">
        <f>VLOOKUP(C2364,'Jaringan Pipa Luar Gedung'!$D$2:$K$4288,8,FALSE)</f>
        <v>Perubahan Diameter (Dia.) Menjadi Diameter Nominal (DN)</v>
      </c>
      <c r="H2364" s="374"/>
      <c r="I2364" s="16"/>
    </row>
    <row r="2365" spans="1:9" ht="24" customHeight="1">
      <c r="B2365" s="1033" t="str">
        <f>'Jaringan Pipa Luar Gedung'!C821</f>
        <v>9.2.1.12</v>
      </c>
      <c r="C2365" s="39" t="str">
        <f>VLOOKUP(B2365,'Jaringan Pipa Luar Gedung'!C:K,2,FALSE)</f>
        <v>Pemasangan 1 m Pipa Galvanis, DN. 32" (800 mm)</v>
      </c>
      <c r="D2365" s="9" t="s">
        <v>1300</v>
      </c>
      <c r="E2365" s="1021">
        <f>VLOOKUP(C2365,'Jaringan Pipa Luar Gedung'!$D$2:$I$4288,6,FALSE)</f>
        <v>1325300</v>
      </c>
      <c r="F2365" s="1003" t="str">
        <f>VLOOKUP(C2365,'Jaringan Pipa Luar Gedung'!$D$2:$J$4288,7,FALSE)</f>
        <v>Revisi</v>
      </c>
      <c r="G2365" s="12" t="str">
        <f>VLOOKUP(C2365,'Jaringan Pipa Luar Gedung'!$D$2:$K$4288,8,FALSE)</f>
        <v>Perubahan Diameter (Dia.) Menjadi Diameter Nominal (DN)</v>
      </c>
      <c r="H2365" s="374"/>
      <c r="I2365" s="16"/>
    </row>
    <row r="2366" spans="1:9" ht="24" customHeight="1">
      <c r="B2366" s="1033" t="str">
        <f>'Jaringan Pipa Luar Gedung'!C838</f>
        <v>9.2.1.13</v>
      </c>
      <c r="C2366" s="39" t="str">
        <f>VLOOKUP(B2366,'Jaringan Pipa Luar Gedung'!C:K,2,FALSE)</f>
        <v>Pemasangan 1 m Pipa Galvanis, DN. 36" (900 mm)</v>
      </c>
      <c r="D2366" s="9" t="s">
        <v>1300</v>
      </c>
      <c r="E2366" s="1021">
        <f>VLOOKUP(C2366,'Jaringan Pipa Luar Gedung'!$D$2:$I$4288,6,FALSE)</f>
        <v>1467000</v>
      </c>
      <c r="F2366" s="1003" t="str">
        <f>VLOOKUP(C2366,'Jaringan Pipa Luar Gedung'!$D$2:$J$4288,7,FALSE)</f>
        <v>Revisi</v>
      </c>
      <c r="G2366" s="12" t="str">
        <f>VLOOKUP(C2366,'Jaringan Pipa Luar Gedung'!$D$2:$K$4288,8,FALSE)</f>
        <v>Perubahan Diameter (Dia.) Menjadi Diameter Nominal (DN)</v>
      </c>
      <c r="H2366" s="374"/>
      <c r="I2366" s="16"/>
    </row>
    <row r="2367" spans="1:9" ht="24" customHeight="1">
      <c r="B2367" s="1033" t="str">
        <f>'Jaringan Pipa Luar Gedung'!C856</f>
        <v>9.2.1.14</v>
      </c>
      <c r="C2367" s="39" t="str">
        <f>VLOOKUP(B2367,'Jaringan Pipa Luar Gedung'!C:K,2,FALSE)</f>
        <v>Pemasangan 1 m Pipa Galvanis, DN. 40" (1000 mm)</v>
      </c>
      <c r="D2367" s="9" t="s">
        <v>1300</v>
      </c>
      <c r="E2367" s="1021">
        <f>VLOOKUP(C2367,'Jaringan Pipa Luar Gedung'!$D$2:$I$4288,6,FALSE)</f>
        <v>1575400</v>
      </c>
      <c r="F2367" s="1003" t="str">
        <f>VLOOKUP(C2367,'Jaringan Pipa Luar Gedung'!$D$2:$J$4288,7,FALSE)</f>
        <v>Revisi</v>
      </c>
      <c r="G2367" s="12" t="str">
        <f>VLOOKUP(C2367,'Jaringan Pipa Luar Gedung'!$D$2:$K$4288,8,FALSE)</f>
        <v>Perubahan Diameter (Dia.) Menjadi Diameter Nominal (DN)</v>
      </c>
      <c r="H2367" s="374"/>
      <c r="I2367" s="16"/>
    </row>
    <row r="2368" spans="1:9" ht="24" customHeight="1">
      <c r="B2368" s="1033" t="str">
        <f>'Jaringan Pipa Luar Gedung'!C873</f>
        <v>9.2.1.15</v>
      </c>
      <c r="C2368" s="39" t="str">
        <f>VLOOKUP(B2368,'Jaringan Pipa Luar Gedung'!C:K,2,FALSE)</f>
        <v>Pemasangan 1 m Pipa Galvanis, DN. 44" (1100 mm)</v>
      </c>
      <c r="D2368" s="9" t="s">
        <v>1300</v>
      </c>
      <c r="E2368" s="1021">
        <f>VLOOKUP(C2368,'Jaringan Pipa Luar Gedung'!$D$2:$I$4288,6,FALSE)</f>
        <v>1703100</v>
      </c>
      <c r="F2368" s="1003" t="str">
        <f>VLOOKUP(C2368,'Jaringan Pipa Luar Gedung'!$D$2:$J$4288,7,FALSE)</f>
        <v>Revisi</v>
      </c>
      <c r="G2368" s="12" t="str">
        <f>VLOOKUP(C2368,'Jaringan Pipa Luar Gedung'!$D$2:$K$4288,8,FALSE)</f>
        <v>Perubahan Diameter (Dia.) Menjadi Diameter Nominal (DN)</v>
      </c>
      <c r="H2368" s="374"/>
      <c r="I2368" s="16"/>
    </row>
    <row r="2369" spans="1:9" ht="24" customHeight="1">
      <c r="B2369" s="1033" t="str">
        <f>'Jaringan Pipa Luar Gedung'!C890</f>
        <v>9.2.1.16</v>
      </c>
      <c r="C2369" s="39" t="str">
        <f>VLOOKUP(B2369,'Jaringan Pipa Luar Gedung'!C:K,2,FALSE)</f>
        <v>Pemasangan 1 m Pipa Galvanis, DN. 48" (1200 mm)</v>
      </c>
      <c r="D2369" s="9" t="s">
        <v>1300</v>
      </c>
      <c r="E2369" s="1021">
        <f>VLOOKUP(C2369,'Jaringan Pipa Luar Gedung'!$D$2:$I$4288,6,FALSE)</f>
        <v>1847000</v>
      </c>
      <c r="F2369" s="1003" t="str">
        <f>VLOOKUP(C2369,'Jaringan Pipa Luar Gedung'!$D$2:$J$4288,7,FALSE)</f>
        <v>Revisi</v>
      </c>
      <c r="G2369" s="12" t="str">
        <f>VLOOKUP(C2369,'Jaringan Pipa Luar Gedung'!$D$2:$K$4288,8,FALSE)</f>
        <v>Perubahan Diameter (Dia.) Menjadi Diameter Nominal (DN)</v>
      </c>
      <c r="H2369" s="374"/>
      <c r="I2369" s="16"/>
    </row>
    <row r="2370" spans="1:9" ht="24" customHeight="1">
      <c r="B2370" s="1033" t="str">
        <f>'Jaringan Pipa Luar Gedung'!C907</f>
        <v>9.2.1.17</v>
      </c>
      <c r="C2370" s="39" t="str">
        <f>VLOOKUP(B2370,'Jaringan Pipa Luar Gedung'!C:K,2,FALSE)</f>
        <v>Pemasangan 1 m Pipa Galvanis, DN. 1/2" (15 mm)</v>
      </c>
      <c r="D2370" s="9" t="s">
        <v>1300</v>
      </c>
      <c r="E2370" s="1021">
        <f>VLOOKUP(C2370,'Jaringan Pipa Luar Gedung'!$D$2:$I$4288,6,FALSE)</f>
        <v>101600</v>
      </c>
      <c r="F2370" s="1003" t="str">
        <f>VLOOKUP(C2370,'Jaringan Pipa Luar Gedung'!$D$2:$J$4288,7,FALSE)</f>
        <v>Revisi</v>
      </c>
      <c r="G2370" s="12" t="str">
        <f>VLOOKUP(C2370,'Jaringan Pipa Luar Gedung'!$D$2:$K$4288,8,FALSE)</f>
        <v>Perubahan Diameter (Dia.) Menjadi Diameter Nominal (DN)</v>
      </c>
      <c r="H2370" s="374"/>
      <c r="I2370" s="16"/>
    </row>
    <row r="2371" spans="1:9" ht="24" customHeight="1">
      <c r="B2371" s="1033" t="str">
        <f>'Jaringan Pipa Luar Gedung'!C924</f>
        <v>9.2.1.18</v>
      </c>
      <c r="C2371" s="39" t="str">
        <f>VLOOKUP(B2371,'Jaringan Pipa Luar Gedung'!C:K,2,FALSE)</f>
        <v>Pemasangan 1 m Pipa Galvanis, DN. 3/4" (20 mm)</v>
      </c>
      <c r="D2371" s="9" t="s">
        <v>1300</v>
      </c>
      <c r="E2371" s="1021">
        <f>VLOOKUP(C2371,'Jaringan Pipa Luar Gedung'!$D$2:$I$4288,6,FALSE)</f>
        <v>119200</v>
      </c>
      <c r="F2371" s="1003" t="str">
        <f>VLOOKUP(C2371,'Jaringan Pipa Luar Gedung'!$D$2:$J$4288,7,FALSE)</f>
        <v>Revisi</v>
      </c>
      <c r="G2371" s="12" t="str">
        <f>VLOOKUP(C2371,'Jaringan Pipa Luar Gedung'!$D$2:$K$4288,8,FALSE)</f>
        <v>Perubahan Diameter (Dia.) Menjadi Diameter Nominal (DN)</v>
      </c>
      <c r="H2371" s="374"/>
      <c r="I2371" s="16"/>
    </row>
    <row r="2372" spans="1:9" ht="24" customHeight="1">
      <c r="B2372" s="1033" t="str">
        <f>'Jaringan Pipa Luar Gedung'!C940</f>
        <v>9.2.1.19</v>
      </c>
      <c r="C2372" s="39" t="str">
        <f>VLOOKUP(B2372,'Jaringan Pipa Luar Gedung'!C:K,2,FALSE)</f>
        <v>Pemasangan 1 m Pipa Galvanis, DN. 1" (25 mm)</v>
      </c>
      <c r="D2372" s="9" t="s">
        <v>1300</v>
      </c>
      <c r="E2372" s="1021">
        <f>VLOOKUP(C2372,'Jaringan Pipa Luar Gedung'!$D$2:$I$4288,6,FALSE)</f>
        <v>134800</v>
      </c>
      <c r="F2372" s="1003" t="str">
        <f>VLOOKUP(C2372,'Jaringan Pipa Luar Gedung'!$D$2:$J$4288,7,FALSE)</f>
        <v>Revisi</v>
      </c>
      <c r="G2372" s="12" t="str">
        <f>VLOOKUP(C2372,'Jaringan Pipa Luar Gedung'!$D$2:$K$4288,8,FALSE)</f>
        <v>Perubahan Diameter (Dia.) Menjadi Diameter Nominal (DN)</v>
      </c>
      <c r="H2372" s="374"/>
      <c r="I2372" s="16"/>
    </row>
    <row r="2373" spans="1:9" ht="24" customHeight="1">
      <c r="B2373" s="1033" t="str">
        <f>'Jaringan Pipa Luar Gedung'!C956</f>
        <v>9.2.1.20</v>
      </c>
      <c r="C2373" s="39" t="str">
        <f>VLOOKUP(B2373,'Jaringan Pipa Luar Gedung'!C:K,2,FALSE)</f>
        <v>Pemasangan 1 m Pipa Galvanis, DN. 1-1/4" (32 mm)</v>
      </c>
      <c r="D2373" s="9" t="s">
        <v>1300</v>
      </c>
      <c r="E2373" s="1021">
        <f>VLOOKUP(C2373,'Jaringan Pipa Luar Gedung'!$D$2:$I$4288,6,FALSE)</f>
        <v>143600</v>
      </c>
      <c r="F2373" s="1003" t="str">
        <f>VLOOKUP(C2373,'Jaringan Pipa Luar Gedung'!$D$2:$J$4288,7,FALSE)</f>
        <v>Revisi</v>
      </c>
      <c r="G2373" s="12" t="str">
        <f>VLOOKUP(C2373,'Jaringan Pipa Luar Gedung'!$D$2:$K$4288,8,FALSE)</f>
        <v>Perubahan Diameter (Dia.) Menjadi Diameter Nominal (DN)</v>
      </c>
      <c r="H2373" s="374"/>
      <c r="I2373" s="16"/>
    </row>
    <row r="2374" spans="1:9" ht="24" customHeight="1">
      <c r="B2374" s="1033" t="str">
        <f>'Jaringan Pipa Luar Gedung'!C972</f>
        <v>9.2.1.21</v>
      </c>
      <c r="C2374" s="39" t="str">
        <f>VLOOKUP(B2374,'Jaringan Pipa Luar Gedung'!C:K,2,FALSE)</f>
        <v>Pemasangan 1 m Pipa Galvanis, DN. 1-1/2" (40 mm)</v>
      </c>
      <c r="D2374" s="9" t="s">
        <v>1300</v>
      </c>
      <c r="E2374" s="1021">
        <f>VLOOKUP(C2374,'Jaringan Pipa Luar Gedung'!$D$2:$I$4288,6,FALSE)</f>
        <v>151300</v>
      </c>
      <c r="F2374" s="1003" t="str">
        <f>VLOOKUP(C2374,'Jaringan Pipa Luar Gedung'!$D$2:$J$4288,7,FALSE)</f>
        <v>Revisi</v>
      </c>
      <c r="G2374" s="12" t="str">
        <f>VLOOKUP(C2374,'Jaringan Pipa Luar Gedung'!$D$2:$K$4288,8,FALSE)</f>
        <v>Perubahan Diameter (Dia.) Menjadi Diameter Nominal (DN)</v>
      </c>
      <c r="H2374" s="374"/>
      <c r="I2374" s="16"/>
    </row>
    <row r="2375" spans="1:9" ht="24" customHeight="1">
      <c r="B2375" s="1033" t="str">
        <f>'Jaringan Pipa Luar Gedung'!C988</f>
        <v>9.2.1.22</v>
      </c>
      <c r="C2375" s="39" t="str">
        <f>VLOOKUP(B2375,'Jaringan Pipa Luar Gedung'!C:K,2,FALSE)</f>
        <v>Pemasangan 1 m Pipa Galvanis, DN. 2" (50 mm)</v>
      </c>
      <c r="D2375" s="9" t="s">
        <v>1300</v>
      </c>
      <c r="E2375" s="1021">
        <f>VLOOKUP(C2375,'Jaringan Pipa Luar Gedung'!$D$2:$I$4288,6,FALSE)</f>
        <v>173900</v>
      </c>
      <c r="F2375" s="1003" t="str">
        <f>VLOOKUP(C2375,'Jaringan Pipa Luar Gedung'!$D$2:$J$4288,7,FALSE)</f>
        <v>Revisi</v>
      </c>
      <c r="G2375" s="12" t="str">
        <f>VLOOKUP(C2375,'Jaringan Pipa Luar Gedung'!$D$2:$K$4288,8,FALSE)</f>
        <v>Perubahan Diameter (Dia.) Menjadi Diameter Nominal (DN)</v>
      </c>
      <c r="H2375" s="374"/>
      <c r="I2375" s="16"/>
    </row>
    <row r="2376" spans="1:9" s="1" customFormat="1" ht="24" customHeight="1">
      <c r="A2376" s="47"/>
      <c r="B2376" s="1041" t="str">
        <f>'Jaringan Pipa Luar Gedung'!C1004</f>
        <v>9.2.2</v>
      </c>
      <c r="C2376" s="40" t="str">
        <f>VLOOKUP(B2376,'Jaringan Pipa Luar Gedung'!C:K,2,FALSE)</f>
        <v xml:space="preserve">Pemotongan Pipa Galvanis </v>
      </c>
      <c r="D2376" s="19"/>
      <c r="E2376" s="1021">
        <f>VLOOKUP(C2376,'Jaringan Pipa Luar Gedung'!$D$2:$I$4288,6,FALSE)</f>
        <v>0</v>
      </c>
      <c r="F2376" s="1003">
        <f>VLOOKUP(C2376,'Jaringan Pipa Luar Gedung'!$D$2:$J$4288,7,FALSE)</f>
        <v>0</v>
      </c>
      <c r="G2376" s="12">
        <f>VLOOKUP(C2376,'Jaringan Pipa Luar Gedung'!$D$2:$K$4288,8,FALSE)</f>
        <v>0</v>
      </c>
      <c r="H2376" s="1092"/>
      <c r="I2376" s="21"/>
    </row>
    <row r="2377" spans="1:9" ht="24" customHeight="1">
      <c r="B2377" s="1033" t="str">
        <f>'Jaringan Pipa Luar Gedung'!C1005</f>
        <v>9.2.2.1</v>
      </c>
      <c r="C2377" s="39" t="str">
        <f>VLOOKUP(B2377,'Jaringan Pipa Luar Gedung'!C:K,2,FALSE)</f>
        <v>Pemotongan 1 Buah Pipa Galvanis, DN. 2-1/2" (65 mm)</v>
      </c>
      <c r="D2377" s="9" t="s">
        <v>44</v>
      </c>
      <c r="E2377" s="1021">
        <f>VLOOKUP(C2377,'Jaringan Pipa Luar Gedung'!$D$2:$I$4288,6,FALSE)</f>
        <v>4200</v>
      </c>
      <c r="F2377" s="1003" t="str">
        <f>VLOOKUP(C2377,'Jaringan Pipa Luar Gedung'!$D$2:$J$4288,7,FALSE)</f>
        <v>Revisi</v>
      </c>
      <c r="G2377" s="12" t="str">
        <f>VLOOKUP(C2377,'Jaringan Pipa Luar Gedung'!$D$2:$K$4288,8,FALSE)</f>
        <v>Perubahan Diameter (Dia.) Menjadi Diameter Nominal (DN)</v>
      </c>
      <c r="H2377" s="374"/>
      <c r="I2377" s="16"/>
    </row>
    <row r="2378" spans="1:9" ht="24" customHeight="1">
      <c r="B2378" s="1033" t="str">
        <f>'Jaringan Pipa Luar Gedung'!C1021</f>
        <v>9.2.2.2</v>
      </c>
      <c r="C2378" s="39" t="str">
        <f>VLOOKUP(B2378,'Jaringan Pipa Luar Gedung'!C:K,2,FALSE)</f>
        <v>Pemotongan 1 Buah Pipa Galvanis, DN. 4" (100 mm)</v>
      </c>
      <c r="D2378" s="9" t="s">
        <v>44</v>
      </c>
      <c r="E2378" s="1021">
        <f>VLOOKUP(C2378,'Jaringan Pipa Luar Gedung'!$D$2:$I$4288,6,FALSE)</f>
        <v>12100</v>
      </c>
      <c r="F2378" s="1003" t="str">
        <f>VLOOKUP(C2378,'Jaringan Pipa Luar Gedung'!$D$2:$J$4288,7,FALSE)</f>
        <v>Revisi</v>
      </c>
      <c r="G2378" s="12" t="str">
        <f>VLOOKUP(C2378,'Jaringan Pipa Luar Gedung'!$D$2:$K$4288,8,FALSE)</f>
        <v>Perubahan Diameter (Dia.) Menjadi Diameter Nominal (DN)</v>
      </c>
      <c r="H2378" s="374"/>
      <c r="I2378" s="16"/>
    </row>
    <row r="2379" spans="1:9" ht="24" customHeight="1">
      <c r="B2379" s="1033" t="str">
        <f>'Jaringan Pipa Luar Gedung'!C1037</f>
        <v>9.2.2.3</v>
      </c>
      <c r="C2379" s="39" t="str">
        <f>VLOOKUP(B2379,'Jaringan Pipa Luar Gedung'!C:K,2,FALSE)</f>
        <v>Pemotongan 1 Buah Pipa Galvanis, DN. 5" (125 mm)</v>
      </c>
      <c r="D2379" s="9" t="s">
        <v>44</v>
      </c>
      <c r="E2379" s="1021">
        <f>VLOOKUP(C2379,'Jaringan Pipa Luar Gedung'!$D$2:$I$4288,6,FALSE)</f>
        <v>19000</v>
      </c>
      <c r="F2379" s="1003" t="str">
        <f>VLOOKUP(C2379,'Jaringan Pipa Luar Gedung'!$D$2:$J$4288,7,FALSE)</f>
        <v>Revisi</v>
      </c>
      <c r="G2379" s="12" t="str">
        <f>VLOOKUP(C2379,'Jaringan Pipa Luar Gedung'!$D$2:$K$4288,8,FALSE)</f>
        <v>Perubahan Diameter (Dia.) Menjadi Diameter Nominal (DN)</v>
      </c>
      <c r="H2379" s="374"/>
      <c r="I2379" s="16"/>
    </row>
    <row r="2380" spans="1:9" ht="24" customHeight="1">
      <c r="B2380" s="1033" t="str">
        <f>'Jaringan Pipa Luar Gedung'!C1053</f>
        <v>9.2.2.4</v>
      </c>
      <c r="C2380" s="39" t="str">
        <f>VLOOKUP(B2380,'Jaringan Pipa Luar Gedung'!C:K,2,FALSE)</f>
        <v>Pemotongan 1 Buah Pipa Galvanis, DN. 6" (150 mm)</v>
      </c>
      <c r="D2380" s="9" t="s">
        <v>44</v>
      </c>
      <c r="E2380" s="1021">
        <f>VLOOKUP(C2380,'Jaringan Pipa Luar Gedung'!$D$2:$I$4288,6,FALSE)</f>
        <v>27200</v>
      </c>
      <c r="F2380" s="1003" t="str">
        <f>VLOOKUP(C2380,'Jaringan Pipa Luar Gedung'!$D$2:$J$4288,7,FALSE)</f>
        <v>Revisi</v>
      </c>
      <c r="G2380" s="12" t="str">
        <f>VLOOKUP(C2380,'Jaringan Pipa Luar Gedung'!$D$2:$K$4288,8,FALSE)</f>
        <v>Perubahan Diameter (Dia.) Menjadi Diameter Nominal (DN)</v>
      </c>
      <c r="H2380" s="374"/>
      <c r="I2380" s="16"/>
    </row>
    <row r="2381" spans="1:9" ht="24" customHeight="1">
      <c r="B2381" s="1033" t="str">
        <f>'Jaringan Pipa Luar Gedung'!C1069</f>
        <v>9.2.2.5</v>
      </c>
      <c r="C2381" s="39" t="str">
        <f>VLOOKUP(B2381,'Jaringan Pipa Luar Gedung'!C:K,2,FALSE)</f>
        <v>Pemotongan 1 Buah Pipa Galvanis, DN. 8" (200 mm)</v>
      </c>
      <c r="D2381" s="9" t="s">
        <v>44</v>
      </c>
      <c r="E2381" s="1021">
        <f>VLOOKUP(C2381,'Jaringan Pipa Luar Gedung'!$D$2:$I$4288,6,FALSE)</f>
        <v>70000</v>
      </c>
      <c r="F2381" s="1003" t="str">
        <f>VLOOKUP(C2381,'Jaringan Pipa Luar Gedung'!$D$2:$J$4288,7,FALSE)</f>
        <v>Revisi</v>
      </c>
      <c r="G2381" s="12" t="str">
        <f>VLOOKUP(C2381,'Jaringan Pipa Luar Gedung'!$D$2:$K$4288,8,FALSE)</f>
        <v>Perubahan Diameter (Dia.) Menjadi Diameter Nominal (DN)</v>
      </c>
      <c r="H2381" s="374"/>
      <c r="I2381" s="16"/>
    </row>
    <row r="2382" spans="1:9" ht="24" customHeight="1">
      <c r="B2382" s="1033" t="str">
        <f>'Jaringan Pipa Luar Gedung'!C1085</f>
        <v>9.2.2.6</v>
      </c>
      <c r="C2382" s="39" t="str">
        <f>VLOOKUP(B2382,'Jaringan Pipa Luar Gedung'!C:K,2,FALSE)</f>
        <v>Pemotongan 1 Buah Pipa Galvanis, DN.10" (250 mm)</v>
      </c>
      <c r="D2382" s="9" t="s">
        <v>44</v>
      </c>
      <c r="E2382" s="1021">
        <f>VLOOKUP(C2382,'Jaringan Pipa Luar Gedung'!$D$2:$I$4288,6,FALSE)</f>
        <v>97600</v>
      </c>
      <c r="F2382" s="1003" t="str">
        <f>VLOOKUP(C2382,'Jaringan Pipa Luar Gedung'!$D$2:$J$4288,7,FALSE)</f>
        <v>Revisi</v>
      </c>
      <c r="G2382" s="12" t="str">
        <f>VLOOKUP(C2382,'Jaringan Pipa Luar Gedung'!$D$2:$K$4288,8,FALSE)</f>
        <v>Perubahan Diameter (Dia.) Menjadi Diameter Nominal (DN)</v>
      </c>
      <c r="H2382" s="374"/>
      <c r="I2382" s="16"/>
    </row>
    <row r="2383" spans="1:9" ht="24" customHeight="1">
      <c r="B2383" s="1033" t="str">
        <f>'Jaringan Pipa Luar Gedung'!C1101</f>
        <v>9.2.2.7</v>
      </c>
      <c r="C2383" s="39" t="str">
        <f>VLOOKUP(B2383,'Jaringan Pipa Luar Gedung'!C:K,2,FALSE)</f>
        <v>Pemotongan 1 Buah Pipa Galvanis, DN. 12" (300 mm)</v>
      </c>
      <c r="D2383" s="9" t="s">
        <v>44</v>
      </c>
      <c r="E2383" s="1021">
        <f>VLOOKUP(C2383,'Jaringan Pipa Luar Gedung'!$D$2:$I$4288,6,FALSE)</f>
        <v>104100</v>
      </c>
      <c r="F2383" s="1003" t="str">
        <f>VLOOKUP(C2383,'Jaringan Pipa Luar Gedung'!$D$2:$J$4288,7,FALSE)</f>
        <v>Revisi</v>
      </c>
      <c r="G2383" s="12" t="str">
        <f>VLOOKUP(C2383,'Jaringan Pipa Luar Gedung'!$D$2:$K$4288,8,FALSE)</f>
        <v>Perubahan Diameter (Dia.) Menjadi Diameter Nominal (DN)</v>
      </c>
      <c r="H2383" s="374"/>
      <c r="I2383" s="16"/>
    </row>
    <row r="2384" spans="1:9" ht="24" customHeight="1">
      <c r="B2384" s="1033" t="str">
        <f>'Jaringan Pipa Luar Gedung'!C1117</f>
        <v>9.2.2.8</v>
      </c>
      <c r="C2384" s="39" t="str">
        <f>VLOOKUP(B2384,'Jaringan Pipa Luar Gedung'!C:K,2,FALSE)</f>
        <v>Pemotongan 1 Buah Pipa Galvanis, DN. 16" (400 mm)</v>
      </c>
      <c r="D2384" s="9" t="s">
        <v>44</v>
      </c>
      <c r="E2384" s="1021">
        <f>VLOOKUP(C2384,'Jaringan Pipa Luar Gedung'!$D$2:$I$4288,6,FALSE)</f>
        <v>153500</v>
      </c>
      <c r="F2384" s="1003" t="str">
        <f>VLOOKUP(C2384,'Jaringan Pipa Luar Gedung'!$D$2:$J$4288,7,FALSE)</f>
        <v>Revisi</v>
      </c>
      <c r="G2384" s="12" t="str">
        <f>VLOOKUP(C2384,'Jaringan Pipa Luar Gedung'!$D$2:$K$4288,8,FALSE)</f>
        <v>Perubahan Diameter (Dia.) Menjadi Diameter Nominal (DN)</v>
      </c>
      <c r="H2384" s="374"/>
      <c r="I2384" s="16"/>
    </row>
    <row r="2385" spans="1:9" ht="24" customHeight="1">
      <c r="B2385" s="1033" t="str">
        <f>'Jaringan Pipa Luar Gedung'!C1133</f>
        <v>9.2.2.9</v>
      </c>
      <c r="C2385" s="39" t="str">
        <f>VLOOKUP(B2385,'Jaringan Pipa Luar Gedung'!C:K,2,FALSE)</f>
        <v>Pemotongan 1 Buah Pipa Galvanis, DN. 18" (450 mm)</v>
      </c>
      <c r="D2385" s="9" t="s">
        <v>44</v>
      </c>
      <c r="E2385" s="1021">
        <f>VLOOKUP(C2385,'Jaringan Pipa Luar Gedung'!$D$2:$I$4288,6,FALSE)</f>
        <v>176900</v>
      </c>
      <c r="F2385" s="1003" t="str">
        <f>VLOOKUP(C2385,'Jaringan Pipa Luar Gedung'!$D$2:$J$4288,7,FALSE)</f>
        <v>Revisi</v>
      </c>
      <c r="G2385" s="12" t="str">
        <f>VLOOKUP(C2385,'Jaringan Pipa Luar Gedung'!$D$2:$K$4288,8,FALSE)</f>
        <v>Perubahan Diameter (Dia.) Menjadi Diameter Nominal (DN)</v>
      </c>
      <c r="H2385" s="374"/>
      <c r="I2385" s="16"/>
    </row>
    <row r="2386" spans="1:9" ht="24" customHeight="1">
      <c r="B2386" s="1033" t="str">
        <f>'Jaringan Pipa Luar Gedung'!C1149</f>
        <v>9.2.2.10</v>
      </c>
      <c r="C2386" s="39" t="str">
        <f>VLOOKUP(B2386,'Jaringan Pipa Luar Gedung'!C:K,2,FALSE)</f>
        <v>Pemotongan 1 Buah Pipa Galvanis, DN. 20" (500 mm)</v>
      </c>
      <c r="D2386" s="9" t="s">
        <v>44</v>
      </c>
      <c r="E2386" s="1021">
        <f>VLOOKUP(C2386,'Jaringan Pipa Luar Gedung'!$D$2:$I$4288,6,FALSE)</f>
        <v>197000</v>
      </c>
      <c r="F2386" s="1003" t="str">
        <f>VLOOKUP(C2386,'Jaringan Pipa Luar Gedung'!$D$2:$J$4288,7,FALSE)</f>
        <v>Revisi</v>
      </c>
      <c r="G2386" s="12" t="str">
        <f>VLOOKUP(C2386,'Jaringan Pipa Luar Gedung'!$D$2:$K$4288,8,FALSE)</f>
        <v>Perubahan Diameter (Dia.) Menjadi Diameter Nominal (DN)</v>
      </c>
      <c r="H2386" s="374"/>
      <c r="I2386" s="16"/>
    </row>
    <row r="2387" spans="1:9" ht="24" customHeight="1">
      <c r="B2387" s="1033" t="str">
        <f>'Jaringan Pipa Luar Gedung'!C1165</f>
        <v>9.2.2.11</v>
      </c>
      <c r="C2387" s="39" t="str">
        <f>VLOOKUP(B2387,'Jaringan Pipa Luar Gedung'!C:K,2,FALSE)</f>
        <v>Pemotongan 1 Buah Pipa Galvanis, DN. 24" (600 mm)</v>
      </c>
      <c r="D2387" s="9" t="s">
        <v>44</v>
      </c>
      <c r="E2387" s="1021">
        <f>VLOOKUP(C2387,'Jaringan Pipa Luar Gedung'!$D$2:$I$4288,6,FALSE)</f>
        <v>245500</v>
      </c>
      <c r="F2387" s="1003" t="str">
        <f>VLOOKUP(C2387,'Jaringan Pipa Luar Gedung'!$D$2:$J$4288,7,FALSE)</f>
        <v>Revisi</v>
      </c>
      <c r="G2387" s="12" t="str">
        <f>VLOOKUP(C2387,'Jaringan Pipa Luar Gedung'!$D$2:$K$4288,8,FALSE)</f>
        <v>Perubahan Diameter (Dia.) Menjadi Diameter Nominal (DN)</v>
      </c>
      <c r="H2387" s="374"/>
      <c r="I2387" s="16"/>
    </row>
    <row r="2388" spans="1:9" ht="24" customHeight="1">
      <c r="B2388" s="1033" t="str">
        <f>'Jaringan Pipa Luar Gedung'!C1181</f>
        <v>9.2.2.12</v>
      </c>
      <c r="C2388" s="39" t="str">
        <f>VLOOKUP(B2388,'Jaringan Pipa Luar Gedung'!C:K,2,FALSE)</f>
        <v>Pemotongan 1 Buah Pipa Galvanis, DN. 32" (800 mm)</v>
      </c>
      <c r="D2388" s="9" t="s">
        <v>44</v>
      </c>
      <c r="E2388" s="1021">
        <f>VLOOKUP(C2388,'Jaringan Pipa Luar Gedung'!$D$2:$I$4288,6,FALSE)</f>
        <v>331000</v>
      </c>
      <c r="F2388" s="1003" t="str">
        <f>VLOOKUP(C2388,'Jaringan Pipa Luar Gedung'!$D$2:$J$4288,7,FALSE)</f>
        <v>Revisi</v>
      </c>
      <c r="G2388" s="12" t="str">
        <f>VLOOKUP(C2388,'Jaringan Pipa Luar Gedung'!$D$2:$K$4288,8,FALSE)</f>
        <v>Perubahan Diameter (Dia.) Menjadi Diameter Nominal (DN)</v>
      </c>
      <c r="H2388" s="374"/>
      <c r="I2388" s="16"/>
    </row>
    <row r="2389" spans="1:9" ht="24" customHeight="1">
      <c r="B2389" s="1033" t="str">
        <f>'Jaringan Pipa Luar Gedung'!C1197</f>
        <v>9.2.2.13</v>
      </c>
      <c r="C2389" s="39" t="str">
        <f>VLOOKUP(B2389,'Jaringan Pipa Luar Gedung'!C:K,2,FALSE)</f>
        <v>Pemotongan 1 Buah Pipa Galvanis, DN. 36" (900 mm)</v>
      </c>
      <c r="D2389" s="9" t="s">
        <v>44</v>
      </c>
      <c r="E2389" s="1021">
        <f>VLOOKUP(C2389,'Jaringan Pipa Luar Gedung'!$D$2:$I$4288,6,FALSE)</f>
        <v>379500</v>
      </c>
      <c r="F2389" s="1003" t="str">
        <f>VLOOKUP(C2389,'Jaringan Pipa Luar Gedung'!$D$2:$J$4288,7,FALSE)</f>
        <v>Revisi</v>
      </c>
      <c r="G2389" s="12" t="str">
        <f>VLOOKUP(C2389,'Jaringan Pipa Luar Gedung'!$D$2:$K$4288,8,FALSE)</f>
        <v>Perubahan Diameter (Dia.) Menjadi Diameter Nominal (DN)</v>
      </c>
      <c r="H2389" s="374"/>
      <c r="I2389" s="16"/>
    </row>
    <row r="2390" spans="1:9" ht="24" customHeight="1">
      <c r="B2390" s="1033" t="str">
        <f>'Jaringan Pipa Luar Gedung'!C1213</f>
        <v>9.2.2.14</v>
      </c>
      <c r="C2390" s="39" t="str">
        <f>VLOOKUP(B2390,'Jaringan Pipa Luar Gedung'!C:K,2,FALSE)</f>
        <v>Pemotongan 1 Buah Pipa Galvanis, DN. 40" (1000 mm)</v>
      </c>
      <c r="D2390" s="9" t="s">
        <v>44</v>
      </c>
      <c r="E2390" s="1021">
        <f>VLOOKUP(C2390,'Jaringan Pipa Luar Gedung'!$D$2:$I$4288,6,FALSE)</f>
        <v>425700</v>
      </c>
      <c r="F2390" s="1003" t="str">
        <f>VLOOKUP(C2390,'Jaringan Pipa Luar Gedung'!$D$2:$J$4288,7,FALSE)</f>
        <v>Revisi</v>
      </c>
      <c r="G2390" s="12" t="str">
        <f>VLOOKUP(C2390,'Jaringan Pipa Luar Gedung'!$D$2:$K$4288,8,FALSE)</f>
        <v>Perubahan Diameter (Dia.) Menjadi Diameter Nominal (DN)</v>
      </c>
      <c r="H2390" s="374"/>
      <c r="I2390" s="16"/>
    </row>
    <row r="2391" spans="1:9" ht="24" customHeight="1">
      <c r="B2391" s="1033" t="str">
        <f>'Jaringan Pipa Luar Gedung'!C1230</f>
        <v>9.2.2.15</v>
      </c>
      <c r="C2391" s="39" t="str">
        <f>VLOOKUP(B2391,'Jaringan Pipa Luar Gedung'!C:K,2,FALSE)</f>
        <v>Pemotongan 1 Buah Pipa Galvanis, DN. 44" (1100 mm)</v>
      </c>
      <c r="D2391" s="9" t="s">
        <v>44</v>
      </c>
      <c r="E2391" s="1021">
        <f>VLOOKUP(C2391,'Jaringan Pipa Luar Gedung'!$D$2:$I$4288,6,FALSE)</f>
        <v>469700</v>
      </c>
      <c r="F2391" s="1003" t="str">
        <f>VLOOKUP(C2391,'Jaringan Pipa Luar Gedung'!$D$2:$J$4288,7,FALSE)</f>
        <v>Revisi</v>
      </c>
      <c r="G2391" s="12" t="str">
        <f>VLOOKUP(C2391,'Jaringan Pipa Luar Gedung'!$D$2:$K$4288,8,FALSE)</f>
        <v>Perubahan Diameter (Dia.) Menjadi Diameter Nominal (DN)</v>
      </c>
      <c r="H2391" s="374"/>
      <c r="I2391" s="16"/>
    </row>
    <row r="2392" spans="1:9" ht="24" customHeight="1">
      <c r="B2392" s="1033" t="str">
        <f>'Jaringan Pipa Luar Gedung'!C1246</f>
        <v>9.2.2.16</v>
      </c>
      <c r="C2392" s="39" t="str">
        <f>VLOOKUP(B2392,'Jaringan Pipa Luar Gedung'!C:K,2,FALSE)</f>
        <v>Pemotongan 1 Buah Pipa Galvanis, DN. 48" (1200 mm)</v>
      </c>
      <c r="D2392" s="9" t="s">
        <v>44</v>
      </c>
      <c r="E2392" s="1021">
        <f>VLOOKUP(C2392,'Jaringan Pipa Luar Gedung'!$D$2:$I$4288,6,FALSE)</f>
        <v>520100</v>
      </c>
      <c r="F2392" s="1003" t="str">
        <f>VLOOKUP(C2392,'Jaringan Pipa Luar Gedung'!$D$2:$J$4288,7,FALSE)</f>
        <v>Revisi</v>
      </c>
      <c r="G2392" s="12" t="str">
        <f>VLOOKUP(C2392,'Jaringan Pipa Luar Gedung'!$D$2:$K$4288,8,FALSE)</f>
        <v>Perubahan Diameter (Dia.) Menjadi Diameter Nominal (DN)</v>
      </c>
      <c r="H2392" s="374"/>
      <c r="I2392" s="16"/>
    </row>
    <row r="2393" spans="1:9" s="1" customFormat="1" ht="24" customHeight="1">
      <c r="A2393" s="47"/>
      <c r="B2393" s="1043" t="str">
        <f>'Jaringan Pipa Luar Gedung'!C1262</f>
        <v xml:space="preserve">9.3 </v>
      </c>
      <c r="C2393" s="1001" t="str">
        <f>VLOOKUP(B2393,'Jaringan Pipa Luar Gedung'!C:K,2,FALSE)</f>
        <v>Pipa HDPE/PE</v>
      </c>
      <c r="D2393" s="994"/>
      <c r="E2393" s="1022">
        <f>VLOOKUP(C2393,'Jaringan Pipa Luar Gedung'!$D$2:$I$4288,6,FALSE)</f>
        <v>0</v>
      </c>
      <c r="F2393" s="1004">
        <f>VLOOKUP(C2393,'Jaringan Pipa Luar Gedung'!$D$2:$J$4288,7,FALSE)</f>
        <v>0</v>
      </c>
      <c r="G2393" s="36">
        <f>VLOOKUP(C2393,'Jaringan Pipa Luar Gedung'!$D$2:$K$4288,8,FALSE)</f>
        <v>0</v>
      </c>
      <c r="H2393" s="1092"/>
      <c r="I2393" s="21"/>
    </row>
    <row r="2394" spans="1:9" s="1" customFormat="1" ht="24" customHeight="1">
      <c r="A2394" s="47"/>
      <c r="B2394" s="1041" t="str">
        <f>'Jaringan Pipa Luar Gedung'!C1263</f>
        <v>9.3.1</v>
      </c>
      <c r="C2394" s="40" t="str">
        <f>VLOOKUP(B2394,'Jaringan Pipa Luar Gedung'!C:K,2,FALSE)</f>
        <v xml:space="preserve">Pemasangan Pipa HDPE </v>
      </c>
      <c r="D2394" s="19"/>
      <c r="E2394" s="1021">
        <f>VLOOKUP(C2394,'Jaringan Pipa Luar Gedung'!$D$2:$I$4288,6,FALSE)</f>
        <v>0</v>
      </c>
      <c r="F2394" s="1003">
        <f>VLOOKUP(C2394,'Jaringan Pipa Luar Gedung'!$D$2:$J$4288,7,FALSE)</f>
        <v>0</v>
      </c>
      <c r="G2394" s="12">
        <f>VLOOKUP(C2394,'Jaringan Pipa Luar Gedung'!$D$2:$K$4288,8,FALSE)</f>
        <v>0</v>
      </c>
      <c r="H2394" s="1092"/>
      <c r="I2394" s="21"/>
    </row>
    <row r="2395" spans="1:9" ht="24" customHeight="1">
      <c r="B2395" s="1033" t="str">
        <f>'Jaringan Pipa Luar Gedung'!C1264</f>
        <v>9.3.1.1</v>
      </c>
      <c r="C2395" s="39" t="str">
        <f>VLOOKUP(B2395,'Jaringan Pipa Luar Gedung'!C:K,2,FALSE)</f>
        <v>Pemasangan 1 m Pipa HDPE, DN. 2-1/2" (65 mm)</v>
      </c>
      <c r="D2395" s="9" t="s">
        <v>1300</v>
      </c>
      <c r="E2395" s="1021">
        <f>VLOOKUP(C2395,'Jaringan Pipa Luar Gedung'!$D$2:$I$4288,6,FALSE)</f>
        <v>36600</v>
      </c>
      <c r="F2395" s="1003" t="str">
        <f>VLOOKUP(C2395,'Jaringan Pipa Luar Gedung'!$D$2:$J$4288,7,FALSE)</f>
        <v>Revisi</v>
      </c>
      <c r="G2395" s="12" t="str">
        <f>VLOOKUP(C2395,'Jaringan Pipa Luar Gedung'!$D$2:$K$4288,8,FALSE)</f>
        <v>Perubahan Diameter (Dia.) Menjadi Diameter Nominal (DN)</v>
      </c>
      <c r="H2395" s="374"/>
      <c r="I2395" s="16"/>
    </row>
    <row r="2396" spans="1:9" ht="24" customHeight="1">
      <c r="B2396" s="1033" t="str">
        <f>'Jaringan Pipa Luar Gedung'!C1281</f>
        <v>9.3.1.2</v>
      </c>
      <c r="C2396" s="39" t="str">
        <f>VLOOKUP(B2396,'Jaringan Pipa Luar Gedung'!C:K,2,FALSE)</f>
        <v>Pemasangan 1 m Pipa HDPE, DN. 4" (100 mm)</v>
      </c>
      <c r="D2396" s="9" t="s">
        <v>1300</v>
      </c>
      <c r="E2396" s="1021">
        <f>VLOOKUP(C2396,'Jaringan Pipa Luar Gedung'!$D$2:$I$4288,6,FALSE)</f>
        <v>65300</v>
      </c>
      <c r="F2396" s="1003" t="str">
        <f>VLOOKUP(C2396,'Jaringan Pipa Luar Gedung'!$D$2:$J$4288,7,FALSE)</f>
        <v>Revisi</v>
      </c>
      <c r="G2396" s="12" t="str">
        <f>VLOOKUP(C2396,'Jaringan Pipa Luar Gedung'!$D$2:$K$4288,8,FALSE)</f>
        <v>Perubahan Diameter (Dia.) Menjadi Diameter Nominal (DN)</v>
      </c>
      <c r="H2396" s="374"/>
      <c r="I2396" s="16"/>
    </row>
    <row r="2397" spans="1:9" ht="24" customHeight="1">
      <c r="B2397" s="1033" t="str">
        <f>'Jaringan Pipa Luar Gedung'!C1298</f>
        <v>9.3.1.3</v>
      </c>
      <c r="C2397" s="39" t="str">
        <f>VLOOKUP(B2397,'Jaringan Pipa Luar Gedung'!C:K,2,FALSE)</f>
        <v>Pemasangan 1 m Pipa HDPE, DN. 5" (125 mm)</v>
      </c>
      <c r="D2397" s="9" t="s">
        <v>1300</v>
      </c>
      <c r="E2397" s="1021">
        <f>VLOOKUP(C2397,'Jaringan Pipa Luar Gedung'!$D$2:$I$4288,6,FALSE)</f>
        <v>75300</v>
      </c>
      <c r="F2397" s="1003" t="str">
        <f>VLOOKUP(C2397,'Jaringan Pipa Luar Gedung'!$D$2:$J$4288,7,FALSE)</f>
        <v>Revisi</v>
      </c>
      <c r="G2397" s="12" t="str">
        <f>VLOOKUP(C2397,'Jaringan Pipa Luar Gedung'!$D$2:$K$4288,8,FALSE)</f>
        <v>Perubahan Diameter (Dia.) Menjadi Diameter Nominal (DN)</v>
      </c>
      <c r="H2397" s="374"/>
      <c r="I2397" s="16"/>
    </row>
    <row r="2398" spans="1:9" ht="24" customHeight="1">
      <c r="B2398" s="1033" t="str">
        <f>'Jaringan Pipa Luar Gedung'!C1316</f>
        <v>9.3.1.4</v>
      </c>
      <c r="C2398" s="39" t="str">
        <f>VLOOKUP(B2398,'Jaringan Pipa Luar Gedung'!C:K,2,FALSE)</f>
        <v>Pemasangan 1 m Pipa HDPE, DN. 6" (150 mm)</v>
      </c>
      <c r="D2398" s="9" t="s">
        <v>1300</v>
      </c>
      <c r="E2398" s="1021">
        <f>VLOOKUP(C2398,'Jaringan Pipa Luar Gedung'!$D$2:$I$4288,6,FALSE)</f>
        <v>85100</v>
      </c>
      <c r="F2398" s="1003" t="str">
        <f>VLOOKUP(C2398,'Jaringan Pipa Luar Gedung'!$D$2:$J$4288,7,FALSE)</f>
        <v>Revisi</v>
      </c>
      <c r="G2398" s="12" t="str">
        <f>VLOOKUP(C2398,'Jaringan Pipa Luar Gedung'!$D$2:$K$4288,8,FALSE)</f>
        <v>Perubahan Diameter (Dia.) Menjadi Diameter Nominal (DN)</v>
      </c>
      <c r="H2398" s="374"/>
      <c r="I2398" s="16"/>
    </row>
    <row r="2399" spans="1:9" ht="24" customHeight="1">
      <c r="B2399" s="1033" t="str">
        <f>'Jaringan Pipa Luar Gedung'!C1333</f>
        <v>9.3.1.5</v>
      </c>
      <c r="C2399" s="39" t="str">
        <f>VLOOKUP(B2399,'Jaringan Pipa Luar Gedung'!C:K,2,FALSE)</f>
        <v>Pemasangan 1 m Pipa HDPE, DN. 8" (200 mm)</v>
      </c>
      <c r="D2399" s="9" t="s">
        <v>1300</v>
      </c>
      <c r="E2399" s="1021">
        <f>VLOOKUP(C2399,'Jaringan Pipa Luar Gedung'!$D$2:$I$4288,6,FALSE)</f>
        <v>105300</v>
      </c>
      <c r="F2399" s="1003" t="str">
        <f>VLOOKUP(C2399,'Jaringan Pipa Luar Gedung'!$D$2:$J$4288,7,FALSE)</f>
        <v>Revisi</v>
      </c>
      <c r="G2399" s="12" t="str">
        <f>VLOOKUP(C2399,'Jaringan Pipa Luar Gedung'!$D$2:$K$4288,8,FALSE)</f>
        <v>Perubahan Diameter (Dia.) Menjadi Diameter Nominal (DN)</v>
      </c>
      <c r="H2399" s="374"/>
      <c r="I2399" s="16"/>
    </row>
    <row r="2400" spans="1:9" ht="24" customHeight="1">
      <c r="B2400" s="1033" t="str">
        <f>'Jaringan Pipa Luar Gedung'!C1350</f>
        <v>9.3.1.6</v>
      </c>
      <c r="C2400" s="39" t="str">
        <f>VLOOKUP(B2400,'Jaringan Pipa Luar Gedung'!C:K,2,FALSE)</f>
        <v>Pemasangan 1 m Pipa HDPE, DN.10" (250 mm)</v>
      </c>
      <c r="D2400" s="9" t="s">
        <v>1300</v>
      </c>
      <c r="E2400" s="1021">
        <f>VLOOKUP(C2400,'Jaringan Pipa Luar Gedung'!$D$2:$I$4288,6,FALSE)</f>
        <v>122000</v>
      </c>
      <c r="F2400" s="1003" t="str">
        <f>VLOOKUP(C2400,'Jaringan Pipa Luar Gedung'!$D$2:$J$4288,7,FALSE)</f>
        <v>Revisi</v>
      </c>
      <c r="G2400" s="12" t="str">
        <f>VLOOKUP(C2400,'Jaringan Pipa Luar Gedung'!$D$2:$K$4288,8,FALSE)</f>
        <v>Perubahan Diameter (Dia.) Menjadi Diameter Nominal (DN)</v>
      </c>
      <c r="H2400" s="374"/>
      <c r="I2400" s="16"/>
    </row>
    <row r="2401" spans="2:9" ht="24" customHeight="1">
      <c r="B2401" s="1033" t="str">
        <f>'Jaringan Pipa Luar Gedung'!C1368</f>
        <v>9.3.1.7</v>
      </c>
      <c r="C2401" s="39" t="str">
        <f>VLOOKUP(B2401,'Jaringan Pipa Luar Gedung'!C:K,2,FALSE)</f>
        <v>Pemasangan 1 m Pipa HDPE, DN. 12" (300 mm)</v>
      </c>
      <c r="D2401" s="9" t="s">
        <v>1300</v>
      </c>
      <c r="E2401" s="1021">
        <f>VLOOKUP(C2401,'Jaringan Pipa Luar Gedung'!$D$2:$I$4288,6,FALSE)</f>
        <v>145400</v>
      </c>
      <c r="F2401" s="1003" t="str">
        <f>VLOOKUP(C2401,'Jaringan Pipa Luar Gedung'!$D$2:$J$4288,7,FALSE)</f>
        <v>Revisi</v>
      </c>
      <c r="G2401" s="12" t="str">
        <f>VLOOKUP(C2401,'Jaringan Pipa Luar Gedung'!$D$2:$K$4288,8,FALSE)</f>
        <v>Perubahan Diameter (Dia.) Menjadi Diameter Nominal (DN)</v>
      </c>
      <c r="H2401" s="374"/>
      <c r="I2401" s="16"/>
    </row>
    <row r="2402" spans="2:9" ht="24" customHeight="1">
      <c r="B2402" s="1033" t="str">
        <f>'Jaringan Pipa Luar Gedung'!C1385</f>
        <v>9.3.1.8</v>
      </c>
      <c r="C2402" s="39" t="str">
        <f>VLOOKUP(B2402,'Jaringan Pipa Luar Gedung'!C:K,2,FALSE)</f>
        <v>Pemasangan 1 m Pipa HDPE, DN. 16" (400 mm)</v>
      </c>
      <c r="D2402" s="9" t="s">
        <v>1300</v>
      </c>
      <c r="E2402" s="1021">
        <f>VLOOKUP(C2402,'Jaringan Pipa Luar Gedung'!$D$2:$I$4288,6,FALSE)</f>
        <v>188700</v>
      </c>
      <c r="F2402" s="1003" t="str">
        <f>VLOOKUP(C2402,'Jaringan Pipa Luar Gedung'!$D$2:$J$4288,7,FALSE)</f>
        <v>Revisi</v>
      </c>
      <c r="G2402" s="12" t="str">
        <f>VLOOKUP(C2402,'Jaringan Pipa Luar Gedung'!$D$2:$K$4288,8,FALSE)</f>
        <v>Perubahan Diameter (Dia.) Menjadi Diameter Nominal (DN)</v>
      </c>
      <c r="H2402" s="374"/>
      <c r="I2402" s="16"/>
    </row>
    <row r="2403" spans="2:9" ht="24" customHeight="1">
      <c r="B2403" s="1033" t="str">
        <f>'Jaringan Pipa Luar Gedung'!C1402</f>
        <v>9.3.1.9</v>
      </c>
      <c r="C2403" s="39" t="str">
        <f>VLOOKUP(B2403,'Jaringan Pipa Luar Gedung'!C:K,2,FALSE)</f>
        <v>Pemasangan 1 m Pipa HDPE, DN. 18" (450 mm)</v>
      </c>
      <c r="D2403" s="9" t="s">
        <v>1300</v>
      </c>
      <c r="E2403" s="1021">
        <f>VLOOKUP(C2403,'Jaringan Pipa Luar Gedung'!$D$2:$I$4288,6,FALSE)</f>
        <v>232700</v>
      </c>
      <c r="F2403" s="1003" t="str">
        <f>VLOOKUP(C2403,'Jaringan Pipa Luar Gedung'!$D$2:$J$4288,7,FALSE)</f>
        <v>Revisi</v>
      </c>
      <c r="G2403" s="12" t="str">
        <f>VLOOKUP(C2403,'Jaringan Pipa Luar Gedung'!$D$2:$K$4288,8,FALSE)</f>
        <v>Perubahan Diameter (Dia.) Menjadi Diameter Nominal (DN)</v>
      </c>
      <c r="H2403" s="374"/>
      <c r="I2403" s="16"/>
    </row>
    <row r="2404" spans="2:9" ht="24" customHeight="1">
      <c r="B2404" s="1033" t="str">
        <f>'Jaringan Pipa Luar Gedung'!C1419</f>
        <v>9.3.1.10</v>
      </c>
      <c r="C2404" s="39" t="str">
        <f>VLOOKUP(B2404,'Jaringan Pipa Luar Gedung'!C:K,2,FALSE)</f>
        <v>Pemasangan 1 m Pipa HDPE, DN. 20" (500 mm)</v>
      </c>
      <c r="D2404" s="9" t="s">
        <v>1300</v>
      </c>
      <c r="E2404" s="1021">
        <f>VLOOKUP(C2404,'Jaringan Pipa Luar Gedung'!$D$2:$I$4288,6,FALSE)</f>
        <v>274300</v>
      </c>
      <c r="F2404" s="1003" t="str">
        <f>VLOOKUP(C2404,'Jaringan Pipa Luar Gedung'!$D$2:$J$4288,7,FALSE)</f>
        <v>Revisi</v>
      </c>
      <c r="G2404" s="12" t="str">
        <f>VLOOKUP(C2404,'Jaringan Pipa Luar Gedung'!$D$2:$K$4288,8,FALSE)</f>
        <v>Perubahan Diameter (Dia.) Menjadi Diameter Nominal (DN)</v>
      </c>
      <c r="H2404" s="374"/>
      <c r="I2404" s="16"/>
    </row>
    <row r="2405" spans="2:9" ht="24" customHeight="1">
      <c r="B2405" s="1033" t="str">
        <f>'Jaringan Pipa Luar Gedung'!C1436</f>
        <v>9.3.1.11</v>
      </c>
      <c r="C2405" s="39" t="str">
        <f>VLOOKUP(B2405,'Jaringan Pipa Luar Gedung'!C:K,2,FALSE)</f>
        <v>Pemasangan 1 m Pipa HDPE, DN. 24" (600 mm)</v>
      </c>
      <c r="D2405" s="9" t="s">
        <v>1300</v>
      </c>
      <c r="E2405" s="1021">
        <f>VLOOKUP(C2405,'Jaringan Pipa Luar Gedung'!$D$2:$I$4288,6,FALSE)</f>
        <v>312400</v>
      </c>
      <c r="F2405" s="1003" t="str">
        <f>VLOOKUP(C2405,'Jaringan Pipa Luar Gedung'!$D$2:$J$4288,7,FALSE)</f>
        <v>Revisi</v>
      </c>
      <c r="G2405" s="12" t="str">
        <f>VLOOKUP(C2405,'Jaringan Pipa Luar Gedung'!$D$2:$K$4288,8,FALSE)</f>
        <v>Perubahan Diameter (Dia.) Menjadi Diameter Nominal (DN)</v>
      </c>
      <c r="H2405" s="374"/>
      <c r="I2405" s="16"/>
    </row>
    <row r="2406" spans="2:9" ht="24" customHeight="1">
      <c r="B2406" s="1033" t="str">
        <f>'Jaringan Pipa Luar Gedung'!C1453</f>
        <v>9.3.1.12</v>
      </c>
      <c r="C2406" s="39" t="str">
        <f>VLOOKUP(B2406,'Jaringan Pipa Luar Gedung'!C:K,2,FALSE)</f>
        <v>Pemasangan 1 m Pipa HDPE, DN. 32" (800 mm)</v>
      </c>
      <c r="D2406" s="9" t="s">
        <v>1300</v>
      </c>
      <c r="E2406" s="1021">
        <f>VLOOKUP(C2406,'Jaringan Pipa Luar Gedung'!$D$2:$I$4288,6,FALSE)</f>
        <v>429600</v>
      </c>
      <c r="F2406" s="1003" t="str">
        <f>VLOOKUP(C2406,'Jaringan Pipa Luar Gedung'!$D$2:$J$4288,7,FALSE)</f>
        <v>Revisi</v>
      </c>
      <c r="G2406" s="12" t="str">
        <f>VLOOKUP(C2406,'Jaringan Pipa Luar Gedung'!$D$2:$K$4288,8,FALSE)</f>
        <v>Perubahan Diameter (Dia.) Menjadi Diameter Nominal (DN)</v>
      </c>
      <c r="H2406" s="374"/>
      <c r="I2406" s="16"/>
    </row>
    <row r="2407" spans="2:9" ht="24" customHeight="1">
      <c r="B2407" s="1033" t="str">
        <f>'Jaringan Pipa Luar Gedung'!C1470</f>
        <v>9.3.1.13</v>
      </c>
      <c r="C2407" s="39" t="str">
        <f>VLOOKUP(B2407,'Jaringan Pipa Luar Gedung'!C:K,2,FALSE)</f>
        <v>Pemasangan 1 m Pipa HDPE, DN. 36" (900 mm)</v>
      </c>
      <c r="D2407" s="9" t="s">
        <v>1300</v>
      </c>
      <c r="E2407" s="1021">
        <f>VLOOKUP(C2407,'Jaringan Pipa Luar Gedung'!$D$2:$I$4288,6,FALSE)</f>
        <v>562300</v>
      </c>
      <c r="F2407" s="1003" t="str">
        <f>VLOOKUP(C2407,'Jaringan Pipa Luar Gedung'!$D$2:$J$4288,7,FALSE)</f>
        <v>Revisi</v>
      </c>
      <c r="G2407" s="12" t="str">
        <f>VLOOKUP(C2407,'Jaringan Pipa Luar Gedung'!$D$2:$K$4288,8,FALSE)</f>
        <v>Perubahan Diameter (Dia.) Menjadi Diameter Nominal (DN)</v>
      </c>
      <c r="H2407" s="374"/>
      <c r="I2407" s="16"/>
    </row>
    <row r="2408" spans="2:9" ht="24" customHeight="1">
      <c r="B2408" s="1033" t="str">
        <f>'Jaringan Pipa Luar Gedung'!C1487</f>
        <v>9.3.1.14</v>
      </c>
      <c r="C2408" s="39" t="str">
        <f>VLOOKUP(B2408,'Jaringan Pipa Luar Gedung'!C:K,2,FALSE)</f>
        <v>Pemasangan 1 m Pipa HDPE, DN. 40" (1000 mm)</v>
      </c>
      <c r="D2408" s="9" t="s">
        <v>1300</v>
      </c>
      <c r="E2408" s="1021">
        <f>VLOOKUP(C2408,'Jaringan Pipa Luar Gedung'!$D$2:$I$4288,6,FALSE)</f>
        <v>670500</v>
      </c>
      <c r="F2408" s="1003" t="str">
        <f>VLOOKUP(C2408,'Jaringan Pipa Luar Gedung'!$D$2:$J$4288,7,FALSE)</f>
        <v>Revisi</v>
      </c>
      <c r="G2408" s="12" t="str">
        <f>VLOOKUP(C2408,'Jaringan Pipa Luar Gedung'!$D$2:$K$4288,8,FALSE)</f>
        <v>Perubahan Diameter (Dia.) Menjadi Diameter Nominal (DN)</v>
      </c>
      <c r="H2408" s="374"/>
      <c r="I2408" s="16"/>
    </row>
    <row r="2409" spans="2:9" ht="24" customHeight="1">
      <c r="B2409" s="1033" t="str">
        <f>'Jaringan Pipa Luar Gedung'!C1504</f>
        <v>9.3.1.15</v>
      </c>
      <c r="C2409" s="39" t="str">
        <f>VLOOKUP(B2409,'Jaringan Pipa Luar Gedung'!C:K,2,FALSE)</f>
        <v>Pemasangan 1 m Pipa HDPE, DN. 44" (1100 mm)</v>
      </c>
      <c r="D2409" s="9" t="s">
        <v>1300</v>
      </c>
      <c r="E2409" s="1021">
        <f>VLOOKUP(C2409,'Jaringan Pipa Luar Gedung'!$D$2:$I$4288,6,FALSE)</f>
        <v>727900</v>
      </c>
      <c r="F2409" s="1003" t="str">
        <f>VLOOKUP(C2409,'Jaringan Pipa Luar Gedung'!$D$2:$J$4288,7,FALSE)</f>
        <v>Revisi</v>
      </c>
      <c r="G2409" s="12" t="str">
        <f>VLOOKUP(C2409,'Jaringan Pipa Luar Gedung'!$D$2:$K$4288,8,FALSE)</f>
        <v>Perubahan Diameter (Dia.) Menjadi Diameter Nominal (DN)</v>
      </c>
      <c r="H2409" s="374"/>
      <c r="I2409" s="16"/>
    </row>
    <row r="2410" spans="2:9" ht="24" customHeight="1">
      <c r="B2410" s="1033" t="str">
        <f>'Jaringan Pipa Luar Gedung'!C1521</f>
        <v>9.3.1.16</v>
      </c>
      <c r="C2410" s="39" t="str">
        <f>VLOOKUP(B2410,'Jaringan Pipa Luar Gedung'!C:K,2,FALSE)</f>
        <v>Pemasangan 1 m Pipa HDPE, DN. 48" (1200 mm)</v>
      </c>
      <c r="D2410" s="9" t="s">
        <v>1300</v>
      </c>
      <c r="E2410" s="1021">
        <f>VLOOKUP(C2410,'Jaringan Pipa Luar Gedung'!$D$2:$I$4288,6,FALSE)</f>
        <v>904100</v>
      </c>
      <c r="F2410" s="1003" t="str">
        <f>VLOOKUP(C2410,'Jaringan Pipa Luar Gedung'!$D$2:$J$4288,7,FALSE)</f>
        <v>Revisi</v>
      </c>
      <c r="G2410" s="12" t="str">
        <f>VLOOKUP(C2410,'Jaringan Pipa Luar Gedung'!$D$2:$K$4288,8,FALSE)</f>
        <v>Perubahan Diameter (Dia.) Menjadi Diameter Nominal (DN)</v>
      </c>
      <c r="H2410" s="374"/>
      <c r="I2410" s="16"/>
    </row>
    <row r="2411" spans="2:9" ht="24" customHeight="1">
      <c r="B2411" s="1033" t="str">
        <f>'Jaringan Pipa Luar Gedung'!C1538</f>
        <v>9.3.1.17</v>
      </c>
      <c r="C2411" s="39" t="str">
        <f>VLOOKUP(B2411,'Jaringan Pipa Luar Gedung'!C:K,2,FALSE)</f>
        <v>Pemasangan 1 m Pipa HDPE, DN. 1/2" (15 mm)</v>
      </c>
      <c r="D2411" s="9" t="s">
        <v>1300</v>
      </c>
      <c r="E2411" s="1021">
        <f>VLOOKUP(C2411,'Jaringan Pipa Luar Gedung'!$D$2:$I$4288,6,FALSE)</f>
        <v>18700</v>
      </c>
      <c r="F2411" s="1003" t="str">
        <f>VLOOKUP(C2411,'Jaringan Pipa Luar Gedung'!$D$2:$J$4288,7,FALSE)</f>
        <v>Revisi</v>
      </c>
      <c r="G2411" s="12" t="str">
        <f>VLOOKUP(C2411,'Jaringan Pipa Luar Gedung'!$D$2:$K$4288,8,FALSE)</f>
        <v>Perubahan Diameter (Dia.) Menjadi Diameter Nominal (DN)</v>
      </c>
      <c r="H2411" s="374"/>
      <c r="I2411" s="16"/>
    </row>
    <row r="2412" spans="2:9" ht="24" customHeight="1">
      <c r="B2412" s="1033" t="str">
        <f>'Jaringan Pipa Luar Gedung'!C1554</f>
        <v>9.3.1.18</v>
      </c>
      <c r="C2412" s="39" t="str">
        <f>VLOOKUP(B2412,'Jaringan Pipa Luar Gedung'!C:K,2,FALSE)</f>
        <v>Pemasangan 1 m Pipa HDPE, DN. 3/4" (20 mm)</v>
      </c>
      <c r="D2412" s="9" t="s">
        <v>1300</v>
      </c>
      <c r="E2412" s="1021">
        <f>VLOOKUP(C2412,'Jaringan Pipa Luar Gedung'!$D$2:$I$4288,6,FALSE)</f>
        <v>24200</v>
      </c>
      <c r="F2412" s="1003" t="str">
        <f>VLOOKUP(C2412,'Jaringan Pipa Luar Gedung'!$D$2:$J$4288,7,FALSE)</f>
        <v>Revisi</v>
      </c>
      <c r="G2412" s="12" t="str">
        <f>VLOOKUP(C2412,'Jaringan Pipa Luar Gedung'!$D$2:$K$4288,8,FALSE)</f>
        <v>Perubahan Diameter (Dia.) Menjadi Diameter Nominal (DN)</v>
      </c>
      <c r="H2412" s="374"/>
      <c r="I2412" s="16"/>
    </row>
    <row r="2413" spans="2:9" ht="24" customHeight="1">
      <c r="B2413" s="1033" t="str">
        <f>'Jaringan Pipa Luar Gedung'!C1571</f>
        <v>9.3.1.19</v>
      </c>
      <c r="C2413" s="39" t="str">
        <f>VLOOKUP(B2413,'Jaringan Pipa Luar Gedung'!C:K,2,FALSE)</f>
        <v>Pemasangan 1 m Pipa HDPE, DN. 1" (25 mm)</v>
      </c>
      <c r="D2413" s="9" t="s">
        <v>1300</v>
      </c>
      <c r="E2413" s="1021">
        <f>VLOOKUP(C2413,'Jaringan Pipa Luar Gedung'!$D$2:$I$4288,6,FALSE)</f>
        <v>28700</v>
      </c>
      <c r="F2413" s="1003" t="str">
        <f>VLOOKUP(C2413,'Jaringan Pipa Luar Gedung'!$D$2:$J$4288,7,FALSE)</f>
        <v>Revisi</v>
      </c>
      <c r="G2413" s="12" t="str">
        <f>VLOOKUP(C2413,'Jaringan Pipa Luar Gedung'!$D$2:$K$4288,8,FALSE)</f>
        <v>Perubahan Diameter (Dia.) Menjadi Diameter Nominal (DN)</v>
      </c>
      <c r="H2413" s="374"/>
      <c r="I2413" s="16"/>
    </row>
    <row r="2414" spans="2:9" ht="24" customHeight="1">
      <c r="B2414" s="1033" t="str">
        <f>'Jaringan Pipa Luar Gedung'!C1587</f>
        <v>9.3.1.20</v>
      </c>
      <c r="C2414" s="39" t="str">
        <f>VLOOKUP(B2414,'Jaringan Pipa Luar Gedung'!C:K,2,FALSE)</f>
        <v>Pemasangan 1 m Pipa HDPE, DN. 1-1/4" (32 mm)</v>
      </c>
      <c r="D2414" s="9" t="s">
        <v>1300</v>
      </c>
      <c r="E2414" s="1021">
        <f>VLOOKUP(C2414,'Jaringan Pipa Luar Gedung'!$D$2:$I$4288,6,FALSE)</f>
        <v>29800</v>
      </c>
      <c r="F2414" s="1003" t="str">
        <f>VLOOKUP(C2414,'Jaringan Pipa Luar Gedung'!$D$2:$J$4288,7,FALSE)</f>
        <v>Revisi</v>
      </c>
      <c r="G2414" s="12" t="str">
        <f>VLOOKUP(C2414,'Jaringan Pipa Luar Gedung'!$D$2:$K$4288,8,FALSE)</f>
        <v>Perubahan Diameter (Dia.) Menjadi Diameter Nominal (DN)</v>
      </c>
      <c r="H2414" s="374"/>
      <c r="I2414" s="16"/>
    </row>
    <row r="2415" spans="2:9" ht="24" customHeight="1">
      <c r="B2415" s="1033" t="str">
        <f>'Jaringan Pipa Luar Gedung'!C1603</f>
        <v>9.3.1.21</v>
      </c>
      <c r="C2415" s="39" t="str">
        <f>VLOOKUP(B2415,'Jaringan Pipa Luar Gedung'!C:K,2,FALSE)</f>
        <v>Pemasangan 1 m Pipa HDPE, DN. 1-1/2" (40 mm)</v>
      </c>
      <c r="D2415" s="9" t="s">
        <v>1300</v>
      </c>
      <c r="E2415" s="1021">
        <f>VLOOKUP(C2415,'Jaringan Pipa Luar Gedung'!$D$2:$I$4288,6,FALSE)</f>
        <v>30900</v>
      </c>
      <c r="F2415" s="1003" t="str">
        <f>VLOOKUP(C2415,'Jaringan Pipa Luar Gedung'!$D$2:$J$4288,7,FALSE)</f>
        <v>Revisi</v>
      </c>
      <c r="G2415" s="12" t="str">
        <f>VLOOKUP(C2415,'Jaringan Pipa Luar Gedung'!$D$2:$K$4288,8,FALSE)</f>
        <v>Perubahan Diameter (Dia.) Menjadi Diameter Nominal (DN)</v>
      </c>
      <c r="H2415" s="374"/>
      <c r="I2415" s="16"/>
    </row>
    <row r="2416" spans="2:9" ht="24" customHeight="1">
      <c r="B2416" s="1033" t="str">
        <f>'Jaringan Pipa Luar Gedung'!C1619</f>
        <v>9.3.1.22</v>
      </c>
      <c r="C2416" s="39" t="str">
        <f>VLOOKUP(B2416,'Jaringan Pipa Luar Gedung'!C:K,2,FALSE)</f>
        <v>Pemasangan 1 m Pipa HDPE, DN. 2" (50 mm)</v>
      </c>
      <c r="D2416" s="9" t="s">
        <v>1300</v>
      </c>
      <c r="E2416" s="1021">
        <f>VLOOKUP(C2416,'Jaringan Pipa Luar Gedung'!$D$2:$I$4288,6,FALSE)</f>
        <v>33300</v>
      </c>
      <c r="F2416" s="1003" t="str">
        <f>VLOOKUP(C2416,'Jaringan Pipa Luar Gedung'!$D$2:$J$4288,7,FALSE)</f>
        <v>Revisi</v>
      </c>
      <c r="G2416" s="12" t="str">
        <f>VLOOKUP(C2416,'Jaringan Pipa Luar Gedung'!$D$2:$K$4288,8,FALSE)</f>
        <v>Perubahan Diameter (Dia.) Menjadi Diameter Nominal (DN)</v>
      </c>
      <c r="H2416" s="374"/>
      <c r="I2416" s="16"/>
    </row>
    <row r="2417" spans="1:9" s="1" customFormat="1" ht="24" customHeight="1">
      <c r="A2417" s="47"/>
      <c r="B2417" s="1041" t="str">
        <f>'Jaringan Pipa Luar Gedung'!C1635</f>
        <v xml:space="preserve">9.3.2 </v>
      </c>
      <c r="C2417" s="40" t="str">
        <f>VLOOKUP(B2417,'Jaringan Pipa Luar Gedung'!C:K,2,FALSE)</f>
        <v xml:space="preserve">Pemotogan Pipa HDPE </v>
      </c>
      <c r="D2417" s="19"/>
      <c r="E2417" s="1021">
        <f>VLOOKUP(C2417,'Jaringan Pipa Luar Gedung'!$D$2:$I$4288,6,FALSE)</f>
        <v>0</v>
      </c>
      <c r="F2417" s="1003">
        <f>VLOOKUP(C2417,'Jaringan Pipa Luar Gedung'!$D$2:$J$4288,7,FALSE)</f>
        <v>0</v>
      </c>
      <c r="G2417" s="12">
        <f>VLOOKUP(C2417,'Jaringan Pipa Luar Gedung'!$D$2:$K$4288,8,FALSE)</f>
        <v>0</v>
      </c>
      <c r="H2417" s="1092"/>
      <c r="I2417" s="21"/>
    </row>
    <row r="2418" spans="1:9" ht="24" customHeight="1">
      <c r="B2418" s="1033" t="str">
        <f>'Jaringan Pipa Luar Gedung'!C1636</f>
        <v>9.3.2.1</v>
      </c>
      <c r="C2418" s="39" t="str">
        <f>VLOOKUP(B2418,'Jaringan Pipa Luar Gedung'!C:K,2,FALSE)</f>
        <v>Pemotongan 1 Buah Pipa HDPE, DN. 2-1/2" (65 mm)</v>
      </c>
      <c r="D2418" s="9" t="s">
        <v>44</v>
      </c>
      <c r="E2418" s="1021">
        <f>VLOOKUP(C2418,'Jaringan Pipa Luar Gedung'!$D$2:$I$4288,6,FALSE)</f>
        <v>700</v>
      </c>
      <c r="F2418" s="1003" t="str">
        <f>VLOOKUP(C2418,'Jaringan Pipa Luar Gedung'!$D$2:$J$4288,7,FALSE)</f>
        <v>Revisi</v>
      </c>
      <c r="G2418" s="12" t="str">
        <f>VLOOKUP(C2418,'Jaringan Pipa Luar Gedung'!$D$2:$K$4288,8,FALSE)</f>
        <v>Perubahan Diameter (Dia.) Menjadi Diameter Nominal (DN)</v>
      </c>
      <c r="H2418" s="374"/>
      <c r="I2418" s="16"/>
    </row>
    <row r="2419" spans="1:9" ht="24" customHeight="1">
      <c r="B2419" s="1033" t="str">
        <f>'Jaringan Pipa Luar Gedung'!C1652</f>
        <v>9.3.2.2</v>
      </c>
      <c r="C2419" s="39" t="str">
        <f>VLOOKUP(B2419,'Jaringan Pipa Luar Gedung'!C:K,2,FALSE)</f>
        <v>Pemotongan 1 Buah Pipa HDPE, DN. 4" (100 mm)</v>
      </c>
      <c r="D2419" s="9" t="s">
        <v>44</v>
      </c>
      <c r="E2419" s="1021">
        <f>VLOOKUP(C2419,'Jaringan Pipa Luar Gedung'!$D$2:$I$4288,6,FALSE)</f>
        <v>1600</v>
      </c>
      <c r="F2419" s="1003" t="str">
        <f>VLOOKUP(C2419,'Jaringan Pipa Luar Gedung'!$D$2:$J$4288,7,FALSE)</f>
        <v>Revisi</v>
      </c>
      <c r="G2419" s="12" t="str">
        <f>VLOOKUP(C2419,'Jaringan Pipa Luar Gedung'!$D$2:$K$4288,8,FALSE)</f>
        <v>Perubahan Diameter (Dia.) Menjadi Diameter Nominal (DN)</v>
      </c>
      <c r="H2419" s="374"/>
      <c r="I2419" s="16"/>
    </row>
    <row r="2420" spans="1:9" ht="24" customHeight="1">
      <c r="B2420" s="1033" t="str">
        <f>'Jaringan Pipa Luar Gedung'!C1668</f>
        <v>9.3.2.3</v>
      </c>
      <c r="C2420" s="39" t="str">
        <f>VLOOKUP(B2420,'Jaringan Pipa Luar Gedung'!C:K,2,FALSE)</f>
        <v>Pemotongan 1 Buah Pipa HDPE, DN. 5" (125 mm)</v>
      </c>
      <c r="D2420" s="9" t="s">
        <v>44</v>
      </c>
      <c r="E2420" s="1021">
        <f>VLOOKUP(C2420,'Jaringan Pipa Luar Gedung'!$D$2:$I$4288,6,FALSE)</f>
        <v>2400</v>
      </c>
      <c r="F2420" s="1003" t="str">
        <f>VLOOKUP(C2420,'Jaringan Pipa Luar Gedung'!$D$2:$J$4288,7,FALSE)</f>
        <v>Revisi</v>
      </c>
      <c r="G2420" s="12" t="str">
        <f>VLOOKUP(C2420,'Jaringan Pipa Luar Gedung'!$D$2:$K$4288,8,FALSE)</f>
        <v>Perubahan Diameter (Dia.) Menjadi Diameter Nominal (DN)</v>
      </c>
      <c r="H2420" s="374"/>
      <c r="I2420" s="16"/>
    </row>
    <row r="2421" spans="1:9" ht="24" customHeight="1">
      <c r="B2421" s="1033" t="str">
        <f>'Jaringan Pipa Luar Gedung'!C1684</f>
        <v>9.3.2.4</v>
      </c>
      <c r="C2421" s="39" t="str">
        <f>VLOOKUP(B2421,'Jaringan Pipa Luar Gedung'!C:K,2,FALSE)</f>
        <v>Pemotongan 1 Buah Pipa HDPE, DN. 6" (150 mm)</v>
      </c>
      <c r="D2421" s="9" t="s">
        <v>44</v>
      </c>
      <c r="E2421" s="1021">
        <f>VLOOKUP(C2421,'Jaringan Pipa Luar Gedung'!$D$2:$I$4288,6,FALSE)</f>
        <v>4000</v>
      </c>
      <c r="F2421" s="1003" t="str">
        <f>VLOOKUP(C2421,'Jaringan Pipa Luar Gedung'!$D$2:$J$4288,7,FALSE)</f>
        <v>Revisi</v>
      </c>
      <c r="G2421" s="12" t="str">
        <f>VLOOKUP(C2421,'Jaringan Pipa Luar Gedung'!$D$2:$K$4288,8,FALSE)</f>
        <v>Perubahan Diameter (Dia.) Menjadi Diameter Nominal (DN)</v>
      </c>
      <c r="H2421" s="374"/>
      <c r="I2421" s="16"/>
    </row>
    <row r="2422" spans="1:9" ht="24" customHeight="1">
      <c r="B2422" s="1033" t="str">
        <f>'Jaringan Pipa Luar Gedung'!C1700</f>
        <v>9.3.2.5</v>
      </c>
      <c r="C2422" s="39" t="str">
        <f>VLOOKUP(B2422,'Jaringan Pipa Luar Gedung'!C:K,2,FALSE)</f>
        <v>Pemotongan 1 Buah Pipa HDPE, DN. 8" (200 mm)</v>
      </c>
      <c r="D2422" s="9" t="s">
        <v>44</v>
      </c>
      <c r="E2422" s="1021">
        <f>VLOOKUP(C2422,'Jaringan Pipa Luar Gedung'!$D$2:$I$4288,6,FALSE)</f>
        <v>10200</v>
      </c>
      <c r="F2422" s="1003" t="str">
        <f>VLOOKUP(C2422,'Jaringan Pipa Luar Gedung'!$D$2:$J$4288,7,FALSE)</f>
        <v>Revisi</v>
      </c>
      <c r="G2422" s="12" t="str">
        <f>VLOOKUP(C2422,'Jaringan Pipa Luar Gedung'!$D$2:$K$4288,8,FALSE)</f>
        <v>Perubahan Diameter (Dia.) Menjadi Diameter Nominal (DN)</v>
      </c>
      <c r="H2422" s="374"/>
      <c r="I2422" s="16"/>
    </row>
    <row r="2423" spans="1:9" ht="24" customHeight="1">
      <c r="B2423" s="1033" t="str">
        <f>'Jaringan Pipa Luar Gedung'!C1716</f>
        <v>9.3.2.6</v>
      </c>
      <c r="C2423" s="39" t="str">
        <f>VLOOKUP(B2423,'Jaringan Pipa Luar Gedung'!C:K,2,FALSE)</f>
        <v>Pemotongan 1 Buah Pipa HDPE, DN. 10" (250 mm)</v>
      </c>
      <c r="D2423" s="9" t="s">
        <v>44</v>
      </c>
      <c r="E2423" s="1021">
        <f>VLOOKUP(C2423,'Jaringan Pipa Luar Gedung'!$D$2:$I$4288,6,FALSE)</f>
        <v>15400</v>
      </c>
      <c r="F2423" s="1003" t="str">
        <f>VLOOKUP(C2423,'Jaringan Pipa Luar Gedung'!$D$2:$J$4288,7,FALSE)</f>
        <v>Revisi</v>
      </c>
      <c r="G2423" s="12" t="str">
        <f>VLOOKUP(C2423,'Jaringan Pipa Luar Gedung'!$D$2:$K$4288,8,FALSE)</f>
        <v>Perubahan Diameter (Dia.) Menjadi Diameter Nominal (DN)</v>
      </c>
      <c r="H2423" s="374"/>
      <c r="I2423" s="16"/>
    </row>
    <row r="2424" spans="1:9" ht="24" customHeight="1">
      <c r="B2424" s="1033" t="str">
        <f>'Jaringan Pipa Luar Gedung'!C1732</f>
        <v>9.3.2.7</v>
      </c>
      <c r="C2424" s="39" t="str">
        <f>VLOOKUP(B2424,'Jaringan Pipa Luar Gedung'!C:K,2,FALSE)</f>
        <v>Pemotongan 1 Buah Pipa HDPE, DN. 12" (300 mm)</v>
      </c>
      <c r="D2424" s="9" t="s">
        <v>44</v>
      </c>
      <c r="E2424" s="1021">
        <f>VLOOKUP(C2424,'Jaringan Pipa Luar Gedung'!$D$2:$I$4288,6,FALSE)</f>
        <v>20600</v>
      </c>
      <c r="F2424" s="1003" t="str">
        <f>VLOOKUP(C2424,'Jaringan Pipa Luar Gedung'!$D$2:$J$4288,7,FALSE)</f>
        <v>Revisi</v>
      </c>
      <c r="G2424" s="12" t="str">
        <f>VLOOKUP(C2424,'Jaringan Pipa Luar Gedung'!$D$2:$K$4288,8,FALSE)</f>
        <v>Perubahan Diameter (Dia.) Menjadi Diameter Nominal (DN)</v>
      </c>
      <c r="H2424" s="374"/>
      <c r="I2424" s="16"/>
    </row>
    <row r="2425" spans="1:9" ht="24" customHeight="1">
      <c r="B2425" s="1033" t="str">
        <f>'Jaringan Pipa Luar Gedung'!C1748</f>
        <v>9.3.2.8</v>
      </c>
      <c r="C2425" s="39" t="str">
        <f>VLOOKUP(B2425,'Jaringan Pipa Luar Gedung'!C:K,2,FALSE)</f>
        <v>Pemotongan 1 Buah Pipa HDPE, DN. 16" (400 mm)</v>
      </c>
      <c r="D2425" s="9" t="s">
        <v>44</v>
      </c>
      <c r="E2425" s="1021">
        <f>VLOOKUP(C2425,'Jaringan Pipa Luar Gedung'!$D$2:$I$4288,6,FALSE)</f>
        <v>40200</v>
      </c>
      <c r="F2425" s="1003" t="str">
        <f>VLOOKUP(C2425,'Jaringan Pipa Luar Gedung'!$D$2:$J$4288,7,FALSE)</f>
        <v>Revisi</v>
      </c>
      <c r="G2425" s="12" t="str">
        <f>VLOOKUP(C2425,'Jaringan Pipa Luar Gedung'!$D$2:$K$4288,8,FALSE)</f>
        <v>Perubahan Diameter (Dia.) Menjadi Diameter Nominal (DN)</v>
      </c>
      <c r="H2425" s="374"/>
      <c r="I2425" s="16"/>
    </row>
    <row r="2426" spans="1:9" ht="24" customHeight="1">
      <c r="B2426" s="1033" t="str">
        <f>'Jaringan Pipa Luar Gedung'!C1764</f>
        <v>9.3.2.9</v>
      </c>
      <c r="C2426" s="39" t="str">
        <f>VLOOKUP(B2426,'Jaringan Pipa Luar Gedung'!C:K,2,FALSE)</f>
        <v>Pemotongan 1 Buah Pipa HDPE, DN. 18" (450 mm)</v>
      </c>
      <c r="D2426" s="9" t="s">
        <v>44</v>
      </c>
      <c r="E2426" s="1021">
        <f>VLOOKUP(C2426,'Jaringan Pipa Luar Gedung'!$D$2:$I$4288,6,FALSE)</f>
        <v>51300</v>
      </c>
      <c r="F2426" s="1003" t="str">
        <f>VLOOKUP(C2426,'Jaringan Pipa Luar Gedung'!$D$2:$J$4288,7,FALSE)</f>
        <v>Revisi</v>
      </c>
      <c r="G2426" s="12" t="str">
        <f>VLOOKUP(C2426,'Jaringan Pipa Luar Gedung'!$D$2:$K$4288,8,FALSE)</f>
        <v>Perubahan Diameter (Dia.) Menjadi Diameter Nominal (DN)</v>
      </c>
      <c r="H2426" s="374"/>
      <c r="I2426" s="16"/>
    </row>
    <row r="2427" spans="1:9" ht="24" customHeight="1">
      <c r="B2427" s="1033" t="str">
        <f>'Jaringan Pipa Luar Gedung'!C1780</f>
        <v>9.3.2.10</v>
      </c>
      <c r="C2427" s="39" t="str">
        <f>VLOOKUP(B2427,'Jaringan Pipa Luar Gedung'!C:K,2,FALSE)</f>
        <v>Pemotongan 1 Buah Pipa HDPE, DN. 20" (500 mm)</v>
      </c>
      <c r="D2427" s="9" t="s">
        <v>44</v>
      </c>
      <c r="E2427" s="1021">
        <f>VLOOKUP(C2427,'Jaringan Pipa Luar Gedung'!$D$2:$I$4288,6,FALSE)</f>
        <v>63000</v>
      </c>
      <c r="F2427" s="1003" t="str">
        <f>VLOOKUP(C2427,'Jaringan Pipa Luar Gedung'!$D$2:$J$4288,7,FALSE)</f>
        <v>Revisi</v>
      </c>
      <c r="G2427" s="12" t="str">
        <f>VLOOKUP(C2427,'Jaringan Pipa Luar Gedung'!$D$2:$K$4288,8,FALSE)</f>
        <v>Perubahan Diameter (Dia.) Menjadi Diameter Nominal (DN)</v>
      </c>
      <c r="H2427" s="374"/>
      <c r="I2427" s="16"/>
    </row>
    <row r="2428" spans="1:9" ht="24" customHeight="1">
      <c r="B2428" s="1033" t="str">
        <f>'Jaringan Pipa Luar Gedung'!C1796</f>
        <v>9.3.2.11</v>
      </c>
      <c r="C2428" s="39" t="str">
        <f>VLOOKUP(B2428,'Jaringan Pipa Luar Gedung'!C:K,2,FALSE)</f>
        <v>Pemotongan 1 Buah Pipa HDPE, DN. 24" (600 mm)</v>
      </c>
      <c r="D2428" s="9" t="s">
        <v>44</v>
      </c>
      <c r="E2428" s="1021">
        <f>VLOOKUP(C2428,'Jaringan Pipa Luar Gedung'!$D$2:$I$4288,6,FALSE)</f>
        <v>75500</v>
      </c>
      <c r="F2428" s="1003" t="str">
        <f>VLOOKUP(C2428,'Jaringan Pipa Luar Gedung'!$D$2:$J$4288,7,FALSE)</f>
        <v>Revisi</v>
      </c>
      <c r="G2428" s="12" t="str">
        <f>VLOOKUP(C2428,'Jaringan Pipa Luar Gedung'!$D$2:$K$4288,8,FALSE)</f>
        <v>Perubahan Diameter (Dia.) Menjadi Diameter Nominal (DN)</v>
      </c>
      <c r="H2428" s="374"/>
      <c r="I2428" s="16"/>
    </row>
    <row r="2429" spans="1:9" ht="24" customHeight="1">
      <c r="B2429" s="1033" t="str">
        <f>'Jaringan Pipa Luar Gedung'!C1812</f>
        <v>9.3.2.12</v>
      </c>
      <c r="C2429" s="39" t="str">
        <f>VLOOKUP(B2429,'Jaringan Pipa Luar Gedung'!C:K,2,FALSE)</f>
        <v>Pemotongan 1 Buah Pipa HDPE, DN. 32" (800 mm)</v>
      </c>
      <c r="D2429" s="9" t="s">
        <v>44</v>
      </c>
      <c r="E2429" s="1021">
        <f>VLOOKUP(C2429,'Jaringan Pipa Luar Gedung'!$D$2:$I$4288,6,FALSE)</f>
        <v>136100</v>
      </c>
      <c r="F2429" s="1003" t="str">
        <f>VLOOKUP(C2429,'Jaringan Pipa Luar Gedung'!$D$2:$J$4288,7,FALSE)</f>
        <v>Revisi</v>
      </c>
      <c r="G2429" s="12" t="str">
        <f>VLOOKUP(C2429,'Jaringan Pipa Luar Gedung'!$D$2:$K$4288,8,FALSE)</f>
        <v>Perubahan Diameter (Dia.) Menjadi Diameter Nominal (DN)</v>
      </c>
      <c r="H2429" s="374"/>
      <c r="I2429" s="16"/>
    </row>
    <row r="2430" spans="1:9" ht="24" customHeight="1">
      <c r="B2430" s="1033" t="str">
        <f>'Jaringan Pipa Luar Gedung'!C1828</f>
        <v>9.3.2.13</v>
      </c>
      <c r="C2430" s="39" t="str">
        <f>VLOOKUP(B2430,'Jaringan Pipa Luar Gedung'!C:K,2,FALSE)</f>
        <v>Pemotongan 1 Buah Pipa HDPE, DN. 36" (900 mm)</v>
      </c>
      <c r="D2430" s="9" t="s">
        <v>44</v>
      </c>
      <c r="E2430" s="1021">
        <f>VLOOKUP(C2430,'Jaringan Pipa Luar Gedung'!$D$2:$I$4288,6,FALSE)</f>
        <v>208400</v>
      </c>
      <c r="F2430" s="1003" t="str">
        <f>VLOOKUP(C2430,'Jaringan Pipa Luar Gedung'!$D$2:$J$4288,7,FALSE)</f>
        <v>Revisi</v>
      </c>
      <c r="G2430" s="12" t="str">
        <f>VLOOKUP(C2430,'Jaringan Pipa Luar Gedung'!$D$2:$K$4288,8,FALSE)</f>
        <v>Perubahan Diameter (Dia.) Menjadi Diameter Nominal (DN)</v>
      </c>
      <c r="H2430" s="374"/>
      <c r="I2430" s="16"/>
    </row>
    <row r="2431" spans="1:9" ht="24" customHeight="1">
      <c r="B2431" s="1033" t="str">
        <f>'Jaringan Pipa Luar Gedung'!C1845</f>
        <v>9.3.2.14</v>
      </c>
      <c r="C2431" s="39" t="str">
        <f>VLOOKUP(B2431,'Jaringan Pipa Luar Gedung'!C:K,2,FALSE)</f>
        <v>Pemotongan 1 Buah Pipa HDPE, DN. 40" (1000 mm)</v>
      </c>
      <c r="D2431" s="9" t="s">
        <v>44</v>
      </c>
      <c r="E2431" s="1021">
        <f>VLOOKUP(C2431,'Jaringan Pipa Luar Gedung'!$D$2:$I$4288,6,FALSE)</f>
        <v>256000</v>
      </c>
      <c r="F2431" s="1003" t="str">
        <f>VLOOKUP(C2431,'Jaringan Pipa Luar Gedung'!$D$2:$J$4288,7,FALSE)</f>
        <v>Revisi</v>
      </c>
      <c r="G2431" s="12" t="str">
        <f>VLOOKUP(C2431,'Jaringan Pipa Luar Gedung'!$D$2:$K$4288,8,FALSE)</f>
        <v>Perubahan Diameter (Dia.) Menjadi Diameter Nominal (DN)</v>
      </c>
      <c r="H2431" s="374"/>
      <c r="I2431" s="16"/>
    </row>
    <row r="2432" spans="1:9" ht="24" customHeight="1">
      <c r="B2432" s="1033" t="str">
        <f>'Jaringan Pipa Luar Gedung'!C1861</f>
        <v>9.3.2.15</v>
      </c>
      <c r="C2432" s="39" t="str">
        <f>VLOOKUP(B2432,'Jaringan Pipa Luar Gedung'!C:K,2,FALSE)</f>
        <v>Pemotongan 1 Buah Pipa HDPE, DN. 44" (1100 mm)</v>
      </c>
      <c r="D2432" s="9" t="s">
        <v>44</v>
      </c>
      <c r="E2432" s="1021">
        <f>VLOOKUP(C2432,'Jaringan Pipa Luar Gedung'!$D$2:$I$4288,6,FALSE)</f>
        <v>280000</v>
      </c>
      <c r="F2432" s="1003" t="str">
        <f>VLOOKUP(C2432,'Jaringan Pipa Luar Gedung'!$D$2:$J$4288,7,FALSE)</f>
        <v>Revisi</v>
      </c>
      <c r="G2432" s="12" t="str">
        <f>VLOOKUP(C2432,'Jaringan Pipa Luar Gedung'!$D$2:$K$4288,8,FALSE)</f>
        <v>Perubahan Diameter (Dia.) Menjadi Diameter Nominal (DN)</v>
      </c>
      <c r="H2432" s="374"/>
      <c r="I2432" s="16"/>
    </row>
    <row r="2433" spans="1:9" ht="24" customHeight="1">
      <c r="B2433" s="1033" t="str">
        <f>'Jaringan Pipa Luar Gedung'!C1877</f>
        <v>9.3.2.16</v>
      </c>
      <c r="C2433" s="39" t="str">
        <f>VLOOKUP(B2433,'Jaringan Pipa Luar Gedung'!C:K,2,FALSE)</f>
        <v>Pemotongan 1 Buah Pipa HDPE, DN. 48" (1200 mm)</v>
      </c>
      <c r="D2433" s="9" t="s">
        <v>44</v>
      </c>
      <c r="E2433" s="1021">
        <f>VLOOKUP(C2433,'Jaringan Pipa Luar Gedung'!$D$2:$I$4288,6,FALSE)</f>
        <v>366000</v>
      </c>
      <c r="F2433" s="1003" t="str">
        <f>VLOOKUP(C2433,'Jaringan Pipa Luar Gedung'!$D$2:$J$4288,7,FALSE)</f>
        <v>Revisi</v>
      </c>
      <c r="G2433" s="12" t="str">
        <f>VLOOKUP(C2433,'Jaringan Pipa Luar Gedung'!$D$2:$K$4288,8,FALSE)</f>
        <v>Perubahan Diameter (Dia.) Menjadi Diameter Nominal (DN)</v>
      </c>
      <c r="H2433" s="374"/>
      <c r="I2433" s="16"/>
    </row>
    <row r="2434" spans="1:9" s="1" customFormat="1" ht="24" customHeight="1">
      <c r="A2434" s="47"/>
      <c r="B2434" s="1043" t="str">
        <f>'Jaringan Pipa Luar Gedung'!C1893</f>
        <v>9.4</v>
      </c>
      <c r="C2434" s="1001" t="str">
        <f>VLOOKUP(B2434,'Jaringan Pipa Luar Gedung'!C:K,2,FALSE)</f>
        <v>PIPA DCI (DUCTILE CAST IRON)</v>
      </c>
      <c r="D2434" s="994"/>
      <c r="E2434" s="1022">
        <f>VLOOKUP(C2434,'Jaringan Pipa Luar Gedung'!$D$2:$I$4288,6,FALSE)</f>
        <v>0</v>
      </c>
      <c r="F2434" s="1004">
        <f>VLOOKUP(C2434,'Jaringan Pipa Luar Gedung'!$D$2:$J$4288,7,FALSE)</f>
        <v>0</v>
      </c>
      <c r="G2434" s="36">
        <f>VLOOKUP(C2434,'Jaringan Pipa Luar Gedung'!$D$2:$K$4288,8,FALSE)</f>
        <v>0</v>
      </c>
      <c r="H2434" s="1092"/>
      <c r="I2434" s="21"/>
    </row>
    <row r="2435" spans="1:9" s="1" customFormat="1" ht="24" customHeight="1">
      <c r="A2435" s="47"/>
      <c r="B2435" s="1041" t="str">
        <f>'Jaringan Pipa Luar Gedung'!C1894</f>
        <v>9.4.1</v>
      </c>
      <c r="C2435" s="40" t="str">
        <f>VLOOKUP(B2435,'Jaringan Pipa Luar Gedung'!C:K,2,FALSE)</f>
        <v>Pemasangan Pipa DCI</v>
      </c>
      <c r="D2435" s="19"/>
      <c r="E2435" s="1021">
        <f>VLOOKUP(C2435,'Jaringan Pipa Luar Gedung'!$D$2:$I$4288,6,FALSE)</f>
        <v>0</v>
      </c>
      <c r="F2435" s="1003">
        <f>VLOOKUP(C2435,'Jaringan Pipa Luar Gedung'!$D$2:$J$4288,7,FALSE)</f>
        <v>0</v>
      </c>
      <c r="G2435" s="12">
        <f>VLOOKUP(C2435,'Jaringan Pipa Luar Gedung'!$D$2:$K$4288,8,FALSE)</f>
        <v>0</v>
      </c>
      <c r="H2435" s="1092"/>
      <c r="I2435" s="21"/>
    </row>
    <row r="2436" spans="1:9" ht="24" customHeight="1">
      <c r="B2436" s="1033" t="str">
        <f>'Jaringan Pipa Luar Gedung'!C1895</f>
        <v>9.4.1.1</v>
      </c>
      <c r="C2436" s="39" t="str">
        <f>VLOOKUP(B2436,'Jaringan Pipa Luar Gedung'!C:K,2,FALSE)</f>
        <v>Pemasangan 1 m Pipa DCI, DN. 4" (100 mm)</v>
      </c>
      <c r="D2436" s="9" t="s">
        <v>1300</v>
      </c>
      <c r="E2436" s="1021">
        <f>VLOOKUP(C2436,'Jaringan Pipa Luar Gedung'!$D$2:$I$4288,6,FALSE)</f>
        <v>1313400</v>
      </c>
      <c r="F2436" s="1003" t="str">
        <f>VLOOKUP(C2436,'Jaringan Pipa Luar Gedung'!$D$2:$J$4288,7,FALSE)</f>
        <v>Revisi</v>
      </c>
      <c r="G2436" s="12" t="str">
        <f>VLOOKUP(C2436,'Jaringan Pipa Luar Gedung'!$D$2:$K$4288,8,FALSE)</f>
        <v>Perubahan Diameter (Dia.) Menjadi Diameter Nominal (DN)</v>
      </c>
      <c r="H2436" s="374"/>
      <c r="I2436" s="16"/>
    </row>
    <row r="2437" spans="1:9" ht="24" customHeight="1">
      <c r="B2437" s="1033" t="str">
        <f>'Jaringan Pipa Luar Gedung'!C1912</f>
        <v>9.4.1.2</v>
      </c>
      <c r="C2437" s="39" t="str">
        <f>VLOOKUP(B2437,'Jaringan Pipa Luar Gedung'!C:K,2,FALSE)</f>
        <v>Pemasangan 1 m Pipa DCI, DN. 5" (125 mm)</v>
      </c>
      <c r="D2437" s="9" t="s">
        <v>1300</v>
      </c>
      <c r="E2437" s="1021">
        <f>VLOOKUP(C2437,'Jaringan Pipa Luar Gedung'!$D$2:$I$4288,6,FALSE)</f>
        <v>1341100</v>
      </c>
      <c r="F2437" s="1003" t="str">
        <f>VLOOKUP(C2437,'Jaringan Pipa Luar Gedung'!$D$2:$J$4288,7,FALSE)</f>
        <v>Revisi</v>
      </c>
      <c r="G2437" s="12" t="str">
        <f>VLOOKUP(C2437,'Jaringan Pipa Luar Gedung'!$D$2:$K$4288,8,FALSE)</f>
        <v>Perubahan Diameter (Dia.) Menjadi Diameter Nominal (DN)</v>
      </c>
      <c r="H2437" s="374"/>
      <c r="I2437" s="16"/>
    </row>
    <row r="2438" spans="1:9" ht="24" customHeight="1">
      <c r="B2438" s="1033" t="str">
        <f>'Jaringan Pipa Luar Gedung'!C1929</f>
        <v>9.4.1.3</v>
      </c>
      <c r="C2438" s="39" t="str">
        <f>VLOOKUP(B2438,'Jaringan Pipa Luar Gedung'!C:K,2,FALSE)</f>
        <v>Pemasangan 1 m Pipa DCI, DN. 6" (150 mm)</v>
      </c>
      <c r="D2438" s="9" t="s">
        <v>1300</v>
      </c>
      <c r="E2438" s="1021">
        <f>VLOOKUP(C2438,'Jaringan Pipa Luar Gedung'!$D$2:$I$4288,6,FALSE)</f>
        <v>1571500</v>
      </c>
      <c r="F2438" s="1003" t="str">
        <f>VLOOKUP(C2438,'Jaringan Pipa Luar Gedung'!$D$2:$J$4288,7,FALSE)</f>
        <v>Revisi</v>
      </c>
      <c r="G2438" s="12" t="str">
        <f>VLOOKUP(C2438,'Jaringan Pipa Luar Gedung'!$D$2:$K$4288,8,FALSE)</f>
        <v>Perubahan Diameter (Dia.) Menjadi Diameter Nominal (DN)</v>
      </c>
      <c r="H2438" s="374"/>
      <c r="I2438" s="16"/>
    </row>
    <row r="2439" spans="1:9" ht="24" customHeight="1">
      <c r="B2439" s="1033" t="str">
        <f>'Jaringan Pipa Luar Gedung'!C1946</f>
        <v>9.4.1.4</v>
      </c>
      <c r="C2439" s="39" t="str">
        <f>VLOOKUP(B2439,'Jaringan Pipa Luar Gedung'!C:K,2,FALSE)</f>
        <v>Pemasangan 1 m Pipa DCI, DN. 8" (200 mm)</v>
      </c>
      <c r="D2439" s="9" t="s">
        <v>1300</v>
      </c>
      <c r="E2439" s="1021">
        <f>VLOOKUP(C2439,'Jaringan Pipa Luar Gedung'!$D$2:$I$4288,6,FALSE)</f>
        <v>1774500</v>
      </c>
      <c r="F2439" s="1003" t="str">
        <f>VLOOKUP(C2439,'Jaringan Pipa Luar Gedung'!$D$2:$J$4288,7,FALSE)</f>
        <v>Revisi</v>
      </c>
      <c r="G2439" s="12" t="str">
        <f>VLOOKUP(C2439,'Jaringan Pipa Luar Gedung'!$D$2:$K$4288,8,FALSE)</f>
        <v>Perubahan Diameter (Dia.) Menjadi Diameter Nominal (DN)</v>
      </c>
      <c r="H2439" s="374"/>
      <c r="I2439" s="16"/>
    </row>
    <row r="2440" spans="1:9" ht="24" customHeight="1">
      <c r="B2440" s="1033" t="str">
        <f>'Jaringan Pipa Luar Gedung'!C1963</f>
        <v>9.4.1.5</v>
      </c>
      <c r="C2440" s="39" t="str">
        <f>VLOOKUP(B2440,'Jaringan Pipa Luar Gedung'!C:K,2,FALSE)</f>
        <v>Pemasangan 1 m Pipa DCI, DN. 10" (250 mm)</v>
      </c>
      <c r="D2440" s="9" t="s">
        <v>1300</v>
      </c>
      <c r="E2440" s="1021">
        <f>VLOOKUP(C2440,'Jaringan Pipa Luar Gedung'!$D$2:$I$4288,6,FALSE)</f>
        <v>1882400</v>
      </c>
      <c r="F2440" s="1003" t="str">
        <f>VLOOKUP(C2440,'Jaringan Pipa Luar Gedung'!$D$2:$J$4288,7,FALSE)</f>
        <v>Revisi</v>
      </c>
      <c r="G2440" s="12" t="str">
        <f>VLOOKUP(C2440,'Jaringan Pipa Luar Gedung'!$D$2:$K$4288,8,FALSE)</f>
        <v>Perubahan Diameter (Dia.) Menjadi Diameter Nominal (DN)</v>
      </c>
      <c r="H2440" s="374"/>
      <c r="I2440" s="16"/>
    </row>
    <row r="2441" spans="1:9" ht="24" customHeight="1">
      <c r="B2441" s="1033" t="str">
        <f>'Jaringan Pipa Luar Gedung'!C1980</f>
        <v>9.4.1.6</v>
      </c>
      <c r="C2441" s="39" t="str">
        <f>VLOOKUP(B2441,'Jaringan Pipa Luar Gedung'!C:K,2,FALSE)</f>
        <v>Pemasangan 1 m Pipa DCI, DN. 12" (300 mm)</v>
      </c>
      <c r="D2441" s="9" t="s">
        <v>1300</v>
      </c>
      <c r="E2441" s="1021">
        <f>VLOOKUP(C2441,'Jaringan Pipa Luar Gedung'!$D$2:$I$4288,6,FALSE)</f>
        <v>1965400</v>
      </c>
      <c r="F2441" s="1003" t="str">
        <f>VLOOKUP(C2441,'Jaringan Pipa Luar Gedung'!$D$2:$J$4288,7,FALSE)</f>
        <v>Revisi</v>
      </c>
      <c r="G2441" s="12" t="str">
        <f>VLOOKUP(C2441,'Jaringan Pipa Luar Gedung'!$D$2:$K$4288,8,FALSE)</f>
        <v>Perubahan Diameter (Dia.) Menjadi Diameter Nominal (DN)</v>
      </c>
      <c r="H2441" s="374"/>
      <c r="I2441" s="16"/>
    </row>
    <row r="2442" spans="1:9" ht="24" customHeight="1">
      <c r="B2442" s="1033" t="str">
        <f>'Jaringan Pipa Luar Gedung'!C1997</f>
        <v>9.4.1.7</v>
      </c>
      <c r="C2442" s="39" t="str">
        <f>VLOOKUP(B2442,'Jaringan Pipa Luar Gedung'!C:K,2,FALSE)</f>
        <v>Pemasangan 1 m Pipa DCI, DN. 16" (400 mm)</v>
      </c>
      <c r="D2442" s="9" t="s">
        <v>1300</v>
      </c>
      <c r="E2442" s="1021">
        <f>VLOOKUP(C2442,'Jaringan Pipa Luar Gedung'!$D$2:$I$4288,6,FALSE)</f>
        <v>2345900</v>
      </c>
      <c r="F2442" s="1003" t="str">
        <f>VLOOKUP(C2442,'Jaringan Pipa Luar Gedung'!$D$2:$J$4288,7,FALSE)</f>
        <v>Revisi</v>
      </c>
      <c r="G2442" s="12" t="str">
        <f>VLOOKUP(C2442,'Jaringan Pipa Luar Gedung'!$D$2:$K$4288,8,FALSE)</f>
        <v>Perubahan Diameter (Dia.) Menjadi Diameter Nominal (DN)</v>
      </c>
      <c r="H2442" s="374"/>
      <c r="I2442" s="16"/>
    </row>
    <row r="2443" spans="1:9" ht="24" customHeight="1">
      <c r="B2443" s="1033" t="str">
        <f>'Jaringan Pipa Luar Gedung'!C2015</f>
        <v>9.4.1.8</v>
      </c>
      <c r="C2443" s="39" t="str">
        <f>VLOOKUP(B2443,'Jaringan Pipa Luar Gedung'!C:K,2,FALSE)</f>
        <v>Pemasangan 1 m Pipa DCI, DN. 18" (450 mm)</v>
      </c>
      <c r="D2443" s="9" t="s">
        <v>1300</v>
      </c>
      <c r="E2443" s="1021">
        <f>VLOOKUP(C2443,'Jaringan Pipa Luar Gedung'!$D$2:$I$4288,6,FALSE)</f>
        <v>2489100</v>
      </c>
      <c r="F2443" s="1003" t="str">
        <f>VLOOKUP(C2443,'Jaringan Pipa Luar Gedung'!$D$2:$J$4288,7,FALSE)</f>
        <v>Revisi</v>
      </c>
      <c r="G2443" s="12" t="str">
        <f>VLOOKUP(C2443,'Jaringan Pipa Luar Gedung'!$D$2:$K$4288,8,FALSE)</f>
        <v>Perubahan Diameter (Dia.) Menjadi Diameter Nominal (DN)</v>
      </c>
      <c r="H2443" s="374"/>
      <c r="I2443" s="16"/>
    </row>
    <row r="2444" spans="1:9" ht="24" customHeight="1">
      <c r="B2444" s="1033" t="str">
        <f>'Jaringan Pipa Luar Gedung'!C2033</f>
        <v>9.4.1.9</v>
      </c>
      <c r="C2444" s="39" t="str">
        <f>VLOOKUP(B2444,'Jaringan Pipa Luar Gedung'!C:K,2,FALSE)</f>
        <v>Pemasangan 1 m Pipa DCI, DN. 20" (500 mm)</v>
      </c>
      <c r="D2444" s="9" t="s">
        <v>1300</v>
      </c>
      <c r="E2444" s="1021">
        <f>VLOOKUP(C2444,'Jaringan Pipa Luar Gedung'!$D$2:$I$4288,6,FALSE)</f>
        <v>2675900</v>
      </c>
      <c r="F2444" s="1003" t="str">
        <f>VLOOKUP(C2444,'Jaringan Pipa Luar Gedung'!$D$2:$J$4288,7,FALSE)</f>
        <v>Revisi</v>
      </c>
      <c r="G2444" s="12" t="str">
        <f>VLOOKUP(C2444,'Jaringan Pipa Luar Gedung'!$D$2:$K$4288,8,FALSE)</f>
        <v>Perubahan Diameter (Dia.) Menjadi Diameter Nominal (DN)</v>
      </c>
      <c r="H2444" s="374"/>
      <c r="I2444" s="16"/>
    </row>
    <row r="2445" spans="1:9" ht="24" customHeight="1">
      <c r="B2445" s="1033" t="str">
        <f>'Jaringan Pipa Luar Gedung'!C2051</f>
        <v>9.4.1.10</v>
      </c>
      <c r="C2445" s="39" t="str">
        <f>VLOOKUP(B2445,'Jaringan Pipa Luar Gedung'!C:K,2,FALSE)</f>
        <v>Pemasangan 1 m Pipa DCI, DN. 24" (600 mm)</v>
      </c>
      <c r="D2445" s="9" t="s">
        <v>1300</v>
      </c>
      <c r="E2445" s="1021">
        <f>VLOOKUP(C2445,'Jaringan Pipa Luar Gedung'!$D$2:$I$4288,6,FALSE)</f>
        <v>3119500</v>
      </c>
      <c r="F2445" s="1003" t="str">
        <f>VLOOKUP(C2445,'Jaringan Pipa Luar Gedung'!$D$2:$J$4288,7,FALSE)</f>
        <v>Revisi</v>
      </c>
      <c r="G2445" s="12" t="str">
        <f>VLOOKUP(C2445,'Jaringan Pipa Luar Gedung'!$D$2:$K$4288,8,FALSE)</f>
        <v>Perubahan Diameter (Dia.) Menjadi Diameter Nominal (DN)</v>
      </c>
      <c r="H2445" s="374"/>
      <c r="I2445" s="16"/>
    </row>
    <row r="2446" spans="1:9" ht="24" customHeight="1">
      <c r="B2446" s="1033" t="str">
        <f>'Jaringan Pipa Luar Gedung'!C2069</f>
        <v>9.4.1.11</v>
      </c>
      <c r="C2446" s="39" t="str">
        <f>VLOOKUP(B2446,'Jaringan Pipa Luar Gedung'!C:K,2,FALSE)</f>
        <v>Pemasangan 1 m Pipa DCI, DN. 32" (800 mm)</v>
      </c>
      <c r="D2446" s="9" t="s">
        <v>1300</v>
      </c>
      <c r="E2446" s="1021">
        <f>VLOOKUP(C2446,'Jaringan Pipa Luar Gedung'!$D$2:$I$4288,6,FALSE)</f>
        <v>3705600</v>
      </c>
      <c r="F2446" s="1003" t="str">
        <f>VLOOKUP(C2446,'Jaringan Pipa Luar Gedung'!$D$2:$J$4288,7,FALSE)</f>
        <v>Revisi</v>
      </c>
      <c r="G2446" s="12" t="str">
        <f>VLOOKUP(C2446,'Jaringan Pipa Luar Gedung'!$D$2:$K$4288,8,FALSE)</f>
        <v>Perubahan Diameter (Dia.) Menjadi Diameter Nominal (DN)</v>
      </c>
      <c r="H2446" s="374"/>
      <c r="I2446" s="16"/>
    </row>
    <row r="2447" spans="1:9" ht="24" customHeight="1">
      <c r="B2447" s="1033" t="str">
        <f>'Jaringan Pipa Luar Gedung'!C2087</f>
        <v>9.4.1.12</v>
      </c>
      <c r="C2447" s="39" t="str">
        <f>VLOOKUP(B2447,'Jaringan Pipa Luar Gedung'!C:K,2,FALSE)</f>
        <v>Pemasangan 1 m Pipa DCI, DN. 36" (900 mm)</v>
      </c>
      <c r="D2447" s="9" t="s">
        <v>1300</v>
      </c>
      <c r="E2447" s="1021">
        <f>VLOOKUP(C2447,'Jaringan Pipa Luar Gedung'!$D$2:$I$4288,6,FALSE)</f>
        <v>4025900</v>
      </c>
      <c r="F2447" s="1003" t="str">
        <f>VLOOKUP(C2447,'Jaringan Pipa Luar Gedung'!$D$2:$J$4288,7,FALSE)</f>
        <v>Revisi</v>
      </c>
      <c r="G2447" s="12" t="str">
        <f>VLOOKUP(C2447,'Jaringan Pipa Luar Gedung'!$D$2:$K$4288,8,FALSE)</f>
        <v>Perubahan Diameter (Dia.) Menjadi Diameter Nominal (DN)</v>
      </c>
      <c r="H2447" s="374"/>
      <c r="I2447" s="16"/>
    </row>
    <row r="2448" spans="1:9" ht="24" customHeight="1">
      <c r="B2448" s="1033" t="str">
        <f>'Jaringan Pipa Luar Gedung'!C2105</f>
        <v>9.4.1.13</v>
      </c>
      <c r="C2448" s="39" t="str">
        <f>VLOOKUP(B2448,'Jaringan Pipa Luar Gedung'!C:K,2,FALSE)</f>
        <v>Pemasangan 1 m Pipa DCI, DN. 40" (1000 mm)</v>
      </c>
      <c r="D2448" s="9" t="s">
        <v>1300</v>
      </c>
      <c r="E2448" s="1021">
        <f>VLOOKUP(C2448,'Jaringan Pipa Luar Gedung'!$D$2:$I$4288,6,FALSE)</f>
        <v>4447300</v>
      </c>
      <c r="F2448" s="1003" t="str">
        <f>VLOOKUP(C2448,'Jaringan Pipa Luar Gedung'!$D$2:$J$4288,7,FALSE)</f>
        <v>Revisi</v>
      </c>
      <c r="G2448" s="12" t="str">
        <f>VLOOKUP(C2448,'Jaringan Pipa Luar Gedung'!$D$2:$K$4288,8,FALSE)</f>
        <v>Perubahan Diameter (Dia.) Menjadi Diameter Nominal (DN)</v>
      </c>
      <c r="H2448" s="374"/>
      <c r="I2448" s="16"/>
    </row>
    <row r="2449" spans="1:9" ht="24" customHeight="1">
      <c r="B2449" s="1033" t="str">
        <f>'Jaringan Pipa Luar Gedung'!C2123</f>
        <v>9.4.1.14</v>
      </c>
      <c r="C2449" s="39" t="str">
        <f>VLOOKUP(B2449,'Jaringan Pipa Luar Gedung'!C:K,2,FALSE)</f>
        <v>Pemasangan 1 m Pipa DCI, DN. 44" (1100 mm)</v>
      </c>
      <c r="D2449" s="9" t="s">
        <v>1300</v>
      </c>
      <c r="E2449" s="1021">
        <f>VLOOKUP(C2449,'Jaringan Pipa Luar Gedung'!$D$2:$I$4288,6,FALSE)</f>
        <v>4993300</v>
      </c>
      <c r="F2449" s="1003" t="str">
        <f>VLOOKUP(C2449,'Jaringan Pipa Luar Gedung'!$D$2:$J$4288,7,FALSE)</f>
        <v>Revisi</v>
      </c>
      <c r="G2449" s="12" t="str">
        <f>VLOOKUP(C2449,'Jaringan Pipa Luar Gedung'!$D$2:$K$4288,8,FALSE)</f>
        <v>Perubahan Diameter (Dia.) Menjadi Diameter Nominal (DN)</v>
      </c>
      <c r="H2449" s="374"/>
      <c r="I2449" s="16"/>
    </row>
    <row r="2450" spans="1:9" ht="24" customHeight="1">
      <c r="B2450" s="1033" t="str">
        <f>'Jaringan Pipa Luar Gedung'!C2141</f>
        <v>9.4.1.15</v>
      </c>
      <c r="C2450" s="39" t="str">
        <f>VLOOKUP(B2450,'Jaringan Pipa Luar Gedung'!C:K,2,FALSE)</f>
        <v>Pemasangan 1 m Pipa DCI, DN. 48" (1200 mm)</v>
      </c>
      <c r="D2450" s="9" t="s">
        <v>1300</v>
      </c>
      <c r="E2450" s="1021">
        <f>VLOOKUP(C2450,'Jaringan Pipa Luar Gedung'!$D$2:$I$4288,6,FALSE)</f>
        <v>2577400</v>
      </c>
      <c r="F2450" s="1003" t="str">
        <f>VLOOKUP(C2450,'Jaringan Pipa Luar Gedung'!$D$2:$J$4288,7,FALSE)</f>
        <v>Revisi</v>
      </c>
      <c r="G2450" s="12" t="str">
        <f>VLOOKUP(C2450,'Jaringan Pipa Luar Gedung'!$D$2:$K$4288,8,FALSE)</f>
        <v>Perubahan Diameter (Dia.) Menjadi Diameter Nominal (DN)</v>
      </c>
      <c r="H2450" s="374"/>
      <c r="I2450" s="16"/>
    </row>
    <row r="2451" spans="1:9" s="1" customFormat="1" ht="24" customHeight="1">
      <c r="A2451" s="47"/>
      <c r="B2451" s="1041" t="str">
        <f>'Jaringan Pipa Luar Gedung'!C2160</f>
        <v>9.4.2</v>
      </c>
      <c r="C2451" s="40" t="str">
        <f>VLOOKUP(B2451,'Jaringan Pipa Luar Gedung'!C:K,2,FALSE)</f>
        <v>Pemotongan Pipa PCI</v>
      </c>
      <c r="D2451" s="19"/>
      <c r="E2451" s="1021">
        <f>VLOOKUP(C2451,'Jaringan Pipa Luar Gedung'!$D$2:$I$4288,6,FALSE)</f>
        <v>0</v>
      </c>
      <c r="F2451" s="1003">
        <f>VLOOKUP(C2451,'Jaringan Pipa Luar Gedung'!$D$2:$J$4288,7,FALSE)</f>
        <v>0</v>
      </c>
      <c r="G2451" s="12">
        <f>VLOOKUP(C2451,'Jaringan Pipa Luar Gedung'!$D$2:$K$4288,8,FALSE)</f>
        <v>0</v>
      </c>
      <c r="H2451" s="1092"/>
      <c r="I2451" s="21"/>
    </row>
    <row r="2452" spans="1:9" ht="24" customHeight="1">
      <c r="B2452" s="1033" t="str">
        <f>'Jaringan Pipa Luar Gedung'!C2161</f>
        <v>9.4.2.1</v>
      </c>
      <c r="C2452" s="39" t="str">
        <f>VLOOKUP(B2452,'Jaringan Pipa Luar Gedung'!C:K,2,FALSE)</f>
        <v>Pemotongan 1 Buah Pipa DCI, DN. 4" (100 mm)</v>
      </c>
      <c r="D2452" s="9" t="s">
        <v>44</v>
      </c>
      <c r="E2452" s="1021">
        <f>VLOOKUP(C2452,'Jaringan Pipa Luar Gedung'!$D$2:$I$4288,6,FALSE)</f>
        <v>11400</v>
      </c>
      <c r="F2452" s="1003" t="str">
        <f>VLOOKUP(C2452,'Jaringan Pipa Luar Gedung'!$D$2:$J$4288,7,FALSE)</f>
        <v>Revisi</v>
      </c>
      <c r="G2452" s="12" t="str">
        <f>VLOOKUP(C2452,'Jaringan Pipa Luar Gedung'!$D$2:$K$4288,8,FALSE)</f>
        <v>Perubahan Diameter (Dia.) Menjadi Diameter Nominal (DN)</v>
      </c>
      <c r="H2452" s="374"/>
      <c r="I2452" s="16"/>
    </row>
    <row r="2453" spans="1:9" ht="24" customHeight="1">
      <c r="B2453" s="1033" t="str">
        <f>'Jaringan Pipa Luar Gedung'!C2177</f>
        <v>9.4.2.2</v>
      </c>
      <c r="C2453" s="39" t="str">
        <f>VLOOKUP(B2453,'Jaringan Pipa Luar Gedung'!C:K,2,FALSE)</f>
        <v>Pemotongan 1 Buah Pipa DCI, DN. 5" (125 mm)</v>
      </c>
      <c r="D2453" s="9" t="s">
        <v>44</v>
      </c>
      <c r="E2453" s="1021">
        <f>VLOOKUP(C2453,'Jaringan Pipa Luar Gedung'!$D$2:$I$4288,6,FALSE)</f>
        <v>18700</v>
      </c>
      <c r="F2453" s="1003" t="str">
        <f>VLOOKUP(C2453,'Jaringan Pipa Luar Gedung'!$D$2:$J$4288,7,FALSE)</f>
        <v>Revisi</v>
      </c>
      <c r="G2453" s="12" t="str">
        <f>VLOOKUP(C2453,'Jaringan Pipa Luar Gedung'!$D$2:$K$4288,8,FALSE)</f>
        <v>Perubahan Diameter (Dia.) Menjadi Diameter Nominal (DN)</v>
      </c>
      <c r="H2453" s="374"/>
      <c r="I2453" s="16"/>
    </row>
    <row r="2454" spans="1:9" ht="24" customHeight="1">
      <c r="B2454" s="1033" t="str">
        <f>'Jaringan Pipa Luar Gedung'!C2193</f>
        <v>9.4.2.3</v>
      </c>
      <c r="C2454" s="39" t="str">
        <f>VLOOKUP(B2454,'Jaringan Pipa Luar Gedung'!C:K,2,FALSE)</f>
        <v>Pemotongan 1 Buah Pipa DCI, DN. 6" (150 mm)</v>
      </c>
      <c r="D2454" s="9" t="s">
        <v>44</v>
      </c>
      <c r="E2454" s="1021">
        <f>VLOOKUP(C2454,'Jaringan Pipa Luar Gedung'!$D$2:$I$4288,6,FALSE)</f>
        <v>27100</v>
      </c>
      <c r="F2454" s="1003" t="str">
        <f>VLOOKUP(C2454,'Jaringan Pipa Luar Gedung'!$D$2:$J$4288,7,FALSE)</f>
        <v>Revisi</v>
      </c>
      <c r="G2454" s="12" t="str">
        <f>VLOOKUP(C2454,'Jaringan Pipa Luar Gedung'!$D$2:$K$4288,8,FALSE)</f>
        <v>Perubahan Diameter (Dia.) Menjadi Diameter Nominal (DN)</v>
      </c>
      <c r="H2454" s="374"/>
      <c r="I2454" s="16"/>
    </row>
    <row r="2455" spans="1:9" ht="24" customHeight="1">
      <c r="B2455" s="1033" t="str">
        <f>'Jaringan Pipa Luar Gedung'!C2209</f>
        <v>9.4.2.4</v>
      </c>
      <c r="C2455" s="39" t="str">
        <f>VLOOKUP(B2455,'Jaringan Pipa Luar Gedung'!C:K,2,FALSE)</f>
        <v>Pemotongan 1 Buah Pipa DCI, DN. 8" (200 mm)</v>
      </c>
      <c r="D2455" s="9" t="s">
        <v>44</v>
      </c>
      <c r="E2455" s="1021">
        <f>VLOOKUP(C2455,'Jaringan Pipa Luar Gedung'!$D$2:$I$4288,6,FALSE)</f>
        <v>64000</v>
      </c>
      <c r="F2455" s="1003" t="str">
        <f>VLOOKUP(C2455,'Jaringan Pipa Luar Gedung'!$D$2:$J$4288,7,FALSE)</f>
        <v>Revisi</v>
      </c>
      <c r="G2455" s="12" t="str">
        <f>VLOOKUP(C2455,'Jaringan Pipa Luar Gedung'!$D$2:$K$4288,8,FALSE)</f>
        <v>Perubahan Diameter (Dia.) Menjadi Diameter Nominal (DN)</v>
      </c>
      <c r="H2455" s="374"/>
      <c r="I2455" s="16"/>
    </row>
    <row r="2456" spans="1:9" ht="24" customHeight="1">
      <c r="B2456" s="1033" t="str">
        <f>'Jaringan Pipa Luar Gedung'!C2225</f>
        <v>9.4.2.5</v>
      </c>
      <c r="C2456" s="39" t="str">
        <f>VLOOKUP(B2456,'Jaringan Pipa Luar Gedung'!C:K,2,FALSE)</f>
        <v>Pemotongan 1 Buah Pipa DCI, DN. 10" (250 mm)</v>
      </c>
      <c r="D2456" s="9" t="s">
        <v>44</v>
      </c>
      <c r="E2456" s="1021">
        <f>VLOOKUP(C2456,'Jaringan Pipa Luar Gedung'!$D$2:$I$4288,6,FALSE)</f>
        <v>83500</v>
      </c>
      <c r="F2456" s="1003" t="str">
        <f>VLOOKUP(C2456,'Jaringan Pipa Luar Gedung'!$D$2:$J$4288,7,FALSE)</f>
        <v>Revisi</v>
      </c>
      <c r="G2456" s="12" t="str">
        <f>VLOOKUP(C2456,'Jaringan Pipa Luar Gedung'!$D$2:$K$4288,8,FALSE)</f>
        <v>Perubahan Diameter (Dia.) Menjadi Diameter Nominal (DN)</v>
      </c>
      <c r="H2456" s="374"/>
      <c r="I2456" s="16"/>
    </row>
    <row r="2457" spans="1:9" ht="24" customHeight="1">
      <c r="B2457" s="1033" t="str">
        <f>'Jaringan Pipa Luar Gedung'!C2241</f>
        <v>9.4.2.6</v>
      </c>
      <c r="C2457" s="39" t="str">
        <f>VLOOKUP(B2457,'Jaringan Pipa Luar Gedung'!C:K,2,FALSE)</f>
        <v>Pemotongan 1 Buah Pipa DCI, DN. 12" (300 mm)</v>
      </c>
      <c r="D2457" s="9" t="s">
        <v>44</v>
      </c>
      <c r="E2457" s="1021">
        <f>VLOOKUP(C2457,'Jaringan Pipa Luar Gedung'!$D$2:$I$4288,6,FALSE)</f>
        <v>89800</v>
      </c>
      <c r="F2457" s="1003" t="str">
        <f>VLOOKUP(C2457,'Jaringan Pipa Luar Gedung'!$D$2:$J$4288,7,FALSE)</f>
        <v>Revisi</v>
      </c>
      <c r="G2457" s="12" t="str">
        <f>VLOOKUP(C2457,'Jaringan Pipa Luar Gedung'!$D$2:$K$4288,8,FALSE)</f>
        <v>Perubahan Diameter (Dia.) Menjadi Diameter Nominal (DN)</v>
      </c>
      <c r="H2457" s="374"/>
      <c r="I2457" s="16"/>
    </row>
    <row r="2458" spans="1:9" ht="24" customHeight="1">
      <c r="B2458" s="1033" t="str">
        <f>'Jaringan Pipa Luar Gedung'!C2257</f>
        <v>9.4.2.7</v>
      </c>
      <c r="C2458" s="39" t="str">
        <f>VLOOKUP(B2458,'Jaringan Pipa Luar Gedung'!C:K,2,FALSE)</f>
        <v>Pemotongan 1 Buah Pipa DCI, DN. 16" (400 mm)</v>
      </c>
      <c r="D2458" s="9" t="s">
        <v>44</v>
      </c>
      <c r="E2458" s="1021">
        <f>VLOOKUP(C2458,'Jaringan Pipa Luar Gedung'!$D$2:$I$4288,6,FALSE)</f>
        <v>161000</v>
      </c>
      <c r="F2458" s="1003" t="str">
        <f>VLOOKUP(C2458,'Jaringan Pipa Luar Gedung'!$D$2:$J$4288,7,FALSE)</f>
        <v>Revisi</v>
      </c>
      <c r="G2458" s="12" t="str">
        <f>VLOOKUP(C2458,'Jaringan Pipa Luar Gedung'!$D$2:$K$4288,8,FALSE)</f>
        <v xml:space="preserve">Perubahan Diameter (dia.) menjadi Diameter Nominal (DN) dan perubahan Peralatan </v>
      </c>
      <c r="H2458" s="374"/>
      <c r="I2458" s="16"/>
    </row>
    <row r="2459" spans="1:9" ht="24" customHeight="1">
      <c r="B2459" s="1033" t="str">
        <f>'Jaringan Pipa Luar Gedung'!C2273</f>
        <v>9.4.2.8</v>
      </c>
      <c r="C2459" s="39" t="str">
        <f>VLOOKUP(B2459,'Jaringan Pipa Luar Gedung'!C:K,2,FALSE)</f>
        <v>Pemotongan 1 Buah Pipa DCI, DN. 18" (450 mm)</v>
      </c>
      <c r="D2459" s="9" t="s">
        <v>44</v>
      </c>
      <c r="E2459" s="1021">
        <f>VLOOKUP(C2459,'Jaringan Pipa Luar Gedung'!$D$2:$I$4288,6,FALSE)</f>
        <v>193300</v>
      </c>
      <c r="F2459" s="1003" t="str">
        <f>VLOOKUP(C2459,'Jaringan Pipa Luar Gedung'!$D$2:$J$4288,7,FALSE)</f>
        <v>Revisi</v>
      </c>
      <c r="G2459" s="12" t="str">
        <f>VLOOKUP(C2459,'Jaringan Pipa Luar Gedung'!$D$2:$K$4288,8,FALSE)</f>
        <v xml:space="preserve">Perubahan Diameter (dia.) menjadi Diameter Nominal (DN) dan perubahan Peralatan </v>
      </c>
      <c r="H2459" s="374"/>
      <c r="I2459" s="16"/>
    </row>
    <row r="2460" spans="1:9" ht="24" customHeight="1">
      <c r="B2460" s="1033" t="str">
        <f>'Jaringan Pipa Luar Gedung'!C2289</f>
        <v>9.4.2.9</v>
      </c>
      <c r="C2460" s="39" t="str">
        <f>VLOOKUP(B2460,'Jaringan Pipa Luar Gedung'!C:K,2,FALSE)</f>
        <v>Pemotongan 1 Buah Pipa DCI, DN. 20" (500 mm)</v>
      </c>
      <c r="D2460" s="9" t="s">
        <v>44</v>
      </c>
      <c r="E2460" s="1021">
        <f>VLOOKUP(C2460,'Jaringan Pipa Luar Gedung'!$D$2:$I$4288,6,FALSE)</f>
        <v>222100</v>
      </c>
      <c r="F2460" s="1003" t="str">
        <f>VLOOKUP(C2460,'Jaringan Pipa Luar Gedung'!$D$2:$J$4288,7,FALSE)</f>
        <v>Revisi</v>
      </c>
      <c r="G2460" s="12" t="str">
        <f>VLOOKUP(C2460,'Jaringan Pipa Luar Gedung'!$D$2:$K$4288,8,FALSE)</f>
        <v xml:space="preserve">Perubahan Diameter (dia.) menjadi Diameter Nominal (DN) dan perubahan Peralatan </v>
      </c>
      <c r="H2460" s="374"/>
      <c r="I2460" s="16"/>
    </row>
    <row r="2461" spans="1:9" ht="24" customHeight="1">
      <c r="B2461" s="1033" t="str">
        <f>'Jaringan Pipa Luar Gedung'!C2305</f>
        <v>9.4.2.10</v>
      </c>
      <c r="C2461" s="39" t="str">
        <f>VLOOKUP(B2461,'Jaringan Pipa Luar Gedung'!C:K,2,FALSE)</f>
        <v>Pemotongan 1 Buah Pipa DCI, DN. 24" (600 mm)</v>
      </c>
      <c r="D2461" s="9" t="s">
        <v>44</v>
      </c>
      <c r="E2461" s="1021">
        <f>VLOOKUP(C2461,'Jaringan Pipa Luar Gedung'!$D$2:$I$4288,6,FALSE)</f>
        <v>266300</v>
      </c>
      <c r="F2461" s="1003" t="str">
        <f>VLOOKUP(C2461,'Jaringan Pipa Luar Gedung'!$D$2:$J$4288,7,FALSE)</f>
        <v>Revisi</v>
      </c>
      <c r="G2461" s="12" t="str">
        <f>VLOOKUP(C2461,'Jaringan Pipa Luar Gedung'!$D$2:$K$4288,8,FALSE)</f>
        <v xml:space="preserve">Perubahan Diameter (dia.) menjadi Diameter Nominal (DN) dan perubahan Peralatan </v>
      </c>
      <c r="H2461" s="374"/>
      <c r="I2461" s="16"/>
    </row>
    <row r="2462" spans="1:9" ht="24" customHeight="1">
      <c r="B2462" s="1033" t="str">
        <f>'Jaringan Pipa Luar Gedung'!C2321</f>
        <v>9.4.2.11</v>
      </c>
      <c r="C2462" s="39" t="str">
        <f>VLOOKUP(B2462,'Jaringan Pipa Luar Gedung'!C:K,2,FALSE)</f>
        <v>Pemotongan 1 Buah Pipa DCI, DN. 32" (800 mm)</v>
      </c>
      <c r="D2462" s="9" t="s">
        <v>44</v>
      </c>
      <c r="E2462" s="1021">
        <f>VLOOKUP(C2462,'Jaringan Pipa Luar Gedung'!$D$2:$I$4288,6,FALSE)</f>
        <v>434300</v>
      </c>
      <c r="F2462" s="1003" t="str">
        <f>VLOOKUP(C2462,'Jaringan Pipa Luar Gedung'!$D$2:$J$4288,7,FALSE)</f>
        <v>Revisi</v>
      </c>
      <c r="G2462" s="12" t="str">
        <f>VLOOKUP(C2462,'Jaringan Pipa Luar Gedung'!$D$2:$K$4288,8,FALSE)</f>
        <v xml:space="preserve">Perubahan Diameter (dia.) menjadi Diameter Nominal (DN) dan perubahan Peralatan </v>
      </c>
      <c r="H2462" s="374"/>
      <c r="I2462" s="16"/>
    </row>
    <row r="2463" spans="1:9" ht="24" customHeight="1">
      <c r="B2463" s="1033" t="str">
        <f>'Jaringan Pipa Luar Gedung'!C2338</f>
        <v>9.4.2.12</v>
      </c>
      <c r="C2463" s="39" t="str">
        <f>VLOOKUP(B2463,'Jaringan Pipa Luar Gedung'!C:K,2,FALSE)</f>
        <v>Pemotongan 1 Buah Pipa DCI, DN. 36" (900 mm)</v>
      </c>
      <c r="D2463" s="9" t="s">
        <v>44</v>
      </c>
      <c r="E2463" s="1021">
        <f>VLOOKUP(C2463,'Jaringan Pipa Luar Gedung'!$D$2:$I$4288,6,FALSE)</f>
        <v>561500</v>
      </c>
      <c r="F2463" s="1003" t="str">
        <f>VLOOKUP(C2463,'Jaringan Pipa Luar Gedung'!$D$2:$J$4288,7,FALSE)</f>
        <v>Revisi</v>
      </c>
      <c r="G2463" s="12" t="str">
        <f>VLOOKUP(C2463,'Jaringan Pipa Luar Gedung'!$D$2:$K$4288,8,FALSE)</f>
        <v xml:space="preserve">Perubahan Diameter (dia.) menjadi Diameter Nominal (DN) dan perubahan Peralatan </v>
      </c>
      <c r="H2463" s="374"/>
      <c r="I2463" s="16"/>
    </row>
    <row r="2464" spans="1:9" ht="24" customHeight="1">
      <c r="B2464" s="1033" t="str">
        <f>'Jaringan Pipa Luar Gedung'!C2354</f>
        <v>9.4.2.13</v>
      </c>
      <c r="C2464" s="39" t="str">
        <f>VLOOKUP(B2464,'Jaringan Pipa Luar Gedung'!C:K,2,FALSE)</f>
        <v>Pemotongan 1 Buah Pipa DCI, DN. 40" (1000 mm)</v>
      </c>
      <c r="D2464" s="9" t="s">
        <v>44</v>
      </c>
      <c r="E2464" s="1021">
        <f>VLOOKUP(C2464,'Jaringan Pipa Luar Gedung'!$D$2:$I$4288,6,FALSE)</f>
        <v>668800</v>
      </c>
      <c r="F2464" s="1003" t="str">
        <f>VLOOKUP(C2464,'Jaringan Pipa Luar Gedung'!$D$2:$J$4288,7,FALSE)</f>
        <v>Revisi</v>
      </c>
      <c r="G2464" s="12" t="str">
        <f>VLOOKUP(C2464,'Jaringan Pipa Luar Gedung'!$D$2:$K$4288,8,FALSE)</f>
        <v xml:space="preserve">Perubahan Diameter (dia.) menjadi Diameter Nominal (DN) dan perubahan Peralatan </v>
      </c>
      <c r="H2464" s="374"/>
      <c r="I2464" s="16"/>
    </row>
    <row r="2465" spans="1:9" ht="24" customHeight="1">
      <c r="B2465" s="1033" t="str">
        <f>'Jaringan Pipa Luar Gedung'!C2370</f>
        <v>9.4.2.14</v>
      </c>
      <c r="C2465" s="39" t="str">
        <f>VLOOKUP(B2465,'Jaringan Pipa Luar Gedung'!C:K,2,FALSE)</f>
        <v>Pemotongan 1 Buah Pipa DCI, DN. 44" (1100 mm)</v>
      </c>
      <c r="D2465" s="9" t="s">
        <v>44</v>
      </c>
      <c r="E2465" s="1021">
        <f>VLOOKUP(C2465,'Jaringan Pipa Luar Gedung'!$D$2:$I$4288,6,FALSE)</f>
        <v>785800</v>
      </c>
      <c r="F2465" s="1003" t="str">
        <f>VLOOKUP(C2465,'Jaringan Pipa Luar Gedung'!$D$2:$J$4288,7,FALSE)</f>
        <v>Revisi</v>
      </c>
      <c r="G2465" s="12" t="str">
        <f>VLOOKUP(C2465,'Jaringan Pipa Luar Gedung'!$D$2:$K$4288,8,FALSE)</f>
        <v xml:space="preserve">Perubahan Diameter (dia.) menjadi Diameter Nominal (DN) dan perubahan Peralatan </v>
      </c>
      <c r="H2465" s="374"/>
      <c r="I2465" s="16"/>
    </row>
    <row r="2466" spans="1:9" ht="24" customHeight="1">
      <c r="B2466" s="1033" t="str">
        <f>'Jaringan Pipa Luar Gedung'!C2386</f>
        <v>9.4.2.15</v>
      </c>
      <c r="C2466" s="39" t="str">
        <f>VLOOKUP(B2466,'Jaringan Pipa Luar Gedung'!C:K,2,FALSE)</f>
        <v>Pemotongan 1 Buah Pipa DCI, DN. 48" (1200 mm)</v>
      </c>
      <c r="D2466" s="9" t="s">
        <v>44</v>
      </c>
      <c r="E2466" s="1021">
        <f>VLOOKUP(C2466,'Jaringan Pipa Luar Gedung'!$D$2:$I$4288,6,FALSE)</f>
        <v>912800</v>
      </c>
      <c r="F2466" s="1003" t="str">
        <f>VLOOKUP(C2466,'Jaringan Pipa Luar Gedung'!$D$2:$J$4288,7,FALSE)</f>
        <v>Revisi</v>
      </c>
      <c r="G2466" s="12" t="str">
        <f>VLOOKUP(C2466,'Jaringan Pipa Luar Gedung'!$D$2:$K$4288,8,FALSE)</f>
        <v xml:space="preserve">Perubahan Diameter (dia.) menjadi Diameter Nominal (DN) dan perubahan Peralatan </v>
      </c>
      <c r="H2466" s="374"/>
      <c r="I2466" s="16"/>
    </row>
    <row r="2467" spans="1:9" s="1" customFormat="1" ht="24" customHeight="1">
      <c r="A2467" s="47"/>
      <c r="B2467" s="1043" t="str">
        <f>'Jaringan Pipa Luar Gedung'!C2402</f>
        <v>9.5</v>
      </c>
      <c r="C2467" s="1001" t="str">
        <f>VLOOKUP(B2467,'Jaringan Pipa Luar Gedung'!C:K,2,FALSE)</f>
        <v>PIPA BAJA KARBON</v>
      </c>
      <c r="D2467" s="994"/>
      <c r="E2467" s="1022">
        <f>VLOOKUP(C2467,'Jaringan Pipa Luar Gedung'!$D$2:$I$4288,6,FALSE)</f>
        <v>0</v>
      </c>
      <c r="F2467" s="1004">
        <f>VLOOKUP(C2467,'Jaringan Pipa Luar Gedung'!$D$2:$J$4288,7,FALSE)</f>
        <v>0</v>
      </c>
      <c r="G2467" s="36">
        <f>VLOOKUP(C2467,'Jaringan Pipa Luar Gedung'!$D$2:$K$4288,8,FALSE)</f>
        <v>0</v>
      </c>
      <c r="H2467" s="1092"/>
      <c r="I2467" s="21"/>
    </row>
    <row r="2468" spans="1:9" s="1" customFormat="1" ht="24" customHeight="1">
      <c r="A2468" s="47"/>
      <c r="B2468" s="1041" t="str">
        <f>'Jaringan Pipa Luar Gedung'!C2403</f>
        <v>9.5.1</v>
      </c>
      <c r="C2468" s="40" t="str">
        <f>VLOOKUP(B2468,'Jaringan Pipa Luar Gedung'!C:K,2,FALSE)</f>
        <v>Pemasangan Pipa Baja Karbon</v>
      </c>
      <c r="D2468" s="19"/>
      <c r="E2468" s="1021">
        <f>VLOOKUP(C2468,'Jaringan Pipa Luar Gedung'!$D$2:$I$4288,6,FALSE)</f>
        <v>0</v>
      </c>
      <c r="F2468" s="1003">
        <f>VLOOKUP(C2468,'Jaringan Pipa Luar Gedung'!$D$2:$J$4288,7,FALSE)</f>
        <v>0</v>
      </c>
      <c r="G2468" s="12">
        <f>VLOOKUP(C2468,'Jaringan Pipa Luar Gedung'!$D$2:$K$4288,8,FALSE)</f>
        <v>0</v>
      </c>
      <c r="H2468" s="1092"/>
      <c r="I2468" s="21"/>
    </row>
    <row r="2469" spans="1:9" ht="24" customHeight="1">
      <c r="B2469" s="1033" t="str">
        <f>'Jaringan Pipa Luar Gedung'!C2404</f>
        <v>9.5.1.1</v>
      </c>
      <c r="C2469" s="39" t="str">
        <f>VLOOKUP(B2469,'Jaringan Pipa Luar Gedung'!C:K,2,FALSE)</f>
        <v>Pemasangan 1 m Pipa Baja Karbon, DN. 2-1/2" (65 mm)</v>
      </c>
      <c r="D2469" s="9" t="s">
        <v>1300</v>
      </c>
      <c r="E2469" s="1021">
        <f>VLOOKUP(C2469,'Jaringan Pipa Luar Gedung'!$D$2:$I$4288,6,FALSE)</f>
        <v>656500</v>
      </c>
      <c r="F2469" s="1003">
        <f>VLOOKUP(C2469,'Jaringan Pipa Luar Gedung'!$D$2:$J$4288,7,FALSE)</f>
        <v>0</v>
      </c>
      <c r="G2469" s="12">
        <f>VLOOKUP(C2469,'Jaringan Pipa Luar Gedung'!$D$2:$K$4288,8,FALSE)</f>
        <v>0</v>
      </c>
      <c r="H2469" s="374"/>
      <c r="I2469" s="16"/>
    </row>
    <row r="2470" spans="1:9" ht="24" customHeight="1">
      <c r="B2470" s="1033" t="str">
        <f>'Jaringan Pipa Luar Gedung'!C2421</f>
        <v>9.5.1.2</v>
      </c>
      <c r="C2470" s="39" t="str">
        <f>VLOOKUP(B2470,'Jaringan Pipa Luar Gedung'!C:K,2,FALSE)</f>
        <v>Pemasangan 1 m Pipa Baja Karbon, DN. 4" (100 mm)</v>
      </c>
      <c r="D2470" s="9" t="s">
        <v>1300</v>
      </c>
      <c r="E2470" s="1021">
        <f>VLOOKUP(C2470,'Jaringan Pipa Luar Gedung'!$D$2:$I$4288,6,FALSE)</f>
        <v>806500</v>
      </c>
      <c r="F2470" s="1003">
        <f>VLOOKUP(C2470,'Jaringan Pipa Luar Gedung'!$D$2:$J$4288,7,FALSE)</f>
        <v>0</v>
      </c>
      <c r="G2470" s="12">
        <f>VLOOKUP(C2470,'Jaringan Pipa Luar Gedung'!$D$2:$K$4288,8,FALSE)</f>
        <v>0</v>
      </c>
      <c r="H2470" s="374"/>
      <c r="I2470" s="16"/>
    </row>
    <row r="2471" spans="1:9" ht="24" customHeight="1">
      <c r="B2471" s="1033" t="str">
        <f>'Jaringan Pipa Luar Gedung'!C2439</f>
        <v>9.5.1.3</v>
      </c>
      <c r="C2471" s="39" t="str">
        <f>VLOOKUP(B2471,'Jaringan Pipa Luar Gedung'!C:K,2,FALSE)</f>
        <v>Pemasangan 1 m Pipa Baja Karbon, DN. 5" (125 mm)</v>
      </c>
      <c r="D2471" s="9" t="s">
        <v>1300</v>
      </c>
      <c r="E2471" s="1021">
        <f>VLOOKUP(C2471,'Jaringan Pipa Luar Gedung'!$D$2:$I$4288,6,FALSE)</f>
        <v>949500</v>
      </c>
      <c r="F2471" s="1003">
        <f>VLOOKUP(C2471,'Jaringan Pipa Luar Gedung'!$D$2:$J$4288,7,FALSE)</f>
        <v>0</v>
      </c>
      <c r="G2471" s="12">
        <f>VLOOKUP(C2471,'Jaringan Pipa Luar Gedung'!$D$2:$K$4288,8,FALSE)</f>
        <v>0</v>
      </c>
      <c r="H2471" s="374"/>
      <c r="I2471" s="16"/>
    </row>
    <row r="2472" spans="1:9" ht="24" customHeight="1">
      <c r="B2472" s="1033" t="str">
        <f>'Jaringan Pipa Luar Gedung'!C2456</f>
        <v>9.5.1.4</v>
      </c>
      <c r="C2472" s="39" t="str">
        <f>VLOOKUP(B2472,'Jaringan Pipa Luar Gedung'!C:K,2,FALSE)</f>
        <v>Pemasangan 1 m Pipa Baja Karbon, DN. 6" (150 mm)</v>
      </c>
      <c r="D2472" s="9" t="s">
        <v>1300</v>
      </c>
      <c r="E2472" s="1021">
        <f>VLOOKUP(C2472,'Jaringan Pipa Luar Gedung'!$D$2:$I$4288,6,FALSE)</f>
        <v>1008400</v>
      </c>
      <c r="F2472" s="1003">
        <f>VLOOKUP(C2472,'Jaringan Pipa Luar Gedung'!$D$2:$J$4288,7,FALSE)</f>
        <v>0</v>
      </c>
      <c r="G2472" s="12">
        <f>VLOOKUP(C2472,'Jaringan Pipa Luar Gedung'!$D$2:$K$4288,8,FALSE)</f>
        <v>0</v>
      </c>
      <c r="H2472" s="374"/>
      <c r="I2472" s="16"/>
    </row>
    <row r="2473" spans="1:9" ht="24" customHeight="1">
      <c r="B2473" s="1033" t="str">
        <f>'Jaringan Pipa Luar Gedung'!C2473</f>
        <v>9.5.1.5</v>
      </c>
      <c r="C2473" s="39" t="str">
        <f>VLOOKUP(B2473,'Jaringan Pipa Luar Gedung'!C:K,2,FALSE)</f>
        <v>Pemasangan 1 m Pipa Baja Karbon, DN. 8" (200 mm)</v>
      </c>
      <c r="D2473" s="9" t="s">
        <v>1300</v>
      </c>
      <c r="E2473" s="1021">
        <f>VLOOKUP(C2473,'Jaringan Pipa Luar Gedung'!$D$2:$I$4288,6,FALSE)</f>
        <v>1160000</v>
      </c>
      <c r="F2473" s="1003">
        <f>VLOOKUP(C2473,'Jaringan Pipa Luar Gedung'!$D$2:$J$4288,7,FALSE)</f>
        <v>0</v>
      </c>
      <c r="G2473" s="12">
        <f>VLOOKUP(C2473,'Jaringan Pipa Luar Gedung'!$D$2:$K$4288,8,FALSE)</f>
        <v>0</v>
      </c>
      <c r="H2473" s="374"/>
      <c r="I2473" s="16"/>
    </row>
    <row r="2474" spans="1:9" ht="24" customHeight="1">
      <c r="B2474" s="1033" t="str">
        <f>'Jaringan Pipa Luar Gedung'!C2490</f>
        <v>9.5.1.6</v>
      </c>
      <c r="C2474" s="39" t="str">
        <f>VLOOKUP(B2474,'Jaringan Pipa Luar Gedung'!C:K,2,FALSE)</f>
        <v>Pemasangan 1 m Pipa Baja Karbon, DN. 10" (250 mm)</v>
      </c>
      <c r="D2474" s="9" t="s">
        <v>1300</v>
      </c>
      <c r="E2474" s="1021">
        <f>VLOOKUP(C2474,'Jaringan Pipa Luar Gedung'!$D$2:$I$4288,6,FALSE)</f>
        <v>1248400</v>
      </c>
      <c r="F2474" s="1003">
        <f>VLOOKUP(C2474,'Jaringan Pipa Luar Gedung'!$D$2:$J$4288,7,FALSE)</f>
        <v>0</v>
      </c>
      <c r="G2474" s="12">
        <f>VLOOKUP(C2474,'Jaringan Pipa Luar Gedung'!$D$2:$K$4288,8,FALSE)</f>
        <v>0</v>
      </c>
      <c r="H2474" s="374"/>
      <c r="I2474" s="16"/>
    </row>
    <row r="2475" spans="1:9" ht="24" customHeight="1">
      <c r="B2475" s="1033" t="str">
        <f>'Jaringan Pipa Luar Gedung'!C2507</f>
        <v>9.5.1.7</v>
      </c>
      <c r="C2475" s="39" t="str">
        <f>VLOOKUP(B2475,'Jaringan Pipa Luar Gedung'!C:K,2,FALSE)</f>
        <v>Pemasangan 1 m Pipa Baja Karbon, DN. 12" (300 mm)</v>
      </c>
      <c r="D2475" s="9" t="s">
        <v>1300</v>
      </c>
      <c r="E2475" s="1021">
        <f>VLOOKUP(C2475,'Jaringan Pipa Luar Gedung'!$D$2:$I$4288,6,FALSE)</f>
        <v>1383400</v>
      </c>
      <c r="F2475" s="1003">
        <f>VLOOKUP(C2475,'Jaringan Pipa Luar Gedung'!$D$2:$J$4288,7,FALSE)</f>
        <v>0</v>
      </c>
      <c r="G2475" s="12">
        <f>VLOOKUP(C2475,'Jaringan Pipa Luar Gedung'!$D$2:$K$4288,8,FALSE)</f>
        <v>0</v>
      </c>
      <c r="H2475" s="374"/>
      <c r="I2475" s="16"/>
    </row>
    <row r="2476" spans="1:9" ht="24" customHeight="1">
      <c r="B2476" s="1033" t="str">
        <f>'Jaringan Pipa Luar Gedung'!C2524</f>
        <v>9.5.1.8</v>
      </c>
      <c r="C2476" s="39" t="str">
        <f>VLOOKUP(B2476,'Jaringan Pipa Luar Gedung'!C:K,2,FALSE)</f>
        <v>Pemasangan 1 m Pipa Baja Karbon, DN. 16" (400 mm)</v>
      </c>
      <c r="D2476" s="9" t="s">
        <v>1300</v>
      </c>
      <c r="E2476" s="1021">
        <f>VLOOKUP(C2476,'Jaringan Pipa Luar Gedung'!$D$2:$I$4288,6,FALSE)</f>
        <v>3065300</v>
      </c>
      <c r="F2476" s="1003">
        <f>VLOOKUP(C2476,'Jaringan Pipa Luar Gedung'!$D$2:$J$4288,7,FALSE)</f>
        <v>0</v>
      </c>
      <c r="G2476" s="12">
        <f>VLOOKUP(C2476,'Jaringan Pipa Luar Gedung'!$D$2:$K$4288,8,FALSE)</f>
        <v>0</v>
      </c>
      <c r="H2476" s="374"/>
      <c r="I2476" s="16"/>
    </row>
    <row r="2477" spans="1:9" ht="24" customHeight="1">
      <c r="B2477" s="1033" t="str">
        <f>'Jaringan Pipa Luar Gedung'!C2542</f>
        <v>9.5.1.9</v>
      </c>
      <c r="C2477" s="39" t="str">
        <f>VLOOKUP(B2477,'Jaringan Pipa Luar Gedung'!C:K,2,FALSE)</f>
        <v>Pemasangan 1 m Pipa Baja Karbon, DN. 18" (450 mm)</v>
      </c>
      <c r="D2477" s="9" t="s">
        <v>1300</v>
      </c>
      <c r="E2477" s="1021">
        <f>VLOOKUP(C2477,'Jaringan Pipa Luar Gedung'!$D$2:$I$4288,6,FALSE)</f>
        <v>3294400</v>
      </c>
      <c r="F2477" s="1003">
        <f>VLOOKUP(C2477,'Jaringan Pipa Luar Gedung'!$D$2:$J$4288,7,FALSE)</f>
        <v>0</v>
      </c>
      <c r="G2477" s="12">
        <f>VLOOKUP(C2477,'Jaringan Pipa Luar Gedung'!$D$2:$K$4288,8,FALSE)</f>
        <v>0</v>
      </c>
      <c r="H2477" s="374"/>
      <c r="I2477" s="16"/>
    </row>
    <row r="2478" spans="1:9" ht="24" customHeight="1">
      <c r="B2478" s="1033" t="str">
        <f>'Jaringan Pipa Luar Gedung'!C2560</f>
        <v>9.5.1.10</v>
      </c>
      <c r="C2478" s="39" t="str">
        <f>VLOOKUP(B2478,'Jaringan Pipa Luar Gedung'!C:K,2,FALSE)</f>
        <v>Pemasangan 1 m Pipa Baja Karbon, DN. 20" (500 mm)</v>
      </c>
      <c r="D2478" s="9" t="s">
        <v>1300</v>
      </c>
      <c r="E2478" s="1021">
        <f>VLOOKUP(C2478,'Jaringan Pipa Luar Gedung'!$D$2:$I$4288,6,FALSE)</f>
        <v>3485100</v>
      </c>
      <c r="F2478" s="1003">
        <f>VLOOKUP(C2478,'Jaringan Pipa Luar Gedung'!$D$2:$J$4288,7,FALSE)</f>
        <v>0</v>
      </c>
      <c r="G2478" s="12">
        <f>VLOOKUP(C2478,'Jaringan Pipa Luar Gedung'!$D$2:$K$4288,8,FALSE)</f>
        <v>0</v>
      </c>
      <c r="H2478" s="374"/>
      <c r="I2478" s="16"/>
    </row>
    <row r="2479" spans="1:9" ht="24" customHeight="1">
      <c r="B2479" s="1033" t="str">
        <f>'Jaringan Pipa Luar Gedung'!C2578</f>
        <v>9.5.1.11</v>
      </c>
      <c r="C2479" s="39" t="str">
        <f>VLOOKUP(B2479,'Jaringan Pipa Luar Gedung'!C:K,2,FALSE)</f>
        <v>Pemasangan 1 m Pipa Baja Karbon, DN. 24" (600 mm)</v>
      </c>
      <c r="D2479" s="9" t="s">
        <v>1300</v>
      </c>
      <c r="E2479" s="1021">
        <f>VLOOKUP(C2479,'Jaringan Pipa Luar Gedung'!$D$2:$I$4288,6,FALSE)</f>
        <v>3718200</v>
      </c>
      <c r="F2479" s="1003">
        <f>VLOOKUP(C2479,'Jaringan Pipa Luar Gedung'!$D$2:$J$4288,7,FALSE)</f>
        <v>0</v>
      </c>
      <c r="G2479" s="12">
        <f>VLOOKUP(C2479,'Jaringan Pipa Luar Gedung'!$D$2:$K$4288,8,FALSE)</f>
        <v>0</v>
      </c>
      <c r="H2479" s="374"/>
      <c r="I2479" s="16"/>
    </row>
    <row r="2480" spans="1:9" ht="24" customHeight="1">
      <c r="B2480" s="1033" t="str">
        <f>'Jaringan Pipa Luar Gedung'!C2596</f>
        <v>9.5.1.12</v>
      </c>
      <c r="C2480" s="39" t="str">
        <f>VLOOKUP(B2480,'Jaringan Pipa Luar Gedung'!C:K,2,FALSE)</f>
        <v>Pemasangan 1 m Pipa Baja Karbon, DN. 32" (800 mm)</v>
      </c>
      <c r="D2480" s="9" t="s">
        <v>1300</v>
      </c>
      <c r="E2480" s="1021">
        <f>VLOOKUP(C2480,'Jaringan Pipa Luar Gedung'!$D$2:$I$4288,6,FALSE)</f>
        <v>3959700</v>
      </c>
      <c r="F2480" s="1003">
        <f>VLOOKUP(C2480,'Jaringan Pipa Luar Gedung'!$D$2:$J$4288,7,FALSE)</f>
        <v>0</v>
      </c>
      <c r="G2480" s="12">
        <f>VLOOKUP(C2480,'Jaringan Pipa Luar Gedung'!$D$2:$K$4288,8,FALSE)</f>
        <v>0</v>
      </c>
      <c r="H2480" s="374"/>
      <c r="I2480" s="16"/>
    </row>
    <row r="2481" spans="1:9" ht="24" customHeight="1">
      <c r="B2481" s="1033" t="str">
        <f>'Jaringan Pipa Luar Gedung'!C2614</f>
        <v>9.5.1.13</v>
      </c>
      <c r="C2481" s="39" t="str">
        <f>VLOOKUP(B2481,'Jaringan Pipa Luar Gedung'!C:K,2,FALSE)</f>
        <v>Pemasangan 1 m Pipa Baja Karbon, DN. 36" (900 mm)</v>
      </c>
      <c r="D2481" s="9" t="s">
        <v>1300</v>
      </c>
      <c r="E2481" s="1021">
        <f>VLOOKUP(C2481,'Jaringan Pipa Luar Gedung'!$D$2:$I$4288,6,FALSE)</f>
        <v>4132500</v>
      </c>
      <c r="F2481" s="1003">
        <f>VLOOKUP(C2481,'Jaringan Pipa Luar Gedung'!$D$2:$J$4288,7,FALSE)</f>
        <v>0</v>
      </c>
      <c r="G2481" s="12">
        <f>VLOOKUP(C2481,'Jaringan Pipa Luar Gedung'!$D$2:$K$4288,8,FALSE)</f>
        <v>0</v>
      </c>
      <c r="H2481" s="374"/>
      <c r="I2481" s="16"/>
    </row>
    <row r="2482" spans="1:9" ht="24" customHeight="1">
      <c r="B2482" s="1033" t="str">
        <f>'Jaringan Pipa Luar Gedung'!C2632</f>
        <v>9.5.1.14</v>
      </c>
      <c r="C2482" s="39" t="str">
        <f>VLOOKUP(B2482,'Jaringan Pipa Luar Gedung'!C:K,2,FALSE)</f>
        <v>Pemasangan 1 m Pipa Baja Karbon, DN. 40" (1000 mm)</v>
      </c>
      <c r="D2482" s="9" t="s">
        <v>1300</v>
      </c>
      <c r="E2482" s="1021">
        <f>VLOOKUP(C2482,'Jaringan Pipa Luar Gedung'!$D$2:$I$4288,6,FALSE)</f>
        <v>4540700</v>
      </c>
      <c r="F2482" s="1003">
        <f>VLOOKUP(C2482,'Jaringan Pipa Luar Gedung'!$D$2:$J$4288,7,FALSE)</f>
        <v>0</v>
      </c>
      <c r="G2482" s="12">
        <f>VLOOKUP(C2482,'Jaringan Pipa Luar Gedung'!$D$2:$K$4288,8,FALSE)</f>
        <v>0</v>
      </c>
      <c r="H2482" s="374"/>
      <c r="I2482" s="16"/>
    </row>
    <row r="2483" spans="1:9" ht="24" customHeight="1">
      <c r="B2483" s="1033" t="str">
        <f>'Jaringan Pipa Luar Gedung'!C2650</f>
        <v>9.5.1.15</v>
      </c>
      <c r="C2483" s="39" t="str">
        <f>VLOOKUP(B2483,'Jaringan Pipa Luar Gedung'!C:K,2,FALSE)</f>
        <v>Pemasangan 1 m Pipa Baja Karbon, DN. 44" (1100 mm)</v>
      </c>
      <c r="D2483" s="9" t="s">
        <v>1300</v>
      </c>
      <c r="E2483" s="1021">
        <f>VLOOKUP(C2483,'Jaringan Pipa Luar Gedung'!$D$2:$I$4288,6,FALSE)</f>
        <v>4786200</v>
      </c>
      <c r="F2483" s="1003">
        <f>VLOOKUP(C2483,'Jaringan Pipa Luar Gedung'!$D$2:$J$4288,7,FALSE)</f>
        <v>0</v>
      </c>
      <c r="G2483" s="12">
        <f>VLOOKUP(C2483,'Jaringan Pipa Luar Gedung'!$D$2:$K$4288,8,FALSE)</f>
        <v>0</v>
      </c>
      <c r="H2483" s="374"/>
      <c r="I2483" s="16"/>
    </row>
    <row r="2484" spans="1:9" ht="24" customHeight="1">
      <c r="B2484" s="1033" t="str">
        <f>'Jaringan Pipa Luar Gedung'!C2668</f>
        <v>9.5.1.16</v>
      </c>
      <c r="C2484" s="39" t="str">
        <f>VLOOKUP(B2484,'Jaringan Pipa Luar Gedung'!C:K,2,FALSE)</f>
        <v>Pemasangan 1 m Pipa Baja Karbon, DN. 48" (1200 mm)</v>
      </c>
      <c r="D2484" s="9" t="s">
        <v>1300</v>
      </c>
      <c r="E2484" s="1021">
        <f>VLOOKUP(C2484,'Jaringan Pipa Luar Gedung'!$D$2:$I$4288,6,FALSE)</f>
        <v>5033600</v>
      </c>
      <c r="F2484" s="1003">
        <f>VLOOKUP(C2484,'Jaringan Pipa Luar Gedung'!$D$2:$J$4288,7,FALSE)</f>
        <v>0</v>
      </c>
      <c r="G2484" s="12">
        <f>VLOOKUP(C2484,'Jaringan Pipa Luar Gedung'!$D$2:$K$4288,8,FALSE)</f>
        <v>0</v>
      </c>
      <c r="H2484" s="374"/>
      <c r="I2484" s="16"/>
    </row>
    <row r="2485" spans="1:9" s="1" customFormat="1" ht="24" customHeight="1">
      <c r="A2485" s="47"/>
      <c r="B2485" s="1041" t="str">
        <f>'Jaringan Pipa Luar Gedung'!C2686</f>
        <v xml:space="preserve">9.5.2 </v>
      </c>
      <c r="C2485" s="40" t="str">
        <f>VLOOKUP(B2485,'Jaringan Pipa Luar Gedung'!C:K,2,FALSE)</f>
        <v xml:space="preserve">Pemotongan Pipa Baja Karbon </v>
      </c>
      <c r="D2485" s="19"/>
      <c r="E2485" s="1021">
        <f>VLOOKUP(C2485,'Jaringan Pipa Luar Gedung'!$D$2:$I$4288,6,FALSE)</f>
        <v>0</v>
      </c>
      <c r="F2485" s="1003">
        <f>VLOOKUP(C2485,'Jaringan Pipa Luar Gedung'!$D$2:$J$4288,7,FALSE)</f>
        <v>0</v>
      </c>
      <c r="G2485" s="12">
        <f>VLOOKUP(C2485,'Jaringan Pipa Luar Gedung'!$D$2:$K$4288,8,FALSE)</f>
        <v>0</v>
      </c>
      <c r="H2485" s="1092"/>
      <c r="I2485" s="21"/>
    </row>
    <row r="2486" spans="1:9" ht="24" customHeight="1">
      <c r="B2486" s="1033" t="str">
        <f>'Jaringan Pipa Luar Gedung'!C2687</f>
        <v>9.5.2.1</v>
      </c>
      <c r="C2486" s="39" t="str">
        <f>VLOOKUP(B2486,'Jaringan Pipa Luar Gedung'!C:K,2,FALSE)</f>
        <v>Pemotongan 1 Buah Pipa Baja Karbon, DN. 2-1/2" (65 mm)</v>
      </c>
      <c r="D2486" s="9" t="s">
        <v>44</v>
      </c>
      <c r="E2486" s="1021">
        <f>VLOOKUP(C2486,'Jaringan Pipa Luar Gedung'!$D$2:$I$4288,6,FALSE)</f>
        <v>18200</v>
      </c>
      <c r="F2486" s="1003">
        <f>VLOOKUP(C2486,'Jaringan Pipa Luar Gedung'!$D$2:$J$4288,7,FALSE)</f>
        <v>0</v>
      </c>
      <c r="G2486" s="12">
        <f>VLOOKUP(C2486,'Jaringan Pipa Luar Gedung'!$D$2:$K$4288,8,FALSE)</f>
        <v>0</v>
      </c>
      <c r="H2486" s="374"/>
      <c r="I2486" s="16"/>
    </row>
    <row r="2487" spans="1:9" ht="24" customHeight="1">
      <c r="B2487" s="1033" t="str">
        <f>'Jaringan Pipa Luar Gedung'!C2704</f>
        <v>9.5.2.2</v>
      </c>
      <c r="C2487" s="39" t="str">
        <f>VLOOKUP(B2487,'Jaringan Pipa Luar Gedung'!C:K,2,FALSE)</f>
        <v>Pemotongan 1 Buah Pipa Baja Karbon, DN. 4" (100 mm)</v>
      </c>
      <c r="D2487" s="9" t="s">
        <v>44</v>
      </c>
      <c r="E2487" s="1021">
        <f>VLOOKUP(C2487,'Jaringan Pipa Luar Gedung'!$D$2:$I$4288,6,FALSE)</f>
        <v>16500</v>
      </c>
      <c r="F2487" s="1003">
        <f>VLOOKUP(C2487,'Jaringan Pipa Luar Gedung'!$D$2:$J$4288,7,FALSE)</f>
        <v>0</v>
      </c>
      <c r="G2487" s="12">
        <f>VLOOKUP(C2487,'Jaringan Pipa Luar Gedung'!$D$2:$K$4288,8,FALSE)</f>
        <v>0</v>
      </c>
      <c r="H2487" s="374"/>
      <c r="I2487" s="16"/>
    </row>
    <row r="2488" spans="1:9" ht="24" customHeight="1">
      <c r="B2488" s="1033" t="str">
        <f>'Jaringan Pipa Luar Gedung'!C2720</f>
        <v>9.5.2.3</v>
      </c>
      <c r="C2488" s="39" t="str">
        <f>VLOOKUP(B2488,'Jaringan Pipa Luar Gedung'!C:K,2,FALSE)</f>
        <v>Pemotongan 1 Buah Pipa Baja Karbon, DN. 5" (125 mm)</v>
      </c>
      <c r="D2488" s="9" t="s">
        <v>44</v>
      </c>
      <c r="E2488" s="1021">
        <f>VLOOKUP(C2488,'Jaringan Pipa Luar Gedung'!$D$2:$I$4288,6,FALSE)</f>
        <v>24300</v>
      </c>
      <c r="F2488" s="1003">
        <f>VLOOKUP(C2488,'Jaringan Pipa Luar Gedung'!$D$2:$J$4288,7,FALSE)</f>
        <v>0</v>
      </c>
      <c r="G2488" s="12">
        <f>VLOOKUP(C2488,'Jaringan Pipa Luar Gedung'!$D$2:$K$4288,8,FALSE)</f>
        <v>0</v>
      </c>
      <c r="H2488" s="374"/>
      <c r="I2488" s="16"/>
    </row>
    <row r="2489" spans="1:9" ht="24" customHeight="1">
      <c r="B2489" s="1033" t="str">
        <f>'Jaringan Pipa Luar Gedung'!C2736</f>
        <v>9.5.2.4</v>
      </c>
      <c r="C2489" s="39" t="str">
        <f>VLOOKUP(B2489,'Jaringan Pipa Luar Gedung'!C:K,2,FALSE)</f>
        <v>Pemotongan 1 Buah Pipa Baja Karbon, DN. 6" (150 mm)</v>
      </c>
      <c r="D2489" s="9" t="s">
        <v>44</v>
      </c>
      <c r="E2489" s="1021">
        <f>VLOOKUP(C2489,'Jaringan Pipa Luar Gedung'!$D$2:$I$4288,6,FALSE)</f>
        <v>32600</v>
      </c>
      <c r="F2489" s="1003">
        <f>VLOOKUP(C2489,'Jaringan Pipa Luar Gedung'!$D$2:$J$4288,7,FALSE)</f>
        <v>0</v>
      </c>
      <c r="G2489" s="12">
        <f>VLOOKUP(C2489,'Jaringan Pipa Luar Gedung'!$D$2:$K$4288,8,FALSE)</f>
        <v>0</v>
      </c>
      <c r="H2489" s="374"/>
      <c r="I2489" s="16"/>
    </row>
    <row r="2490" spans="1:9" ht="24" customHeight="1">
      <c r="B2490" s="1033" t="str">
        <f>'Jaringan Pipa Luar Gedung'!C2752</f>
        <v>9.5.2.5</v>
      </c>
      <c r="C2490" s="39" t="str">
        <f>VLOOKUP(B2490,'Jaringan Pipa Luar Gedung'!C:K,2,FALSE)</f>
        <v>Pemotongan 1 Buah Pipa Baja Karbon, DN. 8" (200 mm)</v>
      </c>
      <c r="D2490" s="9" t="s">
        <v>44</v>
      </c>
      <c r="E2490" s="1021">
        <f>VLOOKUP(C2490,'Jaringan Pipa Luar Gedung'!$D$2:$I$4288,6,FALSE)</f>
        <v>79800</v>
      </c>
      <c r="F2490" s="1003">
        <f>VLOOKUP(C2490,'Jaringan Pipa Luar Gedung'!$D$2:$J$4288,7,FALSE)</f>
        <v>0</v>
      </c>
      <c r="G2490" s="12">
        <f>VLOOKUP(C2490,'Jaringan Pipa Luar Gedung'!$D$2:$K$4288,8,FALSE)</f>
        <v>0</v>
      </c>
      <c r="H2490" s="374"/>
      <c r="I2490" s="16"/>
    </row>
    <row r="2491" spans="1:9" ht="24" customHeight="1">
      <c r="B2491" s="1033" t="str">
        <f>'Jaringan Pipa Luar Gedung'!C2768</f>
        <v>9.5.2.6</v>
      </c>
      <c r="C2491" s="39" t="str">
        <f>VLOOKUP(B2491,'Jaringan Pipa Luar Gedung'!C:K,2,FALSE)</f>
        <v>Pemotongan 1 Buah Pipa Baja Karbon, DN. 10" (250 mm)</v>
      </c>
      <c r="D2491" s="9" t="s">
        <v>44</v>
      </c>
      <c r="E2491" s="1021">
        <f>VLOOKUP(C2491,'Jaringan Pipa Luar Gedung'!$D$2:$I$4288,6,FALSE)</f>
        <v>109900</v>
      </c>
      <c r="F2491" s="1003">
        <f>VLOOKUP(C2491,'Jaringan Pipa Luar Gedung'!$D$2:$J$4288,7,FALSE)</f>
        <v>0</v>
      </c>
      <c r="G2491" s="12">
        <f>VLOOKUP(C2491,'Jaringan Pipa Luar Gedung'!$D$2:$K$4288,8,FALSE)</f>
        <v>0</v>
      </c>
      <c r="H2491" s="374"/>
      <c r="I2491" s="16"/>
    </row>
    <row r="2492" spans="1:9" ht="24" customHeight="1">
      <c r="B2492" s="1033" t="str">
        <f>'Jaringan Pipa Luar Gedung'!C2784</f>
        <v>9.5.2.7</v>
      </c>
      <c r="C2492" s="39" t="str">
        <f>VLOOKUP(B2492,'Jaringan Pipa Luar Gedung'!C:K,2,FALSE)</f>
        <v>Pemotongan 1 Buah Pipa Baja Karbon, DN. 12" (300 mm)</v>
      </c>
      <c r="D2492" s="9" t="s">
        <v>44</v>
      </c>
      <c r="E2492" s="1021">
        <f>VLOOKUP(C2492,'Jaringan Pipa Luar Gedung'!$D$2:$I$4288,6,FALSE)</f>
        <v>123000</v>
      </c>
      <c r="F2492" s="1003">
        <f>VLOOKUP(C2492,'Jaringan Pipa Luar Gedung'!$D$2:$J$4288,7,FALSE)</f>
        <v>0</v>
      </c>
      <c r="G2492" s="12">
        <f>VLOOKUP(C2492,'Jaringan Pipa Luar Gedung'!$D$2:$K$4288,8,FALSE)</f>
        <v>0</v>
      </c>
      <c r="H2492" s="374"/>
      <c r="I2492" s="16"/>
    </row>
    <row r="2493" spans="1:9" ht="24" customHeight="1">
      <c r="B2493" s="1033" t="str">
        <f>'Jaringan Pipa Luar Gedung'!C2800</f>
        <v>9.5.2.8</v>
      </c>
      <c r="C2493" s="39" t="str">
        <f>VLOOKUP(B2493,'Jaringan Pipa Luar Gedung'!C:K,2,FALSE)</f>
        <v>Pemotongan 1 Buah Pipa Baja Karbon, DN. 16" (400 mm)</v>
      </c>
      <c r="D2493" s="9" t="s">
        <v>44</v>
      </c>
      <c r="E2493" s="1021">
        <f>VLOOKUP(C2493,'Jaringan Pipa Luar Gedung'!$D$2:$I$4288,6,FALSE)</f>
        <v>235100</v>
      </c>
      <c r="F2493" s="1003">
        <f>VLOOKUP(C2493,'Jaringan Pipa Luar Gedung'!$D$2:$J$4288,7,FALSE)</f>
        <v>0</v>
      </c>
      <c r="G2493" s="12">
        <f>VLOOKUP(C2493,'Jaringan Pipa Luar Gedung'!$D$2:$K$4288,8,FALSE)</f>
        <v>0</v>
      </c>
      <c r="H2493" s="374"/>
      <c r="I2493" s="16"/>
    </row>
    <row r="2494" spans="1:9" ht="24" customHeight="1">
      <c r="B2494" s="1033" t="str">
        <f>'Jaringan Pipa Luar Gedung'!C2816</f>
        <v>9.5.2.9</v>
      </c>
      <c r="C2494" s="39" t="str">
        <f>VLOOKUP(B2494,'Jaringan Pipa Luar Gedung'!C:K,2,FALSE)</f>
        <v>Pemotongan 1 Buah Pipa Baja Karbon, DN. 18" (450 mm)</v>
      </c>
      <c r="D2494" s="9" t="s">
        <v>44</v>
      </c>
      <c r="E2494" s="1021">
        <f>VLOOKUP(C2494,'Jaringan Pipa Luar Gedung'!$D$2:$I$4288,6,FALSE)</f>
        <v>244500</v>
      </c>
      <c r="F2494" s="1003">
        <f>VLOOKUP(C2494,'Jaringan Pipa Luar Gedung'!$D$2:$J$4288,7,FALSE)</f>
        <v>0</v>
      </c>
      <c r="G2494" s="12">
        <f>VLOOKUP(C2494,'Jaringan Pipa Luar Gedung'!$D$2:$K$4288,8,FALSE)</f>
        <v>0</v>
      </c>
      <c r="H2494" s="374"/>
      <c r="I2494" s="16"/>
    </row>
    <row r="2495" spans="1:9" ht="24" customHeight="1">
      <c r="B2495" s="1033" t="str">
        <f>'Jaringan Pipa Luar Gedung'!C2832</f>
        <v>9.5.2.10</v>
      </c>
      <c r="C2495" s="39" t="str">
        <f>VLOOKUP(B2495,'Jaringan Pipa Luar Gedung'!C:K,2,FALSE)</f>
        <v>Pemotongan 1 Buah Pipa Baja Karbon, DN. 20" (500 mm)</v>
      </c>
      <c r="D2495" s="9" t="s">
        <v>44</v>
      </c>
      <c r="E2495" s="1021">
        <f>VLOOKUP(C2495,'Jaringan Pipa Luar Gedung'!$D$2:$I$4288,6,FALSE)</f>
        <v>253900</v>
      </c>
      <c r="F2495" s="1003">
        <f>VLOOKUP(C2495,'Jaringan Pipa Luar Gedung'!$D$2:$J$4288,7,FALSE)</f>
        <v>0</v>
      </c>
      <c r="G2495" s="12">
        <f>VLOOKUP(C2495,'Jaringan Pipa Luar Gedung'!$D$2:$K$4288,8,FALSE)</f>
        <v>0</v>
      </c>
      <c r="H2495" s="374"/>
      <c r="I2495" s="16"/>
    </row>
    <row r="2496" spans="1:9" ht="24" customHeight="1">
      <c r="B2496" s="1033" t="str">
        <f>'Jaringan Pipa Luar Gedung'!C2848</f>
        <v>9.5.2.11</v>
      </c>
      <c r="C2496" s="39" t="str">
        <f>VLOOKUP(B2496,'Jaringan Pipa Luar Gedung'!C:K,2,FALSE)</f>
        <v>Pemotongan 1 Buah Pipa Baja Karbon, DN. 24" (600 mm)</v>
      </c>
      <c r="D2496" s="9" t="s">
        <v>44</v>
      </c>
      <c r="E2496" s="1021">
        <f>VLOOKUP(C2496,'Jaringan Pipa Luar Gedung'!$D$2:$I$4288,6,FALSE)</f>
        <v>319900</v>
      </c>
      <c r="F2496" s="1003">
        <f>VLOOKUP(C2496,'Jaringan Pipa Luar Gedung'!$D$2:$J$4288,7,FALSE)</f>
        <v>0</v>
      </c>
      <c r="G2496" s="12">
        <f>VLOOKUP(C2496,'Jaringan Pipa Luar Gedung'!$D$2:$K$4288,8,FALSE)</f>
        <v>0</v>
      </c>
      <c r="H2496" s="374"/>
      <c r="I2496" s="16"/>
    </row>
    <row r="2497" spans="1:9" ht="24" customHeight="1">
      <c r="B2497" s="1033" t="str">
        <f>'Jaringan Pipa Luar Gedung'!C2864</f>
        <v>9.5.2.12</v>
      </c>
      <c r="C2497" s="39" t="str">
        <f>VLOOKUP(B2497,'Jaringan Pipa Luar Gedung'!C:K,2,FALSE)</f>
        <v>Pemotongan 1 Buah Pipa Baja Karbon, DN. 32" (800 mm)</v>
      </c>
      <c r="D2497" s="9" t="s">
        <v>44</v>
      </c>
      <c r="E2497" s="1021">
        <f>VLOOKUP(C2497,'Jaringan Pipa Luar Gedung'!$D$2:$I$4288,6,FALSE)</f>
        <v>386800</v>
      </c>
      <c r="F2497" s="1003">
        <f>VLOOKUP(C2497,'Jaringan Pipa Luar Gedung'!$D$2:$J$4288,7,FALSE)</f>
        <v>0</v>
      </c>
      <c r="G2497" s="12">
        <f>VLOOKUP(C2497,'Jaringan Pipa Luar Gedung'!$D$2:$K$4288,8,FALSE)</f>
        <v>0</v>
      </c>
      <c r="H2497" s="374"/>
      <c r="I2497" s="16"/>
    </row>
    <row r="2498" spans="1:9" ht="24" customHeight="1">
      <c r="B2498" s="1033" t="str">
        <f>'Jaringan Pipa Luar Gedung'!C2880</f>
        <v>9.5.2.13</v>
      </c>
      <c r="C2498" s="39" t="str">
        <f>VLOOKUP(B2498,'Jaringan Pipa Luar Gedung'!C:K,2,FALSE)</f>
        <v>Pemotongan 1 Buah Pipa Baja Karbon, DN. 36" (900 mm)</v>
      </c>
      <c r="D2498" s="9" t="s">
        <v>44</v>
      </c>
      <c r="E2498" s="1021">
        <f>VLOOKUP(C2498,'Jaringan Pipa Luar Gedung'!$D$2:$I$4288,6,FALSE)</f>
        <v>482300</v>
      </c>
      <c r="F2498" s="1003">
        <f>VLOOKUP(C2498,'Jaringan Pipa Luar Gedung'!$D$2:$J$4288,7,FALSE)</f>
        <v>0</v>
      </c>
      <c r="G2498" s="12">
        <f>VLOOKUP(C2498,'Jaringan Pipa Luar Gedung'!$D$2:$K$4288,8,FALSE)</f>
        <v>0</v>
      </c>
      <c r="H2498" s="374"/>
      <c r="I2498" s="16"/>
    </row>
    <row r="2499" spans="1:9" ht="24" customHeight="1">
      <c r="B2499" s="1033" t="str">
        <f>'Jaringan Pipa Luar Gedung'!C2896</f>
        <v>9.5.2.14</v>
      </c>
      <c r="C2499" s="39" t="str">
        <f>VLOOKUP(B2499,'Jaringan Pipa Luar Gedung'!C:K,2,FALSE)</f>
        <v>Pemotongan 1 Buah Pipa Baja Karbon, DN. 40" (1000 mm)</v>
      </c>
      <c r="D2499" s="9" t="s">
        <v>44</v>
      </c>
      <c r="E2499" s="1021">
        <f>VLOOKUP(C2499,'Jaringan Pipa Luar Gedung'!$D$2:$I$4288,6,FALSE)</f>
        <v>538700</v>
      </c>
      <c r="F2499" s="1003">
        <f>VLOOKUP(C2499,'Jaringan Pipa Luar Gedung'!$D$2:$J$4288,7,FALSE)</f>
        <v>0</v>
      </c>
      <c r="G2499" s="12">
        <f>VLOOKUP(C2499,'Jaringan Pipa Luar Gedung'!$D$2:$K$4288,8,FALSE)</f>
        <v>0</v>
      </c>
      <c r="H2499" s="374"/>
      <c r="I2499" s="16"/>
    </row>
    <row r="2500" spans="1:9" ht="24" customHeight="1">
      <c r="B2500" s="1033" t="str">
        <f>'Jaringan Pipa Luar Gedung'!C2912</f>
        <v>9.5.2.15</v>
      </c>
      <c r="C2500" s="39" t="str">
        <f>VLOOKUP(B2500,'Jaringan Pipa Luar Gedung'!C:K,2,FALSE)</f>
        <v>Pemotongan 1 Buah Pipa Baja Karbon, DN. 44" (1100 mm)</v>
      </c>
      <c r="D2500" s="9" t="s">
        <v>44</v>
      </c>
      <c r="E2500" s="1021">
        <f>VLOOKUP(C2500,'Jaringan Pipa Luar Gedung'!$D$2:$I$4288,6,FALSE)</f>
        <v>594700</v>
      </c>
      <c r="F2500" s="1003">
        <f>VLOOKUP(C2500,'Jaringan Pipa Luar Gedung'!$D$2:$J$4288,7,FALSE)</f>
        <v>0</v>
      </c>
      <c r="G2500" s="12">
        <f>VLOOKUP(C2500,'Jaringan Pipa Luar Gedung'!$D$2:$K$4288,8,FALSE)</f>
        <v>0</v>
      </c>
      <c r="H2500" s="374"/>
      <c r="I2500" s="16"/>
    </row>
    <row r="2501" spans="1:9" ht="24" customHeight="1">
      <c r="B2501" s="1033" t="str">
        <f>'Jaringan Pipa Luar Gedung'!C2928</f>
        <v>9.5.2.16</v>
      </c>
      <c r="C2501" s="39" t="str">
        <f>VLOOKUP(B2501,'Jaringan Pipa Luar Gedung'!C:K,2,FALSE)</f>
        <v>Pemotongan 1 Buah Pipa Baja Karbon, DN. 48" (1200 mm)</v>
      </c>
      <c r="D2501" s="9" t="s">
        <v>44</v>
      </c>
      <c r="E2501" s="1021">
        <f>VLOOKUP(C2501,'Jaringan Pipa Luar Gedung'!$D$2:$I$4288,6,FALSE)</f>
        <v>651100</v>
      </c>
      <c r="F2501" s="1003">
        <f>VLOOKUP(C2501,'Jaringan Pipa Luar Gedung'!$D$2:$J$4288,7,FALSE)</f>
        <v>0</v>
      </c>
      <c r="G2501" s="12">
        <f>VLOOKUP(C2501,'Jaringan Pipa Luar Gedung'!$D$2:$K$4288,8,FALSE)</f>
        <v>0</v>
      </c>
      <c r="H2501" s="374"/>
      <c r="I2501" s="16"/>
    </row>
    <row r="2502" spans="1:9" s="1" customFormat="1" ht="24" customHeight="1">
      <c r="A2502" s="47"/>
      <c r="B2502" s="1043" t="str">
        <f>'Jaringan Pipa Luar Gedung'!C2944</f>
        <v>9.6</v>
      </c>
      <c r="C2502" s="1001" t="str">
        <f>VLOOKUP(B2502,'Jaringan Pipa Luar Gedung'!C:K,2,FALSE)</f>
        <v xml:space="preserve">PIPA BETON </v>
      </c>
      <c r="D2502" s="994"/>
      <c r="E2502" s="1022">
        <f>VLOOKUP(C2502,'Jaringan Pipa Luar Gedung'!$D$2:$I$4288,6,FALSE)</f>
        <v>0</v>
      </c>
      <c r="F2502" s="1004">
        <f>VLOOKUP(C2502,'Jaringan Pipa Luar Gedung'!$D$2:$J$4288,7,FALSE)</f>
        <v>0</v>
      </c>
      <c r="G2502" s="36">
        <f>VLOOKUP(C2502,'Jaringan Pipa Luar Gedung'!$D$2:$K$4288,8,FALSE)</f>
        <v>0</v>
      </c>
      <c r="H2502" s="1092"/>
      <c r="I2502" s="21"/>
    </row>
    <row r="2503" spans="1:9" ht="24" customHeight="1">
      <c r="B2503" s="1033" t="str">
        <f>'Jaringan Pipa Luar Gedung'!C2945</f>
        <v>9.6.1</v>
      </c>
      <c r="C2503" s="39" t="str">
        <f>VLOOKUP(B2503,'Jaringan Pipa Luar Gedung'!C:K,2,FALSE)</f>
        <v xml:space="preserve">Pemasangan Pipa Beton </v>
      </c>
      <c r="D2503" s="9"/>
      <c r="E2503" s="1021">
        <f>VLOOKUP(C2503,'Jaringan Pipa Luar Gedung'!$D$2:$I$4288,6,FALSE)</f>
        <v>0</v>
      </c>
      <c r="F2503" s="1003">
        <f>VLOOKUP(C2503,'Jaringan Pipa Luar Gedung'!$D$2:$J$4288,7,FALSE)</f>
        <v>0</v>
      </c>
      <c r="G2503" s="12">
        <f>VLOOKUP(C2503,'Jaringan Pipa Luar Gedung'!$D$2:$K$4288,8,FALSE)</f>
        <v>0</v>
      </c>
      <c r="H2503" s="374"/>
      <c r="I2503" s="16"/>
    </row>
    <row r="2504" spans="1:9" ht="24" customHeight="1">
      <c r="B2504" s="1033" t="str">
        <f>'Jaringan Pipa Luar Gedung'!C2946</f>
        <v>9.6.1.1</v>
      </c>
      <c r="C2504" s="39" t="str">
        <f>VLOOKUP(B2504,'Jaringan Pipa Luar Gedung'!C:K,2,FALSE)</f>
        <v>Pemasangan 1 m Pipa Beton, DN. 8" (200 mm)</v>
      </c>
      <c r="D2504" s="9" t="s">
        <v>1300</v>
      </c>
      <c r="E2504" s="1021">
        <f>VLOOKUP(C2504,'Jaringan Pipa Luar Gedung'!$D$2:$I$4288,6,FALSE)</f>
        <v>289800</v>
      </c>
      <c r="F2504" s="1003" t="str">
        <f>VLOOKUP(C2504,'Jaringan Pipa Luar Gedung'!$D$2:$J$4288,7,FALSE)</f>
        <v>Revisi</v>
      </c>
      <c r="G2504" s="12" t="str">
        <f>VLOOKUP(C2504,'Jaringan Pipa Luar Gedung'!$D$2:$K$4288,8,FALSE)</f>
        <v xml:space="preserve">Perubahan Diameter (Dia.) Jadi Diameter Nominal (DN) dan Koefisien Pipa Beton </v>
      </c>
      <c r="H2504" s="374"/>
      <c r="I2504" s="16"/>
    </row>
    <row r="2505" spans="1:9" ht="24" customHeight="1">
      <c r="B2505" s="1033" t="str">
        <f>'Jaringan Pipa Luar Gedung'!C2966</f>
        <v>9.6.1.2</v>
      </c>
      <c r="C2505" s="39" t="str">
        <f>VLOOKUP(B2505,'Jaringan Pipa Luar Gedung'!C:K,2,FALSE)</f>
        <v>Pemasangan 1 m Pipa Beton, DN. 12" (300 mm)</v>
      </c>
      <c r="D2505" s="9" t="s">
        <v>1300</v>
      </c>
      <c r="E2505" s="1021">
        <f>VLOOKUP(C2505,'Jaringan Pipa Luar Gedung'!$D$2:$I$4288,6,FALSE)</f>
        <v>325400</v>
      </c>
      <c r="F2505" s="1003" t="str">
        <f>VLOOKUP(C2505,'Jaringan Pipa Luar Gedung'!$D$2:$J$4288,7,FALSE)</f>
        <v>Revisi</v>
      </c>
      <c r="G2505" s="12" t="str">
        <f>VLOOKUP(C2505,'Jaringan Pipa Luar Gedung'!$D$2:$K$4288,8,FALSE)</f>
        <v xml:space="preserve">Perubahan Diameter (Dia.) Jadi Diameter Nominal (DN) dan Koefisien Pipa Beton </v>
      </c>
      <c r="H2505" s="374"/>
      <c r="I2505" s="16"/>
    </row>
    <row r="2506" spans="1:9" ht="24" customHeight="1">
      <c r="B2506" s="1033" t="str">
        <f>'Jaringan Pipa Luar Gedung'!C2986</f>
        <v>9.6.1.3</v>
      </c>
      <c r="C2506" s="39" t="str">
        <f>VLOOKUP(B2506,'Jaringan Pipa Luar Gedung'!C:K,2,FALSE)</f>
        <v>Pemasangan 1 m Pipa Beton, DN. 16" (400 mm)</v>
      </c>
      <c r="D2506" s="9" t="s">
        <v>1300</v>
      </c>
      <c r="E2506" s="1021">
        <f>VLOOKUP(C2506,'Jaringan Pipa Luar Gedung'!$D$2:$I$4288,6,FALSE)</f>
        <v>359300</v>
      </c>
      <c r="F2506" s="1003" t="str">
        <f>VLOOKUP(C2506,'Jaringan Pipa Luar Gedung'!$D$2:$J$4288,7,FALSE)</f>
        <v>Revisi</v>
      </c>
      <c r="G2506" s="12" t="str">
        <f>VLOOKUP(C2506,'Jaringan Pipa Luar Gedung'!$D$2:$K$4288,8,FALSE)</f>
        <v xml:space="preserve">Perubahan Diameter (Dia.) Jadi Diameter Nominal (DN) dan Koefisien Pipa Beton </v>
      </c>
      <c r="H2506" s="374"/>
      <c r="I2506" s="16"/>
    </row>
    <row r="2507" spans="1:9" ht="24" customHeight="1">
      <c r="B2507" s="1033" t="str">
        <f>'Jaringan Pipa Luar Gedung'!C3006</f>
        <v>9.6.1.4</v>
      </c>
      <c r="C2507" s="39" t="str">
        <f>VLOOKUP(B2507,'Jaringan Pipa Luar Gedung'!C:K,2,FALSE)</f>
        <v>Pemasangan 1 m Pipa Beton, DN. 20" (500 mm)</v>
      </c>
      <c r="D2507" s="9" t="s">
        <v>1300</v>
      </c>
      <c r="E2507" s="1021">
        <f>VLOOKUP(C2507,'Jaringan Pipa Luar Gedung'!$D$2:$I$4288,6,FALSE)</f>
        <v>380200</v>
      </c>
      <c r="F2507" s="1003" t="str">
        <f>VLOOKUP(C2507,'Jaringan Pipa Luar Gedung'!$D$2:$J$4288,7,FALSE)</f>
        <v>Revisi</v>
      </c>
      <c r="G2507" s="12" t="str">
        <f>VLOOKUP(C2507,'Jaringan Pipa Luar Gedung'!$D$2:$K$4288,8,FALSE)</f>
        <v xml:space="preserve">Perubahan Diameter (Dia.) Jadi Diameter Nominal (DN) dan Koefisien Pipa Beton </v>
      </c>
      <c r="H2507" s="374"/>
      <c r="I2507" s="16"/>
    </row>
    <row r="2508" spans="1:9" ht="24" customHeight="1">
      <c r="B2508" s="1033" t="str">
        <f>'Jaringan Pipa Luar Gedung'!C3026</f>
        <v>9.6.1.5</v>
      </c>
      <c r="C2508" s="39" t="str">
        <f>VLOOKUP(B2508,'Jaringan Pipa Luar Gedung'!C:K,2,FALSE)</f>
        <v>Pemasangan 1 m Pipa Beton, DN. 24" (600 mm)</v>
      </c>
      <c r="D2508" s="9" t="s">
        <v>1300</v>
      </c>
      <c r="E2508" s="1021">
        <f>VLOOKUP(C2508,'Jaringan Pipa Luar Gedung'!$D$2:$I$4288,6,FALSE)</f>
        <v>459000</v>
      </c>
      <c r="F2508" s="1003" t="str">
        <f>VLOOKUP(C2508,'Jaringan Pipa Luar Gedung'!$D$2:$J$4288,7,FALSE)</f>
        <v>Revisi</v>
      </c>
      <c r="G2508" s="12" t="str">
        <f>VLOOKUP(C2508,'Jaringan Pipa Luar Gedung'!$D$2:$K$4288,8,FALSE)</f>
        <v xml:space="preserve">Perubahan Diameter (Dia.) Jadi Diameter Nominal (DN) dan Koefisien Pipa Beton </v>
      </c>
      <c r="H2508" s="374"/>
      <c r="I2508" s="16"/>
    </row>
    <row r="2509" spans="1:9" ht="24" customHeight="1">
      <c r="B2509" s="1033" t="str">
        <f>'Jaringan Pipa Luar Gedung'!C3046</f>
        <v>9.6.1.6</v>
      </c>
      <c r="C2509" s="39" t="str">
        <f>VLOOKUP(B2509,'Jaringan Pipa Luar Gedung'!C:K,2,FALSE)</f>
        <v>Pemasangan 1 m Pipa Beton, DN. 28" (700 mm)</v>
      </c>
      <c r="D2509" s="9" t="s">
        <v>1300</v>
      </c>
      <c r="E2509" s="1021">
        <f>VLOOKUP(C2509,'Jaringan Pipa Luar Gedung'!$D$2:$I$4288,6,FALSE)</f>
        <v>533800</v>
      </c>
      <c r="F2509" s="1003" t="str">
        <f>VLOOKUP(C2509,'Jaringan Pipa Luar Gedung'!$D$2:$J$4288,7,FALSE)</f>
        <v>Revisi</v>
      </c>
      <c r="G2509" s="12" t="str">
        <f>VLOOKUP(C2509,'Jaringan Pipa Luar Gedung'!$D$2:$K$4288,8,FALSE)</f>
        <v xml:space="preserve">Perubahan Diameter (Dia.) Jadi Diameter Nominal (DN) dan Koefisien Pipa Beton </v>
      </c>
      <c r="H2509" s="374"/>
      <c r="I2509" s="16"/>
    </row>
    <row r="2510" spans="1:9" ht="24" customHeight="1">
      <c r="B2510" s="1033" t="str">
        <f>'Jaringan Pipa Luar Gedung'!C3066</f>
        <v>9.6.1.7</v>
      </c>
      <c r="C2510" s="39" t="str">
        <f>VLOOKUP(B2510,'Jaringan Pipa Luar Gedung'!C:K,2,FALSE)</f>
        <v>Pemasangan 1 m Pipa Beton, DN. 32" (800 mm)</v>
      </c>
      <c r="D2510" s="9" t="s">
        <v>1300</v>
      </c>
      <c r="E2510" s="1021">
        <f>VLOOKUP(C2510,'Jaringan Pipa Luar Gedung'!$D$2:$I$4288,6,FALSE)</f>
        <v>671000</v>
      </c>
      <c r="F2510" s="1003" t="str">
        <f>VLOOKUP(C2510,'Jaringan Pipa Luar Gedung'!$D$2:$J$4288,7,FALSE)</f>
        <v>Revisi</v>
      </c>
      <c r="G2510" s="12" t="str">
        <f>VLOOKUP(C2510,'Jaringan Pipa Luar Gedung'!$D$2:$K$4288,8,FALSE)</f>
        <v xml:space="preserve">Perubahan Diameter (Dia.) Jadi Diameter Nominal (DN) dan Koefisien Pipa Beton </v>
      </c>
      <c r="H2510" s="374"/>
      <c r="I2510" s="16"/>
    </row>
    <row r="2511" spans="1:9" ht="24" customHeight="1">
      <c r="B2511" s="1033" t="str">
        <f>'Jaringan Pipa Luar Gedung'!C3086</f>
        <v>9.6.1.8</v>
      </c>
      <c r="C2511" s="39" t="str">
        <f>VLOOKUP(B2511,'Jaringan Pipa Luar Gedung'!C:K,2,FALSE)</f>
        <v>Pemasangan 1 m Pipa Beton, DN. 40" (1000 mm)</v>
      </c>
      <c r="D2511" s="9" t="s">
        <v>1300</v>
      </c>
      <c r="E2511" s="1021">
        <f>VLOOKUP(C2511,'Jaringan Pipa Luar Gedung'!$D$2:$I$4288,6,FALSE)</f>
        <v>759000</v>
      </c>
      <c r="F2511" s="1003" t="str">
        <f>VLOOKUP(C2511,'Jaringan Pipa Luar Gedung'!$D$2:$J$4288,7,FALSE)</f>
        <v>Revisi</v>
      </c>
      <c r="G2511" s="12" t="str">
        <f>VLOOKUP(C2511,'Jaringan Pipa Luar Gedung'!$D$2:$K$4288,8,FALSE)</f>
        <v xml:space="preserve">Perubahan Diameter (Dia.) Jadi Diameter Nominal (DN) dan Koefisien Pipa Beton </v>
      </c>
      <c r="H2511" s="374"/>
      <c r="I2511" s="16"/>
    </row>
    <row r="2512" spans="1:9" ht="24" customHeight="1">
      <c r="B2512" s="1033" t="str">
        <f>'Jaringan Pipa Luar Gedung'!C3106</f>
        <v>9.6.1.9</v>
      </c>
      <c r="C2512" s="39" t="str">
        <f>VLOOKUP(B2512,'Jaringan Pipa Luar Gedung'!C:K,2,FALSE)</f>
        <v>Pemasangan 1 m Pipa Beton, DN. 48" (1200 mm)</v>
      </c>
      <c r="D2512" s="9" t="s">
        <v>1300</v>
      </c>
      <c r="E2512" s="1021">
        <f>VLOOKUP(C2512,'Jaringan Pipa Luar Gedung'!$D$2:$I$4288,6,FALSE)</f>
        <v>862600</v>
      </c>
      <c r="F2512" s="1003" t="str">
        <f>VLOOKUP(C2512,'Jaringan Pipa Luar Gedung'!$D$2:$J$4288,7,FALSE)</f>
        <v>Revisi</v>
      </c>
      <c r="G2512" s="12" t="str">
        <f>VLOOKUP(C2512,'Jaringan Pipa Luar Gedung'!$D$2:$K$4288,8,FALSE)</f>
        <v xml:space="preserve">Perubahan Diameter (Dia.) Jadi Diameter Nominal (DN) dan Koefisien Pipa Beton </v>
      </c>
      <c r="H2512" s="374"/>
      <c r="I2512" s="16"/>
    </row>
    <row r="2513" spans="1:9" s="1" customFormat="1" ht="24" customHeight="1">
      <c r="A2513" s="47"/>
      <c r="B2513" s="1043" t="str">
        <f>'Jaringan Pipa Luar Gedung'!C3126</f>
        <v>9.7</v>
      </c>
      <c r="C2513" s="1001" t="str">
        <f>VLOOKUP(B2513,'Jaringan Pipa Luar Gedung'!C:K,2,FALSE)</f>
        <v xml:space="preserve">AKSESORIS PIPA </v>
      </c>
      <c r="D2513" s="994"/>
      <c r="E2513" s="1022">
        <f>VLOOKUP(C2513,'Jaringan Pipa Luar Gedung'!$D$2:$I$4288,6,FALSE)</f>
        <v>0</v>
      </c>
      <c r="F2513" s="1004">
        <f>VLOOKUP(C2513,'Jaringan Pipa Luar Gedung'!$D$2:$J$4288,7,FALSE)</f>
        <v>0</v>
      </c>
      <c r="G2513" s="36">
        <f>VLOOKUP(C2513,'Jaringan Pipa Luar Gedung'!$D$2:$K$4288,8,FALSE)</f>
        <v>0</v>
      </c>
      <c r="H2513" s="1092"/>
      <c r="I2513" s="21"/>
    </row>
    <row r="2514" spans="1:9" ht="24" customHeight="1">
      <c r="B2514" s="1033" t="str">
        <f>'Jaringan Pipa Luar Gedung'!C3127</f>
        <v>9.7.1</v>
      </c>
      <c r="C2514" s="39" t="str">
        <f>VLOOKUP(B2514,'Jaringan Pipa Luar Gedung'!C:K,2,FALSE)</f>
        <v xml:space="preserve">Sambungan Pipa Baru ke Pipa Lama </v>
      </c>
      <c r="D2514" s="9"/>
      <c r="E2514" s="1021">
        <f>VLOOKUP(C2514,'Jaringan Pipa Luar Gedung'!$D$2:$I$4288,6,FALSE)</f>
        <v>0</v>
      </c>
      <c r="F2514" s="1003">
        <f>VLOOKUP(C2514,'Jaringan Pipa Luar Gedung'!$D$2:$J$4288,7,FALSE)</f>
        <v>0</v>
      </c>
      <c r="G2514" s="12">
        <f>VLOOKUP(C2514,'Jaringan Pipa Luar Gedung'!$D$2:$K$4288,8,FALSE)</f>
        <v>0</v>
      </c>
      <c r="H2514" s="374"/>
      <c r="I2514" s="16"/>
    </row>
    <row r="2515" spans="1:9" ht="24" customHeight="1">
      <c r="B2515" s="1033" t="str">
        <f>'Jaringan Pipa Luar Gedung'!C3128</f>
        <v>9.7.1.1</v>
      </c>
      <c r="C2515" s="39" t="str">
        <f>VLOOKUP(B2515,'Jaringan Pipa Luar Gedung'!C:K,2,FALSE)</f>
        <v>Penyambungan 1 buah Pipa Baru ke Pipa Yang Ada, DN. 3" (80 mm)</v>
      </c>
      <c r="D2515" s="9" t="s">
        <v>44</v>
      </c>
      <c r="E2515" s="1021">
        <f>VLOOKUP(C2515,'Jaringan Pipa Luar Gedung'!$D$2:$I$4288,6,FALSE)</f>
        <v>759200</v>
      </c>
      <c r="F2515" s="1003" t="str">
        <f>VLOOKUP(C2515,'Jaringan Pipa Luar Gedung'!$D$2:$J$4288,7,FALSE)</f>
        <v>Revisi</v>
      </c>
      <c r="G2515" s="12" t="str">
        <f>VLOOKUP(C2515,'Jaringan Pipa Luar Gedung'!$D$2:$K$4288,8,FALSE)</f>
        <v>Perubahan diameter (dia.) menjadi Diameter Nominal (DN)</v>
      </c>
      <c r="H2515" s="374"/>
      <c r="I2515" s="16"/>
    </row>
    <row r="2516" spans="1:9" ht="24" customHeight="1">
      <c r="B2516" s="1033" t="str">
        <f>'Jaringan Pipa Luar Gedung'!C3147</f>
        <v>9.7.1.2</v>
      </c>
      <c r="C2516" s="39" t="str">
        <f>VLOOKUP(B2516,'Jaringan Pipa Luar Gedung'!C:K,2,FALSE)</f>
        <v>Penyambungan 1 buah Pipa Baru ke Pipa Yang Ada, DN. 4" (100 mm)</v>
      </c>
      <c r="D2516" s="9" t="s">
        <v>44</v>
      </c>
      <c r="E2516" s="1021">
        <f>VLOOKUP(C2516,'Jaringan Pipa Luar Gedung'!$D$2:$I$4288,6,FALSE)</f>
        <v>852400</v>
      </c>
      <c r="F2516" s="1003" t="str">
        <f>VLOOKUP(C2516,'Jaringan Pipa Luar Gedung'!$D$2:$J$4288,7,FALSE)</f>
        <v>Revisi</v>
      </c>
      <c r="G2516" s="12" t="str">
        <f>VLOOKUP(C2516,'Jaringan Pipa Luar Gedung'!$D$2:$K$4288,8,FALSE)</f>
        <v>Perubahan diameter (dia.) menjadi Diameter Nominal (DN)</v>
      </c>
      <c r="H2516" s="374"/>
      <c r="I2516" s="16"/>
    </row>
    <row r="2517" spans="1:9" ht="24" customHeight="1">
      <c r="B2517" s="1033" t="str">
        <f>'Jaringan Pipa Luar Gedung'!C3166</f>
        <v>9.7.1.3</v>
      </c>
      <c r="C2517" s="39" t="str">
        <f>VLOOKUP(B2517,'Jaringan Pipa Luar Gedung'!C:K,2,FALSE)</f>
        <v>Penyambungan 1 buah Pipa Baru ke Pipa Yang Ada, DN. 6" (150 mm)</v>
      </c>
      <c r="D2517" s="9" t="s">
        <v>44</v>
      </c>
      <c r="E2517" s="1021">
        <f>VLOOKUP(C2517,'Jaringan Pipa Luar Gedung'!$D$2:$I$4288,6,FALSE)</f>
        <v>1085300</v>
      </c>
      <c r="F2517" s="1003" t="str">
        <f>VLOOKUP(C2517,'Jaringan Pipa Luar Gedung'!$D$2:$J$4288,7,FALSE)</f>
        <v>Revisi</v>
      </c>
      <c r="G2517" s="12" t="str">
        <f>VLOOKUP(C2517,'Jaringan Pipa Luar Gedung'!$D$2:$K$4288,8,FALSE)</f>
        <v>Perubahan diameter (dia.) menjadi Diameter Nominal (DN)</v>
      </c>
      <c r="H2517" s="374"/>
      <c r="I2517" s="16"/>
    </row>
    <row r="2518" spans="1:9" ht="24" customHeight="1">
      <c r="B2518" s="1033" t="str">
        <f>'Jaringan Pipa Luar Gedung'!C3185</f>
        <v>9.7.1.4</v>
      </c>
      <c r="C2518" s="39" t="str">
        <f>VLOOKUP(B2518,'Jaringan Pipa Luar Gedung'!C:K,2,FALSE)</f>
        <v>Penyambungan 1 buah Pipa Baru ke Pipa Yang Ada, DN. 8" (200 mm)</v>
      </c>
      <c r="D2518" s="9" t="s">
        <v>44</v>
      </c>
      <c r="E2518" s="1021">
        <f>VLOOKUP(C2518,'Jaringan Pipa Luar Gedung'!$D$2:$I$4288,6,FALSE)</f>
        <v>1318200</v>
      </c>
      <c r="F2518" s="1003" t="str">
        <f>VLOOKUP(C2518,'Jaringan Pipa Luar Gedung'!$D$2:$J$4288,7,FALSE)</f>
        <v>Revisi</v>
      </c>
      <c r="G2518" s="12" t="str">
        <f>VLOOKUP(C2518,'Jaringan Pipa Luar Gedung'!$D$2:$K$4288,8,FALSE)</f>
        <v>Perubahan diameter (dia.) menjadi Diameter Nominal (DN)</v>
      </c>
      <c r="H2518" s="374"/>
      <c r="I2518" s="16"/>
    </row>
    <row r="2519" spans="1:9" ht="24" customHeight="1">
      <c r="B2519" s="1033" t="str">
        <f>'Jaringan Pipa Luar Gedung'!C3204</f>
        <v>9.7.1.5</v>
      </c>
      <c r="C2519" s="39" t="str">
        <f>VLOOKUP(B2519,'Jaringan Pipa Luar Gedung'!C:K,2,FALSE)</f>
        <v>Penyambungan 1 buah Pipa Baru ke Pipa Yang Ada, DN. 10" (250 mm)</v>
      </c>
      <c r="D2519" s="9" t="s">
        <v>44</v>
      </c>
      <c r="E2519" s="1021">
        <f>VLOOKUP(C2519,'Jaringan Pipa Luar Gedung'!$D$2:$I$4288,6,FALSE)</f>
        <v>1551100</v>
      </c>
      <c r="F2519" s="1003" t="str">
        <f>VLOOKUP(C2519,'Jaringan Pipa Luar Gedung'!$D$2:$J$4288,7,FALSE)</f>
        <v>Revisi</v>
      </c>
      <c r="G2519" s="12" t="str">
        <f>VLOOKUP(C2519,'Jaringan Pipa Luar Gedung'!$D$2:$K$4288,8,FALSE)</f>
        <v>Perubahan diameter (dia.) menjadi Diameter Nominal (DN)</v>
      </c>
      <c r="H2519" s="374"/>
      <c r="I2519" s="16"/>
    </row>
    <row r="2520" spans="1:9" ht="24" customHeight="1">
      <c r="B2520" s="1033" t="str">
        <f>'Jaringan Pipa Luar Gedung'!C3223</f>
        <v>9.7.1.6</v>
      </c>
      <c r="C2520" s="39" t="str">
        <f>VLOOKUP(B2520,'Jaringan Pipa Luar Gedung'!C:K,2,FALSE)</f>
        <v>Penyambungan 1 buah Pipa Baru ke Pipa Yang Ada, DN. 12" (300 mm)</v>
      </c>
      <c r="D2520" s="9" t="s">
        <v>44</v>
      </c>
      <c r="E2520" s="1021">
        <f>VLOOKUP(C2520,'Jaringan Pipa Luar Gedung'!$D$2:$I$4288,6,FALSE)</f>
        <v>1784100</v>
      </c>
      <c r="F2520" s="1003" t="str">
        <f>VLOOKUP(C2520,'Jaringan Pipa Luar Gedung'!$D$2:$J$4288,7,FALSE)</f>
        <v>Revisi</v>
      </c>
      <c r="G2520" s="12" t="str">
        <f>VLOOKUP(C2520,'Jaringan Pipa Luar Gedung'!$D$2:$K$4288,8,FALSE)</f>
        <v>Perubahan diameter (dia.) menjadi Diameter Nominal (DN)</v>
      </c>
      <c r="H2520" s="374"/>
      <c r="I2520" s="16"/>
    </row>
    <row r="2521" spans="1:9" ht="24" customHeight="1">
      <c r="B2521" s="1033" t="str">
        <f>'Jaringan Pipa Luar Gedung'!C3242</f>
        <v>9.7.1.7</v>
      </c>
      <c r="C2521" s="39" t="str">
        <f>VLOOKUP(B2521,'Jaringan Pipa Luar Gedung'!C:K,2,FALSE)</f>
        <v>Penyambungan 1 buah Pipa Baru ke Pipa Yang Ada, DN. 16" (400 mm)</v>
      </c>
      <c r="D2521" s="9" t="s">
        <v>44</v>
      </c>
      <c r="E2521" s="1021">
        <f>VLOOKUP(C2521,'Jaringan Pipa Luar Gedung'!$D$2:$I$4288,6,FALSE)</f>
        <v>2249900</v>
      </c>
      <c r="F2521" s="1003" t="str">
        <f>VLOOKUP(C2521,'Jaringan Pipa Luar Gedung'!$D$2:$J$4288,7,FALSE)</f>
        <v>Revisi</v>
      </c>
      <c r="G2521" s="12" t="str">
        <f>VLOOKUP(C2521,'Jaringan Pipa Luar Gedung'!$D$2:$K$4288,8,FALSE)</f>
        <v>Perubahan diameter (dia.) menjadi Diameter Nominal (DN)</v>
      </c>
      <c r="H2521" s="374"/>
      <c r="I2521" s="16"/>
    </row>
    <row r="2522" spans="1:9" ht="24" customHeight="1">
      <c r="B2522" s="1033" t="str">
        <f>'Jaringan Pipa Luar Gedung'!C3261</f>
        <v>9.7.1.8</v>
      </c>
      <c r="C2522" s="39" t="str">
        <f>VLOOKUP(B2522,'Jaringan Pipa Luar Gedung'!C:K,2,FALSE)</f>
        <v>Penyambungan 1 buah Pipa Baru ke Pipa Yang Ada, DN. 18" (450 mm)</v>
      </c>
      <c r="D2522" s="9" t="s">
        <v>44</v>
      </c>
      <c r="E2522" s="1021">
        <f>VLOOKUP(C2522,'Jaringan Pipa Luar Gedung'!$D$2:$I$4288,6,FALSE)</f>
        <v>2482800</v>
      </c>
      <c r="F2522" s="1003" t="str">
        <f>VLOOKUP(C2522,'Jaringan Pipa Luar Gedung'!$D$2:$J$4288,7,FALSE)</f>
        <v>Revisi</v>
      </c>
      <c r="G2522" s="12" t="str">
        <f>VLOOKUP(C2522,'Jaringan Pipa Luar Gedung'!$D$2:$K$4288,8,FALSE)</f>
        <v>Perubahan diameter (dia.) menjadi Diameter Nominal (DN)</v>
      </c>
      <c r="H2522" s="374"/>
      <c r="I2522" s="16"/>
    </row>
    <row r="2523" spans="1:9" ht="24" customHeight="1">
      <c r="B2523" s="1033" t="str">
        <f>'Jaringan Pipa Luar Gedung'!C3280</f>
        <v>9.7.1.9</v>
      </c>
      <c r="C2523" s="39" t="str">
        <f>VLOOKUP(B2523,'Jaringan Pipa Luar Gedung'!C:K,2,FALSE)</f>
        <v>Penyambungan 1 buah Pipa Baru ke Pipa Yang Ada, DN. 20" (500 mm)</v>
      </c>
      <c r="D2523" s="9" t="s">
        <v>44</v>
      </c>
      <c r="E2523" s="1021">
        <f>VLOOKUP(C2523,'Jaringan Pipa Luar Gedung'!$D$2:$I$4288,6,FALSE)</f>
        <v>2715700</v>
      </c>
      <c r="F2523" s="1003" t="str">
        <f>VLOOKUP(C2523,'Jaringan Pipa Luar Gedung'!$D$2:$J$4288,7,FALSE)</f>
        <v>Revisi</v>
      </c>
      <c r="G2523" s="12" t="str">
        <f>VLOOKUP(C2523,'Jaringan Pipa Luar Gedung'!$D$2:$K$4288,8,FALSE)</f>
        <v>Perubahan diameter (dia.) menjadi Diameter Nominal (DN)</v>
      </c>
      <c r="H2523" s="374"/>
      <c r="I2523" s="16"/>
    </row>
    <row r="2524" spans="1:9" ht="24" customHeight="1">
      <c r="B2524" s="1033" t="str">
        <f>'Jaringan Pipa Luar Gedung'!C3299</f>
        <v>9.7.1.10</v>
      </c>
      <c r="C2524" s="39" t="str">
        <f>VLOOKUP(B2524,'Jaringan Pipa Luar Gedung'!C:K,2,FALSE)</f>
        <v>Penyambungan 1 buah Pipa Baru ke Pipa Yang Ada, DN. 24" (600 mm)</v>
      </c>
      <c r="D2524" s="9" t="s">
        <v>44</v>
      </c>
      <c r="E2524" s="1021">
        <f>VLOOKUP(C2524,'Jaringan Pipa Luar Gedung'!$D$2:$I$4288,6,FALSE)</f>
        <v>3181600</v>
      </c>
      <c r="F2524" s="1003" t="str">
        <f>VLOOKUP(C2524,'Jaringan Pipa Luar Gedung'!$D$2:$J$4288,7,FALSE)</f>
        <v>Revisi</v>
      </c>
      <c r="G2524" s="12" t="str">
        <f>VLOOKUP(C2524,'Jaringan Pipa Luar Gedung'!$D$2:$K$4288,8,FALSE)</f>
        <v>Perubahan diameter (dia.) menjadi Diameter Nominal (DN)</v>
      </c>
      <c r="H2524" s="374"/>
      <c r="I2524" s="16"/>
    </row>
    <row r="2525" spans="1:9" ht="24" customHeight="1">
      <c r="B2525" s="1033" t="str">
        <f>'Jaringan Pipa Luar Gedung'!C3318</f>
        <v>9.7.1.11</v>
      </c>
      <c r="C2525" s="39" t="str">
        <f>VLOOKUP(B2525,'Jaringan Pipa Luar Gedung'!C:K,2,FALSE)</f>
        <v>Penyambungan 1 buah Pipa Baru ke Pipa Yang Ada, DN. 28" (700 mm)</v>
      </c>
      <c r="D2525" s="9" t="s">
        <v>44</v>
      </c>
      <c r="E2525" s="1021">
        <f>VLOOKUP(C2525,'Jaringan Pipa Luar Gedung'!$D$2:$I$4288,6,FALSE)</f>
        <v>3647400</v>
      </c>
      <c r="F2525" s="1003" t="str">
        <f>VLOOKUP(C2525,'Jaringan Pipa Luar Gedung'!$D$2:$J$4288,7,FALSE)</f>
        <v>Revisi</v>
      </c>
      <c r="G2525" s="12" t="str">
        <f>VLOOKUP(C2525,'Jaringan Pipa Luar Gedung'!$D$2:$K$4288,8,FALSE)</f>
        <v>Perubahan diameter (dia.) menjadi Diameter Nominal (DN)</v>
      </c>
      <c r="H2525" s="374"/>
      <c r="I2525" s="16"/>
    </row>
    <row r="2526" spans="1:9" ht="24" customHeight="1">
      <c r="B2526" s="1033" t="str">
        <f>'Jaringan Pipa Luar Gedung'!C3338</f>
        <v>9.7.1.12</v>
      </c>
      <c r="C2526" s="39" t="str">
        <f>VLOOKUP(B2526,'Jaringan Pipa Luar Gedung'!C:K,2,FALSE)</f>
        <v>Penyambungan 1 buah Pipa Baru ke Pipa Yang Ada, DN. 32" (800 mm)</v>
      </c>
      <c r="D2526" s="9" t="s">
        <v>44</v>
      </c>
      <c r="E2526" s="1021">
        <f>VLOOKUP(C2526,'Jaringan Pipa Luar Gedung'!$D$2:$I$4288,6,FALSE)</f>
        <v>4113200</v>
      </c>
      <c r="F2526" s="1003" t="str">
        <f>VLOOKUP(C2526,'Jaringan Pipa Luar Gedung'!$D$2:$J$4288,7,FALSE)</f>
        <v>Revisi</v>
      </c>
      <c r="G2526" s="12" t="str">
        <f>VLOOKUP(C2526,'Jaringan Pipa Luar Gedung'!$D$2:$K$4288,8,FALSE)</f>
        <v>Perubahan diameter (dia.) menjadi Diameter Nominal (DN)</v>
      </c>
      <c r="H2526" s="374"/>
      <c r="I2526" s="16"/>
    </row>
    <row r="2527" spans="1:9" ht="24" customHeight="1">
      <c r="B2527" s="1033" t="str">
        <f>'Jaringan Pipa Luar Gedung'!C3357</f>
        <v>9.7.1.13</v>
      </c>
      <c r="C2527" s="39" t="str">
        <f>VLOOKUP(B2527,'Jaringan Pipa Luar Gedung'!C:K,2,FALSE)</f>
        <v>Penyambungan 1 buah Pipa Baru ke Pipa Yang Ada, DN. 1/2" (15 mm)</v>
      </c>
      <c r="D2527" s="9" t="s">
        <v>44</v>
      </c>
      <c r="E2527" s="1021">
        <f>VLOOKUP(C2527,'Jaringan Pipa Luar Gedung'!$D$2:$I$4288,6,FALSE)</f>
        <v>155600</v>
      </c>
      <c r="F2527" s="1003" t="str">
        <f>VLOOKUP(C2527,'Jaringan Pipa Luar Gedung'!$D$2:$J$4288,7,FALSE)</f>
        <v>Revisi</v>
      </c>
      <c r="G2527" s="12" t="str">
        <f>VLOOKUP(C2527,'Jaringan Pipa Luar Gedung'!$D$2:$K$4288,8,FALSE)</f>
        <v>Perubahan diameter (dia.) menjadi Diameter Nominal (DN)</v>
      </c>
      <c r="H2527" s="374"/>
      <c r="I2527" s="16"/>
    </row>
    <row r="2528" spans="1:9" ht="24" customHeight="1">
      <c r="B2528" s="1033" t="str">
        <f>'Jaringan Pipa Luar Gedung'!C3373</f>
        <v>9.7.1.14</v>
      </c>
      <c r="C2528" s="39" t="str">
        <f>VLOOKUP(B2528,'Jaringan Pipa Luar Gedung'!C:K,2,FALSE)</f>
        <v>Penyambungan 1 buah Pipa Baru ke Pipa Yang Ada, DN. 3/4" (20 mm)</v>
      </c>
      <c r="D2528" s="9" t="s">
        <v>44</v>
      </c>
      <c r="E2528" s="1021">
        <f>VLOOKUP(C2528,'Jaringan Pipa Luar Gedung'!$D$2:$I$4288,6,FALSE)</f>
        <v>194500</v>
      </c>
      <c r="F2528" s="1003" t="str">
        <f>VLOOKUP(C2528,'Jaringan Pipa Luar Gedung'!$D$2:$J$4288,7,FALSE)</f>
        <v>Revisi</v>
      </c>
      <c r="G2528" s="12" t="str">
        <f>VLOOKUP(C2528,'Jaringan Pipa Luar Gedung'!$D$2:$K$4288,8,FALSE)</f>
        <v>Perubahan diameter (dia.) menjadi Diameter Nominal (DN)</v>
      </c>
      <c r="H2528" s="374"/>
      <c r="I2528" s="16"/>
    </row>
    <row r="2529" spans="1:9" ht="24" customHeight="1">
      <c r="B2529" s="1033" t="str">
        <f>'Jaringan Pipa Luar Gedung'!C3389</f>
        <v>9.7.1.15</v>
      </c>
      <c r="C2529" s="39" t="str">
        <f>VLOOKUP(B2529,'Jaringan Pipa Luar Gedung'!C:K,2,FALSE)</f>
        <v>Penyambungan 1 buah Pipa Baru ke Pipa Yang Ada, DN. 1" (25 mm)</v>
      </c>
      <c r="D2529" s="9" t="s">
        <v>44</v>
      </c>
      <c r="E2529" s="1021">
        <f>VLOOKUP(C2529,'Jaringan Pipa Luar Gedung'!$D$2:$I$4288,6,FALSE)</f>
        <v>243100</v>
      </c>
      <c r="F2529" s="1003" t="str">
        <f>VLOOKUP(C2529,'Jaringan Pipa Luar Gedung'!$D$2:$J$4288,7,FALSE)</f>
        <v>Revisi</v>
      </c>
      <c r="G2529" s="12" t="str">
        <f>VLOOKUP(C2529,'Jaringan Pipa Luar Gedung'!$D$2:$K$4288,8,FALSE)</f>
        <v>Perubahan diameter (dia.) menjadi Diameter Nominal (DN)</v>
      </c>
      <c r="H2529" s="374"/>
      <c r="I2529" s="16"/>
    </row>
    <row r="2530" spans="1:9" ht="24" customHeight="1">
      <c r="B2530" s="1033" t="str">
        <f>'Jaringan Pipa Luar Gedung'!C3405</f>
        <v>9.7.1.16</v>
      </c>
      <c r="C2530" s="39" t="str">
        <f>VLOOKUP(B2530,'Jaringan Pipa Luar Gedung'!C:K,2,FALSE)</f>
        <v>Penyambungan 1 buah Pipa Baru ke Pipa Yang Ada, DN. 1-1/4" (32 mm)</v>
      </c>
      <c r="D2530" s="9" t="s">
        <v>44</v>
      </c>
      <c r="E2530" s="1021">
        <f>VLOOKUP(C2530,'Jaringan Pipa Luar Gedung'!$D$2:$I$4288,6,FALSE)</f>
        <v>304200</v>
      </c>
      <c r="F2530" s="1003" t="str">
        <f>VLOOKUP(C2530,'Jaringan Pipa Luar Gedung'!$D$2:$J$4288,7,FALSE)</f>
        <v>Revisi</v>
      </c>
      <c r="G2530" s="12" t="str">
        <f>VLOOKUP(C2530,'Jaringan Pipa Luar Gedung'!$D$2:$K$4288,8,FALSE)</f>
        <v>Perubahan diameter (dia.) menjadi Diameter Nominal (DN)</v>
      </c>
      <c r="H2530" s="374"/>
      <c r="I2530" s="16"/>
    </row>
    <row r="2531" spans="1:9" ht="24" customHeight="1">
      <c r="B2531" s="1033" t="str">
        <f>'Jaringan Pipa Luar Gedung'!C3421</f>
        <v>9.7.1.17</v>
      </c>
      <c r="C2531" s="39" t="str">
        <f>VLOOKUP(B2531,'Jaringan Pipa Luar Gedung'!C:K,2,FALSE)</f>
        <v>Penyambungan 1 buah Pipa Baru ke Pipa Yang Ada, DN. 1-1/2" (40 mm)</v>
      </c>
      <c r="D2531" s="9" t="s">
        <v>44</v>
      </c>
      <c r="E2531" s="1021">
        <f>VLOOKUP(C2531,'Jaringan Pipa Luar Gedung'!$D$2:$I$4288,6,FALSE)</f>
        <v>304200</v>
      </c>
      <c r="F2531" s="1003" t="str">
        <f>VLOOKUP(C2531,'Jaringan Pipa Luar Gedung'!$D$2:$J$4288,7,FALSE)</f>
        <v>Revisi</v>
      </c>
      <c r="G2531" s="12" t="str">
        <f>VLOOKUP(C2531,'Jaringan Pipa Luar Gedung'!$D$2:$K$4288,8,FALSE)</f>
        <v>Perubahan diameter (dia.) menjadi Diameter Nominal (DN)</v>
      </c>
      <c r="H2531" s="374"/>
      <c r="I2531" s="16"/>
    </row>
    <row r="2532" spans="1:9" ht="24" customHeight="1">
      <c r="B2532" s="1033" t="str">
        <f>'Jaringan Pipa Luar Gedung'!C3438</f>
        <v>9.7.1.18</v>
      </c>
      <c r="C2532" s="39" t="str">
        <f>VLOOKUP(B2532,'Jaringan Pipa Luar Gedung'!C:K,2,FALSE)</f>
        <v>Penyambungan 1 buah Pipa Baru ke Pipa Yang Ada, DN. 2" (50 mm)</v>
      </c>
      <c r="D2532" s="9" t="s">
        <v>44</v>
      </c>
      <c r="E2532" s="1021">
        <f>VLOOKUP(C2532,'Jaringan Pipa Luar Gedung'!$D$2:$I$4288,6,FALSE)</f>
        <v>380300</v>
      </c>
      <c r="F2532" s="1003" t="str">
        <f>VLOOKUP(C2532,'Jaringan Pipa Luar Gedung'!$D$2:$J$4288,7,FALSE)</f>
        <v>Revisi</v>
      </c>
      <c r="G2532" s="12" t="str">
        <f>VLOOKUP(C2532,'Jaringan Pipa Luar Gedung'!$D$2:$K$4288,8,FALSE)</f>
        <v>Perubahan diameter (dia.) menjadi Diameter Nominal (DN)</v>
      </c>
      <c r="H2532" s="374"/>
      <c r="I2532" s="16"/>
    </row>
    <row r="2533" spans="1:9" ht="24" customHeight="1">
      <c r="B2533" s="1033" t="str">
        <f>'Jaringan Pipa Luar Gedung'!C3454</f>
        <v>9.7.1.19</v>
      </c>
      <c r="C2533" s="39" t="str">
        <f>VLOOKUP(B2533,'Jaringan Pipa Luar Gedung'!C:K,2,FALSE)</f>
        <v>Penyambungan 1 buah Pipa Baru ke Pipa Yang Ada, DN. 2-1/2" (65 mm)</v>
      </c>
      <c r="D2533" s="9" t="s">
        <v>44</v>
      </c>
      <c r="E2533" s="1021">
        <f>VLOOKUP(C2533,'Jaringan Pipa Luar Gedung'!$D$2:$I$4288,6,FALSE)</f>
        <v>475100</v>
      </c>
      <c r="F2533" s="1003" t="str">
        <f>VLOOKUP(C2533,'Jaringan Pipa Luar Gedung'!$D$2:$J$4288,7,FALSE)</f>
        <v>Revisi</v>
      </c>
      <c r="G2533" s="12" t="str">
        <f>VLOOKUP(C2533,'Jaringan Pipa Luar Gedung'!$D$2:$K$4288,8,FALSE)</f>
        <v>Perubahan diameter (dia.) menjadi Diameter Nominal (DN)</v>
      </c>
      <c r="H2533" s="374"/>
      <c r="I2533" s="16"/>
    </row>
    <row r="2534" spans="1:9" s="1" customFormat="1" ht="24" customHeight="1">
      <c r="A2534" s="47"/>
      <c r="B2534" s="1041" t="str">
        <f>'Jaringan Pipa Luar Gedung'!C3471</f>
        <v>9.7.2</v>
      </c>
      <c r="C2534" s="40" t="str">
        <f>VLOOKUP(B2534,'Jaringan Pipa Luar Gedung'!C:K,2,FALSE)</f>
        <v xml:space="preserve">Valve </v>
      </c>
      <c r="D2534" s="19"/>
      <c r="E2534" s="1021">
        <f>VLOOKUP(C2534,'Jaringan Pipa Luar Gedung'!$D$2:$I$4288,6,FALSE)</f>
        <v>0</v>
      </c>
      <c r="F2534" s="1003">
        <f>VLOOKUP(C2534,'Jaringan Pipa Luar Gedung'!$D$2:$J$4288,7,FALSE)</f>
        <v>0</v>
      </c>
      <c r="G2534" s="12">
        <f>VLOOKUP(C2534,'Jaringan Pipa Luar Gedung'!$D$2:$K$4288,8,FALSE)</f>
        <v>0</v>
      </c>
      <c r="H2534" s="1092"/>
      <c r="I2534" s="21"/>
    </row>
    <row r="2535" spans="1:9" ht="24" customHeight="1">
      <c r="B2535" s="1033" t="str">
        <f>'Jaringan Pipa Luar Gedung'!C3472</f>
        <v>9.7.2.1</v>
      </c>
      <c r="C2535" s="39" t="str">
        <f>VLOOKUP(B2535,'Jaringan Pipa Luar Gedung'!C:K,2,FALSE)</f>
        <v>Pemasangan 1 Buah Valve Ø 6" (150 mm)</v>
      </c>
      <c r="D2535" s="9" t="s">
        <v>44</v>
      </c>
      <c r="E2535" s="1021">
        <f>VLOOKUP(C2535,'Jaringan Pipa Luar Gedung'!$D$2:$I$4288,6,FALSE)</f>
        <v>547900</v>
      </c>
      <c r="F2535" s="1003" t="str">
        <f>VLOOKUP(C2535,'Jaringan Pipa Luar Gedung'!$D$2:$J$4288,7,FALSE)</f>
        <v>Revisi</v>
      </c>
      <c r="G2535" s="12" t="str">
        <f>VLOOKUP(C2535,'Jaringan Pipa Luar Gedung'!$D$2:$K$4288,8,FALSE)</f>
        <v xml:space="preserve">Perubahan di judul </v>
      </c>
      <c r="H2535" s="374"/>
      <c r="I2535" s="16"/>
    </row>
    <row r="2536" spans="1:9" ht="24" customHeight="1">
      <c r="B2536" s="1033" t="str">
        <f>'Jaringan Pipa Luar Gedung'!C3490</f>
        <v>9.7.2.2</v>
      </c>
      <c r="C2536" s="39" t="str">
        <f>VLOOKUP(B2536,'Jaringan Pipa Luar Gedung'!C:K,2,FALSE)</f>
        <v>Pemasangan 1 Buah Valve Ø 8" (200 mm)</v>
      </c>
      <c r="D2536" s="9" t="s">
        <v>44</v>
      </c>
      <c r="E2536" s="1021">
        <f>VLOOKUP(C2536,'Jaringan Pipa Luar Gedung'!$D$2:$I$4288,6,FALSE)</f>
        <v>700500</v>
      </c>
      <c r="F2536" s="1003" t="str">
        <f>VLOOKUP(C2536,'Jaringan Pipa Luar Gedung'!$D$2:$J$4288,7,FALSE)</f>
        <v>Revisi</v>
      </c>
      <c r="G2536" s="12" t="str">
        <f>VLOOKUP(C2536,'Jaringan Pipa Luar Gedung'!$D$2:$K$4288,8,FALSE)</f>
        <v xml:space="preserve">Perubahan di judul </v>
      </c>
      <c r="H2536" s="374"/>
      <c r="I2536" s="16"/>
    </row>
    <row r="2537" spans="1:9" ht="24" customHeight="1">
      <c r="B2537" s="1033" t="str">
        <f>'Jaringan Pipa Luar Gedung'!C3508</f>
        <v>9.7.2.3</v>
      </c>
      <c r="C2537" s="39" t="str">
        <f>VLOOKUP(B2537,'Jaringan Pipa Luar Gedung'!C:K,2,FALSE)</f>
        <v>Pemasangan 1 Buah Valve Ø 10" (250 mm)</v>
      </c>
      <c r="D2537" s="9" t="s">
        <v>44</v>
      </c>
      <c r="E2537" s="1021">
        <f>VLOOKUP(C2537,'Jaringan Pipa Luar Gedung'!$D$2:$I$4288,6,FALSE)</f>
        <v>807400</v>
      </c>
      <c r="F2537" s="1003" t="str">
        <f>VLOOKUP(C2537,'Jaringan Pipa Luar Gedung'!$D$2:$J$4288,7,FALSE)</f>
        <v>Revisi</v>
      </c>
      <c r="G2537" s="12" t="str">
        <f>VLOOKUP(C2537,'Jaringan Pipa Luar Gedung'!$D$2:$K$4288,8,FALSE)</f>
        <v xml:space="preserve">Perubahan di judul </v>
      </c>
      <c r="H2537" s="374"/>
      <c r="I2537" s="16"/>
    </row>
    <row r="2538" spans="1:9" ht="24" customHeight="1">
      <c r="B2538" s="1033" t="str">
        <f>'Jaringan Pipa Luar Gedung'!C3525</f>
        <v>9.7.2.4</v>
      </c>
      <c r="C2538" s="39" t="str">
        <f>VLOOKUP(B2538,'Jaringan Pipa Luar Gedung'!C:K,2,FALSE)</f>
        <v>Pemasangan 1 Buah Valve Ø 12" (300 mm)</v>
      </c>
      <c r="D2538" s="9" t="s">
        <v>44</v>
      </c>
      <c r="E2538" s="1021">
        <f>VLOOKUP(C2538,'Jaringan Pipa Luar Gedung'!$D$2:$I$4288,6,FALSE)</f>
        <v>914100</v>
      </c>
      <c r="F2538" s="1003" t="str">
        <f>VLOOKUP(C2538,'Jaringan Pipa Luar Gedung'!$D$2:$J$4288,7,FALSE)</f>
        <v>Revisi</v>
      </c>
      <c r="G2538" s="12" t="str">
        <f>VLOOKUP(C2538,'Jaringan Pipa Luar Gedung'!$D$2:$K$4288,8,FALSE)</f>
        <v xml:space="preserve">Perubahan di judul </v>
      </c>
      <c r="H2538" s="374"/>
      <c r="I2538" s="16"/>
    </row>
    <row r="2539" spans="1:9" ht="24" customHeight="1">
      <c r="B2539" s="1033" t="str">
        <f>'Jaringan Pipa Luar Gedung'!C3542</f>
        <v>9.7.2.5</v>
      </c>
      <c r="C2539" s="39" t="str">
        <f>VLOOKUP(B2539,'Jaringan Pipa Luar Gedung'!C:K,2,FALSE)</f>
        <v>Pemasangan 1 Buah Valve Ø 16" (400 mm)</v>
      </c>
      <c r="D2539" s="9" t="s">
        <v>44</v>
      </c>
      <c r="E2539" s="1021">
        <f>VLOOKUP(C2539,'Jaringan Pipa Luar Gedung'!$D$2:$I$4288,6,FALSE)</f>
        <v>1350000</v>
      </c>
      <c r="F2539" s="1003" t="str">
        <f>VLOOKUP(C2539,'Jaringan Pipa Luar Gedung'!$D$2:$J$4288,7,FALSE)</f>
        <v>Revisi</v>
      </c>
      <c r="G2539" s="12" t="str">
        <f>VLOOKUP(C2539,'Jaringan Pipa Luar Gedung'!$D$2:$K$4288,8,FALSE)</f>
        <v xml:space="preserve">Perubahan di judul </v>
      </c>
      <c r="H2539" s="374"/>
      <c r="I2539" s="16"/>
    </row>
    <row r="2540" spans="1:9" ht="24" customHeight="1">
      <c r="B2540" s="1033" t="str">
        <f>'Jaringan Pipa Luar Gedung'!C3559</f>
        <v>9.7.2.6</v>
      </c>
      <c r="C2540" s="39" t="str">
        <f>VLOOKUP(B2540,'Jaringan Pipa Luar Gedung'!C:K,2,FALSE)</f>
        <v>Pemasangan 1 Buah Valve Ø 18" (450 mm)</v>
      </c>
      <c r="D2540" s="9" t="s">
        <v>44</v>
      </c>
      <c r="E2540" s="1021">
        <f>VLOOKUP(C2540,'Jaringan Pipa Luar Gedung'!$D$2:$I$4288,6,FALSE)</f>
        <v>1451800</v>
      </c>
      <c r="F2540" s="1003" t="str">
        <f>VLOOKUP(C2540,'Jaringan Pipa Luar Gedung'!$D$2:$J$4288,7,FALSE)</f>
        <v>Revisi</v>
      </c>
      <c r="G2540" s="12" t="str">
        <f>VLOOKUP(C2540,'Jaringan Pipa Luar Gedung'!$D$2:$K$4288,8,FALSE)</f>
        <v xml:space="preserve">Perubahan di judul </v>
      </c>
      <c r="H2540" s="374"/>
      <c r="I2540" s="16"/>
    </row>
    <row r="2541" spans="1:9" ht="24" customHeight="1">
      <c r="B2541" s="1033" t="str">
        <f>'Jaringan Pipa Luar Gedung'!C3576</f>
        <v>9.7.2.7</v>
      </c>
      <c r="C2541" s="39" t="str">
        <f>VLOOKUP(B2541,'Jaringan Pipa Luar Gedung'!C:K,2,FALSE)</f>
        <v>Pemasangan 1 Buah Valve Ø 20" (500 mm)</v>
      </c>
      <c r="D2541" s="9" t="s">
        <v>44</v>
      </c>
      <c r="E2541" s="1021">
        <f>VLOOKUP(C2541,'Jaringan Pipa Luar Gedung'!$D$2:$I$4288,6,FALSE)</f>
        <v>1575200</v>
      </c>
      <c r="F2541" s="1003" t="str">
        <f>VLOOKUP(C2541,'Jaringan Pipa Luar Gedung'!$D$2:$J$4288,7,FALSE)</f>
        <v>Revisi</v>
      </c>
      <c r="G2541" s="12" t="str">
        <f>VLOOKUP(C2541,'Jaringan Pipa Luar Gedung'!$D$2:$K$4288,8,FALSE)</f>
        <v xml:space="preserve">Perubahan di judul </v>
      </c>
      <c r="H2541" s="374"/>
      <c r="I2541" s="16"/>
    </row>
    <row r="2542" spans="1:9" ht="24" customHeight="1">
      <c r="B2542" s="1033" t="str">
        <f>'Jaringan Pipa Luar Gedung'!C3593</f>
        <v>9.7.2.8</v>
      </c>
      <c r="C2542" s="39" t="str">
        <f>VLOOKUP(B2542,'Jaringan Pipa Luar Gedung'!C:K,2,FALSE)</f>
        <v>Pemasangan 1 Buah Valve Ø 24" (600 mm)</v>
      </c>
      <c r="D2542" s="9" t="s">
        <v>44</v>
      </c>
      <c r="E2542" s="1021">
        <f>VLOOKUP(C2542,'Jaringan Pipa Luar Gedung'!$D$2:$I$4288,6,FALSE)</f>
        <v>1538000</v>
      </c>
      <c r="F2542" s="1003" t="str">
        <f>VLOOKUP(C2542,'Jaringan Pipa Luar Gedung'!$D$2:$J$4288,7,FALSE)</f>
        <v>Revisi</v>
      </c>
      <c r="G2542" s="12" t="str">
        <f>VLOOKUP(C2542,'Jaringan Pipa Luar Gedung'!$D$2:$K$4288,8,FALSE)</f>
        <v xml:space="preserve">Perubahan di judul </v>
      </c>
      <c r="H2542" s="374"/>
      <c r="I2542" s="16"/>
    </row>
    <row r="2543" spans="1:9" ht="24" customHeight="1">
      <c r="B2543" s="1033" t="str">
        <f>'Jaringan Pipa Luar Gedung'!C3611</f>
        <v>9.7.2.9</v>
      </c>
      <c r="C2543" s="39" t="str">
        <f>VLOOKUP(B2543,'Jaringan Pipa Luar Gedung'!C:K,2,FALSE)</f>
        <v>Pemasangan 1 Buah Valve Ø 28" (700 mm)</v>
      </c>
      <c r="D2543" s="9" t="s">
        <v>44</v>
      </c>
      <c r="E2543" s="1021">
        <f>VLOOKUP(C2543,'Jaringan Pipa Luar Gedung'!$D$2:$I$4288,6,FALSE)</f>
        <v>2005700</v>
      </c>
      <c r="F2543" s="1003" t="str">
        <f>VLOOKUP(C2543,'Jaringan Pipa Luar Gedung'!$D$2:$J$4288,7,FALSE)</f>
        <v>Revisi</v>
      </c>
      <c r="G2543" s="12" t="str">
        <f>VLOOKUP(C2543,'Jaringan Pipa Luar Gedung'!$D$2:$K$4288,8,FALSE)</f>
        <v xml:space="preserve">Perubahan di judul </v>
      </c>
      <c r="H2543" s="374"/>
      <c r="I2543" s="16"/>
    </row>
    <row r="2544" spans="1:9" ht="24" customHeight="1">
      <c r="B2544" s="1033" t="str">
        <f>'Jaringan Pipa Luar Gedung'!C3629</f>
        <v>9.7.2.10</v>
      </c>
      <c r="C2544" s="39" t="str">
        <f>VLOOKUP(B2544,'Jaringan Pipa Luar Gedung'!C:K,2,FALSE)</f>
        <v>Pemasangan 1 Buah Valve Ø 32" (800 mm)</v>
      </c>
      <c r="D2544" s="9" t="s">
        <v>44</v>
      </c>
      <c r="E2544" s="1021">
        <f>VLOOKUP(C2544,'Jaringan Pipa Luar Gedung'!$D$2:$I$4288,6,FALSE)</f>
        <v>2108400</v>
      </c>
      <c r="F2544" s="1003" t="str">
        <f>VLOOKUP(C2544,'Jaringan Pipa Luar Gedung'!$D$2:$J$4288,7,FALSE)</f>
        <v>Revisi</v>
      </c>
      <c r="G2544" s="12" t="str">
        <f>VLOOKUP(C2544,'Jaringan Pipa Luar Gedung'!$D$2:$K$4288,8,FALSE)</f>
        <v xml:space="preserve">Perubahan di judul </v>
      </c>
      <c r="H2544" s="374"/>
      <c r="I2544" s="16"/>
    </row>
    <row r="2545" spans="1:9" ht="24" customHeight="1">
      <c r="B2545" s="1033" t="str">
        <f>'Jaringan Pipa Luar Gedung'!C3647</f>
        <v>9.7.2.11</v>
      </c>
      <c r="C2545" s="39" t="str">
        <f>VLOOKUP(B2545,'Jaringan Pipa Luar Gedung'!C:K,2,FALSE)</f>
        <v>Pemasangan 1 Buah Valve Ø 36" (900 mm)</v>
      </c>
      <c r="D2545" s="9" t="s">
        <v>44</v>
      </c>
      <c r="E2545" s="1021">
        <f>VLOOKUP(C2545,'Jaringan Pipa Luar Gedung'!$D$2:$I$4288,6,FALSE)</f>
        <v>2704200</v>
      </c>
      <c r="F2545" s="1003" t="str">
        <f>VLOOKUP(C2545,'Jaringan Pipa Luar Gedung'!$D$2:$J$4288,7,FALSE)</f>
        <v>Revisi</v>
      </c>
      <c r="G2545" s="12" t="str">
        <f>VLOOKUP(C2545,'Jaringan Pipa Luar Gedung'!$D$2:$K$4288,8,FALSE)</f>
        <v xml:space="preserve">Perubahan di judul </v>
      </c>
      <c r="H2545" s="374"/>
      <c r="I2545" s="16"/>
    </row>
    <row r="2546" spans="1:9" ht="24" customHeight="1">
      <c r="B2546" s="1033" t="str">
        <f>'Jaringan Pipa Luar Gedung'!C3665</f>
        <v>9.7.2.12</v>
      </c>
      <c r="C2546" s="39" t="str">
        <f>VLOOKUP(B2546,'Jaringan Pipa Luar Gedung'!C:K,2,FALSE)</f>
        <v>Pemasangan 1 Buah Valve Ø 40" (1000 mm)</v>
      </c>
      <c r="D2546" s="9" t="s">
        <v>44</v>
      </c>
      <c r="E2546" s="1021">
        <f>VLOOKUP(C2546,'Jaringan Pipa Luar Gedung'!$D$2:$I$4288,6,FALSE)</f>
        <v>3277800</v>
      </c>
      <c r="F2546" s="1003" t="str">
        <f>VLOOKUP(C2546,'Jaringan Pipa Luar Gedung'!$D$2:$J$4288,7,FALSE)</f>
        <v>Revisi</v>
      </c>
      <c r="G2546" s="12" t="str">
        <f>VLOOKUP(C2546,'Jaringan Pipa Luar Gedung'!$D$2:$K$4288,8,FALSE)</f>
        <v xml:space="preserve">Perubahan di judul </v>
      </c>
      <c r="H2546" s="374"/>
      <c r="I2546" s="16"/>
    </row>
    <row r="2547" spans="1:9" ht="24" customHeight="1">
      <c r="B2547" s="1033" t="str">
        <f>'Jaringan Pipa Luar Gedung'!C3683</f>
        <v>9.7.2.13</v>
      </c>
      <c r="C2547" s="39" t="str">
        <f>VLOOKUP(B2547,'Jaringan Pipa Luar Gedung'!C:K,2,FALSE)</f>
        <v>Pemasangan 1 Buah Valve Ø 44" (1100 mm)</v>
      </c>
      <c r="D2547" s="9" t="s">
        <v>44</v>
      </c>
      <c r="E2547" s="1021">
        <f>VLOOKUP(C2547,'Jaringan Pipa Luar Gedung'!$D$2:$I$4288,6,FALSE)</f>
        <v>3474300</v>
      </c>
      <c r="F2547" s="1003" t="str">
        <f>VLOOKUP(C2547,'Jaringan Pipa Luar Gedung'!$D$2:$J$4288,7,FALSE)</f>
        <v>Revisi</v>
      </c>
      <c r="G2547" s="12" t="str">
        <f>VLOOKUP(C2547,'Jaringan Pipa Luar Gedung'!$D$2:$K$4288,8,FALSE)</f>
        <v xml:space="preserve">Perubahan di judul </v>
      </c>
      <c r="H2547" s="374"/>
      <c r="I2547" s="16"/>
    </row>
    <row r="2548" spans="1:9" ht="24" customHeight="1">
      <c r="B2548" s="1033" t="str">
        <f>'Jaringan Pipa Luar Gedung'!C3702</f>
        <v>9.7.2.14</v>
      </c>
      <c r="C2548" s="39" t="str">
        <f>VLOOKUP(B2548,'Jaringan Pipa Luar Gedung'!C:K,2,FALSE)</f>
        <v>Pemasangan 1 Buah Valve Ø 48" (1200 mm)</v>
      </c>
      <c r="D2548" s="9" t="s">
        <v>44</v>
      </c>
      <c r="E2548" s="1021">
        <f>VLOOKUP(C2548,'Jaringan Pipa Luar Gedung'!$D$2:$I$4288,6,FALSE)</f>
        <v>3605200</v>
      </c>
      <c r="F2548" s="1003" t="str">
        <f>VLOOKUP(C2548,'Jaringan Pipa Luar Gedung'!$D$2:$J$4288,7,FALSE)</f>
        <v>Revisi</v>
      </c>
      <c r="G2548" s="12" t="str">
        <f>VLOOKUP(C2548,'Jaringan Pipa Luar Gedung'!$D$2:$K$4288,8,FALSE)</f>
        <v xml:space="preserve">Perubahan di judul </v>
      </c>
      <c r="H2548" s="374"/>
      <c r="I2548" s="16"/>
    </row>
    <row r="2549" spans="1:9" ht="24" customHeight="1">
      <c r="B2549" s="1033" t="str">
        <f>'Jaringan Pipa Luar Gedung'!C3720</f>
        <v>9.7.2.15</v>
      </c>
      <c r="C2549" s="39" t="str">
        <f>VLOOKUP(B2549,'Jaringan Pipa Luar Gedung'!C:K,2,FALSE)</f>
        <v>Pemasangan 1 Buah Valve Ø 1/2" (15 mm)</v>
      </c>
      <c r="D2549" s="9" t="s">
        <v>44</v>
      </c>
      <c r="E2549" s="1021">
        <f>VLOOKUP(C2549,'Jaringan Pipa Luar Gedung'!$D$2:$I$4288,6,FALSE)</f>
        <v>121900</v>
      </c>
      <c r="F2549" s="1003" t="str">
        <f>VLOOKUP(C2549,'Jaringan Pipa Luar Gedung'!$D$2:$J$4288,7,FALSE)</f>
        <v>Revisi</v>
      </c>
      <c r="G2549" s="12" t="str">
        <f>VLOOKUP(C2549,'Jaringan Pipa Luar Gedung'!$D$2:$K$4288,8,FALSE)</f>
        <v xml:space="preserve">Perubahan di judul </v>
      </c>
      <c r="H2549" s="374"/>
      <c r="I2549" s="16"/>
    </row>
    <row r="2550" spans="1:9" ht="24" customHeight="1">
      <c r="B2550" s="1033" t="str">
        <f>'Jaringan Pipa Luar Gedung'!C3736</f>
        <v>9.7.2.16</v>
      </c>
      <c r="C2550" s="39" t="str">
        <f>VLOOKUP(B2550,'Jaringan Pipa Luar Gedung'!C:K,2,FALSE)</f>
        <v>Pemasangan 1 Buah Valve Ø 3/4" (20 mm)</v>
      </c>
      <c r="D2550" s="9" t="s">
        <v>44</v>
      </c>
      <c r="E2550" s="1021">
        <f>VLOOKUP(C2550,'Jaringan Pipa Luar Gedung'!$D$2:$I$4288,6,FALSE)</f>
        <v>137300</v>
      </c>
      <c r="F2550" s="1003" t="str">
        <f>VLOOKUP(C2550,'Jaringan Pipa Luar Gedung'!$D$2:$J$4288,7,FALSE)</f>
        <v>Revisi</v>
      </c>
      <c r="G2550" s="12" t="str">
        <f>VLOOKUP(C2550,'Jaringan Pipa Luar Gedung'!$D$2:$K$4288,8,FALSE)</f>
        <v xml:space="preserve">Perubahan di judul </v>
      </c>
      <c r="H2550" s="374"/>
      <c r="I2550" s="16"/>
    </row>
    <row r="2551" spans="1:9" ht="24" customHeight="1">
      <c r="B2551" s="1033" t="str">
        <f>'Jaringan Pipa Luar Gedung'!C3752</f>
        <v>9.7.2.17</v>
      </c>
      <c r="C2551" s="39" t="str">
        <f>VLOOKUP(B2551,'Jaringan Pipa Luar Gedung'!C:K,2,FALSE)</f>
        <v>Pemasangan 1 Buah Valve Ø 1" (25 mm)</v>
      </c>
      <c r="D2551" s="9" t="s">
        <v>44</v>
      </c>
      <c r="E2551" s="1021">
        <f>VLOOKUP(C2551,'Jaringan Pipa Luar Gedung'!$D$2:$I$4288,6,FALSE)</f>
        <v>153500</v>
      </c>
      <c r="F2551" s="1003" t="str">
        <f>VLOOKUP(C2551,'Jaringan Pipa Luar Gedung'!$D$2:$J$4288,7,FALSE)</f>
        <v>Revisi</v>
      </c>
      <c r="G2551" s="12" t="str">
        <f>VLOOKUP(C2551,'Jaringan Pipa Luar Gedung'!$D$2:$K$4288,8,FALSE)</f>
        <v xml:space="preserve">Perubahan di judul </v>
      </c>
      <c r="H2551" s="374"/>
      <c r="I2551" s="16"/>
    </row>
    <row r="2552" spans="1:9" ht="24" customHeight="1">
      <c r="B2552" s="1033" t="str">
        <f>'Jaringan Pipa Luar Gedung'!C3768</f>
        <v>9.7.2.18</v>
      </c>
      <c r="C2552" s="39" t="str">
        <f>VLOOKUP(B2552,'Jaringan Pipa Luar Gedung'!C:K,2,FALSE)</f>
        <v>Pemasangan 1 Buah Valve Ø 1-1/4" (32 mm)</v>
      </c>
      <c r="D2552" s="9" t="s">
        <v>44</v>
      </c>
      <c r="E2552" s="1021">
        <f>VLOOKUP(C2552,'Jaringan Pipa Luar Gedung'!$D$2:$I$4288,6,FALSE)</f>
        <v>175900</v>
      </c>
      <c r="F2552" s="1003" t="str">
        <f>VLOOKUP(C2552,'Jaringan Pipa Luar Gedung'!$D$2:$J$4288,7,FALSE)</f>
        <v>Revisi</v>
      </c>
      <c r="G2552" s="12" t="str">
        <f>VLOOKUP(C2552,'Jaringan Pipa Luar Gedung'!$D$2:$K$4288,8,FALSE)</f>
        <v xml:space="preserve">Perubahan di judul </v>
      </c>
      <c r="H2552" s="374"/>
      <c r="I2552" s="16"/>
    </row>
    <row r="2553" spans="1:9" ht="24" customHeight="1">
      <c r="B2553" s="1033" t="str">
        <f>'Jaringan Pipa Luar Gedung'!C3784</f>
        <v>9.7.2.19</v>
      </c>
      <c r="C2553" s="39" t="str">
        <f>VLOOKUP(B2553,'Jaringan Pipa Luar Gedung'!C:K,2,FALSE)</f>
        <v>Pemasangan 1 Buah Valve Ø 1-1/2" (40 mm)</v>
      </c>
      <c r="D2553" s="9" t="s">
        <v>44</v>
      </c>
      <c r="E2553" s="1021">
        <f>VLOOKUP(C2553,'Jaringan Pipa Luar Gedung'!$D$2:$I$4288,6,FALSE)</f>
        <v>190900</v>
      </c>
      <c r="F2553" s="1003" t="str">
        <f>VLOOKUP(C2553,'Jaringan Pipa Luar Gedung'!$D$2:$J$4288,7,FALSE)</f>
        <v>Revisi</v>
      </c>
      <c r="G2553" s="12" t="str">
        <f>VLOOKUP(C2553,'Jaringan Pipa Luar Gedung'!$D$2:$K$4288,8,FALSE)</f>
        <v xml:space="preserve">Perubahan di judul </v>
      </c>
      <c r="H2553" s="374"/>
      <c r="I2553" s="16"/>
    </row>
    <row r="2554" spans="1:9" ht="24" customHeight="1">
      <c r="B2554" s="1033" t="str">
        <f>'Jaringan Pipa Luar Gedung'!C3800</f>
        <v>9.7.2.20</v>
      </c>
      <c r="C2554" s="39" t="str">
        <f>VLOOKUP(B2554,'Jaringan Pipa Luar Gedung'!C:K,2,FALSE)</f>
        <v>Pemasangan 1 Buah Valve Ø 2" (50 mm)</v>
      </c>
      <c r="D2554" s="9" t="s">
        <v>44</v>
      </c>
      <c r="E2554" s="1021">
        <f>VLOOKUP(C2554,'Jaringan Pipa Luar Gedung'!$D$2:$I$4288,6,FALSE)</f>
        <v>218100</v>
      </c>
      <c r="F2554" s="1003" t="str">
        <f>VLOOKUP(C2554,'Jaringan Pipa Luar Gedung'!$D$2:$J$4288,7,FALSE)</f>
        <v>Revisi</v>
      </c>
      <c r="G2554" s="12" t="str">
        <f>VLOOKUP(C2554,'Jaringan Pipa Luar Gedung'!$D$2:$K$4288,8,FALSE)</f>
        <v xml:space="preserve">Perubahan di judul </v>
      </c>
      <c r="H2554" s="374"/>
      <c r="I2554" s="16"/>
    </row>
    <row r="2555" spans="1:9" ht="24" customHeight="1">
      <c r="B2555" s="1033" t="str">
        <f>'Jaringan Pipa Luar Gedung'!C3816</f>
        <v>9.7.2.21</v>
      </c>
      <c r="C2555" s="39" t="str">
        <f>VLOOKUP(B2555,'Jaringan Pipa Luar Gedung'!C:K,2,FALSE)</f>
        <v>Pemasangan 1 Buah Valve Ø 2-1/2" (65 mm)</v>
      </c>
      <c r="D2555" s="9" t="s">
        <v>44</v>
      </c>
      <c r="E2555" s="1021">
        <f>VLOOKUP(C2555,'Jaringan Pipa Luar Gedung'!$D$2:$I$4288,6,FALSE)</f>
        <v>253500</v>
      </c>
      <c r="F2555" s="1003" t="str">
        <f>VLOOKUP(C2555,'Jaringan Pipa Luar Gedung'!$D$2:$J$4288,7,FALSE)</f>
        <v>Revisi</v>
      </c>
      <c r="G2555" s="12" t="str">
        <f>VLOOKUP(C2555,'Jaringan Pipa Luar Gedung'!$D$2:$K$4288,8,FALSE)</f>
        <v xml:space="preserve">Perubahan di judul </v>
      </c>
      <c r="H2555" s="374"/>
      <c r="I2555" s="16"/>
    </row>
    <row r="2556" spans="1:9" ht="24" customHeight="1">
      <c r="B2556" s="1033" t="str">
        <f>'Jaringan Pipa Luar Gedung'!C3833</f>
        <v>9.7.2.22</v>
      </c>
      <c r="C2556" s="39" t="str">
        <f>VLOOKUP(B2556,'Jaringan Pipa Luar Gedung'!C:K,2,FALSE)</f>
        <v>Pemasangan 1 Buah Valve Ø 3" (80 mm)</v>
      </c>
      <c r="D2556" s="9" t="s">
        <v>44</v>
      </c>
      <c r="E2556" s="1021">
        <f>VLOOKUP(C2556,'Jaringan Pipa Luar Gedung'!$D$2:$I$4288,6,FALSE)</f>
        <v>294300</v>
      </c>
      <c r="F2556" s="1003" t="str">
        <f>VLOOKUP(C2556,'Jaringan Pipa Luar Gedung'!$D$2:$J$4288,7,FALSE)</f>
        <v>Revisi</v>
      </c>
      <c r="G2556" s="12" t="str">
        <f>VLOOKUP(C2556,'Jaringan Pipa Luar Gedung'!$D$2:$K$4288,8,FALSE)</f>
        <v xml:space="preserve">Perubahan di judul </v>
      </c>
      <c r="H2556" s="374"/>
      <c r="I2556" s="16"/>
    </row>
    <row r="2557" spans="1:9" ht="24" customHeight="1">
      <c r="B2557" s="1033" t="str">
        <f>'Jaringan Pipa Luar Gedung'!C3849</f>
        <v>9.7.2.23</v>
      </c>
      <c r="C2557" s="39" t="str">
        <f>VLOOKUP(B2557,'Jaringan Pipa Luar Gedung'!C:K,2,FALSE)</f>
        <v>Pemasangan 1 Buah Valve Ø 4" (100 mm)</v>
      </c>
      <c r="D2557" s="9" t="s">
        <v>44</v>
      </c>
      <c r="E2557" s="1021">
        <f>VLOOKUP(C2557,'Jaringan Pipa Luar Gedung'!$D$2:$I$4288,6,FALSE)</f>
        <v>329200</v>
      </c>
      <c r="F2557" s="1003" t="str">
        <f>VLOOKUP(C2557,'Jaringan Pipa Luar Gedung'!$D$2:$J$4288,7,FALSE)</f>
        <v>Revisi</v>
      </c>
      <c r="G2557" s="12" t="str">
        <f>VLOOKUP(C2557,'Jaringan Pipa Luar Gedung'!$D$2:$K$4288,8,FALSE)</f>
        <v xml:space="preserve">Perubahan di judul </v>
      </c>
      <c r="H2557" s="374"/>
      <c r="I2557" s="16"/>
    </row>
    <row r="2558" spans="1:9" ht="24" customHeight="1">
      <c r="B2558" s="1033" t="str">
        <f>'Jaringan Pipa Luar Gedung'!C3865</f>
        <v>9.7.2.24</v>
      </c>
      <c r="C2558" s="39" t="str">
        <f>VLOOKUP(B2558,'Jaringan Pipa Luar Gedung'!C:K,2,FALSE)</f>
        <v>Pemasangan 1 Buah Valve Ø 5" (125 mm)</v>
      </c>
      <c r="D2558" s="9" t="s">
        <v>44</v>
      </c>
      <c r="E2558" s="1021">
        <f>VLOOKUP(C2558,'Jaringan Pipa Luar Gedung'!$D$2:$I$4288,6,FALSE)</f>
        <v>403500</v>
      </c>
      <c r="F2558" s="1003" t="str">
        <f>VLOOKUP(C2558,'Jaringan Pipa Luar Gedung'!$D$2:$J$4288,7,FALSE)</f>
        <v>Revisi</v>
      </c>
      <c r="G2558" s="12" t="str">
        <f>VLOOKUP(C2558,'Jaringan Pipa Luar Gedung'!$D$2:$K$4288,8,FALSE)</f>
        <v xml:space="preserve">Perubahan di judul </v>
      </c>
      <c r="H2558" s="374"/>
      <c r="I2558" s="16"/>
    </row>
    <row r="2559" spans="1:9" s="1" customFormat="1" ht="24" customHeight="1">
      <c r="A2559" s="47"/>
      <c r="B2559" s="1041" t="str">
        <f>'Jaringan Pipa Luar Gedung'!C3882</f>
        <v>9.7.3</v>
      </c>
      <c r="C2559" s="40" t="str">
        <f>VLOOKUP(B2559,'Jaringan Pipa Luar Gedung'!C:K,2,FALSE)</f>
        <v>Pemasangan Aksesoris Tee</v>
      </c>
      <c r="D2559" s="19"/>
      <c r="E2559" s="1021">
        <f>VLOOKUP(C2559,'Jaringan Pipa Luar Gedung'!$D$2:$I$4288,6,FALSE)</f>
        <v>0</v>
      </c>
      <c r="F2559" s="1003">
        <f>VLOOKUP(C2559,'Jaringan Pipa Luar Gedung'!$D$2:$J$4288,7,FALSE)</f>
        <v>0</v>
      </c>
      <c r="G2559" s="12">
        <f>VLOOKUP(C2559,'Jaringan Pipa Luar Gedung'!$D$2:$K$4288,8,FALSE)</f>
        <v>0</v>
      </c>
      <c r="H2559" s="1092"/>
      <c r="I2559" s="21"/>
    </row>
    <row r="2560" spans="1:9" ht="24" customHeight="1">
      <c r="B2560" s="1033" t="str">
        <f>'Jaringan Pipa Luar Gedung'!C3883</f>
        <v>9.7.3.1</v>
      </c>
      <c r="C2560" s="39" t="str">
        <f>VLOOKUP(B2560,'Jaringan Pipa Luar Gedung'!C:K,2,FALSE)</f>
        <v>Pemasangan 1 Buah Tee Ø 6" (150 mm)</v>
      </c>
      <c r="D2560" s="9" t="s">
        <v>44</v>
      </c>
      <c r="E2560" s="1021">
        <f>VLOOKUP(C2560,'Jaringan Pipa Luar Gedung'!$D$2:$I$4288,6,FALSE)</f>
        <v>96200</v>
      </c>
      <c r="F2560" s="1003" t="str">
        <f>VLOOKUP(C2560,'Jaringan Pipa Luar Gedung'!$D$2:$J$4288,7,FALSE)</f>
        <v>Revisi</v>
      </c>
      <c r="G2560" s="12" t="str">
        <f>VLOOKUP(C2560,'Jaringan Pipa Luar Gedung'!$D$2:$K$4288,8,FALSE)</f>
        <v xml:space="preserve">Perubahan di judul </v>
      </c>
      <c r="H2560" s="374"/>
      <c r="I2560" s="16"/>
    </row>
    <row r="2561" spans="2:9" ht="24" customHeight="1">
      <c r="B2561" s="1033" t="str">
        <f>'Jaringan Pipa Luar Gedung'!C3900</f>
        <v>9.7.3.2</v>
      </c>
      <c r="C2561" s="39" t="str">
        <f>VLOOKUP(B2561,'Jaringan Pipa Luar Gedung'!C:K,2,FALSE)</f>
        <v>Pemasangan 1 Buah Tee Ø 8" (200 mm)</v>
      </c>
      <c r="D2561" s="9" t="s">
        <v>44</v>
      </c>
      <c r="E2561" s="1021">
        <f>VLOOKUP(C2561,'Jaringan Pipa Luar Gedung'!$D$2:$I$4288,6,FALSE)</f>
        <v>198900</v>
      </c>
      <c r="F2561" s="1003" t="str">
        <f>VLOOKUP(C2561,'Jaringan Pipa Luar Gedung'!$D$2:$J$4288,7,FALSE)</f>
        <v>Revisi</v>
      </c>
      <c r="G2561" s="12" t="str">
        <f>VLOOKUP(C2561,'Jaringan Pipa Luar Gedung'!$D$2:$K$4288,8,FALSE)</f>
        <v xml:space="preserve">Perubahan di judul </v>
      </c>
      <c r="H2561" s="374"/>
      <c r="I2561" s="16"/>
    </row>
    <row r="2562" spans="2:9" ht="24" customHeight="1">
      <c r="B2562" s="1033" t="str">
        <f>'Jaringan Pipa Luar Gedung'!C3917</f>
        <v>9.7.3.3</v>
      </c>
      <c r="C2562" s="39" t="str">
        <f>VLOOKUP(B2562,'Jaringan Pipa Luar Gedung'!C:K,2,FALSE)</f>
        <v>Pemasangan 1 Buah Tee Ø 10" (250 mm)</v>
      </c>
      <c r="D2562" s="9" t="s">
        <v>44</v>
      </c>
      <c r="E2562" s="1021">
        <f>VLOOKUP(C2562,'Jaringan Pipa Luar Gedung'!$D$2:$I$4288,6,FALSE)</f>
        <v>307000</v>
      </c>
      <c r="F2562" s="1003" t="str">
        <f>VLOOKUP(C2562,'Jaringan Pipa Luar Gedung'!$D$2:$J$4288,7,FALSE)</f>
        <v>Revisi</v>
      </c>
      <c r="G2562" s="12" t="str">
        <f>VLOOKUP(C2562,'Jaringan Pipa Luar Gedung'!$D$2:$K$4288,8,FALSE)</f>
        <v xml:space="preserve">Perubahan di judul </v>
      </c>
      <c r="H2562" s="374"/>
      <c r="I2562" s="16"/>
    </row>
    <row r="2563" spans="2:9" ht="24" customHeight="1">
      <c r="B2563" s="1033" t="str">
        <f>'Jaringan Pipa Luar Gedung'!C3934</f>
        <v>9.7.3.4</v>
      </c>
      <c r="C2563" s="39" t="str">
        <f>VLOOKUP(B2563,'Jaringan Pipa Luar Gedung'!C:K,2,FALSE)</f>
        <v>Pemasangan 1 Buah Tee Ø 18" (450 mm)</v>
      </c>
      <c r="D2563" s="9" t="s">
        <v>44</v>
      </c>
      <c r="E2563" s="1021">
        <f>VLOOKUP(C2563,'Jaringan Pipa Luar Gedung'!$D$2:$I$4288,6,FALSE)</f>
        <v>527500</v>
      </c>
      <c r="F2563" s="1003" t="str">
        <f>VLOOKUP(C2563,'Jaringan Pipa Luar Gedung'!$D$2:$J$4288,7,FALSE)</f>
        <v>Revisi</v>
      </c>
      <c r="G2563" s="12" t="str">
        <f>VLOOKUP(C2563,'Jaringan Pipa Luar Gedung'!$D$2:$K$4288,8,FALSE)</f>
        <v xml:space="preserve">Perubahan di judul </v>
      </c>
      <c r="H2563" s="374"/>
      <c r="I2563" s="16"/>
    </row>
    <row r="2564" spans="2:9" ht="24" customHeight="1">
      <c r="B2564" s="1033" t="str">
        <f>'Jaringan Pipa Luar Gedung'!C3951</f>
        <v>9.7.3.5</v>
      </c>
      <c r="C2564" s="39" t="str">
        <f>VLOOKUP(B2564,'Jaringan Pipa Luar Gedung'!C:K,2,FALSE)</f>
        <v>Pemasangan 1 Buah Tee Ø 20" (500 mm)</v>
      </c>
      <c r="D2564" s="9" t="s">
        <v>44</v>
      </c>
      <c r="E2564" s="1021">
        <f>VLOOKUP(C2564,'Jaringan Pipa Luar Gedung'!$D$2:$I$4288,6,FALSE)</f>
        <v>633100</v>
      </c>
      <c r="F2564" s="1003" t="str">
        <f>VLOOKUP(C2564,'Jaringan Pipa Luar Gedung'!$D$2:$J$4288,7,FALSE)</f>
        <v>Revisi</v>
      </c>
      <c r="G2564" s="12" t="str">
        <f>VLOOKUP(C2564,'Jaringan Pipa Luar Gedung'!$D$2:$K$4288,8,FALSE)</f>
        <v xml:space="preserve">Perubahan di judul </v>
      </c>
      <c r="H2564" s="374"/>
      <c r="I2564" s="16"/>
    </row>
    <row r="2565" spans="2:9" ht="24" customHeight="1">
      <c r="B2565" s="1033" t="str">
        <f>'Jaringan Pipa Luar Gedung'!C3968</f>
        <v>9.7.3.6</v>
      </c>
      <c r="C2565" s="39" t="str">
        <f>VLOOKUP(B2565,'Jaringan Pipa Luar Gedung'!C:K,2,FALSE)</f>
        <v>Pemasangan 1 Buah Tee Ø 24" (600 mm)</v>
      </c>
      <c r="D2565" s="9" t="s">
        <v>44</v>
      </c>
      <c r="E2565" s="1021">
        <f>VLOOKUP(C2565,'Jaringan Pipa Luar Gedung'!$D$2:$I$4288,6,FALSE)</f>
        <v>875800</v>
      </c>
      <c r="F2565" s="1003" t="str">
        <f>VLOOKUP(C2565,'Jaringan Pipa Luar Gedung'!$D$2:$J$4288,7,FALSE)</f>
        <v>Revisi</v>
      </c>
      <c r="G2565" s="12" t="str">
        <f>VLOOKUP(C2565,'Jaringan Pipa Luar Gedung'!$D$2:$K$4288,8,FALSE)</f>
        <v xml:space="preserve">Perubahan di judul </v>
      </c>
      <c r="H2565" s="374"/>
      <c r="I2565" s="16"/>
    </row>
    <row r="2566" spans="2:9" ht="24" customHeight="1">
      <c r="B2566" s="1033" t="str">
        <f>'Jaringan Pipa Luar Gedung'!C3987</f>
        <v>9.7.3.7</v>
      </c>
      <c r="C2566" s="39" t="str">
        <f>VLOOKUP(B2566,'Jaringan Pipa Luar Gedung'!C:K,2,FALSE)</f>
        <v>Pemasangan 1 Buah Tee Ø 28" (700 mm)</v>
      </c>
      <c r="D2566" s="9" t="s">
        <v>44</v>
      </c>
      <c r="E2566" s="1021">
        <f>VLOOKUP(C2566,'Jaringan Pipa Luar Gedung'!$D$2:$I$4288,6,FALSE)</f>
        <v>1033600</v>
      </c>
      <c r="F2566" s="1003" t="str">
        <f>VLOOKUP(C2566,'Jaringan Pipa Luar Gedung'!$D$2:$J$4288,7,FALSE)</f>
        <v>Revisi</v>
      </c>
      <c r="G2566" s="12" t="str">
        <f>VLOOKUP(C2566,'Jaringan Pipa Luar Gedung'!$D$2:$K$4288,8,FALSE)</f>
        <v xml:space="preserve">Perubahan di judul </v>
      </c>
      <c r="H2566" s="374"/>
      <c r="I2566" s="16"/>
    </row>
    <row r="2567" spans="2:9" ht="24" customHeight="1">
      <c r="B2567" s="1033" t="str">
        <f>'Jaringan Pipa Luar Gedung'!C4005</f>
        <v>9.7.3.8</v>
      </c>
      <c r="C2567" s="39" t="str">
        <f>VLOOKUP(B2567,'Jaringan Pipa Luar Gedung'!C:K,2,FALSE)</f>
        <v>Pemasangan 1 Buah Tee Ø 32" (800 mm)</v>
      </c>
      <c r="D2567" s="9" t="s">
        <v>44</v>
      </c>
      <c r="E2567" s="1021">
        <f>VLOOKUP(C2567,'Jaringan Pipa Luar Gedung'!$D$2:$I$4288,6,FALSE)</f>
        <v>1205200</v>
      </c>
      <c r="F2567" s="1003" t="str">
        <f>VLOOKUP(C2567,'Jaringan Pipa Luar Gedung'!$D$2:$J$4288,7,FALSE)</f>
        <v>Revisi</v>
      </c>
      <c r="G2567" s="12" t="str">
        <f>VLOOKUP(C2567,'Jaringan Pipa Luar Gedung'!$D$2:$K$4288,8,FALSE)</f>
        <v xml:space="preserve">Perubahan di judul </v>
      </c>
      <c r="H2567" s="374"/>
      <c r="I2567" s="16"/>
    </row>
    <row r="2568" spans="2:9" ht="24" customHeight="1">
      <c r="B2568" s="1033" t="str">
        <f>'Jaringan Pipa Luar Gedung'!C4023</f>
        <v>9.7.3.9</v>
      </c>
      <c r="C2568" s="39" t="str">
        <f>VLOOKUP(B2568,'Jaringan Pipa Luar Gedung'!C:K,2,FALSE)</f>
        <v>Pemasangan 1 Buah Tee Ø 36" (900 mm)</v>
      </c>
      <c r="D2568" s="9" t="s">
        <v>44</v>
      </c>
      <c r="E2568" s="1021">
        <f>VLOOKUP(C2568,'Jaringan Pipa Luar Gedung'!$D$2:$I$4288,6,FALSE)</f>
        <v>1386400</v>
      </c>
      <c r="F2568" s="1003" t="str">
        <f>VLOOKUP(C2568,'Jaringan Pipa Luar Gedung'!$D$2:$J$4288,7,FALSE)</f>
        <v>Revisi</v>
      </c>
      <c r="G2568" s="12" t="str">
        <f>VLOOKUP(C2568,'Jaringan Pipa Luar Gedung'!$D$2:$K$4288,8,FALSE)</f>
        <v xml:space="preserve">Perubahan di judul </v>
      </c>
      <c r="H2568" s="374"/>
      <c r="I2568" s="16"/>
    </row>
    <row r="2569" spans="2:9" ht="24" customHeight="1">
      <c r="B2569" s="1033" t="str">
        <f>'Jaringan Pipa Luar Gedung'!C4041</f>
        <v>9.7.3.10</v>
      </c>
      <c r="C2569" s="39" t="str">
        <f>VLOOKUP(B2569,'Jaringan Pipa Luar Gedung'!C:K,2,FALSE)</f>
        <v>Pemasangan 1 Buah Tee Ø 40" (1000 mm)</v>
      </c>
      <c r="D2569" s="9" t="s">
        <v>44</v>
      </c>
      <c r="E2569" s="1021">
        <f>VLOOKUP(C2569,'Jaringan Pipa Luar Gedung'!$D$2:$I$4288,6,FALSE)</f>
        <v>1559200</v>
      </c>
      <c r="F2569" s="1003" t="str">
        <f>VLOOKUP(C2569,'Jaringan Pipa Luar Gedung'!$D$2:$J$4288,7,FALSE)</f>
        <v>Revisi</v>
      </c>
      <c r="G2569" s="12" t="str">
        <f>VLOOKUP(C2569,'Jaringan Pipa Luar Gedung'!$D$2:$K$4288,8,FALSE)</f>
        <v xml:space="preserve">Perubahan di judul </v>
      </c>
      <c r="H2569" s="374"/>
      <c r="I2569" s="16"/>
    </row>
    <row r="2570" spans="2:9" ht="24" customHeight="1">
      <c r="B2570" s="1033" t="str">
        <f>'Jaringan Pipa Luar Gedung'!C4059</f>
        <v>9.7.3.11</v>
      </c>
      <c r="C2570" s="39" t="str">
        <f>VLOOKUP(B2570,'Jaringan Pipa Luar Gedung'!C:K,2,FALSE)</f>
        <v>Pemasangan 1 Buah Tee Ø 44" (1100 mm)</v>
      </c>
      <c r="D2570" s="9" t="s">
        <v>44</v>
      </c>
      <c r="E2570" s="1021">
        <f>VLOOKUP(C2570,'Jaringan Pipa Luar Gedung'!$D$2:$I$4288,6,FALSE)</f>
        <v>1710000</v>
      </c>
      <c r="F2570" s="1003" t="str">
        <f>VLOOKUP(C2570,'Jaringan Pipa Luar Gedung'!$D$2:$J$4288,7,FALSE)</f>
        <v>Revisi</v>
      </c>
      <c r="G2570" s="12" t="str">
        <f>VLOOKUP(C2570,'Jaringan Pipa Luar Gedung'!$D$2:$K$4288,8,FALSE)</f>
        <v xml:space="preserve">Perubahan di judul </v>
      </c>
      <c r="H2570" s="374"/>
      <c r="I2570" s="16"/>
    </row>
    <row r="2571" spans="2:9" ht="24" customHeight="1">
      <c r="B2571" s="1033" t="str">
        <f>'Jaringan Pipa Luar Gedung'!C4077</f>
        <v>9.7.3.12</v>
      </c>
      <c r="C2571" s="39" t="str">
        <f>VLOOKUP(B2571,'Jaringan Pipa Luar Gedung'!C:K,2,FALSE)</f>
        <v>Pemasangan 1 Buah Tee Ø 48" (1200 mm)</v>
      </c>
      <c r="D2571" s="9" t="s">
        <v>44</v>
      </c>
      <c r="E2571" s="1021">
        <f>VLOOKUP(C2571,'Jaringan Pipa Luar Gedung'!$D$2:$I$4288,6,FALSE)</f>
        <v>1945000</v>
      </c>
      <c r="F2571" s="1003" t="str">
        <f>VLOOKUP(C2571,'Jaringan Pipa Luar Gedung'!$D$2:$J$4288,7,FALSE)</f>
        <v>Revisi</v>
      </c>
      <c r="G2571" s="12" t="str">
        <f>VLOOKUP(C2571,'Jaringan Pipa Luar Gedung'!$D$2:$K$4288,8,FALSE)</f>
        <v xml:space="preserve">Perubahan di judul </v>
      </c>
      <c r="H2571" s="374"/>
      <c r="I2571" s="16"/>
    </row>
    <row r="2572" spans="2:9" ht="24" customHeight="1">
      <c r="B2572" s="1033" t="str">
        <f>'Jaringan Pipa Luar Gedung'!C4095</f>
        <v>9.7.3.13</v>
      </c>
      <c r="C2572" s="39" t="str">
        <f>VLOOKUP(B2572,'Jaringan Pipa Luar Gedung'!C:K,2,FALSE)</f>
        <v>Pemasangan 1 Buah Tee Ø 1/2" (15 mm)</v>
      </c>
      <c r="D2572" s="9" t="s">
        <v>44</v>
      </c>
      <c r="E2572" s="1021">
        <f>VLOOKUP(C2572,'Jaringan Pipa Luar Gedung'!$D$2:$I$4288,6,FALSE)</f>
        <v>26000</v>
      </c>
      <c r="F2572" s="1003" t="str">
        <f>VLOOKUP(C2572,'Jaringan Pipa Luar Gedung'!$D$2:$J$4288,7,FALSE)</f>
        <v>Revisi</v>
      </c>
      <c r="G2572" s="12" t="str">
        <f>VLOOKUP(C2572,'Jaringan Pipa Luar Gedung'!$D$2:$K$4288,8,FALSE)</f>
        <v xml:space="preserve">Perubahan di judul </v>
      </c>
      <c r="H2572" s="374"/>
      <c r="I2572" s="16"/>
    </row>
    <row r="2573" spans="2:9" ht="24" customHeight="1">
      <c r="B2573" s="1033" t="str">
        <f>'Jaringan Pipa Luar Gedung'!C4111</f>
        <v>9.7.3.14</v>
      </c>
      <c r="C2573" s="39" t="str">
        <f>VLOOKUP(B2573,'Jaringan Pipa Luar Gedung'!C:K,2,FALSE)</f>
        <v>Pemasangan 1 Buah Tee Ø 3/4" (20 mm)</v>
      </c>
      <c r="D2573" s="9" t="s">
        <v>44</v>
      </c>
      <c r="E2573" s="1021">
        <f>VLOOKUP(C2573,'Jaringan Pipa Luar Gedung'!$D$2:$I$4288,6,FALSE)</f>
        <v>33700</v>
      </c>
      <c r="F2573" s="1003" t="str">
        <f>VLOOKUP(C2573,'Jaringan Pipa Luar Gedung'!$D$2:$J$4288,7,FALSE)</f>
        <v>Revisi</v>
      </c>
      <c r="G2573" s="12" t="str">
        <f>VLOOKUP(C2573,'Jaringan Pipa Luar Gedung'!$D$2:$K$4288,8,FALSE)</f>
        <v xml:space="preserve">Perubahan di judul </v>
      </c>
      <c r="H2573" s="374"/>
      <c r="I2573" s="16"/>
    </row>
    <row r="2574" spans="2:9" ht="24" customHeight="1">
      <c r="B2574" s="1033" t="str">
        <f>'Jaringan Pipa Luar Gedung'!C4127</f>
        <v>9.7.3.15</v>
      </c>
      <c r="C2574" s="39" t="str">
        <f>VLOOKUP(B2574,'Jaringan Pipa Luar Gedung'!C:K,2,FALSE)</f>
        <v>Pemasangan 1 Buah Tee Ø 1" (25 mm)</v>
      </c>
      <c r="D2574" s="9" t="s">
        <v>44</v>
      </c>
      <c r="E2574" s="1021">
        <f>VLOOKUP(C2574,'Jaringan Pipa Luar Gedung'!$D$2:$I$4288,6,FALSE)</f>
        <v>38200</v>
      </c>
      <c r="F2574" s="1003" t="str">
        <f>VLOOKUP(C2574,'Jaringan Pipa Luar Gedung'!$D$2:$J$4288,7,FALSE)</f>
        <v>Revisi</v>
      </c>
      <c r="G2574" s="12" t="str">
        <f>VLOOKUP(C2574,'Jaringan Pipa Luar Gedung'!$D$2:$K$4288,8,FALSE)</f>
        <v xml:space="preserve">Perubahan di judul </v>
      </c>
      <c r="H2574" s="374"/>
      <c r="I2574" s="16"/>
    </row>
    <row r="2575" spans="2:9" ht="24" customHeight="1">
      <c r="B2575" s="1033" t="str">
        <f>'Jaringan Pipa Luar Gedung'!C4143</f>
        <v>9.7.3.16</v>
      </c>
      <c r="C2575" s="39" t="str">
        <f>VLOOKUP(B2575,'Jaringan Pipa Luar Gedung'!C:K,2,FALSE)</f>
        <v>Pemasangan 1 Buah Tee Ø 1-1/4" (32 mm)</v>
      </c>
      <c r="D2575" s="9" t="s">
        <v>44</v>
      </c>
      <c r="E2575" s="1021">
        <f>VLOOKUP(C2575,'Jaringan Pipa Luar Gedung'!$D$2:$I$4288,6,FALSE)</f>
        <v>40800</v>
      </c>
      <c r="F2575" s="1003" t="str">
        <f>VLOOKUP(C2575,'Jaringan Pipa Luar Gedung'!$D$2:$J$4288,7,FALSE)</f>
        <v>Revisi</v>
      </c>
      <c r="G2575" s="12" t="str">
        <f>VLOOKUP(C2575,'Jaringan Pipa Luar Gedung'!$D$2:$K$4288,8,FALSE)</f>
        <v xml:space="preserve">Perubahan di judul </v>
      </c>
      <c r="H2575" s="374"/>
      <c r="I2575" s="16"/>
    </row>
    <row r="2576" spans="2:9" ht="24" customHeight="1">
      <c r="B2576" s="1033" t="str">
        <f>'Jaringan Pipa Luar Gedung'!C4160</f>
        <v>9.7.3.17</v>
      </c>
      <c r="C2576" s="39" t="str">
        <f>VLOOKUP(B2576,'Jaringan Pipa Luar Gedung'!C:K,2,FALSE)</f>
        <v>Pemasangan 1 Buah Tee Ø 1-1/2" (40 mm)</v>
      </c>
      <c r="D2576" s="9" t="s">
        <v>44</v>
      </c>
      <c r="E2576" s="1021">
        <f>VLOOKUP(C2576,'Jaringan Pipa Luar Gedung'!$D$2:$I$4288,6,FALSE)</f>
        <v>49200</v>
      </c>
      <c r="F2576" s="1003" t="str">
        <f>VLOOKUP(C2576,'Jaringan Pipa Luar Gedung'!$D$2:$J$4288,7,FALSE)</f>
        <v>Revisi</v>
      </c>
      <c r="G2576" s="12" t="str">
        <f>VLOOKUP(C2576,'Jaringan Pipa Luar Gedung'!$D$2:$K$4288,8,FALSE)</f>
        <v xml:space="preserve">Perubahan di judul </v>
      </c>
      <c r="H2576" s="374"/>
      <c r="I2576" s="16"/>
    </row>
    <row r="2577" spans="2:9" ht="24" customHeight="1">
      <c r="B2577" s="1033" t="str">
        <f>'Jaringan Pipa Luar Gedung'!C4176</f>
        <v>9.7.3.18</v>
      </c>
      <c r="C2577" s="39" t="str">
        <f>VLOOKUP(B2577,'Jaringan Pipa Luar Gedung'!C:K,2,FALSE)</f>
        <v>Pemasangan 1 Buah Tee Ø 2" (50 mm)</v>
      </c>
      <c r="D2577" s="9" t="s">
        <v>44</v>
      </c>
      <c r="E2577" s="1021">
        <f>VLOOKUP(C2577,'Jaringan Pipa Luar Gedung'!$D$2:$I$4288,6,FALSE)</f>
        <v>53100</v>
      </c>
      <c r="F2577" s="1003" t="str">
        <f>VLOOKUP(C2577,'Jaringan Pipa Luar Gedung'!$D$2:$J$4288,7,FALSE)</f>
        <v>Revisi</v>
      </c>
      <c r="G2577" s="12" t="str">
        <f>VLOOKUP(C2577,'Jaringan Pipa Luar Gedung'!$D$2:$K$4288,8,FALSE)</f>
        <v xml:space="preserve">Perubahan di judul </v>
      </c>
      <c r="H2577" s="374"/>
      <c r="I2577" s="16"/>
    </row>
    <row r="2578" spans="2:9" ht="24" customHeight="1">
      <c r="B2578" s="1033" t="str">
        <f>'Jaringan Pipa Luar Gedung'!C4192</f>
        <v>9.7.3.19</v>
      </c>
      <c r="C2578" s="39" t="str">
        <f>VLOOKUP(B2578,'Jaringan Pipa Luar Gedung'!C:K,2,FALSE)</f>
        <v>Pemasangan 1 Buah Tee Ø 2-1/2" (65 mm)</v>
      </c>
      <c r="D2578" s="9" t="s">
        <v>44</v>
      </c>
      <c r="E2578" s="1021">
        <f>VLOOKUP(C2578,'Jaringan Pipa Luar Gedung'!$D$2:$I$4288,6,FALSE)</f>
        <v>61600</v>
      </c>
      <c r="F2578" s="1003" t="str">
        <f>VLOOKUP(C2578,'Jaringan Pipa Luar Gedung'!$D$2:$J$4288,7,FALSE)</f>
        <v>Revisi</v>
      </c>
      <c r="G2578" s="12" t="str">
        <f>VLOOKUP(C2578,'Jaringan Pipa Luar Gedung'!$D$2:$K$4288,8,FALSE)</f>
        <v xml:space="preserve">Perubahan di judul </v>
      </c>
      <c r="H2578" s="374"/>
      <c r="I2578" s="16"/>
    </row>
    <row r="2579" spans="2:9" ht="24" customHeight="1">
      <c r="B2579" s="1033" t="str">
        <f>'Jaringan Pipa Luar Gedung'!C4208</f>
        <v>9.7.3.20</v>
      </c>
      <c r="C2579" s="39" t="str">
        <f>VLOOKUP(B2579,'Jaringan Pipa Luar Gedung'!C:K,2,FALSE)</f>
        <v>Pemasangan 1 Buah Tee Ø 3" (80 mm)</v>
      </c>
      <c r="D2579" s="9" t="s">
        <v>44</v>
      </c>
      <c r="E2579" s="1021">
        <f>VLOOKUP(C2579,'Jaringan Pipa Luar Gedung'!$D$2:$I$4288,6,FALSE)</f>
        <v>75700</v>
      </c>
      <c r="F2579" s="1003" t="str">
        <f>VLOOKUP(C2579,'Jaringan Pipa Luar Gedung'!$D$2:$J$4288,7,FALSE)</f>
        <v>Revisi</v>
      </c>
      <c r="G2579" s="12" t="str">
        <f>VLOOKUP(C2579,'Jaringan Pipa Luar Gedung'!$D$2:$K$4288,8,FALSE)</f>
        <v xml:space="preserve">Perubahan di judul </v>
      </c>
      <c r="H2579" s="374"/>
      <c r="I2579" s="16"/>
    </row>
    <row r="2580" spans="2:9" ht="24" customHeight="1">
      <c r="B2580" s="1033" t="str">
        <f>'Jaringan Pipa Luar Gedung'!C4224</f>
        <v>9.7.3.21</v>
      </c>
      <c r="C2580" s="39" t="str">
        <f>VLOOKUP(B2580,'Jaringan Pipa Luar Gedung'!C:K,2,FALSE)</f>
        <v>Pemasangan 1 Buah Tee Ø 4" (100 mm)</v>
      </c>
      <c r="D2580" s="9" t="s">
        <v>44</v>
      </c>
      <c r="E2580" s="1021">
        <f>VLOOKUP(C2580,'Jaringan Pipa Luar Gedung'!$D$2:$I$4288,6,FALSE)</f>
        <v>81900</v>
      </c>
      <c r="F2580" s="1003" t="str">
        <f>VLOOKUP(C2580,'Jaringan Pipa Luar Gedung'!$D$2:$J$4288,7,FALSE)</f>
        <v>Revisi</v>
      </c>
      <c r="G2580" s="12" t="str">
        <f>VLOOKUP(C2580,'Jaringan Pipa Luar Gedung'!$D$2:$K$4288,8,FALSE)</f>
        <v xml:space="preserve">Perubahan di judul </v>
      </c>
      <c r="H2580" s="374"/>
      <c r="I2580" s="16"/>
    </row>
    <row r="2581" spans="2:9" ht="24" customHeight="1">
      <c r="B2581" s="1033" t="str">
        <f>'Jaringan Pipa Luar Gedung'!C4241</f>
        <v>9.7.3.22</v>
      </c>
      <c r="C2581" s="39" t="str">
        <f>VLOOKUP(B2581,'Jaringan Pipa Luar Gedung'!C:K,2,FALSE)</f>
        <v>Pemasangan 1 Buah Tee Ø 5" (125 mm)</v>
      </c>
      <c r="D2581" s="9" t="s">
        <v>44</v>
      </c>
      <c r="E2581" s="1021">
        <f>VLOOKUP(C2581,'Jaringan Pipa Luar Gedung'!$D$2:$I$4288,6,FALSE)</f>
        <v>77800</v>
      </c>
      <c r="F2581" s="1003" t="str">
        <f>VLOOKUP(C2581,'Jaringan Pipa Luar Gedung'!$D$2:$J$4288,7,FALSE)</f>
        <v>Revisi</v>
      </c>
      <c r="G2581" s="12" t="str">
        <f>VLOOKUP(C2581,'Jaringan Pipa Luar Gedung'!$D$2:$K$4288,8,FALSE)</f>
        <v xml:space="preserve">Perubahan di judul </v>
      </c>
      <c r="H2581" s="374"/>
      <c r="I2581" s="16"/>
    </row>
    <row r="2582" spans="2:9" ht="24" customHeight="1">
      <c r="B2582" s="1033" t="str">
        <f>'Jaringan Pipa Luar Gedung'!C4257</f>
        <v>9.7.3.23</v>
      </c>
      <c r="C2582" s="39" t="str">
        <f>VLOOKUP(B2582,'Jaringan Pipa Luar Gedung'!C:K,2,FALSE)</f>
        <v>Pemasangan 1 Buah Tee Ø 12" (300 mm)</v>
      </c>
      <c r="D2582" s="9" t="s">
        <v>44</v>
      </c>
      <c r="E2582" s="1021">
        <f>VLOOKUP(C2582,'Jaringan Pipa Luar Gedung'!$D$2:$I$4288,6,FALSE)</f>
        <v>346500</v>
      </c>
      <c r="F2582" s="1003" t="str">
        <f>VLOOKUP(C2582,'Jaringan Pipa Luar Gedung'!$D$2:$J$4288,7,FALSE)</f>
        <v>Revisi</v>
      </c>
      <c r="G2582" s="12" t="str">
        <f>VLOOKUP(C2582,'Jaringan Pipa Luar Gedung'!$D$2:$K$4288,8,FALSE)</f>
        <v xml:space="preserve">Perubahan di judul </v>
      </c>
      <c r="H2582" s="374"/>
      <c r="I2582" s="16"/>
    </row>
    <row r="2583" spans="2:9" ht="24" customHeight="1">
      <c r="B2583" s="1033" t="str">
        <f>'Jaringan Pipa Luar Gedung'!C4274</f>
        <v>9.7.3.24</v>
      </c>
      <c r="C2583" s="39" t="str">
        <f>VLOOKUP(B2583,'Jaringan Pipa Luar Gedung'!C:K,2,FALSE)</f>
        <v>Pemasangan 1 Buah Tee Ø 16" (400 mm)</v>
      </c>
      <c r="D2583" s="9" t="s">
        <v>44</v>
      </c>
      <c r="E2583" s="1021">
        <f>VLOOKUP(C2583,'Jaringan Pipa Luar Gedung'!$D$2:$I$4288,6,FALSE)</f>
        <v>412900</v>
      </c>
      <c r="F2583" s="1003" t="str">
        <f>VLOOKUP(C2583,'Jaringan Pipa Luar Gedung'!$D$2:$J$4288,7,FALSE)</f>
        <v>Revisi</v>
      </c>
      <c r="G2583" s="12" t="str">
        <f>VLOOKUP(C2583,'Jaringan Pipa Luar Gedung'!$D$2:$K$4288,8,FALSE)</f>
        <v xml:space="preserve">Perubahan di judul </v>
      </c>
      <c r="H2583" s="374"/>
      <c r="I2583" s="16"/>
    </row>
    <row r="2584" spans="2:9" ht="24" customHeight="1">
      <c r="B2584" s="1052">
        <f>'Strutur Risha '!C2</f>
        <v>10</v>
      </c>
      <c r="C2584" s="1001" t="str">
        <f>VLOOKUP(B2584,'Strutur Risha '!C:J,2,FALSE)</f>
        <v xml:space="preserve">Sistem Struktur Risha </v>
      </c>
      <c r="D2584" s="983"/>
      <c r="E2584" s="1024"/>
      <c r="F2584" s="1009">
        <f>VLOOKUP(C2584,'Strutur Risha '!$D$2:$J$246,7,FALSE)</f>
        <v>0</v>
      </c>
      <c r="G2584" s="31">
        <f>VLOOKUP(C2584,'Strutur Risha '!$D$2:$K$246,8,FALSE)</f>
        <v>0</v>
      </c>
      <c r="H2584" s="374"/>
      <c r="I2584" s="16"/>
    </row>
    <row r="2585" spans="2:9" ht="24" customHeight="1">
      <c r="B2585" s="1053" t="str">
        <f>'Strutur Risha '!C3</f>
        <v>10.1</v>
      </c>
      <c r="C2585" s="40" t="str">
        <f>VLOOKUP(B2585,'Strutur Risha '!C:J,2,FALSE)</f>
        <v xml:space="preserve">Pekerjaan Produksi Panel RISHA </v>
      </c>
      <c r="D2585" s="22"/>
      <c r="E2585" s="1025"/>
      <c r="F2585" s="1003">
        <f>VLOOKUP(C2585,'Strutur Risha '!$D$2:$J$246,7,FALSE)</f>
        <v>0</v>
      </c>
      <c r="G2585" s="12">
        <f>VLOOKUP(C2585,'Strutur Risha '!$D$2:$K$246,8,FALSE)</f>
        <v>0</v>
      </c>
      <c r="H2585" s="374"/>
      <c r="I2585" s="16"/>
    </row>
    <row r="2586" spans="2:9" ht="24" customHeight="1">
      <c r="B2586" s="1033" t="str">
        <f>'Strutur Risha '!C4</f>
        <v>10.1.1</v>
      </c>
      <c r="C2586" s="1059" t="str">
        <f>VLOOKUP(B2586,'Strutur Risha '!C:J,2,FALSE)</f>
        <v>Pembuatan 1 buah cetakan Panel P1 RISHA (Asumsi 400 Kali Pakai )</v>
      </c>
      <c r="D2586" s="9" t="s">
        <v>44</v>
      </c>
      <c r="E2586" s="1021">
        <f>VLOOKUP(C2586,'Strutur Risha '!$D$2:$I$246,6,FALSE)</f>
        <v>609000</v>
      </c>
      <c r="F2586" s="1003" t="str">
        <f>VLOOKUP(C2586,'Strutur Risha '!$D$2:$J$246,7,FALSE)</f>
        <v>Revisi</v>
      </c>
      <c r="G2586" s="12" t="str">
        <f>VLOOKUP(C2586,'Strutur Risha '!$D$2:$K$246,8,FALSE)</f>
        <v>Perubahan Tenaga Kerja Tukang las menjadi tukang besi/tukang beton dan koefisiennya (3,0959 menjadi 1,5479) , perubahan koefisien kepala tukang(0,309 menjadi 0,1548) dan mandor (0,1548 menjadi 0,0516)</v>
      </c>
      <c r="H2586" s="374"/>
      <c r="I2586" s="16"/>
    </row>
    <row r="2587" spans="2:9" ht="24" customHeight="1">
      <c r="B2587" s="1095" t="str">
        <f>'Strutur Risha '!C23</f>
        <v>10.1.2</v>
      </c>
      <c r="C2587" s="1084" t="str">
        <f>VLOOKUP(B2587,'Strutur Risha '!C:J,2,FALSE)</f>
        <v>Pembuatan 1 buah cetakan Panel P2 RISHA (Asumsi 400 Kali Pakai )</v>
      </c>
      <c r="D2587" s="988" t="s">
        <v>44</v>
      </c>
      <c r="E2587" s="1021">
        <f>VLOOKUP(C2587,'Strutur Risha '!$D$2:$I$246,6,FALSE)</f>
        <v>552000</v>
      </c>
      <c r="F2587" s="1003" t="str">
        <f>VLOOKUP(C2587,'Strutur Risha '!$D$2:$J$246,7,FALSE)</f>
        <v>Revisi</v>
      </c>
      <c r="G2587" s="12" t="str">
        <f>VLOOKUP(C2587,'Strutur Risha '!$D$2:$K$246,8,FALSE)</f>
        <v>Perubahan Tenaga Kerja Tukang las menjadi tukang besi/tukang beton dan koefisiennya (2,7275 menjadi 1,3637) , perubahan koefisien kepala tukang(0,2727 menjadi 0,1364) dan mandor (0,1364 menjadi 0,0455)</v>
      </c>
      <c r="H2587" s="374"/>
      <c r="I2587" s="16"/>
    </row>
    <row r="2588" spans="2:9" ht="24" customHeight="1">
      <c r="B2588" s="1095" t="str">
        <f>'Strutur Risha '!C42</f>
        <v>10.1.3</v>
      </c>
      <c r="C2588" s="1085" t="str">
        <f>VLOOKUP(B2588,'Strutur Risha '!C:J,2,FALSE)</f>
        <v>Pembuatan 1 buah cetakan Panel P3 RISHA (Asumsi 400 Kali Pakai )</v>
      </c>
      <c r="D2588" s="988" t="s">
        <v>44</v>
      </c>
      <c r="E2588" s="1021">
        <f>VLOOKUP(C2588,'Strutur Risha '!$D$2:$I$246,6,FALSE)</f>
        <v>304500</v>
      </c>
      <c r="F2588" s="1003" t="str">
        <f>VLOOKUP(C2588,'Strutur Risha '!$D$2:$J$246,7,FALSE)</f>
        <v>Revisi</v>
      </c>
      <c r="G2588" s="12" t="str">
        <f>VLOOKUP(C2588,'Strutur Risha '!$D$2:$K$246,8,FALSE)</f>
        <v>Perubahan Tenaga Kerja Tukang las menjadi tukang besi/tukang beton dan koefisiennya (1,4959 menjadi 0,7479) , perubahan koefisien kepala tukang(0,1496 menjadi 0,0748) dan mandor (0,0748 menjadi 0,0249)</v>
      </c>
      <c r="H2588" s="374"/>
      <c r="I2588" s="16"/>
    </row>
    <row r="2589" spans="2:9" ht="24" customHeight="1">
      <c r="B2589" s="1095" t="str">
        <f>'Strutur Risha '!C61</f>
        <v>10.1.4</v>
      </c>
      <c r="C2589" s="1083" t="str">
        <f>VLOOKUP(B2589,'Strutur Risha '!C:J,2,FALSE)</f>
        <v xml:space="preserve">Pasangan dan Membuka Cetakan 1 buah Komponen P1 RISHA </v>
      </c>
      <c r="D2589" s="988" t="s">
        <v>44</v>
      </c>
      <c r="E2589" s="1021">
        <f>VLOOKUP(C2589,'Strutur Risha '!$D$2:$I$246,6,FALSE)</f>
        <v>18300</v>
      </c>
      <c r="F2589" s="1003">
        <f>VLOOKUP(C2589,'Strutur Risha '!$D$2:$J$246,7,FALSE)</f>
        <v>0</v>
      </c>
      <c r="G2589" s="12">
        <f>VLOOKUP(C2589,'Strutur Risha '!$D$2:$K$246,8,FALSE)</f>
        <v>0</v>
      </c>
      <c r="H2589" s="374"/>
      <c r="I2589" s="16"/>
    </row>
    <row r="2590" spans="2:9" ht="24" customHeight="1">
      <c r="B2590" s="1033" t="str">
        <f>'Strutur Risha '!C77</f>
        <v>10.1.5</v>
      </c>
      <c r="C2590" s="1060" t="str">
        <f>VLOOKUP(B2590,'Strutur Risha '!C:J,2,FALSE)</f>
        <v xml:space="preserve">Pasangan dan Membuka Cetakan 1 buah Komponen P2 RISHA </v>
      </c>
      <c r="D2590" s="9" t="s">
        <v>44</v>
      </c>
      <c r="E2590" s="1021">
        <f>VLOOKUP(C2590,'Strutur Risha '!$D$2:$I$246,6,FALSE)</f>
        <v>16200</v>
      </c>
      <c r="F2590" s="1003">
        <f>VLOOKUP(C2590,'Strutur Risha '!$D$2:$J$246,7,FALSE)</f>
        <v>0</v>
      </c>
      <c r="G2590" s="12">
        <f>VLOOKUP(C2590,'Strutur Risha '!$D$2:$K$246,8,FALSE)</f>
        <v>0</v>
      </c>
      <c r="H2590" s="374"/>
      <c r="I2590" s="16"/>
    </row>
    <row r="2591" spans="2:9" ht="24" customHeight="1">
      <c r="B2591" s="1033" t="str">
        <f>'Strutur Risha '!C93</f>
        <v>10.1.6</v>
      </c>
      <c r="C2591" s="39" t="str">
        <f>VLOOKUP(B2591,'Strutur Risha '!C:J,2,FALSE)</f>
        <v xml:space="preserve">Pasangan dan Membuka Cetakan 1 buah Komponen P3 RISHA </v>
      </c>
      <c r="D2591" s="9" t="s">
        <v>44</v>
      </c>
      <c r="E2591" s="1021">
        <f>VLOOKUP(C2591,'Strutur Risha '!$D$2:$I$246,6,FALSE)</f>
        <v>14700</v>
      </c>
      <c r="F2591" s="1003">
        <f>VLOOKUP(C2591,'Strutur Risha '!$D$2:$J$246,7,FALSE)</f>
        <v>0</v>
      </c>
      <c r="G2591" s="12">
        <f>VLOOKUP(C2591,'Strutur Risha '!$D$2:$K$246,8,FALSE)</f>
        <v>0</v>
      </c>
      <c r="H2591" s="374"/>
      <c r="I2591" s="16"/>
    </row>
    <row r="2592" spans="2:9" ht="24" customHeight="1">
      <c r="B2592" s="1033" t="str">
        <f>'Strutur Risha '!C109</f>
        <v>10.1.7</v>
      </c>
      <c r="C2592" s="39" t="str">
        <f>VLOOKUP(B2592,'Strutur Risha '!C:J,2,FALSE)</f>
        <v>Produksi 1 buah Panel P1</v>
      </c>
      <c r="D2592" s="9" t="s">
        <v>44</v>
      </c>
      <c r="E2592" s="1021">
        <f>VLOOKUP(C2592,'Strutur Risha '!$D$2:$I$246,6,FALSE)</f>
        <v>172200</v>
      </c>
      <c r="F2592" s="1003">
        <f>VLOOKUP(C2592,'Strutur Risha '!$D$2:$J$246,7,FALSE)</f>
        <v>0</v>
      </c>
      <c r="G2592" s="12">
        <f>VLOOKUP(C2592,'Strutur Risha '!$D$2:$K$246,8,FALSE)</f>
        <v>0</v>
      </c>
      <c r="H2592" s="374"/>
      <c r="I2592" s="16"/>
    </row>
    <row r="2593" spans="1:9" ht="24" customHeight="1">
      <c r="B2593" s="1033" t="str">
        <f>'Strutur Risha '!C128</f>
        <v>10.1.8</v>
      </c>
      <c r="C2593" s="39" t="str">
        <f>VLOOKUP(B2593,'Strutur Risha '!C:J,2,FALSE)</f>
        <v>Produksi 1 buah Panel P2</v>
      </c>
      <c r="D2593" s="9" t="s">
        <v>44</v>
      </c>
      <c r="E2593" s="1021">
        <f>VLOOKUP(C2593,'Strutur Risha '!$D$2:$I$246,6,FALSE)</f>
        <v>148100</v>
      </c>
      <c r="F2593" s="1003">
        <f>VLOOKUP(C2593,'Strutur Risha '!$D$2:$J$246,7,FALSE)</f>
        <v>0</v>
      </c>
      <c r="G2593" s="12">
        <f>VLOOKUP(C2593,'Strutur Risha '!$D$2:$K$246,8,FALSE)</f>
        <v>0</v>
      </c>
      <c r="H2593" s="374"/>
      <c r="I2593" s="16"/>
    </row>
    <row r="2594" spans="1:9" ht="24" customHeight="1">
      <c r="B2594" s="1033" t="str">
        <f>'Strutur Risha '!C146</f>
        <v>10.1.9</v>
      </c>
      <c r="C2594" s="39" t="str">
        <f>VLOOKUP(B2594,'Strutur Risha '!C:J,2,FALSE)</f>
        <v>Produksi 1 buah Panel P3</v>
      </c>
      <c r="D2594" s="9" t="s">
        <v>44</v>
      </c>
      <c r="E2594" s="1021">
        <f>VLOOKUP(C2594,'Strutur Risha '!$D$2:$I$246,6,FALSE)</f>
        <v>115400</v>
      </c>
      <c r="F2594" s="1003" t="str">
        <f>VLOOKUP(C2594,'Strutur Risha '!$D$2:$J$246,7,FALSE)</f>
        <v>Revisi</v>
      </c>
      <c r="G2594" s="12" t="str">
        <f>VLOOKUP(C2594,'Strutur Risha '!$D$2:$K$246,8,FALSE)</f>
        <v>Perubahan koefisien 1 kg Penulangan 5,5027 menjadi 4,2973, koefisien 1 m3 beton 0,0145 menjadi 0,0110 dan koefisien penulangan 0,0145 menjadi 0,0110</v>
      </c>
      <c r="H2594" s="374"/>
      <c r="I2594" s="16"/>
    </row>
    <row r="2595" spans="1:9" s="1" customFormat="1" ht="24" customHeight="1">
      <c r="A2595" s="47"/>
      <c r="B2595" s="1041" t="str">
        <f>'Strutur Risha '!C164</f>
        <v>10.2</v>
      </c>
      <c r="C2595" s="40" t="str">
        <f>VLOOKUP(B2595,'Strutur Risha '!C:J,2,FALSE)</f>
        <v xml:space="preserve">Pekerjaan Pengepakan dan Pengiriman Panel Lengkap dengan Aksesoris RISHA </v>
      </c>
      <c r="D2595" s="19"/>
      <c r="E2595" s="1021">
        <f>VLOOKUP(C2595,'Strutur Risha '!$D$2:$I$246,6,FALSE)</f>
        <v>0</v>
      </c>
      <c r="F2595" s="1003">
        <f>VLOOKUP(C2595,'Strutur Risha '!$D$2:$J$246,7,FALSE)</f>
        <v>0</v>
      </c>
      <c r="G2595" s="12">
        <f>VLOOKUP(C2595,'Strutur Risha '!$D$2:$K$246,8,FALSE)</f>
        <v>0</v>
      </c>
      <c r="H2595" s="1092"/>
      <c r="I2595" s="21"/>
    </row>
    <row r="2596" spans="1:9" ht="24" customHeight="1">
      <c r="B2596" s="1033" t="str">
        <f>'Strutur Risha '!C165</f>
        <v>10.2.1</v>
      </c>
      <c r="C2596" s="39" t="str">
        <f>VLOOKUP(B2596,'Strutur Risha '!C:J,2,FALSE)</f>
        <v>Pengepakan 1 set Panel dan Aksesoris RISHA T-36</v>
      </c>
      <c r="D2596" s="9" t="s">
        <v>630</v>
      </c>
      <c r="E2596" s="1021">
        <f>VLOOKUP(C2596,'Strutur Risha '!$D$2:$I$246,6,FALSE)</f>
        <v>238600</v>
      </c>
      <c r="F2596" s="1003">
        <f>VLOOKUP(C2596,'Strutur Risha '!$D$2:$J$246,7,FALSE)</f>
        <v>0</v>
      </c>
      <c r="G2596" s="12">
        <f>VLOOKUP(C2596,'Strutur Risha '!$D$2:$K$246,8,FALSE)</f>
        <v>0</v>
      </c>
      <c r="H2596" s="374"/>
      <c r="I2596" s="16"/>
    </row>
    <row r="2597" spans="1:9" ht="24" customHeight="1">
      <c r="B2597" s="1033" t="str">
        <f>'Strutur Risha '!C185</f>
        <v>10.2.2</v>
      </c>
      <c r="C2597" s="39" t="str">
        <f>VLOOKUP(B2597,'Strutur Risha '!C:J,2,FALSE)</f>
        <v>Pengiriman 1 set Panel dan Aksesoris RISHA T-36</v>
      </c>
      <c r="D2597" s="9" t="s">
        <v>630</v>
      </c>
      <c r="E2597" s="1021">
        <f>VLOOKUP(C2597,'Strutur Risha '!$D$2:$I$246,6,FALSE)</f>
        <v>23470200</v>
      </c>
      <c r="F2597" s="1003" t="str">
        <f>VLOOKUP(C2597,'Strutur Risha '!$D$2:$J$246,7,FALSE)</f>
        <v>Revisi</v>
      </c>
      <c r="G2597" s="12" t="str">
        <f>VLOOKUP(C2597,'Strutur Risha '!$D$2:$K$246,8,FALSE)</f>
        <v xml:space="preserve">Perubahan koefisien Panel P1 57,6  m menjadi 78 buah, P2 3 buah menjadi 30 buah, P3 0,0063 m3 menjadi 30 buah </v>
      </c>
      <c r="H2597" s="374"/>
      <c r="I2597" s="16"/>
    </row>
    <row r="2598" spans="1:9" s="1" customFormat="1" ht="24" customHeight="1">
      <c r="A2598" s="47"/>
      <c r="B2598" s="1041" t="str">
        <f>'Strutur Risha '!C201</f>
        <v>10.3</v>
      </c>
      <c r="C2598" s="40" t="str">
        <f>VLOOKUP(B2598,'Strutur Risha '!C:J,2,FALSE)</f>
        <v xml:space="preserve">Pekerjaan Perakitan Panel RISHA </v>
      </c>
      <c r="D2598" s="19"/>
      <c r="E2598" s="1021">
        <f>VLOOKUP(C2598,'Strutur Risha '!$D$2:$I$246,6,FALSE)</f>
        <v>0</v>
      </c>
      <c r="F2598" s="1003">
        <f>VLOOKUP(C2598,'Strutur Risha '!$D$2:$J$246,7,FALSE)</f>
        <v>0</v>
      </c>
      <c r="G2598" s="12">
        <f>VLOOKUP(C2598,'Strutur Risha '!$D$2:$K$246,8,FALSE)</f>
        <v>0</v>
      </c>
      <c r="H2598" s="1092"/>
      <c r="I2598" s="21"/>
    </row>
    <row r="2599" spans="1:9" ht="24" customHeight="1">
      <c r="B2599" s="1033" t="str">
        <f>'Strutur Risha '!C202</f>
        <v>10.3.1</v>
      </c>
      <c r="C2599" s="39" t="str">
        <f>VLOOKUP(B2599,'Strutur Risha '!C:J,2,FALSE)</f>
        <v xml:space="preserve">Pekerjaan Perakitan Panel dan Alat Sambung Modul T36 RISHA </v>
      </c>
      <c r="D2599" s="9" t="s">
        <v>44</v>
      </c>
      <c r="E2599" s="1021">
        <f>VLOOKUP(C2599,'Strutur Risha '!$D$2:$I$246,6,FALSE)</f>
        <v>0</v>
      </c>
      <c r="F2599" s="1003">
        <f>VLOOKUP(C2599,'Strutur Risha '!$D$2:$J$246,7,FALSE)</f>
        <v>0</v>
      </c>
      <c r="G2599" s="12">
        <f>VLOOKUP(C2599,'Strutur Risha '!$D$2:$K$246,8,FALSE)</f>
        <v>0</v>
      </c>
      <c r="H2599" s="374"/>
      <c r="I2599" s="16"/>
    </row>
    <row r="2600" spans="1:9" ht="24" customHeight="1">
      <c r="B2600" s="1033" t="str">
        <f>'Strutur Risha '!C231</f>
        <v>10.3.2</v>
      </c>
      <c r="C2600" s="39" t="str">
        <f>VLOOKUP(B2600,'Strutur Risha '!C:J,2,FALSE)</f>
        <v xml:space="preserve">Pekerjaan Perakitan Panel Modul T36 RISHA </v>
      </c>
      <c r="D2600" s="9" t="s">
        <v>44</v>
      </c>
      <c r="E2600" s="1021">
        <f>VLOOKUP(C2600,'Strutur Risha '!$D$2:$I$246,6,FALSE)</f>
        <v>1280400</v>
      </c>
      <c r="F2600" s="1003">
        <f>VLOOKUP(C2600,'Strutur Risha '!$D$2:$J$246,7,FALSE)</f>
        <v>0</v>
      </c>
      <c r="G2600" s="12">
        <f>VLOOKUP(C2600,'Strutur Risha '!$D$2:$K$246,8,FALSE)</f>
        <v>0</v>
      </c>
      <c r="H2600" s="374"/>
      <c r="I2600" s="16"/>
    </row>
    <row r="2601" spans="1:9" ht="24" customHeight="1" thickBot="1">
      <c r="B2601" s="1055"/>
      <c r="C2601" s="1056"/>
      <c r="D2601" s="1057"/>
      <c r="E2601" s="1058"/>
      <c r="F2601" s="1019"/>
      <c r="H2601" s="152"/>
      <c r="I2601" s="16"/>
    </row>
    <row r="2602" spans="1:9">
      <c r="E2602" s="13"/>
    </row>
    <row r="2605" spans="1:9">
      <c r="E2605" s="15"/>
    </row>
  </sheetData>
  <mergeCells count="6">
    <mergeCell ref="F8:G8"/>
    <mergeCell ref="F6:G6"/>
    <mergeCell ref="F7:G7"/>
    <mergeCell ref="B2:E2"/>
    <mergeCell ref="B3:E3"/>
    <mergeCell ref="B4:E4"/>
  </mergeCells>
  <phoneticPr fontId="19" type="noConversion"/>
  <pageMargins left="0.7" right="0.7" top="0.75" bottom="0.75" header="0.3" footer="0.3"/>
  <pageSetup scale="11" orientation="portrait" r:id="rId1"/>
  <rowBreaks count="13" manualBreakCount="13">
    <brk id="100" max="7" man="1"/>
    <brk id="208" max="7" man="1"/>
    <brk id="328" max="7" man="1"/>
    <brk id="451" max="7" man="1"/>
    <brk id="579" max="7" man="1"/>
    <brk id="840" max="7" man="1"/>
    <brk id="1000" max="7" man="1"/>
    <brk id="1200" max="7" man="1"/>
    <brk id="1420" max="7" man="1"/>
    <brk id="1654" max="7" man="1"/>
    <brk id="1903" max="7" man="1"/>
    <brk id="2174" max="7" man="1"/>
    <brk id="2501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1A97-79CB-4CF0-8801-23460C23EBC6}">
  <dimension ref="A2:X378"/>
  <sheetViews>
    <sheetView showGridLines="0" tabSelected="1" topLeftCell="B46" zoomScale="97" zoomScaleNormal="100" workbookViewId="0">
      <pane ySplit="1080" topLeftCell="A47" activePane="bottomLeft"/>
      <selection activeCell="O48" sqref="O48"/>
      <selection pane="bottomLeft" activeCell="H62" sqref="H62"/>
    </sheetView>
  </sheetViews>
  <sheetFormatPr defaultRowHeight="14.4"/>
  <cols>
    <col min="1" max="1" width="3.5546875" style="1545" hidden="1" customWidth="1"/>
    <col min="2" max="2" width="4.44140625" style="1547" customWidth="1"/>
    <col min="3" max="3" width="14.109375" style="1549" customWidth="1"/>
    <col min="4" max="4" width="19.6640625" style="1549" customWidth="1"/>
    <col min="5" max="5" width="9.88671875" style="1545" customWidth="1"/>
    <col min="6" max="6" width="9.88671875" style="1615" customWidth="1"/>
    <col min="7" max="8" width="14.77734375" style="1551" customWidth="1"/>
    <col min="9" max="9" width="10.6640625" style="1545" hidden="1" customWidth="1"/>
    <col min="10" max="10" width="12.33203125" style="1545" hidden="1" customWidth="1"/>
    <col min="11" max="11" width="20.5546875" style="1545" hidden="1" customWidth="1"/>
    <col min="12" max="12" width="9.77734375" style="1545" hidden="1" customWidth="1"/>
    <col min="13" max="13" width="17.88671875" style="1547" hidden="1" customWidth="1"/>
    <col min="14" max="14" width="16.44140625" style="1546" hidden="1" customWidth="1"/>
    <col min="15" max="15" width="10" style="1546" bestFit="1" customWidth="1"/>
    <col min="16" max="24" width="8.88671875" style="1721"/>
    <col min="25" max="16384" width="8.88671875" style="1546"/>
  </cols>
  <sheetData>
    <row r="2" spans="2:8" ht="18">
      <c r="B2" s="1702" t="s">
        <v>9275</v>
      </c>
      <c r="C2" s="1544"/>
      <c r="D2" s="1544"/>
    </row>
    <row r="3" spans="2:8">
      <c r="B3" s="1865" t="s">
        <v>9326</v>
      </c>
      <c r="C3" s="1865"/>
      <c r="D3" s="1548" t="s">
        <v>9327</v>
      </c>
    </row>
    <row r="4" spans="2:8">
      <c r="B4" s="1865" t="s">
        <v>9328</v>
      </c>
      <c r="C4" s="1865"/>
      <c r="D4" s="1548" t="s">
        <v>9329</v>
      </c>
    </row>
    <row r="5" spans="2:8">
      <c r="B5" s="1865" t="s">
        <v>9330</v>
      </c>
      <c r="C5" s="1865"/>
      <c r="D5" s="1863" t="s">
        <v>9339</v>
      </c>
      <c r="E5" s="1863"/>
      <c r="F5" s="1863"/>
      <c r="G5" s="1863"/>
      <c r="H5" s="1863"/>
    </row>
    <row r="6" spans="2:8">
      <c r="B6" s="1703"/>
      <c r="C6" s="1703"/>
      <c r="D6" s="1548" t="s">
        <v>9340</v>
      </c>
      <c r="E6" s="1548"/>
      <c r="F6" s="1548"/>
      <c r="G6" s="1548"/>
      <c r="H6" s="1548"/>
    </row>
    <row r="7" spans="2:8">
      <c r="B7" s="1865" t="s">
        <v>9338</v>
      </c>
      <c r="C7" s="1865"/>
      <c r="D7" s="1703" t="s">
        <v>9331</v>
      </c>
      <c r="E7" s="1548"/>
    </row>
    <row r="8" spans="2:8">
      <c r="B8" s="1865" t="s">
        <v>9337</v>
      </c>
      <c r="C8" s="1865"/>
      <c r="D8" s="1703" t="s">
        <v>9332</v>
      </c>
      <c r="E8" s="1548"/>
    </row>
    <row r="9" spans="2:8">
      <c r="B9" s="1865" t="s">
        <v>9336</v>
      </c>
      <c r="C9" s="1865"/>
      <c r="D9" s="1703" t="s">
        <v>9333</v>
      </c>
      <c r="E9" s="1548"/>
    </row>
    <row r="10" spans="2:8">
      <c r="B10" s="1865" t="s">
        <v>9335</v>
      </c>
      <c r="C10" s="1865"/>
      <c r="D10" s="1703" t="s">
        <v>9334</v>
      </c>
      <c r="E10" s="1548"/>
    </row>
    <row r="11" spans="2:8" ht="15" thickBot="1"/>
    <row r="12" spans="2:8" ht="28.8">
      <c r="B12" s="1611" t="s">
        <v>1195</v>
      </c>
      <c r="C12" s="1866" t="s">
        <v>9219</v>
      </c>
      <c r="D12" s="1867"/>
      <c r="E12" s="1612" t="s">
        <v>5286</v>
      </c>
      <c r="F12" s="1616" t="s">
        <v>9220</v>
      </c>
      <c r="G12" s="1613" t="s">
        <v>9248</v>
      </c>
      <c r="H12" s="1631" t="s">
        <v>9276</v>
      </c>
    </row>
    <row r="13" spans="2:8">
      <c r="B13" s="1627"/>
      <c r="C13" s="1628"/>
      <c r="D13" s="1628"/>
      <c r="E13" s="1628"/>
      <c r="F13" s="1629"/>
      <c r="G13" s="1630"/>
      <c r="H13" s="1632"/>
    </row>
    <row r="14" spans="2:8">
      <c r="B14" s="1704"/>
      <c r="C14" s="1638"/>
      <c r="D14" s="1638"/>
      <c r="E14" s="1643"/>
      <c r="F14" s="1644"/>
      <c r="G14" s="1645"/>
      <c r="H14" s="1674"/>
    </row>
    <row r="15" spans="2:8">
      <c r="B15" s="1705" t="str">
        <f>B79</f>
        <v>I</v>
      </c>
      <c r="C15" s="1646" t="str">
        <f>C79</f>
        <v>Pekerjaan Persiapan</v>
      </c>
      <c r="D15" s="1646"/>
      <c r="E15" s="1641" t="s">
        <v>9277</v>
      </c>
      <c r="F15" s="1664">
        <v>1</v>
      </c>
      <c r="G15" s="1642">
        <f>H83</f>
        <v>200000</v>
      </c>
      <c r="H15" s="1675">
        <f>F15*G15</f>
        <v>200000</v>
      </c>
    </row>
    <row r="16" spans="2:8">
      <c r="B16" s="1706" t="str">
        <f>B85</f>
        <v>II</v>
      </c>
      <c r="C16" s="1606" t="str">
        <f>C85</f>
        <v>SMKK</v>
      </c>
      <c r="D16" s="1606"/>
      <c r="E16" s="1639" t="s">
        <v>9277</v>
      </c>
      <c r="F16" s="1665">
        <v>1</v>
      </c>
      <c r="G16" s="1640">
        <f>H94</f>
        <v>495000</v>
      </c>
      <c r="H16" s="1649">
        <f t="shared" ref="H16:H29" si="0">F16*G16</f>
        <v>495000</v>
      </c>
    </row>
    <row r="17" spans="2:15">
      <c r="B17" s="1706" t="str">
        <f>B95</f>
        <v>III</v>
      </c>
      <c r="C17" s="1606" t="str">
        <f>C95</f>
        <v>Lokasi I</v>
      </c>
      <c r="D17" s="1606"/>
      <c r="E17" s="1639"/>
      <c r="F17" s="1665"/>
      <c r="G17" s="1640"/>
      <c r="H17" s="1649"/>
    </row>
    <row r="18" spans="2:15" hidden="1">
      <c r="B18" s="1706" t="str">
        <f>B96</f>
        <v>III</v>
      </c>
      <c r="C18" s="1773" t="str">
        <f>C96</f>
        <v>Pekerjaan Tanah</v>
      </c>
      <c r="D18" s="1606"/>
      <c r="E18" s="1639" t="s">
        <v>9277</v>
      </c>
      <c r="F18" s="1665">
        <v>1</v>
      </c>
      <c r="G18" s="1640">
        <f>H102</f>
        <v>0</v>
      </c>
      <c r="H18" s="1649">
        <f t="shared" si="0"/>
        <v>0</v>
      </c>
    </row>
    <row r="19" spans="2:15" hidden="1">
      <c r="B19" s="1706" t="str">
        <f>B104</f>
        <v>IV</v>
      </c>
      <c r="C19" s="1773" t="str">
        <f>C104</f>
        <v>Pekerjaan Pondasi</v>
      </c>
      <c r="D19" s="1606"/>
      <c r="E19" s="1639" t="s">
        <v>9277</v>
      </c>
      <c r="F19" s="1665">
        <v>1</v>
      </c>
      <c r="G19" s="1640">
        <f>H107</f>
        <v>0</v>
      </c>
      <c r="H19" s="1649">
        <f t="shared" si="0"/>
        <v>0</v>
      </c>
    </row>
    <row r="20" spans="2:15" hidden="1">
      <c r="B20" s="1706" t="str">
        <f>B109</f>
        <v>A</v>
      </c>
      <c r="C20" s="1647" t="str">
        <f>C109</f>
        <v>Pekerjaan Beton</v>
      </c>
      <c r="D20" s="1647"/>
      <c r="E20" s="1639" t="s">
        <v>9277</v>
      </c>
      <c r="F20" s="1665">
        <v>1</v>
      </c>
      <c r="G20" s="1640">
        <f>H145</f>
        <v>0</v>
      </c>
      <c r="H20" s="1649">
        <f t="shared" si="0"/>
        <v>0</v>
      </c>
    </row>
    <row r="21" spans="2:15">
      <c r="B21" s="1706" t="str">
        <f>B147</f>
        <v>A</v>
      </c>
      <c r="C21" s="1647" t="str">
        <f>C147</f>
        <v>Pekerjaan Dinding</v>
      </c>
      <c r="D21" s="1647"/>
      <c r="E21" s="1639" t="s">
        <v>9277</v>
      </c>
      <c r="F21" s="1665">
        <v>1</v>
      </c>
      <c r="G21" s="1640">
        <f>H154</f>
        <v>197751.00000000003</v>
      </c>
      <c r="H21" s="1649">
        <f t="shared" si="0"/>
        <v>197751.00000000003</v>
      </c>
    </row>
    <row r="22" spans="2:15">
      <c r="B22" s="1706" t="str">
        <f>B156</f>
        <v>B</v>
      </c>
      <c r="C22" s="1647" t="str">
        <f>C156</f>
        <v>Pekerjaan Penutup Lantai dan Dinding</v>
      </c>
      <c r="D22" s="1647"/>
      <c r="E22" s="1639" t="s">
        <v>9277</v>
      </c>
      <c r="F22" s="1665">
        <v>1</v>
      </c>
      <c r="G22" s="1640">
        <f>H161</f>
        <v>3598262.4000000004</v>
      </c>
      <c r="H22" s="1649">
        <f t="shared" si="0"/>
        <v>3598262.4000000004</v>
      </c>
    </row>
    <row r="23" spans="2:15">
      <c r="B23" s="1706" t="str">
        <f>B163</f>
        <v>C</v>
      </c>
      <c r="C23" s="1647" t="str">
        <f>C163</f>
        <v>Pekerjaan Atap</v>
      </c>
      <c r="D23" s="1647"/>
      <c r="E23" s="1639" t="s">
        <v>9277</v>
      </c>
      <c r="F23" s="1665">
        <v>1</v>
      </c>
      <c r="G23" s="1640">
        <f>H168</f>
        <v>584797.5</v>
      </c>
      <c r="H23" s="1649">
        <f t="shared" si="0"/>
        <v>584797.5</v>
      </c>
    </row>
    <row r="24" spans="2:15">
      <c r="B24" s="1706" t="str">
        <f>B170</f>
        <v>D</v>
      </c>
      <c r="C24" s="1647" t="str">
        <f>C170</f>
        <v>Pekerjaan Langit-Langit</v>
      </c>
      <c r="D24" s="1647"/>
      <c r="E24" s="1639" t="s">
        <v>9277</v>
      </c>
      <c r="F24" s="1665">
        <v>1</v>
      </c>
      <c r="G24" s="1640">
        <f>H175</f>
        <v>419265.60000000003</v>
      </c>
      <c r="H24" s="1649">
        <f t="shared" si="0"/>
        <v>419265.60000000003</v>
      </c>
    </row>
    <row r="25" spans="2:15">
      <c r="B25" s="1706" t="str">
        <f>B177</f>
        <v>E</v>
      </c>
      <c r="C25" s="1647" t="str">
        <f>C177</f>
        <v>Pekerjaan Pengecatan</v>
      </c>
      <c r="D25" s="1647"/>
      <c r="E25" s="1639" t="s">
        <v>9277</v>
      </c>
      <c r="F25" s="1665">
        <v>1</v>
      </c>
      <c r="G25" s="1640">
        <f>H181</f>
        <v>1255507.9500000002</v>
      </c>
      <c r="H25" s="1649">
        <f t="shared" si="0"/>
        <v>1255507.9500000002</v>
      </c>
    </row>
    <row r="26" spans="2:15">
      <c r="B26" s="1706" t="str">
        <f>B183</f>
        <v>F</v>
      </c>
      <c r="C26" s="1647" t="str">
        <f>C183</f>
        <v>Pekerjaan Sanitasi</v>
      </c>
      <c r="D26" s="1647"/>
      <c r="E26" s="1639" t="s">
        <v>9277</v>
      </c>
      <c r="F26" s="1665">
        <v>1</v>
      </c>
      <c r="G26" s="1640">
        <f>H196</f>
        <v>5135900</v>
      </c>
      <c r="H26" s="1649">
        <f t="shared" si="0"/>
        <v>5135900</v>
      </c>
    </row>
    <row r="27" spans="2:15">
      <c r="B27" s="1706" t="str">
        <f>B198</f>
        <v>G</v>
      </c>
      <c r="C27" s="1647" t="str">
        <f>C198</f>
        <v>Pekerjaan Tangki Septik</v>
      </c>
      <c r="D27" s="1647"/>
      <c r="E27" s="1639" t="s">
        <v>9277</v>
      </c>
      <c r="F27" s="1665">
        <v>1</v>
      </c>
      <c r="G27" s="1640">
        <f>H218</f>
        <v>5622639.6400000006</v>
      </c>
      <c r="H27" s="1649">
        <f t="shared" si="0"/>
        <v>5622639.6400000006</v>
      </c>
    </row>
    <row r="28" spans="2:15">
      <c r="B28" s="1706" t="str">
        <f>B220</f>
        <v>H</v>
      </c>
      <c r="C28" s="1647" t="str">
        <f>C220</f>
        <v>Pekerjaan Listrik</v>
      </c>
      <c r="D28" s="1647"/>
      <c r="E28" s="1639" t="s">
        <v>9277</v>
      </c>
      <c r="F28" s="1665">
        <v>1</v>
      </c>
      <c r="G28" s="1640">
        <f>H228</f>
        <v>606100</v>
      </c>
      <c r="H28" s="1649">
        <f t="shared" si="0"/>
        <v>606100</v>
      </c>
    </row>
    <row r="29" spans="2:15">
      <c r="B29" s="1707" t="str">
        <f>B230</f>
        <v>I</v>
      </c>
      <c r="C29" s="1668" t="str">
        <f>C230</f>
        <v>Pekerjaan Lain-Lain</v>
      </c>
      <c r="D29" s="1668"/>
      <c r="E29" s="1669" t="s">
        <v>9277</v>
      </c>
      <c r="F29" s="1670">
        <v>1</v>
      </c>
      <c r="G29" s="1671">
        <f>H236</f>
        <v>2116798</v>
      </c>
      <c r="H29" s="1650">
        <f t="shared" si="0"/>
        <v>2116798</v>
      </c>
      <c r="O29" s="1551">
        <f>SUM(H18:H29)</f>
        <v>19537022.09</v>
      </c>
    </row>
    <row r="30" spans="2:15">
      <c r="B30" s="1706" t="str">
        <f>B237</f>
        <v>IV</v>
      </c>
      <c r="C30" s="1606" t="str">
        <f>C237</f>
        <v>Lokasi II</v>
      </c>
      <c r="D30" s="1606"/>
      <c r="E30" s="1639"/>
      <c r="F30" s="1665"/>
      <c r="G30" s="1640"/>
      <c r="H30" s="1649"/>
    </row>
    <row r="31" spans="2:15" hidden="1">
      <c r="B31" s="1706" t="str">
        <f>B238</f>
        <v>A</v>
      </c>
      <c r="C31" s="1773" t="str">
        <f>C238</f>
        <v>Pekerjaan Tanah</v>
      </c>
      <c r="D31" s="1606"/>
      <c r="E31" s="1639" t="s">
        <v>9277</v>
      </c>
      <c r="F31" s="1665">
        <v>1</v>
      </c>
      <c r="G31" s="1640">
        <f>H244</f>
        <v>0</v>
      </c>
      <c r="H31" s="1649">
        <f t="shared" ref="H31:H42" si="1">F31*G31</f>
        <v>0</v>
      </c>
    </row>
    <row r="32" spans="2:15" hidden="1">
      <c r="B32" s="1706" t="str">
        <f>B246</f>
        <v>IV</v>
      </c>
      <c r="C32" s="1773" t="str">
        <f>C246</f>
        <v>Pekerjaan Pondasi</v>
      </c>
      <c r="D32" s="1606"/>
      <c r="E32" s="1639" t="s">
        <v>9277</v>
      </c>
      <c r="F32" s="1665">
        <v>1</v>
      </c>
      <c r="G32" s="1640">
        <f>H249</f>
        <v>0</v>
      </c>
      <c r="H32" s="1649">
        <f t="shared" si="1"/>
        <v>0</v>
      </c>
    </row>
    <row r="33" spans="2:15" hidden="1">
      <c r="B33" s="1706" t="str">
        <f>B251</f>
        <v>V</v>
      </c>
      <c r="C33" s="1647" t="str">
        <f>C251</f>
        <v>Pekerjaan Beton</v>
      </c>
      <c r="D33" s="1647"/>
      <c r="E33" s="1639" t="s">
        <v>9277</v>
      </c>
      <c r="F33" s="1665">
        <v>1</v>
      </c>
      <c r="G33" s="1640">
        <f>H287</f>
        <v>0</v>
      </c>
      <c r="H33" s="1649">
        <f t="shared" si="1"/>
        <v>0</v>
      </c>
    </row>
    <row r="34" spans="2:15">
      <c r="B34" s="1706" t="str">
        <f>B289</f>
        <v>A</v>
      </c>
      <c r="C34" s="1647" t="str">
        <f>C289</f>
        <v>Pekerjaan Dinding</v>
      </c>
      <c r="D34" s="1647"/>
      <c r="E34" s="1639" t="s">
        <v>9277</v>
      </c>
      <c r="F34" s="1665">
        <v>1</v>
      </c>
      <c r="G34" s="1640">
        <f>H296</f>
        <v>796582.5</v>
      </c>
      <c r="H34" s="1649">
        <f t="shared" si="1"/>
        <v>796582.5</v>
      </c>
    </row>
    <row r="35" spans="2:15">
      <c r="B35" s="1706" t="str">
        <f>B298</f>
        <v>B</v>
      </c>
      <c r="C35" s="1647" t="str">
        <f>C298</f>
        <v>Pekerjaan Penutup Lantai dan Dinding</v>
      </c>
      <c r="D35" s="1647"/>
      <c r="E35" s="1639" t="s">
        <v>9277</v>
      </c>
      <c r="F35" s="1665">
        <v>1</v>
      </c>
      <c r="G35" s="1640">
        <f>H303</f>
        <v>6157750.0999999996</v>
      </c>
      <c r="H35" s="1649">
        <f t="shared" si="1"/>
        <v>6157750.0999999996</v>
      </c>
    </row>
    <row r="36" spans="2:15">
      <c r="B36" s="1706" t="str">
        <f>B305</f>
        <v>C</v>
      </c>
      <c r="C36" s="1647" t="str">
        <f>C305</f>
        <v>Pekerjaan Atap</v>
      </c>
      <c r="D36" s="1647"/>
      <c r="E36" s="1639" t="s">
        <v>9277</v>
      </c>
      <c r="F36" s="1665">
        <v>1</v>
      </c>
      <c r="G36" s="1640">
        <f>H310</f>
        <v>2887680.75</v>
      </c>
      <c r="H36" s="1649">
        <f t="shared" si="1"/>
        <v>2887680.75</v>
      </c>
    </row>
    <row r="37" spans="2:15">
      <c r="B37" s="1706" t="str">
        <f>B312</f>
        <v>D</v>
      </c>
      <c r="C37" s="1647" t="str">
        <f>C312</f>
        <v>Pekerjaan Langit-Langit</v>
      </c>
      <c r="D37" s="1647"/>
      <c r="E37" s="1639" t="s">
        <v>9277</v>
      </c>
      <c r="F37" s="1665">
        <v>1</v>
      </c>
      <c r="G37" s="1640">
        <f>H317</f>
        <v>1182238.5</v>
      </c>
      <c r="H37" s="1649">
        <f t="shared" si="1"/>
        <v>1182238.5</v>
      </c>
    </row>
    <row r="38" spans="2:15">
      <c r="B38" s="1706" t="str">
        <f>B319</f>
        <v>E</v>
      </c>
      <c r="C38" s="1647" t="str">
        <f>C319</f>
        <v>Pekerjaan Pengecatan</v>
      </c>
      <c r="D38" s="1647"/>
      <c r="E38" s="1639" t="s">
        <v>9277</v>
      </c>
      <c r="F38" s="1665">
        <v>1</v>
      </c>
      <c r="G38" s="1640">
        <f>H323</f>
        <v>2249992.5</v>
      </c>
      <c r="H38" s="1649">
        <f t="shared" si="1"/>
        <v>2249992.5</v>
      </c>
    </row>
    <row r="39" spans="2:15">
      <c r="B39" s="1706" t="str">
        <f>B325</f>
        <v>F</v>
      </c>
      <c r="C39" s="1647" t="str">
        <f>C325</f>
        <v>Pekerjaan Sanitasi</v>
      </c>
      <c r="D39" s="1647"/>
      <c r="E39" s="1639" t="s">
        <v>9277</v>
      </c>
      <c r="F39" s="1665">
        <v>1</v>
      </c>
      <c r="G39" s="1640">
        <f>H338</f>
        <v>3186800</v>
      </c>
      <c r="H39" s="1649">
        <f t="shared" si="1"/>
        <v>3186800</v>
      </c>
    </row>
    <row r="40" spans="2:15">
      <c r="B40" s="1706" t="str">
        <f>B340</f>
        <v>G</v>
      </c>
      <c r="C40" s="1647" t="str">
        <f>C340</f>
        <v>Pekerjaan Tangki Septik</v>
      </c>
      <c r="D40" s="1647"/>
      <c r="E40" s="1639" t="s">
        <v>9277</v>
      </c>
      <c r="F40" s="1665">
        <v>1</v>
      </c>
      <c r="G40" s="1640">
        <f>H360</f>
        <v>5622639.6400000006</v>
      </c>
      <c r="H40" s="1649">
        <f t="shared" si="1"/>
        <v>5622639.6400000006</v>
      </c>
    </row>
    <row r="41" spans="2:15">
      <c r="B41" s="1706" t="str">
        <f>B362</f>
        <v>H</v>
      </c>
      <c r="C41" s="1647" t="str">
        <f>C362</f>
        <v>Pekerjaan Listrik</v>
      </c>
      <c r="D41" s="1647"/>
      <c r="E41" s="1639" t="s">
        <v>9277</v>
      </c>
      <c r="F41" s="1665">
        <v>1</v>
      </c>
      <c r="G41" s="1640">
        <f>H370</f>
        <v>606100</v>
      </c>
      <c r="H41" s="1649">
        <f t="shared" si="1"/>
        <v>606100</v>
      </c>
    </row>
    <row r="42" spans="2:15">
      <c r="B42" s="1707" t="str">
        <f>B372</f>
        <v>I</v>
      </c>
      <c r="C42" s="1668" t="str">
        <f>C372</f>
        <v>Pekerjaan Lain-Lain</v>
      </c>
      <c r="D42" s="1668"/>
      <c r="E42" s="1669" t="s">
        <v>9277</v>
      </c>
      <c r="F42" s="1670">
        <v>1</v>
      </c>
      <c r="G42" s="1671">
        <f>H378</f>
        <v>2126798</v>
      </c>
      <c r="H42" s="1650">
        <f t="shared" si="1"/>
        <v>2126798</v>
      </c>
      <c r="O42" s="1551">
        <f>SUM(H31:H42)</f>
        <v>24816581.990000002</v>
      </c>
    </row>
    <row r="43" spans="2:15">
      <c r="B43" s="1708"/>
      <c r="C43" s="1575"/>
      <c r="D43" s="1575"/>
      <c r="E43" s="1667"/>
      <c r="F43" s="1672"/>
      <c r="G43" s="1673"/>
      <c r="H43" s="1676"/>
    </row>
    <row r="44" spans="2:15">
      <c r="B44" s="1709"/>
      <c r="C44" s="1651" t="s">
        <v>9249</v>
      </c>
      <c r="D44" s="1651"/>
      <c r="E44" s="1652"/>
      <c r="F44" s="1653"/>
      <c r="G44" s="1654"/>
      <c r="H44" s="1648">
        <f>SUM(H15:H42)</f>
        <v>45048604.079999998</v>
      </c>
    </row>
    <row r="45" spans="2:15">
      <c r="B45" s="1710"/>
      <c r="C45" s="1600" t="s">
        <v>9279</v>
      </c>
      <c r="D45" s="1600"/>
      <c r="E45" s="1655"/>
      <c r="F45" s="1655">
        <v>0.11</v>
      </c>
      <c r="G45" s="1657"/>
      <c r="H45" s="1649">
        <f>H44*F45</f>
        <v>4955346.4487999994</v>
      </c>
    </row>
    <row r="46" spans="2:15">
      <c r="B46" s="1710"/>
      <c r="C46" s="1600" t="s">
        <v>9035</v>
      </c>
      <c r="D46" s="1600"/>
      <c r="E46" s="1658"/>
      <c r="F46" s="1656"/>
      <c r="G46" s="1657"/>
      <c r="H46" s="1649">
        <f>H45+H44</f>
        <v>50003950.528799996</v>
      </c>
    </row>
    <row r="47" spans="2:15">
      <c r="B47" s="1711"/>
      <c r="C47" s="1659" t="s">
        <v>9280</v>
      </c>
      <c r="D47" s="1659"/>
      <c r="E47" s="1660"/>
      <c r="F47" s="1661"/>
      <c r="G47" s="1662"/>
      <c r="H47" s="1650">
        <f>ROUNDDOWN(H46,-4)</f>
        <v>50000000</v>
      </c>
      <c r="O47" s="1551">
        <f>50000000-H47</f>
        <v>0</v>
      </c>
    </row>
    <row r="48" spans="2:15">
      <c r="B48" s="1712"/>
      <c r="C48" s="1663" t="s">
        <v>9281</v>
      </c>
      <c r="D48" s="1663"/>
      <c r="E48" s="1868" t="str">
        <f>PROPER([46]!terbilang(H47))&amp;" Rupiah"</f>
        <v>Lima Puluh Juta Rupiah</v>
      </c>
      <c r="F48" s="1868"/>
      <c r="G48" s="1868"/>
      <c r="H48" s="1869"/>
    </row>
    <row r="49" spans="2:8" ht="29.4" thickBot="1">
      <c r="B49" s="1713"/>
      <c r="C49" s="1633" t="s">
        <v>9282</v>
      </c>
      <c r="D49" s="1633"/>
      <c r="E49" s="1634" t="s">
        <v>9283</v>
      </c>
      <c r="F49" s="1635"/>
      <c r="G49" s="1636"/>
      <c r="H49" s="1637"/>
    </row>
    <row r="52" spans="2:8">
      <c r="G52" s="1775" t="s">
        <v>9346</v>
      </c>
    </row>
    <row r="53" spans="2:8">
      <c r="G53" s="1776"/>
    </row>
    <row r="54" spans="2:8">
      <c r="G54" s="1775" t="s">
        <v>9343</v>
      </c>
    </row>
    <row r="55" spans="2:8">
      <c r="G55" s="1775" t="s">
        <v>9344</v>
      </c>
    </row>
    <row r="56" spans="2:8">
      <c r="G56" s="1775" t="s">
        <v>9345</v>
      </c>
    </row>
    <row r="57" spans="2:8">
      <c r="G57" s="1775" t="s">
        <v>9347</v>
      </c>
    </row>
    <row r="58" spans="2:8">
      <c r="G58" s="1775"/>
    </row>
    <row r="59" spans="2:8">
      <c r="G59" s="1777"/>
    </row>
    <row r="60" spans="2:8">
      <c r="G60" s="1775"/>
    </row>
    <row r="61" spans="2:8">
      <c r="G61" s="1775"/>
    </row>
    <row r="62" spans="2:8">
      <c r="G62" s="1778" t="s">
        <v>9348</v>
      </c>
    </row>
    <row r="63" spans="2:8">
      <c r="G63" s="1775" t="s">
        <v>9349</v>
      </c>
    </row>
    <row r="64" spans="2:8">
      <c r="G64" s="1775"/>
    </row>
    <row r="66" spans="1:24" ht="18">
      <c r="B66" s="1702" t="s">
        <v>9218</v>
      </c>
      <c r="C66" s="1544"/>
      <c r="D66" s="1544"/>
    </row>
    <row r="67" spans="1:24">
      <c r="B67" s="1703" t="str">
        <f>B3</f>
        <v xml:space="preserve">UNIT KERJA                              </v>
      </c>
      <c r="D67" s="1703" t="str">
        <f t="shared" ref="D67:D74" si="2">D3</f>
        <v>: DINAS PERUMAHAN DAN KAWASAN PERMUKIMAN</v>
      </c>
      <c r="E67" s="1548"/>
    </row>
    <row r="68" spans="1:24">
      <c r="B68" s="1703" t="str">
        <f>B4</f>
        <v xml:space="preserve">PROGRAM                                </v>
      </c>
      <c r="D68" s="1703" t="str">
        <f t="shared" si="2"/>
        <v>: PROGRAM PENGELOLAAN DAN PENGEMBANGAN SISTEM AIR LIMBAH</v>
      </c>
      <c r="E68" s="1548"/>
    </row>
    <row r="69" spans="1:24">
      <c r="B69" s="1703" t="str">
        <f>B5</f>
        <v xml:space="preserve">KEGIATAN                                </v>
      </c>
      <c r="D69" s="1703" t="str">
        <f t="shared" si="2"/>
        <v xml:space="preserve">: PENGELOLAAN DAN PENGEMBANGAN SISTEM AIR LIMBAH DOMESTIK DALAM </v>
      </c>
      <c r="E69" s="1548"/>
    </row>
    <row r="70" spans="1:24">
      <c r="B70" s="1703"/>
      <c r="D70" s="1703" t="str">
        <f t="shared" si="2"/>
        <v xml:space="preserve">  DAERAH KABUPATEN/KOTA</v>
      </c>
      <c r="E70" s="1548"/>
    </row>
    <row r="71" spans="1:24">
      <c r="B71" s="1703" t="str">
        <f>B7</f>
        <v xml:space="preserve">PEKERJAAN                              </v>
      </c>
      <c r="D71" s="1703" t="str">
        <f t="shared" si="2"/>
        <v>: PEMBANGUNAN MCK INDIVIDU DESA CILOTO KEC. CIPANAS</v>
      </c>
      <c r="E71" s="1548"/>
    </row>
    <row r="72" spans="1:24">
      <c r="B72" s="1703" t="str">
        <f>B8</f>
        <v xml:space="preserve">LOKASI PEKERJAAN                </v>
      </c>
      <c r="D72" s="1703" t="str">
        <f t="shared" si="2"/>
        <v>: DESA CILOTO KECAMATAN CIPANAS</v>
      </c>
      <c r="E72" s="1548"/>
    </row>
    <row r="73" spans="1:24">
      <c r="B73" s="1703" t="str">
        <f>B9</f>
        <v xml:space="preserve">SUMBER DANA                       </v>
      </c>
      <c r="D73" s="1703" t="str">
        <f t="shared" si="2"/>
        <v>: DAU</v>
      </c>
      <c r="E73" s="1548"/>
    </row>
    <row r="74" spans="1:24">
      <c r="B74" s="1703" t="str">
        <f>B10</f>
        <v xml:space="preserve">TAHUN ANGGARAN               </v>
      </c>
      <c r="D74" s="1703" t="str">
        <f t="shared" si="2"/>
        <v>: 2026</v>
      </c>
      <c r="E74" s="1548"/>
      <c r="P74" s="1721" t="s">
        <v>9292</v>
      </c>
    </row>
    <row r="75" spans="1:24" ht="15" thickBot="1">
      <c r="P75" s="1721" t="s">
        <v>9294</v>
      </c>
      <c r="Q75" s="1721" t="s">
        <v>9293</v>
      </c>
      <c r="R75" s="1721" t="s">
        <v>9296</v>
      </c>
      <c r="S75" s="1721" t="s">
        <v>9297</v>
      </c>
      <c r="T75" s="1721" t="s">
        <v>9310</v>
      </c>
    </row>
    <row r="76" spans="1:24" s="1553" customFormat="1" ht="57.6">
      <c r="A76" s="1553" t="s">
        <v>1195</v>
      </c>
      <c r="B76" s="1611" t="s">
        <v>1195</v>
      </c>
      <c r="C76" s="1866" t="s">
        <v>9219</v>
      </c>
      <c r="D76" s="1867"/>
      <c r="E76" s="1612" t="s">
        <v>5286</v>
      </c>
      <c r="F76" s="1616" t="s">
        <v>9220</v>
      </c>
      <c r="G76" s="1613" t="s">
        <v>9248</v>
      </c>
      <c r="H76" s="1631" t="s">
        <v>9276</v>
      </c>
      <c r="I76" s="1666" t="s">
        <v>9221</v>
      </c>
      <c r="J76" s="1612" t="s">
        <v>9222</v>
      </c>
      <c r="K76" s="1612" t="s">
        <v>9223</v>
      </c>
      <c r="L76" s="1612" t="s">
        <v>9224</v>
      </c>
      <c r="M76" s="1612" t="s">
        <v>9225</v>
      </c>
      <c r="N76" s="1614" t="s">
        <v>9226</v>
      </c>
      <c r="P76" s="1617"/>
      <c r="Q76" s="1617"/>
      <c r="R76" s="1617" t="s">
        <v>9295</v>
      </c>
      <c r="S76" s="1617"/>
      <c r="T76" s="1617"/>
      <c r="U76" s="1617"/>
      <c r="V76" s="1617"/>
      <c r="W76" s="1617"/>
      <c r="X76" s="1617"/>
    </row>
    <row r="77" spans="1:24" s="1553" customFormat="1">
      <c r="B77" s="1572"/>
      <c r="F77" s="1617"/>
      <c r="G77" s="1573"/>
      <c r="H77" s="1681"/>
      <c r="N77" s="1574"/>
      <c r="P77" s="1617"/>
      <c r="Q77" s="1617"/>
      <c r="R77" s="1617"/>
      <c r="S77" s="1617"/>
      <c r="T77" s="1617"/>
      <c r="U77" s="1617"/>
      <c r="V77" s="1617"/>
      <c r="W77" s="1617"/>
      <c r="X77" s="1617"/>
    </row>
    <row r="78" spans="1:24" s="1553" customFormat="1">
      <c r="B78" s="1580"/>
      <c r="C78" s="1581"/>
      <c r="D78" s="1769"/>
      <c r="E78" s="1581"/>
      <c r="F78" s="1618"/>
      <c r="G78" s="1582"/>
      <c r="H78" s="1682">
        <f>H83+H94+H102+H107+H145+H154+H161+H168+H175+H181+H196+H218+H228+H236</f>
        <v>20232022.09</v>
      </c>
      <c r="I78" s="1677">
        <f>SUM(I80:I237)</f>
        <v>0.98010579475400328</v>
      </c>
      <c r="J78" s="1581"/>
      <c r="K78" s="1581"/>
      <c r="L78" s="1581"/>
      <c r="M78" s="1581"/>
      <c r="N78" s="1583"/>
      <c r="P78" s="1617"/>
      <c r="Q78" s="1617"/>
      <c r="R78" s="1617"/>
      <c r="S78" s="1617"/>
      <c r="T78" s="1617"/>
      <c r="U78" s="1617"/>
      <c r="V78" s="1617"/>
      <c r="W78" s="1617"/>
      <c r="X78" s="1617"/>
    </row>
    <row r="79" spans="1:24" s="1553" customFormat="1">
      <c r="B79" s="1584" t="s">
        <v>1766</v>
      </c>
      <c r="C79" s="1859" t="s">
        <v>9250</v>
      </c>
      <c r="D79" s="1859"/>
      <c r="E79" s="1586"/>
      <c r="F79" s="1619"/>
      <c r="G79" s="1587"/>
      <c r="H79" s="1683"/>
      <c r="I79" s="1588"/>
      <c r="J79" s="1586"/>
      <c r="K79" s="1586"/>
      <c r="L79" s="1586"/>
      <c r="M79" s="1586"/>
      <c r="N79" s="1589"/>
      <c r="P79" s="1617"/>
      <c r="Q79" s="1617"/>
      <c r="R79" s="1617"/>
      <c r="S79" s="1617"/>
      <c r="T79" s="1617"/>
      <c r="U79" s="1617"/>
      <c r="V79" s="1617"/>
      <c r="W79" s="1617"/>
      <c r="X79" s="1617"/>
    </row>
    <row r="80" spans="1:24">
      <c r="A80" s="1545">
        <v>1</v>
      </c>
      <c r="B80" s="1706">
        <v>1</v>
      </c>
      <c r="C80" s="1855" t="s">
        <v>9214</v>
      </c>
      <c r="D80" s="1856"/>
      <c r="E80" s="1555" t="s">
        <v>9022</v>
      </c>
      <c r="F80" s="1620">
        <v>1</v>
      </c>
      <c r="G80" s="1556">
        <v>200000</v>
      </c>
      <c r="H80" s="1684">
        <f>G80*F80</f>
        <v>200000</v>
      </c>
      <c r="I80" s="1678">
        <f>G80*F80/$H$78</f>
        <v>9.8853193768927913E-3</v>
      </c>
      <c r="J80" s="1555" t="s">
        <v>1847</v>
      </c>
      <c r="K80" s="1555" t="s">
        <v>1772</v>
      </c>
      <c r="L80" s="1555">
        <v>41019</v>
      </c>
      <c r="M80" s="1555" t="s">
        <v>9227</v>
      </c>
      <c r="N80" s="1565"/>
      <c r="P80" s="1721">
        <v>1</v>
      </c>
      <c r="Q80" s="1721">
        <v>1</v>
      </c>
      <c r="R80" s="1721">
        <v>1</v>
      </c>
      <c r="S80" s="1721">
        <v>1</v>
      </c>
      <c r="T80" s="1721">
        <v>1</v>
      </c>
    </row>
    <row r="81" spans="1:20" hidden="1">
      <c r="A81" s="1545">
        <v>2</v>
      </c>
      <c r="B81" s="1706">
        <v>2</v>
      </c>
      <c r="C81" s="1855" t="s">
        <v>1936</v>
      </c>
      <c r="D81" s="1856"/>
      <c r="E81" s="1555" t="s">
        <v>113</v>
      </c>
      <c r="F81" s="1620"/>
      <c r="G81" s="1556">
        <f>VLOOKUP(C81,'AHSP MCK'!D:K,8,FALSE)</f>
        <v>74500</v>
      </c>
      <c r="H81" s="1684">
        <f t="shared" ref="H81:H143" si="3">G81*F81</f>
        <v>0</v>
      </c>
      <c r="I81" s="1678">
        <f>G81*F81/$H$78</f>
        <v>0</v>
      </c>
      <c r="J81" s="1555" t="s">
        <v>1935</v>
      </c>
      <c r="K81" s="1555" t="s">
        <v>9068</v>
      </c>
      <c r="L81" s="1555">
        <v>41019</v>
      </c>
      <c r="M81" s="1555" t="s">
        <v>9227</v>
      </c>
      <c r="N81" s="1565"/>
      <c r="P81" s="1721">
        <f>(5.55*3)+(2.75*5)</f>
        <v>30.4</v>
      </c>
      <c r="Q81" s="1721">
        <f>(2.85*3)+(2.2*3)</f>
        <v>15.150000000000002</v>
      </c>
      <c r="R81" s="1721">
        <f>(2.85*3)+(2.75*3)</f>
        <v>16.8</v>
      </c>
      <c r="S81" s="1721">
        <f>(2.85*3)+(2.75*3)</f>
        <v>16.8</v>
      </c>
    </row>
    <row r="82" spans="1:20">
      <c r="B82" s="1708"/>
      <c r="C82" s="1575"/>
      <c r="D82" s="1575"/>
      <c r="E82" s="1576"/>
      <c r="F82" s="1621"/>
      <c r="G82" s="1577"/>
      <c r="H82" s="1685"/>
      <c r="I82" s="1578"/>
      <c r="J82" s="1576"/>
      <c r="K82" s="1576"/>
      <c r="L82" s="1576"/>
      <c r="M82" s="1576"/>
      <c r="N82" s="1579"/>
    </row>
    <row r="83" spans="1:20">
      <c r="B83" s="1714"/>
      <c r="C83" s="1858" t="s">
        <v>9274</v>
      </c>
      <c r="D83" s="1858"/>
      <c r="E83" s="1858"/>
      <c r="F83" s="1858"/>
      <c r="G83" s="1858"/>
      <c r="H83" s="1686">
        <f>SUM(H80:H81)</f>
        <v>200000</v>
      </c>
      <c r="I83" s="1567"/>
      <c r="J83" s="1547"/>
      <c r="K83" s="1547"/>
      <c r="L83" s="1547"/>
      <c r="N83" s="1568"/>
    </row>
    <row r="84" spans="1:20">
      <c r="B84" s="1715"/>
      <c r="C84" s="1590"/>
      <c r="D84" s="1638"/>
      <c r="E84" s="1591"/>
      <c r="F84" s="1622"/>
      <c r="G84" s="1592"/>
      <c r="H84" s="1687"/>
      <c r="I84" s="1679"/>
      <c r="J84" s="1591"/>
      <c r="K84" s="1591"/>
      <c r="L84" s="1591"/>
      <c r="M84" s="1591"/>
      <c r="N84" s="1593"/>
    </row>
    <row r="85" spans="1:20">
      <c r="B85" s="1716" t="s">
        <v>5291</v>
      </c>
      <c r="C85" s="1859" t="s">
        <v>9096</v>
      </c>
      <c r="D85" s="1859"/>
      <c r="E85" s="1595"/>
      <c r="F85" s="1623"/>
      <c r="G85" s="1596"/>
      <c r="H85" s="1688"/>
      <c r="I85" s="1597"/>
      <c r="J85" s="1595"/>
      <c r="K85" s="1595"/>
      <c r="L85" s="1595"/>
      <c r="M85" s="1595"/>
      <c r="N85" s="1598"/>
    </row>
    <row r="86" spans="1:20">
      <c r="A86" s="1545">
        <v>69</v>
      </c>
      <c r="B86" s="1706">
        <v>1</v>
      </c>
      <c r="C86" s="1855" t="s">
        <v>9233</v>
      </c>
      <c r="D86" s="1856"/>
      <c r="E86" s="1555" t="s">
        <v>9133</v>
      </c>
      <c r="F86" s="1620">
        <v>2</v>
      </c>
      <c r="G86" s="1556">
        <v>10000</v>
      </c>
      <c r="H86" s="1684">
        <f t="shared" ref="H86:H92" si="4">G86*F86</f>
        <v>20000</v>
      </c>
      <c r="I86" s="1678">
        <f t="shared" ref="I86:I92" si="5">G86*F86/$H$78</f>
        <v>9.8853193768927926E-4</v>
      </c>
      <c r="J86" s="1555" t="s">
        <v>9234</v>
      </c>
      <c r="K86" s="1555" t="s">
        <v>9096</v>
      </c>
      <c r="L86" s="1555">
        <v>41019</v>
      </c>
      <c r="M86" s="1555" t="s">
        <v>9227</v>
      </c>
      <c r="N86" s="1565"/>
      <c r="P86" s="1721">
        <v>5</v>
      </c>
      <c r="Q86" s="1721">
        <v>5</v>
      </c>
      <c r="R86" s="1721">
        <v>5</v>
      </c>
      <c r="S86" s="1721">
        <v>5</v>
      </c>
      <c r="T86" s="1721">
        <v>5</v>
      </c>
    </row>
    <row r="87" spans="1:20">
      <c r="A87" s="1545">
        <v>70</v>
      </c>
      <c r="B87" s="1706">
        <v>2</v>
      </c>
      <c r="C87" s="1855" t="s">
        <v>9235</v>
      </c>
      <c r="D87" s="1856"/>
      <c r="E87" s="1555" t="s">
        <v>9133</v>
      </c>
      <c r="F87" s="1620">
        <v>2</v>
      </c>
      <c r="G87" s="1556">
        <v>10000</v>
      </c>
      <c r="H87" s="1684">
        <f t="shared" si="4"/>
        <v>20000</v>
      </c>
      <c r="I87" s="1678">
        <f t="shared" si="5"/>
        <v>9.8853193768927926E-4</v>
      </c>
      <c r="J87" s="1555" t="s">
        <v>9236</v>
      </c>
      <c r="K87" s="1555" t="s">
        <v>9096</v>
      </c>
      <c r="L87" s="1555">
        <v>41019</v>
      </c>
      <c r="M87" s="1555" t="s">
        <v>9227</v>
      </c>
      <c r="N87" s="1565"/>
      <c r="P87" s="1721">
        <v>5</v>
      </c>
      <c r="Q87" s="1721">
        <v>5</v>
      </c>
      <c r="R87" s="1721">
        <v>5</v>
      </c>
      <c r="S87" s="1721">
        <v>5</v>
      </c>
      <c r="T87" s="1721">
        <v>5</v>
      </c>
    </row>
    <row r="88" spans="1:20">
      <c r="A88" s="1545">
        <v>71</v>
      </c>
      <c r="B88" s="1706">
        <v>3</v>
      </c>
      <c r="C88" s="1855" t="s">
        <v>9237</v>
      </c>
      <c r="D88" s="1856"/>
      <c r="E88" s="1555" t="s">
        <v>4259</v>
      </c>
      <c r="F88" s="1620">
        <v>2</v>
      </c>
      <c r="G88" s="1556">
        <v>25000</v>
      </c>
      <c r="H88" s="1684">
        <f t="shared" si="4"/>
        <v>50000</v>
      </c>
      <c r="I88" s="1678">
        <f t="shared" si="5"/>
        <v>2.4713298442231978E-3</v>
      </c>
      <c r="J88" s="1555" t="s">
        <v>9238</v>
      </c>
      <c r="K88" s="1555" t="s">
        <v>9096</v>
      </c>
      <c r="L88" s="1555">
        <v>41019</v>
      </c>
      <c r="M88" s="1555" t="s">
        <v>9227</v>
      </c>
      <c r="N88" s="1565"/>
      <c r="P88" s="1721">
        <v>5</v>
      </c>
      <c r="Q88" s="1721">
        <v>5</v>
      </c>
      <c r="R88" s="1721">
        <v>5</v>
      </c>
      <c r="S88" s="1721">
        <v>5</v>
      </c>
      <c r="T88" s="1721">
        <v>5</v>
      </c>
    </row>
    <row r="89" spans="1:20">
      <c r="A89" s="1545">
        <v>72</v>
      </c>
      <c r="B89" s="1706">
        <v>4</v>
      </c>
      <c r="C89" s="1855" t="s">
        <v>9239</v>
      </c>
      <c r="D89" s="1856"/>
      <c r="E89" s="1555" t="s">
        <v>775</v>
      </c>
      <c r="F89" s="1620">
        <v>2</v>
      </c>
      <c r="G89" s="1556">
        <v>10000</v>
      </c>
      <c r="H89" s="1684">
        <f t="shared" si="4"/>
        <v>20000</v>
      </c>
      <c r="I89" s="1678">
        <f t="shared" si="5"/>
        <v>9.8853193768927926E-4</v>
      </c>
      <c r="J89" s="1555" t="s">
        <v>9240</v>
      </c>
      <c r="K89" s="1555" t="s">
        <v>9096</v>
      </c>
      <c r="L89" s="1555">
        <v>41019</v>
      </c>
      <c r="M89" s="1555" t="s">
        <v>9227</v>
      </c>
      <c r="N89" s="1565"/>
      <c r="P89" s="1721">
        <v>5</v>
      </c>
      <c r="Q89" s="1721">
        <v>5</v>
      </c>
      <c r="R89" s="1721">
        <v>5</v>
      </c>
      <c r="S89" s="1721">
        <v>5</v>
      </c>
      <c r="T89" s="1721">
        <v>5</v>
      </c>
    </row>
    <row r="90" spans="1:20">
      <c r="A90" s="1545">
        <v>73</v>
      </c>
      <c r="B90" s="1706">
        <v>5</v>
      </c>
      <c r="C90" s="1855" t="s">
        <v>9241</v>
      </c>
      <c r="D90" s="1856"/>
      <c r="E90" s="1555" t="s">
        <v>9242</v>
      </c>
      <c r="F90" s="1620">
        <v>2</v>
      </c>
      <c r="G90" s="1556">
        <v>87500</v>
      </c>
      <c r="H90" s="1684">
        <f t="shared" si="4"/>
        <v>175000</v>
      </c>
      <c r="I90" s="1678">
        <f t="shared" si="5"/>
        <v>8.6496544547811933E-3</v>
      </c>
      <c r="J90" s="1555" t="s">
        <v>9243</v>
      </c>
      <c r="K90" s="1555" t="s">
        <v>9096</v>
      </c>
      <c r="L90" s="1555">
        <v>41019</v>
      </c>
      <c r="M90" s="1555" t="s">
        <v>9227</v>
      </c>
      <c r="N90" s="1565"/>
      <c r="P90" s="1721">
        <v>5</v>
      </c>
      <c r="Q90" s="1721">
        <v>5</v>
      </c>
      <c r="R90" s="1721">
        <v>5</v>
      </c>
      <c r="S90" s="1721">
        <v>5</v>
      </c>
      <c r="T90" s="1721">
        <v>5</v>
      </c>
    </row>
    <row r="91" spans="1:20">
      <c r="A91" s="1545">
        <v>74</v>
      </c>
      <c r="B91" s="1706">
        <v>6</v>
      </c>
      <c r="C91" s="1855" t="s">
        <v>9244</v>
      </c>
      <c r="D91" s="1856"/>
      <c r="E91" s="1555" t="s">
        <v>9242</v>
      </c>
      <c r="F91" s="1620">
        <v>2</v>
      </c>
      <c r="G91" s="1556">
        <v>10000</v>
      </c>
      <c r="H91" s="1684">
        <f t="shared" si="4"/>
        <v>20000</v>
      </c>
      <c r="I91" s="1678">
        <f t="shared" si="5"/>
        <v>9.8853193768927926E-4</v>
      </c>
      <c r="J91" s="1555" t="s">
        <v>9245</v>
      </c>
      <c r="K91" s="1555" t="s">
        <v>9096</v>
      </c>
      <c r="L91" s="1555">
        <v>41019</v>
      </c>
      <c r="M91" s="1555" t="s">
        <v>9227</v>
      </c>
      <c r="N91" s="1565"/>
      <c r="P91" s="1721">
        <v>5</v>
      </c>
      <c r="Q91" s="1721">
        <v>5</v>
      </c>
      <c r="R91" s="1721">
        <v>5</v>
      </c>
      <c r="S91" s="1721">
        <v>5</v>
      </c>
      <c r="T91" s="1721">
        <v>5</v>
      </c>
    </row>
    <row r="92" spans="1:20">
      <c r="A92" s="1545">
        <v>75</v>
      </c>
      <c r="B92" s="1706">
        <v>7</v>
      </c>
      <c r="C92" s="1855" t="s">
        <v>9246</v>
      </c>
      <c r="D92" s="1856"/>
      <c r="E92" s="1555" t="s">
        <v>630</v>
      </c>
      <c r="F92" s="1620">
        <v>1</v>
      </c>
      <c r="G92" s="1556">
        <v>190000</v>
      </c>
      <c r="H92" s="1684">
        <f t="shared" si="4"/>
        <v>190000</v>
      </c>
      <c r="I92" s="1678">
        <f t="shared" si="5"/>
        <v>9.3910534080481525E-3</v>
      </c>
      <c r="J92" s="1555" t="s">
        <v>9247</v>
      </c>
      <c r="K92" s="1555" t="s">
        <v>9096</v>
      </c>
      <c r="L92" s="1555">
        <v>41019</v>
      </c>
      <c r="M92" s="1555" t="s">
        <v>9227</v>
      </c>
      <c r="N92" s="1565"/>
      <c r="P92" s="1721">
        <v>1</v>
      </c>
      <c r="Q92" s="1721">
        <v>1</v>
      </c>
      <c r="R92" s="1721">
        <v>1</v>
      </c>
      <c r="S92" s="1721">
        <v>1</v>
      </c>
      <c r="T92" s="1721">
        <v>1</v>
      </c>
    </row>
    <row r="93" spans="1:20">
      <c r="B93" s="1708"/>
      <c r="C93" s="1575"/>
      <c r="D93" s="1575"/>
      <c r="E93" s="1576"/>
      <c r="F93" s="1621"/>
      <c r="G93" s="1577"/>
      <c r="H93" s="1685"/>
      <c r="I93" s="1578"/>
      <c r="J93" s="1576"/>
      <c r="K93" s="1576"/>
      <c r="L93" s="1576"/>
      <c r="M93" s="1576"/>
      <c r="N93" s="1579"/>
    </row>
    <row r="94" spans="1:20">
      <c r="B94" s="1714"/>
      <c r="C94" s="1858" t="s">
        <v>9274</v>
      </c>
      <c r="D94" s="1858"/>
      <c r="E94" s="1858"/>
      <c r="F94" s="1858"/>
      <c r="G94" s="1858"/>
      <c r="H94" s="1686">
        <f>SUM(H86:H92)</f>
        <v>495000</v>
      </c>
      <c r="I94" s="1567"/>
      <c r="J94" s="1547"/>
      <c r="K94" s="1547"/>
      <c r="L94" s="1547"/>
      <c r="N94" s="1568"/>
    </row>
    <row r="95" spans="1:20">
      <c r="B95" s="1936" t="s">
        <v>1071</v>
      </c>
      <c r="C95" s="1772" t="s">
        <v>9341</v>
      </c>
      <c r="D95" s="1769"/>
      <c r="E95" s="1581"/>
      <c r="F95" s="1618"/>
      <c r="G95" s="1581"/>
      <c r="H95" s="1689"/>
      <c r="I95" s="1679"/>
      <c r="J95" s="1591"/>
      <c r="K95" s="1591"/>
      <c r="L95" s="1591"/>
      <c r="M95" s="1591"/>
      <c r="N95" s="1593"/>
    </row>
    <row r="96" spans="1:20" hidden="1">
      <c r="B96" s="1716" t="s">
        <v>1071</v>
      </c>
      <c r="C96" s="1859" t="s">
        <v>9251</v>
      </c>
      <c r="D96" s="1859"/>
      <c r="E96" s="1595"/>
      <c r="F96" s="1623"/>
      <c r="G96" s="1596"/>
      <c r="H96" s="1690"/>
      <c r="I96" s="1597"/>
      <c r="J96" s="1595"/>
      <c r="K96" s="1595"/>
      <c r="L96" s="1595"/>
      <c r="M96" s="1595"/>
      <c r="N96" s="1598"/>
    </row>
    <row r="97" spans="1:18" ht="42.6" hidden="1" customHeight="1">
      <c r="A97" s="1545">
        <v>3</v>
      </c>
      <c r="B97" s="1706">
        <v>1</v>
      </c>
      <c r="C97" s="1855" t="s">
        <v>1956</v>
      </c>
      <c r="D97" s="1856"/>
      <c r="E97" s="1555" t="s">
        <v>120</v>
      </c>
      <c r="F97" s="1620"/>
      <c r="G97" s="1556">
        <f>VLOOKUP(C97,'AHSP MCK'!D:K,8,FALSE)</f>
        <v>89100</v>
      </c>
      <c r="H97" s="1684">
        <f t="shared" si="3"/>
        <v>0</v>
      </c>
      <c r="I97" s="1678">
        <f>G97*F97/$H$78</f>
        <v>0</v>
      </c>
      <c r="J97" s="1561" t="s">
        <v>1810</v>
      </c>
      <c r="K97" s="1555" t="s">
        <v>9068</v>
      </c>
      <c r="L97" s="1555">
        <v>41019</v>
      </c>
      <c r="M97" s="1555" t="s">
        <v>9227</v>
      </c>
      <c r="N97" s="1565"/>
      <c r="P97" s="1721">
        <f>0.5*0.5*(5.55+4.35+(1.9*5))</f>
        <v>4.8499999999999996</v>
      </c>
      <c r="Q97" s="1721">
        <f>0.5*0.5*((2.23*3)+(2.85*2))</f>
        <v>3.0975000000000001</v>
      </c>
      <c r="R97" s="1721">
        <f>0.5*0.5*((2.75*3)+(2.85*2))</f>
        <v>3.4874999999999998</v>
      </c>
    </row>
    <row r="98" spans="1:18" ht="46.2" hidden="1" customHeight="1">
      <c r="A98" s="1545">
        <v>4</v>
      </c>
      <c r="B98" s="1706">
        <v>2</v>
      </c>
      <c r="C98" s="1855" t="s">
        <v>6455</v>
      </c>
      <c r="D98" s="1856"/>
      <c r="E98" s="1555" t="s">
        <v>120</v>
      </c>
      <c r="F98" s="1620"/>
      <c r="G98" s="1556">
        <f>VLOOKUP(C98,'AHSP MCK'!D:K,8,FALSE)</f>
        <v>59400</v>
      </c>
      <c r="H98" s="1684">
        <f t="shared" si="3"/>
        <v>0</v>
      </c>
      <c r="I98" s="1678">
        <f>G98*F98/$H$78</f>
        <v>0</v>
      </c>
      <c r="J98" s="1561" t="s">
        <v>2072</v>
      </c>
      <c r="K98" s="1555" t="s">
        <v>9068</v>
      </c>
      <c r="L98" s="1555">
        <v>41019</v>
      </c>
      <c r="M98" s="1555" t="s">
        <v>9227</v>
      </c>
      <c r="N98" s="1565"/>
      <c r="P98" s="1721">
        <f>P97/4</f>
        <v>1.2124999999999999</v>
      </c>
      <c r="Q98" s="1721">
        <f>Q97/4</f>
        <v>0.77437500000000004</v>
      </c>
      <c r="R98" s="1721">
        <f>R97/4</f>
        <v>0.87187499999999996</v>
      </c>
    </row>
    <row r="99" spans="1:18" ht="42.6" hidden="1" customHeight="1">
      <c r="A99" s="1545">
        <v>5</v>
      </c>
      <c r="B99" s="1706">
        <v>3</v>
      </c>
      <c r="C99" s="1855" t="s">
        <v>1260</v>
      </c>
      <c r="D99" s="1856"/>
      <c r="E99" s="1555" t="s">
        <v>120</v>
      </c>
      <c r="F99" s="1620"/>
      <c r="G99" s="1556">
        <f>VLOOKUP(C99,'AHSP MCK'!D:K,8,FALSE)</f>
        <v>326700</v>
      </c>
      <c r="H99" s="1684">
        <f t="shared" si="3"/>
        <v>0</v>
      </c>
      <c r="I99" s="1678">
        <f>G99*F99/$H$78</f>
        <v>0</v>
      </c>
      <c r="J99" s="1561" t="s">
        <v>2073</v>
      </c>
      <c r="K99" s="1555" t="s">
        <v>9068</v>
      </c>
      <c r="L99" s="1555">
        <v>41019</v>
      </c>
      <c r="M99" s="1555" t="s">
        <v>9227</v>
      </c>
      <c r="N99" s="1565"/>
    </row>
    <row r="100" spans="1:18" ht="31.8" hidden="1" customHeight="1">
      <c r="A100" s="1545">
        <v>6</v>
      </c>
      <c r="B100" s="1706">
        <v>4</v>
      </c>
      <c r="C100" s="1855" t="s">
        <v>2118</v>
      </c>
      <c r="D100" s="1856"/>
      <c r="E100" s="1555" t="s">
        <v>120</v>
      </c>
      <c r="F100" s="1620"/>
      <c r="G100" s="1556">
        <f>VLOOKUP(C100,'AHSP MCK'!D:K,8,FALSE)</f>
        <v>26700</v>
      </c>
      <c r="H100" s="1684">
        <f t="shared" si="3"/>
        <v>0</v>
      </c>
      <c r="I100" s="1678">
        <f>G100*F100/$H$78</f>
        <v>0</v>
      </c>
      <c r="J100" s="1555" t="s">
        <v>2112</v>
      </c>
      <c r="K100" s="1555" t="s">
        <v>9068</v>
      </c>
      <c r="L100" s="1555">
        <v>41019</v>
      </c>
      <c r="M100" s="1555" t="s">
        <v>9227</v>
      </c>
      <c r="N100" s="1565"/>
      <c r="P100" s="1721">
        <f>P97-P98</f>
        <v>3.6374999999999997</v>
      </c>
      <c r="Q100" s="1721">
        <f>Q97-Q98</f>
        <v>2.3231250000000001</v>
      </c>
      <c r="R100" s="1721">
        <f>R97-R98</f>
        <v>2.6156249999999996</v>
      </c>
    </row>
    <row r="101" spans="1:18" hidden="1">
      <c r="B101" s="1708"/>
      <c r="C101" s="1575"/>
      <c r="D101" s="1575"/>
      <c r="E101" s="1576"/>
      <c r="F101" s="1621"/>
      <c r="G101" s="1577"/>
      <c r="H101" s="1685"/>
      <c r="I101" s="1578"/>
      <c r="J101" s="1576"/>
      <c r="K101" s="1576"/>
      <c r="L101" s="1576"/>
      <c r="M101" s="1576"/>
      <c r="N101" s="1579"/>
    </row>
    <row r="102" spans="1:18" hidden="1">
      <c r="B102" s="1714"/>
      <c r="C102" s="1858" t="s">
        <v>9274</v>
      </c>
      <c r="D102" s="1858"/>
      <c r="E102" s="1858"/>
      <c r="F102" s="1858"/>
      <c r="G102" s="1858"/>
      <c r="H102" s="1686">
        <f>SUM(H97:H100)</f>
        <v>0</v>
      </c>
      <c r="I102" s="1567"/>
      <c r="J102" s="1547"/>
      <c r="K102" s="1547"/>
      <c r="L102" s="1547"/>
      <c r="N102" s="1568"/>
    </row>
    <row r="103" spans="1:18" hidden="1">
      <c r="B103" s="1715"/>
      <c r="C103" s="1590"/>
      <c r="D103" s="1638"/>
      <c r="E103" s="1591"/>
      <c r="F103" s="1622"/>
      <c r="G103" s="1592"/>
      <c r="H103" s="1687"/>
      <c r="I103" s="1679"/>
      <c r="J103" s="1591"/>
      <c r="K103" s="1591"/>
      <c r="L103" s="1591"/>
      <c r="M103" s="1591"/>
      <c r="N103" s="1593"/>
    </row>
    <row r="104" spans="1:18" hidden="1">
      <c r="B104" s="1716" t="s">
        <v>9266</v>
      </c>
      <c r="C104" s="1859" t="s">
        <v>9252</v>
      </c>
      <c r="D104" s="1859"/>
      <c r="E104" s="1595"/>
      <c r="F104" s="1623"/>
      <c r="G104" s="1596"/>
      <c r="H104" s="1690"/>
      <c r="I104" s="1597"/>
      <c r="J104" s="1595"/>
      <c r="K104" s="1595"/>
      <c r="L104" s="1595"/>
      <c r="M104" s="1595"/>
      <c r="N104" s="1598"/>
    </row>
    <row r="105" spans="1:18" ht="47.4" hidden="1" customHeight="1">
      <c r="A105" s="1545">
        <v>17</v>
      </c>
      <c r="B105" s="1706">
        <v>1</v>
      </c>
      <c r="C105" s="1855" t="s">
        <v>1270</v>
      </c>
      <c r="D105" s="1856"/>
      <c r="E105" s="1555" t="s">
        <v>120</v>
      </c>
      <c r="F105" s="1620"/>
      <c r="G105" s="1556">
        <f>VLOOKUP(C105,'AHSP MCK'!D:K,8,FALSE)</f>
        <v>1104800</v>
      </c>
      <c r="H105" s="1684">
        <f>G105*F105</f>
        <v>0</v>
      </c>
      <c r="I105" s="1678">
        <f>G105*F105/$H$78</f>
        <v>0</v>
      </c>
      <c r="J105" s="1555" t="s">
        <v>2354</v>
      </c>
      <c r="K105" s="1555" t="s">
        <v>1772</v>
      </c>
      <c r="L105" s="1555">
        <v>41019</v>
      </c>
      <c r="M105" s="1555" t="s">
        <v>9227</v>
      </c>
      <c r="N105" s="1565"/>
      <c r="P105" s="1721">
        <f>(0.25+0.5)/2*0.5*(5.55+4.35+(1.9*5))</f>
        <v>3.6374999999999997</v>
      </c>
      <c r="Q105" s="1721">
        <f>(0.25+0.5)/2*0.5*((2.85*2)+(1.93*3))</f>
        <v>2.1543749999999999</v>
      </c>
      <c r="R105" s="1721">
        <f>(0.25+0.5)/2*0.5*((2.85*2)+(1.9*3))</f>
        <v>2.1374999999999997</v>
      </c>
    </row>
    <row r="106" spans="1:18" hidden="1">
      <c r="B106" s="1708"/>
      <c r="C106" s="1575"/>
      <c r="D106" s="1575"/>
      <c r="E106" s="1576"/>
      <c r="F106" s="1621"/>
      <c r="G106" s="1577"/>
      <c r="H106" s="1685"/>
      <c r="I106" s="1578"/>
      <c r="J106" s="1576"/>
      <c r="K106" s="1576"/>
      <c r="L106" s="1576"/>
      <c r="M106" s="1576"/>
      <c r="N106" s="1579"/>
    </row>
    <row r="107" spans="1:18" hidden="1">
      <c r="B107" s="1714"/>
      <c r="C107" s="1858" t="s">
        <v>9274</v>
      </c>
      <c r="D107" s="1858"/>
      <c r="E107" s="1858"/>
      <c r="F107" s="1858"/>
      <c r="G107" s="1858"/>
      <c r="H107" s="1686">
        <f>H105</f>
        <v>0</v>
      </c>
      <c r="I107" s="1567"/>
      <c r="J107" s="1547"/>
      <c r="K107" s="1547"/>
      <c r="L107" s="1547"/>
      <c r="N107" s="1568"/>
    </row>
    <row r="108" spans="1:18" hidden="1">
      <c r="B108" s="1715"/>
      <c r="C108" s="1590"/>
      <c r="D108" s="1638"/>
      <c r="E108" s="1591"/>
      <c r="F108" s="1622"/>
      <c r="G108" s="1592"/>
      <c r="H108" s="1687"/>
      <c r="I108" s="1679"/>
      <c r="J108" s="1591"/>
      <c r="K108" s="1591"/>
      <c r="L108" s="1591"/>
      <c r="M108" s="1591"/>
      <c r="N108" s="1593"/>
    </row>
    <row r="109" spans="1:18" hidden="1">
      <c r="B109" s="1717" t="s">
        <v>1201</v>
      </c>
      <c r="C109" s="1862" t="s">
        <v>9253</v>
      </c>
      <c r="D109" s="1862"/>
      <c r="E109" s="1547"/>
      <c r="F109" s="1624"/>
      <c r="G109" s="1552"/>
      <c r="H109" s="1691"/>
      <c r="I109" s="1567"/>
      <c r="J109" s="1547"/>
      <c r="K109" s="1547"/>
      <c r="L109" s="1547"/>
      <c r="N109" s="1568"/>
    </row>
    <row r="110" spans="1:18" hidden="1">
      <c r="B110" s="1716" t="s">
        <v>9350</v>
      </c>
      <c r="C110" s="1859" t="s">
        <v>9254</v>
      </c>
      <c r="D110" s="1859"/>
      <c r="E110" s="1595"/>
      <c r="F110" s="1623"/>
      <c r="G110" s="1596"/>
      <c r="H110" s="1690"/>
      <c r="I110" s="1597"/>
      <c r="J110" s="1595"/>
      <c r="K110" s="1595"/>
      <c r="L110" s="1595"/>
      <c r="M110" s="1595"/>
      <c r="N110" s="1598"/>
    </row>
    <row r="111" spans="1:18" ht="42" hidden="1" customHeight="1">
      <c r="A111" s="1545">
        <v>8</v>
      </c>
      <c r="B111" s="1706">
        <v>1</v>
      </c>
      <c r="C111" s="1855" t="s">
        <v>6483</v>
      </c>
      <c r="D111" s="1856"/>
      <c r="E111" s="1555" t="s">
        <v>65</v>
      </c>
      <c r="F111" s="1620"/>
      <c r="G111" s="1556">
        <f>VLOOKUP(C111,'AHSP MCK'!D:K,8,FALSE)</f>
        <v>15900</v>
      </c>
      <c r="H111" s="1684">
        <f t="shared" ref="H111" si="6">G111*F111</f>
        <v>0</v>
      </c>
      <c r="I111" s="1678">
        <f t="shared" ref="I111" si="7">G111*F111/$H$78</f>
        <v>0</v>
      </c>
      <c r="J111" s="1555" t="s">
        <v>2228</v>
      </c>
      <c r="K111" s="1555" t="s">
        <v>1772</v>
      </c>
      <c r="L111" s="1555">
        <v>41019</v>
      </c>
      <c r="M111" s="1555" t="s">
        <v>9227</v>
      </c>
      <c r="N111" s="1565"/>
    </row>
    <row r="112" spans="1:18" ht="30.6" hidden="1" customHeight="1">
      <c r="A112" s="1545">
        <v>9</v>
      </c>
      <c r="B112" s="1706">
        <v>2</v>
      </c>
      <c r="C112" s="1855" t="s">
        <v>2249</v>
      </c>
      <c r="D112" s="1856"/>
      <c r="E112" s="1555" t="s">
        <v>9291</v>
      </c>
      <c r="F112" s="1620"/>
      <c r="G112" s="1556">
        <f>VLOOKUP(C112,'AHSP MCK'!D:K,8,FALSE)</f>
        <v>183600</v>
      </c>
      <c r="H112" s="1684">
        <f>G112*F112</f>
        <v>0</v>
      </c>
      <c r="I112" s="1678">
        <f>G112*F112/$H$78</f>
        <v>0</v>
      </c>
      <c r="J112" s="1555" t="s">
        <v>2248</v>
      </c>
      <c r="K112" s="1555" t="s">
        <v>1772</v>
      </c>
      <c r="L112" s="1555">
        <v>41019</v>
      </c>
      <c r="M112" s="1555" t="s">
        <v>9227</v>
      </c>
      <c r="N112" s="1565"/>
    </row>
    <row r="113" spans="1:20" ht="42" hidden="1" customHeight="1">
      <c r="A113" s="1545">
        <v>14</v>
      </c>
      <c r="B113" s="1706">
        <v>3</v>
      </c>
      <c r="C113" s="1855" t="s">
        <v>2272</v>
      </c>
      <c r="D113" s="1856"/>
      <c r="E113" s="1555" t="s">
        <v>120</v>
      </c>
      <c r="F113" s="1620"/>
      <c r="G113" s="1556">
        <f>VLOOKUP(C113,'AHSP MCK'!D:K,8,FALSE)</f>
        <v>1291800</v>
      </c>
      <c r="H113" s="1684">
        <f t="shared" ref="H113:H114" si="8">G113*F113</f>
        <v>0</v>
      </c>
      <c r="I113" s="1678">
        <f t="shared" ref="I113:I114" si="9">G113*F113/$H$78</f>
        <v>0</v>
      </c>
      <c r="J113" s="1555" t="s">
        <v>2271</v>
      </c>
      <c r="K113" s="1555" t="s">
        <v>1772</v>
      </c>
      <c r="L113" s="1555">
        <v>41019</v>
      </c>
      <c r="M113" s="1555" t="s">
        <v>9227</v>
      </c>
      <c r="N113" s="1565"/>
    </row>
    <row r="114" spans="1:20" ht="26.4" hidden="1" customHeight="1">
      <c r="A114" s="1545">
        <v>16</v>
      </c>
      <c r="B114" s="1706">
        <v>1</v>
      </c>
      <c r="C114" s="1855" t="s">
        <v>1318</v>
      </c>
      <c r="D114" s="1856"/>
      <c r="E114" s="1555" t="s">
        <v>113</v>
      </c>
      <c r="F114" s="1620"/>
      <c r="G114" s="1556">
        <f>VLOOKUP(C114,'AHSP MCK'!D:K,8,FALSE)</f>
        <v>147800</v>
      </c>
      <c r="H114" s="1684">
        <f t="shared" si="8"/>
        <v>0</v>
      </c>
      <c r="I114" s="1678">
        <f t="shared" si="9"/>
        <v>0</v>
      </c>
      <c r="J114" s="1555" t="s">
        <v>2333</v>
      </c>
      <c r="K114" s="1555" t="s">
        <v>1772</v>
      </c>
      <c r="L114" s="1555">
        <v>41019</v>
      </c>
      <c r="M114" s="1555" t="s">
        <v>9227</v>
      </c>
      <c r="N114" s="1565"/>
      <c r="P114" s="1721">
        <f>5.55+4.35+(1.9*5)</f>
        <v>19.399999999999999</v>
      </c>
      <c r="Q114" s="1721">
        <f>(2.85*2)+(2.23*3)</f>
        <v>12.39</v>
      </c>
      <c r="R114" s="1721">
        <f>(2.85*2)+(1.9*3)</f>
        <v>11.399999999999999</v>
      </c>
      <c r="T114" s="1721">
        <f>4.15+2.15+0.65+1.075</f>
        <v>8.0250000000000004</v>
      </c>
    </row>
    <row r="115" spans="1:20" hidden="1">
      <c r="B115" s="1711"/>
      <c r="C115" s="1601"/>
      <c r="D115" s="1601"/>
      <c r="E115" s="1602"/>
      <c r="F115" s="1625"/>
      <c r="G115" s="1603"/>
      <c r="H115" s="1692"/>
      <c r="I115" s="1604"/>
      <c r="J115" s="1602"/>
      <c r="K115" s="1602"/>
      <c r="L115" s="1602"/>
      <c r="M115" s="1602"/>
      <c r="N115" s="1605"/>
    </row>
    <row r="116" spans="1:20" hidden="1">
      <c r="B116" s="1716" t="s">
        <v>1209</v>
      </c>
      <c r="C116" s="1859" t="s">
        <v>9311</v>
      </c>
      <c r="D116" s="1859"/>
      <c r="E116" s="1595"/>
      <c r="F116" s="1623"/>
      <c r="G116" s="1596"/>
      <c r="H116" s="1690"/>
      <c r="I116" s="1597"/>
      <c r="J116" s="1595"/>
      <c r="K116" s="1595"/>
      <c r="L116" s="1595"/>
      <c r="M116" s="1595"/>
      <c r="N116" s="1598"/>
    </row>
    <row r="117" spans="1:20" ht="44.4" hidden="1" customHeight="1">
      <c r="B117" s="1706">
        <v>1</v>
      </c>
      <c r="C117" s="1855" t="s">
        <v>6470</v>
      </c>
      <c r="D117" s="1856"/>
      <c r="E117" s="1555" t="s">
        <v>65</v>
      </c>
      <c r="F117" s="1620"/>
      <c r="G117" s="1556">
        <f>VLOOKUP(C117,'AHSP MCK'!D:K,8,FALSE)</f>
        <v>17100</v>
      </c>
      <c r="H117" s="1684">
        <f t="shared" ref="H117:H119" si="10">G117*F117</f>
        <v>0</v>
      </c>
      <c r="I117" s="1678">
        <f>G117*F117/$H$78</f>
        <v>0</v>
      </c>
      <c r="J117" s="1555" t="s">
        <v>2225</v>
      </c>
      <c r="K117" s="1555" t="s">
        <v>1772</v>
      </c>
      <c r="L117" s="1555">
        <v>41019</v>
      </c>
      <c r="M117" s="1555" t="s">
        <v>9227</v>
      </c>
      <c r="N117" s="1565"/>
      <c r="T117" s="1721">
        <v>7.11</v>
      </c>
    </row>
    <row r="118" spans="1:20" ht="27" hidden="1" customHeight="1">
      <c r="A118" s="1545">
        <v>13</v>
      </c>
      <c r="B118" s="1706">
        <v>2</v>
      </c>
      <c r="C118" s="1855" t="s">
        <v>1306</v>
      </c>
      <c r="D118" s="1856"/>
      <c r="E118" s="1555" t="s">
        <v>9291</v>
      </c>
      <c r="F118" s="1620"/>
      <c r="G118" s="1556">
        <f>VLOOKUP(C118,'AHSP MCK'!D:K,8,FALSE)</f>
        <v>225000</v>
      </c>
      <c r="H118" s="1684">
        <f t="shared" si="10"/>
        <v>0</v>
      </c>
      <c r="I118" s="1678">
        <f>G118*F118/$H$78</f>
        <v>0</v>
      </c>
      <c r="J118" s="1555" t="s">
        <v>2253</v>
      </c>
      <c r="K118" s="1555" t="s">
        <v>1772</v>
      </c>
      <c r="L118" s="1555">
        <v>41019</v>
      </c>
      <c r="M118" s="1555" t="s">
        <v>9227</v>
      </c>
      <c r="N118" s="1565"/>
      <c r="T118" s="1721">
        <f>0.35*2.15</f>
        <v>0.75249999999999995</v>
      </c>
    </row>
    <row r="119" spans="1:20" ht="43.2" hidden="1" customHeight="1">
      <c r="A119" s="1545">
        <v>14</v>
      </c>
      <c r="B119" s="1706">
        <v>3</v>
      </c>
      <c r="C119" s="1855" t="s">
        <v>2272</v>
      </c>
      <c r="D119" s="1856"/>
      <c r="E119" s="1555" t="s">
        <v>120</v>
      </c>
      <c r="F119" s="1620"/>
      <c r="G119" s="1556">
        <f>VLOOKUP(C119,'AHSP MCK'!D:K,8,FALSE)</f>
        <v>1291800</v>
      </c>
      <c r="H119" s="1684">
        <f t="shared" si="10"/>
        <v>0</v>
      </c>
      <c r="I119" s="1678">
        <f>G119*F119/$H$78</f>
        <v>0</v>
      </c>
      <c r="J119" s="1555" t="s">
        <v>2271</v>
      </c>
      <c r="K119" s="1555" t="s">
        <v>1772</v>
      </c>
      <c r="L119" s="1555">
        <v>41019</v>
      </c>
      <c r="M119" s="1555" t="s">
        <v>9227</v>
      </c>
      <c r="N119" s="1565"/>
      <c r="T119" s="1721">
        <f>0.35*2.15*0.15</f>
        <v>0.11287499999999999</v>
      </c>
    </row>
    <row r="120" spans="1:20" hidden="1">
      <c r="B120" s="1706"/>
      <c r="C120" s="1860"/>
      <c r="D120" s="1861"/>
      <c r="E120" s="1555"/>
      <c r="F120" s="1620"/>
      <c r="G120" s="1556"/>
      <c r="H120" s="1684"/>
      <c r="I120" s="1678"/>
      <c r="J120" s="1555"/>
      <c r="K120" s="1555"/>
      <c r="L120" s="1555"/>
      <c r="M120" s="1555"/>
      <c r="N120" s="1565"/>
    </row>
    <row r="121" spans="1:20" hidden="1">
      <c r="B121" s="1711"/>
      <c r="C121" s="1601"/>
      <c r="D121" s="1601"/>
      <c r="E121" s="1602"/>
      <c r="F121" s="1625"/>
      <c r="G121" s="1603"/>
      <c r="H121" s="1692"/>
      <c r="I121" s="1604"/>
      <c r="J121" s="1602"/>
      <c r="K121" s="1602"/>
      <c r="L121" s="1602"/>
      <c r="M121" s="1602"/>
      <c r="N121" s="1605"/>
    </row>
    <row r="122" spans="1:20" hidden="1">
      <c r="B122" s="1716" t="s">
        <v>1215</v>
      </c>
      <c r="C122" s="1859" t="s">
        <v>9255</v>
      </c>
      <c r="D122" s="1859"/>
      <c r="E122" s="1595"/>
      <c r="F122" s="1623"/>
      <c r="G122" s="1596"/>
      <c r="H122" s="1690"/>
      <c r="I122" s="1597"/>
      <c r="J122" s="1595"/>
      <c r="K122" s="1595"/>
      <c r="L122" s="1595"/>
      <c r="M122" s="1595"/>
      <c r="N122" s="1598"/>
    </row>
    <row r="123" spans="1:20" ht="40.799999999999997" hidden="1" customHeight="1">
      <c r="A123" s="1545">
        <v>8</v>
      </c>
      <c r="B123" s="1706">
        <v>1</v>
      </c>
      <c r="C123" s="1855" t="s">
        <v>6483</v>
      </c>
      <c r="D123" s="1856"/>
      <c r="E123" s="1555" t="s">
        <v>65</v>
      </c>
      <c r="F123" s="1620"/>
      <c r="G123" s="1556">
        <f>VLOOKUP(C123,'AHSP MCK'!D:K,8,FALSE)</f>
        <v>15900</v>
      </c>
      <c r="H123" s="1684">
        <f t="shared" ref="H123" si="11">G123*F123</f>
        <v>0</v>
      </c>
      <c r="I123" s="1678">
        <f t="shared" ref="I123" si="12">G123*F123/$H$78</f>
        <v>0</v>
      </c>
      <c r="J123" s="1555" t="s">
        <v>2228</v>
      </c>
      <c r="K123" s="1555" t="s">
        <v>1772</v>
      </c>
      <c r="L123" s="1555">
        <v>41019</v>
      </c>
      <c r="M123" s="1555" t="s">
        <v>9227</v>
      </c>
      <c r="N123" s="1565"/>
    </row>
    <row r="124" spans="1:20" ht="30" hidden="1" customHeight="1">
      <c r="A124" s="1545">
        <v>11</v>
      </c>
      <c r="B124" s="1706">
        <v>2</v>
      </c>
      <c r="C124" s="1855" t="s">
        <v>1304</v>
      </c>
      <c r="D124" s="1856"/>
      <c r="E124" s="1555" t="s">
        <v>9291</v>
      </c>
      <c r="F124" s="1620"/>
      <c r="G124" s="1556">
        <f>VLOOKUP(C124,'AHSP MCK'!D:K,8,FALSE)</f>
        <v>216900</v>
      </c>
      <c r="H124" s="1684">
        <f>G124*F124</f>
        <v>0</v>
      </c>
      <c r="I124" s="1678">
        <f>G124*F124/$H$78</f>
        <v>0</v>
      </c>
      <c r="J124" s="1555" t="s">
        <v>2251</v>
      </c>
      <c r="K124" s="1555" t="s">
        <v>1772</v>
      </c>
      <c r="L124" s="1555">
        <v>41019</v>
      </c>
      <c r="M124" s="1555" t="s">
        <v>9227</v>
      </c>
      <c r="N124" s="1565"/>
    </row>
    <row r="125" spans="1:20" ht="40.799999999999997" hidden="1" customHeight="1">
      <c r="A125" s="1545">
        <v>14</v>
      </c>
      <c r="B125" s="1706">
        <v>3</v>
      </c>
      <c r="C125" s="1855" t="s">
        <v>2272</v>
      </c>
      <c r="D125" s="1856"/>
      <c r="E125" s="1555" t="s">
        <v>120</v>
      </c>
      <c r="F125" s="1620"/>
      <c r="G125" s="1556">
        <f>VLOOKUP(C125,'AHSP MCK'!D:K,8,FALSE)</f>
        <v>1291800</v>
      </c>
      <c r="H125" s="1684">
        <f t="shared" ref="H125" si="13">G125*F125</f>
        <v>0</v>
      </c>
      <c r="I125" s="1678">
        <f t="shared" ref="I125" si="14">G125*F125/$H$78</f>
        <v>0</v>
      </c>
      <c r="J125" s="1555" t="s">
        <v>2271</v>
      </c>
      <c r="K125" s="1555" t="s">
        <v>1772</v>
      </c>
      <c r="L125" s="1555">
        <v>41019</v>
      </c>
      <c r="M125" s="1555" t="s">
        <v>9227</v>
      </c>
      <c r="N125" s="1565"/>
    </row>
    <row r="126" spans="1:20" ht="30" hidden="1" customHeight="1">
      <c r="A126" s="1545">
        <v>15</v>
      </c>
      <c r="B126" s="1706">
        <v>1</v>
      </c>
      <c r="C126" s="1855" t="s">
        <v>1317</v>
      </c>
      <c r="D126" s="1856"/>
      <c r="E126" s="1555" t="s">
        <v>113</v>
      </c>
      <c r="F126" s="1620"/>
      <c r="G126" s="1556">
        <f>VLOOKUP(C126,'AHSP MCK'!D:K,8,FALSE)</f>
        <v>105800</v>
      </c>
      <c r="H126" s="1684">
        <f>G126*F126</f>
        <v>0</v>
      </c>
      <c r="I126" s="1678">
        <f>G126*F126/$H$78</f>
        <v>0</v>
      </c>
      <c r="J126" s="1555" t="s">
        <v>2331</v>
      </c>
      <c r="K126" s="1555" t="s">
        <v>1772</v>
      </c>
      <c r="L126" s="1555">
        <v>41019</v>
      </c>
      <c r="M126" s="1555" t="s">
        <v>9227</v>
      </c>
      <c r="N126" s="1565"/>
      <c r="P126" s="1721">
        <f>2.7*10</f>
        <v>27</v>
      </c>
      <c r="Q126" s="1721">
        <f>2.7*6</f>
        <v>16.200000000000003</v>
      </c>
      <c r="R126" s="1721">
        <f>2.7*6</f>
        <v>16.200000000000003</v>
      </c>
      <c r="T126" s="1721">
        <f>2.7*7</f>
        <v>18.900000000000002</v>
      </c>
    </row>
    <row r="127" spans="1:20" hidden="1">
      <c r="B127" s="1711"/>
      <c r="C127" s="1601"/>
      <c r="D127" s="1601"/>
      <c r="E127" s="1602"/>
      <c r="F127" s="1625"/>
      <c r="G127" s="1603"/>
      <c r="H127" s="1692"/>
      <c r="I127" s="1604"/>
      <c r="J127" s="1602"/>
      <c r="K127" s="1602"/>
      <c r="L127" s="1602"/>
      <c r="M127" s="1602"/>
      <c r="N127" s="1605"/>
    </row>
    <row r="128" spans="1:20" hidden="1">
      <c r="B128" s="1716" t="s">
        <v>1218</v>
      </c>
      <c r="C128" s="1859" t="s">
        <v>9256</v>
      </c>
      <c r="D128" s="1859"/>
      <c r="E128" s="1595"/>
      <c r="F128" s="1623"/>
      <c r="G128" s="1596"/>
      <c r="H128" s="1690"/>
      <c r="I128" s="1597"/>
      <c r="J128" s="1595"/>
      <c r="K128" s="1595"/>
      <c r="L128" s="1595"/>
      <c r="M128" s="1595"/>
      <c r="N128" s="1598"/>
    </row>
    <row r="129" spans="1:20" ht="41.4" hidden="1" customHeight="1">
      <c r="A129" s="1545">
        <v>8</v>
      </c>
      <c r="B129" s="1706">
        <v>1</v>
      </c>
      <c r="C129" s="1855" t="s">
        <v>6483</v>
      </c>
      <c r="D129" s="1856"/>
      <c r="E129" s="1555" t="s">
        <v>65</v>
      </c>
      <c r="F129" s="1620"/>
      <c r="G129" s="1556">
        <f>VLOOKUP(C129,'AHSP MCK'!D:K,8,FALSE)</f>
        <v>15900</v>
      </c>
      <c r="H129" s="1684">
        <f t="shared" ref="H129" si="15">G129*F129</f>
        <v>0</v>
      </c>
      <c r="I129" s="1678">
        <f t="shared" ref="I129" si="16">G129*F129/$H$78</f>
        <v>0</v>
      </c>
      <c r="J129" s="1555" t="s">
        <v>2228</v>
      </c>
      <c r="K129" s="1555" t="s">
        <v>1772</v>
      </c>
      <c r="L129" s="1555">
        <v>41019</v>
      </c>
      <c r="M129" s="1555" t="s">
        <v>9227</v>
      </c>
      <c r="N129" s="1565"/>
    </row>
    <row r="130" spans="1:20" ht="27.6" hidden="1" customHeight="1">
      <c r="A130" s="1545">
        <v>12</v>
      </c>
      <c r="B130" s="1706">
        <v>2</v>
      </c>
      <c r="C130" s="1855" t="s">
        <v>1305</v>
      </c>
      <c r="D130" s="1856"/>
      <c r="E130" s="1555" t="s">
        <v>9291</v>
      </c>
      <c r="F130" s="1620"/>
      <c r="G130" s="1556">
        <f>VLOOKUP(C130,'AHSP MCK'!D:K,8,FALSE)</f>
        <v>223000</v>
      </c>
      <c r="H130" s="1684">
        <f>G130*F130</f>
        <v>0</v>
      </c>
      <c r="I130" s="1678">
        <f>G130*F130/$H$78</f>
        <v>0</v>
      </c>
      <c r="J130" s="1555" t="s">
        <v>2252</v>
      </c>
      <c r="K130" s="1555" t="s">
        <v>1772</v>
      </c>
      <c r="L130" s="1555">
        <v>41019</v>
      </c>
      <c r="M130" s="1555" t="s">
        <v>9227</v>
      </c>
      <c r="N130" s="1565"/>
    </row>
    <row r="131" spans="1:20" ht="41.4" hidden="1" customHeight="1">
      <c r="A131" s="1545">
        <v>14</v>
      </c>
      <c r="B131" s="1706">
        <v>3</v>
      </c>
      <c r="C131" s="1855" t="s">
        <v>2272</v>
      </c>
      <c r="D131" s="1856"/>
      <c r="E131" s="1555" t="s">
        <v>120</v>
      </c>
      <c r="F131" s="1620"/>
      <c r="G131" s="1556">
        <f>VLOOKUP(C131,'AHSP MCK'!D:K,8,FALSE)</f>
        <v>1291800</v>
      </c>
      <c r="H131" s="1684">
        <f t="shared" ref="H131" si="17">G131*F131</f>
        <v>0</v>
      </c>
      <c r="I131" s="1678">
        <f t="shared" ref="I131:I132" si="18">G131*F131/$H$78</f>
        <v>0</v>
      </c>
      <c r="J131" s="1555" t="s">
        <v>2271</v>
      </c>
      <c r="K131" s="1555" t="s">
        <v>1772</v>
      </c>
      <c r="L131" s="1555">
        <v>41019</v>
      </c>
      <c r="M131" s="1555" t="s">
        <v>9227</v>
      </c>
      <c r="N131" s="1565"/>
    </row>
    <row r="132" spans="1:20" ht="30.6" hidden="1" customHeight="1">
      <c r="A132" s="1545">
        <v>16</v>
      </c>
      <c r="B132" s="1706">
        <v>1</v>
      </c>
      <c r="C132" s="1855" t="s">
        <v>1318</v>
      </c>
      <c r="D132" s="1856"/>
      <c r="E132" s="1555" t="s">
        <v>113</v>
      </c>
      <c r="F132" s="1620"/>
      <c r="G132" s="1556">
        <f>VLOOKUP(C132,'AHSP MCK'!D:K,8,FALSE)</f>
        <v>147800</v>
      </c>
      <c r="H132" s="1684"/>
      <c r="I132" s="1678">
        <f t="shared" si="18"/>
        <v>0</v>
      </c>
      <c r="J132" s="1555" t="s">
        <v>2333</v>
      </c>
      <c r="K132" s="1555" t="s">
        <v>1772</v>
      </c>
      <c r="L132" s="1555">
        <v>41019</v>
      </c>
      <c r="M132" s="1555" t="s">
        <v>9227</v>
      </c>
      <c r="N132" s="1565"/>
      <c r="P132" s="1721">
        <f>(5.55*2)+(1.9*5)</f>
        <v>20.6</v>
      </c>
      <c r="Q132" s="1721">
        <f>(2.85*2)+(2.23*3)</f>
        <v>12.39</v>
      </c>
      <c r="R132" s="1721">
        <f>(2.85*2)+(1.9*3)</f>
        <v>11.399999999999999</v>
      </c>
      <c r="T132" s="1721">
        <f>(4.15*2)+1.35+0.65+2.15</f>
        <v>12.450000000000001</v>
      </c>
    </row>
    <row r="133" spans="1:20" hidden="1">
      <c r="B133" s="1711"/>
      <c r="C133" s="1601"/>
      <c r="D133" s="1601"/>
      <c r="E133" s="1602"/>
      <c r="F133" s="1625"/>
      <c r="G133" s="1603"/>
      <c r="H133" s="1692"/>
      <c r="I133" s="1604"/>
      <c r="J133" s="1602"/>
      <c r="K133" s="1602"/>
      <c r="L133" s="1602"/>
      <c r="M133" s="1602"/>
      <c r="N133" s="1605"/>
    </row>
    <row r="134" spans="1:20" hidden="1">
      <c r="B134" s="1716" t="s">
        <v>1220</v>
      </c>
      <c r="C134" s="1859" t="s">
        <v>9257</v>
      </c>
      <c r="D134" s="1859"/>
      <c r="E134" s="1595"/>
      <c r="F134" s="1623"/>
      <c r="G134" s="1596"/>
      <c r="H134" s="1690"/>
      <c r="I134" s="1597"/>
      <c r="J134" s="1595"/>
      <c r="K134" s="1595"/>
      <c r="L134" s="1595"/>
      <c r="M134" s="1595"/>
      <c r="N134" s="1598"/>
    </row>
    <row r="135" spans="1:20" hidden="1">
      <c r="B135" s="1706">
        <v>1</v>
      </c>
      <c r="C135" s="1855" t="s">
        <v>6470</v>
      </c>
      <c r="D135" s="1856"/>
      <c r="E135" s="1555" t="s">
        <v>65</v>
      </c>
      <c r="F135" s="1620"/>
      <c r="G135" s="1556">
        <f>VLOOKUP(C135,'AHSP MCK'!D:K,8,FALSE)</f>
        <v>17100</v>
      </c>
      <c r="H135" s="1684">
        <f t="shared" si="3"/>
        <v>0</v>
      </c>
      <c r="I135" s="1678">
        <f>G135*F135/$H$78</f>
        <v>0</v>
      </c>
      <c r="J135" s="1555" t="s">
        <v>2225</v>
      </c>
      <c r="K135" s="1555" t="s">
        <v>1772</v>
      </c>
      <c r="L135" s="1555">
        <v>41019</v>
      </c>
      <c r="M135" s="1555" t="s">
        <v>9227</v>
      </c>
      <c r="N135" s="1565"/>
      <c r="P135" s="1721">
        <v>25.67</v>
      </c>
      <c r="Q135" s="1721">
        <v>18.170000000000002</v>
      </c>
      <c r="R135" s="1721">
        <v>18.170000000000002</v>
      </c>
      <c r="T135" s="1721">
        <v>26.47</v>
      </c>
    </row>
    <row r="136" spans="1:20" hidden="1">
      <c r="A136" s="1545">
        <v>13</v>
      </c>
      <c r="B136" s="1706">
        <v>2</v>
      </c>
      <c r="C136" s="1855" t="s">
        <v>1306</v>
      </c>
      <c r="D136" s="1856"/>
      <c r="E136" s="1555" t="s">
        <v>9291</v>
      </c>
      <c r="F136" s="1620"/>
      <c r="G136" s="1556">
        <f>VLOOKUP(C136,'AHSP MCK'!D:K,8,FALSE)</f>
        <v>225000</v>
      </c>
      <c r="H136" s="1684">
        <f t="shared" si="3"/>
        <v>0</v>
      </c>
      <c r="I136" s="1678">
        <f>G136*F136/$H$78</f>
        <v>0</v>
      </c>
      <c r="J136" s="1555" t="s">
        <v>2253</v>
      </c>
      <c r="K136" s="1555" t="s">
        <v>1772</v>
      </c>
      <c r="L136" s="1555">
        <v>41019</v>
      </c>
      <c r="M136" s="1555" t="s">
        <v>9227</v>
      </c>
      <c r="N136" s="1565"/>
      <c r="P136" s="1721">
        <f>6.55*3.03</f>
        <v>19.846499999999999</v>
      </c>
      <c r="Q136" s="1721">
        <f>2.85*2.9</f>
        <v>8.2650000000000006</v>
      </c>
      <c r="R136" s="1721">
        <f>2.85*2.9</f>
        <v>8.2650000000000006</v>
      </c>
      <c r="T136" s="1721">
        <f>(4.65*2)+(0.65*2.65)</f>
        <v>11.022500000000001</v>
      </c>
    </row>
    <row r="137" spans="1:20" hidden="1">
      <c r="A137" s="1545">
        <v>14</v>
      </c>
      <c r="B137" s="1706">
        <v>3</v>
      </c>
      <c r="C137" s="1855" t="s">
        <v>2272</v>
      </c>
      <c r="D137" s="1856"/>
      <c r="E137" s="1555" t="s">
        <v>120</v>
      </c>
      <c r="F137" s="1620"/>
      <c r="G137" s="1556">
        <f>VLOOKUP(C137,'AHSP MCK'!D:K,8,FALSE)</f>
        <v>1291800</v>
      </c>
      <c r="H137" s="1684">
        <f t="shared" si="3"/>
        <v>0</v>
      </c>
      <c r="I137" s="1678">
        <f>G137*F137/$H$78</f>
        <v>0</v>
      </c>
      <c r="J137" s="1555" t="s">
        <v>2271</v>
      </c>
      <c r="K137" s="1555" t="s">
        <v>1772</v>
      </c>
      <c r="L137" s="1555">
        <v>41019</v>
      </c>
      <c r="M137" s="1555" t="s">
        <v>9227</v>
      </c>
      <c r="N137" s="1565"/>
      <c r="P137" s="1721">
        <f>6.55*3.03*0.1</f>
        <v>1.98465</v>
      </c>
      <c r="Q137" s="1721">
        <f>2.85*2.9*0.1</f>
        <v>0.82650000000000012</v>
      </c>
      <c r="R137" s="1721">
        <f>2.85*2.9*0.1</f>
        <v>0.82650000000000012</v>
      </c>
      <c r="T137" s="1721">
        <f>((4.65*2)+(2.65*0.65))*0.1</f>
        <v>1.1022500000000002</v>
      </c>
    </row>
    <row r="138" spans="1:20" hidden="1">
      <c r="B138" s="1711"/>
      <c r="C138" s="1601"/>
      <c r="D138" s="1601"/>
      <c r="E138" s="1602"/>
      <c r="F138" s="1625"/>
      <c r="G138" s="1603"/>
      <c r="H138" s="1692"/>
      <c r="I138" s="1678"/>
      <c r="J138" s="1555"/>
      <c r="K138" s="1555"/>
      <c r="L138" s="1555"/>
      <c r="M138" s="1555"/>
      <c r="N138" s="1565"/>
    </row>
    <row r="139" spans="1:20" hidden="1">
      <c r="B139" s="1716" t="s">
        <v>1221</v>
      </c>
      <c r="C139" s="1859" t="s">
        <v>9298</v>
      </c>
      <c r="D139" s="1859"/>
      <c r="E139" s="1595"/>
      <c r="F139" s="1623"/>
      <c r="G139" s="1596"/>
      <c r="H139" s="1690"/>
      <c r="I139" s="1597"/>
      <c r="J139" s="1595"/>
      <c r="K139" s="1595"/>
      <c r="L139" s="1595"/>
      <c r="M139" s="1595"/>
      <c r="N139" s="1598"/>
    </row>
    <row r="140" spans="1:20" ht="34.200000000000003" hidden="1" customHeight="1">
      <c r="A140" s="1545">
        <v>8</v>
      </c>
      <c r="B140" s="1706">
        <v>1</v>
      </c>
      <c r="C140" s="1855" t="s">
        <v>9300</v>
      </c>
      <c r="D140" s="1856"/>
      <c r="E140" s="1555" t="s">
        <v>65</v>
      </c>
      <c r="F140" s="1620"/>
      <c r="G140" s="1556">
        <f>VLOOKUP(C140,'AHSP MCK'!D:K,8,FALSE)</f>
        <v>17400</v>
      </c>
      <c r="H140" s="1684">
        <f t="shared" ref="H140" si="19">G140*F140</f>
        <v>0</v>
      </c>
      <c r="I140" s="1678">
        <f t="shared" ref="I140" si="20">G140*F140/$H$78</f>
        <v>0</v>
      </c>
      <c r="J140" s="1555" t="s">
        <v>2228</v>
      </c>
      <c r="K140" s="1555" t="s">
        <v>1772</v>
      </c>
      <c r="L140" s="1555">
        <v>41019</v>
      </c>
      <c r="M140" s="1555" t="s">
        <v>9227</v>
      </c>
      <c r="N140" s="1565"/>
      <c r="O140" s="1551"/>
    </row>
    <row r="141" spans="1:20" ht="34.200000000000003" hidden="1" customHeight="1">
      <c r="A141" s="1545">
        <v>9</v>
      </c>
      <c r="B141" s="1706">
        <v>2</v>
      </c>
      <c r="C141" s="1855" t="s">
        <v>9299</v>
      </c>
      <c r="D141" s="1856"/>
      <c r="E141" s="1555" t="s">
        <v>9291</v>
      </c>
      <c r="F141" s="1620"/>
      <c r="G141" s="1556">
        <f>VLOOKUP(C141,'AHSP MCK'!D:K,8,FALSE)</f>
        <v>196200</v>
      </c>
      <c r="H141" s="1684">
        <f>G141*F141</f>
        <v>0</v>
      </c>
      <c r="I141" s="1678">
        <f>G141*F141/$H$78</f>
        <v>0</v>
      </c>
      <c r="J141" s="1555" t="s">
        <v>2248</v>
      </c>
      <c r="K141" s="1555" t="s">
        <v>1772</v>
      </c>
      <c r="L141" s="1555">
        <v>41019</v>
      </c>
      <c r="M141" s="1555" t="s">
        <v>9227</v>
      </c>
      <c r="N141" s="1565"/>
    </row>
    <row r="142" spans="1:20" ht="43.8" hidden="1" customHeight="1">
      <c r="A142" s="1545">
        <v>14</v>
      </c>
      <c r="B142" s="1706">
        <v>3</v>
      </c>
      <c r="C142" s="1855" t="s">
        <v>2272</v>
      </c>
      <c r="D142" s="1856"/>
      <c r="E142" s="1555" t="s">
        <v>120</v>
      </c>
      <c r="F142" s="1620"/>
      <c r="G142" s="1556">
        <f>VLOOKUP(C142,'AHSP MCK'!D:K,8,FALSE)</f>
        <v>1291800</v>
      </c>
      <c r="H142" s="1684">
        <f t="shared" ref="H142" si="21">G142*F142</f>
        <v>0</v>
      </c>
      <c r="I142" s="1678">
        <f t="shared" ref="I142" si="22">G142*F142/$H$78</f>
        <v>0</v>
      </c>
      <c r="J142" s="1555" t="s">
        <v>2271</v>
      </c>
      <c r="K142" s="1555" t="s">
        <v>1772</v>
      </c>
      <c r="L142" s="1555">
        <v>41019</v>
      </c>
      <c r="M142" s="1555" t="s">
        <v>9227</v>
      </c>
      <c r="N142" s="1565"/>
    </row>
    <row r="143" spans="1:20" ht="34.200000000000003" hidden="1" customHeight="1">
      <c r="B143" s="1706">
        <v>4</v>
      </c>
      <c r="C143" s="1855" t="s">
        <v>9228</v>
      </c>
      <c r="D143" s="1856"/>
      <c r="E143" s="1555" t="s">
        <v>120</v>
      </c>
      <c r="F143" s="1620"/>
      <c r="G143" s="1556"/>
      <c r="H143" s="1684">
        <f t="shared" si="3"/>
        <v>0</v>
      </c>
      <c r="I143" s="1678">
        <f>G143*F143/$H$78</f>
        <v>0</v>
      </c>
      <c r="J143" s="1555"/>
      <c r="K143" s="1555"/>
      <c r="L143" s="1555"/>
      <c r="M143" s="1555"/>
      <c r="N143" s="1565"/>
      <c r="P143" s="1721">
        <f>0.3*0.08*(6.55+3.03+3.03)</f>
        <v>0.30264000000000002</v>
      </c>
      <c r="Q143" s="1721">
        <f>0.3*0.08*(2.9+2.9+3.85)</f>
        <v>0.2316</v>
      </c>
      <c r="R143" s="1721">
        <f>0.3*0.08*(2.9+2.9+3.85)</f>
        <v>0.2316</v>
      </c>
    </row>
    <row r="144" spans="1:20" hidden="1">
      <c r="B144" s="1708"/>
      <c r="C144" s="1575"/>
      <c r="D144" s="1575"/>
      <c r="E144" s="1576"/>
      <c r="F144" s="1621"/>
      <c r="G144" s="1577"/>
      <c r="H144" s="1685"/>
      <c r="I144" s="1578"/>
      <c r="J144" s="1576"/>
      <c r="K144" s="1576"/>
      <c r="L144" s="1576"/>
      <c r="M144" s="1576"/>
      <c r="N144" s="1579"/>
    </row>
    <row r="145" spans="1:20" hidden="1">
      <c r="B145" s="1714"/>
      <c r="C145" s="1858" t="s">
        <v>9274</v>
      </c>
      <c r="D145" s="1858"/>
      <c r="E145" s="1858"/>
      <c r="F145" s="1858"/>
      <c r="G145" s="1858"/>
      <c r="H145" s="1686">
        <f>SUM(H111:H143)</f>
        <v>0</v>
      </c>
      <c r="I145" s="1567"/>
      <c r="J145" s="1547"/>
      <c r="K145" s="1547"/>
      <c r="L145" s="1547"/>
      <c r="N145" s="1568"/>
    </row>
    <row r="146" spans="1:20" hidden="1">
      <c r="B146" s="1715"/>
      <c r="C146" s="1590"/>
      <c r="D146" s="1638"/>
      <c r="E146" s="1591"/>
      <c r="F146" s="1622"/>
      <c r="G146" s="1592"/>
      <c r="H146" s="1687"/>
      <c r="I146" s="1679"/>
      <c r="J146" s="1591"/>
      <c r="K146" s="1591"/>
      <c r="L146" s="1591"/>
      <c r="M146" s="1591"/>
      <c r="N146" s="1593"/>
    </row>
    <row r="147" spans="1:20">
      <c r="B147" s="1716" t="s">
        <v>1201</v>
      </c>
      <c r="C147" s="1859" t="s">
        <v>9258</v>
      </c>
      <c r="D147" s="1859"/>
      <c r="E147" s="1595"/>
      <c r="F147" s="1623"/>
      <c r="G147" s="1596"/>
      <c r="H147" s="1690"/>
      <c r="I147" s="1597"/>
      <c r="J147" s="1595"/>
      <c r="K147" s="1595"/>
      <c r="L147" s="1595"/>
      <c r="M147" s="1595"/>
      <c r="N147" s="1598"/>
    </row>
    <row r="148" spans="1:20" ht="31.2" customHeight="1">
      <c r="A148" s="1545">
        <v>25</v>
      </c>
      <c r="B148" s="1706">
        <v>1</v>
      </c>
      <c r="C148" s="1855" t="s">
        <v>1351</v>
      </c>
      <c r="D148" s="1856"/>
      <c r="E148" s="1555" t="s">
        <v>9291</v>
      </c>
      <c r="F148" s="1620">
        <f>(0.45*0.65)+(0.5*0.3*1.05*2)</f>
        <v>0.60750000000000004</v>
      </c>
      <c r="G148" s="1556">
        <f>VLOOKUP(C148,'AHSP MCK'!D:K,8,FALSE)</f>
        <v>97900</v>
      </c>
      <c r="H148" s="1684">
        <f>G148*F148</f>
        <v>59474.250000000007</v>
      </c>
      <c r="I148" s="1678">
        <f>G148*F148/$H$78</f>
        <v>2.9396097797558308E-3</v>
      </c>
      <c r="J148" s="1561" t="s">
        <v>2772</v>
      </c>
      <c r="K148" s="1555" t="s">
        <v>1772</v>
      </c>
      <c r="L148" s="1555">
        <v>41019</v>
      </c>
      <c r="M148" s="1555" t="s">
        <v>9227</v>
      </c>
      <c r="N148" s="1565"/>
      <c r="P148" s="1721">
        <f>(2.7*((1.2*6)+(1.6*4)))+(1.5*(1.2+1.6))-(2*0.7)-(0.2*0.2*18)</f>
        <v>38.800000000000004</v>
      </c>
      <c r="Q148" s="1721">
        <f>(2.7*((1.2*4)+(1.93*3)))-(0.2*0.2*6*2)-(0.7*2*2)</f>
        <v>25.312999999999999</v>
      </c>
      <c r="R148" s="1721">
        <f>(2.7*((1.2*4)+(1.9*3)))-(0.2*0.2*6*2)-(0.7*2*2)</f>
        <v>25.07</v>
      </c>
      <c r="T148" s="1721">
        <f>(2.7*(2+2+1.35+2+0.65+2))-(0.2*0.2*6)-(2*0.7)</f>
        <v>25.360000000000003</v>
      </c>
    </row>
    <row r="149" spans="1:20" ht="31.2" customHeight="1">
      <c r="A149" s="1545">
        <v>26</v>
      </c>
      <c r="B149" s="1706">
        <v>2</v>
      </c>
      <c r="C149" s="1855" t="s">
        <v>1381</v>
      </c>
      <c r="D149" s="1856"/>
      <c r="E149" s="1555" t="s">
        <v>9291</v>
      </c>
      <c r="F149" s="1620">
        <f>F148+(0.5*0.3*1.05*2)</f>
        <v>0.9225000000000001</v>
      </c>
      <c r="G149" s="1556">
        <f>VLOOKUP(C149,'AHSP MCK'!D:K,8,FALSE)</f>
        <v>56600</v>
      </c>
      <c r="H149" s="1684">
        <f>G149*F149</f>
        <v>52213.500000000007</v>
      </c>
      <c r="I149" s="1678">
        <f>G149*F149/$H$78</f>
        <v>2.5807356164269592E-3</v>
      </c>
      <c r="J149" s="1561" t="s">
        <v>2789</v>
      </c>
      <c r="K149" s="1555" t="s">
        <v>1772</v>
      </c>
      <c r="L149" s="1555">
        <v>41019</v>
      </c>
      <c r="M149" s="1555" t="s">
        <v>9227</v>
      </c>
      <c r="N149" s="1565"/>
      <c r="P149" s="1721">
        <f>(P148*2)-P158</f>
        <v>51.350000000000009</v>
      </c>
      <c r="Q149" s="1721">
        <f>(Q148*2)-Q158</f>
        <v>33.945999999999998</v>
      </c>
      <c r="R149" s="1721">
        <f>(R148*2)-R158</f>
        <v>33.64</v>
      </c>
      <c r="T149" s="1721">
        <f>(T148*2)-T158</f>
        <v>38.720000000000006</v>
      </c>
    </row>
    <row r="150" spans="1:20" ht="18" customHeight="1">
      <c r="A150" s="1545">
        <v>27</v>
      </c>
      <c r="B150" s="1706">
        <v>3</v>
      </c>
      <c r="C150" s="1855" t="s">
        <v>1384</v>
      </c>
      <c r="D150" s="1856"/>
      <c r="E150" s="1555" t="s">
        <v>9291</v>
      </c>
      <c r="F150" s="1620">
        <f>F149</f>
        <v>0.9225000000000001</v>
      </c>
      <c r="G150" s="1556">
        <f>VLOOKUP(C150,'AHSP MCK'!D:K,8,FALSE)</f>
        <v>44500</v>
      </c>
      <c r="H150" s="1684">
        <f>G150*F150</f>
        <v>41051.250000000007</v>
      </c>
      <c r="I150" s="1678">
        <f>G150*F150/$H$78</f>
        <v>2.0290235853533513E-3</v>
      </c>
      <c r="J150" s="1561" t="s">
        <v>2792</v>
      </c>
      <c r="K150" s="1555" t="s">
        <v>1772</v>
      </c>
      <c r="L150" s="1555">
        <v>41019</v>
      </c>
      <c r="M150" s="1555" t="s">
        <v>9227</v>
      </c>
      <c r="N150" s="1565"/>
      <c r="P150" s="1721">
        <f>P149</f>
        <v>51.350000000000009</v>
      </c>
      <c r="Q150" s="1721">
        <f>Q149</f>
        <v>33.945999999999998</v>
      </c>
      <c r="R150" s="1721">
        <f>R149</f>
        <v>33.64</v>
      </c>
      <c r="T150" s="1721">
        <f>T149</f>
        <v>38.720000000000006</v>
      </c>
    </row>
    <row r="151" spans="1:20" ht="43.8" customHeight="1">
      <c r="A151" s="1545">
        <v>24</v>
      </c>
      <c r="B151" s="1706">
        <v>4</v>
      </c>
      <c r="C151" s="1855" t="s">
        <v>2768</v>
      </c>
      <c r="D151" s="1856"/>
      <c r="E151" s="1555" t="s">
        <v>9291</v>
      </c>
      <c r="F151" s="1620">
        <f>0.2*0.2*3</f>
        <v>0.12000000000000002</v>
      </c>
      <c r="G151" s="1556">
        <f>VLOOKUP(C151,'AHSP MCK'!D:K,8,FALSE)</f>
        <v>229400</v>
      </c>
      <c r="H151" s="1684">
        <f>G151*F151</f>
        <v>27528.000000000004</v>
      </c>
      <c r="I151" s="1678">
        <f>G151*F151/$H$78</f>
        <v>1.3606153590355241E-3</v>
      </c>
      <c r="J151" s="1555" t="s">
        <v>2767</v>
      </c>
      <c r="K151" s="1555" t="s">
        <v>1772</v>
      </c>
      <c r="L151" s="1555">
        <v>41019</v>
      </c>
      <c r="M151" s="1555" t="s">
        <v>9227</v>
      </c>
      <c r="N151" s="1565"/>
      <c r="P151" s="1721">
        <f>0.2*0.2*4</f>
        <v>0.16000000000000003</v>
      </c>
      <c r="Q151" s="1721">
        <f>0.2*0.2*4*2</f>
        <v>0.32000000000000006</v>
      </c>
      <c r="R151" s="1721">
        <f>0.2*0.2*4*2</f>
        <v>0.32000000000000006</v>
      </c>
      <c r="T151" s="1721">
        <f>0.2*0.2*3</f>
        <v>0.12000000000000002</v>
      </c>
    </row>
    <row r="152" spans="1:20" ht="31.2" customHeight="1">
      <c r="A152" s="1545">
        <v>23</v>
      </c>
      <c r="B152" s="1706">
        <v>5</v>
      </c>
      <c r="C152" s="1855" t="s">
        <v>1350</v>
      </c>
      <c r="D152" s="1856"/>
      <c r="E152" s="1555" t="s">
        <v>9291</v>
      </c>
      <c r="F152" s="1620">
        <f>0.2*0.2*3</f>
        <v>0.12000000000000002</v>
      </c>
      <c r="G152" s="1556">
        <f>VLOOKUP(C152,'AHSP MCK'!D:K,8,FALSE)</f>
        <v>145700</v>
      </c>
      <c r="H152" s="1684">
        <f>G152*F152</f>
        <v>17484.000000000004</v>
      </c>
      <c r="I152" s="1678">
        <f>G152*F152/$H$78</f>
        <v>8.6417461992796801E-4</v>
      </c>
      <c r="J152" s="1555" t="s">
        <v>2766</v>
      </c>
      <c r="K152" s="1555" t="s">
        <v>1772</v>
      </c>
      <c r="L152" s="1555">
        <v>41019</v>
      </c>
      <c r="M152" s="1555" t="s">
        <v>9227</v>
      </c>
      <c r="N152" s="1565"/>
      <c r="P152" s="1721">
        <f>0.2*0.2*2</f>
        <v>8.0000000000000016E-2</v>
      </c>
      <c r="Q152" s="1721">
        <f>0.2*0.2*2</f>
        <v>8.0000000000000016E-2</v>
      </c>
      <c r="R152" s="1721">
        <f>0.2*0.2*2</f>
        <v>8.0000000000000016E-2</v>
      </c>
      <c r="T152" s="1721">
        <f>0.2*0.2*3</f>
        <v>0.12000000000000002</v>
      </c>
    </row>
    <row r="153" spans="1:20">
      <c r="B153" s="1708"/>
      <c r="C153" s="1575"/>
      <c r="D153" s="1575"/>
      <c r="E153" s="1576"/>
      <c r="F153" s="1621"/>
      <c r="G153" s="1577"/>
      <c r="H153" s="1685"/>
      <c r="I153" s="1578"/>
      <c r="J153" s="1576"/>
      <c r="K153" s="1576"/>
      <c r="L153" s="1576"/>
      <c r="M153" s="1576"/>
      <c r="N153" s="1579"/>
    </row>
    <row r="154" spans="1:20">
      <c r="B154" s="1714"/>
      <c r="C154" s="1858" t="s">
        <v>9274</v>
      </c>
      <c r="D154" s="1858"/>
      <c r="E154" s="1858"/>
      <c r="F154" s="1858"/>
      <c r="G154" s="1858"/>
      <c r="H154" s="1686">
        <f>SUM(H148:H152)</f>
        <v>197751.00000000003</v>
      </c>
      <c r="I154" s="1567"/>
      <c r="J154" s="1547"/>
      <c r="K154" s="1547"/>
      <c r="L154" s="1547"/>
      <c r="N154" s="1568"/>
    </row>
    <row r="155" spans="1:20">
      <c r="B155" s="1715"/>
      <c r="C155" s="1607"/>
      <c r="D155" s="1770"/>
      <c r="E155" s="1591"/>
      <c r="F155" s="1622"/>
      <c r="G155" s="1592"/>
      <c r="H155" s="1687"/>
      <c r="I155" s="1679"/>
      <c r="J155" s="1591"/>
      <c r="K155" s="1591"/>
      <c r="L155" s="1591"/>
      <c r="M155" s="1591"/>
      <c r="N155" s="1593"/>
    </row>
    <row r="156" spans="1:20">
      <c r="B156" s="1716" t="s">
        <v>1209</v>
      </c>
      <c r="C156" s="1864" t="s">
        <v>9259</v>
      </c>
      <c r="D156" s="1864"/>
      <c r="E156" s="1595"/>
      <c r="F156" s="1623"/>
      <c r="G156" s="1596"/>
      <c r="H156" s="1690"/>
      <c r="I156" s="1597"/>
      <c r="J156" s="1595"/>
      <c r="K156" s="1595"/>
      <c r="L156" s="1595"/>
      <c r="M156" s="1595"/>
      <c r="N156" s="1598"/>
    </row>
    <row r="157" spans="1:20" ht="30.6" customHeight="1">
      <c r="A157" s="1545">
        <v>30</v>
      </c>
      <c r="B157" s="1706">
        <v>1</v>
      </c>
      <c r="C157" s="1855" t="s">
        <v>1442</v>
      </c>
      <c r="D157" s="1856"/>
      <c r="E157" s="1555" t="s">
        <v>9291</v>
      </c>
      <c r="F157" s="1620">
        <f>(1.52*1.05)+(0.9*5)</f>
        <v>6.0960000000000001</v>
      </c>
      <c r="G157" s="1556">
        <f>VLOOKUP(C157,'AHSP MCK'!D:K,8,FALSE)</f>
        <v>267900</v>
      </c>
      <c r="H157" s="1684">
        <f>G157*F157</f>
        <v>1633118.4</v>
      </c>
      <c r="I157" s="1678">
        <f>G157*F157/$H$78</f>
        <v>8.0719484821400761E-2</v>
      </c>
      <c r="J157" s="1561" t="s">
        <v>2925</v>
      </c>
      <c r="K157" s="1555" t="s">
        <v>1772</v>
      </c>
      <c r="L157" s="1555">
        <v>41019</v>
      </c>
      <c r="M157" s="1555" t="s">
        <v>9227</v>
      </c>
      <c r="N157" s="1565"/>
      <c r="P157" s="1721">
        <f>5.55*2.75</f>
        <v>15.262499999999999</v>
      </c>
      <c r="Q157" s="1721">
        <f>2.85*2.75</f>
        <v>7.8375000000000004</v>
      </c>
      <c r="R157" s="1721">
        <f>2.85*2.75</f>
        <v>7.8375000000000004</v>
      </c>
      <c r="T157" s="1721">
        <f>(4.15*1.35)+(0.65*2.15)</f>
        <v>7.0000000000000009</v>
      </c>
    </row>
    <row r="158" spans="1:20" ht="30.6" customHeight="1">
      <c r="A158" s="1545">
        <v>31</v>
      </c>
      <c r="B158" s="1706">
        <v>2</v>
      </c>
      <c r="C158" s="1855" t="s">
        <v>1467</v>
      </c>
      <c r="D158" s="1856"/>
      <c r="E158" s="1555" t="s">
        <v>9291</v>
      </c>
      <c r="F158" s="1620">
        <f>(2*((1.05*2)+(1.52*2)))-(2*0.7)</f>
        <v>8.8800000000000008</v>
      </c>
      <c r="G158" s="1556">
        <f>VLOOKUP(C158,'AHSP MCK'!D:K,8,FALSE)</f>
        <v>221300</v>
      </c>
      <c r="H158" s="1684">
        <f>G158*F158</f>
        <v>1965144.0000000002</v>
      </c>
      <c r="I158" s="1678">
        <f>G158*F158/$H$78</f>
        <v>9.713038030792305E-2</v>
      </c>
      <c r="J158" s="1555" t="s">
        <v>2979</v>
      </c>
      <c r="K158" s="1555" t="s">
        <v>1772</v>
      </c>
      <c r="L158" s="1555">
        <v>41019</v>
      </c>
      <c r="M158" s="1555" t="s">
        <v>9227</v>
      </c>
      <c r="N158" s="1565"/>
      <c r="P158" s="1721">
        <f>(1.5*((1.2*7)+(1.6*7)))-(1.5*0.7*3)</f>
        <v>26.250000000000004</v>
      </c>
      <c r="Q158" s="1721">
        <f>(1.5*((1.2*4)+(1.93*4)))-(1.5*0.7*2)</f>
        <v>16.68</v>
      </c>
      <c r="R158" s="1721">
        <f>(1.5*((1.2*4)+(1.9*4)))-(1.5*0.7*2)</f>
        <v>16.5</v>
      </c>
      <c r="T158" s="1721">
        <f>(1.5*(2+1.35+2+1.35+2))-(1.5*0.7)</f>
        <v>12</v>
      </c>
    </row>
    <row r="159" spans="1:20" ht="40.200000000000003" hidden="1" customHeight="1">
      <c r="A159" s="1545">
        <v>53</v>
      </c>
      <c r="B159" s="1706">
        <v>3</v>
      </c>
      <c r="C159" s="1855" t="s">
        <v>4442</v>
      </c>
      <c r="D159" s="1856"/>
      <c r="E159" s="1555" t="s">
        <v>120</v>
      </c>
      <c r="F159" s="1620"/>
      <c r="G159" s="1556">
        <f>VLOOKUP(C159,'AHSP MCK'!D:K,8,FALSE)</f>
        <v>1330200</v>
      </c>
      <c r="H159" s="1684">
        <f>G159*F159</f>
        <v>0</v>
      </c>
      <c r="I159" s="1678">
        <f>G159*F159/$H$78</f>
        <v>0</v>
      </c>
      <c r="J159" s="1555" t="s">
        <v>4441</v>
      </c>
      <c r="K159" s="1555" t="s">
        <v>1772</v>
      </c>
      <c r="L159" s="1555">
        <v>41019</v>
      </c>
      <c r="M159" s="1555" t="s">
        <v>9227</v>
      </c>
      <c r="N159" s="1565"/>
    </row>
    <row r="160" spans="1:20">
      <c r="B160" s="1708"/>
      <c r="C160" s="1575"/>
      <c r="D160" s="1575"/>
      <c r="E160" s="1576"/>
      <c r="F160" s="1621"/>
      <c r="G160" s="1577"/>
      <c r="H160" s="1685"/>
      <c r="I160" s="1578"/>
      <c r="J160" s="1576"/>
      <c r="K160" s="1576"/>
      <c r="L160" s="1576"/>
      <c r="M160" s="1576"/>
      <c r="N160" s="1579"/>
    </row>
    <row r="161" spans="1:20">
      <c r="B161" s="1714"/>
      <c r="C161" s="1858" t="s">
        <v>9274</v>
      </c>
      <c r="D161" s="1858"/>
      <c r="E161" s="1858"/>
      <c r="F161" s="1858"/>
      <c r="G161" s="1858"/>
      <c r="H161" s="1686">
        <f>SUM(H157:H159)</f>
        <v>3598262.4000000004</v>
      </c>
      <c r="I161" s="1567"/>
      <c r="J161" s="1547"/>
      <c r="K161" s="1547"/>
      <c r="L161" s="1547"/>
      <c r="N161" s="1568"/>
    </row>
    <row r="162" spans="1:20">
      <c r="B162" s="1715"/>
      <c r="C162" s="1590"/>
      <c r="D162" s="1638"/>
      <c r="E162" s="1591"/>
      <c r="F162" s="1622"/>
      <c r="G162" s="1592"/>
      <c r="H162" s="1687"/>
      <c r="I162" s="1679"/>
      <c r="J162" s="1591"/>
      <c r="K162" s="1591"/>
      <c r="L162" s="1591"/>
      <c r="M162" s="1591"/>
      <c r="N162" s="1593"/>
    </row>
    <row r="163" spans="1:20">
      <c r="B163" s="1716" t="s">
        <v>1215</v>
      </c>
      <c r="C163" s="1859" t="s">
        <v>9265</v>
      </c>
      <c r="D163" s="1859"/>
      <c r="E163" s="1595"/>
      <c r="F163" s="1623"/>
      <c r="G163" s="1596"/>
      <c r="H163" s="1690"/>
      <c r="I163" s="1597"/>
      <c r="J163" s="1595"/>
      <c r="K163" s="1595"/>
      <c r="L163" s="1595"/>
      <c r="M163" s="1595"/>
      <c r="N163" s="1598"/>
    </row>
    <row r="164" spans="1:20" ht="32.4" hidden="1" customHeight="1">
      <c r="A164" s="1545">
        <v>7</v>
      </c>
      <c r="B164" s="1706">
        <v>1</v>
      </c>
      <c r="C164" s="1855" t="s">
        <v>1322</v>
      </c>
      <c r="D164" s="1856"/>
      <c r="E164" s="1555" t="s">
        <v>9291</v>
      </c>
      <c r="F164" s="1620"/>
      <c r="G164" s="1556">
        <f>VLOOKUP(C164,'AHSP MCK'!D:K,8,FALSE)</f>
        <v>177400</v>
      </c>
      <c r="H164" s="1684">
        <f>G164*F164</f>
        <v>0</v>
      </c>
      <c r="I164" s="1678">
        <f>G164*F164/$H$78</f>
        <v>0</v>
      </c>
      <c r="J164" s="1555" t="s">
        <v>2200</v>
      </c>
      <c r="K164" s="1555" t="s">
        <v>1772</v>
      </c>
      <c r="L164" s="1555">
        <v>41019</v>
      </c>
      <c r="M164" s="1555" t="s">
        <v>9227</v>
      </c>
      <c r="N164" s="1565"/>
    </row>
    <row r="165" spans="1:20" ht="30" customHeight="1">
      <c r="A165" s="1545">
        <v>18</v>
      </c>
      <c r="B165" s="1706">
        <v>1</v>
      </c>
      <c r="C165" s="1855" t="s">
        <v>9320</v>
      </c>
      <c r="D165" s="1856"/>
      <c r="E165" s="1555" t="s">
        <v>9291</v>
      </c>
      <c r="F165" s="1620">
        <f>1.75*2.82</f>
        <v>4.9349999999999996</v>
      </c>
      <c r="G165" s="1556">
        <f>VLOOKUP(C165,'AHSP MCK'!D:K,8,FALSE)</f>
        <v>118500</v>
      </c>
      <c r="H165" s="1684">
        <f>G165*F165</f>
        <v>584797.5</v>
      </c>
      <c r="I165" s="1678">
        <f>G165*F165/$H$78</f>
        <v>2.8904550291542312E-2</v>
      </c>
      <c r="J165" s="1563" t="s">
        <v>2659</v>
      </c>
      <c r="K165" s="1555" t="s">
        <v>1772</v>
      </c>
      <c r="L165" s="1555">
        <v>41019</v>
      </c>
      <c r="M165" s="1555" t="s">
        <v>9227</v>
      </c>
      <c r="N165" s="1565"/>
    </row>
    <row r="166" spans="1:20" ht="32.4" hidden="1" customHeight="1">
      <c r="A166" s="1545">
        <v>19</v>
      </c>
      <c r="B166" s="1706">
        <v>3</v>
      </c>
      <c r="C166" s="1855" t="s">
        <v>1375</v>
      </c>
      <c r="D166" s="1856"/>
      <c r="E166" s="1555" t="s">
        <v>113</v>
      </c>
      <c r="F166" s="1620"/>
      <c r="G166" s="1556">
        <f>VLOOKUP(C166,'AHSP MCK'!D:K,8,FALSE)</f>
        <v>75600</v>
      </c>
      <c r="H166" s="1684">
        <f>G166*F166</f>
        <v>0</v>
      </c>
      <c r="I166" s="1678">
        <f>G166*F166/$H$78</f>
        <v>0</v>
      </c>
      <c r="J166" s="1561" t="s">
        <v>2690</v>
      </c>
      <c r="K166" s="1555" t="s">
        <v>1772</v>
      </c>
      <c r="L166" s="1555">
        <v>41019</v>
      </c>
      <c r="M166" s="1555" t="s">
        <v>9227</v>
      </c>
      <c r="N166" s="1565"/>
    </row>
    <row r="167" spans="1:20">
      <c r="B167" s="1708"/>
      <c r="C167" s="1575"/>
      <c r="D167" s="1575"/>
      <c r="E167" s="1576"/>
      <c r="F167" s="1621"/>
      <c r="G167" s="1577"/>
      <c r="H167" s="1685"/>
      <c r="I167" s="1578"/>
      <c r="J167" s="1608"/>
      <c r="K167" s="1576"/>
      <c r="L167" s="1576"/>
      <c r="M167" s="1576"/>
      <c r="N167" s="1579"/>
    </row>
    <row r="168" spans="1:20">
      <c r="B168" s="1714"/>
      <c r="C168" s="1858" t="s">
        <v>9274</v>
      </c>
      <c r="D168" s="1858"/>
      <c r="E168" s="1858"/>
      <c r="F168" s="1858"/>
      <c r="G168" s="1858"/>
      <c r="H168" s="1686">
        <f>SUM(H164:H166)</f>
        <v>584797.5</v>
      </c>
      <c r="I168" s="1567"/>
      <c r="J168" s="1547"/>
      <c r="K168" s="1547"/>
      <c r="L168" s="1547"/>
      <c r="N168" s="1568"/>
    </row>
    <row r="169" spans="1:20">
      <c r="B169" s="1715"/>
      <c r="C169" s="1590"/>
      <c r="D169" s="1638"/>
      <c r="E169" s="1591"/>
      <c r="F169" s="1622"/>
      <c r="G169" s="1592"/>
      <c r="H169" s="1687"/>
      <c r="I169" s="1679"/>
      <c r="J169" s="1591"/>
      <c r="K169" s="1591"/>
      <c r="L169" s="1591"/>
      <c r="M169" s="1591"/>
      <c r="N169" s="1593"/>
    </row>
    <row r="170" spans="1:20">
      <c r="B170" s="1716" t="s">
        <v>1218</v>
      </c>
      <c r="C170" s="1859" t="s">
        <v>9260</v>
      </c>
      <c r="D170" s="1859"/>
      <c r="E170" s="1595"/>
      <c r="F170" s="1623"/>
      <c r="G170" s="1596"/>
      <c r="H170" s="1690"/>
      <c r="I170" s="1597"/>
      <c r="J170" s="1595"/>
      <c r="K170" s="1595"/>
      <c r="L170" s="1595"/>
      <c r="M170" s="1595"/>
      <c r="N170" s="1598"/>
    </row>
    <row r="171" spans="1:20" ht="30" customHeight="1">
      <c r="A171" s="1545">
        <v>22</v>
      </c>
      <c r="B171" s="1706">
        <v>1</v>
      </c>
      <c r="C171" s="1855" t="s">
        <v>1399</v>
      </c>
      <c r="D171" s="1856"/>
      <c r="E171" s="1555" t="s">
        <v>9291</v>
      </c>
      <c r="F171" s="1620">
        <f>1.05*1.52</f>
        <v>1.5960000000000001</v>
      </c>
      <c r="G171" s="1556">
        <f>VLOOKUP(C171,'AHSP MCK'!D:K,8,FALSE)</f>
        <v>120400</v>
      </c>
      <c r="H171" s="1684">
        <f>G171*F171</f>
        <v>192158.40000000002</v>
      </c>
      <c r="I171" s="1678">
        <f>G171*F171/$H$78</f>
        <v>9.4977357747635799E-3</v>
      </c>
      <c r="J171" s="1561" t="s">
        <v>2737</v>
      </c>
      <c r="K171" s="1555" t="s">
        <v>1772</v>
      </c>
      <c r="L171" s="1555">
        <v>41019</v>
      </c>
      <c r="M171" s="1555" t="s">
        <v>9227</v>
      </c>
      <c r="N171" s="1565"/>
      <c r="P171" s="1721">
        <f>6.55*3.03</f>
        <v>19.846499999999999</v>
      </c>
      <c r="Q171" s="1721">
        <f>3.85*2.9</f>
        <v>11.164999999999999</v>
      </c>
      <c r="R171" s="1721">
        <f>3.85*2.9</f>
        <v>11.164999999999999</v>
      </c>
      <c r="T171" s="1721">
        <f>(4.15*1.35)+(2.15*0.65)</f>
        <v>7.0000000000000009</v>
      </c>
    </row>
    <row r="172" spans="1:20" ht="30" customHeight="1">
      <c r="A172" s="1545">
        <v>20</v>
      </c>
      <c r="B172" s="1706">
        <v>2</v>
      </c>
      <c r="C172" s="1855" t="s">
        <v>2716</v>
      </c>
      <c r="D172" s="1856"/>
      <c r="E172" s="1555" t="s">
        <v>9291</v>
      </c>
      <c r="F172" s="1620">
        <f>F171</f>
        <v>1.5960000000000001</v>
      </c>
      <c r="G172" s="1556">
        <f>VLOOKUP(C172,'AHSP MCK'!D:K,8,FALSE)</f>
        <v>73700</v>
      </c>
      <c r="H172" s="1684">
        <f>G172*F172</f>
        <v>117625.20000000001</v>
      </c>
      <c r="I172" s="1678">
        <f>G172*F172/$H$78</f>
        <v>5.8138133438544511E-3</v>
      </c>
      <c r="J172" s="1561" t="s">
        <v>2715</v>
      </c>
      <c r="K172" s="1555" t="s">
        <v>1772</v>
      </c>
      <c r="L172" s="1555">
        <v>41019</v>
      </c>
      <c r="M172" s="1555" t="s">
        <v>9227</v>
      </c>
      <c r="N172" s="1565"/>
      <c r="P172" s="1721">
        <f>P171</f>
        <v>19.846499999999999</v>
      </c>
      <c r="Q172" s="1721">
        <f>Q171</f>
        <v>11.164999999999999</v>
      </c>
      <c r="R172" s="1721">
        <f>R171</f>
        <v>11.164999999999999</v>
      </c>
      <c r="T172" s="1721">
        <f>T171</f>
        <v>7.0000000000000009</v>
      </c>
    </row>
    <row r="173" spans="1:20">
      <c r="A173" s="1545">
        <v>21</v>
      </c>
      <c r="B173" s="1706">
        <v>3</v>
      </c>
      <c r="C173" s="1855" t="s">
        <v>1397</v>
      </c>
      <c r="D173" s="1856"/>
      <c r="E173" s="1555" t="s">
        <v>113</v>
      </c>
      <c r="F173" s="1620">
        <f>(1.05*2)+(1.52*2)</f>
        <v>5.1400000000000006</v>
      </c>
      <c r="G173" s="1556">
        <f>VLOOKUP(C173,'AHSP MCK'!D:K,8,FALSE)</f>
        <v>21300</v>
      </c>
      <c r="H173" s="1684">
        <f>G173*F173</f>
        <v>109482.00000000001</v>
      </c>
      <c r="I173" s="1678">
        <f>G173*F173/$H$78</f>
        <v>5.4113226801048835E-3</v>
      </c>
      <c r="J173" s="1561" t="s">
        <v>2733</v>
      </c>
      <c r="K173" s="1555" t="s">
        <v>1772</v>
      </c>
      <c r="L173" s="1555">
        <v>41019</v>
      </c>
      <c r="M173" s="1555" t="s">
        <v>9227</v>
      </c>
      <c r="N173" s="1565"/>
      <c r="P173" s="1721">
        <f>(1.2*6)+(1.6*6)</f>
        <v>16.8</v>
      </c>
      <c r="Q173" s="1721">
        <f>(1.2*2)+(1.93*2)</f>
        <v>6.26</v>
      </c>
      <c r="R173" s="1721">
        <f>(1.2*2)+(1.9*2)</f>
        <v>6.1999999999999993</v>
      </c>
      <c r="T173" s="1721">
        <f>(2+1.35+2+1.35+2+2+2)</f>
        <v>12.7</v>
      </c>
    </row>
    <row r="174" spans="1:20">
      <c r="B174" s="1708"/>
      <c r="C174" s="1575"/>
      <c r="D174" s="1575"/>
      <c r="E174" s="1576"/>
      <c r="F174" s="1621"/>
      <c r="G174" s="1577"/>
      <c r="H174" s="1685"/>
      <c r="I174" s="1680"/>
      <c r="J174" s="1564"/>
      <c r="K174" s="1559"/>
      <c r="L174" s="1559"/>
      <c r="M174" s="1559"/>
      <c r="N174" s="1566"/>
    </row>
    <row r="175" spans="1:20">
      <c r="B175" s="1714"/>
      <c r="C175" s="1858" t="s">
        <v>9274</v>
      </c>
      <c r="D175" s="1858"/>
      <c r="E175" s="1858"/>
      <c r="F175" s="1858"/>
      <c r="G175" s="1858"/>
      <c r="H175" s="1686">
        <f>SUM(H171:H173)</f>
        <v>419265.60000000003</v>
      </c>
      <c r="I175" s="1567"/>
      <c r="J175" s="1547"/>
      <c r="K175" s="1547"/>
      <c r="L175" s="1547"/>
      <c r="N175" s="1568"/>
    </row>
    <row r="176" spans="1:20">
      <c r="B176" s="1715"/>
      <c r="C176" s="1590"/>
      <c r="D176" s="1638"/>
      <c r="E176" s="1591"/>
      <c r="F176" s="1622"/>
      <c r="G176" s="1592"/>
      <c r="H176" s="1687"/>
      <c r="I176" s="1679"/>
      <c r="J176" s="1609"/>
      <c r="K176" s="1591"/>
      <c r="L176" s="1591"/>
      <c r="M176" s="1591"/>
      <c r="N176" s="1593"/>
    </row>
    <row r="177" spans="1:20">
      <c r="B177" s="1716" t="s">
        <v>1220</v>
      </c>
      <c r="C177" s="1859" t="s">
        <v>9262</v>
      </c>
      <c r="D177" s="1859"/>
      <c r="E177" s="1595"/>
      <c r="F177" s="1623"/>
      <c r="G177" s="1596"/>
      <c r="H177" s="1690"/>
      <c r="I177" s="1597"/>
      <c r="J177" s="1610"/>
      <c r="K177" s="1595"/>
      <c r="L177" s="1595"/>
      <c r="M177" s="1595"/>
      <c r="N177" s="1598"/>
    </row>
    <row r="178" spans="1:20" ht="43.2" customHeight="1">
      <c r="A178" s="1545">
        <v>28</v>
      </c>
      <c r="B178" s="1706">
        <v>1</v>
      </c>
      <c r="C178" s="1855" t="s">
        <v>2817</v>
      </c>
      <c r="D178" s="1856"/>
      <c r="E178" s="1555" t="s">
        <v>9291</v>
      </c>
      <c r="F178" s="1620">
        <f>(2.1*(1.52+1.05+1.05))+(2.2*1.52)-(1.9*0.7)+(0.3*1.05*0.5*3)+(2.2*10)</f>
        <v>32.088500000000003</v>
      </c>
      <c r="G178" s="1556">
        <f>VLOOKUP(C178,'AHSP MCK'!D:K,8,FALSE)</f>
        <v>37500</v>
      </c>
      <c r="H178" s="1684">
        <f>G178*F178</f>
        <v>1203318.7500000002</v>
      </c>
      <c r="I178" s="1678">
        <f>G178*F178/$H$78</f>
        <v>5.9475950779767077E-2</v>
      </c>
      <c r="J178" s="1561" t="s">
        <v>2816</v>
      </c>
      <c r="K178" s="1555" t="s">
        <v>1772</v>
      </c>
      <c r="L178" s="1555">
        <v>41019</v>
      </c>
      <c r="M178" s="1555" t="s">
        <v>9227</v>
      </c>
      <c r="N178" s="1565"/>
      <c r="P178" s="1721">
        <f>P149</f>
        <v>51.350000000000009</v>
      </c>
      <c r="Q178" s="1721">
        <f>Q149</f>
        <v>33.945999999999998</v>
      </c>
      <c r="R178" s="1721">
        <f>R149</f>
        <v>33.64</v>
      </c>
      <c r="T178" s="1721">
        <f>T149</f>
        <v>38.720000000000006</v>
      </c>
    </row>
    <row r="179" spans="1:20" ht="43.2" customHeight="1">
      <c r="A179" s="1545">
        <v>29</v>
      </c>
      <c r="B179" s="1706">
        <v>2</v>
      </c>
      <c r="C179" s="1855" t="s">
        <v>2837</v>
      </c>
      <c r="D179" s="1856"/>
      <c r="E179" s="1555" t="s">
        <v>9291</v>
      </c>
      <c r="F179" s="1620">
        <f>1.05*1.52</f>
        <v>1.5960000000000001</v>
      </c>
      <c r="G179" s="1556">
        <f>VLOOKUP(C179,'AHSP MCK'!D:K,8,FALSE)</f>
        <v>32700</v>
      </c>
      <c r="H179" s="1684">
        <f>G179*F179</f>
        <v>52189.200000000004</v>
      </c>
      <c r="I179" s="1678">
        <f>G179*F179/$H$78</f>
        <v>2.5795345501226667E-3</v>
      </c>
      <c r="J179" s="1561" t="s">
        <v>2836</v>
      </c>
      <c r="K179" s="1555" t="s">
        <v>1772</v>
      </c>
      <c r="L179" s="1555">
        <v>41019</v>
      </c>
      <c r="M179" s="1555" t="s">
        <v>9227</v>
      </c>
      <c r="N179" s="1565"/>
      <c r="P179" s="1721">
        <f>P172</f>
        <v>19.846499999999999</v>
      </c>
      <c r="Q179" s="1721">
        <f>Q172</f>
        <v>11.164999999999999</v>
      </c>
      <c r="R179" s="1721">
        <f>R172</f>
        <v>11.164999999999999</v>
      </c>
      <c r="T179" s="1721">
        <f>T172</f>
        <v>7.0000000000000009</v>
      </c>
    </row>
    <row r="180" spans="1:20">
      <c r="B180" s="1708"/>
      <c r="C180" s="1575"/>
      <c r="D180" s="1575"/>
      <c r="E180" s="1576"/>
      <c r="F180" s="1621"/>
      <c r="G180" s="1577"/>
      <c r="H180" s="1685"/>
      <c r="I180" s="1578"/>
      <c r="J180" s="1608"/>
      <c r="K180" s="1576"/>
      <c r="L180" s="1576"/>
      <c r="M180" s="1576"/>
      <c r="N180" s="1579"/>
    </row>
    <row r="181" spans="1:20">
      <c r="B181" s="1714"/>
      <c r="C181" s="1858" t="s">
        <v>9274</v>
      </c>
      <c r="D181" s="1858"/>
      <c r="E181" s="1858"/>
      <c r="F181" s="1858"/>
      <c r="G181" s="1858"/>
      <c r="H181" s="1686">
        <f>SUM(H178:H179)</f>
        <v>1255507.9500000002</v>
      </c>
      <c r="I181" s="1567"/>
      <c r="J181" s="1547"/>
      <c r="K181" s="1547"/>
      <c r="L181" s="1547"/>
      <c r="N181" s="1568"/>
    </row>
    <row r="182" spans="1:20">
      <c r="B182" s="1715"/>
      <c r="C182" s="1590"/>
      <c r="D182" s="1638"/>
      <c r="E182" s="1591"/>
      <c r="F182" s="1622"/>
      <c r="G182" s="1592"/>
      <c r="H182" s="1687"/>
      <c r="I182" s="1679"/>
      <c r="J182" s="1609"/>
      <c r="K182" s="1591"/>
      <c r="L182" s="1591"/>
      <c r="M182" s="1591"/>
      <c r="N182" s="1593"/>
    </row>
    <row r="183" spans="1:20">
      <c r="B183" s="1716" t="s">
        <v>1221</v>
      </c>
      <c r="C183" s="1859" t="s">
        <v>9261</v>
      </c>
      <c r="D183" s="1859"/>
      <c r="E183" s="1595"/>
      <c r="F183" s="1623"/>
      <c r="G183" s="1596"/>
      <c r="H183" s="1690"/>
      <c r="I183" s="1597"/>
      <c r="J183" s="1610"/>
      <c r="K183" s="1595"/>
      <c r="L183" s="1595"/>
      <c r="M183" s="1595"/>
      <c r="N183" s="1598"/>
    </row>
    <row r="184" spans="1:20">
      <c r="A184" s="1545">
        <v>34</v>
      </c>
      <c r="B184" s="1706">
        <v>1</v>
      </c>
      <c r="C184" s="1855" t="s">
        <v>1560</v>
      </c>
      <c r="D184" s="1856"/>
      <c r="E184" s="1555" t="s">
        <v>775</v>
      </c>
      <c r="F184" s="1620">
        <v>1</v>
      </c>
      <c r="G184" s="1556">
        <f>VLOOKUP(C184,'AHSP MCK'!D:K,8,FALSE)</f>
        <v>569400</v>
      </c>
      <c r="H184" s="1684">
        <f t="shared" ref="H184:H194" si="23">G184*F184</f>
        <v>569400</v>
      </c>
      <c r="I184" s="1678">
        <f t="shared" ref="I184:I194" si="24">G184*F184/$H$78</f>
        <v>2.814350426601378E-2</v>
      </c>
      <c r="J184" s="1555" t="s">
        <v>3186</v>
      </c>
      <c r="K184" s="1555" t="s">
        <v>1772</v>
      </c>
      <c r="L184" s="1555">
        <v>41019</v>
      </c>
      <c r="M184" s="1555" t="s">
        <v>9227</v>
      </c>
      <c r="N184" s="1565"/>
      <c r="P184" s="1721">
        <v>3</v>
      </c>
      <c r="Q184" s="1721">
        <v>2</v>
      </c>
      <c r="R184" s="1721">
        <v>2</v>
      </c>
      <c r="T184" s="1721">
        <v>1</v>
      </c>
    </row>
    <row r="185" spans="1:20" ht="29.4" customHeight="1">
      <c r="A185" s="1545">
        <v>44</v>
      </c>
      <c r="B185" s="1706">
        <v>2</v>
      </c>
      <c r="C185" s="1855" t="s">
        <v>8066</v>
      </c>
      <c r="D185" s="1856"/>
      <c r="E185" s="1555" t="s">
        <v>113</v>
      </c>
      <c r="F185" s="1620">
        <v>8</v>
      </c>
      <c r="G185" s="1556">
        <f>VLOOKUP(C185,'AHSP MCK'!D:K,8,FALSE)</f>
        <v>30600</v>
      </c>
      <c r="H185" s="1684">
        <f t="shared" si="23"/>
        <v>244800</v>
      </c>
      <c r="I185" s="1678">
        <f t="shared" si="24"/>
        <v>1.2099630917316776E-2</v>
      </c>
      <c r="J185" s="1561" t="s">
        <v>3604</v>
      </c>
      <c r="K185" s="1555" t="s">
        <v>1772</v>
      </c>
      <c r="L185" s="1555">
        <v>41019</v>
      </c>
      <c r="M185" s="1555" t="s">
        <v>9227</v>
      </c>
      <c r="N185" s="1565"/>
      <c r="Q185" s="1721">
        <v>8</v>
      </c>
      <c r="R185" s="1721">
        <v>8</v>
      </c>
      <c r="T185" s="1721">
        <v>8</v>
      </c>
    </row>
    <row r="186" spans="1:20" ht="29.4" customHeight="1">
      <c r="A186" s="1545">
        <v>45</v>
      </c>
      <c r="B186" s="1706">
        <v>3</v>
      </c>
      <c r="C186" s="1855" t="s">
        <v>8065</v>
      </c>
      <c r="D186" s="1856"/>
      <c r="E186" s="1555" t="s">
        <v>113</v>
      </c>
      <c r="F186" s="1620">
        <v>16</v>
      </c>
      <c r="G186" s="1556">
        <f>VLOOKUP(C186,'AHSP MCK'!D:K,8,FALSE)</f>
        <v>34200</v>
      </c>
      <c r="H186" s="1684">
        <f t="shared" si="23"/>
        <v>547200</v>
      </c>
      <c r="I186" s="1678">
        <f t="shared" si="24"/>
        <v>2.7046233815178677E-2</v>
      </c>
      <c r="J186" s="1561" t="s">
        <v>3605</v>
      </c>
      <c r="K186" s="1555" t="s">
        <v>1772</v>
      </c>
      <c r="L186" s="1555">
        <v>41019</v>
      </c>
      <c r="M186" s="1555" t="s">
        <v>9227</v>
      </c>
      <c r="N186" s="1565"/>
      <c r="Q186" s="1721">
        <v>8</v>
      </c>
      <c r="R186" s="1721">
        <v>8</v>
      </c>
      <c r="T186" s="1721">
        <v>8</v>
      </c>
    </row>
    <row r="187" spans="1:20" ht="29.4" hidden="1" customHeight="1">
      <c r="A187" s="1545">
        <v>47</v>
      </c>
      <c r="B187" s="1706">
        <v>4</v>
      </c>
      <c r="C187" s="1855" t="s">
        <v>8073</v>
      </c>
      <c r="D187" s="1856"/>
      <c r="E187" s="1555" t="s">
        <v>113</v>
      </c>
      <c r="F187" s="1620"/>
      <c r="G187" s="1556">
        <f>VLOOKUP(C187,'AHSP MCK'!D:K,8,FALSE)</f>
        <v>175000</v>
      </c>
      <c r="H187" s="1684">
        <f t="shared" si="23"/>
        <v>0</v>
      </c>
      <c r="I187" s="1678">
        <f t="shared" si="24"/>
        <v>0</v>
      </c>
      <c r="J187" s="1561" t="s">
        <v>3609</v>
      </c>
      <c r="K187" s="1555" t="s">
        <v>1772</v>
      </c>
      <c r="L187" s="1555">
        <v>41019</v>
      </c>
      <c r="M187" s="1555" t="s">
        <v>9227</v>
      </c>
      <c r="N187" s="1565"/>
    </row>
    <row r="188" spans="1:20" ht="29.4" customHeight="1">
      <c r="A188" s="1545">
        <v>48</v>
      </c>
      <c r="B188" s="1706">
        <v>4</v>
      </c>
      <c r="C188" s="1855" t="s">
        <v>8077</v>
      </c>
      <c r="D188" s="1856"/>
      <c r="E188" s="1555" t="s">
        <v>113</v>
      </c>
      <c r="F188" s="1620">
        <v>8</v>
      </c>
      <c r="G188" s="1556">
        <f>VLOOKUP(C188,'AHSP MCK'!D:K,8,FALSE)</f>
        <v>228200</v>
      </c>
      <c r="H188" s="1684">
        <f t="shared" si="23"/>
        <v>1825600</v>
      </c>
      <c r="I188" s="1678">
        <f t="shared" si="24"/>
        <v>9.0233195272277411E-2</v>
      </c>
      <c r="J188" s="1561" t="s">
        <v>3611</v>
      </c>
      <c r="K188" s="1555" t="s">
        <v>1772</v>
      </c>
      <c r="L188" s="1555">
        <v>41019</v>
      </c>
      <c r="M188" s="1555" t="s">
        <v>9227</v>
      </c>
      <c r="N188" s="1565"/>
      <c r="Q188" s="1721">
        <v>8</v>
      </c>
      <c r="R188" s="1721">
        <v>8</v>
      </c>
      <c r="T188" s="1721">
        <v>4</v>
      </c>
    </row>
    <row r="189" spans="1:20" ht="29.4" customHeight="1">
      <c r="A189" s="1545">
        <v>36</v>
      </c>
      <c r="B189" s="1706">
        <v>5</v>
      </c>
      <c r="C189" s="1855" t="s">
        <v>1569</v>
      </c>
      <c r="D189" s="1856"/>
      <c r="E189" s="1555" t="s">
        <v>775</v>
      </c>
      <c r="F189" s="1620">
        <v>1</v>
      </c>
      <c r="G189" s="1556">
        <f>VLOOKUP(C189,'AHSP MCK'!D:K,8,FALSE)</f>
        <v>98500</v>
      </c>
      <c r="H189" s="1684">
        <f t="shared" si="23"/>
        <v>98500</v>
      </c>
      <c r="I189" s="1678">
        <f t="shared" si="24"/>
        <v>4.8685197931197001E-3</v>
      </c>
      <c r="J189" s="1555" t="s">
        <v>3205</v>
      </c>
      <c r="K189" s="1555" t="s">
        <v>1772</v>
      </c>
      <c r="L189" s="1555">
        <v>41019</v>
      </c>
      <c r="M189" s="1555" t="s">
        <v>9227</v>
      </c>
      <c r="N189" s="1565"/>
      <c r="P189" s="1721">
        <v>5</v>
      </c>
      <c r="Q189" s="1721">
        <v>2</v>
      </c>
      <c r="R189" s="1721">
        <v>2</v>
      </c>
      <c r="T189" s="1721">
        <v>4</v>
      </c>
    </row>
    <row r="190" spans="1:20" ht="29.4" customHeight="1">
      <c r="A190" s="1545">
        <v>35</v>
      </c>
      <c r="B190" s="1706">
        <v>6</v>
      </c>
      <c r="C190" s="1855" t="s">
        <v>1568</v>
      </c>
      <c r="D190" s="1856"/>
      <c r="E190" s="1555" t="s">
        <v>775</v>
      </c>
      <c r="F190" s="1620">
        <v>1</v>
      </c>
      <c r="G190" s="1556">
        <f>VLOOKUP(C190,'AHSP MCK'!D:K,8,FALSE)</f>
        <v>45600</v>
      </c>
      <c r="H190" s="1684">
        <f t="shared" si="23"/>
        <v>45600</v>
      </c>
      <c r="I190" s="1678">
        <f t="shared" si="24"/>
        <v>2.2538528179315565E-3</v>
      </c>
      <c r="J190" s="1555" t="s">
        <v>3202</v>
      </c>
      <c r="K190" s="1555" t="s">
        <v>1772</v>
      </c>
      <c r="L190" s="1555">
        <v>41019</v>
      </c>
      <c r="M190" s="1555" t="s">
        <v>9227</v>
      </c>
      <c r="N190" s="1565"/>
      <c r="P190" s="1721">
        <v>4</v>
      </c>
      <c r="Q190" s="1721">
        <v>2</v>
      </c>
      <c r="R190" s="1721">
        <v>2</v>
      </c>
      <c r="T190" s="1721">
        <v>2</v>
      </c>
    </row>
    <row r="191" spans="1:20">
      <c r="A191" s="1545">
        <v>52</v>
      </c>
      <c r="B191" s="1706">
        <v>7</v>
      </c>
      <c r="C191" s="1855" t="s">
        <v>9302</v>
      </c>
      <c r="D191" s="1856"/>
      <c r="E191" s="1555" t="s">
        <v>135</v>
      </c>
      <c r="F191" s="1620">
        <v>1</v>
      </c>
      <c r="G191" s="1556">
        <f>VLOOKUP(C191,'AHSP MCK'!D:K,8,FALSE)</f>
        <v>731400</v>
      </c>
      <c r="H191" s="1684">
        <f t="shared" si="23"/>
        <v>731400</v>
      </c>
      <c r="I191" s="1678">
        <f t="shared" si="24"/>
        <v>3.6150612961296943E-2</v>
      </c>
      <c r="J191" s="1555" t="s">
        <v>3767</v>
      </c>
      <c r="K191" s="1555" t="s">
        <v>1772</v>
      </c>
      <c r="L191" s="1555">
        <v>41019</v>
      </c>
      <c r="M191" s="1555" t="s">
        <v>9227</v>
      </c>
      <c r="N191" s="1565"/>
      <c r="R191" s="1721">
        <v>1</v>
      </c>
    </row>
    <row r="192" spans="1:20" ht="29.4" customHeight="1">
      <c r="A192" s="1545">
        <v>37</v>
      </c>
      <c r="B192" s="1706">
        <v>8</v>
      </c>
      <c r="C192" s="1855" t="s">
        <v>1651</v>
      </c>
      <c r="D192" s="1856"/>
      <c r="E192" s="1555" t="s">
        <v>113</v>
      </c>
      <c r="F192" s="1620">
        <v>10</v>
      </c>
      <c r="G192" s="1556">
        <f>VLOOKUP(C192,'AHSP MCK'!D:K,8,FALSE)</f>
        <v>29000</v>
      </c>
      <c r="H192" s="1684">
        <f t="shared" si="23"/>
        <v>290000</v>
      </c>
      <c r="I192" s="1678">
        <f t="shared" si="24"/>
        <v>1.4333713096494548E-2</v>
      </c>
      <c r="J192" s="1555" t="s">
        <v>3243</v>
      </c>
      <c r="K192" s="1555" t="s">
        <v>1772</v>
      </c>
      <c r="L192" s="1555">
        <v>41019</v>
      </c>
      <c r="M192" s="1555" t="s">
        <v>9227</v>
      </c>
      <c r="N192" s="1565"/>
      <c r="P192" s="1721">
        <v>15</v>
      </c>
      <c r="Q192" s="1721">
        <v>10</v>
      </c>
      <c r="R192" s="1721">
        <v>10</v>
      </c>
      <c r="T192" s="1721">
        <v>10</v>
      </c>
    </row>
    <row r="193" spans="1:18" ht="29.4" customHeight="1">
      <c r="B193" s="1706">
        <v>9</v>
      </c>
      <c r="C193" s="1855" t="s">
        <v>3760</v>
      </c>
      <c r="D193" s="1856"/>
      <c r="E193" s="1555" t="s">
        <v>775</v>
      </c>
      <c r="F193" s="1620">
        <v>1</v>
      </c>
      <c r="G193" s="1556">
        <f>VLOOKUP(C193,'AHSP MCK'!D:K,8,FALSE)</f>
        <v>783400</v>
      </c>
      <c r="H193" s="1684">
        <f t="shared" si="23"/>
        <v>783400</v>
      </c>
      <c r="I193" s="1678">
        <f t="shared" si="24"/>
        <v>3.8720795999289064E-2</v>
      </c>
      <c r="J193" s="1561" t="s">
        <v>8088</v>
      </c>
      <c r="K193" s="1555" t="s">
        <v>1772</v>
      </c>
      <c r="L193" s="1555"/>
      <c r="M193" s="1555"/>
      <c r="N193" s="1565"/>
      <c r="R193" s="1721">
        <v>1</v>
      </c>
    </row>
    <row r="194" spans="1:18" ht="29.4" hidden="1" customHeight="1">
      <c r="A194" s="1545">
        <v>50</v>
      </c>
      <c r="B194" s="1706">
        <v>11</v>
      </c>
      <c r="C194" s="1855" t="s">
        <v>1582</v>
      </c>
      <c r="D194" s="1856"/>
      <c r="E194" s="1555" t="s">
        <v>135</v>
      </c>
      <c r="F194" s="1620"/>
      <c r="G194" s="1556">
        <f>VLOOKUP(C194,'AHSP MCK'!D:K,8,FALSE)</f>
        <v>3982400</v>
      </c>
      <c r="H194" s="1684">
        <f t="shared" si="23"/>
        <v>0</v>
      </c>
      <c r="I194" s="1678">
        <f t="shared" si="24"/>
        <v>0</v>
      </c>
      <c r="J194" s="1561" t="s">
        <v>3749</v>
      </c>
      <c r="K194" s="1555" t="s">
        <v>1772</v>
      </c>
      <c r="L194" s="1555">
        <v>41019</v>
      </c>
      <c r="M194" s="1555" t="s">
        <v>9227</v>
      </c>
      <c r="N194" s="1565"/>
    </row>
    <row r="195" spans="1:18">
      <c r="B195" s="1708"/>
      <c r="C195" s="1575"/>
      <c r="D195" s="1575"/>
      <c r="E195" s="1576"/>
      <c r="F195" s="1621"/>
      <c r="G195" s="1577"/>
      <c r="H195" s="1685"/>
      <c r="I195" s="1578"/>
      <c r="J195" s="1608"/>
      <c r="K195" s="1576"/>
      <c r="L195" s="1576"/>
      <c r="M195" s="1576"/>
      <c r="N195" s="1579"/>
    </row>
    <row r="196" spans="1:18">
      <c r="B196" s="1714"/>
      <c r="C196" s="1858" t="s">
        <v>9274</v>
      </c>
      <c r="D196" s="1858"/>
      <c r="E196" s="1858"/>
      <c r="F196" s="1858"/>
      <c r="G196" s="1858"/>
      <c r="H196" s="1686">
        <f>SUM(H184:H194)</f>
        <v>5135900</v>
      </c>
      <c r="I196" s="1567"/>
      <c r="J196" s="1547"/>
      <c r="K196" s="1547"/>
      <c r="L196" s="1547"/>
      <c r="N196" s="1568"/>
    </row>
    <row r="197" spans="1:18">
      <c r="B197" s="1715"/>
      <c r="C197" s="1590"/>
      <c r="D197" s="1638"/>
      <c r="E197" s="1591"/>
      <c r="F197" s="1622"/>
      <c r="G197" s="1592"/>
      <c r="H197" s="1687"/>
      <c r="I197" s="1679"/>
      <c r="J197" s="1609"/>
      <c r="K197" s="1591"/>
      <c r="L197" s="1591"/>
      <c r="M197" s="1591"/>
      <c r="N197" s="1593"/>
    </row>
    <row r="198" spans="1:18">
      <c r="B198" s="1716" t="s">
        <v>6626</v>
      </c>
      <c r="C198" s="1859" t="s">
        <v>9073</v>
      </c>
      <c r="D198" s="1859"/>
      <c r="E198" s="1595"/>
      <c r="F198" s="1623"/>
      <c r="G198" s="1596"/>
      <c r="H198" s="1690"/>
      <c r="I198" s="1597"/>
      <c r="J198" s="1610"/>
      <c r="K198" s="1595"/>
      <c r="L198" s="1595"/>
      <c r="M198" s="1595"/>
      <c r="N198" s="1598"/>
    </row>
    <row r="199" spans="1:18" ht="40.799999999999997" hidden="1" customHeight="1">
      <c r="A199" s="1545">
        <v>56</v>
      </c>
      <c r="B199" s="1706">
        <v>1</v>
      </c>
      <c r="C199" s="1855" t="s">
        <v>9230</v>
      </c>
      <c r="D199" s="1856"/>
      <c r="E199" s="1555" t="s">
        <v>135</v>
      </c>
      <c r="F199" s="1697"/>
      <c r="G199" s="1556">
        <v>4958264</v>
      </c>
      <c r="H199" s="1684">
        <f t="shared" ref="H199:H216" si="25">G199*F199</f>
        <v>0</v>
      </c>
      <c r="I199" s="1678">
        <f t="shared" ref="I199:I216" si="26">G199*F199/$H$78</f>
        <v>0</v>
      </c>
      <c r="J199" s="1555" t="s">
        <v>2225</v>
      </c>
      <c r="K199" s="1555" t="s">
        <v>1772</v>
      </c>
      <c r="L199" s="1555">
        <v>41019</v>
      </c>
      <c r="M199" s="1555" t="s">
        <v>9227</v>
      </c>
      <c r="N199" s="1565"/>
    </row>
    <row r="200" spans="1:18" ht="40.799999999999997" customHeight="1">
      <c r="A200" s="1545">
        <v>54</v>
      </c>
      <c r="B200" s="1706">
        <v>1</v>
      </c>
      <c r="C200" s="1855" t="s">
        <v>1956</v>
      </c>
      <c r="D200" s="1856"/>
      <c r="E200" s="1695" t="s">
        <v>120</v>
      </c>
      <c r="F200" s="1774">
        <f>2.45*1.4*1.3</f>
        <v>4.4590000000000005</v>
      </c>
      <c r="G200" s="1696">
        <f>VLOOKUP(C200,'AHSP MCK'!D:K,8,FALSE)</f>
        <v>89100</v>
      </c>
      <c r="H200" s="1684">
        <f t="shared" si="25"/>
        <v>397296.9</v>
      </c>
      <c r="I200" s="1678">
        <f t="shared" si="26"/>
        <v>1.9637033719747191E-2</v>
      </c>
      <c r="J200" s="1555" t="s">
        <v>1810</v>
      </c>
      <c r="K200" s="1555" t="s">
        <v>9068</v>
      </c>
      <c r="L200" s="1555">
        <v>41019</v>
      </c>
      <c r="M200" s="1555" t="s">
        <v>9227</v>
      </c>
      <c r="N200" s="1565"/>
    </row>
    <row r="201" spans="1:18" ht="27.6" customHeight="1">
      <c r="A201" s="1545">
        <v>55</v>
      </c>
      <c r="B201" s="1706">
        <v>2</v>
      </c>
      <c r="C201" s="1855" t="s">
        <v>2118</v>
      </c>
      <c r="D201" s="1856"/>
      <c r="E201" s="1695" t="s">
        <v>120</v>
      </c>
      <c r="F201" s="1701">
        <f>F200</f>
        <v>4.4590000000000005</v>
      </c>
      <c r="G201" s="1696">
        <f>VLOOKUP(C201,'AHSP MCK'!D:K,8,FALSE)</f>
        <v>26700</v>
      </c>
      <c r="H201" s="1684">
        <f t="shared" si="25"/>
        <v>119055.30000000002</v>
      </c>
      <c r="I201" s="1678">
        <f t="shared" si="26"/>
        <v>5.8844983200589231E-3</v>
      </c>
      <c r="J201" s="1555" t="s">
        <v>2112</v>
      </c>
      <c r="K201" s="1555" t="s">
        <v>9068</v>
      </c>
      <c r="L201" s="1555">
        <v>41019</v>
      </c>
      <c r="M201" s="1555" t="s">
        <v>9227</v>
      </c>
      <c r="N201" s="1565"/>
    </row>
    <row r="202" spans="1:18" ht="44.4" customHeight="1">
      <c r="B202" s="1706">
        <v>3</v>
      </c>
      <c r="C202" s="1855" t="s">
        <v>6470</v>
      </c>
      <c r="D202" s="1856"/>
      <c r="E202" s="1695" t="s">
        <v>65</v>
      </c>
      <c r="F202" s="1699">
        <v>7.11</v>
      </c>
      <c r="G202" s="1696">
        <f>VLOOKUP(C202,'AHSP MCK'!D:K,8,FALSE)</f>
        <v>17100</v>
      </c>
      <c r="H202" s="1684">
        <f t="shared" si="25"/>
        <v>121581</v>
      </c>
      <c r="I202" s="1678">
        <f t="shared" si="26"/>
        <v>6.009335075810013E-3</v>
      </c>
      <c r="J202" s="1555" t="s">
        <v>2225</v>
      </c>
      <c r="K202" s="1555" t="s">
        <v>1772</v>
      </c>
      <c r="L202" s="1555"/>
      <c r="M202" s="1555"/>
      <c r="N202" s="1565"/>
    </row>
    <row r="203" spans="1:18" ht="40.799999999999997" customHeight="1">
      <c r="A203" s="1545">
        <v>57</v>
      </c>
      <c r="B203" s="1706">
        <v>4</v>
      </c>
      <c r="C203" s="1855" t="s">
        <v>2272</v>
      </c>
      <c r="D203" s="1856"/>
      <c r="E203" s="1695" t="s">
        <v>120</v>
      </c>
      <c r="F203" s="1699">
        <f>1.3*1.3*0.07</f>
        <v>0.11830000000000002</v>
      </c>
      <c r="G203" s="1696">
        <f>VLOOKUP(C203,'AHSP MCK'!D:K,8,FALSE)</f>
        <v>1291800</v>
      </c>
      <c r="H203" s="1684">
        <f t="shared" si="25"/>
        <v>152819.94000000003</v>
      </c>
      <c r="I203" s="1678">
        <f t="shared" si="26"/>
        <v>7.5533695702879704E-3</v>
      </c>
      <c r="J203" s="1555" t="s">
        <v>2271</v>
      </c>
      <c r="K203" s="1555" t="s">
        <v>1772</v>
      </c>
      <c r="L203" s="1555">
        <v>41019</v>
      </c>
      <c r="M203" s="1555" t="s">
        <v>9227</v>
      </c>
      <c r="N203" s="1565"/>
    </row>
    <row r="204" spans="1:18" ht="30" hidden="1" customHeight="1">
      <c r="A204" s="1545">
        <v>58</v>
      </c>
      <c r="B204" s="1706">
        <v>5</v>
      </c>
      <c r="C204" s="1855" t="s">
        <v>1307</v>
      </c>
      <c r="D204" s="1856"/>
      <c r="E204" s="1695" t="s">
        <v>9291</v>
      </c>
      <c r="F204" s="1699"/>
      <c r="G204" s="1696">
        <f>VLOOKUP(C204,'AHSP MCK'!D:K,8,FALSE)</f>
        <v>287100</v>
      </c>
      <c r="H204" s="1684">
        <f t="shared" si="25"/>
        <v>0</v>
      </c>
      <c r="I204" s="1678">
        <f t="shared" si="26"/>
        <v>0</v>
      </c>
      <c r="J204" s="1561" t="s">
        <v>2254</v>
      </c>
      <c r="K204" s="1555" t="s">
        <v>1772</v>
      </c>
      <c r="L204" s="1555">
        <v>41019</v>
      </c>
      <c r="M204" s="1555" t="s">
        <v>9227</v>
      </c>
      <c r="N204" s="1565"/>
    </row>
    <row r="205" spans="1:18" ht="30" customHeight="1">
      <c r="A205" s="1545">
        <v>59</v>
      </c>
      <c r="B205" s="1706">
        <v>5</v>
      </c>
      <c r="C205" s="1855" t="s">
        <v>1306</v>
      </c>
      <c r="D205" s="1856"/>
      <c r="E205" s="1695" t="s">
        <v>9291</v>
      </c>
      <c r="F205" s="1699">
        <f>2.45*1.3</f>
        <v>3.1850000000000005</v>
      </c>
      <c r="G205" s="1696">
        <f>VLOOKUP(C205,'AHSP MCK'!D:K,8,FALSE)</f>
        <v>225000</v>
      </c>
      <c r="H205" s="1684">
        <f t="shared" si="25"/>
        <v>716625.00000000012</v>
      </c>
      <c r="I205" s="1678">
        <f t="shared" si="26"/>
        <v>3.5420334992328988E-2</v>
      </c>
      <c r="J205" s="1561" t="s">
        <v>2253</v>
      </c>
      <c r="K205" s="1555" t="s">
        <v>1772</v>
      </c>
      <c r="L205" s="1555">
        <v>41019</v>
      </c>
      <c r="M205" s="1555" t="s">
        <v>9227</v>
      </c>
      <c r="N205" s="1565"/>
    </row>
    <row r="206" spans="1:18" ht="30" customHeight="1">
      <c r="A206" s="1545">
        <v>60</v>
      </c>
      <c r="B206" s="1706">
        <v>6</v>
      </c>
      <c r="C206" s="1855" t="s">
        <v>1351</v>
      </c>
      <c r="D206" s="1856"/>
      <c r="E206" s="1695" t="s">
        <v>9291</v>
      </c>
      <c r="F206" s="1699">
        <f>(2.45*1.4*2)+(1.3*1.4*3)+(1.2*1)</f>
        <v>13.52</v>
      </c>
      <c r="G206" s="1696">
        <f>VLOOKUP(C206,'AHSP MCK'!D:K,8,FALSE)</f>
        <v>97900</v>
      </c>
      <c r="H206" s="1684">
        <f t="shared" si="25"/>
        <v>1323608</v>
      </c>
      <c r="I206" s="1678">
        <f t="shared" si="26"/>
        <v>6.5421439049051566E-2</v>
      </c>
      <c r="J206" s="1561" t="s">
        <v>2772</v>
      </c>
      <c r="K206" s="1555" t="s">
        <v>1772</v>
      </c>
      <c r="L206" s="1555">
        <v>41019</v>
      </c>
      <c r="M206" s="1555" t="s">
        <v>9227</v>
      </c>
      <c r="N206" s="1565"/>
    </row>
    <row r="207" spans="1:18" ht="28.2" customHeight="1">
      <c r="A207" s="1545">
        <v>61</v>
      </c>
      <c r="B207" s="1706">
        <v>7</v>
      </c>
      <c r="C207" s="1855" t="s">
        <v>1317</v>
      </c>
      <c r="D207" s="1856"/>
      <c r="E207" s="1695" t="s">
        <v>113</v>
      </c>
      <c r="F207" s="1699">
        <f>1.4*4</f>
        <v>5.6</v>
      </c>
      <c r="G207" s="1696">
        <f>VLOOKUP(C207,'AHSP MCK'!D:K,8,FALSE)</f>
        <v>105800</v>
      </c>
      <c r="H207" s="1684">
        <f t="shared" si="25"/>
        <v>592480</v>
      </c>
      <c r="I207" s="1678">
        <f t="shared" si="26"/>
        <v>2.9284270122107207E-2</v>
      </c>
      <c r="J207" s="1561" t="s">
        <v>2331</v>
      </c>
      <c r="K207" s="1555" t="s">
        <v>1772</v>
      </c>
      <c r="L207" s="1555">
        <v>41019</v>
      </c>
      <c r="M207" s="1555" t="s">
        <v>9227</v>
      </c>
      <c r="N207" s="1565"/>
    </row>
    <row r="208" spans="1:18" ht="31.2" customHeight="1">
      <c r="A208" s="1545">
        <v>62</v>
      </c>
      <c r="B208" s="1706">
        <v>8</v>
      </c>
      <c r="C208" s="1855" t="s">
        <v>1318</v>
      </c>
      <c r="D208" s="1856"/>
      <c r="E208" s="1555" t="s">
        <v>113</v>
      </c>
      <c r="F208" s="1719"/>
      <c r="G208" s="1556">
        <f>VLOOKUP(C208,'AHSP MCK'!D:K,8,FALSE)</f>
        <v>147800</v>
      </c>
      <c r="H208" s="1684">
        <f t="shared" si="25"/>
        <v>0</v>
      </c>
      <c r="I208" s="1678">
        <f t="shared" si="26"/>
        <v>0</v>
      </c>
      <c r="J208" s="1561" t="s">
        <v>2333</v>
      </c>
      <c r="K208" s="1555" t="s">
        <v>1772</v>
      </c>
      <c r="L208" s="1555">
        <v>41019</v>
      </c>
      <c r="M208" s="1555" t="s">
        <v>9227</v>
      </c>
      <c r="N208" s="1565"/>
    </row>
    <row r="209" spans="1:20">
      <c r="A209" s="1545">
        <v>63</v>
      </c>
      <c r="B209" s="1706">
        <v>9</v>
      </c>
      <c r="C209" s="1855" t="s">
        <v>1384</v>
      </c>
      <c r="D209" s="1856"/>
      <c r="E209" s="1695" t="s">
        <v>9291</v>
      </c>
      <c r="F209" s="1699">
        <f>F206/2</f>
        <v>6.76</v>
      </c>
      <c r="G209" s="1696">
        <f>VLOOKUP(C209,'AHSP MCK'!D:K,8,FALSE)</f>
        <v>44500</v>
      </c>
      <c r="H209" s="1684">
        <f t="shared" si="25"/>
        <v>300820</v>
      </c>
      <c r="I209" s="1678">
        <f t="shared" si="26"/>
        <v>1.4868508874784449E-2</v>
      </c>
      <c r="J209" s="1561" t="s">
        <v>2792</v>
      </c>
      <c r="K209" s="1555" t="s">
        <v>1772</v>
      </c>
      <c r="L209" s="1555">
        <v>41019</v>
      </c>
      <c r="M209" s="1555" t="s">
        <v>9227</v>
      </c>
      <c r="N209" s="1565"/>
    </row>
    <row r="210" spans="1:20" ht="29.4" customHeight="1">
      <c r="B210" s="1706">
        <v>10</v>
      </c>
      <c r="C210" s="1855" t="s">
        <v>1381</v>
      </c>
      <c r="D210" s="1856"/>
      <c r="E210" s="1695" t="s">
        <v>9291</v>
      </c>
      <c r="F210" s="1699">
        <f>F209</f>
        <v>6.76</v>
      </c>
      <c r="G210" s="1696">
        <f>VLOOKUP(C210,'AHSP MCK'!D:K,8,FALSE)</f>
        <v>56600</v>
      </c>
      <c r="H210" s="1684">
        <f t="shared" ref="H210" si="27">G210*F210</f>
        <v>382616</v>
      </c>
      <c r="I210" s="1678">
        <f t="shared" ref="I210" si="28">G210*F210/$H$78</f>
        <v>1.8911406793546061E-2</v>
      </c>
      <c r="J210" s="1561" t="s">
        <v>2789</v>
      </c>
      <c r="K210" s="1555" t="s">
        <v>1772</v>
      </c>
      <c r="L210" s="1555">
        <v>41019</v>
      </c>
      <c r="M210" s="1555" t="s">
        <v>9227</v>
      </c>
      <c r="N210" s="1565"/>
    </row>
    <row r="211" spans="1:20" ht="40.799999999999997" customHeight="1">
      <c r="A211" s="1545">
        <v>64</v>
      </c>
      <c r="B211" s="1706">
        <v>11</v>
      </c>
      <c r="C211" s="1855" t="s">
        <v>2817</v>
      </c>
      <c r="D211" s="1856"/>
      <c r="E211" s="1695" t="s">
        <v>9291</v>
      </c>
      <c r="F211" s="1699">
        <f>2.45*1.3</f>
        <v>3.1850000000000005</v>
      </c>
      <c r="G211" s="1696">
        <f>VLOOKUP(C211,'AHSP MCK'!D:K,8,FALSE)</f>
        <v>37500</v>
      </c>
      <c r="H211" s="1684">
        <f t="shared" si="25"/>
        <v>119437.50000000001</v>
      </c>
      <c r="I211" s="1678">
        <f t="shared" si="26"/>
        <v>5.9033891653881652E-3</v>
      </c>
      <c r="J211" s="1561" t="s">
        <v>2816</v>
      </c>
      <c r="K211" s="1555" t="s">
        <v>1772</v>
      </c>
      <c r="L211" s="1555">
        <v>41019</v>
      </c>
      <c r="M211" s="1555" t="s">
        <v>9227</v>
      </c>
      <c r="N211" s="1565"/>
    </row>
    <row r="212" spans="1:20" ht="31.2" customHeight="1">
      <c r="A212" s="1545">
        <v>65</v>
      </c>
      <c r="B212" s="1706">
        <v>12</v>
      </c>
      <c r="C212" s="1855" t="s">
        <v>8067</v>
      </c>
      <c r="D212" s="1856"/>
      <c r="E212" s="1695" t="s">
        <v>113</v>
      </c>
      <c r="F212" s="1699">
        <v>1.5</v>
      </c>
      <c r="G212" s="1696">
        <f>VLOOKUP(C212,'AHSP MCK'!D:K,8,FALSE)</f>
        <v>54000</v>
      </c>
      <c r="H212" s="1684">
        <f t="shared" si="25"/>
        <v>81000</v>
      </c>
      <c r="I212" s="1678">
        <f t="shared" si="26"/>
        <v>4.0035543476415808E-3</v>
      </c>
      <c r="J212" s="1561" t="s">
        <v>3606</v>
      </c>
      <c r="K212" s="1555" t="s">
        <v>1772</v>
      </c>
      <c r="L212" s="1555">
        <v>41019</v>
      </c>
      <c r="M212" s="1555" t="s">
        <v>9227</v>
      </c>
      <c r="N212" s="1565"/>
    </row>
    <row r="213" spans="1:20" ht="31.2" customHeight="1">
      <c r="B213" s="1706">
        <v>13</v>
      </c>
      <c r="C213" s="1855" t="s">
        <v>8077</v>
      </c>
      <c r="D213" s="1856"/>
      <c r="E213" s="1695" t="s">
        <v>113</v>
      </c>
      <c r="F213" s="1699">
        <v>4</v>
      </c>
      <c r="G213" s="1696">
        <f>VLOOKUP(C213,'AHSP MCK'!D:K,8,FALSE)</f>
        <v>228200</v>
      </c>
      <c r="H213" s="1684">
        <f t="shared" ref="H213:H215" si="29">G213*F213</f>
        <v>912800</v>
      </c>
      <c r="I213" s="1678">
        <f t="shared" ref="I213" si="30">G213*F213/$H$78</f>
        <v>4.5116597636138706E-2</v>
      </c>
      <c r="J213" s="1561" t="s">
        <v>3611</v>
      </c>
      <c r="K213" s="1555" t="s">
        <v>1772</v>
      </c>
      <c r="L213" s="1555">
        <v>41019</v>
      </c>
      <c r="M213" s="1555" t="s">
        <v>9227</v>
      </c>
      <c r="N213" s="1565"/>
    </row>
    <row r="214" spans="1:20">
      <c r="B214" s="1706">
        <v>14</v>
      </c>
      <c r="C214" s="1855" t="s">
        <v>9324</v>
      </c>
      <c r="D214" s="1856"/>
      <c r="E214" s="1695" t="s">
        <v>42</v>
      </c>
      <c r="F214" s="1771">
        <v>0.15</v>
      </c>
      <c r="G214" s="1696">
        <v>1350000</v>
      </c>
      <c r="H214" s="1684">
        <f t="shared" si="29"/>
        <v>202500</v>
      </c>
      <c r="I214" s="1678"/>
      <c r="J214" s="1561"/>
      <c r="K214" s="1555"/>
      <c r="L214" s="1555"/>
      <c r="M214" s="1555"/>
      <c r="N214" s="1565"/>
    </row>
    <row r="215" spans="1:20" ht="24.6" customHeight="1">
      <c r="B215" s="1706">
        <v>15</v>
      </c>
      <c r="C215" s="1855" t="s">
        <v>9325</v>
      </c>
      <c r="D215" s="1856"/>
      <c r="E215" s="1695" t="s">
        <v>1171</v>
      </c>
      <c r="F215" s="1771">
        <v>1</v>
      </c>
      <c r="G215" s="1696">
        <v>200000</v>
      </c>
      <c r="H215" s="1684">
        <f t="shared" si="29"/>
        <v>200000</v>
      </c>
      <c r="I215" s="1678"/>
      <c r="J215" s="1561"/>
      <c r="K215" s="1555"/>
      <c r="L215" s="1555"/>
      <c r="M215" s="1555"/>
      <c r="N215" s="1565"/>
    </row>
    <row r="216" spans="1:20" ht="40.799999999999997" hidden="1" customHeight="1">
      <c r="A216" s="1545" t="s">
        <v>9231</v>
      </c>
      <c r="B216" s="1706">
        <v>17</v>
      </c>
      <c r="C216" s="1855" t="s">
        <v>9062</v>
      </c>
      <c r="D216" s="1856"/>
      <c r="E216" s="1555" t="s">
        <v>775</v>
      </c>
      <c r="F216" s="1698"/>
      <c r="G216" s="1556">
        <f>VLOOKUP(C216,'AHSP MCK'!D:K,8,FALSE)</f>
        <v>156800</v>
      </c>
      <c r="H216" s="1684">
        <f t="shared" si="25"/>
        <v>0</v>
      </c>
      <c r="I216" s="1678">
        <f t="shared" si="26"/>
        <v>0</v>
      </c>
      <c r="J216" s="1561" t="s">
        <v>7699</v>
      </c>
      <c r="K216" s="1555" t="s">
        <v>7699</v>
      </c>
      <c r="L216" s="1555" t="s">
        <v>7699</v>
      </c>
      <c r="M216" s="1555" t="s">
        <v>7699</v>
      </c>
      <c r="N216" s="1565"/>
    </row>
    <row r="217" spans="1:20">
      <c r="B217" s="1708"/>
      <c r="C217" s="1575"/>
      <c r="D217" s="1575"/>
      <c r="E217" s="1576"/>
      <c r="F217" s="1621"/>
      <c r="G217" s="1577"/>
      <c r="H217" s="1685"/>
      <c r="I217" s="1578"/>
      <c r="J217" s="1608"/>
      <c r="K217" s="1576"/>
      <c r="L217" s="1576"/>
      <c r="M217" s="1576"/>
      <c r="N217" s="1579"/>
    </row>
    <row r="218" spans="1:20">
      <c r="B218" s="1714"/>
      <c r="C218" s="1858" t="s">
        <v>9274</v>
      </c>
      <c r="D218" s="1858"/>
      <c r="E218" s="1858"/>
      <c r="F218" s="1858"/>
      <c r="G218" s="1858"/>
      <c r="H218" s="1686">
        <f>SUM(H199:H216)</f>
        <v>5622639.6400000006</v>
      </c>
      <c r="I218" s="1567"/>
      <c r="J218" s="1547"/>
      <c r="K218" s="1547"/>
      <c r="L218" s="1547"/>
      <c r="N218" s="1568"/>
    </row>
    <row r="219" spans="1:20">
      <c r="B219" s="1715"/>
      <c r="C219" s="1590"/>
      <c r="D219" s="1638"/>
      <c r="E219" s="1591"/>
      <c r="F219" s="1622"/>
      <c r="G219" s="1592"/>
      <c r="H219" s="1687"/>
      <c r="I219" s="1679"/>
      <c r="J219" s="1609"/>
      <c r="K219" s="1591"/>
      <c r="L219" s="1591"/>
      <c r="M219" s="1591"/>
      <c r="N219" s="1593"/>
    </row>
    <row r="220" spans="1:20">
      <c r="B220" s="1716" t="s">
        <v>6637</v>
      </c>
      <c r="C220" s="1859" t="s">
        <v>9263</v>
      </c>
      <c r="D220" s="1859"/>
      <c r="E220" s="1595"/>
      <c r="F220" s="1623"/>
      <c r="G220" s="1596"/>
      <c r="H220" s="1690"/>
      <c r="I220" s="1597"/>
      <c r="J220" s="1610"/>
      <c r="K220" s="1595"/>
      <c r="L220" s="1595"/>
      <c r="M220" s="1595"/>
      <c r="N220" s="1598"/>
    </row>
    <row r="221" spans="1:20" ht="29.4" hidden="1" customHeight="1">
      <c r="A221" s="1545">
        <v>41</v>
      </c>
      <c r="B221" s="1706">
        <v>1</v>
      </c>
      <c r="C221" s="1855" t="s">
        <v>3548</v>
      </c>
      <c r="D221" s="1856"/>
      <c r="E221" s="1555" t="s">
        <v>135</v>
      </c>
      <c r="F221" s="1620"/>
      <c r="G221" s="1556">
        <f>VLOOKUP(C221,'AHSP MCK'!D:K,8,FALSE)</f>
        <v>267500</v>
      </c>
      <c r="H221" s="1684">
        <f t="shared" ref="H221:H226" si="31">G221*F221</f>
        <v>0</v>
      </c>
      <c r="I221" s="1678">
        <f t="shared" ref="I221:I226" si="32">G221*F221/$H$78</f>
        <v>0</v>
      </c>
      <c r="J221" s="1561" t="s">
        <v>3549</v>
      </c>
      <c r="K221" s="1555" t="s">
        <v>1772</v>
      </c>
      <c r="L221" s="1555">
        <v>41019</v>
      </c>
      <c r="M221" s="1555" t="s">
        <v>9227</v>
      </c>
      <c r="N221" s="1565"/>
    </row>
    <row r="222" spans="1:20">
      <c r="A222" s="1545">
        <v>42</v>
      </c>
      <c r="B222" s="1706">
        <v>1</v>
      </c>
      <c r="C222" s="1855" t="s">
        <v>5814</v>
      </c>
      <c r="D222" s="1856"/>
      <c r="E222" s="1555" t="s">
        <v>9015</v>
      </c>
      <c r="F222" s="1620">
        <v>2</v>
      </c>
      <c r="G222" s="1556">
        <f>VLOOKUP(C222,'AHSP MCK'!D:K,8,FALSE)</f>
        <v>180700</v>
      </c>
      <c r="H222" s="1684">
        <f t="shared" si="31"/>
        <v>361400</v>
      </c>
      <c r="I222" s="1678">
        <f t="shared" si="32"/>
        <v>1.7862772114045276E-2</v>
      </c>
      <c r="J222" s="1561" t="s">
        <v>3568</v>
      </c>
      <c r="K222" s="1555" t="s">
        <v>1772</v>
      </c>
      <c r="L222" s="1555">
        <v>41019</v>
      </c>
      <c r="M222" s="1555" t="s">
        <v>9227</v>
      </c>
      <c r="N222" s="1565"/>
      <c r="P222" s="1721">
        <v>4</v>
      </c>
      <c r="Q222" s="1721">
        <v>3</v>
      </c>
      <c r="R222" s="1721">
        <v>3</v>
      </c>
      <c r="T222" s="1721">
        <v>2</v>
      </c>
    </row>
    <row r="223" spans="1:20">
      <c r="A223" s="1545">
        <v>38</v>
      </c>
      <c r="B223" s="1706">
        <v>2</v>
      </c>
      <c r="C223" s="1855" t="s">
        <v>3511</v>
      </c>
      <c r="D223" s="1856"/>
      <c r="E223" s="1555" t="s">
        <v>135</v>
      </c>
      <c r="F223" s="1620"/>
      <c r="G223" s="1556">
        <f>VLOOKUP(C223,'AHSP MCK'!D:K,8,FALSE)</f>
        <v>36200</v>
      </c>
      <c r="H223" s="1684">
        <f t="shared" si="31"/>
        <v>0</v>
      </c>
      <c r="I223" s="1678">
        <f t="shared" si="32"/>
        <v>0</v>
      </c>
      <c r="J223" s="1555" t="s">
        <v>3510</v>
      </c>
      <c r="K223" s="1555" t="s">
        <v>1772</v>
      </c>
      <c r="L223" s="1555">
        <v>41019</v>
      </c>
      <c r="M223" s="1555" t="s">
        <v>9227</v>
      </c>
      <c r="N223" s="1565"/>
      <c r="Q223" s="1721">
        <v>1</v>
      </c>
      <c r="R223" s="1721">
        <v>1</v>
      </c>
    </row>
    <row r="224" spans="1:20">
      <c r="A224" s="1545">
        <v>39</v>
      </c>
      <c r="B224" s="1706">
        <v>3</v>
      </c>
      <c r="C224" s="1855" t="s">
        <v>3514</v>
      </c>
      <c r="D224" s="1856"/>
      <c r="E224" s="1555" t="s">
        <v>135</v>
      </c>
      <c r="F224" s="1620">
        <v>1</v>
      </c>
      <c r="G224" s="1556">
        <f>VLOOKUP(C224,'AHSP MCK'!D:K,8,FALSE)</f>
        <v>48200</v>
      </c>
      <c r="H224" s="1684">
        <f t="shared" si="31"/>
        <v>48200</v>
      </c>
      <c r="I224" s="1678">
        <f t="shared" si="32"/>
        <v>2.3823619698311628E-3</v>
      </c>
      <c r="J224" s="1561" t="s">
        <v>3513</v>
      </c>
      <c r="K224" s="1555" t="s">
        <v>1772</v>
      </c>
      <c r="L224" s="1555">
        <v>41019</v>
      </c>
      <c r="M224" s="1555" t="s">
        <v>9227</v>
      </c>
      <c r="N224" s="1565"/>
      <c r="P224" s="1721">
        <v>2</v>
      </c>
      <c r="Q224" s="1721">
        <v>1</v>
      </c>
      <c r="R224" s="1721">
        <v>1</v>
      </c>
      <c r="T224" s="1721">
        <v>1</v>
      </c>
    </row>
    <row r="225" spans="1:20" ht="43.2" customHeight="1">
      <c r="A225" s="1545">
        <v>40</v>
      </c>
      <c r="B225" s="1706">
        <v>4</v>
      </c>
      <c r="C225" s="1855" t="s">
        <v>9229</v>
      </c>
      <c r="D225" s="1856"/>
      <c r="E225" s="1555" t="s">
        <v>135</v>
      </c>
      <c r="F225" s="1620">
        <v>1</v>
      </c>
      <c r="G225" s="1556">
        <f>VLOOKUP(C225,'AHSP MCK'!D:K,8,FALSE)</f>
        <v>46100</v>
      </c>
      <c r="H225" s="1684">
        <f t="shared" si="31"/>
        <v>46100</v>
      </c>
      <c r="I225" s="1678">
        <f t="shared" si="32"/>
        <v>2.2785661163737887E-3</v>
      </c>
      <c r="J225" s="1561" t="s">
        <v>3530</v>
      </c>
      <c r="K225" s="1555" t="s">
        <v>1772</v>
      </c>
      <c r="L225" s="1555">
        <v>41019</v>
      </c>
      <c r="M225" s="1555" t="s">
        <v>9227</v>
      </c>
      <c r="N225" s="1565"/>
      <c r="P225" s="1721">
        <v>1</v>
      </c>
      <c r="Q225" s="1721">
        <v>1</v>
      </c>
      <c r="R225" s="1721">
        <v>1</v>
      </c>
      <c r="T225" s="1721">
        <v>1</v>
      </c>
    </row>
    <row r="226" spans="1:20" ht="31.2" customHeight="1">
      <c r="A226" s="1545">
        <v>43</v>
      </c>
      <c r="B226" s="1706">
        <v>5</v>
      </c>
      <c r="C226" s="1855" t="s">
        <v>5875</v>
      </c>
      <c r="D226" s="1856"/>
      <c r="E226" s="1555" t="s">
        <v>135</v>
      </c>
      <c r="F226" s="1620">
        <v>2</v>
      </c>
      <c r="G226" s="1556">
        <f>VLOOKUP(C226,'AHSP MCK'!D:K,8,FALSE)</f>
        <v>75200</v>
      </c>
      <c r="H226" s="1684">
        <f t="shared" si="31"/>
        <v>150400</v>
      </c>
      <c r="I226" s="1678">
        <f t="shared" si="32"/>
        <v>7.4337601714233792E-3</v>
      </c>
      <c r="J226" s="1561" t="s">
        <v>5874</v>
      </c>
      <c r="K226" s="1555" t="s">
        <v>1772</v>
      </c>
      <c r="L226" s="1555">
        <v>41019</v>
      </c>
      <c r="M226" s="1555" t="s">
        <v>9227</v>
      </c>
      <c r="N226" s="1565"/>
      <c r="P226" s="1721">
        <v>4</v>
      </c>
      <c r="Q226" s="1721">
        <v>3</v>
      </c>
      <c r="R226" s="1721">
        <v>3</v>
      </c>
      <c r="T226" s="1721">
        <v>2</v>
      </c>
    </row>
    <row r="227" spans="1:20">
      <c r="B227" s="1708"/>
      <c r="C227" s="1575"/>
      <c r="D227" s="1575"/>
      <c r="E227" s="1576"/>
      <c r="F227" s="1621"/>
      <c r="G227" s="1577"/>
      <c r="H227" s="1685"/>
      <c r="I227" s="1578"/>
      <c r="J227" s="1608"/>
      <c r="K227" s="1576"/>
      <c r="L227" s="1576"/>
      <c r="M227" s="1576"/>
      <c r="N227" s="1579"/>
    </row>
    <row r="228" spans="1:20">
      <c r="B228" s="1714"/>
      <c r="C228" s="1858" t="s">
        <v>9274</v>
      </c>
      <c r="D228" s="1858"/>
      <c r="E228" s="1858"/>
      <c r="F228" s="1858"/>
      <c r="G228" s="1858"/>
      <c r="H228" s="1686">
        <f>SUM(H221:H226)</f>
        <v>606100</v>
      </c>
      <c r="I228" s="1567"/>
      <c r="J228" s="1547"/>
      <c r="K228" s="1547"/>
      <c r="L228" s="1547"/>
      <c r="N228" s="1568"/>
    </row>
    <row r="229" spans="1:20">
      <c r="B229" s="1715"/>
      <c r="C229" s="1607"/>
      <c r="D229" s="1770"/>
      <c r="E229" s="1591"/>
      <c r="F229" s="1622"/>
      <c r="G229" s="1592"/>
      <c r="H229" s="1687"/>
      <c r="I229" s="1679"/>
      <c r="J229" s="1609"/>
      <c r="K229" s="1591"/>
      <c r="L229" s="1591"/>
      <c r="M229" s="1591"/>
      <c r="N229" s="1593"/>
    </row>
    <row r="230" spans="1:20">
      <c r="B230" s="1716" t="s">
        <v>1766</v>
      </c>
      <c r="C230" s="1859" t="s">
        <v>9264</v>
      </c>
      <c r="D230" s="1859"/>
      <c r="E230" s="1595"/>
      <c r="F230" s="1623"/>
      <c r="G230" s="1596"/>
      <c r="H230" s="1690"/>
      <c r="I230" s="1597"/>
      <c r="J230" s="1610"/>
      <c r="K230" s="1595"/>
      <c r="L230" s="1595"/>
      <c r="M230" s="1595"/>
      <c r="N230" s="1598"/>
    </row>
    <row r="231" spans="1:20">
      <c r="A231" s="1545">
        <v>32</v>
      </c>
      <c r="B231" s="1706">
        <v>1</v>
      </c>
      <c r="C231" s="1855" t="s">
        <v>1487</v>
      </c>
      <c r="D231" s="1856"/>
      <c r="E231" s="1555" t="s">
        <v>9291</v>
      </c>
      <c r="F231" s="1620">
        <f>1.9*0.7</f>
        <v>1.3299999999999998</v>
      </c>
      <c r="G231" s="1556">
        <f>VLOOKUP(C231,'AHSP MCK'!D:K,8,FALSE)</f>
        <v>1200600</v>
      </c>
      <c r="H231" s="1684">
        <f>G231*F231</f>
        <v>1596797.9999999998</v>
      </c>
      <c r="I231" s="1678">
        <f>G231*F231/$H$78</f>
        <v>7.8924291051918269E-2</v>
      </c>
      <c r="J231" s="1561" t="s">
        <v>3027</v>
      </c>
      <c r="K231" s="1555" t="s">
        <v>1772</v>
      </c>
      <c r="L231" s="1555">
        <v>41019</v>
      </c>
      <c r="M231" s="1555" t="s">
        <v>9227</v>
      </c>
      <c r="N231" s="1565"/>
      <c r="P231" s="1721">
        <f>2*0.7*3</f>
        <v>4.1999999999999993</v>
      </c>
      <c r="Q231" s="1721">
        <f>0.7*2*2</f>
        <v>2.8</v>
      </c>
      <c r="R231" s="1721">
        <f>0.7*2*2</f>
        <v>2.8</v>
      </c>
      <c r="T231" s="1721">
        <f>2*0.7</f>
        <v>1.4</v>
      </c>
    </row>
    <row r="232" spans="1:20">
      <c r="A232" s="1545">
        <v>33</v>
      </c>
      <c r="B232" s="1706">
        <v>2</v>
      </c>
      <c r="C232" s="1855" t="s">
        <v>1565</v>
      </c>
      <c r="D232" s="1856"/>
      <c r="E232" s="1555" t="s">
        <v>775</v>
      </c>
      <c r="F232" s="1620"/>
      <c r="G232" s="1556">
        <f>VLOOKUP(C232,'AHSP MCK'!D:K,8,FALSE)</f>
        <v>1303500</v>
      </c>
      <c r="H232" s="1684">
        <f>G232*F232</f>
        <v>0</v>
      </c>
      <c r="I232" s="1678">
        <f>G232*F232/$H$78</f>
        <v>0</v>
      </c>
      <c r="J232" s="1561" t="s">
        <v>3173</v>
      </c>
      <c r="K232" s="1555" t="s">
        <v>1772</v>
      </c>
      <c r="L232" s="1555">
        <v>41019</v>
      </c>
      <c r="M232" s="1555" t="s">
        <v>9227</v>
      </c>
      <c r="N232" s="1565"/>
    </row>
    <row r="233" spans="1:20">
      <c r="A233" s="1545">
        <v>68</v>
      </c>
      <c r="B233" s="1706">
        <v>3</v>
      </c>
      <c r="C233" s="1855" t="s">
        <v>9232</v>
      </c>
      <c r="D233" s="1856"/>
      <c r="E233" s="1555" t="s">
        <v>775</v>
      </c>
      <c r="F233" s="1620">
        <v>1</v>
      </c>
      <c r="G233" s="1556">
        <v>350000</v>
      </c>
      <c r="H233" s="1684">
        <f>G233*F233</f>
        <v>350000</v>
      </c>
      <c r="I233" s="1678">
        <f>G233*F233/$H$78</f>
        <v>1.7299308909562387E-2</v>
      </c>
      <c r="J233" s="1563" t="s">
        <v>3156</v>
      </c>
      <c r="K233" s="1555" t="s">
        <v>1772</v>
      </c>
      <c r="L233" s="1555">
        <v>41019</v>
      </c>
      <c r="M233" s="1555" t="s">
        <v>9227</v>
      </c>
      <c r="N233" s="1565"/>
      <c r="P233" s="1721">
        <v>1</v>
      </c>
      <c r="Q233" s="1721">
        <v>1</v>
      </c>
      <c r="R233" s="1721">
        <v>1</v>
      </c>
      <c r="T233" s="1721">
        <v>1</v>
      </c>
    </row>
    <row r="234" spans="1:20">
      <c r="A234" s="1545">
        <v>68</v>
      </c>
      <c r="B234" s="1706">
        <v>4</v>
      </c>
      <c r="C234" s="1855" t="s">
        <v>9323</v>
      </c>
      <c r="D234" s="1856"/>
      <c r="E234" s="1555" t="s">
        <v>1171</v>
      </c>
      <c r="F234" s="1620">
        <v>1</v>
      </c>
      <c r="G234" s="1556">
        <v>170000</v>
      </c>
      <c r="H234" s="1684">
        <f>G234*F234</f>
        <v>170000</v>
      </c>
      <c r="I234" s="1678">
        <f>G234*F234/$H$78</f>
        <v>8.402521470358873E-3</v>
      </c>
      <c r="J234" s="1563" t="s">
        <v>3156</v>
      </c>
      <c r="K234" s="1555" t="s">
        <v>1772</v>
      </c>
      <c r="L234" s="1555">
        <v>41019</v>
      </c>
      <c r="M234" s="1555" t="s">
        <v>9227</v>
      </c>
      <c r="N234" s="1565"/>
      <c r="P234" s="1721">
        <v>1</v>
      </c>
      <c r="Q234" s="1721">
        <v>1</v>
      </c>
      <c r="R234" s="1721">
        <v>1</v>
      </c>
      <c r="T234" s="1721">
        <v>1</v>
      </c>
    </row>
    <row r="235" spans="1:20">
      <c r="B235" s="1708"/>
      <c r="C235" s="1575"/>
      <c r="D235" s="1575"/>
      <c r="E235" s="1576"/>
      <c r="F235" s="1621"/>
      <c r="G235" s="1577"/>
      <c r="H235" s="1685"/>
      <c r="I235" s="1578"/>
      <c r="J235" s="1608"/>
      <c r="K235" s="1576"/>
      <c r="L235" s="1576"/>
      <c r="M235" s="1576"/>
      <c r="N235" s="1579"/>
    </row>
    <row r="236" spans="1:20" ht="15" thickBot="1">
      <c r="B236" s="1713"/>
      <c r="C236" s="1857" t="s">
        <v>9274</v>
      </c>
      <c r="D236" s="1857"/>
      <c r="E236" s="1857"/>
      <c r="F236" s="1857"/>
      <c r="G236" s="1857"/>
      <c r="H236" s="1694">
        <f>SUM(H231:H234)</f>
        <v>2116798</v>
      </c>
      <c r="I236" s="1569"/>
      <c r="J236" s="1570"/>
      <c r="K236" s="1570"/>
      <c r="L236" s="1570"/>
      <c r="M236" s="1570"/>
      <c r="N236" s="1571"/>
    </row>
    <row r="237" spans="1:20">
      <c r="B237" s="1936" t="s">
        <v>9266</v>
      </c>
      <c r="C237" s="1772" t="s">
        <v>9342</v>
      </c>
      <c r="D237" s="1769"/>
      <c r="E237" s="1581"/>
      <c r="F237" s="1618"/>
      <c r="G237" s="1581"/>
      <c r="H237" s="1689"/>
      <c r="I237" s="1679"/>
      <c r="J237" s="1591"/>
      <c r="K237" s="1591"/>
      <c r="L237" s="1591"/>
      <c r="M237" s="1591"/>
      <c r="N237" s="1593"/>
    </row>
    <row r="238" spans="1:20" hidden="1">
      <c r="B238" s="1716" t="s">
        <v>1201</v>
      </c>
      <c r="C238" s="1859" t="s">
        <v>9251</v>
      </c>
      <c r="D238" s="1859"/>
      <c r="E238" s="1595"/>
      <c r="F238" s="1623"/>
      <c r="G238" s="1596"/>
      <c r="H238" s="1690"/>
      <c r="I238" s="1597"/>
      <c r="J238" s="1595"/>
      <c r="K238" s="1595"/>
      <c r="L238" s="1595"/>
      <c r="M238" s="1595"/>
      <c r="N238" s="1598"/>
    </row>
    <row r="239" spans="1:20" ht="42.6" hidden="1" customHeight="1">
      <c r="A239" s="1545">
        <v>3</v>
      </c>
      <c r="B239" s="1706">
        <v>1</v>
      </c>
      <c r="C239" s="1855" t="s">
        <v>1956</v>
      </c>
      <c r="D239" s="1856"/>
      <c r="E239" s="1555" t="s">
        <v>120</v>
      </c>
      <c r="F239" s="1620"/>
      <c r="G239" s="1556">
        <f>VLOOKUP(C239,'AHSP MCK'!D:K,8,FALSE)</f>
        <v>89100</v>
      </c>
      <c r="H239" s="1684">
        <f t="shared" ref="H239:H242" si="33">G239*F239</f>
        <v>0</v>
      </c>
      <c r="I239" s="1678">
        <f>G239*F239/$H$78</f>
        <v>0</v>
      </c>
      <c r="J239" s="1561" t="s">
        <v>1810</v>
      </c>
      <c r="K239" s="1555" t="s">
        <v>9068</v>
      </c>
      <c r="L239" s="1555">
        <v>41019</v>
      </c>
      <c r="M239" s="1555" t="s">
        <v>9227</v>
      </c>
      <c r="N239" s="1565"/>
    </row>
    <row r="240" spans="1:20" ht="46.2" hidden="1" customHeight="1">
      <c r="A240" s="1545">
        <v>4</v>
      </c>
      <c r="B240" s="1706">
        <v>2</v>
      </c>
      <c r="C240" s="1855" t="s">
        <v>6455</v>
      </c>
      <c r="D240" s="1856"/>
      <c r="E240" s="1555" t="s">
        <v>120</v>
      </c>
      <c r="F240" s="1620"/>
      <c r="G240" s="1556">
        <f>VLOOKUP(C240,'AHSP MCK'!D:K,8,FALSE)</f>
        <v>59400</v>
      </c>
      <c r="H240" s="1684">
        <f t="shared" si="33"/>
        <v>0</v>
      </c>
      <c r="I240" s="1678">
        <f>G240*F240/$H$78</f>
        <v>0</v>
      </c>
      <c r="J240" s="1561" t="s">
        <v>2072</v>
      </c>
      <c r="K240" s="1555" t="s">
        <v>9068</v>
      </c>
      <c r="L240" s="1555">
        <v>41019</v>
      </c>
      <c r="M240" s="1555" t="s">
        <v>9227</v>
      </c>
      <c r="N240" s="1565"/>
    </row>
    <row r="241" spans="1:14" ht="42.6" hidden="1" customHeight="1">
      <c r="A241" s="1545">
        <v>5</v>
      </c>
      <c r="B241" s="1706">
        <v>3</v>
      </c>
      <c r="C241" s="1855" t="s">
        <v>1260</v>
      </c>
      <c r="D241" s="1856"/>
      <c r="E241" s="1555" t="s">
        <v>120</v>
      </c>
      <c r="F241" s="1620"/>
      <c r="G241" s="1556">
        <f>VLOOKUP(C241,'AHSP MCK'!D:K,8,FALSE)</f>
        <v>326700</v>
      </c>
      <c r="H241" s="1684">
        <f t="shared" si="33"/>
        <v>0</v>
      </c>
      <c r="I241" s="1678">
        <f>G241*F241/$H$78</f>
        <v>0</v>
      </c>
      <c r="J241" s="1561" t="s">
        <v>2073</v>
      </c>
      <c r="K241" s="1555" t="s">
        <v>9068</v>
      </c>
      <c r="L241" s="1555">
        <v>41019</v>
      </c>
      <c r="M241" s="1555" t="s">
        <v>9227</v>
      </c>
      <c r="N241" s="1565"/>
    </row>
    <row r="242" spans="1:14" ht="31.8" hidden="1" customHeight="1">
      <c r="A242" s="1545">
        <v>6</v>
      </c>
      <c r="B242" s="1706">
        <v>4</v>
      </c>
      <c r="C242" s="1855" t="s">
        <v>2118</v>
      </c>
      <c r="D242" s="1856"/>
      <c r="E242" s="1555" t="s">
        <v>120</v>
      </c>
      <c r="F242" s="1620"/>
      <c r="G242" s="1556">
        <f>VLOOKUP(C242,'AHSP MCK'!D:K,8,FALSE)</f>
        <v>26700</v>
      </c>
      <c r="H242" s="1684">
        <f t="shared" si="33"/>
        <v>0</v>
      </c>
      <c r="I242" s="1678">
        <f>G242*F242/$H$78</f>
        <v>0</v>
      </c>
      <c r="J242" s="1555" t="s">
        <v>2112</v>
      </c>
      <c r="K242" s="1555" t="s">
        <v>9068</v>
      </c>
      <c r="L242" s="1555">
        <v>41019</v>
      </c>
      <c r="M242" s="1555" t="s">
        <v>9227</v>
      </c>
      <c r="N242" s="1565"/>
    </row>
    <row r="243" spans="1:14" hidden="1">
      <c r="B243" s="1708"/>
      <c r="C243" s="1575"/>
      <c r="D243" s="1575"/>
      <c r="E243" s="1576"/>
      <c r="F243" s="1621"/>
      <c r="G243" s="1577"/>
      <c r="H243" s="1685"/>
      <c r="I243" s="1578"/>
      <c r="J243" s="1576"/>
      <c r="K243" s="1576"/>
      <c r="L243" s="1576"/>
      <c r="M243" s="1576"/>
      <c r="N243" s="1579"/>
    </row>
    <row r="244" spans="1:14" hidden="1">
      <c r="B244" s="1714"/>
      <c r="C244" s="1858" t="s">
        <v>9274</v>
      </c>
      <c r="D244" s="1858"/>
      <c r="E244" s="1858"/>
      <c r="F244" s="1858"/>
      <c r="G244" s="1858"/>
      <c r="H244" s="1686">
        <f>SUM(H239:H242)</f>
        <v>0</v>
      </c>
      <c r="I244" s="1567"/>
      <c r="J244" s="1547"/>
      <c r="K244" s="1547"/>
      <c r="L244" s="1547"/>
      <c r="N244" s="1568"/>
    </row>
    <row r="245" spans="1:14" hidden="1">
      <c r="B245" s="1715"/>
      <c r="C245" s="1590"/>
      <c r="D245" s="1638"/>
      <c r="E245" s="1591"/>
      <c r="F245" s="1622"/>
      <c r="G245" s="1592"/>
      <c r="H245" s="1687"/>
      <c r="I245" s="1679"/>
      <c r="J245" s="1591"/>
      <c r="K245" s="1591"/>
      <c r="L245" s="1591"/>
      <c r="M245" s="1591"/>
      <c r="N245" s="1593"/>
    </row>
    <row r="246" spans="1:14" hidden="1">
      <c r="B246" s="1716" t="s">
        <v>9266</v>
      </c>
      <c r="C246" s="1859" t="s">
        <v>9252</v>
      </c>
      <c r="D246" s="1859"/>
      <c r="E246" s="1595"/>
      <c r="F246" s="1623"/>
      <c r="G246" s="1596"/>
      <c r="H246" s="1690"/>
      <c r="I246" s="1597"/>
      <c r="J246" s="1595"/>
      <c r="K246" s="1595"/>
      <c r="L246" s="1595"/>
      <c r="M246" s="1595"/>
      <c r="N246" s="1598"/>
    </row>
    <row r="247" spans="1:14" ht="47.4" hidden="1" customHeight="1">
      <c r="A247" s="1545">
        <v>17</v>
      </c>
      <c r="B247" s="1706">
        <v>1</v>
      </c>
      <c r="C247" s="1855" t="s">
        <v>1270</v>
      </c>
      <c r="D247" s="1856"/>
      <c r="E247" s="1555" t="s">
        <v>120</v>
      </c>
      <c r="F247" s="1620"/>
      <c r="G247" s="1556">
        <f>VLOOKUP(C247,'AHSP MCK'!D:K,8,FALSE)</f>
        <v>1104800</v>
      </c>
      <c r="H247" s="1684">
        <f>G247*F247</f>
        <v>0</v>
      </c>
      <c r="I247" s="1678">
        <f>G247*F247/$H$78</f>
        <v>0</v>
      </c>
      <c r="J247" s="1555" t="s">
        <v>2354</v>
      </c>
      <c r="K247" s="1555" t="s">
        <v>1772</v>
      </c>
      <c r="L247" s="1555">
        <v>41019</v>
      </c>
      <c r="M247" s="1555" t="s">
        <v>9227</v>
      </c>
      <c r="N247" s="1565"/>
    </row>
    <row r="248" spans="1:14" hidden="1">
      <c r="B248" s="1708"/>
      <c r="C248" s="1575"/>
      <c r="D248" s="1575"/>
      <c r="E248" s="1576"/>
      <c r="F248" s="1621"/>
      <c r="G248" s="1577"/>
      <c r="H248" s="1685"/>
      <c r="I248" s="1578"/>
      <c r="J248" s="1576"/>
      <c r="K248" s="1576"/>
      <c r="L248" s="1576"/>
      <c r="M248" s="1576"/>
      <c r="N248" s="1579"/>
    </row>
    <row r="249" spans="1:14" hidden="1">
      <c r="B249" s="1714"/>
      <c r="C249" s="1858" t="s">
        <v>9274</v>
      </c>
      <c r="D249" s="1858"/>
      <c r="E249" s="1858"/>
      <c r="F249" s="1858"/>
      <c r="G249" s="1858"/>
      <c r="H249" s="1686">
        <f>H247</f>
        <v>0</v>
      </c>
      <c r="I249" s="1567"/>
      <c r="J249" s="1547"/>
      <c r="K249" s="1547"/>
      <c r="L249" s="1547"/>
      <c r="N249" s="1568"/>
    </row>
    <row r="250" spans="1:14" hidden="1">
      <c r="B250" s="1715"/>
      <c r="C250" s="1590"/>
      <c r="D250" s="1638"/>
      <c r="E250" s="1591"/>
      <c r="F250" s="1622"/>
      <c r="G250" s="1592"/>
      <c r="H250" s="1687"/>
      <c r="I250" s="1679"/>
      <c r="J250" s="1591"/>
      <c r="K250" s="1591"/>
      <c r="L250" s="1591"/>
      <c r="M250" s="1591"/>
      <c r="N250" s="1593"/>
    </row>
    <row r="251" spans="1:14" hidden="1">
      <c r="B251" s="1717" t="s">
        <v>1769</v>
      </c>
      <c r="C251" s="1862" t="s">
        <v>9253</v>
      </c>
      <c r="D251" s="1862"/>
      <c r="E251" s="1547"/>
      <c r="F251" s="1624"/>
      <c r="G251" s="1552"/>
      <c r="H251" s="1691"/>
      <c r="I251" s="1567"/>
      <c r="J251" s="1547"/>
      <c r="K251" s="1547"/>
      <c r="L251" s="1547"/>
      <c r="N251" s="1568"/>
    </row>
    <row r="252" spans="1:14" hidden="1">
      <c r="B252" s="1716" t="s">
        <v>1201</v>
      </c>
      <c r="C252" s="1859" t="s">
        <v>9254</v>
      </c>
      <c r="D252" s="1859"/>
      <c r="E252" s="1595"/>
      <c r="F252" s="1623"/>
      <c r="G252" s="1596"/>
      <c r="H252" s="1690"/>
      <c r="I252" s="1597"/>
      <c r="J252" s="1595"/>
      <c r="K252" s="1595"/>
      <c r="L252" s="1595"/>
      <c r="M252" s="1595"/>
      <c r="N252" s="1598"/>
    </row>
    <row r="253" spans="1:14" ht="42" hidden="1" customHeight="1">
      <c r="A253" s="1545">
        <v>8</v>
      </c>
      <c r="B253" s="1706">
        <v>1</v>
      </c>
      <c r="C253" s="1855" t="s">
        <v>6483</v>
      </c>
      <c r="D253" s="1856"/>
      <c r="E253" s="1555" t="s">
        <v>65</v>
      </c>
      <c r="F253" s="1620"/>
      <c r="G253" s="1556">
        <f>VLOOKUP(C253,'AHSP MCK'!D:K,8,FALSE)</f>
        <v>15900</v>
      </c>
      <c r="H253" s="1684">
        <f t="shared" ref="H253" si="34">G253*F253</f>
        <v>0</v>
      </c>
      <c r="I253" s="1678">
        <f t="shared" ref="I253" si="35">G253*F253/$H$78</f>
        <v>0</v>
      </c>
      <c r="J253" s="1555" t="s">
        <v>2228</v>
      </c>
      <c r="K253" s="1555" t="s">
        <v>1772</v>
      </c>
      <c r="L253" s="1555">
        <v>41019</v>
      </c>
      <c r="M253" s="1555" t="s">
        <v>9227</v>
      </c>
      <c r="N253" s="1565"/>
    </row>
    <row r="254" spans="1:14" ht="30.6" hidden="1" customHeight="1">
      <c r="A254" s="1545">
        <v>9</v>
      </c>
      <c r="B254" s="1706">
        <v>2</v>
      </c>
      <c r="C254" s="1855" t="s">
        <v>2249</v>
      </c>
      <c r="D254" s="1856"/>
      <c r="E254" s="1555" t="s">
        <v>9291</v>
      </c>
      <c r="F254" s="1620"/>
      <c r="G254" s="1556">
        <f>VLOOKUP(C254,'AHSP MCK'!D:K,8,FALSE)</f>
        <v>183600</v>
      </c>
      <c r="H254" s="1684">
        <f>G254*F254</f>
        <v>0</v>
      </c>
      <c r="I254" s="1678">
        <f>G254*F254/$H$78</f>
        <v>0</v>
      </c>
      <c r="J254" s="1555" t="s">
        <v>2248</v>
      </c>
      <c r="K254" s="1555" t="s">
        <v>1772</v>
      </c>
      <c r="L254" s="1555">
        <v>41019</v>
      </c>
      <c r="M254" s="1555" t="s">
        <v>9227</v>
      </c>
      <c r="N254" s="1565"/>
    </row>
    <row r="255" spans="1:14" ht="42" hidden="1" customHeight="1">
      <c r="A255" s="1545">
        <v>14</v>
      </c>
      <c r="B255" s="1706">
        <v>3</v>
      </c>
      <c r="C255" s="1855" t="s">
        <v>2272</v>
      </c>
      <c r="D255" s="1856"/>
      <c r="E255" s="1555" t="s">
        <v>120</v>
      </c>
      <c r="F255" s="1620"/>
      <c r="G255" s="1556">
        <f>VLOOKUP(C255,'AHSP MCK'!D:K,8,FALSE)</f>
        <v>1291800</v>
      </c>
      <c r="H255" s="1684">
        <f t="shared" ref="H255:H256" si="36">G255*F255</f>
        <v>0</v>
      </c>
      <c r="I255" s="1678">
        <f t="shared" ref="I255:I256" si="37">G255*F255/$H$78</f>
        <v>0</v>
      </c>
      <c r="J255" s="1555" t="s">
        <v>2271</v>
      </c>
      <c r="K255" s="1555" t="s">
        <v>1772</v>
      </c>
      <c r="L255" s="1555">
        <v>41019</v>
      </c>
      <c r="M255" s="1555" t="s">
        <v>9227</v>
      </c>
      <c r="N255" s="1565"/>
    </row>
    <row r="256" spans="1:14" ht="26.4" hidden="1" customHeight="1">
      <c r="A256" s="1545">
        <v>16</v>
      </c>
      <c r="B256" s="1706">
        <v>1</v>
      </c>
      <c r="C256" s="1855" t="s">
        <v>1318</v>
      </c>
      <c r="D256" s="1856"/>
      <c r="E256" s="1555" t="s">
        <v>113</v>
      </c>
      <c r="F256" s="1620"/>
      <c r="G256" s="1556">
        <f>VLOOKUP(C256,'AHSP MCK'!D:K,8,FALSE)</f>
        <v>147800</v>
      </c>
      <c r="H256" s="1684">
        <f t="shared" si="36"/>
        <v>0</v>
      </c>
      <c r="I256" s="1678">
        <f t="shared" si="37"/>
        <v>0</v>
      </c>
      <c r="J256" s="1555" t="s">
        <v>2333</v>
      </c>
      <c r="K256" s="1555" t="s">
        <v>1772</v>
      </c>
      <c r="L256" s="1555">
        <v>41019</v>
      </c>
      <c r="M256" s="1555" t="s">
        <v>9227</v>
      </c>
      <c r="N256" s="1565"/>
    </row>
    <row r="257" spans="1:14" hidden="1">
      <c r="B257" s="1711"/>
      <c r="C257" s="1601"/>
      <c r="D257" s="1601"/>
      <c r="E257" s="1602"/>
      <c r="F257" s="1625"/>
      <c r="G257" s="1603"/>
      <c r="H257" s="1692"/>
      <c r="I257" s="1604"/>
      <c r="J257" s="1602"/>
      <c r="K257" s="1602"/>
      <c r="L257" s="1602"/>
      <c r="M257" s="1602"/>
      <c r="N257" s="1605"/>
    </row>
    <row r="258" spans="1:14" hidden="1">
      <c r="B258" s="1716" t="s">
        <v>1209</v>
      </c>
      <c r="C258" s="1859" t="s">
        <v>9311</v>
      </c>
      <c r="D258" s="1859"/>
      <c r="E258" s="1595"/>
      <c r="F258" s="1623"/>
      <c r="G258" s="1596"/>
      <c r="H258" s="1690"/>
      <c r="I258" s="1597"/>
      <c r="J258" s="1595"/>
      <c r="K258" s="1595"/>
      <c r="L258" s="1595"/>
      <c r="M258" s="1595"/>
      <c r="N258" s="1598"/>
    </row>
    <row r="259" spans="1:14" ht="44.4" hidden="1" customHeight="1">
      <c r="B259" s="1706">
        <v>1</v>
      </c>
      <c r="C259" s="1855" t="s">
        <v>6470</v>
      </c>
      <c r="D259" s="1856"/>
      <c r="E259" s="1555" t="s">
        <v>65</v>
      </c>
      <c r="F259" s="1620"/>
      <c r="G259" s="1556">
        <f>VLOOKUP(C259,'AHSP MCK'!D:K,8,FALSE)</f>
        <v>17100</v>
      </c>
      <c r="H259" s="1684">
        <f t="shared" ref="H259:H261" si="38">G259*F259</f>
        <v>0</v>
      </c>
      <c r="I259" s="1678">
        <f>G259*F259/$H$78</f>
        <v>0</v>
      </c>
      <c r="J259" s="1555" t="s">
        <v>2225</v>
      </c>
      <c r="K259" s="1555" t="s">
        <v>1772</v>
      </c>
      <c r="L259" s="1555">
        <v>41019</v>
      </c>
      <c r="M259" s="1555" t="s">
        <v>9227</v>
      </c>
      <c r="N259" s="1565"/>
    </row>
    <row r="260" spans="1:14" ht="27" hidden="1" customHeight="1">
      <c r="A260" s="1545">
        <v>13</v>
      </c>
      <c r="B260" s="1706">
        <v>2</v>
      </c>
      <c r="C260" s="1855" t="s">
        <v>1306</v>
      </c>
      <c r="D260" s="1856"/>
      <c r="E260" s="1555" t="s">
        <v>9291</v>
      </c>
      <c r="F260" s="1620"/>
      <c r="G260" s="1556">
        <f>VLOOKUP(C260,'AHSP MCK'!D:K,8,FALSE)</f>
        <v>225000</v>
      </c>
      <c r="H260" s="1684">
        <f t="shared" si="38"/>
        <v>0</v>
      </c>
      <c r="I260" s="1678">
        <f>G260*F260/$H$78</f>
        <v>0</v>
      </c>
      <c r="J260" s="1555" t="s">
        <v>2253</v>
      </c>
      <c r="K260" s="1555" t="s">
        <v>1772</v>
      </c>
      <c r="L260" s="1555">
        <v>41019</v>
      </c>
      <c r="M260" s="1555" t="s">
        <v>9227</v>
      </c>
      <c r="N260" s="1565"/>
    </row>
    <row r="261" spans="1:14" ht="43.2" hidden="1" customHeight="1">
      <c r="A261" s="1545">
        <v>14</v>
      </c>
      <c r="B261" s="1706">
        <v>3</v>
      </c>
      <c r="C261" s="1855" t="s">
        <v>2272</v>
      </c>
      <c r="D261" s="1856"/>
      <c r="E261" s="1555" t="s">
        <v>120</v>
      </c>
      <c r="F261" s="1620"/>
      <c r="G261" s="1556">
        <f>VLOOKUP(C261,'AHSP MCK'!D:K,8,FALSE)</f>
        <v>1291800</v>
      </c>
      <c r="H261" s="1684">
        <f t="shared" si="38"/>
        <v>0</v>
      </c>
      <c r="I261" s="1678">
        <f>G261*F261/$H$78</f>
        <v>0</v>
      </c>
      <c r="J261" s="1555" t="s">
        <v>2271</v>
      </c>
      <c r="K261" s="1555" t="s">
        <v>1772</v>
      </c>
      <c r="L261" s="1555">
        <v>41019</v>
      </c>
      <c r="M261" s="1555" t="s">
        <v>9227</v>
      </c>
      <c r="N261" s="1565"/>
    </row>
    <row r="262" spans="1:14" hidden="1">
      <c r="B262" s="1706"/>
      <c r="C262" s="1860"/>
      <c r="D262" s="1861"/>
      <c r="E262" s="1555"/>
      <c r="F262" s="1620"/>
      <c r="G262" s="1556"/>
      <c r="H262" s="1684"/>
      <c r="I262" s="1678"/>
      <c r="J262" s="1555"/>
      <c r="K262" s="1555"/>
      <c r="L262" s="1555"/>
      <c r="M262" s="1555"/>
      <c r="N262" s="1565"/>
    </row>
    <row r="263" spans="1:14" hidden="1">
      <c r="B263" s="1711"/>
      <c r="C263" s="1601"/>
      <c r="D263" s="1601"/>
      <c r="E263" s="1602"/>
      <c r="F263" s="1625"/>
      <c r="G263" s="1603"/>
      <c r="H263" s="1692"/>
      <c r="I263" s="1604"/>
      <c r="J263" s="1602"/>
      <c r="K263" s="1602"/>
      <c r="L263" s="1602"/>
      <c r="M263" s="1602"/>
      <c r="N263" s="1605"/>
    </row>
    <row r="264" spans="1:14" hidden="1">
      <c r="B264" s="1716" t="s">
        <v>1215</v>
      </c>
      <c r="C264" s="1859" t="s">
        <v>9255</v>
      </c>
      <c r="D264" s="1859"/>
      <c r="E264" s="1595"/>
      <c r="F264" s="1623"/>
      <c r="G264" s="1596"/>
      <c r="H264" s="1690"/>
      <c r="I264" s="1597"/>
      <c r="J264" s="1595"/>
      <c r="K264" s="1595"/>
      <c r="L264" s="1595"/>
      <c r="M264" s="1595"/>
      <c r="N264" s="1598"/>
    </row>
    <row r="265" spans="1:14" ht="40.799999999999997" hidden="1" customHeight="1">
      <c r="A265" s="1545">
        <v>8</v>
      </c>
      <c r="B265" s="1706">
        <v>1</v>
      </c>
      <c r="C265" s="1855" t="s">
        <v>6483</v>
      </c>
      <c r="D265" s="1856"/>
      <c r="E265" s="1555" t="s">
        <v>65</v>
      </c>
      <c r="F265" s="1620"/>
      <c r="G265" s="1556">
        <f>VLOOKUP(C265,'AHSP MCK'!D:K,8,FALSE)</f>
        <v>15900</v>
      </c>
      <c r="H265" s="1684">
        <f t="shared" ref="H265" si="39">G265*F265</f>
        <v>0</v>
      </c>
      <c r="I265" s="1678">
        <f t="shared" ref="I265" si="40">G265*F265/$H$78</f>
        <v>0</v>
      </c>
      <c r="J265" s="1555" t="s">
        <v>2228</v>
      </c>
      <c r="K265" s="1555" t="s">
        <v>1772</v>
      </c>
      <c r="L265" s="1555">
        <v>41019</v>
      </c>
      <c r="M265" s="1555" t="s">
        <v>9227</v>
      </c>
      <c r="N265" s="1565"/>
    </row>
    <row r="266" spans="1:14" ht="30" hidden="1" customHeight="1">
      <c r="A266" s="1545">
        <v>11</v>
      </c>
      <c r="B266" s="1706">
        <v>2</v>
      </c>
      <c r="C266" s="1855" t="s">
        <v>1304</v>
      </c>
      <c r="D266" s="1856"/>
      <c r="E266" s="1555" t="s">
        <v>9291</v>
      </c>
      <c r="F266" s="1620"/>
      <c r="G266" s="1556">
        <f>VLOOKUP(C266,'AHSP MCK'!D:K,8,FALSE)</f>
        <v>216900</v>
      </c>
      <c r="H266" s="1684">
        <f>G266*F266</f>
        <v>0</v>
      </c>
      <c r="I266" s="1678">
        <f>G266*F266/$H$78</f>
        <v>0</v>
      </c>
      <c r="J266" s="1555" t="s">
        <v>2251</v>
      </c>
      <c r="K266" s="1555" t="s">
        <v>1772</v>
      </c>
      <c r="L266" s="1555">
        <v>41019</v>
      </c>
      <c r="M266" s="1555" t="s">
        <v>9227</v>
      </c>
      <c r="N266" s="1565"/>
    </row>
    <row r="267" spans="1:14" ht="40.799999999999997" hidden="1" customHeight="1">
      <c r="A267" s="1545">
        <v>14</v>
      </c>
      <c r="B267" s="1706">
        <v>3</v>
      </c>
      <c r="C267" s="1855" t="s">
        <v>2272</v>
      </c>
      <c r="D267" s="1856"/>
      <c r="E267" s="1555" t="s">
        <v>120</v>
      </c>
      <c r="F267" s="1620"/>
      <c r="G267" s="1556">
        <f>VLOOKUP(C267,'AHSP MCK'!D:K,8,FALSE)</f>
        <v>1291800</v>
      </c>
      <c r="H267" s="1684">
        <f t="shared" ref="H267" si="41">G267*F267</f>
        <v>0</v>
      </c>
      <c r="I267" s="1678">
        <f t="shared" ref="I267" si="42">G267*F267/$H$78</f>
        <v>0</v>
      </c>
      <c r="J267" s="1555" t="s">
        <v>2271</v>
      </c>
      <c r="K267" s="1555" t="s">
        <v>1772</v>
      </c>
      <c r="L267" s="1555">
        <v>41019</v>
      </c>
      <c r="M267" s="1555" t="s">
        <v>9227</v>
      </c>
      <c r="N267" s="1565"/>
    </row>
    <row r="268" spans="1:14" ht="30" hidden="1" customHeight="1">
      <c r="A268" s="1545">
        <v>15</v>
      </c>
      <c r="B268" s="1706">
        <v>1</v>
      </c>
      <c r="C268" s="1855" t="s">
        <v>1317</v>
      </c>
      <c r="D268" s="1856"/>
      <c r="E268" s="1555" t="s">
        <v>113</v>
      </c>
      <c r="F268" s="1620"/>
      <c r="G268" s="1556">
        <f>VLOOKUP(C268,'AHSP MCK'!D:K,8,FALSE)</f>
        <v>105800</v>
      </c>
      <c r="H268" s="1684">
        <f>G268*F268</f>
        <v>0</v>
      </c>
      <c r="I268" s="1678">
        <f>G268*F268/$H$78</f>
        <v>0</v>
      </c>
      <c r="J268" s="1555" t="s">
        <v>2331</v>
      </c>
      <c r="K268" s="1555" t="s">
        <v>1772</v>
      </c>
      <c r="L268" s="1555">
        <v>41019</v>
      </c>
      <c r="M268" s="1555" t="s">
        <v>9227</v>
      </c>
      <c r="N268" s="1565"/>
    </row>
    <row r="269" spans="1:14" hidden="1">
      <c r="B269" s="1711"/>
      <c r="C269" s="1601"/>
      <c r="D269" s="1601"/>
      <c r="E269" s="1602"/>
      <c r="F269" s="1625"/>
      <c r="G269" s="1603"/>
      <c r="H269" s="1692"/>
      <c r="I269" s="1604"/>
      <c r="J269" s="1602"/>
      <c r="K269" s="1602"/>
      <c r="L269" s="1602"/>
      <c r="M269" s="1602"/>
      <c r="N269" s="1605"/>
    </row>
    <row r="270" spans="1:14" hidden="1">
      <c r="B270" s="1716" t="s">
        <v>1218</v>
      </c>
      <c r="C270" s="1859" t="s">
        <v>9256</v>
      </c>
      <c r="D270" s="1859"/>
      <c r="E270" s="1595"/>
      <c r="F270" s="1623"/>
      <c r="G270" s="1596"/>
      <c r="H270" s="1690"/>
      <c r="I270" s="1597"/>
      <c r="J270" s="1595"/>
      <c r="K270" s="1595"/>
      <c r="L270" s="1595"/>
      <c r="M270" s="1595"/>
      <c r="N270" s="1598"/>
    </row>
    <row r="271" spans="1:14" ht="41.4" hidden="1" customHeight="1">
      <c r="A271" s="1545">
        <v>8</v>
      </c>
      <c r="B271" s="1706">
        <v>1</v>
      </c>
      <c r="C271" s="1855" t="s">
        <v>6483</v>
      </c>
      <c r="D271" s="1856"/>
      <c r="E271" s="1555" t="s">
        <v>65</v>
      </c>
      <c r="F271" s="1620"/>
      <c r="G271" s="1556">
        <f>VLOOKUP(C271,'AHSP MCK'!D:K,8,FALSE)</f>
        <v>15900</v>
      </c>
      <c r="H271" s="1684">
        <f t="shared" ref="H271" si="43">G271*F271</f>
        <v>0</v>
      </c>
      <c r="I271" s="1678">
        <f t="shared" ref="I271" si="44">G271*F271/$H$78</f>
        <v>0</v>
      </c>
      <c r="J271" s="1555" t="s">
        <v>2228</v>
      </c>
      <c r="K271" s="1555" t="s">
        <v>1772</v>
      </c>
      <c r="L271" s="1555">
        <v>41019</v>
      </c>
      <c r="M271" s="1555" t="s">
        <v>9227</v>
      </c>
      <c r="N271" s="1565"/>
    </row>
    <row r="272" spans="1:14" ht="27.6" hidden="1" customHeight="1">
      <c r="A272" s="1545">
        <v>12</v>
      </c>
      <c r="B272" s="1706">
        <v>2</v>
      </c>
      <c r="C272" s="1855" t="s">
        <v>1305</v>
      </c>
      <c r="D272" s="1856"/>
      <c r="E272" s="1555" t="s">
        <v>9291</v>
      </c>
      <c r="F272" s="1620"/>
      <c r="G272" s="1556">
        <f>VLOOKUP(C272,'AHSP MCK'!D:K,8,FALSE)</f>
        <v>223000</v>
      </c>
      <c r="H272" s="1684">
        <f>G272*F272</f>
        <v>0</v>
      </c>
      <c r="I272" s="1678">
        <f>G272*F272/$H$78</f>
        <v>0</v>
      </c>
      <c r="J272" s="1555" t="s">
        <v>2252</v>
      </c>
      <c r="K272" s="1555" t="s">
        <v>1772</v>
      </c>
      <c r="L272" s="1555">
        <v>41019</v>
      </c>
      <c r="M272" s="1555" t="s">
        <v>9227</v>
      </c>
      <c r="N272" s="1565"/>
    </row>
    <row r="273" spans="1:15" ht="41.4" hidden="1" customHeight="1">
      <c r="A273" s="1545">
        <v>14</v>
      </c>
      <c r="B273" s="1706">
        <v>3</v>
      </c>
      <c r="C273" s="1855" t="s">
        <v>2272</v>
      </c>
      <c r="D273" s="1856"/>
      <c r="E273" s="1555" t="s">
        <v>120</v>
      </c>
      <c r="F273" s="1620"/>
      <c r="G273" s="1556">
        <f>VLOOKUP(C273,'AHSP MCK'!D:K,8,FALSE)</f>
        <v>1291800</v>
      </c>
      <c r="H273" s="1684">
        <f t="shared" ref="H273" si="45">G273*F273</f>
        <v>0</v>
      </c>
      <c r="I273" s="1678">
        <f t="shared" ref="I273:I274" si="46">G273*F273/$H$78</f>
        <v>0</v>
      </c>
      <c r="J273" s="1555" t="s">
        <v>2271</v>
      </c>
      <c r="K273" s="1555" t="s">
        <v>1772</v>
      </c>
      <c r="L273" s="1555">
        <v>41019</v>
      </c>
      <c r="M273" s="1555" t="s">
        <v>9227</v>
      </c>
      <c r="N273" s="1565"/>
    </row>
    <row r="274" spans="1:15" ht="30.6" hidden="1" customHeight="1">
      <c r="A274" s="1545">
        <v>16</v>
      </c>
      <c r="B274" s="1706">
        <v>1</v>
      </c>
      <c r="C274" s="1855" t="s">
        <v>1318</v>
      </c>
      <c r="D274" s="1856"/>
      <c r="E274" s="1555" t="s">
        <v>113</v>
      </c>
      <c r="F274" s="1620"/>
      <c r="G274" s="1556">
        <f>VLOOKUP(C274,'AHSP MCK'!D:K,8,FALSE)</f>
        <v>147800</v>
      </c>
      <c r="H274" s="1684"/>
      <c r="I274" s="1678">
        <f t="shared" si="46"/>
        <v>0</v>
      </c>
      <c r="J274" s="1555" t="s">
        <v>2333</v>
      </c>
      <c r="K274" s="1555" t="s">
        <v>1772</v>
      </c>
      <c r="L274" s="1555">
        <v>41019</v>
      </c>
      <c r="M274" s="1555" t="s">
        <v>9227</v>
      </c>
      <c r="N274" s="1565"/>
    </row>
    <row r="275" spans="1:15" hidden="1">
      <c r="B275" s="1711"/>
      <c r="C275" s="1601"/>
      <c r="D275" s="1601"/>
      <c r="E275" s="1602"/>
      <c r="F275" s="1625"/>
      <c r="G275" s="1603"/>
      <c r="H275" s="1692"/>
      <c r="I275" s="1604"/>
      <c r="J275" s="1602"/>
      <c r="K275" s="1602"/>
      <c r="L275" s="1602"/>
      <c r="M275" s="1602"/>
      <c r="N275" s="1605"/>
    </row>
    <row r="276" spans="1:15" hidden="1">
      <c r="B276" s="1716" t="s">
        <v>1220</v>
      </c>
      <c r="C276" s="1859" t="s">
        <v>9257</v>
      </c>
      <c r="D276" s="1859"/>
      <c r="E276" s="1595"/>
      <c r="F276" s="1623"/>
      <c r="G276" s="1596"/>
      <c r="H276" s="1690"/>
      <c r="I276" s="1597"/>
      <c r="J276" s="1595"/>
      <c r="K276" s="1595"/>
      <c r="L276" s="1595"/>
      <c r="M276" s="1595"/>
      <c r="N276" s="1598"/>
    </row>
    <row r="277" spans="1:15" hidden="1">
      <c r="B277" s="1706">
        <v>1</v>
      </c>
      <c r="C277" s="1855" t="s">
        <v>6470</v>
      </c>
      <c r="D277" s="1856"/>
      <c r="E277" s="1555" t="s">
        <v>65</v>
      </c>
      <c r="F277" s="1620"/>
      <c r="G277" s="1556">
        <f>VLOOKUP(C277,'AHSP MCK'!D:K,8,FALSE)</f>
        <v>17100</v>
      </c>
      <c r="H277" s="1684">
        <f t="shared" ref="H277:H279" si="47">G277*F277</f>
        <v>0</v>
      </c>
      <c r="I277" s="1678">
        <f>G277*F277/$H$78</f>
        <v>0</v>
      </c>
      <c r="J277" s="1555" t="s">
        <v>2225</v>
      </c>
      <c r="K277" s="1555" t="s">
        <v>1772</v>
      </c>
      <c r="L277" s="1555">
        <v>41019</v>
      </c>
      <c r="M277" s="1555" t="s">
        <v>9227</v>
      </c>
      <c r="N277" s="1565"/>
    </row>
    <row r="278" spans="1:15" hidden="1">
      <c r="A278" s="1545">
        <v>13</v>
      </c>
      <c r="B278" s="1706">
        <v>2</v>
      </c>
      <c r="C278" s="1855" t="s">
        <v>1306</v>
      </c>
      <c r="D278" s="1856"/>
      <c r="E278" s="1555" t="s">
        <v>9291</v>
      </c>
      <c r="F278" s="1620"/>
      <c r="G278" s="1556">
        <f>VLOOKUP(C278,'AHSP MCK'!D:K,8,FALSE)</f>
        <v>225000</v>
      </c>
      <c r="H278" s="1684">
        <f t="shared" si="47"/>
        <v>0</v>
      </c>
      <c r="I278" s="1678">
        <f>G278*F278/$H$78</f>
        <v>0</v>
      </c>
      <c r="J278" s="1555" t="s">
        <v>2253</v>
      </c>
      <c r="K278" s="1555" t="s">
        <v>1772</v>
      </c>
      <c r="L278" s="1555">
        <v>41019</v>
      </c>
      <c r="M278" s="1555" t="s">
        <v>9227</v>
      </c>
      <c r="N278" s="1565"/>
    </row>
    <row r="279" spans="1:15" hidden="1">
      <c r="A279" s="1545">
        <v>14</v>
      </c>
      <c r="B279" s="1706">
        <v>3</v>
      </c>
      <c r="C279" s="1855" t="s">
        <v>2272</v>
      </c>
      <c r="D279" s="1856"/>
      <c r="E279" s="1555" t="s">
        <v>120</v>
      </c>
      <c r="F279" s="1620"/>
      <c r="G279" s="1556">
        <f>VLOOKUP(C279,'AHSP MCK'!D:K,8,FALSE)</f>
        <v>1291800</v>
      </c>
      <c r="H279" s="1684">
        <f t="shared" si="47"/>
        <v>0</v>
      </c>
      <c r="I279" s="1678">
        <f>G279*F279/$H$78</f>
        <v>0</v>
      </c>
      <c r="J279" s="1555" t="s">
        <v>2271</v>
      </c>
      <c r="K279" s="1555" t="s">
        <v>1772</v>
      </c>
      <c r="L279" s="1555">
        <v>41019</v>
      </c>
      <c r="M279" s="1555" t="s">
        <v>9227</v>
      </c>
      <c r="N279" s="1565"/>
    </row>
    <row r="280" spans="1:15" hidden="1">
      <c r="B280" s="1711"/>
      <c r="C280" s="1601"/>
      <c r="D280" s="1601"/>
      <c r="E280" s="1602"/>
      <c r="F280" s="1625"/>
      <c r="G280" s="1603"/>
      <c r="H280" s="1692"/>
      <c r="I280" s="1678"/>
      <c r="J280" s="1555"/>
      <c r="K280" s="1555"/>
      <c r="L280" s="1555"/>
      <c r="M280" s="1555"/>
      <c r="N280" s="1565"/>
    </row>
    <row r="281" spans="1:15" hidden="1">
      <c r="B281" s="1716" t="s">
        <v>1221</v>
      </c>
      <c r="C281" s="1859" t="s">
        <v>9298</v>
      </c>
      <c r="D281" s="1859"/>
      <c r="E281" s="1595"/>
      <c r="F281" s="1623"/>
      <c r="G281" s="1596"/>
      <c r="H281" s="1690"/>
      <c r="I281" s="1597"/>
      <c r="J281" s="1595"/>
      <c r="K281" s="1595"/>
      <c r="L281" s="1595"/>
      <c r="M281" s="1595"/>
      <c r="N281" s="1598"/>
    </row>
    <row r="282" spans="1:15" ht="34.200000000000003" hidden="1" customHeight="1">
      <c r="A282" s="1545">
        <v>8</v>
      </c>
      <c r="B282" s="1706">
        <v>1</v>
      </c>
      <c r="C282" s="1855" t="s">
        <v>9300</v>
      </c>
      <c r="D282" s="1856"/>
      <c r="E282" s="1555" t="s">
        <v>65</v>
      </c>
      <c r="F282" s="1620"/>
      <c r="G282" s="1556">
        <f>VLOOKUP(C282,'AHSP MCK'!D:K,8,FALSE)</f>
        <v>17400</v>
      </c>
      <c r="H282" s="1684">
        <f t="shared" ref="H282" si="48">G282*F282</f>
        <v>0</v>
      </c>
      <c r="I282" s="1678">
        <f t="shared" ref="I282" si="49">G282*F282/$H$78</f>
        <v>0</v>
      </c>
      <c r="J282" s="1555" t="s">
        <v>2228</v>
      </c>
      <c r="K282" s="1555" t="s">
        <v>1772</v>
      </c>
      <c r="L282" s="1555">
        <v>41019</v>
      </c>
      <c r="M282" s="1555" t="s">
        <v>9227</v>
      </c>
      <c r="N282" s="1565"/>
      <c r="O282" s="1551"/>
    </row>
    <row r="283" spans="1:15" ht="34.200000000000003" hidden="1" customHeight="1">
      <c r="A283" s="1545">
        <v>9</v>
      </c>
      <c r="B283" s="1706">
        <v>2</v>
      </c>
      <c r="C283" s="1855" t="s">
        <v>9299</v>
      </c>
      <c r="D283" s="1856"/>
      <c r="E283" s="1555" t="s">
        <v>9291</v>
      </c>
      <c r="F283" s="1620"/>
      <c r="G283" s="1556">
        <f>VLOOKUP(C283,'AHSP MCK'!D:K,8,FALSE)</f>
        <v>196200</v>
      </c>
      <c r="H283" s="1684">
        <f>G283*F283</f>
        <v>0</v>
      </c>
      <c r="I283" s="1678">
        <f>G283*F283/$H$78</f>
        <v>0</v>
      </c>
      <c r="J283" s="1555" t="s">
        <v>2248</v>
      </c>
      <c r="K283" s="1555" t="s">
        <v>1772</v>
      </c>
      <c r="L283" s="1555">
        <v>41019</v>
      </c>
      <c r="M283" s="1555" t="s">
        <v>9227</v>
      </c>
      <c r="N283" s="1565"/>
    </row>
    <row r="284" spans="1:15" ht="43.8" hidden="1" customHeight="1">
      <c r="A284" s="1545">
        <v>14</v>
      </c>
      <c r="B284" s="1706">
        <v>3</v>
      </c>
      <c r="C284" s="1855" t="s">
        <v>2272</v>
      </c>
      <c r="D284" s="1856"/>
      <c r="E284" s="1555" t="s">
        <v>120</v>
      </c>
      <c r="F284" s="1620"/>
      <c r="G284" s="1556">
        <f>VLOOKUP(C284,'AHSP MCK'!D:K,8,FALSE)</f>
        <v>1291800</v>
      </c>
      <c r="H284" s="1684">
        <f t="shared" ref="H284:H285" si="50">G284*F284</f>
        <v>0</v>
      </c>
      <c r="I284" s="1678">
        <f t="shared" ref="I284" si="51">G284*F284/$H$78</f>
        <v>0</v>
      </c>
      <c r="J284" s="1555" t="s">
        <v>2271</v>
      </c>
      <c r="K284" s="1555" t="s">
        <v>1772</v>
      </c>
      <c r="L284" s="1555">
        <v>41019</v>
      </c>
      <c r="M284" s="1555" t="s">
        <v>9227</v>
      </c>
      <c r="N284" s="1565"/>
    </row>
    <row r="285" spans="1:15" ht="34.200000000000003" hidden="1" customHeight="1">
      <c r="B285" s="1706">
        <v>4</v>
      </c>
      <c r="C285" s="1855" t="s">
        <v>9228</v>
      </c>
      <c r="D285" s="1856"/>
      <c r="E285" s="1555" t="s">
        <v>120</v>
      </c>
      <c r="F285" s="1620"/>
      <c r="G285" s="1556"/>
      <c r="H285" s="1684">
        <f t="shared" si="50"/>
        <v>0</v>
      </c>
      <c r="I285" s="1678">
        <f>G285*F285/$H$78</f>
        <v>0</v>
      </c>
      <c r="J285" s="1555"/>
      <c r="K285" s="1555"/>
      <c r="L285" s="1555"/>
      <c r="M285" s="1555"/>
      <c r="N285" s="1565"/>
    </row>
    <row r="286" spans="1:15" hidden="1">
      <c r="B286" s="1708"/>
      <c r="C286" s="1575"/>
      <c r="D286" s="1575"/>
      <c r="E286" s="1576"/>
      <c r="F286" s="1621"/>
      <c r="G286" s="1577"/>
      <c r="H286" s="1685"/>
      <c r="I286" s="1578"/>
      <c r="J286" s="1576"/>
      <c r="K286" s="1576"/>
      <c r="L286" s="1576"/>
      <c r="M286" s="1576"/>
      <c r="N286" s="1579"/>
    </row>
    <row r="287" spans="1:15" hidden="1">
      <c r="B287" s="1714"/>
      <c r="C287" s="1858" t="s">
        <v>9274</v>
      </c>
      <c r="D287" s="1858"/>
      <c r="E287" s="1858"/>
      <c r="F287" s="1858"/>
      <c r="G287" s="1858"/>
      <c r="H287" s="1686">
        <f>SUM(H253:H285)</f>
        <v>0</v>
      </c>
      <c r="I287" s="1567"/>
      <c r="J287" s="1547"/>
      <c r="K287" s="1547"/>
      <c r="L287" s="1547"/>
      <c r="N287" s="1568"/>
    </row>
    <row r="288" spans="1:15" hidden="1">
      <c r="B288" s="1715"/>
      <c r="C288" s="1590"/>
      <c r="D288" s="1638"/>
      <c r="E288" s="1591"/>
      <c r="F288" s="1622"/>
      <c r="G288" s="1592"/>
      <c r="H288" s="1687"/>
      <c r="I288" s="1679"/>
      <c r="J288" s="1591"/>
      <c r="K288" s="1591"/>
      <c r="L288" s="1591"/>
      <c r="M288" s="1591"/>
      <c r="N288" s="1593"/>
    </row>
    <row r="289" spans="1:14">
      <c r="B289" s="1716" t="s">
        <v>1201</v>
      </c>
      <c r="C289" s="1859" t="s">
        <v>9258</v>
      </c>
      <c r="D289" s="1859"/>
      <c r="E289" s="1595"/>
      <c r="F289" s="1623"/>
      <c r="G289" s="1596"/>
      <c r="H289" s="1690"/>
      <c r="I289" s="1597"/>
      <c r="J289" s="1595"/>
      <c r="K289" s="1595"/>
      <c r="L289" s="1595"/>
      <c r="M289" s="1595"/>
      <c r="N289" s="1598"/>
    </row>
    <row r="290" spans="1:14" ht="31.2" customHeight="1">
      <c r="A290" s="1545">
        <v>25</v>
      </c>
      <c r="B290" s="1706">
        <v>1</v>
      </c>
      <c r="C290" s="1855" t="s">
        <v>1351</v>
      </c>
      <c r="D290" s="1856"/>
      <c r="E290" s="1555" t="s">
        <v>9291</v>
      </c>
      <c r="F290" s="1620">
        <f>(0.25*1)+(0.5*1*2.62)</f>
        <v>1.56</v>
      </c>
      <c r="G290" s="1556">
        <f>VLOOKUP(C290,'AHSP MCK'!D:K,8,FALSE)</f>
        <v>97900</v>
      </c>
      <c r="H290" s="1684">
        <f>G290*F290</f>
        <v>152724</v>
      </c>
      <c r="I290" s="1678">
        <f>G290*F290/$H$78</f>
        <v>7.5486275825828739E-3</v>
      </c>
      <c r="J290" s="1561" t="s">
        <v>2772</v>
      </c>
      <c r="K290" s="1555" t="s">
        <v>1772</v>
      </c>
      <c r="L290" s="1555">
        <v>41019</v>
      </c>
      <c r="M290" s="1555" t="s">
        <v>9227</v>
      </c>
      <c r="N290" s="1565"/>
    </row>
    <row r="291" spans="1:14" ht="31.2" customHeight="1">
      <c r="A291" s="1545">
        <v>26</v>
      </c>
      <c r="B291" s="1706">
        <v>2</v>
      </c>
      <c r="C291" s="1855" t="s">
        <v>1381</v>
      </c>
      <c r="D291" s="1856"/>
      <c r="E291" s="1555" t="s">
        <v>9291</v>
      </c>
      <c r="F291" s="1620">
        <f>(F290*2)+(0.2*2.25)</f>
        <v>3.5700000000000003</v>
      </c>
      <c r="G291" s="1556">
        <f>VLOOKUP(C291,'AHSP MCK'!D:K,8,FALSE)</f>
        <v>56600</v>
      </c>
      <c r="H291" s="1684">
        <f>G291*F291</f>
        <v>202062.00000000003</v>
      </c>
      <c r="I291" s="1678">
        <f>G291*F291/$H$78</f>
        <v>9.987237019668558E-3</v>
      </c>
      <c r="J291" s="1561" t="s">
        <v>2789</v>
      </c>
      <c r="K291" s="1555" t="s">
        <v>1772</v>
      </c>
      <c r="L291" s="1555">
        <v>41019</v>
      </c>
      <c r="M291" s="1555" t="s">
        <v>9227</v>
      </c>
      <c r="N291" s="1565"/>
    </row>
    <row r="292" spans="1:14" ht="18" customHeight="1">
      <c r="A292" s="1545">
        <v>27</v>
      </c>
      <c r="B292" s="1706">
        <v>3</v>
      </c>
      <c r="C292" s="1855" t="s">
        <v>1384</v>
      </c>
      <c r="D292" s="1856"/>
      <c r="E292" s="1555" t="s">
        <v>9291</v>
      </c>
      <c r="F292" s="1620">
        <f>F291+(0.5*1.47)+(1.6*2.25)</f>
        <v>7.9050000000000011</v>
      </c>
      <c r="G292" s="1556">
        <f>VLOOKUP(C292,'AHSP MCK'!D:K,8,FALSE)</f>
        <v>44500</v>
      </c>
      <c r="H292" s="1684">
        <f>G292*F292</f>
        <v>351772.50000000006</v>
      </c>
      <c r="I292" s="1678">
        <f>G292*F292/$H$78</f>
        <v>1.7386917552540102E-2</v>
      </c>
      <c r="J292" s="1561" t="s">
        <v>2792</v>
      </c>
      <c r="K292" s="1555" t="s">
        <v>1772</v>
      </c>
      <c r="L292" s="1555">
        <v>41019</v>
      </c>
      <c r="M292" s="1555" t="s">
        <v>9227</v>
      </c>
      <c r="N292" s="1565"/>
    </row>
    <row r="293" spans="1:14" ht="43.8" customHeight="1">
      <c r="A293" s="1545">
        <v>24</v>
      </c>
      <c r="B293" s="1706">
        <v>4</v>
      </c>
      <c r="C293" s="1855" t="s">
        <v>2768</v>
      </c>
      <c r="D293" s="1856"/>
      <c r="E293" s="1555" t="s">
        <v>9291</v>
      </c>
      <c r="F293" s="1620">
        <f>0.2*0.2*6</f>
        <v>0.24000000000000005</v>
      </c>
      <c r="G293" s="1556">
        <f>VLOOKUP(C293,'AHSP MCK'!D:K,8,FALSE)</f>
        <v>229400</v>
      </c>
      <c r="H293" s="1684">
        <f>G293*F293</f>
        <v>55056.000000000007</v>
      </c>
      <c r="I293" s="1678">
        <f>G293*F293/$H$78</f>
        <v>2.7212307180710482E-3</v>
      </c>
      <c r="J293" s="1555" t="s">
        <v>2767</v>
      </c>
      <c r="K293" s="1555" t="s">
        <v>1772</v>
      </c>
      <c r="L293" s="1555">
        <v>41019</v>
      </c>
      <c r="M293" s="1555" t="s">
        <v>9227</v>
      </c>
      <c r="N293" s="1565"/>
    </row>
    <row r="294" spans="1:14" ht="31.2" customHeight="1">
      <c r="A294" s="1545">
        <v>23</v>
      </c>
      <c r="B294" s="1706">
        <v>5</v>
      </c>
      <c r="C294" s="1855" t="s">
        <v>1350</v>
      </c>
      <c r="D294" s="1856"/>
      <c r="E294" s="1555" t="s">
        <v>9291</v>
      </c>
      <c r="F294" s="1620">
        <f>0.2*0.2*6</f>
        <v>0.24000000000000005</v>
      </c>
      <c r="G294" s="1556">
        <f>VLOOKUP(C294,'AHSP MCK'!D:K,8,FALSE)</f>
        <v>145700</v>
      </c>
      <c r="H294" s="1684">
        <f>G294*F294</f>
        <v>34968.000000000007</v>
      </c>
      <c r="I294" s="1678">
        <f>G294*F294/$H$78</f>
        <v>1.728349239855936E-3</v>
      </c>
      <c r="J294" s="1555" t="s">
        <v>2766</v>
      </c>
      <c r="K294" s="1555" t="s">
        <v>1772</v>
      </c>
      <c r="L294" s="1555">
        <v>41019</v>
      </c>
      <c r="M294" s="1555" t="s">
        <v>9227</v>
      </c>
      <c r="N294" s="1565"/>
    </row>
    <row r="295" spans="1:14">
      <c r="B295" s="1708"/>
      <c r="C295" s="1575"/>
      <c r="D295" s="1575"/>
      <c r="E295" s="1576"/>
      <c r="F295" s="1621"/>
      <c r="G295" s="1577"/>
      <c r="H295" s="1685"/>
      <c r="I295" s="1578"/>
      <c r="J295" s="1576"/>
      <c r="K295" s="1576"/>
      <c r="L295" s="1576"/>
      <c r="M295" s="1576"/>
      <c r="N295" s="1579"/>
    </row>
    <row r="296" spans="1:14">
      <c r="B296" s="1714"/>
      <c r="C296" s="1858" t="s">
        <v>9274</v>
      </c>
      <c r="D296" s="1858"/>
      <c r="E296" s="1858"/>
      <c r="F296" s="1858"/>
      <c r="G296" s="1858"/>
      <c r="H296" s="1686">
        <f>SUM(H290:H294)</f>
        <v>796582.5</v>
      </c>
      <c r="I296" s="1567"/>
      <c r="J296" s="1547"/>
      <c r="K296" s="1547"/>
      <c r="L296" s="1547"/>
      <c r="N296" s="1568"/>
    </row>
    <row r="297" spans="1:14">
      <c r="B297" s="1715"/>
      <c r="C297" s="1607"/>
      <c r="D297" s="1770"/>
      <c r="E297" s="1591"/>
      <c r="F297" s="1622"/>
      <c r="G297" s="1592"/>
      <c r="H297" s="1687"/>
      <c r="I297" s="1679"/>
      <c r="J297" s="1591"/>
      <c r="K297" s="1591"/>
      <c r="L297" s="1591"/>
      <c r="M297" s="1591"/>
      <c r="N297" s="1593"/>
    </row>
    <row r="298" spans="1:14">
      <c r="B298" s="1716" t="s">
        <v>1209</v>
      </c>
      <c r="C298" s="1859" t="s">
        <v>9259</v>
      </c>
      <c r="D298" s="1859"/>
      <c r="E298" s="1595"/>
      <c r="F298" s="1623"/>
      <c r="G298" s="1596"/>
      <c r="H298" s="1690"/>
      <c r="I298" s="1597"/>
      <c r="J298" s="1595"/>
      <c r="K298" s="1595"/>
      <c r="L298" s="1595"/>
      <c r="M298" s="1595"/>
      <c r="N298" s="1598"/>
    </row>
    <row r="299" spans="1:14" ht="30.6" customHeight="1">
      <c r="A299" s="1545">
        <v>30</v>
      </c>
      <c r="B299" s="1706">
        <v>1</v>
      </c>
      <c r="C299" s="1855" t="s">
        <v>1442</v>
      </c>
      <c r="D299" s="1856"/>
      <c r="E299" s="1555" t="s">
        <v>9291</v>
      </c>
      <c r="F299" s="1620">
        <f>(2.62*1.75)+(2.5*2)</f>
        <v>9.5850000000000009</v>
      </c>
      <c r="G299" s="1556">
        <f>VLOOKUP(C299,'AHSP MCK'!D:K,8,FALSE)</f>
        <v>267900</v>
      </c>
      <c r="H299" s="1684">
        <f>G299*F299</f>
        <v>2567821.5</v>
      </c>
      <c r="I299" s="1678">
        <f>G299*F299/$H$78</f>
        <v>0.12691867815175958</v>
      </c>
      <c r="J299" s="1561" t="s">
        <v>2925</v>
      </c>
      <c r="K299" s="1555" t="s">
        <v>1772</v>
      </c>
      <c r="L299" s="1555">
        <v>41019</v>
      </c>
      <c r="M299" s="1555" t="s">
        <v>9227</v>
      </c>
      <c r="N299" s="1565"/>
    </row>
    <row r="300" spans="1:14" ht="30.6" customHeight="1">
      <c r="A300" s="1545">
        <v>31</v>
      </c>
      <c r="B300" s="1706">
        <v>2</v>
      </c>
      <c r="C300" s="1855" t="s">
        <v>1467</v>
      </c>
      <c r="D300" s="1856"/>
      <c r="E300" s="1555" t="s">
        <v>9291</v>
      </c>
      <c r="F300" s="1620">
        <f>(2*(0.85+1.4+1.75+2.62))+(0.95*(0.75+1.07)*2)+(0.2*(1.07+0.75))-(1.2*0.7)</f>
        <v>16.222000000000001</v>
      </c>
      <c r="G300" s="1556">
        <f>VLOOKUP(C300,'AHSP MCK'!D:K,8,FALSE)</f>
        <v>221300</v>
      </c>
      <c r="H300" s="1684">
        <f>G300*F300</f>
        <v>3589928.6</v>
      </c>
      <c r="I300" s="1678">
        <f>G300*F300/$H$78</f>
        <v>0.17743795375620808</v>
      </c>
      <c r="J300" s="1555" t="s">
        <v>2979</v>
      </c>
      <c r="K300" s="1555" t="s">
        <v>1772</v>
      </c>
      <c r="L300" s="1555">
        <v>41019</v>
      </c>
      <c r="M300" s="1555" t="s">
        <v>9227</v>
      </c>
      <c r="N300" s="1565"/>
    </row>
    <row r="301" spans="1:14" ht="40.200000000000003" hidden="1" customHeight="1">
      <c r="A301" s="1545">
        <v>53</v>
      </c>
      <c r="B301" s="1706">
        <v>3</v>
      </c>
      <c r="C301" s="1855" t="s">
        <v>4442</v>
      </c>
      <c r="D301" s="1856"/>
      <c r="E301" s="1555" t="s">
        <v>120</v>
      </c>
      <c r="F301" s="1620"/>
      <c r="G301" s="1556">
        <f>VLOOKUP(C301,'AHSP MCK'!D:K,8,FALSE)</f>
        <v>1330200</v>
      </c>
      <c r="H301" s="1684">
        <f>G301*F301</f>
        <v>0</v>
      </c>
      <c r="I301" s="1678">
        <f>G301*F301/$H$78</f>
        <v>0</v>
      </c>
      <c r="J301" s="1555" t="s">
        <v>4441</v>
      </c>
      <c r="K301" s="1555" t="s">
        <v>1772</v>
      </c>
      <c r="L301" s="1555">
        <v>41019</v>
      </c>
      <c r="M301" s="1555" t="s">
        <v>9227</v>
      </c>
      <c r="N301" s="1565"/>
    </row>
    <row r="302" spans="1:14">
      <c r="B302" s="1708"/>
      <c r="C302" s="1575"/>
      <c r="D302" s="1575"/>
      <c r="E302" s="1576"/>
      <c r="F302" s="1621"/>
      <c r="G302" s="1577"/>
      <c r="H302" s="1685"/>
      <c r="I302" s="1578"/>
      <c r="J302" s="1576"/>
      <c r="K302" s="1576"/>
      <c r="L302" s="1576"/>
      <c r="M302" s="1576"/>
      <c r="N302" s="1579"/>
    </row>
    <row r="303" spans="1:14">
      <c r="B303" s="1714"/>
      <c r="C303" s="1858" t="s">
        <v>9274</v>
      </c>
      <c r="D303" s="1858"/>
      <c r="E303" s="1858"/>
      <c r="F303" s="1858"/>
      <c r="G303" s="1858"/>
      <c r="H303" s="1686">
        <f>SUM(H299:H301)</f>
        <v>6157750.0999999996</v>
      </c>
      <c r="I303" s="1567"/>
      <c r="J303" s="1547"/>
      <c r="K303" s="1547"/>
      <c r="L303" s="1547"/>
      <c r="N303" s="1568"/>
    </row>
    <row r="304" spans="1:14">
      <c r="B304" s="1715"/>
      <c r="C304" s="1590"/>
      <c r="D304" s="1638"/>
      <c r="E304" s="1591"/>
      <c r="F304" s="1622"/>
      <c r="G304" s="1592"/>
      <c r="H304" s="1687"/>
      <c r="I304" s="1679"/>
      <c r="J304" s="1591"/>
      <c r="K304" s="1591"/>
      <c r="L304" s="1591"/>
      <c r="M304" s="1591"/>
      <c r="N304" s="1593"/>
    </row>
    <row r="305" spans="1:14">
      <c r="B305" s="1716" t="s">
        <v>1215</v>
      </c>
      <c r="C305" s="1859" t="s">
        <v>9265</v>
      </c>
      <c r="D305" s="1859"/>
      <c r="E305" s="1595"/>
      <c r="F305" s="1623"/>
      <c r="G305" s="1596"/>
      <c r="H305" s="1690"/>
      <c r="I305" s="1597"/>
      <c r="J305" s="1595"/>
      <c r="K305" s="1595"/>
      <c r="L305" s="1595"/>
      <c r="M305" s="1595"/>
      <c r="N305" s="1598"/>
    </row>
    <row r="306" spans="1:14" ht="32.4" customHeight="1">
      <c r="A306" s="1545">
        <v>7</v>
      </c>
      <c r="B306" s="1706">
        <v>1</v>
      </c>
      <c r="C306" s="1855" t="s">
        <v>1322</v>
      </c>
      <c r="D306" s="1856"/>
      <c r="E306" s="1555" t="s">
        <v>9291</v>
      </c>
      <c r="F306" s="1620">
        <f>F307</f>
        <v>8.9924999999999997</v>
      </c>
      <c r="G306" s="1556">
        <f>VLOOKUP(C306,'AHSP MCK'!D:K,8,FALSE)</f>
        <v>177400</v>
      </c>
      <c r="H306" s="1684">
        <f>G306*F306</f>
        <v>1595269.5</v>
      </c>
      <c r="I306" s="1678">
        <f>G306*F306/$H$78</f>
        <v>7.8848742498580385E-2</v>
      </c>
      <c r="J306" s="1555" t="s">
        <v>2200</v>
      </c>
      <c r="K306" s="1555" t="s">
        <v>1772</v>
      </c>
      <c r="L306" s="1555">
        <v>41019</v>
      </c>
      <c r="M306" s="1555" t="s">
        <v>9227</v>
      </c>
      <c r="N306" s="1565"/>
    </row>
    <row r="307" spans="1:14" ht="30" customHeight="1">
      <c r="A307" s="1545">
        <v>18</v>
      </c>
      <c r="B307" s="1706">
        <v>2</v>
      </c>
      <c r="C307" s="1855" t="s">
        <v>9320</v>
      </c>
      <c r="D307" s="1856"/>
      <c r="E307" s="1555" t="s">
        <v>9291</v>
      </c>
      <c r="F307" s="1620">
        <f>3.27*2.75</f>
        <v>8.9924999999999997</v>
      </c>
      <c r="G307" s="1556">
        <f>VLOOKUP(C307,'AHSP MCK'!D:K,8,FALSE)</f>
        <v>118500</v>
      </c>
      <c r="H307" s="1684">
        <f>G307*F307</f>
        <v>1065611.25</v>
      </c>
      <c r="I307" s="1678">
        <f>G307*F307/$H$78</f>
        <v>5.2669537689299745E-2</v>
      </c>
      <c r="J307" s="1563" t="s">
        <v>2659</v>
      </c>
      <c r="K307" s="1555" t="s">
        <v>1772</v>
      </c>
      <c r="L307" s="1555">
        <v>41019</v>
      </c>
      <c r="M307" s="1555" t="s">
        <v>9227</v>
      </c>
      <c r="N307" s="1565"/>
    </row>
    <row r="308" spans="1:14" ht="32.4" customHeight="1">
      <c r="A308" s="1545">
        <v>19</v>
      </c>
      <c r="B308" s="1706">
        <v>3</v>
      </c>
      <c r="C308" s="1855" t="s">
        <v>1375</v>
      </c>
      <c r="D308" s="1856"/>
      <c r="E308" s="1555" t="s">
        <v>113</v>
      </c>
      <c r="F308" s="1620">
        <v>3</v>
      </c>
      <c r="G308" s="1556">
        <f>VLOOKUP(C308,'AHSP MCK'!D:K,8,FALSE)</f>
        <v>75600</v>
      </c>
      <c r="H308" s="1684">
        <f>G308*F308</f>
        <v>226800</v>
      </c>
      <c r="I308" s="1678">
        <f>G308*F308/$H$78</f>
        <v>1.1209952173396426E-2</v>
      </c>
      <c r="J308" s="1561" t="s">
        <v>2690</v>
      </c>
      <c r="K308" s="1555" t="s">
        <v>1772</v>
      </c>
      <c r="L308" s="1555">
        <v>41019</v>
      </c>
      <c r="M308" s="1555" t="s">
        <v>9227</v>
      </c>
      <c r="N308" s="1565"/>
    </row>
    <row r="309" spans="1:14">
      <c r="B309" s="1708"/>
      <c r="C309" s="1575"/>
      <c r="D309" s="1575"/>
      <c r="E309" s="1576"/>
      <c r="F309" s="1621"/>
      <c r="G309" s="1577"/>
      <c r="H309" s="1685"/>
      <c r="I309" s="1578"/>
      <c r="J309" s="1608"/>
      <c r="K309" s="1576"/>
      <c r="L309" s="1576"/>
      <c r="M309" s="1576"/>
      <c r="N309" s="1579"/>
    </row>
    <row r="310" spans="1:14">
      <c r="B310" s="1714"/>
      <c r="C310" s="1858" t="s">
        <v>9274</v>
      </c>
      <c r="D310" s="1858"/>
      <c r="E310" s="1858"/>
      <c r="F310" s="1858"/>
      <c r="G310" s="1858"/>
      <c r="H310" s="1686">
        <f>SUM(H306:H308)</f>
        <v>2887680.75</v>
      </c>
      <c r="I310" s="1567"/>
      <c r="J310" s="1547"/>
      <c r="K310" s="1547"/>
      <c r="L310" s="1547"/>
      <c r="N310" s="1568"/>
    </row>
    <row r="311" spans="1:14">
      <c r="B311" s="1715"/>
      <c r="C311" s="1590"/>
      <c r="D311" s="1638"/>
      <c r="E311" s="1591"/>
      <c r="F311" s="1622"/>
      <c r="G311" s="1592"/>
      <c r="H311" s="1687"/>
      <c r="I311" s="1679"/>
      <c r="J311" s="1591"/>
      <c r="K311" s="1591"/>
      <c r="L311" s="1591"/>
      <c r="M311" s="1591"/>
      <c r="N311" s="1593"/>
    </row>
    <row r="312" spans="1:14">
      <c r="B312" s="1716" t="s">
        <v>1218</v>
      </c>
      <c r="C312" s="1859" t="s">
        <v>9260</v>
      </c>
      <c r="D312" s="1859"/>
      <c r="E312" s="1595"/>
      <c r="F312" s="1623"/>
      <c r="G312" s="1596"/>
      <c r="H312" s="1690"/>
      <c r="I312" s="1597"/>
      <c r="J312" s="1595"/>
      <c r="K312" s="1595"/>
      <c r="L312" s="1595"/>
      <c r="M312" s="1595"/>
      <c r="N312" s="1598"/>
    </row>
    <row r="313" spans="1:14" ht="30" customHeight="1">
      <c r="A313" s="1545">
        <v>22</v>
      </c>
      <c r="B313" s="1706">
        <v>1</v>
      </c>
      <c r="C313" s="1855" t="s">
        <v>1399</v>
      </c>
      <c r="D313" s="1856"/>
      <c r="E313" s="1555" t="s">
        <v>9291</v>
      </c>
      <c r="F313" s="1620">
        <f>2.62*1.75</f>
        <v>4.585</v>
      </c>
      <c r="G313" s="1556">
        <f>VLOOKUP(C313,'AHSP MCK'!D:K,8,FALSE)</f>
        <v>120400</v>
      </c>
      <c r="H313" s="1684">
        <f>G313*F313</f>
        <v>552034</v>
      </c>
      <c r="I313" s="1678">
        <f>G313*F313/$H$78</f>
        <v>2.7285161984518178E-2</v>
      </c>
      <c r="J313" s="1561" t="s">
        <v>2737</v>
      </c>
      <c r="K313" s="1555" t="s">
        <v>1772</v>
      </c>
      <c r="L313" s="1555">
        <v>41019</v>
      </c>
      <c r="M313" s="1555" t="s">
        <v>9227</v>
      </c>
      <c r="N313" s="1565"/>
    </row>
    <row r="314" spans="1:14" ht="30" customHeight="1">
      <c r="A314" s="1545">
        <v>20</v>
      </c>
      <c r="B314" s="1706">
        <v>2</v>
      </c>
      <c r="C314" s="1855" t="s">
        <v>2716</v>
      </c>
      <c r="D314" s="1856"/>
      <c r="E314" s="1555" t="s">
        <v>9291</v>
      </c>
      <c r="F314" s="1620">
        <f>F313+(1.2*0.6*2)</f>
        <v>6.0250000000000004</v>
      </c>
      <c r="G314" s="1556">
        <f>VLOOKUP(C314,'AHSP MCK'!D:K,8,FALSE)</f>
        <v>73700</v>
      </c>
      <c r="H314" s="1684">
        <f>G314*F314</f>
        <v>444042.5</v>
      </c>
      <c r="I314" s="1678">
        <f>G314*F314/$H$78</f>
        <v>2.1947509647069589E-2</v>
      </c>
      <c r="J314" s="1561" t="s">
        <v>2715</v>
      </c>
      <c r="K314" s="1555" t="s">
        <v>1772</v>
      </c>
      <c r="L314" s="1555">
        <v>41019</v>
      </c>
      <c r="M314" s="1555" t="s">
        <v>9227</v>
      </c>
      <c r="N314" s="1565"/>
    </row>
    <row r="315" spans="1:14">
      <c r="A315" s="1545">
        <v>21</v>
      </c>
      <c r="B315" s="1706">
        <v>3</v>
      </c>
      <c r="C315" s="1855" t="s">
        <v>1397</v>
      </c>
      <c r="D315" s="1856"/>
      <c r="E315" s="1555" t="s">
        <v>113</v>
      </c>
      <c r="F315" s="1620">
        <f>(2.62*2)+(1.75*2)</f>
        <v>8.74</v>
      </c>
      <c r="G315" s="1556">
        <f>VLOOKUP(C315,'AHSP MCK'!D:K,8,FALSE)</f>
        <v>21300</v>
      </c>
      <c r="H315" s="1684">
        <f>G315*F315</f>
        <v>186162</v>
      </c>
      <c r="I315" s="1678">
        <f>G315*F315/$H$78</f>
        <v>9.2013541292055804E-3</v>
      </c>
      <c r="J315" s="1561" t="s">
        <v>2733</v>
      </c>
      <c r="K315" s="1555" t="s">
        <v>1772</v>
      </c>
      <c r="L315" s="1555">
        <v>41019</v>
      </c>
      <c r="M315" s="1555" t="s">
        <v>9227</v>
      </c>
      <c r="N315" s="1565"/>
    </row>
    <row r="316" spans="1:14">
      <c r="B316" s="1708"/>
      <c r="C316" s="1575"/>
      <c r="D316" s="1575"/>
      <c r="E316" s="1576"/>
      <c r="F316" s="1621"/>
      <c r="G316" s="1577"/>
      <c r="H316" s="1685"/>
      <c r="I316" s="1680"/>
      <c r="J316" s="1564"/>
      <c r="K316" s="1559"/>
      <c r="L316" s="1559"/>
      <c r="M316" s="1559"/>
      <c r="N316" s="1566"/>
    </row>
    <row r="317" spans="1:14">
      <c r="B317" s="1714"/>
      <c r="C317" s="1858" t="s">
        <v>9274</v>
      </c>
      <c r="D317" s="1858"/>
      <c r="E317" s="1858"/>
      <c r="F317" s="1858"/>
      <c r="G317" s="1858"/>
      <c r="H317" s="1686">
        <f>SUM(H313:H315)</f>
        <v>1182238.5</v>
      </c>
      <c r="I317" s="1567"/>
      <c r="J317" s="1547"/>
      <c r="K317" s="1547"/>
      <c r="L317" s="1547"/>
      <c r="N317" s="1568"/>
    </row>
    <row r="318" spans="1:14">
      <c r="B318" s="1715"/>
      <c r="C318" s="1590"/>
      <c r="D318" s="1638"/>
      <c r="E318" s="1591"/>
      <c r="F318" s="1622"/>
      <c r="G318" s="1592"/>
      <c r="H318" s="1687"/>
      <c r="I318" s="1679"/>
      <c r="J318" s="1609"/>
      <c r="K318" s="1591"/>
      <c r="L318" s="1591"/>
      <c r="M318" s="1591"/>
      <c r="N318" s="1593"/>
    </row>
    <row r="319" spans="1:14">
      <c r="B319" s="1716" t="s">
        <v>1220</v>
      </c>
      <c r="C319" s="1859" t="s">
        <v>9262</v>
      </c>
      <c r="D319" s="1859"/>
      <c r="E319" s="1595"/>
      <c r="F319" s="1623"/>
      <c r="G319" s="1596"/>
      <c r="H319" s="1690"/>
      <c r="I319" s="1597"/>
      <c r="J319" s="1610"/>
      <c r="K319" s="1595"/>
      <c r="L319" s="1595"/>
      <c r="M319" s="1595"/>
      <c r="N319" s="1598"/>
    </row>
    <row r="320" spans="1:14" ht="43.2" customHeight="1">
      <c r="A320" s="1545">
        <v>28</v>
      </c>
      <c r="B320" s="1706">
        <v>1</v>
      </c>
      <c r="C320" s="1855" t="s">
        <v>2817</v>
      </c>
      <c r="D320" s="1856"/>
      <c r="E320" s="1555" t="s">
        <v>9291</v>
      </c>
      <c r="F320" s="1620">
        <f>(2.25*((2.62*4)+(1.75*4)))-(0.95*(0.75+1.07))+(2.25*2.5*2)+(2.25*2.62)</f>
        <v>54.746000000000002</v>
      </c>
      <c r="G320" s="1556">
        <f>VLOOKUP(C320,'AHSP MCK'!D:K,8,FALSE)</f>
        <v>37500</v>
      </c>
      <c r="H320" s="1684">
        <f>G320*F320</f>
        <v>2052975</v>
      </c>
      <c r="I320" s="1678">
        <f>G320*F320/$H$78</f>
        <v>0.1014715677388824</v>
      </c>
      <c r="J320" s="1561" t="s">
        <v>2816</v>
      </c>
      <c r="K320" s="1555" t="s">
        <v>1772</v>
      </c>
      <c r="L320" s="1555">
        <v>41019</v>
      </c>
      <c r="M320" s="1555" t="s">
        <v>9227</v>
      </c>
      <c r="N320" s="1565"/>
    </row>
    <row r="321" spans="1:14" ht="43.2" customHeight="1">
      <c r="A321" s="1545">
        <v>29</v>
      </c>
      <c r="B321" s="1706">
        <v>2</v>
      </c>
      <c r="C321" s="1855" t="s">
        <v>2837</v>
      </c>
      <c r="D321" s="1856"/>
      <c r="E321" s="1555" t="s">
        <v>9291</v>
      </c>
      <c r="F321" s="1620">
        <f>F314</f>
        <v>6.0250000000000004</v>
      </c>
      <c r="G321" s="1556">
        <f>VLOOKUP(C321,'AHSP MCK'!D:K,8,FALSE)</f>
        <v>32700</v>
      </c>
      <c r="H321" s="1684">
        <f>G321*F321</f>
        <v>197017.5</v>
      </c>
      <c r="I321" s="1678">
        <f>G321*F321/$H$78</f>
        <v>9.7379045516848787E-3</v>
      </c>
      <c r="J321" s="1561" t="s">
        <v>2836</v>
      </c>
      <c r="K321" s="1555" t="s">
        <v>1772</v>
      </c>
      <c r="L321" s="1555">
        <v>41019</v>
      </c>
      <c r="M321" s="1555" t="s">
        <v>9227</v>
      </c>
      <c r="N321" s="1565"/>
    </row>
    <row r="322" spans="1:14">
      <c r="B322" s="1708"/>
      <c r="C322" s="1575"/>
      <c r="D322" s="1575"/>
      <c r="E322" s="1576"/>
      <c r="F322" s="1621"/>
      <c r="G322" s="1577"/>
      <c r="H322" s="1685"/>
      <c r="I322" s="1578"/>
      <c r="J322" s="1608"/>
      <c r="K322" s="1576"/>
      <c r="L322" s="1576"/>
      <c r="M322" s="1576"/>
      <c r="N322" s="1579"/>
    </row>
    <row r="323" spans="1:14">
      <c r="B323" s="1714"/>
      <c r="C323" s="1858" t="s">
        <v>9274</v>
      </c>
      <c r="D323" s="1858"/>
      <c r="E323" s="1858"/>
      <c r="F323" s="1858"/>
      <c r="G323" s="1858"/>
      <c r="H323" s="1686">
        <f>SUM(H320:H321)</f>
        <v>2249992.5</v>
      </c>
      <c r="I323" s="1567"/>
      <c r="J323" s="1547"/>
      <c r="K323" s="1547"/>
      <c r="L323" s="1547"/>
      <c r="N323" s="1568"/>
    </row>
    <row r="324" spans="1:14">
      <c r="B324" s="1715"/>
      <c r="C324" s="1590"/>
      <c r="D324" s="1638"/>
      <c r="E324" s="1591"/>
      <c r="F324" s="1622"/>
      <c r="G324" s="1592"/>
      <c r="H324" s="1687"/>
      <c r="I324" s="1679"/>
      <c r="J324" s="1609"/>
      <c r="K324" s="1591"/>
      <c r="L324" s="1591"/>
      <c r="M324" s="1591"/>
      <c r="N324" s="1593"/>
    </row>
    <row r="325" spans="1:14">
      <c r="B325" s="1716" t="s">
        <v>1221</v>
      </c>
      <c r="C325" s="1859" t="s">
        <v>9261</v>
      </c>
      <c r="D325" s="1859"/>
      <c r="E325" s="1595"/>
      <c r="F325" s="1623"/>
      <c r="G325" s="1596"/>
      <c r="H325" s="1690"/>
      <c r="I325" s="1597"/>
      <c r="J325" s="1610"/>
      <c r="K325" s="1595"/>
      <c r="L325" s="1595"/>
      <c r="M325" s="1595"/>
      <c r="N325" s="1598"/>
    </row>
    <row r="326" spans="1:14">
      <c r="A326" s="1545">
        <v>34</v>
      </c>
      <c r="B326" s="1706">
        <v>1</v>
      </c>
      <c r="C326" s="1855" t="s">
        <v>1560</v>
      </c>
      <c r="D326" s="1856"/>
      <c r="E326" s="1555" t="s">
        <v>775</v>
      </c>
      <c r="F326" s="1620">
        <v>1</v>
      </c>
      <c r="G326" s="1556">
        <f>VLOOKUP(C326,'AHSP MCK'!D:K,8,FALSE)</f>
        <v>569400</v>
      </c>
      <c r="H326" s="1684">
        <f t="shared" ref="H326:H336" si="52">G326*F326</f>
        <v>569400</v>
      </c>
      <c r="I326" s="1678">
        <f t="shared" ref="I326:I336" si="53">G326*F326/$H$78</f>
        <v>2.814350426601378E-2</v>
      </c>
      <c r="J326" s="1555" t="s">
        <v>3186</v>
      </c>
      <c r="K326" s="1555" t="s">
        <v>1772</v>
      </c>
      <c r="L326" s="1555">
        <v>41019</v>
      </c>
      <c r="M326" s="1555" t="s">
        <v>9227</v>
      </c>
      <c r="N326" s="1565"/>
    </row>
    <row r="327" spans="1:14" ht="29.4" customHeight="1">
      <c r="A327" s="1545">
        <v>44</v>
      </c>
      <c r="B327" s="1706">
        <v>2</v>
      </c>
      <c r="C327" s="1855" t="s">
        <v>8066</v>
      </c>
      <c r="D327" s="1856"/>
      <c r="E327" s="1555" t="s">
        <v>113</v>
      </c>
      <c r="F327" s="1620">
        <v>4</v>
      </c>
      <c r="G327" s="1556">
        <f>VLOOKUP(C327,'AHSP MCK'!D:K,8,FALSE)</f>
        <v>30600</v>
      </c>
      <c r="H327" s="1684">
        <f t="shared" si="52"/>
        <v>122400</v>
      </c>
      <c r="I327" s="1678">
        <f t="shared" si="53"/>
        <v>6.0498154586583882E-3</v>
      </c>
      <c r="J327" s="1561" t="s">
        <v>3604</v>
      </c>
      <c r="K327" s="1555" t="s">
        <v>1772</v>
      </c>
      <c r="L327" s="1555">
        <v>41019</v>
      </c>
      <c r="M327" s="1555" t="s">
        <v>9227</v>
      </c>
      <c r="N327" s="1565"/>
    </row>
    <row r="328" spans="1:14" ht="29.4" customHeight="1">
      <c r="A328" s="1545">
        <v>45</v>
      </c>
      <c r="B328" s="1706">
        <v>3</v>
      </c>
      <c r="C328" s="1855" t="s">
        <v>8065</v>
      </c>
      <c r="D328" s="1856"/>
      <c r="E328" s="1555" t="s">
        <v>113</v>
      </c>
      <c r="F328" s="1620">
        <v>4</v>
      </c>
      <c r="G328" s="1556">
        <f>VLOOKUP(C328,'AHSP MCK'!D:K,8,FALSE)</f>
        <v>34200</v>
      </c>
      <c r="H328" s="1684">
        <f t="shared" si="52"/>
        <v>136800</v>
      </c>
      <c r="I328" s="1678">
        <f t="shared" si="53"/>
        <v>6.7615584537946694E-3</v>
      </c>
      <c r="J328" s="1561" t="s">
        <v>3605</v>
      </c>
      <c r="K328" s="1555" t="s">
        <v>1772</v>
      </c>
      <c r="L328" s="1555">
        <v>41019</v>
      </c>
      <c r="M328" s="1555" t="s">
        <v>9227</v>
      </c>
      <c r="N328" s="1565"/>
    </row>
    <row r="329" spans="1:14" ht="29.4" hidden="1" customHeight="1">
      <c r="A329" s="1545">
        <v>47</v>
      </c>
      <c r="B329" s="1706">
        <v>4</v>
      </c>
      <c r="C329" s="1855" t="s">
        <v>8073</v>
      </c>
      <c r="D329" s="1856"/>
      <c r="E329" s="1555" t="s">
        <v>113</v>
      </c>
      <c r="F329" s="1620"/>
      <c r="G329" s="1556">
        <f>VLOOKUP(C329,'AHSP MCK'!D:K,8,FALSE)</f>
        <v>175000</v>
      </c>
      <c r="H329" s="1684">
        <f t="shared" si="52"/>
        <v>0</v>
      </c>
      <c r="I329" s="1678">
        <f t="shared" si="53"/>
        <v>0</v>
      </c>
      <c r="J329" s="1561" t="s">
        <v>3609</v>
      </c>
      <c r="K329" s="1555" t="s">
        <v>1772</v>
      </c>
      <c r="L329" s="1555">
        <v>41019</v>
      </c>
      <c r="M329" s="1555" t="s">
        <v>9227</v>
      </c>
      <c r="N329" s="1565"/>
    </row>
    <row r="330" spans="1:14" ht="29.4" customHeight="1">
      <c r="A330" s="1545">
        <v>48</v>
      </c>
      <c r="B330" s="1706">
        <v>4</v>
      </c>
      <c r="C330" s="1855" t="s">
        <v>8077</v>
      </c>
      <c r="D330" s="1856"/>
      <c r="E330" s="1555" t="s">
        <v>113</v>
      </c>
      <c r="F330" s="1620">
        <v>8</v>
      </c>
      <c r="G330" s="1556">
        <f>VLOOKUP(C330,'AHSP MCK'!D:K,8,FALSE)</f>
        <v>228200</v>
      </c>
      <c r="H330" s="1684">
        <f t="shared" si="52"/>
        <v>1825600</v>
      </c>
      <c r="I330" s="1678">
        <f t="shared" si="53"/>
        <v>9.0233195272277411E-2</v>
      </c>
      <c r="J330" s="1561" t="s">
        <v>3611</v>
      </c>
      <c r="K330" s="1555" t="s">
        <v>1772</v>
      </c>
      <c r="L330" s="1555">
        <v>41019</v>
      </c>
      <c r="M330" s="1555" t="s">
        <v>9227</v>
      </c>
      <c r="N330" s="1565"/>
    </row>
    <row r="331" spans="1:14" ht="29.4" customHeight="1">
      <c r="A331" s="1545">
        <v>36</v>
      </c>
      <c r="B331" s="1706">
        <v>5</v>
      </c>
      <c r="C331" s="1855" t="s">
        <v>1569</v>
      </c>
      <c r="D331" s="1856"/>
      <c r="E331" s="1555" t="s">
        <v>775</v>
      </c>
      <c r="F331" s="1620">
        <v>2</v>
      </c>
      <c r="G331" s="1556">
        <f>VLOOKUP(C331,'AHSP MCK'!D:K,8,FALSE)</f>
        <v>98500</v>
      </c>
      <c r="H331" s="1684">
        <f t="shared" si="52"/>
        <v>197000</v>
      </c>
      <c r="I331" s="1678">
        <f t="shared" si="53"/>
        <v>9.7370395862394002E-3</v>
      </c>
      <c r="J331" s="1555" t="s">
        <v>3205</v>
      </c>
      <c r="K331" s="1555" t="s">
        <v>1772</v>
      </c>
      <c r="L331" s="1555">
        <v>41019</v>
      </c>
      <c r="M331" s="1555" t="s">
        <v>9227</v>
      </c>
      <c r="N331" s="1565"/>
    </row>
    <row r="332" spans="1:14" ht="29.4" customHeight="1">
      <c r="A332" s="1545">
        <v>35</v>
      </c>
      <c r="B332" s="1706">
        <v>6</v>
      </c>
      <c r="C332" s="1855" t="s">
        <v>1568</v>
      </c>
      <c r="D332" s="1856"/>
      <c r="E332" s="1555" t="s">
        <v>775</v>
      </c>
      <c r="F332" s="1620">
        <v>1</v>
      </c>
      <c r="G332" s="1556">
        <f>VLOOKUP(C332,'AHSP MCK'!D:K,8,FALSE)</f>
        <v>45600</v>
      </c>
      <c r="H332" s="1684">
        <f t="shared" si="52"/>
        <v>45600</v>
      </c>
      <c r="I332" s="1678">
        <f t="shared" si="53"/>
        <v>2.2538528179315565E-3</v>
      </c>
      <c r="J332" s="1555" t="s">
        <v>3202</v>
      </c>
      <c r="K332" s="1555" t="s">
        <v>1772</v>
      </c>
      <c r="L332" s="1555">
        <v>41019</v>
      </c>
      <c r="M332" s="1555" t="s">
        <v>9227</v>
      </c>
      <c r="N332" s="1565"/>
    </row>
    <row r="333" spans="1:14" hidden="1">
      <c r="A333" s="1545">
        <v>52</v>
      </c>
      <c r="B333" s="1706">
        <v>8</v>
      </c>
      <c r="C333" s="1855" t="s">
        <v>9302</v>
      </c>
      <c r="D333" s="1856"/>
      <c r="E333" s="1555" t="s">
        <v>135</v>
      </c>
      <c r="F333" s="1620"/>
      <c r="G333" s="1556">
        <f>VLOOKUP(C333,'AHSP MCK'!D:K,8,FALSE)</f>
        <v>731400</v>
      </c>
      <c r="H333" s="1684">
        <f t="shared" si="52"/>
        <v>0</v>
      </c>
      <c r="I333" s="1678">
        <f t="shared" si="53"/>
        <v>0</v>
      </c>
      <c r="J333" s="1555" t="s">
        <v>3767</v>
      </c>
      <c r="K333" s="1555" t="s">
        <v>1772</v>
      </c>
      <c r="L333" s="1555">
        <v>41019</v>
      </c>
      <c r="M333" s="1555" t="s">
        <v>9227</v>
      </c>
      <c r="N333" s="1565"/>
    </row>
    <row r="334" spans="1:14" ht="29.4" customHeight="1">
      <c r="A334" s="1545">
        <v>37</v>
      </c>
      <c r="B334" s="1706">
        <v>7</v>
      </c>
      <c r="C334" s="1855" t="s">
        <v>1651</v>
      </c>
      <c r="D334" s="1856"/>
      <c r="E334" s="1555" t="s">
        <v>113</v>
      </c>
      <c r="F334" s="1620">
        <v>10</v>
      </c>
      <c r="G334" s="1556">
        <f>VLOOKUP(C334,'AHSP MCK'!D:K,8,FALSE)</f>
        <v>29000</v>
      </c>
      <c r="H334" s="1684">
        <f t="shared" si="52"/>
        <v>290000</v>
      </c>
      <c r="I334" s="1678">
        <f t="shared" si="53"/>
        <v>1.4333713096494548E-2</v>
      </c>
      <c r="J334" s="1555" t="s">
        <v>3243</v>
      </c>
      <c r="K334" s="1555" t="s">
        <v>1772</v>
      </c>
      <c r="L334" s="1555">
        <v>41019</v>
      </c>
      <c r="M334" s="1555" t="s">
        <v>9227</v>
      </c>
      <c r="N334" s="1565"/>
    </row>
    <row r="335" spans="1:14" ht="29.4" hidden="1" customHeight="1">
      <c r="B335" s="1706">
        <v>10</v>
      </c>
      <c r="C335" s="1855" t="s">
        <v>3760</v>
      </c>
      <c r="D335" s="1856"/>
      <c r="E335" s="1555" t="s">
        <v>775</v>
      </c>
      <c r="F335" s="1620"/>
      <c r="G335" s="1556">
        <f>VLOOKUP(C335,'AHSP MCK'!D:K,8,FALSE)</f>
        <v>783400</v>
      </c>
      <c r="H335" s="1684">
        <f t="shared" si="52"/>
        <v>0</v>
      </c>
      <c r="I335" s="1678">
        <f t="shared" si="53"/>
        <v>0</v>
      </c>
      <c r="J335" s="1561" t="s">
        <v>8088</v>
      </c>
      <c r="K335" s="1555" t="s">
        <v>1772</v>
      </c>
      <c r="L335" s="1555"/>
      <c r="M335" s="1555"/>
      <c r="N335" s="1565"/>
    </row>
    <row r="336" spans="1:14" ht="29.4" hidden="1" customHeight="1">
      <c r="A336" s="1545">
        <v>50</v>
      </c>
      <c r="B336" s="1706">
        <v>11</v>
      </c>
      <c r="C336" s="1855" t="s">
        <v>1582</v>
      </c>
      <c r="D336" s="1856"/>
      <c r="E336" s="1555" t="s">
        <v>135</v>
      </c>
      <c r="F336" s="1620"/>
      <c r="G336" s="1556">
        <f>VLOOKUP(C336,'AHSP MCK'!D:K,8,FALSE)</f>
        <v>3982400</v>
      </c>
      <c r="H336" s="1684">
        <f t="shared" si="52"/>
        <v>0</v>
      </c>
      <c r="I336" s="1678">
        <f t="shared" si="53"/>
        <v>0</v>
      </c>
      <c r="J336" s="1561" t="s">
        <v>3749</v>
      </c>
      <c r="K336" s="1555" t="s">
        <v>1772</v>
      </c>
      <c r="L336" s="1555">
        <v>41019</v>
      </c>
      <c r="M336" s="1555" t="s">
        <v>9227</v>
      </c>
      <c r="N336" s="1565"/>
    </row>
    <row r="337" spans="1:14">
      <c r="B337" s="1708"/>
      <c r="C337" s="1575"/>
      <c r="D337" s="1575"/>
      <c r="E337" s="1576"/>
      <c r="F337" s="1621"/>
      <c r="G337" s="1577"/>
      <c r="H337" s="1685"/>
      <c r="I337" s="1578"/>
      <c r="J337" s="1608"/>
      <c r="K337" s="1576"/>
      <c r="L337" s="1576"/>
      <c r="M337" s="1576"/>
      <c r="N337" s="1579"/>
    </row>
    <row r="338" spans="1:14">
      <c r="B338" s="1714"/>
      <c r="C338" s="1858" t="s">
        <v>9274</v>
      </c>
      <c r="D338" s="1858"/>
      <c r="E338" s="1858"/>
      <c r="F338" s="1858"/>
      <c r="G338" s="1858"/>
      <c r="H338" s="1686">
        <f>SUM(H326:H336)</f>
        <v>3186800</v>
      </c>
      <c r="I338" s="1567"/>
      <c r="J338" s="1547"/>
      <c r="K338" s="1547"/>
      <c r="L338" s="1547"/>
      <c r="N338" s="1568"/>
    </row>
    <row r="339" spans="1:14">
      <c r="B339" s="1715"/>
      <c r="C339" s="1590"/>
      <c r="D339" s="1638"/>
      <c r="E339" s="1591"/>
      <c r="F339" s="1622"/>
      <c r="G339" s="1592"/>
      <c r="H339" s="1687"/>
      <c r="I339" s="1679"/>
      <c r="J339" s="1609"/>
      <c r="K339" s="1591"/>
      <c r="L339" s="1591"/>
      <c r="M339" s="1591"/>
      <c r="N339" s="1593"/>
    </row>
    <row r="340" spans="1:14">
      <c r="B340" s="1716" t="s">
        <v>6626</v>
      </c>
      <c r="C340" s="1859" t="s">
        <v>9073</v>
      </c>
      <c r="D340" s="1859"/>
      <c r="E340" s="1595"/>
      <c r="F340" s="1623"/>
      <c r="G340" s="1596"/>
      <c r="H340" s="1690"/>
      <c r="I340" s="1597"/>
      <c r="J340" s="1610"/>
      <c r="K340" s="1595"/>
      <c r="L340" s="1595"/>
      <c r="M340" s="1595"/>
      <c r="N340" s="1598"/>
    </row>
    <row r="341" spans="1:14" ht="40.799999999999997" hidden="1" customHeight="1">
      <c r="A341" s="1545">
        <v>56</v>
      </c>
      <c r="B341" s="1706">
        <v>1</v>
      </c>
      <c r="C341" s="1855" t="s">
        <v>9230</v>
      </c>
      <c r="D341" s="1856"/>
      <c r="E341" s="1555" t="s">
        <v>135</v>
      </c>
      <c r="F341" s="1697"/>
      <c r="G341" s="1556">
        <v>4958264</v>
      </c>
      <c r="H341" s="1684">
        <f t="shared" ref="H341:H358" si="54">G341*F341</f>
        <v>0</v>
      </c>
      <c r="I341" s="1678">
        <f t="shared" ref="I341:I355" si="55">G341*F341/$H$78</f>
        <v>0</v>
      </c>
      <c r="J341" s="1555" t="s">
        <v>2225</v>
      </c>
      <c r="K341" s="1555" t="s">
        <v>1772</v>
      </c>
      <c r="L341" s="1555">
        <v>41019</v>
      </c>
      <c r="M341" s="1555" t="s">
        <v>9227</v>
      </c>
      <c r="N341" s="1565"/>
    </row>
    <row r="342" spans="1:14" ht="40.799999999999997" customHeight="1">
      <c r="A342" s="1545">
        <v>54</v>
      </c>
      <c r="B342" s="1706">
        <v>1</v>
      </c>
      <c r="C342" s="1855" t="s">
        <v>1956</v>
      </c>
      <c r="D342" s="1856"/>
      <c r="E342" s="1695" t="s">
        <v>120</v>
      </c>
      <c r="F342" s="1774">
        <f>F200</f>
        <v>4.4590000000000005</v>
      </c>
      <c r="G342" s="1696">
        <f>VLOOKUP(C342,'AHSP MCK'!D:K,8,FALSE)</f>
        <v>89100</v>
      </c>
      <c r="H342" s="1684">
        <f t="shared" si="54"/>
        <v>397296.9</v>
      </c>
      <c r="I342" s="1678">
        <f t="shared" si="55"/>
        <v>1.9637033719747191E-2</v>
      </c>
      <c r="J342" s="1555" t="s">
        <v>1810</v>
      </c>
      <c r="K342" s="1555" t="s">
        <v>9068</v>
      </c>
      <c r="L342" s="1555">
        <v>41019</v>
      </c>
      <c r="M342" s="1555" t="s">
        <v>9227</v>
      </c>
      <c r="N342" s="1565"/>
    </row>
    <row r="343" spans="1:14" ht="27.6" customHeight="1">
      <c r="A343" s="1545">
        <v>55</v>
      </c>
      <c r="B343" s="1706">
        <v>2</v>
      </c>
      <c r="C343" s="1855" t="s">
        <v>2118</v>
      </c>
      <c r="D343" s="1856"/>
      <c r="E343" s="1695" t="s">
        <v>120</v>
      </c>
      <c r="F343" s="1774">
        <f t="shared" ref="F343:F345" si="56">F201</f>
        <v>4.4590000000000005</v>
      </c>
      <c r="G343" s="1696">
        <f>VLOOKUP(C343,'AHSP MCK'!D:K,8,FALSE)</f>
        <v>26700</v>
      </c>
      <c r="H343" s="1684">
        <f t="shared" si="54"/>
        <v>119055.30000000002</v>
      </c>
      <c r="I343" s="1678">
        <f t="shared" si="55"/>
        <v>5.8844983200589231E-3</v>
      </c>
      <c r="J343" s="1555" t="s">
        <v>2112</v>
      </c>
      <c r="K343" s="1555" t="s">
        <v>9068</v>
      </c>
      <c r="L343" s="1555">
        <v>41019</v>
      </c>
      <c r="M343" s="1555" t="s">
        <v>9227</v>
      </c>
      <c r="N343" s="1565"/>
    </row>
    <row r="344" spans="1:14" ht="44.4" customHeight="1">
      <c r="B344" s="1706">
        <v>3</v>
      </c>
      <c r="C344" s="1855" t="s">
        <v>6470</v>
      </c>
      <c r="D344" s="1856"/>
      <c r="E344" s="1695" t="s">
        <v>65</v>
      </c>
      <c r="F344" s="1774">
        <f t="shared" si="56"/>
        <v>7.11</v>
      </c>
      <c r="G344" s="1696">
        <f>VLOOKUP(C344,'AHSP MCK'!D:K,8,FALSE)</f>
        <v>17100</v>
      </c>
      <c r="H344" s="1684">
        <f t="shared" si="54"/>
        <v>121581</v>
      </c>
      <c r="I344" s="1678">
        <f t="shared" si="55"/>
        <v>6.009335075810013E-3</v>
      </c>
      <c r="J344" s="1555" t="s">
        <v>2225</v>
      </c>
      <c r="K344" s="1555" t="s">
        <v>1772</v>
      </c>
      <c r="L344" s="1555"/>
      <c r="M344" s="1555"/>
      <c r="N344" s="1565"/>
    </row>
    <row r="345" spans="1:14" ht="40.799999999999997" customHeight="1">
      <c r="A345" s="1545">
        <v>57</v>
      </c>
      <c r="B345" s="1706">
        <v>4</v>
      </c>
      <c r="C345" s="1855" t="s">
        <v>2272</v>
      </c>
      <c r="D345" s="1856"/>
      <c r="E345" s="1695" t="s">
        <v>120</v>
      </c>
      <c r="F345" s="1774">
        <f t="shared" si="56"/>
        <v>0.11830000000000002</v>
      </c>
      <c r="G345" s="1696">
        <f>VLOOKUP(C345,'AHSP MCK'!D:K,8,FALSE)</f>
        <v>1291800</v>
      </c>
      <c r="H345" s="1684">
        <f t="shared" si="54"/>
        <v>152819.94000000003</v>
      </c>
      <c r="I345" s="1678">
        <f t="shared" si="55"/>
        <v>7.5533695702879704E-3</v>
      </c>
      <c r="J345" s="1555" t="s">
        <v>2271</v>
      </c>
      <c r="K345" s="1555" t="s">
        <v>1772</v>
      </c>
      <c r="L345" s="1555">
        <v>41019</v>
      </c>
      <c r="M345" s="1555" t="s">
        <v>9227</v>
      </c>
      <c r="N345" s="1565"/>
    </row>
    <row r="346" spans="1:14" ht="30" hidden="1" customHeight="1">
      <c r="A346" s="1545">
        <v>58</v>
      </c>
      <c r="B346" s="1706">
        <v>5</v>
      </c>
      <c r="C346" s="1855" t="s">
        <v>1307</v>
      </c>
      <c r="D346" s="1856"/>
      <c r="E346" s="1695" t="s">
        <v>9291</v>
      </c>
      <c r="F346" s="1699"/>
      <c r="G346" s="1696">
        <f>VLOOKUP(C346,'AHSP MCK'!D:K,8,FALSE)</f>
        <v>287100</v>
      </c>
      <c r="H346" s="1684">
        <f t="shared" si="54"/>
        <v>0</v>
      </c>
      <c r="I346" s="1678">
        <f t="shared" si="55"/>
        <v>0</v>
      </c>
      <c r="J346" s="1561" t="s">
        <v>2254</v>
      </c>
      <c r="K346" s="1555" t="s">
        <v>1772</v>
      </c>
      <c r="L346" s="1555">
        <v>41019</v>
      </c>
      <c r="M346" s="1555" t="s">
        <v>9227</v>
      </c>
      <c r="N346" s="1565"/>
    </row>
    <row r="347" spans="1:14" ht="30" customHeight="1">
      <c r="A347" s="1545">
        <v>59</v>
      </c>
      <c r="B347" s="1706">
        <v>5</v>
      </c>
      <c r="C347" s="1855" t="s">
        <v>1306</v>
      </c>
      <c r="D347" s="1856"/>
      <c r="E347" s="1695" t="s">
        <v>9291</v>
      </c>
      <c r="F347" s="1774">
        <f t="shared" ref="F347:F349" si="57">F205</f>
        <v>3.1850000000000005</v>
      </c>
      <c r="G347" s="1696">
        <f>VLOOKUP(C347,'AHSP MCK'!D:K,8,FALSE)</f>
        <v>225000</v>
      </c>
      <c r="H347" s="1684">
        <f t="shared" si="54"/>
        <v>716625.00000000012</v>
      </c>
      <c r="I347" s="1678">
        <f t="shared" si="55"/>
        <v>3.5420334992328988E-2</v>
      </c>
      <c r="J347" s="1561" t="s">
        <v>2253</v>
      </c>
      <c r="K347" s="1555" t="s">
        <v>1772</v>
      </c>
      <c r="L347" s="1555">
        <v>41019</v>
      </c>
      <c r="M347" s="1555" t="s">
        <v>9227</v>
      </c>
      <c r="N347" s="1565"/>
    </row>
    <row r="348" spans="1:14" ht="30" customHeight="1">
      <c r="A348" s="1545">
        <v>60</v>
      </c>
      <c r="B348" s="1706">
        <v>6</v>
      </c>
      <c r="C348" s="1855" t="s">
        <v>1351</v>
      </c>
      <c r="D348" s="1856"/>
      <c r="E348" s="1695" t="s">
        <v>9291</v>
      </c>
      <c r="F348" s="1774">
        <f t="shared" si="57"/>
        <v>13.52</v>
      </c>
      <c r="G348" s="1696">
        <f>VLOOKUP(C348,'AHSP MCK'!D:K,8,FALSE)</f>
        <v>97900</v>
      </c>
      <c r="H348" s="1684">
        <f t="shared" si="54"/>
        <v>1323608</v>
      </c>
      <c r="I348" s="1678">
        <f t="shared" si="55"/>
        <v>6.5421439049051566E-2</v>
      </c>
      <c r="J348" s="1561" t="s">
        <v>2772</v>
      </c>
      <c r="K348" s="1555" t="s">
        <v>1772</v>
      </c>
      <c r="L348" s="1555">
        <v>41019</v>
      </c>
      <c r="M348" s="1555" t="s">
        <v>9227</v>
      </c>
      <c r="N348" s="1565"/>
    </row>
    <row r="349" spans="1:14" ht="28.2" customHeight="1">
      <c r="A349" s="1545">
        <v>61</v>
      </c>
      <c r="B349" s="1706">
        <v>7</v>
      </c>
      <c r="C349" s="1855" t="s">
        <v>1317</v>
      </c>
      <c r="D349" s="1856"/>
      <c r="E349" s="1695" t="s">
        <v>113</v>
      </c>
      <c r="F349" s="1774">
        <f t="shared" si="57"/>
        <v>5.6</v>
      </c>
      <c r="G349" s="1696">
        <f>VLOOKUP(C349,'AHSP MCK'!D:K,8,FALSE)</f>
        <v>105800</v>
      </c>
      <c r="H349" s="1684">
        <f t="shared" si="54"/>
        <v>592480</v>
      </c>
      <c r="I349" s="1678">
        <f t="shared" si="55"/>
        <v>2.9284270122107207E-2</v>
      </c>
      <c r="J349" s="1561" t="s">
        <v>2331</v>
      </c>
      <c r="K349" s="1555" t="s">
        <v>1772</v>
      </c>
      <c r="L349" s="1555">
        <v>41019</v>
      </c>
      <c r="M349" s="1555" t="s">
        <v>9227</v>
      </c>
      <c r="N349" s="1565"/>
    </row>
    <row r="350" spans="1:14" ht="31.2" hidden="1" customHeight="1">
      <c r="A350" s="1545">
        <v>62</v>
      </c>
      <c r="B350" s="1706">
        <v>9</v>
      </c>
      <c r="C350" s="1855" t="s">
        <v>1318</v>
      </c>
      <c r="D350" s="1856"/>
      <c r="E350" s="1555" t="s">
        <v>113</v>
      </c>
      <c r="F350" s="1719"/>
      <c r="G350" s="1556">
        <f>VLOOKUP(C350,'AHSP MCK'!D:K,8,FALSE)</f>
        <v>147800</v>
      </c>
      <c r="H350" s="1684">
        <f t="shared" si="54"/>
        <v>0</v>
      </c>
      <c r="I350" s="1678">
        <f t="shared" si="55"/>
        <v>0</v>
      </c>
      <c r="J350" s="1561" t="s">
        <v>2333</v>
      </c>
      <c r="K350" s="1555" t="s">
        <v>1772</v>
      </c>
      <c r="L350" s="1555">
        <v>41019</v>
      </c>
      <c r="M350" s="1555" t="s">
        <v>9227</v>
      </c>
      <c r="N350" s="1565"/>
    </row>
    <row r="351" spans="1:14">
      <c r="A351" s="1545">
        <v>63</v>
      </c>
      <c r="B351" s="1706">
        <v>8</v>
      </c>
      <c r="C351" s="1855" t="s">
        <v>1384</v>
      </c>
      <c r="D351" s="1856"/>
      <c r="E351" s="1695" t="s">
        <v>9291</v>
      </c>
      <c r="F351" s="1774">
        <f t="shared" ref="F351:F357" si="58">F209</f>
        <v>6.76</v>
      </c>
      <c r="G351" s="1696">
        <f>VLOOKUP(C351,'AHSP MCK'!D:K,8,FALSE)</f>
        <v>44500</v>
      </c>
      <c r="H351" s="1684">
        <f t="shared" si="54"/>
        <v>300820</v>
      </c>
      <c r="I351" s="1678">
        <f t="shared" si="55"/>
        <v>1.4868508874784449E-2</v>
      </c>
      <c r="J351" s="1561" t="s">
        <v>2792</v>
      </c>
      <c r="K351" s="1555" t="s">
        <v>1772</v>
      </c>
      <c r="L351" s="1555">
        <v>41019</v>
      </c>
      <c r="M351" s="1555" t="s">
        <v>9227</v>
      </c>
      <c r="N351" s="1565"/>
    </row>
    <row r="352" spans="1:14" ht="29.4" customHeight="1">
      <c r="B352" s="1706">
        <v>9</v>
      </c>
      <c r="C352" s="1855" t="s">
        <v>1381</v>
      </c>
      <c r="D352" s="1856"/>
      <c r="E352" s="1695" t="s">
        <v>9291</v>
      </c>
      <c r="F352" s="1774">
        <f t="shared" si="58"/>
        <v>6.76</v>
      </c>
      <c r="G352" s="1696">
        <f>VLOOKUP(C352,'AHSP MCK'!D:K,8,FALSE)</f>
        <v>56600</v>
      </c>
      <c r="H352" s="1684">
        <f t="shared" si="54"/>
        <v>382616</v>
      </c>
      <c r="I352" s="1678">
        <f t="shared" si="55"/>
        <v>1.8911406793546061E-2</v>
      </c>
      <c r="J352" s="1561" t="s">
        <v>2789</v>
      </c>
      <c r="K352" s="1555" t="s">
        <v>1772</v>
      </c>
      <c r="L352" s="1555">
        <v>41019</v>
      </c>
      <c r="M352" s="1555" t="s">
        <v>9227</v>
      </c>
      <c r="N352" s="1565"/>
    </row>
    <row r="353" spans="1:14" ht="40.799999999999997" customHeight="1">
      <c r="A353" s="1545">
        <v>64</v>
      </c>
      <c r="B353" s="1706">
        <v>10</v>
      </c>
      <c r="C353" s="1855" t="s">
        <v>2817</v>
      </c>
      <c r="D353" s="1856"/>
      <c r="E353" s="1695" t="s">
        <v>9291</v>
      </c>
      <c r="F353" s="1774">
        <f t="shared" si="58"/>
        <v>3.1850000000000005</v>
      </c>
      <c r="G353" s="1696">
        <f>VLOOKUP(C353,'AHSP MCK'!D:K,8,FALSE)</f>
        <v>37500</v>
      </c>
      <c r="H353" s="1684">
        <f t="shared" si="54"/>
        <v>119437.50000000001</v>
      </c>
      <c r="I353" s="1678">
        <f t="shared" si="55"/>
        <v>5.9033891653881652E-3</v>
      </c>
      <c r="J353" s="1561" t="s">
        <v>2816</v>
      </c>
      <c r="K353" s="1555" t="s">
        <v>1772</v>
      </c>
      <c r="L353" s="1555">
        <v>41019</v>
      </c>
      <c r="M353" s="1555" t="s">
        <v>9227</v>
      </c>
      <c r="N353" s="1565"/>
    </row>
    <row r="354" spans="1:14" ht="31.2" customHeight="1">
      <c r="A354" s="1545">
        <v>65</v>
      </c>
      <c r="B354" s="1706">
        <v>11</v>
      </c>
      <c r="C354" s="1855" t="s">
        <v>8067</v>
      </c>
      <c r="D354" s="1856"/>
      <c r="E354" s="1695" t="s">
        <v>113</v>
      </c>
      <c r="F354" s="1774">
        <f t="shared" si="58"/>
        <v>1.5</v>
      </c>
      <c r="G354" s="1696">
        <f>VLOOKUP(C354,'AHSP MCK'!D:K,8,FALSE)</f>
        <v>54000</v>
      </c>
      <c r="H354" s="1684">
        <f t="shared" si="54"/>
        <v>81000</v>
      </c>
      <c r="I354" s="1678">
        <f t="shared" si="55"/>
        <v>4.0035543476415808E-3</v>
      </c>
      <c r="J354" s="1561" t="s">
        <v>3606</v>
      </c>
      <c r="K354" s="1555" t="s">
        <v>1772</v>
      </c>
      <c r="L354" s="1555">
        <v>41019</v>
      </c>
      <c r="M354" s="1555" t="s">
        <v>9227</v>
      </c>
      <c r="N354" s="1565"/>
    </row>
    <row r="355" spans="1:14" ht="31.2" customHeight="1">
      <c r="B355" s="1706">
        <v>12</v>
      </c>
      <c r="C355" s="1855" t="s">
        <v>8077</v>
      </c>
      <c r="D355" s="1856"/>
      <c r="E355" s="1695" t="s">
        <v>113</v>
      </c>
      <c r="F355" s="1774">
        <f t="shared" si="58"/>
        <v>4</v>
      </c>
      <c r="G355" s="1696">
        <f>VLOOKUP(C355,'AHSP MCK'!D:K,8,FALSE)</f>
        <v>228200</v>
      </c>
      <c r="H355" s="1684">
        <f t="shared" si="54"/>
        <v>912800</v>
      </c>
      <c r="I355" s="1678">
        <f t="shared" si="55"/>
        <v>4.5116597636138706E-2</v>
      </c>
      <c r="J355" s="1561" t="s">
        <v>3611</v>
      </c>
      <c r="K355" s="1555" t="s">
        <v>1772</v>
      </c>
      <c r="L355" s="1555">
        <v>41019</v>
      </c>
      <c r="M355" s="1555" t="s">
        <v>9227</v>
      </c>
      <c r="N355" s="1565"/>
    </row>
    <row r="356" spans="1:14">
      <c r="B356" s="1706">
        <v>13</v>
      </c>
      <c r="C356" s="1855" t="s">
        <v>9324</v>
      </c>
      <c r="D356" s="1856"/>
      <c r="E356" s="1695" t="s">
        <v>42</v>
      </c>
      <c r="F356" s="1774">
        <f t="shared" si="58"/>
        <v>0.15</v>
      </c>
      <c r="G356" s="1696">
        <v>1350000</v>
      </c>
      <c r="H356" s="1684">
        <f t="shared" si="54"/>
        <v>202500</v>
      </c>
      <c r="I356" s="1678"/>
      <c r="J356" s="1561"/>
      <c r="K356" s="1555"/>
      <c r="L356" s="1555"/>
      <c r="M356" s="1555"/>
      <c r="N356" s="1565"/>
    </row>
    <row r="357" spans="1:14" ht="24.6" customHeight="1">
      <c r="B357" s="1706">
        <v>14</v>
      </c>
      <c r="C357" s="1855" t="s">
        <v>9325</v>
      </c>
      <c r="D357" s="1856"/>
      <c r="E357" s="1695" t="s">
        <v>1171</v>
      </c>
      <c r="F357" s="1774">
        <f t="shared" si="58"/>
        <v>1</v>
      </c>
      <c r="G357" s="1696">
        <v>200000</v>
      </c>
      <c r="H357" s="1684">
        <f t="shared" si="54"/>
        <v>200000</v>
      </c>
      <c r="I357" s="1678"/>
      <c r="J357" s="1561"/>
      <c r="K357" s="1555"/>
      <c r="L357" s="1555"/>
      <c r="M357" s="1555"/>
      <c r="N357" s="1565"/>
    </row>
    <row r="358" spans="1:14" ht="40.799999999999997" hidden="1" customHeight="1">
      <c r="A358" s="1545" t="s">
        <v>9231</v>
      </c>
      <c r="B358" s="1706">
        <v>17</v>
      </c>
      <c r="C358" s="1855" t="s">
        <v>9062</v>
      </c>
      <c r="D358" s="1856"/>
      <c r="E358" s="1555" t="s">
        <v>775</v>
      </c>
      <c r="F358" s="1698"/>
      <c r="G358" s="1556">
        <f>VLOOKUP(C358,'AHSP MCK'!D:K,8,FALSE)</f>
        <v>156800</v>
      </c>
      <c r="H358" s="1684">
        <f t="shared" si="54"/>
        <v>0</v>
      </c>
      <c r="I358" s="1678">
        <f t="shared" ref="I358" si="59">G358*F358/$H$78</f>
        <v>0</v>
      </c>
      <c r="J358" s="1561" t="s">
        <v>7699</v>
      </c>
      <c r="K358" s="1555" t="s">
        <v>7699</v>
      </c>
      <c r="L358" s="1555" t="s">
        <v>7699</v>
      </c>
      <c r="M358" s="1555" t="s">
        <v>7699</v>
      </c>
      <c r="N358" s="1565"/>
    </row>
    <row r="359" spans="1:14">
      <c r="B359" s="1708"/>
      <c r="C359" s="1575"/>
      <c r="D359" s="1575"/>
      <c r="E359" s="1576"/>
      <c r="F359" s="1621"/>
      <c r="G359" s="1577"/>
      <c r="H359" s="1685"/>
      <c r="I359" s="1578"/>
      <c r="J359" s="1608"/>
      <c r="K359" s="1576"/>
      <c r="L359" s="1576"/>
      <c r="M359" s="1576"/>
      <c r="N359" s="1579"/>
    </row>
    <row r="360" spans="1:14">
      <c r="B360" s="1714"/>
      <c r="C360" s="1858" t="s">
        <v>9274</v>
      </c>
      <c r="D360" s="1858"/>
      <c r="E360" s="1858"/>
      <c r="F360" s="1858"/>
      <c r="G360" s="1858"/>
      <c r="H360" s="1686">
        <f>SUM(H341:H358)</f>
        <v>5622639.6400000006</v>
      </c>
      <c r="I360" s="1567"/>
      <c r="J360" s="1547"/>
      <c r="K360" s="1547"/>
      <c r="L360" s="1547"/>
      <c r="N360" s="1568"/>
    </row>
    <row r="361" spans="1:14">
      <c r="B361" s="1715"/>
      <c r="C361" s="1590"/>
      <c r="D361" s="1638"/>
      <c r="E361" s="1591"/>
      <c r="F361" s="1622"/>
      <c r="G361" s="1592"/>
      <c r="H361" s="1687"/>
      <c r="I361" s="1679"/>
      <c r="J361" s="1609"/>
      <c r="K361" s="1591"/>
      <c r="L361" s="1591"/>
      <c r="M361" s="1591"/>
      <c r="N361" s="1593"/>
    </row>
    <row r="362" spans="1:14">
      <c r="B362" s="1716" t="s">
        <v>6637</v>
      </c>
      <c r="C362" s="1859" t="s">
        <v>9263</v>
      </c>
      <c r="D362" s="1859"/>
      <c r="E362" s="1595"/>
      <c r="F362" s="1623"/>
      <c r="G362" s="1596"/>
      <c r="H362" s="1690"/>
      <c r="I362" s="1597"/>
      <c r="J362" s="1610"/>
      <c r="K362" s="1595"/>
      <c r="L362" s="1595"/>
      <c r="M362" s="1595"/>
      <c r="N362" s="1598"/>
    </row>
    <row r="363" spans="1:14" ht="29.4" hidden="1" customHeight="1">
      <c r="A363" s="1545">
        <v>41</v>
      </c>
      <c r="B363" s="1706">
        <v>1</v>
      </c>
      <c r="C363" s="1855" t="s">
        <v>3548</v>
      </c>
      <c r="D363" s="1856"/>
      <c r="E363" s="1555" t="s">
        <v>135</v>
      </c>
      <c r="F363" s="1620"/>
      <c r="G363" s="1556">
        <f>VLOOKUP(C363,'AHSP MCK'!D:K,8,FALSE)</f>
        <v>267500</v>
      </c>
      <c r="H363" s="1684">
        <f t="shared" ref="H363:H368" si="60">G363*F363</f>
        <v>0</v>
      </c>
      <c r="I363" s="1678">
        <f t="shared" ref="I363:I368" si="61">G363*F363/$H$78</f>
        <v>0</v>
      </c>
      <c r="J363" s="1561" t="s">
        <v>3549</v>
      </c>
      <c r="K363" s="1555" t="s">
        <v>1772</v>
      </c>
      <c r="L363" s="1555">
        <v>41019</v>
      </c>
      <c r="M363" s="1555" t="s">
        <v>9227</v>
      </c>
      <c r="N363" s="1565"/>
    </row>
    <row r="364" spans="1:14">
      <c r="A364" s="1545">
        <v>42</v>
      </c>
      <c r="B364" s="1706">
        <v>1</v>
      </c>
      <c r="C364" s="1855" t="s">
        <v>5814</v>
      </c>
      <c r="D364" s="1856"/>
      <c r="E364" s="1555" t="s">
        <v>9015</v>
      </c>
      <c r="F364" s="1620">
        <v>2</v>
      </c>
      <c r="G364" s="1556">
        <f>VLOOKUP(C364,'AHSP MCK'!D:K,8,FALSE)</f>
        <v>180700</v>
      </c>
      <c r="H364" s="1684">
        <f t="shared" si="60"/>
        <v>361400</v>
      </c>
      <c r="I364" s="1678">
        <f t="shared" si="61"/>
        <v>1.7862772114045276E-2</v>
      </c>
      <c r="J364" s="1561" t="s">
        <v>3568</v>
      </c>
      <c r="K364" s="1555" t="s">
        <v>1772</v>
      </c>
      <c r="L364" s="1555">
        <v>41019</v>
      </c>
      <c r="M364" s="1555" t="s">
        <v>9227</v>
      </c>
      <c r="N364" s="1565"/>
    </row>
    <row r="365" spans="1:14">
      <c r="A365" s="1545">
        <v>38</v>
      </c>
      <c r="B365" s="1706">
        <v>2</v>
      </c>
      <c r="C365" s="1855" t="s">
        <v>3511</v>
      </c>
      <c r="D365" s="1856"/>
      <c r="E365" s="1555" t="s">
        <v>135</v>
      </c>
      <c r="F365" s="1620"/>
      <c r="G365" s="1556">
        <f>VLOOKUP(C365,'AHSP MCK'!D:K,8,FALSE)</f>
        <v>36200</v>
      </c>
      <c r="H365" s="1684">
        <f t="shared" si="60"/>
        <v>0</v>
      </c>
      <c r="I365" s="1678">
        <f t="shared" si="61"/>
        <v>0</v>
      </c>
      <c r="J365" s="1555" t="s">
        <v>3510</v>
      </c>
      <c r="K365" s="1555" t="s">
        <v>1772</v>
      </c>
      <c r="L365" s="1555">
        <v>41019</v>
      </c>
      <c r="M365" s="1555" t="s">
        <v>9227</v>
      </c>
      <c r="N365" s="1565"/>
    </row>
    <row r="366" spans="1:14">
      <c r="A366" s="1545">
        <v>39</v>
      </c>
      <c r="B366" s="1706">
        <v>3</v>
      </c>
      <c r="C366" s="1855" t="s">
        <v>3514</v>
      </c>
      <c r="D366" s="1856"/>
      <c r="E366" s="1555" t="s">
        <v>135</v>
      </c>
      <c r="F366" s="1620">
        <v>1</v>
      </c>
      <c r="G366" s="1556">
        <f>VLOOKUP(C366,'AHSP MCK'!D:K,8,FALSE)</f>
        <v>48200</v>
      </c>
      <c r="H366" s="1684">
        <f t="shared" si="60"/>
        <v>48200</v>
      </c>
      <c r="I366" s="1678">
        <f t="shared" si="61"/>
        <v>2.3823619698311628E-3</v>
      </c>
      <c r="J366" s="1561" t="s">
        <v>3513</v>
      </c>
      <c r="K366" s="1555" t="s">
        <v>1772</v>
      </c>
      <c r="L366" s="1555">
        <v>41019</v>
      </c>
      <c r="M366" s="1555" t="s">
        <v>9227</v>
      </c>
      <c r="N366" s="1565"/>
    </row>
    <row r="367" spans="1:14" ht="43.2" customHeight="1">
      <c r="A367" s="1545">
        <v>40</v>
      </c>
      <c r="B367" s="1706">
        <v>4</v>
      </c>
      <c r="C367" s="1855" t="s">
        <v>9229</v>
      </c>
      <c r="D367" s="1856"/>
      <c r="E367" s="1555" t="s">
        <v>135</v>
      </c>
      <c r="F367" s="1620">
        <v>1</v>
      </c>
      <c r="G367" s="1556">
        <f>VLOOKUP(C367,'AHSP MCK'!D:K,8,FALSE)</f>
        <v>46100</v>
      </c>
      <c r="H367" s="1684">
        <f t="shared" si="60"/>
        <v>46100</v>
      </c>
      <c r="I367" s="1678">
        <f t="shared" si="61"/>
        <v>2.2785661163737887E-3</v>
      </c>
      <c r="J367" s="1561" t="s">
        <v>3530</v>
      </c>
      <c r="K367" s="1555" t="s">
        <v>1772</v>
      </c>
      <c r="L367" s="1555">
        <v>41019</v>
      </c>
      <c r="M367" s="1555" t="s">
        <v>9227</v>
      </c>
      <c r="N367" s="1565"/>
    </row>
    <row r="368" spans="1:14" ht="31.2" customHeight="1">
      <c r="A368" s="1545">
        <v>43</v>
      </c>
      <c r="B368" s="1706">
        <v>5</v>
      </c>
      <c r="C368" s="1855" t="s">
        <v>5875</v>
      </c>
      <c r="D368" s="1856"/>
      <c r="E368" s="1555" t="s">
        <v>135</v>
      </c>
      <c r="F368" s="1620">
        <v>2</v>
      </c>
      <c r="G368" s="1556">
        <f>VLOOKUP(C368,'AHSP MCK'!D:K,8,FALSE)</f>
        <v>75200</v>
      </c>
      <c r="H368" s="1684">
        <f t="shared" si="60"/>
        <v>150400</v>
      </c>
      <c r="I368" s="1678">
        <f t="shared" si="61"/>
        <v>7.4337601714233792E-3</v>
      </c>
      <c r="J368" s="1561" t="s">
        <v>5874</v>
      </c>
      <c r="K368" s="1555" t="s">
        <v>1772</v>
      </c>
      <c r="L368" s="1555">
        <v>41019</v>
      </c>
      <c r="M368" s="1555" t="s">
        <v>9227</v>
      </c>
      <c r="N368" s="1565"/>
    </row>
    <row r="369" spans="1:14">
      <c r="B369" s="1708"/>
      <c r="C369" s="1575"/>
      <c r="D369" s="1575"/>
      <c r="E369" s="1576"/>
      <c r="F369" s="1621"/>
      <c r="G369" s="1577"/>
      <c r="H369" s="1685"/>
      <c r="I369" s="1578"/>
      <c r="J369" s="1608"/>
      <c r="K369" s="1576"/>
      <c r="L369" s="1576"/>
      <c r="M369" s="1576"/>
      <c r="N369" s="1579"/>
    </row>
    <row r="370" spans="1:14">
      <c r="B370" s="1714"/>
      <c r="C370" s="1858" t="s">
        <v>9274</v>
      </c>
      <c r="D370" s="1858"/>
      <c r="E370" s="1858"/>
      <c r="F370" s="1858"/>
      <c r="G370" s="1858"/>
      <c r="H370" s="1686">
        <f>SUM(H363:H368)</f>
        <v>606100</v>
      </c>
      <c r="I370" s="1567"/>
      <c r="J370" s="1547"/>
      <c r="K370" s="1547"/>
      <c r="L370" s="1547"/>
      <c r="N370" s="1568"/>
    </row>
    <row r="371" spans="1:14">
      <c r="B371" s="1715"/>
      <c r="C371" s="1607"/>
      <c r="D371" s="1770"/>
      <c r="E371" s="1591"/>
      <c r="F371" s="1622"/>
      <c r="G371" s="1592"/>
      <c r="H371" s="1687"/>
      <c r="I371" s="1679"/>
      <c r="J371" s="1609"/>
      <c r="K371" s="1591"/>
      <c r="L371" s="1591"/>
      <c r="M371" s="1591"/>
      <c r="N371" s="1593"/>
    </row>
    <row r="372" spans="1:14">
      <c r="B372" s="1716" t="s">
        <v>1766</v>
      </c>
      <c r="C372" s="1859" t="s">
        <v>9264</v>
      </c>
      <c r="D372" s="1859"/>
      <c r="E372" s="1595"/>
      <c r="F372" s="1623"/>
      <c r="G372" s="1596"/>
      <c r="H372" s="1690"/>
      <c r="I372" s="1597"/>
      <c r="J372" s="1610"/>
      <c r="K372" s="1595"/>
      <c r="L372" s="1595"/>
      <c r="M372" s="1595"/>
      <c r="N372" s="1598"/>
    </row>
    <row r="373" spans="1:14">
      <c r="A373" s="1545">
        <v>32</v>
      </c>
      <c r="B373" s="1706">
        <v>1</v>
      </c>
      <c r="C373" s="1855" t="s">
        <v>1487</v>
      </c>
      <c r="D373" s="1856"/>
      <c r="E373" s="1555" t="s">
        <v>9291</v>
      </c>
      <c r="F373" s="1620">
        <f>1.9*0.7</f>
        <v>1.3299999999999998</v>
      </c>
      <c r="G373" s="1556">
        <f>VLOOKUP(C373,'AHSP MCK'!D:K,8,FALSE)</f>
        <v>1200600</v>
      </c>
      <c r="H373" s="1684">
        <f>G373*F373</f>
        <v>1596797.9999999998</v>
      </c>
      <c r="I373" s="1678">
        <f>G373*F373/$H$78</f>
        <v>7.8924291051918269E-2</v>
      </c>
      <c r="J373" s="1561" t="s">
        <v>3027</v>
      </c>
      <c r="K373" s="1555" t="s">
        <v>1772</v>
      </c>
      <c r="L373" s="1555">
        <v>41019</v>
      </c>
      <c r="M373" s="1555" t="s">
        <v>9227</v>
      </c>
      <c r="N373" s="1565"/>
    </row>
    <row r="374" spans="1:14" hidden="1">
      <c r="A374" s="1545">
        <v>33</v>
      </c>
      <c r="B374" s="1706">
        <v>2</v>
      </c>
      <c r="C374" s="1855" t="s">
        <v>1565</v>
      </c>
      <c r="D374" s="1856"/>
      <c r="E374" s="1555" t="s">
        <v>775</v>
      </c>
      <c r="F374" s="1620"/>
      <c r="G374" s="1556">
        <f>VLOOKUP(C374,'AHSP MCK'!D:K,8,FALSE)</f>
        <v>1303500</v>
      </c>
      <c r="H374" s="1684">
        <f>G374*F374</f>
        <v>0</v>
      </c>
      <c r="I374" s="1678">
        <f>G374*F374/$H$78</f>
        <v>0</v>
      </c>
      <c r="J374" s="1561" t="s">
        <v>3173</v>
      </c>
      <c r="K374" s="1555" t="s">
        <v>1772</v>
      </c>
      <c r="L374" s="1555">
        <v>41019</v>
      </c>
      <c r="M374" s="1555" t="s">
        <v>9227</v>
      </c>
      <c r="N374" s="1565"/>
    </row>
    <row r="375" spans="1:14">
      <c r="A375" s="1545">
        <v>68</v>
      </c>
      <c r="B375" s="1706">
        <v>2</v>
      </c>
      <c r="C375" s="1855" t="s">
        <v>9232</v>
      </c>
      <c r="D375" s="1856"/>
      <c r="E375" s="1555" t="s">
        <v>775</v>
      </c>
      <c r="F375" s="1620">
        <v>1</v>
      </c>
      <c r="G375" s="1556">
        <v>350000</v>
      </c>
      <c r="H375" s="1684">
        <f>G375*F375</f>
        <v>350000</v>
      </c>
      <c r="I375" s="1678">
        <f>G375*F375/$H$78</f>
        <v>1.7299308909562387E-2</v>
      </c>
      <c r="J375" s="1563" t="s">
        <v>3156</v>
      </c>
      <c r="K375" s="1555" t="s">
        <v>1772</v>
      </c>
      <c r="L375" s="1555">
        <v>41019</v>
      </c>
      <c r="M375" s="1555" t="s">
        <v>9227</v>
      </c>
      <c r="N375" s="1565"/>
    </row>
    <row r="376" spans="1:14">
      <c r="A376" s="1545">
        <v>68</v>
      </c>
      <c r="B376" s="1706">
        <v>3</v>
      </c>
      <c r="C376" s="1855" t="s">
        <v>9323</v>
      </c>
      <c r="D376" s="1856"/>
      <c r="E376" s="1555" t="s">
        <v>1171</v>
      </c>
      <c r="F376" s="1620">
        <v>1</v>
      </c>
      <c r="G376" s="1556">
        <v>180000</v>
      </c>
      <c r="H376" s="1684">
        <f>G376*F376</f>
        <v>180000</v>
      </c>
      <c r="I376" s="1678">
        <f>G376*F376/$H$78</f>
        <v>8.8967874392035119E-3</v>
      </c>
      <c r="J376" s="1563" t="s">
        <v>3156</v>
      </c>
      <c r="K376" s="1555" t="s">
        <v>1772</v>
      </c>
      <c r="L376" s="1555">
        <v>41019</v>
      </c>
      <c r="M376" s="1555" t="s">
        <v>9227</v>
      </c>
      <c r="N376" s="1565"/>
    </row>
    <row r="377" spans="1:14">
      <c r="B377" s="1708"/>
      <c r="C377" s="1575"/>
      <c r="D377" s="1575"/>
      <c r="E377" s="1576"/>
      <c r="F377" s="1621"/>
      <c r="G377" s="1577"/>
      <c r="H377" s="1685"/>
      <c r="I377" s="1578"/>
      <c r="J377" s="1608"/>
      <c r="K377" s="1576"/>
      <c r="L377" s="1576"/>
      <c r="M377" s="1576"/>
      <c r="N377" s="1579"/>
    </row>
    <row r="378" spans="1:14" ht="15" thickBot="1">
      <c r="B378" s="1713"/>
      <c r="C378" s="1857" t="s">
        <v>9274</v>
      </c>
      <c r="D378" s="1857"/>
      <c r="E378" s="1857"/>
      <c r="F378" s="1857"/>
      <c r="G378" s="1857"/>
      <c r="H378" s="1694">
        <f>SUM(H373:H376)</f>
        <v>2126798</v>
      </c>
      <c r="I378" s="1569"/>
      <c r="J378" s="1570"/>
      <c r="K378" s="1570"/>
      <c r="L378" s="1570"/>
      <c r="M378" s="1570"/>
      <c r="N378" s="1571"/>
    </row>
  </sheetData>
  <mergeCells count="250">
    <mergeCell ref="C236:G236"/>
    <mergeCell ref="C145:G145"/>
    <mergeCell ref="C154:G154"/>
    <mergeCell ref="C161:G161"/>
    <mergeCell ref="C168:G168"/>
    <mergeCell ref="C175:G175"/>
    <mergeCell ref="C181:G181"/>
    <mergeCell ref="C83:G83"/>
    <mergeCell ref="C94:G94"/>
    <mergeCell ref="C102:G102"/>
    <mergeCell ref="C107:G107"/>
    <mergeCell ref="C122:D122"/>
    <mergeCell ref="C116:D116"/>
    <mergeCell ref="C100:D100"/>
    <mergeCell ref="C105:D105"/>
    <mergeCell ref="C111:D111"/>
    <mergeCell ref="C112:D112"/>
    <mergeCell ref="C113:D113"/>
    <mergeCell ref="C110:D110"/>
    <mergeCell ref="B3:C3"/>
    <mergeCell ref="B4:C4"/>
    <mergeCell ref="B5:C5"/>
    <mergeCell ref="B7:C7"/>
    <mergeCell ref="B8:C8"/>
    <mergeCell ref="E48:H48"/>
    <mergeCell ref="C196:G196"/>
    <mergeCell ref="C218:G218"/>
    <mergeCell ref="C228:G228"/>
    <mergeCell ref="C81:D81"/>
    <mergeCell ref="C85:D85"/>
    <mergeCell ref="C96:D96"/>
    <mergeCell ref="C104:D104"/>
    <mergeCell ref="C109:D109"/>
    <mergeCell ref="B9:C9"/>
    <mergeCell ref="B10:C10"/>
    <mergeCell ref="C12:D12"/>
    <mergeCell ref="C76:D76"/>
    <mergeCell ref="C80:D80"/>
    <mergeCell ref="C79:D79"/>
    <mergeCell ref="C120:D120"/>
    <mergeCell ref="C114:D114"/>
    <mergeCell ref="C117:D117"/>
    <mergeCell ref="C118:D118"/>
    <mergeCell ref="C119:D119"/>
    <mergeCell ref="C86:D86"/>
    <mergeCell ref="C87:D87"/>
    <mergeCell ref="C88:D88"/>
    <mergeCell ref="C89:D89"/>
    <mergeCell ref="C90:D90"/>
    <mergeCell ref="C91:D91"/>
    <mergeCell ref="C92:D92"/>
    <mergeCell ref="C97:D97"/>
    <mergeCell ref="C98:D98"/>
    <mergeCell ref="C99:D99"/>
    <mergeCell ref="C130:D130"/>
    <mergeCell ref="C131:D131"/>
    <mergeCell ref="C132:D132"/>
    <mergeCell ref="C135:D135"/>
    <mergeCell ref="C136:D136"/>
    <mergeCell ref="C134:D134"/>
    <mergeCell ref="C123:D123"/>
    <mergeCell ref="C124:D124"/>
    <mergeCell ref="C125:D125"/>
    <mergeCell ref="C126:D126"/>
    <mergeCell ref="C129:D129"/>
    <mergeCell ref="C128:D128"/>
    <mergeCell ref="C142:D142"/>
    <mergeCell ref="C143:D143"/>
    <mergeCell ref="C147:D147"/>
    <mergeCell ref="C148:D148"/>
    <mergeCell ref="C149:D149"/>
    <mergeCell ref="C137:D137"/>
    <mergeCell ref="C139:D139"/>
    <mergeCell ref="C140:D140"/>
    <mergeCell ref="C141:D141"/>
    <mergeCell ref="C158:D158"/>
    <mergeCell ref="C159:D159"/>
    <mergeCell ref="C163:D163"/>
    <mergeCell ref="C164:D164"/>
    <mergeCell ref="C165:D165"/>
    <mergeCell ref="C150:D150"/>
    <mergeCell ref="C151:D151"/>
    <mergeCell ref="C152:D152"/>
    <mergeCell ref="C156:D156"/>
    <mergeCell ref="C157:D157"/>
    <mergeCell ref="C177:D177"/>
    <mergeCell ref="C178:D178"/>
    <mergeCell ref="C179:D179"/>
    <mergeCell ref="C183:D183"/>
    <mergeCell ref="C184:D184"/>
    <mergeCell ref="C166:D166"/>
    <mergeCell ref="C170:D170"/>
    <mergeCell ref="C171:D171"/>
    <mergeCell ref="C172:D172"/>
    <mergeCell ref="C173:D173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213:D213"/>
    <mergeCell ref="C204:D204"/>
    <mergeCell ref="C205:D205"/>
    <mergeCell ref="C206:D206"/>
    <mergeCell ref="C207:D207"/>
    <mergeCell ref="C208:D208"/>
    <mergeCell ref="C199:D199"/>
    <mergeCell ref="C200:D200"/>
    <mergeCell ref="C201:D201"/>
    <mergeCell ref="C202:D202"/>
    <mergeCell ref="C203:D203"/>
    <mergeCell ref="C198:D198"/>
    <mergeCell ref="D5:H5"/>
    <mergeCell ref="C238:D238"/>
    <mergeCell ref="C239:D239"/>
    <mergeCell ref="C240:D240"/>
    <mergeCell ref="C230:D230"/>
    <mergeCell ref="C231:D231"/>
    <mergeCell ref="C232:D232"/>
    <mergeCell ref="C233:D233"/>
    <mergeCell ref="C234:D234"/>
    <mergeCell ref="C222:D222"/>
    <mergeCell ref="C223:D223"/>
    <mergeCell ref="C224:D224"/>
    <mergeCell ref="C225:D225"/>
    <mergeCell ref="C226:D226"/>
    <mergeCell ref="C214:D214"/>
    <mergeCell ref="C215:D215"/>
    <mergeCell ref="C216:D216"/>
    <mergeCell ref="C220:D220"/>
    <mergeCell ref="C221:D221"/>
    <mergeCell ref="C209:D209"/>
    <mergeCell ref="C210:D210"/>
    <mergeCell ref="C211:D211"/>
    <mergeCell ref="C212:D212"/>
    <mergeCell ref="C249:G249"/>
    <mergeCell ref="C251:D251"/>
    <mergeCell ref="C252:D252"/>
    <mergeCell ref="C253:D253"/>
    <mergeCell ref="C254:D254"/>
    <mergeCell ref="C241:D241"/>
    <mergeCell ref="C242:D242"/>
    <mergeCell ref="C244:G244"/>
    <mergeCell ref="C246:D246"/>
    <mergeCell ref="C247:D247"/>
    <mergeCell ref="C261:D261"/>
    <mergeCell ref="C262:D262"/>
    <mergeCell ref="C264:D264"/>
    <mergeCell ref="C265:D265"/>
    <mergeCell ref="C266:D266"/>
    <mergeCell ref="C255:D255"/>
    <mergeCell ref="C256:D256"/>
    <mergeCell ref="C258:D258"/>
    <mergeCell ref="C259:D259"/>
    <mergeCell ref="C260:D260"/>
    <mergeCell ref="C273:D273"/>
    <mergeCell ref="C274:D274"/>
    <mergeCell ref="C276:D276"/>
    <mergeCell ref="C277:D277"/>
    <mergeCell ref="C278:D278"/>
    <mergeCell ref="C267:D267"/>
    <mergeCell ref="C268:D268"/>
    <mergeCell ref="C270:D270"/>
    <mergeCell ref="C271:D271"/>
    <mergeCell ref="C272:D272"/>
    <mergeCell ref="C285:D285"/>
    <mergeCell ref="C287:G287"/>
    <mergeCell ref="C289:D289"/>
    <mergeCell ref="C290:D290"/>
    <mergeCell ref="C291:D291"/>
    <mergeCell ref="C279:D279"/>
    <mergeCell ref="C281:D281"/>
    <mergeCell ref="C282:D282"/>
    <mergeCell ref="C283:D283"/>
    <mergeCell ref="C284:D284"/>
    <mergeCell ref="C299:D299"/>
    <mergeCell ref="C300:D300"/>
    <mergeCell ref="C301:D301"/>
    <mergeCell ref="C303:G303"/>
    <mergeCell ref="C305:D305"/>
    <mergeCell ref="C292:D292"/>
    <mergeCell ref="C293:D293"/>
    <mergeCell ref="C294:D294"/>
    <mergeCell ref="C296:G296"/>
    <mergeCell ref="C298:D298"/>
    <mergeCell ref="C313:D313"/>
    <mergeCell ref="C314:D314"/>
    <mergeCell ref="C315:D315"/>
    <mergeCell ref="C317:G317"/>
    <mergeCell ref="C319:D319"/>
    <mergeCell ref="C306:D306"/>
    <mergeCell ref="C307:D307"/>
    <mergeCell ref="C308:D308"/>
    <mergeCell ref="C310:G310"/>
    <mergeCell ref="C312:D312"/>
    <mergeCell ref="C327:D327"/>
    <mergeCell ref="C328:D328"/>
    <mergeCell ref="C329:D329"/>
    <mergeCell ref="C330:D330"/>
    <mergeCell ref="C331:D331"/>
    <mergeCell ref="C320:D320"/>
    <mergeCell ref="C321:D321"/>
    <mergeCell ref="C323:G323"/>
    <mergeCell ref="C325:D325"/>
    <mergeCell ref="C326:D326"/>
    <mergeCell ref="C338:G338"/>
    <mergeCell ref="C340:D340"/>
    <mergeCell ref="C341:D341"/>
    <mergeCell ref="C342:D342"/>
    <mergeCell ref="C343:D343"/>
    <mergeCell ref="C332:D332"/>
    <mergeCell ref="C333:D333"/>
    <mergeCell ref="C334:D334"/>
    <mergeCell ref="C335:D335"/>
    <mergeCell ref="C336:D336"/>
    <mergeCell ref="C349:D349"/>
    <mergeCell ref="C350:D350"/>
    <mergeCell ref="C351:D351"/>
    <mergeCell ref="C352:D352"/>
    <mergeCell ref="C353:D353"/>
    <mergeCell ref="C344:D344"/>
    <mergeCell ref="C345:D345"/>
    <mergeCell ref="C346:D346"/>
    <mergeCell ref="C347:D347"/>
    <mergeCell ref="C348:D348"/>
    <mergeCell ref="C360:G360"/>
    <mergeCell ref="C362:D362"/>
    <mergeCell ref="C363:D363"/>
    <mergeCell ref="C364:D364"/>
    <mergeCell ref="C365:D365"/>
    <mergeCell ref="C354:D354"/>
    <mergeCell ref="C355:D355"/>
    <mergeCell ref="C356:D356"/>
    <mergeCell ref="C357:D357"/>
    <mergeCell ref="C358:D358"/>
    <mergeCell ref="C373:D373"/>
    <mergeCell ref="C374:D374"/>
    <mergeCell ref="C375:D375"/>
    <mergeCell ref="C376:D376"/>
    <mergeCell ref="C378:G378"/>
    <mergeCell ref="C366:D366"/>
    <mergeCell ref="C367:D367"/>
    <mergeCell ref="C368:D368"/>
    <mergeCell ref="C370:G370"/>
    <mergeCell ref="C372:D37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2443-B295-4891-A867-1A7CBEB423DA}">
  <dimension ref="A2:W226"/>
  <sheetViews>
    <sheetView showGridLines="0" topLeftCell="B8" zoomScaleNormal="100" workbookViewId="0">
      <selection activeCell="G32" sqref="G32"/>
    </sheetView>
  </sheetViews>
  <sheetFormatPr defaultRowHeight="14.4"/>
  <cols>
    <col min="1" max="1" width="3.5546875" style="1545" hidden="1" customWidth="1"/>
    <col min="2" max="2" width="6.88671875" style="1547" customWidth="1"/>
    <col min="3" max="3" width="35.88671875" style="1549" customWidth="1"/>
    <col min="4" max="4" width="9.88671875" style="1545" customWidth="1"/>
    <col min="5" max="5" width="9.88671875" style="1615" customWidth="1"/>
    <col min="6" max="7" width="14.77734375" style="1551" customWidth="1"/>
    <col min="8" max="8" width="10.6640625" style="1545" hidden="1" customWidth="1"/>
    <col min="9" max="9" width="12.33203125" style="1545" hidden="1" customWidth="1"/>
    <col min="10" max="10" width="20.5546875" style="1545" hidden="1" customWidth="1"/>
    <col min="11" max="11" width="9.77734375" style="1545" hidden="1" customWidth="1"/>
    <col min="12" max="12" width="17.88671875" style="1547" hidden="1" customWidth="1"/>
    <col min="13" max="13" width="16.44140625" style="1546" hidden="1" customWidth="1"/>
    <col min="14" max="14" width="9.44140625" style="1546" bestFit="1" customWidth="1"/>
    <col min="15" max="23" width="8.88671875" style="1721"/>
    <col min="24" max="16384" width="8.88671875" style="1546"/>
  </cols>
  <sheetData>
    <row r="2" spans="2:7" ht="18">
      <c r="B2" s="1702" t="s">
        <v>9275</v>
      </c>
      <c r="C2" s="1544"/>
    </row>
    <row r="3" spans="2:7">
      <c r="B3" s="1703" t="s">
        <v>9284</v>
      </c>
      <c r="D3" s="1548"/>
    </row>
    <row r="4" spans="2:7">
      <c r="B4" s="1703" t="s">
        <v>9285</v>
      </c>
      <c r="D4" s="1548"/>
    </row>
    <row r="5" spans="2:7">
      <c r="B5" s="1703" t="s">
        <v>9286</v>
      </c>
      <c r="D5" s="1548"/>
    </row>
    <row r="6" spans="2:7">
      <c r="B6" s="1703" t="s">
        <v>9287</v>
      </c>
      <c r="D6" s="1548"/>
    </row>
    <row r="7" spans="2:7">
      <c r="B7" s="1703" t="s">
        <v>9288</v>
      </c>
      <c r="D7" s="1548"/>
    </row>
    <row r="8" spans="2:7">
      <c r="B8" s="1703" t="s">
        <v>9289</v>
      </c>
      <c r="D8" s="1548"/>
    </row>
    <row r="9" spans="2:7">
      <c r="B9" s="1703" t="s">
        <v>9290</v>
      </c>
      <c r="D9" s="1548"/>
    </row>
    <row r="10" spans="2:7" ht="15" thickBot="1"/>
    <row r="11" spans="2:7" ht="28.8">
      <c r="B11" s="1611" t="s">
        <v>1195</v>
      </c>
      <c r="C11" s="1612" t="s">
        <v>9219</v>
      </c>
      <c r="D11" s="1612" t="s">
        <v>5286</v>
      </c>
      <c r="E11" s="1616" t="s">
        <v>9220</v>
      </c>
      <c r="F11" s="1613" t="s">
        <v>9248</v>
      </c>
      <c r="G11" s="1631" t="s">
        <v>9276</v>
      </c>
    </row>
    <row r="12" spans="2:7" ht="3.6" customHeight="1">
      <c r="B12" s="1627"/>
      <c r="C12" s="1628"/>
      <c r="D12" s="1628"/>
      <c r="E12" s="1629"/>
      <c r="F12" s="1630"/>
      <c r="G12" s="1632"/>
    </row>
    <row r="13" spans="2:7">
      <c r="B13" s="1704"/>
      <c r="C13" s="1638"/>
      <c r="D13" s="1643"/>
      <c r="E13" s="1644"/>
      <c r="F13" s="1645"/>
      <c r="G13" s="1674"/>
    </row>
    <row r="14" spans="2:7">
      <c r="B14" s="1705" t="str">
        <f>B68</f>
        <v>I</v>
      </c>
      <c r="C14" s="1646" t="str">
        <f>C68</f>
        <v>Pekerjaan Persiapan</v>
      </c>
      <c r="D14" s="1641" t="s">
        <v>9277</v>
      </c>
      <c r="E14" s="1664">
        <v>1</v>
      </c>
      <c r="F14" s="1642">
        <f>G72</f>
        <v>1733880</v>
      </c>
      <c r="G14" s="1675">
        <f>E14*F14</f>
        <v>1733880</v>
      </c>
    </row>
    <row r="15" spans="2:7">
      <c r="B15" s="1706" t="str">
        <f>B74</f>
        <v>II</v>
      </c>
      <c r="C15" s="1606" t="str">
        <f>C74</f>
        <v>SMKK</v>
      </c>
      <c r="D15" s="1639" t="s">
        <v>9277</v>
      </c>
      <c r="E15" s="1665">
        <v>1</v>
      </c>
      <c r="F15" s="1640">
        <f>G83</f>
        <v>647500</v>
      </c>
      <c r="G15" s="1649">
        <f t="shared" ref="G15:G27" si="0">E15*F15</f>
        <v>647500</v>
      </c>
    </row>
    <row r="16" spans="2:7">
      <c r="B16" s="1706" t="str">
        <f>B85</f>
        <v>III</v>
      </c>
      <c r="C16" s="1606" t="str">
        <f>C85</f>
        <v>Pekerjaan Tanah</v>
      </c>
      <c r="D16" s="1639" t="s">
        <v>9277</v>
      </c>
      <c r="E16" s="1665">
        <v>1</v>
      </c>
      <c r="F16" s="1640">
        <f>G91</f>
        <v>146662.40000000002</v>
      </c>
      <c r="G16" s="1649">
        <f t="shared" si="0"/>
        <v>146662.40000000002</v>
      </c>
    </row>
    <row r="17" spans="2:7">
      <c r="B17" s="1706" t="str">
        <f>B93</f>
        <v>IV</v>
      </c>
      <c r="C17" s="1606" t="str">
        <f>C93</f>
        <v>Pekerjaan Pondasi</v>
      </c>
      <c r="D17" s="1639" t="s">
        <v>9277</v>
      </c>
      <c r="E17" s="1665">
        <v>1</v>
      </c>
      <c r="F17" s="1640">
        <f>G96</f>
        <v>829056.00000000012</v>
      </c>
      <c r="G17" s="1649">
        <f t="shared" si="0"/>
        <v>829056.00000000012</v>
      </c>
    </row>
    <row r="18" spans="2:7">
      <c r="B18" s="1706" t="str">
        <f>B98</f>
        <v>V</v>
      </c>
      <c r="C18" s="1647" t="str">
        <f>C98</f>
        <v>Pekerjaan Beton</v>
      </c>
      <c r="D18" s="1639" t="s">
        <v>9277</v>
      </c>
      <c r="E18" s="1665">
        <v>1</v>
      </c>
      <c r="F18" s="1640">
        <f>G134</f>
        <v>2635800</v>
      </c>
      <c r="G18" s="1649">
        <f t="shared" si="0"/>
        <v>2635800</v>
      </c>
    </row>
    <row r="19" spans="2:7">
      <c r="B19" s="1706" t="str">
        <f>B136</f>
        <v>VI</v>
      </c>
      <c r="C19" s="1647" t="str">
        <f>C136</f>
        <v>Pekerjaan Dinding</v>
      </c>
      <c r="D19" s="1639" t="s">
        <v>9277</v>
      </c>
      <c r="E19" s="1665">
        <v>1</v>
      </c>
      <c r="F19" s="1640">
        <f>G143</f>
        <v>3108700</v>
      </c>
      <c r="G19" s="1649">
        <f t="shared" si="0"/>
        <v>3108700</v>
      </c>
    </row>
    <row r="20" spans="2:7">
      <c r="B20" s="1706" t="str">
        <f>B145</f>
        <v>VII</v>
      </c>
      <c r="C20" s="1647" t="str">
        <f>C145</f>
        <v>Pekerjaan Penutup Lantai dan Dinding</v>
      </c>
      <c r="D20" s="1639" t="s">
        <v>9277</v>
      </c>
      <c r="E20" s="1665">
        <v>1</v>
      </c>
      <c r="F20" s="1640">
        <f>G150</f>
        <v>2078797.5</v>
      </c>
      <c r="G20" s="1649">
        <f t="shared" si="0"/>
        <v>2078797.5</v>
      </c>
    </row>
    <row r="21" spans="2:7">
      <c r="B21" s="1706" t="str">
        <f>B152</f>
        <v>VIII</v>
      </c>
      <c r="C21" s="1647" t="str">
        <f>C152</f>
        <v>Pekerjaan Atap</v>
      </c>
      <c r="D21" s="1639" t="s">
        <v>9277</v>
      </c>
      <c r="E21" s="1665">
        <v>1</v>
      </c>
      <c r="F21" s="1640">
        <f>G157</f>
        <v>2374552</v>
      </c>
      <c r="G21" s="1649">
        <f t="shared" si="0"/>
        <v>2374552</v>
      </c>
    </row>
    <row r="22" spans="2:7">
      <c r="B22" s="1706" t="str">
        <f>B159</f>
        <v>IX</v>
      </c>
      <c r="C22" s="1647" t="str">
        <f>C159</f>
        <v>Pekerjaan Langit-Langit</v>
      </c>
      <c r="D22" s="1639" t="s">
        <v>9277</v>
      </c>
      <c r="E22" s="1665">
        <v>1</v>
      </c>
      <c r="F22" s="1640">
        <f>G164</f>
        <v>1109124</v>
      </c>
      <c r="G22" s="1649">
        <f t="shared" si="0"/>
        <v>1109124</v>
      </c>
    </row>
    <row r="23" spans="2:7">
      <c r="B23" s="1706" t="str">
        <f>B166</f>
        <v>X</v>
      </c>
      <c r="C23" s="1647" t="str">
        <f>C166</f>
        <v>Pekerjaan Pengecatan</v>
      </c>
      <c r="D23" s="1639" t="s">
        <v>9277</v>
      </c>
      <c r="E23" s="1665">
        <v>1</v>
      </c>
      <c r="F23" s="1640">
        <f>G170</f>
        <v>881520</v>
      </c>
      <c r="G23" s="1649">
        <f t="shared" si="0"/>
        <v>881520</v>
      </c>
    </row>
    <row r="24" spans="2:7">
      <c r="B24" s="1706" t="str">
        <f>B172</f>
        <v>XI</v>
      </c>
      <c r="C24" s="1647" t="str">
        <f>C172</f>
        <v>Pekerjaan Sanitasi</v>
      </c>
      <c r="D24" s="1639" t="s">
        <v>9277</v>
      </c>
      <c r="E24" s="1665">
        <v>1</v>
      </c>
      <c r="F24" s="1640">
        <f>G185</f>
        <v>1610800</v>
      </c>
      <c r="G24" s="1649">
        <f t="shared" si="0"/>
        <v>1610800</v>
      </c>
    </row>
    <row r="25" spans="2:7">
      <c r="B25" s="1706" t="str">
        <f>B187</f>
        <v>XII</v>
      </c>
      <c r="C25" s="1647" t="str">
        <f>C187</f>
        <v>Pekerjaan Tangki Septik</v>
      </c>
      <c r="D25" s="1639" t="s">
        <v>9277</v>
      </c>
      <c r="E25" s="1665">
        <v>1</v>
      </c>
      <c r="F25" s="1640">
        <f>G205</f>
        <v>9044973.0300000012</v>
      </c>
      <c r="G25" s="1649">
        <f t="shared" si="0"/>
        <v>9044973.0300000012</v>
      </c>
    </row>
    <row r="26" spans="2:7">
      <c r="B26" s="1706" t="str">
        <f>B207</f>
        <v>XIII</v>
      </c>
      <c r="C26" s="1647" t="str">
        <f>C207</f>
        <v>Pekerjaan Listrik</v>
      </c>
      <c r="D26" s="1639" t="s">
        <v>9277</v>
      </c>
      <c r="E26" s="1665">
        <v>1</v>
      </c>
      <c r="F26" s="1640">
        <f>G216</f>
        <v>387100</v>
      </c>
      <c r="G26" s="1649">
        <f t="shared" si="0"/>
        <v>387100</v>
      </c>
    </row>
    <row r="27" spans="2:7">
      <c r="B27" s="1707" t="str">
        <f>B218</f>
        <v>XIV</v>
      </c>
      <c r="C27" s="1668" t="str">
        <f>C218</f>
        <v>Pekerjaan Lain-Lain</v>
      </c>
      <c r="D27" s="1669" t="s">
        <v>9277</v>
      </c>
      <c r="E27" s="1670">
        <v>1</v>
      </c>
      <c r="F27" s="1671">
        <f>G223</f>
        <v>1679580</v>
      </c>
      <c r="G27" s="1650">
        <f t="shared" si="0"/>
        <v>1679580</v>
      </c>
    </row>
    <row r="28" spans="2:7">
      <c r="B28" s="1708"/>
      <c r="C28" s="1575"/>
      <c r="D28" s="1667"/>
      <c r="E28" s="1672"/>
      <c r="F28" s="1673"/>
      <c r="G28" s="1676"/>
    </row>
    <row r="29" spans="2:7">
      <c r="B29" s="1709"/>
      <c r="C29" s="1651" t="s">
        <v>9249</v>
      </c>
      <c r="D29" s="1652"/>
      <c r="E29" s="1653"/>
      <c r="F29" s="1654"/>
      <c r="G29" s="1648">
        <f>SUM(G14:G27)</f>
        <v>28268044.93</v>
      </c>
    </row>
    <row r="30" spans="2:7">
      <c r="B30" s="1710"/>
      <c r="C30" s="1600" t="s">
        <v>9279</v>
      </c>
      <c r="D30" s="1655"/>
      <c r="E30" s="1655">
        <v>0.11</v>
      </c>
      <c r="F30" s="1657"/>
      <c r="G30" s="1649">
        <f>G29*E30</f>
        <v>3109484.9422999998</v>
      </c>
    </row>
    <row r="31" spans="2:7">
      <c r="B31" s="1710"/>
      <c r="C31" s="1600" t="s">
        <v>9035</v>
      </c>
      <c r="D31" s="1658"/>
      <c r="E31" s="1656"/>
      <c r="F31" s="1657"/>
      <c r="G31" s="1649">
        <f>G30+G29</f>
        <v>31377529.872299999</v>
      </c>
    </row>
    <row r="32" spans="2:7">
      <c r="B32" s="1711"/>
      <c r="C32" s="1659" t="s">
        <v>9280</v>
      </c>
      <c r="D32" s="1660"/>
      <c r="E32" s="1661"/>
      <c r="F32" s="1662"/>
      <c r="G32" s="1650">
        <f>ROUNDDOWN(G31,-3)</f>
        <v>31377000</v>
      </c>
    </row>
    <row r="33" spans="2:7">
      <c r="B33" s="1712"/>
      <c r="C33" s="1663" t="s">
        <v>9281</v>
      </c>
      <c r="D33" s="1868" t="str">
        <f>PROPER([46]!terbilang(G32))&amp;" Rupiah"</f>
        <v>Tiga Puluh Satu Juta Tiga Ratus Tujuh Puluh Tujuh Ribu Rupiah</v>
      </c>
      <c r="E33" s="1868"/>
      <c r="F33" s="1868"/>
      <c r="G33" s="1869"/>
    </row>
    <row r="34" spans="2:7" ht="15" thickBot="1">
      <c r="B34" s="1713"/>
      <c r="C34" s="1633" t="s">
        <v>9282</v>
      </c>
      <c r="D34" s="1634" t="s">
        <v>9283</v>
      </c>
      <c r="E34" s="1635"/>
      <c r="F34" s="1636"/>
      <c r="G34" s="1637"/>
    </row>
    <row r="36" spans="2:7" hidden="1"/>
    <row r="37" spans="2:7" hidden="1"/>
    <row r="38" spans="2:7" hidden="1"/>
    <row r="39" spans="2:7" hidden="1"/>
    <row r="40" spans="2:7" hidden="1"/>
    <row r="41" spans="2:7" hidden="1"/>
    <row r="42" spans="2:7" hidden="1"/>
    <row r="43" spans="2:7" hidden="1"/>
    <row r="44" spans="2:7" hidden="1"/>
    <row r="45" spans="2:7" hidden="1"/>
    <row r="46" spans="2:7" hidden="1"/>
    <row r="47" spans="2:7" hidden="1"/>
    <row r="48" spans="2:7" hidden="1"/>
    <row r="49" spans="2:19" hidden="1"/>
    <row r="50" spans="2:19" hidden="1"/>
    <row r="51" spans="2:19" hidden="1"/>
    <row r="52" spans="2:19" hidden="1"/>
    <row r="53" spans="2:19" hidden="1"/>
    <row r="54" spans="2:19" hidden="1"/>
    <row r="55" spans="2:19" hidden="1"/>
    <row r="56" spans="2:19" ht="18">
      <c r="B56" s="1702" t="s">
        <v>9218</v>
      </c>
      <c r="C56" s="1544"/>
    </row>
    <row r="57" spans="2:19">
      <c r="B57" s="1703" t="str">
        <f>B3</f>
        <v>UNIT KERJA                              : DINAS PERUMAHAN DAN KAWASAN PERMUKIMAN</v>
      </c>
      <c r="D57" s="1548"/>
    </row>
    <row r="58" spans="2:19">
      <c r="B58" s="1703" t="str">
        <f t="shared" ref="B58:B63" si="1">B4</f>
        <v>PROGRAM                                : PROGRAM PENGELOLAAN DAN PENGEMBANGAN SISTEM AIR LIMBAH</v>
      </c>
      <c r="D58" s="1548"/>
    </row>
    <row r="59" spans="2:19">
      <c r="B59" s="1703" t="str">
        <f t="shared" si="1"/>
        <v>KEGIATAN                                : PENGELOLAAN DAN PENGEMBANGAN SISTEM AIR LIMBAH DOMESTIK DALAM DAERAH KABUPATEN/KOTA</v>
      </c>
      <c r="D59" s="1548"/>
    </row>
    <row r="60" spans="2:19">
      <c r="B60" s="1703" t="str">
        <f t="shared" si="1"/>
        <v>PEKERJAAN                              :</v>
      </c>
      <c r="D60" s="1548"/>
    </row>
    <row r="61" spans="2:19">
      <c r="B61" s="1703" t="str">
        <f t="shared" si="1"/>
        <v>LOKASI PEKERJAAN                :</v>
      </c>
      <c r="D61" s="1548"/>
    </row>
    <row r="62" spans="2:19">
      <c r="B62" s="1703" t="str">
        <f t="shared" si="1"/>
        <v>SUMBER DANA                       :</v>
      </c>
      <c r="D62" s="1548"/>
    </row>
    <row r="63" spans="2:19">
      <c r="B63" s="1703" t="str">
        <f t="shared" si="1"/>
        <v>TAHUN ANGGARAN               :</v>
      </c>
      <c r="D63" s="1548"/>
      <c r="O63" s="1721" t="s">
        <v>9292</v>
      </c>
    </row>
    <row r="64" spans="2:19" ht="15" thickBot="1">
      <c r="O64" s="1721" t="s">
        <v>9294</v>
      </c>
      <c r="P64" s="1721" t="s">
        <v>9293</v>
      </c>
      <c r="Q64" s="1721" t="s">
        <v>9296</v>
      </c>
      <c r="R64" s="1721" t="s">
        <v>9297</v>
      </c>
      <c r="S64" s="1721" t="s">
        <v>9310</v>
      </c>
    </row>
    <row r="65" spans="1:23" s="1553" customFormat="1" ht="57.6">
      <c r="A65" s="1553" t="s">
        <v>1195</v>
      </c>
      <c r="B65" s="1611" t="s">
        <v>1195</v>
      </c>
      <c r="C65" s="1612" t="s">
        <v>9219</v>
      </c>
      <c r="D65" s="1612" t="s">
        <v>5286</v>
      </c>
      <c r="E65" s="1616" t="s">
        <v>9220</v>
      </c>
      <c r="F65" s="1613" t="s">
        <v>9248</v>
      </c>
      <c r="G65" s="1631" t="s">
        <v>9276</v>
      </c>
      <c r="H65" s="1666" t="s">
        <v>9221</v>
      </c>
      <c r="I65" s="1612" t="s">
        <v>9222</v>
      </c>
      <c r="J65" s="1612" t="s">
        <v>9223</v>
      </c>
      <c r="K65" s="1612" t="s">
        <v>9224</v>
      </c>
      <c r="L65" s="1612" t="s">
        <v>9225</v>
      </c>
      <c r="M65" s="1614" t="s">
        <v>9226</v>
      </c>
      <c r="O65" s="1617"/>
      <c r="P65" s="1617"/>
      <c r="Q65" s="1617" t="s">
        <v>9295</v>
      </c>
      <c r="R65" s="1617"/>
      <c r="S65" s="1617"/>
      <c r="T65" s="1617"/>
      <c r="U65" s="1617"/>
      <c r="V65" s="1617"/>
      <c r="W65" s="1617"/>
    </row>
    <row r="66" spans="1:23" s="1553" customFormat="1">
      <c r="B66" s="1572"/>
      <c r="E66" s="1617"/>
      <c r="F66" s="1573"/>
      <c r="G66" s="1681"/>
      <c r="M66" s="1574"/>
      <c r="O66" s="1617"/>
      <c r="P66" s="1617"/>
      <c r="Q66" s="1617"/>
      <c r="R66" s="1617"/>
      <c r="S66" s="1617"/>
      <c r="T66" s="1617"/>
      <c r="U66" s="1617"/>
      <c r="V66" s="1617"/>
      <c r="W66" s="1617"/>
    </row>
    <row r="67" spans="1:23" s="1553" customFormat="1">
      <c r="B67" s="1580"/>
      <c r="C67" s="1581"/>
      <c r="D67" s="1581"/>
      <c r="E67" s="1618"/>
      <c r="F67" s="1582"/>
      <c r="G67" s="1682">
        <f>G72+G83+G91+G96+G134+G143+G150+G157+G164+G170+G185+G205+G216+G223</f>
        <v>28268044.93</v>
      </c>
      <c r="H67" s="1677">
        <f>SUM(H69:H224)</f>
        <v>1</v>
      </c>
      <c r="I67" s="1581"/>
      <c r="J67" s="1581"/>
      <c r="K67" s="1581"/>
      <c r="L67" s="1581"/>
      <c r="M67" s="1583"/>
      <c r="O67" s="1617"/>
      <c r="P67" s="1617"/>
      <c r="Q67" s="1617"/>
      <c r="R67" s="1617"/>
      <c r="S67" s="1617"/>
      <c r="T67" s="1617"/>
      <c r="U67" s="1617"/>
      <c r="V67" s="1617"/>
      <c r="W67" s="1617"/>
    </row>
    <row r="68" spans="1:23" s="1553" customFormat="1">
      <c r="B68" s="1584" t="s">
        <v>1766</v>
      </c>
      <c r="C68" s="1585" t="s">
        <v>9250</v>
      </c>
      <c r="D68" s="1586"/>
      <c r="E68" s="1619"/>
      <c r="F68" s="1587"/>
      <c r="G68" s="1683"/>
      <c r="H68" s="1588"/>
      <c r="I68" s="1586"/>
      <c r="J68" s="1586"/>
      <c r="K68" s="1586"/>
      <c r="L68" s="1586"/>
      <c r="M68" s="1589"/>
      <c r="O68" s="1617"/>
      <c r="P68" s="1617"/>
      <c r="Q68" s="1617"/>
      <c r="R68" s="1617"/>
      <c r="S68" s="1617"/>
      <c r="T68" s="1617"/>
      <c r="U68" s="1617"/>
      <c r="V68" s="1617"/>
      <c r="W68" s="1617"/>
    </row>
    <row r="69" spans="1:23">
      <c r="A69" s="1545">
        <v>1</v>
      </c>
      <c r="B69" s="1706">
        <v>1</v>
      </c>
      <c r="C69" s="1554" t="s">
        <v>9214</v>
      </c>
      <c r="D69" s="1555" t="s">
        <v>1171</v>
      </c>
      <c r="E69" s="1620">
        <v>1</v>
      </c>
      <c r="F69" s="1763">
        <v>978400</v>
      </c>
      <c r="G69" s="1684">
        <f>F69*E69</f>
        <v>978400</v>
      </c>
      <c r="H69" s="1678">
        <f>F69*E69/$G$67</f>
        <v>3.461151991313182E-2</v>
      </c>
      <c r="I69" s="1557" t="s">
        <v>1847</v>
      </c>
      <c r="J69" s="1557" t="s">
        <v>1772</v>
      </c>
      <c r="K69" s="1557">
        <v>41019</v>
      </c>
      <c r="L69" s="1557" t="s">
        <v>9227</v>
      </c>
      <c r="M69" s="1565"/>
      <c r="O69" s="1721">
        <v>1</v>
      </c>
      <c r="P69" s="1721">
        <v>1</v>
      </c>
      <c r="Q69" s="1721">
        <v>1</v>
      </c>
      <c r="R69" s="1721">
        <v>1</v>
      </c>
      <c r="S69" s="1721">
        <v>1</v>
      </c>
    </row>
    <row r="70" spans="1:23">
      <c r="A70" s="1545">
        <v>2</v>
      </c>
      <c r="B70" s="1706">
        <v>2</v>
      </c>
      <c r="C70" s="1554" t="s">
        <v>1936</v>
      </c>
      <c r="D70" s="1555" t="s">
        <v>113</v>
      </c>
      <c r="E70" s="1620">
        <f>(1.5*2)+(1.9*2)</f>
        <v>6.8</v>
      </c>
      <c r="F70" s="1720">
        <v>111100</v>
      </c>
      <c r="G70" s="1684">
        <f t="shared" ref="G70:G132" si="2">F70*E70</f>
        <v>755480</v>
      </c>
      <c r="H70" s="1678">
        <f>F70*E70/$G$67</f>
        <v>2.6725583671272309E-2</v>
      </c>
      <c r="I70" s="1555" t="s">
        <v>1935</v>
      </c>
      <c r="J70" s="1555" t="s">
        <v>9068</v>
      </c>
      <c r="K70" s="1555">
        <v>41019</v>
      </c>
      <c r="L70" s="1555" t="s">
        <v>9227</v>
      </c>
      <c r="M70" s="1565"/>
      <c r="O70" s="1721">
        <f>(5.55*3)+(2.75*5)</f>
        <v>30.4</v>
      </c>
      <c r="P70" s="1721">
        <f>(2.85*3)+(2.2*3)</f>
        <v>15.150000000000002</v>
      </c>
      <c r="Q70" s="1721">
        <f>(2.85*3)+(2.75*3)</f>
        <v>16.8</v>
      </c>
      <c r="R70" s="1721">
        <f>(2.85*3)+(2.75*3)</f>
        <v>16.8</v>
      </c>
    </row>
    <row r="71" spans="1:23">
      <c r="B71" s="1708"/>
      <c r="C71" s="1575"/>
      <c r="D71" s="1576"/>
      <c r="E71" s="1621"/>
      <c r="F71" s="1577"/>
      <c r="G71" s="1685"/>
      <c r="H71" s="1578"/>
      <c r="I71" s="1576"/>
      <c r="J71" s="1576"/>
      <c r="K71" s="1576"/>
      <c r="L71" s="1576"/>
      <c r="M71" s="1579"/>
    </row>
    <row r="72" spans="1:23">
      <c r="B72" s="1714"/>
      <c r="C72" s="1870" t="s">
        <v>9274</v>
      </c>
      <c r="D72" s="1870"/>
      <c r="E72" s="1870"/>
      <c r="F72" s="1870"/>
      <c r="G72" s="1686">
        <f>SUM(G69:G70)</f>
        <v>1733880</v>
      </c>
      <c r="H72" s="1567"/>
      <c r="I72" s="1547"/>
      <c r="J72" s="1547"/>
      <c r="K72" s="1547"/>
      <c r="M72" s="1568"/>
    </row>
    <row r="73" spans="1:23">
      <c r="B73" s="1715"/>
      <c r="C73" s="1590"/>
      <c r="D73" s="1591"/>
      <c r="E73" s="1622"/>
      <c r="F73" s="1592"/>
      <c r="G73" s="1687"/>
      <c r="H73" s="1679"/>
      <c r="I73" s="1591"/>
      <c r="J73" s="1591"/>
      <c r="K73" s="1591"/>
      <c r="L73" s="1591"/>
      <c r="M73" s="1593"/>
    </row>
    <row r="74" spans="1:23">
      <c r="B74" s="1716" t="s">
        <v>5291</v>
      </c>
      <c r="C74" s="1594" t="s">
        <v>9096</v>
      </c>
      <c r="D74" s="1595"/>
      <c r="E74" s="1623"/>
      <c r="F74" s="1596"/>
      <c r="G74" s="1688"/>
      <c r="H74" s="1597"/>
      <c r="I74" s="1595"/>
      <c r="J74" s="1595"/>
      <c r="K74" s="1595"/>
      <c r="L74" s="1595"/>
      <c r="M74" s="1598"/>
    </row>
    <row r="75" spans="1:23">
      <c r="A75" s="1545">
        <v>69</v>
      </c>
      <c r="B75" s="1706">
        <v>1</v>
      </c>
      <c r="C75" s="1554" t="s">
        <v>9233</v>
      </c>
      <c r="D75" s="1555" t="s">
        <v>9133</v>
      </c>
      <c r="E75" s="1620">
        <v>3</v>
      </c>
      <c r="F75" s="1556">
        <v>10000</v>
      </c>
      <c r="G75" s="1684">
        <f t="shared" ref="G75:G81" si="3">F75*E75</f>
        <v>30000</v>
      </c>
      <c r="H75" s="1678">
        <f t="shared" ref="H75:H81" si="4">F75*E75/$G$67</f>
        <v>1.0612690079660207E-3</v>
      </c>
      <c r="I75" s="1555" t="s">
        <v>9234</v>
      </c>
      <c r="J75" s="1555" t="s">
        <v>9096</v>
      </c>
      <c r="K75" s="1555">
        <v>41019</v>
      </c>
      <c r="L75" s="1555" t="s">
        <v>9227</v>
      </c>
      <c r="M75" s="1565"/>
      <c r="O75" s="1721">
        <v>5</v>
      </c>
      <c r="P75" s="1721">
        <v>5</v>
      </c>
      <c r="Q75" s="1721">
        <v>5</v>
      </c>
      <c r="R75" s="1721">
        <v>5</v>
      </c>
      <c r="S75" s="1721">
        <v>5</v>
      </c>
    </row>
    <row r="76" spans="1:23" ht="28.8">
      <c r="A76" s="1545">
        <v>70</v>
      </c>
      <c r="B76" s="1706">
        <v>2</v>
      </c>
      <c r="C76" s="1554" t="s">
        <v>9235</v>
      </c>
      <c r="D76" s="1555" t="s">
        <v>9133</v>
      </c>
      <c r="E76" s="1620">
        <v>3</v>
      </c>
      <c r="F76" s="1556">
        <v>10000</v>
      </c>
      <c r="G76" s="1684">
        <f t="shared" si="3"/>
        <v>30000</v>
      </c>
      <c r="H76" s="1678">
        <f t="shared" si="4"/>
        <v>1.0612690079660207E-3</v>
      </c>
      <c r="I76" s="1555" t="s">
        <v>9236</v>
      </c>
      <c r="J76" s="1555" t="s">
        <v>9096</v>
      </c>
      <c r="K76" s="1555">
        <v>41019</v>
      </c>
      <c r="L76" s="1555" t="s">
        <v>9227</v>
      </c>
      <c r="M76" s="1565"/>
      <c r="O76" s="1721">
        <v>5</v>
      </c>
      <c r="P76" s="1721">
        <v>5</v>
      </c>
      <c r="Q76" s="1721">
        <v>5</v>
      </c>
      <c r="R76" s="1721">
        <v>5</v>
      </c>
      <c r="S76" s="1721">
        <v>5</v>
      </c>
    </row>
    <row r="77" spans="1:23">
      <c r="A77" s="1545">
        <v>71</v>
      </c>
      <c r="B77" s="1706">
        <v>3</v>
      </c>
      <c r="C77" s="1554" t="s">
        <v>9237</v>
      </c>
      <c r="D77" s="1555" t="s">
        <v>4259</v>
      </c>
      <c r="E77" s="1620">
        <v>3</v>
      </c>
      <c r="F77" s="1556">
        <v>25000</v>
      </c>
      <c r="G77" s="1684">
        <f t="shared" si="3"/>
        <v>75000</v>
      </c>
      <c r="H77" s="1678">
        <f t="shared" si="4"/>
        <v>2.6531725199150516E-3</v>
      </c>
      <c r="I77" s="1555" t="s">
        <v>9238</v>
      </c>
      <c r="J77" s="1555" t="s">
        <v>9096</v>
      </c>
      <c r="K77" s="1555">
        <v>41019</v>
      </c>
      <c r="L77" s="1555" t="s">
        <v>9227</v>
      </c>
      <c r="M77" s="1565"/>
      <c r="O77" s="1721">
        <v>5</v>
      </c>
      <c r="P77" s="1721">
        <v>5</v>
      </c>
      <c r="Q77" s="1721">
        <v>5</v>
      </c>
      <c r="R77" s="1721">
        <v>5</v>
      </c>
      <c r="S77" s="1721">
        <v>5</v>
      </c>
    </row>
    <row r="78" spans="1:23">
      <c r="A78" s="1545">
        <v>72</v>
      </c>
      <c r="B78" s="1706">
        <v>4</v>
      </c>
      <c r="C78" s="1554" t="s">
        <v>9239</v>
      </c>
      <c r="D78" s="1555" t="s">
        <v>775</v>
      </c>
      <c r="E78" s="1620">
        <v>3</v>
      </c>
      <c r="F78" s="1556">
        <v>10000</v>
      </c>
      <c r="G78" s="1684">
        <f t="shared" si="3"/>
        <v>30000</v>
      </c>
      <c r="H78" s="1678">
        <f t="shared" si="4"/>
        <v>1.0612690079660207E-3</v>
      </c>
      <c r="I78" s="1555" t="s">
        <v>9240</v>
      </c>
      <c r="J78" s="1555" t="s">
        <v>9096</v>
      </c>
      <c r="K78" s="1555">
        <v>41019</v>
      </c>
      <c r="L78" s="1555" t="s">
        <v>9227</v>
      </c>
      <c r="M78" s="1565"/>
      <c r="O78" s="1721">
        <v>5</v>
      </c>
      <c r="P78" s="1721">
        <v>5</v>
      </c>
      <c r="Q78" s="1721">
        <v>5</v>
      </c>
      <c r="R78" s="1721">
        <v>5</v>
      </c>
      <c r="S78" s="1721">
        <v>5</v>
      </c>
    </row>
    <row r="79" spans="1:23">
      <c r="A79" s="1545">
        <v>73</v>
      </c>
      <c r="B79" s="1706">
        <v>5</v>
      </c>
      <c r="C79" s="1554" t="s">
        <v>9241</v>
      </c>
      <c r="D79" s="1555" t="s">
        <v>9242</v>
      </c>
      <c r="E79" s="1620">
        <v>3</v>
      </c>
      <c r="F79" s="1556">
        <v>87500</v>
      </c>
      <c r="G79" s="1684">
        <f t="shared" si="3"/>
        <v>262500</v>
      </c>
      <c r="H79" s="1678">
        <f t="shared" si="4"/>
        <v>9.2861038197026811E-3</v>
      </c>
      <c r="I79" s="1555" t="s">
        <v>9243</v>
      </c>
      <c r="J79" s="1555" t="s">
        <v>9096</v>
      </c>
      <c r="K79" s="1555">
        <v>41019</v>
      </c>
      <c r="L79" s="1555" t="s">
        <v>9227</v>
      </c>
      <c r="M79" s="1565"/>
      <c r="O79" s="1721">
        <v>5</v>
      </c>
      <c r="P79" s="1721">
        <v>5</v>
      </c>
      <c r="Q79" s="1721">
        <v>5</v>
      </c>
      <c r="R79" s="1721">
        <v>5</v>
      </c>
      <c r="S79" s="1721">
        <v>5</v>
      </c>
    </row>
    <row r="80" spans="1:23">
      <c r="A80" s="1545">
        <v>74</v>
      </c>
      <c r="B80" s="1706">
        <v>6</v>
      </c>
      <c r="C80" s="1554" t="s">
        <v>9244</v>
      </c>
      <c r="D80" s="1555" t="s">
        <v>9242</v>
      </c>
      <c r="E80" s="1620">
        <v>3</v>
      </c>
      <c r="F80" s="1556">
        <v>10000</v>
      </c>
      <c r="G80" s="1684">
        <f t="shared" si="3"/>
        <v>30000</v>
      </c>
      <c r="H80" s="1678">
        <f t="shared" si="4"/>
        <v>1.0612690079660207E-3</v>
      </c>
      <c r="I80" s="1555" t="s">
        <v>9245</v>
      </c>
      <c r="J80" s="1555" t="s">
        <v>9096</v>
      </c>
      <c r="K80" s="1555">
        <v>41019</v>
      </c>
      <c r="L80" s="1555" t="s">
        <v>9227</v>
      </c>
      <c r="M80" s="1565"/>
      <c r="O80" s="1721">
        <v>5</v>
      </c>
      <c r="P80" s="1721">
        <v>5</v>
      </c>
      <c r="Q80" s="1721">
        <v>5</v>
      </c>
      <c r="R80" s="1721">
        <v>5</v>
      </c>
      <c r="S80" s="1721">
        <v>5</v>
      </c>
    </row>
    <row r="81" spans="1:19" ht="28.8">
      <c r="A81" s="1545">
        <v>75</v>
      </c>
      <c r="B81" s="1706">
        <v>7</v>
      </c>
      <c r="C81" s="1554" t="s">
        <v>9246</v>
      </c>
      <c r="D81" s="1555" t="s">
        <v>630</v>
      </c>
      <c r="E81" s="1620">
        <v>1</v>
      </c>
      <c r="F81" s="1556">
        <v>190000</v>
      </c>
      <c r="G81" s="1684">
        <f t="shared" si="3"/>
        <v>190000</v>
      </c>
      <c r="H81" s="1678">
        <f t="shared" si="4"/>
        <v>6.7213703837847973E-3</v>
      </c>
      <c r="I81" s="1555" t="s">
        <v>9247</v>
      </c>
      <c r="J81" s="1555" t="s">
        <v>9096</v>
      </c>
      <c r="K81" s="1555">
        <v>41019</v>
      </c>
      <c r="L81" s="1555" t="s">
        <v>9227</v>
      </c>
      <c r="M81" s="1565"/>
      <c r="O81" s="1721">
        <v>1</v>
      </c>
      <c r="P81" s="1721">
        <v>1</v>
      </c>
      <c r="Q81" s="1721">
        <v>1</v>
      </c>
      <c r="R81" s="1721">
        <v>1</v>
      </c>
      <c r="S81" s="1721">
        <v>1</v>
      </c>
    </row>
    <row r="82" spans="1:19">
      <c r="B82" s="1708"/>
      <c r="C82" s="1575"/>
      <c r="D82" s="1576"/>
      <c r="E82" s="1621"/>
      <c r="F82" s="1577"/>
      <c r="G82" s="1685"/>
      <c r="H82" s="1578"/>
      <c r="I82" s="1576"/>
      <c r="J82" s="1576"/>
      <c r="K82" s="1576"/>
      <c r="L82" s="1576"/>
      <c r="M82" s="1579"/>
    </row>
    <row r="83" spans="1:19">
      <c r="B83" s="1714"/>
      <c r="C83" s="1870" t="s">
        <v>9274</v>
      </c>
      <c r="D83" s="1870"/>
      <c r="E83" s="1870"/>
      <c r="F83" s="1870"/>
      <c r="G83" s="1764">
        <f>SUM(G75:G81)</f>
        <v>647500</v>
      </c>
      <c r="H83" s="1567"/>
      <c r="I83" s="1547"/>
      <c r="J83" s="1547"/>
      <c r="K83" s="1547"/>
      <c r="M83" s="1568"/>
    </row>
    <row r="84" spans="1:19">
      <c r="B84" s="1715"/>
      <c r="C84" s="1581"/>
      <c r="D84" s="1581"/>
      <c r="E84" s="1618"/>
      <c r="F84" s="1581"/>
      <c r="G84" s="1689"/>
      <c r="H84" s="1679"/>
      <c r="I84" s="1591"/>
      <c r="J84" s="1591"/>
      <c r="K84" s="1591"/>
      <c r="L84" s="1591"/>
      <c r="M84" s="1593"/>
    </row>
    <row r="85" spans="1:19">
      <c r="B85" s="1716" t="s">
        <v>1071</v>
      </c>
      <c r="C85" s="1594" t="s">
        <v>9251</v>
      </c>
      <c r="D85" s="1595"/>
      <c r="E85" s="1623"/>
      <c r="F85" s="1596"/>
      <c r="G85" s="1690"/>
      <c r="H85" s="1597"/>
      <c r="I85" s="1595"/>
      <c r="J85" s="1595"/>
      <c r="K85" s="1595"/>
      <c r="L85" s="1595"/>
      <c r="M85" s="1598"/>
    </row>
    <row r="86" spans="1:19" ht="42.6" customHeight="1">
      <c r="A86" s="1545">
        <v>3</v>
      </c>
      <c r="B86" s="1706">
        <v>1</v>
      </c>
      <c r="C86" s="1554" t="s">
        <v>1956</v>
      </c>
      <c r="D86" s="1555" t="s">
        <v>120</v>
      </c>
      <c r="E86" s="1620">
        <f>0.4*0.4*(1.5+1.5+1.9+1.9)</f>
        <v>1.0880000000000003</v>
      </c>
      <c r="F86" s="1720">
        <v>98400</v>
      </c>
      <c r="G86" s="1684">
        <f t="shared" si="2"/>
        <v>107059.20000000003</v>
      </c>
      <c r="H86" s="1678">
        <f>F86*E86/$G$67</f>
        <v>3.7872870325878611E-3</v>
      </c>
      <c r="I86" s="1561" t="s">
        <v>1810</v>
      </c>
      <c r="J86" s="1555" t="s">
        <v>9068</v>
      </c>
      <c r="K86" s="1555">
        <v>41019</v>
      </c>
      <c r="L86" s="1555" t="s">
        <v>9227</v>
      </c>
      <c r="M86" s="1565"/>
      <c r="O86" s="1721">
        <f>0.5*0.5*(5.55+4.35+(1.9*5))</f>
        <v>4.8499999999999996</v>
      </c>
      <c r="P86" s="1721">
        <f>0.5*0.5*((2.23*3)+(2.85*2))</f>
        <v>3.0975000000000001</v>
      </c>
      <c r="Q86" s="1721">
        <f>0.5*0.5*((2.75*3)+(2.85*2))</f>
        <v>3.4874999999999998</v>
      </c>
    </row>
    <row r="87" spans="1:19" ht="28.8">
      <c r="A87" s="1545">
        <v>4</v>
      </c>
      <c r="B87" s="1706">
        <v>2</v>
      </c>
      <c r="C87" s="1554" t="s">
        <v>6455</v>
      </c>
      <c r="D87" s="1555" t="s">
        <v>120</v>
      </c>
      <c r="E87" s="1620">
        <f>E86/4</f>
        <v>0.27200000000000008</v>
      </c>
      <c r="F87" s="1720">
        <v>65500</v>
      </c>
      <c r="G87" s="1684">
        <f t="shared" si="2"/>
        <v>17816.000000000004</v>
      </c>
      <c r="H87" s="1678">
        <f>F87*E87/$G$67</f>
        <v>6.3025228819742099E-4</v>
      </c>
      <c r="I87" s="1561" t="s">
        <v>2072</v>
      </c>
      <c r="J87" s="1555" t="s">
        <v>9068</v>
      </c>
      <c r="K87" s="1555">
        <v>41019</v>
      </c>
      <c r="L87" s="1555" t="s">
        <v>9227</v>
      </c>
      <c r="M87" s="1565"/>
      <c r="O87" s="1721">
        <f>O86/4</f>
        <v>1.2124999999999999</v>
      </c>
      <c r="P87" s="1721">
        <f>P86/4</f>
        <v>0.77437500000000004</v>
      </c>
      <c r="Q87" s="1721">
        <f>Q86/4</f>
        <v>0.87187499999999996</v>
      </c>
    </row>
    <row r="88" spans="1:19" ht="28.8">
      <c r="A88" s="1545">
        <v>5</v>
      </c>
      <c r="B88" s="1706">
        <v>3</v>
      </c>
      <c r="C88" s="1554" t="s">
        <v>1260</v>
      </c>
      <c r="D88" s="1555" t="s">
        <v>120</v>
      </c>
      <c r="E88" s="1620"/>
      <c r="F88" s="1720">
        <f>VLOOKUP(C88,'AHSP MCK'!D:K,8,FALSE)</f>
        <v>326700</v>
      </c>
      <c r="G88" s="1684">
        <f t="shared" si="2"/>
        <v>0</v>
      </c>
      <c r="H88" s="1678">
        <f>F88*E88/$G$67</f>
        <v>0</v>
      </c>
      <c r="I88" s="1561" t="s">
        <v>2073</v>
      </c>
      <c r="J88" s="1555" t="s">
        <v>9068</v>
      </c>
      <c r="K88" s="1555">
        <v>41019</v>
      </c>
      <c r="L88" s="1555" t="s">
        <v>9227</v>
      </c>
      <c r="M88" s="1565"/>
    </row>
    <row r="89" spans="1:19" ht="28.8">
      <c r="A89" s="1545">
        <v>6</v>
      </c>
      <c r="B89" s="1706">
        <v>4</v>
      </c>
      <c r="C89" s="1554" t="s">
        <v>2118</v>
      </c>
      <c r="D89" s="1555" t="s">
        <v>120</v>
      </c>
      <c r="E89" s="1620">
        <f>E86-E87</f>
        <v>0.81600000000000028</v>
      </c>
      <c r="F89" s="1720">
        <f>VLOOKUP(C89,'AHSP MCK'!D:K,8,FALSE)</f>
        <v>26700</v>
      </c>
      <c r="G89" s="1684">
        <f t="shared" si="2"/>
        <v>21787.200000000008</v>
      </c>
      <c r="H89" s="1678">
        <f>F89*E89/$G$67</f>
        <v>7.7073600434524319E-4</v>
      </c>
      <c r="I89" s="1555" t="s">
        <v>2112</v>
      </c>
      <c r="J89" s="1555" t="s">
        <v>9068</v>
      </c>
      <c r="K89" s="1555">
        <v>41019</v>
      </c>
      <c r="L89" s="1555" t="s">
        <v>9227</v>
      </c>
      <c r="M89" s="1565"/>
      <c r="O89" s="1721">
        <f>O86-O87</f>
        <v>3.6374999999999997</v>
      </c>
      <c r="P89" s="1721">
        <f>P86-P87</f>
        <v>2.3231250000000001</v>
      </c>
      <c r="Q89" s="1721">
        <f>Q86-Q87</f>
        <v>2.6156249999999996</v>
      </c>
    </row>
    <row r="90" spans="1:19">
      <c r="B90" s="1708"/>
      <c r="C90" s="1575"/>
      <c r="D90" s="1576"/>
      <c r="E90" s="1621"/>
      <c r="F90" s="1577"/>
      <c r="G90" s="1685"/>
      <c r="H90" s="1578"/>
      <c r="I90" s="1576"/>
      <c r="J90" s="1576"/>
      <c r="K90" s="1576"/>
      <c r="L90" s="1576"/>
      <c r="M90" s="1579"/>
    </row>
    <row r="91" spans="1:19">
      <c r="B91" s="1714"/>
      <c r="C91" s="1870" t="s">
        <v>9274</v>
      </c>
      <c r="D91" s="1870"/>
      <c r="E91" s="1870"/>
      <c r="F91" s="1870"/>
      <c r="G91" s="1686">
        <f>SUM(G86:G89)</f>
        <v>146662.40000000002</v>
      </c>
      <c r="H91" s="1567"/>
      <c r="I91" s="1547"/>
      <c r="J91" s="1547"/>
      <c r="K91" s="1547"/>
      <c r="M91" s="1568"/>
    </row>
    <row r="92" spans="1:19">
      <c r="B92" s="1715"/>
      <c r="C92" s="1590"/>
      <c r="D92" s="1591"/>
      <c r="E92" s="1622"/>
      <c r="F92" s="1592"/>
      <c r="G92" s="1687"/>
      <c r="H92" s="1679"/>
      <c r="I92" s="1591"/>
      <c r="J92" s="1591"/>
      <c r="K92" s="1591"/>
      <c r="L92" s="1591"/>
      <c r="M92" s="1593"/>
    </row>
    <row r="93" spans="1:19">
      <c r="B93" s="1716" t="s">
        <v>9266</v>
      </c>
      <c r="C93" s="1594" t="s">
        <v>9252</v>
      </c>
      <c r="D93" s="1595"/>
      <c r="E93" s="1623"/>
      <c r="F93" s="1596"/>
      <c r="G93" s="1690"/>
      <c r="H93" s="1597"/>
      <c r="I93" s="1595"/>
      <c r="J93" s="1595"/>
      <c r="K93" s="1595"/>
      <c r="L93" s="1595"/>
      <c r="M93" s="1598"/>
    </row>
    <row r="94" spans="1:19" ht="43.2">
      <c r="A94" s="1545">
        <v>17</v>
      </c>
      <c r="B94" s="1706">
        <v>1</v>
      </c>
      <c r="C94" s="1554" t="s">
        <v>1270</v>
      </c>
      <c r="D94" s="1555" t="s">
        <v>120</v>
      </c>
      <c r="E94" s="1620">
        <f>((0.2+0.4)/2*0.4*(1.9+1.9+1.5+1.5))</f>
        <v>0.81600000000000017</v>
      </c>
      <c r="F94" s="1720">
        <v>1016000</v>
      </c>
      <c r="G94" s="1684">
        <f>F94*E94</f>
        <v>829056.00000000012</v>
      </c>
      <c r="H94" s="1678">
        <f>F94*E94/$G$67</f>
        <v>2.9328381288942579E-2</v>
      </c>
      <c r="I94" s="1555" t="s">
        <v>2354</v>
      </c>
      <c r="J94" s="1555" t="s">
        <v>1772</v>
      </c>
      <c r="K94" s="1555">
        <v>41019</v>
      </c>
      <c r="L94" s="1555" t="s">
        <v>9227</v>
      </c>
      <c r="M94" s="1565"/>
      <c r="O94" s="1721">
        <f>(0.25+0.5)/2*0.5*(5.55+4.35+(1.9*5))</f>
        <v>3.6374999999999997</v>
      </c>
      <c r="P94" s="1721">
        <f>(0.25+0.5)/2*0.5*((2.85*2)+(1.93*3))</f>
        <v>2.1543749999999999</v>
      </c>
      <c r="Q94" s="1721">
        <f>(0.25+0.5)/2*0.5*((2.85*2)+(1.9*3))</f>
        <v>2.1374999999999997</v>
      </c>
    </row>
    <row r="95" spans="1:19">
      <c r="B95" s="1708"/>
      <c r="C95" s="1575"/>
      <c r="D95" s="1576"/>
      <c r="E95" s="1621"/>
      <c r="F95" s="1577"/>
      <c r="G95" s="1685"/>
      <c r="H95" s="1578"/>
      <c r="I95" s="1576"/>
      <c r="J95" s="1576"/>
      <c r="K95" s="1576"/>
      <c r="L95" s="1576"/>
      <c r="M95" s="1579"/>
    </row>
    <row r="96" spans="1:19">
      <c r="B96" s="1714"/>
      <c r="C96" s="1870" t="s">
        <v>9274</v>
      </c>
      <c r="D96" s="1870"/>
      <c r="E96" s="1870"/>
      <c r="F96" s="1870"/>
      <c r="G96" s="1686">
        <f>G94</f>
        <v>829056.00000000012</v>
      </c>
      <c r="H96" s="1567"/>
      <c r="I96" s="1547"/>
      <c r="J96" s="1547"/>
      <c r="K96" s="1547"/>
      <c r="M96" s="1568"/>
    </row>
    <row r="97" spans="1:19">
      <c r="B97" s="1715"/>
      <c r="C97" s="1590"/>
      <c r="D97" s="1591"/>
      <c r="E97" s="1622"/>
      <c r="F97" s="1592"/>
      <c r="G97" s="1687"/>
      <c r="H97" s="1679"/>
      <c r="I97" s="1591"/>
      <c r="J97" s="1591"/>
      <c r="K97" s="1591"/>
      <c r="L97" s="1591"/>
      <c r="M97" s="1593"/>
    </row>
    <row r="98" spans="1:19">
      <c r="B98" s="1717" t="s">
        <v>1769</v>
      </c>
      <c r="C98" s="1599" t="s">
        <v>9253</v>
      </c>
      <c r="D98" s="1547"/>
      <c r="E98" s="1624"/>
      <c r="F98" s="1552"/>
      <c r="G98" s="1691"/>
      <c r="H98" s="1567"/>
      <c r="I98" s="1547"/>
      <c r="J98" s="1547"/>
      <c r="K98" s="1547"/>
      <c r="M98" s="1568"/>
    </row>
    <row r="99" spans="1:19">
      <c r="B99" s="1716" t="s">
        <v>1201</v>
      </c>
      <c r="C99" s="1594" t="s">
        <v>9254</v>
      </c>
      <c r="D99" s="1595"/>
      <c r="E99" s="1623"/>
      <c r="F99" s="1596"/>
      <c r="G99" s="1690"/>
      <c r="H99" s="1597"/>
      <c r="I99" s="1595"/>
      <c r="J99" s="1595"/>
      <c r="K99" s="1595"/>
      <c r="L99" s="1595"/>
      <c r="M99" s="1598"/>
    </row>
    <row r="100" spans="1:19" ht="43.2">
      <c r="A100" s="1545">
        <v>8</v>
      </c>
      <c r="B100" s="1706">
        <v>1</v>
      </c>
      <c r="C100" s="1554" t="s">
        <v>6483</v>
      </c>
      <c r="D100" s="1555" t="s">
        <v>65</v>
      </c>
      <c r="E100" s="1620"/>
      <c r="F100" s="1556">
        <f>VLOOKUP(C100,'AHSP MCK'!D:K,8,FALSE)</f>
        <v>15900</v>
      </c>
      <c r="G100" s="1684">
        <f t="shared" ref="G100" si="5">F100*E100</f>
        <v>0</v>
      </c>
      <c r="H100" s="1678">
        <f t="shared" ref="H100" si="6">F100*E100/$G$67</f>
        <v>0</v>
      </c>
      <c r="I100" s="1555" t="s">
        <v>2228</v>
      </c>
      <c r="J100" s="1555" t="s">
        <v>1772</v>
      </c>
      <c r="K100" s="1555">
        <v>41019</v>
      </c>
      <c r="L100" s="1555" t="s">
        <v>9227</v>
      </c>
      <c r="M100" s="1565"/>
    </row>
    <row r="101" spans="1:19" ht="28.8">
      <c r="A101" s="1545">
        <v>9</v>
      </c>
      <c r="B101" s="1706">
        <v>2</v>
      </c>
      <c r="C101" s="1554" t="s">
        <v>2249</v>
      </c>
      <c r="D101" s="1555" t="s">
        <v>9291</v>
      </c>
      <c r="E101" s="1620"/>
      <c r="F101" s="1556">
        <f>VLOOKUP(C101,'AHSP MCK'!D:K,8,FALSE)</f>
        <v>183600</v>
      </c>
      <c r="G101" s="1684">
        <f>F101*E101</f>
        <v>0</v>
      </c>
      <c r="H101" s="1678">
        <f>F101*E101/$G$67</f>
        <v>0</v>
      </c>
      <c r="I101" s="1555" t="s">
        <v>2248</v>
      </c>
      <c r="J101" s="1555" t="s">
        <v>1772</v>
      </c>
      <c r="K101" s="1555">
        <v>41019</v>
      </c>
      <c r="L101" s="1555" t="s">
        <v>9227</v>
      </c>
      <c r="M101" s="1565"/>
    </row>
    <row r="102" spans="1:19" ht="43.2">
      <c r="A102" s="1545">
        <v>14</v>
      </c>
      <c r="B102" s="1706">
        <v>3</v>
      </c>
      <c r="C102" s="1554" t="s">
        <v>2272</v>
      </c>
      <c r="D102" s="1555" t="s">
        <v>120</v>
      </c>
      <c r="E102" s="1620"/>
      <c r="F102" s="1556">
        <f>VLOOKUP(C102,'AHSP MCK'!D:K,8,FALSE)</f>
        <v>1291800</v>
      </c>
      <c r="G102" s="1684">
        <f t="shared" ref="G102:G103" si="7">F102*E102</f>
        <v>0</v>
      </c>
      <c r="H102" s="1678">
        <f t="shared" ref="H102:H103" si="8">F102*E102/$G$67</f>
        <v>0</v>
      </c>
      <c r="I102" s="1555" t="s">
        <v>2271</v>
      </c>
      <c r="J102" s="1555" t="s">
        <v>1772</v>
      </c>
      <c r="K102" s="1555">
        <v>41019</v>
      </c>
      <c r="L102" s="1555" t="s">
        <v>9227</v>
      </c>
      <c r="M102" s="1565"/>
    </row>
    <row r="103" spans="1:19" ht="28.8">
      <c r="A103" s="1545">
        <v>16</v>
      </c>
      <c r="B103" s="1706">
        <v>1</v>
      </c>
      <c r="C103" s="1554" t="s">
        <v>1318</v>
      </c>
      <c r="D103" s="1555" t="s">
        <v>113</v>
      </c>
      <c r="E103" s="1620">
        <f>(1.5*2)+(1.9*2)</f>
        <v>6.8</v>
      </c>
      <c r="F103" s="1720">
        <v>132600</v>
      </c>
      <c r="G103" s="1684">
        <f t="shared" si="7"/>
        <v>901680</v>
      </c>
      <c r="H103" s="1678">
        <f t="shared" si="8"/>
        <v>3.1897501303426716E-2</v>
      </c>
      <c r="I103" s="1555" t="s">
        <v>2333</v>
      </c>
      <c r="J103" s="1555" t="s">
        <v>1772</v>
      </c>
      <c r="K103" s="1555">
        <v>41019</v>
      </c>
      <c r="L103" s="1555" t="s">
        <v>9227</v>
      </c>
      <c r="M103" s="1565"/>
      <c r="O103" s="1721">
        <f>5.55+4.35+(1.9*5)</f>
        <v>19.399999999999999</v>
      </c>
      <c r="P103" s="1721">
        <f>(2.85*2)+(2.23*3)</f>
        <v>12.39</v>
      </c>
      <c r="Q103" s="1721">
        <f>(2.85*2)+(1.9*3)</f>
        <v>11.399999999999999</v>
      </c>
      <c r="S103" s="1721">
        <f>4.15+2.15+0.65+1.075</f>
        <v>8.0250000000000004</v>
      </c>
    </row>
    <row r="104" spans="1:19">
      <c r="B104" s="1711"/>
      <c r="C104" s="1601"/>
      <c r="D104" s="1602"/>
      <c r="E104" s="1625"/>
      <c r="F104" s="1603"/>
      <c r="G104" s="1692"/>
      <c r="H104" s="1604"/>
      <c r="I104" s="1602"/>
      <c r="J104" s="1602"/>
      <c r="K104" s="1602"/>
      <c r="L104" s="1602"/>
      <c r="M104" s="1605"/>
    </row>
    <row r="105" spans="1:19">
      <c r="B105" s="1716" t="s">
        <v>1209</v>
      </c>
      <c r="C105" s="1594" t="s">
        <v>9311</v>
      </c>
      <c r="D105" s="1595"/>
      <c r="E105" s="1623"/>
      <c r="F105" s="1596"/>
      <c r="G105" s="1690"/>
      <c r="H105" s="1597"/>
      <c r="I105" s="1595"/>
      <c r="J105" s="1595"/>
      <c r="K105" s="1595"/>
      <c r="L105" s="1595"/>
      <c r="M105" s="1598"/>
    </row>
    <row r="106" spans="1:19" ht="43.2">
      <c r="B106" s="1706">
        <v>1</v>
      </c>
      <c r="C106" s="1554" t="s">
        <v>6470</v>
      </c>
      <c r="D106" s="1555" t="s">
        <v>65</v>
      </c>
      <c r="E106" s="1620"/>
      <c r="F106" s="1556">
        <f>VLOOKUP(C106,'AHSP MCK'!D:K,8,FALSE)</f>
        <v>17100</v>
      </c>
      <c r="G106" s="1684">
        <f t="shared" ref="G106:G108" si="9">F106*E106</f>
        <v>0</v>
      </c>
      <c r="H106" s="1678">
        <f>F106*E106/$G$67</f>
        <v>0</v>
      </c>
      <c r="I106" s="1555" t="s">
        <v>2225</v>
      </c>
      <c r="J106" s="1555" t="s">
        <v>1772</v>
      </c>
      <c r="K106" s="1555">
        <v>41019</v>
      </c>
      <c r="L106" s="1555" t="s">
        <v>9227</v>
      </c>
      <c r="M106" s="1565"/>
      <c r="S106" s="1721">
        <v>7.11</v>
      </c>
    </row>
    <row r="107" spans="1:19" ht="28.8">
      <c r="A107" s="1545">
        <v>13</v>
      </c>
      <c r="B107" s="1706">
        <v>2</v>
      </c>
      <c r="C107" s="1554" t="s">
        <v>1306</v>
      </c>
      <c r="D107" s="1555" t="s">
        <v>9291</v>
      </c>
      <c r="E107" s="1620"/>
      <c r="F107" s="1556">
        <f>VLOOKUP(C107,'AHSP MCK'!D:K,8,FALSE)</f>
        <v>225000</v>
      </c>
      <c r="G107" s="1684">
        <f t="shared" si="9"/>
        <v>0</v>
      </c>
      <c r="H107" s="1678">
        <f>F107*E107/$G$67</f>
        <v>0</v>
      </c>
      <c r="I107" s="1555" t="s">
        <v>2253</v>
      </c>
      <c r="J107" s="1555" t="s">
        <v>1772</v>
      </c>
      <c r="K107" s="1555">
        <v>41019</v>
      </c>
      <c r="L107" s="1555" t="s">
        <v>9227</v>
      </c>
      <c r="M107" s="1565"/>
      <c r="S107" s="1721">
        <f>0.35*2.15</f>
        <v>0.75249999999999995</v>
      </c>
    </row>
    <row r="108" spans="1:19" ht="43.2">
      <c r="A108" s="1545">
        <v>14</v>
      </c>
      <c r="B108" s="1706">
        <v>3</v>
      </c>
      <c r="C108" s="1554" t="s">
        <v>2272</v>
      </c>
      <c r="D108" s="1555" t="s">
        <v>120</v>
      </c>
      <c r="E108" s="1620"/>
      <c r="F108" s="1556">
        <f>VLOOKUP(C108,'AHSP MCK'!D:K,8,FALSE)</f>
        <v>1291800</v>
      </c>
      <c r="G108" s="1684">
        <f t="shared" si="9"/>
        <v>0</v>
      </c>
      <c r="H108" s="1678">
        <f>F108*E108/$G$67</f>
        <v>0</v>
      </c>
      <c r="I108" s="1555" t="s">
        <v>2271</v>
      </c>
      <c r="J108" s="1555" t="s">
        <v>1772</v>
      </c>
      <c r="K108" s="1555">
        <v>41019</v>
      </c>
      <c r="L108" s="1555" t="s">
        <v>9227</v>
      </c>
      <c r="M108" s="1565"/>
      <c r="S108" s="1721">
        <f>0.35*2.15*0.15</f>
        <v>0.11287499999999999</v>
      </c>
    </row>
    <row r="109" spans="1:19">
      <c r="B109" s="1706"/>
      <c r="C109" s="1554"/>
      <c r="D109" s="1555"/>
      <c r="E109" s="1620"/>
      <c r="F109" s="1556"/>
      <c r="G109" s="1684"/>
      <c r="H109" s="1678"/>
      <c r="I109" s="1555"/>
      <c r="J109" s="1555"/>
      <c r="K109" s="1555"/>
      <c r="L109" s="1555"/>
      <c r="M109" s="1565"/>
    </row>
    <row r="110" spans="1:19">
      <c r="B110" s="1711"/>
      <c r="C110" s="1601"/>
      <c r="D110" s="1602"/>
      <c r="E110" s="1625"/>
      <c r="F110" s="1603"/>
      <c r="G110" s="1692"/>
      <c r="H110" s="1604"/>
      <c r="I110" s="1602"/>
      <c r="J110" s="1602"/>
      <c r="K110" s="1602"/>
      <c r="L110" s="1602"/>
      <c r="M110" s="1605"/>
    </row>
    <row r="111" spans="1:19">
      <c r="B111" s="1716" t="s">
        <v>1215</v>
      </c>
      <c r="C111" s="1594" t="s">
        <v>9255</v>
      </c>
      <c r="D111" s="1595"/>
      <c r="E111" s="1623"/>
      <c r="F111" s="1596"/>
      <c r="G111" s="1690"/>
      <c r="H111" s="1597"/>
      <c r="I111" s="1595"/>
      <c r="J111" s="1595"/>
      <c r="K111" s="1595"/>
      <c r="L111" s="1595"/>
      <c r="M111" s="1598"/>
    </row>
    <row r="112" spans="1:19" ht="43.2">
      <c r="A112" s="1545">
        <v>8</v>
      </c>
      <c r="B112" s="1706">
        <v>1</v>
      </c>
      <c r="C112" s="1554" t="s">
        <v>6483</v>
      </c>
      <c r="D112" s="1555" t="s">
        <v>65</v>
      </c>
      <c r="E112" s="1620"/>
      <c r="F112" s="1556">
        <f>VLOOKUP(C112,'AHSP MCK'!D:K,8,FALSE)</f>
        <v>15900</v>
      </c>
      <c r="G112" s="1684">
        <f t="shared" ref="G112" si="10">F112*E112</f>
        <v>0</v>
      </c>
      <c r="H112" s="1678">
        <f t="shared" ref="H112" si="11">F112*E112/$G$67</f>
        <v>0</v>
      </c>
      <c r="I112" s="1555" t="s">
        <v>2228</v>
      </c>
      <c r="J112" s="1555" t="s">
        <v>1772</v>
      </c>
      <c r="K112" s="1555">
        <v>41019</v>
      </c>
      <c r="L112" s="1555" t="s">
        <v>9227</v>
      </c>
      <c r="M112" s="1565"/>
    </row>
    <row r="113" spans="1:19" ht="28.8">
      <c r="A113" s="1545">
        <v>11</v>
      </c>
      <c r="B113" s="1706">
        <v>2</v>
      </c>
      <c r="C113" s="1554" t="s">
        <v>1304</v>
      </c>
      <c r="D113" s="1555" t="s">
        <v>9291</v>
      </c>
      <c r="E113" s="1620"/>
      <c r="F113" s="1556">
        <f>VLOOKUP(C113,'AHSP MCK'!D:K,8,FALSE)</f>
        <v>216900</v>
      </c>
      <c r="G113" s="1684">
        <f>F113*E113</f>
        <v>0</v>
      </c>
      <c r="H113" s="1678">
        <f>F113*E113/$G$67</f>
        <v>0</v>
      </c>
      <c r="I113" s="1555" t="s">
        <v>2251</v>
      </c>
      <c r="J113" s="1555" t="s">
        <v>1772</v>
      </c>
      <c r="K113" s="1555">
        <v>41019</v>
      </c>
      <c r="L113" s="1555" t="s">
        <v>9227</v>
      </c>
      <c r="M113" s="1565"/>
    </row>
    <row r="114" spans="1:19" ht="43.2">
      <c r="A114" s="1545">
        <v>14</v>
      </c>
      <c r="B114" s="1706">
        <v>3</v>
      </c>
      <c r="C114" s="1554" t="s">
        <v>2272</v>
      </c>
      <c r="D114" s="1555" t="s">
        <v>120</v>
      </c>
      <c r="E114" s="1620"/>
      <c r="F114" s="1556">
        <f>VLOOKUP(C114,'AHSP MCK'!D:K,8,FALSE)</f>
        <v>1291800</v>
      </c>
      <c r="G114" s="1684">
        <f t="shared" ref="G114" si="12">F114*E114</f>
        <v>0</v>
      </c>
      <c r="H114" s="1678">
        <f t="shared" ref="H114" si="13">F114*E114/$G$67</f>
        <v>0</v>
      </c>
      <c r="I114" s="1555" t="s">
        <v>2271</v>
      </c>
      <c r="J114" s="1555" t="s">
        <v>1772</v>
      </c>
      <c r="K114" s="1555">
        <v>41019</v>
      </c>
      <c r="L114" s="1555" t="s">
        <v>9227</v>
      </c>
      <c r="M114" s="1565"/>
    </row>
    <row r="115" spans="1:19" ht="28.8">
      <c r="A115" s="1545">
        <v>15</v>
      </c>
      <c r="B115" s="1706">
        <v>1</v>
      </c>
      <c r="C115" s="1554" t="s">
        <v>1317</v>
      </c>
      <c r="D115" s="1555" t="s">
        <v>113</v>
      </c>
      <c r="E115" s="1620">
        <f>(2.4*2)+(2*1.8)</f>
        <v>8.4</v>
      </c>
      <c r="F115" s="1720">
        <v>99100</v>
      </c>
      <c r="G115" s="1684">
        <f>F115*E115</f>
        <v>832440</v>
      </c>
      <c r="H115" s="1678">
        <f>F115*E115/$G$67</f>
        <v>2.9448092433041143E-2</v>
      </c>
      <c r="I115" s="1555" t="s">
        <v>2331</v>
      </c>
      <c r="J115" s="1555" t="s">
        <v>1772</v>
      </c>
      <c r="K115" s="1555">
        <v>41019</v>
      </c>
      <c r="L115" s="1555" t="s">
        <v>9227</v>
      </c>
      <c r="M115" s="1565"/>
      <c r="O115" s="1721">
        <f>2.7*10</f>
        <v>27</v>
      </c>
      <c r="P115" s="1721">
        <f>2.7*6</f>
        <v>16.200000000000003</v>
      </c>
      <c r="Q115" s="1721">
        <f>2.7*6</f>
        <v>16.200000000000003</v>
      </c>
      <c r="S115" s="1721">
        <f>2.7*7</f>
        <v>18.900000000000002</v>
      </c>
    </row>
    <row r="116" spans="1:19">
      <c r="B116" s="1711"/>
      <c r="C116" s="1601"/>
      <c r="D116" s="1602"/>
      <c r="E116" s="1625"/>
      <c r="F116" s="1603"/>
      <c r="G116" s="1692"/>
      <c r="H116" s="1604"/>
      <c r="I116" s="1602"/>
      <c r="J116" s="1602"/>
      <c r="K116" s="1602"/>
      <c r="L116" s="1602"/>
      <c r="M116" s="1605"/>
    </row>
    <row r="117" spans="1:19">
      <c r="B117" s="1716" t="s">
        <v>1218</v>
      </c>
      <c r="C117" s="1594" t="s">
        <v>9256</v>
      </c>
      <c r="D117" s="1595"/>
      <c r="E117" s="1623"/>
      <c r="F117" s="1596"/>
      <c r="G117" s="1690"/>
      <c r="H117" s="1597"/>
      <c r="I117" s="1595"/>
      <c r="J117" s="1595"/>
      <c r="K117" s="1595"/>
      <c r="L117" s="1595"/>
      <c r="M117" s="1598"/>
    </row>
    <row r="118" spans="1:19" ht="43.2">
      <c r="A118" s="1545">
        <v>8</v>
      </c>
      <c r="B118" s="1706">
        <v>1</v>
      </c>
      <c r="C118" s="1554" t="s">
        <v>6483</v>
      </c>
      <c r="D118" s="1555" t="s">
        <v>65</v>
      </c>
      <c r="E118" s="1620"/>
      <c r="F118" s="1556">
        <f>VLOOKUP(C118,'AHSP MCK'!D:K,8,FALSE)</f>
        <v>15900</v>
      </c>
      <c r="G118" s="1684">
        <f t="shared" ref="G118" si="14">F118*E118</f>
        <v>0</v>
      </c>
      <c r="H118" s="1678">
        <f t="shared" ref="H118" si="15">F118*E118/$G$67</f>
        <v>0</v>
      </c>
      <c r="I118" s="1555" t="s">
        <v>2228</v>
      </c>
      <c r="J118" s="1555" t="s">
        <v>1772</v>
      </c>
      <c r="K118" s="1555">
        <v>41019</v>
      </c>
      <c r="L118" s="1555" t="s">
        <v>9227</v>
      </c>
      <c r="M118" s="1565"/>
    </row>
    <row r="119" spans="1:19" ht="28.8">
      <c r="A119" s="1545">
        <v>12</v>
      </c>
      <c r="B119" s="1706">
        <v>2</v>
      </c>
      <c r="C119" s="1554" t="s">
        <v>1305</v>
      </c>
      <c r="D119" s="1555" t="s">
        <v>9291</v>
      </c>
      <c r="E119" s="1620"/>
      <c r="F119" s="1556">
        <f>VLOOKUP(C119,'AHSP MCK'!D:K,8,FALSE)</f>
        <v>223000</v>
      </c>
      <c r="G119" s="1684">
        <f>F119*E119</f>
        <v>0</v>
      </c>
      <c r="H119" s="1678">
        <f>F119*E119/$G$67</f>
        <v>0</v>
      </c>
      <c r="I119" s="1555" t="s">
        <v>2252</v>
      </c>
      <c r="J119" s="1555" t="s">
        <v>1772</v>
      </c>
      <c r="K119" s="1555">
        <v>41019</v>
      </c>
      <c r="L119" s="1555" t="s">
        <v>9227</v>
      </c>
      <c r="M119" s="1565"/>
    </row>
    <row r="120" spans="1:19" ht="43.2">
      <c r="A120" s="1545">
        <v>14</v>
      </c>
      <c r="B120" s="1706">
        <v>3</v>
      </c>
      <c r="C120" s="1554" t="s">
        <v>2272</v>
      </c>
      <c r="D120" s="1555" t="s">
        <v>120</v>
      </c>
      <c r="E120" s="1620"/>
      <c r="F120" s="1556">
        <f>VLOOKUP(C120,'AHSP MCK'!D:K,8,FALSE)</f>
        <v>1291800</v>
      </c>
      <c r="G120" s="1684">
        <f t="shared" ref="G120:G121" si="16">F120*E120</f>
        <v>0</v>
      </c>
      <c r="H120" s="1678">
        <f t="shared" ref="H120:H121" si="17">F120*E120/$G$67</f>
        <v>0</v>
      </c>
      <c r="I120" s="1555" t="s">
        <v>2271</v>
      </c>
      <c r="J120" s="1555" t="s">
        <v>1772</v>
      </c>
      <c r="K120" s="1555">
        <v>41019</v>
      </c>
      <c r="L120" s="1555" t="s">
        <v>9227</v>
      </c>
      <c r="M120" s="1565"/>
    </row>
    <row r="121" spans="1:19" ht="28.8">
      <c r="A121" s="1545">
        <v>16</v>
      </c>
      <c r="B121" s="1706">
        <v>1</v>
      </c>
      <c r="C121" s="1554" t="s">
        <v>1318</v>
      </c>
      <c r="D121" s="1555" t="s">
        <v>113</v>
      </c>
      <c r="E121" s="1620">
        <f>(1.5*2)+(1.9*2)</f>
        <v>6.8</v>
      </c>
      <c r="F121" s="1720">
        <f>F103</f>
        <v>132600</v>
      </c>
      <c r="G121" s="1684">
        <f t="shared" si="16"/>
        <v>901680</v>
      </c>
      <c r="H121" s="1678">
        <f t="shared" si="17"/>
        <v>3.1897501303426716E-2</v>
      </c>
      <c r="I121" s="1555" t="s">
        <v>2333</v>
      </c>
      <c r="J121" s="1555" t="s">
        <v>1772</v>
      </c>
      <c r="K121" s="1555">
        <v>41019</v>
      </c>
      <c r="L121" s="1555" t="s">
        <v>9227</v>
      </c>
      <c r="M121" s="1565"/>
      <c r="O121" s="1721">
        <f>(5.55*2)+(1.9*5)</f>
        <v>20.6</v>
      </c>
      <c r="P121" s="1721">
        <f>(2.85*2)+(2.23*3)</f>
        <v>12.39</v>
      </c>
      <c r="Q121" s="1721">
        <f>(2.85*2)+(1.9*3)</f>
        <v>11.399999999999999</v>
      </c>
      <c r="S121" s="1721">
        <f>(4.15*2)+1.35+0.65+2.15</f>
        <v>12.450000000000001</v>
      </c>
    </row>
    <row r="122" spans="1:19">
      <c r="B122" s="1711"/>
      <c r="C122" s="1601"/>
      <c r="D122" s="1602"/>
      <c r="E122" s="1625"/>
      <c r="F122" s="1603"/>
      <c r="G122" s="1692"/>
      <c r="H122" s="1604"/>
      <c r="I122" s="1602"/>
      <c r="J122" s="1602"/>
      <c r="K122" s="1602"/>
      <c r="L122" s="1602"/>
      <c r="M122" s="1605"/>
    </row>
    <row r="123" spans="1:19">
      <c r="B123" s="1716" t="s">
        <v>1220</v>
      </c>
      <c r="C123" s="1594" t="s">
        <v>9257</v>
      </c>
      <c r="D123" s="1595"/>
      <c r="E123" s="1623"/>
      <c r="F123" s="1596"/>
      <c r="G123" s="1690"/>
      <c r="H123" s="1597"/>
      <c r="I123" s="1595"/>
      <c r="J123" s="1595"/>
      <c r="K123" s="1595"/>
      <c r="L123" s="1595"/>
      <c r="M123" s="1598"/>
    </row>
    <row r="124" spans="1:19" ht="43.2">
      <c r="B124" s="1706">
        <v>1</v>
      </c>
      <c r="C124" s="1554" t="s">
        <v>6470</v>
      </c>
      <c r="D124" s="1555" t="s">
        <v>65</v>
      </c>
      <c r="E124" s="1620"/>
      <c r="F124" s="1556">
        <f>VLOOKUP(C124,'AHSP MCK'!D:K,8,FALSE)</f>
        <v>17100</v>
      </c>
      <c r="G124" s="1684">
        <f t="shared" si="2"/>
        <v>0</v>
      </c>
      <c r="H124" s="1678">
        <f>F124*E124/$G$67</f>
        <v>0</v>
      </c>
      <c r="I124" s="1555" t="s">
        <v>2225</v>
      </c>
      <c r="J124" s="1555" t="s">
        <v>1772</v>
      </c>
      <c r="K124" s="1555">
        <v>41019</v>
      </c>
      <c r="L124" s="1555" t="s">
        <v>9227</v>
      </c>
      <c r="M124" s="1565"/>
      <c r="O124" s="1721">
        <v>25.67</v>
      </c>
      <c r="P124" s="1721">
        <v>18.170000000000002</v>
      </c>
      <c r="Q124" s="1721">
        <v>18.170000000000002</v>
      </c>
      <c r="S124" s="1721">
        <v>26.47</v>
      </c>
    </row>
    <row r="125" spans="1:19" ht="28.8">
      <c r="A125" s="1545">
        <v>13</v>
      </c>
      <c r="B125" s="1706">
        <v>2</v>
      </c>
      <c r="C125" s="1554" t="s">
        <v>1306</v>
      </c>
      <c r="D125" s="1555" t="s">
        <v>9291</v>
      </c>
      <c r="E125" s="1620"/>
      <c r="F125" s="1556">
        <f>VLOOKUP(C125,'AHSP MCK'!D:K,8,FALSE)</f>
        <v>225000</v>
      </c>
      <c r="G125" s="1684">
        <f t="shared" si="2"/>
        <v>0</v>
      </c>
      <c r="H125" s="1678">
        <f>F125*E125/$G$67</f>
        <v>0</v>
      </c>
      <c r="I125" s="1555" t="s">
        <v>2253</v>
      </c>
      <c r="J125" s="1555" t="s">
        <v>1772</v>
      </c>
      <c r="K125" s="1555">
        <v>41019</v>
      </c>
      <c r="L125" s="1555" t="s">
        <v>9227</v>
      </c>
      <c r="M125" s="1565"/>
      <c r="O125" s="1721">
        <f>6.55*3.03</f>
        <v>19.846499999999999</v>
      </c>
      <c r="P125" s="1721">
        <f>2.85*2.9</f>
        <v>8.2650000000000006</v>
      </c>
      <c r="Q125" s="1721">
        <f>2.85*2.9</f>
        <v>8.2650000000000006</v>
      </c>
      <c r="S125" s="1721">
        <f>(4.65*2)+(0.65*2.65)</f>
        <v>11.022500000000001</v>
      </c>
    </row>
    <row r="126" spans="1:19" ht="43.2">
      <c r="A126" s="1545">
        <v>14</v>
      </c>
      <c r="B126" s="1706">
        <v>3</v>
      </c>
      <c r="C126" s="1554" t="s">
        <v>2272</v>
      </c>
      <c r="D126" s="1555" t="s">
        <v>120</v>
      </c>
      <c r="E126" s="1620"/>
      <c r="F126" s="1556">
        <f>VLOOKUP(C126,'AHSP MCK'!D:K,8,FALSE)</f>
        <v>1291800</v>
      </c>
      <c r="G126" s="1684">
        <f t="shared" si="2"/>
        <v>0</v>
      </c>
      <c r="H126" s="1678">
        <f>F126*E126/$G$67</f>
        <v>0</v>
      </c>
      <c r="I126" s="1555" t="s">
        <v>2271</v>
      </c>
      <c r="J126" s="1555" t="s">
        <v>1772</v>
      </c>
      <c r="K126" s="1555">
        <v>41019</v>
      </c>
      <c r="L126" s="1555" t="s">
        <v>9227</v>
      </c>
      <c r="M126" s="1565"/>
      <c r="O126" s="1721">
        <f>6.55*3.03*0.1</f>
        <v>1.98465</v>
      </c>
      <c r="P126" s="1721">
        <f>2.85*2.9*0.1</f>
        <v>0.82650000000000012</v>
      </c>
      <c r="Q126" s="1721">
        <f>2.85*2.9*0.1</f>
        <v>0.82650000000000012</v>
      </c>
      <c r="S126" s="1721">
        <f>((4.65*2)+(2.65*0.65))*0.1</f>
        <v>1.1022500000000002</v>
      </c>
    </row>
    <row r="127" spans="1:19">
      <c r="B127" s="1706"/>
      <c r="C127" s="1554"/>
      <c r="D127" s="1555"/>
      <c r="E127" s="1620"/>
      <c r="F127" s="1556"/>
      <c r="G127" s="1684"/>
      <c r="H127" s="1678"/>
      <c r="I127" s="1555"/>
      <c r="J127" s="1555"/>
      <c r="K127" s="1555"/>
      <c r="L127" s="1555"/>
      <c r="M127" s="1565"/>
    </row>
    <row r="128" spans="1:19">
      <c r="B128" s="1716" t="s">
        <v>1221</v>
      </c>
      <c r="C128" s="1594" t="s">
        <v>9298</v>
      </c>
      <c r="D128" s="1595"/>
      <c r="E128" s="1623"/>
      <c r="F128" s="1596"/>
      <c r="G128" s="1690"/>
      <c r="H128" s="1597"/>
      <c r="I128" s="1595"/>
      <c r="J128" s="1595"/>
      <c r="K128" s="1595"/>
      <c r="L128" s="1595"/>
      <c r="M128" s="1598"/>
    </row>
    <row r="129" spans="1:19" ht="28.8">
      <c r="A129" s="1545">
        <v>8</v>
      </c>
      <c r="B129" s="1706">
        <v>1</v>
      </c>
      <c r="C129" s="1554" t="s">
        <v>9300</v>
      </c>
      <c r="D129" s="1555" t="s">
        <v>65</v>
      </c>
      <c r="E129" s="1620"/>
      <c r="F129" s="1556">
        <f>VLOOKUP(C129,'AHSP MCK'!D:K,8,FALSE)</f>
        <v>17400</v>
      </c>
      <c r="G129" s="1684">
        <f t="shared" ref="G129" si="18">F129*E129</f>
        <v>0</v>
      </c>
      <c r="H129" s="1678">
        <f t="shared" ref="H129" si="19">F129*E129/$G$67</f>
        <v>0</v>
      </c>
      <c r="I129" s="1555" t="s">
        <v>2228</v>
      </c>
      <c r="J129" s="1555" t="s">
        <v>1772</v>
      </c>
      <c r="K129" s="1555">
        <v>41019</v>
      </c>
      <c r="L129" s="1555" t="s">
        <v>9227</v>
      </c>
      <c r="M129" s="1565"/>
      <c r="N129" s="1551"/>
    </row>
    <row r="130" spans="1:19" ht="30" customHeight="1">
      <c r="A130" s="1545">
        <v>9</v>
      </c>
      <c r="B130" s="1706">
        <v>2</v>
      </c>
      <c r="C130" s="1554" t="s">
        <v>9299</v>
      </c>
      <c r="D130" s="1555" t="s">
        <v>9291</v>
      </c>
      <c r="E130" s="1620"/>
      <c r="F130" s="1556">
        <f>VLOOKUP(C130,'AHSP MCK'!D:K,8,FALSE)</f>
        <v>196200</v>
      </c>
      <c r="G130" s="1684">
        <f>F130*E130</f>
        <v>0</v>
      </c>
      <c r="H130" s="1678">
        <f>F130*E130/$G$67</f>
        <v>0</v>
      </c>
      <c r="I130" s="1555" t="s">
        <v>2248</v>
      </c>
      <c r="J130" s="1555" t="s">
        <v>1772</v>
      </c>
      <c r="K130" s="1555">
        <v>41019</v>
      </c>
      <c r="L130" s="1555" t="s">
        <v>9227</v>
      </c>
      <c r="M130" s="1565"/>
    </row>
    <row r="131" spans="1:19" ht="43.2">
      <c r="A131" s="1545">
        <v>14</v>
      </c>
      <c r="B131" s="1706">
        <v>3</v>
      </c>
      <c r="C131" s="1554" t="s">
        <v>2272</v>
      </c>
      <c r="D131" s="1555" t="s">
        <v>120</v>
      </c>
      <c r="E131" s="1620"/>
      <c r="F131" s="1556">
        <f>VLOOKUP(C131,'AHSP MCK'!D:K,8,FALSE)</f>
        <v>1291800</v>
      </c>
      <c r="G131" s="1684">
        <f t="shared" ref="G131" si="20">F131*E131</f>
        <v>0</v>
      </c>
      <c r="H131" s="1678">
        <f t="shared" ref="H131" si="21">F131*E131/$G$67</f>
        <v>0</v>
      </c>
      <c r="I131" s="1555" t="s">
        <v>2271</v>
      </c>
      <c r="J131" s="1555" t="s">
        <v>1772</v>
      </c>
      <c r="K131" s="1555">
        <v>41019</v>
      </c>
      <c r="L131" s="1555" t="s">
        <v>9227</v>
      </c>
      <c r="M131" s="1565"/>
    </row>
    <row r="132" spans="1:19" ht="28.8">
      <c r="B132" s="1706">
        <v>4</v>
      </c>
      <c r="C132" s="1562" t="s">
        <v>9228</v>
      </c>
      <c r="D132" s="1555" t="s">
        <v>120</v>
      </c>
      <c r="E132" s="1620"/>
      <c r="F132" s="1556"/>
      <c r="G132" s="1684">
        <f t="shared" si="2"/>
        <v>0</v>
      </c>
      <c r="H132" s="1678">
        <f>F132*E132/$G$67</f>
        <v>0</v>
      </c>
      <c r="I132" s="1555"/>
      <c r="J132" s="1555"/>
      <c r="K132" s="1555"/>
      <c r="L132" s="1555"/>
      <c r="M132" s="1565"/>
      <c r="O132" s="1721">
        <f>0.3*0.08*(6.55+3.03+3.03)</f>
        <v>0.30264000000000002</v>
      </c>
      <c r="P132" s="1721">
        <f>0.3*0.08*(2.9+2.9+3.85)</f>
        <v>0.2316</v>
      </c>
      <c r="Q132" s="1721">
        <f>0.3*0.08*(2.9+2.9+3.85)</f>
        <v>0.2316</v>
      </c>
    </row>
    <row r="133" spans="1:19">
      <c r="B133" s="1708"/>
      <c r="C133" s="1575"/>
      <c r="D133" s="1576"/>
      <c r="E133" s="1621"/>
      <c r="F133" s="1577"/>
      <c r="G133" s="1685"/>
      <c r="H133" s="1578"/>
      <c r="I133" s="1576"/>
      <c r="J133" s="1576"/>
      <c r="K133" s="1576"/>
      <c r="L133" s="1576"/>
      <c r="M133" s="1579"/>
    </row>
    <row r="134" spans="1:19">
      <c r="B134" s="1714"/>
      <c r="C134" s="1870" t="s">
        <v>9274</v>
      </c>
      <c r="D134" s="1870"/>
      <c r="E134" s="1870"/>
      <c r="F134" s="1870"/>
      <c r="G134" s="1686">
        <f>SUM(G100:G132)</f>
        <v>2635800</v>
      </c>
      <c r="H134" s="1567"/>
      <c r="I134" s="1547"/>
      <c r="J134" s="1547"/>
      <c r="K134" s="1547"/>
      <c r="M134" s="1568"/>
    </row>
    <row r="135" spans="1:19">
      <c r="B135" s="1715"/>
      <c r="C135" s="1590"/>
      <c r="D135" s="1591"/>
      <c r="E135" s="1622"/>
      <c r="F135" s="1592"/>
      <c r="G135" s="1687"/>
      <c r="H135" s="1679"/>
      <c r="I135" s="1591"/>
      <c r="J135" s="1591"/>
      <c r="K135" s="1591"/>
      <c r="L135" s="1591"/>
      <c r="M135" s="1593"/>
    </row>
    <row r="136" spans="1:19">
      <c r="B136" s="1716" t="s">
        <v>9267</v>
      </c>
      <c r="C136" s="1594" t="s">
        <v>9258</v>
      </c>
      <c r="D136" s="1595"/>
      <c r="E136" s="1623"/>
      <c r="F136" s="1596"/>
      <c r="G136" s="1690"/>
      <c r="H136" s="1597"/>
      <c r="I136" s="1595"/>
      <c r="J136" s="1595"/>
      <c r="K136" s="1595"/>
      <c r="L136" s="1595"/>
      <c r="M136" s="1598"/>
    </row>
    <row r="137" spans="1:19" ht="28.8">
      <c r="A137" s="1545">
        <v>25</v>
      </c>
      <c r="B137" s="1706">
        <v>1</v>
      </c>
      <c r="C137" s="1554" t="s">
        <v>1351</v>
      </c>
      <c r="D137" s="1555" t="s">
        <v>9291</v>
      </c>
      <c r="E137" s="1620">
        <f>(1.2*2.7)+(1.2*2.1)+(1.6*2.1*2)+(0.5*1.6*0.4*2)-(0.7*2)-(0.2*0.2*2)</f>
        <v>11.64</v>
      </c>
      <c r="F137" s="1763">
        <v>98200</v>
      </c>
      <c r="G137" s="1684">
        <f>F137*E137</f>
        <v>1143048</v>
      </c>
      <c r="H137" s="1678">
        <f>F137*E137/$G$67</f>
        <v>4.0436047233918131E-2</v>
      </c>
      <c r="I137" s="1561" t="s">
        <v>2772</v>
      </c>
      <c r="J137" s="1555" t="s">
        <v>1772</v>
      </c>
      <c r="K137" s="1555">
        <v>41019</v>
      </c>
      <c r="L137" s="1555" t="s">
        <v>9227</v>
      </c>
      <c r="M137" s="1565"/>
      <c r="O137" s="1721">
        <f>(2.7*((1.2*6)+(1.6*4)))+(1.5*(1.2+1.6))-(2*0.7)-(0.2*0.2*18)</f>
        <v>38.800000000000004</v>
      </c>
      <c r="P137" s="1721">
        <f>(2.7*((1.2*4)+(1.93*3)))-(0.2*0.2*6*2)-(0.7*2*2)</f>
        <v>25.312999999999999</v>
      </c>
      <c r="Q137" s="1721">
        <f>(2.7*((1.2*4)+(1.9*3)))-(0.2*0.2*6*2)-(0.7*2*2)</f>
        <v>25.07</v>
      </c>
      <c r="S137" s="1721">
        <f>(2.7*(2+2+1.35+2+0.65+2))-(0.2*0.2*6)-(2*0.7)</f>
        <v>25.360000000000003</v>
      </c>
    </row>
    <row r="138" spans="1:19" ht="28.8">
      <c r="A138" s="1545">
        <v>26</v>
      </c>
      <c r="B138" s="1706">
        <v>2</v>
      </c>
      <c r="C138" s="1554" t="s">
        <v>1381</v>
      </c>
      <c r="D138" s="1555" t="s">
        <v>9291</v>
      </c>
      <c r="E138" s="1620">
        <f>(E137*2)-E147</f>
        <v>18.380000000000003</v>
      </c>
      <c r="F138" s="1763">
        <v>56400</v>
      </c>
      <c r="G138" s="1684">
        <f>F138*E138</f>
        <v>1036632.0000000001</v>
      </c>
      <c r="H138" s="1678">
        <f>F138*E138/$G$67</f>
        <v>3.6671513808861071E-2</v>
      </c>
      <c r="I138" s="1561" t="s">
        <v>2789</v>
      </c>
      <c r="J138" s="1555" t="s">
        <v>1772</v>
      </c>
      <c r="K138" s="1555">
        <v>41019</v>
      </c>
      <c r="L138" s="1555" t="s">
        <v>9227</v>
      </c>
      <c r="M138" s="1565"/>
      <c r="O138" s="1721">
        <f>(O137*2)-O147</f>
        <v>51.350000000000009</v>
      </c>
      <c r="P138" s="1721">
        <f>(P137*2)-P147</f>
        <v>33.945999999999998</v>
      </c>
      <c r="Q138" s="1721">
        <f>(Q137*2)-Q147</f>
        <v>33.64</v>
      </c>
      <c r="S138" s="1721">
        <f>(S137*2)-S147</f>
        <v>38.720000000000006</v>
      </c>
    </row>
    <row r="139" spans="1:19">
      <c r="A139" s="1545">
        <v>27</v>
      </c>
      <c r="B139" s="1706">
        <v>3</v>
      </c>
      <c r="C139" s="1554" t="s">
        <v>1384</v>
      </c>
      <c r="D139" s="1555" t="s">
        <v>9291</v>
      </c>
      <c r="E139" s="1620">
        <f>E138</f>
        <v>18.380000000000003</v>
      </c>
      <c r="F139" s="1763">
        <v>47000</v>
      </c>
      <c r="G139" s="1684">
        <f>F139*E139</f>
        <v>863860.00000000012</v>
      </c>
      <c r="H139" s="1678">
        <f>F139*E139/$G$67</f>
        <v>3.0559594840717557E-2</v>
      </c>
      <c r="I139" s="1561" t="s">
        <v>2792</v>
      </c>
      <c r="J139" s="1555" t="s">
        <v>1772</v>
      </c>
      <c r="K139" s="1555">
        <v>41019</v>
      </c>
      <c r="L139" s="1555" t="s">
        <v>9227</v>
      </c>
      <c r="M139" s="1565"/>
      <c r="O139" s="1721">
        <f>O138</f>
        <v>51.350000000000009</v>
      </c>
      <c r="P139" s="1721">
        <f>P138</f>
        <v>33.945999999999998</v>
      </c>
      <c r="Q139" s="1721">
        <f>Q138</f>
        <v>33.64</v>
      </c>
      <c r="S139" s="1721">
        <f>S138</f>
        <v>38.720000000000006</v>
      </c>
    </row>
    <row r="140" spans="1:19" ht="43.2">
      <c r="A140" s="1545">
        <v>24</v>
      </c>
      <c r="B140" s="1706">
        <v>4</v>
      </c>
      <c r="C140" s="1554" t="s">
        <v>2768</v>
      </c>
      <c r="D140" s="1555" t="s">
        <v>9291</v>
      </c>
      <c r="E140" s="1620">
        <f>0.2*0.2*2</f>
        <v>8.0000000000000016E-2</v>
      </c>
      <c r="F140" s="1720">
        <v>670100</v>
      </c>
      <c r="G140" s="1684">
        <f>F140*E140</f>
        <v>53608.000000000007</v>
      </c>
      <c r="H140" s="1678">
        <f>F140*E140/$G$67</f>
        <v>1.8964169659680815E-3</v>
      </c>
      <c r="I140" s="1555" t="s">
        <v>2767</v>
      </c>
      <c r="J140" s="1555" t="s">
        <v>1772</v>
      </c>
      <c r="K140" s="1555">
        <v>41019</v>
      </c>
      <c r="L140" s="1555" t="s">
        <v>9227</v>
      </c>
      <c r="M140" s="1565"/>
      <c r="O140" s="1721">
        <f>0.2*0.2*4</f>
        <v>0.16000000000000003</v>
      </c>
      <c r="P140" s="1721">
        <f>0.2*0.2*4*2</f>
        <v>0.32000000000000006</v>
      </c>
      <c r="Q140" s="1721">
        <f>0.2*0.2*4*2</f>
        <v>0.32000000000000006</v>
      </c>
      <c r="S140" s="1721">
        <f>0.2*0.2*3</f>
        <v>0.12000000000000002</v>
      </c>
    </row>
    <row r="141" spans="1:19" ht="28.8">
      <c r="A141" s="1545">
        <v>23</v>
      </c>
      <c r="B141" s="1706">
        <v>5</v>
      </c>
      <c r="C141" s="1554" t="s">
        <v>1350</v>
      </c>
      <c r="D141" s="1555" t="s">
        <v>9291</v>
      </c>
      <c r="E141" s="1620">
        <f>0.2*0.2*2</f>
        <v>8.0000000000000016E-2</v>
      </c>
      <c r="F141" s="1763">
        <v>144400</v>
      </c>
      <c r="G141" s="1684">
        <f>F141*E141</f>
        <v>11552.000000000002</v>
      </c>
      <c r="H141" s="1678">
        <f>F141*E141/$G$67</f>
        <v>4.0865931933411576E-4</v>
      </c>
      <c r="I141" s="1555" t="s">
        <v>2766</v>
      </c>
      <c r="J141" s="1555" t="s">
        <v>1772</v>
      </c>
      <c r="K141" s="1555">
        <v>41019</v>
      </c>
      <c r="L141" s="1555" t="s">
        <v>9227</v>
      </c>
      <c r="M141" s="1565"/>
      <c r="O141" s="1721">
        <f>0.2*0.2*2</f>
        <v>8.0000000000000016E-2</v>
      </c>
      <c r="P141" s="1721">
        <f>0.2*0.2*2</f>
        <v>8.0000000000000016E-2</v>
      </c>
      <c r="Q141" s="1721">
        <f>0.2*0.2*2</f>
        <v>8.0000000000000016E-2</v>
      </c>
      <c r="S141" s="1721">
        <f>0.2*0.2*3</f>
        <v>0.12000000000000002</v>
      </c>
    </row>
    <row r="142" spans="1:19">
      <c r="B142" s="1708"/>
      <c r="C142" s="1575"/>
      <c r="D142" s="1576"/>
      <c r="E142" s="1621"/>
      <c r="F142" s="1577"/>
      <c r="G142" s="1685"/>
      <c r="H142" s="1578"/>
      <c r="I142" s="1576"/>
      <c r="J142" s="1576"/>
      <c r="K142" s="1576"/>
      <c r="L142" s="1576"/>
      <c r="M142" s="1579"/>
    </row>
    <row r="143" spans="1:19">
      <c r="B143" s="1714"/>
      <c r="C143" s="1870" t="s">
        <v>9274</v>
      </c>
      <c r="D143" s="1870"/>
      <c r="E143" s="1870"/>
      <c r="F143" s="1870"/>
      <c r="G143" s="1686">
        <f>SUM(G137:G141)</f>
        <v>3108700</v>
      </c>
      <c r="H143" s="1567"/>
      <c r="I143" s="1547"/>
      <c r="J143" s="1547"/>
      <c r="K143" s="1547"/>
      <c r="M143" s="1568"/>
    </row>
    <row r="144" spans="1:19">
      <c r="B144" s="1715"/>
      <c r="C144" s="1607"/>
      <c r="D144" s="1591"/>
      <c r="E144" s="1622"/>
      <c r="F144" s="1592"/>
      <c r="G144" s="1687"/>
      <c r="H144" s="1679"/>
      <c r="I144" s="1591"/>
      <c r="J144" s="1591"/>
      <c r="K144" s="1591"/>
      <c r="L144" s="1591"/>
      <c r="M144" s="1593"/>
    </row>
    <row r="145" spans="1:19">
      <c r="B145" s="1716" t="s">
        <v>9268</v>
      </c>
      <c r="C145" s="1594" t="s">
        <v>9259</v>
      </c>
      <c r="D145" s="1595"/>
      <c r="E145" s="1623"/>
      <c r="F145" s="1596"/>
      <c r="G145" s="1690"/>
      <c r="H145" s="1597"/>
      <c r="I145" s="1595"/>
      <c r="J145" s="1595"/>
      <c r="K145" s="1595"/>
      <c r="L145" s="1595"/>
      <c r="M145" s="1598"/>
    </row>
    <row r="146" spans="1:19" ht="28.8">
      <c r="A146" s="1545">
        <v>30</v>
      </c>
      <c r="B146" s="1706">
        <v>1</v>
      </c>
      <c r="C146" s="1554" t="s">
        <v>1442</v>
      </c>
      <c r="D146" s="1555" t="s">
        <v>9291</v>
      </c>
      <c r="E146" s="1620">
        <f>2.75*1.5</f>
        <v>4.125</v>
      </c>
      <c r="F146" s="1720">
        <v>246300</v>
      </c>
      <c r="G146" s="1684">
        <f>F146*E146</f>
        <v>1015987.5</v>
      </c>
      <c r="H146" s="1678">
        <f>F146*E146/$G$67</f>
        <v>3.5941201541029248E-2</v>
      </c>
      <c r="I146" s="1561" t="s">
        <v>2925</v>
      </c>
      <c r="J146" s="1555" t="s">
        <v>1772</v>
      </c>
      <c r="K146" s="1555">
        <v>41019</v>
      </c>
      <c r="L146" s="1555" t="s">
        <v>9227</v>
      </c>
      <c r="M146" s="1565"/>
      <c r="O146" s="1721">
        <f>5.55*2.75</f>
        <v>15.262499999999999</v>
      </c>
      <c r="P146" s="1721">
        <f>2.85*2.75</f>
        <v>7.8375000000000004</v>
      </c>
      <c r="Q146" s="1721">
        <f>2.85*2.75</f>
        <v>7.8375000000000004</v>
      </c>
      <c r="S146" s="1721">
        <f>(4.15*1.35)+(0.65*2.15)</f>
        <v>7.0000000000000009</v>
      </c>
    </row>
    <row r="147" spans="1:19" ht="28.8">
      <c r="A147" s="1545">
        <v>31</v>
      </c>
      <c r="B147" s="1706">
        <v>2</v>
      </c>
      <c r="C147" s="1554" t="s">
        <v>1467</v>
      </c>
      <c r="D147" s="1555" t="s">
        <v>9291</v>
      </c>
      <c r="E147" s="1620">
        <f>(1*((1.2*2)+(1.6*2)))-(0.7*1)</f>
        <v>4.8999999999999995</v>
      </c>
      <c r="F147" s="1763">
        <v>216900</v>
      </c>
      <c r="G147" s="1684">
        <f>F147*E147</f>
        <v>1062810</v>
      </c>
      <c r="H147" s="1678">
        <f>F147*E147/$G$67</f>
        <v>3.7597577145212217E-2</v>
      </c>
      <c r="I147" s="1555" t="s">
        <v>2979</v>
      </c>
      <c r="J147" s="1555" t="s">
        <v>1772</v>
      </c>
      <c r="K147" s="1555">
        <v>41019</v>
      </c>
      <c r="L147" s="1555" t="s">
        <v>9227</v>
      </c>
      <c r="M147" s="1565"/>
      <c r="O147" s="1721">
        <f>(1.5*((1.2*7)+(1.6*7)))-(1.5*0.7*3)</f>
        <v>26.250000000000004</v>
      </c>
      <c r="P147" s="1721">
        <f>(1.5*((1.2*4)+(1.93*4)))-(1.5*0.7*2)</f>
        <v>16.68</v>
      </c>
      <c r="Q147" s="1721">
        <f>(1.5*((1.2*4)+(1.9*4)))-(1.5*0.7*2)</f>
        <v>16.5</v>
      </c>
      <c r="S147" s="1721">
        <f>(1.5*(2+1.35+2+1.35+2))-(1.5*0.7)</f>
        <v>12</v>
      </c>
    </row>
    <row r="148" spans="1:19" ht="28.8">
      <c r="A148" s="1545">
        <v>53</v>
      </c>
      <c r="B148" s="1706">
        <v>3</v>
      </c>
      <c r="C148" s="1554" t="s">
        <v>4442</v>
      </c>
      <c r="D148" s="1555" t="s">
        <v>120</v>
      </c>
      <c r="E148" s="1620"/>
      <c r="F148" s="1720">
        <f>VLOOKUP(C148,'AHSP MCK'!D:K,8,FALSE)</f>
        <v>1330200</v>
      </c>
      <c r="G148" s="1684">
        <f>F148*E148</f>
        <v>0</v>
      </c>
      <c r="H148" s="1678">
        <f>F148*E148/$G$67</f>
        <v>0</v>
      </c>
      <c r="I148" s="1555" t="s">
        <v>4441</v>
      </c>
      <c r="J148" s="1555" t="s">
        <v>1772</v>
      </c>
      <c r="K148" s="1555">
        <v>41019</v>
      </c>
      <c r="L148" s="1555" t="s">
        <v>9227</v>
      </c>
      <c r="M148" s="1565"/>
    </row>
    <row r="149" spans="1:19">
      <c r="B149" s="1708"/>
      <c r="C149" s="1575"/>
      <c r="D149" s="1576"/>
      <c r="E149" s="1621"/>
      <c r="F149" s="1577"/>
      <c r="G149" s="1685"/>
      <c r="H149" s="1578"/>
      <c r="I149" s="1576"/>
      <c r="J149" s="1576"/>
      <c r="K149" s="1576"/>
      <c r="L149" s="1576"/>
      <c r="M149" s="1579"/>
    </row>
    <row r="150" spans="1:19">
      <c r="B150" s="1714"/>
      <c r="C150" s="1870" t="s">
        <v>9274</v>
      </c>
      <c r="D150" s="1870"/>
      <c r="E150" s="1870"/>
      <c r="F150" s="1870"/>
      <c r="G150" s="1686">
        <f>SUM(G146:G148)</f>
        <v>2078797.5</v>
      </c>
      <c r="H150" s="1567"/>
      <c r="I150" s="1547"/>
      <c r="J150" s="1547"/>
      <c r="K150" s="1547"/>
      <c r="M150" s="1568"/>
    </row>
    <row r="151" spans="1:19">
      <c r="B151" s="1715"/>
      <c r="C151" s="1590"/>
      <c r="D151" s="1591"/>
      <c r="E151" s="1622"/>
      <c r="F151" s="1592"/>
      <c r="G151" s="1687"/>
      <c r="H151" s="1679"/>
      <c r="I151" s="1591"/>
      <c r="J151" s="1591"/>
      <c r="K151" s="1591"/>
      <c r="L151" s="1591"/>
      <c r="M151" s="1593"/>
    </row>
    <row r="152" spans="1:19">
      <c r="B152" s="1716" t="s">
        <v>9269</v>
      </c>
      <c r="C152" s="1594" t="s">
        <v>9265</v>
      </c>
      <c r="D152" s="1595"/>
      <c r="E152" s="1623"/>
      <c r="F152" s="1596"/>
      <c r="G152" s="1690"/>
      <c r="H152" s="1597"/>
      <c r="I152" s="1595"/>
      <c r="J152" s="1595"/>
      <c r="K152" s="1595"/>
      <c r="L152" s="1595"/>
      <c r="M152" s="1598"/>
    </row>
    <row r="153" spans="1:19" ht="28.8">
      <c r="A153" s="1545">
        <v>7</v>
      </c>
      <c r="B153" s="1706">
        <v>1</v>
      </c>
      <c r="C153" s="1554" t="s">
        <v>1322</v>
      </c>
      <c r="D153" s="1555" t="s">
        <v>9291</v>
      </c>
      <c r="E153" s="1620">
        <f>3.12*2</f>
        <v>6.24</v>
      </c>
      <c r="F153" s="1763">
        <v>177400</v>
      </c>
      <c r="G153" s="1684">
        <f>F153*E153</f>
        <v>1106976</v>
      </c>
      <c r="H153" s="1678">
        <f>F153*E153/$G$67</f>
        <v>3.9159977378739788E-2</v>
      </c>
      <c r="I153" s="1555" t="s">
        <v>2200</v>
      </c>
      <c r="J153" s="1555" t="s">
        <v>1772</v>
      </c>
      <c r="K153" s="1555">
        <v>41019</v>
      </c>
      <c r="L153" s="1555" t="s">
        <v>9227</v>
      </c>
      <c r="M153" s="1565"/>
    </row>
    <row r="154" spans="1:19">
      <c r="A154" s="1545">
        <v>18</v>
      </c>
      <c r="B154" s="1706">
        <v>2</v>
      </c>
      <c r="C154" s="1554" t="s">
        <v>9314</v>
      </c>
      <c r="D154" s="1555" t="s">
        <v>9291</v>
      </c>
      <c r="E154" s="1620">
        <f>E153</f>
        <v>6.24</v>
      </c>
      <c r="F154" s="1720">
        <v>119500</v>
      </c>
      <c r="G154" s="1684">
        <f>F154*E154</f>
        <v>745680</v>
      </c>
      <c r="H154" s="1678">
        <f>F154*E154/$G$67</f>
        <v>2.637890246200341E-2</v>
      </c>
      <c r="I154" s="1563" t="s">
        <v>2659</v>
      </c>
      <c r="J154" s="1555" t="s">
        <v>1772</v>
      </c>
      <c r="K154" s="1555">
        <v>41019</v>
      </c>
      <c r="L154" s="1555" t="s">
        <v>9227</v>
      </c>
      <c r="M154" s="1565"/>
    </row>
    <row r="155" spans="1:19" ht="28.8">
      <c r="A155" s="1545">
        <v>19</v>
      </c>
      <c r="B155" s="1706">
        <v>3</v>
      </c>
      <c r="C155" s="1554" t="s">
        <v>1375</v>
      </c>
      <c r="D155" s="1555" t="s">
        <v>113</v>
      </c>
      <c r="E155" s="1620">
        <f>2+3.12+2</f>
        <v>7.12</v>
      </c>
      <c r="F155" s="1720">
        <v>73300</v>
      </c>
      <c r="G155" s="1684">
        <f>F155*E155</f>
        <v>521896</v>
      </c>
      <c r="H155" s="1678">
        <f>F155*E155/$G$67</f>
        <v>1.8462401672714478E-2</v>
      </c>
      <c r="I155" s="1561" t="s">
        <v>2690</v>
      </c>
      <c r="J155" s="1555" t="s">
        <v>1772</v>
      </c>
      <c r="K155" s="1555">
        <v>41019</v>
      </c>
      <c r="L155" s="1555" t="s">
        <v>9227</v>
      </c>
      <c r="M155" s="1565"/>
    </row>
    <row r="156" spans="1:19">
      <c r="B156" s="1708"/>
      <c r="C156" s="1575"/>
      <c r="D156" s="1576"/>
      <c r="E156" s="1621"/>
      <c r="F156" s="1577"/>
      <c r="G156" s="1685"/>
      <c r="H156" s="1578"/>
      <c r="I156" s="1608"/>
      <c r="J156" s="1576"/>
      <c r="K156" s="1576"/>
      <c r="L156" s="1576"/>
      <c r="M156" s="1579"/>
    </row>
    <row r="157" spans="1:19">
      <c r="B157" s="1714"/>
      <c r="C157" s="1870" t="s">
        <v>9274</v>
      </c>
      <c r="D157" s="1870"/>
      <c r="E157" s="1870"/>
      <c r="F157" s="1870"/>
      <c r="G157" s="1686">
        <f>SUM(G153:G155)</f>
        <v>2374552</v>
      </c>
      <c r="H157" s="1567"/>
      <c r="I157" s="1547"/>
      <c r="J157" s="1547"/>
      <c r="K157" s="1547"/>
      <c r="M157" s="1568"/>
    </row>
    <row r="158" spans="1:19">
      <c r="B158" s="1715"/>
      <c r="C158" s="1590"/>
      <c r="D158" s="1591"/>
      <c r="E158" s="1622"/>
      <c r="F158" s="1592"/>
      <c r="G158" s="1687"/>
      <c r="H158" s="1679"/>
      <c r="I158" s="1591"/>
      <c r="J158" s="1591"/>
      <c r="K158" s="1591"/>
      <c r="L158" s="1591"/>
      <c r="M158" s="1593"/>
    </row>
    <row r="159" spans="1:19">
      <c r="B159" s="1716" t="s">
        <v>9270</v>
      </c>
      <c r="C159" s="1594" t="s">
        <v>9260</v>
      </c>
      <c r="D159" s="1595"/>
      <c r="E159" s="1623"/>
      <c r="F159" s="1596"/>
      <c r="G159" s="1690"/>
      <c r="H159" s="1597"/>
      <c r="I159" s="1595"/>
      <c r="J159" s="1595"/>
      <c r="K159" s="1595"/>
      <c r="L159" s="1595"/>
      <c r="M159" s="1598"/>
    </row>
    <row r="160" spans="1:19" ht="28.8">
      <c r="A160" s="1545">
        <v>22</v>
      </c>
      <c r="B160" s="1706">
        <v>1</v>
      </c>
      <c r="C160" s="1554" t="s">
        <v>9315</v>
      </c>
      <c r="D160" s="1555" t="s">
        <v>9291</v>
      </c>
      <c r="E160" s="1620">
        <f>E161</f>
        <v>6.24</v>
      </c>
      <c r="F160" s="1720">
        <v>109900</v>
      </c>
      <c r="G160" s="1684">
        <f>F160*E160</f>
        <v>685776</v>
      </c>
      <c r="H160" s="1678">
        <f>F160*E160/$G$67</f>
        <v>2.425976050689686E-2</v>
      </c>
      <c r="I160" s="1561" t="s">
        <v>2737</v>
      </c>
      <c r="J160" s="1555" t="s">
        <v>1772</v>
      </c>
      <c r="K160" s="1555">
        <v>41019</v>
      </c>
      <c r="L160" s="1555" t="s">
        <v>9227</v>
      </c>
      <c r="M160" s="1565"/>
      <c r="O160" s="1721">
        <f>6.55*3.03</f>
        <v>19.846499999999999</v>
      </c>
      <c r="P160" s="1721">
        <f>3.85*2.9</f>
        <v>11.164999999999999</v>
      </c>
      <c r="Q160" s="1721">
        <f>3.85*2.9</f>
        <v>11.164999999999999</v>
      </c>
      <c r="S160" s="1721">
        <f>(4.15*1.35)+(2.15*0.65)</f>
        <v>7.0000000000000009</v>
      </c>
    </row>
    <row r="161" spans="1:19" ht="28.8">
      <c r="A161" s="1545">
        <v>20</v>
      </c>
      <c r="B161" s="1706">
        <v>2</v>
      </c>
      <c r="C161" s="1554" t="s">
        <v>2716</v>
      </c>
      <c r="D161" s="1555" t="s">
        <v>9291</v>
      </c>
      <c r="E161" s="1620">
        <f>E153</f>
        <v>6.24</v>
      </c>
      <c r="F161" s="1720">
        <v>52700</v>
      </c>
      <c r="G161" s="1684">
        <f>F161*E161</f>
        <v>328848</v>
      </c>
      <c r="H161" s="1678">
        <f>F161*E161/$G$67</f>
        <v>1.1633206357720333E-2</v>
      </c>
      <c r="I161" s="1561" t="s">
        <v>2715</v>
      </c>
      <c r="J161" s="1555" t="s">
        <v>1772</v>
      </c>
      <c r="K161" s="1555">
        <v>41019</v>
      </c>
      <c r="L161" s="1555" t="s">
        <v>9227</v>
      </c>
      <c r="M161" s="1565"/>
      <c r="O161" s="1721">
        <f>O160</f>
        <v>19.846499999999999</v>
      </c>
      <c r="P161" s="1721">
        <f>P160</f>
        <v>11.164999999999999</v>
      </c>
      <c r="Q161" s="1721">
        <f>Q160</f>
        <v>11.164999999999999</v>
      </c>
      <c r="S161" s="1721">
        <f>S160</f>
        <v>7.0000000000000009</v>
      </c>
    </row>
    <row r="162" spans="1:19">
      <c r="A162" s="1545">
        <v>21</v>
      </c>
      <c r="B162" s="1706">
        <v>3</v>
      </c>
      <c r="C162" s="1554" t="s">
        <v>1397</v>
      </c>
      <c r="D162" s="1555" t="s">
        <v>113</v>
      </c>
      <c r="E162" s="1620">
        <f>(1.2*2)+(1.5*2)</f>
        <v>5.4</v>
      </c>
      <c r="F162" s="1763">
        <v>17500</v>
      </c>
      <c r="G162" s="1684">
        <f>F162*E162</f>
        <v>94500</v>
      </c>
      <c r="H162" s="1678">
        <f>F162*E162/$G$67</f>
        <v>3.3429973750929653E-3</v>
      </c>
      <c r="I162" s="1561" t="s">
        <v>2733</v>
      </c>
      <c r="J162" s="1555" t="s">
        <v>1772</v>
      </c>
      <c r="K162" s="1555">
        <v>41019</v>
      </c>
      <c r="L162" s="1555" t="s">
        <v>9227</v>
      </c>
      <c r="M162" s="1565"/>
      <c r="O162" s="1721">
        <f>(1.2*6)+(1.6*6)</f>
        <v>16.8</v>
      </c>
      <c r="P162" s="1721">
        <f>(1.2*2)+(1.93*2)</f>
        <v>6.26</v>
      </c>
      <c r="Q162" s="1721">
        <f>(1.2*2)+(1.9*2)</f>
        <v>6.1999999999999993</v>
      </c>
      <c r="S162" s="1721">
        <f>(2+1.35+2+1.35+2+2+2)</f>
        <v>12.7</v>
      </c>
    </row>
    <row r="163" spans="1:19">
      <c r="B163" s="1718"/>
      <c r="C163" s="1558"/>
      <c r="D163" s="1559"/>
      <c r="E163" s="1626"/>
      <c r="F163" s="1560"/>
      <c r="G163" s="1693"/>
      <c r="H163" s="1680"/>
      <c r="I163" s="1564"/>
      <c r="J163" s="1559"/>
      <c r="K163" s="1559"/>
      <c r="L163" s="1559"/>
      <c r="M163" s="1566"/>
    </row>
    <row r="164" spans="1:19">
      <c r="B164" s="1714"/>
      <c r="C164" s="1870" t="s">
        <v>9274</v>
      </c>
      <c r="D164" s="1870"/>
      <c r="E164" s="1870"/>
      <c r="F164" s="1870"/>
      <c r="G164" s="1686">
        <f>SUM(G160:G162)</f>
        <v>1109124</v>
      </c>
      <c r="H164" s="1567"/>
      <c r="I164" s="1547"/>
      <c r="J164" s="1547"/>
      <c r="K164" s="1547"/>
      <c r="M164" s="1568"/>
    </row>
    <row r="165" spans="1:19">
      <c r="B165" s="1715"/>
      <c r="C165" s="1590"/>
      <c r="D165" s="1591"/>
      <c r="E165" s="1622"/>
      <c r="F165" s="1592"/>
      <c r="G165" s="1687"/>
      <c r="H165" s="1679"/>
      <c r="I165" s="1609"/>
      <c r="J165" s="1591"/>
      <c r="K165" s="1591"/>
      <c r="L165" s="1591"/>
      <c r="M165" s="1593"/>
    </row>
    <row r="166" spans="1:19">
      <c r="B166" s="1716" t="s">
        <v>8932</v>
      </c>
      <c r="C166" s="1594" t="s">
        <v>9262</v>
      </c>
      <c r="D166" s="1595"/>
      <c r="E166" s="1623"/>
      <c r="F166" s="1596"/>
      <c r="G166" s="1690"/>
      <c r="H166" s="1597"/>
      <c r="I166" s="1610"/>
      <c r="J166" s="1595"/>
      <c r="K166" s="1595"/>
      <c r="L166" s="1595"/>
      <c r="M166" s="1598"/>
    </row>
    <row r="167" spans="1:19" ht="28.8">
      <c r="A167" s="1545">
        <v>28</v>
      </c>
      <c r="B167" s="1706">
        <v>1</v>
      </c>
      <c r="C167" s="1554" t="s">
        <v>2817</v>
      </c>
      <c r="D167" s="1555" t="s">
        <v>9291</v>
      </c>
      <c r="E167" s="1620">
        <v>19.53</v>
      </c>
      <c r="F167" s="1720">
        <v>35200</v>
      </c>
      <c r="G167" s="1684">
        <f>F167*E167</f>
        <v>687456</v>
      </c>
      <c r="H167" s="1678">
        <f>F167*E167/$G$67</f>
        <v>2.4319191571342956E-2</v>
      </c>
      <c r="I167" s="1561" t="s">
        <v>2816</v>
      </c>
      <c r="J167" s="1555" t="s">
        <v>1772</v>
      </c>
      <c r="K167" s="1555">
        <v>41019</v>
      </c>
      <c r="L167" s="1555" t="s">
        <v>9227</v>
      </c>
      <c r="M167" s="1565"/>
      <c r="O167" s="1721">
        <f>O138</f>
        <v>51.350000000000009</v>
      </c>
      <c r="P167" s="1721">
        <f>P138</f>
        <v>33.945999999999998</v>
      </c>
      <c r="Q167" s="1721">
        <f>Q138</f>
        <v>33.64</v>
      </c>
      <c r="S167" s="1721">
        <f>S138</f>
        <v>38.720000000000006</v>
      </c>
    </row>
    <row r="168" spans="1:19" ht="28.8">
      <c r="A168" s="1545">
        <v>29</v>
      </c>
      <c r="B168" s="1706">
        <v>2</v>
      </c>
      <c r="C168" s="1554" t="s">
        <v>2837</v>
      </c>
      <c r="D168" s="1555" t="s">
        <v>9291</v>
      </c>
      <c r="E168" s="1620">
        <f>E161</f>
        <v>6.24</v>
      </c>
      <c r="F168" s="1763">
        <v>31100</v>
      </c>
      <c r="G168" s="1684">
        <f>F168*E168</f>
        <v>194064</v>
      </c>
      <c r="H168" s="1678">
        <f>F168*E168/$G$67</f>
        <v>6.8651369587305949E-3</v>
      </c>
      <c r="I168" s="1561" t="s">
        <v>2836</v>
      </c>
      <c r="J168" s="1555" t="s">
        <v>1772</v>
      </c>
      <c r="K168" s="1555">
        <v>41019</v>
      </c>
      <c r="L168" s="1555" t="s">
        <v>9227</v>
      </c>
      <c r="M168" s="1565"/>
      <c r="O168" s="1721">
        <f>O161</f>
        <v>19.846499999999999</v>
      </c>
      <c r="P168" s="1721">
        <f>P161</f>
        <v>11.164999999999999</v>
      </c>
      <c r="Q168" s="1721">
        <f>Q161</f>
        <v>11.164999999999999</v>
      </c>
      <c r="S168" s="1721">
        <f>S161</f>
        <v>7.0000000000000009</v>
      </c>
    </row>
    <row r="169" spans="1:19">
      <c r="B169" s="1708"/>
      <c r="C169" s="1575"/>
      <c r="D169" s="1576"/>
      <c r="E169" s="1621"/>
      <c r="F169" s="1577"/>
      <c r="G169" s="1685"/>
      <c r="H169" s="1578"/>
      <c r="I169" s="1608"/>
      <c r="J169" s="1576"/>
      <c r="K169" s="1576"/>
      <c r="L169" s="1576"/>
      <c r="M169" s="1579"/>
    </row>
    <row r="170" spans="1:19">
      <c r="B170" s="1714"/>
      <c r="C170" s="1870" t="s">
        <v>9274</v>
      </c>
      <c r="D170" s="1870"/>
      <c r="E170" s="1870"/>
      <c r="F170" s="1870"/>
      <c r="G170" s="1686">
        <f>SUM(G167:G168)</f>
        <v>881520</v>
      </c>
      <c r="H170" s="1567"/>
      <c r="I170" s="1547"/>
      <c r="J170" s="1547"/>
      <c r="K170" s="1547"/>
      <c r="M170" s="1568"/>
    </row>
    <row r="171" spans="1:19">
      <c r="B171" s="1715"/>
      <c r="C171" s="1590"/>
      <c r="D171" s="1591"/>
      <c r="E171" s="1622"/>
      <c r="F171" s="1592"/>
      <c r="G171" s="1687"/>
      <c r="H171" s="1679"/>
      <c r="I171" s="1609"/>
      <c r="J171" s="1591"/>
      <c r="K171" s="1591"/>
      <c r="L171" s="1591"/>
      <c r="M171" s="1593"/>
    </row>
    <row r="172" spans="1:19">
      <c r="B172" s="1716" t="s">
        <v>9271</v>
      </c>
      <c r="C172" s="1594" t="s">
        <v>9261</v>
      </c>
      <c r="D172" s="1595"/>
      <c r="E172" s="1623"/>
      <c r="F172" s="1596"/>
      <c r="G172" s="1690"/>
      <c r="H172" s="1597"/>
      <c r="I172" s="1610"/>
      <c r="J172" s="1595"/>
      <c r="K172" s="1595"/>
      <c r="L172" s="1595"/>
      <c r="M172" s="1598"/>
    </row>
    <row r="173" spans="1:19">
      <c r="A173" s="1545">
        <v>34</v>
      </c>
      <c r="B173" s="1706">
        <v>1</v>
      </c>
      <c r="C173" s="1554" t="s">
        <v>1560</v>
      </c>
      <c r="D173" s="1555" t="s">
        <v>775</v>
      </c>
      <c r="E173" s="1620">
        <v>1</v>
      </c>
      <c r="F173" s="1763">
        <v>430700</v>
      </c>
      <c r="G173" s="1684">
        <f t="shared" ref="G173:G183" si="22">F173*E173</f>
        <v>430700</v>
      </c>
      <c r="H173" s="1678">
        <f t="shared" ref="H173:H183" si="23">F173*E173/$G$67</f>
        <v>1.5236285391032171E-2</v>
      </c>
      <c r="I173" s="1555" t="s">
        <v>3186</v>
      </c>
      <c r="J173" s="1555" t="s">
        <v>1772</v>
      </c>
      <c r="K173" s="1555">
        <v>41019</v>
      </c>
      <c r="L173" s="1555" t="s">
        <v>9227</v>
      </c>
      <c r="M173" s="1565"/>
      <c r="O173" s="1721">
        <v>3</v>
      </c>
      <c r="P173" s="1721">
        <v>2</v>
      </c>
      <c r="Q173" s="1721">
        <v>2</v>
      </c>
      <c r="S173" s="1721">
        <v>1</v>
      </c>
    </row>
    <row r="174" spans="1:19" ht="28.8">
      <c r="A174" s="1545">
        <v>44</v>
      </c>
      <c r="B174" s="1706">
        <v>2</v>
      </c>
      <c r="C174" s="1554" t="s">
        <v>8066</v>
      </c>
      <c r="D174" s="1555" t="s">
        <v>113</v>
      </c>
      <c r="E174" s="1620">
        <v>4</v>
      </c>
      <c r="F174" s="1763">
        <v>22200</v>
      </c>
      <c r="G174" s="1684">
        <f t="shared" si="22"/>
        <v>88800</v>
      </c>
      <c r="H174" s="1678">
        <f t="shared" si="23"/>
        <v>3.1413562635794214E-3</v>
      </c>
      <c r="I174" s="1561" t="s">
        <v>3604</v>
      </c>
      <c r="J174" s="1555" t="s">
        <v>1772</v>
      </c>
      <c r="K174" s="1555">
        <v>41019</v>
      </c>
      <c r="L174" s="1555" t="s">
        <v>9227</v>
      </c>
      <c r="M174" s="1565"/>
      <c r="P174" s="1721">
        <v>8</v>
      </c>
      <c r="Q174" s="1721">
        <v>8</v>
      </c>
      <c r="S174" s="1721">
        <v>8</v>
      </c>
    </row>
    <row r="175" spans="1:19" ht="28.8">
      <c r="A175" s="1545">
        <v>45</v>
      </c>
      <c r="B175" s="1706">
        <v>3</v>
      </c>
      <c r="C175" s="1554" t="s">
        <v>8065</v>
      </c>
      <c r="D175" s="1555" t="s">
        <v>113</v>
      </c>
      <c r="E175" s="1620"/>
      <c r="F175" s="1763">
        <v>29600</v>
      </c>
      <c r="G175" s="1684">
        <f t="shared" si="22"/>
        <v>0</v>
      </c>
      <c r="H175" s="1678">
        <f t="shared" si="23"/>
        <v>0</v>
      </c>
      <c r="I175" s="1561" t="s">
        <v>3605</v>
      </c>
      <c r="J175" s="1555" t="s">
        <v>1772</v>
      </c>
      <c r="K175" s="1555">
        <v>41019</v>
      </c>
      <c r="L175" s="1555" t="s">
        <v>9227</v>
      </c>
      <c r="M175" s="1565"/>
      <c r="P175" s="1721">
        <v>8</v>
      </c>
      <c r="Q175" s="1721">
        <v>8</v>
      </c>
      <c r="S175" s="1721">
        <v>8</v>
      </c>
    </row>
    <row r="176" spans="1:19" ht="28.8">
      <c r="A176" s="1545">
        <v>47</v>
      </c>
      <c r="B176" s="1706">
        <v>4</v>
      </c>
      <c r="C176" s="1554" t="s">
        <v>8073</v>
      </c>
      <c r="D176" s="1555" t="s">
        <v>113</v>
      </c>
      <c r="E176" s="1620"/>
      <c r="F176" s="1720">
        <v>85300</v>
      </c>
      <c r="G176" s="1684">
        <f t="shared" si="22"/>
        <v>0</v>
      </c>
      <c r="H176" s="1678">
        <f t="shared" si="23"/>
        <v>0</v>
      </c>
      <c r="I176" s="1561" t="s">
        <v>3609</v>
      </c>
      <c r="J176" s="1555" t="s">
        <v>1772</v>
      </c>
      <c r="K176" s="1555">
        <v>41019</v>
      </c>
      <c r="L176" s="1555" t="s">
        <v>9227</v>
      </c>
      <c r="M176" s="1565"/>
    </row>
    <row r="177" spans="1:19" ht="28.8">
      <c r="A177" s="1545">
        <v>48</v>
      </c>
      <c r="B177" s="1706">
        <v>5</v>
      </c>
      <c r="C177" s="1554" t="s">
        <v>8077</v>
      </c>
      <c r="D177" s="1555" t="s">
        <v>113</v>
      </c>
      <c r="E177" s="1620">
        <v>4</v>
      </c>
      <c r="F177" s="1720">
        <v>160200</v>
      </c>
      <c r="G177" s="1684">
        <f t="shared" si="22"/>
        <v>640800</v>
      </c>
      <c r="H177" s="1678">
        <f t="shared" si="23"/>
        <v>2.2668706010154201E-2</v>
      </c>
      <c r="I177" s="1561" t="s">
        <v>3611</v>
      </c>
      <c r="J177" s="1555" t="s">
        <v>1772</v>
      </c>
      <c r="K177" s="1555">
        <v>41019</v>
      </c>
      <c r="L177" s="1555" t="s">
        <v>9227</v>
      </c>
      <c r="M177" s="1565"/>
      <c r="P177" s="1721">
        <v>8</v>
      </c>
      <c r="Q177" s="1721">
        <v>8</v>
      </c>
      <c r="S177" s="1721">
        <v>4</v>
      </c>
    </row>
    <row r="178" spans="1:19" ht="28.8">
      <c r="A178" s="1545">
        <v>36</v>
      </c>
      <c r="B178" s="1706">
        <v>6</v>
      </c>
      <c r="C178" s="1554" t="s">
        <v>1569</v>
      </c>
      <c r="D178" s="1555" t="s">
        <v>775</v>
      </c>
      <c r="E178" s="1620">
        <v>1</v>
      </c>
      <c r="F178" s="1720">
        <v>117200</v>
      </c>
      <c r="G178" s="1684">
        <f t="shared" si="22"/>
        <v>117200</v>
      </c>
      <c r="H178" s="1678">
        <f t="shared" si="23"/>
        <v>4.1460242577872541E-3</v>
      </c>
      <c r="I178" s="1555" t="s">
        <v>3205</v>
      </c>
      <c r="J178" s="1555" t="s">
        <v>1772</v>
      </c>
      <c r="K178" s="1555">
        <v>41019</v>
      </c>
      <c r="L178" s="1555" t="s">
        <v>9227</v>
      </c>
      <c r="M178" s="1565"/>
      <c r="O178" s="1721">
        <v>5</v>
      </c>
      <c r="P178" s="1721">
        <v>2</v>
      </c>
      <c r="Q178" s="1721">
        <v>2</v>
      </c>
      <c r="S178" s="1721">
        <v>4</v>
      </c>
    </row>
    <row r="179" spans="1:19" ht="28.8">
      <c r="A179" s="1545">
        <v>35</v>
      </c>
      <c r="B179" s="1706">
        <v>7</v>
      </c>
      <c r="C179" s="1554" t="s">
        <v>1568</v>
      </c>
      <c r="D179" s="1555" t="s">
        <v>775</v>
      </c>
      <c r="E179" s="1620">
        <v>1</v>
      </c>
      <c r="F179" s="1720">
        <v>101300</v>
      </c>
      <c r="G179" s="1684">
        <f t="shared" si="22"/>
        <v>101300</v>
      </c>
      <c r="H179" s="1678">
        <f t="shared" si="23"/>
        <v>3.5835516835652633E-3</v>
      </c>
      <c r="I179" s="1555" t="s">
        <v>3202</v>
      </c>
      <c r="J179" s="1555" t="s">
        <v>1772</v>
      </c>
      <c r="K179" s="1555">
        <v>41019</v>
      </c>
      <c r="L179" s="1555" t="s">
        <v>9227</v>
      </c>
      <c r="M179" s="1565"/>
      <c r="O179" s="1721">
        <v>4</v>
      </c>
      <c r="P179" s="1721">
        <v>2</v>
      </c>
      <c r="Q179" s="1721">
        <v>2</v>
      </c>
      <c r="S179" s="1721">
        <v>2</v>
      </c>
    </row>
    <row r="180" spans="1:19">
      <c r="A180" s="1545">
        <v>52</v>
      </c>
      <c r="B180" s="1706">
        <v>8</v>
      </c>
      <c r="C180" s="1554" t="s">
        <v>9302</v>
      </c>
      <c r="D180" s="1555" t="s">
        <v>135</v>
      </c>
      <c r="E180" s="1620"/>
      <c r="F180" s="1556">
        <f>VLOOKUP(C180,'AHSP MCK'!D:K,8,FALSE)</f>
        <v>731400</v>
      </c>
      <c r="G180" s="1684">
        <f t="shared" si="22"/>
        <v>0</v>
      </c>
      <c r="H180" s="1678">
        <f t="shared" si="23"/>
        <v>0</v>
      </c>
      <c r="I180" s="1555" t="s">
        <v>3767</v>
      </c>
      <c r="J180" s="1555" t="s">
        <v>1772</v>
      </c>
      <c r="K180" s="1555">
        <v>41019</v>
      </c>
      <c r="L180" s="1555" t="s">
        <v>9227</v>
      </c>
      <c r="M180" s="1565"/>
      <c r="Q180" s="1721">
        <v>1</v>
      </c>
    </row>
    <row r="181" spans="1:19">
      <c r="A181" s="1545">
        <v>37</v>
      </c>
      <c r="B181" s="1706">
        <v>9</v>
      </c>
      <c r="C181" s="1554" t="s">
        <v>1651</v>
      </c>
      <c r="D181" s="1555" t="s">
        <v>113</v>
      </c>
      <c r="E181" s="1620">
        <v>8</v>
      </c>
      <c r="F181" s="1720">
        <f>VLOOKUP(C181,'AHSP MCK'!D:K,8,FALSE)</f>
        <v>29000</v>
      </c>
      <c r="G181" s="1684">
        <f t="shared" si="22"/>
        <v>232000</v>
      </c>
      <c r="H181" s="1678">
        <f t="shared" si="23"/>
        <v>8.2071469949372266E-3</v>
      </c>
      <c r="I181" s="1555" t="s">
        <v>3243</v>
      </c>
      <c r="J181" s="1555" t="s">
        <v>1772</v>
      </c>
      <c r="K181" s="1555">
        <v>41019</v>
      </c>
      <c r="L181" s="1555" t="s">
        <v>9227</v>
      </c>
      <c r="M181" s="1565"/>
      <c r="O181" s="1721">
        <v>15</v>
      </c>
      <c r="P181" s="1721">
        <v>10</v>
      </c>
      <c r="Q181" s="1721">
        <v>10</v>
      </c>
      <c r="S181" s="1721">
        <v>10</v>
      </c>
    </row>
    <row r="182" spans="1:19" ht="28.8">
      <c r="B182" s="1706">
        <v>10</v>
      </c>
      <c r="C182" s="1554" t="s">
        <v>3760</v>
      </c>
      <c r="D182" s="1555" t="s">
        <v>775</v>
      </c>
      <c r="E182" s="1620"/>
      <c r="F182" s="1763">
        <f>VLOOKUP(C182,'AHSP MCK'!D:K,8,FALSE)</f>
        <v>783400</v>
      </c>
      <c r="G182" s="1684">
        <f t="shared" si="22"/>
        <v>0</v>
      </c>
      <c r="H182" s="1678">
        <f t="shared" si="23"/>
        <v>0</v>
      </c>
      <c r="I182" s="1561" t="s">
        <v>8088</v>
      </c>
      <c r="J182" s="1555" t="s">
        <v>1772</v>
      </c>
      <c r="K182" s="1555"/>
      <c r="L182" s="1555"/>
      <c r="M182" s="1565"/>
      <c r="Q182" s="1721">
        <v>1</v>
      </c>
    </row>
    <row r="183" spans="1:19" ht="28.8">
      <c r="A183" s="1545">
        <v>50</v>
      </c>
      <c r="B183" s="1706">
        <v>11</v>
      </c>
      <c r="C183" s="1554" t="s">
        <v>1582</v>
      </c>
      <c r="D183" s="1555" t="s">
        <v>135</v>
      </c>
      <c r="E183" s="1620"/>
      <c r="F183" s="1556">
        <f>VLOOKUP(C183,'AHSP MCK'!D:K,8,FALSE)</f>
        <v>3982400</v>
      </c>
      <c r="G183" s="1684">
        <f t="shared" si="22"/>
        <v>0</v>
      </c>
      <c r="H183" s="1678">
        <f t="shared" si="23"/>
        <v>0</v>
      </c>
      <c r="I183" s="1561" t="s">
        <v>3749</v>
      </c>
      <c r="J183" s="1555" t="s">
        <v>1772</v>
      </c>
      <c r="K183" s="1555">
        <v>41019</v>
      </c>
      <c r="L183" s="1555" t="s">
        <v>9227</v>
      </c>
      <c r="M183" s="1565"/>
    </row>
    <row r="184" spans="1:19">
      <c r="B184" s="1708"/>
      <c r="C184" s="1575"/>
      <c r="D184" s="1576"/>
      <c r="E184" s="1621"/>
      <c r="F184" s="1577"/>
      <c r="G184" s="1685"/>
      <c r="H184" s="1578"/>
      <c r="I184" s="1608"/>
      <c r="J184" s="1576"/>
      <c r="K184" s="1576"/>
      <c r="L184" s="1576"/>
      <c r="M184" s="1579"/>
    </row>
    <row r="185" spans="1:19">
      <c r="B185" s="1714"/>
      <c r="C185" s="1870" t="s">
        <v>9274</v>
      </c>
      <c r="D185" s="1870"/>
      <c r="E185" s="1870"/>
      <c r="F185" s="1870"/>
      <c r="G185" s="1686">
        <f>SUM(G173:G183)</f>
        <v>1610800</v>
      </c>
      <c r="H185" s="1567"/>
      <c r="I185" s="1547"/>
      <c r="J185" s="1547"/>
      <c r="K185" s="1547"/>
      <c r="M185" s="1568"/>
    </row>
    <row r="186" spans="1:19">
      <c r="B186" s="1715"/>
      <c r="C186" s="1590"/>
      <c r="D186" s="1591"/>
      <c r="E186" s="1622"/>
      <c r="F186" s="1592"/>
      <c r="G186" s="1687"/>
      <c r="H186" s="1679"/>
      <c r="I186" s="1609"/>
      <c r="J186" s="1591"/>
      <c r="K186" s="1591"/>
      <c r="L186" s="1591"/>
      <c r="M186" s="1593"/>
    </row>
    <row r="187" spans="1:19">
      <c r="B187" s="1716" t="s">
        <v>9272</v>
      </c>
      <c r="C187" s="1594" t="s">
        <v>9073</v>
      </c>
      <c r="D187" s="1595"/>
      <c r="E187" s="1623"/>
      <c r="F187" s="1596"/>
      <c r="G187" s="1690"/>
      <c r="H187" s="1597"/>
      <c r="I187" s="1610"/>
      <c r="J187" s="1595"/>
      <c r="K187" s="1595"/>
      <c r="L187" s="1595"/>
      <c r="M187" s="1598"/>
    </row>
    <row r="188" spans="1:19" ht="43.2">
      <c r="A188" s="1545">
        <v>56</v>
      </c>
      <c r="B188" s="1706">
        <v>1</v>
      </c>
      <c r="C188" s="1554" t="s">
        <v>9230</v>
      </c>
      <c r="D188" s="1555" t="s">
        <v>135</v>
      </c>
      <c r="E188" s="1697"/>
      <c r="F188" s="1556">
        <v>4958264</v>
      </c>
      <c r="G188" s="1684">
        <f t="shared" ref="G188:G203" si="24">F188*E188</f>
        <v>0</v>
      </c>
      <c r="H188" s="1678">
        <f t="shared" ref="H188:H203" si="25">F188*E188/$G$67</f>
        <v>0</v>
      </c>
      <c r="I188" s="1555" t="s">
        <v>2225</v>
      </c>
      <c r="J188" s="1555" t="s">
        <v>1772</v>
      </c>
      <c r="K188" s="1555">
        <v>41019</v>
      </c>
      <c r="L188" s="1555" t="s">
        <v>9227</v>
      </c>
      <c r="M188" s="1565"/>
    </row>
    <row r="189" spans="1:19" ht="57.6">
      <c r="A189" s="1545">
        <v>54</v>
      </c>
      <c r="B189" s="1706">
        <v>1</v>
      </c>
      <c r="C189" s="1554" t="s">
        <v>1956</v>
      </c>
      <c r="D189" s="1695" t="s">
        <v>120</v>
      </c>
      <c r="E189" s="1700">
        <f>2.45*1.4*1.3</f>
        <v>4.4590000000000005</v>
      </c>
      <c r="F189" s="1696">
        <f>F86</f>
        <v>98400</v>
      </c>
      <c r="G189" s="1684">
        <f t="shared" si="24"/>
        <v>438765.60000000003</v>
      </c>
      <c r="H189" s="1678">
        <f t="shared" si="25"/>
        <v>1.5521611101387197E-2</v>
      </c>
      <c r="I189" s="1555" t="s">
        <v>1810</v>
      </c>
      <c r="J189" s="1555" t="s">
        <v>9068</v>
      </c>
      <c r="K189" s="1555">
        <v>41019</v>
      </c>
      <c r="L189" s="1555" t="s">
        <v>9227</v>
      </c>
      <c r="M189" s="1565"/>
    </row>
    <row r="190" spans="1:19" ht="28.8">
      <c r="A190" s="1545">
        <v>55</v>
      </c>
      <c r="B190" s="1706">
        <v>2</v>
      </c>
      <c r="C190" s="1554" t="s">
        <v>2118</v>
      </c>
      <c r="D190" s="1695" t="s">
        <v>120</v>
      </c>
      <c r="E190" s="1701">
        <f>E189</f>
        <v>4.4590000000000005</v>
      </c>
      <c r="F190" s="1696">
        <f>VLOOKUP(C190,'AHSP MCK'!D:K,8,FALSE)</f>
        <v>26700</v>
      </c>
      <c r="G190" s="1684">
        <f t="shared" si="24"/>
        <v>119055.30000000002</v>
      </c>
      <c r="H190" s="1678">
        <f t="shared" si="25"/>
        <v>4.2116566708032335E-3</v>
      </c>
      <c r="I190" s="1555" t="s">
        <v>2112</v>
      </c>
      <c r="J190" s="1555" t="s">
        <v>9068</v>
      </c>
      <c r="K190" s="1555">
        <v>41019</v>
      </c>
      <c r="L190" s="1555" t="s">
        <v>9227</v>
      </c>
      <c r="M190" s="1565"/>
    </row>
    <row r="191" spans="1:19" ht="43.2">
      <c r="B191" s="1706">
        <v>3</v>
      </c>
      <c r="C191" s="1554" t="s">
        <v>6470</v>
      </c>
      <c r="D191" s="1695" t="s">
        <v>65</v>
      </c>
      <c r="E191" s="1699">
        <f>Vol!B13</f>
        <v>7.11</v>
      </c>
      <c r="F191" s="1696">
        <v>14500</v>
      </c>
      <c r="G191" s="1684">
        <f t="shared" si="24"/>
        <v>103095</v>
      </c>
      <c r="H191" s="1678">
        <f t="shared" si="25"/>
        <v>3.6470509458752299E-3</v>
      </c>
      <c r="I191" s="1555" t="s">
        <v>2225</v>
      </c>
      <c r="J191" s="1555" t="s">
        <v>1772</v>
      </c>
      <c r="K191" s="1555"/>
      <c r="L191" s="1555"/>
      <c r="M191" s="1565"/>
    </row>
    <row r="192" spans="1:19" ht="43.2">
      <c r="A192" s="1545">
        <v>57</v>
      </c>
      <c r="B192" s="1706">
        <v>4</v>
      </c>
      <c r="C192" s="1554" t="s">
        <v>9316</v>
      </c>
      <c r="D192" s="1695" t="s">
        <v>120</v>
      </c>
      <c r="E192" s="1699">
        <f>1.3*1.3*0.07</f>
        <v>0.11830000000000002</v>
      </c>
      <c r="F192" s="1696">
        <v>1256100</v>
      </c>
      <c r="G192" s="1684">
        <f t="shared" si="24"/>
        <v>148596.63000000003</v>
      </c>
      <c r="H192" s="1678">
        <f t="shared" si="25"/>
        <v>5.2566999369064622E-3</v>
      </c>
      <c r="I192" s="1555" t="s">
        <v>2271</v>
      </c>
      <c r="J192" s="1555" t="s">
        <v>1772</v>
      </c>
      <c r="K192" s="1555">
        <v>41019</v>
      </c>
      <c r="L192" s="1555" t="s">
        <v>9227</v>
      </c>
      <c r="M192" s="1565"/>
    </row>
    <row r="193" spans="1:13" ht="28.8">
      <c r="A193" s="1545">
        <v>58</v>
      </c>
      <c r="B193" s="1706">
        <v>5</v>
      </c>
      <c r="C193" s="1554" t="s">
        <v>1307</v>
      </c>
      <c r="D193" s="1695" t="s">
        <v>9291</v>
      </c>
      <c r="E193" s="1699"/>
      <c r="F193" s="1696">
        <f>VLOOKUP(C193,'AHSP MCK'!D:K,8,FALSE)</f>
        <v>287100</v>
      </c>
      <c r="G193" s="1684">
        <f t="shared" si="24"/>
        <v>0</v>
      </c>
      <c r="H193" s="1678">
        <f t="shared" si="25"/>
        <v>0</v>
      </c>
      <c r="I193" s="1561" t="s">
        <v>2254</v>
      </c>
      <c r="J193" s="1555" t="s">
        <v>1772</v>
      </c>
      <c r="K193" s="1555">
        <v>41019</v>
      </c>
      <c r="L193" s="1555" t="s">
        <v>9227</v>
      </c>
      <c r="M193" s="1565"/>
    </row>
    <row r="194" spans="1:13" ht="28.8">
      <c r="A194" s="1545">
        <v>59</v>
      </c>
      <c r="B194" s="1706">
        <v>6</v>
      </c>
      <c r="C194" s="1554" t="s">
        <v>1306</v>
      </c>
      <c r="D194" s="1695" t="s">
        <v>9291</v>
      </c>
      <c r="E194" s="1699">
        <f>2.45*1.3</f>
        <v>3.1850000000000005</v>
      </c>
      <c r="F194" s="1696">
        <v>216100</v>
      </c>
      <c r="G194" s="1684">
        <f t="shared" si="24"/>
        <v>688278.50000000012</v>
      </c>
      <c r="H194" s="1678">
        <f t="shared" si="25"/>
        <v>2.434828802997803E-2</v>
      </c>
      <c r="I194" s="1561" t="s">
        <v>2253</v>
      </c>
      <c r="J194" s="1555" t="s">
        <v>1772</v>
      </c>
      <c r="K194" s="1555">
        <v>41019</v>
      </c>
      <c r="L194" s="1555" t="s">
        <v>9227</v>
      </c>
      <c r="M194" s="1565"/>
    </row>
    <row r="195" spans="1:13" ht="28.8">
      <c r="A195" s="1545">
        <v>60</v>
      </c>
      <c r="B195" s="1706">
        <v>7</v>
      </c>
      <c r="C195" s="1554" t="s">
        <v>9217</v>
      </c>
      <c r="D195" s="1695" t="s">
        <v>9291</v>
      </c>
      <c r="E195" s="1699">
        <f>(2.45*1.4*2)+(1.3*1.4*3)+(1.2*1)</f>
        <v>13.52</v>
      </c>
      <c r="F195" s="1696">
        <f>F137</f>
        <v>98200</v>
      </c>
      <c r="G195" s="1684">
        <f t="shared" si="24"/>
        <v>1327664</v>
      </c>
      <c r="H195" s="1678">
        <f t="shared" si="25"/>
        <v>4.6966955206406626E-2</v>
      </c>
      <c r="I195" s="1561" t="s">
        <v>2772</v>
      </c>
      <c r="J195" s="1555" t="s">
        <v>1772</v>
      </c>
      <c r="K195" s="1555">
        <v>41019</v>
      </c>
      <c r="L195" s="1555" t="s">
        <v>9227</v>
      </c>
      <c r="M195" s="1565"/>
    </row>
    <row r="196" spans="1:13" ht="28.8">
      <c r="A196" s="1545">
        <v>61</v>
      </c>
      <c r="B196" s="1706">
        <v>8</v>
      </c>
      <c r="C196" s="1554" t="s">
        <v>1317</v>
      </c>
      <c r="D196" s="1695" t="s">
        <v>113</v>
      </c>
      <c r="E196" s="1699">
        <f>1.4*4</f>
        <v>5.6</v>
      </c>
      <c r="F196" s="1696">
        <f>F115</f>
        <v>99100</v>
      </c>
      <c r="G196" s="1684">
        <f t="shared" si="24"/>
        <v>554960</v>
      </c>
      <c r="H196" s="1678">
        <f t="shared" si="25"/>
        <v>1.9632061622027429E-2</v>
      </c>
      <c r="I196" s="1561" t="s">
        <v>2331</v>
      </c>
      <c r="J196" s="1555" t="s">
        <v>1772</v>
      </c>
      <c r="K196" s="1555">
        <v>41019</v>
      </c>
      <c r="L196" s="1555" t="s">
        <v>9227</v>
      </c>
      <c r="M196" s="1565"/>
    </row>
    <row r="197" spans="1:13" ht="28.8">
      <c r="A197" s="1545">
        <v>62</v>
      </c>
      <c r="B197" s="1706">
        <v>9</v>
      </c>
      <c r="C197" s="1554" t="s">
        <v>1318</v>
      </c>
      <c r="D197" s="1555" t="s">
        <v>113</v>
      </c>
      <c r="E197" s="1719"/>
      <c r="F197" s="1556">
        <f>F103</f>
        <v>132600</v>
      </c>
      <c r="G197" s="1684">
        <f t="shared" si="24"/>
        <v>0</v>
      </c>
      <c r="H197" s="1678">
        <f t="shared" si="25"/>
        <v>0</v>
      </c>
      <c r="I197" s="1561" t="s">
        <v>2333</v>
      </c>
      <c r="J197" s="1555" t="s">
        <v>1772</v>
      </c>
      <c r="K197" s="1555">
        <v>41019</v>
      </c>
      <c r="L197" s="1555" t="s">
        <v>9227</v>
      </c>
      <c r="M197" s="1565"/>
    </row>
    <row r="198" spans="1:13">
      <c r="A198" s="1545">
        <v>63</v>
      </c>
      <c r="B198" s="1706">
        <v>10</v>
      </c>
      <c r="C198" s="1554" t="s">
        <v>1384</v>
      </c>
      <c r="D198" s="1695" t="s">
        <v>9291</v>
      </c>
      <c r="E198" s="1699">
        <f>E195/2</f>
        <v>6.76</v>
      </c>
      <c r="F198" s="1696">
        <f>F139</f>
        <v>47000</v>
      </c>
      <c r="G198" s="1684">
        <f t="shared" si="24"/>
        <v>317720</v>
      </c>
      <c r="H198" s="1678">
        <f t="shared" si="25"/>
        <v>1.1239546307032137E-2</v>
      </c>
      <c r="I198" s="1561" t="s">
        <v>2792</v>
      </c>
      <c r="J198" s="1555" t="s">
        <v>1772</v>
      </c>
      <c r="K198" s="1555">
        <v>41019</v>
      </c>
      <c r="L198" s="1555" t="s">
        <v>9227</v>
      </c>
      <c r="M198" s="1565"/>
    </row>
    <row r="199" spans="1:13" ht="28.8">
      <c r="B199" s="1706">
        <v>11</v>
      </c>
      <c r="C199" s="1554" t="s">
        <v>1381</v>
      </c>
      <c r="D199" s="1695" t="s">
        <v>9291</v>
      </c>
      <c r="E199" s="1699">
        <f>E198</f>
        <v>6.76</v>
      </c>
      <c r="F199" s="1696">
        <f>F140</f>
        <v>670100</v>
      </c>
      <c r="G199" s="1684">
        <f t="shared" si="24"/>
        <v>4529876</v>
      </c>
      <c r="H199" s="1678">
        <f t="shared" si="25"/>
        <v>0.16024723362430285</v>
      </c>
      <c r="I199" s="1561" t="s">
        <v>2789</v>
      </c>
      <c r="J199" s="1555" t="s">
        <v>1772</v>
      </c>
      <c r="K199" s="1555">
        <v>41019</v>
      </c>
      <c r="L199" s="1555" t="s">
        <v>9227</v>
      </c>
      <c r="M199" s="1565"/>
    </row>
    <row r="200" spans="1:13" ht="28.8">
      <c r="A200" s="1545">
        <v>64</v>
      </c>
      <c r="B200" s="1706">
        <v>12</v>
      </c>
      <c r="C200" s="1554" t="s">
        <v>2817</v>
      </c>
      <c r="D200" s="1695" t="s">
        <v>9291</v>
      </c>
      <c r="E200" s="1699">
        <f>2.45*1.3</f>
        <v>3.1850000000000005</v>
      </c>
      <c r="F200" s="1696">
        <f>F167</f>
        <v>35200</v>
      </c>
      <c r="G200" s="1684">
        <f t="shared" si="24"/>
        <v>112112.00000000001</v>
      </c>
      <c r="H200" s="1678">
        <f t="shared" si="25"/>
        <v>3.9660330340362173E-3</v>
      </c>
      <c r="I200" s="1561" t="s">
        <v>2816</v>
      </c>
      <c r="J200" s="1555" t="s">
        <v>1772</v>
      </c>
      <c r="K200" s="1555">
        <v>41019</v>
      </c>
      <c r="L200" s="1555" t="s">
        <v>9227</v>
      </c>
      <c r="M200" s="1565"/>
    </row>
    <row r="201" spans="1:13" ht="28.8">
      <c r="A201" s="1545">
        <v>65</v>
      </c>
      <c r="B201" s="1706">
        <v>13</v>
      </c>
      <c r="C201" s="1554" t="s">
        <v>8067</v>
      </c>
      <c r="D201" s="1695" t="s">
        <v>113</v>
      </c>
      <c r="E201" s="1699">
        <v>1.5</v>
      </c>
      <c r="F201" s="1696">
        <v>42700</v>
      </c>
      <c r="G201" s="1684">
        <f t="shared" si="24"/>
        <v>64050</v>
      </c>
      <c r="H201" s="1678">
        <f t="shared" si="25"/>
        <v>2.2658093320074542E-3</v>
      </c>
      <c r="I201" s="1561" t="s">
        <v>3606</v>
      </c>
      <c r="J201" s="1555" t="s">
        <v>1772</v>
      </c>
      <c r="K201" s="1555">
        <v>41019</v>
      </c>
      <c r="L201" s="1555" t="s">
        <v>9227</v>
      </c>
      <c r="M201" s="1565"/>
    </row>
    <row r="202" spans="1:13" ht="28.8">
      <c r="B202" s="1706">
        <v>14</v>
      </c>
      <c r="C202" s="1554" t="s">
        <v>8077</v>
      </c>
      <c r="D202" s="1695" t="s">
        <v>113</v>
      </c>
      <c r="E202" s="1699">
        <v>4</v>
      </c>
      <c r="F202" s="1696">
        <f>F177</f>
        <v>160200</v>
      </c>
      <c r="G202" s="1684">
        <f t="shared" si="24"/>
        <v>640800</v>
      </c>
      <c r="H202" s="1678">
        <f t="shared" si="25"/>
        <v>2.2668706010154201E-2</v>
      </c>
      <c r="I202" s="1561" t="s">
        <v>3611</v>
      </c>
      <c r="J202" s="1555" t="s">
        <v>1772</v>
      </c>
      <c r="K202" s="1555">
        <v>41019</v>
      </c>
      <c r="L202" s="1555" t="s">
        <v>9227</v>
      </c>
      <c r="M202" s="1565"/>
    </row>
    <row r="203" spans="1:13" ht="28.8">
      <c r="A203" s="1545" t="s">
        <v>9231</v>
      </c>
      <c r="B203" s="1706">
        <v>15</v>
      </c>
      <c r="C203" s="1562" t="s">
        <v>9062</v>
      </c>
      <c r="D203" s="1555" t="s">
        <v>775</v>
      </c>
      <c r="E203" s="1698"/>
      <c r="F203" s="1556">
        <f>VLOOKUP(C203,'AHSP MCK'!D:K,8,FALSE)</f>
        <v>156800</v>
      </c>
      <c r="G203" s="1684">
        <f t="shared" si="24"/>
        <v>0</v>
      </c>
      <c r="H203" s="1678">
        <f t="shared" si="25"/>
        <v>0</v>
      </c>
      <c r="I203" s="1561" t="s">
        <v>7699</v>
      </c>
      <c r="J203" s="1555" t="s">
        <v>7699</v>
      </c>
      <c r="K203" s="1555" t="s">
        <v>7699</v>
      </c>
      <c r="L203" s="1555" t="s">
        <v>7699</v>
      </c>
      <c r="M203" s="1565"/>
    </row>
    <row r="204" spans="1:13">
      <c r="B204" s="1708"/>
      <c r="C204" s="1575"/>
      <c r="D204" s="1576"/>
      <c r="E204" s="1621"/>
      <c r="F204" s="1577"/>
      <c r="G204" s="1685"/>
      <c r="H204" s="1578"/>
      <c r="I204" s="1608"/>
      <c r="J204" s="1576"/>
      <c r="K204" s="1576"/>
      <c r="L204" s="1576"/>
      <c r="M204" s="1579"/>
    </row>
    <row r="205" spans="1:13">
      <c r="B205" s="1714"/>
      <c r="C205" s="1870" t="s">
        <v>9274</v>
      </c>
      <c r="D205" s="1870"/>
      <c r="E205" s="1870"/>
      <c r="F205" s="1870"/>
      <c r="G205" s="1765">
        <f>SUM(G188:G203)</f>
        <v>9044973.0300000012</v>
      </c>
      <c r="H205" s="1567"/>
      <c r="I205" s="1547"/>
      <c r="J205" s="1547"/>
      <c r="K205" s="1547"/>
      <c r="M205" s="1568"/>
    </row>
    <row r="206" spans="1:13">
      <c r="B206" s="1715"/>
      <c r="C206" s="1590"/>
      <c r="D206" s="1591"/>
      <c r="E206" s="1622"/>
      <c r="F206" s="1592"/>
      <c r="G206" s="1687"/>
      <c r="H206" s="1679"/>
      <c r="I206" s="1609"/>
      <c r="J206" s="1591"/>
      <c r="K206" s="1591"/>
      <c r="L206" s="1591"/>
      <c r="M206" s="1593"/>
    </row>
    <row r="207" spans="1:13">
      <c r="B207" s="1716" t="s">
        <v>9278</v>
      </c>
      <c r="C207" s="1594" t="s">
        <v>9263</v>
      </c>
      <c r="D207" s="1595"/>
      <c r="E207" s="1623"/>
      <c r="F207" s="1596"/>
      <c r="G207" s="1690"/>
      <c r="H207" s="1597"/>
      <c r="I207" s="1610"/>
      <c r="J207" s="1595"/>
      <c r="K207" s="1595"/>
      <c r="L207" s="1595"/>
      <c r="M207" s="1598"/>
    </row>
    <row r="208" spans="1:13" ht="28.8">
      <c r="A208" s="1545">
        <v>41</v>
      </c>
      <c r="B208" s="1706">
        <v>1</v>
      </c>
      <c r="C208" s="1554" t="s">
        <v>3548</v>
      </c>
      <c r="D208" s="1555" t="s">
        <v>135</v>
      </c>
      <c r="E208" s="1620"/>
      <c r="F208" s="1763">
        <f>VLOOKUP(C208,'AHSP MCK'!D:K,8,FALSE)</f>
        <v>267500</v>
      </c>
      <c r="G208" s="1684">
        <f t="shared" ref="G208:G214" si="26">F208*E208</f>
        <v>0</v>
      </c>
      <c r="H208" s="1678">
        <f t="shared" ref="H208:H214" si="27">F208*E208/$G$67</f>
        <v>0</v>
      </c>
      <c r="I208" s="1561" t="s">
        <v>3549</v>
      </c>
      <c r="J208" s="1555" t="s">
        <v>1772</v>
      </c>
      <c r="K208" s="1555">
        <v>41019</v>
      </c>
      <c r="L208" s="1555" t="s">
        <v>9227</v>
      </c>
      <c r="M208" s="1565"/>
    </row>
    <row r="209" spans="1:19">
      <c r="A209" s="1545">
        <v>42</v>
      </c>
      <c r="B209" s="1706">
        <v>2</v>
      </c>
      <c r="C209" s="1554" t="s">
        <v>5814</v>
      </c>
      <c r="D209" s="1555" t="s">
        <v>9015</v>
      </c>
      <c r="E209" s="1620">
        <v>1</v>
      </c>
      <c r="F209" s="1763">
        <v>200700</v>
      </c>
      <c r="G209" s="1684">
        <f t="shared" si="26"/>
        <v>200700</v>
      </c>
      <c r="H209" s="1678">
        <f t="shared" si="27"/>
        <v>7.0998896632926784E-3</v>
      </c>
      <c r="I209" s="1561" t="s">
        <v>3568</v>
      </c>
      <c r="J209" s="1555" t="s">
        <v>1772</v>
      </c>
      <c r="K209" s="1555">
        <v>41019</v>
      </c>
      <c r="L209" s="1555" t="s">
        <v>9227</v>
      </c>
      <c r="M209" s="1565"/>
      <c r="O209" s="1721">
        <v>4</v>
      </c>
      <c r="P209" s="1721">
        <v>3</v>
      </c>
      <c r="Q209" s="1721">
        <v>3</v>
      </c>
      <c r="S209" s="1721">
        <v>2</v>
      </c>
    </row>
    <row r="210" spans="1:19">
      <c r="A210" s="1545">
        <v>38</v>
      </c>
      <c r="B210" s="1706">
        <v>3</v>
      </c>
      <c r="C210" s="1554" t="s">
        <v>3511</v>
      </c>
      <c r="D210" s="1555" t="s">
        <v>135</v>
      </c>
      <c r="E210" s="1620">
        <v>1</v>
      </c>
      <c r="F210" s="1720">
        <v>39600</v>
      </c>
      <c r="G210" s="1684">
        <f t="shared" si="26"/>
        <v>39600</v>
      </c>
      <c r="H210" s="1678">
        <f t="shared" si="27"/>
        <v>1.4008750905151472E-3</v>
      </c>
      <c r="I210" s="1555" t="s">
        <v>3510</v>
      </c>
      <c r="J210" s="1555" t="s">
        <v>1772</v>
      </c>
      <c r="K210" s="1555">
        <v>41019</v>
      </c>
      <c r="L210" s="1555" t="s">
        <v>9227</v>
      </c>
      <c r="M210" s="1565"/>
      <c r="P210" s="1721">
        <v>1</v>
      </c>
      <c r="Q210" s="1721">
        <v>1</v>
      </c>
    </row>
    <row r="211" spans="1:19">
      <c r="A211" s="1545">
        <v>39</v>
      </c>
      <c r="B211" s="1706">
        <v>4</v>
      </c>
      <c r="C211" s="1554" t="s">
        <v>3514</v>
      </c>
      <c r="D211" s="1555" t="s">
        <v>135</v>
      </c>
      <c r="E211" s="1620">
        <v>1</v>
      </c>
      <c r="F211" s="1720">
        <v>49500</v>
      </c>
      <c r="G211" s="1684">
        <f t="shared" si="26"/>
        <v>49500</v>
      </c>
      <c r="H211" s="1678">
        <f t="shared" si="27"/>
        <v>1.7510938631439342E-3</v>
      </c>
      <c r="I211" s="1561" t="s">
        <v>3513</v>
      </c>
      <c r="J211" s="1555" t="s">
        <v>1772</v>
      </c>
      <c r="K211" s="1555">
        <v>41019</v>
      </c>
      <c r="L211" s="1555" t="s">
        <v>9227</v>
      </c>
      <c r="M211" s="1565"/>
      <c r="O211" s="1721">
        <v>2</v>
      </c>
      <c r="P211" s="1721">
        <v>1</v>
      </c>
      <c r="Q211" s="1721">
        <v>1</v>
      </c>
      <c r="S211" s="1721">
        <v>1</v>
      </c>
    </row>
    <row r="212" spans="1:19" s="1721" customFormat="1">
      <c r="A212" s="1545">
        <v>40</v>
      </c>
      <c r="B212" s="1706">
        <v>5</v>
      </c>
      <c r="C212" s="1554" t="s">
        <v>9319</v>
      </c>
      <c r="D212" s="1555" t="s">
        <v>135</v>
      </c>
      <c r="E212" s="1620"/>
      <c r="F212" s="1720">
        <v>37400</v>
      </c>
      <c r="G212" s="1684">
        <f t="shared" si="26"/>
        <v>0</v>
      </c>
      <c r="H212" s="1678">
        <f t="shared" si="27"/>
        <v>0</v>
      </c>
      <c r="I212" s="1561" t="s">
        <v>3530</v>
      </c>
      <c r="J212" s="1555" t="s">
        <v>1772</v>
      </c>
      <c r="K212" s="1555">
        <v>41019</v>
      </c>
      <c r="L212" s="1555" t="s">
        <v>9227</v>
      </c>
      <c r="M212" s="1565"/>
      <c r="N212" s="1546"/>
      <c r="O212" s="1721">
        <v>1</v>
      </c>
      <c r="P212" s="1721">
        <v>1</v>
      </c>
      <c r="Q212" s="1721">
        <v>1</v>
      </c>
      <c r="S212" s="1721">
        <v>1</v>
      </c>
    </row>
    <row r="213" spans="1:19" s="1721" customFormat="1" ht="28.8">
      <c r="A213" s="1545">
        <v>43</v>
      </c>
      <c r="B213" s="1706">
        <v>6</v>
      </c>
      <c r="C213" s="1554" t="s">
        <v>9317</v>
      </c>
      <c r="D213" s="1555" t="s">
        <v>135</v>
      </c>
      <c r="E213" s="1620">
        <v>1</v>
      </c>
      <c r="F213" s="1763">
        <v>38500</v>
      </c>
      <c r="G213" s="1684">
        <f t="shared" ref="G213" si="28">F213*E213</f>
        <v>38500</v>
      </c>
      <c r="H213" s="1678">
        <f t="shared" ref="H213" si="29">F213*E213/$G$67</f>
        <v>1.3619618935563932E-3</v>
      </c>
      <c r="I213" s="1561" t="s">
        <v>5874</v>
      </c>
      <c r="J213" s="1555" t="s">
        <v>1772</v>
      </c>
      <c r="K213" s="1555">
        <v>41019</v>
      </c>
      <c r="L213" s="1555" t="s">
        <v>9227</v>
      </c>
      <c r="M213" s="1565"/>
      <c r="N213" s="1546"/>
      <c r="O213" s="1721">
        <v>4</v>
      </c>
      <c r="P213" s="1721">
        <v>3</v>
      </c>
      <c r="Q213" s="1721">
        <v>3</v>
      </c>
      <c r="S213" s="1721">
        <v>2</v>
      </c>
    </row>
    <row r="214" spans="1:19" s="1721" customFormat="1" ht="28.8">
      <c r="A214" s="1545">
        <v>43</v>
      </c>
      <c r="B214" s="1706">
        <v>7</v>
      </c>
      <c r="C214" s="1554" t="s">
        <v>9318</v>
      </c>
      <c r="D214" s="1555" t="s">
        <v>135</v>
      </c>
      <c r="E214" s="1620">
        <v>1</v>
      </c>
      <c r="F214" s="1763">
        <v>58800</v>
      </c>
      <c r="G214" s="1684">
        <f t="shared" si="26"/>
        <v>58800</v>
      </c>
      <c r="H214" s="1678">
        <f t="shared" si="27"/>
        <v>2.0800872556134007E-3</v>
      </c>
      <c r="I214" s="1561" t="s">
        <v>5874</v>
      </c>
      <c r="J214" s="1555" t="s">
        <v>1772</v>
      </c>
      <c r="K214" s="1555">
        <v>41019</v>
      </c>
      <c r="L214" s="1555" t="s">
        <v>9227</v>
      </c>
      <c r="M214" s="1565"/>
      <c r="N214" s="1546"/>
      <c r="O214" s="1721">
        <v>4</v>
      </c>
      <c r="P214" s="1721">
        <v>3</v>
      </c>
      <c r="Q214" s="1721">
        <v>3</v>
      </c>
      <c r="S214" s="1721">
        <v>2</v>
      </c>
    </row>
    <row r="215" spans="1:19" s="1721" customFormat="1">
      <c r="A215" s="1545"/>
      <c r="B215" s="1708"/>
      <c r="C215" s="1575"/>
      <c r="D215" s="1576"/>
      <c r="E215" s="1621"/>
      <c r="F215" s="1577"/>
      <c r="G215" s="1685"/>
      <c r="H215" s="1578"/>
      <c r="I215" s="1608"/>
      <c r="J215" s="1576"/>
      <c r="K215" s="1576"/>
      <c r="L215" s="1576"/>
      <c r="M215" s="1579"/>
      <c r="N215" s="1546"/>
    </row>
    <row r="216" spans="1:19" s="1721" customFormat="1">
      <c r="A216" s="1545"/>
      <c r="B216" s="1714"/>
      <c r="C216" s="1870" t="s">
        <v>9274</v>
      </c>
      <c r="D216" s="1870"/>
      <c r="E216" s="1870"/>
      <c r="F216" s="1870"/>
      <c r="G216" s="1686">
        <f>SUM(G208:G214)</f>
        <v>387100</v>
      </c>
      <c r="H216" s="1567"/>
      <c r="I216" s="1547"/>
      <c r="J216" s="1547"/>
      <c r="K216" s="1547"/>
      <c r="L216" s="1547"/>
      <c r="M216" s="1568"/>
      <c r="N216" s="1546"/>
    </row>
    <row r="217" spans="1:19" s="1721" customFormat="1">
      <c r="A217" s="1545"/>
      <c r="B217" s="1715"/>
      <c r="C217" s="1607"/>
      <c r="D217" s="1591"/>
      <c r="E217" s="1622"/>
      <c r="F217" s="1592"/>
      <c r="G217" s="1687"/>
      <c r="H217" s="1679"/>
      <c r="I217" s="1609"/>
      <c r="J217" s="1591"/>
      <c r="K217" s="1591"/>
      <c r="L217" s="1591"/>
      <c r="M217" s="1593"/>
      <c r="N217" s="1546"/>
    </row>
    <row r="218" spans="1:19" s="1721" customFormat="1">
      <c r="A218" s="1545"/>
      <c r="B218" s="1716" t="s">
        <v>9273</v>
      </c>
      <c r="C218" s="1594" t="s">
        <v>9264</v>
      </c>
      <c r="D218" s="1595"/>
      <c r="E218" s="1623"/>
      <c r="F218" s="1596"/>
      <c r="G218" s="1690"/>
      <c r="H218" s="1597"/>
      <c r="I218" s="1610"/>
      <c r="J218" s="1595"/>
      <c r="K218" s="1595"/>
      <c r="L218" s="1595"/>
      <c r="M218" s="1598"/>
      <c r="N218" s="1546"/>
    </row>
    <row r="219" spans="1:19" s="1721" customFormat="1" ht="28.8">
      <c r="A219" s="1545">
        <v>32</v>
      </c>
      <c r="B219" s="1706">
        <v>1</v>
      </c>
      <c r="C219" s="1554" t="s">
        <v>1487</v>
      </c>
      <c r="D219" s="1555" t="s">
        <v>9291</v>
      </c>
      <c r="E219" s="1620">
        <f>2*0.7</f>
        <v>1.4</v>
      </c>
      <c r="F219" s="1720">
        <v>949700</v>
      </c>
      <c r="G219" s="1684">
        <f>F219*E219</f>
        <v>1329580</v>
      </c>
      <c r="H219" s="1678">
        <f>F219*E219/$G$67</f>
        <v>4.7034734920382057E-2</v>
      </c>
      <c r="I219" s="1561" t="s">
        <v>3027</v>
      </c>
      <c r="J219" s="1555" t="s">
        <v>1772</v>
      </c>
      <c r="K219" s="1555">
        <v>41019</v>
      </c>
      <c r="L219" s="1555" t="s">
        <v>9227</v>
      </c>
      <c r="M219" s="1565"/>
      <c r="N219" s="1546"/>
      <c r="O219" s="1721">
        <f>2*0.7*3</f>
        <v>4.1999999999999993</v>
      </c>
      <c r="P219" s="1721">
        <f>0.7*2*2</f>
        <v>2.8</v>
      </c>
      <c r="Q219" s="1721">
        <f>0.7*2*2</f>
        <v>2.8</v>
      </c>
      <c r="S219" s="1721">
        <f>2*0.7</f>
        <v>1.4</v>
      </c>
    </row>
    <row r="220" spans="1:19" s="1721" customFormat="1">
      <c r="A220" s="1545">
        <v>33</v>
      </c>
      <c r="B220" s="1706">
        <v>2</v>
      </c>
      <c r="C220" s="1554" t="s">
        <v>1565</v>
      </c>
      <c r="D220" s="1555" t="s">
        <v>775</v>
      </c>
      <c r="E220" s="1620"/>
      <c r="F220" s="1556">
        <f>VLOOKUP(C220,'AHSP MCK'!D:K,8,FALSE)</f>
        <v>1303500</v>
      </c>
      <c r="G220" s="1684">
        <f>F220*E220</f>
        <v>0</v>
      </c>
      <c r="H220" s="1678">
        <f>F220*E220/$G$67</f>
        <v>0</v>
      </c>
      <c r="I220" s="1561" t="s">
        <v>3173</v>
      </c>
      <c r="J220" s="1555" t="s">
        <v>1772</v>
      </c>
      <c r="K220" s="1555">
        <v>41019</v>
      </c>
      <c r="L220" s="1555" t="s">
        <v>9227</v>
      </c>
      <c r="M220" s="1565"/>
      <c r="N220" s="1546"/>
    </row>
    <row r="221" spans="1:19" s="1721" customFormat="1">
      <c r="A221" s="1545">
        <v>68</v>
      </c>
      <c r="B221" s="1706">
        <v>3</v>
      </c>
      <c r="C221" s="1554" t="s">
        <v>9232</v>
      </c>
      <c r="D221" s="1555" t="s">
        <v>775</v>
      </c>
      <c r="E221" s="1620">
        <v>1</v>
      </c>
      <c r="F221" s="1720">
        <v>350000</v>
      </c>
      <c r="G221" s="1684">
        <f>F221*E221</f>
        <v>350000</v>
      </c>
      <c r="H221" s="1678">
        <f>F221*E221/$G$67</f>
        <v>1.2381471759603574E-2</v>
      </c>
      <c r="I221" s="1563" t="s">
        <v>3156</v>
      </c>
      <c r="J221" s="1555" t="s">
        <v>1772</v>
      </c>
      <c r="K221" s="1555">
        <v>41019</v>
      </c>
      <c r="L221" s="1555" t="s">
        <v>9227</v>
      </c>
      <c r="M221" s="1565"/>
      <c r="N221" s="1546"/>
      <c r="O221" s="1721">
        <v>1</v>
      </c>
      <c r="P221" s="1721">
        <v>1</v>
      </c>
      <c r="Q221" s="1721">
        <v>1</v>
      </c>
      <c r="S221" s="1721">
        <v>1</v>
      </c>
    </row>
    <row r="222" spans="1:19" s="1721" customFormat="1">
      <c r="A222" s="1545"/>
      <c r="B222" s="1708"/>
      <c r="C222" s="1575"/>
      <c r="D222" s="1576"/>
      <c r="E222" s="1621"/>
      <c r="F222" s="1577"/>
      <c r="G222" s="1685"/>
      <c r="H222" s="1578"/>
      <c r="I222" s="1608"/>
      <c r="J222" s="1576"/>
      <c r="K222" s="1576"/>
      <c r="L222" s="1576"/>
      <c r="M222" s="1579"/>
      <c r="N222" s="1546"/>
    </row>
    <row r="223" spans="1:19" s="1721" customFormat="1" ht="15" thickBot="1">
      <c r="A223" s="1545"/>
      <c r="B223" s="1713"/>
      <c r="C223" s="1871" t="s">
        <v>9274</v>
      </c>
      <c r="D223" s="1871"/>
      <c r="E223" s="1871"/>
      <c r="F223" s="1871"/>
      <c r="G223" s="1694">
        <f>SUM(G219:G221)</f>
        <v>1679580</v>
      </c>
      <c r="H223" s="1569"/>
      <c r="I223" s="1570"/>
      <c r="J223" s="1570"/>
      <c r="K223" s="1570"/>
      <c r="L223" s="1570"/>
      <c r="M223" s="1571"/>
      <c r="N223" s="1546"/>
    </row>
    <row r="225" spans="1:23" s="1721" customFormat="1">
      <c r="A225" s="1545"/>
      <c r="B225" s="1547"/>
      <c r="C225" s="1549"/>
      <c r="D225" s="1545"/>
      <c r="E225" s="1615"/>
      <c r="F225" s="1551"/>
      <c r="G225" s="1552"/>
      <c r="H225" s="1550"/>
      <c r="I225" s="1545"/>
      <c r="J225" s="1545"/>
      <c r="K225" s="1545"/>
      <c r="L225" s="1547"/>
      <c r="M225" s="1546"/>
      <c r="N225" s="1546"/>
    </row>
    <row r="226" spans="1:23" s="1545" customFormat="1">
      <c r="B226" s="1547"/>
      <c r="C226" s="1549"/>
      <c r="E226" s="1615"/>
      <c r="F226" s="1551"/>
      <c r="G226" s="1552"/>
      <c r="L226" s="1547"/>
      <c r="M226" s="1546"/>
      <c r="N226" s="1546"/>
      <c r="O226" s="1721"/>
      <c r="P226" s="1721"/>
      <c r="Q226" s="1721"/>
      <c r="R226" s="1721"/>
      <c r="S226" s="1721"/>
      <c r="T226" s="1721"/>
      <c r="U226" s="1721"/>
      <c r="V226" s="1721"/>
      <c r="W226" s="1721"/>
    </row>
  </sheetData>
  <mergeCells count="15">
    <mergeCell ref="C205:F205"/>
    <mergeCell ref="C216:F216"/>
    <mergeCell ref="C223:F223"/>
    <mergeCell ref="C143:F143"/>
    <mergeCell ref="C150:F150"/>
    <mergeCell ref="C157:F157"/>
    <mergeCell ref="C164:F164"/>
    <mergeCell ref="C170:F170"/>
    <mergeCell ref="C185:F185"/>
    <mergeCell ref="C134:F134"/>
    <mergeCell ref="D33:G33"/>
    <mergeCell ref="C72:F72"/>
    <mergeCell ref="C83:F83"/>
    <mergeCell ref="C91:F91"/>
    <mergeCell ref="C96:F96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1E1-8612-4BFA-85FF-4E253D75DCA4}">
  <dimension ref="A2:W225"/>
  <sheetViews>
    <sheetView showGridLines="0" topLeftCell="D87" zoomScale="114" zoomScaleNormal="70" workbookViewId="0">
      <selection activeCell="F138" sqref="F138"/>
    </sheetView>
  </sheetViews>
  <sheetFormatPr defaultRowHeight="14.4"/>
  <cols>
    <col min="1" max="1" width="3.5546875" style="1545" hidden="1" customWidth="1"/>
    <col min="2" max="2" width="6.88671875" style="1547" customWidth="1"/>
    <col min="3" max="3" width="35.88671875" style="1549" customWidth="1"/>
    <col min="4" max="4" width="9.88671875" style="1545" customWidth="1"/>
    <col min="5" max="5" width="9.88671875" style="1615" customWidth="1"/>
    <col min="6" max="7" width="14.77734375" style="1551" customWidth="1"/>
    <col min="8" max="8" width="10.6640625" style="1545" hidden="1" customWidth="1"/>
    <col min="9" max="9" width="12.33203125" style="1545" hidden="1" customWidth="1"/>
    <col min="10" max="10" width="20.5546875" style="1545" hidden="1" customWidth="1"/>
    <col min="11" max="11" width="9.77734375" style="1545" hidden="1" customWidth="1"/>
    <col min="12" max="12" width="17.88671875" style="1547" hidden="1" customWidth="1"/>
    <col min="13" max="13" width="16.44140625" style="1546" hidden="1" customWidth="1"/>
    <col min="14" max="14" width="9.44140625" style="1546" bestFit="1" customWidth="1"/>
    <col min="15" max="23" width="8.88671875" style="1721"/>
    <col min="24" max="16384" width="8.88671875" style="1546"/>
  </cols>
  <sheetData>
    <row r="2" spans="2:7" ht="18">
      <c r="B2" s="1702" t="s">
        <v>9275</v>
      </c>
      <c r="C2" s="1544"/>
    </row>
    <row r="3" spans="2:7">
      <c r="B3" s="1703" t="s">
        <v>9284</v>
      </c>
      <c r="D3" s="1548"/>
    </row>
    <row r="4" spans="2:7">
      <c r="B4" s="1703" t="s">
        <v>9285</v>
      </c>
      <c r="D4" s="1548"/>
    </row>
    <row r="5" spans="2:7">
      <c r="B5" s="1703" t="s">
        <v>9286</v>
      </c>
      <c r="D5" s="1548"/>
    </row>
    <row r="6" spans="2:7">
      <c r="B6" s="1703" t="s">
        <v>9287</v>
      </c>
      <c r="D6" s="1548"/>
    </row>
    <row r="7" spans="2:7">
      <c r="B7" s="1703" t="s">
        <v>9288</v>
      </c>
      <c r="D7" s="1548"/>
    </row>
    <row r="8" spans="2:7">
      <c r="B8" s="1703" t="s">
        <v>9289</v>
      </c>
      <c r="D8" s="1548"/>
    </row>
    <row r="9" spans="2:7">
      <c r="B9" s="1703" t="s">
        <v>9290</v>
      </c>
      <c r="D9" s="1548"/>
    </row>
    <row r="10" spans="2:7" ht="15" thickBot="1"/>
    <row r="11" spans="2:7" ht="28.8">
      <c r="B11" s="1611" t="s">
        <v>1195</v>
      </c>
      <c r="C11" s="1612" t="s">
        <v>9219</v>
      </c>
      <c r="D11" s="1612" t="s">
        <v>5286</v>
      </c>
      <c r="E11" s="1616" t="s">
        <v>9220</v>
      </c>
      <c r="F11" s="1613" t="s">
        <v>9248</v>
      </c>
      <c r="G11" s="1631" t="s">
        <v>9276</v>
      </c>
    </row>
    <row r="12" spans="2:7" ht="3.6" customHeight="1">
      <c r="B12" s="1627"/>
      <c r="C12" s="1628"/>
      <c r="D12" s="1628"/>
      <c r="E12" s="1629"/>
      <c r="F12" s="1630"/>
      <c r="G12" s="1632"/>
    </row>
    <row r="13" spans="2:7">
      <c r="B13" s="1704"/>
      <c r="C13" s="1638"/>
      <c r="D13" s="1643"/>
      <c r="E13" s="1644"/>
      <c r="F13" s="1645"/>
      <c r="G13" s="1674"/>
    </row>
    <row r="14" spans="2:7">
      <c r="B14" s="1705" t="str">
        <f>B68</f>
        <v>I</v>
      </c>
      <c r="C14" s="1646" t="str">
        <f>C68</f>
        <v>Pekerjaan Persiapan</v>
      </c>
      <c r="D14" s="1641" t="s">
        <v>9277</v>
      </c>
      <c r="E14" s="1664">
        <v>1</v>
      </c>
      <c r="F14" s="1642">
        <f>G72</f>
        <v>475250.39999999997</v>
      </c>
      <c r="G14" s="1675">
        <f>E14*F14</f>
        <v>475250.39999999997</v>
      </c>
    </row>
    <row r="15" spans="2:7">
      <c r="B15" s="1706" t="str">
        <f>B74</f>
        <v>II</v>
      </c>
      <c r="C15" s="1606" t="str">
        <f>C74</f>
        <v>SMKK</v>
      </c>
      <c r="D15" s="1639" t="s">
        <v>9277</v>
      </c>
      <c r="E15" s="1665">
        <v>1</v>
      </c>
      <c r="F15" s="1640">
        <f>G83</f>
        <v>647500</v>
      </c>
      <c r="G15" s="1649">
        <f t="shared" ref="G15:G27" si="0">E15*F15</f>
        <v>647500</v>
      </c>
    </row>
    <row r="16" spans="2:7">
      <c r="B16" s="1706" t="str">
        <f>B85</f>
        <v>III</v>
      </c>
      <c r="C16" s="1606" t="str">
        <f>C85</f>
        <v>Pekerjaan Tanah</v>
      </c>
      <c r="D16" s="1639" t="s">
        <v>9277</v>
      </c>
      <c r="E16" s="1665">
        <v>1</v>
      </c>
      <c r="F16" s="1640">
        <f>G91</f>
        <v>134884.80000000005</v>
      </c>
      <c r="G16" s="1649">
        <f t="shared" si="0"/>
        <v>134884.80000000005</v>
      </c>
    </row>
    <row r="17" spans="2:7">
      <c r="B17" s="1706" t="str">
        <f>B93</f>
        <v>IV</v>
      </c>
      <c r="C17" s="1606" t="str">
        <f>C93</f>
        <v>Pekerjaan Pondasi</v>
      </c>
      <c r="D17" s="1639" t="s">
        <v>9277</v>
      </c>
      <c r="E17" s="1665">
        <v>1</v>
      </c>
      <c r="F17" s="1640">
        <f>G96</f>
        <v>901516.80000000016</v>
      </c>
      <c r="G17" s="1649">
        <f t="shared" si="0"/>
        <v>901516.80000000016</v>
      </c>
    </row>
    <row r="18" spans="2:7">
      <c r="B18" s="1706" t="str">
        <f>B98</f>
        <v>V</v>
      </c>
      <c r="C18" s="1647" t="str">
        <f>C98</f>
        <v>Pekerjaan Beton</v>
      </c>
      <c r="D18" s="1639" t="s">
        <v>9277</v>
      </c>
      <c r="E18" s="1665">
        <v>1</v>
      </c>
      <c r="F18" s="1640">
        <f>G134</f>
        <v>2898800</v>
      </c>
      <c r="G18" s="1649">
        <f t="shared" si="0"/>
        <v>2898800</v>
      </c>
    </row>
    <row r="19" spans="2:7">
      <c r="B19" s="1706" t="str">
        <f>B136</f>
        <v>VI</v>
      </c>
      <c r="C19" s="1647" t="str">
        <f>C136</f>
        <v>Pekerjaan Dinding</v>
      </c>
      <c r="D19" s="1639" t="s">
        <v>9277</v>
      </c>
      <c r="E19" s="1665">
        <v>1</v>
      </c>
      <c r="F19" s="1640">
        <f>G143</f>
        <v>3027782</v>
      </c>
      <c r="G19" s="1649">
        <f t="shared" si="0"/>
        <v>3027782</v>
      </c>
    </row>
    <row r="20" spans="2:7">
      <c r="B20" s="1706" t="str">
        <f>B145</f>
        <v>VII</v>
      </c>
      <c r="C20" s="1647" t="str">
        <f>C145</f>
        <v>Pekerjaan Penutup Lantai dan Dinding</v>
      </c>
      <c r="D20" s="1639" t="s">
        <v>9277</v>
      </c>
      <c r="E20" s="1665">
        <v>1</v>
      </c>
      <c r="F20" s="1640">
        <f>G150</f>
        <v>2189457.5</v>
      </c>
      <c r="G20" s="1649">
        <f t="shared" si="0"/>
        <v>2189457.5</v>
      </c>
    </row>
    <row r="21" spans="2:7">
      <c r="B21" s="1706" t="str">
        <f>B152</f>
        <v>VIII</v>
      </c>
      <c r="C21" s="1647" t="str">
        <f>C152</f>
        <v>Pekerjaan Atap</v>
      </c>
      <c r="D21" s="1639" t="s">
        <v>9277</v>
      </c>
      <c r="E21" s="1665">
        <v>1</v>
      </c>
      <c r="F21" s="1640">
        <f>G157</f>
        <v>3585888</v>
      </c>
      <c r="G21" s="1649">
        <f t="shared" si="0"/>
        <v>3585888</v>
      </c>
    </row>
    <row r="22" spans="2:7">
      <c r="B22" s="1706" t="str">
        <f>B159</f>
        <v>IX</v>
      </c>
      <c r="C22" s="1647" t="str">
        <f>C159</f>
        <v>Pekerjaan Langit-Langit</v>
      </c>
      <c r="D22" s="1639" t="s">
        <v>9277</v>
      </c>
      <c r="E22" s="1665">
        <v>1</v>
      </c>
      <c r="F22" s="1640">
        <f>G164</f>
        <v>1326204</v>
      </c>
      <c r="G22" s="1649">
        <f t="shared" si="0"/>
        <v>1326204</v>
      </c>
    </row>
    <row r="23" spans="2:7">
      <c r="B23" s="1706" t="str">
        <f>B166</f>
        <v>X</v>
      </c>
      <c r="C23" s="1647" t="str">
        <f>C166</f>
        <v>Pekerjaan Pengecatan</v>
      </c>
      <c r="D23" s="1639" t="s">
        <v>9277</v>
      </c>
      <c r="E23" s="1665">
        <v>1</v>
      </c>
      <c r="F23" s="1640">
        <f>G170</f>
        <v>936423</v>
      </c>
      <c r="G23" s="1649">
        <f t="shared" si="0"/>
        <v>936423</v>
      </c>
    </row>
    <row r="24" spans="2:7">
      <c r="B24" s="1706" t="str">
        <f>B172</f>
        <v>XI</v>
      </c>
      <c r="C24" s="1647" t="str">
        <f>C172</f>
        <v>Pekerjaan Sanitasi</v>
      </c>
      <c r="D24" s="1639" t="s">
        <v>9277</v>
      </c>
      <c r="E24" s="1665">
        <v>1</v>
      </c>
      <c r="F24" s="1640">
        <f>G185</f>
        <v>1980700</v>
      </c>
      <c r="G24" s="1649">
        <f t="shared" si="0"/>
        <v>1980700</v>
      </c>
    </row>
    <row r="25" spans="2:7">
      <c r="B25" s="1706" t="str">
        <f>B187</f>
        <v>XII</v>
      </c>
      <c r="C25" s="1647" t="str">
        <f>C187</f>
        <v>Pekerjaan Tangki Septik</v>
      </c>
      <c r="D25" s="1639" t="s">
        <v>9277</v>
      </c>
      <c r="E25" s="1665">
        <v>1</v>
      </c>
      <c r="F25" s="1640">
        <f>G205</f>
        <v>3896531.64</v>
      </c>
      <c r="G25" s="1649">
        <f t="shared" si="0"/>
        <v>3896531.64</v>
      </c>
    </row>
    <row r="26" spans="2:7">
      <c r="B26" s="1706" t="str">
        <f>B207</f>
        <v>XIII</v>
      </c>
      <c r="C26" s="1647" t="str">
        <f>C207</f>
        <v>Pekerjaan Listrik</v>
      </c>
      <c r="D26" s="1639" t="s">
        <v>9277</v>
      </c>
      <c r="E26" s="1665">
        <v>1</v>
      </c>
      <c r="F26" s="1640">
        <f>G215</f>
        <v>606100</v>
      </c>
      <c r="G26" s="1649">
        <f t="shared" si="0"/>
        <v>606100</v>
      </c>
    </row>
    <row r="27" spans="2:7">
      <c r="B27" s="1707" t="str">
        <f>B217</f>
        <v>XIV</v>
      </c>
      <c r="C27" s="1668" t="str">
        <f>C217</f>
        <v>Pekerjaan Lain-Lain</v>
      </c>
      <c r="D27" s="1669" t="s">
        <v>9277</v>
      </c>
      <c r="E27" s="1670">
        <v>1</v>
      </c>
      <c r="F27" s="1671">
        <f>G222</f>
        <v>2030840</v>
      </c>
      <c r="G27" s="1650">
        <f t="shared" si="0"/>
        <v>2030840</v>
      </c>
    </row>
    <row r="28" spans="2:7">
      <c r="B28" s="1708"/>
      <c r="C28" s="1575"/>
      <c r="D28" s="1667"/>
      <c r="E28" s="1672"/>
      <c r="F28" s="1673"/>
      <c r="G28" s="1676"/>
    </row>
    <row r="29" spans="2:7">
      <c r="B29" s="1709"/>
      <c r="C29" s="1651" t="s">
        <v>9249</v>
      </c>
      <c r="D29" s="1652"/>
      <c r="E29" s="1653"/>
      <c r="F29" s="1654"/>
      <c r="G29" s="1648">
        <f>SUM(G14:G27)</f>
        <v>24637878.140000001</v>
      </c>
    </row>
    <row r="30" spans="2:7">
      <c r="B30" s="1710"/>
      <c r="C30" s="1600" t="s">
        <v>9279</v>
      </c>
      <c r="D30" s="1655"/>
      <c r="E30" s="1655">
        <v>0.11</v>
      </c>
      <c r="F30" s="1657"/>
      <c r="G30" s="1649">
        <f>G29*E30</f>
        <v>2710166.5954</v>
      </c>
    </row>
    <row r="31" spans="2:7">
      <c r="B31" s="1710"/>
      <c r="C31" s="1600" t="s">
        <v>9035</v>
      </c>
      <c r="D31" s="1658"/>
      <c r="E31" s="1656"/>
      <c r="F31" s="1657"/>
      <c r="G31" s="1649">
        <f>G30+G29</f>
        <v>27348044.735399999</v>
      </c>
    </row>
    <row r="32" spans="2:7">
      <c r="B32" s="1711"/>
      <c r="C32" s="1659" t="s">
        <v>9280</v>
      </c>
      <c r="D32" s="1660"/>
      <c r="E32" s="1661"/>
      <c r="F32" s="1662"/>
      <c r="G32" s="1650">
        <f>ROUNDDOWN(G31,-3)</f>
        <v>27348000</v>
      </c>
    </row>
    <row r="33" spans="2:7">
      <c r="B33" s="1712"/>
      <c r="C33" s="1663" t="s">
        <v>9281</v>
      </c>
      <c r="D33" s="1868" t="str">
        <f>PROPER([46]!terbilang(G32))&amp;" Rupiah"</f>
        <v>Dua Puluh Tujuh Juta Tiga Ratus Empat Puluh Delapan Ribu Rupiah</v>
      </c>
      <c r="E33" s="1868"/>
      <c r="F33" s="1868"/>
      <c r="G33" s="1869"/>
    </row>
    <row r="34" spans="2:7" ht="15" thickBot="1">
      <c r="B34" s="1713"/>
      <c r="C34" s="1633" t="s">
        <v>9282</v>
      </c>
      <c r="D34" s="1634" t="s">
        <v>9283</v>
      </c>
      <c r="E34" s="1635"/>
      <c r="F34" s="1636"/>
      <c r="G34" s="1637"/>
    </row>
    <row r="36" spans="2:7" hidden="1"/>
    <row r="37" spans="2:7" hidden="1"/>
    <row r="38" spans="2:7" hidden="1"/>
    <row r="39" spans="2:7" hidden="1"/>
    <row r="40" spans="2:7" hidden="1"/>
    <row r="41" spans="2:7" hidden="1"/>
    <row r="42" spans="2:7" hidden="1"/>
    <row r="43" spans="2:7" hidden="1"/>
    <row r="44" spans="2:7" hidden="1"/>
    <row r="45" spans="2:7" hidden="1"/>
    <row r="46" spans="2:7" hidden="1"/>
    <row r="47" spans="2:7" hidden="1"/>
    <row r="48" spans="2:7" hidden="1"/>
    <row r="49" spans="2:19" hidden="1"/>
    <row r="50" spans="2:19" hidden="1"/>
    <row r="51" spans="2:19" hidden="1"/>
    <row r="52" spans="2:19" hidden="1"/>
    <row r="53" spans="2:19" hidden="1"/>
    <row r="54" spans="2:19" hidden="1"/>
    <row r="55" spans="2:19" hidden="1"/>
    <row r="56" spans="2:19" ht="18">
      <c r="B56" s="1702" t="s">
        <v>9218</v>
      </c>
      <c r="C56" s="1544"/>
    </row>
    <row r="57" spans="2:19">
      <c r="B57" s="1703" t="str">
        <f>B3</f>
        <v>UNIT KERJA                              : DINAS PERUMAHAN DAN KAWASAN PERMUKIMAN</v>
      </c>
      <c r="D57" s="1548"/>
    </row>
    <row r="58" spans="2:19">
      <c r="B58" s="1703" t="str">
        <f t="shared" ref="B58:B63" si="1">B4</f>
        <v>PROGRAM                                : PROGRAM PENGELOLAAN DAN PENGEMBANGAN SISTEM AIR LIMBAH</v>
      </c>
      <c r="D58" s="1548"/>
    </row>
    <row r="59" spans="2:19">
      <c r="B59" s="1703" t="str">
        <f t="shared" si="1"/>
        <v>KEGIATAN                                : PENGELOLAAN DAN PENGEMBANGAN SISTEM AIR LIMBAH DOMESTIK DALAM DAERAH KABUPATEN/KOTA</v>
      </c>
      <c r="D59" s="1548"/>
    </row>
    <row r="60" spans="2:19">
      <c r="B60" s="1703" t="str">
        <f t="shared" si="1"/>
        <v>PEKERJAAN                              :</v>
      </c>
      <c r="D60" s="1548"/>
    </row>
    <row r="61" spans="2:19">
      <c r="B61" s="1703" t="str">
        <f t="shared" si="1"/>
        <v>LOKASI PEKERJAAN                :</v>
      </c>
      <c r="D61" s="1548"/>
    </row>
    <row r="62" spans="2:19">
      <c r="B62" s="1703" t="str">
        <f t="shared" si="1"/>
        <v>SUMBER DANA                       :</v>
      </c>
      <c r="D62" s="1548"/>
    </row>
    <row r="63" spans="2:19">
      <c r="B63" s="1703" t="str">
        <f t="shared" si="1"/>
        <v>TAHUN ANGGARAN               :</v>
      </c>
      <c r="D63" s="1548"/>
      <c r="O63" s="1721" t="s">
        <v>9292</v>
      </c>
    </row>
    <row r="64" spans="2:19" ht="15" thickBot="1">
      <c r="O64" s="1721" t="s">
        <v>9294</v>
      </c>
      <c r="P64" s="1721" t="s">
        <v>9293</v>
      </c>
      <c r="Q64" s="1721" t="s">
        <v>9296</v>
      </c>
      <c r="R64" s="1721" t="s">
        <v>9297</v>
      </c>
      <c r="S64" s="1721" t="s">
        <v>9310</v>
      </c>
    </row>
    <row r="65" spans="1:23" s="1553" customFormat="1" ht="57.6">
      <c r="A65" s="1553" t="s">
        <v>1195</v>
      </c>
      <c r="B65" s="1611" t="s">
        <v>1195</v>
      </c>
      <c r="C65" s="1612" t="s">
        <v>9219</v>
      </c>
      <c r="D65" s="1612" t="s">
        <v>5286</v>
      </c>
      <c r="E65" s="1616" t="s">
        <v>9220</v>
      </c>
      <c r="F65" s="1613" t="s">
        <v>9248</v>
      </c>
      <c r="G65" s="1631" t="s">
        <v>9276</v>
      </c>
      <c r="H65" s="1666" t="s">
        <v>9221</v>
      </c>
      <c r="I65" s="1612" t="s">
        <v>9222</v>
      </c>
      <c r="J65" s="1612" t="s">
        <v>9223</v>
      </c>
      <c r="K65" s="1612" t="s">
        <v>9224</v>
      </c>
      <c r="L65" s="1612" t="s">
        <v>9225</v>
      </c>
      <c r="M65" s="1614" t="s">
        <v>9226</v>
      </c>
      <c r="O65" s="1617"/>
      <c r="P65" s="1617"/>
      <c r="Q65" s="1617" t="s">
        <v>9295</v>
      </c>
      <c r="R65" s="1617"/>
      <c r="S65" s="1617"/>
      <c r="T65" s="1617"/>
      <c r="U65" s="1617"/>
      <c r="V65" s="1617"/>
      <c r="W65" s="1617"/>
    </row>
    <row r="66" spans="1:23" s="1553" customFormat="1">
      <c r="B66" s="1572"/>
      <c r="E66" s="1617"/>
      <c r="F66" s="1573"/>
      <c r="G66" s="1681"/>
      <c r="M66" s="1574"/>
      <c r="O66" s="1617"/>
      <c r="P66" s="1617"/>
      <c r="Q66" s="1617"/>
      <c r="R66" s="1617"/>
      <c r="S66" s="1617"/>
      <c r="T66" s="1617"/>
      <c r="U66" s="1617"/>
      <c r="V66" s="1617"/>
      <c r="W66" s="1617"/>
    </row>
    <row r="67" spans="1:23" s="1553" customFormat="1">
      <c r="B67" s="1580"/>
      <c r="C67" s="1581"/>
      <c r="D67" s="1581"/>
      <c r="E67" s="1618"/>
      <c r="F67" s="1582"/>
      <c r="G67" s="1682">
        <f>G72+G83+G91+G96+G134+G143+G150+G157+G164+G170+G185+G205+G215+G222</f>
        <v>24637878.140000001</v>
      </c>
      <c r="H67" s="1677">
        <f>SUM(H69:H223)</f>
        <v>1</v>
      </c>
      <c r="I67" s="1581"/>
      <c r="J67" s="1581"/>
      <c r="K67" s="1581"/>
      <c r="L67" s="1581"/>
      <c r="M67" s="1583"/>
      <c r="O67" s="1617"/>
      <c r="P67" s="1617"/>
      <c r="Q67" s="1617"/>
      <c r="R67" s="1617"/>
      <c r="S67" s="1617"/>
      <c r="T67" s="1617"/>
      <c r="U67" s="1617"/>
      <c r="V67" s="1617"/>
      <c r="W67" s="1617"/>
    </row>
    <row r="68" spans="1:23" s="1553" customFormat="1">
      <c r="B68" s="1584" t="s">
        <v>1766</v>
      </c>
      <c r="C68" s="1585" t="s">
        <v>9250</v>
      </c>
      <c r="D68" s="1586"/>
      <c r="E68" s="1619"/>
      <c r="F68" s="1587"/>
      <c r="G68" s="1683"/>
      <c r="H68" s="1588"/>
      <c r="I68" s="1586"/>
      <c r="J68" s="1586"/>
      <c r="K68" s="1586"/>
      <c r="L68" s="1586"/>
      <c r="M68" s="1589"/>
      <c r="O68" s="1617"/>
      <c r="P68" s="1617"/>
      <c r="Q68" s="1617"/>
      <c r="R68" s="1617"/>
      <c r="S68" s="1617"/>
      <c r="T68" s="1617"/>
      <c r="U68" s="1617"/>
      <c r="V68" s="1617"/>
      <c r="W68" s="1617"/>
    </row>
    <row r="69" spans="1:23">
      <c r="A69" s="1545">
        <v>1</v>
      </c>
      <c r="B69" s="1706">
        <v>1</v>
      </c>
      <c r="C69" s="1554" t="s">
        <v>9214</v>
      </c>
      <c r="D69" s="1555" t="s">
        <v>9022</v>
      </c>
      <c r="E69" s="1620">
        <v>0.2</v>
      </c>
      <c r="F69" s="1763">
        <v>1000000</v>
      </c>
      <c r="G69" s="1684">
        <f>F69*E69</f>
        <v>200000</v>
      </c>
      <c r="H69" s="1678">
        <f>F69*E69/$G$67</f>
        <v>8.1175821579901677E-3</v>
      </c>
      <c r="I69" s="1557" t="s">
        <v>1847</v>
      </c>
      <c r="J69" s="1557" t="s">
        <v>1772</v>
      </c>
      <c r="K69" s="1557">
        <v>41019</v>
      </c>
      <c r="L69" s="1557" t="s">
        <v>9227</v>
      </c>
      <c r="M69" s="1565"/>
      <c r="O69" s="1721">
        <v>1</v>
      </c>
      <c r="P69" s="1721">
        <v>1</v>
      </c>
      <c r="Q69" s="1721">
        <v>1</v>
      </c>
      <c r="R69" s="1721">
        <v>1</v>
      </c>
      <c r="S69" s="1721">
        <v>1</v>
      </c>
    </row>
    <row r="70" spans="1:23">
      <c r="A70" s="1545">
        <v>2</v>
      </c>
      <c r="B70" s="1706">
        <v>2</v>
      </c>
      <c r="C70" s="1554" t="s">
        <v>1936</v>
      </c>
      <c r="D70" s="1555" t="s">
        <v>113</v>
      </c>
      <c r="E70" s="1620">
        <f>(1.5*2)+(1.9*2)</f>
        <v>6.8</v>
      </c>
      <c r="F70" s="1720">
        <v>40478</v>
      </c>
      <c r="G70" s="1684">
        <f t="shared" ref="G70:G132" si="2">F70*E70</f>
        <v>275250.39999999997</v>
      </c>
      <c r="H70" s="1678">
        <f>F70*E70/$G$67</f>
        <v>1.1171838680098283E-2</v>
      </c>
      <c r="I70" s="1555" t="s">
        <v>1935</v>
      </c>
      <c r="J70" s="1555" t="s">
        <v>9068</v>
      </c>
      <c r="K70" s="1555">
        <v>41019</v>
      </c>
      <c r="L70" s="1555" t="s">
        <v>9227</v>
      </c>
      <c r="M70" s="1565"/>
      <c r="O70" s="1721">
        <f>(5.55*3)+(2.75*5)</f>
        <v>30.4</v>
      </c>
      <c r="P70" s="1721">
        <f>(2.85*3)+(2.2*3)</f>
        <v>15.150000000000002</v>
      </c>
      <c r="Q70" s="1721">
        <f>(2.85*3)+(2.75*3)</f>
        <v>16.8</v>
      </c>
      <c r="R70" s="1721">
        <f>(2.85*3)+(2.75*3)</f>
        <v>16.8</v>
      </c>
    </row>
    <row r="71" spans="1:23">
      <c r="B71" s="1708"/>
      <c r="C71" s="1575"/>
      <c r="D71" s="1576"/>
      <c r="E71" s="1621"/>
      <c r="F71" s="1577"/>
      <c r="G71" s="1685"/>
      <c r="H71" s="1578"/>
      <c r="I71" s="1576"/>
      <c r="J71" s="1576"/>
      <c r="K71" s="1576"/>
      <c r="L71" s="1576"/>
      <c r="M71" s="1579"/>
    </row>
    <row r="72" spans="1:23">
      <c r="B72" s="1714"/>
      <c r="C72" s="1870" t="s">
        <v>9274</v>
      </c>
      <c r="D72" s="1870"/>
      <c r="E72" s="1870"/>
      <c r="F72" s="1870"/>
      <c r="G72" s="1686">
        <f>SUM(G69:G70)</f>
        <v>475250.39999999997</v>
      </c>
      <c r="H72" s="1567"/>
      <c r="I72" s="1547"/>
      <c r="J72" s="1547"/>
      <c r="K72" s="1547"/>
      <c r="M72" s="1568"/>
    </row>
    <row r="73" spans="1:23">
      <c r="B73" s="1715"/>
      <c r="C73" s="1590"/>
      <c r="D73" s="1591"/>
      <c r="E73" s="1622"/>
      <c r="F73" s="1592"/>
      <c r="G73" s="1687"/>
      <c r="H73" s="1679"/>
      <c r="I73" s="1591"/>
      <c r="J73" s="1591"/>
      <c r="K73" s="1591"/>
      <c r="L73" s="1591"/>
      <c r="M73" s="1593"/>
    </row>
    <row r="74" spans="1:23">
      <c r="B74" s="1716" t="s">
        <v>5291</v>
      </c>
      <c r="C74" s="1594" t="s">
        <v>9096</v>
      </c>
      <c r="D74" s="1595"/>
      <c r="E74" s="1623"/>
      <c r="F74" s="1596"/>
      <c r="G74" s="1688"/>
      <c r="H74" s="1597"/>
      <c r="I74" s="1595"/>
      <c r="J74" s="1595"/>
      <c r="K74" s="1595"/>
      <c r="L74" s="1595"/>
      <c r="M74" s="1598"/>
    </row>
    <row r="75" spans="1:23">
      <c r="A75" s="1545">
        <v>69</v>
      </c>
      <c r="B75" s="1706">
        <v>1</v>
      </c>
      <c r="C75" s="1554" t="s">
        <v>9233</v>
      </c>
      <c r="D75" s="1555" t="s">
        <v>9133</v>
      </c>
      <c r="E75" s="1620">
        <v>3</v>
      </c>
      <c r="F75" s="1556">
        <v>10000</v>
      </c>
      <c r="G75" s="1684">
        <f t="shared" ref="G75:G81" si="3">F75*E75</f>
        <v>30000</v>
      </c>
      <c r="H75" s="1678">
        <f t="shared" ref="H75:H81" si="4">F75*E75/$G$67</f>
        <v>1.2176373236985252E-3</v>
      </c>
      <c r="I75" s="1555" t="s">
        <v>9234</v>
      </c>
      <c r="J75" s="1555" t="s">
        <v>9096</v>
      </c>
      <c r="K75" s="1555">
        <v>41019</v>
      </c>
      <c r="L75" s="1555" t="s">
        <v>9227</v>
      </c>
      <c r="M75" s="1565"/>
      <c r="O75" s="1721">
        <v>5</v>
      </c>
      <c r="P75" s="1721">
        <v>5</v>
      </c>
      <c r="Q75" s="1721">
        <v>5</v>
      </c>
      <c r="R75" s="1721">
        <v>5</v>
      </c>
      <c r="S75" s="1721">
        <v>5</v>
      </c>
    </row>
    <row r="76" spans="1:23" ht="28.8">
      <c r="A76" s="1545">
        <v>70</v>
      </c>
      <c r="B76" s="1706">
        <v>2</v>
      </c>
      <c r="C76" s="1554" t="s">
        <v>9235</v>
      </c>
      <c r="D76" s="1555" t="s">
        <v>9133</v>
      </c>
      <c r="E76" s="1620">
        <v>3</v>
      </c>
      <c r="F76" s="1556">
        <v>10000</v>
      </c>
      <c r="G76" s="1684">
        <f t="shared" si="3"/>
        <v>30000</v>
      </c>
      <c r="H76" s="1678">
        <f t="shared" si="4"/>
        <v>1.2176373236985252E-3</v>
      </c>
      <c r="I76" s="1555" t="s">
        <v>9236</v>
      </c>
      <c r="J76" s="1555" t="s">
        <v>9096</v>
      </c>
      <c r="K76" s="1555">
        <v>41019</v>
      </c>
      <c r="L76" s="1555" t="s">
        <v>9227</v>
      </c>
      <c r="M76" s="1565"/>
      <c r="O76" s="1721">
        <v>5</v>
      </c>
      <c r="P76" s="1721">
        <v>5</v>
      </c>
      <c r="Q76" s="1721">
        <v>5</v>
      </c>
      <c r="R76" s="1721">
        <v>5</v>
      </c>
      <c r="S76" s="1721">
        <v>5</v>
      </c>
    </row>
    <row r="77" spans="1:23">
      <c r="A77" s="1545">
        <v>71</v>
      </c>
      <c r="B77" s="1706">
        <v>3</v>
      </c>
      <c r="C77" s="1554" t="s">
        <v>9237</v>
      </c>
      <c r="D77" s="1555" t="s">
        <v>4259</v>
      </c>
      <c r="E77" s="1620">
        <v>3</v>
      </c>
      <c r="F77" s="1556">
        <v>25000</v>
      </c>
      <c r="G77" s="1684">
        <f t="shared" si="3"/>
        <v>75000</v>
      </c>
      <c r="H77" s="1678">
        <f t="shared" si="4"/>
        <v>3.0440933092463133E-3</v>
      </c>
      <c r="I77" s="1555" t="s">
        <v>9238</v>
      </c>
      <c r="J77" s="1555" t="s">
        <v>9096</v>
      </c>
      <c r="K77" s="1555">
        <v>41019</v>
      </c>
      <c r="L77" s="1555" t="s">
        <v>9227</v>
      </c>
      <c r="M77" s="1565"/>
      <c r="O77" s="1721">
        <v>5</v>
      </c>
      <c r="P77" s="1721">
        <v>5</v>
      </c>
      <c r="Q77" s="1721">
        <v>5</v>
      </c>
      <c r="R77" s="1721">
        <v>5</v>
      </c>
      <c r="S77" s="1721">
        <v>5</v>
      </c>
    </row>
    <row r="78" spans="1:23">
      <c r="A78" s="1545">
        <v>72</v>
      </c>
      <c r="B78" s="1706">
        <v>4</v>
      </c>
      <c r="C78" s="1554" t="s">
        <v>9239</v>
      </c>
      <c r="D78" s="1555" t="s">
        <v>775</v>
      </c>
      <c r="E78" s="1620">
        <v>3</v>
      </c>
      <c r="F78" s="1556">
        <v>10000</v>
      </c>
      <c r="G78" s="1684">
        <f t="shared" si="3"/>
        <v>30000</v>
      </c>
      <c r="H78" s="1678">
        <f t="shared" si="4"/>
        <v>1.2176373236985252E-3</v>
      </c>
      <c r="I78" s="1555" t="s">
        <v>9240</v>
      </c>
      <c r="J78" s="1555" t="s">
        <v>9096</v>
      </c>
      <c r="K78" s="1555">
        <v>41019</v>
      </c>
      <c r="L78" s="1555" t="s">
        <v>9227</v>
      </c>
      <c r="M78" s="1565"/>
      <c r="O78" s="1721">
        <v>5</v>
      </c>
      <c r="P78" s="1721">
        <v>5</v>
      </c>
      <c r="Q78" s="1721">
        <v>5</v>
      </c>
      <c r="R78" s="1721">
        <v>5</v>
      </c>
      <c r="S78" s="1721">
        <v>5</v>
      </c>
    </row>
    <row r="79" spans="1:23">
      <c r="A79" s="1545">
        <v>73</v>
      </c>
      <c r="B79" s="1706">
        <v>5</v>
      </c>
      <c r="C79" s="1554" t="s">
        <v>9241</v>
      </c>
      <c r="D79" s="1555" t="s">
        <v>9242</v>
      </c>
      <c r="E79" s="1620">
        <v>3</v>
      </c>
      <c r="F79" s="1556">
        <v>87500</v>
      </c>
      <c r="G79" s="1684">
        <f t="shared" si="3"/>
        <v>262500</v>
      </c>
      <c r="H79" s="1678">
        <f t="shared" si="4"/>
        <v>1.0654326582362096E-2</v>
      </c>
      <c r="I79" s="1555" t="s">
        <v>9243</v>
      </c>
      <c r="J79" s="1555" t="s">
        <v>9096</v>
      </c>
      <c r="K79" s="1555">
        <v>41019</v>
      </c>
      <c r="L79" s="1555" t="s">
        <v>9227</v>
      </c>
      <c r="M79" s="1565"/>
      <c r="O79" s="1721">
        <v>5</v>
      </c>
      <c r="P79" s="1721">
        <v>5</v>
      </c>
      <c r="Q79" s="1721">
        <v>5</v>
      </c>
      <c r="R79" s="1721">
        <v>5</v>
      </c>
      <c r="S79" s="1721">
        <v>5</v>
      </c>
    </row>
    <row r="80" spans="1:23">
      <c r="A80" s="1545">
        <v>74</v>
      </c>
      <c r="B80" s="1706">
        <v>6</v>
      </c>
      <c r="C80" s="1554" t="s">
        <v>9244</v>
      </c>
      <c r="D80" s="1555" t="s">
        <v>9242</v>
      </c>
      <c r="E80" s="1620">
        <v>3</v>
      </c>
      <c r="F80" s="1556">
        <v>10000</v>
      </c>
      <c r="G80" s="1684">
        <f t="shared" si="3"/>
        <v>30000</v>
      </c>
      <c r="H80" s="1678">
        <f t="shared" si="4"/>
        <v>1.2176373236985252E-3</v>
      </c>
      <c r="I80" s="1555" t="s">
        <v>9245</v>
      </c>
      <c r="J80" s="1555" t="s">
        <v>9096</v>
      </c>
      <c r="K80" s="1555">
        <v>41019</v>
      </c>
      <c r="L80" s="1555" t="s">
        <v>9227</v>
      </c>
      <c r="M80" s="1565"/>
      <c r="O80" s="1721">
        <v>5</v>
      </c>
      <c r="P80" s="1721">
        <v>5</v>
      </c>
      <c r="Q80" s="1721">
        <v>5</v>
      </c>
      <c r="R80" s="1721">
        <v>5</v>
      </c>
      <c r="S80" s="1721">
        <v>5</v>
      </c>
    </row>
    <row r="81" spans="1:19" ht="28.8">
      <c r="A81" s="1545">
        <v>75</v>
      </c>
      <c r="B81" s="1706">
        <v>7</v>
      </c>
      <c r="C81" s="1554" t="s">
        <v>9246</v>
      </c>
      <c r="D81" s="1555" t="s">
        <v>630</v>
      </c>
      <c r="E81" s="1620">
        <v>1</v>
      </c>
      <c r="F81" s="1556">
        <v>190000</v>
      </c>
      <c r="G81" s="1684">
        <f t="shared" si="3"/>
        <v>190000</v>
      </c>
      <c r="H81" s="1678">
        <f t="shared" si="4"/>
        <v>7.7117030500906602E-3</v>
      </c>
      <c r="I81" s="1555" t="s">
        <v>9247</v>
      </c>
      <c r="J81" s="1555" t="s">
        <v>9096</v>
      </c>
      <c r="K81" s="1555">
        <v>41019</v>
      </c>
      <c r="L81" s="1555" t="s">
        <v>9227</v>
      </c>
      <c r="M81" s="1565"/>
      <c r="O81" s="1721">
        <v>1</v>
      </c>
      <c r="P81" s="1721">
        <v>1</v>
      </c>
      <c r="Q81" s="1721">
        <v>1</v>
      </c>
      <c r="R81" s="1721">
        <v>1</v>
      </c>
      <c r="S81" s="1721">
        <v>1</v>
      </c>
    </row>
    <row r="82" spans="1:19">
      <c r="B82" s="1708"/>
      <c r="C82" s="1575"/>
      <c r="D82" s="1576"/>
      <c r="E82" s="1621"/>
      <c r="F82" s="1577"/>
      <c r="G82" s="1685"/>
      <c r="H82" s="1578"/>
      <c r="I82" s="1576"/>
      <c r="J82" s="1576"/>
      <c r="K82" s="1576"/>
      <c r="L82" s="1576"/>
      <c r="M82" s="1579"/>
    </row>
    <row r="83" spans="1:19">
      <c r="B83" s="1714"/>
      <c r="C83" s="1870" t="s">
        <v>9274</v>
      </c>
      <c r="D83" s="1870"/>
      <c r="E83" s="1870"/>
      <c r="F83" s="1870"/>
      <c r="G83" s="1764">
        <f>SUM(G75:G81)</f>
        <v>647500</v>
      </c>
      <c r="H83" s="1567"/>
      <c r="I83" s="1547"/>
      <c r="J83" s="1547"/>
      <c r="K83" s="1547"/>
      <c r="M83" s="1568"/>
    </row>
    <row r="84" spans="1:19">
      <c r="B84" s="1715"/>
      <c r="C84" s="1581"/>
      <c r="D84" s="1581"/>
      <c r="E84" s="1618"/>
      <c r="F84" s="1581"/>
      <c r="G84" s="1689"/>
      <c r="H84" s="1679"/>
      <c r="I84" s="1591"/>
      <c r="J84" s="1591"/>
      <c r="K84" s="1591"/>
      <c r="L84" s="1591"/>
      <c r="M84" s="1593"/>
    </row>
    <row r="85" spans="1:19">
      <c r="B85" s="1716" t="s">
        <v>1071</v>
      </c>
      <c r="C85" s="1594" t="s">
        <v>9251</v>
      </c>
      <c r="D85" s="1595"/>
      <c r="E85" s="1623"/>
      <c r="F85" s="1596"/>
      <c r="G85" s="1690"/>
      <c r="H85" s="1597"/>
      <c r="I85" s="1595"/>
      <c r="J85" s="1595"/>
      <c r="K85" s="1595"/>
      <c r="L85" s="1595"/>
      <c r="M85" s="1598"/>
    </row>
    <row r="86" spans="1:19" ht="42.6" customHeight="1">
      <c r="A86" s="1545">
        <v>3</v>
      </c>
      <c r="B86" s="1706">
        <v>1</v>
      </c>
      <c r="C86" s="1554" t="s">
        <v>1956</v>
      </c>
      <c r="D86" s="1555" t="s">
        <v>120</v>
      </c>
      <c r="E86" s="1620">
        <f>0.4*0.4*(1.5+1.5+1.9+1.9)</f>
        <v>1.0880000000000003</v>
      </c>
      <c r="F86" s="1720">
        <f>VLOOKUP(C86,'AHSP MCK'!D:K,8,FALSE)</f>
        <v>89100</v>
      </c>
      <c r="G86" s="1684">
        <f t="shared" si="2"/>
        <v>96940.800000000032</v>
      </c>
      <c r="H86" s="1678">
        <f>F86*E86/$G$67</f>
        <v>3.9346245423064682E-3</v>
      </c>
      <c r="I86" s="1561" t="s">
        <v>1810</v>
      </c>
      <c r="J86" s="1555" t="s">
        <v>9068</v>
      </c>
      <c r="K86" s="1555">
        <v>41019</v>
      </c>
      <c r="L86" s="1555" t="s">
        <v>9227</v>
      </c>
      <c r="M86" s="1565"/>
      <c r="O86" s="1721">
        <f>0.5*0.5*(5.55+4.35+(1.9*5))</f>
        <v>4.8499999999999996</v>
      </c>
      <c r="P86" s="1721">
        <f>0.5*0.5*((2.23*3)+(2.85*2))</f>
        <v>3.0975000000000001</v>
      </c>
      <c r="Q86" s="1721">
        <f>0.5*0.5*((2.75*3)+(2.85*2))</f>
        <v>3.4874999999999998</v>
      </c>
    </row>
    <row r="87" spans="1:19" ht="28.8">
      <c r="A87" s="1545">
        <v>4</v>
      </c>
      <c r="B87" s="1706">
        <v>2</v>
      </c>
      <c r="C87" s="1554" t="s">
        <v>6455</v>
      </c>
      <c r="D87" s="1555" t="s">
        <v>120</v>
      </c>
      <c r="E87" s="1620">
        <f>E86/4</f>
        <v>0.27200000000000008</v>
      </c>
      <c r="F87" s="1720">
        <f>VLOOKUP(C87,'AHSP MCK'!D:K,8,FALSE)</f>
        <v>59400</v>
      </c>
      <c r="G87" s="1684">
        <f t="shared" si="2"/>
        <v>16156.800000000005</v>
      </c>
      <c r="H87" s="1678">
        <f>F87*E87/$G$67</f>
        <v>6.5577075705107793E-4</v>
      </c>
      <c r="I87" s="1561" t="s">
        <v>2072</v>
      </c>
      <c r="J87" s="1555" t="s">
        <v>9068</v>
      </c>
      <c r="K87" s="1555">
        <v>41019</v>
      </c>
      <c r="L87" s="1555" t="s">
        <v>9227</v>
      </c>
      <c r="M87" s="1565"/>
      <c r="O87" s="1721">
        <f>O86/4</f>
        <v>1.2124999999999999</v>
      </c>
      <c r="P87" s="1721">
        <f>P86/4</f>
        <v>0.77437500000000004</v>
      </c>
      <c r="Q87" s="1721">
        <f>Q86/4</f>
        <v>0.87187499999999996</v>
      </c>
    </row>
    <row r="88" spans="1:19" ht="28.8">
      <c r="A88" s="1545">
        <v>5</v>
      </c>
      <c r="B88" s="1706">
        <v>3</v>
      </c>
      <c r="C88" s="1554" t="s">
        <v>1260</v>
      </c>
      <c r="D88" s="1555" t="s">
        <v>120</v>
      </c>
      <c r="E88" s="1620"/>
      <c r="F88" s="1720">
        <f>VLOOKUP(C88,'AHSP MCK'!D:K,8,FALSE)</f>
        <v>326700</v>
      </c>
      <c r="G88" s="1684">
        <f t="shared" si="2"/>
        <v>0</v>
      </c>
      <c r="H88" s="1678">
        <f>F88*E88/$G$67</f>
        <v>0</v>
      </c>
      <c r="I88" s="1561" t="s">
        <v>2073</v>
      </c>
      <c r="J88" s="1555" t="s">
        <v>9068</v>
      </c>
      <c r="K88" s="1555">
        <v>41019</v>
      </c>
      <c r="L88" s="1555" t="s">
        <v>9227</v>
      </c>
      <c r="M88" s="1565"/>
    </row>
    <row r="89" spans="1:19" ht="28.8">
      <c r="A89" s="1545">
        <v>6</v>
      </c>
      <c r="B89" s="1706">
        <v>4</v>
      </c>
      <c r="C89" s="1554" t="s">
        <v>2118</v>
      </c>
      <c r="D89" s="1555" t="s">
        <v>120</v>
      </c>
      <c r="E89" s="1620">
        <f>E86-E87</f>
        <v>0.81600000000000028</v>
      </c>
      <c r="F89" s="1720">
        <f>VLOOKUP(C89,'AHSP MCK'!D:K,8,FALSE)</f>
        <v>26700</v>
      </c>
      <c r="G89" s="1684">
        <f t="shared" si="2"/>
        <v>21787.200000000008</v>
      </c>
      <c r="H89" s="1678">
        <f>F89*E89/$G$67</f>
        <v>8.8429692996281728E-4</v>
      </c>
      <c r="I89" s="1555" t="s">
        <v>2112</v>
      </c>
      <c r="J89" s="1555" t="s">
        <v>9068</v>
      </c>
      <c r="K89" s="1555">
        <v>41019</v>
      </c>
      <c r="L89" s="1555" t="s">
        <v>9227</v>
      </c>
      <c r="M89" s="1565"/>
      <c r="O89" s="1721">
        <f>O86-O87</f>
        <v>3.6374999999999997</v>
      </c>
      <c r="P89" s="1721">
        <f>P86-P87</f>
        <v>2.3231250000000001</v>
      </c>
      <c r="Q89" s="1721">
        <f>Q86-Q87</f>
        <v>2.6156249999999996</v>
      </c>
    </row>
    <row r="90" spans="1:19">
      <c r="B90" s="1708"/>
      <c r="C90" s="1575"/>
      <c r="D90" s="1576"/>
      <c r="E90" s="1621"/>
      <c r="F90" s="1577"/>
      <c r="G90" s="1685"/>
      <c r="H90" s="1578"/>
      <c r="I90" s="1576"/>
      <c r="J90" s="1576"/>
      <c r="K90" s="1576"/>
      <c r="L90" s="1576"/>
      <c r="M90" s="1579"/>
    </row>
    <row r="91" spans="1:19">
      <c r="B91" s="1714"/>
      <c r="C91" s="1870" t="s">
        <v>9274</v>
      </c>
      <c r="D91" s="1870"/>
      <c r="E91" s="1870"/>
      <c r="F91" s="1870"/>
      <c r="G91" s="1686">
        <f>SUM(G86:G89)</f>
        <v>134884.80000000005</v>
      </c>
      <c r="H91" s="1567"/>
      <c r="I91" s="1547"/>
      <c r="J91" s="1547"/>
      <c r="K91" s="1547"/>
      <c r="M91" s="1568"/>
    </row>
    <row r="92" spans="1:19">
      <c r="B92" s="1715"/>
      <c r="C92" s="1590"/>
      <c r="D92" s="1591"/>
      <c r="E92" s="1622"/>
      <c r="F92" s="1592"/>
      <c r="G92" s="1687"/>
      <c r="H92" s="1679"/>
      <c r="I92" s="1591"/>
      <c r="J92" s="1591"/>
      <c r="K92" s="1591"/>
      <c r="L92" s="1591"/>
      <c r="M92" s="1593"/>
    </row>
    <row r="93" spans="1:19">
      <c r="B93" s="1716" t="s">
        <v>9266</v>
      </c>
      <c r="C93" s="1594" t="s">
        <v>9252</v>
      </c>
      <c r="D93" s="1595"/>
      <c r="E93" s="1623"/>
      <c r="F93" s="1596"/>
      <c r="G93" s="1690"/>
      <c r="H93" s="1597"/>
      <c r="I93" s="1595"/>
      <c r="J93" s="1595"/>
      <c r="K93" s="1595"/>
      <c r="L93" s="1595"/>
      <c r="M93" s="1598"/>
    </row>
    <row r="94" spans="1:19" ht="43.2">
      <c r="A94" s="1545">
        <v>17</v>
      </c>
      <c r="B94" s="1706">
        <v>1</v>
      </c>
      <c r="C94" s="1554" t="s">
        <v>1270</v>
      </c>
      <c r="D94" s="1555" t="s">
        <v>120</v>
      </c>
      <c r="E94" s="1620">
        <f>((0.2+0.4)/2*0.4*(1.9+1.9+1.5+1.5))</f>
        <v>0.81600000000000017</v>
      </c>
      <c r="F94" s="1720">
        <f>VLOOKUP(C94,'AHSP MCK'!D:K,8,FALSE)</f>
        <v>1104800</v>
      </c>
      <c r="G94" s="1684">
        <f>F94*E94</f>
        <v>901516.80000000016</v>
      </c>
      <c r="H94" s="1678">
        <f>F94*E94/$G$67</f>
        <v>3.6590683454041963E-2</v>
      </c>
      <c r="I94" s="1555" t="s">
        <v>2354</v>
      </c>
      <c r="J94" s="1555" t="s">
        <v>1772</v>
      </c>
      <c r="K94" s="1555">
        <v>41019</v>
      </c>
      <c r="L94" s="1555" t="s">
        <v>9227</v>
      </c>
      <c r="M94" s="1565"/>
      <c r="O94" s="1721">
        <f>(0.25+0.5)/2*0.5*(5.55+4.35+(1.9*5))</f>
        <v>3.6374999999999997</v>
      </c>
      <c r="P94" s="1721">
        <f>(0.25+0.5)/2*0.5*((2.85*2)+(1.93*3))</f>
        <v>2.1543749999999999</v>
      </c>
      <c r="Q94" s="1721">
        <f>(0.25+0.5)/2*0.5*((2.85*2)+(1.9*3))</f>
        <v>2.1374999999999997</v>
      </c>
    </row>
    <row r="95" spans="1:19">
      <c r="B95" s="1708"/>
      <c r="C95" s="1575"/>
      <c r="D95" s="1576"/>
      <c r="E95" s="1621"/>
      <c r="F95" s="1577"/>
      <c r="G95" s="1685"/>
      <c r="H95" s="1578"/>
      <c r="I95" s="1576"/>
      <c r="J95" s="1576"/>
      <c r="K95" s="1576"/>
      <c r="L95" s="1576"/>
      <c r="M95" s="1579"/>
    </row>
    <row r="96" spans="1:19">
      <c r="B96" s="1714"/>
      <c r="C96" s="1870" t="s">
        <v>9274</v>
      </c>
      <c r="D96" s="1870"/>
      <c r="E96" s="1870"/>
      <c r="F96" s="1870"/>
      <c r="G96" s="1686">
        <f>G94</f>
        <v>901516.80000000016</v>
      </c>
      <c r="H96" s="1567"/>
      <c r="I96" s="1547"/>
      <c r="J96" s="1547"/>
      <c r="K96" s="1547"/>
      <c r="M96" s="1568"/>
    </row>
    <row r="97" spans="1:19">
      <c r="B97" s="1715"/>
      <c r="C97" s="1590"/>
      <c r="D97" s="1591"/>
      <c r="E97" s="1622"/>
      <c r="F97" s="1592"/>
      <c r="G97" s="1687"/>
      <c r="H97" s="1679"/>
      <c r="I97" s="1591"/>
      <c r="J97" s="1591"/>
      <c r="K97" s="1591"/>
      <c r="L97" s="1591"/>
      <c r="M97" s="1593"/>
    </row>
    <row r="98" spans="1:19">
      <c r="B98" s="1717" t="s">
        <v>1769</v>
      </c>
      <c r="C98" s="1599" t="s">
        <v>9253</v>
      </c>
      <c r="D98" s="1547"/>
      <c r="E98" s="1624"/>
      <c r="F98" s="1552"/>
      <c r="G98" s="1691"/>
      <c r="H98" s="1567"/>
      <c r="I98" s="1547"/>
      <c r="J98" s="1547"/>
      <c r="K98" s="1547"/>
      <c r="M98" s="1568"/>
    </row>
    <row r="99" spans="1:19">
      <c r="B99" s="1716" t="s">
        <v>1201</v>
      </c>
      <c r="C99" s="1594" t="s">
        <v>9254</v>
      </c>
      <c r="D99" s="1595"/>
      <c r="E99" s="1623"/>
      <c r="F99" s="1596"/>
      <c r="G99" s="1690"/>
      <c r="H99" s="1597"/>
      <c r="I99" s="1595"/>
      <c r="J99" s="1595"/>
      <c r="K99" s="1595"/>
      <c r="L99" s="1595"/>
      <c r="M99" s="1598"/>
    </row>
    <row r="100" spans="1:19" ht="43.2">
      <c r="A100" s="1545">
        <v>8</v>
      </c>
      <c r="B100" s="1706">
        <v>1</v>
      </c>
      <c r="C100" s="1554" t="s">
        <v>6483</v>
      </c>
      <c r="D100" s="1555" t="s">
        <v>65</v>
      </c>
      <c r="E100" s="1620"/>
      <c r="F100" s="1556">
        <f>VLOOKUP(C100,'AHSP MCK'!D:K,8,FALSE)</f>
        <v>15900</v>
      </c>
      <c r="G100" s="1684">
        <f t="shared" ref="G100" si="5">F100*E100</f>
        <v>0</v>
      </c>
      <c r="H100" s="1678">
        <f t="shared" ref="H100" si="6">F100*E100/$G$67</f>
        <v>0</v>
      </c>
      <c r="I100" s="1555" t="s">
        <v>2228</v>
      </c>
      <c r="J100" s="1555" t="s">
        <v>1772</v>
      </c>
      <c r="K100" s="1555">
        <v>41019</v>
      </c>
      <c r="L100" s="1555" t="s">
        <v>9227</v>
      </c>
      <c r="M100" s="1565"/>
    </row>
    <row r="101" spans="1:19" ht="28.8">
      <c r="A101" s="1545">
        <v>9</v>
      </c>
      <c r="B101" s="1706">
        <v>2</v>
      </c>
      <c r="C101" s="1554" t="s">
        <v>2249</v>
      </c>
      <c r="D101" s="1555" t="s">
        <v>9291</v>
      </c>
      <c r="E101" s="1620"/>
      <c r="F101" s="1556">
        <f>VLOOKUP(C101,'AHSP MCK'!D:K,8,FALSE)</f>
        <v>183600</v>
      </c>
      <c r="G101" s="1684">
        <f>F101*E101</f>
        <v>0</v>
      </c>
      <c r="H101" s="1678">
        <f>F101*E101/$G$67</f>
        <v>0</v>
      </c>
      <c r="I101" s="1555" t="s">
        <v>2248</v>
      </c>
      <c r="J101" s="1555" t="s">
        <v>1772</v>
      </c>
      <c r="K101" s="1555">
        <v>41019</v>
      </c>
      <c r="L101" s="1555" t="s">
        <v>9227</v>
      </c>
      <c r="M101" s="1565"/>
    </row>
    <row r="102" spans="1:19" ht="43.2">
      <c r="A102" s="1545">
        <v>14</v>
      </c>
      <c r="B102" s="1706">
        <v>3</v>
      </c>
      <c r="C102" s="1554" t="s">
        <v>2272</v>
      </c>
      <c r="D102" s="1555" t="s">
        <v>120</v>
      </c>
      <c r="E102" s="1620"/>
      <c r="F102" s="1556">
        <f>VLOOKUP(C102,'AHSP MCK'!D:K,8,FALSE)</f>
        <v>1291800</v>
      </c>
      <c r="G102" s="1684">
        <f t="shared" ref="G102:G103" si="7">F102*E102</f>
        <v>0</v>
      </c>
      <c r="H102" s="1678">
        <f t="shared" ref="H102:H103" si="8">F102*E102/$G$67</f>
        <v>0</v>
      </c>
      <c r="I102" s="1555" t="s">
        <v>2271</v>
      </c>
      <c r="J102" s="1555" t="s">
        <v>1772</v>
      </c>
      <c r="K102" s="1555">
        <v>41019</v>
      </c>
      <c r="L102" s="1555" t="s">
        <v>9227</v>
      </c>
      <c r="M102" s="1565"/>
    </row>
    <row r="103" spans="1:19" ht="28.8">
      <c r="A103" s="1545">
        <v>16</v>
      </c>
      <c r="B103" s="1706">
        <v>1</v>
      </c>
      <c r="C103" s="1554" t="s">
        <v>1318</v>
      </c>
      <c r="D103" s="1555" t="s">
        <v>113</v>
      </c>
      <c r="E103" s="1620">
        <f>(1.5*2)+(1.9*2)</f>
        <v>6.8</v>
      </c>
      <c r="F103" s="1720">
        <f>VLOOKUP(C103,'AHSP MCK'!D:K,8,FALSE)</f>
        <v>147800</v>
      </c>
      <c r="G103" s="1684">
        <f t="shared" si="7"/>
        <v>1005040</v>
      </c>
      <c r="H103" s="1678">
        <f t="shared" si="8"/>
        <v>4.0792473860332197E-2</v>
      </c>
      <c r="I103" s="1555" t="s">
        <v>2333</v>
      </c>
      <c r="J103" s="1555" t="s">
        <v>1772</v>
      </c>
      <c r="K103" s="1555">
        <v>41019</v>
      </c>
      <c r="L103" s="1555" t="s">
        <v>9227</v>
      </c>
      <c r="M103" s="1565"/>
      <c r="O103" s="1721">
        <f>5.55+4.35+(1.9*5)</f>
        <v>19.399999999999999</v>
      </c>
      <c r="P103" s="1721">
        <f>(2.85*2)+(2.23*3)</f>
        <v>12.39</v>
      </c>
      <c r="Q103" s="1721">
        <f>(2.85*2)+(1.9*3)</f>
        <v>11.399999999999999</v>
      </c>
      <c r="S103" s="1721">
        <f>4.15+2.15+0.65+1.075</f>
        <v>8.0250000000000004</v>
      </c>
    </row>
    <row r="104" spans="1:19">
      <c r="B104" s="1711"/>
      <c r="C104" s="1601"/>
      <c r="D104" s="1602"/>
      <c r="E104" s="1625"/>
      <c r="F104" s="1603"/>
      <c r="G104" s="1692"/>
      <c r="H104" s="1604"/>
      <c r="I104" s="1602"/>
      <c r="J104" s="1602"/>
      <c r="K104" s="1602"/>
      <c r="L104" s="1602"/>
      <c r="M104" s="1605"/>
    </row>
    <row r="105" spans="1:19">
      <c r="B105" s="1716" t="s">
        <v>1209</v>
      </c>
      <c r="C105" s="1594" t="s">
        <v>9311</v>
      </c>
      <c r="D105" s="1595"/>
      <c r="E105" s="1623"/>
      <c r="F105" s="1596"/>
      <c r="G105" s="1690"/>
      <c r="H105" s="1597"/>
      <c r="I105" s="1595"/>
      <c r="J105" s="1595"/>
      <c r="K105" s="1595"/>
      <c r="L105" s="1595"/>
      <c r="M105" s="1598"/>
    </row>
    <row r="106" spans="1:19" ht="43.2">
      <c r="B106" s="1706">
        <v>1</v>
      </c>
      <c r="C106" s="1554" t="s">
        <v>6470</v>
      </c>
      <c r="D106" s="1555" t="s">
        <v>65</v>
      </c>
      <c r="E106" s="1620"/>
      <c r="F106" s="1556">
        <f>VLOOKUP(C106,'AHSP MCK'!D:K,8,FALSE)</f>
        <v>17100</v>
      </c>
      <c r="G106" s="1684">
        <f t="shared" ref="G106:G108" si="9">F106*E106</f>
        <v>0</v>
      </c>
      <c r="H106" s="1678">
        <f>F106*E106/$G$67</f>
        <v>0</v>
      </c>
      <c r="I106" s="1555" t="s">
        <v>2225</v>
      </c>
      <c r="J106" s="1555" t="s">
        <v>1772</v>
      </c>
      <c r="K106" s="1555">
        <v>41019</v>
      </c>
      <c r="L106" s="1555" t="s">
        <v>9227</v>
      </c>
      <c r="M106" s="1565"/>
      <c r="S106" s="1721">
        <v>7.11</v>
      </c>
    </row>
    <row r="107" spans="1:19" ht="28.8">
      <c r="A107" s="1545">
        <v>13</v>
      </c>
      <c r="B107" s="1706">
        <v>2</v>
      </c>
      <c r="C107" s="1554" t="s">
        <v>1306</v>
      </c>
      <c r="D107" s="1555" t="s">
        <v>9291</v>
      </c>
      <c r="E107" s="1620"/>
      <c r="F107" s="1556">
        <f>VLOOKUP(C107,'AHSP MCK'!D:K,8,FALSE)</f>
        <v>225000</v>
      </c>
      <c r="G107" s="1684">
        <f t="shared" si="9"/>
        <v>0</v>
      </c>
      <c r="H107" s="1678">
        <f>F107*E107/$G$67</f>
        <v>0</v>
      </c>
      <c r="I107" s="1555" t="s">
        <v>2253</v>
      </c>
      <c r="J107" s="1555" t="s">
        <v>1772</v>
      </c>
      <c r="K107" s="1555">
        <v>41019</v>
      </c>
      <c r="L107" s="1555" t="s">
        <v>9227</v>
      </c>
      <c r="M107" s="1565"/>
      <c r="S107" s="1721">
        <f>0.35*2.15</f>
        <v>0.75249999999999995</v>
      </c>
    </row>
    <row r="108" spans="1:19" ht="43.2">
      <c r="A108" s="1545">
        <v>14</v>
      </c>
      <c r="B108" s="1706">
        <v>3</v>
      </c>
      <c r="C108" s="1554" t="s">
        <v>2272</v>
      </c>
      <c r="D108" s="1555" t="s">
        <v>120</v>
      </c>
      <c r="E108" s="1620"/>
      <c r="F108" s="1556">
        <f>VLOOKUP(C108,'AHSP MCK'!D:K,8,FALSE)</f>
        <v>1291800</v>
      </c>
      <c r="G108" s="1684">
        <f t="shared" si="9"/>
        <v>0</v>
      </c>
      <c r="H108" s="1678">
        <f>F108*E108/$G$67</f>
        <v>0</v>
      </c>
      <c r="I108" s="1555" t="s">
        <v>2271</v>
      </c>
      <c r="J108" s="1555" t="s">
        <v>1772</v>
      </c>
      <c r="K108" s="1555">
        <v>41019</v>
      </c>
      <c r="L108" s="1555" t="s">
        <v>9227</v>
      </c>
      <c r="M108" s="1565"/>
      <c r="S108" s="1721">
        <f>0.35*2.15*0.15</f>
        <v>0.11287499999999999</v>
      </c>
    </row>
    <row r="109" spans="1:19">
      <c r="B109" s="1706"/>
      <c r="C109" s="1554"/>
      <c r="D109" s="1555"/>
      <c r="E109" s="1620"/>
      <c r="F109" s="1556"/>
      <c r="G109" s="1684"/>
      <c r="H109" s="1678"/>
      <c r="I109" s="1555"/>
      <c r="J109" s="1555"/>
      <c r="K109" s="1555"/>
      <c r="L109" s="1555"/>
      <c r="M109" s="1565"/>
    </row>
    <row r="110" spans="1:19">
      <c r="B110" s="1711"/>
      <c r="C110" s="1601"/>
      <c r="D110" s="1602"/>
      <c r="E110" s="1625"/>
      <c r="F110" s="1603"/>
      <c r="G110" s="1692"/>
      <c r="H110" s="1604"/>
      <c r="I110" s="1602"/>
      <c r="J110" s="1602"/>
      <c r="K110" s="1602"/>
      <c r="L110" s="1602"/>
      <c r="M110" s="1605"/>
    </row>
    <row r="111" spans="1:19">
      <c r="B111" s="1716" t="s">
        <v>1215</v>
      </c>
      <c r="C111" s="1594" t="s">
        <v>9255</v>
      </c>
      <c r="D111" s="1595"/>
      <c r="E111" s="1623"/>
      <c r="F111" s="1596"/>
      <c r="G111" s="1690"/>
      <c r="H111" s="1597"/>
      <c r="I111" s="1595"/>
      <c r="J111" s="1595"/>
      <c r="K111" s="1595"/>
      <c r="L111" s="1595"/>
      <c r="M111" s="1598"/>
    </row>
    <row r="112" spans="1:19" ht="43.2">
      <c r="A112" s="1545">
        <v>8</v>
      </c>
      <c r="B112" s="1706">
        <v>1</v>
      </c>
      <c r="C112" s="1554" t="s">
        <v>6483</v>
      </c>
      <c r="D112" s="1555" t="s">
        <v>65</v>
      </c>
      <c r="E112" s="1620"/>
      <c r="F112" s="1556">
        <f>VLOOKUP(C112,'AHSP MCK'!D:K,8,FALSE)</f>
        <v>15900</v>
      </c>
      <c r="G112" s="1684">
        <f t="shared" ref="G112" si="10">F112*E112</f>
        <v>0</v>
      </c>
      <c r="H112" s="1678">
        <f t="shared" ref="H112" si="11">F112*E112/$G$67</f>
        <v>0</v>
      </c>
      <c r="I112" s="1555" t="s">
        <v>2228</v>
      </c>
      <c r="J112" s="1555" t="s">
        <v>1772</v>
      </c>
      <c r="K112" s="1555">
        <v>41019</v>
      </c>
      <c r="L112" s="1555" t="s">
        <v>9227</v>
      </c>
      <c r="M112" s="1565"/>
    </row>
    <row r="113" spans="1:19" ht="28.8">
      <c r="A113" s="1545">
        <v>11</v>
      </c>
      <c r="B113" s="1706">
        <v>2</v>
      </c>
      <c r="C113" s="1554" t="s">
        <v>1304</v>
      </c>
      <c r="D113" s="1555" t="s">
        <v>9291</v>
      </c>
      <c r="E113" s="1620"/>
      <c r="F113" s="1556">
        <f>VLOOKUP(C113,'AHSP MCK'!D:K,8,FALSE)</f>
        <v>216900</v>
      </c>
      <c r="G113" s="1684">
        <f>F113*E113</f>
        <v>0</v>
      </c>
      <c r="H113" s="1678">
        <f>F113*E113/$G$67</f>
        <v>0</v>
      </c>
      <c r="I113" s="1555" t="s">
        <v>2251</v>
      </c>
      <c r="J113" s="1555" t="s">
        <v>1772</v>
      </c>
      <c r="K113" s="1555">
        <v>41019</v>
      </c>
      <c r="L113" s="1555" t="s">
        <v>9227</v>
      </c>
      <c r="M113" s="1565"/>
    </row>
    <row r="114" spans="1:19" ht="43.2">
      <c r="A114" s="1545">
        <v>14</v>
      </c>
      <c r="B114" s="1706">
        <v>3</v>
      </c>
      <c r="C114" s="1554" t="s">
        <v>2272</v>
      </c>
      <c r="D114" s="1555" t="s">
        <v>120</v>
      </c>
      <c r="E114" s="1620"/>
      <c r="F114" s="1556">
        <f>VLOOKUP(C114,'AHSP MCK'!D:K,8,FALSE)</f>
        <v>1291800</v>
      </c>
      <c r="G114" s="1684">
        <f t="shared" ref="G114" si="12">F114*E114</f>
        <v>0</v>
      </c>
      <c r="H114" s="1678">
        <f t="shared" ref="H114" si="13">F114*E114/$G$67</f>
        <v>0</v>
      </c>
      <c r="I114" s="1555" t="s">
        <v>2271</v>
      </c>
      <c r="J114" s="1555" t="s">
        <v>1772</v>
      </c>
      <c r="K114" s="1555">
        <v>41019</v>
      </c>
      <c r="L114" s="1555" t="s">
        <v>9227</v>
      </c>
      <c r="M114" s="1565"/>
    </row>
    <row r="115" spans="1:19" ht="28.8">
      <c r="A115" s="1545">
        <v>15</v>
      </c>
      <c r="B115" s="1706">
        <v>1</v>
      </c>
      <c r="C115" s="1554" t="s">
        <v>1317</v>
      </c>
      <c r="D115" s="1555" t="s">
        <v>113</v>
      </c>
      <c r="E115" s="1620">
        <f>(2.4*2)+(2*1.8)</f>
        <v>8.4</v>
      </c>
      <c r="F115" s="1720">
        <f>VLOOKUP(C115,'AHSP MCK'!D:K,8,FALSE)</f>
        <v>105800</v>
      </c>
      <c r="G115" s="1684">
        <f>F115*E115</f>
        <v>888720</v>
      </c>
      <c r="H115" s="1678">
        <f>F115*E115/$G$67</f>
        <v>3.6071288077245113E-2</v>
      </c>
      <c r="I115" s="1555" t="s">
        <v>2331</v>
      </c>
      <c r="J115" s="1555" t="s">
        <v>1772</v>
      </c>
      <c r="K115" s="1555">
        <v>41019</v>
      </c>
      <c r="L115" s="1555" t="s">
        <v>9227</v>
      </c>
      <c r="M115" s="1565"/>
      <c r="O115" s="1721">
        <f>2.7*10</f>
        <v>27</v>
      </c>
      <c r="P115" s="1721">
        <f>2.7*6</f>
        <v>16.200000000000003</v>
      </c>
      <c r="Q115" s="1721">
        <f>2.7*6</f>
        <v>16.200000000000003</v>
      </c>
      <c r="S115" s="1721">
        <f>2.7*7</f>
        <v>18.900000000000002</v>
      </c>
    </row>
    <row r="116" spans="1:19">
      <c r="B116" s="1711"/>
      <c r="C116" s="1601"/>
      <c r="D116" s="1602"/>
      <c r="E116" s="1625"/>
      <c r="F116" s="1603"/>
      <c r="G116" s="1692"/>
      <c r="H116" s="1604"/>
      <c r="I116" s="1602"/>
      <c r="J116" s="1602"/>
      <c r="K116" s="1602"/>
      <c r="L116" s="1602"/>
      <c r="M116" s="1605"/>
    </row>
    <row r="117" spans="1:19">
      <c r="B117" s="1716" t="s">
        <v>1218</v>
      </c>
      <c r="C117" s="1594" t="s">
        <v>9256</v>
      </c>
      <c r="D117" s="1595"/>
      <c r="E117" s="1623"/>
      <c r="F117" s="1596"/>
      <c r="G117" s="1690"/>
      <c r="H117" s="1597"/>
      <c r="I117" s="1595"/>
      <c r="J117" s="1595"/>
      <c r="K117" s="1595"/>
      <c r="L117" s="1595"/>
      <c r="M117" s="1598"/>
    </row>
    <row r="118" spans="1:19" ht="43.2">
      <c r="A118" s="1545">
        <v>8</v>
      </c>
      <c r="B118" s="1706">
        <v>1</v>
      </c>
      <c r="C118" s="1554" t="s">
        <v>6483</v>
      </c>
      <c r="D118" s="1555" t="s">
        <v>65</v>
      </c>
      <c r="E118" s="1620"/>
      <c r="F118" s="1556">
        <f>VLOOKUP(C118,'AHSP MCK'!D:K,8,FALSE)</f>
        <v>15900</v>
      </c>
      <c r="G118" s="1684">
        <f t="shared" ref="G118" si="14">F118*E118</f>
        <v>0</v>
      </c>
      <c r="H118" s="1678">
        <f t="shared" ref="H118" si="15">F118*E118/$G$67</f>
        <v>0</v>
      </c>
      <c r="I118" s="1555" t="s">
        <v>2228</v>
      </c>
      <c r="J118" s="1555" t="s">
        <v>1772</v>
      </c>
      <c r="K118" s="1555">
        <v>41019</v>
      </c>
      <c r="L118" s="1555" t="s">
        <v>9227</v>
      </c>
      <c r="M118" s="1565"/>
    </row>
    <row r="119" spans="1:19" ht="28.8">
      <c r="A119" s="1545">
        <v>12</v>
      </c>
      <c r="B119" s="1706">
        <v>2</v>
      </c>
      <c r="C119" s="1554" t="s">
        <v>1305</v>
      </c>
      <c r="D119" s="1555" t="s">
        <v>9291</v>
      </c>
      <c r="E119" s="1620"/>
      <c r="F119" s="1556">
        <f>VLOOKUP(C119,'AHSP MCK'!D:K,8,FALSE)</f>
        <v>223000</v>
      </c>
      <c r="G119" s="1684">
        <f>F119*E119</f>
        <v>0</v>
      </c>
      <c r="H119" s="1678">
        <f>F119*E119/$G$67</f>
        <v>0</v>
      </c>
      <c r="I119" s="1555" t="s">
        <v>2252</v>
      </c>
      <c r="J119" s="1555" t="s">
        <v>1772</v>
      </c>
      <c r="K119" s="1555">
        <v>41019</v>
      </c>
      <c r="L119" s="1555" t="s">
        <v>9227</v>
      </c>
      <c r="M119" s="1565"/>
    </row>
    <row r="120" spans="1:19" ht="43.2">
      <c r="A120" s="1545">
        <v>14</v>
      </c>
      <c r="B120" s="1706">
        <v>3</v>
      </c>
      <c r="C120" s="1554" t="s">
        <v>2272</v>
      </c>
      <c r="D120" s="1555" t="s">
        <v>120</v>
      </c>
      <c r="E120" s="1620"/>
      <c r="F120" s="1556">
        <f>VLOOKUP(C120,'AHSP MCK'!D:K,8,FALSE)</f>
        <v>1291800</v>
      </c>
      <c r="G120" s="1684">
        <f t="shared" ref="G120:G121" si="16">F120*E120</f>
        <v>0</v>
      </c>
      <c r="H120" s="1678">
        <f t="shared" ref="H120:H121" si="17">F120*E120/$G$67</f>
        <v>0</v>
      </c>
      <c r="I120" s="1555" t="s">
        <v>2271</v>
      </c>
      <c r="J120" s="1555" t="s">
        <v>1772</v>
      </c>
      <c r="K120" s="1555">
        <v>41019</v>
      </c>
      <c r="L120" s="1555" t="s">
        <v>9227</v>
      </c>
      <c r="M120" s="1565"/>
    </row>
    <row r="121" spans="1:19" ht="28.8">
      <c r="A121" s="1545">
        <v>16</v>
      </c>
      <c r="B121" s="1706">
        <v>1</v>
      </c>
      <c r="C121" s="1554" t="s">
        <v>1318</v>
      </c>
      <c r="D121" s="1555" t="s">
        <v>113</v>
      </c>
      <c r="E121" s="1620">
        <f>(1.5*2)+(1.9*2)</f>
        <v>6.8</v>
      </c>
      <c r="F121" s="1720">
        <f>VLOOKUP(C121,'AHSP MCK'!D:K,8,FALSE)</f>
        <v>147800</v>
      </c>
      <c r="G121" s="1684">
        <f t="shared" si="16"/>
        <v>1005040</v>
      </c>
      <c r="H121" s="1678">
        <f t="shared" si="17"/>
        <v>4.0792473860332197E-2</v>
      </c>
      <c r="I121" s="1555" t="s">
        <v>2333</v>
      </c>
      <c r="J121" s="1555" t="s">
        <v>1772</v>
      </c>
      <c r="K121" s="1555">
        <v>41019</v>
      </c>
      <c r="L121" s="1555" t="s">
        <v>9227</v>
      </c>
      <c r="M121" s="1565"/>
      <c r="O121" s="1721">
        <f>(5.55*2)+(1.9*5)</f>
        <v>20.6</v>
      </c>
      <c r="P121" s="1721">
        <f>(2.85*2)+(2.23*3)</f>
        <v>12.39</v>
      </c>
      <c r="Q121" s="1721">
        <f>(2.85*2)+(1.9*3)</f>
        <v>11.399999999999999</v>
      </c>
      <c r="S121" s="1721">
        <f>(4.15*2)+1.35+0.65+2.15</f>
        <v>12.450000000000001</v>
      </c>
    </row>
    <row r="122" spans="1:19">
      <c r="B122" s="1711"/>
      <c r="C122" s="1601"/>
      <c r="D122" s="1602"/>
      <c r="E122" s="1625"/>
      <c r="F122" s="1603"/>
      <c r="G122" s="1692"/>
      <c r="H122" s="1604"/>
      <c r="I122" s="1602"/>
      <c r="J122" s="1602"/>
      <c r="K122" s="1602"/>
      <c r="L122" s="1602"/>
      <c r="M122" s="1605"/>
    </row>
    <row r="123" spans="1:19">
      <c r="B123" s="1716" t="s">
        <v>1220</v>
      </c>
      <c r="C123" s="1594" t="s">
        <v>9257</v>
      </c>
      <c r="D123" s="1595"/>
      <c r="E123" s="1623"/>
      <c r="F123" s="1596"/>
      <c r="G123" s="1690"/>
      <c r="H123" s="1597"/>
      <c r="I123" s="1595"/>
      <c r="J123" s="1595"/>
      <c r="K123" s="1595"/>
      <c r="L123" s="1595"/>
      <c r="M123" s="1598"/>
    </row>
    <row r="124" spans="1:19" ht="43.2">
      <c r="B124" s="1706">
        <v>1</v>
      </c>
      <c r="C124" s="1554" t="s">
        <v>6470</v>
      </c>
      <c r="D124" s="1555" t="s">
        <v>65</v>
      </c>
      <c r="E124" s="1620"/>
      <c r="F124" s="1556">
        <f>VLOOKUP(C124,'AHSP MCK'!D:K,8,FALSE)</f>
        <v>17100</v>
      </c>
      <c r="G124" s="1684">
        <f t="shared" si="2"/>
        <v>0</v>
      </c>
      <c r="H124" s="1678">
        <f>F124*E124/$G$67</f>
        <v>0</v>
      </c>
      <c r="I124" s="1555" t="s">
        <v>2225</v>
      </c>
      <c r="J124" s="1555" t="s">
        <v>1772</v>
      </c>
      <c r="K124" s="1555">
        <v>41019</v>
      </c>
      <c r="L124" s="1555" t="s">
        <v>9227</v>
      </c>
      <c r="M124" s="1565"/>
      <c r="O124" s="1721">
        <v>25.67</v>
      </c>
      <c r="P124" s="1721">
        <v>18.170000000000002</v>
      </c>
      <c r="Q124" s="1721">
        <v>18.170000000000002</v>
      </c>
      <c r="S124" s="1721">
        <v>26.47</v>
      </c>
    </row>
    <row r="125" spans="1:19" ht="28.8">
      <c r="A125" s="1545">
        <v>13</v>
      </c>
      <c r="B125" s="1706">
        <v>2</v>
      </c>
      <c r="C125" s="1554" t="s">
        <v>1306</v>
      </c>
      <c r="D125" s="1555" t="s">
        <v>9291</v>
      </c>
      <c r="E125" s="1620"/>
      <c r="F125" s="1556">
        <f>VLOOKUP(C125,'AHSP MCK'!D:K,8,FALSE)</f>
        <v>225000</v>
      </c>
      <c r="G125" s="1684">
        <f t="shared" si="2"/>
        <v>0</v>
      </c>
      <c r="H125" s="1678">
        <f>F125*E125/$G$67</f>
        <v>0</v>
      </c>
      <c r="I125" s="1555" t="s">
        <v>2253</v>
      </c>
      <c r="J125" s="1555" t="s">
        <v>1772</v>
      </c>
      <c r="K125" s="1555">
        <v>41019</v>
      </c>
      <c r="L125" s="1555" t="s">
        <v>9227</v>
      </c>
      <c r="M125" s="1565"/>
      <c r="O125" s="1721">
        <f>6.55*3.03</f>
        <v>19.846499999999999</v>
      </c>
      <c r="P125" s="1721">
        <f>2.85*2.9</f>
        <v>8.2650000000000006</v>
      </c>
      <c r="Q125" s="1721">
        <f>2.85*2.9</f>
        <v>8.2650000000000006</v>
      </c>
      <c r="S125" s="1721">
        <f>(4.65*2)+(0.65*2.65)</f>
        <v>11.022500000000001</v>
      </c>
    </row>
    <row r="126" spans="1:19" ht="43.2">
      <c r="A126" s="1545">
        <v>14</v>
      </c>
      <c r="B126" s="1706">
        <v>3</v>
      </c>
      <c r="C126" s="1554" t="s">
        <v>2272</v>
      </c>
      <c r="D126" s="1555" t="s">
        <v>120</v>
      </c>
      <c r="E126" s="1620"/>
      <c r="F126" s="1556">
        <f>VLOOKUP(C126,'AHSP MCK'!D:K,8,FALSE)</f>
        <v>1291800</v>
      </c>
      <c r="G126" s="1684">
        <f t="shared" si="2"/>
        <v>0</v>
      </c>
      <c r="H126" s="1678">
        <f>F126*E126/$G$67</f>
        <v>0</v>
      </c>
      <c r="I126" s="1555" t="s">
        <v>2271</v>
      </c>
      <c r="J126" s="1555" t="s">
        <v>1772</v>
      </c>
      <c r="K126" s="1555">
        <v>41019</v>
      </c>
      <c r="L126" s="1555" t="s">
        <v>9227</v>
      </c>
      <c r="M126" s="1565"/>
      <c r="O126" s="1721">
        <f>6.55*3.03*0.1</f>
        <v>1.98465</v>
      </c>
      <c r="P126" s="1721">
        <f>2.85*2.9*0.1</f>
        <v>0.82650000000000012</v>
      </c>
      <c r="Q126" s="1721">
        <f>2.85*2.9*0.1</f>
        <v>0.82650000000000012</v>
      </c>
      <c r="S126" s="1721">
        <f>((4.65*2)+(2.65*0.65))*0.1</f>
        <v>1.1022500000000002</v>
      </c>
    </row>
    <row r="127" spans="1:19">
      <c r="B127" s="1706"/>
      <c r="C127" s="1554"/>
      <c r="D127" s="1555"/>
      <c r="E127" s="1620"/>
      <c r="F127" s="1556"/>
      <c r="G127" s="1684"/>
      <c r="H127" s="1678"/>
      <c r="I127" s="1555"/>
      <c r="J127" s="1555"/>
      <c r="K127" s="1555"/>
      <c r="L127" s="1555"/>
      <c r="M127" s="1565"/>
    </row>
    <row r="128" spans="1:19">
      <c r="B128" s="1716" t="s">
        <v>1221</v>
      </c>
      <c r="C128" s="1594" t="s">
        <v>9298</v>
      </c>
      <c r="D128" s="1595"/>
      <c r="E128" s="1623"/>
      <c r="F128" s="1596"/>
      <c r="G128" s="1690"/>
      <c r="H128" s="1597"/>
      <c r="I128" s="1595"/>
      <c r="J128" s="1595"/>
      <c r="K128" s="1595"/>
      <c r="L128" s="1595"/>
      <c r="M128" s="1598"/>
    </row>
    <row r="129" spans="1:19" ht="28.8">
      <c r="A129" s="1545">
        <v>8</v>
      </c>
      <c r="B129" s="1706">
        <v>1</v>
      </c>
      <c r="C129" s="1554" t="s">
        <v>9300</v>
      </c>
      <c r="D129" s="1555" t="s">
        <v>65</v>
      </c>
      <c r="E129" s="1620"/>
      <c r="F129" s="1556">
        <f>VLOOKUP(C129,'AHSP MCK'!D:K,8,FALSE)</f>
        <v>17400</v>
      </c>
      <c r="G129" s="1684">
        <f t="shared" ref="G129" si="18">F129*E129</f>
        <v>0</v>
      </c>
      <c r="H129" s="1678">
        <f t="shared" ref="H129" si="19">F129*E129/$G$67</f>
        <v>0</v>
      </c>
      <c r="I129" s="1555" t="s">
        <v>2228</v>
      </c>
      <c r="J129" s="1555" t="s">
        <v>1772</v>
      </c>
      <c r="K129" s="1555">
        <v>41019</v>
      </c>
      <c r="L129" s="1555" t="s">
        <v>9227</v>
      </c>
      <c r="M129" s="1565"/>
      <c r="N129" s="1551"/>
    </row>
    <row r="130" spans="1:19" ht="30" customHeight="1">
      <c r="A130" s="1545">
        <v>9</v>
      </c>
      <c r="B130" s="1706">
        <v>2</v>
      </c>
      <c r="C130" s="1554" t="s">
        <v>9299</v>
      </c>
      <c r="D130" s="1555" t="s">
        <v>9291</v>
      </c>
      <c r="E130" s="1620"/>
      <c r="F130" s="1556">
        <f>VLOOKUP(C130,'AHSP MCK'!D:K,8,FALSE)</f>
        <v>196200</v>
      </c>
      <c r="G130" s="1684">
        <f>F130*E130</f>
        <v>0</v>
      </c>
      <c r="H130" s="1678">
        <f>F130*E130/$G$67</f>
        <v>0</v>
      </c>
      <c r="I130" s="1555" t="s">
        <v>2248</v>
      </c>
      <c r="J130" s="1555" t="s">
        <v>1772</v>
      </c>
      <c r="K130" s="1555">
        <v>41019</v>
      </c>
      <c r="L130" s="1555" t="s">
        <v>9227</v>
      </c>
      <c r="M130" s="1565"/>
    </row>
    <row r="131" spans="1:19" ht="43.2">
      <c r="A131" s="1545">
        <v>14</v>
      </c>
      <c r="B131" s="1706">
        <v>3</v>
      </c>
      <c r="C131" s="1554" t="s">
        <v>2272</v>
      </c>
      <c r="D131" s="1555" t="s">
        <v>120</v>
      </c>
      <c r="E131" s="1620"/>
      <c r="F131" s="1556">
        <f>VLOOKUP(C131,'AHSP MCK'!D:K,8,FALSE)</f>
        <v>1291800</v>
      </c>
      <c r="G131" s="1684">
        <f t="shared" ref="G131" si="20">F131*E131</f>
        <v>0</v>
      </c>
      <c r="H131" s="1678">
        <f t="shared" ref="H131" si="21">F131*E131/$G$67</f>
        <v>0</v>
      </c>
      <c r="I131" s="1555" t="s">
        <v>2271</v>
      </c>
      <c r="J131" s="1555" t="s">
        <v>1772</v>
      </c>
      <c r="K131" s="1555">
        <v>41019</v>
      </c>
      <c r="L131" s="1555" t="s">
        <v>9227</v>
      </c>
      <c r="M131" s="1565"/>
    </row>
    <row r="132" spans="1:19" ht="28.8">
      <c r="B132" s="1706">
        <v>4</v>
      </c>
      <c r="C132" s="1562" t="s">
        <v>9228</v>
      </c>
      <c r="D132" s="1555" t="s">
        <v>120</v>
      </c>
      <c r="E132" s="1620"/>
      <c r="F132" s="1556"/>
      <c r="G132" s="1684">
        <f t="shared" si="2"/>
        <v>0</v>
      </c>
      <c r="H132" s="1678">
        <f>F132*E132/$G$67</f>
        <v>0</v>
      </c>
      <c r="I132" s="1555"/>
      <c r="J132" s="1555"/>
      <c r="K132" s="1555"/>
      <c r="L132" s="1555"/>
      <c r="M132" s="1565"/>
      <c r="O132" s="1721">
        <f>0.3*0.08*(6.55+3.03+3.03)</f>
        <v>0.30264000000000002</v>
      </c>
      <c r="P132" s="1721">
        <f>0.3*0.08*(2.9+2.9+3.85)</f>
        <v>0.2316</v>
      </c>
      <c r="Q132" s="1721">
        <f>0.3*0.08*(2.9+2.9+3.85)</f>
        <v>0.2316</v>
      </c>
    </row>
    <row r="133" spans="1:19">
      <c r="B133" s="1708"/>
      <c r="C133" s="1575"/>
      <c r="D133" s="1576"/>
      <c r="E133" s="1621"/>
      <c r="F133" s="1577"/>
      <c r="G133" s="1685"/>
      <c r="H133" s="1578"/>
      <c r="I133" s="1576"/>
      <c r="J133" s="1576"/>
      <c r="K133" s="1576"/>
      <c r="L133" s="1576"/>
      <c r="M133" s="1579"/>
    </row>
    <row r="134" spans="1:19">
      <c r="B134" s="1714"/>
      <c r="C134" s="1870" t="s">
        <v>9274</v>
      </c>
      <c r="D134" s="1870"/>
      <c r="E134" s="1870"/>
      <c r="F134" s="1870"/>
      <c r="G134" s="1686">
        <f>SUM(G100:G132)</f>
        <v>2898800</v>
      </c>
      <c r="H134" s="1567"/>
      <c r="I134" s="1547"/>
      <c r="J134" s="1547"/>
      <c r="K134" s="1547"/>
      <c r="M134" s="1568"/>
    </row>
    <row r="135" spans="1:19">
      <c r="B135" s="1715"/>
      <c r="C135" s="1590"/>
      <c r="D135" s="1591"/>
      <c r="E135" s="1622"/>
      <c r="F135" s="1592"/>
      <c r="G135" s="1687"/>
      <c r="H135" s="1679"/>
      <c r="I135" s="1591"/>
      <c r="J135" s="1591"/>
      <c r="K135" s="1591"/>
      <c r="L135" s="1591"/>
      <c r="M135" s="1593"/>
    </row>
    <row r="136" spans="1:19">
      <c r="B136" s="1716" t="s">
        <v>9267</v>
      </c>
      <c r="C136" s="1594" t="s">
        <v>9258</v>
      </c>
      <c r="D136" s="1595"/>
      <c r="E136" s="1623"/>
      <c r="F136" s="1596"/>
      <c r="G136" s="1690"/>
      <c r="H136" s="1597"/>
      <c r="I136" s="1595"/>
      <c r="J136" s="1595"/>
      <c r="K136" s="1595"/>
      <c r="L136" s="1595"/>
      <c r="M136" s="1598"/>
    </row>
    <row r="137" spans="1:19" ht="28.8">
      <c r="A137" s="1545">
        <v>25</v>
      </c>
      <c r="B137" s="1706">
        <v>1</v>
      </c>
      <c r="C137" s="1554" t="s">
        <v>1351</v>
      </c>
      <c r="D137" s="1555" t="s">
        <v>9291</v>
      </c>
      <c r="E137" s="1620">
        <f>(1.2*2.7)+(1.2*2.1)+(1.6*2.1*2)+(0.5*1.6*0.4*2)-(0.7*2)-(0.2*0.2*2)</f>
        <v>11.64</v>
      </c>
      <c r="F137" s="1763">
        <f>VLOOKUP(C137,'AHSP MCK'!D:K,8,FALSE)</f>
        <v>97900</v>
      </c>
      <c r="G137" s="1684">
        <f>F137*E137</f>
        <v>1139556</v>
      </c>
      <c r="H137" s="1678">
        <f>F137*E137/$G$67</f>
        <v>4.6252197268153224E-2</v>
      </c>
      <c r="I137" s="1561" t="s">
        <v>2772</v>
      </c>
      <c r="J137" s="1555" t="s">
        <v>1772</v>
      </c>
      <c r="K137" s="1555">
        <v>41019</v>
      </c>
      <c r="L137" s="1555" t="s">
        <v>9227</v>
      </c>
      <c r="M137" s="1565"/>
      <c r="O137" s="1721">
        <f>(2.7*((1.2*6)+(1.6*4)))+(1.5*(1.2+1.6))-(2*0.7)-(0.2*0.2*18)</f>
        <v>38.800000000000004</v>
      </c>
      <c r="P137" s="1721">
        <f>(2.7*((1.2*4)+(1.93*3)))-(0.2*0.2*6*2)-(0.7*2*2)</f>
        <v>25.312999999999999</v>
      </c>
      <c r="Q137" s="1721">
        <f>(2.7*((1.2*4)+(1.9*3)))-(0.2*0.2*6*2)-(0.7*2*2)</f>
        <v>25.07</v>
      </c>
      <c r="S137" s="1721">
        <f>(2.7*(2+2+1.35+2+0.65+2))-(0.2*0.2*6)-(2*0.7)</f>
        <v>25.360000000000003</v>
      </c>
    </row>
    <row r="138" spans="1:19" ht="28.8">
      <c r="A138" s="1545">
        <v>26</v>
      </c>
      <c r="B138" s="1706">
        <v>2</v>
      </c>
      <c r="C138" s="1554" t="s">
        <v>1381</v>
      </c>
      <c r="D138" s="1555" t="s">
        <v>9291</v>
      </c>
      <c r="E138" s="1620">
        <f>(E137*2)-E147</f>
        <v>18.380000000000003</v>
      </c>
      <c r="F138" s="1763">
        <f>VLOOKUP(C138,'AHSP MCK'!D:K,8,FALSE)</f>
        <v>56600</v>
      </c>
      <c r="G138" s="1684">
        <f>F138*E138</f>
        <v>1040308.0000000001</v>
      </c>
      <c r="H138" s="1678">
        <f>F138*E138/$G$67</f>
        <v>4.2223928298072186E-2</v>
      </c>
      <c r="I138" s="1561" t="s">
        <v>2789</v>
      </c>
      <c r="J138" s="1555" t="s">
        <v>1772</v>
      </c>
      <c r="K138" s="1555">
        <v>41019</v>
      </c>
      <c r="L138" s="1555" t="s">
        <v>9227</v>
      </c>
      <c r="M138" s="1565"/>
      <c r="O138" s="1721">
        <f>(O137*2)-O147</f>
        <v>51.350000000000009</v>
      </c>
      <c r="P138" s="1721">
        <f>(P137*2)-P147</f>
        <v>33.945999999999998</v>
      </c>
      <c r="Q138" s="1721">
        <f>(Q137*2)-Q147</f>
        <v>33.64</v>
      </c>
      <c r="S138" s="1721">
        <f>(S137*2)-S147</f>
        <v>38.720000000000006</v>
      </c>
    </row>
    <row r="139" spans="1:19">
      <c r="A139" s="1545">
        <v>27</v>
      </c>
      <c r="B139" s="1706">
        <v>3</v>
      </c>
      <c r="C139" s="1554" t="s">
        <v>1384</v>
      </c>
      <c r="D139" s="1555" t="s">
        <v>9291</v>
      </c>
      <c r="E139" s="1620">
        <f>E138</f>
        <v>18.380000000000003</v>
      </c>
      <c r="F139" s="1763">
        <f>VLOOKUP(C139,'AHSP MCK'!D:K,8,FALSE)</f>
        <v>44500</v>
      </c>
      <c r="G139" s="1684">
        <f>F139*E139</f>
        <v>817910.00000000012</v>
      </c>
      <c r="H139" s="1678">
        <f>F139*E139/$G$67</f>
        <v>3.3197258114208698E-2</v>
      </c>
      <c r="I139" s="1561" t="s">
        <v>2792</v>
      </c>
      <c r="J139" s="1555" t="s">
        <v>1772</v>
      </c>
      <c r="K139" s="1555">
        <v>41019</v>
      </c>
      <c r="L139" s="1555" t="s">
        <v>9227</v>
      </c>
      <c r="M139" s="1565"/>
      <c r="O139" s="1721">
        <f>O138</f>
        <v>51.350000000000009</v>
      </c>
      <c r="P139" s="1721">
        <f>P138</f>
        <v>33.945999999999998</v>
      </c>
      <c r="Q139" s="1721">
        <f>Q138</f>
        <v>33.64</v>
      </c>
      <c r="S139" s="1721">
        <f>S138</f>
        <v>38.720000000000006</v>
      </c>
    </row>
    <row r="140" spans="1:19" ht="43.2">
      <c r="A140" s="1545">
        <v>24</v>
      </c>
      <c r="B140" s="1706">
        <v>4</v>
      </c>
      <c r="C140" s="1554" t="s">
        <v>2768</v>
      </c>
      <c r="D140" s="1555" t="s">
        <v>9291</v>
      </c>
      <c r="E140" s="1620">
        <f>0.2*0.2*2</f>
        <v>8.0000000000000016E-2</v>
      </c>
      <c r="F140" s="1720">
        <f>VLOOKUP(C140,'AHSP MCK'!D:K,8,FALSE)</f>
        <v>229400</v>
      </c>
      <c r="G140" s="1684">
        <f>F140*E140</f>
        <v>18352.000000000004</v>
      </c>
      <c r="H140" s="1678">
        <f>F140*E140/$G$67</f>
        <v>7.4486933881717798E-4</v>
      </c>
      <c r="I140" s="1555" t="s">
        <v>2767</v>
      </c>
      <c r="J140" s="1555" t="s">
        <v>1772</v>
      </c>
      <c r="K140" s="1555">
        <v>41019</v>
      </c>
      <c r="L140" s="1555" t="s">
        <v>9227</v>
      </c>
      <c r="M140" s="1565"/>
      <c r="O140" s="1721">
        <f>0.2*0.2*4</f>
        <v>0.16000000000000003</v>
      </c>
      <c r="P140" s="1721">
        <f>0.2*0.2*4*2</f>
        <v>0.32000000000000006</v>
      </c>
      <c r="Q140" s="1721">
        <f>0.2*0.2*4*2</f>
        <v>0.32000000000000006</v>
      </c>
      <c r="S140" s="1721">
        <f>0.2*0.2*3</f>
        <v>0.12000000000000002</v>
      </c>
    </row>
    <row r="141" spans="1:19" ht="28.8">
      <c r="A141" s="1545">
        <v>23</v>
      </c>
      <c r="B141" s="1706">
        <v>5</v>
      </c>
      <c r="C141" s="1554" t="s">
        <v>1350</v>
      </c>
      <c r="D141" s="1555" t="s">
        <v>9291</v>
      </c>
      <c r="E141" s="1620">
        <f>0.2*0.2*2</f>
        <v>8.0000000000000016E-2</v>
      </c>
      <c r="F141" s="1763">
        <f>VLOOKUP(C141,'AHSP MCK'!D:K,8,FALSE)</f>
        <v>145700</v>
      </c>
      <c r="G141" s="1684">
        <f>F141*E141</f>
        <v>11656.000000000002</v>
      </c>
      <c r="H141" s="1678">
        <f>F141*E141/$G$67</f>
        <v>4.730926881676671E-4</v>
      </c>
      <c r="I141" s="1555" t="s">
        <v>2766</v>
      </c>
      <c r="J141" s="1555" t="s">
        <v>1772</v>
      </c>
      <c r="K141" s="1555">
        <v>41019</v>
      </c>
      <c r="L141" s="1555" t="s">
        <v>9227</v>
      </c>
      <c r="M141" s="1565"/>
      <c r="O141" s="1721">
        <f>0.2*0.2*2</f>
        <v>8.0000000000000016E-2</v>
      </c>
      <c r="P141" s="1721">
        <f>0.2*0.2*2</f>
        <v>8.0000000000000016E-2</v>
      </c>
      <c r="Q141" s="1721">
        <f>0.2*0.2*2</f>
        <v>8.0000000000000016E-2</v>
      </c>
      <c r="S141" s="1721">
        <f>0.2*0.2*3</f>
        <v>0.12000000000000002</v>
      </c>
    </row>
    <row r="142" spans="1:19">
      <c r="B142" s="1708"/>
      <c r="C142" s="1575"/>
      <c r="D142" s="1576"/>
      <c r="E142" s="1621"/>
      <c r="F142" s="1577"/>
      <c r="G142" s="1685"/>
      <c r="H142" s="1578"/>
      <c r="I142" s="1576"/>
      <c r="J142" s="1576"/>
      <c r="K142" s="1576"/>
      <c r="L142" s="1576"/>
      <c r="M142" s="1579"/>
    </row>
    <row r="143" spans="1:19">
      <c r="B143" s="1714"/>
      <c r="C143" s="1870" t="s">
        <v>9274</v>
      </c>
      <c r="D143" s="1870"/>
      <c r="E143" s="1870"/>
      <c r="F143" s="1870"/>
      <c r="G143" s="1686">
        <f>SUM(G137:G141)</f>
        <v>3027782</v>
      </c>
      <c r="H143" s="1567"/>
      <c r="I143" s="1547"/>
      <c r="J143" s="1547"/>
      <c r="K143" s="1547"/>
      <c r="M143" s="1568"/>
    </row>
    <row r="144" spans="1:19">
      <c r="B144" s="1715"/>
      <c r="C144" s="1607"/>
      <c r="D144" s="1591"/>
      <c r="E144" s="1622"/>
      <c r="F144" s="1592"/>
      <c r="G144" s="1687"/>
      <c r="H144" s="1679"/>
      <c r="I144" s="1591"/>
      <c r="J144" s="1591"/>
      <c r="K144" s="1591"/>
      <c r="L144" s="1591"/>
      <c r="M144" s="1593"/>
    </row>
    <row r="145" spans="1:19">
      <c r="B145" s="1716" t="s">
        <v>9268</v>
      </c>
      <c r="C145" s="1594" t="s">
        <v>9259</v>
      </c>
      <c r="D145" s="1595"/>
      <c r="E145" s="1623"/>
      <c r="F145" s="1596"/>
      <c r="G145" s="1690"/>
      <c r="H145" s="1597"/>
      <c r="I145" s="1595"/>
      <c r="J145" s="1595"/>
      <c r="K145" s="1595"/>
      <c r="L145" s="1595"/>
      <c r="M145" s="1598"/>
    </row>
    <row r="146" spans="1:19" ht="28.8">
      <c r="A146" s="1545">
        <v>30</v>
      </c>
      <c r="B146" s="1706">
        <v>1</v>
      </c>
      <c r="C146" s="1554" t="s">
        <v>1442</v>
      </c>
      <c r="D146" s="1555" t="s">
        <v>9291</v>
      </c>
      <c r="E146" s="1620">
        <f>2.75*1.5</f>
        <v>4.125</v>
      </c>
      <c r="F146" s="1720">
        <f>VLOOKUP(C146,'AHSP MCK'!D:K,8,FALSE)</f>
        <v>267900</v>
      </c>
      <c r="G146" s="1684">
        <f>F146*E146</f>
        <v>1105087.5</v>
      </c>
      <c r="H146" s="1678">
        <f>F146*E146/$G$67</f>
        <v>4.4853192865089798E-2</v>
      </c>
      <c r="I146" s="1561" t="s">
        <v>2925</v>
      </c>
      <c r="J146" s="1555" t="s">
        <v>1772</v>
      </c>
      <c r="K146" s="1555">
        <v>41019</v>
      </c>
      <c r="L146" s="1555" t="s">
        <v>9227</v>
      </c>
      <c r="M146" s="1565"/>
      <c r="O146" s="1721">
        <f>5.55*2.75</f>
        <v>15.262499999999999</v>
      </c>
      <c r="P146" s="1721">
        <f>2.85*2.75</f>
        <v>7.8375000000000004</v>
      </c>
      <c r="Q146" s="1721">
        <f>2.85*2.75</f>
        <v>7.8375000000000004</v>
      </c>
      <c r="S146" s="1721">
        <f>(4.15*1.35)+(0.65*2.15)</f>
        <v>7.0000000000000009</v>
      </c>
    </row>
    <row r="147" spans="1:19" ht="28.8">
      <c r="A147" s="1545">
        <v>31</v>
      </c>
      <c r="B147" s="1706">
        <v>2</v>
      </c>
      <c r="C147" s="1554" t="s">
        <v>1467</v>
      </c>
      <c r="D147" s="1555" t="s">
        <v>9291</v>
      </c>
      <c r="E147" s="1620">
        <f>(1*((1.2*2)+(1.6*2)))-(0.7*1)</f>
        <v>4.8999999999999995</v>
      </c>
      <c r="F147" s="1763">
        <f>VLOOKUP(C147,'AHSP MCK'!D:K,8,FALSE)</f>
        <v>221300</v>
      </c>
      <c r="G147" s="1684">
        <f>F147*E147</f>
        <v>1084369.9999999998</v>
      </c>
      <c r="H147" s="1678">
        <f>F147*E147/$G$67</f>
        <v>4.4012312823298982E-2</v>
      </c>
      <c r="I147" s="1555" t="s">
        <v>2979</v>
      </c>
      <c r="J147" s="1555" t="s">
        <v>1772</v>
      </c>
      <c r="K147" s="1555">
        <v>41019</v>
      </c>
      <c r="L147" s="1555" t="s">
        <v>9227</v>
      </c>
      <c r="M147" s="1565"/>
      <c r="O147" s="1721">
        <f>(1.5*((1.2*7)+(1.6*7)))-(1.5*0.7*3)</f>
        <v>26.250000000000004</v>
      </c>
      <c r="P147" s="1721">
        <f>(1.5*((1.2*4)+(1.93*4)))-(1.5*0.7*2)</f>
        <v>16.68</v>
      </c>
      <c r="Q147" s="1721">
        <f>(1.5*((1.2*4)+(1.9*4)))-(1.5*0.7*2)</f>
        <v>16.5</v>
      </c>
      <c r="S147" s="1721">
        <f>(1.5*(2+1.35+2+1.35+2))-(1.5*0.7)</f>
        <v>12</v>
      </c>
    </row>
    <row r="148" spans="1:19" ht="28.8">
      <c r="A148" s="1545">
        <v>53</v>
      </c>
      <c r="B148" s="1706">
        <v>3</v>
      </c>
      <c r="C148" s="1554" t="s">
        <v>4442</v>
      </c>
      <c r="D148" s="1555" t="s">
        <v>120</v>
      </c>
      <c r="E148" s="1620"/>
      <c r="F148" s="1720">
        <f>VLOOKUP(C148,'AHSP MCK'!D:K,8,FALSE)</f>
        <v>1330200</v>
      </c>
      <c r="G148" s="1684">
        <f>F148*E148</f>
        <v>0</v>
      </c>
      <c r="H148" s="1678">
        <f>F148*E148/$G$67</f>
        <v>0</v>
      </c>
      <c r="I148" s="1555" t="s">
        <v>4441</v>
      </c>
      <c r="J148" s="1555" t="s">
        <v>1772</v>
      </c>
      <c r="K148" s="1555">
        <v>41019</v>
      </c>
      <c r="L148" s="1555" t="s">
        <v>9227</v>
      </c>
      <c r="M148" s="1565"/>
    </row>
    <row r="149" spans="1:19">
      <c r="B149" s="1708"/>
      <c r="C149" s="1575"/>
      <c r="D149" s="1576"/>
      <c r="E149" s="1621"/>
      <c r="F149" s="1577"/>
      <c r="G149" s="1685"/>
      <c r="H149" s="1578"/>
      <c r="I149" s="1576"/>
      <c r="J149" s="1576"/>
      <c r="K149" s="1576"/>
      <c r="L149" s="1576"/>
      <c r="M149" s="1579"/>
    </row>
    <row r="150" spans="1:19">
      <c r="B150" s="1714"/>
      <c r="C150" s="1870" t="s">
        <v>9274</v>
      </c>
      <c r="D150" s="1870"/>
      <c r="E150" s="1870"/>
      <c r="F150" s="1870"/>
      <c r="G150" s="1686">
        <f>SUM(G146:G148)</f>
        <v>2189457.5</v>
      </c>
      <c r="H150" s="1567"/>
      <c r="I150" s="1547"/>
      <c r="J150" s="1547"/>
      <c r="K150" s="1547"/>
      <c r="M150" s="1568"/>
    </row>
    <row r="151" spans="1:19">
      <c r="B151" s="1715"/>
      <c r="C151" s="1590"/>
      <c r="D151" s="1591"/>
      <c r="E151" s="1622"/>
      <c r="F151" s="1592"/>
      <c r="G151" s="1687"/>
      <c r="H151" s="1679"/>
      <c r="I151" s="1591"/>
      <c r="J151" s="1591"/>
      <c r="K151" s="1591"/>
      <c r="L151" s="1591"/>
      <c r="M151" s="1593"/>
    </row>
    <row r="152" spans="1:19">
      <c r="B152" s="1716" t="s">
        <v>9269</v>
      </c>
      <c r="C152" s="1594" t="s">
        <v>9265</v>
      </c>
      <c r="D152" s="1595"/>
      <c r="E152" s="1623"/>
      <c r="F152" s="1596"/>
      <c r="G152" s="1690"/>
      <c r="H152" s="1597"/>
      <c r="I152" s="1595"/>
      <c r="J152" s="1595"/>
      <c r="K152" s="1595"/>
      <c r="L152" s="1595"/>
      <c r="M152" s="1598"/>
    </row>
    <row r="153" spans="1:19" ht="28.8">
      <c r="A153" s="1545">
        <v>7</v>
      </c>
      <c r="B153" s="1706">
        <v>1</v>
      </c>
      <c r="C153" s="1554" t="s">
        <v>1322</v>
      </c>
      <c r="D153" s="1555" t="s">
        <v>9291</v>
      </c>
      <c r="E153" s="1620">
        <f>3.12*2</f>
        <v>6.24</v>
      </c>
      <c r="F153" s="1763">
        <f>VLOOKUP(C153,'AHSP MCK'!D:K,8,FALSE)</f>
        <v>177400</v>
      </c>
      <c r="G153" s="1684">
        <f>F153*E153</f>
        <v>1106976</v>
      </c>
      <c r="H153" s="1678">
        <f>F153*E153/$G$67</f>
        <v>4.492984313461662E-2</v>
      </c>
      <c r="I153" s="1555" t="s">
        <v>2200</v>
      </c>
      <c r="J153" s="1555" t="s">
        <v>1772</v>
      </c>
      <c r="K153" s="1555">
        <v>41019</v>
      </c>
      <c r="L153" s="1555" t="s">
        <v>9227</v>
      </c>
      <c r="M153" s="1565"/>
    </row>
    <row r="154" spans="1:19">
      <c r="A154" s="1545">
        <v>18</v>
      </c>
      <c r="B154" s="1706">
        <v>2</v>
      </c>
      <c r="C154" s="1554" t="s">
        <v>2660</v>
      </c>
      <c r="D154" s="1555" t="s">
        <v>9291</v>
      </c>
      <c r="E154" s="1620">
        <f>E153</f>
        <v>6.24</v>
      </c>
      <c r="F154" s="1720">
        <f>VLOOKUP(C154,'AHSP MCK'!D:K,8,FALSE)</f>
        <v>311000</v>
      </c>
      <c r="G154" s="1684">
        <f>F154*E154</f>
        <v>1940640</v>
      </c>
      <c r="H154" s="1678">
        <f>F154*E154/$G$67</f>
        <v>7.8766523195410207E-2</v>
      </c>
      <c r="I154" s="1563" t="s">
        <v>2659</v>
      </c>
      <c r="J154" s="1555" t="s">
        <v>1772</v>
      </c>
      <c r="K154" s="1555">
        <v>41019</v>
      </c>
      <c r="L154" s="1555" t="s">
        <v>9227</v>
      </c>
      <c r="M154" s="1565"/>
    </row>
    <row r="155" spans="1:19" ht="28.8">
      <c r="A155" s="1545">
        <v>19</v>
      </c>
      <c r="B155" s="1706">
        <v>3</v>
      </c>
      <c r="C155" s="1554" t="s">
        <v>1375</v>
      </c>
      <c r="D155" s="1555" t="s">
        <v>113</v>
      </c>
      <c r="E155" s="1620">
        <f>2+3.12+2</f>
        <v>7.12</v>
      </c>
      <c r="F155" s="1720">
        <f>VLOOKUP(C155,'AHSP MCK'!D:K,8,FALSE)</f>
        <v>75600</v>
      </c>
      <c r="G155" s="1684">
        <f>F155*E155</f>
        <v>538272</v>
      </c>
      <c r="H155" s="1678">
        <f>F155*E155/$G$67</f>
        <v>2.1847335916728418E-2</v>
      </c>
      <c r="I155" s="1561" t="s">
        <v>2690</v>
      </c>
      <c r="J155" s="1555" t="s">
        <v>1772</v>
      </c>
      <c r="K155" s="1555">
        <v>41019</v>
      </c>
      <c r="L155" s="1555" t="s">
        <v>9227</v>
      </c>
      <c r="M155" s="1565"/>
    </row>
    <row r="156" spans="1:19">
      <c r="B156" s="1708"/>
      <c r="C156" s="1575"/>
      <c r="D156" s="1576"/>
      <c r="E156" s="1621"/>
      <c r="F156" s="1577"/>
      <c r="G156" s="1685"/>
      <c r="H156" s="1578"/>
      <c r="I156" s="1608"/>
      <c r="J156" s="1576"/>
      <c r="K156" s="1576"/>
      <c r="L156" s="1576"/>
      <c r="M156" s="1579"/>
    </row>
    <row r="157" spans="1:19">
      <c r="B157" s="1714"/>
      <c r="C157" s="1870" t="s">
        <v>9274</v>
      </c>
      <c r="D157" s="1870"/>
      <c r="E157" s="1870"/>
      <c r="F157" s="1870"/>
      <c r="G157" s="1686">
        <f>SUM(G153:G155)</f>
        <v>3585888</v>
      </c>
      <c r="H157" s="1567"/>
      <c r="I157" s="1547"/>
      <c r="J157" s="1547"/>
      <c r="K157" s="1547"/>
      <c r="M157" s="1568"/>
    </row>
    <row r="158" spans="1:19">
      <c r="B158" s="1715"/>
      <c r="C158" s="1590"/>
      <c r="D158" s="1591"/>
      <c r="E158" s="1622"/>
      <c r="F158" s="1592"/>
      <c r="G158" s="1687"/>
      <c r="H158" s="1679"/>
      <c r="I158" s="1591"/>
      <c r="J158" s="1591"/>
      <c r="K158" s="1591"/>
      <c r="L158" s="1591"/>
      <c r="M158" s="1593"/>
    </row>
    <row r="159" spans="1:19">
      <c r="B159" s="1716" t="s">
        <v>9270</v>
      </c>
      <c r="C159" s="1594" t="s">
        <v>9260</v>
      </c>
      <c r="D159" s="1595"/>
      <c r="E159" s="1623"/>
      <c r="F159" s="1596"/>
      <c r="G159" s="1690"/>
      <c r="H159" s="1597"/>
      <c r="I159" s="1595"/>
      <c r="J159" s="1595"/>
      <c r="K159" s="1595"/>
      <c r="L159" s="1595"/>
      <c r="M159" s="1598"/>
    </row>
    <row r="160" spans="1:19" ht="28.8">
      <c r="A160" s="1545">
        <v>22</v>
      </c>
      <c r="B160" s="1706">
        <v>1</v>
      </c>
      <c r="C160" s="1554" t="s">
        <v>1399</v>
      </c>
      <c r="D160" s="1555" t="s">
        <v>9291</v>
      </c>
      <c r="E160" s="1620">
        <f>E161</f>
        <v>6.24</v>
      </c>
      <c r="F160" s="1720">
        <f>VLOOKUP(C160,'AHSP MCK'!D:K,8,FALSE)</f>
        <v>120400</v>
      </c>
      <c r="G160" s="1684">
        <f>F160*E160</f>
        <v>751296</v>
      </c>
      <c r="H160" s="1678">
        <f>F160*E160/$G$67</f>
        <v>3.0493535024846908E-2</v>
      </c>
      <c r="I160" s="1561" t="s">
        <v>2737</v>
      </c>
      <c r="J160" s="1555" t="s">
        <v>1772</v>
      </c>
      <c r="K160" s="1555">
        <v>41019</v>
      </c>
      <c r="L160" s="1555" t="s">
        <v>9227</v>
      </c>
      <c r="M160" s="1565"/>
      <c r="O160" s="1721">
        <f>6.55*3.03</f>
        <v>19.846499999999999</v>
      </c>
      <c r="P160" s="1721">
        <f>3.85*2.9</f>
        <v>11.164999999999999</v>
      </c>
      <c r="Q160" s="1721">
        <f>3.85*2.9</f>
        <v>11.164999999999999</v>
      </c>
      <c r="S160" s="1721">
        <f>(4.15*1.35)+(2.15*0.65)</f>
        <v>7.0000000000000009</v>
      </c>
    </row>
    <row r="161" spans="1:19" ht="28.8">
      <c r="A161" s="1545">
        <v>20</v>
      </c>
      <c r="B161" s="1706">
        <v>2</v>
      </c>
      <c r="C161" s="1554" t="s">
        <v>2716</v>
      </c>
      <c r="D161" s="1555" t="s">
        <v>9291</v>
      </c>
      <c r="E161" s="1620">
        <f>E153</f>
        <v>6.24</v>
      </c>
      <c r="F161" s="1720">
        <f>VLOOKUP(C161,'AHSP MCK'!D:K,8,FALSE)</f>
        <v>73700</v>
      </c>
      <c r="G161" s="1684">
        <f>F161*E161</f>
        <v>459888</v>
      </c>
      <c r="H161" s="1678">
        <f>F161*E161/$G$67</f>
        <v>1.8665893117368913E-2</v>
      </c>
      <c r="I161" s="1561" t="s">
        <v>2715</v>
      </c>
      <c r="J161" s="1555" t="s">
        <v>1772</v>
      </c>
      <c r="K161" s="1555">
        <v>41019</v>
      </c>
      <c r="L161" s="1555" t="s">
        <v>9227</v>
      </c>
      <c r="M161" s="1565"/>
      <c r="O161" s="1721">
        <f>O160</f>
        <v>19.846499999999999</v>
      </c>
      <c r="P161" s="1721">
        <f>P160</f>
        <v>11.164999999999999</v>
      </c>
      <c r="Q161" s="1721">
        <f>Q160</f>
        <v>11.164999999999999</v>
      </c>
      <c r="S161" s="1721">
        <f>S160</f>
        <v>7.0000000000000009</v>
      </c>
    </row>
    <row r="162" spans="1:19">
      <c r="A162" s="1545">
        <v>21</v>
      </c>
      <c r="B162" s="1706">
        <v>3</v>
      </c>
      <c r="C162" s="1554" t="s">
        <v>1397</v>
      </c>
      <c r="D162" s="1555" t="s">
        <v>113</v>
      </c>
      <c r="E162" s="1620">
        <f>(1.2*2)+(1.5*2)</f>
        <v>5.4</v>
      </c>
      <c r="F162" s="1763">
        <f>VLOOKUP(C162,'AHSP MCK'!D:K,8,FALSE)</f>
        <v>21300</v>
      </c>
      <c r="G162" s="1684">
        <f>F162*E162</f>
        <v>115020.00000000001</v>
      </c>
      <c r="H162" s="1678">
        <f>F162*E162/$G$67</f>
        <v>4.6684214990601464E-3</v>
      </c>
      <c r="I162" s="1561" t="s">
        <v>2733</v>
      </c>
      <c r="J162" s="1555" t="s">
        <v>1772</v>
      </c>
      <c r="K162" s="1555">
        <v>41019</v>
      </c>
      <c r="L162" s="1555" t="s">
        <v>9227</v>
      </c>
      <c r="M162" s="1565"/>
      <c r="O162" s="1721">
        <f>(1.2*6)+(1.6*6)</f>
        <v>16.8</v>
      </c>
      <c r="P162" s="1721">
        <f>(1.2*2)+(1.93*2)</f>
        <v>6.26</v>
      </c>
      <c r="Q162" s="1721">
        <f>(1.2*2)+(1.9*2)</f>
        <v>6.1999999999999993</v>
      </c>
      <c r="S162" s="1721">
        <f>(2+1.35+2+1.35+2+2+2)</f>
        <v>12.7</v>
      </c>
    </row>
    <row r="163" spans="1:19">
      <c r="B163" s="1718"/>
      <c r="C163" s="1558"/>
      <c r="D163" s="1559"/>
      <c r="E163" s="1626"/>
      <c r="F163" s="1560"/>
      <c r="G163" s="1693"/>
      <c r="H163" s="1680"/>
      <c r="I163" s="1564"/>
      <c r="J163" s="1559"/>
      <c r="K163" s="1559"/>
      <c r="L163" s="1559"/>
      <c r="M163" s="1566"/>
    </row>
    <row r="164" spans="1:19">
      <c r="B164" s="1714"/>
      <c r="C164" s="1870" t="s">
        <v>9274</v>
      </c>
      <c r="D164" s="1870"/>
      <c r="E164" s="1870"/>
      <c r="F164" s="1870"/>
      <c r="G164" s="1686">
        <f>SUM(G160:G162)</f>
        <v>1326204</v>
      </c>
      <c r="H164" s="1567"/>
      <c r="I164" s="1547"/>
      <c r="J164" s="1547"/>
      <c r="K164" s="1547"/>
      <c r="M164" s="1568"/>
    </row>
    <row r="165" spans="1:19">
      <c r="B165" s="1715"/>
      <c r="C165" s="1590"/>
      <c r="D165" s="1591"/>
      <c r="E165" s="1622"/>
      <c r="F165" s="1592"/>
      <c r="G165" s="1687"/>
      <c r="H165" s="1679"/>
      <c r="I165" s="1609"/>
      <c r="J165" s="1591"/>
      <c r="K165" s="1591"/>
      <c r="L165" s="1591"/>
      <c r="M165" s="1593"/>
    </row>
    <row r="166" spans="1:19">
      <c r="B166" s="1716" t="s">
        <v>8932</v>
      </c>
      <c r="C166" s="1594" t="s">
        <v>9262</v>
      </c>
      <c r="D166" s="1595"/>
      <c r="E166" s="1623"/>
      <c r="F166" s="1596"/>
      <c r="G166" s="1690"/>
      <c r="H166" s="1597"/>
      <c r="I166" s="1610"/>
      <c r="J166" s="1595"/>
      <c r="K166" s="1595"/>
      <c r="L166" s="1595"/>
      <c r="M166" s="1598"/>
    </row>
    <row r="167" spans="1:19" ht="28.8">
      <c r="A167" s="1545">
        <v>28</v>
      </c>
      <c r="B167" s="1706">
        <v>1</v>
      </c>
      <c r="C167" s="1554" t="s">
        <v>2817</v>
      </c>
      <c r="D167" s="1555" t="s">
        <v>9291</v>
      </c>
      <c r="E167" s="1620">
        <v>19.53</v>
      </c>
      <c r="F167" s="1720">
        <f>VLOOKUP(C167,'AHSP MCK'!D:K,8,FALSE)</f>
        <v>37500</v>
      </c>
      <c r="G167" s="1684">
        <f>F167*E167</f>
        <v>732375</v>
      </c>
      <c r="H167" s="1678">
        <f>F167*E167/$G$67</f>
        <v>2.9725571164790247E-2</v>
      </c>
      <c r="I167" s="1561" t="s">
        <v>2816</v>
      </c>
      <c r="J167" s="1555" t="s">
        <v>1772</v>
      </c>
      <c r="K167" s="1555">
        <v>41019</v>
      </c>
      <c r="L167" s="1555" t="s">
        <v>9227</v>
      </c>
      <c r="M167" s="1565"/>
      <c r="O167" s="1721">
        <f>O138</f>
        <v>51.350000000000009</v>
      </c>
      <c r="P167" s="1721">
        <f>P138</f>
        <v>33.945999999999998</v>
      </c>
      <c r="Q167" s="1721">
        <f>Q138</f>
        <v>33.64</v>
      </c>
      <c r="S167" s="1721">
        <f>S138</f>
        <v>38.720000000000006</v>
      </c>
    </row>
    <row r="168" spans="1:19" ht="28.8">
      <c r="A168" s="1545">
        <v>29</v>
      </c>
      <c r="B168" s="1706">
        <v>2</v>
      </c>
      <c r="C168" s="1554" t="s">
        <v>2837</v>
      </c>
      <c r="D168" s="1555" t="s">
        <v>9291</v>
      </c>
      <c r="E168" s="1620">
        <f>E161</f>
        <v>6.24</v>
      </c>
      <c r="F168" s="1763">
        <f>VLOOKUP(C168,'AHSP MCK'!D:K,8,FALSE)</f>
        <v>32700</v>
      </c>
      <c r="G168" s="1684">
        <f>F168*E168</f>
        <v>204048</v>
      </c>
      <c r="H168" s="1678">
        <f>F168*E168/$G$67</f>
        <v>8.2818820208678898E-3</v>
      </c>
      <c r="I168" s="1561" t="s">
        <v>2836</v>
      </c>
      <c r="J168" s="1555" t="s">
        <v>1772</v>
      </c>
      <c r="K168" s="1555">
        <v>41019</v>
      </c>
      <c r="L168" s="1555" t="s">
        <v>9227</v>
      </c>
      <c r="M168" s="1565"/>
      <c r="O168" s="1721">
        <f>O161</f>
        <v>19.846499999999999</v>
      </c>
      <c r="P168" s="1721">
        <f>P161</f>
        <v>11.164999999999999</v>
      </c>
      <c r="Q168" s="1721">
        <f>Q161</f>
        <v>11.164999999999999</v>
      </c>
      <c r="S168" s="1721">
        <f>S161</f>
        <v>7.0000000000000009</v>
      </c>
    </row>
    <row r="169" spans="1:19">
      <c r="B169" s="1708"/>
      <c r="C169" s="1575"/>
      <c r="D169" s="1576"/>
      <c r="E169" s="1621"/>
      <c r="F169" s="1577"/>
      <c r="G169" s="1685"/>
      <c r="H169" s="1578"/>
      <c r="I169" s="1608"/>
      <c r="J169" s="1576"/>
      <c r="K169" s="1576"/>
      <c r="L169" s="1576"/>
      <c r="M169" s="1579"/>
    </row>
    <row r="170" spans="1:19">
      <c r="B170" s="1714"/>
      <c r="C170" s="1870" t="s">
        <v>9274</v>
      </c>
      <c r="D170" s="1870"/>
      <c r="E170" s="1870"/>
      <c r="F170" s="1870"/>
      <c r="G170" s="1686">
        <f>SUM(G167:G168)</f>
        <v>936423</v>
      </c>
      <c r="H170" s="1567"/>
      <c r="I170" s="1547"/>
      <c r="J170" s="1547"/>
      <c r="K170" s="1547"/>
      <c r="M170" s="1568"/>
    </row>
    <row r="171" spans="1:19">
      <c r="B171" s="1715"/>
      <c r="C171" s="1590"/>
      <c r="D171" s="1591"/>
      <c r="E171" s="1622"/>
      <c r="F171" s="1592"/>
      <c r="G171" s="1687"/>
      <c r="H171" s="1679"/>
      <c r="I171" s="1609"/>
      <c r="J171" s="1591"/>
      <c r="K171" s="1591"/>
      <c r="L171" s="1591"/>
      <c r="M171" s="1593"/>
    </row>
    <row r="172" spans="1:19">
      <c r="B172" s="1716" t="s">
        <v>9271</v>
      </c>
      <c r="C172" s="1594" t="s">
        <v>9261</v>
      </c>
      <c r="D172" s="1595"/>
      <c r="E172" s="1623"/>
      <c r="F172" s="1596"/>
      <c r="G172" s="1690"/>
      <c r="H172" s="1597"/>
      <c r="I172" s="1610"/>
      <c r="J172" s="1595"/>
      <c r="K172" s="1595"/>
      <c r="L172" s="1595"/>
      <c r="M172" s="1598"/>
    </row>
    <row r="173" spans="1:19">
      <c r="A173" s="1545">
        <v>34</v>
      </c>
      <c r="B173" s="1706">
        <v>1</v>
      </c>
      <c r="C173" s="1554" t="s">
        <v>1560</v>
      </c>
      <c r="D173" s="1555" t="s">
        <v>775</v>
      </c>
      <c r="E173" s="1620">
        <v>1</v>
      </c>
      <c r="F173" s="1763">
        <f>VLOOKUP(C173,'AHSP MCK'!D:K,8,FALSE)</f>
        <v>569400</v>
      </c>
      <c r="G173" s="1684">
        <f t="shared" ref="G173:G183" si="22">F173*E173</f>
        <v>569400</v>
      </c>
      <c r="H173" s="1678">
        <f t="shared" ref="H173:H183" si="23">F173*E173/$G$67</f>
        <v>2.3110756403798009E-2</v>
      </c>
      <c r="I173" s="1555" t="s">
        <v>3186</v>
      </c>
      <c r="J173" s="1555" t="s">
        <v>1772</v>
      </c>
      <c r="K173" s="1555">
        <v>41019</v>
      </c>
      <c r="L173" s="1555" t="s">
        <v>9227</v>
      </c>
      <c r="M173" s="1565"/>
      <c r="O173" s="1721">
        <v>3</v>
      </c>
      <c r="P173" s="1721">
        <v>2</v>
      </c>
      <c r="Q173" s="1721">
        <v>2</v>
      </c>
      <c r="S173" s="1721">
        <v>1</v>
      </c>
    </row>
    <row r="174" spans="1:19" ht="28.8">
      <c r="A174" s="1545">
        <v>44</v>
      </c>
      <c r="B174" s="1706">
        <v>2</v>
      </c>
      <c r="C174" s="1554" t="s">
        <v>8066</v>
      </c>
      <c r="D174" s="1555" t="s">
        <v>113</v>
      </c>
      <c r="E174" s="1620">
        <v>4</v>
      </c>
      <c r="F174" s="1763">
        <f>VLOOKUP(C174,'AHSP MCK'!D:K,8,FALSE)</f>
        <v>30600</v>
      </c>
      <c r="G174" s="1684">
        <f t="shared" si="22"/>
        <v>122400</v>
      </c>
      <c r="H174" s="1678">
        <f t="shared" si="23"/>
        <v>4.967960280689983E-3</v>
      </c>
      <c r="I174" s="1561" t="s">
        <v>3604</v>
      </c>
      <c r="J174" s="1555" t="s">
        <v>1772</v>
      </c>
      <c r="K174" s="1555">
        <v>41019</v>
      </c>
      <c r="L174" s="1555" t="s">
        <v>9227</v>
      </c>
      <c r="M174" s="1565"/>
      <c r="P174" s="1721">
        <v>8</v>
      </c>
      <c r="Q174" s="1721">
        <v>8</v>
      </c>
      <c r="S174" s="1721">
        <v>8</v>
      </c>
    </row>
    <row r="175" spans="1:19" ht="28.8">
      <c r="A175" s="1545">
        <v>45</v>
      </c>
      <c r="B175" s="1706">
        <v>3</v>
      </c>
      <c r="C175" s="1554" t="s">
        <v>8065</v>
      </c>
      <c r="D175" s="1555" t="s">
        <v>113</v>
      </c>
      <c r="E175" s="1620"/>
      <c r="F175" s="1763">
        <f>VLOOKUP(C175,'AHSP MCK'!D:K,8,FALSE)</f>
        <v>34200</v>
      </c>
      <c r="G175" s="1684">
        <f t="shared" si="22"/>
        <v>0</v>
      </c>
      <c r="H175" s="1678">
        <f t="shared" si="23"/>
        <v>0</v>
      </c>
      <c r="I175" s="1561" t="s">
        <v>3605</v>
      </c>
      <c r="J175" s="1555" t="s">
        <v>1772</v>
      </c>
      <c r="K175" s="1555">
        <v>41019</v>
      </c>
      <c r="L175" s="1555" t="s">
        <v>9227</v>
      </c>
      <c r="M175" s="1565"/>
      <c r="P175" s="1721">
        <v>8</v>
      </c>
      <c r="Q175" s="1721">
        <v>8</v>
      </c>
      <c r="S175" s="1721">
        <v>8</v>
      </c>
    </row>
    <row r="176" spans="1:19" ht="28.8">
      <c r="A176" s="1545">
        <v>47</v>
      </c>
      <c r="B176" s="1706">
        <v>4</v>
      </c>
      <c r="C176" s="1554" t="s">
        <v>8073</v>
      </c>
      <c r="D176" s="1555" t="s">
        <v>113</v>
      </c>
      <c r="E176" s="1620"/>
      <c r="F176" s="1720">
        <f>VLOOKUP(C176,'AHSP MCK'!D:K,8,FALSE)</f>
        <v>175000</v>
      </c>
      <c r="G176" s="1684">
        <f t="shared" si="22"/>
        <v>0</v>
      </c>
      <c r="H176" s="1678">
        <f t="shared" si="23"/>
        <v>0</v>
      </c>
      <c r="I176" s="1561" t="s">
        <v>3609</v>
      </c>
      <c r="J176" s="1555" t="s">
        <v>1772</v>
      </c>
      <c r="K176" s="1555">
        <v>41019</v>
      </c>
      <c r="L176" s="1555" t="s">
        <v>9227</v>
      </c>
      <c r="M176" s="1565"/>
    </row>
    <row r="177" spans="1:19" ht="28.8">
      <c r="A177" s="1545">
        <v>48</v>
      </c>
      <c r="B177" s="1706">
        <v>5</v>
      </c>
      <c r="C177" s="1554" t="s">
        <v>8077</v>
      </c>
      <c r="D177" s="1555" t="s">
        <v>113</v>
      </c>
      <c r="E177" s="1620">
        <v>4</v>
      </c>
      <c r="F177" s="1720">
        <f>VLOOKUP(C177,'AHSP MCK'!D:K,8,FALSE)</f>
        <v>228200</v>
      </c>
      <c r="G177" s="1684">
        <f t="shared" si="22"/>
        <v>912800</v>
      </c>
      <c r="H177" s="1678">
        <f t="shared" si="23"/>
        <v>3.7048644969067131E-2</v>
      </c>
      <c r="I177" s="1561" t="s">
        <v>3611</v>
      </c>
      <c r="J177" s="1555" t="s">
        <v>1772</v>
      </c>
      <c r="K177" s="1555">
        <v>41019</v>
      </c>
      <c r="L177" s="1555" t="s">
        <v>9227</v>
      </c>
      <c r="M177" s="1565"/>
      <c r="P177" s="1721">
        <v>8</v>
      </c>
      <c r="Q177" s="1721">
        <v>8</v>
      </c>
      <c r="S177" s="1721">
        <v>4</v>
      </c>
    </row>
    <row r="178" spans="1:19" ht="28.8">
      <c r="A178" s="1545">
        <v>36</v>
      </c>
      <c r="B178" s="1706">
        <v>6</v>
      </c>
      <c r="C178" s="1554" t="s">
        <v>1569</v>
      </c>
      <c r="D178" s="1555" t="s">
        <v>775</v>
      </c>
      <c r="E178" s="1620">
        <v>1</v>
      </c>
      <c r="F178" s="1720">
        <f>VLOOKUP(C178,'AHSP MCK'!D:K,8,FALSE)</f>
        <v>98500</v>
      </c>
      <c r="G178" s="1684">
        <f t="shared" si="22"/>
        <v>98500</v>
      </c>
      <c r="H178" s="1678">
        <f t="shared" si="23"/>
        <v>3.9979092128101575E-3</v>
      </c>
      <c r="I178" s="1555" t="s">
        <v>3205</v>
      </c>
      <c r="J178" s="1555" t="s">
        <v>1772</v>
      </c>
      <c r="K178" s="1555">
        <v>41019</v>
      </c>
      <c r="L178" s="1555" t="s">
        <v>9227</v>
      </c>
      <c r="M178" s="1565"/>
      <c r="O178" s="1721">
        <v>5</v>
      </c>
      <c r="P178" s="1721">
        <v>2</v>
      </c>
      <c r="Q178" s="1721">
        <v>2</v>
      </c>
      <c r="S178" s="1721">
        <v>4</v>
      </c>
    </row>
    <row r="179" spans="1:19" ht="28.8">
      <c r="A179" s="1545">
        <v>35</v>
      </c>
      <c r="B179" s="1706">
        <v>7</v>
      </c>
      <c r="C179" s="1554" t="s">
        <v>1568</v>
      </c>
      <c r="D179" s="1555" t="s">
        <v>775</v>
      </c>
      <c r="E179" s="1620">
        <v>1</v>
      </c>
      <c r="F179" s="1720">
        <f>VLOOKUP(C179,'AHSP MCK'!D:K,8,FALSE)</f>
        <v>45600</v>
      </c>
      <c r="G179" s="1684">
        <f t="shared" si="22"/>
        <v>45600</v>
      </c>
      <c r="H179" s="1678">
        <f t="shared" si="23"/>
        <v>1.8508087320217583E-3</v>
      </c>
      <c r="I179" s="1555" t="s">
        <v>3202</v>
      </c>
      <c r="J179" s="1555" t="s">
        <v>1772</v>
      </c>
      <c r="K179" s="1555">
        <v>41019</v>
      </c>
      <c r="L179" s="1555" t="s">
        <v>9227</v>
      </c>
      <c r="M179" s="1565"/>
      <c r="O179" s="1721">
        <v>4</v>
      </c>
      <c r="P179" s="1721">
        <v>2</v>
      </c>
      <c r="Q179" s="1721">
        <v>2</v>
      </c>
      <c r="S179" s="1721">
        <v>2</v>
      </c>
    </row>
    <row r="180" spans="1:19">
      <c r="A180" s="1545">
        <v>52</v>
      </c>
      <c r="B180" s="1706">
        <v>8</v>
      </c>
      <c r="C180" s="1554" t="s">
        <v>9302</v>
      </c>
      <c r="D180" s="1555" t="s">
        <v>135</v>
      </c>
      <c r="E180" s="1620"/>
      <c r="F180" s="1556">
        <f>VLOOKUP(C180,'AHSP MCK'!D:K,8,FALSE)</f>
        <v>731400</v>
      </c>
      <c r="G180" s="1684">
        <f t="shared" si="22"/>
        <v>0</v>
      </c>
      <c r="H180" s="1678">
        <f t="shared" si="23"/>
        <v>0</v>
      </c>
      <c r="I180" s="1555" t="s">
        <v>3767</v>
      </c>
      <c r="J180" s="1555" t="s">
        <v>1772</v>
      </c>
      <c r="K180" s="1555">
        <v>41019</v>
      </c>
      <c r="L180" s="1555" t="s">
        <v>9227</v>
      </c>
      <c r="M180" s="1565"/>
      <c r="Q180" s="1721">
        <v>1</v>
      </c>
    </row>
    <row r="181" spans="1:19">
      <c r="A181" s="1545">
        <v>37</v>
      </c>
      <c r="B181" s="1706">
        <v>9</v>
      </c>
      <c r="C181" s="1554" t="s">
        <v>1651</v>
      </c>
      <c r="D181" s="1555" t="s">
        <v>113</v>
      </c>
      <c r="E181" s="1620">
        <v>8</v>
      </c>
      <c r="F181" s="1720">
        <f>VLOOKUP(C181,'AHSP MCK'!D:K,8,FALSE)</f>
        <v>29000</v>
      </c>
      <c r="G181" s="1684">
        <f t="shared" si="22"/>
        <v>232000</v>
      </c>
      <c r="H181" s="1678">
        <f t="shared" si="23"/>
        <v>9.4163953032685953E-3</v>
      </c>
      <c r="I181" s="1555" t="s">
        <v>3243</v>
      </c>
      <c r="J181" s="1555" t="s">
        <v>1772</v>
      </c>
      <c r="K181" s="1555">
        <v>41019</v>
      </c>
      <c r="L181" s="1555" t="s">
        <v>9227</v>
      </c>
      <c r="M181" s="1565"/>
      <c r="O181" s="1721">
        <v>15</v>
      </c>
      <c r="P181" s="1721">
        <v>10</v>
      </c>
      <c r="Q181" s="1721">
        <v>10</v>
      </c>
      <c r="S181" s="1721">
        <v>10</v>
      </c>
    </row>
    <row r="182" spans="1:19" ht="28.8">
      <c r="B182" s="1706">
        <v>10</v>
      </c>
      <c r="C182" s="1554" t="s">
        <v>3760</v>
      </c>
      <c r="D182" s="1555" t="s">
        <v>775</v>
      </c>
      <c r="E182" s="1620"/>
      <c r="F182" s="1763">
        <f>VLOOKUP(C182,'AHSP MCK'!D:K,8,FALSE)</f>
        <v>783400</v>
      </c>
      <c r="G182" s="1684">
        <f t="shared" si="22"/>
        <v>0</v>
      </c>
      <c r="H182" s="1678">
        <f t="shared" si="23"/>
        <v>0</v>
      </c>
      <c r="I182" s="1561" t="s">
        <v>8088</v>
      </c>
      <c r="J182" s="1555" t="s">
        <v>1772</v>
      </c>
      <c r="K182" s="1555"/>
      <c r="L182" s="1555"/>
      <c r="M182" s="1565"/>
      <c r="Q182" s="1721">
        <v>1</v>
      </c>
    </row>
    <row r="183" spans="1:19" ht="28.8">
      <c r="A183" s="1545">
        <v>50</v>
      </c>
      <c r="B183" s="1706">
        <v>11</v>
      </c>
      <c r="C183" s="1554" t="s">
        <v>1582</v>
      </c>
      <c r="D183" s="1555" t="s">
        <v>135</v>
      </c>
      <c r="E183" s="1620"/>
      <c r="F183" s="1556">
        <f>VLOOKUP(C183,'AHSP MCK'!D:K,8,FALSE)</f>
        <v>3982400</v>
      </c>
      <c r="G183" s="1684">
        <f t="shared" si="22"/>
        <v>0</v>
      </c>
      <c r="H183" s="1678">
        <f t="shared" si="23"/>
        <v>0</v>
      </c>
      <c r="I183" s="1561" t="s">
        <v>3749</v>
      </c>
      <c r="J183" s="1555" t="s">
        <v>1772</v>
      </c>
      <c r="K183" s="1555">
        <v>41019</v>
      </c>
      <c r="L183" s="1555" t="s">
        <v>9227</v>
      </c>
      <c r="M183" s="1565"/>
    </row>
    <row r="184" spans="1:19">
      <c r="B184" s="1708"/>
      <c r="C184" s="1575"/>
      <c r="D184" s="1576"/>
      <c r="E184" s="1621"/>
      <c r="F184" s="1577"/>
      <c r="G184" s="1685"/>
      <c r="H184" s="1578"/>
      <c r="I184" s="1608"/>
      <c r="J184" s="1576"/>
      <c r="K184" s="1576"/>
      <c r="L184" s="1576"/>
      <c r="M184" s="1579"/>
    </row>
    <row r="185" spans="1:19">
      <c r="B185" s="1714"/>
      <c r="C185" s="1870" t="s">
        <v>9274</v>
      </c>
      <c r="D185" s="1870"/>
      <c r="E185" s="1870"/>
      <c r="F185" s="1870"/>
      <c r="G185" s="1686">
        <f>SUM(G173:G183)</f>
        <v>1980700</v>
      </c>
      <c r="H185" s="1567"/>
      <c r="I185" s="1547"/>
      <c r="J185" s="1547"/>
      <c r="K185" s="1547"/>
      <c r="M185" s="1568"/>
    </row>
    <row r="186" spans="1:19">
      <c r="B186" s="1715"/>
      <c r="C186" s="1590"/>
      <c r="D186" s="1591"/>
      <c r="E186" s="1622"/>
      <c r="F186" s="1592"/>
      <c r="G186" s="1687"/>
      <c r="H186" s="1679"/>
      <c r="I186" s="1609"/>
      <c r="J186" s="1591"/>
      <c r="K186" s="1591"/>
      <c r="L186" s="1591"/>
      <c r="M186" s="1593"/>
    </row>
    <row r="187" spans="1:19">
      <c r="B187" s="1716" t="s">
        <v>9272</v>
      </c>
      <c r="C187" s="1594" t="s">
        <v>9073</v>
      </c>
      <c r="D187" s="1595"/>
      <c r="E187" s="1623"/>
      <c r="F187" s="1596"/>
      <c r="G187" s="1690"/>
      <c r="H187" s="1597"/>
      <c r="I187" s="1610"/>
      <c r="J187" s="1595"/>
      <c r="K187" s="1595"/>
      <c r="L187" s="1595"/>
      <c r="M187" s="1598"/>
    </row>
    <row r="188" spans="1:19" ht="43.2">
      <c r="A188" s="1545">
        <v>56</v>
      </c>
      <c r="B188" s="1706">
        <v>1</v>
      </c>
      <c r="C188" s="1554" t="s">
        <v>9230</v>
      </c>
      <c r="D188" s="1555" t="s">
        <v>135</v>
      </c>
      <c r="E188" s="1697"/>
      <c r="F188" s="1556">
        <v>4958264</v>
      </c>
      <c r="G188" s="1684">
        <f t="shared" ref="G188:G203" si="24">F188*E188</f>
        <v>0</v>
      </c>
      <c r="H188" s="1678">
        <f t="shared" ref="H188:H203" si="25">F188*E188/$G$67</f>
        <v>0</v>
      </c>
      <c r="I188" s="1555" t="s">
        <v>2225</v>
      </c>
      <c r="J188" s="1555" t="s">
        <v>1772</v>
      </c>
      <c r="K188" s="1555">
        <v>41019</v>
      </c>
      <c r="L188" s="1555" t="s">
        <v>9227</v>
      </c>
      <c r="M188" s="1565"/>
    </row>
    <row r="189" spans="1:19" ht="57.6">
      <c r="A189" s="1545">
        <v>54</v>
      </c>
      <c r="B189" s="1706">
        <v>1</v>
      </c>
      <c r="C189" s="1554" t="s">
        <v>1956</v>
      </c>
      <c r="D189" s="1695" t="s">
        <v>120</v>
      </c>
      <c r="E189" s="1700">
        <f>2.45*1.4*1.3</f>
        <v>4.4590000000000005</v>
      </c>
      <c r="F189" s="1696">
        <f>VLOOKUP(C189,'AHSP MCK'!D:K,8,FALSE)</f>
        <v>89100</v>
      </c>
      <c r="G189" s="1684">
        <f t="shared" si="24"/>
        <v>397296.9</v>
      </c>
      <c r="H189" s="1678">
        <f t="shared" si="25"/>
        <v>1.6125451134324023E-2</v>
      </c>
      <c r="I189" s="1555" t="s">
        <v>1810</v>
      </c>
      <c r="J189" s="1555" t="s">
        <v>9068</v>
      </c>
      <c r="K189" s="1555">
        <v>41019</v>
      </c>
      <c r="L189" s="1555" t="s">
        <v>9227</v>
      </c>
      <c r="M189" s="1565"/>
    </row>
    <row r="190" spans="1:19" ht="28.8">
      <c r="A190" s="1545">
        <v>55</v>
      </c>
      <c r="B190" s="1706">
        <v>2</v>
      </c>
      <c r="C190" s="1554" t="s">
        <v>2118</v>
      </c>
      <c r="D190" s="1695" t="s">
        <v>120</v>
      </c>
      <c r="E190" s="1701">
        <f>E189</f>
        <v>4.4590000000000005</v>
      </c>
      <c r="F190" s="1696">
        <f>VLOOKUP(C190,'AHSP MCK'!D:K,8,FALSE)</f>
        <v>26700</v>
      </c>
      <c r="G190" s="1684">
        <f t="shared" si="24"/>
        <v>119055.30000000002</v>
      </c>
      <c r="H190" s="1678">
        <f t="shared" si="25"/>
        <v>4.8322058954708355E-3</v>
      </c>
      <c r="I190" s="1555" t="s">
        <v>2112</v>
      </c>
      <c r="J190" s="1555" t="s">
        <v>9068</v>
      </c>
      <c r="K190" s="1555">
        <v>41019</v>
      </c>
      <c r="L190" s="1555" t="s">
        <v>9227</v>
      </c>
      <c r="M190" s="1565"/>
    </row>
    <row r="191" spans="1:19" ht="43.2">
      <c r="B191" s="1706">
        <v>3</v>
      </c>
      <c r="C191" s="1554" t="s">
        <v>6470</v>
      </c>
      <c r="D191" s="1695" t="s">
        <v>65</v>
      </c>
      <c r="E191" s="1699">
        <f>Vol!B13</f>
        <v>7.11</v>
      </c>
      <c r="F191" s="1696">
        <f>VLOOKUP(C191,'AHSP MCK'!D:K,8,FALSE)</f>
        <v>17100</v>
      </c>
      <c r="G191" s="1684">
        <f t="shared" si="24"/>
        <v>121581</v>
      </c>
      <c r="H191" s="1678">
        <f t="shared" si="25"/>
        <v>4.9347187817530133E-3</v>
      </c>
      <c r="I191" s="1555" t="s">
        <v>2225</v>
      </c>
      <c r="J191" s="1555" t="s">
        <v>1772</v>
      </c>
      <c r="K191" s="1555"/>
      <c r="L191" s="1555"/>
      <c r="M191" s="1565"/>
    </row>
    <row r="192" spans="1:19" ht="43.2">
      <c r="A192" s="1545">
        <v>57</v>
      </c>
      <c r="B192" s="1706">
        <v>4</v>
      </c>
      <c r="C192" s="1554" t="s">
        <v>2272</v>
      </c>
      <c r="D192" s="1695" t="s">
        <v>120</v>
      </c>
      <c r="E192" s="1699">
        <f>1.3*1.3*0.07</f>
        <v>0.11830000000000002</v>
      </c>
      <c r="F192" s="1696">
        <f>VLOOKUP(C192,'AHSP MCK'!D:K,8,FALSE)</f>
        <v>1291800</v>
      </c>
      <c r="G192" s="1684">
        <f t="shared" si="24"/>
        <v>152819.94000000003</v>
      </c>
      <c r="H192" s="1678">
        <f t="shared" si="25"/>
        <v>6.2026420916456411E-3</v>
      </c>
      <c r="I192" s="1555" t="s">
        <v>2271</v>
      </c>
      <c r="J192" s="1555" t="s">
        <v>1772</v>
      </c>
      <c r="K192" s="1555">
        <v>41019</v>
      </c>
      <c r="L192" s="1555" t="s">
        <v>9227</v>
      </c>
      <c r="M192" s="1565"/>
    </row>
    <row r="193" spans="1:13" ht="28.8">
      <c r="A193" s="1545">
        <v>58</v>
      </c>
      <c r="B193" s="1706">
        <v>5</v>
      </c>
      <c r="C193" s="1554" t="s">
        <v>1307</v>
      </c>
      <c r="D193" s="1695" t="s">
        <v>9291</v>
      </c>
      <c r="E193" s="1699"/>
      <c r="F193" s="1696">
        <f>VLOOKUP(C193,'AHSP MCK'!D:K,8,FALSE)</f>
        <v>287100</v>
      </c>
      <c r="G193" s="1684">
        <f t="shared" si="24"/>
        <v>0</v>
      </c>
      <c r="H193" s="1678">
        <f t="shared" si="25"/>
        <v>0</v>
      </c>
      <c r="I193" s="1561" t="s">
        <v>2254</v>
      </c>
      <c r="J193" s="1555" t="s">
        <v>1772</v>
      </c>
      <c r="K193" s="1555">
        <v>41019</v>
      </c>
      <c r="L193" s="1555" t="s">
        <v>9227</v>
      </c>
      <c r="M193" s="1565"/>
    </row>
    <row r="194" spans="1:13" ht="28.8">
      <c r="A194" s="1545">
        <v>59</v>
      </c>
      <c r="B194" s="1706">
        <v>6</v>
      </c>
      <c r="C194" s="1554" t="s">
        <v>1306</v>
      </c>
      <c r="D194" s="1695" t="s">
        <v>9291</v>
      </c>
      <c r="E194" s="1699">
        <f>2.45*1.3</f>
        <v>3.1850000000000005</v>
      </c>
      <c r="F194" s="1696">
        <f>VLOOKUP(C194,'AHSP MCK'!D:K,8,FALSE)</f>
        <v>225000</v>
      </c>
      <c r="G194" s="1684">
        <f t="shared" si="24"/>
        <v>716625.00000000012</v>
      </c>
      <c r="H194" s="1678">
        <f t="shared" si="25"/>
        <v>2.9086311569848526E-2</v>
      </c>
      <c r="I194" s="1561" t="s">
        <v>2253</v>
      </c>
      <c r="J194" s="1555" t="s">
        <v>1772</v>
      </c>
      <c r="K194" s="1555">
        <v>41019</v>
      </c>
      <c r="L194" s="1555" t="s">
        <v>9227</v>
      </c>
      <c r="M194" s="1565"/>
    </row>
    <row r="195" spans="1:13" ht="28.8">
      <c r="A195" s="1545">
        <v>60</v>
      </c>
      <c r="B195" s="1706">
        <v>7</v>
      </c>
      <c r="C195" s="1554" t="s">
        <v>9217</v>
      </c>
      <c r="D195" s="1695" t="s">
        <v>9291</v>
      </c>
      <c r="E195" s="1699">
        <f>(2.45*1.4*2)+(1.3*1.4*3)+(1.2*1)</f>
        <v>13.52</v>
      </c>
      <c r="F195" s="1696">
        <f>VLOOKUP(C195,'AHSP MCK'!D:K,8,FALSE)</f>
        <v>0</v>
      </c>
      <c r="G195" s="1684">
        <f t="shared" si="24"/>
        <v>0</v>
      </c>
      <c r="H195" s="1678">
        <f t="shared" si="25"/>
        <v>0</v>
      </c>
      <c r="I195" s="1561" t="s">
        <v>2772</v>
      </c>
      <c r="J195" s="1555" t="s">
        <v>1772</v>
      </c>
      <c r="K195" s="1555">
        <v>41019</v>
      </c>
      <c r="L195" s="1555" t="s">
        <v>9227</v>
      </c>
      <c r="M195" s="1565"/>
    </row>
    <row r="196" spans="1:13" ht="28.8">
      <c r="A196" s="1545">
        <v>61</v>
      </c>
      <c r="B196" s="1706">
        <v>8</v>
      </c>
      <c r="C196" s="1554" t="s">
        <v>1317</v>
      </c>
      <c r="D196" s="1695" t="s">
        <v>113</v>
      </c>
      <c r="E196" s="1699">
        <f>1.4*4</f>
        <v>5.6</v>
      </c>
      <c r="F196" s="1696">
        <f>VLOOKUP(C196,'AHSP MCK'!D:K,8,FALSE)</f>
        <v>105800</v>
      </c>
      <c r="G196" s="1684">
        <f t="shared" si="24"/>
        <v>592480</v>
      </c>
      <c r="H196" s="1678">
        <f t="shared" si="25"/>
        <v>2.4047525384830074E-2</v>
      </c>
      <c r="I196" s="1561" t="s">
        <v>2331</v>
      </c>
      <c r="J196" s="1555" t="s">
        <v>1772</v>
      </c>
      <c r="K196" s="1555">
        <v>41019</v>
      </c>
      <c r="L196" s="1555" t="s">
        <v>9227</v>
      </c>
      <c r="M196" s="1565"/>
    </row>
    <row r="197" spans="1:13" ht="28.8">
      <c r="A197" s="1545">
        <v>62</v>
      </c>
      <c r="B197" s="1706">
        <v>9</v>
      </c>
      <c r="C197" s="1554" t="s">
        <v>1318</v>
      </c>
      <c r="D197" s="1555" t="s">
        <v>113</v>
      </c>
      <c r="E197" s="1719"/>
      <c r="F197" s="1556">
        <f>VLOOKUP(C197,'AHSP MCK'!D:K,8,FALSE)</f>
        <v>147800</v>
      </c>
      <c r="G197" s="1684">
        <f t="shared" si="24"/>
        <v>0</v>
      </c>
      <c r="H197" s="1678">
        <f t="shared" si="25"/>
        <v>0</v>
      </c>
      <c r="I197" s="1561" t="s">
        <v>2333</v>
      </c>
      <c r="J197" s="1555" t="s">
        <v>1772</v>
      </c>
      <c r="K197" s="1555">
        <v>41019</v>
      </c>
      <c r="L197" s="1555" t="s">
        <v>9227</v>
      </c>
      <c r="M197" s="1565"/>
    </row>
    <row r="198" spans="1:13">
      <c r="A198" s="1545">
        <v>63</v>
      </c>
      <c r="B198" s="1706">
        <v>10</v>
      </c>
      <c r="C198" s="1554" t="s">
        <v>1384</v>
      </c>
      <c r="D198" s="1695" t="s">
        <v>9291</v>
      </c>
      <c r="E198" s="1699">
        <f>E195/2</f>
        <v>6.76</v>
      </c>
      <c r="F198" s="1696">
        <f>VLOOKUP(C198,'AHSP MCK'!D:K,8,FALSE)</f>
        <v>44500</v>
      </c>
      <c r="G198" s="1684">
        <f t="shared" si="24"/>
        <v>300820</v>
      </c>
      <c r="H198" s="1678">
        <f t="shared" si="25"/>
        <v>1.2209655323833012E-2</v>
      </c>
      <c r="I198" s="1561" t="s">
        <v>2792</v>
      </c>
      <c r="J198" s="1555" t="s">
        <v>1772</v>
      </c>
      <c r="K198" s="1555">
        <v>41019</v>
      </c>
      <c r="L198" s="1555" t="s">
        <v>9227</v>
      </c>
      <c r="M198" s="1565"/>
    </row>
    <row r="199" spans="1:13" ht="28.8">
      <c r="B199" s="1706">
        <v>11</v>
      </c>
      <c r="C199" s="1554" t="s">
        <v>1381</v>
      </c>
      <c r="D199" s="1695" t="s">
        <v>9291</v>
      </c>
      <c r="E199" s="1699">
        <f>E198</f>
        <v>6.76</v>
      </c>
      <c r="F199" s="1696">
        <f>VLOOKUP(C199,'AHSP MCK'!D:K,8,FALSE)</f>
        <v>56600</v>
      </c>
      <c r="G199" s="1684">
        <f t="shared" si="24"/>
        <v>382616</v>
      </c>
      <c r="H199" s="1678">
        <f t="shared" si="25"/>
        <v>1.5529584074807831E-2</v>
      </c>
      <c r="I199" s="1561" t="s">
        <v>2789</v>
      </c>
      <c r="J199" s="1555" t="s">
        <v>1772</v>
      </c>
      <c r="K199" s="1555">
        <v>41019</v>
      </c>
      <c r="L199" s="1555" t="s">
        <v>9227</v>
      </c>
      <c r="M199" s="1565"/>
    </row>
    <row r="200" spans="1:13" ht="28.8">
      <c r="A200" s="1545">
        <v>64</v>
      </c>
      <c r="B200" s="1706">
        <v>12</v>
      </c>
      <c r="C200" s="1554" t="s">
        <v>2817</v>
      </c>
      <c r="D200" s="1695" t="s">
        <v>9291</v>
      </c>
      <c r="E200" s="1699">
        <f>2.45*1.3</f>
        <v>3.1850000000000005</v>
      </c>
      <c r="F200" s="1696">
        <f>VLOOKUP(C200,'AHSP MCK'!D:K,8,FALSE)</f>
        <v>37500</v>
      </c>
      <c r="G200" s="1684">
        <f t="shared" si="24"/>
        <v>119437.50000000001</v>
      </c>
      <c r="H200" s="1678">
        <f t="shared" si="25"/>
        <v>4.8477185949747544E-3</v>
      </c>
      <c r="I200" s="1561" t="s">
        <v>2816</v>
      </c>
      <c r="J200" s="1555" t="s">
        <v>1772</v>
      </c>
      <c r="K200" s="1555">
        <v>41019</v>
      </c>
      <c r="L200" s="1555" t="s">
        <v>9227</v>
      </c>
      <c r="M200" s="1565"/>
    </row>
    <row r="201" spans="1:13" ht="28.8">
      <c r="A201" s="1545">
        <v>65</v>
      </c>
      <c r="B201" s="1706">
        <v>13</v>
      </c>
      <c r="C201" s="1554" t="s">
        <v>8067</v>
      </c>
      <c r="D201" s="1695" t="s">
        <v>113</v>
      </c>
      <c r="E201" s="1699">
        <v>1.5</v>
      </c>
      <c r="F201" s="1696">
        <f>VLOOKUP(C201,'AHSP MCK'!D:K,8,FALSE)</f>
        <v>54000</v>
      </c>
      <c r="G201" s="1684">
        <f t="shared" si="24"/>
        <v>81000</v>
      </c>
      <c r="H201" s="1678">
        <f t="shared" si="25"/>
        <v>3.2876207739860183E-3</v>
      </c>
      <c r="I201" s="1561" t="s">
        <v>3606</v>
      </c>
      <c r="J201" s="1555" t="s">
        <v>1772</v>
      </c>
      <c r="K201" s="1555">
        <v>41019</v>
      </c>
      <c r="L201" s="1555" t="s">
        <v>9227</v>
      </c>
      <c r="M201" s="1565"/>
    </row>
    <row r="202" spans="1:13" ht="28.8">
      <c r="B202" s="1706">
        <v>14</v>
      </c>
      <c r="C202" s="1554" t="s">
        <v>8077</v>
      </c>
      <c r="D202" s="1695" t="s">
        <v>113</v>
      </c>
      <c r="E202" s="1699">
        <v>4</v>
      </c>
      <c r="F202" s="1696">
        <f>VLOOKUP(C202,'AHSP MCK'!D:K,8,FALSE)</f>
        <v>228200</v>
      </c>
      <c r="G202" s="1684">
        <f t="shared" si="24"/>
        <v>912800</v>
      </c>
      <c r="H202" s="1678">
        <f t="shared" si="25"/>
        <v>3.7048644969067131E-2</v>
      </c>
      <c r="I202" s="1561" t="s">
        <v>3611</v>
      </c>
      <c r="J202" s="1555" t="s">
        <v>1772</v>
      </c>
      <c r="K202" s="1555">
        <v>41019</v>
      </c>
      <c r="L202" s="1555" t="s">
        <v>9227</v>
      </c>
      <c r="M202" s="1565"/>
    </row>
    <row r="203" spans="1:13" ht="28.8">
      <c r="A203" s="1545" t="s">
        <v>9231</v>
      </c>
      <c r="B203" s="1706">
        <v>15</v>
      </c>
      <c r="C203" s="1562" t="s">
        <v>9062</v>
      </c>
      <c r="D203" s="1555" t="s">
        <v>775</v>
      </c>
      <c r="E203" s="1698"/>
      <c r="F203" s="1556">
        <f>VLOOKUP(C203,'AHSP MCK'!D:K,8,FALSE)</f>
        <v>156800</v>
      </c>
      <c r="G203" s="1684">
        <f t="shared" si="24"/>
        <v>0</v>
      </c>
      <c r="H203" s="1678">
        <f t="shared" si="25"/>
        <v>0</v>
      </c>
      <c r="I203" s="1561" t="s">
        <v>7699</v>
      </c>
      <c r="J203" s="1555" t="s">
        <v>7699</v>
      </c>
      <c r="K203" s="1555" t="s">
        <v>7699</v>
      </c>
      <c r="L203" s="1555" t="s">
        <v>7699</v>
      </c>
      <c r="M203" s="1565"/>
    </row>
    <row r="204" spans="1:13">
      <c r="B204" s="1708"/>
      <c r="C204" s="1575"/>
      <c r="D204" s="1576"/>
      <c r="E204" s="1621"/>
      <c r="F204" s="1577"/>
      <c r="G204" s="1685"/>
      <c r="H204" s="1578"/>
      <c r="I204" s="1608"/>
      <c r="J204" s="1576"/>
      <c r="K204" s="1576"/>
      <c r="L204" s="1576"/>
      <c r="M204" s="1579"/>
    </row>
    <row r="205" spans="1:13">
      <c r="B205" s="1714"/>
      <c r="C205" s="1870" t="s">
        <v>9274</v>
      </c>
      <c r="D205" s="1870"/>
      <c r="E205" s="1870"/>
      <c r="F205" s="1870"/>
      <c r="G205" s="1765">
        <f>SUM(G188:G203)</f>
        <v>3896531.64</v>
      </c>
      <c r="H205" s="1567"/>
      <c r="I205" s="1547"/>
      <c r="J205" s="1547"/>
      <c r="K205" s="1547"/>
      <c r="M205" s="1568"/>
    </row>
    <row r="206" spans="1:13">
      <c r="B206" s="1715"/>
      <c r="C206" s="1590"/>
      <c r="D206" s="1591"/>
      <c r="E206" s="1622"/>
      <c r="F206" s="1592"/>
      <c r="G206" s="1687"/>
      <c r="H206" s="1679"/>
      <c r="I206" s="1609"/>
      <c r="J206" s="1591"/>
      <c r="K206" s="1591"/>
      <c r="L206" s="1591"/>
      <c r="M206" s="1593"/>
    </row>
    <row r="207" spans="1:13">
      <c r="B207" s="1716" t="s">
        <v>9278</v>
      </c>
      <c r="C207" s="1594" t="s">
        <v>9263</v>
      </c>
      <c r="D207" s="1595"/>
      <c r="E207" s="1623"/>
      <c r="F207" s="1596"/>
      <c r="G207" s="1690"/>
      <c r="H207" s="1597"/>
      <c r="I207" s="1610"/>
      <c r="J207" s="1595"/>
      <c r="K207" s="1595"/>
      <c r="L207" s="1595"/>
      <c r="M207" s="1598"/>
    </row>
    <row r="208" spans="1:13" ht="28.8">
      <c r="A208" s="1545">
        <v>41</v>
      </c>
      <c r="B208" s="1706">
        <v>1</v>
      </c>
      <c r="C208" s="1554" t="s">
        <v>3548</v>
      </c>
      <c r="D208" s="1555" t="s">
        <v>135</v>
      </c>
      <c r="E208" s="1620"/>
      <c r="F208" s="1763">
        <f>VLOOKUP(C208,'AHSP MCK'!D:K,8,FALSE)</f>
        <v>267500</v>
      </c>
      <c r="G208" s="1684">
        <f t="shared" ref="G208:G213" si="26">F208*E208</f>
        <v>0</v>
      </c>
      <c r="H208" s="1678">
        <f t="shared" ref="H208:H213" si="27">F208*E208/$G$67</f>
        <v>0</v>
      </c>
      <c r="I208" s="1561" t="s">
        <v>3549</v>
      </c>
      <c r="J208" s="1555" t="s">
        <v>1772</v>
      </c>
      <c r="K208" s="1555">
        <v>41019</v>
      </c>
      <c r="L208" s="1555" t="s">
        <v>9227</v>
      </c>
      <c r="M208" s="1565"/>
    </row>
    <row r="209" spans="1:19">
      <c r="A209" s="1545">
        <v>42</v>
      </c>
      <c r="B209" s="1706">
        <v>2</v>
      </c>
      <c r="C209" s="1554" t="s">
        <v>5814</v>
      </c>
      <c r="D209" s="1555" t="s">
        <v>9015</v>
      </c>
      <c r="E209" s="1620">
        <v>2</v>
      </c>
      <c r="F209" s="1763">
        <f>VLOOKUP(C209,'AHSP MCK'!D:K,8,FALSE)</f>
        <v>180700</v>
      </c>
      <c r="G209" s="1684">
        <f t="shared" si="26"/>
        <v>361400</v>
      </c>
      <c r="H209" s="1678">
        <f t="shared" si="27"/>
        <v>1.4668470959488235E-2</v>
      </c>
      <c r="I209" s="1561" t="s">
        <v>3568</v>
      </c>
      <c r="J209" s="1555" t="s">
        <v>1772</v>
      </c>
      <c r="K209" s="1555">
        <v>41019</v>
      </c>
      <c r="L209" s="1555" t="s">
        <v>9227</v>
      </c>
      <c r="M209" s="1565"/>
      <c r="O209" s="1721">
        <v>4</v>
      </c>
      <c r="P209" s="1721">
        <v>3</v>
      </c>
      <c r="Q209" s="1721">
        <v>3</v>
      </c>
      <c r="S209" s="1721">
        <v>2</v>
      </c>
    </row>
    <row r="210" spans="1:19">
      <c r="A210" s="1545">
        <v>38</v>
      </c>
      <c r="B210" s="1706">
        <v>3</v>
      </c>
      <c r="C210" s="1554" t="s">
        <v>3511</v>
      </c>
      <c r="D210" s="1555" t="s">
        <v>135</v>
      </c>
      <c r="E210" s="1620"/>
      <c r="F210" s="1720">
        <f>VLOOKUP(C210,'AHSP MCK'!D:K,8,FALSE)</f>
        <v>36200</v>
      </c>
      <c r="G210" s="1684">
        <f t="shared" si="26"/>
        <v>0</v>
      </c>
      <c r="H210" s="1678">
        <f t="shared" si="27"/>
        <v>0</v>
      </c>
      <c r="I210" s="1555" t="s">
        <v>3510</v>
      </c>
      <c r="J210" s="1555" t="s">
        <v>1772</v>
      </c>
      <c r="K210" s="1555">
        <v>41019</v>
      </c>
      <c r="L210" s="1555" t="s">
        <v>9227</v>
      </c>
      <c r="M210" s="1565"/>
      <c r="P210" s="1721">
        <v>1</v>
      </c>
      <c r="Q210" s="1721">
        <v>1</v>
      </c>
    </row>
    <row r="211" spans="1:19">
      <c r="A211" s="1545">
        <v>39</v>
      </c>
      <c r="B211" s="1706">
        <v>4</v>
      </c>
      <c r="C211" s="1554" t="s">
        <v>3514</v>
      </c>
      <c r="D211" s="1555" t="s">
        <v>135</v>
      </c>
      <c r="E211" s="1620">
        <v>1</v>
      </c>
      <c r="F211" s="1720">
        <f>VLOOKUP(C211,'AHSP MCK'!D:K,8,FALSE)</f>
        <v>48200</v>
      </c>
      <c r="G211" s="1684">
        <f t="shared" si="26"/>
        <v>48200</v>
      </c>
      <c r="H211" s="1678">
        <f t="shared" si="27"/>
        <v>1.9563373000756304E-3</v>
      </c>
      <c r="I211" s="1561" t="s">
        <v>3513</v>
      </c>
      <c r="J211" s="1555" t="s">
        <v>1772</v>
      </c>
      <c r="K211" s="1555">
        <v>41019</v>
      </c>
      <c r="L211" s="1555" t="s">
        <v>9227</v>
      </c>
      <c r="M211" s="1565"/>
      <c r="O211" s="1721">
        <v>2</v>
      </c>
      <c r="P211" s="1721">
        <v>1</v>
      </c>
      <c r="Q211" s="1721">
        <v>1</v>
      </c>
      <c r="S211" s="1721">
        <v>1</v>
      </c>
    </row>
    <row r="212" spans="1:19" ht="28.8">
      <c r="A212" s="1545">
        <v>40</v>
      </c>
      <c r="B212" s="1706">
        <v>5</v>
      </c>
      <c r="C212" s="1554" t="s">
        <v>9229</v>
      </c>
      <c r="D212" s="1555" t="s">
        <v>135</v>
      </c>
      <c r="E212" s="1620">
        <v>1</v>
      </c>
      <c r="F212" s="1720">
        <f>VLOOKUP(C212,'AHSP MCK'!D:K,8,FALSE)</f>
        <v>46100</v>
      </c>
      <c r="G212" s="1684">
        <f t="shared" si="26"/>
        <v>46100</v>
      </c>
      <c r="H212" s="1678">
        <f t="shared" si="27"/>
        <v>1.8711026874167337E-3</v>
      </c>
      <c r="I212" s="1561" t="s">
        <v>3530</v>
      </c>
      <c r="J212" s="1555" t="s">
        <v>1772</v>
      </c>
      <c r="K212" s="1555">
        <v>41019</v>
      </c>
      <c r="L212" s="1555" t="s">
        <v>9227</v>
      </c>
      <c r="M212" s="1565"/>
      <c r="O212" s="1721">
        <v>1</v>
      </c>
      <c r="P212" s="1721">
        <v>1</v>
      </c>
      <c r="Q212" s="1721">
        <v>1</v>
      </c>
      <c r="S212" s="1721">
        <v>1</v>
      </c>
    </row>
    <row r="213" spans="1:19">
      <c r="A213" s="1545">
        <v>43</v>
      </c>
      <c r="B213" s="1706">
        <v>6</v>
      </c>
      <c r="C213" s="1554" t="s">
        <v>5875</v>
      </c>
      <c r="D213" s="1555" t="s">
        <v>135</v>
      </c>
      <c r="E213" s="1620">
        <v>2</v>
      </c>
      <c r="F213" s="1763">
        <f>VLOOKUP(C213,'AHSP MCK'!D:K,8,FALSE)</f>
        <v>75200</v>
      </c>
      <c r="G213" s="1684">
        <f t="shared" si="26"/>
        <v>150400</v>
      </c>
      <c r="H213" s="1678">
        <f t="shared" si="27"/>
        <v>6.1044217828086066E-3</v>
      </c>
      <c r="I213" s="1561" t="s">
        <v>5874</v>
      </c>
      <c r="J213" s="1555" t="s">
        <v>1772</v>
      </c>
      <c r="K213" s="1555">
        <v>41019</v>
      </c>
      <c r="L213" s="1555" t="s">
        <v>9227</v>
      </c>
      <c r="M213" s="1565"/>
      <c r="O213" s="1721">
        <v>4</v>
      </c>
      <c r="P213" s="1721">
        <v>3</v>
      </c>
      <c r="Q213" s="1721">
        <v>3</v>
      </c>
      <c r="S213" s="1721">
        <v>2</v>
      </c>
    </row>
    <row r="214" spans="1:19">
      <c r="B214" s="1708"/>
      <c r="C214" s="1575"/>
      <c r="D214" s="1576"/>
      <c r="E214" s="1621"/>
      <c r="F214" s="1577"/>
      <c r="G214" s="1685"/>
      <c r="H214" s="1578"/>
      <c r="I214" s="1608"/>
      <c r="J214" s="1576"/>
      <c r="K214" s="1576"/>
      <c r="L214" s="1576"/>
      <c r="M214" s="1579"/>
    </row>
    <row r="215" spans="1:19">
      <c r="B215" s="1714"/>
      <c r="C215" s="1870" t="s">
        <v>9274</v>
      </c>
      <c r="D215" s="1870"/>
      <c r="E215" s="1870"/>
      <c r="F215" s="1870"/>
      <c r="G215" s="1686">
        <f>SUM(G208:G213)</f>
        <v>606100</v>
      </c>
      <c r="H215" s="1567"/>
      <c r="I215" s="1547"/>
      <c r="J215" s="1547"/>
      <c r="K215" s="1547"/>
      <c r="M215" s="1568"/>
    </row>
    <row r="216" spans="1:19">
      <c r="B216" s="1715"/>
      <c r="C216" s="1607"/>
      <c r="D216" s="1591"/>
      <c r="E216" s="1622"/>
      <c r="F216" s="1592"/>
      <c r="G216" s="1687"/>
      <c r="H216" s="1679"/>
      <c r="I216" s="1609"/>
      <c r="J216" s="1591"/>
      <c r="K216" s="1591"/>
      <c r="L216" s="1591"/>
      <c r="M216" s="1593"/>
    </row>
    <row r="217" spans="1:19">
      <c r="B217" s="1716" t="s">
        <v>9273</v>
      </c>
      <c r="C217" s="1594" t="s">
        <v>9264</v>
      </c>
      <c r="D217" s="1595"/>
      <c r="E217" s="1623"/>
      <c r="F217" s="1596"/>
      <c r="G217" s="1690"/>
      <c r="H217" s="1597"/>
      <c r="I217" s="1610"/>
      <c r="J217" s="1595"/>
      <c r="K217" s="1595"/>
      <c r="L217" s="1595"/>
      <c r="M217" s="1598"/>
    </row>
    <row r="218" spans="1:19" ht="28.8">
      <c r="A218" s="1545">
        <v>32</v>
      </c>
      <c r="B218" s="1706">
        <v>1</v>
      </c>
      <c r="C218" s="1554" t="s">
        <v>1487</v>
      </c>
      <c r="D218" s="1555" t="s">
        <v>9291</v>
      </c>
      <c r="E218" s="1620">
        <f>2*0.7</f>
        <v>1.4</v>
      </c>
      <c r="F218" s="1720">
        <f>VLOOKUP(C218,'AHSP MCK'!D:K,8,FALSE)</f>
        <v>1200600</v>
      </c>
      <c r="G218" s="1684">
        <f>F218*E218</f>
        <v>1680840</v>
      </c>
      <c r="H218" s="1678">
        <f>F218*E218/$G$67</f>
        <v>6.8221783972180969E-2</v>
      </c>
      <c r="I218" s="1561" t="s">
        <v>3027</v>
      </c>
      <c r="J218" s="1555" t="s">
        <v>1772</v>
      </c>
      <c r="K218" s="1555">
        <v>41019</v>
      </c>
      <c r="L218" s="1555" t="s">
        <v>9227</v>
      </c>
      <c r="M218" s="1565"/>
      <c r="O218" s="1721">
        <f>2*0.7*3</f>
        <v>4.1999999999999993</v>
      </c>
      <c r="P218" s="1721">
        <f>0.7*2*2</f>
        <v>2.8</v>
      </c>
      <c r="Q218" s="1721">
        <f>0.7*2*2</f>
        <v>2.8</v>
      </c>
      <c r="S218" s="1721">
        <f>2*0.7</f>
        <v>1.4</v>
      </c>
    </row>
    <row r="219" spans="1:19">
      <c r="A219" s="1545">
        <v>33</v>
      </c>
      <c r="B219" s="1706">
        <v>2</v>
      </c>
      <c r="C219" s="1554" t="s">
        <v>1565</v>
      </c>
      <c r="D219" s="1555" t="s">
        <v>775</v>
      </c>
      <c r="E219" s="1620"/>
      <c r="F219" s="1556">
        <f>VLOOKUP(C219,'AHSP MCK'!D:K,8,FALSE)</f>
        <v>1303500</v>
      </c>
      <c r="G219" s="1684">
        <f>F219*E219</f>
        <v>0</v>
      </c>
      <c r="H219" s="1678">
        <f>F219*E219/$G$67</f>
        <v>0</v>
      </c>
      <c r="I219" s="1561" t="s">
        <v>3173</v>
      </c>
      <c r="J219" s="1555" t="s">
        <v>1772</v>
      </c>
      <c r="K219" s="1555">
        <v>41019</v>
      </c>
      <c r="L219" s="1555" t="s">
        <v>9227</v>
      </c>
      <c r="M219" s="1565"/>
    </row>
    <row r="220" spans="1:19">
      <c r="A220" s="1545">
        <v>68</v>
      </c>
      <c r="B220" s="1706">
        <v>3</v>
      </c>
      <c r="C220" s="1554" t="s">
        <v>9232</v>
      </c>
      <c r="D220" s="1555" t="s">
        <v>775</v>
      </c>
      <c r="E220" s="1620">
        <v>1</v>
      </c>
      <c r="F220" s="1720">
        <v>350000</v>
      </c>
      <c r="G220" s="1684">
        <f>F220*E220</f>
        <v>350000</v>
      </c>
      <c r="H220" s="1678">
        <f>F220*E220/$G$67</f>
        <v>1.4205768776482795E-2</v>
      </c>
      <c r="I220" s="1563" t="s">
        <v>3156</v>
      </c>
      <c r="J220" s="1555" t="s">
        <v>1772</v>
      </c>
      <c r="K220" s="1555">
        <v>41019</v>
      </c>
      <c r="L220" s="1555" t="s">
        <v>9227</v>
      </c>
      <c r="M220" s="1565"/>
      <c r="O220" s="1721">
        <v>1</v>
      </c>
      <c r="P220" s="1721">
        <v>1</v>
      </c>
      <c r="Q220" s="1721">
        <v>1</v>
      </c>
      <c r="S220" s="1721">
        <v>1</v>
      </c>
    </row>
    <row r="221" spans="1:19">
      <c r="B221" s="1708"/>
      <c r="C221" s="1575"/>
      <c r="D221" s="1576"/>
      <c r="E221" s="1621"/>
      <c r="F221" s="1577"/>
      <c r="G221" s="1685"/>
      <c r="H221" s="1578"/>
      <c r="I221" s="1608"/>
      <c r="J221" s="1576"/>
      <c r="K221" s="1576"/>
      <c r="L221" s="1576"/>
      <c r="M221" s="1579"/>
    </row>
    <row r="222" spans="1:19" ht="15" thickBot="1">
      <c r="B222" s="1713"/>
      <c r="C222" s="1871" t="s">
        <v>9274</v>
      </c>
      <c r="D222" s="1871"/>
      <c r="E222" s="1871"/>
      <c r="F222" s="1871"/>
      <c r="G222" s="1694">
        <f>SUM(G218:G220)</f>
        <v>2030840</v>
      </c>
      <c r="H222" s="1569"/>
      <c r="I222" s="1570"/>
      <c r="J222" s="1570"/>
      <c r="K222" s="1570"/>
      <c r="L222" s="1570"/>
      <c r="M222" s="1571"/>
    </row>
    <row r="224" spans="1:19">
      <c r="G224" s="1552"/>
      <c r="H224" s="1550"/>
    </row>
    <row r="225" spans="7:7">
      <c r="G225" s="1552"/>
    </row>
  </sheetData>
  <mergeCells count="15">
    <mergeCell ref="C205:F205"/>
    <mergeCell ref="C215:F215"/>
    <mergeCell ref="C222:F222"/>
    <mergeCell ref="C143:F143"/>
    <mergeCell ref="C150:F150"/>
    <mergeCell ref="C157:F157"/>
    <mergeCell ref="C164:F164"/>
    <mergeCell ref="C170:F170"/>
    <mergeCell ref="C185:F185"/>
    <mergeCell ref="C134:F134"/>
    <mergeCell ref="D33:G33"/>
    <mergeCell ref="C72:F72"/>
    <mergeCell ref="C83:F83"/>
    <mergeCell ref="C91:F91"/>
    <mergeCell ref="C96:F96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680"/>
  <sheetViews>
    <sheetView topLeftCell="A581" zoomScaleNormal="70" zoomScaleSheetLayoutView="100" workbookViewId="0">
      <selection activeCell="A581" sqref="A581:XFD599"/>
    </sheetView>
  </sheetViews>
  <sheetFormatPr defaultColWidth="9.109375" defaultRowHeight="13.8"/>
  <cols>
    <col min="1" max="2" width="2.88671875" style="59" customWidth="1"/>
    <col min="3" max="3" width="13.33203125" style="59" customWidth="1"/>
    <col min="4" max="4" width="35.88671875" style="59" customWidth="1"/>
    <col min="5" max="5" width="13.33203125" style="59" customWidth="1"/>
    <col min="6" max="6" width="9.109375" style="59"/>
    <col min="7" max="7" width="9.88671875" style="59" customWidth="1"/>
    <col min="8" max="9" width="16.33203125" style="59" customWidth="1"/>
    <col min="10" max="10" width="29" style="475" customWidth="1"/>
    <col min="11" max="11" width="24.5546875" style="59" customWidth="1"/>
    <col min="12" max="12" width="25.33203125" style="939" customWidth="1"/>
    <col min="13" max="13" width="25.33203125" style="940" customWidth="1"/>
    <col min="14" max="14" width="16.44140625" style="59" customWidth="1"/>
    <col min="15" max="15" width="9.109375" style="59"/>
    <col min="16" max="16" width="15" style="59" bestFit="1" customWidth="1"/>
    <col min="17" max="16384" width="9.109375" style="59"/>
  </cols>
  <sheetData>
    <row r="1" spans="3:17" ht="9" customHeight="1"/>
    <row r="2" spans="3:17" ht="19.2" customHeight="1">
      <c r="C2" s="46" t="s">
        <v>6448</v>
      </c>
      <c r="D2" s="47" t="s">
        <v>6449</v>
      </c>
      <c r="E2" s="47"/>
    </row>
    <row r="3" spans="3:17" ht="19.2" customHeight="1">
      <c r="C3" s="46" t="s">
        <v>8779</v>
      </c>
      <c r="D3" s="47" t="s">
        <v>1246</v>
      </c>
      <c r="E3" s="47"/>
      <c r="F3" s="47"/>
      <c r="G3" s="47"/>
      <c r="H3" s="47"/>
      <c r="I3" s="47"/>
      <c r="J3" s="1102"/>
      <c r="K3" s="119"/>
    </row>
    <row r="4" spans="3:17" ht="19.2" customHeight="1">
      <c r="C4" s="46" t="s">
        <v>1791</v>
      </c>
      <c r="D4" s="47" t="s">
        <v>1804</v>
      </c>
      <c r="E4" s="47"/>
      <c r="F4" s="47"/>
      <c r="G4" s="47"/>
      <c r="H4" s="47"/>
      <c r="I4" s="47"/>
      <c r="J4" s="1102"/>
      <c r="K4" s="119"/>
    </row>
    <row r="5" spans="3:17" ht="19.2" customHeight="1" thickBot="1">
      <c r="C5" s="126" t="s">
        <v>1792</v>
      </c>
      <c r="D5" s="119" t="s">
        <v>1194</v>
      </c>
      <c r="E5" s="119"/>
      <c r="F5" s="329"/>
      <c r="G5" s="329"/>
      <c r="H5" s="329"/>
      <c r="I5" s="329"/>
      <c r="J5" s="952"/>
      <c r="K5" s="120">
        <f>ROUNDDOWN(J28,-2)</f>
        <v>348000</v>
      </c>
      <c r="L5" s="941" t="s">
        <v>5296</v>
      </c>
      <c r="M5" s="940" t="s">
        <v>5296</v>
      </c>
      <c r="N5" s="374"/>
    </row>
    <row r="6" spans="3:17" ht="28.2" thickTop="1">
      <c r="C6" s="51" t="s">
        <v>1195</v>
      </c>
      <c r="D6" s="52" t="s">
        <v>1196</v>
      </c>
      <c r="E6" s="52" t="s">
        <v>1773</v>
      </c>
      <c r="F6" s="52" t="s">
        <v>1197</v>
      </c>
      <c r="G6" s="52" t="s">
        <v>1198</v>
      </c>
      <c r="H6" s="52" t="s">
        <v>1199</v>
      </c>
      <c r="I6" s="582"/>
      <c r="J6" s="942" t="s">
        <v>1200</v>
      </c>
      <c r="K6" s="289"/>
    </row>
    <row r="7" spans="3:17" ht="19.2" customHeight="1">
      <c r="C7" s="293" t="s">
        <v>1201</v>
      </c>
      <c r="D7" s="182" t="s">
        <v>1202</v>
      </c>
      <c r="E7" s="182"/>
      <c r="F7" s="1103"/>
      <c r="G7" s="486"/>
      <c r="H7" s="486"/>
      <c r="I7" s="294"/>
      <c r="J7" s="1104"/>
      <c r="K7" s="280"/>
      <c r="N7" s="59" t="s">
        <v>1247</v>
      </c>
    </row>
    <row r="8" spans="3:17" ht="19.2" customHeight="1">
      <c r="C8" s="1105" t="s">
        <v>1203</v>
      </c>
      <c r="D8" s="1103" t="s">
        <v>5</v>
      </c>
      <c r="E8" s="1103" t="s">
        <v>1774</v>
      </c>
      <c r="F8" s="102" t="s">
        <v>6</v>
      </c>
      <c r="G8" s="526">
        <v>0.6</v>
      </c>
      <c r="H8" s="283">
        <f>VLOOKUP(D8,upahbahan,3,FALSE)</f>
        <v>100000</v>
      </c>
      <c r="I8" s="872"/>
      <c r="J8" s="284">
        <f>G8*H8</f>
        <v>60000</v>
      </c>
      <c r="K8" s="280"/>
      <c r="N8" s="59" t="s">
        <v>1248</v>
      </c>
      <c r="Q8" s="65">
        <v>0.1</v>
      </c>
    </row>
    <row r="9" spans="3:17" ht="19.2" customHeight="1">
      <c r="C9" s="1105" t="s">
        <v>1204</v>
      </c>
      <c r="D9" s="182" t="s">
        <v>8</v>
      </c>
      <c r="E9" s="182" t="s">
        <v>1775</v>
      </c>
      <c r="F9" s="102" t="s">
        <v>6</v>
      </c>
      <c r="G9" s="526">
        <v>0.2</v>
      </c>
      <c r="H9" s="283">
        <f>VLOOKUP(D9,upahbahan,3,FALSE)</f>
        <v>135000</v>
      </c>
      <c r="I9" s="872"/>
      <c r="J9" s="284">
        <f>G9*H9</f>
        <v>27000</v>
      </c>
      <c r="K9" s="280"/>
    </row>
    <row r="10" spans="3:17" ht="19.2" customHeight="1">
      <c r="C10" s="1105" t="s">
        <v>1205</v>
      </c>
      <c r="D10" s="1103" t="s">
        <v>7</v>
      </c>
      <c r="E10" s="182" t="s">
        <v>1775</v>
      </c>
      <c r="F10" s="102" t="s">
        <v>6</v>
      </c>
      <c r="G10" s="526">
        <v>0.2</v>
      </c>
      <c r="H10" s="283">
        <f>VLOOKUP(D10,upahbahan,3,FALSE)</f>
        <v>135000</v>
      </c>
      <c r="I10" s="872"/>
      <c r="J10" s="284">
        <f>G10*H10</f>
        <v>27000</v>
      </c>
      <c r="K10" s="280"/>
    </row>
    <row r="11" spans="3:17" ht="19.2" customHeight="1">
      <c r="C11" s="1105" t="s">
        <v>1206</v>
      </c>
      <c r="D11" s="182" t="s">
        <v>18</v>
      </c>
      <c r="E11" s="182" t="s">
        <v>1776</v>
      </c>
      <c r="F11" s="102" t="s">
        <v>6</v>
      </c>
      <c r="G11" s="526">
        <v>0.04</v>
      </c>
      <c r="H11" s="283">
        <f>VLOOKUP(D11,upahbahan,3,FALSE)</f>
        <v>150000</v>
      </c>
      <c r="I11" s="872"/>
      <c r="J11" s="284">
        <f>G11*H11</f>
        <v>6000</v>
      </c>
      <c r="K11" s="280"/>
    </row>
    <row r="12" spans="3:17" ht="19.2" customHeight="1">
      <c r="C12" s="1105" t="s">
        <v>1207</v>
      </c>
      <c r="D12" s="1103" t="s">
        <v>19</v>
      </c>
      <c r="E12" s="182" t="s">
        <v>1777</v>
      </c>
      <c r="F12" s="102" t="s">
        <v>6</v>
      </c>
      <c r="G12" s="526">
        <v>1.2999999999999999E-2</v>
      </c>
      <c r="H12" s="283">
        <f>VLOOKUP(D12,upahbahan,3,FALSE)</f>
        <v>160000</v>
      </c>
      <c r="I12" s="872"/>
      <c r="J12" s="284">
        <f>G12*H12</f>
        <v>2080</v>
      </c>
      <c r="K12" s="280"/>
    </row>
    <row r="13" spans="3:17" ht="19.2" customHeight="1">
      <c r="C13" s="943" t="s">
        <v>1208</v>
      </c>
      <c r="D13" s="944"/>
      <c r="E13" s="944"/>
      <c r="F13" s="944"/>
      <c r="G13" s="944"/>
      <c r="H13" s="945"/>
      <c r="I13" s="946"/>
      <c r="J13" s="1106">
        <f>SUM(J8:J12)</f>
        <v>122080</v>
      </c>
      <c r="K13" s="280"/>
    </row>
    <row r="14" spans="3:17" ht="19.2" customHeight="1">
      <c r="C14" s="293" t="s">
        <v>1209</v>
      </c>
      <c r="D14" s="182" t="s">
        <v>1210</v>
      </c>
      <c r="E14" s="182"/>
      <c r="F14" s="1103"/>
      <c r="G14" s="1107"/>
      <c r="H14" s="1108"/>
      <c r="I14" s="1109"/>
      <c r="J14" s="1104"/>
      <c r="K14" s="280"/>
    </row>
    <row r="15" spans="3:17" ht="19.2" customHeight="1">
      <c r="C15" s="1110" t="s">
        <v>1203</v>
      </c>
      <c r="D15" s="1103" t="s">
        <v>1793</v>
      </c>
      <c r="E15" s="1103"/>
      <c r="F15" s="291" t="s">
        <v>42</v>
      </c>
      <c r="G15" s="1111">
        <v>3.8699999999999998E-2</v>
      </c>
      <c r="H15" s="283">
        <f t="shared" ref="H15:H22" si="0">VLOOKUP(D15,upahbahan,3,FALSE)</f>
        <v>3015000</v>
      </c>
      <c r="I15" s="872"/>
      <c r="J15" s="284">
        <f>G15*H15</f>
        <v>116680.5</v>
      </c>
      <c r="K15" s="280"/>
    </row>
    <row r="16" spans="3:17" ht="19.2" customHeight="1">
      <c r="C16" s="1110" t="s">
        <v>1204</v>
      </c>
      <c r="D16" s="1103" t="s">
        <v>1794</v>
      </c>
      <c r="E16" s="1103"/>
      <c r="F16" s="291" t="s">
        <v>42</v>
      </c>
      <c r="G16" s="1111">
        <v>3.9600000000000003E-2</v>
      </c>
      <c r="H16" s="283">
        <f t="shared" si="0"/>
        <v>0</v>
      </c>
      <c r="I16" s="872"/>
      <c r="J16" s="284">
        <f>G16*H16</f>
        <v>0</v>
      </c>
      <c r="K16" s="280"/>
    </row>
    <row r="17" spans="3:14" ht="19.2" customHeight="1">
      <c r="C17" s="1110" t="s">
        <v>1205</v>
      </c>
      <c r="D17" s="1103" t="s">
        <v>1795</v>
      </c>
      <c r="E17" s="1103"/>
      <c r="F17" s="102" t="s">
        <v>65</v>
      </c>
      <c r="G17" s="1111">
        <v>0.58720000000000006</v>
      </c>
      <c r="H17" s="283">
        <f t="shared" si="0"/>
        <v>20000</v>
      </c>
      <c r="I17" s="872"/>
      <c r="J17" s="284">
        <f>G17*H17</f>
        <v>11744.000000000002</v>
      </c>
      <c r="K17" s="280"/>
    </row>
    <row r="18" spans="3:14" ht="19.2" customHeight="1">
      <c r="C18" s="1110" t="s">
        <v>1206</v>
      </c>
      <c r="D18" s="1103" t="s">
        <v>1796</v>
      </c>
      <c r="E18" s="1103"/>
      <c r="F18" s="102" t="s">
        <v>65</v>
      </c>
      <c r="G18" s="526">
        <v>26.405999999999999</v>
      </c>
      <c r="H18" s="283">
        <f t="shared" si="0"/>
        <v>1530</v>
      </c>
      <c r="I18" s="872"/>
      <c r="J18" s="284">
        <f t="shared" ref="J18" si="1">G18*H18</f>
        <v>40401.18</v>
      </c>
      <c r="K18" s="280"/>
    </row>
    <row r="19" spans="3:14" ht="19.2" customHeight="1">
      <c r="C19" s="1110" t="s">
        <v>1207</v>
      </c>
      <c r="D19" s="1103" t="s">
        <v>1797</v>
      </c>
      <c r="E19" s="1103"/>
      <c r="F19" s="291" t="s">
        <v>65</v>
      </c>
      <c r="G19" s="526">
        <v>61.56</v>
      </c>
      <c r="H19" s="283">
        <f t="shared" si="0"/>
        <v>221.78700000000001</v>
      </c>
      <c r="I19" s="872"/>
      <c r="J19" s="284">
        <f>G19*H19</f>
        <v>13653.20772</v>
      </c>
      <c r="K19" s="280"/>
    </row>
    <row r="20" spans="3:14" ht="19.2" customHeight="1">
      <c r="C20" s="1110" t="s">
        <v>1211</v>
      </c>
      <c r="D20" s="182" t="s">
        <v>1798</v>
      </c>
      <c r="E20" s="182"/>
      <c r="F20" s="291" t="s">
        <v>65</v>
      </c>
      <c r="G20" s="526">
        <v>83.349000000000004</v>
      </c>
      <c r="H20" s="283">
        <f t="shared" si="0"/>
        <v>0</v>
      </c>
      <c r="I20" s="872"/>
      <c r="J20" s="284">
        <f>G20*H20</f>
        <v>0</v>
      </c>
      <c r="K20" s="280"/>
    </row>
    <row r="21" spans="3:14" ht="19.2" customHeight="1">
      <c r="C21" s="1110" t="s">
        <v>1212</v>
      </c>
      <c r="D21" s="1103" t="s">
        <v>960</v>
      </c>
      <c r="E21" s="1103"/>
      <c r="F21" s="102" t="s">
        <v>529</v>
      </c>
      <c r="G21" s="526">
        <v>17.414999999999999</v>
      </c>
      <c r="H21" s="283">
        <f t="shared" si="0"/>
        <v>200</v>
      </c>
      <c r="I21" s="872"/>
      <c r="J21" s="284">
        <f>G21*H21</f>
        <v>3483</v>
      </c>
      <c r="K21" s="280"/>
      <c r="N21" s="941"/>
    </row>
    <row r="22" spans="3:14" ht="19.2" customHeight="1">
      <c r="C22" s="1110" t="s">
        <v>1213</v>
      </c>
      <c r="D22" s="1103" t="s">
        <v>762</v>
      </c>
      <c r="E22" s="1103"/>
      <c r="F22" s="102" t="s">
        <v>529</v>
      </c>
      <c r="G22" s="526">
        <v>0.4</v>
      </c>
      <c r="H22" s="283">
        <f t="shared" si="0"/>
        <v>21000</v>
      </c>
      <c r="I22" s="872"/>
      <c r="J22" s="284">
        <f>G22*H22</f>
        <v>8400</v>
      </c>
      <c r="K22" s="280"/>
    </row>
    <row r="23" spans="3:14" ht="19.2" customHeight="1">
      <c r="C23" s="943" t="s">
        <v>1214</v>
      </c>
      <c r="D23" s="944"/>
      <c r="E23" s="944"/>
      <c r="F23" s="944"/>
      <c r="G23" s="944"/>
      <c r="H23" s="945"/>
      <c r="I23" s="946"/>
      <c r="J23" s="1106">
        <f>SUM(J15:J22)</f>
        <v>194361.88772</v>
      </c>
      <c r="K23" s="280"/>
      <c r="N23" s="1112"/>
    </row>
    <row r="24" spans="3:14" ht="19.2" customHeight="1">
      <c r="C24" s="293" t="s">
        <v>1215</v>
      </c>
      <c r="D24" s="182" t="s">
        <v>1216</v>
      </c>
      <c r="E24" s="182"/>
      <c r="F24" s="1103"/>
      <c r="G24" s="1107"/>
      <c r="H24" s="1108"/>
      <c r="I24" s="1109"/>
      <c r="J24" s="1104"/>
      <c r="K24" s="280"/>
    </row>
    <row r="25" spans="3:14" ht="19.2" customHeight="1">
      <c r="C25" s="943" t="s">
        <v>1217</v>
      </c>
      <c r="D25" s="944"/>
      <c r="E25" s="944"/>
      <c r="F25" s="944"/>
      <c r="G25" s="944"/>
      <c r="H25" s="945"/>
      <c r="I25" s="946"/>
      <c r="J25" s="1113">
        <v>0</v>
      </c>
      <c r="K25" s="280"/>
    </row>
    <row r="26" spans="3:14" ht="19.2" customHeight="1">
      <c r="C26" s="293" t="s">
        <v>1218</v>
      </c>
      <c r="D26" s="294" t="s">
        <v>1219</v>
      </c>
      <c r="E26" s="295"/>
      <c r="F26" s="295"/>
      <c r="G26" s="295"/>
      <c r="H26" s="1114"/>
      <c r="I26" s="1115"/>
      <c r="J26" s="284">
        <f>J13+J23+J25</f>
        <v>316441.88772</v>
      </c>
      <c r="K26" s="280"/>
    </row>
    <row r="27" spans="3:14" ht="19.2" customHeight="1">
      <c r="C27" s="293" t="s">
        <v>1220</v>
      </c>
      <c r="D27" s="294" t="s">
        <v>1249</v>
      </c>
      <c r="E27" s="295"/>
      <c r="F27" s="295"/>
      <c r="G27" s="296"/>
      <c r="H27" s="298">
        <f>$Q$8</f>
        <v>0.1</v>
      </c>
      <c r="I27" s="1116"/>
      <c r="J27" s="284">
        <f>J26*H27</f>
        <v>31644.188772000001</v>
      </c>
      <c r="K27" s="280"/>
    </row>
    <row r="28" spans="3:14" ht="19.2" customHeight="1" thickBot="1">
      <c r="C28" s="299" t="s">
        <v>1221</v>
      </c>
      <c r="D28" s="300" t="s">
        <v>1222</v>
      </c>
      <c r="E28" s="301"/>
      <c r="F28" s="301"/>
      <c r="G28" s="301"/>
      <c r="H28" s="1117"/>
      <c r="I28" s="1118"/>
      <c r="J28" s="303">
        <f>SUM(J26:J27)</f>
        <v>348086.07649200002</v>
      </c>
      <c r="K28" s="280"/>
    </row>
    <row r="29" spans="3:14" ht="14.4" thickTop="1">
      <c r="C29" s="47"/>
      <c r="D29" s="47"/>
      <c r="E29" s="47"/>
      <c r="F29" s="47"/>
      <c r="G29" s="47"/>
      <c r="H29" s="1119"/>
      <c r="I29" s="1119"/>
      <c r="J29" s="1102"/>
      <c r="K29" s="119"/>
    </row>
    <row r="30" spans="3:14" ht="14.4" thickBot="1">
      <c r="C30" s="47" t="s">
        <v>1799</v>
      </c>
      <c r="D30" s="48" t="s">
        <v>1223</v>
      </c>
      <c r="E30" s="119"/>
      <c r="F30" s="329"/>
      <c r="G30" s="329"/>
      <c r="H30" s="951"/>
      <c r="I30" s="951"/>
      <c r="J30" s="952"/>
      <c r="K30" s="120">
        <f>ROUNDDOWN(J52,-2)</f>
        <v>245600</v>
      </c>
      <c r="N30" s="374"/>
    </row>
    <row r="31" spans="3:14" ht="28.2" thickTop="1">
      <c r="C31" s="51" t="s">
        <v>1195</v>
      </c>
      <c r="D31" s="52" t="s">
        <v>1196</v>
      </c>
      <c r="E31" s="52"/>
      <c r="F31" s="52" t="s">
        <v>1197</v>
      </c>
      <c r="G31" s="52" t="s">
        <v>1198</v>
      </c>
      <c r="H31" s="947" t="s">
        <v>1199</v>
      </c>
      <c r="I31" s="948"/>
      <c r="J31" s="942" t="s">
        <v>1200</v>
      </c>
      <c r="K31" s="289"/>
    </row>
    <row r="32" spans="3:14" ht="19.2" customHeight="1">
      <c r="C32" s="293" t="s">
        <v>1201</v>
      </c>
      <c r="D32" s="182" t="s">
        <v>1202</v>
      </c>
      <c r="E32" s="182"/>
      <c r="F32" s="1103"/>
      <c r="G32" s="486"/>
      <c r="H32" s="1120"/>
      <c r="I32" s="1121"/>
      <c r="J32" s="1104"/>
      <c r="K32" s="280"/>
    </row>
    <row r="33" spans="3:11" ht="19.2" customHeight="1">
      <c r="C33" s="293" t="s">
        <v>1203</v>
      </c>
      <c r="D33" s="1103" t="s">
        <v>5</v>
      </c>
      <c r="E33" s="1103" t="s">
        <v>1774</v>
      </c>
      <c r="F33" s="102" t="s">
        <v>6</v>
      </c>
      <c r="G33" s="526">
        <v>0.25</v>
      </c>
      <c r="H33" s="283">
        <f>VLOOKUP(D33,upahbahan,3,FALSE)</f>
        <v>100000</v>
      </c>
      <c r="I33" s="872"/>
      <c r="J33" s="284">
        <f>G33*H33</f>
        <v>25000</v>
      </c>
      <c r="K33" s="280"/>
    </row>
    <row r="34" spans="3:11" ht="19.2" customHeight="1">
      <c r="C34" s="293" t="s">
        <v>1204</v>
      </c>
      <c r="D34" s="182" t="s">
        <v>8</v>
      </c>
      <c r="E34" s="182" t="s">
        <v>1775</v>
      </c>
      <c r="F34" s="102" t="s">
        <v>6</v>
      </c>
      <c r="G34" s="526">
        <v>0.125</v>
      </c>
      <c r="H34" s="283">
        <f>VLOOKUP(D34,upahbahan,3,FALSE)</f>
        <v>135000</v>
      </c>
      <c r="I34" s="872"/>
      <c r="J34" s="284">
        <f>G34*H34</f>
        <v>16875</v>
      </c>
      <c r="K34" s="280"/>
    </row>
    <row r="35" spans="3:11" ht="19.2" customHeight="1">
      <c r="C35" s="293" t="s">
        <v>1205</v>
      </c>
      <c r="D35" s="1103" t="s">
        <v>7</v>
      </c>
      <c r="E35" s="182" t="s">
        <v>1775</v>
      </c>
      <c r="F35" s="102" t="s">
        <v>6</v>
      </c>
      <c r="G35" s="526">
        <v>0.125</v>
      </c>
      <c r="H35" s="283">
        <f>VLOOKUP(D35,upahbahan,3,FALSE)</f>
        <v>135000</v>
      </c>
      <c r="I35" s="872"/>
      <c r="J35" s="284">
        <f>G35*H35</f>
        <v>16875</v>
      </c>
      <c r="K35" s="280"/>
    </row>
    <row r="36" spans="3:11" ht="19.2" customHeight="1">
      <c r="C36" s="293" t="s">
        <v>1206</v>
      </c>
      <c r="D36" s="182" t="s">
        <v>18</v>
      </c>
      <c r="E36" s="182" t="s">
        <v>1776</v>
      </c>
      <c r="F36" s="102" t="s">
        <v>6</v>
      </c>
      <c r="G36" s="526">
        <v>2.5000000000000001E-2</v>
      </c>
      <c r="H36" s="283">
        <f>VLOOKUP(D36,upahbahan,3,FALSE)</f>
        <v>150000</v>
      </c>
      <c r="I36" s="872"/>
      <c r="J36" s="284">
        <f>G36*H36</f>
        <v>3750</v>
      </c>
      <c r="K36" s="280"/>
    </row>
    <row r="37" spans="3:11" ht="19.2" customHeight="1">
      <c r="C37" s="293" t="s">
        <v>1207</v>
      </c>
      <c r="D37" s="1103" t="s">
        <v>19</v>
      </c>
      <c r="E37" s="182" t="s">
        <v>1777</v>
      </c>
      <c r="F37" s="102" t="s">
        <v>6</v>
      </c>
      <c r="G37" s="526">
        <v>8.0000000000000002E-3</v>
      </c>
      <c r="H37" s="283">
        <f>VLOOKUP(D37,upahbahan,3,FALSE)</f>
        <v>160000</v>
      </c>
      <c r="I37" s="872"/>
      <c r="J37" s="284">
        <f>G37*H37</f>
        <v>1280</v>
      </c>
      <c r="K37" s="280"/>
    </row>
    <row r="38" spans="3:11" ht="19.2" customHeight="1">
      <c r="C38" s="943" t="s">
        <v>1208</v>
      </c>
      <c r="D38" s="944"/>
      <c r="E38" s="944"/>
      <c r="F38" s="944"/>
      <c r="G38" s="944"/>
      <c r="H38" s="945"/>
      <c r="I38" s="946"/>
      <c r="J38" s="1106">
        <f>SUM(J33:J37)</f>
        <v>63780</v>
      </c>
      <c r="K38" s="280"/>
    </row>
    <row r="39" spans="3:11" ht="19.2" customHeight="1">
      <c r="C39" s="293" t="s">
        <v>1209</v>
      </c>
      <c r="D39" s="182" t="s">
        <v>1210</v>
      </c>
      <c r="E39" s="182"/>
      <c r="F39" s="1103"/>
      <c r="G39" s="1107"/>
      <c r="H39" s="1108"/>
      <c r="I39" s="1109"/>
      <c r="J39" s="1104"/>
      <c r="K39" s="280"/>
    </row>
    <row r="40" spans="3:11" ht="19.2" customHeight="1">
      <c r="C40" s="1110" t="s">
        <v>1203</v>
      </c>
      <c r="D40" s="1103" t="s">
        <v>1793</v>
      </c>
      <c r="E40" s="1103"/>
      <c r="F40" s="291" t="s">
        <v>42</v>
      </c>
      <c r="G40" s="1111">
        <v>3.1E-2</v>
      </c>
      <c r="H40" s="283">
        <f t="shared" ref="H40:H46" si="2">VLOOKUP(D40,upahbahan,3,FALSE)</f>
        <v>3015000</v>
      </c>
      <c r="I40" s="872"/>
      <c r="J40" s="284">
        <f t="shared" ref="J40:J46" si="3">G40*H40</f>
        <v>93465</v>
      </c>
      <c r="K40" s="280"/>
    </row>
    <row r="41" spans="3:11" ht="19.2" customHeight="1">
      <c r="C41" s="1110" t="s">
        <v>1204</v>
      </c>
      <c r="D41" s="1103" t="s">
        <v>1801</v>
      </c>
      <c r="E41" s="1103"/>
      <c r="F41" s="291" t="s">
        <v>129</v>
      </c>
      <c r="G41" s="1111">
        <v>1.3125</v>
      </c>
      <c r="H41" s="283">
        <f t="shared" si="2"/>
        <v>0</v>
      </c>
      <c r="I41" s="872"/>
      <c r="J41" s="284">
        <f t="shared" si="3"/>
        <v>0</v>
      </c>
      <c r="K41" s="280"/>
    </row>
    <row r="42" spans="3:11" ht="19.2" customHeight="1">
      <c r="C42" s="1110" t="s">
        <v>1205</v>
      </c>
      <c r="D42" s="1103" t="s">
        <v>1795</v>
      </c>
      <c r="E42" s="1103"/>
      <c r="F42" s="102" t="s">
        <v>65</v>
      </c>
      <c r="G42" s="1111">
        <v>0.42709999999999998</v>
      </c>
      <c r="H42" s="283">
        <f t="shared" si="2"/>
        <v>20000</v>
      </c>
      <c r="I42" s="872"/>
      <c r="J42" s="284">
        <f t="shared" si="3"/>
        <v>8542</v>
      </c>
      <c r="K42" s="280"/>
    </row>
    <row r="43" spans="3:11" ht="19.2" customHeight="1">
      <c r="C43" s="1110" t="s">
        <v>1206</v>
      </c>
      <c r="D43" s="1103" t="s">
        <v>1796</v>
      </c>
      <c r="E43" s="1103"/>
      <c r="F43" s="102" t="s">
        <v>65</v>
      </c>
      <c r="G43" s="1111">
        <v>26.405999999999999</v>
      </c>
      <c r="H43" s="283">
        <f t="shared" si="2"/>
        <v>1530</v>
      </c>
      <c r="I43" s="872"/>
      <c r="J43" s="284">
        <f t="shared" si="3"/>
        <v>40401.18</v>
      </c>
      <c r="K43" s="280"/>
    </row>
    <row r="44" spans="3:11" ht="19.2" customHeight="1">
      <c r="C44" s="1110" t="s">
        <v>1207</v>
      </c>
      <c r="D44" s="1103" t="s">
        <v>79</v>
      </c>
      <c r="E44" s="1103"/>
      <c r="F44" s="291" t="s">
        <v>65</v>
      </c>
      <c r="G44" s="526">
        <v>61.56</v>
      </c>
      <c r="H44" s="283">
        <f t="shared" si="2"/>
        <v>221.78700000000001</v>
      </c>
      <c r="I44" s="872"/>
      <c r="J44" s="284">
        <f t="shared" si="3"/>
        <v>13653.20772</v>
      </c>
      <c r="K44" s="280"/>
    </row>
    <row r="45" spans="3:11" ht="19.2" customHeight="1">
      <c r="C45" s="1110" t="s">
        <v>1211</v>
      </c>
      <c r="D45" s="182" t="s">
        <v>1798</v>
      </c>
      <c r="E45" s="182"/>
      <c r="F45" s="291" t="s">
        <v>65</v>
      </c>
      <c r="G45" s="526">
        <v>83.349000000000004</v>
      </c>
      <c r="H45" s="283">
        <f t="shared" si="2"/>
        <v>0</v>
      </c>
      <c r="I45" s="872"/>
      <c r="J45" s="284">
        <f t="shared" si="3"/>
        <v>0</v>
      </c>
      <c r="K45" s="280"/>
    </row>
    <row r="46" spans="3:11" ht="19.2" customHeight="1">
      <c r="C46" s="1110" t="s">
        <v>1212</v>
      </c>
      <c r="D46" s="1103" t="s">
        <v>960</v>
      </c>
      <c r="E46" s="1103"/>
      <c r="F46" s="102" t="s">
        <v>529</v>
      </c>
      <c r="G46" s="526">
        <v>17.414999999999999</v>
      </c>
      <c r="H46" s="283">
        <f t="shared" si="2"/>
        <v>200</v>
      </c>
      <c r="I46" s="872"/>
      <c r="J46" s="284">
        <f t="shared" si="3"/>
        <v>3483</v>
      </c>
      <c r="K46" s="280"/>
    </row>
    <row r="47" spans="3:11" ht="19.2" customHeight="1">
      <c r="C47" s="943" t="s">
        <v>1214</v>
      </c>
      <c r="D47" s="944"/>
      <c r="E47" s="944"/>
      <c r="F47" s="944"/>
      <c r="G47" s="944"/>
      <c r="H47" s="945"/>
      <c r="I47" s="946"/>
      <c r="J47" s="1106">
        <f>SUM(J40:J46)</f>
        <v>159544.38772</v>
      </c>
      <c r="K47" s="280"/>
    </row>
    <row r="48" spans="3:11" ht="19.2" customHeight="1">
      <c r="C48" s="293" t="s">
        <v>1215</v>
      </c>
      <c r="D48" s="182" t="s">
        <v>1216</v>
      </c>
      <c r="E48" s="182"/>
      <c r="F48" s="1103"/>
      <c r="G48" s="1107"/>
      <c r="H48" s="1108"/>
      <c r="I48" s="1109"/>
      <c r="J48" s="1104"/>
      <c r="K48" s="280"/>
    </row>
    <row r="49" spans="3:13" ht="19.2" customHeight="1">
      <c r="C49" s="943" t="s">
        <v>1217</v>
      </c>
      <c r="D49" s="944"/>
      <c r="E49" s="944"/>
      <c r="F49" s="944"/>
      <c r="G49" s="944"/>
      <c r="H49" s="945"/>
      <c r="I49" s="946"/>
      <c r="J49" s="1113">
        <v>0</v>
      </c>
      <c r="K49" s="280"/>
    </row>
    <row r="50" spans="3:13" ht="19.2" customHeight="1">
      <c r="C50" s="293" t="s">
        <v>1218</v>
      </c>
      <c r="D50" s="294" t="s">
        <v>1219</v>
      </c>
      <c r="E50" s="295"/>
      <c r="F50" s="295"/>
      <c r="G50" s="295"/>
      <c r="H50" s="1114"/>
      <c r="I50" s="1115"/>
      <c r="J50" s="284">
        <f>J38+J47+J49</f>
        <v>223324.38772</v>
      </c>
      <c r="K50" s="280"/>
    </row>
    <row r="51" spans="3:13" ht="19.2" customHeight="1">
      <c r="C51" s="293" t="s">
        <v>1220</v>
      </c>
      <c r="D51" s="294" t="s">
        <v>1249</v>
      </c>
      <c r="E51" s="295"/>
      <c r="F51" s="295"/>
      <c r="G51" s="296"/>
      <c r="H51" s="298">
        <f>$Q$8</f>
        <v>0.1</v>
      </c>
      <c r="I51" s="1116"/>
      <c r="J51" s="284">
        <f>J50*H51</f>
        <v>22332.438772000001</v>
      </c>
      <c r="K51" s="280"/>
    </row>
    <row r="52" spans="3:13" ht="19.2" customHeight="1" thickBot="1">
      <c r="C52" s="299" t="s">
        <v>1221</v>
      </c>
      <c r="D52" s="300" t="s">
        <v>1222</v>
      </c>
      <c r="E52" s="301"/>
      <c r="F52" s="301"/>
      <c r="G52" s="301"/>
      <c r="H52" s="1117"/>
      <c r="I52" s="1118"/>
      <c r="J52" s="303">
        <f>SUM(J50:J51)</f>
        <v>245656.82649199999</v>
      </c>
      <c r="K52" s="280"/>
    </row>
    <row r="53" spans="3:13" ht="14.4" thickTop="1">
      <c r="C53" s="47"/>
      <c r="D53" s="47"/>
      <c r="E53" s="47"/>
      <c r="F53" s="47"/>
      <c r="G53" s="47"/>
      <c r="H53" s="1119"/>
      <c r="I53" s="1119"/>
      <c r="J53" s="1102"/>
      <c r="K53" s="119"/>
    </row>
    <row r="54" spans="3:13" ht="14.4" thickBot="1">
      <c r="C54" s="47" t="s">
        <v>1800</v>
      </c>
      <c r="D54" s="48" t="s">
        <v>1224</v>
      </c>
      <c r="E54" s="119"/>
      <c r="F54" s="329"/>
      <c r="G54" s="329"/>
      <c r="H54" s="951"/>
      <c r="I54" s="951"/>
      <c r="J54" s="952"/>
      <c r="K54" s="120">
        <f>ROUNDDOWN(J76,-2)</f>
        <v>206200</v>
      </c>
      <c r="L54" s="939" t="s">
        <v>6450</v>
      </c>
      <c r="M54" s="940" t="s">
        <v>6452</v>
      </c>
    </row>
    <row r="55" spans="3:13" ht="28.2" thickTop="1">
      <c r="C55" s="51" t="s">
        <v>1195</v>
      </c>
      <c r="D55" s="52" t="s">
        <v>1196</v>
      </c>
      <c r="E55" s="52"/>
      <c r="F55" s="52" t="s">
        <v>1197</v>
      </c>
      <c r="G55" s="52" t="s">
        <v>1198</v>
      </c>
      <c r="H55" s="947" t="s">
        <v>1199</v>
      </c>
      <c r="I55" s="948"/>
      <c r="J55" s="942" t="s">
        <v>1200</v>
      </c>
      <c r="K55" s="289"/>
    </row>
    <row r="56" spans="3:13" ht="19.2" customHeight="1">
      <c r="C56" s="293" t="s">
        <v>1201</v>
      </c>
      <c r="D56" s="182" t="s">
        <v>1202</v>
      </c>
      <c r="E56" s="182"/>
      <c r="F56" s="1103"/>
      <c r="G56" s="486"/>
      <c r="H56" s="1120"/>
      <c r="I56" s="1121"/>
      <c r="J56" s="1104"/>
      <c r="K56" s="280"/>
    </row>
    <row r="57" spans="3:13" ht="19.2" customHeight="1">
      <c r="C57" s="293" t="s">
        <v>1203</v>
      </c>
      <c r="D57" s="1103" t="s">
        <v>5</v>
      </c>
      <c r="E57" s="1103" t="s">
        <v>1774</v>
      </c>
      <c r="F57" s="102" t="s">
        <v>6</v>
      </c>
      <c r="G57" s="526">
        <v>0.308</v>
      </c>
      <c r="H57" s="283">
        <f>VLOOKUP(D57,upahbahan,3,FALSE)</f>
        <v>100000</v>
      </c>
      <c r="I57" s="872"/>
      <c r="J57" s="284">
        <f>G57*H57</f>
        <v>30800</v>
      </c>
      <c r="K57" s="280"/>
    </row>
    <row r="58" spans="3:13" ht="19.2" customHeight="1">
      <c r="C58" s="293" t="s">
        <v>1204</v>
      </c>
      <c r="D58" s="182" t="s">
        <v>8</v>
      </c>
      <c r="E58" s="182" t="s">
        <v>1775</v>
      </c>
      <c r="F58" s="102" t="s">
        <v>6</v>
      </c>
      <c r="G58" s="526">
        <v>0.154</v>
      </c>
      <c r="H58" s="283">
        <f>VLOOKUP(D58,upahbahan,3,FALSE)</f>
        <v>135000</v>
      </c>
      <c r="I58" s="872"/>
      <c r="J58" s="284">
        <f>G58*H58</f>
        <v>20790</v>
      </c>
      <c r="K58" s="280"/>
    </row>
    <row r="59" spans="3:13" ht="19.2" customHeight="1">
      <c r="C59" s="293" t="s">
        <v>1205</v>
      </c>
      <c r="D59" s="1103" t="s">
        <v>7</v>
      </c>
      <c r="E59" s="182" t="s">
        <v>1775</v>
      </c>
      <c r="F59" s="102" t="s">
        <v>6</v>
      </c>
      <c r="G59" s="526">
        <v>0.154</v>
      </c>
      <c r="H59" s="283">
        <f>VLOOKUP(D59,upahbahan,3,FALSE)</f>
        <v>135000</v>
      </c>
      <c r="I59" s="872"/>
      <c r="J59" s="284">
        <f>G59*H59</f>
        <v>20790</v>
      </c>
      <c r="K59" s="280"/>
    </row>
    <row r="60" spans="3:13" ht="19.2" customHeight="1">
      <c r="C60" s="293" t="s">
        <v>1206</v>
      </c>
      <c r="D60" s="182" t="s">
        <v>18</v>
      </c>
      <c r="E60" s="182" t="s">
        <v>1776</v>
      </c>
      <c r="F60" s="102" t="s">
        <v>6</v>
      </c>
      <c r="G60" s="526">
        <v>3.1E-2</v>
      </c>
      <c r="H60" s="283">
        <f>VLOOKUP(D60,upahbahan,3,FALSE)</f>
        <v>150000</v>
      </c>
      <c r="I60" s="872"/>
      <c r="J60" s="284">
        <f>G60*H60</f>
        <v>4650</v>
      </c>
      <c r="K60" s="280"/>
    </row>
    <row r="61" spans="3:13" ht="19.2" customHeight="1">
      <c r="C61" s="293" t="s">
        <v>1207</v>
      </c>
      <c r="D61" s="1103" t="s">
        <v>19</v>
      </c>
      <c r="E61" s="182" t="s">
        <v>1777</v>
      </c>
      <c r="F61" s="102" t="s">
        <v>6</v>
      </c>
      <c r="G61" s="526">
        <v>0.01</v>
      </c>
      <c r="H61" s="283">
        <f>VLOOKUP(D61,upahbahan,3,FALSE)</f>
        <v>160000</v>
      </c>
      <c r="I61" s="872"/>
      <c r="J61" s="284">
        <f>G61*H61</f>
        <v>1600</v>
      </c>
      <c r="K61" s="280"/>
    </row>
    <row r="62" spans="3:13" ht="19.2" customHeight="1">
      <c r="C62" s="943" t="s">
        <v>1208</v>
      </c>
      <c r="D62" s="944"/>
      <c r="E62" s="944"/>
      <c r="F62" s="944"/>
      <c r="G62" s="944"/>
      <c r="H62" s="945"/>
      <c r="I62" s="946"/>
      <c r="J62" s="1106">
        <f>SUM(J57:J61)</f>
        <v>78630</v>
      </c>
      <c r="K62" s="280"/>
    </row>
    <row r="63" spans="3:13" ht="19.2" customHeight="1">
      <c r="C63" s="293" t="s">
        <v>1209</v>
      </c>
      <c r="D63" s="182" t="s">
        <v>1210</v>
      </c>
      <c r="E63" s="182"/>
      <c r="F63" s="1103"/>
      <c r="G63" s="1107"/>
      <c r="H63" s="1108"/>
      <c r="I63" s="1109"/>
      <c r="J63" s="1104"/>
      <c r="K63" s="280"/>
    </row>
    <row r="64" spans="3:13" ht="19.2" customHeight="1">
      <c r="C64" s="1110" t="s">
        <v>1203</v>
      </c>
      <c r="D64" s="1103" t="s">
        <v>1793</v>
      </c>
      <c r="E64" s="1103"/>
      <c r="F64" s="291" t="s">
        <v>42</v>
      </c>
      <c r="G64" s="1122">
        <v>1.3899999999999999E-2</v>
      </c>
      <c r="H64" s="283">
        <f t="shared" ref="H64:H70" si="4">VLOOKUP(D64,upahbahan,3,FALSE)</f>
        <v>3015000</v>
      </c>
      <c r="I64" s="872"/>
      <c r="J64" s="284">
        <f t="shared" ref="J64:J70" si="5">G64*H64</f>
        <v>41908.5</v>
      </c>
      <c r="K64" s="280"/>
    </row>
    <row r="65" spans="3:14" ht="19.2" customHeight="1">
      <c r="C65" s="1110" t="s">
        <v>1204</v>
      </c>
      <c r="D65" s="1103" t="s">
        <v>252</v>
      </c>
      <c r="E65" s="1103"/>
      <c r="F65" s="291" t="s">
        <v>113</v>
      </c>
      <c r="G65" s="1107">
        <v>20.445699999999999</v>
      </c>
      <c r="H65" s="283">
        <f t="shared" si="4"/>
        <v>0</v>
      </c>
      <c r="I65" s="872"/>
      <c r="J65" s="284">
        <f t="shared" si="5"/>
        <v>0</v>
      </c>
      <c r="K65" s="280"/>
    </row>
    <row r="66" spans="3:14" ht="19.2" customHeight="1">
      <c r="C66" s="1110" t="s">
        <v>1205</v>
      </c>
      <c r="D66" s="1103" t="s">
        <v>1795</v>
      </c>
      <c r="E66" s="1103"/>
      <c r="F66" s="102" t="s">
        <v>65</v>
      </c>
      <c r="G66" s="1107">
        <v>0.47149999999999997</v>
      </c>
      <c r="H66" s="283">
        <f t="shared" si="4"/>
        <v>20000</v>
      </c>
      <c r="I66" s="872"/>
      <c r="J66" s="284">
        <f t="shared" si="5"/>
        <v>9430</v>
      </c>
      <c r="K66" s="280"/>
    </row>
    <row r="67" spans="3:14" ht="19.2" customHeight="1">
      <c r="C67" s="1110" t="s">
        <v>1206</v>
      </c>
      <c r="D67" s="1103" t="s">
        <v>1796</v>
      </c>
      <c r="E67" s="1103"/>
      <c r="F67" s="102" t="s">
        <v>65</v>
      </c>
      <c r="G67" s="1107">
        <v>26.405999999999999</v>
      </c>
      <c r="H67" s="283">
        <f t="shared" si="4"/>
        <v>1530</v>
      </c>
      <c r="I67" s="872"/>
      <c r="J67" s="284">
        <f t="shared" si="5"/>
        <v>40401.18</v>
      </c>
      <c r="K67" s="280"/>
    </row>
    <row r="68" spans="3:14" ht="19.2" customHeight="1">
      <c r="C68" s="1110" t="s">
        <v>1207</v>
      </c>
      <c r="D68" s="1103" t="s">
        <v>79</v>
      </c>
      <c r="E68" s="1103"/>
      <c r="F68" s="291" t="s">
        <v>65</v>
      </c>
      <c r="G68" s="526">
        <f>G44</f>
        <v>61.56</v>
      </c>
      <c r="H68" s="283">
        <f t="shared" si="4"/>
        <v>221.78700000000001</v>
      </c>
      <c r="I68" s="872"/>
      <c r="J68" s="284">
        <f t="shared" si="5"/>
        <v>13653.20772</v>
      </c>
      <c r="K68" s="280"/>
    </row>
    <row r="69" spans="3:14" ht="19.2" customHeight="1">
      <c r="C69" s="1110" t="s">
        <v>1211</v>
      </c>
      <c r="D69" s="182" t="s">
        <v>1798</v>
      </c>
      <c r="E69" s="182"/>
      <c r="F69" s="291" t="s">
        <v>1044</v>
      </c>
      <c r="G69" s="526">
        <f>G45</f>
        <v>83.349000000000004</v>
      </c>
      <c r="H69" s="283">
        <f t="shared" si="4"/>
        <v>0</v>
      </c>
      <c r="I69" s="872"/>
      <c r="J69" s="284">
        <f t="shared" si="5"/>
        <v>0</v>
      </c>
      <c r="K69" s="280"/>
    </row>
    <row r="70" spans="3:14" ht="19.2" customHeight="1">
      <c r="C70" s="1110" t="s">
        <v>1212</v>
      </c>
      <c r="D70" s="1103" t="s">
        <v>960</v>
      </c>
      <c r="E70" s="1103"/>
      <c r="F70" s="102" t="s">
        <v>529</v>
      </c>
      <c r="G70" s="1107">
        <v>17.414999999999999</v>
      </c>
      <c r="H70" s="283">
        <f t="shared" si="4"/>
        <v>200</v>
      </c>
      <c r="I70" s="872"/>
      <c r="J70" s="284">
        <f t="shared" si="5"/>
        <v>3483</v>
      </c>
      <c r="K70" s="280"/>
    </row>
    <row r="71" spans="3:14" ht="19.2" customHeight="1">
      <c r="C71" s="943" t="s">
        <v>1214</v>
      </c>
      <c r="D71" s="944"/>
      <c r="E71" s="944"/>
      <c r="F71" s="944"/>
      <c r="G71" s="944"/>
      <c r="H71" s="945"/>
      <c r="I71" s="946"/>
      <c r="J71" s="1106">
        <f>SUM(J64:J70)</f>
        <v>108875.88772</v>
      </c>
      <c r="K71" s="280"/>
    </row>
    <row r="72" spans="3:14" ht="19.2" customHeight="1">
      <c r="C72" s="293" t="s">
        <v>1215</v>
      </c>
      <c r="D72" s="182" t="s">
        <v>1216</v>
      </c>
      <c r="E72" s="182"/>
      <c r="F72" s="1103"/>
      <c r="G72" s="1107"/>
      <c r="H72" s="1120"/>
      <c r="I72" s="1121"/>
      <c r="J72" s="1104"/>
      <c r="K72" s="280"/>
    </row>
    <row r="73" spans="3:14" ht="19.2" customHeight="1">
      <c r="C73" s="943" t="s">
        <v>1217</v>
      </c>
      <c r="D73" s="944"/>
      <c r="E73" s="944"/>
      <c r="F73" s="944"/>
      <c r="G73" s="944"/>
      <c r="H73" s="949"/>
      <c r="I73" s="950"/>
      <c r="J73" s="1113">
        <v>0</v>
      </c>
      <c r="K73" s="280"/>
    </row>
    <row r="74" spans="3:14" ht="19.2" customHeight="1">
      <c r="C74" s="293" t="s">
        <v>1218</v>
      </c>
      <c r="D74" s="294" t="s">
        <v>1219</v>
      </c>
      <c r="E74" s="295"/>
      <c r="F74" s="295"/>
      <c r="G74" s="295"/>
      <c r="H74" s="1123"/>
      <c r="I74" s="1124"/>
      <c r="J74" s="284">
        <f>J62+J71+J73</f>
        <v>187505.88772</v>
      </c>
      <c r="K74" s="280"/>
    </row>
    <row r="75" spans="3:14" ht="19.2" customHeight="1">
      <c r="C75" s="293" t="s">
        <v>1220</v>
      </c>
      <c r="D75" s="294" t="s">
        <v>1249</v>
      </c>
      <c r="E75" s="295"/>
      <c r="F75" s="295"/>
      <c r="G75" s="296"/>
      <c r="H75" s="298">
        <f>$Q$8</f>
        <v>0.1</v>
      </c>
      <c r="I75" s="1116"/>
      <c r="J75" s="284">
        <f>J74*H75</f>
        <v>18750.588771999999</v>
      </c>
      <c r="K75" s="280"/>
    </row>
    <row r="76" spans="3:14" ht="19.2" customHeight="1" thickBot="1">
      <c r="C76" s="299" t="s">
        <v>1221</v>
      </c>
      <c r="D76" s="300" t="s">
        <v>1222</v>
      </c>
      <c r="E76" s="301"/>
      <c r="F76" s="301"/>
      <c r="G76" s="301"/>
      <c r="H76" s="1125"/>
      <c r="I76" s="1126"/>
      <c r="J76" s="303">
        <f>SUM(J74:J75)</f>
        <v>206256.47649199999</v>
      </c>
      <c r="K76" s="280"/>
    </row>
    <row r="77" spans="3:14" ht="14.4" thickTop="1">
      <c r="C77" s="47"/>
      <c r="D77" s="47"/>
      <c r="E77" s="47"/>
      <c r="F77" s="47"/>
      <c r="G77" s="47"/>
      <c r="H77" s="1119"/>
      <c r="I77" s="1119"/>
      <c r="J77" s="1102"/>
      <c r="K77" s="119"/>
    </row>
    <row r="78" spans="3:14" ht="14.4" thickBot="1">
      <c r="C78" s="47" t="s">
        <v>1802</v>
      </c>
      <c r="D78" s="48" t="s">
        <v>1901</v>
      </c>
      <c r="E78" s="119"/>
      <c r="F78" s="329"/>
      <c r="G78" s="329"/>
      <c r="H78" s="951"/>
      <c r="I78" s="951"/>
      <c r="J78" s="952"/>
      <c r="K78" s="120">
        <f>ROUNDDOWN(J96,-2)</f>
        <v>275500</v>
      </c>
      <c r="L78" s="939" t="s">
        <v>5296</v>
      </c>
      <c r="M78" s="940" t="s">
        <v>5296</v>
      </c>
      <c r="N78" s="374">
        <v>639300</v>
      </c>
    </row>
    <row r="79" spans="3:14" ht="28.2" thickTop="1">
      <c r="C79" s="51" t="s">
        <v>1195</v>
      </c>
      <c r="D79" s="52" t="s">
        <v>1196</v>
      </c>
      <c r="E79" s="52"/>
      <c r="F79" s="52" t="s">
        <v>1197</v>
      </c>
      <c r="G79" s="52" t="s">
        <v>1198</v>
      </c>
      <c r="H79" s="947" t="s">
        <v>1199</v>
      </c>
      <c r="I79" s="948"/>
      <c r="J79" s="942" t="s">
        <v>1200</v>
      </c>
      <c r="K79" s="289"/>
    </row>
    <row r="80" spans="3:14" ht="19.2" customHeight="1">
      <c r="C80" s="293" t="s">
        <v>1201</v>
      </c>
      <c r="D80" s="182" t="s">
        <v>1202</v>
      </c>
      <c r="E80" s="182"/>
      <c r="F80" s="1103"/>
      <c r="G80" s="486"/>
      <c r="H80" s="1120"/>
      <c r="I80" s="1121"/>
      <c r="J80" s="1104"/>
      <c r="K80" s="280"/>
    </row>
    <row r="81" spans="3:11" ht="19.2" customHeight="1">
      <c r="C81" s="293" t="s">
        <v>1203</v>
      </c>
      <c r="D81" s="1103" t="s">
        <v>5</v>
      </c>
      <c r="E81" s="1103" t="s">
        <v>1774</v>
      </c>
      <c r="F81" s="102" t="s">
        <v>6</v>
      </c>
      <c r="G81" s="526">
        <v>0.2</v>
      </c>
      <c r="H81" s="283">
        <f>VLOOKUP(D81,upahbahan,3,FALSE)</f>
        <v>100000</v>
      </c>
      <c r="I81" s="872"/>
      <c r="J81" s="284">
        <f>G81*H81</f>
        <v>20000</v>
      </c>
      <c r="K81" s="280"/>
    </row>
    <row r="82" spans="3:11" ht="19.2" customHeight="1">
      <c r="C82" s="293" t="s">
        <v>1204</v>
      </c>
      <c r="D82" s="182" t="s">
        <v>9</v>
      </c>
      <c r="E82" s="182" t="s">
        <v>1775</v>
      </c>
      <c r="F82" s="102" t="s">
        <v>6</v>
      </c>
      <c r="G82" s="526">
        <v>0.1</v>
      </c>
      <c r="H82" s="283">
        <f>VLOOKUP(D82,upahbahan,3,FALSE)</f>
        <v>135000</v>
      </c>
      <c r="I82" s="872"/>
      <c r="J82" s="284">
        <f>G82*H82</f>
        <v>13500</v>
      </c>
      <c r="K82" s="280"/>
    </row>
    <row r="83" spans="3:11" ht="19.2" customHeight="1">
      <c r="C83" s="293" t="s">
        <v>1205</v>
      </c>
      <c r="D83" s="1103" t="s">
        <v>7</v>
      </c>
      <c r="E83" s="182" t="s">
        <v>1775</v>
      </c>
      <c r="F83" s="102" t="s">
        <v>6</v>
      </c>
      <c r="G83" s="526">
        <v>0.1</v>
      </c>
      <c r="H83" s="283">
        <f>VLOOKUP(D83,upahbahan,3,FALSE)</f>
        <v>135000</v>
      </c>
      <c r="I83" s="872"/>
      <c r="J83" s="284">
        <f>G83*H83</f>
        <v>13500</v>
      </c>
      <c r="K83" s="280"/>
    </row>
    <row r="84" spans="3:11" ht="19.2" customHeight="1">
      <c r="C84" s="293">
        <v>4</v>
      </c>
      <c r="D84" s="1103" t="s">
        <v>19</v>
      </c>
      <c r="E84" s="182" t="s">
        <v>1777</v>
      </c>
      <c r="F84" s="102" t="s">
        <v>6</v>
      </c>
      <c r="G84" s="526">
        <v>0.02</v>
      </c>
      <c r="H84" s="283">
        <f>VLOOKUP(D84,upahbahan,3,FALSE)</f>
        <v>160000</v>
      </c>
      <c r="I84" s="872"/>
      <c r="J84" s="284">
        <f>G84*H84</f>
        <v>3200</v>
      </c>
      <c r="K84" s="280"/>
    </row>
    <row r="85" spans="3:11" ht="19.2" customHeight="1">
      <c r="C85" s="943" t="s">
        <v>1208</v>
      </c>
      <c r="D85" s="944"/>
      <c r="E85" s="944"/>
      <c r="F85" s="944"/>
      <c r="G85" s="944"/>
      <c r="H85" s="945"/>
      <c r="I85" s="946"/>
      <c r="J85" s="1106">
        <f>SUM(J81:J84)</f>
        <v>50200</v>
      </c>
      <c r="K85" s="280"/>
    </row>
    <row r="86" spans="3:11" ht="19.2" customHeight="1">
      <c r="C86" s="293" t="s">
        <v>1209</v>
      </c>
      <c r="D86" s="182" t="s">
        <v>1210</v>
      </c>
      <c r="E86" s="182"/>
      <c r="F86" s="1103"/>
      <c r="G86" s="1107"/>
      <c r="H86" s="1108"/>
      <c r="I86" s="1109"/>
      <c r="J86" s="1104"/>
      <c r="K86" s="280"/>
    </row>
    <row r="87" spans="3:11" ht="19.2" customHeight="1">
      <c r="C87" s="1110" t="s">
        <v>1204</v>
      </c>
      <c r="D87" s="1103" t="s">
        <v>1803</v>
      </c>
      <c r="E87" s="1103"/>
      <c r="F87" s="291" t="s">
        <v>129</v>
      </c>
      <c r="G87" s="526">
        <v>1.2</v>
      </c>
      <c r="H87" s="283">
        <f t="shared" ref="H87:H90" si="6">VLOOKUP(D87,upahbahan,3,FALSE)</f>
        <v>0</v>
      </c>
      <c r="I87" s="872"/>
      <c r="J87" s="284">
        <f>G87*H87</f>
        <v>0</v>
      </c>
      <c r="K87" s="280"/>
    </row>
    <row r="88" spans="3:11" ht="19.2" customHeight="1">
      <c r="C88" s="1110" t="s">
        <v>1205</v>
      </c>
      <c r="D88" s="1103" t="s">
        <v>1805</v>
      </c>
      <c r="E88" s="1103"/>
      <c r="F88" s="102" t="s">
        <v>65</v>
      </c>
      <c r="G88" s="526">
        <v>13.5</v>
      </c>
      <c r="H88" s="283">
        <f t="shared" si="6"/>
        <v>14840</v>
      </c>
      <c r="I88" s="872"/>
      <c r="J88" s="284">
        <f>G88*H88</f>
        <v>200340</v>
      </c>
      <c r="K88" s="280"/>
    </row>
    <row r="89" spans="3:11" ht="19.2" customHeight="1">
      <c r="C89" s="1110" t="s">
        <v>1206</v>
      </c>
      <c r="D89" s="1103" t="s">
        <v>1806</v>
      </c>
      <c r="E89" s="1103"/>
      <c r="F89" s="102" t="s">
        <v>65</v>
      </c>
      <c r="G89" s="526">
        <v>0.3</v>
      </c>
      <c r="H89" s="283">
        <f t="shared" si="6"/>
        <v>0</v>
      </c>
      <c r="I89" s="872"/>
      <c r="J89" s="284">
        <f>G89*H89</f>
        <v>0</v>
      </c>
      <c r="K89" s="280"/>
    </row>
    <row r="90" spans="3:11" ht="19.2" customHeight="1">
      <c r="C90" s="1110" t="s">
        <v>1207</v>
      </c>
      <c r="D90" s="1103" t="s">
        <v>1807</v>
      </c>
      <c r="E90" s="1103"/>
      <c r="F90" s="291" t="s">
        <v>42</v>
      </c>
      <c r="G90" s="526">
        <v>0.15</v>
      </c>
      <c r="H90" s="283">
        <f t="shared" si="6"/>
        <v>0</v>
      </c>
      <c r="I90" s="872"/>
      <c r="J90" s="284">
        <f>G90*H90</f>
        <v>0</v>
      </c>
      <c r="K90" s="280"/>
    </row>
    <row r="91" spans="3:11" ht="19.2" customHeight="1">
      <c r="C91" s="943" t="s">
        <v>1214</v>
      </c>
      <c r="D91" s="944"/>
      <c r="E91" s="944"/>
      <c r="F91" s="944"/>
      <c r="G91" s="944"/>
      <c r="H91" s="945"/>
      <c r="I91" s="946"/>
      <c r="J91" s="1106">
        <f>SUM(J87:J90)</f>
        <v>200340</v>
      </c>
      <c r="K91" s="280"/>
    </row>
    <row r="92" spans="3:11" ht="19.2" customHeight="1">
      <c r="C92" s="293" t="s">
        <v>1215</v>
      </c>
      <c r="D92" s="182" t="s">
        <v>1216</v>
      </c>
      <c r="E92" s="182"/>
      <c r="F92" s="1103"/>
      <c r="G92" s="1107"/>
      <c r="H92" s="1108"/>
      <c r="I92" s="1109"/>
      <c r="J92" s="1104"/>
      <c r="K92" s="280"/>
    </row>
    <row r="93" spans="3:11" ht="19.2" customHeight="1">
      <c r="C93" s="943" t="s">
        <v>1217</v>
      </c>
      <c r="D93" s="944"/>
      <c r="E93" s="944"/>
      <c r="F93" s="944"/>
      <c r="G93" s="944"/>
      <c r="H93" s="945"/>
      <c r="I93" s="946"/>
      <c r="J93" s="1113">
        <v>0</v>
      </c>
      <c r="K93" s="280"/>
    </row>
    <row r="94" spans="3:11" ht="19.2" customHeight="1">
      <c r="C94" s="293" t="s">
        <v>1218</v>
      </c>
      <c r="D94" s="294" t="s">
        <v>1219</v>
      </c>
      <c r="E94" s="295"/>
      <c r="F94" s="295"/>
      <c r="G94" s="295"/>
      <c r="H94" s="1114"/>
      <c r="I94" s="1115"/>
      <c r="J94" s="284">
        <f>J85+J91+J93</f>
        <v>250540</v>
      </c>
      <c r="K94" s="280"/>
    </row>
    <row r="95" spans="3:11" ht="19.2" customHeight="1">
      <c r="C95" s="293" t="s">
        <v>1220</v>
      </c>
      <c r="D95" s="294" t="s">
        <v>1249</v>
      </c>
      <c r="E95" s="295"/>
      <c r="F95" s="295"/>
      <c r="G95" s="296"/>
      <c r="H95" s="298">
        <f>$Q$8</f>
        <v>0.1</v>
      </c>
      <c r="I95" s="1116"/>
      <c r="J95" s="284">
        <f>J94*H95</f>
        <v>25054</v>
      </c>
      <c r="K95" s="280"/>
    </row>
    <row r="96" spans="3:11" ht="19.2" customHeight="1" thickBot="1">
      <c r="C96" s="299" t="s">
        <v>1221</v>
      </c>
      <c r="D96" s="300" t="s">
        <v>1222</v>
      </c>
      <c r="E96" s="301"/>
      <c r="F96" s="301"/>
      <c r="G96" s="301"/>
      <c r="H96" s="1117"/>
      <c r="I96" s="1118"/>
      <c r="J96" s="303">
        <f>SUM(J94:J95)</f>
        <v>275594</v>
      </c>
      <c r="K96" s="280"/>
    </row>
    <row r="97" spans="3:13" ht="14.4" thickTop="1">
      <c r="C97" s="289"/>
      <c r="D97" s="297"/>
      <c r="E97" s="297"/>
      <c r="F97" s="297"/>
      <c r="G97" s="297"/>
      <c r="H97" s="1127"/>
      <c r="I97" s="1127"/>
      <c r="J97" s="139"/>
      <c r="K97" s="280"/>
    </row>
    <row r="98" spans="3:13" ht="14.4" thickBot="1">
      <c r="C98" s="47" t="s">
        <v>1808</v>
      </c>
      <c r="D98" s="48" t="s">
        <v>1225</v>
      </c>
      <c r="E98" s="119"/>
      <c r="F98" s="329"/>
      <c r="G98" s="329"/>
      <c r="H98" s="951"/>
      <c r="I98" s="951"/>
      <c r="J98" s="952"/>
      <c r="K98" s="120" t="e">
        <f>ROUNDDOWN(J113,-2)</f>
        <v>#VALUE!</v>
      </c>
      <c r="L98" s="939" t="s">
        <v>5296</v>
      </c>
      <c r="M98" s="940" t="s">
        <v>5296</v>
      </c>
    </row>
    <row r="99" spans="3:13" ht="28.2" thickTop="1">
      <c r="C99" s="51" t="s">
        <v>1195</v>
      </c>
      <c r="D99" s="52" t="s">
        <v>1196</v>
      </c>
      <c r="E99" s="52"/>
      <c r="F99" s="52" t="s">
        <v>1197</v>
      </c>
      <c r="G99" s="52" t="s">
        <v>1198</v>
      </c>
      <c r="H99" s="947" t="s">
        <v>1199</v>
      </c>
      <c r="I99" s="948"/>
      <c r="J99" s="942" t="s">
        <v>1200</v>
      </c>
      <c r="K99" s="289"/>
    </row>
    <row r="100" spans="3:13" ht="19.2" customHeight="1">
      <c r="C100" s="290" t="s">
        <v>1201</v>
      </c>
      <c r="D100" s="182" t="s">
        <v>1202</v>
      </c>
      <c r="E100" s="182"/>
      <c r="F100" s="70"/>
      <c r="G100" s="70"/>
      <c r="H100" s="1128"/>
      <c r="I100" s="1129"/>
      <c r="J100" s="105"/>
      <c r="K100" s="280"/>
    </row>
    <row r="101" spans="3:13" ht="19.2" customHeight="1">
      <c r="C101" s="281">
        <v>1</v>
      </c>
      <c r="D101" s="182" t="s">
        <v>5</v>
      </c>
      <c r="E101" s="182" t="s">
        <v>1774</v>
      </c>
      <c r="F101" s="176" t="s">
        <v>6</v>
      </c>
      <c r="G101" s="282">
        <v>4.2000000000000003E-2</v>
      </c>
      <c r="H101" s="283">
        <f>VLOOKUP(D101,upahbahan,3,FALSE)</f>
        <v>100000</v>
      </c>
      <c r="I101" s="872"/>
      <c r="J101" s="284">
        <f>G101*H101</f>
        <v>4200</v>
      </c>
      <c r="K101" s="280"/>
    </row>
    <row r="102" spans="3:13" ht="19.2" customHeight="1">
      <c r="C102" s="281">
        <v>2</v>
      </c>
      <c r="D102" s="182" t="s">
        <v>8</v>
      </c>
      <c r="E102" s="182" t="s">
        <v>1775</v>
      </c>
      <c r="F102" s="176" t="s">
        <v>6</v>
      </c>
      <c r="G102" s="282">
        <v>0.04</v>
      </c>
      <c r="H102" s="283">
        <f>VLOOKUP(D102,upahbahan,3,FALSE)</f>
        <v>135000</v>
      </c>
      <c r="I102" s="872"/>
      <c r="J102" s="284">
        <f>G102*H102</f>
        <v>5400</v>
      </c>
    </row>
    <row r="103" spans="3:13" ht="19.2" customHeight="1">
      <c r="C103" s="281">
        <v>3</v>
      </c>
      <c r="D103" s="182" t="s">
        <v>18</v>
      </c>
      <c r="E103" s="182" t="s">
        <v>1776</v>
      </c>
      <c r="F103" s="176" t="s">
        <v>6</v>
      </c>
      <c r="G103" s="282">
        <v>4.0000000000000001E-3</v>
      </c>
      <c r="H103" s="283">
        <f>VLOOKUP(D103,upahbahan,3,FALSE)</f>
        <v>150000</v>
      </c>
      <c r="I103" s="872"/>
      <c r="J103" s="284">
        <f>G103*H103</f>
        <v>600</v>
      </c>
    </row>
    <row r="104" spans="3:13" ht="19.2" customHeight="1">
      <c r="C104" s="281">
        <v>4</v>
      </c>
      <c r="D104" s="182" t="s">
        <v>19</v>
      </c>
      <c r="E104" s="182" t="s">
        <v>1777</v>
      </c>
      <c r="F104" s="176" t="s">
        <v>6</v>
      </c>
      <c r="G104" s="282">
        <v>1E-3</v>
      </c>
      <c r="H104" s="283">
        <f>VLOOKUP(D104,upahbahan,3,FALSE)</f>
        <v>160000</v>
      </c>
      <c r="I104" s="872"/>
      <c r="J104" s="284">
        <f>G104*H104</f>
        <v>160</v>
      </c>
      <c r="K104" s="280"/>
    </row>
    <row r="105" spans="3:13" ht="19.2" customHeight="1">
      <c r="C105" s="943" t="s">
        <v>1208</v>
      </c>
      <c r="D105" s="263"/>
      <c r="E105" s="263"/>
      <c r="F105" s="263"/>
      <c r="G105" s="263"/>
      <c r="H105" s="953"/>
      <c r="I105" s="954"/>
      <c r="J105" s="284">
        <f>SUM(J101:J104)</f>
        <v>10360</v>
      </c>
      <c r="K105" s="280"/>
    </row>
    <row r="106" spans="3:13" ht="19.2" customHeight="1">
      <c r="C106" s="290" t="s">
        <v>1209</v>
      </c>
      <c r="D106" s="182" t="s">
        <v>1210</v>
      </c>
      <c r="E106" s="182"/>
      <c r="F106" s="70"/>
      <c r="G106" s="70"/>
      <c r="H106" s="955"/>
      <c r="I106" s="956"/>
      <c r="J106" s="105"/>
      <c r="K106" s="280"/>
    </row>
    <row r="107" spans="3:13" ht="19.2" customHeight="1">
      <c r="C107" s="290">
        <v>1</v>
      </c>
      <c r="D107" s="182" t="s">
        <v>1193</v>
      </c>
      <c r="E107" s="182"/>
      <c r="F107" s="124" t="s">
        <v>129</v>
      </c>
      <c r="G107" s="337">
        <v>1.6490000000000001E-2</v>
      </c>
      <c r="H107" s="283" t="e">
        <f>VLOOKUP(D107,upahbahan,3,FALSE)</f>
        <v>#VALUE!</v>
      </c>
      <c r="I107" s="872"/>
      <c r="J107" s="284" t="e">
        <f>G107*H107</f>
        <v>#VALUE!</v>
      </c>
      <c r="K107" s="280"/>
    </row>
    <row r="108" spans="3:13" ht="19.2" customHeight="1">
      <c r="C108" s="943" t="s">
        <v>1214</v>
      </c>
      <c r="D108" s="67"/>
      <c r="E108" s="67"/>
      <c r="F108" s="67"/>
      <c r="G108" s="67"/>
      <c r="H108" s="957"/>
      <c r="I108" s="958"/>
      <c r="J108" s="284" t="e">
        <f>SUM(J107:J107)</f>
        <v>#VALUE!</v>
      </c>
      <c r="K108" s="280"/>
    </row>
    <row r="109" spans="3:13" ht="19.2" customHeight="1">
      <c r="C109" s="290" t="s">
        <v>1215</v>
      </c>
      <c r="D109" s="182" t="s">
        <v>1216</v>
      </c>
      <c r="E109" s="182"/>
      <c r="F109" s="70"/>
      <c r="G109" s="70"/>
      <c r="H109" s="955"/>
      <c r="I109" s="956"/>
      <c r="J109" s="105"/>
      <c r="K109" s="280"/>
    </row>
    <row r="110" spans="3:13" ht="19.2" customHeight="1">
      <c r="C110" s="943" t="s">
        <v>1217</v>
      </c>
      <c r="D110" s="67"/>
      <c r="E110" s="67"/>
      <c r="F110" s="67"/>
      <c r="G110" s="67"/>
      <c r="H110" s="957"/>
      <c r="I110" s="958"/>
      <c r="J110" s="1113">
        <v>0</v>
      </c>
      <c r="K110" s="280"/>
    </row>
    <row r="111" spans="3:13" ht="19.2" customHeight="1">
      <c r="C111" s="293" t="s">
        <v>1218</v>
      </c>
      <c r="D111" s="294" t="s">
        <v>1219</v>
      </c>
      <c r="E111" s="295"/>
      <c r="F111" s="295"/>
      <c r="G111" s="295"/>
      <c r="H111" s="1114"/>
      <c r="I111" s="1115"/>
      <c r="J111" s="284" t="e">
        <f>J105+J108+J110</f>
        <v>#VALUE!</v>
      </c>
      <c r="K111" s="280"/>
    </row>
    <row r="112" spans="3:13" ht="19.2" customHeight="1">
      <c r="C112" s="293" t="s">
        <v>1220</v>
      </c>
      <c r="D112" s="294" t="s">
        <v>1249</v>
      </c>
      <c r="E112" s="295"/>
      <c r="F112" s="295"/>
      <c r="G112" s="296"/>
      <c r="H112" s="298">
        <f>$Q$8</f>
        <v>0.1</v>
      </c>
      <c r="I112" s="1116"/>
      <c r="J112" s="284" t="e">
        <f>J111*H112</f>
        <v>#VALUE!</v>
      </c>
      <c r="K112" s="280"/>
    </row>
    <row r="113" spans="3:13" ht="19.2" customHeight="1" thickBot="1">
      <c r="C113" s="299" t="s">
        <v>1221</v>
      </c>
      <c r="D113" s="300" t="s">
        <v>1222</v>
      </c>
      <c r="E113" s="301"/>
      <c r="F113" s="301"/>
      <c r="G113" s="301"/>
      <c r="H113" s="1117"/>
      <c r="I113" s="1118"/>
      <c r="J113" s="303" t="e">
        <f>SUM(J111:J112)</f>
        <v>#VALUE!</v>
      </c>
      <c r="K113" s="280"/>
    </row>
    <row r="114" spans="3:13" ht="14.4" thickTop="1">
      <c r="C114" s="289"/>
      <c r="D114" s="297"/>
      <c r="E114" s="297"/>
      <c r="F114" s="297"/>
      <c r="G114" s="297"/>
      <c r="H114" s="1130"/>
      <c r="I114" s="1130"/>
      <c r="J114" s="139"/>
      <c r="K114" s="280"/>
    </row>
    <row r="115" spans="3:13" ht="14.4" thickBot="1">
      <c r="C115" s="47" t="s">
        <v>1811</v>
      </c>
      <c r="D115" s="48" t="s">
        <v>1812</v>
      </c>
      <c r="E115" s="119"/>
      <c r="F115" s="329"/>
      <c r="G115" s="329"/>
      <c r="H115" s="951"/>
      <c r="I115" s="951"/>
      <c r="J115" s="952"/>
      <c r="K115" s="120">
        <f>ROUNDDOWN(J134,-2)</f>
        <v>186000</v>
      </c>
      <c r="L115" s="939" t="s">
        <v>6453</v>
      </c>
      <c r="M115" s="940" t="s">
        <v>6451</v>
      </c>
    </row>
    <row r="116" spans="3:13" ht="28.2" thickTop="1">
      <c r="C116" s="51" t="s">
        <v>1195</v>
      </c>
      <c r="D116" s="52" t="s">
        <v>1196</v>
      </c>
      <c r="E116" s="52"/>
      <c r="F116" s="52" t="s">
        <v>1197</v>
      </c>
      <c r="G116" s="52" t="s">
        <v>1198</v>
      </c>
      <c r="H116" s="947" t="s">
        <v>1199</v>
      </c>
      <c r="I116" s="948"/>
      <c r="J116" s="942" t="s">
        <v>1200</v>
      </c>
      <c r="K116" s="289"/>
    </row>
    <row r="117" spans="3:13">
      <c r="C117" s="290" t="s">
        <v>1201</v>
      </c>
      <c r="D117" s="182" t="s">
        <v>1202</v>
      </c>
      <c r="E117" s="182"/>
      <c r="F117" s="70"/>
      <c r="G117" s="70"/>
      <c r="H117" s="1128"/>
      <c r="I117" s="1129"/>
      <c r="J117" s="105"/>
      <c r="K117" s="280"/>
    </row>
    <row r="118" spans="3:13">
      <c r="C118" s="281">
        <v>1</v>
      </c>
      <c r="D118" s="182" t="s">
        <v>5</v>
      </c>
      <c r="E118" s="182" t="s">
        <v>1774</v>
      </c>
      <c r="F118" s="176" t="s">
        <v>6</v>
      </c>
      <c r="G118" s="315">
        <v>0.375</v>
      </c>
      <c r="H118" s="283">
        <f>VLOOKUP(D118,upahbahan,3,FALSE)</f>
        <v>100000</v>
      </c>
      <c r="I118" s="872"/>
      <c r="J118" s="284">
        <f>G118*H118</f>
        <v>37500</v>
      </c>
      <c r="K118" s="280"/>
    </row>
    <row r="119" spans="3:13">
      <c r="C119" s="281">
        <v>2</v>
      </c>
      <c r="D119" s="182" t="s">
        <v>7</v>
      </c>
      <c r="E119" s="182" t="s">
        <v>1775</v>
      </c>
      <c r="F119" s="176" t="s">
        <v>6</v>
      </c>
      <c r="G119" s="315">
        <v>0.125</v>
      </c>
      <c r="H119" s="283">
        <f>VLOOKUP(D119,upahbahan,3,FALSE)</f>
        <v>135000</v>
      </c>
      <c r="I119" s="872"/>
      <c r="J119" s="284">
        <f>G119*H119</f>
        <v>16875</v>
      </c>
    </row>
    <row r="120" spans="3:13">
      <c r="C120" s="281">
        <v>3</v>
      </c>
      <c r="D120" s="182" t="s">
        <v>18</v>
      </c>
      <c r="E120" s="182" t="s">
        <v>1776</v>
      </c>
      <c r="F120" s="176" t="s">
        <v>6</v>
      </c>
      <c r="G120" s="315">
        <v>1.1999999999999999E-3</v>
      </c>
      <c r="H120" s="283">
        <f>VLOOKUP(D120,upahbahan,3,FALSE)</f>
        <v>150000</v>
      </c>
      <c r="I120" s="872"/>
      <c r="J120" s="284">
        <f>G120*H120</f>
        <v>179.99999999999997</v>
      </c>
    </row>
    <row r="121" spans="3:13">
      <c r="C121" s="281">
        <v>4</v>
      </c>
      <c r="D121" s="182" t="s">
        <v>19</v>
      </c>
      <c r="E121" s="182" t="s">
        <v>1777</v>
      </c>
      <c r="F121" s="176" t="s">
        <v>6</v>
      </c>
      <c r="G121" s="315">
        <v>1.9E-2</v>
      </c>
      <c r="H121" s="283">
        <f>VLOOKUP(D121,upahbahan,3,FALSE)</f>
        <v>160000</v>
      </c>
      <c r="I121" s="872"/>
      <c r="J121" s="284">
        <f>G121*H121</f>
        <v>3040</v>
      </c>
      <c r="K121" s="280"/>
    </row>
    <row r="122" spans="3:13">
      <c r="C122" s="66" t="s">
        <v>1226</v>
      </c>
      <c r="D122" s="263"/>
      <c r="E122" s="263"/>
      <c r="F122" s="263"/>
      <c r="G122" s="263"/>
      <c r="H122" s="953"/>
      <c r="I122" s="954"/>
      <c r="J122" s="284">
        <f>SUM(J118:J121)</f>
        <v>57595</v>
      </c>
      <c r="K122" s="280"/>
    </row>
    <row r="123" spans="3:13">
      <c r="C123" s="290" t="s">
        <v>1209</v>
      </c>
      <c r="D123" s="182" t="s">
        <v>1210</v>
      </c>
      <c r="E123" s="182"/>
      <c r="F123" s="70"/>
      <c r="G123" s="70"/>
      <c r="H123" s="283"/>
      <c r="I123" s="872"/>
      <c r="J123" s="105"/>
      <c r="K123" s="280"/>
    </row>
    <row r="124" spans="3:13">
      <c r="C124" s="306" t="s">
        <v>1203</v>
      </c>
      <c r="D124" s="182" t="s">
        <v>1814</v>
      </c>
      <c r="E124" s="182"/>
      <c r="F124" s="124" t="s">
        <v>129</v>
      </c>
      <c r="G124" s="118">
        <v>0.98599999999999999</v>
      </c>
      <c r="H124" s="283">
        <f>VLOOKUP(D124,upahbahan,3,FALSE)</f>
        <v>0</v>
      </c>
      <c r="I124" s="872"/>
      <c r="J124" s="284">
        <f>G124*H124</f>
        <v>0</v>
      </c>
      <c r="K124" s="280"/>
    </row>
    <row r="125" spans="3:13">
      <c r="C125" s="306" t="s">
        <v>1204</v>
      </c>
      <c r="D125" s="182" t="s">
        <v>1813</v>
      </c>
      <c r="E125" s="182"/>
      <c r="F125" s="124" t="s">
        <v>106</v>
      </c>
      <c r="G125" s="118">
        <v>0.52500000000000002</v>
      </c>
      <c r="H125" s="283">
        <f>VLOOKUP(D125,upahbahan,3,FALSE)</f>
        <v>0</v>
      </c>
      <c r="I125" s="872"/>
      <c r="J125" s="284">
        <f>G125*H125</f>
        <v>0</v>
      </c>
      <c r="K125" s="280"/>
    </row>
    <row r="126" spans="3:13">
      <c r="C126" s="306" t="s">
        <v>1205</v>
      </c>
      <c r="D126" s="182" t="s">
        <v>1796</v>
      </c>
      <c r="E126" s="182"/>
      <c r="F126" s="124" t="s">
        <v>65</v>
      </c>
      <c r="G126" s="127">
        <v>45</v>
      </c>
      <c r="H126" s="283">
        <f>VLOOKUP(D126,upahbahan,3,FALSE)</f>
        <v>1530</v>
      </c>
      <c r="I126" s="872"/>
      <c r="J126" s="284">
        <f>G126*H126</f>
        <v>68850</v>
      </c>
      <c r="K126" s="280"/>
    </row>
    <row r="127" spans="3:13">
      <c r="C127" s="306" t="s">
        <v>1206</v>
      </c>
      <c r="D127" s="182" t="s">
        <v>79</v>
      </c>
      <c r="E127" s="182"/>
      <c r="F127" s="124" t="s">
        <v>42</v>
      </c>
      <c r="G127" s="127">
        <v>7.3999999999999996E-2</v>
      </c>
      <c r="H127" s="283">
        <f>VLOOKUP(D127,upahbahan,3,FALSE)</f>
        <v>221.78700000000001</v>
      </c>
      <c r="I127" s="872"/>
      <c r="J127" s="284">
        <f>G127*H127</f>
        <v>16.412237999999999</v>
      </c>
      <c r="K127" s="280"/>
    </row>
    <row r="128" spans="3:13">
      <c r="C128" s="306" t="s">
        <v>1207</v>
      </c>
      <c r="D128" s="285" t="s">
        <v>1798</v>
      </c>
      <c r="E128" s="285"/>
      <c r="F128" s="124" t="s">
        <v>42</v>
      </c>
      <c r="G128" s="125">
        <v>0.14599999999999999</v>
      </c>
      <c r="H128" s="283">
        <f>'Upah Bahan'!H99</f>
        <v>292500</v>
      </c>
      <c r="I128" s="872"/>
      <c r="J128" s="284">
        <f>G128*H128</f>
        <v>42705</v>
      </c>
      <c r="K128" s="280"/>
    </row>
    <row r="129" spans="3:13">
      <c r="C129" s="66" t="s">
        <v>1227</v>
      </c>
      <c r="D129" s="67"/>
      <c r="E129" s="67"/>
      <c r="F129" s="67"/>
      <c r="G129" s="67"/>
      <c r="H129" s="957"/>
      <c r="I129" s="958"/>
      <c r="J129" s="284">
        <f>SUM(J124:J128)</f>
        <v>111571.412238</v>
      </c>
      <c r="K129" s="280"/>
    </row>
    <row r="130" spans="3:13">
      <c r="C130" s="290" t="s">
        <v>1215</v>
      </c>
      <c r="D130" s="182" t="s">
        <v>1216</v>
      </c>
      <c r="E130" s="182"/>
      <c r="F130" s="70"/>
      <c r="G130" s="70"/>
      <c r="H130" s="955"/>
      <c r="I130" s="956"/>
      <c r="J130" s="105"/>
      <c r="K130" s="280"/>
    </row>
    <row r="131" spans="3:13">
      <c r="C131" s="66" t="s">
        <v>1228</v>
      </c>
      <c r="D131" s="67"/>
      <c r="E131" s="67"/>
      <c r="F131" s="67"/>
      <c r="G131" s="67"/>
      <c r="H131" s="957"/>
      <c r="I131" s="958"/>
      <c r="J131" s="1113">
        <v>0</v>
      </c>
      <c r="K131" s="280"/>
    </row>
    <row r="132" spans="3:13">
      <c r="C132" s="293" t="s">
        <v>1218</v>
      </c>
      <c r="D132" s="294" t="s">
        <v>1219</v>
      </c>
      <c r="E132" s="295"/>
      <c r="F132" s="295"/>
      <c r="G132" s="295"/>
      <c r="H132" s="1114"/>
      <c r="I132" s="1115"/>
      <c r="J132" s="284">
        <f>J122+J129+J131</f>
        <v>169166.41223800002</v>
      </c>
      <c r="K132" s="280"/>
    </row>
    <row r="133" spans="3:13">
      <c r="C133" s="293" t="s">
        <v>1220</v>
      </c>
      <c r="D133" s="294" t="s">
        <v>1249</v>
      </c>
      <c r="E133" s="295"/>
      <c r="F133" s="295"/>
      <c r="G133" s="296"/>
      <c r="H133" s="298">
        <f>$Q$8</f>
        <v>0.1</v>
      </c>
      <c r="I133" s="1116"/>
      <c r="J133" s="284">
        <f>J132*H133</f>
        <v>16916.641223800001</v>
      </c>
      <c r="K133" s="280"/>
    </row>
    <row r="134" spans="3:13" ht="14.4" thickBot="1">
      <c r="C134" s="299" t="s">
        <v>1221</v>
      </c>
      <c r="D134" s="300" t="s">
        <v>1222</v>
      </c>
      <c r="E134" s="301"/>
      <c r="F134" s="301"/>
      <c r="G134" s="301"/>
      <c r="H134" s="1117"/>
      <c r="I134" s="1118"/>
      <c r="J134" s="303">
        <f>SUM(J132:J133)</f>
        <v>186083.05346180001</v>
      </c>
      <c r="K134" s="280"/>
    </row>
    <row r="135" spans="3:13" ht="14.4" thickTop="1">
      <c r="C135" s="289"/>
      <c r="D135" s="297"/>
      <c r="E135" s="297"/>
      <c r="F135" s="297"/>
      <c r="G135" s="297"/>
      <c r="H135" s="297"/>
      <c r="I135" s="297"/>
      <c r="J135" s="139"/>
      <c r="K135" s="280"/>
    </row>
    <row r="136" spans="3:13">
      <c r="C136" s="289"/>
      <c r="D136" s="297"/>
      <c r="E136" s="297"/>
      <c r="F136" s="297"/>
      <c r="G136" s="297"/>
      <c r="H136" s="297"/>
      <c r="I136" s="297"/>
      <c r="J136" s="139"/>
      <c r="K136" s="280"/>
    </row>
    <row r="137" spans="3:13">
      <c r="C137" s="47" t="s">
        <v>1815</v>
      </c>
      <c r="D137" s="48" t="s">
        <v>1816</v>
      </c>
      <c r="E137" s="297"/>
      <c r="F137" s="297"/>
      <c r="G137" s="297"/>
      <c r="H137" s="297"/>
      <c r="I137" s="297"/>
      <c r="J137" s="139"/>
      <c r="K137" s="280"/>
    </row>
    <row r="138" spans="3:13">
      <c r="C138" s="289"/>
      <c r="D138" s="297"/>
      <c r="E138" s="297"/>
      <c r="F138" s="297"/>
      <c r="G138" s="297"/>
      <c r="H138" s="297"/>
      <c r="I138" s="297"/>
      <c r="J138" s="139"/>
      <c r="K138" s="280"/>
    </row>
    <row r="139" spans="3:13" ht="14.4" thickBot="1">
      <c r="C139" s="47" t="s">
        <v>1817</v>
      </c>
      <c r="D139" s="48" t="s">
        <v>1831</v>
      </c>
      <c r="E139" s="119"/>
      <c r="F139" s="329"/>
      <c r="G139" s="329"/>
      <c r="H139" s="951"/>
      <c r="I139" s="951"/>
      <c r="J139" s="952"/>
      <c r="K139" s="120">
        <f>ROUNDDOWN(J159,-2)</f>
        <v>809500</v>
      </c>
      <c r="L139" s="939" t="s">
        <v>5296</v>
      </c>
      <c r="M139" s="940" t="s">
        <v>5296</v>
      </c>
    </row>
    <row r="140" spans="3:13" ht="28.2" thickTop="1">
      <c r="C140" s="51" t="s">
        <v>1195</v>
      </c>
      <c r="D140" s="52" t="s">
        <v>1196</v>
      </c>
      <c r="E140" s="52"/>
      <c r="F140" s="52" t="s">
        <v>1197</v>
      </c>
      <c r="G140" s="52" t="s">
        <v>1198</v>
      </c>
      <c r="H140" s="947" t="s">
        <v>1199</v>
      </c>
      <c r="I140" s="948"/>
      <c r="J140" s="942" t="s">
        <v>1200</v>
      </c>
      <c r="K140" s="289"/>
    </row>
    <row r="141" spans="3:13">
      <c r="C141" s="290" t="s">
        <v>1201</v>
      </c>
      <c r="D141" s="182" t="s">
        <v>1202</v>
      </c>
      <c r="E141" s="182"/>
      <c r="F141" s="70"/>
      <c r="G141" s="70"/>
      <c r="H141" s="1128"/>
      <c r="I141" s="1129"/>
      <c r="J141" s="105"/>
      <c r="K141" s="280"/>
    </row>
    <row r="142" spans="3:13">
      <c r="C142" s="281">
        <v>1</v>
      </c>
      <c r="D142" s="182" t="s">
        <v>5</v>
      </c>
      <c r="E142" s="182" t="s">
        <v>1774</v>
      </c>
      <c r="F142" s="176" t="s">
        <v>6</v>
      </c>
      <c r="G142" s="315">
        <v>1</v>
      </c>
      <c r="H142" s="283">
        <f>VLOOKUP(D142,upahbahan,3,FALSE)</f>
        <v>100000</v>
      </c>
      <c r="I142" s="872"/>
      <c r="J142" s="284">
        <f>G142*H142</f>
        <v>100000</v>
      </c>
      <c r="K142" s="280"/>
    </row>
    <row r="143" spans="3:13">
      <c r="C143" s="281">
        <v>2</v>
      </c>
      <c r="D143" s="182" t="s">
        <v>8</v>
      </c>
      <c r="E143" s="182" t="s">
        <v>1775</v>
      </c>
      <c r="F143" s="176" t="s">
        <v>6</v>
      </c>
      <c r="G143" s="315">
        <v>1</v>
      </c>
      <c r="H143" s="283">
        <f>VLOOKUP(D143,upahbahan,3,FALSE)</f>
        <v>135000</v>
      </c>
      <c r="I143" s="872"/>
      <c r="J143" s="284">
        <f>G143*H143</f>
        <v>135000</v>
      </c>
    </row>
    <row r="144" spans="3:13">
      <c r="C144" s="281">
        <v>3</v>
      </c>
      <c r="D144" s="182" t="s">
        <v>18</v>
      </c>
      <c r="E144" s="182" t="s">
        <v>1776</v>
      </c>
      <c r="F144" s="176" t="s">
        <v>6</v>
      </c>
      <c r="G144" s="315">
        <v>0.1</v>
      </c>
      <c r="H144" s="283">
        <f>VLOOKUP(D144,upahbahan,3,FALSE)</f>
        <v>150000</v>
      </c>
      <c r="I144" s="872"/>
      <c r="J144" s="284">
        <f>G144*H144</f>
        <v>15000</v>
      </c>
    </row>
    <row r="145" spans="3:11">
      <c r="C145" s="281">
        <v>4</v>
      </c>
      <c r="D145" s="182" t="s">
        <v>1818</v>
      </c>
      <c r="E145" s="182" t="s">
        <v>1826</v>
      </c>
      <c r="F145" s="176" t="s">
        <v>6</v>
      </c>
      <c r="G145" s="315">
        <v>1.5</v>
      </c>
      <c r="H145" s="283">
        <f>VLOOKUP(D145,upahbahan,3,FALSE)</f>
        <v>145000</v>
      </c>
      <c r="I145" s="872"/>
      <c r="J145" s="284">
        <f>G145*H145</f>
        <v>217500</v>
      </c>
    </row>
    <row r="146" spans="3:11">
      <c r="C146" s="281">
        <v>5</v>
      </c>
      <c r="D146" s="182" t="s">
        <v>19</v>
      </c>
      <c r="E146" s="182" t="s">
        <v>1777</v>
      </c>
      <c r="F146" s="176" t="s">
        <v>6</v>
      </c>
      <c r="G146" s="315">
        <v>0.1</v>
      </c>
      <c r="H146" s="283">
        <f>VLOOKUP(D146,upahbahan,3,FALSE)</f>
        <v>160000</v>
      </c>
      <c r="I146" s="872"/>
      <c r="J146" s="284">
        <f>G146*H146</f>
        <v>16000</v>
      </c>
      <c r="K146" s="280"/>
    </row>
    <row r="147" spans="3:11">
      <c r="C147" s="66" t="s">
        <v>1226</v>
      </c>
      <c r="D147" s="263"/>
      <c r="E147" s="263"/>
      <c r="F147" s="263"/>
      <c r="G147" s="263"/>
      <c r="H147" s="953"/>
      <c r="I147" s="954"/>
      <c r="J147" s="284">
        <f>SUM(J142:J146)</f>
        <v>483500</v>
      </c>
      <c r="K147" s="280"/>
    </row>
    <row r="148" spans="3:11">
      <c r="C148" s="290" t="s">
        <v>1209</v>
      </c>
      <c r="D148" s="182" t="s">
        <v>1210</v>
      </c>
      <c r="E148" s="182"/>
      <c r="F148" s="70"/>
      <c r="G148" s="70"/>
      <c r="H148" s="283"/>
      <c r="I148" s="872"/>
      <c r="J148" s="105"/>
      <c r="K148" s="280"/>
    </row>
    <row r="149" spans="3:11">
      <c r="C149" s="306" t="s">
        <v>1203</v>
      </c>
      <c r="D149" s="182" t="s">
        <v>131</v>
      </c>
      <c r="E149" s="182" t="s">
        <v>1824</v>
      </c>
      <c r="F149" s="124" t="s">
        <v>129</v>
      </c>
      <c r="G149" s="118">
        <v>0.35</v>
      </c>
      <c r="H149" s="283">
        <f>VLOOKUP(D149,upahbahan,3,FALSE)</f>
        <v>0</v>
      </c>
      <c r="I149" s="872"/>
      <c r="J149" s="284">
        <f>G149*H149</f>
        <v>0</v>
      </c>
      <c r="K149" s="280"/>
    </row>
    <row r="150" spans="3:11">
      <c r="C150" s="306" t="s">
        <v>1204</v>
      </c>
      <c r="D150" s="182" t="s">
        <v>1819</v>
      </c>
      <c r="E150" s="182"/>
      <c r="F150" s="124" t="s">
        <v>42</v>
      </c>
      <c r="G150" s="118">
        <v>7.6999999999999999E-2</v>
      </c>
      <c r="H150" s="283">
        <f>VLOOKUP(D150,upahbahan,3,FALSE)</f>
        <v>0</v>
      </c>
      <c r="I150" s="872"/>
      <c r="J150" s="284">
        <f>G150*H150</f>
        <v>0</v>
      </c>
      <c r="K150" s="280"/>
    </row>
    <row r="151" spans="3:11">
      <c r="C151" s="306" t="s">
        <v>1205</v>
      </c>
      <c r="D151" s="182" t="s">
        <v>1820</v>
      </c>
      <c r="E151" s="182" t="s">
        <v>1825</v>
      </c>
      <c r="F151" s="124" t="s">
        <v>65</v>
      </c>
      <c r="G151" s="127">
        <v>5.8</v>
      </c>
      <c r="H151" s="283">
        <f>VLOOKUP(D151,upahbahan,3,FALSE)</f>
        <v>14840</v>
      </c>
      <c r="I151" s="872"/>
      <c r="J151" s="284">
        <f>G151*H151</f>
        <v>86072</v>
      </c>
      <c r="K151" s="280"/>
    </row>
    <row r="152" spans="3:11">
      <c r="C152" s="306" t="s">
        <v>1206</v>
      </c>
      <c r="D152" s="182" t="s">
        <v>1821</v>
      </c>
      <c r="E152" s="182"/>
      <c r="F152" s="124" t="s">
        <v>65</v>
      </c>
      <c r="G152" s="127">
        <v>1.25</v>
      </c>
      <c r="H152" s="283">
        <f>'Upah Bahan'!H1023</f>
        <v>33075</v>
      </c>
      <c r="I152" s="872"/>
      <c r="J152" s="284">
        <f>G152*H152</f>
        <v>41343.75</v>
      </c>
      <c r="K152" s="280"/>
    </row>
    <row r="153" spans="3:11">
      <c r="C153" s="306" t="s">
        <v>1207</v>
      </c>
      <c r="D153" s="285" t="s">
        <v>1822</v>
      </c>
      <c r="E153" s="285"/>
      <c r="F153" s="124" t="s">
        <v>65</v>
      </c>
      <c r="G153" s="127">
        <v>2.5</v>
      </c>
      <c r="H153" s="283">
        <f>VLOOKUP(D153,upahbahan,3,FALSE)</f>
        <v>50000</v>
      </c>
      <c r="I153" s="872"/>
      <c r="J153" s="284">
        <f>G153*H153</f>
        <v>125000</v>
      </c>
      <c r="K153" s="280"/>
    </row>
    <row r="154" spans="3:11">
      <c r="C154" s="66" t="s">
        <v>1227</v>
      </c>
      <c r="D154" s="67"/>
      <c r="E154" s="67"/>
      <c r="F154" s="67"/>
      <c r="G154" s="67"/>
      <c r="H154" s="957"/>
      <c r="I154" s="958"/>
      <c r="J154" s="284">
        <f>SUM(J149:J153)</f>
        <v>252415.75</v>
      </c>
      <c r="K154" s="280"/>
    </row>
    <row r="155" spans="3:11">
      <c r="C155" s="290" t="s">
        <v>1215</v>
      </c>
      <c r="D155" s="182" t="s">
        <v>1216</v>
      </c>
      <c r="E155" s="182"/>
      <c r="F155" s="70"/>
      <c r="G155" s="70"/>
      <c r="H155" s="955"/>
      <c r="I155" s="956"/>
      <c r="J155" s="105"/>
      <c r="K155" s="280"/>
    </row>
    <row r="156" spans="3:11">
      <c r="C156" s="66" t="s">
        <v>1228</v>
      </c>
      <c r="D156" s="67"/>
      <c r="E156" s="67"/>
      <c r="F156" s="67"/>
      <c r="G156" s="67"/>
      <c r="H156" s="957"/>
      <c r="I156" s="958"/>
      <c r="J156" s="1113">
        <v>0</v>
      </c>
      <c r="K156" s="280"/>
    </row>
    <row r="157" spans="3:11">
      <c r="C157" s="293" t="s">
        <v>1218</v>
      </c>
      <c r="D157" s="294" t="s">
        <v>1219</v>
      </c>
      <c r="E157" s="295"/>
      <c r="F157" s="295"/>
      <c r="G157" s="295"/>
      <c r="H157" s="1114"/>
      <c r="I157" s="1115"/>
      <c r="J157" s="284">
        <f>J147+J154+J156</f>
        <v>735915.75</v>
      </c>
      <c r="K157" s="280"/>
    </row>
    <row r="158" spans="3:11">
      <c r="C158" s="293" t="s">
        <v>1220</v>
      </c>
      <c r="D158" s="294" t="s">
        <v>1249</v>
      </c>
      <c r="E158" s="295"/>
      <c r="F158" s="295"/>
      <c r="G158" s="296"/>
      <c r="H158" s="298">
        <f>$Q$8</f>
        <v>0.1</v>
      </c>
      <c r="I158" s="1116"/>
      <c r="J158" s="284">
        <f>J157*H158</f>
        <v>73591.574999999997</v>
      </c>
      <c r="K158" s="280"/>
    </row>
    <row r="159" spans="3:11" ht="14.4" thickBot="1">
      <c r="C159" s="299" t="s">
        <v>1221</v>
      </c>
      <c r="D159" s="300" t="s">
        <v>1222</v>
      </c>
      <c r="E159" s="301"/>
      <c r="F159" s="301"/>
      <c r="G159" s="301"/>
      <c r="H159" s="1117"/>
      <c r="I159" s="1118"/>
      <c r="J159" s="303">
        <f>SUM(J157:J158)</f>
        <v>809507.32499999995</v>
      </c>
      <c r="K159" s="280"/>
    </row>
    <row r="160" spans="3:11" ht="14.4" thickTop="1">
      <c r="C160" s="289" t="s">
        <v>1827</v>
      </c>
      <c r="D160" s="297" t="s">
        <v>1828</v>
      </c>
      <c r="E160" s="297"/>
      <c r="F160" s="297"/>
      <c r="G160" s="297"/>
      <c r="H160" s="297"/>
      <c r="I160" s="297"/>
      <c r="J160" s="139"/>
      <c r="K160" s="280"/>
    </row>
    <row r="161" spans="3:13">
      <c r="C161" s="289" t="s">
        <v>1824</v>
      </c>
      <c r="D161" s="297" t="s">
        <v>1829</v>
      </c>
      <c r="E161" s="297"/>
      <c r="F161" s="297"/>
      <c r="G161" s="297"/>
      <c r="H161" s="297"/>
      <c r="I161" s="297"/>
      <c r="J161" s="139"/>
      <c r="K161" s="280"/>
    </row>
    <row r="162" spans="3:13">
      <c r="C162" s="289" t="s">
        <v>1825</v>
      </c>
      <c r="D162" s="297" t="s">
        <v>1830</v>
      </c>
      <c r="E162" s="297"/>
      <c r="F162" s="297"/>
      <c r="G162" s="297"/>
      <c r="H162" s="297"/>
      <c r="I162" s="297"/>
      <c r="J162" s="139"/>
      <c r="K162" s="280"/>
    </row>
    <row r="163" spans="3:13">
      <c r="C163" s="289"/>
      <c r="D163" s="297"/>
      <c r="E163" s="297"/>
      <c r="F163" s="297"/>
      <c r="G163" s="297"/>
      <c r="H163" s="297"/>
      <c r="I163" s="297"/>
      <c r="J163" s="139"/>
      <c r="K163" s="280"/>
    </row>
    <row r="164" spans="3:13" ht="26.4" customHeight="1" thickBot="1">
      <c r="C164" s="47" t="s">
        <v>1832</v>
      </c>
      <c r="D164" s="48" t="s">
        <v>1833</v>
      </c>
      <c r="E164" s="119"/>
      <c r="F164" s="329"/>
      <c r="G164" s="329"/>
      <c r="H164" s="951"/>
      <c r="I164" s="951"/>
      <c r="J164" s="952"/>
      <c r="K164" s="120">
        <f>ROUNDDOWN(J184,-2)</f>
        <v>407100</v>
      </c>
      <c r="L164" s="939" t="s">
        <v>5296</v>
      </c>
      <c r="M164" s="940" t="s">
        <v>5296</v>
      </c>
    </row>
    <row r="165" spans="3:13" ht="28.2" thickTop="1">
      <c r="C165" s="51" t="s">
        <v>1195</v>
      </c>
      <c r="D165" s="52" t="s">
        <v>1196</v>
      </c>
      <c r="E165" s="52"/>
      <c r="F165" s="52" t="s">
        <v>1197</v>
      </c>
      <c r="G165" s="52" t="s">
        <v>1198</v>
      </c>
      <c r="H165" s="947" t="s">
        <v>1199</v>
      </c>
      <c r="I165" s="948"/>
      <c r="J165" s="942" t="s">
        <v>1200</v>
      </c>
      <c r="K165" s="289"/>
    </row>
    <row r="166" spans="3:13">
      <c r="C166" s="290" t="s">
        <v>1201</v>
      </c>
      <c r="D166" s="182" t="s">
        <v>1202</v>
      </c>
      <c r="E166" s="182"/>
      <c r="F166" s="70"/>
      <c r="G166" s="70"/>
      <c r="H166" s="1128"/>
      <c r="I166" s="1129"/>
      <c r="J166" s="105"/>
      <c r="K166" s="280"/>
    </row>
    <row r="167" spans="3:13">
      <c r="C167" s="281">
        <v>1</v>
      </c>
      <c r="D167" s="182" t="s">
        <v>5</v>
      </c>
      <c r="E167" s="182" t="s">
        <v>1774</v>
      </c>
      <c r="F167" s="176" t="s">
        <v>6</v>
      </c>
      <c r="G167" s="315">
        <v>0.75</v>
      </c>
      <c r="H167" s="283">
        <f>VLOOKUP(D167,upahbahan,3,FALSE)</f>
        <v>100000</v>
      </c>
      <c r="I167" s="872"/>
      <c r="J167" s="284">
        <f>G167*H167</f>
        <v>75000</v>
      </c>
      <c r="K167" s="280"/>
    </row>
    <row r="168" spans="3:13">
      <c r="C168" s="281">
        <v>2</v>
      </c>
      <c r="D168" s="182" t="s">
        <v>8</v>
      </c>
      <c r="E168" s="182" t="s">
        <v>1775</v>
      </c>
      <c r="F168" s="176" t="s">
        <v>6</v>
      </c>
      <c r="G168" s="315">
        <v>0.75</v>
      </c>
      <c r="H168" s="283">
        <f>VLOOKUP(D168,upahbahan,3,FALSE)</f>
        <v>135000</v>
      </c>
      <c r="I168" s="872"/>
      <c r="J168" s="284">
        <f>G168*H168</f>
        <v>101250</v>
      </c>
    </row>
    <row r="169" spans="3:13">
      <c r="C169" s="281">
        <v>3</v>
      </c>
      <c r="D169" s="182" t="s">
        <v>18</v>
      </c>
      <c r="E169" s="182" t="s">
        <v>1776</v>
      </c>
      <c r="F169" s="176" t="s">
        <v>6</v>
      </c>
      <c r="G169" s="315">
        <v>0.1</v>
      </c>
      <c r="H169" s="283">
        <f>VLOOKUP(D169,upahbahan,3,FALSE)</f>
        <v>150000</v>
      </c>
      <c r="I169" s="872"/>
      <c r="J169" s="284">
        <f>G169*H169</f>
        <v>15000</v>
      </c>
    </row>
    <row r="170" spans="3:13">
      <c r="C170" s="281">
        <v>5</v>
      </c>
      <c r="D170" s="182" t="s">
        <v>19</v>
      </c>
      <c r="E170" s="182" t="s">
        <v>1777</v>
      </c>
      <c r="F170" s="176" t="s">
        <v>6</v>
      </c>
      <c r="G170" s="315">
        <v>7.4999999999999997E-2</v>
      </c>
      <c r="H170" s="283">
        <f>VLOOKUP(D170,upahbahan,3,FALSE)</f>
        <v>160000</v>
      </c>
      <c r="I170" s="872"/>
      <c r="J170" s="284">
        <f>G170*H170</f>
        <v>12000</v>
      </c>
      <c r="K170" s="280"/>
    </row>
    <row r="171" spans="3:13">
      <c r="C171" s="66" t="s">
        <v>1226</v>
      </c>
      <c r="D171" s="263"/>
      <c r="E171" s="263"/>
      <c r="F171" s="263"/>
      <c r="G171" s="263"/>
      <c r="H171" s="953"/>
      <c r="I171" s="954"/>
      <c r="J171" s="284">
        <f>SUM(J167:J170)</f>
        <v>203250</v>
      </c>
      <c r="K171" s="280"/>
    </row>
    <row r="172" spans="3:13">
      <c r="C172" s="290" t="s">
        <v>1209</v>
      </c>
      <c r="D172" s="182" t="s">
        <v>1210</v>
      </c>
      <c r="E172" s="182"/>
      <c r="F172" s="70"/>
      <c r="G172" s="70"/>
      <c r="H172" s="283"/>
      <c r="I172" s="872"/>
      <c r="J172" s="105"/>
      <c r="K172" s="280"/>
    </row>
    <row r="173" spans="3:13">
      <c r="C173" s="306" t="s">
        <v>1203</v>
      </c>
      <c r="D173" s="182" t="s">
        <v>1834</v>
      </c>
      <c r="E173" s="182" t="s">
        <v>1827</v>
      </c>
      <c r="F173" s="124" t="s">
        <v>129</v>
      </c>
      <c r="G173" s="581">
        <v>0.18</v>
      </c>
      <c r="H173" s="283">
        <f>VLOOKUP(D173,upahbahan,3,FALSE)</f>
        <v>0</v>
      </c>
      <c r="I173" s="872"/>
      <c r="J173" s="284">
        <f t="shared" ref="J173:J178" si="7">G173*H173</f>
        <v>0</v>
      </c>
      <c r="K173" s="280"/>
    </row>
    <row r="174" spans="3:13">
      <c r="C174" s="306" t="s">
        <v>1204</v>
      </c>
      <c r="D174" s="182" t="s">
        <v>1835</v>
      </c>
      <c r="E174" s="182"/>
      <c r="F174" s="124" t="s">
        <v>42</v>
      </c>
      <c r="G174" s="581">
        <v>2.1000000000000001E-2</v>
      </c>
      <c r="H174" s="283">
        <f>VLOOKUP(D174,upahbahan,3,FALSE)</f>
        <v>0</v>
      </c>
      <c r="I174" s="872"/>
      <c r="J174" s="284">
        <f t="shared" si="7"/>
        <v>0</v>
      </c>
      <c r="K174" s="280"/>
    </row>
    <row r="175" spans="3:13">
      <c r="C175" s="306" t="s">
        <v>1205</v>
      </c>
      <c r="D175" s="182" t="s">
        <v>1836</v>
      </c>
      <c r="E175" s="182" t="s">
        <v>1824</v>
      </c>
      <c r="F175" s="124" t="s">
        <v>65</v>
      </c>
      <c r="G175" s="581">
        <v>0.1</v>
      </c>
      <c r="H175" s="283">
        <f>VLOOKUP(D175,upahbahan,3,FALSE)</f>
        <v>25000</v>
      </c>
      <c r="I175" s="872"/>
      <c r="J175" s="284">
        <f t="shared" si="7"/>
        <v>2500</v>
      </c>
      <c r="K175" s="280"/>
    </row>
    <row r="176" spans="3:13">
      <c r="C176" s="306" t="s">
        <v>1206</v>
      </c>
      <c r="D176" s="182" t="s">
        <v>1837</v>
      </c>
      <c r="E176" s="182"/>
      <c r="F176" s="124" t="s">
        <v>62</v>
      </c>
      <c r="G176" s="581">
        <v>0.48</v>
      </c>
      <c r="H176" s="283">
        <f>VLOOKUP(D176,upahbahan,3,FALSE)</f>
        <v>100000</v>
      </c>
      <c r="I176" s="872"/>
      <c r="J176" s="284">
        <f t="shared" si="7"/>
        <v>48000</v>
      </c>
      <c r="K176" s="280"/>
    </row>
    <row r="177" spans="3:13">
      <c r="C177" s="306" t="s">
        <v>1207</v>
      </c>
      <c r="D177" s="182" t="s">
        <v>1821</v>
      </c>
      <c r="E177" s="182"/>
      <c r="F177" s="124" t="s">
        <v>65</v>
      </c>
      <c r="G177" s="581">
        <v>1.25</v>
      </c>
      <c r="H177" s="185">
        <f>'Upah Bahan'!H1023</f>
        <v>33075</v>
      </c>
      <c r="I177" s="1131"/>
      <c r="J177" s="284">
        <f t="shared" si="7"/>
        <v>41343.75</v>
      </c>
      <c r="K177" s="280"/>
    </row>
    <row r="178" spans="3:13">
      <c r="C178" s="306" t="s">
        <v>1211</v>
      </c>
      <c r="D178" s="285" t="s">
        <v>1822</v>
      </c>
      <c r="E178" s="285"/>
      <c r="F178" s="124" t="s">
        <v>65</v>
      </c>
      <c r="G178" s="581">
        <v>1.5</v>
      </c>
      <c r="H178" s="283">
        <f>VLOOKUP(D178,upahbahan,3,FALSE)</f>
        <v>50000</v>
      </c>
      <c r="I178" s="872"/>
      <c r="J178" s="284">
        <f t="shared" si="7"/>
        <v>75000</v>
      </c>
      <c r="K178" s="280"/>
    </row>
    <row r="179" spans="3:13">
      <c r="C179" s="66" t="s">
        <v>1227</v>
      </c>
      <c r="D179" s="67"/>
      <c r="E179" s="67"/>
      <c r="F179" s="67"/>
      <c r="G179" s="67"/>
      <c r="H179" s="957"/>
      <c r="I179" s="958"/>
      <c r="J179" s="284">
        <f>SUM(J173:J178)</f>
        <v>166843.75</v>
      </c>
      <c r="K179" s="280"/>
    </row>
    <row r="180" spans="3:13">
      <c r="C180" s="290" t="s">
        <v>1215</v>
      </c>
      <c r="D180" s="182" t="s">
        <v>1216</v>
      </c>
      <c r="E180" s="182"/>
      <c r="F180" s="70"/>
      <c r="G180" s="70"/>
      <c r="H180" s="955"/>
      <c r="I180" s="956"/>
      <c r="J180" s="105"/>
      <c r="K180" s="280"/>
    </row>
    <row r="181" spans="3:13">
      <c r="C181" s="66" t="s">
        <v>1228</v>
      </c>
      <c r="D181" s="67"/>
      <c r="E181" s="67"/>
      <c r="F181" s="67"/>
      <c r="G181" s="67"/>
      <c r="H181" s="957"/>
      <c r="I181" s="958"/>
      <c r="J181" s="1113">
        <v>0</v>
      </c>
      <c r="K181" s="280"/>
    </row>
    <row r="182" spans="3:13">
      <c r="C182" s="293" t="s">
        <v>1218</v>
      </c>
      <c r="D182" s="294" t="s">
        <v>1219</v>
      </c>
      <c r="E182" s="295"/>
      <c r="F182" s="295"/>
      <c r="G182" s="295"/>
      <c r="H182" s="1114"/>
      <c r="I182" s="1115"/>
      <c r="J182" s="284">
        <f>J171+J179+J181</f>
        <v>370093.75</v>
      </c>
      <c r="K182" s="280"/>
    </row>
    <row r="183" spans="3:13">
      <c r="C183" s="293" t="s">
        <v>1220</v>
      </c>
      <c r="D183" s="294" t="s">
        <v>1249</v>
      </c>
      <c r="E183" s="295"/>
      <c r="F183" s="295"/>
      <c r="G183" s="296"/>
      <c r="H183" s="298">
        <f>$Q$8</f>
        <v>0.1</v>
      </c>
      <c r="I183" s="1116"/>
      <c r="J183" s="284">
        <f>J182*H183</f>
        <v>37009.375</v>
      </c>
      <c r="K183" s="280"/>
    </row>
    <row r="184" spans="3:13" ht="14.4" thickBot="1">
      <c r="C184" s="299" t="s">
        <v>1221</v>
      </c>
      <c r="D184" s="300" t="s">
        <v>1222</v>
      </c>
      <c r="E184" s="301"/>
      <c r="F184" s="301"/>
      <c r="G184" s="301"/>
      <c r="H184" s="1117"/>
      <c r="I184" s="1118"/>
      <c r="J184" s="303">
        <f>SUM(J182:J183)</f>
        <v>407103.125</v>
      </c>
      <c r="K184" s="280"/>
    </row>
    <row r="185" spans="3:13" ht="14.4" thickTop="1">
      <c r="C185" s="289" t="s">
        <v>1827</v>
      </c>
      <c r="D185" s="297" t="s">
        <v>1829</v>
      </c>
      <c r="E185" s="297"/>
      <c r="F185" s="297"/>
      <c r="G185" s="297"/>
      <c r="H185" s="297"/>
      <c r="I185" s="297"/>
      <c r="J185" s="139"/>
      <c r="K185" s="280"/>
    </row>
    <row r="186" spans="3:13">
      <c r="C186" s="289" t="s">
        <v>1824</v>
      </c>
      <c r="D186" s="297" t="s">
        <v>1830</v>
      </c>
      <c r="E186" s="297"/>
      <c r="F186" s="297"/>
      <c r="G186" s="297"/>
      <c r="H186" s="297"/>
      <c r="I186" s="297"/>
      <c r="J186" s="139"/>
      <c r="K186" s="280"/>
    </row>
    <row r="187" spans="3:13">
      <c r="C187" s="289"/>
      <c r="D187" s="297"/>
      <c r="E187" s="297"/>
      <c r="F187" s="297"/>
      <c r="G187" s="297"/>
      <c r="H187" s="297"/>
      <c r="I187" s="297"/>
      <c r="J187" s="139"/>
      <c r="K187" s="280"/>
    </row>
    <row r="188" spans="3:13" ht="29.4" customHeight="1" thickBot="1">
      <c r="C188" s="47" t="s">
        <v>1846</v>
      </c>
      <c r="D188" s="47" t="s">
        <v>1229</v>
      </c>
      <c r="E188" s="88"/>
      <c r="F188" s="88"/>
      <c r="G188" s="88"/>
      <c r="H188" s="88"/>
      <c r="I188" s="88"/>
      <c r="J188" s="88"/>
      <c r="K188" s="120">
        <f>ROUNDDOWN(J217,-2)</f>
        <v>938400</v>
      </c>
      <c r="L188" s="939" t="s">
        <v>5296</v>
      </c>
      <c r="M188" s="940" t="s">
        <v>5296</v>
      </c>
    </row>
    <row r="189" spans="3:13" ht="28.2" thickTop="1">
      <c r="C189" s="51" t="s">
        <v>1195</v>
      </c>
      <c r="D189" s="52" t="s">
        <v>1196</v>
      </c>
      <c r="E189" s="52"/>
      <c r="F189" s="52" t="s">
        <v>1197</v>
      </c>
      <c r="G189" s="52" t="s">
        <v>1198</v>
      </c>
      <c r="H189" s="52" t="s">
        <v>1199</v>
      </c>
      <c r="I189" s="582"/>
      <c r="J189" s="942" t="s">
        <v>1200</v>
      </c>
      <c r="K189" s="289"/>
    </row>
    <row r="190" spans="3:13">
      <c r="C190" s="290" t="s">
        <v>1201</v>
      </c>
      <c r="D190" s="182" t="s">
        <v>1202</v>
      </c>
      <c r="E190" s="182"/>
      <c r="F190" s="70"/>
      <c r="G190" s="70"/>
      <c r="H190" s="70"/>
      <c r="I190" s="977"/>
      <c r="J190" s="105"/>
      <c r="K190" s="280"/>
    </row>
    <row r="191" spans="3:13">
      <c r="C191" s="1110" t="s">
        <v>1203</v>
      </c>
      <c r="D191" s="182" t="s">
        <v>5</v>
      </c>
      <c r="E191" s="182" t="s">
        <v>1774</v>
      </c>
      <c r="F191" s="176" t="s">
        <v>6</v>
      </c>
      <c r="G191" s="527">
        <v>2</v>
      </c>
      <c r="H191" s="1132">
        <f>VLOOKUP(D191,upahbahan,3,FALSE)</f>
        <v>100000</v>
      </c>
      <c r="I191" s="1133"/>
      <c r="J191" s="1134">
        <f>G191*H191</f>
        <v>200000</v>
      </c>
      <c r="K191" s="280"/>
    </row>
    <row r="192" spans="3:13">
      <c r="C192" s="1110" t="s">
        <v>1204</v>
      </c>
      <c r="D192" s="182" t="s">
        <v>8</v>
      </c>
      <c r="E192" s="182" t="s">
        <v>1775</v>
      </c>
      <c r="F192" s="176" t="s">
        <v>6</v>
      </c>
      <c r="G192" s="527">
        <v>2</v>
      </c>
      <c r="H192" s="1132">
        <f>VLOOKUP(D192,upahbahan,3,FALSE)</f>
        <v>135000</v>
      </c>
      <c r="I192" s="1133"/>
      <c r="J192" s="1134">
        <f>G192*H192</f>
        <v>270000</v>
      </c>
      <c r="K192" s="280"/>
    </row>
    <row r="193" spans="3:11">
      <c r="C193" s="1110" t="s">
        <v>1205</v>
      </c>
      <c r="D193" s="182" t="s">
        <v>7</v>
      </c>
      <c r="E193" s="182" t="s">
        <v>1775</v>
      </c>
      <c r="F193" s="176" t="s">
        <v>6</v>
      </c>
      <c r="G193" s="527">
        <v>1</v>
      </c>
      <c r="H193" s="1132">
        <f>VLOOKUP(D193,upahbahan,3,FALSE)</f>
        <v>135000</v>
      </c>
      <c r="I193" s="1133"/>
      <c r="J193" s="1134">
        <f>G193*H193</f>
        <v>135000</v>
      </c>
      <c r="K193" s="280"/>
    </row>
    <row r="194" spans="3:11">
      <c r="C194" s="1110" t="s">
        <v>1206</v>
      </c>
      <c r="D194" s="182" t="s">
        <v>18</v>
      </c>
      <c r="E194" s="182" t="s">
        <v>1776</v>
      </c>
      <c r="F194" s="176" t="s">
        <v>6</v>
      </c>
      <c r="G194" s="527">
        <v>0.3</v>
      </c>
      <c r="H194" s="1132">
        <f>VLOOKUP(D194,upahbahan,3,FALSE)</f>
        <v>150000</v>
      </c>
      <c r="I194" s="1133"/>
      <c r="J194" s="1134">
        <f>G194*H194</f>
        <v>45000</v>
      </c>
      <c r="K194" s="280"/>
    </row>
    <row r="195" spans="3:11">
      <c r="C195" s="1110" t="s">
        <v>1207</v>
      </c>
      <c r="D195" s="182" t="s">
        <v>19</v>
      </c>
      <c r="E195" s="182" t="s">
        <v>1777</v>
      </c>
      <c r="F195" s="176" t="s">
        <v>6</v>
      </c>
      <c r="G195" s="527">
        <v>0.1</v>
      </c>
      <c r="H195" s="1132">
        <f>VLOOKUP(D195,upahbahan,3,FALSE)</f>
        <v>160000</v>
      </c>
      <c r="I195" s="1133"/>
      <c r="J195" s="1134">
        <f>G195*H195</f>
        <v>16000</v>
      </c>
      <c r="K195" s="280"/>
    </row>
    <row r="196" spans="3:11">
      <c r="C196" s="66" t="s">
        <v>1208</v>
      </c>
      <c r="D196" s="263"/>
      <c r="E196" s="263"/>
      <c r="F196" s="263"/>
      <c r="G196" s="263"/>
      <c r="H196" s="959"/>
      <c r="I196" s="960"/>
      <c r="J196" s="1134">
        <f>SUM(J191:J195)</f>
        <v>666000</v>
      </c>
      <c r="K196" s="280"/>
    </row>
    <row r="197" spans="3:11">
      <c r="C197" s="290" t="s">
        <v>1209</v>
      </c>
      <c r="D197" s="182" t="s">
        <v>1210</v>
      </c>
      <c r="E197" s="182"/>
      <c r="F197" s="70"/>
      <c r="G197" s="70"/>
      <c r="H197" s="1135"/>
      <c r="I197" s="1136"/>
      <c r="J197" s="105"/>
      <c r="K197" s="280"/>
    </row>
    <row r="198" spans="3:11">
      <c r="C198" s="1110" t="s">
        <v>1203</v>
      </c>
      <c r="D198" s="1103" t="s">
        <v>112</v>
      </c>
      <c r="E198" s="1103"/>
      <c r="F198" s="102" t="s">
        <v>113</v>
      </c>
      <c r="G198" s="527">
        <v>1.25</v>
      </c>
      <c r="H198" s="1135">
        <f t="shared" ref="H198:H211" si="8">VLOOKUP(D198,upahbahan,3,FALSE)</f>
        <v>5625</v>
      </c>
      <c r="I198" s="1136"/>
      <c r="J198" s="284">
        <f t="shared" ref="J198:J211" si="9">G198*H198</f>
        <v>7031.25</v>
      </c>
      <c r="K198" s="280"/>
    </row>
    <row r="199" spans="3:11">
      <c r="C199" s="1110" t="s">
        <v>1204</v>
      </c>
      <c r="D199" s="182" t="s">
        <v>1838</v>
      </c>
      <c r="E199" s="182"/>
      <c r="F199" s="124" t="s">
        <v>42</v>
      </c>
      <c r="G199" s="527">
        <v>0.18</v>
      </c>
      <c r="H199" s="1135">
        <f t="shared" si="8"/>
        <v>0</v>
      </c>
      <c r="I199" s="1136"/>
      <c r="J199" s="284">
        <f t="shared" si="9"/>
        <v>0</v>
      </c>
      <c r="K199" s="280"/>
    </row>
    <row r="200" spans="3:11">
      <c r="C200" s="1110" t="s">
        <v>1205</v>
      </c>
      <c r="D200" s="1103" t="s">
        <v>1795</v>
      </c>
      <c r="E200" s="1103"/>
      <c r="F200" s="176" t="s">
        <v>65</v>
      </c>
      <c r="G200" s="527">
        <v>0.08</v>
      </c>
      <c r="H200" s="1135">
        <f t="shared" si="8"/>
        <v>20000</v>
      </c>
      <c r="I200" s="1136"/>
      <c r="J200" s="284">
        <f t="shared" si="9"/>
        <v>1600</v>
      </c>
      <c r="K200" s="280"/>
    </row>
    <row r="201" spans="3:11">
      <c r="C201" s="1110" t="s">
        <v>1206</v>
      </c>
      <c r="D201" s="182" t="s">
        <v>1839</v>
      </c>
      <c r="E201" s="182"/>
      <c r="F201" s="176" t="s">
        <v>65</v>
      </c>
      <c r="G201" s="527">
        <v>1.1000000000000001</v>
      </c>
      <c r="H201" s="1135">
        <f t="shared" si="8"/>
        <v>0</v>
      </c>
      <c r="I201" s="1136"/>
      <c r="J201" s="284">
        <f t="shared" si="9"/>
        <v>0</v>
      </c>
      <c r="K201" s="280"/>
    </row>
    <row r="202" spans="3:11">
      <c r="C202" s="1110" t="s">
        <v>1207</v>
      </c>
      <c r="D202" s="182" t="s">
        <v>1796</v>
      </c>
      <c r="E202" s="182"/>
      <c r="F202" s="176" t="s">
        <v>65</v>
      </c>
      <c r="G202" s="527">
        <v>35</v>
      </c>
      <c r="H202" s="1135">
        <f t="shared" si="8"/>
        <v>1530</v>
      </c>
      <c r="I202" s="1136"/>
      <c r="J202" s="284">
        <f t="shared" si="9"/>
        <v>53550</v>
      </c>
      <c r="K202" s="280"/>
    </row>
    <row r="203" spans="3:11">
      <c r="C203" s="1110" t="s">
        <v>1211</v>
      </c>
      <c r="D203" s="182" t="s">
        <v>1840</v>
      </c>
      <c r="E203" s="182"/>
      <c r="F203" s="124" t="s">
        <v>42</v>
      </c>
      <c r="G203" s="527">
        <v>0.15</v>
      </c>
      <c r="H203" s="1135">
        <f t="shared" si="8"/>
        <v>0</v>
      </c>
      <c r="I203" s="1136"/>
      <c r="J203" s="284">
        <f t="shared" si="9"/>
        <v>0</v>
      </c>
      <c r="K203" s="280"/>
    </row>
    <row r="204" spans="3:11">
      <c r="C204" s="1110" t="s">
        <v>1212</v>
      </c>
      <c r="D204" s="182" t="s">
        <v>79</v>
      </c>
      <c r="E204" s="182"/>
      <c r="F204" s="124" t="s">
        <v>42</v>
      </c>
      <c r="G204" s="527">
        <v>0.1</v>
      </c>
      <c r="H204" s="1135">
        <f>'Upah Bahan'!H102</f>
        <v>0</v>
      </c>
      <c r="I204" s="1136"/>
      <c r="J204" s="284">
        <f t="shared" si="9"/>
        <v>0</v>
      </c>
      <c r="K204" s="280"/>
    </row>
    <row r="205" spans="3:11">
      <c r="C205" s="1110" t="s">
        <v>1213</v>
      </c>
      <c r="D205" s="182" t="s">
        <v>1841</v>
      </c>
      <c r="E205" s="182"/>
      <c r="F205" s="124" t="s">
        <v>42</v>
      </c>
      <c r="G205" s="527">
        <v>0.15</v>
      </c>
      <c r="H205" s="1135">
        <f t="shared" si="8"/>
        <v>0</v>
      </c>
      <c r="I205" s="1136"/>
      <c r="J205" s="284">
        <f t="shared" si="9"/>
        <v>0</v>
      </c>
      <c r="K205" s="280"/>
    </row>
    <row r="206" spans="3:11">
      <c r="C206" s="1110" t="s">
        <v>1230</v>
      </c>
      <c r="D206" s="182" t="s">
        <v>43</v>
      </c>
      <c r="E206" s="182"/>
      <c r="F206" s="176" t="s">
        <v>44</v>
      </c>
      <c r="G206" s="527">
        <v>30</v>
      </c>
      <c r="H206" s="1135">
        <f t="shared" si="8"/>
        <v>700</v>
      </c>
      <c r="I206" s="1136"/>
      <c r="J206" s="284">
        <f t="shared" si="9"/>
        <v>21000</v>
      </c>
      <c r="K206" s="280"/>
    </row>
    <row r="207" spans="3:11">
      <c r="C207" s="1110" t="s">
        <v>1231</v>
      </c>
      <c r="D207" s="182" t="s">
        <v>1842</v>
      </c>
      <c r="E207" s="182"/>
      <c r="F207" s="176" t="s">
        <v>129</v>
      </c>
      <c r="G207" s="527">
        <v>0.25</v>
      </c>
      <c r="H207" s="1135">
        <f t="shared" si="8"/>
        <v>0</v>
      </c>
      <c r="I207" s="1136"/>
      <c r="J207" s="284">
        <f t="shared" si="9"/>
        <v>0</v>
      </c>
      <c r="K207" s="280"/>
    </row>
    <row r="208" spans="3:11">
      <c r="C208" s="1110" t="s">
        <v>1232</v>
      </c>
      <c r="D208" s="182" t="s">
        <v>636</v>
      </c>
      <c r="E208" s="182"/>
      <c r="F208" s="176" t="s">
        <v>44</v>
      </c>
      <c r="G208" s="527">
        <v>0.2</v>
      </c>
      <c r="H208" s="1135">
        <f t="shared" si="8"/>
        <v>400000</v>
      </c>
      <c r="I208" s="1136"/>
      <c r="J208" s="284">
        <f t="shared" si="9"/>
        <v>80000</v>
      </c>
      <c r="K208" s="280"/>
    </row>
    <row r="209" spans="3:13">
      <c r="C209" s="1110" t="s">
        <v>1233</v>
      </c>
      <c r="D209" s="182" t="s">
        <v>1843</v>
      </c>
      <c r="E209" s="182"/>
      <c r="F209" s="124" t="s">
        <v>62</v>
      </c>
      <c r="G209" s="527">
        <v>0.08</v>
      </c>
      <c r="H209" s="1135">
        <f t="shared" si="8"/>
        <v>120000</v>
      </c>
      <c r="I209" s="1136"/>
      <c r="J209" s="284">
        <f t="shared" si="9"/>
        <v>9600</v>
      </c>
      <c r="K209" s="280"/>
    </row>
    <row r="210" spans="3:13">
      <c r="C210" s="1110" t="s">
        <v>1234</v>
      </c>
      <c r="D210" s="182" t="s">
        <v>1844</v>
      </c>
      <c r="E210" s="182"/>
      <c r="F210" s="176" t="s">
        <v>44</v>
      </c>
      <c r="G210" s="527">
        <v>0.15</v>
      </c>
      <c r="H210" s="1135">
        <f t="shared" si="8"/>
        <v>65800</v>
      </c>
      <c r="I210" s="1136"/>
      <c r="J210" s="284">
        <f t="shared" si="9"/>
        <v>9870</v>
      </c>
      <c r="K210" s="280"/>
    </row>
    <row r="211" spans="3:13">
      <c r="C211" s="1110" t="s">
        <v>1235</v>
      </c>
      <c r="D211" s="182" t="s">
        <v>1845</v>
      </c>
      <c r="E211" s="182"/>
      <c r="F211" s="176" t="s">
        <v>129</v>
      </c>
      <c r="G211" s="527">
        <v>0.06</v>
      </c>
      <c r="H211" s="1135">
        <f t="shared" si="8"/>
        <v>75000</v>
      </c>
      <c r="I211" s="1136"/>
      <c r="J211" s="284">
        <f t="shared" si="9"/>
        <v>4500</v>
      </c>
      <c r="K211" s="280"/>
    </row>
    <row r="212" spans="3:13">
      <c r="C212" s="66" t="s">
        <v>1214</v>
      </c>
      <c r="D212" s="67"/>
      <c r="E212" s="67"/>
      <c r="F212" s="67"/>
      <c r="G212" s="67"/>
      <c r="H212" s="961"/>
      <c r="I212" s="962"/>
      <c r="J212" s="284">
        <f>SUM(J198:J211)</f>
        <v>187151.25</v>
      </c>
      <c r="K212" s="280"/>
    </row>
    <row r="213" spans="3:13">
      <c r="C213" s="290" t="s">
        <v>1215</v>
      </c>
      <c r="D213" s="182" t="s">
        <v>1216</v>
      </c>
      <c r="E213" s="182"/>
      <c r="F213" s="70"/>
      <c r="G213" s="70"/>
      <c r="H213" s="963"/>
      <c r="I213" s="964"/>
      <c r="J213" s="105"/>
      <c r="K213" s="280"/>
    </row>
    <row r="214" spans="3:13">
      <c r="C214" s="66" t="s">
        <v>1217</v>
      </c>
      <c r="D214" s="67"/>
      <c r="E214" s="67"/>
      <c r="F214" s="67"/>
      <c r="G214" s="67"/>
      <c r="H214" s="961"/>
      <c r="I214" s="962"/>
      <c r="J214" s="1113">
        <v>0</v>
      </c>
      <c r="K214" s="280"/>
    </row>
    <row r="215" spans="3:13">
      <c r="C215" s="293" t="s">
        <v>1218</v>
      </c>
      <c r="D215" s="294" t="s">
        <v>1219</v>
      </c>
      <c r="E215" s="295"/>
      <c r="F215" s="295"/>
      <c r="G215" s="295"/>
      <c r="H215" s="1137"/>
      <c r="I215" s="1138"/>
      <c r="J215" s="284">
        <f>J196+J212+J214</f>
        <v>853151.25</v>
      </c>
      <c r="K215" s="280"/>
    </row>
    <row r="216" spans="3:13">
      <c r="C216" s="293" t="s">
        <v>1220</v>
      </c>
      <c r="D216" s="294" t="s">
        <v>1249</v>
      </c>
      <c r="E216" s="295"/>
      <c r="F216" s="295"/>
      <c r="G216" s="296"/>
      <c r="H216" s="298">
        <f>$Q$8</f>
        <v>0.1</v>
      </c>
      <c r="I216" s="1116"/>
      <c r="J216" s="284">
        <f>J215*H216</f>
        <v>85315.125</v>
      </c>
      <c r="K216" s="280"/>
    </row>
    <row r="217" spans="3:13" ht="14.4" thickBot="1">
      <c r="C217" s="299" t="s">
        <v>1221</v>
      </c>
      <c r="D217" s="300" t="s">
        <v>1222</v>
      </c>
      <c r="E217" s="301"/>
      <c r="F217" s="301"/>
      <c r="G217" s="301"/>
      <c r="H217" s="1139"/>
      <c r="I217" s="1140"/>
      <c r="J217" s="303">
        <f>SUM(J215:J216)</f>
        <v>938466.375</v>
      </c>
      <c r="K217" s="280"/>
    </row>
    <row r="218" spans="3:13" ht="14.4" thickTop="1">
      <c r="C218" s="289"/>
      <c r="D218" s="297"/>
      <c r="E218" s="297"/>
      <c r="F218" s="297"/>
      <c r="G218" s="297"/>
      <c r="H218" s="1130"/>
      <c r="I218" s="1130"/>
      <c r="J218" s="139"/>
      <c r="K218" s="280"/>
    </row>
    <row r="219" spans="3:13" ht="29.4" customHeight="1" thickBot="1">
      <c r="C219" s="47" t="s">
        <v>1847</v>
      </c>
      <c r="D219" s="47" t="s">
        <v>1848</v>
      </c>
      <c r="E219" s="88"/>
      <c r="F219" s="88"/>
      <c r="G219" s="88"/>
      <c r="H219" s="88"/>
      <c r="I219" s="88"/>
      <c r="J219" s="88"/>
      <c r="K219" s="120">
        <f>ROUNDDOWN(J244,-2)</f>
        <v>2086200</v>
      </c>
      <c r="L219" s="939" t="s">
        <v>6454</v>
      </c>
      <c r="M219" s="940" t="s">
        <v>6451</v>
      </c>
    </row>
    <row r="220" spans="3:13" ht="28.2" thickTop="1">
      <c r="C220" s="51" t="s">
        <v>1195</v>
      </c>
      <c r="D220" s="52" t="s">
        <v>1196</v>
      </c>
      <c r="E220" s="52"/>
      <c r="F220" s="52" t="s">
        <v>1197</v>
      </c>
      <c r="G220" s="52" t="s">
        <v>1198</v>
      </c>
      <c r="H220" s="52" t="s">
        <v>1199</v>
      </c>
      <c r="I220" s="582"/>
      <c r="J220" s="942" t="s">
        <v>1200</v>
      </c>
      <c r="K220" s="289"/>
    </row>
    <row r="221" spans="3:13">
      <c r="C221" s="290" t="s">
        <v>1201</v>
      </c>
      <c r="D221" s="182" t="s">
        <v>1202</v>
      </c>
      <c r="E221" s="182"/>
      <c r="F221" s="70"/>
      <c r="G221" s="70"/>
      <c r="H221" s="70"/>
      <c r="I221" s="977"/>
      <c r="J221" s="105"/>
      <c r="K221" s="280"/>
    </row>
    <row r="222" spans="3:13">
      <c r="C222" s="1110" t="s">
        <v>1203</v>
      </c>
      <c r="D222" s="182" t="s">
        <v>5</v>
      </c>
      <c r="E222" s="182" t="s">
        <v>1774</v>
      </c>
      <c r="F222" s="176" t="s">
        <v>6</v>
      </c>
      <c r="G222" s="527">
        <v>1.2</v>
      </c>
      <c r="H222" s="1132">
        <f>VLOOKUP(D222,upahbahan,3,FALSE)</f>
        <v>100000</v>
      </c>
      <c r="I222" s="1133"/>
      <c r="J222" s="1134">
        <f>G222*H222</f>
        <v>120000</v>
      </c>
      <c r="K222" s="280"/>
    </row>
    <row r="223" spans="3:13">
      <c r="C223" s="1110">
        <v>2</v>
      </c>
      <c r="D223" s="182" t="s">
        <v>7</v>
      </c>
      <c r="E223" s="182" t="s">
        <v>1775</v>
      </c>
      <c r="F223" s="176" t="s">
        <v>6</v>
      </c>
      <c r="G223" s="527">
        <v>0.4</v>
      </c>
      <c r="H223" s="1132">
        <f>VLOOKUP(D223,upahbahan,3,FALSE)</f>
        <v>135000</v>
      </c>
      <c r="I223" s="1133"/>
      <c r="J223" s="1134">
        <f>G223*H223</f>
        <v>54000</v>
      </c>
      <c r="K223" s="280"/>
    </row>
    <row r="224" spans="3:13">
      <c r="C224" s="1110">
        <v>3</v>
      </c>
      <c r="D224" s="182" t="s">
        <v>18</v>
      </c>
      <c r="E224" s="182" t="s">
        <v>1776</v>
      </c>
      <c r="F224" s="176" t="s">
        <v>6</v>
      </c>
      <c r="G224" s="527">
        <v>0.04</v>
      </c>
      <c r="H224" s="1132">
        <f>VLOOKUP(D224,upahbahan,3,FALSE)</f>
        <v>150000</v>
      </c>
      <c r="I224" s="1133"/>
      <c r="J224" s="1134">
        <f>G224*H224</f>
        <v>6000</v>
      </c>
      <c r="K224" s="280"/>
    </row>
    <row r="225" spans="3:11">
      <c r="C225" s="1110">
        <v>4</v>
      </c>
      <c r="D225" s="182" t="s">
        <v>19</v>
      </c>
      <c r="E225" s="182" t="s">
        <v>1777</v>
      </c>
      <c r="F225" s="176" t="s">
        <v>6</v>
      </c>
      <c r="G225" s="527">
        <v>0.12</v>
      </c>
      <c r="H225" s="1132">
        <f>VLOOKUP(D225,upahbahan,3,FALSE)</f>
        <v>160000</v>
      </c>
      <c r="I225" s="1133"/>
      <c r="J225" s="1134">
        <f>G225*H225</f>
        <v>19200</v>
      </c>
      <c r="K225" s="280"/>
    </row>
    <row r="226" spans="3:11">
      <c r="C226" s="66" t="s">
        <v>1208</v>
      </c>
      <c r="D226" s="263"/>
      <c r="E226" s="263"/>
      <c r="F226" s="263"/>
      <c r="G226" s="263"/>
      <c r="H226" s="959"/>
      <c r="I226" s="960"/>
      <c r="J226" s="1134">
        <f>SUM(J222:J225)</f>
        <v>199200</v>
      </c>
      <c r="K226" s="280"/>
    </row>
    <row r="227" spans="3:11">
      <c r="C227" s="290" t="s">
        <v>1209</v>
      </c>
      <c r="D227" s="182" t="s">
        <v>1210</v>
      </c>
      <c r="E227" s="182"/>
      <c r="F227" s="70"/>
      <c r="G227" s="70"/>
      <c r="H227" s="1135"/>
      <c r="I227" s="1136"/>
      <c r="J227" s="105"/>
      <c r="K227" s="280"/>
    </row>
    <row r="228" spans="3:11">
      <c r="C228" s="1110" t="s">
        <v>1203</v>
      </c>
      <c r="D228" s="1103" t="s">
        <v>1849</v>
      </c>
      <c r="E228" s="1103"/>
      <c r="F228" s="102" t="s">
        <v>42</v>
      </c>
      <c r="G228" s="527">
        <v>0.35</v>
      </c>
      <c r="H228" s="1135">
        <f t="shared" ref="H228:H233" si="10">VLOOKUP(D228,upahbahan,3,FALSE)</f>
        <v>2250000</v>
      </c>
      <c r="I228" s="1136"/>
      <c r="J228" s="284">
        <f t="shared" ref="J228:J238" si="11">G228*H228</f>
        <v>787500</v>
      </c>
      <c r="K228" s="280"/>
    </row>
    <row r="229" spans="3:11">
      <c r="C229" s="1110" t="s">
        <v>1204</v>
      </c>
      <c r="D229" s="182" t="s">
        <v>1850</v>
      </c>
      <c r="E229" s="182"/>
      <c r="F229" s="124" t="s">
        <v>129</v>
      </c>
      <c r="G229" s="527">
        <v>1</v>
      </c>
      <c r="H229" s="1135">
        <f t="shared" si="10"/>
        <v>64620</v>
      </c>
      <c r="I229" s="1136"/>
      <c r="J229" s="284">
        <f t="shared" si="11"/>
        <v>64620</v>
      </c>
      <c r="K229" s="280"/>
    </row>
    <row r="230" spans="3:11">
      <c r="C230" s="1110" t="s">
        <v>1205</v>
      </c>
      <c r="D230" s="1103" t="s">
        <v>1851</v>
      </c>
      <c r="E230" s="1103"/>
      <c r="F230" s="176" t="s">
        <v>42</v>
      </c>
      <c r="G230" s="527">
        <v>0.17</v>
      </c>
      <c r="H230" s="1135">
        <f t="shared" si="10"/>
        <v>322875</v>
      </c>
      <c r="I230" s="1136"/>
      <c r="J230" s="284">
        <f t="shared" si="11"/>
        <v>54888.750000000007</v>
      </c>
      <c r="K230" s="280"/>
    </row>
    <row r="231" spans="3:11">
      <c r="C231" s="1110" t="s">
        <v>1206</v>
      </c>
      <c r="D231" s="182" t="s">
        <v>1852</v>
      </c>
      <c r="E231" s="182"/>
      <c r="F231" s="176" t="s">
        <v>129</v>
      </c>
      <c r="G231" s="527">
        <v>1.24</v>
      </c>
      <c r="H231" s="1135">
        <f t="shared" si="10"/>
        <v>72000</v>
      </c>
      <c r="I231" s="1136"/>
      <c r="J231" s="284">
        <f>G231*H231</f>
        <v>89280</v>
      </c>
      <c r="K231" s="280"/>
    </row>
    <row r="232" spans="3:11">
      <c r="C232" s="1110" t="s">
        <v>1207</v>
      </c>
      <c r="D232" s="182" t="s">
        <v>1823</v>
      </c>
      <c r="E232" s="182"/>
      <c r="F232" s="176" t="s">
        <v>65</v>
      </c>
      <c r="G232" s="527">
        <v>0.75</v>
      </c>
      <c r="H232" s="1135">
        <f t="shared" si="10"/>
        <v>33075</v>
      </c>
      <c r="I232" s="1136"/>
      <c r="J232" s="284">
        <f t="shared" si="11"/>
        <v>24806.25</v>
      </c>
      <c r="K232" s="280"/>
    </row>
    <row r="233" spans="3:11">
      <c r="C233" s="1110" t="s">
        <v>1211</v>
      </c>
      <c r="D233" s="182" t="s">
        <v>1853</v>
      </c>
      <c r="E233" s="182"/>
      <c r="F233" s="124" t="s">
        <v>129</v>
      </c>
      <c r="G233" s="527">
        <v>0.3</v>
      </c>
      <c r="H233" s="1135">
        <f t="shared" si="10"/>
        <v>101475</v>
      </c>
      <c r="I233" s="1136"/>
      <c r="J233" s="284">
        <f t="shared" si="11"/>
        <v>30442.5</v>
      </c>
      <c r="K233" s="280"/>
    </row>
    <row r="234" spans="3:11">
      <c r="C234" s="1110" t="s">
        <v>1212</v>
      </c>
      <c r="D234" s="182" t="s">
        <v>1854</v>
      </c>
      <c r="E234" s="182"/>
      <c r="F234" s="124" t="s">
        <v>65</v>
      </c>
      <c r="G234" s="527">
        <v>0.1</v>
      </c>
      <c r="H234" s="1141">
        <f>'Upah Bahan'!H138</f>
        <v>0</v>
      </c>
      <c r="I234" s="1142"/>
      <c r="J234" s="284">
        <f t="shared" si="11"/>
        <v>0</v>
      </c>
      <c r="K234" s="280"/>
    </row>
    <row r="235" spans="3:11">
      <c r="C235" s="1110" t="s">
        <v>1213</v>
      </c>
      <c r="D235" s="182" t="s">
        <v>1855</v>
      </c>
      <c r="E235" s="182"/>
      <c r="F235" s="124" t="s">
        <v>42</v>
      </c>
      <c r="G235" s="527">
        <v>0.15</v>
      </c>
      <c r="H235" s="1135">
        <f t="shared" ref="H235:H238" si="12">VLOOKUP(D235,upahbahan,3,FALSE)</f>
        <v>805600</v>
      </c>
      <c r="I235" s="1136"/>
      <c r="J235" s="284">
        <f t="shared" si="11"/>
        <v>120840</v>
      </c>
      <c r="K235" s="280"/>
    </row>
    <row r="236" spans="3:11">
      <c r="C236" s="1110" t="s">
        <v>1230</v>
      </c>
      <c r="D236" s="182" t="s">
        <v>1856</v>
      </c>
      <c r="E236" s="182"/>
      <c r="F236" s="176" t="s">
        <v>62</v>
      </c>
      <c r="G236" s="527">
        <v>0.1</v>
      </c>
      <c r="H236" s="1135">
        <f t="shared" si="12"/>
        <v>765000</v>
      </c>
      <c r="I236" s="1136"/>
      <c r="J236" s="284">
        <f t="shared" si="11"/>
        <v>76500</v>
      </c>
      <c r="K236" s="280"/>
    </row>
    <row r="237" spans="3:11">
      <c r="C237" s="1110" t="s">
        <v>1231</v>
      </c>
      <c r="D237" s="182" t="s">
        <v>1857</v>
      </c>
      <c r="E237" s="182"/>
      <c r="F237" s="176" t="s">
        <v>1859</v>
      </c>
      <c r="G237" s="527">
        <v>1</v>
      </c>
      <c r="H237" s="1135">
        <f t="shared" si="12"/>
        <v>36000</v>
      </c>
      <c r="I237" s="1136"/>
      <c r="J237" s="284">
        <f t="shared" si="11"/>
        <v>36000</v>
      </c>
      <c r="K237" s="280"/>
    </row>
    <row r="238" spans="3:11">
      <c r="C238" s="1110" t="s">
        <v>1232</v>
      </c>
      <c r="D238" s="182" t="s">
        <v>1858</v>
      </c>
      <c r="E238" s="182"/>
      <c r="F238" s="176" t="s">
        <v>62</v>
      </c>
      <c r="G238" s="527">
        <v>16.5</v>
      </c>
      <c r="H238" s="1135">
        <f t="shared" si="12"/>
        <v>25000</v>
      </c>
      <c r="I238" s="1136"/>
      <c r="J238" s="284">
        <f t="shared" si="11"/>
        <v>412500</v>
      </c>
      <c r="K238" s="280"/>
    </row>
    <row r="239" spans="3:11">
      <c r="C239" s="66" t="s">
        <v>1214</v>
      </c>
      <c r="D239" s="67"/>
      <c r="E239" s="67"/>
      <c r="F239" s="67"/>
      <c r="G239" s="67"/>
      <c r="H239" s="961"/>
      <c r="I239" s="962"/>
      <c r="J239" s="284">
        <f>SUM(J228:J238)</f>
        <v>1697377.5</v>
      </c>
      <c r="K239" s="280"/>
    </row>
    <row r="240" spans="3:11">
      <c r="C240" s="290" t="s">
        <v>1215</v>
      </c>
      <c r="D240" s="182" t="s">
        <v>1216</v>
      </c>
      <c r="E240" s="182"/>
      <c r="F240" s="70"/>
      <c r="G240" s="70"/>
      <c r="H240" s="963"/>
      <c r="I240" s="964"/>
      <c r="J240" s="105"/>
      <c r="K240" s="280"/>
    </row>
    <row r="241" spans="3:13">
      <c r="C241" s="66" t="s">
        <v>1217</v>
      </c>
      <c r="D241" s="67"/>
      <c r="E241" s="67"/>
      <c r="F241" s="67"/>
      <c r="G241" s="67"/>
      <c r="H241" s="961"/>
      <c r="I241" s="962"/>
      <c r="J241" s="1113">
        <v>0</v>
      </c>
      <c r="K241" s="280"/>
    </row>
    <row r="242" spans="3:13">
      <c r="C242" s="293" t="s">
        <v>1218</v>
      </c>
      <c r="D242" s="294" t="s">
        <v>1219</v>
      </c>
      <c r="E242" s="295"/>
      <c r="F242" s="295"/>
      <c r="G242" s="295"/>
      <c r="H242" s="1137"/>
      <c r="I242" s="1138"/>
      <c r="J242" s="284">
        <f>J226+J239+J241</f>
        <v>1896577.5</v>
      </c>
      <c r="K242" s="280"/>
    </row>
    <row r="243" spans="3:13">
      <c r="C243" s="293" t="s">
        <v>1220</v>
      </c>
      <c r="D243" s="294" t="s">
        <v>1249</v>
      </c>
      <c r="E243" s="295"/>
      <c r="F243" s="295"/>
      <c r="G243" s="296"/>
      <c r="H243" s="298">
        <f>$Q$8</f>
        <v>0.1</v>
      </c>
      <c r="I243" s="1116"/>
      <c r="J243" s="284">
        <f>J242*H243</f>
        <v>189657.75</v>
      </c>
      <c r="K243" s="280"/>
    </row>
    <row r="244" spans="3:13" ht="14.4" thickBot="1">
      <c r="C244" s="299" t="s">
        <v>1221</v>
      </c>
      <c r="D244" s="300" t="s">
        <v>1222</v>
      </c>
      <c r="E244" s="301"/>
      <c r="F244" s="301"/>
      <c r="G244" s="301"/>
      <c r="H244" s="1139"/>
      <c r="I244" s="1140"/>
      <c r="J244" s="303">
        <f>SUM(J242:J243)</f>
        <v>2086235.25</v>
      </c>
      <c r="K244" s="280"/>
    </row>
    <row r="245" spans="3:13" ht="14.4" thickTop="1">
      <c r="C245" s="289"/>
      <c r="D245" s="297"/>
      <c r="E245" s="297"/>
      <c r="F245" s="297"/>
      <c r="G245" s="297"/>
      <c r="H245" s="1130"/>
      <c r="I245" s="1130"/>
      <c r="J245" s="139"/>
      <c r="K245" s="280"/>
    </row>
    <row r="246" spans="3:13" ht="29.4" customHeight="1" thickBot="1">
      <c r="C246" s="47" t="s">
        <v>1861</v>
      </c>
      <c r="D246" s="47" t="s">
        <v>1862</v>
      </c>
      <c r="E246" s="88"/>
      <c r="F246" s="88"/>
      <c r="G246" s="88"/>
      <c r="H246" s="88"/>
      <c r="I246" s="88"/>
      <c r="J246" s="88"/>
      <c r="K246" s="120">
        <f>ROUNDDOWN(J268,-2)</f>
        <v>1262000</v>
      </c>
      <c r="L246" s="939" t="s">
        <v>5296</v>
      </c>
      <c r="M246" s="940" t="s">
        <v>5296</v>
      </c>
    </row>
    <row r="247" spans="3:13" ht="28.2" thickTop="1">
      <c r="C247" s="51" t="s">
        <v>1195</v>
      </c>
      <c r="D247" s="52" t="s">
        <v>1196</v>
      </c>
      <c r="E247" s="52"/>
      <c r="F247" s="52" t="s">
        <v>1197</v>
      </c>
      <c r="G247" s="52" t="s">
        <v>1198</v>
      </c>
      <c r="H247" s="52" t="s">
        <v>1199</v>
      </c>
      <c r="I247" s="582"/>
      <c r="J247" s="942" t="s">
        <v>1200</v>
      </c>
      <c r="K247" s="289"/>
    </row>
    <row r="248" spans="3:13">
      <c r="C248" s="290" t="s">
        <v>1201</v>
      </c>
      <c r="D248" s="182" t="s">
        <v>1202</v>
      </c>
      <c r="E248" s="182"/>
      <c r="F248" s="70"/>
      <c r="G248" s="70"/>
      <c r="H248" s="70"/>
      <c r="I248" s="977"/>
      <c r="J248" s="105"/>
      <c r="K248" s="280"/>
    </row>
    <row r="249" spans="3:13">
      <c r="C249" s="1110" t="s">
        <v>1203</v>
      </c>
      <c r="D249" s="182" t="s">
        <v>5</v>
      </c>
      <c r="E249" s="182" t="s">
        <v>1774</v>
      </c>
      <c r="F249" s="176" t="s">
        <v>1863</v>
      </c>
      <c r="G249" s="186">
        <v>2.0295999999999998</v>
      </c>
      <c r="H249" s="1132">
        <f>VLOOKUP(D249,upahbahan,3,FALSE)/8</f>
        <v>12500</v>
      </c>
      <c r="I249" s="1133"/>
      <c r="J249" s="1134">
        <f>G249*H249</f>
        <v>25369.999999999996</v>
      </c>
      <c r="K249" s="280"/>
    </row>
    <row r="250" spans="3:13">
      <c r="C250" s="1110">
        <v>2</v>
      </c>
      <c r="D250" s="182" t="s">
        <v>19</v>
      </c>
      <c r="E250" s="182" t="s">
        <v>1777</v>
      </c>
      <c r="F250" s="176" t="s">
        <v>1863</v>
      </c>
      <c r="G250" s="186">
        <v>0.13089999999999999</v>
      </c>
      <c r="H250" s="1132">
        <f>VLOOKUP(D250,upahbahan,3,FALSE)/8</f>
        <v>20000</v>
      </c>
      <c r="I250" s="1133"/>
      <c r="J250" s="1134">
        <f>G250*H250</f>
        <v>2617.9999999999995</v>
      </c>
      <c r="K250" s="280"/>
    </row>
    <row r="251" spans="3:13">
      <c r="C251" s="66" t="s">
        <v>1208</v>
      </c>
      <c r="D251" s="263"/>
      <c r="E251" s="263"/>
      <c r="F251" s="263"/>
      <c r="G251" s="263"/>
      <c r="H251" s="959"/>
      <c r="I251" s="960"/>
      <c r="J251" s="1134">
        <f>SUM(J249:J250)</f>
        <v>27987.999999999996</v>
      </c>
      <c r="K251" s="280"/>
    </row>
    <row r="252" spans="3:13">
      <c r="C252" s="290" t="s">
        <v>1209</v>
      </c>
      <c r="D252" s="182" t="s">
        <v>1210</v>
      </c>
      <c r="E252" s="182"/>
      <c r="F252" s="70"/>
      <c r="G252" s="70"/>
      <c r="H252" s="1135"/>
      <c r="I252" s="1136"/>
      <c r="J252" s="105"/>
      <c r="K252" s="280"/>
    </row>
    <row r="253" spans="3:13">
      <c r="C253" s="1110" t="s">
        <v>1203</v>
      </c>
      <c r="D253" s="1103" t="s">
        <v>1864</v>
      </c>
      <c r="E253" s="1103"/>
      <c r="F253" s="102" t="s">
        <v>42</v>
      </c>
      <c r="G253" s="186">
        <v>1.0593999999999999</v>
      </c>
      <c r="H253" s="1135">
        <f t="shared" ref="H253:H256" si="13">VLOOKUP(D253,upahbahan,3,FALSE)</f>
        <v>350000</v>
      </c>
      <c r="I253" s="1136"/>
      <c r="J253" s="284">
        <f t="shared" ref="J253:J256" si="14">G253*H253</f>
        <v>370789.99999999994</v>
      </c>
      <c r="K253" s="280"/>
    </row>
    <row r="254" spans="3:13">
      <c r="C254" s="1110" t="s">
        <v>1204</v>
      </c>
      <c r="D254" s="182" t="s">
        <v>1865</v>
      </c>
      <c r="E254" s="182"/>
      <c r="F254" s="124" t="s">
        <v>42</v>
      </c>
      <c r="G254" s="186">
        <v>0.33110000000000001</v>
      </c>
      <c r="H254" s="1135">
        <f t="shared" si="13"/>
        <v>360000</v>
      </c>
      <c r="I254" s="1136"/>
      <c r="J254" s="284">
        <f t="shared" si="14"/>
        <v>119196</v>
      </c>
      <c r="K254" s="280"/>
    </row>
    <row r="255" spans="3:13">
      <c r="C255" s="1110" t="s">
        <v>1205</v>
      </c>
      <c r="D255" s="1103" t="s">
        <v>1866</v>
      </c>
      <c r="E255" s="1103"/>
      <c r="F255" s="176" t="s">
        <v>65</v>
      </c>
      <c r="G255" s="186">
        <v>0.18540000000000001</v>
      </c>
      <c r="H255" s="1135">
        <f t="shared" si="13"/>
        <v>370000</v>
      </c>
      <c r="I255" s="1136"/>
      <c r="J255" s="284">
        <f t="shared" si="14"/>
        <v>68598</v>
      </c>
      <c r="K255" s="280"/>
    </row>
    <row r="256" spans="3:13">
      <c r="C256" s="1110" t="s">
        <v>1206</v>
      </c>
      <c r="D256" s="182" t="s">
        <v>1867</v>
      </c>
      <c r="E256" s="182"/>
      <c r="F256" s="176" t="s">
        <v>65</v>
      </c>
      <c r="G256" s="527">
        <v>80</v>
      </c>
      <c r="H256" s="1135">
        <f t="shared" si="13"/>
        <v>0</v>
      </c>
      <c r="I256" s="1136"/>
      <c r="J256" s="284">
        <f t="shared" si="14"/>
        <v>0</v>
      </c>
      <c r="K256" s="280"/>
    </row>
    <row r="257" spans="3:13">
      <c r="C257" s="66" t="s">
        <v>1214</v>
      </c>
      <c r="D257" s="67"/>
      <c r="E257" s="67"/>
      <c r="F257" s="67"/>
      <c r="G257" s="67"/>
      <c r="H257" s="961"/>
      <c r="I257" s="962"/>
      <c r="J257" s="284">
        <f>SUM(J253:J256)</f>
        <v>558584</v>
      </c>
      <c r="K257" s="280"/>
    </row>
    <row r="258" spans="3:13">
      <c r="C258" s="290" t="s">
        <v>1215</v>
      </c>
      <c r="D258" s="182" t="s">
        <v>1216</v>
      </c>
      <c r="E258" s="182"/>
      <c r="F258" s="70"/>
      <c r="G258" s="70"/>
      <c r="H258" s="963"/>
      <c r="I258" s="964"/>
      <c r="J258" s="105"/>
      <c r="K258" s="280"/>
    </row>
    <row r="259" spans="3:13">
      <c r="C259" s="1110" t="s">
        <v>1203</v>
      </c>
      <c r="D259" s="1103" t="s">
        <v>1868</v>
      </c>
      <c r="E259" s="1103"/>
      <c r="F259" s="102" t="s">
        <v>1074</v>
      </c>
      <c r="G259" s="186">
        <v>7.1000000000000004E-3</v>
      </c>
      <c r="H259" s="1135">
        <f t="shared" ref="H259:H261" si="15">VLOOKUP(D259,upahbahan,3,FALSE)</f>
        <v>472400</v>
      </c>
      <c r="I259" s="1136"/>
      <c r="J259" s="284">
        <f t="shared" ref="J259:J264" si="16">G259*H259</f>
        <v>3354.0400000000004</v>
      </c>
      <c r="K259" s="280"/>
    </row>
    <row r="260" spans="3:13">
      <c r="C260" s="1110" t="s">
        <v>1204</v>
      </c>
      <c r="D260" s="182" t="s">
        <v>1869</v>
      </c>
      <c r="E260" s="182"/>
      <c r="F260" s="102" t="s">
        <v>1074</v>
      </c>
      <c r="G260" s="186">
        <v>0.31890000000000002</v>
      </c>
      <c r="H260" s="1135">
        <f t="shared" si="15"/>
        <v>556100</v>
      </c>
      <c r="I260" s="1136"/>
      <c r="J260" s="284">
        <f t="shared" si="16"/>
        <v>177340.29</v>
      </c>
      <c r="K260" s="280"/>
    </row>
    <row r="261" spans="3:13">
      <c r="C261" s="1110" t="s">
        <v>1205</v>
      </c>
      <c r="D261" s="1103" t="s">
        <v>1870</v>
      </c>
      <c r="E261" s="1103"/>
      <c r="F261" s="102" t="s">
        <v>1074</v>
      </c>
      <c r="G261" s="186">
        <v>0.32019999999999998</v>
      </c>
      <c r="H261" s="1135">
        <f t="shared" si="15"/>
        <v>556100</v>
      </c>
      <c r="I261" s="1136"/>
      <c r="J261" s="284">
        <f t="shared" si="16"/>
        <v>178063.22</v>
      </c>
      <c r="K261" s="280"/>
    </row>
    <row r="262" spans="3:13">
      <c r="C262" s="1110" t="s">
        <v>1206</v>
      </c>
      <c r="D262" s="1103" t="s">
        <v>1871</v>
      </c>
      <c r="E262" s="1103"/>
      <c r="F262" s="102" t="s">
        <v>1074</v>
      </c>
      <c r="G262" s="186">
        <v>0.32369999999999999</v>
      </c>
      <c r="H262" s="1135">
        <f t="shared" ref="H262:H264" si="17">VLOOKUP(D262,upahbahan,3,FALSE)</f>
        <v>556100</v>
      </c>
      <c r="I262" s="1136"/>
      <c r="J262" s="284">
        <f t="shared" si="16"/>
        <v>180009.57</v>
      </c>
      <c r="K262" s="280"/>
    </row>
    <row r="263" spans="3:13">
      <c r="C263" s="1110" t="s">
        <v>1207</v>
      </c>
      <c r="D263" s="1103" t="s">
        <v>1872</v>
      </c>
      <c r="E263" s="1103"/>
      <c r="F263" s="102" t="s">
        <v>1074</v>
      </c>
      <c r="G263" s="186">
        <v>6.5500000000000003E-2</v>
      </c>
      <c r="H263" s="1135">
        <f t="shared" si="17"/>
        <v>262300</v>
      </c>
      <c r="I263" s="1136"/>
      <c r="J263" s="284">
        <f t="shared" si="16"/>
        <v>17180.650000000001</v>
      </c>
      <c r="K263" s="280"/>
    </row>
    <row r="264" spans="3:13">
      <c r="C264" s="1110" t="s">
        <v>1211</v>
      </c>
      <c r="D264" s="1103" t="s">
        <v>1873</v>
      </c>
      <c r="E264" s="1103"/>
      <c r="F264" s="102" t="s">
        <v>1074</v>
      </c>
      <c r="G264" s="186">
        <v>1.5699999999999999E-2</v>
      </c>
      <c r="H264" s="1135">
        <f t="shared" si="17"/>
        <v>307300</v>
      </c>
      <c r="I264" s="1136"/>
      <c r="J264" s="284">
        <f t="shared" si="16"/>
        <v>4824.6099999999997</v>
      </c>
      <c r="K264" s="280"/>
    </row>
    <row r="265" spans="3:13">
      <c r="C265" s="66" t="s">
        <v>1217</v>
      </c>
      <c r="D265" s="67"/>
      <c r="E265" s="67"/>
      <c r="F265" s="67"/>
      <c r="G265" s="67"/>
      <c r="H265" s="961"/>
      <c r="I265" s="962"/>
      <c r="J265" s="284">
        <f>SUM(J259:J264)</f>
        <v>560772.38000000012</v>
      </c>
      <c r="K265" s="280"/>
    </row>
    <row r="266" spans="3:13">
      <c r="C266" s="293" t="s">
        <v>1218</v>
      </c>
      <c r="D266" s="294" t="s">
        <v>1219</v>
      </c>
      <c r="E266" s="295"/>
      <c r="F266" s="295"/>
      <c r="G266" s="295"/>
      <c r="H266" s="1137"/>
      <c r="I266" s="1138"/>
      <c r="J266" s="284">
        <f>J251+J257+J265</f>
        <v>1147344.3800000001</v>
      </c>
      <c r="K266" s="280"/>
    </row>
    <row r="267" spans="3:13">
      <c r="C267" s="293" t="s">
        <v>1220</v>
      </c>
      <c r="D267" s="294" t="s">
        <v>1249</v>
      </c>
      <c r="E267" s="295"/>
      <c r="F267" s="295"/>
      <c r="G267" s="296"/>
      <c r="H267" s="298">
        <f>$Q$8</f>
        <v>0.1</v>
      </c>
      <c r="I267" s="1116"/>
      <c r="J267" s="284">
        <f>J266*H267</f>
        <v>114734.43800000002</v>
      </c>
      <c r="K267" s="280"/>
    </row>
    <row r="268" spans="3:13" ht="14.4" thickBot="1">
      <c r="C268" s="1143" t="s">
        <v>1221</v>
      </c>
      <c r="D268" s="1144" t="s">
        <v>1222</v>
      </c>
      <c r="E268" s="301"/>
      <c r="F268" s="301"/>
      <c r="G268" s="301"/>
      <c r="H268" s="1139"/>
      <c r="I268" s="1140"/>
      <c r="J268" s="303">
        <f>SUM(J266:J267)</f>
        <v>1262078.8180000002</v>
      </c>
      <c r="K268" s="280"/>
    </row>
    <row r="269" spans="3:13" ht="14.4" thickTop="1">
      <c r="C269" s="289"/>
      <c r="D269" s="297"/>
      <c r="E269" s="297"/>
      <c r="F269" s="297"/>
      <c r="G269" s="297"/>
      <c r="H269" s="1145"/>
      <c r="I269" s="1145"/>
      <c r="J269" s="139"/>
      <c r="K269" s="280"/>
    </row>
    <row r="270" spans="3:13" ht="29.4" customHeight="1" thickBot="1">
      <c r="C270" s="47" t="s">
        <v>1879</v>
      </c>
      <c r="D270" s="1146" t="s">
        <v>1880</v>
      </c>
      <c r="E270" s="88"/>
      <c r="F270" s="88"/>
      <c r="G270" s="88"/>
      <c r="H270" s="88"/>
      <c r="I270" s="88"/>
      <c r="J270" s="88"/>
      <c r="K270" s="120">
        <f>ROUNDDOWN(J282,-2)</f>
        <v>128900</v>
      </c>
      <c r="L270" s="939" t="s">
        <v>5296</v>
      </c>
      <c r="M270" s="940" t="s">
        <v>5296</v>
      </c>
    </row>
    <row r="271" spans="3:13" ht="29.25" customHeight="1" thickTop="1">
      <c r="C271" s="51" t="s">
        <v>1195</v>
      </c>
      <c r="D271" s="52" t="s">
        <v>1196</v>
      </c>
      <c r="E271" s="52"/>
      <c r="F271" s="52" t="s">
        <v>1197</v>
      </c>
      <c r="G271" s="52" t="s">
        <v>1198</v>
      </c>
      <c r="H271" s="1100" t="s">
        <v>1199</v>
      </c>
      <c r="I271" s="1101"/>
      <c r="J271" s="942" t="s">
        <v>1200</v>
      </c>
      <c r="K271" s="289"/>
    </row>
    <row r="272" spans="3:13">
      <c r="C272" s="290" t="s">
        <v>1201</v>
      </c>
      <c r="D272" s="182" t="s">
        <v>1881</v>
      </c>
      <c r="E272" s="182"/>
      <c r="F272" s="70"/>
      <c r="G272" s="70"/>
      <c r="H272" s="70"/>
      <c r="I272" s="977"/>
      <c r="J272" s="105"/>
      <c r="K272" s="280"/>
    </row>
    <row r="273" spans="3:13" ht="27.6">
      <c r="C273" s="1147" t="s">
        <v>1203</v>
      </c>
      <c r="D273" s="109" t="s">
        <v>1882</v>
      </c>
      <c r="E273" s="109"/>
      <c r="F273" s="108" t="s">
        <v>62</v>
      </c>
      <c r="G273" s="1148">
        <v>1.0476000000000001</v>
      </c>
      <c r="H273" s="1149">
        <v>12000</v>
      </c>
      <c r="I273" s="1150" t="s">
        <v>1885</v>
      </c>
      <c r="J273" s="1151">
        <f>G273*H273</f>
        <v>12571.2</v>
      </c>
      <c r="K273" s="280"/>
    </row>
    <row r="274" spans="3:13" ht="27.6">
      <c r="C274" s="1147">
        <v>2</v>
      </c>
      <c r="D274" s="109" t="s">
        <v>1883</v>
      </c>
      <c r="E274" s="109"/>
      <c r="F274" s="108" t="s">
        <v>62</v>
      </c>
      <c r="G274" s="1148">
        <v>1.0476000000000001</v>
      </c>
      <c r="H274" s="1149">
        <v>2900</v>
      </c>
      <c r="I274" s="1150" t="s">
        <v>1886</v>
      </c>
      <c r="J274" s="1151">
        <f>G274*H274</f>
        <v>3038.0400000000004</v>
      </c>
      <c r="K274" s="280"/>
    </row>
    <row r="275" spans="3:13">
      <c r="C275" s="1147">
        <v>3</v>
      </c>
      <c r="D275" s="109" t="s">
        <v>1884</v>
      </c>
      <c r="E275" s="109"/>
      <c r="F275" s="108" t="s">
        <v>42</v>
      </c>
      <c r="G275" s="1148">
        <v>0.20480000000000001</v>
      </c>
      <c r="H275" s="1149">
        <v>496300</v>
      </c>
      <c r="I275" s="1150" t="s">
        <v>6434</v>
      </c>
      <c r="J275" s="1151">
        <f>G275*H275</f>
        <v>101642.24000000001</v>
      </c>
      <c r="K275" s="280"/>
    </row>
    <row r="276" spans="3:13">
      <c r="C276" s="66" t="s">
        <v>1887</v>
      </c>
      <c r="D276" s="263"/>
      <c r="E276" s="263"/>
      <c r="F276" s="263"/>
      <c r="G276" s="263"/>
      <c r="H276" s="959"/>
      <c r="I276" s="960"/>
      <c r="J276" s="1134">
        <f>SUM(J273:J275)</f>
        <v>117251.48000000001</v>
      </c>
      <c r="K276" s="280"/>
    </row>
    <row r="277" spans="3:13">
      <c r="C277" s="290" t="s">
        <v>1209</v>
      </c>
      <c r="D277" s="182" t="s">
        <v>1888</v>
      </c>
      <c r="E277" s="182"/>
      <c r="F277" s="70"/>
      <c r="G277" s="70"/>
      <c r="H277" s="1135"/>
      <c r="I277" s="1136"/>
      <c r="J277" s="105"/>
      <c r="K277" s="280"/>
    </row>
    <row r="278" spans="3:13" ht="27.6">
      <c r="C278" s="1110" t="s">
        <v>1203</v>
      </c>
      <c r="D278" s="70" t="s">
        <v>1889</v>
      </c>
      <c r="E278" s="1103"/>
      <c r="F278" s="102" t="s">
        <v>62</v>
      </c>
      <c r="G278" s="186">
        <v>1.0476000000000001</v>
      </c>
      <c r="H278" s="1135">
        <f>'Upah Bahan'!H2646</f>
        <v>0</v>
      </c>
      <c r="I278" s="1136"/>
      <c r="J278" s="284">
        <f>G278*H278</f>
        <v>0</v>
      </c>
      <c r="K278" s="280"/>
    </row>
    <row r="279" spans="3:13">
      <c r="C279" s="66" t="s">
        <v>1890</v>
      </c>
      <c r="D279" s="67"/>
      <c r="E279" s="67"/>
      <c r="F279" s="67"/>
      <c r="G279" s="67"/>
      <c r="H279" s="961"/>
      <c r="I279" s="962"/>
      <c r="J279" s="284">
        <f>SUM(J278:J278)</f>
        <v>0</v>
      </c>
      <c r="K279" s="280"/>
    </row>
    <row r="280" spans="3:13">
      <c r="C280" s="293" t="s">
        <v>1218</v>
      </c>
      <c r="D280" s="294" t="s">
        <v>1891</v>
      </c>
      <c r="E280" s="295"/>
      <c r="F280" s="295"/>
      <c r="G280" s="295"/>
      <c r="H280" s="1137"/>
      <c r="I280" s="1138"/>
      <c r="J280" s="284">
        <f>J276+J279</f>
        <v>117251.48000000001</v>
      </c>
      <c r="K280" s="280"/>
    </row>
    <row r="281" spans="3:13">
      <c r="C281" s="293" t="s">
        <v>1220</v>
      </c>
      <c r="D281" s="294" t="s">
        <v>1249</v>
      </c>
      <c r="E281" s="295"/>
      <c r="F281" s="295"/>
      <c r="G281" s="296"/>
      <c r="H281" s="298">
        <f>$Q$8</f>
        <v>0.1</v>
      </c>
      <c r="I281" s="1116"/>
      <c r="J281" s="284">
        <f>J280*H281</f>
        <v>11725.148000000001</v>
      </c>
      <c r="K281" s="280"/>
    </row>
    <row r="282" spans="3:13" ht="14.4" thickBot="1">
      <c r="C282" s="299" t="s">
        <v>1221</v>
      </c>
      <c r="D282" s="300" t="s">
        <v>1222</v>
      </c>
      <c r="E282" s="301"/>
      <c r="F282" s="301"/>
      <c r="G282" s="301"/>
      <c r="H282" s="1139"/>
      <c r="I282" s="1140"/>
      <c r="J282" s="303">
        <f>SUM(J280:J281)</f>
        <v>128976.62800000001</v>
      </c>
      <c r="K282" s="280"/>
    </row>
    <row r="283" spans="3:13" ht="47.85" customHeight="1" thickTop="1">
      <c r="C283" s="289" t="s">
        <v>1893</v>
      </c>
      <c r="D283" s="1872" t="s">
        <v>1894</v>
      </c>
      <c r="E283" s="1872"/>
      <c r="F283" s="1872"/>
      <c r="G283" s="1872"/>
      <c r="H283" s="1872"/>
      <c r="I283" s="1872"/>
      <c r="J283" s="1872"/>
      <c r="K283" s="280"/>
    </row>
    <row r="284" spans="3:13">
      <c r="C284" s="289"/>
      <c r="D284" s="297" t="s">
        <v>1895</v>
      </c>
      <c r="E284" s="297"/>
      <c r="F284" s="297"/>
      <c r="G284" s="297"/>
      <c r="H284" s="1145"/>
      <c r="I284" s="1145"/>
      <c r="J284" s="139"/>
      <c r="K284" s="280"/>
    </row>
    <row r="285" spans="3:13">
      <c r="C285" s="289"/>
      <c r="D285" s="297"/>
      <c r="E285" s="297"/>
      <c r="F285" s="297"/>
      <c r="G285" s="297"/>
      <c r="H285" s="1145"/>
      <c r="I285" s="1145"/>
      <c r="J285" s="139"/>
      <c r="K285" s="280"/>
    </row>
    <row r="286" spans="3:13" ht="29.4" customHeight="1" thickBot="1">
      <c r="C286" s="47" t="s">
        <v>1896</v>
      </c>
      <c r="D286" s="1146" t="s">
        <v>1897</v>
      </c>
      <c r="E286" s="88"/>
      <c r="F286" s="88"/>
      <c r="G286" s="88"/>
      <c r="H286" s="88"/>
      <c r="I286" s="88"/>
      <c r="J286" s="88"/>
      <c r="K286" s="120">
        <f>ROUNDDOWN(J299,-2)</f>
        <v>190800</v>
      </c>
      <c r="L286" s="939" t="s">
        <v>5296</v>
      </c>
      <c r="M286" s="940" t="s">
        <v>5296</v>
      </c>
    </row>
    <row r="287" spans="3:13" ht="28.2" thickTop="1">
      <c r="C287" s="51" t="s">
        <v>1195</v>
      </c>
      <c r="D287" s="52" t="s">
        <v>1196</v>
      </c>
      <c r="E287" s="52"/>
      <c r="F287" s="52" t="s">
        <v>1197</v>
      </c>
      <c r="G287" s="52" t="s">
        <v>1198</v>
      </c>
      <c r="H287" s="52" t="s">
        <v>1199</v>
      </c>
      <c r="I287" s="582"/>
      <c r="J287" s="942" t="s">
        <v>1200</v>
      </c>
      <c r="K287" s="289"/>
    </row>
    <row r="288" spans="3:13">
      <c r="C288" s="290" t="s">
        <v>1201</v>
      </c>
      <c r="D288" s="182" t="s">
        <v>1881</v>
      </c>
      <c r="E288" s="182"/>
      <c r="F288" s="70"/>
      <c r="G288" s="70"/>
      <c r="H288" s="70"/>
      <c r="I288" s="977"/>
      <c r="J288" s="105"/>
      <c r="K288" s="280"/>
    </row>
    <row r="289" spans="3:13" ht="27.6">
      <c r="C289" s="1110" t="s">
        <v>1203</v>
      </c>
      <c r="D289" s="109" t="s">
        <v>1882</v>
      </c>
      <c r="E289" s="109"/>
      <c r="F289" s="108" t="s">
        <v>62</v>
      </c>
      <c r="G289" s="1148">
        <v>1.0476000000000001</v>
      </c>
      <c r="H289" s="1149">
        <v>12000</v>
      </c>
      <c r="I289" s="1150" t="s">
        <v>1885</v>
      </c>
      <c r="J289" s="1151">
        <f>G289*H289</f>
        <v>12571.2</v>
      </c>
      <c r="K289" s="280"/>
    </row>
    <row r="290" spans="3:13" ht="27.6">
      <c r="C290" s="1110">
        <v>2</v>
      </c>
      <c r="D290" s="109" t="s">
        <v>1883</v>
      </c>
      <c r="E290" s="109"/>
      <c r="F290" s="108" t="s">
        <v>62</v>
      </c>
      <c r="G290" s="1148">
        <v>1.0476000000000001</v>
      </c>
      <c r="H290" s="1149">
        <v>2900</v>
      </c>
      <c r="I290" s="1150" t="s">
        <v>1886</v>
      </c>
      <c r="J290" s="1151">
        <f>G290*H290</f>
        <v>3038.0400000000004</v>
      </c>
      <c r="K290" s="280"/>
    </row>
    <row r="291" spans="3:13" ht="41.4">
      <c r="C291" s="1110">
        <v>3</v>
      </c>
      <c r="D291" s="109" t="s">
        <v>1902</v>
      </c>
      <c r="E291" s="109"/>
      <c r="F291" s="108" t="s">
        <v>42</v>
      </c>
      <c r="G291" s="1148">
        <v>0.20480000000000001</v>
      </c>
      <c r="H291" s="1149">
        <v>695000</v>
      </c>
      <c r="I291" s="1150" t="s">
        <v>1899</v>
      </c>
      <c r="J291" s="1151">
        <f>G291*H291</f>
        <v>142336</v>
      </c>
      <c r="K291" s="280"/>
    </row>
    <row r="292" spans="3:13">
      <c r="C292" s="1110">
        <v>4</v>
      </c>
      <c r="D292" s="182" t="s">
        <v>1898</v>
      </c>
      <c r="E292" s="182"/>
      <c r="F292" s="176" t="s">
        <v>529</v>
      </c>
      <c r="G292" s="186">
        <v>1</v>
      </c>
      <c r="H292" s="1132">
        <v>15600</v>
      </c>
      <c r="I292" s="1133"/>
      <c r="J292" s="1134">
        <f>G292*H292</f>
        <v>15600</v>
      </c>
      <c r="K292" s="280"/>
    </row>
    <row r="293" spans="3:13">
      <c r="C293" s="66" t="s">
        <v>1887</v>
      </c>
      <c r="D293" s="263"/>
      <c r="E293" s="263"/>
      <c r="F293" s="263"/>
      <c r="G293" s="263"/>
      <c r="H293" s="959"/>
      <c r="I293" s="960"/>
      <c r="J293" s="1134">
        <f>SUM(J289:J292)</f>
        <v>173545.24</v>
      </c>
      <c r="K293" s="280"/>
    </row>
    <row r="294" spans="3:13">
      <c r="C294" s="290" t="s">
        <v>1209</v>
      </c>
      <c r="D294" s="182" t="s">
        <v>1888</v>
      </c>
      <c r="E294" s="182"/>
      <c r="F294" s="70"/>
      <c r="G294" s="70"/>
      <c r="H294" s="1135"/>
      <c r="I294" s="1136"/>
      <c r="J294" s="105"/>
      <c r="K294" s="280"/>
    </row>
    <row r="295" spans="3:13" ht="27.6">
      <c r="C295" s="1110" t="s">
        <v>1203</v>
      </c>
      <c r="D295" s="70" t="s">
        <v>1889</v>
      </c>
      <c r="E295" s="1103"/>
      <c r="F295" s="102" t="s">
        <v>62</v>
      </c>
      <c r="G295" s="186">
        <v>1.0476000000000001</v>
      </c>
      <c r="H295" s="1135">
        <f>'Upah Bahan'!H2646</f>
        <v>0</v>
      </c>
      <c r="I295" s="1136"/>
      <c r="J295" s="284">
        <f t="shared" ref="J295" si="18">G295*H295</f>
        <v>0</v>
      </c>
      <c r="K295" s="280"/>
    </row>
    <row r="296" spans="3:13">
      <c r="C296" s="66" t="s">
        <v>1890</v>
      </c>
      <c r="D296" s="67"/>
      <c r="E296" s="67"/>
      <c r="F296" s="67"/>
      <c r="G296" s="67"/>
      <c r="H296" s="961"/>
      <c r="I296" s="962"/>
      <c r="J296" s="284">
        <f>SUM(J295:J295)</f>
        <v>0</v>
      </c>
      <c r="K296" s="280"/>
    </row>
    <row r="297" spans="3:13">
      <c r="C297" s="293" t="s">
        <v>1218</v>
      </c>
      <c r="D297" s="294" t="s">
        <v>1891</v>
      </c>
      <c r="E297" s="295"/>
      <c r="F297" s="295"/>
      <c r="G297" s="295"/>
      <c r="H297" s="1137"/>
      <c r="I297" s="1138"/>
      <c r="J297" s="284">
        <f>J296+J293</f>
        <v>173545.24</v>
      </c>
      <c r="K297" s="280"/>
    </row>
    <row r="298" spans="3:13">
      <c r="C298" s="293" t="s">
        <v>1220</v>
      </c>
      <c r="D298" s="294" t="s">
        <v>1249</v>
      </c>
      <c r="E298" s="295"/>
      <c r="F298" s="295"/>
      <c r="G298" s="296"/>
      <c r="H298" s="298">
        <f>$Q$8</f>
        <v>0.1</v>
      </c>
      <c r="I298" s="1116"/>
      <c r="J298" s="284">
        <f>J297*H298</f>
        <v>17354.524000000001</v>
      </c>
      <c r="K298" s="280"/>
    </row>
    <row r="299" spans="3:13" ht="14.4" thickBot="1">
      <c r="C299" s="299" t="s">
        <v>1221</v>
      </c>
      <c r="D299" s="300" t="s">
        <v>1222</v>
      </c>
      <c r="E299" s="301"/>
      <c r="F299" s="301"/>
      <c r="G299" s="301"/>
      <c r="H299" s="1139"/>
      <c r="I299" s="1140"/>
      <c r="J299" s="303">
        <f>SUM(J297:J298)</f>
        <v>190899.764</v>
      </c>
      <c r="K299" s="280"/>
    </row>
    <row r="300" spans="3:13" ht="47.85" customHeight="1" thickTop="1">
      <c r="C300" s="289" t="s">
        <v>1893</v>
      </c>
      <c r="D300" s="1872" t="s">
        <v>1894</v>
      </c>
      <c r="E300" s="1872"/>
      <c r="F300" s="1872"/>
      <c r="G300" s="1872"/>
      <c r="H300" s="1872"/>
      <c r="I300" s="1872"/>
      <c r="J300" s="1872"/>
      <c r="K300" s="280"/>
    </row>
    <row r="301" spans="3:13">
      <c r="C301" s="289"/>
      <c r="D301" s="297" t="s">
        <v>1895</v>
      </c>
      <c r="E301" s="297"/>
      <c r="F301" s="297"/>
      <c r="G301" s="297"/>
      <c r="H301" s="1145"/>
      <c r="I301" s="1145"/>
      <c r="J301" s="139"/>
      <c r="K301" s="280"/>
    </row>
    <row r="302" spans="3:13">
      <c r="C302" s="289"/>
      <c r="D302" s="297"/>
      <c r="E302" s="297"/>
      <c r="F302" s="297"/>
      <c r="G302" s="297"/>
      <c r="H302" s="1145"/>
      <c r="I302" s="1145"/>
      <c r="J302" s="139"/>
      <c r="K302" s="280"/>
    </row>
    <row r="303" spans="3:13">
      <c r="C303" s="289" t="s">
        <v>1900</v>
      </c>
      <c r="D303" s="138" t="s">
        <v>1903</v>
      </c>
      <c r="E303" s="297"/>
      <c r="F303" s="297"/>
      <c r="G303" s="297"/>
      <c r="H303" s="1145"/>
      <c r="I303" s="1145"/>
      <c r="J303" s="139"/>
      <c r="K303" s="280"/>
    </row>
    <row r="304" spans="3:13" ht="14.4" thickBot="1">
      <c r="C304" s="48" t="s">
        <v>1904</v>
      </c>
      <c r="D304" s="119" t="s">
        <v>1905</v>
      </c>
      <c r="E304" s="119"/>
      <c r="F304" s="965"/>
      <c r="G304" s="965"/>
      <c r="H304" s="966"/>
      <c r="I304" s="966"/>
      <c r="J304" s="967"/>
      <c r="K304" s="120">
        <f>ROUNDDOWN(J316,-2)</f>
        <v>11800</v>
      </c>
      <c r="L304" s="939" t="s">
        <v>5296</v>
      </c>
      <c r="M304" s="940" t="s">
        <v>5296</v>
      </c>
    </row>
    <row r="305" spans="3:13" ht="28.2" thickTop="1">
      <c r="C305" s="51" t="s">
        <v>1195</v>
      </c>
      <c r="D305" s="52" t="s">
        <v>1196</v>
      </c>
      <c r="E305" s="52" t="s">
        <v>1906</v>
      </c>
      <c r="F305" s="52" t="s">
        <v>1197</v>
      </c>
      <c r="G305" s="52" t="s">
        <v>1198</v>
      </c>
      <c r="H305" s="947" t="s">
        <v>1199</v>
      </c>
      <c r="I305" s="948"/>
      <c r="J305" s="942" t="s">
        <v>1200</v>
      </c>
      <c r="K305" s="289"/>
    </row>
    <row r="306" spans="3:13" ht="19.2" customHeight="1">
      <c r="C306" s="290" t="s">
        <v>1201</v>
      </c>
      <c r="D306" s="182" t="s">
        <v>1202</v>
      </c>
      <c r="E306" s="182"/>
      <c r="F306" s="70"/>
      <c r="G306" s="70"/>
      <c r="H306" s="1128"/>
      <c r="I306" s="1129"/>
      <c r="J306" s="105"/>
      <c r="K306" s="280"/>
    </row>
    <row r="307" spans="3:13" ht="19.2" customHeight="1">
      <c r="C307" s="281">
        <v>1</v>
      </c>
      <c r="D307" s="182" t="s">
        <v>5</v>
      </c>
      <c r="E307" s="176" t="s">
        <v>1774</v>
      </c>
      <c r="F307" s="176" t="s">
        <v>6</v>
      </c>
      <c r="G307" s="282">
        <v>0.1</v>
      </c>
      <c r="H307" s="283">
        <f>VLOOKUP(D307,upahbahan,3,FALSE)</f>
        <v>100000</v>
      </c>
      <c r="I307" s="872"/>
      <c r="J307" s="284">
        <f>G307*H307</f>
        <v>10000</v>
      </c>
      <c r="K307" s="280"/>
    </row>
    <row r="308" spans="3:13" ht="19.2" customHeight="1">
      <c r="C308" s="281">
        <v>2</v>
      </c>
      <c r="D308" s="182" t="s">
        <v>19</v>
      </c>
      <c r="E308" s="176" t="s">
        <v>1777</v>
      </c>
      <c r="F308" s="176" t="s">
        <v>6</v>
      </c>
      <c r="G308" s="282">
        <v>5.0000000000000001E-3</v>
      </c>
      <c r="H308" s="283">
        <f>VLOOKUP(D308,upahbahan,3,FALSE)</f>
        <v>160000</v>
      </c>
      <c r="I308" s="872"/>
      <c r="J308" s="284">
        <f>G308*H308</f>
        <v>800</v>
      </c>
      <c r="K308" s="280"/>
    </row>
    <row r="309" spans="3:13" ht="19.2" customHeight="1">
      <c r="C309" s="66" t="s">
        <v>1208</v>
      </c>
      <c r="D309" s="263"/>
      <c r="E309" s="263"/>
      <c r="F309" s="263"/>
      <c r="G309" s="263"/>
      <c r="H309" s="953"/>
      <c r="I309" s="954"/>
      <c r="J309" s="284">
        <f>SUM(J307:J308)</f>
        <v>10800</v>
      </c>
      <c r="K309" s="280"/>
    </row>
    <row r="310" spans="3:13" ht="19.2" customHeight="1">
      <c r="C310" s="1152" t="s">
        <v>1209</v>
      </c>
      <c r="D310" s="182" t="s">
        <v>1210</v>
      </c>
      <c r="E310" s="182"/>
      <c r="F310" s="70"/>
      <c r="G310" s="70"/>
      <c r="H310" s="955"/>
      <c r="I310" s="956"/>
      <c r="J310" s="105"/>
      <c r="K310" s="280"/>
    </row>
    <row r="311" spans="3:13" ht="19.2" customHeight="1">
      <c r="C311" s="66" t="s">
        <v>1214</v>
      </c>
      <c r="D311" s="450"/>
      <c r="E311" s="67"/>
      <c r="F311" s="263"/>
      <c r="G311" s="263"/>
      <c r="H311" s="953"/>
      <c r="I311" s="954"/>
      <c r="J311" s="105"/>
      <c r="K311" s="280"/>
    </row>
    <row r="312" spans="3:13" ht="19.2" customHeight="1">
      <c r="C312" s="290" t="s">
        <v>1215</v>
      </c>
      <c r="D312" s="182" t="s">
        <v>1216</v>
      </c>
      <c r="E312" s="182"/>
      <c r="F312" s="70"/>
      <c r="G312" s="70"/>
      <c r="H312" s="955"/>
      <c r="I312" s="956"/>
      <c r="J312" s="105"/>
      <c r="K312" s="280"/>
    </row>
    <row r="313" spans="3:13" ht="19.2" customHeight="1">
      <c r="C313" s="66" t="s">
        <v>1217</v>
      </c>
      <c r="D313" s="263"/>
      <c r="E313" s="263"/>
      <c r="F313" s="263"/>
      <c r="G313" s="263"/>
      <c r="H313" s="953"/>
      <c r="I313" s="954"/>
      <c r="J313" s="1113">
        <v>0</v>
      </c>
      <c r="K313" s="280"/>
    </row>
    <row r="314" spans="3:13" ht="19.2" customHeight="1">
      <c r="C314" s="293" t="s">
        <v>1218</v>
      </c>
      <c r="D314" s="294" t="s">
        <v>1219</v>
      </c>
      <c r="E314" s="295"/>
      <c r="F314" s="295"/>
      <c r="G314" s="295"/>
      <c r="H314" s="1114"/>
      <c r="I314" s="1115"/>
      <c r="J314" s="284">
        <f>J309+J311+J313</f>
        <v>10800</v>
      </c>
      <c r="K314" s="280"/>
    </row>
    <row r="315" spans="3:13" ht="19.2" customHeight="1">
      <c r="C315" s="293" t="s">
        <v>1220</v>
      </c>
      <c r="D315" s="294" t="s">
        <v>1249</v>
      </c>
      <c r="E315" s="295"/>
      <c r="F315" s="295"/>
      <c r="G315" s="296"/>
      <c r="H315" s="1108">
        <f>$Q$8</f>
        <v>0.1</v>
      </c>
      <c r="I315" s="1109"/>
      <c r="J315" s="284">
        <f>J314*10%</f>
        <v>1080</v>
      </c>
      <c r="K315" s="280"/>
    </row>
    <row r="316" spans="3:13" ht="19.2" customHeight="1" thickBot="1">
      <c r="C316" s="299" t="s">
        <v>1221</v>
      </c>
      <c r="D316" s="300" t="s">
        <v>1222</v>
      </c>
      <c r="E316" s="301"/>
      <c r="F316" s="301"/>
      <c r="G316" s="301"/>
      <c r="H316" s="1117"/>
      <c r="I316" s="1118"/>
      <c r="J316" s="303">
        <f>SUM(J314:J315)</f>
        <v>11880</v>
      </c>
      <c r="K316" s="280"/>
    </row>
    <row r="317" spans="3:13" ht="14.4" thickTop="1">
      <c r="C317" s="304"/>
      <c r="D317" s="304"/>
      <c r="E317" s="304"/>
      <c r="F317" s="304"/>
      <c r="G317" s="304"/>
      <c r="H317" s="1153"/>
      <c r="I317" s="1153"/>
      <c r="J317" s="305"/>
      <c r="K317" s="280"/>
    </row>
    <row r="318" spans="3:13" ht="14.4" thickBot="1">
      <c r="C318" s="48" t="s">
        <v>1907</v>
      </c>
      <c r="D318" s="119" t="s">
        <v>1908</v>
      </c>
      <c r="E318" s="119"/>
      <c r="F318" s="965"/>
      <c r="G318" s="965"/>
      <c r="H318" s="966"/>
      <c r="I318" s="966"/>
      <c r="J318" s="967"/>
      <c r="K318" s="120">
        <f>ROUNDDOWN(J330,-2)</f>
        <v>3800</v>
      </c>
      <c r="L318" s="939" t="s">
        <v>5296</v>
      </c>
      <c r="M318" s="940" t="s">
        <v>5296</v>
      </c>
    </row>
    <row r="319" spans="3:13" ht="28.2" thickTop="1">
      <c r="C319" s="51" t="s">
        <v>1195</v>
      </c>
      <c r="D319" s="52" t="s">
        <v>1196</v>
      </c>
      <c r="E319" s="52"/>
      <c r="F319" s="52" t="s">
        <v>1197</v>
      </c>
      <c r="G319" s="52" t="s">
        <v>1198</v>
      </c>
      <c r="H319" s="947" t="s">
        <v>1199</v>
      </c>
      <c r="I319" s="948"/>
      <c r="J319" s="942" t="s">
        <v>1200</v>
      </c>
      <c r="K319" s="289"/>
    </row>
    <row r="320" spans="3:13" ht="19.2" customHeight="1">
      <c r="C320" s="290" t="s">
        <v>1201</v>
      </c>
      <c r="D320" s="182" t="s">
        <v>1202</v>
      </c>
      <c r="E320" s="182"/>
      <c r="F320" s="70"/>
      <c r="G320" s="70"/>
      <c r="H320" s="955"/>
      <c r="I320" s="956"/>
      <c r="J320" s="105"/>
      <c r="K320" s="280"/>
    </row>
    <row r="321" spans="3:13" ht="19.2" customHeight="1">
      <c r="C321" s="281">
        <v>1</v>
      </c>
      <c r="D321" s="182" t="s">
        <v>5</v>
      </c>
      <c r="E321" s="176" t="s">
        <v>1774</v>
      </c>
      <c r="F321" s="176" t="s">
        <v>6</v>
      </c>
      <c r="G321" s="282">
        <v>0.03</v>
      </c>
      <c r="H321" s="283">
        <f>VLOOKUP(D321,upahbahan,3,FALSE)</f>
        <v>100000</v>
      </c>
      <c r="I321" s="872"/>
      <c r="J321" s="284">
        <f>G321*H321</f>
        <v>3000</v>
      </c>
      <c r="K321" s="280"/>
    </row>
    <row r="322" spans="3:13" ht="19.2" customHeight="1">
      <c r="C322" s="281">
        <v>2</v>
      </c>
      <c r="D322" s="182" t="s">
        <v>19</v>
      </c>
      <c r="E322" s="176" t="s">
        <v>1777</v>
      </c>
      <c r="F322" s="176" t="s">
        <v>6</v>
      </c>
      <c r="G322" s="282">
        <v>3.0000000000000001E-3</v>
      </c>
      <c r="H322" s="283">
        <f>VLOOKUP(D322,upahbahan,3,FALSE)</f>
        <v>160000</v>
      </c>
      <c r="I322" s="872"/>
      <c r="J322" s="284">
        <f>G322*H322</f>
        <v>480</v>
      </c>
      <c r="K322" s="280"/>
    </row>
    <row r="323" spans="3:13" ht="19.2" customHeight="1">
      <c r="C323" s="66" t="s">
        <v>1208</v>
      </c>
      <c r="D323" s="67"/>
      <c r="E323" s="67"/>
      <c r="F323" s="67"/>
      <c r="G323" s="67"/>
      <c r="H323" s="957"/>
      <c r="I323" s="958"/>
      <c r="J323" s="284">
        <f>SUM(J321:J322)</f>
        <v>3480</v>
      </c>
      <c r="K323" s="280"/>
    </row>
    <row r="324" spans="3:13" ht="19.2" customHeight="1">
      <c r="C324" s="321" t="s">
        <v>1209</v>
      </c>
      <c r="D324" s="182" t="s">
        <v>1210</v>
      </c>
      <c r="E324" s="182"/>
      <c r="F324" s="70"/>
      <c r="G324" s="70"/>
      <c r="H324" s="955"/>
      <c r="I324" s="956"/>
      <c r="J324" s="105"/>
      <c r="K324" s="280"/>
    </row>
    <row r="325" spans="3:13" ht="19.2" customHeight="1">
      <c r="C325" s="66" t="s">
        <v>1214</v>
      </c>
      <c r="D325" s="67"/>
      <c r="E325" s="67"/>
      <c r="F325" s="67"/>
      <c r="G325" s="67"/>
      <c r="H325" s="957"/>
      <c r="I325" s="958"/>
      <c r="J325" s="1113">
        <v>0</v>
      </c>
      <c r="K325" s="280"/>
    </row>
    <row r="326" spans="3:13" ht="19.2" customHeight="1">
      <c r="C326" s="290" t="s">
        <v>1215</v>
      </c>
      <c r="D326" s="182" t="s">
        <v>1216</v>
      </c>
      <c r="E326" s="182"/>
      <c r="F326" s="70"/>
      <c r="G326" s="70"/>
      <c r="H326" s="955"/>
      <c r="I326" s="956"/>
      <c r="J326" s="105"/>
      <c r="K326" s="280"/>
    </row>
    <row r="327" spans="3:13" ht="19.2" customHeight="1">
      <c r="C327" s="66" t="s">
        <v>1217</v>
      </c>
      <c r="D327" s="67"/>
      <c r="E327" s="67"/>
      <c r="F327" s="67"/>
      <c r="G327" s="67"/>
      <c r="H327" s="957"/>
      <c r="I327" s="958"/>
      <c r="J327" s="1113">
        <v>0</v>
      </c>
      <c r="K327" s="280"/>
    </row>
    <row r="328" spans="3:13" ht="19.2" customHeight="1">
      <c r="C328" s="293" t="s">
        <v>1218</v>
      </c>
      <c r="D328" s="294" t="s">
        <v>1219</v>
      </c>
      <c r="E328" s="295"/>
      <c r="F328" s="295"/>
      <c r="G328" s="295"/>
      <c r="H328" s="1114"/>
      <c r="I328" s="1115"/>
      <c r="J328" s="284">
        <f>J323+J325+J327</f>
        <v>3480</v>
      </c>
      <c r="K328" s="280"/>
    </row>
    <row r="329" spans="3:13" ht="19.2" customHeight="1">
      <c r="C329" s="293" t="s">
        <v>1220</v>
      </c>
      <c r="D329" s="294" t="s">
        <v>1249</v>
      </c>
      <c r="E329" s="295"/>
      <c r="F329" s="295"/>
      <c r="G329" s="296"/>
      <c r="H329" s="298">
        <f>$Q$8</f>
        <v>0.1</v>
      </c>
      <c r="I329" s="1116"/>
      <c r="J329" s="284">
        <f>J328*H329</f>
        <v>348</v>
      </c>
      <c r="K329" s="280"/>
    </row>
    <row r="330" spans="3:13" ht="19.2" customHeight="1" thickBot="1">
      <c r="C330" s="299" t="s">
        <v>1221</v>
      </c>
      <c r="D330" s="300" t="s">
        <v>1222</v>
      </c>
      <c r="E330" s="301"/>
      <c r="F330" s="301"/>
      <c r="G330" s="301"/>
      <c r="H330" s="1117"/>
      <c r="I330" s="1118"/>
      <c r="J330" s="303">
        <f>SUM(J328:J329)</f>
        <v>3828</v>
      </c>
      <c r="K330" s="280"/>
    </row>
    <row r="331" spans="3:13" ht="14.4" thickTop="1">
      <c r="C331" s="304"/>
      <c r="D331" s="304"/>
      <c r="E331" s="304"/>
      <c r="F331" s="304"/>
      <c r="G331" s="304"/>
      <c r="H331" s="1153"/>
      <c r="I331" s="1153"/>
      <c r="J331" s="305"/>
      <c r="K331" s="280"/>
    </row>
    <row r="332" spans="3:13" ht="14.4" thickBot="1">
      <c r="C332" s="47" t="s">
        <v>1909</v>
      </c>
      <c r="D332" s="48" t="s">
        <v>1236</v>
      </c>
      <c r="E332" s="119"/>
      <c r="F332" s="965"/>
      <c r="G332" s="965"/>
      <c r="H332" s="966"/>
      <c r="I332" s="966"/>
      <c r="J332" s="967"/>
      <c r="K332" s="120">
        <f>ROUNDDOWN(J344,-2)</f>
        <v>6300</v>
      </c>
      <c r="L332" s="939" t="s">
        <v>5296</v>
      </c>
      <c r="M332" s="940" t="s">
        <v>5296</v>
      </c>
    </row>
    <row r="333" spans="3:13" ht="28.2" thickTop="1">
      <c r="C333" s="51" t="s">
        <v>1195</v>
      </c>
      <c r="D333" s="52" t="s">
        <v>1196</v>
      </c>
      <c r="E333" s="52"/>
      <c r="F333" s="52" t="s">
        <v>1197</v>
      </c>
      <c r="G333" s="52" t="s">
        <v>1198</v>
      </c>
      <c r="H333" s="947" t="s">
        <v>1199</v>
      </c>
      <c r="I333" s="948"/>
      <c r="J333" s="942" t="s">
        <v>1200</v>
      </c>
      <c r="K333" s="289"/>
    </row>
    <row r="334" spans="3:13" ht="19.2" customHeight="1">
      <c r="C334" s="290" t="s">
        <v>1201</v>
      </c>
      <c r="D334" s="182" t="s">
        <v>1202</v>
      </c>
      <c r="E334" s="182"/>
      <c r="F334" s="70"/>
      <c r="G334" s="70"/>
      <c r="H334" s="1128"/>
      <c r="I334" s="1129"/>
      <c r="J334" s="105"/>
      <c r="K334" s="280"/>
    </row>
    <row r="335" spans="3:13" ht="19.2" customHeight="1">
      <c r="C335" s="281">
        <v>1</v>
      </c>
      <c r="D335" s="182" t="s">
        <v>5</v>
      </c>
      <c r="E335" s="176" t="s">
        <v>1774</v>
      </c>
      <c r="F335" s="176" t="s">
        <v>6</v>
      </c>
      <c r="G335" s="282">
        <v>0.05</v>
      </c>
      <c r="H335" s="283">
        <f>VLOOKUP(D335,upahbahan,3,FALSE)</f>
        <v>100000</v>
      </c>
      <c r="I335" s="872"/>
      <c r="J335" s="284">
        <f>G335*H335</f>
        <v>5000</v>
      </c>
      <c r="K335" s="280"/>
    </row>
    <row r="336" spans="3:13" ht="19.2" customHeight="1">
      <c r="C336" s="281">
        <v>2</v>
      </c>
      <c r="D336" s="182" t="s">
        <v>19</v>
      </c>
      <c r="E336" s="176" t="s">
        <v>1777</v>
      </c>
      <c r="F336" s="176" t="s">
        <v>6</v>
      </c>
      <c r="G336" s="282">
        <v>5.0000000000000001E-3</v>
      </c>
      <c r="H336" s="283">
        <f>VLOOKUP(D336,upahbahan,3,FALSE)</f>
        <v>160000</v>
      </c>
      <c r="I336" s="872"/>
      <c r="J336" s="284">
        <f>G336*H336</f>
        <v>800</v>
      </c>
      <c r="K336" s="280"/>
    </row>
    <row r="337" spans="3:13" ht="19.2" customHeight="1">
      <c r="C337" s="66" t="s">
        <v>1208</v>
      </c>
      <c r="D337" s="67"/>
      <c r="E337" s="67"/>
      <c r="F337" s="67"/>
      <c r="G337" s="67"/>
      <c r="H337" s="957"/>
      <c r="I337" s="958"/>
      <c r="J337" s="284">
        <f>SUM(J335:J336)</f>
        <v>5800</v>
      </c>
      <c r="K337" s="280"/>
    </row>
    <row r="338" spans="3:13" ht="19.2" customHeight="1">
      <c r="C338" s="321" t="s">
        <v>1209</v>
      </c>
      <c r="D338" s="182" t="s">
        <v>1210</v>
      </c>
      <c r="E338" s="182"/>
      <c r="F338" s="70"/>
      <c r="G338" s="70"/>
      <c r="H338" s="955"/>
      <c r="I338" s="956"/>
      <c r="J338" s="105"/>
      <c r="K338" s="280"/>
    </row>
    <row r="339" spans="3:13" ht="19.2" customHeight="1">
      <c r="C339" s="66" t="s">
        <v>1214</v>
      </c>
      <c r="D339" s="67"/>
      <c r="E339" s="67"/>
      <c r="F339" s="67"/>
      <c r="G339" s="67"/>
      <c r="H339" s="957"/>
      <c r="I339" s="958"/>
      <c r="J339" s="1113">
        <v>0</v>
      </c>
      <c r="K339" s="280"/>
    </row>
    <row r="340" spans="3:13" ht="19.2" customHeight="1">
      <c r="C340" s="290" t="s">
        <v>1215</v>
      </c>
      <c r="D340" s="182" t="s">
        <v>1216</v>
      </c>
      <c r="E340" s="182"/>
      <c r="F340" s="70"/>
      <c r="G340" s="70"/>
      <c r="H340" s="955"/>
      <c r="I340" s="956"/>
      <c r="J340" s="105"/>
      <c r="K340" s="280"/>
    </row>
    <row r="341" spans="3:13" ht="19.2" customHeight="1">
      <c r="C341" s="66" t="s">
        <v>1217</v>
      </c>
      <c r="D341" s="67"/>
      <c r="E341" s="67"/>
      <c r="F341" s="67"/>
      <c r="G341" s="67"/>
      <c r="H341" s="957"/>
      <c r="I341" s="958"/>
      <c r="J341" s="1113">
        <v>0</v>
      </c>
      <c r="K341" s="280"/>
    </row>
    <row r="342" spans="3:13" ht="19.2" customHeight="1">
      <c r="C342" s="293" t="s">
        <v>1218</v>
      </c>
      <c r="D342" s="294" t="s">
        <v>1219</v>
      </c>
      <c r="E342" s="295"/>
      <c r="F342" s="295"/>
      <c r="G342" s="295"/>
      <c r="H342" s="1114"/>
      <c r="I342" s="1115"/>
      <c r="J342" s="284">
        <f>J337+J339+J341</f>
        <v>5800</v>
      </c>
      <c r="K342" s="280"/>
    </row>
    <row r="343" spans="3:13" ht="19.2" customHeight="1">
      <c r="C343" s="293" t="s">
        <v>1220</v>
      </c>
      <c r="D343" s="294" t="s">
        <v>1249</v>
      </c>
      <c r="E343" s="295"/>
      <c r="F343" s="295"/>
      <c r="G343" s="296"/>
      <c r="H343" s="298">
        <f>$Q$8</f>
        <v>0.1</v>
      </c>
      <c r="I343" s="1116"/>
      <c r="J343" s="284">
        <f>J342*H343</f>
        <v>580</v>
      </c>
      <c r="K343" s="280"/>
    </row>
    <row r="344" spans="3:13" ht="19.2" customHeight="1" thickBot="1">
      <c r="C344" s="299" t="s">
        <v>1221</v>
      </c>
      <c r="D344" s="300" t="s">
        <v>1222</v>
      </c>
      <c r="E344" s="301"/>
      <c r="F344" s="301"/>
      <c r="G344" s="301"/>
      <c r="H344" s="1117"/>
      <c r="I344" s="1118"/>
      <c r="J344" s="303">
        <f>SUM(J342:J343)</f>
        <v>6380</v>
      </c>
      <c r="K344" s="280"/>
    </row>
    <row r="345" spans="3:13" ht="14.4" thickTop="1">
      <c r="C345" s="304"/>
      <c r="D345" s="304"/>
      <c r="E345" s="304"/>
      <c r="F345" s="304"/>
      <c r="G345" s="304"/>
      <c r="H345" s="1153"/>
      <c r="I345" s="1153"/>
      <c r="J345" s="305"/>
      <c r="K345" s="280"/>
    </row>
    <row r="346" spans="3:13" ht="14.4" thickBot="1">
      <c r="C346" s="47" t="s">
        <v>1910</v>
      </c>
      <c r="D346" s="48" t="s">
        <v>1237</v>
      </c>
      <c r="E346" s="119"/>
      <c r="F346" s="965"/>
      <c r="G346" s="965"/>
      <c r="H346" s="966"/>
      <c r="I346" s="966"/>
      <c r="J346" s="967"/>
      <c r="K346" s="120">
        <f>ROUNDDOWN(J359,-2)</f>
        <v>21900</v>
      </c>
      <c r="L346" s="939" t="s">
        <v>5296</v>
      </c>
      <c r="M346" s="940" t="s">
        <v>5296</v>
      </c>
    </row>
    <row r="347" spans="3:13" ht="28.2" thickTop="1">
      <c r="C347" s="51" t="s">
        <v>1195</v>
      </c>
      <c r="D347" s="52" t="s">
        <v>1196</v>
      </c>
      <c r="E347" s="52"/>
      <c r="F347" s="52" t="s">
        <v>1197</v>
      </c>
      <c r="G347" s="52" t="s">
        <v>1198</v>
      </c>
      <c r="H347" s="947" t="s">
        <v>1199</v>
      </c>
      <c r="I347" s="948"/>
      <c r="J347" s="942" t="s">
        <v>1200</v>
      </c>
      <c r="K347" s="289"/>
    </row>
    <row r="348" spans="3:13" ht="19.2" customHeight="1">
      <c r="C348" s="290" t="s">
        <v>1201</v>
      </c>
      <c r="D348" s="182" t="s">
        <v>1202</v>
      </c>
      <c r="E348" s="182"/>
      <c r="F348" s="70"/>
      <c r="G348" s="70"/>
      <c r="H348" s="1128"/>
      <c r="I348" s="1129"/>
      <c r="J348" s="105"/>
      <c r="K348" s="280"/>
    </row>
    <row r="349" spans="3:13" ht="19.2" customHeight="1">
      <c r="C349" s="281">
        <v>1</v>
      </c>
      <c r="D349" s="182" t="s">
        <v>5</v>
      </c>
      <c r="E349" s="176" t="s">
        <v>1774</v>
      </c>
      <c r="F349" s="176" t="s">
        <v>6</v>
      </c>
      <c r="G349" s="282">
        <v>0.08</v>
      </c>
      <c r="H349" s="283">
        <f>VLOOKUP(D349,upahbahan,3,FALSE)</f>
        <v>100000</v>
      </c>
      <c r="I349" s="872"/>
      <c r="J349" s="284">
        <f>G349*H349</f>
        <v>8000</v>
      </c>
      <c r="K349" s="280"/>
    </row>
    <row r="350" spans="3:13" ht="19.2" customHeight="1">
      <c r="C350" s="281">
        <v>2</v>
      </c>
      <c r="D350" s="182" t="s">
        <v>19</v>
      </c>
      <c r="E350" s="176" t="s">
        <v>1777</v>
      </c>
      <c r="F350" s="176" t="s">
        <v>6</v>
      </c>
      <c r="G350" s="282">
        <v>8.0000000000000002E-3</v>
      </c>
      <c r="H350" s="283">
        <f>VLOOKUP(D350,upahbahan,3,FALSE)</f>
        <v>160000</v>
      </c>
      <c r="I350" s="872"/>
      <c r="J350" s="284">
        <f>G350*H350</f>
        <v>1280</v>
      </c>
      <c r="K350" s="280"/>
    </row>
    <row r="351" spans="3:13" ht="19.2" customHeight="1">
      <c r="C351" s="66" t="s">
        <v>1208</v>
      </c>
      <c r="D351" s="67"/>
      <c r="E351" s="67"/>
      <c r="F351" s="67"/>
      <c r="G351" s="67"/>
      <c r="H351" s="957"/>
      <c r="I351" s="958"/>
      <c r="J351" s="284">
        <f>SUM(J349:J350)</f>
        <v>9280</v>
      </c>
      <c r="K351" s="280"/>
    </row>
    <row r="352" spans="3:13" ht="19.2" customHeight="1">
      <c r="C352" s="321" t="s">
        <v>1209</v>
      </c>
      <c r="D352" s="182" t="s">
        <v>1210</v>
      </c>
      <c r="E352" s="182"/>
      <c r="F352" s="70"/>
      <c r="G352" s="70"/>
      <c r="H352" s="955"/>
      <c r="I352" s="956"/>
      <c r="J352" s="105"/>
      <c r="K352" s="280"/>
    </row>
    <row r="353" spans="3:13" ht="19.2" customHeight="1">
      <c r="C353" s="66" t="s">
        <v>1214</v>
      </c>
      <c r="D353" s="67"/>
      <c r="E353" s="67"/>
      <c r="F353" s="67"/>
      <c r="G353" s="67"/>
      <c r="H353" s="957"/>
      <c r="I353" s="958"/>
      <c r="J353" s="1113">
        <v>0</v>
      </c>
      <c r="K353" s="280"/>
    </row>
    <row r="354" spans="3:13" ht="19.2" customHeight="1">
      <c r="C354" s="290" t="s">
        <v>1215</v>
      </c>
      <c r="D354" s="182" t="s">
        <v>1216</v>
      </c>
      <c r="E354" s="182"/>
      <c r="F354" s="70"/>
      <c r="G354" s="70"/>
      <c r="H354" s="955"/>
      <c r="I354" s="956"/>
      <c r="J354" s="105"/>
      <c r="K354" s="280"/>
    </row>
    <row r="355" spans="3:13" ht="19.2" customHeight="1">
      <c r="C355" s="290">
        <v>1</v>
      </c>
      <c r="D355" s="182" t="s">
        <v>1085</v>
      </c>
      <c r="E355" s="182"/>
      <c r="F355" s="124" t="s">
        <v>1080</v>
      </c>
      <c r="G355" s="118">
        <v>3.5700000000000003E-2</v>
      </c>
      <c r="H355" s="283">
        <f>VLOOKUP(D355,upahbahan,3,FALSE)</f>
        <v>300000</v>
      </c>
      <c r="I355" s="872"/>
      <c r="J355" s="284">
        <f>G355*H355</f>
        <v>10710</v>
      </c>
      <c r="K355" s="280"/>
    </row>
    <row r="356" spans="3:13" ht="19.2" customHeight="1">
      <c r="C356" s="66" t="s">
        <v>1217</v>
      </c>
      <c r="D356" s="67"/>
      <c r="E356" s="67"/>
      <c r="F356" s="67"/>
      <c r="G356" s="67"/>
      <c r="H356" s="957"/>
      <c r="I356" s="958"/>
      <c r="J356" s="284">
        <f>SUM(J355)</f>
        <v>10710</v>
      </c>
      <c r="K356" s="280"/>
    </row>
    <row r="357" spans="3:13" ht="19.2" customHeight="1">
      <c r="C357" s="293" t="s">
        <v>1218</v>
      </c>
      <c r="D357" s="294" t="s">
        <v>1219</v>
      </c>
      <c r="E357" s="295"/>
      <c r="F357" s="295"/>
      <c r="G357" s="295"/>
      <c r="H357" s="1114"/>
      <c r="I357" s="1115"/>
      <c r="J357" s="284">
        <f>J351+J353+J356</f>
        <v>19990</v>
      </c>
      <c r="K357" s="280"/>
    </row>
    <row r="358" spans="3:13" ht="19.2" customHeight="1">
      <c r="C358" s="293" t="s">
        <v>1220</v>
      </c>
      <c r="D358" s="294" t="s">
        <v>1249</v>
      </c>
      <c r="E358" s="295"/>
      <c r="F358" s="295"/>
      <c r="G358" s="296"/>
      <c r="H358" s="298">
        <f>$Q$8</f>
        <v>0.1</v>
      </c>
      <c r="I358" s="1116"/>
      <c r="J358" s="284">
        <f>J357*H358</f>
        <v>1999</v>
      </c>
      <c r="K358" s="280"/>
    </row>
    <row r="359" spans="3:13" ht="19.2" customHeight="1" thickBot="1">
      <c r="C359" s="299" t="s">
        <v>1221</v>
      </c>
      <c r="D359" s="300" t="s">
        <v>1222</v>
      </c>
      <c r="E359" s="301"/>
      <c r="F359" s="301"/>
      <c r="G359" s="301"/>
      <c r="H359" s="1117"/>
      <c r="I359" s="1118"/>
      <c r="J359" s="303">
        <f>SUM(J357:J358)</f>
        <v>21989</v>
      </c>
      <c r="K359" s="280"/>
    </row>
    <row r="360" spans="3:13" ht="14.4" thickTop="1">
      <c r="C360" s="304"/>
      <c r="D360" s="304"/>
      <c r="E360" s="304"/>
      <c r="F360" s="304"/>
      <c r="G360" s="304"/>
      <c r="H360" s="1153"/>
      <c r="I360" s="1153"/>
      <c r="J360" s="305"/>
      <c r="K360" s="280"/>
    </row>
    <row r="361" spans="3:13" ht="14.4" thickBot="1">
      <c r="C361" s="47" t="s">
        <v>1911</v>
      </c>
      <c r="D361" s="48" t="s">
        <v>1238</v>
      </c>
      <c r="E361" s="119"/>
      <c r="F361" s="965"/>
      <c r="G361" s="965"/>
      <c r="H361" s="966"/>
      <c r="I361" s="966"/>
      <c r="J361" s="967"/>
      <c r="K361" s="120">
        <f>ROUNDDOWN(J374,-2)</f>
        <v>22100</v>
      </c>
      <c r="L361" s="939" t="s">
        <v>5296</v>
      </c>
      <c r="M361" s="940" t="s">
        <v>5296</v>
      </c>
    </row>
    <row r="362" spans="3:13" ht="28.2" thickTop="1">
      <c r="C362" s="51" t="s">
        <v>1195</v>
      </c>
      <c r="D362" s="52" t="s">
        <v>1196</v>
      </c>
      <c r="E362" s="52"/>
      <c r="F362" s="52" t="s">
        <v>1197</v>
      </c>
      <c r="G362" s="52" t="s">
        <v>1198</v>
      </c>
      <c r="H362" s="947" t="s">
        <v>1199</v>
      </c>
      <c r="I362" s="948"/>
      <c r="J362" s="942" t="s">
        <v>1200</v>
      </c>
      <c r="K362" s="342"/>
    </row>
    <row r="363" spans="3:13" ht="19.2" customHeight="1">
      <c r="C363" s="290" t="s">
        <v>1201</v>
      </c>
      <c r="D363" s="182" t="s">
        <v>1202</v>
      </c>
      <c r="E363" s="182"/>
      <c r="F363" s="70"/>
      <c r="G363" s="70"/>
      <c r="H363" s="1128"/>
      <c r="I363" s="1129"/>
      <c r="J363" s="105"/>
      <c r="K363" s="280"/>
    </row>
    <row r="364" spans="3:13" ht="19.2" customHeight="1">
      <c r="C364" s="281">
        <v>1</v>
      </c>
      <c r="D364" s="182" t="s">
        <v>5</v>
      </c>
      <c r="E364" s="176" t="s">
        <v>1774</v>
      </c>
      <c r="F364" s="176" t="s">
        <v>6</v>
      </c>
      <c r="G364" s="282">
        <v>1.2E-2</v>
      </c>
      <c r="H364" s="283">
        <f>VLOOKUP(D364,upahbahan,3,FALSE)</f>
        <v>100000</v>
      </c>
      <c r="I364" s="872"/>
      <c r="J364" s="284">
        <f>G364*H364</f>
        <v>1200</v>
      </c>
      <c r="K364" s="280"/>
    </row>
    <row r="365" spans="3:13" ht="19.2" customHeight="1">
      <c r="C365" s="281">
        <v>2</v>
      </c>
      <c r="D365" s="182" t="s">
        <v>19</v>
      </c>
      <c r="E365" s="176" t="s">
        <v>1777</v>
      </c>
      <c r="F365" s="176" t="s">
        <v>6</v>
      </c>
      <c r="G365" s="315">
        <v>1.1999999999999999E-3</v>
      </c>
      <c r="H365" s="283">
        <f>VLOOKUP(D365,upahbahan,3,FALSE)</f>
        <v>160000</v>
      </c>
      <c r="I365" s="872"/>
      <c r="J365" s="284">
        <f>G365*H365</f>
        <v>191.99999999999997</v>
      </c>
      <c r="K365" s="280"/>
    </row>
    <row r="366" spans="3:13" ht="19.2" customHeight="1">
      <c r="C366" s="66" t="s">
        <v>1208</v>
      </c>
      <c r="D366" s="67"/>
      <c r="E366" s="67"/>
      <c r="F366" s="67"/>
      <c r="G366" s="67"/>
      <c r="H366" s="957"/>
      <c r="I366" s="958"/>
      <c r="J366" s="284">
        <f>SUM(J364:J365)</f>
        <v>1392</v>
      </c>
      <c r="K366" s="280"/>
    </row>
    <row r="367" spans="3:13" ht="19.2" customHeight="1">
      <c r="C367" s="321" t="s">
        <v>1209</v>
      </c>
      <c r="D367" s="182" t="s">
        <v>1210</v>
      </c>
      <c r="E367" s="182"/>
      <c r="F367" s="70"/>
      <c r="G367" s="70"/>
      <c r="H367" s="955"/>
      <c r="I367" s="956"/>
      <c r="J367" s="105"/>
      <c r="K367" s="280"/>
    </row>
    <row r="368" spans="3:13" ht="19.2" customHeight="1">
      <c r="C368" s="66" t="s">
        <v>1214</v>
      </c>
      <c r="D368" s="67"/>
      <c r="E368" s="67"/>
      <c r="F368" s="67"/>
      <c r="G368" s="67"/>
      <c r="H368" s="957"/>
      <c r="I368" s="958"/>
      <c r="J368" s="1113">
        <v>0</v>
      </c>
      <c r="K368" s="280"/>
    </row>
    <row r="369" spans="3:13" ht="19.2" customHeight="1">
      <c r="C369" s="290" t="s">
        <v>1215</v>
      </c>
      <c r="D369" s="182" t="s">
        <v>1216</v>
      </c>
      <c r="E369" s="182"/>
      <c r="F369" s="70"/>
      <c r="G369" s="70"/>
      <c r="H369" s="955"/>
      <c r="I369" s="956"/>
      <c r="J369" s="105"/>
      <c r="K369" s="280"/>
    </row>
    <row r="370" spans="3:13" ht="19.2" customHeight="1">
      <c r="C370" s="290">
        <v>1</v>
      </c>
      <c r="D370" s="182" t="s">
        <v>1085</v>
      </c>
      <c r="E370" s="182"/>
      <c r="F370" s="124" t="s">
        <v>1080</v>
      </c>
      <c r="G370" s="118">
        <v>6.25E-2</v>
      </c>
      <c r="H370" s="283">
        <f>VLOOKUP(D370,upahbahan,3,FALSE)</f>
        <v>300000</v>
      </c>
      <c r="I370" s="872"/>
      <c r="J370" s="284">
        <f>G370*H370</f>
        <v>18750</v>
      </c>
      <c r="K370" s="280"/>
    </row>
    <row r="371" spans="3:13" ht="19.2" customHeight="1">
      <c r="C371" s="66" t="s">
        <v>1217</v>
      </c>
      <c r="D371" s="67"/>
      <c r="E371" s="67"/>
      <c r="F371" s="67"/>
      <c r="G371" s="67"/>
      <c r="H371" s="957"/>
      <c r="I371" s="958"/>
      <c r="J371" s="284">
        <f>SUM(J370)</f>
        <v>18750</v>
      </c>
      <c r="K371" s="280"/>
    </row>
    <row r="372" spans="3:13" ht="19.2" customHeight="1">
      <c r="C372" s="293" t="s">
        <v>1218</v>
      </c>
      <c r="D372" s="294" t="s">
        <v>1219</v>
      </c>
      <c r="E372" s="295"/>
      <c r="F372" s="295"/>
      <c r="G372" s="295"/>
      <c r="H372" s="1114"/>
      <c r="I372" s="1115"/>
      <c r="J372" s="284">
        <f>J366+J368+J371</f>
        <v>20142</v>
      </c>
      <c r="K372" s="280"/>
    </row>
    <row r="373" spans="3:13" ht="19.2" customHeight="1">
      <c r="C373" s="293" t="s">
        <v>1220</v>
      </c>
      <c r="D373" s="294" t="s">
        <v>1249</v>
      </c>
      <c r="E373" s="295"/>
      <c r="F373" s="295"/>
      <c r="G373" s="296"/>
      <c r="H373" s="298">
        <f>$Q$8</f>
        <v>0.1</v>
      </c>
      <c r="I373" s="1116"/>
      <c r="J373" s="284">
        <f>J372*H373</f>
        <v>2014.2</v>
      </c>
      <c r="K373" s="280"/>
    </row>
    <row r="374" spans="3:13" ht="19.2" customHeight="1" thickBot="1">
      <c r="C374" s="299" t="s">
        <v>1221</v>
      </c>
      <c r="D374" s="300" t="s">
        <v>1222</v>
      </c>
      <c r="E374" s="301"/>
      <c r="F374" s="301"/>
      <c r="G374" s="301"/>
      <c r="H374" s="1117"/>
      <c r="I374" s="1118"/>
      <c r="J374" s="303">
        <f>SUM(J372:J373)</f>
        <v>22156.2</v>
      </c>
      <c r="K374" s="280"/>
    </row>
    <row r="375" spans="3:13" ht="14.4" thickTop="1">
      <c r="C375" s="304"/>
      <c r="D375" s="304"/>
      <c r="E375" s="304"/>
      <c r="F375" s="304"/>
      <c r="G375" s="304"/>
      <c r="H375" s="304"/>
      <c r="I375" s="304"/>
      <c r="J375" s="305"/>
      <c r="K375" s="280"/>
    </row>
    <row r="376" spans="3:13" ht="27" customHeight="1" thickBot="1">
      <c r="C376" s="968" t="s">
        <v>1912</v>
      </c>
      <c r="D376" s="123" t="s">
        <v>1239</v>
      </c>
      <c r="E376" s="968"/>
      <c r="F376" s="968"/>
      <c r="G376" s="968"/>
      <c r="H376" s="968"/>
      <c r="I376" s="968"/>
      <c r="J376" s="968"/>
      <c r="K376" s="120">
        <f>ROUNDDOWN(J389,-2)</f>
        <v>48000</v>
      </c>
      <c r="L376" s="939" t="s">
        <v>5296</v>
      </c>
      <c r="M376" s="940" t="s">
        <v>5296</v>
      </c>
    </row>
    <row r="377" spans="3:13" ht="28.2" thickTop="1">
      <c r="C377" s="51" t="s">
        <v>1195</v>
      </c>
      <c r="D377" s="52" t="s">
        <v>1196</v>
      </c>
      <c r="E377" s="52"/>
      <c r="F377" s="52" t="s">
        <v>1197</v>
      </c>
      <c r="G377" s="52" t="s">
        <v>1198</v>
      </c>
      <c r="H377" s="52" t="s">
        <v>1199</v>
      </c>
      <c r="I377" s="582"/>
      <c r="J377" s="942" t="s">
        <v>1200</v>
      </c>
      <c r="K377" s="289"/>
    </row>
    <row r="378" spans="3:13" ht="19.2" customHeight="1">
      <c r="C378" s="290" t="s">
        <v>1201</v>
      </c>
      <c r="D378" s="182" t="s">
        <v>1202</v>
      </c>
      <c r="E378" s="182"/>
      <c r="F378" s="70"/>
      <c r="G378" s="70"/>
      <c r="H378" s="70"/>
      <c r="I378" s="977"/>
      <c r="J378" s="105"/>
      <c r="K378" s="280"/>
    </row>
    <row r="379" spans="3:13" ht="19.2" customHeight="1">
      <c r="C379" s="281">
        <v>1</v>
      </c>
      <c r="D379" s="182" t="s">
        <v>5</v>
      </c>
      <c r="E379" s="176" t="s">
        <v>1774</v>
      </c>
      <c r="F379" s="176" t="s">
        <v>6</v>
      </c>
      <c r="G379" s="282">
        <v>0.17</v>
      </c>
      <c r="H379" s="283">
        <f>VLOOKUP(D379,upahbahan,3,FALSE)</f>
        <v>100000</v>
      </c>
      <c r="I379" s="872"/>
      <c r="J379" s="284">
        <f>G379*H379</f>
        <v>17000</v>
      </c>
      <c r="K379" s="280"/>
    </row>
    <row r="380" spans="3:13" ht="19.2" customHeight="1">
      <c r="C380" s="281">
        <v>2</v>
      </c>
      <c r="D380" s="182" t="s">
        <v>19</v>
      </c>
      <c r="E380" s="176" t="s">
        <v>1777</v>
      </c>
      <c r="F380" s="176" t="s">
        <v>6</v>
      </c>
      <c r="G380" s="282">
        <v>1.7000000000000001E-2</v>
      </c>
      <c r="H380" s="283">
        <f>VLOOKUP(D380,upahbahan,3,FALSE)</f>
        <v>160000</v>
      </c>
      <c r="I380" s="872"/>
      <c r="J380" s="284">
        <f>G380*H380</f>
        <v>2720</v>
      </c>
      <c r="K380" s="280"/>
    </row>
    <row r="381" spans="3:13" ht="19.2" customHeight="1">
      <c r="C381" s="66" t="s">
        <v>1208</v>
      </c>
      <c r="D381" s="67"/>
      <c r="E381" s="67"/>
      <c r="F381" s="67"/>
      <c r="G381" s="67"/>
      <c r="H381" s="957"/>
      <c r="I381" s="958"/>
      <c r="J381" s="284">
        <f>SUM(J379:J380)</f>
        <v>19720</v>
      </c>
      <c r="K381" s="280"/>
    </row>
    <row r="382" spans="3:13" ht="19.2" customHeight="1">
      <c r="C382" s="321" t="s">
        <v>1209</v>
      </c>
      <c r="D382" s="182" t="s">
        <v>1210</v>
      </c>
      <c r="E382" s="182"/>
      <c r="F382" s="70"/>
      <c r="G382" s="70"/>
      <c r="H382" s="955"/>
      <c r="I382" s="956"/>
      <c r="J382" s="105"/>
      <c r="K382" s="280"/>
    </row>
    <row r="383" spans="3:13" ht="19.2" customHeight="1">
      <c r="C383" s="66" t="s">
        <v>1214</v>
      </c>
      <c r="D383" s="67"/>
      <c r="E383" s="67"/>
      <c r="F383" s="67"/>
      <c r="G383" s="67"/>
      <c r="H383" s="957"/>
      <c r="I383" s="958"/>
      <c r="J383" s="1113">
        <v>0</v>
      </c>
      <c r="K383" s="280"/>
    </row>
    <row r="384" spans="3:13" ht="19.2" customHeight="1">
      <c r="C384" s="290" t="s">
        <v>1215</v>
      </c>
      <c r="D384" s="182" t="s">
        <v>1216</v>
      </c>
      <c r="E384" s="182"/>
      <c r="F384" s="70"/>
      <c r="G384" s="70"/>
      <c r="H384" s="955"/>
      <c r="I384" s="956"/>
      <c r="J384" s="105"/>
      <c r="K384" s="280"/>
    </row>
    <row r="385" spans="3:13" ht="19.2" customHeight="1">
      <c r="C385" s="290">
        <v>1</v>
      </c>
      <c r="D385" s="182" t="s">
        <v>1914</v>
      </c>
      <c r="E385" s="182"/>
      <c r="F385" s="124" t="s">
        <v>1080</v>
      </c>
      <c r="G385" s="118">
        <v>0.08</v>
      </c>
      <c r="H385" s="183">
        <f>VLOOKUP(D385,upahbahan,3,FALSE)</f>
        <v>300000</v>
      </c>
      <c r="I385" s="1154"/>
      <c r="J385" s="284">
        <f>G385*H385</f>
        <v>24000</v>
      </c>
      <c r="K385" s="280"/>
    </row>
    <row r="386" spans="3:13" ht="19.2" customHeight="1">
      <c r="C386" s="66" t="s">
        <v>1217</v>
      </c>
      <c r="D386" s="67"/>
      <c r="E386" s="67"/>
      <c r="F386" s="67"/>
      <c r="G386" s="67"/>
      <c r="H386" s="957"/>
      <c r="I386" s="958"/>
      <c r="J386" s="284">
        <f>SUM(J385)</f>
        <v>24000</v>
      </c>
      <c r="K386" s="280"/>
    </row>
    <row r="387" spans="3:13" ht="19.2" customHeight="1">
      <c r="C387" s="293" t="s">
        <v>1218</v>
      </c>
      <c r="D387" s="294" t="s">
        <v>1219</v>
      </c>
      <c r="E387" s="295"/>
      <c r="F387" s="295"/>
      <c r="G387" s="295"/>
      <c r="H387" s="1114"/>
      <c r="I387" s="1115"/>
      <c r="J387" s="284">
        <f>J381+J383+J386</f>
        <v>43720</v>
      </c>
      <c r="K387" s="280"/>
    </row>
    <row r="388" spans="3:13" ht="19.2" customHeight="1">
      <c r="C388" s="293" t="s">
        <v>1220</v>
      </c>
      <c r="D388" s="294" t="s">
        <v>1249</v>
      </c>
      <c r="E388" s="295"/>
      <c r="F388" s="295"/>
      <c r="G388" s="296"/>
      <c r="H388" s="298">
        <f>$Q$8</f>
        <v>0.1</v>
      </c>
      <c r="I388" s="1116"/>
      <c r="J388" s="284">
        <f>J387*H388</f>
        <v>4372</v>
      </c>
      <c r="K388" s="280"/>
    </row>
    <row r="389" spans="3:13" ht="19.2" customHeight="1" thickBot="1">
      <c r="C389" s="299" t="s">
        <v>1221</v>
      </c>
      <c r="D389" s="300" t="s">
        <v>1222</v>
      </c>
      <c r="E389" s="301"/>
      <c r="F389" s="301"/>
      <c r="G389" s="301"/>
      <c r="H389" s="1117"/>
      <c r="I389" s="1118"/>
      <c r="J389" s="303">
        <f>SUM(J387:J388)</f>
        <v>48092</v>
      </c>
      <c r="K389" s="280"/>
    </row>
    <row r="390" spans="3:13" ht="14.4" thickTop="1">
      <c r="C390" s="304"/>
      <c r="D390" s="304"/>
      <c r="E390" s="304"/>
      <c r="F390" s="304"/>
      <c r="G390" s="304"/>
      <c r="H390" s="1153"/>
      <c r="I390" s="1153"/>
      <c r="J390" s="305"/>
      <c r="K390" s="280"/>
    </row>
    <row r="391" spans="3:13" ht="14.4" thickBot="1">
      <c r="C391" s="88" t="s">
        <v>1913</v>
      </c>
      <c r="D391" s="47" t="s">
        <v>1240</v>
      </c>
      <c r="E391" s="88"/>
      <c r="F391" s="88"/>
      <c r="G391" s="88"/>
      <c r="H391" s="969"/>
      <c r="I391" s="969"/>
      <c r="J391" s="969"/>
      <c r="K391" s="120">
        <f>ROUNDDOWN(J404,-2)</f>
        <v>61600</v>
      </c>
      <c r="L391" s="939" t="s">
        <v>5296</v>
      </c>
      <c r="M391" s="940" t="s">
        <v>7699</v>
      </c>
    </row>
    <row r="392" spans="3:13" ht="28.2" thickTop="1">
      <c r="C392" s="970" t="s">
        <v>1195</v>
      </c>
      <c r="D392" s="971" t="s">
        <v>1196</v>
      </c>
      <c r="E392" s="971"/>
      <c r="F392" s="971" t="s">
        <v>1197</v>
      </c>
      <c r="G392" s="971" t="s">
        <v>1198</v>
      </c>
      <c r="H392" s="972" t="s">
        <v>1199</v>
      </c>
      <c r="I392" s="973"/>
      <c r="J392" s="974" t="s">
        <v>1200</v>
      </c>
      <c r="K392" s="289"/>
    </row>
    <row r="393" spans="3:13" ht="19.2" customHeight="1">
      <c r="C393" s="290" t="s">
        <v>1201</v>
      </c>
      <c r="D393" s="182" t="s">
        <v>1202</v>
      </c>
      <c r="E393" s="182"/>
      <c r="F393" s="70"/>
      <c r="G393" s="70"/>
      <c r="H393" s="1128"/>
      <c r="I393" s="1129"/>
      <c r="J393" s="105"/>
      <c r="K393" s="280"/>
    </row>
    <row r="394" spans="3:13" ht="19.2" customHeight="1">
      <c r="C394" s="281">
        <v>1</v>
      </c>
      <c r="D394" s="182" t="s">
        <v>5</v>
      </c>
      <c r="E394" s="176" t="s">
        <v>1774</v>
      </c>
      <c r="F394" s="176" t="s">
        <v>6</v>
      </c>
      <c r="G394" s="282">
        <v>0.25</v>
      </c>
      <c r="H394" s="283">
        <f>VLOOKUP(D394,upahbahan,3,FALSE)</f>
        <v>100000</v>
      </c>
      <c r="I394" s="872"/>
      <c r="J394" s="284">
        <f>G394*H394</f>
        <v>25000</v>
      </c>
      <c r="K394" s="280"/>
    </row>
    <row r="395" spans="3:13" ht="19.2" customHeight="1">
      <c r="C395" s="281">
        <v>2</v>
      </c>
      <c r="D395" s="182" t="s">
        <v>19</v>
      </c>
      <c r="E395" s="176" t="s">
        <v>1777</v>
      </c>
      <c r="F395" s="176" t="s">
        <v>6</v>
      </c>
      <c r="G395" s="282">
        <v>2.5000000000000001E-2</v>
      </c>
      <c r="H395" s="283">
        <f>VLOOKUP(D395,upahbahan,3,FALSE)</f>
        <v>160000</v>
      </c>
      <c r="I395" s="872"/>
      <c r="J395" s="284">
        <f>G395*H395</f>
        <v>4000</v>
      </c>
      <c r="K395" s="280"/>
    </row>
    <row r="396" spans="3:13" ht="19.2" customHeight="1">
      <c r="C396" s="66" t="s">
        <v>1208</v>
      </c>
      <c r="D396" s="67"/>
      <c r="E396" s="67"/>
      <c r="F396" s="67"/>
      <c r="G396" s="67"/>
      <c r="H396" s="957"/>
      <c r="I396" s="958"/>
      <c r="J396" s="284">
        <f>SUM(J394:J395)</f>
        <v>29000</v>
      </c>
      <c r="K396" s="280"/>
    </row>
    <row r="397" spans="3:13" ht="19.2" customHeight="1">
      <c r="C397" s="321" t="s">
        <v>1209</v>
      </c>
      <c r="D397" s="182" t="s">
        <v>1210</v>
      </c>
      <c r="E397" s="182"/>
      <c r="F397" s="70"/>
      <c r="G397" s="70"/>
      <c r="H397" s="955"/>
      <c r="I397" s="956"/>
      <c r="J397" s="105"/>
      <c r="K397" s="280"/>
    </row>
    <row r="398" spans="3:13" ht="19.2" customHeight="1">
      <c r="C398" s="66" t="s">
        <v>1214</v>
      </c>
      <c r="D398" s="67"/>
      <c r="E398" s="67"/>
      <c r="F398" s="67"/>
      <c r="G398" s="67"/>
      <c r="H398" s="957"/>
      <c r="I398" s="958"/>
      <c r="J398" s="1113">
        <v>0</v>
      </c>
      <c r="K398" s="280"/>
    </row>
    <row r="399" spans="3:13" ht="19.2" customHeight="1">
      <c r="C399" s="290" t="s">
        <v>1215</v>
      </c>
      <c r="D399" s="182" t="s">
        <v>1216</v>
      </c>
      <c r="E399" s="182"/>
      <c r="F399" s="70"/>
      <c r="G399" s="70"/>
      <c r="H399" s="955"/>
      <c r="I399" s="956"/>
      <c r="J399" s="105"/>
      <c r="K399" s="280"/>
    </row>
    <row r="400" spans="3:13" ht="19.2" customHeight="1">
      <c r="C400" s="290">
        <v>1</v>
      </c>
      <c r="D400" s="182" t="s">
        <v>1914</v>
      </c>
      <c r="E400" s="182"/>
      <c r="F400" s="124" t="s">
        <v>1080</v>
      </c>
      <c r="G400" s="118">
        <v>0.09</v>
      </c>
      <c r="H400" s="183">
        <f>VLOOKUP(D400,upahbahan,3,FALSE)</f>
        <v>300000</v>
      </c>
      <c r="I400" s="1154"/>
      <c r="J400" s="284">
        <f>G400*H400</f>
        <v>27000</v>
      </c>
      <c r="K400" s="280"/>
    </row>
    <row r="401" spans="3:13" ht="19.2" customHeight="1">
      <c r="C401" s="66" t="s">
        <v>1217</v>
      </c>
      <c r="D401" s="67"/>
      <c r="E401" s="67"/>
      <c r="F401" s="67"/>
      <c r="G401" s="67"/>
      <c r="H401" s="957"/>
      <c r="I401" s="958"/>
      <c r="J401" s="284">
        <f>SUM(J400)</f>
        <v>27000</v>
      </c>
      <c r="K401" s="280"/>
    </row>
    <row r="402" spans="3:13" ht="19.2" customHeight="1">
      <c r="C402" s="293" t="s">
        <v>1218</v>
      </c>
      <c r="D402" s="294" t="s">
        <v>1219</v>
      </c>
      <c r="E402" s="295"/>
      <c r="F402" s="295"/>
      <c r="G402" s="295"/>
      <c r="H402" s="1114"/>
      <c r="I402" s="1115"/>
      <c r="J402" s="284">
        <f>J396+J398+J401</f>
        <v>56000</v>
      </c>
      <c r="K402" s="280"/>
    </row>
    <row r="403" spans="3:13" ht="19.2" customHeight="1">
      <c r="C403" s="293" t="s">
        <v>1220</v>
      </c>
      <c r="D403" s="294" t="s">
        <v>1249</v>
      </c>
      <c r="E403" s="295"/>
      <c r="F403" s="295"/>
      <c r="G403" s="296"/>
      <c r="H403" s="298">
        <f>$Q$8</f>
        <v>0.1</v>
      </c>
      <c r="I403" s="1116"/>
      <c r="J403" s="284">
        <f>J402*H403</f>
        <v>5600</v>
      </c>
      <c r="K403" s="280"/>
    </row>
    <row r="404" spans="3:13" ht="19.2" customHeight="1" thickBot="1">
      <c r="C404" s="299" t="s">
        <v>1221</v>
      </c>
      <c r="D404" s="300" t="s">
        <v>1222</v>
      </c>
      <c r="E404" s="301"/>
      <c r="F404" s="301"/>
      <c r="G404" s="301"/>
      <c r="H404" s="1117"/>
      <c r="I404" s="1118"/>
      <c r="J404" s="303">
        <f>SUM(J402:J403)</f>
        <v>61600</v>
      </c>
      <c r="K404" s="280"/>
    </row>
    <row r="405" spans="3:13" ht="14.4" thickTop="1">
      <c r="C405" s="304"/>
      <c r="D405" s="304"/>
      <c r="E405" s="304"/>
      <c r="F405" s="304"/>
      <c r="G405" s="304"/>
      <c r="H405" s="1153"/>
      <c r="I405" s="1153"/>
      <c r="J405" s="305"/>
      <c r="K405" s="280"/>
    </row>
    <row r="406" spans="3:13" ht="14.4" thickBot="1">
      <c r="C406" s="88" t="s">
        <v>1915</v>
      </c>
      <c r="D406" s="47" t="s">
        <v>1241</v>
      </c>
      <c r="E406" s="88"/>
      <c r="F406" s="88"/>
      <c r="G406" s="88"/>
      <c r="H406" s="969"/>
      <c r="I406" s="969"/>
      <c r="J406" s="969"/>
      <c r="K406" s="120">
        <f>ROUNDDOWN(J419,-2)</f>
        <v>47900</v>
      </c>
      <c r="L406" s="939" t="s">
        <v>5296</v>
      </c>
      <c r="M406" s="940" t="s">
        <v>5296</v>
      </c>
    </row>
    <row r="407" spans="3:13" ht="28.2" thickTop="1">
      <c r="C407" s="51" t="s">
        <v>1195</v>
      </c>
      <c r="D407" s="52" t="s">
        <v>1196</v>
      </c>
      <c r="E407" s="52"/>
      <c r="F407" s="52" t="s">
        <v>1197</v>
      </c>
      <c r="G407" s="52" t="s">
        <v>1198</v>
      </c>
      <c r="H407" s="947" t="s">
        <v>1199</v>
      </c>
      <c r="I407" s="948"/>
      <c r="J407" s="942" t="s">
        <v>1200</v>
      </c>
      <c r="K407" s="289"/>
    </row>
    <row r="408" spans="3:13" ht="19.2" customHeight="1">
      <c r="C408" s="290" t="s">
        <v>1201</v>
      </c>
      <c r="D408" s="182" t="s">
        <v>1202</v>
      </c>
      <c r="E408" s="182"/>
      <c r="F408" s="70"/>
      <c r="G408" s="70"/>
      <c r="H408" s="1128"/>
      <c r="I408" s="1129"/>
      <c r="J408" s="105"/>
      <c r="K408" s="280"/>
    </row>
    <row r="409" spans="3:13" ht="19.2" customHeight="1">
      <c r="C409" s="281">
        <v>1</v>
      </c>
      <c r="D409" s="182" t="s">
        <v>5</v>
      </c>
      <c r="E409" s="176" t="s">
        <v>1774</v>
      </c>
      <c r="F409" s="176" t="s">
        <v>6</v>
      </c>
      <c r="G409" s="315">
        <v>0.1429</v>
      </c>
      <c r="H409" s="283">
        <f>VLOOKUP(D409,upahbahan,3,FALSE)</f>
        <v>100000</v>
      </c>
      <c r="I409" s="872"/>
      <c r="J409" s="284">
        <f>G409*H409</f>
        <v>14290</v>
      </c>
      <c r="K409" s="280"/>
    </row>
    <row r="410" spans="3:13" ht="19.2" customHeight="1">
      <c r="C410" s="281">
        <v>2</v>
      </c>
      <c r="D410" s="182" t="s">
        <v>19</v>
      </c>
      <c r="E410" s="176" t="s">
        <v>1777</v>
      </c>
      <c r="F410" s="176" t="s">
        <v>6</v>
      </c>
      <c r="G410" s="315">
        <v>1.43E-2</v>
      </c>
      <c r="H410" s="283">
        <f>VLOOKUP(D410,upahbahan,3,FALSE)</f>
        <v>160000</v>
      </c>
      <c r="I410" s="872"/>
      <c r="J410" s="284">
        <f>G410*H410</f>
        <v>2288</v>
      </c>
      <c r="K410" s="280"/>
    </row>
    <row r="411" spans="3:13" ht="19.2" customHeight="1">
      <c r="C411" s="66" t="s">
        <v>1208</v>
      </c>
      <c r="D411" s="67"/>
      <c r="E411" s="67"/>
      <c r="F411" s="67"/>
      <c r="G411" s="67"/>
      <c r="H411" s="957"/>
      <c r="I411" s="958"/>
      <c r="J411" s="284">
        <f>SUM(J409:J410)</f>
        <v>16578</v>
      </c>
      <c r="K411" s="280"/>
    </row>
    <row r="412" spans="3:13" ht="19.2" customHeight="1">
      <c r="C412" s="321" t="s">
        <v>1209</v>
      </c>
      <c r="D412" s="182" t="s">
        <v>1210</v>
      </c>
      <c r="E412" s="182"/>
      <c r="F412" s="70"/>
      <c r="G412" s="70"/>
      <c r="H412" s="955"/>
      <c r="I412" s="956"/>
      <c r="J412" s="105"/>
      <c r="K412" s="280"/>
    </row>
    <row r="413" spans="3:13" ht="19.2" customHeight="1">
      <c r="C413" s="66" t="s">
        <v>1214</v>
      </c>
      <c r="D413" s="67"/>
      <c r="E413" s="67"/>
      <c r="F413" s="67"/>
      <c r="G413" s="67"/>
      <c r="H413" s="957"/>
      <c r="I413" s="958"/>
      <c r="J413" s="1113">
        <v>0</v>
      </c>
      <c r="K413" s="280"/>
    </row>
    <row r="414" spans="3:13" ht="19.2" customHeight="1">
      <c r="C414" s="290" t="s">
        <v>1215</v>
      </c>
      <c r="D414" s="182" t="s">
        <v>1216</v>
      </c>
      <c r="E414" s="182"/>
      <c r="F414" s="70"/>
      <c r="G414" s="70"/>
      <c r="H414" s="955"/>
      <c r="I414" s="956"/>
      <c r="J414" s="105"/>
      <c r="K414" s="280"/>
    </row>
    <row r="415" spans="3:13" ht="19.2" customHeight="1">
      <c r="C415" s="290">
        <v>1</v>
      </c>
      <c r="D415" s="182" t="s">
        <v>1085</v>
      </c>
      <c r="E415" s="182"/>
      <c r="F415" s="124" t="s">
        <v>1080</v>
      </c>
      <c r="G415" s="118">
        <v>0.09</v>
      </c>
      <c r="H415" s="283">
        <f>VLOOKUP(D415,upahbahan,3,FALSE)</f>
        <v>300000</v>
      </c>
      <c r="I415" s="872"/>
      <c r="J415" s="284">
        <f>G415*H415</f>
        <v>27000</v>
      </c>
      <c r="K415" s="280"/>
    </row>
    <row r="416" spans="3:13" ht="19.2" customHeight="1">
      <c r="C416" s="66" t="s">
        <v>1217</v>
      </c>
      <c r="D416" s="450"/>
      <c r="E416" s="450"/>
      <c r="F416" s="450"/>
      <c r="G416" s="450"/>
      <c r="H416" s="975"/>
      <c r="I416" s="975"/>
      <c r="J416" s="284">
        <f>SUM(J415)</f>
        <v>27000</v>
      </c>
      <c r="K416" s="280"/>
    </row>
    <row r="417" spans="3:13" ht="19.2" customHeight="1">
      <c r="C417" s="293" t="s">
        <v>1218</v>
      </c>
      <c r="D417" s="294" t="s">
        <v>1219</v>
      </c>
      <c r="E417" s="295"/>
      <c r="F417" s="295"/>
      <c r="G417" s="295"/>
      <c r="H417" s="1114"/>
      <c r="I417" s="1115"/>
      <c r="J417" s="284">
        <f>J411+J413+J416</f>
        <v>43578</v>
      </c>
      <c r="K417" s="280"/>
    </row>
    <row r="418" spans="3:13" ht="19.2" customHeight="1">
      <c r="C418" s="293" t="s">
        <v>1220</v>
      </c>
      <c r="D418" s="294" t="s">
        <v>1249</v>
      </c>
      <c r="E418" s="295"/>
      <c r="F418" s="295"/>
      <c r="G418" s="296"/>
      <c r="H418" s="298">
        <f>$Q$8</f>
        <v>0.1</v>
      </c>
      <c r="I418" s="1116"/>
      <c r="J418" s="284">
        <f>J417*H418</f>
        <v>4357.8</v>
      </c>
      <c r="K418" s="280"/>
    </row>
    <row r="419" spans="3:13" ht="19.2" customHeight="1" thickBot="1">
      <c r="C419" s="299" t="s">
        <v>1221</v>
      </c>
      <c r="D419" s="300" t="s">
        <v>1222</v>
      </c>
      <c r="E419" s="301"/>
      <c r="F419" s="301"/>
      <c r="G419" s="301"/>
      <c r="H419" s="1117"/>
      <c r="I419" s="1118"/>
      <c r="J419" s="303">
        <f>SUM(J417:J418)</f>
        <v>47935.8</v>
      </c>
      <c r="K419" s="280"/>
    </row>
    <row r="420" spans="3:13" ht="14.4" thickTop="1">
      <c r="C420" s="304"/>
      <c r="D420" s="304"/>
      <c r="E420" s="304"/>
      <c r="F420" s="304"/>
      <c r="G420" s="304"/>
      <c r="H420" s="304"/>
      <c r="I420" s="304"/>
      <c r="J420" s="305"/>
      <c r="K420" s="280"/>
    </row>
    <row r="421" spans="3:13" ht="30.15" customHeight="1" thickBot="1">
      <c r="C421" s="88" t="s">
        <v>1916</v>
      </c>
      <c r="D421" s="47" t="s">
        <v>1242</v>
      </c>
      <c r="E421" s="88"/>
      <c r="F421" s="88"/>
      <c r="G421" s="88"/>
      <c r="H421" s="88"/>
      <c r="I421" s="88"/>
      <c r="J421" s="88"/>
      <c r="K421" s="120">
        <f>ROUNDDOWN(J434,-2)</f>
        <v>67500</v>
      </c>
      <c r="L421" s="939" t="s">
        <v>5296</v>
      </c>
      <c r="M421" s="940" t="s">
        <v>5296</v>
      </c>
    </row>
    <row r="422" spans="3:13" ht="28.2" thickTop="1">
      <c r="C422" s="51" t="s">
        <v>1195</v>
      </c>
      <c r="D422" s="52" t="s">
        <v>1196</v>
      </c>
      <c r="E422" s="52"/>
      <c r="F422" s="52" t="s">
        <v>1197</v>
      </c>
      <c r="G422" s="52" t="s">
        <v>1198</v>
      </c>
      <c r="H422" s="52" t="s">
        <v>1199</v>
      </c>
      <c r="I422" s="582"/>
      <c r="J422" s="942" t="s">
        <v>1200</v>
      </c>
      <c r="K422" s="342"/>
    </row>
    <row r="423" spans="3:13" ht="19.2" customHeight="1">
      <c r="C423" s="290" t="s">
        <v>1201</v>
      </c>
      <c r="D423" s="182" t="s">
        <v>1202</v>
      </c>
      <c r="E423" s="182"/>
      <c r="F423" s="70"/>
      <c r="G423" s="70"/>
      <c r="H423" s="70"/>
      <c r="I423" s="977"/>
      <c r="J423" s="105"/>
      <c r="K423" s="280"/>
    </row>
    <row r="424" spans="3:13" ht="19.2" customHeight="1">
      <c r="C424" s="281">
        <v>1</v>
      </c>
      <c r="D424" s="182" t="s">
        <v>5</v>
      </c>
      <c r="E424" s="176" t="s">
        <v>1774</v>
      </c>
      <c r="F424" s="176" t="s">
        <v>6</v>
      </c>
      <c r="G424" s="315">
        <v>0.16750000000000001</v>
      </c>
      <c r="H424" s="283">
        <f>VLOOKUP(D424,upahbahan,3,FALSE)</f>
        <v>100000</v>
      </c>
      <c r="I424" s="872"/>
      <c r="J424" s="284">
        <f>G424*H424</f>
        <v>16750</v>
      </c>
      <c r="K424" s="280"/>
    </row>
    <row r="425" spans="3:13" ht="19.2" customHeight="1">
      <c r="C425" s="281">
        <v>2</v>
      </c>
      <c r="D425" s="182" t="s">
        <v>19</v>
      </c>
      <c r="E425" s="176" t="s">
        <v>1777</v>
      </c>
      <c r="F425" s="176" t="s">
        <v>6</v>
      </c>
      <c r="G425" s="315">
        <v>1.6799999999999999E-2</v>
      </c>
      <c r="H425" s="283">
        <f>VLOOKUP(D425,upahbahan,3,FALSE)</f>
        <v>160000</v>
      </c>
      <c r="I425" s="872"/>
      <c r="J425" s="284">
        <f>G425*H425</f>
        <v>2688</v>
      </c>
      <c r="K425" s="280"/>
    </row>
    <row r="426" spans="3:13" ht="19.2" customHeight="1">
      <c r="C426" s="66" t="s">
        <v>1208</v>
      </c>
      <c r="D426" s="450"/>
      <c r="E426" s="450"/>
      <c r="F426" s="450"/>
      <c r="G426" s="450"/>
      <c r="H426" s="975"/>
      <c r="I426" s="975"/>
      <c r="J426" s="284">
        <f>SUM(J424:J425)</f>
        <v>19438</v>
      </c>
      <c r="K426" s="280"/>
    </row>
    <row r="427" spans="3:13" ht="19.2" customHeight="1">
      <c r="C427" s="321" t="s">
        <v>1209</v>
      </c>
      <c r="D427" s="182" t="s">
        <v>1210</v>
      </c>
      <c r="E427" s="182"/>
      <c r="F427" s="70"/>
      <c r="G427" s="70"/>
      <c r="H427" s="955"/>
      <c r="I427" s="956"/>
      <c r="J427" s="105"/>
      <c r="K427" s="280"/>
    </row>
    <row r="428" spans="3:13" ht="19.2" customHeight="1">
      <c r="C428" s="66" t="s">
        <v>1214</v>
      </c>
      <c r="D428" s="450"/>
      <c r="E428" s="450"/>
      <c r="F428" s="450"/>
      <c r="G428" s="450"/>
      <c r="H428" s="975"/>
      <c r="I428" s="975"/>
      <c r="J428" s="1113">
        <v>0</v>
      </c>
      <c r="K428" s="280"/>
    </row>
    <row r="429" spans="3:13" ht="19.2" customHeight="1">
      <c r="C429" s="290" t="s">
        <v>1215</v>
      </c>
      <c r="D429" s="182" t="s">
        <v>1216</v>
      </c>
      <c r="E429" s="182"/>
      <c r="F429" s="70"/>
      <c r="G429" s="70"/>
      <c r="H429" s="955"/>
      <c r="I429" s="956"/>
      <c r="J429" s="105"/>
      <c r="K429" s="280"/>
    </row>
    <row r="430" spans="3:13" ht="19.2" customHeight="1">
      <c r="C430" s="290">
        <v>1</v>
      </c>
      <c r="D430" s="182" t="s">
        <v>1085</v>
      </c>
      <c r="E430" s="182"/>
      <c r="F430" s="124" t="s">
        <v>1080</v>
      </c>
      <c r="G430" s="118">
        <v>0.14000000000000001</v>
      </c>
      <c r="H430" s="283">
        <f>VLOOKUP(D430,upahbahan,3,FALSE)</f>
        <v>300000</v>
      </c>
      <c r="I430" s="872"/>
      <c r="J430" s="284">
        <f>G430*H430</f>
        <v>42000.000000000007</v>
      </c>
      <c r="K430" s="280"/>
    </row>
    <row r="431" spans="3:13" ht="19.2" customHeight="1">
      <c r="C431" s="66" t="s">
        <v>1217</v>
      </c>
      <c r="D431" s="450"/>
      <c r="E431" s="450"/>
      <c r="F431" s="450"/>
      <c r="G431" s="450"/>
      <c r="H431" s="975"/>
      <c r="I431" s="975"/>
      <c r="J431" s="284">
        <f>SUM(J430)</f>
        <v>42000.000000000007</v>
      </c>
      <c r="K431" s="280"/>
    </row>
    <row r="432" spans="3:13" ht="19.2" customHeight="1">
      <c r="C432" s="293" t="s">
        <v>1218</v>
      </c>
      <c r="D432" s="294" t="s">
        <v>1219</v>
      </c>
      <c r="E432" s="295"/>
      <c r="F432" s="295"/>
      <c r="G432" s="295"/>
      <c r="H432" s="1114"/>
      <c r="I432" s="1115"/>
      <c r="J432" s="284">
        <f>J426+J428+J431</f>
        <v>61438.000000000007</v>
      </c>
      <c r="K432" s="280"/>
    </row>
    <row r="433" spans="3:13" ht="19.2" customHeight="1">
      <c r="C433" s="293" t="s">
        <v>1220</v>
      </c>
      <c r="D433" s="294" t="s">
        <v>1249</v>
      </c>
      <c r="E433" s="295"/>
      <c r="F433" s="295"/>
      <c r="G433" s="296"/>
      <c r="H433" s="298">
        <f>$Q$8</f>
        <v>0.1</v>
      </c>
      <c r="I433" s="1116"/>
      <c r="J433" s="284">
        <f>J432*H433</f>
        <v>6143.8000000000011</v>
      </c>
      <c r="K433" s="280"/>
    </row>
    <row r="434" spans="3:13" ht="19.2" customHeight="1" thickBot="1">
      <c r="C434" s="299" t="s">
        <v>1221</v>
      </c>
      <c r="D434" s="300" t="s">
        <v>1222</v>
      </c>
      <c r="E434" s="301"/>
      <c r="F434" s="301"/>
      <c r="G434" s="301"/>
      <c r="H434" s="1117"/>
      <c r="I434" s="1118"/>
      <c r="J434" s="303">
        <f>SUM(J432:J433)</f>
        <v>67581.8</v>
      </c>
      <c r="K434" s="280"/>
    </row>
    <row r="435" spans="3:13" ht="14.4" thickTop="1">
      <c r="C435" s="304"/>
      <c r="D435" s="304"/>
      <c r="E435" s="304"/>
      <c r="F435" s="304"/>
      <c r="G435" s="304"/>
      <c r="H435" s="304"/>
      <c r="I435" s="304"/>
      <c r="J435" s="305"/>
      <c r="K435" s="280"/>
    </row>
    <row r="436" spans="3:13" ht="14.4" thickBot="1">
      <c r="C436" s="88" t="s">
        <v>1917</v>
      </c>
      <c r="D436" s="47" t="s">
        <v>1918</v>
      </c>
      <c r="E436" s="88"/>
      <c r="F436" s="88"/>
      <c r="G436" s="88"/>
      <c r="H436" s="88"/>
      <c r="I436" s="88"/>
      <c r="J436" s="88"/>
      <c r="K436" s="120">
        <f>ROUNDDOWN(J449,-2)</f>
        <v>95800</v>
      </c>
      <c r="L436" s="939" t="s">
        <v>5296</v>
      </c>
      <c r="M436" s="940" t="s">
        <v>5296</v>
      </c>
    </row>
    <row r="437" spans="3:13" ht="28.2" thickTop="1">
      <c r="C437" s="51" t="s">
        <v>1195</v>
      </c>
      <c r="D437" s="976" t="s">
        <v>1919</v>
      </c>
      <c r="E437" s="52" t="s">
        <v>1906</v>
      </c>
      <c r="F437" s="52" t="s">
        <v>1197</v>
      </c>
      <c r="G437" s="52" t="s">
        <v>1198</v>
      </c>
      <c r="H437" s="52" t="s">
        <v>1199</v>
      </c>
      <c r="I437" s="582"/>
      <c r="J437" s="942" t="s">
        <v>1200</v>
      </c>
      <c r="K437" s="342"/>
    </row>
    <row r="438" spans="3:13" ht="19.2" customHeight="1">
      <c r="C438" s="290" t="s">
        <v>1201</v>
      </c>
      <c r="D438" s="182" t="s">
        <v>1202</v>
      </c>
      <c r="E438" s="182"/>
      <c r="F438" s="70"/>
      <c r="G438" s="70"/>
      <c r="H438" s="70"/>
      <c r="I438" s="977"/>
      <c r="J438" s="105"/>
      <c r="K438" s="280"/>
    </row>
    <row r="439" spans="3:13" ht="19.2" customHeight="1">
      <c r="C439" s="281">
        <v>1</v>
      </c>
      <c r="D439" s="182" t="s">
        <v>5</v>
      </c>
      <c r="E439" s="176" t="s">
        <v>1774</v>
      </c>
      <c r="F439" s="176" t="s">
        <v>6</v>
      </c>
      <c r="G439" s="315">
        <v>0.1825</v>
      </c>
      <c r="H439" s="283">
        <f>VLOOKUP(D439,upahbahan,3,FALSE)</f>
        <v>100000</v>
      </c>
      <c r="I439" s="872"/>
      <c r="J439" s="284">
        <f>G439*H439</f>
        <v>18250</v>
      </c>
      <c r="K439" s="280"/>
    </row>
    <row r="440" spans="3:13" ht="19.2" customHeight="1">
      <c r="C440" s="281">
        <v>2</v>
      </c>
      <c r="D440" s="182" t="s">
        <v>19</v>
      </c>
      <c r="E440" s="176" t="s">
        <v>1777</v>
      </c>
      <c r="F440" s="176" t="s">
        <v>6</v>
      </c>
      <c r="G440" s="315">
        <v>1.8200000000000001E-2</v>
      </c>
      <c r="H440" s="283">
        <f>VLOOKUP(D440,upahbahan,3,FALSE)</f>
        <v>160000</v>
      </c>
      <c r="I440" s="872"/>
      <c r="J440" s="284">
        <f>G440*H440</f>
        <v>2912</v>
      </c>
      <c r="K440" s="280"/>
    </row>
    <row r="441" spans="3:13" ht="19.2" customHeight="1">
      <c r="C441" s="66" t="s">
        <v>1208</v>
      </c>
      <c r="D441" s="450"/>
      <c r="E441" s="450"/>
      <c r="F441" s="450"/>
      <c r="G441" s="450"/>
      <c r="H441" s="975"/>
      <c r="I441" s="975"/>
      <c r="J441" s="284">
        <f>SUM(J439:J440)</f>
        <v>21162</v>
      </c>
      <c r="K441" s="280"/>
    </row>
    <row r="442" spans="3:13" ht="19.2" customHeight="1">
      <c r="C442" s="321" t="s">
        <v>1209</v>
      </c>
      <c r="D442" s="182" t="s">
        <v>1210</v>
      </c>
      <c r="E442" s="182"/>
      <c r="F442" s="70"/>
      <c r="G442" s="70"/>
      <c r="H442" s="955"/>
      <c r="I442" s="956"/>
      <c r="J442" s="105"/>
      <c r="K442" s="280"/>
    </row>
    <row r="443" spans="3:13" ht="19.2" customHeight="1">
      <c r="C443" s="66" t="s">
        <v>1214</v>
      </c>
      <c r="D443" s="450"/>
      <c r="E443" s="450"/>
      <c r="F443" s="450"/>
      <c r="G443" s="450"/>
      <c r="H443" s="975"/>
      <c r="I443" s="975"/>
      <c r="J443" s="1113">
        <v>0</v>
      </c>
      <c r="K443" s="280"/>
    </row>
    <row r="444" spans="3:13" ht="19.2" customHeight="1">
      <c r="C444" s="290" t="s">
        <v>1215</v>
      </c>
      <c r="D444" s="182" t="s">
        <v>1216</v>
      </c>
      <c r="E444" s="182"/>
      <c r="F444" s="70"/>
      <c r="G444" s="70"/>
      <c r="H444" s="955"/>
      <c r="I444" s="956"/>
      <c r="J444" s="105"/>
      <c r="K444" s="280"/>
    </row>
    <row r="445" spans="3:13" ht="19.2" customHeight="1">
      <c r="C445" s="290">
        <v>1</v>
      </c>
      <c r="D445" s="182" t="s">
        <v>1085</v>
      </c>
      <c r="E445" s="182"/>
      <c r="F445" s="124" t="s">
        <v>1080</v>
      </c>
      <c r="G445" s="118">
        <v>0.22</v>
      </c>
      <c r="H445" s="283">
        <f>VLOOKUP(D445,upahbahan,3,FALSE)</f>
        <v>300000</v>
      </c>
      <c r="I445" s="872"/>
      <c r="J445" s="284">
        <f>G445*H445</f>
        <v>66000</v>
      </c>
      <c r="K445" s="280"/>
    </row>
    <row r="446" spans="3:13" ht="19.2" customHeight="1">
      <c r="C446" s="66" t="s">
        <v>1217</v>
      </c>
      <c r="D446" s="450"/>
      <c r="E446" s="450"/>
      <c r="F446" s="450"/>
      <c r="G446" s="450"/>
      <c r="H446" s="975"/>
      <c r="I446" s="975"/>
      <c r="J446" s="284">
        <f>SUM(J445)</f>
        <v>66000</v>
      </c>
      <c r="K446" s="280"/>
    </row>
    <row r="447" spans="3:13" ht="19.2" customHeight="1">
      <c r="C447" s="293" t="s">
        <v>1218</v>
      </c>
      <c r="D447" s="294" t="s">
        <v>1219</v>
      </c>
      <c r="E447" s="295"/>
      <c r="F447" s="295"/>
      <c r="G447" s="295"/>
      <c r="H447" s="1114"/>
      <c r="I447" s="1115"/>
      <c r="J447" s="284">
        <f>J441+J443+J446</f>
        <v>87162</v>
      </c>
      <c r="K447" s="280"/>
    </row>
    <row r="448" spans="3:13" ht="19.2" customHeight="1">
      <c r="C448" s="293" t="s">
        <v>1220</v>
      </c>
      <c r="D448" s="294" t="s">
        <v>1249</v>
      </c>
      <c r="E448" s="295"/>
      <c r="F448" s="295"/>
      <c r="G448" s="296"/>
      <c r="H448" s="298">
        <f>$Q$8</f>
        <v>0.1</v>
      </c>
      <c r="I448" s="1116"/>
      <c r="J448" s="284">
        <f>J447*H448</f>
        <v>8716.2000000000007</v>
      </c>
      <c r="K448" s="280"/>
    </row>
    <row r="449" spans="3:13" ht="19.2" customHeight="1" thickBot="1">
      <c r="C449" s="299" t="s">
        <v>1221</v>
      </c>
      <c r="D449" s="300" t="s">
        <v>1222</v>
      </c>
      <c r="E449" s="301"/>
      <c r="F449" s="301"/>
      <c r="G449" s="301"/>
      <c r="H449" s="1117"/>
      <c r="I449" s="1118"/>
      <c r="J449" s="303">
        <f>SUM(J447:J448)</f>
        <v>95878.2</v>
      </c>
      <c r="K449" s="280"/>
    </row>
    <row r="450" spans="3:13" ht="14.4" thickTop="1">
      <c r="C450" s="304"/>
      <c r="D450" s="304"/>
      <c r="E450" s="304"/>
      <c r="F450" s="304"/>
      <c r="G450" s="304"/>
      <c r="H450" s="304"/>
      <c r="I450" s="304"/>
      <c r="J450" s="305"/>
      <c r="K450" s="280"/>
    </row>
    <row r="451" spans="3:13" ht="27.75" customHeight="1" thickBot="1">
      <c r="C451" s="88" t="s">
        <v>1920</v>
      </c>
      <c r="D451" s="48" t="s">
        <v>1251</v>
      </c>
      <c r="E451" s="88"/>
      <c r="F451" s="88"/>
      <c r="G451" s="88"/>
      <c r="H451" s="88"/>
      <c r="I451" s="88"/>
      <c r="J451" s="88"/>
      <c r="K451" s="120">
        <f>ROUNDDOWN(J464,-2)</f>
        <v>148800</v>
      </c>
      <c r="L451" s="939" t="s">
        <v>5296</v>
      </c>
      <c r="M451" s="940" t="s">
        <v>5296</v>
      </c>
    </row>
    <row r="452" spans="3:13" ht="28.2" thickTop="1">
      <c r="C452" s="51" t="s">
        <v>1195</v>
      </c>
      <c r="D452" s="52" t="s">
        <v>1196</v>
      </c>
      <c r="E452" s="52"/>
      <c r="F452" s="52" t="s">
        <v>1197</v>
      </c>
      <c r="G452" s="52" t="s">
        <v>1198</v>
      </c>
      <c r="H452" s="52" t="s">
        <v>1199</v>
      </c>
      <c r="I452" s="582"/>
      <c r="J452" s="942" t="s">
        <v>1200</v>
      </c>
      <c r="K452" s="342"/>
    </row>
    <row r="453" spans="3:13" ht="18.600000000000001" customHeight="1">
      <c r="C453" s="290" t="s">
        <v>1201</v>
      </c>
      <c r="D453" s="182" t="s">
        <v>1202</v>
      </c>
      <c r="E453" s="182"/>
      <c r="F453" s="70"/>
      <c r="G453" s="70"/>
      <c r="H453" s="70"/>
      <c r="I453" s="977"/>
      <c r="J453" s="105"/>
      <c r="K453" s="280"/>
    </row>
    <row r="454" spans="3:13" ht="18.600000000000001" customHeight="1">
      <c r="C454" s="281">
        <v>1</v>
      </c>
      <c r="D454" s="182" t="s">
        <v>5</v>
      </c>
      <c r="E454" s="176" t="s">
        <v>1774</v>
      </c>
      <c r="F454" s="176" t="s">
        <v>6</v>
      </c>
      <c r="G454" s="315">
        <v>0.26129999999999998</v>
      </c>
      <c r="H454" s="283">
        <f>VLOOKUP(D454,upahbahan,3,FALSE)</f>
        <v>100000</v>
      </c>
      <c r="I454" s="872"/>
      <c r="J454" s="284">
        <f>G454*H454</f>
        <v>26129.999999999996</v>
      </c>
      <c r="K454" s="280"/>
    </row>
    <row r="455" spans="3:13" ht="18.600000000000001" customHeight="1">
      <c r="C455" s="281">
        <v>2</v>
      </c>
      <c r="D455" s="182" t="s">
        <v>19</v>
      </c>
      <c r="E455" s="176" t="s">
        <v>1777</v>
      </c>
      <c r="F455" s="176" t="s">
        <v>6</v>
      </c>
      <c r="G455" s="315">
        <v>2.6100000000000002E-2</v>
      </c>
      <c r="H455" s="283">
        <f>VLOOKUP(D455,upahbahan,3,FALSE)</f>
        <v>160000</v>
      </c>
      <c r="I455" s="872"/>
      <c r="J455" s="284">
        <f>G455*H455</f>
        <v>4176</v>
      </c>
      <c r="K455" s="280"/>
    </row>
    <row r="456" spans="3:13" ht="18.600000000000001" customHeight="1">
      <c r="C456" s="66" t="s">
        <v>1208</v>
      </c>
      <c r="D456" s="450"/>
      <c r="E456" s="450"/>
      <c r="F456" s="450"/>
      <c r="G456" s="450"/>
      <c r="H456" s="975"/>
      <c r="I456" s="975"/>
      <c r="J456" s="284">
        <f>SUM(J454:J455)</f>
        <v>30305.999999999996</v>
      </c>
      <c r="K456" s="280"/>
    </row>
    <row r="457" spans="3:13" ht="18.600000000000001" customHeight="1">
      <c r="C457" s="321" t="s">
        <v>1209</v>
      </c>
      <c r="D457" s="182" t="s">
        <v>1210</v>
      </c>
      <c r="E457" s="182"/>
      <c r="F457" s="70"/>
      <c r="G457" s="70"/>
      <c r="H457" s="955"/>
      <c r="I457" s="956"/>
      <c r="J457" s="105"/>
      <c r="K457" s="280"/>
    </row>
    <row r="458" spans="3:13" ht="18.600000000000001" customHeight="1">
      <c r="C458" s="66" t="s">
        <v>1214</v>
      </c>
      <c r="D458" s="450"/>
      <c r="E458" s="450"/>
      <c r="F458" s="450"/>
      <c r="G458" s="450"/>
      <c r="H458" s="975"/>
      <c r="I458" s="975"/>
      <c r="J458" s="1113">
        <v>0</v>
      </c>
      <c r="K458" s="280"/>
    </row>
    <row r="459" spans="3:13" ht="18.600000000000001" customHeight="1">
      <c r="C459" s="290" t="s">
        <v>1215</v>
      </c>
      <c r="D459" s="182" t="s">
        <v>1216</v>
      </c>
      <c r="E459" s="182"/>
      <c r="F459" s="70"/>
      <c r="G459" s="70"/>
      <c r="H459" s="955"/>
      <c r="I459" s="956"/>
      <c r="J459" s="105"/>
      <c r="K459" s="280"/>
    </row>
    <row r="460" spans="3:13" ht="18.600000000000001" customHeight="1">
      <c r="C460" s="290">
        <v>1</v>
      </c>
      <c r="D460" s="182" t="s">
        <v>1085</v>
      </c>
      <c r="E460" s="182"/>
      <c r="F460" s="124" t="s">
        <v>1080</v>
      </c>
      <c r="G460" s="118">
        <v>0.35</v>
      </c>
      <c r="H460" s="283">
        <f>VLOOKUP(D460,upahbahan,3,FALSE)</f>
        <v>300000</v>
      </c>
      <c r="I460" s="872"/>
      <c r="J460" s="284">
        <f>G460*H460</f>
        <v>105000</v>
      </c>
      <c r="K460" s="280"/>
    </row>
    <row r="461" spans="3:13" ht="18.600000000000001" customHeight="1">
      <c r="C461" s="66" t="s">
        <v>1217</v>
      </c>
      <c r="D461" s="450"/>
      <c r="E461" s="450"/>
      <c r="F461" s="450"/>
      <c r="G461" s="450"/>
      <c r="H461" s="975"/>
      <c r="I461" s="975"/>
      <c r="J461" s="284">
        <f>SUM(J460)</f>
        <v>105000</v>
      </c>
      <c r="K461" s="280"/>
    </row>
    <row r="462" spans="3:13" ht="18.600000000000001" customHeight="1">
      <c r="C462" s="293" t="s">
        <v>1218</v>
      </c>
      <c r="D462" s="294" t="s">
        <v>1219</v>
      </c>
      <c r="E462" s="295"/>
      <c r="F462" s="295"/>
      <c r="G462" s="295"/>
      <c r="H462" s="1114"/>
      <c r="I462" s="1115"/>
      <c r="J462" s="284">
        <f>J456+J458+J461</f>
        <v>135306</v>
      </c>
      <c r="K462" s="280"/>
    </row>
    <row r="463" spans="3:13" ht="18.600000000000001" customHeight="1">
      <c r="C463" s="293" t="s">
        <v>1220</v>
      </c>
      <c r="D463" s="294" t="s">
        <v>1249</v>
      </c>
      <c r="E463" s="295"/>
      <c r="F463" s="295"/>
      <c r="G463" s="296"/>
      <c r="H463" s="298">
        <f>$Q$8</f>
        <v>0.1</v>
      </c>
      <c r="I463" s="1116"/>
      <c r="J463" s="284">
        <f>J462*H463</f>
        <v>13530.6</v>
      </c>
      <c r="K463" s="280"/>
    </row>
    <row r="464" spans="3:13" ht="18.600000000000001" customHeight="1" thickBot="1">
      <c r="C464" s="299" t="s">
        <v>1221</v>
      </c>
      <c r="D464" s="300" t="s">
        <v>1222</v>
      </c>
      <c r="E464" s="301"/>
      <c r="F464" s="301"/>
      <c r="G464" s="301"/>
      <c r="H464" s="1117"/>
      <c r="I464" s="1118"/>
      <c r="J464" s="303">
        <f>SUM(J462:J463)</f>
        <v>148836.6</v>
      </c>
      <c r="K464" s="280"/>
    </row>
    <row r="465" spans="3:13" ht="14.4" thickTop="1">
      <c r="C465" s="304"/>
      <c r="D465" s="304"/>
      <c r="E465" s="304"/>
      <c r="F465" s="304"/>
      <c r="G465" s="304"/>
      <c r="H465" s="304"/>
      <c r="I465" s="304"/>
      <c r="J465" s="305"/>
      <c r="K465" s="280"/>
    </row>
    <row r="466" spans="3:13" ht="30.6" customHeight="1" thickBot="1">
      <c r="C466" s="88" t="s">
        <v>1921</v>
      </c>
      <c r="D466" s="47" t="s">
        <v>1243</v>
      </c>
      <c r="E466" s="88"/>
      <c r="F466" s="88"/>
      <c r="G466" s="88"/>
      <c r="H466" s="88"/>
      <c r="I466" s="88"/>
      <c r="J466" s="88"/>
      <c r="K466" s="120">
        <f>ROUNDDOWN(J479,-2)</f>
        <v>216700</v>
      </c>
      <c r="L466" s="939" t="s">
        <v>5296</v>
      </c>
      <c r="M466" s="940" t="s">
        <v>5296</v>
      </c>
    </row>
    <row r="467" spans="3:13" ht="28.2" thickTop="1">
      <c r="C467" s="51" t="s">
        <v>1195</v>
      </c>
      <c r="D467" s="52" t="s">
        <v>1196</v>
      </c>
      <c r="E467" s="52"/>
      <c r="F467" s="52" t="s">
        <v>1197</v>
      </c>
      <c r="G467" s="52" t="s">
        <v>1198</v>
      </c>
      <c r="H467" s="52" t="s">
        <v>1199</v>
      </c>
      <c r="I467" s="582"/>
      <c r="J467" s="942" t="s">
        <v>1200</v>
      </c>
      <c r="K467" s="342"/>
    </row>
    <row r="468" spans="3:13" ht="18.600000000000001" customHeight="1">
      <c r="C468" s="290" t="s">
        <v>1201</v>
      </c>
      <c r="D468" s="182" t="s">
        <v>1202</v>
      </c>
      <c r="E468" s="182"/>
      <c r="F468" s="70"/>
      <c r="G468" s="70"/>
      <c r="H468" s="70"/>
      <c r="I468" s="977"/>
      <c r="J468" s="105"/>
      <c r="K468" s="280"/>
    </row>
    <row r="469" spans="3:13" ht="18.600000000000001" customHeight="1">
      <c r="C469" s="281">
        <v>1</v>
      </c>
      <c r="D469" s="182" t="s">
        <v>5</v>
      </c>
      <c r="E469" s="176" t="s">
        <v>1774</v>
      </c>
      <c r="F469" s="176" t="s">
        <v>6</v>
      </c>
      <c r="G469" s="315">
        <v>0.34329999999999999</v>
      </c>
      <c r="H469" s="283">
        <f>VLOOKUP(D469,upahbahan,3,FALSE)</f>
        <v>100000</v>
      </c>
      <c r="I469" s="872"/>
      <c r="J469" s="284">
        <f>G469*H469</f>
        <v>34330</v>
      </c>
      <c r="K469" s="280"/>
    </row>
    <row r="470" spans="3:13" ht="18.600000000000001" customHeight="1">
      <c r="C470" s="281">
        <v>2</v>
      </c>
      <c r="D470" s="182" t="s">
        <v>19</v>
      </c>
      <c r="E470" s="176" t="s">
        <v>1777</v>
      </c>
      <c r="F470" s="176" t="s">
        <v>6</v>
      </c>
      <c r="G470" s="315">
        <v>3.4299999999999997E-2</v>
      </c>
      <c r="H470" s="283">
        <f>VLOOKUP(D470,upahbahan,3,FALSE)</f>
        <v>160000</v>
      </c>
      <c r="I470" s="872"/>
      <c r="J470" s="284">
        <f>G470*H470</f>
        <v>5488</v>
      </c>
      <c r="K470" s="280"/>
    </row>
    <row r="471" spans="3:13" ht="18.600000000000001" customHeight="1">
      <c r="C471" s="66" t="s">
        <v>1208</v>
      </c>
      <c r="D471" s="450"/>
      <c r="E471" s="450"/>
      <c r="F471" s="450"/>
      <c r="G471" s="450"/>
      <c r="H471" s="450"/>
      <c r="I471" s="450"/>
      <c r="J471" s="284">
        <f>SUM(J469:J470)</f>
        <v>39818</v>
      </c>
      <c r="K471" s="280"/>
    </row>
    <row r="472" spans="3:13" ht="18.600000000000001" customHeight="1">
      <c r="C472" s="321" t="s">
        <v>1209</v>
      </c>
      <c r="D472" s="182" t="s">
        <v>1210</v>
      </c>
      <c r="E472" s="182"/>
      <c r="F472" s="70"/>
      <c r="G472" s="70"/>
      <c r="H472" s="70"/>
      <c r="I472" s="977"/>
      <c r="J472" s="105"/>
      <c r="K472" s="280"/>
    </row>
    <row r="473" spans="3:13" ht="18.600000000000001" customHeight="1">
      <c r="C473" s="66" t="s">
        <v>1214</v>
      </c>
      <c r="D473" s="450"/>
      <c r="E473" s="450"/>
      <c r="F473" s="450"/>
      <c r="G473" s="450"/>
      <c r="H473" s="450"/>
      <c r="I473" s="450"/>
      <c r="J473" s="1113">
        <v>0</v>
      </c>
      <c r="K473" s="280"/>
    </row>
    <row r="474" spans="3:13" ht="18.600000000000001" customHeight="1">
      <c r="C474" s="290" t="s">
        <v>1215</v>
      </c>
      <c r="D474" s="182" t="s">
        <v>1216</v>
      </c>
      <c r="E474" s="182"/>
      <c r="F474" s="70"/>
      <c r="G474" s="70"/>
      <c r="H474" s="70"/>
      <c r="I474" s="977"/>
      <c r="J474" s="105"/>
      <c r="K474" s="280"/>
    </row>
    <row r="475" spans="3:13" ht="18.600000000000001" customHeight="1">
      <c r="C475" s="290">
        <v>1</v>
      </c>
      <c r="D475" s="182" t="s">
        <v>1085</v>
      </c>
      <c r="E475" s="182"/>
      <c r="F475" s="124" t="s">
        <v>1080</v>
      </c>
      <c r="G475" s="118">
        <v>0.52400000000000002</v>
      </c>
      <c r="H475" s="283">
        <f>VLOOKUP(D475,upahbahan,3,FALSE)</f>
        <v>300000</v>
      </c>
      <c r="I475" s="872"/>
      <c r="J475" s="284">
        <f>G475*H475</f>
        <v>157200</v>
      </c>
      <c r="K475" s="280"/>
    </row>
    <row r="476" spans="3:13" ht="18.600000000000001" customHeight="1">
      <c r="C476" s="66" t="s">
        <v>1217</v>
      </c>
      <c r="D476" s="450"/>
      <c r="E476" s="450"/>
      <c r="F476" s="450"/>
      <c r="G476" s="450"/>
      <c r="H476" s="450"/>
      <c r="I476" s="450"/>
      <c r="J476" s="284">
        <f>SUM(J475)</f>
        <v>157200</v>
      </c>
      <c r="K476" s="280"/>
    </row>
    <row r="477" spans="3:13" ht="18.600000000000001" customHeight="1">
      <c r="C477" s="293" t="s">
        <v>1218</v>
      </c>
      <c r="D477" s="294" t="s">
        <v>1219</v>
      </c>
      <c r="E477" s="295"/>
      <c r="F477" s="295"/>
      <c r="G477" s="295"/>
      <c r="H477" s="296"/>
      <c r="I477" s="295"/>
      <c r="J477" s="284">
        <f>J471+J473+J476</f>
        <v>197018</v>
      </c>
      <c r="K477" s="280"/>
    </row>
    <row r="478" spans="3:13" ht="18.600000000000001" customHeight="1">
      <c r="C478" s="293" t="s">
        <v>1220</v>
      </c>
      <c r="D478" s="294" t="s">
        <v>1249</v>
      </c>
      <c r="E478" s="295"/>
      <c r="F478" s="295"/>
      <c r="G478" s="296"/>
      <c r="H478" s="298">
        <f>$Q$8</f>
        <v>0.1</v>
      </c>
      <c r="I478" s="1116"/>
      <c r="J478" s="284">
        <f>J477*H478</f>
        <v>19701.800000000003</v>
      </c>
      <c r="K478" s="280"/>
    </row>
    <row r="479" spans="3:13" ht="18.600000000000001" customHeight="1" thickBot="1">
      <c r="C479" s="299" t="s">
        <v>1221</v>
      </c>
      <c r="D479" s="300" t="s">
        <v>1222</v>
      </c>
      <c r="E479" s="301"/>
      <c r="F479" s="301"/>
      <c r="G479" s="301"/>
      <c r="H479" s="302"/>
      <c r="I479" s="301"/>
      <c r="J479" s="303">
        <f>SUM(J477:J478)</f>
        <v>216719.8</v>
      </c>
      <c r="K479" s="280"/>
    </row>
    <row r="480" spans="3:13" ht="14.4" thickTop="1">
      <c r="C480" s="304"/>
      <c r="D480" s="304"/>
      <c r="E480" s="304"/>
      <c r="F480" s="304"/>
      <c r="G480" s="304"/>
      <c r="H480" s="304"/>
      <c r="I480" s="304"/>
      <c r="J480" s="305"/>
      <c r="K480" s="280"/>
    </row>
    <row r="481" spans="3:13" ht="30.15" customHeight="1" thickBot="1">
      <c r="C481" s="88" t="s">
        <v>1922</v>
      </c>
      <c r="D481" s="47" t="s">
        <v>1244</v>
      </c>
      <c r="E481" s="88"/>
      <c r="F481" s="88"/>
      <c r="G481" s="88"/>
      <c r="H481" s="88"/>
      <c r="I481" s="88"/>
      <c r="J481" s="88"/>
      <c r="K481" s="120">
        <f>ROUNDDOWN(J494,-2)</f>
        <v>48900</v>
      </c>
      <c r="L481" s="939" t="s">
        <v>5296</v>
      </c>
      <c r="M481" s="940" t="s">
        <v>5296</v>
      </c>
    </row>
    <row r="482" spans="3:13" ht="28.2" thickTop="1">
      <c r="C482" s="51" t="s">
        <v>1195</v>
      </c>
      <c r="D482" s="52" t="s">
        <v>1196</v>
      </c>
      <c r="E482" s="52"/>
      <c r="F482" s="52" t="s">
        <v>1197</v>
      </c>
      <c r="G482" s="52" t="s">
        <v>1198</v>
      </c>
      <c r="H482" s="52" t="s">
        <v>1199</v>
      </c>
      <c r="I482" s="582"/>
      <c r="J482" s="942" t="s">
        <v>1200</v>
      </c>
      <c r="K482" s="342"/>
    </row>
    <row r="483" spans="3:13" ht="18.600000000000001" customHeight="1">
      <c r="C483" s="290" t="s">
        <v>1201</v>
      </c>
      <c r="D483" s="182" t="s">
        <v>1202</v>
      </c>
      <c r="E483" s="182"/>
      <c r="F483" s="70"/>
      <c r="G483" s="70"/>
      <c r="H483" s="70"/>
      <c r="I483" s="977"/>
      <c r="J483" s="105"/>
      <c r="K483" s="280"/>
    </row>
    <row r="484" spans="3:13" ht="18.600000000000001" customHeight="1">
      <c r="C484" s="281">
        <v>1</v>
      </c>
      <c r="D484" s="182" t="s">
        <v>5</v>
      </c>
      <c r="E484" s="176" t="s">
        <v>1774</v>
      </c>
      <c r="F484" s="176" t="s">
        <v>6</v>
      </c>
      <c r="G484" s="315">
        <v>0.1507</v>
      </c>
      <c r="H484" s="283">
        <f>VLOOKUP(D484,upahbahan,3,FALSE)</f>
        <v>100000</v>
      </c>
      <c r="I484" s="872"/>
      <c r="J484" s="284">
        <f>G484*H484</f>
        <v>15070</v>
      </c>
      <c r="K484" s="280"/>
    </row>
    <row r="485" spans="3:13" ht="18.600000000000001" customHeight="1">
      <c r="C485" s="281">
        <v>2</v>
      </c>
      <c r="D485" s="182" t="s">
        <v>19</v>
      </c>
      <c r="E485" s="176" t="s">
        <v>1777</v>
      </c>
      <c r="F485" s="176" t="s">
        <v>6</v>
      </c>
      <c r="G485" s="315">
        <v>1.5100000000000001E-2</v>
      </c>
      <c r="H485" s="283">
        <f>VLOOKUP(D485,upahbahan,3,FALSE)</f>
        <v>160000</v>
      </c>
      <c r="I485" s="872"/>
      <c r="J485" s="284">
        <f>G485*H485</f>
        <v>2416</v>
      </c>
      <c r="K485" s="280"/>
    </row>
    <row r="486" spans="3:13" ht="18.600000000000001" customHeight="1">
      <c r="C486" s="66" t="s">
        <v>1208</v>
      </c>
      <c r="D486" s="450"/>
      <c r="E486" s="450"/>
      <c r="F486" s="450"/>
      <c r="G486" s="450"/>
      <c r="H486" s="450"/>
      <c r="I486" s="450"/>
      <c r="J486" s="284">
        <f>SUM(J484:J485)</f>
        <v>17486</v>
      </c>
      <c r="K486" s="280"/>
    </row>
    <row r="487" spans="3:13" ht="18.600000000000001" customHeight="1">
      <c r="C487" s="321" t="s">
        <v>1209</v>
      </c>
      <c r="D487" s="182" t="s">
        <v>1210</v>
      </c>
      <c r="E487" s="182"/>
      <c r="F487" s="70"/>
      <c r="G487" s="70"/>
      <c r="H487" s="70"/>
      <c r="I487" s="977"/>
      <c r="J487" s="105"/>
      <c r="K487" s="280"/>
    </row>
    <row r="488" spans="3:13" ht="18.600000000000001" customHeight="1">
      <c r="C488" s="66" t="s">
        <v>1214</v>
      </c>
      <c r="D488" s="450"/>
      <c r="E488" s="450"/>
      <c r="F488" s="450"/>
      <c r="G488" s="450"/>
      <c r="H488" s="450"/>
      <c r="I488" s="450"/>
      <c r="J488" s="1113">
        <v>0</v>
      </c>
      <c r="K488" s="280"/>
    </row>
    <row r="489" spans="3:13" ht="18.600000000000001" customHeight="1">
      <c r="C489" s="290" t="s">
        <v>1215</v>
      </c>
      <c r="D489" s="182" t="s">
        <v>1216</v>
      </c>
      <c r="E489" s="182"/>
      <c r="F489" s="70"/>
      <c r="G489" s="70"/>
      <c r="H489" s="70"/>
      <c r="I489" s="977"/>
      <c r="J489" s="105"/>
      <c r="K489" s="280"/>
    </row>
    <row r="490" spans="3:13" ht="18.600000000000001" customHeight="1">
      <c r="C490" s="290">
        <v>1</v>
      </c>
      <c r="D490" s="182" t="s">
        <v>1085</v>
      </c>
      <c r="E490" s="182"/>
      <c r="F490" s="124" t="s">
        <v>1080</v>
      </c>
      <c r="G490" s="118">
        <v>0.09</v>
      </c>
      <c r="H490" s="283">
        <f>VLOOKUP(D490,upahbahan,3,FALSE)</f>
        <v>300000</v>
      </c>
      <c r="I490" s="872"/>
      <c r="J490" s="284">
        <f>G490*H490</f>
        <v>27000</v>
      </c>
      <c r="K490" s="280"/>
    </row>
    <row r="491" spans="3:13" ht="18.600000000000001" customHeight="1">
      <c r="C491" s="66" t="s">
        <v>1217</v>
      </c>
      <c r="D491" s="450"/>
      <c r="E491" s="450"/>
      <c r="F491" s="450"/>
      <c r="G491" s="450"/>
      <c r="H491" s="450"/>
      <c r="I491" s="450"/>
      <c r="J491" s="284">
        <f>SUM(J490)</f>
        <v>27000</v>
      </c>
      <c r="K491" s="280"/>
    </row>
    <row r="492" spans="3:13" ht="18.600000000000001" customHeight="1">
      <c r="C492" s="293" t="s">
        <v>1218</v>
      </c>
      <c r="D492" s="294" t="s">
        <v>1219</v>
      </c>
      <c r="E492" s="295"/>
      <c r="F492" s="295"/>
      <c r="G492" s="295"/>
      <c r="H492" s="296"/>
      <c r="I492" s="295"/>
      <c r="J492" s="284">
        <f>J486+J488+J491</f>
        <v>44486</v>
      </c>
      <c r="K492" s="280"/>
    </row>
    <row r="493" spans="3:13" ht="18.600000000000001" customHeight="1">
      <c r="C493" s="293" t="s">
        <v>1220</v>
      </c>
      <c r="D493" s="294" t="s">
        <v>1249</v>
      </c>
      <c r="E493" s="295"/>
      <c r="F493" s="295"/>
      <c r="G493" s="296"/>
      <c r="H493" s="298">
        <f>$Q$8</f>
        <v>0.1</v>
      </c>
      <c r="I493" s="1116"/>
      <c r="J493" s="284">
        <f>J492*H493</f>
        <v>4448.6000000000004</v>
      </c>
      <c r="K493" s="280"/>
    </row>
    <row r="494" spans="3:13" ht="18.600000000000001" customHeight="1" thickBot="1">
      <c r="C494" s="299" t="s">
        <v>1221</v>
      </c>
      <c r="D494" s="300" t="s">
        <v>1222</v>
      </c>
      <c r="E494" s="301"/>
      <c r="F494" s="301"/>
      <c r="G494" s="301"/>
      <c r="H494" s="302"/>
      <c r="I494" s="301"/>
      <c r="J494" s="303">
        <f>SUM(J492:J493)</f>
        <v>48934.6</v>
      </c>
      <c r="K494" s="280"/>
    </row>
    <row r="495" spans="3:13" ht="14.4" thickTop="1">
      <c r="C495" s="304"/>
      <c r="D495" s="304"/>
      <c r="E495" s="304"/>
      <c r="F495" s="304"/>
      <c r="G495" s="304"/>
      <c r="H495" s="304"/>
      <c r="I495" s="304"/>
      <c r="J495" s="305"/>
      <c r="K495" s="280"/>
    </row>
    <row r="496" spans="3:13" ht="28.2" customHeight="1" thickBot="1">
      <c r="C496" s="88" t="s">
        <v>1923</v>
      </c>
      <c r="D496" s="47" t="s">
        <v>1252</v>
      </c>
      <c r="E496" s="88"/>
      <c r="F496" s="88"/>
      <c r="G496" s="88"/>
      <c r="H496" s="88"/>
      <c r="I496" s="88"/>
      <c r="J496" s="88"/>
      <c r="K496" s="120">
        <f>ROUNDDOWN(J509,-2)</f>
        <v>78000</v>
      </c>
      <c r="L496" s="939" t="s">
        <v>5296</v>
      </c>
      <c r="M496" s="940" t="s">
        <v>5296</v>
      </c>
    </row>
    <row r="497" spans="3:13" ht="28.2" thickTop="1">
      <c r="C497" s="51" t="s">
        <v>1195</v>
      </c>
      <c r="D497" s="52" t="s">
        <v>1196</v>
      </c>
      <c r="E497" s="52"/>
      <c r="F497" s="52" t="s">
        <v>1197</v>
      </c>
      <c r="G497" s="52" t="s">
        <v>1198</v>
      </c>
      <c r="H497" s="52" t="s">
        <v>1199</v>
      </c>
      <c r="I497" s="582"/>
      <c r="J497" s="942" t="s">
        <v>1200</v>
      </c>
      <c r="K497" s="289"/>
    </row>
    <row r="498" spans="3:13" ht="18.600000000000001" customHeight="1">
      <c r="C498" s="290" t="s">
        <v>1201</v>
      </c>
      <c r="D498" s="182" t="s">
        <v>1202</v>
      </c>
      <c r="E498" s="182"/>
      <c r="F498" s="70"/>
      <c r="G498" s="70"/>
      <c r="H498" s="70"/>
      <c r="I498" s="977"/>
      <c r="J498" s="105"/>
      <c r="K498" s="280"/>
    </row>
    <row r="499" spans="3:13" ht="18.600000000000001" customHeight="1">
      <c r="C499" s="281">
        <v>1</v>
      </c>
      <c r="D499" s="182" t="s">
        <v>5</v>
      </c>
      <c r="E499" s="176" t="s">
        <v>1774</v>
      </c>
      <c r="F499" s="176" t="s">
        <v>6</v>
      </c>
      <c r="G499" s="282">
        <v>0.2495</v>
      </c>
      <c r="H499" s="283">
        <f>VLOOKUP(D499,upahbahan,3,FALSE)</f>
        <v>100000</v>
      </c>
      <c r="I499" s="872"/>
      <c r="J499" s="284">
        <f>G499*H499</f>
        <v>24950</v>
      </c>
      <c r="K499" s="280"/>
    </row>
    <row r="500" spans="3:13" ht="18.600000000000001" customHeight="1">
      <c r="C500" s="281">
        <v>2</v>
      </c>
      <c r="D500" s="182" t="s">
        <v>19</v>
      </c>
      <c r="E500" s="176" t="s">
        <v>1777</v>
      </c>
      <c r="F500" s="176" t="s">
        <v>6</v>
      </c>
      <c r="G500" s="282">
        <v>2.5000000000000001E-2</v>
      </c>
      <c r="H500" s="283">
        <f>VLOOKUP(D500,upahbahan,3,FALSE)</f>
        <v>160000</v>
      </c>
      <c r="I500" s="872"/>
      <c r="J500" s="284">
        <f>G500*H500</f>
        <v>4000</v>
      </c>
      <c r="K500" s="280"/>
    </row>
    <row r="501" spans="3:13" ht="18.600000000000001" customHeight="1">
      <c r="C501" s="66" t="s">
        <v>1208</v>
      </c>
      <c r="D501" s="450"/>
      <c r="E501" s="450"/>
      <c r="F501" s="450"/>
      <c r="G501" s="450"/>
      <c r="H501" s="450"/>
      <c r="I501" s="450"/>
      <c r="J501" s="284">
        <f>SUM(J499:J500)</f>
        <v>28950</v>
      </c>
      <c r="K501" s="280"/>
    </row>
    <row r="502" spans="3:13" ht="18.600000000000001" customHeight="1">
      <c r="C502" s="321" t="s">
        <v>1209</v>
      </c>
      <c r="D502" s="182" t="s">
        <v>1210</v>
      </c>
      <c r="E502" s="182"/>
      <c r="F502" s="70"/>
      <c r="G502" s="70"/>
      <c r="H502" s="70"/>
      <c r="I502" s="977"/>
      <c r="J502" s="105"/>
      <c r="K502" s="280"/>
    </row>
    <row r="503" spans="3:13" ht="18.600000000000001" customHeight="1">
      <c r="C503" s="66" t="s">
        <v>1214</v>
      </c>
      <c r="D503" s="450"/>
      <c r="E503" s="450"/>
      <c r="F503" s="450"/>
      <c r="G503" s="450"/>
      <c r="H503" s="450"/>
      <c r="I503" s="450"/>
      <c r="J503" s="1113">
        <v>0</v>
      </c>
      <c r="K503" s="280"/>
    </row>
    <row r="504" spans="3:13" ht="18.600000000000001" customHeight="1">
      <c r="C504" s="290" t="s">
        <v>1215</v>
      </c>
      <c r="D504" s="182" t="s">
        <v>1216</v>
      </c>
      <c r="E504" s="182"/>
      <c r="F504" s="70"/>
      <c r="G504" s="70"/>
      <c r="H504" s="70"/>
      <c r="I504" s="977"/>
      <c r="J504" s="105"/>
      <c r="K504" s="280"/>
    </row>
    <row r="505" spans="3:13" ht="18.600000000000001" customHeight="1">
      <c r="C505" s="290">
        <v>1</v>
      </c>
      <c r="D505" s="182" t="s">
        <v>1085</v>
      </c>
      <c r="E505" s="182"/>
      <c r="F505" s="124" t="s">
        <v>1080</v>
      </c>
      <c r="G505" s="118">
        <v>0.14000000000000001</v>
      </c>
      <c r="H505" s="283">
        <f>VLOOKUP(D505,upahbahan,3,FALSE)</f>
        <v>300000</v>
      </c>
      <c r="I505" s="872"/>
      <c r="J505" s="284">
        <f>G505*H505</f>
        <v>42000.000000000007</v>
      </c>
      <c r="K505" s="280"/>
    </row>
    <row r="506" spans="3:13" ht="18.600000000000001" customHeight="1">
      <c r="C506" s="66" t="s">
        <v>1217</v>
      </c>
      <c r="D506" s="450"/>
      <c r="E506" s="450"/>
      <c r="F506" s="450"/>
      <c r="G506" s="450"/>
      <c r="H506" s="450"/>
      <c r="I506" s="450"/>
      <c r="J506" s="284">
        <f>SUM(J505)</f>
        <v>42000.000000000007</v>
      </c>
      <c r="K506" s="280"/>
    </row>
    <row r="507" spans="3:13" ht="18.600000000000001" customHeight="1">
      <c r="C507" s="293" t="s">
        <v>1218</v>
      </c>
      <c r="D507" s="294" t="s">
        <v>1219</v>
      </c>
      <c r="E507" s="295"/>
      <c r="F507" s="295"/>
      <c r="G507" s="295"/>
      <c r="H507" s="296"/>
      <c r="I507" s="295"/>
      <c r="J507" s="284">
        <f>J501+J503+J506</f>
        <v>70950</v>
      </c>
      <c r="K507" s="280"/>
    </row>
    <row r="508" spans="3:13" ht="18.600000000000001" customHeight="1">
      <c r="C508" s="293" t="s">
        <v>1220</v>
      </c>
      <c r="D508" s="294" t="s">
        <v>1249</v>
      </c>
      <c r="E508" s="295"/>
      <c r="F508" s="295"/>
      <c r="G508" s="296"/>
      <c r="H508" s="298">
        <f>$Q$8</f>
        <v>0.1</v>
      </c>
      <c r="I508" s="1116"/>
      <c r="J508" s="284">
        <f>J507*H508</f>
        <v>7095</v>
      </c>
      <c r="K508" s="280"/>
    </row>
    <row r="509" spans="3:13" ht="18.600000000000001" customHeight="1" thickBot="1">
      <c r="C509" s="299" t="s">
        <v>1221</v>
      </c>
      <c r="D509" s="300" t="s">
        <v>1222</v>
      </c>
      <c r="E509" s="301"/>
      <c r="F509" s="301"/>
      <c r="G509" s="301"/>
      <c r="H509" s="302"/>
      <c r="I509" s="301"/>
      <c r="J509" s="303">
        <f>SUM(J507:J508)</f>
        <v>78045</v>
      </c>
      <c r="K509" s="280"/>
    </row>
    <row r="510" spans="3:13" ht="14.4" thickTop="1">
      <c r="C510" s="304"/>
      <c r="D510" s="304"/>
      <c r="E510" s="304"/>
      <c r="F510" s="304"/>
      <c r="G510" s="304"/>
      <c r="H510" s="304"/>
      <c r="I510" s="304"/>
      <c r="J510" s="305"/>
      <c r="K510" s="280"/>
    </row>
    <row r="511" spans="3:13">
      <c r="C511" s="304"/>
      <c r="D511" s="304"/>
      <c r="E511" s="304"/>
      <c r="F511" s="304"/>
      <c r="G511" s="304"/>
      <c r="H511" s="304"/>
      <c r="I511" s="304"/>
      <c r="J511" s="305"/>
      <c r="K511" s="280"/>
    </row>
    <row r="512" spans="3:13" ht="28.2" customHeight="1" thickBot="1">
      <c r="C512" s="88" t="s">
        <v>1924</v>
      </c>
      <c r="D512" s="47" t="s">
        <v>1925</v>
      </c>
      <c r="E512" s="88"/>
      <c r="F512" s="88"/>
      <c r="G512" s="88"/>
      <c r="H512" s="88"/>
      <c r="I512" s="88"/>
      <c r="J512" s="88"/>
      <c r="K512" s="120">
        <f>ROUNDDOWN(J525,-2)</f>
        <v>111900</v>
      </c>
      <c r="L512" s="939" t="s">
        <v>5296</v>
      </c>
      <c r="M512" s="940" t="s">
        <v>7699</v>
      </c>
    </row>
    <row r="513" spans="3:13" ht="28.2" thickTop="1">
      <c r="C513" s="51" t="s">
        <v>1195</v>
      </c>
      <c r="D513" s="52" t="s">
        <v>1196</v>
      </c>
      <c r="E513" s="52"/>
      <c r="F513" s="52" t="s">
        <v>1197</v>
      </c>
      <c r="G513" s="52" t="s">
        <v>1198</v>
      </c>
      <c r="H513" s="52" t="s">
        <v>1199</v>
      </c>
      <c r="I513" s="582"/>
      <c r="J513" s="942" t="s">
        <v>1200</v>
      </c>
      <c r="K513" s="289"/>
    </row>
    <row r="514" spans="3:13" ht="18.600000000000001" customHeight="1">
      <c r="C514" s="290" t="s">
        <v>1201</v>
      </c>
      <c r="D514" s="182" t="s">
        <v>1202</v>
      </c>
      <c r="E514" s="182"/>
      <c r="F514" s="70"/>
      <c r="G514" s="70"/>
      <c r="H514" s="70"/>
      <c r="I514" s="977"/>
      <c r="J514" s="105"/>
      <c r="K514" s="280"/>
    </row>
    <row r="515" spans="3:13" ht="18.600000000000001" customHeight="1">
      <c r="C515" s="281">
        <v>1</v>
      </c>
      <c r="D515" s="182" t="s">
        <v>5</v>
      </c>
      <c r="E515" s="176" t="s">
        <v>1774</v>
      </c>
      <c r="F515" s="176" t="s">
        <v>6</v>
      </c>
      <c r="G515" s="282">
        <v>0.30830000000000002</v>
      </c>
      <c r="H515" s="283">
        <f>VLOOKUP(D515,upahbahan,3,FALSE)</f>
        <v>100000</v>
      </c>
      <c r="I515" s="872"/>
      <c r="J515" s="284">
        <f>G515*H515</f>
        <v>30830.000000000004</v>
      </c>
      <c r="K515" s="280"/>
    </row>
    <row r="516" spans="3:13" ht="18.600000000000001" customHeight="1">
      <c r="C516" s="281">
        <v>2</v>
      </c>
      <c r="D516" s="182" t="s">
        <v>19</v>
      </c>
      <c r="E516" s="176" t="s">
        <v>1777</v>
      </c>
      <c r="F516" s="176" t="s">
        <v>6</v>
      </c>
      <c r="G516" s="282">
        <v>3.0800000000000001E-2</v>
      </c>
      <c r="H516" s="283">
        <f>VLOOKUP(D516,upahbahan,3,FALSE)</f>
        <v>160000</v>
      </c>
      <c r="I516" s="872"/>
      <c r="J516" s="284">
        <f>G516*H516</f>
        <v>4928</v>
      </c>
      <c r="K516" s="280"/>
    </row>
    <row r="517" spans="3:13" ht="18.600000000000001" customHeight="1">
      <c r="C517" s="66" t="s">
        <v>1208</v>
      </c>
      <c r="D517" s="450"/>
      <c r="E517" s="450"/>
      <c r="F517" s="450"/>
      <c r="G517" s="450"/>
      <c r="H517" s="450"/>
      <c r="I517" s="450"/>
      <c r="J517" s="284">
        <f>SUM(J515:J516)</f>
        <v>35758</v>
      </c>
      <c r="K517" s="280"/>
    </row>
    <row r="518" spans="3:13" ht="18.600000000000001" customHeight="1">
      <c r="C518" s="321" t="s">
        <v>1209</v>
      </c>
      <c r="D518" s="182" t="s">
        <v>1210</v>
      </c>
      <c r="E518" s="182"/>
      <c r="F518" s="70"/>
      <c r="G518" s="70"/>
      <c r="H518" s="70"/>
      <c r="I518" s="977"/>
      <c r="J518" s="105"/>
      <c r="K518" s="280"/>
    </row>
    <row r="519" spans="3:13" ht="18.600000000000001" customHeight="1">
      <c r="C519" s="66" t="s">
        <v>1214</v>
      </c>
      <c r="D519" s="450"/>
      <c r="E519" s="450"/>
      <c r="F519" s="450"/>
      <c r="G519" s="450"/>
      <c r="H519" s="450"/>
      <c r="I519" s="450"/>
      <c r="J519" s="1113">
        <v>0</v>
      </c>
      <c r="K519" s="280"/>
    </row>
    <row r="520" spans="3:13" ht="18.600000000000001" customHeight="1">
      <c r="C520" s="290" t="s">
        <v>1215</v>
      </c>
      <c r="D520" s="182" t="s">
        <v>1216</v>
      </c>
      <c r="E520" s="182"/>
      <c r="F520" s="70"/>
      <c r="G520" s="70"/>
      <c r="H520" s="70"/>
      <c r="I520" s="977"/>
      <c r="J520" s="105"/>
      <c r="K520" s="280"/>
    </row>
    <row r="521" spans="3:13" ht="18.600000000000001" customHeight="1">
      <c r="C521" s="290">
        <v>1</v>
      </c>
      <c r="D521" s="182" t="s">
        <v>1085</v>
      </c>
      <c r="E521" s="182"/>
      <c r="F521" s="124" t="s">
        <v>1080</v>
      </c>
      <c r="G521" s="118">
        <v>0.22</v>
      </c>
      <c r="H521" s="283">
        <f>VLOOKUP(D521,upahbahan,3,FALSE)</f>
        <v>300000</v>
      </c>
      <c r="I521" s="872"/>
      <c r="J521" s="284">
        <f>G521*H521</f>
        <v>66000</v>
      </c>
      <c r="K521" s="280"/>
    </row>
    <row r="522" spans="3:13" ht="18.600000000000001" customHeight="1">
      <c r="C522" s="66" t="s">
        <v>1217</v>
      </c>
      <c r="D522" s="450"/>
      <c r="E522" s="450"/>
      <c r="F522" s="450"/>
      <c r="G522" s="450"/>
      <c r="H522" s="450"/>
      <c r="I522" s="450"/>
      <c r="J522" s="284">
        <f>SUM(J521)</f>
        <v>66000</v>
      </c>
      <c r="K522" s="280"/>
    </row>
    <row r="523" spans="3:13" ht="18.600000000000001" customHeight="1">
      <c r="C523" s="293" t="s">
        <v>1218</v>
      </c>
      <c r="D523" s="294" t="s">
        <v>1219</v>
      </c>
      <c r="E523" s="295"/>
      <c r="F523" s="295"/>
      <c r="G523" s="295"/>
      <c r="H523" s="296"/>
      <c r="I523" s="295"/>
      <c r="J523" s="284">
        <f>J517+J519+J522</f>
        <v>101758</v>
      </c>
      <c r="K523" s="280"/>
    </row>
    <row r="524" spans="3:13" ht="18.600000000000001" customHeight="1">
      <c r="C524" s="293" t="s">
        <v>1220</v>
      </c>
      <c r="D524" s="294" t="s">
        <v>1249</v>
      </c>
      <c r="E524" s="295"/>
      <c r="F524" s="295"/>
      <c r="G524" s="296"/>
      <c r="H524" s="298">
        <f>$Q$8</f>
        <v>0.1</v>
      </c>
      <c r="I524" s="1116"/>
      <c r="J524" s="284">
        <f>J523*H524</f>
        <v>10175.800000000001</v>
      </c>
      <c r="K524" s="280"/>
    </row>
    <row r="525" spans="3:13" ht="18.600000000000001" customHeight="1" thickBot="1">
      <c r="C525" s="299" t="s">
        <v>1221</v>
      </c>
      <c r="D525" s="300" t="s">
        <v>1222</v>
      </c>
      <c r="E525" s="301"/>
      <c r="F525" s="301"/>
      <c r="G525" s="301"/>
      <c r="H525" s="302"/>
      <c r="I525" s="301"/>
      <c r="J525" s="303">
        <f>SUM(J523:J524)</f>
        <v>111933.8</v>
      </c>
      <c r="K525" s="280"/>
    </row>
    <row r="526" spans="3:13" ht="14.4" thickTop="1">
      <c r="C526" s="304"/>
      <c r="D526" s="304"/>
      <c r="E526" s="304"/>
      <c r="F526" s="304"/>
      <c r="G526" s="304"/>
      <c r="H526" s="304"/>
      <c r="I526" s="304"/>
      <c r="J526" s="305"/>
      <c r="K526" s="280"/>
    </row>
    <row r="527" spans="3:13" ht="28.2" customHeight="1" thickBot="1">
      <c r="C527" s="88" t="s">
        <v>1926</v>
      </c>
      <c r="D527" s="47" t="s">
        <v>1927</v>
      </c>
      <c r="E527" s="88"/>
      <c r="F527" s="88"/>
      <c r="G527" s="88"/>
      <c r="H527" s="88"/>
      <c r="I527" s="88"/>
      <c r="J527" s="88"/>
      <c r="K527" s="120">
        <f>ROUNDDOWN(J540,-2)</f>
        <v>175600</v>
      </c>
      <c r="L527" s="939" t="s">
        <v>5296</v>
      </c>
      <c r="M527" s="940" t="s">
        <v>5296</v>
      </c>
    </row>
    <row r="528" spans="3:13" ht="28.2" thickTop="1">
      <c r="C528" s="51" t="s">
        <v>1195</v>
      </c>
      <c r="D528" s="52" t="s">
        <v>1196</v>
      </c>
      <c r="E528" s="52"/>
      <c r="F528" s="52" t="s">
        <v>1197</v>
      </c>
      <c r="G528" s="52" t="s">
        <v>1198</v>
      </c>
      <c r="H528" s="52" t="s">
        <v>1199</v>
      </c>
      <c r="I528" s="582"/>
      <c r="J528" s="942" t="s">
        <v>1200</v>
      </c>
      <c r="K528" s="289"/>
    </row>
    <row r="529" spans="3:13" ht="18.600000000000001" customHeight="1">
      <c r="C529" s="290" t="s">
        <v>1201</v>
      </c>
      <c r="D529" s="182" t="s">
        <v>1202</v>
      </c>
      <c r="E529" s="182"/>
      <c r="F529" s="70"/>
      <c r="G529" s="70"/>
      <c r="H529" s="70"/>
      <c r="I529" s="977"/>
      <c r="J529" s="105"/>
      <c r="K529" s="280"/>
    </row>
    <row r="530" spans="3:13" ht="18.600000000000001" customHeight="1">
      <c r="C530" s="281">
        <v>1</v>
      </c>
      <c r="D530" s="182" t="s">
        <v>5</v>
      </c>
      <c r="E530" s="176" t="s">
        <v>1774</v>
      </c>
      <c r="F530" s="176" t="s">
        <v>6</v>
      </c>
      <c r="G530" s="315">
        <v>0.4713</v>
      </c>
      <c r="H530" s="283">
        <f>VLOOKUP(D530,upahbahan,3,FALSE)</f>
        <v>100000</v>
      </c>
      <c r="I530" s="872"/>
      <c r="J530" s="284">
        <f>G530*H530</f>
        <v>47130</v>
      </c>
      <c r="K530" s="280"/>
    </row>
    <row r="531" spans="3:13" ht="18.600000000000001" customHeight="1">
      <c r="C531" s="281">
        <v>2</v>
      </c>
      <c r="D531" s="182" t="s">
        <v>19</v>
      </c>
      <c r="E531" s="176" t="s">
        <v>1777</v>
      </c>
      <c r="F531" s="176" t="s">
        <v>6</v>
      </c>
      <c r="G531" s="315">
        <v>4.7100000000000003E-2</v>
      </c>
      <c r="H531" s="283">
        <f>VLOOKUP(D531,upahbahan,3,FALSE)</f>
        <v>160000</v>
      </c>
      <c r="I531" s="872"/>
      <c r="J531" s="284">
        <f>G531*H531</f>
        <v>7536.0000000000009</v>
      </c>
      <c r="K531" s="280"/>
    </row>
    <row r="532" spans="3:13" ht="18.600000000000001" customHeight="1">
      <c r="C532" s="66" t="s">
        <v>1208</v>
      </c>
      <c r="D532" s="450"/>
      <c r="E532" s="450"/>
      <c r="F532" s="450"/>
      <c r="G532" s="450"/>
      <c r="H532" s="450"/>
      <c r="I532" s="450"/>
      <c r="J532" s="284">
        <f>SUM(J530:J531)</f>
        <v>54666</v>
      </c>
      <c r="K532" s="280"/>
    </row>
    <row r="533" spans="3:13" ht="18.600000000000001" customHeight="1">
      <c r="C533" s="321" t="s">
        <v>1209</v>
      </c>
      <c r="D533" s="182" t="s">
        <v>1210</v>
      </c>
      <c r="E533" s="182"/>
      <c r="F533" s="70"/>
      <c r="G533" s="70"/>
      <c r="H533" s="70"/>
      <c r="I533" s="977"/>
      <c r="J533" s="105"/>
      <c r="K533" s="280"/>
    </row>
    <row r="534" spans="3:13" ht="18.600000000000001" customHeight="1">
      <c r="C534" s="66" t="s">
        <v>1214</v>
      </c>
      <c r="D534" s="450"/>
      <c r="E534" s="450"/>
      <c r="F534" s="450"/>
      <c r="G534" s="450"/>
      <c r="H534" s="450"/>
      <c r="I534" s="450"/>
      <c r="J534" s="1113">
        <v>0</v>
      </c>
      <c r="K534" s="280"/>
    </row>
    <row r="535" spans="3:13" ht="18.600000000000001" customHeight="1">
      <c r="C535" s="290" t="s">
        <v>1215</v>
      </c>
      <c r="D535" s="182" t="s">
        <v>1216</v>
      </c>
      <c r="E535" s="182"/>
      <c r="F535" s="70"/>
      <c r="G535" s="70"/>
      <c r="H535" s="70"/>
      <c r="I535" s="977"/>
      <c r="J535" s="105"/>
      <c r="K535" s="280"/>
    </row>
    <row r="536" spans="3:13" ht="18.600000000000001" customHeight="1">
      <c r="C536" s="290">
        <v>1</v>
      </c>
      <c r="D536" s="182" t="s">
        <v>1085</v>
      </c>
      <c r="E536" s="182"/>
      <c r="F536" s="124" t="s">
        <v>1080</v>
      </c>
      <c r="G536" s="125">
        <v>0.35</v>
      </c>
      <c r="H536" s="283">
        <f>VLOOKUP(D536,upahbahan,3,FALSE)</f>
        <v>300000</v>
      </c>
      <c r="I536" s="872"/>
      <c r="J536" s="284">
        <f>G536*H536</f>
        <v>105000</v>
      </c>
      <c r="K536" s="280"/>
    </row>
    <row r="537" spans="3:13" ht="18.600000000000001" customHeight="1">
      <c r="C537" s="66" t="s">
        <v>1217</v>
      </c>
      <c r="D537" s="450"/>
      <c r="E537" s="450"/>
      <c r="F537" s="450"/>
      <c r="G537" s="450"/>
      <c r="H537" s="450"/>
      <c r="I537" s="450"/>
      <c r="J537" s="284">
        <f>SUM(J536)</f>
        <v>105000</v>
      </c>
      <c r="K537" s="280"/>
    </row>
    <row r="538" spans="3:13" ht="18.600000000000001" customHeight="1">
      <c r="C538" s="293" t="s">
        <v>1218</v>
      </c>
      <c r="D538" s="294" t="s">
        <v>1219</v>
      </c>
      <c r="E538" s="295"/>
      <c r="F538" s="295"/>
      <c r="G538" s="295"/>
      <c r="H538" s="296"/>
      <c r="I538" s="295"/>
      <c r="J538" s="284">
        <f>J532+J534+J537</f>
        <v>159666</v>
      </c>
      <c r="K538" s="280"/>
    </row>
    <row r="539" spans="3:13" ht="18.600000000000001" customHeight="1">
      <c r="C539" s="293" t="s">
        <v>1220</v>
      </c>
      <c r="D539" s="294" t="s">
        <v>1249</v>
      </c>
      <c r="E539" s="295"/>
      <c r="F539" s="295"/>
      <c r="G539" s="296"/>
      <c r="H539" s="298">
        <f>$Q$8</f>
        <v>0.1</v>
      </c>
      <c r="I539" s="1116"/>
      <c r="J539" s="284">
        <f>J538*H539</f>
        <v>15966.6</v>
      </c>
      <c r="K539" s="280"/>
    </row>
    <row r="540" spans="3:13" ht="18.600000000000001" customHeight="1" thickBot="1">
      <c r="C540" s="299" t="s">
        <v>1221</v>
      </c>
      <c r="D540" s="300" t="s">
        <v>1222</v>
      </c>
      <c r="E540" s="301"/>
      <c r="F540" s="301"/>
      <c r="G540" s="301"/>
      <c r="H540" s="302"/>
      <c r="I540" s="301"/>
      <c r="J540" s="303">
        <f>SUM(J538:J539)</f>
        <v>175632.6</v>
      </c>
      <c r="K540" s="280"/>
    </row>
    <row r="541" spans="3:13" ht="14.4" thickTop="1">
      <c r="C541" s="304"/>
      <c r="D541" s="304"/>
      <c r="E541" s="304"/>
      <c r="F541" s="304"/>
      <c r="G541" s="304"/>
      <c r="H541" s="304"/>
      <c r="I541" s="304"/>
      <c r="J541" s="305"/>
      <c r="K541" s="280"/>
    </row>
    <row r="542" spans="3:13">
      <c r="C542" s="304"/>
      <c r="D542" s="304"/>
      <c r="E542" s="304"/>
      <c r="F542" s="304"/>
      <c r="G542" s="304"/>
      <c r="H542" s="304"/>
      <c r="I542" s="304"/>
      <c r="J542" s="305"/>
      <c r="K542" s="280"/>
    </row>
    <row r="543" spans="3:13" ht="28.2" customHeight="1" thickBot="1">
      <c r="C543" s="88" t="s">
        <v>1928</v>
      </c>
      <c r="D543" s="47" t="s">
        <v>1929</v>
      </c>
      <c r="E543" s="88"/>
      <c r="F543" s="88"/>
      <c r="G543" s="88"/>
      <c r="H543" s="88"/>
      <c r="I543" s="88"/>
      <c r="J543" s="88"/>
      <c r="K543" s="120">
        <f>ROUNDDOWN(J556,-2)</f>
        <v>268600</v>
      </c>
      <c r="L543" s="939" t="s">
        <v>5296</v>
      </c>
      <c r="M543" s="940" t="s">
        <v>7699</v>
      </c>
    </row>
    <row r="544" spans="3:13" ht="28.2" thickTop="1">
      <c r="C544" s="51" t="s">
        <v>1195</v>
      </c>
      <c r="D544" s="52" t="s">
        <v>1196</v>
      </c>
      <c r="E544" s="52"/>
      <c r="F544" s="52" t="s">
        <v>1197</v>
      </c>
      <c r="G544" s="52" t="s">
        <v>1198</v>
      </c>
      <c r="H544" s="52" t="s">
        <v>1199</v>
      </c>
      <c r="I544" s="582"/>
      <c r="J544" s="942" t="s">
        <v>1200</v>
      </c>
      <c r="K544" s="289"/>
    </row>
    <row r="545" spans="3:13" ht="18.600000000000001" customHeight="1">
      <c r="C545" s="290" t="s">
        <v>1201</v>
      </c>
      <c r="D545" s="182" t="s">
        <v>1202</v>
      </c>
      <c r="E545" s="182"/>
      <c r="F545" s="70"/>
      <c r="G545" s="70"/>
      <c r="H545" s="70"/>
      <c r="I545" s="977"/>
      <c r="J545" s="105"/>
      <c r="K545" s="280"/>
    </row>
    <row r="546" spans="3:13" ht="18.600000000000001" customHeight="1">
      <c r="C546" s="281">
        <v>1</v>
      </c>
      <c r="D546" s="182" t="s">
        <v>5</v>
      </c>
      <c r="E546" s="176" t="s">
        <v>1774</v>
      </c>
      <c r="F546" s="176" t="s">
        <v>6</v>
      </c>
      <c r="G546" s="315">
        <v>0.75</v>
      </c>
      <c r="H546" s="283">
        <f>VLOOKUP(D546,upahbahan,3,FALSE)</f>
        <v>100000</v>
      </c>
      <c r="I546" s="872"/>
      <c r="J546" s="284">
        <f>G546*H546</f>
        <v>75000</v>
      </c>
      <c r="K546" s="280"/>
    </row>
    <row r="547" spans="3:13" ht="18.600000000000001" customHeight="1">
      <c r="C547" s="281">
        <v>2</v>
      </c>
      <c r="D547" s="182" t="s">
        <v>19</v>
      </c>
      <c r="E547" s="176" t="s">
        <v>1777</v>
      </c>
      <c r="F547" s="176" t="s">
        <v>6</v>
      </c>
      <c r="G547" s="315">
        <v>7.4999999999999997E-2</v>
      </c>
      <c r="H547" s="283">
        <f>VLOOKUP(D547,upahbahan,3,FALSE)</f>
        <v>160000</v>
      </c>
      <c r="I547" s="872"/>
      <c r="J547" s="284">
        <f>G547*H547</f>
        <v>12000</v>
      </c>
      <c r="K547" s="280"/>
    </row>
    <row r="548" spans="3:13" ht="18.600000000000001" customHeight="1">
      <c r="C548" s="66" t="s">
        <v>1208</v>
      </c>
      <c r="D548" s="450"/>
      <c r="E548" s="450"/>
      <c r="F548" s="450"/>
      <c r="G548" s="450"/>
      <c r="H548" s="450"/>
      <c r="I548" s="450"/>
      <c r="J548" s="284">
        <f>SUM(J546:J547)</f>
        <v>87000</v>
      </c>
      <c r="K548" s="280"/>
    </row>
    <row r="549" spans="3:13" ht="18.600000000000001" customHeight="1">
      <c r="C549" s="290" t="s">
        <v>1209</v>
      </c>
      <c r="D549" s="182" t="s">
        <v>1210</v>
      </c>
      <c r="E549" s="182"/>
      <c r="F549" s="70"/>
      <c r="G549" s="70"/>
      <c r="H549" s="70"/>
      <c r="I549" s="977"/>
      <c r="J549" s="105"/>
      <c r="K549" s="280"/>
    </row>
    <row r="550" spans="3:13" ht="18.600000000000001" customHeight="1">
      <c r="C550" s="66" t="s">
        <v>1214</v>
      </c>
      <c r="D550" s="450"/>
      <c r="E550" s="450"/>
      <c r="F550" s="450"/>
      <c r="G550" s="450"/>
      <c r="H550" s="450"/>
      <c r="I550" s="450"/>
      <c r="J550" s="1113">
        <v>0</v>
      </c>
      <c r="K550" s="280"/>
    </row>
    <row r="551" spans="3:13" ht="18.600000000000001" customHeight="1">
      <c r="C551" s="290" t="s">
        <v>1215</v>
      </c>
      <c r="D551" s="182" t="s">
        <v>1216</v>
      </c>
      <c r="E551" s="182"/>
      <c r="F551" s="70"/>
      <c r="G551" s="70"/>
      <c r="H551" s="70"/>
      <c r="I551" s="977"/>
      <c r="J551" s="105"/>
      <c r="K551" s="280"/>
    </row>
    <row r="552" spans="3:13" ht="18.600000000000001" customHeight="1">
      <c r="C552" s="290">
        <v>1</v>
      </c>
      <c r="D552" s="182" t="s">
        <v>1085</v>
      </c>
      <c r="E552" s="182"/>
      <c r="F552" s="124" t="s">
        <v>1080</v>
      </c>
      <c r="G552" s="125">
        <v>0.52400000000000002</v>
      </c>
      <c r="H552" s="283">
        <f>VLOOKUP(D552,upahbahan,3,FALSE)</f>
        <v>300000</v>
      </c>
      <c r="I552" s="872"/>
      <c r="J552" s="284">
        <f>G552*H552</f>
        <v>157200</v>
      </c>
      <c r="K552" s="280"/>
    </row>
    <row r="553" spans="3:13" ht="18.600000000000001" customHeight="1">
      <c r="C553" s="66" t="s">
        <v>1217</v>
      </c>
      <c r="D553" s="450"/>
      <c r="E553" s="450"/>
      <c r="F553" s="450"/>
      <c r="G553" s="450"/>
      <c r="H553" s="450"/>
      <c r="I553" s="450"/>
      <c r="J553" s="284">
        <f>SUM(J552)</f>
        <v>157200</v>
      </c>
      <c r="K553" s="280"/>
    </row>
    <row r="554" spans="3:13" ht="18.600000000000001" customHeight="1">
      <c r="C554" s="293" t="s">
        <v>1218</v>
      </c>
      <c r="D554" s="294" t="s">
        <v>1219</v>
      </c>
      <c r="E554" s="295"/>
      <c r="F554" s="295"/>
      <c r="G554" s="295"/>
      <c r="H554" s="296"/>
      <c r="I554" s="295"/>
      <c r="J554" s="284">
        <f>J548+J550+J553</f>
        <v>244200</v>
      </c>
      <c r="K554" s="280"/>
    </row>
    <row r="555" spans="3:13" ht="18.600000000000001" customHeight="1">
      <c r="C555" s="293" t="s">
        <v>1220</v>
      </c>
      <c r="D555" s="294" t="s">
        <v>1249</v>
      </c>
      <c r="E555" s="295"/>
      <c r="F555" s="295"/>
      <c r="G555" s="296"/>
      <c r="H555" s="298">
        <f>$Q$8</f>
        <v>0.1</v>
      </c>
      <c r="I555" s="1116"/>
      <c r="J555" s="284">
        <f>J554*H555</f>
        <v>24420</v>
      </c>
      <c r="K555" s="280"/>
    </row>
    <row r="556" spans="3:13" ht="18.600000000000001" customHeight="1" thickBot="1">
      <c r="C556" s="299" t="s">
        <v>1221</v>
      </c>
      <c r="D556" s="300" t="s">
        <v>1222</v>
      </c>
      <c r="E556" s="301"/>
      <c r="F556" s="301"/>
      <c r="G556" s="301"/>
      <c r="H556" s="302"/>
      <c r="I556" s="301"/>
      <c r="J556" s="303">
        <f>SUM(J554:J555)</f>
        <v>268620</v>
      </c>
      <c r="K556" s="280"/>
    </row>
    <row r="557" spans="3:13" ht="14.4" thickTop="1">
      <c r="C557" s="304"/>
      <c r="D557" s="304"/>
      <c r="E557" s="304"/>
      <c r="F557" s="304"/>
      <c r="G557" s="304"/>
      <c r="H557" s="304"/>
      <c r="I557" s="304"/>
      <c r="J557" s="305"/>
      <c r="K557" s="280"/>
    </row>
    <row r="558" spans="3:13">
      <c r="C558" s="304"/>
      <c r="D558" s="304"/>
      <c r="E558" s="304"/>
      <c r="F558" s="304"/>
      <c r="G558" s="304"/>
      <c r="H558" s="304"/>
      <c r="I558" s="304"/>
      <c r="J558" s="305"/>
      <c r="K558" s="280"/>
    </row>
    <row r="559" spans="3:13">
      <c r="C559" s="328" t="s">
        <v>1930</v>
      </c>
      <c r="D559" s="48" t="s">
        <v>1931</v>
      </c>
      <c r="E559" s="304"/>
      <c r="F559" s="304"/>
      <c r="G559" s="304"/>
      <c r="H559" s="304"/>
      <c r="I559" s="304"/>
      <c r="J559" s="305"/>
      <c r="K559" s="280"/>
    </row>
    <row r="560" spans="3:13" ht="14.4" thickBot="1">
      <c r="C560" s="48" t="s">
        <v>1932</v>
      </c>
      <c r="D560" s="48" t="s">
        <v>1245</v>
      </c>
      <c r="E560" s="48"/>
      <c r="F560" s="329"/>
      <c r="G560" s="329"/>
      <c r="H560" s="329"/>
      <c r="I560" s="329"/>
      <c r="J560" s="952"/>
      <c r="K560" s="120">
        <f>ROUNDDOWN(J579,-2)</f>
        <v>2081300</v>
      </c>
      <c r="L560" s="939" t="s">
        <v>5296</v>
      </c>
      <c r="M560" s="940" t="s">
        <v>5296</v>
      </c>
    </row>
    <row r="561" spans="3:11" ht="28.2" thickTop="1">
      <c r="C561" s="51" t="s">
        <v>1195</v>
      </c>
      <c r="D561" s="52" t="s">
        <v>1196</v>
      </c>
      <c r="E561" s="52"/>
      <c r="F561" s="52" t="s">
        <v>1197</v>
      </c>
      <c r="G561" s="52" t="s">
        <v>1198</v>
      </c>
      <c r="H561" s="52" t="s">
        <v>1199</v>
      </c>
      <c r="I561" s="582"/>
      <c r="J561" s="942" t="s">
        <v>1200</v>
      </c>
      <c r="K561" s="289"/>
    </row>
    <row r="562" spans="3:11" ht="18.600000000000001" customHeight="1">
      <c r="C562" s="293" t="s">
        <v>1201</v>
      </c>
      <c r="D562" s="182" t="s">
        <v>1202</v>
      </c>
      <c r="E562" s="182"/>
      <c r="F562" s="1103"/>
      <c r="G562" s="486"/>
      <c r="H562" s="486"/>
      <c r="I562" s="294"/>
      <c r="J562" s="1104"/>
      <c r="K562" s="280"/>
    </row>
    <row r="563" spans="3:11" ht="18.600000000000001" customHeight="1">
      <c r="C563" s="1110" t="s">
        <v>1203</v>
      </c>
      <c r="D563" s="1103" t="s">
        <v>5</v>
      </c>
      <c r="E563" s="1103" t="s">
        <v>1774</v>
      </c>
      <c r="F563" s="102" t="s">
        <v>6</v>
      </c>
      <c r="G563" s="1111">
        <v>0.125</v>
      </c>
      <c r="H563" s="283">
        <f>VLOOKUP(D563,upahbahan,3,FALSE)</f>
        <v>100000</v>
      </c>
      <c r="I563" s="872"/>
      <c r="J563" s="284">
        <f>G563*H563</f>
        <v>12500</v>
      </c>
      <c r="K563" s="280"/>
    </row>
    <row r="564" spans="3:11" ht="18.600000000000001" customHeight="1">
      <c r="C564" s="1110" t="s">
        <v>1204</v>
      </c>
      <c r="D564" s="182" t="s">
        <v>26</v>
      </c>
      <c r="E564" s="182" t="s">
        <v>1778</v>
      </c>
      <c r="F564" s="102" t="s">
        <v>6</v>
      </c>
      <c r="G564" s="1111">
        <v>0.25</v>
      </c>
      <c r="H564" s="283">
        <f>VLOOKUP(D564,upahbahan,3,FALSE)</f>
        <v>175000</v>
      </c>
      <c r="I564" s="872"/>
      <c r="J564" s="284">
        <f>G564*H564</f>
        <v>43750</v>
      </c>
      <c r="K564" s="280"/>
    </row>
    <row r="565" spans="3:11" ht="18.600000000000001" customHeight="1">
      <c r="C565" s="1110" t="s">
        <v>1205</v>
      </c>
      <c r="D565" s="182" t="s">
        <v>33</v>
      </c>
      <c r="E565" s="182" t="s">
        <v>1779</v>
      </c>
      <c r="F565" s="102" t="s">
        <v>6</v>
      </c>
      <c r="G565" s="1111">
        <v>0.25</v>
      </c>
      <c r="H565" s="283">
        <f>VLOOKUP(D565,upahbahan,3,FALSE)</f>
        <v>150000</v>
      </c>
      <c r="I565" s="872"/>
      <c r="J565" s="284">
        <f>G565*H565</f>
        <v>37500</v>
      </c>
      <c r="K565" s="280"/>
    </row>
    <row r="566" spans="3:11" ht="18.600000000000001" customHeight="1">
      <c r="C566" s="1110" t="s">
        <v>1206</v>
      </c>
      <c r="D566" s="182" t="s">
        <v>25</v>
      </c>
      <c r="E566" s="182" t="s">
        <v>1933</v>
      </c>
      <c r="F566" s="102" t="s">
        <v>6</v>
      </c>
      <c r="G566" s="1111">
        <v>2</v>
      </c>
      <c r="H566" s="283">
        <f>VLOOKUP(D566,upahbahan,3,FALSE)</f>
        <v>150000</v>
      </c>
      <c r="I566" s="872"/>
      <c r="J566" s="284">
        <f>G566*H566</f>
        <v>300000</v>
      </c>
      <c r="K566" s="280"/>
    </row>
    <row r="567" spans="3:11" ht="18.600000000000001" customHeight="1">
      <c r="C567" s="1110" t="s">
        <v>1207</v>
      </c>
      <c r="D567" s="182" t="s">
        <v>22</v>
      </c>
      <c r="E567" s="182" t="s">
        <v>1934</v>
      </c>
      <c r="F567" s="102" t="s">
        <v>6</v>
      </c>
      <c r="G567" s="1111">
        <v>2</v>
      </c>
      <c r="H567" s="283">
        <f>VLOOKUP(D567,upahbahan,3,FALSE)</f>
        <v>400000</v>
      </c>
      <c r="I567" s="872"/>
      <c r="J567" s="284">
        <f>G567*H567</f>
        <v>800000</v>
      </c>
      <c r="K567" s="280"/>
    </row>
    <row r="568" spans="3:11" ht="18.600000000000001" customHeight="1">
      <c r="C568" s="66" t="s">
        <v>1208</v>
      </c>
      <c r="D568" s="944"/>
      <c r="E568" s="944"/>
      <c r="F568" s="944"/>
      <c r="G568" s="944"/>
      <c r="H568" s="944"/>
      <c r="I568" s="978"/>
      <c r="J568" s="1106">
        <f>SUM(J563:J567)</f>
        <v>1193750</v>
      </c>
      <c r="K568" s="280"/>
    </row>
    <row r="569" spans="3:11" ht="18.600000000000001" customHeight="1">
      <c r="C569" s="293" t="s">
        <v>1209</v>
      </c>
      <c r="D569" s="182" t="s">
        <v>1210</v>
      </c>
      <c r="E569" s="182"/>
      <c r="F569" s="1103"/>
      <c r="G569" s="1107"/>
      <c r="H569" s="486"/>
      <c r="I569" s="294"/>
      <c r="J569" s="1104"/>
      <c r="K569" s="280"/>
    </row>
    <row r="570" spans="3:11" ht="18.600000000000001" customHeight="1">
      <c r="C570" s="1110" t="s">
        <v>1203</v>
      </c>
      <c r="D570" s="1103" t="s">
        <v>1793</v>
      </c>
      <c r="E570" s="1103"/>
      <c r="F570" s="291" t="s">
        <v>42</v>
      </c>
      <c r="G570" s="526">
        <v>0.151</v>
      </c>
      <c r="H570" s="283">
        <f>VLOOKUP(D570,upahbahan,3,FALSE)</f>
        <v>3015000</v>
      </c>
      <c r="I570" s="872"/>
      <c r="J570" s="284">
        <f>G570*H570</f>
        <v>455265</v>
      </c>
      <c r="K570" s="280"/>
    </row>
    <row r="571" spans="3:11" ht="18.600000000000001" customHeight="1">
      <c r="C571" s="1110" t="s">
        <v>1204</v>
      </c>
      <c r="D571" s="1103" t="s">
        <v>266</v>
      </c>
      <c r="E571" s="1103"/>
      <c r="F571" s="102" t="s">
        <v>65</v>
      </c>
      <c r="G571" s="526">
        <v>0.50800000000000001</v>
      </c>
      <c r="H571" s="283">
        <f>VLOOKUP(D571,upahbahan,3,FALSE)</f>
        <v>35590</v>
      </c>
      <c r="I571" s="872"/>
      <c r="J571" s="284">
        <f>G571*H571</f>
        <v>18079.72</v>
      </c>
      <c r="K571" s="280"/>
    </row>
    <row r="572" spans="3:11" ht="18.600000000000001" customHeight="1">
      <c r="C572" s="66" t="s">
        <v>1214</v>
      </c>
      <c r="D572" s="944"/>
      <c r="E572" s="944"/>
      <c r="F572" s="944"/>
      <c r="G572" s="944"/>
      <c r="H572" s="944"/>
      <c r="I572" s="978"/>
      <c r="J572" s="1106">
        <f>SUM(J570:J571)</f>
        <v>473344.72</v>
      </c>
      <c r="K572" s="280"/>
    </row>
    <row r="573" spans="3:11" ht="18.600000000000001" customHeight="1">
      <c r="C573" s="293" t="s">
        <v>1215</v>
      </c>
      <c r="D573" s="182" t="s">
        <v>1216</v>
      </c>
      <c r="E573" s="182"/>
      <c r="F573" s="1103"/>
      <c r="G573" s="1107"/>
      <c r="H573" s="486"/>
      <c r="I573" s="294"/>
      <c r="J573" s="1104"/>
      <c r="K573" s="280"/>
    </row>
    <row r="574" spans="3:11" ht="18.600000000000001" customHeight="1">
      <c r="C574" s="1155">
        <v>1</v>
      </c>
      <c r="D574" s="182" t="s">
        <v>1155</v>
      </c>
      <c r="E574" s="182"/>
      <c r="F574" s="102" t="s">
        <v>1080</v>
      </c>
      <c r="G574" s="526">
        <v>1</v>
      </c>
      <c r="H574" s="283">
        <f>VLOOKUP(D574,upahbahan,3,FALSE)</f>
        <v>75000</v>
      </c>
      <c r="I574" s="872"/>
      <c r="J574" s="284">
        <f>G574*H574</f>
        <v>75000</v>
      </c>
      <c r="K574" s="280"/>
    </row>
    <row r="575" spans="3:11" ht="18.600000000000001" customHeight="1">
      <c r="C575" s="293">
        <v>2</v>
      </c>
      <c r="D575" s="182" t="s">
        <v>1147</v>
      </c>
      <c r="E575" s="182"/>
      <c r="F575" s="102" t="s">
        <v>1080</v>
      </c>
      <c r="G575" s="526">
        <v>1</v>
      </c>
      <c r="H575" s="283">
        <f>VLOOKUP(D575,upahbahan,3,FALSE)</f>
        <v>150000</v>
      </c>
      <c r="I575" s="872"/>
      <c r="J575" s="284">
        <f>G575*H575</f>
        <v>150000</v>
      </c>
      <c r="K575" s="280"/>
    </row>
    <row r="576" spans="3:11" ht="18.600000000000001" customHeight="1">
      <c r="C576" s="979" t="s">
        <v>1217</v>
      </c>
      <c r="D576" s="944"/>
      <c r="E576" s="944"/>
      <c r="F576" s="944"/>
      <c r="G576" s="944"/>
      <c r="H576" s="944"/>
      <c r="I576" s="978"/>
      <c r="J576" s="1106">
        <f>SUM(J574:J575)</f>
        <v>225000</v>
      </c>
      <c r="K576" s="280"/>
    </row>
    <row r="577" spans="3:16" ht="18.600000000000001" customHeight="1">
      <c r="C577" s="293" t="s">
        <v>1218</v>
      </c>
      <c r="D577" s="294" t="s">
        <v>1219</v>
      </c>
      <c r="E577" s="295"/>
      <c r="F577" s="295"/>
      <c r="G577" s="295"/>
      <c r="H577" s="296"/>
      <c r="I577" s="295"/>
      <c r="J577" s="284">
        <f>J568+J572+J576</f>
        <v>1892094.72</v>
      </c>
      <c r="K577" s="280"/>
    </row>
    <row r="578" spans="3:16" ht="18.600000000000001" customHeight="1">
      <c r="C578" s="293" t="s">
        <v>1220</v>
      </c>
      <c r="D578" s="294" t="s">
        <v>1249</v>
      </c>
      <c r="E578" s="295"/>
      <c r="F578" s="295"/>
      <c r="G578" s="296"/>
      <c r="H578" s="298">
        <f>$Q$8</f>
        <v>0.1</v>
      </c>
      <c r="I578" s="1116"/>
      <c r="J578" s="284">
        <f>J577*H578</f>
        <v>189209.47200000001</v>
      </c>
      <c r="K578" s="280"/>
    </row>
    <row r="579" spans="3:16" ht="18.600000000000001" customHeight="1" thickBot="1">
      <c r="C579" s="299" t="s">
        <v>1221</v>
      </c>
      <c r="D579" s="300" t="s">
        <v>1222</v>
      </c>
      <c r="E579" s="301"/>
      <c r="F579" s="301"/>
      <c r="G579" s="301"/>
      <c r="H579" s="302"/>
      <c r="I579" s="301"/>
      <c r="J579" s="303">
        <f>SUM(J577:J578)</f>
        <v>2081304.192</v>
      </c>
      <c r="K579" s="280"/>
    </row>
    <row r="580" spans="3:16" ht="14.4" thickTop="1">
      <c r="C580" s="304"/>
      <c r="D580" s="304"/>
      <c r="E580" s="304"/>
      <c r="F580" s="304"/>
      <c r="G580" s="304"/>
      <c r="H580" s="304"/>
      <c r="I580" s="304"/>
      <c r="J580" s="305"/>
      <c r="K580" s="280"/>
    </row>
    <row r="581" spans="3:16" ht="14.4" thickBot="1">
      <c r="C581" s="47" t="s">
        <v>1935</v>
      </c>
      <c r="D581" s="48" t="s">
        <v>1936</v>
      </c>
      <c r="E581" s="48"/>
      <c r="F581" s="329"/>
      <c r="G581" s="329"/>
      <c r="H581" s="329"/>
      <c r="I581" s="329"/>
      <c r="J581" s="952"/>
      <c r="K581" s="120">
        <f>ROUNDDOWN(J599,-2)</f>
        <v>60300</v>
      </c>
      <c r="L581" s="939" t="s">
        <v>5296</v>
      </c>
      <c r="M581" s="940" t="s">
        <v>7699</v>
      </c>
    </row>
    <row r="582" spans="3:16" ht="28.2" thickTop="1">
      <c r="C582" s="51" t="s">
        <v>1195</v>
      </c>
      <c r="D582" s="52" t="s">
        <v>1196</v>
      </c>
      <c r="E582" s="52" t="s">
        <v>1906</v>
      </c>
      <c r="F582" s="52" t="s">
        <v>1197</v>
      </c>
      <c r="G582" s="52" t="s">
        <v>1198</v>
      </c>
      <c r="H582" s="52" t="s">
        <v>1199</v>
      </c>
      <c r="I582" s="582"/>
      <c r="J582" s="942" t="s">
        <v>1200</v>
      </c>
      <c r="K582" s="289"/>
    </row>
    <row r="583" spans="3:16" ht="18.600000000000001" customHeight="1">
      <c r="C583" s="293" t="s">
        <v>1201</v>
      </c>
      <c r="D583" s="182" t="s">
        <v>1202</v>
      </c>
      <c r="E583" s="182"/>
      <c r="F583" s="1103"/>
      <c r="G583" s="486"/>
      <c r="H583" s="486"/>
      <c r="I583" s="294"/>
      <c r="J583" s="1104"/>
      <c r="K583" s="280"/>
      <c r="P583" s="374"/>
    </row>
    <row r="584" spans="3:16" ht="18.600000000000001" customHeight="1">
      <c r="C584" s="1110" t="s">
        <v>1203</v>
      </c>
      <c r="D584" s="1103" t="s">
        <v>5</v>
      </c>
      <c r="E584" s="102" t="s">
        <v>1774</v>
      </c>
      <c r="F584" s="102" t="s">
        <v>6</v>
      </c>
      <c r="G584" s="1111">
        <v>1.2E-2</v>
      </c>
      <c r="H584" s="283">
        <f>VLOOKUP(D584,upahbahan,3,FALSE)</f>
        <v>100000</v>
      </c>
      <c r="I584" s="872"/>
      <c r="J584" s="284">
        <f>G584*H584</f>
        <v>1200</v>
      </c>
      <c r="K584" s="280"/>
    </row>
    <row r="585" spans="3:16" ht="18.600000000000001" customHeight="1">
      <c r="C585" s="1110" t="s">
        <v>1204</v>
      </c>
      <c r="D585" s="182" t="s">
        <v>8</v>
      </c>
      <c r="E585" s="176" t="s">
        <v>1775</v>
      </c>
      <c r="F585" s="102" t="s">
        <v>6</v>
      </c>
      <c r="G585" s="1111">
        <v>6.0000000000000001E-3</v>
      </c>
      <c r="H585" s="283">
        <f>VLOOKUP(D585,upahbahan,3,FALSE)</f>
        <v>135000</v>
      </c>
      <c r="I585" s="872"/>
      <c r="J585" s="284">
        <f>G585*H585</f>
        <v>810</v>
      </c>
      <c r="K585" s="280"/>
    </row>
    <row r="586" spans="3:16" ht="18.600000000000001" customHeight="1">
      <c r="C586" s="1110" t="s">
        <v>1205</v>
      </c>
      <c r="D586" s="182" t="s">
        <v>18</v>
      </c>
      <c r="E586" s="176" t="s">
        <v>1776</v>
      </c>
      <c r="F586" s="102" t="s">
        <v>6</v>
      </c>
      <c r="G586" s="1111">
        <v>5.9999999999999995E-4</v>
      </c>
      <c r="H586" s="283">
        <f>VLOOKUP(D586,upahbahan,3,FALSE)</f>
        <v>150000</v>
      </c>
      <c r="I586" s="872"/>
      <c r="J586" s="284">
        <f>G586*H586</f>
        <v>89.999999999999986</v>
      </c>
      <c r="K586" s="280"/>
    </row>
    <row r="587" spans="3:16" ht="18.600000000000001" customHeight="1">
      <c r="C587" s="1110" t="s">
        <v>1206</v>
      </c>
      <c r="D587" s="1103" t="s">
        <v>19</v>
      </c>
      <c r="E587" s="102" t="s">
        <v>1777</v>
      </c>
      <c r="F587" s="102" t="s">
        <v>6</v>
      </c>
      <c r="G587" s="1111">
        <v>1.1999999999999999E-3</v>
      </c>
      <c r="H587" s="283">
        <f>VLOOKUP(D587,upahbahan,3,FALSE)</f>
        <v>160000</v>
      </c>
      <c r="I587" s="872"/>
      <c r="J587" s="284">
        <f>G587*H587</f>
        <v>191.99999999999997</v>
      </c>
      <c r="K587" s="280"/>
    </row>
    <row r="588" spans="3:16" ht="18.600000000000001" customHeight="1">
      <c r="C588" s="66" t="s">
        <v>1208</v>
      </c>
      <c r="D588" s="944"/>
      <c r="E588" s="944"/>
      <c r="F588" s="944"/>
      <c r="G588" s="944"/>
      <c r="H588" s="944"/>
      <c r="I588" s="978"/>
      <c r="J588" s="1106">
        <f>SUM(J584:J587)</f>
        <v>2292</v>
      </c>
      <c r="K588" s="280"/>
    </row>
    <row r="589" spans="3:16" ht="18.600000000000001" customHeight="1">
      <c r="C589" s="293" t="s">
        <v>1209</v>
      </c>
      <c r="D589" s="182" t="s">
        <v>1210</v>
      </c>
      <c r="E589" s="182"/>
      <c r="F589" s="1103"/>
      <c r="G589" s="1107"/>
      <c r="H589" s="486"/>
      <c r="I589" s="294"/>
      <c r="J589" s="1104"/>
      <c r="K589" s="280"/>
    </row>
    <row r="590" spans="3:16" ht="18.600000000000001" customHeight="1">
      <c r="C590" s="1110" t="s">
        <v>1203</v>
      </c>
      <c r="D590" s="1103" t="s">
        <v>1849</v>
      </c>
      <c r="E590" s="1103"/>
      <c r="F590" s="291" t="s">
        <v>42</v>
      </c>
      <c r="G590" s="526">
        <v>1.2999999999999999E-2</v>
      </c>
      <c r="H590" s="283">
        <f>VLOOKUP(D590,upahbahan,3,FALSE)</f>
        <v>2250000</v>
      </c>
      <c r="I590" s="872"/>
      <c r="J590" s="284">
        <f>G590*H590</f>
        <v>29250</v>
      </c>
      <c r="K590" s="280"/>
    </row>
    <row r="591" spans="3:16" ht="18.600000000000001" customHeight="1">
      <c r="C591" s="1110" t="s">
        <v>1204</v>
      </c>
      <c r="D591" s="1103" t="s">
        <v>121</v>
      </c>
      <c r="E591" s="1103"/>
      <c r="F591" s="291" t="s">
        <v>42</v>
      </c>
      <c r="G591" s="526">
        <v>7.0000000000000001E-3</v>
      </c>
      <c r="H591" s="283">
        <f>VLOOKUP(D591,upahbahan,3,FALSE)</f>
        <v>3150000</v>
      </c>
      <c r="I591" s="872"/>
      <c r="J591" s="284">
        <f>G591*H591</f>
        <v>22050</v>
      </c>
      <c r="K591" s="280"/>
    </row>
    <row r="592" spans="3:16" ht="18.600000000000001" customHeight="1">
      <c r="C592" s="1110" t="s">
        <v>1205</v>
      </c>
      <c r="D592" s="1103" t="s">
        <v>261</v>
      </c>
      <c r="E592" s="1103"/>
      <c r="F592" s="102" t="s">
        <v>65</v>
      </c>
      <c r="G592" s="526">
        <v>0.02</v>
      </c>
      <c r="H592" s="283">
        <f>VLOOKUP(D592,upahbahan,3,FALSE)</f>
        <v>33901.875</v>
      </c>
      <c r="I592" s="872"/>
      <c r="J592" s="284">
        <f>G592*H592</f>
        <v>678.03750000000002</v>
      </c>
      <c r="K592" s="280"/>
    </row>
    <row r="593" spans="3:16" ht="18.600000000000001" customHeight="1">
      <c r="C593" s="66" t="s">
        <v>1214</v>
      </c>
      <c r="D593" s="944"/>
      <c r="E593" s="944"/>
      <c r="F593" s="944"/>
      <c r="G593" s="944"/>
      <c r="H593" s="944"/>
      <c r="I593" s="978"/>
      <c r="J593" s="1106">
        <f>SUM(J590:J592)</f>
        <v>51978.037499999999</v>
      </c>
      <c r="K593" s="280"/>
    </row>
    <row r="594" spans="3:16" ht="18.600000000000001" customHeight="1">
      <c r="C594" s="293" t="s">
        <v>1215</v>
      </c>
      <c r="D594" s="182" t="s">
        <v>1216</v>
      </c>
      <c r="E594" s="182"/>
      <c r="F594" s="1103"/>
      <c r="G594" s="1107"/>
      <c r="H594" s="486"/>
      <c r="I594" s="294"/>
      <c r="J594" s="1104"/>
      <c r="K594" s="280"/>
    </row>
    <row r="595" spans="3:16" ht="18.600000000000001" customHeight="1">
      <c r="C595" s="1155">
        <v>1</v>
      </c>
      <c r="D595" s="182" t="s">
        <v>1155</v>
      </c>
      <c r="E595" s="182"/>
      <c r="F595" s="102" t="s">
        <v>1080</v>
      </c>
      <c r="G595" s="1107">
        <v>6.0000000000000001E-3</v>
      </c>
      <c r="H595" s="283">
        <f>VLOOKUP(D563,upahbahan,3,FALSE)</f>
        <v>100000</v>
      </c>
      <c r="I595" s="872"/>
      <c r="J595" s="284">
        <f>G595*H595</f>
        <v>600</v>
      </c>
      <c r="K595" s="280"/>
    </row>
    <row r="596" spans="3:16" ht="18.600000000000001" customHeight="1">
      <c r="C596" s="66" t="s">
        <v>1217</v>
      </c>
      <c r="D596" s="944"/>
      <c r="E596" s="944"/>
      <c r="F596" s="944"/>
      <c r="G596" s="944"/>
      <c r="H596" s="944"/>
      <c r="I596" s="978"/>
      <c r="J596" s="1106">
        <f>SUM(J595)</f>
        <v>600</v>
      </c>
      <c r="K596" s="280"/>
    </row>
    <row r="597" spans="3:16" ht="18.600000000000001" customHeight="1">
      <c r="C597" s="293" t="s">
        <v>1218</v>
      </c>
      <c r="D597" s="294" t="s">
        <v>1219</v>
      </c>
      <c r="E597" s="295"/>
      <c r="F597" s="295"/>
      <c r="G597" s="295"/>
      <c r="H597" s="296"/>
      <c r="I597" s="295"/>
      <c r="J597" s="284">
        <f>J588+J593+J596</f>
        <v>54870.037499999999</v>
      </c>
      <c r="K597" s="280"/>
    </row>
    <row r="598" spans="3:16" ht="18.600000000000001" customHeight="1">
      <c r="C598" s="293" t="s">
        <v>1220</v>
      </c>
      <c r="D598" s="294" t="s">
        <v>1249</v>
      </c>
      <c r="E598" s="295"/>
      <c r="F598" s="295"/>
      <c r="G598" s="296"/>
      <c r="H598" s="298">
        <f>$Q$8</f>
        <v>0.1</v>
      </c>
      <c r="I598" s="1116"/>
      <c r="J598" s="284">
        <f>J597*H598</f>
        <v>5487.0037499999999</v>
      </c>
      <c r="K598" s="280"/>
    </row>
    <row r="599" spans="3:16" ht="18.600000000000001" customHeight="1" thickBot="1">
      <c r="C599" s="299" t="s">
        <v>1221</v>
      </c>
      <c r="D599" s="300" t="s">
        <v>1222</v>
      </c>
      <c r="E599" s="301"/>
      <c r="F599" s="301"/>
      <c r="G599" s="301"/>
      <c r="H599" s="302"/>
      <c r="I599" s="301"/>
      <c r="J599" s="303">
        <f>SUM(J597:J598)</f>
        <v>60357.041249999995</v>
      </c>
      <c r="K599" s="280"/>
    </row>
    <row r="600" spans="3:16" ht="14.4" thickTop="1">
      <c r="C600" s="304"/>
      <c r="D600" s="304"/>
      <c r="E600" s="304"/>
      <c r="F600" s="304"/>
      <c r="G600" s="304"/>
      <c r="H600" s="304"/>
      <c r="I600" s="304"/>
      <c r="J600" s="305"/>
      <c r="K600" s="280"/>
    </row>
    <row r="601" spans="3:16">
      <c r="C601" s="304"/>
      <c r="D601" s="304"/>
      <c r="E601" s="304"/>
      <c r="F601" s="304"/>
      <c r="G601" s="304"/>
      <c r="H601" s="304"/>
      <c r="I601" s="304"/>
      <c r="J601" s="305"/>
      <c r="K601" s="280"/>
    </row>
    <row r="602" spans="3:16" ht="14.4" thickBot="1">
      <c r="C602" s="47" t="s">
        <v>1937</v>
      </c>
      <c r="D602" s="48" t="s">
        <v>1938</v>
      </c>
      <c r="E602" s="48"/>
      <c r="F602" s="329"/>
      <c r="G602" s="329"/>
      <c r="H602" s="329"/>
      <c r="I602" s="329"/>
      <c r="J602" s="952"/>
      <c r="K602" s="120">
        <f>ROUNDDOWN(J619,-2)</f>
        <v>88200</v>
      </c>
      <c r="L602" s="939" t="s">
        <v>5296</v>
      </c>
      <c r="M602" s="940" t="s">
        <v>5296</v>
      </c>
    </row>
    <row r="603" spans="3:16" ht="28.2" thickTop="1">
      <c r="C603" s="51" t="s">
        <v>1195</v>
      </c>
      <c r="D603" s="52" t="s">
        <v>1196</v>
      </c>
      <c r="E603" s="52" t="s">
        <v>1906</v>
      </c>
      <c r="F603" s="52" t="s">
        <v>1197</v>
      </c>
      <c r="G603" s="52" t="s">
        <v>1198</v>
      </c>
      <c r="H603" s="52" t="s">
        <v>1199</v>
      </c>
      <c r="I603" s="582"/>
      <c r="J603" s="942" t="s">
        <v>1200</v>
      </c>
      <c r="K603" s="289"/>
    </row>
    <row r="604" spans="3:16" ht="18.600000000000001" customHeight="1">
      <c r="C604" s="293" t="s">
        <v>1201</v>
      </c>
      <c r="D604" s="182" t="s">
        <v>1202</v>
      </c>
      <c r="E604" s="182"/>
      <c r="F604" s="1103"/>
      <c r="G604" s="486"/>
      <c r="H604" s="486"/>
      <c r="I604" s="294"/>
      <c r="J604" s="1104"/>
      <c r="K604" s="280"/>
      <c r="P604" s="374"/>
    </row>
    <row r="605" spans="3:16" ht="18.600000000000001" customHeight="1">
      <c r="C605" s="1110" t="s">
        <v>1203</v>
      </c>
      <c r="D605" s="1103" t="s">
        <v>5</v>
      </c>
      <c r="E605" s="102" t="s">
        <v>1774</v>
      </c>
      <c r="F605" s="102" t="s">
        <v>6</v>
      </c>
      <c r="G605" s="1111">
        <v>8.0000000000000002E-3</v>
      </c>
      <c r="H605" s="283">
        <f>VLOOKUP(D605,upahbahan,3,FALSE)</f>
        <v>100000</v>
      </c>
      <c r="I605" s="872"/>
      <c r="J605" s="284">
        <f>G605*H605</f>
        <v>800</v>
      </c>
      <c r="K605" s="280"/>
    </row>
    <row r="606" spans="3:16" ht="18.600000000000001" customHeight="1">
      <c r="C606" s="1110" t="s">
        <v>1204</v>
      </c>
      <c r="D606" s="182" t="s">
        <v>8</v>
      </c>
      <c r="E606" s="176" t="s">
        <v>1775</v>
      </c>
      <c r="F606" s="102" t="s">
        <v>6</v>
      </c>
      <c r="G606" s="1111">
        <v>4.0000000000000001E-3</v>
      </c>
      <c r="H606" s="283">
        <f>VLOOKUP(D606,upahbahan,3,FALSE)</f>
        <v>135000</v>
      </c>
      <c r="I606" s="872"/>
      <c r="J606" s="284">
        <f>G606*H606</f>
        <v>540</v>
      </c>
      <c r="K606" s="280"/>
    </row>
    <row r="607" spans="3:16" ht="18.600000000000001" customHeight="1">
      <c r="C607" s="1110" t="s">
        <v>1205</v>
      </c>
      <c r="D607" s="182" t="s">
        <v>18</v>
      </c>
      <c r="E607" s="176" t="s">
        <v>1776</v>
      </c>
      <c r="F607" s="102" t="s">
        <v>6</v>
      </c>
      <c r="G607" s="1111">
        <v>4.0000000000000002E-4</v>
      </c>
      <c r="H607" s="283">
        <f>VLOOKUP(D607,upahbahan,3,FALSE)</f>
        <v>150000</v>
      </c>
      <c r="I607" s="872"/>
      <c r="J607" s="284">
        <f>G607*H607</f>
        <v>60</v>
      </c>
      <c r="K607" s="280"/>
    </row>
    <row r="608" spans="3:16" ht="18.600000000000001" customHeight="1">
      <c r="C608" s="1110" t="s">
        <v>1206</v>
      </c>
      <c r="D608" s="1103" t="s">
        <v>19</v>
      </c>
      <c r="E608" s="102" t="s">
        <v>1777</v>
      </c>
      <c r="F608" s="102" t="s">
        <v>6</v>
      </c>
      <c r="G608" s="1111">
        <v>8.0000000000000004E-4</v>
      </c>
      <c r="H608" s="283">
        <f>VLOOKUP(D608,upahbahan,3,FALSE)</f>
        <v>160000</v>
      </c>
      <c r="I608" s="872"/>
      <c r="J608" s="284">
        <f>G608*H608</f>
        <v>128</v>
      </c>
      <c r="K608" s="280"/>
    </row>
    <row r="609" spans="3:16" ht="18.600000000000001" customHeight="1">
      <c r="C609" s="66" t="s">
        <v>1208</v>
      </c>
      <c r="D609" s="944"/>
      <c r="E609" s="944"/>
      <c r="F609" s="944"/>
      <c r="G609" s="944"/>
      <c r="H609" s="944"/>
      <c r="I609" s="978"/>
      <c r="J609" s="1106">
        <f>SUM(J605:J608)</f>
        <v>1528</v>
      </c>
      <c r="K609" s="280"/>
    </row>
    <row r="610" spans="3:16" ht="18.600000000000001" customHeight="1">
      <c r="C610" s="293" t="s">
        <v>1209</v>
      </c>
      <c r="D610" s="182" t="s">
        <v>1210</v>
      </c>
      <c r="E610" s="182"/>
      <c r="F610" s="1103"/>
      <c r="G610" s="1107"/>
      <c r="H610" s="486"/>
      <c r="I610" s="294"/>
      <c r="J610" s="1104"/>
      <c r="K610" s="280"/>
    </row>
    <row r="611" spans="3:16" ht="18.600000000000001" customHeight="1">
      <c r="C611" s="1110" t="s">
        <v>1203</v>
      </c>
      <c r="D611" s="1103" t="s">
        <v>1793</v>
      </c>
      <c r="E611" s="1103"/>
      <c r="F611" s="291" t="s">
        <v>42</v>
      </c>
      <c r="G611" s="526">
        <v>1.2999999999999999E-2</v>
      </c>
      <c r="H611" s="283">
        <f>VLOOKUP(D611,upahbahan,3,FALSE)</f>
        <v>3015000</v>
      </c>
      <c r="I611" s="872"/>
      <c r="J611" s="284">
        <f>G611*H611</f>
        <v>39195</v>
      </c>
      <c r="K611" s="280"/>
    </row>
    <row r="612" spans="3:16" ht="18.600000000000001" customHeight="1">
      <c r="C612" s="1110" t="s">
        <v>1205</v>
      </c>
      <c r="D612" s="339" t="s">
        <v>1939</v>
      </c>
      <c r="E612" s="339"/>
      <c r="F612" s="115" t="s">
        <v>1940</v>
      </c>
      <c r="G612" s="1156">
        <v>1.1000000000000001</v>
      </c>
      <c r="H612" s="185">
        <f>VLOOKUP(D612,upahbahan,3,FALSE)</f>
        <v>35590</v>
      </c>
      <c r="I612" s="1131"/>
      <c r="J612" s="284">
        <f>G612*H612</f>
        <v>39149</v>
      </c>
      <c r="K612" s="280"/>
    </row>
    <row r="613" spans="3:16" ht="18.600000000000001" customHeight="1">
      <c r="C613" s="66" t="s">
        <v>1214</v>
      </c>
      <c r="D613" s="944"/>
      <c r="E613" s="944"/>
      <c r="F613" s="944"/>
      <c r="G613" s="944"/>
      <c r="H613" s="944"/>
      <c r="I613" s="978"/>
      <c r="J613" s="1106">
        <f>SUM(J611:J612)</f>
        <v>78344</v>
      </c>
      <c r="K613" s="280"/>
    </row>
    <row r="614" spans="3:16" ht="18.600000000000001" customHeight="1">
      <c r="C614" s="293" t="s">
        <v>1215</v>
      </c>
      <c r="D614" s="182" t="s">
        <v>1216</v>
      </c>
      <c r="E614" s="182"/>
      <c r="F614" s="1103"/>
      <c r="G614" s="1107"/>
      <c r="H614" s="486"/>
      <c r="I614" s="294"/>
      <c r="J614" s="1104"/>
      <c r="K614" s="280"/>
    </row>
    <row r="615" spans="3:16" ht="18.600000000000001" customHeight="1">
      <c r="C615" s="1155">
        <v>1</v>
      </c>
      <c r="D615" s="182" t="s">
        <v>1155</v>
      </c>
      <c r="E615" s="182"/>
      <c r="F615" s="102" t="s">
        <v>1080</v>
      </c>
      <c r="G615" s="1107">
        <v>4.0000000000000001E-3</v>
      </c>
      <c r="H615" s="283">
        <f>VLOOKUP(D584,upahbahan,3,FALSE)</f>
        <v>100000</v>
      </c>
      <c r="I615" s="872"/>
      <c r="J615" s="284">
        <f>G615*H615</f>
        <v>400</v>
      </c>
      <c r="K615" s="280"/>
    </row>
    <row r="616" spans="3:16" ht="18.600000000000001" customHeight="1">
      <c r="C616" s="66" t="s">
        <v>1217</v>
      </c>
      <c r="D616" s="944"/>
      <c r="E616" s="944"/>
      <c r="F616" s="944"/>
      <c r="G616" s="944"/>
      <c r="H616" s="944"/>
      <c r="I616" s="978"/>
      <c r="J616" s="1106">
        <f>SUM(J615)</f>
        <v>400</v>
      </c>
      <c r="K616" s="280"/>
    </row>
    <row r="617" spans="3:16" ht="18.600000000000001" customHeight="1">
      <c r="C617" s="293" t="s">
        <v>1218</v>
      </c>
      <c r="D617" s="294" t="s">
        <v>1219</v>
      </c>
      <c r="E617" s="295"/>
      <c r="F617" s="295"/>
      <c r="G617" s="295"/>
      <c r="H617" s="296"/>
      <c r="I617" s="295"/>
      <c r="J617" s="284">
        <f>J609+J613+J616</f>
        <v>80272</v>
      </c>
      <c r="K617" s="280"/>
    </row>
    <row r="618" spans="3:16" ht="18.600000000000001" customHeight="1">
      <c r="C618" s="293" t="s">
        <v>1220</v>
      </c>
      <c r="D618" s="294" t="s">
        <v>1249</v>
      </c>
      <c r="E618" s="295"/>
      <c r="F618" s="295"/>
      <c r="G618" s="296"/>
      <c r="H618" s="298">
        <f>$Q$8</f>
        <v>0.1</v>
      </c>
      <c r="I618" s="1116"/>
      <c r="J618" s="284">
        <f>J617*H618</f>
        <v>8027.2000000000007</v>
      </c>
      <c r="K618" s="280"/>
    </row>
    <row r="619" spans="3:16" ht="18.600000000000001" customHeight="1" thickBot="1">
      <c r="C619" s="299" t="s">
        <v>1221</v>
      </c>
      <c r="D619" s="300" t="s">
        <v>1222</v>
      </c>
      <c r="E619" s="301"/>
      <c r="F619" s="301"/>
      <c r="G619" s="301"/>
      <c r="H619" s="302"/>
      <c r="I619" s="301"/>
      <c r="J619" s="303">
        <f>SUM(J617:J618)</f>
        <v>88299.199999999997</v>
      </c>
      <c r="K619" s="280"/>
    </row>
    <row r="620" spans="3:16" ht="14.4" thickTop="1"/>
    <row r="622" spans="3:16" ht="14.4" thickBot="1">
      <c r="C622" s="47" t="s">
        <v>1941</v>
      </c>
      <c r="D622" s="48" t="s">
        <v>1942</v>
      </c>
      <c r="E622" s="48"/>
      <c r="F622" s="329"/>
      <c r="G622" s="329"/>
      <c r="H622" s="329"/>
      <c r="I622" s="329"/>
      <c r="J622" s="952"/>
      <c r="K622" s="120">
        <f>ROUNDDOWN(J639,-2)</f>
        <v>57600</v>
      </c>
      <c r="L622" s="939" t="s">
        <v>5296</v>
      </c>
      <c r="M622" s="940" t="s">
        <v>7699</v>
      </c>
    </row>
    <row r="623" spans="3:16" ht="28.2" thickTop="1">
      <c r="C623" s="51" t="s">
        <v>1195</v>
      </c>
      <c r="D623" s="52" t="s">
        <v>1196</v>
      </c>
      <c r="E623" s="52" t="s">
        <v>1906</v>
      </c>
      <c r="F623" s="52" t="s">
        <v>1197</v>
      </c>
      <c r="G623" s="52" t="s">
        <v>1198</v>
      </c>
      <c r="H623" s="52" t="s">
        <v>1199</v>
      </c>
      <c r="I623" s="582"/>
      <c r="J623" s="942" t="s">
        <v>1200</v>
      </c>
      <c r="K623" s="289"/>
    </row>
    <row r="624" spans="3:16" ht="20.399999999999999" customHeight="1">
      <c r="C624" s="293" t="s">
        <v>1201</v>
      </c>
      <c r="D624" s="182" t="s">
        <v>1202</v>
      </c>
      <c r="E624" s="182"/>
      <c r="F624" s="1103"/>
      <c r="G624" s="486"/>
      <c r="H624" s="486"/>
      <c r="I624" s="294"/>
      <c r="J624" s="1104"/>
      <c r="K624" s="280"/>
      <c r="P624" s="374"/>
    </row>
    <row r="625" spans="3:11" ht="20.399999999999999" customHeight="1">
      <c r="C625" s="1110" t="s">
        <v>1203</v>
      </c>
      <c r="D625" s="1103" t="s">
        <v>5</v>
      </c>
      <c r="E625" s="102" t="s">
        <v>1774</v>
      </c>
      <c r="F625" s="102" t="s">
        <v>6</v>
      </c>
      <c r="G625" s="1111">
        <v>1.2E-2</v>
      </c>
      <c r="H625" s="283">
        <f>VLOOKUP(D625,upahbahan,3,FALSE)</f>
        <v>100000</v>
      </c>
      <c r="I625" s="872"/>
      <c r="J625" s="284">
        <f>G625*H625</f>
        <v>1200</v>
      </c>
      <c r="K625" s="280"/>
    </row>
    <row r="626" spans="3:11" ht="20.399999999999999" customHeight="1">
      <c r="C626" s="1110" t="s">
        <v>1204</v>
      </c>
      <c r="D626" s="182" t="s">
        <v>8</v>
      </c>
      <c r="E626" s="176" t="s">
        <v>1775</v>
      </c>
      <c r="F626" s="102" t="s">
        <v>6</v>
      </c>
      <c r="G626" s="1111">
        <v>6.0000000000000001E-3</v>
      </c>
      <c r="H626" s="283">
        <f>VLOOKUP(D626,upahbahan,3,FALSE)</f>
        <v>135000</v>
      </c>
      <c r="I626" s="872"/>
      <c r="J626" s="284">
        <f>G626*H626</f>
        <v>810</v>
      </c>
      <c r="K626" s="280"/>
    </row>
    <row r="627" spans="3:11" ht="20.399999999999999" customHeight="1">
      <c r="C627" s="1110" t="s">
        <v>1205</v>
      </c>
      <c r="D627" s="182" t="s">
        <v>18</v>
      </c>
      <c r="E627" s="176" t="s">
        <v>1776</v>
      </c>
      <c r="F627" s="102" t="s">
        <v>6</v>
      </c>
      <c r="G627" s="1111">
        <v>5.9999999999999995E-4</v>
      </c>
      <c r="H627" s="283">
        <f>VLOOKUP(D627,upahbahan,3,FALSE)</f>
        <v>150000</v>
      </c>
      <c r="I627" s="872"/>
      <c r="J627" s="284">
        <f>G627*H627</f>
        <v>89.999999999999986</v>
      </c>
      <c r="K627" s="280"/>
    </row>
    <row r="628" spans="3:11" ht="20.399999999999999" customHeight="1">
      <c r="C628" s="1110" t="s">
        <v>1206</v>
      </c>
      <c r="D628" s="1103" t="s">
        <v>19</v>
      </c>
      <c r="E628" s="102" t="s">
        <v>1777</v>
      </c>
      <c r="F628" s="102" t="s">
        <v>6</v>
      </c>
      <c r="G628" s="1111">
        <v>1.1999999999999999E-3</v>
      </c>
      <c r="H628" s="283">
        <f>VLOOKUP(D628,upahbahan,3,FALSE)</f>
        <v>160000</v>
      </c>
      <c r="I628" s="872"/>
      <c r="J628" s="284">
        <f>G628*H628</f>
        <v>191.99999999999997</v>
      </c>
      <c r="K628" s="280"/>
    </row>
    <row r="629" spans="3:11" ht="20.399999999999999" customHeight="1">
      <c r="C629" s="66" t="s">
        <v>1208</v>
      </c>
      <c r="D629" s="944"/>
      <c r="E629" s="944"/>
      <c r="F629" s="944"/>
      <c r="G629" s="944"/>
      <c r="H629" s="944"/>
      <c r="I629" s="978"/>
      <c r="J629" s="1106">
        <f>SUM(J625:J628)</f>
        <v>2292</v>
      </c>
      <c r="K629" s="280"/>
    </row>
    <row r="630" spans="3:11" ht="20.399999999999999" customHeight="1">
      <c r="C630" s="293" t="s">
        <v>1209</v>
      </c>
      <c r="D630" s="182" t="s">
        <v>1210</v>
      </c>
      <c r="E630" s="182"/>
      <c r="F630" s="1103"/>
      <c r="G630" s="1107"/>
      <c r="H630" s="486"/>
      <c r="I630" s="294"/>
      <c r="J630" s="1104"/>
      <c r="K630" s="280"/>
    </row>
    <row r="631" spans="3:11" ht="20.399999999999999" customHeight="1">
      <c r="C631" s="1110" t="s">
        <v>1203</v>
      </c>
      <c r="D631" s="1103" t="s">
        <v>1793</v>
      </c>
      <c r="E631" s="1103"/>
      <c r="F631" s="291" t="s">
        <v>42</v>
      </c>
      <c r="G631" s="1111">
        <v>3.5000000000000001E-3</v>
      </c>
      <c r="H631" s="283">
        <f>VLOOKUP(D631,upahbahan,3,FALSE)</f>
        <v>3015000</v>
      </c>
      <c r="I631" s="872"/>
      <c r="J631" s="284">
        <f>G631*H631</f>
        <v>10552.5</v>
      </c>
      <c r="K631" s="280"/>
    </row>
    <row r="632" spans="3:11" ht="20.399999999999999" customHeight="1">
      <c r="C632" s="1110" t="s">
        <v>1205</v>
      </c>
      <c r="D632" s="285" t="s">
        <v>1939</v>
      </c>
      <c r="E632" s="285"/>
      <c r="F632" s="291" t="s">
        <v>1940</v>
      </c>
      <c r="G632" s="1157">
        <v>1.1000000000000001</v>
      </c>
      <c r="H632" s="183">
        <f>VLOOKUP(D632,upahbahan,3,FALSE)</f>
        <v>35590</v>
      </c>
      <c r="I632" s="1154"/>
      <c r="J632" s="284">
        <f>G632*H632</f>
        <v>39149</v>
      </c>
      <c r="K632" s="280"/>
    </row>
    <row r="633" spans="3:11" ht="20.399999999999999" customHeight="1">
      <c r="C633" s="66" t="s">
        <v>1214</v>
      </c>
      <c r="D633" s="944"/>
      <c r="E633" s="944"/>
      <c r="F633" s="944"/>
      <c r="G633" s="944"/>
      <c r="H633" s="944"/>
      <c r="I633" s="978"/>
      <c r="J633" s="1106">
        <f>SUM(J631:J632)</f>
        <v>49701.5</v>
      </c>
      <c r="K633" s="280"/>
    </row>
    <row r="634" spans="3:11" ht="20.399999999999999" customHeight="1">
      <c r="C634" s="293" t="s">
        <v>1215</v>
      </c>
      <c r="D634" s="182" t="s">
        <v>1216</v>
      </c>
      <c r="E634" s="182"/>
      <c r="F634" s="1103"/>
      <c r="G634" s="1107"/>
      <c r="H634" s="486"/>
      <c r="I634" s="294"/>
      <c r="J634" s="1104"/>
      <c r="K634" s="280"/>
    </row>
    <row r="635" spans="3:11" ht="20.399999999999999" customHeight="1">
      <c r="C635" s="1155">
        <v>1</v>
      </c>
      <c r="D635" s="182" t="s">
        <v>1155</v>
      </c>
      <c r="E635" s="182"/>
      <c r="F635" s="102" t="s">
        <v>1080</v>
      </c>
      <c r="G635" s="1107">
        <v>6.0000000000000001E-3</v>
      </c>
      <c r="H635" s="283">
        <f>VLOOKUP(D635,upahbahan,3,FALSE)</f>
        <v>75000</v>
      </c>
      <c r="I635" s="872"/>
      <c r="J635" s="284">
        <f>G635*H635</f>
        <v>450</v>
      </c>
      <c r="K635" s="280"/>
    </row>
    <row r="636" spans="3:11" ht="20.399999999999999" customHeight="1">
      <c r="C636" s="66" t="s">
        <v>1217</v>
      </c>
      <c r="D636" s="944"/>
      <c r="E636" s="944"/>
      <c r="F636" s="944"/>
      <c r="G636" s="944"/>
      <c r="H636" s="944"/>
      <c r="I636" s="978"/>
      <c r="J636" s="1106">
        <f>SUM(J635)</f>
        <v>450</v>
      </c>
      <c r="K636" s="280"/>
    </row>
    <row r="637" spans="3:11" ht="20.399999999999999" customHeight="1">
      <c r="C637" s="293" t="s">
        <v>1218</v>
      </c>
      <c r="D637" s="294" t="s">
        <v>1219</v>
      </c>
      <c r="E637" s="295"/>
      <c r="F637" s="295"/>
      <c r="G637" s="295"/>
      <c r="H637" s="296"/>
      <c r="I637" s="295"/>
      <c r="J637" s="284">
        <f>J629+J633+J636</f>
        <v>52443.5</v>
      </c>
      <c r="K637" s="280"/>
    </row>
    <row r="638" spans="3:11" ht="20.399999999999999" customHeight="1">
      <c r="C638" s="293" t="s">
        <v>1220</v>
      </c>
      <c r="D638" s="294" t="s">
        <v>1249</v>
      </c>
      <c r="E638" s="295"/>
      <c r="F638" s="295"/>
      <c r="G638" s="296"/>
      <c r="H638" s="298">
        <f>$Q$8</f>
        <v>0.1</v>
      </c>
      <c r="I638" s="1116"/>
      <c r="J638" s="284">
        <f>J637*H638</f>
        <v>5244.35</v>
      </c>
      <c r="K638" s="280"/>
    </row>
    <row r="639" spans="3:11" ht="20.399999999999999" customHeight="1" thickBot="1">
      <c r="C639" s="299" t="s">
        <v>1221</v>
      </c>
      <c r="D639" s="300" t="s">
        <v>1222</v>
      </c>
      <c r="E639" s="301"/>
      <c r="F639" s="301"/>
      <c r="G639" s="301"/>
      <c r="H639" s="302"/>
      <c r="I639" s="301"/>
      <c r="J639" s="303">
        <f>SUM(J637:J638)</f>
        <v>57687.85</v>
      </c>
      <c r="K639" s="280"/>
    </row>
    <row r="640" spans="3:11" ht="14.4" thickTop="1"/>
    <row r="641" spans="3:16" ht="14.4" thickBot="1">
      <c r="C641" s="47" t="s">
        <v>1943</v>
      </c>
      <c r="D641" s="48" t="s">
        <v>1944</v>
      </c>
      <c r="E641" s="365"/>
      <c r="F641" s="329"/>
      <c r="G641" s="329"/>
      <c r="H641" s="329"/>
      <c r="I641" s="329"/>
      <c r="J641" s="952"/>
      <c r="K641" s="120">
        <f>ROUNDDOWN(J659,-2)</f>
        <v>140100</v>
      </c>
      <c r="L641" s="939" t="s">
        <v>5296</v>
      </c>
      <c r="M641" s="940" t="s">
        <v>5296</v>
      </c>
    </row>
    <row r="642" spans="3:16" ht="28.2" thickTop="1">
      <c r="C642" s="51" t="s">
        <v>1195</v>
      </c>
      <c r="D642" s="52" t="s">
        <v>1196</v>
      </c>
      <c r="E642" s="52" t="s">
        <v>1906</v>
      </c>
      <c r="F642" s="52" t="s">
        <v>1197</v>
      </c>
      <c r="G642" s="52" t="s">
        <v>1198</v>
      </c>
      <c r="H642" s="52" t="s">
        <v>1199</v>
      </c>
      <c r="I642" s="582"/>
      <c r="J642" s="942" t="s">
        <v>1200</v>
      </c>
      <c r="K642" s="289"/>
    </row>
    <row r="643" spans="3:16" ht="20.399999999999999" customHeight="1">
      <c r="C643" s="293" t="s">
        <v>1201</v>
      </c>
      <c r="D643" s="182" t="s">
        <v>1945</v>
      </c>
      <c r="E643" s="182"/>
      <c r="F643" s="1103"/>
      <c r="G643" s="486"/>
      <c r="H643" s="486"/>
      <c r="I643" s="294"/>
      <c r="J643" s="1104"/>
      <c r="K643" s="280"/>
      <c r="P643" s="374"/>
    </row>
    <row r="644" spans="3:16" ht="20.399999999999999" customHeight="1">
      <c r="C644" s="1110" t="s">
        <v>1203</v>
      </c>
      <c r="D644" s="1103" t="s">
        <v>3804</v>
      </c>
      <c r="E644" s="102"/>
      <c r="F644" s="102" t="s">
        <v>42</v>
      </c>
      <c r="G644" s="1111">
        <v>0.27300000000000002</v>
      </c>
      <c r="H644" s="283">
        <f>'Galian Tanah'!I18</f>
        <v>89188</v>
      </c>
      <c r="I644" s="872"/>
      <c r="J644" s="284">
        <f>G644*H644</f>
        <v>24348.324000000001</v>
      </c>
      <c r="K644" s="280"/>
    </row>
    <row r="645" spans="3:16" ht="20.399999999999999" customHeight="1">
      <c r="C645" s="1110" t="s">
        <v>1204</v>
      </c>
      <c r="D645" s="182" t="s">
        <v>1946</v>
      </c>
      <c r="E645" s="102"/>
      <c r="F645" s="102" t="s">
        <v>42</v>
      </c>
      <c r="G645" s="1111">
        <v>3.0000000000000001E-3</v>
      </c>
      <c r="H645" s="283">
        <f>'Timbunan Pemadatan'!I32</f>
        <v>326700</v>
      </c>
      <c r="I645" s="872"/>
      <c r="J645" s="284">
        <f>G645*H645</f>
        <v>980.1</v>
      </c>
      <c r="K645" s="280"/>
    </row>
    <row r="646" spans="3:16" ht="20.399999999999999" customHeight="1">
      <c r="C646" s="1110" t="s">
        <v>1205</v>
      </c>
      <c r="D646" s="182" t="s">
        <v>1952</v>
      </c>
      <c r="E646" s="176"/>
      <c r="F646" s="176" t="s">
        <v>65</v>
      </c>
      <c r="G646" s="1111">
        <v>2.2999999999999998</v>
      </c>
      <c r="H646" s="283">
        <f>Beton!H100</f>
        <v>15964.036</v>
      </c>
      <c r="I646" s="872"/>
      <c r="J646" s="284">
        <f>G646*H646</f>
        <v>36717.282800000001</v>
      </c>
      <c r="K646" s="280"/>
    </row>
    <row r="647" spans="3:16" ht="20.399999999999999" customHeight="1">
      <c r="C647" s="1110"/>
      <c r="D647" s="182" t="s">
        <v>1947</v>
      </c>
      <c r="E647" s="102"/>
      <c r="F647" s="102" t="s">
        <v>62</v>
      </c>
      <c r="G647" s="1111">
        <v>0.4</v>
      </c>
      <c r="H647" s="283">
        <f>Beton!H375</f>
        <v>223004.86450000003</v>
      </c>
      <c r="I647" s="872"/>
      <c r="J647" s="284"/>
      <c r="K647" s="280"/>
    </row>
    <row r="648" spans="3:16" ht="20.399999999999999" customHeight="1">
      <c r="C648" s="1110" t="s">
        <v>1206</v>
      </c>
      <c r="D648" s="1103" t="s">
        <v>1948</v>
      </c>
      <c r="E648" s="102"/>
      <c r="F648" s="102" t="s">
        <v>42</v>
      </c>
      <c r="G648" s="1111">
        <v>1.2999999999999999E-2</v>
      </c>
      <c r="H648" s="283">
        <f>Beton!H547</f>
        <v>1231437.2957333331</v>
      </c>
      <c r="I648" s="872"/>
      <c r="J648" s="284">
        <f>G648*H648</f>
        <v>16008.684844533329</v>
      </c>
      <c r="K648" s="280"/>
    </row>
    <row r="649" spans="3:16" ht="20.399999999999999" customHeight="1">
      <c r="C649" s="66" t="s">
        <v>1208</v>
      </c>
      <c r="D649" s="944"/>
      <c r="E649" s="944"/>
      <c r="F649" s="944"/>
      <c r="G649" s="944"/>
      <c r="H649" s="944"/>
      <c r="I649" s="978"/>
      <c r="J649" s="1106">
        <f>SUM(J644:J648)</f>
        <v>78054.391644533331</v>
      </c>
      <c r="K649" s="280"/>
    </row>
    <row r="650" spans="3:16" ht="20.399999999999999" customHeight="1">
      <c r="C650" s="293" t="s">
        <v>1209</v>
      </c>
      <c r="D650" s="182" t="s">
        <v>1210</v>
      </c>
      <c r="E650" s="182"/>
      <c r="F650" s="1103"/>
      <c r="G650" s="1107"/>
      <c r="H650" s="486"/>
      <c r="I650" s="294"/>
      <c r="J650" s="1104"/>
      <c r="K650" s="280"/>
    </row>
    <row r="651" spans="3:16" ht="20.399999999999999" customHeight="1">
      <c r="C651" s="1110" t="s">
        <v>1203</v>
      </c>
      <c r="D651" s="1103" t="s">
        <v>1949</v>
      </c>
      <c r="E651" s="1103"/>
      <c r="F651" s="291" t="s">
        <v>44</v>
      </c>
      <c r="G651" s="1111">
        <v>1.05</v>
      </c>
      <c r="H651" s="283">
        <f>VLOOKUP(D651,upahbahan,3,FALSE)</f>
        <v>27000</v>
      </c>
      <c r="I651" s="872"/>
      <c r="J651" s="284">
        <f>G651*H651</f>
        <v>28350</v>
      </c>
      <c r="K651" s="280"/>
    </row>
    <row r="652" spans="3:16" ht="20.399999999999999" customHeight="1">
      <c r="C652" s="1110" t="s">
        <v>1205</v>
      </c>
      <c r="D652" s="285" t="s">
        <v>5212</v>
      </c>
      <c r="E652" s="339"/>
      <c r="F652" s="291" t="s">
        <v>5211</v>
      </c>
      <c r="G652" s="1157">
        <v>1.05</v>
      </c>
      <c r="H652" s="183">
        <f>VLOOKUP(D652,upahbahan,3,FALSE)</f>
        <v>20000</v>
      </c>
      <c r="I652" s="1154"/>
      <c r="J652" s="284">
        <f>G652*H652</f>
        <v>21000</v>
      </c>
      <c r="K652" s="280"/>
    </row>
    <row r="653" spans="3:16" ht="20.399999999999999" customHeight="1">
      <c r="C653" s="66" t="s">
        <v>1214</v>
      </c>
      <c r="D653" s="944"/>
      <c r="E653" s="944"/>
      <c r="F653" s="944"/>
      <c r="G653" s="944"/>
      <c r="H653" s="944"/>
      <c r="I653" s="978"/>
      <c r="J653" s="1106">
        <f>SUM(J651:J652)</f>
        <v>49350</v>
      </c>
      <c r="K653" s="280"/>
    </row>
    <row r="654" spans="3:16" ht="20.399999999999999" customHeight="1">
      <c r="C654" s="293" t="s">
        <v>1215</v>
      </c>
      <c r="D654" s="182" t="s">
        <v>1216</v>
      </c>
      <c r="E654" s="182"/>
      <c r="F654" s="1103"/>
      <c r="G654" s="1107"/>
      <c r="H654" s="486"/>
      <c r="I654" s="294"/>
      <c r="J654" s="1104"/>
      <c r="K654" s="280"/>
    </row>
    <row r="655" spans="3:16" ht="20.399999999999999" customHeight="1">
      <c r="C655" s="1155">
        <v>1</v>
      </c>
      <c r="D655" s="182"/>
      <c r="E655" s="182"/>
      <c r="F655" s="102"/>
      <c r="G655" s="1107"/>
      <c r="H655" s="283"/>
      <c r="I655" s="872"/>
      <c r="J655" s="284"/>
      <c r="K655" s="280"/>
    </row>
    <row r="656" spans="3:16" ht="20.399999999999999" customHeight="1">
      <c r="C656" s="66" t="s">
        <v>1217</v>
      </c>
      <c r="D656" s="944"/>
      <c r="E656" s="944"/>
      <c r="F656" s="944"/>
      <c r="G656" s="944"/>
      <c r="H656" s="944"/>
      <c r="I656" s="978"/>
      <c r="J656" s="1106">
        <f>SUM(J655)</f>
        <v>0</v>
      </c>
      <c r="K656" s="280"/>
    </row>
    <row r="657" spans="3:16" ht="20.399999999999999" customHeight="1">
      <c r="C657" s="293" t="s">
        <v>1218</v>
      </c>
      <c r="D657" s="294" t="s">
        <v>1219</v>
      </c>
      <c r="E657" s="295"/>
      <c r="F657" s="295"/>
      <c r="G657" s="295"/>
      <c r="H657" s="296"/>
      <c r="I657" s="295"/>
      <c r="J657" s="284">
        <f>J649+J653+J656</f>
        <v>127404.39164453333</v>
      </c>
      <c r="K657" s="280"/>
    </row>
    <row r="658" spans="3:16" ht="20.399999999999999" customHeight="1">
      <c r="C658" s="293" t="s">
        <v>1220</v>
      </c>
      <c r="D658" s="294" t="s">
        <v>1249</v>
      </c>
      <c r="E658" s="295"/>
      <c r="F658" s="295"/>
      <c r="G658" s="296"/>
      <c r="H658" s="298">
        <f>$Q$8</f>
        <v>0.1</v>
      </c>
      <c r="I658" s="1116"/>
      <c r="J658" s="284">
        <f>J657*H658</f>
        <v>12740.439164453333</v>
      </c>
      <c r="K658" s="280"/>
    </row>
    <row r="659" spans="3:16" ht="20.399999999999999" customHeight="1" thickBot="1">
      <c r="C659" s="299" t="s">
        <v>1221</v>
      </c>
      <c r="D659" s="300" t="s">
        <v>1222</v>
      </c>
      <c r="E659" s="301"/>
      <c r="F659" s="301"/>
      <c r="G659" s="301"/>
      <c r="H659" s="302"/>
      <c r="I659" s="301"/>
      <c r="J659" s="303">
        <f>SUM(J657:J658)</f>
        <v>140144.83080898668</v>
      </c>
      <c r="K659" s="280"/>
    </row>
    <row r="660" spans="3:16" ht="14.4" thickTop="1"/>
    <row r="661" spans="3:16" ht="14.4" thickBot="1">
      <c r="C661" s="47" t="s">
        <v>1950</v>
      </c>
      <c r="D661" s="48" t="s">
        <v>1951</v>
      </c>
      <c r="E661" s="48"/>
      <c r="F661" s="329"/>
      <c r="G661" s="329"/>
      <c r="H661" s="329"/>
      <c r="I661" s="329"/>
      <c r="J661" s="952"/>
      <c r="K661" s="120">
        <f>ROUNDDOWN(J679,-2)</f>
        <v>206700</v>
      </c>
      <c r="L661" s="939" t="s">
        <v>5296</v>
      </c>
      <c r="M661" s="940" t="s">
        <v>5296</v>
      </c>
    </row>
    <row r="662" spans="3:16" ht="28.2" thickTop="1">
      <c r="C662" s="51" t="s">
        <v>1195</v>
      </c>
      <c r="D662" s="52" t="s">
        <v>1196</v>
      </c>
      <c r="E662" s="52" t="s">
        <v>1906</v>
      </c>
      <c r="F662" s="52" t="s">
        <v>1197</v>
      </c>
      <c r="G662" s="52" t="s">
        <v>1198</v>
      </c>
      <c r="H662" s="52" t="s">
        <v>1199</v>
      </c>
      <c r="I662" s="582"/>
      <c r="J662" s="942" t="s">
        <v>1200</v>
      </c>
      <c r="K662" s="289"/>
    </row>
    <row r="663" spans="3:16" ht="20.399999999999999" customHeight="1">
      <c r="C663" s="293" t="s">
        <v>1201</v>
      </c>
      <c r="D663" s="182" t="s">
        <v>1945</v>
      </c>
      <c r="E663" s="182"/>
      <c r="F663" s="1103"/>
      <c r="G663" s="486"/>
      <c r="H663" s="486"/>
      <c r="I663" s="294"/>
      <c r="J663" s="1104"/>
      <c r="K663" s="280"/>
      <c r="P663" s="374"/>
    </row>
    <row r="664" spans="3:16" ht="20.399999999999999" customHeight="1">
      <c r="C664" s="1110" t="s">
        <v>1203</v>
      </c>
      <c r="D664" s="1103" t="s">
        <v>3804</v>
      </c>
      <c r="E664" s="102"/>
      <c r="F664" s="102" t="s">
        <v>42</v>
      </c>
      <c r="G664" s="1111">
        <v>0.3</v>
      </c>
      <c r="H664" s="283">
        <f>H644</f>
        <v>89188</v>
      </c>
      <c r="I664" s="872"/>
      <c r="J664" s="284">
        <f>G664*H664</f>
        <v>26756.399999999998</v>
      </c>
      <c r="K664" s="280"/>
    </row>
    <row r="665" spans="3:16" ht="20.399999999999999" customHeight="1">
      <c r="C665" s="1110" t="s">
        <v>1204</v>
      </c>
      <c r="D665" s="182" t="s">
        <v>1946</v>
      </c>
      <c r="E665" s="176"/>
      <c r="F665" s="102" t="s">
        <v>42</v>
      </c>
      <c r="G665" s="1111">
        <v>0.02</v>
      </c>
      <c r="H665" s="283">
        <f>H645</f>
        <v>326700</v>
      </c>
      <c r="I665" s="872"/>
      <c r="J665" s="284">
        <f>G665*H665</f>
        <v>6534</v>
      </c>
      <c r="K665" s="280"/>
    </row>
    <row r="666" spans="3:16" ht="20.399999999999999" customHeight="1">
      <c r="C666" s="1110" t="s">
        <v>1205</v>
      </c>
      <c r="D666" s="182" t="s">
        <v>232</v>
      </c>
      <c r="E666" s="176"/>
      <c r="F666" s="102" t="s">
        <v>65</v>
      </c>
      <c r="G666" s="1111">
        <v>4.0999999999999996</v>
      </c>
      <c r="H666" s="283">
        <f>H646</f>
        <v>15964.036</v>
      </c>
      <c r="I666" s="872"/>
      <c r="J666" s="284">
        <f>G666*H666</f>
        <v>65452.547599999998</v>
      </c>
      <c r="K666" s="280"/>
    </row>
    <row r="667" spans="3:16" ht="20.399999999999999" customHeight="1">
      <c r="C667" s="1110"/>
      <c r="D667" s="182" t="s">
        <v>1947</v>
      </c>
      <c r="E667" s="176"/>
      <c r="F667" s="102" t="s">
        <v>62</v>
      </c>
      <c r="G667" s="1111">
        <v>0.86</v>
      </c>
      <c r="H667" s="283">
        <f>H647</f>
        <v>223004.86450000003</v>
      </c>
      <c r="I667" s="872"/>
      <c r="J667" s="284"/>
      <c r="K667" s="280"/>
    </row>
    <row r="668" spans="3:16" ht="20.399999999999999" customHeight="1">
      <c r="C668" s="1110" t="s">
        <v>1206</v>
      </c>
      <c r="D668" s="1103" t="s">
        <v>1948</v>
      </c>
      <c r="E668" s="102"/>
      <c r="F668" s="102" t="s">
        <v>42</v>
      </c>
      <c r="G668" s="1111">
        <v>0.05</v>
      </c>
      <c r="H668" s="283">
        <f>H648</f>
        <v>1231437.2957333331</v>
      </c>
      <c r="I668" s="872"/>
      <c r="J668" s="284">
        <f>G668*H668</f>
        <v>61571.864786666658</v>
      </c>
      <c r="K668" s="280"/>
    </row>
    <row r="669" spans="3:16" ht="20.399999999999999" customHeight="1">
      <c r="C669" s="66" t="s">
        <v>1208</v>
      </c>
      <c r="D669" s="944"/>
      <c r="E669" s="944"/>
      <c r="F669" s="944"/>
      <c r="G669" s="944"/>
      <c r="H669" s="944"/>
      <c r="I669" s="978"/>
      <c r="J669" s="1106">
        <f>SUM(J664:J668)</f>
        <v>160314.81238666666</v>
      </c>
      <c r="K669" s="280"/>
    </row>
    <row r="670" spans="3:16" ht="20.399999999999999" customHeight="1">
      <c r="C670" s="293" t="s">
        <v>1209</v>
      </c>
      <c r="D670" s="182" t="s">
        <v>1210</v>
      </c>
      <c r="E670" s="182"/>
      <c r="F670" s="1103"/>
      <c r="G670" s="1107"/>
      <c r="H670" s="486"/>
      <c r="I670" s="294"/>
      <c r="J670" s="1104"/>
      <c r="K670" s="280"/>
    </row>
    <row r="671" spans="3:16" ht="20.399999999999999" customHeight="1">
      <c r="C671" s="1110" t="s">
        <v>1203</v>
      </c>
      <c r="D671" s="1103" t="s">
        <v>5213</v>
      </c>
      <c r="E671" s="1103"/>
      <c r="F671" s="291" t="s">
        <v>42</v>
      </c>
      <c r="G671" s="1111">
        <v>3.5000000000000001E-3</v>
      </c>
      <c r="H671" s="283">
        <f>VLOOKUP(D671,upahbahan,3,FALSE)</f>
        <v>27000</v>
      </c>
      <c r="I671" s="872"/>
      <c r="J671" s="284">
        <f>G671*H671</f>
        <v>94.5</v>
      </c>
      <c r="K671" s="280"/>
    </row>
    <row r="672" spans="3:16" ht="20.399999999999999" customHeight="1">
      <c r="C672" s="1110" t="s">
        <v>1205</v>
      </c>
      <c r="D672" s="285" t="s">
        <v>5214</v>
      </c>
      <c r="E672" s="285"/>
      <c r="F672" s="291" t="s">
        <v>1940</v>
      </c>
      <c r="G672" s="1157">
        <v>1.1000000000000001</v>
      </c>
      <c r="H672" s="183">
        <f>VLOOKUP(D672,upahbahan,3,FALSE)</f>
        <v>25000</v>
      </c>
      <c r="I672" s="1154"/>
      <c r="J672" s="284">
        <f>G672*H672</f>
        <v>27500.000000000004</v>
      </c>
      <c r="K672" s="280"/>
    </row>
    <row r="673" spans="3:11" ht="20.399999999999999" customHeight="1">
      <c r="C673" s="66" t="s">
        <v>1214</v>
      </c>
      <c r="D673" s="944"/>
      <c r="E673" s="944"/>
      <c r="F673" s="944"/>
      <c r="G673" s="944"/>
      <c r="H673" s="944"/>
      <c r="I673" s="978"/>
      <c r="J673" s="1106">
        <f>SUM(J671:J672)</f>
        <v>27594.500000000004</v>
      </c>
      <c r="K673" s="280"/>
    </row>
    <row r="674" spans="3:11" ht="20.399999999999999" customHeight="1">
      <c r="C674" s="293" t="s">
        <v>1215</v>
      </c>
      <c r="D674" s="182" t="s">
        <v>1216</v>
      </c>
      <c r="E674" s="182"/>
      <c r="F674" s="1103"/>
      <c r="G674" s="1107"/>
      <c r="H674" s="486"/>
      <c r="I674" s="294"/>
      <c r="J674" s="1104"/>
      <c r="K674" s="280"/>
    </row>
    <row r="675" spans="3:11" ht="20.399999999999999" customHeight="1">
      <c r="C675" s="1155"/>
      <c r="D675" s="182"/>
      <c r="E675" s="182"/>
      <c r="F675" s="102"/>
      <c r="G675" s="1107"/>
      <c r="H675" s="283"/>
      <c r="I675" s="872"/>
      <c r="J675" s="284"/>
      <c r="K675" s="280"/>
    </row>
    <row r="676" spans="3:11" ht="20.399999999999999" customHeight="1">
      <c r="C676" s="66" t="s">
        <v>1217</v>
      </c>
      <c r="D676" s="944"/>
      <c r="E676" s="944"/>
      <c r="F676" s="944"/>
      <c r="G676" s="944"/>
      <c r="H676" s="944"/>
      <c r="I676" s="978"/>
      <c r="J676" s="1106">
        <f>SUM(J675)</f>
        <v>0</v>
      </c>
      <c r="K676" s="280"/>
    </row>
    <row r="677" spans="3:11" ht="20.399999999999999" customHeight="1">
      <c r="C677" s="293" t="s">
        <v>1218</v>
      </c>
      <c r="D677" s="294" t="s">
        <v>1219</v>
      </c>
      <c r="E677" s="295"/>
      <c r="F677" s="295"/>
      <c r="G677" s="295"/>
      <c r="H677" s="296"/>
      <c r="I677" s="295"/>
      <c r="J677" s="284">
        <f>J669+J673+J676</f>
        <v>187909.31238666666</v>
      </c>
      <c r="K677" s="280"/>
    </row>
    <row r="678" spans="3:11" ht="20.399999999999999" customHeight="1">
      <c r="C678" s="293" t="s">
        <v>1220</v>
      </c>
      <c r="D678" s="294" t="s">
        <v>1249</v>
      </c>
      <c r="E678" s="295"/>
      <c r="F678" s="295"/>
      <c r="G678" s="296"/>
      <c r="H678" s="298">
        <f>$Q$8</f>
        <v>0.1</v>
      </c>
      <c r="I678" s="1116"/>
      <c r="J678" s="284">
        <f>J677*H678</f>
        <v>18790.931238666668</v>
      </c>
      <c r="K678" s="280"/>
    </row>
    <row r="679" spans="3:11" ht="20.399999999999999" customHeight="1" thickBot="1">
      <c r="C679" s="299" t="s">
        <v>1221</v>
      </c>
      <c r="D679" s="300" t="s">
        <v>1222</v>
      </c>
      <c r="E679" s="301"/>
      <c r="F679" s="301"/>
      <c r="G679" s="301"/>
      <c r="H679" s="302"/>
      <c r="I679" s="301"/>
      <c r="J679" s="303">
        <f>SUM(J677:J678)</f>
        <v>206700.24362533333</v>
      </c>
      <c r="K679" s="280"/>
    </row>
    <row r="680" spans="3:11" ht="14.4" thickTop="1"/>
  </sheetData>
  <mergeCells count="2">
    <mergeCell ref="D283:J283"/>
    <mergeCell ref="D300:J300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80" fitToWidth="0" fitToHeight="0" orientation="portrait" useFirstPageNumber="1" errors="NA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J724"/>
  <sheetViews>
    <sheetView zoomScale="91" zoomScaleNormal="68" zoomScaleSheetLayoutView="100" workbookViewId="0">
      <selection activeCell="A581" sqref="A581:XFD599"/>
    </sheetView>
  </sheetViews>
  <sheetFormatPr defaultColWidth="9.44140625" defaultRowHeight="13.8"/>
  <cols>
    <col min="1" max="2" width="2.88671875" style="280" customWidth="1"/>
    <col min="3" max="3" width="14.44140625" style="289" customWidth="1"/>
    <col min="4" max="4" width="36.5546875" style="280" customWidth="1"/>
    <col min="5" max="5" width="13.5546875" style="280" customWidth="1"/>
    <col min="6" max="6" width="7.5546875" style="280" customWidth="1"/>
    <col min="7" max="7" width="10.5546875" style="280" customWidth="1"/>
    <col min="8" max="8" width="19.77734375" style="280" customWidth="1"/>
    <col min="9" max="9" width="22" style="280" customWidth="1"/>
    <col min="10" max="10" width="16" style="119" bestFit="1" customWidth="1"/>
    <col min="11" max="16384" width="9.44140625" style="280"/>
  </cols>
  <sheetData>
    <row r="3" spans="3:10" s="59" customFormat="1">
      <c r="C3" s="46">
        <v>1.2</v>
      </c>
      <c r="D3" s="47" t="s">
        <v>1764</v>
      </c>
      <c r="E3" s="47"/>
      <c r="F3" s="47"/>
      <c r="G3" s="47"/>
      <c r="H3" s="47"/>
      <c r="I3" s="47"/>
      <c r="J3" s="119"/>
    </row>
    <row r="4" spans="3:10" s="59" customFormat="1">
      <c r="C4" s="46" t="s">
        <v>1953</v>
      </c>
      <c r="D4" s="47" t="s">
        <v>1954</v>
      </c>
      <c r="E4" s="47"/>
      <c r="F4" s="47"/>
      <c r="G4" s="47"/>
      <c r="H4" s="47"/>
      <c r="I4" s="47"/>
      <c r="J4" s="119"/>
    </row>
    <row r="5" spans="3:10" s="59" customFormat="1">
      <c r="C5" s="46" t="s">
        <v>1809</v>
      </c>
      <c r="D5" s="47" t="s">
        <v>1955</v>
      </c>
      <c r="E5" s="47"/>
      <c r="F5" s="47"/>
      <c r="G5" s="47"/>
      <c r="H5" s="47"/>
      <c r="I5" s="47"/>
      <c r="J5" s="119"/>
    </row>
    <row r="6" spans="3:10" s="59" customFormat="1" ht="21.6" customHeight="1" thickBot="1">
      <c r="C6" s="259" t="s">
        <v>1810</v>
      </c>
      <c r="D6" s="1073" t="s">
        <v>1956</v>
      </c>
      <c r="E6" s="1070"/>
      <c r="F6" s="1070"/>
      <c r="G6" s="1070"/>
      <c r="H6" s="1070"/>
      <c r="I6" s="1070"/>
      <c r="J6" s="120">
        <f>ROUNDDOWN(I18,-2)</f>
        <v>89100</v>
      </c>
    </row>
    <row r="7" spans="3:10" s="59" customFormat="1" ht="21.6" customHeight="1" thickTop="1">
      <c r="C7" s="51" t="s">
        <v>1195</v>
      </c>
      <c r="D7" s="52" t="s">
        <v>1196</v>
      </c>
      <c r="E7" s="52"/>
      <c r="F7" s="52" t="s">
        <v>1197</v>
      </c>
      <c r="G7" s="52" t="s">
        <v>1198</v>
      </c>
      <c r="H7" s="52" t="s">
        <v>1199</v>
      </c>
      <c r="I7" s="53" t="s">
        <v>1200</v>
      </c>
      <c r="J7" s="126"/>
    </row>
    <row r="8" spans="3:10" s="59" customFormat="1" ht="21.6" customHeight="1">
      <c r="C8" s="290" t="s">
        <v>1201</v>
      </c>
      <c r="D8" s="182" t="s">
        <v>1202</v>
      </c>
      <c r="E8" s="182"/>
      <c r="F8" s="70"/>
      <c r="G8" s="70"/>
      <c r="H8" s="70"/>
      <c r="I8" s="71"/>
      <c r="J8" s="119"/>
    </row>
    <row r="9" spans="3:10" s="59" customFormat="1" ht="21.6" customHeight="1">
      <c r="C9" s="281">
        <v>1</v>
      </c>
      <c r="D9" s="182" t="s">
        <v>5</v>
      </c>
      <c r="E9" s="176" t="s">
        <v>1774</v>
      </c>
      <c r="F9" s="176" t="s">
        <v>6</v>
      </c>
      <c r="G9" s="282">
        <v>0.75</v>
      </c>
      <c r="H9" s="283">
        <f>VLOOKUP(D9,upahbahan,3,FALSE)</f>
        <v>100000</v>
      </c>
      <c r="I9" s="284">
        <f>G9*H9</f>
        <v>75000</v>
      </c>
      <c r="J9" s="119"/>
    </row>
    <row r="10" spans="3:10" s="59" customFormat="1" ht="21.6" customHeight="1">
      <c r="C10" s="281">
        <v>2</v>
      </c>
      <c r="D10" s="182" t="s">
        <v>19</v>
      </c>
      <c r="E10" s="176" t="s">
        <v>1777</v>
      </c>
      <c r="F10" s="176" t="s">
        <v>6</v>
      </c>
      <c r="G10" s="282">
        <v>3.7999999999999999E-2</v>
      </c>
      <c r="H10" s="283">
        <f>VLOOKUP(D10,upahbahan,3,FALSE)</f>
        <v>160000</v>
      </c>
      <c r="I10" s="284">
        <f>G10*H10</f>
        <v>6080</v>
      </c>
      <c r="J10" s="119"/>
    </row>
    <row r="11" spans="3:10" s="59" customFormat="1" ht="21.6" customHeight="1">
      <c r="C11" s="66" t="s">
        <v>1208</v>
      </c>
      <c r="D11" s="263"/>
      <c r="E11" s="263"/>
      <c r="F11" s="263"/>
      <c r="G11" s="263"/>
      <c r="H11" s="264"/>
      <c r="I11" s="284">
        <f>SUM(I9:I10)</f>
        <v>81080</v>
      </c>
      <c r="J11" s="119"/>
    </row>
    <row r="12" spans="3:10" s="59" customFormat="1" ht="21.6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  <c r="J12" s="119"/>
    </row>
    <row r="13" spans="3:10" s="59" customFormat="1" ht="21.6" customHeight="1">
      <c r="C13" s="66" t="s">
        <v>1214</v>
      </c>
      <c r="D13" s="67"/>
      <c r="E13" s="67"/>
      <c r="F13" s="67"/>
      <c r="G13" s="67"/>
      <c r="H13" s="69"/>
      <c r="I13" s="292">
        <v>0</v>
      </c>
      <c r="J13" s="119"/>
    </row>
    <row r="14" spans="3:10" s="59" customFormat="1" ht="21.6" customHeight="1">
      <c r="C14" s="290" t="s">
        <v>1215</v>
      </c>
      <c r="D14" s="182" t="s">
        <v>1216</v>
      </c>
      <c r="E14" s="182"/>
      <c r="F14" s="70"/>
      <c r="G14" s="70"/>
      <c r="H14" s="70"/>
      <c r="I14" s="71"/>
      <c r="J14" s="119"/>
    </row>
    <row r="15" spans="3:10" s="59" customFormat="1" ht="21.6" customHeight="1">
      <c r="C15" s="66" t="s">
        <v>1217</v>
      </c>
      <c r="D15" s="67"/>
      <c r="E15" s="67"/>
      <c r="F15" s="67"/>
      <c r="G15" s="67"/>
      <c r="H15" s="69"/>
      <c r="I15" s="292">
        <v>0</v>
      </c>
      <c r="J15" s="119"/>
    </row>
    <row r="16" spans="3:10" s="59" customFormat="1" ht="21.6" customHeight="1">
      <c r="C16" s="293" t="s">
        <v>1218</v>
      </c>
      <c r="D16" s="294" t="s">
        <v>1219</v>
      </c>
      <c r="E16" s="295"/>
      <c r="F16" s="295"/>
      <c r="G16" s="295"/>
      <c r="H16" s="296"/>
      <c r="I16" s="284">
        <f>I11+I13+I15</f>
        <v>81080</v>
      </c>
      <c r="J16" s="119"/>
    </row>
    <row r="17" spans="3:10" s="59" customFormat="1" ht="21.6" customHeight="1">
      <c r="C17" s="293" t="s">
        <v>1220</v>
      </c>
      <c r="D17" s="294" t="s">
        <v>1249</v>
      </c>
      <c r="E17" s="295"/>
      <c r="F17" s="295"/>
      <c r="G17" s="296"/>
      <c r="H17" s="298">
        <v>0.1</v>
      </c>
      <c r="I17" s="284">
        <f>I16*H17</f>
        <v>8108</v>
      </c>
      <c r="J17" s="119"/>
    </row>
    <row r="18" spans="3:10" s="59" customFormat="1" ht="21.6" customHeight="1" thickBot="1">
      <c r="C18" s="299" t="s">
        <v>1221</v>
      </c>
      <c r="D18" s="300" t="s">
        <v>1222</v>
      </c>
      <c r="E18" s="301"/>
      <c r="F18" s="301"/>
      <c r="G18" s="301"/>
      <c r="H18" s="302"/>
      <c r="I18" s="303">
        <f>SUM(I16:I17)</f>
        <v>89188</v>
      </c>
      <c r="J18" s="119"/>
    </row>
    <row r="19" spans="3:10" s="119" customFormat="1" ht="21.6" customHeight="1" thickTop="1">
      <c r="C19" s="46"/>
      <c r="D19" s="47"/>
      <c r="E19" s="47"/>
      <c r="F19" s="47"/>
      <c r="G19" s="47"/>
      <c r="H19" s="47"/>
      <c r="I19" s="47"/>
    </row>
    <row r="20" spans="3:10" s="59" customFormat="1" ht="21.6" customHeight="1" thickBot="1">
      <c r="C20" s="47" t="s">
        <v>1957</v>
      </c>
      <c r="D20" s="488" t="s">
        <v>1958</v>
      </c>
      <c r="E20" s="119"/>
      <c r="F20" s="965"/>
      <c r="G20" s="965"/>
      <c r="H20" s="965"/>
      <c r="I20" s="965"/>
      <c r="J20" s="120">
        <f>ROUNDDOWN(I32,-2)</f>
        <v>71800</v>
      </c>
    </row>
    <row r="21" spans="3:10" s="59" customFormat="1" ht="21.6" customHeight="1" thickTop="1">
      <c r="C21" s="51" t="s">
        <v>1195</v>
      </c>
      <c r="D21" s="52" t="s">
        <v>1196</v>
      </c>
      <c r="E21" s="52"/>
      <c r="F21" s="52" t="s">
        <v>1197</v>
      </c>
      <c r="G21" s="52" t="s">
        <v>1198</v>
      </c>
      <c r="H21" s="52" t="s">
        <v>1199</v>
      </c>
      <c r="I21" s="53" t="s">
        <v>1200</v>
      </c>
      <c r="J21" s="1074"/>
    </row>
    <row r="22" spans="3:10" s="59" customFormat="1" ht="21.6" customHeight="1">
      <c r="C22" s="290" t="s">
        <v>1201</v>
      </c>
      <c r="D22" s="182" t="s">
        <v>1202</v>
      </c>
      <c r="E22" s="182"/>
      <c r="F22" s="70"/>
      <c r="G22" s="70"/>
      <c r="H22" s="70"/>
      <c r="I22" s="71"/>
      <c r="J22" s="119"/>
    </row>
    <row r="23" spans="3:10" s="59" customFormat="1" ht="21.6" customHeight="1">
      <c r="C23" s="281">
        <v>1</v>
      </c>
      <c r="D23" s="182" t="s">
        <v>5</v>
      </c>
      <c r="E23" s="176" t="s">
        <v>1774</v>
      </c>
      <c r="F23" s="176" t="s">
        <v>6</v>
      </c>
      <c r="G23" s="315">
        <v>0.56299999999999994</v>
      </c>
      <c r="H23" s="283">
        <f>VLOOKUP(D23,upahbahan,3,FALSE)</f>
        <v>100000</v>
      </c>
      <c r="I23" s="284">
        <f>G23*H23</f>
        <v>56299.999999999993</v>
      </c>
      <c r="J23" s="119"/>
    </row>
    <row r="24" spans="3:10" s="59" customFormat="1" ht="21.6" customHeight="1">
      <c r="C24" s="281">
        <v>2</v>
      </c>
      <c r="D24" s="182" t="s">
        <v>19</v>
      </c>
      <c r="E24" s="176" t="s">
        <v>1777</v>
      </c>
      <c r="F24" s="176" t="s">
        <v>6</v>
      </c>
      <c r="G24" s="315">
        <v>5.6300000000000003E-2</v>
      </c>
      <c r="H24" s="283">
        <f>VLOOKUP(D24,upahbahan,3,FALSE)</f>
        <v>160000</v>
      </c>
      <c r="I24" s="284">
        <f>G24*H24</f>
        <v>9008</v>
      </c>
      <c r="J24" s="119"/>
    </row>
    <row r="25" spans="3:10" s="59" customFormat="1" ht="21.6" customHeight="1">
      <c r="C25" s="66" t="s">
        <v>1208</v>
      </c>
      <c r="D25" s="67"/>
      <c r="E25" s="67"/>
      <c r="F25" s="67"/>
      <c r="G25" s="67"/>
      <c r="H25" s="69"/>
      <c r="I25" s="284">
        <f>SUM(I23:I24)</f>
        <v>65307.999999999993</v>
      </c>
      <c r="J25" s="119"/>
    </row>
    <row r="26" spans="3:10" s="59" customFormat="1" ht="21.6" customHeight="1">
      <c r="C26" s="290" t="s">
        <v>1209</v>
      </c>
      <c r="D26" s="182" t="s">
        <v>1210</v>
      </c>
      <c r="E26" s="182"/>
      <c r="F26" s="70"/>
      <c r="G26" s="70"/>
      <c r="H26" s="70"/>
      <c r="I26" s="71"/>
      <c r="J26" s="119"/>
    </row>
    <row r="27" spans="3:10" s="59" customFormat="1" ht="21.6" customHeight="1">
      <c r="C27" s="66" t="s">
        <v>1214</v>
      </c>
      <c r="D27" s="67"/>
      <c r="E27" s="67"/>
      <c r="F27" s="67"/>
      <c r="G27" s="67"/>
      <c r="H27" s="69"/>
      <c r="I27" s="292">
        <v>0</v>
      </c>
      <c r="J27" s="119"/>
    </row>
    <row r="28" spans="3:10" s="59" customFormat="1" ht="21.6" customHeight="1">
      <c r="C28" s="290" t="s">
        <v>1215</v>
      </c>
      <c r="D28" s="182" t="s">
        <v>1216</v>
      </c>
      <c r="E28" s="182"/>
      <c r="F28" s="70"/>
      <c r="G28" s="70"/>
      <c r="H28" s="70"/>
      <c r="I28" s="71"/>
      <c r="J28" s="119"/>
    </row>
    <row r="29" spans="3:10" s="59" customFormat="1" ht="21.6" customHeight="1">
      <c r="C29" s="66" t="s">
        <v>1217</v>
      </c>
      <c r="D29" s="67"/>
      <c r="E29" s="67"/>
      <c r="F29" s="67"/>
      <c r="G29" s="67"/>
      <c r="H29" s="69"/>
      <c r="I29" s="292">
        <v>0</v>
      </c>
      <c r="J29" s="119"/>
    </row>
    <row r="30" spans="3:10" s="59" customFormat="1" ht="21.6" customHeight="1">
      <c r="C30" s="293" t="s">
        <v>1218</v>
      </c>
      <c r="D30" s="294" t="s">
        <v>1219</v>
      </c>
      <c r="E30" s="295"/>
      <c r="F30" s="295"/>
      <c r="G30" s="295"/>
      <c r="H30" s="296"/>
      <c r="I30" s="284">
        <f>I25+I27+I29</f>
        <v>65307.999999999993</v>
      </c>
      <c r="J30" s="119"/>
    </row>
    <row r="31" spans="3:10" s="59" customFormat="1" ht="21.6" customHeight="1">
      <c r="C31" s="293" t="s">
        <v>1220</v>
      </c>
      <c r="D31" s="294" t="s">
        <v>1249</v>
      </c>
      <c r="E31" s="295"/>
      <c r="F31" s="295"/>
      <c r="G31" s="296"/>
      <c r="H31" s="298">
        <v>0.1</v>
      </c>
      <c r="I31" s="284">
        <f>I30*H31</f>
        <v>6530.7999999999993</v>
      </c>
      <c r="J31" s="119"/>
    </row>
    <row r="32" spans="3:10" s="59" customFormat="1" ht="21.6" customHeight="1" thickBot="1">
      <c r="C32" s="299" t="s">
        <v>1221</v>
      </c>
      <c r="D32" s="300" t="s">
        <v>1222</v>
      </c>
      <c r="E32" s="301"/>
      <c r="F32" s="301"/>
      <c r="G32" s="301"/>
      <c r="H32" s="302"/>
      <c r="I32" s="303">
        <f>SUM(I30:I31)</f>
        <v>71838.799999999988</v>
      </c>
      <c r="J32" s="119"/>
    </row>
    <row r="33" spans="3:10" s="59" customFormat="1" ht="21.6" customHeight="1" thickTop="1">
      <c r="C33" s="289"/>
      <c r="D33" s="297"/>
      <c r="E33" s="297"/>
      <c r="F33" s="297"/>
      <c r="G33" s="297"/>
      <c r="H33" s="297"/>
      <c r="I33" s="139"/>
      <c r="J33" s="119"/>
    </row>
    <row r="34" spans="3:10" s="59" customFormat="1" ht="21.6" customHeight="1" thickBot="1">
      <c r="C34" s="47" t="s">
        <v>1959</v>
      </c>
      <c r="D34" s="488" t="s">
        <v>1960</v>
      </c>
      <c r="E34" s="119"/>
      <c r="F34" s="965"/>
      <c r="G34" s="965"/>
      <c r="H34" s="965"/>
      <c r="I34" s="965"/>
      <c r="J34" s="120">
        <f>ROUNDDOWN(I46,-2)</f>
        <v>51000</v>
      </c>
    </row>
    <row r="35" spans="3:10" s="59" customFormat="1" ht="21.6" customHeight="1" thickTop="1">
      <c r="C35" s="51" t="s">
        <v>1195</v>
      </c>
      <c r="D35" s="52" t="s">
        <v>1196</v>
      </c>
      <c r="E35" s="52"/>
      <c r="F35" s="52" t="s">
        <v>1197</v>
      </c>
      <c r="G35" s="52" t="s">
        <v>1198</v>
      </c>
      <c r="H35" s="52" t="s">
        <v>1199</v>
      </c>
      <c r="I35" s="53" t="s">
        <v>1200</v>
      </c>
      <c r="J35" s="1074"/>
    </row>
    <row r="36" spans="3:10" s="59" customFormat="1" ht="21.6" customHeight="1">
      <c r="C36" s="290" t="s">
        <v>1201</v>
      </c>
      <c r="D36" s="182" t="s">
        <v>1202</v>
      </c>
      <c r="E36" s="182"/>
      <c r="F36" s="70"/>
      <c r="G36" s="70"/>
      <c r="H36" s="70"/>
      <c r="I36" s="71"/>
      <c r="J36" s="119"/>
    </row>
    <row r="37" spans="3:10" s="59" customFormat="1" ht="21.6" customHeight="1">
      <c r="C37" s="281">
        <v>1</v>
      </c>
      <c r="D37" s="182" t="s">
        <v>5</v>
      </c>
      <c r="E37" s="176" t="s">
        <v>1774</v>
      </c>
      <c r="F37" s="176" t="s">
        <v>6</v>
      </c>
      <c r="G37" s="315">
        <v>0.4</v>
      </c>
      <c r="H37" s="283">
        <f>VLOOKUP(D37,upahbahan,3,FALSE)</f>
        <v>100000</v>
      </c>
      <c r="I37" s="284">
        <f>G37*H37</f>
        <v>40000</v>
      </c>
      <c r="J37" s="119"/>
    </row>
    <row r="38" spans="3:10" s="59" customFormat="1" ht="21.6" customHeight="1">
      <c r="C38" s="281">
        <v>2</v>
      </c>
      <c r="D38" s="182" t="s">
        <v>19</v>
      </c>
      <c r="E38" s="176" t="s">
        <v>1777</v>
      </c>
      <c r="F38" s="176" t="s">
        <v>6</v>
      </c>
      <c r="G38" s="315">
        <v>0.04</v>
      </c>
      <c r="H38" s="283">
        <f>VLOOKUP(D38,upahbahan,3,FALSE)</f>
        <v>160000</v>
      </c>
      <c r="I38" s="284">
        <f>G38*H38</f>
        <v>6400</v>
      </c>
      <c r="J38" s="119"/>
    </row>
    <row r="39" spans="3:10" s="59" customFormat="1" ht="21.6" customHeight="1">
      <c r="C39" s="66" t="s">
        <v>1208</v>
      </c>
      <c r="D39" s="67"/>
      <c r="E39" s="67"/>
      <c r="F39" s="67"/>
      <c r="G39" s="67"/>
      <c r="H39" s="69"/>
      <c r="I39" s="284">
        <f>SUM(I37:I38)</f>
        <v>46400</v>
      </c>
      <c r="J39" s="119"/>
    </row>
    <row r="40" spans="3:10" s="59" customFormat="1" ht="21.6" customHeight="1">
      <c r="C40" s="290" t="s">
        <v>1209</v>
      </c>
      <c r="D40" s="182" t="s">
        <v>1210</v>
      </c>
      <c r="E40" s="182"/>
      <c r="F40" s="70"/>
      <c r="G40" s="70"/>
      <c r="H40" s="70"/>
      <c r="I40" s="71"/>
      <c r="J40" s="119"/>
    </row>
    <row r="41" spans="3:10" s="59" customFormat="1" ht="21.6" customHeight="1">
      <c r="C41" s="66" t="s">
        <v>1214</v>
      </c>
      <c r="D41" s="67"/>
      <c r="E41" s="67"/>
      <c r="F41" s="67"/>
      <c r="G41" s="67"/>
      <c r="H41" s="69"/>
      <c r="I41" s="292">
        <v>0</v>
      </c>
      <c r="J41" s="119"/>
    </row>
    <row r="42" spans="3:10" s="59" customFormat="1" ht="21.6" customHeight="1">
      <c r="C42" s="290" t="s">
        <v>1215</v>
      </c>
      <c r="D42" s="182" t="s">
        <v>1216</v>
      </c>
      <c r="E42" s="182"/>
      <c r="F42" s="70"/>
      <c r="G42" s="70"/>
      <c r="H42" s="70"/>
      <c r="I42" s="71"/>
      <c r="J42" s="119"/>
    </row>
    <row r="43" spans="3:10" s="59" customFormat="1" ht="21.6" customHeight="1">
      <c r="C43" s="66" t="s">
        <v>1217</v>
      </c>
      <c r="D43" s="67"/>
      <c r="E43" s="67"/>
      <c r="F43" s="67"/>
      <c r="G43" s="67"/>
      <c r="H43" s="69"/>
      <c r="I43" s="292">
        <v>0</v>
      </c>
      <c r="J43" s="119"/>
    </row>
    <row r="44" spans="3:10" s="59" customFormat="1" ht="21.6" customHeight="1">
      <c r="C44" s="293" t="s">
        <v>1218</v>
      </c>
      <c r="D44" s="294" t="s">
        <v>1219</v>
      </c>
      <c r="E44" s="295"/>
      <c r="F44" s="295"/>
      <c r="G44" s="295"/>
      <c r="H44" s="296"/>
      <c r="I44" s="284">
        <f>I39+I41+I43</f>
        <v>46400</v>
      </c>
      <c r="J44" s="119"/>
    </row>
    <row r="45" spans="3:10" s="59" customFormat="1" ht="21.6" customHeight="1">
      <c r="C45" s="293" t="s">
        <v>1220</v>
      </c>
      <c r="D45" s="294" t="s">
        <v>1249</v>
      </c>
      <c r="E45" s="295"/>
      <c r="F45" s="295"/>
      <c r="G45" s="296"/>
      <c r="H45" s="298">
        <v>0.1</v>
      </c>
      <c r="I45" s="284">
        <f>I44*H45</f>
        <v>4640</v>
      </c>
      <c r="J45" s="119"/>
    </row>
    <row r="46" spans="3:10" s="59" customFormat="1" ht="21.6" customHeight="1" thickBot="1">
      <c r="C46" s="299" t="s">
        <v>1221</v>
      </c>
      <c r="D46" s="300" t="s">
        <v>1222</v>
      </c>
      <c r="E46" s="301"/>
      <c r="F46" s="301"/>
      <c r="G46" s="301"/>
      <c r="H46" s="302"/>
      <c r="I46" s="303">
        <f>SUM(I44:I45)</f>
        <v>51040</v>
      </c>
      <c r="J46" s="119"/>
    </row>
    <row r="47" spans="3:10" s="59" customFormat="1" ht="21.6" customHeight="1" thickTop="1">
      <c r="C47" s="289"/>
      <c r="D47" s="297"/>
      <c r="E47" s="297"/>
      <c r="F47" s="297"/>
      <c r="G47" s="297"/>
      <c r="H47" s="297"/>
      <c r="I47" s="139"/>
      <c r="J47" s="119"/>
    </row>
    <row r="48" spans="3:10" s="59" customFormat="1" ht="21.6" customHeight="1" thickBot="1">
      <c r="C48" s="47" t="s">
        <v>1961</v>
      </c>
      <c r="D48" s="488" t="s">
        <v>1962</v>
      </c>
      <c r="E48" s="119"/>
      <c r="F48" s="965"/>
      <c r="G48" s="965"/>
      <c r="H48" s="965"/>
      <c r="I48" s="965"/>
      <c r="J48" s="120">
        <f>ROUNDDOWN(I60,-2)</f>
        <v>106900</v>
      </c>
    </row>
    <row r="49" spans="3:10" s="59" customFormat="1" ht="21.6" customHeight="1" thickTop="1">
      <c r="C49" s="51" t="s">
        <v>1195</v>
      </c>
      <c r="D49" s="52" t="s">
        <v>1196</v>
      </c>
      <c r="E49" s="52"/>
      <c r="F49" s="52" t="s">
        <v>1197</v>
      </c>
      <c r="G49" s="52" t="s">
        <v>1198</v>
      </c>
      <c r="H49" s="52" t="s">
        <v>1199</v>
      </c>
      <c r="I49" s="53" t="s">
        <v>1200</v>
      </c>
      <c r="J49" s="1074"/>
    </row>
    <row r="50" spans="3:10" s="59" customFormat="1" ht="21.6" customHeight="1">
      <c r="C50" s="290" t="s">
        <v>1201</v>
      </c>
      <c r="D50" s="182" t="s">
        <v>1202</v>
      </c>
      <c r="E50" s="182"/>
      <c r="F50" s="70"/>
      <c r="G50" s="70"/>
      <c r="H50" s="70"/>
      <c r="I50" s="71"/>
      <c r="J50" s="119"/>
    </row>
    <row r="51" spans="3:10" s="59" customFormat="1" ht="21.6" customHeight="1">
      <c r="C51" s="281">
        <v>1</v>
      </c>
      <c r="D51" s="182" t="s">
        <v>5</v>
      </c>
      <c r="E51" s="176" t="s">
        <v>1774</v>
      </c>
      <c r="F51" s="176" t="s">
        <v>6</v>
      </c>
      <c r="G51" s="315">
        <v>0.9</v>
      </c>
      <c r="H51" s="283">
        <f>VLOOKUP(D51,upahbahan,3,FALSE)</f>
        <v>100000</v>
      </c>
      <c r="I51" s="284">
        <f>G51*H51</f>
        <v>90000</v>
      </c>
      <c r="J51" s="119"/>
    </row>
    <row r="52" spans="3:10" s="59" customFormat="1" ht="21.6" customHeight="1">
      <c r="C52" s="281">
        <v>2</v>
      </c>
      <c r="D52" s="182" t="s">
        <v>19</v>
      </c>
      <c r="E52" s="176" t="s">
        <v>1777</v>
      </c>
      <c r="F52" s="176" t="s">
        <v>6</v>
      </c>
      <c r="G52" s="315">
        <v>4.4999999999999998E-2</v>
      </c>
      <c r="H52" s="283">
        <f>VLOOKUP(D52,upahbahan,3,FALSE)</f>
        <v>160000</v>
      </c>
      <c r="I52" s="284">
        <f>G52*H52</f>
        <v>7200</v>
      </c>
      <c r="J52" s="119"/>
    </row>
    <row r="53" spans="3:10" s="59" customFormat="1" ht="21.6" customHeight="1">
      <c r="C53" s="66" t="s">
        <v>1208</v>
      </c>
      <c r="D53" s="67"/>
      <c r="E53" s="67"/>
      <c r="F53" s="67"/>
      <c r="G53" s="67"/>
      <c r="H53" s="69"/>
      <c r="I53" s="284">
        <f>SUM(I51:I52)</f>
        <v>97200</v>
      </c>
      <c r="J53" s="119"/>
    </row>
    <row r="54" spans="3:10" s="59" customFormat="1" ht="21.6" customHeight="1">
      <c r="C54" s="290" t="s">
        <v>1209</v>
      </c>
      <c r="D54" s="182" t="s">
        <v>1210</v>
      </c>
      <c r="E54" s="182"/>
      <c r="F54" s="70"/>
      <c r="G54" s="70"/>
      <c r="H54" s="70"/>
      <c r="I54" s="71"/>
      <c r="J54" s="119"/>
    </row>
    <row r="55" spans="3:10" s="59" customFormat="1" ht="21.6" customHeight="1">
      <c r="C55" s="66" t="s">
        <v>1214</v>
      </c>
      <c r="D55" s="67"/>
      <c r="E55" s="67"/>
      <c r="F55" s="67"/>
      <c r="G55" s="67"/>
      <c r="H55" s="69"/>
      <c r="I55" s="292">
        <v>0</v>
      </c>
      <c r="J55" s="119"/>
    </row>
    <row r="56" spans="3:10" s="59" customFormat="1" ht="21.6" customHeight="1">
      <c r="C56" s="290" t="s">
        <v>1215</v>
      </c>
      <c r="D56" s="182" t="s">
        <v>1216</v>
      </c>
      <c r="E56" s="182"/>
      <c r="F56" s="70"/>
      <c r="G56" s="70"/>
      <c r="H56" s="70"/>
      <c r="I56" s="71"/>
      <c r="J56" s="119"/>
    </row>
    <row r="57" spans="3:10" s="59" customFormat="1" ht="21.6" customHeight="1">
      <c r="C57" s="66" t="s">
        <v>1217</v>
      </c>
      <c r="D57" s="67"/>
      <c r="E57" s="67"/>
      <c r="F57" s="67"/>
      <c r="G57" s="67"/>
      <c r="H57" s="69"/>
      <c r="I57" s="292">
        <v>0</v>
      </c>
      <c r="J57" s="119"/>
    </row>
    <row r="58" spans="3:10" s="59" customFormat="1" ht="21.6" customHeight="1">
      <c r="C58" s="293" t="s">
        <v>1218</v>
      </c>
      <c r="D58" s="294" t="s">
        <v>1219</v>
      </c>
      <c r="E58" s="295"/>
      <c r="F58" s="295"/>
      <c r="G58" s="295"/>
      <c r="H58" s="296"/>
      <c r="I58" s="284">
        <f>I53+I55+I57</f>
        <v>97200</v>
      </c>
      <c r="J58" s="119"/>
    </row>
    <row r="59" spans="3:10" s="59" customFormat="1" ht="21.6" customHeight="1">
      <c r="C59" s="293" t="s">
        <v>1220</v>
      </c>
      <c r="D59" s="294" t="s">
        <v>1249</v>
      </c>
      <c r="E59" s="295"/>
      <c r="F59" s="295"/>
      <c r="G59" s="296"/>
      <c r="H59" s="298">
        <v>0.1</v>
      </c>
      <c r="I59" s="284">
        <f>I58*H59</f>
        <v>9720</v>
      </c>
      <c r="J59" s="119"/>
    </row>
    <row r="60" spans="3:10" s="59" customFormat="1" ht="21.6" customHeight="1" thickBot="1">
      <c r="C60" s="299" t="s">
        <v>1221</v>
      </c>
      <c r="D60" s="300" t="s">
        <v>1222</v>
      </c>
      <c r="E60" s="301"/>
      <c r="F60" s="301"/>
      <c r="G60" s="301"/>
      <c r="H60" s="302"/>
      <c r="I60" s="303">
        <f>SUM(I58:I59)</f>
        <v>106920</v>
      </c>
      <c r="J60" s="119"/>
    </row>
    <row r="61" spans="3:10" s="59" customFormat="1" ht="21.6" customHeight="1" thickTop="1">
      <c r="C61" s="289"/>
      <c r="D61" s="297"/>
      <c r="E61" s="297"/>
      <c r="F61" s="297"/>
      <c r="G61" s="297"/>
      <c r="H61" s="297"/>
      <c r="I61" s="139"/>
      <c r="J61" s="119"/>
    </row>
    <row r="62" spans="3:10" s="59" customFormat="1" ht="21.6" customHeight="1" thickBot="1">
      <c r="C62" s="47" t="s">
        <v>1963</v>
      </c>
      <c r="D62" s="488" t="s">
        <v>1964</v>
      </c>
      <c r="E62" s="119"/>
      <c r="F62" s="965"/>
      <c r="G62" s="965"/>
      <c r="H62" s="965"/>
      <c r="I62" s="965"/>
      <c r="J62" s="120">
        <f>ROUNDDOWN(I74,-2)</f>
        <v>86100</v>
      </c>
    </row>
    <row r="63" spans="3:10" s="59" customFormat="1" ht="21.6" customHeight="1" thickTop="1">
      <c r="C63" s="51" t="s">
        <v>1195</v>
      </c>
      <c r="D63" s="52" t="s">
        <v>1196</v>
      </c>
      <c r="E63" s="52"/>
      <c r="F63" s="52" t="s">
        <v>1197</v>
      </c>
      <c r="G63" s="52" t="s">
        <v>1198</v>
      </c>
      <c r="H63" s="52" t="s">
        <v>1199</v>
      </c>
      <c r="I63" s="53" t="s">
        <v>1200</v>
      </c>
      <c r="J63" s="1074"/>
    </row>
    <row r="64" spans="3:10" s="59" customFormat="1" ht="21.6" customHeight="1">
      <c r="C64" s="290" t="s">
        <v>1201</v>
      </c>
      <c r="D64" s="182" t="s">
        <v>1202</v>
      </c>
      <c r="E64" s="182"/>
      <c r="F64" s="70"/>
      <c r="G64" s="70"/>
      <c r="H64" s="70"/>
      <c r="I64" s="71"/>
      <c r="J64" s="119"/>
    </row>
    <row r="65" spans="3:10" s="59" customFormat="1" ht="21.6" customHeight="1">
      <c r="C65" s="281">
        <v>1</v>
      </c>
      <c r="D65" s="182" t="s">
        <v>5</v>
      </c>
      <c r="E65" s="176" t="s">
        <v>1774</v>
      </c>
      <c r="F65" s="176" t="s">
        <v>6</v>
      </c>
      <c r="G65" s="315">
        <v>0.67500000000000004</v>
      </c>
      <c r="H65" s="283">
        <f>VLOOKUP(D65,upahbahan,3,FALSE)</f>
        <v>100000</v>
      </c>
      <c r="I65" s="284">
        <f>G65*H65</f>
        <v>67500</v>
      </c>
      <c r="J65" s="119"/>
    </row>
    <row r="66" spans="3:10" s="59" customFormat="1" ht="21.6" customHeight="1">
      <c r="C66" s="281">
        <v>2</v>
      </c>
      <c r="D66" s="182" t="s">
        <v>19</v>
      </c>
      <c r="E66" s="176" t="s">
        <v>1777</v>
      </c>
      <c r="F66" s="176" t="s">
        <v>6</v>
      </c>
      <c r="G66" s="315">
        <v>6.7500000000000004E-2</v>
      </c>
      <c r="H66" s="283">
        <f>VLOOKUP(D66,upahbahan,3,FALSE)</f>
        <v>160000</v>
      </c>
      <c r="I66" s="284">
        <f>G66*H66</f>
        <v>10800</v>
      </c>
      <c r="J66" s="119"/>
    </row>
    <row r="67" spans="3:10" s="59" customFormat="1" ht="21.6" customHeight="1">
      <c r="C67" s="66" t="s">
        <v>1208</v>
      </c>
      <c r="D67" s="67"/>
      <c r="E67" s="67"/>
      <c r="F67" s="67"/>
      <c r="G67" s="67"/>
      <c r="H67" s="69"/>
      <c r="I67" s="284">
        <f>SUM(I65:I66)</f>
        <v>78300</v>
      </c>
      <c r="J67" s="119"/>
    </row>
    <row r="68" spans="3:10" s="59" customFormat="1" ht="21.6" customHeight="1">
      <c r="C68" s="290" t="s">
        <v>1209</v>
      </c>
      <c r="D68" s="182" t="s">
        <v>1210</v>
      </c>
      <c r="E68" s="182"/>
      <c r="F68" s="70"/>
      <c r="G68" s="70"/>
      <c r="H68" s="70"/>
      <c r="I68" s="71"/>
      <c r="J68" s="119"/>
    </row>
    <row r="69" spans="3:10" s="59" customFormat="1" ht="21.6" customHeight="1">
      <c r="C69" s="66" t="s">
        <v>1214</v>
      </c>
      <c r="D69" s="67"/>
      <c r="E69" s="67"/>
      <c r="F69" s="67"/>
      <c r="G69" s="67"/>
      <c r="H69" s="69"/>
      <c r="I69" s="292">
        <v>0</v>
      </c>
      <c r="J69" s="119"/>
    </row>
    <row r="70" spans="3:10" s="59" customFormat="1" ht="21.6" customHeight="1">
      <c r="C70" s="290" t="s">
        <v>1215</v>
      </c>
      <c r="D70" s="182" t="s">
        <v>1216</v>
      </c>
      <c r="E70" s="182"/>
      <c r="F70" s="70"/>
      <c r="G70" s="70"/>
      <c r="H70" s="70"/>
      <c r="I70" s="71"/>
      <c r="J70" s="119"/>
    </row>
    <row r="71" spans="3:10" s="59" customFormat="1" ht="21.6" customHeight="1">
      <c r="C71" s="66" t="s">
        <v>1217</v>
      </c>
      <c r="D71" s="67"/>
      <c r="E71" s="67"/>
      <c r="F71" s="67"/>
      <c r="G71" s="67"/>
      <c r="H71" s="69"/>
      <c r="I71" s="292">
        <v>0</v>
      </c>
      <c r="J71" s="119"/>
    </row>
    <row r="72" spans="3:10" s="59" customFormat="1" ht="21.6" customHeight="1">
      <c r="C72" s="293" t="s">
        <v>1218</v>
      </c>
      <c r="D72" s="294" t="s">
        <v>1219</v>
      </c>
      <c r="E72" s="295"/>
      <c r="F72" s="295"/>
      <c r="G72" s="295"/>
      <c r="H72" s="296"/>
      <c r="I72" s="284">
        <f>I67+I69+I71</f>
        <v>78300</v>
      </c>
      <c r="J72" s="119"/>
    </row>
    <row r="73" spans="3:10" s="59" customFormat="1" ht="21.6" customHeight="1">
      <c r="C73" s="293" t="s">
        <v>1220</v>
      </c>
      <c r="D73" s="294" t="s">
        <v>1249</v>
      </c>
      <c r="E73" s="295"/>
      <c r="F73" s="295"/>
      <c r="G73" s="296"/>
      <c r="H73" s="298">
        <v>0.1</v>
      </c>
      <c r="I73" s="284">
        <f>I72*H73</f>
        <v>7830</v>
      </c>
      <c r="J73" s="119"/>
    </row>
    <row r="74" spans="3:10" s="59" customFormat="1" ht="21.6" customHeight="1" thickBot="1">
      <c r="C74" s="299" t="s">
        <v>1221</v>
      </c>
      <c r="D74" s="300" t="s">
        <v>1222</v>
      </c>
      <c r="E74" s="301"/>
      <c r="F74" s="301"/>
      <c r="G74" s="301"/>
      <c r="H74" s="302"/>
      <c r="I74" s="303">
        <f>SUM(I72:I73)</f>
        <v>86130</v>
      </c>
      <c r="J74" s="119"/>
    </row>
    <row r="75" spans="3:10" s="59" customFormat="1" ht="21.6" customHeight="1" thickTop="1">
      <c r="C75" s="289"/>
      <c r="D75" s="297"/>
      <c r="E75" s="297"/>
      <c r="F75" s="297"/>
      <c r="G75" s="297"/>
      <c r="H75" s="297"/>
      <c r="I75" s="139"/>
      <c r="J75" s="119"/>
    </row>
    <row r="76" spans="3:10" s="59" customFormat="1" ht="21.6" customHeight="1" thickBot="1">
      <c r="C76" s="47" t="s">
        <v>1967</v>
      </c>
      <c r="D76" s="488" t="s">
        <v>1965</v>
      </c>
      <c r="E76" s="119"/>
      <c r="F76" s="965"/>
      <c r="G76" s="965"/>
      <c r="H76" s="965"/>
      <c r="I76" s="965"/>
      <c r="J76" s="120">
        <f>ROUNDDOWN(I88,-2)</f>
        <v>127200</v>
      </c>
    </row>
    <row r="77" spans="3:10" s="59" customFormat="1" ht="21.6" customHeight="1" thickTop="1">
      <c r="C77" s="51" t="s">
        <v>1195</v>
      </c>
      <c r="D77" s="52" t="s">
        <v>1196</v>
      </c>
      <c r="E77" s="52"/>
      <c r="F77" s="52" t="s">
        <v>1197</v>
      </c>
      <c r="G77" s="52" t="s">
        <v>1198</v>
      </c>
      <c r="H77" s="52" t="s">
        <v>1199</v>
      </c>
      <c r="I77" s="53" t="s">
        <v>1200</v>
      </c>
      <c r="J77" s="1074"/>
    </row>
    <row r="78" spans="3:10" s="59" customFormat="1" ht="21.6" customHeight="1">
      <c r="C78" s="290" t="s">
        <v>1201</v>
      </c>
      <c r="D78" s="182" t="s">
        <v>1202</v>
      </c>
      <c r="E78" s="182"/>
      <c r="F78" s="70"/>
      <c r="G78" s="70"/>
      <c r="H78" s="70"/>
      <c r="I78" s="71"/>
      <c r="J78" s="119"/>
    </row>
    <row r="79" spans="3:10" s="59" customFormat="1" ht="21.6" customHeight="1">
      <c r="C79" s="281">
        <v>1</v>
      </c>
      <c r="D79" s="182" t="s">
        <v>5</v>
      </c>
      <c r="E79" s="176" t="s">
        <v>1774</v>
      </c>
      <c r="F79" s="176" t="s">
        <v>6</v>
      </c>
      <c r="G79" s="315">
        <v>1.05</v>
      </c>
      <c r="H79" s="283">
        <f>VLOOKUP(D79,upahbahan,3,FALSE)</f>
        <v>100000</v>
      </c>
      <c r="I79" s="284">
        <f>G79*H79</f>
        <v>105000</v>
      </c>
      <c r="J79" s="119"/>
    </row>
    <row r="80" spans="3:10" s="59" customFormat="1" ht="21.6" customHeight="1">
      <c r="C80" s="281">
        <v>2</v>
      </c>
      <c r="D80" s="182" t="s">
        <v>19</v>
      </c>
      <c r="E80" s="176" t="s">
        <v>1777</v>
      </c>
      <c r="F80" s="176" t="s">
        <v>6</v>
      </c>
      <c r="G80" s="315">
        <v>6.7000000000000004E-2</v>
      </c>
      <c r="H80" s="283">
        <f>VLOOKUP(D80,upahbahan,3,FALSE)</f>
        <v>160000</v>
      </c>
      <c r="I80" s="284">
        <f>G80*H80</f>
        <v>10720</v>
      </c>
      <c r="J80" s="119"/>
    </row>
    <row r="81" spans="3:10" s="59" customFormat="1" ht="21.6" customHeight="1">
      <c r="C81" s="66" t="s">
        <v>1208</v>
      </c>
      <c r="D81" s="67"/>
      <c r="E81" s="67"/>
      <c r="F81" s="67"/>
      <c r="G81" s="67"/>
      <c r="H81" s="69"/>
      <c r="I81" s="284">
        <f>SUM(I79:I80)</f>
        <v>115720</v>
      </c>
      <c r="J81" s="119"/>
    </row>
    <row r="82" spans="3:10" s="59" customFormat="1" ht="21.6" customHeight="1">
      <c r="C82" s="290" t="s">
        <v>1209</v>
      </c>
      <c r="D82" s="182" t="s">
        <v>1210</v>
      </c>
      <c r="E82" s="182"/>
      <c r="F82" s="70"/>
      <c r="G82" s="70"/>
      <c r="H82" s="70"/>
      <c r="I82" s="71"/>
      <c r="J82" s="119"/>
    </row>
    <row r="83" spans="3:10" s="59" customFormat="1" ht="21.6" customHeight="1">
      <c r="C83" s="66" t="s">
        <v>1214</v>
      </c>
      <c r="D83" s="67"/>
      <c r="E83" s="67"/>
      <c r="F83" s="67"/>
      <c r="G83" s="67"/>
      <c r="H83" s="69"/>
      <c r="I83" s="292">
        <v>0</v>
      </c>
      <c r="J83" s="119"/>
    </row>
    <row r="84" spans="3:10" s="59" customFormat="1" ht="21.6" customHeight="1">
      <c r="C84" s="290" t="s">
        <v>1215</v>
      </c>
      <c r="D84" s="182" t="s">
        <v>1216</v>
      </c>
      <c r="E84" s="182"/>
      <c r="F84" s="70"/>
      <c r="G84" s="70"/>
      <c r="H84" s="70"/>
      <c r="I84" s="71"/>
      <c r="J84" s="119"/>
    </row>
    <row r="85" spans="3:10" s="59" customFormat="1" ht="21.6" customHeight="1">
      <c r="C85" s="66" t="s">
        <v>1217</v>
      </c>
      <c r="D85" s="67"/>
      <c r="E85" s="67"/>
      <c r="F85" s="67"/>
      <c r="G85" s="67"/>
      <c r="H85" s="69"/>
      <c r="I85" s="292">
        <v>0</v>
      </c>
      <c r="J85" s="119"/>
    </row>
    <row r="86" spans="3:10" s="59" customFormat="1" ht="21.6" customHeight="1">
      <c r="C86" s="293" t="s">
        <v>1218</v>
      </c>
      <c r="D86" s="294" t="s">
        <v>1219</v>
      </c>
      <c r="E86" s="295"/>
      <c r="F86" s="295"/>
      <c r="G86" s="295"/>
      <c r="H86" s="296"/>
      <c r="I86" s="284">
        <f>I81+I83+I85</f>
        <v>115720</v>
      </c>
      <c r="J86" s="119"/>
    </row>
    <row r="87" spans="3:10" s="59" customFormat="1" ht="21.6" customHeight="1">
      <c r="C87" s="293" t="s">
        <v>1220</v>
      </c>
      <c r="D87" s="294" t="s">
        <v>1249</v>
      </c>
      <c r="E87" s="295"/>
      <c r="F87" s="295"/>
      <c r="G87" s="296"/>
      <c r="H87" s="298">
        <v>0.1</v>
      </c>
      <c r="I87" s="284">
        <f>I86*H87</f>
        <v>11572</v>
      </c>
      <c r="J87" s="119"/>
    </row>
    <row r="88" spans="3:10" s="59" customFormat="1" ht="21.6" customHeight="1" thickBot="1">
      <c r="C88" s="299" t="s">
        <v>1221</v>
      </c>
      <c r="D88" s="300" t="s">
        <v>1222</v>
      </c>
      <c r="E88" s="301"/>
      <c r="F88" s="301"/>
      <c r="G88" s="301"/>
      <c r="H88" s="302"/>
      <c r="I88" s="303">
        <f>SUM(I86:I87)</f>
        <v>127292</v>
      </c>
      <c r="J88" s="119"/>
    </row>
    <row r="89" spans="3:10" s="59" customFormat="1" ht="21.6" customHeight="1" thickTop="1">
      <c r="C89" s="304"/>
      <c r="D89" s="304"/>
      <c r="E89" s="304"/>
      <c r="F89" s="304"/>
      <c r="G89" s="304"/>
      <c r="H89" s="304"/>
      <c r="I89" s="305"/>
      <c r="J89" s="119"/>
    </row>
    <row r="90" spans="3:10" s="59" customFormat="1" ht="21.6" customHeight="1" thickBot="1">
      <c r="C90" s="47" t="s">
        <v>1966</v>
      </c>
      <c r="D90" s="488" t="s">
        <v>1968</v>
      </c>
      <c r="E90" s="119"/>
      <c r="F90" s="965"/>
      <c r="G90" s="965"/>
      <c r="H90" s="965"/>
      <c r="I90" s="965"/>
      <c r="J90" s="120">
        <f>ROUNDDOWN(I102,-2)</f>
        <v>96900</v>
      </c>
    </row>
    <row r="91" spans="3:10" s="59" customFormat="1" ht="21.6" customHeight="1" thickTop="1">
      <c r="C91" s="51" t="s">
        <v>1195</v>
      </c>
      <c r="D91" s="52" t="s">
        <v>1196</v>
      </c>
      <c r="E91" s="52"/>
      <c r="F91" s="52" t="s">
        <v>1197</v>
      </c>
      <c r="G91" s="52" t="s">
        <v>1198</v>
      </c>
      <c r="H91" s="52" t="s">
        <v>1199</v>
      </c>
      <c r="I91" s="53" t="s">
        <v>1200</v>
      </c>
      <c r="J91" s="1074"/>
    </row>
    <row r="92" spans="3:10" s="59" customFormat="1" ht="21.6" customHeight="1">
      <c r="C92" s="290" t="s">
        <v>1201</v>
      </c>
      <c r="D92" s="182" t="s">
        <v>1202</v>
      </c>
      <c r="E92" s="182"/>
      <c r="F92" s="70"/>
      <c r="G92" s="70"/>
      <c r="H92" s="70"/>
      <c r="I92" s="71"/>
      <c r="J92" s="119"/>
    </row>
    <row r="93" spans="3:10" s="59" customFormat="1" ht="21.6" customHeight="1">
      <c r="C93" s="281">
        <v>1</v>
      </c>
      <c r="D93" s="182" t="s">
        <v>5</v>
      </c>
      <c r="E93" s="176" t="s">
        <v>1774</v>
      </c>
      <c r="F93" s="176" t="s">
        <v>6</v>
      </c>
      <c r="G93" s="315">
        <v>0.76</v>
      </c>
      <c r="H93" s="283">
        <f>VLOOKUP(D93,upahbahan,3,FALSE)</f>
        <v>100000</v>
      </c>
      <c r="I93" s="284">
        <f>G93*H93</f>
        <v>76000</v>
      </c>
      <c r="J93" s="119"/>
    </row>
    <row r="94" spans="3:10" s="59" customFormat="1" ht="21.6" customHeight="1">
      <c r="C94" s="281">
        <v>2</v>
      </c>
      <c r="D94" s="182" t="s">
        <v>19</v>
      </c>
      <c r="E94" s="176" t="s">
        <v>1777</v>
      </c>
      <c r="F94" s="176" t="s">
        <v>6</v>
      </c>
      <c r="G94" s="315">
        <v>7.5999999999999998E-2</v>
      </c>
      <c r="H94" s="283">
        <f>VLOOKUP(D94,upahbahan,3,FALSE)</f>
        <v>160000</v>
      </c>
      <c r="I94" s="284">
        <f>G94*H94</f>
        <v>12160</v>
      </c>
      <c r="J94" s="119"/>
    </row>
    <row r="95" spans="3:10" s="59" customFormat="1" ht="21.6" customHeight="1">
      <c r="C95" s="66" t="s">
        <v>1208</v>
      </c>
      <c r="D95" s="67"/>
      <c r="E95" s="67"/>
      <c r="F95" s="67"/>
      <c r="G95" s="67"/>
      <c r="H95" s="69"/>
      <c r="I95" s="284">
        <f>SUM(I93:I94)</f>
        <v>88160</v>
      </c>
      <c r="J95" s="119"/>
    </row>
    <row r="96" spans="3:10" s="59" customFormat="1" ht="21.6" customHeight="1">
      <c r="C96" s="290" t="s">
        <v>1209</v>
      </c>
      <c r="D96" s="182" t="s">
        <v>1210</v>
      </c>
      <c r="E96" s="182"/>
      <c r="F96" s="70"/>
      <c r="G96" s="70"/>
      <c r="H96" s="70"/>
      <c r="I96" s="71"/>
      <c r="J96" s="119"/>
    </row>
    <row r="97" spans="3:10" s="59" customFormat="1" ht="21.6" customHeight="1">
      <c r="C97" s="66" t="s">
        <v>1214</v>
      </c>
      <c r="D97" s="67"/>
      <c r="E97" s="67"/>
      <c r="F97" s="67"/>
      <c r="G97" s="67"/>
      <c r="H97" s="69"/>
      <c r="I97" s="292">
        <v>0</v>
      </c>
      <c r="J97" s="119"/>
    </row>
    <row r="98" spans="3:10" s="59" customFormat="1" ht="21.6" customHeight="1">
      <c r="C98" s="290" t="s">
        <v>1215</v>
      </c>
      <c r="D98" s="182" t="s">
        <v>1216</v>
      </c>
      <c r="E98" s="182"/>
      <c r="F98" s="70"/>
      <c r="G98" s="70"/>
      <c r="H98" s="70"/>
      <c r="I98" s="71"/>
      <c r="J98" s="119"/>
    </row>
    <row r="99" spans="3:10" s="59" customFormat="1" ht="21.6" customHeight="1">
      <c r="C99" s="66" t="s">
        <v>1217</v>
      </c>
      <c r="D99" s="67"/>
      <c r="E99" s="67"/>
      <c r="F99" s="67"/>
      <c r="G99" s="67"/>
      <c r="H99" s="69"/>
      <c r="I99" s="292">
        <v>0</v>
      </c>
      <c r="J99" s="119"/>
    </row>
    <row r="100" spans="3:10" s="59" customFormat="1" ht="21.6" customHeight="1">
      <c r="C100" s="293" t="s">
        <v>1218</v>
      </c>
      <c r="D100" s="294" t="s">
        <v>1219</v>
      </c>
      <c r="E100" s="295"/>
      <c r="F100" s="295"/>
      <c r="G100" s="295"/>
      <c r="H100" s="296"/>
      <c r="I100" s="284">
        <f>I95+I97+I99</f>
        <v>88160</v>
      </c>
      <c r="J100" s="119"/>
    </row>
    <row r="101" spans="3:10" s="59" customFormat="1" ht="21.6" customHeight="1">
      <c r="C101" s="293" t="s">
        <v>1220</v>
      </c>
      <c r="D101" s="294" t="s">
        <v>1249</v>
      </c>
      <c r="E101" s="295"/>
      <c r="F101" s="295"/>
      <c r="G101" s="296"/>
      <c r="H101" s="298">
        <v>0.1</v>
      </c>
      <c r="I101" s="284">
        <f>I100*H101</f>
        <v>8816</v>
      </c>
      <c r="J101" s="119"/>
    </row>
    <row r="102" spans="3:10" s="59" customFormat="1" ht="21.6" customHeight="1" thickBot="1">
      <c r="C102" s="299" t="s">
        <v>1221</v>
      </c>
      <c r="D102" s="300" t="s">
        <v>1222</v>
      </c>
      <c r="E102" s="301"/>
      <c r="F102" s="301"/>
      <c r="G102" s="301"/>
      <c r="H102" s="302"/>
      <c r="I102" s="303">
        <f>SUM(I100:I101)</f>
        <v>96976</v>
      </c>
      <c r="J102" s="119"/>
    </row>
    <row r="103" spans="3:10" s="59" customFormat="1" ht="21.6" customHeight="1" thickTop="1">
      <c r="C103" s="304"/>
      <c r="D103" s="304"/>
      <c r="E103" s="304"/>
      <c r="F103" s="304"/>
      <c r="G103" s="304"/>
      <c r="H103" s="304"/>
      <c r="I103" s="305"/>
      <c r="J103" s="119"/>
    </row>
    <row r="104" spans="3:10" s="59" customFormat="1" ht="21.6" customHeight="1" thickBot="1">
      <c r="C104" s="47" t="s">
        <v>1969</v>
      </c>
      <c r="D104" s="488" t="s">
        <v>1970</v>
      </c>
      <c r="E104" s="119"/>
      <c r="F104" s="965"/>
      <c r="G104" s="965"/>
      <c r="H104" s="965"/>
      <c r="I104" s="965"/>
      <c r="J104" s="120">
        <f>ROUNDDOWN(I116,-2)</f>
        <v>9500</v>
      </c>
    </row>
    <row r="105" spans="3:10" s="59" customFormat="1" ht="21.6" customHeight="1" thickTop="1">
      <c r="C105" s="51" t="s">
        <v>1195</v>
      </c>
      <c r="D105" s="52" t="s">
        <v>1196</v>
      </c>
      <c r="E105" s="52"/>
      <c r="F105" s="52" t="s">
        <v>1197</v>
      </c>
      <c r="G105" s="52" t="s">
        <v>1198</v>
      </c>
      <c r="H105" s="52" t="s">
        <v>1199</v>
      </c>
      <c r="I105" s="53" t="s">
        <v>1200</v>
      </c>
      <c r="J105" s="1074"/>
    </row>
    <row r="106" spans="3:10" s="59" customFormat="1" ht="21.6" customHeight="1">
      <c r="C106" s="290" t="s">
        <v>1201</v>
      </c>
      <c r="D106" s="182" t="s">
        <v>1202</v>
      </c>
      <c r="E106" s="182"/>
      <c r="F106" s="70"/>
      <c r="G106" s="70"/>
      <c r="H106" s="70"/>
      <c r="I106" s="71"/>
      <c r="J106" s="119"/>
    </row>
    <row r="107" spans="3:10" s="59" customFormat="1" ht="21.6" customHeight="1">
      <c r="C107" s="281">
        <v>1</v>
      </c>
      <c r="D107" s="182" t="s">
        <v>5</v>
      </c>
      <c r="E107" s="176" t="s">
        <v>1774</v>
      </c>
      <c r="F107" s="176" t="s">
        <v>6</v>
      </c>
      <c r="G107" s="315">
        <v>7.4999999999999997E-2</v>
      </c>
      <c r="H107" s="283">
        <f>VLOOKUP(D107,upahbahan,3,FALSE)</f>
        <v>100000</v>
      </c>
      <c r="I107" s="284">
        <f>G107*H107</f>
        <v>7500</v>
      </c>
      <c r="J107" s="119"/>
    </row>
    <row r="108" spans="3:10" s="59" customFormat="1" ht="21.6" customHeight="1">
      <c r="C108" s="281">
        <v>2</v>
      </c>
      <c r="D108" s="182" t="s">
        <v>19</v>
      </c>
      <c r="E108" s="176" t="s">
        <v>1777</v>
      </c>
      <c r="F108" s="176" t="s">
        <v>6</v>
      </c>
      <c r="G108" s="315">
        <v>7.4999999999999997E-3</v>
      </c>
      <c r="H108" s="283">
        <f>VLOOKUP(D108,upahbahan,3,FALSE)</f>
        <v>160000</v>
      </c>
      <c r="I108" s="284">
        <f>G108*H108</f>
        <v>1200</v>
      </c>
      <c r="J108" s="119"/>
    </row>
    <row r="109" spans="3:10" s="59" customFormat="1" ht="21.6" customHeight="1">
      <c r="C109" s="66" t="s">
        <v>1208</v>
      </c>
      <c r="D109" s="67"/>
      <c r="E109" s="67"/>
      <c r="F109" s="67"/>
      <c r="G109" s="67"/>
      <c r="H109" s="69"/>
      <c r="I109" s="284">
        <f>SUM(I107:I108)</f>
        <v>8700</v>
      </c>
      <c r="J109" s="119"/>
    </row>
    <row r="110" spans="3:10" s="59" customFormat="1" ht="21.6" customHeight="1">
      <c r="C110" s="290" t="s">
        <v>1209</v>
      </c>
      <c r="D110" s="182" t="s">
        <v>1210</v>
      </c>
      <c r="E110" s="182"/>
      <c r="F110" s="70"/>
      <c r="G110" s="70"/>
      <c r="H110" s="70"/>
      <c r="I110" s="71"/>
      <c r="J110" s="119"/>
    </row>
    <row r="111" spans="3:10" s="59" customFormat="1" ht="21.6" customHeight="1">
      <c r="C111" s="66" t="s">
        <v>1214</v>
      </c>
      <c r="D111" s="67"/>
      <c r="E111" s="67"/>
      <c r="F111" s="67"/>
      <c r="G111" s="67"/>
      <c r="H111" s="69"/>
      <c r="I111" s="292">
        <v>0</v>
      </c>
      <c r="J111" s="119"/>
    </row>
    <row r="112" spans="3:10" s="59" customFormat="1" ht="21.6" customHeight="1">
      <c r="C112" s="290" t="s">
        <v>1215</v>
      </c>
      <c r="D112" s="182" t="s">
        <v>1216</v>
      </c>
      <c r="E112" s="182"/>
      <c r="F112" s="70"/>
      <c r="G112" s="70"/>
      <c r="H112" s="70"/>
      <c r="I112" s="71"/>
      <c r="J112" s="119"/>
    </row>
    <row r="113" spans="3:10" s="59" customFormat="1" ht="21.6" customHeight="1">
      <c r="C113" s="66" t="s">
        <v>1217</v>
      </c>
      <c r="D113" s="67"/>
      <c r="E113" s="67"/>
      <c r="F113" s="67"/>
      <c r="G113" s="67"/>
      <c r="H113" s="69"/>
      <c r="I113" s="292">
        <v>0</v>
      </c>
      <c r="J113" s="119"/>
    </row>
    <row r="114" spans="3:10" s="59" customFormat="1" ht="21.6" customHeight="1">
      <c r="C114" s="293" t="s">
        <v>1218</v>
      </c>
      <c r="D114" s="294" t="s">
        <v>1219</v>
      </c>
      <c r="E114" s="295"/>
      <c r="F114" s="295"/>
      <c r="G114" s="295"/>
      <c r="H114" s="296"/>
      <c r="I114" s="284">
        <f>I109+I111+I113</f>
        <v>8700</v>
      </c>
      <c r="J114" s="119"/>
    </row>
    <row r="115" spans="3:10" s="59" customFormat="1" ht="21.6" customHeight="1">
      <c r="C115" s="293" t="s">
        <v>1220</v>
      </c>
      <c r="D115" s="294" t="s">
        <v>1249</v>
      </c>
      <c r="E115" s="295"/>
      <c r="F115" s="295"/>
      <c r="G115" s="296"/>
      <c r="H115" s="298">
        <v>0.1</v>
      </c>
      <c r="I115" s="284">
        <f>I114*H115</f>
        <v>870</v>
      </c>
      <c r="J115" s="119"/>
    </row>
    <row r="116" spans="3:10" s="59" customFormat="1" ht="21.6" customHeight="1" thickBot="1">
      <c r="C116" s="299" t="s">
        <v>1221</v>
      </c>
      <c r="D116" s="300" t="s">
        <v>1222</v>
      </c>
      <c r="E116" s="301"/>
      <c r="F116" s="301"/>
      <c r="G116" s="301"/>
      <c r="H116" s="302"/>
      <c r="I116" s="303">
        <f>SUM(I114:I115)</f>
        <v>9570</v>
      </c>
      <c r="J116" s="119"/>
    </row>
    <row r="117" spans="3:10" s="59" customFormat="1" ht="21.6" customHeight="1" thickTop="1">
      <c r="C117" s="304"/>
      <c r="D117" s="304"/>
      <c r="E117" s="304"/>
      <c r="F117" s="304"/>
      <c r="G117" s="304"/>
      <c r="H117" s="304"/>
      <c r="I117" s="305"/>
      <c r="J117" s="119"/>
    </row>
    <row r="118" spans="3:10" s="59" customFormat="1" ht="21.6" customHeight="1">
      <c r="C118" s="328" t="s">
        <v>8780</v>
      </c>
      <c r="D118" s="328" t="s">
        <v>1971</v>
      </c>
      <c r="E118" s="304"/>
      <c r="F118" s="304"/>
      <c r="G118" s="304"/>
      <c r="H118" s="304"/>
      <c r="I118" s="305"/>
      <c r="J118" s="119"/>
    </row>
    <row r="119" spans="3:10" s="59" customFormat="1" ht="21.6" customHeight="1" thickBot="1">
      <c r="C119" s="47" t="s">
        <v>1972</v>
      </c>
      <c r="D119" s="488" t="s">
        <v>1973</v>
      </c>
      <c r="E119" s="48"/>
      <c r="F119" s="965"/>
      <c r="G119" s="965"/>
      <c r="H119" s="965"/>
      <c r="I119" s="965"/>
      <c r="J119" s="120">
        <f>ROUNDDOWN(I132,-2)</f>
        <v>131000</v>
      </c>
    </row>
    <row r="120" spans="3:10" s="59" customFormat="1" ht="21.6" customHeight="1" thickTop="1">
      <c r="C120" s="51" t="s">
        <v>1195</v>
      </c>
      <c r="D120" s="52" t="s">
        <v>1196</v>
      </c>
      <c r="E120" s="52"/>
      <c r="F120" s="52" t="s">
        <v>1197</v>
      </c>
      <c r="G120" s="52" t="s">
        <v>1198</v>
      </c>
      <c r="H120" s="52" t="s">
        <v>1199</v>
      </c>
      <c r="I120" s="53" t="s">
        <v>1200</v>
      </c>
      <c r="J120" s="1074"/>
    </row>
    <row r="121" spans="3:10" s="59" customFormat="1" ht="21.6" customHeight="1">
      <c r="C121" s="290" t="s">
        <v>1201</v>
      </c>
      <c r="D121" s="182" t="s">
        <v>1202</v>
      </c>
      <c r="E121" s="182"/>
      <c r="F121" s="70"/>
      <c r="G121" s="70"/>
      <c r="H121" s="70"/>
      <c r="I121" s="71"/>
      <c r="J121" s="119"/>
    </row>
    <row r="122" spans="3:10" s="59" customFormat="1" ht="21.6" customHeight="1">
      <c r="C122" s="281">
        <v>1</v>
      </c>
      <c r="D122" s="182" t="s">
        <v>5</v>
      </c>
      <c r="E122" s="176" t="s">
        <v>1774</v>
      </c>
      <c r="F122" s="176" t="s">
        <v>6</v>
      </c>
      <c r="G122" s="315">
        <v>0.13500000000000001</v>
      </c>
      <c r="H122" s="283">
        <f>VLOOKUP(D122,upahbahan,3,FALSE)</f>
        <v>100000</v>
      </c>
      <c r="I122" s="284">
        <f>G122*H122</f>
        <v>13500</v>
      </c>
      <c r="J122" s="119"/>
    </row>
    <row r="123" spans="3:10" s="59" customFormat="1" ht="21.6" customHeight="1">
      <c r="C123" s="281">
        <v>2</v>
      </c>
      <c r="D123" s="182" t="s">
        <v>19</v>
      </c>
      <c r="E123" s="176" t="s">
        <v>1777</v>
      </c>
      <c r="F123" s="176" t="s">
        <v>6</v>
      </c>
      <c r="G123" s="315">
        <v>1.35E-2</v>
      </c>
      <c r="H123" s="283">
        <f>VLOOKUP(D123,upahbahan,3,FALSE)</f>
        <v>160000</v>
      </c>
      <c r="I123" s="284">
        <f>G123*H123</f>
        <v>2160</v>
      </c>
      <c r="J123" s="119"/>
    </row>
    <row r="124" spans="3:10" s="59" customFormat="1" ht="21.6" customHeight="1">
      <c r="C124" s="66" t="s">
        <v>1208</v>
      </c>
      <c r="D124" s="67"/>
      <c r="E124" s="67"/>
      <c r="F124" s="67"/>
      <c r="G124" s="67"/>
      <c r="H124" s="69"/>
      <c r="I124" s="284">
        <f>SUM(I122:I123)</f>
        <v>15660</v>
      </c>
      <c r="J124" s="119"/>
    </row>
    <row r="125" spans="3:10" s="59" customFormat="1" ht="21.6" customHeight="1">
      <c r="C125" s="290" t="s">
        <v>1209</v>
      </c>
      <c r="D125" s="182" t="s">
        <v>1210</v>
      </c>
      <c r="E125" s="182"/>
      <c r="F125" s="70"/>
      <c r="G125" s="70"/>
      <c r="H125" s="70"/>
      <c r="I125" s="71"/>
      <c r="J125" s="119"/>
    </row>
    <row r="126" spans="3:10" s="59" customFormat="1" ht="21.6" customHeight="1">
      <c r="C126" s="66" t="s">
        <v>1214</v>
      </c>
      <c r="D126" s="67"/>
      <c r="E126" s="67"/>
      <c r="F126" s="67"/>
      <c r="G126" s="67"/>
      <c r="H126" s="69"/>
      <c r="I126" s="292">
        <v>0</v>
      </c>
      <c r="J126" s="119"/>
    </row>
    <row r="127" spans="3:10" s="59" customFormat="1" ht="21.6" customHeight="1">
      <c r="C127" s="290" t="s">
        <v>1215</v>
      </c>
      <c r="D127" s="182" t="s">
        <v>1216</v>
      </c>
      <c r="E127" s="182"/>
      <c r="F127" s="70"/>
      <c r="G127" s="70"/>
      <c r="H127" s="70"/>
      <c r="I127" s="71"/>
      <c r="J127" s="119"/>
    </row>
    <row r="128" spans="3:10" s="59" customFormat="1" ht="21.6" customHeight="1">
      <c r="C128" s="290"/>
      <c r="D128" s="182" t="s">
        <v>1111</v>
      </c>
      <c r="E128" s="182"/>
      <c r="F128" s="124" t="s">
        <v>1974</v>
      </c>
      <c r="G128" s="70">
        <v>4.4999999999999998E-2</v>
      </c>
      <c r="H128" s="283">
        <f>VLOOKUP(D128,upahbahan,3,FALSE)</f>
        <v>2300000</v>
      </c>
      <c r="I128" s="284">
        <f>G128*H128</f>
        <v>103500</v>
      </c>
      <c r="J128" s="119"/>
    </row>
    <row r="129" spans="3:10" s="59" customFormat="1" ht="21.6" customHeight="1">
      <c r="C129" s="66" t="s">
        <v>1217</v>
      </c>
      <c r="D129" s="67"/>
      <c r="E129" s="67"/>
      <c r="F129" s="67"/>
      <c r="G129" s="67"/>
      <c r="H129" s="69"/>
      <c r="I129" s="284">
        <f>SUM(I127:I128)</f>
        <v>103500</v>
      </c>
      <c r="J129" s="119"/>
    </row>
    <row r="130" spans="3:10" s="59" customFormat="1" ht="21.6" customHeight="1">
      <c r="C130" s="293" t="s">
        <v>1218</v>
      </c>
      <c r="D130" s="294" t="s">
        <v>1219</v>
      </c>
      <c r="E130" s="295"/>
      <c r="F130" s="295"/>
      <c r="G130" s="295"/>
      <c r="H130" s="296"/>
      <c r="I130" s="284">
        <f>I124+I126+I129</f>
        <v>119160</v>
      </c>
      <c r="J130" s="119"/>
    </row>
    <row r="131" spans="3:10" s="59" customFormat="1" ht="21.6" customHeight="1">
      <c r="C131" s="293" t="s">
        <v>1220</v>
      </c>
      <c r="D131" s="294" t="s">
        <v>1249</v>
      </c>
      <c r="E131" s="295"/>
      <c r="F131" s="295"/>
      <c r="G131" s="296"/>
      <c r="H131" s="298">
        <v>0.1</v>
      </c>
      <c r="I131" s="284">
        <f>I130*H131</f>
        <v>11916</v>
      </c>
      <c r="J131" s="119"/>
    </row>
    <row r="132" spans="3:10" s="59" customFormat="1" ht="21.6" customHeight="1" thickBot="1">
      <c r="C132" s="299" t="s">
        <v>1221</v>
      </c>
      <c r="D132" s="300" t="s">
        <v>1222</v>
      </c>
      <c r="E132" s="301"/>
      <c r="F132" s="301"/>
      <c r="G132" s="301"/>
      <c r="H132" s="302"/>
      <c r="I132" s="303">
        <f>SUM(I130:I131)</f>
        <v>131076</v>
      </c>
      <c r="J132" s="119"/>
    </row>
    <row r="133" spans="3:10" s="59" customFormat="1" ht="21.6" customHeight="1" thickTop="1">
      <c r="C133" s="304"/>
      <c r="D133" s="304"/>
      <c r="E133" s="304"/>
      <c r="F133" s="304"/>
      <c r="G133" s="304"/>
      <c r="H133" s="304"/>
      <c r="I133" s="305"/>
      <c r="J133" s="119"/>
    </row>
    <row r="134" spans="3:10" s="59" customFormat="1" ht="21.6" customHeight="1" thickBot="1">
      <c r="C134" s="488" t="s">
        <v>1975</v>
      </c>
      <c r="D134" s="488" t="s">
        <v>1976</v>
      </c>
      <c r="E134" s="119"/>
      <c r="F134" s="965"/>
      <c r="G134" s="965"/>
      <c r="H134" s="965"/>
      <c r="I134" s="965"/>
      <c r="J134" s="120">
        <f>ROUNDDOWN(I147,-2)</f>
        <v>142800</v>
      </c>
    </row>
    <row r="135" spans="3:10" s="59" customFormat="1" ht="21.6" customHeight="1" thickTop="1">
      <c r="C135" s="51" t="s">
        <v>1195</v>
      </c>
      <c r="D135" s="52" t="s">
        <v>1196</v>
      </c>
      <c r="E135" s="52"/>
      <c r="F135" s="52" t="s">
        <v>1197</v>
      </c>
      <c r="G135" s="52" t="s">
        <v>1198</v>
      </c>
      <c r="H135" s="52" t="s">
        <v>1199</v>
      </c>
      <c r="I135" s="53" t="s">
        <v>1200</v>
      </c>
      <c r="J135" s="1074"/>
    </row>
    <row r="136" spans="3:10" s="59" customFormat="1" ht="21.6" customHeight="1">
      <c r="C136" s="290" t="s">
        <v>1201</v>
      </c>
      <c r="D136" s="182" t="s">
        <v>1202</v>
      </c>
      <c r="E136" s="182"/>
      <c r="F136" s="70"/>
      <c r="G136" s="70"/>
      <c r="H136" s="70"/>
      <c r="I136" s="71"/>
      <c r="J136" s="119"/>
    </row>
    <row r="137" spans="3:10" s="59" customFormat="1" ht="21.6" customHeight="1">
      <c r="C137" s="281">
        <v>1</v>
      </c>
      <c r="D137" s="182" t="s">
        <v>5</v>
      </c>
      <c r="E137" s="176" t="s">
        <v>1774</v>
      </c>
      <c r="F137" s="176" t="s">
        <v>6</v>
      </c>
      <c r="G137" s="315">
        <v>0.188</v>
      </c>
      <c r="H137" s="283">
        <f>VLOOKUP(D137,upahbahan,3,FALSE)</f>
        <v>100000</v>
      </c>
      <c r="I137" s="284">
        <f>G137*H137</f>
        <v>18800</v>
      </c>
      <c r="J137" s="119"/>
    </row>
    <row r="138" spans="3:10" s="59" customFormat="1" ht="21.6" customHeight="1">
      <c r="C138" s="281">
        <v>2</v>
      </c>
      <c r="D138" s="182" t="s">
        <v>19</v>
      </c>
      <c r="E138" s="176" t="s">
        <v>1777</v>
      </c>
      <c r="F138" s="176" t="s">
        <v>6</v>
      </c>
      <c r="G138" s="315">
        <v>1.8800000000000001E-2</v>
      </c>
      <c r="H138" s="283">
        <f>VLOOKUP(D138,upahbahan,3,FALSE)</f>
        <v>160000</v>
      </c>
      <c r="I138" s="284">
        <f>G138*H138</f>
        <v>3008</v>
      </c>
      <c r="J138" s="119"/>
    </row>
    <row r="139" spans="3:10" s="59" customFormat="1" ht="21.6" customHeight="1">
      <c r="C139" s="66" t="s">
        <v>1208</v>
      </c>
      <c r="D139" s="67"/>
      <c r="E139" s="67"/>
      <c r="F139" s="67"/>
      <c r="G139" s="67"/>
      <c r="H139" s="69"/>
      <c r="I139" s="284">
        <f>SUM(I137:I138)</f>
        <v>21808</v>
      </c>
      <c r="J139" s="119"/>
    </row>
    <row r="140" spans="3:10" s="59" customFormat="1" ht="21.6" customHeight="1">
      <c r="C140" s="290" t="s">
        <v>1209</v>
      </c>
      <c r="D140" s="182" t="s">
        <v>1210</v>
      </c>
      <c r="E140" s="182"/>
      <c r="F140" s="70"/>
      <c r="G140" s="70"/>
      <c r="H140" s="70"/>
      <c r="I140" s="71"/>
      <c r="J140" s="119"/>
    </row>
    <row r="141" spans="3:10" s="59" customFormat="1" ht="21.6" customHeight="1">
      <c r="C141" s="66" t="s">
        <v>1214</v>
      </c>
      <c r="D141" s="67"/>
      <c r="E141" s="67"/>
      <c r="F141" s="67"/>
      <c r="G141" s="67"/>
      <c r="H141" s="69"/>
      <c r="I141" s="292">
        <v>0</v>
      </c>
      <c r="J141" s="119"/>
    </row>
    <row r="142" spans="3:10" s="59" customFormat="1" ht="21.6" customHeight="1">
      <c r="C142" s="290" t="s">
        <v>1215</v>
      </c>
      <c r="D142" s="182" t="s">
        <v>1216</v>
      </c>
      <c r="E142" s="182"/>
      <c r="F142" s="70"/>
      <c r="G142" s="70"/>
      <c r="H142" s="70"/>
      <c r="I142" s="71"/>
      <c r="J142" s="119"/>
    </row>
    <row r="143" spans="3:10" s="59" customFormat="1" ht="21.6" customHeight="1">
      <c r="C143" s="181"/>
      <c r="D143" s="1075" t="s">
        <v>1111</v>
      </c>
      <c r="E143" s="1076"/>
      <c r="F143" s="1071" t="s">
        <v>1974</v>
      </c>
      <c r="G143" s="1071">
        <v>4.7E-2</v>
      </c>
      <c r="H143" s="283">
        <f>VLOOKUP(D143,upahbahan,3,FALSE)</f>
        <v>2300000</v>
      </c>
      <c r="I143" s="284">
        <f>G143*H143</f>
        <v>108100</v>
      </c>
      <c r="J143" s="119"/>
    </row>
    <row r="144" spans="3:10" s="59" customFormat="1" ht="21.6" customHeight="1">
      <c r="C144" s="66" t="s">
        <v>1217</v>
      </c>
      <c r="D144" s="67"/>
      <c r="E144" s="67"/>
      <c r="F144" s="67"/>
      <c r="G144" s="67"/>
      <c r="H144" s="69"/>
      <c r="I144" s="284">
        <f>SUM(I143)</f>
        <v>108100</v>
      </c>
      <c r="J144" s="119"/>
    </row>
    <row r="145" spans="3:10" s="59" customFormat="1" ht="21.6" customHeight="1">
      <c r="C145" s="293" t="s">
        <v>1218</v>
      </c>
      <c r="D145" s="294" t="s">
        <v>1219</v>
      </c>
      <c r="E145" s="295"/>
      <c r="F145" s="295"/>
      <c r="G145" s="295"/>
      <c r="H145" s="296"/>
      <c r="I145" s="284">
        <f>I139+I141+I144</f>
        <v>129908</v>
      </c>
      <c r="J145" s="119"/>
    </row>
    <row r="146" spans="3:10" s="59" customFormat="1" ht="21.6" customHeight="1">
      <c r="C146" s="293" t="s">
        <v>1220</v>
      </c>
      <c r="D146" s="294" t="s">
        <v>1249</v>
      </c>
      <c r="E146" s="295"/>
      <c r="F146" s="295"/>
      <c r="G146" s="296"/>
      <c r="H146" s="298">
        <v>0.1</v>
      </c>
      <c r="I146" s="284">
        <f>I145*H146</f>
        <v>12990.800000000001</v>
      </c>
      <c r="J146" s="119"/>
    </row>
    <row r="147" spans="3:10" s="59" customFormat="1" ht="21.6" customHeight="1" thickBot="1">
      <c r="C147" s="299" t="s">
        <v>1221</v>
      </c>
      <c r="D147" s="300" t="s">
        <v>1222</v>
      </c>
      <c r="E147" s="301"/>
      <c r="F147" s="301"/>
      <c r="G147" s="301"/>
      <c r="H147" s="302"/>
      <c r="I147" s="303">
        <f>SUM(I145:I146)</f>
        <v>142898.79999999999</v>
      </c>
      <c r="J147" s="119"/>
    </row>
    <row r="148" spans="3:10" s="59" customFormat="1" ht="21.6" customHeight="1" thickTop="1">
      <c r="C148" s="304"/>
      <c r="D148" s="304"/>
      <c r="E148" s="304"/>
      <c r="F148" s="304"/>
      <c r="G148" s="304"/>
      <c r="H148" s="304"/>
      <c r="I148" s="305"/>
      <c r="J148" s="119"/>
    </row>
    <row r="149" spans="3:10" s="59" customFormat="1" ht="21.6" customHeight="1" thickBot="1">
      <c r="C149" s="488" t="s">
        <v>2042</v>
      </c>
      <c r="D149" s="488" t="s">
        <v>2043</v>
      </c>
      <c r="E149" s="119"/>
      <c r="F149" s="965"/>
      <c r="G149" s="965"/>
      <c r="H149" s="965"/>
      <c r="I149" s="965"/>
      <c r="J149" s="120">
        <f>ROUNDDOWN(I162,-2)</f>
        <v>158400</v>
      </c>
    </row>
    <row r="150" spans="3:10" s="59" customFormat="1" ht="21.6" customHeight="1" thickTop="1">
      <c r="C150" s="51" t="s">
        <v>1195</v>
      </c>
      <c r="D150" s="52" t="s">
        <v>1196</v>
      </c>
      <c r="E150" s="52"/>
      <c r="F150" s="52" t="s">
        <v>1197</v>
      </c>
      <c r="G150" s="52" t="s">
        <v>1198</v>
      </c>
      <c r="H150" s="52" t="s">
        <v>1199</v>
      </c>
      <c r="I150" s="53" t="s">
        <v>1200</v>
      </c>
      <c r="J150" s="1074"/>
    </row>
    <row r="151" spans="3:10" s="59" customFormat="1" ht="21.6" customHeight="1">
      <c r="C151" s="290" t="s">
        <v>1201</v>
      </c>
      <c r="D151" s="182" t="s">
        <v>1202</v>
      </c>
      <c r="E151" s="182"/>
      <c r="F151" s="70"/>
      <c r="G151" s="70"/>
      <c r="H151" s="70"/>
      <c r="I151" s="71"/>
      <c r="J151" s="119"/>
    </row>
    <row r="152" spans="3:10" s="59" customFormat="1" ht="21.6" customHeight="1">
      <c r="C152" s="281">
        <v>1</v>
      </c>
      <c r="D152" s="182" t="s">
        <v>5</v>
      </c>
      <c r="E152" s="176" t="s">
        <v>1774</v>
      </c>
      <c r="F152" s="176" t="s">
        <v>6</v>
      </c>
      <c r="G152" s="315">
        <v>0.25</v>
      </c>
      <c r="H152" s="283">
        <f>VLOOKUP(D152,upahbahan,3,FALSE)</f>
        <v>100000</v>
      </c>
      <c r="I152" s="284">
        <f>G152*H152</f>
        <v>25000</v>
      </c>
      <c r="J152" s="119"/>
    </row>
    <row r="153" spans="3:10" s="59" customFormat="1" ht="21.6" customHeight="1">
      <c r="C153" s="281">
        <v>2</v>
      </c>
      <c r="D153" s="182" t="s">
        <v>19</v>
      </c>
      <c r="E153" s="176" t="s">
        <v>1777</v>
      </c>
      <c r="F153" s="176" t="s">
        <v>6</v>
      </c>
      <c r="G153" s="315">
        <v>2.5000000000000001E-2</v>
      </c>
      <c r="H153" s="283">
        <f>VLOOKUP(D153,upahbahan,3,FALSE)</f>
        <v>160000</v>
      </c>
      <c r="I153" s="284">
        <f>G153*H153</f>
        <v>4000</v>
      </c>
      <c r="J153" s="119"/>
    </row>
    <row r="154" spans="3:10" s="59" customFormat="1" ht="21.6" customHeight="1">
      <c r="C154" s="66" t="s">
        <v>1208</v>
      </c>
      <c r="D154" s="67"/>
      <c r="E154" s="67"/>
      <c r="F154" s="67"/>
      <c r="G154" s="67"/>
      <c r="H154" s="69"/>
      <c r="I154" s="284">
        <f>SUM(I152:I153)</f>
        <v>29000</v>
      </c>
      <c r="J154" s="119"/>
    </row>
    <row r="155" spans="3:10" s="59" customFormat="1" ht="21.6" customHeight="1">
      <c r="C155" s="290" t="s">
        <v>1209</v>
      </c>
      <c r="D155" s="182" t="s">
        <v>1210</v>
      </c>
      <c r="E155" s="182"/>
      <c r="F155" s="70"/>
      <c r="G155" s="70"/>
      <c r="H155" s="70"/>
      <c r="I155" s="71"/>
      <c r="J155" s="119"/>
    </row>
    <row r="156" spans="3:10" s="59" customFormat="1" ht="21.6" customHeight="1">
      <c r="C156" s="66" t="s">
        <v>1214</v>
      </c>
      <c r="D156" s="67"/>
      <c r="E156" s="67"/>
      <c r="F156" s="67"/>
      <c r="G156" s="67"/>
      <c r="H156" s="69"/>
      <c r="I156" s="292">
        <v>0</v>
      </c>
      <c r="J156" s="119"/>
    </row>
    <row r="157" spans="3:10" s="59" customFormat="1" ht="21.6" customHeight="1">
      <c r="C157" s="290" t="s">
        <v>1215</v>
      </c>
      <c r="D157" s="182" t="s">
        <v>1216</v>
      </c>
      <c r="E157" s="182"/>
      <c r="F157" s="70"/>
      <c r="G157" s="70"/>
      <c r="H157" s="70"/>
      <c r="I157" s="71"/>
      <c r="J157" s="119"/>
    </row>
    <row r="158" spans="3:10" s="59" customFormat="1" ht="21.6" customHeight="1">
      <c r="C158" s="181"/>
      <c r="D158" s="1075" t="s">
        <v>1111</v>
      </c>
      <c r="E158" s="1076"/>
      <c r="F158" s="1071" t="s">
        <v>1974</v>
      </c>
      <c r="G158" s="1071">
        <v>0.05</v>
      </c>
      <c r="H158" s="283">
        <f>VLOOKUP(D158,upahbahan,3,FALSE)</f>
        <v>2300000</v>
      </c>
      <c r="I158" s="284">
        <f>G158*H158</f>
        <v>115000</v>
      </c>
      <c r="J158" s="119"/>
    </row>
    <row r="159" spans="3:10" s="59" customFormat="1" ht="21.6" customHeight="1">
      <c r="C159" s="66" t="s">
        <v>1217</v>
      </c>
      <c r="D159" s="67"/>
      <c r="E159" s="67"/>
      <c r="F159" s="67"/>
      <c r="G159" s="67"/>
      <c r="H159" s="69"/>
      <c r="I159" s="284">
        <f>SUM(I158)</f>
        <v>115000</v>
      </c>
      <c r="J159" s="119"/>
    </row>
    <row r="160" spans="3:10" s="59" customFormat="1" ht="21.6" customHeight="1">
      <c r="C160" s="293" t="s">
        <v>1218</v>
      </c>
      <c r="D160" s="294" t="s">
        <v>1219</v>
      </c>
      <c r="E160" s="295"/>
      <c r="F160" s="295"/>
      <c r="G160" s="295"/>
      <c r="H160" s="296"/>
      <c r="I160" s="284">
        <f>I154+I156+I159</f>
        <v>144000</v>
      </c>
      <c r="J160" s="119"/>
    </row>
    <row r="161" spans="3:10" s="59" customFormat="1" ht="21.6" customHeight="1">
      <c r="C161" s="293" t="s">
        <v>1220</v>
      </c>
      <c r="D161" s="294" t="s">
        <v>1249</v>
      </c>
      <c r="E161" s="295"/>
      <c r="F161" s="295"/>
      <c r="G161" s="296"/>
      <c r="H161" s="298">
        <v>0.1</v>
      </c>
      <c r="I161" s="284">
        <f>I160*H161</f>
        <v>14400</v>
      </c>
      <c r="J161" s="119"/>
    </row>
    <row r="162" spans="3:10" s="59" customFormat="1" ht="21.6" customHeight="1" thickBot="1">
      <c r="C162" s="299" t="s">
        <v>1221</v>
      </c>
      <c r="D162" s="300" t="s">
        <v>1222</v>
      </c>
      <c r="E162" s="301"/>
      <c r="F162" s="301"/>
      <c r="G162" s="301"/>
      <c r="H162" s="302"/>
      <c r="I162" s="303">
        <f>SUM(I160:I161)</f>
        <v>158400</v>
      </c>
      <c r="J162" s="119"/>
    </row>
    <row r="163" spans="3:10" s="59" customFormat="1" ht="21.6" customHeight="1" thickTop="1">
      <c r="C163" s="304"/>
      <c r="D163" s="304"/>
      <c r="E163" s="304"/>
      <c r="F163" s="304"/>
      <c r="G163" s="304"/>
      <c r="H163" s="304"/>
      <c r="I163" s="305"/>
      <c r="J163" s="119"/>
    </row>
    <row r="164" spans="3:10" s="59" customFormat="1" ht="21.6" customHeight="1">
      <c r="C164" s="304"/>
      <c r="D164" s="304"/>
      <c r="E164" s="304"/>
      <c r="F164" s="304"/>
      <c r="G164" s="304"/>
      <c r="H164" s="304"/>
      <c r="I164" s="305"/>
      <c r="J164" s="119"/>
    </row>
    <row r="165" spans="3:10" s="59" customFormat="1" ht="21.6" customHeight="1">
      <c r="C165" s="304"/>
      <c r="D165" s="304"/>
      <c r="E165" s="304"/>
      <c r="F165" s="304"/>
      <c r="G165" s="304"/>
      <c r="H165" s="304"/>
      <c r="I165" s="305"/>
      <c r="J165" s="119"/>
    </row>
    <row r="166" spans="3:10" s="59" customFormat="1" ht="21.6" customHeight="1" thickBot="1">
      <c r="C166" s="47" t="s">
        <v>1977</v>
      </c>
      <c r="D166" s="488" t="s">
        <v>1978</v>
      </c>
      <c r="E166" s="119"/>
      <c r="F166" s="965"/>
      <c r="G166" s="965"/>
      <c r="H166" s="965"/>
      <c r="I166" s="965"/>
      <c r="J166" s="120">
        <f>ROUNDDOWN(I179,-2)</f>
        <v>17100</v>
      </c>
    </row>
    <row r="167" spans="3:10" s="59" customFormat="1" ht="21.6" customHeight="1" thickTop="1">
      <c r="C167" s="51" t="s">
        <v>1195</v>
      </c>
      <c r="D167" s="52" t="s">
        <v>1196</v>
      </c>
      <c r="E167" s="52"/>
      <c r="F167" s="52" t="s">
        <v>1197</v>
      </c>
      <c r="G167" s="52" t="s">
        <v>1198</v>
      </c>
      <c r="H167" s="52" t="s">
        <v>1199</v>
      </c>
      <c r="I167" s="53" t="s">
        <v>1200</v>
      </c>
      <c r="J167" s="1074"/>
    </row>
    <row r="168" spans="3:10" s="59" customFormat="1" ht="21.6" customHeight="1">
      <c r="C168" s="290" t="s">
        <v>1201</v>
      </c>
      <c r="D168" s="182" t="s">
        <v>1202</v>
      </c>
      <c r="E168" s="182"/>
      <c r="F168" s="70"/>
      <c r="G168" s="70"/>
      <c r="H168" s="70"/>
      <c r="I168" s="71"/>
      <c r="J168" s="119"/>
    </row>
    <row r="169" spans="3:10" s="59" customFormat="1" ht="21.6" customHeight="1">
      <c r="C169" s="281">
        <v>1</v>
      </c>
      <c r="D169" s="182" t="s">
        <v>5</v>
      </c>
      <c r="E169" s="176" t="s">
        <v>1774</v>
      </c>
      <c r="F169" s="176" t="s">
        <v>6</v>
      </c>
      <c r="G169" s="315">
        <v>7.4999999999999997E-2</v>
      </c>
      <c r="H169" s="283">
        <f>VLOOKUP(D169,upahbahan,3,FALSE)</f>
        <v>100000</v>
      </c>
      <c r="I169" s="284">
        <f>G169*H169</f>
        <v>7500</v>
      </c>
      <c r="J169" s="119"/>
    </row>
    <row r="170" spans="3:10" s="59" customFormat="1" ht="21.6" customHeight="1">
      <c r="C170" s="281">
        <v>2</v>
      </c>
      <c r="D170" s="182" t="s">
        <v>19</v>
      </c>
      <c r="E170" s="176" t="s">
        <v>1777</v>
      </c>
      <c r="F170" s="176" t="s">
        <v>6</v>
      </c>
      <c r="G170" s="315">
        <v>7.4999999999999997E-3</v>
      </c>
      <c r="H170" s="283">
        <f>VLOOKUP(D170,upahbahan,3,FALSE)</f>
        <v>160000</v>
      </c>
      <c r="I170" s="284">
        <f>G170*H170</f>
        <v>1200</v>
      </c>
      <c r="J170" s="119"/>
    </row>
    <row r="171" spans="3:10" s="59" customFormat="1" ht="21.6" customHeight="1">
      <c r="C171" s="66" t="s">
        <v>1208</v>
      </c>
      <c r="D171" s="67"/>
      <c r="E171" s="67"/>
      <c r="F171" s="67"/>
      <c r="G171" s="67"/>
      <c r="H171" s="69"/>
      <c r="I171" s="284">
        <f>SUM(I169:I170)</f>
        <v>8700</v>
      </c>
      <c r="J171" s="119"/>
    </row>
    <row r="172" spans="3:10" s="59" customFormat="1" ht="21.6" customHeight="1">
      <c r="C172" s="290" t="s">
        <v>1209</v>
      </c>
      <c r="D172" s="182" t="s">
        <v>1210</v>
      </c>
      <c r="E172" s="182"/>
      <c r="F172" s="70"/>
      <c r="G172" s="70"/>
      <c r="H172" s="70"/>
      <c r="I172" s="71"/>
      <c r="J172" s="119"/>
    </row>
    <row r="173" spans="3:10" s="59" customFormat="1" ht="21.6" customHeight="1">
      <c r="C173" s="66" t="s">
        <v>1214</v>
      </c>
      <c r="D173" s="67"/>
      <c r="E173" s="67"/>
      <c r="F173" s="67"/>
      <c r="G173" s="67"/>
      <c r="H173" s="69"/>
      <c r="I173" s="292">
        <v>0</v>
      </c>
      <c r="J173" s="119"/>
    </row>
    <row r="174" spans="3:10" s="59" customFormat="1" ht="21.6" customHeight="1">
      <c r="C174" s="290" t="s">
        <v>1215</v>
      </c>
      <c r="D174" s="182" t="s">
        <v>1216</v>
      </c>
      <c r="E174" s="182"/>
      <c r="F174" s="70"/>
      <c r="G174" s="70"/>
      <c r="H174" s="70"/>
      <c r="I174" s="71"/>
      <c r="J174" s="119"/>
    </row>
    <row r="175" spans="3:10" s="59" customFormat="1" ht="21.6" customHeight="1">
      <c r="C175" s="181"/>
      <c r="D175" s="1075" t="s">
        <v>1111</v>
      </c>
      <c r="E175" s="1076"/>
      <c r="F175" s="1071" t="s">
        <v>1974</v>
      </c>
      <c r="G175" s="1071">
        <v>3.0000000000000001E-3</v>
      </c>
      <c r="H175" s="283">
        <f>VLOOKUP(D175,upahbahan,3,FALSE)</f>
        <v>2300000</v>
      </c>
      <c r="I175" s="284">
        <f>G175*H175</f>
        <v>6900</v>
      </c>
      <c r="J175" s="119"/>
    </row>
    <row r="176" spans="3:10" s="59" customFormat="1" ht="21.6" customHeight="1">
      <c r="C176" s="66" t="s">
        <v>1217</v>
      </c>
      <c r="D176" s="67"/>
      <c r="E176" s="67"/>
      <c r="F176" s="67"/>
      <c r="G176" s="67"/>
      <c r="H176" s="69"/>
      <c r="I176" s="284">
        <f>SUM(I175)</f>
        <v>6900</v>
      </c>
      <c r="J176" s="119"/>
    </row>
    <row r="177" spans="3:10" s="59" customFormat="1" ht="21.6" customHeight="1">
      <c r="C177" s="293" t="s">
        <v>1218</v>
      </c>
      <c r="D177" s="294" t="s">
        <v>1219</v>
      </c>
      <c r="E177" s="295"/>
      <c r="F177" s="295"/>
      <c r="G177" s="295"/>
      <c r="H177" s="296"/>
      <c r="I177" s="284">
        <f>I171+I173+I176</f>
        <v>15600</v>
      </c>
      <c r="J177" s="119"/>
    </row>
    <row r="178" spans="3:10" s="59" customFormat="1" ht="21.6" customHeight="1">
      <c r="C178" s="293" t="s">
        <v>1220</v>
      </c>
      <c r="D178" s="294" t="s">
        <v>1249</v>
      </c>
      <c r="E178" s="295"/>
      <c r="F178" s="295"/>
      <c r="G178" s="296"/>
      <c r="H178" s="298">
        <v>0.1</v>
      </c>
      <c r="I178" s="284">
        <f>I177*H178</f>
        <v>1560</v>
      </c>
      <c r="J178" s="119"/>
    </row>
    <row r="179" spans="3:10" s="59" customFormat="1" ht="21.6" customHeight="1" thickBot="1">
      <c r="C179" s="299" t="s">
        <v>1221</v>
      </c>
      <c r="D179" s="300" t="s">
        <v>1222</v>
      </c>
      <c r="E179" s="301"/>
      <c r="F179" s="301"/>
      <c r="G179" s="301"/>
      <c r="H179" s="302"/>
      <c r="I179" s="303">
        <f>SUM(I177:I178)</f>
        <v>17160</v>
      </c>
      <c r="J179" s="119"/>
    </row>
    <row r="180" spans="3:10" s="59" customFormat="1" ht="21.6" customHeight="1" thickTop="1">
      <c r="C180" s="304"/>
      <c r="D180" s="304"/>
      <c r="E180" s="304"/>
      <c r="F180" s="304"/>
      <c r="G180" s="304"/>
      <c r="H180" s="304"/>
      <c r="I180" s="305"/>
      <c r="J180" s="119"/>
    </row>
    <row r="181" spans="3:10" s="59" customFormat="1" ht="21.6" customHeight="1">
      <c r="C181" s="328" t="s">
        <v>1979</v>
      </c>
      <c r="D181" s="328" t="s">
        <v>1980</v>
      </c>
      <c r="E181" s="304"/>
      <c r="F181" s="304"/>
      <c r="G181" s="304"/>
      <c r="H181" s="304"/>
      <c r="I181" s="305"/>
      <c r="J181" s="119"/>
    </row>
    <row r="182" spans="3:10" s="59" customFormat="1" ht="21.6" customHeight="1">
      <c r="C182" s="328" t="s">
        <v>1981</v>
      </c>
      <c r="D182" s="328" t="s">
        <v>1955</v>
      </c>
      <c r="E182" s="304"/>
      <c r="F182" s="304"/>
      <c r="G182" s="304"/>
      <c r="H182" s="304"/>
      <c r="I182" s="305"/>
      <c r="J182" s="119"/>
    </row>
    <row r="183" spans="3:10" s="59" customFormat="1" ht="21.6" customHeight="1" thickBot="1">
      <c r="C183" s="47" t="s">
        <v>1982</v>
      </c>
      <c r="D183" s="488" t="s">
        <v>1983</v>
      </c>
      <c r="E183" s="119"/>
      <c r="F183" s="965"/>
      <c r="G183" s="965"/>
      <c r="H183" s="965"/>
      <c r="I183" s="965"/>
      <c r="J183" s="120">
        <f>ROUNDDOWN(I195,-2)</f>
        <v>84200</v>
      </c>
    </row>
    <row r="184" spans="3:10" s="59" customFormat="1" ht="21.6" customHeight="1" thickTop="1">
      <c r="C184" s="51" t="s">
        <v>1195</v>
      </c>
      <c r="D184" s="52" t="s">
        <v>1196</v>
      </c>
      <c r="E184" s="52"/>
      <c r="F184" s="52" t="s">
        <v>1197</v>
      </c>
      <c r="G184" s="52" t="s">
        <v>1198</v>
      </c>
      <c r="H184" s="52" t="s">
        <v>1199</v>
      </c>
      <c r="I184" s="53" t="s">
        <v>1200</v>
      </c>
      <c r="J184" s="1074"/>
    </row>
    <row r="185" spans="3:10" s="59" customFormat="1" ht="21.6" customHeight="1">
      <c r="C185" s="290" t="s">
        <v>1201</v>
      </c>
      <c r="D185" s="182" t="s">
        <v>1202</v>
      </c>
      <c r="E185" s="182"/>
      <c r="F185" s="70"/>
      <c r="G185" s="70"/>
      <c r="H185" s="70"/>
      <c r="I185" s="71"/>
      <c r="J185" s="119"/>
    </row>
    <row r="186" spans="3:10" s="59" customFormat="1" ht="21.6" customHeight="1">
      <c r="C186" s="281">
        <v>1</v>
      </c>
      <c r="D186" s="182" t="s">
        <v>5</v>
      </c>
      <c r="E186" s="176" t="s">
        <v>1774</v>
      </c>
      <c r="F186" s="176" t="s">
        <v>6</v>
      </c>
      <c r="G186" s="315">
        <v>0.66</v>
      </c>
      <c r="H186" s="283">
        <f>VLOOKUP(D186,upahbahan,3,FALSE)</f>
        <v>100000</v>
      </c>
      <c r="I186" s="284">
        <f>G186*H186</f>
        <v>66000</v>
      </c>
      <c r="J186" s="119"/>
    </row>
    <row r="187" spans="3:10" s="59" customFormat="1" ht="21.6" customHeight="1">
      <c r="C187" s="281">
        <v>2</v>
      </c>
      <c r="D187" s="182" t="s">
        <v>19</v>
      </c>
      <c r="E187" s="176" t="s">
        <v>1777</v>
      </c>
      <c r="F187" s="176" t="s">
        <v>6</v>
      </c>
      <c r="G187" s="315">
        <v>6.6000000000000003E-2</v>
      </c>
      <c r="H187" s="283">
        <f>VLOOKUP(D187,upahbahan,3,FALSE)</f>
        <v>160000</v>
      </c>
      <c r="I187" s="284">
        <f>G187*H187</f>
        <v>10560</v>
      </c>
      <c r="J187" s="119"/>
    </row>
    <row r="188" spans="3:10" s="59" customFormat="1" ht="21.6" customHeight="1">
      <c r="C188" s="66" t="s">
        <v>1208</v>
      </c>
      <c r="D188" s="67"/>
      <c r="E188" s="67"/>
      <c r="F188" s="67"/>
      <c r="G188" s="67"/>
      <c r="H188" s="69"/>
      <c r="I188" s="284">
        <f>SUM(I186:I187)</f>
        <v>76560</v>
      </c>
      <c r="J188" s="119"/>
    </row>
    <row r="189" spans="3:10" s="59" customFormat="1" ht="21.6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  <c r="J189" s="119"/>
    </row>
    <row r="190" spans="3:10" s="59" customFormat="1" ht="21.6" customHeight="1">
      <c r="C190" s="66" t="s">
        <v>1214</v>
      </c>
      <c r="D190" s="67"/>
      <c r="E190" s="67"/>
      <c r="F190" s="67"/>
      <c r="G190" s="67"/>
      <c r="H190" s="69"/>
      <c r="I190" s="292">
        <v>0</v>
      </c>
      <c r="J190" s="119"/>
    </row>
    <row r="191" spans="3:10" s="59" customFormat="1" ht="21.6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  <c r="J191" s="119"/>
    </row>
    <row r="192" spans="3:10" s="59" customFormat="1" ht="21.6" customHeight="1">
      <c r="C192" s="66" t="s">
        <v>1217</v>
      </c>
      <c r="D192" s="67"/>
      <c r="E192" s="67"/>
      <c r="F192" s="67"/>
      <c r="G192" s="67"/>
      <c r="H192" s="69"/>
      <c r="I192" s="292">
        <v>0</v>
      </c>
      <c r="J192" s="119"/>
    </row>
    <row r="193" spans="3:10" s="59" customFormat="1" ht="21.6" customHeight="1">
      <c r="C193" s="293" t="s">
        <v>1218</v>
      </c>
      <c r="D193" s="294" t="s">
        <v>1219</v>
      </c>
      <c r="E193" s="295"/>
      <c r="F193" s="295"/>
      <c r="G193" s="295"/>
      <c r="H193" s="296"/>
      <c r="I193" s="284">
        <f>I188+I190+I192</f>
        <v>76560</v>
      </c>
      <c r="J193" s="119"/>
    </row>
    <row r="194" spans="3:10" s="59" customFormat="1" ht="21.6" customHeight="1">
      <c r="C194" s="293" t="s">
        <v>1220</v>
      </c>
      <c r="D194" s="294" t="s">
        <v>1249</v>
      </c>
      <c r="E194" s="295"/>
      <c r="F194" s="295"/>
      <c r="G194" s="296"/>
      <c r="H194" s="298">
        <v>0.1</v>
      </c>
      <c r="I194" s="284">
        <f>I193*H194</f>
        <v>7656</v>
      </c>
      <c r="J194" s="119"/>
    </row>
    <row r="195" spans="3:10" s="59" customFormat="1" ht="21.6" customHeight="1" thickBot="1">
      <c r="C195" s="299" t="s">
        <v>1221</v>
      </c>
      <c r="D195" s="300" t="s">
        <v>1222</v>
      </c>
      <c r="E195" s="301"/>
      <c r="F195" s="301"/>
      <c r="G195" s="301"/>
      <c r="H195" s="302"/>
      <c r="I195" s="303">
        <f>SUM(I193:I194)</f>
        <v>84216</v>
      </c>
      <c r="J195" s="119"/>
    </row>
    <row r="196" spans="3:10" s="59" customFormat="1" ht="21.6" customHeight="1" thickTop="1">
      <c r="C196" s="304"/>
      <c r="D196" s="304"/>
      <c r="E196" s="304"/>
      <c r="F196" s="304"/>
      <c r="G196" s="304"/>
      <c r="H196" s="304"/>
      <c r="I196" s="305"/>
      <c r="J196" s="119"/>
    </row>
    <row r="197" spans="3:10" s="59" customFormat="1" ht="21.6" customHeight="1" thickBot="1">
      <c r="C197" s="488" t="s">
        <v>1984</v>
      </c>
      <c r="D197" s="488" t="s">
        <v>1985</v>
      </c>
      <c r="E197" s="119"/>
      <c r="F197" s="965"/>
      <c r="G197" s="965"/>
      <c r="H197" s="965"/>
      <c r="I197" s="965"/>
      <c r="J197" s="120">
        <f>ROUNDDOWN(I209,-2)</f>
        <v>89400</v>
      </c>
    </row>
    <row r="198" spans="3:10" s="59" customFormat="1" ht="21.6" customHeight="1" thickTop="1">
      <c r="C198" s="51" t="s">
        <v>1195</v>
      </c>
      <c r="D198" s="52" t="s">
        <v>1196</v>
      </c>
      <c r="E198" s="52"/>
      <c r="F198" s="52" t="s">
        <v>1197</v>
      </c>
      <c r="G198" s="52" t="s">
        <v>1198</v>
      </c>
      <c r="H198" s="52" t="s">
        <v>1199</v>
      </c>
      <c r="I198" s="53" t="s">
        <v>1200</v>
      </c>
      <c r="J198" s="1074"/>
    </row>
    <row r="199" spans="3:10" s="59" customFormat="1" ht="21.6" customHeight="1">
      <c r="C199" s="290" t="s">
        <v>1201</v>
      </c>
      <c r="D199" s="182" t="s">
        <v>1202</v>
      </c>
      <c r="E199" s="182"/>
      <c r="F199" s="70"/>
      <c r="G199" s="70"/>
      <c r="H199" s="70"/>
      <c r="I199" s="71"/>
      <c r="J199" s="119"/>
    </row>
    <row r="200" spans="3:10" s="59" customFormat="1" ht="21.6" customHeight="1">
      <c r="C200" s="281">
        <v>1</v>
      </c>
      <c r="D200" s="182" t="s">
        <v>5</v>
      </c>
      <c r="E200" s="176" t="s">
        <v>1774</v>
      </c>
      <c r="F200" s="176" t="s">
        <v>6</v>
      </c>
      <c r="G200" s="315">
        <v>0.8</v>
      </c>
      <c r="H200" s="283">
        <f>VLOOKUP(D200,upahbahan,3,FALSE)</f>
        <v>100000</v>
      </c>
      <c r="I200" s="284">
        <f>G200*H200</f>
        <v>80000</v>
      </c>
      <c r="J200" s="119"/>
    </row>
    <row r="201" spans="3:10" s="59" customFormat="1" ht="21.6" customHeight="1">
      <c r="C201" s="281">
        <v>2</v>
      </c>
      <c r="D201" s="182" t="s">
        <v>19</v>
      </c>
      <c r="E201" s="176" t="s">
        <v>1777</v>
      </c>
      <c r="F201" s="176" t="s">
        <v>6</v>
      </c>
      <c r="G201" s="315">
        <v>8.0000000000000002E-3</v>
      </c>
      <c r="H201" s="283">
        <f>VLOOKUP(D201,upahbahan,3,FALSE)</f>
        <v>160000</v>
      </c>
      <c r="I201" s="284">
        <f>G201*H201</f>
        <v>1280</v>
      </c>
      <c r="J201" s="119"/>
    </row>
    <row r="202" spans="3:10" s="59" customFormat="1" ht="21.6" customHeight="1">
      <c r="C202" s="66" t="s">
        <v>1208</v>
      </c>
      <c r="D202" s="67"/>
      <c r="E202" s="67"/>
      <c r="F202" s="67"/>
      <c r="G202" s="67"/>
      <c r="H202" s="69"/>
      <c r="I202" s="284">
        <f>SUM(I200:I201)</f>
        <v>81280</v>
      </c>
      <c r="J202" s="119"/>
    </row>
    <row r="203" spans="3:10" s="59" customFormat="1" ht="21.6" customHeight="1">
      <c r="C203" s="290" t="s">
        <v>1209</v>
      </c>
      <c r="D203" s="182" t="s">
        <v>1210</v>
      </c>
      <c r="E203" s="182"/>
      <c r="F203" s="70"/>
      <c r="G203" s="70"/>
      <c r="H203" s="70"/>
      <c r="I203" s="71"/>
      <c r="J203" s="119"/>
    </row>
    <row r="204" spans="3:10" s="59" customFormat="1" ht="21.6" customHeight="1">
      <c r="C204" s="66" t="s">
        <v>1214</v>
      </c>
      <c r="D204" s="67"/>
      <c r="E204" s="67"/>
      <c r="F204" s="67"/>
      <c r="G204" s="67"/>
      <c r="H204" s="69"/>
      <c r="I204" s="292">
        <v>0</v>
      </c>
      <c r="J204" s="119"/>
    </row>
    <row r="205" spans="3:10" s="59" customFormat="1" ht="21.6" customHeight="1">
      <c r="C205" s="290" t="s">
        <v>1215</v>
      </c>
      <c r="D205" s="182" t="s">
        <v>1216</v>
      </c>
      <c r="E205" s="182"/>
      <c r="F205" s="70"/>
      <c r="G205" s="70"/>
      <c r="H205" s="70"/>
      <c r="I205" s="71"/>
      <c r="J205" s="119"/>
    </row>
    <row r="206" spans="3:10" s="59" customFormat="1" ht="21.6" customHeight="1">
      <c r="C206" s="66" t="s">
        <v>1217</v>
      </c>
      <c r="D206" s="67"/>
      <c r="E206" s="67"/>
      <c r="F206" s="67"/>
      <c r="G206" s="67"/>
      <c r="H206" s="69"/>
      <c r="I206" s="292">
        <v>0</v>
      </c>
      <c r="J206" s="119"/>
    </row>
    <row r="207" spans="3:10" s="59" customFormat="1" ht="21.6" customHeight="1">
      <c r="C207" s="293" t="s">
        <v>1218</v>
      </c>
      <c r="D207" s="294" t="s">
        <v>1219</v>
      </c>
      <c r="E207" s="295"/>
      <c r="F207" s="295"/>
      <c r="G207" s="295"/>
      <c r="H207" s="296"/>
      <c r="I207" s="284">
        <f>I202+I204+I206</f>
        <v>81280</v>
      </c>
      <c r="J207" s="119"/>
    </row>
    <row r="208" spans="3:10" s="59" customFormat="1" ht="21.6" customHeight="1">
      <c r="C208" s="293" t="s">
        <v>1220</v>
      </c>
      <c r="D208" s="294" t="s">
        <v>1249</v>
      </c>
      <c r="E208" s="295"/>
      <c r="F208" s="295"/>
      <c r="G208" s="296"/>
      <c r="H208" s="298">
        <v>0.1</v>
      </c>
      <c r="I208" s="284">
        <f>I207*H208</f>
        <v>8128</v>
      </c>
      <c r="J208" s="119"/>
    </row>
    <row r="209" spans="3:10" s="59" customFormat="1" ht="21.6" customHeight="1" thickBot="1">
      <c r="C209" s="299" t="s">
        <v>1221</v>
      </c>
      <c r="D209" s="300" t="s">
        <v>1222</v>
      </c>
      <c r="E209" s="301"/>
      <c r="F209" s="301"/>
      <c r="G209" s="301"/>
      <c r="H209" s="302"/>
      <c r="I209" s="303">
        <f>SUM(I207:I208)</f>
        <v>89408</v>
      </c>
      <c r="J209" s="119"/>
    </row>
    <row r="210" spans="3:10" s="59" customFormat="1" ht="21.6" customHeight="1" thickTop="1">
      <c r="C210" s="304"/>
      <c r="D210" s="304"/>
      <c r="E210" s="304"/>
      <c r="F210" s="304"/>
      <c r="G210" s="304"/>
      <c r="H210" s="304"/>
      <c r="I210" s="305"/>
      <c r="J210" s="119"/>
    </row>
    <row r="211" spans="3:10" s="59" customFormat="1" ht="21.6" customHeight="1" thickBot="1">
      <c r="C211" s="47" t="s">
        <v>1986</v>
      </c>
      <c r="D211" s="488" t="s">
        <v>1987</v>
      </c>
      <c r="E211" s="119"/>
      <c r="F211" s="965"/>
      <c r="G211" s="965"/>
      <c r="H211" s="965"/>
      <c r="I211" s="965"/>
      <c r="J211" s="120">
        <f>ROUNDDOWN(I223,-2)</f>
        <v>117300</v>
      </c>
    </row>
    <row r="212" spans="3:10" s="59" customFormat="1" ht="21.6" customHeight="1" thickTop="1">
      <c r="C212" s="51" t="s">
        <v>1195</v>
      </c>
      <c r="D212" s="52" t="s">
        <v>1196</v>
      </c>
      <c r="E212" s="52"/>
      <c r="F212" s="52" t="s">
        <v>1197</v>
      </c>
      <c r="G212" s="52" t="s">
        <v>1198</v>
      </c>
      <c r="H212" s="52" t="s">
        <v>1199</v>
      </c>
      <c r="I212" s="53" t="s">
        <v>1200</v>
      </c>
      <c r="J212" s="1074"/>
    </row>
    <row r="213" spans="3:10" s="59" customFormat="1" ht="21.6" customHeight="1">
      <c r="C213" s="290" t="s">
        <v>1201</v>
      </c>
      <c r="D213" s="182" t="s">
        <v>1202</v>
      </c>
      <c r="E213" s="182"/>
      <c r="F213" s="70"/>
      <c r="G213" s="70"/>
      <c r="H213" s="70"/>
      <c r="I213" s="71"/>
      <c r="J213" s="119"/>
    </row>
    <row r="214" spans="3:10" s="59" customFormat="1" ht="21.6" customHeight="1">
      <c r="C214" s="281">
        <v>1</v>
      </c>
      <c r="D214" s="182" t="s">
        <v>5</v>
      </c>
      <c r="E214" s="176" t="s">
        <v>1774</v>
      </c>
      <c r="F214" s="176" t="s">
        <v>6</v>
      </c>
      <c r="G214" s="315">
        <v>0.92</v>
      </c>
      <c r="H214" s="283">
        <f>VLOOKUP(D214,upahbahan,3,FALSE)</f>
        <v>100000</v>
      </c>
      <c r="I214" s="284">
        <f>G214*H214</f>
        <v>92000</v>
      </c>
      <c r="J214" s="119"/>
    </row>
    <row r="215" spans="3:10" s="59" customFormat="1" ht="21.6" customHeight="1">
      <c r="C215" s="281">
        <v>2</v>
      </c>
      <c r="D215" s="182" t="s">
        <v>19</v>
      </c>
      <c r="E215" s="176" t="s">
        <v>1777</v>
      </c>
      <c r="F215" s="176" t="s">
        <v>6</v>
      </c>
      <c r="G215" s="315">
        <v>9.1999999999999998E-2</v>
      </c>
      <c r="H215" s="283">
        <f>VLOOKUP(D215,upahbahan,3,FALSE)</f>
        <v>160000</v>
      </c>
      <c r="I215" s="284">
        <f>G215*H215</f>
        <v>14720</v>
      </c>
      <c r="J215" s="119"/>
    </row>
    <row r="216" spans="3:10" s="59" customFormat="1" ht="21.6" customHeight="1">
      <c r="C216" s="66" t="s">
        <v>1208</v>
      </c>
      <c r="D216" s="67"/>
      <c r="E216" s="67"/>
      <c r="F216" s="67"/>
      <c r="G216" s="67"/>
      <c r="H216" s="69"/>
      <c r="I216" s="284">
        <f>SUM(I214:I215)</f>
        <v>106720</v>
      </c>
      <c r="J216" s="119"/>
    </row>
    <row r="217" spans="3:10" s="59" customFormat="1" ht="21.6" customHeight="1">
      <c r="C217" s="290" t="s">
        <v>1209</v>
      </c>
      <c r="D217" s="182" t="s">
        <v>1210</v>
      </c>
      <c r="E217" s="182"/>
      <c r="F217" s="70"/>
      <c r="G217" s="70"/>
      <c r="H217" s="70"/>
      <c r="I217" s="71"/>
      <c r="J217" s="119"/>
    </row>
    <row r="218" spans="3:10" s="59" customFormat="1" ht="21.6" customHeight="1">
      <c r="C218" s="66" t="s">
        <v>1214</v>
      </c>
      <c r="D218" s="67"/>
      <c r="E218" s="67"/>
      <c r="F218" s="67"/>
      <c r="G218" s="67"/>
      <c r="H218" s="69"/>
      <c r="I218" s="292">
        <v>0</v>
      </c>
      <c r="J218" s="119"/>
    </row>
    <row r="219" spans="3:10" s="59" customFormat="1" ht="21.6" customHeight="1">
      <c r="C219" s="290" t="s">
        <v>1215</v>
      </c>
      <c r="D219" s="182" t="s">
        <v>1216</v>
      </c>
      <c r="E219" s="182"/>
      <c r="F219" s="70"/>
      <c r="G219" s="70"/>
      <c r="H219" s="70"/>
      <c r="I219" s="71"/>
      <c r="J219" s="119"/>
    </row>
    <row r="220" spans="3:10" s="59" customFormat="1" ht="21.6" customHeight="1">
      <c r="C220" s="66" t="s">
        <v>1217</v>
      </c>
      <c r="D220" s="67"/>
      <c r="E220" s="67"/>
      <c r="F220" s="67"/>
      <c r="G220" s="67"/>
      <c r="H220" s="69"/>
      <c r="I220" s="292">
        <v>0</v>
      </c>
      <c r="J220" s="119"/>
    </row>
    <row r="221" spans="3:10" s="59" customFormat="1" ht="21.6" customHeight="1">
      <c r="C221" s="293" t="s">
        <v>1218</v>
      </c>
      <c r="D221" s="294" t="s">
        <v>1219</v>
      </c>
      <c r="E221" s="295"/>
      <c r="F221" s="295"/>
      <c r="G221" s="295"/>
      <c r="H221" s="296"/>
      <c r="I221" s="284">
        <f>I216+I218+I220</f>
        <v>106720</v>
      </c>
      <c r="J221" s="119"/>
    </row>
    <row r="222" spans="3:10" s="59" customFormat="1" ht="21.6" customHeight="1">
      <c r="C222" s="293" t="s">
        <v>1220</v>
      </c>
      <c r="D222" s="294" t="s">
        <v>1249</v>
      </c>
      <c r="E222" s="295"/>
      <c r="F222" s="295"/>
      <c r="G222" s="296"/>
      <c r="H222" s="298">
        <v>0.1</v>
      </c>
      <c r="I222" s="284">
        <f>I221*H222</f>
        <v>10672</v>
      </c>
      <c r="J222" s="119"/>
    </row>
    <row r="223" spans="3:10" s="59" customFormat="1" ht="21.6" customHeight="1" thickBot="1">
      <c r="C223" s="299" t="s">
        <v>1221</v>
      </c>
      <c r="D223" s="300" t="s">
        <v>1222</v>
      </c>
      <c r="E223" s="301"/>
      <c r="F223" s="301"/>
      <c r="G223" s="301"/>
      <c r="H223" s="302"/>
      <c r="I223" s="303">
        <f>SUM(I221:I222)</f>
        <v>117392</v>
      </c>
      <c r="J223" s="119"/>
    </row>
    <row r="224" spans="3:10" s="59" customFormat="1" ht="21.6" customHeight="1" thickTop="1">
      <c r="I224" s="475"/>
    </row>
    <row r="225" spans="3:10" s="59" customFormat="1" ht="21.6" customHeight="1">
      <c r="I225" s="475"/>
    </row>
    <row r="226" spans="3:10" s="59" customFormat="1" ht="21.6" customHeight="1" thickBot="1">
      <c r="C226" s="47" t="s">
        <v>1988</v>
      </c>
      <c r="D226" s="488" t="s">
        <v>1989</v>
      </c>
      <c r="E226" s="119"/>
      <c r="F226" s="965"/>
      <c r="G226" s="965"/>
      <c r="H226" s="965"/>
      <c r="I226" s="965"/>
      <c r="J226" s="120">
        <f>ROUNDDOWN(I238,-2)</f>
        <v>12700</v>
      </c>
    </row>
    <row r="227" spans="3:10" s="59" customFormat="1" ht="21.6" customHeight="1" thickTop="1">
      <c r="C227" s="51" t="s">
        <v>1195</v>
      </c>
      <c r="D227" s="52" t="s">
        <v>1196</v>
      </c>
      <c r="E227" s="52"/>
      <c r="F227" s="52" t="s">
        <v>1197</v>
      </c>
      <c r="G227" s="52" t="s">
        <v>1198</v>
      </c>
      <c r="H227" s="52" t="s">
        <v>1199</v>
      </c>
      <c r="I227" s="53" t="s">
        <v>1200</v>
      </c>
      <c r="J227" s="1074"/>
    </row>
    <row r="228" spans="3:10" s="59" customFormat="1" ht="21.6" customHeight="1">
      <c r="C228" s="290" t="s">
        <v>1201</v>
      </c>
      <c r="D228" s="182" t="s">
        <v>1202</v>
      </c>
      <c r="E228" s="182"/>
      <c r="F228" s="70"/>
      <c r="G228" s="70"/>
      <c r="H228" s="70"/>
      <c r="I228" s="71"/>
      <c r="J228" s="119"/>
    </row>
    <row r="229" spans="3:10" s="59" customFormat="1" ht="21.6" customHeight="1">
      <c r="C229" s="281">
        <v>1</v>
      </c>
      <c r="D229" s="182" t="s">
        <v>5</v>
      </c>
      <c r="E229" s="176" t="s">
        <v>1774</v>
      </c>
      <c r="F229" s="176" t="s">
        <v>6</v>
      </c>
      <c r="G229" s="315">
        <v>0.1</v>
      </c>
      <c r="H229" s="283">
        <f>VLOOKUP(D229,upahbahan,3,FALSE)</f>
        <v>100000</v>
      </c>
      <c r="I229" s="284">
        <f>G229*H229</f>
        <v>10000</v>
      </c>
      <c r="J229" s="119"/>
    </row>
    <row r="230" spans="3:10" s="59" customFormat="1" ht="21.6" customHeight="1">
      <c r="C230" s="281">
        <v>2</v>
      </c>
      <c r="D230" s="182" t="s">
        <v>19</v>
      </c>
      <c r="E230" s="176" t="s">
        <v>1777</v>
      </c>
      <c r="F230" s="176" t="s">
        <v>6</v>
      </c>
      <c r="G230" s="315">
        <v>0.01</v>
      </c>
      <c r="H230" s="283">
        <f>VLOOKUP(D230,upahbahan,3,FALSE)</f>
        <v>160000</v>
      </c>
      <c r="I230" s="284">
        <f>G230*H230</f>
        <v>1600</v>
      </c>
      <c r="J230" s="119"/>
    </row>
    <row r="231" spans="3:10" s="59" customFormat="1" ht="21.6" customHeight="1">
      <c r="C231" s="66" t="s">
        <v>1208</v>
      </c>
      <c r="D231" s="67"/>
      <c r="E231" s="67"/>
      <c r="F231" s="67"/>
      <c r="G231" s="67"/>
      <c r="H231" s="69"/>
      <c r="I231" s="284">
        <f>SUM(I229:I230)</f>
        <v>11600</v>
      </c>
      <c r="J231" s="119"/>
    </row>
    <row r="232" spans="3:10" s="59" customFormat="1" ht="21.6" customHeight="1">
      <c r="C232" s="290" t="s">
        <v>1209</v>
      </c>
      <c r="D232" s="182" t="s">
        <v>1210</v>
      </c>
      <c r="E232" s="182"/>
      <c r="F232" s="70"/>
      <c r="G232" s="70"/>
      <c r="H232" s="70"/>
      <c r="I232" s="71"/>
      <c r="J232" s="119"/>
    </row>
    <row r="233" spans="3:10" s="59" customFormat="1" ht="21.6" customHeight="1">
      <c r="C233" s="66" t="s">
        <v>1214</v>
      </c>
      <c r="D233" s="67"/>
      <c r="E233" s="67"/>
      <c r="F233" s="67"/>
      <c r="G233" s="67"/>
      <c r="H233" s="69"/>
      <c r="I233" s="292">
        <v>0</v>
      </c>
      <c r="J233" s="119"/>
    </row>
    <row r="234" spans="3:10" s="59" customFormat="1" ht="21.6" customHeight="1">
      <c r="C234" s="290" t="s">
        <v>1215</v>
      </c>
      <c r="D234" s="182" t="s">
        <v>1216</v>
      </c>
      <c r="E234" s="182"/>
      <c r="F234" s="70"/>
      <c r="G234" s="70"/>
      <c r="H234" s="70"/>
      <c r="I234" s="71"/>
      <c r="J234" s="119"/>
    </row>
    <row r="235" spans="3:10" s="59" customFormat="1" ht="21.6" customHeight="1">
      <c r="C235" s="66" t="s">
        <v>1217</v>
      </c>
      <c r="D235" s="67"/>
      <c r="E235" s="67"/>
      <c r="F235" s="67"/>
      <c r="G235" s="67"/>
      <c r="H235" s="69"/>
      <c r="I235" s="292">
        <v>0</v>
      </c>
      <c r="J235" s="119"/>
    </row>
    <row r="236" spans="3:10" s="59" customFormat="1" ht="21.6" customHeight="1">
      <c r="C236" s="293" t="s">
        <v>1218</v>
      </c>
      <c r="D236" s="294" t="s">
        <v>1219</v>
      </c>
      <c r="E236" s="295"/>
      <c r="F236" s="295"/>
      <c r="G236" s="295"/>
      <c r="H236" s="296"/>
      <c r="I236" s="284">
        <f>I231+I233+I235</f>
        <v>11600</v>
      </c>
      <c r="J236" s="119"/>
    </row>
    <row r="237" spans="3:10" s="59" customFormat="1" ht="21.6" customHeight="1">
      <c r="C237" s="293" t="s">
        <v>1220</v>
      </c>
      <c r="D237" s="294" t="s">
        <v>1249</v>
      </c>
      <c r="E237" s="295"/>
      <c r="F237" s="295"/>
      <c r="G237" s="296"/>
      <c r="H237" s="298">
        <v>0.1</v>
      </c>
      <c r="I237" s="284">
        <f>I236*H237</f>
        <v>1160</v>
      </c>
      <c r="J237" s="119"/>
    </row>
    <row r="238" spans="3:10" s="59" customFormat="1" ht="21.6" customHeight="1" thickBot="1">
      <c r="C238" s="299" t="s">
        <v>1221</v>
      </c>
      <c r="D238" s="300" t="s">
        <v>1222</v>
      </c>
      <c r="E238" s="301"/>
      <c r="F238" s="301"/>
      <c r="G238" s="301"/>
      <c r="H238" s="302"/>
      <c r="I238" s="303">
        <f>SUM(I236:I237)</f>
        <v>12760</v>
      </c>
      <c r="J238" s="119"/>
    </row>
    <row r="239" spans="3:10" s="59" customFormat="1" ht="21.6" customHeight="1" thickTop="1">
      <c r="I239" s="475"/>
    </row>
    <row r="240" spans="3:10" s="59" customFormat="1" ht="21.6" customHeight="1">
      <c r="I240" s="475"/>
    </row>
    <row r="241" spans="3:10" s="59" customFormat="1" ht="21.6" customHeight="1">
      <c r="C241" s="47" t="s">
        <v>1990</v>
      </c>
      <c r="D241" s="47" t="s">
        <v>1971</v>
      </c>
      <c r="I241" s="475"/>
    </row>
    <row r="242" spans="3:10" s="59" customFormat="1" ht="21.6" customHeight="1" thickBot="1">
      <c r="C242" s="47" t="s">
        <v>1991</v>
      </c>
      <c r="D242" s="488" t="s">
        <v>1992</v>
      </c>
      <c r="E242" s="119"/>
      <c r="F242" s="965"/>
      <c r="G242" s="965"/>
      <c r="H242" s="965"/>
      <c r="I242" s="965"/>
      <c r="J242" s="120">
        <f>ROUNDDOWN(I255,-2)</f>
        <v>44200</v>
      </c>
    </row>
    <row r="243" spans="3:10" s="59" customFormat="1" ht="21.6" customHeight="1" thickTop="1">
      <c r="C243" s="51" t="s">
        <v>1195</v>
      </c>
      <c r="D243" s="52" t="s">
        <v>1196</v>
      </c>
      <c r="E243" s="52"/>
      <c r="F243" s="52" t="s">
        <v>1197</v>
      </c>
      <c r="G243" s="52" t="s">
        <v>1198</v>
      </c>
      <c r="H243" s="52" t="s">
        <v>1199</v>
      </c>
      <c r="I243" s="53" t="s">
        <v>1200</v>
      </c>
      <c r="J243" s="1074"/>
    </row>
    <row r="244" spans="3:10" s="59" customFormat="1" ht="21.6" customHeight="1">
      <c r="C244" s="290" t="s">
        <v>1201</v>
      </c>
      <c r="D244" s="182" t="s">
        <v>1202</v>
      </c>
      <c r="E244" s="182"/>
      <c r="F244" s="70"/>
      <c r="G244" s="70"/>
      <c r="H244" s="70"/>
      <c r="I244" s="71"/>
      <c r="J244" s="119"/>
    </row>
    <row r="245" spans="3:10" s="59" customFormat="1" ht="21.6" customHeight="1">
      <c r="C245" s="281">
        <v>1</v>
      </c>
      <c r="D245" s="182" t="s">
        <v>5</v>
      </c>
      <c r="E245" s="176" t="s">
        <v>1774</v>
      </c>
      <c r="F245" s="176" t="s">
        <v>6</v>
      </c>
      <c r="G245" s="315">
        <v>0.25</v>
      </c>
      <c r="H245" s="283">
        <f>VLOOKUP(D245,upahbahan,3,FALSE)</f>
        <v>100000</v>
      </c>
      <c r="I245" s="284">
        <f>G245*H245</f>
        <v>25000</v>
      </c>
      <c r="J245" s="119"/>
    </row>
    <row r="246" spans="3:10" s="59" customFormat="1" ht="21.6" customHeight="1">
      <c r="C246" s="281">
        <v>2</v>
      </c>
      <c r="D246" s="182" t="s">
        <v>19</v>
      </c>
      <c r="E246" s="176" t="s">
        <v>1777</v>
      </c>
      <c r="F246" s="176" t="s">
        <v>6</v>
      </c>
      <c r="G246" s="315">
        <v>2.5000000000000001E-2</v>
      </c>
      <c r="H246" s="283">
        <f>VLOOKUP(D246,upahbahan,3,FALSE)</f>
        <v>160000</v>
      </c>
      <c r="I246" s="284">
        <f>G246*H246</f>
        <v>4000</v>
      </c>
      <c r="J246" s="119"/>
    </row>
    <row r="247" spans="3:10" s="59" customFormat="1" ht="21.6" customHeight="1">
      <c r="C247" s="66" t="s">
        <v>1208</v>
      </c>
      <c r="D247" s="67"/>
      <c r="E247" s="67"/>
      <c r="F247" s="67"/>
      <c r="G247" s="67"/>
      <c r="H247" s="69"/>
      <c r="I247" s="284">
        <f>SUM(I245:I246)</f>
        <v>29000</v>
      </c>
      <c r="J247" s="119"/>
    </row>
    <row r="248" spans="3:10" s="59" customFormat="1" ht="21.6" customHeight="1">
      <c r="C248" s="290" t="s">
        <v>1209</v>
      </c>
      <c r="D248" s="182" t="s">
        <v>1210</v>
      </c>
      <c r="E248" s="182"/>
      <c r="F248" s="70"/>
      <c r="G248" s="70"/>
      <c r="H248" s="70"/>
      <c r="I248" s="71"/>
      <c r="J248" s="119"/>
    </row>
    <row r="249" spans="3:10" s="59" customFormat="1" ht="21.6" customHeight="1">
      <c r="C249" s="66" t="s">
        <v>1214</v>
      </c>
      <c r="D249" s="67"/>
      <c r="E249" s="67"/>
      <c r="F249" s="67"/>
      <c r="G249" s="67"/>
      <c r="H249" s="69"/>
      <c r="I249" s="292">
        <v>0</v>
      </c>
      <c r="J249" s="119"/>
    </row>
    <row r="250" spans="3:10" s="59" customFormat="1" ht="21.6" customHeight="1">
      <c r="C250" s="290" t="s">
        <v>1215</v>
      </c>
      <c r="D250" s="182" t="s">
        <v>1216</v>
      </c>
      <c r="E250" s="182"/>
      <c r="F250" s="70"/>
      <c r="G250" s="70"/>
      <c r="H250" s="70"/>
      <c r="I250" s="71"/>
      <c r="J250" s="119"/>
    </row>
    <row r="251" spans="3:10" s="59" customFormat="1" ht="21.6" customHeight="1">
      <c r="C251" s="290">
        <v>1</v>
      </c>
      <c r="D251" s="182" t="s">
        <v>5215</v>
      </c>
      <c r="E251" s="182"/>
      <c r="F251" s="182" t="s">
        <v>1974</v>
      </c>
      <c r="G251" s="182">
        <v>0.04</v>
      </c>
      <c r="H251" s="183">
        <f>VLOOKUP(D251,upahbahan,3,FALSE)</f>
        <v>280000</v>
      </c>
      <c r="I251" s="284">
        <f>G251*H251</f>
        <v>11200</v>
      </c>
      <c r="J251" s="119"/>
    </row>
    <row r="252" spans="3:10" s="59" customFormat="1" ht="21.6" customHeight="1">
      <c r="C252" s="66" t="s">
        <v>1217</v>
      </c>
      <c r="D252" s="67"/>
      <c r="E252" s="67"/>
      <c r="F252" s="67"/>
      <c r="G252" s="67"/>
      <c r="H252" s="69"/>
      <c r="I252" s="284">
        <f>SUM(I251)</f>
        <v>11200</v>
      </c>
      <c r="J252" s="119"/>
    </row>
    <row r="253" spans="3:10" s="59" customFormat="1" ht="21.6" customHeight="1">
      <c r="C253" s="293" t="s">
        <v>1218</v>
      </c>
      <c r="D253" s="294" t="s">
        <v>1219</v>
      </c>
      <c r="E253" s="295"/>
      <c r="F253" s="295"/>
      <c r="G253" s="295"/>
      <c r="H253" s="296"/>
      <c r="I253" s="284">
        <f>I247+I249+I252</f>
        <v>40200</v>
      </c>
      <c r="J253" s="119"/>
    </row>
    <row r="254" spans="3:10" s="59" customFormat="1" ht="21.6" customHeight="1">
      <c r="C254" s="293" t="s">
        <v>1220</v>
      </c>
      <c r="D254" s="294" t="s">
        <v>1249</v>
      </c>
      <c r="E254" s="295"/>
      <c r="F254" s="295"/>
      <c r="G254" s="296"/>
      <c r="H254" s="298">
        <v>0.1</v>
      </c>
      <c r="I254" s="284">
        <f>I253*H254</f>
        <v>4020</v>
      </c>
      <c r="J254" s="119"/>
    </row>
    <row r="255" spans="3:10" s="59" customFormat="1" ht="21.6" customHeight="1" thickBot="1">
      <c r="C255" s="299" t="s">
        <v>1221</v>
      </c>
      <c r="D255" s="300" t="s">
        <v>1222</v>
      </c>
      <c r="E255" s="301"/>
      <c r="F255" s="301"/>
      <c r="G255" s="301"/>
      <c r="H255" s="302"/>
      <c r="I255" s="303">
        <f>SUM(I253:I254)</f>
        <v>44220</v>
      </c>
      <c r="J255" s="119"/>
    </row>
    <row r="256" spans="3:10" s="59" customFormat="1" ht="21.6" customHeight="1" thickTop="1">
      <c r="I256" s="475"/>
    </row>
    <row r="257" spans="3:10" s="59" customFormat="1" ht="21.6" customHeight="1" thickBot="1">
      <c r="C257" s="47" t="s">
        <v>1993</v>
      </c>
      <c r="D257" s="488" t="s">
        <v>1994</v>
      </c>
      <c r="E257" s="119"/>
      <c r="F257" s="965"/>
      <c r="G257" s="965"/>
      <c r="H257" s="965"/>
      <c r="I257" s="965"/>
      <c r="J257" s="120">
        <f>ROUNDDOWN(I270,-2)</f>
        <v>50700</v>
      </c>
    </row>
    <row r="258" spans="3:10" s="59" customFormat="1" ht="21.6" customHeight="1" thickTop="1">
      <c r="C258" s="51" t="s">
        <v>1195</v>
      </c>
      <c r="D258" s="52" t="s">
        <v>1196</v>
      </c>
      <c r="E258" s="52"/>
      <c r="F258" s="52" t="s">
        <v>1197</v>
      </c>
      <c r="G258" s="52" t="s">
        <v>1198</v>
      </c>
      <c r="H258" s="52" t="s">
        <v>1199</v>
      </c>
      <c r="I258" s="53" t="s">
        <v>1200</v>
      </c>
      <c r="J258" s="1074"/>
    </row>
    <row r="259" spans="3:10" s="59" customFormat="1" ht="21.6" customHeight="1">
      <c r="C259" s="290" t="s">
        <v>1201</v>
      </c>
      <c r="D259" s="182" t="s">
        <v>1202</v>
      </c>
      <c r="E259" s="182"/>
      <c r="F259" s="70"/>
      <c r="G259" s="70"/>
      <c r="H259" s="70"/>
      <c r="I259" s="71"/>
      <c r="J259" s="119"/>
    </row>
    <row r="260" spans="3:10" s="59" customFormat="1" ht="21.6" customHeight="1">
      <c r="C260" s="281">
        <v>1</v>
      </c>
      <c r="D260" s="182" t="s">
        <v>5</v>
      </c>
      <c r="E260" s="176" t="s">
        <v>1774</v>
      </c>
      <c r="F260" s="176" t="s">
        <v>6</v>
      </c>
      <c r="G260" s="315">
        <v>0.26500000000000001</v>
      </c>
      <c r="H260" s="283">
        <f>VLOOKUP(D260,upahbahan,3,FALSE)</f>
        <v>100000</v>
      </c>
      <c r="I260" s="284">
        <f>G260*H260</f>
        <v>26500</v>
      </c>
      <c r="J260" s="119"/>
    </row>
    <row r="261" spans="3:10" s="59" customFormat="1" ht="21.6" customHeight="1">
      <c r="C261" s="281">
        <v>2</v>
      </c>
      <c r="D261" s="182" t="s">
        <v>19</v>
      </c>
      <c r="E261" s="176" t="s">
        <v>1777</v>
      </c>
      <c r="F261" s="176" t="s">
        <v>6</v>
      </c>
      <c r="G261" s="315">
        <v>2.6499999999999999E-2</v>
      </c>
      <c r="H261" s="283">
        <f>VLOOKUP(D261,upahbahan,3,FALSE)</f>
        <v>160000</v>
      </c>
      <c r="I261" s="284">
        <f>G261*H261</f>
        <v>4240</v>
      </c>
      <c r="J261" s="119"/>
    </row>
    <row r="262" spans="3:10" s="59" customFormat="1" ht="21.6" customHeight="1">
      <c r="C262" s="66" t="s">
        <v>1208</v>
      </c>
      <c r="D262" s="67"/>
      <c r="E262" s="67"/>
      <c r="F262" s="67"/>
      <c r="G262" s="67"/>
      <c r="H262" s="69"/>
      <c r="I262" s="284">
        <f>SUM(I260:I261)</f>
        <v>30740</v>
      </c>
      <c r="J262" s="119"/>
    </row>
    <row r="263" spans="3:10" s="59" customFormat="1" ht="21.6" customHeight="1">
      <c r="C263" s="290" t="s">
        <v>1209</v>
      </c>
      <c r="D263" s="182" t="s">
        <v>1210</v>
      </c>
      <c r="E263" s="182"/>
      <c r="F263" s="70"/>
      <c r="G263" s="70"/>
      <c r="H263" s="70"/>
      <c r="I263" s="71"/>
      <c r="J263" s="119"/>
    </row>
    <row r="264" spans="3:10" s="59" customFormat="1" ht="21.6" customHeight="1">
      <c r="C264" s="66" t="s">
        <v>1214</v>
      </c>
      <c r="D264" s="67"/>
      <c r="E264" s="67"/>
      <c r="F264" s="67"/>
      <c r="G264" s="67"/>
      <c r="H264" s="69"/>
      <c r="I264" s="292">
        <v>0</v>
      </c>
      <c r="J264" s="119"/>
    </row>
    <row r="265" spans="3:10" s="59" customFormat="1" ht="21.6" customHeight="1">
      <c r="C265" s="290" t="s">
        <v>1215</v>
      </c>
      <c r="D265" s="182" t="s">
        <v>1216</v>
      </c>
      <c r="E265" s="182"/>
      <c r="F265" s="70"/>
      <c r="G265" s="70"/>
      <c r="H265" s="70"/>
      <c r="I265" s="71"/>
      <c r="J265" s="119"/>
    </row>
    <row r="266" spans="3:10" s="59" customFormat="1" ht="21.6" customHeight="1">
      <c r="C266" s="290">
        <v>1</v>
      </c>
      <c r="D266" s="182" t="s">
        <v>5215</v>
      </c>
      <c r="E266" s="182"/>
      <c r="F266" s="182" t="s">
        <v>1974</v>
      </c>
      <c r="G266" s="1072">
        <v>5.5E-2</v>
      </c>
      <c r="H266" s="183">
        <f>VLOOKUP(D266,upahbahan,3,FALSE)</f>
        <v>280000</v>
      </c>
      <c r="I266" s="325">
        <f>G266*H266</f>
        <v>15400</v>
      </c>
      <c r="J266" s="48"/>
    </row>
    <row r="267" spans="3:10" s="59" customFormat="1" ht="21.6" customHeight="1">
      <c r="C267" s="66" t="s">
        <v>1217</v>
      </c>
      <c r="D267" s="67"/>
      <c r="E267" s="67"/>
      <c r="F267" s="67"/>
      <c r="G267" s="67"/>
      <c r="H267" s="69"/>
      <c r="I267" s="292">
        <f>SUM(I266)</f>
        <v>15400</v>
      </c>
      <c r="J267" s="119"/>
    </row>
    <row r="268" spans="3:10" s="59" customFormat="1" ht="21.6" customHeight="1">
      <c r="C268" s="293" t="s">
        <v>1218</v>
      </c>
      <c r="D268" s="294" t="s">
        <v>1219</v>
      </c>
      <c r="E268" s="295"/>
      <c r="F268" s="295"/>
      <c r="G268" s="295"/>
      <c r="H268" s="296"/>
      <c r="I268" s="284">
        <f>I262+I264+I267</f>
        <v>46140</v>
      </c>
      <c r="J268" s="119"/>
    </row>
    <row r="269" spans="3:10" s="59" customFormat="1" ht="21.6" customHeight="1">
      <c r="C269" s="293" t="s">
        <v>1220</v>
      </c>
      <c r="D269" s="294" t="s">
        <v>1249</v>
      </c>
      <c r="E269" s="295"/>
      <c r="F269" s="295"/>
      <c r="G269" s="296"/>
      <c r="H269" s="298">
        <v>0.1</v>
      </c>
      <c r="I269" s="284">
        <f>I268*H269</f>
        <v>4614</v>
      </c>
      <c r="J269" s="119"/>
    </row>
    <row r="270" spans="3:10" s="59" customFormat="1" ht="21.6" customHeight="1" thickBot="1">
      <c r="C270" s="299" t="s">
        <v>1221</v>
      </c>
      <c r="D270" s="300" t="s">
        <v>1222</v>
      </c>
      <c r="E270" s="301"/>
      <c r="F270" s="301"/>
      <c r="G270" s="301"/>
      <c r="H270" s="302"/>
      <c r="I270" s="303">
        <f>SUM(I268:I269)</f>
        <v>50754</v>
      </c>
      <c r="J270" s="119"/>
    </row>
    <row r="271" spans="3:10" s="59" customFormat="1" ht="21.6" customHeight="1" thickTop="1">
      <c r="I271" s="475"/>
    </row>
    <row r="272" spans="3:10" s="59" customFormat="1" ht="21.6" customHeight="1">
      <c r="I272" s="475"/>
    </row>
    <row r="273" spans="3:10" s="59" customFormat="1" ht="21.6" customHeight="1" thickBot="1">
      <c r="C273" s="47" t="s">
        <v>1995</v>
      </c>
      <c r="D273" s="488" t="s">
        <v>1996</v>
      </c>
      <c r="E273" s="119"/>
      <c r="F273" s="965"/>
      <c r="G273" s="965"/>
      <c r="H273" s="965"/>
      <c r="I273" s="965"/>
      <c r="J273" s="120">
        <f>ROUNDDOWN(I286,-2)</f>
        <v>57900</v>
      </c>
    </row>
    <row r="274" spans="3:10" s="59" customFormat="1" ht="21.6" customHeight="1" thickTop="1">
      <c r="C274" s="51" t="s">
        <v>1195</v>
      </c>
      <c r="D274" s="52" t="s">
        <v>1196</v>
      </c>
      <c r="E274" s="52"/>
      <c r="F274" s="52" t="s">
        <v>1197</v>
      </c>
      <c r="G274" s="52" t="s">
        <v>1198</v>
      </c>
      <c r="H274" s="52" t="s">
        <v>1199</v>
      </c>
      <c r="I274" s="53" t="s">
        <v>1200</v>
      </c>
      <c r="J274" s="1074"/>
    </row>
    <row r="275" spans="3:10" s="59" customFormat="1" ht="21.6" customHeight="1">
      <c r="C275" s="290" t="s">
        <v>1201</v>
      </c>
      <c r="D275" s="182" t="s">
        <v>1202</v>
      </c>
      <c r="E275" s="182"/>
      <c r="F275" s="70"/>
      <c r="G275" s="70"/>
      <c r="H275" s="70"/>
      <c r="I275" s="71"/>
      <c r="J275" s="119"/>
    </row>
    <row r="276" spans="3:10" s="59" customFormat="1" ht="21.6" customHeight="1">
      <c r="C276" s="281">
        <v>1</v>
      </c>
      <c r="D276" s="182" t="s">
        <v>5</v>
      </c>
      <c r="E276" s="176" t="s">
        <v>1774</v>
      </c>
      <c r="F276" s="176" t="s">
        <v>6</v>
      </c>
      <c r="G276" s="315">
        <v>0.28000000000000003</v>
      </c>
      <c r="H276" s="283">
        <f>VLOOKUP(D276,upahbahan,3,FALSE)</f>
        <v>100000</v>
      </c>
      <c r="I276" s="284">
        <f>G276*H276</f>
        <v>28000.000000000004</v>
      </c>
      <c r="J276" s="119"/>
    </row>
    <row r="277" spans="3:10" s="59" customFormat="1" ht="21.6" customHeight="1">
      <c r="C277" s="281">
        <v>2</v>
      </c>
      <c r="D277" s="182" t="s">
        <v>19</v>
      </c>
      <c r="E277" s="176" t="s">
        <v>1777</v>
      </c>
      <c r="F277" s="176" t="s">
        <v>6</v>
      </c>
      <c r="G277" s="315">
        <v>2.8000000000000001E-2</v>
      </c>
      <c r="H277" s="283">
        <f>VLOOKUP(D277,upahbahan,3,FALSE)</f>
        <v>160000</v>
      </c>
      <c r="I277" s="284">
        <f>G277*H277</f>
        <v>4480</v>
      </c>
      <c r="J277" s="119"/>
    </row>
    <row r="278" spans="3:10" s="59" customFormat="1" ht="21.6" customHeight="1">
      <c r="C278" s="66" t="s">
        <v>1208</v>
      </c>
      <c r="D278" s="67"/>
      <c r="E278" s="67"/>
      <c r="F278" s="67"/>
      <c r="G278" s="67"/>
      <c r="H278" s="69"/>
      <c r="I278" s="284">
        <f>SUM(I276:I277)</f>
        <v>32480.000000000004</v>
      </c>
      <c r="J278" s="119"/>
    </row>
    <row r="279" spans="3:10" s="59" customFormat="1" ht="21.6" customHeight="1">
      <c r="C279" s="290" t="s">
        <v>1209</v>
      </c>
      <c r="D279" s="182" t="s">
        <v>1210</v>
      </c>
      <c r="E279" s="182"/>
      <c r="F279" s="70"/>
      <c r="G279" s="70"/>
      <c r="H279" s="70"/>
      <c r="I279" s="71"/>
      <c r="J279" s="119"/>
    </row>
    <row r="280" spans="3:10" s="59" customFormat="1" ht="21.6" customHeight="1">
      <c r="C280" s="66" t="s">
        <v>1214</v>
      </c>
      <c r="D280" s="67"/>
      <c r="E280" s="67"/>
      <c r="F280" s="67"/>
      <c r="G280" s="67"/>
      <c r="H280" s="69"/>
      <c r="I280" s="292">
        <v>0</v>
      </c>
      <c r="J280" s="119"/>
    </row>
    <row r="281" spans="3:10" s="59" customFormat="1" ht="21.6" customHeight="1">
      <c r="C281" s="290" t="s">
        <v>1215</v>
      </c>
      <c r="D281" s="182" t="s">
        <v>1216</v>
      </c>
      <c r="E281" s="182"/>
      <c r="F281" s="70"/>
      <c r="G281" s="70"/>
      <c r="H281" s="70"/>
      <c r="I281" s="71"/>
      <c r="J281" s="119"/>
    </row>
    <row r="282" spans="3:10" s="59" customFormat="1" ht="21.6" customHeight="1">
      <c r="C282" s="290">
        <v>1</v>
      </c>
      <c r="D282" s="182" t="s">
        <v>5216</v>
      </c>
      <c r="E282" s="182"/>
      <c r="F282" s="182" t="s">
        <v>1974</v>
      </c>
      <c r="G282" s="1072">
        <v>7.1999999999999995E-2</v>
      </c>
      <c r="H282" s="183">
        <f>VLOOKUP(D282,upahbahan,3,FALSE)</f>
        <v>280000</v>
      </c>
      <c r="I282" s="325">
        <f>G282*H282</f>
        <v>20160</v>
      </c>
      <c r="J282" s="48"/>
    </row>
    <row r="283" spans="3:10" s="59" customFormat="1" ht="21.6" customHeight="1">
      <c r="C283" s="66" t="s">
        <v>1217</v>
      </c>
      <c r="D283" s="67"/>
      <c r="E283" s="67"/>
      <c r="F283" s="67"/>
      <c r="G283" s="67"/>
      <c r="H283" s="69"/>
      <c r="I283" s="292">
        <f>SUM(I282)</f>
        <v>20160</v>
      </c>
      <c r="J283" s="119"/>
    </row>
    <row r="284" spans="3:10" s="59" customFormat="1" ht="21.6" customHeight="1">
      <c r="C284" s="293" t="s">
        <v>1218</v>
      </c>
      <c r="D284" s="294" t="s">
        <v>1219</v>
      </c>
      <c r="E284" s="295"/>
      <c r="F284" s="295"/>
      <c r="G284" s="295"/>
      <c r="H284" s="296"/>
      <c r="I284" s="284">
        <f>I278+I280+I283</f>
        <v>52640</v>
      </c>
      <c r="J284" s="119"/>
    </row>
    <row r="285" spans="3:10" s="59" customFormat="1" ht="21.6" customHeight="1">
      <c r="C285" s="293" t="s">
        <v>1220</v>
      </c>
      <c r="D285" s="294" t="s">
        <v>1249</v>
      </c>
      <c r="E285" s="295"/>
      <c r="F285" s="295"/>
      <c r="G285" s="296"/>
      <c r="H285" s="298">
        <v>0.1</v>
      </c>
      <c r="I285" s="284">
        <f>I284*H285</f>
        <v>5264</v>
      </c>
      <c r="J285" s="119"/>
    </row>
    <row r="286" spans="3:10" s="59" customFormat="1" ht="21.6" customHeight="1" thickBot="1">
      <c r="C286" s="299" t="s">
        <v>1221</v>
      </c>
      <c r="D286" s="300" t="s">
        <v>1222</v>
      </c>
      <c r="E286" s="301"/>
      <c r="F286" s="301"/>
      <c r="G286" s="301"/>
      <c r="H286" s="302"/>
      <c r="I286" s="303">
        <f>SUM(I284:I285)</f>
        <v>57904</v>
      </c>
      <c r="J286" s="119"/>
    </row>
    <row r="287" spans="3:10" s="59" customFormat="1" ht="21.6" customHeight="1" thickTop="1">
      <c r="I287" s="475"/>
    </row>
    <row r="288" spans="3:10" s="59" customFormat="1" ht="21.6" customHeight="1">
      <c r="I288" s="475"/>
    </row>
    <row r="289" spans="3:10" s="59" customFormat="1" ht="21.6" customHeight="1" thickBot="1">
      <c r="C289" s="47" t="s">
        <v>1997</v>
      </c>
      <c r="D289" s="488" t="s">
        <v>1998</v>
      </c>
      <c r="E289" s="119"/>
      <c r="F289" s="965"/>
      <c r="G289" s="965"/>
      <c r="H289" s="965"/>
      <c r="I289" s="965"/>
      <c r="J289" s="120">
        <f>ROUNDDOWN(I302,-2)</f>
        <v>8600</v>
      </c>
    </row>
    <row r="290" spans="3:10" s="59" customFormat="1" ht="21.6" customHeight="1" thickTop="1">
      <c r="C290" s="51" t="s">
        <v>1195</v>
      </c>
      <c r="D290" s="52" t="s">
        <v>1196</v>
      </c>
      <c r="E290" s="52"/>
      <c r="F290" s="52" t="s">
        <v>1197</v>
      </c>
      <c r="G290" s="52" t="s">
        <v>1198</v>
      </c>
      <c r="H290" s="52" t="s">
        <v>1199</v>
      </c>
      <c r="I290" s="53" t="s">
        <v>1200</v>
      </c>
      <c r="J290" s="1074"/>
    </row>
    <row r="291" spans="3:10" s="59" customFormat="1" ht="21.6" customHeight="1">
      <c r="C291" s="290" t="s">
        <v>1201</v>
      </c>
      <c r="D291" s="182" t="s">
        <v>1202</v>
      </c>
      <c r="E291" s="182"/>
      <c r="F291" s="70"/>
      <c r="G291" s="70"/>
      <c r="H291" s="70"/>
      <c r="I291" s="71"/>
      <c r="J291" s="119"/>
    </row>
    <row r="292" spans="3:10" s="59" customFormat="1" ht="21.6" customHeight="1">
      <c r="C292" s="281">
        <v>1</v>
      </c>
      <c r="D292" s="182" t="s">
        <v>5</v>
      </c>
      <c r="E292" s="176" t="s">
        <v>1774</v>
      </c>
      <c r="F292" s="176" t="s">
        <v>6</v>
      </c>
      <c r="G292" s="315">
        <v>1.4999999999999999E-2</v>
      </c>
      <c r="H292" s="283">
        <f>VLOOKUP(D292,upahbahan,3,FALSE)</f>
        <v>100000</v>
      </c>
      <c r="I292" s="284">
        <f>G292*H292</f>
        <v>1500</v>
      </c>
      <c r="J292" s="119"/>
    </row>
    <row r="293" spans="3:10" s="59" customFormat="1" ht="21.6" customHeight="1">
      <c r="C293" s="281">
        <v>2</v>
      </c>
      <c r="D293" s="182" t="s">
        <v>19</v>
      </c>
      <c r="E293" s="176" t="s">
        <v>1777</v>
      </c>
      <c r="F293" s="176" t="s">
        <v>6</v>
      </c>
      <c r="G293" s="315">
        <v>1.5E-3</v>
      </c>
      <c r="H293" s="283">
        <f>VLOOKUP(D293,upahbahan,3,FALSE)</f>
        <v>160000</v>
      </c>
      <c r="I293" s="284">
        <f>G293*H293</f>
        <v>240</v>
      </c>
      <c r="J293" s="119"/>
    </row>
    <row r="294" spans="3:10" s="59" customFormat="1" ht="21.6" customHeight="1">
      <c r="C294" s="66" t="s">
        <v>1208</v>
      </c>
      <c r="D294" s="67"/>
      <c r="E294" s="67"/>
      <c r="F294" s="67"/>
      <c r="G294" s="67"/>
      <c r="H294" s="69"/>
      <c r="I294" s="284">
        <f>SUM(I292:I293)</f>
        <v>1740</v>
      </c>
      <c r="J294" s="119"/>
    </row>
    <row r="295" spans="3:10" s="59" customFormat="1" ht="21.6" customHeight="1">
      <c r="C295" s="290" t="s">
        <v>1209</v>
      </c>
      <c r="D295" s="182" t="s">
        <v>1210</v>
      </c>
      <c r="E295" s="182"/>
      <c r="F295" s="70"/>
      <c r="G295" s="70"/>
      <c r="H295" s="70"/>
      <c r="I295" s="71"/>
      <c r="J295" s="119"/>
    </row>
    <row r="296" spans="3:10" s="59" customFormat="1" ht="21.6" customHeight="1">
      <c r="C296" s="66" t="s">
        <v>1214</v>
      </c>
      <c r="D296" s="67"/>
      <c r="E296" s="67"/>
      <c r="F296" s="67"/>
      <c r="G296" s="67"/>
      <c r="H296" s="69"/>
      <c r="I296" s="292">
        <v>0</v>
      </c>
      <c r="J296" s="119"/>
    </row>
    <row r="297" spans="3:10" s="59" customFormat="1" ht="21.6" customHeight="1">
      <c r="C297" s="290" t="s">
        <v>1215</v>
      </c>
      <c r="D297" s="182" t="s">
        <v>1216</v>
      </c>
      <c r="E297" s="182"/>
      <c r="F297" s="70"/>
      <c r="G297" s="70"/>
      <c r="H297" s="70"/>
      <c r="I297" s="71"/>
      <c r="J297" s="119"/>
    </row>
    <row r="298" spans="3:10" s="59" customFormat="1" ht="21.6" customHeight="1">
      <c r="C298" s="290">
        <v>1</v>
      </c>
      <c r="D298" s="182" t="s">
        <v>5216</v>
      </c>
      <c r="E298" s="182"/>
      <c r="F298" s="182" t="s">
        <v>1974</v>
      </c>
      <c r="G298" s="1072">
        <v>2.1999999999999999E-2</v>
      </c>
      <c r="H298" s="183">
        <f>VLOOKUP(D298,upahbahan,3,FALSE)</f>
        <v>280000</v>
      </c>
      <c r="I298" s="325">
        <f>G298*H298</f>
        <v>6160</v>
      </c>
      <c r="J298" s="48"/>
    </row>
    <row r="299" spans="3:10" s="59" customFormat="1" ht="21.6" customHeight="1">
      <c r="C299" s="66" t="s">
        <v>1217</v>
      </c>
      <c r="D299" s="67"/>
      <c r="E299" s="67"/>
      <c r="F299" s="67"/>
      <c r="G299" s="67"/>
      <c r="H299" s="69"/>
      <c r="I299" s="292">
        <f>SUM(I298)</f>
        <v>6160</v>
      </c>
      <c r="J299" s="119"/>
    </row>
    <row r="300" spans="3:10" s="59" customFormat="1" ht="21.6" customHeight="1">
      <c r="C300" s="293" t="s">
        <v>1218</v>
      </c>
      <c r="D300" s="294" t="s">
        <v>1219</v>
      </c>
      <c r="E300" s="295"/>
      <c r="F300" s="295"/>
      <c r="G300" s="295"/>
      <c r="H300" s="296"/>
      <c r="I300" s="284">
        <f>I294+I296+I299</f>
        <v>7900</v>
      </c>
      <c r="J300" s="119"/>
    </row>
    <row r="301" spans="3:10" s="59" customFormat="1" ht="21.6" customHeight="1">
      <c r="C301" s="293" t="s">
        <v>1220</v>
      </c>
      <c r="D301" s="294" t="s">
        <v>1249</v>
      </c>
      <c r="E301" s="295"/>
      <c r="F301" s="295"/>
      <c r="G301" s="296"/>
      <c r="H301" s="298">
        <v>0.1</v>
      </c>
      <c r="I301" s="284">
        <f>I300*H301</f>
        <v>790</v>
      </c>
      <c r="J301" s="119"/>
    </row>
    <row r="302" spans="3:10" s="59" customFormat="1" ht="21.6" customHeight="1" thickBot="1">
      <c r="C302" s="299" t="s">
        <v>1221</v>
      </c>
      <c r="D302" s="300" t="s">
        <v>1222</v>
      </c>
      <c r="E302" s="301"/>
      <c r="F302" s="301"/>
      <c r="G302" s="301"/>
      <c r="H302" s="302"/>
      <c r="I302" s="303">
        <f>SUM(I300:I301)</f>
        <v>8690</v>
      </c>
      <c r="J302" s="119"/>
    </row>
    <row r="303" spans="3:10" s="119" customFormat="1" ht="21.6" customHeight="1" thickTop="1">
      <c r="C303" s="46"/>
      <c r="D303" s="47"/>
      <c r="E303" s="47"/>
      <c r="F303" s="47"/>
      <c r="G303" s="47"/>
      <c r="H303" s="47"/>
      <c r="I303" s="47"/>
    </row>
    <row r="304" spans="3:10" s="119" customFormat="1" ht="21.6" customHeight="1">
      <c r="C304" s="46"/>
      <c r="D304" s="47"/>
      <c r="E304" s="47"/>
      <c r="F304" s="47"/>
      <c r="G304" s="47"/>
      <c r="H304" s="47"/>
      <c r="I304" s="47"/>
    </row>
    <row r="305" spans="3:10" s="119" customFormat="1" ht="21.6" customHeight="1">
      <c r="C305" s="46" t="s">
        <v>1999</v>
      </c>
      <c r="D305" s="47" t="s">
        <v>2044</v>
      </c>
      <c r="E305" s="47"/>
      <c r="F305" s="47"/>
      <c r="G305" s="47"/>
      <c r="H305" s="47"/>
      <c r="I305" s="47"/>
    </row>
    <row r="306" spans="3:10" s="119" customFormat="1" ht="21.6" customHeight="1">
      <c r="C306" s="46" t="s">
        <v>2000</v>
      </c>
      <c r="D306" s="47" t="s">
        <v>1955</v>
      </c>
      <c r="E306" s="47"/>
      <c r="F306" s="47"/>
      <c r="G306" s="47"/>
      <c r="H306" s="47"/>
      <c r="I306" s="47"/>
    </row>
    <row r="307" spans="3:10" s="59" customFormat="1" ht="21.6" customHeight="1" thickBot="1">
      <c r="C307" s="47" t="s">
        <v>2002</v>
      </c>
      <c r="D307" s="488" t="s">
        <v>2001</v>
      </c>
      <c r="E307" s="119"/>
      <c r="F307" s="965"/>
      <c r="G307" s="965"/>
      <c r="H307" s="965"/>
      <c r="I307" s="965"/>
      <c r="J307" s="120">
        <f>ROUNDDOWN(I319,-2)</f>
        <v>150900</v>
      </c>
    </row>
    <row r="308" spans="3:10" s="59" customFormat="1" ht="21.6" customHeight="1" thickTop="1">
      <c r="C308" s="51" t="s">
        <v>1195</v>
      </c>
      <c r="D308" s="52" t="s">
        <v>1196</v>
      </c>
      <c r="E308" s="52"/>
      <c r="F308" s="52" t="s">
        <v>1197</v>
      </c>
      <c r="G308" s="52" t="s">
        <v>1198</v>
      </c>
      <c r="H308" s="52" t="s">
        <v>1199</v>
      </c>
      <c r="I308" s="53" t="s">
        <v>1200</v>
      </c>
      <c r="J308" s="1074"/>
    </row>
    <row r="309" spans="3:10" s="59" customFormat="1" ht="21.6" customHeight="1">
      <c r="C309" s="290" t="s">
        <v>1201</v>
      </c>
      <c r="D309" s="182" t="s">
        <v>1202</v>
      </c>
      <c r="E309" s="182"/>
      <c r="F309" s="70"/>
      <c r="G309" s="70"/>
      <c r="H309" s="70"/>
      <c r="I309" s="71"/>
      <c r="J309" s="119"/>
    </row>
    <row r="310" spans="3:10" s="59" customFormat="1" ht="21.6" customHeight="1">
      <c r="C310" s="281">
        <v>1</v>
      </c>
      <c r="D310" s="182" t="s">
        <v>5</v>
      </c>
      <c r="E310" s="176" t="s">
        <v>1774</v>
      </c>
      <c r="F310" s="176" t="s">
        <v>6</v>
      </c>
      <c r="G310" s="315">
        <v>1.351</v>
      </c>
      <c r="H310" s="283">
        <f>VLOOKUP(D310,upahbahan,3,FALSE)</f>
        <v>100000</v>
      </c>
      <c r="I310" s="284">
        <f>G310*H310</f>
        <v>135100</v>
      </c>
      <c r="J310" s="119"/>
    </row>
    <row r="311" spans="3:10" s="59" customFormat="1" ht="21.6" customHeight="1">
      <c r="C311" s="281">
        <v>2</v>
      </c>
      <c r="D311" s="182" t="s">
        <v>19</v>
      </c>
      <c r="E311" s="176" t="s">
        <v>1777</v>
      </c>
      <c r="F311" s="176" t="s">
        <v>6</v>
      </c>
      <c r="G311" s="315">
        <v>1.3509999999999999E-2</v>
      </c>
      <c r="H311" s="283">
        <f>VLOOKUP(D311,upahbahan,3,FALSE)</f>
        <v>160000</v>
      </c>
      <c r="I311" s="284">
        <f>G311*H311</f>
        <v>2161.6</v>
      </c>
      <c r="J311" s="119"/>
    </row>
    <row r="312" spans="3:10" s="59" customFormat="1" ht="21.6" customHeight="1">
      <c r="C312" s="66" t="s">
        <v>1208</v>
      </c>
      <c r="D312" s="67"/>
      <c r="E312" s="67"/>
      <c r="F312" s="67"/>
      <c r="G312" s="67"/>
      <c r="H312" s="69"/>
      <c r="I312" s="284">
        <f>SUM(I310:I311)</f>
        <v>137261.6</v>
      </c>
      <c r="J312" s="119"/>
    </row>
    <row r="313" spans="3:10" s="59" customFormat="1" ht="21.6" customHeight="1">
      <c r="C313" s="290" t="s">
        <v>1209</v>
      </c>
      <c r="D313" s="182" t="s">
        <v>1210</v>
      </c>
      <c r="E313" s="182"/>
      <c r="F313" s="70"/>
      <c r="G313" s="70"/>
      <c r="H313" s="70"/>
      <c r="I313" s="71"/>
      <c r="J313" s="119"/>
    </row>
    <row r="314" spans="3:10" s="59" customFormat="1" ht="21.6" customHeight="1">
      <c r="C314" s="66" t="s">
        <v>1214</v>
      </c>
      <c r="D314" s="67"/>
      <c r="E314" s="67"/>
      <c r="F314" s="67"/>
      <c r="G314" s="67"/>
      <c r="H314" s="69"/>
      <c r="I314" s="292">
        <v>0</v>
      </c>
      <c r="J314" s="119"/>
    </row>
    <row r="315" spans="3:10" s="59" customFormat="1" ht="21.6" customHeight="1">
      <c r="C315" s="290" t="s">
        <v>1215</v>
      </c>
      <c r="D315" s="182" t="s">
        <v>1216</v>
      </c>
      <c r="E315" s="182"/>
      <c r="F315" s="70"/>
      <c r="G315" s="70"/>
      <c r="H315" s="70"/>
      <c r="I315" s="71"/>
      <c r="J315" s="119"/>
    </row>
    <row r="316" spans="3:10" s="59" customFormat="1" ht="21.6" customHeight="1">
      <c r="C316" s="66" t="s">
        <v>1217</v>
      </c>
      <c r="D316" s="67"/>
      <c r="E316" s="67"/>
      <c r="F316" s="67"/>
      <c r="G316" s="67"/>
      <c r="H316" s="69"/>
      <c r="I316" s="292">
        <v>0</v>
      </c>
      <c r="J316" s="119"/>
    </row>
    <row r="317" spans="3:10" s="59" customFormat="1" ht="21.6" customHeight="1">
      <c r="C317" s="293" t="s">
        <v>1218</v>
      </c>
      <c r="D317" s="294" t="s">
        <v>1219</v>
      </c>
      <c r="E317" s="295"/>
      <c r="F317" s="295"/>
      <c r="G317" s="295"/>
      <c r="H317" s="296"/>
      <c r="I317" s="284">
        <f>I312+I314+I316</f>
        <v>137261.6</v>
      </c>
      <c r="J317" s="119"/>
    </row>
    <row r="318" spans="3:10" s="59" customFormat="1" ht="21.6" customHeight="1">
      <c r="C318" s="293" t="s">
        <v>1220</v>
      </c>
      <c r="D318" s="294" t="s">
        <v>1249</v>
      </c>
      <c r="E318" s="295"/>
      <c r="F318" s="295"/>
      <c r="G318" s="296"/>
      <c r="H318" s="298">
        <v>0.1</v>
      </c>
      <c r="I318" s="284">
        <f>I317*H318</f>
        <v>13726.160000000002</v>
      </c>
      <c r="J318" s="119"/>
    </row>
    <row r="319" spans="3:10" s="59" customFormat="1" ht="21.6" customHeight="1" thickBot="1">
      <c r="C319" s="299" t="s">
        <v>1221</v>
      </c>
      <c r="D319" s="300" t="s">
        <v>1222</v>
      </c>
      <c r="E319" s="301"/>
      <c r="F319" s="301"/>
      <c r="G319" s="301"/>
      <c r="H319" s="302"/>
      <c r="I319" s="303">
        <f>SUM(I317:I318)</f>
        <v>150987.76</v>
      </c>
      <c r="J319" s="119"/>
    </row>
    <row r="320" spans="3:10" s="119" customFormat="1" ht="21.6" customHeight="1" thickTop="1">
      <c r="C320" s="46"/>
      <c r="D320" s="47"/>
      <c r="E320" s="47"/>
      <c r="F320" s="47"/>
      <c r="G320" s="47"/>
      <c r="H320" s="47"/>
      <c r="I320" s="47"/>
    </row>
    <row r="321" spans="3:10" s="119" customFormat="1" ht="21.6" customHeight="1">
      <c r="C321" s="46"/>
      <c r="D321" s="47"/>
      <c r="E321" s="47"/>
      <c r="F321" s="47"/>
      <c r="G321" s="47"/>
      <c r="H321" s="47"/>
      <c r="I321" s="47"/>
    </row>
    <row r="322" spans="3:10" s="59" customFormat="1" ht="21.6" customHeight="1" thickBot="1">
      <c r="C322" s="47" t="s">
        <v>2003</v>
      </c>
      <c r="D322" s="488" t="s">
        <v>2004</v>
      </c>
      <c r="E322" s="119"/>
      <c r="F322" s="965"/>
      <c r="G322" s="965"/>
      <c r="H322" s="965"/>
      <c r="I322" s="965"/>
      <c r="J322" s="120">
        <f>ROUNDDOWN(I334,-2)</f>
        <v>191400</v>
      </c>
    </row>
    <row r="323" spans="3:10" s="59" customFormat="1" ht="21.6" customHeight="1" thickTop="1">
      <c r="C323" s="51" t="s">
        <v>1195</v>
      </c>
      <c r="D323" s="52" t="s">
        <v>1196</v>
      </c>
      <c r="E323" s="52"/>
      <c r="F323" s="52" t="s">
        <v>1197</v>
      </c>
      <c r="G323" s="52" t="s">
        <v>1198</v>
      </c>
      <c r="H323" s="52" t="s">
        <v>1199</v>
      </c>
      <c r="I323" s="53" t="s">
        <v>1200</v>
      </c>
      <c r="J323" s="1074"/>
    </row>
    <row r="324" spans="3:10" s="59" customFormat="1" ht="21.6" customHeight="1">
      <c r="C324" s="290" t="s">
        <v>1201</v>
      </c>
      <c r="D324" s="182" t="s">
        <v>1202</v>
      </c>
      <c r="E324" s="182"/>
      <c r="F324" s="70"/>
      <c r="G324" s="70"/>
      <c r="H324" s="70"/>
      <c r="I324" s="71"/>
      <c r="J324" s="119"/>
    </row>
    <row r="325" spans="3:10" s="59" customFormat="1" ht="21.6" customHeight="1">
      <c r="C325" s="281">
        <v>1</v>
      </c>
      <c r="D325" s="182" t="s">
        <v>5</v>
      </c>
      <c r="E325" s="176" t="s">
        <v>1774</v>
      </c>
      <c r="F325" s="176" t="s">
        <v>6</v>
      </c>
      <c r="G325" s="315">
        <v>1.5</v>
      </c>
      <c r="H325" s="283">
        <f>VLOOKUP(D325,upahbahan,3,FALSE)</f>
        <v>100000</v>
      </c>
      <c r="I325" s="284">
        <f>G325*H325</f>
        <v>150000</v>
      </c>
      <c r="J325" s="119"/>
    </row>
    <row r="326" spans="3:10" s="59" customFormat="1" ht="21.6" customHeight="1">
      <c r="C326" s="281">
        <v>2</v>
      </c>
      <c r="D326" s="182" t="s">
        <v>19</v>
      </c>
      <c r="E326" s="176" t="s">
        <v>1777</v>
      </c>
      <c r="F326" s="176" t="s">
        <v>6</v>
      </c>
      <c r="G326" s="315">
        <v>0.15</v>
      </c>
      <c r="H326" s="283">
        <f>VLOOKUP(D326,upahbahan,3,FALSE)</f>
        <v>160000</v>
      </c>
      <c r="I326" s="284">
        <f>G326*H326</f>
        <v>24000</v>
      </c>
      <c r="J326" s="119"/>
    </row>
    <row r="327" spans="3:10" s="59" customFormat="1" ht="21.6" customHeight="1">
      <c r="C327" s="66" t="s">
        <v>1208</v>
      </c>
      <c r="D327" s="67"/>
      <c r="E327" s="67"/>
      <c r="F327" s="67"/>
      <c r="G327" s="67"/>
      <c r="H327" s="69"/>
      <c r="I327" s="284">
        <f>SUM(I325:I326)</f>
        <v>174000</v>
      </c>
      <c r="J327" s="119"/>
    </row>
    <row r="328" spans="3:10" s="59" customFormat="1" ht="21.6" customHeight="1">
      <c r="C328" s="290" t="s">
        <v>1209</v>
      </c>
      <c r="D328" s="182" t="s">
        <v>1210</v>
      </c>
      <c r="E328" s="182"/>
      <c r="F328" s="70"/>
      <c r="G328" s="70"/>
      <c r="H328" s="70"/>
      <c r="I328" s="71"/>
      <c r="J328" s="119"/>
    </row>
    <row r="329" spans="3:10" s="59" customFormat="1" ht="21.6" customHeight="1">
      <c r="C329" s="66" t="s">
        <v>1214</v>
      </c>
      <c r="D329" s="67"/>
      <c r="E329" s="67"/>
      <c r="F329" s="67"/>
      <c r="G329" s="67"/>
      <c r="H329" s="69"/>
      <c r="I329" s="292">
        <v>0</v>
      </c>
      <c r="J329" s="119"/>
    </row>
    <row r="330" spans="3:10" s="59" customFormat="1" ht="21.6" customHeight="1">
      <c r="C330" s="290" t="s">
        <v>1215</v>
      </c>
      <c r="D330" s="182" t="s">
        <v>1216</v>
      </c>
      <c r="E330" s="182"/>
      <c r="F330" s="70"/>
      <c r="G330" s="70"/>
      <c r="H330" s="70"/>
      <c r="I330" s="71"/>
      <c r="J330" s="119"/>
    </row>
    <row r="331" spans="3:10" s="59" customFormat="1" ht="21.6" customHeight="1">
      <c r="C331" s="66" t="s">
        <v>1217</v>
      </c>
      <c r="D331" s="67"/>
      <c r="E331" s="67"/>
      <c r="F331" s="67"/>
      <c r="G331" s="67"/>
      <c r="H331" s="69"/>
      <c r="I331" s="292">
        <v>0</v>
      </c>
      <c r="J331" s="119"/>
    </row>
    <row r="332" spans="3:10" s="59" customFormat="1" ht="21.6" customHeight="1">
      <c r="C332" s="293" t="s">
        <v>1218</v>
      </c>
      <c r="D332" s="294" t="s">
        <v>1219</v>
      </c>
      <c r="E332" s="295"/>
      <c r="F332" s="295"/>
      <c r="G332" s="295"/>
      <c r="H332" s="296"/>
      <c r="I332" s="284">
        <f>I327+I329+I331</f>
        <v>174000</v>
      </c>
      <c r="J332" s="119"/>
    </row>
    <row r="333" spans="3:10" s="59" customFormat="1" ht="21.6" customHeight="1">
      <c r="C333" s="293" t="s">
        <v>1220</v>
      </c>
      <c r="D333" s="294" t="s">
        <v>1249</v>
      </c>
      <c r="E333" s="295"/>
      <c r="F333" s="295"/>
      <c r="G333" s="296"/>
      <c r="H333" s="298">
        <v>0.1</v>
      </c>
      <c r="I333" s="284">
        <f>I332*H333</f>
        <v>17400</v>
      </c>
      <c r="J333" s="119"/>
    </row>
    <row r="334" spans="3:10" s="59" customFormat="1" ht="21.6" customHeight="1" thickBot="1">
      <c r="C334" s="299" t="s">
        <v>1221</v>
      </c>
      <c r="D334" s="300" t="s">
        <v>1222</v>
      </c>
      <c r="E334" s="301"/>
      <c r="F334" s="301"/>
      <c r="G334" s="301"/>
      <c r="H334" s="302"/>
      <c r="I334" s="303">
        <f>SUM(I332:I333)</f>
        <v>191400</v>
      </c>
      <c r="J334" s="119"/>
    </row>
    <row r="335" spans="3:10" s="119" customFormat="1" ht="21.6" customHeight="1" thickTop="1">
      <c r="C335" s="46"/>
      <c r="D335" s="47"/>
      <c r="E335" s="47"/>
      <c r="F335" s="47"/>
      <c r="G335" s="47"/>
      <c r="H335" s="47"/>
      <c r="I335" s="47"/>
    </row>
    <row r="336" spans="3:10" s="59" customFormat="1" ht="21.6" customHeight="1" thickBot="1">
      <c r="C336" s="47" t="s">
        <v>2005</v>
      </c>
      <c r="D336" s="488" t="s">
        <v>2006</v>
      </c>
      <c r="E336" s="119"/>
      <c r="F336" s="965"/>
      <c r="G336" s="965"/>
      <c r="H336" s="965"/>
      <c r="I336" s="965"/>
      <c r="J336" s="120">
        <f>ROUNDDOWN(I348,-2)</f>
        <v>210500</v>
      </c>
    </row>
    <row r="337" spans="3:10" s="59" customFormat="1" ht="21.6" customHeight="1" thickTop="1">
      <c r="C337" s="51" t="s">
        <v>1195</v>
      </c>
      <c r="D337" s="52" t="s">
        <v>1196</v>
      </c>
      <c r="E337" s="52"/>
      <c r="F337" s="52" t="s">
        <v>1197</v>
      </c>
      <c r="G337" s="52" t="s">
        <v>1198</v>
      </c>
      <c r="H337" s="52" t="s">
        <v>1199</v>
      </c>
      <c r="I337" s="53" t="s">
        <v>1200</v>
      </c>
      <c r="J337" s="1074"/>
    </row>
    <row r="338" spans="3:10" s="59" customFormat="1" ht="21.6" customHeight="1">
      <c r="C338" s="290" t="s">
        <v>1201</v>
      </c>
      <c r="D338" s="182" t="s">
        <v>1202</v>
      </c>
      <c r="E338" s="182"/>
      <c r="F338" s="70"/>
      <c r="G338" s="70"/>
      <c r="H338" s="70"/>
      <c r="I338" s="71"/>
      <c r="J338" s="119"/>
    </row>
    <row r="339" spans="3:10" s="59" customFormat="1" ht="21.6" customHeight="1">
      <c r="C339" s="281">
        <v>1</v>
      </c>
      <c r="D339" s="182" t="s">
        <v>5</v>
      </c>
      <c r="E339" s="176" t="s">
        <v>1774</v>
      </c>
      <c r="F339" s="176" t="s">
        <v>6</v>
      </c>
      <c r="G339" s="315">
        <v>1.65</v>
      </c>
      <c r="H339" s="283">
        <f>VLOOKUP(D339,upahbahan,3,FALSE)</f>
        <v>100000</v>
      </c>
      <c r="I339" s="284">
        <f>G339*H339</f>
        <v>165000</v>
      </c>
      <c r="J339" s="119"/>
    </row>
    <row r="340" spans="3:10" s="59" customFormat="1" ht="21.6" customHeight="1">
      <c r="C340" s="281">
        <v>2</v>
      </c>
      <c r="D340" s="182" t="s">
        <v>19</v>
      </c>
      <c r="E340" s="176" t="s">
        <v>1777</v>
      </c>
      <c r="F340" s="176" t="s">
        <v>6</v>
      </c>
      <c r="G340" s="315">
        <v>0.16500000000000001</v>
      </c>
      <c r="H340" s="283">
        <f>VLOOKUP(D340,upahbahan,3,FALSE)</f>
        <v>160000</v>
      </c>
      <c r="I340" s="284">
        <f>G340*H340</f>
        <v>26400</v>
      </c>
      <c r="J340" s="119"/>
    </row>
    <row r="341" spans="3:10" s="59" customFormat="1" ht="21.6" customHeight="1">
      <c r="C341" s="66" t="s">
        <v>1208</v>
      </c>
      <c r="D341" s="67"/>
      <c r="E341" s="67"/>
      <c r="F341" s="67"/>
      <c r="G341" s="67"/>
      <c r="H341" s="69"/>
      <c r="I341" s="284">
        <f>SUM(I339:I340)</f>
        <v>191400</v>
      </c>
      <c r="J341" s="119"/>
    </row>
    <row r="342" spans="3:10" s="59" customFormat="1" ht="21.6" customHeight="1">
      <c r="C342" s="290" t="s">
        <v>1209</v>
      </c>
      <c r="D342" s="182" t="s">
        <v>1210</v>
      </c>
      <c r="E342" s="182"/>
      <c r="F342" s="70"/>
      <c r="G342" s="70"/>
      <c r="H342" s="70"/>
      <c r="I342" s="71"/>
      <c r="J342" s="119"/>
    </row>
    <row r="343" spans="3:10" s="59" customFormat="1" ht="21.6" customHeight="1">
      <c r="C343" s="66" t="s">
        <v>1214</v>
      </c>
      <c r="D343" s="67"/>
      <c r="E343" s="67"/>
      <c r="F343" s="67"/>
      <c r="G343" s="67"/>
      <c r="H343" s="69"/>
      <c r="I343" s="292">
        <v>0</v>
      </c>
      <c r="J343" s="119"/>
    </row>
    <row r="344" spans="3:10" s="59" customFormat="1" ht="21.6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  <c r="J344" s="119"/>
    </row>
    <row r="345" spans="3:10" s="59" customFormat="1" ht="21.6" customHeight="1">
      <c r="C345" s="66" t="s">
        <v>1217</v>
      </c>
      <c r="D345" s="67"/>
      <c r="E345" s="67"/>
      <c r="F345" s="67"/>
      <c r="G345" s="67"/>
      <c r="H345" s="69"/>
      <c r="I345" s="292">
        <v>0</v>
      </c>
      <c r="J345" s="119"/>
    </row>
    <row r="346" spans="3:10" s="59" customFormat="1" ht="21.6" customHeight="1">
      <c r="C346" s="293" t="s">
        <v>1218</v>
      </c>
      <c r="D346" s="294" t="s">
        <v>1219</v>
      </c>
      <c r="E346" s="295"/>
      <c r="F346" s="295"/>
      <c r="G346" s="295"/>
      <c r="H346" s="296"/>
      <c r="I346" s="284">
        <f>I341+I343+I345</f>
        <v>191400</v>
      </c>
      <c r="J346" s="119"/>
    </row>
    <row r="347" spans="3:10" s="59" customFormat="1" ht="21.6" customHeight="1">
      <c r="C347" s="293" t="s">
        <v>1220</v>
      </c>
      <c r="D347" s="294" t="s">
        <v>1249</v>
      </c>
      <c r="E347" s="295"/>
      <c r="F347" s="295"/>
      <c r="G347" s="296"/>
      <c r="H347" s="298">
        <v>0.1</v>
      </c>
      <c r="I347" s="284">
        <f>I346*H347</f>
        <v>19140</v>
      </c>
      <c r="J347" s="119"/>
    </row>
    <row r="348" spans="3:10" s="59" customFormat="1" ht="21.6" customHeight="1" thickBot="1">
      <c r="C348" s="299" t="s">
        <v>1221</v>
      </c>
      <c r="D348" s="300" t="s">
        <v>1222</v>
      </c>
      <c r="E348" s="301"/>
      <c r="F348" s="301"/>
      <c r="G348" s="301"/>
      <c r="H348" s="302"/>
      <c r="I348" s="303">
        <f>SUM(I346:I347)</f>
        <v>210540</v>
      </c>
      <c r="J348" s="119"/>
    </row>
    <row r="349" spans="3:10" s="119" customFormat="1" ht="21.6" customHeight="1" thickTop="1">
      <c r="C349" s="46"/>
      <c r="D349" s="47"/>
      <c r="E349" s="47"/>
      <c r="F349" s="47"/>
      <c r="G349" s="47"/>
      <c r="H349" s="47"/>
      <c r="I349" s="47"/>
    </row>
    <row r="350" spans="3:10" s="59" customFormat="1" ht="21.6" customHeight="1" thickBot="1">
      <c r="C350" s="47" t="s">
        <v>2007</v>
      </c>
      <c r="D350" s="488" t="s">
        <v>2008</v>
      </c>
      <c r="E350" s="119"/>
      <c r="F350" s="965"/>
      <c r="G350" s="965"/>
      <c r="H350" s="965"/>
      <c r="I350" s="965"/>
      <c r="J350" s="120">
        <f>ROUNDDOWN(I362,-2)</f>
        <v>17800</v>
      </c>
    </row>
    <row r="351" spans="3:10" s="59" customFormat="1" ht="21.6" customHeight="1" thickTop="1">
      <c r="C351" s="51" t="s">
        <v>1195</v>
      </c>
      <c r="D351" s="52" t="s">
        <v>1196</v>
      </c>
      <c r="E351" s="52"/>
      <c r="F351" s="52" t="s">
        <v>1197</v>
      </c>
      <c r="G351" s="52" t="s">
        <v>1198</v>
      </c>
      <c r="H351" s="52" t="s">
        <v>1199</v>
      </c>
      <c r="I351" s="53" t="s">
        <v>1200</v>
      </c>
      <c r="J351" s="1074"/>
    </row>
    <row r="352" spans="3:10" s="59" customFormat="1" ht="21.6" customHeight="1">
      <c r="C352" s="290" t="s">
        <v>1201</v>
      </c>
      <c r="D352" s="182" t="s">
        <v>1202</v>
      </c>
      <c r="E352" s="182"/>
      <c r="F352" s="70"/>
      <c r="G352" s="70"/>
      <c r="H352" s="70"/>
      <c r="I352" s="71"/>
      <c r="J352" s="119"/>
    </row>
    <row r="353" spans="3:10" s="59" customFormat="1" ht="21.6" customHeight="1">
      <c r="C353" s="281">
        <v>1</v>
      </c>
      <c r="D353" s="182" t="s">
        <v>5</v>
      </c>
      <c r="E353" s="176" t="s">
        <v>1774</v>
      </c>
      <c r="F353" s="176" t="s">
        <v>6</v>
      </c>
      <c r="G353" s="315">
        <v>0.14000000000000001</v>
      </c>
      <c r="H353" s="283">
        <f>VLOOKUP(D353,upahbahan,3,FALSE)</f>
        <v>100000</v>
      </c>
      <c r="I353" s="284">
        <f>G353*H353</f>
        <v>14000.000000000002</v>
      </c>
      <c r="J353" s="119"/>
    </row>
    <row r="354" spans="3:10" s="59" customFormat="1" ht="21.6" customHeight="1">
      <c r="C354" s="281">
        <v>2</v>
      </c>
      <c r="D354" s="182" t="s">
        <v>19</v>
      </c>
      <c r="E354" s="176" t="s">
        <v>1777</v>
      </c>
      <c r="F354" s="176" t="s">
        <v>6</v>
      </c>
      <c r="G354" s="315">
        <v>1.4E-2</v>
      </c>
      <c r="H354" s="283">
        <f>VLOOKUP(D354,upahbahan,3,FALSE)</f>
        <v>160000</v>
      </c>
      <c r="I354" s="284">
        <f>G354*H354</f>
        <v>2240</v>
      </c>
      <c r="J354" s="119"/>
    </row>
    <row r="355" spans="3:10" s="59" customFormat="1" ht="21.6" customHeight="1">
      <c r="C355" s="66" t="s">
        <v>1208</v>
      </c>
      <c r="D355" s="67"/>
      <c r="E355" s="67"/>
      <c r="F355" s="67"/>
      <c r="G355" s="67"/>
      <c r="H355" s="69"/>
      <c r="I355" s="284">
        <f>SUM(I353:I354)</f>
        <v>16240.000000000002</v>
      </c>
      <c r="J355" s="119"/>
    </row>
    <row r="356" spans="3:10" s="59" customFormat="1" ht="21.6" customHeight="1">
      <c r="C356" s="290" t="s">
        <v>1209</v>
      </c>
      <c r="D356" s="182" t="s">
        <v>1210</v>
      </c>
      <c r="E356" s="182"/>
      <c r="F356" s="70"/>
      <c r="G356" s="70"/>
      <c r="H356" s="70"/>
      <c r="I356" s="71"/>
      <c r="J356" s="119"/>
    </row>
    <row r="357" spans="3:10" s="59" customFormat="1" ht="21.6" customHeight="1">
      <c r="C357" s="66" t="s">
        <v>1214</v>
      </c>
      <c r="D357" s="67"/>
      <c r="E357" s="67"/>
      <c r="F357" s="67"/>
      <c r="G357" s="67"/>
      <c r="H357" s="69"/>
      <c r="I357" s="292">
        <v>0</v>
      </c>
      <c r="J357" s="119"/>
    </row>
    <row r="358" spans="3:10" s="59" customFormat="1" ht="21.6" customHeight="1">
      <c r="C358" s="290" t="s">
        <v>1215</v>
      </c>
      <c r="D358" s="182" t="s">
        <v>1216</v>
      </c>
      <c r="E358" s="182"/>
      <c r="F358" s="70"/>
      <c r="G358" s="70"/>
      <c r="H358" s="70"/>
      <c r="I358" s="71"/>
      <c r="J358" s="119"/>
    </row>
    <row r="359" spans="3:10" s="59" customFormat="1" ht="21.6" customHeight="1">
      <c r="C359" s="66" t="s">
        <v>1217</v>
      </c>
      <c r="D359" s="67"/>
      <c r="E359" s="67"/>
      <c r="F359" s="67"/>
      <c r="G359" s="67"/>
      <c r="H359" s="69"/>
      <c r="I359" s="292">
        <v>0</v>
      </c>
      <c r="J359" s="119"/>
    </row>
    <row r="360" spans="3:10" s="59" customFormat="1" ht="21.6" customHeight="1">
      <c r="C360" s="293" t="s">
        <v>1218</v>
      </c>
      <c r="D360" s="294" t="s">
        <v>1219</v>
      </c>
      <c r="E360" s="295"/>
      <c r="F360" s="295"/>
      <c r="G360" s="295"/>
      <c r="H360" s="296"/>
      <c r="I360" s="284">
        <f>I355+I357+I359</f>
        <v>16240.000000000002</v>
      </c>
      <c r="J360" s="119"/>
    </row>
    <row r="361" spans="3:10" s="59" customFormat="1" ht="21.6" customHeight="1">
      <c r="C361" s="293" t="s">
        <v>1220</v>
      </c>
      <c r="D361" s="294" t="s">
        <v>1249</v>
      </c>
      <c r="E361" s="295"/>
      <c r="F361" s="295"/>
      <c r="G361" s="296"/>
      <c r="H361" s="298">
        <v>0.1</v>
      </c>
      <c r="I361" s="284">
        <f>I360*H361</f>
        <v>1624.0000000000002</v>
      </c>
      <c r="J361" s="119"/>
    </row>
    <row r="362" spans="3:10" s="59" customFormat="1" ht="21.6" customHeight="1" thickBot="1">
      <c r="C362" s="299" t="s">
        <v>1221</v>
      </c>
      <c r="D362" s="300" t="s">
        <v>1222</v>
      </c>
      <c r="E362" s="301"/>
      <c r="F362" s="301"/>
      <c r="G362" s="301"/>
      <c r="H362" s="302"/>
      <c r="I362" s="303">
        <f>SUM(I360:I361)</f>
        <v>17864.000000000004</v>
      </c>
      <c r="J362" s="119"/>
    </row>
    <row r="363" spans="3:10" s="119" customFormat="1" ht="21.6" customHeight="1" thickTop="1">
      <c r="C363" s="46"/>
      <c r="D363" s="47"/>
      <c r="E363" s="47"/>
      <c r="F363" s="47"/>
      <c r="G363" s="47"/>
      <c r="H363" s="47"/>
      <c r="I363" s="47"/>
    </row>
    <row r="364" spans="3:10" s="119" customFormat="1" ht="21.6" customHeight="1">
      <c r="C364" s="46"/>
      <c r="D364" s="47"/>
      <c r="E364" s="47"/>
      <c r="F364" s="47"/>
      <c r="G364" s="47"/>
      <c r="H364" s="47"/>
      <c r="I364" s="47"/>
    </row>
    <row r="365" spans="3:10" s="119" customFormat="1" ht="21.6" customHeight="1">
      <c r="C365" s="46" t="s">
        <v>2009</v>
      </c>
      <c r="D365" s="47" t="s">
        <v>1971</v>
      </c>
      <c r="E365" s="47"/>
      <c r="F365" s="47"/>
      <c r="G365" s="47"/>
      <c r="H365" s="47"/>
      <c r="I365" s="47"/>
    </row>
    <row r="366" spans="3:10" s="59" customFormat="1" ht="21.6" customHeight="1" thickBot="1">
      <c r="C366" s="47" t="s">
        <v>2010</v>
      </c>
      <c r="D366" s="488" t="s">
        <v>2011</v>
      </c>
      <c r="E366" s="119"/>
      <c r="F366" s="965"/>
      <c r="G366" s="965"/>
      <c r="H366" s="965"/>
      <c r="I366" s="965"/>
      <c r="J366" s="120">
        <f>ROUNDDOWN(I379,-2)</f>
        <v>229800</v>
      </c>
    </row>
    <row r="367" spans="3:10" s="59" customFormat="1" ht="21.6" customHeight="1" thickTop="1">
      <c r="C367" s="51" t="s">
        <v>1195</v>
      </c>
      <c r="D367" s="52" t="s">
        <v>1196</v>
      </c>
      <c r="E367" s="52"/>
      <c r="F367" s="52" t="s">
        <v>1197</v>
      </c>
      <c r="G367" s="52" t="s">
        <v>1198</v>
      </c>
      <c r="H367" s="52" t="s">
        <v>1199</v>
      </c>
      <c r="I367" s="53" t="s">
        <v>1200</v>
      </c>
      <c r="J367" s="1074"/>
    </row>
    <row r="368" spans="3:10" s="59" customFormat="1" ht="21.6" customHeight="1">
      <c r="C368" s="290" t="s">
        <v>1201</v>
      </c>
      <c r="D368" s="182" t="s">
        <v>1202</v>
      </c>
      <c r="E368" s="182"/>
      <c r="F368" s="70"/>
      <c r="G368" s="70"/>
      <c r="H368" s="70"/>
      <c r="I368" s="71"/>
      <c r="J368" s="119"/>
    </row>
    <row r="369" spans="3:10" s="59" customFormat="1" ht="21.6" customHeight="1">
      <c r="C369" s="281">
        <v>1</v>
      </c>
      <c r="D369" s="182" t="s">
        <v>5</v>
      </c>
      <c r="E369" s="176" t="s">
        <v>1774</v>
      </c>
      <c r="F369" s="176" t="s">
        <v>6</v>
      </c>
      <c r="G369" s="315">
        <v>0.3024</v>
      </c>
      <c r="H369" s="283">
        <f>VLOOKUP(D369,upahbahan,3,FALSE)</f>
        <v>100000</v>
      </c>
      <c r="I369" s="284">
        <f>G369*H369</f>
        <v>30240</v>
      </c>
      <c r="J369" s="119"/>
    </row>
    <row r="370" spans="3:10" s="59" customFormat="1" ht="21.6" customHeight="1">
      <c r="C370" s="281">
        <v>2</v>
      </c>
      <c r="D370" s="182" t="s">
        <v>19</v>
      </c>
      <c r="E370" s="176" t="s">
        <v>1777</v>
      </c>
      <c r="F370" s="176" t="s">
        <v>6</v>
      </c>
      <c r="G370" s="315">
        <v>3.0200000000000001E-2</v>
      </c>
      <c r="H370" s="283">
        <f>VLOOKUP(D370,upahbahan,3,FALSE)</f>
        <v>160000</v>
      </c>
      <c r="I370" s="284">
        <f>G370*H370</f>
        <v>4832</v>
      </c>
      <c r="J370" s="119"/>
    </row>
    <row r="371" spans="3:10" s="59" customFormat="1" ht="21.6" customHeight="1">
      <c r="C371" s="66" t="s">
        <v>1208</v>
      </c>
      <c r="D371" s="67"/>
      <c r="E371" s="67"/>
      <c r="F371" s="67"/>
      <c r="G371" s="67"/>
      <c r="H371" s="69"/>
      <c r="I371" s="284">
        <f>SUM(I369:I370)</f>
        <v>35072</v>
      </c>
      <c r="J371" s="119"/>
    </row>
    <row r="372" spans="3:10" s="59" customFormat="1" ht="21.6" customHeight="1">
      <c r="C372" s="290" t="s">
        <v>1209</v>
      </c>
      <c r="D372" s="182" t="s">
        <v>1210</v>
      </c>
      <c r="E372" s="182"/>
      <c r="F372" s="70"/>
      <c r="G372" s="70"/>
      <c r="H372" s="70"/>
      <c r="I372" s="71"/>
      <c r="J372" s="119"/>
    </row>
    <row r="373" spans="3:10" s="59" customFormat="1" ht="21.6" customHeight="1">
      <c r="C373" s="66" t="s">
        <v>1214</v>
      </c>
      <c r="D373" s="67"/>
      <c r="E373" s="67"/>
      <c r="F373" s="67"/>
      <c r="G373" s="67"/>
      <c r="H373" s="69"/>
      <c r="I373" s="292">
        <v>0</v>
      </c>
      <c r="J373" s="119"/>
    </row>
    <row r="374" spans="3:10" s="59" customFormat="1" ht="21.6" customHeight="1">
      <c r="C374" s="290" t="s">
        <v>1215</v>
      </c>
      <c r="D374" s="182" t="s">
        <v>1216</v>
      </c>
      <c r="E374" s="182"/>
      <c r="F374" s="70"/>
      <c r="G374" s="70"/>
      <c r="H374" s="70"/>
      <c r="I374" s="71"/>
      <c r="J374" s="119"/>
    </row>
    <row r="375" spans="3:10" s="59" customFormat="1" ht="21.6" customHeight="1">
      <c r="C375" s="290">
        <v>1</v>
      </c>
      <c r="D375" s="182" t="s">
        <v>1111</v>
      </c>
      <c r="E375" s="182"/>
      <c r="F375" s="182" t="s">
        <v>1974</v>
      </c>
      <c r="G375" s="182">
        <v>7.5600000000000001E-2</v>
      </c>
      <c r="H375" s="183">
        <f>VLOOKUP(D375,upahbahan,3,FALSE)</f>
        <v>2300000</v>
      </c>
      <c r="I375" s="325">
        <f>G375*H375</f>
        <v>173880</v>
      </c>
      <c r="J375" s="48"/>
    </row>
    <row r="376" spans="3:10" s="59" customFormat="1" ht="21.6" customHeight="1">
      <c r="C376" s="66" t="s">
        <v>1217</v>
      </c>
      <c r="D376" s="67"/>
      <c r="E376" s="67"/>
      <c r="F376" s="67"/>
      <c r="G376" s="67"/>
      <c r="H376" s="69"/>
      <c r="I376" s="292">
        <f>SUM(I375)</f>
        <v>173880</v>
      </c>
      <c r="J376" s="119"/>
    </row>
    <row r="377" spans="3:10" s="59" customFormat="1" ht="21.6" customHeight="1">
      <c r="C377" s="293" t="s">
        <v>1218</v>
      </c>
      <c r="D377" s="294" t="s">
        <v>1219</v>
      </c>
      <c r="E377" s="295"/>
      <c r="F377" s="295"/>
      <c r="G377" s="295"/>
      <c r="H377" s="296"/>
      <c r="I377" s="284">
        <f>I371+I373+I376</f>
        <v>208952</v>
      </c>
      <c r="J377" s="119"/>
    </row>
    <row r="378" spans="3:10" s="59" customFormat="1" ht="21.6" customHeight="1">
      <c r="C378" s="293" t="s">
        <v>1220</v>
      </c>
      <c r="D378" s="294" t="s">
        <v>1249</v>
      </c>
      <c r="E378" s="295"/>
      <c r="F378" s="295"/>
      <c r="G378" s="296"/>
      <c r="H378" s="298">
        <v>0.1</v>
      </c>
      <c r="I378" s="284">
        <f>I377*H378</f>
        <v>20895.2</v>
      </c>
      <c r="J378" s="119"/>
    </row>
    <row r="379" spans="3:10" s="59" customFormat="1" ht="21.6" customHeight="1" thickBot="1">
      <c r="C379" s="299" t="s">
        <v>1221</v>
      </c>
      <c r="D379" s="300" t="s">
        <v>1222</v>
      </c>
      <c r="E379" s="301"/>
      <c r="F379" s="301"/>
      <c r="G379" s="301"/>
      <c r="H379" s="302"/>
      <c r="I379" s="303">
        <f>SUM(I377:I378)</f>
        <v>229847.2</v>
      </c>
      <c r="J379" s="119"/>
    </row>
    <row r="380" spans="3:10" s="119" customFormat="1" ht="21.6" customHeight="1" thickTop="1">
      <c r="C380" s="46"/>
      <c r="D380" s="47"/>
      <c r="E380" s="47"/>
      <c r="F380" s="47"/>
      <c r="G380" s="47"/>
      <c r="H380" s="47"/>
      <c r="I380" s="47"/>
    </row>
    <row r="381" spans="3:10" s="59" customFormat="1" ht="21.6" customHeight="1" thickBot="1">
      <c r="C381" s="47" t="s">
        <v>2012</v>
      </c>
      <c r="D381" s="488" t="s">
        <v>2013</v>
      </c>
      <c r="E381" s="119"/>
      <c r="F381" s="965"/>
      <c r="G381" s="965"/>
      <c r="H381" s="965"/>
      <c r="I381" s="965"/>
      <c r="J381" s="120">
        <f>ROUNDDOWN(I394,-2)</f>
        <v>250200</v>
      </c>
    </row>
    <row r="382" spans="3:10" s="59" customFormat="1" ht="21.6" customHeight="1" thickTop="1">
      <c r="C382" s="51" t="s">
        <v>1195</v>
      </c>
      <c r="D382" s="52" t="s">
        <v>1196</v>
      </c>
      <c r="E382" s="52"/>
      <c r="F382" s="52" t="s">
        <v>1197</v>
      </c>
      <c r="G382" s="52" t="s">
        <v>1198</v>
      </c>
      <c r="H382" s="52" t="s">
        <v>1199</v>
      </c>
      <c r="I382" s="53" t="s">
        <v>1200</v>
      </c>
      <c r="J382" s="1074"/>
    </row>
    <row r="383" spans="3:10" s="59" customFormat="1" ht="21.6" customHeight="1">
      <c r="C383" s="290" t="s">
        <v>1201</v>
      </c>
      <c r="D383" s="182" t="s">
        <v>1202</v>
      </c>
      <c r="E383" s="182"/>
      <c r="F383" s="70"/>
      <c r="G383" s="70"/>
      <c r="H383" s="70"/>
      <c r="I383" s="71"/>
      <c r="J383" s="119"/>
    </row>
    <row r="384" spans="3:10" s="59" customFormat="1" ht="21.6" customHeight="1">
      <c r="C384" s="281">
        <v>1</v>
      </c>
      <c r="D384" s="182" t="s">
        <v>5</v>
      </c>
      <c r="E384" s="176" t="s">
        <v>1774</v>
      </c>
      <c r="F384" s="176" t="s">
        <v>6</v>
      </c>
      <c r="G384" s="315">
        <v>0.39500000000000002</v>
      </c>
      <c r="H384" s="283">
        <f>VLOOKUP(D384,upahbahan,3,FALSE)</f>
        <v>100000</v>
      </c>
      <c r="I384" s="284">
        <f>G384*H384</f>
        <v>39500</v>
      </c>
      <c r="J384" s="119"/>
    </row>
    <row r="385" spans="3:10" s="59" customFormat="1" ht="21.6" customHeight="1">
      <c r="C385" s="281">
        <v>2</v>
      </c>
      <c r="D385" s="182" t="s">
        <v>19</v>
      </c>
      <c r="E385" s="176" t="s">
        <v>1777</v>
      </c>
      <c r="F385" s="176" t="s">
        <v>6</v>
      </c>
      <c r="G385" s="315">
        <v>3.95E-2</v>
      </c>
      <c r="H385" s="283">
        <f>VLOOKUP(D385,upahbahan,3,FALSE)</f>
        <v>160000</v>
      </c>
      <c r="I385" s="284">
        <f>G385*H385</f>
        <v>6320</v>
      </c>
      <c r="J385" s="119"/>
    </row>
    <row r="386" spans="3:10" s="59" customFormat="1" ht="21.6" customHeight="1">
      <c r="C386" s="66" t="s">
        <v>1208</v>
      </c>
      <c r="D386" s="67"/>
      <c r="E386" s="67"/>
      <c r="F386" s="67"/>
      <c r="G386" s="67"/>
      <c r="H386" s="69"/>
      <c r="I386" s="284">
        <f>SUM(I384:I385)</f>
        <v>45820</v>
      </c>
      <c r="J386" s="119"/>
    </row>
    <row r="387" spans="3:10" s="59" customFormat="1" ht="21.6" customHeight="1">
      <c r="C387" s="290" t="s">
        <v>1209</v>
      </c>
      <c r="D387" s="182" t="s">
        <v>1210</v>
      </c>
      <c r="E387" s="182"/>
      <c r="F387" s="70"/>
      <c r="G387" s="70"/>
      <c r="H387" s="70"/>
      <c r="I387" s="71"/>
      <c r="J387" s="119"/>
    </row>
    <row r="388" spans="3:10" s="59" customFormat="1" ht="21.6" customHeight="1">
      <c r="C388" s="66" t="s">
        <v>1214</v>
      </c>
      <c r="D388" s="67"/>
      <c r="E388" s="67"/>
      <c r="F388" s="67"/>
      <c r="G388" s="67"/>
      <c r="H388" s="69"/>
      <c r="I388" s="292">
        <v>0</v>
      </c>
      <c r="J388" s="119"/>
    </row>
    <row r="389" spans="3:10" s="59" customFormat="1" ht="21.6" customHeight="1">
      <c r="C389" s="290" t="s">
        <v>1215</v>
      </c>
      <c r="D389" s="182" t="s">
        <v>1216</v>
      </c>
      <c r="E389" s="182"/>
      <c r="F389" s="70"/>
      <c r="G389" s="70"/>
      <c r="H389" s="70"/>
      <c r="I389" s="71"/>
      <c r="J389" s="119"/>
    </row>
    <row r="390" spans="3:10" s="59" customFormat="1" ht="21.6" customHeight="1">
      <c r="C390" s="290">
        <v>1</v>
      </c>
      <c r="D390" s="182" t="s">
        <v>1111</v>
      </c>
      <c r="E390" s="182"/>
      <c r="F390" s="182" t="s">
        <v>1974</v>
      </c>
      <c r="G390" s="186">
        <v>7.9000000000000001E-2</v>
      </c>
      <c r="H390" s="183">
        <f>VLOOKUP(D390,upahbahan,3,FALSE)</f>
        <v>2300000</v>
      </c>
      <c r="I390" s="325">
        <f>G390*H390</f>
        <v>181700</v>
      </c>
      <c r="J390" s="48"/>
    </row>
    <row r="391" spans="3:10" s="59" customFormat="1" ht="21.6" customHeight="1">
      <c r="C391" s="66" t="s">
        <v>1217</v>
      </c>
      <c r="D391" s="67"/>
      <c r="E391" s="67"/>
      <c r="F391" s="67"/>
      <c r="G391" s="67"/>
      <c r="H391" s="69"/>
      <c r="I391" s="292">
        <f>SUM(I390)</f>
        <v>181700</v>
      </c>
      <c r="J391" s="119"/>
    </row>
    <row r="392" spans="3:10" s="59" customFormat="1" ht="21.6" customHeight="1">
      <c r="C392" s="293" t="s">
        <v>1218</v>
      </c>
      <c r="D392" s="294" t="s">
        <v>1219</v>
      </c>
      <c r="E392" s="295"/>
      <c r="F392" s="295"/>
      <c r="G392" s="295"/>
      <c r="H392" s="296"/>
      <c r="I392" s="284">
        <f>I386+I388+I391</f>
        <v>227520</v>
      </c>
      <c r="J392" s="119"/>
    </row>
    <row r="393" spans="3:10" s="59" customFormat="1" ht="21.6" customHeight="1">
      <c r="C393" s="293" t="s">
        <v>1220</v>
      </c>
      <c r="D393" s="294" t="s">
        <v>1249</v>
      </c>
      <c r="E393" s="295"/>
      <c r="F393" s="295"/>
      <c r="G393" s="296"/>
      <c r="H393" s="298">
        <v>0.1</v>
      </c>
      <c r="I393" s="284">
        <f>I392*H393</f>
        <v>22752</v>
      </c>
      <c r="J393" s="119"/>
    </row>
    <row r="394" spans="3:10" s="59" customFormat="1" ht="21.6" customHeight="1" thickBot="1">
      <c r="C394" s="299" t="s">
        <v>1221</v>
      </c>
      <c r="D394" s="300" t="s">
        <v>1222</v>
      </c>
      <c r="E394" s="301"/>
      <c r="F394" s="301"/>
      <c r="G394" s="301"/>
      <c r="H394" s="302"/>
      <c r="I394" s="303">
        <f>SUM(I392:I393)</f>
        <v>250272</v>
      </c>
      <c r="J394" s="119"/>
    </row>
    <row r="395" spans="3:10" s="119" customFormat="1" ht="21.6" customHeight="1" thickTop="1">
      <c r="C395" s="46"/>
      <c r="D395" s="47"/>
      <c r="E395" s="47"/>
      <c r="F395" s="47"/>
      <c r="G395" s="47"/>
      <c r="H395" s="47"/>
      <c r="I395" s="47"/>
    </row>
    <row r="396" spans="3:10" s="59" customFormat="1" ht="21.6" customHeight="1" thickBot="1">
      <c r="C396" s="47" t="s">
        <v>2014</v>
      </c>
      <c r="D396" s="488" t="s">
        <v>2015</v>
      </c>
      <c r="E396" s="119"/>
      <c r="F396" s="965"/>
      <c r="G396" s="965"/>
      <c r="H396" s="965"/>
      <c r="I396" s="965"/>
      <c r="J396" s="120">
        <f>ROUNDDOWN(I409,-2)</f>
        <v>276800</v>
      </c>
    </row>
    <row r="397" spans="3:10" s="59" customFormat="1" ht="21.6" customHeight="1" thickTop="1">
      <c r="C397" s="51" t="s">
        <v>1195</v>
      </c>
      <c r="D397" s="52" t="s">
        <v>1196</v>
      </c>
      <c r="E397" s="52"/>
      <c r="F397" s="52" t="s">
        <v>1197</v>
      </c>
      <c r="G397" s="52" t="s">
        <v>1198</v>
      </c>
      <c r="H397" s="52" t="s">
        <v>1199</v>
      </c>
      <c r="I397" s="53" t="s">
        <v>1200</v>
      </c>
      <c r="J397" s="1074"/>
    </row>
    <row r="398" spans="3:10" s="59" customFormat="1" ht="21.6" customHeight="1">
      <c r="C398" s="290" t="s">
        <v>1201</v>
      </c>
      <c r="D398" s="182" t="s">
        <v>1202</v>
      </c>
      <c r="E398" s="182"/>
      <c r="F398" s="70"/>
      <c r="G398" s="70"/>
      <c r="H398" s="70"/>
      <c r="I398" s="71"/>
      <c r="J398" s="119"/>
    </row>
    <row r="399" spans="3:10" s="59" customFormat="1" ht="21.6" customHeight="1">
      <c r="C399" s="281">
        <v>1</v>
      </c>
      <c r="D399" s="182" t="s">
        <v>5</v>
      </c>
      <c r="E399" s="176" t="s">
        <v>1774</v>
      </c>
      <c r="F399" s="176" t="s">
        <v>6</v>
      </c>
      <c r="G399" s="315">
        <v>0.504</v>
      </c>
      <c r="H399" s="283">
        <f>VLOOKUP(D399,upahbahan,3,FALSE)</f>
        <v>100000</v>
      </c>
      <c r="I399" s="284">
        <f>G399*H399</f>
        <v>50400</v>
      </c>
      <c r="J399" s="119"/>
    </row>
    <row r="400" spans="3:10" s="59" customFormat="1" ht="21.6" customHeight="1">
      <c r="C400" s="281">
        <v>2</v>
      </c>
      <c r="D400" s="182" t="s">
        <v>19</v>
      </c>
      <c r="E400" s="176" t="s">
        <v>1777</v>
      </c>
      <c r="F400" s="176" t="s">
        <v>6</v>
      </c>
      <c r="G400" s="315">
        <v>5.04E-2</v>
      </c>
      <c r="H400" s="283">
        <f>VLOOKUP(D400,upahbahan,3,FALSE)</f>
        <v>160000</v>
      </c>
      <c r="I400" s="284">
        <f>G400*H400</f>
        <v>8064</v>
      </c>
      <c r="J400" s="119"/>
    </row>
    <row r="401" spans="3:10" s="59" customFormat="1" ht="21.6" customHeight="1">
      <c r="C401" s="66" t="s">
        <v>1208</v>
      </c>
      <c r="D401" s="67"/>
      <c r="E401" s="67"/>
      <c r="F401" s="67"/>
      <c r="G401" s="67"/>
      <c r="H401" s="69"/>
      <c r="I401" s="284">
        <f>SUM(I399:I400)</f>
        <v>58464</v>
      </c>
      <c r="J401" s="119"/>
    </row>
    <row r="402" spans="3:10" s="59" customFormat="1" ht="21.6" customHeight="1">
      <c r="C402" s="290" t="s">
        <v>1209</v>
      </c>
      <c r="D402" s="182" t="s">
        <v>1210</v>
      </c>
      <c r="E402" s="182"/>
      <c r="F402" s="70"/>
      <c r="G402" s="70"/>
      <c r="H402" s="70"/>
      <c r="I402" s="71"/>
      <c r="J402" s="119"/>
    </row>
    <row r="403" spans="3:10" s="59" customFormat="1" ht="21.6" customHeight="1">
      <c r="C403" s="66" t="s">
        <v>1214</v>
      </c>
      <c r="D403" s="67"/>
      <c r="E403" s="67"/>
      <c r="F403" s="67"/>
      <c r="G403" s="67"/>
      <c r="H403" s="69"/>
      <c r="I403" s="292">
        <v>0</v>
      </c>
      <c r="J403" s="119"/>
    </row>
    <row r="404" spans="3:10" s="59" customFormat="1" ht="21.6" customHeight="1">
      <c r="C404" s="290" t="s">
        <v>1215</v>
      </c>
      <c r="D404" s="182" t="s">
        <v>1216</v>
      </c>
      <c r="E404" s="182"/>
      <c r="F404" s="70"/>
      <c r="G404" s="70"/>
      <c r="H404" s="70"/>
      <c r="I404" s="71"/>
      <c r="J404" s="119"/>
    </row>
    <row r="405" spans="3:10" s="59" customFormat="1" ht="21.6" customHeight="1">
      <c r="C405" s="290">
        <v>1</v>
      </c>
      <c r="D405" s="182" t="s">
        <v>1111</v>
      </c>
      <c r="E405" s="182"/>
      <c r="F405" s="182" t="s">
        <v>1974</v>
      </c>
      <c r="G405" s="186">
        <v>8.4000000000000005E-2</v>
      </c>
      <c r="H405" s="183">
        <f>VLOOKUP(D405,upahbahan,3,FALSE)</f>
        <v>2300000</v>
      </c>
      <c r="I405" s="325">
        <f>G405*H405</f>
        <v>193200</v>
      </c>
      <c r="J405" s="48"/>
    </row>
    <row r="406" spans="3:10" s="59" customFormat="1" ht="21.6" customHeight="1">
      <c r="C406" s="66" t="s">
        <v>1217</v>
      </c>
      <c r="D406" s="67"/>
      <c r="E406" s="67"/>
      <c r="F406" s="67"/>
      <c r="G406" s="67"/>
      <c r="H406" s="69"/>
      <c r="I406" s="292">
        <f>SUM(I405)</f>
        <v>193200</v>
      </c>
      <c r="J406" s="119"/>
    </row>
    <row r="407" spans="3:10" s="59" customFormat="1" ht="21.6" customHeight="1">
      <c r="C407" s="293" t="s">
        <v>1218</v>
      </c>
      <c r="D407" s="294" t="s">
        <v>1219</v>
      </c>
      <c r="E407" s="295"/>
      <c r="F407" s="295"/>
      <c r="G407" s="295"/>
      <c r="H407" s="296"/>
      <c r="I407" s="284">
        <f>I401+I403+I406</f>
        <v>251664</v>
      </c>
      <c r="J407" s="119"/>
    </row>
    <row r="408" spans="3:10" s="59" customFormat="1" ht="21.6" customHeight="1">
      <c r="C408" s="293" t="s">
        <v>1220</v>
      </c>
      <c r="D408" s="294" t="s">
        <v>1249</v>
      </c>
      <c r="E408" s="295"/>
      <c r="F408" s="295"/>
      <c r="G408" s="296"/>
      <c r="H408" s="298">
        <v>0.1</v>
      </c>
      <c r="I408" s="284">
        <f>I407*H408</f>
        <v>25166.400000000001</v>
      </c>
      <c r="J408" s="119"/>
    </row>
    <row r="409" spans="3:10" s="59" customFormat="1" ht="21.6" customHeight="1" thickBot="1">
      <c r="C409" s="299" t="s">
        <v>1221</v>
      </c>
      <c r="D409" s="300" t="s">
        <v>1222</v>
      </c>
      <c r="E409" s="301"/>
      <c r="F409" s="301"/>
      <c r="G409" s="301"/>
      <c r="H409" s="302"/>
      <c r="I409" s="303">
        <f>SUM(I407:I408)</f>
        <v>276830.40000000002</v>
      </c>
      <c r="J409" s="119"/>
    </row>
    <row r="410" spans="3:10" s="119" customFormat="1" ht="21.6" customHeight="1" thickTop="1">
      <c r="C410" s="46"/>
      <c r="D410" s="47"/>
      <c r="E410" s="47"/>
      <c r="F410" s="47"/>
      <c r="G410" s="47"/>
      <c r="H410" s="47"/>
      <c r="I410" s="47"/>
    </row>
    <row r="411" spans="3:10" s="59" customFormat="1" ht="21.6" customHeight="1" thickBot="1">
      <c r="C411" s="47" t="s">
        <v>2016</v>
      </c>
      <c r="D411" s="488" t="s">
        <v>2017</v>
      </c>
      <c r="E411" s="119"/>
      <c r="F411" s="965"/>
      <c r="G411" s="965"/>
      <c r="H411" s="965"/>
      <c r="I411" s="965"/>
      <c r="J411" s="120">
        <f>ROUNDDOWN(I424,-2)</f>
        <v>30500</v>
      </c>
    </row>
    <row r="412" spans="3:10" s="59" customFormat="1" ht="21.6" customHeight="1" thickTop="1">
      <c r="C412" s="51" t="s">
        <v>1195</v>
      </c>
      <c r="D412" s="52" t="s">
        <v>1196</v>
      </c>
      <c r="E412" s="52"/>
      <c r="F412" s="52" t="s">
        <v>1197</v>
      </c>
      <c r="G412" s="52" t="s">
        <v>1198</v>
      </c>
      <c r="H412" s="52" t="s">
        <v>1199</v>
      </c>
      <c r="I412" s="53" t="s">
        <v>1200</v>
      </c>
      <c r="J412" s="1074"/>
    </row>
    <row r="413" spans="3:10" s="59" customFormat="1" ht="21.6" customHeight="1">
      <c r="C413" s="290" t="s">
        <v>1201</v>
      </c>
      <c r="D413" s="182" t="s">
        <v>1202</v>
      </c>
      <c r="E413" s="182"/>
      <c r="F413" s="70"/>
      <c r="G413" s="70"/>
      <c r="H413" s="70"/>
      <c r="I413" s="71"/>
      <c r="J413" s="119"/>
    </row>
    <row r="414" spans="3:10" s="59" customFormat="1" ht="21.6" customHeight="1">
      <c r="C414" s="281">
        <v>1</v>
      </c>
      <c r="D414" s="182" t="s">
        <v>5</v>
      </c>
      <c r="E414" s="176" t="s">
        <v>1774</v>
      </c>
      <c r="F414" s="176" t="s">
        <v>6</v>
      </c>
      <c r="G414" s="315">
        <v>0.14000000000000001</v>
      </c>
      <c r="H414" s="283">
        <f>VLOOKUP(D414,upahbahan,3,FALSE)</f>
        <v>100000</v>
      </c>
      <c r="I414" s="284">
        <f>G414*H414</f>
        <v>14000.000000000002</v>
      </c>
      <c r="J414" s="119"/>
    </row>
    <row r="415" spans="3:10" s="59" customFormat="1" ht="21.6" customHeight="1">
      <c r="C415" s="281">
        <v>2</v>
      </c>
      <c r="D415" s="182" t="s">
        <v>19</v>
      </c>
      <c r="E415" s="176" t="s">
        <v>1777</v>
      </c>
      <c r="F415" s="176" t="s">
        <v>6</v>
      </c>
      <c r="G415" s="315">
        <v>1.4E-2</v>
      </c>
      <c r="H415" s="283">
        <f>VLOOKUP(D415,upahbahan,3,FALSE)</f>
        <v>160000</v>
      </c>
      <c r="I415" s="284">
        <f>G415*H415</f>
        <v>2240</v>
      </c>
      <c r="J415" s="119"/>
    </row>
    <row r="416" spans="3:10" s="59" customFormat="1" ht="21.6" customHeight="1">
      <c r="C416" s="66" t="s">
        <v>1208</v>
      </c>
      <c r="D416" s="67"/>
      <c r="E416" s="67"/>
      <c r="F416" s="67"/>
      <c r="G416" s="67"/>
      <c r="H416" s="69"/>
      <c r="I416" s="284">
        <f>SUM(I414:I415)</f>
        <v>16240.000000000002</v>
      </c>
      <c r="J416" s="119"/>
    </row>
    <row r="417" spans="3:10" s="59" customFormat="1" ht="21.6" customHeight="1">
      <c r="C417" s="290" t="s">
        <v>1209</v>
      </c>
      <c r="D417" s="182" t="s">
        <v>1210</v>
      </c>
      <c r="E417" s="182"/>
      <c r="F417" s="70"/>
      <c r="G417" s="70"/>
      <c r="H417" s="70"/>
      <c r="I417" s="71"/>
      <c r="J417" s="119"/>
    </row>
    <row r="418" spans="3:10" s="59" customFormat="1" ht="21.6" customHeight="1">
      <c r="C418" s="66" t="s">
        <v>1214</v>
      </c>
      <c r="D418" s="67"/>
      <c r="E418" s="67"/>
      <c r="F418" s="67"/>
      <c r="G418" s="67"/>
      <c r="H418" s="69"/>
      <c r="I418" s="292">
        <v>0</v>
      </c>
      <c r="J418" s="119"/>
    </row>
    <row r="419" spans="3:10" s="59" customFormat="1" ht="21.6" customHeight="1">
      <c r="C419" s="290" t="s">
        <v>1215</v>
      </c>
      <c r="D419" s="182" t="s">
        <v>1216</v>
      </c>
      <c r="E419" s="182"/>
      <c r="F419" s="70"/>
      <c r="G419" s="70"/>
      <c r="H419" s="70"/>
      <c r="I419" s="71"/>
      <c r="J419" s="119"/>
    </row>
    <row r="420" spans="3:10" s="59" customFormat="1" ht="21.6" customHeight="1">
      <c r="C420" s="290">
        <v>1</v>
      </c>
      <c r="D420" s="182" t="s">
        <v>1111</v>
      </c>
      <c r="E420" s="182"/>
      <c r="F420" s="182" t="s">
        <v>1974</v>
      </c>
      <c r="G420" s="186">
        <v>5.0000000000000001E-3</v>
      </c>
      <c r="H420" s="183">
        <f>VLOOKUP(D420,upahbahan,3,FALSE)</f>
        <v>2300000</v>
      </c>
      <c r="I420" s="325">
        <f>G420*H420</f>
        <v>11500</v>
      </c>
      <c r="J420" s="48"/>
    </row>
    <row r="421" spans="3:10" s="59" customFormat="1" ht="21.6" customHeight="1">
      <c r="C421" s="66" t="s">
        <v>1217</v>
      </c>
      <c r="D421" s="67"/>
      <c r="E421" s="67"/>
      <c r="F421" s="67"/>
      <c r="G421" s="67"/>
      <c r="H421" s="69"/>
      <c r="I421" s="292">
        <f>SUM(I420)</f>
        <v>11500</v>
      </c>
      <c r="J421" s="119"/>
    </row>
    <row r="422" spans="3:10" s="59" customFormat="1" ht="21.6" customHeight="1">
      <c r="C422" s="293" t="s">
        <v>1218</v>
      </c>
      <c r="D422" s="294" t="s">
        <v>1219</v>
      </c>
      <c r="E422" s="295"/>
      <c r="F422" s="295"/>
      <c r="G422" s="295"/>
      <c r="H422" s="296"/>
      <c r="I422" s="284">
        <f>I416+I418+I421</f>
        <v>27740</v>
      </c>
      <c r="J422" s="119"/>
    </row>
    <row r="423" spans="3:10" s="59" customFormat="1" ht="21.6" customHeight="1">
      <c r="C423" s="293" t="s">
        <v>1220</v>
      </c>
      <c r="D423" s="294" t="s">
        <v>1249</v>
      </c>
      <c r="E423" s="295"/>
      <c r="F423" s="295"/>
      <c r="G423" s="296"/>
      <c r="H423" s="298">
        <v>0.1</v>
      </c>
      <c r="I423" s="284">
        <f>I422*H423</f>
        <v>2774</v>
      </c>
      <c r="J423" s="119"/>
    </row>
    <row r="424" spans="3:10" s="59" customFormat="1" ht="21.6" customHeight="1" thickBot="1">
      <c r="C424" s="299" t="s">
        <v>1221</v>
      </c>
      <c r="D424" s="300" t="s">
        <v>1222</v>
      </c>
      <c r="E424" s="301"/>
      <c r="F424" s="301"/>
      <c r="G424" s="301"/>
      <c r="H424" s="302"/>
      <c r="I424" s="303">
        <f>SUM(I422:I423)</f>
        <v>30514</v>
      </c>
      <c r="J424" s="119"/>
    </row>
    <row r="425" spans="3:10" s="119" customFormat="1" ht="21.6" customHeight="1" thickTop="1">
      <c r="C425" s="46"/>
      <c r="D425" s="47"/>
      <c r="E425" s="47"/>
      <c r="F425" s="47"/>
      <c r="G425" s="47"/>
      <c r="H425" s="47"/>
      <c r="I425" s="47"/>
    </row>
    <row r="426" spans="3:10" s="119" customFormat="1" ht="21.6" customHeight="1">
      <c r="C426" s="46" t="s">
        <v>2018</v>
      </c>
      <c r="D426" s="47" t="s">
        <v>2020</v>
      </c>
      <c r="E426" s="47"/>
      <c r="F426" s="47"/>
      <c r="G426" s="47"/>
      <c r="H426" s="47"/>
      <c r="I426" s="47"/>
    </row>
    <row r="427" spans="3:10" s="119" customFormat="1" ht="21.6" customHeight="1">
      <c r="C427" s="46" t="s">
        <v>2019</v>
      </c>
      <c r="D427" s="47" t="s">
        <v>1955</v>
      </c>
      <c r="E427" s="47"/>
      <c r="F427" s="47"/>
      <c r="G427" s="47"/>
      <c r="H427" s="47"/>
      <c r="I427" s="47"/>
    </row>
    <row r="428" spans="3:10" s="59" customFormat="1" ht="21.6" customHeight="1" thickBot="1">
      <c r="C428" s="47" t="s">
        <v>2021</v>
      </c>
      <c r="D428" s="488" t="s">
        <v>2022</v>
      </c>
      <c r="E428" s="119"/>
      <c r="F428" s="965"/>
      <c r="G428" s="965"/>
      <c r="H428" s="965"/>
      <c r="I428" s="965"/>
      <c r="J428" s="120">
        <f>ROUNDDOWN(I440,-2)</f>
        <v>178200</v>
      </c>
    </row>
    <row r="429" spans="3:10" s="59" customFormat="1" ht="21.6" customHeight="1" thickTop="1">
      <c r="C429" s="51" t="s">
        <v>1195</v>
      </c>
      <c r="D429" s="52" t="s">
        <v>1196</v>
      </c>
      <c r="E429" s="52"/>
      <c r="F429" s="52" t="s">
        <v>1197</v>
      </c>
      <c r="G429" s="52" t="s">
        <v>1198</v>
      </c>
      <c r="H429" s="52" t="s">
        <v>1199</v>
      </c>
      <c r="I429" s="53" t="s">
        <v>1200</v>
      </c>
      <c r="J429" s="1074"/>
    </row>
    <row r="430" spans="3:10" s="59" customFormat="1" ht="21.6" customHeight="1">
      <c r="C430" s="290" t="s">
        <v>1201</v>
      </c>
      <c r="D430" s="182" t="s">
        <v>1202</v>
      </c>
      <c r="E430" s="182"/>
      <c r="F430" s="70"/>
      <c r="G430" s="70"/>
      <c r="H430" s="70"/>
      <c r="I430" s="71"/>
      <c r="J430" s="119"/>
    </row>
    <row r="431" spans="3:10" s="59" customFormat="1" ht="21.6" customHeight="1">
      <c r="C431" s="281">
        <v>1</v>
      </c>
      <c r="D431" s="182" t="s">
        <v>5</v>
      </c>
      <c r="E431" s="176" t="s">
        <v>1774</v>
      </c>
      <c r="F431" s="176" t="s">
        <v>6</v>
      </c>
      <c r="G431" s="315">
        <v>1.5</v>
      </c>
      <c r="H431" s="283">
        <f>VLOOKUP(D431,upahbahan,3,FALSE)</f>
        <v>100000</v>
      </c>
      <c r="I431" s="284">
        <f>G431*H431</f>
        <v>150000</v>
      </c>
      <c r="J431" s="119"/>
    </row>
    <row r="432" spans="3:10" s="59" customFormat="1" ht="21.6" customHeight="1">
      <c r="C432" s="281">
        <v>2</v>
      </c>
      <c r="D432" s="182" t="s">
        <v>19</v>
      </c>
      <c r="E432" s="176" t="s">
        <v>1777</v>
      </c>
      <c r="F432" s="176" t="s">
        <v>6</v>
      </c>
      <c r="G432" s="315">
        <v>7.4999999999999997E-2</v>
      </c>
      <c r="H432" s="283">
        <f>VLOOKUP(D432,upahbahan,3,FALSE)</f>
        <v>160000</v>
      </c>
      <c r="I432" s="284">
        <f>G432*H432</f>
        <v>12000</v>
      </c>
      <c r="J432" s="119"/>
    </row>
    <row r="433" spans="3:10" s="59" customFormat="1" ht="21.6" customHeight="1">
      <c r="C433" s="66" t="s">
        <v>1208</v>
      </c>
      <c r="D433" s="67"/>
      <c r="E433" s="67"/>
      <c r="F433" s="67"/>
      <c r="G433" s="67"/>
      <c r="H433" s="69"/>
      <c r="I433" s="284">
        <f>SUM(I431:I432)</f>
        <v>162000</v>
      </c>
      <c r="J433" s="119"/>
    </row>
    <row r="434" spans="3:10" s="59" customFormat="1" ht="21.6" customHeight="1">
      <c r="C434" s="290" t="s">
        <v>1209</v>
      </c>
      <c r="D434" s="182" t="s">
        <v>1210</v>
      </c>
      <c r="E434" s="182"/>
      <c r="F434" s="70"/>
      <c r="G434" s="70"/>
      <c r="H434" s="70"/>
      <c r="I434" s="71"/>
      <c r="J434" s="119"/>
    </row>
    <row r="435" spans="3:10" s="59" customFormat="1" ht="21.6" customHeight="1">
      <c r="C435" s="66" t="s">
        <v>1214</v>
      </c>
      <c r="D435" s="67"/>
      <c r="E435" s="67"/>
      <c r="F435" s="67"/>
      <c r="G435" s="67"/>
      <c r="H435" s="69"/>
      <c r="I435" s="292">
        <v>0</v>
      </c>
      <c r="J435" s="119"/>
    </row>
    <row r="436" spans="3:10" s="59" customFormat="1" ht="21.6" customHeight="1">
      <c r="C436" s="290" t="s">
        <v>1215</v>
      </c>
      <c r="D436" s="182" t="s">
        <v>1216</v>
      </c>
      <c r="E436" s="182"/>
      <c r="F436" s="70"/>
      <c r="G436" s="70"/>
      <c r="H436" s="70"/>
      <c r="I436" s="71"/>
      <c r="J436" s="119"/>
    </row>
    <row r="437" spans="3:10" s="59" customFormat="1" ht="21.6" customHeight="1">
      <c r="C437" s="66" t="s">
        <v>1217</v>
      </c>
      <c r="D437" s="67"/>
      <c r="E437" s="67"/>
      <c r="F437" s="67"/>
      <c r="G437" s="67"/>
      <c r="H437" s="69"/>
      <c r="I437" s="292">
        <v>0</v>
      </c>
      <c r="J437" s="119"/>
    </row>
    <row r="438" spans="3:10" s="59" customFormat="1" ht="21.6" customHeight="1">
      <c r="C438" s="293" t="s">
        <v>1218</v>
      </c>
      <c r="D438" s="294" t="s">
        <v>1219</v>
      </c>
      <c r="E438" s="295"/>
      <c r="F438" s="295"/>
      <c r="G438" s="295"/>
      <c r="H438" s="296"/>
      <c r="I438" s="284">
        <f>I433+I435+I437</f>
        <v>162000</v>
      </c>
      <c r="J438" s="119"/>
    </row>
    <row r="439" spans="3:10" s="59" customFormat="1" ht="21.6" customHeight="1">
      <c r="C439" s="293" t="s">
        <v>1220</v>
      </c>
      <c r="D439" s="294" t="s">
        <v>1249</v>
      </c>
      <c r="E439" s="295"/>
      <c r="F439" s="295"/>
      <c r="G439" s="296"/>
      <c r="H439" s="298">
        <v>0.1</v>
      </c>
      <c r="I439" s="284">
        <f>I438*H439</f>
        <v>16200</v>
      </c>
      <c r="J439" s="119"/>
    </row>
    <row r="440" spans="3:10" s="59" customFormat="1" ht="21.6" customHeight="1" thickBot="1">
      <c r="C440" s="299" t="s">
        <v>1221</v>
      </c>
      <c r="D440" s="300" t="s">
        <v>1222</v>
      </c>
      <c r="E440" s="301"/>
      <c r="F440" s="301"/>
      <c r="G440" s="301"/>
      <c r="H440" s="302"/>
      <c r="I440" s="303">
        <f>SUM(I438:I439)</f>
        <v>178200</v>
      </c>
      <c r="J440" s="119"/>
    </row>
    <row r="441" spans="3:10" s="119" customFormat="1" ht="21.6" customHeight="1" thickTop="1">
      <c r="C441" s="46"/>
      <c r="D441" s="47"/>
      <c r="E441" s="47"/>
      <c r="F441" s="47"/>
      <c r="G441" s="47"/>
      <c r="H441" s="47"/>
      <c r="I441" s="47"/>
    </row>
    <row r="442" spans="3:10" s="59" customFormat="1" ht="21.6" customHeight="1" thickBot="1">
      <c r="C442" s="47" t="s">
        <v>2023</v>
      </c>
      <c r="D442" s="488" t="s">
        <v>2026</v>
      </c>
      <c r="E442" s="119"/>
      <c r="F442" s="965"/>
      <c r="G442" s="965"/>
      <c r="H442" s="965"/>
      <c r="I442" s="965"/>
      <c r="J442" s="120">
        <f>ROUNDDOWN(I454,-2)</f>
        <v>139700</v>
      </c>
    </row>
    <row r="443" spans="3:10" s="59" customFormat="1" ht="21.6" customHeight="1" thickTop="1">
      <c r="C443" s="51" t="s">
        <v>1195</v>
      </c>
      <c r="D443" s="52" t="s">
        <v>1196</v>
      </c>
      <c r="E443" s="52"/>
      <c r="F443" s="52" t="s">
        <v>1197</v>
      </c>
      <c r="G443" s="52" t="s">
        <v>1198</v>
      </c>
      <c r="H443" s="52" t="s">
        <v>1199</v>
      </c>
      <c r="I443" s="53" t="s">
        <v>1200</v>
      </c>
      <c r="J443" s="1074"/>
    </row>
    <row r="444" spans="3:10" s="59" customFormat="1" ht="21.6" customHeight="1">
      <c r="C444" s="290" t="s">
        <v>1201</v>
      </c>
      <c r="D444" s="182" t="s">
        <v>1202</v>
      </c>
      <c r="E444" s="182"/>
      <c r="F444" s="70"/>
      <c r="G444" s="70"/>
      <c r="H444" s="70"/>
      <c r="I444" s="71"/>
      <c r="J444" s="119"/>
    </row>
    <row r="445" spans="3:10" s="59" customFormat="1" ht="21.6" customHeight="1">
      <c r="C445" s="281">
        <v>1</v>
      </c>
      <c r="D445" s="182" t="s">
        <v>5</v>
      </c>
      <c r="E445" s="176" t="s">
        <v>1774</v>
      </c>
      <c r="F445" s="176" t="s">
        <v>6</v>
      </c>
      <c r="G445" s="315">
        <v>1.25</v>
      </c>
      <c r="H445" s="283">
        <f>VLOOKUP(D445,upahbahan,3,FALSE)</f>
        <v>100000</v>
      </c>
      <c r="I445" s="284">
        <f>G445*H445</f>
        <v>125000</v>
      </c>
      <c r="J445" s="119"/>
    </row>
    <row r="446" spans="3:10" s="59" customFormat="1" ht="21.6" customHeight="1">
      <c r="C446" s="281">
        <v>2</v>
      </c>
      <c r="D446" s="182" t="s">
        <v>19</v>
      </c>
      <c r="E446" s="176" t="s">
        <v>1777</v>
      </c>
      <c r="F446" s="176" t="s">
        <v>6</v>
      </c>
      <c r="G446" s="315">
        <v>1.2500000000000001E-2</v>
      </c>
      <c r="H446" s="283">
        <f>VLOOKUP(D446,upahbahan,3,FALSE)</f>
        <v>160000</v>
      </c>
      <c r="I446" s="284">
        <f>G446*H446</f>
        <v>2000</v>
      </c>
      <c r="J446" s="119"/>
    </row>
    <row r="447" spans="3:10" s="59" customFormat="1" ht="21.6" customHeight="1">
      <c r="C447" s="66" t="s">
        <v>1208</v>
      </c>
      <c r="D447" s="67"/>
      <c r="E447" s="67"/>
      <c r="F447" s="67"/>
      <c r="G447" s="67"/>
      <c r="H447" s="69"/>
      <c r="I447" s="284">
        <f>SUM(I445:I446)</f>
        <v>127000</v>
      </c>
      <c r="J447" s="119"/>
    </row>
    <row r="448" spans="3:10" s="59" customFormat="1" ht="21.6" customHeight="1">
      <c r="C448" s="290" t="s">
        <v>1209</v>
      </c>
      <c r="D448" s="182" t="s">
        <v>1210</v>
      </c>
      <c r="E448" s="182"/>
      <c r="F448" s="70"/>
      <c r="G448" s="70"/>
      <c r="H448" s="70"/>
      <c r="I448" s="71"/>
      <c r="J448" s="119"/>
    </row>
    <row r="449" spans="3:10" s="59" customFormat="1" ht="21.6" customHeight="1">
      <c r="C449" s="66" t="s">
        <v>1214</v>
      </c>
      <c r="D449" s="67"/>
      <c r="E449" s="67"/>
      <c r="F449" s="67"/>
      <c r="G449" s="67"/>
      <c r="H449" s="69"/>
      <c r="I449" s="292">
        <v>0</v>
      </c>
      <c r="J449" s="119"/>
    </row>
    <row r="450" spans="3:10" s="59" customFormat="1" ht="21.6" customHeight="1">
      <c r="C450" s="290" t="s">
        <v>1215</v>
      </c>
      <c r="D450" s="182" t="s">
        <v>1216</v>
      </c>
      <c r="E450" s="182"/>
      <c r="F450" s="70"/>
      <c r="G450" s="70"/>
      <c r="H450" s="70"/>
      <c r="I450" s="71"/>
      <c r="J450" s="119"/>
    </row>
    <row r="451" spans="3:10" s="59" customFormat="1" ht="21.6" customHeight="1">
      <c r="C451" s="66" t="s">
        <v>1217</v>
      </c>
      <c r="D451" s="67"/>
      <c r="E451" s="67"/>
      <c r="F451" s="67"/>
      <c r="G451" s="67"/>
      <c r="H451" s="69"/>
      <c r="I451" s="292">
        <v>0</v>
      </c>
      <c r="J451" s="119"/>
    </row>
    <row r="452" spans="3:10" s="59" customFormat="1" ht="21.6" customHeight="1">
      <c r="C452" s="293" t="s">
        <v>1218</v>
      </c>
      <c r="D452" s="294" t="s">
        <v>1219</v>
      </c>
      <c r="E452" s="295"/>
      <c r="F452" s="295"/>
      <c r="G452" s="295"/>
      <c r="H452" s="296"/>
      <c r="I452" s="284">
        <f>I447+I449+I451</f>
        <v>127000</v>
      </c>
      <c r="J452" s="119"/>
    </row>
    <row r="453" spans="3:10" s="59" customFormat="1" ht="21.6" customHeight="1">
      <c r="C453" s="293" t="s">
        <v>1220</v>
      </c>
      <c r="D453" s="294" t="s">
        <v>1249</v>
      </c>
      <c r="E453" s="295"/>
      <c r="F453" s="295"/>
      <c r="G453" s="296"/>
      <c r="H453" s="298">
        <v>0.1</v>
      </c>
      <c r="I453" s="284">
        <f>I452*H453</f>
        <v>12700</v>
      </c>
      <c r="J453" s="119"/>
    </row>
    <row r="454" spans="3:10" s="59" customFormat="1" ht="21.6" customHeight="1" thickBot="1">
      <c r="C454" s="299" t="s">
        <v>1221</v>
      </c>
      <c r="D454" s="300" t="s">
        <v>1222</v>
      </c>
      <c r="E454" s="301"/>
      <c r="F454" s="301"/>
      <c r="G454" s="301"/>
      <c r="H454" s="302"/>
      <c r="I454" s="303">
        <f>SUM(I452:I453)</f>
        <v>139700</v>
      </c>
      <c r="J454" s="119"/>
    </row>
    <row r="455" spans="3:10" ht="21.6" customHeight="1" thickTop="1"/>
    <row r="456" spans="3:10" ht="21.6" customHeight="1"/>
    <row r="457" spans="3:10" s="59" customFormat="1" ht="21.6" customHeight="1" thickBot="1">
      <c r="C457" s="47" t="s">
        <v>2024</v>
      </c>
      <c r="D457" s="488" t="s">
        <v>2025</v>
      </c>
      <c r="E457" s="119"/>
      <c r="F457" s="965"/>
      <c r="G457" s="965"/>
      <c r="H457" s="965"/>
      <c r="I457" s="965"/>
      <c r="J457" s="120">
        <f>ROUNDDOWN(I469,-2)</f>
        <v>175500</v>
      </c>
    </row>
    <row r="458" spans="3:10" s="59" customFormat="1" ht="21.6" customHeight="1" thickTop="1">
      <c r="C458" s="51" t="s">
        <v>1195</v>
      </c>
      <c r="D458" s="52" t="s">
        <v>1196</v>
      </c>
      <c r="E458" s="52"/>
      <c r="F458" s="52" t="s">
        <v>1197</v>
      </c>
      <c r="G458" s="52" t="s">
        <v>1198</v>
      </c>
      <c r="H458" s="52" t="s">
        <v>1199</v>
      </c>
      <c r="I458" s="53" t="s">
        <v>1200</v>
      </c>
      <c r="J458" s="1074"/>
    </row>
    <row r="459" spans="3:10" s="59" customFormat="1" ht="21.6" customHeight="1">
      <c r="C459" s="290" t="s">
        <v>1201</v>
      </c>
      <c r="D459" s="182" t="s">
        <v>1202</v>
      </c>
      <c r="E459" s="182"/>
      <c r="F459" s="70"/>
      <c r="G459" s="70"/>
      <c r="H459" s="70"/>
      <c r="I459" s="71"/>
      <c r="J459" s="119"/>
    </row>
    <row r="460" spans="3:10" s="59" customFormat="1" ht="21.6" customHeight="1">
      <c r="C460" s="281">
        <v>1</v>
      </c>
      <c r="D460" s="182" t="s">
        <v>5</v>
      </c>
      <c r="E460" s="176" t="s">
        <v>1774</v>
      </c>
      <c r="F460" s="176" t="s">
        <v>6</v>
      </c>
      <c r="G460" s="315">
        <v>1.5</v>
      </c>
      <c r="H460" s="283">
        <f>VLOOKUP(D460,upahbahan,3,FALSE)</f>
        <v>100000</v>
      </c>
      <c r="I460" s="284">
        <f>G460*H460</f>
        <v>150000</v>
      </c>
      <c r="J460" s="119"/>
    </row>
    <row r="461" spans="3:10" s="59" customFormat="1" ht="21.6" customHeight="1">
      <c r="C461" s="281">
        <v>2</v>
      </c>
      <c r="D461" s="182" t="s">
        <v>19</v>
      </c>
      <c r="E461" s="176" t="s">
        <v>1777</v>
      </c>
      <c r="F461" s="176" t="s">
        <v>6</v>
      </c>
      <c r="G461" s="315">
        <v>0.06</v>
      </c>
      <c r="H461" s="283">
        <f>VLOOKUP(D461,upahbahan,3,FALSE)</f>
        <v>160000</v>
      </c>
      <c r="I461" s="284">
        <f>G461*H461</f>
        <v>9600</v>
      </c>
      <c r="J461" s="119"/>
    </row>
    <row r="462" spans="3:10" s="59" customFormat="1" ht="21.6" customHeight="1">
      <c r="C462" s="66" t="s">
        <v>1208</v>
      </c>
      <c r="D462" s="67"/>
      <c r="E462" s="67"/>
      <c r="F462" s="67"/>
      <c r="G462" s="67"/>
      <c r="H462" s="69"/>
      <c r="I462" s="284">
        <f>SUM(I460:I461)</f>
        <v>159600</v>
      </c>
      <c r="J462" s="119"/>
    </row>
    <row r="463" spans="3:10" s="59" customFormat="1" ht="21.6" customHeight="1">
      <c r="C463" s="290" t="s">
        <v>1209</v>
      </c>
      <c r="D463" s="182" t="s">
        <v>1210</v>
      </c>
      <c r="E463" s="182"/>
      <c r="F463" s="70"/>
      <c r="G463" s="70"/>
      <c r="H463" s="70"/>
      <c r="I463" s="71"/>
      <c r="J463" s="119"/>
    </row>
    <row r="464" spans="3:10" s="59" customFormat="1" ht="21.6" customHeight="1">
      <c r="C464" s="66" t="s">
        <v>1214</v>
      </c>
      <c r="D464" s="67"/>
      <c r="E464" s="67"/>
      <c r="F464" s="67"/>
      <c r="G464" s="67"/>
      <c r="H464" s="69"/>
      <c r="I464" s="292">
        <v>0</v>
      </c>
      <c r="J464" s="119"/>
    </row>
    <row r="465" spans="3:10" s="59" customFormat="1" ht="21.6" customHeight="1">
      <c r="C465" s="290" t="s">
        <v>1215</v>
      </c>
      <c r="D465" s="182" t="s">
        <v>1216</v>
      </c>
      <c r="E465" s="182"/>
      <c r="F465" s="70"/>
      <c r="G465" s="70"/>
      <c r="H465" s="70"/>
      <c r="I465" s="71"/>
      <c r="J465" s="119"/>
    </row>
    <row r="466" spans="3:10" s="59" customFormat="1" ht="21.6" customHeight="1">
      <c r="C466" s="66" t="s">
        <v>1217</v>
      </c>
      <c r="D466" s="67"/>
      <c r="E466" s="67"/>
      <c r="F466" s="67"/>
      <c r="G466" s="67"/>
      <c r="H466" s="69"/>
      <c r="I466" s="292">
        <v>0</v>
      </c>
      <c r="J466" s="119"/>
    </row>
    <row r="467" spans="3:10" s="59" customFormat="1" ht="21.6" customHeight="1">
      <c r="C467" s="293" t="s">
        <v>1218</v>
      </c>
      <c r="D467" s="294" t="s">
        <v>1219</v>
      </c>
      <c r="E467" s="295"/>
      <c r="F467" s="295"/>
      <c r="G467" s="295"/>
      <c r="H467" s="296"/>
      <c r="I467" s="284">
        <f>I462+I464+I466</f>
        <v>159600</v>
      </c>
      <c r="J467" s="119"/>
    </row>
    <row r="468" spans="3:10" s="59" customFormat="1" ht="21.6" customHeight="1">
      <c r="C468" s="293" t="s">
        <v>1220</v>
      </c>
      <c r="D468" s="294" t="s">
        <v>1249</v>
      </c>
      <c r="E468" s="295"/>
      <c r="F468" s="295"/>
      <c r="G468" s="296"/>
      <c r="H468" s="298">
        <v>0.1</v>
      </c>
      <c r="I468" s="284">
        <f>I467*H468</f>
        <v>15960</v>
      </c>
      <c r="J468" s="119"/>
    </row>
    <row r="469" spans="3:10" s="59" customFormat="1" ht="21.6" customHeight="1" thickBot="1">
      <c r="C469" s="299" t="s">
        <v>1221</v>
      </c>
      <c r="D469" s="300" t="s">
        <v>1222</v>
      </c>
      <c r="E469" s="301"/>
      <c r="F469" s="301"/>
      <c r="G469" s="301"/>
      <c r="H469" s="302"/>
      <c r="I469" s="303">
        <f>SUM(I467:I468)</f>
        <v>175560</v>
      </c>
      <c r="J469" s="119"/>
    </row>
    <row r="470" spans="3:10" ht="21.6" customHeight="1" thickTop="1"/>
    <row r="471" spans="3:10" s="59" customFormat="1" ht="21.6" customHeight="1" thickBot="1">
      <c r="C471" s="47" t="s">
        <v>2027</v>
      </c>
      <c r="D471" s="488" t="s">
        <v>2028</v>
      </c>
      <c r="E471" s="119"/>
      <c r="F471" s="965"/>
      <c r="G471" s="965"/>
      <c r="H471" s="965"/>
      <c r="I471" s="965"/>
      <c r="J471" s="120">
        <f>ROUNDDOWN(I483,-2)</f>
        <v>177600</v>
      </c>
    </row>
    <row r="472" spans="3:10" s="59" customFormat="1" ht="21.6" customHeight="1" thickTop="1">
      <c r="C472" s="51" t="s">
        <v>1195</v>
      </c>
      <c r="D472" s="52" t="s">
        <v>1196</v>
      </c>
      <c r="E472" s="52"/>
      <c r="F472" s="52" t="s">
        <v>1197</v>
      </c>
      <c r="G472" s="52" t="s">
        <v>1198</v>
      </c>
      <c r="H472" s="52" t="s">
        <v>1199</v>
      </c>
      <c r="I472" s="53" t="s">
        <v>1200</v>
      </c>
      <c r="J472" s="1074"/>
    </row>
    <row r="473" spans="3:10" s="59" customFormat="1" ht="21.6" customHeight="1">
      <c r="C473" s="290" t="s">
        <v>1201</v>
      </c>
      <c r="D473" s="182" t="s">
        <v>1202</v>
      </c>
      <c r="E473" s="182"/>
      <c r="F473" s="70"/>
      <c r="G473" s="70"/>
      <c r="H473" s="70"/>
      <c r="I473" s="71"/>
      <c r="J473" s="119"/>
    </row>
    <row r="474" spans="3:10" s="59" customFormat="1" ht="21.6" customHeight="1">
      <c r="C474" s="281">
        <v>1</v>
      </c>
      <c r="D474" s="182" t="s">
        <v>5</v>
      </c>
      <c r="E474" s="176" t="s">
        <v>1774</v>
      </c>
      <c r="F474" s="176" t="s">
        <v>6</v>
      </c>
      <c r="G474" s="315">
        <v>1.3919999999999999</v>
      </c>
      <c r="H474" s="283">
        <f>VLOOKUP(D474,upahbahan,3,FALSE)</f>
        <v>100000</v>
      </c>
      <c r="I474" s="284">
        <f>G474*H474</f>
        <v>139200</v>
      </c>
      <c r="J474" s="119"/>
    </row>
    <row r="475" spans="3:10" s="59" customFormat="1" ht="21.6" customHeight="1">
      <c r="C475" s="281">
        <v>2</v>
      </c>
      <c r="D475" s="182" t="s">
        <v>19</v>
      </c>
      <c r="E475" s="176" t="s">
        <v>1777</v>
      </c>
      <c r="F475" s="176" t="s">
        <v>6</v>
      </c>
      <c r="G475" s="315">
        <v>0.13919999999999999</v>
      </c>
      <c r="H475" s="283">
        <f>VLOOKUP(D475,upahbahan,3,FALSE)</f>
        <v>160000</v>
      </c>
      <c r="I475" s="284">
        <f>G475*H475</f>
        <v>22272</v>
      </c>
      <c r="J475" s="119"/>
    </row>
    <row r="476" spans="3:10" s="59" customFormat="1" ht="21.6" customHeight="1">
      <c r="C476" s="66" t="s">
        <v>1208</v>
      </c>
      <c r="D476" s="67"/>
      <c r="E476" s="67"/>
      <c r="F476" s="67"/>
      <c r="G476" s="67"/>
      <c r="H476" s="69"/>
      <c r="I476" s="284">
        <f>SUM(I474:I475)</f>
        <v>161472</v>
      </c>
      <c r="J476" s="119"/>
    </row>
    <row r="477" spans="3:10" s="59" customFormat="1" ht="21.6" customHeight="1">
      <c r="C477" s="290" t="s">
        <v>1209</v>
      </c>
      <c r="D477" s="182" t="s">
        <v>1210</v>
      </c>
      <c r="E477" s="182"/>
      <c r="F477" s="70"/>
      <c r="G477" s="70"/>
      <c r="H477" s="70"/>
      <c r="I477" s="71"/>
      <c r="J477" s="119"/>
    </row>
    <row r="478" spans="3:10" s="59" customFormat="1" ht="21.6" customHeight="1">
      <c r="C478" s="66" t="s">
        <v>1214</v>
      </c>
      <c r="D478" s="67"/>
      <c r="E478" s="67"/>
      <c r="F478" s="67"/>
      <c r="G478" s="67"/>
      <c r="H478" s="69"/>
      <c r="I478" s="292">
        <v>0</v>
      </c>
      <c r="J478" s="119"/>
    </row>
    <row r="479" spans="3:10" s="59" customFormat="1" ht="21.6" customHeight="1">
      <c r="C479" s="290" t="s">
        <v>1215</v>
      </c>
      <c r="D479" s="182" t="s">
        <v>1216</v>
      </c>
      <c r="E479" s="182"/>
      <c r="F479" s="70"/>
      <c r="G479" s="70"/>
      <c r="H479" s="70"/>
      <c r="I479" s="71"/>
      <c r="J479" s="119"/>
    </row>
    <row r="480" spans="3:10" s="59" customFormat="1" ht="21.6" customHeight="1">
      <c r="C480" s="66" t="s">
        <v>1217</v>
      </c>
      <c r="D480" s="67"/>
      <c r="E480" s="67"/>
      <c r="F480" s="67"/>
      <c r="G480" s="67"/>
      <c r="H480" s="69"/>
      <c r="I480" s="292">
        <v>0</v>
      </c>
      <c r="J480" s="119"/>
    </row>
    <row r="481" spans="3:10" s="59" customFormat="1" ht="21.6" customHeight="1">
      <c r="C481" s="293" t="s">
        <v>1218</v>
      </c>
      <c r="D481" s="294" t="s">
        <v>1219</v>
      </c>
      <c r="E481" s="295"/>
      <c r="F481" s="295"/>
      <c r="G481" s="295"/>
      <c r="H481" s="296"/>
      <c r="I481" s="284">
        <f>I476+I478+I480</f>
        <v>161472</v>
      </c>
      <c r="J481" s="119"/>
    </row>
    <row r="482" spans="3:10" s="59" customFormat="1" ht="21.6" customHeight="1">
      <c r="C482" s="293" t="s">
        <v>1220</v>
      </c>
      <c r="D482" s="294" t="s">
        <v>1249</v>
      </c>
      <c r="E482" s="295"/>
      <c r="F482" s="295"/>
      <c r="G482" s="296"/>
      <c r="H482" s="298">
        <v>0.1</v>
      </c>
      <c r="I482" s="284">
        <f>I481*H482</f>
        <v>16147.2</v>
      </c>
      <c r="J482" s="119"/>
    </row>
    <row r="483" spans="3:10" s="59" customFormat="1" ht="21.6" customHeight="1" thickBot="1">
      <c r="C483" s="299" t="s">
        <v>1221</v>
      </c>
      <c r="D483" s="300" t="s">
        <v>1222</v>
      </c>
      <c r="E483" s="301"/>
      <c r="F483" s="301"/>
      <c r="G483" s="301"/>
      <c r="H483" s="302"/>
      <c r="I483" s="303">
        <f>SUM(I481:I482)</f>
        <v>177619.20000000001</v>
      </c>
      <c r="J483" s="119"/>
    </row>
    <row r="484" spans="3:10" ht="21.6" customHeight="1" thickTop="1"/>
    <row r="485" spans="3:10" s="59" customFormat="1" ht="21.6" customHeight="1" thickBot="1">
      <c r="C485" s="47" t="s">
        <v>2029</v>
      </c>
      <c r="D485" s="488" t="s">
        <v>2030</v>
      </c>
      <c r="E485" s="119"/>
      <c r="F485" s="965"/>
      <c r="G485" s="965"/>
      <c r="H485" s="965"/>
      <c r="I485" s="965"/>
      <c r="J485" s="120">
        <f>ROUNDDOWN(I497,-2)</f>
        <v>191400</v>
      </c>
    </row>
    <row r="486" spans="3:10" s="59" customFormat="1" ht="21.6" customHeight="1" thickTop="1">
      <c r="C486" s="51" t="s">
        <v>1195</v>
      </c>
      <c r="D486" s="52" t="s">
        <v>1196</v>
      </c>
      <c r="E486" s="52"/>
      <c r="F486" s="52" t="s">
        <v>1197</v>
      </c>
      <c r="G486" s="52" t="s">
        <v>1198</v>
      </c>
      <c r="H486" s="52" t="s">
        <v>1199</v>
      </c>
      <c r="I486" s="53" t="s">
        <v>1200</v>
      </c>
      <c r="J486" s="1074"/>
    </row>
    <row r="487" spans="3:10" s="59" customFormat="1" ht="21.6" customHeight="1">
      <c r="C487" s="290" t="s">
        <v>1201</v>
      </c>
      <c r="D487" s="182" t="s">
        <v>1202</v>
      </c>
      <c r="E487" s="182"/>
      <c r="F487" s="70"/>
      <c r="G487" s="70"/>
      <c r="H487" s="70"/>
      <c r="I487" s="71"/>
      <c r="J487" s="119"/>
    </row>
    <row r="488" spans="3:10" s="59" customFormat="1" ht="21.6" customHeight="1">
      <c r="C488" s="281">
        <v>1</v>
      </c>
      <c r="D488" s="182" t="s">
        <v>5</v>
      </c>
      <c r="E488" s="176" t="s">
        <v>1774</v>
      </c>
      <c r="F488" s="176" t="s">
        <v>6</v>
      </c>
      <c r="G488" s="315">
        <v>1.5</v>
      </c>
      <c r="H488" s="283">
        <f>VLOOKUP(D488,upahbahan,3,FALSE)</f>
        <v>100000</v>
      </c>
      <c r="I488" s="284">
        <f>G488*H488</f>
        <v>150000</v>
      </c>
      <c r="J488" s="119"/>
    </row>
    <row r="489" spans="3:10" s="59" customFormat="1" ht="21.6" customHeight="1">
      <c r="C489" s="281">
        <v>2</v>
      </c>
      <c r="D489" s="182" t="s">
        <v>19</v>
      </c>
      <c r="E489" s="176" t="s">
        <v>1777</v>
      </c>
      <c r="F489" s="176" t="s">
        <v>6</v>
      </c>
      <c r="G489" s="315">
        <v>0.15</v>
      </c>
      <c r="H489" s="283">
        <f>VLOOKUP(D489,upahbahan,3,FALSE)</f>
        <v>160000</v>
      </c>
      <c r="I489" s="284">
        <f>G489*H489</f>
        <v>24000</v>
      </c>
      <c r="J489" s="119"/>
    </row>
    <row r="490" spans="3:10" s="59" customFormat="1" ht="21.6" customHeight="1">
      <c r="C490" s="66" t="s">
        <v>1208</v>
      </c>
      <c r="D490" s="67"/>
      <c r="E490" s="67"/>
      <c r="F490" s="67"/>
      <c r="G490" s="67"/>
      <c r="H490" s="69"/>
      <c r="I490" s="284">
        <f>SUM(I488:I489)</f>
        <v>174000</v>
      </c>
      <c r="J490" s="119"/>
    </row>
    <row r="491" spans="3:10" s="59" customFormat="1" ht="21.6" customHeight="1">
      <c r="C491" s="290" t="s">
        <v>1209</v>
      </c>
      <c r="D491" s="182" t="s">
        <v>1210</v>
      </c>
      <c r="E491" s="182"/>
      <c r="F491" s="70"/>
      <c r="G491" s="70"/>
      <c r="H491" s="70"/>
      <c r="I491" s="71"/>
      <c r="J491" s="119"/>
    </row>
    <row r="492" spans="3:10" s="59" customFormat="1" ht="21.6" customHeight="1">
      <c r="C492" s="66" t="s">
        <v>1214</v>
      </c>
      <c r="D492" s="67"/>
      <c r="E492" s="67"/>
      <c r="F492" s="67"/>
      <c r="G492" s="67"/>
      <c r="H492" s="69"/>
      <c r="I492" s="292">
        <v>0</v>
      </c>
      <c r="J492" s="119"/>
    </row>
    <row r="493" spans="3:10" s="59" customFormat="1" ht="21.6" customHeight="1">
      <c r="C493" s="290" t="s">
        <v>1215</v>
      </c>
      <c r="D493" s="182" t="s">
        <v>1216</v>
      </c>
      <c r="E493" s="182"/>
      <c r="F493" s="70"/>
      <c r="G493" s="70"/>
      <c r="H493" s="70"/>
      <c r="I493" s="71"/>
      <c r="J493" s="119"/>
    </row>
    <row r="494" spans="3:10" s="59" customFormat="1" ht="21.6" customHeight="1">
      <c r="C494" s="66" t="s">
        <v>1217</v>
      </c>
      <c r="D494" s="67"/>
      <c r="E494" s="67"/>
      <c r="F494" s="67"/>
      <c r="G494" s="67"/>
      <c r="H494" s="69"/>
      <c r="I494" s="292">
        <v>0</v>
      </c>
      <c r="J494" s="119"/>
    </row>
    <row r="495" spans="3:10" s="59" customFormat="1" ht="21.6" customHeight="1">
      <c r="C495" s="293" t="s">
        <v>1218</v>
      </c>
      <c r="D495" s="294" t="s">
        <v>1219</v>
      </c>
      <c r="E495" s="295"/>
      <c r="F495" s="295"/>
      <c r="G495" s="295"/>
      <c r="H495" s="296"/>
      <c r="I495" s="284">
        <f>I490+I492+I494</f>
        <v>174000</v>
      </c>
      <c r="J495" s="119"/>
    </row>
    <row r="496" spans="3:10" s="59" customFormat="1" ht="21.6" customHeight="1">
      <c r="C496" s="293" t="s">
        <v>1220</v>
      </c>
      <c r="D496" s="294" t="s">
        <v>1249</v>
      </c>
      <c r="E496" s="295"/>
      <c r="F496" s="295"/>
      <c r="G496" s="296"/>
      <c r="H496" s="298">
        <v>0.1</v>
      </c>
      <c r="I496" s="284">
        <f>I495*H496</f>
        <v>17400</v>
      </c>
      <c r="J496" s="119"/>
    </row>
    <row r="497" spans="3:10" s="59" customFormat="1" ht="21.6" customHeight="1" thickBot="1">
      <c r="C497" s="299" t="s">
        <v>1221</v>
      </c>
      <c r="D497" s="300" t="s">
        <v>1222</v>
      </c>
      <c r="E497" s="301"/>
      <c r="F497" s="301"/>
      <c r="G497" s="301"/>
      <c r="H497" s="302"/>
      <c r="I497" s="303">
        <f>SUM(I495:I496)</f>
        <v>191400</v>
      </c>
      <c r="J497" s="119"/>
    </row>
    <row r="498" spans="3:10" ht="21.6" customHeight="1" thickTop="1"/>
    <row r="499" spans="3:10" s="59" customFormat="1" ht="21.6" customHeight="1" thickBot="1">
      <c r="C499" s="47" t="s">
        <v>2031</v>
      </c>
      <c r="D499" s="488" t="s">
        <v>2032</v>
      </c>
      <c r="E499" s="119"/>
      <c r="F499" s="965"/>
      <c r="G499" s="965"/>
      <c r="H499" s="965"/>
      <c r="I499" s="965"/>
      <c r="J499" s="120">
        <f>ROUNDDOWN(I511,-2)</f>
        <v>12700</v>
      </c>
    </row>
    <row r="500" spans="3:10" s="59" customFormat="1" ht="21.6" customHeight="1" thickTop="1">
      <c r="C500" s="51" t="s">
        <v>1195</v>
      </c>
      <c r="D500" s="52" t="s">
        <v>1196</v>
      </c>
      <c r="E500" s="52"/>
      <c r="F500" s="52" t="s">
        <v>1197</v>
      </c>
      <c r="G500" s="52" t="s">
        <v>1198</v>
      </c>
      <c r="H500" s="52" t="s">
        <v>1199</v>
      </c>
      <c r="I500" s="53" t="s">
        <v>1200</v>
      </c>
      <c r="J500" s="1074"/>
    </row>
    <row r="501" spans="3:10" s="59" customFormat="1" ht="21.6" customHeight="1">
      <c r="C501" s="290" t="s">
        <v>1201</v>
      </c>
      <c r="D501" s="182" t="s">
        <v>1202</v>
      </c>
      <c r="E501" s="182"/>
      <c r="F501" s="70"/>
      <c r="G501" s="70"/>
      <c r="H501" s="70"/>
      <c r="I501" s="71"/>
      <c r="J501" s="119"/>
    </row>
    <row r="502" spans="3:10" s="59" customFormat="1" ht="21.6" customHeight="1">
      <c r="C502" s="281">
        <v>1</v>
      </c>
      <c r="D502" s="182" t="s">
        <v>5</v>
      </c>
      <c r="E502" s="176" t="s">
        <v>1774</v>
      </c>
      <c r="F502" s="176" t="s">
        <v>6</v>
      </c>
      <c r="G502" s="315">
        <v>0.1</v>
      </c>
      <c r="H502" s="283">
        <f>VLOOKUP(D502,upahbahan,3,FALSE)</f>
        <v>100000</v>
      </c>
      <c r="I502" s="284">
        <f>G502*H502</f>
        <v>10000</v>
      </c>
      <c r="J502" s="119"/>
    </row>
    <row r="503" spans="3:10" s="59" customFormat="1" ht="21.6" customHeight="1">
      <c r="C503" s="281">
        <v>2</v>
      </c>
      <c r="D503" s="182" t="s">
        <v>19</v>
      </c>
      <c r="E503" s="176" t="s">
        <v>1777</v>
      </c>
      <c r="F503" s="176" t="s">
        <v>6</v>
      </c>
      <c r="G503" s="315">
        <v>0.01</v>
      </c>
      <c r="H503" s="283">
        <f>VLOOKUP(D503,upahbahan,3,FALSE)</f>
        <v>160000</v>
      </c>
      <c r="I503" s="284">
        <f>G503*H503</f>
        <v>1600</v>
      </c>
      <c r="J503" s="119"/>
    </row>
    <row r="504" spans="3:10" s="59" customFormat="1" ht="21.6" customHeight="1">
      <c r="C504" s="66" t="s">
        <v>1208</v>
      </c>
      <c r="D504" s="67"/>
      <c r="E504" s="67"/>
      <c r="F504" s="67"/>
      <c r="G504" s="67"/>
      <c r="H504" s="69"/>
      <c r="I504" s="284">
        <f>SUM(I502:I503)</f>
        <v>11600</v>
      </c>
      <c r="J504" s="119"/>
    </row>
    <row r="505" spans="3:10" s="59" customFormat="1" ht="21.6" customHeight="1">
      <c r="C505" s="290" t="s">
        <v>1209</v>
      </c>
      <c r="D505" s="182" t="s">
        <v>1210</v>
      </c>
      <c r="E505" s="182"/>
      <c r="F505" s="70"/>
      <c r="G505" s="70"/>
      <c r="H505" s="70"/>
      <c r="I505" s="71"/>
      <c r="J505" s="119"/>
    </row>
    <row r="506" spans="3:10" s="59" customFormat="1" ht="21.6" customHeight="1">
      <c r="C506" s="66" t="s">
        <v>1214</v>
      </c>
      <c r="D506" s="67"/>
      <c r="E506" s="67"/>
      <c r="F506" s="67"/>
      <c r="G506" s="67"/>
      <c r="H506" s="69"/>
      <c r="I506" s="292">
        <v>0</v>
      </c>
      <c r="J506" s="119"/>
    </row>
    <row r="507" spans="3:10" s="59" customFormat="1" ht="21.6" customHeight="1">
      <c r="C507" s="290" t="s">
        <v>1215</v>
      </c>
      <c r="D507" s="182" t="s">
        <v>1216</v>
      </c>
      <c r="E507" s="182"/>
      <c r="F507" s="70"/>
      <c r="G507" s="70"/>
      <c r="H507" s="70"/>
      <c r="I507" s="71"/>
      <c r="J507" s="119"/>
    </row>
    <row r="508" spans="3:10" s="59" customFormat="1" ht="21.6" customHeight="1">
      <c r="C508" s="66" t="s">
        <v>1217</v>
      </c>
      <c r="D508" s="67"/>
      <c r="E508" s="67"/>
      <c r="F508" s="67"/>
      <c r="G508" s="67"/>
      <c r="H508" s="69"/>
      <c r="I508" s="292">
        <v>0</v>
      </c>
      <c r="J508" s="119"/>
    </row>
    <row r="509" spans="3:10" s="59" customFormat="1" ht="21.6" customHeight="1">
      <c r="C509" s="293" t="s">
        <v>1218</v>
      </c>
      <c r="D509" s="294" t="s">
        <v>1219</v>
      </c>
      <c r="E509" s="295"/>
      <c r="F509" s="295"/>
      <c r="G509" s="295"/>
      <c r="H509" s="296"/>
      <c r="I509" s="284">
        <f>I504+I506+I508</f>
        <v>11600</v>
      </c>
      <c r="J509" s="119"/>
    </row>
    <row r="510" spans="3:10" s="59" customFormat="1" ht="21.6" customHeight="1">
      <c r="C510" s="293" t="s">
        <v>1220</v>
      </c>
      <c r="D510" s="294" t="s">
        <v>1249</v>
      </c>
      <c r="E510" s="295"/>
      <c r="F510" s="295"/>
      <c r="G510" s="296"/>
      <c r="H510" s="298">
        <v>0.1</v>
      </c>
      <c r="I510" s="284">
        <f>I509*H510</f>
        <v>1160</v>
      </c>
      <c r="J510" s="119"/>
    </row>
    <row r="511" spans="3:10" s="59" customFormat="1" ht="21.6" customHeight="1" thickBot="1">
      <c r="C511" s="299" t="s">
        <v>1221</v>
      </c>
      <c r="D511" s="300" t="s">
        <v>1222</v>
      </c>
      <c r="E511" s="301"/>
      <c r="F511" s="301"/>
      <c r="G511" s="301"/>
      <c r="H511" s="302"/>
      <c r="I511" s="303">
        <f>SUM(I509:I510)</f>
        <v>12760</v>
      </c>
      <c r="J511" s="119"/>
    </row>
    <row r="512" spans="3:10" ht="21.6" customHeight="1" thickTop="1"/>
    <row r="513" spans="3:10" ht="21.6" customHeight="1">
      <c r="C513" s="126" t="s">
        <v>2033</v>
      </c>
      <c r="D513" s="119" t="s">
        <v>1971</v>
      </c>
    </row>
    <row r="514" spans="3:10" s="59" customFormat="1" ht="21.6" customHeight="1" thickBot="1">
      <c r="C514" s="47" t="s">
        <v>2035</v>
      </c>
      <c r="D514" s="488" t="s">
        <v>2034</v>
      </c>
      <c r="E514" s="119"/>
      <c r="F514" s="965"/>
      <c r="G514" s="965"/>
      <c r="H514" s="965"/>
      <c r="I514" s="965"/>
      <c r="J514" s="120">
        <f>ROUNDDOWN(I527,-2)</f>
        <v>188300</v>
      </c>
    </row>
    <row r="515" spans="3:10" s="59" customFormat="1" ht="21.6" customHeight="1" thickTop="1">
      <c r="C515" s="51" t="s">
        <v>1195</v>
      </c>
      <c r="D515" s="52" t="s">
        <v>1196</v>
      </c>
      <c r="E515" s="52"/>
      <c r="F515" s="52" t="s">
        <v>1197</v>
      </c>
      <c r="G515" s="52" t="s">
        <v>1198</v>
      </c>
      <c r="H515" s="52" t="s">
        <v>1199</v>
      </c>
      <c r="I515" s="53" t="s">
        <v>1200</v>
      </c>
      <c r="J515" s="1074"/>
    </row>
    <row r="516" spans="3:10" s="59" customFormat="1" ht="21.6" customHeight="1">
      <c r="C516" s="290" t="s">
        <v>1201</v>
      </c>
      <c r="D516" s="182" t="s">
        <v>1202</v>
      </c>
      <c r="E516" s="182"/>
      <c r="F516" s="70"/>
      <c r="G516" s="70"/>
      <c r="H516" s="70"/>
      <c r="I516" s="71"/>
      <c r="J516" s="119"/>
    </row>
    <row r="517" spans="3:10" s="59" customFormat="1" ht="21.6" customHeight="1">
      <c r="C517" s="281">
        <v>1</v>
      </c>
      <c r="D517" s="182" t="s">
        <v>5</v>
      </c>
      <c r="E517" s="176" t="s">
        <v>1774</v>
      </c>
      <c r="F517" s="176" t="s">
        <v>6</v>
      </c>
      <c r="G517" s="315">
        <v>0.2268</v>
      </c>
      <c r="H517" s="283">
        <f>VLOOKUP(D517,upahbahan,3,FALSE)</f>
        <v>100000</v>
      </c>
      <c r="I517" s="284">
        <f>G517*H517</f>
        <v>22680</v>
      </c>
      <c r="J517" s="119"/>
    </row>
    <row r="518" spans="3:10" s="59" customFormat="1" ht="21.6" customHeight="1">
      <c r="C518" s="281">
        <v>2</v>
      </c>
      <c r="D518" s="182" t="s">
        <v>19</v>
      </c>
      <c r="E518" s="176" t="s">
        <v>1777</v>
      </c>
      <c r="F518" s="176" t="s">
        <v>6</v>
      </c>
      <c r="G518" s="315">
        <v>2.2700000000000001E-2</v>
      </c>
      <c r="H518" s="283">
        <f>VLOOKUP(D518,upahbahan,3,FALSE)</f>
        <v>160000</v>
      </c>
      <c r="I518" s="284">
        <f>G518*H518</f>
        <v>3632.0000000000005</v>
      </c>
      <c r="J518" s="119"/>
    </row>
    <row r="519" spans="3:10" s="59" customFormat="1" ht="21.6" customHeight="1">
      <c r="C519" s="66" t="s">
        <v>1208</v>
      </c>
      <c r="D519" s="67"/>
      <c r="E519" s="67"/>
      <c r="F519" s="67"/>
      <c r="G519" s="67"/>
      <c r="H519" s="69"/>
      <c r="I519" s="284">
        <f>SUM(I517:I518)</f>
        <v>26312</v>
      </c>
      <c r="J519" s="119"/>
    </row>
    <row r="520" spans="3:10" s="59" customFormat="1" ht="21.6" customHeight="1">
      <c r="C520" s="290" t="s">
        <v>1209</v>
      </c>
      <c r="D520" s="182" t="s">
        <v>1210</v>
      </c>
      <c r="E520" s="182"/>
      <c r="F520" s="70"/>
      <c r="G520" s="70"/>
      <c r="H520" s="70"/>
      <c r="I520" s="71"/>
      <c r="J520" s="119"/>
    </row>
    <row r="521" spans="3:10" s="59" customFormat="1" ht="21.6" customHeight="1">
      <c r="C521" s="66" t="s">
        <v>1214</v>
      </c>
      <c r="D521" s="67"/>
      <c r="E521" s="67"/>
      <c r="F521" s="67"/>
      <c r="G521" s="67"/>
      <c r="H521" s="69"/>
      <c r="I521" s="292">
        <v>0</v>
      </c>
      <c r="J521" s="119"/>
    </row>
    <row r="522" spans="3:10" s="59" customFormat="1" ht="21.6" customHeight="1">
      <c r="C522" s="290" t="s">
        <v>1215</v>
      </c>
      <c r="D522" s="182" t="s">
        <v>1216</v>
      </c>
      <c r="E522" s="182"/>
      <c r="F522" s="70"/>
      <c r="G522" s="70"/>
      <c r="H522" s="70"/>
      <c r="I522" s="71"/>
      <c r="J522" s="119"/>
    </row>
    <row r="523" spans="3:10" s="59" customFormat="1" ht="21.6" customHeight="1">
      <c r="C523" s="290">
        <v>1</v>
      </c>
      <c r="D523" s="182" t="s">
        <v>1111</v>
      </c>
      <c r="E523" s="182"/>
      <c r="F523" s="182" t="s">
        <v>1974</v>
      </c>
      <c r="G523" s="186">
        <v>6.3E-2</v>
      </c>
      <c r="H523" s="183">
        <f>VLOOKUP(D523,upahbahan,3,FALSE)</f>
        <v>2300000</v>
      </c>
      <c r="I523" s="325">
        <f>G523*H523</f>
        <v>144900</v>
      </c>
      <c r="J523" s="48"/>
    </row>
    <row r="524" spans="3:10" s="59" customFormat="1" ht="21.6" customHeight="1">
      <c r="C524" s="66" t="s">
        <v>1217</v>
      </c>
      <c r="D524" s="67"/>
      <c r="E524" s="67"/>
      <c r="F524" s="67"/>
      <c r="G524" s="67"/>
      <c r="H524" s="69"/>
      <c r="I524" s="292">
        <f>SUM(I523)</f>
        <v>144900</v>
      </c>
      <c r="J524" s="119"/>
    </row>
    <row r="525" spans="3:10" s="59" customFormat="1" ht="21.6" customHeight="1">
      <c r="C525" s="293" t="s">
        <v>1218</v>
      </c>
      <c r="D525" s="294" t="s">
        <v>1219</v>
      </c>
      <c r="E525" s="295"/>
      <c r="F525" s="295"/>
      <c r="G525" s="295"/>
      <c r="H525" s="296"/>
      <c r="I525" s="284">
        <f>I519+I521+I524</f>
        <v>171212</v>
      </c>
      <c r="J525" s="119"/>
    </row>
    <row r="526" spans="3:10" s="59" customFormat="1" ht="21.6" customHeight="1">
      <c r="C526" s="293" t="s">
        <v>1220</v>
      </c>
      <c r="D526" s="294" t="s">
        <v>1249</v>
      </c>
      <c r="E526" s="295"/>
      <c r="F526" s="295"/>
      <c r="G526" s="296"/>
      <c r="H526" s="298">
        <v>0.1</v>
      </c>
      <c r="I526" s="284">
        <f>I525*H526</f>
        <v>17121.2</v>
      </c>
      <c r="J526" s="119"/>
    </row>
    <row r="527" spans="3:10" s="59" customFormat="1" ht="21.6" customHeight="1" thickBot="1">
      <c r="C527" s="299" t="s">
        <v>1221</v>
      </c>
      <c r="D527" s="300" t="s">
        <v>1222</v>
      </c>
      <c r="E527" s="301"/>
      <c r="F527" s="301"/>
      <c r="G527" s="301"/>
      <c r="H527" s="302"/>
      <c r="I527" s="303">
        <f>SUM(I525:I526)</f>
        <v>188333.2</v>
      </c>
      <c r="J527" s="119"/>
    </row>
    <row r="528" spans="3:10" ht="21.6" customHeight="1" thickTop="1"/>
    <row r="529" spans="3:10" ht="21.6" customHeight="1"/>
    <row r="530" spans="3:10" s="59" customFormat="1" ht="21.6" customHeight="1" thickBot="1">
      <c r="C530" s="47" t="s">
        <v>2036</v>
      </c>
      <c r="D530" s="488" t="s">
        <v>2037</v>
      </c>
      <c r="E530" s="119"/>
      <c r="F530" s="965"/>
      <c r="G530" s="965"/>
      <c r="H530" s="965"/>
      <c r="I530" s="965"/>
      <c r="J530" s="120">
        <f>ROUNDDOWN(I543,-2)</f>
        <v>205100</v>
      </c>
    </row>
    <row r="531" spans="3:10" s="59" customFormat="1" ht="21.6" customHeight="1" thickTop="1">
      <c r="C531" s="51" t="s">
        <v>1195</v>
      </c>
      <c r="D531" s="52" t="s">
        <v>1196</v>
      </c>
      <c r="E531" s="52"/>
      <c r="F531" s="52" t="s">
        <v>1197</v>
      </c>
      <c r="G531" s="52" t="s">
        <v>1198</v>
      </c>
      <c r="H531" s="52" t="s">
        <v>1199</v>
      </c>
      <c r="I531" s="53" t="s">
        <v>1200</v>
      </c>
      <c r="J531" s="1074"/>
    </row>
    <row r="532" spans="3:10" s="59" customFormat="1" ht="21.6" customHeight="1">
      <c r="C532" s="290" t="s">
        <v>1201</v>
      </c>
      <c r="D532" s="182" t="s">
        <v>1202</v>
      </c>
      <c r="E532" s="182"/>
      <c r="F532" s="70"/>
      <c r="G532" s="70"/>
      <c r="H532" s="70"/>
      <c r="I532" s="71"/>
      <c r="J532" s="119"/>
    </row>
    <row r="533" spans="3:10" s="59" customFormat="1" ht="21.6" customHeight="1">
      <c r="C533" s="281">
        <v>1</v>
      </c>
      <c r="D533" s="182" t="s">
        <v>5</v>
      </c>
      <c r="E533" s="176" t="s">
        <v>1774</v>
      </c>
      <c r="F533" s="176" t="s">
        <v>6</v>
      </c>
      <c r="G533" s="315">
        <v>0.30270000000000002</v>
      </c>
      <c r="H533" s="283">
        <f>VLOOKUP(D533,upahbahan,3,FALSE)</f>
        <v>100000</v>
      </c>
      <c r="I533" s="284">
        <f>G533*H533</f>
        <v>30270.000000000004</v>
      </c>
      <c r="J533" s="119"/>
    </row>
    <row r="534" spans="3:10" s="59" customFormat="1" ht="21.6" customHeight="1">
      <c r="C534" s="281">
        <v>2</v>
      </c>
      <c r="D534" s="182" t="s">
        <v>19</v>
      </c>
      <c r="E534" s="176" t="s">
        <v>1777</v>
      </c>
      <c r="F534" s="176" t="s">
        <v>6</v>
      </c>
      <c r="G534" s="315">
        <v>3.0300000000000001E-2</v>
      </c>
      <c r="H534" s="283">
        <f>VLOOKUP(D534,upahbahan,3,FALSE)</f>
        <v>160000</v>
      </c>
      <c r="I534" s="284">
        <f>G534*H534</f>
        <v>4848</v>
      </c>
      <c r="J534" s="119"/>
    </row>
    <row r="535" spans="3:10" s="59" customFormat="1" ht="21.6" customHeight="1">
      <c r="C535" s="66" t="s">
        <v>1208</v>
      </c>
      <c r="D535" s="67"/>
      <c r="E535" s="67"/>
      <c r="F535" s="67"/>
      <c r="G535" s="67"/>
      <c r="H535" s="69"/>
      <c r="I535" s="284">
        <f>SUM(I533:I534)</f>
        <v>35118</v>
      </c>
      <c r="J535" s="119"/>
    </row>
    <row r="536" spans="3:10" s="59" customFormat="1" ht="21.6" customHeight="1">
      <c r="C536" s="290" t="s">
        <v>1209</v>
      </c>
      <c r="D536" s="182" t="s">
        <v>1210</v>
      </c>
      <c r="E536" s="182"/>
      <c r="F536" s="70"/>
      <c r="G536" s="70"/>
      <c r="H536" s="70"/>
      <c r="I536" s="71"/>
      <c r="J536" s="119"/>
    </row>
    <row r="537" spans="3:10" s="59" customFormat="1" ht="21.6" customHeight="1">
      <c r="C537" s="66" t="s">
        <v>1214</v>
      </c>
      <c r="D537" s="67"/>
      <c r="E537" s="67"/>
      <c r="F537" s="67"/>
      <c r="G537" s="67"/>
      <c r="H537" s="69"/>
      <c r="I537" s="292">
        <v>0</v>
      </c>
      <c r="J537" s="119"/>
    </row>
    <row r="538" spans="3:10" s="59" customFormat="1" ht="21.6" customHeight="1">
      <c r="C538" s="290" t="s">
        <v>1215</v>
      </c>
      <c r="D538" s="182" t="s">
        <v>1216</v>
      </c>
      <c r="E538" s="182"/>
      <c r="F538" s="70"/>
      <c r="G538" s="70"/>
      <c r="H538" s="70"/>
      <c r="I538" s="71"/>
      <c r="J538" s="119"/>
    </row>
    <row r="539" spans="3:10" s="59" customFormat="1" ht="21.6" customHeight="1">
      <c r="C539" s="290">
        <v>1</v>
      </c>
      <c r="D539" s="182" t="s">
        <v>1111</v>
      </c>
      <c r="E539" s="182"/>
      <c r="F539" s="182" t="s">
        <v>1974</v>
      </c>
      <c r="G539" s="186">
        <v>6.5799999999999997E-2</v>
      </c>
      <c r="H539" s="183">
        <f>VLOOKUP(D539,upahbahan,3,FALSE)</f>
        <v>2300000</v>
      </c>
      <c r="I539" s="325">
        <f>G539*H539</f>
        <v>151340</v>
      </c>
      <c r="J539" s="48"/>
    </row>
    <row r="540" spans="3:10" s="59" customFormat="1" ht="21.6" customHeight="1">
      <c r="C540" s="66" t="s">
        <v>1217</v>
      </c>
      <c r="D540" s="67"/>
      <c r="E540" s="67"/>
      <c r="F540" s="67"/>
      <c r="G540" s="67"/>
      <c r="H540" s="69"/>
      <c r="I540" s="292">
        <f>SUM(I539)</f>
        <v>151340</v>
      </c>
      <c r="J540" s="119"/>
    </row>
    <row r="541" spans="3:10" s="59" customFormat="1" ht="21.6" customHeight="1">
      <c r="C541" s="293" t="s">
        <v>1218</v>
      </c>
      <c r="D541" s="294" t="s">
        <v>1219</v>
      </c>
      <c r="E541" s="295"/>
      <c r="F541" s="295"/>
      <c r="G541" s="295"/>
      <c r="H541" s="296"/>
      <c r="I541" s="284">
        <f>I535+I537+I540</f>
        <v>186458</v>
      </c>
      <c r="J541" s="119"/>
    </row>
    <row r="542" spans="3:10" s="59" customFormat="1" ht="21.6" customHeight="1">
      <c r="C542" s="293" t="s">
        <v>1220</v>
      </c>
      <c r="D542" s="294" t="s">
        <v>1249</v>
      </c>
      <c r="E542" s="295"/>
      <c r="F542" s="295"/>
      <c r="G542" s="296"/>
      <c r="H542" s="298">
        <v>0.1</v>
      </c>
      <c r="I542" s="284">
        <f>I541*H542</f>
        <v>18645.8</v>
      </c>
      <c r="J542" s="119"/>
    </row>
    <row r="543" spans="3:10" s="59" customFormat="1" ht="21.6" customHeight="1" thickBot="1">
      <c r="C543" s="299" t="s">
        <v>1221</v>
      </c>
      <c r="D543" s="300" t="s">
        <v>1222</v>
      </c>
      <c r="E543" s="301"/>
      <c r="F543" s="301"/>
      <c r="G543" s="301"/>
      <c r="H543" s="302"/>
      <c r="I543" s="303">
        <f>SUM(I541:I542)</f>
        <v>205103.8</v>
      </c>
      <c r="J543" s="119"/>
    </row>
    <row r="544" spans="3:10" ht="21.6" customHeight="1" thickTop="1"/>
    <row r="545" spans="3:10" s="59" customFormat="1" ht="21.6" customHeight="1" thickBot="1">
      <c r="C545" s="47" t="s">
        <v>2038</v>
      </c>
      <c r="D545" s="488" t="s">
        <v>2039</v>
      </c>
      <c r="E545" s="119"/>
      <c r="F545" s="965"/>
      <c r="G545" s="965"/>
      <c r="H545" s="965"/>
      <c r="I545" s="965"/>
      <c r="J545" s="120">
        <f>ROUNDDOWN(I558,-2)</f>
        <v>227100</v>
      </c>
    </row>
    <row r="546" spans="3:10" s="59" customFormat="1" ht="21.6" customHeight="1" thickTop="1">
      <c r="C546" s="51" t="s">
        <v>1195</v>
      </c>
      <c r="D546" s="52" t="s">
        <v>1196</v>
      </c>
      <c r="E546" s="52"/>
      <c r="F546" s="52" t="s">
        <v>1197</v>
      </c>
      <c r="G546" s="52" t="s">
        <v>1198</v>
      </c>
      <c r="H546" s="52" t="s">
        <v>1199</v>
      </c>
      <c r="I546" s="53" t="s">
        <v>1200</v>
      </c>
      <c r="J546" s="1074"/>
    </row>
    <row r="547" spans="3:10" s="59" customFormat="1" ht="21.6" customHeight="1">
      <c r="C547" s="290" t="s">
        <v>1201</v>
      </c>
      <c r="D547" s="182" t="s">
        <v>1202</v>
      </c>
      <c r="E547" s="182"/>
      <c r="F547" s="70"/>
      <c r="G547" s="70"/>
      <c r="H547" s="70"/>
      <c r="I547" s="71"/>
      <c r="J547" s="119"/>
    </row>
    <row r="548" spans="3:10" s="59" customFormat="1" ht="21.6" customHeight="1">
      <c r="C548" s="281">
        <v>1</v>
      </c>
      <c r="D548" s="182" t="s">
        <v>5</v>
      </c>
      <c r="E548" s="176" t="s">
        <v>1774</v>
      </c>
      <c r="F548" s="176" t="s">
        <v>6</v>
      </c>
      <c r="G548" s="315">
        <v>0.39200000000000002</v>
      </c>
      <c r="H548" s="283">
        <f>VLOOKUP(D548,upahbahan,3,FALSE)</f>
        <v>100000</v>
      </c>
      <c r="I548" s="284">
        <f>G548*H548</f>
        <v>39200</v>
      </c>
      <c r="J548" s="119"/>
    </row>
    <row r="549" spans="3:10" s="59" customFormat="1" ht="21.6" customHeight="1">
      <c r="C549" s="281">
        <v>2</v>
      </c>
      <c r="D549" s="182" t="s">
        <v>19</v>
      </c>
      <c r="E549" s="176" t="s">
        <v>1777</v>
      </c>
      <c r="F549" s="176" t="s">
        <v>6</v>
      </c>
      <c r="G549" s="315">
        <v>3.9199999999999999E-2</v>
      </c>
      <c r="H549" s="283">
        <f>VLOOKUP(D549,upahbahan,3,FALSE)</f>
        <v>160000</v>
      </c>
      <c r="I549" s="284">
        <f>G549*H549</f>
        <v>6272</v>
      </c>
      <c r="J549" s="119"/>
    </row>
    <row r="550" spans="3:10" s="59" customFormat="1" ht="21.6" customHeight="1">
      <c r="C550" s="66" t="s">
        <v>1208</v>
      </c>
      <c r="D550" s="67"/>
      <c r="E550" s="67"/>
      <c r="F550" s="67"/>
      <c r="G550" s="67"/>
      <c r="H550" s="69"/>
      <c r="I550" s="284">
        <f>SUM(I548:I549)</f>
        <v>45472</v>
      </c>
      <c r="J550" s="119"/>
    </row>
    <row r="551" spans="3:10" s="59" customFormat="1" ht="21.6" customHeight="1">
      <c r="C551" s="290" t="s">
        <v>1209</v>
      </c>
      <c r="D551" s="182" t="s">
        <v>1210</v>
      </c>
      <c r="E551" s="182"/>
      <c r="F551" s="70"/>
      <c r="G551" s="70"/>
      <c r="H551" s="70"/>
      <c r="I551" s="71"/>
      <c r="J551" s="119"/>
    </row>
    <row r="552" spans="3:10" s="59" customFormat="1" ht="21.6" customHeight="1">
      <c r="C552" s="66" t="s">
        <v>1214</v>
      </c>
      <c r="D552" s="67"/>
      <c r="E552" s="67"/>
      <c r="F552" s="67"/>
      <c r="G552" s="67"/>
      <c r="H552" s="69"/>
      <c r="I552" s="292">
        <v>0</v>
      </c>
      <c r="J552" s="119"/>
    </row>
    <row r="553" spans="3:10" s="59" customFormat="1" ht="21.6" customHeight="1">
      <c r="C553" s="290" t="s">
        <v>1215</v>
      </c>
      <c r="D553" s="182" t="s">
        <v>1216</v>
      </c>
      <c r="E553" s="182"/>
      <c r="F553" s="70"/>
      <c r="G553" s="70"/>
      <c r="H553" s="70"/>
      <c r="I553" s="71"/>
      <c r="J553" s="119"/>
    </row>
    <row r="554" spans="3:10" s="59" customFormat="1" ht="21.6" customHeight="1">
      <c r="C554" s="290">
        <v>1</v>
      </c>
      <c r="D554" s="182" t="s">
        <v>1111</v>
      </c>
      <c r="E554" s="182"/>
      <c r="F554" s="182" t="s">
        <v>1974</v>
      </c>
      <c r="G554" s="186">
        <v>7.0000000000000007E-2</v>
      </c>
      <c r="H554" s="183">
        <f>VLOOKUP(D554,upahbahan,3,FALSE)</f>
        <v>2300000</v>
      </c>
      <c r="I554" s="325">
        <f>G554*H554</f>
        <v>161000.00000000003</v>
      </c>
      <c r="J554" s="48"/>
    </row>
    <row r="555" spans="3:10" s="59" customFormat="1" ht="21.6" customHeight="1">
      <c r="C555" s="66" t="s">
        <v>1217</v>
      </c>
      <c r="D555" s="67"/>
      <c r="E555" s="67"/>
      <c r="F555" s="67"/>
      <c r="G555" s="67"/>
      <c r="H555" s="69"/>
      <c r="I555" s="292">
        <f>SUM(I554)</f>
        <v>161000.00000000003</v>
      </c>
      <c r="J555" s="119"/>
    </row>
    <row r="556" spans="3:10" s="59" customFormat="1" ht="21.6" customHeight="1">
      <c r="C556" s="293" t="s">
        <v>1218</v>
      </c>
      <c r="D556" s="294" t="s">
        <v>1219</v>
      </c>
      <c r="E556" s="295"/>
      <c r="F556" s="295"/>
      <c r="G556" s="295"/>
      <c r="H556" s="296"/>
      <c r="I556" s="284">
        <f>I550+I552+I555</f>
        <v>206472.00000000003</v>
      </c>
      <c r="J556" s="119"/>
    </row>
    <row r="557" spans="3:10" s="59" customFormat="1" ht="21.6" customHeight="1">
      <c r="C557" s="293" t="s">
        <v>1220</v>
      </c>
      <c r="D557" s="294" t="s">
        <v>1249</v>
      </c>
      <c r="E557" s="295"/>
      <c r="F557" s="295"/>
      <c r="G557" s="296"/>
      <c r="H557" s="298">
        <v>0.1</v>
      </c>
      <c r="I557" s="284">
        <f>I556*H557</f>
        <v>20647.200000000004</v>
      </c>
      <c r="J557" s="119"/>
    </row>
    <row r="558" spans="3:10" s="59" customFormat="1" ht="21.6" customHeight="1" thickBot="1">
      <c r="C558" s="299" t="s">
        <v>1221</v>
      </c>
      <c r="D558" s="300" t="s">
        <v>1222</v>
      </c>
      <c r="E558" s="301"/>
      <c r="F558" s="301"/>
      <c r="G558" s="301"/>
      <c r="H558" s="302"/>
      <c r="I558" s="303">
        <f>SUM(I556:I557)</f>
        <v>227119.20000000004</v>
      </c>
      <c r="J558" s="119"/>
    </row>
    <row r="559" spans="3:10" ht="21.6" customHeight="1" thickTop="1"/>
    <row r="560" spans="3:10" s="59" customFormat="1" ht="21.6" customHeight="1" thickBot="1">
      <c r="C560" s="47" t="s">
        <v>2040</v>
      </c>
      <c r="D560" s="488" t="s">
        <v>2041</v>
      </c>
      <c r="E560" s="119"/>
      <c r="F560" s="965"/>
      <c r="G560" s="965"/>
      <c r="H560" s="965"/>
      <c r="I560" s="965"/>
      <c r="J560" s="120">
        <f>ROUNDDOWN(I573,-2)</f>
        <v>22800</v>
      </c>
    </row>
    <row r="561" spans="3:10" s="59" customFormat="1" ht="21.6" customHeight="1" thickTop="1">
      <c r="C561" s="51" t="s">
        <v>1195</v>
      </c>
      <c r="D561" s="52" t="s">
        <v>1196</v>
      </c>
      <c r="E561" s="52"/>
      <c r="F561" s="52" t="s">
        <v>1197</v>
      </c>
      <c r="G561" s="52" t="s">
        <v>1198</v>
      </c>
      <c r="H561" s="52" t="s">
        <v>1199</v>
      </c>
      <c r="I561" s="53" t="s">
        <v>1200</v>
      </c>
      <c r="J561" s="1074"/>
    </row>
    <row r="562" spans="3:10" s="59" customFormat="1" ht="21.6" customHeight="1">
      <c r="C562" s="290" t="s">
        <v>1201</v>
      </c>
      <c r="D562" s="182" t="s">
        <v>1202</v>
      </c>
      <c r="E562" s="182"/>
      <c r="F562" s="70"/>
      <c r="G562" s="70"/>
      <c r="H562" s="70"/>
      <c r="I562" s="71"/>
      <c r="J562" s="119"/>
    </row>
    <row r="563" spans="3:10" s="59" customFormat="1" ht="21.6" customHeight="1">
      <c r="C563" s="281">
        <v>1</v>
      </c>
      <c r="D563" s="182" t="s">
        <v>5</v>
      </c>
      <c r="E563" s="176" t="s">
        <v>1774</v>
      </c>
      <c r="F563" s="176" t="s">
        <v>6</v>
      </c>
      <c r="G563" s="315">
        <v>0.1</v>
      </c>
      <c r="H563" s="283">
        <f>VLOOKUP(D563,upahbahan,3,FALSE)</f>
        <v>100000</v>
      </c>
      <c r="I563" s="284">
        <f>G563*H563</f>
        <v>10000</v>
      </c>
      <c r="J563" s="119"/>
    </row>
    <row r="564" spans="3:10" s="59" customFormat="1" ht="21.6" customHeight="1">
      <c r="C564" s="281">
        <v>2</v>
      </c>
      <c r="D564" s="182" t="s">
        <v>19</v>
      </c>
      <c r="E564" s="176" t="s">
        <v>1777</v>
      </c>
      <c r="F564" s="176" t="s">
        <v>6</v>
      </c>
      <c r="G564" s="315">
        <v>0.01</v>
      </c>
      <c r="H564" s="283">
        <f>VLOOKUP(D564,upahbahan,3,FALSE)</f>
        <v>160000</v>
      </c>
      <c r="I564" s="284">
        <f>G564*H564</f>
        <v>1600</v>
      </c>
      <c r="J564" s="119"/>
    </row>
    <row r="565" spans="3:10" s="59" customFormat="1" ht="21.6" customHeight="1">
      <c r="C565" s="66" t="s">
        <v>1208</v>
      </c>
      <c r="D565" s="67"/>
      <c r="E565" s="67"/>
      <c r="F565" s="67"/>
      <c r="G565" s="67"/>
      <c r="H565" s="69"/>
      <c r="I565" s="284">
        <f>SUM(I563:I564)</f>
        <v>11600</v>
      </c>
      <c r="J565" s="119"/>
    </row>
    <row r="566" spans="3:10" s="59" customFormat="1" ht="21.6" customHeight="1">
      <c r="C566" s="290" t="s">
        <v>1209</v>
      </c>
      <c r="D566" s="182" t="s">
        <v>1210</v>
      </c>
      <c r="E566" s="182"/>
      <c r="F566" s="70"/>
      <c r="G566" s="70"/>
      <c r="H566" s="70"/>
      <c r="I566" s="71"/>
      <c r="J566" s="119"/>
    </row>
    <row r="567" spans="3:10" s="59" customFormat="1" ht="21.6" customHeight="1">
      <c r="C567" s="66" t="s">
        <v>1214</v>
      </c>
      <c r="D567" s="67"/>
      <c r="E567" s="67"/>
      <c r="F567" s="67"/>
      <c r="G567" s="67"/>
      <c r="H567" s="69"/>
      <c r="I567" s="292">
        <v>0</v>
      </c>
      <c r="J567" s="119"/>
    </row>
    <row r="568" spans="3:10" s="59" customFormat="1" ht="21.6" customHeight="1">
      <c r="C568" s="290" t="s">
        <v>1215</v>
      </c>
      <c r="D568" s="182" t="s">
        <v>1216</v>
      </c>
      <c r="E568" s="182"/>
      <c r="F568" s="70"/>
      <c r="G568" s="70"/>
      <c r="H568" s="70"/>
      <c r="I568" s="71"/>
      <c r="J568" s="119"/>
    </row>
    <row r="569" spans="3:10" s="59" customFormat="1" ht="21.6" customHeight="1">
      <c r="C569" s="290">
        <v>1</v>
      </c>
      <c r="D569" s="182" t="s">
        <v>1111</v>
      </c>
      <c r="E569" s="182"/>
      <c r="F569" s="182" t="s">
        <v>1974</v>
      </c>
      <c r="G569" s="186">
        <v>4.0000000000000001E-3</v>
      </c>
      <c r="H569" s="183">
        <f>VLOOKUP(D569,upahbahan,3,FALSE)</f>
        <v>2300000</v>
      </c>
      <c r="I569" s="325">
        <f>G569*H569</f>
        <v>9200</v>
      </c>
      <c r="J569" s="48"/>
    </row>
    <row r="570" spans="3:10" s="59" customFormat="1" ht="21.6" customHeight="1">
      <c r="C570" s="66" t="s">
        <v>1217</v>
      </c>
      <c r="D570" s="67"/>
      <c r="E570" s="67"/>
      <c r="F570" s="67"/>
      <c r="G570" s="67"/>
      <c r="H570" s="69"/>
      <c r="I570" s="292">
        <f>SUM(I569)</f>
        <v>9200</v>
      </c>
      <c r="J570" s="119"/>
    </row>
    <row r="571" spans="3:10" s="59" customFormat="1" ht="21.6" customHeight="1">
      <c r="C571" s="293" t="s">
        <v>1218</v>
      </c>
      <c r="D571" s="294" t="s">
        <v>1219</v>
      </c>
      <c r="E571" s="295"/>
      <c r="F571" s="295"/>
      <c r="G571" s="295"/>
      <c r="H571" s="296"/>
      <c r="I571" s="284">
        <f>I565+I567+I570</f>
        <v>20800</v>
      </c>
      <c r="J571" s="119"/>
    </row>
    <row r="572" spans="3:10" s="59" customFormat="1" ht="21.6" customHeight="1">
      <c r="C572" s="293" t="s">
        <v>1220</v>
      </c>
      <c r="D572" s="294" t="s">
        <v>1249</v>
      </c>
      <c r="E572" s="295"/>
      <c r="F572" s="295"/>
      <c r="G572" s="296"/>
      <c r="H572" s="298">
        <v>0.1</v>
      </c>
      <c r="I572" s="284">
        <f>I571*H572</f>
        <v>2080</v>
      </c>
      <c r="J572" s="119"/>
    </row>
    <row r="573" spans="3:10" s="59" customFormat="1" ht="21.6" customHeight="1" thickBot="1">
      <c r="C573" s="299" t="s">
        <v>1221</v>
      </c>
      <c r="D573" s="300" t="s">
        <v>1222</v>
      </c>
      <c r="E573" s="301"/>
      <c r="F573" s="301"/>
      <c r="G573" s="301"/>
      <c r="H573" s="302"/>
      <c r="I573" s="303">
        <f>SUM(I571:I572)</f>
        <v>22880</v>
      </c>
      <c r="J573" s="119"/>
    </row>
    <row r="574" spans="3:10" ht="21.6" customHeight="1" thickTop="1"/>
    <row r="575" spans="3:10" ht="21.6" customHeight="1"/>
    <row r="576" spans="3:10" s="119" customFormat="1" ht="21.6" customHeight="1">
      <c r="C576" s="46" t="s">
        <v>2045</v>
      </c>
      <c r="D576" s="47" t="s">
        <v>2046</v>
      </c>
      <c r="E576" s="47"/>
      <c r="F576" s="47"/>
      <c r="G576" s="47"/>
      <c r="H576" s="47"/>
      <c r="I576" s="47"/>
    </row>
    <row r="577" spans="3:10" s="119" customFormat="1" ht="21.6" customHeight="1">
      <c r="C577" s="46" t="s">
        <v>2047</v>
      </c>
      <c r="D577" s="47" t="s">
        <v>1955</v>
      </c>
      <c r="E577" s="47"/>
      <c r="F577" s="47"/>
      <c r="G577" s="47"/>
      <c r="H577" s="47"/>
      <c r="I577" s="47"/>
    </row>
    <row r="578" spans="3:10" s="59" customFormat="1" ht="21.6" customHeight="1" thickBot="1">
      <c r="C578" s="47" t="s">
        <v>2048</v>
      </c>
      <c r="D578" s="488" t="s">
        <v>2049</v>
      </c>
      <c r="E578" s="119"/>
      <c r="F578" s="965"/>
      <c r="G578" s="965"/>
      <c r="H578" s="965"/>
      <c r="I578" s="965"/>
      <c r="J578" s="120">
        <f>ROUNDDOWN(I590,-2)</f>
        <v>142500</v>
      </c>
    </row>
    <row r="579" spans="3:10" s="59" customFormat="1" ht="21.6" customHeight="1" thickTop="1">
      <c r="C579" s="51" t="s">
        <v>1195</v>
      </c>
      <c r="D579" s="52" t="s">
        <v>1196</v>
      </c>
      <c r="E579" s="52"/>
      <c r="F579" s="52" t="s">
        <v>1197</v>
      </c>
      <c r="G579" s="52" t="s">
        <v>1198</v>
      </c>
      <c r="H579" s="52" t="s">
        <v>1199</v>
      </c>
      <c r="I579" s="53" t="s">
        <v>1200</v>
      </c>
      <c r="J579" s="1074"/>
    </row>
    <row r="580" spans="3:10" s="59" customFormat="1" ht="21.6" customHeight="1">
      <c r="C580" s="290" t="s">
        <v>1201</v>
      </c>
      <c r="D580" s="182" t="s">
        <v>1202</v>
      </c>
      <c r="E580" s="182"/>
      <c r="F580" s="70"/>
      <c r="G580" s="70"/>
      <c r="H580" s="70"/>
      <c r="I580" s="71"/>
      <c r="J580" s="119"/>
    </row>
    <row r="581" spans="3:10" s="59" customFormat="1" ht="21.6" customHeight="1">
      <c r="C581" s="281">
        <v>1</v>
      </c>
      <c r="D581" s="182" t="s">
        <v>5</v>
      </c>
      <c r="E581" s="176" t="s">
        <v>1774</v>
      </c>
      <c r="F581" s="176" t="s">
        <v>6</v>
      </c>
      <c r="G581" s="315">
        <v>1.2</v>
      </c>
      <c r="H581" s="283">
        <f>VLOOKUP(D581,upahbahan,3,FALSE)</f>
        <v>100000</v>
      </c>
      <c r="I581" s="284">
        <f>G581*H581</f>
        <v>120000</v>
      </c>
      <c r="J581" s="119"/>
    </row>
    <row r="582" spans="3:10" s="59" customFormat="1" ht="21.6" customHeight="1">
      <c r="C582" s="281">
        <v>2</v>
      </c>
      <c r="D582" s="182" t="s">
        <v>19</v>
      </c>
      <c r="E582" s="176" t="s">
        <v>1777</v>
      </c>
      <c r="F582" s="176" t="s">
        <v>6</v>
      </c>
      <c r="G582" s="315">
        <v>0.06</v>
      </c>
      <c r="H582" s="283">
        <f>VLOOKUP(D582,upahbahan,3,FALSE)</f>
        <v>160000</v>
      </c>
      <c r="I582" s="284">
        <f>G582*H582</f>
        <v>9600</v>
      </c>
      <c r="J582" s="119"/>
    </row>
    <row r="583" spans="3:10" s="59" customFormat="1" ht="21.6" customHeight="1">
      <c r="C583" s="66" t="s">
        <v>1208</v>
      </c>
      <c r="D583" s="67"/>
      <c r="E583" s="67"/>
      <c r="F583" s="67"/>
      <c r="G583" s="67"/>
      <c r="H583" s="69"/>
      <c r="I583" s="284">
        <f>SUM(I581:I582)</f>
        <v>129600</v>
      </c>
      <c r="J583" s="119"/>
    </row>
    <row r="584" spans="3:10" s="59" customFormat="1" ht="21.6" customHeight="1">
      <c r="C584" s="290" t="s">
        <v>1209</v>
      </c>
      <c r="D584" s="182" t="s">
        <v>1210</v>
      </c>
      <c r="E584" s="182"/>
      <c r="F584" s="70"/>
      <c r="G584" s="70"/>
      <c r="H584" s="70"/>
      <c r="I584" s="71"/>
      <c r="J584" s="119"/>
    </row>
    <row r="585" spans="3:10" s="59" customFormat="1" ht="21.6" customHeight="1">
      <c r="C585" s="66" t="s">
        <v>1214</v>
      </c>
      <c r="D585" s="67"/>
      <c r="E585" s="67"/>
      <c r="F585" s="67"/>
      <c r="G585" s="67"/>
      <c r="H585" s="69"/>
      <c r="I585" s="292">
        <v>0</v>
      </c>
      <c r="J585" s="119"/>
    </row>
    <row r="586" spans="3:10" s="59" customFormat="1" ht="21.6" customHeight="1">
      <c r="C586" s="290" t="s">
        <v>1215</v>
      </c>
      <c r="D586" s="182" t="s">
        <v>1216</v>
      </c>
      <c r="E586" s="182"/>
      <c r="F586" s="70"/>
      <c r="G586" s="70"/>
      <c r="H586" s="70"/>
      <c r="I586" s="71"/>
      <c r="J586" s="119"/>
    </row>
    <row r="587" spans="3:10" s="59" customFormat="1" ht="21.6" customHeight="1">
      <c r="C587" s="66" t="s">
        <v>1217</v>
      </c>
      <c r="D587" s="67"/>
      <c r="E587" s="67"/>
      <c r="F587" s="67"/>
      <c r="G587" s="67"/>
      <c r="H587" s="69"/>
      <c r="I587" s="292">
        <v>0</v>
      </c>
      <c r="J587" s="119"/>
    </row>
    <row r="588" spans="3:10" s="59" customFormat="1" ht="21.6" customHeight="1">
      <c r="C588" s="293" t="s">
        <v>1218</v>
      </c>
      <c r="D588" s="294" t="s">
        <v>1219</v>
      </c>
      <c r="E588" s="295"/>
      <c r="F588" s="295"/>
      <c r="G588" s="295"/>
      <c r="H588" s="296"/>
      <c r="I588" s="284">
        <f>I583+I585+I587</f>
        <v>129600</v>
      </c>
      <c r="J588" s="119"/>
    </row>
    <row r="589" spans="3:10" s="59" customFormat="1" ht="21.6" customHeight="1">
      <c r="C589" s="293" t="s">
        <v>1220</v>
      </c>
      <c r="D589" s="294" t="s">
        <v>1249</v>
      </c>
      <c r="E589" s="295"/>
      <c r="F589" s="295"/>
      <c r="G589" s="296"/>
      <c r="H589" s="298">
        <v>0.1</v>
      </c>
      <c r="I589" s="284">
        <f>I588*H589</f>
        <v>12960</v>
      </c>
      <c r="J589" s="119"/>
    </row>
    <row r="590" spans="3:10" s="59" customFormat="1" ht="21.6" customHeight="1" thickBot="1">
      <c r="C590" s="299" t="s">
        <v>1221</v>
      </c>
      <c r="D590" s="300" t="s">
        <v>1222</v>
      </c>
      <c r="E590" s="301"/>
      <c r="F590" s="301"/>
      <c r="G590" s="301"/>
      <c r="H590" s="302"/>
      <c r="I590" s="303">
        <f>SUM(I588:I589)</f>
        <v>142560</v>
      </c>
      <c r="J590" s="119"/>
    </row>
    <row r="591" spans="3:10" ht="21.6" customHeight="1" thickTop="1"/>
    <row r="592" spans="3:10" s="59" customFormat="1" ht="21.6" customHeight="1" thickBot="1">
      <c r="C592" s="47" t="s">
        <v>2050</v>
      </c>
      <c r="D592" s="488" t="s">
        <v>2051</v>
      </c>
      <c r="E592" s="119"/>
      <c r="F592" s="965"/>
      <c r="G592" s="965"/>
      <c r="H592" s="965"/>
      <c r="I592" s="965"/>
      <c r="J592" s="120">
        <f>ROUNDDOWN(I604,-2)</f>
        <v>105900</v>
      </c>
    </row>
    <row r="593" spans="3:10" s="59" customFormat="1" ht="21.6" customHeight="1" thickTop="1">
      <c r="C593" s="51" t="s">
        <v>1195</v>
      </c>
      <c r="D593" s="52" t="s">
        <v>1196</v>
      </c>
      <c r="E593" s="52"/>
      <c r="F593" s="52" t="s">
        <v>1197</v>
      </c>
      <c r="G593" s="52" t="s">
        <v>1198</v>
      </c>
      <c r="H593" s="52" t="s">
        <v>1199</v>
      </c>
      <c r="I593" s="53" t="s">
        <v>1200</v>
      </c>
      <c r="J593" s="1074"/>
    </row>
    <row r="594" spans="3:10" s="59" customFormat="1" ht="21.6" customHeight="1">
      <c r="C594" s="290" t="s">
        <v>1201</v>
      </c>
      <c r="D594" s="182" t="s">
        <v>1202</v>
      </c>
      <c r="E594" s="182"/>
      <c r="F594" s="70"/>
      <c r="G594" s="70"/>
      <c r="H594" s="70"/>
      <c r="I594" s="71"/>
      <c r="J594" s="119"/>
    </row>
    <row r="595" spans="3:10" s="59" customFormat="1" ht="21.6" customHeight="1">
      <c r="C595" s="281">
        <v>1</v>
      </c>
      <c r="D595" s="182" t="s">
        <v>5</v>
      </c>
      <c r="E595" s="176" t="s">
        <v>1774</v>
      </c>
      <c r="F595" s="176" t="s">
        <v>6</v>
      </c>
      <c r="G595" s="282">
        <v>0.83</v>
      </c>
      <c r="H595" s="283">
        <f>VLOOKUP(D595,upahbahan,3,FALSE)</f>
        <v>100000</v>
      </c>
      <c r="I595" s="284">
        <f>G595*H595</f>
        <v>83000</v>
      </c>
      <c r="J595" s="119"/>
    </row>
    <row r="596" spans="3:10" s="59" customFormat="1" ht="21.6" customHeight="1">
      <c r="C596" s="281">
        <v>2</v>
      </c>
      <c r="D596" s="182" t="s">
        <v>19</v>
      </c>
      <c r="E596" s="176" t="s">
        <v>1777</v>
      </c>
      <c r="F596" s="176" t="s">
        <v>6</v>
      </c>
      <c r="G596" s="282">
        <v>8.3000000000000004E-2</v>
      </c>
      <c r="H596" s="283">
        <f>VLOOKUP(D596,upahbahan,3,FALSE)</f>
        <v>160000</v>
      </c>
      <c r="I596" s="284">
        <f>G596*H596</f>
        <v>13280</v>
      </c>
      <c r="J596" s="119"/>
    </row>
    <row r="597" spans="3:10" s="59" customFormat="1" ht="21.6" customHeight="1">
      <c r="C597" s="66" t="s">
        <v>1208</v>
      </c>
      <c r="D597" s="67"/>
      <c r="E597" s="67"/>
      <c r="F597" s="67"/>
      <c r="G597" s="67"/>
      <c r="H597" s="69"/>
      <c r="I597" s="284">
        <f>SUM(I595:I596)</f>
        <v>96280</v>
      </c>
      <c r="J597" s="119"/>
    </row>
    <row r="598" spans="3:10" s="59" customFormat="1" ht="21.6" customHeight="1">
      <c r="C598" s="290" t="s">
        <v>1209</v>
      </c>
      <c r="D598" s="182" t="s">
        <v>1210</v>
      </c>
      <c r="E598" s="182"/>
      <c r="F598" s="70"/>
      <c r="G598" s="70"/>
      <c r="H598" s="70"/>
      <c r="I598" s="71"/>
      <c r="J598" s="119"/>
    </row>
    <row r="599" spans="3:10" s="59" customFormat="1" ht="21.6" customHeight="1">
      <c r="C599" s="66" t="s">
        <v>1214</v>
      </c>
      <c r="D599" s="67"/>
      <c r="E599" s="67"/>
      <c r="F599" s="67"/>
      <c r="G599" s="67"/>
      <c r="H599" s="69"/>
      <c r="I599" s="292">
        <v>0</v>
      </c>
      <c r="J599" s="119"/>
    </row>
    <row r="600" spans="3:10" s="59" customFormat="1" ht="21.6" customHeight="1">
      <c r="C600" s="290" t="s">
        <v>1215</v>
      </c>
      <c r="D600" s="182" t="s">
        <v>1216</v>
      </c>
      <c r="E600" s="182"/>
      <c r="F600" s="70"/>
      <c r="G600" s="70"/>
      <c r="H600" s="70"/>
      <c r="I600" s="71"/>
      <c r="J600" s="119"/>
    </row>
    <row r="601" spans="3:10" s="59" customFormat="1" ht="21.6" customHeight="1">
      <c r="C601" s="66" t="s">
        <v>1217</v>
      </c>
      <c r="D601" s="67"/>
      <c r="E601" s="67"/>
      <c r="F601" s="67"/>
      <c r="G601" s="67"/>
      <c r="H601" s="69"/>
      <c r="I601" s="292">
        <v>0</v>
      </c>
      <c r="J601" s="119"/>
    </row>
    <row r="602" spans="3:10" s="59" customFormat="1" ht="21.6" customHeight="1">
      <c r="C602" s="293" t="s">
        <v>1218</v>
      </c>
      <c r="D602" s="294" t="s">
        <v>1219</v>
      </c>
      <c r="E602" s="295"/>
      <c r="F602" s="295"/>
      <c r="G602" s="295"/>
      <c r="H602" s="296"/>
      <c r="I602" s="284">
        <f>I597+I599+I601</f>
        <v>96280</v>
      </c>
      <c r="J602" s="119"/>
    </row>
    <row r="603" spans="3:10" s="59" customFormat="1" ht="21.6" customHeight="1">
      <c r="C603" s="293" t="s">
        <v>1220</v>
      </c>
      <c r="D603" s="294" t="s">
        <v>1249</v>
      </c>
      <c r="E603" s="295"/>
      <c r="F603" s="295"/>
      <c r="G603" s="296"/>
      <c r="H603" s="298">
        <v>0.1</v>
      </c>
      <c r="I603" s="284">
        <f>I602*H603</f>
        <v>9628</v>
      </c>
      <c r="J603" s="119"/>
    </row>
    <row r="604" spans="3:10" s="59" customFormat="1" ht="21.6" customHeight="1" thickBot="1">
      <c r="C604" s="299" t="s">
        <v>1221</v>
      </c>
      <c r="D604" s="300" t="s">
        <v>1222</v>
      </c>
      <c r="E604" s="301"/>
      <c r="F604" s="301"/>
      <c r="G604" s="301"/>
      <c r="H604" s="302"/>
      <c r="I604" s="303">
        <f>SUM(I602:I603)</f>
        <v>105908</v>
      </c>
      <c r="J604" s="119"/>
    </row>
    <row r="605" spans="3:10" ht="21.6" customHeight="1" thickTop="1"/>
    <row r="606" spans="3:10" s="59" customFormat="1" ht="21.6" customHeight="1" thickBot="1">
      <c r="C606" s="47" t="s">
        <v>2052</v>
      </c>
      <c r="D606" s="488" t="s">
        <v>2053</v>
      </c>
      <c r="E606" s="119"/>
      <c r="F606" s="965"/>
      <c r="G606" s="965"/>
      <c r="H606" s="965"/>
      <c r="I606" s="965"/>
      <c r="J606" s="120">
        <f>ROUNDDOWN(I618,-2)</f>
        <v>171000</v>
      </c>
    </row>
    <row r="607" spans="3:10" s="59" customFormat="1" ht="21.6" customHeight="1" thickTop="1">
      <c r="C607" s="51" t="s">
        <v>1195</v>
      </c>
      <c r="D607" s="52" t="s">
        <v>1196</v>
      </c>
      <c r="E607" s="52"/>
      <c r="F607" s="52" t="s">
        <v>1197</v>
      </c>
      <c r="G607" s="52" t="s">
        <v>1198</v>
      </c>
      <c r="H607" s="52" t="s">
        <v>1199</v>
      </c>
      <c r="I607" s="53" t="s">
        <v>1200</v>
      </c>
      <c r="J607" s="1074"/>
    </row>
    <row r="608" spans="3:10" s="59" customFormat="1" ht="21.6" customHeight="1">
      <c r="C608" s="290" t="s">
        <v>1201</v>
      </c>
      <c r="D608" s="182" t="s">
        <v>1202</v>
      </c>
      <c r="E608" s="182"/>
      <c r="F608" s="70"/>
      <c r="G608" s="70"/>
      <c r="H608" s="70"/>
      <c r="I608" s="71"/>
      <c r="J608" s="119"/>
    </row>
    <row r="609" spans="3:10" s="59" customFormat="1" ht="21.6" customHeight="1">
      <c r="C609" s="281">
        <v>1</v>
      </c>
      <c r="D609" s="182" t="s">
        <v>5</v>
      </c>
      <c r="E609" s="176" t="s">
        <v>1774</v>
      </c>
      <c r="F609" s="176" t="s">
        <v>6</v>
      </c>
      <c r="G609" s="282">
        <v>1.44</v>
      </c>
      <c r="H609" s="283">
        <f>VLOOKUP(D609,upahbahan,3,FALSE)</f>
        <v>100000</v>
      </c>
      <c r="I609" s="284">
        <f>G609*H609</f>
        <v>144000</v>
      </c>
      <c r="J609" s="119"/>
    </row>
    <row r="610" spans="3:10" s="59" customFormat="1" ht="21.6" customHeight="1">
      <c r="C610" s="281">
        <v>2</v>
      </c>
      <c r="D610" s="182" t="s">
        <v>19</v>
      </c>
      <c r="E610" s="176" t="s">
        <v>1777</v>
      </c>
      <c r="F610" s="176" t="s">
        <v>6</v>
      </c>
      <c r="G610" s="282">
        <v>7.1999999999999995E-2</v>
      </c>
      <c r="H610" s="283">
        <f>VLOOKUP(D610,upahbahan,3,FALSE)</f>
        <v>160000</v>
      </c>
      <c r="I610" s="284">
        <f>G610*H610</f>
        <v>11520</v>
      </c>
      <c r="J610" s="119"/>
    </row>
    <row r="611" spans="3:10" s="59" customFormat="1" ht="21.6" customHeight="1">
      <c r="C611" s="66" t="s">
        <v>1208</v>
      </c>
      <c r="D611" s="67"/>
      <c r="E611" s="67"/>
      <c r="F611" s="67"/>
      <c r="G611" s="67"/>
      <c r="H611" s="69"/>
      <c r="I611" s="284">
        <f>SUM(I609:I610)</f>
        <v>155520</v>
      </c>
      <c r="J611" s="119"/>
    </row>
    <row r="612" spans="3:10" s="59" customFormat="1" ht="21.6" customHeight="1">
      <c r="C612" s="290" t="s">
        <v>1209</v>
      </c>
      <c r="D612" s="182" t="s">
        <v>1210</v>
      </c>
      <c r="E612" s="182"/>
      <c r="F612" s="70"/>
      <c r="G612" s="70"/>
      <c r="H612" s="70"/>
      <c r="I612" s="71"/>
      <c r="J612" s="119"/>
    </row>
    <row r="613" spans="3:10" s="59" customFormat="1" ht="21.6" customHeight="1">
      <c r="C613" s="66" t="s">
        <v>1214</v>
      </c>
      <c r="D613" s="67"/>
      <c r="E613" s="67"/>
      <c r="F613" s="67"/>
      <c r="G613" s="67"/>
      <c r="H613" s="69"/>
      <c r="I613" s="292">
        <v>0</v>
      </c>
      <c r="J613" s="119"/>
    </row>
    <row r="614" spans="3:10" s="59" customFormat="1" ht="21.6" customHeight="1">
      <c r="C614" s="290" t="s">
        <v>1215</v>
      </c>
      <c r="D614" s="182" t="s">
        <v>1216</v>
      </c>
      <c r="E614" s="182"/>
      <c r="F614" s="70"/>
      <c r="G614" s="70"/>
      <c r="H614" s="70"/>
      <c r="I614" s="71"/>
      <c r="J614" s="119"/>
    </row>
    <row r="615" spans="3:10" s="59" customFormat="1" ht="21.6" customHeight="1">
      <c r="C615" s="66" t="s">
        <v>1217</v>
      </c>
      <c r="D615" s="67"/>
      <c r="E615" s="67"/>
      <c r="F615" s="67"/>
      <c r="G615" s="67"/>
      <c r="H615" s="69"/>
      <c r="I615" s="292">
        <v>0</v>
      </c>
      <c r="J615" s="119"/>
    </row>
    <row r="616" spans="3:10" s="59" customFormat="1" ht="21.6" customHeight="1">
      <c r="C616" s="293" t="s">
        <v>1218</v>
      </c>
      <c r="D616" s="294" t="s">
        <v>1219</v>
      </c>
      <c r="E616" s="295"/>
      <c r="F616" s="295"/>
      <c r="G616" s="295"/>
      <c r="H616" s="296"/>
      <c r="I616" s="284">
        <f>I611+I613+I615</f>
        <v>155520</v>
      </c>
      <c r="J616" s="119"/>
    </row>
    <row r="617" spans="3:10" s="59" customFormat="1" ht="21.6" customHeight="1">
      <c r="C617" s="293" t="s">
        <v>1220</v>
      </c>
      <c r="D617" s="294" t="s">
        <v>1249</v>
      </c>
      <c r="E617" s="295"/>
      <c r="F617" s="295"/>
      <c r="G617" s="296"/>
      <c r="H617" s="298">
        <v>0.1</v>
      </c>
      <c r="I617" s="284">
        <f>I616*H617</f>
        <v>15552</v>
      </c>
      <c r="J617" s="119"/>
    </row>
    <row r="618" spans="3:10" s="59" customFormat="1" ht="21.6" customHeight="1" thickBot="1">
      <c r="C618" s="299" t="s">
        <v>1221</v>
      </c>
      <c r="D618" s="300" t="s">
        <v>1222</v>
      </c>
      <c r="E618" s="301"/>
      <c r="F618" s="301"/>
      <c r="G618" s="301"/>
      <c r="H618" s="302"/>
      <c r="I618" s="303">
        <f>SUM(I616:I617)</f>
        <v>171072</v>
      </c>
      <c r="J618" s="119"/>
    </row>
    <row r="619" spans="3:10" ht="21.6" customHeight="1" thickTop="1"/>
    <row r="620" spans="3:10" s="59" customFormat="1" ht="21.6" customHeight="1" thickBot="1">
      <c r="C620" s="47" t="s">
        <v>2054</v>
      </c>
      <c r="D620" s="488" t="s">
        <v>2055</v>
      </c>
      <c r="E620" s="119"/>
      <c r="F620" s="965"/>
      <c r="G620" s="965"/>
      <c r="H620" s="965"/>
      <c r="I620" s="965"/>
      <c r="J620" s="120">
        <f>ROUNDDOWN(I632,-2)</f>
        <v>127600</v>
      </c>
    </row>
    <row r="621" spans="3:10" s="59" customFormat="1" ht="21.6" customHeight="1" thickTop="1">
      <c r="C621" s="51" t="s">
        <v>1195</v>
      </c>
      <c r="D621" s="52" t="s">
        <v>1196</v>
      </c>
      <c r="E621" s="52"/>
      <c r="F621" s="52" t="s">
        <v>1197</v>
      </c>
      <c r="G621" s="52" t="s">
        <v>1198</v>
      </c>
      <c r="H621" s="52" t="s">
        <v>1199</v>
      </c>
      <c r="I621" s="53" t="s">
        <v>1200</v>
      </c>
      <c r="J621" s="1074"/>
    </row>
    <row r="622" spans="3:10" s="59" customFormat="1" ht="21.6" customHeight="1">
      <c r="C622" s="290" t="s">
        <v>1201</v>
      </c>
      <c r="D622" s="182" t="s">
        <v>1202</v>
      </c>
      <c r="E622" s="182"/>
      <c r="F622" s="70"/>
      <c r="G622" s="70"/>
      <c r="H622" s="70"/>
      <c r="I622" s="71"/>
      <c r="J622" s="119"/>
    </row>
    <row r="623" spans="3:10" s="59" customFormat="1" ht="21.6" customHeight="1">
      <c r="C623" s="281">
        <v>1</v>
      </c>
      <c r="D623" s="182" t="s">
        <v>5</v>
      </c>
      <c r="E623" s="176" t="s">
        <v>1774</v>
      </c>
      <c r="F623" s="176" t="s">
        <v>6</v>
      </c>
      <c r="G623" s="282">
        <v>1</v>
      </c>
      <c r="H623" s="283">
        <f>VLOOKUP(D623,upahbahan,3,FALSE)</f>
        <v>100000</v>
      </c>
      <c r="I623" s="284">
        <f>G623*H623</f>
        <v>100000</v>
      </c>
      <c r="J623" s="119"/>
    </row>
    <row r="624" spans="3:10" s="59" customFormat="1" ht="21.6" customHeight="1">
      <c r="C624" s="281">
        <v>2</v>
      </c>
      <c r="D624" s="182" t="s">
        <v>19</v>
      </c>
      <c r="E624" s="176" t="s">
        <v>1777</v>
      </c>
      <c r="F624" s="176" t="s">
        <v>6</v>
      </c>
      <c r="G624" s="282">
        <v>0.1</v>
      </c>
      <c r="H624" s="283">
        <f>VLOOKUP(D624,upahbahan,3,FALSE)</f>
        <v>160000</v>
      </c>
      <c r="I624" s="284">
        <f>G624*H624</f>
        <v>16000</v>
      </c>
      <c r="J624" s="119"/>
    </row>
    <row r="625" spans="3:10" s="59" customFormat="1" ht="21.6" customHeight="1">
      <c r="C625" s="66" t="s">
        <v>1208</v>
      </c>
      <c r="D625" s="67"/>
      <c r="E625" s="67"/>
      <c r="F625" s="67"/>
      <c r="G625" s="67"/>
      <c r="H625" s="69"/>
      <c r="I625" s="284">
        <f>SUM(I623:I624)</f>
        <v>116000</v>
      </c>
      <c r="J625" s="119"/>
    </row>
    <row r="626" spans="3:10" s="59" customFormat="1" ht="21.6" customHeight="1">
      <c r="C626" s="290" t="s">
        <v>1209</v>
      </c>
      <c r="D626" s="182" t="s">
        <v>1210</v>
      </c>
      <c r="E626" s="182"/>
      <c r="F626" s="70"/>
      <c r="G626" s="70"/>
      <c r="H626" s="70"/>
      <c r="I626" s="71"/>
      <c r="J626" s="119"/>
    </row>
    <row r="627" spans="3:10" s="59" customFormat="1" ht="21.6" customHeight="1">
      <c r="C627" s="66" t="s">
        <v>1214</v>
      </c>
      <c r="D627" s="67"/>
      <c r="E627" s="67"/>
      <c r="F627" s="67"/>
      <c r="G627" s="67"/>
      <c r="H627" s="69"/>
      <c r="I627" s="292">
        <v>0</v>
      </c>
      <c r="J627" s="119"/>
    </row>
    <row r="628" spans="3:10" s="59" customFormat="1" ht="21.6" customHeight="1">
      <c r="C628" s="290" t="s">
        <v>1215</v>
      </c>
      <c r="D628" s="182" t="s">
        <v>1216</v>
      </c>
      <c r="E628" s="182"/>
      <c r="F628" s="70"/>
      <c r="G628" s="70"/>
      <c r="H628" s="70"/>
      <c r="I628" s="71"/>
      <c r="J628" s="119"/>
    </row>
    <row r="629" spans="3:10" s="59" customFormat="1" ht="21.6" customHeight="1">
      <c r="C629" s="66" t="s">
        <v>1217</v>
      </c>
      <c r="D629" s="67"/>
      <c r="E629" s="67"/>
      <c r="F629" s="67"/>
      <c r="G629" s="67"/>
      <c r="H629" s="69"/>
      <c r="I629" s="292">
        <v>0</v>
      </c>
      <c r="J629" s="119"/>
    </row>
    <row r="630" spans="3:10" s="59" customFormat="1" ht="21.6" customHeight="1">
      <c r="C630" s="293" t="s">
        <v>1218</v>
      </c>
      <c r="D630" s="294" t="s">
        <v>1219</v>
      </c>
      <c r="E630" s="295"/>
      <c r="F630" s="295"/>
      <c r="G630" s="295"/>
      <c r="H630" s="296"/>
      <c r="I630" s="284">
        <f>I625+I627+I629</f>
        <v>116000</v>
      </c>
      <c r="J630" s="119"/>
    </row>
    <row r="631" spans="3:10" s="59" customFormat="1" ht="21.6" customHeight="1">
      <c r="C631" s="293" t="s">
        <v>1220</v>
      </c>
      <c r="D631" s="294" t="s">
        <v>1249</v>
      </c>
      <c r="E631" s="295"/>
      <c r="F631" s="295"/>
      <c r="G631" s="296"/>
      <c r="H631" s="298">
        <v>0.1</v>
      </c>
      <c r="I631" s="284">
        <f>I630*H631</f>
        <v>11600</v>
      </c>
      <c r="J631" s="119"/>
    </row>
    <row r="632" spans="3:10" s="59" customFormat="1" ht="21.6" customHeight="1" thickBot="1">
      <c r="C632" s="299" t="s">
        <v>1221</v>
      </c>
      <c r="D632" s="300" t="s">
        <v>1222</v>
      </c>
      <c r="E632" s="301"/>
      <c r="F632" s="301"/>
      <c r="G632" s="301"/>
      <c r="H632" s="302"/>
      <c r="I632" s="303">
        <f>SUM(I630:I631)</f>
        <v>127600</v>
      </c>
      <c r="J632" s="119"/>
    </row>
    <row r="633" spans="3:10" ht="21.6" customHeight="1" thickTop="1"/>
    <row r="634" spans="3:10" ht="21.6" customHeight="1"/>
    <row r="635" spans="3:10" s="59" customFormat="1" ht="21.6" customHeight="1" thickBot="1">
      <c r="C635" s="47" t="s">
        <v>2056</v>
      </c>
      <c r="D635" s="488" t="s">
        <v>2057</v>
      </c>
      <c r="E635" s="119"/>
      <c r="F635" s="965"/>
      <c r="G635" s="965"/>
      <c r="H635" s="965"/>
      <c r="I635" s="965"/>
      <c r="J635" s="120">
        <f>ROUNDDOWN(I647,-2)</f>
        <v>146700</v>
      </c>
    </row>
    <row r="636" spans="3:10" s="59" customFormat="1" ht="21.6" customHeight="1" thickTop="1">
      <c r="C636" s="51" t="s">
        <v>1195</v>
      </c>
      <c r="D636" s="52" t="s">
        <v>1196</v>
      </c>
      <c r="E636" s="52"/>
      <c r="F636" s="52" t="s">
        <v>1197</v>
      </c>
      <c r="G636" s="52" t="s">
        <v>1198</v>
      </c>
      <c r="H636" s="52" t="s">
        <v>1199</v>
      </c>
      <c r="I636" s="53" t="s">
        <v>1200</v>
      </c>
      <c r="J636" s="1074"/>
    </row>
    <row r="637" spans="3:10" s="59" customFormat="1" ht="21.6" customHeight="1">
      <c r="C637" s="290" t="s">
        <v>1201</v>
      </c>
      <c r="D637" s="182" t="s">
        <v>1202</v>
      </c>
      <c r="E637" s="182"/>
      <c r="F637" s="70"/>
      <c r="G637" s="70"/>
      <c r="H637" s="70"/>
      <c r="I637" s="71"/>
      <c r="J637" s="119"/>
    </row>
    <row r="638" spans="3:10" s="59" customFormat="1" ht="21.6" customHeight="1">
      <c r="C638" s="281">
        <v>1</v>
      </c>
      <c r="D638" s="182" t="s">
        <v>5</v>
      </c>
      <c r="E638" s="176" t="s">
        <v>1774</v>
      </c>
      <c r="F638" s="176" t="s">
        <v>6</v>
      </c>
      <c r="G638" s="282">
        <v>1.1499999999999999</v>
      </c>
      <c r="H638" s="283">
        <f>VLOOKUP(D638,upahbahan,3,FALSE)</f>
        <v>100000</v>
      </c>
      <c r="I638" s="284">
        <f>G638*H638</f>
        <v>114999.99999999999</v>
      </c>
      <c r="J638" s="119"/>
    </row>
    <row r="639" spans="3:10" s="59" customFormat="1" ht="21.6" customHeight="1">
      <c r="C639" s="281">
        <v>2</v>
      </c>
      <c r="D639" s="182" t="s">
        <v>19</v>
      </c>
      <c r="E639" s="176" t="s">
        <v>1777</v>
      </c>
      <c r="F639" s="176" t="s">
        <v>6</v>
      </c>
      <c r="G639" s="282">
        <v>0.115</v>
      </c>
      <c r="H639" s="283">
        <f>VLOOKUP(D639,upahbahan,3,FALSE)</f>
        <v>160000</v>
      </c>
      <c r="I639" s="284">
        <f>G639*H639</f>
        <v>18400</v>
      </c>
      <c r="J639" s="119"/>
    </row>
    <row r="640" spans="3:10" s="59" customFormat="1" ht="21.6" customHeight="1">
      <c r="C640" s="66" t="s">
        <v>1208</v>
      </c>
      <c r="D640" s="67"/>
      <c r="E640" s="67"/>
      <c r="F640" s="67"/>
      <c r="G640" s="67"/>
      <c r="H640" s="69"/>
      <c r="I640" s="284">
        <f>SUM(I638:I639)</f>
        <v>133400</v>
      </c>
      <c r="J640" s="119"/>
    </row>
    <row r="641" spans="3:10" s="59" customFormat="1" ht="21.6" customHeight="1">
      <c r="C641" s="290" t="s">
        <v>1209</v>
      </c>
      <c r="D641" s="182" t="s">
        <v>1210</v>
      </c>
      <c r="E641" s="182"/>
      <c r="F641" s="70"/>
      <c r="G641" s="70"/>
      <c r="H641" s="70"/>
      <c r="I641" s="71"/>
      <c r="J641" s="119"/>
    </row>
    <row r="642" spans="3:10" s="59" customFormat="1" ht="21.6" customHeight="1">
      <c r="C642" s="66" t="s">
        <v>1214</v>
      </c>
      <c r="D642" s="67"/>
      <c r="E642" s="67"/>
      <c r="F642" s="67"/>
      <c r="G642" s="67"/>
      <c r="H642" s="69"/>
      <c r="I642" s="292">
        <v>0</v>
      </c>
      <c r="J642" s="119"/>
    </row>
    <row r="643" spans="3:10" s="59" customFormat="1" ht="21.6" customHeight="1">
      <c r="C643" s="290" t="s">
        <v>1215</v>
      </c>
      <c r="D643" s="182" t="s">
        <v>1216</v>
      </c>
      <c r="E643" s="182"/>
      <c r="F643" s="70"/>
      <c r="G643" s="70"/>
      <c r="H643" s="70"/>
      <c r="I643" s="71"/>
      <c r="J643" s="119"/>
    </row>
    <row r="644" spans="3:10" s="59" customFormat="1" ht="21.6" customHeight="1">
      <c r="C644" s="66" t="s">
        <v>1217</v>
      </c>
      <c r="D644" s="67"/>
      <c r="E644" s="67"/>
      <c r="F644" s="67"/>
      <c r="G644" s="67"/>
      <c r="H644" s="69"/>
      <c r="I644" s="292">
        <v>0</v>
      </c>
      <c r="J644" s="119"/>
    </row>
    <row r="645" spans="3:10" s="59" customFormat="1" ht="21.6" customHeight="1">
      <c r="C645" s="293" t="s">
        <v>1218</v>
      </c>
      <c r="D645" s="294" t="s">
        <v>1219</v>
      </c>
      <c r="E645" s="295"/>
      <c r="F645" s="295"/>
      <c r="G645" s="295"/>
      <c r="H645" s="296"/>
      <c r="I645" s="284">
        <f>I640+I642+I644</f>
        <v>133400</v>
      </c>
      <c r="J645" s="119"/>
    </row>
    <row r="646" spans="3:10" s="59" customFormat="1" ht="21.6" customHeight="1">
      <c r="C646" s="293" t="s">
        <v>1220</v>
      </c>
      <c r="D646" s="294" t="s">
        <v>1249</v>
      </c>
      <c r="E646" s="295"/>
      <c r="F646" s="295"/>
      <c r="G646" s="296"/>
      <c r="H646" s="298">
        <v>0.1</v>
      </c>
      <c r="I646" s="284">
        <f>I645*H646</f>
        <v>13340</v>
      </c>
      <c r="J646" s="119"/>
    </row>
    <row r="647" spans="3:10" s="59" customFormat="1" ht="21.6" customHeight="1" thickBot="1">
      <c r="C647" s="299" t="s">
        <v>1221</v>
      </c>
      <c r="D647" s="300" t="s">
        <v>1222</v>
      </c>
      <c r="E647" s="301"/>
      <c r="F647" s="301"/>
      <c r="G647" s="301"/>
      <c r="H647" s="302"/>
      <c r="I647" s="303">
        <f>SUM(I645:I646)</f>
        <v>146740</v>
      </c>
      <c r="J647" s="119"/>
    </row>
    <row r="648" spans="3:10" ht="21.6" customHeight="1" thickTop="1"/>
    <row r="649" spans="3:10" s="59" customFormat="1" ht="21.6" customHeight="1" thickBot="1">
      <c r="C649" s="47" t="s">
        <v>2058</v>
      </c>
      <c r="D649" s="488" t="s">
        <v>2059</v>
      </c>
      <c r="E649" s="119"/>
      <c r="F649" s="965"/>
      <c r="G649" s="965"/>
      <c r="H649" s="965"/>
      <c r="I649" s="965"/>
      <c r="J649" s="120">
        <f>ROUNDDOWN(I661,-2)</f>
        <v>19100</v>
      </c>
    </row>
    <row r="650" spans="3:10" s="59" customFormat="1" ht="21.6" customHeight="1" thickTop="1">
      <c r="C650" s="51" t="s">
        <v>1195</v>
      </c>
      <c r="D650" s="52" t="s">
        <v>1196</v>
      </c>
      <c r="E650" s="52"/>
      <c r="F650" s="52" t="s">
        <v>1197</v>
      </c>
      <c r="G650" s="52" t="s">
        <v>1198</v>
      </c>
      <c r="H650" s="52" t="s">
        <v>1199</v>
      </c>
      <c r="I650" s="53" t="s">
        <v>1200</v>
      </c>
      <c r="J650" s="1074"/>
    </row>
    <row r="651" spans="3:10" s="59" customFormat="1" ht="21.6" customHeight="1">
      <c r="C651" s="290" t="s">
        <v>1201</v>
      </c>
      <c r="D651" s="182" t="s">
        <v>1202</v>
      </c>
      <c r="E651" s="182"/>
      <c r="F651" s="70"/>
      <c r="G651" s="70"/>
      <c r="H651" s="70"/>
      <c r="I651" s="71"/>
      <c r="J651" s="119"/>
    </row>
    <row r="652" spans="3:10" s="59" customFormat="1" ht="21.6" customHeight="1">
      <c r="C652" s="281">
        <v>1</v>
      </c>
      <c r="D652" s="182" t="s">
        <v>5</v>
      </c>
      <c r="E652" s="176" t="s">
        <v>1774</v>
      </c>
      <c r="F652" s="176" t="s">
        <v>6</v>
      </c>
      <c r="G652" s="282">
        <v>0.15</v>
      </c>
      <c r="H652" s="283">
        <f>VLOOKUP(D652,upahbahan,3,FALSE)</f>
        <v>100000</v>
      </c>
      <c r="I652" s="284">
        <f>G652*H652</f>
        <v>15000</v>
      </c>
      <c r="J652" s="119"/>
    </row>
    <row r="653" spans="3:10" s="59" customFormat="1" ht="21.6" customHeight="1">
      <c r="C653" s="281">
        <v>2</v>
      </c>
      <c r="D653" s="182" t="s">
        <v>19</v>
      </c>
      <c r="E653" s="176" t="s">
        <v>1777</v>
      </c>
      <c r="F653" s="176" t="s">
        <v>6</v>
      </c>
      <c r="G653" s="282">
        <v>1.4999999999999999E-2</v>
      </c>
      <c r="H653" s="283">
        <f>VLOOKUP(D653,upahbahan,3,FALSE)</f>
        <v>160000</v>
      </c>
      <c r="I653" s="284">
        <f>G653*H653</f>
        <v>2400</v>
      </c>
      <c r="J653" s="119"/>
    </row>
    <row r="654" spans="3:10" s="59" customFormat="1" ht="21.6" customHeight="1">
      <c r="C654" s="66" t="s">
        <v>1208</v>
      </c>
      <c r="D654" s="67"/>
      <c r="E654" s="67"/>
      <c r="F654" s="67"/>
      <c r="G654" s="67"/>
      <c r="H654" s="69"/>
      <c r="I654" s="284">
        <f>SUM(I652:I653)</f>
        <v>17400</v>
      </c>
      <c r="J654" s="119"/>
    </row>
    <row r="655" spans="3:10" s="59" customFormat="1" ht="21.6" customHeight="1">
      <c r="C655" s="290" t="s">
        <v>1209</v>
      </c>
      <c r="D655" s="182" t="s">
        <v>1210</v>
      </c>
      <c r="E655" s="182"/>
      <c r="F655" s="70"/>
      <c r="G655" s="70"/>
      <c r="H655" s="70"/>
      <c r="I655" s="71"/>
      <c r="J655" s="119"/>
    </row>
    <row r="656" spans="3:10" s="59" customFormat="1" ht="21.6" customHeight="1">
      <c r="C656" s="66" t="s">
        <v>1214</v>
      </c>
      <c r="D656" s="67"/>
      <c r="E656" s="67"/>
      <c r="F656" s="67"/>
      <c r="G656" s="67"/>
      <c r="H656" s="69"/>
      <c r="I656" s="292">
        <v>0</v>
      </c>
      <c r="J656" s="119"/>
    </row>
    <row r="657" spans="3:10" s="59" customFormat="1" ht="21.6" customHeight="1">
      <c r="C657" s="290" t="s">
        <v>1215</v>
      </c>
      <c r="D657" s="182" t="s">
        <v>1216</v>
      </c>
      <c r="E657" s="182"/>
      <c r="F657" s="70"/>
      <c r="G657" s="70"/>
      <c r="H657" s="70"/>
      <c r="I657" s="71"/>
      <c r="J657" s="119"/>
    </row>
    <row r="658" spans="3:10" s="59" customFormat="1" ht="21.6" customHeight="1">
      <c r="C658" s="66" t="s">
        <v>1217</v>
      </c>
      <c r="D658" s="67"/>
      <c r="E658" s="67"/>
      <c r="F658" s="67"/>
      <c r="G658" s="67"/>
      <c r="H658" s="69"/>
      <c r="I658" s="292">
        <v>0</v>
      </c>
      <c r="J658" s="119"/>
    </row>
    <row r="659" spans="3:10" s="59" customFormat="1" ht="21.6" customHeight="1">
      <c r="C659" s="293" t="s">
        <v>1218</v>
      </c>
      <c r="D659" s="294" t="s">
        <v>1219</v>
      </c>
      <c r="E659" s="295"/>
      <c r="F659" s="295"/>
      <c r="G659" s="295"/>
      <c r="H659" s="296"/>
      <c r="I659" s="284">
        <f>I654+I656+I658</f>
        <v>17400</v>
      </c>
      <c r="J659" s="119"/>
    </row>
    <row r="660" spans="3:10" s="59" customFormat="1" ht="21.6" customHeight="1">
      <c r="C660" s="293" t="s">
        <v>1220</v>
      </c>
      <c r="D660" s="294" t="s">
        <v>1249</v>
      </c>
      <c r="E660" s="295"/>
      <c r="F660" s="295"/>
      <c r="G660" s="296"/>
      <c r="H660" s="298">
        <v>0.1</v>
      </c>
      <c r="I660" s="284">
        <f>I659*H660</f>
        <v>1740</v>
      </c>
      <c r="J660" s="119"/>
    </row>
    <row r="661" spans="3:10" s="59" customFormat="1" ht="21.6" customHeight="1" thickBot="1">
      <c r="C661" s="299" t="s">
        <v>1221</v>
      </c>
      <c r="D661" s="300" t="s">
        <v>1222</v>
      </c>
      <c r="E661" s="301"/>
      <c r="F661" s="301"/>
      <c r="G661" s="301"/>
      <c r="H661" s="302"/>
      <c r="I661" s="303">
        <f>SUM(I659:I660)</f>
        <v>19140</v>
      </c>
      <c r="J661" s="119"/>
    </row>
    <row r="662" spans="3:10" ht="21.6" customHeight="1" thickTop="1"/>
    <row r="663" spans="3:10" ht="21.6" customHeight="1"/>
    <row r="664" spans="3:10" ht="21.6" customHeight="1">
      <c r="C664" s="126" t="s">
        <v>2060</v>
      </c>
      <c r="D664" s="119" t="s">
        <v>1971</v>
      </c>
    </row>
    <row r="665" spans="3:10" s="59" customFormat="1" ht="21.6" customHeight="1" thickBot="1">
      <c r="C665" s="47" t="s">
        <v>2061</v>
      </c>
      <c r="D665" s="488" t="s">
        <v>2062</v>
      </c>
      <c r="E665" s="119"/>
      <c r="F665" s="965"/>
      <c r="G665" s="965"/>
      <c r="H665" s="965"/>
      <c r="I665" s="965"/>
      <c r="J665" s="120">
        <f>ROUNDDOWN(I678,-2)</f>
        <v>37700</v>
      </c>
    </row>
    <row r="666" spans="3:10" s="59" customFormat="1" ht="21.6" customHeight="1" thickTop="1">
      <c r="C666" s="51" t="s">
        <v>1195</v>
      </c>
      <c r="D666" s="52" t="s">
        <v>1196</v>
      </c>
      <c r="E666" s="52"/>
      <c r="F666" s="52" t="s">
        <v>1197</v>
      </c>
      <c r="G666" s="52" t="s">
        <v>1198</v>
      </c>
      <c r="H666" s="52" t="s">
        <v>1199</v>
      </c>
      <c r="I666" s="53" t="s">
        <v>1200</v>
      </c>
      <c r="J666" s="1074"/>
    </row>
    <row r="667" spans="3:10" s="59" customFormat="1" ht="21.6" customHeight="1">
      <c r="C667" s="290" t="s">
        <v>1201</v>
      </c>
      <c r="D667" s="182" t="s">
        <v>1202</v>
      </c>
      <c r="E667" s="182"/>
      <c r="F667" s="70"/>
      <c r="G667" s="70"/>
      <c r="H667" s="70"/>
      <c r="I667" s="71"/>
      <c r="J667" s="119"/>
    </row>
    <row r="668" spans="3:10" s="59" customFormat="1" ht="21.6" customHeight="1">
      <c r="C668" s="281">
        <v>1</v>
      </c>
      <c r="D668" s="182" t="s">
        <v>5</v>
      </c>
      <c r="E668" s="176" t="s">
        <v>1774</v>
      </c>
      <c r="F668" s="176" t="s">
        <v>6</v>
      </c>
      <c r="G668" s="282">
        <v>0.24</v>
      </c>
      <c r="H668" s="283">
        <f>VLOOKUP(D668,upahbahan,3,FALSE)</f>
        <v>100000</v>
      </c>
      <c r="I668" s="284">
        <f>G668*H668</f>
        <v>24000</v>
      </c>
      <c r="J668" s="119"/>
    </row>
    <row r="669" spans="3:10" s="59" customFormat="1" ht="21.6" customHeight="1">
      <c r="C669" s="281">
        <v>2</v>
      </c>
      <c r="D669" s="182" t="s">
        <v>19</v>
      </c>
      <c r="E669" s="176" t="s">
        <v>1777</v>
      </c>
      <c r="F669" s="176" t="s">
        <v>6</v>
      </c>
      <c r="G669" s="282">
        <v>2.4E-2</v>
      </c>
      <c r="H669" s="283">
        <f>VLOOKUP(D669,upahbahan,3,FALSE)</f>
        <v>160000</v>
      </c>
      <c r="I669" s="284">
        <f>G669*H669</f>
        <v>3840</v>
      </c>
      <c r="J669" s="119"/>
    </row>
    <row r="670" spans="3:10" s="59" customFormat="1" ht="21.6" customHeight="1">
      <c r="C670" s="66" t="s">
        <v>1208</v>
      </c>
      <c r="D670" s="67"/>
      <c r="E670" s="67"/>
      <c r="F670" s="67"/>
      <c r="G670" s="67"/>
      <c r="H670" s="69"/>
      <c r="I670" s="284">
        <f>SUM(I668:I669)</f>
        <v>27840</v>
      </c>
      <c r="J670" s="119"/>
    </row>
    <row r="671" spans="3:10" s="59" customFormat="1" ht="21.6" customHeight="1">
      <c r="C671" s="290" t="s">
        <v>1209</v>
      </c>
      <c r="D671" s="182" t="s">
        <v>1210</v>
      </c>
      <c r="E671" s="182"/>
      <c r="F671" s="70"/>
      <c r="G671" s="70"/>
      <c r="H671" s="70"/>
      <c r="I671" s="71"/>
      <c r="J671" s="119"/>
    </row>
    <row r="672" spans="3:10" s="59" customFormat="1" ht="21.6" customHeight="1">
      <c r="C672" s="66" t="s">
        <v>1214</v>
      </c>
      <c r="D672" s="67"/>
      <c r="E672" s="67"/>
      <c r="F672" s="67"/>
      <c r="G672" s="67"/>
      <c r="H672" s="69"/>
      <c r="I672" s="292">
        <v>0</v>
      </c>
      <c r="J672" s="119"/>
    </row>
    <row r="673" spans="3:10" s="59" customFormat="1" ht="21.6" customHeight="1">
      <c r="C673" s="290" t="s">
        <v>1215</v>
      </c>
      <c r="D673" s="182" t="s">
        <v>1216</v>
      </c>
      <c r="E673" s="182"/>
      <c r="F673" s="70"/>
      <c r="G673" s="70"/>
      <c r="H673" s="70"/>
      <c r="I673" s="71"/>
      <c r="J673" s="119"/>
    </row>
    <row r="674" spans="3:10" s="59" customFormat="1" ht="21.6" customHeight="1">
      <c r="C674" s="290">
        <v>1</v>
      </c>
      <c r="D674" s="182" t="s">
        <v>5217</v>
      </c>
      <c r="E674" s="182"/>
      <c r="F674" s="182" t="s">
        <v>1974</v>
      </c>
      <c r="G674" s="186">
        <v>2.5000000000000001E-2</v>
      </c>
      <c r="H674" s="183">
        <f>VLOOKUP(D674,upahbahan,3,FALSE)</f>
        <v>260000</v>
      </c>
      <c r="I674" s="325">
        <f>G674*H674</f>
        <v>6500</v>
      </c>
      <c r="J674" s="48"/>
    </row>
    <row r="675" spans="3:10" s="59" customFormat="1" ht="21.6" customHeight="1">
      <c r="C675" s="66" t="s">
        <v>1217</v>
      </c>
      <c r="D675" s="67"/>
      <c r="E675" s="67"/>
      <c r="F675" s="67"/>
      <c r="G675" s="67"/>
      <c r="H675" s="69"/>
      <c r="I675" s="292">
        <f>SUM(I674)</f>
        <v>6500</v>
      </c>
      <c r="J675" s="119"/>
    </row>
    <row r="676" spans="3:10" s="59" customFormat="1" ht="21.6" customHeight="1">
      <c r="C676" s="293" t="s">
        <v>1218</v>
      </c>
      <c r="D676" s="294" t="s">
        <v>1219</v>
      </c>
      <c r="E676" s="295"/>
      <c r="F676" s="295"/>
      <c r="G676" s="295"/>
      <c r="H676" s="296"/>
      <c r="I676" s="284">
        <f>I670+I672+I675</f>
        <v>34340</v>
      </c>
      <c r="J676" s="119"/>
    </row>
    <row r="677" spans="3:10" s="59" customFormat="1" ht="21.6" customHeight="1">
      <c r="C677" s="293" t="s">
        <v>1220</v>
      </c>
      <c r="D677" s="294" t="s">
        <v>1249</v>
      </c>
      <c r="E677" s="295"/>
      <c r="F677" s="295"/>
      <c r="G677" s="296"/>
      <c r="H677" s="298">
        <v>0.1</v>
      </c>
      <c r="I677" s="284">
        <f>I676*H677</f>
        <v>3434</v>
      </c>
      <c r="J677" s="119"/>
    </row>
    <row r="678" spans="3:10" s="59" customFormat="1" ht="21.6" customHeight="1" thickBot="1">
      <c r="C678" s="299" t="s">
        <v>1221</v>
      </c>
      <c r="D678" s="300" t="s">
        <v>1222</v>
      </c>
      <c r="E678" s="301"/>
      <c r="F678" s="301"/>
      <c r="G678" s="301"/>
      <c r="H678" s="302"/>
      <c r="I678" s="303">
        <f>SUM(I676:I677)</f>
        <v>37774</v>
      </c>
      <c r="J678" s="119"/>
    </row>
    <row r="679" spans="3:10" ht="21.6" customHeight="1" thickTop="1"/>
    <row r="680" spans="3:10" s="59" customFormat="1" ht="21.6" customHeight="1" thickBot="1">
      <c r="C680" s="47" t="s">
        <v>2063</v>
      </c>
      <c r="D680" s="488" t="s">
        <v>2064</v>
      </c>
      <c r="E680" s="119"/>
      <c r="F680" s="965"/>
      <c r="G680" s="965"/>
      <c r="H680" s="965"/>
      <c r="I680" s="965"/>
      <c r="J680" s="120">
        <f>ROUNDDOWN(I693,-2)</f>
        <v>63000</v>
      </c>
    </row>
    <row r="681" spans="3:10" s="59" customFormat="1" ht="21.6" customHeight="1" thickTop="1">
      <c r="C681" s="51" t="s">
        <v>1195</v>
      </c>
      <c r="D681" s="52" t="s">
        <v>1196</v>
      </c>
      <c r="E681" s="52"/>
      <c r="F681" s="52" t="s">
        <v>1197</v>
      </c>
      <c r="G681" s="52" t="s">
        <v>1198</v>
      </c>
      <c r="H681" s="52" t="s">
        <v>1199</v>
      </c>
      <c r="I681" s="53" t="s">
        <v>1200</v>
      </c>
      <c r="J681" s="1074"/>
    </row>
    <row r="682" spans="3:10" s="59" customFormat="1" ht="21.6" customHeight="1">
      <c r="C682" s="290" t="s">
        <v>1201</v>
      </c>
      <c r="D682" s="182" t="s">
        <v>1202</v>
      </c>
      <c r="E682" s="182"/>
      <c r="F682" s="70"/>
      <c r="G682" s="70"/>
      <c r="H682" s="70"/>
      <c r="I682" s="71"/>
      <c r="J682" s="119"/>
    </row>
    <row r="683" spans="3:10" s="59" customFormat="1" ht="21.6" customHeight="1">
      <c r="C683" s="281">
        <v>1</v>
      </c>
      <c r="D683" s="182" t="s">
        <v>5</v>
      </c>
      <c r="E683" s="176" t="s">
        <v>1774</v>
      </c>
      <c r="F683" s="176" t="s">
        <v>6</v>
      </c>
      <c r="G683" s="315">
        <v>0.27</v>
      </c>
      <c r="H683" s="283">
        <f>VLOOKUP(D683,upahbahan,3,FALSE)</f>
        <v>100000</v>
      </c>
      <c r="I683" s="284">
        <f>G683*H683</f>
        <v>27000</v>
      </c>
      <c r="J683" s="119"/>
    </row>
    <row r="684" spans="3:10" s="59" customFormat="1" ht="21.6" customHeight="1">
      <c r="C684" s="281">
        <v>2</v>
      </c>
      <c r="D684" s="182" t="s">
        <v>19</v>
      </c>
      <c r="E684" s="176" t="s">
        <v>1777</v>
      </c>
      <c r="F684" s="176" t="s">
        <v>6</v>
      </c>
      <c r="G684" s="315">
        <v>2.7E-2</v>
      </c>
      <c r="H684" s="283">
        <f>VLOOKUP(D684,upahbahan,3,FALSE)</f>
        <v>160000</v>
      </c>
      <c r="I684" s="284">
        <f>G684*H684</f>
        <v>4320</v>
      </c>
      <c r="J684" s="119"/>
    </row>
    <row r="685" spans="3:10" s="59" customFormat="1" ht="21.6" customHeight="1">
      <c r="C685" s="66" t="s">
        <v>1208</v>
      </c>
      <c r="D685" s="67"/>
      <c r="E685" s="67"/>
      <c r="F685" s="67"/>
      <c r="G685" s="67"/>
      <c r="H685" s="69"/>
      <c r="I685" s="284">
        <f>SUM(I683:I684)</f>
        <v>31320</v>
      </c>
      <c r="J685" s="119"/>
    </row>
    <row r="686" spans="3:10" s="59" customFormat="1" ht="21.6" customHeight="1">
      <c r="C686" s="290" t="s">
        <v>1209</v>
      </c>
      <c r="D686" s="182" t="s">
        <v>1210</v>
      </c>
      <c r="E686" s="182"/>
      <c r="F686" s="70"/>
      <c r="G686" s="70"/>
      <c r="H686" s="70"/>
      <c r="I686" s="71"/>
      <c r="J686" s="119"/>
    </row>
    <row r="687" spans="3:10" s="59" customFormat="1" ht="21.6" customHeight="1">
      <c r="C687" s="66" t="s">
        <v>1214</v>
      </c>
      <c r="D687" s="67"/>
      <c r="E687" s="67"/>
      <c r="F687" s="67"/>
      <c r="G687" s="67"/>
      <c r="H687" s="69"/>
      <c r="I687" s="292">
        <v>0</v>
      </c>
      <c r="J687" s="119"/>
    </row>
    <row r="688" spans="3:10" s="59" customFormat="1" ht="21.6" customHeight="1">
      <c r="C688" s="290" t="s">
        <v>1215</v>
      </c>
      <c r="D688" s="182" t="s">
        <v>1216</v>
      </c>
      <c r="E688" s="182"/>
      <c r="F688" s="70"/>
      <c r="G688" s="70"/>
      <c r="H688" s="70"/>
      <c r="I688" s="71"/>
      <c r="J688" s="119"/>
    </row>
    <row r="689" spans="3:10" s="59" customFormat="1" ht="21.6" customHeight="1">
      <c r="C689" s="290">
        <v>1</v>
      </c>
      <c r="D689" s="182" t="s">
        <v>5217</v>
      </c>
      <c r="E689" s="182"/>
      <c r="F689" s="182" t="s">
        <v>1974</v>
      </c>
      <c r="G689" s="186">
        <v>0.1</v>
      </c>
      <c r="H689" s="183">
        <f>VLOOKUP(D689,upahbahan,3,FALSE)</f>
        <v>260000</v>
      </c>
      <c r="I689" s="325">
        <f>G689*H689</f>
        <v>26000</v>
      </c>
      <c r="J689" s="48"/>
    </row>
    <row r="690" spans="3:10" s="59" customFormat="1" ht="21.6" customHeight="1">
      <c r="C690" s="66" t="s">
        <v>1217</v>
      </c>
      <c r="D690" s="67"/>
      <c r="E690" s="67"/>
      <c r="F690" s="67"/>
      <c r="G690" s="67"/>
      <c r="H690" s="69"/>
      <c r="I690" s="292">
        <f>SUM(I689)</f>
        <v>26000</v>
      </c>
      <c r="J690" s="119"/>
    </row>
    <row r="691" spans="3:10" s="59" customFormat="1" ht="21.6" customHeight="1">
      <c r="C691" s="293" t="s">
        <v>1218</v>
      </c>
      <c r="D691" s="294" t="s">
        <v>1219</v>
      </c>
      <c r="E691" s="295"/>
      <c r="F691" s="295"/>
      <c r="G691" s="295"/>
      <c r="H691" s="296"/>
      <c r="I691" s="284">
        <f>I685+I687+I690</f>
        <v>57320</v>
      </c>
      <c r="J691" s="119"/>
    </row>
    <row r="692" spans="3:10" s="59" customFormat="1" ht="21.6" customHeight="1">
      <c r="C692" s="293" t="s">
        <v>1220</v>
      </c>
      <c r="D692" s="294" t="s">
        <v>1249</v>
      </c>
      <c r="E692" s="295"/>
      <c r="F692" s="295"/>
      <c r="G692" s="296"/>
      <c r="H692" s="298">
        <v>0.1</v>
      </c>
      <c r="I692" s="284">
        <f>I691*H692</f>
        <v>5732</v>
      </c>
      <c r="J692" s="119"/>
    </row>
    <row r="693" spans="3:10" s="59" customFormat="1" ht="21.6" customHeight="1" thickBot="1">
      <c r="C693" s="299" t="s">
        <v>1221</v>
      </c>
      <c r="D693" s="300" t="s">
        <v>1222</v>
      </c>
      <c r="E693" s="301"/>
      <c r="F693" s="301"/>
      <c r="G693" s="301"/>
      <c r="H693" s="302"/>
      <c r="I693" s="303">
        <f>SUM(I691:I692)</f>
        <v>63052</v>
      </c>
      <c r="J693" s="119"/>
    </row>
    <row r="694" spans="3:10" ht="21.6" customHeight="1" thickTop="1"/>
    <row r="695" spans="3:10" s="59" customFormat="1" ht="21.6" customHeight="1" thickBot="1">
      <c r="C695" s="47" t="s">
        <v>2065</v>
      </c>
      <c r="D695" s="488" t="s">
        <v>2066</v>
      </c>
      <c r="E695" s="119"/>
      <c r="F695" s="965"/>
      <c r="G695" s="965"/>
      <c r="H695" s="965"/>
      <c r="I695" s="965"/>
      <c r="J695" s="120">
        <f>ROUNDDOWN(I708,-2)</f>
        <v>50500</v>
      </c>
    </row>
    <row r="696" spans="3:10" s="59" customFormat="1" ht="21.6" customHeight="1" thickTop="1">
      <c r="C696" s="51" t="s">
        <v>1195</v>
      </c>
      <c r="D696" s="52" t="s">
        <v>1196</v>
      </c>
      <c r="E696" s="52"/>
      <c r="F696" s="52" t="s">
        <v>1197</v>
      </c>
      <c r="G696" s="52" t="s">
        <v>1198</v>
      </c>
      <c r="H696" s="52" t="s">
        <v>1199</v>
      </c>
      <c r="I696" s="53" t="s">
        <v>1200</v>
      </c>
      <c r="J696" s="1074"/>
    </row>
    <row r="697" spans="3:10" s="59" customFormat="1" ht="21.6" customHeight="1">
      <c r="C697" s="290" t="s">
        <v>1201</v>
      </c>
      <c r="D697" s="182" t="s">
        <v>1202</v>
      </c>
      <c r="E697" s="182"/>
      <c r="F697" s="70"/>
      <c r="G697" s="70"/>
      <c r="H697" s="70"/>
      <c r="I697" s="71"/>
      <c r="J697" s="119"/>
    </row>
    <row r="698" spans="3:10" s="59" customFormat="1" ht="21.6" customHeight="1">
      <c r="C698" s="281">
        <v>1</v>
      </c>
      <c r="D698" s="182" t="s">
        <v>5</v>
      </c>
      <c r="E698" s="176" t="s">
        <v>1774</v>
      </c>
      <c r="F698" s="176" t="s">
        <v>6</v>
      </c>
      <c r="G698" s="315">
        <v>0.29499999999999998</v>
      </c>
      <c r="H698" s="283">
        <f>VLOOKUP(D698,upahbahan,3,FALSE)</f>
        <v>100000</v>
      </c>
      <c r="I698" s="284">
        <f>G698*H698</f>
        <v>29500</v>
      </c>
      <c r="J698" s="119"/>
    </row>
    <row r="699" spans="3:10" s="59" customFormat="1" ht="21.6" customHeight="1">
      <c r="C699" s="281">
        <v>2</v>
      </c>
      <c r="D699" s="182" t="s">
        <v>19</v>
      </c>
      <c r="E699" s="176" t="s">
        <v>1777</v>
      </c>
      <c r="F699" s="176" t="s">
        <v>6</v>
      </c>
      <c r="G699" s="315">
        <v>2.9499999999999998E-2</v>
      </c>
      <c r="H699" s="283">
        <f>VLOOKUP(D699,upahbahan,3,FALSE)</f>
        <v>160000</v>
      </c>
      <c r="I699" s="284">
        <f>G699*H699</f>
        <v>4720</v>
      </c>
      <c r="J699" s="119"/>
    </row>
    <row r="700" spans="3:10" s="59" customFormat="1" ht="21.6" customHeight="1">
      <c r="C700" s="66" t="s">
        <v>1208</v>
      </c>
      <c r="D700" s="67"/>
      <c r="E700" s="67"/>
      <c r="F700" s="67"/>
      <c r="G700" s="67"/>
      <c r="H700" s="69"/>
      <c r="I700" s="284">
        <f>SUM(I698:I699)</f>
        <v>34220</v>
      </c>
      <c r="J700" s="119"/>
    </row>
    <row r="701" spans="3:10" s="59" customFormat="1" ht="21.6" customHeight="1">
      <c r="C701" s="290" t="s">
        <v>1209</v>
      </c>
      <c r="D701" s="182" t="s">
        <v>1210</v>
      </c>
      <c r="E701" s="182"/>
      <c r="F701" s="70"/>
      <c r="G701" s="70"/>
      <c r="H701" s="70"/>
      <c r="I701" s="71"/>
      <c r="J701" s="119"/>
    </row>
    <row r="702" spans="3:10" s="59" customFormat="1" ht="21.6" customHeight="1">
      <c r="C702" s="66" t="s">
        <v>1214</v>
      </c>
      <c r="D702" s="67"/>
      <c r="E702" s="67"/>
      <c r="F702" s="67"/>
      <c r="G702" s="67"/>
      <c r="H702" s="69"/>
      <c r="I702" s="292">
        <v>0</v>
      </c>
      <c r="J702" s="119"/>
    </row>
    <row r="703" spans="3:10" s="59" customFormat="1" ht="21.6" customHeight="1">
      <c r="C703" s="290" t="s">
        <v>1215</v>
      </c>
      <c r="D703" s="182" t="s">
        <v>1216</v>
      </c>
      <c r="E703" s="182"/>
      <c r="F703" s="70"/>
      <c r="G703" s="70"/>
      <c r="H703" s="70"/>
      <c r="I703" s="71"/>
      <c r="J703" s="119"/>
    </row>
    <row r="704" spans="3:10" s="59" customFormat="1" ht="21.6" customHeight="1">
      <c r="C704" s="290">
        <v>1</v>
      </c>
      <c r="D704" s="182" t="s">
        <v>5217</v>
      </c>
      <c r="E704" s="182"/>
      <c r="F704" s="182" t="s">
        <v>1974</v>
      </c>
      <c r="G704" s="186">
        <v>4.4999999999999998E-2</v>
      </c>
      <c r="H704" s="183">
        <f>VLOOKUP(D704,upahbahan,3,FALSE)</f>
        <v>260000</v>
      </c>
      <c r="I704" s="325">
        <f>G704*H704</f>
        <v>11700</v>
      </c>
      <c r="J704" s="48"/>
    </row>
    <row r="705" spans="3:10" s="59" customFormat="1" ht="21.6" customHeight="1">
      <c r="C705" s="66" t="s">
        <v>1217</v>
      </c>
      <c r="D705" s="67"/>
      <c r="E705" s="67"/>
      <c r="F705" s="67"/>
      <c r="G705" s="67"/>
      <c r="H705" s="69"/>
      <c r="I705" s="292">
        <f>SUM(I704)</f>
        <v>11700</v>
      </c>
      <c r="J705" s="119"/>
    </row>
    <row r="706" spans="3:10" s="59" customFormat="1" ht="21.6" customHeight="1">
      <c r="C706" s="293" t="s">
        <v>1218</v>
      </c>
      <c r="D706" s="294" t="s">
        <v>1219</v>
      </c>
      <c r="E706" s="295"/>
      <c r="F706" s="295"/>
      <c r="G706" s="295"/>
      <c r="H706" s="296"/>
      <c r="I706" s="284">
        <f>I700+I702+I705</f>
        <v>45920</v>
      </c>
      <c r="J706" s="119"/>
    </row>
    <row r="707" spans="3:10" s="59" customFormat="1" ht="21.6" customHeight="1">
      <c r="C707" s="293" t="s">
        <v>1220</v>
      </c>
      <c r="D707" s="294" t="s">
        <v>1249</v>
      </c>
      <c r="E707" s="295"/>
      <c r="F707" s="295"/>
      <c r="G707" s="296"/>
      <c r="H707" s="298">
        <v>0.1</v>
      </c>
      <c r="I707" s="284">
        <f>I706*H707</f>
        <v>4592</v>
      </c>
      <c r="J707" s="119"/>
    </row>
    <row r="708" spans="3:10" s="59" customFormat="1" ht="21.6" customHeight="1" thickBot="1">
      <c r="C708" s="299" t="s">
        <v>1221</v>
      </c>
      <c r="D708" s="300" t="s">
        <v>1222</v>
      </c>
      <c r="E708" s="301"/>
      <c r="F708" s="301"/>
      <c r="G708" s="301"/>
      <c r="H708" s="302"/>
      <c r="I708" s="303">
        <f>SUM(I706:I707)</f>
        <v>50512</v>
      </c>
      <c r="J708" s="119"/>
    </row>
    <row r="709" spans="3:10" ht="21.6" customHeight="1" thickTop="1"/>
    <row r="710" spans="3:10" s="59" customFormat="1" ht="21.6" customHeight="1" thickBot="1">
      <c r="C710" s="47" t="s">
        <v>2067</v>
      </c>
      <c r="D710" s="488" t="s">
        <v>2068</v>
      </c>
      <c r="E710" s="119"/>
      <c r="F710" s="965"/>
      <c r="G710" s="965"/>
      <c r="H710" s="965"/>
      <c r="I710" s="965"/>
      <c r="J710" s="120">
        <f>ROUNDDOWN(I723,-2)</f>
        <v>5400</v>
      </c>
    </row>
    <row r="711" spans="3:10" s="59" customFormat="1" ht="21.6" customHeight="1" thickTop="1">
      <c r="C711" s="51" t="s">
        <v>1195</v>
      </c>
      <c r="D711" s="52" t="s">
        <v>1196</v>
      </c>
      <c r="E711" s="52"/>
      <c r="F711" s="52" t="s">
        <v>1197</v>
      </c>
      <c r="G711" s="52" t="s">
        <v>1198</v>
      </c>
      <c r="H711" s="52" t="s">
        <v>1199</v>
      </c>
      <c r="I711" s="53" t="s">
        <v>1200</v>
      </c>
      <c r="J711" s="1074"/>
    </row>
    <row r="712" spans="3:10" s="59" customFormat="1" ht="21.6" customHeight="1">
      <c r="C712" s="290" t="s">
        <v>1201</v>
      </c>
      <c r="D712" s="182" t="s">
        <v>1202</v>
      </c>
      <c r="E712" s="182"/>
      <c r="F712" s="70"/>
      <c r="G712" s="70"/>
      <c r="H712" s="70"/>
      <c r="I712" s="71"/>
      <c r="J712" s="119"/>
    </row>
    <row r="713" spans="3:10" s="59" customFormat="1" ht="21.6" customHeight="1">
      <c r="C713" s="281">
        <v>1</v>
      </c>
      <c r="D713" s="182" t="s">
        <v>5</v>
      </c>
      <c r="E713" s="176" t="s">
        <v>1774</v>
      </c>
      <c r="F713" s="176" t="s">
        <v>6</v>
      </c>
      <c r="G713" s="315">
        <v>0.02</v>
      </c>
      <c r="H713" s="283">
        <f>VLOOKUP(D713,upahbahan,3,FALSE)</f>
        <v>100000</v>
      </c>
      <c r="I713" s="284">
        <f>G713*H713</f>
        <v>2000</v>
      </c>
      <c r="J713" s="119"/>
    </row>
    <row r="714" spans="3:10" s="59" customFormat="1" ht="21.6" customHeight="1">
      <c r="C714" s="281">
        <v>2</v>
      </c>
      <c r="D714" s="182" t="s">
        <v>19</v>
      </c>
      <c r="E714" s="176" t="s">
        <v>1777</v>
      </c>
      <c r="F714" s="176" t="s">
        <v>6</v>
      </c>
      <c r="G714" s="315">
        <v>2E-3</v>
      </c>
      <c r="H714" s="283">
        <f>VLOOKUP(D714,upahbahan,3,FALSE)</f>
        <v>160000</v>
      </c>
      <c r="I714" s="284">
        <f>G714*H714</f>
        <v>320</v>
      </c>
      <c r="J714" s="119"/>
    </row>
    <row r="715" spans="3:10" s="59" customFormat="1" ht="21.6" customHeight="1">
      <c r="C715" s="66" t="s">
        <v>1208</v>
      </c>
      <c r="D715" s="67"/>
      <c r="E715" s="67"/>
      <c r="F715" s="67"/>
      <c r="G715" s="67"/>
      <c r="H715" s="69"/>
      <c r="I715" s="284">
        <f>SUM(I713:I714)</f>
        <v>2320</v>
      </c>
      <c r="J715" s="119"/>
    </row>
    <row r="716" spans="3:10" s="59" customFormat="1" ht="21.6" customHeight="1">
      <c r="C716" s="290" t="s">
        <v>1209</v>
      </c>
      <c r="D716" s="182" t="s">
        <v>1210</v>
      </c>
      <c r="E716" s="182"/>
      <c r="F716" s="70"/>
      <c r="G716" s="70"/>
      <c r="H716" s="70"/>
      <c r="I716" s="71"/>
      <c r="J716" s="119"/>
    </row>
    <row r="717" spans="3:10" s="59" customFormat="1" ht="21.6" customHeight="1">
      <c r="C717" s="66" t="s">
        <v>1214</v>
      </c>
      <c r="D717" s="67"/>
      <c r="E717" s="67"/>
      <c r="F717" s="67"/>
      <c r="G717" s="67"/>
      <c r="H717" s="69"/>
      <c r="I717" s="292">
        <v>0</v>
      </c>
      <c r="J717" s="119"/>
    </row>
    <row r="718" spans="3:10" s="59" customFormat="1" ht="21.6" customHeight="1">
      <c r="C718" s="290" t="s">
        <v>1215</v>
      </c>
      <c r="D718" s="182" t="s">
        <v>1216</v>
      </c>
      <c r="E718" s="182"/>
      <c r="F718" s="70"/>
      <c r="G718" s="70"/>
      <c r="H718" s="70"/>
      <c r="I718" s="71"/>
      <c r="J718" s="119"/>
    </row>
    <row r="719" spans="3:10" s="59" customFormat="1" ht="21.6" customHeight="1">
      <c r="C719" s="290">
        <v>1</v>
      </c>
      <c r="D719" s="182" t="s">
        <v>5217</v>
      </c>
      <c r="E719" s="182"/>
      <c r="F719" s="182" t="s">
        <v>1974</v>
      </c>
      <c r="G719" s="186">
        <v>0.01</v>
      </c>
      <c r="H719" s="183">
        <f>VLOOKUP(D719,upahbahan,3,FALSE)</f>
        <v>260000</v>
      </c>
      <c r="I719" s="325">
        <f>G719*H719</f>
        <v>2600</v>
      </c>
      <c r="J719" s="48"/>
    </row>
    <row r="720" spans="3:10" s="59" customFormat="1" ht="21.6" customHeight="1">
      <c r="C720" s="66" t="s">
        <v>1217</v>
      </c>
      <c r="D720" s="67"/>
      <c r="E720" s="67"/>
      <c r="F720" s="67"/>
      <c r="G720" s="67"/>
      <c r="H720" s="69"/>
      <c r="I720" s="292">
        <f>SUM(I719)</f>
        <v>2600</v>
      </c>
      <c r="J720" s="119"/>
    </row>
    <row r="721" spans="3:10" s="59" customFormat="1" ht="21.6" customHeight="1">
      <c r="C721" s="293" t="s">
        <v>1218</v>
      </c>
      <c r="D721" s="294" t="s">
        <v>1219</v>
      </c>
      <c r="E721" s="295"/>
      <c r="F721" s="295"/>
      <c r="G721" s="295"/>
      <c r="H721" s="296"/>
      <c r="I721" s="284">
        <f>I715+I717+I720</f>
        <v>4920</v>
      </c>
      <c r="J721" s="119"/>
    </row>
    <row r="722" spans="3:10" s="59" customFormat="1" ht="21.6" customHeight="1">
      <c r="C722" s="293" t="s">
        <v>1220</v>
      </c>
      <c r="D722" s="294" t="s">
        <v>1249</v>
      </c>
      <c r="E722" s="295"/>
      <c r="F722" s="295"/>
      <c r="G722" s="296"/>
      <c r="H722" s="298">
        <v>0.1</v>
      </c>
      <c r="I722" s="284">
        <f>I721*H722</f>
        <v>492</v>
      </c>
      <c r="J722" s="119"/>
    </row>
    <row r="723" spans="3:10" s="59" customFormat="1" ht="21.6" customHeight="1" thickBot="1">
      <c r="C723" s="299" t="s">
        <v>1221</v>
      </c>
      <c r="D723" s="300" t="s">
        <v>1222</v>
      </c>
      <c r="E723" s="301"/>
      <c r="F723" s="301"/>
      <c r="G723" s="301"/>
      <c r="H723" s="302"/>
      <c r="I723" s="303">
        <f>SUM(I721:I722)</f>
        <v>5412</v>
      </c>
      <c r="J723" s="119"/>
    </row>
    <row r="724" spans="3:10" ht="14.4" thickTop="1"/>
  </sheetData>
  <pageMargins left="0.75" right="0.75" top="1" bottom="1" header="0.51180555555555562" footer="0.51180555555555562"/>
  <pageSetup paperSize="9" fitToWidth="0" fitToHeight="0" orientation="portrait" useFirstPageNumber="1" errors="NA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232"/>
  <sheetViews>
    <sheetView topLeftCell="A2" zoomScale="73" zoomScaleNormal="73" workbookViewId="0">
      <selection activeCell="C183" sqref="C183"/>
    </sheetView>
  </sheetViews>
  <sheetFormatPr defaultColWidth="9.44140625" defaultRowHeight="13.8"/>
  <cols>
    <col min="1" max="2" width="2.44140625" style="280" customWidth="1"/>
    <col min="3" max="3" width="8.33203125" style="289" customWidth="1"/>
    <col min="4" max="4" width="36.5546875" style="280" customWidth="1"/>
    <col min="5" max="5" width="14" style="280" customWidth="1"/>
    <col min="6" max="6" width="7.5546875" style="280" customWidth="1"/>
    <col min="7" max="7" width="10.5546875" style="280" customWidth="1"/>
    <col min="8" max="8" width="15.5546875" style="280" customWidth="1"/>
    <col min="9" max="9" width="19.44140625" style="280" customWidth="1"/>
    <col min="10" max="10" width="16" style="119" bestFit="1" customWidth="1"/>
    <col min="11" max="11" width="28.6640625" style="119" customWidth="1"/>
    <col min="12" max="12" width="16" style="119" customWidth="1"/>
    <col min="13" max="16384" width="9.44140625" style="280"/>
  </cols>
  <sheetData>
    <row r="3" spans="3:17" s="119" customFormat="1" ht="15.75" customHeight="1">
      <c r="C3" s="259" t="s">
        <v>2069</v>
      </c>
      <c r="D3" s="488" t="s">
        <v>1765</v>
      </c>
      <c r="E3" s="488"/>
      <c r="F3" s="47"/>
      <c r="G3" s="47"/>
      <c r="H3" s="47"/>
      <c r="I3" s="47"/>
    </row>
    <row r="4" spans="3:17" s="119" customFormat="1" ht="15.75" customHeight="1">
      <c r="C4" s="259" t="s">
        <v>2070</v>
      </c>
      <c r="D4" s="488" t="s">
        <v>2071</v>
      </c>
      <c r="E4" s="488"/>
      <c r="F4" s="47"/>
      <c r="G4" s="47"/>
      <c r="H4" s="47"/>
      <c r="I4" s="47"/>
    </row>
    <row r="5" spans="3:17" s="119" customFormat="1" ht="14.4" thickBot="1">
      <c r="C5" s="119" t="s">
        <v>2072</v>
      </c>
      <c r="D5" s="488" t="s">
        <v>6455</v>
      </c>
      <c r="E5" s="488"/>
      <c r="F5" s="329"/>
      <c r="G5" s="329"/>
      <c r="H5" s="329"/>
      <c r="I5" s="329"/>
      <c r="J5" s="120">
        <f>ROUNDDOWN(I17,-2)</f>
        <v>59400</v>
      </c>
      <c r="K5" s="120" t="s">
        <v>6450</v>
      </c>
      <c r="L5" s="120" t="s">
        <v>6451</v>
      </c>
    </row>
    <row r="6" spans="3:17" s="289" customFormat="1" ht="31.65" customHeight="1" thickTop="1">
      <c r="C6" s="51" t="s">
        <v>1195</v>
      </c>
      <c r="D6" s="52" t="s">
        <v>1196</v>
      </c>
      <c r="E6" s="52" t="s">
        <v>1906</v>
      </c>
      <c r="F6" s="52" t="s">
        <v>1197</v>
      </c>
      <c r="G6" s="52" t="s">
        <v>1198</v>
      </c>
      <c r="H6" s="52" t="s">
        <v>1199</v>
      </c>
      <c r="I6" s="53" t="s">
        <v>1200</v>
      </c>
      <c r="J6" s="126"/>
      <c r="K6" s="126"/>
      <c r="L6" s="126"/>
    </row>
    <row r="7" spans="3:17" ht="22.8" customHeight="1">
      <c r="C7" s="290" t="s">
        <v>1201</v>
      </c>
      <c r="D7" s="182" t="s">
        <v>1202</v>
      </c>
      <c r="E7" s="182"/>
      <c r="F7" s="70"/>
      <c r="G7" s="70"/>
      <c r="H7" s="70"/>
      <c r="I7" s="71"/>
      <c r="N7" s="59" t="s">
        <v>1247</v>
      </c>
      <c r="O7" s="59"/>
      <c r="P7" s="59"/>
      <c r="Q7" s="59"/>
    </row>
    <row r="8" spans="3:17" ht="22.8" customHeight="1">
      <c r="C8" s="281">
        <v>1</v>
      </c>
      <c r="D8" s="182" t="s">
        <v>5</v>
      </c>
      <c r="E8" s="176" t="s">
        <v>1774</v>
      </c>
      <c r="F8" s="176" t="s">
        <v>6</v>
      </c>
      <c r="G8" s="282">
        <v>0.5</v>
      </c>
      <c r="H8" s="283">
        <f>VLOOKUP(D8,upahbahan,3,FALSE)</f>
        <v>100000</v>
      </c>
      <c r="I8" s="284">
        <f>G8*H8</f>
        <v>50000</v>
      </c>
      <c r="N8" s="59" t="s">
        <v>1248</v>
      </c>
      <c r="O8" s="59"/>
      <c r="P8" s="59"/>
      <c r="Q8" s="65">
        <v>0.1</v>
      </c>
    </row>
    <row r="9" spans="3:17" ht="22.8" customHeight="1">
      <c r="C9" s="281">
        <v>2</v>
      </c>
      <c r="D9" s="182" t="s">
        <v>19</v>
      </c>
      <c r="E9" s="176" t="s">
        <v>1777</v>
      </c>
      <c r="F9" s="176" t="s">
        <v>6</v>
      </c>
      <c r="G9" s="282">
        <v>2.5000000000000001E-2</v>
      </c>
      <c r="H9" s="283">
        <f>VLOOKUP(D9,upahbahan,3,FALSE)</f>
        <v>160000</v>
      </c>
      <c r="I9" s="284">
        <f>G9*H9</f>
        <v>4000</v>
      </c>
    </row>
    <row r="10" spans="3:17" ht="22.8" customHeight="1">
      <c r="C10" s="66" t="s">
        <v>1208</v>
      </c>
      <c r="D10" s="263"/>
      <c r="E10" s="263"/>
      <c r="F10" s="263"/>
      <c r="G10" s="263"/>
      <c r="H10" s="264"/>
      <c r="I10" s="284">
        <f>SUM(I8:I9)</f>
        <v>54000</v>
      </c>
    </row>
    <row r="11" spans="3:17" ht="22.8" customHeight="1">
      <c r="C11" s="290" t="s">
        <v>1209</v>
      </c>
      <c r="D11" s="182" t="s">
        <v>1210</v>
      </c>
      <c r="E11" s="182"/>
      <c r="F11" s="70"/>
      <c r="G11" s="70"/>
      <c r="H11" s="70"/>
      <c r="I11" s="71"/>
    </row>
    <row r="12" spans="3:17" ht="22.8" customHeight="1">
      <c r="C12" s="66" t="s">
        <v>1214</v>
      </c>
      <c r="D12" s="67"/>
      <c r="E12" s="67"/>
      <c r="F12" s="67"/>
      <c r="G12" s="67"/>
      <c r="H12" s="69"/>
      <c r="I12" s="292">
        <v>0</v>
      </c>
    </row>
    <row r="13" spans="3:17" ht="22.8" customHeight="1">
      <c r="C13" s="290" t="s">
        <v>1215</v>
      </c>
      <c r="D13" s="182" t="s">
        <v>1216</v>
      </c>
      <c r="E13" s="182"/>
      <c r="F13" s="70"/>
      <c r="G13" s="70"/>
      <c r="H13" s="70"/>
      <c r="I13" s="71"/>
    </row>
    <row r="14" spans="3:17" ht="22.8" customHeight="1">
      <c r="C14" s="66" t="s">
        <v>1217</v>
      </c>
      <c r="D14" s="67"/>
      <c r="E14" s="67"/>
      <c r="F14" s="67"/>
      <c r="G14" s="67"/>
      <c r="H14" s="69"/>
      <c r="I14" s="292">
        <v>0</v>
      </c>
    </row>
    <row r="15" spans="3:17" s="297" customFormat="1" ht="22.8" customHeight="1">
      <c r="C15" s="293" t="s">
        <v>1218</v>
      </c>
      <c r="D15" s="294" t="s">
        <v>1219</v>
      </c>
      <c r="E15" s="295"/>
      <c r="F15" s="295"/>
      <c r="G15" s="295"/>
      <c r="H15" s="296"/>
      <c r="I15" s="284">
        <f>I10+I12+I14</f>
        <v>54000</v>
      </c>
      <c r="J15" s="119"/>
      <c r="K15" s="119"/>
      <c r="L15" s="119"/>
    </row>
    <row r="16" spans="3:17" s="297" customFormat="1" ht="22.8" customHeight="1">
      <c r="C16" s="293" t="s">
        <v>1220</v>
      </c>
      <c r="D16" s="294" t="s">
        <v>1321</v>
      </c>
      <c r="E16" s="295"/>
      <c r="F16" s="295"/>
      <c r="G16" s="296"/>
      <c r="H16" s="298">
        <f>$Q$8</f>
        <v>0.1</v>
      </c>
      <c r="I16" s="284">
        <f>I15*H16</f>
        <v>5400</v>
      </c>
      <c r="J16" s="119"/>
      <c r="K16" s="119"/>
      <c r="L16" s="119"/>
    </row>
    <row r="17" spans="3:12" s="297" customFormat="1" ht="22.8" customHeight="1" thickBot="1">
      <c r="C17" s="299" t="s">
        <v>1221</v>
      </c>
      <c r="D17" s="300" t="s">
        <v>1222</v>
      </c>
      <c r="E17" s="301"/>
      <c r="F17" s="301"/>
      <c r="G17" s="301"/>
      <c r="H17" s="302"/>
      <c r="I17" s="303">
        <f>SUM(I15:I16)</f>
        <v>59400</v>
      </c>
      <c r="J17" s="119"/>
      <c r="K17" s="119"/>
      <c r="L17" s="119"/>
    </row>
    <row r="18" spans="3:12" ht="14.4" thickTop="1">
      <c r="C18" s="304"/>
      <c r="D18" s="304"/>
      <c r="E18" s="304"/>
      <c r="F18" s="304"/>
      <c r="G18" s="304"/>
      <c r="H18" s="304"/>
      <c r="I18" s="305"/>
    </row>
    <row r="19" spans="3:12" ht="14.4" thickBot="1">
      <c r="C19" s="119" t="s">
        <v>2073</v>
      </c>
      <c r="D19" s="488" t="s">
        <v>1260</v>
      </c>
      <c r="E19" s="488"/>
      <c r="F19" s="965"/>
      <c r="G19" s="965"/>
      <c r="H19" s="965"/>
      <c r="I19" s="965"/>
      <c r="J19" s="120">
        <f>ROUNDDOWN(I32,-2)</f>
        <v>326700</v>
      </c>
      <c r="K19" s="120"/>
      <c r="L19" s="120"/>
    </row>
    <row r="20" spans="3:12" s="342" customFormat="1" ht="28.2" thickTop="1">
      <c r="C20" s="51" t="s">
        <v>1195</v>
      </c>
      <c r="D20" s="52" t="s">
        <v>1196</v>
      </c>
      <c r="E20" s="52" t="s">
        <v>1906</v>
      </c>
      <c r="F20" s="52" t="s">
        <v>1197</v>
      </c>
      <c r="G20" s="52" t="s">
        <v>1198</v>
      </c>
      <c r="H20" s="52" t="s">
        <v>1199</v>
      </c>
      <c r="I20" s="53" t="s">
        <v>1200</v>
      </c>
      <c r="J20" s="1074"/>
      <c r="K20" s="1074"/>
      <c r="L20" s="1074"/>
    </row>
    <row r="21" spans="3:12" ht="22.8" customHeight="1">
      <c r="C21" s="290" t="s">
        <v>1201</v>
      </c>
      <c r="D21" s="182" t="s">
        <v>1202</v>
      </c>
      <c r="E21" s="182"/>
      <c r="F21" s="70"/>
      <c r="G21" s="70"/>
      <c r="H21" s="70"/>
      <c r="I21" s="71"/>
    </row>
    <row r="22" spans="3:12" ht="22.8" customHeight="1">
      <c r="C22" s="281">
        <v>1</v>
      </c>
      <c r="D22" s="182" t="s">
        <v>5</v>
      </c>
      <c r="E22" s="176" t="s">
        <v>1774</v>
      </c>
      <c r="F22" s="176" t="s">
        <v>6</v>
      </c>
      <c r="G22" s="315">
        <v>0.3</v>
      </c>
      <c r="H22" s="283">
        <f>VLOOKUP(D22,upahbahan,3,FALSE)</f>
        <v>100000</v>
      </c>
      <c r="I22" s="284">
        <f>G22*H22</f>
        <v>30000</v>
      </c>
    </row>
    <row r="23" spans="3:12" ht="22.8" customHeight="1">
      <c r="C23" s="281">
        <v>2</v>
      </c>
      <c r="D23" s="182" t="s">
        <v>19</v>
      </c>
      <c r="E23" s="176" t="s">
        <v>1777</v>
      </c>
      <c r="F23" s="176" t="s">
        <v>6</v>
      </c>
      <c r="G23" s="315">
        <v>1.4999999999999999E-2</v>
      </c>
      <c r="H23" s="283">
        <f>VLOOKUP(D23,upahbahan,3,FALSE)</f>
        <v>160000</v>
      </c>
      <c r="I23" s="284">
        <f>G23*H23</f>
        <v>2400</v>
      </c>
    </row>
    <row r="24" spans="3:12" ht="22.8" customHeight="1">
      <c r="C24" s="66" t="s">
        <v>1208</v>
      </c>
      <c r="D24" s="67"/>
      <c r="E24" s="67"/>
      <c r="F24" s="67"/>
      <c r="G24" s="67"/>
      <c r="H24" s="69"/>
      <c r="I24" s="284">
        <f>SUM(I22:I23)</f>
        <v>32400</v>
      </c>
    </row>
    <row r="25" spans="3:12" ht="22.8" customHeight="1">
      <c r="C25" s="290" t="s">
        <v>1209</v>
      </c>
      <c r="D25" s="182" t="s">
        <v>1210</v>
      </c>
      <c r="E25" s="182"/>
      <c r="F25" s="70"/>
      <c r="G25" s="70"/>
      <c r="H25" s="70"/>
      <c r="I25" s="71"/>
    </row>
    <row r="26" spans="3:12" ht="22.8" customHeight="1">
      <c r="C26" s="290">
        <v>1</v>
      </c>
      <c r="D26" s="182" t="s">
        <v>88</v>
      </c>
      <c r="E26" s="182"/>
      <c r="F26" s="124" t="s">
        <v>42</v>
      </c>
      <c r="G26" s="127">
        <v>1.2</v>
      </c>
      <c r="H26" s="283">
        <f>VLOOKUP(D26,upahbahan,3,FALSE)</f>
        <v>220500</v>
      </c>
      <c r="I26" s="284">
        <f>G26*H26</f>
        <v>264600</v>
      </c>
    </row>
    <row r="27" spans="3:12" ht="22.8" customHeight="1">
      <c r="C27" s="66" t="s">
        <v>1214</v>
      </c>
      <c r="D27" s="67"/>
      <c r="E27" s="67"/>
      <c r="F27" s="67"/>
      <c r="G27" s="67"/>
      <c r="H27" s="69"/>
      <c r="I27" s="284">
        <f>SUM(I26)</f>
        <v>264600</v>
      </c>
    </row>
    <row r="28" spans="3:12" ht="22.8" customHeight="1">
      <c r="C28" s="290" t="s">
        <v>1215</v>
      </c>
      <c r="D28" s="182" t="s">
        <v>1216</v>
      </c>
      <c r="E28" s="182"/>
      <c r="F28" s="70"/>
      <c r="G28" s="70"/>
      <c r="H28" s="70"/>
      <c r="I28" s="71"/>
    </row>
    <row r="29" spans="3:12" ht="22.8" customHeight="1">
      <c r="C29" s="66" t="s">
        <v>1217</v>
      </c>
      <c r="D29" s="67"/>
      <c r="E29" s="67"/>
      <c r="F29" s="67"/>
      <c r="G29" s="67"/>
      <c r="H29" s="69"/>
      <c r="I29" s="292">
        <v>0</v>
      </c>
    </row>
    <row r="30" spans="3:12" s="297" customFormat="1" ht="22.8" customHeight="1">
      <c r="C30" s="293" t="s">
        <v>1218</v>
      </c>
      <c r="D30" s="294" t="s">
        <v>1219</v>
      </c>
      <c r="E30" s="295"/>
      <c r="F30" s="295"/>
      <c r="G30" s="295"/>
      <c r="H30" s="296"/>
      <c r="I30" s="284">
        <f>I24+I27+I29</f>
        <v>297000</v>
      </c>
      <c r="J30" s="119"/>
      <c r="K30" s="119"/>
      <c r="L30" s="119"/>
    </row>
    <row r="31" spans="3:12" s="297" customFormat="1" ht="22.8" customHeight="1">
      <c r="C31" s="293" t="s">
        <v>1220</v>
      </c>
      <c r="D31" s="294" t="s">
        <v>1321</v>
      </c>
      <c r="E31" s="295"/>
      <c r="F31" s="295"/>
      <c r="G31" s="296"/>
      <c r="H31" s="298">
        <f>$Q$8</f>
        <v>0.1</v>
      </c>
      <c r="I31" s="284">
        <f>I30*H31</f>
        <v>29700</v>
      </c>
      <c r="J31" s="119"/>
      <c r="K31" s="119"/>
      <c r="L31" s="119"/>
    </row>
    <row r="32" spans="3:12" s="297" customFormat="1" ht="22.8" customHeight="1" thickBot="1">
      <c r="C32" s="299" t="s">
        <v>1221</v>
      </c>
      <c r="D32" s="300" t="s">
        <v>1222</v>
      </c>
      <c r="E32" s="301"/>
      <c r="F32" s="301"/>
      <c r="G32" s="301"/>
      <c r="H32" s="302"/>
      <c r="I32" s="303">
        <f>SUM(I30:I31)</f>
        <v>326700</v>
      </c>
      <c r="J32" s="119"/>
      <c r="K32" s="119"/>
      <c r="L32" s="119"/>
    </row>
    <row r="33" spans="3:12" s="297" customFormat="1" ht="22.8" customHeight="1" thickTop="1">
      <c r="C33" s="289"/>
      <c r="I33" s="139"/>
      <c r="J33" s="119"/>
      <c r="K33" s="119"/>
      <c r="L33" s="119"/>
    </row>
    <row r="34" spans="3:12" ht="14.4" thickBot="1">
      <c r="C34" s="289" t="s">
        <v>2074</v>
      </c>
      <c r="D34" s="488" t="s">
        <v>1261</v>
      </c>
      <c r="E34" s="488"/>
      <c r="F34" s="965"/>
      <c r="G34" s="965"/>
      <c r="H34" s="965"/>
      <c r="I34" s="965"/>
      <c r="J34" s="120">
        <f>ROUNDDOWN(I47,-2)</f>
        <v>299300</v>
      </c>
      <c r="K34" s="120"/>
      <c r="L34" s="120"/>
    </row>
    <row r="35" spans="3:12" s="342" customFormat="1" ht="28.2" thickTop="1">
      <c r="C35" s="51" t="s">
        <v>1195</v>
      </c>
      <c r="D35" s="52" t="s">
        <v>1196</v>
      </c>
      <c r="E35" s="52"/>
      <c r="F35" s="52" t="s">
        <v>1197</v>
      </c>
      <c r="G35" s="52" t="s">
        <v>1198</v>
      </c>
      <c r="H35" s="52" t="s">
        <v>1199</v>
      </c>
      <c r="I35" s="53" t="s">
        <v>1200</v>
      </c>
      <c r="J35" s="1074"/>
      <c r="K35" s="1074"/>
      <c r="L35" s="1074"/>
    </row>
    <row r="36" spans="3:12" ht="22.8" customHeight="1">
      <c r="C36" s="290" t="s">
        <v>1201</v>
      </c>
      <c r="D36" s="182" t="s">
        <v>1202</v>
      </c>
      <c r="E36" s="182" t="s">
        <v>1906</v>
      </c>
      <c r="F36" s="70"/>
      <c r="G36" s="70"/>
      <c r="H36" s="70"/>
      <c r="I36" s="71"/>
    </row>
    <row r="37" spans="3:12" ht="22.8" customHeight="1">
      <c r="C37" s="281">
        <v>1</v>
      </c>
      <c r="D37" s="182" t="s">
        <v>5</v>
      </c>
      <c r="E37" s="176" t="s">
        <v>1774</v>
      </c>
      <c r="F37" s="176" t="s">
        <v>6</v>
      </c>
      <c r="G37" s="315">
        <v>6.5000000000000002E-2</v>
      </c>
      <c r="H37" s="283">
        <f>VLOOKUP(D37,upahbahan,3,FALSE)</f>
        <v>100000</v>
      </c>
      <c r="I37" s="284">
        <f>G37*H37</f>
        <v>6500</v>
      </c>
    </row>
    <row r="38" spans="3:12" ht="22.8" customHeight="1">
      <c r="C38" s="281">
        <v>2</v>
      </c>
      <c r="D38" s="182" t="s">
        <v>19</v>
      </c>
      <c r="E38" s="176" t="s">
        <v>1777</v>
      </c>
      <c r="F38" s="176" t="s">
        <v>6</v>
      </c>
      <c r="G38" s="315">
        <v>6.4999999999999997E-3</v>
      </c>
      <c r="H38" s="283">
        <f>VLOOKUP(D38,upahbahan,3,FALSE)</f>
        <v>160000</v>
      </c>
      <c r="I38" s="284">
        <f>G38*H38</f>
        <v>1040</v>
      </c>
    </row>
    <row r="39" spans="3:12" ht="22.8" customHeight="1">
      <c r="C39" s="66" t="s">
        <v>1208</v>
      </c>
      <c r="D39" s="67"/>
      <c r="E39" s="67"/>
      <c r="F39" s="67"/>
      <c r="G39" s="67"/>
      <c r="H39" s="69"/>
      <c r="I39" s="284">
        <f>SUM(I37:I38)</f>
        <v>7540</v>
      </c>
    </row>
    <row r="40" spans="3:12" ht="22.8" customHeight="1">
      <c r="C40" s="290" t="s">
        <v>1209</v>
      </c>
      <c r="D40" s="182" t="s">
        <v>1210</v>
      </c>
      <c r="E40" s="182"/>
      <c r="F40" s="70"/>
      <c r="G40" s="70"/>
      <c r="H40" s="70"/>
      <c r="I40" s="71"/>
    </row>
    <row r="41" spans="3:12" ht="22.8" customHeight="1">
      <c r="C41" s="290">
        <v>1</v>
      </c>
      <c r="D41" s="182" t="s">
        <v>88</v>
      </c>
      <c r="E41" s="182"/>
      <c r="F41" s="124" t="s">
        <v>42</v>
      </c>
      <c r="G41" s="127">
        <v>1.2</v>
      </c>
      <c r="H41" s="283">
        <f>VLOOKUP(D41,upahbahan,3,FALSE)</f>
        <v>220500</v>
      </c>
      <c r="I41" s="284">
        <f>G41*H41</f>
        <v>264600</v>
      </c>
    </row>
    <row r="42" spans="3:12" ht="22.8" customHeight="1">
      <c r="C42" s="66" t="s">
        <v>1214</v>
      </c>
      <c r="D42" s="67"/>
      <c r="E42" s="67"/>
      <c r="F42" s="67"/>
      <c r="G42" s="67"/>
      <c r="H42" s="69"/>
      <c r="I42" s="284">
        <f>SUM(I41)</f>
        <v>264600</v>
      </c>
    </row>
    <row r="43" spans="3:12" ht="22.8" customHeight="1">
      <c r="C43" s="290" t="s">
        <v>1215</v>
      </c>
      <c r="D43" s="182" t="s">
        <v>1216</v>
      </c>
      <c r="E43" s="182"/>
      <c r="F43" s="70"/>
      <c r="G43" s="70"/>
      <c r="H43" s="70"/>
      <c r="I43" s="71"/>
    </row>
    <row r="44" spans="3:12" ht="22.8" customHeight="1">
      <c r="C44" s="66" t="s">
        <v>1217</v>
      </c>
      <c r="D44" s="67"/>
      <c r="E44" s="67"/>
      <c r="F44" s="67"/>
      <c r="G44" s="67"/>
      <c r="H44" s="69"/>
      <c r="I44" s="292">
        <v>0</v>
      </c>
    </row>
    <row r="45" spans="3:12" s="297" customFormat="1" ht="22.8" customHeight="1">
      <c r="C45" s="293" t="s">
        <v>1218</v>
      </c>
      <c r="D45" s="294" t="s">
        <v>1219</v>
      </c>
      <c r="E45" s="295"/>
      <c r="F45" s="295"/>
      <c r="G45" s="295"/>
      <c r="H45" s="296"/>
      <c r="I45" s="284">
        <f>I39+I42+I44</f>
        <v>272140</v>
      </c>
      <c r="J45" s="119"/>
      <c r="K45" s="119"/>
      <c r="L45" s="119"/>
    </row>
    <row r="46" spans="3:12" s="297" customFormat="1" ht="22.8" customHeight="1">
      <c r="C46" s="293" t="s">
        <v>1220</v>
      </c>
      <c r="D46" s="294" t="s">
        <v>1321</v>
      </c>
      <c r="E46" s="295"/>
      <c r="F46" s="295"/>
      <c r="G46" s="296"/>
      <c r="H46" s="298">
        <f>$Q$8</f>
        <v>0.1</v>
      </c>
      <c r="I46" s="284">
        <f>I45*H46</f>
        <v>27214</v>
      </c>
      <c r="J46" s="119"/>
      <c r="K46" s="119"/>
      <c r="L46" s="119"/>
    </row>
    <row r="47" spans="3:12" s="297" customFormat="1" ht="22.8" customHeight="1" thickBot="1">
      <c r="C47" s="299" t="s">
        <v>1221</v>
      </c>
      <c r="D47" s="300" t="s">
        <v>1222</v>
      </c>
      <c r="E47" s="301"/>
      <c r="F47" s="301"/>
      <c r="G47" s="301"/>
      <c r="H47" s="302"/>
      <c r="I47" s="303">
        <f>SUM(I45:I46)</f>
        <v>299354</v>
      </c>
      <c r="J47" s="119"/>
      <c r="K47" s="119"/>
      <c r="L47" s="119"/>
    </row>
    <row r="48" spans="3:12" s="297" customFormat="1" ht="14.4" thickTop="1">
      <c r="C48" s="289"/>
      <c r="I48" s="139"/>
      <c r="J48" s="119"/>
      <c r="K48" s="119"/>
      <c r="L48" s="119"/>
    </row>
    <row r="49" spans="3:12" ht="14.4" thickBot="1">
      <c r="C49" s="126" t="s">
        <v>2075</v>
      </c>
      <c r="D49" s="488" t="s">
        <v>2078</v>
      </c>
      <c r="E49" s="488"/>
      <c r="F49" s="965"/>
      <c r="G49" s="965"/>
      <c r="H49" s="965"/>
      <c r="I49" s="965"/>
      <c r="J49" s="120">
        <f>ROUNDDOWN(I62,-2)</f>
        <v>12700</v>
      </c>
      <c r="K49" s="120"/>
      <c r="L49" s="120"/>
    </row>
    <row r="50" spans="3:12" s="342" customFormat="1" ht="28.2" thickTop="1">
      <c r="C50" s="51" t="s">
        <v>1195</v>
      </c>
      <c r="D50" s="52" t="s">
        <v>1196</v>
      </c>
      <c r="E50" s="52" t="s">
        <v>1906</v>
      </c>
      <c r="F50" s="52" t="s">
        <v>1197</v>
      </c>
      <c r="G50" s="52" t="s">
        <v>1198</v>
      </c>
      <c r="H50" s="52" t="s">
        <v>1199</v>
      </c>
      <c r="I50" s="53" t="s">
        <v>1200</v>
      </c>
      <c r="J50" s="1074"/>
      <c r="K50" s="1074"/>
      <c r="L50" s="1074"/>
    </row>
    <row r="51" spans="3:12" ht="22.8" customHeight="1">
      <c r="C51" s="290" t="s">
        <v>1201</v>
      </c>
      <c r="D51" s="182" t="s">
        <v>1202</v>
      </c>
      <c r="E51" s="182"/>
      <c r="F51" s="70"/>
      <c r="G51" s="70"/>
      <c r="H51" s="283"/>
      <c r="I51" s="71"/>
    </row>
    <row r="52" spans="3:12" ht="22.8" customHeight="1">
      <c r="C52" s="281">
        <v>1</v>
      </c>
      <c r="D52" s="182" t="s">
        <v>5</v>
      </c>
      <c r="E52" s="176" t="s">
        <v>1774</v>
      </c>
      <c r="F52" s="176" t="s">
        <v>6</v>
      </c>
      <c r="G52" s="315">
        <v>0.1</v>
      </c>
      <c r="H52" s="283">
        <f>VLOOKUP(D52,upahbahan,3,FALSE)</f>
        <v>100000</v>
      </c>
      <c r="I52" s="284">
        <f>G52*H52</f>
        <v>10000</v>
      </c>
    </row>
    <row r="53" spans="3:12" ht="22.8" customHeight="1">
      <c r="C53" s="281">
        <v>2</v>
      </c>
      <c r="D53" s="182" t="s">
        <v>19</v>
      </c>
      <c r="E53" s="176" t="s">
        <v>1777</v>
      </c>
      <c r="F53" s="176" t="s">
        <v>6</v>
      </c>
      <c r="G53" s="315">
        <v>0.01</v>
      </c>
      <c r="H53" s="283">
        <f>VLOOKUP(D53,upahbahan,3,FALSE)</f>
        <v>160000</v>
      </c>
      <c r="I53" s="284">
        <f>G53*H53</f>
        <v>1600</v>
      </c>
    </row>
    <row r="54" spans="3:12" ht="22.8" customHeight="1">
      <c r="C54" s="66" t="s">
        <v>1208</v>
      </c>
      <c r="D54" s="67"/>
      <c r="E54" s="67"/>
      <c r="F54" s="67"/>
      <c r="G54" s="67"/>
      <c r="H54" s="69"/>
      <c r="I54" s="284">
        <f>SUM(I52:I53)</f>
        <v>11600</v>
      </c>
    </row>
    <row r="55" spans="3:12" ht="22.8" customHeight="1">
      <c r="C55" s="290" t="s">
        <v>1209</v>
      </c>
      <c r="D55" s="182" t="s">
        <v>1210</v>
      </c>
      <c r="E55" s="182"/>
      <c r="F55" s="70"/>
      <c r="G55" s="70"/>
      <c r="H55" s="70"/>
      <c r="I55" s="71"/>
    </row>
    <row r="56" spans="3:12" ht="22.8" customHeight="1">
      <c r="C56" s="290">
        <v>1</v>
      </c>
      <c r="D56" s="285" t="s">
        <v>96</v>
      </c>
      <c r="E56" s="285"/>
      <c r="F56" s="124" t="s">
        <v>42</v>
      </c>
      <c r="G56" s="127">
        <v>1.4</v>
      </c>
      <c r="H56" s="283">
        <f>VLOOKUP(D56,upahbahan,3,FALSE)</f>
        <v>0</v>
      </c>
      <c r="I56" s="284">
        <f>G56*H56</f>
        <v>0</v>
      </c>
    </row>
    <row r="57" spans="3:12" ht="22.8" customHeight="1">
      <c r="C57" s="66" t="s">
        <v>1214</v>
      </c>
      <c r="D57" s="67"/>
      <c r="E57" s="67"/>
      <c r="F57" s="67"/>
      <c r="G57" s="67"/>
      <c r="H57" s="69"/>
      <c r="I57" s="284">
        <f>SUM(I56)</f>
        <v>0</v>
      </c>
    </row>
    <row r="58" spans="3:12" ht="22.8" customHeight="1">
      <c r="C58" s="290" t="s">
        <v>1215</v>
      </c>
      <c r="D58" s="182" t="s">
        <v>1216</v>
      </c>
      <c r="E58" s="182"/>
      <c r="F58" s="70"/>
      <c r="G58" s="70"/>
      <c r="H58" s="70"/>
      <c r="I58" s="71"/>
    </row>
    <row r="59" spans="3:12" ht="22.8" customHeight="1">
      <c r="C59" s="66" t="s">
        <v>1217</v>
      </c>
      <c r="D59" s="67"/>
      <c r="E59" s="67"/>
      <c r="F59" s="67"/>
      <c r="G59" s="67"/>
      <c r="H59" s="69"/>
      <c r="I59" s="292">
        <v>0</v>
      </c>
    </row>
    <row r="60" spans="3:12" s="297" customFormat="1" ht="22.8" customHeight="1">
      <c r="C60" s="293" t="s">
        <v>1218</v>
      </c>
      <c r="D60" s="294" t="s">
        <v>1219</v>
      </c>
      <c r="E60" s="295"/>
      <c r="F60" s="295"/>
      <c r="G60" s="295"/>
      <c r="H60" s="296"/>
      <c r="I60" s="284">
        <f>I54+I57+I59</f>
        <v>11600</v>
      </c>
      <c r="J60" s="119"/>
      <c r="K60" s="119"/>
      <c r="L60" s="119"/>
    </row>
    <row r="61" spans="3:12" s="297" customFormat="1" ht="22.8" customHeight="1">
      <c r="C61" s="293" t="s">
        <v>1220</v>
      </c>
      <c r="D61" s="294" t="s">
        <v>1321</v>
      </c>
      <c r="E61" s="295"/>
      <c r="F61" s="295"/>
      <c r="G61" s="296"/>
      <c r="H61" s="298">
        <f>$Q$8</f>
        <v>0.1</v>
      </c>
      <c r="I61" s="284">
        <f>I60*H61</f>
        <v>1160</v>
      </c>
      <c r="J61" s="119"/>
      <c r="K61" s="119"/>
      <c r="L61" s="119"/>
    </row>
    <row r="62" spans="3:12" s="297" customFormat="1" ht="22.8" customHeight="1" thickBot="1">
      <c r="C62" s="299" t="s">
        <v>1221</v>
      </c>
      <c r="D62" s="300" t="s">
        <v>1222</v>
      </c>
      <c r="E62" s="301"/>
      <c r="F62" s="301"/>
      <c r="G62" s="301"/>
      <c r="H62" s="302"/>
      <c r="I62" s="303">
        <f>SUM(I60:I61)</f>
        <v>12760</v>
      </c>
      <c r="J62" s="119"/>
      <c r="K62" s="119"/>
      <c r="L62" s="119"/>
    </row>
    <row r="63" spans="3:12" s="1080" customFormat="1" ht="44.4" customHeight="1" thickTop="1">
      <c r="C63" s="1078" t="s">
        <v>1262</v>
      </c>
      <c r="D63" s="1873" t="s">
        <v>2076</v>
      </c>
      <c r="E63" s="1873"/>
      <c r="F63" s="1873"/>
      <c r="G63" s="1873"/>
      <c r="H63" s="1873"/>
      <c r="I63" s="1873"/>
      <c r="J63" s="1079"/>
      <c r="K63" s="1079"/>
      <c r="L63" s="1079"/>
    </row>
    <row r="64" spans="3:12" s="297" customFormat="1">
      <c r="C64" s="289"/>
      <c r="I64" s="139"/>
      <c r="J64" s="119"/>
      <c r="K64" s="119"/>
      <c r="L64" s="119"/>
    </row>
    <row r="65" spans="3:12" ht="14.4" thickBot="1">
      <c r="C65" s="126" t="s">
        <v>2077</v>
      </c>
      <c r="D65" s="488" t="s">
        <v>2079</v>
      </c>
      <c r="E65" s="488"/>
      <c r="F65" s="965"/>
      <c r="G65" s="965"/>
      <c r="H65" s="965"/>
      <c r="I65" s="965"/>
      <c r="J65" s="120">
        <f>ROUNDDOWN(I78,-2)</f>
        <v>15900</v>
      </c>
      <c r="K65" s="120"/>
      <c r="L65" s="120"/>
    </row>
    <row r="66" spans="3:12" s="342" customFormat="1" ht="28.2" thickTop="1">
      <c r="C66" s="51" t="s">
        <v>1195</v>
      </c>
      <c r="D66" s="52" t="s">
        <v>1196</v>
      </c>
      <c r="E66" s="52" t="s">
        <v>1906</v>
      </c>
      <c r="F66" s="52" t="s">
        <v>1197</v>
      </c>
      <c r="G66" s="52" t="s">
        <v>1198</v>
      </c>
      <c r="H66" s="52" t="s">
        <v>1199</v>
      </c>
      <c r="I66" s="53" t="s">
        <v>1200</v>
      </c>
      <c r="J66" s="1074"/>
      <c r="K66" s="1074"/>
      <c r="L66" s="1074"/>
    </row>
    <row r="67" spans="3:12" ht="22.8" customHeight="1">
      <c r="C67" s="290" t="s">
        <v>1201</v>
      </c>
      <c r="D67" s="182" t="s">
        <v>1202</v>
      </c>
      <c r="E67" s="182"/>
      <c r="F67" s="70"/>
      <c r="G67" s="70"/>
      <c r="H67" s="283"/>
      <c r="I67" s="71"/>
    </row>
    <row r="68" spans="3:12" ht="22.8" customHeight="1">
      <c r="C68" s="281">
        <v>1</v>
      </c>
      <c r="D68" s="182" t="s">
        <v>5</v>
      </c>
      <c r="E68" s="176" t="s">
        <v>1774</v>
      </c>
      <c r="F68" s="176" t="s">
        <v>6</v>
      </c>
      <c r="G68" s="315">
        <v>0.125</v>
      </c>
      <c r="H68" s="283">
        <f>VLOOKUP(D68,upahbahan,3,FALSE)</f>
        <v>100000</v>
      </c>
      <c r="I68" s="284">
        <f>G68*H68</f>
        <v>12500</v>
      </c>
    </row>
    <row r="69" spans="3:12" ht="22.8" customHeight="1">
      <c r="C69" s="281">
        <v>2</v>
      </c>
      <c r="D69" s="182" t="s">
        <v>19</v>
      </c>
      <c r="E69" s="176" t="s">
        <v>1777</v>
      </c>
      <c r="F69" s="176" t="s">
        <v>6</v>
      </c>
      <c r="G69" s="315">
        <v>1.2500000000000001E-2</v>
      </c>
      <c r="H69" s="283">
        <f>VLOOKUP(D69,upahbahan,3,FALSE)</f>
        <v>160000</v>
      </c>
      <c r="I69" s="284">
        <f>G69*H69</f>
        <v>2000</v>
      </c>
    </row>
    <row r="70" spans="3:12" ht="22.8" customHeight="1">
      <c r="C70" s="66" t="s">
        <v>1208</v>
      </c>
      <c r="D70" s="67"/>
      <c r="E70" s="67"/>
      <c r="F70" s="67"/>
      <c r="G70" s="67"/>
      <c r="H70" s="69"/>
      <c r="I70" s="284">
        <f>SUM(I68:I69)</f>
        <v>14500</v>
      </c>
    </row>
    <row r="71" spans="3:12" ht="22.8" customHeight="1">
      <c r="C71" s="290" t="s">
        <v>1209</v>
      </c>
      <c r="D71" s="182" t="s">
        <v>1210</v>
      </c>
      <c r="E71" s="182"/>
      <c r="F71" s="70"/>
      <c r="G71" s="70"/>
      <c r="H71" s="70"/>
      <c r="I71" s="71"/>
    </row>
    <row r="72" spans="3:12" ht="22.8" customHeight="1">
      <c r="C72" s="290">
        <v>1</v>
      </c>
      <c r="D72" s="285" t="s">
        <v>99</v>
      </c>
      <c r="E72" s="285"/>
      <c r="F72" s="124" t="s">
        <v>42</v>
      </c>
      <c r="G72" s="127">
        <v>1.4</v>
      </c>
      <c r="H72" s="283">
        <f>VLOOKUP(D72,upahbahan,3,FALSE)</f>
        <v>0</v>
      </c>
      <c r="I72" s="284">
        <f>G72*H72</f>
        <v>0</v>
      </c>
    </row>
    <row r="73" spans="3:12" ht="22.8" customHeight="1">
      <c r="C73" s="66" t="s">
        <v>1214</v>
      </c>
      <c r="D73" s="67"/>
      <c r="E73" s="67"/>
      <c r="F73" s="67"/>
      <c r="G73" s="67"/>
      <c r="H73" s="69"/>
      <c r="I73" s="284">
        <f>SUM(I72)</f>
        <v>0</v>
      </c>
    </row>
    <row r="74" spans="3:12" ht="22.8" customHeight="1">
      <c r="C74" s="290" t="s">
        <v>1215</v>
      </c>
      <c r="D74" s="182" t="s">
        <v>1216</v>
      </c>
      <c r="E74" s="182"/>
      <c r="F74" s="70"/>
      <c r="G74" s="70"/>
      <c r="H74" s="70"/>
      <c r="I74" s="71"/>
    </row>
    <row r="75" spans="3:12" ht="22.8" customHeight="1">
      <c r="C75" s="66" t="s">
        <v>1217</v>
      </c>
      <c r="D75" s="67"/>
      <c r="E75" s="67"/>
      <c r="F75" s="67"/>
      <c r="G75" s="67"/>
      <c r="H75" s="69"/>
      <c r="I75" s="292">
        <v>0</v>
      </c>
    </row>
    <row r="76" spans="3:12" s="297" customFormat="1" ht="22.8" customHeight="1">
      <c r="C76" s="293" t="s">
        <v>1218</v>
      </c>
      <c r="D76" s="294" t="s">
        <v>1219</v>
      </c>
      <c r="E76" s="295"/>
      <c r="F76" s="295"/>
      <c r="G76" s="295"/>
      <c r="H76" s="296"/>
      <c r="I76" s="284">
        <f>I70+I73+I75</f>
        <v>14500</v>
      </c>
      <c r="J76" s="119"/>
      <c r="K76" s="119"/>
      <c r="L76" s="119"/>
    </row>
    <row r="77" spans="3:12" s="297" customFormat="1" ht="22.8" customHeight="1">
      <c r="C77" s="293" t="s">
        <v>1220</v>
      </c>
      <c r="D77" s="294" t="s">
        <v>1321</v>
      </c>
      <c r="E77" s="295"/>
      <c r="F77" s="295"/>
      <c r="G77" s="296"/>
      <c r="H77" s="298">
        <f>$Q$8</f>
        <v>0.1</v>
      </c>
      <c r="I77" s="284">
        <f>I76*H77</f>
        <v>1450</v>
      </c>
      <c r="J77" s="119"/>
      <c r="K77" s="119"/>
      <c r="L77" s="119"/>
    </row>
    <row r="78" spans="3:12" s="297" customFormat="1" ht="22.8" customHeight="1" thickBot="1">
      <c r="C78" s="299" t="s">
        <v>1221</v>
      </c>
      <c r="D78" s="300" t="s">
        <v>1222</v>
      </c>
      <c r="E78" s="301"/>
      <c r="F78" s="301"/>
      <c r="G78" s="301"/>
      <c r="H78" s="302"/>
      <c r="I78" s="303">
        <f>SUM(I76:I77)</f>
        <v>15950</v>
      </c>
      <c r="J78" s="119"/>
      <c r="K78" s="119"/>
      <c r="L78" s="119"/>
    </row>
    <row r="79" spans="3:12" s="297" customFormat="1" ht="44.4" customHeight="1" thickTop="1">
      <c r="C79" s="335" t="s">
        <v>1262</v>
      </c>
      <c r="D79" s="1873" t="s">
        <v>2076</v>
      </c>
      <c r="E79" s="1873"/>
      <c r="F79" s="1873"/>
      <c r="G79" s="1873"/>
      <c r="H79" s="1873"/>
      <c r="I79" s="1873"/>
      <c r="J79" s="119"/>
      <c r="K79" s="119"/>
      <c r="L79" s="119"/>
    </row>
    <row r="80" spans="3:12" s="297" customFormat="1">
      <c r="C80" s="289"/>
      <c r="I80" s="139"/>
      <c r="J80" s="119"/>
      <c r="K80" s="119"/>
      <c r="L80" s="119"/>
    </row>
    <row r="81" spans="3:12" ht="14.4" thickBot="1">
      <c r="C81" s="126" t="s">
        <v>2080</v>
      </c>
      <c r="D81" s="488" t="s">
        <v>2081</v>
      </c>
      <c r="E81" s="488"/>
      <c r="F81" s="965"/>
      <c r="G81" s="965"/>
      <c r="H81" s="965"/>
      <c r="I81" s="965"/>
      <c r="J81" s="120">
        <f>ROUNDDOWN(I94,-2)</f>
        <v>486000</v>
      </c>
      <c r="K81" s="120"/>
      <c r="L81" s="120"/>
    </row>
    <row r="82" spans="3:12" s="342" customFormat="1" ht="28.2" thickTop="1">
      <c r="C82" s="51" t="s">
        <v>1195</v>
      </c>
      <c r="D82" s="52" t="s">
        <v>1196</v>
      </c>
      <c r="E82" s="52" t="s">
        <v>1906</v>
      </c>
      <c r="F82" s="52" t="s">
        <v>1197</v>
      </c>
      <c r="G82" s="52" t="s">
        <v>1198</v>
      </c>
      <c r="H82" s="52" t="s">
        <v>1199</v>
      </c>
      <c r="I82" s="53" t="s">
        <v>1200</v>
      </c>
      <c r="J82" s="1074"/>
      <c r="K82" s="1074"/>
      <c r="L82" s="1074"/>
    </row>
    <row r="83" spans="3:12" ht="22.8" customHeight="1">
      <c r="C83" s="290" t="s">
        <v>1201</v>
      </c>
      <c r="D83" s="182" t="s">
        <v>1202</v>
      </c>
      <c r="E83" s="182"/>
      <c r="F83" s="70"/>
      <c r="G83" s="70"/>
      <c r="H83" s="283"/>
      <c r="I83" s="71"/>
    </row>
    <row r="84" spans="3:12" ht="22.8" customHeight="1">
      <c r="C84" s="281">
        <v>1</v>
      </c>
      <c r="D84" s="182" t="s">
        <v>5</v>
      </c>
      <c r="E84" s="176" t="s">
        <v>1774</v>
      </c>
      <c r="F84" s="176" t="s">
        <v>6</v>
      </c>
      <c r="G84" s="315">
        <v>0.3</v>
      </c>
      <c r="H84" s="283">
        <f>VLOOKUP(D84,upahbahan,3,FALSE)</f>
        <v>100000</v>
      </c>
      <c r="I84" s="284">
        <f>G84*H84</f>
        <v>30000</v>
      </c>
    </row>
    <row r="85" spans="3:12" ht="22.8" customHeight="1">
      <c r="C85" s="281">
        <v>2</v>
      </c>
      <c r="D85" s="182" t="s">
        <v>19</v>
      </c>
      <c r="E85" s="176" t="s">
        <v>1777</v>
      </c>
      <c r="F85" s="176" t="s">
        <v>6</v>
      </c>
      <c r="G85" s="315">
        <v>1.4999999999999999E-2</v>
      </c>
      <c r="H85" s="283">
        <f>VLOOKUP(D85,upahbahan,3,FALSE)</f>
        <v>160000</v>
      </c>
      <c r="I85" s="284">
        <f>G85*H85</f>
        <v>2400</v>
      </c>
    </row>
    <row r="86" spans="3:12" ht="22.8" customHeight="1">
      <c r="C86" s="66" t="s">
        <v>1208</v>
      </c>
      <c r="D86" s="67"/>
      <c r="E86" s="67"/>
      <c r="F86" s="67"/>
      <c r="G86" s="67"/>
      <c r="H86" s="69"/>
      <c r="I86" s="284">
        <f>SUM(I84:I85)</f>
        <v>32400</v>
      </c>
    </row>
    <row r="87" spans="3:12" ht="22.8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</row>
    <row r="88" spans="3:12" s="326" customFormat="1" ht="22.8" customHeight="1">
      <c r="C88" s="290">
        <v>1</v>
      </c>
      <c r="D88" s="285" t="s">
        <v>2553</v>
      </c>
      <c r="E88" s="285"/>
      <c r="F88" s="176" t="s">
        <v>42</v>
      </c>
      <c r="G88" s="527">
        <v>1.4</v>
      </c>
      <c r="H88" s="183">
        <f>VLOOKUP(D88,upahbahan,3,FALSE)</f>
        <v>292500</v>
      </c>
      <c r="I88" s="325">
        <f>G88*H88</f>
        <v>409500</v>
      </c>
      <c r="J88" s="48"/>
      <c r="K88" s="48"/>
      <c r="L88" s="48"/>
    </row>
    <row r="89" spans="3:12" ht="22.8" customHeight="1">
      <c r="C89" s="66" t="s">
        <v>1214</v>
      </c>
      <c r="D89" s="67"/>
      <c r="E89" s="67"/>
      <c r="F89" s="67"/>
      <c r="G89" s="67"/>
      <c r="H89" s="69"/>
      <c r="I89" s="284">
        <f>SUM(I88)</f>
        <v>409500</v>
      </c>
    </row>
    <row r="90" spans="3:12" ht="22.8" customHeight="1">
      <c r="C90" s="290" t="s">
        <v>1215</v>
      </c>
      <c r="D90" s="182" t="s">
        <v>1216</v>
      </c>
      <c r="E90" s="182"/>
      <c r="F90" s="70"/>
      <c r="G90" s="70"/>
      <c r="H90" s="70"/>
      <c r="I90" s="71"/>
    </row>
    <row r="91" spans="3:12" ht="22.8" customHeight="1">
      <c r="C91" s="66" t="s">
        <v>1217</v>
      </c>
      <c r="D91" s="67"/>
      <c r="E91" s="67"/>
      <c r="F91" s="67"/>
      <c r="G91" s="67"/>
      <c r="H91" s="69"/>
      <c r="I91" s="292">
        <v>0</v>
      </c>
    </row>
    <row r="92" spans="3:12" s="297" customFormat="1" ht="22.8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I86+I89+I91</f>
        <v>441900</v>
      </c>
      <c r="J92" s="119"/>
      <c r="K92" s="119"/>
      <c r="L92" s="119"/>
    </row>
    <row r="93" spans="3:12" s="297" customFormat="1" ht="22.8" customHeight="1">
      <c r="C93" s="293" t="s">
        <v>1220</v>
      </c>
      <c r="D93" s="294" t="s">
        <v>1321</v>
      </c>
      <c r="E93" s="295"/>
      <c r="F93" s="295"/>
      <c r="G93" s="296"/>
      <c r="H93" s="298">
        <f>$Q$8</f>
        <v>0.1</v>
      </c>
      <c r="I93" s="284">
        <f>I92*H93</f>
        <v>44190</v>
      </c>
      <c r="J93" s="119"/>
      <c r="K93" s="119"/>
      <c r="L93" s="119"/>
    </row>
    <row r="94" spans="3:12" s="297" customFormat="1" ht="22.8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486090</v>
      </c>
      <c r="J94" s="119"/>
      <c r="K94" s="119"/>
      <c r="L94" s="119"/>
    </row>
    <row r="95" spans="3:12" s="297" customFormat="1" ht="14.4" thickTop="1">
      <c r="C95" s="289"/>
      <c r="I95" s="139"/>
      <c r="J95" s="119"/>
      <c r="K95" s="119"/>
      <c r="L95" s="119"/>
    </row>
    <row r="96" spans="3:12" s="297" customFormat="1">
      <c r="C96" s="289"/>
      <c r="I96" s="139"/>
      <c r="J96" s="119"/>
      <c r="K96" s="119"/>
      <c r="L96" s="119"/>
    </row>
    <row r="97" spans="3:12" ht="14.4" thickBot="1">
      <c r="C97" s="126" t="s">
        <v>2082</v>
      </c>
      <c r="D97" s="488" t="s">
        <v>2083</v>
      </c>
      <c r="E97" s="488"/>
      <c r="F97" s="965"/>
      <c r="G97" s="965"/>
      <c r="H97" s="965"/>
      <c r="I97" s="965"/>
      <c r="J97" s="120">
        <f>ROUNDDOWN(I110,-2)</f>
        <v>35600</v>
      </c>
      <c r="K97" s="120"/>
      <c r="L97" s="120"/>
    </row>
    <row r="98" spans="3:12" s="342" customFormat="1" ht="28.2" thickTop="1">
      <c r="C98" s="51" t="s">
        <v>1195</v>
      </c>
      <c r="D98" s="52" t="s">
        <v>1196</v>
      </c>
      <c r="E98" s="52" t="s">
        <v>1906</v>
      </c>
      <c r="F98" s="52" t="s">
        <v>1197</v>
      </c>
      <c r="G98" s="52" t="s">
        <v>1198</v>
      </c>
      <c r="H98" s="52" t="s">
        <v>1199</v>
      </c>
      <c r="I98" s="53" t="s">
        <v>1200</v>
      </c>
      <c r="J98" s="1074"/>
      <c r="K98" s="1074"/>
      <c r="L98" s="1074"/>
    </row>
    <row r="99" spans="3:12" ht="22.8" customHeight="1">
      <c r="C99" s="290" t="s">
        <v>1201</v>
      </c>
      <c r="D99" s="182" t="s">
        <v>1202</v>
      </c>
      <c r="E99" s="182"/>
      <c r="F99" s="70"/>
      <c r="G99" s="70"/>
      <c r="H99" s="283"/>
      <c r="I99" s="71"/>
    </row>
    <row r="100" spans="3:12" ht="22.8" customHeight="1">
      <c r="C100" s="281">
        <v>1</v>
      </c>
      <c r="D100" s="182" t="s">
        <v>5</v>
      </c>
      <c r="E100" s="176" t="s">
        <v>1774</v>
      </c>
      <c r="F100" s="176" t="s">
        <v>6</v>
      </c>
      <c r="G100" s="315">
        <v>0.3</v>
      </c>
      <c r="H100" s="283">
        <f>VLOOKUP(D100,upahbahan,3,FALSE)</f>
        <v>100000</v>
      </c>
      <c r="I100" s="284">
        <f>G100*H100</f>
        <v>30000</v>
      </c>
    </row>
    <row r="101" spans="3:12" ht="22.8" customHeight="1">
      <c r="C101" s="281">
        <v>2</v>
      </c>
      <c r="D101" s="182" t="s">
        <v>19</v>
      </c>
      <c r="E101" s="176" t="s">
        <v>1777</v>
      </c>
      <c r="F101" s="176" t="s">
        <v>6</v>
      </c>
      <c r="G101" s="315">
        <v>1.4999999999999999E-2</v>
      </c>
      <c r="H101" s="283">
        <f>VLOOKUP(D101,upahbahan,3,FALSE)</f>
        <v>160000</v>
      </c>
      <c r="I101" s="284">
        <f>G101*H101</f>
        <v>2400</v>
      </c>
    </row>
    <row r="102" spans="3:12" ht="22.8" customHeight="1">
      <c r="C102" s="66" t="s">
        <v>1208</v>
      </c>
      <c r="D102" s="67"/>
      <c r="E102" s="67"/>
      <c r="F102" s="67"/>
      <c r="G102" s="67"/>
      <c r="H102" s="69"/>
      <c r="I102" s="284">
        <f>SUM(I100:I101)</f>
        <v>32400</v>
      </c>
    </row>
    <row r="103" spans="3:12" ht="22.8" customHeight="1">
      <c r="C103" s="290" t="s">
        <v>1209</v>
      </c>
      <c r="D103" s="182" t="s">
        <v>1210</v>
      </c>
      <c r="E103" s="182"/>
      <c r="F103" s="70"/>
      <c r="G103" s="70"/>
      <c r="H103" s="70"/>
      <c r="I103" s="71"/>
    </row>
    <row r="104" spans="3:12" s="326" customFormat="1" ht="22.8" customHeight="1">
      <c r="C104" s="290">
        <v>1</v>
      </c>
      <c r="D104" s="285" t="s">
        <v>2084</v>
      </c>
      <c r="E104" s="285"/>
      <c r="F104" s="176" t="s">
        <v>42</v>
      </c>
      <c r="G104" s="527">
        <v>1</v>
      </c>
      <c r="H104" s="183">
        <f>VLOOKUP(D104,upahbahan,3,FALSE)</f>
        <v>0</v>
      </c>
      <c r="I104" s="325">
        <f>G104*H104</f>
        <v>0</v>
      </c>
      <c r="J104" s="48"/>
      <c r="K104" s="48"/>
      <c r="L104" s="48"/>
    </row>
    <row r="105" spans="3:12" ht="22.8" customHeight="1">
      <c r="C105" s="66" t="s">
        <v>1214</v>
      </c>
      <c r="D105" s="67"/>
      <c r="E105" s="67"/>
      <c r="F105" s="67"/>
      <c r="G105" s="67"/>
      <c r="H105" s="69"/>
      <c r="I105" s="284">
        <f>SUM(I104)</f>
        <v>0</v>
      </c>
    </row>
    <row r="106" spans="3:12" ht="22.8" customHeight="1">
      <c r="C106" s="290" t="s">
        <v>1215</v>
      </c>
      <c r="D106" s="182" t="s">
        <v>1216</v>
      </c>
      <c r="E106" s="182"/>
      <c r="F106" s="70"/>
      <c r="G106" s="70"/>
      <c r="H106" s="70"/>
      <c r="I106" s="71"/>
    </row>
    <row r="107" spans="3:12" ht="22.8" customHeight="1">
      <c r="C107" s="66" t="s">
        <v>1217</v>
      </c>
      <c r="D107" s="67"/>
      <c r="E107" s="67"/>
      <c r="F107" s="67"/>
      <c r="G107" s="67"/>
      <c r="H107" s="69"/>
      <c r="I107" s="292">
        <v>0</v>
      </c>
    </row>
    <row r="108" spans="3:12" s="297" customFormat="1" ht="22.8" customHeight="1">
      <c r="C108" s="293" t="s">
        <v>1218</v>
      </c>
      <c r="D108" s="294" t="s">
        <v>1219</v>
      </c>
      <c r="E108" s="295"/>
      <c r="F108" s="295"/>
      <c r="G108" s="295"/>
      <c r="H108" s="296"/>
      <c r="I108" s="284">
        <f>I102+I105+I107</f>
        <v>32400</v>
      </c>
      <c r="J108" s="119"/>
      <c r="K108" s="119"/>
      <c r="L108" s="119"/>
    </row>
    <row r="109" spans="3:12" s="297" customFormat="1" ht="22.8" customHeight="1">
      <c r="C109" s="293" t="s">
        <v>1220</v>
      </c>
      <c r="D109" s="294" t="s">
        <v>1321</v>
      </c>
      <c r="E109" s="295"/>
      <c r="F109" s="295"/>
      <c r="G109" s="296"/>
      <c r="H109" s="298">
        <f>$Q$8</f>
        <v>0.1</v>
      </c>
      <c r="I109" s="284">
        <f>I108*H109</f>
        <v>3240</v>
      </c>
      <c r="J109" s="119"/>
      <c r="K109" s="119"/>
      <c r="L109" s="119"/>
    </row>
    <row r="110" spans="3:12" s="297" customFormat="1" ht="22.8" customHeight="1" thickBot="1">
      <c r="C110" s="299" t="s">
        <v>1221</v>
      </c>
      <c r="D110" s="300" t="s">
        <v>1222</v>
      </c>
      <c r="E110" s="301"/>
      <c r="F110" s="301"/>
      <c r="G110" s="301"/>
      <c r="H110" s="302"/>
      <c r="I110" s="303">
        <f>SUM(I108:I109)</f>
        <v>35640</v>
      </c>
      <c r="J110" s="119"/>
      <c r="K110" s="119"/>
      <c r="L110" s="119"/>
    </row>
    <row r="111" spans="3:12" s="297" customFormat="1" ht="14.4" thickTop="1">
      <c r="C111" s="289"/>
      <c r="I111" s="139"/>
      <c r="J111" s="119"/>
      <c r="K111" s="119"/>
      <c r="L111" s="119"/>
    </row>
    <row r="112" spans="3:12" s="297" customFormat="1">
      <c r="C112" s="126" t="s">
        <v>2085</v>
      </c>
      <c r="D112" s="138" t="s">
        <v>2086</v>
      </c>
      <c r="I112" s="139"/>
      <c r="J112" s="119"/>
      <c r="K112" s="119"/>
      <c r="L112" s="119"/>
    </row>
    <row r="113" spans="3:12" ht="14.4" thickBot="1">
      <c r="C113" s="126" t="s">
        <v>2087</v>
      </c>
      <c r="D113" s="488" t="s">
        <v>1263</v>
      </c>
      <c r="E113" s="488"/>
      <c r="F113" s="965"/>
      <c r="G113" s="965"/>
      <c r="H113" s="965"/>
      <c r="I113" s="965"/>
      <c r="J113" s="120">
        <f>ROUNDDOWN(I125,-2)</f>
        <v>59400</v>
      </c>
      <c r="K113" s="120"/>
      <c r="L113" s="120"/>
    </row>
    <row r="114" spans="3:12" s="342" customFormat="1" ht="28.2" thickTop="1">
      <c r="C114" s="51" t="s">
        <v>1195</v>
      </c>
      <c r="D114" s="52" t="s">
        <v>1196</v>
      </c>
      <c r="E114" s="52" t="s">
        <v>1906</v>
      </c>
      <c r="F114" s="52" t="s">
        <v>1197</v>
      </c>
      <c r="G114" s="52" t="s">
        <v>1198</v>
      </c>
      <c r="H114" s="52" t="s">
        <v>1199</v>
      </c>
      <c r="I114" s="53" t="s">
        <v>1200</v>
      </c>
      <c r="J114" s="1074"/>
      <c r="K114" s="1074"/>
      <c r="L114" s="1074"/>
    </row>
    <row r="115" spans="3:12" ht="22.8" customHeight="1">
      <c r="C115" s="290" t="s">
        <v>1201</v>
      </c>
      <c r="D115" s="182" t="s">
        <v>1202</v>
      </c>
      <c r="E115" s="182"/>
      <c r="F115" s="70"/>
      <c r="G115" s="70"/>
      <c r="H115" s="70"/>
      <c r="I115" s="71"/>
    </row>
    <row r="116" spans="3:12" ht="22.8" customHeight="1">
      <c r="C116" s="281">
        <v>1</v>
      </c>
      <c r="D116" s="182" t="s">
        <v>5</v>
      </c>
      <c r="E116" s="176" t="s">
        <v>1774</v>
      </c>
      <c r="F116" s="176" t="s">
        <v>6</v>
      </c>
      <c r="G116" s="315">
        <v>0.5</v>
      </c>
      <c r="H116" s="283">
        <f>VLOOKUP(D116,upahbahan,3,FALSE)</f>
        <v>100000</v>
      </c>
      <c r="I116" s="284">
        <f>G116*H116</f>
        <v>50000</v>
      </c>
    </row>
    <row r="117" spans="3:12" ht="22.8" customHeight="1">
      <c r="C117" s="281">
        <v>2</v>
      </c>
      <c r="D117" s="182" t="s">
        <v>19</v>
      </c>
      <c r="E117" s="176" t="s">
        <v>1777</v>
      </c>
      <c r="F117" s="176" t="s">
        <v>6</v>
      </c>
      <c r="G117" s="315">
        <v>2.5000000000000001E-2</v>
      </c>
      <c r="H117" s="283">
        <f>VLOOKUP(D117,upahbahan,3,FALSE)</f>
        <v>160000</v>
      </c>
      <c r="I117" s="284">
        <f>G117*H117</f>
        <v>4000</v>
      </c>
    </row>
    <row r="118" spans="3:12" ht="22.8" customHeight="1">
      <c r="C118" s="66" t="s">
        <v>1208</v>
      </c>
      <c r="D118" s="67"/>
      <c r="E118" s="67"/>
      <c r="F118" s="67"/>
      <c r="G118" s="67"/>
      <c r="H118" s="69"/>
      <c r="I118" s="284">
        <f>SUM(I116:I117)</f>
        <v>54000</v>
      </c>
    </row>
    <row r="119" spans="3:12" ht="22.8" customHeight="1">
      <c r="C119" s="290" t="s">
        <v>1209</v>
      </c>
      <c r="D119" s="182" t="s">
        <v>1210</v>
      </c>
      <c r="E119" s="182"/>
      <c r="F119" s="70"/>
      <c r="G119" s="70"/>
      <c r="H119" s="70"/>
      <c r="I119" s="71"/>
    </row>
    <row r="120" spans="3:12" ht="22.8" customHeight="1">
      <c r="C120" s="66" t="s">
        <v>1214</v>
      </c>
      <c r="D120" s="67"/>
      <c r="E120" s="67"/>
      <c r="F120" s="67"/>
      <c r="G120" s="67"/>
      <c r="H120" s="69"/>
      <c r="I120" s="292">
        <v>0</v>
      </c>
    </row>
    <row r="121" spans="3:12" ht="22.8" customHeight="1">
      <c r="C121" s="290" t="s">
        <v>1215</v>
      </c>
      <c r="D121" s="182" t="s">
        <v>1216</v>
      </c>
      <c r="E121" s="182"/>
      <c r="F121" s="70"/>
      <c r="G121" s="70"/>
      <c r="H121" s="70"/>
      <c r="I121" s="71"/>
    </row>
    <row r="122" spans="3:12" ht="22.8" customHeight="1">
      <c r="C122" s="66" t="s">
        <v>1217</v>
      </c>
      <c r="D122" s="67"/>
      <c r="E122" s="67"/>
      <c r="F122" s="67"/>
      <c r="G122" s="67"/>
      <c r="H122" s="69"/>
      <c r="I122" s="292">
        <v>0</v>
      </c>
    </row>
    <row r="123" spans="3:12" s="297" customFormat="1" ht="22.8" customHeight="1">
      <c r="C123" s="293" t="s">
        <v>1218</v>
      </c>
      <c r="D123" s="294" t="s">
        <v>1219</v>
      </c>
      <c r="E123" s="295"/>
      <c r="F123" s="295"/>
      <c r="G123" s="295"/>
      <c r="H123" s="296"/>
      <c r="I123" s="284">
        <f>I118+I120+I122</f>
        <v>54000</v>
      </c>
      <c r="J123" s="119"/>
      <c r="K123" s="119"/>
      <c r="L123" s="119"/>
    </row>
    <row r="124" spans="3:12" s="297" customFormat="1" ht="22.8" customHeight="1">
      <c r="C124" s="293" t="s">
        <v>1220</v>
      </c>
      <c r="D124" s="294" t="s">
        <v>1321</v>
      </c>
      <c r="E124" s="295"/>
      <c r="F124" s="295"/>
      <c r="G124" s="296"/>
      <c r="H124" s="298">
        <f>$Q$8</f>
        <v>0.1</v>
      </c>
      <c r="I124" s="284">
        <f>I123*H124</f>
        <v>5400</v>
      </c>
      <c r="J124" s="119"/>
      <c r="K124" s="119"/>
      <c r="L124" s="119"/>
    </row>
    <row r="125" spans="3:12" s="297" customFormat="1" ht="22.8" customHeight="1" thickBot="1">
      <c r="C125" s="299" t="s">
        <v>1221</v>
      </c>
      <c r="D125" s="300" t="s">
        <v>1222</v>
      </c>
      <c r="E125" s="301"/>
      <c r="F125" s="301"/>
      <c r="G125" s="301"/>
      <c r="H125" s="302"/>
      <c r="I125" s="303">
        <f>SUM(I123:I124)</f>
        <v>59400</v>
      </c>
      <c r="J125" s="119"/>
      <c r="K125" s="119"/>
      <c r="L125" s="119"/>
    </row>
    <row r="126" spans="3:12" s="297" customFormat="1" ht="14.4" thickTop="1">
      <c r="C126" s="289"/>
      <c r="I126" s="139"/>
      <c r="J126" s="119"/>
      <c r="K126" s="119"/>
      <c r="L126" s="119"/>
    </row>
    <row r="127" spans="3:12" ht="14.4" thickBot="1">
      <c r="C127" s="119" t="s">
        <v>2088</v>
      </c>
      <c r="D127" s="488" t="s">
        <v>2089</v>
      </c>
      <c r="E127" s="1077"/>
      <c r="F127" s="965"/>
      <c r="G127" s="965"/>
      <c r="H127" s="965"/>
      <c r="I127" s="965"/>
      <c r="J127" s="120">
        <f>ROUNDDOWN(I140,-2)</f>
        <v>29700</v>
      </c>
      <c r="K127" s="120"/>
      <c r="L127" s="120"/>
    </row>
    <row r="128" spans="3:12" s="342" customFormat="1" ht="28.2" thickTop="1">
      <c r="C128" s="51" t="s">
        <v>1195</v>
      </c>
      <c r="D128" s="52" t="s">
        <v>1196</v>
      </c>
      <c r="E128" s="52" t="s">
        <v>1906</v>
      </c>
      <c r="F128" s="52" t="s">
        <v>1197</v>
      </c>
      <c r="G128" s="52" t="s">
        <v>1198</v>
      </c>
      <c r="H128" s="52" t="s">
        <v>1199</v>
      </c>
      <c r="I128" s="53" t="s">
        <v>1200</v>
      </c>
      <c r="J128" s="1074"/>
      <c r="K128" s="1074"/>
      <c r="L128" s="1074"/>
    </row>
    <row r="129" spans="3:12" ht="22.8" customHeight="1">
      <c r="C129" s="290" t="s">
        <v>1201</v>
      </c>
      <c r="D129" s="182" t="s">
        <v>1202</v>
      </c>
      <c r="E129" s="182"/>
      <c r="F129" s="70"/>
      <c r="G129" s="70"/>
      <c r="H129" s="70"/>
      <c r="I129" s="71"/>
    </row>
    <row r="130" spans="3:12" ht="22.8" customHeight="1">
      <c r="C130" s="281">
        <v>1</v>
      </c>
      <c r="D130" s="182" t="s">
        <v>5</v>
      </c>
      <c r="E130" s="176" t="s">
        <v>1774</v>
      </c>
      <c r="F130" s="176" t="s">
        <v>6</v>
      </c>
      <c r="G130" s="315">
        <v>0.25</v>
      </c>
      <c r="H130" s="283">
        <f>VLOOKUP(D130,upahbahan,3,FALSE)</f>
        <v>100000</v>
      </c>
      <c r="I130" s="284">
        <f>G130*H130</f>
        <v>25000</v>
      </c>
    </row>
    <row r="131" spans="3:12" ht="22.8" customHeight="1">
      <c r="C131" s="281">
        <v>2</v>
      </c>
      <c r="D131" s="182" t="s">
        <v>19</v>
      </c>
      <c r="E131" s="176" t="s">
        <v>1777</v>
      </c>
      <c r="F131" s="176" t="s">
        <v>6</v>
      </c>
      <c r="G131" s="315">
        <v>1.2999999999999999E-2</v>
      </c>
      <c r="H131" s="283">
        <f>VLOOKUP(D131,upahbahan,3,FALSE)</f>
        <v>160000</v>
      </c>
      <c r="I131" s="284">
        <f>G131*H131</f>
        <v>2080</v>
      </c>
    </row>
    <row r="132" spans="3:12" ht="22.8" customHeight="1">
      <c r="C132" s="66" t="s">
        <v>1208</v>
      </c>
      <c r="D132" s="67"/>
      <c r="E132" s="67"/>
      <c r="F132" s="67"/>
      <c r="G132" s="67"/>
      <c r="H132" s="69"/>
      <c r="I132" s="284">
        <f>SUM(I130:I131)</f>
        <v>27080</v>
      </c>
    </row>
    <row r="133" spans="3:12" ht="22.8" customHeight="1">
      <c r="C133" s="290" t="s">
        <v>1209</v>
      </c>
      <c r="D133" s="182" t="s">
        <v>1210</v>
      </c>
      <c r="E133" s="182"/>
      <c r="F133" s="70"/>
      <c r="G133" s="70"/>
      <c r="H133" s="70"/>
      <c r="I133" s="71"/>
    </row>
    <row r="134" spans="3:12" ht="22.8" customHeight="1">
      <c r="C134" s="290">
        <v>1</v>
      </c>
      <c r="D134" s="285" t="s">
        <v>94</v>
      </c>
      <c r="E134" s="285"/>
      <c r="F134" s="124" t="s">
        <v>42</v>
      </c>
      <c r="G134" s="127">
        <v>1.2</v>
      </c>
      <c r="H134" s="283">
        <f>VLOOKUP(D134,upahbahan,3,FALSE)</f>
        <v>0</v>
      </c>
      <c r="I134" s="284">
        <f>G134*H134</f>
        <v>0</v>
      </c>
    </row>
    <row r="135" spans="3:12" ht="22.8" customHeight="1">
      <c r="C135" s="66" t="s">
        <v>1214</v>
      </c>
      <c r="D135" s="67"/>
      <c r="E135" s="67"/>
      <c r="F135" s="67"/>
      <c r="G135" s="67"/>
      <c r="H135" s="69"/>
      <c r="I135" s="284">
        <f>SUM(I134)</f>
        <v>0</v>
      </c>
    </row>
    <row r="136" spans="3:12" ht="22.8" customHeight="1">
      <c r="C136" s="290" t="s">
        <v>1215</v>
      </c>
      <c r="D136" s="182" t="s">
        <v>1216</v>
      </c>
      <c r="E136" s="182"/>
      <c r="F136" s="70"/>
      <c r="G136" s="70"/>
      <c r="H136" s="70"/>
      <c r="I136" s="71"/>
    </row>
    <row r="137" spans="3:12" ht="22.8" customHeight="1">
      <c r="C137" s="66" t="s">
        <v>1217</v>
      </c>
      <c r="D137" s="67"/>
      <c r="E137" s="67"/>
      <c r="F137" s="67"/>
      <c r="G137" s="67"/>
      <c r="H137" s="69"/>
      <c r="I137" s="292">
        <v>0</v>
      </c>
    </row>
    <row r="138" spans="3:12" s="297" customFormat="1" ht="22.8" customHeight="1">
      <c r="C138" s="293" t="s">
        <v>1218</v>
      </c>
      <c r="D138" s="294" t="s">
        <v>1219</v>
      </c>
      <c r="E138" s="295"/>
      <c r="F138" s="295"/>
      <c r="G138" s="295"/>
      <c r="H138" s="296"/>
      <c r="I138" s="284">
        <f>I132+I135+I137</f>
        <v>27080</v>
      </c>
      <c r="J138" s="119"/>
      <c r="K138" s="119"/>
      <c r="L138" s="119"/>
    </row>
    <row r="139" spans="3:12" s="297" customFormat="1" ht="22.8" customHeight="1">
      <c r="C139" s="293" t="s">
        <v>1220</v>
      </c>
      <c r="D139" s="294" t="s">
        <v>1321</v>
      </c>
      <c r="E139" s="295"/>
      <c r="F139" s="295"/>
      <c r="G139" s="296"/>
      <c r="H139" s="298">
        <f>$Q$8</f>
        <v>0.1</v>
      </c>
      <c r="I139" s="284">
        <f>I138*H139</f>
        <v>2708</v>
      </c>
      <c r="J139" s="119"/>
      <c r="K139" s="119"/>
      <c r="L139" s="119"/>
    </row>
    <row r="140" spans="3:12" s="297" customFormat="1" ht="22.8" customHeight="1" thickBot="1">
      <c r="C140" s="299" t="s">
        <v>1221</v>
      </c>
      <c r="D140" s="300" t="s">
        <v>1222</v>
      </c>
      <c r="E140" s="301"/>
      <c r="F140" s="301"/>
      <c r="G140" s="301"/>
      <c r="H140" s="302"/>
      <c r="I140" s="303">
        <f>SUM(I138:I139)</f>
        <v>29788</v>
      </c>
      <c r="J140" s="119"/>
      <c r="K140" s="119"/>
      <c r="L140" s="119"/>
    </row>
    <row r="141" spans="3:12" ht="14.4" thickTop="1"/>
    <row r="143" spans="3:12">
      <c r="C143" s="126" t="s">
        <v>2090</v>
      </c>
      <c r="D143" s="119" t="s">
        <v>2091</v>
      </c>
    </row>
    <row r="144" spans="3:12" ht="14.4" thickBot="1">
      <c r="C144" s="119" t="s">
        <v>2092</v>
      </c>
      <c r="D144" s="488" t="s">
        <v>2093</v>
      </c>
      <c r="E144" s="1077"/>
      <c r="F144" s="965"/>
      <c r="G144" s="965"/>
      <c r="H144" s="965"/>
      <c r="I144" s="965"/>
      <c r="J144" s="120">
        <f>ROUNDDOWN(I155,-2)</f>
        <v>24500</v>
      </c>
      <c r="K144" s="120" t="s">
        <v>6450</v>
      </c>
      <c r="L144" s="120" t="s">
        <v>6456</v>
      </c>
    </row>
    <row r="145" spans="3:12" s="342" customFormat="1" ht="28.2" thickTop="1">
      <c r="C145" s="51" t="s">
        <v>1195</v>
      </c>
      <c r="D145" s="52" t="s">
        <v>1196</v>
      </c>
      <c r="E145" s="52" t="s">
        <v>1906</v>
      </c>
      <c r="F145" s="52" t="s">
        <v>1197</v>
      </c>
      <c r="G145" s="52" t="s">
        <v>1198</v>
      </c>
      <c r="H145" s="52" t="s">
        <v>1199</v>
      </c>
      <c r="I145" s="53" t="s">
        <v>1200</v>
      </c>
      <c r="J145" s="1074"/>
      <c r="K145" s="1074"/>
      <c r="L145" s="1074"/>
    </row>
    <row r="146" spans="3:12" ht="22.8" customHeight="1">
      <c r="C146" s="290" t="s">
        <v>1201</v>
      </c>
      <c r="D146" s="182" t="s">
        <v>1202</v>
      </c>
      <c r="E146" s="182"/>
      <c r="F146" s="70"/>
      <c r="G146" s="70"/>
      <c r="H146" s="70"/>
      <c r="I146" s="71"/>
    </row>
    <row r="147" spans="3:12" ht="22.8" customHeight="1">
      <c r="C147" s="66" t="s">
        <v>1208</v>
      </c>
      <c r="D147" s="67"/>
      <c r="E147" s="67"/>
      <c r="F147" s="67"/>
      <c r="G147" s="67"/>
      <c r="H147" s="69"/>
      <c r="I147" s="284">
        <f>SUM(I146)</f>
        <v>0</v>
      </c>
    </row>
    <row r="148" spans="3:12" ht="22.8" customHeight="1">
      <c r="C148" s="290" t="s">
        <v>1209</v>
      </c>
      <c r="D148" s="182" t="s">
        <v>1210</v>
      </c>
      <c r="E148" s="182"/>
      <c r="F148" s="70"/>
      <c r="G148" s="70"/>
      <c r="H148" s="70"/>
      <c r="I148" s="71"/>
    </row>
    <row r="149" spans="3:12" ht="22.8" customHeight="1">
      <c r="C149" s="66" t="s">
        <v>1214</v>
      </c>
      <c r="D149" s="67"/>
      <c r="E149" s="67"/>
      <c r="F149" s="67"/>
      <c r="G149" s="67"/>
      <c r="H149" s="69"/>
      <c r="I149" s="284">
        <f>SUM(I148)</f>
        <v>0</v>
      </c>
    </row>
    <row r="150" spans="3:12" ht="22.8" customHeight="1">
      <c r="C150" s="290" t="s">
        <v>1215</v>
      </c>
      <c r="D150" s="182" t="s">
        <v>1216</v>
      </c>
      <c r="E150" s="182"/>
      <c r="F150" s="70"/>
      <c r="G150" s="70"/>
      <c r="H150" s="70"/>
      <c r="I150" s="71"/>
    </row>
    <row r="151" spans="3:12" s="326" customFormat="1" ht="22.8" customHeight="1">
      <c r="C151" s="290">
        <v>1</v>
      </c>
      <c r="D151" s="182" t="s">
        <v>5218</v>
      </c>
      <c r="E151" s="182"/>
      <c r="F151" s="182" t="s">
        <v>1974</v>
      </c>
      <c r="G151" s="177">
        <v>7.6999999999999999E-2</v>
      </c>
      <c r="H151" s="183">
        <f>VLOOKUP(D151,upahbahan,3,FALSE)</f>
        <v>290000</v>
      </c>
      <c r="I151" s="325">
        <f>G151*H151</f>
        <v>22330</v>
      </c>
      <c r="J151" s="48"/>
      <c r="K151" s="48"/>
      <c r="L151" s="48"/>
    </row>
    <row r="152" spans="3:12" ht="22.8" customHeight="1">
      <c r="C152" s="66" t="s">
        <v>1217</v>
      </c>
      <c r="D152" s="67"/>
      <c r="E152" s="67"/>
      <c r="F152" s="67"/>
      <c r="G152" s="67"/>
      <c r="H152" s="69"/>
      <c r="I152" s="292">
        <f>SUM(I151)</f>
        <v>22330</v>
      </c>
    </row>
    <row r="153" spans="3:12" s="297" customFormat="1" ht="22.8" customHeight="1">
      <c r="C153" s="293" t="s">
        <v>1218</v>
      </c>
      <c r="D153" s="294" t="s">
        <v>1219</v>
      </c>
      <c r="E153" s="295"/>
      <c r="F153" s="295"/>
      <c r="G153" s="295"/>
      <c r="H153" s="296"/>
      <c r="I153" s="284">
        <f>I147+I149+I152</f>
        <v>22330</v>
      </c>
      <c r="J153" s="119"/>
      <c r="K153" s="119"/>
      <c r="L153" s="119"/>
    </row>
    <row r="154" spans="3:12" s="297" customFormat="1" ht="22.8" customHeight="1">
      <c r="C154" s="293" t="s">
        <v>1220</v>
      </c>
      <c r="D154" s="294" t="s">
        <v>1321</v>
      </c>
      <c r="E154" s="295"/>
      <c r="F154" s="295"/>
      <c r="G154" s="296"/>
      <c r="H154" s="298">
        <f>$Q$8</f>
        <v>0.1</v>
      </c>
      <c r="I154" s="284">
        <f>I153*H154</f>
        <v>2233</v>
      </c>
      <c r="J154" s="119"/>
      <c r="K154" s="119"/>
      <c r="L154" s="119"/>
    </row>
    <row r="155" spans="3:12" s="297" customFormat="1" ht="22.8" customHeight="1" thickBot="1">
      <c r="C155" s="299" t="s">
        <v>1221</v>
      </c>
      <c r="D155" s="300" t="s">
        <v>1222</v>
      </c>
      <c r="E155" s="301"/>
      <c r="F155" s="301"/>
      <c r="G155" s="301"/>
      <c r="H155" s="302"/>
      <c r="I155" s="303">
        <f>SUM(I153:I154)</f>
        <v>24563</v>
      </c>
      <c r="J155" s="119"/>
      <c r="K155" s="119"/>
      <c r="L155" s="119"/>
    </row>
    <row r="156" spans="3:12" ht="14.4" thickTop="1"/>
    <row r="157" spans="3:12" ht="14.4" thickBot="1">
      <c r="C157" s="119" t="s">
        <v>2094</v>
      </c>
      <c r="D157" s="488" t="s">
        <v>2095</v>
      </c>
      <c r="E157" s="1077"/>
      <c r="F157" s="965"/>
      <c r="G157" s="965"/>
      <c r="H157" s="965"/>
      <c r="I157" s="965"/>
      <c r="J157" s="120">
        <f>ROUNDDOWN(I168,-2)</f>
        <v>22000</v>
      </c>
      <c r="K157" s="120" t="s">
        <v>6450</v>
      </c>
      <c r="L157" s="120" t="s">
        <v>6451</v>
      </c>
    </row>
    <row r="158" spans="3:12" s="342" customFormat="1" ht="28.2" thickTop="1">
      <c r="C158" s="51" t="s">
        <v>1195</v>
      </c>
      <c r="D158" s="52" t="s">
        <v>1196</v>
      </c>
      <c r="E158" s="52" t="s">
        <v>1906</v>
      </c>
      <c r="F158" s="52" t="s">
        <v>1197</v>
      </c>
      <c r="G158" s="52" t="s">
        <v>1198</v>
      </c>
      <c r="H158" s="52" t="s">
        <v>1199</v>
      </c>
      <c r="I158" s="53" t="s">
        <v>1200</v>
      </c>
      <c r="J158" s="1074"/>
      <c r="K158" s="1074"/>
      <c r="L158" s="1074"/>
    </row>
    <row r="159" spans="3:12" ht="22.8" customHeight="1">
      <c r="C159" s="290" t="s">
        <v>1201</v>
      </c>
      <c r="D159" s="182" t="s">
        <v>1202</v>
      </c>
      <c r="E159" s="182"/>
      <c r="F159" s="70"/>
      <c r="G159" s="70"/>
      <c r="H159" s="70"/>
      <c r="I159" s="71"/>
    </row>
    <row r="160" spans="3:12" ht="22.8" customHeight="1">
      <c r="C160" s="66" t="s">
        <v>1208</v>
      </c>
      <c r="D160" s="67"/>
      <c r="E160" s="67"/>
      <c r="F160" s="67"/>
      <c r="G160" s="67"/>
      <c r="H160" s="69"/>
      <c r="I160" s="284">
        <f>SUM(I159)</f>
        <v>0</v>
      </c>
    </row>
    <row r="161" spans="3:12" ht="22.8" customHeight="1">
      <c r="C161" s="290" t="s">
        <v>1209</v>
      </c>
      <c r="D161" s="182" t="s">
        <v>1210</v>
      </c>
      <c r="E161" s="182"/>
      <c r="F161" s="70"/>
      <c r="G161" s="70"/>
      <c r="H161" s="70"/>
      <c r="I161" s="71"/>
    </row>
    <row r="162" spans="3:12" ht="22.8" customHeight="1">
      <c r="C162" s="66" t="s">
        <v>1214</v>
      </c>
      <c r="D162" s="67"/>
      <c r="E162" s="67"/>
      <c r="F162" s="67"/>
      <c r="G162" s="67"/>
      <c r="H162" s="69"/>
      <c r="I162" s="284">
        <f>SUM(I161)</f>
        <v>0</v>
      </c>
    </row>
    <row r="163" spans="3:12" ht="22.8" customHeight="1">
      <c r="C163" s="290" t="s">
        <v>1215</v>
      </c>
      <c r="D163" s="182" t="s">
        <v>1216</v>
      </c>
      <c r="E163" s="182"/>
      <c r="F163" s="70"/>
      <c r="G163" s="70"/>
      <c r="H163" s="70"/>
      <c r="I163" s="71"/>
    </row>
    <row r="164" spans="3:12" s="326" customFormat="1" ht="22.8" customHeight="1">
      <c r="C164" s="290">
        <v>1</v>
      </c>
      <c r="D164" s="182" t="s">
        <v>5219</v>
      </c>
      <c r="E164" s="182"/>
      <c r="F164" s="182" t="s">
        <v>1974</v>
      </c>
      <c r="G164" s="177">
        <v>5.74E-2</v>
      </c>
      <c r="H164" s="183">
        <f>VLOOKUP(D164,upahbahan,3,FALSE)</f>
        <v>350000</v>
      </c>
      <c r="I164" s="325">
        <f>G164*H164</f>
        <v>20090</v>
      </c>
      <c r="J164" s="48"/>
      <c r="K164" s="48"/>
      <c r="L164" s="48"/>
    </row>
    <row r="165" spans="3:12" ht="22.8" customHeight="1">
      <c r="C165" s="66" t="s">
        <v>1217</v>
      </c>
      <c r="D165" s="67"/>
      <c r="E165" s="67"/>
      <c r="F165" s="67"/>
      <c r="G165" s="67"/>
      <c r="H165" s="69"/>
      <c r="I165" s="292">
        <f>SUM(I164)</f>
        <v>20090</v>
      </c>
    </row>
    <row r="166" spans="3:12" s="297" customFormat="1" ht="22.8" customHeight="1">
      <c r="C166" s="293" t="s">
        <v>1218</v>
      </c>
      <c r="D166" s="294" t="s">
        <v>1219</v>
      </c>
      <c r="E166" s="295"/>
      <c r="F166" s="295"/>
      <c r="G166" s="295"/>
      <c r="H166" s="296"/>
      <c r="I166" s="284">
        <f>I160+I162+I165</f>
        <v>20090</v>
      </c>
      <c r="J166" s="119"/>
      <c r="K166" s="119"/>
      <c r="L166" s="119"/>
    </row>
    <row r="167" spans="3:12" s="297" customFormat="1" ht="22.8" customHeight="1">
      <c r="C167" s="293" t="s">
        <v>1220</v>
      </c>
      <c r="D167" s="294" t="s">
        <v>1321</v>
      </c>
      <c r="E167" s="295"/>
      <c r="F167" s="295"/>
      <c r="G167" s="296"/>
      <c r="H167" s="298">
        <f>$Q$8</f>
        <v>0.1</v>
      </c>
      <c r="I167" s="284">
        <f>I166*H167</f>
        <v>2009</v>
      </c>
      <c r="J167" s="119"/>
      <c r="K167" s="119"/>
      <c r="L167" s="119"/>
    </row>
    <row r="168" spans="3:12" s="297" customFormat="1" ht="22.8" customHeight="1" thickBot="1">
      <c r="C168" s="299" t="s">
        <v>1221</v>
      </c>
      <c r="D168" s="300" t="s">
        <v>1222</v>
      </c>
      <c r="E168" s="301"/>
      <c r="F168" s="301"/>
      <c r="G168" s="301"/>
      <c r="H168" s="302"/>
      <c r="I168" s="303">
        <f>SUM(I166:I167)</f>
        <v>22099</v>
      </c>
      <c r="J168" s="119"/>
      <c r="K168" s="119"/>
      <c r="L168" s="119"/>
    </row>
    <row r="169" spans="3:12" ht="22.8" customHeight="1" thickTop="1">
      <c r="C169" s="335" t="s">
        <v>1827</v>
      </c>
      <c r="D169" s="1081" t="s">
        <v>2096</v>
      </c>
    </row>
    <row r="171" spans="3:12" ht="28.5" customHeight="1" thickBot="1">
      <c r="C171" s="119" t="s">
        <v>2097</v>
      </c>
      <c r="D171" s="1073" t="s">
        <v>2098</v>
      </c>
      <c r="E171" s="1070"/>
      <c r="F171" s="1070"/>
      <c r="G171" s="1070"/>
      <c r="H171" s="1070"/>
      <c r="I171" s="1070"/>
      <c r="J171" s="120">
        <f>ROUNDDOWN(I182,-2)</f>
        <v>6200</v>
      </c>
      <c r="K171" s="120" t="s">
        <v>6457</v>
      </c>
      <c r="L171" s="120" t="s">
        <v>6451</v>
      </c>
    </row>
    <row r="172" spans="3:12" s="342" customFormat="1" ht="28.2" thickTop="1">
      <c r="C172" s="51" t="s">
        <v>1195</v>
      </c>
      <c r="D172" s="52" t="s">
        <v>1196</v>
      </c>
      <c r="E172" s="52" t="s">
        <v>1906</v>
      </c>
      <c r="F172" s="52" t="s">
        <v>1197</v>
      </c>
      <c r="G172" s="52" t="s">
        <v>1198</v>
      </c>
      <c r="H172" s="52" t="s">
        <v>1199</v>
      </c>
      <c r="I172" s="53" t="s">
        <v>1200</v>
      </c>
      <c r="J172" s="1074"/>
      <c r="K172" s="1074"/>
      <c r="L172" s="1074"/>
    </row>
    <row r="173" spans="3:12" ht="22.8" customHeight="1">
      <c r="C173" s="290" t="s">
        <v>1201</v>
      </c>
      <c r="D173" s="182" t="s">
        <v>1202</v>
      </c>
      <c r="E173" s="182"/>
      <c r="F173" s="70"/>
      <c r="G173" s="70"/>
      <c r="H173" s="70"/>
      <c r="I173" s="71"/>
    </row>
    <row r="174" spans="3:12" ht="22.8" customHeight="1">
      <c r="C174" s="66" t="s">
        <v>1208</v>
      </c>
      <c r="D174" s="67"/>
      <c r="E174" s="67"/>
      <c r="F174" s="67"/>
      <c r="G174" s="67"/>
      <c r="H174" s="69"/>
      <c r="I174" s="284">
        <f>SUM(I173)</f>
        <v>0</v>
      </c>
    </row>
    <row r="175" spans="3:12" ht="22.8" customHeight="1">
      <c r="C175" s="290" t="s">
        <v>1209</v>
      </c>
      <c r="D175" s="182" t="s">
        <v>1210</v>
      </c>
      <c r="E175" s="182"/>
      <c r="F175" s="70"/>
      <c r="G175" s="70"/>
      <c r="H175" s="70"/>
      <c r="I175" s="71"/>
    </row>
    <row r="176" spans="3:12" ht="22.8" customHeight="1">
      <c r="C176" s="66" t="s">
        <v>1214</v>
      </c>
      <c r="D176" s="67"/>
      <c r="E176" s="67"/>
      <c r="F176" s="67"/>
      <c r="G176" s="67"/>
      <c r="H176" s="69"/>
      <c r="I176" s="284">
        <f>SUM(I175)</f>
        <v>0</v>
      </c>
    </row>
    <row r="177" spans="3:12" ht="22.8" customHeight="1">
      <c r="C177" s="290" t="s">
        <v>1215</v>
      </c>
      <c r="D177" s="182" t="s">
        <v>1216</v>
      </c>
      <c r="E177" s="182"/>
      <c r="F177" s="70"/>
      <c r="G177" s="70"/>
      <c r="H177" s="70"/>
      <c r="I177" s="71"/>
    </row>
    <row r="178" spans="3:12" s="326" customFormat="1" ht="22.8" customHeight="1">
      <c r="C178" s="290">
        <v>1</v>
      </c>
      <c r="D178" s="182" t="s">
        <v>5220</v>
      </c>
      <c r="E178" s="182"/>
      <c r="F178" s="182" t="s">
        <v>1974</v>
      </c>
      <c r="G178" s="177">
        <v>1.83E-2</v>
      </c>
      <c r="H178" s="183">
        <f>VLOOKUP(D178,upahbahan,3,FALSE)</f>
        <v>310000</v>
      </c>
      <c r="I178" s="325">
        <f>G178*H178</f>
        <v>5673</v>
      </c>
      <c r="J178" s="48"/>
      <c r="K178" s="48"/>
      <c r="L178" s="48"/>
    </row>
    <row r="179" spans="3:12" ht="22.8" customHeight="1">
      <c r="C179" s="66" t="s">
        <v>1217</v>
      </c>
      <c r="D179" s="67"/>
      <c r="E179" s="67"/>
      <c r="F179" s="67"/>
      <c r="G179" s="67"/>
      <c r="H179" s="69"/>
      <c r="I179" s="292">
        <f>SUM(I178)</f>
        <v>5673</v>
      </c>
    </row>
    <row r="180" spans="3:12" s="297" customFormat="1" ht="22.8" customHeight="1">
      <c r="C180" s="293" t="s">
        <v>1218</v>
      </c>
      <c r="D180" s="294" t="s">
        <v>1219</v>
      </c>
      <c r="E180" s="295"/>
      <c r="F180" s="295"/>
      <c r="G180" s="295"/>
      <c r="H180" s="296"/>
      <c r="I180" s="284">
        <f>I174+I176+I179</f>
        <v>5673</v>
      </c>
      <c r="J180" s="119"/>
      <c r="K180" s="119"/>
      <c r="L180" s="119"/>
    </row>
    <row r="181" spans="3:12" s="297" customFormat="1" ht="22.8" customHeight="1">
      <c r="C181" s="293" t="s">
        <v>1220</v>
      </c>
      <c r="D181" s="294" t="s">
        <v>1321</v>
      </c>
      <c r="E181" s="295"/>
      <c r="F181" s="295"/>
      <c r="G181" s="296"/>
      <c r="H181" s="298">
        <f>$Q$8</f>
        <v>0.1</v>
      </c>
      <c r="I181" s="284">
        <f>I180*H181</f>
        <v>567.30000000000007</v>
      </c>
      <c r="J181" s="119"/>
      <c r="K181" s="119"/>
      <c r="L181" s="119"/>
    </row>
    <row r="182" spans="3:12" s="297" customFormat="1" ht="22.8" customHeight="1" thickBot="1">
      <c r="C182" s="299" t="s">
        <v>1221</v>
      </c>
      <c r="D182" s="300" t="s">
        <v>1222</v>
      </c>
      <c r="E182" s="301"/>
      <c r="F182" s="301"/>
      <c r="G182" s="301"/>
      <c r="H182" s="302"/>
      <c r="I182" s="303">
        <f>SUM(I180:I181)</f>
        <v>6240.3</v>
      </c>
      <c r="J182" s="119"/>
      <c r="K182" s="119"/>
      <c r="L182" s="119"/>
    </row>
    <row r="183" spans="3:12" ht="22.8" customHeight="1" thickTop="1">
      <c r="C183" s="335" t="s">
        <v>1827</v>
      </c>
      <c r="D183" s="1081" t="s">
        <v>2096</v>
      </c>
    </row>
    <row r="185" spans="3:12" ht="28.5" customHeight="1" thickBot="1">
      <c r="C185" s="119" t="s">
        <v>2099</v>
      </c>
      <c r="D185" s="1073" t="s">
        <v>2100</v>
      </c>
      <c r="E185" s="1073"/>
      <c r="F185" s="1073"/>
      <c r="G185" s="1073"/>
      <c r="H185" s="1073"/>
      <c r="I185" s="1073"/>
      <c r="J185" s="120">
        <f>ROUNDDOWN(I196,-2)</f>
        <v>3400</v>
      </c>
      <c r="K185" s="120" t="s">
        <v>6458</v>
      </c>
      <c r="L185" s="120" t="s">
        <v>6451</v>
      </c>
    </row>
    <row r="186" spans="3:12" s="342" customFormat="1" ht="28.2" thickTop="1">
      <c r="C186" s="51" t="s">
        <v>1195</v>
      </c>
      <c r="D186" s="52" t="s">
        <v>1196</v>
      </c>
      <c r="E186" s="52" t="s">
        <v>1906</v>
      </c>
      <c r="F186" s="52" t="s">
        <v>1197</v>
      </c>
      <c r="G186" s="52" t="s">
        <v>1198</v>
      </c>
      <c r="H186" s="52" t="s">
        <v>1199</v>
      </c>
      <c r="I186" s="53" t="s">
        <v>1200</v>
      </c>
      <c r="J186" s="1074"/>
      <c r="K186" s="1074"/>
      <c r="L186" s="1074"/>
    </row>
    <row r="187" spans="3:12" ht="22.8" customHeight="1">
      <c r="C187" s="290" t="s">
        <v>1201</v>
      </c>
      <c r="D187" s="182" t="s">
        <v>1202</v>
      </c>
      <c r="E187" s="182"/>
      <c r="F187" s="70"/>
      <c r="G187" s="70"/>
      <c r="H187" s="70"/>
      <c r="I187" s="71"/>
    </row>
    <row r="188" spans="3:12" ht="22.8" customHeight="1">
      <c r="C188" s="66" t="s">
        <v>1208</v>
      </c>
      <c r="D188" s="67"/>
      <c r="E188" s="67"/>
      <c r="F188" s="67"/>
      <c r="G188" s="67"/>
      <c r="H188" s="69"/>
      <c r="I188" s="284">
        <f>SUM(I187)</f>
        <v>0</v>
      </c>
    </row>
    <row r="189" spans="3:12" ht="22.8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</row>
    <row r="190" spans="3:12" ht="22.8" customHeight="1">
      <c r="C190" s="66" t="s">
        <v>1214</v>
      </c>
      <c r="D190" s="67"/>
      <c r="E190" s="67"/>
      <c r="F190" s="67"/>
      <c r="G190" s="67"/>
      <c r="H190" s="69"/>
      <c r="I190" s="284">
        <f>SUM(I189)</f>
        <v>0</v>
      </c>
    </row>
    <row r="191" spans="3:12" ht="22.8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</row>
    <row r="192" spans="3:12" s="326" customFormat="1" ht="22.8" customHeight="1">
      <c r="C192" s="290">
        <v>1</v>
      </c>
      <c r="D192" s="182" t="s">
        <v>5221</v>
      </c>
      <c r="E192" s="182"/>
      <c r="F192" s="182" t="s">
        <v>1974</v>
      </c>
      <c r="G192" s="177">
        <v>8.8999999999999999E-3</v>
      </c>
      <c r="H192" s="183">
        <f>VLOOKUP(D192,upahbahan,3,FALSE)</f>
        <v>350000</v>
      </c>
      <c r="I192" s="325">
        <f>G192*H192</f>
        <v>3115</v>
      </c>
      <c r="J192" s="48"/>
      <c r="K192" s="48"/>
      <c r="L192" s="48"/>
    </row>
    <row r="193" spans="3:12" ht="22.8" customHeight="1">
      <c r="C193" s="66" t="s">
        <v>1217</v>
      </c>
      <c r="D193" s="67"/>
      <c r="E193" s="67"/>
      <c r="F193" s="67"/>
      <c r="G193" s="67"/>
      <c r="H193" s="69"/>
      <c r="I193" s="292">
        <f>SUM(I192)</f>
        <v>3115</v>
      </c>
    </row>
    <row r="194" spans="3:12" s="297" customFormat="1" ht="22.8" customHeight="1">
      <c r="C194" s="293" t="s">
        <v>1218</v>
      </c>
      <c r="D194" s="294" t="s">
        <v>1219</v>
      </c>
      <c r="E194" s="295"/>
      <c r="F194" s="295"/>
      <c r="G194" s="295"/>
      <c r="H194" s="296"/>
      <c r="I194" s="284">
        <f>I188+I190+I193</f>
        <v>3115</v>
      </c>
      <c r="J194" s="119"/>
      <c r="K194" s="119"/>
      <c r="L194" s="119"/>
    </row>
    <row r="195" spans="3:12" s="297" customFormat="1" ht="22.8" customHeight="1">
      <c r="C195" s="293" t="s">
        <v>1220</v>
      </c>
      <c r="D195" s="294" t="s">
        <v>1321</v>
      </c>
      <c r="E195" s="295"/>
      <c r="F195" s="295"/>
      <c r="G195" s="296"/>
      <c r="H195" s="298">
        <f>$Q$8</f>
        <v>0.1</v>
      </c>
      <c r="I195" s="284">
        <f>I194*H195</f>
        <v>311.5</v>
      </c>
      <c r="J195" s="119"/>
      <c r="K195" s="119"/>
      <c r="L195" s="119"/>
    </row>
    <row r="196" spans="3:12" s="297" customFormat="1" ht="22.8" customHeight="1" thickBot="1">
      <c r="C196" s="299" t="s">
        <v>1221</v>
      </c>
      <c r="D196" s="300" t="s">
        <v>1222</v>
      </c>
      <c r="E196" s="301"/>
      <c r="F196" s="301"/>
      <c r="G196" s="301"/>
      <c r="H196" s="302"/>
      <c r="I196" s="303">
        <f>SUM(I194:I195)</f>
        <v>3426.5</v>
      </c>
      <c r="J196" s="119"/>
      <c r="K196" s="119"/>
      <c r="L196" s="119"/>
    </row>
    <row r="197" spans="3:12" ht="22.8" customHeight="1" thickTop="1">
      <c r="C197" s="335" t="s">
        <v>1827</v>
      </c>
      <c r="D197" s="1081" t="s">
        <v>2096</v>
      </c>
    </row>
    <row r="200" spans="3:12" ht="28.5" customHeight="1" thickBot="1">
      <c r="C200" s="119" t="s">
        <v>2101</v>
      </c>
      <c r="D200" s="1073" t="s">
        <v>2106</v>
      </c>
      <c r="E200" s="1073"/>
      <c r="F200" s="1073"/>
      <c r="G200" s="1073"/>
      <c r="H200" s="1073"/>
      <c r="I200" s="1073"/>
      <c r="J200" s="120">
        <f>ROUNDDOWN(I214,-2)</f>
        <v>421300</v>
      </c>
      <c r="K200" s="120"/>
      <c r="L200" s="120"/>
    </row>
    <row r="201" spans="3:12" s="342" customFormat="1" ht="28.2" thickTop="1">
      <c r="C201" s="51" t="s">
        <v>1195</v>
      </c>
      <c r="D201" s="52" t="s">
        <v>1196</v>
      </c>
      <c r="E201" s="52" t="s">
        <v>1906</v>
      </c>
      <c r="F201" s="52" t="s">
        <v>1197</v>
      </c>
      <c r="G201" s="52" t="s">
        <v>1198</v>
      </c>
      <c r="H201" s="52" t="s">
        <v>1199</v>
      </c>
      <c r="I201" s="53" t="s">
        <v>1200</v>
      </c>
      <c r="J201" s="1074"/>
      <c r="K201" s="1074"/>
      <c r="L201" s="1074"/>
    </row>
    <row r="202" spans="3:12" ht="22.8" customHeight="1">
      <c r="C202" s="290" t="s">
        <v>1201</v>
      </c>
      <c r="D202" s="182" t="s">
        <v>1202</v>
      </c>
      <c r="E202" s="182"/>
      <c r="F202" s="70"/>
      <c r="G202" s="70"/>
      <c r="H202" s="70"/>
      <c r="I202" s="71"/>
    </row>
    <row r="203" spans="3:12" ht="22.8" customHeight="1">
      <c r="C203" s="181">
        <v>1</v>
      </c>
      <c r="D203" s="182" t="s">
        <v>5</v>
      </c>
      <c r="E203" s="176" t="s">
        <v>1774</v>
      </c>
      <c r="F203" s="70" t="s">
        <v>2102</v>
      </c>
      <c r="G203" s="127">
        <v>0.3</v>
      </c>
      <c r="H203" s="283">
        <f>VLOOKUP(D203,upahbahan,3,FALSE)</f>
        <v>100000</v>
      </c>
      <c r="I203" s="1082">
        <f>H203*G203</f>
        <v>30000</v>
      </c>
    </row>
    <row r="204" spans="3:12" ht="22.8" customHeight="1">
      <c r="C204" s="181">
        <v>2</v>
      </c>
      <c r="D204" s="182" t="s">
        <v>19</v>
      </c>
      <c r="E204" s="176" t="s">
        <v>1777</v>
      </c>
      <c r="F204" s="70" t="s">
        <v>2102</v>
      </c>
      <c r="G204" s="127">
        <v>1.4999999999999999E-2</v>
      </c>
      <c r="H204" s="283">
        <f>VLOOKUP(D204,upahbahan,3,FALSE)</f>
        <v>160000</v>
      </c>
      <c r="I204" s="1082">
        <f>H204*G204</f>
        <v>2400</v>
      </c>
    </row>
    <row r="205" spans="3:12" ht="22.8" customHeight="1">
      <c r="C205" s="66" t="s">
        <v>1208</v>
      </c>
      <c r="D205" s="67"/>
      <c r="E205" s="67"/>
      <c r="F205" s="67"/>
      <c r="G205" s="67"/>
      <c r="H205" s="69"/>
      <c r="I205" s="284">
        <f>SUM(I203:I204)</f>
        <v>32400</v>
      </c>
    </row>
    <row r="206" spans="3:12" ht="22.8" customHeight="1">
      <c r="C206" s="290" t="s">
        <v>1209</v>
      </c>
      <c r="D206" s="182" t="s">
        <v>1210</v>
      </c>
      <c r="E206" s="182"/>
      <c r="F206" s="70"/>
      <c r="G206" s="70"/>
      <c r="H206" s="70"/>
      <c r="I206" s="71"/>
    </row>
    <row r="207" spans="3:12" ht="22.8" customHeight="1">
      <c r="C207" s="181">
        <v>1</v>
      </c>
      <c r="D207" s="182" t="s">
        <v>2553</v>
      </c>
      <c r="E207" s="182"/>
      <c r="F207" s="70" t="s">
        <v>42</v>
      </c>
      <c r="G207" s="118">
        <v>1.1299999999999999</v>
      </c>
      <c r="H207" s="283">
        <f>VLOOKUP(D207,upahbahan,3,FALSE)</f>
        <v>292500</v>
      </c>
      <c r="I207" s="1082">
        <f>H207*G207</f>
        <v>330524.99999999994</v>
      </c>
    </row>
    <row r="208" spans="3:12" ht="22.8" customHeight="1">
      <c r="C208" s="66" t="s">
        <v>1214</v>
      </c>
      <c r="D208" s="67"/>
      <c r="E208" s="67"/>
      <c r="F208" s="67"/>
      <c r="G208" s="67"/>
      <c r="H208" s="69"/>
      <c r="I208" s="284">
        <f>SUM(I207)</f>
        <v>330524.99999999994</v>
      </c>
    </row>
    <row r="209" spans="3:12" ht="22.8" customHeight="1">
      <c r="C209" s="290" t="s">
        <v>1215</v>
      </c>
      <c r="D209" s="182" t="s">
        <v>1216</v>
      </c>
      <c r="E209" s="182"/>
      <c r="F209" s="70"/>
      <c r="G209" s="70"/>
      <c r="H209" s="70"/>
      <c r="I209" s="71"/>
    </row>
    <row r="210" spans="3:12" s="326" customFormat="1" ht="22.8" customHeight="1">
      <c r="C210" s="290">
        <v>1</v>
      </c>
      <c r="D210" s="182" t="s">
        <v>5221</v>
      </c>
      <c r="E210" s="182"/>
      <c r="F210" s="182" t="s">
        <v>1974</v>
      </c>
      <c r="G210" s="177">
        <v>5.74E-2</v>
      </c>
      <c r="H210" s="183">
        <f>VLOOKUP(D210,upahbahan,3,FALSE)</f>
        <v>350000</v>
      </c>
      <c r="I210" s="325">
        <f>G210*H210</f>
        <v>20090</v>
      </c>
      <c r="J210" s="48"/>
      <c r="K210" s="48"/>
      <c r="L210" s="48"/>
    </row>
    <row r="211" spans="3:12" ht="22.8" customHeight="1">
      <c r="C211" s="66" t="s">
        <v>1217</v>
      </c>
      <c r="D211" s="67"/>
      <c r="E211" s="67"/>
      <c r="F211" s="67"/>
      <c r="G211" s="67"/>
      <c r="H211" s="69"/>
      <c r="I211" s="292">
        <f>SUM(I210)</f>
        <v>20090</v>
      </c>
    </row>
    <row r="212" spans="3:12" s="297" customFormat="1" ht="22.8" customHeight="1">
      <c r="C212" s="293" t="s">
        <v>1218</v>
      </c>
      <c r="D212" s="294" t="s">
        <v>1219</v>
      </c>
      <c r="E212" s="295"/>
      <c r="F212" s="295"/>
      <c r="G212" s="295"/>
      <c r="H212" s="296"/>
      <c r="I212" s="284">
        <f>I205+I208+I211</f>
        <v>383014.99999999994</v>
      </c>
      <c r="J212" s="119"/>
      <c r="K212" s="119"/>
      <c r="L212" s="119"/>
    </row>
    <row r="213" spans="3:12" s="297" customFormat="1" ht="22.8" customHeight="1">
      <c r="C213" s="293" t="s">
        <v>1220</v>
      </c>
      <c r="D213" s="294" t="s">
        <v>1321</v>
      </c>
      <c r="E213" s="295"/>
      <c r="F213" s="295"/>
      <c r="G213" s="296"/>
      <c r="H213" s="298">
        <f>$Q$8</f>
        <v>0.1</v>
      </c>
      <c r="I213" s="284">
        <f>I212*H213</f>
        <v>38301.499999999993</v>
      </c>
      <c r="J213" s="119"/>
      <c r="K213" s="119"/>
      <c r="L213" s="119"/>
    </row>
    <row r="214" spans="3:12" s="297" customFormat="1" ht="22.8" customHeight="1" thickBot="1">
      <c r="C214" s="299" t="s">
        <v>1221</v>
      </c>
      <c r="D214" s="300" t="s">
        <v>1222</v>
      </c>
      <c r="E214" s="301"/>
      <c r="F214" s="301"/>
      <c r="G214" s="301"/>
      <c r="H214" s="302"/>
      <c r="I214" s="303">
        <f>SUM(I212:I213)</f>
        <v>421316.49999999994</v>
      </c>
      <c r="J214" s="119"/>
      <c r="K214" s="119"/>
      <c r="L214" s="119"/>
    </row>
    <row r="215" spans="3:12" ht="22.8" customHeight="1" thickTop="1">
      <c r="C215" s="335" t="s">
        <v>1827</v>
      </c>
      <c r="D215" s="1081" t="s">
        <v>2096</v>
      </c>
    </row>
    <row r="217" spans="3:12" ht="28.5" customHeight="1" thickBot="1">
      <c r="C217" s="119" t="s">
        <v>2103</v>
      </c>
      <c r="D217" s="1073" t="s">
        <v>2104</v>
      </c>
      <c r="E217" s="1073"/>
      <c r="F217" s="1073"/>
      <c r="G217" s="1073"/>
      <c r="H217" s="1073"/>
      <c r="I217" s="1073"/>
      <c r="J217" s="120">
        <f>ROUNDDOWN(I231,-2)</f>
        <v>69600</v>
      </c>
      <c r="K217" s="120" t="s">
        <v>6453</v>
      </c>
      <c r="L217" s="120" t="s">
        <v>6451</v>
      </c>
    </row>
    <row r="218" spans="3:12" s="342" customFormat="1" ht="28.2" thickTop="1">
      <c r="C218" s="51" t="s">
        <v>1195</v>
      </c>
      <c r="D218" s="52" t="s">
        <v>1196</v>
      </c>
      <c r="E218" s="52" t="s">
        <v>1906</v>
      </c>
      <c r="F218" s="52" t="s">
        <v>1197</v>
      </c>
      <c r="G218" s="52" t="s">
        <v>1198</v>
      </c>
      <c r="H218" s="52" t="s">
        <v>1199</v>
      </c>
      <c r="I218" s="53" t="s">
        <v>1200</v>
      </c>
      <c r="J218" s="1074"/>
      <c r="K218" s="1074"/>
      <c r="L218" s="1074"/>
    </row>
    <row r="219" spans="3:12" ht="22.8" customHeight="1">
      <c r="C219" s="290" t="s">
        <v>1201</v>
      </c>
      <c r="D219" s="182" t="s">
        <v>1202</v>
      </c>
      <c r="E219" s="182"/>
      <c r="F219" s="70"/>
      <c r="G219" s="70"/>
      <c r="H219" s="70"/>
      <c r="I219" s="71"/>
    </row>
    <row r="220" spans="3:12" ht="22.8" customHeight="1">
      <c r="C220" s="181">
        <v>1</v>
      </c>
      <c r="D220" s="182" t="s">
        <v>5</v>
      </c>
      <c r="E220" s="176" t="s">
        <v>1774</v>
      </c>
      <c r="F220" s="70" t="s">
        <v>2102</v>
      </c>
      <c r="G220" s="127">
        <v>0.4</v>
      </c>
      <c r="H220" s="283">
        <f>VLOOKUP(D220,upahbahan,3,FALSE)</f>
        <v>100000</v>
      </c>
      <c r="I220" s="1082">
        <f>H220*G220</f>
        <v>40000</v>
      </c>
    </row>
    <row r="221" spans="3:12" ht="22.8" customHeight="1">
      <c r="C221" s="181">
        <v>2</v>
      </c>
      <c r="D221" s="182" t="s">
        <v>19</v>
      </c>
      <c r="E221" s="176" t="s">
        <v>1777</v>
      </c>
      <c r="F221" s="70" t="s">
        <v>2102</v>
      </c>
      <c r="G221" s="127">
        <v>0.02</v>
      </c>
      <c r="H221" s="283">
        <f>VLOOKUP(D221,upahbahan,3,FALSE)</f>
        <v>160000</v>
      </c>
      <c r="I221" s="1082">
        <f>H221*G221</f>
        <v>3200</v>
      </c>
    </row>
    <row r="222" spans="3:12" ht="22.8" customHeight="1">
      <c r="C222" s="66" t="s">
        <v>1208</v>
      </c>
      <c r="D222" s="67"/>
      <c r="E222" s="67"/>
      <c r="F222" s="67"/>
      <c r="G222" s="67"/>
      <c r="H222" s="69"/>
      <c r="I222" s="284">
        <f>SUM(I220:I221)</f>
        <v>43200</v>
      </c>
    </row>
    <row r="223" spans="3:12" ht="22.8" customHeight="1">
      <c r="C223" s="290" t="s">
        <v>1209</v>
      </c>
      <c r="D223" s="182" t="s">
        <v>1210</v>
      </c>
      <c r="E223" s="182"/>
      <c r="F223" s="70"/>
      <c r="G223" s="70"/>
      <c r="H223" s="70"/>
      <c r="I223" s="71"/>
    </row>
    <row r="224" spans="3:12" ht="22.8" customHeight="1">
      <c r="C224" s="181">
        <v>1</v>
      </c>
      <c r="D224" s="182" t="s">
        <v>2105</v>
      </c>
      <c r="E224" s="182"/>
      <c r="F224" s="70" t="s">
        <v>42</v>
      </c>
      <c r="G224" s="127">
        <v>1.1299999999999999</v>
      </c>
      <c r="H224" s="283">
        <f>VLOOKUP(D224,upahbahan,3,FALSE)</f>
        <v>0</v>
      </c>
      <c r="I224" s="1082">
        <f>H224*G224</f>
        <v>0</v>
      </c>
    </row>
    <row r="225" spans="3:12" ht="22.8" customHeight="1">
      <c r="C225" s="66" t="s">
        <v>1214</v>
      </c>
      <c r="D225" s="67"/>
      <c r="E225" s="67"/>
      <c r="F225" s="67"/>
      <c r="G225" s="67"/>
      <c r="H225" s="69"/>
      <c r="I225" s="284">
        <f>SUM(I224)</f>
        <v>0</v>
      </c>
    </row>
    <row r="226" spans="3:12" ht="22.8" customHeight="1">
      <c r="C226" s="290" t="s">
        <v>1215</v>
      </c>
      <c r="D226" s="182" t="s">
        <v>1216</v>
      </c>
      <c r="E226" s="182"/>
      <c r="F226" s="70"/>
      <c r="G226" s="70"/>
      <c r="H226" s="70"/>
      <c r="I226" s="71"/>
    </row>
    <row r="227" spans="3:12" s="326" customFormat="1" ht="22.8" customHeight="1">
      <c r="C227" s="290">
        <v>1</v>
      </c>
      <c r="D227" s="182" t="s">
        <v>4413</v>
      </c>
      <c r="E227" s="182"/>
      <c r="F227" s="182" t="s">
        <v>1974</v>
      </c>
      <c r="G227" s="177">
        <v>5.74E-2</v>
      </c>
      <c r="H227" s="183">
        <f>VLOOKUP(D227,upahbahan,3,FALSE)</f>
        <v>350000</v>
      </c>
      <c r="I227" s="325">
        <f>G227*H227</f>
        <v>20090</v>
      </c>
      <c r="J227" s="48"/>
      <c r="K227" s="48"/>
      <c r="L227" s="48"/>
    </row>
    <row r="228" spans="3:12" ht="22.8" customHeight="1">
      <c r="C228" s="66" t="s">
        <v>1217</v>
      </c>
      <c r="D228" s="67"/>
      <c r="E228" s="67"/>
      <c r="F228" s="67"/>
      <c r="G228" s="67"/>
      <c r="H228" s="69"/>
      <c r="I228" s="292">
        <f>SUM(I227)</f>
        <v>20090</v>
      </c>
    </row>
    <row r="229" spans="3:12" s="297" customFormat="1" ht="22.8" customHeight="1">
      <c r="C229" s="293" t="s">
        <v>1218</v>
      </c>
      <c r="D229" s="294" t="s">
        <v>1219</v>
      </c>
      <c r="E229" s="295"/>
      <c r="F229" s="295"/>
      <c r="G229" s="295"/>
      <c r="H229" s="296"/>
      <c r="I229" s="284">
        <f>I222+I225+I228</f>
        <v>63290</v>
      </c>
      <c r="J229" s="119"/>
      <c r="K229" s="119"/>
      <c r="L229" s="119"/>
    </row>
    <row r="230" spans="3:12" s="297" customFormat="1" ht="22.8" customHeight="1">
      <c r="C230" s="293" t="s">
        <v>1220</v>
      </c>
      <c r="D230" s="294" t="s">
        <v>1321</v>
      </c>
      <c r="E230" s="295"/>
      <c r="F230" s="295"/>
      <c r="G230" s="296"/>
      <c r="H230" s="298">
        <f>$Q$8</f>
        <v>0.1</v>
      </c>
      <c r="I230" s="284">
        <f>I229*H230</f>
        <v>6329</v>
      </c>
      <c r="J230" s="119"/>
      <c r="K230" s="119"/>
      <c r="L230" s="119"/>
    </row>
    <row r="231" spans="3:12" s="297" customFormat="1" ht="22.8" customHeight="1" thickBot="1">
      <c r="C231" s="299" t="s">
        <v>1221</v>
      </c>
      <c r="D231" s="300" t="s">
        <v>1222</v>
      </c>
      <c r="E231" s="301"/>
      <c r="F231" s="301"/>
      <c r="G231" s="301"/>
      <c r="H231" s="302"/>
      <c r="I231" s="303">
        <f>SUM(I229:I230)</f>
        <v>69619</v>
      </c>
      <c r="J231" s="119"/>
      <c r="K231" s="119"/>
      <c r="L231" s="119"/>
    </row>
    <row r="232" spans="3:12" ht="22.8" customHeight="1" thickTop="1">
      <c r="C232" s="335" t="s">
        <v>1827</v>
      </c>
      <c r="D232" s="1081" t="s">
        <v>2096</v>
      </c>
    </row>
  </sheetData>
  <mergeCells count="2">
    <mergeCell ref="D63:I63"/>
    <mergeCell ref="D79:I7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J258"/>
  <sheetViews>
    <sheetView zoomScale="90" zoomScaleNormal="90" workbookViewId="0">
      <selection activeCell="A581" sqref="A581:XFD599"/>
    </sheetView>
  </sheetViews>
  <sheetFormatPr defaultRowHeight="13.2"/>
  <cols>
    <col min="1" max="1" width="3.6640625" style="122" customWidth="1"/>
    <col min="2" max="2" width="3.33203125" style="122" customWidth="1"/>
    <col min="3" max="3" width="8" style="122" customWidth="1"/>
    <col min="4" max="4" width="18.88671875" style="122" customWidth="1"/>
    <col min="5" max="5" width="11.6640625" style="122" customWidth="1"/>
    <col min="6" max="6" width="10.88671875" style="122" customWidth="1"/>
    <col min="7" max="7" width="13" style="122" customWidth="1"/>
    <col min="8" max="8" width="15.44140625" style="122" customWidth="1"/>
    <col min="9" max="9" width="15.88671875" style="122" customWidth="1"/>
    <col min="10" max="10" width="11.88671875" style="122" customWidth="1"/>
    <col min="11" max="16384" width="8.88671875" style="122"/>
  </cols>
  <sheetData>
    <row r="1" spans="3:10">
      <c r="C1" s="345"/>
    </row>
    <row r="2" spans="3:10">
      <c r="C2" s="368" t="s">
        <v>5222</v>
      </c>
      <c r="D2" s="121" t="s">
        <v>2107</v>
      </c>
    </row>
    <row r="3" spans="3:10">
      <c r="C3" s="368" t="s">
        <v>2108</v>
      </c>
      <c r="D3" s="121" t="s">
        <v>2109</v>
      </c>
    </row>
    <row r="4" spans="3:10" s="45" customFormat="1" ht="16.5" customHeight="1" thickBot="1">
      <c r="C4" s="43" t="s">
        <v>2110</v>
      </c>
      <c r="D4" s="171" t="s">
        <v>2111</v>
      </c>
      <c r="E4" s="172"/>
      <c r="F4" s="172"/>
      <c r="G4" s="172"/>
      <c r="H4" s="172"/>
      <c r="I4" s="172"/>
      <c r="J4" s="50">
        <f>ROUNDDOWN(I16,-2)</f>
        <v>24900</v>
      </c>
    </row>
    <row r="5" spans="3:10" s="174" customFormat="1" ht="28.2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73"/>
    </row>
    <row r="6" spans="3:10" s="45" customFormat="1" ht="14.25" customHeight="1">
      <c r="C6" s="55" t="s">
        <v>1201</v>
      </c>
      <c r="D6" s="56" t="s">
        <v>1202</v>
      </c>
      <c r="E6" s="56"/>
      <c r="F6" s="57"/>
      <c r="G6" s="57"/>
      <c r="H6" s="57"/>
      <c r="I6" s="58"/>
      <c r="J6" s="44"/>
    </row>
    <row r="7" spans="3:10" s="45" customFormat="1" ht="13.8">
      <c r="C7" s="129">
        <v>1</v>
      </c>
      <c r="D7" s="56" t="s">
        <v>5</v>
      </c>
      <c r="E7" s="61" t="s">
        <v>1774</v>
      </c>
      <c r="F7" s="93" t="s">
        <v>2102</v>
      </c>
      <c r="G7" s="103">
        <v>0.2104</v>
      </c>
      <c r="H7" s="63">
        <f>VLOOKUP(D7,upahbahan,3,FALSE)</f>
        <v>100000</v>
      </c>
      <c r="I7" s="175">
        <f>H7*G7</f>
        <v>21040</v>
      </c>
      <c r="J7" s="44"/>
    </row>
    <row r="8" spans="3:10" s="45" customFormat="1" ht="13.8">
      <c r="C8" s="129">
        <v>2</v>
      </c>
      <c r="D8" s="56" t="s">
        <v>19</v>
      </c>
      <c r="E8" s="61" t="s">
        <v>1777</v>
      </c>
      <c r="F8" s="93" t="s">
        <v>2102</v>
      </c>
      <c r="G8" s="103">
        <v>1.0500000000000001E-2</v>
      </c>
      <c r="H8" s="63">
        <f>VLOOKUP(D8,upahbahan,3,FALSE)</f>
        <v>160000</v>
      </c>
      <c r="I8" s="175">
        <f>H8*G8</f>
        <v>1680</v>
      </c>
      <c r="J8" s="44"/>
    </row>
    <row r="9" spans="3:10" s="45" customFormat="1" ht="15.75" customHeight="1">
      <c r="C9" s="66" t="s">
        <v>1208</v>
      </c>
      <c r="D9" s="67"/>
      <c r="E9" s="67"/>
      <c r="F9" s="67"/>
      <c r="G9" s="67"/>
      <c r="H9" s="69"/>
      <c r="I9" s="64">
        <f>SUM(I7:I8)</f>
        <v>22720</v>
      </c>
      <c r="J9" s="44"/>
    </row>
    <row r="10" spans="3:10" s="45" customFormat="1" ht="13.8">
      <c r="C10" s="55" t="s">
        <v>1209</v>
      </c>
      <c r="D10" s="56" t="s">
        <v>1210</v>
      </c>
      <c r="E10" s="56"/>
      <c r="F10" s="57"/>
      <c r="G10" s="57"/>
      <c r="H10" s="57"/>
      <c r="I10" s="58"/>
      <c r="J10" s="44"/>
    </row>
    <row r="11" spans="3:10" s="45" customFormat="1" ht="15.75" customHeight="1">
      <c r="C11" s="66" t="s">
        <v>1214</v>
      </c>
      <c r="D11" s="67"/>
      <c r="E11" s="67"/>
      <c r="F11" s="67"/>
      <c r="G11" s="67"/>
      <c r="H11" s="69"/>
      <c r="I11" s="64">
        <f>SUM(I10)</f>
        <v>0</v>
      </c>
      <c r="J11" s="44"/>
    </row>
    <row r="12" spans="3:10" s="45" customFormat="1" ht="13.8">
      <c r="C12" s="55" t="s">
        <v>1215</v>
      </c>
      <c r="D12" s="56" t="s">
        <v>1216</v>
      </c>
      <c r="E12" s="56"/>
      <c r="F12" s="70"/>
      <c r="G12" s="70"/>
      <c r="H12" s="70"/>
      <c r="I12" s="58"/>
      <c r="J12" s="44"/>
    </row>
    <row r="13" spans="3:10" s="45" customFormat="1" ht="15.75" customHeight="1">
      <c r="C13" s="66" t="s">
        <v>1217</v>
      </c>
      <c r="D13" s="67"/>
      <c r="E13" s="67"/>
      <c r="F13" s="67"/>
      <c r="G13" s="67"/>
      <c r="H13" s="69"/>
      <c r="I13" s="74">
        <f>SUM(I12)</f>
        <v>0</v>
      </c>
      <c r="J13" s="44"/>
    </row>
    <row r="14" spans="3:10" s="79" customFormat="1" ht="13.8">
      <c r="C14" s="75" t="s">
        <v>1218</v>
      </c>
      <c r="D14" s="76" t="s">
        <v>1219</v>
      </c>
      <c r="E14" s="77"/>
      <c r="F14" s="77"/>
      <c r="G14" s="77"/>
      <c r="H14" s="78"/>
      <c r="I14" s="64">
        <f>I9+I11+I13</f>
        <v>22720</v>
      </c>
      <c r="J14" s="44"/>
    </row>
    <row r="15" spans="3:10" s="79" customFormat="1" ht="13.8">
      <c r="C15" s="75" t="s">
        <v>1220</v>
      </c>
      <c r="D15" s="76" t="s">
        <v>1321</v>
      </c>
      <c r="E15" s="77"/>
      <c r="F15" s="77"/>
      <c r="G15" s="78"/>
      <c r="H15" s="80">
        <v>0.1</v>
      </c>
      <c r="I15" s="64">
        <f>I14*H15</f>
        <v>2272</v>
      </c>
      <c r="J15" s="44"/>
    </row>
    <row r="16" spans="3:10" s="79" customFormat="1" ht="14.4" thickBot="1">
      <c r="C16" s="81" t="s">
        <v>1221</v>
      </c>
      <c r="D16" s="82" t="s">
        <v>1222</v>
      </c>
      <c r="E16" s="83"/>
      <c r="F16" s="83"/>
      <c r="G16" s="83"/>
      <c r="H16" s="84"/>
      <c r="I16" s="85">
        <f>SUM(I14:I15)</f>
        <v>24992</v>
      </c>
      <c r="J16" s="44"/>
    </row>
    <row r="17" spans="3:10" ht="13.8" thickTop="1"/>
    <row r="19" spans="3:10" s="45" customFormat="1" ht="16.5" customHeight="1" thickBot="1">
      <c r="C19" s="44" t="s">
        <v>2112</v>
      </c>
      <c r="D19" s="171" t="s">
        <v>2118</v>
      </c>
      <c r="E19" s="171"/>
      <c r="F19" s="171"/>
      <c r="G19" s="171"/>
      <c r="H19" s="171"/>
      <c r="I19" s="171"/>
      <c r="J19" s="50">
        <f>ROUNDDOWN(I31,-2)</f>
        <v>26700</v>
      </c>
    </row>
    <row r="20" spans="3:10" s="174" customFormat="1" ht="28.2" thickTop="1">
      <c r="C20" s="51" t="s">
        <v>1195</v>
      </c>
      <c r="D20" s="52" t="s">
        <v>1196</v>
      </c>
      <c r="E20" s="52" t="s">
        <v>1906</v>
      </c>
      <c r="F20" s="52" t="s">
        <v>1197</v>
      </c>
      <c r="G20" s="52" t="s">
        <v>1198</v>
      </c>
      <c r="H20" s="52" t="s">
        <v>1199</v>
      </c>
      <c r="I20" s="53" t="s">
        <v>1200</v>
      </c>
      <c r="J20" s="173"/>
    </row>
    <row r="21" spans="3:10" s="45" customFormat="1" ht="14.25" customHeight="1">
      <c r="C21" s="55" t="s">
        <v>1201</v>
      </c>
      <c r="D21" s="56" t="s">
        <v>1202</v>
      </c>
      <c r="E21" s="56"/>
      <c r="F21" s="57"/>
      <c r="G21" s="57"/>
      <c r="H21" s="57"/>
      <c r="I21" s="58"/>
      <c r="J21" s="44"/>
    </row>
    <row r="22" spans="3:10" s="45" customFormat="1" ht="13.8">
      <c r="C22" s="129">
        <v>1</v>
      </c>
      <c r="D22" s="56" t="s">
        <v>5</v>
      </c>
      <c r="E22" s="61" t="s">
        <v>1774</v>
      </c>
      <c r="F22" s="93" t="s">
        <v>2102</v>
      </c>
      <c r="G22" s="103">
        <v>0.22539999999999999</v>
      </c>
      <c r="H22" s="63">
        <f>VLOOKUP(D22,upahbahan,3,FALSE)</f>
        <v>100000</v>
      </c>
      <c r="I22" s="175">
        <f>H22*G22</f>
        <v>22540</v>
      </c>
      <c r="J22" s="44"/>
    </row>
    <row r="23" spans="3:10" s="45" customFormat="1" ht="13.8">
      <c r="C23" s="129">
        <v>2</v>
      </c>
      <c r="D23" s="56" t="s">
        <v>19</v>
      </c>
      <c r="E23" s="61" t="s">
        <v>1777</v>
      </c>
      <c r="F23" s="93" t="s">
        <v>2102</v>
      </c>
      <c r="G23" s="103">
        <v>1.12E-2</v>
      </c>
      <c r="H23" s="63">
        <f>VLOOKUP(D23,upahbahan,3,FALSE)</f>
        <v>160000</v>
      </c>
      <c r="I23" s="175">
        <f>H23*G23</f>
        <v>1792</v>
      </c>
      <c r="J23" s="44"/>
    </row>
    <row r="24" spans="3:10" s="45" customFormat="1" ht="15.75" customHeight="1">
      <c r="C24" s="66" t="s">
        <v>1208</v>
      </c>
      <c r="D24" s="67"/>
      <c r="E24" s="67"/>
      <c r="F24" s="67"/>
      <c r="G24" s="67"/>
      <c r="H24" s="69"/>
      <c r="I24" s="64">
        <f>SUM(I22:I23)</f>
        <v>24332</v>
      </c>
      <c r="J24" s="44"/>
    </row>
    <row r="25" spans="3:10" s="45" customFormat="1" ht="13.8">
      <c r="C25" s="55" t="s">
        <v>1209</v>
      </c>
      <c r="D25" s="56" t="s">
        <v>1210</v>
      </c>
      <c r="E25" s="56"/>
      <c r="F25" s="57"/>
      <c r="G25" s="57"/>
      <c r="H25" s="57"/>
      <c r="I25" s="58"/>
      <c r="J25" s="44"/>
    </row>
    <row r="26" spans="3:10" s="45" customFormat="1" ht="15.75" customHeight="1">
      <c r="C26" s="66" t="s">
        <v>1214</v>
      </c>
      <c r="D26" s="67"/>
      <c r="E26" s="67"/>
      <c r="F26" s="67"/>
      <c r="G26" s="67"/>
      <c r="H26" s="69"/>
      <c r="I26" s="64">
        <f>SUM(I25)</f>
        <v>0</v>
      </c>
      <c r="J26" s="44"/>
    </row>
    <row r="27" spans="3:10" s="45" customFormat="1" ht="13.8">
      <c r="C27" s="55" t="s">
        <v>1215</v>
      </c>
      <c r="D27" s="56" t="s">
        <v>1216</v>
      </c>
      <c r="E27" s="56"/>
      <c r="F27" s="70"/>
      <c r="G27" s="70"/>
      <c r="H27" s="70"/>
      <c r="I27" s="58"/>
      <c r="J27" s="44"/>
    </row>
    <row r="28" spans="3:10" s="45" customFormat="1" ht="15.75" customHeight="1">
      <c r="C28" s="66" t="s">
        <v>1217</v>
      </c>
      <c r="D28" s="67"/>
      <c r="E28" s="67"/>
      <c r="F28" s="67"/>
      <c r="G28" s="67"/>
      <c r="H28" s="69"/>
      <c r="I28" s="74">
        <f>SUM(I27)</f>
        <v>0</v>
      </c>
      <c r="J28" s="44"/>
    </row>
    <row r="29" spans="3:10" s="79" customFormat="1" ht="13.8">
      <c r="C29" s="75" t="s">
        <v>1218</v>
      </c>
      <c r="D29" s="76" t="s">
        <v>1219</v>
      </c>
      <c r="E29" s="77"/>
      <c r="F29" s="77"/>
      <c r="G29" s="77"/>
      <c r="H29" s="78"/>
      <c r="I29" s="64">
        <f>I24+I26+I28</f>
        <v>24332</v>
      </c>
      <c r="J29" s="44"/>
    </row>
    <row r="30" spans="3:10" s="79" customFormat="1" ht="13.8">
      <c r="C30" s="75" t="s">
        <v>1220</v>
      </c>
      <c r="D30" s="76" t="s">
        <v>1321</v>
      </c>
      <c r="E30" s="77"/>
      <c r="F30" s="77"/>
      <c r="G30" s="78"/>
      <c r="H30" s="80">
        <v>0.1</v>
      </c>
      <c r="I30" s="64">
        <f>I29*H30</f>
        <v>2433.2000000000003</v>
      </c>
      <c r="J30" s="44"/>
    </row>
    <row r="31" spans="3:10" s="79" customFormat="1" ht="14.4" thickBot="1">
      <c r="C31" s="81" t="s">
        <v>1221</v>
      </c>
      <c r="D31" s="82" t="s">
        <v>1222</v>
      </c>
      <c r="E31" s="83"/>
      <c r="F31" s="83"/>
      <c r="G31" s="83"/>
      <c r="H31" s="84"/>
      <c r="I31" s="85">
        <f>SUM(I29:I30)</f>
        <v>26765.200000000001</v>
      </c>
      <c r="J31" s="44"/>
    </row>
    <row r="32" spans="3:10" ht="13.8" thickTop="1"/>
    <row r="33" spans="3:10" s="45" customFormat="1" ht="16.5" customHeight="1" thickBot="1">
      <c r="C33" s="44" t="s">
        <v>2113</v>
      </c>
      <c r="D33" s="171" t="s">
        <v>2119</v>
      </c>
      <c r="E33" s="171"/>
      <c r="F33" s="171"/>
      <c r="G33" s="171"/>
      <c r="H33" s="171"/>
      <c r="I33" s="171"/>
      <c r="J33" s="50">
        <f>ROUNDDOWN(I45,-2)</f>
        <v>29100</v>
      </c>
    </row>
    <row r="34" spans="3:10" s="174" customFormat="1" ht="28.2" thickTop="1">
      <c r="C34" s="51" t="s">
        <v>1195</v>
      </c>
      <c r="D34" s="52" t="s">
        <v>1196</v>
      </c>
      <c r="E34" s="52" t="s">
        <v>1906</v>
      </c>
      <c r="F34" s="52" t="s">
        <v>1197</v>
      </c>
      <c r="G34" s="52" t="s">
        <v>1198</v>
      </c>
      <c r="H34" s="52" t="s">
        <v>1199</v>
      </c>
      <c r="I34" s="53" t="s">
        <v>1200</v>
      </c>
      <c r="J34" s="173"/>
    </row>
    <row r="35" spans="3:10" s="45" customFormat="1" ht="14.25" customHeight="1">
      <c r="C35" s="55" t="s">
        <v>1201</v>
      </c>
      <c r="D35" s="56" t="s">
        <v>1202</v>
      </c>
      <c r="E35" s="56"/>
      <c r="F35" s="57"/>
      <c r="G35" s="57"/>
      <c r="H35" s="57"/>
      <c r="I35" s="58"/>
      <c r="J35" s="44"/>
    </row>
    <row r="36" spans="3:10" s="45" customFormat="1" ht="13.8">
      <c r="C36" s="129">
        <v>1</v>
      </c>
      <c r="D36" s="56" t="s">
        <v>5</v>
      </c>
      <c r="E36" s="61" t="s">
        <v>1774</v>
      </c>
      <c r="F36" s="93" t="s">
        <v>2102</v>
      </c>
      <c r="G36" s="103">
        <v>0.23630000000000001</v>
      </c>
      <c r="H36" s="63">
        <f>VLOOKUP(D36,upahbahan,3,FALSE)</f>
        <v>100000</v>
      </c>
      <c r="I36" s="175">
        <f>H36*G36</f>
        <v>23630</v>
      </c>
      <c r="J36" s="44"/>
    </row>
    <row r="37" spans="3:10" s="45" customFormat="1" ht="13.8">
      <c r="C37" s="129">
        <v>2</v>
      </c>
      <c r="D37" s="56" t="s">
        <v>19</v>
      </c>
      <c r="E37" s="61" t="s">
        <v>1777</v>
      </c>
      <c r="F37" s="93" t="s">
        <v>2102</v>
      </c>
      <c r="G37" s="103">
        <v>1.7999999999999999E-2</v>
      </c>
      <c r="H37" s="63">
        <f>VLOOKUP(D37,upahbahan,3,FALSE)</f>
        <v>160000</v>
      </c>
      <c r="I37" s="175">
        <f>H37*G37</f>
        <v>2880</v>
      </c>
      <c r="J37" s="44"/>
    </row>
    <row r="38" spans="3:10" s="45" customFormat="1" ht="15.75" customHeight="1">
      <c r="C38" s="66" t="s">
        <v>1208</v>
      </c>
      <c r="D38" s="67"/>
      <c r="E38" s="67"/>
      <c r="F38" s="67"/>
      <c r="G38" s="67"/>
      <c r="H38" s="69"/>
      <c r="I38" s="64">
        <f>SUM(I36:I37)</f>
        <v>26510</v>
      </c>
      <c r="J38" s="44"/>
    </row>
    <row r="39" spans="3:10" s="45" customFormat="1" ht="13.8">
      <c r="C39" s="55" t="s">
        <v>1209</v>
      </c>
      <c r="D39" s="56" t="s">
        <v>1210</v>
      </c>
      <c r="E39" s="56"/>
      <c r="F39" s="57"/>
      <c r="G39" s="57"/>
      <c r="H39" s="57"/>
      <c r="I39" s="58"/>
      <c r="J39" s="44"/>
    </row>
    <row r="40" spans="3:10" s="45" customFormat="1" ht="15.75" customHeight="1">
      <c r="C40" s="66" t="s">
        <v>1214</v>
      </c>
      <c r="D40" s="67"/>
      <c r="E40" s="67"/>
      <c r="F40" s="67"/>
      <c r="G40" s="67"/>
      <c r="H40" s="69"/>
      <c r="I40" s="64">
        <f>SUM(I39)</f>
        <v>0</v>
      </c>
      <c r="J40" s="44"/>
    </row>
    <row r="41" spans="3:10" s="45" customFormat="1" ht="13.8">
      <c r="C41" s="55" t="s">
        <v>1215</v>
      </c>
      <c r="D41" s="56" t="s">
        <v>1216</v>
      </c>
      <c r="E41" s="56"/>
      <c r="F41" s="70"/>
      <c r="G41" s="70"/>
      <c r="H41" s="70"/>
      <c r="I41" s="58"/>
      <c r="J41" s="44"/>
    </row>
    <row r="42" spans="3:10" s="45" customFormat="1" ht="15.75" customHeight="1">
      <c r="C42" s="66" t="s">
        <v>1217</v>
      </c>
      <c r="D42" s="67"/>
      <c r="E42" s="67"/>
      <c r="F42" s="67"/>
      <c r="G42" s="67"/>
      <c r="H42" s="69"/>
      <c r="I42" s="74">
        <f>SUM(I41)</f>
        <v>0</v>
      </c>
      <c r="J42" s="44"/>
    </row>
    <row r="43" spans="3:10" s="79" customFormat="1" ht="13.8">
      <c r="C43" s="75" t="s">
        <v>1218</v>
      </c>
      <c r="D43" s="76" t="s">
        <v>1219</v>
      </c>
      <c r="E43" s="77"/>
      <c r="F43" s="77"/>
      <c r="G43" s="77"/>
      <c r="H43" s="78"/>
      <c r="I43" s="64">
        <f>I38+I40+I42</f>
        <v>26510</v>
      </c>
      <c r="J43" s="44"/>
    </row>
    <row r="44" spans="3:10" s="79" customFormat="1" ht="13.8">
      <c r="C44" s="75" t="s">
        <v>1220</v>
      </c>
      <c r="D44" s="76" t="s">
        <v>1321</v>
      </c>
      <c r="E44" s="77"/>
      <c r="F44" s="77"/>
      <c r="G44" s="78"/>
      <c r="H44" s="80">
        <v>0.1</v>
      </c>
      <c r="I44" s="64">
        <f>I43*H44</f>
        <v>2651</v>
      </c>
      <c r="J44" s="44"/>
    </row>
    <row r="45" spans="3:10" s="79" customFormat="1" ht="14.4" thickBot="1">
      <c r="C45" s="81" t="s">
        <v>1221</v>
      </c>
      <c r="D45" s="82" t="s">
        <v>1222</v>
      </c>
      <c r="E45" s="83"/>
      <c r="F45" s="83"/>
      <c r="G45" s="83"/>
      <c r="H45" s="84"/>
      <c r="I45" s="85">
        <f>SUM(I43:I44)</f>
        <v>29161</v>
      </c>
      <c r="J45" s="44"/>
    </row>
    <row r="46" spans="3:10" ht="13.8" thickTop="1"/>
    <row r="47" spans="3:10" s="45" customFormat="1" ht="16.5" customHeight="1" thickBot="1">
      <c r="C47" s="44" t="s">
        <v>2114</v>
      </c>
      <c r="D47" s="171" t="s">
        <v>2117</v>
      </c>
      <c r="E47" s="171"/>
      <c r="F47" s="171"/>
      <c r="G47" s="171"/>
      <c r="H47" s="171"/>
      <c r="I47" s="171"/>
      <c r="J47" s="50">
        <f>ROUNDDOWN(I59,-2)</f>
        <v>29700</v>
      </c>
    </row>
    <row r="48" spans="3:10" s="174" customFormat="1" ht="28.2" thickTop="1">
      <c r="C48" s="51" t="s">
        <v>1195</v>
      </c>
      <c r="D48" s="52" t="s">
        <v>1196</v>
      </c>
      <c r="E48" s="52" t="s">
        <v>1906</v>
      </c>
      <c r="F48" s="52" t="s">
        <v>1197</v>
      </c>
      <c r="G48" s="52" t="s">
        <v>1198</v>
      </c>
      <c r="H48" s="52" t="s">
        <v>1199</v>
      </c>
      <c r="I48" s="53" t="s">
        <v>1200</v>
      </c>
      <c r="J48" s="173"/>
    </row>
    <row r="49" spans="3:10" s="45" customFormat="1" ht="14.25" customHeight="1">
      <c r="C49" s="55" t="s">
        <v>1201</v>
      </c>
      <c r="D49" s="56" t="s">
        <v>1202</v>
      </c>
      <c r="E49" s="56"/>
      <c r="F49" s="57"/>
      <c r="G49" s="57"/>
      <c r="H49" s="57"/>
      <c r="I49" s="58"/>
      <c r="J49" s="44"/>
    </row>
    <row r="50" spans="3:10" s="45" customFormat="1" ht="13.8">
      <c r="C50" s="129">
        <v>1</v>
      </c>
      <c r="D50" s="56" t="s">
        <v>5</v>
      </c>
      <c r="E50" s="61" t="s">
        <v>1774</v>
      </c>
      <c r="F50" s="93" t="s">
        <v>2102</v>
      </c>
      <c r="G50" s="103">
        <v>0.2505</v>
      </c>
      <c r="H50" s="63">
        <f>VLOOKUP(D50,upahbahan,3,FALSE)</f>
        <v>100000</v>
      </c>
      <c r="I50" s="175">
        <f>H50*G50</f>
        <v>25050</v>
      </c>
      <c r="J50" s="44"/>
    </row>
    <row r="51" spans="3:10" s="45" customFormat="1" ht="13.8">
      <c r="C51" s="129">
        <v>2</v>
      </c>
      <c r="D51" s="56" t="s">
        <v>19</v>
      </c>
      <c r="E51" s="61" t="s">
        <v>1777</v>
      </c>
      <c r="F51" s="93" t="s">
        <v>2102</v>
      </c>
      <c r="G51" s="103">
        <v>1.2500000000000001E-2</v>
      </c>
      <c r="H51" s="63">
        <f>VLOOKUP(D51,upahbahan,3,FALSE)</f>
        <v>160000</v>
      </c>
      <c r="I51" s="175">
        <f>H51*G51</f>
        <v>2000</v>
      </c>
      <c r="J51" s="44"/>
    </row>
    <row r="52" spans="3:10" s="45" customFormat="1" ht="15.75" customHeight="1">
      <c r="C52" s="66" t="s">
        <v>1208</v>
      </c>
      <c r="D52" s="67"/>
      <c r="E52" s="67"/>
      <c r="F52" s="67"/>
      <c r="G52" s="67"/>
      <c r="H52" s="69"/>
      <c r="I52" s="64">
        <f>SUM(I50:I51)</f>
        <v>27050</v>
      </c>
      <c r="J52" s="44"/>
    </row>
    <row r="53" spans="3:10" s="45" customFormat="1" ht="13.8">
      <c r="C53" s="55" t="s">
        <v>1209</v>
      </c>
      <c r="D53" s="56" t="s">
        <v>1210</v>
      </c>
      <c r="E53" s="56"/>
      <c r="F53" s="57"/>
      <c r="G53" s="57"/>
      <c r="H53" s="57"/>
      <c r="I53" s="58"/>
      <c r="J53" s="44"/>
    </row>
    <row r="54" spans="3:10" s="45" customFormat="1" ht="15.75" customHeight="1">
      <c r="C54" s="66" t="s">
        <v>1214</v>
      </c>
      <c r="D54" s="67"/>
      <c r="E54" s="67"/>
      <c r="F54" s="67"/>
      <c r="G54" s="67"/>
      <c r="H54" s="69"/>
      <c r="I54" s="64">
        <f>SUM(I53)</f>
        <v>0</v>
      </c>
      <c r="J54" s="44"/>
    </row>
    <row r="55" spans="3:10" s="45" customFormat="1" ht="13.8">
      <c r="C55" s="55" t="s">
        <v>1215</v>
      </c>
      <c r="D55" s="56" t="s">
        <v>1216</v>
      </c>
      <c r="E55" s="56"/>
      <c r="F55" s="70"/>
      <c r="G55" s="70"/>
      <c r="H55" s="70"/>
      <c r="I55" s="58"/>
      <c r="J55" s="44"/>
    </row>
    <row r="56" spans="3:10" s="45" customFormat="1" ht="15.75" customHeight="1">
      <c r="C56" s="66" t="s">
        <v>1217</v>
      </c>
      <c r="D56" s="67"/>
      <c r="E56" s="67"/>
      <c r="F56" s="67"/>
      <c r="G56" s="67"/>
      <c r="H56" s="69"/>
      <c r="I56" s="74">
        <f>SUM(I55)</f>
        <v>0</v>
      </c>
      <c r="J56" s="44"/>
    </row>
    <row r="57" spans="3:10" s="79" customFormat="1" ht="13.8">
      <c r="C57" s="75" t="s">
        <v>1218</v>
      </c>
      <c r="D57" s="76" t="s">
        <v>1219</v>
      </c>
      <c r="E57" s="77"/>
      <c r="F57" s="77"/>
      <c r="G57" s="77"/>
      <c r="H57" s="78"/>
      <c r="I57" s="64">
        <f>I52+I54+I56</f>
        <v>27050</v>
      </c>
      <c r="J57" s="44"/>
    </row>
    <row r="58" spans="3:10" s="79" customFormat="1" ht="13.8">
      <c r="C58" s="75" t="s">
        <v>1220</v>
      </c>
      <c r="D58" s="76" t="s">
        <v>1321</v>
      </c>
      <c r="E58" s="77"/>
      <c r="F58" s="77"/>
      <c r="G58" s="78"/>
      <c r="H58" s="80">
        <v>0.1</v>
      </c>
      <c r="I58" s="64">
        <f>I57*H58</f>
        <v>2705</v>
      </c>
      <c r="J58" s="44"/>
    </row>
    <row r="59" spans="3:10" s="79" customFormat="1" ht="14.4" thickBot="1">
      <c r="C59" s="81" t="s">
        <v>1221</v>
      </c>
      <c r="D59" s="82" t="s">
        <v>1222</v>
      </c>
      <c r="E59" s="83"/>
      <c r="F59" s="83"/>
      <c r="G59" s="83"/>
      <c r="H59" s="84"/>
      <c r="I59" s="85">
        <f>SUM(I57:I58)</f>
        <v>29755</v>
      </c>
      <c r="J59" s="44"/>
    </row>
    <row r="60" spans="3:10" ht="13.8" thickTop="1"/>
    <row r="61" spans="3:10" s="45" customFormat="1" ht="16.5" customHeight="1" thickBot="1">
      <c r="C61" s="44" t="s">
        <v>2115</v>
      </c>
      <c r="D61" s="171" t="s">
        <v>2116</v>
      </c>
      <c r="E61" s="171"/>
      <c r="F61" s="171"/>
      <c r="G61" s="171"/>
      <c r="H61" s="171"/>
      <c r="I61" s="171"/>
      <c r="J61" s="50">
        <f>ROUNDDOWN(I73,-2)</f>
        <v>32300</v>
      </c>
    </row>
    <row r="62" spans="3:10" s="174" customFormat="1" ht="28.2" thickTop="1">
      <c r="C62" s="51" t="s">
        <v>1195</v>
      </c>
      <c r="D62" s="52" t="s">
        <v>1196</v>
      </c>
      <c r="E62" s="52" t="s">
        <v>1906</v>
      </c>
      <c r="F62" s="52" t="s">
        <v>1197</v>
      </c>
      <c r="G62" s="52" t="s">
        <v>1198</v>
      </c>
      <c r="H62" s="52" t="s">
        <v>1199</v>
      </c>
      <c r="I62" s="53" t="s">
        <v>1200</v>
      </c>
      <c r="J62" s="173"/>
    </row>
    <row r="63" spans="3:10" s="45" customFormat="1" ht="14.25" customHeight="1">
      <c r="C63" s="55" t="s">
        <v>1201</v>
      </c>
      <c r="D63" s="56" t="s">
        <v>1202</v>
      </c>
      <c r="E63" s="56"/>
      <c r="F63" s="57"/>
      <c r="G63" s="57"/>
      <c r="H63" s="57"/>
      <c r="I63" s="58"/>
      <c r="J63" s="44"/>
    </row>
    <row r="64" spans="3:10" s="45" customFormat="1" ht="13.8">
      <c r="C64" s="129">
        <v>1</v>
      </c>
      <c r="D64" s="56" t="s">
        <v>5</v>
      </c>
      <c r="E64" s="61" t="s">
        <v>1774</v>
      </c>
      <c r="F64" s="93" t="s">
        <v>2102</v>
      </c>
      <c r="G64" s="103">
        <v>0.2722</v>
      </c>
      <c r="H64" s="63">
        <f>VLOOKUP(D64,upahbahan,3,FALSE)</f>
        <v>100000</v>
      </c>
      <c r="I64" s="175">
        <f>H64*G64</f>
        <v>27220</v>
      </c>
      <c r="J64" s="44"/>
    </row>
    <row r="65" spans="3:10" s="45" customFormat="1" ht="13.8">
      <c r="C65" s="129">
        <v>2</v>
      </c>
      <c r="D65" s="56" t="s">
        <v>19</v>
      </c>
      <c r="E65" s="61" t="s">
        <v>1777</v>
      </c>
      <c r="F65" s="93" t="s">
        <v>2102</v>
      </c>
      <c r="G65" s="103">
        <v>1.3599999999999999E-2</v>
      </c>
      <c r="H65" s="63">
        <f>VLOOKUP(D65,upahbahan,3,FALSE)</f>
        <v>160000</v>
      </c>
      <c r="I65" s="175">
        <f>H65*G65</f>
        <v>2176</v>
      </c>
      <c r="J65" s="44"/>
    </row>
    <row r="66" spans="3:10" s="45" customFormat="1" ht="15.75" customHeight="1">
      <c r="C66" s="66" t="s">
        <v>1208</v>
      </c>
      <c r="D66" s="67"/>
      <c r="E66" s="67"/>
      <c r="F66" s="67"/>
      <c r="G66" s="67"/>
      <c r="H66" s="69"/>
      <c r="I66" s="64">
        <f>SUM(I64:I65)</f>
        <v>29396</v>
      </c>
      <c r="J66" s="44"/>
    </row>
    <row r="67" spans="3:10" s="45" customFormat="1" ht="13.8">
      <c r="C67" s="55" t="s">
        <v>1209</v>
      </c>
      <c r="D67" s="56" t="s">
        <v>1210</v>
      </c>
      <c r="E67" s="56"/>
      <c r="F67" s="57"/>
      <c r="G67" s="57"/>
      <c r="H67" s="57"/>
      <c r="I67" s="58"/>
      <c r="J67" s="44"/>
    </row>
    <row r="68" spans="3:10" s="45" customFormat="1" ht="15.75" customHeight="1">
      <c r="C68" s="66" t="s">
        <v>1214</v>
      </c>
      <c r="D68" s="67"/>
      <c r="E68" s="67"/>
      <c r="F68" s="67"/>
      <c r="G68" s="67"/>
      <c r="H68" s="69"/>
      <c r="I68" s="64">
        <f>SUM(I67)</f>
        <v>0</v>
      </c>
      <c r="J68" s="44"/>
    </row>
    <row r="69" spans="3:10" s="45" customFormat="1" ht="13.8">
      <c r="C69" s="55" t="s">
        <v>1215</v>
      </c>
      <c r="D69" s="56" t="s">
        <v>1216</v>
      </c>
      <c r="E69" s="56"/>
      <c r="F69" s="70"/>
      <c r="G69" s="70"/>
      <c r="H69" s="70"/>
      <c r="I69" s="58"/>
      <c r="J69" s="44"/>
    </row>
    <row r="70" spans="3:10" s="45" customFormat="1" ht="15.75" customHeight="1">
      <c r="C70" s="66" t="s">
        <v>1217</v>
      </c>
      <c r="D70" s="67"/>
      <c r="E70" s="67"/>
      <c r="F70" s="67"/>
      <c r="G70" s="67"/>
      <c r="H70" s="69"/>
      <c r="I70" s="74">
        <f>SUM(I69)</f>
        <v>0</v>
      </c>
      <c r="J70" s="44"/>
    </row>
    <row r="71" spans="3:10" s="79" customFormat="1" ht="13.8">
      <c r="C71" s="75" t="s">
        <v>1218</v>
      </c>
      <c r="D71" s="76" t="s">
        <v>1219</v>
      </c>
      <c r="E71" s="77"/>
      <c r="F71" s="77"/>
      <c r="G71" s="77"/>
      <c r="H71" s="78"/>
      <c r="I71" s="64">
        <f>I66+I68+I70</f>
        <v>29396</v>
      </c>
      <c r="J71" s="44"/>
    </row>
    <row r="72" spans="3:10" s="79" customFormat="1" ht="13.8">
      <c r="C72" s="75" t="s">
        <v>1220</v>
      </c>
      <c r="D72" s="76" t="s">
        <v>1321</v>
      </c>
      <c r="E72" s="77"/>
      <c r="F72" s="77"/>
      <c r="G72" s="78"/>
      <c r="H72" s="80">
        <v>0.1</v>
      </c>
      <c r="I72" s="64">
        <f>I71*H72</f>
        <v>2939.6000000000004</v>
      </c>
      <c r="J72" s="44"/>
    </row>
    <row r="73" spans="3:10" s="79" customFormat="1" ht="14.4" thickBot="1">
      <c r="C73" s="81" t="s">
        <v>1221</v>
      </c>
      <c r="D73" s="82" t="s">
        <v>1222</v>
      </c>
      <c r="E73" s="83"/>
      <c r="F73" s="83"/>
      <c r="G73" s="83"/>
      <c r="H73" s="84"/>
      <c r="I73" s="85">
        <f>SUM(I71:I72)</f>
        <v>32335.599999999999</v>
      </c>
      <c r="J73" s="44"/>
    </row>
    <row r="74" spans="3:10" ht="13.8" thickTop="1"/>
    <row r="76" spans="3:10" s="45" customFormat="1" ht="16.5" customHeight="1" thickBot="1">
      <c r="C76" s="44" t="s">
        <v>2120</v>
      </c>
      <c r="D76" s="171" t="s">
        <v>2121</v>
      </c>
      <c r="E76" s="171"/>
      <c r="F76" s="171"/>
      <c r="G76" s="171"/>
      <c r="H76" s="171"/>
      <c r="I76" s="171"/>
      <c r="J76" s="50">
        <f>ROUNDDOWN(I88,-2)</f>
        <v>40800</v>
      </c>
    </row>
    <row r="77" spans="3:10" s="174" customFormat="1" ht="28.2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  <c r="J77" s="173"/>
    </row>
    <row r="78" spans="3:10" s="45" customFormat="1" ht="14.25" customHeight="1">
      <c r="C78" s="55" t="s">
        <v>1201</v>
      </c>
      <c r="D78" s="56" t="s">
        <v>1202</v>
      </c>
      <c r="E78" s="56"/>
      <c r="F78" s="57"/>
      <c r="G78" s="57"/>
      <c r="H78" s="57"/>
      <c r="I78" s="58"/>
      <c r="J78" s="44"/>
    </row>
    <row r="79" spans="3:10" s="45" customFormat="1" ht="13.8">
      <c r="C79" s="129">
        <v>1</v>
      </c>
      <c r="D79" s="56" t="s">
        <v>5</v>
      </c>
      <c r="E79" s="61" t="s">
        <v>1774</v>
      </c>
      <c r="F79" s="93" t="s">
        <v>2102</v>
      </c>
      <c r="G79" s="103">
        <v>0.34399999999999997</v>
      </c>
      <c r="H79" s="63">
        <f>VLOOKUP(D79,upahbahan,3,FALSE)</f>
        <v>100000</v>
      </c>
      <c r="I79" s="175">
        <f>H79*G79</f>
        <v>34400</v>
      </c>
      <c r="J79" s="44"/>
    </row>
    <row r="80" spans="3:10" s="45" customFormat="1" ht="13.8">
      <c r="C80" s="129">
        <v>2</v>
      </c>
      <c r="D80" s="56" t="s">
        <v>19</v>
      </c>
      <c r="E80" s="61" t="s">
        <v>1777</v>
      </c>
      <c r="F80" s="93" t="s">
        <v>2102</v>
      </c>
      <c r="G80" s="103">
        <v>1.72E-2</v>
      </c>
      <c r="H80" s="63">
        <f>VLOOKUP(D80,upahbahan,3,FALSE)</f>
        <v>160000</v>
      </c>
      <c r="I80" s="175">
        <f>H80*G80</f>
        <v>2752</v>
      </c>
      <c r="J80" s="44"/>
    </row>
    <row r="81" spans="3:10" s="45" customFormat="1" ht="15.75" customHeight="1">
      <c r="C81" s="66" t="s">
        <v>1208</v>
      </c>
      <c r="D81" s="67"/>
      <c r="E81" s="67"/>
      <c r="F81" s="67"/>
      <c r="G81" s="67"/>
      <c r="H81" s="69"/>
      <c r="I81" s="64">
        <f>SUM(I79:I80)</f>
        <v>37152</v>
      </c>
      <c r="J81" s="44"/>
    </row>
    <row r="82" spans="3:10" s="45" customFormat="1" ht="13.8">
      <c r="C82" s="55" t="s">
        <v>1209</v>
      </c>
      <c r="D82" s="56" t="s">
        <v>1210</v>
      </c>
      <c r="E82" s="56"/>
      <c r="F82" s="57"/>
      <c r="G82" s="57"/>
      <c r="H82" s="57"/>
      <c r="I82" s="58"/>
      <c r="J82" s="44"/>
    </row>
    <row r="83" spans="3:10" s="45" customFormat="1" ht="15.75" customHeight="1">
      <c r="C83" s="66" t="s">
        <v>1214</v>
      </c>
      <c r="D83" s="67"/>
      <c r="E83" s="67"/>
      <c r="F83" s="67"/>
      <c r="G83" s="67"/>
      <c r="H83" s="69"/>
      <c r="I83" s="64">
        <f>SUM(I82)</f>
        <v>0</v>
      </c>
      <c r="J83" s="44"/>
    </row>
    <row r="84" spans="3:10" s="45" customFormat="1" ht="13.8">
      <c r="C84" s="55" t="s">
        <v>1215</v>
      </c>
      <c r="D84" s="56" t="s">
        <v>1216</v>
      </c>
      <c r="E84" s="56"/>
      <c r="F84" s="70"/>
      <c r="G84" s="70"/>
      <c r="H84" s="70"/>
      <c r="I84" s="58"/>
      <c r="J84" s="44"/>
    </row>
    <row r="85" spans="3:10" s="45" customFormat="1" ht="15.75" customHeight="1">
      <c r="C85" s="66" t="s">
        <v>1217</v>
      </c>
      <c r="D85" s="67"/>
      <c r="E85" s="67"/>
      <c r="F85" s="67"/>
      <c r="G85" s="67"/>
      <c r="H85" s="69"/>
      <c r="I85" s="74">
        <f>SUM(I84)</f>
        <v>0</v>
      </c>
      <c r="J85" s="44"/>
    </row>
    <row r="86" spans="3:10" s="79" customFormat="1" ht="13.8">
      <c r="C86" s="75" t="s">
        <v>1218</v>
      </c>
      <c r="D86" s="76" t="s">
        <v>1219</v>
      </c>
      <c r="E86" s="77"/>
      <c r="F86" s="77"/>
      <c r="G86" s="77"/>
      <c r="H86" s="78"/>
      <c r="I86" s="64">
        <f>I81+I83+I85</f>
        <v>37152</v>
      </c>
      <c r="J86" s="44"/>
    </row>
    <row r="87" spans="3:10" s="79" customFormat="1" ht="13.8">
      <c r="C87" s="75" t="s">
        <v>1220</v>
      </c>
      <c r="D87" s="76" t="s">
        <v>1321</v>
      </c>
      <c r="E87" s="77"/>
      <c r="F87" s="77"/>
      <c r="G87" s="78"/>
      <c r="H87" s="80">
        <v>0.1</v>
      </c>
      <c r="I87" s="64">
        <f>I86*H87</f>
        <v>3715.2000000000003</v>
      </c>
      <c r="J87" s="44"/>
    </row>
    <row r="88" spans="3:10" s="79" customFormat="1" ht="14.4" thickBot="1">
      <c r="C88" s="81" t="s">
        <v>1221</v>
      </c>
      <c r="D88" s="82" t="s">
        <v>1222</v>
      </c>
      <c r="E88" s="83"/>
      <c r="F88" s="83"/>
      <c r="G88" s="83"/>
      <c r="H88" s="84"/>
      <c r="I88" s="85">
        <f>SUM(I86:I87)</f>
        <v>40867.199999999997</v>
      </c>
      <c r="J88" s="44"/>
    </row>
    <row r="89" spans="3:10" ht="13.8" thickTop="1"/>
    <row r="90" spans="3:10" s="45" customFormat="1" ht="16.5" customHeight="1" thickBot="1">
      <c r="C90" s="44" t="s">
        <v>2122</v>
      </c>
      <c r="D90" s="171" t="s">
        <v>2123</v>
      </c>
      <c r="E90" s="171"/>
      <c r="F90" s="171"/>
      <c r="G90" s="171"/>
      <c r="H90" s="171"/>
      <c r="I90" s="171"/>
      <c r="J90" s="50">
        <f>ROUNDDOWN(I102,-2)</f>
        <v>57500</v>
      </c>
    </row>
    <row r="91" spans="3:10" s="174" customFormat="1" ht="28.2" thickTop="1">
      <c r="C91" s="51" t="s">
        <v>1195</v>
      </c>
      <c r="D91" s="52" t="s">
        <v>1196</v>
      </c>
      <c r="E91" s="52" t="s">
        <v>1906</v>
      </c>
      <c r="F91" s="52" t="s">
        <v>1197</v>
      </c>
      <c r="G91" s="52" t="s">
        <v>1198</v>
      </c>
      <c r="H91" s="52" t="s">
        <v>1199</v>
      </c>
      <c r="I91" s="53" t="s">
        <v>1200</v>
      </c>
      <c r="J91" s="173"/>
    </row>
    <row r="92" spans="3:10" s="45" customFormat="1" ht="14.25" customHeight="1">
      <c r="C92" s="55" t="s">
        <v>1201</v>
      </c>
      <c r="D92" s="56" t="s">
        <v>1202</v>
      </c>
      <c r="E92" s="56"/>
      <c r="F92" s="57"/>
      <c r="G92" s="57"/>
      <c r="H92" s="57"/>
      <c r="I92" s="58"/>
      <c r="J92" s="44"/>
    </row>
    <row r="93" spans="3:10" s="45" customFormat="1" ht="13.8">
      <c r="C93" s="129">
        <v>1</v>
      </c>
      <c r="D93" s="56" t="s">
        <v>5</v>
      </c>
      <c r="E93" s="61" t="s">
        <v>1774</v>
      </c>
      <c r="F93" s="93" t="s">
        <v>2102</v>
      </c>
      <c r="G93" s="103">
        <v>0.48430000000000001</v>
      </c>
      <c r="H93" s="63">
        <f>VLOOKUP(D93,upahbahan,3,FALSE)</f>
        <v>100000</v>
      </c>
      <c r="I93" s="175">
        <f>H93*G93</f>
        <v>48430</v>
      </c>
      <c r="J93" s="44"/>
    </row>
    <row r="94" spans="3:10" s="45" customFormat="1" ht="13.8">
      <c r="C94" s="129">
        <v>2</v>
      </c>
      <c r="D94" s="56" t="s">
        <v>19</v>
      </c>
      <c r="E94" s="61" t="s">
        <v>1777</v>
      </c>
      <c r="F94" s="93" t="s">
        <v>2102</v>
      </c>
      <c r="G94" s="103">
        <v>2.4199999999999999E-2</v>
      </c>
      <c r="H94" s="63">
        <f>VLOOKUP(D94,upahbahan,3,FALSE)</f>
        <v>160000</v>
      </c>
      <c r="I94" s="175">
        <f>H94*G94</f>
        <v>3872</v>
      </c>
      <c r="J94" s="44"/>
    </row>
    <row r="95" spans="3:10" s="45" customFormat="1" ht="15.75" customHeight="1">
      <c r="C95" s="66" t="s">
        <v>1208</v>
      </c>
      <c r="D95" s="67"/>
      <c r="E95" s="67"/>
      <c r="F95" s="67"/>
      <c r="G95" s="67"/>
      <c r="H95" s="69"/>
      <c r="I95" s="64">
        <f>SUM(I93:I94)</f>
        <v>52302</v>
      </c>
      <c r="J95" s="44"/>
    </row>
    <row r="96" spans="3:10" s="45" customFormat="1" ht="13.8">
      <c r="C96" s="55" t="s">
        <v>1209</v>
      </c>
      <c r="D96" s="56" t="s">
        <v>1210</v>
      </c>
      <c r="E96" s="56"/>
      <c r="F96" s="57"/>
      <c r="G96" s="57"/>
      <c r="H96" s="57"/>
      <c r="I96" s="58"/>
      <c r="J96" s="44"/>
    </row>
    <row r="97" spans="3:10" s="45" customFormat="1" ht="15.75" customHeight="1">
      <c r="C97" s="66" t="s">
        <v>1214</v>
      </c>
      <c r="D97" s="67"/>
      <c r="E97" s="67"/>
      <c r="F97" s="67"/>
      <c r="G97" s="67"/>
      <c r="H97" s="69"/>
      <c r="I97" s="64">
        <f>SUM(I96)</f>
        <v>0</v>
      </c>
      <c r="J97" s="44"/>
    </row>
    <row r="98" spans="3:10" s="45" customFormat="1" ht="13.8">
      <c r="C98" s="55" t="s">
        <v>1215</v>
      </c>
      <c r="D98" s="56" t="s">
        <v>1216</v>
      </c>
      <c r="E98" s="56"/>
      <c r="F98" s="70"/>
      <c r="G98" s="70"/>
      <c r="H98" s="70"/>
      <c r="I98" s="58"/>
      <c r="J98" s="44"/>
    </row>
    <row r="99" spans="3:10" s="45" customFormat="1" ht="15.75" customHeight="1">
      <c r="C99" s="66" t="s">
        <v>1217</v>
      </c>
      <c r="D99" s="67"/>
      <c r="E99" s="67"/>
      <c r="F99" s="67"/>
      <c r="G99" s="67"/>
      <c r="H99" s="69"/>
      <c r="I99" s="74">
        <f>SUM(I98)</f>
        <v>0</v>
      </c>
      <c r="J99" s="44"/>
    </row>
    <row r="100" spans="3:10" s="79" customFormat="1" ht="13.8">
      <c r="C100" s="75" t="s">
        <v>1218</v>
      </c>
      <c r="D100" s="76" t="s">
        <v>1219</v>
      </c>
      <c r="E100" s="77"/>
      <c r="F100" s="77"/>
      <c r="G100" s="77"/>
      <c r="H100" s="78"/>
      <c r="I100" s="64">
        <f>I95+I97+I99</f>
        <v>52302</v>
      </c>
      <c r="J100" s="44"/>
    </row>
    <row r="101" spans="3:10" s="79" customFormat="1" ht="13.8">
      <c r="C101" s="75" t="s">
        <v>1220</v>
      </c>
      <c r="D101" s="76" t="s">
        <v>1321</v>
      </c>
      <c r="E101" s="77"/>
      <c r="F101" s="77"/>
      <c r="G101" s="78"/>
      <c r="H101" s="80">
        <v>0.1</v>
      </c>
      <c r="I101" s="64">
        <f>I100*H101</f>
        <v>5230.2000000000007</v>
      </c>
      <c r="J101" s="44"/>
    </row>
    <row r="102" spans="3:10" s="79" customFormat="1" ht="14.4" thickBot="1">
      <c r="C102" s="81" t="s">
        <v>1221</v>
      </c>
      <c r="D102" s="82" t="s">
        <v>1222</v>
      </c>
      <c r="E102" s="83"/>
      <c r="F102" s="83"/>
      <c r="G102" s="83"/>
      <c r="H102" s="84"/>
      <c r="I102" s="85">
        <f>SUM(I100:I101)</f>
        <v>57532.2</v>
      </c>
      <c r="J102" s="44"/>
    </row>
    <row r="103" spans="3:10" ht="13.8" thickTop="1"/>
    <row r="105" spans="3:10" s="45" customFormat="1" ht="16.5" customHeight="1" thickBot="1">
      <c r="C105" s="44" t="s">
        <v>2124</v>
      </c>
      <c r="D105" s="171" t="s">
        <v>2125</v>
      </c>
      <c r="E105" s="171"/>
      <c r="F105" s="171"/>
      <c r="G105" s="171"/>
      <c r="H105" s="171"/>
      <c r="I105" s="171"/>
      <c r="J105" s="50">
        <f>ROUNDDOWN(I117,-2)</f>
        <v>77300</v>
      </c>
    </row>
    <row r="106" spans="3:10" s="174" customFormat="1" ht="28.2" thickTop="1">
      <c r="C106" s="51" t="s">
        <v>1195</v>
      </c>
      <c r="D106" s="52" t="s">
        <v>1196</v>
      </c>
      <c r="E106" s="52" t="s">
        <v>1906</v>
      </c>
      <c r="F106" s="52" t="s">
        <v>1197</v>
      </c>
      <c r="G106" s="52" t="s">
        <v>1198</v>
      </c>
      <c r="H106" s="52" t="s">
        <v>1199</v>
      </c>
      <c r="I106" s="53" t="s">
        <v>1200</v>
      </c>
      <c r="J106" s="173"/>
    </row>
    <row r="107" spans="3:10" s="45" customFormat="1" ht="14.25" customHeight="1">
      <c r="C107" s="55" t="s">
        <v>1201</v>
      </c>
      <c r="D107" s="56" t="s">
        <v>1202</v>
      </c>
      <c r="E107" s="56"/>
      <c r="F107" s="57"/>
      <c r="G107" s="57"/>
      <c r="H107" s="57"/>
      <c r="I107" s="58"/>
      <c r="J107" s="44"/>
    </row>
    <row r="108" spans="3:10" s="45" customFormat="1" ht="13.8">
      <c r="C108" s="129">
        <v>1</v>
      </c>
      <c r="D108" s="56" t="s">
        <v>5</v>
      </c>
      <c r="E108" s="61" t="s">
        <v>1774</v>
      </c>
      <c r="F108" s="93" t="s">
        <v>2102</v>
      </c>
      <c r="G108" s="103">
        <v>0.65129999999999999</v>
      </c>
      <c r="H108" s="63">
        <f>VLOOKUP(D108,upahbahan,3,FALSE)</f>
        <v>100000</v>
      </c>
      <c r="I108" s="175">
        <f>H108*G108</f>
        <v>65130</v>
      </c>
      <c r="J108" s="44"/>
    </row>
    <row r="109" spans="3:10" s="45" customFormat="1" ht="13.8">
      <c r="C109" s="129">
        <v>2</v>
      </c>
      <c r="D109" s="56" t="s">
        <v>19</v>
      </c>
      <c r="E109" s="61" t="s">
        <v>1777</v>
      </c>
      <c r="F109" s="93" t="s">
        <v>2102</v>
      </c>
      <c r="G109" s="103">
        <v>3.2500000000000001E-2</v>
      </c>
      <c r="H109" s="63">
        <f>VLOOKUP(D109,upahbahan,3,FALSE)</f>
        <v>160000</v>
      </c>
      <c r="I109" s="175">
        <f>H109*G109</f>
        <v>5200</v>
      </c>
      <c r="J109" s="44"/>
    </row>
    <row r="110" spans="3:10" s="45" customFormat="1" ht="15.75" customHeight="1">
      <c r="C110" s="66" t="s">
        <v>1208</v>
      </c>
      <c r="D110" s="67"/>
      <c r="E110" s="67"/>
      <c r="F110" s="67"/>
      <c r="G110" s="67"/>
      <c r="H110" s="69"/>
      <c r="I110" s="64">
        <f>SUM(I108:I109)</f>
        <v>70330</v>
      </c>
      <c r="J110" s="44"/>
    </row>
    <row r="111" spans="3:10" s="45" customFormat="1" ht="13.8">
      <c r="C111" s="55" t="s">
        <v>1209</v>
      </c>
      <c r="D111" s="56" t="s">
        <v>1210</v>
      </c>
      <c r="E111" s="56"/>
      <c r="F111" s="57"/>
      <c r="G111" s="57"/>
      <c r="H111" s="57"/>
      <c r="I111" s="58"/>
      <c r="J111" s="44"/>
    </row>
    <row r="112" spans="3:10" s="45" customFormat="1" ht="15.75" customHeight="1">
      <c r="C112" s="66" t="s">
        <v>1214</v>
      </c>
      <c r="D112" s="67"/>
      <c r="E112" s="67"/>
      <c r="F112" s="67"/>
      <c r="G112" s="67"/>
      <c r="H112" s="69"/>
      <c r="I112" s="64">
        <f>SUM(I111)</f>
        <v>0</v>
      </c>
      <c r="J112" s="44"/>
    </row>
    <row r="113" spans="3:10" s="45" customFormat="1" ht="13.8">
      <c r="C113" s="55" t="s">
        <v>1215</v>
      </c>
      <c r="D113" s="56" t="s">
        <v>1216</v>
      </c>
      <c r="E113" s="56"/>
      <c r="F113" s="70"/>
      <c r="G113" s="70"/>
      <c r="H113" s="70"/>
      <c r="I113" s="58"/>
      <c r="J113" s="44"/>
    </row>
    <row r="114" spans="3:10" s="45" customFormat="1" ht="15.75" customHeight="1">
      <c r="C114" s="66" t="s">
        <v>1217</v>
      </c>
      <c r="D114" s="67"/>
      <c r="E114" s="67"/>
      <c r="F114" s="67"/>
      <c r="G114" s="67"/>
      <c r="H114" s="69"/>
      <c r="I114" s="74">
        <f>SUM(I113)</f>
        <v>0</v>
      </c>
      <c r="J114" s="44"/>
    </row>
    <row r="115" spans="3:10" s="79" customFormat="1" ht="13.8">
      <c r="C115" s="75" t="s">
        <v>1218</v>
      </c>
      <c r="D115" s="76" t="s">
        <v>1219</v>
      </c>
      <c r="E115" s="77"/>
      <c r="F115" s="77"/>
      <c r="G115" s="77"/>
      <c r="H115" s="78"/>
      <c r="I115" s="64">
        <f>I110+I112+I114</f>
        <v>70330</v>
      </c>
      <c r="J115" s="44"/>
    </row>
    <row r="116" spans="3:10" s="79" customFormat="1" ht="13.8">
      <c r="C116" s="75" t="s">
        <v>1220</v>
      </c>
      <c r="D116" s="76" t="s">
        <v>1321</v>
      </c>
      <c r="E116" s="77"/>
      <c r="F116" s="77"/>
      <c r="G116" s="78"/>
      <c r="H116" s="80">
        <v>0.1</v>
      </c>
      <c r="I116" s="64">
        <f>I115*H116</f>
        <v>7033</v>
      </c>
      <c r="J116" s="44"/>
    </row>
    <row r="117" spans="3:10" s="79" customFormat="1" ht="14.4" thickBot="1">
      <c r="C117" s="81" t="s">
        <v>1221</v>
      </c>
      <c r="D117" s="82" t="s">
        <v>1222</v>
      </c>
      <c r="E117" s="83"/>
      <c r="F117" s="83"/>
      <c r="G117" s="83"/>
      <c r="H117" s="84"/>
      <c r="I117" s="85">
        <f>SUM(I115:I116)</f>
        <v>77363</v>
      </c>
      <c r="J117" s="44"/>
    </row>
    <row r="118" spans="3:10" ht="13.8" thickTop="1"/>
    <row r="120" spans="3:10" s="45" customFormat="1" ht="16.5" customHeight="1" thickBot="1">
      <c r="C120" s="44" t="s">
        <v>2126</v>
      </c>
      <c r="D120" s="171" t="s">
        <v>2127</v>
      </c>
      <c r="E120" s="171"/>
      <c r="F120" s="171"/>
      <c r="G120" s="171"/>
      <c r="H120" s="171"/>
      <c r="I120" s="171"/>
      <c r="J120" s="50">
        <f>ROUNDDOWN(I132,-2)</f>
        <v>100600</v>
      </c>
    </row>
    <row r="121" spans="3:10" s="174" customFormat="1" ht="28.2" thickTop="1">
      <c r="C121" s="51" t="s">
        <v>1195</v>
      </c>
      <c r="D121" s="52" t="s">
        <v>1196</v>
      </c>
      <c r="E121" s="52" t="s">
        <v>1906</v>
      </c>
      <c r="F121" s="52" t="s">
        <v>1197</v>
      </c>
      <c r="G121" s="52" t="s">
        <v>1198</v>
      </c>
      <c r="H121" s="52" t="s">
        <v>1199</v>
      </c>
      <c r="I121" s="53" t="s">
        <v>1200</v>
      </c>
      <c r="J121" s="173"/>
    </row>
    <row r="122" spans="3:10" s="45" customFormat="1" ht="14.25" customHeight="1">
      <c r="C122" s="55" t="s">
        <v>1201</v>
      </c>
      <c r="D122" s="56" t="s">
        <v>1202</v>
      </c>
      <c r="E122" s="56"/>
      <c r="F122" s="57"/>
      <c r="G122" s="57"/>
      <c r="H122" s="57"/>
      <c r="I122" s="58"/>
      <c r="J122" s="44"/>
    </row>
    <row r="123" spans="3:10" s="45" customFormat="1" ht="13.8">
      <c r="C123" s="129">
        <v>1</v>
      </c>
      <c r="D123" s="56" t="s">
        <v>5</v>
      </c>
      <c r="E123" s="61" t="s">
        <v>1774</v>
      </c>
      <c r="F123" s="93" t="s">
        <v>2102</v>
      </c>
      <c r="G123" s="103">
        <v>0.84750000000000003</v>
      </c>
      <c r="H123" s="63">
        <f>VLOOKUP(D123,upahbahan,3,FALSE)</f>
        <v>100000</v>
      </c>
      <c r="I123" s="175">
        <f>H123*G123</f>
        <v>84750</v>
      </c>
      <c r="J123" s="44"/>
    </row>
    <row r="124" spans="3:10" s="45" customFormat="1" ht="13.8">
      <c r="C124" s="129">
        <v>2</v>
      </c>
      <c r="D124" s="56" t="s">
        <v>19</v>
      </c>
      <c r="E124" s="61" t="s">
        <v>1777</v>
      </c>
      <c r="F124" s="93" t="s">
        <v>2102</v>
      </c>
      <c r="G124" s="103">
        <v>4.2299999999999997E-2</v>
      </c>
      <c r="H124" s="63">
        <f>VLOOKUP(D124,upahbahan,3,FALSE)</f>
        <v>160000</v>
      </c>
      <c r="I124" s="175">
        <f>H124*G124</f>
        <v>6768</v>
      </c>
      <c r="J124" s="44"/>
    </row>
    <row r="125" spans="3:10" s="45" customFormat="1" ht="15.75" customHeight="1">
      <c r="C125" s="66" t="s">
        <v>1208</v>
      </c>
      <c r="D125" s="67"/>
      <c r="E125" s="67"/>
      <c r="F125" s="67"/>
      <c r="G125" s="67"/>
      <c r="H125" s="69"/>
      <c r="I125" s="64">
        <f>SUM(I123:I124)</f>
        <v>91518</v>
      </c>
      <c r="J125" s="44"/>
    </row>
    <row r="126" spans="3:10" s="45" customFormat="1" ht="13.8">
      <c r="C126" s="55" t="s">
        <v>1209</v>
      </c>
      <c r="D126" s="56" t="s">
        <v>1210</v>
      </c>
      <c r="E126" s="56"/>
      <c r="F126" s="57"/>
      <c r="G126" s="57"/>
      <c r="H126" s="57"/>
      <c r="I126" s="58"/>
      <c r="J126" s="44"/>
    </row>
    <row r="127" spans="3:10" s="45" customFormat="1" ht="15.75" customHeight="1">
      <c r="C127" s="66" t="s">
        <v>1214</v>
      </c>
      <c r="D127" s="67"/>
      <c r="E127" s="67"/>
      <c r="F127" s="67"/>
      <c r="G127" s="67"/>
      <c r="H127" s="69"/>
      <c r="I127" s="64">
        <f>SUM(I126)</f>
        <v>0</v>
      </c>
      <c r="J127" s="44"/>
    </row>
    <row r="128" spans="3:10" s="45" customFormat="1" ht="13.8">
      <c r="C128" s="55" t="s">
        <v>1215</v>
      </c>
      <c r="D128" s="56" t="s">
        <v>1216</v>
      </c>
      <c r="E128" s="56"/>
      <c r="F128" s="70"/>
      <c r="G128" s="70"/>
      <c r="H128" s="70"/>
      <c r="I128" s="58"/>
      <c r="J128" s="44"/>
    </row>
    <row r="129" spans="3:10" s="45" customFormat="1" ht="15.75" customHeight="1">
      <c r="C129" s="66" t="s">
        <v>1217</v>
      </c>
      <c r="D129" s="67"/>
      <c r="E129" s="67"/>
      <c r="F129" s="67"/>
      <c r="G129" s="67"/>
      <c r="H129" s="69"/>
      <c r="I129" s="74">
        <f>SUM(I128)</f>
        <v>0</v>
      </c>
      <c r="J129" s="44"/>
    </row>
    <row r="130" spans="3:10" s="79" customFormat="1" ht="13.8">
      <c r="C130" s="75" t="s">
        <v>1218</v>
      </c>
      <c r="D130" s="76" t="s">
        <v>1219</v>
      </c>
      <c r="E130" s="77"/>
      <c r="F130" s="77"/>
      <c r="G130" s="77"/>
      <c r="H130" s="78"/>
      <c r="I130" s="64">
        <f>I125+I127+I129</f>
        <v>91518</v>
      </c>
      <c r="J130" s="44"/>
    </row>
    <row r="131" spans="3:10" s="79" customFormat="1" ht="13.8">
      <c r="C131" s="75" t="s">
        <v>1220</v>
      </c>
      <c r="D131" s="76" t="s">
        <v>1321</v>
      </c>
      <c r="E131" s="77"/>
      <c r="F131" s="77"/>
      <c r="G131" s="78"/>
      <c r="H131" s="80">
        <v>0.1</v>
      </c>
      <c r="I131" s="64">
        <f>I130*H131</f>
        <v>9151.8000000000011</v>
      </c>
      <c r="J131" s="44"/>
    </row>
    <row r="132" spans="3:10" s="79" customFormat="1" ht="14.4" thickBot="1">
      <c r="C132" s="81" t="s">
        <v>1221</v>
      </c>
      <c r="D132" s="82" t="s">
        <v>1222</v>
      </c>
      <c r="E132" s="83"/>
      <c r="F132" s="83"/>
      <c r="G132" s="83"/>
      <c r="H132" s="84"/>
      <c r="I132" s="85">
        <f>SUM(I130:I131)</f>
        <v>100669.8</v>
      </c>
      <c r="J132" s="44"/>
    </row>
    <row r="133" spans="3:10" ht="13.8" thickTop="1"/>
    <row r="135" spans="3:10" s="45" customFormat="1" ht="16.5" customHeight="1" thickBot="1">
      <c r="C135" s="44" t="s">
        <v>2128</v>
      </c>
      <c r="D135" s="171" t="s">
        <v>2129</v>
      </c>
      <c r="E135" s="171"/>
      <c r="F135" s="171"/>
      <c r="G135" s="171"/>
      <c r="H135" s="171"/>
      <c r="I135" s="171"/>
      <c r="J135" s="50">
        <f>ROUNDDOWN(I147,-2)</f>
        <v>129900</v>
      </c>
    </row>
    <row r="136" spans="3:10" s="174" customFormat="1" ht="28.2" thickTop="1">
      <c r="C136" s="51" t="s">
        <v>1195</v>
      </c>
      <c r="D136" s="52" t="s">
        <v>1196</v>
      </c>
      <c r="E136" s="52" t="s">
        <v>1906</v>
      </c>
      <c r="F136" s="52" t="s">
        <v>1197</v>
      </c>
      <c r="G136" s="52" t="s">
        <v>1198</v>
      </c>
      <c r="H136" s="52" t="s">
        <v>1199</v>
      </c>
      <c r="I136" s="53" t="s">
        <v>1200</v>
      </c>
      <c r="J136" s="173"/>
    </row>
    <row r="137" spans="3:10" s="45" customFormat="1" ht="14.25" customHeight="1">
      <c r="C137" s="55" t="s">
        <v>1201</v>
      </c>
      <c r="D137" s="56" t="s">
        <v>1202</v>
      </c>
      <c r="E137" s="56"/>
      <c r="F137" s="57"/>
      <c r="G137" s="57"/>
      <c r="H137" s="57"/>
      <c r="I137" s="58"/>
      <c r="J137" s="44"/>
    </row>
    <row r="138" spans="3:10" s="45" customFormat="1" ht="13.8">
      <c r="C138" s="129">
        <v>1</v>
      </c>
      <c r="D138" s="56" t="s">
        <v>5</v>
      </c>
      <c r="E138" s="61" t="s">
        <v>1774</v>
      </c>
      <c r="F138" s="93" t="s">
        <v>2102</v>
      </c>
      <c r="G138" s="103">
        <v>1.0938000000000001</v>
      </c>
      <c r="H138" s="63">
        <f>VLOOKUP(D138,upahbahan,3,FALSE)</f>
        <v>100000</v>
      </c>
      <c r="I138" s="175">
        <f>H138*G138</f>
        <v>109380.00000000001</v>
      </c>
      <c r="J138" s="44"/>
    </row>
    <row r="139" spans="3:10" s="45" customFormat="1" ht="13.8">
      <c r="C139" s="129">
        <v>2</v>
      </c>
      <c r="D139" s="56" t="s">
        <v>19</v>
      </c>
      <c r="E139" s="61" t="s">
        <v>1777</v>
      </c>
      <c r="F139" s="93" t="s">
        <v>2102</v>
      </c>
      <c r="G139" s="103">
        <v>5.4600000000000003E-2</v>
      </c>
      <c r="H139" s="63">
        <f>VLOOKUP(D139,upahbahan,3,FALSE)</f>
        <v>160000</v>
      </c>
      <c r="I139" s="175">
        <f>H139*G139</f>
        <v>8736</v>
      </c>
      <c r="J139" s="44"/>
    </row>
    <row r="140" spans="3:10" s="45" customFormat="1" ht="15.75" customHeight="1">
      <c r="C140" s="66" t="s">
        <v>1208</v>
      </c>
      <c r="D140" s="67"/>
      <c r="E140" s="67"/>
      <c r="F140" s="67"/>
      <c r="G140" s="67"/>
      <c r="H140" s="69"/>
      <c r="I140" s="64">
        <f>SUM(I138:I139)</f>
        <v>118116.00000000001</v>
      </c>
      <c r="J140" s="44"/>
    </row>
    <row r="141" spans="3:10" s="45" customFormat="1" ht="13.8">
      <c r="C141" s="55" t="s">
        <v>1209</v>
      </c>
      <c r="D141" s="56" t="s">
        <v>1210</v>
      </c>
      <c r="E141" s="56"/>
      <c r="F141" s="57"/>
      <c r="G141" s="57"/>
      <c r="H141" s="57"/>
      <c r="I141" s="58"/>
      <c r="J141" s="44"/>
    </row>
    <row r="142" spans="3:10" s="45" customFormat="1" ht="15.75" customHeight="1">
      <c r="C142" s="66" t="s">
        <v>1214</v>
      </c>
      <c r="D142" s="67"/>
      <c r="E142" s="67"/>
      <c r="F142" s="67"/>
      <c r="G142" s="67"/>
      <c r="H142" s="69"/>
      <c r="I142" s="64">
        <f>SUM(I141)</f>
        <v>0</v>
      </c>
      <c r="J142" s="44"/>
    </row>
    <row r="143" spans="3:10" s="45" customFormat="1" ht="13.8">
      <c r="C143" s="55" t="s">
        <v>1215</v>
      </c>
      <c r="D143" s="56" t="s">
        <v>1216</v>
      </c>
      <c r="E143" s="56"/>
      <c r="F143" s="70"/>
      <c r="G143" s="70"/>
      <c r="H143" s="70"/>
      <c r="I143" s="58"/>
      <c r="J143" s="44"/>
    </row>
    <row r="144" spans="3:10" s="45" customFormat="1" ht="15.75" customHeight="1">
      <c r="C144" s="66" t="s">
        <v>1217</v>
      </c>
      <c r="D144" s="67"/>
      <c r="E144" s="67"/>
      <c r="F144" s="67"/>
      <c r="G144" s="67"/>
      <c r="H144" s="69"/>
      <c r="I144" s="74">
        <f>SUM(I143)</f>
        <v>0</v>
      </c>
      <c r="J144" s="44"/>
    </row>
    <row r="145" spans="3:10" s="79" customFormat="1" ht="13.8">
      <c r="C145" s="75" t="s">
        <v>1218</v>
      </c>
      <c r="D145" s="76" t="s">
        <v>1219</v>
      </c>
      <c r="E145" s="77"/>
      <c r="F145" s="77"/>
      <c r="G145" s="77"/>
      <c r="H145" s="78"/>
      <c r="I145" s="64">
        <f>I140+I142+I144</f>
        <v>118116.00000000001</v>
      </c>
      <c r="J145" s="44"/>
    </row>
    <row r="146" spans="3:10" s="79" customFormat="1" ht="13.8">
      <c r="C146" s="75" t="s">
        <v>1220</v>
      </c>
      <c r="D146" s="76" t="s">
        <v>1321</v>
      </c>
      <c r="E146" s="77"/>
      <c r="F146" s="77"/>
      <c r="G146" s="78"/>
      <c r="H146" s="80">
        <v>0.1</v>
      </c>
      <c r="I146" s="64">
        <f>I145*H146</f>
        <v>11811.600000000002</v>
      </c>
      <c r="J146" s="44"/>
    </row>
    <row r="147" spans="3:10" s="79" customFormat="1" ht="14.4" thickBot="1">
      <c r="C147" s="81" t="s">
        <v>1221</v>
      </c>
      <c r="D147" s="82" t="s">
        <v>1222</v>
      </c>
      <c r="E147" s="83"/>
      <c r="F147" s="83"/>
      <c r="G147" s="83"/>
      <c r="H147" s="84"/>
      <c r="I147" s="85">
        <f>SUM(I145:I146)</f>
        <v>129927.60000000002</v>
      </c>
      <c r="J147" s="44"/>
    </row>
    <row r="148" spans="3:10" ht="13.8" thickTop="1"/>
    <row r="150" spans="3:10" s="45" customFormat="1" ht="16.5" customHeight="1" thickBot="1">
      <c r="C150" s="44" t="s">
        <v>2130</v>
      </c>
      <c r="D150" s="171" t="s">
        <v>2131</v>
      </c>
      <c r="E150" s="171"/>
      <c r="F150" s="171"/>
      <c r="G150" s="171"/>
      <c r="H150" s="171"/>
      <c r="I150" s="171"/>
      <c r="J150" s="50">
        <f>ROUNDDOWN(I162,-2)</f>
        <v>163600</v>
      </c>
    </row>
    <row r="151" spans="3:10" s="174" customFormat="1" ht="28.2" thickTop="1">
      <c r="C151" s="51" t="s">
        <v>1195</v>
      </c>
      <c r="D151" s="52" t="s">
        <v>1196</v>
      </c>
      <c r="E151" s="52" t="s">
        <v>1906</v>
      </c>
      <c r="F151" s="52" t="s">
        <v>1197</v>
      </c>
      <c r="G151" s="52" t="s">
        <v>1198</v>
      </c>
      <c r="H151" s="52" t="s">
        <v>1199</v>
      </c>
      <c r="I151" s="53" t="s">
        <v>1200</v>
      </c>
      <c r="J151" s="173"/>
    </row>
    <row r="152" spans="3:10" s="45" customFormat="1" ht="14.25" customHeight="1">
      <c r="C152" s="55" t="s">
        <v>1201</v>
      </c>
      <c r="D152" s="56" t="s">
        <v>1202</v>
      </c>
      <c r="E152" s="56"/>
      <c r="F152" s="57"/>
      <c r="G152" s="57"/>
      <c r="H152" s="57"/>
      <c r="I152" s="58"/>
      <c r="J152" s="44"/>
    </row>
    <row r="153" spans="3:10" s="45" customFormat="1" ht="13.8">
      <c r="C153" s="129">
        <v>1</v>
      </c>
      <c r="D153" s="56" t="s">
        <v>5</v>
      </c>
      <c r="E153" s="61" t="s">
        <v>1774</v>
      </c>
      <c r="F153" s="93" t="s">
        <v>2102</v>
      </c>
      <c r="G153" s="103">
        <v>1.3776999999999999</v>
      </c>
      <c r="H153" s="63">
        <f>VLOOKUP(D153,upahbahan,3,FALSE)</f>
        <v>100000</v>
      </c>
      <c r="I153" s="175">
        <f>H153*G153</f>
        <v>137770</v>
      </c>
      <c r="J153" s="44"/>
    </row>
    <row r="154" spans="3:10" s="45" customFormat="1" ht="13.8">
      <c r="C154" s="129">
        <v>2</v>
      </c>
      <c r="D154" s="56" t="s">
        <v>19</v>
      </c>
      <c r="E154" s="61" t="s">
        <v>1777</v>
      </c>
      <c r="F154" s="93" t="s">
        <v>2102</v>
      </c>
      <c r="G154" s="103">
        <v>6.88E-2</v>
      </c>
      <c r="H154" s="63">
        <f>VLOOKUP(D154,upahbahan,3,FALSE)</f>
        <v>160000</v>
      </c>
      <c r="I154" s="175">
        <f>H154*G154</f>
        <v>11008</v>
      </c>
      <c r="J154" s="44"/>
    </row>
    <row r="155" spans="3:10" s="45" customFormat="1" ht="15.75" customHeight="1">
      <c r="C155" s="66" t="s">
        <v>1208</v>
      </c>
      <c r="D155" s="67"/>
      <c r="E155" s="67"/>
      <c r="F155" s="67"/>
      <c r="G155" s="67"/>
      <c r="H155" s="69"/>
      <c r="I155" s="64">
        <f>SUM(I153:I154)</f>
        <v>148778</v>
      </c>
      <c r="J155" s="44"/>
    </row>
    <row r="156" spans="3:10" s="45" customFormat="1" ht="13.8">
      <c r="C156" s="55" t="s">
        <v>1209</v>
      </c>
      <c r="D156" s="56" t="s">
        <v>1210</v>
      </c>
      <c r="E156" s="56"/>
      <c r="F156" s="57"/>
      <c r="G156" s="57"/>
      <c r="H156" s="57"/>
      <c r="I156" s="58"/>
      <c r="J156" s="44"/>
    </row>
    <row r="157" spans="3:10" s="45" customFormat="1" ht="15.75" customHeight="1">
      <c r="C157" s="66" t="s">
        <v>1214</v>
      </c>
      <c r="D157" s="67"/>
      <c r="E157" s="67"/>
      <c r="F157" s="67"/>
      <c r="G157" s="67"/>
      <c r="H157" s="69"/>
      <c r="I157" s="64">
        <f>SUM(I156)</f>
        <v>0</v>
      </c>
      <c r="J157" s="44"/>
    </row>
    <row r="158" spans="3:10" s="45" customFormat="1" ht="13.8">
      <c r="C158" s="55" t="s">
        <v>1215</v>
      </c>
      <c r="D158" s="56" t="s">
        <v>1216</v>
      </c>
      <c r="E158" s="56"/>
      <c r="F158" s="70"/>
      <c r="G158" s="70"/>
      <c r="H158" s="70"/>
      <c r="I158" s="58"/>
      <c r="J158" s="44"/>
    </row>
    <row r="159" spans="3:10" s="45" customFormat="1" ht="15.75" customHeight="1">
      <c r="C159" s="66" t="s">
        <v>1217</v>
      </c>
      <c r="D159" s="67"/>
      <c r="E159" s="67"/>
      <c r="F159" s="67"/>
      <c r="G159" s="67"/>
      <c r="H159" s="69"/>
      <c r="I159" s="74">
        <f>SUM(I158)</f>
        <v>0</v>
      </c>
      <c r="J159" s="44"/>
    </row>
    <row r="160" spans="3:10" s="79" customFormat="1" ht="13.8">
      <c r="C160" s="75" t="s">
        <v>1218</v>
      </c>
      <c r="D160" s="76" t="s">
        <v>1219</v>
      </c>
      <c r="E160" s="77"/>
      <c r="F160" s="77"/>
      <c r="G160" s="77"/>
      <c r="H160" s="78"/>
      <c r="I160" s="64">
        <f>I155+I157+I159</f>
        <v>148778</v>
      </c>
      <c r="J160" s="44"/>
    </row>
    <row r="161" spans="3:10" s="79" customFormat="1" ht="13.8">
      <c r="C161" s="75" t="s">
        <v>1220</v>
      </c>
      <c r="D161" s="76" t="s">
        <v>1321</v>
      </c>
      <c r="E161" s="77"/>
      <c r="F161" s="77"/>
      <c r="G161" s="78"/>
      <c r="H161" s="80">
        <v>0.1</v>
      </c>
      <c r="I161" s="64">
        <f>I160*H161</f>
        <v>14877.800000000001</v>
      </c>
      <c r="J161" s="44"/>
    </row>
    <row r="162" spans="3:10" s="79" customFormat="1" ht="14.4" thickBot="1">
      <c r="C162" s="81" t="s">
        <v>1221</v>
      </c>
      <c r="D162" s="82" t="s">
        <v>1222</v>
      </c>
      <c r="E162" s="83"/>
      <c r="F162" s="83"/>
      <c r="G162" s="83"/>
      <c r="H162" s="84"/>
      <c r="I162" s="85">
        <f>SUM(I160:I161)</f>
        <v>163655.79999999999</v>
      </c>
      <c r="J162" s="44"/>
    </row>
    <row r="163" spans="3:10" ht="13.8" thickTop="1"/>
    <row r="165" spans="3:10" s="45" customFormat="1" ht="16.5" customHeight="1" thickBot="1">
      <c r="C165" s="44" t="s">
        <v>2132</v>
      </c>
      <c r="D165" s="171" t="s">
        <v>2133</v>
      </c>
      <c r="E165" s="171"/>
      <c r="F165" s="171"/>
      <c r="G165" s="171"/>
      <c r="H165" s="171"/>
      <c r="I165" s="171"/>
      <c r="J165" s="50">
        <f>ROUNDDOWN(I177,-2)</f>
        <v>32600</v>
      </c>
    </row>
    <row r="166" spans="3:10" s="174" customFormat="1" ht="28.2" thickTop="1">
      <c r="C166" s="51" t="s">
        <v>1195</v>
      </c>
      <c r="D166" s="52" t="s">
        <v>1196</v>
      </c>
      <c r="E166" s="52" t="s">
        <v>1906</v>
      </c>
      <c r="F166" s="52" t="s">
        <v>1197</v>
      </c>
      <c r="G166" s="52" t="s">
        <v>1198</v>
      </c>
      <c r="H166" s="52" t="s">
        <v>1199</v>
      </c>
      <c r="I166" s="53" t="s">
        <v>1200</v>
      </c>
      <c r="J166" s="173"/>
    </row>
    <row r="167" spans="3:10" s="45" customFormat="1" ht="14.25" customHeight="1">
      <c r="C167" s="55" t="s">
        <v>1201</v>
      </c>
      <c r="D167" s="56" t="s">
        <v>1202</v>
      </c>
      <c r="E167" s="56"/>
      <c r="F167" s="57"/>
      <c r="G167" s="57"/>
      <c r="H167" s="57"/>
      <c r="I167" s="58"/>
      <c r="J167" s="44"/>
    </row>
    <row r="168" spans="3:10" s="45" customFormat="1" ht="13.8">
      <c r="C168" s="129">
        <v>1</v>
      </c>
      <c r="D168" s="56" t="s">
        <v>5</v>
      </c>
      <c r="E168" s="61" t="s">
        <v>1774</v>
      </c>
      <c r="F168" s="93" t="s">
        <v>2102</v>
      </c>
      <c r="G168" s="103">
        <v>0.27500000000000002</v>
      </c>
      <c r="H168" s="63">
        <f>VLOOKUP(D168,upahbahan,3,FALSE)</f>
        <v>100000</v>
      </c>
      <c r="I168" s="175">
        <f>H168*G168</f>
        <v>27500.000000000004</v>
      </c>
      <c r="J168" s="44"/>
    </row>
    <row r="169" spans="3:10" s="45" customFormat="1" ht="13.8">
      <c r="C169" s="129">
        <v>2</v>
      </c>
      <c r="D169" s="56" t="s">
        <v>19</v>
      </c>
      <c r="E169" s="61" t="s">
        <v>1777</v>
      </c>
      <c r="F169" s="93" t="s">
        <v>2102</v>
      </c>
      <c r="G169" s="103">
        <v>1.37E-2</v>
      </c>
      <c r="H169" s="63">
        <f>VLOOKUP(D169,upahbahan,3,FALSE)</f>
        <v>160000</v>
      </c>
      <c r="I169" s="175">
        <f>H169*G169</f>
        <v>2192</v>
      </c>
      <c r="J169" s="44"/>
    </row>
    <row r="170" spans="3:10" s="45" customFormat="1" ht="15.75" customHeight="1">
      <c r="C170" s="66" t="s">
        <v>1208</v>
      </c>
      <c r="D170" s="67"/>
      <c r="E170" s="67"/>
      <c r="F170" s="67"/>
      <c r="G170" s="67"/>
      <c r="H170" s="69"/>
      <c r="I170" s="64">
        <f>SUM(I168:I169)</f>
        <v>29692.000000000004</v>
      </c>
      <c r="J170" s="44"/>
    </row>
    <row r="171" spans="3:10" s="45" customFormat="1" ht="13.8">
      <c r="C171" s="55" t="s">
        <v>1209</v>
      </c>
      <c r="D171" s="56" t="s">
        <v>1210</v>
      </c>
      <c r="E171" s="56"/>
      <c r="F171" s="57"/>
      <c r="G171" s="57"/>
      <c r="H171" s="57"/>
      <c r="I171" s="58"/>
      <c r="J171" s="44"/>
    </row>
    <row r="172" spans="3:10" s="45" customFormat="1" ht="15.75" customHeight="1">
      <c r="C172" s="66" t="s">
        <v>1214</v>
      </c>
      <c r="D172" s="67"/>
      <c r="E172" s="67"/>
      <c r="F172" s="67"/>
      <c r="G172" s="67"/>
      <c r="H172" s="69"/>
      <c r="I172" s="64">
        <f>SUM(I171)</f>
        <v>0</v>
      </c>
      <c r="J172" s="44"/>
    </row>
    <row r="173" spans="3:10" s="45" customFormat="1" ht="13.8">
      <c r="C173" s="55" t="s">
        <v>1215</v>
      </c>
      <c r="D173" s="56" t="s">
        <v>1216</v>
      </c>
      <c r="E173" s="56"/>
      <c r="F173" s="70"/>
      <c r="G173" s="70"/>
      <c r="H173" s="70"/>
      <c r="I173" s="58"/>
      <c r="J173" s="44"/>
    </row>
    <row r="174" spans="3:10" s="45" customFormat="1" ht="15.75" customHeight="1">
      <c r="C174" s="66" t="s">
        <v>1217</v>
      </c>
      <c r="D174" s="67"/>
      <c r="E174" s="67"/>
      <c r="F174" s="67"/>
      <c r="G174" s="67"/>
      <c r="H174" s="69"/>
      <c r="I174" s="74">
        <f>SUM(I173)</f>
        <v>0</v>
      </c>
      <c r="J174" s="44"/>
    </row>
    <row r="175" spans="3:10" s="79" customFormat="1" ht="13.8">
      <c r="C175" s="75" t="s">
        <v>1218</v>
      </c>
      <c r="D175" s="76" t="s">
        <v>1219</v>
      </c>
      <c r="E175" s="77"/>
      <c r="F175" s="77"/>
      <c r="G175" s="77"/>
      <c r="H175" s="78"/>
      <c r="I175" s="64">
        <f>I170+I172+I174</f>
        <v>29692.000000000004</v>
      </c>
      <c r="J175" s="44"/>
    </row>
    <row r="176" spans="3:10" s="79" customFormat="1" ht="13.8">
      <c r="C176" s="75" t="s">
        <v>1220</v>
      </c>
      <c r="D176" s="76" t="s">
        <v>1321</v>
      </c>
      <c r="E176" s="77"/>
      <c r="F176" s="77"/>
      <c r="G176" s="78"/>
      <c r="H176" s="80">
        <v>0.1</v>
      </c>
      <c r="I176" s="64">
        <f>I175*H176</f>
        <v>2969.2000000000007</v>
      </c>
      <c r="J176" s="44"/>
    </row>
    <row r="177" spans="3:10" s="79" customFormat="1" ht="14.4" thickBot="1">
      <c r="C177" s="81" t="s">
        <v>1221</v>
      </c>
      <c r="D177" s="82" t="s">
        <v>1222</v>
      </c>
      <c r="E177" s="83"/>
      <c r="F177" s="83"/>
      <c r="G177" s="83"/>
      <c r="H177" s="84"/>
      <c r="I177" s="85">
        <f>SUM(I175:I176)</f>
        <v>32661.200000000004</v>
      </c>
      <c r="J177" s="44"/>
    </row>
    <row r="178" spans="3:10" ht="13.8" thickTop="1"/>
    <row r="179" spans="3:10" ht="13.8">
      <c r="C179" s="43" t="s">
        <v>2134</v>
      </c>
      <c r="D179" s="128" t="s">
        <v>2135</v>
      </c>
      <c r="E179" s="121"/>
      <c r="F179" s="121"/>
    </row>
    <row r="180" spans="3:10" s="45" customFormat="1" ht="16.5" customHeight="1" thickBot="1">
      <c r="C180" s="44" t="s">
        <v>2136</v>
      </c>
      <c r="D180" s="171" t="s">
        <v>2137</v>
      </c>
      <c r="E180" s="171"/>
      <c r="F180" s="171"/>
      <c r="G180" s="171"/>
      <c r="H180" s="171"/>
      <c r="I180" s="171"/>
      <c r="J180" s="50">
        <f>ROUNDDOWN(I193,-2)</f>
        <v>141900</v>
      </c>
    </row>
    <row r="181" spans="3:10" s="174" customFormat="1" ht="28.2" thickTop="1">
      <c r="C181" s="51" t="s">
        <v>1195</v>
      </c>
      <c r="D181" s="52" t="s">
        <v>1196</v>
      </c>
      <c r="E181" s="52" t="s">
        <v>1906</v>
      </c>
      <c r="F181" s="52" t="s">
        <v>1197</v>
      </c>
      <c r="G181" s="52" t="s">
        <v>1198</v>
      </c>
      <c r="H181" s="52" t="s">
        <v>1199</v>
      </c>
      <c r="I181" s="53" t="s">
        <v>1200</v>
      </c>
      <c r="J181" s="173"/>
    </row>
    <row r="182" spans="3:10" s="45" customFormat="1" ht="14.25" customHeight="1">
      <c r="C182" s="55" t="s">
        <v>1201</v>
      </c>
      <c r="D182" s="56" t="s">
        <v>1202</v>
      </c>
      <c r="E182" s="56"/>
      <c r="F182" s="57"/>
      <c r="G182" s="57"/>
      <c r="H182" s="57"/>
      <c r="I182" s="58"/>
      <c r="J182" s="44"/>
    </row>
    <row r="183" spans="3:10" s="45" customFormat="1" ht="13.8">
      <c r="C183" s="129">
        <v>1</v>
      </c>
      <c r="D183" s="56" t="s">
        <v>5</v>
      </c>
      <c r="E183" s="61" t="s">
        <v>1774</v>
      </c>
      <c r="F183" s="93" t="s">
        <v>2138</v>
      </c>
      <c r="G183" s="103">
        <v>0.9103</v>
      </c>
      <c r="H183" s="63">
        <f>VLOOKUP(D183,upahbahan,3,FALSE)</f>
        <v>100000</v>
      </c>
      <c r="I183" s="175">
        <f>H183*G183</f>
        <v>91030</v>
      </c>
      <c r="J183" s="44"/>
    </row>
    <row r="184" spans="3:10" s="45" customFormat="1" ht="13.8">
      <c r="C184" s="129">
        <v>2</v>
      </c>
      <c r="D184" s="56" t="s">
        <v>19</v>
      </c>
      <c r="E184" s="61" t="s">
        <v>1777</v>
      </c>
      <c r="F184" s="93" t="s">
        <v>2138</v>
      </c>
      <c r="G184" s="103">
        <v>4.5499999999999999E-2</v>
      </c>
      <c r="H184" s="63">
        <f>VLOOKUP(D184,upahbahan,3,FALSE)</f>
        <v>160000</v>
      </c>
      <c r="I184" s="175">
        <f>H184*G184</f>
        <v>7280</v>
      </c>
      <c r="J184" s="44"/>
    </row>
    <row r="185" spans="3:10" s="45" customFormat="1" ht="15.75" customHeight="1">
      <c r="C185" s="66" t="s">
        <v>1208</v>
      </c>
      <c r="D185" s="67"/>
      <c r="E185" s="67"/>
      <c r="F185" s="67"/>
      <c r="G185" s="67"/>
      <c r="H185" s="69"/>
      <c r="I185" s="64">
        <f>SUM(I183:I184)</f>
        <v>98310</v>
      </c>
      <c r="J185" s="44"/>
    </row>
    <row r="186" spans="3:10" s="45" customFormat="1" ht="13.8">
      <c r="C186" s="55" t="s">
        <v>1209</v>
      </c>
      <c r="D186" s="56" t="s">
        <v>1210</v>
      </c>
      <c r="E186" s="56"/>
      <c r="F186" s="57"/>
      <c r="G186" s="57"/>
      <c r="H186" s="57"/>
      <c r="I186" s="58"/>
      <c r="J186" s="44"/>
    </row>
    <row r="187" spans="3:10" s="45" customFormat="1" ht="15.75" customHeight="1">
      <c r="C187" s="66" t="s">
        <v>1214</v>
      </c>
      <c r="D187" s="67"/>
      <c r="E187" s="67"/>
      <c r="F187" s="67"/>
      <c r="G187" s="67"/>
      <c r="H187" s="69"/>
      <c r="I187" s="64">
        <f>SUM(I186)</f>
        <v>0</v>
      </c>
      <c r="J187" s="44"/>
    </row>
    <row r="188" spans="3:10" s="45" customFormat="1" ht="13.8">
      <c r="C188" s="55" t="s">
        <v>1215</v>
      </c>
      <c r="D188" s="56" t="s">
        <v>1216</v>
      </c>
      <c r="E188" s="56"/>
      <c r="F188" s="70"/>
      <c r="G188" s="70"/>
      <c r="H188" s="70"/>
      <c r="I188" s="58"/>
      <c r="J188" s="44"/>
    </row>
    <row r="189" spans="3:10" s="180" customFormat="1" ht="27.6">
      <c r="C189" s="129">
        <v>1</v>
      </c>
      <c r="D189" s="56" t="s">
        <v>5223</v>
      </c>
      <c r="E189" s="56"/>
      <c r="F189" s="176" t="s">
        <v>2139</v>
      </c>
      <c r="G189" s="177">
        <v>0.45519999999999999</v>
      </c>
      <c r="H189" s="137">
        <f>VLOOKUP(D189,upahbahan,3,FALSE)</f>
        <v>67500</v>
      </c>
      <c r="I189" s="178">
        <f>H189*G189</f>
        <v>30726</v>
      </c>
      <c r="J189" s="179"/>
    </row>
    <row r="190" spans="3:10" s="45" customFormat="1" ht="15.75" customHeight="1">
      <c r="C190" s="66" t="s">
        <v>1217</v>
      </c>
      <c r="D190" s="67"/>
      <c r="E190" s="67"/>
      <c r="F190" s="67"/>
      <c r="G190" s="67"/>
      <c r="H190" s="69"/>
      <c r="I190" s="74">
        <f>SUM(I189)</f>
        <v>30726</v>
      </c>
      <c r="J190" s="44"/>
    </row>
    <row r="191" spans="3:10" s="79" customFormat="1" ht="13.8">
      <c r="C191" s="75" t="s">
        <v>1218</v>
      </c>
      <c r="D191" s="76" t="s">
        <v>1219</v>
      </c>
      <c r="E191" s="77"/>
      <c r="F191" s="77"/>
      <c r="G191" s="77"/>
      <c r="H191" s="78"/>
      <c r="I191" s="64">
        <f>I185+I187+I190</f>
        <v>129036</v>
      </c>
      <c r="J191" s="44"/>
    </row>
    <row r="192" spans="3:10" s="79" customFormat="1" ht="13.8">
      <c r="C192" s="75" t="s">
        <v>1220</v>
      </c>
      <c r="D192" s="76" t="s">
        <v>1321</v>
      </c>
      <c r="E192" s="77"/>
      <c r="F192" s="77"/>
      <c r="G192" s="78"/>
      <c r="H192" s="80">
        <v>0.1</v>
      </c>
      <c r="I192" s="64">
        <f>I191*H192</f>
        <v>12903.6</v>
      </c>
      <c r="J192" s="44"/>
    </row>
    <row r="193" spans="3:10" s="79" customFormat="1" ht="14.4" thickBot="1">
      <c r="C193" s="81" t="s">
        <v>1221</v>
      </c>
      <c r="D193" s="82" t="s">
        <v>1222</v>
      </c>
      <c r="E193" s="83"/>
      <c r="F193" s="83"/>
      <c r="G193" s="83"/>
      <c r="H193" s="84"/>
      <c r="I193" s="85">
        <f>SUM(I191:I192)</f>
        <v>141939.6</v>
      </c>
      <c r="J193" s="44"/>
    </row>
    <row r="194" spans="3:10" ht="13.8" thickTop="1"/>
    <row r="195" spans="3:10" s="45" customFormat="1" ht="16.5" customHeight="1" thickBot="1">
      <c r="C195" s="44" t="s">
        <v>2140</v>
      </c>
      <c r="D195" s="171" t="s">
        <v>2141</v>
      </c>
      <c r="E195" s="171"/>
      <c r="F195" s="171"/>
      <c r="G195" s="171"/>
      <c r="H195" s="171"/>
      <c r="I195" s="171"/>
      <c r="J195" s="50">
        <f>ROUNDDOWN(I208,-2)</f>
        <v>156500</v>
      </c>
    </row>
    <row r="196" spans="3:10" s="174" customFormat="1" ht="28.2" thickTop="1">
      <c r="C196" s="51" t="s">
        <v>1195</v>
      </c>
      <c r="D196" s="52" t="s">
        <v>1196</v>
      </c>
      <c r="E196" s="52" t="s">
        <v>1906</v>
      </c>
      <c r="F196" s="52" t="s">
        <v>1197</v>
      </c>
      <c r="G196" s="52" t="s">
        <v>1198</v>
      </c>
      <c r="H196" s="52" t="s">
        <v>1199</v>
      </c>
      <c r="I196" s="53" t="s">
        <v>1200</v>
      </c>
      <c r="J196" s="173"/>
    </row>
    <row r="197" spans="3:10" s="45" customFormat="1" ht="14.25" customHeight="1">
      <c r="C197" s="55" t="s">
        <v>1201</v>
      </c>
      <c r="D197" s="56" t="s">
        <v>1202</v>
      </c>
      <c r="E197" s="56"/>
      <c r="F197" s="57"/>
      <c r="G197" s="57"/>
      <c r="H197" s="57"/>
      <c r="I197" s="58"/>
      <c r="J197" s="44"/>
    </row>
    <row r="198" spans="3:10" s="45" customFormat="1" ht="13.8">
      <c r="C198" s="129">
        <v>1</v>
      </c>
      <c r="D198" s="56" t="s">
        <v>5</v>
      </c>
      <c r="E198" s="61" t="s">
        <v>1774</v>
      </c>
      <c r="F198" s="93" t="s">
        <v>2138</v>
      </c>
      <c r="G198" s="103">
        <v>1.004</v>
      </c>
      <c r="H198" s="63">
        <f>VLOOKUP(D198,upahbahan,3,FALSE)</f>
        <v>100000</v>
      </c>
      <c r="I198" s="175">
        <f>H198*G198</f>
        <v>100400</v>
      </c>
      <c r="J198" s="44"/>
    </row>
    <row r="199" spans="3:10" s="45" customFormat="1" ht="13.8">
      <c r="C199" s="129">
        <v>2</v>
      </c>
      <c r="D199" s="56" t="s">
        <v>19</v>
      </c>
      <c r="E199" s="61" t="s">
        <v>1777</v>
      </c>
      <c r="F199" s="93" t="s">
        <v>2138</v>
      </c>
      <c r="G199" s="103">
        <v>5.0200000000000002E-2</v>
      </c>
      <c r="H199" s="63">
        <f>VLOOKUP(D199,upahbahan,3,FALSE)</f>
        <v>160000</v>
      </c>
      <c r="I199" s="175">
        <f>H199*G199</f>
        <v>8032</v>
      </c>
      <c r="J199" s="44"/>
    </row>
    <row r="200" spans="3:10" s="45" customFormat="1" ht="15.75" customHeight="1">
      <c r="C200" s="66" t="s">
        <v>1208</v>
      </c>
      <c r="D200" s="67"/>
      <c r="E200" s="67"/>
      <c r="F200" s="67"/>
      <c r="G200" s="67"/>
      <c r="H200" s="69"/>
      <c r="I200" s="64">
        <f>SUM(I198:I199)</f>
        <v>108432</v>
      </c>
      <c r="J200" s="44"/>
    </row>
    <row r="201" spans="3:10" s="45" customFormat="1" ht="13.8">
      <c r="C201" s="55" t="s">
        <v>1209</v>
      </c>
      <c r="D201" s="56" t="s">
        <v>1210</v>
      </c>
      <c r="E201" s="56"/>
      <c r="F201" s="57"/>
      <c r="G201" s="57"/>
      <c r="H201" s="57"/>
      <c r="I201" s="58"/>
      <c r="J201" s="44"/>
    </row>
    <row r="202" spans="3:10" s="45" customFormat="1" ht="15.75" customHeight="1">
      <c r="C202" s="66" t="s">
        <v>1214</v>
      </c>
      <c r="D202" s="67"/>
      <c r="E202" s="67"/>
      <c r="F202" s="67"/>
      <c r="G202" s="67"/>
      <c r="H202" s="69"/>
      <c r="I202" s="64">
        <f>SUM(I201)</f>
        <v>0</v>
      </c>
      <c r="J202" s="44"/>
    </row>
    <row r="203" spans="3:10" s="45" customFormat="1" ht="13.8">
      <c r="C203" s="55" t="s">
        <v>1215</v>
      </c>
      <c r="D203" s="56" t="s">
        <v>1216</v>
      </c>
      <c r="E203" s="56"/>
      <c r="F203" s="70"/>
      <c r="G203" s="70"/>
      <c r="H203" s="70"/>
      <c r="I203" s="58"/>
      <c r="J203" s="44"/>
    </row>
    <row r="204" spans="3:10" s="180" customFormat="1" ht="27.6">
      <c r="C204" s="129">
        <v>1</v>
      </c>
      <c r="D204" s="56" t="s">
        <v>5223</v>
      </c>
      <c r="E204" s="56"/>
      <c r="F204" s="176" t="s">
        <v>2139</v>
      </c>
      <c r="G204" s="177">
        <v>0.502</v>
      </c>
      <c r="H204" s="137">
        <f>VLOOKUP(D204,upahbahan,3,FALSE)</f>
        <v>67500</v>
      </c>
      <c r="I204" s="178">
        <f>H204*G204</f>
        <v>33885</v>
      </c>
      <c r="J204" s="179"/>
    </row>
    <row r="205" spans="3:10" s="45" customFormat="1" ht="15.75" customHeight="1">
      <c r="C205" s="66" t="s">
        <v>1217</v>
      </c>
      <c r="D205" s="67"/>
      <c r="E205" s="67"/>
      <c r="F205" s="67"/>
      <c r="G205" s="67"/>
      <c r="H205" s="69"/>
      <c r="I205" s="74">
        <f>SUM(I204)</f>
        <v>33885</v>
      </c>
      <c r="J205" s="44"/>
    </row>
    <row r="206" spans="3:10" s="79" customFormat="1" ht="13.8">
      <c r="C206" s="75" t="s">
        <v>1218</v>
      </c>
      <c r="D206" s="76" t="s">
        <v>1219</v>
      </c>
      <c r="E206" s="77"/>
      <c r="F206" s="77"/>
      <c r="G206" s="77"/>
      <c r="H206" s="78"/>
      <c r="I206" s="64">
        <f>I200+I202+I205</f>
        <v>142317</v>
      </c>
      <c r="J206" s="44"/>
    </row>
    <row r="207" spans="3:10" s="79" customFormat="1" ht="13.8">
      <c r="C207" s="75" t="s">
        <v>1220</v>
      </c>
      <c r="D207" s="76" t="s">
        <v>1321</v>
      </c>
      <c r="E207" s="77"/>
      <c r="F207" s="77"/>
      <c r="G207" s="78"/>
      <c r="H207" s="80">
        <v>0.1</v>
      </c>
      <c r="I207" s="64">
        <f>I206*H207</f>
        <v>14231.7</v>
      </c>
      <c r="J207" s="44"/>
    </row>
    <row r="208" spans="3:10" s="79" customFormat="1" ht="14.4" thickBot="1">
      <c r="C208" s="81" t="s">
        <v>1221</v>
      </c>
      <c r="D208" s="82" t="s">
        <v>1222</v>
      </c>
      <c r="E208" s="83"/>
      <c r="F208" s="83"/>
      <c r="G208" s="83"/>
      <c r="H208" s="84"/>
      <c r="I208" s="85">
        <f>SUM(I206:I207)</f>
        <v>156548.70000000001</v>
      </c>
      <c r="J208" s="44"/>
    </row>
    <row r="209" spans="3:10" ht="13.8" thickTop="1"/>
    <row r="211" spans="3:10" s="45" customFormat="1" ht="16.5" customHeight="1" thickBot="1">
      <c r="C211" s="44" t="s">
        <v>2142</v>
      </c>
      <c r="D211" s="171" t="s">
        <v>2143</v>
      </c>
      <c r="E211" s="171"/>
      <c r="F211" s="171"/>
      <c r="G211" s="171"/>
      <c r="H211" s="171"/>
      <c r="I211" s="171"/>
      <c r="J211" s="50">
        <f>ROUNDDOWN(I224,-2)</f>
        <v>171100</v>
      </c>
    </row>
    <row r="212" spans="3:10" s="174" customFormat="1" ht="28.2" thickTop="1">
      <c r="C212" s="51" t="s">
        <v>1195</v>
      </c>
      <c r="D212" s="52" t="s">
        <v>1196</v>
      </c>
      <c r="E212" s="52" t="s">
        <v>1906</v>
      </c>
      <c r="F212" s="52" t="s">
        <v>1197</v>
      </c>
      <c r="G212" s="52" t="s">
        <v>1198</v>
      </c>
      <c r="H212" s="52" t="s">
        <v>1199</v>
      </c>
      <c r="I212" s="53" t="s">
        <v>1200</v>
      </c>
      <c r="J212" s="173"/>
    </row>
    <row r="213" spans="3:10" s="45" customFormat="1" ht="14.25" customHeight="1">
      <c r="C213" s="55" t="s">
        <v>1201</v>
      </c>
      <c r="D213" s="56" t="s">
        <v>1202</v>
      </c>
      <c r="E213" s="56"/>
      <c r="F213" s="57"/>
      <c r="G213" s="57"/>
      <c r="H213" s="57"/>
      <c r="I213" s="58"/>
      <c r="J213" s="44"/>
    </row>
    <row r="214" spans="3:10" s="45" customFormat="1" ht="13.8">
      <c r="C214" s="129">
        <v>1</v>
      </c>
      <c r="D214" s="56" t="s">
        <v>5</v>
      </c>
      <c r="E214" s="61" t="s">
        <v>1774</v>
      </c>
      <c r="F214" s="93" t="s">
        <v>2138</v>
      </c>
      <c r="G214" s="103">
        <v>1.0976999999999999</v>
      </c>
      <c r="H214" s="63">
        <f>VLOOKUP(D214,upahbahan,3,FALSE)</f>
        <v>100000</v>
      </c>
      <c r="I214" s="175">
        <f>H214*G214</f>
        <v>109769.99999999999</v>
      </c>
      <c r="J214" s="44"/>
    </row>
    <row r="215" spans="3:10" s="45" customFormat="1" ht="13.8">
      <c r="C215" s="129">
        <v>2</v>
      </c>
      <c r="D215" s="56" t="s">
        <v>19</v>
      </c>
      <c r="E215" s="61" t="s">
        <v>1777</v>
      </c>
      <c r="F215" s="93" t="s">
        <v>2138</v>
      </c>
      <c r="G215" s="103">
        <v>5.4899999999999997E-2</v>
      </c>
      <c r="H215" s="63">
        <f>VLOOKUP(D215,upahbahan,3,FALSE)</f>
        <v>160000</v>
      </c>
      <c r="I215" s="175">
        <f>H215*G215</f>
        <v>8784</v>
      </c>
      <c r="J215" s="44"/>
    </row>
    <row r="216" spans="3:10" s="45" customFormat="1" ht="15.75" customHeight="1">
      <c r="C216" s="66" t="s">
        <v>1208</v>
      </c>
      <c r="D216" s="67"/>
      <c r="E216" s="67"/>
      <c r="F216" s="67"/>
      <c r="G216" s="67"/>
      <c r="H216" s="69"/>
      <c r="I216" s="64">
        <f>SUM(I214:I215)</f>
        <v>118553.99999999999</v>
      </c>
      <c r="J216" s="44"/>
    </row>
    <row r="217" spans="3:10" s="45" customFormat="1" ht="13.8">
      <c r="C217" s="55" t="s">
        <v>1209</v>
      </c>
      <c r="D217" s="56" t="s">
        <v>1210</v>
      </c>
      <c r="E217" s="56"/>
      <c r="F217" s="57"/>
      <c r="G217" s="57"/>
      <c r="H217" s="57"/>
      <c r="I217" s="58"/>
      <c r="J217" s="44"/>
    </row>
    <row r="218" spans="3:10" s="45" customFormat="1" ht="15.75" customHeight="1">
      <c r="C218" s="66" t="s">
        <v>1214</v>
      </c>
      <c r="D218" s="67"/>
      <c r="E218" s="67"/>
      <c r="F218" s="67"/>
      <c r="G218" s="67"/>
      <c r="H218" s="69"/>
      <c r="I218" s="64">
        <f>SUM(I217)</f>
        <v>0</v>
      </c>
      <c r="J218" s="44"/>
    </row>
    <row r="219" spans="3:10" s="45" customFormat="1" ht="13.8">
      <c r="C219" s="55" t="s">
        <v>1215</v>
      </c>
      <c r="D219" s="56" t="s">
        <v>1216</v>
      </c>
      <c r="E219" s="56"/>
      <c r="F219" s="70"/>
      <c r="G219" s="70"/>
      <c r="H219" s="70"/>
      <c r="I219" s="58"/>
      <c r="J219" s="44"/>
    </row>
    <row r="220" spans="3:10" s="180" customFormat="1" ht="27.6">
      <c r="C220" s="129">
        <v>1</v>
      </c>
      <c r="D220" s="56" t="s">
        <v>5223</v>
      </c>
      <c r="E220" s="56"/>
      <c r="F220" s="176" t="s">
        <v>2139</v>
      </c>
      <c r="G220" s="177">
        <v>0.54890000000000005</v>
      </c>
      <c r="H220" s="137">
        <f>VLOOKUP(D220,upahbahan,3,FALSE)</f>
        <v>67500</v>
      </c>
      <c r="I220" s="178">
        <f>H220*G220</f>
        <v>37050.750000000007</v>
      </c>
      <c r="J220" s="179"/>
    </row>
    <row r="221" spans="3:10" s="45" customFormat="1" ht="15.75" customHeight="1">
      <c r="C221" s="66" t="s">
        <v>1217</v>
      </c>
      <c r="D221" s="67"/>
      <c r="E221" s="67"/>
      <c r="F221" s="67"/>
      <c r="G221" s="67"/>
      <c r="H221" s="69"/>
      <c r="I221" s="74">
        <f>SUM(I220)</f>
        <v>37050.750000000007</v>
      </c>
      <c r="J221" s="44"/>
    </row>
    <row r="222" spans="3:10" s="79" customFormat="1" ht="13.8">
      <c r="C222" s="75" t="s">
        <v>1218</v>
      </c>
      <c r="D222" s="76" t="s">
        <v>1219</v>
      </c>
      <c r="E222" s="77"/>
      <c r="F222" s="77"/>
      <c r="G222" s="77"/>
      <c r="H222" s="78"/>
      <c r="I222" s="64">
        <f>I216+I218+I221</f>
        <v>155604.75</v>
      </c>
      <c r="J222" s="44"/>
    </row>
    <row r="223" spans="3:10" s="79" customFormat="1" ht="13.8">
      <c r="C223" s="75" t="s">
        <v>1220</v>
      </c>
      <c r="D223" s="76" t="s">
        <v>1321</v>
      </c>
      <c r="E223" s="77"/>
      <c r="F223" s="77"/>
      <c r="G223" s="78"/>
      <c r="H223" s="80">
        <v>0.1</v>
      </c>
      <c r="I223" s="64">
        <f>I222*H223</f>
        <v>15560.475</v>
      </c>
      <c r="J223" s="44"/>
    </row>
    <row r="224" spans="3:10" s="79" customFormat="1" ht="14.4" thickBot="1">
      <c r="C224" s="81" t="s">
        <v>1221</v>
      </c>
      <c r="D224" s="82" t="s">
        <v>1222</v>
      </c>
      <c r="E224" s="83"/>
      <c r="F224" s="83"/>
      <c r="G224" s="83"/>
      <c r="H224" s="84"/>
      <c r="I224" s="85">
        <f>SUM(I222:I223)</f>
        <v>171165.22500000001</v>
      </c>
      <c r="J224" s="44"/>
    </row>
    <row r="225" spans="3:10" ht="13.8" thickTop="1"/>
    <row r="227" spans="3:10" s="45" customFormat="1" ht="16.5" customHeight="1" thickBot="1">
      <c r="C227" s="44" t="s">
        <v>2144</v>
      </c>
      <c r="D227" s="171" t="s">
        <v>2145</v>
      </c>
      <c r="E227" s="171"/>
      <c r="F227" s="171"/>
      <c r="G227" s="171"/>
      <c r="H227" s="171"/>
      <c r="I227" s="171"/>
      <c r="J227" s="50">
        <f>ROUNDDOWN(I240,-2)</f>
        <v>185700</v>
      </c>
    </row>
    <row r="228" spans="3:10" s="174" customFormat="1" ht="28.2" thickTop="1">
      <c r="C228" s="51" t="s">
        <v>1195</v>
      </c>
      <c r="D228" s="52" t="s">
        <v>1196</v>
      </c>
      <c r="E228" s="52" t="s">
        <v>1906</v>
      </c>
      <c r="F228" s="52" t="s">
        <v>1197</v>
      </c>
      <c r="G228" s="52" t="s">
        <v>1198</v>
      </c>
      <c r="H228" s="52" t="s">
        <v>1199</v>
      </c>
      <c r="I228" s="53" t="s">
        <v>1200</v>
      </c>
      <c r="J228" s="173"/>
    </row>
    <row r="229" spans="3:10" s="45" customFormat="1" ht="14.25" customHeight="1">
      <c r="C229" s="55" t="s">
        <v>1201</v>
      </c>
      <c r="D229" s="56" t="s">
        <v>1202</v>
      </c>
      <c r="E229" s="56"/>
      <c r="F229" s="57"/>
      <c r="G229" s="57"/>
      <c r="H229" s="57"/>
      <c r="I229" s="58"/>
      <c r="J229" s="44"/>
    </row>
    <row r="230" spans="3:10" s="45" customFormat="1" ht="13.8">
      <c r="C230" s="129">
        <v>1</v>
      </c>
      <c r="D230" s="56" t="s">
        <v>5</v>
      </c>
      <c r="E230" s="61" t="s">
        <v>1774</v>
      </c>
      <c r="F230" s="93" t="s">
        <v>2138</v>
      </c>
      <c r="G230" s="103">
        <v>1.1914</v>
      </c>
      <c r="H230" s="63">
        <f>VLOOKUP(D230,upahbahan,3,FALSE)</f>
        <v>100000</v>
      </c>
      <c r="I230" s="175">
        <f>H230*G230</f>
        <v>119140</v>
      </c>
      <c r="J230" s="44"/>
    </row>
    <row r="231" spans="3:10" s="45" customFormat="1" ht="13.8">
      <c r="C231" s="129">
        <v>2</v>
      </c>
      <c r="D231" s="56" t="s">
        <v>19</v>
      </c>
      <c r="E231" s="61" t="s">
        <v>1777</v>
      </c>
      <c r="F231" s="93" t="s">
        <v>2138</v>
      </c>
      <c r="G231" s="103">
        <v>5.96E-2</v>
      </c>
      <c r="H231" s="63">
        <f>VLOOKUP(D231,upahbahan,3,FALSE)</f>
        <v>160000</v>
      </c>
      <c r="I231" s="175">
        <f>H231*G231</f>
        <v>9536</v>
      </c>
      <c r="J231" s="44"/>
    </row>
    <row r="232" spans="3:10" s="45" customFormat="1" ht="15.75" customHeight="1">
      <c r="C232" s="66" t="s">
        <v>1208</v>
      </c>
      <c r="D232" s="67"/>
      <c r="E232" s="67"/>
      <c r="F232" s="67"/>
      <c r="G232" s="67"/>
      <c r="H232" s="69"/>
      <c r="I232" s="64">
        <f>SUM(I230:I231)</f>
        <v>128676</v>
      </c>
      <c r="J232" s="44"/>
    </row>
    <row r="233" spans="3:10" s="45" customFormat="1" ht="13.8">
      <c r="C233" s="55" t="s">
        <v>1209</v>
      </c>
      <c r="D233" s="56" t="s">
        <v>1210</v>
      </c>
      <c r="E233" s="56"/>
      <c r="F233" s="57"/>
      <c r="G233" s="57"/>
      <c r="H233" s="57"/>
      <c r="I233" s="58"/>
      <c r="J233" s="44"/>
    </row>
    <row r="234" spans="3:10" s="45" customFormat="1" ht="15.75" customHeight="1">
      <c r="C234" s="66" t="s">
        <v>1214</v>
      </c>
      <c r="D234" s="67"/>
      <c r="E234" s="67"/>
      <c r="F234" s="67"/>
      <c r="G234" s="67"/>
      <c r="H234" s="69"/>
      <c r="I234" s="64">
        <f>SUM(I233)</f>
        <v>0</v>
      </c>
      <c r="J234" s="44"/>
    </row>
    <row r="235" spans="3:10" s="45" customFormat="1" ht="13.8">
      <c r="C235" s="55" t="s">
        <v>1215</v>
      </c>
      <c r="D235" s="56" t="s">
        <v>1216</v>
      </c>
      <c r="E235" s="56"/>
      <c r="F235" s="70"/>
      <c r="G235" s="70"/>
      <c r="H235" s="70"/>
      <c r="I235" s="58"/>
      <c r="J235" s="44"/>
    </row>
    <row r="236" spans="3:10" s="180" customFormat="1" ht="27.6">
      <c r="C236" s="129">
        <v>1</v>
      </c>
      <c r="D236" s="56" t="s">
        <v>5223</v>
      </c>
      <c r="E236" s="56"/>
      <c r="F236" s="176" t="s">
        <v>2139</v>
      </c>
      <c r="G236" s="177">
        <v>0.59570000000000001</v>
      </c>
      <c r="H236" s="137">
        <f>VLOOKUP(D236,upahbahan,3,FALSE)</f>
        <v>67500</v>
      </c>
      <c r="I236" s="178">
        <f>H236*G236</f>
        <v>40209.75</v>
      </c>
      <c r="J236" s="179"/>
    </row>
    <row r="237" spans="3:10" s="45" customFormat="1" ht="15.75" customHeight="1">
      <c r="C237" s="66" t="s">
        <v>1217</v>
      </c>
      <c r="D237" s="67"/>
      <c r="E237" s="67"/>
      <c r="F237" s="67"/>
      <c r="G237" s="67"/>
      <c r="H237" s="69"/>
      <c r="I237" s="74">
        <f>SUM(I236)</f>
        <v>40209.75</v>
      </c>
      <c r="J237" s="44"/>
    </row>
    <row r="238" spans="3:10" s="79" customFormat="1" ht="13.8">
      <c r="C238" s="75" t="s">
        <v>1218</v>
      </c>
      <c r="D238" s="76" t="s">
        <v>1219</v>
      </c>
      <c r="E238" s="77"/>
      <c r="F238" s="77"/>
      <c r="G238" s="77"/>
      <c r="H238" s="78"/>
      <c r="I238" s="64">
        <f>I232+I234+I237</f>
        <v>168885.75</v>
      </c>
      <c r="J238" s="44"/>
    </row>
    <row r="239" spans="3:10" s="79" customFormat="1" ht="13.8">
      <c r="C239" s="75" t="s">
        <v>1220</v>
      </c>
      <c r="D239" s="76" t="s">
        <v>1321</v>
      </c>
      <c r="E239" s="77"/>
      <c r="F239" s="77"/>
      <c r="G239" s="78"/>
      <c r="H239" s="80">
        <v>0.1</v>
      </c>
      <c r="I239" s="64">
        <f>I238*H239</f>
        <v>16888.575000000001</v>
      </c>
      <c r="J239" s="44"/>
    </row>
    <row r="240" spans="3:10" s="79" customFormat="1" ht="14.4" thickBot="1">
      <c r="C240" s="81" t="s">
        <v>1221</v>
      </c>
      <c r="D240" s="82" t="s">
        <v>1222</v>
      </c>
      <c r="E240" s="83"/>
      <c r="F240" s="83"/>
      <c r="G240" s="83"/>
      <c r="H240" s="84"/>
      <c r="I240" s="85">
        <f>SUM(I238:I239)</f>
        <v>185774.32500000001</v>
      </c>
      <c r="J240" s="44"/>
    </row>
    <row r="241" spans="3:10" ht="13.8" thickTop="1"/>
    <row r="244" spans="3:10" s="45" customFormat="1" ht="16.5" customHeight="1" thickBot="1">
      <c r="C244" s="44" t="s">
        <v>2146</v>
      </c>
      <c r="D244" s="171" t="s">
        <v>2147</v>
      </c>
      <c r="E244" s="171"/>
      <c r="F244" s="171"/>
      <c r="G244" s="171"/>
      <c r="H244" s="171"/>
      <c r="I244" s="171"/>
      <c r="J244" s="50">
        <f>ROUNDDOWN(I257,-2)</f>
        <v>157400</v>
      </c>
    </row>
    <row r="245" spans="3:10" s="174" customFormat="1" ht="28.2" thickTop="1">
      <c r="C245" s="51" t="s">
        <v>1195</v>
      </c>
      <c r="D245" s="52" t="s">
        <v>1196</v>
      </c>
      <c r="E245" s="52" t="s">
        <v>1906</v>
      </c>
      <c r="F245" s="52" t="s">
        <v>1197</v>
      </c>
      <c r="G245" s="52" t="s">
        <v>1198</v>
      </c>
      <c r="H245" s="52" t="s">
        <v>1199</v>
      </c>
      <c r="I245" s="53" t="s">
        <v>1200</v>
      </c>
      <c r="J245" s="173"/>
    </row>
    <row r="246" spans="3:10" s="45" customFormat="1" ht="14.25" customHeight="1">
      <c r="C246" s="55" t="s">
        <v>1201</v>
      </c>
      <c r="D246" s="56" t="s">
        <v>1202</v>
      </c>
      <c r="E246" s="56"/>
      <c r="F246" s="57"/>
      <c r="G246" s="57"/>
      <c r="H246" s="57"/>
      <c r="I246" s="58"/>
      <c r="J246" s="44"/>
    </row>
    <row r="247" spans="3:10" s="45" customFormat="1" ht="13.8">
      <c r="C247" s="129">
        <v>1</v>
      </c>
      <c r="D247" s="56" t="s">
        <v>5</v>
      </c>
      <c r="E247" s="61" t="s">
        <v>1774</v>
      </c>
      <c r="F247" s="93" t="s">
        <v>2138</v>
      </c>
      <c r="G247" s="103">
        <v>1.2850999999999999</v>
      </c>
      <c r="H247" s="63">
        <f>VLOOKUP(D247,upahbahan,3,FALSE)</f>
        <v>100000</v>
      </c>
      <c r="I247" s="175">
        <f>H247*G247</f>
        <v>128509.99999999999</v>
      </c>
      <c r="J247" s="44"/>
    </row>
    <row r="248" spans="3:10" s="45" customFormat="1" ht="13.8">
      <c r="C248" s="129">
        <v>2</v>
      </c>
      <c r="D248" s="56" t="s">
        <v>19</v>
      </c>
      <c r="E248" s="61" t="s">
        <v>1777</v>
      </c>
      <c r="F248" s="93" t="s">
        <v>2138</v>
      </c>
      <c r="G248" s="103">
        <v>6.4299999999999996E-2</v>
      </c>
      <c r="H248" s="63">
        <f>VLOOKUP(D248,upahbahan,3,FALSE)</f>
        <v>160000</v>
      </c>
      <c r="I248" s="175">
        <f>H248*G248</f>
        <v>10288</v>
      </c>
      <c r="J248" s="44"/>
    </row>
    <row r="249" spans="3:10" s="45" customFormat="1" ht="15.75" customHeight="1">
      <c r="C249" s="66" t="s">
        <v>1208</v>
      </c>
      <c r="D249" s="67"/>
      <c r="E249" s="67"/>
      <c r="F249" s="67"/>
      <c r="G249" s="67"/>
      <c r="H249" s="69"/>
      <c r="I249" s="64">
        <f>SUM(I247:I248)</f>
        <v>138798</v>
      </c>
      <c r="J249" s="44"/>
    </row>
    <row r="250" spans="3:10" s="45" customFormat="1" ht="13.8">
      <c r="C250" s="55" t="s">
        <v>1209</v>
      </c>
      <c r="D250" s="56" t="s">
        <v>1210</v>
      </c>
      <c r="E250" s="56"/>
      <c r="F250" s="57"/>
      <c r="G250" s="57"/>
      <c r="H250" s="57"/>
      <c r="I250" s="58"/>
      <c r="J250" s="44"/>
    </row>
    <row r="251" spans="3:10" s="45" customFormat="1" ht="15.75" customHeight="1">
      <c r="C251" s="66" t="s">
        <v>1214</v>
      </c>
      <c r="D251" s="67"/>
      <c r="E251" s="67"/>
      <c r="F251" s="67"/>
      <c r="G251" s="67"/>
      <c r="H251" s="69"/>
      <c r="I251" s="64">
        <f>SUM(I250)</f>
        <v>0</v>
      </c>
      <c r="J251" s="44"/>
    </row>
    <row r="252" spans="3:10" s="45" customFormat="1" ht="13.8">
      <c r="C252" s="55" t="s">
        <v>1215</v>
      </c>
      <c r="D252" s="56" t="s">
        <v>1216</v>
      </c>
      <c r="E252" s="56"/>
      <c r="F252" s="70"/>
      <c r="G252" s="70"/>
      <c r="H252" s="70"/>
      <c r="I252" s="58"/>
      <c r="J252" s="44"/>
    </row>
    <row r="253" spans="3:10" s="180" customFormat="1" ht="27.6">
      <c r="C253" s="129">
        <v>1</v>
      </c>
      <c r="D253" s="56" t="s">
        <v>5223</v>
      </c>
      <c r="E253" s="56"/>
      <c r="F253" s="176" t="s">
        <v>2139</v>
      </c>
      <c r="G253" s="177">
        <v>6.4259999999999998E-2</v>
      </c>
      <c r="H253" s="137">
        <f>VLOOKUP(D253,upahbahan,3,FALSE)</f>
        <v>67500</v>
      </c>
      <c r="I253" s="178">
        <f>H253*G253</f>
        <v>4337.55</v>
      </c>
      <c r="J253" s="179"/>
    </row>
    <row r="254" spans="3:10" s="45" customFormat="1" ht="15.75" customHeight="1">
      <c r="C254" s="66" t="s">
        <v>1217</v>
      </c>
      <c r="D254" s="67"/>
      <c r="E254" s="67"/>
      <c r="F254" s="67"/>
      <c r="G254" s="67"/>
      <c r="H254" s="69"/>
      <c r="I254" s="74">
        <f>SUM(I253)</f>
        <v>4337.55</v>
      </c>
      <c r="J254" s="44"/>
    </row>
    <row r="255" spans="3:10" s="79" customFormat="1" ht="13.8">
      <c r="C255" s="75" t="s">
        <v>1218</v>
      </c>
      <c r="D255" s="76" t="s">
        <v>1219</v>
      </c>
      <c r="E255" s="77"/>
      <c r="F255" s="77"/>
      <c r="G255" s="77"/>
      <c r="H255" s="78"/>
      <c r="I255" s="64">
        <f>I249+I251+I254</f>
        <v>143135.54999999999</v>
      </c>
      <c r="J255" s="44"/>
    </row>
    <row r="256" spans="3:10" s="79" customFormat="1" ht="13.8">
      <c r="C256" s="75" t="s">
        <v>1220</v>
      </c>
      <c r="D256" s="76" t="s">
        <v>1321</v>
      </c>
      <c r="E256" s="77"/>
      <c r="F256" s="77"/>
      <c r="G256" s="78"/>
      <c r="H256" s="80">
        <v>0.1</v>
      </c>
      <c r="I256" s="64">
        <f>I255*H256</f>
        <v>14313.555</v>
      </c>
      <c r="J256" s="44"/>
    </row>
    <row r="257" spans="3:10" s="79" customFormat="1" ht="14.4" thickBot="1">
      <c r="C257" s="81" t="s">
        <v>1221</v>
      </c>
      <c r="D257" s="82" t="s">
        <v>1222</v>
      </c>
      <c r="E257" s="83"/>
      <c r="F257" s="83"/>
      <c r="G257" s="83"/>
      <c r="H257" s="84"/>
      <c r="I257" s="85">
        <f>SUM(I255:I256)</f>
        <v>157449.10499999998</v>
      </c>
      <c r="J257" s="44"/>
    </row>
    <row r="258" spans="3:10" ht="13.8" thickTop="1"/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M152"/>
  <sheetViews>
    <sheetView zoomScale="69" zoomScaleNormal="100" workbookViewId="0">
      <selection activeCell="A581" sqref="A581:XFD599"/>
    </sheetView>
  </sheetViews>
  <sheetFormatPr defaultRowHeight="13.2"/>
  <cols>
    <col min="1" max="1" width="3.88671875" style="188" customWidth="1"/>
    <col min="2" max="2" width="3.33203125" style="188" customWidth="1"/>
    <col min="3" max="3" width="6" style="188" customWidth="1"/>
    <col min="4" max="4" width="26.33203125" style="188" customWidth="1"/>
    <col min="5" max="6" width="8.88671875" style="188"/>
    <col min="7" max="7" width="13.109375" style="188" customWidth="1"/>
    <col min="8" max="8" width="14.33203125" style="188" customWidth="1"/>
    <col min="9" max="9" width="16.77734375" style="188" customWidth="1"/>
    <col min="10" max="10" width="13.109375" style="188" customWidth="1"/>
    <col min="11" max="12" width="9.109375" style="188"/>
    <col min="13" max="16384" width="8.88671875" style="188"/>
  </cols>
  <sheetData>
    <row r="2" spans="3:10" ht="18.600000000000001" customHeight="1">
      <c r="C2" s="187" t="s">
        <v>5225</v>
      </c>
      <c r="D2" s="187" t="s">
        <v>2148</v>
      </c>
    </row>
    <row r="3" spans="3:10" ht="18.600000000000001" customHeight="1" thickBot="1">
      <c r="C3" s="187" t="s">
        <v>2149</v>
      </c>
      <c r="D3" s="187" t="s">
        <v>2150</v>
      </c>
      <c r="J3" s="189">
        <f>ROUNDDOWN(I18,-2)</f>
        <v>1900</v>
      </c>
    </row>
    <row r="4" spans="3:10" s="194" customFormat="1" ht="27.6" customHeight="1" thickTop="1">
      <c r="C4" s="190" t="s">
        <v>1195</v>
      </c>
      <c r="D4" s="191" t="s">
        <v>1196</v>
      </c>
      <c r="E4" s="191" t="s">
        <v>1906</v>
      </c>
      <c r="F4" s="191" t="s">
        <v>1197</v>
      </c>
      <c r="G4" s="191" t="s">
        <v>1198</v>
      </c>
      <c r="H4" s="191" t="s">
        <v>1199</v>
      </c>
      <c r="I4" s="192" t="s">
        <v>1200</v>
      </c>
      <c r="J4" s="193"/>
    </row>
    <row r="5" spans="3:10" s="200" customFormat="1" ht="18.600000000000001" customHeight="1">
      <c r="C5" s="195" t="s">
        <v>1201</v>
      </c>
      <c r="D5" s="196" t="s">
        <v>1202</v>
      </c>
      <c r="E5" s="196"/>
      <c r="F5" s="197"/>
      <c r="G5" s="197"/>
      <c r="H5" s="197"/>
      <c r="I5" s="198"/>
      <c r="J5" s="199"/>
    </row>
    <row r="6" spans="3:10" s="200" customFormat="1" ht="18.600000000000001" customHeight="1">
      <c r="C6" s="201">
        <v>1</v>
      </c>
      <c r="D6" s="196" t="s">
        <v>5</v>
      </c>
      <c r="E6" s="202" t="s">
        <v>1774</v>
      </c>
      <c r="F6" s="203" t="s">
        <v>2102</v>
      </c>
      <c r="G6" s="204">
        <v>1.1900000000000001E-2</v>
      </c>
      <c r="H6" s="205">
        <f>VLOOKUP(D6,upahbahan,3,FALSE)</f>
        <v>100000</v>
      </c>
      <c r="I6" s="206">
        <f>H6*G6</f>
        <v>1190</v>
      </c>
      <c r="J6" s="199"/>
    </row>
    <row r="7" spans="3:10" s="200" customFormat="1" ht="18.600000000000001" customHeight="1">
      <c r="C7" s="201">
        <v>2</v>
      </c>
      <c r="D7" s="196" t="s">
        <v>1785</v>
      </c>
      <c r="E7" s="202" t="s">
        <v>1775</v>
      </c>
      <c r="F7" s="203" t="s">
        <v>2102</v>
      </c>
      <c r="G7" s="204">
        <v>2.3999999999999998E-3</v>
      </c>
      <c r="H7" s="205">
        <f>VLOOKUP(D7,upahbahan,3,FALSE)</f>
        <v>145000</v>
      </c>
      <c r="I7" s="206">
        <f>H7*G7</f>
        <v>347.99999999999994</v>
      </c>
      <c r="J7" s="199"/>
    </row>
    <row r="8" spans="3:10" s="200" customFormat="1" ht="18.600000000000001" customHeight="1">
      <c r="C8" s="201">
        <v>3</v>
      </c>
      <c r="D8" s="196" t="s">
        <v>19</v>
      </c>
      <c r="E8" s="202" t="s">
        <v>1777</v>
      </c>
      <c r="F8" s="203" t="s">
        <v>2102</v>
      </c>
      <c r="G8" s="204">
        <v>1.1999999999999999E-3</v>
      </c>
      <c r="H8" s="205">
        <f>VLOOKUP(D8,upahbahan,3,FALSE)</f>
        <v>160000</v>
      </c>
      <c r="I8" s="206">
        <f>H8*G8</f>
        <v>191.99999999999997</v>
      </c>
      <c r="J8" s="199"/>
    </row>
    <row r="9" spans="3:10" s="200" customFormat="1" ht="18.600000000000001" customHeight="1">
      <c r="C9" s="207" t="s">
        <v>1208</v>
      </c>
      <c r="D9" s="208"/>
      <c r="E9" s="208"/>
      <c r="F9" s="208"/>
      <c r="G9" s="208"/>
      <c r="H9" s="209"/>
      <c r="I9" s="210">
        <f>SUM(I6:I8)</f>
        <v>1730</v>
      </c>
      <c r="J9" s="199"/>
    </row>
    <row r="10" spans="3:10" s="200" customFormat="1" ht="18.600000000000001" customHeight="1">
      <c r="C10" s="195" t="s">
        <v>1209</v>
      </c>
      <c r="D10" s="196" t="s">
        <v>1210</v>
      </c>
      <c r="E10" s="196"/>
      <c r="F10" s="197"/>
      <c r="G10" s="197"/>
      <c r="H10" s="197"/>
      <c r="I10" s="198"/>
      <c r="J10" s="199"/>
    </row>
    <row r="11" spans="3:10" s="218" customFormat="1" ht="18.600000000000001" customHeight="1">
      <c r="C11" s="211">
        <v>1</v>
      </c>
      <c r="D11" s="212" t="s">
        <v>5228</v>
      </c>
      <c r="E11" s="196"/>
      <c r="F11" s="213" t="s">
        <v>62</v>
      </c>
      <c r="G11" s="214">
        <v>1.1000000000000001</v>
      </c>
      <c r="H11" s="215">
        <f>VLOOKUP(D11,upahbahan,3,FALSE)</f>
        <v>0</v>
      </c>
      <c r="I11" s="216">
        <f>H11*G11</f>
        <v>0</v>
      </c>
      <c r="J11" s="217"/>
    </row>
    <row r="12" spans="3:10" s="218" customFormat="1" ht="18.600000000000001" customHeight="1">
      <c r="C12" s="207" t="s">
        <v>1214</v>
      </c>
      <c r="D12" s="208"/>
      <c r="E12" s="208"/>
      <c r="F12" s="208"/>
      <c r="G12" s="208"/>
      <c r="H12" s="209"/>
      <c r="I12" s="219">
        <f>SUM(I10:I11)</f>
        <v>0</v>
      </c>
      <c r="J12" s="217"/>
    </row>
    <row r="13" spans="3:10" s="218" customFormat="1" ht="18.600000000000001" customHeight="1">
      <c r="C13" s="195" t="s">
        <v>1215</v>
      </c>
      <c r="D13" s="196" t="s">
        <v>1216</v>
      </c>
      <c r="E13" s="196"/>
      <c r="F13" s="212"/>
      <c r="G13" s="212"/>
      <c r="H13" s="212"/>
      <c r="I13" s="220"/>
      <c r="J13" s="217"/>
    </row>
    <row r="14" spans="3:10" s="218" customFormat="1" ht="18.600000000000001" customHeight="1">
      <c r="C14" s="211">
        <v>1</v>
      </c>
      <c r="D14" s="196" t="s">
        <v>5226</v>
      </c>
      <c r="E14" s="196"/>
      <c r="F14" s="213" t="s">
        <v>1974</v>
      </c>
      <c r="G14" s="221">
        <v>2.3800000000000002E-3</v>
      </c>
      <c r="H14" s="215">
        <f>VLOOKUP(D14,upahbahan,3,FALSE)</f>
        <v>25000</v>
      </c>
      <c r="I14" s="216">
        <f>H14*G14</f>
        <v>59.500000000000007</v>
      </c>
      <c r="J14" s="217"/>
    </row>
    <row r="15" spans="3:10" s="200" customFormat="1" ht="18.600000000000001" customHeight="1">
      <c r="C15" s="207" t="s">
        <v>1217</v>
      </c>
      <c r="D15" s="208"/>
      <c r="E15" s="208"/>
      <c r="F15" s="208"/>
      <c r="G15" s="208"/>
      <c r="H15" s="209"/>
      <c r="I15" s="222">
        <f>SUM(I13:I14)</f>
        <v>59.500000000000007</v>
      </c>
      <c r="J15" s="199"/>
    </row>
    <row r="16" spans="3:10" s="227" customFormat="1" ht="18.600000000000001" customHeight="1">
      <c r="C16" s="223" t="s">
        <v>1218</v>
      </c>
      <c r="D16" s="224" t="s">
        <v>1219</v>
      </c>
      <c r="E16" s="225"/>
      <c r="F16" s="225"/>
      <c r="G16" s="225"/>
      <c r="H16" s="226"/>
      <c r="I16" s="210">
        <f>I9+I12+I15</f>
        <v>1789.5</v>
      </c>
      <c r="J16" s="199"/>
    </row>
    <row r="17" spans="3:13" s="227" customFormat="1" ht="18.600000000000001" customHeight="1">
      <c r="C17" s="223" t="s">
        <v>1220</v>
      </c>
      <c r="D17" s="224" t="s">
        <v>1321</v>
      </c>
      <c r="E17" s="225"/>
      <c r="F17" s="225"/>
      <c r="G17" s="226"/>
      <c r="H17" s="228">
        <v>0.1</v>
      </c>
      <c r="I17" s="210">
        <f>I16*H17</f>
        <v>178.95000000000002</v>
      </c>
      <c r="J17" s="199"/>
    </row>
    <row r="18" spans="3:13" s="227" customFormat="1" ht="18.600000000000001" customHeight="1" thickBot="1">
      <c r="C18" s="229" t="s">
        <v>1221</v>
      </c>
      <c r="D18" s="230" t="s">
        <v>1222</v>
      </c>
      <c r="E18" s="231"/>
      <c r="F18" s="231"/>
      <c r="G18" s="231"/>
      <c r="H18" s="232"/>
      <c r="I18" s="233">
        <f>SUM(I16:I17)</f>
        <v>1968.45</v>
      </c>
      <c r="J18" s="199"/>
    </row>
    <row r="19" spans="3:13" ht="18.600000000000001" customHeight="1" thickTop="1"/>
    <row r="20" spans="3:13" ht="18.600000000000001" customHeight="1" thickBot="1">
      <c r="C20" s="187" t="s">
        <v>2151</v>
      </c>
      <c r="D20" s="187" t="s">
        <v>2152</v>
      </c>
      <c r="J20" s="189">
        <f>ROUNDDOWN(I36,-2)</f>
        <v>800</v>
      </c>
    </row>
    <row r="21" spans="3:13" s="194" customFormat="1" ht="31.2" customHeight="1" thickTop="1">
      <c r="C21" s="190" t="s">
        <v>1195</v>
      </c>
      <c r="D21" s="191" t="s">
        <v>1196</v>
      </c>
      <c r="E21" s="191" t="s">
        <v>1906</v>
      </c>
      <c r="F21" s="191" t="s">
        <v>1197</v>
      </c>
      <c r="G21" s="191" t="s">
        <v>1198</v>
      </c>
      <c r="H21" s="191" t="s">
        <v>1199</v>
      </c>
      <c r="I21" s="192" t="s">
        <v>1200</v>
      </c>
      <c r="J21" s="193"/>
    </row>
    <row r="22" spans="3:13" s="200" customFormat="1" ht="18.600000000000001" customHeight="1">
      <c r="C22" s="195" t="s">
        <v>1201</v>
      </c>
      <c r="D22" s="196" t="s">
        <v>1202</v>
      </c>
      <c r="E22" s="196"/>
      <c r="F22" s="197"/>
      <c r="G22" s="197"/>
      <c r="H22" s="197"/>
      <c r="I22" s="198"/>
      <c r="J22" s="199"/>
    </row>
    <row r="23" spans="3:13" s="200" customFormat="1" ht="18.600000000000001" customHeight="1">
      <c r="C23" s="201">
        <v>1</v>
      </c>
      <c r="D23" s="196" t="s">
        <v>5</v>
      </c>
      <c r="E23" s="202" t="s">
        <v>1774</v>
      </c>
      <c r="F23" s="203" t="s">
        <v>2102</v>
      </c>
      <c r="G23" s="204">
        <v>1.6000000000000001E-3</v>
      </c>
      <c r="H23" s="205">
        <f>VLOOKUP(D23,upahbahan,3,FALSE)</f>
        <v>100000</v>
      </c>
      <c r="I23" s="206">
        <f>H23*G23</f>
        <v>160</v>
      </c>
      <c r="J23" s="199"/>
    </row>
    <row r="24" spans="3:13" s="200" customFormat="1" ht="18.600000000000001" customHeight="1">
      <c r="C24" s="201">
        <v>2</v>
      </c>
      <c r="D24" s="196" t="s">
        <v>1785</v>
      </c>
      <c r="E24" s="213" t="s">
        <v>1775</v>
      </c>
      <c r="F24" s="234" t="s">
        <v>2102</v>
      </c>
      <c r="G24" s="204">
        <v>8.0000000000000004E-4</v>
      </c>
      <c r="H24" s="205">
        <f>VLOOKUP(D24,upahbahan,3,FALSE)</f>
        <v>145000</v>
      </c>
      <c r="I24" s="206">
        <f>H24*G24</f>
        <v>116</v>
      </c>
      <c r="J24" s="199"/>
    </row>
    <row r="25" spans="3:13" s="200" customFormat="1" ht="18.600000000000001" customHeight="1">
      <c r="C25" s="201">
        <v>3</v>
      </c>
      <c r="D25" s="196" t="s">
        <v>19</v>
      </c>
      <c r="E25" s="202" t="s">
        <v>1777</v>
      </c>
      <c r="F25" s="203" t="s">
        <v>2102</v>
      </c>
      <c r="G25" s="204">
        <v>2.0000000000000001E-4</v>
      </c>
      <c r="H25" s="205">
        <f>VLOOKUP(D25,upahbahan,3,FALSE)</f>
        <v>160000</v>
      </c>
      <c r="I25" s="206">
        <f>H25*G25</f>
        <v>32</v>
      </c>
      <c r="J25" s="199"/>
    </row>
    <row r="26" spans="3:13" s="200" customFormat="1" ht="18.600000000000001" customHeight="1">
      <c r="C26" s="207" t="s">
        <v>1208</v>
      </c>
      <c r="D26" s="208"/>
      <c r="E26" s="208"/>
      <c r="F26" s="208"/>
      <c r="G26" s="208"/>
      <c r="H26" s="209"/>
      <c r="I26" s="210">
        <f>SUM(I23:I25)</f>
        <v>308</v>
      </c>
      <c r="J26" s="199"/>
    </row>
    <row r="27" spans="3:13" s="200" customFormat="1" ht="18.600000000000001" customHeight="1">
      <c r="C27" s="195" t="s">
        <v>1209</v>
      </c>
      <c r="D27" s="196" t="s">
        <v>1210</v>
      </c>
      <c r="E27" s="196"/>
      <c r="F27" s="197"/>
      <c r="G27" s="197"/>
      <c r="H27" s="197"/>
      <c r="I27" s="198"/>
      <c r="J27" s="199"/>
    </row>
    <row r="28" spans="3:13" s="218" customFormat="1" ht="18.600000000000001" customHeight="1">
      <c r="C28" s="211">
        <v>1</v>
      </c>
      <c r="D28" s="212" t="s">
        <v>5228</v>
      </c>
      <c r="E28" s="196"/>
      <c r="F28" s="213" t="s">
        <v>62</v>
      </c>
      <c r="G28" s="235">
        <v>1.1000000000000001</v>
      </c>
      <c r="H28" s="215">
        <f>VLOOKUP(D28,upahbahan,3,FALSE)</f>
        <v>0</v>
      </c>
      <c r="I28" s="216">
        <f>H28*G28</f>
        <v>0</v>
      </c>
      <c r="J28" s="217"/>
    </row>
    <row r="29" spans="3:13" s="218" customFormat="1" ht="18.600000000000001" customHeight="1">
      <c r="C29" s="207" t="s">
        <v>1214</v>
      </c>
      <c r="D29" s="208"/>
      <c r="E29" s="208"/>
      <c r="F29" s="208"/>
      <c r="G29" s="208"/>
      <c r="H29" s="209"/>
      <c r="I29" s="219">
        <f>SUM(I27:I28)</f>
        <v>0</v>
      </c>
      <c r="J29" s="217"/>
      <c r="M29" s="1874"/>
    </row>
    <row r="30" spans="3:13" s="218" customFormat="1" ht="18.600000000000001" customHeight="1">
      <c r="C30" s="195" t="s">
        <v>1215</v>
      </c>
      <c r="D30" s="196" t="s">
        <v>1216</v>
      </c>
      <c r="E30" s="196"/>
      <c r="F30" s="212"/>
      <c r="G30" s="212"/>
      <c r="H30" s="212"/>
      <c r="I30" s="220"/>
      <c r="J30" s="217"/>
      <c r="M30" s="1874"/>
    </row>
    <row r="31" spans="3:13" s="218" customFormat="1" ht="18.600000000000001" customHeight="1">
      <c r="C31" s="201">
        <v>1</v>
      </c>
      <c r="D31" s="196" t="s">
        <v>5226</v>
      </c>
      <c r="E31" s="196"/>
      <c r="F31" s="213" t="s">
        <v>1974</v>
      </c>
      <c r="G31" s="236">
        <v>8.0000000000000004E-4</v>
      </c>
      <c r="H31" s="237">
        <f>VLOOKUP(D31,upahbahan,3,FALSE)</f>
        <v>25000</v>
      </c>
      <c r="I31" s="238">
        <f>H31*G31</f>
        <v>20</v>
      </c>
      <c r="J31" s="217"/>
    </row>
    <row r="32" spans="3:13" s="218" customFormat="1" ht="18.600000000000001" customHeight="1">
      <c r="C32" s="211">
        <v>2</v>
      </c>
      <c r="D32" s="196" t="s">
        <v>5227</v>
      </c>
      <c r="E32" s="196"/>
      <c r="F32" s="213" t="s">
        <v>1974</v>
      </c>
      <c r="G32" s="239">
        <v>1.4999999999999999E-4</v>
      </c>
      <c r="H32" s="215">
        <f>VLOOKUP(D32,upahbahan,3,FALSE)</f>
        <v>2700000</v>
      </c>
      <c r="I32" s="216">
        <f>H32*G32</f>
        <v>404.99999999999994</v>
      </c>
      <c r="J32" s="217"/>
    </row>
    <row r="33" spans="3:10" s="200" customFormat="1" ht="18.600000000000001" customHeight="1">
      <c r="C33" s="207" t="s">
        <v>1217</v>
      </c>
      <c r="D33" s="208"/>
      <c r="E33" s="208"/>
      <c r="F33" s="208"/>
      <c r="G33" s="208"/>
      <c r="H33" s="209"/>
      <c r="I33" s="222">
        <f>SUM(I30:I32)</f>
        <v>424.99999999999994</v>
      </c>
      <c r="J33" s="199"/>
    </row>
    <row r="34" spans="3:10" s="227" customFormat="1" ht="18.600000000000001" customHeight="1">
      <c r="C34" s="223" t="s">
        <v>1218</v>
      </c>
      <c r="D34" s="224" t="s">
        <v>1219</v>
      </c>
      <c r="E34" s="225"/>
      <c r="F34" s="225"/>
      <c r="G34" s="225"/>
      <c r="H34" s="226"/>
      <c r="I34" s="210">
        <f>I26+I29+I33</f>
        <v>733</v>
      </c>
      <c r="J34" s="199"/>
    </row>
    <row r="35" spans="3:10" s="227" customFormat="1" ht="18.600000000000001" customHeight="1">
      <c r="C35" s="223" t="s">
        <v>1220</v>
      </c>
      <c r="D35" s="224" t="s">
        <v>1321</v>
      </c>
      <c r="E35" s="225"/>
      <c r="F35" s="225"/>
      <c r="G35" s="226"/>
      <c r="H35" s="228">
        <v>0.1</v>
      </c>
      <c r="I35" s="210">
        <f>I34*H35</f>
        <v>73.3</v>
      </c>
      <c r="J35" s="199"/>
    </row>
    <row r="36" spans="3:10" s="227" customFormat="1" ht="18.600000000000001" customHeight="1" thickBot="1">
      <c r="C36" s="229" t="s">
        <v>1221</v>
      </c>
      <c r="D36" s="230" t="s">
        <v>1222</v>
      </c>
      <c r="E36" s="231"/>
      <c r="F36" s="231"/>
      <c r="G36" s="231"/>
      <c r="H36" s="232"/>
      <c r="I36" s="233">
        <f>SUM(I34:I35)</f>
        <v>806.3</v>
      </c>
      <c r="J36" s="199"/>
    </row>
    <row r="37" spans="3:10" ht="18.600000000000001" customHeight="1" thickTop="1"/>
    <row r="38" spans="3:10" ht="18.600000000000001" customHeight="1"/>
    <row r="39" spans="3:10" ht="18.600000000000001" customHeight="1" thickBot="1">
      <c r="C39" s="187" t="s">
        <v>2153</v>
      </c>
      <c r="D39" s="187" t="s">
        <v>2154</v>
      </c>
      <c r="J39" s="189">
        <f>ROUNDDOWN(I54,-2)</f>
        <v>2600</v>
      </c>
    </row>
    <row r="40" spans="3:10" s="194" customFormat="1" ht="28.8" customHeight="1" thickTop="1">
      <c r="C40" s="190" t="s">
        <v>1195</v>
      </c>
      <c r="D40" s="191" t="s">
        <v>1196</v>
      </c>
      <c r="E40" s="191" t="s">
        <v>1906</v>
      </c>
      <c r="F40" s="191" t="s">
        <v>1197</v>
      </c>
      <c r="G40" s="191" t="s">
        <v>1198</v>
      </c>
      <c r="H40" s="191" t="s">
        <v>1199</v>
      </c>
      <c r="I40" s="192" t="s">
        <v>1200</v>
      </c>
      <c r="J40" s="193"/>
    </row>
    <row r="41" spans="3:10" s="200" customFormat="1" ht="18.600000000000001" customHeight="1">
      <c r="C41" s="195" t="s">
        <v>1201</v>
      </c>
      <c r="D41" s="196" t="s">
        <v>1202</v>
      </c>
      <c r="E41" s="196"/>
      <c r="F41" s="197"/>
      <c r="G41" s="197"/>
      <c r="H41" s="197"/>
      <c r="I41" s="198"/>
      <c r="J41" s="199"/>
    </row>
    <row r="42" spans="3:10" s="200" customFormat="1" ht="18.600000000000001" customHeight="1">
      <c r="C42" s="201">
        <v>1</v>
      </c>
      <c r="D42" s="196" t="s">
        <v>5</v>
      </c>
      <c r="E42" s="202" t="s">
        <v>1774</v>
      </c>
      <c r="F42" s="203" t="s">
        <v>2102</v>
      </c>
      <c r="G42" s="204">
        <v>1.6E-2</v>
      </c>
      <c r="H42" s="205">
        <f>VLOOKUP(D42,upahbahan,3,FALSE)</f>
        <v>100000</v>
      </c>
      <c r="I42" s="206">
        <f>H42*G42</f>
        <v>1600</v>
      </c>
      <c r="J42" s="199"/>
    </row>
    <row r="43" spans="3:10" s="200" customFormat="1" ht="18.600000000000001" customHeight="1">
      <c r="C43" s="201">
        <v>2</v>
      </c>
      <c r="D43" s="196" t="s">
        <v>1785</v>
      </c>
      <c r="E43" s="213" t="s">
        <v>1775</v>
      </c>
      <c r="F43" s="234" t="s">
        <v>2102</v>
      </c>
      <c r="G43" s="204">
        <v>3.2000000000000002E-3</v>
      </c>
      <c r="H43" s="205">
        <f>VLOOKUP(D43,upahbahan,3,FALSE)</f>
        <v>145000</v>
      </c>
      <c r="I43" s="206">
        <f>H43*G43</f>
        <v>464</v>
      </c>
      <c r="J43" s="199"/>
    </row>
    <row r="44" spans="3:10" s="200" customFormat="1" ht="18.600000000000001" customHeight="1">
      <c r="C44" s="201">
        <v>3</v>
      </c>
      <c r="D44" s="196" t="s">
        <v>19</v>
      </c>
      <c r="E44" s="202" t="s">
        <v>1777</v>
      </c>
      <c r="F44" s="203" t="s">
        <v>2102</v>
      </c>
      <c r="G44" s="204">
        <v>1.6000000000000001E-3</v>
      </c>
      <c r="H44" s="205">
        <f>VLOOKUP(D44,upahbahan,3,FALSE)</f>
        <v>160000</v>
      </c>
      <c r="I44" s="206">
        <f>H44*G44</f>
        <v>256</v>
      </c>
      <c r="J44" s="199"/>
    </row>
    <row r="45" spans="3:10" s="200" customFormat="1" ht="18.600000000000001" customHeight="1">
      <c r="C45" s="207" t="s">
        <v>1208</v>
      </c>
      <c r="D45" s="208"/>
      <c r="E45" s="208"/>
      <c r="F45" s="208"/>
      <c r="G45" s="208"/>
      <c r="H45" s="209"/>
      <c r="I45" s="210">
        <f>SUM(I42:I44)</f>
        <v>2320</v>
      </c>
      <c r="J45" s="199"/>
    </row>
    <row r="46" spans="3:10" s="200" customFormat="1" ht="18.600000000000001" customHeight="1">
      <c r="C46" s="195" t="s">
        <v>1209</v>
      </c>
      <c r="D46" s="196" t="s">
        <v>1210</v>
      </c>
      <c r="E46" s="196"/>
      <c r="F46" s="197"/>
      <c r="G46" s="197"/>
      <c r="H46" s="197"/>
      <c r="I46" s="198"/>
      <c r="J46" s="199"/>
    </row>
    <row r="47" spans="3:10" s="218" customFormat="1" ht="18.600000000000001" customHeight="1">
      <c r="C47" s="211">
        <v>1</v>
      </c>
      <c r="D47" s="212" t="s">
        <v>5229</v>
      </c>
      <c r="E47" s="196"/>
      <c r="F47" s="213" t="s">
        <v>62</v>
      </c>
      <c r="G47" s="214">
        <v>1.2</v>
      </c>
      <c r="H47" s="215">
        <f>VLOOKUP(D47,upahbahan,3,FALSE)</f>
        <v>0</v>
      </c>
      <c r="I47" s="216">
        <f>H47*G47</f>
        <v>0</v>
      </c>
      <c r="J47" s="217"/>
    </row>
    <row r="48" spans="3:10" s="218" customFormat="1" ht="18.600000000000001" customHeight="1">
      <c r="C48" s="207" t="s">
        <v>1214</v>
      </c>
      <c r="D48" s="208"/>
      <c r="E48" s="208"/>
      <c r="F48" s="208"/>
      <c r="G48" s="208"/>
      <c r="H48" s="209"/>
      <c r="I48" s="219">
        <f>SUM(I46:I47)</f>
        <v>0</v>
      </c>
      <c r="J48" s="217"/>
    </row>
    <row r="49" spans="3:12" s="218" customFormat="1" ht="18.600000000000001" customHeight="1">
      <c r="C49" s="195" t="s">
        <v>1215</v>
      </c>
      <c r="D49" s="196" t="s">
        <v>1216</v>
      </c>
      <c r="E49" s="196"/>
      <c r="F49" s="212"/>
      <c r="G49" s="212"/>
      <c r="H49" s="212"/>
      <c r="I49" s="220"/>
      <c r="J49" s="217"/>
    </row>
    <row r="50" spans="3:12" s="218" customFormat="1" ht="18.600000000000001" customHeight="1">
      <c r="C50" s="201">
        <v>1</v>
      </c>
      <c r="D50" s="196" t="s">
        <v>5226</v>
      </c>
      <c r="E50" s="196"/>
      <c r="F50" s="213" t="s">
        <v>1974</v>
      </c>
      <c r="G50" s="236">
        <v>3.2000000000000002E-3</v>
      </c>
      <c r="H50" s="237">
        <f>VLOOKUP(D50,upahbahan,3,FALSE)</f>
        <v>25000</v>
      </c>
      <c r="I50" s="238">
        <f>H50*G50</f>
        <v>80</v>
      </c>
      <c r="J50" s="217"/>
    </row>
    <row r="51" spans="3:12" s="200" customFormat="1" ht="18.600000000000001" customHeight="1">
      <c r="C51" s="207" t="s">
        <v>1217</v>
      </c>
      <c r="D51" s="208"/>
      <c r="E51" s="208"/>
      <c r="F51" s="208"/>
      <c r="G51" s="208"/>
      <c r="H51" s="209"/>
      <c r="I51" s="240">
        <f>SUM(I49:I50)</f>
        <v>80</v>
      </c>
      <c r="J51" s="199"/>
    </row>
    <row r="52" spans="3:12" s="227" customFormat="1" ht="18.600000000000001" customHeight="1">
      <c r="C52" s="223" t="s">
        <v>1218</v>
      </c>
      <c r="D52" s="224" t="s">
        <v>1219</v>
      </c>
      <c r="E52" s="225"/>
      <c r="F52" s="225"/>
      <c r="G52" s="225"/>
      <c r="H52" s="226"/>
      <c r="I52" s="210">
        <f>I45+I48+I51</f>
        <v>2400</v>
      </c>
      <c r="J52" s="199"/>
    </row>
    <row r="53" spans="3:12" s="227" customFormat="1" ht="18.600000000000001" customHeight="1">
      <c r="C53" s="223" t="s">
        <v>1220</v>
      </c>
      <c r="D53" s="224" t="s">
        <v>1321</v>
      </c>
      <c r="E53" s="225"/>
      <c r="F53" s="225"/>
      <c r="G53" s="226"/>
      <c r="H53" s="228">
        <v>0.1</v>
      </c>
      <c r="I53" s="210">
        <f>I52*H53</f>
        <v>240</v>
      </c>
      <c r="J53" s="199"/>
    </row>
    <row r="54" spans="3:12" s="227" customFormat="1" ht="18.600000000000001" customHeight="1" thickBot="1">
      <c r="C54" s="229" t="s">
        <v>1221</v>
      </c>
      <c r="D54" s="230" t="s">
        <v>1222</v>
      </c>
      <c r="E54" s="231"/>
      <c r="F54" s="231"/>
      <c r="G54" s="231"/>
      <c r="H54" s="232"/>
      <c r="I54" s="233">
        <f>SUM(I52:I53)</f>
        <v>2640</v>
      </c>
      <c r="J54" s="199"/>
    </row>
    <row r="55" spans="3:12" ht="18.600000000000001" customHeight="1" thickTop="1"/>
    <row r="56" spans="3:12" ht="18.600000000000001" customHeight="1"/>
    <row r="57" spans="3:12" ht="18.600000000000001" customHeight="1" thickBot="1">
      <c r="C57" s="187" t="s">
        <v>2155</v>
      </c>
      <c r="D57" s="187" t="s">
        <v>2156</v>
      </c>
      <c r="J57" s="189">
        <f>ROUNDDOWN(I73,-2)</f>
        <v>900</v>
      </c>
      <c r="K57" s="187" t="s">
        <v>6456</v>
      </c>
      <c r="L57" s="187" t="s">
        <v>6459</v>
      </c>
    </row>
    <row r="58" spans="3:12" s="194" customFormat="1" ht="35.4" customHeight="1" thickTop="1">
      <c r="C58" s="190" t="s">
        <v>1195</v>
      </c>
      <c r="D58" s="191" t="s">
        <v>1196</v>
      </c>
      <c r="E58" s="191" t="s">
        <v>1906</v>
      </c>
      <c r="F58" s="191" t="s">
        <v>1197</v>
      </c>
      <c r="G58" s="191" t="s">
        <v>1198</v>
      </c>
      <c r="H58" s="191" t="s">
        <v>1199</v>
      </c>
      <c r="I58" s="192" t="s">
        <v>1200</v>
      </c>
      <c r="J58" s="193"/>
    </row>
    <row r="59" spans="3:12" s="200" customFormat="1" ht="18.600000000000001" customHeight="1">
      <c r="C59" s="195" t="s">
        <v>1201</v>
      </c>
      <c r="D59" s="196" t="s">
        <v>1202</v>
      </c>
      <c r="E59" s="196"/>
      <c r="F59" s="197"/>
      <c r="G59" s="197"/>
      <c r="H59" s="197"/>
      <c r="I59" s="198"/>
      <c r="J59" s="199"/>
    </row>
    <row r="60" spans="3:12" s="200" customFormat="1" ht="18.600000000000001" customHeight="1">
      <c r="C60" s="201">
        <v>1</v>
      </c>
      <c r="D60" s="196" t="s">
        <v>5</v>
      </c>
      <c r="E60" s="202" t="s">
        <v>1774</v>
      </c>
      <c r="F60" s="203" t="s">
        <v>2102</v>
      </c>
      <c r="G60" s="204">
        <v>2.3999999999999998E-3</v>
      </c>
      <c r="H60" s="205">
        <f>VLOOKUP(D60,upahbahan,3,FALSE)</f>
        <v>100000</v>
      </c>
      <c r="I60" s="206">
        <f>H60*G60</f>
        <v>239.99999999999997</v>
      </c>
      <c r="J60" s="199"/>
    </row>
    <row r="61" spans="3:12" s="200" customFormat="1" ht="18.600000000000001" customHeight="1">
      <c r="C61" s="201">
        <v>2</v>
      </c>
      <c r="D61" s="196" t="s">
        <v>1785</v>
      </c>
      <c r="E61" s="213" t="s">
        <v>1775</v>
      </c>
      <c r="F61" s="234" t="s">
        <v>2102</v>
      </c>
      <c r="G61" s="204">
        <v>1.1999999999999999E-3</v>
      </c>
      <c r="H61" s="205">
        <f>VLOOKUP(D61,upahbahan,3,FALSE)</f>
        <v>145000</v>
      </c>
      <c r="I61" s="206">
        <f>H61*G61</f>
        <v>173.99999999999997</v>
      </c>
      <c r="J61" s="199"/>
    </row>
    <row r="62" spans="3:12" s="200" customFormat="1" ht="18.600000000000001" customHeight="1">
      <c r="C62" s="201">
        <v>3</v>
      </c>
      <c r="D62" s="196" t="s">
        <v>19</v>
      </c>
      <c r="E62" s="202" t="s">
        <v>1777</v>
      </c>
      <c r="F62" s="203" t="s">
        <v>2102</v>
      </c>
      <c r="G62" s="204">
        <v>2.0000000000000001E-4</v>
      </c>
      <c r="H62" s="205">
        <f>VLOOKUP(D62,upahbahan,3,FALSE)</f>
        <v>160000</v>
      </c>
      <c r="I62" s="206">
        <f>H62*G62</f>
        <v>32</v>
      </c>
      <c r="J62" s="199"/>
    </row>
    <row r="63" spans="3:12" s="200" customFormat="1" ht="18.600000000000001" customHeight="1">
      <c r="C63" s="207" t="s">
        <v>1208</v>
      </c>
      <c r="D63" s="208"/>
      <c r="E63" s="208"/>
      <c r="F63" s="208"/>
      <c r="G63" s="208"/>
      <c r="H63" s="209"/>
      <c r="I63" s="210">
        <f>SUM(I60:I62)</f>
        <v>445.99999999999994</v>
      </c>
      <c r="J63" s="199"/>
    </row>
    <row r="64" spans="3:12" s="200" customFormat="1" ht="18.600000000000001" customHeight="1">
      <c r="C64" s="195" t="s">
        <v>1209</v>
      </c>
      <c r="D64" s="196" t="s">
        <v>1210</v>
      </c>
      <c r="E64" s="196"/>
      <c r="F64" s="197"/>
      <c r="G64" s="197"/>
      <c r="H64" s="197"/>
      <c r="I64" s="198"/>
      <c r="J64" s="199"/>
    </row>
    <row r="65" spans="3:12" s="218" customFormat="1" ht="18.600000000000001" customHeight="1">
      <c r="C65" s="211">
        <v>1</v>
      </c>
      <c r="D65" s="212" t="s">
        <v>5229</v>
      </c>
      <c r="E65" s="196"/>
      <c r="F65" s="213" t="s">
        <v>62</v>
      </c>
      <c r="G65" s="214">
        <v>1.2</v>
      </c>
      <c r="H65" s="215">
        <f>VLOOKUP(D65,upahbahan,3,FALSE)</f>
        <v>0</v>
      </c>
      <c r="I65" s="216">
        <f>H65*G65</f>
        <v>0</v>
      </c>
      <c r="J65" s="217"/>
    </row>
    <row r="66" spans="3:12" s="218" customFormat="1" ht="18.600000000000001" customHeight="1">
      <c r="C66" s="207" t="s">
        <v>1214</v>
      </c>
      <c r="D66" s="208"/>
      <c r="E66" s="208"/>
      <c r="F66" s="208"/>
      <c r="G66" s="208"/>
      <c r="H66" s="209"/>
      <c r="I66" s="219">
        <f>SUM(I64:I65)</f>
        <v>0</v>
      </c>
      <c r="J66" s="217"/>
    </row>
    <row r="67" spans="3:12" s="218" customFormat="1" ht="18.600000000000001" customHeight="1">
      <c r="C67" s="195" t="s">
        <v>1215</v>
      </c>
      <c r="D67" s="196" t="s">
        <v>1216</v>
      </c>
      <c r="E67" s="196"/>
      <c r="F67" s="212"/>
      <c r="G67" s="212"/>
      <c r="H67" s="212"/>
      <c r="I67" s="220"/>
      <c r="J67" s="217"/>
    </row>
    <row r="68" spans="3:12" s="218" customFormat="1" ht="18.600000000000001" customHeight="1">
      <c r="C68" s="201">
        <v>1</v>
      </c>
      <c r="D68" s="196" t="s">
        <v>5226</v>
      </c>
      <c r="E68" s="196"/>
      <c r="F68" s="213" t="s">
        <v>1974</v>
      </c>
      <c r="G68" s="236">
        <v>1.1999999999999999E-3</v>
      </c>
      <c r="H68" s="215">
        <f>VLOOKUP(D68,upahbahan,3,FALSE)</f>
        <v>25000</v>
      </c>
      <c r="I68" s="216">
        <f>H68*G68</f>
        <v>29.999999999999996</v>
      </c>
      <c r="J68" s="217"/>
    </row>
    <row r="69" spans="3:12" s="218" customFormat="1" ht="18.600000000000001" customHeight="1">
      <c r="C69" s="201">
        <v>2</v>
      </c>
      <c r="D69" s="196" t="s">
        <v>5227</v>
      </c>
      <c r="E69" s="196"/>
      <c r="F69" s="213" t="s">
        <v>1974</v>
      </c>
      <c r="G69" s="239">
        <v>1.47E-4</v>
      </c>
      <c r="H69" s="237">
        <f>VLOOKUP(D69,upahbahan,3,FALSE)</f>
        <v>2700000</v>
      </c>
      <c r="I69" s="238">
        <f>H69*G69</f>
        <v>396.9</v>
      </c>
      <c r="J69" s="217"/>
    </row>
    <row r="70" spans="3:12" s="200" customFormat="1" ht="18.600000000000001" customHeight="1">
      <c r="C70" s="207" t="s">
        <v>1217</v>
      </c>
      <c r="D70" s="208"/>
      <c r="E70" s="208"/>
      <c r="F70" s="208"/>
      <c r="G70" s="208"/>
      <c r="H70" s="209"/>
      <c r="I70" s="240">
        <f>SUM(I67:I69)</f>
        <v>426.9</v>
      </c>
      <c r="J70" s="199"/>
    </row>
    <row r="71" spans="3:12" s="227" customFormat="1" ht="18.600000000000001" customHeight="1">
      <c r="C71" s="223" t="s">
        <v>1218</v>
      </c>
      <c r="D71" s="224" t="s">
        <v>1219</v>
      </c>
      <c r="E71" s="225"/>
      <c r="F71" s="225"/>
      <c r="G71" s="225"/>
      <c r="H71" s="226"/>
      <c r="I71" s="210">
        <f>I63+I66+I70</f>
        <v>872.89999999999986</v>
      </c>
      <c r="J71" s="199"/>
    </row>
    <row r="72" spans="3:12" s="227" customFormat="1" ht="18.600000000000001" customHeight="1">
      <c r="C72" s="223" t="s">
        <v>1220</v>
      </c>
      <c r="D72" s="224" t="s">
        <v>1321</v>
      </c>
      <c r="E72" s="225"/>
      <c r="F72" s="225"/>
      <c r="G72" s="226"/>
      <c r="H72" s="228">
        <v>0.1</v>
      </c>
      <c r="I72" s="210">
        <f>I71*H72</f>
        <v>87.289999999999992</v>
      </c>
      <c r="J72" s="199"/>
    </row>
    <row r="73" spans="3:12" s="227" customFormat="1" ht="18.600000000000001" customHeight="1" thickBot="1">
      <c r="C73" s="229" t="s">
        <v>1221</v>
      </c>
      <c r="D73" s="230" t="s">
        <v>1222</v>
      </c>
      <c r="E73" s="231"/>
      <c r="F73" s="231"/>
      <c r="G73" s="231"/>
      <c r="H73" s="232"/>
      <c r="I73" s="233">
        <f>SUM(I71:I72)</f>
        <v>960.18999999999983</v>
      </c>
      <c r="J73" s="199"/>
    </row>
    <row r="74" spans="3:12" ht="18.600000000000001" customHeight="1" thickTop="1"/>
    <row r="75" spans="3:12" ht="18.600000000000001" customHeight="1" thickBot="1">
      <c r="C75" s="187" t="s">
        <v>2157</v>
      </c>
      <c r="D75" s="187" t="s">
        <v>2158</v>
      </c>
      <c r="J75" s="189">
        <f>ROUNDDOWN(I90,-2)</f>
        <v>4100</v>
      </c>
      <c r="K75" s="200" t="s">
        <v>6456</v>
      </c>
      <c r="L75" s="200" t="s">
        <v>6461</v>
      </c>
    </row>
    <row r="76" spans="3:12" s="194" customFormat="1" ht="32.4" customHeight="1" thickTop="1">
      <c r="C76" s="190" t="s">
        <v>1195</v>
      </c>
      <c r="D76" s="191" t="s">
        <v>1196</v>
      </c>
      <c r="E76" s="191" t="s">
        <v>1906</v>
      </c>
      <c r="F76" s="191" t="s">
        <v>1197</v>
      </c>
      <c r="G76" s="191" t="s">
        <v>1198</v>
      </c>
      <c r="H76" s="191" t="s">
        <v>1199</v>
      </c>
      <c r="I76" s="192" t="s">
        <v>1200</v>
      </c>
      <c r="J76" s="193"/>
    </row>
    <row r="77" spans="3:12" s="200" customFormat="1" ht="18.600000000000001" customHeight="1">
      <c r="C77" s="195" t="s">
        <v>1201</v>
      </c>
      <c r="D77" s="196" t="s">
        <v>1202</v>
      </c>
      <c r="E77" s="196"/>
      <c r="F77" s="197"/>
      <c r="G77" s="197"/>
      <c r="H77" s="197"/>
      <c r="I77" s="198"/>
      <c r="J77" s="199"/>
    </row>
    <row r="78" spans="3:12" s="200" customFormat="1" ht="18.600000000000001" customHeight="1">
      <c r="C78" s="201">
        <v>1</v>
      </c>
      <c r="D78" s="196" t="s">
        <v>5</v>
      </c>
      <c r="E78" s="202" t="s">
        <v>1774</v>
      </c>
      <c r="F78" s="203" t="s">
        <v>2102</v>
      </c>
      <c r="G78" s="204">
        <v>2.5000000000000001E-2</v>
      </c>
      <c r="H78" s="205">
        <f>VLOOKUP(D78,upahbahan,3,FALSE)</f>
        <v>100000</v>
      </c>
      <c r="I78" s="206">
        <f>H78*G78</f>
        <v>2500</v>
      </c>
      <c r="J78" s="199"/>
    </row>
    <row r="79" spans="3:12" s="200" customFormat="1" ht="18.600000000000001" customHeight="1">
      <c r="C79" s="201">
        <v>2</v>
      </c>
      <c r="D79" s="196" t="s">
        <v>1785</v>
      </c>
      <c r="E79" s="213" t="s">
        <v>1775</v>
      </c>
      <c r="F79" s="234" t="s">
        <v>2102</v>
      </c>
      <c r="G79" s="204">
        <v>5.0000000000000001E-3</v>
      </c>
      <c r="H79" s="205">
        <f>VLOOKUP(D79,upahbahan,3,FALSE)</f>
        <v>145000</v>
      </c>
      <c r="I79" s="206">
        <f>H79*G79</f>
        <v>725</v>
      </c>
      <c r="J79" s="199"/>
    </row>
    <row r="80" spans="3:12" s="200" customFormat="1" ht="18.600000000000001" customHeight="1">
      <c r="C80" s="201">
        <v>3</v>
      </c>
      <c r="D80" s="196" t="s">
        <v>19</v>
      </c>
      <c r="E80" s="202" t="s">
        <v>1777</v>
      </c>
      <c r="F80" s="203" t="s">
        <v>2102</v>
      </c>
      <c r="G80" s="204">
        <v>2.5000000000000001E-3</v>
      </c>
      <c r="H80" s="205">
        <f>VLOOKUP(D80,upahbahan,3,FALSE)</f>
        <v>160000</v>
      </c>
      <c r="I80" s="206">
        <f>H80*G80</f>
        <v>400</v>
      </c>
      <c r="J80" s="199"/>
    </row>
    <row r="81" spans="3:12" s="200" customFormat="1" ht="18.600000000000001" customHeight="1">
      <c r="C81" s="207" t="s">
        <v>1208</v>
      </c>
      <c r="D81" s="208"/>
      <c r="E81" s="208"/>
      <c r="F81" s="208"/>
      <c r="G81" s="208"/>
      <c r="H81" s="209"/>
      <c r="I81" s="210">
        <f>SUM(I78:I80)</f>
        <v>3625</v>
      </c>
      <c r="J81" s="199"/>
    </row>
    <row r="82" spans="3:12" s="200" customFormat="1" ht="18.600000000000001" customHeight="1">
      <c r="C82" s="195" t="s">
        <v>1209</v>
      </c>
      <c r="D82" s="196" t="s">
        <v>1210</v>
      </c>
      <c r="E82" s="196"/>
      <c r="F82" s="197"/>
      <c r="G82" s="197"/>
      <c r="H82" s="197"/>
      <c r="I82" s="198"/>
      <c r="J82" s="199"/>
    </row>
    <row r="83" spans="3:12" s="200" customFormat="1" ht="18.600000000000001" customHeight="1">
      <c r="C83" s="241">
        <v>1</v>
      </c>
      <c r="D83" s="242" t="s">
        <v>6460</v>
      </c>
      <c r="E83" s="243"/>
      <c r="F83" s="244" t="s">
        <v>62</v>
      </c>
      <c r="G83" s="245">
        <v>1.3</v>
      </c>
      <c r="H83" s="246">
        <f>VLOOKUP(D83,upahbahan,3,FALSE)</f>
        <v>0</v>
      </c>
      <c r="I83" s="247">
        <f>H83*G83</f>
        <v>0</v>
      </c>
      <c r="J83" s="199"/>
    </row>
    <row r="84" spans="3:12" s="200" customFormat="1" ht="18.600000000000001" customHeight="1">
      <c r="C84" s="248" t="s">
        <v>1214</v>
      </c>
      <c r="D84" s="249"/>
      <c r="E84" s="249"/>
      <c r="F84" s="249"/>
      <c r="G84" s="249"/>
      <c r="H84" s="250"/>
      <c r="I84" s="251">
        <f>SUM(I82:I83)</f>
        <v>0</v>
      </c>
      <c r="J84" s="199"/>
    </row>
    <row r="85" spans="3:12" s="200" customFormat="1" ht="18.600000000000001" customHeight="1">
      <c r="C85" s="252" t="s">
        <v>1215</v>
      </c>
      <c r="D85" s="243" t="s">
        <v>1216</v>
      </c>
      <c r="E85" s="243"/>
      <c r="F85" s="242"/>
      <c r="G85" s="242"/>
      <c r="H85" s="242"/>
      <c r="I85" s="253"/>
      <c r="J85" s="199"/>
    </row>
    <row r="86" spans="3:12" s="200" customFormat="1" ht="18.600000000000001" customHeight="1">
      <c r="C86" s="254">
        <v>1</v>
      </c>
      <c r="D86" s="243" t="s">
        <v>5226</v>
      </c>
      <c r="E86" s="243"/>
      <c r="F86" s="244" t="s">
        <v>1974</v>
      </c>
      <c r="G86" s="255">
        <v>5.0000000000000001E-3</v>
      </c>
      <c r="H86" s="246">
        <f>VLOOKUP(D86,upahbahan,3,FALSE)</f>
        <v>25000</v>
      </c>
      <c r="I86" s="247">
        <f>H86*G86</f>
        <v>125</v>
      </c>
      <c r="J86" s="199"/>
    </row>
    <row r="87" spans="3:12" s="200" customFormat="1" ht="18.600000000000001" customHeight="1">
      <c r="C87" s="207" t="s">
        <v>1217</v>
      </c>
      <c r="D87" s="208"/>
      <c r="E87" s="208"/>
      <c r="F87" s="208"/>
      <c r="G87" s="208"/>
      <c r="H87" s="209"/>
      <c r="I87" s="222">
        <f>SUM(I85:I86)</f>
        <v>125</v>
      </c>
      <c r="J87" s="199"/>
    </row>
    <row r="88" spans="3:12" s="227" customFormat="1" ht="18.600000000000001" customHeight="1">
      <c r="C88" s="223" t="s">
        <v>1218</v>
      </c>
      <c r="D88" s="224" t="s">
        <v>1219</v>
      </c>
      <c r="E88" s="225"/>
      <c r="F88" s="225"/>
      <c r="G88" s="225"/>
      <c r="H88" s="226"/>
      <c r="I88" s="210">
        <f>I81+I84+I87</f>
        <v>3750</v>
      </c>
      <c r="J88" s="199"/>
    </row>
    <row r="89" spans="3:12" s="227" customFormat="1" ht="18.600000000000001" customHeight="1">
      <c r="C89" s="223" t="s">
        <v>1220</v>
      </c>
      <c r="D89" s="224" t="s">
        <v>1321</v>
      </c>
      <c r="E89" s="225"/>
      <c r="F89" s="225"/>
      <c r="G89" s="226"/>
      <c r="H89" s="228">
        <v>0.1</v>
      </c>
      <c r="I89" s="210">
        <f>I88*H89</f>
        <v>375</v>
      </c>
      <c r="J89" s="199"/>
    </row>
    <row r="90" spans="3:12" s="227" customFormat="1" ht="18.600000000000001" customHeight="1" thickBot="1">
      <c r="C90" s="229" t="s">
        <v>1221</v>
      </c>
      <c r="D90" s="230" t="s">
        <v>1222</v>
      </c>
      <c r="E90" s="231"/>
      <c r="F90" s="231"/>
      <c r="G90" s="231"/>
      <c r="H90" s="232"/>
      <c r="I90" s="233">
        <f>SUM(I88:I89)</f>
        <v>4125</v>
      </c>
      <c r="J90" s="199"/>
    </row>
    <row r="91" spans="3:12" ht="18.600000000000001" customHeight="1" thickTop="1"/>
    <row r="92" spans="3:12" ht="18.600000000000001" customHeight="1"/>
    <row r="93" spans="3:12" ht="18.600000000000001" customHeight="1" thickBot="1">
      <c r="C93" s="187" t="s">
        <v>2159</v>
      </c>
      <c r="D93" s="187" t="s">
        <v>2160</v>
      </c>
      <c r="J93" s="189">
        <f>ROUNDDOWN(I109,-2)</f>
        <v>1200</v>
      </c>
      <c r="K93" s="188" t="s">
        <v>6451</v>
      </c>
      <c r="L93" s="200" t="s">
        <v>6461</v>
      </c>
    </row>
    <row r="94" spans="3:12" s="194" customFormat="1" ht="27" customHeight="1" thickTop="1">
      <c r="C94" s="190" t="s">
        <v>1195</v>
      </c>
      <c r="D94" s="191" t="s">
        <v>1196</v>
      </c>
      <c r="E94" s="191" t="s">
        <v>1906</v>
      </c>
      <c r="F94" s="191" t="s">
        <v>1197</v>
      </c>
      <c r="G94" s="191" t="s">
        <v>1198</v>
      </c>
      <c r="H94" s="191" t="s">
        <v>1199</v>
      </c>
      <c r="I94" s="192" t="s">
        <v>1200</v>
      </c>
      <c r="J94" s="193"/>
    </row>
    <row r="95" spans="3:12" s="200" customFormat="1" ht="18.600000000000001" customHeight="1">
      <c r="C95" s="195" t="s">
        <v>1201</v>
      </c>
      <c r="D95" s="196" t="s">
        <v>1202</v>
      </c>
      <c r="E95" s="196"/>
      <c r="F95" s="197"/>
      <c r="G95" s="197"/>
      <c r="H95" s="197"/>
      <c r="I95" s="198"/>
      <c r="J95" s="199"/>
    </row>
    <row r="96" spans="3:12" s="200" customFormat="1" ht="18.600000000000001" customHeight="1">
      <c r="C96" s="201">
        <v>1</v>
      </c>
      <c r="D96" s="196" t="s">
        <v>5</v>
      </c>
      <c r="E96" s="202" t="s">
        <v>1774</v>
      </c>
      <c r="F96" s="203" t="s">
        <v>2102</v>
      </c>
      <c r="G96" s="204">
        <v>3.5999999999999999E-3</v>
      </c>
      <c r="H96" s="205">
        <f>VLOOKUP(D96,upahbahan,3,FALSE)</f>
        <v>100000</v>
      </c>
      <c r="I96" s="206">
        <f>H96*G96</f>
        <v>360</v>
      </c>
      <c r="J96" s="199"/>
    </row>
    <row r="97" spans="3:10" s="200" customFormat="1" ht="18.600000000000001" customHeight="1">
      <c r="C97" s="201">
        <v>2</v>
      </c>
      <c r="D97" s="196" t="s">
        <v>1785</v>
      </c>
      <c r="E97" s="213" t="s">
        <v>1775</v>
      </c>
      <c r="F97" s="234" t="s">
        <v>2102</v>
      </c>
      <c r="G97" s="204">
        <v>1.8E-3</v>
      </c>
      <c r="H97" s="205">
        <f>VLOOKUP(D97,upahbahan,3,FALSE)</f>
        <v>145000</v>
      </c>
      <c r="I97" s="206">
        <f>H97*G97</f>
        <v>261</v>
      </c>
      <c r="J97" s="199"/>
    </row>
    <row r="98" spans="3:10" s="200" customFormat="1" ht="18.600000000000001" customHeight="1">
      <c r="C98" s="201">
        <v>3</v>
      </c>
      <c r="D98" s="196" t="s">
        <v>19</v>
      </c>
      <c r="E98" s="202" t="s">
        <v>1777</v>
      </c>
      <c r="F98" s="203" t="s">
        <v>2102</v>
      </c>
      <c r="G98" s="204">
        <v>4.0000000000000002E-4</v>
      </c>
      <c r="H98" s="205">
        <f>VLOOKUP(D98,upahbahan,3,FALSE)</f>
        <v>160000</v>
      </c>
      <c r="I98" s="206">
        <f>H98*G98</f>
        <v>64</v>
      </c>
      <c r="J98" s="199"/>
    </row>
    <row r="99" spans="3:10" s="200" customFormat="1" ht="18.600000000000001" customHeight="1">
      <c r="C99" s="207" t="s">
        <v>1208</v>
      </c>
      <c r="D99" s="208"/>
      <c r="E99" s="208"/>
      <c r="F99" s="208"/>
      <c r="G99" s="208"/>
      <c r="H99" s="209"/>
      <c r="I99" s="210">
        <f>SUM(I96:I98)</f>
        <v>685</v>
      </c>
      <c r="J99" s="199"/>
    </row>
    <row r="100" spans="3:10" s="200" customFormat="1" ht="18.600000000000001" customHeight="1">
      <c r="C100" s="195" t="s">
        <v>1209</v>
      </c>
      <c r="D100" s="196" t="s">
        <v>1210</v>
      </c>
      <c r="E100" s="196"/>
      <c r="F100" s="197"/>
      <c r="G100" s="197"/>
      <c r="H100" s="197"/>
      <c r="I100" s="198"/>
      <c r="J100" s="199"/>
    </row>
    <row r="101" spans="3:10" s="200" customFormat="1" ht="18.600000000000001" customHeight="1">
      <c r="C101" s="241">
        <v>1</v>
      </c>
      <c r="D101" s="242" t="s">
        <v>6460</v>
      </c>
      <c r="E101" s="243"/>
      <c r="F101" s="244" t="s">
        <v>62</v>
      </c>
      <c r="G101" s="245">
        <v>1.3</v>
      </c>
      <c r="H101" s="246">
        <f>VLOOKUP(D101,upahbahan,3,FALSE)</f>
        <v>0</v>
      </c>
      <c r="I101" s="247">
        <f>H101*G101</f>
        <v>0</v>
      </c>
      <c r="J101" s="199"/>
    </row>
    <row r="102" spans="3:10" s="200" customFormat="1" ht="18.600000000000001" customHeight="1">
      <c r="C102" s="248" t="s">
        <v>1214</v>
      </c>
      <c r="D102" s="249"/>
      <c r="E102" s="249"/>
      <c r="F102" s="249"/>
      <c r="G102" s="249"/>
      <c r="H102" s="250"/>
      <c r="I102" s="251">
        <f>SUM(I100:I101)</f>
        <v>0</v>
      </c>
      <c r="J102" s="199"/>
    </row>
    <row r="103" spans="3:10" s="200" customFormat="1" ht="18.600000000000001" customHeight="1">
      <c r="C103" s="252" t="s">
        <v>1215</v>
      </c>
      <c r="D103" s="243" t="s">
        <v>1216</v>
      </c>
      <c r="E103" s="243"/>
      <c r="F103" s="242"/>
      <c r="G103" s="242"/>
      <c r="H103" s="242"/>
      <c r="I103" s="253"/>
      <c r="J103" s="199"/>
    </row>
    <row r="104" spans="3:10" s="200" customFormat="1" ht="18.600000000000001" customHeight="1">
      <c r="C104" s="254">
        <v>1</v>
      </c>
      <c r="D104" s="243" t="s">
        <v>5226</v>
      </c>
      <c r="E104" s="243"/>
      <c r="F104" s="244" t="s">
        <v>1974</v>
      </c>
      <c r="G104" s="255">
        <v>1.8E-3</v>
      </c>
      <c r="H104" s="205">
        <f>VLOOKUP(D104,upahbahan,3,FALSE)</f>
        <v>25000</v>
      </c>
      <c r="I104" s="206">
        <f>H104*G104</f>
        <v>45</v>
      </c>
      <c r="J104" s="199"/>
    </row>
    <row r="105" spans="3:10" s="200" customFormat="1" ht="18.600000000000001" customHeight="1">
      <c r="C105" s="254">
        <v>2</v>
      </c>
      <c r="D105" s="243" t="s">
        <v>5227</v>
      </c>
      <c r="E105" s="243"/>
      <c r="F105" s="244" t="s">
        <v>1974</v>
      </c>
      <c r="G105" s="256">
        <v>1.46E-4</v>
      </c>
      <c r="H105" s="205">
        <f>VLOOKUP(D105,upahbahan,3,FALSE)</f>
        <v>2700000</v>
      </c>
      <c r="I105" s="206">
        <f>H105*G105</f>
        <v>394.2</v>
      </c>
      <c r="J105" s="199"/>
    </row>
    <row r="106" spans="3:10" s="200" customFormat="1" ht="18.600000000000001" customHeight="1">
      <c r="C106" s="207" t="s">
        <v>1217</v>
      </c>
      <c r="D106" s="208"/>
      <c r="E106" s="208"/>
      <c r="F106" s="208"/>
      <c r="G106" s="208"/>
      <c r="H106" s="209"/>
      <c r="I106" s="222">
        <f>SUM(I103:I105)</f>
        <v>439.2</v>
      </c>
      <c r="J106" s="199"/>
    </row>
    <row r="107" spans="3:10" s="227" customFormat="1" ht="18.600000000000001" customHeight="1">
      <c r="C107" s="223" t="s">
        <v>1218</v>
      </c>
      <c r="D107" s="224" t="s">
        <v>1219</v>
      </c>
      <c r="E107" s="225"/>
      <c r="F107" s="225"/>
      <c r="G107" s="225"/>
      <c r="H107" s="226"/>
      <c r="I107" s="210">
        <f>I99+I102+I106</f>
        <v>1124.2</v>
      </c>
      <c r="J107" s="199"/>
    </row>
    <row r="108" spans="3:10" s="227" customFormat="1" ht="18.600000000000001" customHeight="1">
      <c r="C108" s="223" t="s">
        <v>1220</v>
      </c>
      <c r="D108" s="224" t="s">
        <v>1321</v>
      </c>
      <c r="E108" s="225"/>
      <c r="F108" s="225"/>
      <c r="G108" s="226"/>
      <c r="H108" s="228">
        <v>0.1</v>
      </c>
      <c r="I108" s="210">
        <f>I107*H108</f>
        <v>112.42000000000002</v>
      </c>
      <c r="J108" s="199"/>
    </row>
    <row r="109" spans="3:10" s="227" customFormat="1" ht="18.600000000000001" customHeight="1" thickBot="1">
      <c r="C109" s="229" t="s">
        <v>1221</v>
      </c>
      <c r="D109" s="230" t="s">
        <v>1222</v>
      </c>
      <c r="E109" s="231"/>
      <c r="F109" s="231"/>
      <c r="G109" s="231"/>
      <c r="H109" s="232"/>
      <c r="I109" s="233">
        <f>SUM(I107:I108)</f>
        <v>1236.6200000000001</v>
      </c>
      <c r="J109" s="199"/>
    </row>
    <row r="110" spans="3:10" ht="18.600000000000001" customHeight="1" thickTop="1"/>
    <row r="111" spans="3:10" ht="18.600000000000001" customHeight="1"/>
    <row r="112" spans="3:10" ht="18.600000000000001" customHeight="1" thickBot="1">
      <c r="C112" s="187" t="s">
        <v>2161</v>
      </c>
      <c r="D112" s="187" t="s">
        <v>2162</v>
      </c>
      <c r="J112" s="189">
        <f>ROUNDDOWN(I130,-2)</f>
        <v>1700</v>
      </c>
    </row>
    <row r="113" spans="3:10" s="194" customFormat="1" ht="31.8" customHeight="1" thickTop="1">
      <c r="C113" s="190" t="s">
        <v>1195</v>
      </c>
      <c r="D113" s="191" t="s">
        <v>1196</v>
      </c>
      <c r="E113" s="191" t="s">
        <v>1906</v>
      </c>
      <c r="F113" s="191" t="s">
        <v>1197</v>
      </c>
      <c r="G113" s="191" t="s">
        <v>1198</v>
      </c>
      <c r="H113" s="191" t="s">
        <v>1199</v>
      </c>
      <c r="I113" s="192" t="s">
        <v>1200</v>
      </c>
      <c r="J113" s="193"/>
    </row>
    <row r="114" spans="3:10" s="200" customFormat="1" ht="18.600000000000001" customHeight="1">
      <c r="C114" s="195" t="s">
        <v>1201</v>
      </c>
      <c r="D114" s="196" t="s">
        <v>1202</v>
      </c>
      <c r="E114" s="196"/>
      <c r="F114" s="197"/>
      <c r="G114" s="197"/>
      <c r="H114" s="197"/>
      <c r="I114" s="198"/>
      <c r="J114" s="199"/>
    </row>
    <row r="115" spans="3:10" s="200" customFormat="1" ht="18.600000000000001" customHeight="1">
      <c r="C115" s="201">
        <v>1</v>
      </c>
      <c r="D115" s="196" t="s">
        <v>5</v>
      </c>
      <c r="E115" s="202" t="s">
        <v>1774</v>
      </c>
      <c r="F115" s="203" t="s">
        <v>2102</v>
      </c>
      <c r="G115" s="257">
        <v>4.7600000000000003E-3</v>
      </c>
      <c r="H115" s="205">
        <f>VLOOKUP(D115,upahbahan,3,FALSE)</f>
        <v>100000</v>
      </c>
      <c r="I115" s="206">
        <f>H115*G115</f>
        <v>476.00000000000006</v>
      </c>
      <c r="J115" s="199"/>
    </row>
    <row r="116" spans="3:10" s="200" customFormat="1" ht="18.600000000000001" customHeight="1">
      <c r="C116" s="201">
        <v>2</v>
      </c>
      <c r="D116" s="196" t="s">
        <v>1785</v>
      </c>
      <c r="E116" s="213" t="s">
        <v>1775</v>
      </c>
      <c r="F116" s="234" t="s">
        <v>2102</v>
      </c>
      <c r="G116" s="257">
        <v>2.3800000000000002E-3</v>
      </c>
      <c r="H116" s="205">
        <f>VLOOKUP(D116,upahbahan,3,FALSE)</f>
        <v>145000</v>
      </c>
      <c r="I116" s="206">
        <f>H116*G116</f>
        <v>345.1</v>
      </c>
      <c r="J116" s="199"/>
    </row>
    <row r="117" spans="3:10" s="200" customFormat="1" ht="18.600000000000001" customHeight="1">
      <c r="C117" s="201">
        <v>3</v>
      </c>
      <c r="D117" s="196" t="s">
        <v>18</v>
      </c>
      <c r="E117" s="213" t="s">
        <v>1776</v>
      </c>
      <c r="F117" s="234" t="s">
        <v>2102</v>
      </c>
      <c r="G117" s="257">
        <v>2.4000000000000001E-4</v>
      </c>
      <c r="H117" s="205">
        <f>VLOOKUP(D117,upahbahan,3,FALSE)</f>
        <v>150000</v>
      </c>
      <c r="I117" s="206">
        <f>H117*G117</f>
        <v>36</v>
      </c>
      <c r="J117" s="199"/>
    </row>
    <row r="118" spans="3:10" s="200" customFormat="1" ht="18.600000000000001" customHeight="1">
      <c r="C118" s="201">
        <v>4</v>
      </c>
      <c r="D118" s="196" t="s">
        <v>19</v>
      </c>
      <c r="E118" s="202" t="s">
        <v>1777</v>
      </c>
      <c r="F118" s="203" t="s">
        <v>2102</v>
      </c>
      <c r="G118" s="257">
        <v>8.0000000000000007E-5</v>
      </c>
      <c r="H118" s="205">
        <f>VLOOKUP(D118,upahbahan,3,FALSE)</f>
        <v>160000</v>
      </c>
      <c r="I118" s="206">
        <f>H118*G118</f>
        <v>12.8</v>
      </c>
      <c r="J118" s="199"/>
    </row>
    <row r="119" spans="3:10" s="200" customFormat="1" ht="18.600000000000001" customHeight="1">
      <c r="C119" s="207" t="s">
        <v>1208</v>
      </c>
      <c r="D119" s="208"/>
      <c r="E119" s="208"/>
      <c r="F119" s="208"/>
      <c r="G119" s="208"/>
      <c r="H119" s="209"/>
      <c r="I119" s="210">
        <f>SUM(I115:I118)</f>
        <v>869.90000000000009</v>
      </c>
      <c r="J119" s="199"/>
    </row>
    <row r="120" spans="3:10" s="200" customFormat="1" ht="18.600000000000001" customHeight="1">
      <c r="C120" s="195" t="s">
        <v>1209</v>
      </c>
      <c r="D120" s="196" t="s">
        <v>1210</v>
      </c>
      <c r="E120" s="196"/>
      <c r="F120" s="197"/>
      <c r="G120" s="197"/>
      <c r="H120" s="197"/>
      <c r="I120" s="198"/>
      <c r="J120" s="199"/>
    </row>
    <row r="121" spans="3:10" s="200" customFormat="1" ht="18.600000000000001" customHeight="1">
      <c r="C121" s="241">
        <v>1</v>
      </c>
      <c r="D121" s="242" t="s">
        <v>5230</v>
      </c>
      <c r="E121" s="243"/>
      <c r="F121" s="244" t="s">
        <v>62</v>
      </c>
      <c r="G121" s="245">
        <v>1.1000000000000001</v>
      </c>
      <c r="H121" s="246">
        <f>VLOOKUP(D121,upahbahan,3,FALSE)</f>
        <v>0</v>
      </c>
      <c r="I121" s="247">
        <f>H121*G121</f>
        <v>0</v>
      </c>
      <c r="J121" s="199"/>
    </row>
    <row r="122" spans="3:10" s="200" customFormat="1" ht="18.600000000000001" customHeight="1">
      <c r="C122" s="248" t="s">
        <v>1214</v>
      </c>
      <c r="D122" s="249"/>
      <c r="E122" s="249"/>
      <c r="F122" s="249"/>
      <c r="G122" s="249"/>
      <c r="H122" s="250"/>
      <c r="I122" s="251">
        <f>SUM(I120:I121)</f>
        <v>0</v>
      </c>
      <c r="J122" s="199"/>
    </row>
    <row r="123" spans="3:10" s="200" customFormat="1" ht="18.600000000000001" customHeight="1">
      <c r="C123" s="252" t="s">
        <v>1215</v>
      </c>
      <c r="D123" s="243" t="s">
        <v>1216</v>
      </c>
      <c r="E123" s="243"/>
      <c r="F123" s="242"/>
      <c r="G123" s="242"/>
      <c r="H123" s="242"/>
      <c r="I123" s="253"/>
      <c r="J123" s="199"/>
    </row>
    <row r="124" spans="3:10" s="200" customFormat="1" ht="18.600000000000001" customHeight="1">
      <c r="C124" s="254">
        <v>1</v>
      </c>
      <c r="D124" s="243" t="s">
        <v>5226</v>
      </c>
      <c r="E124" s="243"/>
      <c r="F124" s="244" t="s">
        <v>1974</v>
      </c>
      <c r="G124" s="256">
        <v>2.3809999999999999E-3</v>
      </c>
      <c r="H124" s="205">
        <f>VLOOKUP(D124,upahbahan,3,FALSE)</f>
        <v>25000</v>
      </c>
      <c r="I124" s="206">
        <f>H124*G124</f>
        <v>59.524999999999999</v>
      </c>
      <c r="J124" s="199"/>
    </row>
    <row r="125" spans="3:10" s="200" customFormat="1" ht="18.600000000000001" customHeight="1">
      <c r="C125" s="254">
        <v>2</v>
      </c>
      <c r="D125" s="243" t="s">
        <v>5227</v>
      </c>
      <c r="E125" s="243"/>
      <c r="F125" s="244" t="s">
        <v>1974</v>
      </c>
      <c r="G125" s="256">
        <v>1.4300000000000001E-4</v>
      </c>
      <c r="H125" s="205">
        <f>VLOOKUP(D125,upahbahan,3,FALSE)</f>
        <v>2700000</v>
      </c>
      <c r="I125" s="206">
        <f>H125*G125</f>
        <v>386.1</v>
      </c>
      <c r="J125" s="199"/>
    </row>
    <row r="126" spans="3:10" s="200" customFormat="1" ht="18.600000000000001" customHeight="1">
      <c r="C126" s="254">
        <v>3</v>
      </c>
      <c r="D126" s="243" t="s">
        <v>4770</v>
      </c>
      <c r="E126" s="243"/>
      <c r="F126" s="244" t="s">
        <v>1974</v>
      </c>
      <c r="G126" s="256">
        <v>2.3809999999999999E-3</v>
      </c>
      <c r="H126" s="205">
        <f>VLOOKUP(D126,upahbahan,3,FALSE)</f>
        <v>108000</v>
      </c>
      <c r="I126" s="206">
        <f>H126*G126</f>
        <v>257.14799999999997</v>
      </c>
      <c r="J126" s="199"/>
    </row>
    <row r="127" spans="3:10" s="200" customFormat="1" ht="18.600000000000001" customHeight="1">
      <c r="C127" s="207" t="s">
        <v>1217</v>
      </c>
      <c r="D127" s="208"/>
      <c r="E127" s="208"/>
      <c r="F127" s="208"/>
      <c r="G127" s="208"/>
      <c r="H127" s="209"/>
      <c r="I127" s="222">
        <f>SUM(I123:I126)</f>
        <v>702.77299999999991</v>
      </c>
      <c r="J127" s="199"/>
    </row>
    <row r="128" spans="3:10" s="227" customFormat="1" ht="18.600000000000001" customHeight="1">
      <c r="C128" s="223" t="s">
        <v>1218</v>
      </c>
      <c r="D128" s="224" t="s">
        <v>1219</v>
      </c>
      <c r="E128" s="225"/>
      <c r="F128" s="225"/>
      <c r="G128" s="225"/>
      <c r="H128" s="226"/>
      <c r="I128" s="210">
        <f>I119+I122+I127</f>
        <v>1572.673</v>
      </c>
      <c r="J128" s="199"/>
    </row>
    <row r="129" spans="3:10" s="227" customFormat="1" ht="18.600000000000001" customHeight="1">
      <c r="C129" s="223" t="s">
        <v>1220</v>
      </c>
      <c r="D129" s="224" t="s">
        <v>1321</v>
      </c>
      <c r="E129" s="225"/>
      <c r="F129" s="225"/>
      <c r="G129" s="226"/>
      <c r="H129" s="228">
        <v>0.1</v>
      </c>
      <c r="I129" s="210">
        <f>I128*H129</f>
        <v>157.26730000000001</v>
      </c>
      <c r="J129" s="199"/>
    </row>
    <row r="130" spans="3:10" s="227" customFormat="1" ht="18.600000000000001" customHeight="1" thickBot="1">
      <c r="C130" s="229" t="s">
        <v>1221</v>
      </c>
      <c r="D130" s="230" t="s">
        <v>1222</v>
      </c>
      <c r="E130" s="231"/>
      <c r="F130" s="231"/>
      <c r="G130" s="231"/>
      <c r="H130" s="232"/>
      <c r="I130" s="233">
        <f>SUM(I128:I129)</f>
        <v>1729.9403</v>
      </c>
      <c r="J130" s="199"/>
    </row>
    <row r="131" spans="3:10" ht="18.600000000000001" customHeight="1" thickTop="1"/>
    <row r="132" spans="3:10" ht="18.600000000000001" customHeight="1" thickBot="1">
      <c r="C132" s="187" t="s">
        <v>2163</v>
      </c>
      <c r="D132" s="187" t="s">
        <v>2164</v>
      </c>
      <c r="J132" s="189">
        <f>ROUNDDOWN(I151,-2)</f>
        <v>429400</v>
      </c>
    </row>
    <row r="133" spans="3:10" s="194" customFormat="1" ht="35.4" customHeight="1" thickTop="1">
      <c r="C133" s="190" t="s">
        <v>1195</v>
      </c>
      <c r="D133" s="191" t="s">
        <v>1196</v>
      </c>
      <c r="E133" s="191" t="s">
        <v>1906</v>
      </c>
      <c r="F133" s="191" t="s">
        <v>1197</v>
      </c>
      <c r="G133" s="191" t="s">
        <v>1198</v>
      </c>
      <c r="H133" s="191" t="s">
        <v>1199</v>
      </c>
      <c r="I133" s="192" t="s">
        <v>1200</v>
      </c>
      <c r="J133" s="193"/>
    </row>
    <row r="134" spans="3:10" s="200" customFormat="1" ht="18.600000000000001" customHeight="1">
      <c r="C134" s="195" t="s">
        <v>1201</v>
      </c>
      <c r="D134" s="196" t="s">
        <v>1202</v>
      </c>
      <c r="E134" s="196"/>
      <c r="F134" s="197"/>
      <c r="G134" s="197"/>
      <c r="H134" s="197"/>
      <c r="I134" s="198"/>
      <c r="J134" s="199"/>
    </row>
    <row r="135" spans="3:10" s="200" customFormat="1" ht="18.600000000000001" customHeight="1">
      <c r="C135" s="201">
        <v>1</v>
      </c>
      <c r="D135" s="196" t="s">
        <v>5</v>
      </c>
      <c r="E135" s="202" t="s">
        <v>1774</v>
      </c>
      <c r="F135" s="203" t="s">
        <v>2102</v>
      </c>
      <c r="G135" s="257">
        <v>8.4200000000000004E-3</v>
      </c>
      <c r="H135" s="205">
        <f>VLOOKUP(D135,upahbahan,3,FALSE)</f>
        <v>100000</v>
      </c>
      <c r="I135" s="206">
        <f>H135*G135</f>
        <v>842</v>
      </c>
      <c r="J135" s="199"/>
    </row>
    <row r="136" spans="3:10" s="200" customFormat="1" ht="18.600000000000001" customHeight="1">
      <c r="C136" s="201">
        <v>2</v>
      </c>
      <c r="D136" s="196" t="s">
        <v>1785</v>
      </c>
      <c r="E136" s="213" t="s">
        <v>1775</v>
      </c>
      <c r="F136" s="234" t="s">
        <v>2102</v>
      </c>
      <c r="G136" s="257">
        <v>2.1099999999999999E-3</v>
      </c>
      <c r="H136" s="205">
        <f>VLOOKUP(D136,upahbahan,3,FALSE)</f>
        <v>145000</v>
      </c>
      <c r="I136" s="206">
        <f>H136*G136</f>
        <v>305.95</v>
      </c>
      <c r="J136" s="199"/>
    </row>
    <row r="137" spans="3:10" s="200" customFormat="1" ht="18.600000000000001" customHeight="1">
      <c r="C137" s="201">
        <v>3</v>
      </c>
      <c r="D137" s="196" t="s">
        <v>2165</v>
      </c>
      <c r="E137" s="213" t="s">
        <v>1775</v>
      </c>
      <c r="F137" s="234" t="s">
        <v>2102</v>
      </c>
      <c r="G137" s="257">
        <v>2.1099999999999999E-3</v>
      </c>
      <c r="H137" s="205">
        <f>VLOOKUP(D137,upahbahan,3,FALSE)</f>
        <v>135000</v>
      </c>
      <c r="I137" s="206">
        <f>H137*G137</f>
        <v>284.84999999999997</v>
      </c>
      <c r="J137" s="199"/>
    </row>
    <row r="138" spans="3:10" s="200" customFormat="1" ht="18.600000000000001" customHeight="1">
      <c r="C138" s="201">
        <v>4</v>
      </c>
      <c r="D138" s="196" t="s">
        <v>18</v>
      </c>
      <c r="E138" s="213" t="s">
        <v>1776</v>
      </c>
      <c r="F138" s="234" t="s">
        <v>2102</v>
      </c>
      <c r="G138" s="257">
        <v>4.2000000000000002E-4</v>
      </c>
      <c r="H138" s="205">
        <f>VLOOKUP(D138,upahbahan,3,FALSE)</f>
        <v>150000</v>
      </c>
      <c r="I138" s="206">
        <f>H138*G138</f>
        <v>63</v>
      </c>
      <c r="J138" s="199"/>
    </row>
    <row r="139" spans="3:10" s="200" customFormat="1" ht="18.600000000000001" customHeight="1">
      <c r="C139" s="201">
        <v>5</v>
      </c>
      <c r="D139" s="196" t="s">
        <v>19</v>
      </c>
      <c r="E139" s="202" t="s">
        <v>1777</v>
      </c>
      <c r="F139" s="203" t="s">
        <v>2102</v>
      </c>
      <c r="G139" s="257">
        <v>1.3999999999999999E-4</v>
      </c>
      <c r="H139" s="205">
        <f>VLOOKUP(D139,upahbahan,3,FALSE)</f>
        <v>160000</v>
      </c>
      <c r="I139" s="206">
        <f>H139*G139</f>
        <v>22.4</v>
      </c>
      <c r="J139" s="199"/>
    </row>
    <row r="140" spans="3:10" s="200" customFormat="1" ht="18.600000000000001" customHeight="1">
      <c r="C140" s="207" t="s">
        <v>1208</v>
      </c>
      <c r="D140" s="208"/>
      <c r="E140" s="208"/>
      <c r="F140" s="208"/>
      <c r="G140" s="208"/>
      <c r="H140" s="209"/>
      <c r="I140" s="210">
        <f>SUM(I135:I139)</f>
        <v>1518.2</v>
      </c>
      <c r="J140" s="199"/>
    </row>
    <row r="141" spans="3:10" s="200" customFormat="1" ht="18.600000000000001" customHeight="1">
      <c r="C141" s="195" t="s">
        <v>1209</v>
      </c>
      <c r="D141" s="196" t="s">
        <v>1210</v>
      </c>
      <c r="E141" s="196"/>
      <c r="F141" s="197"/>
      <c r="G141" s="197"/>
      <c r="H141" s="197"/>
      <c r="I141" s="198"/>
      <c r="J141" s="199"/>
    </row>
    <row r="142" spans="3:10" s="218" customFormat="1" ht="18.600000000000001" customHeight="1">
      <c r="C142" s="211">
        <v>1</v>
      </c>
      <c r="D142" s="212" t="s">
        <v>5231</v>
      </c>
      <c r="E142" s="196"/>
      <c r="F142" s="213" t="s">
        <v>62</v>
      </c>
      <c r="G142" s="258">
        <v>1.3</v>
      </c>
      <c r="H142" s="215">
        <f>VLOOKUP(D142,upahbahan,3,FALSE)</f>
        <v>0</v>
      </c>
      <c r="I142" s="216">
        <f>H142*G142</f>
        <v>0</v>
      </c>
      <c r="J142" s="217"/>
    </row>
    <row r="143" spans="3:10" s="218" customFormat="1" ht="18.600000000000001" customHeight="1">
      <c r="C143" s="211">
        <v>2</v>
      </c>
      <c r="D143" s="212" t="s">
        <v>2166</v>
      </c>
      <c r="E143" s="196"/>
      <c r="F143" s="213" t="s">
        <v>65</v>
      </c>
      <c r="G143" s="258">
        <v>3.3099999999999997E-2</v>
      </c>
      <c r="H143" s="215">
        <f>VLOOKUP(D143,upahbahan,3,FALSE)</f>
        <v>0</v>
      </c>
      <c r="I143" s="216">
        <f>H143*G143</f>
        <v>0</v>
      </c>
      <c r="J143" s="217"/>
    </row>
    <row r="144" spans="3:10" s="218" customFormat="1" ht="18.600000000000001" customHeight="1">
      <c r="C144" s="211">
        <v>3</v>
      </c>
      <c r="D144" s="212" t="s">
        <v>5232</v>
      </c>
      <c r="E144" s="196"/>
      <c r="F144" s="213" t="s">
        <v>2167</v>
      </c>
      <c r="G144" s="258">
        <v>21</v>
      </c>
      <c r="H144" s="215">
        <f>VLOOKUP(D144,upahbahan,3,FALSE)</f>
        <v>18500</v>
      </c>
      <c r="I144" s="216">
        <f>H144*G144</f>
        <v>388500</v>
      </c>
      <c r="J144" s="217"/>
    </row>
    <row r="145" spans="3:10" s="218" customFormat="1" ht="18.600000000000001" customHeight="1">
      <c r="C145" s="207" t="s">
        <v>1214</v>
      </c>
      <c r="D145" s="208"/>
      <c r="E145" s="208"/>
      <c r="F145" s="208"/>
      <c r="G145" s="208"/>
      <c r="H145" s="209"/>
      <c r="I145" s="219">
        <f>SUM(I141:I144)</f>
        <v>388500</v>
      </c>
      <c r="J145" s="217"/>
    </row>
    <row r="146" spans="3:10" s="218" customFormat="1" ht="18.600000000000001" customHeight="1">
      <c r="C146" s="195" t="s">
        <v>1215</v>
      </c>
      <c r="D146" s="196" t="s">
        <v>1216</v>
      </c>
      <c r="E146" s="196"/>
      <c r="F146" s="212"/>
      <c r="G146" s="212"/>
      <c r="H146" s="212"/>
      <c r="I146" s="220"/>
      <c r="J146" s="217"/>
    </row>
    <row r="147" spans="3:10" s="218" customFormat="1" ht="18.600000000000001" customHeight="1">
      <c r="C147" s="201">
        <v>1</v>
      </c>
      <c r="D147" s="196" t="s">
        <v>5227</v>
      </c>
      <c r="E147" s="196"/>
      <c r="F147" s="213" t="s">
        <v>1974</v>
      </c>
      <c r="G147" s="239">
        <v>1.4999999999999999E-4</v>
      </c>
      <c r="H147" s="237">
        <f>VLOOKUP(D147,upahbahan,3,FALSE)</f>
        <v>2700000</v>
      </c>
      <c r="I147" s="238">
        <f>H147*G147</f>
        <v>404.99999999999994</v>
      </c>
      <c r="J147" s="217"/>
    </row>
    <row r="148" spans="3:10" s="200" customFormat="1" ht="18.600000000000001" customHeight="1">
      <c r="C148" s="207" t="s">
        <v>1217</v>
      </c>
      <c r="D148" s="208"/>
      <c r="E148" s="208"/>
      <c r="F148" s="208"/>
      <c r="G148" s="208"/>
      <c r="H148" s="209"/>
      <c r="I148" s="222">
        <f>SUM(I146:I147)</f>
        <v>404.99999999999994</v>
      </c>
      <c r="J148" s="199"/>
    </row>
    <row r="149" spans="3:10" s="227" customFormat="1" ht="18.600000000000001" customHeight="1">
      <c r="C149" s="223" t="s">
        <v>1218</v>
      </c>
      <c r="D149" s="224" t="s">
        <v>1219</v>
      </c>
      <c r="E149" s="225"/>
      <c r="F149" s="225"/>
      <c r="G149" s="225"/>
      <c r="H149" s="226"/>
      <c r="I149" s="210">
        <f>I140+I145+I148</f>
        <v>390423.2</v>
      </c>
      <c r="J149" s="199"/>
    </row>
    <row r="150" spans="3:10" s="227" customFormat="1" ht="18.600000000000001" customHeight="1">
      <c r="C150" s="223" t="s">
        <v>1220</v>
      </c>
      <c r="D150" s="224" t="s">
        <v>1321</v>
      </c>
      <c r="E150" s="225"/>
      <c r="F150" s="225"/>
      <c r="G150" s="226"/>
      <c r="H150" s="228">
        <v>0.1</v>
      </c>
      <c r="I150" s="210">
        <f>I149*H150</f>
        <v>39042.32</v>
      </c>
      <c r="J150" s="199"/>
    </row>
    <row r="151" spans="3:10" s="227" customFormat="1" ht="18.600000000000001" customHeight="1" thickBot="1">
      <c r="C151" s="229" t="s">
        <v>1221</v>
      </c>
      <c r="D151" s="230" t="s">
        <v>1222</v>
      </c>
      <c r="E151" s="231"/>
      <c r="F151" s="231"/>
      <c r="G151" s="231"/>
      <c r="H151" s="232"/>
      <c r="I151" s="233">
        <f>SUM(I149:I150)</f>
        <v>429465.52</v>
      </c>
      <c r="J151" s="199"/>
    </row>
    <row r="152" spans="3:10" ht="13.8" thickTop="1"/>
  </sheetData>
  <mergeCells count="1">
    <mergeCell ref="M29:M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N222"/>
  <sheetViews>
    <sheetView zoomScale="86" zoomScaleNormal="86" workbookViewId="0">
      <selection activeCell="A581" sqref="A581:XFD599"/>
    </sheetView>
  </sheetViews>
  <sheetFormatPr defaultColWidth="9.44140625" defaultRowHeight="13.8"/>
  <cols>
    <col min="1" max="2" width="3.44140625" style="45" customWidth="1"/>
    <col min="3" max="3" width="7.44140625" style="54" customWidth="1"/>
    <col min="4" max="4" width="26.6640625" style="45" customWidth="1"/>
    <col min="5" max="5" width="10.6640625" style="45" customWidth="1"/>
    <col min="6" max="6" width="7.5546875" style="45" customWidth="1"/>
    <col min="7" max="7" width="10.5546875" style="45" customWidth="1"/>
    <col min="8" max="8" width="17.109375" style="45" customWidth="1"/>
    <col min="9" max="9" width="16.44140625" style="45" customWidth="1"/>
    <col min="10" max="10" width="16" style="45" bestFit="1" customWidth="1"/>
    <col min="11" max="11" width="9.44140625" style="45"/>
    <col min="12" max="12" width="27" style="45" customWidth="1"/>
    <col min="13" max="16384" width="9.44140625" style="45"/>
  </cols>
  <sheetData>
    <row r="3" spans="3:14" s="44" customFormat="1" ht="20.399999999999999" customHeight="1">
      <c r="C3" s="259" t="s">
        <v>2168</v>
      </c>
      <c r="D3" s="260" t="s">
        <v>6435</v>
      </c>
      <c r="E3" s="260"/>
      <c r="F3" s="47"/>
      <c r="G3" s="47"/>
      <c r="H3" s="47"/>
      <c r="I3" s="47"/>
    </row>
    <row r="4" spans="3:14" s="44" customFormat="1" ht="20.399999999999999" customHeight="1" thickBot="1">
      <c r="C4" s="44" t="s">
        <v>2169</v>
      </c>
      <c r="D4" s="261" t="s">
        <v>2170</v>
      </c>
      <c r="E4" s="261"/>
      <c r="F4" s="262"/>
      <c r="G4" s="262"/>
      <c r="H4" s="262"/>
      <c r="I4" s="262"/>
      <c r="J4" s="50">
        <f>ROUNDDOWN(I19,-2)</f>
        <v>143500</v>
      </c>
    </row>
    <row r="5" spans="3:14" s="54" customFormat="1" ht="34.799999999999997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</row>
    <row r="6" spans="3:14" ht="20.399999999999999" customHeight="1">
      <c r="C6" s="55" t="s">
        <v>1201</v>
      </c>
      <c r="D6" s="56" t="s">
        <v>1202</v>
      </c>
      <c r="E6" s="56"/>
      <c r="F6" s="57"/>
      <c r="G6" s="57"/>
      <c r="H6" s="57"/>
      <c r="I6" s="58"/>
      <c r="K6" s="59" t="s">
        <v>1247</v>
      </c>
      <c r="L6" s="59"/>
      <c r="M6" s="59"/>
      <c r="N6" s="59"/>
    </row>
    <row r="7" spans="3:14" ht="20.399999999999999" customHeight="1">
      <c r="C7" s="60">
        <v>1</v>
      </c>
      <c r="D7" s="56" t="s">
        <v>5</v>
      </c>
      <c r="E7" s="61" t="s">
        <v>1774</v>
      </c>
      <c r="F7" s="61" t="s">
        <v>6</v>
      </c>
      <c r="G7" s="62">
        <v>1.2</v>
      </c>
      <c r="H7" s="63">
        <f>VLOOKUP(D7,upahbahan,3,FALSE)</f>
        <v>100000</v>
      </c>
      <c r="I7" s="64">
        <f>G7*H7</f>
        <v>120000</v>
      </c>
      <c r="K7" s="59" t="s">
        <v>1248</v>
      </c>
      <c r="L7" s="59"/>
      <c r="M7" s="59"/>
      <c r="N7" s="65">
        <v>0.1</v>
      </c>
    </row>
    <row r="8" spans="3:14" ht="20.399999999999999" customHeight="1">
      <c r="C8" s="60">
        <v>2</v>
      </c>
      <c r="D8" s="56" t="s">
        <v>19</v>
      </c>
      <c r="E8" s="61" t="s">
        <v>1777</v>
      </c>
      <c r="F8" s="61" t="s">
        <v>6</v>
      </c>
      <c r="G8" s="62">
        <v>0.06</v>
      </c>
      <c r="H8" s="63">
        <f>VLOOKUP(D8,upahbahan,3,FALSE)</f>
        <v>160000</v>
      </c>
      <c r="I8" s="64">
        <f>G8*H8</f>
        <v>9600</v>
      </c>
    </row>
    <row r="9" spans="3:14" ht="20.399999999999999" customHeight="1">
      <c r="C9" s="66" t="s">
        <v>1208</v>
      </c>
      <c r="D9" s="263"/>
      <c r="E9" s="263"/>
      <c r="F9" s="263"/>
      <c r="G9" s="263"/>
      <c r="H9" s="264"/>
      <c r="I9" s="64">
        <f>SUM(I7:I8)</f>
        <v>129600</v>
      </c>
    </row>
    <row r="10" spans="3:14" ht="20.399999999999999" customHeight="1">
      <c r="C10" s="55" t="s">
        <v>1209</v>
      </c>
      <c r="D10" s="56" t="s">
        <v>1210</v>
      </c>
      <c r="E10" s="56"/>
      <c r="F10" s="57"/>
      <c r="G10" s="57"/>
      <c r="H10" s="57"/>
      <c r="I10" s="58"/>
    </row>
    <row r="11" spans="3:14" ht="20.399999999999999" customHeight="1">
      <c r="C11" s="66" t="s">
        <v>1214</v>
      </c>
      <c r="D11" s="67"/>
      <c r="E11" s="67"/>
      <c r="F11" s="67"/>
      <c r="G11" s="67"/>
      <c r="H11" s="69"/>
      <c r="I11" s="74">
        <v>0</v>
      </c>
    </row>
    <row r="12" spans="3:14" ht="20.399999999999999" customHeight="1">
      <c r="C12" s="55" t="s">
        <v>1215</v>
      </c>
      <c r="D12" s="56" t="s">
        <v>1216</v>
      </c>
      <c r="E12" s="56"/>
      <c r="F12" s="57"/>
      <c r="G12" s="57"/>
      <c r="H12" s="57"/>
      <c r="I12" s="58"/>
    </row>
    <row r="13" spans="3:14" ht="20.399999999999999" customHeight="1">
      <c r="C13" s="92" t="s">
        <v>1203</v>
      </c>
      <c r="D13" s="72" t="s">
        <v>1169</v>
      </c>
      <c r="E13" s="72"/>
      <c r="F13" s="265" t="s">
        <v>44</v>
      </c>
      <c r="G13" s="266">
        <v>6.0000000000000001E-3</v>
      </c>
      <c r="H13" s="63">
        <f>VLOOKUP(D13,upahbahan,3,FALSE)</f>
        <v>25000</v>
      </c>
      <c r="I13" s="64">
        <f>G13*H13</f>
        <v>150</v>
      </c>
    </row>
    <row r="14" spans="3:14" ht="20.399999999999999" customHeight="1">
      <c r="C14" s="92" t="s">
        <v>1204</v>
      </c>
      <c r="D14" s="72" t="s">
        <v>1168</v>
      </c>
      <c r="E14" s="72"/>
      <c r="F14" s="265" t="s">
        <v>44</v>
      </c>
      <c r="G14" s="266">
        <v>8.9999999999999993E-3</v>
      </c>
      <c r="H14" s="63">
        <f>VLOOKUP(D14,upahbahan,3,FALSE)</f>
        <v>15000</v>
      </c>
      <c r="I14" s="64">
        <f>G14*H14</f>
        <v>135</v>
      </c>
    </row>
    <row r="15" spans="3:14" ht="20.399999999999999" customHeight="1">
      <c r="C15" s="92" t="s">
        <v>1205</v>
      </c>
      <c r="D15" s="72" t="s">
        <v>1166</v>
      </c>
      <c r="E15" s="72"/>
      <c r="F15" s="265" t="s">
        <v>44</v>
      </c>
      <c r="G15" s="266">
        <v>0.02</v>
      </c>
      <c r="H15" s="63">
        <f>VLOOKUP(D15,upahbahan,3,FALSE)</f>
        <v>30000</v>
      </c>
      <c r="I15" s="64">
        <f>G15*H15</f>
        <v>600</v>
      </c>
    </row>
    <row r="16" spans="3:14" ht="20.399999999999999" customHeight="1">
      <c r="C16" s="66" t="s">
        <v>1217</v>
      </c>
      <c r="D16" s="67"/>
      <c r="E16" s="67"/>
      <c r="F16" s="67"/>
      <c r="G16" s="67"/>
      <c r="H16" s="69"/>
      <c r="I16" s="64">
        <f>SUM(I13:I15)</f>
        <v>885</v>
      </c>
    </row>
    <row r="17" spans="3:10" s="79" customFormat="1" ht="20.399999999999999" customHeight="1">
      <c r="C17" s="75" t="s">
        <v>1218</v>
      </c>
      <c r="D17" s="76" t="s">
        <v>1219</v>
      </c>
      <c r="E17" s="77"/>
      <c r="F17" s="77"/>
      <c r="G17" s="77"/>
      <c r="H17" s="78"/>
      <c r="I17" s="64">
        <f>I9+I11+I16</f>
        <v>130485</v>
      </c>
      <c r="J17" s="45"/>
    </row>
    <row r="18" spans="3:10" s="79" customFormat="1" ht="20.399999999999999" customHeight="1">
      <c r="C18" s="75" t="s">
        <v>1220</v>
      </c>
      <c r="D18" s="76" t="s">
        <v>1321</v>
      </c>
      <c r="E18" s="77"/>
      <c r="F18" s="77"/>
      <c r="G18" s="78"/>
      <c r="H18" s="80">
        <f>$N$7</f>
        <v>0.1</v>
      </c>
      <c r="I18" s="64">
        <f>I17*H18</f>
        <v>13048.5</v>
      </c>
      <c r="J18" s="45"/>
    </row>
    <row r="19" spans="3:10" s="79" customFormat="1" ht="20.399999999999999" customHeight="1" thickBot="1">
      <c r="C19" s="81" t="s">
        <v>1221</v>
      </c>
      <c r="D19" s="82" t="s">
        <v>1222</v>
      </c>
      <c r="E19" s="83"/>
      <c r="F19" s="83"/>
      <c r="G19" s="83"/>
      <c r="H19" s="84"/>
      <c r="I19" s="85">
        <f>SUM(I17:I18)</f>
        <v>143533.5</v>
      </c>
      <c r="J19" s="45"/>
    </row>
    <row r="20" spans="3:10" ht="20.399999999999999" customHeight="1" thickTop="1">
      <c r="C20" s="89"/>
      <c r="D20" s="180" t="s">
        <v>1264</v>
      </c>
      <c r="E20" s="180"/>
      <c r="F20" s="180"/>
      <c r="G20" s="180"/>
      <c r="H20" s="180"/>
      <c r="I20" s="91"/>
    </row>
    <row r="21" spans="3:10" ht="20.399999999999999" customHeight="1">
      <c r="C21" s="89"/>
      <c r="D21" s="180" t="s">
        <v>2171</v>
      </c>
      <c r="E21" s="180"/>
      <c r="F21" s="180"/>
      <c r="G21" s="180"/>
      <c r="H21" s="180"/>
      <c r="I21" s="91"/>
    </row>
    <row r="22" spans="3:10" ht="20.399999999999999" customHeight="1">
      <c r="C22" s="89"/>
      <c r="D22" s="90"/>
      <c r="E22" s="90"/>
      <c r="F22" s="90"/>
      <c r="G22" s="90"/>
      <c r="H22" s="90"/>
      <c r="I22" s="91"/>
    </row>
    <row r="23" spans="3:10" s="44" customFormat="1" ht="20.399999999999999" customHeight="1" thickBot="1">
      <c r="C23" s="44" t="s">
        <v>2172</v>
      </c>
      <c r="D23" s="261" t="s">
        <v>2173</v>
      </c>
      <c r="E23" s="261"/>
      <c r="F23" s="262"/>
      <c r="G23" s="262"/>
      <c r="H23" s="262"/>
      <c r="I23" s="262"/>
      <c r="J23" s="50">
        <f>ROUNDDOWN(I36,-2)</f>
        <v>150200</v>
      </c>
    </row>
    <row r="24" spans="3:10" s="54" customFormat="1" ht="34.200000000000003" customHeight="1" thickTop="1">
      <c r="C24" s="51" t="s">
        <v>1195</v>
      </c>
      <c r="D24" s="52" t="s">
        <v>1196</v>
      </c>
      <c r="E24" s="52" t="s">
        <v>1906</v>
      </c>
      <c r="F24" s="52" t="s">
        <v>1197</v>
      </c>
      <c r="G24" s="52" t="s">
        <v>1198</v>
      </c>
      <c r="H24" s="52" t="s">
        <v>1199</v>
      </c>
      <c r="I24" s="53" t="s">
        <v>1200</v>
      </c>
    </row>
    <row r="25" spans="3:10" ht="20.399999999999999" customHeight="1">
      <c r="C25" s="55" t="s">
        <v>1201</v>
      </c>
      <c r="D25" s="56" t="s">
        <v>1202</v>
      </c>
      <c r="E25" s="56"/>
      <c r="F25" s="57"/>
      <c r="G25" s="57"/>
      <c r="H25" s="57"/>
      <c r="I25" s="58"/>
    </row>
    <row r="26" spans="3:10" ht="20.399999999999999" customHeight="1">
      <c r="C26" s="60">
        <v>1</v>
      </c>
      <c r="D26" s="56" t="s">
        <v>5</v>
      </c>
      <c r="E26" s="61" t="s">
        <v>1774</v>
      </c>
      <c r="F26" s="61" t="s">
        <v>6</v>
      </c>
      <c r="G26" s="62">
        <v>0.2</v>
      </c>
      <c r="H26" s="63">
        <f>VLOOKUP(D26,upahbahan,3,FALSE)</f>
        <v>100000</v>
      </c>
      <c r="I26" s="64">
        <f>G26*H26</f>
        <v>20000</v>
      </c>
    </row>
    <row r="27" spans="3:10" ht="20.399999999999999" customHeight="1">
      <c r="C27" s="60">
        <v>2</v>
      </c>
      <c r="D27" s="56" t="s">
        <v>19</v>
      </c>
      <c r="E27" s="61" t="s">
        <v>1775</v>
      </c>
      <c r="F27" s="61" t="s">
        <v>6</v>
      </c>
      <c r="G27" s="62">
        <v>0.01</v>
      </c>
      <c r="H27" s="63">
        <f>VLOOKUP(D27,upahbahan,3,FALSE)</f>
        <v>160000</v>
      </c>
      <c r="I27" s="64">
        <f>G27*H27</f>
        <v>1600</v>
      </c>
    </row>
    <row r="28" spans="3:10" ht="20.399999999999999" customHeight="1">
      <c r="C28" s="66" t="s">
        <v>1208</v>
      </c>
      <c r="D28" s="263"/>
      <c r="E28" s="263"/>
      <c r="F28" s="263"/>
      <c r="G28" s="263"/>
      <c r="H28" s="264"/>
      <c r="I28" s="64">
        <f>SUM(I26:I27)</f>
        <v>21600</v>
      </c>
    </row>
    <row r="29" spans="3:10" ht="20.399999999999999" customHeight="1">
      <c r="C29" s="55" t="s">
        <v>1209</v>
      </c>
      <c r="D29" s="56" t="s">
        <v>1210</v>
      </c>
      <c r="E29" s="56"/>
      <c r="F29" s="57"/>
      <c r="G29" s="57"/>
      <c r="H29" s="57"/>
      <c r="I29" s="58"/>
    </row>
    <row r="30" spans="3:10" ht="20.399999999999999" customHeight="1">
      <c r="C30" s="66" t="s">
        <v>1214</v>
      </c>
      <c r="D30" s="67"/>
      <c r="E30" s="67"/>
      <c r="F30" s="67"/>
      <c r="G30" s="67"/>
      <c r="H30" s="69"/>
      <c r="I30" s="74">
        <v>0</v>
      </c>
    </row>
    <row r="31" spans="3:10" ht="20.399999999999999" customHeight="1">
      <c r="C31" s="55" t="s">
        <v>1215</v>
      </c>
      <c r="D31" s="56" t="s">
        <v>1216</v>
      </c>
      <c r="E31" s="56"/>
      <c r="F31" s="57"/>
      <c r="G31" s="57"/>
      <c r="H31" s="57"/>
      <c r="I31" s="58"/>
    </row>
    <row r="32" spans="3:10" ht="20.399999999999999" customHeight="1">
      <c r="C32" s="92" t="s">
        <v>1203</v>
      </c>
      <c r="D32" s="72" t="s">
        <v>1111</v>
      </c>
      <c r="E32" s="72"/>
      <c r="F32" s="265" t="s">
        <v>1080</v>
      </c>
      <c r="G32" s="266">
        <v>0.05</v>
      </c>
      <c r="H32" s="63">
        <f>VLOOKUP(D32,upahbahan,3,FALSE)</f>
        <v>2300000</v>
      </c>
      <c r="I32" s="64">
        <f>G32*H32</f>
        <v>115000</v>
      </c>
    </row>
    <row r="33" spans="3:10" ht="20.399999999999999" customHeight="1">
      <c r="C33" s="66" t="s">
        <v>1217</v>
      </c>
      <c r="D33" s="67"/>
      <c r="E33" s="67"/>
      <c r="F33" s="67"/>
      <c r="G33" s="67"/>
      <c r="H33" s="69"/>
      <c r="I33" s="64">
        <f>SUM(I32:I32)</f>
        <v>115000</v>
      </c>
    </row>
    <row r="34" spans="3:10" s="79" customFormat="1" ht="20.399999999999999" customHeight="1">
      <c r="C34" s="75" t="s">
        <v>1218</v>
      </c>
      <c r="D34" s="76" t="s">
        <v>1219</v>
      </c>
      <c r="E34" s="77"/>
      <c r="F34" s="77"/>
      <c r="G34" s="77"/>
      <c r="H34" s="78"/>
      <c r="I34" s="64">
        <f>I28+I30+I33</f>
        <v>136600</v>
      </c>
      <c r="J34" s="45"/>
    </row>
    <row r="35" spans="3:10" s="79" customFormat="1" ht="20.399999999999999" customHeight="1">
      <c r="C35" s="75" t="s">
        <v>1220</v>
      </c>
      <c r="D35" s="76" t="s">
        <v>1321</v>
      </c>
      <c r="E35" s="77"/>
      <c r="F35" s="77"/>
      <c r="G35" s="78"/>
      <c r="H35" s="80">
        <f>$N$7</f>
        <v>0.1</v>
      </c>
      <c r="I35" s="64">
        <f>I34*H35</f>
        <v>13660</v>
      </c>
      <c r="J35" s="45"/>
    </row>
    <row r="36" spans="3:10" s="79" customFormat="1" ht="20.399999999999999" customHeight="1" thickBot="1">
      <c r="C36" s="81" t="s">
        <v>1221</v>
      </c>
      <c r="D36" s="82" t="s">
        <v>1222</v>
      </c>
      <c r="E36" s="83"/>
      <c r="F36" s="83"/>
      <c r="G36" s="83"/>
      <c r="H36" s="84"/>
      <c r="I36" s="85">
        <f>SUM(I34:I35)</f>
        <v>150260</v>
      </c>
      <c r="J36" s="45"/>
    </row>
    <row r="37" spans="3:10" s="79" customFormat="1" ht="20.399999999999999" customHeight="1" thickTop="1">
      <c r="C37" s="54"/>
      <c r="D37" s="86"/>
      <c r="E37" s="86"/>
      <c r="F37" s="86"/>
      <c r="G37" s="86"/>
      <c r="H37" s="86"/>
      <c r="I37" s="87"/>
      <c r="J37" s="45"/>
    </row>
    <row r="38" spans="3:10" s="44" customFormat="1" ht="20.399999999999999" customHeight="1" thickBot="1">
      <c r="C38" s="44" t="s">
        <v>2174</v>
      </c>
      <c r="D38" s="261" t="s">
        <v>2175</v>
      </c>
      <c r="E38" s="261"/>
      <c r="F38" s="262"/>
      <c r="G38" s="262"/>
      <c r="H38" s="262"/>
      <c r="I38" s="262"/>
      <c r="J38" s="50">
        <f>ROUNDDOWN(I55,-2)</f>
        <v>206300</v>
      </c>
    </row>
    <row r="39" spans="3:10" s="54" customFormat="1" ht="34.200000000000003" customHeight="1" thickTop="1">
      <c r="C39" s="51" t="s">
        <v>1195</v>
      </c>
      <c r="D39" s="52" t="s">
        <v>1196</v>
      </c>
      <c r="E39" s="52" t="s">
        <v>1906</v>
      </c>
      <c r="F39" s="52" t="s">
        <v>1197</v>
      </c>
      <c r="G39" s="52" t="s">
        <v>1198</v>
      </c>
      <c r="H39" s="52" t="s">
        <v>1199</v>
      </c>
      <c r="I39" s="53" t="s">
        <v>1200</v>
      </c>
    </row>
    <row r="40" spans="3:10" ht="20.399999999999999" customHeight="1">
      <c r="C40" s="55" t="s">
        <v>1201</v>
      </c>
      <c r="D40" s="56" t="s">
        <v>1202</v>
      </c>
      <c r="E40" s="56"/>
      <c r="F40" s="57"/>
      <c r="G40" s="57"/>
      <c r="H40" s="57"/>
      <c r="I40" s="58"/>
    </row>
    <row r="41" spans="3:10" ht="20.399999999999999" customHeight="1">
      <c r="C41" s="60">
        <v>1</v>
      </c>
      <c r="D41" s="56" t="s">
        <v>5</v>
      </c>
      <c r="E41" s="61" t="s">
        <v>1774</v>
      </c>
      <c r="F41" s="61" t="s">
        <v>6</v>
      </c>
      <c r="G41" s="98">
        <v>1.075</v>
      </c>
      <c r="H41" s="63">
        <f>VLOOKUP(D41,upahbahan,3,FALSE)</f>
        <v>100000</v>
      </c>
      <c r="I41" s="64">
        <f>G41*H41</f>
        <v>107500</v>
      </c>
    </row>
    <row r="42" spans="3:10" ht="20.399999999999999" customHeight="1">
      <c r="C42" s="60">
        <v>2</v>
      </c>
      <c r="D42" s="56" t="s">
        <v>19</v>
      </c>
      <c r="E42" s="61" t="s">
        <v>1777</v>
      </c>
      <c r="F42" s="61" t="s">
        <v>6</v>
      </c>
      <c r="G42" s="98">
        <v>0.108</v>
      </c>
      <c r="H42" s="63">
        <f>VLOOKUP(D42,upahbahan,3,FALSE)</f>
        <v>160000</v>
      </c>
      <c r="I42" s="64">
        <f>G42*H42</f>
        <v>17280</v>
      </c>
    </row>
    <row r="43" spans="3:10" ht="20.399999999999999" customHeight="1">
      <c r="C43" s="66" t="s">
        <v>1208</v>
      </c>
      <c r="D43" s="263"/>
      <c r="E43" s="263"/>
      <c r="F43" s="263"/>
      <c r="G43" s="263"/>
      <c r="H43" s="264"/>
      <c r="I43" s="64">
        <f>SUM(I41:I42)</f>
        <v>124780</v>
      </c>
    </row>
    <row r="44" spans="3:10" ht="20.399999999999999" customHeight="1">
      <c r="C44" s="55" t="s">
        <v>1209</v>
      </c>
      <c r="D44" s="56" t="s">
        <v>1210</v>
      </c>
      <c r="E44" s="56"/>
      <c r="F44" s="57"/>
      <c r="G44" s="57"/>
      <c r="H44" s="57"/>
      <c r="I44" s="58"/>
    </row>
    <row r="45" spans="3:10" ht="20.399999999999999" customHeight="1">
      <c r="C45" s="55">
        <v>1</v>
      </c>
      <c r="D45" s="56" t="s">
        <v>754</v>
      </c>
      <c r="E45" s="56"/>
      <c r="F45" s="93" t="s">
        <v>529</v>
      </c>
      <c r="G45" s="104">
        <v>1.2</v>
      </c>
      <c r="H45" s="63">
        <f>VLOOKUP(D45,upahbahan,3,FALSE)</f>
        <v>50000</v>
      </c>
      <c r="I45" s="64">
        <f>G45*H45</f>
        <v>60000</v>
      </c>
    </row>
    <row r="46" spans="3:10" ht="20.399999999999999" customHeight="1">
      <c r="C46" s="66" t="s">
        <v>1214</v>
      </c>
      <c r="D46" s="67"/>
      <c r="E46" s="67"/>
      <c r="F46" s="67"/>
      <c r="G46" s="67"/>
      <c r="H46" s="69"/>
      <c r="I46" s="64">
        <f>SUM(I45)</f>
        <v>60000</v>
      </c>
    </row>
    <row r="47" spans="3:10" ht="20.399999999999999" customHeight="1">
      <c r="C47" s="55" t="s">
        <v>1215</v>
      </c>
      <c r="D47" s="56" t="s">
        <v>1216</v>
      </c>
      <c r="E47" s="56"/>
      <c r="F47" s="57"/>
      <c r="G47" s="57"/>
      <c r="H47" s="57"/>
      <c r="I47" s="58"/>
    </row>
    <row r="48" spans="3:10" ht="20.399999999999999" customHeight="1">
      <c r="C48" s="92" t="s">
        <v>1203</v>
      </c>
      <c r="D48" s="72" t="s">
        <v>1169</v>
      </c>
      <c r="E48" s="72"/>
      <c r="F48" s="265" t="s">
        <v>44</v>
      </c>
      <c r="G48" s="266">
        <v>0.02</v>
      </c>
      <c r="H48" s="63">
        <f>VLOOKUP(D48,upahbahan,3,FALSE)</f>
        <v>25000</v>
      </c>
      <c r="I48" s="64">
        <f>G48*H48</f>
        <v>500</v>
      </c>
    </row>
    <row r="49" spans="3:10" ht="20.399999999999999" customHeight="1">
      <c r="C49" s="92" t="s">
        <v>1204</v>
      </c>
      <c r="D49" s="72" t="s">
        <v>1164</v>
      </c>
      <c r="E49" s="72"/>
      <c r="F49" s="265" t="s">
        <v>44</v>
      </c>
      <c r="G49" s="266">
        <v>0.1</v>
      </c>
      <c r="H49" s="63">
        <f>VLOOKUP(D49,upahbahan,3,FALSE)</f>
        <v>3500</v>
      </c>
      <c r="I49" s="64">
        <f>G49*H49</f>
        <v>350</v>
      </c>
    </row>
    <row r="50" spans="3:10" ht="20.399999999999999" customHeight="1">
      <c r="C50" s="92" t="s">
        <v>1205</v>
      </c>
      <c r="D50" s="72" t="s">
        <v>1168</v>
      </c>
      <c r="E50" s="72"/>
      <c r="F50" s="265" t="s">
        <v>44</v>
      </c>
      <c r="G50" s="266">
        <v>0.03</v>
      </c>
      <c r="H50" s="63">
        <f>VLOOKUP(D50,upahbahan,3,FALSE)</f>
        <v>15000</v>
      </c>
      <c r="I50" s="64">
        <f>G50*H50</f>
        <v>450</v>
      </c>
    </row>
    <row r="51" spans="3:10" ht="20.399999999999999" customHeight="1">
      <c r="C51" s="92" t="s">
        <v>1206</v>
      </c>
      <c r="D51" s="72" t="s">
        <v>1166</v>
      </c>
      <c r="E51" s="72"/>
      <c r="F51" s="265" t="s">
        <v>44</v>
      </c>
      <c r="G51" s="266">
        <v>0.05</v>
      </c>
      <c r="H51" s="63">
        <f>VLOOKUP(D51,upahbahan,3,FALSE)</f>
        <v>30000</v>
      </c>
      <c r="I51" s="64">
        <f>G51*H51</f>
        <v>1500</v>
      </c>
    </row>
    <row r="52" spans="3:10" ht="20.399999999999999" customHeight="1">
      <c r="C52" s="66" t="s">
        <v>1217</v>
      </c>
      <c r="D52" s="67"/>
      <c r="E52" s="67"/>
      <c r="F52" s="67"/>
      <c r="G52" s="67"/>
      <c r="H52" s="69"/>
      <c r="I52" s="64">
        <f>SUM(I48:I51)</f>
        <v>2800</v>
      </c>
    </row>
    <row r="53" spans="3:10" s="79" customFormat="1" ht="20.399999999999999" customHeight="1">
      <c r="C53" s="75" t="s">
        <v>1218</v>
      </c>
      <c r="D53" s="76" t="s">
        <v>1219</v>
      </c>
      <c r="E53" s="77"/>
      <c r="F53" s="77"/>
      <c r="G53" s="77"/>
      <c r="H53" s="78"/>
      <c r="I53" s="64">
        <f>I43+I46+I52</f>
        <v>187580</v>
      </c>
      <c r="J53" s="45"/>
    </row>
    <row r="54" spans="3:10" s="79" customFormat="1" ht="20.399999999999999" customHeight="1">
      <c r="C54" s="75" t="s">
        <v>1220</v>
      </c>
      <c r="D54" s="76" t="s">
        <v>1321</v>
      </c>
      <c r="E54" s="77"/>
      <c r="F54" s="77"/>
      <c r="G54" s="78"/>
      <c r="H54" s="80">
        <f>$N$7</f>
        <v>0.1</v>
      </c>
      <c r="I54" s="64">
        <f>I53*H54</f>
        <v>18758</v>
      </c>
      <c r="J54" s="45"/>
    </row>
    <row r="55" spans="3:10" s="79" customFormat="1" ht="20.399999999999999" customHeight="1" thickBot="1">
      <c r="C55" s="81" t="s">
        <v>1221</v>
      </c>
      <c r="D55" s="82" t="s">
        <v>1222</v>
      </c>
      <c r="E55" s="83"/>
      <c r="F55" s="83"/>
      <c r="G55" s="83"/>
      <c r="H55" s="84"/>
      <c r="I55" s="85">
        <f>SUM(I53:I54)</f>
        <v>206338</v>
      </c>
      <c r="J55" s="45"/>
    </row>
    <row r="56" spans="3:10" s="79" customFormat="1" ht="20.399999999999999" customHeight="1" thickTop="1">
      <c r="C56" s="54"/>
      <c r="D56" s="86"/>
      <c r="E56" s="86"/>
      <c r="F56" s="86"/>
      <c r="G56" s="86"/>
      <c r="H56" s="86"/>
      <c r="I56" s="87"/>
      <c r="J56" s="45"/>
    </row>
    <row r="57" spans="3:10" s="44" customFormat="1" ht="20.399999999999999" customHeight="1" thickBot="1">
      <c r="C57" s="44" t="s">
        <v>2177</v>
      </c>
      <c r="D57" s="261" t="s">
        <v>2176</v>
      </c>
      <c r="E57" s="261"/>
      <c r="F57" s="262"/>
      <c r="G57" s="262"/>
      <c r="H57" s="262"/>
      <c r="I57" s="262"/>
      <c r="J57" s="50">
        <f>ROUNDDOWN(I74,-2)</f>
        <v>496700</v>
      </c>
    </row>
    <row r="58" spans="3:10" s="54" customFormat="1" ht="29.4" customHeight="1" thickTop="1">
      <c r="C58" s="51" t="s">
        <v>1195</v>
      </c>
      <c r="D58" s="52" t="s">
        <v>1196</v>
      </c>
      <c r="E58" s="52" t="s">
        <v>1906</v>
      </c>
      <c r="F58" s="52" t="s">
        <v>1197</v>
      </c>
      <c r="G58" s="52" t="s">
        <v>1198</v>
      </c>
      <c r="H58" s="52" t="s">
        <v>1199</v>
      </c>
      <c r="I58" s="53" t="s">
        <v>1200</v>
      </c>
    </row>
    <row r="59" spans="3:10" ht="20.399999999999999" customHeight="1">
      <c r="C59" s="55" t="s">
        <v>1201</v>
      </c>
      <c r="D59" s="56" t="s">
        <v>1202</v>
      </c>
      <c r="E59" s="56"/>
      <c r="F59" s="57"/>
      <c r="G59" s="57"/>
      <c r="H59" s="57"/>
      <c r="I59" s="58"/>
    </row>
    <row r="60" spans="3:10" ht="20.399999999999999" customHeight="1">
      <c r="C60" s="60">
        <v>1</v>
      </c>
      <c r="D60" s="56" t="s">
        <v>5</v>
      </c>
      <c r="E60" s="61" t="s">
        <v>1774</v>
      </c>
      <c r="F60" s="61" t="s">
        <v>6</v>
      </c>
      <c r="G60" s="62">
        <v>3.6</v>
      </c>
      <c r="H60" s="63">
        <f>VLOOKUP(D60,upahbahan,3,FALSE)</f>
        <v>100000</v>
      </c>
      <c r="I60" s="64">
        <f>G60*H60</f>
        <v>360000</v>
      </c>
    </row>
    <row r="61" spans="3:10" ht="20.399999999999999" customHeight="1">
      <c r="C61" s="60">
        <v>2</v>
      </c>
      <c r="D61" s="56" t="s">
        <v>19</v>
      </c>
      <c r="E61" s="61" t="s">
        <v>1777</v>
      </c>
      <c r="F61" s="61" t="s">
        <v>6</v>
      </c>
      <c r="G61" s="62">
        <v>0.18</v>
      </c>
      <c r="H61" s="63">
        <f>VLOOKUP(D61,upahbahan,3,FALSE)</f>
        <v>160000</v>
      </c>
      <c r="I61" s="64">
        <f>G61*H61</f>
        <v>28800</v>
      </c>
    </row>
    <row r="62" spans="3:10" ht="20.399999999999999" customHeight="1">
      <c r="C62" s="66" t="s">
        <v>1208</v>
      </c>
      <c r="D62" s="263"/>
      <c r="E62" s="263"/>
      <c r="F62" s="263"/>
      <c r="G62" s="263"/>
      <c r="H62" s="264"/>
      <c r="I62" s="64">
        <f>SUM(I60:I61)</f>
        <v>388800</v>
      </c>
    </row>
    <row r="63" spans="3:10" ht="20.399999999999999" customHeight="1">
      <c r="C63" s="55" t="s">
        <v>1209</v>
      </c>
      <c r="D63" s="56" t="s">
        <v>1210</v>
      </c>
      <c r="E63" s="56"/>
      <c r="F63" s="57"/>
      <c r="G63" s="57"/>
      <c r="H63" s="57"/>
      <c r="I63" s="58"/>
    </row>
    <row r="64" spans="3:10" ht="20.399999999999999" customHeight="1">
      <c r="C64" s="55">
        <v>1</v>
      </c>
      <c r="D64" s="56" t="s">
        <v>754</v>
      </c>
      <c r="E64" s="56"/>
      <c r="F64" s="93" t="s">
        <v>529</v>
      </c>
      <c r="G64" s="104">
        <v>1.2</v>
      </c>
      <c r="H64" s="63">
        <f>VLOOKUP(D64,upahbahan,3,FALSE)</f>
        <v>50000</v>
      </c>
      <c r="I64" s="64">
        <f>G64*H64</f>
        <v>60000</v>
      </c>
    </row>
    <row r="65" spans="3:10" ht="20.399999999999999" customHeight="1">
      <c r="C65" s="66" t="s">
        <v>1214</v>
      </c>
      <c r="D65" s="67"/>
      <c r="E65" s="67"/>
      <c r="F65" s="67"/>
      <c r="G65" s="67"/>
      <c r="H65" s="69"/>
      <c r="I65" s="64">
        <f>SUM(I64)</f>
        <v>60000</v>
      </c>
    </row>
    <row r="66" spans="3:10" ht="20.399999999999999" customHeight="1">
      <c r="C66" s="55" t="s">
        <v>1215</v>
      </c>
      <c r="D66" s="56" t="s">
        <v>1216</v>
      </c>
      <c r="E66" s="56"/>
      <c r="F66" s="57"/>
      <c r="G66" s="57"/>
      <c r="H66" s="57"/>
      <c r="I66" s="58"/>
    </row>
    <row r="67" spans="3:10" ht="20.399999999999999" customHeight="1">
      <c r="C67" s="92" t="s">
        <v>1203</v>
      </c>
      <c r="D67" s="72" t="s">
        <v>1169</v>
      </c>
      <c r="E67" s="72"/>
      <c r="F67" s="265" t="s">
        <v>44</v>
      </c>
      <c r="G67" s="266">
        <v>0.02</v>
      </c>
      <c r="H67" s="63">
        <f>VLOOKUP(D67,upahbahan,3,FALSE)</f>
        <v>25000</v>
      </c>
      <c r="I67" s="64">
        <f>G67*H67</f>
        <v>500</v>
      </c>
    </row>
    <row r="68" spans="3:10" ht="20.399999999999999" customHeight="1">
      <c r="C68" s="92" t="s">
        <v>1204</v>
      </c>
      <c r="D68" s="72" t="s">
        <v>1164</v>
      </c>
      <c r="E68" s="72"/>
      <c r="F68" s="265" t="s">
        <v>44</v>
      </c>
      <c r="G68" s="266">
        <v>0.1</v>
      </c>
      <c r="H68" s="63">
        <f>VLOOKUP(D68,upahbahan,3,FALSE)</f>
        <v>3500</v>
      </c>
      <c r="I68" s="64">
        <f>G68*H68</f>
        <v>350</v>
      </c>
    </row>
    <row r="69" spans="3:10" ht="20.399999999999999" customHeight="1">
      <c r="C69" s="92" t="s">
        <v>1205</v>
      </c>
      <c r="D69" s="72" t="s">
        <v>1168</v>
      </c>
      <c r="E69" s="72"/>
      <c r="F69" s="265" t="s">
        <v>44</v>
      </c>
      <c r="G69" s="266">
        <v>0.03</v>
      </c>
      <c r="H69" s="63">
        <f>VLOOKUP(D69,upahbahan,3,FALSE)</f>
        <v>15000</v>
      </c>
      <c r="I69" s="64">
        <f>G69*H69</f>
        <v>450</v>
      </c>
    </row>
    <row r="70" spans="3:10" ht="20.399999999999999" customHeight="1">
      <c r="C70" s="92" t="s">
        <v>1206</v>
      </c>
      <c r="D70" s="72" t="s">
        <v>1166</v>
      </c>
      <c r="E70" s="72"/>
      <c r="F70" s="265" t="s">
        <v>44</v>
      </c>
      <c r="G70" s="266">
        <v>0.05</v>
      </c>
      <c r="H70" s="63">
        <f>VLOOKUP(D70,upahbahan,3,FALSE)</f>
        <v>30000</v>
      </c>
      <c r="I70" s="64">
        <f>G70*H70</f>
        <v>1500</v>
      </c>
    </row>
    <row r="71" spans="3:10" ht="20.399999999999999" customHeight="1">
      <c r="C71" s="66" t="s">
        <v>1217</v>
      </c>
      <c r="D71" s="67"/>
      <c r="E71" s="67"/>
      <c r="F71" s="67"/>
      <c r="G71" s="67"/>
      <c r="H71" s="69"/>
      <c r="I71" s="64">
        <f>SUM(I67:I70)</f>
        <v>2800</v>
      </c>
    </row>
    <row r="72" spans="3:10" s="79" customFormat="1" ht="20.399999999999999" customHeight="1">
      <c r="C72" s="75" t="s">
        <v>1218</v>
      </c>
      <c r="D72" s="76" t="s">
        <v>1219</v>
      </c>
      <c r="E72" s="77"/>
      <c r="F72" s="77"/>
      <c r="G72" s="77"/>
      <c r="H72" s="78"/>
      <c r="I72" s="64">
        <f>I62+I65+I71</f>
        <v>451600</v>
      </c>
      <c r="J72" s="45"/>
    </row>
    <row r="73" spans="3:10" s="79" customFormat="1" ht="20.399999999999999" customHeight="1">
      <c r="C73" s="75" t="s">
        <v>1220</v>
      </c>
      <c r="D73" s="76" t="s">
        <v>1321</v>
      </c>
      <c r="E73" s="77"/>
      <c r="F73" s="77"/>
      <c r="G73" s="78"/>
      <c r="H73" s="80">
        <f>$N$7</f>
        <v>0.1</v>
      </c>
      <c r="I73" s="64">
        <f>I72*H73</f>
        <v>45160</v>
      </c>
      <c r="J73" s="45"/>
    </row>
    <row r="74" spans="3:10" s="79" customFormat="1" ht="20.399999999999999" customHeight="1" thickBot="1">
      <c r="C74" s="81" t="s">
        <v>1221</v>
      </c>
      <c r="D74" s="82" t="s">
        <v>1222</v>
      </c>
      <c r="E74" s="83"/>
      <c r="F74" s="83"/>
      <c r="G74" s="83"/>
      <c r="H74" s="84"/>
      <c r="I74" s="85">
        <f>SUM(I72:I73)</f>
        <v>496760</v>
      </c>
      <c r="J74" s="45"/>
    </row>
    <row r="75" spans="3:10" s="79" customFormat="1" ht="20.399999999999999" customHeight="1" thickTop="1">
      <c r="C75" s="54"/>
      <c r="D75" s="86"/>
      <c r="E75" s="86"/>
      <c r="F75" s="86"/>
      <c r="G75" s="86"/>
      <c r="H75" s="86"/>
      <c r="I75" s="87"/>
      <c r="J75" s="45"/>
    </row>
    <row r="76" spans="3:10" s="44" customFormat="1" ht="20.399999999999999" customHeight="1" thickBot="1">
      <c r="C76" s="44" t="s">
        <v>2178</v>
      </c>
      <c r="D76" s="261" t="s">
        <v>2179</v>
      </c>
      <c r="E76" s="261"/>
      <c r="F76" s="262"/>
      <c r="G76" s="262"/>
      <c r="H76" s="262"/>
      <c r="I76" s="262"/>
      <c r="J76" s="50">
        <f>ROUNDDOWN(I89,-2)</f>
        <v>152000</v>
      </c>
    </row>
    <row r="77" spans="3:10" s="54" customFormat="1" ht="27.6" customHeight="1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</row>
    <row r="78" spans="3:10" ht="20.399999999999999" customHeight="1">
      <c r="C78" s="55" t="s">
        <v>1201</v>
      </c>
      <c r="D78" s="56" t="s">
        <v>1202</v>
      </c>
      <c r="E78" s="56"/>
      <c r="F78" s="57"/>
      <c r="G78" s="57"/>
      <c r="H78" s="57"/>
      <c r="I78" s="58"/>
    </row>
    <row r="79" spans="3:10" ht="20.399999999999999" customHeight="1">
      <c r="C79" s="60">
        <v>1</v>
      </c>
      <c r="D79" s="56" t="s">
        <v>5</v>
      </c>
      <c r="E79" s="61" t="s">
        <v>1774</v>
      </c>
      <c r="F79" s="61" t="s">
        <v>6</v>
      </c>
      <c r="G79" s="62">
        <v>0.2</v>
      </c>
      <c r="H79" s="63">
        <f>VLOOKUP(D79,upahbahan,3,FALSE)</f>
        <v>100000</v>
      </c>
      <c r="I79" s="64">
        <f>G79*H79</f>
        <v>20000</v>
      </c>
    </row>
    <row r="80" spans="3:10" ht="20.399999999999999" customHeight="1">
      <c r="C80" s="60">
        <v>2</v>
      </c>
      <c r="D80" s="56" t="s">
        <v>19</v>
      </c>
      <c r="E80" s="61" t="s">
        <v>1777</v>
      </c>
      <c r="F80" s="61" t="s">
        <v>6</v>
      </c>
      <c r="G80" s="62">
        <v>0.02</v>
      </c>
      <c r="H80" s="63">
        <f>VLOOKUP(D80,upahbahan,3,FALSE)</f>
        <v>160000</v>
      </c>
      <c r="I80" s="64">
        <f>G80*H80</f>
        <v>3200</v>
      </c>
    </row>
    <row r="81" spans="3:10" ht="20.399999999999999" customHeight="1">
      <c r="C81" s="66" t="s">
        <v>1208</v>
      </c>
      <c r="D81" s="263"/>
      <c r="E81" s="263"/>
      <c r="F81" s="263"/>
      <c r="G81" s="263"/>
      <c r="H81" s="264"/>
      <c r="I81" s="64">
        <f>SUM(I79:I80)</f>
        <v>23200</v>
      </c>
    </row>
    <row r="82" spans="3:10" ht="20.399999999999999" customHeight="1">
      <c r="C82" s="55" t="s">
        <v>1209</v>
      </c>
      <c r="D82" s="56" t="s">
        <v>1210</v>
      </c>
      <c r="E82" s="56"/>
      <c r="F82" s="57"/>
      <c r="G82" s="57"/>
      <c r="H82" s="57"/>
      <c r="I82" s="58"/>
    </row>
    <row r="83" spans="3:10" ht="20.399999999999999" customHeight="1">
      <c r="C83" s="66" t="s">
        <v>1214</v>
      </c>
      <c r="D83" s="67"/>
      <c r="E83" s="67"/>
      <c r="F83" s="67"/>
      <c r="G83" s="67"/>
      <c r="H83" s="69"/>
      <c r="I83" s="100">
        <v>0</v>
      </c>
    </row>
    <row r="84" spans="3:10" ht="20.399999999999999" customHeight="1">
      <c r="C84" s="55" t="s">
        <v>1215</v>
      </c>
      <c r="D84" s="56" t="s">
        <v>1216</v>
      </c>
      <c r="E84" s="56"/>
      <c r="F84" s="57"/>
      <c r="G84" s="57"/>
      <c r="H84" s="57"/>
      <c r="I84" s="58"/>
    </row>
    <row r="85" spans="3:10" ht="20.399999999999999" customHeight="1">
      <c r="C85" s="92" t="s">
        <v>1203</v>
      </c>
      <c r="D85" s="72" t="s">
        <v>1111</v>
      </c>
      <c r="E85" s="72"/>
      <c r="F85" s="265" t="s">
        <v>1080</v>
      </c>
      <c r="G85" s="266">
        <v>0.05</v>
      </c>
      <c r="H85" s="63">
        <f>VLOOKUP(D85,upahbahan,3,FALSE)</f>
        <v>2300000</v>
      </c>
      <c r="I85" s="64">
        <f>G85*H85</f>
        <v>115000</v>
      </c>
    </row>
    <row r="86" spans="3:10" ht="20.399999999999999" customHeight="1">
      <c r="C86" s="66" t="s">
        <v>1217</v>
      </c>
      <c r="D86" s="67"/>
      <c r="E86" s="67"/>
      <c r="F86" s="67"/>
      <c r="G86" s="67"/>
      <c r="H86" s="69"/>
      <c r="I86" s="64">
        <f>SUM(I85:I85)</f>
        <v>115000</v>
      </c>
    </row>
    <row r="87" spans="3:10" s="79" customFormat="1" ht="20.399999999999999" customHeight="1">
      <c r="C87" s="75" t="s">
        <v>1218</v>
      </c>
      <c r="D87" s="76" t="s">
        <v>1219</v>
      </c>
      <c r="E87" s="77"/>
      <c r="F87" s="77"/>
      <c r="G87" s="77"/>
      <c r="H87" s="78"/>
      <c r="I87" s="64">
        <f>I81+I83+I86</f>
        <v>138200</v>
      </c>
      <c r="J87" s="45"/>
    </row>
    <row r="88" spans="3:10" s="79" customFormat="1" ht="20.399999999999999" customHeight="1">
      <c r="C88" s="75" t="s">
        <v>1220</v>
      </c>
      <c r="D88" s="76" t="s">
        <v>1321</v>
      </c>
      <c r="E88" s="77"/>
      <c r="F88" s="77"/>
      <c r="G88" s="78"/>
      <c r="H88" s="80">
        <f>$N$7</f>
        <v>0.1</v>
      </c>
      <c r="I88" s="64">
        <f>I87*H88</f>
        <v>13820</v>
      </c>
      <c r="J88" s="45"/>
    </row>
    <row r="89" spans="3:10" s="79" customFormat="1" ht="20.399999999999999" customHeight="1" thickBot="1">
      <c r="C89" s="81" t="s">
        <v>1221</v>
      </c>
      <c r="D89" s="82" t="s">
        <v>1222</v>
      </c>
      <c r="E89" s="83"/>
      <c r="F89" s="83"/>
      <c r="G89" s="83"/>
      <c r="H89" s="84"/>
      <c r="I89" s="85">
        <f>SUM(I87:I88)</f>
        <v>152020</v>
      </c>
      <c r="J89" s="45"/>
    </row>
    <row r="90" spans="3:10" s="79" customFormat="1" ht="20.399999999999999" customHeight="1" thickTop="1">
      <c r="C90" s="54"/>
      <c r="D90" s="86"/>
      <c r="E90" s="86"/>
      <c r="F90" s="86"/>
      <c r="G90" s="86"/>
      <c r="H90" s="86"/>
      <c r="I90" s="87"/>
      <c r="J90" s="45"/>
    </row>
    <row r="91" spans="3:10" s="44" customFormat="1" ht="20.399999999999999" customHeight="1" thickBot="1">
      <c r="C91" s="44" t="s">
        <v>2180</v>
      </c>
      <c r="D91" s="261" t="s">
        <v>2181</v>
      </c>
      <c r="E91" s="261"/>
      <c r="F91" s="262"/>
      <c r="G91" s="262"/>
      <c r="H91" s="262"/>
      <c r="I91" s="262"/>
      <c r="J91" s="50">
        <f>ROUNDDOWN(I104,-2)</f>
        <v>174000</v>
      </c>
    </row>
    <row r="92" spans="3:10" s="54" customFormat="1" ht="35.4" customHeight="1" thickTop="1">
      <c r="C92" s="51" t="s">
        <v>1195</v>
      </c>
      <c r="D92" s="52" t="s">
        <v>1196</v>
      </c>
      <c r="E92" s="52" t="s">
        <v>1906</v>
      </c>
      <c r="F92" s="52" t="s">
        <v>1197</v>
      </c>
      <c r="G92" s="52" t="s">
        <v>1198</v>
      </c>
      <c r="H92" s="52" t="s">
        <v>1199</v>
      </c>
      <c r="I92" s="53" t="s">
        <v>1200</v>
      </c>
    </row>
    <row r="93" spans="3:10" ht="20.399999999999999" customHeight="1">
      <c r="C93" s="55" t="s">
        <v>1201</v>
      </c>
      <c r="D93" s="56" t="s">
        <v>1202</v>
      </c>
      <c r="E93" s="56"/>
      <c r="F93" s="57"/>
      <c r="G93" s="57"/>
      <c r="H93" s="57"/>
      <c r="I93" s="58"/>
    </row>
    <row r="94" spans="3:10" ht="20.399999999999999" customHeight="1">
      <c r="C94" s="60">
        <v>1</v>
      </c>
      <c r="D94" s="56" t="s">
        <v>5</v>
      </c>
      <c r="E94" s="61" t="s">
        <v>1774</v>
      </c>
      <c r="F94" s="61" t="s">
        <v>6</v>
      </c>
      <c r="G94" s="62">
        <v>0.4</v>
      </c>
      <c r="H94" s="63">
        <f>VLOOKUP(D94,upahbahan,3,FALSE)</f>
        <v>100000</v>
      </c>
      <c r="I94" s="64">
        <f>G94*H94</f>
        <v>40000</v>
      </c>
    </row>
    <row r="95" spans="3:10" ht="20.399999999999999" customHeight="1">
      <c r="C95" s="60">
        <v>2</v>
      </c>
      <c r="D95" s="56" t="s">
        <v>19</v>
      </c>
      <c r="E95" s="61" t="s">
        <v>1777</v>
      </c>
      <c r="F95" s="61" t="s">
        <v>6</v>
      </c>
      <c r="G95" s="62">
        <v>0.02</v>
      </c>
      <c r="H95" s="63">
        <f>VLOOKUP(D95,upahbahan,3,FALSE)</f>
        <v>160000</v>
      </c>
      <c r="I95" s="64">
        <f>G95*H95</f>
        <v>3200</v>
      </c>
    </row>
    <row r="96" spans="3:10" ht="20.399999999999999" customHeight="1">
      <c r="C96" s="66" t="s">
        <v>1208</v>
      </c>
      <c r="D96" s="263"/>
      <c r="E96" s="263"/>
      <c r="F96" s="263"/>
      <c r="G96" s="263"/>
      <c r="H96" s="264"/>
      <c r="I96" s="64">
        <f>SUM(I94:I95)</f>
        <v>43200</v>
      </c>
    </row>
    <row r="97" spans="3:10" ht="20.399999999999999" customHeight="1">
      <c r="C97" s="55" t="s">
        <v>1209</v>
      </c>
      <c r="D97" s="56" t="s">
        <v>1210</v>
      </c>
      <c r="E97" s="56"/>
      <c r="F97" s="57"/>
      <c r="G97" s="57"/>
      <c r="H97" s="57"/>
      <c r="I97" s="58"/>
    </row>
    <row r="98" spans="3:10" ht="20.399999999999999" customHeight="1">
      <c r="C98" s="66" t="s">
        <v>1214</v>
      </c>
      <c r="D98" s="67"/>
      <c r="E98" s="67"/>
      <c r="F98" s="67"/>
      <c r="G98" s="67"/>
      <c r="H98" s="69"/>
      <c r="I98" s="100">
        <v>0</v>
      </c>
    </row>
    <row r="99" spans="3:10" ht="20.399999999999999" customHeight="1">
      <c r="C99" s="55" t="s">
        <v>1215</v>
      </c>
      <c r="D99" s="56" t="s">
        <v>1216</v>
      </c>
      <c r="E99" s="56"/>
      <c r="F99" s="57"/>
      <c r="G99" s="57"/>
      <c r="H99" s="57"/>
      <c r="I99" s="58"/>
    </row>
    <row r="100" spans="3:10" ht="20.399999999999999" customHeight="1">
      <c r="C100" s="92" t="s">
        <v>1203</v>
      </c>
      <c r="D100" s="72" t="s">
        <v>1111</v>
      </c>
      <c r="E100" s="72"/>
      <c r="F100" s="265" t="s">
        <v>1080</v>
      </c>
      <c r="G100" s="266">
        <v>0.05</v>
      </c>
      <c r="H100" s="63">
        <f>VLOOKUP(D100,upahbahan,3,FALSE)</f>
        <v>2300000</v>
      </c>
      <c r="I100" s="64">
        <f>G100*H100</f>
        <v>115000</v>
      </c>
    </row>
    <row r="101" spans="3:10" ht="20.399999999999999" customHeight="1">
      <c r="C101" s="66" t="s">
        <v>1217</v>
      </c>
      <c r="D101" s="67"/>
      <c r="E101" s="67"/>
      <c r="F101" s="67"/>
      <c r="G101" s="67"/>
      <c r="H101" s="69"/>
      <c r="I101" s="64">
        <f>SUM(I100:I100)</f>
        <v>115000</v>
      </c>
    </row>
    <row r="102" spans="3:10" s="79" customFormat="1" ht="20.399999999999999" customHeight="1">
      <c r="C102" s="75" t="s">
        <v>1218</v>
      </c>
      <c r="D102" s="76" t="s">
        <v>1219</v>
      </c>
      <c r="E102" s="77"/>
      <c r="F102" s="77"/>
      <c r="G102" s="77"/>
      <c r="H102" s="78"/>
      <c r="I102" s="64">
        <f>I96+I98+I101</f>
        <v>158200</v>
      </c>
      <c r="J102" s="45"/>
    </row>
    <row r="103" spans="3:10" s="79" customFormat="1" ht="20.399999999999999" customHeight="1">
      <c r="C103" s="75" t="s">
        <v>1220</v>
      </c>
      <c r="D103" s="76" t="s">
        <v>1321</v>
      </c>
      <c r="E103" s="77"/>
      <c r="F103" s="77"/>
      <c r="G103" s="78"/>
      <c r="H103" s="80">
        <f>$N$7</f>
        <v>0.1</v>
      </c>
      <c r="I103" s="64">
        <f>I102*H103</f>
        <v>15820</v>
      </c>
      <c r="J103" s="45"/>
    </row>
    <row r="104" spans="3:10" s="79" customFormat="1" ht="20.399999999999999" customHeight="1" thickBot="1">
      <c r="C104" s="81" t="s">
        <v>1221</v>
      </c>
      <c r="D104" s="82" t="s">
        <v>1222</v>
      </c>
      <c r="E104" s="83"/>
      <c r="F104" s="83"/>
      <c r="G104" s="83"/>
      <c r="H104" s="84"/>
      <c r="I104" s="85">
        <f>SUM(I102:I103)</f>
        <v>174020</v>
      </c>
      <c r="J104" s="45"/>
    </row>
    <row r="105" spans="3:10" s="79" customFormat="1" ht="20.399999999999999" customHeight="1" thickTop="1">
      <c r="C105" s="54"/>
      <c r="D105" s="86"/>
      <c r="E105" s="86"/>
      <c r="F105" s="86"/>
      <c r="G105" s="86"/>
      <c r="H105" s="86"/>
      <c r="I105" s="87"/>
      <c r="J105" s="45"/>
    </row>
    <row r="106" spans="3:10" s="44" customFormat="1" ht="20.399999999999999" customHeight="1" thickBot="1">
      <c r="C106" s="44" t="s">
        <v>2183</v>
      </c>
      <c r="D106" s="261" t="s">
        <v>2182</v>
      </c>
      <c r="E106" s="261"/>
      <c r="F106" s="262"/>
      <c r="G106" s="262"/>
      <c r="H106" s="262"/>
      <c r="I106" s="262"/>
      <c r="J106" s="50">
        <f>ROUNDDOWN(I121,-2)</f>
        <v>38600</v>
      </c>
    </row>
    <row r="107" spans="3:10" s="54" customFormat="1" ht="31.2" customHeight="1" thickTop="1">
      <c r="C107" s="51" t="s">
        <v>1195</v>
      </c>
      <c r="D107" s="52" t="s">
        <v>1196</v>
      </c>
      <c r="E107" s="52" t="s">
        <v>1906</v>
      </c>
      <c r="F107" s="52" t="s">
        <v>1197</v>
      </c>
      <c r="G107" s="52" t="s">
        <v>1198</v>
      </c>
      <c r="H107" s="52" t="s">
        <v>1199</v>
      </c>
      <c r="I107" s="53" t="s">
        <v>1200</v>
      </c>
    </row>
    <row r="108" spans="3:10" ht="20.399999999999999" customHeight="1">
      <c r="C108" s="55" t="s">
        <v>1201</v>
      </c>
      <c r="D108" s="56" t="s">
        <v>1202</v>
      </c>
      <c r="E108" s="56"/>
      <c r="F108" s="57"/>
      <c r="G108" s="57"/>
      <c r="H108" s="57"/>
      <c r="I108" s="58"/>
    </row>
    <row r="109" spans="3:10" ht="20.399999999999999" customHeight="1">
      <c r="C109" s="60">
        <v>1</v>
      </c>
      <c r="D109" s="56" t="s">
        <v>5</v>
      </c>
      <c r="E109" s="61" t="s">
        <v>1774</v>
      </c>
      <c r="F109" s="61" t="s">
        <v>6</v>
      </c>
      <c r="G109" s="62">
        <v>0.3</v>
      </c>
      <c r="H109" s="63">
        <f>VLOOKUP(D109,upahbahan,3,FALSE)</f>
        <v>100000</v>
      </c>
      <c r="I109" s="64">
        <f>G109*H109</f>
        <v>30000</v>
      </c>
    </row>
    <row r="110" spans="3:10" ht="20.399999999999999" customHeight="1">
      <c r="C110" s="60">
        <v>2</v>
      </c>
      <c r="D110" s="56" t="s">
        <v>19</v>
      </c>
      <c r="E110" s="61" t="s">
        <v>1777</v>
      </c>
      <c r="F110" s="61" t="s">
        <v>6</v>
      </c>
      <c r="G110" s="62">
        <v>0.03</v>
      </c>
      <c r="H110" s="63">
        <f>VLOOKUP(D110,upahbahan,3,FALSE)</f>
        <v>160000</v>
      </c>
      <c r="I110" s="64">
        <f>G110*H110</f>
        <v>4800</v>
      </c>
    </row>
    <row r="111" spans="3:10" ht="20.399999999999999" customHeight="1">
      <c r="C111" s="66" t="s">
        <v>1208</v>
      </c>
      <c r="D111" s="263"/>
      <c r="E111" s="263"/>
      <c r="F111" s="263"/>
      <c r="G111" s="263"/>
      <c r="H111" s="264"/>
      <c r="I111" s="64">
        <f>SUM(I109:I110)</f>
        <v>34800</v>
      </c>
    </row>
    <row r="112" spans="3:10" ht="20.399999999999999" customHeight="1">
      <c r="C112" s="55" t="s">
        <v>1209</v>
      </c>
      <c r="D112" s="56" t="s">
        <v>1210</v>
      </c>
      <c r="E112" s="56"/>
      <c r="F112" s="57"/>
      <c r="G112" s="57"/>
      <c r="H112" s="57"/>
      <c r="I112" s="58"/>
    </row>
    <row r="113" spans="3:10" ht="20.399999999999999" customHeight="1">
      <c r="C113" s="66" t="s">
        <v>1214</v>
      </c>
      <c r="D113" s="67"/>
      <c r="E113" s="67"/>
      <c r="F113" s="67"/>
      <c r="G113" s="67"/>
      <c r="H113" s="69"/>
      <c r="I113" s="74">
        <v>0</v>
      </c>
    </row>
    <row r="114" spans="3:10" ht="20.399999999999999" customHeight="1">
      <c r="C114" s="55" t="s">
        <v>1215</v>
      </c>
      <c r="D114" s="56" t="s">
        <v>1216</v>
      </c>
      <c r="E114" s="56"/>
      <c r="F114" s="57"/>
      <c r="G114" s="57"/>
      <c r="H114" s="57"/>
      <c r="I114" s="58"/>
    </row>
    <row r="115" spans="3:10" ht="20.399999999999999" customHeight="1">
      <c r="C115" s="92" t="s">
        <v>1203</v>
      </c>
      <c r="D115" s="72" t="s">
        <v>1169</v>
      </c>
      <c r="E115" s="72"/>
      <c r="F115" s="265" t="s">
        <v>44</v>
      </c>
      <c r="G115" s="267">
        <v>2E-3</v>
      </c>
      <c r="H115" s="63">
        <f>VLOOKUP(D115,upahbahan,3,FALSE)</f>
        <v>25000</v>
      </c>
      <c r="I115" s="64">
        <f>G115*H115</f>
        <v>50</v>
      </c>
    </row>
    <row r="116" spans="3:10" ht="20.399999999999999" customHeight="1">
      <c r="C116" s="92" t="s">
        <v>1204</v>
      </c>
      <c r="D116" s="72" t="s">
        <v>1168</v>
      </c>
      <c r="E116" s="72"/>
      <c r="F116" s="265" t="s">
        <v>44</v>
      </c>
      <c r="G116" s="267">
        <v>3.0000000000000001E-3</v>
      </c>
      <c r="H116" s="63">
        <f>VLOOKUP(D116,upahbahan,3,FALSE)</f>
        <v>15000</v>
      </c>
      <c r="I116" s="64">
        <f>G116*H116</f>
        <v>45</v>
      </c>
    </row>
    <row r="117" spans="3:10" ht="20.399999999999999" customHeight="1">
      <c r="C117" s="92" t="s">
        <v>1205</v>
      </c>
      <c r="D117" s="72" t="s">
        <v>1166</v>
      </c>
      <c r="E117" s="72"/>
      <c r="F117" s="265" t="s">
        <v>44</v>
      </c>
      <c r="G117" s="267">
        <v>7.0000000000000001E-3</v>
      </c>
      <c r="H117" s="63">
        <f>VLOOKUP(D117,upahbahan,3,FALSE)</f>
        <v>30000</v>
      </c>
      <c r="I117" s="64">
        <f>G117*H117</f>
        <v>210</v>
      </c>
    </row>
    <row r="118" spans="3:10" ht="20.399999999999999" customHeight="1">
      <c r="C118" s="66" t="s">
        <v>1217</v>
      </c>
      <c r="D118" s="67"/>
      <c r="E118" s="67"/>
      <c r="F118" s="67"/>
      <c r="G118" s="67"/>
      <c r="H118" s="69"/>
      <c r="I118" s="64">
        <f>SUM(I115:I117)</f>
        <v>305</v>
      </c>
    </row>
    <row r="119" spans="3:10" s="79" customFormat="1" ht="20.399999999999999" customHeight="1">
      <c r="C119" s="75" t="s">
        <v>1218</v>
      </c>
      <c r="D119" s="76" t="s">
        <v>1219</v>
      </c>
      <c r="E119" s="77"/>
      <c r="F119" s="77"/>
      <c r="G119" s="77"/>
      <c r="H119" s="78"/>
      <c r="I119" s="64">
        <f>I111+I113+I118</f>
        <v>35105</v>
      </c>
      <c r="J119" s="45"/>
    </row>
    <row r="120" spans="3:10" s="79" customFormat="1" ht="20.399999999999999" customHeight="1">
      <c r="C120" s="75" t="s">
        <v>1220</v>
      </c>
      <c r="D120" s="76" t="s">
        <v>1321</v>
      </c>
      <c r="E120" s="77"/>
      <c r="F120" s="77"/>
      <c r="G120" s="78"/>
      <c r="H120" s="80">
        <f>$N$7</f>
        <v>0.1</v>
      </c>
      <c r="I120" s="64">
        <f>I119*H120</f>
        <v>3510.5</v>
      </c>
      <c r="J120" s="45"/>
    </row>
    <row r="121" spans="3:10" s="79" customFormat="1" ht="20.399999999999999" customHeight="1" thickBot="1">
      <c r="C121" s="81" t="s">
        <v>1221</v>
      </c>
      <c r="D121" s="82" t="s">
        <v>1222</v>
      </c>
      <c r="E121" s="83"/>
      <c r="F121" s="83"/>
      <c r="G121" s="83"/>
      <c r="H121" s="84"/>
      <c r="I121" s="85">
        <f>SUM(I119:I120)</f>
        <v>38615.5</v>
      </c>
      <c r="J121" s="45"/>
    </row>
    <row r="122" spans="3:10" s="79" customFormat="1" ht="20.399999999999999" customHeight="1" thickTop="1">
      <c r="C122" s="54"/>
      <c r="D122" s="86"/>
      <c r="E122" s="86"/>
      <c r="F122" s="86"/>
      <c r="G122" s="86"/>
      <c r="H122" s="86"/>
      <c r="I122" s="87"/>
      <c r="J122" s="45"/>
    </row>
    <row r="123" spans="3:10" s="44" customFormat="1" ht="20.399999999999999" customHeight="1" thickBot="1">
      <c r="C123" s="44" t="s">
        <v>2185</v>
      </c>
      <c r="D123" s="261" t="s">
        <v>2184</v>
      </c>
      <c r="E123" s="261"/>
      <c r="F123" s="262"/>
      <c r="G123" s="262"/>
      <c r="H123" s="262"/>
      <c r="I123" s="262"/>
      <c r="J123" s="50">
        <f>ROUNDDOWN(I136,-2)</f>
        <v>24900</v>
      </c>
    </row>
    <row r="124" spans="3:10" s="54" customFormat="1" ht="33" customHeight="1" thickTop="1">
      <c r="C124" s="51" t="s">
        <v>1195</v>
      </c>
      <c r="D124" s="52" t="s">
        <v>1196</v>
      </c>
      <c r="E124" s="52" t="s">
        <v>1773</v>
      </c>
      <c r="F124" s="52" t="s">
        <v>1197</v>
      </c>
      <c r="G124" s="52" t="s">
        <v>1198</v>
      </c>
      <c r="H124" s="52" t="s">
        <v>1199</v>
      </c>
      <c r="I124" s="53" t="s">
        <v>1200</v>
      </c>
    </row>
    <row r="125" spans="3:10" ht="20.399999999999999" customHeight="1">
      <c r="C125" s="55" t="s">
        <v>1201</v>
      </c>
      <c r="D125" s="56" t="s">
        <v>1202</v>
      </c>
      <c r="E125" s="56"/>
      <c r="F125" s="57"/>
      <c r="G125" s="57"/>
      <c r="H125" s="57"/>
      <c r="I125" s="58"/>
    </row>
    <row r="126" spans="3:10" ht="20.399999999999999" customHeight="1">
      <c r="C126" s="60">
        <v>1</v>
      </c>
      <c r="D126" s="56" t="s">
        <v>5</v>
      </c>
      <c r="E126" s="61" t="s">
        <v>1774</v>
      </c>
      <c r="F126" s="61" t="s">
        <v>6</v>
      </c>
      <c r="G126" s="62">
        <v>0.15</v>
      </c>
      <c r="H126" s="63">
        <f>VLOOKUP(D126,upahbahan,3,FALSE)</f>
        <v>100000</v>
      </c>
      <c r="I126" s="64">
        <f>G126*H126</f>
        <v>15000</v>
      </c>
    </row>
    <row r="127" spans="3:10" ht="20.399999999999999" customHeight="1">
      <c r="C127" s="60">
        <v>2</v>
      </c>
      <c r="D127" s="56" t="s">
        <v>19</v>
      </c>
      <c r="E127" s="61" t="s">
        <v>1777</v>
      </c>
      <c r="F127" s="61" t="s">
        <v>6</v>
      </c>
      <c r="G127" s="62">
        <v>1.4999999999999999E-2</v>
      </c>
      <c r="H127" s="63">
        <f>VLOOKUP(D127,upahbahan,3,FALSE)</f>
        <v>160000</v>
      </c>
      <c r="I127" s="64">
        <f>G127*H127</f>
        <v>2400</v>
      </c>
    </row>
    <row r="128" spans="3:10" ht="20.399999999999999" customHeight="1">
      <c r="C128" s="66" t="s">
        <v>1208</v>
      </c>
      <c r="D128" s="263"/>
      <c r="E128" s="263"/>
      <c r="F128" s="263"/>
      <c r="G128" s="263"/>
      <c r="H128" s="264"/>
      <c r="I128" s="64">
        <f>SUM(I126:I127)</f>
        <v>17400</v>
      </c>
    </row>
    <row r="129" spans="3:10" ht="20.399999999999999" customHeight="1">
      <c r="C129" s="55" t="s">
        <v>1209</v>
      </c>
      <c r="D129" s="56" t="s">
        <v>1210</v>
      </c>
      <c r="E129" s="56"/>
      <c r="F129" s="57"/>
      <c r="G129" s="57"/>
      <c r="H129" s="57"/>
      <c r="I129" s="58"/>
    </row>
    <row r="130" spans="3:10" ht="20.399999999999999" customHeight="1">
      <c r="C130" s="66" t="s">
        <v>1214</v>
      </c>
      <c r="D130" s="67"/>
      <c r="E130" s="67"/>
      <c r="F130" s="67"/>
      <c r="G130" s="67"/>
      <c r="H130" s="69"/>
      <c r="I130" s="74">
        <v>0</v>
      </c>
    </row>
    <row r="131" spans="3:10" ht="20.399999999999999" customHeight="1">
      <c r="C131" s="55" t="s">
        <v>1215</v>
      </c>
      <c r="D131" s="56" t="s">
        <v>1216</v>
      </c>
      <c r="E131" s="56"/>
      <c r="F131" s="57"/>
      <c r="G131" s="57"/>
      <c r="H131" s="57"/>
      <c r="I131" s="58"/>
    </row>
    <row r="132" spans="3:10" ht="20.399999999999999" customHeight="1">
      <c r="C132" s="92" t="s">
        <v>1203</v>
      </c>
      <c r="D132" s="72" t="s">
        <v>1110</v>
      </c>
      <c r="E132" s="72"/>
      <c r="F132" s="265" t="s">
        <v>1080</v>
      </c>
      <c r="G132" s="267">
        <v>1.4999999999999999E-2</v>
      </c>
      <c r="H132" s="63">
        <f>VLOOKUP(D132,upahbahan,3,FALSE)</f>
        <v>350000</v>
      </c>
      <c r="I132" s="64">
        <f>G132*H132</f>
        <v>5250</v>
      </c>
    </row>
    <row r="133" spans="3:10" ht="20.399999999999999" customHeight="1">
      <c r="C133" s="66" t="s">
        <v>1217</v>
      </c>
      <c r="D133" s="67"/>
      <c r="E133" s="67"/>
      <c r="F133" s="67"/>
      <c r="G133" s="67"/>
      <c r="H133" s="69"/>
      <c r="I133" s="64">
        <f>SUM(I132:I132)</f>
        <v>5250</v>
      </c>
    </row>
    <row r="134" spans="3:10" s="79" customFormat="1" ht="20.399999999999999" customHeight="1">
      <c r="C134" s="75" t="s">
        <v>1218</v>
      </c>
      <c r="D134" s="76" t="s">
        <v>1219</v>
      </c>
      <c r="E134" s="77"/>
      <c r="F134" s="77"/>
      <c r="G134" s="77"/>
      <c r="H134" s="78"/>
      <c r="I134" s="64">
        <f>I128+I130+I133</f>
        <v>22650</v>
      </c>
      <c r="J134" s="45"/>
    </row>
    <row r="135" spans="3:10" s="79" customFormat="1" ht="20.399999999999999" customHeight="1">
      <c r="C135" s="75" t="s">
        <v>1220</v>
      </c>
      <c r="D135" s="76" t="s">
        <v>1321</v>
      </c>
      <c r="E135" s="77"/>
      <c r="F135" s="77"/>
      <c r="G135" s="78"/>
      <c r="H135" s="80">
        <f>$N$7</f>
        <v>0.1</v>
      </c>
      <c r="I135" s="64">
        <f>I134*H135</f>
        <v>2265</v>
      </c>
      <c r="J135" s="45"/>
    </row>
    <row r="136" spans="3:10" s="79" customFormat="1" ht="20.399999999999999" customHeight="1" thickBot="1">
      <c r="C136" s="81" t="s">
        <v>1221</v>
      </c>
      <c r="D136" s="82" t="s">
        <v>1222</v>
      </c>
      <c r="E136" s="83"/>
      <c r="F136" s="83"/>
      <c r="G136" s="83"/>
      <c r="H136" s="84"/>
      <c r="I136" s="85">
        <f>SUM(I134:I135)</f>
        <v>24915</v>
      </c>
      <c r="J136" s="45"/>
    </row>
    <row r="137" spans="3:10" s="79" customFormat="1" ht="20.399999999999999" customHeight="1" thickTop="1">
      <c r="C137" s="268"/>
      <c r="D137" s="269"/>
      <c r="E137" s="269"/>
      <c r="F137" s="269"/>
      <c r="G137" s="269"/>
      <c r="H137" s="269"/>
      <c r="I137" s="270"/>
      <c r="J137" s="45"/>
    </row>
    <row r="138" spans="3:10" s="44" customFormat="1" ht="20.399999999999999" customHeight="1" thickBot="1">
      <c r="C138" s="44" t="s">
        <v>2186</v>
      </c>
      <c r="D138" s="261" t="s">
        <v>2187</v>
      </c>
      <c r="E138" s="261"/>
      <c r="F138" s="262"/>
      <c r="G138" s="262"/>
      <c r="H138" s="262"/>
      <c r="I138" s="262"/>
      <c r="J138" s="50">
        <f>ROUNDDOWN(I152,-2)</f>
        <v>13500</v>
      </c>
    </row>
    <row r="139" spans="3:10" s="54" customFormat="1" ht="30" customHeight="1" thickTop="1">
      <c r="C139" s="51" t="s">
        <v>1195</v>
      </c>
      <c r="D139" s="52" t="s">
        <v>1196</v>
      </c>
      <c r="E139" s="52" t="s">
        <v>1773</v>
      </c>
      <c r="F139" s="52" t="s">
        <v>1197</v>
      </c>
      <c r="G139" s="52" t="s">
        <v>1198</v>
      </c>
      <c r="H139" s="52" t="s">
        <v>1199</v>
      </c>
      <c r="I139" s="53" t="s">
        <v>1200</v>
      </c>
    </row>
    <row r="140" spans="3:10" ht="20.399999999999999" customHeight="1">
      <c r="C140" s="55" t="s">
        <v>1201</v>
      </c>
      <c r="D140" s="56" t="s">
        <v>1202</v>
      </c>
      <c r="E140" s="56"/>
      <c r="F140" s="57"/>
      <c r="G140" s="57"/>
      <c r="H140" s="57"/>
      <c r="I140" s="58"/>
    </row>
    <row r="141" spans="3:10" ht="20.399999999999999" customHeight="1">
      <c r="C141" s="60">
        <v>1</v>
      </c>
      <c r="D141" s="56" t="s">
        <v>5</v>
      </c>
      <c r="E141" s="61"/>
      <c r="F141" s="61" t="s">
        <v>6</v>
      </c>
      <c r="G141" s="62">
        <v>8.8999999999999996E-2</v>
      </c>
      <c r="H141" s="63">
        <f>VLOOKUP(D141,upahbahan,3,FALSE)</f>
        <v>100000</v>
      </c>
      <c r="I141" s="64">
        <f>G141*H141</f>
        <v>8900</v>
      </c>
    </row>
    <row r="142" spans="3:10" ht="20.399999999999999" customHeight="1">
      <c r="C142" s="60">
        <v>2</v>
      </c>
      <c r="D142" s="56" t="s">
        <v>8</v>
      </c>
      <c r="E142" s="61"/>
      <c r="F142" s="61" t="s">
        <v>6</v>
      </c>
      <c r="G142" s="62">
        <v>2.1999999999999999E-2</v>
      </c>
      <c r="H142" s="63">
        <f>VLOOKUP(D142,upahbahan,3,FALSE)</f>
        <v>135000</v>
      </c>
      <c r="I142" s="64">
        <f>G142*H142</f>
        <v>2970</v>
      </c>
    </row>
    <row r="143" spans="3:10" ht="20.399999999999999" customHeight="1">
      <c r="C143" s="60">
        <v>3</v>
      </c>
      <c r="D143" s="56" t="s">
        <v>18</v>
      </c>
      <c r="E143" s="61"/>
      <c r="F143" s="61" t="s">
        <v>6</v>
      </c>
      <c r="G143" s="62">
        <v>2E-3</v>
      </c>
      <c r="H143" s="63">
        <f>VLOOKUP(D143,upahbahan,3,FALSE)</f>
        <v>150000</v>
      </c>
      <c r="I143" s="64">
        <f>G143*H143</f>
        <v>300</v>
      </c>
    </row>
    <row r="144" spans="3:10" ht="20.399999999999999" customHeight="1">
      <c r="C144" s="60">
        <v>4</v>
      </c>
      <c r="D144" s="56" t="s">
        <v>19</v>
      </c>
      <c r="E144" s="61"/>
      <c r="F144" s="61" t="s">
        <v>6</v>
      </c>
      <c r="G144" s="62">
        <v>1E-3</v>
      </c>
      <c r="H144" s="63">
        <f>VLOOKUP(D144,upahbahan,3,FALSE)</f>
        <v>160000</v>
      </c>
      <c r="I144" s="64">
        <f>G144*H144</f>
        <v>160</v>
      </c>
    </row>
    <row r="145" spans="3:10" ht="20.399999999999999" customHeight="1">
      <c r="C145" s="66" t="s">
        <v>1208</v>
      </c>
      <c r="D145" s="263"/>
      <c r="E145" s="263"/>
      <c r="F145" s="263"/>
      <c r="G145" s="263"/>
      <c r="H145" s="264"/>
      <c r="I145" s="64">
        <f>SUM(I141:I144)</f>
        <v>12330</v>
      </c>
    </row>
    <row r="146" spans="3:10" ht="20.399999999999999" customHeight="1">
      <c r="C146" s="55" t="s">
        <v>1209</v>
      </c>
      <c r="D146" s="56" t="s">
        <v>1210</v>
      </c>
      <c r="E146" s="56"/>
      <c r="F146" s="57"/>
      <c r="G146" s="57"/>
      <c r="H146" s="57"/>
      <c r="I146" s="58"/>
    </row>
    <row r="147" spans="3:10" ht="20.399999999999999" customHeight="1">
      <c r="C147" s="66" t="s">
        <v>1214</v>
      </c>
      <c r="D147" s="67"/>
      <c r="E147" s="67"/>
      <c r="F147" s="67"/>
      <c r="G147" s="67"/>
      <c r="H147" s="69"/>
      <c r="I147" s="74">
        <v>0</v>
      </c>
    </row>
    <row r="148" spans="3:10" ht="20.399999999999999" customHeight="1">
      <c r="C148" s="55" t="s">
        <v>1215</v>
      </c>
      <c r="D148" s="56" t="s">
        <v>1216</v>
      </c>
      <c r="E148" s="56"/>
      <c r="F148" s="57"/>
      <c r="G148" s="57"/>
      <c r="H148" s="57"/>
      <c r="I148" s="58"/>
    </row>
    <row r="149" spans="3:10" ht="20.399999999999999" customHeight="1">
      <c r="C149" s="66" t="s">
        <v>1217</v>
      </c>
      <c r="D149" s="67"/>
      <c r="E149" s="67"/>
      <c r="F149" s="67"/>
      <c r="G149" s="67"/>
      <c r="H149" s="69"/>
      <c r="I149" s="64">
        <f>SUM(I148)</f>
        <v>0</v>
      </c>
    </row>
    <row r="150" spans="3:10" s="79" customFormat="1" ht="20.399999999999999" customHeight="1">
      <c r="C150" s="75" t="s">
        <v>1218</v>
      </c>
      <c r="D150" s="76" t="s">
        <v>1219</v>
      </c>
      <c r="E150" s="77"/>
      <c r="F150" s="77"/>
      <c r="G150" s="77"/>
      <c r="H150" s="78"/>
      <c r="I150" s="64">
        <f>I145+I147+I149</f>
        <v>12330</v>
      </c>
      <c r="J150" s="45"/>
    </row>
    <row r="151" spans="3:10" s="79" customFormat="1" ht="20.399999999999999" customHeight="1">
      <c r="C151" s="75" t="s">
        <v>1220</v>
      </c>
      <c r="D151" s="76" t="s">
        <v>1321</v>
      </c>
      <c r="E151" s="77"/>
      <c r="F151" s="77"/>
      <c r="G151" s="78"/>
      <c r="H151" s="80">
        <f>$N$7</f>
        <v>0.1</v>
      </c>
      <c r="I151" s="64">
        <f>I150*H151</f>
        <v>1233</v>
      </c>
      <c r="J151" s="45"/>
    </row>
    <row r="152" spans="3:10" s="79" customFormat="1" ht="20.399999999999999" customHeight="1" thickBot="1">
      <c r="C152" s="81" t="s">
        <v>1221</v>
      </c>
      <c r="D152" s="82" t="s">
        <v>1222</v>
      </c>
      <c r="E152" s="83"/>
      <c r="F152" s="83"/>
      <c r="G152" s="83"/>
      <c r="H152" s="84"/>
      <c r="I152" s="85">
        <f>SUM(I150:I151)</f>
        <v>13563</v>
      </c>
      <c r="J152" s="45"/>
    </row>
    <row r="153" spans="3:10" ht="20.399999999999999" customHeight="1" thickTop="1"/>
    <row r="154" spans="3:10" ht="20.399999999999999" customHeight="1"/>
    <row r="155" spans="3:10" s="44" customFormat="1" ht="20.399999999999999" customHeight="1" thickBot="1">
      <c r="C155" s="44" t="s">
        <v>2188</v>
      </c>
      <c r="D155" s="261" t="s">
        <v>2189</v>
      </c>
      <c r="E155" s="261"/>
      <c r="F155" s="262"/>
      <c r="G155" s="262"/>
      <c r="H155" s="262"/>
      <c r="I155" s="262"/>
      <c r="J155" s="50">
        <f>ROUNDDOWN(I171,-2)</f>
        <v>1827900</v>
      </c>
    </row>
    <row r="156" spans="3:10" s="54" customFormat="1" ht="33" customHeight="1" thickTop="1">
      <c r="C156" s="51" t="s">
        <v>1195</v>
      </c>
      <c r="D156" s="52" t="s">
        <v>1196</v>
      </c>
      <c r="E156" s="52" t="s">
        <v>1773</v>
      </c>
      <c r="F156" s="52" t="s">
        <v>1197</v>
      </c>
      <c r="G156" s="52" t="s">
        <v>1198</v>
      </c>
      <c r="H156" s="52" t="s">
        <v>1199</v>
      </c>
      <c r="I156" s="53" t="s">
        <v>1200</v>
      </c>
    </row>
    <row r="157" spans="3:10" ht="20.399999999999999" customHeight="1">
      <c r="C157" s="55" t="s">
        <v>1201</v>
      </c>
      <c r="D157" s="56" t="s">
        <v>1202</v>
      </c>
      <c r="E157" s="56"/>
      <c r="F157" s="57"/>
      <c r="G157" s="57"/>
      <c r="H157" s="57"/>
      <c r="I157" s="58"/>
    </row>
    <row r="158" spans="3:10" ht="20.399999999999999" customHeight="1">
      <c r="C158" s="60">
        <v>1</v>
      </c>
      <c r="D158" s="56" t="s">
        <v>5</v>
      </c>
      <c r="E158" s="61"/>
      <c r="F158" s="61" t="s">
        <v>6</v>
      </c>
      <c r="G158" s="141">
        <v>11.9206</v>
      </c>
      <c r="H158" s="63">
        <f>VLOOKUP(D158,upahbahan,3,FALSE)</f>
        <v>100000</v>
      </c>
      <c r="I158" s="64">
        <f>G158*H158</f>
        <v>1192060</v>
      </c>
    </row>
    <row r="159" spans="3:10" ht="20.399999999999999" customHeight="1">
      <c r="C159" s="60">
        <v>2</v>
      </c>
      <c r="D159" s="56" t="s">
        <v>8</v>
      </c>
      <c r="E159" s="61"/>
      <c r="F159" s="61" t="s">
        <v>6</v>
      </c>
      <c r="G159" s="141">
        <v>1.9867699999999999</v>
      </c>
      <c r="H159" s="63">
        <f>VLOOKUP(D159,upahbahan,3,FALSE)</f>
        <v>135000</v>
      </c>
      <c r="I159" s="64">
        <f>G159*H159</f>
        <v>268213.95</v>
      </c>
    </row>
    <row r="160" spans="3:10" ht="20.399999999999999" customHeight="1">
      <c r="C160" s="60">
        <v>3</v>
      </c>
      <c r="D160" s="56" t="s">
        <v>18</v>
      </c>
      <c r="E160" s="61"/>
      <c r="F160" s="61" t="s">
        <v>6</v>
      </c>
      <c r="G160" s="141">
        <v>0.19868</v>
      </c>
      <c r="H160" s="63">
        <f>VLOOKUP(D160,upahbahan,3,FALSE)</f>
        <v>150000</v>
      </c>
      <c r="I160" s="64">
        <f>G160*H160</f>
        <v>29802</v>
      </c>
    </row>
    <row r="161" spans="3:12" ht="20.399999999999999" customHeight="1">
      <c r="C161" s="60">
        <v>4</v>
      </c>
      <c r="D161" s="56" t="s">
        <v>19</v>
      </c>
      <c r="E161" s="61"/>
      <c r="F161" s="61" t="s">
        <v>6</v>
      </c>
      <c r="G161" s="141">
        <v>6.6229999999999997E-2</v>
      </c>
      <c r="H161" s="63">
        <f>VLOOKUP(D161,upahbahan,3,FALSE)</f>
        <v>160000</v>
      </c>
      <c r="I161" s="64">
        <f>G161*H161</f>
        <v>10596.8</v>
      </c>
    </row>
    <row r="162" spans="3:12" ht="20.399999999999999" customHeight="1">
      <c r="C162" s="66" t="s">
        <v>1208</v>
      </c>
      <c r="D162" s="263"/>
      <c r="E162" s="263"/>
      <c r="F162" s="263"/>
      <c r="G162" s="263"/>
      <c r="H162" s="264"/>
      <c r="I162" s="64">
        <f>SUM(I158:I161)</f>
        <v>1500672.75</v>
      </c>
    </row>
    <row r="163" spans="3:12" ht="20.399999999999999" customHeight="1">
      <c r="C163" s="55" t="s">
        <v>1209</v>
      </c>
      <c r="D163" s="56" t="s">
        <v>1210</v>
      </c>
      <c r="E163" s="56"/>
      <c r="F163" s="57"/>
      <c r="G163" s="57"/>
      <c r="H163" s="57"/>
      <c r="I163" s="58"/>
    </row>
    <row r="164" spans="3:12" ht="20.399999999999999" customHeight="1">
      <c r="C164" s="66" t="s">
        <v>1214</v>
      </c>
      <c r="D164" s="67"/>
      <c r="E164" s="67"/>
      <c r="F164" s="67"/>
      <c r="G164" s="67"/>
      <c r="H164" s="69"/>
      <c r="I164" s="74">
        <v>0</v>
      </c>
    </row>
    <row r="165" spans="3:12" ht="20.399999999999999" customHeight="1">
      <c r="C165" s="55" t="s">
        <v>1215</v>
      </c>
      <c r="D165" s="56" t="s">
        <v>1216</v>
      </c>
      <c r="E165" s="56"/>
      <c r="F165" s="57"/>
      <c r="G165" s="57"/>
      <c r="H165" s="57"/>
      <c r="I165" s="58"/>
    </row>
    <row r="166" spans="3:12" ht="20.399999999999999" customHeight="1">
      <c r="C166" s="106">
        <v>1</v>
      </c>
      <c r="D166" s="107" t="s">
        <v>2190</v>
      </c>
      <c r="E166" s="107"/>
      <c r="F166" s="113" t="s">
        <v>1974</v>
      </c>
      <c r="G166" s="271">
        <v>0.55930000000000002</v>
      </c>
      <c r="H166" s="110">
        <f>VLOOKUP(D166,upahbahan,3,FALSE)</f>
        <v>180000</v>
      </c>
      <c r="I166" s="114">
        <f>G166*H166</f>
        <v>100674</v>
      </c>
    </row>
    <row r="167" spans="3:12" ht="20.399999999999999" customHeight="1">
      <c r="C167" s="106">
        <v>2</v>
      </c>
      <c r="D167" s="107" t="s">
        <v>5233</v>
      </c>
      <c r="E167" s="107"/>
      <c r="F167" s="113" t="s">
        <v>1974</v>
      </c>
      <c r="G167" s="271">
        <v>0.55930000000000002</v>
      </c>
      <c r="H167" s="110">
        <f>VLOOKUP(D167,upahbahan,3,FALSE)</f>
        <v>108000</v>
      </c>
      <c r="I167" s="114">
        <f>G167*H167</f>
        <v>60404.4</v>
      </c>
    </row>
    <row r="168" spans="3:12" ht="20.399999999999999" customHeight="1">
      <c r="C168" s="66" t="s">
        <v>1217</v>
      </c>
      <c r="D168" s="67"/>
      <c r="E168" s="67"/>
      <c r="F168" s="67"/>
      <c r="G168" s="67"/>
      <c r="H168" s="69"/>
      <c r="I168" s="64">
        <f>SUM(I165:I167)</f>
        <v>161078.39999999999</v>
      </c>
    </row>
    <row r="169" spans="3:12" s="79" customFormat="1" ht="20.399999999999999" customHeight="1">
      <c r="C169" s="75" t="s">
        <v>1218</v>
      </c>
      <c r="D169" s="76" t="s">
        <v>1219</v>
      </c>
      <c r="E169" s="77"/>
      <c r="F169" s="77"/>
      <c r="G169" s="77"/>
      <c r="H169" s="78"/>
      <c r="I169" s="64">
        <f>I162+I164+I168</f>
        <v>1661751.15</v>
      </c>
      <c r="J169" s="45"/>
    </row>
    <row r="170" spans="3:12" s="79" customFormat="1" ht="20.399999999999999" customHeight="1">
      <c r="C170" s="75" t="s">
        <v>1220</v>
      </c>
      <c r="D170" s="76" t="s">
        <v>1321</v>
      </c>
      <c r="E170" s="77"/>
      <c r="F170" s="77"/>
      <c r="G170" s="78"/>
      <c r="H170" s="80">
        <f>$N$7</f>
        <v>0.1</v>
      </c>
      <c r="I170" s="64">
        <f>I169*H170</f>
        <v>166175.11499999999</v>
      </c>
      <c r="J170" s="45"/>
    </row>
    <row r="171" spans="3:12" s="79" customFormat="1" ht="20.399999999999999" customHeight="1" thickBot="1">
      <c r="C171" s="81" t="s">
        <v>1221</v>
      </c>
      <c r="D171" s="82" t="s">
        <v>1222</v>
      </c>
      <c r="E171" s="83"/>
      <c r="F171" s="83"/>
      <c r="G171" s="83"/>
      <c r="H171" s="84"/>
      <c r="I171" s="85">
        <f>SUM(I169:I170)</f>
        <v>1827926.2649999999</v>
      </c>
      <c r="J171" s="45"/>
    </row>
    <row r="172" spans="3:12" ht="20.399999999999999" customHeight="1" thickTop="1"/>
    <row r="173" spans="3:12" s="44" customFormat="1" ht="20.399999999999999" customHeight="1" thickBot="1">
      <c r="C173" s="44" t="s">
        <v>2191</v>
      </c>
      <c r="D173" s="261" t="s">
        <v>2192</v>
      </c>
      <c r="E173" s="261"/>
      <c r="F173" s="262"/>
      <c r="G173" s="262"/>
      <c r="H173" s="262"/>
      <c r="I173" s="262"/>
      <c r="J173" s="50">
        <f>ROUNDDOWN(I189,-2)</f>
        <v>1662800</v>
      </c>
      <c r="K173" s="44" t="s">
        <v>6456</v>
      </c>
      <c r="L173" s="44" t="s">
        <v>6462</v>
      </c>
    </row>
    <row r="174" spans="3:12" s="54" customFormat="1" ht="33" customHeight="1" thickTop="1">
      <c r="C174" s="51" t="s">
        <v>1195</v>
      </c>
      <c r="D174" s="52" t="s">
        <v>1196</v>
      </c>
      <c r="E174" s="52" t="s">
        <v>1773</v>
      </c>
      <c r="F174" s="52" t="s">
        <v>1197</v>
      </c>
      <c r="G174" s="52" t="s">
        <v>1198</v>
      </c>
      <c r="H174" s="52" t="s">
        <v>1199</v>
      </c>
      <c r="I174" s="53" t="s">
        <v>1200</v>
      </c>
    </row>
    <row r="175" spans="3:12" ht="20.399999999999999" customHeight="1">
      <c r="C175" s="55" t="s">
        <v>1201</v>
      </c>
      <c r="D175" s="56" t="s">
        <v>1202</v>
      </c>
      <c r="E175" s="56"/>
      <c r="F175" s="57"/>
      <c r="G175" s="57"/>
      <c r="H175" s="57"/>
      <c r="I175" s="58"/>
    </row>
    <row r="176" spans="3:12" ht="20.399999999999999" customHeight="1">
      <c r="C176" s="60">
        <v>1</v>
      </c>
      <c r="D176" s="56" t="s">
        <v>5</v>
      </c>
      <c r="E176" s="61"/>
      <c r="F176" s="61" t="s">
        <v>6</v>
      </c>
      <c r="G176" s="62">
        <v>10.728540000000001</v>
      </c>
      <c r="H176" s="63">
        <f>VLOOKUP(D176,upahbahan,3,FALSE)</f>
        <v>100000</v>
      </c>
      <c r="I176" s="64">
        <f>G176*H176</f>
        <v>1072854</v>
      </c>
    </row>
    <row r="177" spans="3:12" ht="20.399999999999999" customHeight="1">
      <c r="C177" s="60">
        <v>2</v>
      </c>
      <c r="D177" s="56" t="s">
        <v>8</v>
      </c>
      <c r="E177" s="61"/>
      <c r="F177" s="61" t="s">
        <v>6</v>
      </c>
      <c r="G177" s="62">
        <v>1.78809</v>
      </c>
      <c r="H177" s="63">
        <f>VLOOKUP(D177,upahbahan,3,FALSE)</f>
        <v>135000</v>
      </c>
      <c r="I177" s="64">
        <f>G177*H177</f>
        <v>241392.15</v>
      </c>
    </row>
    <row r="178" spans="3:12" ht="20.399999999999999" customHeight="1">
      <c r="C178" s="60">
        <v>3</v>
      </c>
      <c r="D178" s="56" t="s">
        <v>18</v>
      </c>
      <c r="E178" s="61"/>
      <c r="F178" s="61" t="s">
        <v>6</v>
      </c>
      <c r="G178" s="62">
        <v>0.17881</v>
      </c>
      <c r="H178" s="63">
        <f>VLOOKUP(D178,upahbahan,3,FALSE)</f>
        <v>150000</v>
      </c>
      <c r="I178" s="64">
        <f>G178*H178</f>
        <v>26821.5</v>
      </c>
    </row>
    <row r="179" spans="3:12" ht="20.399999999999999" customHeight="1">
      <c r="C179" s="60">
        <v>4</v>
      </c>
      <c r="D179" s="56" t="s">
        <v>19</v>
      </c>
      <c r="E179" s="61"/>
      <c r="F179" s="61" t="s">
        <v>6</v>
      </c>
      <c r="G179" s="62">
        <v>5.96E-2</v>
      </c>
      <c r="H179" s="63">
        <f>VLOOKUP(D179,upahbahan,3,FALSE)</f>
        <v>160000</v>
      </c>
      <c r="I179" s="64">
        <f>G179*H179</f>
        <v>9536</v>
      </c>
    </row>
    <row r="180" spans="3:12" ht="20.399999999999999" customHeight="1">
      <c r="C180" s="66" t="s">
        <v>1208</v>
      </c>
      <c r="D180" s="263"/>
      <c r="E180" s="263"/>
      <c r="F180" s="263"/>
      <c r="G180" s="263"/>
      <c r="H180" s="264"/>
      <c r="I180" s="64">
        <f>SUM(I176:I179)</f>
        <v>1350603.65</v>
      </c>
    </row>
    <row r="181" spans="3:12" ht="20.399999999999999" customHeight="1">
      <c r="C181" s="55" t="s">
        <v>1209</v>
      </c>
      <c r="D181" s="56" t="s">
        <v>1210</v>
      </c>
      <c r="E181" s="56"/>
      <c r="F181" s="57"/>
      <c r="G181" s="57"/>
      <c r="H181" s="57"/>
      <c r="I181" s="58"/>
    </row>
    <row r="182" spans="3:12" ht="20.399999999999999" customHeight="1">
      <c r="C182" s="66" t="s">
        <v>1214</v>
      </c>
      <c r="D182" s="67"/>
      <c r="E182" s="67"/>
      <c r="F182" s="67"/>
      <c r="G182" s="67"/>
      <c r="H182" s="69"/>
      <c r="I182" s="74">
        <v>0</v>
      </c>
    </row>
    <row r="183" spans="3:12" ht="20.399999999999999" customHeight="1">
      <c r="C183" s="55" t="s">
        <v>1215</v>
      </c>
      <c r="D183" s="56" t="s">
        <v>1216</v>
      </c>
      <c r="E183" s="56"/>
      <c r="F183" s="57"/>
      <c r="G183" s="57"/>
      <c r="H183" s="57"/>
      <c r="I183" s="58"/>
    </row>
    <row r="184" spans="3:12" ht="20.399999999999999" customHeight="1">
      <c r="C184" s="106">
        <v>1</v>
      </c>
      <c r="D184" s="107" t="s">
        <v>2190</v>
      </c>
      <c r="E184" s="107"/>
      <c r="F184" s="113" t="s">
        <v>1974</v>
      </c>
      <c r="G184" s="145">
        <v>0.55930000000000002</v>
      </c>
      <c r="H184" s="110">
        <f>VLOOKUP(D184,upahbahan,3,FALSE)</f>
        <v>180000</v>
      </c>
      <c r="I184" s="114">
        <f>G184*H184</f>
        <v>100674</v>
      </c>
    </row>
    <row r="185" spans="3:12" ht="20.399999999999999" customHeight="1">
      <c r="C185" s="106">
        <v>2</v>
      </c>
      <c r="D185" s="107" t="s">
        <v>5233</v>
      </c>
      <c r="E185" s="107"/>
      <c r="F185" s="113" t="s">
        <v>1974</v>
      </c>
      <c r="G185" s="145">
        <v>0.55930000000000002</v>
      </c>
      <c r="H185" s="110">
        <f>VLOOKUP(D185,upahbahan,3,FALSE)</f>
        <v>108000</v>
      </c>
      <c r="I185" s="114">
        <f>G185*H185</f>
        <v>60404.4</v>
      </c>
    </row>
    <row r="186" spans="3:12" ht="20.399999999999999" customHeight="1">
      <c r="C186" s="66" t="s">
        <v>1217</v>
      </c>
      <c r="D186" s="67"/>
      <c r="E186" s="67"/>
      <c r="F186" s="67"/>
      <c r="G186" s="67"/>
      <c r="H186" s="69"/>
      <c r="I186" s="64">
        <f>SUM(I183:I185)</f>
        <v>161078.39999999999</v>
      </c>
    </row>
    <row r="187" spans="3:12" s="79" customFormat="1" ht="20.399999999999999" customHeight="1">
      <c r="C187" s="75" t="s">
        <v>1218</v>
      </c>
      <c r="D187" s="76" t="s">
        <v>1219</v>
      </c>
      <c r="E187" s="77"/>
      <c r="F187" s="77"/>
      <c r="G187" s="77"/>
      <c r="H187" s="78"/>
      <c r="I187" s="64">
        <f>I180+I182+I186</f>
        <v>1511682.0499999998</v>
      </c>
      <c r="J187" s="45"/>
    </row>
    <row r="188" spans="3:12" s="79" customFormat="1" ht="20.399999999999999" customHeight="1">
      <c r="C188" s="75" t="s">
        <v>1220</v>
      </c>
      <c r="D188" s="76" t="s">
        <v>1321</v>
      </c>
      <c r="E188" s="77"/>
      <c r="F188" s="77"/>
      <c r="G188" s="78"/>
      <c r="H188" s="80">
        <f>$N$7</f>
        <v>0.1</v>
      </c>
      <c r="I188" s="64">
        <f>I187*H188</f>
        <v>151168.20499999999</v>
      </c>
      <c r="J188" s="45"/>
    </row>
    <row r="189" spans="3:12" s="79" customFormat="1" ht="20.399999999999999" customHeight="1" thickBot="1">
      <c r="C189" s="81" t="s">
        <v>1221</v>
      </c>
      <c r="D189" s="82" t="s">
        <v>1222</v>
      </c>
      <c r="E189" s="83"/>
      <c r="F189" s="83"/>
      <c r="G189" s="83"/>
      <c r="H189" s="84"/>
      <c r="I189" s="85">
        <f>SUM(I187:I188)</f>
        <v>1662850.2549999999</v>
      </c>
      <c r="J189" s="45"/>
    </row>
    <row r="190" spans="3:12" ht="20.399999999999999" customHeight="1" thickTop="1"/>
    <row r="191" spans="3:12" s="44" customFormat="1" ht="20.399999999999999" customHeight="1" thickBot="1">
      <c r="C191" s="44" t="s">
        <v>2193</v>
      </c>
      <c r="D191" s="261" t="s">
        <v>6463</v>
      </c>
      <c r="E191" s="261"/>
      <c r="F191" s="262"/>
      <c r="G191" s="262"/>
      <c r="H191" s="262"/>
      <c r="I191" s="262"/>
      <c r="J191" s="50">
        <f>ROUNDDOWN(I205,-2)</f>
        <v>16600</v>
      </c>
      <c r="K191" s="44" t="s">
        <v>6451</v>
      </c>
      <c r="L191" s="44" t="s">
        <v>6464</v>
      </c>
    </row>
    <row r="192" spans="3:12" s="54" customFormat="1" ht="30.6" customHeight="1" thickTop="1">
      <c r="C192" s="51" t="s">
        <v>1195</v>
      </c>
      <c r="D192" s="52" t="s">
        <v>1196</v>
      </c>
      <c r="E192" s="52" t="s">
        <v>1773</v>
      </c>
      <c r="F192" s="52" t="s">
        <v>1197</v>
      </c>
      <c r="G192" s="52" t="s">
        <v>1198</v>
      </c>
      <c r="H192" s="52" t="s">
        <v>1199</v>
      </c>
      <c r="I192" s="53" t="s">
        <v>1200</v>
      </c>
    </row>
    <row r="193" spans="3:12" ht="20.399999999999999" customHeight="1">
      <c r="C193" s="55" t="s">
        <v>1201</v>
      </c>
      <c r="D193" s="56" t="s">
        <v>1202</v>
      </c>
      <c r="E193" s="56"/>
      <c r="F193" s="57"/>
      <c r="G193" s="57"/>
      <c r="H193" s="57"/>
      <c r="I193" s="58"/>
    </row>
    <row r="194" spans="3:12" ht="20.399999999999999" customHeight="1">
      <c r="C194" s="60">
        <v>1</v>
      </c>
      <c r="D194" s="56" t="s">
        <v>5</v>
      </c>
      <c r="E194" s="61"/>
      <c r="F194" s="61" t="s">
        <v>6</v>
      </c>
      <c r="G194" s="62">
        <v>0.1</v>
      </c>
      <c r="H194" s="63">
        <f>VLOOKUP(D194,upahbahan,3,FALSE)</f>
        <v>100000</v>
      </c>
      <c r="I194" s="64">
        <f>G194*H194</f>
        <v>10000</v>
      </c>
    </row>
    <row r="195" spans="3:12" ht="20.399999999999999" customHeight="1">
      <c r="C195" s="60">
        <v>2</v>
      </c>
      <c r="D195" s="56" t="s">
        <v>8</v>
      </c>
      <c r="E195" s="61"/>
      <c r="F195" s="61" t="s">
        <v>6</v>
      </c>
      <c r="G195" s="62">
        <v>3.3329999999999999E-2</v>
      </c>
      <c r="H195" s="63">
        <f>VLOOKUP(D195,upahbahan,3,FALSE)</f>
        <v>135000</v>
      </c>
      <c r="I195" s="64">
        <f>G195*H195</f>
        <v>4499.55</v>
      </c>
    </row>
    <row r="196" spans="3:12" ht="20.399999999999999" customHeight="1">
      <c r="C196" s="60">
        <v>3</v>
      </c>
      <c r="D196" s="56" t="s">
        <v>18</v>
      </c>
      <c r="E196" s="61"/>
      <c r="F196" s="61" t="s">
        <v>6</v>
      </c>
      <c r="G196" s="62">
        <v>3.3300000000000001E-3</v>
      </c>
      <c r="H196" s="63">
        <f>VLOOKUP(D196,upahbahan,3,FALSE)</f>
        <v>150000</v>
      </c>
      <c r="I196" s="64">
        <f>G196*H196</f>
        <v>499.5</v>
      </c>
    </row>
    <row r="197" spans="3:12" ht="20.399999999999999" customHeight="1">
      <c r="C197" s="60">
        <v>4</v>
      </c>
      <c r="D197" s="56" t="s">
        <v>19</v>
      </c>
      <c r="E197" s="61"/>
      <c r="F197" s="61" t="s">
        <v>6</v>
      </c>
      <c r="G197" s="62">
        <v>1.1100000000000001E-3</v>
      </c>
      <c r="H197" s="63">
        <f>VLOOKUP(D197,upahbahan,3,FALSE)</f>
        <v>160000</v>
      </c>
      <c r="I197" s="64">
        <f>G197*H197</f>
        <v>177.60000000000002</v>
      </c>
    </row>
    <row r="198" spans="3:12" ht="20.399999999999999" customHeight="1">
      <c r="C198" s="66" t="s">
        <v>1208</v>
      </c>
      <c r="D198" s="263"/>
      <c r="E198" s="263"/>
      <c r="F198" s="263"/>
      <c r="G198" s="263"/>
      <c r="H198" s="264"/>
      <c r="I198" s="64">
        <f>SUM(I194:I197)</f>
        <v>15176.65</v>
      </c>
    </row>
    <row r="199" spans="3:12" ht="20.399999999999999" customHeight="1">
      <c r="C199" s="55" t="s">
        <v>1209</v>
      </c>
      <c r="D199" s="56" t="s">
        <v>1210</v>
      </c>
      <c r="E199" s="56"/>
      <c r="F199" s="57"/>
      <c r="G199" s="57"/>
      <c r="H199" s="57"/>
      <c r="I199" s="58"/>
    </row>
    <row r="200" spans="3:12" ht="20.399999999999999" customHeight="1">
      <c r="C200" s="66" t="s">
        <v>1214</v>
      </c>
      <c r="D200" s="67"/>
      <c r="E200" s="67"/>
      <c r="F200" s="67"/>
      <c r="G200" s="67"/>
      <c r="H200" s="69"/>
      <c r="I200" s="74">
        <v>0</v>
      </c>
    </row>
    <row r="201" spans="3:12" ht="20.399999999999999" customHeight="1">
      <c r="C201" s="55" t="s">
        <v>1215</v>
      </c>
      <c r="D201" s="56" t="s">
        <v>1216</v>
      </c>
      <c r="E201" s="56"/>
      <c r="F201" s="57"/>
      <c r="G201" s="57"/>
      <c r="H201" s="57"/>
      <c r="I201" s="58"/>
    </row>
    <row r="202" spans="3:12" ht="20.399999999999999" customHeight="1">
      <c r="C202" s="66" t="s">
        <v>1217</v>
      </c>
      <c r="D202" s="67"/>
      <c r="E202" s="67"/>
      <c r="F202" s="67"/>
      <c r="G202" s="67"/>
      <c r="H202" s="69"/>
      <c r="I202" s="64">
        <f>SUM(I201:I201)</f>
        <v>0</v>
      </c>
    </row>
    <row r="203" spans="3:12" s="79" customFormat="1" ht="20.399999999999999" customHeight="1">
      <c r="C203" s="75" t="s">
        <v>1218</v>
      </c>
      <c r="D203" s="76" t="s">
        <v>1219</v>
      </c>
      <c r="E203" s="77"/>
      <c r="F203" s="77"/>
      <c r="G203" s="77"/>
      <c r="H203" s="78"/>
      <c r="I203" s="64">
        <f>I198+I200+I202</f>
        <v>15176.65</v>
      </c>
      <c r="J203" s="45"/>
    </row>
    <row r="204" spans="3:12" s="79" customFormat="1" ht="20.399999999999999" customHeight="1">
      <c r="C204" s="75" t="s">
        <v>1220</v>
      </c>
      <c r="D204" s="76" t="s">
        <v>1321</v>
      </c>
      <c r="E204" s="77"/>
      <c r="F204" s="77"/>
      <c r="G204" s="78"/>
      <c r="H204" s="80">
        <f>$N$7</f>
        <v>0.1</v>
      </c>
      <c r="I204" s="64">
        <f>I203*H204</f>
        <v>1517.665</v>
      </c>
      <c r="J204" s="45"/>
    </row>
    <row r="205" spans="3:12" s="79" customFormat="1" ht="20.399999999999999" customHeight="1" thickBot="1">
      <c r="C205" s="81" t="s">
        <v>1221</v>
      </c>
      <c r="D205" s="82" t="s">
        <v>1222</v>
      </c>
      <c r="E205" s="83"/>
      <c r="F205" s="83"/>
      <c r="G205" s="83"/>
      <c r="H205" s="84"/>
      <c r="I205" s="85">
        <f>SUM(I203:I204)</f>
        <v>16694.314999999999</v>
      </c>
      <c r="J205" s="45"/>
    </row>
    <row r="206" spans="3:12" ht="20.399999999999999" customHeight="1" thickTop="1"/>
    <row r="207" spans="3:12" s="44" customFormat="1" ht="20.399999999999999" customHeight="1" thickBot="1">
      <c r="C207" s="44" t="s">
        <v>2194</v>
      </c>
      <c r="D207" s="261" t="s">
        <v>6465</v>
      </c>
      <c r="E207" s="261"/>
      <c r="F207" s="262"/>
      <c r="G207" s="262"/>
      <c r="H207" s="262"/>
      <c r="I207" s="262"/>
      <c r="J207" s="50">
        <f>ROUNDDOWN(I221,-2)</f>
        <v>33300</v>
      </c>
      <c r="K207" s="44" t="s">
        <v>6451</v>
      </c>
      <c r="L207" s="44" t="s">
        <v>6464</v>
      </c>
    </row>
    <row r="208" spans="3:12" s="54" customFormat="1" ht="38.4" customHeight="1" thickTop="1">
      <c r="C208" s="51" t="s">
        <v>1195</v>
      </c>
      <c r="D208" s="52" t="s">
        <v>1196</v>
      </c>
      <c r="E208" s="52" t="s">
        <v>1773</v>
      </c>
      <c r="F208" s="52" t="s">
        <v>1197</v>
      </c>
      <c r="G208" s="52" t="s">
        <v>1198</v>
      </c>
      <c r="H208" s="52" t="s">
        <v>1199</v>
      </c>
      <c r="I208" s="53" t="s">
        <v>1200</v>
      </c>
    </row>
    <row r="209" spans="3:10" ht="20.399999999999999" customHeight="1">
      <c r="C209" s="55" t="s">
        <v>1201</v>
      </c>
      <c r="D209" s="56" t="s">
        <v>1202</v>
      </c>
      <c r="E209" s="56"/>
      <c r="F209" s="57"/>
      <c r="G209" s="57"/>
      <c r="H209" s="57"/>
      <c r="I209" s="58"/>
    </row>
    <row r="210" spans="3:10" ht="20.399999999999999" customHeight="1">
      <c r="C210" s="60">
        <v>1</v>
      </c>
      <c r="D210" s="56" t="s">
        <v>5</v>
      </c>
      <c r="E210" s="61"/>
      <c r="F210" s="61" t="s">
        <v>6</v>
      </c>
      <c r="G210" s="62">
        <v>0.2</v>
      </c>
      <c r="H210" s="63">
        <f>VLOOKUP(D210,upahbahan,3,FALSE)</f>
        <v>100000</v>
      </c>
      <c r="I210" s="64">
        <f>G210*H210</f>
        <v>20000</v>
      </c>
    </row>
    <row r="211" spans="3:10" ht="20.399999999999999" customHeight="1">
      <c r="C211" s="60">
        <v>2</v>
      </c>
      <c r="D211" s="56" t="s">
        <v>8</v>
      </c>
      <c r="E211" s="61"/>
      <c r="F211" s="61" t="s">
        <v>6</v>
      </c>
      <c r="G211" s="62">
        <v>6.6669999999999993E-2</v>
      </c>
      <c r="H211" s="63">
        <f>VLOOKUP(D211,upahbahan,3,FALSE)</f>
        <v>135000</v>
      </c>
      <c r="I211" s="64">
        <f>G211*H211</f>
        <v>9000.4499999999989</v>
      </c>
    </row>
    <row r="212" spans="3:10" ht="20.399999999999999" customHeight="1">
      <c r="C212" s="60">
        <v>3</v>
      </c>
      <c r="D212" s="56" t="s">
        <v>18</v>
      </c>
      <c r="E212" s="61"/>
      <c r="F212" s="61" t="s">
        <v>6</v>
      </c>
      <c r="G212" s="62">
        <v>6.6699999999999997E-3</v>
      </c>
      <c r="H212" s="63">
        <f>VLOOKUP(D212,upahbahan,3,FALSE)</f>
        <v>150000</v>
      </c>
      <c r="I212" s="64">
        <f>G212*H212</f>
        <v>1000.5</v>
      </c>
    </row>
    <row r="213" spans="3:10" ht="20.399999999999999" customHeight="1">
      <c r="C213" s="60">
        <v>4</v>
      </c>
      <c r="D213" s="56" t="s">
        <v>19</v>
      </c>
      <c r="E213" s="61"/>
      <c r="F213" s="61" t="s">
        <v>6</v>
      </c>
      <c r="G213" s="62">
        <v>2.2200000000000002E-3</v>
      </c>
      <c r="H213" s="63">
        <f>VLOOKUP(D213,upahbahan,3,FALSE)</f>
        <v>160000</v>
      </c>
      <c r="I213" s="64">
        <f>G213*H213</f>
        <v>355.20000000000005</v>
      </c>
    </row>
    <row r="214" spans="3:10" ht="20.399999999999999" customHeight="1">
      <c r="C214" s="66" t="s">
        <v>1208</v>
      </c>
      <c r="D214" s="263"/>
      <c r="E214" s="263"/>
      <c r="F214" s="263"/>
      <c r="G214" s="263"/>
      <c r="H214" s="264"/>
      <c r="I214" s="64">
        <f>SUM(I210:I213)</f>
        <v>30356.149999999998</v>
      </c>
    </row>
    <row r="215" spans="3:10" ht="20.399999999999999" customHeight="1">
      <c r="C215" s="55" t="s">
        <v>1209</v>
      </c>
      <c r="D215" s="56" t="s">
        <v>1210</v>
      </c>
      <c r="E215" s="56"/>
      <c r="F215" s="57"/>
      <c r="G215" s="57"/>
      <c r="H215" s="57"/>
      <c r="I215" s="58"/>
    </row>
    <row r="216" spans="3:10" ht="20.399999999999999" customHeight="1">
      <c r="C216" s="66" t="s">
        <v>1214</v>
      </c>
      <c r="D216" s="67"/>
      <c r="E216" s="67"/>
      <c r="F216" s="67"/>
      <c r="G216" s="67"/>
      <c r="H216" s="69"/>
      <c r="I216" s="74">
        <v>0</v>
      </c>
    </row>
    <row r="217" spans="3:10" ht="20.399999999999999" customHeight="1">
      <c r="C217" s="55" t="s">
        <v>1215</v>
      </c>
      <c r="D217" s="56" t="s">
        <v>1216</v>
      </c>
      <c r="E217" s="56"/>
      <c r="F217" s="57"/>
      <c r="G217" s="57"/>
      <c r="H217" s="57"/>
      <c r="I217" s="58"/>
    </row>
    <row r="218" spans="3:10" ht="20.399999999999999" customHeight="1">
      <c r="C218" s="66" t="s">
        <v>1217</v>
      </c>
      <c r="D218" s="67"/>
      <c r="E218" s="67"/>
      <c r="F218" s="67"/>
      <c r="G218" s="67"/>
      <c r="H218" s="69"/>
      <c r="I218" s="64">
        <f>SUM(I217:I217)</f>
        <v>0</v>
      </c>
    </row>
    <row r="219" spans="3:10" s="79" customFormat="1" ht="20.399999999999999" customHeight="1">
      <c r="C219" s="75" t="s">
        <v>1218</v>
      </c>
      <c r="D219" s="76" t="s">
        <v>1219</v>
      </c>
      <c r="E219" s="77"/>
      <c r="F219" s="77"/>
      <c r="G219" s="77"/>
      <c r="H219" s="78"/>
      <c r="I219" s="64">
        <f>I214+I216+I218</f>
        <v>30356.149999999998</v>
      </c>
      <c r="J219" s="45"/>
    </row>
    <row r="220" spans="3:10" s="79" customFormat="1" ht="20.399999999999999" customHeight="1">
      <c r="C220" s="75" t="s">
        <v>1220</v>
      </c>
      <c r="D220" s="76" t="s">
        <v>1321</v>
      </c>
      <c r="E220" s="77"/>
      <c r="F220" s="77"/>
      <c r="G220" s="78"/>
      <c r="H220" s="80">
        <f>$N$7</f>
        <v>0.1</v>
      </c>
      <c r="I220" s="64">
        <f>I219*H220</f>
        <v>3035.6149999999998</v>
      </c>
      <c r="J220" s="45"/>
    </row>
    <row r="221" spans="3:10" s="79" customFormat="1" ht="20.399999999999999" customHeight="1" thickBot="1">
      <c r="C221" s="81" t="s">
        <v>1221</v>
      </c>
      <c r="D221" s="82" t="s">
        <v>1222</v>
      </c>
      <c r="E221" s="83"/>
      <c r="F221" s="83"/>
      <c r="G221" s="83"/>
      <c r="H221" s="84"/>
      <c r="I221" s="85">
        <f>SUM(I219:I220)</f>
        <v>33391.764999999999</v>
      </c>
      <c r="J221" s="45"/>
    </row>
    <row r="222" spans="3:10" ht="14.4" thickTop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N191"/>
  <sheetViews>
    <sheetView topLeftCell="A5" zoomScale="82" zoomScaleNormal="82" workbookViewId="0">
      <selection activeCell="C183" sqref="C183"/>
    </sheetView>
  </sheetViews>
  <sheetFormatPr defaultColWidth="9.44140625" defaultRowHeight="13.8"/>
  <cols>
    <col min="1" max="2" width="3.44140625" style="280" customWidth="1"/>
    <col min="3" max="3" width="8.88671875" style="280" customWidth="1"/>
    <col min="4" max="4" width="24" style="280" customWidth="1"/>
    <col min="5" max="5" width="10" style="280" customWidth="1"/>
    <col min="6" max="6" width="7.109375" style="280" customWidth="1"/>
    <col min="7" max="7" width="10.6640625" style="280" customWidth="1"/>
    <col min="8" max="8" width="14.5546875" style="280" customWidth="1"/>
    <col min="9" max="9" width="15.88671875" style="280" customWidth="1"/>
    <col min="10" max="10" width="16.5546875" style="119" customWidth="1"/>
    <col min="11" max="16384" width="9.44140625" style="280"/>
  </cols>
  <sheetData>
    <row r="2" spans="3:14">
      <c r="C2" s="126">
        <v>2</v>
      </c>
      <c r="D2" s="119" t="s">
        <v>2195</v>
      </c>
      <c r="E2" s="119"/>
    </row>
    <row r="3" spans="3:14">
      <c r="C3" s="126" t="s">
        <v>2198</v>
      </c>
      <c r="D3" s="119" t="s">
        <v>2199</v>
      </c>
      <c r="E3" s="119"/>
    </row>
    <row r="4" spans="3:14" ht="24" customHeight="1">
      <c r="C4" s="272" t="s">
        <v>2196</v>
      </c>
      <c r="D4" s="47" t="s">
        <v>2197</v>
      </c>
      <c r="E4" s="88"/>
      <c r="F4" s="88"/>
      <c r="G4" s="88"/>
      <c r="H4" s="88"/>
      <c r="I4" s="88"/>
    </row>
    <row r="5" spans="3:14" ht="14.4" thickBot="1">
      <c r="C5" s="119" t="s">
        <v>2200</v>
      </c>
      <c r="D5" s="170" t="s">
        <v>1322</v>
      </c>
      <c r="E5" s="170"/>
      <c r="F5" s="275"/>
      <c r="G5" s="275"/>
      <c r="H5" s="275"/>
      <c r="I5" s="275"/>
      <c r="J5" s="120">
        <f>ROUNDDOWN(I20,-2)</f>
        <v>303400</v>
      </c>
    </row>
    <row r="6" spans="3:14" ht="28.2" thickTop="1">
      <c r="C6" s="51" t="s">
        <v>1195</v>
      </c>
      <c r="D6" s="52" t="s">
        <v>1196</v>
      </c>
      <c r="E6" s="52" t="s">
        <v>1906</v>
      </c>
      <c r="F6" s="52" t="s">
        <v>1197</v>
      </c>
      <c r="G6" s="52" t="s">
        <v>1198</v>
      </c>
      <c r="H6" s="52" t="s">
        <v>1199</v>
      </c>
      <c r="I6" s="53" t="s">
        <v>1200</v>
      </c>
    </row>
    <row r="7" spans="3:14" ht="18" customHeight="1">
      <c r="C7" s="290" t="s">
        <v>1201</v>
      </c>
      <c r="D7" s="182" t="s">
        <v>1202</v>
      </c>
      <c r="E7" s="182"/>
      <c r="F7" s="70"/>
      <c r="G7" s="70"/>
      <c r="H7" s="70"/>
      <c r="I7" s="71"/>
      <c r="K7" s="59" t="s">
        <v>1247</v>
      </c>
      <c r="L7" s="59"/>
      <c r="M7" s="59"/>
      <c r="N7" s="59"/>
    </row>
    <row r="8" spans="3:14" ht="18" customHeight="1">
      <c r="C8" s="281">
        <v>1</v>
      </c>
      <c r="D8" s="182" t="s">
        <v>5</v>
      </c>
      <c r="E8" s="176" t="s">
        <v>1774</v>
      </c>
      <c r="F8" s="176" t="s">
        <v>6</v>
      </c>
      <c r="G8" s="309">
        <v>0.73399999999999999</v>
      </c>
      <c r="H8" s="283">
        <f>VLOOKUP(D8,upahbahan,3,FALSE)</f>
        <v>100000</v>
      </c>
      <c r="I8" s="284">
        <f>G8*H8</f>
        <v>73400</v>
      </c>
      <c r="K8" s="59" t="s">
        <v>1248</v>
      </c>
      <c r="L8" s="59"/>
      <c r="M8" s="59"/>
      <c r="N8" s="65">
        <v>0.1</v>
      </c>
    </row>
    <row r="9" spans="3:14" ht="18" customHeight="1">
      <c r="C9" s="281">
        <v>2</v>
      </c>
      <c r="D9" s="182" t="s">
        <v>9</v>
      </c>
      <c r="E9" s="176" t="s">
        <v>1775</v>
      </c>
      <c r="F9" s="176" t="s">
        <v>6</v>
      </c>
      <c r="G9" s="309">
        <v>0.73399999999999999</v>
      </c>
      <c r="H9" s="283">
        <f>VLOOKUP(D9,upahbahan,3,FALSE)</f>
        <v>135000</v>
      </c>
      <c r="I9" s="284">
        <f>G9*H9</f>
        <v>99090</v>
      </c>
    </row>
    <row r="10" spans="3:14" ht="18" customHeight="1">
      <c r="C10" s="281">
        <v>3</v>
      </c>
      <c r="D10" s="182" t="s">
        <v>18</v>
      </c>
      <c r="E10" s="176" t="s">
        <v>1776</v>
      </c>
      <c r="F10" s="176" t="s">
        <v>6</v>
      </c>
      <c r="G10" s="309">
        <v>7.2999999999999995E-2</v>
      </c>
      <c r="H10" s="283">
        <f>VLOOKUP(D10,upahbahan,3,FALSE)</f>
        <v>150000</v>
      </c>
      <c r="I10" s="284">
        <f>G10*H10</f>
        <v>10950</v>
      </c>
    </row>
    <row r="11" spans="3:14" ht="18" customHeight="1">
      <c r="C11" s="281">
        <v>4</v>
      </c>
      <c r="D11" s="182" t="s">
        <v>19</v>
      </c>
      <c r="E11" s="176" t="s">
        <v>1777</v>
      </c>
      <c r="F11" s="176" t="s">
        <v>6</v>
      </c>
      <c r="G11" s="309">
        <v>2.4E-2</v>
      </c>
      <c r="H11" s="283">
        <f>VLOOKUP(D11,upahbahan,3,FALSE)</f>
        <v>160000</v>
      </c>
      <c r="I11" s="284">
        <f>G11*H11</f>
        <v>3840</v>
      </c>
    </row>
    <row r="12" spans="3:14" ht="18" customHeight="1">
      <c r="C12" s="66" t="s">
        <v>1208</v>
      </c>
      <c r="D12" s="67"/>
      <c r="E12" s="67"/>
      <c r="F12" s="67"/>
      <c r="G12" s="142"/>
      <c r="H12" s="153"/>
      <c r="I12" s="284">
        <f>SUM(I8:I11)</f>
        <v>187280</v>
      </c>
      <c r="J12" s="319"/>
      <c r="K12" s="320"/>
      <c r="L12" s="320"/>
    </row>
    <row r="13" spans="3:14" ht="18" customHeight="1">
      <c r="C13" s="290" t="s">
        <v>1209</v>
      </c>
      <c r="D13" s="182" t="s">
        <v>1210</v>
      </c>
      <c r="E13" s="182"/>
      <c r="F13" s="70"/>
      <c r="G13" s="70"/>
      <c r="H13" s="70"/>
      <c r="I13" s="71"/>
    </row>
    <row r="14" spans="3:14" ht="18" customHeight="1">
      <c r="C14" s="281">
        <v>1</v>
      </c>
      <c r="D14" s="182" t="s">
        <v>968</v>
      </c>
      <c r="E14" s="182"/>
      <c r="F14" s="291" t="s">
        <v>106</v>
      </c>
      <c r="G14" s="309">
        <v>0.96030000000000004</v>
      </c>
      <c r="H14" s="283">
        <f>VLOOKUP(D14,upahbahan,3,FALSE)</f>
        <v>92250</v>
      </c>
      <c r="I14" s="284">
        <f>G14*H14</f>
        <v>88587.675000000003</v>
      </c>
    </row>
    <row r="15" spans="3:14" ht="18" customHeight="1">
      <c r="C15" s="66" t="s">
        <v>1214</v>
      </c>
      <c r="D15" s="67"/>
      <c r="E15" s="67"/>
      <c r="F15" s="67"/>
      <c r="G15" s="67"/>
      <c r="H15" s="69"/>
      <c r="I15" s="284">
        <f>SUM(I14)</f>
        <v>88587.675000000003</v>
      </c>
    </row>
    <row r="16" spans="3:14" ht="18" customHeight="1">
      <c r="C16" s="321" t="s">
        <v>1215</v>
      </c>
      <c r="D16" s="182" t="s">
        <v>1216</v>
      </c>
      <c r="E16" s="182"/>
      <c r="F16" s="70"/>
      <c r="G16" s="70"/>
      <c r="H16" s="70"/>
      <c r="I16" s="71"/>
    </row>
    <row r="17" spans="3:12" ht="18" customHeight="1">
      <c r="C17" s="66" t="s">
        <v>1217</v>
      </c>
      <c r="D17" s="67"/>
      <c r="E17" s="67"/>
      <c r="F17" s="67"/>
      <c r="G17" s="67"/>
      <c r="H17" s="69"/>
      <c r="I17" s="292">
        <v>0</v>
      </c>
    </row>
    <row r="18" spans="3:12" s="297" customFormat="1" ht="18" customHeight="1">
      <c r="C18" s="293" t="s">
        <v>1218</v>
      </c>
      <c r="D18" s="294" t="s">
        <v>1219</v>
      </c>
      <c r="E18" s="295"/>
      <c r="F18" s="295"/>
      <c r="G18" s="295"/>
      <c r="H18" s="296"/>
      <c r="I18" s="284">
        <f>I17+I15+I12</f>
        <v>275867.67499999999</v>
      </c>
      <c r="J18" s="119"/>
    </row>
    <row r="19" spans="3:12" s="297" customFormat="1" ht="18" customHeight="1">
      <c r="C19" s="293" t="s">
        <v>1220</v>
      </c>
      <c r="D19" s="294" t="s">
        <v>1321</v>
      </c>
      <c r="E19" s="295"/>
      <c r="F19" s="295"/>
      <c r="G19" s="296"/>
      <c r="H19" s="298">
        <f>$N$8</f>
        <v>0.1</v>
      </c>
      <c r="I19" s="284">
        <f>I18*H19</f>
        <v>27586.767500000002</v>
      </c>
      <c r="J19" s="119"/>
    </row>
    <row r="20" spans="3:12" s="297" customFormat="1" ht="18" customHeight="1" thickBot="1">
      <c r="C20" s="299" t="s">
        <v>1221</v>
      </c>
      <c r="D20" s="300" t="s">
        <v>1222</v>
      </c>
      <c r="E20" s="301"/>
      <c r="F20" s="301"/>
      <c r="G20" s="301"/>
      <c r="H20" s="302"/>
      <c r="I20" s="303">
        <f>SUM(I18:I19)</f>
        <v>303454.4425</v>
      </c>
      <c r="J20" s="119"/>
    </row>
    <row r="21" spans="3:12" ht="14.4" thickTop="1">
      <c r="C21" s="304"/>
      <c r="D21" s="304"/>
      <c r="E21" s="304"/>
      <c r="F21" s="304"/>
      <c r="G21" s="304"/>
      <c r="H21" s="304"/>
      <c r="I21" s="305"/>
    </row>
    <row r="22" spans="3:12" ht="14.4" thickBot="1">
      <c r="C22" s="119" t="s">
        <v>2201</v>
      </c>
      <c r="D22" s="170" t="s">
        <v>1323</v>
      </c>
      <c r="E22" s="275"/>
      <c r="F22" s="275"/>
      <c r="G22" s="275"/>
      <c r="H22" s="275"/>
      <c r="I22" s="275"/>
      <c r="J22" s="120">
        <f>ROUNDDOWN(I37,-2)</f>
        <v>311000</v>
      </c>
    </row>
    <row r="23" spans="3:12" ht="33.6" customHeight="1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</row>
    <row r="24" spans="3:12" ht="18.600000000000001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</row>
    <row r="25" spans="3:12" ht="18.600000000000001" customHeight="1">
      <c r="C25" s="281">
        <v>1</v>
      </c>
      <c r="D25" s="182" t="s">
        <v>5</v>
      </c>
      <c r="E25" s="176" t="s">
        <v>1774</v>
      </c>
      <c r="F25" s="176" t="s">
        <v>6</v>
      </c>
      <c r="G25" s="315">
        <v>0.76039999999999996</v>
      </c>
      <c r="H25" s="283">
        <f>VLOOKUP(D25,upahbahan,3,FALSE)</f>
        <v>100000</v>
      </c>
      <c r="I25" s="284">
        <f>G25*H25</f>
        <v>76040</v>
      </c>
    </row>
    <row r="26" spans="3:12" ht="18.600000000000001" customHeight="1">
      <c r="C26" s="281">
        <v>2</v>
      </c>
      <c r="D26" s="182" t="str">
        <f>D9</f>
        <v>Tukang besi</v>
      </c>
      <c r="E26" s="176" t="s">
        <v>1775</v>
      </c>
      <c r="F26" s="176" t="s">
        <v>6</v>
      </c>
      <c r="G26" s="315">
        <v>0.76039999999999996</v>
      </c>
      <c r="H26" s="283">
        <f>VLOOKUP(D26,upahbahan,3,FALSE)</f>
        <v>135000</v>
      </c>
      <c r="I26" s="284">
        <f>G26*H26</f>
        <v>102654</v>
      </c>
    </row>
    <row r="27" spans="3:12" ht="18.600000000000001" customHeight="1">
      <c r="C27" s="281">
        <v>3</v>
      </c>
      <c r="D27" s="182" t="s">
        <v>18</v>
      </c>
      <c r="E27" s="176" t="s">
        <v>1776</v>
      </c>
      <c r="F27" s="176" t="s">
        <v>6</v>
      </c>
      <c r="G27" s="315">
        <v>7.5999999999999998E-2</v>
      </c>
      <c r="H27" s="283">
        <f>VLOOKUP(D27,upahbahan,3,FALSE)</f>
        <v>150000</v>
      </c>
      <c r="I27" s="284">
        <f>G27*H27</f>
        <v>11400</v>
      </c>
    </row>
    <row r="28" spans="3:12" ht="18.600000000000001" customHeight="1">
      <c r="C28" s="281">
        <v>4</v>
      </c>
      <c r="D28" s="182" t="s">
        <v>19</v>
      </c>
      <c r="E28" s="176" t="s">
        <v>1777</v>
      </c>
      <c r="F28" s="176" t="s">
        <v>6</v>
      </c>
      <c r="G28" s="315">
        <v>2.53E-2</v>
      </c>
      <c r="H28" s="283">
        <f>VLOOKUP(D28,upahbahan,3,FALSE)</f>
        <v>160000</v>
      </c>
      <c r="I28" s="284">
        <f>G28*H28</f>
        <v>4048</v>
      </c>
    </row>
    <row r="29" spans="3:12" ht="18.600000000000001" customHeight="1">
      <c r="C29" s="66" t="s">
        <v>1208</v>
      </c>
      <c r="D29" s="67"/>
      <c r="E29" s="67"/>
      <c r="F29" s="67"/>
      <c r="G29" s="142"/>
      <c r="H29" s="153"/>
      <c r="I29" s="284">
        <f>SUM(I25:I28)</f>
        <v>194142</v>
      </c>
      <c r="J29" s="319"/>
      <c r="K29" s="320"/>
      <c r="L29" s="320"/>
    </row>
    <row r="30" spans="3:12" ht="18.600000000000001" customHeight="1">
      <c r="C30" s="290" t="s">
        <v>1209</v>
      </c>
      <c r="D30" s="182" t="s">
        <v>1210</v>
      </c>
      <c r="E30" s="182"/>
      <c r="F30" s="70"/>
      <c r="G30" s="70"/>
      <c r="H30" s="70"/>
      <c r="I30" s="71"/>
    </row>
    <row r="31" spans="3:12" ht="18.600000000000001" customHeight="1">
      <c r="C31" s="281">
        <v>1</v>
      </c>
      <c r="D31" s="182" t="s">
        <v>968</v>
      </c>
      <c r="E31" s="182"/>
      <c r="F31" s="291" t="s">
        <v>106</v>
      </c>
      <c r="G31" s="309">
        <v>0.96030000000000004</v>
      </c>
      <c r="H31" s="283">
        <f>VLOOKUP(D31,upahbahan,3,FALSE)</f>
        <v>92250</v>
      </c>
      <c r="I31" s="284">
        <f>G31*H31</f>
        <v>88587.675000000003</v>
      </c>
    </row>
    <row r="32" spans="3:12" ht="18.600000000000001" customHeight="1">
      <c r="C32" s="66" t="s">
        <v>1214</v>
      </c>
      <c r="D32" s="67"/>
      <c r="E32" s="67"/>
      <c r="F32" s="67"/>
      <c r="G32" s="67"/>
      <c r="H32" s="69"/>
      <c r="I32" s="284">
        <f>SUM(I31)</f>
        <v>88587.675000000003</v>
      </c>
    </row>
    <row r="33" spans="3:12" ht="18.600000000000001" customHeight="1">
      <c r="C33" s="321" t="s">
        <v>1215</v>
      </c>
      <c r="D33" s="182" t="s">
        <v>1216</v>
      </c>
      <c r="E33" s="182"/>
      <c r="F33" s="70"/>
      <c r="G33" s="70"/>
      <c r="H33" s="70"/>
      <c r="I33" s="71"/>
    </row>
    <row r="34" spans="3:12" ht="18.600000000000001" customHeight="1">
      <c r="C34" s="66" t="s">
        <v>1217</v>
      </c>
      <c r="D34" s="67"/>
      <c r="E34" s="67"/>
      <c r="F34" s="67"/>
      <c r="G34" s="67"/>
      <c r="H34" s="69"/>
      <c r="I34" s="292">
        <v>0</v>
      </c>
    </row>
    <row r="35" spans="3:12" s="297" customFormat="1" ht="18.600000000000001" customHeight="1">
      <c r="C35" s="293" t="s">
        <v>1218</v>
      </c>
      <c r="D35" s="294" t="s">
        <v>1219</v>
      </c>
      <c r="E35" s="295"/>
      <c r="F35" s="295"/>
      <c r="G35" s="295"/>
      <c r="H35" s="296"/>
      <c r="I35" s="284">
        <f>I34+I32+I29</f>
        <v>282729.67499999999</v>
      </c>
      <c r="J35" s="119"/>
    </row>
    <row r="36" spans="3:12" s="297" customFormat="1" ht="18.600000000000001" customHeight="1">
      <c r="C36" s="293" t="s">
        <v>1220</v>
      </c>
      <c r="D36" s="294" t="s">
        <v>1321</v>
      </c>
      <c r="E36" s="295"/>
      <c r="F36" s="295"/>
      <c r="G36" s="296"/>
      <c r="H36" s="298">
        <f>$N$8</f>
        <v>0.1</v>
      </c>
      <c r="I36" s="284">
        <f>I35*H36</f>
        <v>28272.967499999999</v>
      </c>
      <c r="J36" s="119"/>
    </row>
    <row r="37" spans="3:12" s="297" customFormat="1" ht="18.600000000000001" customHeight="1" thickBot="1">
      <c r="C37" s="299" t="s">
        <v>1221</v>
      </c>
      <c r="D37" s="300" t="s">
        <v>1222</v>
      </c>
      <c r="E37" s="301"/>
      <c r="F37" s="301"/>
      <c r="G37" s="301"/>
      <c r="H37" s="302"/>
      <c r="I37" s="303">
        <f>SUM(I35:I36)</f>
        <v>311002.64249999996</v>
      </c>
      <c r="J37" s="119"/>
    </row>
    <row r="38" spans="3:12" ht="14.4" thickTop="1">
      <c r="C38" s="304"/>
      <c r="D38" s="304"/>
      <c r="E38" s="304"/>
      <c r="F38" s="304"/>
      <c r="G38" s="304"/>
      <c r="H38" s="304"/>
      <c r="I38" s="305"/>
    </row>
    <row r="39" spans="3:12" ht="14.4" thickBot="1">
      <c r="C39" s="119" t="s">
        <v>2202</v>
      </c>
      <c r="D39" s="170" t="s">
        <v>2203</v>
      </c>
      <c r="E39" s="275"/>
      <c r="F39" s="275"/>
      <c r="G39" s="275"/>
      <c r="H39" s="275"/>
      <c r="I39" s="275"/>
      <c r="J39" s="120">
        <f>ROUNDDOWN(I55,-2)</f>
        <v>9700</v>
      </c>
    </row>
    <row r="40" spans="3:12" ht="34.200000000000003" customHeight="1" thickTop="1">
      <c r="C40" s="51" t="s">
        <v>1195</v>
      </c>
      <c r="D40" s="52" t="s">
        <v>1196</v>
      </c>
      <c r="E40" s="52" t="s">
        <v>1906</v>
      </c>
      <c r="F40" s="52" t="s">
        <v>1197</v>
      </c>
      <c r="G40" s="52" t="s">
        <v>1198</v>
      </c>
      <c r="H40" s="52" t="s">
        <v>1199</v>
      </c>
      <c r="I40" s="53" t="s">
        <v>1200</v>
      </c>
    </row>
    <row r="41" spans="3:12" ht="18" customHeight="1">
      <c r="C41" s="290" t="s">
        <v>1201</v>
      </c>
      <c r="D41" s="182" t="s">
        <v>1202</v>
      </c>
      <c r="E41" s="182"/>
      <c r="F41" s="70"/>
      <c r="G41" s="70"/>
      <c r="H41" s="70"/>
      <c r="I41" s="71"/>
    </row>
    <row r="42" spans="3:12" ht="18" customHeight="1">
      <c r="C42" s="281">
        <v>1</v>
      </c>
      <c r="D42" s="182" t="s">
        <v>5</v>
      </c>
      <c r="E42" s="176" t="s">
        <v>1774</v>
      </c>
      <c r="F42" s="176" t="s">
        <v>6</v>
      </c>
      <c r="G42" s="315">
        <v>4.7600000000000003E-2</v>
      </c>
      <c r="H42" s="283">
        <f>VLOOKUP(D42,upahbahan,3,FALSE)</f>
        <v>100000</v>
      </c>
      <c r="I42" s="284">
        <f>G42*H42</f>
        <v>4760</v>
      </c>
    </row>
    <row r="43" spans="3:12" ht="18" customHeight="1">
      <c r="C43" s="281">
        <v>2</v>
      </c>
      <c r="D43" s="182" t="str">
        <f>D26</f>
        <v>Tukang besi</v>
      </c>
      <c r="E43" s="176" t="s">
        <v>1775</v>
      </c>
      <c r="F43" s="176" t="s">
        <v>6</v>
      </c>
      <c r="G43" s="315">
        <v>2.3800000000000002E-2</v>
      </c>
      <c r="H43" s="283">
        <f>VLOOKUP(D43,upahbahan,3,FALSE)</f>
        <v>135000</v>
      </c>
      <c r="I43" s="284">
        <f>G43*H43</f>
        <v>3213.0000000000005</v>
      </c>
    </row>
    <row r="44" spans="3:12" ht="18" customHeight="1">
      <c r="C44" s="281">
        <v>3</v>
      </c>
      <c r="D44" s="182" t="s">
        <v>18</v>
      </c>
      <c r="E44" s="176" t="s">
        <v>1776</v>
      </c>
      <c r="F44" s="176" t="s">
        <v>6</v>
      </c>
      <c r="G44" s="315">
        <v>2.3999999999999998E-3</v>
      </c>
      <c r="H44" s="283">
        <f>VLOOKUP(D44,upahbahan,3,FALSE)</f>
        <v>150000</v>
      </c>
      <c r="I44" s="284">
        <f>G44*H44</f>
        <v>359.99999999999994</v>
      </c>
    </row>
    <row r="45" spans="3:12" ht="18" customHeight="1">
      <c r="C45" s="281">
        <v>4</v>
      </c>
      <c r="D45" s="182" t="s">
        <v>19</v>
      </c>
      <c r="E45" s="176" t="s">
        <v>1777</v>
      </c>
      <c r="F45" s="176" t="s">
        <v>6</v>
      </c>
      <c r="G45" s="315">
        <v>8.0000000000000004E-4</v>
      </c>
      <c r="H45" s="283">
        <f>VLOOKUP(D45,upahbahan,3,FALSE)</f>
        <v>160000</v>
      </c>
      <c r="I45" s="284">
        <f>G45*H45</f>
        <v>128</v>
      </c>
    </row>
    <row r="46" spans="3:12" ht="18" customHeight="1">
      <c r="C46" s="66" t="s">
        <v>1208</v>
      </c>
      <c r="D46" s="67"/>
      <c r="E46" s="67"/>
      <c r="F46" s="67"/>
      <c r="G46" s="142"/>
      <c r="H46" s="153"/>
      <c r="I46" s="284">
        <f>SUM(I42:I45)</f>
        <v>8461</v>
      </c>
      <c r="J46" s="319"/>
      <c r="K46" s="320"/>
      <c r="L46" s="320"/>
    </row>
    <row r="47" spans="3:12" ht="18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</row>
    <row r="48" spans="3:12" ht="18" customHeight="1">
      <c r="C48" s="281">
        <v>1</v>
      </c>
      <c r="D48" s="182" t="s">
        <v>2204</v>
      </c>
      <c r="E48" s="182"/>
      <c r="F48" s="291" t="s">
        <v>1300</v>
      </c>
      <c r="G48" s="309">
        <v>1.05</v>
      </c>
      <c r="H48" s="283">
        <f>VLOOKUP(D48,upahbahan,3,FALSE)</f>
        <v>0</v>
      </c>
      <c r="I48" s="284">
        <f>G48*H48</f>
        <v>0</v>
      </c>
    </row>
    <row r="49" spans="3:10" ht="18" customHeight="1">
      <c r="C49" s="322">
        <v>2</v>
      </c>
      <c r="D49" s="182" t="s">
        <v>2205</v>
      </c>
      <c r="E49" s="182"/>
      <c r="F49" s="291" t="s">
        <v>44</v>
      </c>
      <c r="G49" s="309">
        <v>2</v>
      </c>
      <c r="H49" s="283">
        <f>VLOOKUP(D49,upahbahan,3,FALSE)</f>
        <v>200</v>
      </c>
      <c r="I49" s="284">
        <f>G49*H49</f>
        <v>400</v>
      </c>
    </row>
    <row r="50" spans="3:10" ht="18" customHeight="1">
      <c r="C50" s="66" t="s">
        <v>1214</v>
      </c>
      <c r="D50" s="67"/>
      <c r="E50" s="67"/>
      <c r="F50" s="67"/>
      <c r="G50" s="67"/>
      <c r="H50" s="69"/>
      <c r="I50" s="284">
        <f>SUM(I48:I49)</f>
        <v>400</v>
      </c>
    </row>
    <row r="51" spans="3:10" ht="18" customHeight="1">
      <c r="C51" s="321" t="s">
        <v>1215</v>
      </c>
      <c r="D51" s="182" t="s">
        <v>1216</v>
      </c>
      <c r="E51" s="182"/>
      <c r="F51" s="70"/>
      <c r="G51" s="70"/>
      <c r="H51" s="70"/>
      <c r="I51" s="71"/>
    </row>
    <row r="52" spans="3:10" ht="18" customHeight="1">
      <c r="C52" s="66" t="s">
        <v>1217</v>
      </c>
      <c r="D52" s="67"/>
      <c r="E52" s="67"/>
      <c r="F52" s="67"/>
      <c r="G52" s="67"/>
      <c r="H52" s="69"/>
      <c r="I52" s="292">
        <v>0</v>
      </c>
    </row>
    <row r="53" spans="3:10" s="297" customFormat="1" ht="18" customHeight="1">
      <c r="C53" s="293" t="s">
        <v>1218</v>
      </c>
      <c r="D53" s="294" t="s">
        <v>1219</v>
      </c>
      <c r="E53" s="295"/>
      <c r="F53" s="295"/>
      <c r="G53" s="295"/>
      <c r="H53" s="296"/>
      <c r="I53" s="284">
        <f>I52+I50+I46</f>
        <v>8861</v>
      </c>
      <c r="J53" s="119"/>
    </row>
    <row r="54" spans="3:10" s="297" customFormat="1" ht="18" customHeight="1">
      <c r="C54" s="293" t="s">
        <v>1220</v>
      </c>
      <c r="D54" s="294" t="s">
        <v>1321</v>
      </c>
      <c r="E54" s="295"/>
      <c r="F54" s="295"/>
      <c r="G54" s="296"/>
      <c r="H54" s="298">
        <f>$N$8</f>
        <v>0.1</v>
      </c>
      <c r="I54" s="284">
        <f>I53*H54</f>
        <v>886.1</v>
      </c>
      <c r="J54" s="119"/>
    </row>
    <row r="55" spans="3:10" s="297" customFormat="1" ht="18" customHeight="1" thickBot="1">
      <c r="C55" s="299" t="s">
        <v>1221</v>
      </c>
      <c r="D55" s="300" t="s">
        <v>1222</v>
      </c>
      <c r="E55" s="301"/>
      <c r="F55" s="301"/>
      <c r="G55" s="301"/>
      <c r="H55" s="302"/>
      <c r="I55" s="303">
        <f>SUM(I53:I54)</f>
        <v>9747.1</v>
      </c>
      <c r="J55" s="119"/>
    </row>
    <row r="56" spans="3:10" ht="14.4" thickTop="1">
      <c r="C56" s="304"/>
      <c r="D56" s="304"/>
      <c r="E56" s="304"/>
      <c r="F56" s="304"/>
      <c r="G56" s="304"/>
      <c r="H56" s="304"/>
      <c r="I56" s="305"/>
    </row>
    <row r="57" spans="3:10">
      <c r="C57" s="304"/>
      <c r="D57" s="304"/>
      <c r="E57" s="304"/>
      <c r="F57" s="304"/>
      <c r="G57" s="304"/>
      <c r="H57" s="304"/>
      <c r="I57" s="305"/>
    </row>
    <row r="58" spans="3:10" ht="14.4" thickBot="1">
      <c r="C58" s="119" t="s">
        <v>2206</v>
      </c>
      <c r="D58" s="170" t="s">
        <v>2207</v>
      </c>
      <c r="E58" s="275"/>
      <c r="F58" s="275"/>
      <c r="G58" s="275"/>
      <c r="H58" s="275"/>
      <c r="I58" s="275"/>
      <c r="J58" s="120">
        <f>ROUNDDOWN(I74,-2)</f>
        <v>4300</v>
      </c>
    </row>
    <row r="59" spans="3:10" ht="31.2" customHeight="1" thickTop="1">
      <c r="C59" s="51" t="s">
        <v>1195</v>
      </c>
      <c r="D59" s="52" t="s">
        <v>1196</v>
      </c>
      <c r="E59" s="52" t="s">
        <v>1906</v>
      </c>
      <c r="F59" s="52" t="s">
        <v>1197</v>
      </c>
      <c r="G59" s="52" t="s">
        <v>1198</v>
      </c>
      <c r="H59" s="52" t="s">
        <v>1199</v>
      </c>
      <c r="I59" s="53" t="s">
        <v>1200</v>
      </c>
    </row>
    <row r="60" spans="3:10" ht="19.8" customHeight="1">
      <c r="C60" s="290" t="s">
        <v>1201</v>
      </c>
      <c r="D60" s="182" t="s">
        <v>1202</v>
      </c>
      <c r="E60" s="182"/>
      <c r="F60" s="70"/>
      <c r="G60" s="70"/>
      <c r="H60" s="70"/>
      <c r="I60" s="71"/>
    </row>
    <row r="61" spans="3:10" ht="19.8" customHeight="1">
      <c r="C61" s="281">
        <v>1</v>
      </c>
      <c r="D61" s="182" t="s">
        <v>5</v>
      </c>
      <c r="E61" s="176" t="s">
        <v>1774</v>
      </c>
      <c r="F61" s="176" t="s">
        <v>6</v>
      </c>
      <c r="G61" s="315">
        <v>1.11E-2</v>
      </c>
      <c r="H61" s="283">
        <f>VLOOKUP(D61,upahbahan,3,FALSE)</f>
        <v>100000</v>
      </c>
      <c r="I61" s="284">
        <f>G61*H61</f>
        <v>1110</v>
      </c>
    </row>
    <row r="62" spans="3:10" ht="19.8" customHeight="1">
      <c r="C62" s="281">
        <v>2</v>
      </c>
      <c r="D62" s="182" t="str">
        <f>D45</f>
        <v>Mandor</v>
      </c>
      <c r="E62" s="176" t="s">
        <v>1775</v>
      </c>
      <c r="F62" s="176" t="s">
        <v>6</v>
      </c>
      <c r="G62" s="315">
        <v>1.11E-2</v>
      </c>
      <c r="H62" s="283">
        <f>VLOOKUP(D62,upahbahan,3,FALSE)</f>
        <v>160000</v>
      </c>
      <c r="I62" s="284">
        <f>G62*H62</f>
        <v>1776</v>
      </c>
    </row>
    <row r="63" spans="3:10" ht="19.8" customHeight="1">
      <c r="C63" s="281">
        <v>3</v>
      </c>
      <c r="D63" s="182" t="s">
        <v>18</v>
      </c>
      <c r="E63" s="176" t="s">
        <v>1776</v>
      </c>
      <c r="F63" s="176" t="s">
        <v>6</v>
      </c>
      <c r="G63" s="315">
        <v>1.1000000000000001E-3</v>
      </c>
      <c r="H63" s="283">
        <f>VLOOKUP(D63,upahbahan,3,FALSE)</f>
        <v>150000</v>
      </c>
      <c r="I63" s="284">
        <f>G63*H63</f>
        <v>165</v>
      </c>
    </row>
    <row r="64" spans="3:10" ht="19.8" customHeight="1">
      <c r="C64" s="281">
        <v>4</v>
      </c>
      <c r="D64" s="182" t="s">
        <v>19</v>
      </c>
      <c r="E64" s="176" t="s">
        <v>1777</v>
      </c>
      <c r="F64" s="176" t="s">
        <v>6</v>
      </c>
      <c r="G64" s="315">
        <v>4.0000000000000002E-4</v>
      </c>
      <c r="H64" s="283">
        <f>VLOOKUP(D64,upahbahan,3,FALSE)</f>
        <v>160000</v>
      </c>
      <c r="I64" s="284">
        <f>G64*H64</f>
        <v>64</v>
      </c>
    </row>
    <row r="65" spans="3:12" ht="19.8" customHeight="1">
      <c r="C65" s="66" t="s">
        <v>1208</v>
      </c>
      <c r="D65" s="67"/>
      <c r="E65" s="67"/>
      <c r="F65" s="67"/>
      <c r="G65" s="142"/>
      <c r="H65" s="153"/>
      <c r="I65" s="284">
        <f>SUM(I61:I64)</f>
        <v>3115</v>
      </c>
      <c r="J65" s="319"/>
      <c r="K65" s="320"/>
      <c r="L65" s="320"/>
    </row>
    <row r="66" spans="3:12" ht="19.8" customHeight="1">
      <c r="C66" s="290" t="s">
        <v>1209</v>
      </c>
      <c r="D66" s="182" t="s">
        <v>1210</v>
      </c>
      <c r="E66" s="182"/>
      <c r="F66" s="70"/>
      <c r="G66" s="70"/>
      <c r="H66" s="70"/>
      <c r="I66" s="71"/>
    </row>
    <row r="67" spans="3:12" s="326" customFormat="1" ht="19.8" customHeight="1">
      <c r="C67" s="323">
        <v>1</v>
      </c>
      <c r="D67" s="182" t="s">
        <v>5234</v>
      </c>
      <c r="E67" s="182"/>
      <c r="F67" s="291" t="s">
        <v>1300</v>
      </c>
      <c r="G67" s="324">
        <v>1.05</v>
      </c>
      <c r="H67" s="183">
        <f>VLOOKUP(D67,upahbahan,3,FALSE)</f>
        <v>0</v>
      </c>
      <c r="I67" s="325">
        <f>G67*H67</f>
        <v>0</v>
      </c>
      <c r="J67" s="48"/>
    </row>
    <row r="68" spans="3:12" ht="19.8" customHeight="1">
      <c r="C68" s="322">
        <v>2</v>
      </c>
      <c r="D68" s="182" t="s">
        <v>2205</v>
      </c>
      <c r="E68" s="182"/>
      <c r="F68" s="291" t="s">
        <v>44</v>
      </c>
      <c r="G68" s="327">
        <v>4</v>
      </c>
      <c r="H68" s="283">
        <f>VLOOKUP(D68,upahbahan,3,FALSE)</f>
        <v>200</v>
      </c>
      <c r="I68" s="284">
        <f>G68*H68</f>
        <v>800</v>
      </c>
    </row>
    <row r="69" spans="3:12" ht="19.8" customHeight="1">
      <c r="C69" s="66" t="s">
        <v>1214</v>
      </c>
      <c r="D69" s="67"/>
      <c r="E69" s="67"/>
      <c r="F69" s="67"/>
      <c r="G69" s="67"/>
      <c r="H69" s="69"/>
      <c r="I69" s="284">
        <f>SUM(I67:I68)</f>
        <v>800</v>
      </c>
    </row>
    <row r="70" spans="3:12" ht="19.8" customHeight="1">
      <c r="C70" s="321" t="s">
        <v>1215</v>
      </c>
      <c r="D70" s="182" t="s">
        <v>1216</v>
      </c>
      <c r="E70" s="182"/>
      <c r="F70" s="70"/>
      <c r="G70" s="70"/>
      <c r="H70" s="70"/>
      <c r="I70" s="71"/>
    </row>
    <row r="71" spans="3:12" ht="19.8" customHeight="1">
      <c r="C71" s="66" t="s">
        <v>1217</v>
      </c>
      <c r="D71" s="67"/>
      <c r="E71" s="67"/>
      <c r="F71" s="67"/>
      <c r="G71" s="67"/>
      <c r="H71" s="69"/>
      <c r="I71" s="292">
        <v>0</v>
      </c>
    </row>
    <row r="72" spans="3:12" s="297" customFormat="1" ht="19.8" customHeight="1">
      <c r="C72" s="293" t="s">
        <v>1218</v>
      </c>
      <c r="D72" s="294" t="s">
        <v>1219</v>
      </c>
      <c r="E72" s="295"/>
      <c r="F72" s="295"/>
      <c r="G72" s="295"/>
      <c r="H72" s="296"/>
      <c r="I72" s="284">
        <f>I71+I69+I65</f>
        <v>3915</v>
      </c>
      <c r="J72" s="119"/>
    </row>
    <row r="73" spans="3:12" s="297" customFormat="1" ht="19.8" customHeight="1">
      <c r="C73" s="293" t="s">
        <v>1220</v>
      </c>
      <c r="D73" s="294" t="s">
        <v>1321</v>
      </c>
      <c r="E73" s="295"/>
      <c r="F73" s="295"/>
      <c r="G73" s="296"/>
      <c r="H73" s="298">
        <f>$N$8</f>
        <v>0.1</v>
      </c>
      <c r="I73" s="284">
        <f>I72*H73</f>
        <v>391.5</v>
      </c>
      <c r="J73" s="119"/>
    </row>
    <row r="74" spans="3:12" s="297" customFormat="1" ht="19.8" customHeight="1" thickBot="1">
      <c r="C74" s="299" t="s">
        <v>1221</v>
      </c>
      <c r="D74" s="300" t="s">
        <v>1222</v>
      </c>
      <c r="E74" s="301"/>
      <c r="F74" s="301"/>
      <c r="G74" s="301"/>
      <c r="H74" s="302"/>
      <c r="I74" s="303">
        <f>SUM(I72:I73)</f>
        <v>4306.5</v>
      </c>
      <c r="J74" s="119"/>
    </row>
    <row r="75" spans="3:12" ht="14.4" thickTop="1">
      <c r="C75" s="304"/>
      <c r="D75" s="304"/>
      <c r="E75" s="304"/>
      <c r="F75" s="304"/>
      <c r="G75" s="304"/>
      <c r="H75" s="304"/>
      <c r="I75" s="305"/>
    </row>
    <row r="76" spans="3:12">
      <c r="C76" s="304"/>
      <c r="D76" s="304"/>
      <c r="E76" s="304"/>
      <c r="F76" s="304"/>
      <c r="G76" s="304"/>
      <c r="H76" s="304"/>
      <c r="I76" s="305"/>
    </row>
    <row r="77" spans="3:12">
      <c r="C77" s="304"/>
      <c r="D77" s="304"/>
      <c r="E77" s="304"/>
      <c r="F77" s="304"/>
      <c r="G77" s="304"/>
      <c r="H77" s="304"/>
      <c r="I77" s="305"/>
    </row>
    <row r="78" spans="3:12">
      <c r="C78" s="328" t="s">
        <v>2209</v>
      </c>
      <c r="D78" s="328" t="s">
        <v>2208</v>
      </c>
      <c r="E78" s="304"/>
      <c r="F78" s="304"/>
      <c r="G78" s="304"/>
      <c r="H78" s="304"/>
      <c r="I78" s="305"/>
    </row>
    <row r="79" spans="3:12" ht="18.75" customHeight="1" thickBot="1">
      <c r="C79" s="119" t="s">
        <v>2210</v>
      </c>
      <c r="D79" s="170" t="s">
        <v>1324</v>
      </c>
      <c r="E79" s="279"/>
      <c r="F79" s="279"/>
      <c r="G79" s="279"/>
      <c r="H79" s="279"/>
      <c r="I79" s="279"/>
      <c r="J79" s="120">
        <f>ROUNDDOWN(I96,-2)</f>
        <v>9843000</v>
      </c>
    </row>
    <row r="80" spans="3:12" ht="33.6" customHeight="1" thickTop="1">
      <c r="C80" s="51" t="s">
        <v>1195</v>
      </c>
      <c r="D80" s="52" t="s">
        <v>1196</v>
      </c>
      <c r="E80" s="52" t="s">
        <v>1906</v>
      </c>
      <c r="F80" s="52" t="s">
        <v>1197</v>
      </c>
      <c r="G80" s="52" t="s">
        <v>1198</v>
      </c>
      <c r="H80" s="52" t="s">
        <v>1199</v>
      </c>
      <c r="I80" s="53" t="s">
        <v>1200</v>
      </c>
    </row>
    <row r="81" spans="3:12" ht="17.399999999999999" customHeight="1">
      <c r="C81" s="290" t="s">
        <v>1201</v>
      </c>
      <c r="D81" s="182" t="s">
        <v>1202</v>
      </c>
      <c r="E81" s="182"/>
      <c r="F81" s="70"/>
      <c r="G81" s="70"/>
      <c r="H81" s="70"/>
      <c r="I81" s="71"/>
    </row>
    <row r="82" spans="3:12" ht="17.399999999999999" customHeight="1">
      <c r="C82" s="281">
        <v>1</v>
      </c>
      <c r="D82" s="182" t="s">
        <v>5</v>
      </c>
      <c r="E82" s="182" t="s">
        <v>1774</v>
      </c>
      <c r="F82" s="176" t="s">
        <v>6</v>
      </c>
      <c r="G82" s="282">
        <v>4</v>
      </c>
      <c r="H82" s="283">
        <f>VLOOKUP(D82,upahbahan,3,FALSE)</f>
        <v>100000</v>
      </c>
      <c r="I82" s="284">
        <f>G82*H82</f>
        <v>400000</v>
      </c>
    </row>
    <row r="83" spans="3:12" ht="17.399999999999999" customHeight="1">
      <c r="C83" s="281">
        <v>2</v>
      </c>
      <c r="D83" s="182" t="s">
        <v>8</v>
      </c>
      <c r="E83" s="182" t="s">
        <v>1775</v>
      </c>
      <c r="F83" s="176" t="s">
        <v>6</v>
      </c>
      <c r="G83" s="282">
        <v>12</v>
      </c>
      <c r="H83" s="283">
        <f>VLOOKUP(D83,upahbahan,3,FALSE)</f>
        <v>135000</v>
      </c>
      <c r="I83" s="284">
        <f>G83*H83</f>
        <v>1620000</v>
      </c>
    </row>
    <row r="84" spans="3:12" ht="17.399999999999999" customHeight="1">
      <c r="C84" s="281">
        <v>3</v>
      </c>
      <c r="D84" s="182" t="s">
        <v>18</v>
      </c>
      <c r="E84" s="182" t="s">
        <v>1776</v>
      </c>
      <c r="F84" s="176" t="s">
        <v>6</v>
      </c>
      <c r="G84" s="282">
        <v>1.2</v>
      </c>
      <c r="H84" s="283">
        <f>VLOOKUP(D84,upahbahan,3,FALSE)</f>
        <v>150000</v>
      </c>
      <c r="I84" s="284">
        <f>G84*H84</f>
        <v>180000</v>
      </c>
    </row>
    <row r="85" spans="3:12" ht="17.399999999999999" customHeight="1">
      <c r="C85" s="281">
        <v>4</v>
      </c>
      <c r="D85" s="182" t="s">
        <v>19</v>
      </c>
      <c r="E85" s="182" t="s">
        <v>1777</v>
      </c>
      <c r="F85" s="176" t="s">
        <v>6</v>
      </c>
      <c r="G85" s="282">
        <v>0.4</v>
      </c>
      <c r="H85" s="283">
        <f>VLOOKUP(D85,upahbahan,3,FALSE)</f>
        <v>160000</v>
      </c>
      <c r="I85" s="284">
        <f>G85*H85</f>
        <v>64000</v>
      </c>
    </row>
    <row r="86" spans="3:12" ht="17.399999999999999" customHeight="1">
      <c r="C86" s="66" t="s">
        <v>1208</v>
      </c>
      <c r="D86" s="67"/>
      <c r="E86" s="67"/>
      <c r="F86" s="67"/>
      <c r="G86" s="142"/>
      <c r="H86" s="153"/>
      <c r="I86" s="284">
        <f>SUM(I82:I85)</f>
        <v>2264000</v>
      </c>
      <c r="J86" s="319"/>
      <c r="K86" s="320"/>
      <c r="L86" s="320"/>
    </row>
    <row r="87" spans="3:12" ht="17.399999999999999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</row>
    <row r="88" spans="3:12" ht="17.399999999999999" customHeight="1">
      <c r="C88" s="306" t="s">
        <v>1203</v>
      </c>
      <c r="D88" s="182" t="s">
        <v>115</v>
      </c>
      <c r="E88" s="182"/>
      <c r="F88" s="124" t="s">
        <v>42</v>
      </c>
      <c r="G88" s="127">
        <v>1.1000000000000001</v>
      </c>
      <c r="H88" s="283">
        <f>VLOOKUP(D88,upahbahan,3,FALSE)</f>
        <v>5904000</v>
      </c>
      <c r="I88" s="284">
        <f>G88*H88</f>
        <v>6494400.0000000009</v>
      </c>
    </row>
    <row r="89" spans="3:12" ht="17.399999999999999" customHeight="1">
      <c r="C89" s="306" t="s">
        <v>1204</v>
      </c>
      <c r="D89" s="182" t="s">
        <v>231</v>
      </c>
      <c r="E89" s="182"/>
      <c r="F89" s="124" t="s">
        <v>65</v>
      </c>
      <c r="G89" s="127">
        <v>15</v>
      </c>
      <c r="H89" s="283">
        <f>VLOOKUP(D89,upahbahan,3,FALSE)</f>
        <v>0</v>
      </c>
      <c r="I89" s="284">
        <f>G89*H89</f>
        <v>0</v>
      </c>
    </row>
    <row r="90" spans="3:12" ht="17.399999999999999" customHeight="1">
      <c r="C90" s="306" t="s">
        <v>1205</v>
      </c>
      <c r="D90" s="182" t="s">
        <v>260</v>
      </c>
      <c r="E90" s="182"/>
      <c r="F90" s="176" t="s">
        <v>65</v>
      </c>
      <c r="G90" s="282">
        <v>5.6</v>
      </c>
      <c r="H90" s="283">
        <f>VLOOKUP(D90,upahbahan,3,FALSE)</f>
        <v>33901.875</v>
      </c>
      <c r="I90" s="284">
        <f>G90*H90</f>
        <v>189850.5</v>
      </c>
    </row>
    <row r="91" spans="3:12" ht="17.399999999999999" customHeight="1">
      <c r="C91" s="66" t="s">
        <v>1214</v>
      </c>
      <c r="D91" s="67"/>
      <c r="E91" s="67"/>
      <c r="F91" s="67"/>
      <c r="G91" s="67"/>
      <c r="H91" s="69"/>
      <c r="I91" s="284">
        <f>SUM(I88:I90)</f>
        <v>6684250.5000000009</v>
      </c>
    </row>
    <row r="92" spans="3:12" ht="17.399999999999999" customHeight="1">
      <c r="C92" s="321" t="s">
        <v>1215</v>
      </c>
      <c r="D92" s="182" t="s">
        <v>1216</v>
      </c>
      <c r="E92" s="182"/>
      <c r="F92" s="70"/>
      <c r="G92" s="70"/>
      <c r="H92" s="70"/>
      <c r="I92" s="71"/>
    </row>
    <row r="93" spans="3:12" ht="17.399999999999999" customHeight="1">
      <c r="C93" s="66" t="s">
        <v>1217</v>
      </c>
      <c r="D93" s="67"/>
      <c r="E93" s="67"/>
      <c r="F93" s="67"/>
      <c r="G93" s="67"/>
      <c r="H93" s="69"/>
      <c r="I93" s="292">
        <v>0</v>
      </c>
    </row>
    <row r="94" spans="3:12" s="297" customFormat="1" ht="17.399999999999999" customHeight="1">
      <c r="C94" s="293" t="s">
        <v>1218</v>
      </c>
      <c r="D94" s="294" t="s">
        <v>1219</v>
      </c>
      <c r="E94" s="295"/>
      <c r="F94" s="295"/>
      <c r="G94" s="295"/>
      <c r="H94" s="296"/>
      <c r="I94" s="284">
        <f>I93+I91+I86</f>
        <v>8948250.5</v>
      </c>
      <c r="J94" s="119"/>
    </row>
    <row r="95" spans="3:12" s="297" customFormat="1" ht="17.399999999999999" customHeight="1">
      <c r="C95" s="293" t="s">
        <v>1220</v>
      </c>
      <c r="D95" s="294" t="s">
        <v>1321</v>
      </c>
      <c r="E95" s="295"/>
      <c r="F95" s="295"/>
      <c r="G95" s="296"/>
      <c r="H95" s="298">
        <f>$N$8</f>
        <v>0.1</v>
      </c>
      <c r="I95" s="284">
        <f>I94*H95</f>
        <v>894825.05</v>
      </c>
      <c r="J95" s="119"/>
    </row>
    <row r="96" spans="3:12" s="297" customFormat="1" ht="17.399999999999999" customHeight="1" thickBot="1">
      <c r="C96" s="299" t="s">
        <v>1221</v>
      </c>
      <c r="D96" s="300" t="s">
        <v>1222</v>
      </c>
      <c r="E96" s="301"/>
      <c r="F96" s="301"/>
      <c r="G96" s="301"/>
      <c r="H96" s="302"/>
      <c r="I96" s="303">
        <f>SUM(I94:I95)</f>
        <v>9843075.5500000007</v>
      </c>
      <c r="J96" s="119"/>
    </row>
    <row r="97" spans="3:12" ht="14.4" thickTop="1"/>
    <row r="98" spans="3:12" ht="14.4" thickBot="1">
      <c r="C98" s="280" t="s">
        <v>2211</v>
      </c>
      <c r="D98" s="170" t="s">
        <v>1325</v>
      </c>
      <c r="E98" s="170"/>
      <c r="F98" s="170"/>
      <c r="G98" s="170"/>
      <c r="H98" s="170"/>
      <c r="I98" s="170"/>
      <c r="J98" s="120" t="e">
        <f>ROUNDDOWN(I115,-2)</f>
        <v>#VALUE!</v>
      </c>
      <c r="K98" s="280" t="s">
        <v>6451</v>
      </c>
      <c r="L98" s="280" t="s">
        <v>6459</v>
      </c>
    </row>
    <row r="99" spans="3:12" ht="32.4" customHeight="1" thickTop="1">
      <c r="C99" s="51" t="s">
        <v>1195</v>
      </c>
      <c r="D99" s="52" t="s">
        <v>1196</v>
      </c>
      <c r="E99" s="52" t="s">
        <v>1773</v>
      </c>
      <c r="F99" s="52" t="s">
        <v>1197</v>
      </c>
      <c r="G99" s="52" t="s">
        <v>1198</v>
      </c>
      <c r="H99" s="52" t="s">
        <v>1199</v>
      </c>
      <c r="I99" s="53" t="s">
        <v>1200</v>
      </c>
    </row>
    <row r="100" spans="3:12" ht="21" customHeight="1">
      <c r="C100" s="290" t="s">
        <v>1201</v>
      </c>
      <c r="D100" s="182" t="s">
        <v>1202</v>
      </c>
      <c r="E100" s="182"/>
      <c r="F100" s="70"/>
      <c r="G100" s="70"/>
      <c r="H100" s="70"/>
      <c r="I100" s="71"/>
    </row>
    <row r="101" spans="3:12" ht="21" customHeight="1">
      <c r="C101" s="281">
        <v>1</v>
      </c>
      <c r="D101" s="182" t="s">
        <v>5</v>
      </c>
      <c r="E101" s="176" t="s">
        <v>1774</v>
      </c>
      <c r="F101" s="176" t="s">
        <v>6</v>
      </c>
      <c r="G101" s="282">
        <v>6.7</v>
      </c>
      <c r="H101" s="283">
        <f>VLOOKUP(D101,upahbahan,3,FALSE)</f>
        <v>100000</v>
      </c>
      <c r="I101" s="284">
        <f>G101*H101</f>
        <v>670000</v>
      </c>
    </row>
    <row r="102" spans="3:12" ht="21" customHeight="1">
      <c r="C102" s="281">
        <v>2</v>
      </c>
      <c r="D102" s="182" t="s">
        <v>8</v>
      </c>
      <c r="E102" s="176" t="s">
        <v>1775</v>
      </c>
      <c r="F102" s="176" t="s">
        <v>6</v>
      </c>
      <c r="G102" s="282">
        <v>20.100000000000001</v>
      </c>
      <c r="H102" s="283">
        <f>VLOOKUP(D102,upahbahan,3,FALSE)</f>
        <v>135000</v>
      </c>
      <c r="I102" s="284">
        <f>G102*H102</f>
        <v>2713500</v>
      </c>
    </row>
    <row r="103" spans="3:12" ht="21" customHeight="1">
      <c r="C103" s="281">
        <v>3</v>
      </c>
      <c r="D103" s="182" t="s">
        <v>18</v>
      </c>
      <c r="E103" s="176" t="s">
        <v>1776</v>
      </c>
      <c r="F103" s="176" t="s">
        <v>6</v>
      </c>
      <c r="G103" s="282">
        <v>2.0099999999999998</v>
      </c>
      <c r="H103" s="283">
        <f>VLOOKUP(D103,upahbahan,3,FALSE)</f>
        <v>150000</v>
      </c>
      <c r="I103" s="284">
        <f>G103*H103</f>
        <v>301499.99999999994</v>
      </c>
    </row>
    <row r="104" spans="3:12" ht="21" customHeight="1">
      <c r="C104" s="281">
        <v>4</v>
      </c>
      <c r="D104" s="182" t="s">
        <v>19</v>
      </c>
      <c r="E104" s="176" t="s">
        <v>1777</v>
      </c>
      <c r="F104" s="176" t="s">
        <v>6</v>
      </c>
      <c r="G104" s="282">
        <v>0.67</v>
      </c>
      <c r="H104" s="283">
        <f>VLOOKUP(D104,upahbahan,3,FALSE)</f>
        <v>160000</v>
      </c>
      <c r="I104" s="284">
        <f>G104*H104</f>
        <v>107200</v>
      </c>
    </row>
    <row r="105" spans="3:12" ht="21" customHeight="1">
      <c r="C105" s="66" t="s">
        <v>1208</v>
      </c>
      <c r="D105" s="67"/>
      <c r="E105" s="67"/>
      <c r="F105" s="67"/>
      <c r="G105" s="142"/>
      <c r="H105" s="153"/>
      <c r="I105" s="284">
        <f>SUM(I101:I104)</f>
        <v>3792200</v>
      </c>
      <c r="J105" s="319"/>
      <c r="K105" s="320"/>
      <c r="L105" s="320"/>
    </row>
    <row r="106" spans="3:12" ht="21" customHeight="1">
      <c r="C106" s="290" t="s">
        <v>1209</v>
      </c>
      <c r="D106" s="182" t="s">
        <v>1210</v>
      </c>
      <c r="E106" s="182"/>
      <c r="F106" s="70"/>
      <c r="G106" s="70"/>
      <c r="H106" s="70"/>
      <c r="I106" s="71"/>
    </row>
    <row r="107" spans="3:12" ht="21" customHeight="1">
      <c r="C107" s="306" t="s">
        <v>1203</v>
      </c>
      <c r="D107" s="182" t="s">
        <v>114</v>
      </c>
      <c r="E107" s="182"/>
      <c r="F107" s="124" t="s">
        <v>42</v>
      </c>
      <c r="G107" s="127">
        <v>1.2</v>
      </c>
      <c r="H107" s="283" t="e">
        <f>VLOOKUP(D107,upahbahan,3,FALSE)</f>
        <v>#VALUE!</v>
      </c>
      <c r="I107" s="284" t="e">
        <f>G107*H107</f>
        <v>#VALUE!</v>
      </c>
    </row>
    <row r="108" spans="3:12" ht="21" customHeight="1">
      <c r="C108" s="306" t="s">
        <v>1204</v>
      </c>
      <c r="D108" s="182" t="s">
        <v>231</v>
      </c>
      <c r="E108" s="182"/>
      <c r="F108" s="176" t="s">
        <v>65</v>
      </c>
      <c r="G108" s="282">
        <v>15</v>
      </c>
      <c r="H108" s="283">
        <f>VLOOKUP(D108,upahbahan,3,FALSE)</f>
        <v>0</v>
      </c>
      <c r="I108" s="284">
        <f>G108*H108</f>
        <v>0</v>
      </c>
    </row>
    <row r="109" spans="3:12" ht="21" customHeight="1">
      <c r="C109" s="306" t="s">
        <v>1205</v>
      </c>
      <c r="D109" s="182" t="s">
        <v>260</v>
      </c>
      <c r="E109" s="182"/>
      <c r="F109" s="176" t="s">
        <v>65</v>
      </c>
      <c r="G109" s="282">
        <v>5.6</v>
      </c>
      <c r="H109" s="283">
        <f>VLOOKUP(D109,upahbahan,3,FALSE)</f>
        <v>33901.875</v>
      </c>
      <c r="I109" s="284">
        <f>G109*H109</f>
        <v>189850.5</v>
      </c>
    </row>
    <row r="110" spans="3:12" ht="21" customHeight="1">
      <c r="C110" s="66" t="s">
        <v>1214</v>
      </c>
      <c r="D110" s="67"/>
      <c r="E110" s="67"/>
      <c r="F110" s="67"/>
      <c r="G110" s="67"/>
      <c r="H110" s="69"/>
      <c r="I110" s="284" t="e">
        <f>SUM(I107:I109)</f>
        <v>#VALUE!</v>
      </c>
    </row>
    <row r="111" spans="3:12" ht="21" customHeight="1">
      <c r="C111" s="321" t="s">
        <v>1215</v>
      </c>
      <c r="D111" s="182" t="s">
        <v>1216</v>
      </c>
      <c r="E111" s="182"/>
      <c r="F111" s="70"/>
      <c r="G111" s="70"/>
      <c r="H111" s="70"/>
      <c r="I111" s="71"/>
    </row>
    <row r="112" spans="3:12" ht="21" customHeight="1">
      <c r="C112" s="66" t="s">
        <v>1217</v>
      </c>
      <c r="D112" s="67"/>
      <c r="E112" s="67"/>
      <c r="F112" s="67"/>
      <c r="G112" s="67"/>
      <c r="H112" s="69"/>
      <c r="I112" s="292">
        <v>0</v>
      </c>
    </row>
    <row r="113" spans="3:12" s="297" customFormat="1" ht="21" customHeight="1">
      <c r="C113" s="293" t="s">
        <v>1218</v>
      </c>
      <c r="D113" s="294" t="s">
        <v>1219</v>
      </c>
      <c r="E113" s="295"/>
      <c r="F113" s="295"/>
      <c r="G113" s="295"/>
      <c r="H113" s="296"/>
      <c r="I113" s="284" t="e">
        <f>I112+I110+I105</f>
        <v>#VALUE!</v>
      </c>
      <c r="J113" s="119"/>
    </row>
    <row r="114" spans="3:12" s="297" customFormat="1" ht="21" customHeight="1">
      <c r="C114" s="293" t="s">
        <v>1220</v>
      </c>
      <c r="D114" s="294" t="s">
        <v>1321</v>
      </c>
      <c r="E114" s="295"/>
      <c r="F114" s="295"/>
      <c r="G114" s="296"/>
      <c r="H114" s="298">
        <f>$N$8</f>
        <v>0.1</v>
      </c>
      <c r="I114" s="284" t="e">
        <f>I113*H114</f>
        <v>#VALUE!</v>
      </c>
      <c r="J114" s="119"/>
    </row>
    <row r="115" spans="3:12" s="297" customFormat="1" ht="21" customHeight="1" thickBot="1">
      <c r="C115" s="299" t="s">
        <v>1221</v>
      </c>
      <c r="D115" s="300" t="s">
        <v>1222</v>
      </c>
      <c r="E115" s="301"/>
      <c r="F115" s="301"/>
      <c r="G115" s="301"/>
      <c r="H115" s="302"/>
      <c r="I115" s="303" t="e">
        <f>SUM(I113:I114)</f>
        <v>#VALUE!</v>
      </c>
      <c r="J115" s="119"/>
    </row>
    <row r="116" spans="3:12" ht="14.4" thickTop="1"/>
    <row r="117" spans="3:12" ht="20.399999999999999" customHeight="1" thickBot="1">
      <c r="C117" s="119" t="s">
        <v>2212</v>
      </c>
      <c r="D117" s="170" t="s">
        <v>2213</v>
      </c>
      <c r="E117" s="275"/>
      <c r="F117" s="275"/>
      <c r="G117" s="275"/>
      <c r="H117" s="275"/>
      <c r="I117" s="275"/>
      <c r="J117" s="120">
        <f>ROUNDDOWN(I134,-2)</f>
        <v>8749900</v>
      </c>
      <c r="K117" s="280" t="s">
        <v>6456</v>
      </c>
      <c r="L117" s="280" t="s">
        <v>6466</v>
      </c>
    </row>
    <row r="118" spans="3:12" ht="34.799999999999997" customHeight="1" thickTop="1">
      <c r="C118" s="51" t="s">
        <v>1195</v>
      </c>
      <c r="D118" s="52" t="s">
        <v>1196</v>
      </c>
      <c r="E118" s="52" t="s">
        <v>1906</v>
      </c>
      <c r="F118" s="52" t="s">
        <v>1197</v>
      </c>
      <c r="G118" s="52" t="s">
        <v>1198</v>
      </c>
      <c r="H118" s="52" t="s">
        <v>1199</v>
      </c>
      <c r="I118" s="53" t="s">
        <v>1200</v>
      </c>
    </row>
    <row r="119" spans="3:12" ht="21" customHeight="1">
      <c r="C119" s="290" t="s">
        <v>1201</v>
      </c>
      <c r="D119" s="182" t="s">
        <v>1202</v>
      </c>
      <c r="E119" s="182"/>
      <c r="F119" s="70"/>
      <c r="G119" s="70"/>
      <c r="H119" s="70"/>
      <c r="I119" s="71"/>
    </row>
    <row r="120" spans="3:12" ht="21" customHeight="1">
      <c r="C120" s="281">
        <v>1</v>
      </c>
      <c r="D120" s="182" t="s">
        <v>5</v>
      </c>
      <c r="E120" s="176" t="s">
        <v>1774</v>
      </c>
      <c r="F120" s="176" t="s">
        <v>6</v>
      </c>
      <c r="G120" s="282">
        <v>2.4</v>
      </c>
      <c r="H120" s="283">
        <f>VLOOKUP(D120,upahbahan,3,FALSE)</f>
        <v>100000</v>
      </c>
      <c r="I120" s="284">
        <f>G120*H120</f>
        <v>240000</v>
      </c>
    </row>
    <row r="121" spans="3:12" ht="21" customHeight="1">
      <c r="C121" s="281">
        <v>2</v>
      </c>
      <c r="D121" s="182" t="s">
        <v>8</v>
      </c>
      <c r="E121" s="176" t="s">
        <v>1775</v>
      </c>
      <c r="F121" s="176" t="s">
        <v>6</v>
      </c>
      <c r="G121" s="282">
        <v>7.2</v>
      </c>
      <c r="H121" s="283">
        <f>VLOOKUP(D121,upahbahan,3,FALSE)</f>
        <v>135000</v>
      </c>
      <c r="I121" s="284">
        <f>G121*H121</f>
        <v>972000</v>
      </c>
    </row>
    <row r="122" spans="3:12" ht="21" customHeight="1">
      <c r="C122" s="281">
        <v>3</v>
      </c>
      <c r="D122" s="182" t="s">
        <v>18</v>
      </c>
      <c r="E122" s="176" t="s">
        <v>1776</v>
      </c>
      <c r="F122" s="176" t="s">
        <v>6</v>
      </c>
      <c r="G122" s="282">
        <v>0.72</v>
      </c>
      <c r="H122" s="283">
        <f>VLOOKUP(D122,upahbahan,3,FALSE)</f>
        <v>150000</v>
      </c>
      <c r="I122" s="284">
        <f>G122*H122</f>
        <v>108000</v>
      </c>
    </row>
    <row r="123" spans="3:12" ht="21" customHeight="1">
      <c r="C123" s="281">
        <v>4</v>
      </c>
      <c r="D123" s="182" t="s">
        <v>19</v>
      </c>
      <c r="E123" s="176" t="s">
        <v>1777</v>
      </c>
      <c r="F123" s="176" t="s">
        <v>6</v>
      </c>
      <c r="G123" s="282">
        <v>0.24</v>
      </c>
      <c r="H123" s="283">
        <f>VLOOKUP(D123,upahbahan,3,FALSE)</f>
        <v>160000</v>
      </c>
      <c r="I123" s="284">
        <f>G123*H123</f>
        <v>38400</v>
      </c>
    </row>
    <row r="124" spans="3:12" ht="21" customHeight="1">
      <c r="C124" s="66" t="s">
        <v>1208</v>
      </c>
      <c r="D124" s="67"/>
      <c r="E124" s="67"/>
      <c r="F124" s="67"/>
      <c r="G124" s="142"/>
      <c r="H124" s="153"/>
      <c r="I124" s="284">
        <f>SUM(I120:I123)</f>
        <v>1358400</v>
      </c>
      <c r="J124" s="319"/>
      <c r="K124" s="320"/>
      <c r="L124" s="320"/>
    </row>
    <row r="125" spans="3:12" ht="21" customHeight="1">
      <c r="C125" s="290" t="s">
        <v>1209</v>
      </c>
      <c r="D125" s="182" t="s">
        <v>1210</v>
      </c>
      <c r="E125" s="182"/>
      <c r="F125" s="70"/>
      <c r="G125" s="70"/>
      <c r="H125" s="70"/>
      <c r="I125" s="71"/>
    </row>
    <row r="126" spans="3:12" ht="21" customHeight="1">
      <c r="C126" s="281">
        <v>1</v>
      </c>
      <c r="D126" s="182" t="s">
        <v>115</v>
      </c>
      <c r="E126" s="182"/>
      <c r="F126" s="176" t="s">
        <v>42</v>
      </c>
      <c r="G126" s="282">
        <v>1.1000000000000001</v>
      </c>
      <c r="H126" s="283">
        <f>VLOOKUP(D126,upahbahan,3,FALSE)</f>
        <v>5904000</v>
      </c>
      <c r="I126" s="284">
        <f>G126*H126</f>
        <v>6494400.0000000009</v>
      </c>
    </row>
    <row r="127" spans="3:12" ht="21" customHeight="1">
      <c r="C127" s="281">
        <v>2</v>
      </c>
      <c r="D127" s="182" t="s">
        <v>231</v>
      </c>
      <c r="E127" s="182"/>
      <c r="F127" s="176" t="s">
        <v>65</v>
      </c>
      <c r="G127" s="282">
        <v>15</v>
      </c>
      <c r="H127" s="283">
        <f>VLOOKUP(D127,upahbahan,3,FALSE)</f>
        <v>0</v>
      </c>
      <c r="I127" s="284">
        <f>G127*H127</f>
        <v>0</v>
      </c>
    </row>
    <row r="128" spans="3:12" ht="21" customHeight="1">
      <c r="C128" s="281">
        <v>3</v>
      </c>
      <c r="D128" s="285" t="s">
        <v>260</v>
      </c>
      <c r="E128" s="285"/>
      <c r="F128" s="176" t="s">
        <v>65</v>
      </c>
      <c r="G128" s="282">
        <v>3</v>
      </c>
      <c r="H128" s="283">
        <f>VLOOKUP(D128,upahbahan,3,FALSE)</f>
        <v>33901.875</v>
      </c>
      <c r="I128" s="284">
        <f>G128*H128</f>
        <v>101705.625</v>
      </c>
    </row>
    <row r="129" spans="3:12" ht="21" customHeight="1">
      <c r="C129" s="66" t="s">
        <v>1214</v>
      </c>
      <c r="D129" s="67"/>
      <c r="E129" s="67"/>
      <c r="F129" s="67"/>
      <c r="G129" s="67"/>
      <c r="H129" s="69"/>
      <c r="I129" s="284">
        <f>SUM(I126:I128)</f>
        <v>6596105.6250000009</v>
      </c>
    </row>
    <row r="130" spans="3:12" ht="21" customHeight="1">
      <c r="C130" s="321" t="s">
        <v>1215</v>
      </c>
      <c r="D130" s="182" t="s">
        <v>1216</v>
      </c>
      <c r="E130" s="182"/>
      <c r="F130" s="70"/>
      <c r="G130" s="70"/>
      <c r="H130" s="70"/>
      <c r="I130" s="71"/>
    </row>
    <row r="131" spans="3:12" ht="21" customHeight="1">
      <c r="C131" s="66" t="s">
        <v>1217</v>
      </c>
      <c r="D131" s="67"/>
      <c r="E131" s="67"/>
      <c r="F131" s="67"/>
      <c r="G131" s="67"/>
      <c r="H131" s="69"/>
      <c r="I131" s="292">
        <v>0</v>
      </c>
    </row>
    <row r="132" spans="3:12" s="297" customFormat="1" ht="21" customHeight="1">
      <c r="C132" s="293" t="s">
        <v>1218</v>
      </c>
      <c r="D132" s="294" t="s">
        <v>1219</v>
      </c>
      <c r="E132" s="295"/>
      <c r="F132" s="295"/>
      <c r="G132" s="295"/>
      <c r="H132" s="296"/>
      <c r="I132" s="284">
        <f>I131+I129+I124</f>
        <v>7954505.6250000009</v>
      </c>
      <c r="J132" s="119"/>
    </row>
    <row r="133" spans="3:12" s="297" customFormat="1" ht="21" customHeight="1">
      <c r="C133" s="293" t="s">
        <v>1220</v>
      </c>
      <c r="D133" s="294" t="s">
        <v>1321</v>
      </c>
      <c r="E133" s="295"/>
      <c r="F133" s="295"/>
      <c r="G133" s="296"/>
      <c r="H133" s="298">
        <f>$N$8</f>
        <v>0.1</v>
      </c>
      <c r="I133" s="284">
        <f>I132*H133</f>
        <v>795450.56250000012</v>
      </c>
      <c r="J133" s="119"/>
    </row>
    <row r="134" spans="3:12" s="297" customFormat="1" ht="21" customHeight="1" thickBot="1">
      <c r="C134" s="299" t="s">
        <v>1221</v>
      </c>
      <c r="D134" s="300" t="s">
        <v>1222</v>
      </c>
      <c r="E134" s="301"/>
      <c r="F134" s="301"/>
      <c r="G134" s="301"/>
      <c r="H134" s="302"/>
      <c r="I134" s="303">
        <f>SUM(I132:I133)</f>
        <v>8749956.1875000019</v>
      </c>
      <c r="J134" s="119"/>
    </row>
    <row r="135" spans="3:12" ht="14.4" thickTop="1">
      <c r="C135" s="304"/>
      <c r="D135" s="304"/>
      <c r="E135" s="304"/>
      <c r="F135" s="304"/>
      <c r="G135" s="304"/>
      <c r="H135" s="304"/>
      <c r="I135" s="305"/>
    </row>
    <row r="136" spans="3:12" ht="14.4" thickBot="1">
      <c r="C136" s="119" t="s">
        <v>2214</v>
      </c>
      <c r="D136" s="170" t="s">
        <v>1326</v>
      </c>
      <c r="E136" s="275"/>
      <c r="F136" s="275"/>
      <c r="G136" s="275"/>
      <c r="H136" s="275"/>
      <c r="I136" s="275"/>
      <c r="J136" s="120">
        <f>ROUNDDOWN(I153,-2)</f>
        <v>114600</v>
      </c>
      <c r="K136" s="280" t="s">
        <v>6456</v>
      </c>
      <c r="L136" s="280" t="s">
        <v>6468</v>
      </c>
    </row>
    <row r="137" spans="3:12" ht="28.2" thickTop="1">
      <c r="C137" s="51" t="s">
        <v>1195</v>
      </c>
      <c r="D137" s="52" t="s">
        <v>1196</v>
      </c>
      <c r="E137" s="52" t="s">
        <v>1906</v>
      </c>
      <c r="F137" s="52" t="s">
        <v>1197</v>
      </c>
      <c r="G137" s="52" t="s">
        <v>1198</v>
      </c>
      <c r="H137" s="52" t="s">
        <v>1199</v>
      </c>
      <c r="I137" s="53" t="s">
        <v>1200</v>
      </c>
    </row>
    <row r="138" spans="3:12" ht="21" customHeight="1">
      <c r="C138" s="290" t="s">
        <v>1201</v>
      </c>
      <c r="D138" s="182" t="s">
        <v>1202</v>
      </c>
      <c r="E138" s="182"/>
      <c r="F138" s="70"/>
      <c r="G138" s="70"/>
      <c r="H138" s="70"/>
      <c r="I138" s="71"/>
    </row>
    <row r="139" spans="3:12" ht="21" customHeight="1">
      <c r="C139" s="281">
        <v>1</v>
      </c>
      <c r="D139" s="182" t="s">
        <v>5</v>
      </c>
      <c r="E139" s="176" t="s">
        <v>1774</v>
      </c>
      <c r="F139" s="176" t="s">
        <v>6</v>
      </c>
      <c r="G139" s="315">
        <v>0.1</v>
      </c>
      <c r="H139" s="283">
        <f>VLOOKUP(D139,upahbahan,3,FALSE)</f>
        <v>100000</v>
      </c>
      <c r="I139" s="284">
        <f>G139*H139</f>
        <v>10000</v>
      </c>
    </row>
    <row r="140" spans="3:12" ht="21" customHeight="1">
      <c r="C140" s="281">
        <v>2</v>
      </c>
      <c r="D140" s="182" t="s">
        <v>8</v>
      </c>
      <c r="E140" s="176" t="s">
        <v>1775</v>
      </c>
      <c r="F140" s="176" t="s">
        <v>6</v>
      </c>
      <c r="G140" s="315">
        <v>0.1</v>
      </c>
      <c r="H140" s="283">
        <f>VLOOKUP(D140,upahbahan,3,FALSE)</f>
        <v>135000</v>
      </c>
      <c r="I140" s="284">
        <f>G140*H140</f>
        <v>13500</v>
      </c>
    </row>
    <row r="141" spans="3:12" ht="21" customHeight="1">
      <c r="C141" s="281">
        <v>3</v>
      </c>
      <c r="D141" s="182" t="s">
        <v>18</v>
      </c>
      <c r="E141" s="176" t="s">
        <v>1776</v>
      </c>
      <c r="F141" s="176" t="s">
        <v>6</v>
      </c>
      <c r="G141" s="315">
        <v>0.01</v>
      </c>
      <c r="H141" s="283">
        <f>VLOOKUP(D141,upahbahan,3,FALSE)</f>
        <v>150000</v>
      </c>
      <c r="I141" s="284">
        <f>G141*H141</f>
        <v>1500</v>
      </c>
    </row>
    <row r="142" spans="3:12" ht="21" customHeight="1">
      <c r="C142" s="281">
        <v>4</v>
      </c>
      <c r="D142" s="182" t="s">
        <v>19</v>
      </c>
      <c r="E142" s="176" t="s">
        <v>1777</v>
      </c>
      <c r="F142" s="176" t="s">
        <v>6</v>
      </c>
      <c r="G142" s="315">
        <v>3.3E-3</v>
      </c>
      <c r="H142" s="283">
        <f>VLOOKUP(D142,upahbahan,3,FALSE)</f>
        <v>160000</v>
      </c>
      <c r="I142" s="284">
        <f>G142*H142</f>
        <v>528</v>
      </c>
    </row>
    <row r="143" spans="3:12" ht="21" customHeight="1">
      <c r="C143" s="66" t="s">
        <v>1208</v>
      </c>
      <c r="D143" s="67"/>
      <c r="E143" s="67"/>
      <c r="F143" s="67"/>
      <c r="G143" s="142"/>
      <c r="H143" s="153"/>
      <c r="I143" s="284">
        <f>SUM(I139:I142)</f>
        <v>25528</v>
      </c>
      <c r="J143" s="319"/>
      <c r="K143" s="320"/>
      <c r="L143" s="320"/>
    </row>
    <row r="144" spans="3:12" ht="21" customHeight="1">
      <c r="C144" s="290" t="s">
        <v>1209</v>
      </c>
      <c r="D144" s="182" t="s">
        <v>1210</v>
      </c>
      <c r="E144" s="182"/>
      <c r="F144" s="70"/>
      <c r="G144" s="70"/>
      <c r="H144" s="70"/>
      <c r="I144" s="71"/>
    </row>
    <row r="145" spans="3:12" ht="21" customHeight="1">
      <c r="C145" s="281">
        <v>1</v>
      </c>
      <c r="D145" s="285" t="s">
        <v>2215</v>
      </c>
      <c r="E145" s="285"/>
      <c r="F145" s="291" t="s">
        <v>42</v>
      </c>
      <c r="G145" s="315">
        <v>1.4E-2</v>
      </c>
      <c r="H145" s="283">
        <f>VLOOKUP(D145,upahbahan,3,FALSE)</f>
        <v>3015000</v>
      </c>
      <c r="I145" s="284">
        <f>G145*H145</f>
        <v>42210</v>
      </c>
    </row>
    <row r="146" spans="3:12" ht="21" customHeight="1">
      <c r="C146" s="281">
        <v>2</v>
      </c>
      <c r="D146" s="182" t="s">
        <v>139</v>
      </c>
      <c r="E146" s="182"/>
      <c r="F146" s="291" t="s">
        <v>42</v>
      </c>
      <c r="G146" s="315">
        <v>3.5999999999999999E-3</v>
      </c>
      <c r="H146" s="283">
        <f>VLOOKUP(D146,upahbahan,3,FALSE)</f>
        <v>8750000</v>
      </c>
      <c r="I146" s="284">
        <f>G146*H146</f>
        <v>31500</v>
      </c>
    </row>
    <row r="147" spans="3:12" ht="21" customHeight="1">
      <c r="C147" s="281">
        <v>3</v>
      </c>
      <c r="D147" s="285" t="s">
        <v>6467</v>
      </c>
      <c r="E147" s="285"/>
      <c r="F147" s="176" t="s">
        <v>65</v>
      </c>
      <c r="G147" s="315">
        <v>0.25</v>
      </c>
      <c r="H147" s="283">
        <f>VLOOKUP(D147,upahbahan,3,FALSE)</f>
        <v>20000</v>
      </c>
      <c r="I147" s="284">
        <f>G147*H147</f>
        <v>5000</v>
      </c>
    </row>
    <row r="148" spans="3:12" ht="21" customHeight="1">
      <c r="C148" s="66" t="s">
        <v>1214</v>
      </c>
      <c r="D148" s="67"/>
      <c r="E148" s="67"/>
      <c r="F148" s="67"/>
      <c r="G148" s="67"/>
      <c r="H148" s="69"/>
      <c r="I148" s="284">
        <f>SUM(I145:I147)</f>
        <v>78710</v>
      </c>
    </row>
    <row r="149" spans="3:12" ht="21" customHeight="1">
      <c r="C149" s="321" t="s">
        <v>1215</v>
      </c>
      <c r="D149" s="182" t="s">
        <v>1216</v>
      </c>
      <c r="E149" s="182"/>
      <c r="F149" s="70"/>
      <c r="G149" s="70"/>
      <c r="H149" s="70"/>
      <c r="I149" s="71"/>
    </row>
    <row r="150" spans="3:12" ht="21" customHeight="1">
      <c r="C150" s="66" t="s">
        <v>1217</v>
      </c>
      <c r="D150" s="67"/>
      <c r="E150" s="67"/>
      <c r="F150" s="67"/>
      <c r="G150" s="67"/>
      <c r="H150" s="69"/>
      <c r="I150" s="292">
        <v>0</v>
      </c>
    </row>
    <row r="151" spans="3:12" s="297" customFormat="1" ht="21" customHeight="1">
      <c r="C151" s="293" t="s">
        <v>1218</v>
      </c>
      <c r="D151" s="294" t="s">
        <v>1219</v>
      </c>
      <c r="E151" s="295"/>
      <c r="F151" s="295"/>
      <c r="G151" s="295"/>
      <c r="H151" s="296"/>
      <c r="I151" s="284">
        <f>I150+I148+I143</f>
        <v>104238</v>
      </c>
      <c r="J151" s="119"/>
    </row>
    <row r="152" spans="3:12" s="297" customFormat="1" ht="21" customHeight="1">
      <c r="C152" s="293" t="s">
        <v>1220</v>
      </c>
      <c r="D152" s="294" t="s">
        <v>1321</v>
      </c>
      <c r="E152" s="295"/>
      <c r="F152" s="295"/>
      <c r="G152" s="296"/>
      <c r="H152" s="298">
        <f>$N$8</f>
        <v>0.1</v>
      </c>
      <c r="I152" s="284">
        <f>I151*H152</f>
        <v>10423.800000000001</v>
      </c>
      <c r="J152" s="119"/>
    </row>
    <row r="153" spans="3:12" s="297" customFormat="1" ht="21" customHeight="1" thickBot="1">
      <c r="C153" s="299" t="s">
        <v>1221</v>
      </c>
      <c r="D153" s="300" t="s">
        <v>1222</v>
      </c>
      <c r="E153" s="301"/>
      <c r="F153" s="301"/>
      <c r="G153" s="301"/>
      <c r="H153" s="302"/>
      <c r="I153" s="303">
        <f>SUM(I151:I152)</f>
        <v>114661.8</v>
      </c>
      <c r="J153" s="119"/>
    </row>
    <row r="154" spans="3:12" ht="14.4" thickTop="1">
      <c r="C154" s="304"/>
      <c r="D154" s="304"/>
      <c r="E154" s="304"/>
      <c r="F154" s="304"/>
      <c r="G154" s="304"/>
      <c r="H154" s="304"/>
      <c r="I154" s="305"/>
    </row>
    <row r="155" spans="3:12" ht="14.4" thickBot="1">
      <c r="C155" s="119" t="s">
        <v>2216</v>
      </c>
      <c r="D155" s="170" t="s">
        <v>1327</v>
      </c>
      <c r="E155" s="275"/>
      <c r="F155" s="275"/>
      <c r="G155" s="275"/>
      <c r="H155" s="275"/>
      <c r="I155" s="275"/>
      <c r="J155" s="120">
        <f>ROUNDDOWN(I172,-2)</f>
        <v>138300</v>
      </c>
      <c r="K155" s="280" t="s">
        <v>6456</v>
      </c>
      <c r="L155" s="280" t="s">
        <v>6468</v>
      </c>
    </row>
    <row r="156" spans="3:12" ht="28.2" thickTop="1">
      <c r="C156" s="51" t="s">
        <v>1195</v>
      </c>
      <c r="D156" s="52" t="s">
        <v>1196</v>
      </c>
      <c r="E156" s="52" t="s">
        <v>1906</v>
      </c>
      <c r="F156" s="52" t="s">
        <v>1197</v>
      </c>
      <c r="G156" s="52" t="s">
        <v>1198</v>
      </c>
      <c r="H156" s="52" t="s">
        <v>1199</v>
      </c>
      <c r="I156" s="53" t="s">
        <v>1200</v>
      </c>
    </row>
    <row r="157" spans="3:12" ht="19.8" customHeight="1">
      <c r="C157" s="290" t="s">
        <v>1201</v>
      </c>
      <c r="D157" s="182" t="s">
        <v>1202</v>
      </c>
      <c r="E157" s="182"/>
      <c r="F157" s="70"/>
      <c r="G157" s="70"/>
      <c r="H157" s="70"/>
      <c r="I157" s="71"/>
    </row>
    <row r="158" spans="3:12" ht="19.8" customHeight="1">
      <c r="C158" s="281">
        <v>1</v>
      </c>
      <c r="D158" s="182" t="s">
        <v>5</v>
      </c>
      <c r="E158" s="176" t="s">
        <v>1774</v>
      </c>
      <c r="F158" s="176" t="s">
        <v>6</v>
      </c>
      <c r="G158" s="315">
        <v>0.1</v>
      </c>
      <c r="H158" s="283">
        <f>VLOOKUP(D158,upahbahan,3,FALSE)</f>
        <v>100000</v>
      </c>
      <c r="I158" s="284">
        <f>G158*H158</f>
        <v>10000</v>
      </c>
    </row>
    <row r="159" spans="3:12" ht="19.8" customHeight="1">
      <c r="C159" s="281">
        <v>2</v>
      </c>
      <c r="D159" s="182" t="s">
        <v>8</v>
      </c>
      <c r="E159" s="176" t="s">
        <v>1775</v>
      </c>
      <c r="F159" s="176" t="s">
        <v>6</v>
      </c>
      <c r="G159" s="315">
        <v>0.1</v>
      </c>
      <c r="H159" s="283">
        <f>VLOOKUP(D159,upahbahan,3,FALSE)</f>
        <v>135000</v>
      </c>
      <c r="I159" s="284">
        <f>G159*H159</f>
        <v>13500</v>
      </c>
    </row>
    <row r="160" spans="3:12" ht="19.8" customHeight="1">
      <c r="C160" s="281">
        <v>3</v>
      </c>
      <c r="D160" s="182" t="s">
        <v>18</v>
      </c>
      <c r="E160" s="176" t="s">
        <v>1776</v>
      </c>
      <c r="F160" s="176" t="s">
        <v>6</v>
      </c>
      <c r="G160" s="315">
        <v>0.01</v>
      </c>
      <c r="H160" s="283">
        <f>VLOOKUP(D160,upahbahan,3,FALSE)</f>
        <v>150000</v>
      </c>
      <c r="I160" s="284">
        <f>G160*H160</f>
        <v>1500</v>
      </c>
    </row>
    <row r="161" spans="3:12" ht="19.8" customHeight="1">
      <c r="C161" s="281">
        <v>4</v>
      </c>
      <c r="D161" s="182" t="s">
        <v>19</v>
      </c>
      <c r="E161" s="176" t="s">
        <v>1777</v>
      </c>
      <c r="F161" s="176" t="s">
        <v>6</v>
      </c>
      <c r="G161" s="315">
        <v>3.3E-3</v>
      </c>
      <c r="H161" s="283">
        <f>VLOOKUP(D161,upahbahan,3,FALSE)</f>
        <v>160000</v>
      </c>
      <c r="I161" s="284">
        <f>G161*H161</f>
        <v>528</v>
      </c>
    </row>
    <row r="162" spans="3:12" ht="19.8" customHeight="1">
      <c r="C162" s="66" t="s">
        <v>1208</v>
      </c>
      <c r="D162" s="67"/>
      <c r="E162" s="67"/>
      <c r="F162" s="67"/>
      <c r="G162" s="142"/>
      <c r="H162" s="153"/>
      <c r="I162" s="284">
        <f>SUM(I158:I161)</f>
        <v>25528</v>
      </c>
      <c r="J162" s="319"/>
      <c r="K162" s="320"/>
      <c r="L162" s="320"/>
    </row>
    <row r="163" spans="3:12" ht="19.8" customHeight="1">
      <c r="C163" s="290" t="s">
        <v>1209</v>
      </c>
      <c r="D163" s="182" t="s">
        <v>1210</v>
      </c>
      <c r="E163" s="182"/>
      <c r="F163" s="70"/>
      <c r="G163" s="70"/>
      <c r="H163" s="70"/>
      <c r="I163" s="71"/>
    </row>
    <row r="164" spans="3:12" ht="19.8" customHeight="1">
      <c r="C164" s="281">
        <v>1</v>
      </c>
      <c r="D164" s="285" t="s">
        <v>2217</v>
      </c>
      <c r="E164" s="285"/>
      <c r="F164" s="291" t="s">
        <v>42</v>
      </c>
      <c r="G164" s="315">
        <v>1.4E-2</v>
      </c>
      <c r="H164" s="283">
        <f>VLOOKUP(D164,upahbahan,3,FALSE)</f>
        <v>3015000</v>
      </c>
      <c r="I164" s="284">
        <f>G164*H164</f>
        <v>42210</v>
      </c>
    </row>
    <row r="165" spans="3:12" ht="19.8" customHeight="1">
      <c r="C165" s="281">
        <v>2</v>
      </c>
      <c r="D165" s="182" t="s">
        <v>140</v>
      </c>
      <c r="E165" s="182"/>
      <c r="F165" s="291" t="s">
        <v>42</v>
      </c>
      <c r="G165" s="315">
        <v>5.7000000000000002E-3</v>
      </c>
      <c r="H165" s="283">
        <f>VLOOKUP(D165,upahbahan,3,FALSE)</f>
        <v>9302000</v>
      </c>
      <c r="I165" s="284">
        <f>G165*H165</f>
        <v>53021.4</v>
      </c>
    </row>
    <row r="166" spans="3:12" ht="19.8" customHeight="1">
      <c r="C166" s="281">
        <v>3</v>
      </c>
      <c r="D166" s="285" t="s">
        <v>6467</v>
      </c>
      <c r="E166" s="285"/>
      <c r="F166" s="176" t="s">
        <v>65</v>
      </c>
      <c r="G166" s="315">
        <v>0.25</v>
      </c>
      <c r="H166" s="283">
        <f>VLOOKUP(D166,upahbahan,3,FALSE)</f>
        <v>20000</v>
      </c>
      <c r="I166" s="284">
        <f>G166*H166</f>
        <v>5000</v>
      </c>
    </row>
    <row r="167" spans="3:12" ht="19.8" customHeight="1">
      <c r="C167" s="66" t="s">
        <v>1214</v>
      </c>
      <c r="D167" s="67"/>
      <c r="E167" s="67"/>
      <c r="F167" s="67"/>
      <c r="G167" s="67"/>
      <c r="H167" s="69"/>
      <c r="I167" s="284">
        <f>SUM(I164:I166)</f>
        <v>100231.4</v>
      </c>
    </row>
    <row r="168" spans="3:12" ht="19.8" customHeight="1">
      <c r="C168" s="321" t="s">
        <v>1215</v>
      </c>
      <c r="D168" s="182" t="s">
        <v>1216</v>
      </c>
      <c r="E168" s="182"/>
      <c r="F168" s="70"/>
      <c r="G168" s="70"/>
      <c r="H168" s="70"/>
      <c r="I168" s="71"/>
    </row>
    <row r="169" spans="3:12" ht="19.8" customHeight="1">
      <c r="C169" s="66" t="s">
        <v>1217</v>
      </c>
      <c r="D169" s="67"/>
      <c r="E169" s="67"/>
      <c r="F169" s="67"/>
      <c r="G169" s="67"/>
      <c r="H169" s="69"/>
      <c r="I169" s="292">
        <v>0</v>
      </c>
    </row>
    <row r="170" spans="3:12" s="297" customFormat="1" ht="19.8" customHeight="1">
      <c r="C170" s="293" t="s">
        <v>1218</v>
      </c>
      <c r="D170" s="294" t="s">
        <v>1219</v>
      </c>
      <c r="E170" s="295"/>
      <c r="F170" s="295"/>
      <c r="G170" s="295"/>
      <c r="H170" s="296"/>
      <c r="I170" s="284">
        <f>I169+I167+I162</f>
        <v>125759.4</v>
      </c>
      <c r="J170" s="119"/>
    </row>
    <row r="171" spans="3:12" s="297" customFormat="1" ht="19.8" customHeight="1">
      <c r="C171" s="293" t="s">
        <v>1220</v>
      </c>
      <c r="D171" s="294" t="s">
        <v>1321</v>
      </c>
      <c r="E171" s="295"/>
      <c r="F171" s="295"/>
      <c r="G171" s="296"/>
      <c r="H171" s="298">
        <f>$N$8</f>
        <v>0.1</v>
      </c>
      <c r="I171" s="284">
        <f>I170*H171</f>
        <v>12575.94</v>
      </c>
      <c r="J171" s="119"/>
    </row>
    <row r="172" spans="3:12" s="297" customFormat="1" ht="19.8" customHeight="1" thickBot="1">
      <c r="C172" s="299" t="s">
        <v>1221</v>
      </c>
      <c r="D172" s="300" t="s">
        <v>1222</v>
      </c>
      <c r="E172" s="301"/>
      <c r="F172" s="301"/>
      <c r="G172" s="301"/>
      <c r="H172" s="302"/>
      <c r="I172" s="303">
        <f>SUM(I170:I171)</f>
        <v>138335.34</v>
      </c>
      <c r="J172" s="119"/>
    </row>
    <row r="173" spans="3:12" ht="14.4" thickTop="1">
      <c r="C173" s="304"/>
      <c r="D173" s="304"/>
      <c r="E173" s="304"/>
      <c r="F173" s="304"/>
      <c r="G173" s="304"/>
      <c r="H173" s="304"/>
      <c r="I173" s="305"/>
    </row>
    <row r="174" spans="3:12" ht="19.8" customHeight="1" thickBot="1">
      <c r="C174" s="119" t="s">
        <v>2218</v>
      </c>
      <c r="D174" s="170" t="s">
        <v>1328</v>
      </c>
      <c r="E174" s="275"/>
      <c r="F174" s="275"/>
      <c r="G174" s="275"/>
      <c r="H174" s="275"/>
      <c r="I174" s="275"/>
      <c r="J174" s="120">
        <f>ROUNDDOWN(I190,-2)</f>
        <v>41100</v>
      </c>
    </row>
    <row r="175" spans="3:12" ht="32.4" customHeight="1" thickTop="1">
      <c r="C175" s="51" t="s">
        <v>1195</v>
      </c>
      <c r="D175" s="52" t="s">
        <v>1196</v>
      </c>
      <c r="E175" s="52" t="s">
        <v>1906</v>
      </c>
      <c r="F175" s="52" t="s">
        <v>1197</v>
      </c>
      <c r="G175" s="52" t="s">
        <v>1198</v>
      </c>
      <c r="H175" s="52" t="s">
        <v>1199</v>
      </c>
      <c r="I175" s="53" t="s">
        <v>1200</v>
      </c>
    </row>
    <row r="176" spans="3:12" ht="20.399999999999999" customHeight="1">
      <c r="C176" s="290" t="s">
        <v>1201</v>
      </c>
      <c r="D176" s="182" t="s">
        <v>1202</v>
      </c>
      <c r="E176" s="182"/>
      <c r="F176" s="70"/>
      <c r="G176" s="70"/>
      <c r="H176" s="70"/>
      <c r="I176" s="71"/>
    </row>
    <row r="177" spans="3:12" ht="20.399999999999999" customHeight="1">
      <c r="C177" s="281">
        <v>1</v>
      </c>
      <c r="D177" s="182" t="s">
        <v>5</v>
      </c>
      <c r="E177" s="176" t="s">
        <v>1774</v>
      </c>
      <c r="F177" s="176" t="s">
        <v>6</v>
      </c>
      <c r="G177" s="282">
        <v>0.12</v>
      </c>
      <c r="H177" s="283">
        <f>VLOOKUP(D177,upahbahan,3,FALSE)</f>
        <v>100000</v>
      </c>
      <c r="I177" s="284">
        <f>G177*H177</f>
        <v>12000</v>
      </c>
    </row>
    <row r="178" spans="3:12" ht="20.399999999999999" customHeight="1">
      <c r="C178" s="281">
        <v>2</v>
      </c>
      <c r="D178" s="182" t="s">
        <v>8</v>
      </c>
      <c r="E178" s="176" t="s">
        <v>1775</v>
      </c>
      <c r="F178" s="176" t="s">
        <v>6</v>
      </c>
      <c r="G178" s="282">
        <v>0.12</v>
      </c>
      <c r="H178" s="283">
        <f>VLOOKUP(D178,upahbahan,3,FALSE)</f>
        <v>135000</v>
      </c>
      <c r="I178" s="284">
        <f>G178*H178</f>
        <v>16200</v>
      </c>
    </row>
    <row r="179" spans="3:12" ht="20.399999999999999" customHeight="1">
      <c r="C179" s="281">
        <v>3</v>
      </c>
      <c r="D179" s="182" t="s">
        <v>18</v>
      </c>
      <c r="E179" s="176" t="s">
        <v>1776</v>
      </c>
      <c r="F179" s="176" t="s">
        <v>6</v>
      </c>
      <c r="G179" s="282">
        <v>1.2E-2</v>
      </c>
      <c r="H179" s="283">
        <f>VLOOKUP(D179,upahbahan,3,FALSE)</f>
        <v>150000</v>
      </c>
      <c r="I179" s="284">
        <f>G179*H179</f>
        <v>1800</v>
      </c>
    </row>
    <row r="180" spans="3:12" ht="20.399999999999999" customHeight="1">
      <c r="C180" s="281">
        <v>4</v>
      </c>
      <c r="D180" s="182" t="s">
        <v>19</v>
      </c>
      <c r="E180" s="176" t="s">
        <v>1777</v>
      </c>
      <c r="F180" s="176" t="s">
        <v>6</v>
      </c>
      <c r="G180" s="282">
        <v>4.0000000000000001E-3</v>
      </c>
      <c r="H180" s="283">
        <f>VLOOKUP(D180,upahbahan,3,FALSE)</f>
        <v>160000</v>
      </c>
      <c r="I180" s="284">
        <f>G180*H180</f>
        <v>640</v>
      </c>
    </row>
    <row r="181" spans="3:12" ht="20.399999999999999" customHeight="1">
      <c r="C181" s="66" t="s">
        <v>1208</v>
      </c>
      <c r="D181" s="67"/>
      <c r="E181" s="67"/>
      <c r="F181" s="67"/>
      <c r="G181" s="142"/>
      <c r="H181" s="153"/>
      <c r="I181" s="284">
        <f>SUM(I177:I180)</f>
        <v>30640</v>
      </c>
      <c r="J181" s="319"/>
      <c r="K181" s="320"/>
      <c r="L181" s="320"/>
    </row>
    <row r="182" spans="3:12" ht="20.399999999999999" customHeight="1">
      <c r="C182" s="290" t="s">
        <v>1209</v>
      </c>
      <c r="D182" s="182" t="s">
        <v>1210</v>
      </c>
      <c r="E182" s="182"/>
      <c r="F182" s="70"/>
      <c r="G182" s="70"/>
      <c r="H182" s="70"/>
      <c r="I182" s="71"/>
    </row>
    <row r="183" spans="3:12" ht="20.399999999999999" customHeight="1">
      <c r="C183" s="281">
        <v>1</v>
      </c>
      <c r="D183" s="285" t="s">
        <v>1329</v>
      </c>
      <c r="E183" s="285"/>
      <c r="F183" s="291" t="s">
        <v>106</v>
      </c>
      <c r="G183" s="282">
        <v>0.16500000000000001</v>
      </c>
      <c r="H183" s="283">
        <f>VLOOKUP(D183,upahbahan,3,FALSE)</f>
        <v>0</v>
      </c>
      <c r="I183" s="284">
        <f>G183*H183</f>
        <v>0</v>
      </c>
    </row>
    <row r="184" spans="3:12" ht="20.399999999999999" customHeight="1">
      <c r="C184" s="281">
        <v>2</v>
      </c>
      <c r="D184" s="285" t="s">
        <v>262</v>
      </c>
      <c r="E184" s="285"/>
      <c r="F184" s="291" t="s">
        <v>65</v>
      </c>
      <c r="G184" s="282">
        <v>0.2</v>
      </c>
      <c r="H184" s="283">
        <f>VLOOKUP(D184,upahbahan,3,FALSE)</f>
        <v>33901.875</v>
      </c>
      <c r="I184" s="284">
        <f>G184*H184</f>
        <v>6780.375</v>
      </c>
    </row>
    <row r="185" spans="3:12" ht="20.399999999999999" customHeight="1">
      <c r="C185" s="66" t="s">
        <v>1214</v>
      </c>
      <c r="D185" s="67"/>
      <c r="E185" s="67"/>
      <c r="F185" s="67"/>
      <c r="G185" s="67"/>
      <c r="H185" s="69"/>
      <c r="I185" s="284">
        <f>SUM(I183:I184)</f>
        <v>6780.375</v>
      </c>
    </row>
    <row r="186" spans="3:12" ht="20.399999999999999" customHeight="1">
      <c r="C186" s="290" t="s">
        <v>1215</v>
      </c>
      <c r="D186" s="182" t="s">
        <v>1216</v>
      </c>
      <c r="E186" s="182"/>
      <c r="F186" s="70"/>
      <c r="G186" s="70"/>
      <c r="H186" s="70"/>
      <c r="I186" s="71"/>
    </row>
    <row r="187" spans="3:12" ht="20.399999999999999" customHeight="1">
      <c r="C187" s="66" t="s">
        <v>1217</v>
      </c>
      <c r="D187" s="67"/>
      <c r="E187" s="67"/>
      <c r="F187" s="67"/>
      <c r="G187" s="67"/>
      <c r="H187" s="69"/>
      <c r="I187" s="292">
        <v>0</v>
      </c>
    </row>
    <row r="188" spans="3:12" s="297" customFormat="1" ht="20.399999999999999" customHeight="1">
      <c r="C188" s="293" t="s">
        <v>1218</v>
      </c>
      <c r="D188" s="294" t="s">
        <v>1219</v>
      </c>
      <c r="E188" s="295"/>
      <c r="F188" s="295"/>
      <c r="G188" s="295"/>
      <c r="H188" s="296"/>
      <c r="I188" s="284">
        <f>I187+I185+I181</f>
        <v>37420.375</v>
      </c>
      <c r="J188" s="119"/>
    </row>
    <row r="189" spans="3:12" s="297" customFormat="1" ht="20.399999999999999" customHeight="1">
      <c r="C189" s="293" t="s">
        <v>1220</v>
      </c>
      <c r="D189" s="294" t="s">
        <v>1321</v>
      </c>
      <c r="E189" s="295"/>
      <c r="F189" s="295"/>
      <c r="G189" s="296"/>
      <c r="H189" s="298">
        <f>$N$8</f>
        <v>0.1</v>
      </c>
      <c r="I189" s="284">
        <f>I188*H189</f>
        <v>3742.0375000000004</v>
      </c>
      <c r="J189" s="119"/>
    </row>
    <row r="190" spans="3:12" s="297" customFormat="1" ht="20.399999999999999" customHeight="1" thickBot="1">
      <c r="C190" s="299" t="s">
        <v>1221</v>
      </c>
      <c r="D190" s="300" t="s">
        <v>1222</v>
      </c>
      <c r="E190" s="301"/>
      <c r="F190" s="301"/>
      <c r="G190" s="301"/>
      <c r="H190" s="302"/>
      <c r="I190" s="303">
        <f>SUM(I188:I189)</f>
        <v>41162.412499999999</v>
      </c>
      <c r="J190" s="119"/>
    </row>
    <row r="191" spans="3:12" ht="14.4" thickTop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O1125"/>
  <sheetViews>
    <sheetView topLeftCell="A502" zoomScale="54" zoomScaleNormal="69" workbookViewId="0">
      <selection activeCell="C183" sqref="C183"/>
    </sheetView>
  </sheetViews>
  <sheetFormatPr defaultColWidth="9.44140625" defaultRowHeight="13.8"/>
  <cols>
    <col min="1" max="2" width="3.109375" style="280" customWidth="1"/>
    <col min="3" max="3" width="14" style="289" customWidth="1"/>
    <col min="4" max="4" width="45.5546875" style="280" customWidth="1"/>
    <col min="5" max="5" width="9.33203125" style="280" customWidth="1"/>
    <col min="6" max="6" width="10.5546875" style="280" customWidth="1"/>
    <col min="7" max="7" width="15.5546875" style="280" customWidth="1"/>
    <col min="8" max="8" width="21.88671875" style="280" customWidth="1"/>
    <col min="9" max="11" width="17.44140625" style="119" customWidth="1"/>
    <col min="12" max="12" width="15.44140625" style="280" bestFit="1" customWidth="1"/>
    <col min="13" max="16" width="9.44140625" style="280"/>
    <col min="17" max="17" width="13.44140625" style="280" customWidth="1"/>
    <col min="18" max="16384" width="9.44140625" style="280"/>
  </cols>
  <sheetData>
    <row r="3" spans="3:15" s="119" customFormat="1" ht="15.75" customHeight="1">
      <c r="C3" s="46" t="s">
        <v>2219</v>
      </c>
      <c r="D3" s="47" t="s">
        <v>2220</v>
      </c>
      <c r="E3" s="47"/>
      <c r="F3" s="47"/>
      <c r="G3" s="47"/>
      <c r="H3" s="47"/>
    </row>
    <row r="4" spans="3:15" s="119" customFormat="1" ht="15.75" customHeight="1">
      <c r="C4" s="46" t="s">
        <v>2221</v>
      </c>
      <c r="D4" s="47" t="s">
        <v>2222</v>
      </c>
      <c r="E4" s="47"/>
      <c r="F4" s="47"/>
      <c r="G4" s="47"/>
      <c r="H4" s="47"/>
    </row>
    <row r="5" spans="3:15" s="119" customFormat="1" ht="15.75" customHeight="1">
      <c r="C5" s="46" t="s">
        <v>2223</v>
      </c>
      <c r="D5" s="47" t="s">
        <v>2224</v>
      </c>
      <c r="E5" s="47"/>
      <c r="F5" s="47"/>
      <c r="G5" s="47"/>
      <c r="H5" s="47"/>
    </row>
    <row r="6" spans="3:15" s="119" customFormat="1" ht="14.4" thickBot="1">
      <c r="C6" s="119" t="s">
        <v>2225</v>
      </c>
      <c r="D6" s="48" t="s">
        <v>6470</v>
      </c>
      <c r="E6" s="329"/>
      <c r="F6" s="329"/>
      <c r="G6" s="329"/>
      <c r="H6" s="329"/>
      <c r="I6" s="120">
        <f>ROUNDDOWN(H22,-2)</f>
        <v>17100</v>
      </c>
      <c r="J6" s="120" t="s">
        <v>6456</v>
      </c>
      <c r="K6" s="120" t="s">
        <v>6479</v>
      </c>
    </row>
    <row r="7" spans="3:15" s="289" customFormat="1" ht="31.65" customHeight="1" thickTop="1">
      <c r="C7" s="51" t="s">
        <v>1195</v>
      </c>
      <c r="D7" s="52" t="s">
        <v>1196</v>
      </c>
      <c r="E7" s="52" t="s">
        <v>1197</v>
      </c>
      <c r="F7" s="52" t="s">
        <v>1198</v>
      </c>
      <c r="G7" s="52" t="s">
        <v>1199</v>
      </c>
      <c r="H7" s="53" t="s">
        <v>1200</v>
      </c>
      <c r="I7" s="126"/>
      <c r="J7" s="126"/>
      <c r="K7" s="126"/>
    </row>
    <row r="8" spans="3:15" ht="22.2" customHeight="1">
      <c r="C8" s="290" t="s">
        <v>1201</v>
      </c>
      <c r="D8" s="182" t="s">
        <v>1202</v>
      </c>
      <c r="E8" s="70"/>
      <c r="F8" s="70"/>
      <c r="G8" s="70"/>
      <c r="H8" s="71"/>
      <c r="L8" s="59" t="s">
        <v>1247</v>
      </c>
      <c r="M8" s="59"/>
      <c r="N8" s="59"/>
      <c r="O8" s="59"/>
    </row>
    <row r="9" spans="3:15" ht="22.2" customHeight="1">
      <c r="C9" s="281">
        <v>1</v>
      </c>
      <c r="D9" s="182" t="s">
        <v>5</v>
      </c>
      <c r="E9" s="176" t="s">
        <v>6</v>
      </c>
      <c r="F9" s="315">
        <v>7.0000000000000001E-3</v>
      </c>
      <c r="G9" s="283">
        <f>VLOOKUP(D9,upahbahan,3,FALSE)</f>
        <v>100000</v>
      </c>
      <c r="H9" s="284">
        <f>F9*G9</f>
        <v>700</v>
      </c>
      <c r="L9" s="59" t="s">
        <v>1248</v>
      </c>
      <c r="M9" s="59"/>
      <c r="N9" s="59"/>
      <c r="O9" s="65">
        <v>0.1</v>
      </c>
    </row>
    <row r="10" spans="3:15" ht="22.2" customHeight="1">
      <c r="C10" s="281">
        <v>2</v>
      </c>
      <c r="D10" s="182" t="s">
        <v>9</v>
      </c>
      <c r="E10" s="176" t="s">
        <v>6</v>
      </c>
      <c r="F10" s="315">
        <v>7.0000000000000001E-3</v>
      </c>
      <c r="G10" s="283">
        <f>VLOOKUP(D10,upahbahan,3,FALSE)</f>
        <v>135000</v>
      </c>
      <c r="H10" s="284">
        <f>F10*G10</f>
        <v>945</v>
      </c>
    </row>
    <row r="11" spans="3:15" s="59" customFormat="1" ht="22.2" customHeight="1">
      <c r="C11" s="281">
        <v>3</v>
      </c>
      <c r="D11" s="182" t="s">
        <v>18</v>
      </c>
      <c r="E11" s="176" t="s">
        <v>6</v>
      </c>
      <c r="F11" s="315">
        <v>6.9999999999999999E-4</v>
      </c>
      <c r="G11" s="283">
        <f>VLOOKUP(D11,upahbahan,3,FALSE)</f>
        <v>150000</v>
      </c>
      <c r="H11" s="284">
        <f>F11*G11</f>
        <v>105</v>
      </c>
      <c r="I11" s="119"/>
      <c r="J11" s="119"/>
      <c r="K11" s="119"/>
    </row>
    <row r="12" spans="3:15" ht="22.2" customHeight="1">
      <c r="C12" s="281">
        <v>4</v>
      </c>
      <c r="D12" s="182" t="s">
        <v>19</v>
      </c>
      <c r="E12" s="176" t="s">
        <v>6</v>
      </c>
      <c r="F12" s="315">
        <v>6.9999999999999999E-4</v>
      </c>
      <c r="G12" s="283">
        <f>VLOOKUP(D12,upahbahan,3,FALSE)</f>
        <v>160000</v>
      </c>
      <c r="H12" s="284">
        <f>F12*G12</f>
        <v>112</v>
      </c>
    </row>
    <row r="13" spans="3:15" ht="22.2" customHeight="1">
      <c r="C13" s="66" t="s">
        <v>1208</v>
      </c>
      <c r="D13" s="67"/>
      <c r="E13" s="67"/>
      <c r="F13" s="68"/>
      <c r="G13" s="69"/>
      <c r="H13" s="284">
        <f>SUM(H9:H12)</f>
        <v>1862</v>
      </c>
    </row>
    <row r="14" spans="3:15" ht="22.2" customHeight="1">
      <c r="C14" s="321" t="s">
        <v>1209</v>
      </c>
      <c r="D14" s="182" t="s">
        <v>1210</v>
      </c>
      <c r="E14" s="70"/>
      <c r="F14" s="70"/>
      <c r="G14" s="70"/>
      <c r="H14" s="71"/>
    </row>
    <row r="15" spans="3:15" ht="22.2" customHeight="1">
      <c r="C15" s="281">
        <v>1</v>
      </c>
      <c r="D15" s="182" t="s">
        <v>6476</v>
      </c>
      <c r="E15" s="176" t="s">
        <v>65</v>
      </c>
      <c r="F15" s="282">
        <v>1.02</v>
      </c>
      <c r="G15" s="283">
        <f>VLOOKUP(D15,upahbahan,3,FALSE)</f>
        <v>13050</v>
      </c>
      <c r="H15" s="284">
        <f>F15*G15</f>
        <v>13311</v>
      </c>
    </row>
    <row r="16" spans="3:15" ht="22.2" customHeight="1">
      <c r="C16" s="281">
        <v>2</v>
      </c>
      <c r="D16" s="182" t="s">
        <v>251</v>
      </c>
      <c r="E16" s="176" t="s">
        <v>65</v>
      </c>
      <c r="F16" s="282">
        <v>1.4999999999999999E-2</v>
      </c>
      <c r="G16" s="283">
        <f>VLOOKUP(D16,upahbahan,3,FALSE)</f>
        <v>27720</v>
      </c>
      <c r="H16" s="284">
        <f>F16*G16</f>
        <v>415.8</v>
      </c>
    </row>
    <row r="17" spans="3:15" ht="22.2" customHeight="1">
      <c r="C17" s="66" t="s">
        <v>1214</v>
      </c>
      <c r="D17" s="67"/>
      <c r="E17" s="67"/>
      <c r="F17" s="67"/>
      <c r="G17" s="69"/>
      <c r="H17" s="284">
        <f>SUM(H15:H16)</f>
        <v>13726.8</v>
      </c>
    </row>
    <row r="18" spans="3:15" ht="22.2" customHeight="1">
      <c r="C18" s="321" t="s">
        <v>1215</v>
      </c>
      <c r="D18" s="182" t="s">
        <v>1216</v>
      </c>
      <c r="E18" s="70"/>
      <c r="F18" s="70"/>
      <c r="G18" s="70"/>
      <c r="H18" s="71"/>
    </row>
    <row r="19" spans="3:15" ht="22.2" customHeight="1">
      <c r="C19" s="66" t="s">
        <v>1217</v>
      </c>
      <c r="D19" s="67"/>
      <c r="E19" s="67"/>
      <c r="F19" s="67"/>
      <c r="G19" s="69"/>
      <c r="H19" s="292">
        <v>0</v>
      </c>
    </row>
    <row r="20" spans="3:15" s="297" customFormat="1" ht="22.2" customHeight="1">
      <c r="C20" s="293" t="s">
        <v>1218</v>
      </c>
      <c r="D20" s="294" t="s">
        <v>1219</v>
      </c>
      <c r="E20" s="295"/>
      <c r="F20" s="295"/>
      <c r="G20" s="296"/>
      <c r="H20" s="284">
        <f>H19+H17+H13</f>
        <v>15588.8</v>
      </c>
      <c r="I20" s="119"/>
      <c r="J20" s="119"/>
      <c r="K20" s="119"/>
    </row>
    <row r="21" spans="3:15" s="297" customFormat="1" ht="22.2" customHeight="1">
      <c r="C21" s="293" t="s">
        <v>1220</v>
      </c>
      <c r="D21" s="294" t="s">
        <v>1321</v>
      </c>
      <c r="E21" s="295"/>
      <c r="F21" s="296"/>
      <c r="G21" s="298">
        <f>$O$9</f>
        <v>0.1</v>
      </c>
      <c r="H21" s="284">
        <f>H20*G21</f>
        <v>1558.88</v>
      </c>
      <c r="I21" s="119"/>
      <c r="J21" s="119"/>
      <c r="K21" s="119"/>
    </row>
    <row r="22" spans="3:15" s="297" customFormat="1" ht="22.2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17147.68</v>
      </c>
      <c r="I22" s="119"/>
      <c r="J22" s="119"/>
      <c r="K22" s="119"/>
    </row>
    <row r="23" spans="3:15" ht="14.4" thickTop="1">
      <c r="C23" s="304"/>
      <c r="D23" s="304"/>
      <c r="E23" s="304"/>
      <c r="F23" s="304"/>
      <c r="G23" s="304"/>
      <c r="H23" s="305"/>
    </row>
    <row r="24" spans="3:15" s="119" customFormat="1" ht="14.4" thickBot="1">
      <c r="C24" s="119" t="s">
        <v>6469</v>
      </c>
      <c r="D24" s="48" t="s">
        <v>6471</v>
      </c>
      <c r="E24" s="329"/>
      <c r="F24" s="329"/>
      <c r="G24" s="329"/>
      <c r="H24" s="329"/>
      <c r="I24" s="120">
        <f>ROUNDDOWN(H40,-2)</f>
        <v>2500</v>
      </c>
      <c r="J24" s="120" t="s">
        <v>6456</v>
      </c>
      <c r="K24" s="120" t="s">
        <v>6472</v>
      </c>
    </row>
    <row r="25" spans="3:15" s="289" customFormat="1" ht="31.65" customHeight="1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1199</v>
      </c>
      <c r="H25" s="53" t="s">
        <v>1200</v>
      </c>
      <c r="I25" s="126"/>
      <c r="J25" s="126"/>
      <c r="K25" s="126"/>
    </row>
    <row r="26" spans="3:15" ht="20.399999999999999" customHeight="1">
      <c r="C26" s="290" t="s">
        <v>1201</v>
      </c>
      <c r="D26" s="182" t="s">
        <v>1202</v>
      </c>
      <c r="E26" s="70"/>
      <c r="F26" s="70"/>
      <c r="G26" s="70"/>
      <c r="H26" s="71"/>
      <c r="L26" s="59" t="s">
        <v>1247</v>
      </c>
      <c r="M26" s="59"/>
      <c r="N26" s="59"/>
      <c r="O26" s="59"/>
    </row>
    <row r="27" spans="3:15" ht="20.399999999999999" customHeight="1">
      <c r="C27" s="281">
        <v>1</v>
      </c>
      <c r="D27" s="182" t="s">
        <v>5</v>
      </c>
      <c r="E27" s="176" t="s">
        <v>6</v>
      </c>
      <c r="F27" s="315">
        <v>7.0000000000000001E-3</v>
      </c>
      <c r="G27" s="283">
        <f>VLOOKUP(D27,upahbahan,3,FALSE)</f>
        <v>100000</v>
      </c>
      <c r="H27" s="284">
        <f>F27*G27</f>
        <v>700</v>
      </c>
      <c r="L27" s="59" t="s">
        <v>1248</v>
      </c>
      <c r="M27" s="59"/>
      <c r="N27" s="59"/>
      <c r="O27" s="65">
        <v>0.1</v>
      </c>
    </row>
    <row r="28" spans="3:15" ht="20.399999999999999" customHeight="1">
      <c r="C28" s="281">
        <v>2</v>
      </c>
      <c r="D28" s="182" t="s">
        <v>9</v>
      </c>
      <c r="E28" s="176" t="s">
        <v>6</v>
      </c>
      <c r="F28" s="315">
        <v>7.0000000000000001E-3</v>
      </c>
      <c r="G28" s="283">
        <f>VLOOKUP(D28,upahbahan,3,FALSE)</f>
        <v>135000</v>
      </c>
      <c r="H28" s="284">
        <f>F28*G28</f>
        <v>945</v>
      </c>
    </row>
    <row r="29" spans="3:15" s="59" customFormat="1" ht="20.399999999999999" customHeight="1">
      <c r="C29" s="281">
        <v>3</v>
      </c>
      <c r="D29" s="182" t="s">
        <v>18</v>
      </c>
      <c r="E29" s="176" t="s">
        <v>6</v>
      </c>
      <c r="F29" s="315">
        <v>6.9999999999999999E-4</v>
      </c>
      <c r="G29" s="283">
        <f>VLOOKUP(D29,upahbahan,3,FALSE)</f>
        <v>150000</v>
      </c>
      <c r="H29" s="284">
        <f>F29*G29</f>
        <v>105</v>
      </c>
      <c r="I29" s="119"/>
      <c r="J29" s="119"/>
      <c r="K29" s="119"/>
    </row>
    <row r="30" spans="3:15" ht="20.399999999999999" customHeight="1">
      <c r="C30" s="281">
        <v>4</v>
      </c>
      <c r="D30" s="182" t="s">
        <v>19</v>
      </c>
      <c r="E30" s="176" t="s">
        <v>6</v>
      </c>
      <c r="F30" s="315">
        <v>6.9999999999999999E-4</v>
      </c>
      <c r="G30" s="283">
        <f>VLOOKUP(D30,upahbahan,3,FALSE)</f>
        <v>160000</v>
      </c>
      <c r="H30" s="284">
        <f>F30*G30</f>
        <v>112</v>
      </c>
    </row>
    <row r="31" spans="3:15" ht="20.399999999999999" customHeight="1">
      <c r="C31" s="66" t="s">
        <v>1208</v>
      </c>
      <c r="D31" s="67"/>
      <c r="E31" s="67"/>
      <c r="F31" s="68"/>
      <c r="G31" s="69"/>
      <c r="H31" s="284">
        <f>SUM(H27:H30)</f>
        <v>1862</v>
      </c>
    </row>
    <row r="32" spans="3:15" ht="20.399999999999999" customHeight="1">
      <c r="C32" s="321" t="s">
        <v>1209</v>
      </c>
      <c r="D32" s="182" t="s">
        <v>1210</v>
      </c>
      <c r="E32" s="70"/>
      <c r="F32" s="70"/>
      <c r="G32" s="70"/>
      <c r="H32" s="71"/>
    </row>
    <row r="33" spans="3:11" ht="20.399999999999999" customHeight="1">
      <c r="C33" s="281">
        <v>1</v>
      </c>
      <c r="D33" s="182" t="s">
        <v>6478</v>
      </c>
      <c r="E33" s="176" t="s">
        <v>65</v>
      </c>
      <c r="F33" s="282">
        <v>1.02</v>
      </c>
      <c r="G33" s="283">
        <f>VLOOKUP(D33,upahbahan,3,FALSE)</f>
        <v>0</v>
      </c>
      <c r="H33" s="284">
        <f>F33*G33</f>
        <v>0</v>
      </c>
    </row>
    <row r="34" spans="3:11" ht="20.399999999999999" customHeight="1">
      <c r="C34" s="281">
        <v>2</v>
      </c>
      <c r="D34" s="182" t="s">
        <v>251</v>
      </c>
      <c r="E34" s="176" t="s">
        <v>65</v>
      </c>
      <c r="F34" s="282">
        <v>1.4999999999999999E-2</v>
      </c>
      <c r="G34" s="283">
        <f>VLOOKUP(D34,upahbahan,3,FALSE)</f>
        <v>27720</v>
      </c>
      <c r="H34" s="284">
        <f>F34*G34</f>
        <v>415.8</v>
      </c>
    </row>
    <row r="35" spans="3:11" ht="20.399999999999999" customHeight="1">
      <c r="C35" s="66" t="s">
        <v>1214</v>
      </c>
      <c r="D35" s="67"/>
      <c r="E35" s="67"/>
      <c r="F35" s="67"/>
      <c r="G35" s="69"/>
      <c r="H35" s="284">
        <f>SUM(H33:H34)</f>
        <v>415.8</v>
      </c>
    </row>
    <row r="36" spans="3:11" ht="20.399999999999999" customHeight="1">
      <c r="C36" s="321" t="s">
        <v>1215</v>
      </c>
      <c r="D36" s="182" t="s">
        <v>1216</v>
      </c>
      <c r="E36" s="70"/>
      <c r="F36" s="70"/>
      <c r="G36" s="70"/>
      <c r="H36" s="71"/>
    </row>
    <row r="37" spans="3:11" ht="20.399999999999999" customHeight="1">
      <c r="C37" s="66" t="s">
        <v>1217</v>
      </c>
      <c r="D37" s="67"/>
      <c r="E37" s="67"/>
      <c r="F37" s="67"/>
      <c r="G37" s="69"/>
      <c r="H37" s="292">
        <v>0</v>
      </c>
    </row>
    <row r="38" spans="3:11" s="297" customFormat="1" ht="20.399999999999999" customHeight="1">
      <c r="C38" s="293" t="s">
        <v>1218</v>
      </c>
      <c r="D38" s="294" t="s">
        <v>1219</v>
      </c>
      <c r="E38" s="295"/>
      <c r="F38" s="295"/>
      <c r="G38" s="296"/>
      <c r="H38" s="284">
        <f>H37+H35+H31</f>
        <v>2277.8000000000002</v>
      </c>
      <c r="I38" s="119"/>
      <c r="J38" s="119"/>
      <c r="K38" s="119"/>
    </row>
    <row r="39" spans="3:11" s="297" customFormat="1" ht="20.399999999999999" customHeight="1">
      <c r="C39" s="293" t="s">
        <v>1220</v>
      </c>
      <c r="D39" s="294" t="s">
        <v>1321</v>
      </c>
      <c r="E39" s="295"/>
      <c r="F39" s="296"/>
      <c r="G39" s="298">
        <f>$O$9</f>
        <v>0.1</v>
      </c>
      <c r="H39" s="284">
        <f>H38*G39</f>
        <v>227.78000000000003</v>
      </c>
      <c r="I39" s="119"/>
      <c r="J39" s="119"/>
      <c r="K39" s="119"/>
    </row>
    <row r="40" spans="3:11" s="297" customFormat="1" ht="20.399999999999999" customHeight="1" thickBot="1">
      <c r="C40" s="299" t="s">
        <v>1221</v>
      </c>
      <c r="D40" s="300" t="s">
        <v>1222</v>
      </c>
      <c r="E40" s="301"/>
      <c r="F40" s="301"/>
      <c r="G40" s="302"/>
      <c r="H40" s="303">
        <f>SUM(H38:H39)</f>
        <v>2505.5800000000004</v>
      </c>
      <c r="I40" s="119"/>
      <c r="J40" s="119"/>
      <c r="K40" s="119"/>
    </row>
    <row r="41" spans="3:11" ht="14.4" thickTop="1">
      <c r="C41" s="304"/>
      <c r="D41" s="304"/>
      <c r="E41" s="304"/>
      <c r="F41" s="304"/>
      <c r="G41" s="304"/>
      <c r="H41" s="305"/>
    </row>
    <row r="42" spans="3:11">
      <c r="C42" s="304"/>
      <c r="D42" s="304"/>
      <c r="E42" s="304"/>
      <c r="F42" s="304"/>
      <c r="G42" s="304"/>
      <c r="H42" s="305"/>
    </row>
    <row r="43" spans="3:11">
      <c r="C43" s="304"/>
      <c r="D43" s="304"/>
      <c r="E43" s="304"/>
      <c r="F43" s="304"/>
      <c r="G43" s="304"/>
      <c r="H43" s="305"/>
    </row>
    <row r="44" spans="3:11" ht="15.75" customHeight="1" thickBot="1">
      <c r="C44" s="119" t="s">
        <v>2227</v>
      </c>
      <c r="D44" s="47" t="s">
        <v>6473</v>
      </c>
      <c r="E44" s="88"/>
      <c r="F44" s="88"/>
      <c r="G44" s="88"/>
      <c r="H44" s="88"/>
      <c r="I44" s="120">
        <f>ROUNDDOWN(H62,-2)</f>
        <v>900</v>
      </c>
      <c r="J44" s="120" t="s">
        <v>6456</v>
      </c>
      <c r="K44" s="120" t="s">
        <v>6474</v>
      </c>
    </row>
    <row r="45" spans="3:11" s="289" customFormat="1" ht="31.65" customHeight="1" thickTop="1">
      <c r="C45" s="51" t="s">
        <v>1195</v>
      </c>
      <c r="D45" s="52" t="s">
        <v>1196</v>
      </c>
      <c r="E45" s="52" t="s">
        <v>1197</v>
      </c>
      <c r="F45" s="52" t="s">
        <v>1198</v>
      </c>
      <c r="G45" s="52" t="s">
        <v>1199</v>
      </c>
      <c r="H45" s="53" t="s">
        <v>1200</v>
      </c>
      <c r="I45" s="126"/>
      <c r="J45" s="126"/>
      <c r="K45" s="126"/>
    </row>
    <row r="46" spans="3:11" ht="20.399999999999999" customHeight="1">
      <c r="C46" s="290" t="s">
        <v>1201</v>
      </c>
      <c r="D46" s="182" t="s">
        <v>1202</v>
      </c>
      <c r="E46" s="70"/>
      <c r="F46" s="70"/>
      <c r="G46" s="70"/>
      <c r="H46" s="71"/>
    </row>
    <row r="47" spans="3:11" ht="20.399999999999999" customHeight="1">
      <c r="C47" s="281">
        <v>1</v>
      </c>
      <c r="D47" s="182" t="s">
        <v>5</v>
      </c>
      <c r="E47" s="176" t="s">
        <v>6</v>
      </c>
      <c r="F47" s="330">
        <v>8.0000000000000004E-4</v>
      </c>
      <c r="G47" s="283">
        <f>VLOOKUP(D47,upahbahan,3,FALSE)</f>
        <v>100000</v>
      </c>
      <c r="H47" s="284">
        <f>F47*G47</f>
        <v>80</v>
      </c>
    </row>
    <row r="48" spans="3:11" ht="20.399999999999999" customHeight="1">
      <c r="C48" s="281">
        <v>2</v>
      </c>
      <c r="D48" s="182" t="str">
        <f>D10</f>
        <v>Tukang besi</v>
      </c>
      <c r="E48" s="176" t="s">
        <v>6</v>
      </c>
      <c r="F48" s="330">
        <v>4.0000000000000002E-4</v>
      </c>
      <c r="G48" s="283">
        <f>VLOOKUP(D48,upahbahan,3,FALSE)</f>
        <v>135000</v>
      </c>
      <c r="H48" s="284">
        <f>F48*G48</f>
        <v>54</v>
      </c>
    </row>
    <row r="49" spans="3:11" s="59" customFormat="1" ht="20.399999999999999" customHeight="1">
      <c r="C49" s="281">
        <v>3</v>
      </c>
      <c r="D49" s="182" t="s">
        <v>18</v>
      </c>
      <c r="E49" s="176" t="s">
        <v>6</v>
      </c>
      <c r="F49" s="330">
        <v>4.0000000000000003E-5</v>
      </c>
      <c r="G49" s="283">
        <f>VLOOKUP(D49,upahbahan,3,FALSE)</f>
        <v>150000</v>
      </c>
      <c r="H49" s="284">
        <f>F49*G49</f>
        <v>6.0000000000000009</v>
      </c>
      <c r="I49" s="119"/>
      <c r="J49" s="119"/>
      <c r="K49" s="119"/>
    </row>
    <row r="50" spans="3:11" ht="20.399999999999999" customHeight="1">
      <c r="C50" s="281">
        <v>4</v>
      </c>
      <c r="D50" s="182" t="s">
        <v>19</v>
      </c>
      <c r="E50" s="176" t="s">
        <v>6</v>
      </c>
      <c r="F50" s="330">
        <v>8.0000000000000007E-5</v>
      </c>
      <c r="G50" s="283">
        <f>VLOOKUP(D50,upahbahan,3,FALSE)</f>
        <v>160000</v>
      </c>
      <c r="H50" s="284">
        <f>F50*G50</f>
        <v>12.8</v>
      </c>
    </row>
    <row r="51" spans="3:11" ht="20.399999999999999" customHeight="1">
      <c r="C51" s="66" t="s">
        <v>1208</v>
      </c>
      <c r="D51" s="67"/>
      <c r="E51" s="67"/>
      <c r="F51" s="68"/>
      <c r="G51" s="69"/>
      <c r="H51" s="284">
        <f>SUM(H47:H50)</f>
        <v>152.80000000000001</v>
      </c>
    </row>
    <row r="52" spans="3:11" ht="20.399999999999999" customHeight="1">
      <c r="C52" s="290" t="s">
        <v>1209</v>
      </c>
      <c r="D52" s="182" t="s">
        <v>1210</v>
      </c>
      <c r="E52" s="70"/>
      <c r="F52" s="70"/>
      <c r="G52" s="70"/>
      <c r="H52" s="71"/>
    </row>
    <row r="53" spans="3:11" ht="20.399999999999999" customHeight="1">
      <c r="C53" s="281">
        <v>1</v>
      </c>
      <c r="D53" s="182" t="s">
        <v>6475</v>
      </c>
      <c r="E53" s="176" t="s">
        <v>65</v>
      </c>
      <c r="F53" s="282">
        <v>1.02</v>
      </c>
      <c r="G53" s="283">
        <f>VLOOKUP(D53,upahbahan,3,FALSE)</f>
        <v>0</v>
      </c>
      <c r="H53" s="284">
        <f>F53*G53</f>
        <v>0</v>
      </c>
    </row>
    <row r="54" spans="3:11" ht="20.399999999999999" customHeight="1">
      <c r="C54" s="281">
        <v>2</v>
      </c>
      <c r="D54" s="182" t="s">
        <v>251</v>
      </c>
      <c r="E54" s="176" t="s">
        <v>65</v>
      </c>
      <c r="F54" s="282">
        <v>1.4999999999999999E-2</v>
      </c>
      <c r="G54" s="283">
        <f>VLOOKUP(D54,upahbahan,3,FALSE)</f>
        <v>27720</v>
      </c>
      <c r="H54" s="284">
        <f>F54*G54</f>
        <v>415.8</v>
      </c>
    </row>
    <row r="55" spans="3:11" ht="20.399999999999999" customHeight="1">
      <c r="C55" s="66" t="s">
        <v>1214</v>
      </c>
      <c r="D55" s="67"/>
      <c r="E55" s="67"/>
      <c r="F55" s="67"/>
      <c r="G55" s="69"/>
      <c r="H55" s="284">
        <f>SUM(H53:H54)</f>
        <v>415.8</v>
      </c>
    </row>
    <row r="56" spans="3:11" ht="20.399999999999999" customHeight="1">
      <c r="C56" s="290" t="s">
        <v>1215</v>
      </c>
      <c r="D56" s="182" t="s">
        <v>1216</v>
      </c>
      <c r="E56" s="70"/>
      <c r="F56" s="70"/>
      <c r="G56" s="70"/>
      <c r="H56" s="71"/>
    </row>
    <row r="57" spans="3:11" ht="20.399999999999999" customHeight="1">
      <c r="C57" s="306" t="s">
        <v>1203</v>
      </c>
      <c r="D57" s="182" t="s">
        <v>1098</v>
      </c>
      <c r="E57" s="124" t="s">
        <v>1080</v>
      </c>
      <c r="F57" s="125">
        <v>2.0000000000000001E-4</v>
      </c>
      <c r="G57" s="283">
        <f>VLOOKUP(D57,upahbahan,3,FALSE)</f>
        <v>800000</v>
      </c>
      <c r="H57" s="284">
        <f>F57*G57</f>
        <v>160</v>
      </c>
    </row>
    <row r="58" spans="3:11" ht="20.399999999999999" customHeight="1">
      <c r="C58" s="306" t="s">
        <v>1204</v>
      </c>
      <c r="D58" s="182" t="s">
        <v>1079</v>
      </c>
      <c r="E58" s="124" t="s">
        <v>1080</v>
      </c>
      <c r="F58" s="125">
        <v>2.0000000000000001E-4</v>
      </c>
      <c r="G58" s="283">
        <f>VLOOKUP(D58,upahbahan,3,FALSE)</f>
        <v>850000</v>
      </c>
      <c r="H58" s="284">
        <f>F58*G58</f>
        <v>170</v>
      </c>
    </row>
    <row r="59" spans="3:11" ht="20.399999999999999" customHeight="1">
      <c r="C59" s="66" t="s">
        <v>1217</v>
      </c>
      <c r="D59" s="67"/>
      <c r="E59" s="67"/>
      <c r="F59" s="67"/>
      <c r="G59" s="69"/>
      <c r="H59" s="284">
        <f>SUM(H57:H58)</f>
        <v>330</v>
      </c>
    </row>
    <row r="60" spans="3:11" s="297" customFormat="1" ht="20.399999999999999" customHeight="1">
      <c r="C60" s="293" t="s">
        <v>1218</v>
      </c>
      <c r="D60" s="294" t="s">
        <v>1219</v>
      </c>
      <c r="E60" s="295"/>
      <c r="F60" s="295"/>
      <c r="G60" s="296"/>
      <c r="H60" s="284">
        <f>H59+H55+H51</f>
        <v>898.59999999999991</v>
      </c>
      <c r="I60" s="119"/>
      <c r="J60" s="119"/>
      <c r="K60" s="119"/>
    </row>
    <row r="61" spans="3:11" s="297" customFormat="1" ht="20.399999999999999" customHeight="1">
      <c r="C61" s="293" t="s">
        <v>1220</v>
      </c>
      <c r="D61" s="294" t="s">
        <v>1321</v>
      </c>
      <c r="E61" s="295"/>
      <c r="F61" s="296"/>
      <c r="G61" s="298">
        <f>$O$9</f>
        <v>0.1</v>
      </c>
      <c r="H61" s="284">
        <f>H60*G61</f>
        <v>89.86</v>
      </c>
      <c r="I61" s="119"/>
      <c r="J61" s="119"/>
      <c r="K61" s="119"/>
    </row>
    <row r="62" spans="3:11" s="297" customFormat="1" ht="20.399999999999999" customHeight="1" thickBot="1">
      <c r="C62" s="299" t="s">
        <v>1221</v>
      </c>
      <c r="D62" s="300" t="s">
        <v>1222</v>
      </c>
      <c r="E62" s="301"/>
      <c r="F62" s="301"/>
      <c r="G62" s="302"/>
      <c r="H62" s="303">
        <f>SUM(H60:H61)</f>
        <v>988.45999999999992</v>
      </c>
      <c r="I62" s="119"/>
      <c r="J62" s="119"/>
      <c r="K62" s="119"/>
    </row>
    <row r="63" spans="3:11" ht="14.4" thickTop="1">
      <c r="C63" s="304"/>
      <c r="D63" s="304"/>
      <c r="E63" s="304"/>
      <c r="F63" s="304"/>
      <c r="G63" s="304"/>
      <c r="H63" s="305"/>
    </row>
    <row r="64" spans="3:11" ht="15.75" customHeight="1" thickBot="1">
      <c r="C64" s="119" t="s">
        <v>6480</v>
      </c>
      <c r="D64" s="47" t="s">
        <v>6481</v>
      </c>
      <c r="E64" s="88"/>
      <c r="F64" s="88"/>
      <c r="G64" s="88"/>
      <c r="H64" s="88"/>
      <c r="I64" s="120">
        <f>ROUNDDOWN(H82,-2)</f>
        <v>900</v>
      </c>
      <c r="J64" s="120" t="s">
        <v>6456</v>
      </c>
      <c r="K64" s="120" t="s">
        <v>6482</v>
      </c>
    </row>
    <row r="65" spans="3:11" s="289" customFormat="1" ht="31.65" customHeight="1" thickTop="1">
      <c r="C65" s="51" t="s">
        <v>1195</v>
      </c>
      <c r="D65" s="52" t="s">
        <v>1196</v>
      </c>
      <c r="E65" s="52" t="s">
        <v>1197</v>
      </c>
      <c r="F65" s="52" t="s">
        <v>1198</v>
      </c>
      <c r="G65" s="52" t="s">
        <v>1199</v>
      </c>
      <c r="H65" s="53" t="s">
        <v>1200</v>
      </c>
      <c r="I65" s="126"/>
      <c r="J65" s="126"/>
      <c r="K65" s="126"/>
    </row>
    <row r="66" spans="3:11" ht="21" customHeight="1">
      <c r="C66" s="290" t="s">
        <v>1201</v>
      </c>
      <c r="D66" s="182" t="s">
        <v>1202</v>
      </c>
      <c r="E66" s="70"/>
      <c r="F66" s="70"/>
      <c r="G66" s="70"/>
      <c r="H66" s="71"/>
    </row>
    <row r="67" spans="3:11" ht="21" customHeight="1">
      <c r="C67" s="281">
        <v>1</v>
      </c>
      <c r="D67" s="182" t="s">
        <v>5</v>
      </c>
      <c r="E67" s="176" t="s">
        <v>6</v>
      </c>
      <c r="F67" s="330">
        <v>8.0000000000000004E-4</v>
      </c>
      <c r="G67" s="283">
        <f>VLOOKUP(D67,upahbahan,3,FALSE)</f>
        <v>100000</v>
      </c>
      <c r="H67" s="284">
        <f>F67*G67</f>
        <v>80</v>
      </c>
    </row>
    <row r="68" spans="3:11" ht="21" customHeight="1">
      <c r="C68" s="281">
        <v>2</v>
      </c>
      <c r="D68" s="182" t="str">
        <f>D30</f>
        <v>Mandor</v>
      </c>
      <c r="E68" s="176" t="s">
        <v>6</v>
      </c>
      <c r="F68" s="330">
        <v>4.0000000000000002E-4</v>
      </c>
      <c r="G68" s="283">
        <f>VLOOKUP(D68,upahbahan,3,FALSE)</f>
        <v>160000</v>
      </c>
      <c r="H68" s="284">
        <f>F68*G68</f>
        <v>64</v>
      </c>
    </row>
    <row r="69" spans="3:11" s="59" customFormat="1" ht="21" customHeight="1">
      <c r="C69" s="281">
        <v>3</v>
      </c>
      <c r="D69" s="182" t="s">
        <v>18</v>
      </c>
      <c r="E69" s="176" t="s">
        <v>6</v>
      </c>
      <c r="F69" s="330">
        <v>4.0000000000000003E-5</v>
      </c>
      <c r="G69" s="283">
        <f>VLOOKUP(D69,upahbahan,3,FALSE)</f>
        <v>150000</v>
      </c>
      <c r="H69" s="284">
        <f>F69*G69</f>
        <v>6.0000000000000009</v>
      </c>
      <c r="I69" s="119"/>
      <c r="J69" s="119"/>
      <c r="K69" s="119"/>
    </row>
    <row r="70" spans="3:11" ht="21" customHeight="1">
      <c r="C70" s="281">
        <v>4</v>
      </c>
      <c r="D70" s="182" t="s">
        <v>19</v>
      </c>
      <c r="E70" s="176" t="s">
        <v>6</v>
      </c>
      <c r="F70" s="330">
        <v>8.0000000000000007E-5</v>
      </c>
      <c r="G70" s="283">
        <f>VLOOKUP(D70,upahbahan,3,FALSE)</f>
        <v>160000</v>
      </c>
      <c r="H70" s="284">
        <f>F70*G70</f>
        <v>12.8</v>
      </c>
    </row>
    <row r="71" spans="3:11" ht="21" customHeight="1">
      <c r="C71" s="66" t="s">
        <v>1208</v>
      </c>
      <c r="D71" s="67"/>
      <c r="E71" s="67"/>
      <c r="F71" s="68"/>
      <c r="G71" s="69"/>
      <c r="H71" s="284">
        <f>SUM(H67:H70)</f>
        <v>162.80000000000001</v>
      </c>
    </row>
    <row r="72" spans="3:11" ht="21" customHeight="1">
      <c r="C72" s="290" t="s">
        <v>1209</v>
      </c>
      <c r="D72" s="182" t="s">
        <v>1210</v>
      </c>
      <c r="E72" s="70"/>
      <c r="F72" s="70"/>
      <c r="G72" s="70"/>
      <c r="H72" s="71"/>
    </row>
    <row r="73" spans="3:11" ht="21" customHeight="1">
      <c r="C73" s="281">
        <v>1</v>
      </c>
      <c r="D73" s="182" t="s">
        <v>6477</v>
      </c>
      <c r="E73" s="176" t="s">
        <v>65</v>
      </c>
      <c r="F73" s="282">
        <v>1.02</v>
      </c>
      <c r="G73" s="283">
        <f>VLOOKUP(D73,upahbahan,3,FALSE)</f>
        <v>0</v>
      </c>
      <c r="H73" s="284">
        <f>F73*G73</f>
        <v>0</v>
      </c>
    </row>
    <row r="74" spans="3:11" ht="21" customHeight="1">
      <c r="C74" s="281">
        <v>2</v>
      </c>
      <c r="D74" s="182" t="s">
        <v>251</v>
      </c>
      <c r="E74" s="176" t="s">
        <v>65</v>
      </c>
      <c r="F74" s="282">
        <v>1.4999999999999999E-2</v>
      </c>
      <c r="G74" s="283">
        <f>VLOOKUP(D74,upahbahan,3,FALSE)</f>
        <v>27720</v>
      </c>
      <c r="H74" s="284">
        <f>F74*G74</f>
        <v>415.8</v>
      </c>
    </row>
    <row r="75" spans="3:11" ht="21" customHeight="1">
      <c r="C75" s="66" t="s">
        <v>1214</v>
      </c>
      <c r="D75" s="67"/>
      <c r="E75" s="67"/>
      <c r="F75" s="67"/>
      <c r="G75" s="69"/>
      <c r="H75" s="284">
        <f>SUM(H73:H74)</f>
        <v>415.8</v>
      </c>
    </row>
    <row r="76" spans="3:11" ht="21" customHeight="1">
      <c r="C76" s="290" t="s">
        <v>1215</v>
      </c>
      <c r="D76" s="182" t="s">
        <v>1216</v>
      </c>
      <c r="E76" s="70"/>
      <c r="F76" s="70"/>
      <c r="G76" s="70"/>
      <c r="H76" s="71"/>
    </row>
    <row r="77" spans="3:11" ht="21" customHeight="1">
      <c r="C77" s="306" t="s">
        <v>1203</v>
      </c>
      <c r="D77" s="182" t="s">
        <v>1098</v>
      </c>
      <c r="E77" s="124" t="s">
        <v>1080</v>
      </c>
      <c r="F77" s="125">
        <v>2.0000000000000001E-4</v>
      </c>
      <c r="G77" s="283">
        <f>VLOOKUP(D77,upahbahan,3,FALSE)</f>
        <v>800000</v>
      </c>
      <c r="H77" s="284">
        <f>F77*G77</f>
        <v>160</v>
      </c>
    </row>
    <row r="78" spans="3:11" ht="21" customHeight="1">
      <c r="C78" s="306" t="s">
        <v>1204</v>
      </c>
      <c r="D78" s="182" t="s">
        <v>1079</v>
      </c>
      <c r="E78" s="124" t="s">
        <v>1080</v>
      </c>
      <c r="F78" s="125">
        <v>2.0000000000000001E-4</v>
      </c>
      <c r="G78" s="283">
        <f>VLOOKUP(D78,upahbahan,3,FALSE)</f>
        <v>850000</v>
      </c>
      <c r="H78" s="284">
        <f>F78*G78</f>
        <v>170</v>
      </c>
    </row>
    <row r="79" spans="3:11" ht="21" customHeight="1">
      <c r="C79" s="66" t="s">
        <v>1217</v>
      </c>
      <c r="D79" s="67"/>
      <c r="E79" s="67"/>
      <c r="F79" s="67"/>
      <c r="G79" s="69"/>
      <c r="H79" s="284">
        <f>SUM(H77:H78)</f>
        <v>330</v>
      </c>
    </row>
    <row r="80" spans="3:11" s="297" customFormat="1" ht="21" customHeight="1">
      <c r="C80" s="293" t="s">
        <v>1218</v>
      </c>
      <c r="D80" s="294" t="s">
        <v>1219</v>
      </c>
      <c r="E80" s="295"/>
      <c r="F80" s="295"/>
      <c r="G80" s="296"/>
      <c r="H80" s="284">
        <f>H79+H75+H71</f>
        <v>908.59999999999991</v>
      </c>
      <c r="I80" s="119"/>
      <c r="J80" s="119"/>
      <c r="K80" s="119"/>
    </row>
    <row r="81" spans="3:11" s="297" customFormat="1" ht="21" customHeight="1">
      <c r="C81" s="293" t="s">
        <v>1220</v>
      </c>
      <c r="D81" s="294" t="s">
        <v>1321</v>
      </c>
      <c r="E81" s="295"/>
      <c r="F81" s="296"/>
      <c r="G81" s="298">
        <f>$O$9</f>
        <v>0.1</v>
      </c>
      <c r="H81" s="284">
        <f>H80*G81</f>
        <v>90.86</v>
      </c>
      <c r="I81" s="119"/>
      <c r="J81" s="119"/>
      <c r="K81" s="119"/>
    </row>
    <row r="82" spans="3:11" s="297" customFormat="1" ht="21" customHeight="1" thickBot="1">
      <c r="C82" s="299" t="s">
        <v>1221</v>
      </c>
      <c r="D82" s="300" t="s">
        <v>1222</v>
      </c>
      <c r="E82" s="301"/>
      <c r="F82" s="301"/>
      <c r="G82" s="302"/>
      <c r="H82" s="303">
        <f>SUM(H80:H81)</f>
        <v>999.45999999999992</v>
      </c>
      <c r="I82" s="119"/>
      <c r="J82" s="119"/>
      <c r="K82" s="119"/>
    </row>
    <row r="83" spans="3:11" ht="14.4" thickTop="1">
      <c r="C83" s="304"/>
      <c r="D83" s="304"/>
      <c r="E83" s="304"/>
      <c r="F83" s="304"/>
      <c r="G83" s="304"/>
      <c r="H83" s="305"/>
    </row>
    <row r="84" spans="3:11" ht="15.75" customHeight="1" thickBot="1">
      <c r="C84" s="119" t="s">
        <v>2228</v>
      </c>
      <c r="D84" s="47" t="s">
        <v>6483</v>
      </c>
      <c r="E84" s="88"/>
      <c r="F84" s="88"/>
      <c r="G84" s="88"/>
      <c r="H84" s="88"/>
      <c r="I84" s="120">
        <f>ROUNDDOWN(H100,-2)</f>
        <v>15900</v>
      </c>
      <c r="J84" s="120" t="s">
        <v>6456</v>
      </c>
      <c r="K84" s="120" t="s">
        <v>6484</v>
      </c>
    </row>
    <row r="85" spans="3:11" s="289" customFormat="1" ht="31.65" customHeight="1" thickTop="1">
      <c r="C85" s="51" t="s">
        <v>1195</v>
      </c>
      <c r="D85" s="52" t="s">
        <v>1196</v>
      </c>
      <c r="E85" s="52" t="s">
        <v>1197</v>
      </c>
      <c r="F85" s="52" t="s">
        <v>1198</v>
      </c>
      <c r="G85" s="52" t="s">
        <v>1199</v>
      </c>
      <c r="H85" s="53" t="s">
        <v>1200</v>
      </c>
      <c r="I85" s="126"/>
      <c r="J85" s="126"/>
      <c r="K85" s="126"/>
    </row>
    <row r="86" spans="3:11" ht="18.600000000000001" customHeight="1">
      <c r="C86" s="290" t="s">
        <v>1201</v>
      </c>
      <c r="D86" s="182" t="s">
        <v>1202</v>
      </c>
      <c r="E86" s="70"/>
      <c r="F86" s="70"/>
      <c r="G86" s="70"/>
      <c r="H86" s="71"/>
    </row>
    <row r="87" spans="3:11" ht="18.600000000000001" customHeight="1">
      <c r="C87" s="281">
        <v>1</v>
      </c>
      <c r="D87" s="182" t="s">
        <v>5</v>
      </c>
      <c r="E87" s="176" t="s">
        <v>6</v>
      </c>
      <c r="F87" s="330">
        <v>1.6000000000000001E-3</v>
      </c>
      <c r="G87" s="283">
        <f>VLOOKUP(D87,upahbahan,3,FALSE)</f>
        <v>100000</v>
      </c>
      <c r="H87" s="284">
        <f>F87*G87</f>
        <v>160</v>
      </c>
    </row>
    <row r="88" spans="3:11" ht="18.600000000000001" customHeight="1">
      <c r="C88" s="281">
        <v>2</v>
      </c>
      <c r="D88" s="182" t="s">
        <v>9</v>
      </c>
      <c r="E88" s="176" t="s">
        <v>6</v>
      </c>
      <c r="F88" s="330">
        <v>1.6000000000000001E-3</v>
      </c>
      <c r="G88" s="283">
        <f>VLOOKUP(D88,upahbahan,3,FALSE)</f>
        <v>135000</v>
      </c>
      <c r="H88" s="284">
        <f>F88*G88</f>
        <v>216</v>
      </c>
    </row>
    <row r="89" spans="3:11" s="59" customFormat="1" ht="18.600000000000001" customHeight="1">
      <c r="C89" s="281">
        <v>3</v>
      </c>
      <c r="D89" s="182" t="s">
        <v>18</v>
      </c>
      <c r="E89" s="176" t="s">
        <v>6</v>
      </c>
      <c r="F89" s="330">
        <v>1.6000000000000001E-4</v>
      </c>
      <c r="G89" s="283">
        <f>VLOOKUP(D89,upahbahan,3,FALSE)</f>
        <v>150000</v>
      </c>
      <c r="H89" s="284">
        <f>F89*G89</f>
        <v>24.000000000000004</v>
      </c>
      <c r="I89" s="119"/>
      <c r="J89" s="119"/>
      <c r="K89" s="119"/>
    </row>
    <row r="90" spans="3:11" ht="18.600000000000001" customHeight="1">
      <c r="C90" s="281">
        <v>4</v>
      </c>
      <c r="D90" s="182" t="s">
        <v>19</v>
      </c>
      <c r="E90" s="176" t="s">
        <v>6</v>
      </c>
      <c r="F90" s="330">
        <v>1.6000000000000001E-4</v>
      </c>
      <c r="G90" s="283">
        <f>VLOOKUP(D90,upahbahan,3,FALSE)</f>
        <v>160000</v>
      </c>
      <c r="H90" s="284">
        <f>F90*G90</f>
        <v>25.6</v>
      </c>
    </row>
    <row r="91" spans="3:11" ht="18.600000000000001" customHeight="1">
      <c r="C91" s="66" t="s">
        <v>1208</v>
      </c>
      <c r="D91" s="67"/>
      <c r="E91" s="67"/>
      <c r="F91" s="68"/>
      <c r="G91" s="69"/>
      <c r="H91" s="284">
        <f>SUM(H87:H90)</f>
        <v>425.6</v>
      </c>
    </row>
    <row r="92" spans="3:11" ht="18.600000000000001" customHeight="1">
      <c r="C92" s="321" t="s">
        <v>1209</v>
      </c>
      <c r="D92" s="182" t="s">
        <v>1210</v>
      </c>
      <c r="E92" s="70"/>
      <c r="F92" s="70"/>
      <c r="G92" s="70"/>
      <c r="H92" s="71"/>
    </row>
    <row r="93" spans="3:11" ht="18.600000000000001" customHeight="1">
      <c r="C93" s="281">
        <v>1</v>
      </c>
      <c r="D93" s="182" t="s">
        <v>6476</v>
      </c>
      <c r="E93" s="176" t="s">
        <v>65</v>
      </c>
      <c r="F93" s="282">
        <v>1.02</v>
      </c>
      <c r="G93" s="283">
        <f>VLOOKUP(D93,upahbahan,3,FALSE)</f>
        <v>13050</v>
      </c>
      <c r="H93" s="284">
        <f>F93*G93</f>
        <v>13311</v>
      </c>
    </row>
    <row r="94" spans="3:11" ht="18.600000000000001" customHeight="1">
      <c r="C94" s="281">
        <v>2</v>
      </c>
      <c r="D94" s="182" t="s">
        <v>251</v>
      </c>
      <c r="E94" s="176" t="s">
        <v>65</v>
      </c>
      <c r="F94" s="309">
        <v>2.8000000000000001E-2</v>
      </c>
      <c r="G94" s="283">
        <f>VLOOKUP(D94,upahbahan,3,FALSE)</f>
        <v>27720</v>
      </c>
      <c r="H94" s="284">
        <f>F94*G94</f>
        <v>776.16</v>
      </c>
    </row>
    <row r="95" spans="3:11" ht="18.600000000000001" customHeight="1">
      <c r="C95" s="66" t="s">
        <v>1214</v>
      </c>
      <c r="D95" s="67"/>
      <c r="E95" s="67"/>
      <c r="F95" s="67"/>
      <c r="G95" s="69"/>
      <c r="H95" s="284">
        <f>SUM(H93:H94)</f>
        <v>14087.16</v>
      </c>
    </row>
    <row r="96" spans="3:11" ht="18.600000000000001" customHeight="1">
      <c r="C96" s="321" t="s">
        <v>1215</v>
      </c>
      <c r="D96" s="182" t="s">
        <v>1216</v>
      </c>
      <c r="E96" s="70"/>
      <c r="F96" s="70"/>
      <c r="G96" s="70"/>
      <c r="H96" s="71"/>
    </row>
    <row r="97" spans="3:11" ht="18.600000000000001" customHeight="1">
      <c r="C97" s="66" t="s">
        <v>1217</v>
      </c>
      <c r="D97" s="67"/>
      <c r="E97" s="67"/>
      <c r="F97" s="67"/>
      <c r="G97" s="69"/>
      <c r="H97" s="292">
        <v>0</v>
      </c>
    </row>
    <row r="98" spans="3:11" s="297" customFormat="1" ht="18.600000000000001" customHeight="1">
      <c r="C98" s="293" t="s">
        <v>1218</v>
      </c>
      <c r="D98" s="294" t="s">
        <v>1219</v>
      </c>
      <c r="E98" s="295"/>
      <c r="F98" s="295"/>
      <c r="G98" s="296"/>
      <c r="H98" s="284">
        <f>H97+H95+H91</f>
        <v>14512.76</v>
      </c>
      <c r="I98" s="119"/>
      <c r="J98" s="119"/>
      <c r="K98" s="119"/>
    </row>
    <row r="99" spans="3:11" s="297" customFormat="1" ht="18.600000000000001" customHeight="1">
      <c r="C99" s="293" t="s">
        <v>1220</v>
      </c>
      <c r="D99" s="294" t="s">
        <v>1321</v>
      </c>
      <c r="E99" s="295"/>
      <c r="F99" s="296"/>
      <c r="G99" s="298">
        <f>$O$9</f>
        <v>0.1</v>
      </c>
      <c r="H99" s="284">
        <f>H98*G99</f>
        <v>1451.2760000000001</v>
      </c>
      <c r="I99" s="119"/>
      <c r="J99" s="119"/>
      <c r="K99" s="119"/>
    </row>
    <row r="100" spans="3:11" s="297" customFormat="1" ht="18.600000000000001" customHeight="1" thickBot="1">
      <c r="C100" s="299" t="s">
        <v>1221</v>
      </c>
      <c r="D100" s="300" t="s">
        <v>1222</v>
      </c>
      <c r="E100" s="301"/>
      <c r="F100" s="301"/>
      <c r="G100" s="302"/>
      <c r="H100" s="303">
        <f>SUM(H98:H99)</f>
        <v>15964.036</v>
      </c>
      <c r="I100" s="119"/>
      <c r="J100" s="119"/>
      <c r="K100" s="119"/>
    </row>
    <row r="101" spans="3:11" ht="14.4" thickTop="1">
      <c r="C101" s="304"/>
      <c r="D101" s="304"/>
      <c r="E101" s="304"/>
      <c r="F101" s="304"/>
      <c r="G101" s="304"/>
      <c r="H101" s="305"/>
    </row>
    <row r="102" spans="3:11" ht="15.75" customHeight="1" thickBot="1">
      <c r="C102" s="119" t="s">
        <v>6485</v>
      </c>
      <c r="D102" s="47" t="s">
        <v>6486</v>
      </c>
      <c r="E102" s="88"/>
      <c r="F102" s="88"/>
      <c r="G102" s="88"/>
      <c r="H102" s="88"/>
      <c r="I102" s="120">
        <f>ROUNDDOWN(H118,-2)</f>
        <v>1300</v>
      </c>
      <c r="J102" s="120" t="s">
        <v>6456</v>
      </c>
      <c r="K102" s="120" t="s">
        <v>6487</v>
      </c>
    </row>
    <row r="103" spans="3:11" s="289" customFormat="1" ht="31.65" customHeight="1" thickTop="1">
      <c r="C103" s="51" t="s">
        <v>1195</v>
      </c>
      <c r="D103" s="52" t="s">
        <v>1196</v>
      </c>
      <c r="E103" s="52" t="s">
        <v>1197</v>
      </c>
      <c r="F103" s="52" t="s">
        <v>1198</v>
      </c>
      <c r="G103" s="52" t="s">
        <v>1199</v>
      </c>
      <c r="H103" s="53" t="s">
        <v>1200</v>
      </c>
      <c r="I103" s="126"/>
      <c r="J103" s="126"/>
      <c r="K103" s="126"/>
    </row>
    <row r="104" spans="3:11" ht="20.399999999999999" customHeight="1">
      <c r="C104" s="290" t="s">
        <v>1201</v>
      </c>
      <c r="D104" s="182" t="s">
        <v>1202</v>
      </c>
      <c r="E104" s="70"/>
      <c r="F104" s="70"/>
      <c r="G104" s="70"/>
      <c r="H104" s="71"/>
    </row>
    <row r="105" spans="3:11" ht="20.399999999999999" customHeight="1">
      <c r="C105" s="281">
        <v>1</v>
      </c>
      <c r="D105" s="182" t="s">
        <v>5</v>
      </c>
      <c r="E105" s="176" t="s">
        <v>6</v>
      </c>
      <c r="F105" s="330">
        <v>1.6000000000000001E-3</v>
      </c>
      <c r="G105" s="283">
        <f>VLOOKUP(D105,upahbahan,3,FALSE)</f>
        <v>100000</v>
      </c>
      <c r="H105" s="284">
        <f>F105*G105</f>
        <v>160</v>
      </c>
    </row>
    <row r="106" spans="3:11" ht="20.399999999999999" customHeight="1">
      <c r="C106" s="281">
        <v>2</v>
      </c>
      <c r="D106" s="182" t="s">
        <v>9</v>
      </c>
      <c r="E106" s="176" t="s">
        <v>6</v>
      </c>
      <c r="F106" s="330">
        <v>1.6000000000000001E-3</v>
      </c>
      <c r="G106" s="283">
        <f>VLOOKUP(D106,upahbahan,3,FALSE)</f>
        <v>135000</v>
      </c>
      <c r="H106" s="284">
        <f>F106*G106</f>
        <v>216</v>
      </c>
    </row>
    <row r="107" spans="3:11" s="59" customFormat="1" ht="20.399999999999999" customHeight="1">
      <c r="C107" s="281">
        <v>3</v>
      </c>
      <c r="D107" s="182" t="s">
        <v>18</v>
      </c>
      <c r="E107" s="176" t="s">
        <v>6</v>
      </c>
      <c r="F107" s="330">
        <v>1.6000000000000001E-4</v>
      </c>
      <c r="G107" s="283">
        <f>VLOOKUP(D107,upahbahan,3,FALSE)</f>
        <v>150000</v>
      </c>
      <c r="H107" s="284">
        <f>F107*G107</f>
        <v>24.000000000000004</v>
      </c>
      <c r="I107" s="119"/>
      <c r="J107" s="119"/>
      <c r="K107" s="119"/>
    </row>
    <row r="108" spans="3:11" ht="20.399999999999999" customHeight="1">
      <c r="C108" s="281">
        <v>4</v>
      </c>
      <c r="D108" s="182" t="s">
        <v>19</v>
      </c>
      <c r="E108" s="176" t="s">
        <v>6</v>
      </c>
      <c r="F108" s="330">
        <v>1.6000000000000001E-4</v>
      </c>
      <c r="G108" s="283">
        <f>VLOOKUP(D108,upahbahan,3,FALSE)</f>
        <v>160000</v>
      </c>
      <c r="H108" s="284">
        <f>F108*G108</f>
        <v>25.6</v>
      </c>
    </row>
    <row r="109" spans="3:11" ht="20.399999999999999" customHeight="1">
      <c r="C109" s="66" t="s">
        <v>1208</v>
      </c>
      <c r="D109" s="67"/>
      <c r="E109" s="67"/>
      <c r="F109" s="68"/>
      <c r="G109" s="69"/>
      <c r="H109" s="284">
        <f>SUM(H105:H108)</f>
        <v>425.6</v>
      </c>
    </row>
    <row r="110" spans="3:11" ht="20.399999999999999" customHeight="1">
      <c r="C110" s="321" t="s">
        <v>1209</v>
      </c>
      <c r="D110" s="182" t="s">
        <v>1210</v>
      </c>
      <c r="E110" s="70"/>
      <c r="F110" s="70"/>
      <c r="G110" s="70"/>
      <c r="H110" s="71"/>
    </row>
    <row r="111" spans="3:11" ht="20.399999999999999" customHeight="1">
      <c r="C111" s="281">
        <v>1</v>
      </c>
      <c r="D111" s="182" t="s">
        <v>6478</v>
      </c>
      <c r="E111" s="176" t="s">
        <v>65</v>
      </c>
      <c r="F111" s="282">
        <v>1.02</v>
      </c>
      <c r="G111" s="283">
        <f>VLOOKUP(D111,upahbahan,3,FALSE)</f>
        <v>0</v>
      </c>
      <c r="H111" s="284">
        <f>F111*G111</f>
        <v>0</v>
      </c>
    </row>
    <row r="112" spans="3:11" ht="20.399999999999999" customHeight="1">
      <c r="C112" s="281">
        <v>2</v>
      </c>
      <c r="D112" s="182" t="s">
        <v>251</v>
      </c>
      <c r="E112" s="176" t="s">
        <v>65</v>
      </c>
      <c r="F112" s="309">
        <v>2.8000000000000001E-2</v>
      </c>
      <c r="G112" s="283">
        <f>VLOOKUP(D112,upahbahan,3,FALSE)</f>
        <v>27720</v>
      </c>
      <c r="H112" s="284">
        <f>F112*G112</f>
        <v>776.16</v>
      </c>
    </row>
    <row r="113" spans="3:11" ht="20.399999999999999" customHeight="1">
      <c r="C113" s="66" t="s">
        <v>1214</v>
      </c>
      <c r="D113" s="67"/>
      <c r="E113" s="67"/>
      <c r="F113" s="67"/>
      <c r="G113" s="69"/>
      <c r="H113" s="284">
        <f>SUM(H111:H112)</f>
        <v>776.16</v>
      </c>
    </row>
    <row r="114" spans="3:11" ht="20.399999999999999" customHeight="1">
      <c r="C114" s="321" t="s">
        <v>1215</v>
      </c>
      <c r="D114" s="182" t="s">
        <v>1216</v>
      </c>
      <c r="E114" s="70"/>
      <c r="F114" s="70"/>
      <c r="G114" s="70"/>
      <c r="H114" s="71"/>
    </row>
    <row r="115" spans="3:11" ht="20.399999999999999" customHeight="1">
      <c r="C115" s="66" t="s">
        <v>1217</v>
      </c>
      <c r="D115" s="67"/>
      <c r="E115" s="67"/>
      <c r="F115" s="67"/>
      <c r="G115" s="69"/>
      <c r="H115" s="292">
        <v>0</v>
      </c>
    </row>
    <row r="116" spans="3:11" s="297" customFormat="1" ht="20.399999999999999" customHeight="1">
      <c r="C116" s="293" t="s">
        <v>1218</v>
      </c>
      <c r="D116" s="294" t="s">
        <v>1219</v>
      </c>
      <c r="E116" s="295"/>
      <c r="F116" s="295"/>
      <c r="G116" s="296"/>
      <c r="H116" s="284">
        <f>H115+H113+H109</f>
        <v>1201.76</v>
      </c>
      <c r="I116" s="119"/>
      <c r="J116" s="119"/>
      <c r="K116" s="119"/>
    </row>
    <row r="117" spans="3:11" s="297" customFormat="1" ht="20.399999999999999" customHeight="1">
      <c r="C117" s="293" t="s">
        <v>1220</v>
      </c>
      <c r="D117" s="294" t="s">
        <v>1321</v>
      </c>
      <c r="E117" s="295"/>
      <c r="F117" s="296"/>
      <c r="G117" s="298">
        <f>$O$9</f>
        <v>0.1</v>
      </c>
      <c r="H117" s="284">
        <f>H116*G117</f>
        <v>120.176</v>
      </c>
      <c r="I117" s="119"/>
      <c r="J117" s="119"/>
      <c r="K117" s="119"/>
    </row>
    <row r="118" spans="3:11" s="297" customFormat="1" ht="20.399999999999999" customHeight="1" thickBot="1">
      <c r="C118" s="299" t="s">
        <v>1221</v>
      </c>
      <c r="D118" s="300" t="s">
        <v>1222</v>
      </c>
      <c r="E118" s="301"/>
      <c r="F118" s="301"/>
      <c r="G118" s="302"/>
      <c r="H118" s="303">
        <f>SUM(H116:H117)</f>
        <v>1321.9359999999999</v>
      </c>
      <c r="I118" s="119"/>
      <c r="J118" s="119"/>
      <c r="K118" s="119"/>
    </row>
    <row r="119" spans="3:11" ht="14.4" thickTop="1">
      <c r="C119" s="304"/>
      <c r="D119" s="304"/>
      <c r="E119" s="304"/>
      <c r="F119" s="304"/>
      <c r="G119" s="304"/>
      <c r="H119" s="305"/>
    </row>
    <row r="120" spans="3:11">
      <c r="C120" s="304"/>
      <c r="D120" s="304"/>
      <c r="E120" s="304"/>
      <c r="F120" s="304"/>
      <c r="G120" s="304"/>
      <c r="H120" s="305"/>
    </row>
    <row r="121" spans="3:11" ht="29.25" customHeight="1" thickBot="1">
      <c r="C121" s="119" t="s">
        <v>2229</v>
      </c>
      <c r="D121" s="47" t="s">
        <v>6488</v>
      </c>
      <c r="E121" s="88"/>
      <c r="F121" s="88"/>
      <c r="G121" s="88"/>
      <c r="H121" s="88"/>
      <c r="I121" s="120">
        <f>ROUNDDOWN(H139,-2)</f>
        <v>73900</v>
      </c>
      <c r="J121" s="120" t="s">
        <v>6456</v>
      </c>
      <c r="K121" s="120" t="s">
        <v>6474</v>
      </c>
    </row>
    <row r="122" spans="3:11" s="289" customFormat="1" ht="31.65" customHeight="1" thickTop="1">
      <c r="C122" s="51" t="s">
        <v>1195</v>
      </c>
      <c r="D122" s="52" t="s">
        <v>1196</v>
      </c>
      <c r="E122" s="52" t="s">
        <v>1197</v>
      </c>
      <c r="F122" s="52" t="s">
        <v>1198</v>
      </c>
      <c r="G122" s="52" t="s">
        <v>1199</v>
      </c>
      <c r="H122" s="53" t="s">
        <v>1200</v>
      </c>
      <c r="I122" s="126"/>
      <c r="J122" s="126"/>
      <c r="K122" s="126"/>
    </row>
    <row r="123" spans="3:11" ht="22.8" customHeight="1">
      <c r="C123" s="290" t="s">
        <v>1201</v>
      </c>
      <c r="D123" s="182" t="s">
        <v>1202</v>
      </c>
      <c r="E123" s="70"/>
      <c r="F123" s="70"/>
      <c r="G123" s="70"/>
      <c r="H123" s="71"/>
    </row>
    <row r="124" spans="3:11" ht="22.8" customHeight="1">
      <c r="C124" s="281">
        <v>1</v>
      </c>
      <c r="D124" s="182" t="s">
        <v>5</v>
      </c>
      <c r="E124" s="176" t="s">
        <v>6</v>
      </c>
      <c r="F124" s="330">
        <v>1.6000000000000001E-3</v>
      </c>
      <c r="G124" s="283">
        <f>VLOOKUP(D124,upahbahan,3,FALSE)</f>
        <v>100000</v>
      </c>
      <c r="H124" s="284">
        <f>F124*G124</f>
        <v>160</v>
      </c>
    </row>
    <row r="125" spans="3:11" ht="22.8" customHeight="1">
      <c r="C125" s="281">
        <v>2</v>
      </c>
      <c r="D125" s="182" t="str">
        <f>D88</f>
        <v>Tukang besi</v>
      </c>
      <c r="E125" s="176" t="s">
        <v>6</v>
      </c>
      <c r="F125" s="330">
        <v>1.6000000000000001E-3</v>
      </c>
      <c r="G125" s="283">
        <f>VLOOKUP(D125,upahbahan,3,FALSE)</f>
        <v>135000</v>
      </c>
      <c r="H125" s="284">
        <f>F125*G125</f>
        <v>216</v>
      </c>
    </row>
    <row r="126" spans="3:11" s="59" customFormat="1" ht="22.8" customHeight="1">
      <c r="C126" s="281">
        <v>3</v>
      </c>
      <c r="D126" s="182" t="s">
        <v>18</v>
      </c>
      <c r="E126" s="176" t="s">
        <v>6</v>
      </c>
      <c r="F126" s="330">
        <v>1.6000000000000001E-4</v>
      </c>
      <c r="G126" s="283">
        <f>VLOOKUP(D126,upahbahan,3,FALSE)</f>
        <v>150000</v>
      </c>
      <c r="H126" s="284">
        <f>F126*G126</f>
        <v>24.000000000000004</v>
      </c>
      <c r="I126" s="119"/>
      <c r="J126" s="119"/>
      <c r="K126" s="119"/>
    </row>
    <row r="127" spans="3:11" ht="22.8" customHeight="1">
      <c r="C127" s="281">
        <v>4</v>
      </c>
      <c r="D127" s="182" t="s">
        <v>19</v>
      </c>
      <c r="E127" s="176" t="s">
        <v>6</v>
      </c>
      <c r="F127" s="330">
        <v>1.6000000000000001E-4</v>
      </c>
      <c r="G127" s="283">
        <f>VLOOKUP(D127,upahbahan,3,FALSE)</f>
        <v>160000</v>
      </c>
      <c r="H127" s="284">
        <f>F127*G127</f>
        <v>25.6</v>
      </c>
    </row>
    <row r="128" spans="3:11" ht="22.8" customHeight="1">
      <c r="C128" s="66" t="s">
        <v>1208</v>
      </c>
      <c r="D128" s="67"/>
      <c r="E128" s="67"/>
      <c r="F128" s="68"/>
      <c r="G128" s="69"/>
      <c r="H128" s="284">
        <f>SUM(H124:H127)</f>
        <v>425.6</v>
      </c>
    </row>
    <row r="129" spans="3:11" ht="22.8" customHeight="1">
      <c r="C129" s="290" t="s">
        <v>1209</v>
      </c>
      <c r="D129" s="182" t="s">
        <v>1210</v>
      </c>
      <c r="E129" s="70"/>
      <c r="F129" s="70"/>
      <c r="G129" s="70"/>
      <c r="H129" s="71"/>
    </row>
    <row r="130" spans="3:11" ht="22.8" customHeight="1">
      <c r="C130" s="281">
        <v>1</v>
      </c>
      <c r="D130" s="182" t="s">
        <v>6475</v>
      </c>
      <c r="E130" s="176" t="s">
        <v>65</v>
      </c>
      <c r="F130" s="282">
        <v>1.02</v>
      </c>
      <c r="G130" s="283">
        <f>VLOOKUP(D130,upahbahan,3,FALSE)</f>
        <v>0</v>
      </c>
      <c r="H130" s="284">
        <f>F130*G130</f>
        <v>0</v>
      </c>
    </row>
    <row r="131" spans="3:11" ht="22.8" customHeight="1">
      <c r="C131" s="281">
        <v>2</v>
      </c>
      <c r="D131" s="182" t="s">
        <v>251</v>
      </c>
      <c r="E131" s="176" t="s">
        <v>65</v>
      </c>
      <c r="F131" s="309">
        <v>2.8000000000000001E-2</v>
      </c>
      <c r="G131" s="283">
        <f>VLOOKUP(D131,upahbahan,3,FALSE)</f>
        <v>27720</v>
      </c>
      <c r="H131" s="284">
        <f>F131*G131</f>
        <v>776.16</v>
      </c>
    </row>
    <row r="132" spans="3:11" ht="22.8" customHeight="1">
      <c r="C132" s="66" t="s">
        <v>1214</v>
      </c>
      <c r="D132" s="67"/>
      <c r="E132" s="67"/>
      <c r="F132" s="67"/>
      <c r="G132" s="69"/>
      <c r="H132" s="284">
        <f>SUM(H130:H131)</f>
        <v>776.16</v>
      </c>
    </row>
    <row r="133" spans="3:11" ht="22.8" customHeight="1">
      <c r="C133" s="290" t="s">
        <v>1215</v>
      </c>
      <c r="D133" s="182" t="s">
        <v>1216</v>
      </c>
      <c r="E133" s="70"/>
      <c r="F133" s="70"/>
      <c r="G133" s="70"/>
      <c r="H133" s="71"/>
    </row>
    <row r="134" spans="3:11" ht="22.8" customHeight="1">
      <c r="C134" s="306" t="s">
        <v>1203</v>
      </c>
      <c r="D134" s="182" t="s">
        <v>1098</v>
      </c>
      <c r="E134" s="124" t="s">
        <v>1080</v>
      </c>
      <c r="F134" s="127">
        <v>0.04</v>
      </c>
      <c r="G134" s="283">
        <f>VLOOKUP(D134,upahbahan,3,FALSE)</f>
        <v>800000</v>
      </c>
      <c r="H134" s="284">
        <f>F134*G134</f>
        <v>32000</v>
      </c>
    </row>
    <row r="135" spans="3:11" ht="22.8" customHeight="1">
      <c r="C135" s="306" t="s">
        <v>1204</v>
      </c>
      <c r="D135" s="182" t="s">
        <v>1079</v>
      </c>
      <c r="E135" s="124" t="s">
        <v>1080</v>
      </c>
      <c r="F135" s="127">
        <v>0.04</v>
      </c>
      <c r="G135" s="283">
        <f>VLOOKUP(D135,upahbahan,3,FALSE)</f>
        <v>850000</v>
      </c>
      <c r="H135" s="284">
        <f>F135*G135</f>
        <v>34000</v>
      </c>
    </row>
    <row r="136" spans="3:11" ht="22.8" customHeight="1">
      <c r="C136" s="66" t="s">
        <v>1217</v>
      </c>
      <c r="D136" s="67"/>
      <c r="E136" s="67"/>
      <c r="F136" s="67"/>
      <c r="G136" s="69"/>
      <c r="H136" s="284">
        <f>SUM(H134:H135)</f>
        <v>66000</v>
      </c>
    </row>
    <row r="137" spans="3:11" s="297" customFormat="1" ht="22.8" customHeight="1">
      <c r="C137" s="293" t="s">
        <v>1218</v>
      </c>
      <c r="D137" s="294" t="s">
        <v>1219</v>
      </c>
      <c r="E137" s="295"/>
      <c r="F137" s="295"/>
      <c r="G137" s="296"/>
      <c r="H137" s="284">
        <f>H136+H132+H128</f>
        <v>67201.760000000009</v>
      </c>
      <c r="I137" s="119"/>
      <c r="J137" s="119"/>
      <c r="K137" s="119"/>
    </row>
    <row r="138" spans="3:11" s="297" customFormat="1" ht="22.8" customHeight="1">
      <c r="C138" s="293" t="s">
        <v>1220</v>
      </c>
      <c r="D138" s="294" t="s">
        <v>1321</v>
      </c>
      <c r="E138" s="295"/>
      <c r="F138" s="296"/>
      <c r="G138" s="298">
        <f>$O$9</f>
        <v>0.1</v>
      </c>
      <c r="H138" s="284">
        <f>H137*G138</f>
        <v>6720.1760000000013</v>
      </c>
      <c r="I138" s="119"/>
      <c r="J138" s="119"/>
      <c r="K138" s="119"/>
    </row>
    <row r="139" spans="3:11" s="297" customFormat="1" ht="22.8" customHeight="1" thickBot="1">
      <c r="C139" s="299" t="s">
        <v>1221</v>
      </c>
      <c r="D139" s="300" t="s">
        <v>1222</v>
      </c>
      <c r="E139" s="301"/>
      <c r="F139" s="301"/>
      <c r="G139" s="302"/>
      <c r="H139" s="303">
        <f>SUM(H137:H138)</f>
        <v>73921.936000000016</v>
      </c>
      <c r="I139" s="119"/>
      <c r="J139" s="119"/>
      <c r="K139" s="119"/>
    </row>
    <row r="140" spans="3:11" ht="14.4" thickTop="1">
      <c r="C140" s="307"/>
      <c r="D140" s="304"/>
      <c r="E140" s="304"/>
      <c r="F140" s="304"/>
      <c r="G140" s="304"/>
      <c r="H140" s="308"/>
    </row>
    <row r="141" spans="3:11" ht="29.25" customHeight="1" thickBot="1">
      <c r="C141" s="119" t="s">
        <v>6489</v>
      </c>
      <c r="D141" s="47" t="s">
        <v>6490</v>
      </c>
      <c r="E141" s="88"/>
      <c r="F141" s="88"/>
      <c r="G141" s="88"/>
      <c r="H141" s="88"/>
      <c r="I141" s="120">
        <f>ROUNDDOWN(H159,-2)</f>
        <v>73900</v>
      </c>
      <c r="J141" s="120" t="s">
        <v>6456</v>
      </c>
      <c r="K141" s="120" t="s">
        <v>6491</v>
      </c>
    </row>
    <row r="142" spans="3:11" s="289" customFormat="1" ht="31.65" customHeight="1" thickTop="1">
      <c r="C142" s="51" t="s">
        <v>1195</v>
      </c>
      <c r="D142" s="52" t="s">
        <v>1196</v>
      </c>
      <c r="E142" s="52" t="s">
        <v>1197</v>
      </c>
      <c r="F142" s="52" t="s">
        <v>1198</v>
      </c>
      <c r="G142" s="52" t="s">
        <v>1199</v>
      </c>
      <c r="H142" s="53" t="s">
        <v>1200</v>
      </c>
      <c r="I142" s="126"/>
      <c r="J142" s="126"/>
      <c r="K142" s="126"/>
    </row>
    <row r="143" spans="3:11" ht="21" customHeight="1">
      <c r="C143" s="290" t="s">
        <v>1201</v>
      </c>
      <c r="D143" s="182" t="s">
        <v>1202</v>
      </c>
      <c r="E143" s="70"/>
      <c r="F143" s="70"/>
      <c r="G143" s="70"/>
      <c r="H143" s="71"/>
    </row>
    <row r="144" spans="3:11" ht="21" customHeight="1">
      <c r="C144" s="281">
        <v>1</v>
      </c>
      <c r="D144" s="182" t="s">
        <v>5</v>
      </c>
      <c r="E144" s="176" t="s">
        <v>6</v>
      </c>
      <c r="F144" s="330">
        <v>1.6000000000000001E-3</v>
      </c>
      <c r="G144" s="283">
        <f>VLOOKUP(D144,upahbahan,3,FALSE)</f>
        <v>100000</v>
      </c>
      <c r="H144" s="284">
        <f>F144*G144</f>
        <v>160</v>
      </c>
    </row>
    <row r="145" spans="3:11" ht="21" customHeight="1">
      <c r="C145" s="281">
        <v>2</v>
      </c>
      <c r="D145" s="182" t="str">
        <f>D108</f>
        <v>Mandor</v>
      </c>
      <c r="E145" s="176" t="s">
        <v>6</v>
      </c>
      <c r="F145" s="330">
        <v>1.6000000000000001E-3</v>
      </c>
      <c r="G145" s="283">
        <f>VLOOKUP(D145,upahbahan,3,FALSE)</f>
        <v>160000</v>
      </c>
      <c r="H145" s="284">
        <f>F145*G145</f>
        <v>256</v>
      </c>
    </row>
    <row r="146" spans="3:11" s="59" customFormat="1" ht="21" customHeight="1">
      <c r="C146" s="281">
        <v>3</v>
      </c>
      <c r="D146" s="182" t="s">
        <v>18</v>
      </c>
      <c r="E146" s="176" t="s">
        <v>6</v>
      </c>
      <c r="F146" s="330">
        <v>1.6000000000000001E-4</v>
      </c>
      <c r="G146" s="283">
        <f>VLOOKUP(D146,upahbahan,3,FALSE)</f>
        <v>150000</v>
      </c>
      <c r="H146" s="284">
        <f>F146*G146</f>
        <v>24.000000000000004</v>
      </c>
      <c r="I146" s="119"/>
      <c r="J146" s="119"/>
      <c r="K146" s="119"/>
    </row>
    <row r="147" spans="3:11" ht="21" customHeight="1">
      <c r="C147" s="281">
        <v>4</v>
      </c>
      <c r="D147" s="182" t="s">
        <v>19</v>
      </c>
      <c r="E147" s="176" t="s">
        <v>6</v>
      </c>
      <c r="F147" s="330">
        <v>1.6000000000000001E-4</v>
      </c>
      <c r="G147" s="283">
        <f>VLOOKUP(D147,upahbahan,3,FALSE)</f>
        <v>160000</v>
      </c>
      <c r="H147" s="284">
        <f>F147*G147</f>
        <v>25.6</v>
      </c>
    </row>
    <row r="148" spans="3:11" ht="21" customHeight="1">
      <c r="C148" s="66" t="s">
        <v>1208</v>
      </c>
      <c r="D148" s="67"/>
      <c r="E148" s="67"/>
      <c r="F148" s="68"/>
      <c r="G148" s="69"/>
      <c r="H148" s="284">
        <f>SUM(H144:H147)</f>
        <v>465.6</v>
      </c>
    </row>
    <row r="149" spans="3:11" ht="21" customHeight="1">
      <c r="C149" s="290" t="s">
        <v>1209</v>
      </c>
      <c r="D149" s="182" t="s">
        <v>1210</v>
      </c>
      <c r="E149" s="70"/>
      <c r="F149" s="70"/>
      <c r="G149" s="70"/>
      <c r="H149" s="71"/>
    </row>
    <row r="150" spans="3:11" ht="21" customHeight="1">
      <c r="C150" s="281">
        <v>1</v>
      </c>
      <c r="D150" s="182" t="s">
        <v>6477</v>
      </c>
      <c r="E150" s="176" t="s">
        <v>65</v>
      </c>
      <c r="F150" s="282">
        <v>1.02</v>
      </c>
      <c r="G150" s="283">
        <f>VLOOKUP(D150,upahbahan,3,FALSE)</f>
        <v>0</v>
      </c>
      <c r="H150" s="284">
        <f>F150*G150</f>
        <v>0</v>
      </c>
    </row>
    <row r="151" spans="3:11" ht="21" customHeight="1">
      <c r="C151" s="281">
        <v>2</v>
      </c>
      <c r="D151" s="182" t="s">
        <v>251</v>
      </c>
      <c r="E151" s="176" t="s">
        <v>65</v>
      </c>
      <c r="F151" s="309">
        <v>2.8000000000000001E-2</v>
      </c>
      <c r="G151" s="283">
        <f>VLOOKUP(D151,upahbahan,3,FALSE)</f>
        <v>27720</v>
      </c>
      <c r="H151" s="284">
        <f>F151*G151</f>
        <v>776.16</v>
      </c>
    </row>
    <row r="152" spans="3:11" ht="21" customHeight="1">
      <c r="C152" s="66" t="s">
        <v>1214</v>
      </c>
      <c r="D152" s="67"/>
      <c r="E152" s="67"/>
      <c r="F152" s="67"/>
      <c r="G152" s="69"/>
      <c r="H152" s="284">
        <f>SUM(H150:H151)</f>
        <v>776.16</v>
      </c>
    </row>
    <row r="153" spans="3:11" ht="21" customHeight="1">
      <c r="C153" s="290" t="s">
        <v>1215</v>
      </c>
      <c r="D153" s="182" t="s">
        <v>1216</v>
      </c>
      <c r="E153" s="70"/>
      <c r="F153" s="70"/>
      <c r="G153" s="70"/>
      <c r="H153" s="71"/>
    </row>
    <row r="154" spans="3:11" ht="21" customHeight="1">
      <c r="C154" s="306" t="s">
        <v>1203</v>
      </c>
      <c r="D154" s="182" t="s">
        <v>1098</v>
      </c>
      <c r="E154" s="124" t="s">
        <v>1080</v>
      </c>
      <c r="F154" s="127">
        <v>0.04</v>
      </c>
      <c r="G154" s="283">
        <f>VLOOKUP(D154,upahbahan,3,FALSE)</f>
        <v>800000</v>
      </c>
      <c r="H154" s="284">
        <f>F154*G154</f>
        <v>32000</v>
      </c>
    </row>
    <row r="155" spans="3:11" ht="21" customHeight="1">
      <c r="C155" s="306" t="s">
        <v>1204</v>
      </c>
      <c r="D155" s="182" t="s">
        <v>1079</v>
      </c>
      <c r="E155" s="124" t="s">
        <v>1080</v>
      </c>
      <c r="F155" s="127">
        <v>0.04</v>
      </c>
      <c r="G155" s="283">
        <f>VLOOKUP(D155,upahbahan,3,FALSE)</f>
        <v>850000</v>
      </c>
      <c r="H155" s="284">
        <f>F155*G155</f>
        <v>34000</v>
      </c>
    </row>
    <row r="156" spans="3:11" ht="21" customHeight="1">
      <c r="C156" s="66" t="s">
        <v>1217</v>
      </c>
      <c r="D156" s="67"/>
      <c r="E156" s="67"/>
      <c r="F156" s="67"/>
      <c r="G156" s="69"/>
      <c r="H156" s="284">
        <f>SUM(H154:H155)</f>
        <v>66000</v>
      </c>
    </row>
    <row r="157" spans="3:11" s="297" customFormat="1" ht="21" customHeight="1">
      <c r="C157" s="293" t="s">
        <v>1218</v>
      </c>
      <c r="D157" s="294" t="s">
        <v>1219</v>
      </c>
      <c r="E157" s="295"/>
      <c r="F157" s="295"/>
      <c r="G157" s="296"/>
      <c r="H157" s="284">
        <f>H156+H152+H148</f>
        <v>67241.760000000009</v>
      </c>
      <c r="I157" s="119"/>
      <c r="J157" s="119"/>
      <c r="K157" s="119"/>
    </row>
    <row r="158" spans="3:11" s="297" customFormat="1" ht="21" customHeight="1">
      <c r="C158" s="293" t="s">
        <v>1220</v>
      </c>
      <c r="D158" s="294" t="s">
        <v>1321</v>
      </c>
      <c r="E158" s="295"/>
      <c r="F158" s="296"/>
      <c r="G158" s="298">
        <f>$O$9</f>
        <v>0.1</v>
      </c>
      <c r="H158" s="284">
        <f>H157*G158</f>
        <v>6724.1760000000013</v>
      </c>
      <c r="I158" s="119"/>
      <c r="J158" s="119"/>
      <c r="K158" s="119"/>
    </row>
    <row r="159" spans="3:11" s="297" customFormat="1" ht="21" customHeight="1" thickBot="1">
      <c r="C159" s="299" t="s">
        <v>1221</v>
      </c>
      <c r="D159" s="300" t="s">
        <v>1222</v>
      </c>
      <c r="E159" s="301"/>
      <c r="F159" s="301"/>
      <c r="G159" s="302"/>
      <c r="H159" s="303">
        <f>SUM(H157:H158)</f>
        <v>73965.936000000016</v>
      </c>
      <c r="I159" s="119"/>
      <c r="J159" s="119"/>
      <c r="K159" s="119"/>
    </row>
    <row r="160" spans="3:11" s="297" customFormat="1" ht="14.4" thickTop="1">
      <c r="C160" s="289"/>
      <c r="H160" s="139"/>
      <c r="I160" s="119"/>
      <c r="J160" s="119"/>
      <c r="K160" s="119"/>
    </row>
    <row r="161" spans="3:11" ht="21.75" customHeight="1" thickBot="1">
      <c r="C161" s="119" t="s">
        <v>2230</v>
      </c>
      <c r="D161" s="47" t="s">
        <v>2231</v>
      </c>
      <c r="E161" s="88"/>
      <c r="F161" s="88"/>
      <c r="G161" s="88"/>
      <c r="H161" s="88"/>
      <c r="I161" s="120">
        <f>ROUNDDOWN(H177,-2)</f>
        <v>13800</v>
      </c>
      <c r="J161" s="120"/>
      <c r="K161" s="120"/>
    </row>
    <row r="162" spans="3:11" s="289" customFormat="1" ht="31.65" customHeight="1" thickTop="1">
      <c r="C162" s="51" t="s">
        <v>1195</v>
      </c>
      <c r="D162" s="52" t="s">
        <v>1196</v>
      </c>
      <c r="E162" s="52" t="s">
        <v>1197</v>
      </c>
      <c r="F162" s="52" t="s">
        <v>1198</v>
      </c>
      <c r="G162" s="52" t="s">
        <v>1199</v>
      </c>
      <c r="H162" s="53" t="s">
        <v>1200</v>
      </c>
      <c r="I162" s="126"/>
      <c r="J162" s="126"/>
      <c r="K162" s="126"/>
    </row>
    <row r="163" spans="3:11" ht="21.6" customHeight="1">
      <c r="C163" s="290" t="s">
        <v>1201</v>
      </c>
      <c r="D163" s="182" t="s">
        <v>1202</v>
      </c>
      <c r="E163" s="70"/>
      <c r="F163" s="70"/>
      <c r="G163" s="70"/>
      <c r="H163" s="71"/>
    </row>
    <row r="164" spans="3:11" ht="21.6" customHeight="1">
      <c r="C164" s="281">
        <v>1</v>
      </c>
      <c r="D164" s="182" t="s">
        <v>5</v>
      </c>
      <c r="E164" s="176" t="s">
        <v>6</v>
      </c>
      <c r="F164" s="330">
        <v>2.5000000000000001E-3</v>
      </c>
      <c r="G164" s="283">
        <f>VLOOKUP(D164,upahbahan,3,FALSE)</f>
        <v>100000</v>
      </c>
      <c r="H164" s="284">
        <f>F164*G164</f>
        <v>250</v>
      </c>
    </row>
    <row r="165" spans="3:11" ht="21.6" customHeight="1">
      <c r="C165" s="281">
        <v>2</v>
      </c>
      <c r="D165" s="182" t="str">
        <f>D125</f>
        <v>Tukang besi</v>
      </c>
      <c r="E165" s="176" t="s">
        <v>6</v>
      </c>
      <c r="F165" s="330">
        <v>2.5000000000000001E-3</v>
      </c>
      <c r="G165" s="283">
        <f>VLOOKUP(D165,upahbahan,3,FALSE)</f>
        <v>135000</v>
      </c>
      <c r="H165" s="284">
        <f>F165*G165</f>
        <v>337.5</v>
      </c>
    </row>
    <row r="166" spans="3:11" s="59" customFormat="1" ht="21.6" customHeight="1">
      <c r="C166" s="281">
        <v>3</v>
      </c>
      <c r="D166" s="182" t="s">
        <v>18</v>
      </c>
      <c r="E166" s="176" t="s">
        <v>6</v>
      </c>
      <c r="F166" s="330">
        <v>2.5000000000000001E-4</v>
      </c>
      <c r="G166" s="283">
        <f>VLOOKUP(D166,upahbahan,3,FALSE)</f>
        <v>150000</v>
      </c>
      <c r="H166" s="284">
        <f>F166*G166</f>
        <v>37.5</v>
      </c>
      <c r="I166" s="119"/>
      <c r="J166" s="119"/>
      <c r="K166" s="119"/>
    </row>
    <row r="167" spans="3:11" ht="21.6" customHeight="1">
      <c r="C167" s="281">
        <v>4</v>
      </c>
      <c r="D167" s="182" t="s">
        <v>19</v>
      </c>
      <c r="E167" s="176" t="s">
        <v>6</v>
      </c>
      <c r="F167" s="330">
        <v>2.5000000000000001E-4</v>
      </c>
      <c r="G167" s="283">
        <f>VLOOKUP(D167,upahbahan,3,FALSE)</f>
        <v>160000</v>
      </c>
      <c r="H167" s="284">
        <f>F167*G167</f>
        <v>40</v>
      </c>
    </row>
    <row r="168" spans="3:11" ht="21.6" customHeight="1">
      <c r="C168" s="66" t="s">
        <v>1208</v>
      </c>
      <c r="D168" s="67"/>
      <c r="E168" s="67"/>
      <c r="F168" s="68"/>
      <c r="G168" s="69"/>
      <c r="H168" s="284">
        <f>SUM(H164:H167)</f>
        <v>665</v>
      </c>
    </row>
    <row r="169" spans="3:11" ht="21.6" customHeight="1">
      <c r="C169" s="290" t="s">
        <v>1209</v>
      </c>
      <c r="D169" s="182" t="s">
        <v>1210</v>
      </c>
      <c r="E169" s="70"/>
      <c r="F169" s="70"/>
      <c r="G169" s="70"/>
      <c r="H169" s="71"/>
    </row>
    <row r="170" spans="3:11" ht="21.6" customHeight="1">
      <c r="C170" s="281">
        <v>1</v>
      </c>
      <c r="D170" s="182" t="s">
        <v>283</v>
      </c>
      <c r="E170" s="176" t="s">
        <v>65</v>
      </c>
      <c r="F170" s="282">
        <v>1.02</v>
      </c>
      <c r="G170" s="283">
        <f>VLOOKUP(D170,upahbahan,3,FALSE)</f>
        <v>11522</v>
      </c>
      <c r="H170" s="284">
        <f>F170*G170</f>
        <v>11752.44</v>
      </c>
    </row>
    <row r="171" spans="3:11" ht="21.6" customHeight="1">
      <c r="C171" s="281">
        <v>2</v>
      </c>
      <c r="D171" s="182" t="s">
        <v>251</v>
      </c>
      <c r="E171" s="176" t="s">
        <v>65</v>
      </c>
      <c r="F171" s="282">
        <v>5.0000000000000001E-3</v>
      </c>
      <c r="G171" s="283">
        <f>VLOOKUP(D171,upahbahan,3,FALSE)</f>
        <v>27720</v>
      </c>
      <c r="H171" s="284">
        <f>F171*G171</f>
        <v>138.6</v>
      </c>
    </row>
    <row r="172" spans="3:11" ht="21.6" customHeight="1">
      <c r="C172" s="66" t="s">
        <v>1214</v>
      </c>
      <c r="D172" s="67"/>
      <c r="E172" s="67"/>
      <c r="F172" s="67"/>
      <c r="G172" s="69"/>
      <c r="H172" s="284">
        <f>SUM(H170:H171)</f>
        <v>11891.04</v>
      </c>
    </row>
    <row r="173" spans="3:11" ht="21.6" customHeight="1">
      <c r="C173" s="290" t="s">
        <v>1215</v>
      </c>
      <c r="D173" s="182" t="s">
        <v>1216</v>
      </c>
      <c r="E173" s="70"/>
      <c r="F173" s="70"/>
      <c r="G173" s="70"/>
      <c r="H173" s="71"/>
    </row>
    <row r="174" spans="3:11" ht="21.6" customHeight="1">
      <c r="C174" s="66" t="s">
        <v>1217</v>
      </c>
      <c r="D174" s="67"/>
      <c r="E174" s="67"/>
      <c r="F174" s="67"/>
      <c r="G174" s="69"/>
      <c r="H174" s="292">
        <v>0</v>
      </c>
    </row>
    <row r="175" spans="3:11" s="297" customFormat="1" ht="21.6" customHeight="1">
      <c r="C175" s="293" t="s">
        <v>1218</v>
      </c>
      <c r="D175" s="294" t="s">
        <v>1219</v>
      </c>
      <c r="E175" s="295"/>
      <c r="F175" s="295"/>
      <c r="G175" s="296"/>
      <c r="H175" s="284">
        <f>H174+H172+H168</f>
        <v>12556.04</v>
      </c>
      <c r="I175" s="119"/>
      <c r="J175" s="119"/>
      <c r="K175" s="119"/>
    </row>
    <row r="176" spans="3:11" s="297" customFormat="1" ht="21.6" customHeight="1">
      <c r="C176" s="293" t="s">
        <v>1220</v>
      </c>
      <c r="D176" s="294" t="s">
        <v>1321</v>
      </c>
      <c r="E176" s="295"/>
      <c r="F176" s="296"/>
      <c r="G176" s="298">
        <f>$O$9</f>
        <v>0.1</v>
      </c>
      <c r="H176" s="284">
        <f>H175*G176</f>
        <v>1255.6040000000003</v>
      </c>
      <c r="I176" s="119"/>
      <c r="J176" s="119"/>
      <c r="K176" s="119"/>
    </row>
    <row r="177" spans="3:11" s="297" customFormat="1" ht="21.6" customHeight="1" thickBot="1">
      <c r="C177" s="299" t="s">
        <v>1221</v>
      </c>
      <c r="D177" s="300" t="s">
        <v>1222</v>
      </c>
      <c r="E177" s="301"/>
      <c r="F177" s="301"/>
      <c r="G177" s="302"/>
      <c r="H177" s="303">
        <f>SUM(H175:H176)</f>
        <v>13811.644</v>
      </c>
      <c r="I177" s="119"/>
      <c r="J177" s="119"/>
      <c r="K177" s="119"/>
    </row>
    <row r="178" spans="3:11" s="297" customFormat="1" ht="14.4" thickTop="1">
      <c r="C178" s="289"/>
      <c r="H178" s="139"/>
      <c r="I178" s="119"/>
      <c r="J178" s="119"/>
      <c r="K178" s="119"/>
    </row>
    <row r="179" spans="3:11" ht="29.25" customHeight="1" thickBot="1">
      <c r="C179" s="119" t="s">
        <v>2232</v>
      </c>
      <c r="D179" s="47" t="s">
        <v>2233</v>
      </c>
      <c r="E179" s="88"/>
      <c r="F179" s="88"/>
      <c r="G179" s="88"/>
      <c r="H179" s="88"/>
      <c r="I179" s="120">
        <f>ROUNDDOWN(H196,-2)</f>
        <v>13200</v>
      </c>
      <c r="J179" s="120"/>
      <c r="K179" s="120"/>
    </row>
    <row r="180" spans="3:11" s="289" customFormat="1" ht="31.65" customHeight="1" thickTop="1">
      <c r="C180" s="51" t="s">
        <v>1195</v>
      </c>
      <c r="D180" s="52" t="s">
        <v>1196</v>
      </c>
      <c r="E180" s="52" t="s">
        <v>1197</v>
      </c>
      <c r="F180" s="52" t="s">
        <v>1198</v>
      </c>
      <c r="G180" s="52" t="s">
        <v>1199</v>
      </c>
      <c r="H180" s="53" t="s">
        <v>1200</v>
      </c>
      <c r="I180" s="126"/>
      <c r="J180" s="126"/>
      <c r="K180" s="126"/>
    </row>
    <row r="181" spans="3:11" ht="21.6" customHeight="1">
      <c r="C181" s="290" t="s">
        <v>1201</v>
      </c>
      <c r="D181" s="182" t="s">
        <v>1202</v>
      </c>
      <c r="E181" s="70"/>
      <c r="F181" s="70"/>
      <c r="G181" s="70"/>
      <c r="H181" s="71"/>
    </row>
    <row r="182" spans="3:11" ht="21.6" customHeight="1">
      <c r="C182" s="281">
        <v>1</v>
      </c>
      <c r="D182" s="182" t="s">
        <v>5</v>
      </c>
      <c r="E182" s="176" t="s">
        <v>6</v>
      </c>
      <c r="F182" s="330">
        <v>4.0000000000000002E-4</v>
      </c>
      <c r="G182" s="283">
        <f>VLOOKUP(D182,upahbahan,3,FALSE)</f>
        <v>100000</v>
      </c>
      <c r="H182" s="284">
        <f>F182*G182</f>
        <v>40</v>
      </c>
    </row>
    <row r="183" spans="3:11" ht="21.6" customHeight="1">
      <c r="C183" s="281">
        <v>2</v>
      </c>
      <c r="D183" s="182" t="str">
        <f>D165</f>
        <v>Tukang besi</v>
      </c>
      <c r="E183" s="176" t="s">
        <v>6</v>
      </c>
      <c r="F183" s="330">
        <v>4.0000000000000002E-4</v>
      </c>
      <c r="G183" s="283">
        <f>VLOOKUP(D183,upahbahan,3,FALSE)</f>
        <v>135000</v>
      </c>
      <c r="H183" s="284">
        <f>F183*G183</f>
        <v>54</v>
      </c>
    </row>
    <row r="184" spans="3:11" s="59" customFormat="1" ht="21.6" customHeight="1">
      <c r="C184" s="281">
        <v>3</v>
      </c>
      <c r="D184" s="182" t="s">
        <v>18</v>
      </c>
      <c r="E184" s="176" t="s">
        <v>6</v>
      </c>
      <c r="F184" s="330">
        <v>2.0000000000000002E-5</v>
      </c>
      <c r="G184" s="283">
        <f>VLOOKUP(D184,upahbahan,3,FALSE)</f>
        <v>150000</v>
      </c>
      <c r="H184" s="284">
        <f>F184*G184</f>
        <v>3.0000000000000004</v>
      </c>
      <c r="I184" s="119"/>
      <c r="J184" s="119"/>
      <c r="K184" s="119"/>
    </row>
    <row r="185" spans="3:11" ht="21.6" customHeight="1">
      <c r="C185" s="281">
        <v>4</v>
      </c>
      <c r="D185" s="182" t="s">
        <v>19</v>
      </c>
      <c r="E185" s="176" t="s">
        <v>6</v>
      </c>
      <c r="F185" s="330">
        <v>4.0000000000000003E-5</v>
      </c>
      <c r="G185" s="283">
        <f>VLOOKUP(D185,upahbahan,3,FALSE)</f>
        <v>160000</v>
      </c>
      <c r="H185" s="284">
        <f>F185*G185</f>
        <v>6.4</v>
      </c>
    </row>
    <row r="186" spans="3:11" ht="21.6" customHeight="1">
      <c r="C186" s="66" t="s">
        <v>1208</v>
      </c>
      <c r="D186" s="67"/>
      <c r="E186" s="67"/>
      <c r="F186" s="68"/>
      <c r="G186" s="69"/>
      <c r="H186" s="284">
        <f>SUM(H182:H185)</f>
        <v>103.4</v>
      </c>
    </row>
    <row r="187" spans="3:11" ht="21.6" customHeight="1">
      <c r="C187" s="290" t="s">
        <v>1209</v>
      </c>
      <c r="D187" s="182" t="s">
        <v>1210</v>
      </c>
      <c r="E187" s="70"/>
      <c r="F187" s="70"/>
      <c r="G187" s="70"/>
      <c r="H187" s="71"/>
    </row>
    <row r="188" spans="3:11" ht="21.6" customHeight="1">
      <c r="C188" s="281">
        <v>1</v>
      </c>
      <c r="D188" s="182" t="s">
        <v>283</v>
      </c>
      <c r="E188" s="176" t="s">
        <v>65</v>
      </c>
      <c r="F188" s="282">
        <v>1.02</v>
      </c>
      <c r="G188" s="283">
        <f>VLOOKUP(D188,upahbahan,3,FALSE)</f>
        <v>11522</v>
      </c>
      <c r="H188" s="284">
        <f>F188*G188</f>
        <v>11752.44</v>
      </c>
    </row>
    <row r="189" spans="3:11" ht="21.6" customHeight="1">
      <c r="C189" s="281">
        <v>2</v>
      </c>
      <c r="D189" s="182" t="s">
        <v>251</v>
      </c>
      <c r="E189" s="176" t="s">
        <v>65</v>
      </c>
      <c r="F189" s="282">
        <v>5.0000000000000001E-3</v>
      </c>
      <c r="G189" s="283">
        <f>VLOOKUP(D189,upahbahan,3,FALSE)</f>
        <v>27720</v>
      </c>
      <c r="H189" s="284">
        <f>F189*G189</f>
        <v>138.6</v>
      </c>
    </row>
    <row r="190" spans="3:11" ht="21.6" customHeight="1">
      <c r="C190" s="66" t="s">
        <v>1214</v>
      </c>
      <c r="D190" s="67"/>
      <c r="E190" s="67"/>
      <c r="F190" s="67"/>
      <c r="G190" s="69"/>
      <c r="H190" s="284">
        <f>SUM(H188:H189)</f>
        <v>11891.04</v>
      </c>
    </row>
    <row r="191" spans="3:11" ht="21.6" customHeight="1">
      <c r="C191" s="290" t="s">
        <v>1215</v>
      </c>
      <c r="D191" s="182" t="s">
        <v>1216</v>
      </c>
      <c r="E191" s="70"/>
      <c r="F191" s="70"/>
      <c r="G191" s="70"/>
      <c r="H191" s="71"/>
    </row>
    <row r="192" spans="3:11" ht="21.6" customHeight="1">
      <c r="C192" s="306" t="s">
        <v>1203</v>
      </c>
      <c r="D192" s="182" t="s">
        <v>1098</v>
      </c>
      <c r="E192" s="124" t="s">
        <v>1080</v>
      </c>
      <c r="F192" s="118">
        <v>1E-4</v>
      </c>
      <c r="G192" s="283">
        <f>VLOOKUP(D192,upahbahan,3,FALSE)</f>
        <v>800000</v>
      </c>
      <c r="H192" s="284">
        <f>F192*G192</f>
        <v>80</v>
      </c>
    </row>
    <row r="193" spans="3:11" ht="21.6" customHeight="1">
      <c r="C193" s="66" t="s">
        <v>1217</v>
      </c>
      <c r="D193" s="67"/>
      <c r="E193" s="67"/>
      <c r="F193" s="67"/>
      <c r="G193" s="69"/>
      <c r="H193" s="284">
        <f>SUM(H192)</f>
        <v>80</v>
      </c>
    </row>
    <row r="194" spans="3:11" s="297" customFormat="1" ht="21.6" customHeight="1">
      <c r="C194" s="293" t="s">
        <v>1218</v>
      </c>
      <c r="D194" s="294" t="s">
        <v>1219</v>
      </c>
      <c r="E194" s="295"/>
      <c r="F194" s="295"/>
      <c r="G194" s="296"/>
      <c r="H194" s="284">
        <f>H193+H190+H186</f>
        <v>12074.44</v>
      </c>
      <c r="I194" s="119"/>
      <c r="J194" s="119"/>
      <c r="K194" s="119"/>
    </row>
    <row r="195" spans="3:11" s="297" customFormat="1" ht="21.6" customHeight="1">
      <c r="C195" s="293" t="s">
        <v>1220</v>
      </c>
      <c r="D195" s="294" t="s">
        <v>1321</v>
      </c>
      <c r="E195" s="295"/>
      <c r="F195" s="296"/>
      <c r="G195" s="298">
        <f>$O$9</f>
        <v>0.1</v>
      </c>
      <c r="H195" s="284">
        <f>H194*G195</f>
        <v>1207.4440000000002</v>
      </c>
      <c r="I195" s="119"/>
      <c r="J195" s="119"/>
      <c r="K195" s="119"/>
    </row>
    <row r="196" spans="3:11" s="297" customFormat="1" ht="21.6" customHeight="1" thickBot="1">
      <c r="C196" s="299" t="s">
        <v>1221</v>
      </c>
      <c r="D196" s="300" t="s">
        <v>1222</v>
      </c>
      <c r="E196" s="301"/>
      <c r="F196" s="301"/>
      <c r="G196" s="302"/>
      <c r="H196" s="303">
        <f>SUM(H194:H195)</f>
        <v>13281.884</v>
      </c>
      <c r="I196" s="119"/>
      <c r="J196" s="119"/>
      <c r="K196" s="119"/>
    </row>
    <row r="197" spans="3:11" s="297" customFormat="1" ht="14.4" thickTop="1">
      <c r="C197" s="289"/>
      <c r="H197" s="139"/>
      <c r="I197" s="119"/>
      <c r="J197" s="119"/>
      <c r="K197" s="119"/>
    </row>
    <row r="198" spans="3:11" ht="15.75" customHeight="1" thickBot="1">
      <c r="C198" s="119" t="s">
        <v>2234</v>
      </c>
      <c r="D198" s="47" t="s">
        <v>2235</v>
      </c>
      <c r="E198" s="47"/>
      <c r="F198" s="47"/>
      <c r="G198" s="47"/>
      <c r="H198" s="47"/>
      <c r="I198" s="120">
        <f>ROUNDDOWN(H210,0)</f>
        <v>57</v>
      </c>
      <c r="J198" s="120"/>
      <c r="K198" s="120"/>
    </row>
    <row r="199" spans="3:11" s="289" customFormat="1" ht="31.65" customHeight="1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  <c r="I199" s="126"/>
      <c r="J199" s="126"/>
      <c r="K199" s="126"/>
    </row>
    <row r="200" spans="3:11" ht="22.8" customHeight="1">
      <c r="C200" s="290" t="s">
        <v>1201</v>
      </c>
      <c r="D200" s="182" t="s">
        <v>1202</v>
      </c>
      <c r="E200" s="70"/>
      <c r="F200" s="70"/>
      <c r="G200" s="70"/>
      <c r="H200" s="71"/>
    </row>
    <row r="201" spans="3:11" ht="22.8" customHeight="1">
      <c r="C201" s="310" t="s">
        <v>1203</v>
      </c>
      <c r="D201" s="182" t="s">
        <v>5</v>
      </c>
      <c r="E201" s="176" t="s">
        <v>6</v>
      </c>
      <c r="F201" s="331">
        <v>4.4700000000000002E-4</v>
      </c>
      <c r="G201" s="283">
        <f>VLOOKUP(D201,upahbahan,3,FALSE)</f>
        <v>100000</v>
      </c>
      <c r="H201" s="284">
        <f>F201*G201</f>
        <v>44.7</v>
      </c>
    </row>
    <row r="202" spans="3:11" ht="22.8" customHeight="1">
      <c r="C202" s="310" t="s">
        <v>1204</v>
      </c>
      <c r="D202" s="182" t="s">
        <v>19</v>
      </c>
      <c r="E202" s="176" t="s">
        <v>6</v>
      </c>
      <c r="F202" s="331">
        <v>4.5000000000000003E-5</v>
      </c>
      <c r="G202" s="283">
        <f>VLOOKUP(D202,upahbahan,3,FALSE)</f>
        <v>160000</v>
      </c>
      <c r="H202" s="284">
        <f>F202*G202</f>
        <v>7.2</v>
      </c>
    </row>
    <row r="203" spans="3:11" ht="22.8" customHeight="1">
      <c r="C203" s="66" t="s">
        <v>1208</v>
      </c>
      <c r="D203" s="67"/>
      <c r="E203" s="67"/>
      <c r="F203" s="68"/>
      <c r="G203" s="69"/>
      <c r="H203" s="284">
        <f>SUM(H201:H202)</f>
        <v>51.900000000000006</v>
      </c>
    </row>
    <row r="204" spans="3:11" ht="22.8" customHeight="1">
      <c r="C204" s="290" t="s">
        <v>1209</v>
      </c>
      <c r="D204" s="182" t="s">
        <v>1210</v>
      </c>
      <c r="E204" s="70"/>
      <c r="F204" s="70"/>
      <c r="G204" s="70"/>
      <c r="H204" s="71"/>
    </row>
    <row r="205" spans="3:11" ht="22.8" customHeight="1">
      <c r="C205" s="66" t="s">
        <v>1214</v>
      </c>
      <c r="D205" s="67"/>
      <c r="E205" s="67"/>
      <c r="F205" s="67"/>
      <c r="G205" s="69"/>
      <c r="H205" s="313">
        <v>0</v>
      </c>
    </row>
    <row r="206" spans="3:11" ht="22.8" customHeight="1">
      <c r="C206" s="290" t="s">
        <v>1215</v>
      </c>
      <c r="D206" s="182" t="s">
        <v>1216</v>
      </c>
      <c r="E206" s="70"/>
      <c r="F206" s="70"/>
      <c r="G206" s="70"/>
      <c r="H206" s="71"/>
    </row>
    <row r="207" spans="3:11" ht="22.8" customHeight="1">
      <c r="C207" s="66" t="s">
        <v>1217</v>
      </c>
      <c r="D207" s="67"/>
      <c r="E207" s="67"/>
      <c r="F207" s="67"/>
      <c r="G207" s="69"/>
      <c r="H207" s="313">
        <v>0</v>
      </c>
    </row>
    <row r="208" spans="3:11" s="297" customFormat="1" ht="22.8" customHeight="1">
      <c r="C208" s="293" t="s">
        <v>1218</v>
      </c>
      <c r="D208" s="294" t="s">
        <v>1219</v>
      </c>
      <c r="E208" s="295"/>
      <c r="F208" s="295"/>
      <c r="G208" s="296"/>
      <c r="H208" s="284">
        <f>H207+H205+H203</f>
        <v>51.900000000000006</v>
      </c>
      <c r="I208" s="119"/>
      <c r="J208" s="119"/>
      <c r="K208" s="119"/>
    </row>
    <row r="209" spans="3:12" s="297" customFormat="1" ht="22.8" customHeight="1">
      <c r="C209" s="293" t="s">
        <v>1220</v>
      </c>
      <c r="D209" s="294" t="s">
        <v>1321</v>
      </c>
      <c r="E209" s="295"/>
      <c r="F209" s="296"/>
      <c r="G209" s="298">
        <f>$O$9</f>
        <v>0.1</v>
      </c>
      <c r="H209" s="284">
        <f>H208*G209</f>
        <v>5.1900000000000013</v>
      </c>
      <c r="I209" s="119"/>
      <c r="J209" s="119"/>
      <c r="K209" s="119"/>
    </row>
    <row r="210" spans="3:12" s="297" customFormat="1" ht="22.8" customHeight="1" thickBot="1">
      <c r="C210" s="299" t="s">
        <v>1221</v>
      </c>
      <c r="D210" s="300" t="s">
        <v>1222</v>
      </c>
      <c r="E210" s="301"/>
      <c r="F210" s="301"/>
      <c r="G210" s="302"/>
      <c r="H210" s="303">
        <f>SUM(H208:H209)</f>
        <v>57.09</v>
      </c>
      <c r="I210" s="119"/>
      <c r="J210" s="119"/>
      <c r="K210" s="119"/>
    </row>
    <row r="211" spans="3:12" s="297" customFormat="1" ht="14.4" thickTop="1">
      <c r="C211" s="289"/>
      <c r="H211" s="139"/>
      <c r="I211" s="119"/>
      <c r="J211" s="119"/>
      <c r="K211" s="119"/>
    </row>
    <row r="212" spans="3:12" ht="33.75" customHeight="1" thickBot="1">
      <c r="C212" s="119" t="s">
        <v>2236</v>
      </c>
      <c r="D212" s="47" t="s">
        <v>2237</v>
      </c>
      <c r="E212" s="88"/>
      <c r="F212" s="88"/>
      <c r="G212" s="88"/>
      <c r="H212" s="88"/>
      <c r="I212" s="120">
        <f>ROUNDDOWN(H224,0)</f>
        <v>26</v>
      </c>
      <c r="J212" s="120"/>
      <c r="K212" s="120"/>
    </row>
    <row r="213" spans="3:12" s="289" customFormat="1" ht="31.65" customHeight="1" thickTop="1">
      <c r="C213" s="51" t="s">
        <v>1195</v>
      </c>
      <c r="D213" s="52" t="s">
        <v>1196</v>
      </c>
      <c r="E213" s="52" t="s">
        <v>1197</v>
      </c>
      <c r="F213" s="52" t="s">
        <v>1198</v>
      </c>
      <c r="G213" s="52" t="s">
        <v>1199</v>
      </c>
      <c r="H213" s="53" t="s">
        <v>1200</v>
      </c>
      <c r="I213" s="126"/>
      <c r="J213" s="126"/>
      <c r="K213" s="126"/>
    </row>
    <row r="214" spans="3:12" ht="21.6" customHeight="1">
      <c r="C214" s="290" t="s">
        <v>1201</v>
      </c>
      <c r="D214" s="182" t="s">
        <v>1202</v>
      </c>
      <c r="E214" s="70"/>
      <c r="F214" s="70"/>
      <c r="G214" s="70"/>
      <c r="H214" s="71"/>
    </row>
    <row r="215" spans="3:12" ht="21.6" customHeight="1">
      <c r="C215" s="310" t="s">
        <v>1203</v>
      </c>
      <c r="D215" s="182" t="s">
        <v>5</v>
      </c>
      <c r="E215" s="176" t="s">
        <v>6</v>
      </c>
      <c r="F215" s="331">
        <v>2.1000000000000001E-4</v>
      </c>
      <c r="G215" s="283">
        <f>VLOOKUP(D215,upahbahan,3,FALSE)</f>
        <v>100000</v>
      </c>
      <c r="H215" s="284">
        <f>F215*G215</f>
        <v>21</v>
      </c>
    </row>
    <row r="216" spans="3:12" ht="21.6" customHeight="1">
      <c r="C216" s="310" t="s">
        <v>1204</v>
      </c>
      <c r="D216" s="182" t="s">
        <v>19</v>
      </c>
      <c r="E216" s="176" t="s">
        <v>6</v>
      </c>
      <c r="F216" s="331">
        <v>2.0999999999999999E-5</v>
      </c>
      <c r="G216" s="283">
        <f>VLOOKUP(D216,upahbahan,3,FALSE)</f>
        <v>160000</v>
      </c>
      <c r="H216" s="284">
        <f>F216*G216</f>
        <v>3.36</v>
      </c>
    </row>
    <row r="217" spans="3:12" ht="21.6" customHeight="1">
      <c r="C217" s="66" t="s">
        <v>1208</v>
      </c>
      <c r="D217" s="67"/>
      <c r="E217" s="67"/>
      <c r="F217" s="68"/>
      <c r="G217" s="69"/>
      <c r="H217" s="284">
        <f>SUM(H215:H216)</f>
        <v>24.36</v>
      </c>
      <c r="L217" s="332"/>
    </row>
    <row r="218" spans="3:12" ht="21.6" customHeight="1">
      <c r="C218" s="290" t="s">
        <v>1209</v>
      </c>
      <c r="D218" s="182" t="s">
        <v>1210</v>
      </c>
      <c r="E218" s="70"/>
      <c r="F218" s="70"/>
      <c r="G218" s="70"/>
      <c r="H218" s="71"/>
    </row>
    <row r="219" spans="3:12" ht="21.6" customHeight="1">
      <c r="C219" s="66" t="s">
        <v>1214</v>
      </c>
      <c r="D219" s="67"/>
      <c r="E219" s="67"/>
      <c r="F219" s="67"/>
      <c r="G219" s="69"/>
      <c r="H219" s="313">
        <v>0</v>
      </c>
    </row>
    <row r="220" spans="3:12" ht="21.6" customHeight="1">
      <c r="C220" s="290" t="s">
        <v>1215</v>
      </c>
      <c r="D220" s="182" t="s">
        <v>1216</v>
      </c>
      <c r="E220" s="70"/>
      <c r="F220" s="70"/>
      <c r="G220" s="70"/>
      <c r="H220" s="71"/>
    </row>
    <row r="221" spans="3:12" ht="21.6" customHeight="1">
      <c r="C221" s="66" t="s">
        <v>1217</v>
      </c>
      <c r="D221" s="67"/>
      <c r="E221" s="67"/>
      <c r="F221" s="67"/>
      <c r="G221" s="69"/>
      <c r="H221" s="313">
        <v>0</v>
      </c>
    </row>
    <row r="222" spans="3:12" s="297" customFormat="1" ht="21.6" customHeight="1">
      <c r="C222" s="293" t="s">
        <v>1218</v>
      </c>
      <c r="D222" s="294" t="s">
        <v>1219</v>
      </c>
      <c r="E222" s="295"/>
      <c r="F222" s="295"/>
      <c r="G222" s="296"/>
      <c r="H222" s="284">
        <f>H221+H219+H217</f>
        <v>24.36</v>
      </c>
      <c r="I222" s="119"/>
      <c r="J222" s="119"/>
      <c r="K222" s="119"/>
    </row>
    <row r="223" spans="3:12" s="297" customFormat="1" ht="21.6" customHeight="1">
      <c r="C223" s="293" t="s">
        <v>1220</v>
      </c>
      <c r="D223" s="294" t="s">
        <v>1321</v>
      </c>
      <c r="E223" s="295"/>
      <c r="F223" s="296"/>
      <c r="G223" s="298">
        <f>$O$9</f>
        <v>0.1</v>
      </c>
      <c r="H223" s="284">
        <f>H222*G223</f>
        <v>2.4359999999999999</v>
      </c>
      <c r="I223" s="119"/>
      <c r="J223" s="119"/>
      <c r="K223" s="119"/>
    </row>
    <row r="224" spans="3:12" s="297" customFormat="1" ht="21.6" customHeight="1" thickBot="1">
      <c r="C224" s="299" t="s">
        <v>1221</v>
      </c>
      <c r="D224" s="300" t="s">
        <v>1222</v>
      </c>
      <c r="E224" s="301"/>
      <c r="F224" s="301"/>
      <c r="G224" s="302"/>
      <c r="H224" s="303">
        <f>SUM(H222:H223)</f>
        <v>26.795999999999999</v>
      </c>
      <c r="I224" s="119"/>
      <c r="J224" s="119"/>
      <c r="K224" s="119"/>
    </row>
    <row r="225" spans="3:12" ht="21.6" customHeight="1" thickTop="1">
      <c r="C225" s="307"/>
      <c r="D225" s="304"/>
      <c r="E225" s="304"/>
      <c r="F225" s="304"/>
      <c r="G225" s="304"/>
      <c r="H225" s="305"/>
    </row>
    <row r="226" spans="3:12" ht="33.75" customHeight="1" thickBot="1">
      <c r="C226" s="119" t="s">
        <v>2238</v>
      </c>
      <c r="D226" s="47" t="s">
        <v>2239</v>
      </c>
      <c r="E226" s="88"/>
      <c r="F226" s="88"/>
      <c r="G226" s="88"/>
      <c r="H226" s="88"/>
      <c r="I226" s="120">
        <f>ROUNDDOWN(H240,-2)</f>
        <v>1200</v>
      </c>
      <c r="J226" s="120"/>
      <c r="K226" s="120"/>
    </row>
    <row r="227" spans="3:12" s="289" customFormat="1" ht="31.65" customHeight="1" thickTop="1">
      <c r="C227" s="51" t="s">
        <v>1195</v>
      </c>
      <c r="D227" s="52" t="s">
        <v>1196</v>
      </c>
      <c r="E227" s="52" t="s">
        <v>1197</v>
      </c>
      <c r="F227" s="52" t="s">
        <v>1198</v>
      </c>
      <c r="G227" s="52" t="s">
        <v>1199</v>
      </c>
      <c r="H227" s="53" t="s">
        <v>1200</v>
      </c>
      <c r="I227" s="126"/>
      <c r="J227" s="126"/>
      <c r="K227" s="126"/>
    </row>
    <row r="228" spans="3:12" ht="22.8" customHeight="1">
      <c r="C228" s="290" t="s">
        <v>1201</v>
      </c>
      <c r="D228" s="182" t="s">
        <v>1202</v>
      </c>
      <c r="E228" s="70"/>
      <c r="F228" s="70"/>
      <c r="G228" s="70"/>
      <c r="H228" s="71"/>
    </row>
    <row r="229" spans="3:12" ht="22.8" customHeight="1">
      <c r="C229" s="310" t="s">
        <v>1203</v>
      </c>
      <c r="D229" s="182" t="s">
        <v>5</v>
      </c>
      <c r="E229" s="176" t="s">
        <v>6</v>
      </c>
      <c r="F229" s="315">
        <v>2E-3</v>
      </c>
      <c r="G229" s="283">
        <f>VLOOKUP(D229,upahbahan,3,FALSE)</f>
        <v>100000</v>
      </c>
      <c r="H229" s="284">
        <f>F229*G229</f>
        <v>200</v>
      </c>
    </row>
    <row r="230" spans="3:12" ht="22.8" customHeight="1">
      <c r="C230" s="310" t="s">
        <v>1204</v>
      </c>
      <c r="D230" s="182" t="s">
        <v>9</v>
      </c>
      <c r="E230" s="176" t="s">
        <v>6</v>
      </c>
      <c r="F230" s="315">
        <v>4.0000000000000002E-4</v>
      </c>
      <c r="G230" s="283">
        <f>VLOOKUP(D230,upahbahan,3,FALSE)</f>
        <v>135000</v>
      </c>
      <c r="H230" s="284">
        <f>F230*G230</f>
        <v>54</v>
      </c>
    </row>
    <row r="231" spans="3:12" ht="22.8" customHeight="1">
      <c r="C231" s="310" t="s">
        <v>1205</v>
      </c>
      <c r="D231" s="182" t="s">
        <v>19</v>
      </c>
      <c r="E231" s="176" t="s">
        <v>6</v>
      </c>
      <c r="F231" s="315">
        <v>2.0000000000000001E-4</v>
      </c>
      <c r="G231" s="283">
        <f>VLOOKUP(D231,upahbahan,3,FALSE)</f>
        <v>160000</v>
      </c>
      <c r="H231" s="284">
        <f>F231*G231</f>
        <v>32</v>
      </c>
    </row>
    <row r="232" spans="3:12" ht="22.8" customHeight="1">
      <c r="C232" s="66" t="s">
        <v>1208</v>
      </c>
      <c r="D232" s="67"/>
      <c r="E232" s="67"/>
      <c r="F232" s="68"/>
      <c r="G232" s="69"/>
      <c r="H232" s="284">
        <f>SUM(H229:H231)</f>
        <v>286</v>
      </c>
      <c r="L232" s="332"/>
    </row>
    <row r="233" spans="3:12" ht="22.8" customHeight="1">
      <c r="C233" s="290" t="s">
        <v>1209</v>
      </c>
      <c r="D233" s="182" t="s">
        <v>1210</v>
      </c>
      <c r="E233" s="70"/>
      <c r="F233" s="70"/>
      <c r="G233" s="70"/>
      <c r="H233" s="71"/>
    </row>
    <row r="234" spans="3:12" ht="22.8" customHeight="1">
      <c r="C234" s="66" t="s">
        <v>1214</v>
      </c>
      <c r="D234" s="67"/>
      <c r="E234" s="67"/>
      <c r="F234" s="67"/>
      <c r="G234" s="69"/>
      <c r="H234" s="313">
        <v>0</v>
      </c>
    </row>
    <row r="235" spans="3:12" ht="22.8" customHeight="1">
      <c r="C235" s="290" t="s">
        <v>1215</v>
      </c>
      <c r="D235" s="182" t="s">
        <v>1216</v>
      </c>
      <c r="E235" s="70"/>
      <c r="F235" s="70"/>
      <c r="G235" s="70"/>
      <c r="H235" s="71"/>
    </row>
    <row r="236" spans="3:12" ht="22.8" customHeight="1">
      <c r="C236" s="306" t="s">
        <v>1203</v>
      </c>
      <c r="D236" s="182" t="s">
        <v>1148</v>
      </c>
      <c r="E236" s="124" t="s">
        <v>1080</v>
      </c>
      <c r="F236" s="118">
        <v>2.5000000000000001E-4</v>
      </c>
      <c r="G236" s="283">
        <f>VLOOKUP(D236,upahbahan,3,FALSE)</f>
        <v>3442900</v>
      </c>
      <c r="H236" s="284">
        <f>F236*G236</f>
        <v>860.72500000000002</v>
      </c>
    </row>
    <row r="237" spans="3:12" ht="22.8" customHeight="1">
      <c r="C237" s="66" t="s">
        <v>1217</v>
      </c>
      <c r="D237" s="67"/>
      <c r="E237" s="67"/>
      <c r="F237" s="67"/>
      <c r="G237" s="69"/>
      <c r="H237" s="284">
        <f>SUM(H236)</f>
        <v>860.72500000000002</v>
      </c>
    </row>
    <row r="238" spans="3:12" s="297" customFormat="1" ht="22.8" customHeight="1">
      <c r="C238" s="293" t="s">
        <v>1218</v>
      </c>
      <c r="D238" s="294" t="s">
        <v>1219</v>
      </c>
      <c r="E238" s="295"/>
      <c r="F238" s="295"/>
      <c r="G238" s="296"/>
      <c r="H238" s="284">
        <f>H237+H234+H232</f>
        <v>1146.7249999999999</v>
      </c>
      <c r="I238" s="119"/>
      <c r="J238" s="119"/>
      <c r="K238" s="119"/>
    </row>
    <row r="239" spans="3:12" s="297" customFormat="1" ht="22.8" customHeight="1">
      <c r="C239" s="293" t="s">
        <v>1220</v>
      </c>
      <c r="D239" s="294" t="s">
        <v>1321</v>
      </c>
      <c r="E239" s="295"/>
      <c r="F239" s="296"/>
      <c r="G239" s="298">
        <f>$O$9</f>
        <v>0.1</v>
      </c>
      <c r="H239" s="284">
        <f>H238*G239</f>
        <v>114.6725</v>
      </c>
      <c r="I239" s="119"/>
      <c r="J239" s="119"/>
      <c r="K239" s="119"/>
    </row>
    <row r="240" spans="3:12" s="297" customFormat="1" ht="22.8" customHeight="1" thickBot="1">
      <c r="C240" s="299" t="s">
        <v>1221</v>
      </c>
      <c r="D240" s="300" t="s">
        <v>1222</v>
      </c>
      <c r="E240" s="301"/>
      <c r="F240" s="301"/>
      <c r="G240" s="302"/>
      <c r="H240" s="303">
        <f>SUM(H238:H239)</f>
        <v>1261.3974999999998</v>
      </c>
      <c r="I240" s="119"/>
      <c r="J240" s="119"/>
      <c r="K240" s="119"/>
    </row>
    <row r="241" spans="3:11" s="297" customFormat="1" ht="14.4" thickTop="1">
      <c r="C241" s="289"/>
      <c r="H241" s="139"/>
      <c r="I241" s="119"/>
      <c r="J241" s="119"/>
      <c r="K241" s="119"/>
    </row>
    <row r="242" spans="3:11" s="297" customFormat="1">
      <c r="C242" s="119" t="s">
        <v>2226</v>
      </c>
      <c r="D242" s="48" t="s">
        <v>2240</v>
      </c>
      <c r="H242" s="139"/>
      <c r="I242" s="119"/>
      <c r="J242" s="119"/>
      <c r="K242" s="119"/>
    </row>
    <row r="243" spans="3:11" ht="14.4" thickBot="1">
      <c r="C243" s="119" t="s">
        <v>2241</v>
      </c>
      <c r="D243" s="48" t="s">
        <v>2242</v>
      </c>
      <c r="E243" s="48"/>
      <c r="F243" s="48"/>
      <c r="G243" s="48"/>
      <c r="H243" s="48"/>
      <c r="I243" s="120">
        <f>ROUNDDOWN(H258,-2)</f>
        <v>11700</v>
      </c>
      <c r="J243" s="120" t="s">
        <v>6456</v>
      </c>
      <c r="K243" s="120" t="s">
        <v>6450</v>
      </c>
    </row>
    <row r="244" spans="3:11" s="289" customFormat="1" ht="31.65" customHeight="1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  <c r="I244" s="126"/>
      <c r="J244" s="126"/>
      <c r="K244" s="126"/>
    </row>
    <row r="245" spans="3:11" ht="24" customHeight="1">
      <c r="C245" s="290" t="s">
        <v>1201</v>
      </c>
      <c r="D245" s="182" t="s">
        <v>1202</v>
      </c>
      <c r="E245" s="70"/>
      <c r="F245" s="70"/>
      <c r="G245" s="70"/>
      <c r="H245" s="71"/>
    </row>
    <row r="246" spans="3:11" ht="24" customHeight="1">
      <c r="C246" s="281">
        <v>1</v>
      </c>
      <c r="D246" s="182" t="s">
        <v>5</v>
      </c>
      <c r="E246" s="176" t="s">
        <v>6</v>
      </c>
      <c r="F246" s="282">
        <v>0.06</v>
      </c>
      <c r="G246" s="283">
        <f>VLOOKUP(D246,upahbahan,3,FALSE)</f>
        <v>100000</v>
      </c>
      <c r="H246" s="284">
        <f>F246*G246</f>
        <v>6000</v>
      </c>
    </row>
    <row r="247" spans="3:11" ht="24" customHeight="1">
      <c r="C247" s="281">
        <v>2</v>
      </c>
      <c r="D247" s="182" t="s">
        <v>7</v>
      </c>
      <c r="E247" s="176" t="s">
        <v>6</v>
      </c>
      <c r="F247" s="282">
        <v>0.03</v>
      </c>
      <c r="G247" s="283">
        <f>VLOOKUP(D247,upahbahan,3,FALSE)</f>
        <v>135000</v>
      </c>
      <c r="H247" s="284">
        <f>F247*G247</f>
        <v>4050</v>
      </c>
    </row>
    <row r="248" spans="3:11" s="59" customFormat="1" ht="24" customHeight="1">
      <c r="C248" s="281">
        <v>3</v>
      </c>
      <c r="D248" s="182" t="s">
        <v>18</v>
      </c>
      <c r="E248" s="176" t="s">
        <v>6</v>
      </c>
      <c r="F248" s="282">
        <v>3.0000000000000001E-3</v>
      </c>
      <c r="G248" s="283">
        <f>VLOOKUP(D248,upahbahan,3,FALSE)</f>
        <v>150000</v>
      </c>
      <c r="H248" s="284">
        <f>F248*G248</f>
        <v>450</v>
      </c>
      <c r="I248" s="119"/>
      <c r="J248" s="119"/>
      <c r="K248" s="119"/>
    </row>
    <row r="249" spans="3:11" ht="24" customHeight="1">
      <c r="C249" s="281">
        <v>4</v>
      </c>
      <c r="D249" s="182" t="s">
        <v>19</v>
      </c>
      <c r="E249" s="176" t="s">
        <v>6</v>
      </c>
      <c r="F249" s="282">
        <v>1E-3</v>
      </c>
      <c r="G249" s="283">
        <f>VLOOKUP(D249,upahbahan,3,FALSE)</f>
        <v>160000</v>
      </c>
      <c r="H249" s="284">
        <f>F249*G249</f>
        <v>160</v>
      </c>
    </row>
    <row r="250" spans="3:11" ht="24" customHeight="1">
      <c r="C250" s="66" t="s">
        <v>1208</v>
      </c>
      <c r="D250" s="67"/>
      <c r="E250" s="67"/>
      <c r="F250" s="68"/>
      <c r="G250" s="69"/>
      <c r="H250" s="284">
        <f>SUM(H246:H249)</f>
        <v>10660</v>
      </c>
    </row>
    <row r="251" spans="3:11" ht="24" customHeight="1">
      <c r="C251" s="290" t="s">
        <v>1209</v>
      </c>
      <c r="D251" s="182" t="s">
        <v>1210</v>
      </c>
      <c r="E251" s="70"/>
      <c r="F251" s="70"/>
      <c r="G251" s="70"/>
      <c r="H251" s="71"/>
    </row>
    <row r="252" spans="3:11" ht="24" customHeight="1">
      <c r="C252" s="281">
        <v>1</v>
      </c>
      <c r="D252" s="285" t="s">
        <v>1067</v>
      </c>
      <c r="E252" s="176" t="s">
        <v>113</v>
      </c>
      <c r="F252" s="282">
        <v>1.05</v>
      </c>
      <c r="G252" s="283">
        <f>VLOOKUP(D252,upahbahan,3,FALSE)</f>
        <v>0</v>
      </c>
      <c r="H252" s="284">
        <f>F252*G252</f>
        <v>0</v>
      </c>
    </row>
    <row r="253" spans="3:11" ht="24" customHeight="1">
      <c r="C253" s="66" t="s">
        <v>1214</v>
      </c>
      <c r="D253" s="67"/>
      <c r="E253" s="67"/>
      <c r="F253" s="67"/>
      <c r="G253" s="69"/>
      <c r="H253" s="284">
        <f>SUM(H252:H252)</f>
        <v>0</v>
      </c>
    </row>
    <row r="254" spans="3:11" ht="24" customHeight="1">
      <c r="C254" s="290" t="s">
        <v>1215</v>
      </c>
      <c r="D254" s="182" t="s">
        <v>1216</v>
      </c>
      <c r="E254" s="70"/>
      <c r="F254" s="70"/>
      <c r="G254" s="70"/>
      <c r="H254" s="105"/>
    </row>
    <row r="255" spans="3:11" ht="24" customHeight="1">
      <c r="C255" s="66" t="s">
        <v>1217</v>
      </c>
      <c r="D255" s="67"/>
      <c r="E255" s="67"/>
      <c r="F255" s="67"/>
      <c r="G255" s="69"/>
      <c r="H255" s="292">
        <v>0</v>
      </c>
    </row>
    <row r="256" spans="3:11" s="297" customFormat="1" ht="24" customHeight="1">
      <c r="C256" s="293" t="s">
        <v>1218</v>
      </c>
      <c r="D256" s="294" t="s">
        <v>1219</v>
      </c>
      <c r="E256" s="295"/>
      <c r="F256" s="295"/>
      <c r="G256" s="296"/>
      <c r="H256" s="284">
        <f>H255+H253+H250</f>
        <v>10660</v>
      </c>
      <c r="I256" s="119"/>
      <c r="J256" s="119"/>
      <c r="K256" s="119"/>
    </row>
    <row r="257" spans="3:11" s="297" customFormat="1" ht="24" customHeight="1">
      <c r="C257" s="293" t="s">
        <v>1220</v>
      </c>
      <c r="D257" s="294" t="s">
        <v>1321</v>
      </c>
      <c r="E257" s="295"/>
      <c r="F257" s="296"/>
      <c r="G257" s="298">
        <f>$O$9</f>
        <v>0.1</v>
      </c>
      <c r="H257" s="284">
        <f>H256*G257</f>
        <v>1066</v>
      </c>
      <c r="I257" s="119"/>
      <c r="J257" s="119"/>
      <c r="K257" s="119"/>
    </row>
    <row r="258" spans="3:11" s="297" customFormat="1" ht="24" customHeight="1" thickBot="1">
      <c r="C258" s="299" t="s">
        <v>1221</v>
      </c>
      <c r="D258" s="300" t="s">
        <v>1222</v>
      </c>
      <c r="E258" s="301"/>
      <c r="F258" s="301"/>
      <c r="G258" s="302"/>
      <c r="H258" s="303">
        <f>SUM(H256:H257)</f>
        <v>11726</v>
      </c>
      <c r="I258" s="119"/>
      <c r="J258" s="119"/>
      <c r="K258" s="119"/>
    </row>
    <row r="259" spans="3:11" ht="14.4" thickTop="1"/>
    <row r="260" spans="3:11" ht="14.4" thickBot="1">
      <c r="C260" s="119" t="s">
        <v>2243</v>
      </c>
      <c r="D260" s="48" t="s">
        <v>1301</v>
      </c>
      <c r="E260" s="48"/>
      <c r="F260" s="48"/>
      <c r="G260" s="48"/>
      <c r="H260" s="48"/>
      <c r="I260" s="120">
        <f>ROUNDDOWN(H275,-2)</f>
        <v>13700</v>
      </c>
      <c r="J260" s="120" t="s">
        <v>6451</v>
      </c>
      <c r="K260" s="120" t="s">
        <v>6450</v>
      </c>
    </row>
    <row r="261" spans="3:11" s="289" customFormat="1" ht="31.65" customHeight="1" thickTop="1">
      <c r="C261" s="51" t="s">
        <v>1195</v>
      </c>
      <c r="D261" s="52" t="s">
        <v>1196</v>
      </c>
      <c r="E261" s="52" t="s">
        <v>1197</v>
      </c>
      <c r="F261" s="52" t="s">
        <v>1198</v>
      </c>
      <c r="G261" s="52" t="s">
        <v>1199</v>
      </c>
      <c r="H261" s="53" t="s">
        <v>1200</v>
      </c>
      <c r="I261" s="126"/>
      <c r="J261" s="126"/>
      <c r="K261" s="126"/>
    </row>
    <row r="262" spans="3:11" ht="24" customHeight="1">
      <c r="C262" s="290" t="s">
        <v>1201</v>
      </c>
      <c r="D262" s="182" t="s">
        <v>1202</v>
      </c>
      <c r="E262" s="70"/>
      <c r="F262" s="70"/>
      <c r="G262" s="70"/>
      <c r="H262" s="71"/>
    </row>
    <row r="263" spans="3:11" ht="24" customHeight="1">
      <c r="C263" s="281">
        <v>1</v>
      </c>
      <c r="D263" s="182" t="s">
        <v>5</v>
      </c>
      <c r="E263" s="176" t="s">
        <v>6</v>
      </c>
      <c r="F263" s="282">
        <v>7.0000000000000007E-2</v>
      </c>
      <c r="G263" s="283">
        <f>VLOOKUP(D263,upahbahan,3,FALSE)</f>
        <v>100000</v>
      </c>
      <c r="H263" s="284">
        <f>F263*G263</f>
        <v>7000.0000000000009</v>
      </c>
    </row>
    <row r="264" spans="3:11" ht="24" customHeight="1">
      <c r="C264" s="281">
        <v>2</v>
      </c>
      <c r="D264" s="182" t="s">
        <v>7</v>
      </c>
      <c r="E264" s="176" t="s">
        <v>6</v>
      </c>
      <c r="F264" s="282">
        <v>3.5000000000000003E-2</v>
      </c>
      <c r="G264" s="283">
        <f>VLOOKUP(D264,upahbahan,3,FALSE)</f>
        <v>135000</v>
      </c>
      <c r="H264" s="284">
        <f>F264*G264</f>
        <v>4725</v>
      </c>
    </row>
    <row r="265" spans="3:11" s="59" customFormat="1" ht="24" customHeight="1">
      <c r="C265" s="281">
        <v>3</v>
      </c>
      <c r="D265" s="182" t="s">
        <v>18</v>
      </c>
      <c r="E265" s="176" t="s">
        <v>6</v>
      </c>
      <c r="F265" s="282">
        <v>4.0000000000000001E-3</v>
      </c>
      <c r="G265" s="283">
        <f>VLOOKUP(D265,upahbahan,3,FALSE)</f>
        <v>150000</v>
      </c>
      <c r="H265" s="284">
        <f>F265*G265</f>
        <v>600</v>
      </c>
      <c r="I265" s="119"/>
      <c r="J265" s="119"/>
      <c r="K265" s="119"/>
    </row>
    <row r="266" spans="3:11" ht="24" customHeight="1">
      <c r="C266" s="281">
        <v>4</v>
      </c>
      <c r="D266" s="182" t="s">
        <v>19</v>
      </c>
      <c r="E266" s="176" t="s">
        <v>6</v>
      </c>
      <c r="F266" s="282">
        <v>1E-3</v>
      </c>
      <c r="G266" s="283">
        <f>VLOOKUP(D266,upahbahan,3,FALSE)</f>
        <v>160000</v>
      </c>
      <c r="H266" s="284">
        <f>F266*G266</f>
        <v>160</v>
      </c>
    </row>
    <row r="267" spans="3:11" ht="24" customHeight="1">
      <c r="C267" s="66" t="s">
        <v>1208</v>
      </c>
      <c r="D267" s="67"/>
      <c r="E267" s="67"/>
      <c r="F267" s="68"/>
      <c r="G267" s="69"/>
      <c r="H267" s="284">
        <f>SUM(H263:H266)</f>
        <v>12485</v>
      </c>
    </row>
    <row r="268" spans="3:11" ht="24" customHeight="1">
      <c r="C268" s="290" t="s">
        <v>1209</v>
      </c>
      <c r="D268" s="182" t="s">
        <v>1210</v>
      </c>
      <c r="E268" s="70"/>
      <c r="F268" s="70"/>
      <c r="G268" s="70"/>
      <c r="H268" s="71"/>
    </row>
    <row r="269" spans="3:11" ht="24" customHeight="1">
      <c r="C269" s="281">
        <v>1</v>
      </c>
      <c r="D269" s="285" t="s">
        <v>1068</v>
      </c>
      <c r="E269" s="176" t="s">
        <v>113</v>
      </c>
      <c r="F269" s="282">
        <v>1.05</v>
      </c>
      <c r="G269" s="283">
        <f>VLOOKUP(D269,upahbahan,3,FALSE)</f>
        <v>0</v>
      </c>
      <c r="H269" s="284">
        <f>F269*G269</f>
        <v>0</v>
      </c>
    </row>
    <row r="270" spans="3:11" ht="24" customHeight="1">
      <c r="C270" s="66" t="s">
        <v>1214</v>
      </c>
      <c r="D270" s="67"/>
      <c r="E270" s="67"/>
      <c r="F270" s="67"/>
      <c r="G270" s="69"/>
      <c r="H270" s="284">
        <f>SUM(H269:H269)</f>
        <v>0</v>
      </c>
    </row>
    <row r="271" spans="3:11" ht="24" customHeight="1">
      <c r="C271" s="290" t="s">
        <v>1215</v>
      </c>
      <c r="D271" s="182" t="s">
        <v>1216</v>
      </c>
      <c r="E271" s="70"/>
      <c r="F271" s="70"/>
      <c r="G271" s="70"/>
      <c r="H271" s="105"/>
    </row>
    <row r="272" spans="3:11" ht="24" customHeight="1">
      <c r="C272" s="66" t="s">
        <v>1217</v>
      </c>
      <c r="D272" s="67"/>
      <c r="E272" s="67"/>
      <c r="F272" s="67"/>
      <c r="G272" s="69"/>
      <c r="H272" s="292">
        <v>0</v>
      </c>
    </row>
    <row r="273" spans="3:11" s="297" customFormat="1" ht="24" customHeight="1">
      <c r="C273" s="293" t="s">
        <v>1218</v>
      </c>
      <c r="D273" s="294" t="s">
        <v>1219</v>
      </c>
      <c r="E273" s="295"/>
      <c r="F273" s="295"/>
      <c r="G273" s="296"/>
      <c r="H273" s="284">
        <f>H272+H270+H267</f>
        <v>12485</v>
      </c>
      <c r="I273" s="119"/>
      <c r="J273" s="119"/>
      <c r="K273" s="119"/>
    </row>
    <row r="274" spans="3:11" s="297" customFormat="1" ht="24" customHeight="1">
      <c r="C274" s="293" t="s">
        <v>1220</v>
      </c>
      <c r="D274" s="294" t="s">
        <v>1321</v>
      </c>
      <c r="E274" s="295"/>
      <c r="F274" s="296"/>
      <c r="G274" s="298">
        <f>$O$9</f>
        <v>0.1</v>
      </c>
      <c r="H274" s="284">
        <f>H273*G274</f>
        <v>1248.5</v>
      </c>
      <c r="I274" s="119"/>
      <c r="J274" s="119"/>
      <c r="K274" s="119"/>
    </row>
    <row r="275" spans="3:11" s="297" customFormat="1" ht="24" customHeight="1" thickBot="1">
      <c r="C275" s="299" t="s">
        <v>1221</v>
      </c>
      <c r="D275" s="300" t="s">
        <v>1222</v>
      </c>
      <c r="E275" s="301"/>
      <c r="F275" s="301"/>
      <c r="G275" s="302"/>
      <c r="H275" s="303">
        <f>SUM(H273:H274)</f>
        <v>13733.5</v>
      </c>
      <c r="I275" s="119"/>
      <c r="J275" s="119"/>
      <c r="K275" s="119"/>
    </row>
    <row r="276" spans="3:11" ht="14.4" thickTop="1"/>
    <row r="277" spans="3:11" ht="14.4" thickBot="1">
      <c r="C277" s="119" t="s">
        <v>2244</v>
      </c>
      <c r="D277" s="48" t="s">
        <v>1302</v>
      </c>
      <c r="E277" s="48"/>
      <c r="F277" s="48"/>
      <c r="G277" s="48"/>
      <c r="H277" s="48"/>
      <c r="I277" s="120">
        <f>ROUNDDOWN(H293,-2)</f>
        <v>17100</v>
      </c>
      <c r="J277" s="120"/>
      <c r="K277" s="120"/>
    </row>
    <row r="278" spans="3:11" s="289" customFormat="1" ht="31.65" customHeight="1" thickTop="1">
      <c r="C278" s="51" t="s">
        <v>1195</v>
      </c>
      <c r="D278" s="52" t="s">
        <v>1196</v>
      </c>
      <c r="E278" s="52" t="s">
        <v>1197</v>
      </c>
      <c r="F278" s="52" t="s">
        <v>1198</v>
      </c>
      <c r="G278" s="52" t="s">
        <v>1199</v>
      </c>
      <c r="H278" s="53" t="s">
        <v>1200</v>
      </c>
      <c r="I278" s="126"/>
      <c r="J278" s="126"/>
      <c r="K278" s="126"/>
    </row>
    <row r="279" spans="3:11" ht="23.4" customHeight="1">
      <c r="C279" s="290" t="s">
        <v>1201</v>
      </c>
      <c r="D279" s="182" t="s">
        <v>1202</v>
      </c>
      <c r="E279" s="70"/>
      <c r="F279" s="70"/>
      <c r="G279" s="70"/>
      <c r="H279" s="71"/>
    </row>
    <row r="280" spans="3:11" ht="23.4" customHeight="1">
      <c r="C280" s="281">
        <v>1</v>
      </c>
      <c r="D280" s="182" t="s">
        <v>5</v>
      </c>
      <c r="E280" s="176" t="s">
        <v>6</v>
      </c>
      <c r="F280" s="282">
        <v>0.08</v>
      </c>
      <c r="G280" s="283">
        <f>VLOOKUP(D280,upahbahan,3,FALSE)</f>
        <v>100000</v>
      </c>
      <c r="H280" s="284">
        <f>F280*G280</f>
        <v>8000</v>
      </c>
    </row>
    <row r="281" spans="3:11" ht="23.4" customHeight="1">
      <c r="C281" s="281">
        <v>2</v>
      </c>
      <c r="D281" s="182" t="s">
        <v>7</v>
      </c>
      <c r="E281" s="176" t="s">
        <v>6</v>
      </c>
      <c r="F281" s="282">
        <v>0.04</v>
      </c>
      <c r="G281" s="283">
        <f>VLOOKUP(D281,upahbahan,3,FALSE)</f>
        <v>135000</v>
      </c>
      <c r="H281" s="284">
        <f>F281*G281</f>
        <v>5400</v>
      </c>
    </row>
    <row r="282" spans="3:11" s="59" customFormat="1" ht="23.4" customHeight="1">
      <c r="C282" s="281">
        <v>3</v>
      </c>
      <c r="D282" s="182" t="s">
        <v>18</v>
      </c>
      <c r="E282" s="176" t="s">
        <v>6</v>
      </c>
      <c r="F282" s="282">
        <v>4.0000000000000001E-3</v>
      </c>
      <c r="G282" s="283">
        <f>VLOOKUP(D282,upahbahan,3,FALSE)</f>
        <v>150000</v>
      </c>
      <c r="H282" s="284">
        <f>F282*G282</f>
        <v>600</v>
      </c>
      <c r="I282" s="119"/>
      <c r="J282" s="119"/>
      <c r="K282" s="119"/>
    </row>
    <row r="283" spans="3:11" ht="23.4" customHeight="1">
      <c r="C283" s="281">
        <v>4</v>
      </c>
      <c r="D283" s="182" t="s">
        <v>19</v>
      </c>
      <c r="E283" s="176" t="s">
        <v>6</v>
      </c>
      <c r="F283" s="282">
        <v>8.0000000000000002E-3</v>
      </c>
      <c r="G283" s="283">
        <f>VLOOKUP(D283,upahbahan,3,FALSE)</f>
        <v>160000</v>
      </c>
      <c r="H283" s="284">
        <f>F283*G283</f>
        <v>1280</v>
      </c>
    </row>
    <row r="284" spans="3:11" ht="23.4" customHeight="1">
      <c r="C284" s="66" t="s">
        <v>1208</v>
      </c>
      <c r="D284" s="67"/>
      <c r="E284" s="67"/>
      <c r="F284" s="68"/>
      <c r="G284" s="69"/>
      <c r="H284" s="284">
        <f>SUM(H280:H283)</f>
        <v>15280</v>
      </c>
    </row>
    <row r="285" spans="3:11" ht="23.4" customHeight="1">
      <c r="C285" s="290" t="s">
        <v>1209</v>
      </c>
      <c r="D285" s="182" t="s">
        <v>1210</v>
      </c>
      <c r="E285" s="70"/>
      <c r="F285" s="70"/>
      <c r="G285" s="70"/>
      <c r="H285" s="71"/>
    </row>
    <row r="286" spans="3:11" ht="23.4" customHeight="1">
      <c r="C286" s="310" t="s">
        <v>1203</v>
      </c>
      <c r="D286" s="285" t="s">
        <v>1069</v>
      </c>
      <c r="E286" s="176" t="s">
        <v>113</v>
      </c>
      <c r="F286" s="282">
        <v>1.05</v>
      </c>
      <c r="G286" s="283">
        <f>VLOOKUP(D286,upahbahan,3,FALSE)</f>
        <v>0</v>
      </c>
      <c r="H286" s="284">
        <f>F286*G286</f>
        <v>0</v>
      </c>
    </row>
    <row r="287" spans="3:11" ht="23.4" customHeight="1">
      <c r="C287" s="310" t="s">
        <v>1204</v>
      </c>
      <c r="D287" s="285" t="s">
        <v>251</v>
      </c>
      <c r="E287" s="176" t="s">
        <v>65</v>
      </c>
      <c r="F287" s="282">
        <v>0.01</v>
      </c>
      <c r="G287" s="283">
        <f>VLOOKUP(D287,upahbahan,3,FALSE)</f>
        <v>27720</v>
      </c>
      <c r="H287" s="284">
        <f>F287*G287</f>
        <v>277.2</v>
      </c>
    </row>
    <row r="288" spans="3:11" ht="23.4" customHeight="1">
      <c r="C288" s="66" t="s">
        <v>1214</v>
      </c>
      <c r="D288" s="67"/>
      <c r="E288" s="67"/>
      <c r="F288" s="67"/>
      <c r="G288" s="69"/>
      <c r="H288" s="284">
        <f>SUM(H286:H287)</f>
        <v>277.2</v>
      </c>
    </row>
    <row r="289" spans="3:11" ht="23.4" customHeight="1">
      <c r="C289" s="290" t="s">
        <v>1215</v>
      </c>
      <c r="D289" s="182" t="s">
        <v>1216</v>
      </c>
      <c r="E289" s="70"/>
      <c r="F289" s="70"/>
      <c r="G289" s="70"/>
      <c r="H289" s="105"/>
    </row>
    <row r="290" spans="3:11" ht="23.4" customHeight="1">
      <c r="C290" s="66" t="s">
        <v>1217</v>
      </c>
      <c r="D290" s="67"/>
      <c r="E290" s="67"/>
      <c r="F290" s="67"/>
      <c r="G290" s="69"/>
      <c r="H290" s="292">
        <v>0</v>
      </c>
    </row>
    <row r="291" spans="3:11" s="297" customFormat="1" ht="23.4" customHeight="1">
      <c r="C291" s="293" t="s">
        <v>1218</v>
      </c>
      <c r="D291" s="294" t="s">
        <v>1219</v>
      </c>
      <c r="E291" s="295"/>
      <c r="F291" s="295"/>
      <c r="G291" s="296"/>
      <c r="H291" s="284">
        <f>H290+H288+H284</f>
        <v>15557.2</v>
      </c>
      <c r="I291" s="119"/>
      <c r="J291" s="119"/>
      <c r="K291" s="119"/>
    </row>
    <row r="292" spans="3:11" s="297" customFormat="1" ht="23.4" customHeight="1">
      <c r="C292" s="293" t="s">
        <v>1220</v>
      </c>
      <c r="D292" s="294" t="s">
        <v>1321</v>
      </c>
      <c r="E292" s="295"/>
      <c r="F292" s="296"/>
      <c r="G292" s="298">
        <f>$O$9</f>
        <v>0.1</v>
      </c>
      <c r="H292" s="284">
        <f>H291*G292</f>
        <v>1555.7200000000003</v>
      </c>
      <c r="I292" s="119"/>
      <c r="J292" s="119"/>
      <c r="K292" s="119"/>
    </row>
    <row r="293" spans="3:11" s="297" customFormat="1" ht="23.4" customHeight="1" thickBot="1">
      <c r="C293" s="299" t="s">
        <v>1221</v>
      </c>
      <c r="D293" s="300" t="s">
        <v>1222</v>
      </c>
      <c r="E293" s="301"/>
      <c r="F293" s="301"/>
      <c r="G293" s="302"/>
      <c r="H293" s="303">
        <f>SUM(H291:H292)</f>
        <v>17112.920000000002</v>
      </c>
      <c r="I293" s="119"/>
      <c r="J293" s="119"/>
      <c r="K293" s="119"/>
    </row>
    <row r="294" spans="3:11" ht="14.4" thickTop="1"/>
    <row r="295" spans="3:11">
      <c r="C295" s="126" t="s">
        <v>2245</v>
      </c>
      <c r="D295" s="119" t="s">
        <v>2246</v>
      </c>
    </row>
    <row r="296" spans="3:11" ht="14.4" thickBot="1">
      <c r="C296" s="126" t="s">
        <v>2247</v>
      </c>
      <c r="D296" s="48" t="s">
        <v>1303</v>
      </c>
      <c r="E296" s="48"/>
      <c r="F296" s="48"/>
      <c r="G296" s="48"/>
      <c r="H296" s="48"/>
      <c r="I296" s="120">
        <f>ROUNDDOWN(H313,-2)</f>
        <v>176700</v>
      </c>
      <c r="J296" s="120"/>
      <c r="K296" s="120"/>
    </row>
    <row r="297" spans="3:11" s="289" customFormat="1" ht="31.65" customHeight="1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  <c r="I297" s="126"/>
      <c r="J297" s="126"/>
      <c r="K297" s="126"/>
    </row>
    <row r="298" spans="3:11" ht="22.2" customHeight="1">
      <c r="C298" s="290" t="s">
        <v>1201</v>
      </c>
      <c r="D298" s="182" t="s">
        <v>1202</v>
      </c>
      <c r="E298" s="70"/>
      <c r="F298" s="70"/>
      <c r="G298" s="70"/>
      <c r="H298" s="71"/>
    </row>
    <row r="299" spans="3:11" ht="22.2" customHeight="1">
      <c r="C299" s="281">
        <v>1</v>
      </c>
      <c r="D299" s="182" t="s">
        <v>5</v>
      </c>
      <c r="E299" s="176" t="s">
        <v>6</v>
      </c>
      <c r="F299" s="282">
        <v>0.52</v>
      </c>
      <c r="G299" s="283">
        <f>VLOOKUP(D299,upahbahan,3,FALSE)</f>
        <v>100000</v>
      </c>
      <c r="H299" s="284">
        <f>F299*G299</f>
        <v>52000</v>
      </c>
    </row>
    <row r="300" spans="3:11" ht="22.2" customHeight="1">
      <c r="C300" s="281">
        <v>2</v>
      </c>
      <c r="D300" s="182" t="s">
        <v>8</v>
      </c>
      <c r="E300" s="176" t="s">
        <v>6</v>
      </c>
      <c r="F300" s="282">
        <v>0.26</v>
      </c>
      <c r="G300" s="283">
        <f>VLOOKUP(D300,upahbahan,3,FALSE)</f>
        <v>135000</v>
      </c>
      <c r="H300" s="284">
        <f>F300*G300</f>
        <v>35100</v>
      </c>
    </row>
    <row r="301" spans="3:11" s="59" customFormat="1" ht="22.2" customHeight="1">
      <c r="C301" s="281">
        <v>3</v>
      </c>
      <c r="D301" s="182" t="s">
        <v>18</v>
      </c>
      <c r="E301" s="176" t="s">
        <v>6</v>
      </c>
      <c r="F301" s="282">
        <v>2.5999999999999999E-2</v>
      </c>
      <c r="G301" s="283">
        <f>VLOOKUP(D301,upahbahan,3,FALSE)</f>
        <v>150000</v>
      </c>
      <c r="H301" s="284">
        <f>F301*G301</f>
        <v>3900</v>
      </c>
      <c r="I301" s="119"/>
      <c r="J301" s="119"/>
      <c r="K301" s="119"/>
    </row>
    <row r="302" spans="3:11" ht="22.2" customHeight="1">
      <c r="C302" s="281">
        <v>4</v>
      </c>
      <c r="D302" s="182" t="s">
        <v>19</v>
      </c>
      <c r="E302" s="176" t="s">
        <v>6</v>
      </c>
      <c r="F302" s="282">
        <v>8.9999999999999993E-3</v>
      </c>
      <c r="G302" s="283">
        <f>VLOOKUP(D302,upahbahan,3,FALSE)</f>
        <v>160000</v>
      </c>
      <c r="H302" s="284">
        <f>F302*G302</f>
        <v>1440</v>
      </c>
    </row>
    <row r="303" spans="3:11" ht="22.2" customHeight="1">
      <c r="C303" s="66" t="s">
        <v>1208</v>
      </c>
      <c r="D303" s="67"/>
      <c r="E303" s="67"/>
      <c r="F303" s="68"/>
      <c r="G303" s="69"/>
      <c r="H303" s="284">
        <f>SUM(H299:H302)</f>
        <v>92440</v>
      </c>
    </row>
    <row r="304" spans="3:11" ht="22.2" customHeight="1">
      <c r="C304" s="290" t="s">
        <v>1209</v>
      </c>
      <c r="D304" s="182" t="s">
        <v>1210</v>
      </c>
      <c r="E304" s="70"/>
      <c r="F304" s="70"/>
      <c r="G304" s="70"/>
      <c r="H304" s="71"/>
    </row>
    <row r="305" spans="3:11" ht="22.2" customHeight="1">
      <c r="C305" s="310" t="s">
        <v>1203</v>
      </c>
      <c r="D305" s="285" t="s">
        <v>124</v>
      </c>
      <c r="E305" s="176" t="s">
        <v>42</v>
      </c>
      <c r="F305" s="282">
        <v>1.6E-2</v>
      </c>
      <c r="G305" s="283">
        <f>VLOOKUP(D305,upahbahan,3,FALSE)</f>
        <v>3150000</v>
      </c>
      <c r="H305" s="284">
        <f>F305*G305</f>
        <v>50400</v>
      </c>
    </row>
    <row r="306" spans="3:11" ht="22.2" customHeight="1">
      <c r="C306" s="310" t="s">
        <v>1204</v>
      </c>
      <c r="D306" s="285" t="s">
        <v>262</v>
      </c>
      <c r="E306" s="176" t="s">
        <v>65</v>
      </c>
      <c r="F306" s="282">
        <v>0.3</v>
      </c>
      <c r="G306" s="283">
        <f>VLOOKUP(D306,upahbahan,3,FALSE)</f>
        <v>33901.875</v>
      </c>
      <c r="H306" s="284">
        <f>F306*G306</f>
        <v>10170.5625</v>
      </c>
    </row>
    <row r="307" spans="3:11" ht="22.2" customHeight="1">
      <c r="C307" s="310" t="s">
        <v>1205</v>
      </c>
      <c r="D307" s="285" t="s">
        <v>755</v>
      </c>
      <c r="E307" s="176" t="s">
        <v>529</v>
      </c>
      <c r="F307" s="282">
        <v>0.1</v>
      </c>
      <c r="G307" s="283">
        <f>VLOOKUP(D307,upahbahan,3,FALSE)</f>
        <v>76500</v>
      </c>
      <c r="H307" s="284">
        <f>F307*G307</f>
        <v>7650</v>
      </c>
    </row>
    <row r="308" spans="3:11" ht="22.2" customHeight="1">
      <c r="C308" s="66" t="s">
        <v>1214</v>
      </c>
      <c r="D308" s="67"/>
      <c r="E308" s="67"/>
      <c r="F308" s="67"/>
      <c r="G308" s="69"/>
      <c r="H308" s="284">
        <f>SUM(H305:H307)</f>
        <v>68220.5625</v>
      </c>
    </row>
    <row r="309" spans="3:11" ht="22.2" customHeight="1">
      <c r="C309" s="290" t="s">
        <v>1215</v>
      </c>
      <c r="D309" s="182" t="s">
        <v>1216</v>
      </c>
      <c r="E309" s="70"/>
      <c r="F309" s="70"/>
      <c r="G309" s="70"/>
      <c r="H309" s="105"/>
    </row>
    <row r="310" spans="3:11" ht="22.2" customHeight="1">
      <c r="C310" s="66" t="s">
        <v>1217</v>
      </c>
      <c r="D310" s="67"/>
      <c r="E310" s="67"/>
      <c r="F310" s="67"/>
      <c r="G310" s="69"/>
      <c r="H310" s="292">
        <v>0</v>
      </c>
    </row>
    <row r="311" spans="3:11" s="297" customFormat="1" ht="22.2" customHeight="1">
      <c r="C311" s="293" t="s">
        <v>1218</v>
      </c>
      <c r="D311" s="294" t="s">
        <v>1219</v>
      </c>
      <c r="E311" s="295"/>
      <c r="F311" s="295"/>
      <c r="G311" s="296"/>
      <c r="H311" s="284">
        <f>H310+H308+H303</f>
        <v>160660.5625</v>
      </c>
      <c r="I311" s="119"/>
      <c r="J311" s="119"/>
      <c r="K311" s="119"/>
    </row>
    <row r="312" spans="3:11" s="297" customFormat="1" ht="22.2" customHeight="1">
      <c r="C312" s="293" t="s">
        <v>1220</v>
      </c>
      <c r="D312" s="294" t="s">
        <v>1321</v>
      </c>
      <c r="E312" s="295"/>
      <c r="F312" s="296"/>
      <c r="G312" s="298">
        <f>$O$9</f>
        <v>0.1</v>
      </c>
      <c r="H312" s="284">
        <f>H311*G312</f>
        <v>16066.056250000001</v>
      </c>
      <c r="I312" s="119"/>
      <c r="J312" s="119"/>
      <c r="K312" s="119"/>
    </row>
    <row r="313" spans="3:11" s="297" customFormat="1" ht="22.2" customHeight="1" thickBot="1">
      <c r="C313" s="299" t="s">
        <v>1221</v>
      </c>
      <c r="D313" s="300" t="s">
        <v>1222</v>
      </c>
      <c r="E313" s="301"/>
      <c r="F313" s="301"/>
      <c r="G313" s="302"/>
      <c r="H313" s="303">
        <f>SUM(H311:H312)</f>
        <v>176726.61874999999</v>
      </c>
      <c r="I313" s="119"/>
      <c r="J313" s="119"/>
      <c r="K313" s="119"/>
    </row>
    <row r="314" spans="3:11" ht="14.4" thickTop="1"/>
    <row r="315" spans="3:11" ht="14.4" thickBot="1">
      <c r="C315" s="119" t="s">
        <v>2248</v>
      </c>
      <c r="D315" s="48" t="s">
        <v>2249</v>
      </c>
      <c r="E315" s="48"/>
      <c r="F315" s="48"/>
      <c r="G315" s="48"/>
      <c r="H315" s="48"/>
      <c r="I315" s="120">
        <f>ROUNDDOWN(H332,-2)</f>
        <v>183600</v>
      </c>
      <c r="J315" s="120"/>
      <c r="K315" s="120"/>
    </row>
    <row r="316" spans="3:11" s="289" customFormat="1" ht="31.65" customHeight="1" thickTop="1">
      <c r="C316" s="51" t="s">
        <v>1195</v>
      </c>
      <c r="D316" s="52" t="s">
        <v>1196</v>
      </c>
      <c r="E316" s="52" t="s">
        <v>1197</v>
      </c>
      <c r="F316" s="52" t="s">
        <v>1198</v>
      </c>
      <c r="G316" s="52" t="s">
        <v>1199</v>
      </c>
      <c r="H316" s="53" t="s">
        <v>1200</v>
      </c>
      <c r="I316" s="126"/>
      <c r="J316" s="126"/>
      <c r="K316" s="126"/>
    </row>
    <row r="317" spans="3:11" ht="22.2" customHeight="1">
      <c r="C317" s="290" t="s">
        <v>1201</v>
      </c>
      <c r="D317" s="182" t="s">
        <v>1202</v>
      </c>
      <c r="E317" s="70"/>
      <c r="F317" s="70"/>
      <c r="G317" s="70"/>
      <c r="H317" s="71"/>
    </row>
    <row r="318" spans="3:11" ht="22.2" customHeight="1">
      <c r="C318" s="281">
        <v>1</v>
      </c>
      <c r="D318" s="182" t="s">
        <v>5</v>
      </c>
      <c r="E318" s="176" t="s">
        <v>6</v>
      </c>
      <c r="F318" s="282">
        <v>0.52</v>
      </c>
      <c r="G318" s="283">
        <f>VLOOKUP(D318,upahbahan,3,FALSE)</f>
        <v>100000</v>
      </c>
      <c r="H318" s="284">
        <f>F318*G318</f>
        <v>52000</v>
      </c>
    </row>
    <row r="319" spans="3:11" ht="22.2" customHeight="1">
      <c r="C319" s="281">
        <v>2</v>
      </c>
      <c r="D319" s="182" t="s">
        <v>8</v>
      </c>
      <c r="E319" s="176" t="s">
        <v>6</v>
      </c>
      <c r="F319" s="282">
        <v>0.26</v>
      </c>
      <c r="G319" s="283">
        <f>VLOOKUP(D319,upahbahan,3,FALSE)</f>
        <v>135000</v>
      </c>
      <c r="H319" s="284">
        <f>F319*G319</f>
        <v>35100</v>
      </c>
    </row>
    <row r="320" spans="3:11" s="59" customFormat="1" ht="22.2" customHeight="1">
      <c r="C320" s="281">
        <v>3</v>
      </c>
      <c r="D320" s="182" t="s">
        <v>18</v>
      </c>
      <c r="E320" s="176" t="s">
        <v>6</v>
      </c>
      <c r="F320" s="282">
        <v>2.5999999999999999E-2</v>
      </c>
      <c r="G320" s="283">
        <f>VLOOKUP(D320,upahbahan,3,FALSE)</f>
        <v>150000</v>
      </c>
      <c r="H320" s="284">
        <f>F320*G320</f>
        <v>3900</v>
      </c>
      <c r="I320" s="119"/>
      <c r="J320" s="119"/>
      <c r="K320" s="119"/>
    </row>
    <row r="321" spans="3:11" ht="22.2" customHeight="1">
      <c r="C321" s="281">
        <v>4</v>
      </c>
      <c r="D321" s="182" t="s">
        <v>19</v>
      </c>
      <c r="E321" s="176" t="s">
        <v>6</v>
      </c>
      <c r="F321" s="282">
        <v>8.9999999999999993E-3</v>
      </c>
      <c r="G321" s="283">
        <f>VLOOKUP(D321,upahbahan,3,FALSE)</f>
        <v>160000</v>
      </c>
      <c r="H321" s="284">
        <f>F321*G321</f>
        <v>1440</v>
      </c>
    </row>
    <row r="322" spans="3:11" ht="22.2" customHeight="1">
      <c r="C322" s="66" t="s">
        <v>1208</v>
      </c>
      <c r="D322" s="67"/>
      <c r="E322" s="67"/>
      <c r="F322" s="68"/>
      <c r="G322" s="69"/>
      <c r="H322" s="284">
        <f>SUM(H318:H321)</f>
        <v>92440</v>
      </c>
    </row>
    <row r="323" spans="3:11" ht="22.2" customHeight="1">
      <c r="C323" s="290" t="s">
        <v>1209</v>
      </c>
      <c r="D323" s="182" t="s">
        <v>1210</v>
      </c>
      <c r="E323" s="70"/>
      <c r="F323" s="70"/>
      <c r="G323" s="70"/>
      <c r="H323" s="71"/>
    </row>
    <row r="324" spans="3:11" ht="22.2" customHeight="1">
      <c r="C324" s="310" t="s">
        <v>1203</v>
      </c>
      <c r="D324" s="285" t="s">
        <v>124</v>
      </c>
      <c r="E324" s="176" t="s">
        <v>44</v>
      </c>
      <c r="F324" s="282">
        <v>1.7999999999999999E-2</v>
      </c>
      <c r="G324" s="283">
        <f>VLOOKUP(D324,upahbahan,3,FALSE)</f>
        <v>3150000</v>
      </c>
      <c r="H324" s="284">
        <f>F324*G324</f>
        <v>56699.999999999993</v>
      </c>
    </row>
    <row r="325" spans="3:11" ht="22.2" customHeight="1">
      <c r="C325" s="310" t="s">
        <v>1204</v>
      </c>
      <c r="D325" s="285" t="s">
        <v>262</v>
      </c>
      <c r="E325" s="176" t="s">
        <v>65</v>
      </c>
      <c r="F325" s="282">
        <v>0.3</v>
      </c>
      <c r="G325" s="283">
        <f>VLOOKUP(D325,upahbahan,3,FALSE)</f>
        <v>33901.875</v>
      </c>
      <c r="H325" s="284">
        <f>F325*G325</f>
        <v>10170.5625</v>
      </c>
    </row>
    <row r="326" spans="3:11" ht="22.2" customHeight="1">
      <c r="C326" s="310" t="s">
        <v>1205</v>
      </c>
      <c r="D326" s="285" t="s">
        <v>2250</v>
      </c>
      <c r="E326" s="176" t="s">
        <v>42</v>
      </c>
      <c r="F326" s="282">
        <v>0.1</v>
      </c>
      <c r="G326" s="283">
        <f>VLOOKUP(D326,upahbahan,3,FALSE)</f>
        <v>76500</v>
      </c>
      <c r="H326" s="284">
        <f>F326*G326</f>
        <v>7650</v>
      </c>
    </row>
    <row r="327" spans="3:11" ht="22.2" customHeight="1">
      <c r="C327" s="66" t="s">
        <v>1214</v>
      </c>
      <c r="D327" s="67"/>
      <c r="E327" s="67"/>
      <c r="F327" s="67"/>
      <c r="G327" s="69"/>
      <c r="H327" s="284">
        <f>SUM(H324:H326)</f>
        <v>74520.5625</v>
      </c>
    </row>
    <row r="328" spans="3:11" ht="22.2" customHeight="1">
      <c r="C328" s="290" t="s">
        <v>1215</v>
      </c>
      <c r="D328" s="182" t="s">
        <v>1216</v>
      </c>
      <c r="E328" s="70"/>
      <c r="F328" s="70"/>
      <c r="G328" s="70"/>
      <c r="H328" s="105"/>
    </row>
    <row r="329" spans="3:11" ht="22.2" customHeight="1">
      <c r="C329" s="66" t="s">
        <v>1217</v>
      </c>
      <c r="D329" s="67"/>
      <c r="E329" s="67"/>
      <c r="F329" s="67"/>
      <c r="G329" s="69"/>
      <c r="H329" s="292">
        <v>0</v>
      </c>
    </row>
    <row r="330" spans="3:11" s="297" customFormat="1" ht="22.2" customHeight="1">
      <c r="C330" s="293" t="s">
        <v>1218</v>
      </c>
      <c r="D330" s="294" t="s">
        <v>1219</v>
      </c>
      <c r="E330" s="295"/>
      <c r="F330" s="295"/>
      <c r="G330" s="296"/>
      <c r="H330" s="284">
        <f>H329+H327+H322</f>
        <v>166960.5625</v>
      </c>
      <c r="I330" s="119"/>
      <c r="J330" s="119"/>
      <c r="K330" s="119"/>
    </row>
    <row r="331" spans="3:11" s="297" customFormat="1" ht="22.2" customHeight="1">
      <c r="C331" s="293" t="s">
        <v>1220</v>
      </c>
      <c r="D331" s="294" t="s">
        <v>1321</v>
      </c>
      <c r="E331" s="295"/>
      <c r="F331" s="296"/>
      <c r="G331" s="298">
        <f>$O$9</f>
        <v>0.1</v>
      </c>
      <c r="H331" s="284">
        <f>H330*G331</f>
        <v>16696.056250000001</v>
      </c>
      <c r="I331" s="119"/>
      <c r="J331" s="119"/>
      <c r="K331" s="119"/>
    </row>
    <row r="332" spans="3:11" s="297" customFormat="1" ht="22.2" customHeight="1" thickBot="1">
      <c r="C332" s="299" t="s">
        <v>1221</v>
      </c>
      <c r="D332" s="300" t="s">
        <v>1222</v>
      </c>
      <c r="E332" s="301"/>
      <c r="F332" s="301"/>
      <c r="G332" s="302"/>
      <c r="H332" s="303">
        <f>SUM(H330:H331)</f>
        <v>183656.61874999999</v>
      </c>
      <c r="I332" s="119"/>
      <c r="J332" s="119"/>
      <c r="K332" s="119"/>
    </row>
    <row r="333" spans="3:11" ht="14.4" thickTop="1"/>
    <row r="335" spans="3:11" ht="20.399999999999999" customHeight="1" thickBot="1">
      <c r="C335" s="119" t="s">
        <v>2251</v>
      </c>
      <c r="D335" s="48" t="s">
        <v>1304</v>
      </c>
      <c r="E335" s="48"/>
      <c r="F335" s="48"/>
      <c r="G335" s="48"/>
      <c r="H335" s="48"/>
      <c r="I335" s="120">
        <f>ROUNDDOWN(H354,-2)</f>
        <v>216900</v>
      </c>
      <c r="J335" s="120"/>
      <c r="K335" s="120"/>
    </row>
    <row r="336" spans="3:11" s="289" customFormat="1" ht="31.65" customHeight="1" thickTop="1">
      <c r="C336" s="51" t="s">
        <v>1195</v>
      </c>
      <c r="D336" s="52" t="s">
        <v>1196</v>
      </c>
      <c r="E336" s="52" t="s">
        <v>1197</v>
      </c>
      <c r="F336" s="52" t="s">
        <v>1198</v>
      </c>
      <c r="G336" s="52" t="s">
        <v>1199</v>
      </c>
      <c r="H336" s="53" t="s">
        <v>1200</v>
      </c>
      <c r="I336" s="126"/>
      <c r="J336" s="126"/>
      <c r="K336" s="126"/>
    </row>
    <row r="337" spans="3:11" ht="22.2" customHeight="1">
      <c r="C337" s="290" t="s">
        <v>1201</v>
      </c>
      <c r="D337" s="182" t="s">
        <v>1202</v>
      </c>
      <c r="E337" s="70"/>
      <c r="F337" s="70"/>
      <c r="G337" s="70"/>
      <c r="H337" s="71"/>
    </row>
    <row r="338" spans="3:11" ht="22.2" customHeight="1">
      <c r="C338" s="281">
        <v>1</v>
      </c>
      <c r="D338" s="182" t="s">
        <v>5</v>
      </c>
      <c r="E338" s="176" t="s">
        <v>6</v>
      </c>
      <c r="F338" s="282">
        <v>0.66</v>
      </c>
      <c r="G338" s="283">
        <f>VLOOKUP(D338,upahbahan,3,FALSE)</f>
        <v>100000</v>
      </c>
      <c r="H338" s="284">
        <f>F338*G338</f>
        <v>66000</v>
      </c>
    </row>
    <row r="339" spans="3:11" ht="22.2" customHeight="1">
      <c r="C339" s="281">
        <v>2</v>
      </c>
      <c r="D339" s="182" t="s">
        <v>8</v>
      </c>
      <c r="E339" s="176" t="s">
        <v>6</v>
      </c>
      <c r="F339" s="282">
        <v>0.33</v>
      </c>
      <c r="G339" s="283">
        <f>VLOOKUP(D339,upahbahan,3,FALSE)</f>
        <v>135000</v>
      </c>
      <c r="H339" s="284">
        <f>F339*G339</f>
        <v>44550</v>
      </c>
    </row>
    <row r="340" spans="3:11" s="59" customFormat="1" ht="22.2" customHeight="1">
      <c r="C340" s="281">
        <v>3</v>
      </c>
      <c r="D340" s="182" t="s">
        <v>18</v>
      </c>
      <c r="E340" s="176" t="s">
        <v>6</v>
      </c>
      <c r="F340" s="282">
        <v>3.3000000000000002E-2</v>
      </c>
      <c r="G340" s="283">
        <f>VLOOKUP(D340,upahbahan,3,FALSE)</f>
        <v>150000</v>
      </c>
      <c r="H340" s="284">
        <f>F340*G340</f>
        <v>4950</v>
      </c>
      <c r="I340" s="119"/>
      <c r="J340" s="119"/>
      <c r="K340" s="119"/>
    </row>
    <row r="341" spans="3:11" ht="22.2" customHeight="1">
      <c r="C341" s="281">
        <v>4</v>
      </c>
      <c r="D341" s="182" t="s">
        <v>19</v>
      </c>
      <c r="E341" s="176" t="s">
        <v>6</v>
      </c>
      <c r="F341" s="282">
        <v>1.0999999999999999E-2</v>
      </c>
      <c r="G341" s="283">
        <f>VLOOKUP(D341,upahbahan,3,FALSE)</f>
        <v>160000</v>
      </c>
      <c r="H341" s="284">
        <f>F341*G341</f>
        <v>1760</v>
      </c>
    </row>
    <row r="342" spans="3:11" ht="22.2" customHeight="1">
      <c r="C342" s="66" t="s">
        <v>1208</v>
      </c>
      <c r="D342" s="67"/>
      <c r="E342" s="67"/>
      <c r="F342" s="68"/>
      <c r="G342" s="69"/>
      <c r="H342" s="284">
        <f>SUM(H338:H341)</f>
        <v>117260</v>
      </c>
    </row>
    <row r="343" spans="3:11" ht="22.2" customHeight="1">
      <c r="C343" s="290" t="s">
        <v>1209</v>
      </c>
      <c r="D343" s="182" t="s">
        <v>1210</v>
      </c>
      <c r="E343" s="70"/>
      <c r="F343" s="70"/>
      <c r="G343" s="70"/>
      <c r="H343" s="71"/>
    </row>
    <row r="344" spans="3:11" ht="22.2" customHeight="1">
      <c r="C344" s="310" t="s">
        <v>1203</v>
      </c>
      <c r="D344" s="285" t="s">
        <v>260</v>
      </c>
      <c r="E344" s="176" t="s">
        <v>65</v>
      </c>
      <c r="F344" s="330">
        <v>0.4</v>
      </c>
      <c r="G344" s="283">
        <f>VLOOKUP(D344,upahbahan,3,FALSE)</f>
        <v>33901.875</v>
      </c>
      <c r="H344" s="284">
        <f>F344*G344</f>
        <v>13560.75</v>
      </c>
    </row>
    <row r="345" spans="3:11" ht="22.2" customHeight="1">
      <c r="C345" s="310" t="s">
        <v>1204</v>
      </c>
      <c r="D345" s="285" t="s">
        <v>755</v>
      </c>
      <c r="E345" s="176" t="s">
        <v>529</v>
      </c>
      <c r="F345" s="330">
        <v>0.2</v>
      </c>
      <c r="G345" s="283">
        <f>VLOOKUP(D345,upahbahan,3,FALSE)</f>
        <v>76500</v>
      </c>
      <c r="H345" s="284">
        <f>F345*G345</f>
        <v>15300</v>
      </c>
    </row>
    <row r="346" spans="3:11" ht="22.2" customHeight="1">
      <c r="C346" s="310" t="s">
        <v>1205</v>
      </c>
      <c r="D346" s="285" t="s">
        <v>115</v>
      </c>
      <c r="E346" s="176" t="s">
        <v>42</v>
      </c>
      <c r="F346" s="330">
        <v>4.6499999999999996E-3</v>
      </c>
      <c r="G346" s="283">
        <f>VLOOKUP(D346,upahbahan,3,FALSE)</f>
        <v>5904000</v>
      </c>
      <c r="H346" s="284">
        <f>F346*G346</f>
        <v>27453.599999999999</v>
      </c>
    </row>
    <row r="347" spans="3:11" ht="22.2" customHeight="1">
      <c r="C347" s="310" t="s">
        <v>1206</v>
      </c>
      <c r="D347" s="285" t="s">
        <v>136</v>
      </c>
      <c r="E347" s="176" t="s">
        <v>129</v>
      </c>
      <c r="F347" s="330">
        <v>0.12705</v>
      </c>
      <c r="G347" s="283">
        <f>VLOOKUP(D347,upahbahan,3,FALSE)</f>
        <v>157500</v>
      </c>
      <c r="H347" s="284">
        <f>F347*G347</f>
        <v>20010.375</v>
      </c>
    </row>
    <row r="348" spans="3:11" ht="22.2" customHeight="1">
      <c r="C348" s="310" t="s">
        <v>1207</v>
      </c>
      <c r="D348" s="285" t="s">
        <v>112</v>
      </c>
      <c r="E348" s="176" t="s">
        <v>106</v>
      </c>
      <c r="F348" s="330">
        <v>0.65</v>
      </c>
      <c r="G348" s="283">
        <f>VLOOKUP(D348,upahbahan,3,FALSE)</f>
        <v>5625</v>
      </c>
      <c r="H348" s="284">
        <f>F348*G348</f>
        <v>3656.25</v>
      </c>
    </row>
    <row r="349" spans="3:11" ht="22.2" customHeight="1">
      <c r="C349" s="66" t="s">
        <v>1214</v>
      </c>
      <c r="D349" s="67"/>
      <c r="E349" s="67"/>
      <c r="F349" s="67"/>
      <c r="G349" s="69"/>
      <c r="H349" s="284">
        <f>SUM(H344:H348)</f>
        <v>79980.975000000006</v>
      </c>
    </row>
    <row r="350" spans="3:11" ht="22.2" customHeight="1">
      <c r="C350" s="290" t="s">
        <v>1215</v>
      </c>
      <c r="D350" s="182" t="s">
        <v>1216</v>
      </c>
      <c r="E350" s="70"/>
      <c r="F350" s="70"/>
      <c r="G350" s="70"/>
      <c r="H350" s="105"/>
    </row>
    <row r="351" spans="3:11" ht="22.2" customHeight="1">
      <c r="C351" s="66" t="s">
        <v>1217</v>
      </c>
      <c r="D351" s="67"/>
      <c r="E351" s="67"/>
      <c r="F351" s="67"/>
      <c r="G351" s="69"/>
      <c r="H351" s="292">
        <v>0</v>
      </c>
    </row>
    <row r="352" spans="3:11" s="297" customFormat="1" ht="22.2" customHeight="1">
      <c r="C352" s="293" t="s">
        <v>1218</v>
      </c>
      <c r="D352" s="294" t="s">
        <v>1219</v>
      </c>
      <c r="E352" s="295"/>
      <c r="F352" s="295"/>
      <c r="G352" s="296"/>
      <c r="H352" s="284">
        <f>H351+H349+H342</f>
        <v>197240.97500000001</v>
      </c>
      <c r="I352" s="119"/>
      <c r="J352" s="119"/>
      <c r="K352" s="119"/>
    </row>
    <row r="353" spans="3:11" s="297" customFormat="1" ht="22.2" customHeight="1">
      <c r="C353" s="293" t="s">
        <v>1220</v>
      </c>
      <c r="D353" s="294" t="s">
        <v>1321</v>
      </c>
      <c r="E353" s="295"/>
      <c r="F353" s="296"/>
      <c r="G353" s="298">
        <f>$O$9</f>
        <v>0.1</v>
      </c>
      <c r="H353" s="284">
        <f>H352*G353</f>
        <v>19724.097500000003</v>
      </c>
      <c r="I353" s="119"/>
      <c r="J353" s="119"/>
      <c r="K353" s="119"/>
    </row>
    <row r="354" spans="3:11" s="297" customFormat="1" ht="22.2" customHeight="1" thickBot="1">
      <c r="C354" s="299" t="s">
        <v>1221</v>
      </c>
      <c r="D354" s="300" t="s">
        <v>1222</v>
      </c>
      <c r="E354" s="301"/>
      <c r="F354" s="301"/>
      <c r="G354" s="302"/>
      <c r="H354" s="303">
        <f>SUM(H352:H353)</f>
        <v>216965.07250000001</v>
      </c>
      <c r="I354" s="119"/>
      <c r="J354" s="119"/>
      <c r="K354" s="119"/>
    </row>
    <row r="355" spans="3:11" ht="14.4" thickTop="1"/>
    <row r="356" spans="3:11" ht="22.2" customHeight="1" thickBot="1">
      <c r="C356" s="126" t="s">
        <v>2252</v>
      </c>
      <c r="D356" s="48" t="s">
        <v>1305</v>
      </c>
      <c r="E356" s="48"/>
      <c r="F356" s="48"/>
      <c r="G356" s="48"/>
      <c r="H356" s="48"/>
      <c r="I356" s="120">
        <f>ROUNDDOWN(H375,-2)</f>
        <v>223000</v>
      </c>
      <c r="J356" s="120"/>
      <c r="K356" s="120"/>
    </row>
    <row r="357" spans="3:11" s="289" customFormat="1" ht="31.65" customHeight="1" thickTop="1">
      <c r="C357" s="51" t="s">
        <v>1195</v>
      </c>
      <c r="D357" s="52" t="s">
        <v>1196</v>
      </c>
      <c r="E357" s="52" t="s">
        <v>1197</v>
      </c>
      <c r="F357" s="52" t="s">
        <v>1198</v>
      </c>
      <c r="G357" s="52" t="s">
        <v>1199</v>
      </c>
      <c r="H357" s="53" t="s">
        <v>1200</v>
      </c>
      <c r="I357" s="126"/>
      <c r="J357" s="126"/>
      <c r="K357" s="126"/>
    </row>
    <row r="358" spans="3:11" ht="22.2" customHeight="1">
      <c r="C358" s="290" t="s">
        <v>1201</v>
      </c>
      <c r="D358" s="182" t="s">
        <v>1202</v>
      </c>
      <c r="E358" s="70"/>
      <c r="F358" s="70"/>
      <c r="G358" s="70"/>
      <c r="H358" s="71"/>
    </row>
    <row r="359" spans="3:11" ht="22.2" customHeight="1">
      <c r="C359" s="281">
        <v>1</v>
      </c>
      <c r="D359" s="182" t="s">
        <v>5</v>
      </c>
      <c r="E359" s="176" t="s">
        <v>6</v>
      </c>
      <c r="F359" s="282">
        <v>0.66</v>
      </c>
      <c r="G359" s="283">
        <f>VLOOKUP(D359,upahbahan,3,FALSE)</f>
        <v>100000</v>
      </c>
      <c r="H359" s="284">
        <f>F359*G359</f>
        <v>66000</v>
      </c>
    </row>
    <row r="360" spans="3:11" ht="22.2" customHeight="1">
      <c r="C360" s="281">
        <v>2</v>
      </c>
      <c r="D360" s="182" t="s">
        <v>8</v>
      </c>
      <c r="E360" s="176" t="s">
        <v>6</v>
      </c>
      <c r="F360" s="282">
        <v>0.33</v>
      </c>
      <c r="G360" s="283">
        <f>VLOOKUP(D360,upahbahan,3,FALSE)</f>
        <v>135000</v>
      </c>
      <c r="H360" s="284">
        <f>F360*G360</f>
        <v>44550</v>
      </c>
    </row>
    <row r="361" spans="3:11" s="59" customFormat="1" ht="22.2" customHeight="1">
      <c r="C361" s="281">
        <v>3</v>
      </c>
      <c r="D361" s="182" t="s">
        <v>18</v>
      </c>
      <c r="E361" s="176" t="s">
        <v>6</v>
      </c>
      <c r="F361" s="282">
        <v>3.3000000000000002E-2</v>
      </c>
      <c r="G361" s="283">
        <f>VLOOKUP(D361,upahbahan,3,FALSE)</f>
        <v>150000</v>
      </c>
      <c r="H361" s="284">
        <f>F361*G361</f>
        <v>4950</v>
      </c>
      <c r="I361" s="119"/>
      <c r="J361" s="119"/>
      <c r="K361" s="119"/>
    </row>
    <row r="362" spans="3:11" ht="22.2" customHeight="1">
      <c r="C362" s="281">
        <v>4</v>
      </c>
      <c r="D362" s="182" t="s">
        <v>19</v>
      </c>
      <c r="E362" s="176" t="s">
        <v>6</v>
      </c>
      <c r="F362" s="282">
        <v>1.0999999999999999E-2</v>
      </c>
      <c r="G362" s="283">
        <f>VLOOKUP(D362,upahbahan,3,FALSE)</f>
        <v>160000</v>
      </c>
      <c r="H362" s="284">
        <f>F362*G362</f>
        <v>1760</v>
      </c>
    </row>
    <row r="363" spans="3:11" ht="22.2" customHeight="1">
      <c r="C363" s="66" t="s">
        <v>1208</v>
      </c>
      <c r="D363" s="67"/>
      <c r="E363" s="67"/>
      <c r="F363" s="68"/>
      <c r="G363" s="69"/>
      <c r="H363" s="284">
        <f>SUM(H359:H362)</f>
        <v>117260</v>
      </c>
    </row>
    <row r="364" spans="3:11" ht="22.2" customHeight="1">
      <c r="C364" s="290" t="s">
        <v>1209</v>
      </c>
      <c r="D364" s="182" t="s">
        <v>1210</v>
      </c>
      <c r="E364" s="70"/>
      <c r="F364" s="70"/>
      <c r="G364" s="70"/>
      <c r="H364" s="71"/>
    </row>
    <row r="365" spans="3:11" ht="22.2" customHeight="1">
      <c r="C365" s="310" t="s">
        <v>1203</v>
      </c>
      <c r="D365" s="285" t="s">
        <v>260</v>
      </c>
      <c r="E365" s="176" t="s">
        <v>65</v>
      </c>
      <c r="F365" s="330">
        <v>0.4</v>
      </c>
      <c r="G365" s="283">
        <f>VLOOKUP(D365,upahbahan,3,FALSE)</f>
        <v>33901.875</v>
      </c>
      <c r="H365" s="284">
        <f>F365*G365</f>
        <v>13560.75</v>
      </c>
    </row>
    <row r="366" spans="3:11" ht="22.2" customHeight="1">
      <c r="C366" s="310" t="s">
        <v>1204</v>
      </c>
      <c r="D366" s="285" t="s">
        <v>755</v>
      </c>
      <c r="E366" s="176" t="s">
        <v>529</v>
      </c>
      <c r="F366" s="330">
        <v>0.2</v>
      </c>
      <c r="G366" s="283">
        <f>VLOOKUP(D366,upahbahan,3,FALSE)</f>
        <v>76500</v>
      </c>
      <c r="H366" s="284">
        <f>F366*G366</f>
        <v>15300</v>
      </c>
    </row>
    <row r="367" spans="3:11" ht="22.2" customHeight="1">
      <c r="C367" s="310" t="s">
        <v>1205</v>
      </c>
      <c r="D367" s="285" t="s">
        <v>115</v>
      </c>
      <c r="E367" s="176" t="s">
        <v>42</v>
      </c>
      <c r="F367" s="330">
        <v>5.5799999999999999E-3</v>
      </c>
      <c r="G367" s="283">
        <f>VLOOKUP(D367,upahbahan,3,FALSE)</f>
        <v>5904000</v>
      </c>
      <c r="H367" s="284">
        <f>F367*G367</f>
        <v>32944.32</v>
      </c>
    </row>
    <row r="368" spans="3:11" ht="22.2" customHeight="1">
      <c r="C368" s="310" t="s">
        <v>1206</v>
      </c>
      <c r="D368" s="285" t="s">
        <v>136</v>
      </c>
      <c r="E368" s="176" t="s">
        <v>129</v>
      </c>
      <c r="F368" s="330">
        <v>0.12705</v>
      </c>
      <c r="G368" s="283">
        <f>VLOOKUP(D368,upahbahan,3,FALSE)</f>
        <v>157500</v>
      </c>
      <c r="H368" s="284">
        <f>F368*G368</f>
        <v>20010.375</v>
      </c>
    </row>
    <row r="369" spans="3:11" ht="22.2" customHeight="1">
      <c r="C369" s="310" t="s">
        <v>1207</v>
      </c>
      <c r="D369" s="285" t="s">
        <v>112</v>
      </c>
      <c r="E369" s="176" t="s">
        <v>106</v>
      </c>
      <c r="F369" s="330">
        <v>0.65</v>
      </c>
      <c r="G369" s="283">
        <f>VLOOKUP(D369,upahbahan,3,FALSE)</f>
        <v>5625</v>
      </c>
      <c r="H369" s="284">
        <f>F369*G369</f>
        <v>3656.25</v>
      </c>
    </row>
    <row r="370" spans="3:11" ht="22.2" customHeight="1">
      <c r="C370" s="66" t="s">
        <v>1214</v>
      </c>
      <c r="D370" s="67"/>
      <c r="E370" s="67"/>
      <c r="F370" s="67"/>
      <c r="G370" s="69"/>
      <c r="H370" s="284">
        <f>SUM(H365:H369)</f>
        <v>85471.695000000007</v>
      </c>
    </row>
    <row r="371" spans="3:11" ht="22.2" customHeight="1">
      <c r="C371" s="290" t="s">
        <v>1215</v>
      </c>
      <c r="D371" s="182" t="s">
        <v>1216</v>
      </c>
      <c r="E371" s="70"/>
      <c r="F371" s="70"/>
      <c r="G371" s="70"/>
      <c r="H371" s="105"/>
    </row>
    <row r="372" spans="3:11" ht="22.2" customHeight="1">
      <c r="C372" s="66" t="s">
        <v>1217</v>
      </c>
      <c r="D372" s="67"/>
      <c r="E372" s="67"/>
      <c r="F372" s="67"/>
      <c r="G372" s="69"/>
      <c r="H372" s="292">
        <v>0</v>
      </c>
    </row>
    <row r="373" spans="3:11" s="297" customFormat="1" ht="22.2" customHeight="1">
      <c r="C373" s="293" t="s">
        <v>1218</v>
      </c>
      <c r="D373" s="294" t="s">
        <v>1219</v>
      </c>
      <c r="E373" s="295"/>
      <c r="F373" s="295"/>
      <c r="G373" s="296"/>
      <c r="H373" s="284">
        <f>H372+H370+H363</f>
        <v>202731.69500000001</v>
      </c>
      <c r="I373" s="119"/>
      <c r="J373" s="119"/>
      <c r="K373" s="119"/>
    </row>
    <row r="374" spans="3:11" s="297" customFormat="1" ht="22.2" customHeight="1">
      <c r="C374" s="293" t="s">
        <v>1220</v>
      </c>
      <c r="D374" s="294" t="s">
        <v>1321</v>
      </c>
      <c r="E374" s="295"/>
      <c r="F374" s="296"/>
      <c r="G374" s="298">
        <f>$O$9</f>
        <v>0.1</v>
      </c>
      <c r="H374" s="284">
        <f>H373*G374</f>
        <v>20273.169500000004</v>
      </c>
      <c r="I374" s="119"/>
      <c r="J374" s="119"/>
      <c r="K374" s="119"/>
    </row>
    <row r="375" spans="3:11" s="297" customFormat="1" ht="22.2" customHeight="1" thickBot="1">
      <c r="C375" s="299" t="s">
        <v>1221</v>
      </c>
      <c r="D375" s="300" t="s">
        <v>1222</v>
      </c>
      <c r="E375" s="301"/>
      <c r="F375" s="301"/>
      <c r="G375" s="302"/>
      <c r="H375" s="303">
        <f>SUM(H373:H374)</f>
        <v>223004.86450000003</v>
      </c>
      <c r="I375" s="119"/>
      <c r="J375" s="119"/>
      <c r="K375" s="119"/>
    </row>
    <row r="376" spans="3:11" s="297" customFormat="1" ht="14.4" thickTop="1">
      <c r="C376" s="289"/>
      <c r="H376" s="139"/>
      <c r="I376" s="119"/>
      <c r="J376" s="119"/>
      <c r="K376" s="119"/>
    </row>
    <row r="377" spans="3:11" ht="14.4" thickBot="1">
      <c r="C377" s="119" t="s">
        <v>2253</v>
      </c>
      <c r="D377" s="48" t="s">
        <v>1306</v>
      </c>
      <c r="E377" s="48"/>
      <c r="F377" s="48"/>
      <c r="G377" s="48"/>
      <c r="H377" s="48"/>
      <c r="I377" s="120">
        <f>ROUNDDOWN(H396,-2)</f>
        <v>225000</v>
      </c>
      <c r="J377" s="120"/>
      <c r="K377" s="120"/>
    </row>
    <row r="378" spans="3:11" s="289" customFormat="1" ht="31.65" customHeight="1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  <c r="I378" s="126"/>
      <c r="J378" s="126"/>
      <c r="K378" s="126"/>
    </row>
    <row r="379" spans="3:11" ht="22.8" customHeight="1">
      <c r="C379" s="290" t="s">
        <v>1201</v>
      </c>
      <c r="D379" s="182" t="s">
        <v>1202</v>
      </c>
      <c r="E379" s="70"/>
      <c r="F379" s="70"/>
      <c r="G379" s="70"/>
      <c r="H379" s="71"/>
    </row>
    <row r="380" spans="3:11" ht="22.8" customHeight="1">
      <c r="C380" s="281">
        <v>1</v>
      </c>
      <c r="D380" s="182" t="s">
        <v>5</v>
      </c>
      <c r="E380" s="176" t="s">
        <v>6</v>
      </c>
      <c r="F380" s="282">
        <v>0.66</v>
      </c>
      <c r="G380" s="283">
        <f>VLOOKUP(D380,upahbahan,3,FALSE)</f>
        <v>100000</v>
      </c>
      <c r="H380" s="284">
        <f>F380*G380</f>
        <v>66000</v>
      </c>
    </row>
    <row r="381" spans="3:11" ht="22.8" customHeight="1">
      <c r="C381" s="281">
        <v>2</v>
      </c>
      <c r="D381" s="182" t="s">
        <v>8</v>
      </c>
      <c r="E381" s="176" t="s">
        <v>6</v>
      </c>
      <c r="F381" s="282">
        <v>0.33</v>
      </c>
      <c r="G381" s="283">
        <f>VLOOKUP(D381,upahbahan,3,FALSE)</f>
        <v>135000</v>
      </c>
      <c r="H381" s="284">
        <f>F381*G381</f>
        <v>44550</v>
      </c>
    </row>
    <row r="382" spans="3:11" s="59" customFormat="1" ht="22.8" customHeight="1">
      <c r="C382" s="281">
        <v>3</v>
      </c>
      <c r="D382" s="182" t="s">
        <v>18</v>
      </c>
      <c r="E382" s="176" t="s">
        <v>6</v>
      </c>
      <c r="F382" s="282">
        <v>3.3000000000000002E-2</v>
      </c>
      <c r="G382" s="283">
        <f>VLOOKUP(D382,upahbahan,3,FALSE)</f>
        <v>150000</v>
      </c>
      <c r="H382" s="284">
        <f>F382*G382</f>
        <v>4950</v>
      </c>
      <c r="I382" s="119"/>
      <c r="J382" s="119"/>
      <c r="K382" s="119"/>
    </row>
    <row r="383" spans="3:11" ht="22.8" customHeight="1">
      <c r="C383" s="281">
        <v>4</v>
      </c>
      <c r="D383" s="182" t="s">
        <v>19</v>
      </c>
      <c r="E383" s="176" t="s">
        <v>6</v>
      </c>
      <c r="F383" s="282">
        <v>1.0999999999999999E-2</v>
      </c>
      <c r="G383" s="283">
        <f>VLOOKUP(D383,upahbahan,3,FALSE)</f>
        <v>160000</v>
      </c>
      <c r="H383" s="284">
        <f>F383*G383</f>
        <v>1760</v>
      </c>
    </row>
    <row r="384" spans="3:11" ht="22.8" customHeight="1">
      <c r="C384" s="66" t="s">
        <v>1208</v>
      </c>
      <c r="D384" s="67"/>
      <c r="E384" s="67"/>
      <c r="F384" s="68"/>
      <c r="G384" s="69"/>
      <c r="H384" s="284">
        <f>SUM(H380:H383)</f>
        <v>117260</v>
      </c>
    </row>
    <row r="385" spans="3:11" ht="22.8" customHeight="1">
      <c r="C385" s="290" t="s">
        <v>1209</v>
      </c>
      <c r="D385" s="182" t="s">
        <v>1210</v>
      </c>
      <c r="E385" s="70"/>
      <c r="F385" s="70"/>
      <c r="G385" s="70"/>
      <c r="H385" s="71"/>
    </row>
    <row r="386" spans="3:11" ht="22.8" customHeight="1">
      <c r="C386" s="310" t="s">
        <v>1203</v>
      </c>
      <c r="D386" s="285" t="s">
        <v>262</v>
      </c>
      <c r="E386" s="176" t="s">
        <v>65</v>
      </c>
      <c r="F386" s="330">
        <v>0.4</v>
      </c>
      <c r="G386" s="283">
        <f>VLOOKUP(D386,upahbahan,3,FALSE)</f>
        <v>33901.875</v>
      </c>
      <c r="H386" s="284">
        <f>F386*G386</f>
        <v>13560.75</v>
      </c>
    </row>
    <row r="387" spans="3:11" ht="22.8" customHeight="1">
      <c r="C387" s="310" t="s">
        <v>1204</v>
      </c>
      <c r="D387" s="285" t="s">
        <v>755</v>
      </c>
      <c r="E387" s="176" t="s">
        <v>529</v>
      </c>
      <c r="F387" s="330">
        <v>0.2</v>
      </c>
      <c r="G387" s="283">
        <f>VLOOKUP(D387,upahbahan,3,FALSE)</f>
        <v>76500</v>
      </c>
      <c r="H387" s="284">
        <f>F387*G387</f>
        <v>15300</v>
      </c>
    </row>
    <row r="388" spans="3:11" ht="22.8" customHeight="1">
      <c r="C388" s="310" t="s">
        <v>1205</v>
      </c>
      <c r="D388" s="285" t="s">
        <v>115</v>
      </c>
      <c r="E388" s="176" t="s">
        <v>42</v>
      </c>
      <c r="F388" s="330">
        <v>4.6499999999999996E-3</v>
      </c>
      <c r="G388" s="283">
        <f>VLOOKUP(D388,upahbahan,3,FALSE)</f>
        <v>5904000</v>
      </c>
      <c r="H388" s="284">
        <f>F388*G388</f>
        <v>27453.599999999999</v>
      </c>
    </row>
    <row r="389" spans="3:11" ht="22.8" customHeight="1">
      <c r="C389" s="310" t="s">
        <v>1206</v>
      </c>
      <c r="D389" s="285" t="s">
        <v>136</v>
      </c>
      <c r="E389" s="176" t="s">
        <v>129</v>
      </c>
      <c r="F389" s="330">
        <v>0.127</v>
      </c>
      <c r="G389" s="283">
        <f>VLOOKUP(D389,upahbahan,3,FALSE)</f>
        <v>157500</v>
      </c>
      <c r="H389" s="284">
        <f>F389*G389</f>
        <v>20002.5</v>
      </c>
    </row>
    <row r="390" spans="3:11" ht="22.8" customHeight="1">
      <c r="C390" s="310" t="s">
        <v>1207</v>
      </c>
      <c r="D390" s="285" t="s">
        <v>112</v>
      </c>
      <c r="E390" s="176" t="s">
        <v>106</v>
      </c>
      <c r="F390" s="330">
        <v>1.95</v>
      </c>
      <c r="G390" s="283">
        <f>VLOOKUP(D390,upahbahan,3,FALSE)</f>
        <v>5625</v>
      </c>
      <c r="H390" s="284">
        <f>F390*G390</f>
        <v>10968.75</v>
      </c>
    </row>
    <row r="391" spans="3:11" ht="22.8" customHeight="1">
      <c r="C391" s="66" t="s">
        <v>1214</v>
      </c>
      <c r="D391" s="67"/>
      <c r="E391" s="67"/>
      <c r="F391" s="67"/>
      <c r="G391" s="69"/>
      <c r="H391" s="284">
        <f>SUM(H386:H390)</f>
        <v>87285.6</v>
      </c>
    </row>
    <row r="392" spans="3:11" ht="22.8" customHeight="1">
      <c r="C392" s="290" t="s">
        <v>1215</v>
      </c>
      <c r="D392" s="182" t="s">
        <v>1216</v>
      </c>
      <c r="E392" s="70"/>
      <c r="F392" s="70"/>
      <c r="G392" s="70"/>
      <c r="H392" s="105"/>
    </row>
    <row r="393" spans="3:11" ht="22.8" customHeight="1">
      <c r="C393" s="66" t="s">
        <v>1217</v>
      </c>
      <c r="D393" s="67"/>
      <c r="E393" s="67"/>
      <c r="F393" s="67"/>
      <c r="G393" s="69"/>
      <c r="H393" s="292">
        <v>0</v>
      </c>
    </row>
    <row r="394" spans="3:11" s="297" customFormat="1" ht="22.8" customHeight="1">
      <c r="C394" s="293" t="s">
        <v>1218</v>
      </c>
      <c r="D394" s="294" t="s">
        <v>1219</v>
      </c>
      <c r="E394" s="295"/>
      <c r="F394" s="295"/>
      <c r="G394" s="296"/>
      <c r="H394" s="284">
        <f>H393+H391+H384</f>
        <v>204545.6</v>
      </c>
      <c r="I394" s="119"/>
      <c r="J394" s="119"/>
      <c r="K394" s="119"/>
    </row>
    <row r="395" spans="3:11" s="297" customFormat="1" ht="22.8" customHeight="1">
      <c r="C395" s="293" t="s">
        <v>1220</v>
      </c>
      <c r="D395" s="294" t="s">
        <v>1321</v>
      </c>
      <c r="E395" s="295"/>
      <c r="F395" s="296"/>
      <c r="G395" s="298">
        <f>$O$9</f>
        <v>0.1</v>
      </c>
      <c r="H395" s="284">
        <f>H394*G395</f>
        <v>20454.560000000001</v>
      </c>
      <c r="I395" s="119"/>
      <c r="J395" s="119"/>
      <c r="K395" s="119"/>
    </row>
    <row r="396" spans="3:11" s="297" customFormat="1" ht="22.8" customHeight="1" thickBot="1">
      <c r="C396" s="299" t="s">
        <v>1221</v>
      </c>
      <c r="D396" s="300" t="s">
        <v>1222</v>
      </c>
      <c r="E396" s="301"/>
      <c r="F396" s="301"/>
      <c r="G396" s="302"/>
      <c r="H396" s="303">
        <f>SUM(H394:H395)</f>
        <v>225000.16</v>
      </c>
      <c r="I396" s="119"/>
      <c r="J396" s="119"/>
      <c r="K396" s="119"/>
    </row>
    <row r="397" spans="3:11" s="297" customFormat="1" ht="14.4" thickTop="1">
      <c r="C397" s="289"/>
      <c r="H397" s="139"/>
      <c r="I397" s="119"/>
      <c r="J397" s="119"/>
      <c r="K397" s="119"/>
    </row>
    <row r="398" spans="3:11" ht="14.4" thickBot="1">
      <c r="C398" s="119" t="s">
        <v>2254</v>
      </c>
      <c r="D398" s="48" t="s">
        <v>1307</v>
      </c>
      <c r="E398" s="48"/>
      <c r="F398" s="48"/>
      <c r="G398" s="48"/>
      <c r="H398" s="48"/>
      <c r="I398" s="120">
        <f>ROUNDDOWN(H418,-2)</f>
        <v>287100</v>
      </c>
      <c r="J398" s="120"/>
      <c r="K398" s="120"/>
    </row>
    <row r="399" spans="3:11" s="289" customFormat="1" ht="31.65" customHeight="1" thickTop="1">
      <c r="C399" s="51" t="s">
        <v>1195</v>
      </c>
      <c r="D399" s="52" t="s">
        <v>1196</v>
      </c>
      <c r="E399" s="52" t="s">
        <v>1197</v>
      </c>
      <c r="F399" s="52" t="s">
        <v>1198</v>
      </c>
      <c r="G399" s="52" t="s">
        <v>1199</v>
      </c>
      <c r="H399" s="53" t="s">
        <v>1200</v>
      </c>
      <c r="I399" s="126"/>
      <c r="J399" s="126"/>
      <c r="K399" s="126"/>
    </row>
    <row r="400" spans="3:11" ht="22.2" customHeight="1">
      <c r="C400" s="290" t="s">
        <v>1201</v>
      </c>
      <c r="D400" s="182" t="s">
        <v>1202</v>
      </c>
      <c r="E400" s="70"/>
      <c r="F400" s="70"/>
      <c r="G400" s="70"/>
      <c r="H400" s="71"/>
    </row>
    <row r="401" spans="3:11" ht="22.2" customHeight="1">
      <c r="C401" s="281">
        <v>1</v>
      </c>
      <c r="D401" s="182" t="s">
        <v>5</v>
      </c>
      <c r="E401" s="176" t="s">
        <v>6</v>
      </c>
      <c r="F401" s="282">
        <v>0.66</v>
      </c>
      <c r="G401" s="283">
        <f>VLOOKUP(D401,upahbahan,3,FALSE)</f>
        <v>100000</v>
      </c>
      <c r="H401" s="284">
        <f>F401*G401</f>
        <v>66000</v>
      </c>
    </row>
    <row r="402" spans="3:11" ht="22.2" customHeight="1">
      <c r="C402" s="281">
        <v>2</v>
      </c>
      <c r="D402" s="182" t="s">
        <v>8</v>
      </c>
      <c r="E402" s="176" t="s">
        <v>6</v>
      </c>
      <c r="F402" s="282">
        <v>0.33</v>
      </c>
      <c r="G402" s="283">
        <f>VLOOKUP(D402,upahbahan,3,FALSE)</f>
        <v>135000</v>
      </c>
      <c r="H402" s="284">
        <f>F402*G402</f>
        <v>44550</v>
      </c>
    </row>
    <row r="403" spans="3:11" s="59" customFormat="1" ht="22.2" customHeight="1">
      <c r="C403" s="281">
        <v>3</v>
      </c>
      <c r="D403" s="182" t="s">
        <v>18</v>
      </c>
      <c r="E403" s="176" t="s">
        <v>6</v>
      </c>
      <c r="F403" s="282">
        <v>3.3000000000000002E-2</v>
      </c>
      <c r="G403" s="283">
        <f>VLOOKUP(D403,upahbahan,3,FALSE)</f>
        <v>150000</v>
      </c>
      <c r="H403" s="284">
        <f>F403*G403</f>
        <v>4950</v>
      </c>
      <c r="I403" s="119"/>
      <c r="J403" s="119"/>
      <c r="K403" s="119"/>
    </row>
    <row r="404" spans="3:11" ht="22.2" customHeight="1">
      <c r="C404" s="281">
        <v>4</v>
      </c>
      <c r="D404" s="182" t="s">
        <v>19</v>
      </c>
      <c r="E404" s="176" t="s">
        <v>6</v>
      </c>
      <c r="F404" s="282">
        <v>1.0999999999999999E-2</v>
      </c>
      <c r="G404" s="283">
        <f>VLOOKUP(D404,upahbahan,3,FALSE)</f>
        <v>160000</v>
      </c>
      <c r="H404" s="284">
        <f>F404*G404</f>
        <v>1760</v>
      </c>
    </row>
    <row r="405" spans="3:11" ht="22.2" customHeight="1">
      <c r="C405" s="66" t="s">
        <v>1208</v>
      </c>
      <c r="D405" s="67"/>
      <c r="E405" s="67"/>
      <c r="F405" s="68"/>
      <c r="G405" s="69"/>
      <c r="H405" s="284">
        <f>SUM(H401:H404)</f>
        <v>117260</v>
      </c>
    </row>
    <row r="406" spans="3:11" ht="22.2" customHeight="1">
      <c r="C406" s="290" t="s">
        <v>1209</v>
      </c>
      <c r="D406" s="182" t="s">
        <v>1210</v>
      </c>
      <c r="E406" s="70"/>
      <c r="F406" s="70"/>
      <c r="G406" s="70"/>
      <c r="H406" s="71"/>
    </row>
    <row r="407" spans="3:11" ht="22.2" customHeight="1">
      <c r="C407" s="310" t="s">
        <v>1203</v>
      </c>
      <c r="D407" s="285" t="s">
        <v>262</v>
      </c>
      <c r="E407" s="176" t="s">
        <v>65</v>
      </c>
      <c r="F407" s="330">
        <v>0.4</v>
      </c>
      <c r="G407" s="283">
        <f t="shared" ref="G407:G412" si="0">VLOOKUP(D407,upahbahan,3,FALSE)</f>
        <v>33901.875</v>
      </c>
      <c r="H407" s="284">
        <f t="shared" ref="H407:H412" si="1">F407*G407</f>
        <v>13560.75</v>
      </c>
    </row>
    <row r="408" spans="3:11" ht="22.2" customHeight="1">
      <c r="C408" s="310" t="s">
        <v>1204</v>
      </c>
      <c r="D408" s="285" t="s">
        <v>755</v>
      </c>
      <c r="E408" s="176" t="s">
        <v>529</v>
      </c>
      <c r="F408" s="330">
        <v>0.2</v>
      </c>
      <c r="G408" s="283">
        <f t="shared" si="0"/>
        <v>76500</v>
      </c>
      <c r="H408" s="284">
        <f t="shared" si="1"/>
        <v>15300</v>
      </c>
    </row>
    <row r="409" spans="3:11" ht="22.2" customHeight="1">
      <c r="C409" s="310" t="s">
        <v>1205</v>
      </c>
      <c r="D409" s="285" t="s">
        <v>115</v>
      </c>
      <c r="E409" s="176" t="s">
        <v>42</v>
      </c>
      <c r="F409" s="330">
        <v>6.0000000000000001E-3</v>
      </c>
      <c r="G409" s="283">
        <f t="shared" si="0"/>
        <v>5904000</v>
      </c>
      <c r="H409" s="284">
        <f t="shared" si="1"/>
        <v>35424</v>
      </c>
    </row>
    <row r="410" spans="3:11" ht="22.2" customHeight="1">
      <c r="C410" s="310" t="s">
        <v>1206</v>
      </c>
      <c r="D410" s="285" t="s">
        <v>136</v>
      </c>
      <c r="E410" s="176" t="s">
        <v>129</v>
      </c>
      <c r="F410" s="330">
        <v>0.127</v>
      </c>
      <c r="G410" s="283">
        <f t="shared" si="0"/>
        <v>157500</v>
      </c>
      <c r="H410" s="284">
        <f t="shared" si="1"/>
        <v>20002.5</v>
      </c>
    </row>
    <row r="411" spans="3:11" ht="22.2" customHeight="1">
      <c r="C411" s="310" t="s">
        <v>1207</v>
      </c>
      <c r="D411" s="285" t="s">
        <v>112</v>
      </c>
      <c r="E411" s="176" t="s">
        <v>106</v>
      </c>
      <c r="F411" s="330">
        <v>0.97499999999999998</v>
      </c>
      <c r="G411" s="283">
        <f t="shared" si="0"/>
        <v>5625</v>
      </c>
      <c r="H411" s="284">
        <f t="shared" si="1"/>
        <v>5484.375</v>
      </c>
    </row>
    <row r="412" spans="3:11" ht="22.2" customHeight="1">
      <c r="C412" s="310" t="s">
        <v>1211</v>
      </c>
      <c r="D412" s="285" t="s">
        <v>546</v>
      </c>
      <c r="E412" s="176" t="s">
        <v>44</v>
      </c>
      <c r="F412" s="330">
        <v>4</v>
      </c>
      <c r="G412" s="283">
        <f t="shared" si="0"/>
        <v>13500</v>
      </c>
      <c r="H412" s="284">
        <f t="shared" si="1"/>
        <v>54000</v>
      </c>
    </row>
    <row r="413" spans="3:11" ht="22.2" customHeight="1">
      <c r="C413" s="66" t="s">
        <v>1214</v>
      </c>
      <c r="D413" s="67"/>
      <c r="E413" s="67"/>
      <c r="F413" s="67"/>
      <c r="G413" s="69"/>
      <c r="H413" s="284">
        <f>SUM(H407:H412)</f>
        <v>143771.625</v>
      </c>
    </row>
    <row r="414" spans="3:11" ht="22.2" customHeight="1">
      <c r="C414" s="290" t="s">
        <v>1215</v>
      </c>
      <c r="D414" s="182" t="s">
        <v>1216</v>
      </c>
      <c r="E414" s="70"/>
      <c r="F414" s="70"/>
      <c r="G414" s="70"/>
      <c r="H414" s="105"/>
    </row>
    <row r="415" spans="3:11" ht="22.2" customHeight="1">
      <c r="C415" s="66" t="s">
        <v>1217</v>
      </c>
      <c r="D415" s="67"/>
      <c r="E415" s="67"/>
      <c r="F415" s="67"/>
      <c r="G415" s="69"/>
      <c r="H415" s="292">
        <v>0</v>
      </c>
    </row>
    <row r="416" spans="3:11" s="297" customFormat="1" ht="22.2" customHeight="1">
      <c r="C416" s="293" t="s">
        <v>1218</v>
      </c>
      <c r="D416" s="294" t="s">
        <v>1219</v>
      </c>
      <c r="E416" s="295"/>
      <c r="F416" s="295"/>
      <c r="G416" s="296"/>
      <c r="H416" s="284">
        <f>H415+H413+H405</f>
        <v>261031.625</v>
      </c>
      <c r="I416" s="119"/>
      <c r="J416" s="119"/>
      <c r="K416" s="119"/>
    </row>
    <row r="417" spans="3:11" s="297" customFormat="1" ht="22.2" customHeight="1">
      <c r="C417" s="293" t="s">
        <v>1220</v>
      </c>
      <c r="D417" s="294" t="s">
        <v>1321</v>
      </c>
      <c r="E417" s="295"/>
      <c r="F417" s="296"/>
      <c r="G417" s="298">
        <f>$O$9</f>
        <v>0.1</v>
      </c>
      <c r="H417" s="284">
        <f>H416*G417</f>
        <v>26103.162500000002</v>
      </c>
      <c r="I417" s="119"/>
      <c r="J417" s="119"/>
      <c r="K417" s="119"/>
    </row>
    <row r="418" spans="3:11" s="297" customFormat="1" ht="22.2" customHeight="1" thickBot="1">
      <c r="C418" s="299" t="s">
        <v>1221</v>
      </c>
      <c r="D418" s="300" t="s">
        <v>1222</v>
      </c>
      <c r="E418" s="301"/>
      <c r="F418" s="301"/>
      <c r="G418" s="302"/>
      <c r="H418" s="303">
        <f>SUM(H416:H417)</f>
        <v>287134.78749999998</v>
      </c>
      <c r="I418" s="119"/>
      <c r="J418" s="119"/>
      <c r="K418" s="119"/>
    </row>
    <row r="419" spans="3:11" ht="14.4" thickTop="1"/>
    <row r="420" spans="3:11" ht="14.4" thickBot="1">
      <c r="C420" s="119" t="s">
        <v>2255</v>
      </c>
      <c r="D420" s="48" t="s">
        <v>1308</v>
      </c>
      <c r="E420" s="48"/>
      <c r="F420" s="48"/>
      <c r="G420" s="48"/>
      <c r="H420" s="48"/>
      <c r="I420" s="120">
        <f>ROUNDDOWN(H439,-2)</f>
        <v>215000</v>
      </c>
      <c r="J420" s="120"/>
      <c r="K420" s="120"/>
    </row>
    <row r="421" spans="3:11" s="289" customFormat="1" ht="31.65" customHeight="1" thickTop="1">
      <c r="C421" s="51" t="s">
        <v>1195</v>
      </c>
      <c r="D421" s="52" t="s">
        <v>1196</v>
      </c>
      <c r="E421" s="52" t="s">
        <v>1197</v>
      </c>
      <c r="F421" s="52" t="s">
        <v>1198</v>
      </c>
      <c r="G421" s="52" t="s">
        <v>1199</v>
      </c>
      <c r="H421" s="53" t="s">
        <v>1200</v>
      </c>
      <c r="I421" s="126"/>
      <c r="J421" s="126"/>
      <c r="K421" s="126"/>
    </row>
    <row r="422" spans="3:11" ht="21.6" customHeight="1">
      <c r="C422" s="290" t="s">
        <v>1201</v>
      </c>
      <c r="D422" s="182" t="s">
        <v>1202</v>
      </c>
      <c r="E422" s="70"/>
      <c r="F422" s="70"/>
      <c r="G422" s="70"/>
      <c r="H422" s="71"/>
    </row>
    <row r="423" spans="3:11" ht="21.6" customHeight="1">
      <c r="C423" s="281">
        <v>1</v>
      </c>
      <c r="D423" s="182" t="s">
        <v>5</v>
      </c>
      <c r="E423" s="176" t="s">
        <v>6</v>
      </c>
      <c r="F423" s="282">
        <v>0.66</v>
      </c>
      <c r="G423" s="283">
        <f>VLOOKUP(D423,upahbahan,3,FALSE)</f>
        <v>100000</v>
      </c>
      <c r="H423" s="284">
        <f>F423*G423</f>
        <v>66000</v>
      </c>
    </row>
    <row r="424" spans="3:11" ht="21.6" customHeight="1">
      <c r="C424" s="281">
        <v>2</v>
      </c>
      <c r="D424" s="182" t="s">
        <v>8</v>
      </c>
      <c r="E424" s="176" t="s">
        <v>6</v>
      </c>
      <c r="F424" s="282">
        <v>0.33</v>
      </c>
      <c r="G424" s="283">
        <f>VLOOKUP(D424,upahbahan,3,FALSE)</f>
        <v>135000</v>
      </c>
      <c r="H424" s="284">
        <f>F424*G424</f>
        <v>44550</v>
      </c>
    </row>
    <row r="425" spans="3:11" s="59" customFormat="1" ht="21.6" customHeight="1">
      <c r="C425" s="281">
        <v>3</v>
      </c>
      <c r="D425" s="182" t="s">
        <v>18</v>
      </c>
      <c r="E425" s="176" t="s">
        <v>6</v>
      </c>
      <c r="F425" s="282">
        <v>3.3000000000000002E-2</v>
      </c>
      <c r="G425" s="283">
        <f>VLOOKUP(D425,upahbahan,3,FALSE)</f>
        <v>150000</v>
      </c>
      <c r="H425" s="284">
        <f>F425*G425</f>
        <v>4950</v>
      </c>
      <c r="I425" s="119"/>
      <c r="J425" s="119"/>
      <c r="K425" s="119"/>
    </row>
    <row r="426" spans="3:11" ht="21.6" customHeight="1">
      <c r="C426" s="281">
        <v>4</v>
      </c>
      <c r="D426" s="182" t="s">
        <v>19</v>
      </c>
      <c r="E426" s="176" t="s">
        <v>6</v>
      </c>
      <c r="F426" s="282">
        <v>1.0999999999999999E-2</v>
      </c>
      <c r="G426" s="283">
        <f>VLOOKUP(D426,upahbahan,3,FALSE)</f>
        <v>160000</v>
      </c>
      <c r="H426" s="284">
        <f>F426*G426</f>
        <v>1760</v>
      </c>
    </row>
    <row r="427" spans="3:11" ht="21.6" customHeight="1">
      <c r="C427" s="66" t="s">
        <v>1208</v>
      </c>
      <c r="D427" s="67"/>
      <c r="E427" s="67"/>
      <c r="F427" s="68"/>
      <c r="G427" s="69"/>
      <c r="H427" s="284">
        <f>SUM(H423:H426)</f>
        <v>117260</v>
      </c>
    </row>
    <row r="428" spans="3:11" ht="21.6" customHeight="1">
      <c r="C428" s="290" t="s">
        <v>1209</v>
      </c>
      <c r="D428" s="182" t="s">
        <v>1210</v>
      </c>
      <c r="E428" s="70"/>
      <c r="F428" s="70"/>
      <c r="G428" s="70"/>
      <c r="H428" s="71"/>
    </row>
    <row r="429" spans="3:11" ht="21.6" customHeight="1">
      <c r="C429" s="310" t="s">
        <v>1203</v>
      </c>
      <c r="D429" s="285" t="s">
        <v>262</v>
      </c>
      <c r="E429" s="176" t="s">
        <v>65</v>
      </c>
      <c r="F429" s="282">
        <v>0.4</v>
      </c>
      <c r="G429" s="283">
        <f>VLOOKUP(D429,upahbahan,3,FALSE)</f>
        <v>33901.875</v>
      </c>
      <c r="H429" s="284">
        <f>F429*G429</f>
        <v>13560.75</v>
      </c>
    </row>
    <row r="430" spans="3:11" ht="21.6" customHeight="1">
      <c r="C430" s="310" t="s">
        <v>1204</v>
      </c>
      <c r="D430" s="285" t="s">
        <v>755</v>
      </c>
      <c r="E430" s="176" t="s">
        <v>529</v>
      </c>
      <c r="F430" s="282">
        <v>0.15</v>
      </c>
      <c r="G430" s="283">
        <f>VLOOKUP(D430,upahbahan,3,FALSE)</f>
        <v>76500</v>
      </c>
      <c r="H430" s="284">
        <f>F430*G430</f>
        <v>11475</v>
      </c>
    </row>
    <row r="431" spans="3:11" ht="21.6" customHeight="1">
      <c r="C431" s="310" t="s">
        <v>1205</v>
      </c>
      <c r="D431" s="285" t="s">
        <v>115</v>
      </c>
      <c r="E431" s="176" t="s">
        <v>42</v>
      </c>
      <c r="F431" s="282">
        <v>5.0000000000000001E-3</v>
      </c>
      <c r="G431" s="283">
        <f>VLOOKUP(D431,upahbahan,3,FALSE)</f>
        <v>5904000</v>
      </c>
      <c r="H431" s="284">
        <f>F431*G431</f>
        <v>29520</v>
      </c>
    </row>
    <row r="432" spans="3:11" ht="21.6" customHeight="1">
      <c r="C432" s="310" t="s">
        <v>1206</v>
      </c>
      <c r="D432" s="285" t="s">
        <v>136</v>
      </c>
      <c r="E432" s="176" t="s">
        <v>129</v>
      </c>
      <c r="F432" s="282">
        <v>0.127</v>
      </c>
      <c r="G432" s="283">
        <f>VLOOKUP(D432,upahbahan,3,FALSE)</f>
        <v>157500</v>
      </c>
      <c r="H432" s="284">
        <f>F432*G432</f>
        <v>20002.5</v>
      </c>
    </row>
    <row r="433" spans="3:11" ht="21.6" customHeight="1">
      <c r="C433" s="310" t="s">
        <v>1207</v>
      </c>
      <c r="D433" s="285" t="s">
        <v>112</v>
      </c>
      <c r="E433" s="176" t="s">
        <v>106</v>
      </c>
      <c r="F433" s="282">
        <v>0.65</v>
      </c>
      <c r="G433" s="283">
        <f>VLOOKUP(D433,upahbahan,3,FALSE)</f>
        <v>5625</v>
      </c>
      <c r="H433" s="284">
        <f>F433*G433</f>
        <v>3656.25</v>
      </c>
    </row>
    <row r="434" spans="3:11" ht="21.6" customHeight="1">
      <c r="C434" s="66" t="s">
        <v>1214</v>
      </c>
      <c r="D434" s="67"/>
      <c r="E434" s="67"/>
      <c r="F434" s="67"/>
      <c r="G434" s="69"/>
      <c r="H434" s="284">
        <f>SUM(H429:H433)</f>
        <v>78214.5</v>
      </c>
    </row>
    <row r="435" spans="3:11" ht="21.6" customHeight="1">
      <c r="C435" s="290" t="s">
        <v>1215</v>
      </c>
      <c r="D435" s="182" t="s">
        <v>1216</v>
      </c>
      <c r="E435" s="70"/>
      <c r="F435" s="70"/>
      <c r="G435" s="70"/>
      <c r="H435" s="105"/>
    </row>
    <row r="436" spans="3:11" ht="21.6" customHeight="1">
      <c r="C436" s="66" t="s">
        <v>1217</v>
      </c>
      <c r="D436" s="67"/>
      <c r="E436" s="67"/>
      <c r="F436" s="67"/>
      <c r="G436" s="69"/>
      <c r="H436" s="292">
        <v>0</v>
      </c>
    </row>
    <row r="437" spans="3:11" s="297" customFormat="1" ht="21.6" customHeight="1">
      <c r="C437" s="293" t="s">
        <v>1218</v>
      </c>
      <c r="D437" s="294" t="s">
        <v>1219</v>
      </c>
      <c r="E437" s="295"/>
      <c r="F437" s="295"/>
      <c r="G437" s="296"/>
      <c r="H437" s="284">
        <f>H436+H434+H427</f>
        <v>195474.5</v>
      </c>
      <c r="I437" s="119"/>
      <c r="J437" s="119"/>
      <c r="K437" s="119"/>
    </row>
    <row r="438" spans="3:11" s="297" customFormat="1" ht="21.6" customHeight="1">
      <c r="C438" s="293" t="s">
        <v>1220</v>
      </c>
      <c r="D438" s="294" t="s">
        <v>1321</v>
      </c>
      <c r="E438" s="295"/>
      <c r="F438" s="296"/>
      <c r="G438" s="298">
        <f>$O$9</f>
        <v>0.1</v>
      </c>
      <c r="H438" s="284">
        <f>H437*G438</f>
        <v>19547.45</v>
      </c>
      <c r="I438" s="119"/>
      <c r="J438" s="119"/>
      <c r="K438" s="119"/>
    </row>
    <row r="439" spans="3:11" s="297" customFormat="1" ht="21.6" customHeight="1" thickBot="1">
      <c r="C439" s="299" t="s">
        <v>1221</v>
      </c>
      <c r="D439" s="300" t="s">
        <v>1222</v>
      </c>
      <c r="E439" s="301"/>
      <c r="F439" s="301"/>
      <c r="G439" s="302"/>
      <c r="H439" s="303">
        <f>SUM(H437:H438)</f>
        <v>215021.95</v>
      </c>
      <c r="I439" s="119"/>
      <c r="J439" s="119"/>
      <c r="K439" s="119"/>
    </row>
    <row r="440" spans="3:11" s="297" customFormat="1" ht="14.4" thickTop="1">
      <c r="C440" s="289"/>
      <c r="H440" s="139"/>
      <c r="I440" s="119"/>
      <c r="J440" s="119"/>
      <c r="K440" s="119"/>
    </row>
    <row r="441" spans="3:11" ht="14.4" thickBot="1">
      <c r="C441" s="280" t="s">
        <v>2256</v>
      </c>
      <c r="D441" s="48" t="s">
        <v>1309</v>
      </c>
      <c r="E441" s="48"/>
      <c r="F441" s="48"/>
      <c r="G441" s="48"/>
      <c r="H441" s="48"/>
      <c r="I441" s="120">
        <f>ROUNDDOWN(H458,-2)</f>
        <v>85200</v>
      </c>
      <c r="J441" s="120"/>
      <c r="K441" s="120"/>
    </row>
    <row r="442" spans="3:11" s="289" customFormat="1" ht="31.65" customHeight="1" thickTop="1">
      <c r="C442" s="51" t="s">
        <v>1195</v>
      </c>
      <c r="D442" s="52" t="s">
        <v>1196</v>
      </c>
      <c r="E442" s="52" t="s">
        <v>1197</v>
      </c>
      <c r="F442" s="52" t="s">
        <v>1198</v>
      </c>
      <c r="G442" s="52" t="s">
        <v>1199</v>
      </c>
      <c r="H442" s="53" t="s">
        <v>1200</v>
      </c>
      <c r="I442" s="126"/>
      <c r="J442" s="126"/>
      <c r="K442" s="126"/>
    </row>
    <row r="443" spans="3:11" ht="24.6" customHeight="1">
      <c r="C443" s="290" t="s">
        <v>1201</v>
      </c>
      <c r="D443" s="182" t="s">
        <v>1202</v>
      </c>
      <c r="E443" s="70"/>
      <c r="F443" s="70"/>
      <c r="G443" s="70"/>
      <c r="H443" s="71"/>
    </row>
    <row r="444" spans="3:11" ht="24.6" customHeight="1">
      <c r="C444" s="281">
        <v>1</v>
      </c>
      <c r="D444" s="182" t="s">
        <v>5</v>
      </c>
      <c r="E444" s="176" t="s">
        <v>6</v>
      </c>
      <c r="F444" s="282">
        <v>0.15</v>
      </c>
      <c r="G444" s="283">
        <f>VLOOKUP(D444,upahbahan,3,FALSE)</f>
        <v>100000</v>
      </c>
      <c r="H444" s="284">
        <f>F444*G444</f>
        <v>15000</v>
      </c>
    </row>
    <row r="445" spans="3:11" ht="24.6" customHeight="1">
      <c r="C445" s="281">
        <v>2</v>
      </c>
      <c r="D445" s="182" t="s">
        <v>8</v>
      </c>
      <c r="E445" s="176" t="s">
        <v>6</v>
      </c>
      <c r="F445" s="282">
        <v>0.05</v>
      </c>
      <c r="G445" s="283">
        <f>VLOOKUP(D445,upahbahan,3,FALSE)</f>
        <v>135000</v>
      </c>
      <c r="H445" s="284">
        <f>F445*G445</f>
        <v>6750</v>
      </c>
    </row>
    <row r="446" spans="3:11" s="59" customFormat="1" ht="24.6" customHeight="1">
      <c r="C446" s="281">
        <v>3</v>
      </c>
      <c r="D446" s="182" t="s">
        <v>18</v>
      </c>
      <c r="E446" s="176" t="s">
        <v>6</v>
      </c>
      <c r="F446" s="282">
        <v>5.0000000000000001E-3</v>
      </c>
      <c r="G446" s="283">
        <f>VLOOKUP(D446,upahbahan,3,FALSE)</f>
        <v>150000</v>
      </c>
      <c r="H446" s="284">
        <f>F446*G446</f>
        <v>750</v>
      </c>
      <c r="I446" s="119"/>
      <c r="J446" s="119"/>
      <c r="K446" s="119"/>
    </row>
    <row r="447" spans="3:11" ht="24.6" customHeight="1">
      <c r="C447" s="281">
        <v>4</v>
      </c>
      <c r="D447" s="182" t="s">
        <v>19</v>
      </c>
      <c r="E447" s="176" t="s">
        <v>6</v>
      </c>
      <c r="F447" s="282">
        <v>2E-3</v>
      </c>
      <c r="G447" s="283">
        <f>VLOOKUP(D447,upahbahan,3,FALSE)</f>
        <v>160000</v>
      </c>
      <c r="H447" s="284">
        <f>F447*G447</f>
        <v>320</v>
      </c>
    </row>
    <row r="448" spans="3:11" ht="24.6" customHeight="1">
      <c r="C448" s="66" t="s">
        <v>1208</v>
      </c>
      <c r="D448" s="67"/>
      <c r="E448" s="67"/>
      <c r="F448" s="68"/>
      <c r="G448" s="69"/>
      <c r="H448" s="284">
        <f>SUM(H444:H447)</f>
        <v>22820</v>
      </c>
    </row>
    <row r="449" spans="3:11" ht="24.6" customHeight="1">
      <c r="C449" s="290" t="s">
        <v>1209</v>
      </c>
      <c r="D449" s="182" t="s">
        <v>1210</v>
      </c>
      <c r="E449" s="70"/>
      <c r="F449" s="70"/>
      <c r="G449" s="70"/>
      <c r="H449" s="71"/>
    </row>
    <row r="450" spans="3:11" ht="24.6" customHeight="1">
      <c r="C450" s="310" t="s">
        <v>1203</v>
      </c>
      <c r="D450" s="285" t="s">
        <v>124</v>
      </c>
      <c r="E450" s="176" t="s">
        <v>42</v>
      </c>
      <c r="F450" s="315">
        <v>1.06E-2</v>
      </c>
      <c r="G450" s="283">
        <f>VLOOKUP(D450,upahbahan,3,FALSE)</f>
        <v>3150000</v>
      </c>
      <c r="H450" s="284">
        <f>F450*G450</f>
        <v>33390</v>
      </c>
    </row>
    <row r="451" spans="3:11" ht="24.6" customHeight="1">
      <c r="C451" s="310" t="s">
        <v>1204</v>
      </c>
      <c r="D451" s="285" t="s">
        <v>260</v>
      </c>
      <c r="E451" s="176" t="s">
        <v>65</v>
      </c>
      <c r="F451" s="315">
        <v>0.6</v>
      </c>
      <c r="G451" s="283">
        <f>VLOOKUP(D451,upahbahan,3,FALSE)</f>
        <v>33901.875</v>
      </c>
      <c r="H451" s="284">
        <f>F451*G451</f>
        <v>20341.125</v>
      </c>
    </row>
    <row r="452" spans="3:11" ht="24.6" customHeight="1">
      <c r="C452" s="310" t="s">
        <v>1205</v>
      </c>
      <c r="D452" s="285" t="s">
        <v>112</v>
      </c>
      <c r="E452" s="176" t="s">
        <v>106</v>
      </c>
      <c r="F452" s="315">
        <v>0.16250000000000001</v>
      </c>
      <c r="G452" s="283">
        <f>VLOOKUP(D452,upahbahan,3,FALSE)</f>
        <v>5625</v>
      </c>
      <c r="H452" s="284">
        <f>F452*G452</f>
        <v>914.0625</v>
      </c>
    </row>
    <row r="453" spans="3:11" ht="24.6" customHeight="1">
      <c r="C453" s="66" t="s">
        <v>1214</v>
      </c>
      <c r="D453" s="67"/>
      <c r="E453" s="67"/>
      <c r="F453" s="67"/>
      <c r="G453" s="69"/>
      <c r="H453" s="284">
        <f>SUM(H450:H452)</f>
        <v>54645.1875</v>
      </c>
    </row>
    <row r="454" spans="3:11" ht="24.6" customHeight="1">
      <c r="C454" s="290" t="s">
        <v>1215</v>
      </c>
      <c r="D454" s="182" t="s">
        <v>1216</v>
      </c>
      <c r="E454" s="70"/>
      <c r="F454" s="70"/>
      <c r="G454" s="70"/>
      <c r="H454" s="105"/>
    </row>
    <row r="455" spans="3:11" ht="24.6" customHeight="1">
      <c r="C455" s="66" t="s">
        <v>1217</v>
      </c>
      <c r="D455" s="67"/>
      <c r="E455" s="67"/>
      <c r="F455" s="67"/>
      <c r="G455" s="69"/>
      <c r="H455" s="292">
        <v>0</v>
      </c>
    </row>
    <row r="456" spans="3:11" s="297" customFormat="1" ht="24.6" customHeight="1">
      <c r="C456" s="293" t="s">
        <v>1218</v>
      </c>
      <c r="D456" s="294" t="s">
        <v>1219</v>
      </c>
      <c r="E456" s="295"/>
      <c r="F456" s="295"/>
      <c r="G456" s="296"/>
      <c r="H456" s="284">
        <f>H455+H453+H448</f>
        <v>77465.1875</v>
      </c>
      <c r="I456" s="119"/>
      <c r="J456" s="119"/>
      <c r="K456" s="119"/>
    </row>
    <row r="457" spans="3:11" s="297" customFormat="1" ht="24.6" customHeight="1">
      <c r="C457" s="293" t="s">
        <v>1220</v>
      </c>
      <c r="D457" s="294" t="s">
        <v>1321</v>
      </c>
      <c r="E457" s="295"/>
      <c r="F457" s="296"/>
      <c r="G457" s="298">
        <f>$O$9</f>
        <v>0.1</v>
      </c>
      <c r="H457" s="284">
        <f>H456*G457</f>
        <v>7746.5187500000002</v>
      </c>
      <c r="I457" s="119"/>
      <c r="J457" s="119"/>
      <c r="K457" s="119"/>
    </row>
    <row r="458" spans="3:11" s="297" customFormat="1" ht="24.6" customHeight="1" thickBot="1">
      <c r="C458" s="299" t="s">
        <v>1221</v>
      </c>
      <c r="D458" s="300" t="s">
        <v>1222</v>
      </c>
      <c r="E458" s="301"/>
      <c r="F458" s="301"/>
      <c r="G458" s="302"/>
      <c r="H458" s="303">
        <f>SUM(H456:H457)</f>
        <v>85211.706250000003</v>
      </c>
      <c r="I458" s="119"/>
      <c r="J458" s="119"/>
      <c r="K458" s="119"/>
    </row>
    <row r="459" spans="3:11" ht="14.4" thickTop="1"/>
    <row r="460" spans="3:11" ht="33.75" customHeight="1" thickBot="1">
      <c r="C460" s="119" t="s">
        <v>2257</v>
      </c>
      <c r="D460" s="47" t="s">
        <v>2258</v>
      </c>
      <c r="E460" s="88"/>
      <c r="F460" s="88"/>
      <c r="G460" s="88"/>
      <c r="H460" s="88"/>
      <c r="I460" s="120">
        <f>ROUNDDOWN(H472,-2)</f>
        <v>5100</v>
      </c>
      <c r="J460" s="120"/>
      <c r="K460" s="120"/>
    </row>
    <row r="461" spans="3:11" s="289" customFormat="1" ht="31.65" customHeight="1" thickTop="1">
      <c r="C461" s="51" t="s">
        <v>1195</v>
      </c>
      <c r="D461" s="52" t="s">
        <v>1196</v>
      </c>
      <c r="E461" s="52" t="s">
        <v>1197</v>
      </c>
      <c r="F461" s="52" t="s">
        <v>1198</v>
      </c>
      <c r="G461" s="52" t="s">
        <v>1199</v>
      </c>
      <c r="H461" s="53" t="s">
        <v>1200</v>
      </c>
      <c r="I461" s="126"/>
      <c r="J461" s="126"/>
      <c r="K461" s="126"/>
    </row>
    <row r="462" spans="3:11" ht="21.6" customHeight="1">
      <c r="C462" s="290" t="s">
        <v>1201</v>
      </c>
      <c r="D462" s="182" t="s">
        <v>1202</v>
      </c>
      <c r="E462" s="70"/>
      <c r="F462" s="70"/>
      <c r="G462" s="70"/>
      <c r="H462" s="71"/>
    </row>
    <row r="463" spans="3:11" ht="21.6" customHeight="1">
      <c r="C463" s="310" t="s">
        <v>1203</v>
      </c>
      <c r="D463" s="182" t="s">
        <v>5</v>
      </c>
      <c r="E463" s="176" t="s">
        <v>6</v>
      </c>
      <c r="F463" s="282">
        <v>0.04</v>
      </c>
      <c r="G463" s="283">
        <f>VLOOKUP(D463,upahbahan,3,FALSE)</f>
        <v>100000</v>
      </c>
      <c r="H463" s="284">
        <f>F463*G463</f>
        <v>4000</v>
      </c>
    </row>
    <row r="464" spans="3:11" ht="21.6" customHeight="1">
      <c r="C464" s="310" t="s">
        <v>1204</v>
      </c>
      <c r="D464" s="182" t="s">
        <v>19</v>
      </c>
      <c r="E464" s="176" t="s">
        <v>6</v>
      </c>
      <c r="F464" s="282">
        <v>4.0000000000000001E-3</v>
      </c>
      <c r="G464" s="283">
        <f>VLOOKUP(D464,upahbahan,3,FALSE)</f>
        <v>160000</v>
      </c>
      <c r="H464" s="284">
        <f>F464*G464</f>
        <v>640</v>
      </c>
    </row>
    <row r="465" spans="3:15" ht="21.6" customHeight="1">
      <c r="C465" s="66" t="s">
        <v>1208</v>
      </c>
      <c r="D465" s="67"/>
      <c r="E465" s="67"/>
      <c r="F465" s="68"/>
      <c r="G465" s="69"/>
      <c r="H465" s="284">
        <f>SUM(H463:H464)</f>
        <v>4640</v>
      </c>
    </row>
    <row r="466" spans="3:15" ht="21.6" customHeight="1">
      <c r="C466" s="290" t="s">
        <v>1209</v>
      </c>
      <c r="D466" s="182" t="s">
        <v>1210</v>
      </c>
      <c r="E466" s="70"/>
      <c r="F466" s="70"/>
      <c r="G466" s="70"/>
      <c r="H466" s="71"/>
    </row>
    <row r="467" spans="3:15" ht="21.6" customHeight="1">
      <c r="C467" s="66" t="s">
        <v>1214</v>
      </c>
      <c r="D467" s="67"/>
      <c r="E467" s="67"/>
      <c r="F467" s="67"/>
      <c r="G467" s="69"/>
      <c r="H467" s="292">
        <v>0</v>
      </c>
    </row>
    <row r="468" spans="3:15" ht="21.6" customHeight="1">
      <c r="C468" s="290" t="s">
        <v>1215</v>
      </c>
      <c r="D468" s="182" t="s">
        <v>1216</v>
      </c>
      <c r="E468" s="70"/>
      <c r="F468" s="70"/>
      <c r="G468" s="70"/>
      <c r="H468" s="105"/>
    </row>
    <row r="469" spans="3:15" ht="21.6" customHeight="1">
      <c r="C469" s="66" t="s">
        <v>1217</v>
      </c>
      <c r="D469" s="67"/>
      <c r="E469" s="67"/>
      <c r="F469" s="67"/>
      <c r="G469" s="69"/>
      <c r="H469" s="292">
        <v>0</v>
      </c>
    </row>
    <row r="470" spans="3:15" s="297" customFormat="1" ht="21.6" customHeight="1">
      <c r="C470" s="293" t="s">
        <v>1218</v>
      </c>
      <c r="D470" s="294" t="s">
        <v>1219</v>
      </c>
      <c r="E470" s="295"/>
      <c r="F470" s="295"/>
      <c r="G470" s="296"/>
      <c r="H470" s="284">
        <f>H469+H467+H465</f>
        <v>4640</v>
      </c>
      <c r="I470" s="119"/>
      <c r="J470" s="119"/>
      <c r="K470" s="119"/>
    </row>
    <row r="471" spans="3:15" s="297" customFormat="1" ht="21.6" customHeight="1">
      <c r="C471" s="293" t="s">
        <v>1220</v>
      </c>
      <c r="D471" s="294" t="s">
        <v>1321</v>
      </c>
      <c r="E471" s="295"/>
      <c r="F471" s="296"/>
      <c r="G471" s="298">
        <f>$O$9</f>
        <v>0.1</v>
      </c>
      <c r="H471" s="284">
        <f>H470*G471</f>
        <v>464</v>
      </c>
      <c r="I471" s="119"/>
      <c r="J471" s="119"/>
      <c r="K471" s="119"/>
    </row>
    <row r="472" spans="3:15" s="297" customFormat="1" ht="21.6" customHeight="1" thickBot="1">
      <c r="C472" s="299" t="s">
        <v>1221</v>
      </c>
      <c r="D472" s="300" t="s">
        <v>1222</v>
      </c>
      <c r="E472" s="301"/>
      <c r="F472" s="301"/>
      <c r="G472" s="302"/>
      <c r="H472" s="303">
        <f>SUM(H470:H471)</f>
        <v>5104</v>
      </c>
      <c r="I472" s="119"/>
      <c r="J472" s="119"/>
      <c r="K472" s="119"/>
    </row>
    <row r="473" spans="3:15" ht="14.4" thickTop="1"/>
    <row r="474" spans="3:15" ht="25.5" customHeight="1" thickBot="1">
      <c r="C474" s="119" t="s">
        <v>2259</v>
      </c>
      <c r="D474" s="47" t="s">
        <v>2260</v>
      </c>
      <c r="E474" s="88"/>
      <c r="F474" s="88"/>
      <c r="G474" s="88"/>
      <c r="H474" s="88"/>
      <c r="I474" s="120">
        <f>ROUNDDOWN(H486,-2)</f>
        <v>7600</v>
      </c>
      <c r="J474" s="120"/>
      <c r="K474" s="120"/>
      <c r="O474" s="333"/>
    </row>
    <row r="475" spans="3:15" s="289" customFormat="1" ht="31.65" customHeight="1" thickTop="1">
      <c r="C475" s="51" t="s">
        <v>1195</v>
      </c>
      <c r="D475" s="52" t="s">
        <v>1196</v>
      </c>
      <c r="E475" s="52" t="s">
        <v>1197</v>
      </c>
      <c r="F475" s="52" t="s">
        <v>1198</v>
      </c>
      <c r="G475" s="52" t="s">
        <v>1199</v>
      </c>
      <c r="H475" s="53" t="s">
        <v>1200</v>
      </c>
      <c r="I475" s="126"/>
      <c r="J475" s="126"/>
      <c r="K475" s="126"/>
      <c r="O475" s="333"/>
    </row>
    <row r="476" spans="3:15" ht="21.6" customHeight="1">
      <c r="C476" s="290" t="s">
        <v>1201</v>
      </c>
      <c r="D476" s="182" t="s">
        <v>1202</v>
      </c>
      <c r="E476" s="70"/>
      <c r="F476" s="70"/>
      <c r="G476" s="70"/>
      <c r="H476" s="71"/>
      <c r="O476" s="333"/>
    </row>
    <row r="477" spans="3:15" ht="21.6" customHeight="1">
      <c r="C477" s="310" t="s">
        <v>1203</v>
      </c>
      <c r="D477" s="182" t="s">
        <v>5</v>
      </c>
      <c r="E477" s="176" t="s">
        <v>6</v>
      </c>
      <c r="F477" s="282">
        <v>0.06</v>
      </c>
      <c r="G477" s="283">
        <f>VLOOKUP(D477,upahbahan,3,FALSE)</f>
        <v>100000</v>
      </c>
      <c r="H477" s="284">
        <f>F477*G477</f>
        <v>6000</v>
      </c>
      <c r="O477" s="333"/>
    </row>
    <row r="478" spans="3:15" ht="21.6" customHeight="1">
      <c r="C478" s="310" t="s">
        <v>1204</v>
      </c>
      <c r="D478" s="182" t="s">
        <v>19</v>
      </c>
      <c r="E478" s="176" t="s">
        <v>6</v>
      </c>
      <c r="F478" s="282">
        <v>6.0000000000000001E-3</v>
      </c>
      <c r="G478" s="283">
        <f>VLOOKUP(D478,upahbahan,3,FALSE)</f>
        <v>160000</v>
      </c>
      <c r="H478" s="284">
        <f>F478*G478</f>
        <v>960</v>
      </c>
      <c r="O478" s="333"/>
    </row>
    <row r="479" spans="3:15" ht="21.6" customHeight="1">
      <c r="C479" s="66" t="s">
        <v>1208</v>
      </c>
      <c r="D479" s="67"/>
      <c r="E479" s="67"/>
      <c r="F479" s="68"/>
      <c r="G479" s="69"/>
      <c r="H479" s="284">
        <f>SUM(H477:H478)</f>
        <v>6960</v>
      </c>
    </row>
    <row r="480" spans="3:15" ht="21.6" customHeight="1">
      <c r="C480" s="290" t="s">
        <v>1209</v>
      </c>
      <c r="D480" s="182" t="s">
        <v>1210</v>
      </c>
      <c r="E480" s="70"/>
      <c r="F480" s="70"/>
      <c r="G480" s="70"/>
      <c r="H480" s="71"/>
    </row>
    <row r="481" spans="3:15" ht="21.6" customHeight="1">
      <c r="C481" s="66" t="s">
        <v>1214</v>
      </c>
      <c r="D481" s="67"/>
      <c r="E481" s="67"/>
      <c r="F481" s="67"/>
      <c r="G481" s="69"/>
      <c r="H481" s="292">
        <v>0</v>
      </c>
    </row>
    <row r="482" spans="3:15" ht="21.6" customHeight="1">
      <c r="C482" s="290" t="s">
        <v>1215</v>
      </c>
      <c r="D482" s="182" t="s">
        <v>1216</v>
      </c>
      <c r="E482" s="70"/>
      <c r="F482" s="70"/>
      <c r="G482" s="70"/>
      <c r="H482" s="105"/>
    </row>
    <row r="483" spans="3:15" ht="21.6" customHeight="1">
      <c r="C483" s="66" t="s">
        <v>1217</v>
      </c>
      <c r="D483" s="67"/>
      <c r="E483" s="67"/>
      <c r="F483" s="67"/>
      <c r="G483" s="69"/>
      <c r="H483" s="292">
        <v>0</v>
      </c>
    </row>
    <row r="484" spans="3:15" s="297" customFormat="1" ht="21.6" customHeight="1">
      <c r="C484" s="293" t="s">
        <v>1218</v>
      </c>
      <c r="D484" s="294" t="s">
        <v>1219</v>
      </c>
      <c r="E484" s="295"/>
      <c r="F484" s="295"/>
      <c r="G484" s="296"/>
      <c r="H484" s="284">
        <f>H483+H481+H479</f>
        <v>6960</v>
      </c>
      <c r="I484" s="119"/>
      <c r="J484" s="119"/>
      <c r="K484" s="119"/>
    </row>
    <row r="485" spans="3:15" s="297" customFormat="1" ht="21.6" customHeight="1">
      <c r="C485" s="293" t="s">
        <v>1220</v>
      </c>
      <c r="D485" s="294" t="s">
        <v>1321</v>
      </c>
      <c r="E485" s="295"/>
      <c r="F485" s="296"/>
      <c r="G485" s="298">
        <f>$O$9</f>
        <v>0.1</v>
      </c>
      <c r="H485" s="284">
        <f>H484*G485</f>
        <v>696</v>
      </c>
      <c r="I485" s="119"/>
      <c r="J485" s="119"/>
      <c r="K485" s="119"/>
    </row>
    <row r="486" spans="3:15" s="297" customFormat="1" ht="21.6" customHeight="1" thickBot="1">
      <c r="C486" s="299" t="s">
        <v>1221</v>
      </c>
      <c r="D486" s="300" t="s">
        <v>1222</v>
      </c>
      <c r="E486" s="301"/>
      <c r="F486" s="301"/>
      <c r="G486" s="302"/>
      <c r="H486" s="303">
        <f>SUM(H484:H485)</f>
        <v>7656</v>
      </c>
      <c r="I486" s="119"/>
      <c r="J486" s="119"/>
      <c r="K486" s="119"/>
    </row>
    <row r="487" spans="3:15" ht="14.4" thickTop="1"/>
    <row r="488" spans="3:15">
      <c r="C488" s="126" t="s">
        <v>2261</v>
      </c>
      <c r="D488" s="119" t="s">
        <v>2262</v>
      </c>
    </row>
    <row r="489" spans="3:15" ht="21.15" customHeight="1" thickBot="1">
      <c r="C489" s="126" t="s">
        <v>2263</v>
      </c>
      <c r="D489" s="47" t="s">
        <v>2264</v>
      </c>
      <c r="E489" s="88"/>
      <c r="F489" s="88"/>
      <c r="G489" s="88"/>
      <c r="H489" s="88"/>
      <c r="I489" s="120">
        <f>ROUNDDOWN(H507,-2)</f>
        <v>910600</v>
      </c>
      <c r="J489" s="120"/>
      <c r="K489" s="120"/>
      <c r="O489" s="333"/>
    </row>
    <row r="490" spans="3:15" s="289" customFormat="1" ht="31.65" customHeight="1" thickTop="1">
      <c r="C490" s="51" t="s">
        <v>1195</v>
      </c>
      <c r="D490" s="52" t="s">
        <v>1196</v>
      </c>
      <c r="E490" s="52" t="s">
        <v>1197</v>
      </c>
      <c r="F490" s="52" t="s">
        <v>1198</v>
      </c>
      <c r="G490" s="52" t="s">
        <v>1199</v>
      </c>
      <c r="H490" s="53" t="s">
        <v>1200</v>
      </c>
      <c r="I490" s="126"/>
      <c r="J490" s="126"/>
      <c r="K490" s="126"/>
      <c r="O490" s="333"/>
    </row>
    <row r="491" spans="3:15" ht="21" customHeight="1">
      <c r="C491" s="290" t="s">
        <v>1201</v>
      </c>
      <c r="D491" s="182" t="s">
        <v>1202</v>
      </c>
      <c r="E491" s="70"/>
      <c r="F491" s="70"/>
      <c r="G491" s="70"/>
      <c r="H491" s="71"/>
      <c r="O491" s="333"/>
    </row>
    <row r="492" spans="3:15" ht="21" customHeight="1">
      <c r="C492" s="310" t="s">
        <v>1203</v>
      </c>
      <c r="D492" s="182" t="s">
        <v>5</v>
      </c>
      <c r="E492" s="176" t="s">
        <v>6</v>
      </c>
      <c r="F492" s="282">
        <v>1.65</v>
      </c>
      <c r="G492" s="283">
        <f>VLOOKUP(D492,upahbahan,3,FALSE)</f>
        <v>100000</v>
      </c>
      <c r="H492" s="284">
        <f>F492*G492</f>
        <v>165000</v>
      </c>
      <c r="O492" s="333"/>
    </row>
    <row r="493" spans="3:15" ht="21" customHeight="1">
      <c r="C493" s="310" t="s">
        <v>1204</v>
      </c>
      <c r="D493" s="182" t="s">
        <v>7</v>
      </c>
      <c r="E493" s="176" t="s">
        <v>6</v>
      </c>
      <c r="F493" s="282">
        <v>0.27500000000000002</v>
      </c>
      <c r="G493" s="283">
        <f>VLOOKUP(D493,upahbahan,3,FALSE)</f>
        <v>135000</v>
      </c>
      <c r="H493" s="284">
        <f>F493*G493</f>
        <v>37125</v>
      </c>
      <c r="O493" s="333"/>
    </row>
    <row r="494" spans="3:15" ht="21" customHeight="1">
      <c r="C494" s="310" t="s">
        <v>1205</v>
      </c>
      <c r="D494" s="182" t="s">
        <v>1310</v>
      </c>
      <c r="E494" s="176" t="s">
        <v>6</v>
      </c>
      <c r="F494" s="282">
        <v>2.8000000000000001E-2</v>
      </c>
      <c r="G494" s="283">
        <f>VLOOKUP(D494,upahbahan,3,FALSE)</f>
        <v>150000</v>
      </c>
      <c r="H494" s="284">
        <f>F494*G494</f>
        <v>4200</v>
      </c>
      <c r="O494" s="333"/>
    </row>
    <row r="495" spans="3:15" ht="21" customHeight="1">
      <c r="C495" s="310" t="s">
        <v>1206</v>
      </c>
      <c r="D495" s="182" t="s">
        <v>19</v>
      </c>
      <c r="E495" s="176" t="s">
        <v>6</v>
      </c>
      <c r="F495" s="282">
        <v>8.9999999999999993E-3</v>
      </c>
      <c r="G495" s="283">
        <f>VLOOKUP(D495,upahbahan,3,FALSE)</f>
        <v>160000</v>
      </c>
      <c r="H495" s="284">
        <f>F495*G495</f>
        <v>1440</v>
      </c>
      <c r="O495" s="333"/>
    </row>
    <row r="496" spans="3:15" ht="21" customHeight="1">
      <c r="C496" s="66" t="s">
        <v>1208</v>
      </c>
      <c r="D496" s="67"/>
      <c r="E496" s="67"/>
      <c r="F496" s="68"/>
      <c r="G496" s="69"/>
      <c r="H496" s="284">
        <f>SUM(H492:H495)</f>
        <v>207765</v>
      </c>
    </row>
    <row r="497" spans="3:15" ht="21" customHeight="1">
      <c r="C497" s="290" t="s">
        <v>1209</v>
      </c>
      <c r="D497" s="182" t="s">
        <v>1210</v>
      </c>
      <c r="E497" s="70"/>
      <c r="F497" s="70"/>
      <c r="G497" s="70"/>
      <c r="H497" s="71"/>
    </row>
    <row r="498" spans="3:15" ht="21" customHeight="1">
      <c r="C498" s="306" t="s">
        <v>1203</v>
      </c>
      <c r="D498" s="182" t="s">
        <v>1796</v>
      </c>
      <c r="E498" s="124" t="s">
        <v>65</v>
      </c>
      <c r="F498" s="127">
        <v>250</v>
      </c>
      <c r="G498" s="283">
        <f>VLOOKUP(D498,upahbahan,3,FALSE)</f>
        <v>1530</v>
      </c>
      <c r="H498" s="284">
        <f>F498*G498</f>
        <v>382500</v>
      </c>
    </row>
    <row r="499" spans="3:15" ht="21" customHeight="1">
      <c r="C499" s="306" t="s">
        <v>1204</v>
      </c>
      <c r="D499" s="182" t="s">
        <v>79</v>
      </c>
      <c r="E499" s="124" t="s">
        <v>65</v>
      </c>
      <c r="F499" s="127">
        <v>888</v>
      </c>
      <c r="G499" s="283">
        <f>VLOOKUP(D499,upahbahan,3,FALSE)</f>
        <v>221.78700000000001</v>
      </c>
      <c r="H499" s="284">
        <f>F499*G499</f>
        <v>196946.856</v>
      </c>
    </row>
    <row r="500" spans="3:15" ht="21" customHeight="1">
      <c r="C500" s="306" t="s">
        <v>1205</v>
      </c>
      <c r="D500" s="182" t="s">
        <v>72</v>
      </c>
      <c r="E500" s="124" t="s">
        <v>65</v>
      </c>
      <c r="F500" s="127">
        <v>1.0089999999999999</v>
      </c>
      <c r="G500" s="283">
        <f>VLOOKUP(D500,upahbahan,3,FALSE)/1350</f>
        <v>216.66666666666666</v>
      </c>
      <c r="H500" s="284">
        <f>F500*G500</f>
        <v>218.61666666666665</v>
      </c>
    </row>
    <row r="501" spans="3:15" ht="21" customHeight="1">
      <c r="C501" s="306" t="s">
        <v>1206</v>
      </c>
      <c r="D501" s="182" t="s">
        <v>960</v>
      </c>
      <c r="E501" s="124" t="s">
        <v>529</v>
      </c>
      <c r="F501" s="127">
        <v>202</v>
      </c>
      <c r="G501" s="283">
        <f>VLOOKUP(D501,upahbahan,3,FALSE)</f>
        <v>200</v>
      </c>
      <c r="H501" s="284">
        <f>F501*G501</f>
        <v>40400</v>
      </c>
    </row>
    <row r="502" spans="3:15" ht="21" customHeight="1">
      <c r="C502" s="66" t="s">
        <v>1214</v>
      </c>
      <c r="D502" s="67"/>
      <c r="E502" s="67"/>
      <c r="F502" s="67"/>
      <c r="G502" s="69"/>
      <c r="H502" s="284">
        <f>SUM(H498:H501)</f>
        <v>620065.47266666673</v>
      </c>
    </row>
    <row r="503" spans="3:15" ht="21" customHeight="1">
      <c r="C503" s="290" t="s">
        <v>1215</v>
      </c>
      <c r="D503" s="182" t="s">
        <v>1216</v>
      </c>
      <c r="E503" s="70"/>
      <c r="F503" s="70"/>
      <c r="G503" s="70"/>
      <c r="H503" s="105"/>
    </row>
    <row r="504" spans="3:15" ht="21" customHeight="1">
      <c r="C504" s="66" t="s">
        <v>1217</v>
      </c>
      <c r="D504" s="67"/>
      <c r="E504" s="67"/>
      <c r="F504" s="67"/>
      <c r="G504" s="69"/>
      <c r="H504" s="292">
        <v>0</v>
      </c>
    </row>
    <row r="505" spans="3:15" s="297" customFormat="1" ht="21" customHeight="1">
      <c r="C505" s="293" t="s">
        <v>1218</v>
      </c>
      <c r="D505" s="294" t="s">
        <v>1219</v>
      </c>
      <c r="E505" s="295"/>
      <c r="F505" s="295"/>
      <c r="G505" s="296"/>
      <c r="H505" s="284">
        <f>H504+H502+H496</f>
        <v>827830.47266666673</v>
      </c>
      <c r="I505" s="119"/>
      <c r="J505" s="119"/>
      <c r="K505" s="119"/>
    </row>
    <row r="506" spans="3:15" s="297" customFormat="1" ht="21" customHeight="1">
      <c r="C506" s="293" t="s">
        <v>1220</v>
      </c>
      <c r="D506" s="294" t="s">
        <v>1321</v>
      </c>
      <c r="E506" s="295"/>
      <c r="F506" s="296"/>
      <c r="G506" s="298">
        <f>$O$9</f>
        <v>0.1</v>
      </c>
      <c r="H506" s="284">
        <f>H505*G506</f>
        <v>82783.047266666676</v>
      </c>
      <c r="I506" s="119"/>
      <c r="J506" s="119"/>
      <c r="K506" s="119"/>
    </row>
    <row r="507" spans="3:15" s="297" customFormat="1" ht="21" customHeight="1" thickBot="1">
      <c r="C507" s="299" t="s">
        <v>1221</v>
      </c>
      <c r="D507" s="300" t="s">
        <v>1222</v>
      </c>
      <c r="E507" s="301"/>
      <c r="F507" s="301"/>
      <c r="G507" s="302"/>
      <c r="H507" s="303">
        <f>SUM(H505:H506)</f>
        <v>910613.51993333339</v>
      </c>
      <c r="I507" s="119"/>
      <c r="J507" s="119"/>
      <c r="K507" s="119"/>
    </row>
    <row r="508" spans="3:15" ht="14.4" thickTop="1"/>
    <row r="509" spans="3:15" ht="33" customHeight="1" thickBot="1">
      <c r="C509" s="126" t="s">
        <v>2265</v>
      </c>
      <c r="D509" s="47" t="s">
        <v>2266</v>
      </c>
      <c r="E509" s="88"/>
      <c r="F509" s="88"/>
      <c r="G509" s="88"/>
      <c r="H509" s="88"/>
      <c r="I509" s="120">
        <f>ROUNDDOWN(H527,-2)</f>
        <v>1175300</v>
      </c>
      <c r="J509" s="120"/>
      <c r="K509" s="120"/>
      <c r="O509" s="333"/>
    </row>
    <row r="510" spans="3:15" s="289" customFormat="1" ht="31.65" customHeight="1" thickTop="1">
      <c r="C510" s="51" t="s">
        <v>1195</v>
      </c>
      <c r="D510" s="52" t="s">
        <v>1196</v>
      </c>
      <c r="E510" s="52" t="s">
        <v>1197</v>
      </c>
      <c r="F510" s="52" t="s">
        <v>1198</v>
      </c>
      <c r="G510" s="52" t="s">
        <v>1199</v>
      </c>
      <c r="H510" s="53" t="s">
        <v>1200</v>
      </c>
      <c r="I510" s="126"/>
      <c r="J510" s="126"/>
      <c r="K510" s="126"/>
      <c r="O510" s="333"/>
    </row>
    <row r="511" spans="3:15" ht="19.8" customHeight="1">
      <c r="C511" s="290" t="s">
        <v>1201</v>
      </c>
      <c r="D511" s="182" t="s">
        <v>1202</v>
      </c>
      <c r="E511" s="70"/>
      <c r="F511" s="70"/>
      <c r="G511" s="70"/>
      <c r="H511" s="71"/>
      <c r="O511" s="333"/>
    </row>
    <row r="512" spans="3:15" ht="19.8" customHeight="1">
      <c r="C512" s="310" t="s">
        <v>1203</v>
      </c>
      <c r="D512" s="182" t="s">
        <v>5</v>
      </c>
      <c r="E512" s="176" t="s">
        <v>6</v>
      </c>
      <c r="F512" s="282">
        <v>1.65</v>
      </c>
      <c r="G512" s="283">
        <f>VLOOKUP(D512,upahbahan,3,FALSE)</f>
        <v>100000</v>
      </c>
      <c r="H512" s="284">
        <f>F512*G512</f>
        <v>165000</v>
      </c>
      <c r="O512" s="333"/>
    </row>
    <row r="513" spans="3:15" ht="19.8" customHeight="1">
      <c r="C513" s="310" t="s">
        <v>1204</v>
      </c>
      <c r="D513" s="182" t="s">
        <v>7</v>
      </c>
      <c r="E513" s="176" t="s">
        <v>6</v>
      </c>
      <c r="F513" s="282">
        <v>0.27500000000000002</v>
      </c>
      <c r="G513" s="283">
        <f>VLOOKUP(D513,upahbahan,3,FALSE)</f>
        <v>135000</v>
      </c>
      <c r="H513" s="284">
        <f>F513*G513</f>
        <v>37125</v>
      </c>
      <c r="O513" s="333"/>
    </row>
    <row r="514" spans="3:15" ht="19.8" customHeight="1">
      <c r="C514" s="310" t="s">
        <v>1205</v>
      </c>
      <c r="D514" s="182" t="s">
        <v>1310</v>
      </c>
      <c r="E514" s="176" t="s">
        <v>6</v>
      </c>
      <c r="F514" s="282">
        <v>2.8000000000000001E-2</v>
      </c>
      <c r="G514" s="283">
        <f>VLOOKUP(D514,upahbahan,3,FALSE)</f>
        <v>150000</v>
      </c>
      <c r="H514" s="284">
        <f>F514*G514</f>
        <v>4200</v>
      </c>
      <c r="O514" s="333"/>
    </row>
    <row r="515" spans="3:15" ht="19.8" customHeight="1">
      <c r="C515" s="310" t="s">
        <v>1206</v>
      </c>
      <c r="D515" s="182" t="s">
        <v>19</v>
      </c>
      <c r="E515" s="176" t="s">
        <v>6</v>
      </c>
      <c r="F515" s="282">
        <v>8.9999999999999993E-3</v>
      </c>
      <c r="G515" s="283">
        <f>VLOOKUP(D515,upahbahan,3,FALSE)</f>
        <v>160000</v>
      </c>
      <c r="H515" s="284">
        <f>F515*G515</f>
        <v>1440</v>
      </c>
      <c r="O515" s="333"/>
    </row>
    <row r="516" spans="3:15" ht="19.8" customHeight="1">
      <c r="C516" s="66" t="s">
        <v>1208</v>
      </c>
      <c r="D516" s="67"/>
      <c r="E516" s="67"/>
      <c r="F516" s="68"/>
      <c r="G516" s="69"/>
      <c r="H516" s="284">
        <f>SUM(H512:H515)</f>
        <v>207765</v>
      </c>
    </row>
    <row r="517" spans="3:15" ht="19.8" customHeight="1">
      <c r="C517" s="290" t="s">
        <v>1209</v>
      </c>
      <c r="D517" s="182" t="s">
        <v>1210</v>
      </c>
      <c r="E517" s="70"/>
      <c r="F517" s="70"/>
      <c r="G517" s="70"/>
      <c r="H517" s="71"/>
    </row>
    <row r="518" spans="3:15" ht="19.8" customHeight="1">
      <c r="C518" s="306" t="s">
        <v>1203</v>
      </c>
      <c r="D518" s="182" t="s">
        <v>1796</v>
      </c>
      <c r="E518" s="124" t="s">
        <v>65</v>
      </c>
      <c r="F518" s="127">
        <v>267</v>
      </c>
      <c r="G518" s="283">
        <f>VLOOKUP(D518,upahbahan,3,FALSE)</f>
        <v>1530</v>
      </c>
      <c r="H518" s="284">
        <f>F518*G518</f>
        <v>408510</v>
      </c>
    </row>
    <row r="519" spans="3:15" ht="19.8" customHeight="1">
      <c r="C519" s="306" t="s">
        <v>1204</v>
      </c>
      <c r="D519" s="182" t="s">
        <v>79</v>
      </c>
      <c r="E519" s="124" t="s">
        <v>65</v>
      </c>
      <c r="F519" s="127">
        <v>871</v>
      </c>
      <c r="G519" s="283">
        <f>VLOOKUP(D519,upahbahan,3,FALSE)</f>
        <v>221.78700000000001</v>
      </c>
      <c r="H519" s="284">
        <f>F519*G519</f>
        <v>193176.47700000001</v>
      </c>
    </row>
    <row r="520" spans="3:15" ht="19.8" customHeight="1">
      <c r="C520" s="306" t="s">
        <v>1205</v>
      </c>
      <c r="D520" s="182" t="s">
        <v>72</v>
      </c>
      <c r="E520" s="124" t="s">
        <v>65</v>
      </c>
      <c r="F520" s="127">
        <v>1009</v>
      </c>
      <c r="G520" s="283">
        <f>VLOOKUP(D520,upahbahan,3,FALSE)/1350</f>
        <v>216.66666666666666</v>
      </c>
      <c r="H520" s="284">
        <f>F520*G520</f>
        <v>218616.66666666666</v>
      </c>
    </row>
    <row r="521" spans="3:15" ht="19.8" customHeight="1">
      <c r="C521" s="306" t="s">
        <v>1206</v>
      </c>
      <c r="D521" s="182" t="s">
        <v>960</v>
      </c>
      <c r="E521" s="124" t="s">
        <v>529</v>
      </c>
      <c r="F521" s="127">
        <v>202</v>
      </c>
      <c r="G521" s="283">
        <f>VLOOKUP(D521,upahbahan,3,FALSE)</f>
        <v>200</v>
      </c>
      <c r="H521" s="284">
        <f>F521*G521</f>
        <v>40400</v>
      </c>
    </row>
    <row r="522" spans="3:15" ht="19.8" customHeight="1">
      <c r="C522" s="66" t="s">
        <v>1214</v>
      </c>
      <c r="D522" s="67"/>
      <c r="E522" s="67"/>
      <c r="F522" s="67"/>
      <c r="G522" s="69"/>
      <c r="H522" s="284">
        <f>SUM(H518:H521)</f>
        <v>860703.14366666658</v>
      </c>
    </row>
    <row r="523" spans="3:15" ht="19.8" customHeight="1">
      <c r="C523" s="290" t="s">
        <v>1215</v>
      </c>
      <c r="D523" s="182" t="s">
        <v>1216</v>
      </c>
      <c r="E523" s="70"/>
      <c r="F523" s="70"/>
      <c r="G523" s="70"/>
      <c r="H523" s="105"/>
    </row>
    <row r="524" spans="3:15" ht="19.8" customHeight="1">
      <c r="C524" s="66" t="s">
        <v>1217</v>
      </c>
      <c r="D524" s="67"/>
      <c r="E524" s="67"/>
      <c r="F524" s="67"/>
      <c r="G524" s="69"/>
      <c r="H524" s="292">
        <v>0</v>
      </c>
    </row>
    <row r="525" spans="3:15" s="297" customFormat="1" ht="19.8" customHeight="1">
      <c r="C525" s="293" t="s">
        <v>1218</v>
      </c>
      <c r="D525" s="294" t="s">
        <v>1219</v>
      </c>
      <c r="E525" s="295"/>
      <c r="F525" s="295"/>
      <c r="G525" s="296"/>
      <c r="H525" s="284">
        <f>H524+H522+H516</f>
        <v>1068468.1436666665</v>
      </c>
      <c r="I525" s="119"/>
      <c r="J525" s="119"/>
      <c r="K525" s="119"/>
    </row>
    <row r="526" spans="3:15" s="297" customFormat="1" ht="19.8" customHeight="1">
      <c r="C526" s="293" t="s">
        <v>1220</v>
      </c>
      <c r="D526" s="294" t="s">
        <v>1321</v>
      </c>
      <c r="E526" s="295"/>
      <c r="F526" s="296"/>
      <c r="G526" s="298">
        <f>$O$9</f>
        <v>0.1</v>
      </c>
      <c r="H526" s="284">
        <f>H525*G526</f>
        <v>106846.81436666666</v>
      </c>
      <c r="I526" s="119"/>
      <c r="J526" s="119"/>
      <c r="K526" s="119"/>
    </row>
    <row r="527" spans="3:15" s="297" customFormat="1" ht="19.8" customHeight="1" thickBot="1">
      <c r="C527" s="299" t="s">
        <v>1221</v>
      </c>
      <c r="D527" s="300" t="s">
        <v>1222</v>
      </c>
      <c r="E527" s="301"/>
      <c r="F527" s="301"/>
      <c r="G527" s="302"/>
      <c r="H527" s="303">
        <f>SUM(H525:H526)</f>
        <v>1175314.9580333331</v>
      </c>
      <c r="I527" s="119"/>
      <c r="J527" s="119"/>
      <c r="K527" s="119"/>
    </row>
    <row r="528" spans="3:15" ht="14.4" thickTop="1"/>
    <row r="529" spans="3:15" ht="33" customHeight="1" thickBot="1">
      <c r="C529" s="126" t="s">
        <v>2267</v>
      </c>
      <c r="D529" s="47" t="s">
        <v>2268</v>
      </c>
      <c r="E529" s="88"/>
      <c r="F529" s="88"/>
      <c r="G529" s="88"/>
      <c r="H529" s="88"/>
      <c r="I529" s="120">
        <f>ROUNDDOWN(H547,-2)</f>
        <v>1231400</v>
      </c>
      <c r="J529" s="120"/>
      <c r="K529" s="120"/>
      <c r="O529" s="333"/>
    </row>
    <row r="530" spans="3:15" s="289" customFormat="1" ht="31.65" customHeight="1" thickTop="1">
      <c r="C530" s="51" t="s">
        <v>1195</v>
      </c>
      <c r="D530" s="52" t="s">
        <v>1196</v>
      </c>
      <c r="E530" s="52" t="s">
        <v>1197</v>
      </c>
      <c r="F530" s="52" t="s">
        <v>1198</v>
      </c>
      <c r="G530" s="52" t="s">
        <v>1199</v>
      </c>
      <c r="H530" s="53" t="s">
        <v>1200</v>
      </c>
      <c r="I530" s="126"/>
      <c r="J530" s="126"/>
      <c r="K530" s="126"/>
      <c r="O530" s="333"/>
    </row>
    <row r="531" spans="3:15" ht="20.399999999999999" customHeight="1">
      <c r="C531" s="290" t="s">
        <v>1201</v>
      </c>
      <c r="D531" s="182" t="s">
        <v>1202</v>
      </c>
      <c r="E531" s="70"/>
      <c r="F531" s="70"/>
      <c r="G531" s="70"/>
      <c r="H531" s="71"/>
      <c r="O531" s="333"/>
    </row>
    <row r="532" spans="3:15" ht="20.399999999999999" customHeight="1">
      <c r="C532" s="310" t="s">
        <v>1203</v>
      </c>
      <c r="D532" s="182" t="s">
        <v>5</v>
      </c>
      <c r="E532" s="176" t="s">
        <v>6</v>
      </c>
      <c r="F532" s="282">
        <v>1.65</v>
      </c>
      <c r="G532" s="283">
        <f>VLOOKUP(D532,upahbahan,3,FALSE)</f>
        <v>100000</v>
      </c>
      <c r="H532" s="284">
        <f>F532*G532</f>
        <v>165000</v>
      </c>
      <c r="O532" s="333"/>
    </row>
    <row r="533" spans="3:15" ht="20.399999999999999" customHeight="1">
      <c r="C533" s="310" t="s">
        <v>1204</v>
      </c>
      <c r="D533" s="182" t="s">
        <v>7</v>
      </c>
      <c r="E533" s="176" t="s">
        <v>6</v>
      </c>
      <c r="F533" s="282">
        <v>0.27500000000000002</v>
      </c>
      <c r="G533" s="283">
        <f>VLOOKUP(D533,upahbahan,3,FALSE)</f>
        <v>135000</v>
      </c>
      <c r="H533" s="284">
        <f>F533*G533</f>
        <v>37125</v>
      </c>
      <c r="O533" s="333"/>
    </row>
    <row r="534" spans="3:15" ht="20.399999999999999" customHeight="1">
      <c r="C534" s="310" t="s">
        <v>1205</v>
      </c>
      <c r="D534" s="182" t="s">
        <v>1310</v>
      </c>
      <c r="E534" s="176" t="s">
        <v>6</v>
      </c>
      <c r="F534" s="282">
        <v>2.8000000000000001E-2</v>
      </c>
      <c r="G534" s="283">
        <f>VLOOKUP(D534,upahbahan,3,FALSE)</f>
        <v>150000</v>
      </c>
      <c r="H534" s="284">
        <f>F534*G534</f>
        <v>4200</v>
      </c>
      <c r="O534" s="333"/>
    </row>
    <row r="535" spans="3:15" ht="20.399999999999999" customHeight="1">
      <c r="C535" s="310" t="s">
        <v>1206</v>
      </c>
      <c r="D535" s="182" t="s">
        <v>19</v>
      </c>
      <c r="E535" s="176" t="s">
        <v>6</v>
      </c>
      <c r="F535" s="282">
        <v>8.9999999999999993E-3</v>
      </c>
      <c r="G535" s="283">
        <f>VLOOKUP(D535,upahbahan,3,FALSE)</f>
        <v>160000</v>
      </c>
      <c r="H535" s="284">
        <f>F535*G535</f>
        <v>1440</v>
      </c>
      <c r="O535" s="333"/>
    </row>
    <row r="536" spans="3:15" ht="20.399999999999999" customHeight="1">
      <c r="C536" s="66" t="s">
        <v>1208</v>
      </c>
      <c r="D536" s="67"/>
      <c r="E536" s="67"/>
      <c r="F536" s="68"/>
      <c r="G536" s="69"/>
      <c r="H536" s="284">
        <f>SUM(H532:H535)</f>
        <v>207765</v>
      </c>
    </row>
    <row r="537" spans="3:15" ht="20.399999999999999" customHeight="1">
      <c r="C537" s="290" t="s">
        <v>1209</v>
      </c>
      <c r="D537" s="182" t="s">
        <v>1210</v>
      </c>
      <c r="E537" s="70"/>
      <c r="F537" s="70"/>
      <c r="G537" s="70"/>
      <c r="H537" s="71"/>
    </row>
    <row r="538" spans="3:15" ht="20.399999999999999" customHeight="1">
      <c r="C538" s="306" t="s">
        <v>1203</v>
      </c>
      <c r="D538" s="182" t="s">
        <v>1796</v>
      </c>
      <c r="E538" s="124" t="s">
        <v>65</v>
      </c>
      <c r="F538" s="127">
        <v>306</v>
      </c>
      <c r="G538" s="283">
        <f>VLOOKUP(D538,upahbahan,3,FALSE)</f>
        <v>1530</v>
      </c>
      <c r="H538" s="284">
        <f>F538*G538</f>
        <v>468180</v>
      </c>
    </row>
    <row r="539" spans="3:15" ht="20.399999999999999" customHeight="1">
      <c r="C539" s="306" t="s">
        <v>1204</v>
      </c>
      <c r="D539" s="182" t="s">
        <v>79</v>
      </c>
      <c r="E539" s="124" t="s">
        <v>65</v>
      </c>
      <c r="F539" s="127">
        <v>832</v>
      </c>
      <c r="G539" s="283">
        <f>VLOOKUP(D539,upahbahan,3,FALSE)</f>
        <v>221.78700000000001</v>
      </c>
      <c r="H539" s="284">
        <f>F539*G539</f>
        <v>184526.78400000001</v>
      </c>
    </row>
    <row r="540" spans="3:15" ht="20.399999999999999" customHeight="1">
      <c r="C540" s="306" t="s">
        <v>1205</v>
      </c>
      <c r="D540" s="182" t="s">
        <v>72</v>
      </c>
      <c r="E540" s="124" t="s">
        <v>65</v>
      </c>
      <c r="F540" s="127">
        <v>1009</v>
      </c>
      <c r="G540" s="283">
        <f>VLOOKUP(D540,upahbahan,3,FALSE)/1350</f>
        <v>216.66666666666666</v>
      </c>
      <c r="H540" s="284">
        <f>F540*G540</f>
        <v>218616.66666666666</v>
      </c>
    </row>
    <row r="541" spans="3:15" ht="20.399999999999999" customHeight="1">
      <c r="C541" s="306" t="s">
        <v>1206</v>
      </c>
      <c r="D541" s="182" t="s">
        <v>960</v>
      </c>
      <c r="E541" s="124" t="s">
        <v>529</v>
      </c>
      <c r="F541" s="127">
        <v>202</v>
      </c>
      <c r="G541" s="283">
        <f>VLOOKUP(D541,upahbahan,3,FALSE)</f>
        <v>200</v>
      </c>
      <c r="H541" s="284">
        <f>F541*G541</f>
        <v>40400</v>
      </c>
    </row>
    <row r="542" spans="3:15" ht="20.399999999999999" customHeight="1">
      <c r="C542" s="66" t="s">
        <v>1214</v>
      </c>
      <c r="D542" s="67"/>
      <c r="E542" s="67"/>
      <c r="F542" s="67"/>
      <c r="G542" s="69"/>
      <c r="H542" s="284">
        <f>SUM(H538:H541)</f>
        <v>911723.45066666661</v>
      </c>
    </row>
    <row r="543" spans="3:15" ht="20.399999999999999" customHeight="1">
      <c r="C543" s="290" t="s">
        <v>1215</v>
      </c>
      <c r="D543" s="182" t="s">
        <v>1216</v>
      </c>
      <c r="E543" s="70"/>
      <c r="F543" s="70"/>
      <c r="G543" s="70"/>
      <c r="H543" s="105"/>
    </row>
    <row r="544" spans="3:15" ht="20.399999999999999" customHeight="1">
      <c r="C544" s="66" t="s">
        <v>1217</v>
      </c>
      <c r="D544" s="67"/>
      <c r="E544" s="67"/>
      <c r="F544" s="67"/>
      <c r="G544" s="69"/>
      <c r="H544" s="292">
        <v>0</v>
      </c>
    </row>
    <row r="545" spans="3:15" s="297" customFormat="1" ht="20.399999999999999" customHeight="1">
      <c r="C545" s="293" t="s">
        <v>1218</v>
      </c>
      <c r="D545" s="294" t="s">
        <v>1219</v>
      </c>
      <c r="E545" s="295"/>
      <c r="F545" s="295"/>
      <c r="G545" s="296"/>
      <c r="H545" s="284">
        <f>H544+H542+H536</f>
        <v>1119488.4506666665</v>
      </c>
      <c r="I545" s="119"/>
      <c r="J545" s="119"/>
      <c r="K545" s="119"/>
    </row>
    <row r="546" spans="3:15" s="297" customFormat="1" ht="20.399999999999999" customHeight="1">
      <c r="C546" s="293" t="s">
        <v>1220</v>
      </c>
      <c r="D546" s="294" t="s">
        <v>1321</v>
      </c>
      <c r="E546" s="295"/>
      <c r="F546" s="296"/>
      <c r="G546" s="298">
        <f>$O$9</f>
        <v>0.1</v>
      </c>
      <c r="H546" s="284">
        <f>H545*G546</f>
        <v>111948.84506666666</v>
      </c>
      <c r="I546" s="119"/>
      <c r="J546" s="119"/>
      <c r="K546" s="119"/>
    </row>
    <row r="547" spans="3:15" s="297" customFormat="1" ht="20.399999999999999" customHeight="1" thickBot="1">
      <c r="C547" s="299" t="s">
        <v>1221</v>
      </c>
      <c r="D547" s="300" t="s">
        <v>1222</v>
      </c>
      <c r="E547" s="301"/>
      <c r="F547" s="301"/>
      <c r="G547" s="302"/>
      <c r="H547" s="303">
        <f>SUM(H545:H546)</f>
        <v>1231437.2957333331</v>
      </c>
      <c r="I547" s="119"/>
      <c r="J547" s="119"/>
      <c r="K547" s="119"/>
    </row>
    <row r="548" spans="3:15" ht="14.4" thickTop="1"/>
    <row r="549" spans="3:15" ht="33" customHeight="1" thickBot="1">
      <c r="C549" s="126" t="s">
        <v>2269</v>
      </c>
      <c r="D549" s="48" t="s">
        <v>2270</v>
      </c>
      <c r="E549" s="88"/>
      <c r="F549" s="88"/>
      <c r="G549" s="88"/>
      <c r="H549" s="88"/>
      <c r="I549" s="120">
        <f>ROUNDDOWN(H567,-2)</f>
        <v>1254700</v>
      </c>
      <c r="J549" s="120"/>
      <c r="K549" s="120"/>
      <c r="O549" s="333"/>
    </row>
    <row r="550" spans="3:15" s="289" customFormat="1" ht="31.65" customHeight="1" thickTop="1">
      <c r="C550" s="51" t="s">
        <v>1195</v>
      </c>
      <c r="D550" s="52" t="s">
        <v>1196</v>
      </c>
      <c r="E550" s="52" t="s">
        <v>1197</v>
      </c>
      <c r="F550" s="52" t="s">
        <v>1198</v>
      </c>
      <c r="G550" s="52" t="s">
        <v>1199</v>
      </c>
      <c r="H550" s="53" t="s">
        <v>1200</v>
      </c>
      <c r="I550" s="126"/>
      <c r="J550" s="126"/>
      <c r="K550" s="126"/>
      <c r="O550" s="333"/>
    </row>
    <row r="551" spans="3:15" ht="24" customHeight="1">
      <c r="C551" s="290" t="s">
        <v>1201</v>
      </c>
      <c r="D551" s="182" t="s">
        <v>1202</v>
      </c>
      <c r="E551" s="70"/>
      <c r="F551" s="70"/>
      <c r="G551" s="70"/>
      <c r="H551" s="71"/>
      <c r="O551" s="333"/>
    </row>
    <row r="552" spans="3:15" ht="24" customHeight="1">
      <c r="C552" s="310" t="s">
        <v>1203</v>
      </c>
      <c r="D552" s="182" t="s">
        <v>5</v>
      </c>
      <c r="E552" s="176" t="s">
        <v>6</v>
      </c>
      <c r="F552" s="282">
        <v>1.65</v>
      </c>
      <c r="G552" s="283">
        <f>VLOOKUP(D552,upahbahan,3,FALSE)</f>
        <v>100000</v>
      </c>
      <c r="H552" s="284">
        <f>F552*G552</f>
        <v>165000</v>
      </c>
      <c r="O552" s="333"/>
    </row>
    <row r="553" spans="3:15" ht="24" customHeight="1">
      <c r="C553" s="310" t="s">
        <v>1204</v>
      </c>
      <c r="D553" s="182" t="s">
        <v>7</v>
      </c>
      <c r="E553" s="176" t="s">
        <v>6</v>
      </c>
      <c r="F553" s="282">
        <v>0.27500000000000002</v>
      </c>
      <c r="G553" s="283">
        <f>VLOOKUP(D553,upahbahan,3,FALSE)</f>
        <v>135000</v>
      </c>
      <c r="H553" s="284">
        <f>F553*G553</f>
        <v>37125</v>
      </c>
      <c r="O553" s="333"/>
    </row>
    <row r="554" spans="3:15" ht="24" customHeight="1">
      <c r="C554" s="310" t="s">
        <v>1205</v>
      </c>
      <c r="D554" s="182" t="s">
        <v>1310</v>
      </c>
      <c r="E554" s="176" t="s">
        <v>6</v>
      </c>
      <c r="F554" s="282">
        <v>2.8000000000000001E-2</v>
      </c>
      <c r="G554" s="283">
        <f>VLOOKUP(D554,upahbahan,3,FALSE)</f>
        <v>150000</v>
      </c>
      <c r="H554" s="284">
        <f>F554*G554</f>
        <v>4200</v>
      </c>
      <c r="O554" s="333"/>
    </row>
    <row r="555" spans="3:15" ht="24" customHeight="1">
      <c r="C555" s="310" t="s">
        <v>1206</v>
      </c>
      <c r="D555" s="182" t="s">
        <v>19</v>
      </c>
      <c r="E555" s="176" t="s">
        <v>6</v>
      </c>
      <c r="F555" s="282">
        <v>8.9999999999999993E-3</v>
      </c>
      <c r="G555" s="283">
        <f>VLOOKUP(D555,upahbahan,3,FALSE)</f>
        <v>160000</v>
      </c>
      <c r="H555" s="284">
        <f>F555*G555</f>
        <v>1440</v>
      </c>
      <c r="O555" s="333"/>
    </row>
    <row r="556" spans="3:15" ht="24" customHeight="1">
      <c r="C556" s="66" t="s">
        <v>1208</v>
      </c>
      <c r="D556" s="67"/>
      <c r="E556" s="67"/>
      <c r="F556" s="68"/>
      <c r="G556" s="69"/>
      <c r="H556" s="284">
        <f>SUM(H552:H555)</f>
        <v>207765</v>
      </c>
    </row>
    <row r="557" spans="3:15" ht="24" customHeight="1">
      <c r="C557" s="290" t="s">
        <v>1209</v>
      </c>
      <c r="D557" s="182" t="s">
        <v>1210</v>
      </c>
      <c r="E557" s="70"/>
      <c r="F557" s="70"/>
      <c r="G557" s="70"/>
      <c r="H557" s="71"/>
    </row>
    <row r="558" spans="3:15" ht="24" customHeight="1">
      <c r="C558" s="306" t="s">
        <v>1203</v>
      </c>
      <c r="D558" s="182" t="s">
        <v>1796</v>
      </c>
      <c r="E558" s="124" t="s">
        <v>65</v>
      </c>
      <c r="F558" s="127">
        <v>322</v>
      </c>
      <c r="G558" s="283">
        <f>VLOOKUP(D558,upahbahan,3,FALSE)</f>
        <v>1530</v>
      </c>
      <c r="H558" s="284">
        <f>F558*G558</f>
        <v>492660</v>
      </c>
    </row>
    <row r="559" spans="3:15" ht="24" customHeight="1">
      <c r="C559" s="306" t="s">
        <v>1204</v>
      </c>
      <c r="D559" s="182" t="s">
        <v>79</v>
      </c>
      <c r="E559" s="124" t="s">
        <v>65</v>
      </c>
      <c r="F559" s="127">
        <v>817</v>
      </c>
      <c r="G559" s="283">
        <f>VLOOKUP(D559,upahbahan,3,FALSE)</f>
        <v>221.78700000000001</v>
      </c>
      <c r="H559" s="284">
        <f>F559*G559</f>
        <v>181199.97899999999</v>
      </c>
    </row>
    <row r="560" spans="3:15" ht="24" customHeight="1">
      <c r="C560" s="306" t="s">
        <v>1205</v>
      </c>
      <c r="D560" s="182" t="s">
        <v>72</v>
      </c>
      <c r="E560" s="124" t="s">
        <v>65</v>
      </c>
      <c r="F560" s="127">
        <v>1009</v>
      </c>
      <c r="G560" s="283">
        <f>VLOOKUP(D560,upahbahan,3,FALSE)/1350</f>
        <v>216.66666666666666</v>
      </c>
      <c r="H560" s="284">
        <f>F560*G560</f>
        <v>218616.66666666666</v>
      </c>
    </row>
    <row r="561" spans="3:15" ht="24" customHeight="1">
      <c r="C561" s="306" t="s">
        <v>1206</v>
      </c>
      <c r="D561" s="182" t="s">
        <v>960</v>
      </c>
      <c r="E561" s="124" t="s">
        <v>529</v>
      </c>
      <c r="F561" s="127">
        <v>202</v>
      </c>
      <c r="G561" s="283">
        <f>VLOOKUP(D561,upahbahan,3,FALSE)</f>
        <v>200</v>
      </c>
      <c r="H561" s="284">
        <f>F561*G561</f>
        <v>40400</v>
      </c>
    </row>
    <row r="562" spans="3:15" ht="24" customHeight="1">
      <c r="C562" s="66" t="s">
        <v>1214</v>
      </c>
      <c r="D562" s="67"/>
      <c r="E562" s="67"/>
      <c r="F562" s="67"/>
      <c r="G562" s="69"/>
      <c r="H562" s="284">
        <f>SUM(H558:H561)</f>
        <v>932876.64566666668</v>
      </c>
    </row>
    <row r="563" spans="3:15" ht="24" customHeight="1">
      <c r="C563" s="290" t="s">
        <v>1215</v>
      </c>
      <c r="D563" s="182" t="s">
        <v>1216</v>
      </c>
      <c r="E563" s="70"/>
      <c r="F563" s="70"/>
      <c r="G563" s="70"/>
      <c r="H563" s="105"/>
    </row>
    <row r="564" spans="3:15" ht="24" customHeight="1">
      <c r="C564" s="66" t="s">
        <v>1217</v>
      </c>
      <c r="D564" s="67"/>
      <c r="E564" s="67"/>
      <c r="F564" s="67"/>
      <c r="G564" s="69"/>
      <c r="H564" s="292">
        <v>0</v>
      </c>
    </row>
    <row r="565" spans="3:15" s="297" customFormat="1" ht="24" customHeight="1">
      <c r="C565" s="293" t="s">
        <v>1218</v>
      </c>
      <c r="D565" s="294" t="s">
        <v>1219</v>
      </c>
      <c r="E565" s="295"/>
      <c r="F565" s="295"/>
      <c r="G565" s="296"/>
      <c r="H565" s="284">
        <f>H564+H562+H556</f>
        <v>1140641.6456666668</v>
      </c>
      <c r="I565" s="119"/>
      <c r="J565" s="119"/>
      <c r="K565" s="119"/>
    </row>
    <row r="566" spans="3:15" s="297" customFormat="1" ht="24" customHeight="1">
      <c r="C566" s="293" t="s">
        <v>1220</v>
      </c>
      <c r="D566" s="294" t="s">
        <v>1321</v>
      </c>
      <c r="E566" s="295"/>
      <c r="F566" s="296"/>
      <c r="G566" s="298">
        <f>$O$9</f>
        <v>0.1</v>
      </c>
      <c r="H566" s="284">
        <f>H565*G566</f>
        <v>114064.16456666669</v>
      </c>
      <c r="I566" s="119"/>
      <c r="J566" s="119"/>
      <c r="K566" s="119"/>
    </row>
    <row r="567" spans="3:15" s="297" customFormat="1" ht="24" customHeight="1" thickBot="1">
      <c r="C567" s="299" t="s">
        <v>1221</v>
      </c>
      <c r="D567" s="300" t="s">
        <v>1222</v>
      </c>
      <c r="E567" s="301"/>
      <c r="F567" s="301"/>
      <c r="G567" s="302"/>
      <c r="H567" s="303">
        <f>SUM(H565:H566)</f>
        <v>1254705.8102333334</v>
      </c>
      <c r="I567" s="119"/>
      <c r="J567" s="119"/>
      <c r="K567" s="119"/>
    </row>
    <row r="568" spans="3:15" ht="14.4" thickTop="1"/>
    <row r="569" spans="3:15" ht="33" customHeight="1" thickBot="1">
      <c r="C569" s="126" t="s">
        <v>2271</v>
      </c>
      <c r="D569" s="47" t="s">
        <v>2272</v>
      </c>
      <c r="E569" s="88"/>
      <c r="F569" s="88"/>
      <c r="G569" s="88"/>
      <c r="H569" s="88"/>
      <c r="I569" s="120">
        <f>ROUNDDOWN(H587,-2)</f>
        <v>1291800</v>
      </c>
      <c r="J569" s="120"/>
      <c r="K569" s="120"/>
      <c r="O569" s="333"/>
    </row>
    <row r="570" spans="3:15" s="289" customFormat="1" ht="31.65" customHeight="1" thickTop="1">
      <c r="C570" s="51" t="s">
        <v>1195</v>
      </c>
      <c r="D570" s="52" t="s">
        <v>1196</v>
      </c>
      <c r="E570" s="52" t="s">
        <v>1197</v>
      </c>
      <c r="F570" s="52" t="s">
        <v>1198</v>
      </c>
      <c r="G570" s="52" t="s">
        <v>1199</v>
      </c>
      <c r="H570" s="53" t="s">
        <v>1200</v>
      </c>
      <c r="I570" s="126"/>
      <c r="J570" s="126"/>
      <c r="K570" s="126"/>
      <c r="O570" s="333"/>
    </row>
    <row r="571" spans="3:15" ht="21.6" customHeight="1">
      <c r="C571" s="290" t="s">
        <v>1201</v>
      </c>
      <c r="D571" s="182" t="s">
        <v>1202</v>
      </c>
      <c r="E571" s="70"/>
      <c r="F571" s="70"/>
      <c r="G571" s="70"/>
      <c r="H571" s="71"/>
      <c r="O571" s="333"/>
    </row>
    <row r="572" spans="3:15" ht="21.6" customHeight="1">
      <c r="C572" s="310" t="s">
        <v>1203</v>
      </c>
      <c r="D572" s="182" t="s">
        <v>5</v>
      </c>
      <c r="E572" s="176" t="s">
        <v>6</v>
      </c>
      <c r="F572" s="282">
        <v>1.65</v>
      </c>
      <c r="G572" s="283">
        <f>VLOOKUP(D572,upahbahan,3,FALSE)</f>
        <v>100000</v>
      </c>
      <c r="H572" s="284">
        <f>F572*G572</f>
        <v>165000</v>
      </c>
      <c r="O572" s="333"/>
    </row>
    <row r="573" spans="3:15" ht="21.6" customHeight="1">
      <c r="C573" s="310" t="s">
        <v>1204</v>
      </c>
      <c r="D573" s="182" t="s">
        <v>7</v>
      </c>
      <c r="E573" s="176" t="s">
        <v>6</v>
      </c>
      <c r="F573" s="282">
        <v>0.27500000000000002</v>
      </c>
      <c r="G573" s="283">
        <f>VLOOKUP(D573,upahbahan,3,FALSE)</f>
        <v>135000</v>
      </c>
      <c r="H573" s="284">
        <f>F573*G573</f>
        <v>37125</v>
      </c>
      <c r="O573" s="333"/>
    </row>
    <row r="574" spans="3:15" ht="21.6" customHeight="1">
      <c r="C574" s="310" t="s">
        <v>1205</v>
      </c>
      <c r="D574" s="182" t="s">
        <v>1310</v>
      </c>
      <c r="E574" s="176" t="s">
        <v>6</v>
      </c>
      <c r="F574" s="282">
        <v>2.8000000000000001E-2</v>
      </c>
      <c r="G574" s="283">
        <f>VLOOKUP(D574,upahbahan,3,FALSE)</f>
        <v>150000</v>
      </c>
      <c r="H574" s="284">
        <f>F574*G574</f>
        <v>4200</v>
      </c>
      <c r="O574" s="333"/>
    </row>
    <row r="575" spans="3:15" ht="21.6" customHeight="1">
      <c r="C575" s="310" t="s">
        <v>1206</v>
      </c>
      <c r="D575" s="182" t="s">
        <v>19</v>
      </c>
      <c r="E575" s="176" t="s">
        <v>6</v>
      </c>
      <c r="F575" s="282">
        <v>8.9999999999999993E-3</v>
      </c>
      <c r="G575" s="283">
        <f>VLOOKUP(D575,upahbahan,3,FALSE)</f>
        <v>160000</v>
      </c>
      <c r="H575" s="284">
        <f>F575*G575</f>
        <v>1440</v>
      </c>
      <c r="O575" s="333"/>
    </row>
    <row r="576" spans="3:15" ht="21.6" customHeight="1">
      <c r="C576" s="66" t="s">
        <v>1208</v>
      </c>
      <c r="D576" s="67"/>
      <c r="E576" s="67"/>
      <c r="F576" s="68"/>
      <c r="G576" s="69"/>
      <c r="H576" s="284">
        <f>SUM(H572:H575)</f>
        <v>207765</v>
      </c>
    </row>
    <row r="577" spans="3:15" ht="21.6" customHeight="1">
      <c r="C577" s="290" t="s">
        <v>1209</v>
      </c>
      <c r="D577" s="182" t="s">
        <v>1210</v>
      </c>
      <c r="E577" s="70"/>
      <c r="F577" s="70"/>
      <c r="G577" s="70"/>
      <c r="H577" s="71"/>
    </row>
    <row r="578" spans="3:15" ht="21.6" customHeight="1">
      <c r="C578" s="306" t="s">
        <v>1203</v>
      </c>
      <c r="D578" s="182" t="s">
        <v>1796</v>
      </c>
      <c r="E578" s="124" t="s">
        <v>65</v>
      </c>
      <c r="F578" s="127">
        <v>348</v>
      </c>
      <c r="G578" s="283">
        <f>VLOOKUP(D578,upahbahan,3,FALSE)</f>
        <v>1530</v>
      </c>
      <c r="H578" s="284">
        <f>F578*G578</f>
        <v>532440</v>
      </c>
    </row>
    <row r="579" spans="3:15" ht="21.6" customHeight="1">
      <c r="C579" s="306" t="s">
        <v>1204</v>
      </c>
      <c r="D579" s="182" t="s">
        <v>79</v>
      </c>
      <c r="E579" s="124" t="s">
        <v>65</v>
      </c>
      <c r="F579" s="127">
        <v>790</v>
      </c>
      <c r="G579" s="283">
        <f>VLOOKUP(D579,upahbahan,3,FALSE)</f>
        <v>221.78700000000001</v>
      </c>
      <c r="H579" s="284">
        <f>F579*G579</f>
        <v>175211.73</v>
      </c>
    </row>
    <row r="580" spans="3:15" ht="21.6" customHeight="1">
      <c r="C580" s="306" t="s">
        <v>1205</v>
      </c>
      <c r="D580" s="182" t="s">
        <v>72</v>
      </c>
      <c r="E580" s="124" t="s">
        <v>65</v>
      </c>
      <c r="F580" s="127">
        <v>1009</v>
      </c>
      <c r="G580" s="283">
        <f>VLOOKUP(D580,upahbahan,3,FALSE)/1350</f>
        <v>216.66666666666666</v>
      </c>
      <c r="H580" s="284">
        <f>F580*G580</f>
        <v>218616.66666666666</v>
      </c>
    </row>
    <row r="581" spans="3:15" ht="21.6" customHeight="1">
      <c r="C581" s="306" t="s">
        <v>1206</v>
      </c>
      <c r="D581" s="182" t="s">
        <v>960</v>
      </c>
      <c r="E581" s="124" t="s">
        <v>529</v>
      </c>
      <c r="F581" s="127">
        <v>202</v>
      </c>
      <c r="G581" s="283">
        <f>VLOOKUP(D581,upahbahan,3,FALSE)</f>
        <v>200</v>
      </c>
      <c r="H581" s="284">
        <f>F581*G581</f>
        <v>40400</v>
      </c>
    </row>
    <row r="582" spans="3:15" ht="21.6" customHeight="1">
      <c r="C582" s="66" t="s">
        <v>1214</v>
      </c>
      <c r="D582" s="67"/>
      <c r="E582" s="67"/>
      <c r="F582" s="67"/>
      <c r="G582" s="69"/>
      <c r="H582" s="284">
        <f>SUM(H578:H581)</f>
        <v>966668.39666666661</v>
      </c>
    </row>
    <row r="583" spans="3:15" ht="21.6" customHeight="1">
      <c r="C583" s="290" t="s">
        <v>1215</v>
      </c>
      <c r="D583" s="182" t="s">
        <v>1216</v>
      </c>
      <c r="E583" s="70"/>
      <c r="F583" s="70"/>
      <c r="G583" s="70"/>
      <c r="H583" s="105"/>
    </row>
    <row r="584" spans="3:15" ht="21.6" customHeight="1">
      <c r="C584" s="66" t="s">
        <v>1217</v>
      </c>
      <c r="D584" s="67"/>
      <c r="E584" s="67"/>
      <c r="F584" s="67"/>
      <c r="G584" s="69"/>
      <c r="H584" s="292">
        <v>0</v>
      </c>
    </row>
    <row r="585" spans="3:15" s="297" customFormat="1" ht="21.6" customHeight="1">
      <c r="C585" s="293" t="s">
        <v>1218</v>
      </c>
      <c r="D585" s="294" t="s">
        <v>1219</v>
      </c>
      <c r="E585" s="295"/>
      <c r="F585" s="295"/>
      <c r="G585" s="296"/>
      <c r="H585" s="284">
        <f>H584+H582+H576</f>
        <v>1174433.3966666665</v>
      </c>
      <c r="I585" s="119"/>
      <c r="J585" s="119"/>
      <c r="K585" s="119"/>
    </row>
    <row r="586" spans="3:15" s="297" customFormat="1" ht="21.6" customHeight="1">
      <c r="C586" s="293" t="s">
        <v>1220</v>
      </c>
      <c r="D586" s="294" t="s">
        <v>1321</v>
      </c>
      <c r="E586" s="295"/>
      <c r="F586" s="296"/>
      <c r="G586" s="298">
        <f>$O$9</f>
        <v>0.1</v>
      </c>
      <c r="H586" s="284">
        <f>H585*G586</f>
        <v>117443.33966666665</v>
      </c>
      <c r="I586" s="119"/>
      <c r="J586" s="119"/>
      <c r="K586" s="119"/>
    </row>
    <row r="587" spans="3:15" s="297" customFormat="1" ht="21.6" customHeight="1" thickBot="1">
      <c r="C587" s="299" t="s">
        <v>1221</v>
      </c>
      <c r="D587" s="300" t="s">
        <v>1222</v>
      </c>
      <c r="E587" s="301"/>
      <c r="F587" s="301"/>
      <c r="G587" s="302"/>
      <c r="H587" s="303">
        <f>SUM(H585:H586)</f>
        <v>1291876.7363333332</v>
      </c>
      <c r="I587" s="119"/>
      <c r="J587" s="119"/>
      <c r="K587" s="119"/>
    </row>
    <row r="588" spans="3:15" ht="14.4" thickTop="1"/>
    <row r="589" spans="3:15" ht="33" customHeight="1" thickBot="1">
      <c r="C589" s="126" t="s">
        <v>2273</v>
      </c>
      <c r="D589" s="47" t="s">
        <v>2274</v>
      </c>
      <c r="E589" s="88"/>
      <c r="F589" s="88"/>
      <c r="G589" s="88"/>
      <c r="H589" s="88"/>
      <c r="I589" s="120">
        <f>ROUNDDOWN(H607,-2)</f>
        <v>1320600</v>
      </c>
      <c r="J589" s="120"/>
      <c r="K589" s="120"/>
      <c r="O589" s="333"/>
    </row>
    <row r="590" spans="3:15" s="289" customFormat="1" ht="31.65" customHeight="1" thickTop="1">
      <c r="C590" s="51" t="s">
        <v>1195</v>
      </c>
      <c r="D590" s="52" t="s">
        <v>1196</v>
      </c>
      <c r="E590" s="52" t="s">
        <v>1197</v>
      </c>
      <c r="F590" s="52" t="s">
        <v>1198</v>
      </c>
      <c r="G590" s="52" t="s">
        <v>1199</v>
      </c>
      <c r="H590" s="53" t="s">
        <v>1200</v>
      </c>
      <c r="I590" s="126"/>
      <c r="J590" s="126"/>
      <c r="K590" s="126"/>
      <c r="O590" s="333"/>
    </row>
    <row r="591" spans="3:15" ht="23.4" customHeight="1">
      <c r="C591" s="290" t="s">
        <v>1201</v>
      </c>
      <c r="D591" s="182" t="s">
        <v>1202</v>
      </c>
      <c r="E591" s="70"/>
      <c r="F591" s="70"/>
      <c r="G591" s="70"/>
      <c r="H591" s="71"/>
      <c r="O591" s="333"/>
    </row>
    <row r="592" spans="3:15" ht="23.4" customHeight="1">
      <c r="C592" s="310" t="s">
        <v>1203</v>
      </c>
      <c r="D592" s="182" t="s">
        <v>5</v>
      </c>
      <c r="E592" s="176" t="s">
        <v>6</v>
      </c>
      <c r="F592" s="282">
        <v>1.65</v>
      </c>
      <c r="G592" s="283">
        <f>VLOOKUP(D592,upahbahan,3,FALSE)</f>
        <v>100000</v>
      </c>
      <c r="H592" s="284">
        <f>F592*G592</f>
        <v>165000</v>
      </c>
      <c r="O592" s="333"/>
    </row>
    <row r="593" spans="3:15" ht="23.4" customHeight="1">
      <c r="C593" s="310" t="s">
        <v>1204</v>
      </c>
      <c r="D593" s="182" t="s">
        <v>7</v>
      </c>
      <c r="E593" s="176" t="s">
        <v>6</v>
      </c>
      <c r="F593" s="282">
        <v>0.27500000000000002</v>
      </c>
      <c r="G593" s="283">
        <f>VLOOKUP(D593,upahbahan,3,FALSE)</f>
        <v>135000</v>
      </c>
      <c r="H593" s="284">
        <f>F593*G593</f>
        <v>37125</v>
      </c>
      <c r="O593" s="333"/>
    </row>
    <row r="594" spans="3:15" ht="23.4" customHeight="1">
      <c r="C594" s="310" t="s">
        <v>1205</v>
      </c>
      <c r="D594" s="182" t="s">
        <v>1310</v>
      </c>
      <c r="E594" s="176" t="s">
        <v>6</v>
      </c>
      <c r="F594" s="282">
        <v>2.8000000000000001E-2</v>
      </c>
      <c r="G594" s="283">
        <f>VLOOKUP(D594,upahbahan,3,FALSE)</f>
        <v>150000</v>
      </c>
      <c r="H594" s="284">
        <f>F594*G594</f>
        <v>4200</v>
      </c>
      <c r="O594" s="333"/>
    </row>
    <row r="595" spans="3:15" ht="23.4" customHeight="1">
      <c r="C595" s="310" t="s">
        <v>1206</v>
      </c>
      <c r="D595" s="182" t="s">
        <v>19</v>
      </c>
      <c r="E595" s="176" t="s">
        <v>6</v>
      </c>
      <c r="F595" s="282">
        <v>8.9999999999999993E-3</v>
      </c>
      <c r="G595" s="283">
        <f>VLOOKUP(D595,upahbahan,3,FALSE)</f>
        <v>160000</v>
      </c>
      <c r="H595" s="284">
        <f>F595*G595</f>
        <v>1440</v>
      </c>
      <c r="O595" s="333"/>
    </row>
    <row r="596" spans="3:15" ht="23.4" customHeight="1">
      <c r="C596" s="66" t="s">
        <v>1208</v>
      </c>
      <c r="D596" s="67"/>
      <c r="E596" s="67"/>
      <c r="F596" s="68"/>
      <c r="G596" s="69"/>
      <c r="H596" s="284">
        <f>SUM(H592:H595)</f>
        <v>207765</v>
      </c>
    </row>
    <row r="597" spans="3:15" ht="23.4" customHeight="1">
      <c r="C597" s="290" t="s">
        <v>1209</v>
      </c>
      <c r="D597" s="182" t="s">
        <v>1210</v>
      </c>
      <c r="E597" s="70"/>
      <c r="F597" s="70"/>
      <c r="G597" s="70"/>
      <c r="H597" s="71"/>
    </row>
    <row r="598" spans="3:15" ht="23.4" customHeight="1">
      <c r="C598" s="306" t="s">
        <v>1203</v>
      </c>
      <c r="D598" s="182" t="s">
        <v>1796</v>
      </c>
      <c r="E598" s="124" t="s">
        <v>65</v>
      </c>
      <c r="F598" s="127">
        <v>368</v>
      </c>
      <c r="G598" s="283">
        <f>VLOOKUP(D598,upahbahan,3,FALSE)</f>
        <v>1530</v>
      </c>
      <c r="H598" s="284">
        <f>F598*G598</f>
        <v>563040</v>
      </c>
    </row>
    <row r="599" spans="3:15" ht="23.4" customHeight="1">
      <c r="C599" s="306" t="s">
        <v>1204</v>
      </c>
      <c r="D599" s="182" t="s">
        <v>79</v>
      </c>
      <c r="E599" s="124" t="s">
        <v>65</v>
      </c>
      <c r="F599" s="127">
        <v>770</v>
      </c>
      <c r="G599" s="283">
        <f>VLOOKUP(D599,upahbahan,3,FALSE)</f>
        <v>221.78700000000001</v>
      </c>
      <c r="H599" s="284">
        <f>F599*G599</f>
        <v>170775.99</v>
      </c>
    </row>
    <row r="600" spans="3:15" ht="23.4" customHeight="1">
      <c r="C600" s="306" t="s">
        <v>1205</v>
      </c>
      <c r="D600" s="182" t="s">
        <v>72</v>
      </c>
      <c r="E600" s="124" t="s">
        <v>65</v>
      </c>
      <c r="F600" s="127">
        <v>1009</v>
      </c>
      <c r="G600" s="283">
        <f>VLOOKUP(D600,upahbahan,3,FALSE)/1350</f>
        <v>216.66666666666666</v>
      </c>
      <c r="H600" s="284">
        <f>F600*G600</f>
        <v>218616.66666666666</v>
      </c>
    </row>
    <row r="601" spans="3:15" ht="23.4" customHeight="1">
      <c r="C601" s="306" t="s">
        <v>1206</v>
      </c>
      <c r="D601" s="182" t="s">
        <v>960</v>
      </c>
      <c r="E601" s="124" t="s">
        <v>529</v>
      </c>
      <c r="F601" s="127">
        <v>202</v>
      </c>
      <c r="G601" s="283">
        <f>VLOOKUP(D601,upahbahan,3,FALSE)</f>
        <v>200</v>
      </c>
      <c r="H601" s="284">
        <f>F601*G601</f>
        <v>40400</v>
      </c>
    </row>
    <row r="602" spans="3:15" ht="23.4" customHeight="1">
      <c r="C602" s="66" t="s">
        <v>1214</v>
      </c>
      <c r="D602" s="67"/>
      <c r="E602" s="67"/>
      <c r="F602" s="67"/>
      <c r="G602" s="69"/>
      <c r="H602" s="284">
        <f>SUM(H598:H601)</f>
        <v>992832.65666666662</v>
      </c>
    </row>
    <row r="603" spans="3:15" ht="23.4" customHeight="1">
      <c r="C603" s="290" t="s">
        <v>1215</v>
      </c>
      <c r="D603" s="182" t="s">
        <v>1216</v>
      </c>
      <c r="E603" s="70"/>
      <c r="F603" s="70"/>
      <c r="G603" s="70"/>
      <c r="H603" s="105"/>
    </row>
    <row r="604" spans="3:15" ht="23.4" customHeight="1">
      <c r="C604" s="66" t="s">
        <v>1217</v>
      </c>
      <c r="D604" s="67"/>
      <c r="E604" s="67"/>
      <c r="F604" s="67"/>
      <c r="G604" s="69"/>
      <c r="H604" s="292">
        <v>0</v>
      </c>
    </row>
    <row r="605" spans="3:15" s="297" customFormat="1" ht="23.4" customHeight="1">
      <c r="C605" s="293" t="s">
        <v>1218</v>
      </c>
      <c r="D605" s="294" t="s">
        <v>1219</v>
      </c>
      <c r="E605" s="295"/>
      <c r="F605" s="295"/>
      <c r="G605" s="296"/>
      <c r="H605" s="284">
        <f>H604+H602+H596</f>
        <v>1200597.6566666667</v>
      </c>
      <c r="I605" s="119"/>
      <c r="J605" s="119"/>
      <c r="K605" s="119"/>
    </row>
    <row r="606" spans="3:15" s="297" customFormat="1" ht="23.4" customHeight="1">
      <c r="C606" s="293" t="s">
        <v>1220</v>
      </c>
      <c r="D606" s="294" t="s">
        <v>1321</v>
      </c>
      <c r="E606" s="295"/>
      <c r="F606" s="296"/>
      <c r="G606" s="298">
        <f>$O$9</f>
        <v>0.1</v>
      </c>
      <c r="H606" s="284">
        <f>H605*G606</f>
        <v>120059.76566666667</v>
      </c>
      <c r="I606" s="119"/>
      <c r="J606" s="119"/>
      <c r="K606" s="119"/>
    </row>
    <row r="607" spans="3:15" s="297" customFormat="1" ht="23.4" customHeight="1" thickBot="1">
      <c r="C607" s="299" t="s">
        <v>1221</v>
      </c>
      <c r="D607" s="300" t="s">
        <v>1222</v>
      </c>
      <c r="E607" s="301"/>
      <c r="F607" s="301"/>
      <c r="G607" s="302"/>
      <c r="H607" s="303">
        <f>SUM(H605:H606)</f>
        <v>1320657.4223333334</v>
      </c>
      <c r="I607" s="119"/>
      <c r="J607" s="119"/>
      <c r="K607" s="119"/>
    </row>
    <row r="608" spans="3:15" ht="14.4" thickTop="1"/>
    <row r="610" spans="3:15">
      <c r="C610" s="126" t="s">
        <v>2275</v>
      </c>
      <c r="D610" s="119" t="s">
        <v>2276</v>
      </c>
    </row>
    <row r="611" spans="3:15" ht="33" customHeight="1" thickBot="1">
      <c r="C611" s="119" t="s">
        <v>2277</v>
      </c>
      <c r="D611" s="47" t="s">
        <v>2278</v>
      </c>
      <c r="E611" s="88"/>
      <c r="F611" s="88"/>
      <c r="G611" s="88"/>
      <c r="H611" s="88"/>
      <c r="I611" s="120">
        <f>ROUNDDOWN(H630,-2)</f>
        <v>1164200</v>
      </c>
      <c r="J611" s="120"/>
      <c r="K611" s="120"/>
      <c r="O611" s="333"/>
    </row>
    <row r="612" spans="3:15" s="289" customFormat="1" ht="31.65" customHeight="1" thickTop="1">
      <c r="C612" s="51" t="s">
        <v>1195</v>
      </c>
      <c r="D612" s="52" t="s">
        <v>1196</v>
      </c>
      <c r="E612" s="52" t="s">
        <v>1197</v>
      </c>
      <c r="F612" s="52" t="s">
        <v>1198</v>
      </c>
      <c r="G612" s="52" t="s">
        <v>1199</v>
      </c>
      <c r="H612" s="53" t="s">
        <v>1200</v>
      </c>
      <c r="I612" s="126"/>
      <c r="J612" s="126"/>
      <c r="K612" s="126"/>
      <c r="O612" s="333"/>
    </row>
    <row r="613" spans="3:15" ht="21.6" customHeight="1">
      <c r="C613" s="290" t="s">
        <v>1201</v>
      </c>
      <c r="D613" s="182" t="s">
        <v>1202</v>
      </c>
      <c r="E613" s="70"/>
      <c r="F613" s="70"/>
      <c r="G613" s="70"/>
      <c r="H613" s="71"/>
      <c r="O613" s="333"/>
    </row>
    <row r="614" spans="3:15" ht="21.6" customHeight="1">
      <c r="C614" s="310" t="s">
        <v>1203</v>
      </c>
      <c r="D614" s="182" t="s">
        <v>5</v>
      </c>
      <c r="E614" s="176" t="s">
        <v>6</v>
      </c>
      <c r="F614" s="282">
        <v>1</v>
      </c>
      <c r="G614" s="283">
        <f>VLOOKUP(D614,upahbahan,3,FALSE)</f>
        <v>100000</v>
      </c>
      <c r="H614" s="284">
        <f>F614*G614</f>
        <v>100000</v>
      </c>
      <c r="O614" s="333"/>
    </row>
    <row r="615" spans="3:15" ht="21.6" customHeight="1">
      <c r="C615" s="310" t="s">
        <v>1204</v>
      </c>
      <c r="D615" s="182" t="s">
        <v>7</v>
      </c>
      <c r="E615" s="176" t="s">
        <v>6</v>
      </c>
      <c r="F615" s="282">
        <v>0.25</v>
      </c>
      <c r="G615" s="283">
        <f>VLOOKUP(D615,upahbahan,3,FALSE)</f>
        <v>135000</v>
      </c>
      <c r="H615" s="284">
        <f>F615*G615</f>
        <v>33750</v>
      </c>
      <c r="O615" s="333"/>
    </row>
    <row r="616" spans="3:15" ht="21.6" customHeight="1">
      <c r="C616" s="310" t="s">
        <v>1205</v>
      </c>
      <c r="D616" s="182" t="s">
        <v>1310</v>
      </c>
      <c r="E616" s="176" t="s">
        <v>6</v>
      </c>
      <c r="F616" s="282">
        <v>2.5000000000000001E-2</v>
      </c>
      <c r="G616" s="283">
        <f>VLOOKUP(D616,upahbahan,3,FALSE)</f>
        <v>150000</v>
      </c>
      <c r="H616" s="284">
        <f>F616*G616</f>
        <v>3750</v>
      </c>
      <c r="O616" s="333"/>
    </row>
    <row r="617" spans="3:15" ht="21.6" customHeight="1">
      <c r="C617" s="310" t="s">
        <v>1206</v>
      </c>
      <c r="D617" s="182" t="s">
        <v>19</v>
      </c>
      <c r="E617" s="176" t="s">
        <v>6</v>
      </c>
      <c r="F617" s="282">
        <v>0.1</v>
      </c>
      <c r="G617" s="283">
        <f>VLOOKUP(D617,upahbahan,3,FALSE)</f>
        <v>160000</v>
      </c>
      <c r="H617" s="284">
        <f>F617*G617</f>
        <v>16000</v>
      </c>
      <c r="O617" s="333"/>
    </row>
    <row r="618" spans="3:15" ht="21.6" customHeight="1">
      <c r="C618" s="66" t="s">
        <v>1208</v>
      </c>
      <c r="D618" s="67"/>
      <c r="E618" s="67"/>
      <c r="F618" s="68"/>
      <c r="G618" s="69"/>
      <c r="H618" s="284">
        <f>SUM(H614:H617)</f>
        <v>153500</v>
      </c>
    </row>
    <row r="619" spans="3:15" ht="21.6" customHeight="1">
      <c r="C619" s="290" t="s">
        <v>1209</v>
      </c>
      <c r="D619" s="182" t="s">
        <v>1210</v>
      </c>
      <c r="E619" s="70"/>
      <c r="F619" s="70"/>
      <c r="G619" s="70"/>
      <c r="H619" s="71"/>
    </row>
    <row r="620" spans="3:15" ht="21.6" customHeight="1">
      <c r="C620" s="306" t="s">
        <v>1203</v>
      </c>
      <c r="D620" s="182" t="s">
        <v>1796</v>
      </c>
      <c r="E620" s="124" t="s">
        <v>65</v>
      </c>
      <c r="F620" s="127">
        <v>267</v>
      </c>
      <c r="G620" s="283">
        <f>VLOOKUP(D620,upahbahan,3,FALSE)</f>
        <v>1530</v>
      </c>
      <c r="H620" s="284">
        <f>F620*G620</f>
        <v>408510</v>
      </c>
    </row>
    <row r="621" spans="3:15" ht="21.6" customHeight="1">
      <c r="C621" s="306" t="s">
        <v>1204</v>
      </c>
      <c r="D621" s="182" t="s">
        <v>79</v>
      </c>
      <c r="E621" s="124" t="s">
        <v>65</v>
      </c>
      <c r="F621" s="127">
        <v>871</v>
      </c>
      <c r="G621" s="283">
        <f>VLOOKUP(D621,upahbahan,3,FALSE)</f>
        <v>221.78700000000001</v>
      </c>
      <c r="H621" s="284">
        <f>F621*G621</f>
        <v>193176.47700000001</v>
      </c>
    </row>
    <row r="622" spans="3:15" ht="21.6" customHeight="1">
      <c r="C622" s="306" t="s">
        <v>1205</v>
      </c>
      <c r="D622" s="182" t="s">
        <v>72</v>
      </c>
      <c r="E622" s="124" t="s">
        <v>65</v>
      </c>
      <c r="F622" s="127">
        <v>1009</v>
      </c>
      <c r="G622" s="283">
        <f>VLOOKUP(D622,upahbahan,3,FALSE)/1350</f>
        <v>216.66666666666666</v>
      </c>
      <c r="H622" s="284">
        <f>F622*G622</f>
        <v>218616.66666666666</v>
      </c>
    </row>
    <row r="623" spans="3:15" ht="21.6" customHeight="1">
      <c r="C623" s="306" t="s">
        <v>1206</v>
      </c>
      <c r="D623" s="182" t="s">
        <v>960</v>
      </c>
      <c r="E623" s="124" t="s">
        <v>529</v>
      </c>
      <c r="F623" s="127">
        <v>202</v>
      </c>
      <c r="G623" s="283">
        <f>VLOOKUP(D623,upahbahan,3,FALSE)</f>
        <v>200</v>
      </c>
      <c r="H623" s="284">
        <f>F623*G623</f>
        <v>40400</v>
      </c>
    </row>
    <row r="624" spans="3:15" ht="21.6" customHeight="1">
      <c r="C624" s="66" t="s">
        <v>1214</v>
      </c>
      <c r="D624" s="67"/>
      <c r="E624" s="67"/>
      <c r="F624" s="67"/>
      <c r="G624" s="69"/>
      <c r="H624" s="284">
        <f>SUM(H620:H623)</f>
        <v>860703.14366666658</v>
      </c>
    </row>
    <row r="625" spans="3:15" ht="21.6" customHeight="1">
      <c r="C625" s="290" t="s">
        <v>1215</v>
      </c>
      <c r="D625" s="182" t="s">
        <v>1216</v>
      </c>
      <c r="E625" s="70"/>
      <c r="F625" s="70"/>
      <c r="G625" s="70"/>
      <c r="H625" s="105"/>
    </row>
    <row r="626" spans="3:15" ht="21.6" customHeight="1">
      <c r="C626" s="290">
        <v>1</v>
      </c>
      <c r="D626" s="182" t="s">
        <v>1167</v>
      </c>
      <c r="E626" s="124" t="s">
        <v>1080</v>
      </c>
      <c r="F626" s="118">
        <v>0.14749999999999999</v>
      </c>
      <c r="G626" s="283">
        <f>VLOOKUP(D626,upahbahan,3,FALSE)</f>
        <v>300000</v>
      </c>
      <c r="H626" s="284">
        <f>F626*G626</f>
        <v>44250</v>
      </c>
    </row>
    <row r="627" spans="3:15" ht="21.6" customHeight="1">
      <c r="C627" s="66" t="s">
        <v>1217</v>
      </c>
      <c r="D627" s="67"/>
      <c r="E627" s="67"/>
      <c r="F627" s="67"/>
      <c r="G627" s="69"/>
      <c r="H627" s="284">
        <f>SUM(H626)</f>
        <v>44250</v>
      </c>
    </row>
    <row r="628" spans="3:15" s="297" customFormat="1" ht="21.6" customHeight="1">
      <c r="C628" s="293" t="s">
        <v>1218</v>
      </c>
      <c r="D628" s="294" t="s">
        <v>1219</v>
      </c>
      <c r="E628" s="295"/>
      <c r="F628" s="295"/>
      <c r="G628" s="296"/>
      <c r="H628" s="284">
        <f>H627+H624+H618</f>
        <v>1058453.1436666665</v>
      </c>
      <c r="I628" s="119"/>
      <c r="J628" s="119"/>
      <c r="K628" s="119"/>
    </row>
    <row r="629" spans="3:15" s="297" customFormat="1" ht="21.6" customHeight="1">
      <c r="C629" s="293" t="s">
        <v>1220</v>
      </c>
      <c r="D629" s="294" t="s">
        <v>1321</v>
      </c>
      <c r="E629" s="295"/>
      <c r="F629" s="296"/>
      <c r="G629" s="298">
        <f>$O$9</f>
        <v>0.1</v>
      </c>
      <c r="H629" s="284">
        <f>H628*G629</f>
        <v>105845.31436666666</v>
      </c>
      <c r="I629" s="119"/>
      <c r="J629" s="119"/>
      <c r="K629" s="119"/>
    </row>
    <row r="630" spans="3:15" s="297" customFormat="1" ht="21.6" customHeight="1" thickBot="1">
      <c r="C630" s="299" t="s">
        <v>1221</v>
      </c>
      <c r="D630" s="300" t="s">
        <v>1222</v>
      </c>
      <c r="E630" s="301"/>
      <c r="F630" s="301"/>
      <c r="G630" s="302"/>
      <c r="H630" s="303">
        <f>SUM(H628:H629)</f>
        <v>1164298.4580333331</v>
      </c>
      <c r="I630" s="119"/>
      <c r="J630" s="119"/>
      <c r="K630" s="119"/>
    </row>
    <row r="631" spans="3:15" ht="14.4" thickTop="1"/>
    <row r="633" spans="3:15" ht="33" customHeight="1" thickBot="1">
      <c r="C633" s="119" t="s">
        <v>2279</v>
      </c>
      <c r="D633" s="47" t="s">
        <v>2280</v>
      </c>
      <c r="E633" s="88"/>
      <c r="F633" s="88"/>
      <c r="G633" s="88"/>
      <c r="H633" s="88"/>
      <c r="I633" s="120">
        <f>ROUNDDOWN(H652,-2)</f>
        <v>1220400</v>
      </c>
      <c r="J633" s="120"/>
      <c r="K633" s="120"/>
      <c r="O633" s="333"/>
    </row>
    <row r="634" spans="3:15" s="289" customFormat="1" ht="31.65" customHeight="1" thickTop="1">
      <c r="C634" s="51" t="s">
        <v>1195</v>
      </c>
      <c r="D634" s="52" t="s">
        <v>1196</v>
      </c>
      <c r="E634" s="52" t="s">
        <v>1197</v>
      </c>
      <c r="F634" s="52" t="s">
        <v>1198</v>
      </c>
      <c r="G634" s="52" t="s">
        <v>1199</v>
      </c>
      <c r="H634" s="53" t="s">
        <v>1200</v>
      </c>
      <c r="I634" s="126"/>
      <c r="J634" s="126"/>
      <c r="K634" s="126"/>
      <c r="O634" s="333"/>
    </row>
    <row r="635" spans="3:15" ht="20.399999999999999" customHeight="1">
      <c r="C635" s="290" t="s">
        <v>1201</v>
      </c>
      <c r="D635" s="182" t="s">
        <v>1202</v>
      </c>
      <c r="E635" s="70"/>
      <c r="F635" s="70"/>
      <c r="G635" s="70"/>
      <c r="H635" s="71"/>
      <c r="O635" s="333"/>
    </row>
    <row r="636" spans="3:15" ht="20.399999999999999" customHeight="1">
      <c r="C636" s="310" t="s">
        <v>1203</v>
      </c>
      <c r="D636" s="182" t="s">
        <v>5</v>
      </c>
      <c r="E636" s="176" t="s">
        <v>6</v>
      </c>
      <c r="F636" s="282">
        <v>1</v>
      </c>
      <c r="G636" s="283">
        <f>VLOOKUP(D636,upahbahan,3,FALSE)</f>
        <v>100000</v>
      </c>
      <c r="H636" s="284">
        <f>F636*G636</f>
        <v>100000</v>
      </c>
      <c r="O636" s="333"/>
    </row>
    <row r="637" spans="3:15" ht="20.399999999999999" customHeight="1">
      <c r="C637" s="310" t="s">
        <v>1204</v>
      </c>
      <c r="D637" s="182" t="s">
        <v>7</v>
      </c>
      <c r="E637" s="176" t="s">
        <v>6</v>
      </c>
      <c r="F637" s="282">
        <v>0.25</v>
      </c>
      <c r="G637" s="283">
        <f>VLOOKUP(D637,upahbahan,3,FALSE)</f>
        <v>135000</v>
      </c>
      <c r="H637" s="284">
        <f>F637*G637</f>
        <v>33750</v>
      </c>
      <c r="O637" s="333"/>
    </row>
    <row r="638" spans="3:15" ht="20.399999999999999" customHeight="1">
      <c r="C638" s="310" t="s">
        <v>1205</v>
      </c>
      <c r="D638" s="182" t="s">
        <v>1310</v>
      </c>
      <c r="E638" s="176" t="s">
        <v>6</v>
      </c>
      <c r="F638" s="282">
        <v>2.5000000000000001E-2</v>
      </c>
      <c r="G638" s="283">
        <f>VLOOKUP(D638,upahbahan,3,FALSE)</f>
        <v>150000</v>
      </c>
      <c r="H638" s="284">
        <f>F638*G638</f>
        <v>3750</v>
      </c>
      <c r="O638" s="333"/>
    </row>
    <row r="639" spans="3:15" ht="20.399999999999999" customHeight="1">
      <c r="C639" s="310" t="s">
        <v>1206</v>
      </c>
      <c r="D639" s="182" t="s">
        <v>19</v>
      </c>
      <c r="E639" s="176" t="s">
        <v>6</v>
      </c>
      <c r="F639" s="282">
        <v>0.1</v>
      </c>
      <c r="G639" s="283">
        <f>VLOOKUP(D639,upahbahan,3,FALSE)</f>
        <v>160000</v>
      </c>
      <c r="H639" s="284">
        <f>F639*G639</f>
        <v>16000</v>
      </c>
      <c r="O639" s="333"/>
    </row>
    <row r="640" spans="3:15" ht="20.399999999999999" customHeight="1">
      <c r="C640" s="66" t="s">
        <v>1208</v>
      </c>
      <c r="D640" s="67"/>
      <c r="E640" s="67"/>
      <c r="F640" s="68"/>
      <c r="G640" s="69"/>
      <c r="H640" s="284">
        <f>SUM(H636:H639)</f>
        <v>153500</v>
      </c>
    </row>
    <row r="641" spans="3:15" ht="20.399999999999999" customHeight="1">
      <c r="C641" s="290" t="s">
        <v>1209</v>
      </c>
      <c r="D641" s="182" t="s">
        <v>1210</v>
      </c>
      <c r="E641" s="70"/>
      <c r="F641" s="70"/>
      <c r="G641" s="70"/>
      <c r="H641" s="71"/>
    </row>
    <row r="642" spans="3:15" ht="20.399999999999999" customHeight="1">
      <c r="C642" s="306" t="s">
        <v>1203</v>
      </c>
      <c r="D642" s="182" t="s">
        <v>2281</v>
      </c>
      <c r="E642" s="124" t="s">
        <v>65</v>
      </c>
      <c r="F642" s="127">
        <v>306</v>
      </c>
      <c r="G642" s="283">
        <f>VLOOKUP(D642,upahbahan,3,FALSE)</f>
        <v>1530</v>
      </c>
      <c r="H642" s="284">
        <f>F642*G642</f>
        <v>468180</v>
      </c>
    </row>
    <row r="643" spans="3:15" ht="20.399999999999999" customHeight="1">
      <c r="C643" s="306" t="s">
        <v>1204</v>
      </c>
      <c r="D643" s="182" t="s">
        <v>79</v>
      </c>
      <c r="E643" s="124" t="s">
        <v>65</v>
      </c>
      <c r="F643" s="127">
        <v>832</v>
      </c>
      <c r="G643" s="283">
        <f>VLOOKUP(D643,upahbahan,3,FALSE)</f>
        <v>221.78700000000001</v>
      </c>
      <c r="H643" s="284">
        <f>F643*G643</f>
        <v>184526.78400000001</v>
      </c>
    </row>
    <row r="644" spans="3:15" ht="20.399999999999999" customHeight="1">
      <c r="C644" s="306" t="s">
        <v>1205</v>
      </c>
      <c r="D644" s="182" t="s">
        <v>72</v>
      </c>
      <c r="E644" s="124" t="s">
        <v>65</v>
      </c>
      <c r="F644" s="127">
        <v>1009</v>
      </c>
      <c r="G644" s="283">
        <f>VLOOKUP(D644,upahbahan,3,FALSE)/1350</f>
        <v>216.66666666666666</v>
      </c>
      <c r="H644" s="284">
        <f>F644*G644</f>
        <v>218616.66666666666</v>
      </c>
    </row>
    <row r="645" spans="3:15" ht="20.399999999999999" customHeight="1">
      <c r="C645" s="306" t="s">
        <v>1206</v>
      </c>
      <c r="D645" s="182" t="s">
        <v>960</v>
      </c>
      <c r="E645" s="124" t="s">
        <v>529</v>
      </c>
      <c r="F645" s="127">
        <v>202</v>
      </c>
      <c r="G645" s="283">
        <f>VLOOKUP(D645,upahbahan,3,FALSE)</f>
        <v>200</v>
      </c>
      <c r="H645" s="284">
        <f>F645*G645</f>
        <v>40400</v>
      </c>
    </row>
    <row r="646" spans="3:15" ht="20.399999999999999" customHeight="1">
      <c r="C646" s="66" t="s">
        <v>1214</v>
      </c>
      <c r="D646" s="67"/>
      <c r="E646" s="67"/>
      <c r="F646" s="67"/>
      <c r="G646" s="69"/>
      <c r="H646" s="284">
        <f>SUM(H642:H645)</f>
        <v>911723.45066666661</v>
      </c>
    </row>
    <row r="647" spans="3:15" ht="20.399999999999999" customHeight="1">
      <c r="C647" s="290" t="s">
        <v>1215</v>
      </c>
      <c r="D647" s="182" t="s">
        <v>1216</v>
      </c>
      <c r="E647" s="70"/>
      <c r="F647" s="70"/>
      <c r="G647" s="70"/>
      <c r="H647" s="105"/>
    </row>
    <row r="648" spans="3:15" ht="20.399999999999999" customHeight="1">
      <c r="C648" s="290">
        <v>1</v>
      </c>
      <c r="D648" s="182" t="s">
        <v>1167</v>
      </c>
      <c r="E648" s="124" t="s">
        <v>1080</v>
      </c>
      <c r="F648" s="118">
        <v>0.14749999999999999</v>
      </c>
      <c r="G648" s="283">
        <f>VLOOKUP(D648,upahbahan,3,FALSE)</f>
        <v>300000</v>
      </c>
      <c r="H648" s="284">
        <f>F648*G648</f>
        <v>44250</v>
      </c>
    </row>
    <row r="649" spans="3:15" ht="20.399999999999999" customHeight="1">
      <c r="C649" s="66" t="s">
        <v>1217</v>
      </c>
      <c r="D649" s="67"/>
      <c r="E649" s="67"/>
      <c r="F649" s="67"/>
      <c r="G649" s="69"/>
      <c r="H649" s="284">
        <f>SUM(H648)</f>
        <v>44250</v>
      </c>
    </row>
    <row r="650" spans="3:15" s="297" customFormat="1" ht="20.399999999999999" customHeight="1">
      <c r="C650" s="293" t="s">
        <v>1218</v>
      </c>
      <c r="D650" s="294" t="s">
        <v>1219</v>
      </c>
      <c r="E650" s="295"/>
      <c r="F650" s="295"/>
      <c r="G650" s="296"/>
      <c r="H650" s="284">
        <f>H649+H646+H640</f>
        <v>1109473.4506666665</v>
      </c>
      <c r="I650" s="119"/>
      <c r="J650" s="119"/>
      <c r="K650" s="119"/>
    </row>
    <row r="651" spans="3:15" s="297" customFormat="1" ht="20.399999999999999" customHeight="1">
      <c r="C651" s="293" t="s">
        <v>1220</v>
      </c>
      <c r="D651" s="294" t="s">
        <v>1321</v>
      </c>
      <c r="E651" s="295"/>
      <c r="F651" s="296"/>
      <c r="G651" s="298">
        <f>$O$9</f>
        <v>0.1</v>
      </c>
      <c r="H651" s="284">
        <f>H650*G651</f>
        <v>110947.34506666666</v>
      </c>
      <c r="I651" s="119"/>
      <c r="J651" s="119"/>
      <c r="K651" s="119"/>
    </row>
    <row r="652" spans="3:15" s="297" customFormat="1" ht="20.399999999999999" customHeight="1" thickBot="1">
      <c r="C652" s="299" t="s">
        <v>1221</v>
      </c>
      <c r="D652" s="300" t="s">
        <v>1222</v>
      </c>
      <c r="E652" s="301"/>
      <c r="F652" s="301"/>
      <c r="G652" s="302"/>
      <c r="H652" s="303">
        <f>SUM(H650:H651)</f>
        <v>1220420.7957333331</v>
      </c>
      <c r="I652" s="119"/>
      <c r="J652" s="119"/>
      <c r="K652" s="119"/>
    </row>
    <row r="653" spans="3:15" ht="14.4" thickTop="1"/>
    <row r="654" spans="3:15" ht="33" customHeight="1" thickBot="1">
      <c r="C654" s="126" t="s">
        <v>2282</v>
      </c>
      <c r="D654" s="47" t="s">
        <v>2283</v>
      </c>
      <c r="E654" s="88"/>
      <c r="F654" s="88"/>
      <c r="G654" s="88"/>
      <c r="H654" s="88"/>
      <c r="I654" s="120">
        <f>ROUNDDOWN(H673,-2)</f>
        <v>1243600</v>
      </c>
      <c r="J654" s="120"/>
      <c r="K654" s="120"/>
      <c r="O654" s="333"/>
    </row>
    <row r="655" spans="3:15" s="289" customFormat="1" ht="31.65" customHeight="1" thickTop="1">
      <c r="C655" s="51" t="s">
        <v>1195</v>
      </c>
      <c r="D655" s="52" t="s">
        <v>1196</v>
      </c>
      <c r="E655" s="52" t="s">
        <v>1197</v>
      </c>
      <c r="F655" s="52" t="s">
        <v>1198</v>
      </c>
      <c r="G655" s="52" t="s">
        <v>1199</v>
      </c>
      <c r="H655" s="53" t="s">
        <v>1200</v>
      </c>
      <c r="I655" s="126"/>
      <c r="J655" s="126"/>
      <c r="K655" s="126"/>
      <c r="O655" s="333"/>
    </row>
    <row r="656" spans="3:15" ht="22.2" customHeight="1">
      <c r="C656" s="290" t="s">
        <v>1201</v>
      </c>
      <c r="D656" s="182" t="s">
        <v>1202</v>
      </c>
      <c r="E656" s="70"/>
      <c r="F656" s="70"/>
      <c r="G656" s="70"/>
      <c r="H656" s="71"/>
      <c r="O656" s="333"/>
    </row>
    <row r="657" spans="3:15" ht="22.2" customHeight="1">
      <c r="C657" s="310" t="s">
        <v>1203</v>
      </c>
      <c r="D657" s="182" t="s">
        <v>5</v>
      </c>
      <c r="E657" s="176" t="s">
        <v>6</v>
      </c>
      <c r="F657" s="282">
        <v>1</v>
      </c>
      <c r="G657" s="283">
        <f>VLOOKUP(D657,upahbahan,3,FALSE)</f>
        <v>100000</v>
      </c>
      <c r="H657" s="284">
        <f>F657*G657</f>
        <v>100000</v>
      </c>
      <c r="O657" s="333"/>
    </row>
    <row r="658" spans="3:15" ht="22.2" customHeight="1">
      <c r="C658" s="310" t="s">
        <v>1204</v>
      </c>
      <c r="D658" s="182" t="s">
        <v>7</v>
      </c>
      <c r="E658" s="176" t="s">
        <v>6</v>
      </c>
      <c r="F658" s="282">
        <v>0.25</v>
      </c>
      <c r="G658" s="283">
        <f>VLOOKUP(D658,upahbahan,3,FALSE)</f>
        <v>135000</v>
      </c>
      <c r="H658" s="284">
        <f>F658*G658</f>
        <v>33750</v>
      </c>
      <c r="O658" s="333"/>
    </row>
    <row r="659" spans="3:15" ht="22.2" customHeight="1">
      <c r="C659" s="310" t="s">
        <v>1205</v>
      </c>
      <c r="D659" s="182" t="s">
        <v>1310</v>
      </c>
      <c r="E659" s="176" t="s">
        <v>6</v>
      </c>
      <c r="F659" s="282">
        <v>2.5000000000000001E-2</v>
      </c>
      <c r="G659" s="283">
        <f>VLOOKUP(D659,upahbahan,3,FALSE)</f>
        <v>150000</v>
      </c>
      <c r="H659" s="284">
        <f>F659*G659</f>
        <v>3750</v>
      </c>
      <c r="O659" s="333"/>
    </row>
    <row r="660" spans="3:15" ht="22.2" customHeight="1">
      <c r="C660" s="310" t="s">
        <v>1206</v>
      </c>
      <c r="D660" s="182" t="s">
        <v>19</v>
      </c>
      <c r="E660" s="176" t="s">
        <v>6</v>
      </c>
      <c r="F660" s="282">
        <v>0.1</v>
      </c>
      <c r="G660" s="283">
        <f>VLOOKUP(D660,upahbahan,3,FALSE)</f>
        <v>160000</v>
      </c>
      <c r="H660" s="284">
        <f>F660*G660</f>
        <v>16000</v>
      </c>
      <c r="O660" s="333"/>
    </row>
    <row r="661" spans="3:15" ht="22.2" customHeight="1">
      <c r="C661" s="66" t="s">
        <v>1208</v>
      </c>
      <c r="D661" s="67"/>
      <c r="E661" s="67"/>
      <c r="F661" s="68"/>
      <c r="G661" s="69"/>
      <c r="H661" s="284">
        <f>SUM(H657:H660)</f>
        <v>153500</v>
      </c>
    </row>
    <row r="662" spans="3:15" ht="22.2" customHeight="1">
      <c r="C662" s="290" t="s">
        <v>1209</v>
      </c>
      <c r="D662" s="182" t="s">
        <v>1210</v>
      </c>
      <c r="E662" s="70"/>
      <c r="F662" s="70"/>
      <c r="G662" s="70"/>
      <c r="H662" s="71"/>
    </row>
    <row r="663" spans="3:15" ht="22.2" customHeight="1">
      <c r="C663" s="306" t="s">
        <v>1203</v>
      </c>
      <c r="D663" s="182" t="s">
        <v>1796</v>
      </c>
      <c r="E663" s="124" t="s">
        <v>65</v>
      </c>
      <c r="F663" s="127">
        <v>322</v>
      </c>
      <c r="G663" s="283">
        <f>VLOOKUP(D663,upahbahan,3,FALSE)</f>
        <v>1530</v>
      </c>
      <c r="H663" s="284">
        <f>F663*G663</f>
        <v>492660</v>
      </c>
    </row>
    <row r="664" spans="3:15" ht="22.2" customHeight="1">
      <c r="C664" s="306" t="s">
        <v>1204</v>
      </c>
      <c r="D664" s="182" t="s">
        <v>79</v>
      </c>
      <c r="E664" s="124" t="s">
        <v>65</v>
      </c>
      <c r="F664" s="127">
        <v>817</v>
      </c>
      <c r="G664" s="283">
        <f>VLOOKUP(D664,upahbahan,3,FALSE)</f>
        <v>221.78700000000001</v>
      </c>
      <c r="H664" s="284">
        <f>F664*G664</f>
        <v>181199.97899999999</v>
      </c>
    </row>
    <row r="665" spans="3:15" ht="22.2" customHeight="1">
      <c r="C665" s="306" t="s">
        <v>1205</v>
      </c>
      <c r="D665" s="182" t="s">
        <v>72</v>
      </c>
      <c r="E665" s="124" t="s">
        <v>65</v>
      </c>
      <c r="F665" s="127">
        <v>1009</v>
      </c>
      <c r="G665" s="283">
        <f>VLOOKUP(D665,upahbahan,3,FALSE)/1350</f>
        <v>216.66666666666666</v>
      </c>
      <c r="H665" s="284">
        <f>F665*G665</f>
        <v>218616.66666666666</v>
      </c>
    </row>
    <row r="666" spans="3:15" ht="22.2" customHeight="1">
      <c r="C666" s="306" t="s">
        <v>1206</v>
      </c>
      <c r="D666" s="182" t="s">
        <v>960</v>
      </c>
      <c r="E666" s="124" t="s">
        <v>529</v>
      </c>
      <c r="F666" s="127">
        <v>202</v>
      </c>
      <c r="G666" s="283">
        <f>VLOOKUP(D666,upahbahan,3,FALSE)</f>
        <v>200</v>
      </c>
      <c r="H666" s="284">
        <f>F666*G666</f>
        <v>40400</v>
      </c>
    </row>
    <row r="667" spans="3:15" ht="22.2" customHeight="1">
      <c r="C667" s="66" t="s">
        <v>1214</v>
      </c>
      <c r="D667" s="67"/>
      <c r="E667" s="67"/>
      <c r="F667" s="67"/>
      <c r="G667" s="69"/>
      <c r="H667" s="284">
        <f>SUM(H663:H666)</f>
        <v>932876.64566666668</v>
      </c>
    </row>
    <row r="668" spans="3:15" ht="22.2" customHeight="1">
      <c r="C668" s="290" t="s">
        <v>1215</v>
      </c>
      <c r="D668" s="182" t="s">
        <v>1216</v>
      </c>
      <c r="E668" s="70"/>
      <c r="F668" s="70"/>
      <c r="G668" s="70"/>
      <c r="H668" s="105"/>
    </row>
    <row r="669" spans="3:15" ht="22.2" customHeight="1">
      <c r="C669" s="290">
        <v>1</v>
      </c>
      <c r="D669" s="182" t="s">
        <v>1167</v>
      </c>
      <c r="E669" s="124" t="s">
        <v>1080</v>
      </c>
      <c r="F669" s="118">
        <v>0.14749999999999999</v>
      </c>
      <c r="G669" s="283">
        <f>VLOOKUP(D669,upahbahan,3,FALSE)</f>
        <v>300000</v>
      </c>
      <c r="H669" s="284">
        <f>F669*G669</f>
        <v>44250</v>
      </c>
    </row>
    <row r="670" spans="3:15" ht="22.2" customHeight="1">
      <c r="C670" s="66" t="s">
        <v>1217</v>
      </c>
      <c r="D670" s="67"/>
      <c r="E670" s="67"/>
      <c r="F670" s="67"/>
      <c r="G670" s="69"/>
      <c r="H670" s="284">
        <f>SUM(H669)</f>
        <v>44250</v>
      </c>
    </row>
    <row r="671" spans="3:15" s="297" customFormat="1" ht="22.2" customHeight="1">
      <c r="C671" s="293" t="s">
        <v>1218</v>
      </c>
      <c r="D671" s="294" t="s">
        <v>1219</v>
      </c>
      <c r="E671" s="295"/>
      <c r="F671" s="295"/>
      <c r="G671" s="296"/>
      <c r="H671" s="284">
        <f>H670+H667+H661</f>
        <v>1130626.6456666668</v>
      </c>
      <c r="I671" s="119"/>
      <c r="J671" s="119"/>
      <c r="K671" s="119"/>
    </row>
    <row r="672" spans="3:15" s="297" customFormat="1" ht="22.2" customHeight="1">
      <c r="C672" s="293" t="s">
        <v>1220</v>
      </c>
      <c r="D672" s="294" t="s">
        <v>1321</v>
      </c>
      <c r="E672" s="295"/>
      <c r="F672" s="296"/>
      <c r="G672" s="298">
        <f>$O$9</f>
        <v>0.1</v>
      </c>
      <c r="H672" s="284">
        <f>H671*G672</f>
        <v>113062.66456666669</v>
      </c>
      <c r="I672" s="119"/>
      <c r="J672" s="119"/>
      <c r="K672" s="119"/>
    </row>
    <row r="673" spans="3:15" s="297" customFormat="1" ht="22.2" customHeight="1" thickBot="1">
      <c r="C673" s="299" t="s">
        <v>1221</v>
      </c>
      <c r="D673" s="300" t="s">
        <v>1222</v>
      </c>
      <c r="E673" s="301"/>
      <c r="F673" s="301"/>
      <c r="G673" s="302"/>
      <c r="H673" s="303">
        <f>SUM(H671:H672)</f>
        <v>1243689.3102333334</v>
      </c>
      <c r="I673" s="119"/>
      <c r="J673" s="119"/>
      <c r="K673" s="119"/>
    </row>
    <row r="674" spans="3:15" ht="14.4" thickTop="1"/>
    <row r="675" spans="3:15" ht="33" customHeight="1" thickBot="1">
      <c r="C675" s="126" t="s">
        <v>2284</v>
      </c>
      <c r="D675" s="47" t="s">
        <v>2285</v>
      </c>
      <c r="E675" s="88"/>
      <c r="F675" s="88"/>
      <c r="G675" s="88"/>
      <c r="H675" s="88"/>
      <c r="I675" s="120">
        <f>ROUNDDOWN(H694,-2)</f>
        <v>1280800</v>
      </c>
      <c r="J675" s="120"/>
      <c r="K675" s="120"/>
      <c r="O675" s="333"/>
    </row>
    <row r="676" spans="3:15" s="289" customFormat="1" ht="31.65" customHeight="1" thickTop="1">
      <c r="C676" s="51" t="s">
        <v>1195</v>
      </c>
      <c r="D676" s="52" t="s">
        <v>1196</v>
      </c>
      <c r="E676" s="52" t="s">
        <v>1197</v>
      </c>
      <c r="F676" s="52" t="s">
        <v>1198</v>
      </c>
      <c r="G676" s="52" t="s">
        <v>1199</v>
      </c>
      <c r="H676" s="53" t="s">
        <v>1200</v>
      </c>
      <c r="I676" s="126"/>
      <c r="J676" s="126"/>
      <c r="K676" s="126"/>
      <c r="O676" s="333"/>
    </row>
    <row r="677" spans="3:15" ht="22.2" customHeight="1">
      <c r="C677" s="290" t="s">
        <v>1201</v>
      </c>
      <c r="D677" s="182" t="s">
        <v>1202</v>
      </c>
      <c r="E677" s="70"/>
      <c r="F677" s="70"/>
      <c r="G677" s="70"/>
      <c r="H677" s="71"/>
      <c r="O677" s="333"/>
    </row>
    <row r="678" spans="3:15" ht="22.2" customHeight="1">
      <c r="C678" s="310" t="s">
        <v>1203</v>
      </c>
      <c r="D678" s="182" t="s">
        <v>5</v>
      </c>
      <c r="E678" s="176" t="s">
        <v>6</v>
      </c>
      <c r="F678" s="282">
        <v>1</v>
      </c>
      <c r="G678" s="283">
        <f>VLOOKUP(D678,upahbahan,3,FALSE)</f>
        <v>100000</v>
      </c>
      <c r="H678" s="284">
        <f>F678*G678</f>
        <v>100000</v>
      </c>
      <c r="O678" s="333"/>
    </row>
    <row r="679" spans="3:15" ht="22.2" customHeight="1">
      <c r="C679" s="310" t="s">
        <v>1204</v>
      </c>
      <c r="D679" s="182" t="s">
        <v>7</v>
      </c>
      <c r="E679" s="176" t="s">
        <v>6</v>
      </c>
      <c r="F679" s="282">
        <v>0.25</v>
      </c>
      <c r="G679" s="283">
        <f>VLOOKUP(D679,upahbahan,3,FALSE)</f>
        <v>135000</v>
      </c>
      <c r="H679" s="284">
        <f>F679*G679</f>
        <v>33750</v>
      </c>
      <c r="O679" s="333"/>
    </row>
    <row r="680" spans="3:15" ht="22.2" customHeight="1">
      <c r="C680" s="310" t="s">
        <v>1205</v>
      </c>
      <c r="D680" s="182" t="s">
        <v>1310</v>
      </c>
      <c r="E680" s="176" t="s">
        <v>6</v>
      </c>
      <c r="F680" s="282">
        <v>2.5000000000000001E-2</v>
      </c>
      <c r="G680" s="283">
        <f>VLOOKUP(D680,upahbahan,3,FALSE)</f>
        <v>150000</v>
      </c>
      <c r="H680" s="284">
        <f>F680*G680</f>
        <v>3750</v>
      </c>
      <c r="O680" s="333"/>
    </row>
    <row r="681" spans="3:15" ht="22.2" customHeight="1">
      <c r="C681" s="310" t="s">
        <v>1206</v>
      </c>
      <c r="D681" s="182" t="s">
        <v>19</v>
      </c>
      <c r="E681" s="176" t="s">
        <v>6</v>
      </c>
      <c r="F681" s="282">
        <v>0.1</v>
      </c>
      <c r="G681" s="283">
        <f>VLOOKUP(D681,upahbahan,3,FALSE)</f>
        <v>160000</v>
      </c>
      <c r="H681" s="284">
        <f>F681*G681</f>
        <v>16000</v>
      </c>
      <c r="O681" s="333"/>
    </row>
    <row r="682" spans="3:15" ht="22.2" customHeight="1">
      <c r="C682" s="66" t="s">
        <v>1208</v>
      </c>
      <c r="D682" s="67"/>
      <c r="E682" s="67"/>
      <c r="F682" s="68"/>
      <c r="G682" s="69"/>
      <c r="H682" s="284">
        <f>SUM(H678:H681)</f>
        <v>153500</v>
      </c>
    </row>
    <row r="683" spans="3:15" ht="22.2" customHeight="1">
      <c r="C683" s="290" t="s">
        <v>1209</v>
      </c>
      <c r="D683" s="182" t="s">
        <v>1210</v>
      </c>
      <c r="E683" s="70"/>
      <c r="F683" s="70"/>
      <c r="G683" s="70"/>
      <c r="H683" s="71"/>
    </row>
    <row r="684" spans="3:15" ht="22.2" customHeight="1">
      <c r="C684" s="306" t="s">
        <v>1203</v>
      </c>
      <c r="D684" s="182" t="s">
        <v>1796</v>
      </c>
      <c r="E684" s="124" t="s">
        <v>65</v>
      </c>
      <c r="F684" s="127">
        <v>348</v>
      </c>
      <c r="G684" s="283">
        <f>VLOOKUP(D684,upahbahan,3,FALSE)</f>
        <v>1530</v>
      </c>
      <c r="H684" s="284">
        <f>F684*G684</f>
        <v>532440</v>
      </c>
    </row>
    <row r="685" spans="3:15" ht="22.2" customHeight="1">
      <c r="C685" s="306" t="s">
        <v>1204</v>
      </c>
      <c r="D685" s="182" t="s">
        <v>79</v>
      </c>
      <c r="E685" s="124" t="s">
        <v>65</v>
      </c>
      <c r="F685" s="127">
        <v>790</v>
      </c>
      <c r="G685" s="283">
        <f>VLOOKUP(D685,upahbahan,3,FALSE)</f>
        <v>221.78700000000001</v>
      </c>
      <c r="H685" s="284">
        <f>F685*G685</f>
        <v>175211.73</v>
      </c>
    </row>
    <row r="686" spans="3:15" ht="22.2" customHeight="1">
      <c r="C686" s="306" t="s">
        <v>1205</v>
      </c>
      <c r="D686" s="182" t="s">
        <v>72</v>
      </c>
      <c r="E686" s="124" t="s">
        <v>65</v>
      </c>
      <c r="F686" s="127">
        <v>1009</v>
      </c>
      <c r="G686" s="283">
        <f>VLOOKUP(D686,upahbahan,3,FALSE)/1350</f>
        <v>216.66666666666666</v>
      </c>
      <c r="H686" s="284">
        <f>F686*G686</f>
        <v>218616.66666666666</v>
      </c>
    </row>
    <row r="687" spans="3:15" ht="22.2" customHeight="1">
      <c r="C687" s="306" t="s">
        <v>1206</v>
      </c>
      <c r="D687" s="182" t="s">
        <v>960</v>
      </c>
      <c r="E687" s="124" t="s">
        <v>529</v>
      </c>
      <c r="F687" s="127">
        <v>202</v>
      </c>
      <c r="G687" s="283">
        <f>VLOOKUP(D687,upahbahan,3,FALSE)</f>
        <v>200</v>
      </c>
      <c r="H687" s="284">
        <f>F687*G687</f>
        <v>40400</v>
      </c>
    </row>
    <row r="688" spans="3:15" ht="22.2" customHeight="1">
      <c r="C688" s="66" t="s">
        <v>1214</v>
      </c>
      <c r="D688" s="67"/>
      <c r="E688" s="67"/>
      <c r="F688" s="67"/>
      <c r="G688" s="69"/>
      <c r="H688" s="284">
        <f>SUM(H684:H687)</f>
        <v>966668.39666666661</v>
      </c>
    </row>
    <row r="689" spans="3:15" ht="22.2" customHeight="1">
      <c r="C689" s="290" t="s">
        <v>1215</v>
      </c>
      <c r="D689" s="182" t="s">
        <v>1216</v>
      </c>
      <c r="E689" s="70"/>
      <c r="F689" s="70"/>
      <c r="G689" s="70"/>
      <c r="H689" s="105"/>
    </row>
    <row r="690" spans="3:15" ht="22.2" customHeight="1">
      <c r="C690" s="290">
        <v>1</v>
      </c>
      <c r="D690" s="182" t="s">
        <v>1167</v>
      </c>
      <c r="E690" s="124" t="s">
        <v>1080</v>
      </c>
      <c r="F690" s="118">
        <v>0.14749999999999999</v>
      </c>
      <c r="G690" s="283">
        <f>VLOOKUP(D690,upahbahan,3,FALSE)</f>
        <v>300000</v>
      </c>
      <c r="H690" s="284">
        <f>F690*G690</f>
        <v>44250</v>
      </c>
    </row>
    <row r="691" spans="3:15" ht="22.2" customHeight="1">
      <c r="C691" s="66" t="s">
        <v>1217</v>
      </c>
      <c r="D691" s="67"/>
      <c r="E691" s="67"/>
      <c r="F691" s="67"/>
      <c r="G691" s="69"/>
      <c r="H691" s="284">
        <f>SUM(H690)</f>
        <v>44250</v>
      </c>
    </row>
    <row r="692" spans="3:15" s="297" customFormat="1" ht="22.2" customHeight="1">
      <c r="C692" s="293" t="s">
        <v>1218</v>
      </c>
      <c r="D692" s="294" t="s">
        <v>1219</v>
      </c>
      <c r="E692" s="295"/>
      <c r="F692" s="295"/>
      <c r="G692" s="296"/>
      <c r="H692" s="284">
        <f>H691+H688+H682</f>
        <v>1164418.3966666665</v>
      </c>
      <c r="I692" s="119"/>
      <c r="J692" s="119"/>
      <c r="K692" s="119"/>
    </row>
    <row r="693" spans="3:15" s="297" customFormat="1" ht="22.2" customHeight="1">
      <c r="C693" s="293" t="s">
        <v>1220</v>
      </c>
      <c r="D693" s="294" t="s">
        <v>1321</v>
      </c>
      <c r="E693" s="295"/>
      <c r="F693" s="296"/>
      <c r="G693" s="298">
        <f>$O$9</f>
        <v>0.1</v>
      </c>
      <c r="H693" s="284">
        <f>H692*G693</f>
        <v>116441.83966666665</v>
      </c>
      <c r="I693" s="119"/>
      <c r="J693" s="119"/>
      <c r="K693" s="119"/>
    </row>
    <row r="694" spans="3:15" s="297" customFormat="1" ht="22.2" customHeight="1" thickBot="1">
      <c r="C694" s="299" t="s">
        <v>1221</v>
      </c>
      <c r="D694" s="300" t="s">
        <v>1222</v>
      </c>
      <c r="E694" s="301"/>
      <c r="F694" s="301"/>
      <c r="G694" s="302"/>
      <c r="H694" s="303">
        <f>SUM(H692:H693)</f>
        <v>1280860.2363333332</v>
      </c>
      <c r="I694" s="119"/>
      <c r="J694" s="119"/>
      <c r="K694" s="119"/>
    </row>
    <row r="695" spans="3:15" ht="14.4" thickTop="1"/>
    <row r="696" spans="3:15" ht="33" customHeight="1" thickBot="1">
      <c r="C696" s="126" t="s">
        <v>2286</v>
      </c>
      <c r="D696" s="48" t="s">
        <v>2287</v>
      </c>
      <c r="E696" s="88"/>
      <c r="F696" s="88"/>
      <c r="G696" s="88"/>
      <c r="H696" s="88"/>
      <c r="I696" s="120">
        <f>ROUNDDOWN(H715,-2)</f>
        <v>1309600</v>
      </c>
      <c r="J696" s="120"/>
      <c r="K696" s="120"/>
      <c r="O696" s="333"/>
    </row>
    <row r="697" spans="3:15" s="289" customFormat="1" ht="31.65" customHeight="1" thickTop="1">
      <c r="C697" s="51" t="s">
        <v>1195</v>
      </c>
      <c r="D697" s="52" t="s">
        <v>1196</v>
      </c>
      <c r="E697" s="52" t="s">
        <v>1197</v>
      </c>
      <c r="F697" s="52" t="s">
        <v>1198</v>
      </c>
      <c r="G697" s="52" t="s">
        <v>1199</v>
      </c>
      <c r="H697" s="53" t="s">
        <v>1200</v>
      </c>
      <c r="I697" s="126"/>
      <c r="J697" s="126"/>
      <c r="K697" s="126"/>
      <c r="O697" s="333"/>
    </row>
    <row r="698" spans="3:15" ht="25.8" customHeight="1">
      <c r="C698" s="290" t="s">
        <v>1201</v>
      </c>
      <c r="D698" s="182" t="s">
        <v>1202</v>
      </c>
      <c r="E698" s="70"/>
      <c r="F698" s="70"/>
      <c r="G698" s="70"/>
      <c r="H698" s="71"/>
      <c r="O698" s="333"/>
    </row>
    <row r="699" spans="3:15" ht="25.8" customHeight="1">
      <c r="C699" s="310" t="s">
        <v>1203</v>
      </c>
      <c r="D699" s="182" t="s">
        <v>5</v>
      </c>
      <c r="E699" s="176" t="s">
        <v>6</v>
      </c>
      <c r="F699" s="282">
        <v>1</v>
      </c>
      <c r="G699" s="283">
        <f>VLOOKUP(D699,upahbahan,3,FALSE)</f>
        <v>100000</v>
      </c>
      <c r="H699" s="284">
        <f>F699*G699</f>
        <v>100000</v>
      </c>
      <c r="O699" s="333"/>
    </row>
    <row r="700" spans="3:15" ht="25.8" customHeight="1">
      <c r="C700" s="310" t="s">
        <v>1204</v>
      </c>
      <c r="D700" s="182" t="s">
        <v>7</v>
      </c>
      <c r="E700" s="176" t="s">
        <v>6</v>
      </c>
      <c r="F700" s="282">
        <v>0.25</v>
      </c>
      <c r="G700" s="283">
        <f>VLOOKUP(D700,upahbahan,3,FALSE)</f>
        <v>135000</v>
      </c>
      <c r="H700" s="284">
        <f>F700*G700</f>
        <v>33750</v>
      </c>
      <c r="O700" s="333"/>
    </row>
    <row r="701" spans="3:15" ht="25.8" customHeight="1">
      <c r="C701" s="310" t="s">
        <v>1205</v>
      </c>
      <c r="D701" s="182" t="s">
        <v>1310</v>
      </c>
      <c r="E701" s="176" t="s">
        <v>6</v>
      </c>
      <c r="F701" s="282">
        <v>2.5000000000000001E-2</v>
      </c>
      <c r="G701" s="283">
        <f>VLOOKUP(D701,upahbahan,3,FALSE)</f>
        <v>150000</v>
      </c>
      <c r="H701" s="284">
        <f>F701*G701</f>
        <v>3750</v>
      </c>
      <c r="O701" s="333"/>
    </row>
    <row r="702" spans="3:15" ht="25.8" customHeight="1">
      <c r="C702" s="310" t="s">
        <v>1206</v>
      </c>
      <c r="D702" s="182" t="s">
        <v>19</v>
      </c>
      <c r="E702" s="176" t="s">
        <v>6</v>
      </c>
      <c r="F702" s="282">
        <v>0.1</v>
      </c>
      <c r="G702" s="283">
        <f>VLOOKUP(D702,upahbahan,3,FALSE)</f>
        <v>160000</v>
      </c>
      <c r="H702" s="284">
        <f>F702*G702</f>
        <v>16000</v>
      </c>
      <c r="O702" s="333"/>
    </row>
    <row r="703" spans="3:15" ht="25.8" customHeight="1">
      <c r="C703" s="66" t="s">
        <v>1208</v>
      </c>
      <c r="D703" s="67"/>
      <c r="E703" s="67"/>
      <c r="F703" s="68"/>
      <c r="G703" s="69"/>
      <c r="H703" s="284">
        <f>SUM(H699:H702)</f>
        <v>153500</v>
      </c>
    </row>
    <row r="704" spans="3:15" ht="25.8" customHeight="1">
      <c r="C704" s="290" t="s">
        <v>1209</v>
      </c>
      <c r="D704" s="182" t="s">
        <v>1210</v>
      </c>
      <c r="E704" s="70"/>
      <c r="F704" s="70"/>
      <c r="G704" s="70"/>
      <c r="H704" s="71"/>
    </row>
    <row r="705" spans="3:15" ht="25.8" customHeight="1">
      <c r="C705" s="306" t="s">
        <v>1203</v>
      </c>
      <c r="D705" s="182" t="s">
        <v>1796</v>
      </c>
      <c r="E705" s="124" t="s">
        <v>65</v>
      </c>
      <c r="F705" s="127">
        <v>368</v>
      </c>
      <c r="G705" s="283">
        <f>VLOOKUP(D705,upahbahan,3,FALSE)</f>
        <v>1530</v>
      </c>
      <c r="H705" s="284">
        <f>F705*G705</f>
        <v>563040</v>
      </c>
    </row>
    <row r="706" spans="3:15" ht="25.8" customHeight="1">
      <c r="C706" s="306" t="s">
        <v>1204</v>
      </c>
      <c r="D706" s="182" t="s">
        <v>79</v>
      </c>
      <c r="E706" s="124" t="s">
        <v>65</v>
      </c>
      <c r="F706" s="127">
        <v>770</v>
      </c>
      <c r="G706" s="283">
        <f>VLOOKUP(D706,upahbahan,3,FALSE)</f>
        <v>221.78700000000001</v>
      </c>
      <c r="H706" s="284">
        <f>F706*G706</f>
        <v>170775.99</v>
      </c>
    </row>
    <row r="707" spans="3:15" ht="25.8" customHeight="1">
      <c r="C707" s="306" t="s">
        <v>1205</v>
      </c>
      <c r="D707" s="182" t="s">
        <v>72</v>
      </c>
      <c r="E707" s="124" t="s">
        <v>65</v>
      </c>
      <c r="F707" s="127">
        <v>1009</v>
      </c>
      <c r="G707" s="283">
        <f>VLOOKUP(D707,upahbahan,3,FALSE)/1350</f>
        <v>216.66666666666666</v>
      </c>
      <c r="H707" s="284">
        <f>F707*G707</f>
        <v>218616.66666666666</v>
      </c>
    </row>
    <row r="708" spans="3:15" ht="25.8" customHeight="1">
      <c r="C708" s="306" t="s">
        <v>1206</v>
      </c>
      <c r="D708" s="182" t="s">
        <v>960</v>
      </c>
      <c r="E708" s="124" t="s">
        <v>529</v>
      </c>
      <c r="F708" s="127">
        <v>202</v>
      </c>
      <c r="G708" s="283">
        <f>VLOOKUP(D708,upahbahan,3,FALSE)</f>
        <v>200</v>
      </c>
      <c r="H708" s="284">
        <f>F708*G708</f>
        <v>40400</v>
      </c>
    </row>
    <row r="709" spans="3:15" ht="25.8" customHeight="1">
      <c r="C709" s="66" t="s">
        <v>1214</v>
      </c>
      <c r="D709" s="67"/>
      <c r="E709" s="67"/>
      <c r="F709" s="67"/>
      <c r="G709" s="69"/>
      <c r="H709" s="284">
        <f>SUM(H705:H708)</f>
        <v>992832.65666666662</v>
      </c>
    </row>
    <row r="710" spans="3:15" ht="25.8" customHeight="1">
      <c r="C710" s="290" t="s">
        <v>1215</v>
      </c>
      <c r="D710" s="182" t="s">
        <v>1216</v>
      </c>
      <c r="E710" s="70"/>
      <c r="F710" s="70"/>
      <c r="G710" s="70"/>
      <c r="H710" s="105"/>
    </row>
    <row r="711" spans="3:15" ht="25.8" customHeight="1">
      <c r="C711" s="290">
        <v>1</v>
      </c>
      <c r="D711" s="182" t="s">
        <v>1167</v>
      </c>
      <c r="E711" s="124" t="s">
        <v>1080</v>
      </c>
      <c r="F711" s="118">
        <v>0.14749999999999999</v>
      </c>
      <c r="G711" s="283">
        <f>VLOOKUP(D711,upahbahan,3,FALSE)</f>
        <v>300000</v>
      </c>
      <c r="H711" s="284">
        <f>F711*G711</f>
        <v>44250</v>
      </c>
    </row>
    <row r="712" spans="3:15" ht="25.8" customHeight="1">
      <c r="C712" s="66" t="s">
        <v>1217</v>
      </c>
      <c r="D712" s="67"/>
      <c r="E712" s="67"/>
      <c r="F712" s="67"/>
      <c r="G712" s="69"/>
      <c r="H712" s="284">
        <f>SUM(H711)</f>
        <v>44250</v>
      </c>
    </row>
    <row r="713" spans="3:15" s="297" customFormat="1" ht="25.8" customHeight="1">
      <c r="C713" s="293" t="s">
        <v>1218</v>
      </c>
      <c r="D713" s="294" t="s">
        <v>1219</v>
      </c>
      <c r="E713" s="295"/>
      <c r="F713" s="295"/>
      <c r="G713" s="296"/>
      <c r="H713" s="284">
        <f>H712+H709+H703</f>
        <v>1190582.6566666667</v>
      </c>
      <c r="I713" s="119"/>
      <c r="J713" s="119"/>
      <c r="K713" s="119"/>
    </row>
    <row r="714" spans="3:15" s="297" customFormat="1" ht="25.8" customHeight="1">
      <c r="C714" s="293" t="s">
        <v>1220</v>
      </c>
      <c r="D714" s="294" t="s">
        <v>1321</v>
      </c>
      <c r="E714" s="295"/>
      <c r="F714" s="296"/>
      <c r="G714" s="298">
        <f>$O$9</f>
        <v>0.1</v>
      </c>
      <c r="H714" s="284">
        <f>H713*G714</f>
        <v>119058.26566666667</v>
      </c>
      <c r="I714" s="119"/>
      <c r="J714" s="119"/>
      <c r="K714" s="119"/>
    </row>
    <row r="715" spans="3:15" s="297" customFormat="1" ht="25.8" customHeight="1" thickBot="1">
      <c r="C715" s="299" t="s">
        <v>1221</v>
      </c>
      <c r="D715" s="300" t="s">
        <v>1222</v>
      </c>
      <c r="E715" s="301"/>
      <c r="F715" s="301"/>
      <c r="G715" s="302"/>
      <c r="H715" s="303">
        <f>SUM(H713:H714)</f>
        <v>1309640.9223333334</v>
      </c>
      <c r="I715" s="119"/>
      <c r="J715" s="119"/>
      <c r="K715" s="119"/>
    </row>
    <row r="716" spans="3:15" ht="14.4" thickTop="1"/>
    <row r="717" spans="3:15" ht="33" customHeight="1" thickBot="1">
      <c r="C717" s="126" t="s">
        <v>2288</v>
      </c>
      <c r="D717" s="47" t="s">
        <v>2289</v>
      </c>
      <c r="E717" s="88"/>
      <c r="F717" s="88"/>
      <c r="G717" s="88"/>
      <c r="H717" s="88"/>
      <c r="I717" s="120">
        <f>ROUNDDOWN(H736,-2)</f>
        <v>1365700</v>
      </c>
      <c r="J717" s="120"/>
      <c r="K717" s="120"/>
      <c r="O717" s="333"/>
    </row>
    <row r="718" spans="3:15" s="289" customFormat="1" ht="31.65" customHeight="1" thickTop="1">
      <c r="C718" s="51" t="s">
        <v>1195</v>
      </c>
      <c r="D718" s="52" t="s">
        <v>1196</v>
      </c>
      <c r="E718" s="52" t="s">
        <v>1197</v>
      </c>
      <c r="F718" s="52" t="s">
        <v>1198</v>
      </c>
      <c r="G718" s="52" t="s">
        <v>1199</v>
      </c>
      <c r="H718" s="53" t="s">
        <v>1200</v>
      </c>
      <c r="I718" s="126"/>
      <c r="J718" s="126"/>
      <c r="K718" s="126"/>
      <c r="O718" s="333"/>
    </row>
    <row r="719" spans="3:15" ht="24" customHeight="1">
      <c r="C719" s="290" t="s">
        <v>1201</v>
      </c>
      <c r="D719" s="182" t="s">
        <v>1202</v>
      </c>
      <c r="E719" s="70"/>
      <c r="F719" s="70"/>
      <c r="G719" s="70"/>
      <c r="H719" s="71"/>
      <c r="O719" s="333"/>
    </row>
    <row r="720" spans="3:15" ht="24" customHeight="1">
      <c r="C720" s="310" t="s">
        <v>1203</v>
      </c>
      <c r="D720" s="182" t="s">
        <v>5</v>
      </c>
      <c r="E720" s="176" t="s">
        <v>6</v>
      </c>
      <c r="F720" s="282">
        <v>1</v>
      </c>
      <c r="G720" s="283">
        <f>VLOOKUP(D720,upahbahan,3,FALSE)</f>
        <v>100000</v>
      </c>
      <c r="H720" s="284">
        <f>F720*G720</f>
        <v>100000</v>
      </c>
      <c r="O720" s="333"/>
    </row>
    <row r="721" spans="3:15" ht="24" customHeight="1">
      <c r="C721" s="310" t="s">
        <v>1204</v>
      </c>
      <c r="D721" s="182" t="s">
        <v>7</v>
      </c>
      <c r="E721" s="176" t="s">
        <v>6</v>
      </c>
      <c r="F721" s="282">
        <v>0.25</v>
      </c>
      <c r="G721" s="283">
        <f>VLOOKUP(D721,upahbahan,3,FALSE)</f>
        <v>135000</v>
      </c>
      <c r="H721" s="284">
        <f>F721*G721</f>
        <v>33750</v>
      </c>
      <c r="O721" s="333"/>
    </row>
    <row r="722" spans="3:15" ht="24" customHeight="1">
      <c r="C722" s="310" t="s">
        <v>1205</v>
      </c>
      <c r="D722" s="182" t="s">
        <v>1310</v>
      </c>
      <c r="E722" s="176" t="s">
        <v>6</v>
      </c>
      <c r="F722" s="282">
        <v>2.5000000000000001E-2</v>
      </c>
      <c r="G722" s="283">
        <f>VLOOKUP(D722,upahbahan,3,FALSE)</f>
        <v>150000</v>
      </c>
      <c r="H722" s="284">
        <f>F722*G722</f>
        <v>3750</v>
      </c>
      <c r="O722" s="333"/>
    </row>
    <row r="723" spans="3:15" ht="24" customHeight="1">
      <c r="C723" s="310" t="s">
        <v>1206</v>
      </c>
      <c r="D723" s="182" t="s">
        <v>19</v>
      </c>
      <c r="E723" s="176" t="s">
        <v>6</v>
      </c>
      <c r="F723" s="282">
        <v>0.1</v>
      </c>
      <c r="G723" s="283">
        <f>VLOOKUP(D723,upahbahan,3,FALSE)</f>
        <v>160000</v>
      </c>
      <c r="H723" s="284">
        <f>F723*G723</f>
        <v>16000</v>
      </c>
      <c r="O723" s="333"/>
    </row>
    <row r="724" spans="3:15" ht="24" customHeight="1">
      <c r="C724" s="66" t="s">
        <v>1208</v>
      </c>
      <c r="D724" s="67"/>
      <c r="E724" s="67"/>
      <c r="F724" s="68"/>
      <c r="G724" s="69"/>
      <c r="H724" s="284">
        <f>SUM(H720:H723)</f>
        <v>153500</v>
      </c>
    </row>
    <row r="725" spans="3:15" ht="24" customHeight="1">
      <c r="C725" s="290" t="s">
        <v>1209</v>
      </c>
      <c r="D725" s="182" t="s">
        <v>1210</v>
      </c>
      <c r="E725" s="70"/>
      <c r="F725" s="70"/>
      <c r="G725" s="70"/>
      <c r="H725" s="71"/>
    </row>
    <row r="726" spans="3:15" ht="24" customHeight="1">
      <c r="C726" s="306" t="s">
        <v>1203</v>
      </c>
      <c r="D726" s="182" t="s">
        <v>1796</v>
      </c>
      <c r="E726" s="124" t="s">
        <v>65</v>
      </c>
      <c r="F726" s="127">
        <v>407</v>
      </c>
      <c r="G726" s="283">
        <f>VLOOKUP(D726,upahbahan,3,FALSE)</f>
        <v>1530</v>
      </c>
      <c r="H726" s="284">
        <f>F726*G726</f>
        <v>622710</v>
      </c>
    </row>
    <row r="727" spans="3:15" ht="24" customHeight="1">
      <c r="C727" s="306" t="s">
        <v>1204</v>
      </c>
      <c r="D727" s="182" t="s">
        <v>79</v>
      </c>
      <c r="E727" s="124" t="s">
        <v>65</v>
      </c>
      <c r="F727" s="127">
        <v>731</v>
      </c>
      <c r="G727" s="283">
        <f>VLOOKUP(D727,upahbahan,3,FALSE)</f>
        <v>221.78700000000001</v>
      </c>
      <c r="H727" s="284">
        <f>F727*G727</f>
        <v>162126.29699999999</v>
      </c>
    </row>
    <row r="728" spans="3:15" ht="24" customHeight="1">
      <c r="C728" s="306" t="s">
        <v>1205</v>
      </c>
      <c r="D728" s="182" t="s">
        <v>72</v>
      </c>
      <c r="E728" s="124" t="s">
        <v>65</v>
      </c>
      <c r="F728" s="127">
        <v>1009</v>
      </c>
      <c r="G728" s="283">
        <f>VLOOKUP(D728,upahbahan,3,FALSE)/1350</f>
        <v>216.66666666666666</v>
      </c>
      <c r="H728" s="284">
        <f>F728*G728</f>
        <v>218616.66666666666</v>
      </c>
    </row>
    <row r="729" spans="3:15" ht="24" customHeight="1">
      <c r="C729" s="306" t="s">
        <v>1206</v>
      </c>
      <c r="D729" s="182" t="s">
        <v>960</v>
      </c>
      <c r="E729" s="124" t="s">
        <v>529</v>
      </c>
      <c r="F729" s="127">
        <v>202</v>
      </c>
      <c r="G729" s="283">
        <f>VLOOKUP(D729,upahbahan,3,FALSE)</f>
        <v>200</v>
      </c>
      <c r="H729" s="284">
        <f>F729*G729</f>
        <v>40400</v>
      </c>
    </row>
    <row r="730" spans="3:15" ht="24" customHeight="1">
      <c r="C730" s="66" t="s">
        <v>1214</v>
      </c>
      <c r="D730" s="67"/>
      <c r="E730" s="67"/>
      <c r="F730" s="67"/>
      <c r="G730" s="69"/>
      <c r="H730" s="284">
        <f>SUM(H726:H729)</f>
        <v>1043852.9636666666</v>
      </c>
    </row>
    <row r="731" spans="3:15" ht="24" customHeight="1">
      <c r="C731" s="290" t="s">
        <v>1215</v>
      </c>
      <c r="D731" s="182" t="s">
        <v>1216</v>
      </c>
      <c r="E731" s="70"/>
      <c r="F731" s="70"/>
      <c r="G731" s="70"/>
      <c r="H731" s="105"/>
    </row>
    <row r="732" spans="3:15" ht="24" customHeight="1">
      <c r="C732" s="290">
        <v>1</v>
      </c>
      <c r="D732" s="182" t="s">
        <v>1167</v>
      </c>
      <c r="E732" s="124" t="s">
        <v>1080</v>
      </c>
      <c r="F732" s="118">
        <v>0.14749999999999999</v>
      </c>
      <c r="G732" s="283">
        <f>VLOOKUP(D732,upahbahan,3,FALSE)</f>
        <v>300000</v>
      </c>
      <c r="H732" s="284">
        <f>F732*G732</f>
        <v>44250</v>
      </c>
    </row>
    <row r="733" spans="3:15" ht="24" customHeight="1">
      <c r="C733" s="66" t="s">
        <v>1217</v>
      </c>
      <c r="D733" s="67"/>
      <c r="E733" s="67"/>
      <c r="F733" s="67"/>
      <c r="G733" s="69"/>
      <c r="H733" s="284">
        <f>SUM(H732)</f>
        <v>44250</v>
      </c>
    </row>
    <row r="734" spans="3:15" s="297" customFormat="1" ht="24" customHeight="1">
      <c r="C734" s="293" t="s">
        <v>1218</v>
      </c>
      <c r="D734" s="294" t="s">
        <v>1219</v>
      </c>
      <c r="E734" s="295"/>
      <c r="F734" s="295"/>
      <c r="G734" s="296"/>
      <c r="H734" s="284">
        <f>H733+H730+H724</f>
        <v>1241602.9636666668</v>
      </c>
      <c r="I734" s="119"/>
      <c r="J734" s="119"/>
      <c r="K734" s="119"/>
    </row>
    <row r="735" spans="3:15" s="297" customFormat="1" ht="24" customHeight="1">
      <c r="C735" s="293" t="s">
        <v>1220</v>
      </c>
      <c r="D735" s="294" t="s">
        <v>1321</v>
      </c>
      <c r="E735" s="295"/>
      <c r="F735" s="296"/>
      <c r="G735" s="298">
        <f>$O$9</f>
        <v>0.1</v>
      </c>
      <c r="H735" s="284">
        <f>H734*G735</f>
        <v>124160.29636666668</v>
      </c>
      <c r="I735" s="119"/>
      <c r="J735" s="119"/>
      <c r="K735" s="119"/>
    </row>
    <row r="736" spans="3:15" s="297" customFormat="1" ht="24" customHeight="1" thickBot="1">
      <c r="C736" s="299" t="s">
        <v>1221</v>
      </c>
      <c r="D736" s="300" t="s">
        <v>1222</v>
      </c>
      <c r="E736" s="301"/>
      <c r="F736" s="301"/>
      <c r="G736" s="302"/>
      <c r="H736" s="303">
        <f>SUM(H734:H735)</f>
        <v>1365763.2600333334</v>
      </c>
      <c r="I736" s="119"/>
      <c r="J736" s="119"/>
      <c r="K736" s="119"/>
    </row>
    <row r="737" spans="3:15" ht="14.4" thickTop="1"/>
    <row r="738" spans="3:15" ht="33" customHeight="1" thickBot="1">
      <c r="C738" s="126" t="s">
        <v>2290</v>
      </c>
      <c r="D738" s="48" t="s">
        <v>2291</v>
      </c>
      <c r="E738" s="88"/>
      <c r="F738" s="88"/>
      <c r="G738" s="88"/>
      <c r="H738" s="88"/>
      <c r="I738" s="120">
        <f>ROUNDDOWN(H757,-2)</f>
        <v>1408900</v>
      </c>
      <c r="J738" s="120"/>
      <c r="K738" s="120"/>
      <c r="O738" s="333"/>
    </row>
    <row r="739" spans="3:15" s="289" customFormat="1" ht="31.65" customHeight="1" thickTop="1">
      <c r="C739" s="51" t="s">
        <v>1195</v>
      </c>
      <c r="D739" s="52" t="s">
        <v>1196</v>
      </c>
      <c r="E739" s="52" t="s">
        <v>1197</v>
      </c>
      <c r="F739" s="52" t="s">
        <v>1198</v>
      </c>
      <c r="G739" s="52" t="s">
        <v>1199</v>
      </c>
      <c r="H739" s="53" t="s">
        <v>1200</v>
      </c>
      <c r="I739" s="126"/>
      <c r="J739" s="126"/>
      <c r="K739" s="126"/>
      <c r="O739" s="333"/>
    </row>
    <row r="740" spans="3:15" ht="25.2" customHeight="1">
      <c r="C740" s="290" t="s">
        <v>1201</v>
      </c>
      <c r="D740" s="182" t="s">
        <v>1202</v>
      </c>
      <c r="E740" s="70"/>
      <c r="F740" s="70"/>
      <c r="G740" s="70"/>
      <c r="H740" s="71"/>
      <c r="O740" s="333"/>
    </row>
    <row r="741" spans="3:15" ht="25.2" customHeight="1">
      <c r="C741" s="310" t="s">
        <v>1203</v>
      </c>
      <c r="D741" s="182" t="s">
        <v>5</v>
      </c>
      <c r="E741" s="176" t="s">
        <v>6</v>
      </c>
      <c r="F741" s="282">
        <v>1</v>
      </c>
      <c r="G741" s="283">
        <f>VLOOKUP(D741,upahbahan,3,FALSE)</f>
        <v>100000</v>
      </c>
      <c r="H741" s="284">
        <f>F741*G741</f>
        <v>100000</v>
      </c>
      <c r="O741" s="333"/>
    </row>
    <row r="742" spans="3:15" ht="25.2" customHeight="1">
      <c r="C742" s="310" t="s">
        <v>1204</v>
      </c>
      <c r="D742" s="182" t="s">
        <v>7</v>
      </c>
      <c r="E742" s="176" t="s">
        <v>6</v>
      </c>
      <c r="F742" s="282">
        <v>0.25</v>
      </c>
      <c r="G742" s="283">
        <f>VLOOKUP(D742,upahbahan,3,FALSE)</f>
        <v>135000</v>
      </c>
      <c r="H742" s="284">
        <f>F742*G742</f>
        <v>33750</v>
      </c>
      <c r="O742" s="333"/>
    </row>
    <row r="743" spans="3:15" ht="25.2" customHeight="1">
      <c r="C743" s="310" t="s">
        <v>1205</v>
      </c>
      <c r="D743" s="182" t="s">
        <v>1310</v>
      </c>
      <c r="E743" s="176" t="s">
        <v>6</v>
      </c>
      <c r="F743" s="282">
        <v>2.5000000000000001E-2</v>
      </c>
      <c r="G743" s="283">
        <f>VLOOKUP(D743,upahbahan,3,FALSE)</f>
        <v>150000</v>
      </c>
      <c r="H743" s="284">
        <f>F743*G743</f>
        <v>3750</v>
      </c>
      <c r="O743" s="333"/>
    </row>
    <row r="744" spans="3:15" ht="25.2" customHeight="1">
      <c r="C744" s="310" t="s">
        <v>1206</v>
      </c>
      <c r="D744" s="182" t="s">
        <v>19</v>
      </c>
      <c r="E744" s="176" t="s">
        <v>6</v>
      </c>
      <c r="F744" s="282">
        <v>0.1</v>
      </c>
      <c r="G744" s="283">
        <f>VLOOKUP(D744,upahbahan,3,FALSE)</f>
        <v>160000</v>
      </c>
      <c r="H744" s="284">
        <f>F744*G744</f>
        <v>16000</v>
      </c>
      <c r="O744" s="333"/>
    </row>
    <row r="745" spans="3:15" ht="25.2" customHeight="1">
      <c r="C745" s="66" t="s">
        <v>1208</v>
      </c>
      <c r="D745" s="67"/>
      <c r="E745" s="67"/>
      <c r="F745" s="68"/>
      <c r="G745" s="69"/>
      <c r="H745" s="284">
        <f>SUM(H741:H744)</f>
        <v>153500</v>
      </c>
    </row>
    <row r="746" spans="3:15" ht="25.2" customHeight="1">
      <c r="C746" s="290" t="s">
        <v>1209</v>
      </c>
      <c r="D746" s="182" t="s">
        <v>1210</v>
      </c>
      <c r="E746" s="70"/>
      <c r="F746" s="70"/>
      <c r="G746" s="70"/>
      <c r="H746" s="71"/>
    </row>
    <row r="747" spans="3:15" ht="25.2" customHeight="1">
      <c r="C747" s="306" t="s">
        <v>1203</v>
      </c>
      <c r="D747" s="182" t="s">
        <v>2281</v>
      </c>
      <c r="E747" s="124" t="s">
        <v>65</v>
      </c>
      <c r="F747" s="127">
        <v>437</v>
      </c>
      <c r="G747" s="283">
        <f>VLOOKUP(D747,upahbahan,3,FALSE)</f>
        <v>1530</v>
      </c>
      <c r="H747" s="284">
        <f>F747*G747</f>
        <v>668610</v>
      </c>
    </row>
    <row r="748" spans="3:15" ht="25.2" customHeight="1">
      <c r="C748" s="306" t="s">
        <v>1204</v>
      </c>
      <c r="D748" s="182" t="s">
        <v>79</v>
      </c>
      <c r="E748" s="124" t="s">
        <v>65</v>
      </c>
      <c r="F748" s="127">
        <v>701</v>
      </c>
      <c r="G748" s="283">
        <f>VLOOKUP(D748,upahbahan,3,FALSE)</f>
        <v>221.78700000000001</v>
      </c>
      <c r="H748" s="284">
        <f>F748*G748</f>
        <v>155472.68700000001</v>
      </c>
    </row>
    <row r="749" spans="3:15" ht="25.2" customHeight="1">
      <c r="C749" s="306" t="s">
        <v>1205</v>
      </c>
      <c r="D749" s="182" t="s">
        <v>72</v>
      </c>
      <c r="E749" s="124" t="s">
        <v>65</v>
      </c>
      <c r="F749" s="127">
        <v>1009</v>
      </c>
      <c r="G749" s="283">
        <f>VLOOKUP(D749,upahbahan,3,FALSE)/1350</f>
        <v>216.66666666666666</v>
      </c>
      <c r="H749" s="284">
        <f>F749*G749</f>
        <v>218616.66666666666</v>
      </c>
    </row>
    <row r="750" spans="3:15" ht="25.2" customHeight="1">
      <c r="C750" s="306" t="s">
        <v>1206</v>
      </c>
      <c r="D750" s="182" t="s">
        <v>960</v>
      </c>
      <c r="E750" s="124" t="s">
        <v>529</v>
      </c>
      <c r="F750" s="127">
        <v>202</v>
      </c>
      <c r="G750" s="283">
        <f>VLOOKUP(D750,upahbahan,3,FALSE)</f>
        <v>200</v>
      </c>
      <c r="H750" s="284">
        <f>F750*G750</f>
        <v>40400</v>
      </c>
    </row>
    <row r="751" spans="3:15" ht="25.2" customHeight="1">
      <c r="C751" s="66" t="s">
        <v>1214</v>
      </c>
      <c r="D751" s="67"/>
      <c r="E751" s="67"/>
      <c r="F751" s="67"/>
      <c r="G751" s="69"/>
      <c r="H751" s="284">
        <f>SUM(H747:H750)</f>
        <v>1083099.3536666667</v>
      </c>
    </row>
    <row r="752" spans="3:15" ht="25.2" customHeight="1">
      <c r="C752" s="290" t="s">
        <v>1215</v>
      </c>
      <c r="D752" s="182" t="s">
        <v>1216</v>
      </c>
      <c r="E752" s="70"/>
      <c r="F752" s="70"/>
      <c r="G752" s="70"/>
      <c r="H752" s="105"/>
    </row>
    <row r="753" spans="3:15" ht="25.2" customHeight="1">
      <c r="C753" s="290">
        <v>1</v>
      </c>
      <c r="D753" s="182" t="s">
        <v>1167</v>
      </c>
      <c r="E753" s="124" t="s">
        <v>1080</v>
      </c>
      <c r="F753" s="118">
        <v>0.14749999999999999</v>
      </c>
      <c r="G753" s="283">
        <f>VLOOKUP(D753,upahbahan,3,FALSE)</f>
        <v>300000</v>
      </c>
      <c r="H753" s="284">
        <f>F753*G753</f>
        <v>44250</v>
      </c>
    </row>
    <row r="754" spans="3:15" ht="25.2" customHeight="1">
      <c r="C754" s="66" t="s">
        <v>1217</v>
      </c>
      <c r="D754" s="67"/>
      <c r="E754" s="67"/>
      <c r="F754" s="67"/>
      <c r="G754" s="69"/>
      <c r="H754" s="284">
        <f>SUM(H753)</f>
        <v>44250</v>
      </c>
    </row>
    <row r="755" spans="3:15" s="297" customFormat="1" ht="25.2" customHeight="1">
      <c r="C755" s="293" t="s">
        <v>1218</v>
      </c>
      <c r="D755" s="294" t="s">
        <v>1219</v>
      </c>
      <c r="E755" s="295"/>
      <c r="F755" s="295"/>
      <c r="G755" s="296"/>
      <c r="H755" s="284">
        <f>H754+H751+H745</f>
        <v>1280849.3536666667</v>
      </c>
      <c r="I755" s="119"/>
      <c r="J755" s="119"/>
      <c r="K755" s="119"/>
    </row>
    <row r="756" spans="3:15" s="297" customFormat="1" ht="25.2" customHeight="1">
      <c r="C756" s="293" t="s">
        <v>1220</v>
      </c>
      <c r="D756" s="294" t="s">
        <v>1321</v>
      </c>
      <c r="E756" s="295"/>
      <c r="F756" s="296"/>
      <c r="G756" s="298">
        <f>$O$9</f>
        <v>0.1</v>
      </c>
      <c r="H756" s="284">
        <f>H755*G756</f>
        <v>128084.93536666667</v>
      </c>
      <c r="I756" s="119"/>
      <c r="J756" s="119"/>
      <c r="K756" s="119"/>
    </row>
    <row r="757" spans="3:15" s="297" customFormat="1" ht="25.2" customHeight="1" thickBot="1">
      <c r="C757" s="299" t="s">
        <v>1221</v>
      </c>
      <c r="D757" s="300" t="s">
        <v>1222</v>
      </c>
      <c r="E757" s="301"/>
      <c r="F757" s="301"/>
      <c r="G757" s="302"/>
      <c r="H757" s="303">
        <f>SUM(H755:H756)</f>
        <v>1408934.2890333333</v>
      </c>
      <c r="I757" s="119"/>
      <c r="J757" s="119"/>
      <c r="K757" s="119"/>
    </row>
    <row r="758" spans="3:15" ht="14.4" thickTop="1"/>
    <row r="759" spans="3:15" ht="33" customHeight="1" thickBot="1">
      <c r="C759" s="126" t="s">
        <v>2292</v>
      </c>
      <c r="D759" s="47" t="s">
        <v>2293</v>
      </c>
      <c r="E759" s="88"/>
      <c r="F759" s="88"/>
      <c r="G759" s="88"/>
      <c r="H759" s="88"/>
      <c r="I759" s="120">
        <f>ROUNDDOWN(H778,-2)</f>
        <v>1437700</v>
      </c>
      <c r="J759" s="120"/>
      <c r="K759" s="120"/>
      <c r="O759" s="333"/>
    </row>
    <row r="760" spans="3:15" s="289" customFormat="1" ht="31.65" customHeight="1" thickTop="1">
      <c r="C760" s="51" t="s">
        <v>1195</v>
      </c>
      <c r="D760" s="52" t="s">
        <v>1196</v>
      </c>
      <c r="E760" s="52" t="s">
        <v>1197</v>
      </c>
      <c r="F760" s="52" t="s">
        <v>1198</v>
      </c>
      <c r="G760" s="52" t="s">
        <v>1199</v>
      </c>
      <c r="H760" s="53" t="s">
        <v>1200</v>
      </c>
      <c r="I760" s="126"/>
      <c r="J760" s="126"/>
      <c r="K760" s="126"/>
      <c r="O760" s="333"/>
    </row>
    <row r="761" spans="3:15" ht="24" customHeight="1">
      <c r="C761" s="290" t="s">
        <v>1201</v>
      </c>
      <c r="D761" s="182" t="s">
        <v>1202</v>
      </c>
      <c r="E761" s="70"/>
      <c r="F761" s="70"/>
      <c r="G761" s="70"/>
      <c r="H761" s="71"/>
      <c r="O761" s="333"/>
    </row>
    <row r="762" spans="3:15" ht="24" customHeight="1">
      <c r="C762" s="310" t="s">
        <v>1203</v>
      </c>
      <c r="D762" s="182" t="s">
        <v>5</v>
      </c>
      <c r="E762" s="176" t="s">
        <v>6</v>
      </c>
      <c r="F762" s="282">
        <v>1</v>
      </c>
      <c r="G762" s="283">
        <f>VLOOKUP(D762,upahbahan,3,FALSE)</f>
        <v>100000</v>
      </c>
      <c r="H762" s="284">
        <f>F762*G762</f>
        <v>100000</v>
      </c>
      <c r="O762" s="333"/>
    </row>
    <row r="763" spans="3:15" ht="24" customHeight="1">
      <c r="C763" s="310" t="s">
        <v>1204</v>
      </c>
      <c r="D763" s="182" t="s">
        <v>7</v>
      </c>
      <c r="E763" s="176" t="s">
        <v>6</v>
      </c>
      <c r="F763" s="282">
        <v>0.25</v>
      </c>
      <c r="G763" s="283">
        <f>VLOOKUP(D763,upahbahan,3,FALSE)</f>
        <v>135000</v>
      </c>
      <c r="H763" s="284">
        <f>F763*G763</f>
        <v>33750</v>
      </c>
      <c r="O763" s="333"/>
    </row>
    <row r="764" spans="3:15" ht="24" customHeight="1">
      <c r="C764" s="310" t="s">
        <v>1205</v>
      </c>
      <c r="D764" s="182" t="s">
        <v>1310</v>
      </c>
      <c r="E764" s="176" t="s">
        <v>6</v>
      </c>
      <c r="F764" s="282">
        <v>2.5000000000000001E-2</v>
      </c>
      <c r="G764" s="283">
        <f>VLOOKUP(D764,upahbahan,3,FALSE)</f>
        <v>150000</v>
      </c>
      <c r="H764" s="284">
        <f>F764*G764</f>
        <v>3750</v>
      </c>
      <c r="O764" s="333"/>
    </row>
    <row r="765" spans="3:15" ht="24" customHeight="1">
      <c r="C765" s="310" t="s">
        <v>1206</v>
      </c>
      <c r="D765" s="182" t="s">
        <v>19</v>
      </c>
      <c r="E765" s="176" t="s">
        <v>6</v>
      </c>
      <c r="F765" s="282">
        <v>0.1</v>
      </c>
      <c r="G765" s="283">
        <f>VLOOKUP(D765,upahbahan,3,FALSE)</f>
        <v>160000</v>
      </c>
      <c r="H765" s="284">
        <f>F765*G765</f>
        <v>16000</v>
      </c>
      <c r="O765" s="333"/>
    </row>
    <row r="766" spans="3:15" ht="24" customHeight="1">
      <c r="C766" s="66" t="s">
        <v>1208</v>
      </c>
      <c r="D766" s="67"/>
      <c r="E766" s="67"/>
      <c r="F766" s="68"/>
      <c r="G766" s="69"/>
      <c r="H766" s="284">
        <f>SUM(H762:H765)</f>
        <v>153500</v>
      </c>
    </row>
    <row r="767" spans="3:15" ht="24" customHeight="1">
      <c r="C767" s="290" t="s">
        <v>1209</v>
      </c>
      <c r="D767" s="182" t="s">
        <v>1210</v>
      </c>
      <c r="E767" s="70"/>
      <c r="F767" s="70"/>
      <c r="G767" s="70"/>
      <c r="H767" s="71"/>
    </row>
    <row r="768" spans="3:15" ht="24" customHeight="1">
      <c r="C768" s="306" t="s">
        <v>1203</v>
      </c>
      <c r="D768" s="182" t="s">
        <v>1796</v>
      </c>
      <c r="E768" s="124" t="s">
        <v>65</v>
      </c>
      <c r="F768" s="127">
        <v>457</v>
      </c>
      <c r="G768" s="283">
        <f>VLOOKUP(D768,upahbahan,3,FALSE)</f>
        <v>1530</v>
      </c>
      <c r="H768" s="284">
        <f>F768*G768</f>
        <v>699210</v>
      </c>
    </row>
    <row r="769" spans="3:15" ht="24" customHeight="1">
      <c r="C769" s="306" t="s">
        <v>1204</v>
      </c>
      <c r="D769" s="182" t="s">
        <v>79</v>
      </c>
      <c r="E769" s="124" t="s">
        <v>65</v>
      </c>
      <c r="F769" s="127">
        <v>681</v>
      </c>
      <c r="G769" s="283">
        <f>VLOOKUP(D769,upahbahan,3,FALSE)</f>
        <v>221.78700000000001</v>
      </c>
      <c r="H769" s="284">
        <f>F769*G769</f>
        <v>151036.94700000001</v>
      </c>
    </row>
    <row r="770" spans="3:15" ht="24" customHeight="1">
      <c r="C770" s="306" t="s">
        <v>1205</v>
      </c>
      <c r="D770" s="182" t="s">
        <v>72</v>
      </c>
      <c r="E770" s="124" t="s">
        <v>65</v>
      </c>
      <c r="F770" s="127">
        <v>1009</v>
      </c>
      <c r="G770" s="283">
        <f>VLOOKUP(D770,upahbahan,3,FALSE)/1350</f>
        <v>216.66666666666666</v>
      </c>
      <c r="H770" s="284">
        <f>F770*G770</f>
        <v>218616.66666666666</v>
      </c>
    </row>
    <row r="771" spans="3:15" ht="24" customHeight="1">
      <c r="C771" s="306" t="s">
        <v>1206</v>
      </c>
      <c r="D771" s="182" t="s">
        <v>960</v>
      </c>
      <c r="E771" s="124" t="s">
        <v>529</v>
      </c>
      <c r="F771" s="127">
        <v>202</v>
      </c>
      <c r="G771" s="283">
        <f>VLOOKUP(D771,upahbahan,3,FALSE)</f>
        <v>200</v>
      </c>
      <c r="H771" s="284">
        <f>F771*G771</f>
        <v>40400</v>
      </c>
    </row>
    <row r="772" spans="3:15" ht="24" customHeight="1">
      <c r="C772" s="66" t="s">
        <v>1214</v>
      </c>
      <c r="D772" s="67"/>
      <c r="E772" s="67"/>
      <c r="F772" s="67"/>
      <c r="G772" s="69"/>
      <c r="H772" s="284">
        <f>SUM(H768:H771)</f>
        <v>1109263.6136666667</v>
      </c>
    </row>
    <row r="773" spans="3:15" ht="24" customHeight="1">
      <c r="C773" s="290" t="s">
        <v>1215</v>
      </c>
      <c r="D773" s="182" t="s">
        <v>1216</v>
      </c>
      <c r="E773" s="70"/>
      <c r="F773" s="70"/>
      <c r="G773" s="70"/>
      <c r="H773" s="105"/>
    </row>
    <row r="774" spans="3:15" ht="24" customHeight="1">
      <c r="C774" s="290">
        <v>1</v>
      </c>
      <c r="D774" s="182" t="s">
        <v>1167</v>
      </c>
      <c r="E774" s="124" t="s">
        <v>1080</v>
      </c>
      <c r="F774" s="118">
        <v>0.14749999999999999</v>
      </c>
      <c r="G774" s="283">
        <f>VLOOKUP(D774,upahbahan,3,FALSE)</f>
        <v>300000</v>
      </c>
      <c r="H774" s="284">
        <f>F774*G774</f>
        <v>44250</v>
      </c>
    </row>
    <row r="775" spans="3:15" ht="24" customHeight="1">
      <c r="C775" s="66" t="s">
        <v>1217</v>
      </c>
      <c r="D775" s="67"/>
      <c r="E775" s="67"/>
      <c r="F775" s="67"/>
      <c r="G775" s="69"/>
      <c r="H775" s="284">
        <f>SUM(H774)</f>
        <v>44250</v>
      </c>
    </row>
    <row r="776" spans="3:15" s="297" customFormat="1" ht="24" customHeight="1">
      <c r="C776" s="293" t="s">
        <v>1218</v>
      </c>
      <c r="D776" s="294" t="s">
        <v>1219</v>
      </c>
      <c r="E776" s="295"/>
      <c r="F776" s="295"/>
      <c r="G776" s="296"/>
      <c r="H776" s="284">
        <f>H775+H772+H766</f>
        <v>1307013.6136666667</v>
      </c>
      <c r="I776" s="119"/>
      <c r="J776" s="119"/>
      <c r="K776" s="119"/>
    </row>
    <row r="777" spans="3:15" s="297" customFormat="1" ht="24" customHeight="1">
      <c r="C777" s="293" t="s">
        <v>1220</v>
      </c>
      <c r="D777" s="294" t="s">
        <v>1321</v>
      </c>
      <c r="E777" s="295"/>
      <c r="F777" s="296"/>
      <c r="G777" s="298">
        <f>$O$9</f>
        <v>0.1</v>
      </c>
      <c r="H777" s="284">
        <f>H776*G777</f>
        <v>130701.36136666668</v>
      </c>
      <c r="I777" s="119"/>
      <c r="J777" s="119"/>
      <c r="K777" s="119"/>
    </row>
    <row r="778" spans="3:15" s="297" customFormat="1" ht="24" customHeight="1" thickBot="1">
      <c r="C778" s="299" t="s">
        <v>1221</v>
      </c>
      <c r="D778" s="300" t="s">
        <v>1222</v>
      </c>
      <c r="E778" s="301"/>
      <c r="F778" s="301"/>
      <c r="G778" s="302"/>
      <c r="H778" s="303">
        <f>SUM(H776:H777)</f>
        <v>1437714.9750333333</v>
      </c>
      <c r="I778" s="119"/>
      <c r="J778" s="119"/>
      <c r="K778" s="119"/>
    </row>
    <row r="779" spans="3:15" ht="14.4" thickTop="1"/>
    <row r="780" spans="3:15" ht="33" customHeight="1" thickBot="1">
      <c r="C780" s="126" t="s">
        <v>2294</v>
      </c>
      <c r="D780" s="47" t="s">
        <v>2295</v>
      </c>
      <c r="E780" s="88"/>
      <c r="F780" s="88"/>
      <c r="G780" s="88"/>
      <c r="H780" s="88"/>
      <c r="I780" s="120">
        <f>ROUNDDOWN(H799,-2)</f>
        <v>1453700</v>
      </c>
      <c r="J780" s="120"/>
      <c r="K780" s="120"/>
      <c r="O780" s="333"/>
    </row>
    <row r="781" spans="3:15" s="289" customFormat="1" ht="31.65" customHeight="1" thickTop="1">
      <c r="C781" s="51" t="s">
        <v>1195</v>
      </c>
      <c r="D781" s="52" t="s">
        <v>1196</v>
      </c>
      <c r="E781" s="52" t="s">
        <v>1197</v>
      </c>
      <c r="F781" s="52" t="s">
        <v>1198</v>
      </c>
      <c r="G781" s="52" t="s">
        <v>1199</v>
      </c>
      <c r="H781" s="53" t="s">
        <v>1200</v>
      </c>
      <c r="I781" s="126"/>
      <c r="J781" s="126"/>
      <c r="K781" s="126"/>
      <c r="O781" s="333"/>
    </row>
    <row r="782" spans="3:15" ht="22.2" customHeight="1">
      <c r="C782" s="290" t="s">
        <v>1201</v>
      </c>
      <c r="D782" s="182" t="s">
        <v>1202</v>
      </c>
      <c r="E782" s="70"/>
      <c r="F782" s="70"/>
      <c r="G782" s="70"/>
      <c r="H782" s="71"/>
      <c r="O782" s="333"/>
    </row>
    <row r="783" spans="3:15" ht="22.2" customHeight="1">
      <c r="C783" s="310" t="s">
        <v>1203</v>
      </c>
      <c r="D783" s="182" t="s">
        <v>5</v>
      </c>
      <c r="E783" s="176" t="s">
        <v>6</v>
      </c>
      <c r="F783" s="282">
        <v>1</v>
      </c>
      <c r="G783" s="283">
        <f>VLOOKUP(D783,upahbahan,3,FALSE)</f>
        <v>100000</v>
      </c>
      <c r="H783" s="284">
        <f>F783*G783</f>
        <v>100000</v>
      </c>
      <c r="O783" s="333"/>
    </row>
    <row r="784" spans="3:15" ht="22.2" customHeight="1">
      <c r="C784" s="310" t="s">
        <v>1204</v>
      </c>
      <c r="D784" s="182" t="s">
        <v>7</v>
      </c>
      <c r="E784" s="176" t="s">
        <v>6</v>
      </c>
      <c r="F784" s="282">
        <v>0.25</v>
      </c>
      <c r="G784" s="283">
        <f>VLOOKUP(D784,upahbahan,3,FALSE)</f>
        <v>135000</v>
      </c>
      <c r="H784" s="284">
        <f>F784*G784</f>
        <v>33750</v>
      </c>
      <c r="O784" s="333"/>
    </row>
    <row r="785" spans="3:15" ht="22.2" customHeight="1">
      <c r="C785" s="310" t="s">
        <v>1205</v>
      </c>
      <c r="D785" s="182" t="s">
        <v>1310</v>
      </c>
      <c r="E785" s="176" t="s">
        <v>6</v>
      </c>
      <c r="F785" s="282">
        <v>2.5000000000000001E-2</v>
      </c>
      <c r="G785" s="283">
        <f>VLOOKUP(D785,upahbahan,3,FALSE)</f>
        <v>150000</v>
      </c>
      <c r="H785" s="284">
        <f>F785*G785</f>
        <v>3750</v>
      </c>
      <c r="O785" s="333"/>
    </row>
    <row r="786" spans="3:15" ht="22.2" customHeight="1">
      <c r="C786" s="310" t="s">
        <v>1206</v>
      </c>
      <c r="D786" s="182" t="s">
        <v>19</v>
      </c>
      <c r="E786" s="176" t="s">
        <v>6</v>
      </c>
      <c r="F786" s="282">
        <v>0.1</v>
      </c>
      <c r="G786" s="283">
        <f>VLOOKUP(D786,upahbahan,3,FALSE)</f>
        <v>160000</v>
      </c>
      <c r="H786" s="284">
        <f>F786*G786</f>
        <v>16000</v>
      </c>
      <c r="O786" s="333"/>
    </row>
    <row r="787" spans="3:15" ht="22.2" customHeight="1">
      <c r="C787" s="66" t="s">
        <v>1208</v>
      </c>
      <c r="D787" s="67"/>
      <c r="E787" s="67"/>
      <c r="F787" s="68"/>
      <c r="G787" s="69"/>
      <c r="H787" s="284">
        <f>SUM(H783:H786)</f>
        <v>153500</v>
      </c>
    </row>
    <row r="788" spans="3:15" ht="22.2" customHeight="1">
      <c r="C788" s="290" t="s">
        <v>1209</v>
      </c>
      <c r="D788" s="182" t="s">
        <v>1210</v>
      </c>
      <c r="E788" s="70"/>
      <c r="F788" s="70"/>
      <c r="G788" s="70"/>
      <c r="H788" s="71"/>
    </row>
    <row r="789" spans="3:15" ht="22.2" customHeight="1">
      <c r="C789" s="306" t="s">
        <v>1203</v>
      </c>
      <c r="D789" s="182" t="s">
        <v>1796</v>
      </c>
      <c r="E789" s="124" t="s">
        <v>65</v>
      </c>
      <c r="F789" s="127">
        <v>468</v>
      </c>
      <c r="G789" s="283">
        <f>VLOOKUP(D789,upahbahan,3,FALSE)</f>
        <v>1530</v>
      </c>
      <c r="H789" s="284">
        <f>F789*G789</f>
        <v>716040</v>
      </c>
    </row>
    <row r="790" spans="3:15" ht="22.2" customHeight="1">
      <c r="C790" s="306" t="s">
        <v>1204</v>
      </c>
      <c r="D790" s="182" t="s">
        <v>79</v>
      </c>
      <c r="E790" s="124" t="s">
        <v>65</v>
      </c>
      <c r="F790" s="127">
        <v>671</v>
      </c>
      <c r="G790" s="283">
        <f>VLOOKUP(D790,upahbahan,3,FALSE)</f>
        <v>221.78700000000001</v>
      </c>
      <c r="H790" s="284">
        <f>F790*G790</f>
        <v>148819.07699999999</v>
      </c>
    </row>
    <row r="791" spans="3:15" ht="22.2" customHeight="1">
      <c r="C791" s="306" t="s">
        <v>1205</v>
      </c>
      <c r="D791" s="182" t="s">
        <v>72</v>
      </c>
      <c r="E791" s="124" t="s">
        <v>65</v>
      </c>
      <c r="F791" s="127">
        <v>1009</v>
      </c>
      <c r="G791" s="283">
        <f>VLOOKUP(D791,upahbahan,3,FALSE)/1350</f>
        <v>216.66666666666666</v>
      </c>
      <c r="H791" s="284">
        <f>F791*G791</f>
        <v>218616.66666666666</v>
      </c>
    </row>
    <row r="792" spans="3:15" ht="22.2" customHeight="1">
      <c r="C792" s="306" t="s">
        <v>1206</v>
      </c>
      <c r="D792" s="182" t="s">
        <v>960</v>
      </c>
      <c r="E792" s="124" t="s">
        <v>529</v>
      </c>
      <c r="F792" s="127">
        <v>202</v>
      </c>
      <c r="G792" s="283">
        <f>VLOOKUP(D792,upahbahan,3,FALSE)</f>
        <v>200</v>
      </c>
      <c r="H792" s="284">
        <f>F792*G792</f>
        <v>40400</v>
      </c>
    </row>
    <row r="793" spans="3:15" ht="22.2" customHeight="1">
      <c r="C793" s="66" t="s">
        <v>1214</v>
      </c>
      <c r="D793" s="67"/>
      <c r="E793" s="67"/>
      <c r="F793" s="67"/>
      <c r="G793" s="69"/>
      <c r="H793" s="284">
        <f>SUM(H789:H792)</f>
        <v>1123875.7436666668</v>
      </c>
    </row>
    <row r="794" spans="3:15" ht="22.2" customHeight="1">
      <c r="C794" s="290" t="s">
        <v>1215</v>
      </c>
      <c r="D794" s="182" t="s">
        <v>1216</v>
      </c>
      <c r="E794" s="70"/>
      <c r="F794" s="70"/>
      <c r="G794" s="70"/>
      <c r="H794" s="105"/>
    </row>
    <row r="795" spans="3:15" ht="22.2" customHeight="1">
      <c r="C795" s="290">
        <v>1</v>
      </c>
      <c r="D795" s="182" t="s">
        <v>1167</v>
      </c>
      <c r="E795" s="124" t="s">
        <v>1080</v>
      </c>
      <c r="F795" s="118">
        <v>0.14749999999999999</v>
      </c>
      <c r="G795" s="283">
        <f>VLOOKUP(D795,upahbahan,3,FALSE)</f>
        <v>300000</v>
      </c>
      <c r="H795" s="284">
        <f>F795*G795</f>
        <v>44250</v>
      </c>
    </row>
    <row r="796" spans="3:15" ht="22.2" customHeight="1">
      <c r="C796" s="66" t="s">
        <v>1217</v>
      </c>
      <c r="D796" s="67"/>
      <c r="E796" s="67"/>
      <c r="F796" s="67"/>
      <c r="G796" s="69"/>
      <c r="H796" s="284">
        <f>SUM(H795)</f>
        <v>44250</v>
      </c>
    </row>
    <row r="797" spans="3:15" s="297" customFormat="1" ht="22.2" customHeight="1">
      <c r="C797" s="293" t="s">
        <v>1218</v>
      </c>
      <c r="D797" s="294" t="s">
        <v>1219</v>
      </c>
      <c r="E797" s="295"/>
      <c r="F797" s="295"/>
      <c r="G797" s="296"/>
      <c r="H797" s="284">
        <f>H796+H793+H787</f>
        <v>1321625.7436666668</v>
      </c>
      <c r="I797" s="119"/>
      <c r="J797" s="119"/>
      <c r="K797" s="119"/>
    </row>
    <row r="798" spans="3:15" s="297" customFormat="1" ht="22.2" customHeight="1">
      <c r="C798" s="293" t="s">
        <v>1220</v>
      </c>
      <c r="D798" s="294" t="s">
        <v>1321</v>
      </c>
      <c r="E798" s="295"/>
      <c r="F798" s="296"/>
      <c r="G798" s="298">
        <f>$O$9</f>
        <v>0.1</v>
      </c>
      <c r="H798" s="284">
        <f>H797*G798</f>
        <v>132162.5743666667</v>
      </c>
      <c r="I798" s="119"/>
      <c r="J798" s="119"/>
      <c r="K798" s="119"/>
    </row>
    <row r="799" spans="3:15" s="297" customFormat="1" ht="22.2" customHeight="1" thickBot="1">
      <c r="C799" s="299" t="s">
        <v>1221</v>
      </c>
      <c r="D799" s="300" t="s">
        <v>1222</v>
      </c>
      <c r="E799" s="301"/>
      <c r="F799" s="301"/>
      <c r="G799" s="302"/>
      <c r="H799" s="303">
        <f>SUM(H797:H798)</f>
        <v>1453788.3180333334</v>
      </c>
      <c r="I799" s="119"/>
      <c r="J799" s="119"/>
      <c r="K799" s="119"/>
    </row>
    <row r="800" spans="3:15" s="297" customFormat="1" ht="14.4" thickTop="1">
      <c r="C800" s="289"/>
      <c r="D800" s="297" t="s">
        <v>2296</v>
      </c>
      <c r="H800" s="139"/>
      <c r="I800" s="119"/>
      <c r="J800" s="119"/>
      <c r="K800" s="119"/>
    </row>
    <row r="803" spans="3:15" ht="33" customHeight="1" thickBot="1">
      <c r="C803" s="119" t="s">
        <v>2297</v>
      </c>
      <c r="D803" s="47" t="s">
        <v>2298</v>
      </c>
      <c r="E803" s="88"/>
      <c r="F803" s="88"/>
      <c r="G803" s="88"/>
      <c r="H803" s="88"/>
      <c r="I803" s="120">
        <f>ROUNDDOWN(H823,-2)</f>
        <v>1342500</v>
      </c>
      <c r="J803" s="120"/>
      <c r="K803" s="120"/>
      <c r="O803" s="333"/>
    </row>
    <row r="804" spans="3:15" s="289" customFormat="1" ht="31.65" customHeight="1" thickTop="1">
      <c r="C804" s="51" t="s">
        <v>1195</v>
      </c>
      <c r="D804" s="52" t="s">
        <v>1196</v>
      </c>
      <c r="E804" s="52" t="s">
        <v>1197</v>
      </c>
      <c r="F804" s="52" t="s">
        <v>1198</v>
      </c>
      <c r="G804" s="52" t="s">
        <v>1199</v>
      </c>
      <c r="H804" s="53" t="s">
        <v>1200</v>
      </c>
      <c r="I804" s="126"/>
      <c r="J804" s="126"/>
      <c r="K804" s="126"/>
      <c r="O804" s="333"/>
    </row>
    <row r="805" spans="3:15" ht="22.8" customHeight="1">
      <c r="C805" s="290" t="s">
        <v>1201</v>
      </c>
      <c r="D805" s="182" t="s">
        <v>1202</v>
      </c>
      <c r="E805" s="70"/>
      <c r="F805" s="70"/>
      <c r="G805" s="70"/>
      <c r="H805" s="71"/>
      <c r="O805" s="333"/>
    </row>
    <row r="806" spans="3:15" ht="22.8" customHeight="1">
      <c r="C806" s="310" t="s">
        <v>1203</v>
      </c>
      <c r="D806" s="182" t="s">
        <v>5</v>
      </c>
      <c r="E806" s="176" t="s">
        <v>6</v>
      </c>
      <c r="F806" s="282">
        <v>1</v>
      </c>
      <c r="G806" s="283">
        <f>VLOOKUP(D806,upahbahan,3,FALSE)</f>
        <v>100000</v>
      </c>
      <c r="H806" s="284">
        <f>F806*G806</f>
        <v>100000</v>
      </c>
      <c r="O806" s="333"/>
    </row>
    <row r="807" spans="3:15" ht="22.8" customHeight="1">
      <c r="C807" s="310" t="s">
        <v>1204</v>
      </c>
      <c r="D807" s="182" t="s">
        <v>7</v>
      </c>
      <c r="E807" s="176" t="s">
        <v>6</v>
      </c>
      <c r="F807" s="282">
        <v>0.25</v>
      </c>
      <c r="G807" s="283">
        <f>VLOOKUP(D807,upahbahan,3,FALSE)</f>
        <v>135000</v>
      </c>
      <c r="H807" s="284">
        <f>F807*G807</f>
        <v>33750</v>
      </c>
      <c r="O807" s="333"/>
    </row>
    <row r="808" spans="3:15" ht="22.8" customHeight="1">
      <c r="C808" s="310" t="s">
        <v>1205</v>
      </c>
      <c r="D808" s="182" t="s">
        <v>1310</v>
      </c>
      <c r="E808" s="176" t="s">
        <v>6</v>
      </c>
      <c r="F808" s="282">
        <v>2.5000000000000001E-2</v>
      </c>
      <c r="G808" s="283">
        <f>VLOOKUP(D808,upahbahan,3,FALSE)</f>
        <v>150000</v>
      </c>
      <c r="H808" s="284">
        <f>F808*G808</f>
        <v>3750</v>
      </c>
      <c r="O808" s="333"/>
    </row>
    <row r="809" spans="3:15" ht="22.8" customHeight="1">
      <c r="C809" s="310" t="s">
        <v>1206</v>
      </c>
      <c r="D809" s="182" t="s">
        <v>19</v>
      </c>
      <c r="E809" s="176" t="s">
        <v>6</v>
      </c>
      <c r="F809" s="282">
        <v>0.1</v>
      </c>
      <c r="G809" s="283">
        <f>VLOOKUP(D809,upahbahan,3,FALSE)</f>
        <v>160000</v>
      </c>
      <c r="H809" s="284">
        <f>F809*G809</f>
        <v>16000</v>
      </c>
      <c r="O809" s="333"/>
    </row>
    <row r="810" spans="3:15" ht="22.8" customHeight="1">
      <c r="C810" s="66" t="s">
        <v>1208</v>
      </c>
      <c r="D810" s="67"/>
      <c r="E810" s="67"/>
      <c r="F810" s="68"/>
      <c r="G810" s="69"/>
      <c r="H810" s="284">
        <f>SUM(H806:H809)</f>
        <v>153500</v>
      </c>
    </row>
    <row r="811" spans="3:15" ht="22.8" customHeight="1">
      <c r="C811" s="290" t="s">
        <v>1209</v>
      </c>
      <c r="D811" s="182" t="s">
        <v>1210</v>
      </c>
      <c r="E811" s="70"/>
      <c r="F811" s="70"/>
      <c r="G811" s="70"/>
      <c r="H811" s="71"/>
    </row>
    <row r="812" spans="3:15" ht="22.8" customHeight="1">
      <c r="C812" s="306" t="s">
        <v>1203</v>
      </c>
      <c r="D812" s="182" t="s">
        <v>1796</v>
      </c>
      <c r="E812" s="124" t="s">
        <v>65</v>
      </c>
      <c r="F812" s="127">
        <v>408</v>
      </c>
      <c r="G812" s="283">
        <f>VLOOKUP(D812,upahbahan,3,FALSE)</f>
        <v>1530</v>
      </c>
      <c r="H812" s="284">
        <f>F812*G812</f>
        <v>624240</v>
      </c>
    </row>
    <row r="813" spans="3:15" ht="22.8" customHeight="1">
      <c r="C813" s="306" t="s">
        <v>1204</v>
      </c>
      <c r="D813" s="182" t="s">
        <v>79</v>
      </c>
      <c r="E813" s="124" t="s">
        <v>65</v>
      </c>
      <c r="F813" s="127">
        <v>629</v>
      </c>
      <c r="G813" s="283">
        <f>VLOOKUP(D813,upahbahan,3,FALSE)</f>
        <v>221.78700000000001</v>
      </c>
      <c r="H813" s="284">
        <f>F813*G813</f>
        <v>139504.02300000002</v>
      </c>
    </row>
    <row r="814" spans="3:15" ht="22.8" customHeight="1">
      <c r="C814" s="306" t="s">
        <v>1205</v>
      </c>
      <c r="D814" s="182" t="s">
        <v>72</v>
      </c>
      <c r="E814" s="124" t="s">
        <v>65</v>
      </c>
      <c r="F814" s="127">
        <v>1009</v>
      </c>
      <c r="G814" s="283">
        <f>VLOOKUP(D814,upahbahan,3,FALSE)/1350</f>
        <v>216.66666666666666</v>
      </c>
      <c r="H814" s="284">
        <f>F814*G814</f>
        <v>218616.66666666666</v>
      </c>
    </row>
    <row r="815" spans="3:15" ht="22.8" customHeight="1">
      <c r="C815" s="306" t="s">
        <v>1206</v>
      </c>
      <c r="D815" s="182" t="s">
        <v>960</v>
      </c>
      <c r="E815" s="124" t="s">
        <v>529</v>
      </c>
      <c r="F815" s="127">
        <v>202</v>
      </c>
      <c r="G815" s="283">
        <f>VLOOKUP(D815,upahbahan,3,FALSE)</f>
        <v>200</v>
      </c>
      <c r="H815" s="284">
        <f>F815*G815</f>
        <v>40400</v>
      </c>
    </row>
    <row r="816" spans="3:15" ht="22.8" customHeight="1">
      <c r="C816" s="306" t="s">
        <v>1207</v>
      </c>
      <c r="D816" s="182" t="s">
        <v>74</v>
      </c>
      <c r="E816" s="124" t="s">
        <v>65</v>
      </c>
      <c r="F816" s="127">
        <v>102</v>
      </c>
      <c r="G816" s="283">
        <f>VLOOKUP(D816,upahbahan,3,FALSE)</f>
        <v>0</v>
      </c>
      <c r="H816" s="284">
        <f>F816*G816</f>
        <v>0</v>
      </c>
    </row>
    <row r="817" spans="3:15" ht="22.8" customHeight="1">
      <c r="C817" s="66" t="s">
        <v>1214</v>
      </c>
      <c r="D817" s="67"/>
      <c r="E817" s="67"/>
      <c r="F817" s="67"/>
      <c r="G817" s="69"/>
      <c r="H817" s="284">
        <f>SUM(H812:H816)</f>
        <v>1022760.6896666667</v>
      </c>
    </row>
    <row r="818" spans="3:15" ht="22.8" customHeight="1">
      <c r="C818" s="290" t="s">
        <v>1215</v>
      </c>
      <c r="D818" s="182" t="s">
        <v>1216</v>
      </c>
      <c r="E818" s="70"/>
      <c r="F818" s="70"/>
      <c r="G818" s="70"/>
      <c r="H818" s="105"/>
    </row>
    <row r="819" spans="3:15" ht="22.8" customHeight="1">
      <c r="C819" s="290">
        <v>1</v>
      </c>
      <c r="D819" s="182" t="s">
        <v>1167</v>
      </c>
      <c r="E819" s="124" t="s">
        <v>1080</v>
      </c>
      <c r="F819" s="118">
        <v>0.14749999999999999</v>
      </c>
      <c r="G819" s="283">
        <f>VLOOKUP(D819,upahbahan,3,FALSE)</f>
        <v>300000</v>
      </c>
      <c r="H819" s="284">
        <f>F819*G819</f>
        <v>44250</v>
      </c>
    </row>
    <row r="820" spans="3:15" ht="22.8" customHeight="1">
      <c r="C820" s="66" t="s">
        <v>1217</v>
      </c>
      <c r="D820" s="67"/>
      <c r="E820" s="67"/>
      <c r="F820" s="67"/>
      <c r="G820" s="69"/>
      <c r="H820" s="284">
        <f>SUM(H819)</f>
        <v>44250</v>
      </c>
    </row>
    <row r="821" spans="3:15" s="297" customFormat="1" ht="22.8" customHeight="1">
      <c r="C821" s="293" t="s">
        <v>1218</v>
      </c>
      <c r="D821" s="294" t="s">
        <v>1219</v>
      </c>
      <c r="E821" s="295"/>
      <c r="F821" s="295"/>
      <c r="G821" s="296"/>
      <c r="H821" s="284">
        <f>H820+H817+H810</f>
        <v>1220510.6896666666</v>
      </c>
      <c r="I821" s="119"/>
      <c r="J821" s="119"/>
      <c r="K821" s="119"/>
    </row>
    <row r="822" spans="3:15" s="297" customFormat="1" ht="22.8" customHeight="1">
      <c r="C822" s="293" t="s">
        <v>1220</v>
      </c>
      <c r="D822" s="294" t="s">
        <v>1321</v>
      </c>
      <c r="E822" s="295"/>
      <c r="F822" s="296"/>
      <c r="G822" s="298">
        <f>$O$9</f>
        <v>0.1</v>
      </c>
      <c r="H822" s="284">
        <f>H821*G822</f>
        <v>122051.06896666666</v>
      </c>
      <c r="I822" s="119"/>
      <c r="J822" s="119"/>
      <c r="K822" s="119"/>
    </row>
    <row r="823" spans="3:15" s="297" customFormat="1" ht="22.8" customHeight="1" thickBot="1">
      <c r="C823" s="299" t="s">
        <v>1221</v>
      </c>
      <c r="D823" s="300" t="s">
        <v>1222</v>
      </c>
      <c r="E823" s="301"/>
      <c r="F823" s="301"/>
      <c r="G823" s="302"/>
      <c r="H823" s="303">
        <f>SUM(H821:H822)</f>
        <v>1342561.7586333333</v>
      </c>
      <c r="I823" s="119"/>
      <c r="J823" s="119"/>
      <c r="K823" s="119"/>
    </row>
    <row r="824" spans="3:15" ht="14.4" thickTop="1"/>
    <row r="826" spans="3:15" ht="14.4" thickBot="1">
      <c r="C826" s="119" t="s">
        <v>2299</v>
      </c>
      <c r="D826" s="47" t="s">
        <v>2300</v>
      </c>
      <c r="E826" s="47"/>
      <c r="F826" s="47"/>
      <c r="G826" s="47"/>
      <c r="H826" s="47"/>
      <c r="I826" s="120">
        <f>ROUNDDOWN(H846,-2)</f>
        <v>1420400</v>
      </c>
      <c r="J826" s="120"/>
      <c r="K826" s="120"/>
      <c r="O826" s="333"/>
    </row>
    <row r="827" spans="3:15" s="289" customFormat="1" ht="31.65" customHeight="1" thickTop="1">
      <c r="C827" s="51" t="s">
        <v>1195</v>
      </c>
      <c r="D827" s="52" t="s">
        <v>1196</v>
      </c>
      <c r="E827" s="52" t="s">
        <v>1197</v>
      </c>
      <c r="F827" s="52" t="s">
        <v>1198</v>
      </c>
      <c r="G827" s="52" t="s">
        <v>1199</v>
      </c>
      <c r="H827" s="53" t="s">
        <v>1200</v>
      </c>
      <c r="I827" s="126"/>
      <c r="J827" s="126"/>
      <c r="K827" s="126"/>
      <c r="O827" s="333"/>
    </row>
    <row r="828" spans="3:15" ht="24.6" customHeight="1">
      <c r="C828" s="290" t="s">
        <v>1201</v>
      </c>
      <c r="D828" s="182" t="s">
        <v>1202</v>
      </c>
      <c r="E828" s="70"/>
      <c r="F828" s="70"/>
      <c r="G828" s="70"/>
      <c r="H828" s="71"/>
      <c r="O828" s="333"/>
    </row>
    <row r="829" spans="3:15" ht="24.6" customHeight="1">
      <c r="C829" s="310" t="s">
        <v>1203</v>
      </c>
      <c r="D829" s="182" t="s">
        <v>5</v>
      </c>
      <c r="E829" s="176" t="s">
        <v>6</v>
      </c>
      <c r="F829" s="282">
        <v>1</v>
      </c>
      <c r="G829" s="283">
        <f>VLOOKUP(D829,upahbahan,3,FALSE)</f>
        <v>100000</v>
      </c>
      <c r="H829" s="284">
        <f>F829*G829</f>
        <v>100000</v>
      </c>
      <c r="O829" s="333"/>
    </row>
    <row r="830" spans="3:15" ht="24.6" customHeight="1">
      <c r="C830" s="310" t="s">
        <v>1204</v>
      </c>
      <c r="D830" s="182" t="s">
        <v>7</v>
      </c>
      <c r="E830" s="176" t="s">
        <v>6</v>
      </c>
      <c r="F830" s="282">
        <v>0.25</v>
      </c>
      <c r="G830" s="283">
        <f>VLOOKUP(D830,upahbahan,3,FALSE)</f>
        <v>135000</v>
      </c>
      <c r="H830" s="284">
        <f>F830*G830</f>
        <v>33750</v>
      </c>
      <c r="O830" s="333"/>
    </row>
    <row r="831" spans="3:15" ht="24.6" customHeight="1">
      <c r="C831" s="310" t="s">
        <v>1205</v>
      </c>
      <c r="D831" s="182" t="s">
        <v>1310</v>
      </c>
      <c r="E831" s="176" t="s">
        <v>6</v>
      </c>
      <c r="F831" s="282">
        <v>2.5000000000000001E-2</v>
      </c>
      <c r="G831" s="283">
        <f>VLOOKUP(D831,upahbahan,3,FALSE)</f>
        <v>150000</v>
      </c>
      <c r="H831" s="284">
        <f>F831*G831</f>
        <v>3750</v>
      </c>
      <c r="O831" s="333"/>
    </row>
    <row r="832" spans="3:15" ht="24.6" customHeight="1">
      <c r="C832" s="310" t="s">
        <v>1206</v>
      </c>
      <c r="D832" s="182" t="s">
        <v>19</v>
      </c>
      <c r="E832" s="176" t="s">
        <v>6</v>
      </c>
      <c r="F832" s="282">
        <v>0.1</v>
      </c>
      <c r="G832" s="283">
        <f>VLOOKUP(D832,upahbahan,3,FALSE)</f>
        <v>160000</v>
      </c>
      <c r="H832" s="284">
        <f>F832*G832</f>
        <v>16000</v>
      </c>
      <c r="O832" s="333"/>
    </row>
    <row r="833" spans="3:11" ht="24.6" customHeight="1">
      <c r="C833" s="66" t="s">
        <v>1208</v>
      </c>
      <c r="D833" s="67"/>
      <c r="E833" s="67"/>
      <c r="F833" s="68"/>
      <c r="G833" s="69"/>
      <c r="H833" s="284">
        <f>SUM(H829:H832)</f>
        <v>153500</v>
      </c>
    </row>
    <row r="834" spans="3:11" ht="24.6" customHeight="1">
      <c r="C834" s="290" t="s">
        <v>1209</v>
      </c>
      <c r="D834" s="182" t="s">
        <v>1210</v>
      </c>
      <c r="E834" s="70"/>
      <c r="F834" s="70"/>
      <c r="G834" s="70"/>
      <c r="H834" s="71"/>
    </row>
    <row r="835" spans="3:11" ht="24.6" customHeight="1">
      <c r="C835" s="306" t="s">
        <v>1203</v>
      </c>
      <c r="D835" s="182" t="s">
        <v>1796</v>
      </c>
      <c r="E835" s="124" t="s">
        <v>65</v>
      </c>
      <c r="F835" s="334">
        <v>400</v>
      </c>
      <c r="G835" s="283">
        <f>VLOOKUP(D835,upahbahan,3,FALSE)</f>
        <v>1530</v>
      </c>
      <c r="H835" s="284">
        <f>F835*G835</f>
        <v>612000</v>
      </c>
    </row>
    <row r="836" spans="3:11" ht="24.6" customHeight="1">
      <c r="C836" s="306" t="s">
        <v>1204</v>
      </c>
      <c r="D836" s="182" t="s">
        <v>79</v>
      </c>
      <c r="E836" s="124" t="s">
        <v>65</v>
      </c>
      <c r="F836" s="334">
        <v>672</v>
      </c>
      <c r="G836" s="283">
        <f>VLOOKUP(D836,upahbahan,3,FALSE)</f>
        <v>221.78700000000001</v>
      </c>
      <c r="H836" s="284">
        <f>F836*G836</f>
        <v>149040.864</v>
      </c>
    </row>
    <row r="837" spans="3:11" ht="24.6" customHeight="1">
      <c r="C837" s="306" t="s">
        <v>1205</v>
      </c>
      <c r="D837" s="182" t="s">
        <v>72</v>
      </c>
      <c r="E837" s="124" t="s">
        <v>65</v>
      </c>
      <c r="F837" s="334">
        <v>1440</v>
      </c>
      <c r="G837" s="283">
        <f>VLOOKUP(D837,upahbahan,3,FALSE)/1450</f>
        <v>201.72413793103448</v>
      </c>
      <c r="H837" s="284">
        <f>F837*G837</f>
        <v>290482.75862068962</v>
      </c>
    </row>
    <row r="838" spans="3:11" ht="24.6" customHeight="1">
      <c r="C838" s="306" t="s">
        <v>1206</v>
      </c>
      <c r="D838" s="182" t="s">
        <v>1061</v>
      </c>
      <c r="E838" s="124" t="s">
        <v>65</v>
      </c>
      <c r="F838" s="118">
        <v>1.2</v>
      </c>
      <c r="G838" s="283">
        <f>VLOOKUP(D838,upahbahan,3,FALSE)</f>
        <v>0</v>
      </c>
      <c r="H838" s="284">
        <f>F838*G838</f>
        <v>0</v>
      </c>
    </row>
    <row r="839" spans="3:11" ht="24.6" customHeight="1">
      <c r="C839" s="306" t="s">
        <v>1207</v>
      </c>
      <c r="D839" s="182" t="s">
        <v>960</v>
      </c>
      <c r="E839" s="124" t="s">
        <v>529</v>
      </c>
      <c r="F839" s="334">
        <v>210</v>
      </c>
      <c r="G839" s="283">
        <f>VLOOKUP(D839,upahbahan,3,FALSE)</f>
        <v>200</v>
      </c>
      <c r="H839" s="284">
        <f>F839*G839</f>
        <v>42000</v>
      </c>
    </row>
    <row r="840" spans="3:11" ht="24.6" customHeight="1">
      <c r="C840" s="66" t="s">
        <v>1214</v>
      </c>
      <c r="D840" s="67"/>
      <c r="E840" s="67"/>
      <c r="F840" s="67"/>
      <c r="G840" s="69"/>
      <c r="H840" s="284">
        <f>SUM(H835:H839)</f>
        <v>1093523.6226206897</v>
      </c>
    </row>
    <row r="841" spans="3:11" ht="24.6" customHeight="1">
      <c r="C841" s="290" t="s">
        <v>1215</v>
      </c>
      <c r="D841" s="182" t="s">
        <v>1216</v>
      </c>
      <c r="E841" s="70"/>
      <c r="F841" s="70"/>
      <c r="G841" s="70"/>
      <c r="H841" s="105"/>
    </row>
    <row r="842" spans="3:11" ht="24.6" customHeight="1">
      <c r="C842" s="290">
        <v>1</v>
      </c>
      <c r="D842" s="182" t="s">
        <v>1167</v>
      </c>
      <c r="E842" s="124" t="s">
        <v>1080</v>
      </c>
      <c r="F842" s="118">
        <v>0.14749999999999999</v>
      </c>
      <c r="G842" s="283">
        <f>VLOOKUP(D842,upahbahan,3,FALSE)</f>
        <v>300000</v>
      </c>
      <c r="H842" s="284">
        <f>F842*G842</f>
        <v>44250</v>
      </c>
    </row>
    <row r="843" spans="3:11" ht="24.6" customHeight="1">
      <c r="C843" s="66" t="s">
        <v>1217</v>
      </c>
      <c r="D843" s="67"/>
      <c r="E843" s="67"/>
      <c r="F843" s="67"/>
      <c r="G843" s="69"/>
      <c r="H843" s="284">
        <f>SUM(H842)</f>
        <v>44250</v>
      </c>
    </row>
    <row r="844" spans="3:11" s="297" customFormat="1" ht="24.6" customHeight="1">
      <c r="C844" s="293" t="s">
        <v>1218</v>
      </c>
      <c r="D844" s="294" t="s">
        <v>1219</v>
      </c>
      <c r="E844" s="295"/>
      <c r="F844" s="295"/>
      <c r="G844" s="296"/>
      <c r="H844" s="284">
        <f>H843+H840+H833</f>
        <v>1291273.6226206897</v>
      </c>
      <c r="I844" s="119"/>
      <c r="J844" s="119"/>
      <c r="K844" s="119"/>
    </row>
    <row r="845" spans="3:11" s="297" customFormat="1" ht="24.6" customHeight="1">
      <c r="C845" s="293" t="s">
        <v>1220</v>
      </c>
      <c r="D845" s="294" t="s">
        <v>1321</v>
      </c>
      <c r="E845" s="295"/>
      <c r="F845" s="296"/>
      <c r="G845" s="298">
        <f>$O$9</f>
        <v>0.1</v>
      </c>
      <c r="H845" s="284">
        <f>H844*G845</f>
        <v>129127.36226206897</v>
      </c>
      <c r="I845" s="119"/>
      <c r="J845" s="119"/>
      <c r="K845" s="119"/>
    </row>
    <row r="846" spans="3:11" s="297" customFormat="1" ht="24.6" customHeight="1" thickBot="1">
      <c r="C846" s="299" t="s">
        <v>1221</v>
      </c>
      <c r="D846" s="300" t="s">
        <v>1222</v>
      </c>
      <c r="E846" s="301"/>
      <c r="F846" s="301"/>
      <c r="G846" s="302"/>
      <c r="H846" s="303">
        <f>SUM(H844:H845)</f>
        <v>1420400.9848827587</v>
      </c>
      <c r="I846" s="119"/>
      <c r="J846" s="119"/>
      <c r="K846" s="119"/>
    </row>
    <row r="847" spans="3:11" ht="14.4" thickTop="1"/>
    <row r="848" spans="3:11">
      <c r="C848" s="126" t="s">
        <v>2301</v>
      </c>
      <c r="D848" s="119" t="s">
        <v>2302</v>
      </c>
    </row>
    <row r="849" spans="3:15" ht="14.4" thickBot="1">
      <c r="C849" s="119" t="s">
        <v>2303</v>
      </c>
      <c r="D849" s="47" t="s">
        <v>2304</v>
      </c>
      <c r="E849" s="47"/>
      <c r="F849" s="47"/>
      <c r="G849" s="47"/>
      <c r="H849" s="47"/>
      <c r="I849" s="120">
        <f>ROUNDDOWN(H864,-2)</f>
        <v>1118900</v>
      </c>
      <c r="J849" s="120"/>
      <c r="K849" s="120"/>
      <c r="O849" s="333"/>
    </row>
    <row r="850" spans="3:15" s="289" customFormat="1" ht="31.65" customHeight="1" thickTop="1">
      <c r="C850" s="51" t="s">
        <v>1195</v>
      </c>
      <c r="D850" s="52" t="s">
        <v>1196</v>
      </c>
      <c r="E850" s="52" t="s">
        <v>1197</v>
      </c>
      <c r="F850" s="52" t="s">
        <v>1198</v>
      </c>
      <c r="G850" s="52" t="s">
        <v>1199</v>
      </c>
      <c r="H850" s="53" t="s">
        <v>1200</v>
      </c>
      <c r="I850" s="126"/>
      <c r="J850" s="126"/>
      <c r="K850" s="126"/>
      <c r="O850" s="333"/>
    </row>
    <row r="851" spans="3:15" ht="22.2" customHeight="1">
      <c r="C851" s="290" t="s">
        <v>1201</v>
      </c>
      <c r="D851" s="182" t="s">
        <v>1202</v>
      </c>
      <c r="E851" s="70"/>
      <c r="F851" s="70"/>
      <c r="G851" s="70"/>
      <c r="H851" s="71"/>
      <c r="O851" s="333"/>
    </row>
    <row r="852" spans="3:15" ht="22.2" customHeight="1">
      <c r="C852" s="310" t="s">
        <v>1203</v>
      </c>
      <c r="D852" s="182" t="s">
        <v>5</v>
      </c>
      <c r="E852" s="176" t="s">
        <v>6</v>
      </c>
      <c r="F852" s="282">
        <v>0.4</v>
      </c>
      <c r="G852" s="283">
        <f>VLOOKUP(D852,upahbahan,3,FALSE)</f>
        <v>100000</v>
      </c>
      <c r="H852" s="284">
        <f>F852*G852</f>
        <v>40000</v>
      </c>
      <c r="O852" s="333"/>
    </row>
    <row r="853" spans="3:15" ht="22.2" customHeight="1">
      <c r="C853" s="310" t="s">
        <v>1204</v>
      </c>
      <c r="D853" s="182" t="s">
        <v>7</v>
      </c>
      <c r="E853" s="176" t="s">
        <v>6</v>
      </c>
      <c r="F853" s="282">
        <v>0.1</v>
      </c>
      <c r="G853" s="283">
        <f>VLOOKUP(D853,upahbahan,3,FALSE)</f>
        <v>135000</v>
      </c>
      <c r="H853" s="284">
        <f>F853*G853</f>
        <v>13500</v>
      </c>
      <c r="O853" s="333"/>
    </row>
    <row r="854" spans="3:15" ht="22.2" customHeight="1">
      <c r="C854" s="310" t="s">
        <v>1205</v>
      </c>
      <c r="D854" s="182" t="s">
        <v>1310</v>
      </c>
      <c r="E854" s="176" t="s">
        <v>6</v>
      </c>
      <c r="F854" s="282">
        <v>0.01</v>
      </c>
      <c r="G854" s="283">
        <f>VLOOKUP(D854,upahbahan,3,FALSE)</f>
        <v>150000</v>
      </c>
      <c r="H854" s="284">
        <f>F854*G854</f>
        <v>1500</v>
      </c>
      <c r="O854" s="333"/>
    </row>
    <row r="855" spans="3:15" ht="22.2" customHeight="1">
      <c r="C855" s="310" t="s">
        <v>1206</v>
      </c>
      <c r="D855" s="182" t="s">
        <v>19</v>
      </c>
      <c r="E855" s="176" t="s">
        <v>6</v>
      </c>
      <c r="F855" s="282">
        <v>0.04</v>
      </c>
      <c r="G855" s="283">
        <f>VLOOKUP(D855,upahbahan,3,FALSE)</f>
        <v>160000</v>
      </c>
      <c r="H855" s="284">
        <f>F855*G855</f>
        <v>6400</v>
      </c>
      <c r="O855" s="333"/>
    </row>
    <row r="856" spans="3:15" ht="22.2" customHeight="1">
      <c r="C856" s="66" t="s">
        <v>1208</v>
      </c>
      <c r="D856" s="67"/>
      <c r="E856" s="67"/>
      <c r="F856" s="68"/>
      <c r="G856" s="69"/>
      <c r="H856" s="284">
        <f>SUM(H852:H855)</f>
        <v>61400</v>
      </c>
    </row>
    <row r="857" spans="3:15" ht="22.2" customHeight="1">
      <c r="C857" s="290" t="s">
        <v>1209</v>
      </c>
      <c r="D857" s="182" t="s">
        <v>1210</v>
      </c>
      <c r="E857" s="70"/>
      <c r="F857" s="70"/>
      <c r="G857" s="70"/>
      <c r="H857" s="71"/>
    </row>
    <row r="858" spans="3:15" ht="22.2" customHeight="1">
      <c r="C858" s="306" t="s">
        <v>1203</v>
      </c>
      <c r="D858" s="182" t="s">
        <v>537</v>
      </c>
      <c r="E858" s="124" t="s">
        <v>42</v>
      </c>
      <c r="F858" s="127">
        <v>1.02</v>
      </c>
      <c r="G858" s="283">
        <f>VLOOKUP(D858,upahbahan,3,FALSE)</f>
        <v>937100</v>
      </c>
      <c r="H858" s="284">
        <f>F858*G858</f>
        <v>955842</v>
      </c>
    </row>
    <row r="859" spans="3:15" ht="22.2" customHeight="1">
      <c r="C859" s="66" t="s">
        <v>1214</v>
      </c>
      <c r="D859" s="67"/>
      <c r="E859" s="67"/>
      <c r="F859" s="67"/>
      <c r="G859" s="69"/>
      <c r="H859" s="284">
        <f>SUM(H858:H858)</f>
        <v>955842</v>
      </c>
    </row>
    <row r="860" spans="3:15" ht="22.2" customHeight="1">
      <c r="C860" s="290" t="s">
        <v>1215</v>
      </c>
      <c r="D860" s="182" t="s">
        <v>1216</v>
      </c>
      <c r="E860" s="70"/>
      <c r="F860" s="70"/>
      <c r="G860" s="70"/>
      <c r="H860" s="105"/>
    </row>
    <row r="861" spans="3:15" ht="22.2" customHeight="1">
      <c r="C861" s="66" t="s">
        <v>1217</v>
      </c>
      <c r="D861" s="67"/>
      <c r="E861" s="67"/>
      <c r="F861" s="67"/>
      <c r="G861" s="69"/>
      <c r="H861" s="313">
        <v>0</v>
      </c>
    </row>
    <row r="862" spans="3:15" s="297" customFormat="1" ht="22.2" customHeight="1">
      <c r="C862" s="293" t="s">
        <v>1218</v>
      </c>
      <c r="D862" s="294" t="s">
        <v>1219</v>
      </c>
      <c r="E862" s="295"/>
      <c r="F862" s="295"/>
      <c r="G862" s="296"/>
      <c r="H862" s="284">
        <f>H861+H859+H856</f>
        <v>1017242</v>
      </c>
      <c r="I862" s="119"/>
      <c r="J862" s="119"/>
      <c r="K862" s="119"/>
    </row>
    <row r="863" spans="3:15" s="297" customFormat="1" ht="22.2" customHeight="1">
      <c r="C863" s="293" t="s">
        <v>1220</v>
      </c>
      <c r="D863" s="294" t="s">
        <v>1321</v>
      </c>
      <c r="E863" s="295"/>
      <c r="F863" s="296"/>
      <c r="G863" s="298">
        <f>$O$9</f>
        <v>0.1</v>
      </c>
      <c r="H863" s="284">
        <f>H862*G863</f>
        <v>101724.20000000001</v>
      </c>
      <c r="I863" s="119"/>
      <c r="J863" s="119"/>
      <c r="K863" s="119"/>
    </row>
    <row r="864" spans="3:15" s="297" customFormat="1" ht="22.2" customHeight="1" thickBot="1">
      <c r="C864" s="299" t="s">
        <v>1221</v>
      </c>
      <c r="D864" s="300" t="s">
        <v>1222</v>
      </c>
      <c r="E864" s="301"/>
      <c r="F864" s="301"/>
      <c r="G864" s="302"/>
      <c r="H864" s="303">
        <f>SUM(H862:H863)</f>
        <v>1118966.2</v>
      </c>
      <c r="I864" s="119"/>
      <c r="J864" s="119"/>
      <c r="K864" s="119"/>
    </row>
    <row r="865" spans="3:15" s="297" customFormat="1" ht="14.4" thickTop="1">
      <c r="C865" s="335" t="s">
        <v>1827</v>
      </c>
      <c r="D865" s="297" t="s">
        <v>2305</v>
      </c>
      <c r="H865" s="139"/>
      <c r="I865" s="119"/>
      <c r="J865" s="119"/>
      <c r="K865" s="119"/>
    </row>
    <row r="866" spans="3:15" s="297" customFormat="1">
      <c r="C866" s="289"/>
      <c r="H866" s="139"/>
      <c r="I866" s="119"/>
      <c r="J866" s="119"/>
      <c r="K866" s="119"/>
    </row>
    <row r="868" spans="3:15">
      <c r="C868" s="126" t="s">
        <v>2306</v>
      </c>
      <c r="D868" s="119" t="s">
        <v>2307</v>
      </c>
    </row>
    <row r="869" spans="3:15" ht="14.4" thickBot="1">
      <c r="C869" s="119" t="s">
        <v>2308</v>
      </c>
      <c r="D869" s="47" t="s">
        <v>1311</v>
      </c>
      <c r="E869" s="47"/>
      <c r="F869" s="47"/>
      <c r="G869" s="47"/>
      <c r="H869" s="47"/>
      <c r="I869" s="120">
        <f>ROUNDDOWN(H881,-2)</f>
        <v>64200</v>
      </c>
      <c r="J869" s="120"/>
      <c r="K869" s="120"/>
      <c r="O869" s="333"/>
    </row>
    <row r="870" spans="3:15" s="289" customFormat="1" ht="31.65" customHeight="1" thickTop="1">
      <c r="C870" s="51" t="s">
        <v>1195</v>
      </c>
      <c r="D870" s="52" t="s">
        <v>1196</v>
      </c>
      <c r="E870" s="52" t="s">
        <v>1197</v>
      </c>
      <c r="F870" s="52" t="s">
        <v>1198</v>
      </c>
      <c r="G870" s="52" t="s">
        <v>1199</v>
      </c>
      <c r="H870" s="53" t="s">
        <v>1200</v>
      </c>
      <c r="I870" s="126"/>
      <c r="J870" s="126"/>
      <c r="K870" s="126"/>
      <c r="O870" s="333"/>
    </row>
    <row r="871" spans="3:15" ht="21.6" customHeight="1">
      <c r="C871" s="290" t="s">
        <v>1201</v>
      </c>
      <c r="D871" s="182" t="s">
        <v>1202</v>
      </c>
      <c r="E871" s="70"/>
      <c r="F871" s="70"/>
      <c r="G871" s="70"/>
      <c r="H871" s="71"/>
      <c r="O871" s="333"/>
    </row>
    <row r="872" spans="3:15" ht="21.6" customHeight="1">
      <c r="C872" s="310" t="s">
        <v>1203</v>
      </c>
      <c r="D872" s="182" t="s">
        <v>5</v>
      </c>
      <c r="E872" s="176" t="s">
        <v>6</v>
      </c>
      <c r="F872" s="309">
        <v>0.50370000000000004</v>
      </c>
      <c r="G872" s="283">
        <f>VLOOKUP(D872,upahbahan,3,FALSE)</f>
        <v>100000</v>
      </c>
      <c r="H872" s="284">
        <f>F872*G872</f>
        <v>50370.000000000007</v>
      </c>
      <c r="O872" s="333"/>
    </row>
    <row r="873" spans="3:15" ht="21.6" customHeight="1">
      <c r="C873" s="310" t="s">
        <v>1204</v>
      </c>
      <c r="D873" s="182" t="s">
        <v>19</v>
      </c>
      <c r="E873" s="176" t="s">
        <v>6</v>
      </c>
      <c r="F873" s="309">
        <v>5.04E-2</v>
      </c>
      <c r="G873" s="283">
        <f>VLOOKUP(D873,upahbahan,3,FALSE)</f>
        <v>160000</v>
      </c>
      <c r="H873" s="284">
        <f>F873*G873</f>
        <v>8064</v>
      </c>
      <c r="O873" s="333"/>
    </row>
    <row r="874" spans="3:15" ht="21.6" customHeight="1">
      <c r="C874" s="66" t="s">
        <v>1208</v>
      </c>
      <c r="D874" s="67"/>
      <c r="E874" s="67"/>
      <c r="F874" s="68"/>
      <c r="G874" s="69"/>
      <c r="H874" s="284">
        <f>SUM(H872:H873)</f>
        <v>58434.000000000007</v>
      </c>
    </row>
    <row r="875" spans="3:15" ht="21.6" customHeight="1">
      <c r="C875" s="290" t="s">
        <v>1209</v>
      </c>
      <c r="D875" s="182" t="s">
        <v>1210</v>
      </c>
      <c r="E875" s="70"/>
      <c r="F875" s="70"/>
      <c r="G875" s="70"/>
      <c r="H875" s="71"/>
    </row>
    <row r="876" spans="3:15" ht="21.6" customHeight="1">
      <c r="C876" s="66" t="s">
        <v>1214</v>
      </c>
      <c r="D876" s="67"/>
      <c r="E876" s="67"/>
      <c r="F876" s="67"/>
      <c r="G876" s="69"/>
      <c r="H876" s="313">
        <v>0</v>
      </c>
    </row>
    <row r="877" spans="3:15" ht="21.6" customHeight="1">
      <c r="C877" s="290" t="s">
        <v>1215</v>
      </c>
      <c r="D877" s="182" t="s">
        <v>1216</v>
      </c>
      <c r="E877" s="70"/>
      <c r="F877" s="70"/>
      <c r="G877" s="70"/>
      <c r="H877" s="105"/>
    </row>
    <row r="878" spans="3:15" ht="21.6" customHeight="1">
      <c r="C878" s="66" t="s">
        <v>1217</v>
      </c>
      <c r="D878" s="67"/>
      <c r="E878" s="67"/>
      <c r="F878" s="67"/>
      <c r="G878" s="69"/>
      <c r="H878" s="313">
        <v>0</v>
      </c>
    </row>
    <row r="879" spans="3:15" s="297" customFormat="1" ht="21.6" customHeight="1">
      <c r="C879" s="293" t="s">
        <v>1218</v>
      </c>
      <c r="D879" s="294" t="s">
        <v>1219</v>
      </c>
      <c r="E879" s="295"/>
      <c r="F879" s="295"/>
      <c r="G879" s="296"/>
      <c r="H879" s="284">
        <f>H878+H876+H874</f>
        <v>58434.000000000007</v>
      </c>
      <c r="I879" s="119"/>
      <c r="J879" s="119"/>
      <c r="K879" s="119"/>
    </row>
    <row r="880" spans="3:15" s="297" customFormat="1" ht="21.6" customHeight="1">
      <c r="C880" s="293" t="s">
        <v>1220</v>
      </c>
      <c r="D880" s="294" t="s">
        <v>1321</v>
      </c>
      <c r="E880" s="295"/>
      <c r="F880" s="296"/>
      <c r="G880" s="298">
        <f>$O$9</f>
        <v>0.1</v>
      </c>
      <c r="H880" s="284">
        <f>H879*G880</f>
        <v>5843.4000000000015</v>
      </c>
      <c r="I880" s="119"/>
      <c r="J880" s="119"/>
      <c r="K880" s="119"/>
    </row>
    <row r="881" spans="3:15" s="297" customFormat="1" ht="21.6" customHeight="1" thickBot="1">
      <c r="C881" s="299" t="s">
        <v>1221</v>
      </c>
      <c r="D881" s="300" t="s">
        <v>1222</v>
      </c>
      <c r="E881" s="301"/>
      <c r="F881" s="301"/>
      <c r="G881" s="302"/>
      <c r="H881" s="303">
        <f>SUM(H879:H880)</f>
        <v>64277.400000000009</v>
      </c>
      <c r="I881" s="119"/>
      <c r="J881" s="119"/>
      <c r="K881" s="119"/>
    </row>
    <row r="882" spans="3:15" ht="14.4" thickTop="1"/>
    <row r="883" spans="3:15" ht="14.4" thickBot="1">
      <c r="C883" s="119" t="s">
        <v>2309</v>
      </c>
      <c r="D883" s="47" t="s">
        <v>1312</v>
      </c>
      <c r="E883" s="47"/>
      <c r="F883" s="47"/>
      <c r="G883" s="47"/>
      <c r="H883" s="47"/>
      <c r="I883" s="120">
        <f>ROUNDDOWN(H895,-2)</f>
        <v>136900</v>
      </c>
      <c r="J883" s="120"/>
      <c r="K883" s="120"/>
      <c r="O883" s="333"/>
    </row>
    <row r="884" spans="3:15" s="289" customFormat="1" ht="31.65" customHeight="1" thickTop="1">
      <c r="C884" s="51" t="s">
        <v>1195</v>
      </c>
      <c r="D884" s="52" t="s">
        <v>1196</v>
      </c>
      <c r="E884" s="52" t="s">
        <v>1197</v>
      </c>
      <c r="F884" s="52" t="s">
        <v>1198</v>
      </c>
      <c r="G884" s="52" t="s">
        <v>1199</v>
      </c>
      <c r="H884" s="53" t="s">
        <v>1200</v>
      </c>
      <c r="I884" s="126"/>
      <c r="J884" s="126"/>
      <c r="K884" s="126"/>
      <c r="O884" s="333"/>
    </row>
    <row r="885" spans="3:15" ht="21.6" customHeight="1">
      <c r="C885" s="290" t="s">
        <v>1201</v>
      </c>
      <c r="D885" s="182" t="s">
        <v>1202</v>
      </c>
      <c r="E885" s="70"/>
      <c r="F885" s="70"/>
      <c r="G885" s="70"/>
      <c r="H885" s="71"/>
      <c r="O885" s="333"/>
    </row>
    <row r="886" spans="3:15" ht="21.6" customHeight="1">
      <c r="C886" s="310" t="s">
        <v>1203</v>
      </c>
      <c r="D886" s="182" t="s">
        <v>5</v>
      </c>
      <c r="E886" s="176" t="s">
        <v>6</v>
      </c>
      <c r="F886" s="309">
        <v>1.0733999999999999</v>
      </c>
      <c r="G886" s="283">
        <f>VLOOKUP(D886,upahbahan,3,FALSE)</f>
        <v>100000</v>
      </c>
      <c r="H886" s="284">
        <f>F886*G886</f>
        <v>107339.99999999999</v>
      </c>
      <c r="O886" s="333"/>
    </row>
    <row r="887" spans="3:15" ht="21.6" customHeight="1">
      <c r="C887" s="310" t="s">
        <v>1204</v>
      </c>
      <c r="D887" s="182" t="s">
        <v>19</v>
      </c>
      <c r="E887" s="176" t="s">
        <v>6</v>
      </c>
      <c r="F887" s="309">
        <v>0.10730000000000001</v>
      </c>
      <c r="G887" s="283">
        <f>VLOOKUP(D887,upahbahan,3,FALSE)</f>
        <v>160000</v>
      </c>
      <c r="H887" s="284">
        <f>F887*G887</f>
        <v>17168</v>
      </c>
      <c r="O887" s="333"/>
    </row>
    <row r="888" spans="3:15" ht="21.6" customHeight="1">
      <c r="C888" s="66" t="s">
        <v>1208</v>
      </c>
      <c r="D888" s="67"/>
      <c r="E888" s="67"/>
      <c r="F888" s="68"/>
      <c r="G888" s="69"/>
      <c r="H888" s="284">
        <f>SUM(H886:H887)</f>
        <v>124507.99999999999</v>
      </c>
    </row>
    <row r="889" spans="3:15" ht="21.6" customHeight="1">
      <c r="C889" s="290" t="s">
        <v>1209</v>
      </c>
      <c r="D889" s="182" t="s">
        <v>1210</v>
      </c>
      <c r="E889" s="70"/>
      <c r="F889" s="70"/>
      <c r="G889" s="70"/>
      <c r="H889" s="71"/>
    </row>
    <row r="890" spans="3:15" ht="21.6" customHeight="1">
      <c r="C890" s="66" t="s">
        <v>1214</v>
      </c>
      <c r="D890" s="67"/>
      <c r="E890" s="67"/>
      <c r="F890" s="67"/>
      <c r="G890" s="69"/>
      <c r="H890" s="313">
        <v>0</v>
      </c>
    </row>
    <row r="891" spans="3:15" ht="21.6" customHeight="1">
      <c r="C891" s="290" t="s">
        <v>1215</v>
      </c>
      <c r="D891" s="182" t="s">
        <v>1216</v>
      </c>
      <c r="E891" s="70"/>
      <c r="F891" s="70"/>
      <c r="G891" s="70"/>
      <c r="H891" s="105"/>
    </row>
    <row r="892" spans="3:15" ht="21.6" customHeight="1">
      <c r="C892" s="66" t="s">
        <v>1217</v>
      </c>
      <c r="D892" s="67"/>
      <c r="E892" s="67"/>
      <c r="F892" s="67"/>
      <c r="G892" s="69"/>
      <c r="H892" s="313">
        <v>0</v>
      </c>
    </row>
    <row r="893" spans="3:15" s="297" customFormat="1" ht="21.6" customHeight="1">
      <c r="C893" s="293" t="s">
        <v>1218</v>
      </c>
      <c r="D893" s="294" t="s">
        <v>1219</v>
      </c>
      <c r="E893" s="295"/>
      <c r="F893" s="295"/>
      <c r="G893" s="296"/>
      <c r="H893" s="284">
        <f>H892+H890+H888</f>
        <v>124507.99999999999</v>
      </c>
      <c r="I893" s="119"/>
      <c r="J893" s="119"/>
      <c r="K893" s="119"/>
    </row>
    <row r="894" spans="3:15" s="297" customFormat="1" ht="21.6" customHeight="1">
      <c r="C894" s="293" t="s">
        <v>1220</v>
      </c>
      <c r="D894" s="294" t="s">
        <v>1321</v>
      </c>
      <c r="E894" s="295"/>
      <c r="F894" s="296"/>
      <c r="G894" s="298">
        <f>$O$9</f>
        <v>0.1</v>
      </c>
      <c r="H894" s="284">
        <f>H893*G894</f>
        <v>12450.8</v>
      </c>
      <c r="I894" s="119"/>
      <c r="J894" s="119"/>
      <c r="K894" s="119"/>
    </row>
    <row r="895" spans="3:15" s="297" customFormat="1" ht="21.6" customHeight="1" thickBot="1">
      <c r="C895" s="299" t="s">
        <v>1221</v>
      </c>
      <c r="D895" s="300" t="s">
        <v>1222</v>
      </c>
      <c r="E895" s="301"/>
      <c r="F895" s="301"/>
      <c r="G895" s="302"/>
      <c r="H895" s="303">
        <f>SUM(H893:H894)</f>
        <v>136958.79999999999</v>
      </c>
      <c r="I895" s="119"/>
      <c r="J895" s="119"/>
      <c r="K895" s="119"/>
    </row>
    <row r="896" spans="3:15" ht="14.4" thickTop="1"/>
    <row r="897" spans="3:15" ht="14.4" thickBot="1">
      <c r="C897" s="119" t="s">
        <v>2310</v>
      </c>
      <c r="D897" s="47" t="s">
        <v>2311</v>
      </c>
      <c r="E897" s="47"/>
      <c r="F897" s="47"/>
      <c r="G897" s="47"/>
      <c r="H897" s="47"/>
      <c r="I897" s="120">
        <f>ROUNDDOWN(H910,-2)</f>
        <v>941800</v>
      </c>
      <c r="J897" s="120"/>
      <c r="K897" s="120"/>
      <c r="O897" s="333"/>
    </row>
    <row r="898" spans="3:15" s="289" customFormat="1" ht="31.65" customHeight="1" thickTop="1">
      <c r="C898" s="51" t="s">
        <v>1195</v>
      </c>
      <c r="D898" s="52" t="s">
        <v>1196</v>
      </c>
      <c r="E898" s="52" t="s">
        <v>1197</v>
      </c>
      <c r="F898" s="52" t="s">
        <v>1198</v>
      </c>
      <c r="G898" s="52" t="s">
        <v>1199</v>
      </c>
      <c r="H898" s="53" t="s">
        <v>1200</v>
      </c>
      <c r="I898" s="126"/>
      <c r="J898" s="126"/>
      <c r="K898" s="126"/>
      <c r="O898" s="333"/>
    </row>
    <row r="899" spans="3:15" ht="21.6" customHeight="1">
      <c r="C899" s="290" t="s">
        <v>1201</v>
      </c>
      <c r="D899" s="182" t="s">
        <v>1202</v>
      </c>
      <c r="E899" s="70"/>
      <c r="F899" s="70"/>
      <c r="G899" s="70"/>
      <c r="H899" s="71"/>
      <c r="O899" s="333"/>
    </row>
    <row r="900" spans="3:15" ht="21.6" customHeight="1">
      <c r="C900" s="310" t="s">
        <v>1203</v>
      </c>
      <c r="D900" s="182" t="s">
        <v>5</v>
      </c>
      <c r="E900" s="176" t="s">
        <v>6</v>
      </c>
      <c r="F900" s="282">
        <v>0.14000000000000001</v>
      </c>
      <c r="G900" s="283">
        <f>VLOOKUP(D900,upahbahan,3,FALSE)</f>
        <v>100000</v>
      </c>
      <c r="H900" s="284">
        <f>F900*G900</f>
        <v>14000.000000000002</v>
      </c>
      <c r="O900" s="333"/>
    </row>
    <row r="901" spans="3:15" ht="21.6" customHeight="1">
      <c r="C901" s="310" t="s">
        <v>1204</v>
      </c>
      <c r="D901" s="182" t="s">
        <v>19</v>
      </c>
      <c r="E901" s="176" t="s">
        <v>6</v>
      </c>
      <c r="F901" s="282">
        <v>1.4E-2</v>
      </c>
      <c r="G901" s="283">
        <f>VLOOKUP(D901,upahbahan,3,FALSE)</f>
        <v>160000</v>
      </c>
      <c r="H901" s="284">
        <f>F901*G901</f>
        <v>2240</v>
      </c>
      <c r="O901" s="333"/>
    </row>
    <row r="902" spans="3:15" ht="21.6" customHeight="1">
      <c r="C902" s="66" t="s">
        <v>1208</v>
      </c>
      <c r="D902" s="67"/>
      <c r="E902" s="67"/>
      <c r="F902" s="68"/>
      <c r="G902" s="69"/>
      <c r="H902" s="284">
        <f>SUM(H900:H901)</f>
        <v>16240.000000000002</v>
      </c>
    </row>
    <row r="903" spans="3:15" ht="21.6" customHeight="1">
      <c r="C903" s="290" t="s">
        <v>1209</v>
      </c>
      <c r="D903" s="182" t="s">
        <v>1210</v>
      </c>
      <c r="E903" s="70"/>
      <c r="F903" s="70"/>
      <c r="G903" s="70"/>
      <c r="H903" s="71"/>
    </row>
    <row r="904" spans="3:15" ht="21.6" customHeight="1">
      <c r="C904" s="66" t="s">
        <v>1214</v>
      </c>
      <c r="D904" s="67"/>
      <c r="E904" s="67"/>
      <c r="F904" s="67"/>
      <c r="G904" s="69"/>
      <c r="H904" s="313">
        <v>0</v>
      </c>
    </row>
    <row r="905" spans="3:15" ht="21.6" customHeight="1">
      <c r="C905" s="290" t="s">
        <v>1215</v>
      </c>
      <c r="D905" s="182" t="s">
        <v>1216</v>
      </c>
      <c r="E905" s="70"/>
      <c r="F905" s="70"/>
      <c r="G905" s="70"/>
      <c r="H905" s="105"/>
    </row>
    <row r="906" spans="3:15" ht="21.6" customHeight="1">
      <c r="C906" s="306" t="s">
        <v>1203</v>
      </c>
      <c r="D906" s="285" t="s">
        <v>1132</v>
      </c>
      <c r="E906" s="124" t="s">
        <v>1080</v>
      </c>
      <c r="F906" s="127">
        <v>0.14000000000000001</v>
      </c>
      <c r="G906" s="283">
        <f>VLOOKUP(D906,upahbahan,3,FALSE)</f>
        <v>6000000</v>
      </c>
      <c r="H906" s="284">
        <f>F906*G906</f>
        <v>840000.00000000012</v>
      </c>
    </row>
    <row r="907" spans="3:15" ht="21.6" customHeight="1">
      <c r="C907" s="66" t="s">
        <v>1217</v>
      </c>
      <c r="D907" s="67"/>
      <c r="E907" s="67"/>
      <c r="F907" s="67"/>
      <c r="G907" s="69"/>
      <c r="H907" s="284">
        <f>SUM(H906)</f>
        <v>840000.00000000012</v>
      </c>
    </row>
    <row r="908" spans="3:15" s="297" customFormat="1" ht="21.6" customHeight="1">
      <c r="C908" s="293" t="s">
        <v>1218</v>
      </c>
      <c r="D908" s="294" t="s">
        <v>1219</v>
      </c>
      <c r="E908" s="295"/>
      <c r="F908" s="295"/>
      <c r="G908" s="296"/>
      <c r="H908" s="284">
        <f>H907+H904+H902</f>
        <v>856240.00000000012</v>
      </c>
      <c r="I908" s="119"/>
      <c r="J908" s="119"/>
      <c r="K908" s="119"/>
    </row>
    <row r="909" spans="3:15" s="297" customFormat="1" ht="21.6" customHeight="1">
      <c r="C909" s="293" t="s">
        <v>1220</v>
      </c>
      <c r="D909" s="294" t="s">
        <v>1321</v>
      </c>
      <c r="E909" s="295"/>
      <c r="F909" s="296"/>
      <c r="G909" s="298">
        <f>$O$9</f>
        <v>0.1</v>
      </c>
      <c r="H909" s="284">
        <f>H908*G909</f>
        <v>85624.000000000015</v>
      </c>
      <c r="I909" s="119"/>
      <c r="J909" s="119"/>
      <c r="K909" s="119"/>
    </row>
    <row r="910" spans="3:15" s="297" customFormat="1" ht="21.6" customHeight="1" thickBot="1">
      <c r="C910" s="299" t="s">
        <v>1221</v>
      </c>
      <c r="D910" s="300" t="s">
        <v>1222</v>
      </c>
      <c r="E910" s="301"/>
      <c r="F910" s="301"/>
      <c r="G910" s="302"/>
      <c r="H910" s="303">
        <f>SUM(H908:H909)</f>
        <v>941864.00000000012</v>
      </c>
      <c r="I910" s="119"/>
      <c r="J910" s="119"/>
      <c r="K910" s="119"/>
    </row>
    <row r="911" spans="3:15" ht="14.4" thickTop="1"/>
    <row r="912" spans="3:15" ht="14.4" thickBot="1">
      <c r="C912" s="126" t="s">
        <v>2312</v>
      </c>
      <c r="D912" s="47" t="s">
        <v>1313</v>
      </c>
      <c r="E912" s="47"/>
      <c r="F912" s="47"/>
      <c r="G912" s="47"/>
      <c r="H912" s="47"/>
      <c r="I912" s="120">
        <f>ROUNDDOWN(H925,-2)</f>
        <v>846900</v>
      </c>
      <c r="J912" s="120"/>
      <c r="K912" s="120"/>
      <c r="O912" s="333"/>
    </row>
    <row r="913" spans="3:15" s="289" customFormat="1" ht="31.65" customHeight="1" thickTop="1">
      <c r="C913" s="51" t="s">
        <v>1195</v>
      </c>
      <c r="D913" s="52" t="s">
        <v>1196</v>
      </c>
      <c r="E913" s="52" t="s">
        <v>1197</v>
      </c>
      <c r="F913" s="52" t="s">
        <v>1198</v>
      </c>
      <c r="G913" s="52" t="s">
        <v>1199</v>
      </c>
      <c r="H913" s="53" t="s">
        <v>1200</v>
      </c>
      <c r="I913" s="126"/>
      <c r="J913" s="126"/>
      <c r="K913" s="126"/>
      <c r="O913" s="333"/>
    </row>
    <row r="914" spans="3:15" ht="19.8" customHeight="1">
      <c r="C914" s="290" t="s">
        <v>1201</v>
      </c>
      <c r="D914" s="182" t="s">
        <v>1202</v>
      </c>
      <c r="E914" s="70"/>
      <c r="F914" s="70"/>
      <c r="G914" s="70"/>
      <c r="H914" s="71"/>
      <c r="O914" s="333"/>
    </row>
    <row r="915" spans="3:15" ht="19.8" customHeight="1">
      <c r="C915" s="310" t="s">
        <v>1203</v>
      </c>
      <c r="D915" s="182" t="s">
        <v>5</v>
      </c>
      <c r="E915" s="176" t="s">
        <v>6</v>
      </c>
      <c r="F915" s="282">
        <v>0.12</v>
      </c>
      <c r="G915" s="283">
        <f>VLOOKUP(D915,upahbahan,3,FALSE)</f>
        <v>100000</v>
      </c>
      <c r="H915" s="284">
        <f>F915*G915</f>
        <v>12000</v>
      </c>
      <c r="O915" s="333"/>
    </row>
    <row r="916" spans="3:15" ht="19.8" customHeight="1">
      <c r="C916" s="310" t="s">
        <v>1204</v>
      </c>
      <c r="D916" s="182" t="s">
        <v>19</v>
      </c>
      <c r="E916" s="176" t="s">
        <v>6</v>
      </c>
      <c r="F916" s="282">
        <v>1.2E-2</v>
      </c>
      <c r="G916" s="283">
        <f>VLOOKUP(D916,upahbahan,3,FALSE)</f>
        <v>160000</v>
      </c>
      <c r="H916" s="284">
        <f>F916*G916</f>
        <v>1920</v>
      </c>
      <c r="O916" s="333"/>
    </row>
    <row r="917" spans="3:15" ht="19.8" customHeight="1">
      <c r="C917" s="66" t="s">
        <v>1208</v>
      </c>
      <c r="D917" s="67"/>
      <c r="E917" s="67"/>
      <c r="F917" s="68"/>
      <c r="G917" s="69"/>
      <c r="H917" s="284">
        <f>SUM(H915:H916)</f>
        <v>13920</v>
      </c>
    </row>
    <row r="918" spans="3:15" ht="19.8" customHeight="1">
      <c r="C918" s="290" t="s">
        <v>1209</v>
      </c>
      <c r="D918" s="182" t="s">
        <v>1210</v>
      </c>
      <c r="E918" s="70"/>
      <c r="F918" s="70"/>
      <c r="G918" s="70"/>
      <c r="H918" s="71"/>
    </row>
    <row r="919" spans="3:15" ht="19.8" customHeight="1">
      <c r="C919" s="66" t="s">
        <v>1214</v>
      </c>
      <c r="D919" s="67"/>
      <c r="E919" s="67"/>
      <c r="F919" s="67"/>
      <c r="G919" s="69"/>
      <c r="H919" s="313">
        <v>0</v>
      </c>
    </row>
    <row r="920" spans="3:15" ht="19.8" customHeight="1">
      <c r="C920" s="290" t="s">
        <v>1215</v>
      </c>
      <c r="D920" s="182" t="s">
        <v>1216</v>
      </c>
      <c r="E920" s="70"/>
      <c r="F920" s="70"/>
      <c r="G920" s="70"/>
      <c r="H920" s="105"/>
    </row>
    <row r="921" spans="3:15" ht="19.8" customHeight="1">
      <c r="C921" s="306" t="s">
        <v>1203</v>
      </c>
      <c r="D921" s="285" t="s">
        <v>1130</v>
      </c>
      <c r="E921" s="124" t="s">
        <v>1080</v>
      </c>
      <c r="F921" s="127">
        <v>0.12</v>
      </c>
      <c r="G921" s="283">
        <f>VLOOKUP(D921,upahbahan,3,FALSE)</f>
        <v>6300000</v>
      </c>
      <c r="H921" s="284">
        <f>F921*G921</f>
        <v>756000</v>
      </c>
    </row>
    <row r="922" spans="3:15" ht="19.8" customHeight="1">
      <c r="C922" s="66" t="s">
        <v>1217</v>
      </c>
      <c r="D922" s="67"/>
      <c r="E922" s="67"/>
      <c r="F922" s="67"/>
      <c r="G922" s="69"/>
      <c r="H922" s="284">
        <f>SUM(H921)</f>
        <v>756000</v>
      </c>
    </row>
    <row r="923" spans="3:15" s="297" customFormat="1" ht="19.8" customHeight="1">
      <c r="C923" s="293" t="s">
        <v>1218</v>
      </c>
      <c r="D923" s="294" t="s">
        <v>1219</v>
      </c>
      <c r="E923" s="295"/>
      <c r="F923" s="295"/>
      <c r="G923" s="296"/>
      <c r="H923" s="284">
        <f>H922+H919+H917</f>
        <v>769920</v>
      </c>
      <c r="I923" s="119"/>
      <c r="J923" s="119"/>
      <c r="K923" s="119"/>
    </row>
    <row r="924" spans="3:15" s="297" customFormat="1" ht="19.8" customHeight="1">
      <c r="C924" s="293" t="s">
        <v>1220</v>
      </c>
      <c r="D924" s="294" t="s">
        <v>1321</v>
      </c>
      <c r="E924" s="295"/>
      <c r="F924" s="296"/>
      <c r="G924" s="298">
        <f>$O$9</f>
        <v>0.1</v>
      </c>
      <c r="H924" s="284">
        <f>H923*G924</f>
        <v>76992</v>
      </c>
      <c r="I924" s="119"/>
      <c r="J924" s="119"/>
      <c r="K924" s="119"/>
    </row>
    <row r="925" spans="3:15" s="297" customFormat="1" ht="19.8" customHeight="1" thickBot="1">
      <c r="C925" s="299" t="s">
        <v>1221</v>
      </c>
      <c r="D925" s="300" t="s">
        <v>1222</v>
      </c>
      <c r="E925" s="301"/>
      <c r="F925" s="301"/>
      <c r="G925" s="302"/>
      <c r="H925" s="303">
        <f>SUM(H923:H924)</f>
        <v>846912</v>
      </c>
      <c r="I925" s="119"/>
      <c r="J925" s="119"/>
      <c r="K925" s="119"/>
    </row>
    <row r="926" spans="3:15" ht="14.4" thickTop="1"/>
    <row r="927" spans="3:15" ht="14.4" thickBot="1">
      <c r="C927" s="126" t="s">
        <v>2313</v>
      </c>
      <c r="D927" s="47" t="s">
        <v>1314</v>
      </c>
      <c r="E927" s="47"/>
      <c r="F927" s="47"/>
      <c r="G927" s="47"/>
      <c r="H927" s="47"/>
      <c r="I927" s="120">
        <f>ROUNDDOWN(H940,-2)</f>
        <v>738700</v>
      </c>
      <c r="J927" s="120"/>
      <c r="K927" s="120"/>
      <c r="O927" s="333"/>
    </row>
    <row r="928" spans="3:15" s="289" customFormat="1" ht="31.65" customHeight="1" thickTop="1">
      <c r="C928" s="51" t="s">
        <v>1195</v>
      </c>
      <c r="D928" s="52" t="s">
        <v>1196</v>
      </c>
      <c r="E928" s="52" t="s">
        <v>1197</v>
      </c>
      <c r="F928" s="52" t="s">
        <v>1198</v>
      </c>
      <c r="G928" s="52" t="s">
        <v>1199</v>
      </c>
      <c r="H928" s="53" t="s">
        <v>1200</v>
      </c>
      <c r="I928" s="126"/>
      <c r="J928" s="126"/>
      <c r="K928" s="126"/>
      <c r="O928" s="333"/>
    </row>
    <row r="929" spans="3:15" ht="25.8" customHeight="1">
      <c r="C929" s="290" t="s">
        <v>1201</v>
      </c>
      <c r="D929" s="182" t="s">
        <v>1202</v>
      </c>
      <c r="E929" s="70"/>
      <c r="F929" s="70"/>
      <c r="G929" s="70"/>
      <c r="H929" s="71"/>
      <c r="O929" s="333"/>
    </row>
    <row r="930" spans="3:15" ht="25.8" customHeight="1">
      <c r="C930" s="310" t="s">
        <v>1203</v>
      </c>
      <c r="D930" s="182" t="s">
        <v>5</v>
      </c>
      <c r="E930" s="176" t="s">
        <v>6</v>
      </c>
      <c r="F930" s="282">
        <v>0.1</v>
      </c>
      <c r="G930" s="283">
        <f>VLOOKUP(D930,upahbahan,3,FALSE)</f>
        <v>100000</v>
      </c>
      <c r="H930" s="284">
        <f>F930*G930</f>
        <v>10000</v>
      </c>
      <c r="O930" s="333"/>
    </row>
    <row r="931" spans="3:15" ht="25.8" customHeight="1">
      <c r="C931" s="310" t="s">
        <v>1204</v>
      </c>
      <c r="D931" s="182" t="s">
        <v>19</v>
      </c>
      <c r="E931" s="176" t="s">
        <v>6</v>
      </c>
      <c r="F931" s="282">
        <v>0.01</v>
      </c>
      <c r="G931" s="283">
        <f>VLOOKUP(D931,upahbahan,3,FALSE)</f>
        <v>160000</v>
      </c>
      <c r="H931" s="284">
        <f>F931*G931</f>
        <v>1600</v>
      </c>
      <c r="O931" s="333"/>
    </row>
    <row r="932" spans="3:15" ht="25.8" customHeight="1">
      <c r="C932" s="66" t="s">
        <v>1208</v>
      </c>
      <c r="D932" s="67"/>
      <c r="E932" s="67"/>
      <c r="F932" s="68"/>
      <c r="G932" s="69"/>
      <c r="H932" s="284">
        <f>SUM(H930:H931)</f>
        <v>11600</v>
      </c>
    </row>
    <row r="933" spans="3:15" ht="25.8" customHeight="1">
      <c r="C933" s="290" t="s">
        <v>1209</v>
      </c>
      <c r="D933" s="182" t="s">
        <v>1210</v>
      </c>
      <c r="E933" s="70"/>
      <c r="F933" s="70"/>
      <c r="G933" s="70"/>
      <c r="H933" s="71"/>
    </row>
    <row r="934" spans="3:15" ht="25.8" customHeight="1">
      <c r="C934" s="66" t="s">
        <v>1214</v>
      </c>
      <c r="D934" s="67"/>
      <c r="E934" s="67"/>
      <c r="F934" s="67"/>
      <c r="G934" s="69"/>
      <c r="H934" s="313">
        <v>0</v>
      </c>
    </row>
    <row r="935" spans="3:15" ht="25.8" customHeight="1">
      <c r="C935" s="290" t="s">
        <v>1215</v>
      </c>
      <c r="D935" s="182" t="s">
        <v>1216</v>
      </c>
      <c r="E935" s="70"/>
      <c r="F935" s="70"/>
      <c r="G935" s="70"/>
      <c r="H935" s="105"/>
    </row>
    <row r="936" spans="3:15" ht="31.2" customHeight="1">
      <c r="C936" s="306" t="s">
        <v>1203</v>
      </c>
      <c r="D936" s="182" t="s">
        <v>1129</v>
      </c>
      <c r="E936" s="124" t="s">
        <v>1080</v>
      </c>
      <c r="F936" s="127">
        <v>0.1</v>
      </c>
      <c r="G936" s="283">
        <f>VLOOKUP(D936,upahbahan,3,FALSE)</f>
        <v>6600000</v>
      </c>
      <c r="H936" s="284">
        <f>F936*G936</f>
        <v>660000</v>
      </c>
    </row>
    <row r="937" spans="3:15" ht="25.8" customHeight="1">
      <c r="C937" s="66" t="s">
        <v>1217</v>
      </c>
      <c r="D937" s="67"/>
      <c r="E937" s="67"/>
      <c r="F937" s="67"/>
      <c r="G937" s="69"/>
      <c r="H937" s="284">
        <f>SUM(H936)</f>
        <v>660000</v>
      </c>
    </row>
    <row r="938" spans="3:15" s="297" customFormat="1" ht="25.8" customHeight="1">
      <c r="C938" s="293" t="s">
        <v>1218</v>
      </c>
      <c r="D938" s="294" t="s">
        <v>1219</v>
      </c>
      <c r="E938" s="295"/>
      <c r="F938" s="295"/>
      <c r="G938" s="296"/>
      <c r="H938" s="284">
        <f>H937+H934+H932</f>
        <v>671600</v>
      </c>
      <c r="I938" s="119"/>
      <c r="J938" s="119"/>
      <c r="K938" s="119"/>
    </row>
    <row r="939" spans="3:15" s="297" customFormat="1" ht="25.8" customHeight="1">
      <c r="C939" s="293" t="s">
        <v>1220</v>
      </c>
      <c r="D939" s="294" t="s">
        <v>1321</v>
      </c>
      <c r="E939" s="295"/>
      <c r="F939" s="296"/>
      <c r="G939" s="298">
        <f>$O$9</f>
        <v>0.1</v>
      </c>
      <c r="H939" s="284">
        <f>H938*G939</f>
        <v>67160</v>
      </c>
      <c r="I939" s="119"/>
      <c r="J939" s="119"/>
      <c r="K939" s="119"/>
    </row>
    <row r="940" spans="3:15" s="297" customFormat="1" ht="25.8" customHeight="1" thickBot="1">
      <c r="C940" s="299" t="s">
        <v>1221</v>
      </c>
      <c r="D940" s="300" t="s">
        <v>1222</v>
      </c>
      <c r="E940" s="301"/>
      <c r="F940" s="301"/>
      <c r="G940" s="302"/>
      <c r="H940" s="303">
        <f>SUM(H938:H939)</f>
        <v>738760</v>
      </c>
      <c r="I940" s="119"/>
      <c r="J940" s="119"/>
      <c r="K940" s="119"/>
    </row>
    <row r="941" spans="3:15" ht="14.4" thickTop="1"/>
    <row r="943" spans="3:15" ht="14.4" thickBot="1">
      <c r="C943" s="119" t="s">
        <v>2314</v>
      </c>
      <c r="D943" s="47" t="s">
        <v>1315</v>
      </c>
      <c r="E943" s="47"/>
      <c r="F943" s="47"/>
      <c r="G943" s="47"/>
      <c r="H943" s="47"/>
      <c r="I943" s="120">
        <f>ROUNDDOWN(H956,-2)</f>
        <v>724400</v>
      </c>
      <c r="J943" s="120"/>
      <c r="K943" s="120"/>
      <c r="O943" s="333"/>
    </row>
    <row r="944" spans="3:15" s="289" customFormat="1" ht="31.65" customHeight="1" thickTop="1">
      <c r="C944" s="51" t="s">
        <v>1195</v>
      </c>
      <c r="D944" s="52" t="s">
        <v>1196</v>
      </c>
      <c r="E944" s="52" t="s">
        <v>1197</v>
      </c>
      <c r="F944" s="52" t="s">
        <v>1198</v>
      </c>
      <c r="G944" s="52" t="s">
        <v>1199</v>
      </c>
      <c r="H944" s="53" t="s">
        <v>1200</v>
      </c>
      <c r="I944" s="126"/>
      <c r="J944" s="126"/>
      <c r="K944" s="126"/>
      <c r="O944" s="333"/>
    </row>
    <row r="945" spans="3:15" ht="25.8" customHeight="1">
      <c r="C945" s="290" t="s">
        <v>1201</v>
      </c>
      <c r="D945" s="182" t="s">
        <v>1202</v>
      </c>
      <c r="E945" s="70"/>
      <c r="F945" s="70"/>
      <c r="G945" s="70"/>
      <c r="H945" s="71"/>
      <c r="O945" s="333"/>
    </row>
    <row r="946" spans="3:15" ht="25.8" customHeight="1">
      <c r="C946" s="310" t="s">
        <v>1203</v>
      </c>
      <c r="D946" s="182" t="s">
        <v>5</v>
      </c>
      <c r="E946" s="176" t="s">
        <v>6</v>
      </c>
      <c r="F946" s="282">
        <v>0.16</v>
      </c>
      <c r="G946" s="283">
        <f>VLOOKUP(D946,upahbahan,3,FALSE)</f>
        <v>100000</v>
      </c>
      <c r="H946" s="284">
        <f>F946*G946</f>
        <v>16000</v>
      </c>
      <c r="O946" s="333"/>
    </row>
    <row r="947" spans="3:15" ht="25.8" customHeight="1">
      <c r="C947" s="310" t="s">
        <v>1204</v>
      </c>
      <c r="D947" s="182" t="s">
        <v>19</v>
      </c>
      <c r="E947" s="176" t="s">
        <v>6</v>
      </c>
      <c r="F947" s="282">
        <v>1.6E-2</v>
      </c>
      <c r="G947" s="283">
        <f>VLOOKUP(D947,upahbahan,3,FALSE)</f>
        <v>160000</v>
      </c>
      <c r="H947" s="284">
        <f>F947*G947</f>
        <v>2560</v>
      </c>
      <c r="O947" s="333"/>
    </row>
    <row r="948" spans="3:15" ht="25.8" customHeight="1">
      <c r="C948" s="66" t="s">
        <v>1208</v>
      </c>
      <c r="D948" s="67"/>
      <c r="E948" s="67"/>
      <c r="F948" s="68"/>
      <c r="G948" s="69"/>
      <c r="H948" s="284">
        <f>SUM(H946:H947)</f>
        <v>18560</v>
      </c>
    </row>
    <row r="949" spans="3:15" ht="25.8" customHeight="1">
      <c r="C949" s="290" t="s">
        <v>1209</v>
      </c>
      <c r="D949" s="182" t="s">
        <v>1210</v>
      </c>
      <c r="E949" s="70"/>
      <c r="F949" s="336"/>
      <c r="G949" s="70"/>
      <c r="H949" s="71"/>
    </row>
    <row r="950" spans="3:15" ht="25.8" customHeight="1">
      <c r="C950" s="66" t="s">
        <v>1214</v>
      </c>
      <c r="D950" s="67"/>
      <c r="E950" s="67"/>
      <c r="F950" s="68"/>
      <c r="G950" s="69"/>
      <c r="H950" s="313">
        <v>0</v>
      </c>
    </row>
    <row r="951" spans="3:15" ht="25.8" customHeight="1">
      <c r="C951" s="290" t="s">
        <v>1215</v>
      </c>
      <c r="D951" s="182" t="s">
        <v>1216</v>
      </c>
      <c r="E951" s="70"/>
      <c r="F951" s="336"/>
      <c r="G951" s="70"/>
      <c r="H951" s="105"/>
    </row>
    <row r="952" spans="3:15" ht="25.8" customHeight="1">
      <c r="C952" s="306" t="s">
        <v>1203</v>
      </c>
      <c r="D952" s="182" t="s">
        <v>1131</v>
      </c>
      <c r="E952" s="102" t="s">
        <v>1080</v>
      </c>
      <c r="F952" s="127">
        <v>0.08</v>
      </c>
      <c r="G952" s="283">
        <f>VLOOKUP(D952,upahbahan,3,FALSE)</f>
        <v>8000000</v>
      </c>
      <c r="H952" s="284">
        <f>F952*G952</f>
        <v>640000</v>
      </c>
    </row>
    <row r="953" spans="3:15" ht="25.8" customHeight="1">
      <c r="C953" s="66" t="s">
        <v>1217</v>
      </c>
      <c r="D953" s="67"/>
      <c r="E953" s="67"/>
      <c r="F953" s="67"/>
      <c r="G953" s="69"/>
      <c r="H953" s="284">
        <f>SUM(H952)</f>
        <v>640000</v>
      </c>
    </row>
    <row r="954" spans="3:15" s="297" customFormat="1" ht="25.8" customHeight="1">
      <c r="C954" s="293" t="s">
        <v>1218</v>
      </c>
      <c r="D954" s="294" t="s">
        <v>1219</v>
      </c>
      <c r="E954" s="295"/>
      <c r="F954" s="295"/>
      <c r="G954" s="296"/>
      <c r="H954" s="284">
        <f>H953+H950+H948</f>
        <v>658560</v>
      </c>
      <c r="I954" s="119"/>
      <c r="J954" s="119"/>
      <c r="K954" s="119"/>
    </row>
    <row r="955" spans="3:15" s="297" customFormat="1" ht="25.8" customHeight="1">
      <c r="C955" s="293" t="s">
        <v>1220</v>
      </c>
      <c r="D955" s="294" t="s">
        <v>1321</v>
      </c>
      <c r="E955" s="295"/>
      <c r="F955" s="296"/>
      <c r="G955" s="298">
        <f>$O$9</f>
        <v>0.1</v>
      </c>
      <c r="H955" s="284">
        <f>H954*G955</f>
        <v>65856</v>
      </c>
      <c r="I955" s="119"/>
      <c r="J955" s="119"/>
      <c r="K955" s="119"/>
    </row>
    <row r="956" spans="3:15" s="297" customFormat="1" ht="25.8" customHeight="1" thickBot="1">
      <c r="C956" s="299" t="s">
        <v>1221</v>
      </c>
      <c r="D956" s="300" t="s">
        <v>1222</v>
      </c>
      <c r="E956" s="301"/>
      <c r="F956" s="301"/>
      <c r="G956" s="302"/>
      <c r="H956" s="303">
        <f>SUM(H954:H955)</f>
        <v>724416</v>
      </c>
      <c r="I956" s="119"/>
      <c r="J956" s="119"/>
      <c r="K956" s="119"/>
    </row>
    <row r="957" spans="3:15" ht="14.4" thickTop="1"/>
    <row r="959" spans="3:15">
      <c r="C959" s="126" t="s">
        <v>2315</v>
      </c>
      <c r="D959" s="119" t="s">
        <v>2316</v>
      </c>
    </row>
    <row r="960" spans="3:15" ht="14.4" thickBot="1">
      <c r="C960" s="119" t="s">
        <v>2317</v>
      </c>
      <c r="D960" s="47" t="s">
        <v>2318</v>
      </c>
      <c r="E960" s="47"/>
      <c r="F960" s="47"/>
      <c r="G960" s="47"/>
      <c r="H960" s="47"/>
      <c r="I960" s="120">
        <f>ROUNDDOWN(H972,-2)</f>
        <v>25500</v>
      </c>
      <c r="J960" s="120"/>
      <c r="K960" s="120"/>
      <c r="O960" s="333"/>
    </row>
    <row r="961" spans="3:15" s="289" customFormat="1" ht="31.65" customHeight="1" thickTop="1">
      <c r="C961" s="51" t="s">
        <v>1195</v>
      </c>
      <c r="D961" s="52" t="s">
        <v>1196</v>
      </c>
      <c r="E961" s="52" t="s">
        <v>1197</v>
      </c>
      <c r="F961" s="52" t="s">
        <v>1198</v>
      </c>
      <c r="G961" s="52" t="s">
        <v>1199</v>
      </c>
      <c r="H961" s="53" t="s">
        <v>1200</v>
      </c>
      <c r="I961" s="126"/>
      <c r="J961" s="126"/>
      <c r="K961" s="126"/>
      <c r="O961" s="333"/>
    </row>
    <row r="962" spans="3:15" ht="27" customHeight="1">
      <c r="C962" s="290" t="s">
        <v>1201</v>
      </c>
      <c r="D962" s="182" t="s">
        <v>1202</v>
      </c>
      <c r="E962" s="70"/>
      <c r="F962" s="70"/>
      <c r="G962" s="70"/>
      <c r="H962" s="71"/>
      <c r="O962" s="333"/>
    </row>
    <row r="963" spans="3:15" ht="27" customHeight="1">
      <c r="C963" s="310" t="s">
        <v>1203</v>
      </c>
      <c r="D963" s="182" t="s">
        <v>5</v>
      </c>
      <c r="E963" s="176" t="s">
        <v>6</v>
      </c>
      <c r="F963" s="282">
        <v>0.2</v>
      </c>
      <c r="G963" s="283">
        <f>VLOOKUP(D963,upahbahan,3,FALSE)</f>
        <v>100000</v>
      </c>
      <c r="H963" s="284">
        <f>F963*G963</f>
        <v>20000</v>
      </c>
      <c r="O963" s="333"/>
    </row>
    <row r="964" spans="3:15" ht="27" customHeight="1">
      <c r="C964" s="310" t="s">
        <v>1204</v>
      </c>
      <c r="D964" s="182" t="s">
        <v>19</v>
      </c>
      <c r="E964" s="176" t="s">
        <v>6</v>
      </c>
      <c r="F964" s="282">
        <v>0.02</v>
      </c>
      <c r="G964" s="283">
        <f>VLOOKUP(D964,upahbahan,3,FALSE)</f>
        <v>160000</v>
      </c>
      <c r="H964" s="284">
        <f>F964*G964</f>
        <v>3200</v>
      </c>
      <c r="O964" s="333"/>
    </row>
    <row r="965" spans="3:15" ht="27" customHeight="1">
      <c r="C965" s="66" t="s">
        <v>1208</v>
      </c>
      <c r="D965" s="67"/>
      <c r="E965" s="67"/>
      <c r="F965" s="68"/>
      <c r="G965" s="69"/>
      <c r="H965" s="284">
        <f>SUM(H963:H964)</f>
        <v>23200</v>
      </c>
    </row>
    <row r="966" spans="3:15" ht="27" customHeight="1">
      <c r="C966" s="290" t="s">
        <v>1209</v>
      </c>
      <c r="D966" s="182" t="s">
        <v>1210</v>
      </c>
      <c r="E966" s="70"/>
      <c r="F966" s="336"/>
      <c r="G966" s="70"/>
      <c r="H966" s="71"/>
    </row>
    <row r="967" spans="3:15" ht="27" customHeight="1">
      <c r="C967" s="66" t="s">
        <v>1214</v>
      </c>
      <c r="D967" s="67"/>
      <c r="E967" s="67"/>
      <c r="F967" s="68"/>
      <c r="G967" s="69"/>
      <c r="H967" s="313">
        <v>0</v>
      </c>
    </row>
    <row r="968" spans="3:15" ht="27" customHeight="1">
      <c r="C968" s="290" t="s">
        <v>1215</v>
      </c>
      <c r="D968" s="182" t="s">
        <v>1216</v>
      </c>
      <c r="E968" s="70"/>
      <c r="F968" s="336"/>
      <c r="G968" s="70"/>
      <c r="H968" s="105"/>
    </row>
    <row r="969" spans="3:15" ht="27" customHeight="1">
      <c r="C969" s="66" t="s">
        <v>1217</v>
      </c>
      <c r="D969" s="67"/>
      <c r="E969" s="67"/>
      <c r="F969" s="67"/>
      <c r="G969" s="69"/>
      <c r="H969" s="313">
        <v>0</v>
      </c>
    </row>
    <row r="970" spans="3:15" s="297" customFormat="1" ht="27" customHeight="1">
      <c r="C970" s="293" t="s">
        <v>1218</v>
      </c>
      <c r="D970" s="294" t="s">
        <v>1219</v>
      </c>
      <c r="E970" s="295"/>
      <c r="F970" s="295"/>
      <c r="G970" s="296"/>
      <c r="H970" s="284">
        <f>H969+H967+H965</f>
        <v>23200</v>
      </c>
      <c r="I970" s="119"/>
      <c r="J970" s="119"/>
      <c r="K970" s="119"/>
    </row>
    <row r="971" spans="3:15" s="297" customFormat="1" ht="27" customHeight="1">
      <c r="C971" s="293" t="s">
        <v>1220</v>
      </c>
      <c r="D971" s="294" t="s">
        <v>1321</v>
      </c>
      <c r="E971" s="295"/>
      <c r="F971" s="296"/>
      <c r="G971" s="298">
        <f>$O$9</f>
        <v>0.1</v>
      </c>
      <c r="H971" s="284">
        <f>H970*G971</f>
        <v>2320</v>
      </c>
      <c r="I971" s="119"/>
      <c r="J971" s="119"/>
      <c r="K971" s="119"/>
    </row>
    <row r="972" spans="3:15" s="297" customFormat="1" ht="27" customHeight="1" thickBot="1">
      <c r="C972" s="299" t="s">
        <v>1221</v>
      </c>
      <c r="D972" s="300" t="s">
        <v>1222</v>
      </c>
      <c r="E972" s="301"/>
      <c r="F972" s="301"/>
      <c r="G972" s="302"/>
      <c r="H972" s="303">
        <f>SUM(H970:H971)</f>
        <v>25520</v>
      </c>
      <c r="I972" s="119"/>
      <c r="J972" s="119"/>
      <c r="K972" s="119"/>
    </row>
    <row r="973" spans="3:15" ht="14.4" thickTop="1"/>
    <row r="974" spans="3:15" ht="14.4" thickBot="1">
      <c r="C974" s="119" t="s">
        <v>2319</v>
      </c>
      <c r="D974" s="47" t="s">
        <v>2320</v>
      </c>
      <c r="E974" s="47"/>
      <c r="F974" s="47"/>
      <c r="G974" s="47"/>
      <c r="H974" s="47"/>
      <c r="I974" s="120">
        <f>ROUNDDOWN(H987,-2)</f>
        <v>80600</v>
      </c>
      <c r="J974" s="120"/>
      <c r="K974" s="120"/>
      <c r="O974" s="333"/>
    </row>
    <row r="975" spans="3:15" s="289" customFormat="1" ht="31.65" customHeight="1" thickTop="1">
      <c r="C975" s="51" t="s">
        <v>1195</v>
      </c>
      <c r="D975" s="52" t="s">
        <v>1196</v>
      </c>
      <c r="E975" s="52" t="s">
        <v>1197</v>
      </c>
      <c r="F975" s="52" t="s">
        <v>1198</v>
      </c>
      <c r="G975" s="52" t="s">
        <v>1199</v>
      </c>
      <c r="H975" s="53" t="s">
        <v>1200</v>
      </c>
      <c r="I975" s="126"/>
      <c r="J975" s="126"/>
      <c r="K975" s="126"/>
      <c r="O975" s="333"/>
    </row>
    <row r="976" spans="3:15" ht="21.6" customHeight="1">
      <c r="C976" s="290" t="s">
        <v>1201</v>
      </c>
      <c r="D976" s="182" t="s">
        <v>1202</v>
      </c>
      <c r="E976" s="70"/>
      <c r="F976" s="70"/>
      <c r="G976" s="70"/>
      <c r="H976" s="71"/>
      <c r="O976" s="333"/>
    </row>
    <row r="977" spans="3:15" ht="21.6" customHeight="1">
      <c r="C977" s="310" t="s">
        <v>1203</v>
      </c>
      <c r="D977" s="182" t="s">
        <v>5</v>
      </c>
      <c r="E977" s="176" t="s">
        <v>6</v>
      </c>
      <c r="F977" s="282">
        <v>0.08</v>
      </c>
      <c r="G977" s="283">
        <f>VLOOKUP(D977,upahbahan,3,FALSE)</f>
        <v>100000</v>
      </c>
      <c r="H977" s="284">
        <f>F977*G977</f>
        <v>8000</v>
      </c>
      <c r="O977" s="333"/>
    </row>
    <row r="978" spans="3:15" ht="21.6" customHeight="1">
      <c r="C978" s="310" t="s">
        <v>1204</v>
      </c>
      <c r="D978" s="182" t="s">
        <v>19</v>
      </c>
      <c r="E978" s="176" t="s">
        <v>6</v>
      </c>
      <c r="F978" s="282">
        <v>8.0000000000000002E-3</v>
      </c>
      <c r="G978" s="283">
        <f>VLOOKUP(D978,upahbahan,3,FALSE)</f>
        <v>160000</v>
      </c>
      <c r="H978" s="284">
        <f>F978*G978</f>
        <v>1280</v>
      </c>
      <c r="O978" s="333"/>
    </row>
    <row r="979" spans="3:15" ht="21.6" customHeight="1">
      <c r="C979" s="66" t="s">
        <v>1208</v>
      </c>
      <c r="D979" s="67"/>
      <c r="E979" s="67"/>
      <c r="F979" s="68"/>
      <c r="G979" s="69"/>
      <c r="H979" s="284">
        <f>SUM(H977:H978)</f>
        <v>9280</v>
      </c>
    </row>
    <row r="980" spans="3:15" ht="21.6" customHeight="1">
      <c r="C980" s="290" t="s">
        <v>1209</v>
      </c>
      <c r="D980" s="182" t="s">
        <v>1210</v>
      </c>
      <c r="E980" s="70"/>
      <c r="F980" s="336"/>
      <c r="G980" s="70"/>
      <c r="H980" s="71"/>
    </row>
    <row r="981" spans="3:15" ht="21.6" customHeight="1">
      <c r="C981" s="66" t="s">
        <v>1214</v>
      </c>
      <c r="D981" s="67"/>
      <c r="E981" s="67"/>
      <c r="F981" s="68"/>
      <c r="G981" s="69"/>
      <c r="H981" s="313">
        <v>0</v>
      </c>
    </row>
    <row r="982" spans="3:15" ht="21.6" customHeight="1">
      <c r="C982" s="290" t="s">
        <v>1215</v>
      </c>
      <c r="D982" s="182" t="s">
        <v>1216</v>
      </c>
      <c r="E982" s="70"/>
      <c r="F982" s="336"/>
      <c r="G982" s="70"/>
      <c r="H982" s="105"/>
    </row>
    <row r="983" spans="3:15" ht="21.6" customHeight="1">
      <c r="C983" s="306" t="s">
        <v>1203</v>
      </c>
      <c r="D983" s="182" t="s">
        <v>1095</v>
      </c>
      <c r="E983" s="124" t="s">
        <v>1080</v>
      </c>
      <c r="F983" s="127">
        <v>0.08</v>
      </c>
      <c r="G983" s="283">
        <f>VLOOKUP(D983,upahbahan,3,FALSE)</f>
        <v>800000</v>
      </c>
      <c r="H983" s="284">
        <f>F983*G983</f>
        <v>64000</v>
      </c>
    </row>
    <row r="984" spans="3:15" ht="21.6" customHeight="1">
      <c r="C984" s="66" t="s">
        <v>1217</v>
      </c>
      <c r="D984" s="67"/>
      <c r="E984" s="67"/>
      <c r="F984" s="67"/>
      <c r="G984" s="69"/>
      <c r="H984" s="284">
        <f>SUM(H983)</f>
        <v>64000</v>
      </c>
    </row>
    <row r="985" spans="3:15" s="297" customFormat="1" ht="21.6" customHeight="1">
      <c r="C985" s="293" t="s">
        <v>1218</v>
      </c>
      <c r="D985" s="294" t="s">
        <v>1219</v>
      </c>
      <c r="E985" s="295"/>
      <c r="F985" s="295"/>
      <c r="G985" s="296"/>
      <c r="H985" s="284">
        <f>H984+H981+H979</f>
        <v>73280</v>
      </c>
      <c r="I985" s="119"/>
      <c r="J985" s="119"/>
      <c r="K985" s="119"/>
    </row>
    <row r="986" spans="3:15" s="297" customFormat="1" ht="21.6" customHeight="1">
      <c r="C986" s="293" t="s">
        <v>1220</v>
      </c>
      <c r="D986" s="294" t="s">
        <v>1321</v>
      </c>
      <c r="E986" s="295"/>
      <c r="F986" s="296"/>
      <c r="G986" s="298">
        <f>$O$9</f>
        <v>0.1</v>
      </c>
      <c r="H986" s="284">
        <f>H985*G986</f>
        <v>7328</v>
      </c>
      <c r="I986" s="119"/>
      <c r="J986" s="119"/>
      <c r="K986" s="119"/>
    </row>
    <row r="987" spans="3:15" s="297" customFormat="1" ht="21.6" customHeight="1" thickBot="1">
      <c r="C987" s="299" t="s">
        <v>1221</v>
      </c>
      <c r="D987" s="300" t="s">
        <v>1222</v>
      </c>
      <c r="E987" s="301"/>
      <c r="F987" s="301"/>
      <c r="G987" s="302"/>
      <c r="H987" s="303">
        <f>SUM(H985:H986)</f>
        <v>80608</v>
      </c>
      <c r="I987" s="119"/>
      <c r="J987" s="119"/>
      <c r="K987" s="119"/>
    </row>
    <row r="988" spans="3:15" ht="14.4" thickTop="1"/>
    <row r="990" spans="3:15">
      <c r="C990" s="126" t="s">
        <v>2321</v>
      </c>
      <c r="D990" s="119" t="s">
        <v>2322</v>
      </c>
    </row>
    <row r="991" spans="3:15" ht="14.4" thickBot="1">
      <c r="C991" s="119" t="s">
        <v>2323</v>
      </c>
      <c r="D991" s="47" t="s">
        <v>2324</v>
      </c>
      <c r="E991" s="47"/>
      <c r="F991" s="47"/>
      <c r="G991" s="47"/>
      <c r="H991" s="47"/>
      <c r="I991" s="120">
        <f>ROUNDDOWN(H1005,-2)</f>
        <v>1800</v>
      </c>
      <c r="J991" s="120"/>
      <c r="K991" s="120"/>
      <c r="O991" s="333"/>
    </row>
    <row r="992" spans="3:15" s="289" customFormat="1" ht="31.65" customHeight="1" thickTop="1">
      <c r="C992" s="51" t="s">
        <v>1195</v>
      </c>
      <c r="D992" s="52" t="s">
        <v>1196</v>
      </c>
      <c r="E992" s="52" t="s">
        <v>1197</v>
      </c>
      <c r="F992" s="52" t="s">
        <v>1198</v>
      </c>
      <c r="G992" s="52" t="s">
        <v>1199</v>
      </c>
      <c r="H992" s="53" t="s">
        <v>1200</v>
      </c>
      <c r="I992" s="126"/>
      <c r="J992" s="126"/>
      <c r="K992" s="126"/>
      <c r="O992" s="333"/>
    </row>
    <row r="993" spans="3:15" ht="22.8" customHeight="1">
      <c r="C993" s="290" t="s">
        <v>1201</v>
      </c>
      <c r="D993" s="182" t="s">
        <v>1202</v>
      </c>
      <c r="E993" s="70"/>
      <c r="F993" s="70"/>
      <c r="G993" s="70"/>
      <c r="H993" s="71"/>
      <c r="O993" s="333"/>
    </row>
    <row r="994" spans="3:15" ht="22.8" customHeight="1">
      <c r="C994" s="310" t="s">
        <v>1203</v>
      </c>
      <c r="D994" s="182" t="s">
        <v>5</v>
      </c>
      <c r="E994" s="176" t="s">
        <v>6</v>
      </c>
      <c r="F994" s="315">
        <v>8.0000000000000002E-3</v>
      </c>
      <c r="G994" s="283">
        <f>VLOOKUP(D994,upahbahan,3,FALSE)</f>
        <v>100000</v>
      </c>
      <c r="H994" s="284">
        <f>F994*G994</f>
        <v>800</v>
      </c>
      <c r="O994" s="333"/>
    </row>
    <row r="995" spans="3:15" ht="22.8" customHeight="1">
      <c r="C995" s="310" t="s">
        <v>1204</v>
      </c>
      <c r="D995" s="182" t="s">
        <v>19</v>
      </c>
      <c r="E995" s="176" t="s">
        <v>6</v>
      </c>
      <c r="F995" s="315">
        <v>4.0000000000000002E-4</v>
      </c>
      <c r="G995" s="283">
        <f>VLOOKUP(D995,upahbahan,3,FALSE)</f>
        <v>160000</v>
      </c>
      <c r="H995" s="284">
        <f>F995*G995</f>
        <v>64</v>
      </c>
      <c r="O995" s="333"/>
    </row>
    <row r="996" spans="3:15" ht="22.8" customHeight="1">
      <c r="C996" s="66" t="s">
        <v>1208</v>
      </c>
      <c r="D996" s="67"/>
      <c r="E996" s="67"/>
      <c r="F996" s="68"/>
      <c r="G996" s="69"/>
      <c r="H996" s="284">
        <f>SUM(H994:H995)</f>
        <v>864</v>
      </c>
    </row>
    <row r="997" spans="3:15" ht="22.8" customHeight="1">
      <c r="C997" s="290" t="s">
        <v>1209</v>
      </c>
      <c r="D997" s="182" t="s">
        <v>1210</v>
      </c>
      <c r="E997" s="70"/>
      <c r="F997" s="336"/>
      <c r="G997" s="70"/>
      <c r="H997" s="71"/>
    </row>
    <row r="998" spans="3:15" ht="22.8" customHeight="1">
      <c r="C998" s="290">
        <v>1</v>
      </c>
      <c r="D998" s="182" t="s">
        <v>2325</v>
      </c>
      <c r="E998" s="124" t="s">
        <v>42</v>
      </c>
      <c r="F998" s="337">
        <v>5.4999999999999997E-3</v>
      </c>
      <c r="G998" s="283">
        <f>VLOOKUP(D998,upahbahan,3,FALSE)</f>
        <v>0</v>
      </c>
      <c r="H998" s="284">
        <f>F998*G998</f>
        <v>0</v>
      </c>
    </row>
    <row r="999" spans="3:15" ht="22.8" customHeight="1">
      <c r="C999" s="306">
        <v>2</v>
      </c>
      <c r="D999" s="182" t="s">
        <v>2281</v>
      </c>
      <c r="E999" s="124" t="s">
        <v>65</v>
      </c>
      <c r="F999" s="127">
        <v>0.55000000000000004</v>
      </c>
      <c r="G999" s="283">
        <f>VLOOKUP(D999,upahbahan,3,FALSE)</f>
        <v>1530</v>
      </c>
      <c r="H999" s="284">
        <f>F999*G999</f>
        <v>841.50000000000011</v>
      </c>
    </row>
    <row r="1000" spans="3:15" ht="22.8" customHeight="1">
      <c r="C1000" s="66" t="s">
        <v>1214</v>
      </c>
      <c r="D1000" s="67"/>
      <c r="E1000" s="67"/>
      <c r="F1000" s="68"/>
      <c r="G1000" s="69"/>
      <c r="H1000" s="284">
        <f>SUM(H998:H999)</f>
        <v>841.50000000000011</v>
      </c>
    </row>
    <row r="1001" spans="3:15" ht="22.8" customHeight="1">
      <c r="C1001" s="290" t="s">
        <v>1215</v>
      </c>
      <c r="D1001" s="182" t="s">
        <v>1216</v>
      </c>
      <c r="E1001" s="70"/>
      <c r="F1001" s="336"/>
      <c r="G1001" s="70"/>
      <c r="H1001" s="105"/>
    </row>
    <row r="1002" spans="3:15" ht="22.8" customHeight="1">
      <c r="C1002" s="66" t="s">
        <v>1217</v>
      </c>
      <c r="D1002" s="67"/>
      <c r="E1002" s="67"/>
      <c r="F1002" s="67"/>
      <c r="G1002" s="69"/>
      <c r="H1002" s="313">
        <v>0</v>
      </c>
    </row>
    <row r="1003" spans="3:15" s="297" customFormat="1" ht="22.8" customHeight="1">
      <c r="C1003" s="293" t="s">
        <v>1218</v>
      </c>
      <c r="D1003" s="294" t="s">
        <v>1219</v>
      </c>
      <c r="E1003" s="295"/>
      <c r="F1003" s="295"/>
      <c r="G1003" s="296"/>
      <c r="H1003" s="284">
        <f>H1002+H1000+H996</f>
        <v>1705.5</v>
      </c>
      <c r="I1003" s="119"/>
      <c r="J1003" s="119"/>
      <c r="K1003" s="119"/>
    </row>
    <row r="1004" spans="3:15" s="297" customFormat="1" ht="22.8" customHeight="1">
      <c r="C1004" s="293" t="s">
        <v>1220</v>
      </c>
      <c r="D1004" s="294" t="s">
        <v>1321</v>
      </c>
      <c r="E1004" s="295"/>
      <c r="F1004" s="296"/>
      <c r="G1004" s="298">
        <f>$O$9</f>
        <v>0.1</v>
      </c>
      <c r="H1004" s="284">
        <f>H1003*G1004</f>
        <v>170.55</v>
      </c>
      <c r="I1004" s="119"/>
      <c r="J1004" s="119"/>
      <c r="K1004" s="119"/>
    </row>
    <row r="1005" spans="3:15" s="297" customFormat="1" ht="22.8" customHeight="1" thickBot="1">
      <c r="C1005" s="299" t="s">
        <v>1221</v>
      </c>
      <c r="D1005" s="300" t="s">
        <v>1222</v>
      </c>
      <c r="E1005" s="301"/>
      <c r="F1005" s="301"/>
      <c r="G1005" s="302"/>
      <c r="H1005" s="303">
        <f>SUM(H1003:H1004)</f>
        <v>1876.05</v>
      </c>
      <c r="I1005" s="119"/>
      <c r="J1005" s="119"/>
      <c r="K1005" s="119"/>
    </row>
    <row r="1006" spans="3:15" ht="14.4" thickTop="1"/>
    <row r="1008" spans="3:15" ht="14.4" thickBot="1">
      <c r="C1008" s="119" t="s">
        <v>2326</v>
      </c>
      <c r="D1008" s="47" t="s">
        <v>2327</v>
      </c>
      <c r="E1008" s="47"/>
      <c r="F1008" s="47"/>
      <c r="G1008" s="47"/>
      <c r="H1008" s="47"/>
      <c r="I1008" s="120">
        <f>ROUNDDOWN(H1021,-2)</f>
        <v>2300</v>
      </c>
      <c r="J1008" s="120"/>
      <c r="K1008" s="120"/>
      <c r="O1008" s="333"/>
    </row>
    <row r="1009" spans="3:15" s="289" customFormat="1" ht="31.65" customHeight="1" thickTop="1">
      <c r="C1009" s="51" t="s">
        <v>1195</v>
      </c>
      <c r="D1009" s="52" t="s">
        <v>1196</v>
      </c>
      <c r="E1009" s="52" t="s">
        <v>1197</v>
      </c>
      <c r="F1009" s="52" t="s">
        <v>1198</v>
      </c>
      <c r="G1009" s="52" t="s">
        <v>1199</v>
      </c>
      <c r="H1009" s="53" t="s">
        <v>1200</v>
      </c>
      <c r="I1009" s="126"/>
      <c r="J1009" s="126"/>
      <c r="K1009" s="126"/>
      <c r="O1009" s="333"/>
    </row>
    <row r="1010" spans="3:15" ht="24" customHeight="1">
      <c r="C1010" s="290" t="s">
        <v>1201</v>
      </c>
      <c r="D1010" s="182" t="s">
        <v>1202</v>
      </c>
      <c r="E1010" s="70"/>
      <c r="F1010" s="70"/>
      <c r="G1010" s="70"/>
      <c r="H1010" s="71"/>
      <c r="O1010" s="333"/>
    </row>
    <row r="1011" spans="3:15" ht="24" customHeight="1">
      <c r="C1011" s="310" t="s">
        <v>1203</v>
      </c>
      <c r="D1011" s="182" t="s">
        <v>5</v>
      </c>
      <c r="E1011" s="176" t="s">
        <v>6</v>
      </c>
      <c r="F1011" s="282">
        <v>0.02</v>
      </c>
      <c r="G1011" s="283">
        <f>VLOOKUP(D1011,upahbahan,3,FALSE)</f>
        <v>100000</v>
      </c>
      <c r="H1011" s="284">
        <f>F1011*G1011</f>
        <v>2000</v>
      </c>
      <c r="O1011" s="333"/>
    </row>
    <row r="1012" spans="3:15" ht="24" customHeight="1">
      <c r="C1012" s="310" t="s">
        <v>1204</v>
      </c>
      <c r="D1012" s="182" t="s">
        <v>19</v>
      </c>
      <c r="E1012" s="176" t="s">
        <v>6</v>
      </c>
      <c r="F1012" s="282">
        <v>1E-3</v>
      </c>
      <c r="G1012" s="283">
        <f>VLOOKUP(D1012,upahbahan,3,FALSE)</f>
        <v>160000</v>
      </c>
      <c r="H1012" s="284">
        <f>F1012*G1012</f>
        <v>160</v>
      </c>
      <c r="O1012" s="333"/>
    </row>
    <row r="1013" spans="3:15" ht="24" customHeight="1">
      <c r="C1013" s="66" t="s">
        <v>1208</v>
      </c>
      <c r="D1013" s="67"/>
      <c r="E1013" s="67"/>
      <c r="F1013" s="68"/>
      <c r="G1013" s="69"/>
      <c r="H1013" s="284">
        <f>SUM(H1011:H1012)</f>
        <v>2160</v>
      </c>
    </row>
    <row r="1014" spans="3:15" ht="24" customHeight="1">
      <c r="C1014" s="290" t="s">
        <v>1209</v>
      </c>
      <c r="D1014" s="182" t="s">
        <v>1210</v>
      </c>
      <c r="E1014" s="70"/>
      <c r="F1014" s="336"/>
      <c r="G1014" s="70"/>
      <c r="H1014" s="71"/>
    </row>
    <row r="1015" spans="3:15" ht="24" customHeight="1">
      <c r="C1015" s="306" t="s">
        <v>1203</v>
      </c>
      <c r="D1015" s="182" t="s">
        <v>1063</v>
      </c>
      <c r="E1015" s="124" t="s">
        <v>62</v>
      </c>
      <c r="F1015" s="127">
        <v>1.02</v>
      </c>
      <c r="G1015" s="283">
        <f>VLOOKUP(D1015,upahbahan,3,FALSE)</f>
        <v>0</v>
      </c>
      <c r="H1015" s="284">
        <f>F1015*G1015</f>
        <v>0</v>
      </c>
    </row>
    <row r="1016" spans="3:15" ht="24" customHeight="1">
      <c r="C1016" s="66" t="s">
        <v>1214</v>
      </c>
      <c r="D1016" s="67"/>
      <c r="E1016" s="67"/>
      <c r="F1016" s="68"/>
      <c r="G1016" s="69"/>
      <c r="H1016" s="284">
        <f>SUM(H1015)</f>
        <v>0</v>
      </c>
    </row>
    <row r="1017" spans="3:15" ht="24" customHeight="1">
      <c r="C1017" s="290" t="s">
        <v>1215</v>
      </c>
      <c r="D1017" s="182" t="s">
        <v>1216</v>
      </c>
      <c r="E1017" s="70"/>
      <c r="F1017" s="336"/>
      <c r="G1017" s="70"/>
      <c r="H1017" s="105"/>
    </row>
    <row r="1018" spans="3:15" ht="24" customHeight="1">
      <c r="C1018" s="66" t="s">
        <v>1217</v>
      </c>
      <c r="D1018" s="67"/>
      <c r="E1018" s="67"/>
      <c r="F1018" s="67"/>
      <c r="G1018" s="69"/>
      <c r="H1018" s="313">
        <v>0</v>
      </c>
    </row>
    <row r="1019" spans="3:15" s="297" customFormat="1" ht="24" customHeight="1">
      <c r="C1019" s="293" t="s">
        <v>1218</v>
      </c>
      <c r="D1019" s="294" t="s">
        <v>1219</v>
      </c>
      <c r="E1019" s="295"/>
      <c r="F1019" s="295"/>
      <c r="G1019" s="296"/>
      <c r="H1019" s="284">
        <f>H1018+H1016+H1013</f>
        <v>2160</v>
      </c>
      <c r="I1019" s="119"/>
      <c r="J1019" s="119"/>
      <c r="K1019" s="119"/>
    </row>
    <row r="1020" spans="3:15" s="297" customFormat="1" ht="24" customHeight="1">
      <c r="C1020" s="293" t="s">
        <v>1220</v>
      </c>
      <c r="D1020" s="294" t="s">
        <v>1321</v>
      </c>
      <c r="E1020" s="295"/>
      <c r="F1020" s="296"/>
      <c r="G1020" s="298">
        <f>$O$9</f>
        <v>0.1</v>
      </c>
      <c r="H1020" s="284">
        <f>H1019*G1020</f>
        <v>216</v>
      </c>
      <c r="I1020" s="119"/>
      <c r="J1020" s="119"/>
      <c r="K1020" s="119"/>
    </row>
    <row r="1021" spans="3:15" s="297" customFormat="1" ht="24" customHeight="1" thickBot="1">
      <c r="C1021" s="299" t="s">
        <v>1221</v>
      </c>
      <c r="D1021" s="300" t="s">
        <v>1222</v>
      </c>
      <c r="E1021" s="301"/>
      <c r="F1021" s="301"/>
      <c r="G1021" s="302"/>
      <c r="H1021" s="303">
        <f>SUM(H1019:H1020)</f>
        <v>2376</v>
      </c>
      <c r="I1021" s="119"/>
      <c r="J1021" s="119"/>
      <c r="K1021" s="119"/>
    </row>
    <row r="1022" spans="3:15" ht="14.4" thickTop="1"/>
    <row r="1024" spans="3:15" ht="14.4" thickBot="1">
      <c r="C1024" s="119" t="s">
        <v>2328</v>
      </c>
      <c r="D1024" s="47" t="s">
        <v>1316</v>
      </c>
      <c r="E1024" s="47"/>
      <c r="F1024" s="47"/>
      <c r="G1024" s="47"/>
      <c r="H1024" s="47"/>
      <c r="I1024" s="120">
        <f>ROUNDDOWN(H1037,-2)</f>
        <v>2300</v>
      </c>
      <c r="J1024" s="120"/>
      <c r="K1024" s="120"/>
      <c r="O1024" s="333"/>
    </row>
    <row r="1025" spans="3:15" s="289" customFormat="1" ht="31.65" customHeight="1" thickTop="1">
      <c r="C1025" s="51" t="s">
        <v>1195</v>
      </c>
      <c r="D1025" s="52" t="s">
        <v>1196</v>
      </c>
      <c r="E1025" s="52" t="s">
        <v>1197</v>
      </c>
      <c r="F1025" s="52" t="s">
        <v>1198</v>
      </c>
      <c r="G1025" s="52" t="s">
        <v>1199</v>
      </c>
      <c r="H1025" s="53" t="s">
        <v>1200</v>
      </c>
      <c r="I1025" s="126"/>
      <c r="J1025" s="126"/>
      <c r="K1025" s="126"/>
      <c r="O1025" s="333"/>
    </row>
    <row r="1026" spans="3:15" ht="26.4" customHeight="1">
      <c r="C1026" s="290" t="s">
        <v>1201</v>
      </c>
      <c r="D1026" s="182" t="s">
        <v>1202</v>
      </c>
      <c r="E1026" s="70"/>
      <c r="F1026" s="70"/>
      <c r="G1026" s="70"/>
      <c r="H1026" s="71"/>
      <c r="O1026" s="333"/>
    </row>
    <row r="1027" spans="3:15" ht="26.4" customHeight="1">
      <c r="C1027" s="310" t="s">
        <v>1203</v>
      </c>
      <c r="D1027" s="182" t="s">
        <v>5</v>
      </c>
      <c r="E1027" s="176" t="s">
        <v>6</v>
      </c>
      <c r="F1027" s="282">
        <v>0.02</v>
      </c>
      <c r="G1027" s="283">
        <f>VLOOKUP(D1027,upahbahan,3,FALSE)</f>
        <v>100000</v>
      </c>
      <c r="H1027" s="284">
        <f>F1027*G1027</f>
        <v>2000</v>
      </c>
      <c r="O1027" s="333"/>
    </row>
    <row r="1028" spans="3:15" ht="26.4" customHeight="1">
      <c r="C1028" s="310" t="s">
        <v>1204</v>
      </c>
      <c r="D1028" s="182" t="s">
        <v>19</v>
      </c>
      <c r="E1028" s="176" t="s">
        <v>6</v>
      </c>
      <c r="F1028" s="282">
        <v>1E-3</v>
      </c>
      <c r="G1028" s="283">
        <f>VLOOKUP(D1028,upahbahan,3,FALSE)</f>
        <v>160000</v>
      </c>
      <c r="H1028" s="284">
        <f>F1028*G1028</f>
        <v>160</v>
      </c>
      <c r="O1028" s="333"/>
    </row>
    <row r="1029" spans="3:15" ht="26.4" customHeight="1">
      <c r="C1029" s="66" t="s">
        <v>1208</v>
      </c>
      <c r="D1029" s="67"/>
      <c r="E1029" s="67"/>
      <c r="F1029" s="68"/>
      <c r="G1029" s="69"/>
      <c r="H1029" s="284">
        <f>SUM(H1027:H1028)</f>
        <v>2160</v>
      </c>
    </row>
    <row r="1030" spans="3:15" ht="26.4" customHeight="1">
      <c r="C1030" s="290" t="s">
        <v>1209</v>
      </c>
      <c r="D1030" s="182" t="s">
        <v>1210</v>
      </c>
      <c r="E1030" s="70"/>
      <c r="F1030" s="336"/>
      <c r="G1030" s="70"/>
      <c r="H1030" s="71"/>
    </row>
    <row r="1031" spans="3:15" ht="26.4" customHeight="1">
      <c r="C1031" s="306" t="s">
        <v>1203</v>
      </c>
      <c r="D1031" s="182" t="s">
        <v>999</v>
      </c>
      <c r="E1031" s="124" t="s">
        <v>62</v>
      </c>
      <c r="F1031" s="127">
        <v>1.02</v>
      </c>
      <c r="G1031" s="283">
        <f>VLOOKUP(D1031,upahbahan,3,FALSE)</f>
        <v>0</v>
      </c>
      <c r="H1031" s="284">
        <f>F1031*G1031</f>
        <v>0</v>
      </c>
    </row>
    <row r="1032" spans="3:15" ht="26.4" customHeight="1">
      <c r="C1032" s="66" t="s">
        <v>1214</v>
      </c>
      <c r="D1032" s="67"/>
      <c r="E1032" s="67"/>
      <c r="F1032" s="68"/>
      <c r="G1032" s="69"/>
      <c r="H1032" s="284">
        <f>SUM(H1031)</f>
        <v>0</v>
      </c>
    </row>
    <row r="1033" spans="3:15" ht="26.4" customHeight="1">
      <c r="C1033" s="290" t="s">
        <v>1215</v>
      </c>
      <c r="D1033" s="182" t="s">
        <v>1216</v>
      </c>
      <c r="E1033" s="70"/>
      <c r="F1033" s="336"/>
      <c r="G1033" s="70"/>
      <c r="H1033" s="105"/>
    </row>
    <row r="1034" spans="3:15" ht="26.4" customHeight="1">
      <c r="C1034" s="66" t="s">
        <v>1217</v>
      </c>
      <c r="D1034" s="67"/>
      <c r="E1034" s="67"/>
      <c r="F1034" s="67"/>
      <c r="G1034" s="69"/>
      <c r="H1034" s="313">
        <v>0</v>
      </c>
    </row>
    <row r="1035" spans="3:15" s="297" customFormat="1" ht="26.4" customHeight="1">
      <c r="C1035" s="293" t="s">
        <v>1218</v>
      </c>
      <c r="D1035" s="294" t="s">
        <v>1219</v>
      </c>
      <c r="E1035" s="295"/>
      <c r="F1035" s="295"/>
      <c r="G1035" s="296"/>
      <c r="H1035" s="284">
        <f>H1034+H1032+H1029</f>
        <v>2160</v>
      </c>
      <c r="I1035" s="119"/>
      <c r="J1035" s="119"/>
      <c r="K1035" s="119"/>
    </row>
    <row r="1036" spans="3:15" s="297" customFormat="1" ht="26.4" customHeight="1">
      <c r="C1036" s="293" t="s">
        <v>1220</v>
      </c>
      <c r="D1036" s="294" t="s">
        <v>1321</v>
      </c>
      <c r="E1036" s="295"/>
      <c r="F1036" s="296"/>
      <c r="G1036" s="298">
        <f>$O$9</f>
        <v>0.1</v>
      </c>
      <c r="H1036" s="284">
        <f>H1035*G1036</f>
        <v>216</v>
      </c>
      <c r="I1036" s="119"/>
      <c r="J1036" s="119"/>
      <c r="K1036" s="119"/>
    </row>
    <row r="1037" spans="3:15" s="297" customFormat="1" ht="26.4" customHeight="1" thickBot="1">
      <c r="C1037" s="299" t="s">
        <v>1221</v>
      </c>
      <c r="D1037" s="300" t="s">
        <v>1222</v>
      </c>
      <c r="E1037" s="301"/>
      <c r="F1037" s="301"/>
      <c r="G1037" s="302"/>
      <c r="H1037" s="303">
        <f>SUM(H1035:H1036)</f>
        <v>2376</v>
      </c>
      <c r="I1037" s="119"/>
      <c r="J1037" s="119"/>
      <c r="K1037" s="119"/>
    </row>
    <row r="1038" spans="3:15" ht="14.4" thickTop="1"/>
    <row r="1040" spans="3:15">
      <c r="C1040" s="126" t="s">
        <v>2329</v>
      </c>
      <c r="D1040" s="119" t="s">
        <v>2330</v>
      </c>
    </row>
    <row r="1041" spans="3:15" ht="14.4" thickBot="1">
      <c r="C1041" s="119" t="s">
        <v>2331</v>
      </c>
      <c r="D1041" s="47" t="s">
        <v>1317</v>
      </c>
      <c r="E1041" s="47"/>
      <c r="F1041" s="47"/>
      <c r="G1041" s="47"/>
      <c r="H1041" s="47"/>
      <c r="I1041" s="120">
        <f>ROUNDDOWN(H1064,-2)</f>
        <v>105800</v>
      </c>
      <c r="J1041" s="120"/>
      <c r="K1041" s="120"/>
      <c r="O1041" s="333"/>
    </row>
    <row r="1042" spans="3:15" s="289" customFormat="1" ht="31.65" customHeight="1" thickTop="1">
      <c r="C1042" s="51" t="s">
        <v>1195</v>
      </c>
      <c r="D1042" s="52" t="s">
        <v>1196</v>
      </c>
      <c r="E1042" s="52" t="s">
        <v>1197</v>
      </c>
      <c r="F1042" s="52" t="s">
        <v>1198</v>
      </c>
      <c r="G1042" s="52" t="s">
        <v>1199</v>
      </c>
      <c r="H1042" s="53" t="s">
        <v>1200</v>
      </c>
      <c r="I1042" s="126"/>
      <c r="J1042" s="126"/>
      <c r="K1042" s="126"/>
      <c r="O1042" s="333"/>
    </row>
    <row r="1043" spans="3:15" ht="24.6" customHeight="1">
      <c r="C1043" s="290" t="s">
        <v>1201</v>
      </c>
      <c r="D1043" s="182" t="s">
        <v>1202</v>
      </c>
      <c r="E1043" s="70"/>
      <c r="F1043" s="70"/>
      <c r="G1043" s="70"/>
      <c r="H1043" s="71"/>
      <c r="O1043" s="333"/>
    </row>
    <row r="1044" spans="3:15" ht="24.6" customHeight="1">
      <c r="C1044" s="310" t="s">
        <v>1203</v>
      </c>
      <c r="D1044" s="182" t="s">
        <v>5</v>
      </c>
      <c r="E1044" s="176" t="s">
        <v>6</v>
      </c>
      <c r="F1044" s="282">
        <v>0.18</v>
      </c>
      <c r="G1044" s="283">
        <f t="shared" ref="G1044:G1049" si="2">VLOOKUP(D1044,upahbahan,3,FALSE)</f>
        <v>100000</v>
      </c>
      <c r="H1044" s="284">
        <f t="shared" ref="H1044:H1047" si="3">F1044*G1044</f>
        <v>18000</v>
      </c>
      <c r="O1044" s="333"/>
    </row>
    <row r="1045" spans="3:15" ht="24.6" customHeight="1">
      <c r="C1045" s="310" t="s">
        <v>1204</v>
      </c>
      <c r="D1045" s="182" t="s">
        <v>7</v>
      </c>
      <c r="E1045" s="176" t="s">
        <v>6</v>
      </c>
      <c r="F1045" s="282">
        <v>0.02</v>
      </c>
      <c r="G1045" s="283">
        <f t="shared" si="2"/>
        <v>135000</v>
      </c>
      <c r="H1045" s="284">
        <f t="shared" si="3"/>
        <v>2700</v>
      </c>
      <c r="O1045" s="333"/>
    </row>
    <row r="1046" spans="3:15" ht="24.6" customHeight="1">
      <c r="C1046" s="310" t="s">
        <v>1205</v>
      </c>
      <c r="D1046" s="182" t="s">
        <v>8</v>
      </c>
      <c r="E1046" s="176" t="s">
        <v>6</v>
      </c>
      <c r="F1046" s="282">
        <v>0.02</v>
      </c>
      <c r="G1046" s="283">
        <f t="shared" si="2"/>
        <v>135000</v>
      </c>
      <c r="H1046" s="284">
        <f t="shared" si="3"/>
        <v>2700</v>
      </c>
      <c r="O1046" s="333"/>
    </row>
    <row r="1047" spans="3:15" ht="24.6" customHeight="1">
      <c r="C1047" s="310" t="s">
        <v>1206</v>
      </c>
      <c r="D1047" s="182" t="s">
        <v>9</v>
      </c>
      <c r="E1047" s="176" t="s">
        <v>6</v>
      </c>
      <c r="F1047" s="282">
        <v>0.02</v>
      </c>
      <c r="G1047" s="283">
        <f t="shared" si="2"/>
        <v>135000</v>
      </c>
      <c r="H1047" s="284">
        <f t="shared" si="3"/>
        <v>2700</v>
      </c>
      <c r="O1047" s="333"/>
    </row>
    <row r="1048" spans="3:15" ht="24.6" customHeight="1">
      <c r="C1048" s="310" t="s">
        <v>1207</v>
      </c>
      <c r="D1048" s="182" t="s">
        <v>18</v>
      </c>
      <c r="E1048" s="176" t="s">
        <v>6</v>
      </c>
      <c r="F1048" s="282">
        <v>6.0000000000000001E-3</v>
      </c>
      <c r="G1048" s="283">
        <f t="shared" si="2"/>
        <v>150000</v>
      </c>
      <c r="H1048" s="284">
        <f>F1048*G1048</f>
        <v>900</v>
      </c>
      <c r="O1048" s="333"/>
    </row>
    <row r="1049" spans="3:15" ht="24.6" customHeight="1">
      <c r="C1049" s="310" t="s">
        <v>1211</v>
      </c>
      <c r="D1049" s="182" t="s">
        <v>19</v>
      </c>
      <c r="E1049" s="176" t="s">
        <v>6</v>
      </c>
      <c r="F1049" s="282">
        <v>2E-3</v>
      </c>
      <c r="G1049" s="283">
        <f t="shared" si="2"/>
        <v>160000</v>
      </c>
      <c r="H1049" s="284">
        <f>F1049*G1049</f>
        <v>320</v>
      </c>
      <c r="O1049" s="333"/>
    </row>
    <row r="1050" spans="3:15" ht="24.6" customHeight="1">
      <c r="C1050" s="66" t="s">
        <v>1208</v>
      </c>
      <c r="D1050" s="67"/>
      <c r="E1050" s="67"/>
      <c r="F1050" s="68"/>
      <c r="G1050" s="69"/>
      <c r="H1050" s="284">
        <f>SUM(H1044:H1049)</f>
        <v>27320</v>
      </c>
    </row>
    <row r="1051" spans="3:15" ht="24.6" customHeight="1">
      <c r="C1051" s="290" t="s">
        <v>1209</v>
      </c>
      <c r="D1051" s="182" t="s">
        <v>1210</v>
      </c>
      <c r="E1051" s="70"/>
      <c r="F1051" s="336"/>
      <c r="G1051" s="70"/>
      <c r="H1051" s="71"/>
    </row>
    <row r="1052" spans="3:15" ht="24.6" customHeight="1">
      <c r="C1052" s="306" t="s">
        <v>1203</v>
      </c>
      <c r="D1052" s="182" t="s">
        <v>124</v>
      </c>
      <c r="E1052" s="124" t="s">
        <v>42</v>
      </c>
      <c r="F1052" s="127">
        <v>2E-3</v>
      </c>
      <c r="G1052" s="283">
        <f t="shared" ref="G1052:G1058" si="4">VLOOKUP(D1052,upahbahan,3,FALSE)</f>
        <v>3150000</v>
      </c>
      <c r="H1052" s="284">
        <f>F1052*G1052</f>
        <v>6300</v>
      </c>
    </row>
    <row r="1053" spans="3:15" ht="24.6" customHeight="1">
      <c r="C1053" s="306" t="s">
        <v>1204</v>
      </c>
      <c r="D1053" s="182" t="s">
        <v>260</v>
      </c>
      <c r="E1053" s="124" t="s">
        <v>65</v>
      </c>
      <c r="F1053" s="127">
        <v>0.01</v>
      </c>
      <c r="G1053" s="283">
        <f t="shared" si="4"/>
        <v>33901.875</v>
      </c>
      <c r="H1053" s="284">
        <f t="shared" ref="H1053:H1058" si="5">F1053*G1053</f>
        <v>339.01875000000001</v>
      </c>
    </row>
    <row r="1054" spans="3:15" ht="24.6" customHeight="1">
      <c r="C1054" s="306" t="s">
        <v>1205</v>
      </c>
      <c r="D1054" s="182" t="s">
        <v>232</v>
      </c>
      <c r="E1054" s="124" t="s">
        <v>65</v>
      </c>
      <c r="F1054" s="127">
        <v>3</v>
      </c>
      <c r="G1054" s="283">
        <f t="shared" si="4"/>
        <v>13050</v>
      </c>
      <c r="H1054" s="284">
        <f t="shared" si="5"/>
        <v>39150</v>
      </c>
    </row>
    <row r="1055" spans="3:15" ht="24.6" customHeight="1">
      <c r="C1055" s="306" t="s">
        <v>1206</v>
      </c>
      <c r="D1055" s="182" t="s">
        <v>251</v>
      </c>
      <c r="E1055" s="124" t="s">
        <v>65</v>
      </c>
      <c r="F1055" s="127">
        <v>0.45</v>
      </c>
      <c r="G1055" s="283">
        <f t="shared" si="4"/>
        <v>27720</v>
      </c>
      <c r="H1055" s="284">
        <f t="shared" si="5"/>
        <v>12474</v>
      </c>
    </row>
    <row r="1056" spans="3:15" ht="24.6" customHeight="1">
      <c r="C1056" s="306" t="s">
        <v>1207</v>
      </c>
      <c r="D1056" s="182" t="s">
        <v>2332</v>
      </c>
      <c r="E1056" s="124" t="s">
        <v>65</v>
      </c>
      <c r="F1056" s="127">
        <v>4</v>
      </c>
      <c r="G1056" s="283">
        <f t="shared" si="4"/>
        <v>1530</v>
      </c>
      <c r="H1056" s="284">
        <f t="shared" si="5"/>
        <v>6120</v>
      </c>
    </row>
    <row r="1057" spans="3:15" ht="24.6" customHeight="1">
      <c r="C1057" s="306" t="s">
        <v>1211</v>
      </c>
      <c r="D1057" s="182" t="s">
        <v>82</v>
      </c>
      <c r="E1057" s="124" t="s">
        <v>42</v>
      </c>
      <c r="F1057" s="127">
        <v>6.0000000000000001E-3</v>
      </c>
      <c r="G1057" s="283">
        <f t="shared" si="4"/>
        <v>310500</v>
      </c>
      <c r="H1057" s="284">
        <f t="shared" si="5"/>
        <v>1863</v>
      </c>
    </row>
    <row r="1058" spans="3:15" ht="24.6" customHeight="1">
      <c r="C1058" s="306" t="s">
        <v>1212</v>
      </c>
      <c r="D1058" s="182" t="s">
        <v>71</v>
      </c>
      <c r="E1058" s="124" t="s">
        <v>42</v>
      </c>
      <c r="F1058" s="127">
        <v>8.9999999999999993E-3</v>
      </c>
      <c r="G1058" s="283">
        <f t="shared" si="4"/>
        <v>292500</v>
      </c>
      <c r="H1058" s="284">
        <f t="shared" si="5"/>
        <v>2632.5</v>
      </c>
    </row>
    <row r="1059" spans="3:15" ht="24.6" customHeight="1">
      <c r="C1059" s="66" t="s">
        <v>1214</v>
      </c>
      <c r="D1059" s="67"/>
      <c r="E1059" s="67"/>
      <c r="F1059" s="68"/>
      <c r="G1059" s="69"/>
      <c r="H1059" s="284">
        <f>SUM(H1052:H1058)</f>
        <v>68878.518750000003</v>
      </c>
    </row>
    <row r="1060" spans="3:15" ht="24.6" customHeight="1">
      <c r="C1060" s="290" t="s">
        <v>1215</v>
      </c>
      <c r="D1060" s="182" t="s">
        <v>1216</v>
      </c>
      <c r="E1060" s="70"/>
      <c r="F1060" s="336"/>
      <c r="G1060" s="70"/>
      <c r="H1060" s="105"/>
    </row>
    <row r="1061" spans="3:15" ht="24.6" customHeight="1">
      <c r="C1061" s="66" t="s">
        <v>1217</v>
      </c>
      <c r="D1061" s="67"/>
      <c r="E1061" s="67"/>
      <c r="F1061" s="67"/>
      <c r="G1061" s="69"/>
      <c r="H1061" s="313">
        <v>0</v>
      </c>
    </row>
    <row r="1062" spans="3:15" s="297" customFormat="1" ht="24.6" customHeight="1">
      <c r="C1062" s="293" t="s">
        <v>1218</v>
      </c>
      <c r="D1062" s="294" t="s">
        <v>1219</v>
      </c>
      <c r="E1062" s="295"/>
      <c r="F1062" s="295"/>
      <c r="G1062" s="296"/>
      <c r="H1062" s="284">
        <f>H1061+H1059+H1050</f>
        <v>96198.518750000003</v>
      </c>
      <c r="I1062" s="119"/>
      <c r="J1062" s="119"/>
      <c r="K1062" s="119"/>
    </row>
    <row r="1063" spans="3:15" s="297" customFormat="1" ht="24.6" customHeight="1">
      <c r="C1063" s="293" t="s">
        <v>1220</v>
      </c>
      <c r="D1063" s="294" t="s">
        <v>1321</v>
      </c>
      <c r="E1063" s="295"/>
      <c r="F1063" s="296"/>
      <c r="G1063" s="298">
        <f>$O$9</f>
        <v>0.1</v>
      </c>
      <c r="H1063" s="284">
        <f>H1062*G1063</f>
        <v>9619.8518750000003</v>
      </c>
      <c r="I1063" s="119"/>
      <c r="J1063" s="119"/>
      <c r="K1063" s="119"/>
    </row>
    <row r="1064" spans="3:15" s="297" customFormat="1" ht="24.6" customHeight="1" thickBot="1">
      <c r="C1064" s="299" t="s">
        <v>1221</v>
      </c>
      <c r="D1064" s="300" t="s">
        <v>1222</v>
      </c>
      <c r="E1064" s="301"/>
      <c r="F1064" s="301"/>
      <c r="G1064" s="302"/>
      <c r="H1064" s="303">
        <f>SUM(H1062:H1063)</f>
        <v>105818.37062500001</v>
      </c>
      <c r="I1064" s="119"/>
      <c r="J1064" s="119"/>
      <c r="K1064" s="119"/>
    </row>
    <row r="1065" spans="3:15" ht="14.4" thickTop="1"/>
    <row r="1066" spans="3:15" ht="14.4" thickBot="1">
      <c r="C1066" s="119" t="s">
        <v>2333</v>
      </c>
      <c r="D1066" s="47" t="s">
        <v>1318</v>
      </c>
      <c r="E1066" s="47"/>
      <c r="F1066" s="47"/>
      <c r="G1066" s="47"/>
      <c r="H1066" s="47"/>
      <c r="I1066" s="120">
        <f>ROUNDDOWN(H1090,-2)</f>
        <v>147800</v>
      </c>
      <c r="J1066" s="120"/>
      <c r="K1066" s="120"/>
      <c r="O1066" s="333"/>
    </row>
    <row r="1067" spans="3:15" s="289" customFormat="1" ht="31.65" customHeight="1" thickTop="1">
      <c r="C1067" s="51" t="s">
        <v>1195</v>
      </c>
      <c r="D1067" s="52" t="s">
        <v>1196</v>
      </c>
      <c r="E1067" s="52" t="s">
        <v>1197</v>
      </c>
      <c r="F1067" s="52" t="s">
        <v>1198</v>
      </c>
      <c r="G1067" s="52" t="s">
        <v>1199</v>
      </c>
      <c r="H1067" s="53" t="s">
        <v>1200</v>
      </c>
      <c r="I1067" s="126"/>
      <c r="J1067" s="126"/>
      <c r="K1067" s="126"/>
      <c r="O1067" s="333"/>
    </row>
    <row r="1068" spans="3:15" ht="24" customHeight="1">
      <c r="C1068" s="290" t="s">
        <v>1201</v>
      </c>
      <c r="D1068" s="182" t="s">
        <v>1202</v>
      </c>
      <c r="E1068" s="70"/>
      <c r="F1068" s="70"/>
      <c r="G1068" s="70"/>
      <c r="H1068" s="71"/>
      <c r="O1068" s="333"/>
    </row>
    <row r="1069" spans="3:15" ht="24" customHeight="1">
      <c r="C1069" s="310" t="s">
        <v>1203</v>
      </c>
      <c r="D1069" s="182" t="s">
        <v>5</v>
      </c>
      <c r="E1069" s="176" t="s">
        <v>6</v>
      </c>
      <c r="F1069" s="282">
        <v>0.29699999999999999</v>
      </c>
      <c r="G1069" s="283">
        <f t="shared" ref="G1069:G1074" si="6">VLOOKUP(D1069,upahbahan,3,FALSE)</f>
        <v>100000</v>
      </c>
      <c r="H1069" s="284">
        <f t="shared" ref="H1069:H1074" si="7">F1069*G1069</f>
        <v>29700</v>
      </c>
      <c r="O1069" s="333"/>
    </row>
    <row r="1070" spans="3:15" ht="24" customHeight="1">
      <c r="C1070" s="310" t="s">
        <v>1204</v>
      </c>
      <c r="D1070" s="182" t="s">
        <v>7</v>
      </c>
      <c r="E1070" s="176" t="s">
        <v>6</v>
      </c>
      <c r="F1070" s="282">
        <v>3.3000000000000002E-2</v>
      </c>
      <c r="G1070" s="283">
        <f t="shared" si="6"/>
        <v>135000</v>
      </c>
      <c r="H1070" s="284">
        <f t="shared" si="7"/>
        <v>4455</v>
      </c>
      <c r="O1070" s="333"/>
    </row>
    <row r="1071" spans="3:15" ht="24" customHeight="1">
      <c r="C1071" s="310" t="s">
        <v>1205</v>
      </c>
      <c r="D1071" s="182" t="s">
        <v>8</v>
      </c>
      <c r="E1071" s="176" t="s">
        <v>6</v>
      </c>
      <c r="F1071" s="282">
        <v>3.3000000000000002E-2</v>
      </c>
      <c r="G1071" s="283">
        <f t="shared" si="6"/>
        <v>135000</v>
      </c>
      <c r="H1071" s="284">
        <f t="shared" si="7"/>
        <v>4455</v>
      </c>
      <c r="O1071" s="333"/>
    </row>
    <row r="1072" spans="3:15" ht="24" customHeight="1">
      <c r="C1072" s="310" t="s">
        <v>1206</v>
      </c>
      <c r="D1072" s="182" t="s">
        <v>9</v>
      </c>
      <c r="E1072" s="176" t="s">
        <v>6</v>
      </c>
      <c r="F1072" s="282">
        <v>3.3000000000000002E-2</v>
      </c>
      <c r="G1072" s="283">
        <f t="shared" si="6"/>
        <v>135000</v>
      </c>
      <c r="H1072" s="284">
        <f t="shared" si="7"/>
        <v>4455</v>
      </c>
      <c r="O1072" s="333"/>
    </row>
    <row r="1073" spans="3:15" ht="24" customHeight="1">
      <c r="C1073" s="310" t="s">
        <v>1207</v>
      </c>
      <c r="D1073" s="182" t="s">
        <v>18</v>
      </c>
      <c r="E1073" s="176" t="s">
        <v>6</v>
      </c>
      <c r="F1073" s="282">
        <v>0.01</v>
      </c>
      <c r="G1073" s="283">
        <f t="shared" si="6"/>
        <v>150000</v>
      </c>
      <c r="H1073" s="284">
        <f t="shared" si="7"/>
        <v>1500</v>
      </c>
      <c r="O1073" s="333"/>
    </row>
    <row r="1074" spans="3:15" ht="24" customHeight="1">
      <c r="C1074" s="310" t="s">
        <v>1211</v>
      </c>
      <c r="D1074" s="182" t="s">
        <v>19</v>
      </c>
      <c r="E1074" s="176" t="s">
        <v>6</v>
      </c>
      <c r="F1074" s="282">
        <v>3.0000000000000001E-3</v>
      </c>
      <c r="G1074" s="283">
        <f t="shared" si="6"/>
        <v>160000</v>
      </c>
      <c r="H1074" s="284">
        <f t="shared" si="7"/>
        <v>480</v>
      </c>
      <c r="O1074" s="333"/>
    </row>
    <row r="1075" spans="3:15" ht="24" customHeight="1">
      <c r="C1075" s="66" t="s">
        <v>1208</v>
      </c>
      <c r="D1075" s="67"/>
      <c r="E1075" s="67"/>
      <c r="F1075" s="68"/>
      <c r="G1075" s="69"/>
      <c r="H1075" s="284">
        <f>SUM(H1069:H1074)</f>
        <v>45045</v>
      </c>
    </row>
    <row r="1076" spans="3:15" ht="24" customHeight="1">
      <c r="C1076" s="290" t="s">
        <v>1209</v>
      </c>
      <c r="D1076" s="182" t="s">
        <v>1210</v>
      </c>
      <c r="E1076" s="70"/>
      <c r="F1076" s="336"/>
      <c r="G1076" s="70"/>
      <c r="H1076" s="71"/>
    </row>
    <row r="1077" spans="3:15" ht="24" customHeight="1">
      <c r="C1077" s="306" t="s">
        <v>1203</v>
      </c>
      <c r="D1077" s="182" t="s">
        <v>124</v>
      </c>
      <c r="E1077" s="124" t="s">
        <v>42</v>
      </c>
      <c r="F1077" s="127">
        <v>3.0000000000000001E-3</v>
      </c>
      <c r="G1077" s="283">
        <f t="shared" ref="G1077:G1084" si="8">VLOOKUP(D1077,upahbahan,3,FALSE)</f>
        <v>3150000</v>
      </c>
      <c r="H1077" s="284">
        <f t="shared" ref="H1077:H1084" si="9">F1077*G1077</f>
        <v>9450</v>
      </c>
    </row>
    <row r="1078" spans="3:15" ht="24" customHeight="1">
      <c r="C1078" s="306" t="s">
        <v>1204</v>
      </c>
      <c r="D1078" s="182" t="s">
        <v>260</v>
      </c>
      <c r="E1078" s="124" t="s">
        <v>65</v>
      </c>
      <c r="F1078" s="127">
        <v>0.02</v>
      </c>
      <c r="G1078" s="283">
        <f t="shared" si="8"/>
        <v>33901.875</v>
      </c>
      <c r="H1078" s="284">
        <f t="shared" si="9"/>
        <v>678.03750000000002</v>
      </c>
    </row>
    <row r="1079" spans="3:15" ht="24" customHeight="1">
      <c r="C1079" s="306" t="s">
        <v>1205</v>
      </c>
      <c r="D1079" s="182" t="s">
        <v>755</v>
      </c>
      <c r="E1079" s="124" t="s">
        <v>529</v>
      </c>
      <c r="F1079" s="127">
        <v>0.2</v>
      </c>
      <c r="G1079" s="283">
        <f t="shared" si="8"/>
        <v>76500</v>
      </c>
      <c r="H1079" s="284">
        <f t="shared" si="9"/>
        <v>15300</v>
      </c>
    </row>
    <row r="1080" spans="3:15" ht="24" customHeight="1">
      <c r="C1080" s="306" t="s">
        <v>1206</v>
      </c>
      <c r="D1080" s="182" t="s">
        <v>232</v>
      </c>
      <c r="E1080" s="124" t="s">
        <v>65</v>
      </c>
      <c r="F1080" s="127">
        <v>3.6</v>
      </c>
      <c r="G1080" s="283">
        <f t="shared" si="8"/>
        <v>13050</v>
      </c>
      <c r="H1080" s="284">
        <f t="shared" si="9"/>
        <v>46980</v>
      </c>
    </row>
    <row r="1081" spans="3:15" ht="24" customHeight="1">
      <c r="C1081" s="306" t="s">
        <v>1207</v>
      </c>
      <c r="D1081" s="182" t="s">
        <v>251</v>
      </c>
      <c r="E1081" s="124" t="s">
        <v>65</v>
      </c>
      <c r="F1081" s="127">
        <v>0.05</v>
      </c>
      <c r="G1081" s="283">
        <f t="shared" si="8"/>
        <v>27720</v>
      </c>
      <c r="H1081" s="284">
        <f t="shared" si="9"/>
        <v>1386</v>
      </c>
    </row>
    <row r="1082" spans="3:15" ht="24" customHeight="1">
      <c r="C1082" s="306" t="s">
        <v>1211</v>
      </c>
      <c r="D1082" s="182" t="s">
        <v>2334</v>
      </c>
      <c r="E1082" s="124" t="s">
        <v>65</v>
      </c>
      <c r="F1082" s="127">
        <v>5.5</v>
      </c>
      <c r="G1082" s="283">
        <f t="shared" si="8"/>
        <v>1530</v>
      </c>
      <c r="H1082" s="284">
        <f t="shared" si="9"/>
        <v>8415</v>
      </c>
    </row>
    <row r="1083" spans="3:15" ht="24" customHeight="1">
      <c r="C1083" s="306" t="s">
        <v>1212</v>
      </c>
      <c r="D1083" s="182" t="s">
        <v>82</v>
      </c>
      <c r="E1083" s="124" t="s">
        <v>42</v>
      </c>
      <c r="F1083" s="127">
        <v>8.9999999999999993E-3</v>
      </c>
      <c r="G1083" s="283">
        <f t="shared" si="8"/>
        <v>310500</v>
      </c>
      <c r="H1083" s="284">
        <f t="shared" si="9"/>
        <v>2794.5</v>
      </c>
    </row>
    <row r="1084" spans="3:15" ht="24" customHeight="1">
      <c r="C1084" s="306" t="s">
        <v>1213</v>
      </c>
      <c r="D1084" s="182" t="s">
        <v>71</v>
      </c>
      <c r="E1084" s="124" t="s">
        <v>42</v>
      </c>
      <c r="F1084" s="127">
        <v>1.4999999999999999E-2</v>
      </c>
      <c r="G1084" s="283">
        <f t="shared" si="8"/>
        <v>292500</v>
      </c>
      <c r="H1084" s="284">
        <f t="shared" si="9"/>
        <v>4387.5</v>
      </c>
    </row>
    <row r="1085" spans="3:15" ht="24" customHeight="1">
      <c r="C1085" s="66" t="s">
        <v>1214</v>
      </c>
      <c r="D1085" s="67"/>
      <c r="E1085" s="67"/>
      <c r="F1085" s="68"/>
      <c r="G1085" s="69"/>
      <c r="H1085" s="284">
        <f>SUM(H1077:H1084)</f>
        <v>89391.037500000006</v>
      </c>
    </row>
    <row r="1086" spans="3:15" ht="24" customHeight="1">
      <c r="C1086" s="290" t="s">
        <v>1215</v>
      </c>
      <c r="D1086" s="182" t="s">
        <v>1216</v>
      </c>
      <c r="E1086" s="70"/>
      <c r="F1086" s="336"/>
      <c r="G1086" s="70"/>
      <c r="H1086" s="105"/>
    </row>
    <row r="1087" spans="3:15" ht="24" customHeight="1">
      <c r="C1087" s="66" t="s">
        <v>1217</v>
      </c>
      <c r="D1087" s="67"/>
      <c r="E1087" s="67"/>
      <c r="F1087" s="67"/>
      <c r="G1087" s="69"/>
      <c r="H1087" s="313">
        <v>0</v>
      </c>
    </row>
    <row r="1088" spans="3:15" s="297" customFormat="1" ht="24" customHeight="1">
      <c r="C1088" s="293" t="s">
        <v>1218</v>
      </c>
      <c r="D1088" s="294" t="s">
        <v>1219</v>
      </c>
      <c r="E1088" s="295"/>
      <c r="F1088" s="295"/>
      <c r="G1088" s="296"/>
      <c r="H1088" s="284">
        <f>H1087+H1085+H1075</f>
        <v>134436.03750000001</v>
      </c>
      <c r="I1088" s="119"/>
      <c r="J1088" s="119"/>
      <c r="K1088" s="119"/>
    </row>
    <row r="1089" spans="3:15" s="297" customFormat="1" ht="24" customHeight="1">
      <c r="C1089" s="293" t="s">
        <v>1220</v>
      </c>
      <c r="D1089" s="294" t="s">
        <v>1321</v>
      </c>
      <c r="E1089" s="295"/>
      <c r="F1089" s="296"/>
      <c r="G1089" s="298">
        <f>$O$9</f>
        <v>0.1</v>
      </c>
      <c r="H1089" s="284">
        <f>H1088*G1089</f>
        <v>13443.603750000002</v>
      </c>
      <c r="I1089" s="119"/>
      <c r="J1089" s="119"/>
      <c r="K1089" s="119"/>
    </row>
    <row r="1090" spans="3:15" s="297" customFormat="1" ht="24" customHeight="1" thickBot="1">
      <c r="C1090" s="299" t="s">
        <v>1221</v>
      </c>
      <c r="D1090" s="300" t="s">
        <v>1222</v>
      </c>
      <c r="E1090" s="301"/>
      <c r="F1090" s="301"/>
      <c r="G1090" s="302"/>
      <c r="H1090" s="303">
        <f>SUM(H1088:H1089)</f>
        <v>147879.64125000002</v>
      </c>
      <c r="I1090" s="119"/>
      <c r="J1090" s="119"/>
      <c r="K1090" s="119"/>
    </row>
    <row r="1091" spans="3:15" ht="14.4" thickTop="1"/>
    <row r="1092" spans="3:15">
      <c r="C1092" s="126" t="s">
        <v>2335</v>
      </c>
      <c r="D1092" s="119" t="s">
        <v>2336</v>
      </c>
    </row>
    <row r="1093" spans="3:15" ht="14.4" thickBot="1">
      <c r="C1093" s="119" t="s">
        <v>2337</v>
      </c>
      <c r="D1093" s="47" t="s">
        <v>2338</v>
      </c>
      <c r="E1093" s="47"/>
      <c r="F1093" s="47"/>
      <c r="G1093" s="47"/>
      <c r="H1093" s="47"/>
      <c r="I1093" s="120">
        <f>ROUNDDOWN(H1109,-2)</f>
        <v>351000</v>
      </c>
      <c r="J1093" s="120"/>
      <c r="K1093" s="120"/>
      <c r="O1093" s="333"/>
    </row>
    <row r="1094" spans="3:15" s="289" customFormat="1" ht="31.65" customHeight="1" thickTop="1">
      <c r="C1094" s="51" t="s">
        <v>1195</v>
      </c>
      <c r="D1094" s="52" t="s">
        <v>1196</v>
      </c>
      <c r="E1094" s="52" t="s">
        <v>1197</v>
      </c>
      <c r="F1094" s="52" t="s">
        <v>1198</v>
      </c>
      <c r="G1094" s="52" t="s">
        <v>1199</v>
      </c>
      <c r="H1094" s="53" t="s">
        <v>1200</v>
      </c>
      <c r="I1094" s="126"/>
      <c r="J1094" s="126"/>
      <c r="K1094" s="126"/>
      <c r="O1094" s="333"/>
    </row>
    <row r="1095" spans="3:15" ht="24" customHeight="1">
      <c r="C1095" s="290" t="s">
        <v>1201</v>
      </c>
      <c r="D1095" s="182" t="s">
        <v>1202</v>
      </c>
      <c r="E1095" s="70"/>
      <c r="F1095" s="70"/>
      <c r="G1095" s="70"/>
      <c r="H1095" s="71"/>
      <c r="O1095" s="333"/>
    </row>
    <row r="1096" spans="3:15" ht="24" customHeight="1">
      <c r="C1096" s="310" t="s">
        <v>1203</v>
      </c>
      <c r="D1096" s="182" t="s">
        <v>5</v>
      </c>
      <c r="E1096" s="176" t="s">
        <v>6</v>
      </c>
      <c r="F1096" s="309">
        <v>0.83330000000000004</v>
      </c>
      <c r="G1096" s="283">
        <f>VLOOKUP(D1096,upahbahan,3,FALSE)</f>
        <v>100000</v>
      </c>
      <c r="H1096" s="284">
        <f>F1096*G1096</f>
        <v>83330</v>
      </c>
      <c r="O1096" s="333"/>
    </row>
    <row r="1097" spans="3:15" ht="24" customHeight="1">
      <c r="C1097" s="310" t="s">
        <v>1204</v>
      </c>
      <c r="D1097" s="182" t="s">
        <v>7</v>
      </c>
      <c r="E1097" s="176" t="s">
        <v>6</v>
      </c>
      <c r="F1097" s="309">
        <v>0.27779999999999999</v>
      </c>
      <c r="G1097" s="283">
        <f>VLOOKUP(D1097,upahbahan,3,FALSE)</f>
        <v>135000</v>
      </c>
      <c r="H1097" s="284">
        <f>F1097*G1097</f>
        <v>37503</v>
      </c>
      <c r="O1097" s="333"/>
    </row>
    <row r="1098" spans="3:15" ht="24" customHeight="1">
      <c r="C1098" s="310" t="s">
        <v>1205</v>
      </c>
      <c r="D1098" s="182" t="s">
        <v>18</v>
      </c>
      <c r="E1098" s="176" t="s">
        <v>6</v>
      </c>
      <c r="F1098" s="309">
        <v>2.7799999999999998E-2</v>
      </c>
      <c r="G1098" s="283">
        <f>VLOOKUP(D1098,upahbahan,3,FALSE)</f>
        <v>150000</v>
      </c>
      <c r="H1098" s="284">
        <f>F1098*G1098</f>
        <v>4170</v>
      </c>
      <c r="O1098" s="333"/>
    </row>
    <row r="1099" spans="3:15" ht="24" customHeight="1">
      <c r="C1099" s="310" t="s">
        <v>1206</v>
      </c>
      <c r="D1099" s="182" t="s">
        <v>19</v>
      </c>
      <c r="E1099" s="176" t="s">
        <v>6</v>
      </c>
      <c r="F1099" s="309">
        <v>9.2999999999999992E-3</v>
      </c>
      <c r="G1099" s="283">
        <f>VLOOKUP(D1099,upahbahan,3,FALSE)</f>
        <v>160000</v>
      </c>
      <c r="H1099" s="284">
        <f>F1099*G1099</f>
        <v>1487.9999999999998</v>
      </c>
      <c r="O1099" s="333"/>
    </row>
    <row r="1100" spans="3:15" ht="24" customHeight="1">
      <c r="C1100" s="66" t="s">
        <v>1208</v>
      </c>
      <c r="D1100" s="67"/>
      <c r="E1100" s="67"/>
      <c r="F1100" s="68"/>
      <c r="G1100" s="69"/>
      <c r="H1100" s="284">
        <f>SUM(H1096:H1099)</f>
        <v>126491</v>
      </c>
      <c r="L1100" s="332"/>
    </row>
    <row r="1101" spans="3:15" ht="24" customHeight="1">
      <c r="C1101" s="290" t="s">
        <v>1209</v>
      </c>
      <c r="D1101" s="182" t="s">
        <v>1210</v>
      </c>
      <c r="E1101" s="70"/>
      <c r="F1101" s="336"/>
      <c r="G1101" s="70"/>
      <c r="H1101" s="71"/>
    </row>
    <row r="1102" spans="3:15" ht="24" customHeight="1">
      <c r="C1102" s="306" t="s">
        <v>1203</v>
      </c>
      <c r="D1102" s="182" t="s">
        <v>555</v>
      </c>
      <c r="E1102" s="124" t="s">
        <v>65</v>
      </c>
      <c r="F1102" s="334">
        <v>1920</v>
      </c>
      <c r="G1102" s="283">
        <f>VLOOKUP(D1102,upahbahan,3,FALSE)</f>
        <v>0</v>
      </c>
      <c r="H1102" s="284">
        <f>F1102*G1102</f>
        <v>0</v>
      </c>
    </row>
    <row r="1103" spans="3:15" ht="24" customHeight="1">
      <c r="C1103" s="306" t="s">
        <v>1204</v>
      </c>
      <c r="D1103" s="182" t="s">
        <v>960</v>
      </c>
      <c r="E1103" s="124" t="s">
        <v>529</v>
      </c>
      <c r="F1103" s="334">
        <v>963</v>
      </c>
      <c r="G1103" s="283">
        <f>VLOOKUP(D1103,upahbahan,3,FALSE)</f>
        <v>200</v>
      </c>
      <c r="H1103" s="284">
        <f>F1103*G1103</f>
        <v>192600</v>
      </c>
    </row>
    <row r="1104" spans="3:15" ht="24" customHeight="1">
      <c r="C1104" s="66" t="s">
        <v>1214</v>
      </c>
      <c r="D1104" s="67"/>
      <c r="E1104" s="67"/>
      <c r="F1104" s="68"/>
      <c r="G1104" s="69"/>
      <c r="H1104" s="284">
        <f>SUM(H1102:H1103)</f>
        <v>192600</v>
      </c>
    </row>
    <row r="1105" spans="3:15" ht="24" customHeight="1">
      <c r="C1105" s="290" t="s">
        <v>1215</v>
      </c>
      <c r="D1105" s="182" t="s">
        <v>1216</v>
      </c>
      <c r="E1105" s="70"/>
      <c r="F1105" s="336"/>
      <c r="G1105" s="70"/>
      <c r="H1105" s="105"/>
    </row>
    <row r="1106" spans="3:15" ht="24" customHeight="1">
      <c r="C1106" s="66" t="s">
        <v>1217</v>
      </c>
      <c r="D1106" s="67"/>
      <c r="E1106" s="67"/>
      <c r="F1106" s="67"/>
      <c r="G1106" s="69"/>
      <c r="H1106" s="313">
        <v>0</v>
      </c>
    </row>
    <row r="1107" spans="3:15" s="297" customFormat="1" ht="24" customHeight="1">
      <c r="C1107" s="293" t="s">
        <v>1218</v>
      </c>
      <c r="D1107" s="294" t="s">
        <v>1219</v>
      </c>
      <c r="E1107" s="295"/>
      <c r="F1107" s="295"/>
      <c r="G1107" s="296"/>
      <c r="H1107" s="284">
        <f>H1106+H1104+H1100</f>
        <v>319091</v>
      </c>
      <c r="I1107" s="119"/>
      <c r="J1107" s="119"/>
      <c r="K1107" s="119"/>
    </row>
    <row r="1108" spans="3:15" s="297" customFormat="1" ht="24" customHeight="1">
      <c r="C1108" s="293" t="s">
        <v>1220</v>
      </c>
      <c r="D1108" s="294" t="s">
        <v>1321</v>
      </c>
      <c r="E1108" s="295"/>
      <c r="F1108" s="296"/>
      <c r="G1108" s="298">
        <f>$O$9</f>
        <v>0.1</v>
      </c>
      <c r="H1108" s="284">
        <f>H1107*G1108</f>
        <v>31909.100000000002</v>
      </c>
      <c r="I1108" s="119"/>
      <c r="J1108" s="119"/>
      <c r="K1108" s="119"/>
    </row>
    <row r="1109" spans="3:15" s="297" customFormat="1" ht="24" customHeight="1" thickBot="1">
      <c r="C1109" s="299" t="s">
        <v>1221</v>
      </c>
      <c r="D1109" s="300" t="s">
        <v>1222</v>
      </c>
      <c r="E1109" s="301"/>
      <c r="F1109" s="301"/>
      <c r="G1109" s="302"/>
      <c r="H1109" s="303">
        <f>SUM(H1107:H1108)</f>
        <v>351000.1</v>
      </c>
      <c r="I1109" s="119"/>
      <c r="J1109" s="119"/>
      <c r="K1109" s="119"/>
    </row>
    <row r="1110" spans="3:15" ht="14.4" thickTop="1"/>
    <row r="1111" spans="3:15" ht="14.4" thickBot="1">
      <c r="C1111" s="119" t="s">
        <v>2339</v>
      </c>
      <c r="D1111" s="47" t="s">
        <v>2340</v>
      </c>
      <c r="E1111" s="47"/>
      <c r="F1111" s="47"/>
      <c r="G1111" s="47"/>
      <c r="H1111" s="47"/>
      <c r="I1111" s="120">
        <f>ROUNDDOWN(H1124,-2)</f>
        <v>23200</v>
      </c>
      <c r="J1111" s="120"/>
      <c r="K1111" s="120"/>
      <c r="L1111" s="314"/>
      <c r="O1111" s="333"/>
    </row>
    <row r="1112" spans="3:15" s="289" customFormat="1" ht="31.65" customHeight="1" thickTop="1">
      <c r="C1112" s="51" t="s">
        <v>1195</v>
      </c>
      <c r="D1112" s="52" t="s">
        <v>1196</v>
      </c>
      <c r="E1112" s="52" t="s">
        <v>1197</v>
      </c>
      <c r="F1112" s="52" t="s">
        <v>1198</v>
      </c>
      <c r="G1112" s="52" t="s">
        <v>1199</v>
      </c>
      <c r="H1112" s="53" t="s">
        <v>1200</v>
      </c>
      <c r="I1112" s="126"/>
      <c r="J1112" s="126"/>
      <c r="K1112" s="126"/>
      <c r="O1112" s="333"/>
    </row>
    <row r="1113" spans="3:15" ht="25.8" customHeight="1">
      <c r="C1113" s="290" t="s">
        <v>1201</v>
      </c>
      <c r="D1113" s="182" t="s">
        <v>1202</v>
      </c>
      <c r="E1113" s="70"/>
      <c r="F1113" s="70"/>
      <c r="G1113" s="70"/>
      <c r="H1113" s="71"/>
      <c r="O1113" s="333"/>
    </row>
    <row r="1114" spans="3:15" ht="25.8" customHeight="1">
      <c r="C1114" s="66" t="s">
        <v>1208</v>
      </c>
      <c r="D1114" s="67"/>
      <c r="E1114" s="67"/>
      <c r="F1114" s="68"/>
      <c r="G1114" s="69"/>
      <c r="H1114" s="313">
        <v>0</v>
      </c>
    </row>
    <row r="1115" spans="3:15" ht="25.8" customHeight="1">
      <c r="C1115" s="290" t="s">
        <v>1209</v>
      </c>
      <c r="D1115" s="182" t="s">
        <v>1210</v>
      </c>
      <c r="E1115" s="70"/>
      <c r="F1115" s="336"/>
      <c r="G1115" s="70"/>
      <c r="H1115" s="71"/>
    </row>
    <row r="1116" spans="3:15" ht="25.8" customHeight="1">
      <c r="C1116" s="306" t="s">
        <v>1203</v>
      </c>
      <c r="D1116" s="182" t="s">
        <v>983</v>
      </c>
      <c r="E1116" s="124" t="s">
        <v>65</v>
      </c>
      <c r="F1116" s="127">
        <v>1.1000000000000001</v>
      </c>
      <c r="G1116" s="283">
        <f>VLOOKUP(D1116,upahbahan,3,FALSE)</f>
        <v>0</v>
      </c>
      <c r="H1116" s="284">
        <f>F1116*G1116</f>
        <v>0</v>
      </c>
    </row>
    <row r="1117" spans="3:15" ht="25.8" customHeight="1">
      <c r="C1117" s="66" t="s">
        <v>1214</v>
      </c>
      <c r="D1117" s="67"/>
      <c r="E1117" s="67"/>
      <c r="F1117" s="68"/>
      <c r="G1117" s="69"/>
      <c r="H1117" s="284">
        <f>SUM(H1116:H1116)</f>
        <v>0</v>
      </c>
    </row>
    <row r="1118" spans="3:15" ht="25.8" customHeight="1">
      <c r="C1118" s="290" t="s">
        <v>1215</v>
      </c>
      <c r="D1118" s="182" t="s">
        <v>1216</v>
      </c>
      <c r="E1118" s="70"/>
      <c r="F1118" s="336"/>
      <c r="G1118" s="70"/>
      <c r="H1118" s="105"/>
    </row>
    <row r="1119" spans="3:15" ht="25.8" customHeight="1">
      <c r="C1119" s="306" t="s">
        <v>1203</v>
      </c>
      <c r="D1119" s="285" t="s">
        <v>1177</v>
      </c>
      <c r="E1119" s="124" t="s">
        <v>1074</v>
      </c>
      <c r="F1119" s="118">
        <v>0.16667000000000001</v>
      </c>
      <c r="G1119" s="283">
        <f>VLOOKUP(D1119,upahbahan,3,FALSE)</f>
        <v>42000</v>
      </c>
      <c r="H1119" s="284">
        <f>F1119*G1119</f>
        <v>7000.14</v>
      </c>
    </row>
    <row r="1120" spans="3:15" ht="25.8" customHeight="1">
      <c r="C1120" s="306" t="s">
        <v>1204</v>
      </c>
      <c r="D1120" s="182" t="s">
        <v>1320</v>
      </c>
      <c r="E1120" s="124" t="s">
        <v>1074</v>
      </c>
      <c r="F1120" s="118">
        <v>0.16667000000000001</v>
      </c>
      <c r="G1120" s="283">
        <f>VLOOKUP(D1120,upahbahan,3,FALSE)</f>
        <v>85000</v>
      </c>
      <c r="H1120" s="284">
        <f>F1120*G1120</f>
        <v>14166.95</v>
      </c>
    </row>
    <row r="1121" spans="3:11" ht="25.8" customHeight="1">
      <c r="C1121" s="66" t="s">
        <v>1217</v>
      </c>
      <c r="D1121" s="67"/>
      <c r="E1121" s="67"/>
      <c r="F1121" s="67"/>
      <c r="G1121" s="69"/>
      <c r="H1121" s="284">
        <f>SUM(H1119:H1120)</f>
        <v>21167.09</v>
      </c>
    </row>
    <row r="1122" spans="3:11" s="297" customFormat="1" ht="25.8" customHeight="1">
      <c r="C1122" s="293" t="s">
        <v>1218</v>
      </c>
      <c r="D1122" s="294" t="s">
        <v>1219</v>
      </c>
      <c r="E1122" s="295"/>
      <c r="F1122" s="295"/>
      <c r="G1122" s="296"/>
      <c r="H1122" s="284">
        <f>H1121+H1117+H1114</f>
        <v>21167.09</v>
      </c>
      <c r="I1122" s="119"/>
      <c r="J1122" s="119"/>
      <c r="K1122" s="119"/>
    </row>
    <row r="1123" spans="3:11" s="297" customFormat="1" ht="25.8" customHeight="1">
      <c r="C1123" s="293" t="s">
        <v>1220</v>
      </c>
      <c r="D1123" s="294" t="s">
        <v>1321</v>
      </c>
      <c r="E1123" s="295"/>
      <c r="F1123" s="296"/>
      <c r="G1123" s="298">
        <f>$O$9</f>
        <v>0.1</v>
      </c>
      <c r="H1123" s="284">
        <f>H1122*G1123</f>
        <v>2116.7090000000003</v>
      </c>
      <c r="I1123" s="119"/>
      <c r="J1123" s="119"/>
      <c r="K1123" s="119"/>
    </row>
    <row r="1124" spans="3:11" s="297" customFormat="1" ht="25.8" customHeight="1" thickBot="1">
      <c r="C1124" s="299" t="s">
        <v>1221</v>
      </c>
      <c r="D1124" s="300" t="s">
        <v>1222</v>
      </c>
      <c r="E1124" s="301"/>
      <c r="F1124" s="301"/>
      <c r="G1124" s="302"/>
      <c r="H1124" s="303">
        <f>SUM(H1122:H1123)</f>
        <v>23283.798999999999</v>
      </c>
      <c r="I1124" s="119"/>
      <c r="J1124" s="119"/>
      <c r="K1124" s="119"/>
    </row>
    <row r="1125" spans="3:11" ht="14.4" thickTop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N1146"/>
  <sheetViews>
    <sheetView topLeftCell="A630" zoomScale="71" zoomScaleNormal="71" workbookViewId="0">
      <selection activeCell="A581" sqref="A581:XFD599"/>
    </sheetView>
  </sheetViews>
  <sheetFormatPr defaultColWidth="9.44140625" defaultRowHeight="13.8"/>
  <cols>
    <col min="1" max="2" width="2.44140625" style="280" customWidth="1"/>
    <col min="3" max="3" width="11.44140625" style="289" customWidth="1"/>
    <col min="4" max="4" width="38.77734375" style="280" customWidth="1"/>
    <col min="5" max="5" width="10.21875" style="280" customWidth="1"/>
    <col min="6" max="6" width="8.21875" style="280" customWidth="1"/>
    <col min="7" max="7" width="13.109375" style="280" customWidth="1"/>
    <col min="8" max="8" width="17" style="280" customWidth="1"/>
    <col min="9" max="9" width="18.33203125" style="280" customWidth="1"/>
    <col min="10" max="10" width="19" style="119" customWidth="1"/>
    <col min="11" max="11" width="9.44140625" style="280"/>
    <col min="12" max="12" width="12.109375" style="280" bestFit="1" customWidth="1"/>
    <col min="13" max="16384" width="9.44140625" style="280"/>
  </cols>
  <sheetData>
    <row r="2" spans="3:14">
      <c r="C2" s="126" t="s">
        <v>2341</v>
      </c>
      <c r="D2" s="119" t="s">
        <v>2342</v>
      </c>
      <c r="E2" s="119"/>
    </row>
    <row r="3" spans="3:14" s="119" customFormat="1" ht="15.75" customHeight="1">
      <c r="C3" s="46" t="s">
        <v>2343</v>
      </c>
      <c r="D3" s="47" t="s">
        <v>2344</v>
      </c>
      <c r="E3" s="47"/>
      <c r="F3" s="47"/>
      <c r="G3" s="47"/>
      <c r="H3" s="47"/>
      <c r="I3" s="47"/>
    </row>
    <row r="4" spans="3:14" ht="14.4" thickBot="1">
      <c r="C4" s="126" t="s">
        <v>2345</v>
      </c>
      <c r="D4" s="48" t="s">
        <v>1265</v>
      </c>
      <c r="E4" s="48"/>
      <c r="F4" s="49"/>
      <c r="G4" s="49"/>
      <c r="H4" s="49"/>
      <c r="I4" s="49"/>
      <c r="J4" s="120">
        <f>ROUNDDOWN(I20,-2)</f>
        <v>683400</v>
      </c>
    </row>
    <row r="5" spans="3:14" s="289" customFormat="1" ht="31.65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</row>
    <row r="6" spans="3:14" ht="21.6" customHeight="1">
      <c r="C6" s="290" t="s">
        <v>1201</v>
      </c>
      <c r="D6" s="182" t="s">
        <v>1202</v>
      </c>
      <c r="E6" s="182"/>
      <c r="F6" s="70"/>
      <c r="G6" s="70"/>
      <c r="H6" s="70"/>
      <c r="I6" s="71"/>
      <c r="K6" s="59" t="s">
        <v>1247</v>
      </c>
      <c r="L6" s="59"/>
      <c r="M6" s="59"/>
      <c r="N6" s="59"/>
    </row>
    <row r="7" spans="3:14" ht="21.6" customHeight="1">
      <c r="C7" s="281">
        <v>1</v>
      </c>
      <c r="D7" s="182" t="s">
        <v>5</v>
      </c>
      <c r="E7" s="176" t="s">
        <v>1774</v>
      </c>
      <c r="F7" s="176" t="s">
        <v>6</v>
      </c>
      <c r="G7" s="282">
        <v>0.78</v>
      </c>
      <c r="H7" s="283">
        <f>VLOOKUP(D7,upahbahan,3,FALSE)</f>
        <v>100000</v>
      </c>
      <c r="I7" s="284">
        <f>G7*H7</f>
        <v>78000</v>
      </c>
      <c r="K7" s="59" t="s">
        <v>1248</v>
      </c>
      <c r="L7" s="59"/>
      <c r="M7" s="59"/>
      <c r="N7" s="65">
        <v>0.1</v>
      </c>
    </row>
    <row r="8" spans="3:14" s="59" customFormat="1" ht="21.6" customHeight="1">
      <c r="C8" s="281">
        <v>2</v>
      </c>
      <c r="D8" s="182" t="s">
        <v>7</v>
      </c>
      <c r="E8" s="176" t="s">
        <v>1775</v>
      </c>
      <c r="F8" s="176" t="s">
        <v>6</v>
      </c>
      <c r="G8" s="282">
        <v>0.39</v>
      </c>
      <c r="H8" s="283">
        <f>VLOOKUP(D8,upahbahan,3,FALSE)</f>
        <v>135000</v>
      </c>
      <c r="I8" s="284">
        <f>G8*H8</f>
        <v>52650</v>
      </c>
      <c r="J8" s="119"/>
    </row>
    <row r="9" spans="3:14" s="59" customFormat="1" ht="21.6" customHeight="1">
      <c r="C9" s="281">
        <v>3</v>
      </c>
      <c r="D9" s="182" t="s">
        <v>18</v>
      </c>
      <c r="E9" s="176" t="s">
        <v>1776</v>
      </c>
      <c r="F9" s="176" t="s">
        <v>6</v>
      </c>
      <c r="G9" s="282">
        <v>3.9E-2</v>
      </c>
      <c r="H9" s="283">
        <f>VLOOKUP(D9,upahbahan,3,FALSE)</f>
        <v>150000</v>
      </c>
      <c r="I9" s="284">
        <f>G9*H9</f>
        <v>5850</v>
      </c>
      <c r="J9" s="119"/>
    </row>
    <row r="10" spans="3:14" s="59" customFormat="1" ht="21.6" customHeight="1">
      <c r="C10" s="281">
        <v>4</v>
      </c>
      <c r="D10" s="182" t="s">
        <v>19</v>
      </c>
      <c r="E10" s="176" t="s">
        <v>1777</v>
      </c>
      <c r="F10" s="176" t="s">
        <v>6</v>
      </c>
      <c r="G10" s="282">
        <v>1.2999999999999999E-2</v>
      </c>
      <c r="H10" s="283">
        <f>VLOOKUP(D10,upahbahan,3,FALSE)</f>
        <v>160000</v>
      </c>
      <c r="I10" s="284">
        <f>G10*H10</f>
        <v>2080</v>
      </c>
      <c r="J10" s="119"/>
    </row>
    <row r="11" spans="3:14" ht="21.6" customHeight="1">
      <c r="C11" s="66" t="s">
        <v>1208</v>
      </c>
      <c r="D11" s="67"/>
      <c r="E11" s="67"/>
      <c r="F11" s="67"/>
      <c r="G11" s="68"/>
      <c r="H11" s="69"/>
      <c r="I11" s="284">
        <f>SUM(I7:I10)</f>
        <v>138580</v>
      </c>
    </row>
    <row r="12" spans="3:14" ht="21.6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</row>
    <row r="13" spans="3:14" ht="21.6" customHeight="1">
      <c r="C13" s="281">
        <v>1</v>
      </c>
      <c r="D13" s="285" t="s">
        <v>56</v>
      </c>
      <c r="E13" s="285"/>
      <c r="F13" s="291" t="s">
        <v>42</v>
      </c>
      <c r="G13" s="282">
        <v>1.2</v>
      </c>
      <c r="H13" s="283">
        <f>VLOOKUP(D13,upahbahan,3,FALSE)</f>
        <v>322875</v>
      </c>
      <c r="I13" s="284">
        <f>G13*H13</f>
        <v>387450</v>
      </c>
    </row>
    <row r="14" spans="3:14" ht="21.6" customHeight="1">
      <c r="C14" s="281">
        <v>2</v>
      </c>
      <c r="D14" s="182" t="s">
        <v>88</v>
      </c>
      <c r="E14" s="182"/>
      <c r="F14" s="291" t="s">
        <v>42</v>
      </c>
      <c r="G14" s="282">
        <v>0.432</v>
      </c>
      <c r="H14" s="283">
        <f>VLOOKUP(D14,upahbahan,3,FALSE)</f>
        <v>220500</v>
      </c>
      <c r="I14" s="284">
        <f>G14*H14</f>
        <v>95256</v>
      </c>
    </row>
    <row r="15" spans="3:14" ht="21.6" customHeight="1">
      <c r="C15" s="66" t="s">
        <v>1214</v>
      </c>
      <c r="D15" s="67"/>
      <c r="E15" s="67"/>
      <c r="F15" s="67"/>
      <c r="G15" s="67"/>
      <c r="H15" s="69"/>
      <c r="I15" s="284">
        <f>SUM(I13:I14)</f>
        <v>482706</v>
      </c>
    </row>
    <row r="16" spans="3:14" ht="21.6" customHeight="1">
      <c r="C16" s="290" t="s">
        <v>1215</v>
      </c>
      <c r="D16" s="182" t="s">
        <v>1216</v>
      </c>
      <c r="E16" s="182"/>
      <c r="F16" s="70"/>
      <c r="G16" s="70"/>
      <c r="H16" s="70"/>
      <c r="I16" s="71"/>
    </row>
    <row r="17" spans="3:10" ht="21.6" customHeight="1">
      <c r="C17" s="66" t="s">
        <v>1217</v>
      </c>
      <c r="D17" s="67"/>
      <c r="E17" s="67"/>
      <c r="F17" s="67"/>
      <c r="G17" s="67"/>
      <c r="H17" s="69"/>
      <c r="I17" s="292">
        <v>0</v>
      </c>
    </row>
    <row r="18" spans="3:10" s="297" customFormat="1" ht="21.6" customHeight="1">
      <c r="C18" s="293" t="s">
        <v>1218</v>
      </c>
      <c r="D18" s="294" t="s">
        <v>1219</v>
      </c>
      <c r="E18" s="295"/>
      <c r="F18" s="295"/>
      <c r="G18" s="295"/>
      <c r="H18" s="296"/>
      <c r="I18" s="284">
        <f>I17+I15+I11</f>
        <v>621286</v>
      </c>
      <c r="J18" s="119"/>
    </row>
    <row r="19" spans="3:10" s="297" customFormat="1" ht="21.6" customHeight="1">
      <c r="C19" s="293" t="s">
        <v>1220</v>
      </c>
      <c r="D19" s="294" t="s">
        <v>1321</v>
      </c>
      <c r="E19" s="295"/>
      <c r="F19" s="295"/>
      <c r="G19" s="296"/>
      <c r="H19" s="298">
        <f>$N$7</f>
        <v>0.1</v>
      </c>
      <c r="I19" s="284">
        <f>I18*H19</f>
        <v>62128.600000000006</v>
      </c>
      <c r="J19" s="119"/>
    </row>
    <row r="20" spans="3:10" s="297" customFormat="1" ht="21.6" customHeight="1" thickBot="1">
      <c r="C20" s="299" t="s">
        <v>1221</v>
      </c>
      <c r="D20" s="300" t="s">
        <v>1222</v>
      </c>
      <c r="E20" s="301"/>
      <c r="F20" s="301"/>
      <c r="G20" s="301"/>
      <c r="H20" s="302"/>
      <c r="I20" s="303">
        <f>SUM(I18:I19)</f>
        <v>683414.6</v>
      </c>
      <c r="J20" s="119"/>
    </row>
    <row r="21" spans="3:10" s="297" customFormat="1" ht="14.4" thickTop="1">
      <c r="C21" s="289"/>
      <c r="I21" s="139"/>
      <c r="J21" s="119"/>
    </row>
    <row r="22" spans="3:10" s="119" customFormat="1" ht="33.75" customHeight="1" thickBot="1">
      <c r="C22" s="119" t="s">
        <v>2346</v>
      </c>
      <c r="D22" s="47" t="s">
        <v>2347</v>
      </c>
      <c r="E22" s="88"/>
      <c r="F22" s="88"/>
      <c r="G22" s="88"/>
      <c r="H22" s="88"/>
      <c r="I22" s="88"/>
      <c r="J22" s="120">
        <f>ROUNDDOWN(I38,-2)</f>
        <v>1266200</v>
      </c>
    </row>
    <row r="23" spans="3:10" s="289" customFormat="1" ht="31.65" customHeight="1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  <c r="J23" s="126"/>
    </row>
    <row r="24" spans="3:10" ht="21.6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</row>
    <row r="25" spans="3:10" ht="21.6" customHeight="1">
      <c r="C25" s="281">
        <v>1</v>
      </c>
      <c r="D25" s="182" t="s">
        <v>5</v>
      </c>
      <c r="E25" s="182" t="s">
        <v>1774</v>
      </c>
      <c r="F25" s="176" t="s">
        <v>6</v>
      </c>
      <c r="G25" s="282">
        <v>1.5</v>
      </c>
      <c r="H25" s="283">
        <f>VLOOKUP(D25,upahbahan,3,FALSE)</f>
        <v>100000</v>
      </c>
      <c r="I25" s="284">
        <f>G25*H25</f>
        <v>150000</v>
      </c>
    </row>
    <row r="26" spans="3:10" ht="21.6" customHeight="1">
      <c r="C26" s="281">
        <v>2</v>
      </c>
      <c r="D26" s="182" t="s">
        <v>7</v>
      </c>
      <c r="E26" s="182" t="s">
        <v>1775</v>
      </c>
      <c r="F26" s="176" t="s">
        <v>6</v>
      </c>
      <c r="G26" s="282">
        <v>0.5</v>
      </c>
      <c r="H26" s="283">
        <f>VLOOKUP(D26,upahbahan,3,FALSE)</f>
        <v>135000</v>
      </c>
      <c r="I26" s="284">
        <f>G26*H26</f>
        <v>67500</v>
      </c>
    </row>
    <row r="27" spans="3:10" ht="21.6" customHeight="1">
      <c r="C27" s="281">
        <v>3</v>
      </c>
      <c r="D27" s="182" t="s">
        <v>19</v>
      </c>
      <c r="E27" s="182" t="s">
        <v>1777</v>
      </c>
      <c r="F27" s="176" t="s">
        <v>6</v>
      </c>
      <c r="G27" s="282">
        <v>0.15</v>
      </c>
      <c r="H27" s="283">
        <f>VLOOKUP(D27,upahbahan,3,FALSE)</f>
        <v>160000</v>
      </c>
      <c r="I27" s="284">
        <f>G27*H27</f>
        <v>24000</v>
      </c>
    </row>
    <row r="28" spans="3:10" ht="21.6" customHeight="1">
      <c r="C28" s="66" t="s">
        <v>1208</v>
      </c>
      <c r="D28" s="67"/>
      <c r="E28" s="67"/>
      <c r="F28" s="67"/>
      <c r="G28" s="68"/>
      <c r="H28" s="69"/>
      <c r="I28" s="284">
        <f>SUM(I24:I27)</f>
        <v>241500</v>
      </c>
    </row>
    <row r="29" spans="3:10" ht="21.6" customHeight="1">
      <c r="C29" s="290" t="s">
        <v>1209</v>
      </c>
      <c r="D29" s="182" t="s">
        <v>1210</v>
      </c>
      <c r="E29" s="182"/>
      <c r="F29" s="70"/>
      <c r="G29" s="70"/>
      <c r="H29" s="70"/>
      <c r="I29" s="71"/>
    </row>
    <row r="30" spans="3:10" ht="21.6" customHeight="1">
      <c r="C30" s="281">
        <v>1</v>
      </c>
      <c r="D30" s="285" t="s">
        <v>56</v>
      </c>
      <c r="E30" s="285"/>
      <c r="F30" s="176" t="s">
        <v>42</v>
      </c>
      <c r="G30" s="282">
        <v>1.2</v>
      </c>
      <c r="H30" s="283">
        <f>VLOOKUP(D30,upahbahan,3,FALSE)</f>
        <v>322875</v>
      </c>
      <c r="I30" s="284">
        <f>G30*H30</f>
        <v>387450</v>
      </c>
    </row>
    <row r="31" spans="3:10" ht="21.6" customHeight="1">
      <c r="C31" s="281">
        <v>2</v>
      </c>
      <c r="D31" s="182" t="s">
        <v>2334</v>
      </c>
      <c r="E31" s="182"/>
      <c r="F31" s="176" t="s">
        <v>65</v>
      </c>
      <c r="G31" s="282">
        <v>252</v>
      </c>
      <c r="H31" s="283">
        <f>VLOOKUP(D31,upahbahan,3,FALSE)</f>
        <v>1530</v>
      </c>
      <c r="I31" s="284">
        <f>G31*H31</f>
        <v>385560</v>
      </c>
    </row>
    <row r="32" spans="3:10" ht="21.6" customHeight="1">
      <c r="C32" s="281">
        <v>3</v>
      </c>
      <c r="D32" s="285" t="s">
        <v>85</v>
      </c>
      <c r="E32" s="285"/>
      <c r="F32" s="176" t="s">
        <v>42</v>
      </c>
      <c r="G32" s="282">
        <v>0.44</v>
      </c>
      <c r="H32" s="283">
        <f>VLOOKUP(D32,upahbahan,3,FALSE)</f>
        <v>310500</v>
      </c>
      <c r="I32" s="284">
        <f>G32*H32</f>
        <v>136620</v>
      </c>
    </row>
    <row r="33" spans="3:10" ht="21.6" customHeight="1">
      <c r="C33" s="66" t="s">
        <v>1214</v>
      </c>
      <c r="D33" s="67"/>
      <c r="E33" s="67"/>
      <c r="F33" s="67"/>
      <c r="G33" s="67"/>
      <c r="H33" s="69"/>
      <c r="I33" s="284">
        <f>SUM(I30:I32)</f>
        <v>909630</v>
      </c>
    </row>
    <row r="34" spans="3:10" ht="21.6" customHeight="1">
      <c r="C34" s="290" t="s">
        <v>1215</v>
      </c>
      <c r="D34" s="182" t="s">
        <v>1216</v>
      </c>
      <c r="E34" s="182"/>
      <c r="F34" s="70"/>
      <c r="G34" s="70"/>
      <c r="H34" s="70"/>
      <c r="I34" s="71"/>
    </row>
    <row r="35" spans="3:10" ht="21.6" customHeight="1">
      <c r="C35" s="66" t="s">
        <v>1217</v>
      </c>
      <c r="D35" s="67"/>
      <c r="E35" s="67"/>
      <c r="F35" s="67"/>
      <c r="G35" s="67"/>
      <c r="H35" s="69"/>
      <c r="I35" s="292">
        <v>0</v>
      </c>
    </row>
    <row r="36" spans="3:10" s="297" customFormat="1" ht="21.6" customHeight="1">
      <c r="C36" s="293" t="s">
        <v>1218</v>
      </c>
      <c r="D36" s="294" t="s">
        <v>1219</v>
      </c>
      <c r="E36" s="295"/>
      <c r="F36" s="295"/>
      <c r="G36" s="295"/>
      <c r="H36" s="296"/>
      <c r="I36" s="284">
        <f>I35+I33+I28</f>
        <v>1151130</v>
      </c>
      <c r="J36" s="119"/>
    </row>
    <row r="37" spans="3:10" s="297" customFormat="1" ht="21.6" customHeight="1">
      <c r="C37" s="293" t="s">
        <v>1220</v>
      </c>
      <c r="D37" s="294" t="s">
        <v>1321</v>
      </c>
      <c r="E37" s="295"/>
      <c r="F37" s="295"/>
      <c r="G37" s="296"/>
      <c r="H37" s="298">
        <f>$N$7</f>
        <v>0.1</v>
      </c>
      <c r="I37" s="284">
        <f>I36*H37</f>
        <v>115113</v>
      </c>
      <c r="J37" s="119"/>
    </row>
    <row r="38" spans="3:10" s="297" customFormat="1" ht="21.6" customHeight="1" thickBot="1">
      <c r="C38" s="299" t="s">
        <v>1221</v>
      </c>
      <c r="D38" s="300" t="s">
        <v>1222</v>
      </c>
      <c r="E38" s="301"/>
      <c r="F38" s="301"/>
      <c r="G38" s="301"/>
      <c r="H38" s="302"/>
      <c r="I38" s="303">
        <f>SUM(I36:I37)</f>
        <v>1266243</v>
      </c>
      <c r="J38" s="119"/>
    </row>
    <row r="39" spans="3:10" ht="14.4" thickTop="1">
      <c r="C39" s="304"/>
      <c r="D39" s="304"/>
      <c r="E39" s="304"/>
      <c r="F39" s="304"/>
      <c r="G39" s="304"/>
      <c r="H39" s="304"/>
      <c r="I39" s="305"/>
    </row>
    <row r="40" spans="3:10" ht="32.25" customHeight="1" thickBot="1">
      <c r="C40" s="126" t="s">
        <v>2348</v>
      </c>
      <c r="D40" s="47" t="s">
        <v>2349</v>
      </c>
      <c r="E40" s="88"/>
      <c r="F40" s="88"/>
      <c r="G40" s="88"/>
      <c r="H40" s="88"/>
      <c r="I40" s="88"/>
      <c r="J40" s="120">
        <f>ROUNDDOWN(I57,-2)</f>
        <v>1217000</v>
      </c>
    </row>
    <row r="41" spans="3:10" s="289" customFormat="1" ht="31.65" customHeight="1" thickTop="1">
      <c r="C41" s="51" t="s">
        <v>1195</v>
      </c>
      <c r="D41" s="52" t="s">
        <v>1196</v>
      </c>
      <c r="E41" s="52" t="s">
        <v>1906</v>
      </c>
      <c r="F41" s="52" t="s">
        <v>1197</v>
      </c>
      <c r="G41" s="52" t="s">
        <v>1198</v>
      </c>
      <c r="H41" s="52" t="s">
        <v>1199</v>
      </c>
      <c r="I41" s="53" t="s">
        <v>1200</v>
      </c>
      <c r="J41" s="126"/>
    </row>
    <row r="42" spans="3:10" ht="21.6" customHeight="1">
      <c r="C42" s="290" t="s">
        <v>1201</v>
      </c>
      <c r="D42" s="182" t="s">
        <v>1202</v>
      </c>
      <c r="E42" s="182"/>
      <c r="F42" s="70"/>
      <c r="G42" s="70"/>
      <c r="H42" s="70"/>
      <c r="I42" s="71"/>
    </row>
    <row r="43" spans="3:10" ht="21.6" customHeight="1">
      <c r="C43" s="281">
        <v>1</v>
      </c>
      <c r="D43" s="182" t="s">
        <v>5</v>
      </c>
      <c r="E43" s="176" t="s">
        <v>1774</v>
      </c>
      <c r="F43" s="176" t="s">
        <v>6</v>
      </c>
      <c r="G43" s="282">
        <v>1</v>
      </c>
      <c r="H43" s="283">
        <f>VLOOKUP(D43,upahbahan,3,FALSE)</f>
        <v>100000</v>
      </c>
      <c r="I43" s="284">
        <f>G43*H43</f>
        <v>100000</v>
      </c>
    </row>
    <row r="44" spans="3:10" ht="21.6" customHeight="1">
      <c r="C44" s="281">
        <v>2</v>
      </c>
      <c r="D44" s="182" t="s">
        <v>7</v>
      </c>
      <c r="E44" s="176" t="s">
        <v>1775</v>
      </c>
      <c r="F44" s="176" t="s">
        <v>6</v>
      </c>
      <c r="G44" s="282">
        <v>0.5</v>
      </c>
      <c r="H44" s="283">
        <f>VLOOKUP(D44,upahbahan,3,FALSE)</f>
        <v>135000</v>
      </c>
      <c r="I44" s="284">
        <f>G44*H44</f>
        <v>67500</v>
      </c>
    </row>
    <row r="45" spans="3:10" ht="21.6" customHeight="1">
      <c r="C45" s="281">
        <v>3</v>
      </c>
      <c r="D45" s="182" t="s">
        <v>19</v>
      </c>
      <c r="E45" s="176" t="s">
        <v>1777</v>
      </c>
      <c r="F45" s="176" t="s">
        <v>6</v>
      </c>
      <c r="G45" s="282">
        <v>0.1</v>
      </c>
      <c r="H45" s="283">
        <f>VLOOKUP(D45,upahbahan,3,FALSE)</f>
        <v>160000</v>
      </c>
      <c r="I45" s="284">
        <f>G45*H45</f>
        <v>16000</v>
      </c>
    </row>
    <row r="46" spans="3:10" ht="21.6" customHeight="1">
      <c r="C46" s="66" t="s">
        <v>1208</v>
      </c>
      <c r="D46" s="67"/>
      <c r="E46" s="67"/>
      <c r="F46" s="67"/>
      <c r="G46" s="68"/>
      <c r="H46" s="69"/>
      <c r="I46" s="284">
        <f>SUM(I43:I45)</f>
        <v>183500</v>
      </c>
    </row>
    <row r="47" spans="3:10" ht="21.6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</row>
    <row r="48" spans="3:10" ht="21.6" customHeight="1">
      <c r="C48" s="281">
        <v>1</v>
      </c>
      <c r="D48" s="285" t="s">
        <v>56</v>
      </c>
      <c r="E48" s="285"/>
      <c r="F48" s="176" t="s">
        <v>42</v>
      </c>
      <c r="G48" s="282">
        <v>1.2</v>
      </c>
      <c r="H48" s="283">
        <f>VLOOKUP(D48,upahbahan,3,FALSE)</f>
        <v>322875</v>
      </c>
      <c r="I48" s="284">
        <f>G48*H48</f>
        <v>387450</v>
      </c>
    </row>
    <row r="49" spans="3:10" ht="21.6" customHeight="1">
      <c r="C49" s="281">
        <v>2</v>
      </c>
      <c r="D49" s="182" t="s">
        <v>2332</v>
      </c>
      <c r="E49" s="182"/>
      <c r="F49" s="176" t="s">
        <v>65</v>
      </c>
      <c r="G49" s="282">
        <v>252</v>
      </c>
      <c r="H49" s="283">
        <f>VLOOKUP(D49,upahbahan,3,FALSE)</f>
        <v>1530</v>
      </c>
      <c r="I49" s="284">
        <f>G49*H49</f>
        <v>385560</v>
      </c>
    </row>
    <row r="50" spans="3:10" ht="21.6" customHeight="1">
      <c r="C50" s="281">
        <v>3</v>
      </c>
      <c r="D50" s="285" t="s">
        <v>85</v>
      </c>
      <c r="E50" s="285"/>
      <c r="F50" s="176" t="s">
        <v>42</v>
      </c>
      <c r="G50" s="282">
        <v>0.44</v>
      </c>
      <c r="H50" s="283">
        <f>VLOOKUP(D50,upahbahan,3,FALSE)</f>
        <v>310500</v>
      </c>
      <c r="I50" s="284">
        <f>G50*H50</f>
        <v>136620</v>
      </c>
    </row>
    <row r="51" spans="3:10" ht="21.6" customHeight="1">
      <c r="C51" s="66" t="s">
        <v>1214</v>
      </c>
      <c r="D51" s="67"/>
      <c r="E51" s="67"/>
      <c r="F51" s="67"/>
      <c r="G51" s="67"/>
      <c r="H51" s="69"/>
      <c r="I51" s="284">
        <f>SUM(I48:I50)</f>
        <v>909630</v>
      </c>
    </row>
    <row r="52" spans="3:10" ht="21.6" customHeight="1">
      <c r="C52" s="290" t="s">
        <v>1215</v>
      </c>
      <c r="D52" s="182" t="s">
        <v>1216</v>
      </c>
      <c r="E52" s="182"/>
      <c r="F52" s="70"/>
      <c r="G52" s="70"/>
      <c r="H52" s="70"/>
      <c r="I52" s="71"/>
    </row>
    <row r="53" spans="3:10" ht="21.6" customHeight="1">
      <c r="C53" s="306" t="s">
        <v>1203</v>
      </c>
      <c r="D53" s="182" t="s">
        <v>1167</v>
      </c>
      <c r="E53" s="182"/>
      <c r="F53" s="124" t="s">
        <v>1080</v>
      </c>
      <c r="G53" s="118">
        <v>4.4299999999999999E-2</v>
      </c>
      <c r="H53" s="283">
        <f>VLOOKUP(D53,upahbahan,3,FALSE)</f>
        <v>300000</v>
      </c>
      <c r="I53" s="284">
        <f>G53*H53</f>
        <v>13290</v>
      </c>
    </row>
    <row r="54" spans="3:10" ht="21.6" customHeight="1">
      <c r="C54" s="66" t="s">
        <v>1217</v>
      </c>
      <c r="D54" s="67"/>
      <c r="E54" s="67"/>
      <c r="F54" s="67"/>
      <c r="G54" s="67"/>
      <c r="H54" s="69"/>
      <c r="I54" s="284">
        <f>SUM(I53)</f>
        <v>13290</v>
      </c>
    </row>
    <row r="55" spans="3:10" s="297" customFormat="1" ht="21.6" customHeight="1">
      <c r="C55" s="293" t="s">
        <v>1218</v>
      </c>
      <c r="D55" s="294" t="s">
        <v>1219</v>
      </c>
      <c r="E55" s="295"/>
      <c r="F55" s="295"/>
      <c r="G55" s="295"/>
      <c r="H55" s="296"/>
      <c r="I55" s="284">
        <f>I54+I51+I46</f>
        <v>1106420</v>
      </c>
      <c r="J55" s="119"/>
    </row>
    <row r="56" spans="3:10" s="297" customFormat="1" ht="21.6" customHeight="1">
      <c r="C56" s="293" t="s">
        <v>1220</v>
      </c>
      <c r="D56" s="294" t="s">
        <v>1321</v>
      </c>
      <c r="E56" s="295"/>
      <c r="F56" s="295"/>
      <c r="G56" s="296"/>
      <c r="H56" s="298">
        <f>$N$7</f>
        <v>0.1</v>
      </c>
      <c r="I56" s="284">
        <f>I55*H56</f>
        <v>110642</v>
      </c>
      <c r="J56" s="119"/>
    </row>
    <row r="57" spans="3:10" s="297" customFormat="1" ht="21.6" customHeight="1" thickBot="1">
      <c r="C57" s="299" t="s">
        <v>1221</v>
      </c>
      <c r="D57" s="300" t="s">
        <v>1222</v>
      </c>
      <c r="E57" s="301"/>
      <c r="F57" s="301"/>
      <c r="G57" s="301"/>
      <c r="H57" s="302"/>
      <c r="I57" s="303">
        <f>SUM(I55:I56)</f>
        <v>1217062</v>
      </c>
      <c r="J57" s="119"/>
    </row>
    <row r="58" spans="3:10" ht="14.4" thickTop="1">
      <c r="C58" s="304"/>
      <c r="D58" s="304"/>
      <c r="E58" s="304"/>
      <c r="F58" s="304"/>
      <c r="G58" s="304"/>
      <c r="H58" s="304"/>
      <c r="I58" s="305"/>
    </row>
    <row r="59" spans="3:10" ht="32.25" customHeight="1" thickBot="1">
      <c r="C59" s="126" t="s">
        <v>2350</v>
      </c>
      <c r="D59" s="47" t="s">
        <v>1266</v>
      </c>
      <c r="E59" s="88"/>
      <c r="F59" s="88"/>
      <c r="G59" s="88"/>
      <c r="H59" s="88"/>
      <c r="I59" s="88"/>
      <c r="J59" s="120">
        <f>ROUNDDOWN(I75,-2)</f>
        <v>1197400</v>
      </c>
    </row>
    <row r="60" spans="3:10" s="289" customFormat="1" ht="31.65" customHeight="1" thickTop="1">
      <c r="C60" s="51" t="s">
        <v>1195</v>
      </c>
      <c r="D60" s="52" t="s">
        <v>1196</v>
      </c>
      <c r="E60" s="52" t="s">
        <v>1906</v>
      </c>
      <c r="F60" s="52" t="s">
        <v>1197</v>
      </c>
      <c r="G60" s="52" t="s">
        <v>1198</v>
      </c>
      <c r="H60" s="52" t="s">
        <v>1199</v>
      </c>
      <c r="I60" s="53" t="s">
        <v>1200</v>
      </c>
      <c r="J60" s="126"/>
    </row>
    <row r="61" spans="3:10" ht="21.6" customHeight="1">
      <c r="C61" s="290" t="s">
        <v>1201</v>
      </c>
      <c r="D61" s="182" t="s">
        <v>1202</v>
      </c>
      <c r="E61" s="182"/>
      <c r="F61" s="70"/>
      <c r="G61" s="70"/>
      <c r="H61" s="70"/>
      <c r="I61" s="71"/>
    </row>
    <row r="62" spans="3:10" ht="21.6" customHeight="1">
      <c r="C62" s="281">
        <v>1</v>
      </c>
      <c r="D62" s="182" t="s">
        <v>5</v>
      </c>
      <c r="E62" s="176" t="s">
        <v>1774</v>
      </c>
      <c r="F62" s="176" t="s">
        <v>6</v>
      </c>
      <c r="G62" s="282">
        <v>1.5</v>
      </c>
      <c r="H62" s="283">
        <f>VLOOKUP(D62,upahbahan,3,FALSE)</f>
        <v>100000</v>
      </c>
      <c r="I62" s="284">
        <f>G62*H62</f>
        <v>150000</v>
      </c>
    </row>
    <row r="63" spans="3:10" ht="21.6" customHeight="1">
      <c r="C63" s="281">
        <v>2</v>
      </c>
      <c r="D63" s="182" t="s">
        <v>7</v>
      </c>
      <c r="E63" s="176" t="s">
        <v>1775</v>
      </c>
      <c r="F63" s="176" t="s">
        <v>6</v>
      </c>
      <c r="G63" s="282">
        <v>0.5</v>
      </c>
      <c r="H63" s="283">
        <f>VLOOKUP(D63,upahbahan,3,FALSE)</f>
        <v>135000</v>
      </c>
      <c r="I63" s="284">
        <f>G63*H63</f>
        <v>67500</v>
      </c>
    </row>
    <row r="64" spans="3:10" ht="21.6" customHeight="1">
      <c r="C64" s="281">
        <v>3</v>
      </c>
      <c r="D64" s="182" t="s">
        <v>19</v>
      </c>
      <c r="E64" s="176" t="s">
        <v>1777</v>
      </c>
      <c r="F64" s="176" t="s">
        <v>6</v>
      </c>
      <c r="G64" s="282">
        <v>0.15</v>
      </c>
      <c r="H64" s="283">
        <f>VLOOKUP(D64,upahbahan,3,FALSE)</f>
        <v>160000</v>
      </c>
      <c r="I64" s="284">
        <f>G64*H64</f>
        <v>24000</v>
      </c>
    </row>
    <row r="65" spans="3:10" ht="21.6" customHeight="1">
      <c r="C65" s="66" t="s">
        <v>1208</v>
      </c>
      <c r="D65" s="67"/>
      <c r="E65" s="67"/>
      <c r="F65" s="67"/>
      <c r="G65" s="68"/>
      <c r="H65" s="69"/>
      <c r="I65" s="284">
        <f>SUM(I62:I64)</f>
        <v>241500</v>
      </c>
    </row>
    <row r="66" spans="3:10" ht="21.6" customHeight="1">
      <c r="C66" s="290" t="s">
        <v>1209</v>
      </c>
      <c r="D66" s="182" t="s">
        <v>1210</v>
      </c>
      <c r="E66" s="182"/>
      <c r="F66" s="70"/>
      <c r="G66" s="70"/>
      <c r="H66" s="70"/>
      <c r="I66" s="71"/>
    </row>
    <row r="67" spans="3:10" ht="21.6" customHeight="1">
      <c r="C67" s="281">
        <v>1</v>
      </c>
      <c r="D67" s="285" t="s">
        <v>56</v>
      </c>
      <c r="E67" s="285"/>
      <c r="F67" s="176" t="s">
        <v>42</v>
      </c>
      <c r="G67" s="282">
        <v>1.2</v>
      </c>
      <c r="H67" s="283">
        <f>VLOOKUP(D67,upahbahan,3,FALSE)</f>
        <v>322875</v>
      </c>
      <c r="I67" s="284">
        <f>G67*H67</f>
        <v>387450</v>
      </c>
    </row>
    <row r="68" spans="3:10" ht="21.6" customHeight="1">
      <c r="C68" s="281">
        <v>2</v>
      </c>
      <c r="D68" s="182" t="s">
        <v>2332</v>
      </c>
      <c r="E68" s="182"/>
      <c r="F68" s="176" t="s">
        <v>65</v>
      </c>
      <c r="G68" s="282">
        <v>202</v>
      </c>
      <c r="H68" s="283">
        <f>VLOOKUP(D68,upahbahan,3,FALSE)</f>
        <v>1530</v>
      </c>
      <c r="I68" s="284">
        <f>G68*H68</f>
        <v>309060</v>
      </c>
    </row>
    <row r="69" spans="3:10" ht="21.6" customHeight="1">
      <c r="C69" s="281">
        <v>3</v>
      </c>
      <c r="D69" s="285" t="s">
        <v>85</v>
      </c>
      <c r="E69" s="285"/>
      <c r="F69" s="176" t="s">
        <v>42</v>
      </c>
      <c r="G69" s="282">
        <v>0.48499999999999999</v>
      </c>
      <c r="H69" s="283">
        <f>VLOOKUP(D69,upahbahan,3,FALSE)</f>
        <v>310500</v>
      </c>
      <c r="I69" s="284">
        <f>G69*H69</f>
        <v>150592.5</v>
      </c>
    </row>
    <row r="70" spans="3:10" ht="21.6" customHeight="1">
      <c r="C70" s="66" t="s">
        <v>1214</v>
      </c>
      <c r="D70" s="67"/>
      <c r="E70" s="67"/>
      <c r="F70" s="67"/>
      <c r="G70" s="67"/>
      <c r="H70" s="69"/>
      <c r="I70" s="284">
        <f>SUM(I67:I69)</f>
        <v>847102.5</v>
      </c>
    </row>
    <row r="71" spans="3:10" ht="21.6" customHeight="1">
      <c r="C71" s="290" t="s">
        <v>1215</v>
      </c>
      <c r="D71" s="182" t="s">
        <v>1216</v>
      </c>
      <c r="E71" s="182"/>
      <c r="F71" s="70"/>
      <c r="G71" s="70"/>
      <c r="H71" s="70"/>
      <c r="I71" s="71"/>
    </row>
    <row r="72" spans="3:10" ht="21.6" customHeight="1">
      <c r="C72" s="66" t="s">
        <v>1217</v>
      </c>
      <c r="D72" s="67"/>
      <c r="E72" s="67"/>
      <c r="F72" s="67"/>
      <c r="G72" s="67"/>
      <c r="H72" s="69"/>
      <c r="I72" s="292">
        <v>0</v>
      </c>
    </row>
    <row r="73" spans="3:10" s="297" customFormat="1" ht="21.6" customHeight="1">
      <c r="C73" s="293" t="s">
        <v>1218</v>
      </c>
      <c r="D73" s="294" t="s">
        <v>1219</v>
      </c>
      <c r="E73" s="295"/>
      <c r="F73" s="295"/>
      <c r="G73" s="295"/>
      <c r="H73" s="296"/>
      <c r="I73" s="284">
        <f>I72+I70+I65</f>
        <v>1088602.5</v>
      </c>
      <c r="J73" s="119"/>
    </row>
    <row r="74" spans="3:10" s="297" customFormat="1" ht="21.6" customHeight="1">
      <c r="C74" s="293" t="s">
        <v>1220</v>
      </c>
      <c r="D74" s="294" t="s">
        <v>1321</v>
      </c>
      <c r="E74" s="295"/>
      <c r="F74" s="295"/>
      <c r="G74" s="296"/>
      <c r="H74" s="298">
        <f>$N$7</f>
        <v>0.1</v>
      </c>
      <c r="I74" s="284">
        <f>I73*H74</f>
        <v>108860.25</v>
      </c>
      <c r="J74" s="119"/>
    </row>
    <row r="75" spans="3:10" s="297" customFormat="1" ht="21.6" customHeight="1" thickBot="1">
      <c r="C75" s="299" t="s">
        <v>1221</v>
      </c>
      <c r="D75" s="300" t="s">
        <v>1222</v>
      </c>
      <c r="E75" s="301"/>
      <c r="F75" s="301"/>
      <c r="G75" s="301"/>
      <c r="H75" s="302"/>
      <c r="I75" s="303">
        <f>SUM(I73:I74)</f>
        <v>1197462.75</v>
      </c>
      <c r="J75" s="119"/>
    </row>
    <row r="76" spans="3:10" ht="14.4" thickTop="1">
      <c r="C76" s="304"/>
      <c r="D76" s="304"/>
      <c r="E76" s="304"/>
      <c r="F76" s="304"/>
      <c r="G76" s="304"/>
      <c r="H76" s="304"/>
      <c r="I76" s="305"/>
    </row>
    <row r="77" spans="3:10" ht="32.25" customHeight="1" thickBot="1">
      <c r="C77" s="126" t="s">
        <v>2351</v>
      </c>
      <c r="D77" s="47" t="s">
        <v>1267</v>
      </c>
      <c r="E77" s="88"/>
      <c r="F77" s="88"/>
      <c r="G77" s="88"/>
      <c r="H77" s="88"/>
      <c r="I77" s="88"/>
      <c r="J77" s="120">
        <f>ROUNDDOWN(I94,-2)</f>
        <v>1148200</v>
      </c>
    </row>
    <row r="78" spans="3:10" s="289" customFormat="1" ht="31.65" customHeight="1" thickTop="1">
      <c r="C78" s="51" t="s">
        <v>1195</v>
      </c>
      <c r="D78" s="52" t="s">
        <v>1196</v>
      </c>
      <c r="E78" s="52" t="s">
        <v>1906</v>
      </c>
      <c r="F78" s="52" t="s">
        <v>1197</v>
      </c>
      <c r="G78" s="52" t="s">
        <v>1198</v>
      </c>
      <c r="H78" s="52" t="s">
        <v>1199</v>
      </c>
      <c r="I78" s="53" t="s">
        <v>1200</v>
      </c>
      <c r="J78" s="126"/>
    </row>
    <row r="79" spans="3:10" ht="21.6" customHeight="1">
      <c r="C79" s="290" t="s">
        <v>1201</v>
      </c>
      <c r="D79" s="182" t="s">
        <v>1202</v>
      </c>
      <c r="E79" s="182"/>
      <c r="F79" s="70"/>
      <c r="G79" s="70"/>
      <c r="H79" s="70"/>
      <c r="I79" s="71"/>
    </row>
    <row r="80" spans="3:10" ht="21.6" customHeight="1">
      <c r="C80" s="281">
        <v>1</v>
      </c>
      <c r="D80" s="182" t="s">
        <v>5</v>
      </c>
      <c r="E80" s="182" t="s">
        <v>1774</v>
      </c>
      <c r="F80" s="176" t="s">
        <v>6</v>
      </c>
      <c r="G80" s="282">
        <v>1</v>
      </c>
      <c r="H80" s="283">
        <f>VLOOKUP(D80,upahbahan,3,FALSE)</f>
        <v>100000</v>
      </c>
      <c r="I80" s="284">
        <f>G80*H80</f>
        <v>100000</v>
      </c>
    </row>
    <row r="81" spans="3:10" ht="21.6" customHeight="1">
      <c r="C81" s="281">
        <v>2</v>
      </c>
      <c r="D81" s="182" t="s">
        <v>7</v>
      </c>
      <c r="E81" s="182" t="s">
        <v>1775</v>
      </c>
      <c r="F81" s="176" t="s">
        <v>6</v>
      </c>
      <c r="G81" s="282">
        <v>0.5</v>
      </c>
      <c r="H81" s="283">
        <f>VLOOKUP(D81,upahbahan,3,FALSE)</f>
        <v>135000</v>
      </c>
      <c r="I81" s="284">
        <f>G81*H81</f>
        <v>67500</v>
      </c>
    </row>
    <row r="82" spans="3:10" ht="21.6" customHeight="1">
      <c r="C82" s="281">
        <v>3</v>
      </c>
      <c r="D82" s="182" t="s">
        <v>19</v>
      </c>
      <c r="E82" s="182" t="s">
        <v>1777</v>
      </c>
      <c r="F82" s="176" t="s">
        <v>6</v>
      </c>
      <c r="G82" s="282">
        <v>0.1</v>
      </c>
      <c r="H82" s="283">
        <f>VLOOKUP(D82,upahbahan,3,FALSE)</f>
        <v>160000</v>
      </c>
      <c r="I82" s="284">
        <f>G82*H82</f>
        <v>16000</v>
      </c>
    </row>
    <row r="83" spans="3:10" ht="21.6" customHeight="1">
      <c r="C83" s="66" t="s">
        <v>1208</v>
      </c>
      <c r="D83" s="67"/>
      <c r="E83" s="67"/>
      <c r="F83" s="67"/>
      <c r="G83" s="68"/>
      <c r="H83" s="69"/>
      <c r="I83" s="284">
        <f>SUM(I80:I82)</f>
        <v>183500</v>
      </c>
    </row>
    <row r="84" spans="3:10" ht="21.6" customHeight="1">
      <c r="C84" s="290" t="s">
        <v>1209</v>
      </c>
      <c r="D84" s="182" t="s">
        <v>1210</v>
      </c>
      <c r="E84" s="182"/>
      <c r="F84" s="70"/>
      <c r="G84" s="70"/>
      <c r="H84" s="70"/>
      <c r="I84" s="71"/>
    </row>
    <row r="85" spans="3:10" ht="21.6" customHeight="1">
      <c r="C85" s="281">
        <v>1</v>
      </c>
      <c r="D85" s="285" t="s">
        <v>56</v>
      </c>
      <c r="E85" s="285"/>
      <c r="F85" s="176" t="s">
        <v>42</v>
      </c>
      <c r="G85" s="282">
        <v>1.2</v>
      </c>
      <c r="H85" s="283">
        <f>VLOOKUP(D85,upahbahan,3,FALSE)</f>
        <v>322875</v>
      </c>
      <c r="I85" s="284">
        <f>G85*H85</f>
        <v>387450</v>
      </c>
    </row>
    <row r="86" spans="3:10" ht="21.6" customHeight="1">
      <c r="C86" s="281">
        <v>2</v>
      </c>
      <c r="D86" s="182" t="s">
        <v>2334</v>
      </c>
      <c r="E86" s="182"/>
      <c r="F86" s="176" t="s">
        <v>65</v>
      </c>
      <c r="G86" s="282">
        <v>202</v>
      </c>
      <c r="H86" s="283">
        <f>VLOOKUP(D86,upahbahan,3,FALSE)</f>
        <v>1530</v>
      </c>
      <c r="I86" s="284">
        <f>G86*H86</f>
        <v>309060</v>
      </c>
    </row>
    <row r="87" spans="3:10" ht="21.6" customHeight="1">
      <c r="C87" s="281">
        <v>3</v>
      </c>
      <c r="D87" s="285" t="s">
        <v>85</v>
      </c>
      <c r="E87" s="285"/>
      <c r="F87" s="176" t="s">
        <v>42</v>
      </c>
      <c r="G87" s="282">
        <v>0.48499999999999999</v>
      </c>
      <c r="H87" s="283">
        <f>VLOOKUP(D87,upahbahan,3,FALSE)</f>
        <v>310500</v>
      </c>
      <c r="I87" s="284">
        <f>G87*H87</f>
        <v>150592.5</v>
      </c>
    </row>
    <row r="88" spans="3:10" ht="21.6" customHeight="1">
      <c r="C88" s="66" t="s">
        <v>1214</v>
      </c>
      <c r="D88" s="67"/>
      <c r="E88" s="67"/>
      <c r="F88" s="67"/>
      <c r="G88" s="67"/>
      <c r="H88" s="69"/>
      <c r="I88" s="284">
        <f>SUM(I85:I87)</f>
        <v>847102.5</v>
      </c>
    </row>
    <row r="89" spans="3:10" ht="21.6" customHeight="1">
      <c r="C89" s="290" t="s">
        <v>1215</v>
      </c>
      <c r="D89" s="182" t="s">
        <v>1216</v>
      </c>
      <c r="E89" s="182"/>
      <c r="F89" s="70"/>
      <c r="G89" s="70"/>
      <c r="H89" s="70"/>
      <c r="I89" s="71"/>
    </row>
    <row r="90" spans="3:10" ht="21.6" customHeight="1">
      <c r="C90" s="306" t="s">
        <v>1203</v>
      </c>
      <c r="D90" s="182" t="s">
        <v>1167</v>
      </c>
      <c r="E90" s="182"/>
      <c r="F90" s="124" t="s">
        <v>1080</v>
      </c>
      <c r="G90" s="118">
        <v>4.4299999999999999E-2</v>
      </c>
      <c r="H90" s="283">
        <f>VLOOKUP(D90,upahbahan,3,FALSE)</f>
        <v>300000</v>
      </c>
      <c r="I90" s="284">
        <f>G90*H90</f>
        <v>13290</v>
      </c>
    </row>
    <row r="91" spans="3:10" ht="21.6" customHeight="1">
      <c r="C91" s="66" t="s">
        <v>1217</v>
      </c>
      <c r="D91" s="67"/>
      <c r="E91" s="67"/>
      <c r="F91" s="67"/>
      <c r="G91" s="67"/>
      <c r="H91" s="69"/>
      <c r="I91" s="284">
        <f>SUM(I90)</f>
        <v>13290</v>
      </c>
    </row>
    <row r="92" spans="3:10" s="297" customFormat="1" ht="21.6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I91+I88+I83</f>
        <v>1043892.5</v>
      </c>
      <c r="J92" s="119"/>
    </row>
    <row r="93" spans="3:10" s="297" customFormat="1" ht="21.6" customHeight="1">
      <c r="C93" s="293" t="s">
        <v>1220</v>
      </c>
      <c r="D93" s="294" t="s">
        <v>1321</v>
      </c>
      <c r="E93" s="295"/>
      <c r="F93" s="295"/>
      <c r="G93" s="296"/>
      <c r="H93" s="298">
        <f>$N$7</f>
        <v>0.1</v>
      </c>
      <c r="I93" s="284">
        <f>I92*H93</f>
        <v>104389.25</v>
      </c>
      <c r="J93" s="119"/>
    </row>
    <row r="94" spans="3:10" s="297" customFormat="1" ht="21.6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1148281.75</v>
      </c>
      <c r="J94" s="119"/>
    </row>
    <row r="95" spans="3:10" ht="14.4" thickTop="1">
      <c r="C95" s="307"/>
      <c r="D95" s="304"/>
      <c r="E95" s="304"/>
      <c r="F95" s="304"/>
      <c r="G95" s="304"/>
      <c r="H95" s="304"/>
      <c r="I95" s="308"/>
    </row>
    <row r="96" spans="3:10" ht="31.65" customHeight="1" thickBot="1">
      <c r="C96" s="126" t="s">
        <v>2352</v>
      </c>
      <c r="D96" s="47" t="s">
        <v>1268</v>
      </c>
      <c r="E96" s="97"/>
      <c r="F96" s="97"/>
      <c r="G96" s="97"/>
      <c r="H96" s="97"/>
      <c r="I96" s="97"/>
      <c r="J96" s="120">
        <f>ROUNDDOWN(I112,-2)</f>
        <v>1143700</v>
      </c>
    </row>
    <row r="97" spans="3:10" ht="28.2" thickTop="1">
      <c r="C97" s="51" t="s">
        <v>1195</v>
      </c>
      <c r="D97" s="52" t="s">
        <v>1196</v>
      </c>
      <c r="E97" s="52" t="s">
        <v>1906</v>
      </c>
      <c r="F97" s="52" t="s">
        <v>1197</v>
      </c>
      <c r="G97" s="52" t="s">
        <v>1198</v>
      </c>
      <c r="H97" s="52" t="s">
        <v>1199</v>
      </c>
      <c r="I97" s="53" t="s">
        <v>1200</v>
      </c>
    </row>
    <row r="98" spans="3:10" ht="21.6" customHeight="1">
      <c r="C98" s="290" t="s">
        <v>1201</v>
      </c>
      <c r="D98" s="182" t="s">
        <v>1202</v>
      </c>
      <c r="E98" s="182"/>
      <c r="F98" s="70"/>
      <c r="G98" s="70"/>
      <c r="H98" s="70"/>
      <c r="I98" s="71"/>
    </row>
    <row r="99" spans="3:10" ht="21.6" customHeight="1">
      <c r="C99" s="281">
        <v>1</v>
      </c>
      <c r="D99" s="182" t="s">
        <v>5</v>
      </c>
      <c r="E99" s="182" t="s">
        <v>1774</v>
      </c>
      <c r="F99" s="176" t="s">
        <v>6</v>
      </c>
      <c r="G99" s="282">
        <v>1.5</v>
      </c>
      <c r="H99" s="283">
        <f>VLOOKUP(D99,upahbahan,3,FALSE)</f>
        <v>100000</v>
      </c>
      <c r="I99" s="284">
        <f>G99*H99</f>
        <v>150000</v>
      </c>
    </row>
    <row r="100" spans="3:10" s="59" customFormat="1" ht="21.6" customHeight="1">
      <c r="C100" s="281">
        <v>2</v>
      </c>
      <c r="D100" s="182" t="s">
        <v>7</v>
      </c>
      <c r="E100" s="182" t="s">
        <v>1775</v>
      </c>
      <c r="F100" s="176" t="s">
        <v>6</v>
      </c>
      <c r="G100" s="282">
        <v>0.5</v>
      </c>
      <c r="H100" s="283">
        <f>VLOOKUP(D100,upahbahan,3,FALSE)</f>
        <v>135000</v>
      </c>
      <c r="I100" s="284">
        <f>G100*H100</f>
        <v>67500</v>
      </c>
      <c r="J100" s="119"/>
    </row>
    <row r="101" spans="3:10" s="59" customFormat="1" ht="21.6" customHeight="1">
      <c r="C101" s="281">
        <v>3</v>
      </c>
      <c r="D101" s="182" t="s">
        <v>19</v>
      </c>
      <c r="E101" s="182" t="s">
        <v>1777</v>
      </c>
      <c r="F101" s="176" t="s">
        <v>6</v>
      </c>
      <c r="G101" s="282">
        <v>0.15</v>
      </c>
      <c r="H101" s="283">
        <f>VLOOKUP(D101,upahbahan,3,FALSE)</f>
        <v>160000</v>
      </c>
      <c r="I101" s="284">
        <f>G101*H101</f>
        <v>24000</v>
      </c>
      <c r="J101" s="119"/>
    </row>
    <row r="102" spans="3:10" ht="21.6" customHeight="1">
      <c r="C102" s="66" t="s">
        <v>1208</v>
      </c>
      <c r="D102" s="67"/>
      <c r="E102" s="67"/>
      <c r="F102" s="67"/>
      <c r="G102" s="68"/>
      <c r="H102" s="69"/>
      <c r="I102" s="284">
        <f>SUM(I99:I101)</f>
        <v>241500</v>
      </c>
    </row>
    <row r="103" spans="3:10" ht="21.6" customHeight="1">
      <c r="C103" s="290" t="s">
        <v>1209</v>
      </c>
      <c r="D103" s="182" t="s">
        <v>1210</v>
      </c>
      <c r="E103" s="182"/>
      <c r="F103" s="70"/>
      <c r="G103" s="70"/>
      <c r="H103" s="70"/>
      <c r="I103" s="71"/>
    </row>
    <row r="104" spans="3:10" ht="21.6" customHeight="1">
      <c r="C104" s="281">
        <v>1</v>
      </c>
      <c r="D104" s="285" t="s">
        <v>56</v>
      </c>
      <c r="E104" s="285"/>
      <c r="F104" s="176" t="s">
        <v>42</v>
      </c>
      <c r="G104" s="282">
        <v>1.2</v>
      </c>
      <c r="H104" s="283">
        <f>VLOOKUP(D104,upahbahan,3,FALSE)</f>
        <v>322875</v>
      </c>
      <c r="I104" s="284">
        <f>G104*H104</f>
        <v>387450</v>
      </c>
    </row>
    <row r="105" spans="3:10" ht="21.6" customHeight="1">
      <c r="C105" s="281">
        <v>2</v>
      </c>
      <c r="D105" s="182" t="s">
        <v>2332</v>
      </c>
      <c r="E105" s="182"/>
      <c r="F105" s="176" t="s">
        <v>65</v>
      </c>
      <c r="G105" s="282">
        <v>163</v>
      </c>
      <c r="H105" s="283">
        <f>VLOOKUP(D105,upahbahan,3,FALSE)</f>
        <v>1530</v>
      </c>
      <c r="I105" s="284">
        <f>G105*H105</f>
        <v>249390</v>
      </c>
    </row>
    <row r="106" spans="3:10" ht="21.6" customHeight="1">
      <c r="C106" s="281">
        <v>3</v>
      </c>
      <c r="D106" s="285" t="s">
        <v>85</v>
      </c>
      <c r="E106" s="285"/>
      <c r="F106" s="176" t="s">
        <v>42</v>
      </c>
      <c r="G106" s="282">
        <v>0.52</v>
      </c>
      <c r="H106" s="283">
        <f>VLOOKUP(D106,upahbahan,3,FALSE)</f>
        <v>310500</v>
      </c>
      <c r="I106" s="284">
        <f>G106*H106</f>
        <v>161460</v>
      </c>
    </row>
    <row r="107" spans="3:10" ht="21.6" customHeight="1">
      <c r="C107" s="66" t="s">
        <v>1214</v>
      </c>
      <c r="D107" s="67"/>
      <c r="E107" s="67"/>
      <c r="F107" s="67"/>
      <c r="G107" s="67"/>
      <c r="H107" s="69"/>
      <c r="I107" s="284">
        <f>SUM(I104:I106)</f>
        <v>798300</v>
      </c>
    </row>
    <row r="108" spans="3:10" ht="21.6" customHeight="1">
      <c r="C108" s="290" t="s">
        <v>1215</v>
      </c>
      <c r="D108" s="182" t="s">
        <v>1216</v>
      </c>
      <c r="E108" s="182"/>
      <c r="F108" s="70"/>
      <c r="G108" s="70"/>
      <c r="H108" s="70"/>
      <c r="I108" s="71"/>
    </row>
    <row r="109" spans="3:10" ht="21.6" customHeight="1">
      <c r="C109" s="66" t="s">
        <v>1217</v>
      </c>
      <c r="D109" s="67"/>
      <c r="E109" s="67"/>
      <c r="F109" s="67"/>
      <c r="G109" s="67"/>
      <c r="H109" s="69"/>
      <c r="I109" s="292">
        <v>0</v>
      </c>
    </row>
    <row r="110" spans="3:10" s="297" customFormat="1" ht="21.6" customHeight="1">
      <c r="C110" s="293" t="s">
        <v>1218</v>
      </c>
      <c r="D110" s="294" t="s">
        <v>1219</v>
      </c>
      <c r="E110" s="295"/>
      <c r="F110" s="295"/>
      <c r="G110" s="295"/>
      <c r="H110" s="296"/>
      <c r="I110" s="284">
        <f>I109+I107+I102</f>
        <v>1039800</v>
      </c>
      <c r="J110" s="119"/>
    </row>
    <row r="111" spans="3:10" s="297" customFormat="1" ht="21.6" customHeight="1">
      <c r="C111" s="293" t="s">
        <v>1220</v>
      </c>
      <c r="D111" s="294" t="s">
        <v>1321</v>
      </c>
      <c r="E111" s="295"/>
      <c r="F111" s="295"/>
      <c r="G111" s="296"/>
      <c r="H111" s="298">
        <f>$N$7</f>
        <v>0.1</v>
      </c>
      <c r="I111" s="284">
        <f>I110*H111</f>
        <v>103980</v>
      </c>
      <c r="J111" s="119"/>
    </row>
    <row r="112" spans="3:10" s="297" customFormat="1" ht="21.6" customHeight="1" thickBot="1">
      <c r="C112" s="299" t="s">
        <v>1221</v>
      </c>
      <c r="D112" s="300" t="s">
        <v>1222</v>
      </c>
      <c r="E112" s="301"/>
      <c r="F112" s="301"/>
      <c r="G112" s="301"/>
      <c r="H112" s="302"/>
      <c r="I112" s="303">
        <f>SUM(I110:I111)</f>
        <v>1143780</v>
      </c>
      <c r="J112" s="119"/>
    </row>
    <row r="113" spans="3:10" ht="14.4" thickTop="1"/>
    <row r="114" spans="3:10" ht="31.65" customHeight="1" thickBot="1">
      <c r="C114" s="126" t="s">
        <v>2353</v>
      </c>
      <c r="D114" s="47" t="s">
        <v>1269</v>
      </c>
      <c r="E114" s="88"/>
      <c r="F114" s="88"/>
      <c r="G114" s="88"/>
      <c r="H114" s="88"/>
      <c r="I114" s="88"/>
      <c r="J114" s="120">
        <f>ROUNDDOWN(I131,-2)</f>
        <v>1094500</v>
      </c>
    </row>
    <row r="115" spans="3:10" ht="28.2" thickTop="1">
      <c r="C115" s="51" t="s">
        <v>1195</v>
      </c>
      <c r="D115" s="52" t="s">
        <v>1196</v>
      </c>
      <c r="E115" s="52"/>
      <c r="F115" s="52" t="s">
        <v>1197</v>
      </c>
      <c r="G115" s="52" t="s">
        <v>1198</v>
      </c>
      <c r="H115" s="52" t="s">
        <v>1199</v>
      </c>
      <c r="I115" s="53" t="s">
        <v>1200</v>
      </c>
    </row>
    <row r="116" spans="3:10" ht="21.6" customHeight="1">
      <c r="C116" s="290" t="s">
        <v>1201</v>
      </c>
      <c r="D116" s="182" t="s">
        <v>1202</v>
      </c>
      <c r="E116" s="176" t="s">
        <v>1906</v>
      </c>
      <c r="F116" s="70"/>
      <c r="G116" s="70"/>
      <c r="H116" s="70"/>
      <c r="I116" s="71"/>
    </row>
    <row r="117" spans="3:10" ht="21.6" customHeight="1">
      <c r="C117" s="281">
        <v>1</v>
      </c>
      <c r="D117" s="182" t="s">
        <v>5</v>
      </c>
      <c r="E117" s="176" t="s">
        <v>1774</v>
      </c>
      <c r="F117" s="176" t="s">
        <v>6</v>
      </c>
      <c r="G117" s="282">
        <v>1</v>
      </c>
      <c r="H117" s="283">
        <f>VLOOKUP(D117,upahbahan,3,FALSE)</f>
        <v>100000</v>
      </c>
      <c r="I117" s="284">
        <f>G117*H117</f>
        <v>100000</v>
      </c>
    </row>
    <row r="118" spans="3:10" s="59" customFormat="1" ht="21.6" customHeight="1">
      <c r="C118" s="281">
        <v>2</v>
      </c>
      <c r="D118" s="182" t="s">
        <v>7</v>
      </c>
      <c r="E118" s="176" t="s">
        <v>1775</v>
      </c>
      <c r="F118" s="176" t="s">
        <v>6</v>
      </c>
      <c r="G118" s="282">
        <v>0.5</v>
      </c>
      <c r="H118" s="283">
        <f>VLOOKUP(D118,upahbahan,3,FALSE)</f>
        <v>135000</v>
      </c>
      <c r="I118" s="284">
        <f>G118*H118</f>
        <v>67500</v>
      </c>
      <c r="J118" s="119"/>
    </row>
    <row r="119" spans="3:10" s="59" customFormat="1" ht="21.6" customHeight="1">
      <c r="C119" s="281">
        <v>3</v>
      </c>
      <c r="D119" s="182" t="s">
        <v>19</v>
      </c>
      <c r="E119" s="176" t="s">
        <v>1777</v>
      </c>
      <c r="F119" s="176" t="s">
        <v>6</v>
      </c>
      <c r="G119" s="282">
        <v>0.1</v>
      </c>
      <c r="H119" s="283">
        <f>VLOOKUP(D119,upahbahan,3,FALSE)</f>
        <v>160000</v>
      </c>
      <c r="I119" s="284">
        <f>G119*H119</f>
        <v>16000</v>
      </c>
      <c r="J119" s="119"/>
    </row>
    <row r="120" spans="3:10" ht="21.6" customHeight="1">
      <c r="C120" s="66" t="s">
        <v>1208</v>
      </c>
      <c r="D120" s="67"/>
      <c r="E120" s="67"/>
      <c r="F120" s="67"/>
      <c r="G120" s="68"/>
      <c r="H120" s="69"/>
      <c r="I120" s="284">
        <f>SUM(I117:I119)</f>
        <v>183500</v>
      </c>
    </row>
    <row r="121" spans="3:10" ht="21.6" customHeight="1">
      <c r="C121" s="290" t="s">
        <v>1209</v>
      </c>
      <c r="D121" s="182" t="s">
        <v>1210</v>
      </c>
      <c r="E121" s="182"/>
      <c r="F121" s="70"/>
      <c r="G121" s="70"/>
      <c r="H121" s="70"/>
      <c r="I121" s="71"/>
    </row>
    <row r="122" spans="3:10" ht="21.6" customHeight="1">
      <c r="C122" s="281">
        <v>1</v>
      </c>
      <c r="D122" s="285" t="s">
        <v>56</v>
      </c>
      <c r="E122" s="285"/>
      <c r="F122" s="176" t="s">
        <v>42</v>
      </c>
      <c r="G122" s="282">
        <v>1.2</v>
      </c>
      <c r="H122" s="283">
        <f>VLOOKUP(D122,upahbahan,3,FALSE)</f>
        <v>322875</v>
      </c>
      <c r="I122" s="284">
        <f>G122*H122</f>
        <v>387450</v>
      </c>
    </row>
    <row r="123" spans="3:10" ht="21.6" customHeight="1">
      <c r="C123" s="281">
        <v>2</v>
      </c>
      <c r="D123" s="182" t="s">
        <v>2332</v>
      </c>
      <c r="E123" s="182"/>
      <c r="F123" s="176" t="s">
        <v>65</v>
      </c>
      <c r="G123" s="282">
        <v>163</v>
      </c>
      <c r="H123" s="283">
        <f>VLOOKUP(D123,upahbahan,3,FALSE)</f>
        <v>1530</v>
      </c>
      <c r="I123" s="284">
        <f>G123*H123</f>
        <v>249390</v>
      </c>
    </row>
    <row r="124" spans="3:10" ht="21.6" customHeight="1">
      <c r="C124" s="281">
        <v>3</v>
      </c>
      <c r="D124" s="285" t="s">
        <v>85</v>
      </c>
      <c r="E124" s="285"/>
      <c r="F124" s="176" t="s">
        <v>42</v>
      </c>
      <c r="G124" s="282">
        <v>0.52</v>
      </c>
      <c r="H124" s="283">
        <f>VLOOKUP(D124,upahbahan,3,FALSE)</f>
        <v>310500</v>
      </c>
      <c r="I124" s="284">
        <f>G124*H124</f>
        <v>161460</v>
      </c>
    </row>
    <row r="125" spans="3:10" ht="21.6" customHeight="1">
      <c r="C125" s="66" t="s">
        <v>1214</v>
      </c>
      <c r="D125" s="67"/>
      <c r="E125" s="67"/>
      <c r="F125" s="67"/>
      <c r="G125" s="67"/>
      <c r="H125" s="69"/>
      <c r="I125" s="284">
        <f>SUM(I122:I124)</f>
        <v>798300</v>
      </c>
    </row>
    <row r="126" spans="3:10" ht="21.6" customHeight="1">
      <c r="C126" s="290" t="s">
        <v>1215</v>
      </c>
      <c r="D126" s="182" t="s">
        <v>1216</v>
      </c>
      <c r="E126" s="182"/>
      <c r="F126" s="70"/>
      <c r="G126" s="70"/>
      <c r="H126" s="70"/>
      <c r="I126" s="71"/>
    </row>
    <row r="127" spans="3:10" ht="21.6" customHeight="1">
      <c r="C127" s="306" t="s">
        <v>1203</v>
      </c>
      <c r="D127" s="182" t="s">
        <v>1167</v>
      </c>
      <c r="E127" s="182"/>
      <c r="F127" s="124" t="s">
        <v>1080</v>
      </c>
      <c r="G127" s="118">
        <v>4.4299999999999999E-2</v>
      </c>
      <c r="H127" s="283">
        <f>VLOOKUP(D127,upahbahan,3,FALSE)</f>
        <v>300000</v>
      </c>
      <c r="I127" s="284">
        <f>G127*H127</f>
        <v>13290</v>
      </c>
    </row>
    <row r="128" spans="3:10" ht="21.6" customHeight="1">
      <c r="C128" s="66" t="s">
        <v>1217</v>
      </c>
      <c r="D128" s="67"/>
      <c r="E128" s="67"/>
      <c r="F128" s="67"/>
      <c r="G128" s="67"/>
      <c r="H128" s="69"/>
      <c r="I128" s="284">
        <f>SUM(I127)</f>
        <v>13290</v>
      </c>
    </row>
    <row r="129" spans="3:10" s="297" customFormat="1" ht="21.6" customHeight="1">
      <c r="C129" s="293" t="s">
        <v>1218</v>
      </c>
      <c r="D129" s="294" t="s">
        <v>1219</v>
      </c>
      <c r="E129" s="295"/>
      <c r="F129" s="295"/>
      <c r="G129" s="295"/>
      <c r="H129" s="296"/>
      <c r="I129" s="284">
        <f>I128+I125+I120</f>
        <v>995090</v>
      </c>
      <c r="J129" s="119"/>
    </row>
    <row r="130" spans="3:10" s="297" customFormat="1" ht="21.6" customHeight="1">
      <c r="C130" s="293" t="s">
        <v>1220</v>
      </c>
      <c r="D130" s="294" t="s">
        <v>1321</v>
      </c>
      <c r="E130" s="295"/>
      <c r="F130" s="295"/>
      <c r="G130" s="296"/>
      <c r="H130" s="298">
        <f>$N$7</f>
        <v>0.1</v>
      </c>
      <c r="I130" s="284">
        <f>I129*H130</f>
        <v>99509</v>
      </c>
      <c r="J130" s="119"/>
    </row>
    <row r="131" spans="3:10" s="297" customFormat="1" ht="21.6" customHeight="1" thickBot="1">
      <c r="C131" s="299" t="s">
        <v>1221</v>
      </c>
      <c r="D131" s="300" t="s">
        <v>1222</v>
      </c>
      <c r="E131" s="301"/>
      <c r="F131" s="301"/>
      <c r="G131" s="301"/>
      <c r="H131" s="302"/>
      <c r="I131" s="303">
        <f>SUM(I129:I130)</f>
        <v>1094599</v>
      </c>
      <c r="J131" s="119"/>
    </row>
    <row r="132" spans="3:10" ht="14.4" thickTop="1"/>
    <row r="133" spans="3:10" ht="31.65" customHeight="1" thickBot="1">
      <c r="C133" s="126" t="s">
        <v>2354</v>
      </c>
      <c r="D133" s="47" t="s">
        <v>1270</v>
      </c>
      <c r="E133" s="88"/>
      <c r="F133" s="88"/>
      <c r="G133" s="88"/>
      <c r="H133" s="88"/>
      <c r="I133" s="88"/>
      <c r="J133" s="120">
        <f>ROUNDDOWN(I149,-2)</f>
        <v>1104800</v>
      </c>
    </row>
    <row r="134" spans="3:10" ht="28.2" thickTop="1">
      <c r="C134" s="51" t="s">
        <v>1195</v>
      </c>
      <c r="D134" s="52" t="s">
        <v>1196</v>
      </c>
      <c r="E134" s="52" t="s">
        <v>1906</v>
      </c>
      <c r="F134" s="52" t="s">
        <v>1197</v>
      </c>
      <c r="G134" s="52" t="s">
        <v>1198</v>
      </c>
      <c r="H134" s="52" t="s">
        <v>1199</v>
      </c>
      <c r="I134" s="53" t="s">
        <v>1200</v>
      </c>
    </row>
    <row r="135" spans="3:10" ht="21.6" customHeight="1">
      <c r="C135" s="290" t="s">
        <v>1201</v>
      </c>
      <c r="D135" s="182" t="s">
        <v>1202</v>
      </c>
      <c r="E135" s="182"/>
      <c r="F135" s="70"/>
      <c r="G135" s="70"/>
      <c r="H135" s="70"/>
      <c r="I135" s="71"/>
    </row>
    <row r="136" spans="3:10" ht="21.6" customHeight="1">
      <c r="C136" s="281">
        <v>1</v>
      </c>
      <c r="D136" s="182" t="s">
        <v>5</v>
      </c>
      <c r="E136" s="176" t="s">
        <v>1774</v>
      </c>
      <c r="F136" s="176" t="s">
        <v>6</v>
      </c>
      <c r="G136" s="282">
        <v>1.5</v>
      </c>
      <c r="H136" s="283">
        <f>VLOOKUP(D136,upahbahan,3,FALSE)</f>
        <v>100000</v>
      </c>
      <c r="I136" s="284">
        <f>G136*H136</f>
        <v>150000</v>
      </c>
    </row>
    <row r="137" spans="3:10" s="59" customFormat="1" ht="21.6" customHeight="1">
      <c r="C137" s="281">
        <v>2</v>
      </c>
      <c r="D137" s="182" t="s">
        <v>7</v>
      </c>
      <c r="E137" s="176" t="s">
        <v>1775</v>
      </c>
      <c r="F137" s="176" t="s">
        <v>6</v>
      </c>
      <c r="G137" s="282">
        <v>0.5</v>
      </c>
      <c r="H137" s="283">
        <f>VLOOKUP(D137,upahbahan,3,FALSE)</f>
        <v>135000</v>
      </c>
      <c r="I137" s="284">
        <f>G137*H137</f>
        <v>67500</v>
      </c>
      <c r="J137" s="119"/>
    </row>
    <row r="138" spans="3:10" s="59" customFormat="1" ht="21.6" customHeight="1">
      <c r="C138" s="281">
        <v>3</v>
      </c>
      <c r="D138" s="182" t="s">
        <v>19</v>
      </c>
      <c r="E138" s="176" t="s">
        <v>1777</v>
      </c>
      <c r="F138" s="176" t="s">
        <v>6</v>
      </c>
      <c r="G138" s="282">
        <v>0.15</v>
      </c>
      <c r="H138" s="283">
        <f>VLOOKUP(D138,upahbahan,3,FALSE)</f>
        <v>160000</v>
      </c>
      <c r="I138" s="284">
        <f>G138*H138</f>
        <v>24000</v>
      </c>
      <c r="J138" s="119"/>
    </row>
    <row r="139" spans="3:10" ht="21.6" customHeight="1">
      <c r="C139" s="66" t="s">
        <v>1208</v>
      </c>
      <c r="D139" s="67"/>
      <c r="E139" s="67"/>
      <c r="F139" s="67"/>
      <c r="G139" s="68"/>
      <c r="H139" s="69"/>
      <c r="I139" s="284">
        <f>SUM(I136:I138)</f>
        <v>241500</v>
      </c>
    </row>
    <row r="140" spans="3:10" ht="21.6" customHeight="1">
      <c r="C140" s="290" t="s">
        <v>1209</v>
      </c>
      <c r="D140" s="182" t="s">
        <v>1210</v>
      </c>
      <c r="E140" s="182"/>
      <c r="F140" s="70"/>
      <c r="G140" s="70"/>
      <c r="H140" s="70"/>
      <c r="I140" s="71"/>
    </row>
    <row r="141" spans="3:10" ht="21.6" customHeight="1">
      <c r="C141" s="281">
        <v>1</v>
      </c>
      <c r="D141" s="285" t="s">
        <v>56</v>
      </c>
      <c r="E141" s="285"/>
      <c r="F141" s="176" t="s">
        <v>42</v>
      </c>
      <c r="G141" s="282">
        <v>1.2</v>
      </c>
      <c r="H141" s="283">
        <f>VLOOKUP(D141,upahbahan,3,FALSE)</f>
        <v>322875</v>
      </c>
      <c r="I141" s="284">
        <f>G141*H141</f>
        <v>387450</v>
      </c>
    </row>
    <row r="142" spans="3:10" ht="21.6" customHeight="1">
      <c r="C142" s="281">
        <v>2</v>
      </c>
      <c r="D142" s="182" t="s">
        <v>2332</v>
      </c>
      <c r="E142" s="182"/>
      <c r="F142" s="176" t="s">
        <v>65</v>
      </c>
      <c r="G142" s="282">
        <v>135</v>
      </c>
      <c r="H142" s="283">
        <f>VLOOKUP(D142,upahbahan,3,FALSE)</f>
        <v>1530</v>
      </c>
      <c r="I142" s="284">
        <f>G142*H142</f>
        <v>206550</v>
      </c>
    </row>
    <row r="143" spans="3:10" ht="21.6" customHeight="1">
      <c r="C143" s="281">
        <v>3</v>
      </c>
      <c r="D143" s="285" t="s">
        <v>85</v>
      </c>
      <c r="E143" s="285"/>
      <c r="F143" s="176" t="s">
        <v>42</v>
      </c>
      <c r="G143" s="282">
        <v>0.54400000000000004</v>
      </c>
      <c r="H143" s="283">
        <f>VLOOKUP(D143,upahbahan,3,FALSE)</f>
        <v>310500</v>
      </c>
      <c r="I143" s="284">
        <f>G143*H143</f>
        <v>168912</v>
      </c>
    </row>
    <row r="144" spans="3:10" ht="21.6" customHeight="1">
      <c r="C144" s="66" t="s">
        <v>1214</v>
      </c>
      <c r="D144" s="67"/>
      <c r="E144" s="67"/>
      <c r="F144" s="67"/>
      <c r="G144" s="67"/>
      <c r="H144" s="69"/>
      <c r="I144" s="284">
        <f>SUM(I141:I143)</f>
        <v>762912</v>
      </c>
    </row>
    <row r="145" spans="3:10" ht="21.6" customHeight="1">
      <c r="C145" s="290" t="s">
        <v>1215</v>
      </c>
      <c r="D145" s="182" t="s">
        <v>1216</v>
      </c>
      <c r="E145" s="182"/>
      <c r="F145" s="70"/>
      <c r="G145" s="70"/>
      <c r="H145" s="70"/>
      <c r="I145" s="71"/>
    </row>
    <row r="146" spans="3:10" ht="21.6" customHeight="1">
      <c r="C146" s="66" t="s">
        <v>1217</v>
      </c>
      <c r="D146" s="67"/>
      <c r="E146" s="67"/>
      <c r="F146" s="67"/>
      <c r="G146" s="67"/>
      <c r="H146" s="69"/>
      <c r="I146" s="292">
        <v>0</v>
      </c>
    </row>
    <row r="147" spans="3:10" s="297" customFormat="1" ht="21.6" customHeight="1">
      <c r="C147" s="293" t="s">
        <v>1218</v>
      </c>
      <c r="D147" s="294" t="s">
        <v>1219</v>
      </c>
      <c r="E147" s="295"/>
      <c r="F147" s="295"/>
      <c r="G147" s="295"/>
      <c r="H147" s="296"/>
      <c r="I147" s="284">
        <f>I146+I144+I139</f>
        <v>1004412</v>
      </c>
      <c r="J147" s="119"/>
    </row>
    <row r="148" spans="3:10" s="297" customFormat="1" ht="21.6" customHeight="1">
      <c r="C148" s="293" t="s">
        <v>1220</v>
      </c>
      <c r="D148" s="294" t="s">
        <v>1321</v>
      </c>
      <c r="E148" s="295"/>
      <c r="F148" s="295"/>
      <c r="G148" s="296"/>
      <c r="H148" s="298">
        <f>$N$7</f>
        <v>0.1</v>
      </c>
      <c r="I148" s="284">
        <f>I147*H148</f>
        <v>100441.20000000001</v>
      </c>
      <c r="J148" s="119"/>
    </row>
    <row r="149" spans="3:10" s="297" customFormat="1" ht="21.6" customHeight="1" thickBot="1">
      <c r="C149" s="299" t="s">
        <v>1221</v>
      </c>
      <c r="D149" s="300" t="s">
        <v>1222</v>
      </c>
      <c r="E149" s="301"/>
      <c r="F149" s="301"/>
      <c r="G149" s="301"/>
      <c r="H149" s="302"/>
      <c r="I149" s="303">
        <f>SUM(I147:I148)</f>
        <v>1104853.2</v>
      </c>
      <c r="J149" s="119"/>
    </row>
    <row r="150" spans="3:10" ht="14.4" thickTop="1"/>
    <row r="151" spans="3:10" ht="31.65" customHeight="1" thickBot="1">
      <c r="C151" s="126" t="s">
        <v>2355</v>
      </c>
      <c r="D151" s="47" t="s">
        <v>1271</v>
      </c>
      <c r="E151" s="88"/>
      <c r="F151" s="88"/>
      <c r="G151" s="88"/>
      <c r="H151" s="88"/>
      <c r="I151" s="88"/>
      <c r="J151" s="120">
        <f>ROUNDDOWN(I168,-2)</f>
        <v>1055600</v>
      </c>
    </row>
    <row r="152" spans="3:10" ht="28.2" thickTop="1">
      <c r="C152" s="51" t="s">
        <v>1195</v>
      </c>
      <c r="D152" s="52" t="s">
        <v>1196</v>
      </c>
      <c r="E152" s="52" t="s">
        <v>1906</v>
      </c>
      <c r="F152" s="52" t="s">
        <v>1197</v>
      </c>
      <c r="G152" s="52" t="s">
        <v>1198</v>
      </c>
      <c r="H152" s="52" t="s">
        <v>1199</v>
      </c>
      <c r="I152" s="53" t="s">
        <v>1200</v>
      </c>
    </row>
    <row r="153" spans="3:10" ht="21.6" customHeight="1">
      <c r="C153" s="290" t="s">
        <v>1201</v>
      </c>
      <c r="D153" s="182" t="s">
        <v>1202</v>
      </c>
      <c r="E153" s="182"/>
      <c r="F153" s="70"/>
      <c r="G153" s="70"/>
      <c r="H153" s="70"/>
      <c r="I153" s="71"/>
    </row>
    <row r="154" spans="3:10" ht="21.6" customHeight="1">
      <c r="C154" s="281">
        <v>1</v>
      </c>
      <c r="D154" s="182" t="s">
        <v>5</v>
      </c>
      <c r="E154" s="176" t="s">
        <v>1774</v>
      </c>
      <c r="F154" s="176" t="s">
        <v>6</v>
      </c>
      <c r="G154" s="282">
        <v>1</v>
      </c>
      <c r="H154" s="283">
        <f>VLOOKUP(D154,upahbahan,3,FALSE)</f>
        <v>100000</v>
      </c>
      <c r="I154" s="284">
        <f>G154*H154</f>
        <v>100000</v>
      </c>
    </row>
    <row r="155" spans="3:10" s="59" customFormat="1" ht="21.6" customHeight="1">
      <c r="C155" s="281">
        <v>2</v>
      </c>
      <c r="D155" s="182" t="s">
        <v>7</v>
      </c>
      <c r="E155" s="176" t="s">
        <v>1775</v>
      </c>
      <c r="F155" s="176" t="s">
        <v>6</v>
      </c>
      <c r="G155" s="282">
        <v>0.5</v>
      </c>
      <c r="H155" s="283">
        <f>VLOOKUP(D155,upahbahan,3,FALSE)</f>
        <v>135000</v>
      </c>
      <c r="I155" s="284">
        <f>G155*H155</f>
        <v>67500</v>
      </c>
      <c r="J155" s="119"/>
    </row>
    <row r="156" spans="3:10" s="59" customFormat="1" ht="21.6" customHeight="1">
      <c r="C156" s="281">
        <v>3</v>
      </c>
      <c r="D156" s="182" t="s">
        <v>19</v>
      </c>
      <c r="E156" s="176" t="s">
        <v>1777</v>
      </c>
      <c r="F156" s="176" t="s">
        <v>6</v>
      </c>
      <c r="G156" s="282">
        <v>0.1</v>
      </c>
      <c r="H156" s="283">
        <f>VLOOKUP(D156,upahbahan,3,FALSE)</f>
        <v>160000</v>
      </c>
      <c r="I156" s="284">
        <f>G156*H156</f>
        <v>16000</v>
      </c>
      <c r="J156" s="119"/>
    </row>
    <row r="157" spans="3:10" ht="21.6" customHeight="1">
      <c r="C157" s="66" t="s">
        <v>1208</v>
      </c>
      <c r="D157" s="67"/>
      <c r="E157" s="67"/>
      <c r="F157" s="67"/>
      <c r="G157" s="68"/>
      <c r="H157" s="69"/>
      <c r="I157" s="284">
        <f>SUM(I154:I156)</f>
        <v>183500</v>
      </c>
    </row>
    <row r="158" spans="3:10" ht="21.6" customHeight="1">
      <c r="C158" s="290" t="s">
        <v>1209</v>
      </c>
      <c r="D158" s="182" t="s">
        <v>1210</v>
      </c>
      <c r="E158" s="182"/>
      <c r="F158" s="70"/>
      <c r="G158" s="70"/>
      <c r="H158" s="70"/>
      <c r="I158" s="71"/>
    </row>
    <row r="159" spans="3:10" ht="21.6" customHeight="1">
      <c r="C159" s="281">
        <v>1</v>
      </c>
      <c r="D159" s="285" t="s">
        <v>56</v>
      </c>
      <c r="E159" s="285"/>
      <c r="F159" s="176" t="s">
        <v>42</v>
      </c>
      <c r="G159" s="282">
        <v>1.2</v>
      </c>
      <c r="H159" s="283">
        <f>VLOOKUP(D159,upahbahan,3,FALSE)</f>
        <v>322875</v>
      </c>
      <c r="I159" s="284">
        <f>G159*H159</f>
        <v>387450</v>
      </c>
    </row>
    <row r="160" spans="3:10" ht="21.6" customHeight="1">
      <c r="C160" s="281">
        <v>2</v>
      </c>
      <c r="D160" s="182" t="s">
        <v>2332</v>
      </c>
      <c r="E160" s="182"/>
      <c r="F160" s="176" t="s">
        <v>65</v>
      </c>
      <c r="G160" s="282">
        <v>135</v>
      </c>
      <c r="H160" s="283">
        <f>VLOOKUP(D160,upahbahan,3,FALSE)</f>
        <v>1530</v>
      </c>
      <c r="I160" s="284">
        <f>G160*H160</f>
        <v>206550</v>
      </c>
    </row>
    <row r="161" spans="3:10" ht="21.6" customHeight="1">
      <c r="C161" s="281">
        <v>3</v>
      </c>
      <c r="D161" s="285" t="s">
        <v>85</v>
      </c>
      <c r="E161" s="285"/>
      <c r="F161" s="176" t="s">
        <v>42</v>
      </c>
      <c r="G161" s="282">
        <v>0.54400000000000004</v>
      </c>
      <c r="H161" s="283">
        <f>VLOOKUP(D161,upahbahan,3,FALSE)</f>
        <v>310500</v>
      </c>
      <c r="I161" s="284">
        <f>G161*H161</f>
        <v>168912</v>
      </c>
    </row>
    <row r="162" spans="3:10" ht="21.6" customHeight="1">
      <c r="C162" s="66" t="s">
        <v>1214</v>
      </c>
      <c r="D162" s="67"/>
      <c r="E162" s="67"/>
      <c r="F162" s="67"/>
      <c r="G162" s="67"/>
      <c r="H162" s="69"/>
      <c r="I162" s="284">
        <f>SUM(I159:I161)</f>
        <v>762912</v>
      </c>
    </row>
    <row r="163" spans="3:10" ht="21.6" customHeight="1">
      <c r="C163" s="290" t="s">
        <v>1215</v>
      </c>
      <c r="D163" s="182" t="s">
        <v>1216</v>
      </c>
      <c r="E163" s="182"/>
      <c r="F163" s="70"/>
      <c r="G163" s="70"/>
      <c r="H163" s="70"/>
      <c r="I163" s="71"/>
    </row>
    <row r="164" spans="3:10" ht="21.6" customHeight="1">
      <c r="C164" s="306" t="s">
        <v>1203</v>
      </c>
      <c r="D164" s="182" t="s">
        <v>1167</v>
      </c>
      <c r="E164" s="182"/>
      <c r="F164" s="124" t="s">
        <v>1080</v>
      </c>
      <c r="G164" s="118">
        <v>4.4299999999999999E-2</v>
      </c>
      <c r="H164" s="283">
        <f>VLOOKUP(D164,upahbahan,3,FALSE)</f>
        <v>300000</v>
      </c>
      <c r="I164" s="284">
        <f>G164*H164</f>
        <v>13290</v>
      </c>
    </row>
    <row r="165" spans="3:10" ht="21.6" customHeight="1">
      <c r="C165" s="66" t="s">
        <v>1217</v>
      </c>
      <c r="D165" s="67"/>
      <c r="E165" s="67"/>
      <c r="F165" s="67"/>
      <c r="G165" s="67"/>
      <c r="H165" s="69"/>
      <c r="I165" s="284">
        <f>SUM(I164)</f>
        <v>13290</v>
      </c>
    </row>
    <row r="166" spans="3:10" s="297" customFormat="1" ht="21.6" customHeight="1">
      <c r="C166" s="293" t="s">
        <v>1218</v>
      </c>
      <c r="D166" s="294" t="s">
        <v>1219</v>
      </c>
      <c r="E166" s="295"/>
      <c r="F166" s="295"/>
      <c r="G166" s="295"/>
      <c r="H166" s="296"/>
      <c r="I166" s="284">
        <f>I165+I162+I157</f>
        <v>959702</v>
      </c>
      <c r="J166" s="119"/>
    </row>
    <row r="167" spans="3:10" s="297" customFormat="1" ht="21.6" customHeight="1">
      <c r="C167" s="293" t="s">
        <v>1220</v>
      </c>
      <c r="D167" s="294" t="s">
        <v>1321</v>
      </c>
      <c r="E167" s="295"/>
      <c r="F167" s="295"/>
      <c r="G167" s="296"/>
      <c r="H167" s="298">
        <f>$N$7</f>
        <v>0.1</v>
      </c>
      <c r="I167" s="284">
        <f>I166*H167</f>
        <v>95970.200000000012</v>
      </c>
      <c r="J167" s="119"/>
    </row>
    <row r="168" spans="3:10" s="297" customFormat="1" ht="21.6" customHeight="1" thickBot="1">
      <c r="C168" s="299" t="s">
        <v>1221</v>
      </c>
      <c r="D168" s="300" t="s">
        <v>1222</v>
      </c>
      <c r="E168" s="301"/>
      <c r="F168" s="301"/>
      <c r="G168" s="301"/>
      <c r="H168" s="302"/>
      <c r="I168" s="303">
        <f>SUM(I166:I167)</f>
        <v>1055672.2</v>
      </c>
      <c r="J168" s="119"/>
    </row>
    <row r="169" spans="3:10" ht="14.4" thickTop="1"/>
    <row r="171" spans="3:10" ht="14.4" thickBot="1">
      <c r="C171" s="119" t="s">
        <v>2356</v>
      </c>
      <c r="D171" s="48" t="s">
        <v>1272</v>
      </c>
      <c r="E171" s="48"/>
      <c r="F171" s="48"/>
      <c r="G171" s="48"/>
      <c r="H171" s="48"/>
      <c r="I171" s="48"/>
      <c r="J171" s="120">
        <f>ROUNDDOWN(I187,-2)</f>
        <v>1080300</v>
      </c>
    </row>
    <row r="172" spans="3:10" ht="28.2" thickTop="1">
      <c r="C172" s="51" t="s">
        <v>1195</v>
      </c>
      <c r="D172" s="52" t="s">
        <v>1196</v>
      </c>
      <c r="E172" s="52" t="s">
        <v>1906</v>
      </c>
      <c r="F172" s="52" t="s">
        <v>1197</v>
      </c>
      <c r="G172" s="52" t="s">
        <v>1198</v>
      </c>
      <c r="H172" s="52" t="s">
        <v>1199</v>
      </c>
      <c r="I172" s="53" t="s">
        <v>1200</v>
      </c>
    </row>
    <row r="173" spans="3:10" ht="21.6" customHeight="1">
      <c r="C173" s="290" t="s">
        <v>1201</v>
      </c>
      <c r="D173" s="182" t="s">
        <v>1202</v>
      </c>
      <c r="E173" s="182"/>
      <c r="F173" s="70"/>
      <c r="G173" s="70"/>
      <c r="H173" s="70"/>
      <c r="I173" s="71"/>
    </row>
    <row r="174" spans="3:10" ht="21.6" customHeight="1">
      <c r="C174" s="281">
        <v>1</v>
      </c>
      <c r="D174" s="182" t="s">
        <v>5</v>
      </c>
      <c r="E174" s="176" t="s">
        <v>1774</v>
      </c>
      <c r="F174" s="176" t="s">
        <v>6</v>
      </c>
      <c r="G174" s="282">
        <v>1.5</v>
      </c>
      <c r="H174" s="283">
        <f>VLOOKUP(D174,upahbahan,3,FALSE)</f>
        <v>100000</v>
      </c>
      <c r="I174" s="284">
        <f>G174*H174</f>
        <v>150000</v>
      </c>
    </row>
    <row r="175" spans="3:10" s="59" customFormat="1" ht="21.6" customHeight="1">
      <c r="C175" s="281">
        <v>2</v>
      </c>
      <c r="D175" s="182" t="s">
        <v>7</v>
      </c>
      <c r="E175" s="176" t="s">
        <v>1775</v>
      </c>
      <c r="F175" s="176" t="s">
        <v>6</v>
      </c>
      <c r="G175" s="282">
        <v>0.5</v>
      </c>
      <c r="H175" s="283">
        <f>VLOOKUP(D175,upahbahan,3,FALSE)</f>
        <v>135000</v>
      </c>
      <c r="I175" s="284">
        <f>G175*H175</f>
        <v>67500</v>
      </c>
      <c r="J175" s="119"/>
    </row>
    <row r="176" spans="3:10" s="59" customFormat="1" ht="21.6" customHeight="1">
      <c r="C176" s="281">
        <v>3</v>
      </c>
      <c r="D176" s="182" t="s">
        <v>19</v>
      </c>
      <c r="E176" s="176" t="s">
        <v>1777</v>
      </c>
      <c r="F176" s="176" t="s">
        <v>6</v>
      </c>
      <c r="G176" s="282">
        <v>0.15</v>
      </c>
      <c r="H176" s="283">
        <f>VLOOKUP(D176,upahbahan,3,FALSE)</f>
        <v>160000</v>
      </c>
      <c r="I176" s="284">
        <f>G176*H176</f>
        <v>24000</v>
      </c>
      <c r="J176" s="119"/>
    </row>
    <row r="177" spans="3:10" ht="21.6" customHeight="1">
      <c r="C177" s="66" t="s">
        <v>1208</v>
      </c>
      <c r="D177" s="67"/>
      <c r="E177" s="67"/>
      <c r="F177" s="67"/>
      <c r="G177" s="68"/>
      <c r="H177" s="69"/>
      <c r="I177" s="284">
        <f>SUM(I174:I176)</f>
        <v>241500</v>
      </c>
    </row>
    <row r="178" spans="3:10" ht="21.6" customHeight="1">
      <c r="C178" s="290" t="s">
        <v>1209</v>
      </c>
      <c r="D178" s="182" t="s">
        <v>1210</v>
      </c>
      <c r="E178" s="182"/>
      <c r="F178" s="70"/>
      <c r="G178" s="70"/>
      <c r="H178" s="70"/>
      <c r="I178" s="71"/>
    </row>
    <row r="179" spans="3:10" ht="21.6" customHeight="1">
      <c r="C179" s="281">
        <v>1</v>
      </c>
      <c r="D179" s="285" t="s">
        <v>56</v>
      </c>
      <c r="E179" s="285"/>
      <c r="F179" s="176" t="s">
        <v>42</v>
      </c>
      <c r="G179" s="282">
        <v>1.2</v>
      </c>
      <c r="H179" s="283">
        <f>VLOOKUP(D179,upahbahan,3,FALSE)</f>
        <v>322875</v>
      </c>
      <c r="I179" s="284">
        <f>G179*H179</f>
        <v>387450</v>
      </c>
    </row>
    <row r="180" spans="3:10" ht="21.6" customHeight="1">
      <c r="C180" s="281">
        <v>2</v>
      </c>
      <c r="D180" s="182" t="s">
        <v>2332</v>
      </c>
      <c r="E180" s="182"/>
      <c r="F180" s="176" t="s">
        <v>65</v>
      </c>
      <c r="G180" s="282">
        <v>117</v>
      </c>
      <c r="H180" s="283">
        <f>VLOOKUP(D180,upahbahan,3,FALSE)</f>
        <v>1530</v>
      </c>
      <c r="I180" s="284">
        <f>G180*H180</f>
        <v>179010</v>
      </c>
    </row>
    <row r="181" spans="3:10" ht="21.6" customHeight="1">
      <c r="C181" s="281">
        <v>3</v>
      </c>
      <c r="D181" s="285" t="s">
        <v>85</v>
      </c>
      <c r="E181" s="285"/>
      <c r="F181" s="176" t="s">
        <v>42</v>
      </c>
      <c r="G181" s="282">
        <v>0.56100000000000005</v>
      </c>
      <c r="H181" s="283">
        <f>VLOOKUP(D181,upahbahan,3,FALSE)</f>
        <v>310500</v>
      </c>
      <c r="I181" s="284">
        <f>G181*H181</f>
        <v>174190.50000000003</v>
      </c>
    </row>
    <row r="182" spans="3:10" ht="21.6" customHeight="1">
      <c r="C182" s="66" t="s">
        <v>1214</v>
      </c>
      <c r="D182" s="67"/>
      <c r="E182" s="67"/>
      <c r="F182" s="67"/>
      <c r="G182" s="67"/>
      <c r="H182" s="69"/>
      <c r="I182" s="284">
        <f>SUM(I179:I181)</f>
        <v>740650.5</v>
      </c>
    </row>
    <row r="183" spans="3:10" ht="21.6" customHeight="1">
      <c r="C183" s="290" t="s">
        <v>1215</v>
      </c>
      <c r="D183" s="182" t="s">
        <v>1216</v>
      </c>
      <c r="E183" s="182"/>
      <c r="F183" s="70"/>
      <c r="G183" s="70"/>
      <c r="H183" s="70"/>
      <c r="I183" s="71"/>
    </row>
    <row r="184" spans="3:10" ht="21.6" customHeight="1">
      <c r="C184" s="66" t="s">
        <v>1217</v>
      </c>
      <c r="D184" s="67"/>
      <c r="E184" s="67"/>
      <c r="F184" s="67"/>
      <c r="G184" s="67"/>
      <c r="H184" s="69"/>
      <c r="I184" s="292">
        <v>0</v>
      </c>
    </row>
    <row r="185" spans="3:10" s="297" customFormat="1" ht="21.6" customHeight="1">
      <c r="C185" s="293" t="s">
        <v>1218</v>
      </c>
      <c r="D185" s="294" t="s">
        <v>1219</v>
      </c>
      <c r="E185" s="295"/>
      <c r="F185" s="295"/>
      <c r="G185" s="295"/>
      <c r="H185" s="296"/>
      <c r="I185" s="284">
        <f>I184+I182+I177</f>
        <v>982150.5</v>
      </c>
      <c r="J185" s="119"/>
    </row>
    <row r="186" spans="3:10" s="297" customFormat="1" ht="21.6" customHeight="1">
      <c r="C186" s="293" t="s">
        <v>1220</v>
      </c>
      <c r="D186" s="294" t="s">
        <v>1321</v>
      </c>
      <c r="E186" s="295"/>
      <c r="F186" s="295"/>
      <c r="G186" s="296"/>
      <c r="H186" s="298">
        <f>$N$7</f>
        <v>0.1</v>
      </c>
      <c r="I186" s="284">
        <f>I185*H186</f>
        <v>98215.05</v>
      </c>
      <c r="J186" s="119"/>
    </row>
    <row r="187" spans="3:10" s="297" customFormat="1" ht="21.6" customHeight="1" thickBot="1">
      <c r="C187" s="299" t="s">
        <v>1221</v>
      </c>
      <c r="D187" s="300" t="s">
        <v>1222</v>
      </c>
      <c r="E187" s="301"/>
      <c r="F187" s="301"/>
      <c r="G187" s="301"/>
      <c r="H187" s="302"/>
      <c r="I187" s="303">
        <f>SUM(I185:I186)</f>
        <v>1080365.55</v>
      </c>
      <c r="J187" s="119"/>
    </row>
    <row r="188" spans="3:10" ht="14.4" thickTop="1"/>
    <row r="190" spans="3:10" ht="14.4" thickBot="1">
      <c r="C190" s="119" t="s">
        <v>2357</v>
      </c>
      <c r="D190" s="48" t="s">
        <v>1273</v>
      </c>
      <c r="E190" s="48"/>
      <c r="F190" s="48"/>
      <c r="G190" s="48"/>
      <c r="H190" s="48"/>
      <c r="I190" s="48"/>
      <c r="J190" s="120">
        <f>ROUNDDOWN(I207,-2)</f>
        <v>1031100</v>
      </c>
    </row>
    <row r="191" spans="3:10" ht="28.2" thickTop="1">
      <c r="C191" s="51" t="s">
        <v>1195</v>
      </c>
      <c r="D191" s="52" t="s">
        <v>1196</v>
      </c>
      <c r="E191" s="52" t="s">
        <v>1906</v>
      </c>
      <c r="F191" s="52" t="s">
        <v>1197</v>
      </c>
      <c r="G191" s="52" t="s">
        <v>1198</v>
      </c>
      <c r="H191" s="52" t="s">
        <v>1199</v>
      </c>
      <c r="I191" s="53" t="s">
        <v>1200</v>
      </c>
    </row>
    <row r="192" spans="3:10" ht="21.6" customHeight="1">
      <c r="C192" s="290" t="s">
        <v>1201</v>
      </c>
      <c r="D192" s="182" t="s">
        <v>1202</v>
      </c>
      <c r="E192" s="182"/>
      <c r="F192" s="70"/>
      <c r="G192" s="70"/>
      <c r="H192" s="70"/>
      <c r="I192" s="71"/>
    </row>
    <row r="193" spans="3:10" ht="21.6" customHeight="1">
      <c r="C193" s="281">
        <v>1</v>
      </c>
      <c r="D193" s="182" t="s">
        <v>5</v>
      </c>
      <c r="E193" s="176" t="s">
        <v>1774</v>
      </c>
      <c r="F193" s="176" t="s">
        <v>6</v>
      </c>
      <c r="G193" s="282">
        <v>1</v>
      </c>
      <c r="H193" s="283">
        <f>VLOOKUP(D193,upahbahan,3,FALSE)</f>
        <v>100000</v>
      </c>
      <c r="I193" s="284">
        <f>G193*H193</f>
        <v>100000</v>
      </c>
    </row>
    <row r="194" spans="3:10" s="59" customFormat="1" ht="21.6" customHeight="1">
      <c r="C194" s="281">
        <v>2</v>
      </c>
      <c r="D194" s="182" t="s">
        <v>7</v>
      </c>
      <c r="E194" s="176" t="s">
        <v>1775</v>
      </c>
      <c r="F194" s="176" t="s">
        <v>6</v>
      </c>
      <c r="G194" s="282">
        <v>0.5</v>
      </c>
      <c r="H194" s="283">
        <f>VLOOKUP(D194,upahbahan,3,FALSE)</f>
        <v>135000</v>
      </c>
      <c r="I194" s="284">
        <f>G194*H194</f>
        <v>67500</v>
      </c>
      <c r="J194" s="119"/>
    </row>
    <row r="195" spans="3:10" s="59" customFormat="1" ht="21.6" customHeight="1">
      <c r="C195" s="281">
        <v>3</v>
      </c>
      <c r="D195" s="182" t="s">
        <v>19</v>
      </c>
      <c r="E195" s="176" t="s">
        <v>1777</v>
      </c>
      <c r="F195" s="176" t="s">
        <v>6</v>
      </c>
      <c r="G195" s="282">
        <v>0.1</v>
      </c>
      <c r="H195" s="283">
        <f>VLOOKUP(D195,upahbahan,3,FALSE)</f>
        <v>160000</v>
      </c>
      <c r="I195" s="284">
        <f>G195*H195</f>
        <v>16000</v>
      </c>
      <c r="J195" s="119"/>
    </row>
    <row r="196" spans="3:10" ht="21.6" customHeight="1">
      <c r="C196" s="66" t="s">
        <v>1208</v>
      </c>
      <c r="D196" s="67"/>
      <c r="E196" s="67"/>
      <c r="F196" s="67"/>
      <c r="G196" s="68"/>
      <c r="H196" s="69"/>
      <c r="I196" s="284">
        <f>SUM(I193:I195)</f>
        <v>183500</v>
      </c>
    </row>
    <row r="197" spans="3:10" ht="21.6" customHeight="1">
      <c r="C197" s="290" t="s">
        <v>1209</v>
      </c>
      <c r="D197" s="182" t="s">
        <v>1210</v>
      </c>
      <c r="E197" s="182"/>
      <c r="F197" s="70"/>
      <c r="G197" s="70"/>
      <c r="H197" s="70"/>
      <c r="I197" s="71"/>
    </row>
    <row r="198" spans="3:10" ht="21.6" customHeight="1">
      <c r="C198" s="281">
        <v>1</v>
      </c>
      <c r="D198" s="285" t="s">
        <v>56</v>
      </c>
      <c r="E198" s="285"/>
      <c r="F198" s="176" t="s">
        <v>42</v>
      </c>
      <c r="G198" s="282">
        <v>1.2</v>
      </c>
      <c r="H198" s="283">
        <f>VLOOKUP(D198,upahbahan,3,FALSE)</f>
        <v>322875</v>
      </c>
      <c r="I198" s="284">
        <f>G198*H198</f>
        <v>387450</v>
      </c>
    </row>
    <row r="199" spans="3:10" ht="21.6" customHeight="1">
      <c r="C199" s="281">
        <v>2</v>
      </c>
      <c r="D199" s="182" t="s">
        <v>2332</v>
      </c>
      <c r="E199" s="182"/>
      <c r="F199" s="176" t="s">
        <v>65</v>
      </c>
      <c r="G199" s="282">
        <v>117</v>
      </c>
      <c r="H199" s="283">
        <f>VLOOKUP(D199,upahbahan,3,FALSE)</f>
        <v>1530</v>
      </c>
      <c r="I199" s="284">
        <f>G199*H199</f>
        <v>179010</v>
      </c>
    </row>
    <row r="200" spans="3:10" ht="21.6" customHeight="1">
      <c r="C200" s="281">
        <v>3</v>
      </c>
      <c r="D200" s="285" t="s">
        <v>85</v>
      </c>
      <c r="E200" s="285"/>
      <c r="F200" s="176" t="s">
        <v>42</v>
      </c>
      <c r="G200" s="282">
        <v>0.56100000000000005</v>
      </c>
      <c r="H200" s="283">
        <f>VLOOKUP(D200,upahbahan,3,FALSE)</f>
        <v>310500</v>
      </c>
      <c r="I200" s="284">
        <f>G200*H200</f>
        <v>174190.50000000003</v>
      </c>
    </row>
    <row r="201" spans="3:10" ht="21.6" customHeight="1">
      <c r="C201" s="66" t="s">
        <v>1214</v>
      </c>
      <c r="D201" s="67"/>
      <c r="E201" s="67"/>
      <c r="F201" s="67"/>
      <c r="G201" s="67"/>
      <c r="H201" s="69"/>
      <c r="I201" s="284">
        <f>SUM(I198:I200)</f>
        <v>740650.5</v>
      </c>
    </row>
    <row r="202" spans="3:10" ht="21.6" customHeight="1">
      <c r="C202" s="290" t="s">
        <v>1215</v>
      </c>
      <c r="D202" s="182" t="s">
        <v>1216</v>
      </c>
      <c r="E202" s="182"/>
      <c r="F202" s="70"/>
      <c r="G202" s="70"/>
      <c r="H202" s="70"/>
      <c r="I202" s="71"/>
    </row>
    <row r="203" spans="3:10" ht="21.6" customHeight="1">
      <c r="C203" s="306" t="s">
        <v>1203</v>
      </c>
      <c r="D203" s="182" t="s">
        <v>1167</v>
      </c>
      <c r="E203" s="182"/>
      <c r="F203" s="124" t="s">
        <v>1080</v>
      </c>
      <c r="G203" s="118">
        <v>4.4299999999999999E-2</v>
      </c>
      <c r="H203" s="283">
        <f>VLOOKUP(D203,upahbahan,3,FALSE)</f>
        <v>300000</v>
      </c>
      <c r="I203" s="284">
        <f>G203*H203</f>
        <v>13290</v>
      </c>
    </row>
    <row r="204" spans="3:10" ht="21.6" customHeight="1">
      <c r="C204" s="66" t="s">
        <v>1217</v>
      </c>
      <c r="D204" s="67"/>
      <c r="E204" s="67"/>
      <c r="F204" s="67"/>
      <c r="G204" s="67"/>
      <c r="H204" s="69"/>
      <c r="I204" s="284">
        <f>SUM(I203)</f>
        <v>13290</v>
      </c>
    </row>
    <row r="205" spans="3:10" s="297" customFormat="1" ht="21.6" customHeight="1">
      <c r="C205" s="293" t="s">
        <v>1218</v>
      </c>
      <c r="D205" s="294" t="s">
        <v>1219</v>
      </c>
      <c r="E205" s="295"/>
      <c r="F205" s="295"/>
      <c r="G205" s="295"/>
      <c r="H205" s="296"/>
      <c r="I205" s="284">
        <f>I204+I201+I196</f>
        <v>937440.5</v>
      </c>
      <c r="J205" s="119"/>
    </row>
    <row r="206" spans="3:10" s="297" customFormat="1" ht="21.6" customHeight="1">
      <c r="C206" s="293" t="s">
        <v>1220</v>
      </c>
      <c r="D206" s="294" t="s">
        <v>1321</v>
      </c>
      <c r="E206" s="295"/>
      <c r="F206" s="295"/>
      <c r="G206" s="296"/>
      <c r="H206" s="298">
        <f>$N$7</f>
        <v>0.1</v>
      </c>
      <c r="I206" s="284">
        <f>I205*H206</f>
        <v>93744.05</v>
      </c>
      <c r="J206" s="119"/>
    </row>
    <row r="207" spans="3:10" s="297" customFormat="1" ht="21.6" customHeight="1" thickBot="1">
      <c r="C207" s="299" t="s">
        <v>1221</v>
      </c>
      <c r="D207" s="300" t="s">
        <v>1222</v>
      </c>
      <c r="E207" s="301"/>
      <c r="F207" s="301"/>
      <c r="G207" s="301"/>
      <c r="H207" s="302"/>
      <c r="I207" s="303">
        <f>SUM(I205:I206)</f>
        <v>1031184.55</v>
      </c>
      <c r="J207" s="119"/>
    </row>
    <row r="208" spans="3:10" s="297" customFormat="1" ht="14.4" thickTop="1">
      <c r="C208" s="289"/>
      <c r="I208" s="139"/>
      <c r="J208" s="119"/>
    </row>
    <row r="210" spans="3:11">
      <c r="C210" s="126" t="s">
        <v>2358</v>
      </c>
      <c r="D210" s="119" t="s">
        <v>2359</v>
      </c>
    </row>
    <row r="211" spans="3:11" ht="35.4" customHeight="1" thickBot="1">
      <c r="C211" s="126" t="s">
        <v>2360</v>
      </c>
      <c r="D211" s="1875" t="s">
        <v>1274</v>
      </c>
      <c r="E211" s="1875"/>
      <c r="F211" s="1875"/>
      <c r="G211" s="1875"/>
      <c r="H211" s="1875"/>
      <c r="I211" s="1875"/>
      <c r="J211" s="120">
        <f>ROUNDDOWN(I229,-2)</f>
        <v>1007000</v>
      </c>
    </row>
    <row r="212" spans="3:11" ht="28.2" thickTop="1">
      <c r="C212" s="51" t="s">
        <v>1195</v>
      </c>
      <c r="D212" s="52" t="s">
        <v>1196</v>
      </c>
      <c r="E212" s="52" t="s">
        <v>1906</v>
      </c>
      <c r="F212" s="52" t="s">
        <v>1197</v>
      </c>
      <c r="G212" s="52" t="s">
        <v>1198</v>
      </c>
      <c r="H212" s="52" t="s">
        <v>1199</v>
      </c>
      <c r="I212" s="53" t="s">
        <v>1200</v>
      </c>
    </row>
    <row r="213" spans="3:11" ht="21.6" customHeight="1">
      <c r="C213" s="290" t="s">
        <v>1201</v>
      </c>
      <c r="D213" s="182" t="s">
        <v>1202</v>
      </c>
      <c r="E213" s="182"/>
      <c r="F213" s="70"/>
      <c r="G213" s="70"/>
      <c r="H213" s="70"/>
      <c r="I213" s="71"/>
    </row>
    <row r="214" spans="3:11" ht="21.6" customHeight="1">
      <c r="C214" s="281">
        <v>1</v>
      </c>
      <c r="D214" s="182" t="s">
        <v>5</v>
      </c>
      <c r="E214" s="176" t="s">
        <v>1774</v>
      </c>
      <c r="F214" s="176" t="s">
        <v>6</v>
      </c>
      <c r="G214" s="309">
        <v>1.3900999999999999</v>
      </c>
      <c r="H214" s="283">
        <f>VLOOKUP(D214,upahbahan,3,FALSE)</f>
        <v>100000</v>
      </c>
      <c r="I214" s="284">
        <f>G214*H214</f>
        <v>139010</v>
      </c>
    </row>
    <row r="215" spans="3:11" s="59" customFormat="1" ht="21.6" customHeight="1">
      <c r="C215" s="281">
        <v>2</v>
      </c>
      <c r="D215" s="182" t="s">
        <v>7</v>
      </c>
      <c r="E215" s="176" t="s">
        <v>1775</v>
      </c>
      <c r="F215" s="176" t="s">
        <v>6</v>
      </c>
      <c r="G215" s="309">
        <v>0.28960000000000002</v>
      </c>
      <c r="H215" s="283">
        <f>VLOOKUP(D215,upahbahan,3,FALSE)</f>
        <v>135000</v>
      </c>
      <c r="I215" s="284">
        <f>G215*H215</f>
        <v>39096</v>
      </c>
      <c r="J215" s="119"/>
    </row>
    <row r="216" spans="3:11" s="59" customFormat="1" ht="21.6" customHeight="1">
      <c r="C216" s="281">
        <v>3</v>
      </c>
      <c r="D216" s="182" t="s">
        <v>19</v>
      </c>
      <c r="E216" s="176" t="s">
        <v>1777</v>
      </c>
      <c r="F216" s="176" t="s">
        <v>6</v>
      </c>
      <c r="G216" s="309">
        <v>6.9500000000000006E-2</v>
      </c>
      <c r="H216" s="283">
        <f>VLOOKUP(D216,upahbahan,3,FALSE)</f>
        <v>160000</v>
      </c>
      <c r="I216" s="284">
        <f>G216*H216</f>
        <v>11120.000000000002</v>
      </c>
      <c r="J216" s="119"/>
    </row>
    <row r="217" spans="3:11" ht="21.6" customHeight="1">
      <c r="C217" s="66" t="s">
        <v>1208</v>
      </c>
      <c r="D217" s="67"/>
      <c r="E217" s="67"/>
      <c r="F217" s="67"/>
      <c r="G217" s="68"/>
      <c r="H217" s="69"/>
      <c r="I217" s="284">
        <f>SUM(I214:I216)</f>
        <v>189226</v>
      </c>
    </row>
    <row r="218" spans="3:11" ht="21.6" customHeight="1">
      <c r="C218" s="290" t="s">
        <v>1209</v>
      </c>
      <c r="D218" s="182" t="s">
        <v>1210</v>
      </c>
      <c r="E218" s="182"/>
      <c r="F218" s="70"/>
      <c r="G218" s="70"/>
      <c r="H218" s="70"/>
      <c r="I218" s="71"/>
    </row>
    <row r="219" spans="3:11" ht="21.6" customHeight="1">
      <c r="C219" s="310" t="s">
        <v>1203</v>
      </c>
      <c r="D219" s="285" t="s">
        <v>56</v>
      </c>
      <c r="E219" s="285"/>
      <c r="F219" s="176" t="s">
        <v>42</v>
      </c>
      <c r="G219" s="309">
        <v>0.52800000000000002</v>
      </c>
      <c r="H219" s="283">
        <f>VLOOKUP(D219,upahbahan,3,FALSE)</f>
        <v>322875</v>
      </c>
      <c r="I219" s="284">
        <f>G219*H219</f>
        <v>170478</v>
      </c>
    </row>
    <row r="220" spans="3:11" ht="21.6" customHeight="1">
      <c r="C220" s="310" t="s">
        <v>1204</v>
      </c>
      <c r="D220" s="182" t="s">
        <v>2332</v>
      </c>
      <c r="E220" s="182"/>
      <c r="F220" s="176" t="s">
        <v>65</v>
      </c>
      <c r="G220" s="282">
        <v>190</v>
      </c>
      <c r="H220" s="283">
        <f>VLOOKUP(D220,upahbahan,3,FALSE)</f>
        <v>1530</v>
      </c>
      <c r="I220" s="284">
        <f>G220*H220</f>
        <v>290700</v>
      </c>
    </row>
    <row r="221" spans="3:11" ht="21.6" customHeight="1">
      <c r="C221" s="310" t="s">
        <v>1205</v>
      </c>
      <c r="D221" s="182" t="s">
        <v>82</v>
      </c>
      <c r="E221" s="182"/>
      <c r="F221" s="176" t="s">
        <v>65</v>
      </c>
      <c r="G221" s="282">
        <v>494</v>
      </c>
      <c r="H221" s="283">
        <f>VLOOKUP(D221,upahbahan,3,FALSE)/1400</f>
        <v>221.78571428571428</v>
      </c>
      <c r="I221" s="284">
        <f>G221*H221</f>
        <v>109562.14285714286</v>
      </c>
      <c r="J221" s="311"/>
    </row>
    <row r="222" spans="3:11" ht="21.6" customHeight="1">
      <c r="C222" s="310" t="s">
        <v>1206</v>
      </c>
      <c r="D222" s="182" t="s">
        <v>41</v>
      </c>
      <c r="E222" s="182"/>
      <c r="F222" s="176" t="s">
        <v>65</v>
      </c>
      <c r="G222" s="282">
        <v>606</v>
      </c>
      <c r="H222" s="283">
        <f>VLOOKUP(D222,upahbahan,3,FALSE)/1350</f>
        <v>216.66666666666666</v>
      </c>
      <c r="I222" s="284">
        <f>G222*H222</f>
        <v>131300</v>
      </c>
      <c r="K222" s="312"/>
    </row>
    <row r="223" spans="3:11" ht="21.6" customHeight="1">
      <c r="C223" s="310" t="s">
        <v>1207</v>
      </c>
      <c r="D223" s="285" t="s">
        <v>960</v>
      </c>
      <c r="E223" s="285"/>
      <c r="F223" s="176" t="s">
        <v>529</v>
      </c>
      <c r="G223" s="282">
        <v>121</v>
      </c>
      <c r="H223" s="283">
        <f>VLOOKUP(D223,upahbahan,3,FALSE)</f>
        <v>200</v>
      </c>
      <c r="I223" s="284">
        <f>G223*H223</f>
        <v>24200</v>
      </c>
    </row>
    <row r="224" spans="3:11" ht="21.6" customHeight="1">
      <c r="C224" s="66" t="s">
        <v>1214</v>
      </c>
      <c r="D224" s="67"/>
      <c r="E224" s="67"/>
      <c r="F224" s="67"/>
      <c r="G224" s="67"/>
      <c r="H224" s="69"/>
      <c r="I224" s="284">
        <f>SUM(I219:I223)</f>
        <v>726240.14285714284</v>
      </c>
    </row>
    <row r="225" spans="3:12" ht="21.6" customHeight="1">
      <c r="C225" s="290" t="s">
        <v>1215</v>
      </c>
      <c r="D225" s="182" t="s">
        <v>1216</v>
      </c>
      <c r="E225" s="182"/>
      <c r="F225" s="70"/>
      <c r="G225" s="70"/>
      <c r="H225" s="70"/>
      <c r="I225" s="71"/>
    </row>
    <row r="226" spans="3:12" ht="21.6" customHeight="1">
      <c r="C226" s="66" t="s">
        <v>1217</v>
      </c>
      <c r="D226" s="67"/>
      <c r="E226" s="67"/>
      <c r="F226" s="67"/>
      <c r="G226" s="67"/>
      <c r="H226" s="69"/>
      <c r="I226" s="313">
        <v>0</v>
      </c>
    </row>
    <row r="227" spans="3:12" s="297" customFormat="1" ht="21.6" customHeight="1">
      <c r="C227" s="293" t="s">
        <v>1218</v>
      </c>
      <c r="D227" s="294" t="s">
        <v>1219</v>
      </c>
      <c r="E227" s="295"/>
      <c r="F227" s="295"/>
      <c r="G227" s="295"/>
      <c r="H227" s="296"/>
      <c r="I227" s="284">
        <f>I226+I224+I217</f>
        <v>915466.14285714284</v>
      </c>
      <c r="J227" s="119"/>
    </row>
    <row r="228" spans="3:12" s="297" customFormat="1" ht="21.6" customHeight="1">
      <c r="C228" s="293" t="s">
        <v>1220</v>
      </c>
      <c r="D228" s="294" t="s">
        <v>1321</v>
      </c>
      <c r="E228" s="295"/>
      <c r="F228" s="295"/>
      <c r="G228" s="296"/>
      <c r="H228" s="298">
        <f>$N$7</f>
        <v>0.1</v>
      </c>
      <c r="I228" s="284">
        <f>I227*H228</f>
        <v>91546.614285714284</v>
      </c>
      <c r="J228" s="119"/>
    </row>
    <row r="229" spans="3:12" s="297" customFormat="1" ht="21.6" customHeight="1" thickBot="1">
      <c r="C229" s="299" t="s">
        <v>1221</v>
      </c>
      <c r="D229" s="300" t="s">
        <v>1222</v>
      </c>
      <c r="E229" s="301"/>
      <c r="F229" s="301"/>
      <c r="G229" s="301"/>
      <c r="H229" s="302"/>
      <c r="I229" s="303">
        <f>SUM(I227:I228)</f>
        <v>1007012.7571428572</v>
      </c>
      <c r="J229" s="119"/>
    </row>
    <row r="230" spans="3:12" ht="14.4" thickTop="1"/>
    <row r="231" spans="3:12" ht="35.4" customHeight="1" thickBot="1">
      <c r="C231" s="119" t="s">
        <v>2361</v>
      </c>
      <c r="D231" s="1875" t="s">
        <v>1275</v>
      </c>
      <c r="E231" s="1875"/>
      <c r="F231" s="1875"/>
      <c r="G231" s="1875"/>
      <c r="H231" s="1875"/>
      <c r="I231" s="1875"/>
      <c r="J231" s="120">
        <f>ROUNDDOWN(I249,-2)</f>
        <v>997200</v>
      </c>
      <c r="L231" s="314"/>
    </row>
    <row r="232" spans="3:12" ht="28.2" thickTop="1">
      <c r="C232" s="51" t="s">
        <v>1195</v>
      </c>
      <c r="D232" s="52" t="s">
        <v>1196</v>
      </c>
      <c r="E232" s="52" t="s">
        <v>1773</v>
      </c>
      <c r="F232" s="52" t="s">
        <v>1197</v>
      </c>
      <c r="G232" s="52" t="s">
        <v>1198</v>
      </c>
      <c r="H232" s="52" t="s">
        <v>1199</v>
      </c>
      <c r="I232" s="53" t="s">
        <v>1200</v>
      </c>
    </row>
    <row r="233" spans="3:12" ht="21.6" customHeight="1">
      <c r="C233" s="290" t="s">
        <v>1201</v>
      </c>
      <c r="D233" s="182" t="s">
        <v>1202</v>
      </c>
      <c r="E233" s="182"/>
      <c r="F233" s="70"/>
      <c r="G233" s="70"/>
      <c r="H233" s="70"/>
      <c r="I233" s="71"/>
    </row>
    <row r="234" spans="3:12" ht="21.6" customHeight="1">
      <c r="C234" s="281">
        <v>1</v>
      </c>
      <c r="D234" s="182" t="s">
        <v>5</v>
      </c>
      <c r="E234" s="176" t="s">
        <v>1774</v>
      </c>
      <c r="F234" s="176" t="s">
        <v>6</v>
      </c>
      <c r="G234" s="309">
        <v>1.2509999999999999</v>
      </c>
      <c r="H234" s="283">
        <f>VLOOKUP(D234,upahbahan,3,FALSE)</f>
        <v>100000</v>
      </c>
      <c r="I234" s="284">
        <f>G234*H234</f>
        <v>125099.99999999999</v>
      </c>
    </row>
    <row r="235" spans="3:12" s="59" customFormat="1" ht="21.6" customHeight="1">
      <c r="C235" s="281">
        <v>2</v>
      </c>
      <c r="D235" s="182" t="s">
        <v>7</v>
      </c>
      <c r="E235" s="176" t="s">
        <v>1775</v>
      </c>
      <c r="F235" s="176" t="s">
        <v>6</v>
      </c>
      <c r="G235" s="309">
        <v>0.26100000000000001</v>
      </c>
      <c r="H235" s="283">
        <f>VLOOKUP(D235,upahbahan,3,FALSE)</f>
        <v>135000</v>
      </c>
      <c r="I235" s="284">
        <f>G235*H235</f>
        <v>35235</v>
      </c>
      <c r="J235" s="119"/>
    </row>
    <row r="236" spans="3:12" s="59" customFormat="1" ht="21.6" customHeight="1">
      <c r="C236" s="281">
        <v>3</v>
      </c>
      <c r="D236" s="182" t="s">
        <v>19</v>
      </c>
      <c r="E236" s="176" t="s">
        <v>1777</v>
      </c>
      <c r="F236" s="176" t="s">
        <v>6</v>
      </c>
      <c r="G236" s="309">
        <v>0.125</v>
      </c>
      <c r="H236" s="283">
        <f>VLOOKUP(D236,upahbahan,3,FALSE)</f>
        <v>160000</v>
      </c>
      <c r="I236" s="284">
        <f>G236*H236</f>
        <v>20000</v>
      </c>
      <c r="J236" s="119"/>
    </row>
    <row r="237" spans="3:12" ht="21.6" customHeight="1">
      <c r="C237" s="66" t="s">
        <v>1208</v>
      </c>
      <c r="D237" s="67"/>
      <c r="E237" s="67"/>
      <c r="F237" s="67"/>
      <c r="G237" s="68"/>
      <c r="H237" s="69"/>
      <c r="I237" s="284">
        <f>SUM(I234:I236)</f>
        <v>180335</v>
      </c>
    </row>
    <row r="238" spans="3:12" ht="21.6" customHeight="1">
      <c r="C238" s="290" t="s">
        <v>1209</v>
      </c>
      <c r="D238" s="182" t="s">
        <v>1210</v>
      </c>
      <c r="E238" s="182"/>
      <c r="F238" s="70"/>
      <c r="G238" s="70"/>
      <c r="H238" s="70"/>
      <c r="I238" s="71"/>
    </row>
    <row r="239" spans="3:12" ht="21.6" customHeight="1">
      <c r="C239" s="310" t="s">
        <v>1203</v>
      </c>
      <c r="D239" s="285" t="s">
        <v>56</v>
      </c>
      <c r="E239" s="285"/>
      <c r="F239" s="176" t="s">
        <v>42</v>
      </c>
      <c r="G239" s="309">
        <v>0.52800000000000002</v>
      </c>
      <c r="H239" s="283">
        <f>VLOOKUP(D239,upahbahan,3,FALSE)</f>
        <v>322875</v>
      </c>
      <c r="I239" s="284">
        <f>G239*H239</f>
        <v>170478</v>
      </c>
    </row>
    <row r="240" spans="3:12" ht="21.6" customHeight="1">
      <c r="C240" s="310" t="s">
        <v>1204</v>
      </c>
      <c r="D240" s="182" t="s">
        <v>2332</v>
      </c>
      <c r="E240" s="182"/>
      <c r="F240" s="176" t="s">
        <v>65</v>
      </c>
      <c r="G240" s="282">
        <v>190</v>
      </c>
      <c r="H240" s="283">
        <f>VLOOKUP(D240,upahbahan,3,FALSE)</f>
        <v>1530</v>
      </c>
      <c r="I240" s="284">
        <f>G240*H240</f>
        <v>290700</v>
      </c>
    </row>
    <row r="241" spans="3:10" ht="21.6" customHeight="1">
      <c r="C241" s="310" t="s">
        <v>1205</v>
      </c>
      <c r="D241" s="182" t="s">
        <v>82</v>
      </c>
      <c r="E241" s="182"/>
      <c r="F241" s="176" t="s">
        <v>65</v>
      </c>
      <c r="G241" s="282">
        <v>494</v>
      </c>
      <c r="H241" s="283">
        <f>VLOOKUP(D241,upahbahan,3,FALSE)/1400</f>
        <v>221.78571428571428</v>
      </c>
      <c r="I241" s="284">
        <f>G241*H241</f>
        <v>109562.14285714286</v>
      </c>
    </row>
    <row r="242" spans="3:10" ht="21.6" customHeight="1">
      <c r="C242" s="310" t="s">
        <v>1206</v>
      </c>
      <c r="D242" s="182" t="s">
        <v>41</v>
      </c>
      <c r="E242" s="182"/>
      <c r="F242" s="176" t="s">
        <v>65</v>
      </c>
      <c r="G242" s="282">
        <v>606</v>
      </c>
      <c r="H242" s="283">
        <f>VLOOKUP(D242,upahbahan,3,FALSE)/1350</f>
        <v>216.66666666666666</v>
      </c>
      <c r="I242" s="284">
        <f>G242*H242</f>
        <v>131300</v>
      </c>
    </row>
    <row r="243" spans="3:10" ht="21.6" customHeight="1">
      <c r="C243" s="310" t="s">
        <v>1207</v>
      </c>
      <c r="D243" s="285" t="s">
        <v>960</v>
      </c>
      <c r="E243" s="285"/>
      <c r="F243" s="176" t="s">
        <v>529</v>
      </c>
      <c r="G243" s="282">
        <v>121</v>
      </c>
      <c r="H243" s="283">
        <f>VLOOKUP(D243,upahbahan,3,FALSE)</f>
        <v>200</v>
      </c>
      <c r="I243" s="284">
        <f>G243*H243</f>
        <v>24200</v>
      </c>
    </row>
    <row r="244" spans="3:10" ht="21.6" customHeight="1">
      <c r="C244" s="66" t="s">
        <v>1214</v>
      </c>
      <c r="D244" s="67"/>
      <c r="E244" s="67"/>
      <c r="F244" s="67"/>
      <c r="G244" s="67"/>
      <c r="H244" s="69"/>
      <c r="I244" s="284">
        <f>SUM(I239:I243)</f>
        <v>726240.14285714284</v>
      </c>
    </row>
    <row r="245" spans="3:10" ht="21.6" customHeight="1">
      <c r="C245" s="290" t="s">
        <v>1215</v>
      </c>
      <c r="D245" s="182" t="s">
        <v>1216</v>
      </c>
      <c r="E245" s="182"/>
      <c r="F245" s="70"/>
      <c r="G245" s="70"/>
      <c r="H245" s="70"/>
      <c r="I245" s="71"/>
    </row>
    <row r="246" spans="3:10" ht="21.6" customHeight="1">
      <c r="C246" s="66" t="s">
        <v>1217</v>
      </c>
      <c r="D246" s="67"/>
      <c r="E246" s="67"/>
      <c r="F246" s="67"/>
      <c r="G246" s="67"/>
      <c r="H246" s="69"/>
      <c r="I246" s="313">
        <v>0</v>
      </c>
    </row>
    <row r="247" spans="3:10" s="297" customFormat="1" ht="21.6" customHeight="1">
      <c r="C247" s="293" t="s">
        <v>1218</v>
      </c>
      <c r="D247" s="294" t="s">
        <v>1219</v>
      </c>
      <c r="E247" s="295"/>
      <c r="F247" s="295"/>
      <c r="G247" s="295"/>
      <c r="H247" s="296"/>
      <c r="I247" s="284">
        <f>I246+I244+I237</f>
        <v>906575.14285714284</v>
      </c>
      <c r="J247" s="119"/>
    </row>
    <row r="248" spans="3:10" s="297" customFormat="1" ht="21.6" customHeight="1">
      <c r="C248" s="293" t="s">
        <v>1220</v>
      </c>
      <c r="D248" s="294" t="s">
        <v>1321</v>
      </c>
      <c r="E248" s="295"/>
      <c r="F248" s="295"/>
      <c r="G248" s="296"/>
      <c r="H248" s="298">
        <f>$N$7</f>
        <v>0.1</v>
      </c>
      <c r="I248" s="284">
        <f>I247*H248</f>
        <v>90657.514285714293</v>
      </c>
      <c r="J248" s="119"/>
    </row>
    <row r="249" spans="3:10" s="297" customFormat="1" ht="21.6" customHeight="1" thickBot="1">
      <c r="C249" s="299" t="s">
        <v>1221</v>
      </c>
      <c r="D249" s="300" t="s">
        <v>1222</v>
      </c>
      <c r="E249" s="301"/>
      <c r="F249" s="301"/>
      <c r="G249" s="301"/>
      <c r="H249" s="302"/>
      <c r="I249" s="303">
        <f>SUM(I247:I248)</f>
        <v>997232.65714285709</v>
      </c>
      <c r="J249" s="119"/>
    </row>
    <row r="250" spans="3:10" ht="14.4" thickTop="1"/>
    <row r="251" spans="3:10" ht="35.4" customHeight="1" thickBot="1">
      <c r="C251" s="126" t="s">
        <v>2362</v>
      </c>
      <c r="D251" s="1875" t="s">
        <v>1276</v>
      </c>
      <c r="E251" s="1875"/>
      <c r="F251" s="1875"/>
      <c r="G251" s="1875"/>
      <c r="H251" s="1875"/>
      <c r="I251" s="1875"/>
      <c r="J251" s="120">
        <f>ROUNDDOWN(I270,-2)</f>
        <v>965400</v>
      </c>
    </row>
    <row r="252" spans="3:10" ht="28.2" thickTop="1">
      <c r="C252" s="51" t="s">
        <v>1195</v>
      </c>
      <c r="D252" s="52" t="s">
        <v>1196</v>
      </c>
      <c r="E252" s="52" t="s">
        <v>1906</v>
      </c>
      <c r="F252" s="52" t="s">
        <v>1197</v>
      </c>
      <c r="G252" s="52" t="s">
        <v>1198</v>
      </c>
      <c r="H252" s="52" t="s">
        <v>1199</v>
      </c>
      <c r="I252" s="53" t="s">
        <v>1200</v>
      </c>
    </row>
    <row r="253" spans="3:10" ht="21.6" customHeight="1">
      <c r="C253" s="290" t="s">
        <v>1201</v>
      </c>
      <c r="D253" s="182" t="s">
        <v>1202</v>
      </c>
      <c r="E253" s="182"/>
      <c r="F253" s="70"/>
      <c r="G253" s="70"/>
      <c r="H253" s="70"/>
      <c r="I253" s="71"/>
    </row>
    <row r="254" spans="3:10" ht="21.6" customHeight="1">
      <c r="C254" s="281">
        <v>1</v>
      </c>
      <c r="D254" s="182" t="s">
        <v>5</v>
      </c>
      <c r="E254" s="176" t="s">
        <v>1774</v>
      </c>
      <c r="F254" s="176" t="s">
        <v>6</v>
      </c>
      <c r="G254" s="315">
        <v>0.83399999999999996</v>
      </c>
      <c r="H254" s="283">
        <f>VLOOKUP(D254,upahbahan,3,FALSE)</f>
        <v>100000</v>
      </c>
      <c r="I254" s="284">
        <f>G254*H254</f>
        <v>83400</v>
      </c>
    </row>
    <row r="255" spans="3:10" s="59" customFormat="1" ht="21.6" customHeight="1">
      <c r="C255" s="281">
        <v>2</v>
      </c>
      <c r="D255" s="182" t="s">
        <v>7</v>
      </c>
      <c r="E255" s="176" t="s">
        <v>1775</v>
      </c>
      <c r="F255" s="176" t="s">
        <v>6</v>
      </c>
      <c r="G255" s="315">
        <v>0.17380000000000001</v>
      </c>
      <c r="H255" s="283">
        <f>VLOOKUP(D255,upahbahan,3,FALSE)</f>
        <v>135000</v>
      </c>
      <c r="I255" s="284">
        <f>G255*H255</f>
        <v>23463</v>
      </c>
      <c r="J255" s="119"/>
    </row>
    <row r="256" spans="3:10" s="59" customFormat="1" ht="21.6" customHeight="1">
      <c r="C256" s="281">
        <v>3</v>
      </c>
      <c r="D256" s="182" t="s">
        <v>19</v>
      </c>
      <c r="E256" s="176" t="s">
        <v>1777</v>
      </c>
      <c r="F256" s="176" t="s">
        <v>6</v>
      </c>
      <c r="G256" s="315">
        <v>8.3400000000000002E-2</v>
      </c>
      <c r="H256" s="283">
        <f>VLOOKUP(D256,upahbahan,3,FALSE)</f>
        <v>160000</v>
      </c>
      <c r="I256" s="284">
        <f>G256*H256</f>
        <v>13344</v>
      </c>
      <c r="J256" s="119"/>
    </row>
    <row r="257" spans="3:10" ht="21.6" customHeight="1">
      <c r="C257" s="66" t="s">
        <v>1208</v>
      </c>
      <c r="D257" s="67"/>
      <c r="E257" s="67"/>
      <c r="F257" s="67"/>
      <c r="G257" s="68"/>
      <c r="H257" s="69"/>
      <c r="I257" s="284">
        <f>SUM(I254:I256)</f>
        <v>120207</v>
      </c>
    </row>
    <row r="258" spans="3:10" ht="21.6" customHeight="1">
      <c r="C258" s="290" t="s">
        <v>1209</v>
      </c>
      <c r="D258" s="182" t="s">
        <v>1210</v>
      </c>
      <c r="E258" s="182"/>
      <c r="F258" s="70"/>
      <c r="G258" s="70"/>
      <c r="H258" s="70"/>
      <c r="I258" s="71"/>
    </row>
    <row r="259" spans="3:10" ht="21.6" customHeight="1">
      <c r="C259" s="310" t="s">
        <v>1203</v>
      </c>
      <c r="D259" s="285" t="s">
        <v>56</v>
      </c>
      <c r="E259" s="285"/>
      <c r="F259" s="176" t="s">
        <v>42</v>
      </c>
      <c r="G259" s="309">
        <v>0.52800000000000002</v>
      </c>
      <c r="H259" s="283">
        <f>VLOOKUP(D259,upahbahan,3,FALSE)</f>
        <v>322875</v>
      </c>
      <c r="I259" s="284">
        <f>G259*H259</f>
        <v>170478</v>
      </c>
    </row>
    <row r="260" spans="3:10" ht="21.6" customHeight="1">
      <c r="C260" s="310" t="s">
        <v>1204</v>
      </c>
      <c r="D260" s="182" t="s">
        <v>2332</v>
      </c>
      <c r="E260" s="182"/>
      <c r="F260" s="176" t="s">
        <v>65</v>
      </c>
      <c r="G260" s="282">
        <v>184</v>
      </c>
      <c r="H260" s="283">
        <f>VLOOKUP(D260,upahbahan,3,FALSE)</f>
        <v>1530</v>
      </c>
      <c r="I260" s="284">
        <f>G260*H260</f>
        <v>281520</v>
      </c>
    </row>
    <row r="261" spans="3:10" ht="21.6" customHeight="1">
      <c r="C261" s="310" t="s">
        <v>1205</v>
      </c>
      <c r="D261" s="182" t="s">
        <v>82</v>
      </c>
      <c r="E261" s="182"/>
      <c r="F261" s="176" t="s">
        <v>65</v>
      </c>
      <c r="G261" s="282">
        <v>499</v>
      </c>
      <c r="H261" s="283">
        <f>VLOOKUP(D261,upahbahan,3,FALSE)/1400</f>
        <v>221.78571428571428</v>
      </c>
      <c r="I261" s="284">
        <f>G261*H261</f>
        <v>110671.07142857142</v>
      </c>
    </row>
    <row r="262" spans="3:10" ht="21.6" customHeight="1">
      <c r="C262" s="310" t="s">
        <v>1206</v>
      </c>
      <c r="D262" s="182" t="s">
        <v>41</v>
      </c>
      <c r="E262" s="182"/>
      <c r="F262" s="176" t="s">
        <v>65</v>
      </c>
      <c r="G262" s="282">
        <v>606</v>
      </c>
      <c r="H262" s="283">
        <f>VLOOKUP(D262,upahbahan,3,FALSE)/1350</f>
        <v>216.66666666666666</v>
      </c>
      <c r="I262" s="284">
        <f>G262*H262</f>
        <v>131300</v>
      </c>
    </row>
    <row r="263" spans="3:10" ht="21.6" customHeight="1">
      <c r="C263" s="310" t="s">
        <v>1207</v>
      </c>
      <c r="D263" s="285" t="s">
        <v>960</v>
      </c>
      <c r="E263" s="285"/>
      <c r="F263" s="176" t="s">
        <v>529</v>
      </c>
      <c r="G263" s="282">
        <v>121</v>
      </c>
      <c r="H263" s="283">
        <f>VLOOKUP(D263,upahbahan,3,FALSE)</f>
        <v>200</v>
      </c>
      <c r="I263" s="284">
        <f>G263*H263</f>
        <v>24200</v>
      </c>
    </row>
    <row r="264" spans="3:10" ht="21.6" customHeight="1">
      <c r="C264" s="66" t="s">
        <v>1214</v>
      </c>
      <c r="D264" s="67"/>
      <c r="E264" s="67"/>
      <c r="F264" s="67"/>
      <c r="G264" s="67"/>
      <c r="H264" s="69"/>
      <c r="I264" s="284">
        <f>SUM(I259:I263)</f>
        <v>718169.07142857136</v>
      </c>
    </row>
    <row r="265" spans="3:10" ht="21.6" customHeight="1">
      <c r="C265" s="290" t="s">
        <v>1215</v>
      </c>
      <c r="D265" s="182" t="s">
        <v>1216</v>
      </c>
      <c r="E265" s="182"/>
      <c r="F265" s="70"/>
      <c r="G265" s="70"/>
      <c r="H265" s="70"/>
      <c r="I265" s="71"/>
    </row>
    <row r="266" spans="3:10" ht="21.6" customHeight="1">
      <c r="C266" s="290">
        <v>1</v>
      </c>
      <c r="D266" s="182" t="s">
        <v>1167</v>
      </c>
      <c r="E266" s="182"/>
      <c r="F266" s="124" t="s">
        <v>1080</v>
      </c>
      <c r="G266" s="118">
        <v>0.13089999999999999</v>
      </c>
      <c r="H266" s="283">
        <f>VLOOKUP(D266,upahbahan,3,FALSE)</f>
        <v>300000</v>
      </c>
      <c r="I266" s="284">
        <f>G266*H266</f>
        <v>39270</v>
      </c>
    </row>
    <row r="267" spans="3:10" ht="21.6" customHeight="1">
      <c r="C267" s="66" t="s">
        <v>1217</v>
      </c>
      <c r="D267" s="67"/>
      <c r="E267" s="67"/>
      <c r="F267" s="67"/>
      <c r="G267" s="67"/>
      <c r="H267" s="69"/>
      <c r="I267" s="284">
        <f>SUM(I266)</f>
        <v>39270</v>
      </c>
    </row>
    <row r="268" spans="3:10" s="297" customFormat="1" ht="21.6" customHeight="1">
      <c r="C268" s="293" t="s">
        <v>1218</v>
      </c>
      <c r="D268" s="294" t="s">
        <v>1219</v>
      </c>
      <c r="E268" s="295"/>
      <c r="F268" s="295"/>
      <c r="G268" s="295"/>
      <c r="H268" s="296"/>
      <c r="I268" s="284">
        <f>I267+I264+I257</f>
        <v>877646.07142857136</v>
      </c>
      <c r="J268" s="119"/>
    </row>
    <row r="269" spans="3:10" s="297" customFormat="1" ht="21.6" customHeight="1">
      <c r="C269" s="293" t="s">
        <v>1220</v>
      </c>
      <c r="D269" s="294" t="s">
        <v>1321</v>
      </c>
      <c r="E269" s="295"/>
      <c r="F269" s="295"/>
      <c r="G269" s="296"/>
      <c r="H269" s="298">
        <f>$N$7</f>
        <v>0.1</v>
      </c>
      <c r="I269" s="284">
        <f>I268*H269</f>
        <v>87764.607142857145</v>
      </c>
      <c r="J269" s="119"/>
    </row>
    <row r="270" spans="3:10" s="297" customFormat="1" ht="21.6" customHeight="1" thickBot="1">
      <c r="C270" s="299" t="s">
        <v>1221</v>
      </c>
      <c r="D270" s="300" t="s">
        <v>1222</v>
      </c>
      <c r="E270" s="301"/>
      <c r="F270" s="301"/>
      <c r="G270" s="301"/>
      <c r="H270" s="302"/>
      <c r="I270" s="303">
        <f>SUM(I268:I269)</f>
        <v>965410.67857142852</v>
      </c>
      <c r="J270" s="119"/>
    </row>
    <row r="271" spans="3:10" ht="14.4" thickTop="1"/>
    <row r="272" spans="3:10" ht="35.4" customHeight="1" thickBot="1">
      <c r="C272" s="126" t="s">
        <v>2363</v>
      </c>
      <c r="D272" s="1875" t="s">
        <v>1277</v>
      </c>
      <c r="E272" s="1875"/>
      <c r="F272" s="1875"/>
      <c r="G272" s="1875"/>
      <c r="H272" s="1875"/>
      <c r="I272" s="1875"/>
      <c r="J272" s="120">
        <f>ROUNDDOWN(I290,-2)</f>
        <v>1063700</v>
      </c>
    </row>
    <row r="273" spans="3:10" ht="28.2" thickTop="1">
      <c r="C273" s="51" t="s">
        <v>1195</v>
      </c>
      <c r="D273" s="52" t="s">
        <v>1196</v>
      </c>
      <c r="E273" s="52" t="s">
        <v>1773</v>
      </c>
      <c r="F273" s="52" t="s">
        <v>1197</v>
      </c>
      <c r="G273" s="52" t="s">
        <v>1198</v>
      </c>
      <c r="H273" s="52" t="s">
        <v>1199</v>
      </c>
      <c r="I273" s="53" t="s">
        <v>1200</v>
      </c>
    </row>
    <row r="274" spans="3:10" ht="21.6" customHeight="1">
      <c r="C274" s="290" t="s">
        <v>1201</v>
      </c>
      <c r="D274" s="182" t="s">
        <v>1202</v>
      </c>
      <c r="E274" s="182"/>
      <c r="F274" s="70"/>
      <c r="G274" s="70"/>
      <c r="H274" s="70"/>
      <c r="I274" s="71"/>
    </row>
    <row r="275" spans="3:10" ht="21.6" customHeight="1">
      <c r="C275" s="281">
        <v>1</v>
      </c>
      <c r="D275" s="182" t="s">
        <v>5</v>
      </c>
      <c r="E275" s="176" t="s">
        <v>1774</v>
      </c>
      <c r="F275" s="176" t="s">
        <v>6</v>
      </c>
      <c r="G275" s="309">
        <v>1.3485</v>
      </c>
      <c r="H275" s="283">
        <f>VLOOKUP(D275,upahbahan,3,FALSE)</f>
        <v>100000</v>
      </c>
      <c r="I275" s="284">
        <f>G275*H275</f>
        <v>134850</v>
      </c>
    </row>
    <row r="276" spans="3:10" s="59" customFormat="1" ht="21.6" customHeight="1">
      <c r="C276" s="281">
        <v>2</v>
      </c>
      <c r="D276" s="182" t="s">
        <v>7</v>
      </c>
      <c r="E276" s="176" t="s">
        <v>1775</v>
      </c>
      <c r="F276" s="176" t="s">
        <v>6</v>
      </c>
      <c r="G276" s="309">
        <v>0.26440000000000002</v>
      </c>
      <c r="H276" s="283">
        <f>VLOOKUP(D276,upahbahan,3,FALSE)</f>
        <v>135000</v>
      </c>
      <c r="I276" s="284">
        <f>G276*H276</f>
        <v>35694</v>
      </c>
      <c r="J276" s="119"/>
    </row>
    <row r="277" spans="3:10" s="59" customFormat="1" ht="21.6" customHeight="1">
      <c r="C277" s="281">
        <v>3</v>
      </c>
      <c r="D277" s="182" t="s">
        <v>19</v>
      </c>
      <c r="E277" s="176" t="s">
        <v>1777</v>
      </c>
      <c r="F277" s="176" t="s">
        <v>6</v>
      </c>
      <c r="G277" s="309">
        <v>0.13489999999999999</v>
      </c>
      <c r="H277" s="283">
        <f>VLOOKUP(D277,upahbahan,3,FALSE)</f>
        <v>160000</v>
      </c>
      <c r="I277" s="284">
        <f>G277*H277</f>
        <v>21584</v>
      </c>
      <c r="J277" s="119"/>
    </row>
    <row r="278" spans="3:10" ht="21.6" customHeight="1">
      <c r="C278" s="66" t="s">
        <v>1208</v>
      </c>
      <c r="D278" s="67"/>
      <c r="E278" s="67"/>
      <c r="F278" s="67"/>
      <c r="G278" s="68"/>
      <c r="H278" s="69"/>
      <c r="I278" s="284">
        <f>SUM(I275:I277)</f>
        <v>192128</v>
      </c>
    </row>
    <row r="279" spans="3:10" ht="21.6" customHeight="1">
      <c r="C279" s="290" t="s">
        <v>1209</v>
      </c>
      <c r="D279" s="182" t="s">
        <v>1210</v>
      </c>
      <c r="E279" s="182"/>
      <c r="F279" s="70"/>
      <c r="G279" s="70"/>
      <c r="H279" s="70"/>
      <c r="I279" s="71"/>
    </row>
    <row r="280" spans="3:10" ht="21.6" customHeight="1">
      <c r="C280" s="310" t="s">
        <v>1203</v>
      </c>
      <c r="D280" s="285" t="s">
        <v>56</v>
      </c>
      <c r="E280" s="285"/>
      <c r="F280" s="176" t="s">
        <v>42</v>
      </c>
      <c r="G280" s="282">
        <v>0.39600000000000002</v>
      </c>
      <c r="H280" s="283">
        <f>VLOOKUP(D280,upahbahan,3,FALSE)</f>
        <v>322875</v>
      </c>
      <c r="I280" s="284">
        <f>G280*H280</f>
        <v>127858.5</v>
      </c>
    </row>
    <row r="281" spans="3:10" ht="21.6" customHeight="1">
      <c r="C281" s="310" t="s">
        <v>1204</v>
      </c>
      <c r="D281" s="182" t="s">
        <v>2332</v>
      </c>
      <c r="E281" s="182"/>
      <c r="F281" s="176" t="s">
        <v>65</v>
      </c>
      <c r="G281" s="282">
        <v>221</v>
      </c>
      <c r="H281" s="283">
        <f>VLOOKUP(D281,upahbahan,3,FALSE)</f>
        <v>1530</v>
      </c>
      <c r="I281" s="284">
        <f>G281*H281</f>
        <v>338130</v>
      </c>
    </row>
    <row r="282" spans="3:10" ht="21.6" customHeight="1">
      <c r="C282" s="310" t="s">
        <v>1205</v>
      </c>
      <c r="D282" s="182" t="s">
        <v>82</v>
      </c>
      <c r="E282" s="182"/>
      <c r="F282" s="176" t="s">
        <v>65</v>
      </c>
      <c r="G282" s="282">
        <v>576</v>
      </c>
      <c r="H282" s="283">
        <f>VLOOKUP(D282,upahbahan,3,FALSE)/1400</f>
        <v>221.78571428571428</v>
      </c>
      <c r="I282" s="284">
        <f>G282*H282</f>
        <v>127748.57142857142</v>
      </c>
    </row>
    <row r="283" spans="3:10" ht="21.6" customHeight="1">
      <c r="C283" s="310" t="s">
        <v>1206</v>
      </c>
      <c r="D283" s="182" t="s">
        <v>41</v>
      </c>
      <c r="E283" s="182"/>
      <c r="F283" s="176" t="s">
        <v>65</v>
      </c>
      <c r="G283" s="282">
        <v>706</v>
      </c>
      <c r="H283" s="283">
        <f>VLOOKUP(D283,upahbahan,3,FALSE)/1350</f>
        <v>216.66666666666666</v>
      </c>
      <c r="I283" s="284">
        <f>G283*H283</f>
        <v>152966.66666666666</v>
      </c>
    </row>
    <row r="284" spans="3:10" ht="21.6" customHeight="1">
      <c r="C284" s="310" t="s">
        <v>1207</v>
      </c>
      <c r="D284" s="285" t="s">
        <v>960</v>
      </c>
      <c r="E284" s="285"/>
      <c r="F284" s="176" t="s">
        <v>529</v>
      </c>
      <c r="G284" s="282">
        <v>141</v>
      </c>
      <c r="H284" s="283">
        <f>VLOOKUP(D284,upahbahan,3,FALSE)</f>
        <v>200</v>
      </c>
      <c r="I284" s="284">
        <f>G284*H284</f>
        <v>28200</v>
      </c>
    </row>
    <row r="285" spans="3:10" ht="21.6" customHeight="1">
      <c r="C285" s="66" t="s">
        <v>1214</v>
      </c>
      <c r="D285" s="67"/>
      <c r="E285" s="67"/>
      <c r="F285" s="67"/>
      <c r="G285" s="67"/>
      <c r="H285" s="69"/>
      <c r="I285" s="284">
        <f>SUM(I280:I284)</f>
        <v>774903.73809523799</v>
      </c>
    </row>
    <row r="286" spans="3:10" ht="21.6" customHeight="1">
      <c r="C286" s="290" t="s">
        <v>1215</v>
      </c>
      <c r="D286" s="182" t="s">
        <v>1216</v>
      </c>
      <c r="E286" s="182"/>
      <c r="F286" s="70"/>
      <c r="G286" s="70"/>
      <c r="H286" s="70"/>
      <c r="I286" s="71"/>
    </row>
    <row r="287" spans="3:10" ht="21.6" customHeight="1">
      <c r="C287" s="66" t="s">
        <v>1217</v>
      </c>
      <c r="D287" s="67"/>
      <c r="E287" s="67"/>
      <c r="F287" s="67"/>
      <c r="G287" s="67"/>
      <c r="H287" s="69"/>
      <c r="I287" s="313">
        <v>0</v>
      </c>
    </row>
    <row r="288" spans="3:10" s="297" customFormat="1" ht="21.6" customHeight="1">
      <c r="C288" s="293" t="s">
        <v>1218</v>
      </c>
      <c r="D288" s="294" t="s">
        <v>1219</v>
      </c>
      <c r="E288" s="295"/>
      <c r="F288" s="295"/>
      <c r="G288" s="295"/>
      <c r="H288" s="296"/>
      <c r="I288" s="284">
        <f>I287+I285+I278</f>
        <v>967031.73809523799</v>
      </c>
      <c r="J288" s="119"/>
    </row>
    <row r="289" spans="3:10" s="297" customFormat="1" ht="21.6" customHeight="1">
      <c r="C289" s="293" t="s">
        <v>1220</v>
      </c>
      <c r="D289" s="294" t="s">
        <v>1321</v>
      </c>
      <c r="E289" s="295"/>
      <c r="F289" s="295"/>
      <c r="G289" s="296"/>
      <c r="H289" s="298">
        <f>$N$7</f>
        <v>0.1</v>
      </c>
      <c r="I289" s="284">
        <f>I288*H289</f>
        <v>96703.173809523811</v>
      </c>
      <c r="J289" s="119"/>
    </row>
    <row r="290" spans="3:10" s="297" customFormat="1" ht="21.6" customHeight="1" thickBot="1">
      <c r="C290" s="299" t="s">
        <v>1221</v>
      </c>
      <c r="D290" s="300" t="s">
        <v>1222</v>
      </c>
      <c r="E290" s="301"/>
      <c r="F290" s="301"/>
      <c r="G290" s="301"/>
      <c r="H290" s="302"/>
      <c r="I290" s="303">
        <f>SUM(I288:I289)</f>
        <v>1063734.9119047618</v>
      </c>
      <c r="J290" s="119"/>
    </row>
    <row r="291" spans="3:10" ht="14.4" thickTop="1"/>
    <row r="292" spans="3:10" ht="35.4" customHeight="1" thickBot="1">
      <c r="C292" s="126" t="s">
        <v>2364</v>
      </c>
      <c r="D292" s="1875" t="s">
        <v>1278</v>
      </c>
      <c r="E292" s="1875"/>
      <c r="F292" s="1875"/>
      <c r="G292" s="1875"/>
      <c r="H292" s="1875"/>
      <c r="I292" s="1875"/>
      <c r="J292" s="120">
        <f>ROUNDDOWN(I311,-2)</f>
        <v>1035300</v>
      </c>
    </row>
    <row r="293" spans="3:10" ht="28.2" thickTop="1">
      <c r="C293" s="51" t="s">
        <v>1195</v>
      </c>
      <c r="D293" s="52" t="s">
        <v>1196</v>
      </c>
      <c r="E293" s="52" t="s">
        <v>1906</v>
      </c>
      <c r="F293" s="52" t="s">
        <v>1197</v>
      </c>
      <c r="G293" s="52" t="s">
        <v>1198</v>
      </c>
      <c r="H293" s="52" t="s">
        <v>1199</v>
      </c>
      <c r="I293" s="53" t="s">
        <v>1200</v>
      </c>
    </row>
    <row r="294" spans="3:10" ht="21.6" customHeight="1">
      <c r="C294" s="290" t="s">
        <v>1201</v>
      </c>
      <c r="D294" s="182" t="s">
        <v>1202</v>
      </c>
      <c r="E294" s="182"/>
      <c r="F294" s="70"/>
      <c r="G294" s="70"/>
      <c r="H294" s="70"/>
      <c r="I294" s="71"/>
    </row>
    <row r="295" spans="3:10" ht="21.6" customHeight="1">
      <c r="C295" s="281">
        <v>1</v>
      </c>
      <c r="D295" s="182" t="s">
        <v>5</v>
      </c>
      <c r="E295" s="176" t="s">
        <v>1774</v>
      </c>
      <c r="F295" s="176" t="s">
        <v>6</v>
      </c>
      <c r="G295" s="315">
        <v>0.88900000000000001</v>
      </c>
      <c r="H295" s="283">
        <f>VLOOKUP(D295,upahbahan,3,FALSE)</f>
        <v>100000</v>
      </c>
      <c r="I295" s="284">
        <f>G295*H295</f>
        <v>88900</v>
      </c>
    </row>
    <row r="296" spans="3:10" s="59" customFormat="1" ht="21.6" customHeight="1">
      <c r="C296" s="281">
        <v>2</v>
      </c>
      <c r="D296" s="182" t="s">
        <v>7</v>
      </c>
      <c r="E296" s="176" t="s">
        <v>1775</v>
      </c>
      <c r="F296" s="176" t="s">
        <v>6</v>
      </c>
      <c r="G296" s="315">
        <v>0.17630000000000001</v>
      </c>
      <c r="H296" s="283">
        <f>VLOOKUP(D296,upahbahan,3,FALSE)</f>
        <v>135000</v>
      </c>
      <c r="I296" s="284">
        <f>G296*H296</f>
        <v>23800.5</v>
      </c>
      <c r="J296" s="119"/>
    </row>
    <row r="297" spans="3:10" s="59" customFormat="1" ht="21.6" customHeight="1">
      <c r="C297" s="281">
        <v>3</v>
      </c>
      <c r="D297" s="182" t="s">
        <v>19</v>
      </c>
      <c r="E297" s="176" t="s">
        <v>1777</v>
      </c>
      <c r="F297" s="176" t="s">
        <v>6</v>
      </c>
      <c r="G297" s="315">
        <v>8.9899999999999994E-2</v>
      </c>
      <c r="H297" s="283">
        <f>VLOOKUP(D297,upahbahan,3,FALSE)</f>
        <v>160000</v>
      </c>
      <c r="I297" s="284">
        <f>G297*H297</f>
        <v>14383.999999999998</v>
      </c>
      <c r="J297" s="119"/>
    </row>
    <row r="298" spans="3:10" ht="21.6" customHeight="1">
      <c r="C298" s="66" t="s">
        <v>1208</v>
      </c>
      <c r="D298" s="67"/>
      <c r="E298" s="67"/>
      <c r="F298" s="67"/>
      <c r="G298" s="68"/>
      <c r="H298" s="69"/>
      <c r="I298" s="284">
        <f>SUM(I295:I297)</f>
        <v>127084.5</v>
      </c>
    </row>
    <row r="299" spans="3:10" ht="21.6" customHeight="1">
      <c r="C299" s="290" t="s">
        <v>1209</v>
      </c>
      <c r="D299" s="182" t="s">
        <v>1210</v>
      </c>
      <c r="E299" s="182"/>
      <c r="F299" s="70"/>
      <c r="G299" s="70"/>
      <c r="H299" s="70"/>
      <c r="I299" s="71"/>
    </row>
    <row r="300" spans="3:10" ht="21.6" customHeight="1">
      <c r="C300" s="310" t="s">
        <v>1203</v>
      </c>
      <c r="D300" s="285" t="s">
        <v>56</v>
      </c>
      <c r="E300" s="285"/>
      <c r="F300" s="176" t="s">
        <v>42</v>
      </c>
      <c r="G300" s="309">
        <v>0.39600000000000002</v>
      </c>
      <c r="H300" s="283">
        <f>VLOOKUP(D300,upahbahan,3,FALSE)</f>
        <v>322875</v>
      </c>
      <c r="I300" s="284">
        <f>G300*H300</f>
        <v>127858.5</v>
      </c>
    </row>
    <row r="301" spans="3:10" ht="21.6" customHeight="1">
      <c r="C301" s="310" t="s">
        <v>1204</v>
      </c>
      <c r="D301" s="182" t="s">
        <v>2332</v>
      </c>
      <c r="E301" s="182"/>
      <c r="F301" s="176" t="s">
        <v>65</v>
      </c>
      <c r="G301" s="282">
        <v>221</v>
      </c>
      <c r="H301" s="283">
        <f>VLOOKUP(D301,upahbahan,3,FALSE)</f>
        <v>1530</v>
      </c>
      <c r="I301" s="284">
        <f>G301*H301</f>
        <v>338130</v>
      </c>
    </row>
    <row r="302" spans="3:10" ht="21.6" customHeight="1">
      <c r="C302" s="310" t="s">
        <v>1205</v>
      </c>
      <c r="D302" s="182" t="s">
        <v>82</v>
      </c>
      <c r="E302" s="182"/>
      <c r="F302" s="176" t="s">
        <v>65</v>
      </c>
      <c r="G302" s="282">
        <v>576</v>
      </c>
      <c r="H302" s="283">
        <f>VLOOKUP(D302,upahbahan,3,FALSE)/1400</f>
        <v>221.78571428571428</v>
      </c>
      <c r="I302" s="284">
        <f>G302*H302</f>
        <v>127748.57142857142</v>
      </c>
    </row>
    <row r="303" spans="3:10" ht="21.6" customHeight="1">
      <c r="C303" s="310" t="s">
        <v>1206</v>
      </c>
      <c r="D303" s="182" t="s">
        <v>41</v>
      </c>
      <c r="E303" s="182"/>
      <c r="F303" s="176" t="s">
        <v>65</v>
      </c>
      <c r="G303" s="282">
        <v>706</v>
      </c>
      <c r="H303" s="283">
        <f>VLOOKUP(D303,upahbahan,3,FALSE)/1350</f>
        <v>216.66666666666666</v>
      </c>
      <c r="I303" s="284">
        <f>G303*H303</f>
        <v>152966.66666666666</v>
      </c>
    </row>
    <row r="304" spans="3:10" ht="21.6" customHeight="1">
      <c r="C304" s="310" t="s">
        <v>1207</v>
      </c>
      <c r="D304" s="285" t="s">
        <v>960</v>
      </c>
      <c r="E304" s="285"/>
      <c r="F304" s="176" t="s">
        <v>529</v>
      </c>
      <c r="G304" s="282">
        <v>141</v>
      </c>
      <c r="H304" s="283">
        <f>VLOOKUP(D304,upahbahan,3,FALSE)</f>
        <v>200</v>
      </c>
      <c r="I304" s="284">
        <f>G304*H304</f>
        <v>28200</v>
      </c>
    </row>
    <row r="305" spans="3:10" ht="21.6" customHeight="1">
      <c r="C305" s="66" t="s">
        <v>1214</v>
      </c>
      <c r="D305" s="67"/>
      <c r="E305" s="67"/>
      <c r="F305" s="67"/>
      <c r="G305" s="67"/>
      <c r="H305" s="69"/>
      <c r="I305" s="284">
        <f>SUM(I300:I304)</f>
        <v>774903.73809523799</v>
      </c>
    </row>
    <row r="306" spans="3:10" ht="21.6" customHeight="1">
      <c r="C306" s="290" t="s">
        <v>1215</v>
      </c>
      <c r="D306" s="182" t="s">
        <v>1216</v>
      </c>
      <c r="E306" s="182"/>
      <c r="F306" s="70"/>
      <c r="G306" s="70"/>
      <c r="H306" s="70"/>
      <c r="I306" s="71"/>
    </row>
    <row r="307" spans="3:10" ht="21.6" customHeight="1">
      <c r="C307" s="290"/>
      <c r="D307" s="182" t="s">
        <v>1167</v>
      </c>
      <c r="E307" s="182"/>
      <c r="F307" s="124" t="s">
        <v>1080</v>
      </c>
      <c r="G307" s="118">
        <v>0.13089999999999999</v>
      </c>
      <c r="H307" s="283">
        <f>VLOOKUP(D307,upahbahan,3,FALSE)</f>
        <v>300000</v>
      </c>
      <c r="I307" s="284">
        <f>G307*H307</f>
        <v>39270</v>
      </c>
    </row>
    <row r="308" spans="3:10" ht="21.6" customHeight="1">
      <c r="C308" s="66" t="s">
        <v>1217</v>
      </c>
      <c r="D308" s="67"/>
      <c r="E308" s="67"/>
      <c r="F308" s="67"/>
      <c r="G308" s="67"/>
      <c r="H308" s="69"/>
      <c r="I308" s="284">
        <f>SUM(I307)</f>
        <v>39270</v>
      </c>
    </row>
    <row r="309" spans="3:10" s="297" customFormat="1" ht="21.6" customHeight="1">
      <c r="C309" s="293" t="s">
        <v>1218</v>
      </c>
      <c r="D309" s="294" t="s">
        <v>1219</v>
      </c>
      <c r="E309" s="295"/>
      <c r="F309" s="295"/>
      <c r="G309" s="295"/>
      <c r="H309" s="296"/>
      <c r="I309" s="284">
        <f>I308+I305+I298</f>
        <v>941258.23809523799</v>
      </c>
      <c r="J309" s="119"/>
    </row>
    <row r="310" spans="3:10" s="297" customFormat="1" ht="21.6" customHeight="1">
      <c r="C310" s="293" t="s">
        <v>1220</v>
      </c>
      <c r="D310" s="294" t="s">
        <v>1321</v>
      </c>
      <c r="E310" s="295"/>
      <c r="F310" s="295"/>
      <c r="G310" s="296"/>
      <c r="H310" s="298">
        <f>$N$7</f>
        <v>0.1</v>
      </c>
      <c r="I310" s="284">
        <f>I309*H310</f>
        <v>94125.823809523805</v>
      </c>
      <c r="J310" s="119"/>
    </row>
    <row r="311" spans="3:10" s="297" customFormat="1" ht="21.6" customHeight="1" thickBot="1">
      <c r="C311" s="299" t="s">
        <v>1221</v>
      </c>
      <c r="D311" s="300" t="s">
        <v>1222</v>
      </c>
      <c r="E311" s="301"/>
      <c r="F311" s="301"/>
      <c r="G311" s="301"/>
      <c r="H311" s="302"/>
      <c r="I311" s="303">
        <f>SUM(I309:I310)</f>
        <v>1035384.0619047618</v>
      </c>
      <c r="J311" s="119"/>
    </row>
    <row r="312" spans="3:10" ht="14.4" thickTop="1"/>
    <row r="313" spans="3:10" ht="15.75" customHeight="1" thickBot="1">
      <c r="C313" s="126" t="s">
        <v>2365</v>
      </c>
      <c r="D313" s="48" t="s">
        <v>1279</v>
      </c>
      <c r="E313" s="48"/>
      <c r="F313" s="48"/>
      <c r="G313" s="48"/>
      <c r="H313" s="48"/>
      <c r="I313" s="48"/>
      <c r="J313" s="120">
        <f>ROUNDDOWN(I331,-2)</f>
        <v>1004700</v>
      </c>
    </row>
    <row r="314" spans="3:10" ht="28.2" thickTop="1">
      <c r="C314" s="51" t="s">
        <v>1195</v>
      </c>
      <c r="D314" s="52" t="s">
        <v>1196</v>
      </c>
      <c r="E314" s="52" t="s">
        <v>1906</v>
      </c>
      <c r="F314" s="52" t="s">
        <v>1197</v>
      </c>
      <c r="G314" s="52" t="s">
        <v>1198</v>
      </c>
      <c r="H314" s="52" t="s">
        <v>1199</v>
      </c>
      <c r="I314" s="53" t="s">
        <v>1200</v>
      </c>
    </row>
    <row r="315" spans="3:10" ht="21.6" customHeight="1">
      <c r="C315" s="290" t="s">
        <v>1201</v>
      </c>
      <c r="D315" s="182" t="s">
        <v>1202</v>
      </c>
      <c r="E315" s="182"/>
      <c r="F315" s="70"/>
      <c r="G315" s="70"/>
      <c r="H315" s="70"/>
      <c r="I315" s="71"/>
    </row>
    <row r="316" spans="3:10" ht="21.6" customHeight="1">
      <c r="C316" s="310" t="s">
        <v>1203</v>
      </c>
      <c r="D316" s="182" t="s">
        <v>5</v>
      </c>
      <c r="E316" s="176" t="s">
        <v>1774</v>
      </c>
      <c r="F316" s="176" t="s">
        <v>6</v>
      </c>
      <c r="G316" s="315">
        <v>2.4</v>
      </c>
      <c r="H316" s="283">
        <f>VLOOKUP(D316,upahbahan,3,FALSE)</f>
        <v>100000</v>
      </c>
      <c r="I316" s="284">
        <f>G316*H316</f>
        <v>240000</v>
      </c>
    </row>
    <row r="317" spans="3:10" s="59" customFormat="1" ht="21.6" customHeight="1">
      <c r="C317" s="310" t="s">
        <v>1204</v>
      </c>
      <c r="D317" s="182" t="s">
        <v>7</v>
      </c>
      <c r="E317" s="176" t="s">
        <v>1775</v>
      </c>
      <c r="F317" s="176" t="s">
        <v>6</v>
      </c>
      <c r="G317" s="315">
        <v>0.8</v>
      </c>
      <c r="H317" s="283">
        <f>VLOOKUP(D317,upahbahan,3,FALSE)</f>
        <v>135000</v>
      </c>
      <c r="I317" s="284">
        <f>G317*H317</f>
        <v>108000</v>
      </c>
      <c r="J317" s="119"/>
    </row>
    <row r="318" spans="3:10" s="59" customFormat="1" ht="21.6" customHeight="1">
      <c r="C318" s="310" t="s">
        <v>1205</v>
      </c>
      <c r="D318" s="182" t="s">
        <v>18</v>
      </c>
      <c r="E318" s="176" t="s">
        <v>1776</v>
      </c>
      <c r="F318" s="176" t="s">
        <v>6</v>
      </c>
      <c r="G318" s="315">
        <v>0.08</v>
      </c>
      <c r="H318" s="283">
        <f>VLOOKUP(D318,upahbahan,3,FALSE)</f>
        <v>150000</v>
      </c>
      <c r="I318" s="284">
        <f>G318*H318</f>
        <v>12000</v>
      </c>
      <c r="J318" s="119"/>
    </row>
    <row r="319" spans="3:10" s="59" customFormat="1" ht="21.6" customHeight="1">
      <c r="C319" s="310" t="s">
        <v>1206</v>
      </c>
      <c r="D319" s="182" t="s">
        <v>19</v>
      </c>
      <c r="E319" s="176" t="s">
        <v>1777</v>
      </c>
      <c r="F319" s="176" t="s">
        <v>6</v>
      </c>
      <c r="G319" s="315">
        <v>8.9899999999999994E-2</v>
      </c>
      <c r="H319" s="283">
        <f>VLOOKUP(D319,upahbahan,3,FALSE)</f>
        <v>160000</v>
      </c>
      <c r="I319" s="284">
        <f>G319*H319</f>
        <v>14383.999999999998</v>
      </c>
      <c r="J319" s="119"/>
    </row>
    <row r="320" spans="3:10" ht="21.6" customHeight="1">
      <c r="C320" s="66" t="s">
        <v>1208</v>
      </c>
      <c r="D320" s="67"/>
      <c r="E320" s="67"/>
      <c r="F320" s="67"/>
      <c r="G320" s="68"/>
      <c r="H320" s="69"/>
      <c r="I320" s="284">
        <f>SUM(I316:I319)</f>
        <v>374384</v>
      </c>
    </row>
    <row r="321" spans="3:10" ht="21.6" customHeight="1">
      <c r="C321" s="290" t="s">
        <v>1209</v>
      </c>
      <c r="D321" s="182" t="s">
        <v>1210</v>
      </c>
      <c r="E321" s="182"/>
      <c r="F321" s="70"/>
      <c r="G321" s="70"/>
      <c r="H321" s="70"/>
      <c r="I321" s="71"/>
    </row>
    <row r="322" spans="3:10" ht="21.6" customHeight="1">
      <c r="C322" s="310" t="s">
        <v>1203</v>
      </c>
      <c r="D322" s="285" t="s">
        <v>56</v>
      </c>
      <c r="E322" s="285"/>
      <c r="F322" s="176" t="s">
        <v>42</v>
      </c>
      <c r="G322" s="282">
        <v>0.45</v>
      </c>
      <c r="H322" s="283">
        <f>VLOOKUP(D322,upahbahan,3,FALSE)</f>
        <v>322875</v>
      </c>
      <c r="I322" s="284">
        <f>G322*H322</f>
        <v>145293.75</v>
      </c>
    </row>
    <row r="323" spans="3:10" ht="21.6" customHeight="1">
      <c r="C323" s="310" t="s">
        <v>1204</v>
      </c>
      <c r="D323" s="182" t="s">
        <v>2332</v>
      </c>
      <c r="E323" s="182"/>
      <c r="F323" s="176" t="s">
        <v>65</v>
      </c>
      <c r="G323" s="282">
        <v>194</v>
      </c>
      <c r="H323" s="283">
        <f>VLOOKUP(D323,upahbahan,3,FALSE)</f>
        <v>1530</v>
      </c>
      <c r="I323" s="284">
        <f>G323*H323</f>
        <v>296820</v>
      </c>
    </row>
    <row r="324" spans="3:10" ht="21.6" customHeight="1">
      <c r="C324" s="310" t="s">
        <v>1205</v>
      </c>
      <c r="D324" s="182" t="s">
        <v>82</v>
      </c>
      <c r="E324" s="182"/>
      <c r="F324" s="176" t="s">
        <v>42</v>
      </c>
      <c r="G324" s="282">
        <v>0.312</v>
      </c>
      <c r="H324" s="283">
        <f>VLOOKUP(D324,upahbahan,3,FALSE)</f>
        <v>310500</v>
      </c>
      <c r="I324" s="284">
        <f>G324*H324</f>
        <v>96876</v>
      </c>
    </row>
    <row r="325" spans="3:10" ht="21.6" customHeight="1">
      <c r="C325" s="310" t="s">
        <v>1206</v>
      </c>
      <c r="D325" s="285" t="s">
        <v>1798</v>
      </c>
      <c r="E325" s="285"/>
      <c r="F325" s="176" t="s">
        <v>42</v>
      </c>
      <c r="G325" s="282">
        <v>0.46800000000000003</v>
      </c>
      <c r="H325" s="283">
        <f>VLOOKUP(D325,upahbahan,3,FALSE)</f>
        <v>0</v>
      </c>
      <c r="I325" s="284">
        <f>G325*H325</f>
        <v>0</v>
      </c>
    </row>
    <row r="326" spans="3:10" ht="21.6" customHeight="1">
      <c r="C326" s="66" t="s">
        <v>1214</v>
      </c>
      <c r="D326" s="67"/>
      <c r="E326" s="67"/>
      <c r="F326" s="67"/>
      <c r="G326" s="67"/>
      <c r="H326" s="69"/>
      <c r="I326" s="284">
        <f>SUM(I322:I325)</f>
        <v>538989.75</v>
      </c>
    </row>
    <row r="327" spans="3:10" ht="21.6" customHeight="1">
      <c r="C327" s="290" t="s">
        <v>1215</v>
      </c>
      <c r="D327" s="182" t="s">
        <v>1216</v>
      </c>
      <c r="E327" s="182"/>
      <c r="F327" s="70"/>
      <c r="G327" s="70"/>
      <c r="H327" s="70"/>
      <c r="I327" s="71"/>
    </row>
    <row r="328" spans="3:10" ht="21.6" customHeight="1">
      <c r="C328" s="66" t="s">
        <v>1217</v>
      </c>
      <c r="D328" s="67"/>
      <c r="E328" s="67"/>
      <c r="F328" s="67"/>
      <c r="G328" s="67"/>
      <c r="H328" s="69"/>
      <c r="I328" s="313">
        <v>0</v>
      </c>
    </row>
    <row r="329" spans="3:10" s="297" customFormat="1" ht="21.6" customHeight="1">
      <c r="C329" s="293" t="s">
        <v>1218</v>
      </c>
      <c r="D329" s="294" t="s">
        <v>1219</v>
      </c>
      <c r="E329" s="295"/>
      <c r="F329" s="295"/>
      <c r="G329" s="295"/>
      <c r="H329" s="296"/>
      <c r="I329" s="284">
        <f>I328+I326+I320</f>
        <v>913373.75</v>
      </c>
      <c r="J329" s="119"/>
    </row>
    <row r="330" spans="3:10" s="297" customFormat="1" ht="21.6" customHeight="1">
      <c r="C330" s="293" t="s">
        <v>1220</v>
      </c>
      <c r="D330" s="294" t="s">
        <v>1321</v>
      </c>
      <c r="E330" s="295"/>
      <c r="F330" s="295"/>
      <c r="G330" s="296"/>
      <c r="H330" s="298">
        <f>$N$7</f>
        <v>0.1</v>
      </c>
      <c r="I330" s="284">
        <f>I329*H330</f>
        <v>91337.375</v>
      </c>
      <c r="J330" s="119"/>
    </row>
    <row r="331" spans="3:10" s="297" customFormat="1" ht="21.6" customHeight="1" thickBot="1">
      <c r="C331" s="299" t="s">
        <v>1221</v>
      </c>
      <c r="D331" s="300" t="s">
        <v>1222</v>
      </c>
      <c r="E331" s="301"/>
      <c r="F331" s="301"/>
      <c r="G331" s="301"/>
      <c r="H331" s="302"/>
      <c r="I331" s="303">
        <f>SUM(I329:I330)</f>
        <v>1004711.125</v>
      </c>
      <c r="J331" s="119"/>
    </row>
    <row r="332" spans="3:10" ht="14.4" thickTop="1"/>
    <row r="333" spans="3:10">
      <c r="C333" s="126" t="s">
        <v>2366</v>
      </c>
      <c r="D333" s="119" t="s">
        <v>2367</v>
      </c>
    </row>
    <row r="335" spans="3:10" ht="15.75" customHeight="1" thickBot="1">
      <c r="C335" s="126" t="s">
        <v>2368</v>
      </c>
      <c r="D335" s="48" t="s">
        <v>1280</v>
      </c>
      <c r="E335" s="48"/>
      <c r="F335" s="48"/>
      <c r="G335" s="48"/>
      <c r="H335" s="48"/>
      <c r="I335" s="48"/>
      <c r="J335" s="120">
        <f>ROUNDDOWN(I351,-2)</f>
        <v>708300</v>
      </c>
    </row>
    <row r="336" spans="3:10" ht="28.2" thickTop="1">
      <c r="C336" s="51" t="s">
        <v>1195</v>
      </c>
      <c r="D336" s="52" t="s">
        <v>1196</v>
      </c>
      <c r="E336" s="52" t="s">
        <v>1906</v>
      </c>
      <c r="F336" s="52" t="s">
        <v>1197</v>
      </c>
      <c r="G336" s="52" t="s">
        <v>1198</v>
      </c>
      <c r="H336" s="52" t="s">
        <v>1199</v>
      </c>
      <c r="I336" s="53" t="s">
        <v>1200</v>
      </c>
    </row>
    <row r="337" spans="3:10" ht="21.6" customHeight="1">
      <c r="C337" s="290" t="s">
        <v>1201</v>
      </c>
      <c r="D337" s="182" t="s">
        <v>1202</v>
      </c>
      <c r="E337" s="182"/>
      <c r="F337" s="70"/>
      <c r="G337" s="70"/>
      <c r="H337" s="70"/>
      <c r="I337" s="71"/>
    </row>
    <row r="338" spans="3:10" ht="21.6" customHeight="1">
      <c r="C338" s="310" t="s">
        <v>1203</v>
      </c>
      <c r="D338" s="182" t="s">
        <v>5</v>
      </c>
      <c r="E338" s="176" t="s">
        <v>1774</v>
      </c>
      <c r="F338" s="176" t="s">
        <v>6</v>
      </c>
      <c r="G338" s="309">
        <v>6.6699999999999995E-2</v>
      </c>
      <c r="H338" s="283">
        <f>VLOOKUP(D338,upahbahan,3,FALSE)</f>
        <v>100000</v>
      </c>
      <c r="I338" s="284">
        <f>G338*H338</f>
        <v>6669.9999999999991</v>
      </c>
    </row>
    <row r="339" spans="3:10" s="59" customFormat="1" ht="21.6" customHeight="1">
      <c r="C339" s="310" t="s">
        <v>1204</v>
      </c>
      <c r="D339" s="182" t="s">
        <v>19</v>
      </c>
      <c r="E339" s="176" t="s">
        <v>1777</v>
      </c>
      <c r="F339" s="176" t="s">
        <v>6</v>
      </c>
      <c r="G339" s="309">
        <v>6.7000000000000002E-3</v>
      </c>
      <c r="H339" s="283">
        <f>VLOOKUP(D339,upahbahan,3,FALSE)</f>
        <v>160000</v>
      </c>
      <c r="I339" s="284">
        <f>G339*H339</f>
        <v>1072</v>
      </c>
      <c r="J339" s="119"/>
    </row>
    <row r="340" spans="3:10" ht="21.6" customHeight="1">
      <c r="C340" s="66" t="s">
        <v>1208</v>
      </c>
      <c r="D340" s="67"/>
      <c r="E340" s="67"/>
      <c r="F340" s="67"/>
      <c r="G340" s="68"/>
      <c r="H340" s="69"/>
      <c r="I340" s="284">
        <f>SUM(I338:I339)</f>
        <v>7741.9999999999991</v>
      </c>
    </row>
    <row r="341" spans="3:10" ht="21.6" customHeight="1">
      <c r="C341" s="290" t="s">
        <v>1209</v>
      </c>
      <c r="D341" s="182" t="s">
        <v>1210</v>
      </c>
      <c r="E341" s="182"/>
      <c r="F341" s="70"/>
      <c r="G341" s="70"/>
      <c r="H341" s="70"/>
      <c r="I341" s="71"/>
    </row>
    <row r="342" spans="3:10" ht="21.6" customHeight="1">
      <c r="C342" s="310" t="s">
        <v>1203</v>
      </c>
      <c r="D342" s="285" t="s">
        <v>752</v>
      </c>
      <c r="E342" s="285"/>
      <c r="F342" s="176" t="s">
        <v>42</v>
      </c>
      <c r="G342" s="309">
        <v>3.1399999999999997E-2</v>
      </c>
      <c r="H342" s="283">
        <f>VLOOKUP(D342,upahbahan,3,FALSE)</f>
        <v>20000000</v>
      </c>
      <c r="I342" s="284">
        <f>G342*H342</f>
        <v>628000</v>
      </c>
    </row>
    <row r="343" spans="3:10" ht="21.6" customHeight="1">
      <c r="C343" s="66" t="s">
        <v>1214</v>
      </c>
      <c r="D343" s="67"/>
      <c r="E343" s="67"/>
      <c r="F343" s="67"/>
      <c r="G343" s="67"/>
      <c r="H343" s="69"/>
      <c r="I343" s="284">
        <f>SUM(I342:I342)</f>
        <v>628000</v>
      </c>
    </row>
    <row r="344" spans="3:10" ht="21.6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</row>
    <row r="345" spans="3:10" ht="21.6" customHeight="1">
      <c r="C345" s="306" t="s">
        <v>1203</v>
      </c>
      <c r="D345" s="182" t="s">
        <v>1144</v>
      </c>
      <c r="E345" s="182"/>
      <c r="F345" s="102" t="s">
        <v>1080</v>
      </c>
      <c r="G345" s="125">
        <v>1.67E-2</v>
      </c>
      <c r="H345" s="283">
        <f>VLOOKUP(D345,upahbahan,3,FALSE)</f>
        <v>95000</v>
      </c>
      <c r="I345" s="284">
        <f>G345*H345</f>
        <v>1586.5</v>
      </c>
    </row>
    <row r="346" spans="3:10" ht="21.6" customHeight="1">
      <c r="C346" s="306" t="s">
        <v>1204</v>
      </c>
      <c r="D346" s="182" t="s">
        <v>1114</v>
      </c>
      <c r="E346" s="182"/>
      <c r="F346" s="102" t="s">
        <v>1080</v>
      </c>
      <c r="G346" s="125">
        <v>1.67E-2</v>
      </c>
      <c r="H346" s="283">
        <f>VLOOKUP(D346,upahbahan,3,FALSE)</f>
        <v>100000</v>
      </c>
      <c r="I346" s="284">
        <f>G346*H346</f>
        <v>1670</v>
      </c>
    </row>
    <row r="347" spans="3:10" ht="21.6" customHeight="1">
      <c r="C347" s="306" t="s">
        <v>1205</v>
      </c>
      <c r="D347" s="285" t="s">
        <v>1281</v>
      </c>
      <c r="E347" s="285"/>
      <c r="F347" s="102" t="s">
        <v>113</v>
      </c>
      <c r="G347" s="125">
        <v>0.2</v>
      </c>
      <c r="H347" s="283">
        <f>VLOOKUP(D347,upahbahan,3,FALSE)</f>
        <v>25000</v>
      </c>
      <c r="I347" s="284">
        <f>G347*H347</f>
        <v>5000</v>
      </c>
    </row>
    <row r="348" spans="3:10" ht="21.6" customHeight="1">
      <c r="C348" s="66" t="s">
        <v>1217</v>
      </c>
      <c r="D348" s="67"/>
      <c r="E348" s="67"/>
      <c r="F348" s="67"/>
      <c r="G348" s="67"/>
      <c r="H348" s="69"/>
      <c r="I348" s="284">
        <f>SUM(I345:I347)</f>
        <v>8256.5</v>
      </c>
    </row>
    <row r="349" spans="3:10" s="297" customFormat="1" ht="21.6" customHeight="1">
      <c r="C349" s="293" t="s">
        <v>1218</v>
      </c>
      <c r="D349" s="294" t="s">
        <v>1219</v>
      </c>
      <c r="E349" s="295"/>
      <c r="F349" s="295"/>
      <c r="G349" s="295"/>
      <c r="H349" s="296"/>
      <c r="I349" s="284">
        <f>I348+I343+I340</f>
        <v>643998.5</v>
      </c>
      <c r="J349" s="119"/>
    </row>
    <row r="350" spans="3:10" s="297" customFormat="1" ht="21.6" customHeight="1">
      <c r="C350" s="293" t="s">
        <v>1220</v>
      </c>
      <c r="D350" s="294" t="s">
        <v>1321</v>
      </c>
      <c r="E350" s="295"/>
      <c r="F350" s="295"/>
      <c r="G350" s="296"/>
      <c r="H350" s="298">
        <f>$N$7</f>
        <v>0.1</v>
      </c>
      <c r="I350" s="284">
        <f>I349*H350</f>
        <v>64399.850000000006</v>
      </c>
      <c r="J350" s="119"/>
    </row>
    <row r="351" spans="3:10" s="297" customFormat="1" ht="21.6" customHeight="1" thickBot="1">
      <c r="C351" s="299" t="s">
        <v>1221</v>
      </c>
      <c r="D351" s="300" t="s">
        <v>1222</v>
      </c>
      <c r="E351" s="301"/>
      <c r="F351" s="301"/>
      <c r="G351" s="301"/>
      <c r="H351" s="302"/>
      <c r="I351" s="303">
        <f>SUM(I349:I350)</f>
        <v>708398.35</v>
      </c>
      <c r="J351" s="119"/>
    </row>
    <row r="352" spans="3:10" ht="14.4" thickTop="1"/>
    <row r="353" spans="3:10" ht="15.75" customHeight="1" thickBot="1">
      <c r="C353" s="126" t="s">
        <v>2369</v>
      </c>
      <c r="D353" s="48" t="s">
        <v>1282</v>
      </c>
      <c r="E353" s="48"/>
      <c r="F353" s="48"/>
      <c r="G353" s="48"/>
      <c r="H353" s="48"/>
      <c r="I353" s="48"/>
      <c r="J353" s="120">
        <f>ROUNDDOWN(I367,-2)</f>
        <v>19300</v>
      </c>
    </row>
    <row r="354" spans="3:10" ht="28.2" thickTop="1">
      <c r="C354" s="51" t="s">
        <v>1195</v>
      </c>
      <c r="D354" s="52" t="s">
        <v>1196</v>
      </c>
      <c r="E354" s="52" t="s">
        <v>1773</v>
      </c>
      <c r="F354" s="52" t="s">
        <v>1197</v>
      </c>
      <c r="G354" s="52" t="s">
        <v>1198</v>
      </c>
      <c r="H354" s="52" t="s">
        <v>1199</v>
      </c>
      <c r="I354" s="53" t="s">
        <v>1200</v>
      </c>
    </row>
    <row r="355" spans="3:10" ht="21.6" customHeight="1">
      <c r="C355" s="290" t="s">
        <v>1201</v>
      </c>
      <c r="D355" s="182" t="s">
        <v>1202</v>
      </c>
      <c r="E355" s="182"/>
      <c r="F355" s="70"/>
      <c r="G355" s="70"/>
      <c r="H355" s="70"/>
      <c r="I355" s="71"/>
    </row>
    <row r="356" spans="3:10" ht="21.6" customHeight="1">
      <c r="C356" s="310" t="s">
        <v>1203</v>
      </c>
      <c r="D356" s="182" t="s">
        <v>5</v>
      </c>
      <c r="E356" s="182" t="s">
        <v>1774</v>
      </c>
      <c r="F356" s="176" t="s">
        <v>6</v>
      </c>
      <c r="G356" s="309">
        <v>0.1067</v>
      </c>
      <c r="H356" s="283">
        <f>VLOOKUP(D356,upahbahan,3,FALSE)</f>
        <v>100000</v>
      </c>
      <c r="I356" s="284">
        <f>G356*H356</f>
        <v>10670</v>
      </c>
    </row>
    <row r="357" spans="3:10" s="59" customFormat="1" ht="21.6" customHeight="1">
      <c r="C357" s="310" t="s">
        <v>1204</v>
      </c>
      <c r="D357" s="182" t="s">
        <v>19</v>
      </c>
      <c r="E357" s="182" t="s">
        <v>1777</v>
      </c>
      <c r="F357" s="176" t="s">
        <v>6</v>
      </c>
      <c r="G357" s="309">
        <v>1.0699999999999999E-2</v>
      </c>
      <c r="H357" s="283">
        <f>VLOOKUP(D357,upahbahan,3,FALSE)</f>
        <v>160000</v>
      </c>
      <c r="I357" s="284">
        <f>G357*H357</f>
        <v>1712</v>
      </c>
      <c r="J357" s="119"/>
    </row>
    <row r="358" spans="3:10" ht="21.6" customHeight="1">
      <c r="C358" s="66" t="s">
        <v>1208</v>
      </c>
      <c r="D358" s="67"/>
      <c r="E358" s="67"/>
      <c r="F358" s="67"/>
      <c r="G358" s="68"/>
      <c r="H358" s="69"/>
      <c r="I358" s="284">
        <f>SUM(I356:I357)</f>
        <v>12382</v>
      </c>
    </row>
    <row r="359" spans="3:10" ht="21.6" customHeight="1">
      <c r="C359" s="290" t="s">
        <v>1209</v>
      </c>
      <c r="D359" s="182" t="s">
        <v>1210</v>
      </c>
      <c r="E359" s="182"/>
      <c r="F359" s="70"/>
      <c r="G359" s="70"/>
      <c r="H359" s="70"/>
      <c r="I359" s="71"/>
    </row>
    <row r="360" spans="3:10" ht="21.6" customHeight="1">
      <c r="C360" s="66" t="s">
        <v>1214</v>
      </c>
      <c r="D360" s="67"/>
      <c r="E360" s="67"/>
      <c r="F360" s="67"/>
      <c r="G360" s="67"/>
      <c r="H360" s="69"/>
      <c r="I360" s="313">
        <v>0</v>
      </c>
    </row>
    <row r="361" spans="3:10" ht="21.6" customHeight="1">
      <c r="C361" s="290" t="s">
        <v>1215</v>
      </c>
      <c r="D361" s="182" t="s">
        <v>1216</v>
      </c>
      <c r="E361" s="182"/>
      <c r="F361" s="70"/>
      <c r="G361" s="70"/>
      <c r="H361" s="70"/>
      <c r="I361" s="71"/>
    </row>
    <row r="362" spans="3:10" ht="21.6" customHeight="1">
      <c r="C362" s="306" t="s">
        <v>1203</v>
      </c>
      <c r="D362" s="182" t="s">
        <v>1144</v>
      </c>
      <c r="E362" s="182"/>
      <c r="F362" s="102" t="s">
        <v>1080</v>
      </c>
      <c r="G362" s="118">
        <v>2.6700000000000002E-2</v>
      </c>
      <c r="H362" s="283">
        <f>VLOOKUP(D362,upahbahan,3,FALSE)</f>
        <v>95000</v>
      </c>
      <c r="I362" s="284">
        <f>G362*H362</f>
        <v>2536.5</v>
      </c>
    </row>
    <row r="363" spans="3:10" ht="21.6" customHeight="1">
      <c r="C363" s="306" t="s">
        <v>1204</v>
      </c>
      <c r="D363" s="182" t="s">
        <v>1114</v>
      </c>
      <c r="E363" s="182"/>
      <c r="F363" s="102" t="s">
        <v>1080</v>
      </c>
      <c r="G363" s="118">
        <v>2.6700000000000002E-2</v>
      </c>
      <c r="H363" s="283">
        <f>VLOOKUP(D363,upahbahan,3,FALSE)</f>
        <v>100000</v>
      </c>
      <c r="I363" s="284">
        <f>G363*H363</f>
        <v>2670</v>
      </c>
    </row>
    <row r="364" spans="3:10" ht="21.6" customHeight="1">
      <c r="C364" s="66" t="s">
        <v>1217</v>
      </c>
      <c r="D364" s="67"/>
      <c r="E364" s="67"/>
      <c r="F364" s="67"/>
      <c r="G364" s="67"/>
      <c r="H364" s="69"/>
      <c r="I364" s="284">
        <f>SUM(I362:I363)</f>
        <v>5206.5</v>
      </c>
    </row>
    <row r="365" spans="3:10" s="297" customFormat="1" ht="21.6" customHeight="1">
      <c r="C365" s="293" t="s">
        <v>1218</v>
      </c>
      <c r="D365" s="294" t="s">
        <v>1219</v>
      </c>
      <c r="E365" s="295"/>
      <c r="F365" s="295"/>
      <c r="G365" s="295"/>
      <c r="H365" s="296"/>
      <c r="I365" s="284">
        <f>I364+I360+I358</f>
        <v>17588.5</v>
      </c>
      <c r="J365" s="119"/>
    </row>
    <row r="366" spans="3:10" s="297" customFormat="1" ht="21.6" customHeight="1">
      <c r="C366" s="293" t="s">
        <v>1220</v>
      </c>
      <c r="D366" s="294" t="s">
        <v>1321</v>
      </c>
      <c r="E366" s="295"/>
      <c r="F366" s="295"/>
      <c r="G366" s="296"/>
      <c r="H366" s="298">
        <f>$N$7</f>
        <v>0.1</v>
      </c>
      <c r="I366" s="284">
        <f>I365*H366</f>
        <v>1758.8500000000001</v>
      </c>
      <c r="J366" s="119"/>
    </row>
    <row r="367" spans="3:10" s="297" customFormat="1" ht="21.6" customHeight="1" thickBot="1">
      <c r="C367" s="299" t="s">
        <v>1221</v>
      </c>
      <c r="D367" s="300" t="s">
        <v>1222</v>
      </c>
      <c r="E367" s="301"/>
      <c r="F367" s="301"/>
      <c r="G367" s="301"/>
      <c r="H367" s="302"/>
      <c r="I367" s="303">
        <f>SUM(I365:I366)</f>
        <v>19347.349999999999</v>
      </c>
      <c r="J367" s="119"/>
    </row>
    <row r="368" spans="3:10" ht="14.4" thickTop="1"/>
    <row r="369" spans="3:10" ht="33.75" customHeight="1" thickBot="1">
      <c r="C369" s="126" t="s">
        <v>2370</v>
      </c>
      <c r="D369" s="1875" t="s">
        <v>1283</v>
      </c>
      <c r="E369" s="1875"/>
      <c r="F369" s="1875"/>
      <c r="G369" s="1875"/>
      <c r="H369" s="1875"/>
      <c r="I369" s="1875"/>
      <c r="J369" s="120">
        <f>ROUNDDOWN(I383,-2)</f>
        <v>128700</v>
      </c>
    </row>
    <row r="370" spans="3:10" ht="28.2" thickTop="1">
      <c r="C370" s="51" t="s">
        <v>1195</v>
      </c>
      <c r="D370" s="52" t="s">
        <v>1196</v>
      </c>
      <c r="E370" s="52" t="s">
        <v>1773</v>
      </c>
      <c r="F370" s="52" t="s">
        <v>1197</v>
      </c>
      <c r="G370" s="52" t="s">
        <v>1198</v>
      </c>
      <c r="H370" s="52" t="s">
        <v>1199</v>
      </c>
      <c r="I370" s="53" t="s">
        <v>1200</v>
      </c>
    </row>
    <row r="371" spans="3:10" ht="21.6" customHeight="1">
      <c r="C371" s="290" t="s">
        <v>1201</v>
      </c>
      <c r="D371" s="182" t="s">
        <v>1202</v>
      </c>
      <c r="E371" s="182"/>
      <c r="F371" s="70"/>
      <c r="G371" s="70"/>
      <c r="H371" s="70"/>
      <c r="I371" s="71"/>
    </row>
    <row r="372" spans="3:10" ht="21.6" customHeight="1">
      <c r="C372" s="310" t="s">
        <v>1203</v>
      </c>
      <c r="D372" s="182" t="s">
        <v>5</v>
      </c>
      <c r="E372" s="182" t="s">
        <v>1774</v>
      </c>
      <c r="F372" s="176" t="s">
        <v>6</v>
      </c>
      <c r="G372" s="309">
        <v>0.71050000000000002</v>
      </c>
      <c r="H372" s="283">
        <f>VLOOKUP(D372,upahbahan,3,FALSE)</f>
        <v>100000</v>
      </c>
      <c r="I372" s="284">
        <f>G372*H372</f>
        <v>71050</v>
      </c>
    </row>
    <row r="373" spans="3:10" s="59" customFormat="1" ht="21.6" customHeight="1">
      <c r="C373" s="310" t="s">
        <v>1204</v>
      </c>
      <c r="D373" s="182" t="s">
        <v>19</v>
      </c>
      <c r="E373" s="182" t="s">
        <v>1777</v>
      </c>
      <c r="F373" s="176" t="s">
        <v>6</v>
      </c>
      <c r="G373" s="315">
        <v>7.0999999999999994E-2</v>
      </c>
      <c r="H373" s="283">
        <f>VLOOKUP(D373,upahbahan,3,FALSE)</f>
        <v>160000</v>
      </c>
      <c r="I373" s="284">
        <f>G373*H373</f>
        <v>11359.999999999998</v>
      </c>
      <c r="J373" s="119"/>
    </row>
    <row r="374" spans="3:10" ht="21.6" customHeight="1">
      <c r="C374" s="66" t="s">
        <v>1208</v>
      </c>
      <c r="D374" s="67"/>
      <c r="E374" s="67"/>
      <c r="F374" s="67"/>
      <c r="G374" s="68"/>
      <c r="H374" s="69"/>
      <c r="I374" s="284">
        <f>SUM(I372:I373)</f>
        <v>82410</v>
      </c>
    </row>
    <row r="375" spans="3:10" ht="21.6" customHeight="1">
      <c r="C375" s="290" t="s">
        <v>1209</v>
      </c>
      <c r="D375" s="182" t="s">
        <v>1210</v>
      </c>
      <c r="E375" s="182"/>
      <c r="F375" s="70"/>
      <c r="G375" s="70"/>
      <c r="H375" s="70"/>
      <c r="I375" s="71"/>
    </row>
    <row r="376" spans="3:10" ht="21.6" customHeight="1">
      <c r="C376" s="66" t="s">
        <v>1214</v>
      </c>
      <c r="D376" s="67"/>
      <c r="E376" s="67"/>
      <c r="F376" s="67"/>
      <c r="G376" s="67"/>
      <c r="H376" s="69"/>
      <c r="I376" s="313">
        <v>0</v>
      </c>
    </row>
    <row r="377" spans="3:10" ht="21.6" customHeight="1">
      <c r="C377" s="290" t="s">
        <v>1215</v>
      </c>
      <c r="D377" s="182" t="s">
        <v>1216</v>
      </c>
      <c r="E377" s="182"/>
      <c r="F377" s="70"/>
      <c r="G377" s="70"/>
      <c r="H377" s="70"/>
      <c r="I377" s="71"/>
    </row>
    <row r="378" spans="3:10" ht="21.6" customHeight="1">
      <c r="C378" s="306" t="s">
        <v>1203</v>
      </c>
      <c r="D378" s="182" t="s">
        <v>1144</v>
      </c>
      <c r="E378" s="182"/>
      <c r="F378" s="102" t="s">
        <v>1080</v>
      </c>
      <c r="G378" s="118">
        <v>0.17760000000000001</v>
      </c>
      <c r="H378" s="283">
        <f>VLOOKUP(D378,upahbahan,3,FALSE)</f>
        <v>95000</v>
      </c>
      <c r="I378" s="284">
        <f>G378*H378</f>
        <v>16872</v>
      </c>
    </row>
    <row r="379" spans="3:10" ht="21.6" customHeight="1">
      <c r="C379" s="306" t="s">
        <v>1204</v>
      </c>
      <c r="D379" s="182" t="s">
        <v>1114</v>
      </c>
      <c r="E379" s="182"/>
      <c r="F379" s="102" t="s">
        <v>1080</v>
      </c>
      <c r="G379" s="118">
        <v>0.17760000000000001</v>
      </c>
      <c r="H379" s="283">
        <f>VLOOKUP(D379,upahbahan,3,FALSE)</f>
        <v>100000</v>
      </c>
      <c r="I379" s="284">
        <f>G379*H379</f>
        <v>17760</v>
      </c>
    </row>
    <row r="380" spans="3:10" ht="21.6" customHeight="1">
      <c r="C380" s="66" t="s">
        <v>1217</v>
      </c>
      <c r="D380" s="67"/>
      <c r="E380" s="67"/>
      <c r="F380" s="67"/>
      <c r="G380" s="67"/>
      <c r="H380" s="69"/>
      <c r="I380" s="284">
        <f>SUM(I378:I379)</f>
        <v>34632</v>
      </c>
    </row>
    <row r="381" spans="3:10" s="297" customFormat="1" ht="21.6" customHeight="1">
      <c r="C381" s="293" t="s">
        <v>1218</v>
      </c>
      <c r="D381" s="294" t="s">
        <v>1219</v>
      </c>
      <c r="E381" s="295"/>
      <c r="F381" s="295"/>
      <c r="G381" s="295"/>
      <c r="H381" s="296"/>
      <c r="I381" s="284">
        <f>I380+I376+I374</f>
        <v>117042</v>
      </c>
      <c r="J381" s="119"/>
    </row>
    <row r="382" spans="3:10" s="297" customFormat="1" ht="21.6" customHeight="1">
      <c r="C382" s="293" t="s">
        <v>1220</v>
      </c>
      <c r="D382" s="294" t="s">
        <v>1321</v>
      </c>
      <c r="E382" s="295"/>
      <c r="F382" s="295"/>
      <c r="G382" s="296"/>
      <c r="H382" s="298">
        <f>$N$7</f>
        <v>0.1</v>
      </c>
      <c r="I382" s="284">
        <f>I381*H382</f>
        <v>11704.2</v>
      </c>
      <c r="J382" s="119"/>
    </row>
    <row r="383" spans="3:10" s="297" customFormat="1" ht="21.6" customHeight="1" thickBot="1">
      <c r="C383" s="299" t="s">
        <v>1221</v>
      </c>
      <c r="D383" s="300" t="s">
        <v>1222</v>
      </c>
      <c r="E383" s="301"/>
      <c r="F383" s="301"/>
      <c r="G383" s="301"/>
      <c r="H383" s="302"/>
      <c r="I383" s="303">
        <f>SUM(I381:I382)</f>
        <v>128746.2</v>
      </c>
      <c r="J383" s="119"/>
    </row>
    <row r="384" spans="3:10" ht="14.4" thickTop="1"/>
    <row r="385" spans="3:10" ht="14.4" thickBot="1">
      <c r="C385" s="126" t="s">
        <v>2371</v>
      </c>
      <c r="D385" s="47" t="s">
        <v>1284</v>
      </c>
      <c r="E385" s="47"/>
      <c r="F385" s="47"/>
      <c r="G385" s="47"/>
      <c r="H385" s="47"/>
      <c r="I385" s="47"/>
      <c r="J385" s="120">
        <f>ROUNDDOWN(I399,-2)</f>
        <v>193300</v>
      </c>
    </row>
    <row r="386" spans="3:10" ht="28.2" thickTop="1">
      <c r="C386" s="51" t="s">
        <v>1195</v>
      </c>
      <c r="D386" s="52" t="s">
        <v>1196</v>
      </c>
      <c r="E386" s="52" t="s">
        <v>1773</v>
      </c>
      <c r="F386" s="52" t="s">
        <v>1197</v>
      </c>
      <c r="G386" s="52" t="s">
        <v>1198</v>
      </c>
      <c r="H386" s="52" t="s">
        <v>1199</v>
      </c>
      <c r="I386" s="53" t="s">
        <v>1200</v>
      </c>
    </row>
    <row r="387" spans="3:10" ht="21.6" customHeight="1">
      <c r="C387" s="290" t="s">
        <v>1201</v>
      </c>
      <c r="D387" s="182" t="s">
        <v>1202</v>
      </c>
      <c r="E387" s="182"/>
      <c r="F387" s="70"/>
      <c r="G387" s="70"/>
      <c r="H387" s="70"/>
      <c r="I387" s="71"/>
    </row>
    <row r="388" spans="3:10" ht="21.6" customHeight="1">
      <c r="C388" s="310" t="s">
        <v>1203</v>
      </c>
      <c r="D388" s="182" t="s">
        <v>5</v>
      </c>
      <c r="E388" s="176" t="s">
        <v>1774</v>
      </c>
      <c r="F388" s="176" t="s">
        <v>6</v>
      </c>
      <c r="G388" s="309">
        <v>1.0667</v>
      </c>
      <c r="H388" s="283">
        <f>VLOOKUP(D388,upahbahan,3,FALSE)</f>
        <v>100000</v>
      </c>
      <c r="I388" s="284">
        <f>G388*H388</f>
        <v>106670</v>
      </c>
    </row>
    <row r="389" spans="3:10" s="59" customFormat="1" ht="21.6" customHeight="1">
      <c r="C389" s="310" t="s">
        <v>1204</v>
      </c>
      <c r="D389" s="182" t="s">
        <v>19</v>
      </c>
      <c r="E389" s="176" t="s">
        <v>1777</v>
      </c>
      <c r="F389" s="176" t="s">
        <v>6</v>
      </c>
      <c r="G389" s="309">
        <v>0.1067</v>
      </c>
      <c r="H389" s="283">
        <f>VLOOKUP(D389,upahbahan,3,FALSE)</f>
        <v>160000</v>
      </c>
      <c r="I389" s="284">
        <f>G389*H389</f>
        <v>17072</v>
      </c>
      <c r="J389" s="119"/>
    </row>
    <row r="390" spans="3:10" ht="21.6" customHeight="1">
      <c r="C390" s="66" t="s">
        <v>1208</v>
      </c>
      <c r="D390" s="67"/>
      <c r="E390" s="67"/>
      <c r="F390" s="67"/>
      <c r="G390" s="68"/>
      <c r="H390" s="69"/>
      <c r="I390" s="284">
        <f>SUM(I388:I389)</f>
        <v>123742</v>
      </c>
    </row>
    <row r="391" spans="3:10" ht="21.6" customHeight="1">
      <c r="C391" s="290" t="s">
        <v>1209</v>
      </c>
      <c r="D391" s="182" t="s">
        <v>1210</v>
      </c>
      <c r="E391" s="182"/>
      <c r="F391" s="70"/>
      <c r="G391" s="70"/>
      <c r="H391" s="70"/>
      <c r="I391" s="71"/>
    </row>
    <row r="392" spans="3:10" ht="21.6" customHeight="1">
      <c r="C392" s="66" t="s">
        <v>1214</v>
      </c>
      <c r="D392" s="67"/>
      <c r="E392" s="67"/>
      <c r="F392" s="67"/>
      <c r="G392" s="67"/>
      <c r="H392" s="69"/>
      <c r="I392" s="313">
        <v>0</v>
      </c>
    </row>
    <row r="393" spans="3:10" ht="21.6" customHeight="1">
      <c r="C393" s="290" t="s">
        <v>1215</v>
      </c>
      <c r="D393" s="182" t="s">
        <v>1216</v>
      </c>
      <c r="E393" s="182"/>
      <c r="F393" s="70"/>
      <c r="G393" s="70"/>
      <c r="H393" s="70"/>
      <c r="I393" s="71"/>
    </row>
    <row r="394" spans="3:10" ht="21.6" customHeight="1">
      <c r="C394" s="306" t="s">
        <v>1203</v>
      </c>
      <c r="D394" s="182" t="s">
        <v>1144</v>
      </c>
      <c r="E394" s="182"/>
      <c r="F394" s="102" t="s">
        <v>1080</v>
      </c>
      <c r="G394" s="118">
        <v>0.26669999999999999</v>
      </c>
      <c r="H394" s="283">
        <f>VLOOKUP(D394,upahbahan,3,FALSE)</f>
        <v>95000</v>
      </c>
      <c r="I394" s="284">
        <f>G394*H394</f>
        <v>25336.5</v>
      </c>
    </row>
    <row r="395" spans="3:10" ht="21.6" customHeight="1">
      <c r="C395" s="306" t="s">
        <v>1204</v>
      </c>
      <c r="D395" s="182" t="s">
        <v>1114</v>
      </c>
      <c r="E395" s="182"/>
      <c r="F395" s="102" t="s">
        <v>1080</v>
      </c>
      <c r="G395" s="118">
        <v>0.26669999999999999</v>
      </c>
      <c r="H395" s="283">
        <f>VLOOKUP(D395,upahbahan,3,FALSE)</f>
        <v>100000</v>
      </c>
      <c r="I395" s="284">
        <f>G395*H395</f>
        <v>26670</v>
      </c>
    </row>
    <row r="396" spans="3:10" ht="21.6" customHeight="1">
      <c r="C396" s="66" t="s">
        <v>1217</v>
      </c>
      <c r="D396" s="67"/>
      <c r="E396" s="67"/>
      <c r="F396" s="67"/>
      <c r="G396" s="67"/>
      <c r="H396" s="69"/>
      <c r="I396" s="284">
        <f>SUM(I394:I395)</f>
        <v>52006.5</v>
      </c>
    </row>
    <row r="397" spans="3:10" s="297" customFormat="1" ht="21.6" customHeight="1">
      <c r="C397" s="293" t="s">
        <v>1218</v>
      </c>
      <c r="D397" s="294" t="s">
        <v>1219</v>
      </c>
      <c r="E397" s="295"/>
      <c r="F397" s="295"/>
      <c r="G397" s="295"/>
      <c r="H397" s="296"/>
      <c r="I397" s="284">
        <f>I396+I392+I390</f>
        <v>175748.5</v>
      </c>
      <c r="J397" s="119"/>
    </row>
    <row r="398" spans="3:10" s="297" customFormat="1" ht="21.6" customHeight="1">
      <c r="C398" s="293" t="s">
        <v>1220</v>
      </c>
      <c r="D398" s="294" t="s">
        <v>1321</v>
      </c>
      <c r="E398" s="295"/>
      <c r="F398" s="295"/>
      <c r="G398" s="296"/>
      <c r="H398" s="298">
        <f>$N$7</f>
        <v>0.1</v>
      </c>
      <c r="I398" s="284">
        <f>I397*H398</f>
        <v>17574.850000000002</v>
      </c>
      <c r="J398" s="119"/>
    </row>
    <row r="399" spans="3:10" s="297" customFormat="1" ht="21.6" customHeight="1" thickBot="1">
      <c r="C399" s="299" t="s">
        <v>1221</v>
      </c>
      <c r="D399" s="300" t="s">
        <v>1222</v>
      </c>
      <c r="E399" s="301"/>
      <c r="F399" s="301"/>
      <c r="G399" s="301"/>
      <c r="H399" s="302"/>
      <c r="I399" s="303">
        <f>SUM(I397:I398)</f>
        <v>193323.35</v>
      </c>
      <c r="J399" s="119"/>
    </row>
    <row r="400" spans="3:10" ht="14.4" thickTop="1"/>
    <row r="401" spans="3:10" ht="14.4" thickBot="1">
      <c r="C401" s="126" t="s">
        <v>2372</v>
      </c>
      <c r="D401" s="47" t="s">
        <v>1285</v>
      </c>
      <c r="E401" s="47"/>
      <c r="F401" s="47"/>
      <c r="G401" s="47"/>
      <c r="H401" s="47"/>
      <c r="I401" s="47"/>
      <c r="J401" s="120">
        <f>ROUNDDOWN(I417,-2)</f>
        <v>1576100</v>
      </c>
    </row>
    <row r="402" spans="3:10" ht="28.2" thickTop="1">
      <c r="C402" s="51" t="s">
        <v>1195</v>
      </c>
      <c r="D402" s="52" t="s">
        <v>1196</v>
      </c>
      <c r="E402" s="52" t="s">
        <v>1773</v>
      </c>
      <c r="F402" s="52" t="s">
        <v>1197</v>
      </c>
      <c r="G402" s="52" t="s">
        <v>1198</v>
      </c>
      <c r="H402" s="52" t="s">
        <v>1199</v>
      </c>
      <c r="I402" s="53" t="s">
        <v>1200</v>
      </c>
    </row>
    <row r="403" spans="3:10" ht="21.6" customHeight="1">
      <c r="C403" s="290" t="s">
        <v>1201</v>
      </c>
      <c r="D403" s="182" t="s">
        <v>1202</v>
      </c>
      <c r="E403" s="182"/>
      <c r="F403" s="70"/>
      <c r="G403" s="70"/>
      <c r="H403" s="70"/>
      <c r="I403" s="71"/>
    </row>
    <row r="404" spans="3:10" ht="21.6" customHeight="1">
      <c r="C404" s="310" t="s">
        <v>1203</v>
      </c>
      <c r="D404" s="182" t="s">
        <v>5</v>
      </c>
      <c r="E404" s="176" t="s">
        <v>1774</v>
      </c>
      <c r="F404" s="176" t="s">
        <v>6</v>
      </c>
      <c r="G404" s="282">
        <v>0.1</v>
      </c>
      <c r="H404" s="283">
        <f>VLOOKUP(D404,upahbahan,3,FALSE)</f>
        <v>100000</v>
      </c>
      <c r="I404" s="284">
        <f>G404*H404</f>
        <v>10000</v>
      </c>
    </row>
    <row r="405" spans="3:10" s="59" customFormat="1" ht="21.6" customHeight="1">
      <c r="C405" s="310" t="s">
        <v>1204</v>
      </c>
      <c r="D405" s="182" t="s">
        <v>19</v>
      </c>
      <c r="E405" s="176" t="s">
        <v>1777</v>
      </c>
      <c r="F405" s="176" t="s">
        <v>6</v>
      </c>
      <c r="G405" s="282">
        <v>0.01</v>
      </c>
      <c r="H405" s="283">
        <f>VLOOKUP(D405,upahbahan,3,FALSE)</f>
        <v>160000</v>
      </c>
      <c r="I405" s="284">
        <f>G405*H405</f>
        <v>1600</v>
      </c>
      <c r="J405" s="119"/>
    </row>
    <row r="406" spans="3:10" ht="21.6" customHeight="1">
      <c r="C406" s="66" t="s">
        <v>1208</v>
      </c>
      <c r="D406" s="67"/>
      <c r="E406" s="67"/>
      <c r="F406" s="67"/>
      <c r="G406" s="68"/>
      <c r="H406" s="69"/>
      <c r="I406" s="284">
        <f>SUM(I404:I405)</f>
        <v>11600</v>
      </c>
    </row>
    <row r="407" spans="3:10" ht="21.6" customHeight="1">
      <c r="C407" s="290" t="s">
        <v>1209</v>
      </c>
      <c r="D407" s="182" t="s">
        <v>1210</v>
      </c>
      <c r="E407" s="182"/>
      <c r="F407" s="70"/>
      <c r="G407" s="70"/>
      <c r="H407" s="70"/>
      <c r="I407" s="71"/>
    </row>
    <row r="408" spans="3:10" ht="21.6" customHeight="1">
      <c r="C408" s="310" t="s">
        <v>1203</v>
      </c>
      <c r="D408" s="285" t="s">
        <v>752</v>
      </c>
      <c r="E408" s="285"/>
      <c r="F408" s="176" t="s">
        <v>42</v>
      </c>
      <c r="G408" s="309">
        <v>7.0699999999999999E-2</v>
      </c>
      <c r="H408" s="283">
        <f>VLOOKUP(D408,upahbahan,3,FALSE)</f>
        <v>20000000</v>
      </c>
      <c r="I408" s="284">
        <f>G408*H408</f>
        <v>1414000</v>
      </c>
    </row>
    <row r="409" spans="3:10" ht="21.6" customHeight="1">
      <c r="C409" s="66" t="s">
        <v>1214</v>
      </c>
      <c r="D409" s="67"/>
      <c r="E409" s="67"/>
      <c r="F409" s="67"/>
      <c r="G409" s="67"/>
      <c r="H409" s="69"/>
      <c r="I409" s="284">
        <f>SUM(I408:I408)</f>
        <v>1414000</v>
      </c>
    </row>
    <row r="410" spans="3:10" ht="21.6" customHeight="1">
      <c r="C410" s="290" t="s">
        <v>1215</v>
      </c>
      <c r="D410" s="182" t="s">
        <v>1216</v>
      </c>
      <c r="E410" s="182"/>
      <c r="F410" s="70"/>
      <c r="G410" s="70"/>
      <c r="H410" s="70"/>
      <c r="I410" s="71"/>
    </row>
    <row r="411" spans="3:10" ht="21.6" customHeight="1">
      <c r="C411" s="306" t="s">
        <v>1203</v>
      </c>
      <c r="D411" s="182" t="s">
        <v>1144</v>
      </c>
      <c r="E411" s="182"/>
      <c r="F411" s="102" t="s">
        <v>1080</v>
      </c>
      <c r="G411" s="127">
        <v>2.5000000000000001E-2</v>
      </c>
      <c r="H411" s="283">
        <f>VLOOKUP(D411,upahbahan,3,FALSE)</f>
        <v>95000</v>
      </c>
      <c r="I411" s="284">
        <f>G411*H411</f>
        <v>2375</v>
      </c>
    </row>
    <row r="412" spans="3:10" ht="21.6" customHeight="1">
      <c r="C412" s="306" t="s">
        <v>1204</v>
      </c>
      <c r="D412" s="182" t="s">
        <v>1115</v>
      </c>
      <c r="E412" s="182"/>
      <c r="F412" s="102" t="s">
        <v>1080</v>
      </c>
      <c r="G412" s="127">
        <v>2.5000000000000001E-2</v>
      </c>
      <c r="H412" s="283">
        <f>VLOOKUP(D412,upahbahan,3,FALSE)</f>
        <v>170000</v>
      </c>
      <c r="I412" s="284">
        <f>G412*H412</f>
        <v>4250</v>
      </c>
    </row>
    <row r="413" spans="3:10" ht="21.6" customHeight="1">
      <c r="C413" s="306" t="s">
        <v>1205</v>
      </c>
      <c r="D413" s="285" t="s">
        <v>1286</v>
      </c>
      <c r="E413" s="285"/>
      <c r="F413" s="102" t="s">
        <v>113</v>
      </c>
      <c r="G413" s="127">
        <v>0.02</v>
      </c>
      <c r="H413" s="283">
        <f>VLOOKUP(D413,upahbahan,3,FALSE)</f>
        <v>30700</v>
      </c>
      <c r="I413" s="284">
        <f>G413*H413</f>
        <v>614</v>
      </c>
    </row>
    <row r="414" spans="3:10" ht="21.6" customHeight="1">
      <c r="C414" s="66" t="s">
        <v>1217</v>
      </c>
      <c r="D414" s="67"/>
      <c r="E414" s="67"/>
      <c r="F414" s="67"/>
      <c r="G414" s="67"/>
      <c r="H414" s="69"/>
      <c r="I414" s="284">
        <f>SUM(I411:I413)</f>
        <v>7239</v>
      </c>
    </row>
    <row r="415" spans="3:10" s="297" customFormat="1" ht="21.6" customHeight="1">
      <c r="C415" s="293" t="s">
        <v>1218</v>
      </c>
      <c r="D415" s="294" t="s">
        <v>1219</v>
      </c>
      <c r="E415" s="295"/>
      <c r="F415" s="295"/>
      <c r="G415" s="295"/>
      <c r="H415" s="296"/>
      <c r="I415" s="284">
        <f>I414+I409+I406</f>
        <v>1432839</v>
      </c>
      <c r="J415" s="119"/>
    </row>
    <row r="416" spans="3:10" s="297" customFormat="1" ht="21.6" customHeight="1">
      <c r="C416" s="293" t="s">
        <v>1220</v>
      </c>
      <c r="D416" s="294" t="s">
        <v>1321</v>
      </c>
      <c r="E416" s="295"/>
      <c r="F416" s="295"/>
      <c r="G416" s="296"/>
      <c r="H416" s="298">
        <f>$N$7</f>
        <v>0.1</v>
      </c>
      <c r="I416" s="284">
        <f>I415*H416</f>
        <v>143283.9</v>
      </c>
      <c r="J416" s="119"/>
    </row>
    <row r="417" spans="3:10" s="297" customFormat="1" ht="21.6" customHeight="1" thickBot="1">
      <c r="C417" s="299" t="s">
        <v>1221</v>
      </c>
      <c r="D417" s="300" t="s">
        <v>1222</v>
      </c>
      <c r="E417" s="301"/>
      <c r="F417" s="301"/>
      <c r="G417" s="301"/>
      <c r="H417" s="302"/>
      <c r="I417" s="303">
        <f>SUM(I415:I416)</f>
        <v>1576122.9</v>
      </c>
      <c r="J417" s="119"/>
    </row>
    <row r="418" spans="3:10" ht="14.4" thickTop="1"/>
    <row r="419" spans="3:10" ht="14.4" thickBot="1">
      <c r="C419" s="126" t="s">
        <v>2373</v>
      </c>
      <c r="D419" s="47" t="s">
        <v>1287</v>
      </c>
      <c r="E419" s="47"/>
      <c r="F419" s="47"/>
      <c r="G419" s="47"/>
      <c r="H419" s="47"/>
      <c r="I419" s="47"/>
      <c r="J419" s="120">
        <f>ROUNDDOWN(I433,-2)</f>
        <v>48100</v>
      </c>
    </row>
    <row r="420" spans="3:10" ht="28.2" thickTop="1">
      <c r="C420" s="51" t="s">
        <v>1195</v>
      </c>
      <c r="D420" s="52" t="s">
        <v>1196</v>
      </c>
      <c r="E420" s="52" t="s">
        <v>1906</v>
      </c>
      <c r="F420" s="52" t="s">
        <v>1197</v>
      </c>
      <c r="G420" s="52" t="s">
        <v>1198</v>
      </c>
      <c r="H420" s="52" t="s">
        <v>1199</v>
      </c>
      <c r="I420" s="53" t="s">
        <v>1200</v>
      </c>
    </row>
    <row r="421" spans="3:10" ht="21.6" customHeight="1">
      <c r="C421" s="290" t="s">
        <v>1201</v>
      </c>
      <c r="D421" s="182" t="s">
        <v>1202</v>
      </c>
      <c r="E421" s="182"/>
      <c r="F421" s="70"/>
      <c r="G421" s="70"/>
      <c r="H421" s="70"/>
      <c r="I421" s="71"/>
    </row>
    <row r="422" spans="3:10" ht="21.6" customHeight="1">
      <c r="C422" s="310" t="s">
        <v>1203</v>
      </c>
      <c r="D422" s="182" t="s">
        <v>5</v>
      </c>
      <c r="E422" s="176" t="s">
        <v>1774</v>
      </c>
      <c r="F422" s="176" t="s">
        <v>6</v>
      </c>
      <c r="G422" s="282">
        <v>0.24</v>
      </c>
      <c r="H422" s="283">
        <f>VLOOKUP(D422,upahbahan,3,FALSE)</f>
        <v>100000</v>
      </c>
      <c r="I422" s="284">
        <f>G422*H422</f>
        <v>24000</v>
      </c>
    </row>
    <row r="423" spans="3:10" s="59" customFormat="1" ht="21.6" customHeight="1">
      <c r="C423" s="310" t="s">
        <v>1204</v>
      </c>
      <c r="D423" s="182" t="s">
        <v>19</v>
      </c>
      <c r="E423" s="176" t="s">
        <v>1777</v>
      </c>
      <c r="F423" s="176" t="s">
        <v>6</v>
      </c>
      <c r="G423" s="282">
        <v>2.4E-2</v>
      </c>
      <c r="H423" s="283">
        <f>VLOOKUP(D423,upahbahan,3,FALSE)</f>
        <v>160000</v>
      </c>
      <c r="I423" s="284">
        <f>G423*H423</f>
        <v>3840</v>
      </c>
      <c r="J423" s="119"/>
    </row>
    <row r="424" spans="3:10" ht="21.6" customHeight="1">
      <c r="C424" s="66" t="s">
        <v>1208</v>
      </c>
      <c r="D424" s="67"/>
      <c r="E424" s="67"/>
      <c r="F424" s="67"/>
      <c r="G424" s="68"/>
      <c r="H424" s="69"/>
      <c r="I424" s="284">
        <f>SUM(I422:I423)</f>
        <v>27840</v>
      </c>
    </row>
    <row r="425" spans="3:10" ht="21.6" customHeight="1">
      <c r="C425" s="290" t="s">
        <v>1209</v>
      </c>
      <c r="D425" s="182" t="s">
        <v>1210</v>
      </c>
      <c r="E425" s="182"/>
      <c r="F425" s="70"/>
      <c r="G425" s="70"/>
      <c r="H425" s="70"/>
      <c r="I425" s="105"/>
    </row>
    <row r="426" spans="3:10" ht="21.6" customHeight="1">
      <c r="C426" s="66" t="s">
        <v>1214</v>
      </c>
      <c r="D426" s="67"/>
      <c r="E426" s="67"/>
      <c r="F426" s="67"/>
      <c r="G426" s="67"/>
      <c r="H426" s="69"/>
      <c r="I426" s="313">
        <v>0</v>
      </c>
    </row>
    <row r="427" spans="3:10" ht="21.6" customHeight="1">
      <c r="C427" s="290" t="s">
        <v>1215</v>
      </c>
      <c r="D427" s="182" t="s">
        <v>1216</v>
      </c>
      <c r="E427" s="182"/>
      <c r="F427" s="70"/>
      <c r="G427" s="70"/>
      <c r="H427" s="70"/>
      <c r="I427" s="71"/>
    </row>
    <row r="428" spans="3:10" ht="21.6" customHeight="1">
      <c r="C428" s="306" t="s">
        <v>1203</v>
      </c>
      <c r="D428" s="182" t="s">
        <v>1144</v>
      </c>
      <c r="E428" s="182"/>
      <c r="F428" s="102" t="s">
        <v>1080</v>
      </c>
      <c r="G428" s="127">
        <v>0.06</v>
      </c>
      <c r="H428" s="283">
        <f>VLOOKUP(D428,upahbahan,3,FALSE)</f>
        <v>95000</v>
      </c>
      <c r="I428" s="284">
        <f>G428*H428</f>
        <v>5700</v>
      </c>
    </row>
    <row r="429" spans="3:10" ht="21.6" customHeight="1">
      <c r="C429" s="306" t="s">
        <v>1204</v>
      </c>
      <c r="D429" s="182" t="s">
        <v>1115</v>
      </c>
      <c r="E429" s="182"/>
      <c r="F429" s="102" t="s">
        <v>1080</v>
      </c>
      <c r="G429" s="127">
        <v>0.06</v>
      </c>
      <c r="H429" s="283">
        <f>VLOOKUP(D429,upahbahan,3,FALSE)</f>
        <v>170000</v>
      </c>
      <c r="I429" s="284">
        <f>G429*H429</f>
        <v>10200</v>
      </c>
    </row>
    <row r="430" spans="3:10" ht="21.6" customHeight="1">
      <c r="C430" s="66" t="s">
        <v>1217</v>
      </c>
      <c r="D430" s="67"/>
      <c r="E430" s="67"/>
      <c r="F430" s="67"/>
      <c r="G430" s="67"/>
      <c r="H430" s="69"/>
      <c r="I430" s="284">
        <f>SUM(I428:I429)</f>
        <v>15900</v>
      </c>
    </row>
    <row r="431" spans="3:10" s="297" customFormat="1" ht="21.6" customHeight="1">
      <c r="C431" s="293" t="s">
        <v>1218</v>
      </c>
      <c r="D431" s="294" t="s">
        <v>1219</v>
      </c>
      <c r="E431" s="295"/>
      <c r="F431" s="295"/>
      <c r="G431" s="295"/>
      <c r="H431" s="296"/>
      <c r="I431" s="284">
        <f>I430+I426+I424</f>
        <v>43740</v>
      </c>
      <c r="J431" s="119"/>
    </row>
    <row r="432" spans="3:10" s="297" customFormat="1" ht="21.6" customHeight="1">
      <c r="C432" s="293" t="s">
        <v>1220</v>
      </c>
      <c r="D432" s="294" t="s">
        <v>1321</v>
      </c>
      <c r="E432" s="295"/>
      <c r="F432" s="295"/>
      <c r="G432" s="296"/>
      <c r="H432" s="298">
        <f>$N$7</f>
        <v>0.1</v>
      </c>
      <c r="I432" s="284">
        <f>I431*H432</f>
        <v>4374</v>
      </c>
      <c r="J432" s="119"/>
    </row>
    <row r="433" spans="3:10" s="297" customFormat="1" ht="21.6" customHeight="1" thickBot="1">
      <c r="C433" s="299" t="s">
        <v>1221</v>
      </c>
      <c r="D433" s="300" t="s">
        <v>1222</v>
      </c>
      <c r="E433" s="301"/>
      <c r="F433" s="301"/>
      <c r="G433" s="301"/>
      <c r="H433" s="302"/>
      <c r="I433" s="303">
        <f>SUM(I431:I432)</f>
        <v>48114</v>
      </c>
      <c r="J433" s="119"/>
    </row>
    <row r="434" spans="3:10" ht="14.4" thickTop="1"/>
    <row r="435" spans="3:10" ht="33.75" customHeight="1" thickBot="1">
      <c r="C435" s="126" t="s">
        <v>2374</v>
      </c>
      <c r="D435" s="1875" t="s">
        <v>1288</v>
      </c>
      <c r="E435" s="1875"/>
      <c r="F435" s="1875"/>
      <c r="G435" s="1875"/>
      <c r="H435" s="1875"/>
      <c r="I435" s="1875"/>
      <c r="J435" s="120">
        <f>ROUNDDOWN(I449,-2)</f>
        <v>289900</v>
      </c>
    </row>
    <row r="436" spans="3:10" ht="28.2" thickTop="1">
      <c r="C436" s="51" t="s">
        <v>1195</v>
      </c>
      <c r="D436" s="52" t="s">
        <v>1196</v>
      </c>
      <c r="E436" s="52" t="s">
        <v>1773</v>
      </c>
      <c r="F436" s="52" t="s">
        <v>1197</v>
      </c>
      <c r="G436" s="52" t="s">
        <v>1198</v>
      </c>
      <c r="H436" s="52" t="s">
        <v>1199</v>
      </c>
      <c r="I436" s="53" t="s">
        <v>1200</v>
      </c>
    </row>
    <row r="437" spans="3:10" ht="21.6" customHeight="1">
      <c r="C437" s="290" t="s">
        <v>1201</v>
      </c>
      <c r="D437" s="182" t="s">
        <v>1202</v>
      </c>
      <c r="E437" s="182"/>
      <c r="F437" s="70"/>
      <c r="G437" s="70"/>
      <c r="H437" s="70"/>
      <c r="I437" s="71"/>
    </row>
    <row r="438" spans="3:10" ht="21.6" customHeight="1">
      <c r="C438" s="310" t="s">
        <v>1203</v>
      </c>
      <c r="D438" s="182" t="s">
        <v>5</v>
      </c>
      <c r="E438" s="182" t="s">
        <v>1774</v>
      </c>
      <c r="F438" s="176" t="s">
        <v>6</v>
      </c>
      <c r="G438" s="282">
        <v>1.6</v>
      </c>
      <c r="H438" s="283">
        <f>VLOOKUP(D438,upahbahan,3,FALSE)</f>
        <v>100000</v>
      </c>
      <c r="I438" s="284">
        <f>G438*H438</f>
        <v>160000</v>
      </c>
    </row>
    <row r="439" spans="3:10" s="59" customFormat="1" ht="21.6" customHeight="1">
      <c r="C439" s="310" t="s">
        <v>1204</v>
      </c>
      <c r="D439" s="182" t="s">
        <v>19</v>
      </c>
      <c r="E439" s="182" t="s">
        <v>1777</v>
      </c>
      <c r="F439" s="176" t="s">
        <v>6</v>
      </c>
      <c r="G439" s="282">
        <v>0.16</v>
      </c>
      <c r="H439" s="283">
        <f>VLOOKUP(D439,upahbahan,3,FALSE)</f>
        <v>160000</v>
      </c>
      <c r="I439" s="284">
        <f>G439*H439</f>
        <v>25600</v>
      </c>
      <c r="J439" s="119"/>
    </row>
    <row r="440" spans="3:10" ht="21.6" customHeight="1">
      <c r="C440" s="66" t="s">
        <v>1208</v>
      </c>
      <c r="D440" s="67"/>
      <c r="E440" s="67"/>
      <c r="F440" s="67"/>
      <c r="G440" s="68"/>
      <c r="H440" s="69"/>
      <c r="I440" s="284">
        <f>SUM(I438:I439)</f>
        <v>185600</v>
      </c>
    </row>
    <row r="441" spans="3:10" ht="21.6" customHeight="1">
      <c r="C441" s="290" t="s">
        <v>1209</v>
      </c>
      <c r="D441" s="182" t="s">
        <v>1210</v>
      </c>
      <c r="E441" s="182"/>
      <c r="F441" s="70"/>
      <c r="G441" s="70"/>
      <c r="H441" s="70"/>
      <c r="I441" s="71"/>
    </row>
    <row r="442" spans="3:10" ht="21.6" customHeight="1">
      <c r="C442" s="66" t="s">
        <v>1214</v>
      </c>
      <c r="D442" s="67"/>
      <c r="E442" s="67"/>
      <c r="F442" s="67"/>
      <c r="G442" s="67"/>
      <c r="H442" s="69"/>
      <c r="I442" s="313">
        <v>0</v>
      </c>
    </row>
    <row r="443" spans="3:10" ht="21.6" customHeight="1">
      <c r="C443" s="290" t="s">
        <v>1215</v>
      </c>
      <c r="D443" s="182" t="s">
        <v>1216</v>
      </c>
      <c r="E443" s="182"/>
      <c r="F443" s="70"/>
      <c r="G443" s="70"/>
      <c r="H443" s="70"/>
      <c r="I443" s="71"/>
    </row>
    <row r="444" spans="3:10" ht="21.6" customHeight="1">
      <c r="C444" s="306" t="s">
        <v>1203</v>
      </c>
      <c r="D444" s="182" t="s">
        <v>1144</v>
      </c>
      <c r="E444" s="182"/>
      <c r="F444" s="102" t="s">
        <v>1080</v>
      </c>
      <c r="G444" s="127">
        <v>0.4</v>
      </c>
      <c r="H444" s="283">
        <f>VLOOKUP(D444,upahbahan,3,FALSE)</f>
        <v>95000</v>
      </c>
      <c r="I444" s="284">
        <f>G444*H444</f>
        <v>38000</v>
      </c>
    </row>
    <row r="445" spans="3:10" ht="21.6" customHeight="1">
      <c r="C445" s="306" t="s">
        <v>1204</v>
      </c>
      <c r="D445" s="182" t="s">
        <v>1114</v>
      </c>
      <c r="E445" s="182"/>
      <c r="F445" s="102" t="s">
        <v>1080</v>
      </c>
      <c r="G445" s="127">
        <v>0.4</v>
      </c>
      <c r="H445" s="283">
        <f>VLOOKUP(D445,upahbahan,3,FALSE)</f>
        <v>100000</v>
      </c>
      <c r="I445" s="284">
        <f>G445*H445</f>
        <v>40000</v>
      </c>
    </row>
    <row r="446" spans="3:10" ht="21.6" customHeight="1">
      <c r="C446" s="66" t="s">
        <v>1217</v>
      </c>
      <c r="D446" s="67"/>
      <c r="E446" s="67"/>
      <c r="F446" s="67"/>
      <c r="G446" s="67"/>
      <c r="H446" s="69"/>
      <c r="I446" s="284">
        <f>SUM(I444:I445)</f>
        <v>78000</v>
      </c>
    </row>
    <row r="447" spans="3:10" s="297" customFormat="1" ht="21.6" customHeight="1">
      <c r="C447" s="293" t="s">
        <v>1218</v>
      </c>
      <c r="D447" s="294" t="s">
        <v>1219</v>
      </c>
      <c r="E447" s="295"/>
      <c r="F447" s="295"/>
      <c r="G447" s="295"/>
      <c r="H447" s="296"/>
      <c r="I447" s="284">
        <f>I446+I442+I440</f>
        <v>263600</v>
      </c>
      <c r="J447" s="119"/>
    </row>
    <row r="448" spans="3:10" s="297" customFormat="1" ht="21.6" customHeight="1">
      <c r="C448" s="293" t="s">
        <v>1220</v>
      </c>
      <c r="D448" s="294" t="s">
        <v>1321</v>
      </c>
      <c r="E448" s="295"/>
      <c r="F448" s="295"/>
      <c r="G448" s="296"/>
      <c r="H448" s="298">
        <f>$N$7</f>
        <v>0.1</v>
      </c>
      <c r="I448" s="284">
        <f>I447*H448</f>
        <v>26360</v>
      </c>
      <c r="J448" s="119"/>
    </row>
    <row r="449" spans="3:10" s="297" customFormat="1" ht="21.6" customHeight="1" thickBot="1">
      <c r="C449" s="299" t="s">
        <v>1221</v>
      </c>
      <c r="D449" s="300" t="s">
        <v>1222</v>
      </c>
      <c r="E449" s="301"/>
      <c r="F449" s="301"/>
      <c r="G449" s="301"/>
      <c r="H449" s="302"/>
      <c r="I449" s="303">
        <f>SUM(I447:I448)</f>
        <v>289960</v>
      </c>
      <c r="J449" s="119"/>
    </row>
    <row r="450" spans="3:10" ht="14.4" thickTop="1"/>
    <row r="451" spans="3:10" ht="14.4" thickBot="1">
      <c r="C451" s="126" t="s">
        <v>2375</v>
      </c>
      <c r="D451" s="47" t="s">
        <v>1289</v>
      </c>
      <c r="E451" s="47"/>
      <c r="F451" s="47"/>
      <c r="G451" s="47"/>
      <c r="H451" s="47"/>
      <c r="I451" s="47"/>
      <c r="J451" s="120">
        <f>ROUNDDOWN(I465,-2)</f>
        <v>434800</v>
      </c>
    </row>
    <row r="452" spans="3:10" ht="28.2" thickTop="1">
      <c r="C452" s="51" t="s">
        <v>1195</v>
      </c>
      <c r="D452" s="52" t="s">
        <v>1196</v>
      </c>
      <c r="E452" s="52" t="s">
        <v>1773</v>
      </c>
      <c r="F452" s="52" t="s">
        <v>1197</v>
      </c>
      <c r="G452" s="52" t="s">
        <v>1198</v>
      </c>
      <c r="H452" s="52" t="s">
        <v>1199</v>
      </c>
      <c r="I452" s="53" t="s">
        <v>1200</v>
      </c>
    </row>
    <row r="453" spans="3:10" ht="21.6" customHeight="1">
      <c r="C453" s="290" t="s">
        <v>1201</v>
      </c>
      <c r="D453" s="182" t="s">
        <v>1202</v>
      </c>
      <c r="E453" s="182"/>
      <c r="F453" s="70"/>
      <c r="G453" s="70"/>
      <c r="H453" s="70"/>
      <c r="I453" s="71"/>
    </row>
    <row r="454" spans="3:10" ht="21.6" customHeight="1">
      <c r="C454" s="310" t="s">
        <v>1203</v>
      </c>
      <c r="D454" s="182" t="s">
        <v>5</v>
      </c>
      <c r="E454" s="182" t="s">
        <v>1774</v>
      </c>
      <c r="F454" s="176" t="s">
        <v>6</v>
      </c>
      <c r="G454" s="315">
        <v>2.3995000000000002</v>
      </c>
      <c r="H454" s="283">
        <f>VLOOKUP(D454,upahbahan,3,FALSE)</f>
        <v>100000</v>
      </c>
      <c r="I454" s="284">
        <f>G454*H454</f>
        <v>239950.00000000003</v>
      </c>
    </row>
    <row r="455" spans="3:10" s="59" customFormat="1" ht="21.6" customHeight="1">
      <c r="C455" s="310" t="s">
        <v>1204</v>
      </c>
      <c r="D455" s="182" t="s">
        <v>19</v>
      </c>
      <c r="E455" s="182" t="s">
        <v>1777</v>
      </c>
      <c r="F455" s="176" t="s">
        <v>6</v>
      </c>
      <c r="G455" s="315">
        <v>0.24</v>
      </c>
      <c r="H455" s="283">
        <f>VLOOKUP(D455,upahbahan,3,FALSE)</f>
        <v>160000</v>
      </c>
      <c r="I455" s="284">
        <f>G455*H455</f>
        <v>38400</v>
      </c>
      <c r="J455" s="119"/>
    </row>
    <row r="456" spans="3:10" ht="21.6" customHeight="1">
      <c r="C456" s="66" t="s">
        <v>1208</v>
      </c>
      <c r="D456" s="67"/>
      <c r="E456" s="67"/>
      <c r="F456" s="67"/>
      <c r="G456" s="68"/>
      <c r="H456" s="69"/>
      <c r="I456" s="284">
        <f>SUM(I454:I455)</f>
        <v>278350</v>
      </c>
    </row>
    <row r="457" spans="3:10" ht="21.6" customHeight="1">
      <c r="C457" s="290" t="s">
        <v>1209</v>
      </c>
      <c r="D457" s="182" t="s">
        <v>1210</v>
      </c>
      <c r="E457" s="182"/>
      <c r="F457" s="70"/>
      <c r="G457" s="70"/>
      <c r="H457" s="70"/>
      <c r="I457" s="71"/>
    </row>
    <row r="458" spans="3:10" ht="21.6" customHeight="1">
      <c r="C458" s="66" t="s">
        <v>1214</v>
      </c>
      <c r="D458" s="67"/>
      <c r="E458" s="67"/>
      <c r="F458" s="67"/>
      <c r="G458" s="67"/>
      <c r="H458" s="69"/>
      <c r="I458" s="313">
        <v>0</v>
      </c>
    </row>
    <row r="459" spans="3:10" ht="21.6" customHeight="1">
      <c r="C459" s="290" t="s">
        <v>1215</v>
      </c>
      <c r="D459" s="182" t="s">
        <v>1216</v>
      </c>
      <c r="E459" s="182"/>
      <c r="F459" s="70"/>
      <c r="G459" s="70"/>
      <c r="H459" s="70"/>
      <c r="I459" s="71"/>
    </row>
    <row r="460" spans="3:10" ht="21.6" customHeight="1">
      <c r="C460" s="306" t="s">
        <v>1203</v>
      </c>
      <c r="D460" s="182" t="s">
        <v>1144</v>
      </c>
      <c r="E460" s="182"/>
      <c r="F460" s="102" t="s">
        <v>1080</v>
      </c>
      <c r="G460" s="118">
        <v>0.59989999999999999</v>
      </c>
      <c r="H460" s="283">
        <f>VLOOKUP(D460,upahbahan,3,FALSE)</f>
        <v>95000</v>
      </c>
      <c r="I460" s="284">
        <f>G460*H460</f>
        <v>56990.5</v>
      </c>
    </row>
    <row r="461" spans="3:10" ht="21.6" customHeight="1">
      <c r="C461" s="306" t="s">
        <v>1204</v>
      </c>
      <c r="D461" s="182" t="s">
        <v>1114</v>
      </c>
      <c r="E461" s="182"/>
      <c r="F461" s="102" t="s">
        <v>1080</v>
      </c>
      <c r="G461" s="118">
        <v>0.59989999999999999</v>
      </c>
      <c r="H461" s="283">
        <f>VLOOKUP(D461,upahbahan,3,FALSE)</f>
        <v>100000</v>
      </c>
      <c r="I461" s="284">
        <f>G461*H461</f>
        <v>59990</v>
      </c>
    </row>
    <row r="462" spans="3:10" ht="21.6" customHeight="1">
      <c r="C462" s="66" t="s">
        <v>1217</v>
      </c>
      <c r="D462" s="67"/>
      <c r="E462" s="67"/>
      <c r="F462" s="67"/>
      <c r="G462" s="67"/>
      <c r="H462" s="69"/>
      <c r="I462" s="284">
        <f>SUM(I460:I461)</f>
        <v>116980.5</v>
      </c>
    </row>
    <row r="463" spans="3:10" s="297" customFormat="1" ht="21.6" customHeight="1">
      <c r="C463" s="293" t="s">
        <v>1218</v>
      </c>
      <c r="D463" s="294" t="s">
        <v>1219</v>
      </c>
      <c r="E463" s="295"/>
      <c r="F463" s="295"/>
      <c r="G463" s="295"/>
      <c r="H463" s="296"/>
      <c r="I463" s="284">
        <f>I462+I458+I456</f>
        <v>395330.5</v>
      </c>
      <c r="J463" s="119"/>
    </row>
    <row r="464" spans="3:10" s="297" customFormat="1" ht="21.6" customHeight="1">
      <c r="C464" s="293" t="s">
        <v>1220</v>
      </c>
      <c r="D464" s="294" t="s">
        <v>1321</v>
      </c>
      <c r="E464" s="295"/>
      <c r="F464" s="295"/>
      <c r="G464" s="296"/>
      <c r="H464" s="298">
        <f>$N$7</f>
        <v>0.1</v>
      </c>
      <c r="I464" s="284">
        <f>I463*H464</f>
        <v>39533.050000000003</v>
      </c>
      <c r="J464" s="119"/>
    </row>
    <row r="465" spans="3:10" s="297" customFormat="1" ht="21.6" customHeight="1" thickBot="1">
      <c r="C465" s="299" t="s">
        <v>1221</v>
      </c>
      <c r="D465" s="300" t="s">
        <v>1222</v>
      </c>
      <c r="E465" s="301"/>
      <c r="F465" s="301"/>
      <c r="G465" s="301"/>
      <c r="H465" s="302"/>
      <c r="I465" s="303">
        <f>SUM(I463:I464)</f>
        <v>434863.55</v>
      </c>
      <c r="J465" s="119"/>
    </row>
    <row r="466" spans="3:10" ht="14.4" thickTop="1"/>
    <row r="467" spans="3:10" ht="14.4" thickBot="1">
      <c r="C467" s="126" t="s">
        <v>2376</v>
      </c>
      <c r="D467" s="47" t="s">
        <v>1290</v>
      </c>
      <c r="E467" s="47"/>
      <c r="F467" s="47"/>
      <c r="G467" s="47"/>
      <c r="H467" s="47"/>
      <c r="I467" s="47"/>
      <c r="J467" s="120">
        <f>ROUNDDOWN(I483,-2)</f>
        <v>2810800</v>
      </c>
    </row>
    <row r="468" spans="3:10" ht="28.2" thickTop="1">
      <c r="C468" s="51" t="s">
        <v>1195</v>
      </c>
      <c r="D468" s="52" t="s">
        <v>1196</v>
      </c>
      <c r="E468" s="52" t="s">
        <v>1773</v>
      </c>
      <c r="F468" s="52" t="s">
        <v>1197</v>
      </c>
      <c r="G468" s="52" t="s">
        <v>1198</v>
      </c>
      <c r="H468" s="52" t="s">
        <v>1199</v>
      </c>
      <c r="I468" s="53" t="s">
        <v>1200</v>
      </c>
    </row>
    <row r="469" spans="3:10" ht="21.6" customHeight="1">
      <c r="C469" s="290" t="s">
        <v>1201</v>
      </c>
      <c r="D469" s="182" t="s">
        <v>1202</v>
      </c>
      <c r="E469" s="182"/>
      <c r="F469" s="70"/>
      <c r="G469" s="70"/>
      <c r="H469" s="70"/>
      <c r="I469" s="71"/>
    </row>
    <row r="470" spans="3:10" ht="21.6" customHeight="1">
      <c r="C470" s="310" t="s">
        <v>1203</v>
      </c>
      <c r="D470" s="182" t="s">
        <v>5</v>
      </c>
      <c r="E470" s="182" t="s">
        <v>1774</v>
      </c>
      <c r="F470" s="176" t="s">
        <v>6</v>
      </c>
      <c r="G470" s="282">
        <v>0.2</v>
      </c>
      <c r="H470" s="283">
        <f>VLOOKUP(D470,upahbahan,3,FALSE)</f>
        <v>100000</v>
      </c>
      <c r="I470" s="284">
        <f>G470*H470</f>
        <v>20000</v>
      </c>
    </row>
    <row r="471" spans="3:10" s="59" customFormat="1" ht="21.6" customHeight="1">
      <c r="C471" s="310" t="s">
        <v>1204</v>
      </c>
      <c r="D471" s="182" t="s">
        <v>19</v>
      </c>
      <c r="E471" s="182" t="s">
        <v>1777</v>
      </c>
      <c r="F471" s="176" t="s">
        <v>6</v>
      </c>
      <c r="G471" s="282">
        <v>0.02</v>
      </c>
      <c r="H471" s="283">
        <f>VLOOKUP(D471,upahbahan,3,FALSE)</f>
        <v>160000</v>
      </c>
      <c r="I471" s="284">
        <f>G471*H471</f>
        <v>3200</v>
      </c>
      <c r="J471" s="119"/>
    </row>
    <row r="472" spans="3:10" ht="21.6" customHeight="1">
      <c r="C472" s="66" t="s">
        <v>1208</v>
      </c>
      <c r="D472" s="67"/>
      <c r="E472" s="67"/>
      <c r="F472" s="67"/>
      <c r="G472" s="68"/>
      <c r="H472" s="69"/>
      <c r="I472" s="284">
        <f>SUM(I470:I471)</f>
        <v>23200</v>
      </c>
    </row>
    <row r="473" spans="3:10" ht="21.6" customHeight="1">
      <c r="C473" s="290" t="s">
        <v>1209</v>
      </c>
      <c r="D473" s="182" t="s">
        <v>1210</v>
      </c>
      <c r="E473" s="182"/>
      <c r="F473" s="70"/>
      <c r="G473" s="70"/>
      <c r="H473" s="70"/>
      <c r="I473" s="71"/>
    </row>
    <row r="474" spans="3:10" ht="21.6" customHeight="1">
      <c r="C474" s="310" t="s">
        <v>1203</v>
      </c>
      <c r="D474" s="285" t="s">
        <v>752</v>
      </c>
      <c r="E474" s="285"/>
      <c r="F474" s="176" t="s">
        <v>42</v>
      </c>
      <c r="G474" s="309">
        <v>0.12570000000000001</v>
      </c>
      <c r="H474" s="283">
        <f>VLOOKUP(D474,upahbahan,3,FALSE)</f>
        <v>20000000</v>
      </c>
      <c r="I474" s="284">
        <f>G474*H474</f>
        <v>2514000</v>
      </c>
    </row>
    <row r="475" spans="3:10" ht="21.6" customHeight="1">
      <c r="C475" s="66" t="s">
        <v>1214</v>
      </c>
      <c r="D475" s="67"/>
      <c r="E475" s="67"/>
      <c r="F475" s="67"/>
      <c r="G475" s="67"/>
      <c r="H475" s="69"/>
      <c r="I475" s="284">
        <f>SUM(I474:I474)</f>
        <v>2514000</v>
      </c>
    </row>
    <row r="476" spans="3:10" ht="21.6" customHeight="1">
      <c r="C476" s="290" t="s">
        <v>1215</v>
      </c>
      <c r="D476" s="182" t="s">
        <v>1216</v>
      </c>
      <c r="E476" s="182"/>
      <c r="F476" s="70"/>
      <c r="G476" s="70"/>
      <c r="H476" s="70"/>
      <c r="I476" s="71"/>
    </row>
    <row r="477" spans="3:10" ht="21.6" customHeight="1">
      <c r="C477" s="306" t="s">
        <v>1203</v>
      </c>
      <c r="D477" s="182" t="s">
        <v>1144</v>
      </c>
      <c r="E477" s="182"/>
      <c r="F477" s="102" t="s">
        <v>1080</v>
      </c>
      <c r="G477" s="127">
        <v>0.05</v>
      </c>
      <c r="H477" s="283">
        <f>VLOOKUP(D477,upahbahan,3,FALSE)</f>
        <v>95000</v>
      </c>
      <c r="I477" s="284">
        <f>G477*H477</f>
        <v>4750</v>
      </c>
    </row>
    <row r="478" spans="3:10" ht="21.6" customHeight="1">
      <c r="C478" s="306" t="s">
        <v>1204</v>
      </c>
      <c r="D478" s="182" t="s">
        <v>1116</v>
      </c>
      <c r="E478" s="182"/>
      <c r="F478" s="102" t="s">
        <v>1080</v>
      </c>
      <c r="G478" s="127">
        <v>0.05</v>
      </c>
      <c r="H478" s="283">
        <f>VLOOKUP(D478,upahbahan,3,FALSE)</f>
        <v>250000</v>
      </c>
      <c r="I478" s="284">
        <f>G478*H478</f>
        <v>12500</v>
      </c>
    </row>
    <row r="479" spans="3:10" ht="21.6" customHeight="1">
      <c r="C479" s="306" t="s">
        <v>1205</v>
      </c>
      <c r="D479" s="285" t="s">
        <v>1291</v>
      </c>
      <c r="E479" s="285"/>
      <c r="F479" s="102" t="s">
        <v>113</v>
      </c>
      <c r="G479" s="127">
        <v>0.02</v>
      </c>
      <c r="H479" s="283">
        <f>VLOOKUP(D479,upahbahan,3,FALSE)</f>
        <v>43500</v>
      </c>
      <c r="I479" s="284">
        <f>G479*H479</f>
        <v>870</v>
      </c>
    </row>
    <row r="480" spans="3:10" ht="21.6" customHeight="1">
      <c r="C480" s="66" t="s">
        <v>1217</v>
      </c>
      <c r="D480" s="67"/>
      <c r="E480" s="67"/>
      <c r="F480" s="67"/>
      <c r="G480" s="67"/>
      <c r="H480" s="69"/>
      <c r="I480" s="284">
        <f>SUM(I477:I479)</f>
        <v>18120</v>
      </c>
    </row>
    <row r="481" spans="3:10" s="297" customFormat="1" ht="21.6" customHeight="1">
      <c r="C481" s="293" t="s">
        <v>1218</v>
      </c>
      <c r="D481" s="294" t="s">
        <v>1219</v>
      </c>
      <c r="E481" s="295"/>
      <c r="F481" s="295"/>
      <c r="G481" s="295"/>
      <c r="H481" s="296"/>
      <c r="I481" s="284">
        <f>I480+I475+I472</f>
        <v>2555320</v>
      </c>
      <c r="J481" s="119"/>
    </row>
    <row r="482" spans="3:10" s="297" customFormat="1" ht="21.6" customHeight="1">
      <c r="C482" s="293" t="s">
        <v>1220</v>
      </c>
      <c r="D482" s="294" t="s">
        <v>1321</v>
      </c>
      <c r="E482" s="295"/>
      <c r="F482" s="295"/>
      <c r="G482" s="296"/>
      <c r="H482" s="298">
        <f>$N$7</f>
        <v>0.1</v>
      </c>
      <c r="I482" s="284">
        <f>I481*H482</f>
        <v>255532</v>
      </c>
      <c r="J482" s="119"/>
    </row>
    <row r="483" spans="3:10" s="297" customFormat="1" ht="21.6" customHeight="1" thickBot="1">
      <c r="C483" s="299" t="s">
        <v>1221</v>
      </c>
      <c r="D483" s="300" t="s">
        <v>1222</v>
      </c>
      <c r="E483" s="301"/>
      <c r="F483" s="301"/>
      <c r="G483" s="301"/>
      <c r="H483" s="302"/>
      <c r="I483" s="303">
        <f>SUM(I481:I482)</f>
        <v>2810852</v>
      </c>
      <c r="J483" s="119"/>
    </row>
    <row r="484" spans="3:10" ht="14.4" thickTop="1"/>
    <row r="485" spans="3:10" ht="14.4" thickBot="1">
      <c r="C485" s="126" t="s">
        <v>2377</v>
      </c>
      <c r="D485" s="47" t="s">
        <v>1292</v>
      </c>
      <c r="E485" s="47"/>
      <c r="F485" s="47"/>
      <c r="G485" s="47"/>
      <c r="H485" s="47"/>
      <c r="I485" s="47"/>
      <c r="J485" s="120">
        <f>ROUNDDOWN(I499,-2)</f>
        <v>94900</v>
      </c>
    </row>
    <row r="486" spans="3:10" ht="28.2" thickTop="1">
      <c r="C486" s="51" t="s">
        <v>1195</v>
      </c>
      <c r="D486" s="52" t="s">
        <v>1196</v>
      </c>
      <c r="E486" s="52" t="s">
        <v>1773</v>
      </c>
      <c r="F486" s="52" t="s">
        <v>1197</v>
      </c>
      <c r="G486" s="52" t="s">
        <v>1198</v>
      </c>
      <c r="H486" s="52" t="s">
        <v>1199</v>
      </c>
      <c r="I486" s="53" t="s">
        <v>1200</v>
      </c>
    </row>
    <row r="487" spans="3:10" ht="21.6" customHeight="1">
      <c r="C487" s="290" t="s">
        <v>1201</v>
      </c>
      <c r="D487" s="182" t="s">
        <v>1202</v>
      </c>
      <c r="E487" s="182"/>
      <c r="F487" s="70"/>
      <c r="G487" s="70"/>
      <c r="H487" s="70"/>
      <c r="I487" s="71"/>
    </row>
    <row r="488" spans="3:10" ht="21.6" customHeight="1">
      <c r="C488" s="310" t="s">
        <v>1203</v>
      </c>
      <c r="D488" s="182" t="s">
        <v>5</v>
      </c>
      <c r="E488" s="176" t="s">
        <v>1774</v>
      </c>
      <c r="F488" s="176" t="s">
        <v>6</v>
      </c>
      <c r="G488" s="309">
        <v>0.42680000000000001</v>
      </c>
      <c r="H488" s="283">
        <f>VLOOKUP(D488,upahbahan,3,FALSE)</f>
        <v>100000</v>
      </c>
      <c r="I488" s="284">
        <f>G488*H488</f>
        <v>42680</v>
      </c>
    </row>
    <row r="489" spans="3:10" s="59" customFormat="1" ht="21.6" customHeight="1">
      <c r="C489" s="310" t="s">
        <v>1204</v>
      </c>
      <c r="D489" s="182" t="s">
        <v>19</v>
      </c>
      <c r="E489" s="176" t="s">
        <v>1777</v>
      </c>
      <c r="F489" s="176" t="s">
        <v>6</v>
      </c>
      <c r="G489" s="309">
        <v>4.2700000000000002E-2</v>
      </c>
      <c r="H489" s="283">
        <f>VLOOKUP(D489,upahbahan,3,FALSE)</f>
        <v>160000</v>
      </c>
      <c r="I489" s="284">
        <f>G489*H489</f>
        <v>6832</v>
      </c>
      <c r="J489" s="119"/>
    </row>
    <row r="490" spans="3:10" ht="21.6" customHeight="1">
      <c r="C490" s="66" t="s">
        <v>1208</v>
      </c>
      <c r="D490" s="67"/>
      <c r="E490" s="67"/>
      <c r="F490" s="67"/>
      <c r="G490" s="68"/>
      <c r="H490" s="69"/>
      <c r="I490" s="284">
        <f>SUM(I488:I489)</f>
        <v>49512</v>
      </c>
    </row>
    <row r="491" spans="3:10" ht="21.6" customHeight="1">
      <c r="C491" s="290" t="s">
        <v>1209</v>
      </c>
      <c r="D491" s="182" t="s">
        <v>1210</v>
      </c>
      <c r="E491" s="182"/>
      <c r="F491" s="70"/>
      <c r="G491" s="70"/>
      <c r="H491" s="70"/>
      <c r="I491" s="105"/>
    </row>
    <row r="492" spans="3:10" ht="21.6" customHeight="1">
      <c r="C492" s="66" t="s">
        <v>1214</v>
      </c>
      <c r="D492" s="67"/>
      <c r="E492" s="67"/>
      <c r="F492" s="67"/>
      <c r="G492" s="67"/>
      <c r="H492" s="69"/>
      <c r="I492" s="313">
        <v>0</v>
      </c>
    </row>
    <row r="493" spans="3:10" ht="21.6" customHeight="1">
      <c r="C493" s="290" t="s">
        <v>1215</v>
      </c>
      <c r="D493" s="182" t="s">
        <v>1216</v>
      </c>
      <c r="E493" s="182"/>
      <c r="F493" s="70"/>
      <c r="G493" s="70"/>
      <c r="H493" s="70"/>
      <c r="I493" s="71"/>
    </row>
    <row r="494" spans="3:10" ht="21.6" customHeight="1">
      <c r="C494" s="306" t="s">
        <v>1203</v>
      </c>
      <c r="D494" s="182" t="s">
        <v>1144</v>
      </c>
      <c r="E494" s="182"/>
      <c r="F494" s="102" t="s">
        <v>1080</v>
      </c>
      <c r="G494" s="118">
        <v>0.1067</v>
      </c>
      <c r="H494" s="283">
        <f>VLOOKUP(D494,upahbahan,3,FALSE)</f>
        <v>95000</v>
      </c>
      <c r="I494" s="284">
        <f>G494*H494</f>
        <v>10136.5</v>
      </c>
    </row>
    <row r="495" spans="3:10" ht="21.6" customHeight="1">
      <c r="C495" s="306" t="s">
        <v>1204</v>
      </c>
      <c r="D495" s="182" t="s">
        <v>1116</v>
      </c>
      <c r="E495" s="182"/>
      <c r="F495" s="102" t="s">
        <v>1080</v>
      </c>
      <c r="G495" s="118">
        <v>0.1067</v>
      </c>
      <c r="H495" s="283">
        <f>VLOOKUP(D495,upahbahan,3,FALSE)</f>
        <v>250000</v>
      </c>
      <c r="I495" s="284">
        <f>G495*H495</f>
        <v>26675</v>
      </c>
    </row>
    <row r="496" spans="3:10" ht="21.6" customHeight="1">
      <c r="C496" s="66" t="s">
        <v>1217</v>
      </c>
      <c r="D496" s="67"/>
      <c r="E496" s="67"/>
      <c r="F496" s="67"/>
      <c r="G496" s="67"/>
      <c r="H496" s="69"/>
      <c r="I496" s="284">
        <f>SUM(I494:I495)</f>
        <v>36811.5</v>
      </c>
    </row>
    <row r="497" spans="3:10" s="297" customFormat="1" ht="21.6" customHeight="1">
      <c r="C497" s="293" t="s">
        <v>1218</v>
      </c>
      <c r="D497" s="294" t="s">
        <v>1219</v>
      </c>
      <c r="E497" s="295"/>
      <c r="F497" s="295"/>
      <c r="G497" s="295"/>
      <c r="H497" s="296"/>
      <c r="I497" s="284">
        <f>I496+I492+I490</f>
        <v>86323.5</v>
      </c>
      <c r="J497" s="119"/>
    </row>
    <row r="498" spans="3:10" s="297" customFormat="1" ht="21.6" customHeight="1">
      <c r="C498" s="293" t="s">
        <v>1220</v>
      </c>
      <c r="D498" s="294" t="s">
        <v>1321</v>
      </c>
      <c r="E498" s="295"/>
      <c r="F498" s="295"/>
      <c r="G498" s="296"/>
      <c r="H498" s="298">
        <f>$N$7</f>
        <v>0.1</v>
      </c>
      <c r="I498" s="284">
        <f>I497*H498</f>
        <v>8632.35</v>
      </c>
      <c r="J498" s="119"/>
    </row>
    <row r="499" spans="3:10" s="297" customFormat="1" ht="21.6" customHeight="1" thickBot="1">
      <c r="C499" s="299" t="s">
        <v>1221</v>
      </c>
      <c r="D499" s="300" t="s">
        <v>1222</v>
      </c>
      <c r="E499" s="301"/>
      <c r="F499" s="301"/>
      <c r="G499" s="301"/>
      <c r="H499" s="302"/>
      <c r="I499" s="303">
        <f>SUM(I497:I498)</f>
        <v>94955.85</v>
      </c>
      <c r="J499" s="119"/>
    </row>
    <row r="500" spans="3:10" ht="14.4" thickTop="1"/>
    <row r="501" spans="3:10" ht="33.75" customHeight="1" thickBot="1">
      <c r="C501" s="126" t="s">
        <v>2378</v>
      </c>
      <c r="D501" s="1875" t="s">
        <v>1293</v>
      </c>
      <c r="E501" s="1875"/>
      <c r="F501" s="1875"/>
      <c r="G501" s="1875"/>
      <c r="H501" s="1875"/>
      <c r="I501" s="1875"/>
      <c r="J501" s="120">
        <f>ROUNDDOWN(I515,-2)</f>
        <v>423900</v>
      </c>
    </row>
    <row r="502" spans="3:10" ht="28.2" thickTop="1">
      <c r="C502" s="51" t="s">
        <v>1195</v>
      </c>
      <c r="D502" s="52" t="s">
        <v>1196</v>
      </c>
      <c r="E502" s="52" t="s">
        <v>1773</v>
      </c>
      <c r="F502" s="52" t="s">
        <v>1197</v>
      </c>
      <c r="G502" s="52" t="s">
        <v>1198</v>
      </c>
      <c r="H502" s="52" t="s">
        <v>1199</v>
      </c>
      <c r="I502" s="53" t="s">
        <v>1200</v>
      </c>
    </row>
    <row r="503" spans="3:10" ht="21.6" customHeight="1">
      <c r="C503" s="290" t="s">
        <v>1201</v>
      </c>
      <c r="D503" s="182" t="s">
        <v>1202</v>
      </c>
      <c r="E503" s="182"/>
      <c r="F503" s="70"/>
      <c r="G503" s="70"/>
      <c r="H503" s="70"/>
      <c r="I503" s="71"/>
    </row>
    <row r="504" spans="3:10" ht="21.6" customHeight="1">
      <c r="C504" s="310" t="s">
        <v>1203</v>
      </c>
      <c r="D504" s="182" t="s">
        <v>5</v>
      </c>
      <c r="E504" s="182" t="s">
        <v>1774</v>
      </c>
      <c r="F504" s="176" t="s">
        <v>6</v>
      </c>
      <c r="G504" s="309">
        <v>1.9056999999999999</v>
      </c>
      <c r="H504" s="283">
        <f>VLOOKUP(D504,upahbahan,3,FALSE)</f>
        <v>100000</v>
      </c>
      <c r="I504" s="284">
        <f>G504*H504</f>
        <v>190570</v>
      </c>
    </row>
    <row r="505" spans="3:10" s="59" customFormat="1" ht="21.6" customHeight="1">
      <c r="C505" s="310" t="s">
        <v>1204</v>
      </c>
      <c r="D505" s="182" t="s">
        <v>19</v>
      </c>
      <c r="E505" s="182" t="s">
        <v>1777</v>
      </c>
      <c r="F505" s="176" t="s">
        <v>6</v>
      </c>
      <c r="G505" s="309">
        <v>0.19059999999999999</v>
      </c>
      <c r="H505" s="283">
        <f>VLOOKUP(D505,upahbahan,3,FALSE)</f>
        <v>160000</v>
      </c>
      <c r="I505" s="284">
        <f>G505*H505</f>
        <v>30496</v>
      </c>
      <c r="J505" s="119"/>
    </row>
    <row r="506" spans="3:10" ht="21.6" customHeight="1">
      <c r="C506" s="66" t="s">
        <v>1208</v>
      </c>
      <c r="D506" s="67"/>
      <c r="E506" s="67"/>
      <c r="F506" s="67"/>
      <c r="G506" s="68"/>
      <c r="H506" s="69"/>
      <c r="I506" s="284">
        <f>SUM(I504:I505)</f>
        <v>221066</v>
      </c>
    </row>
    <row r="507" spans="3:10" ht="21.6" customHeight="1">
      <c r="C507" s="290" t="s">
        <v>1209</v>
      </c>
      <c r="D507" s="182" t="s">
        <v>1210</v>
      </c>
      <c r="E507" s="182"/>
      <c r="F507" s="70"/>
      <c r="G507" s="70"/>
      <c r="H507" s="70"/>
      <c r="I507" s="71"/>
    </row>
    <row r="508" spans="3:10" ht="21.6" customHeight="1">
      <c r="C508" s="66" t="s">
        <v>1214</v>
      </c>
      <c r="D508" s="67"/>
      <c r="E508" s="67"/>
      <c r="F508" s="67"/>
      <c r="G508" s="67"/>
      <c r="H508" s="69"/>
      <c r="I508" s="313">
        <v>0</v>
      </c>
    </row>
    <row r="509" spans="3:10" ht="21.6" customHeight="1">
      <c r="C509" s="290" t="s">
        <v>1215</v>
      </c>
      <c r="D509" s="182" t="s">
        <v>1216</v>
      </c>
      <c r="E509" s="182"/>
      <c r="F509" s="70"/>
      <c r="G509" s="70"/>
      <c r="H509" s="70"/>
      <c r="I509" s="71"/>
    </row>
    <row r="510" spans="3:10" ht="21.6" customHeight="1">
      <c r="C510" s="306" t="s">
        <v>1203</v>
      </c>
      <c r="D510" s="182" t="s">
        <v>1144</v>
      </c>
      <c r="E510" s="182"/>
      <c r="F510" s="102" t="s">
        <v>1080</v>
      </c>
      <c r="G510" s="118">
        <v>0.47639999999999999</v>
      </c>
      <c r="H510" s="283">
        <f>VLOOKUP(D510,upahbahan,3,FALSE)</f>
        <v>95000</v>
      </c>
      <c r="I510" s="284">
        <f>G510*H510</f>
        <v>45258</v>
      </c>
    </row>
    <row r="511" spans="3:10" ht="21.6" customHeight="1">
      <c r="C511" s="306" t="s">
        <v>1204</v>
      </c>
      <c r="D511" s="182" t="s">
        <v>1116</v>
      </c>
      <c r="E511" s="182"/>
      <c r="F511" s="102" t="s">
        <v>1080</v>
      </c>
      <c r="G511" s="118">
        <v>0.47639999999999999</v>
      </c>
      <c r="H511" s="283">
        <f>VLOOKUP(D511,upahbahan,3,FALSE)</f>
        <v>250000</v>
      </c>
      <c r="I511" s="284">
        <f>G511*H511</f>
        <v>119100</v>
      </c>
    </row>
    <row r="512" spans="3:10" ht="21.6" customHeight="1">
      <c r="C512" s="66" t="s">
        <v>1217</v>
      </c>
      <c r="D512" s="67"/>
      <c r="E512" s="67"/>
      <c r="F512" s="67"/>
      <c r="G512" s="67"/>
      <c r="H512" s="69"/>
      <c r="I512" s="284">
        <f>SUM(I510:I511)</f>
        <v>164358</v>
      </c>
    </row>
    <row r="513" spans="3:10" s="297" customFormat="1" ht="21.6" customHeight="1">
      <c r="C513" s="293" t="s">
        <v>1218</v>
      </c>
      <c r="D513" s="294" t="s">
        <v>1219</v>
      </c>
      <c r="E513" s="295"/>
      <c r="F513" s="295"/>
      <c r="G513" s="295"/>
      <c r="H513" s="296"/>
      <c r="I513" s="284">
        <f>I512+I508+I506</f>
        <v>385424</v>
      </c>
      <c r="J513" s="119"/>
    </row>
    <row r="514" spans="3:10" s="297" customFormat="1" ht="21.6" customHeight="1">
      <c r="C514" s="293" t="s">
        <v>1220</v>
      </c>
      <c r="D514" s="294" t="s">
        <v>1321</v>
      </c>
      <c r="E514" s="295"/>
      <c r="F514" s="295"/>
      <c r="G514" s="296"/>
      <c r="H514" s="298">
        <f>$N$7</f>
        <v>0.1</v>
      </c>
      <c r="I514" s="284">
        <f>I513*H514</f>
        <v>38542.400000000001</v>
      </c>
      <c r="J514" s="119"/>
    </row>
    <row r="515" spans="3:10" s="297" customFormat="1" ht="21.6" customHeight="1" thickBot="1">
      <c r="C515" s="299" t="s">
        <v>1221</v>
      </c>
      <c r="D515" s="300" t="s">
        <v>1222</v>
      </c>
      <c r="E515" s="301"/>
      <c r="F515" s="301"/>
      <c r="G515" s="301"/>
      <c r="H515" s="302"/>
      <c r="I515" s="303">
        <f>SUM(I513:I514)</f>
        <v>423966.4</v>
      </c>
      <c r="J515" s="119"/>
    </row>
    <row r="516" spans="3:10" ht="14.4" thickTop="1"/>
    <row r="517" spans="3:10" ht="14.4" thickBot="1">
      <c r="C517" s="126" t="s">
        <v>2379</v>
      </c>
      <c r="D517" s="47" t="s">
        <v>1294</v>
      </c>
      <c r="E517" s="47"/>
      <c r="F517" s="47"/>
      <c r="G517" s="47"/>
      <c r="H517" s="47"/>
      <c r="I517" s="47"/>
      <c r="J517" s="120">
        <f>ROUNDDOWN(I531,-2)</f>
        <v>636000</v>
      </c>
    </row>
    <row r="518" spans="3:10" ht="42" customHeight="1" thickTop="1">
      <c r="C518" s="51" t="s">
        <v>1195</v>
      </c>
      <c r="D518" s="52" t="s">
        <v>1196</v>
      </c>
      <c r="E518" s="52" t="s">
        <v>1773</v>
      </c>
      <c r="F518" s="52" t="s">
        <v>1197</v>
      </c>
      <c r="G518" s="52" t="s">
        <v>1198</v>
      </c>
      <c r="H518" s="52" t="s">
        <v>1199</v>
      </c>
      <c r="I518" s="53" t="s">
        <v>1200</v>
      </c>
    </row>
    <row r="519" spans="3:10" ht="21.6" customHeight="1">
      <c r="C519" s="290" t="s">
        <v>1201</v>
      </c>
      <c r="D519" s="182" t="s">
        <v>1202</v>
      </c>
      <c r="E519" s="182"/>
      <c r="F519" s="70"/>
      <c r="G519" s="70"/>
      <c r="H519" s="70"/>
      <c r="I519" s="71"/>
    </row>
    <row r="520" spans="3:10" ht="21.6" customHeight="1">
      <c r="C520" s="310" t="s">
        <v>1203</v>
      </c>
      <c r="D520" s="182" t="s">
        <v>5</v>
      </c>
      <c r="E520" s="182" t="s">
        <v>1774</v>
      </c>
      <c r="F520" s="176" t="s">
        <v>6</v>
      </c>
      <c r="G520" s="309">
        <v>2.8592</v>
      </c>
      <c r="H520" s="283">
        <f>VLOOKUP(D520,upahbahan,3,FALSE)</f>
        <v>100000</v>
      </c>
      <c r="I520" s="284">
        <f>G520*H520</f>
        <v>285920</v>
      </c>
    </row>
    <row r="521" spans="3:10" s="59" customFormat="1" ht="21.6" customHeight="1">
      <c r="C521" s="310" t="s">
        <v>1204</v>
      </c>
      <c r="D521" s="182" t="s">
        <v>19</v>
      </c>
      <c r="E521" s="182" t="s">
        <v>1777</v>
      </c>
      <c r="F521" s="176" t="s">
        <v>6</v>
      </c>
      <c r="G521" s="309">
        <v>0.28589999999999999</v>
      </c>
      <c r="H521" s="283">
        <f>VLOOKUP(D521,upahbahan,3,FALSE)</f>
        <v>160000</v>
      </c>
      <c r="I521" s="284">
        <f>G521*H521</f>
        <v>45744</v>
      </c>
      <c r="J521" s="119"/>
    </row>
    <row r="522" spans="3:10" ht="21.6" customHeight="1">
      <c r="C522" s="66" t="s">
        <v>1208</v>
      </c>
      <c r="D522" s="67"/>
      <c r="E522" s="67"/>
      <c r="F522" s="67"/>
      <c r="G522" s="68"/>
      <c r="H522" s="69"/>
      <c r="I522" s="284">
        <f>SUM(I520:I521)</f>
        <v>331664</v>
      </c>
    </row>
    <row r="523" spans="3:10" ht="21.6" customHeight="1">
      <c r="C523" s="290" t="s">
        <v>1209</v>
      </c>
      <c r="D523" s="182" t="s">
        <v>1210</v>
      </c>
      <c r="E523" s="182"/>
      <c r="F523" s="70"/>
      <c r="G523" s="70"/>
      <c r="H523" s="70"/>
      <c r="I523" s="71"/>
    </row>
    <row r="524" spans="3:10" ht="21.6" customHeight="1">
      <c r="C524" s="66" t="s">
        <v>1214</v>
      </c>
      <c r="D524" s="67"/>
      <c r="E524" s="67"/>
      <c r="F524" s="67"/>
      <c r="G524" s="67"/>
      <c r="H524" s="69"/>
      <c r="I524" s="313">
        <v>0</v>
      </c>
    </row>
    <row r="525" spans="3:10" ht="21.6" customHeight="1">
      <c r="C525" s="290" t="s">
        <v>1215</v>
      </c>
      <c r="D525" s="182" t="s">
        <v>1216</v>
      </c>
      <c r="E525" s="182"/>
      <c r="F525" s="70"/>
      <c r="G525" s="70"/>
      <c r="H525" s="70"/>
      <c r="I525" s="71"/>
    </row>
    <row r="526" spans="3:10" ht="21.6" customHeight="1">
      <c r="C526" s="306" t="s">
        <v>1203</v>
      </c>
      <c r="D526" s="182" t="s">
        <v>1144</v>
      </c>
      <c r="E526" s="182"/>
      <c r="F526" s="102" t="s">
        <v>1080</v>
      </c>
      <c r="G526" s="118">
        <v>0.71479999999999999</v>
      </c>
      <c r="H526" s="283">
        <f>VLOOKUP(D526,upahbahan,3,FALSE)</f>
        <v>95000</v>
      </c>
      <c r="I526" s="284">
        <f>G526*H526</f>
        <v>67906</v>
      </c>
    </row>
    <row r="527" spans="3:10" ht="21.6" customHeight="1">
      <c r="C527" s="306" t="s">
        <v>1204</v>
      </c>
      <c r="D527" s="182" t="s">
        <v>1116</v>
      </c>
      <c r="E527" s="182"/>
      <c r="F527" s="102" t="s">
        <v>1080</v>
      </c>
      <c r="G527" s="118">
        <v>0.71479999999999999</v>
      </c>
      <c r="H527" s="283">
        <f>VLOOKUP(D527,upahbahan,3,FALSE)</f>
        <v>250000</v>
      </c>
      <c r="I527" s="284">
        <f>G527*H527</f>
        <v>178700</v>
      </c>
    </row>
    <row r="528" spans="3:10" ht="21.6" customHeight="1">
      <c r="C528" s="66" t="s">
        <v>1217</v>
      </c>
      <c r="D528" s="67"/>
      <c r="E528" s="67"/>
      <c r="F528" s="67"/>
      <c r="G528" s="67"/>
      <c r="H528" s="69"/>
      <c r="I528" s="284">
        <f>SUM(I526:I527)</f>
        <v>246606</v>
      </c>
    </row>
    <row r="529" spans="3:10" s="297" customFormat="1" ht="21.6" customHeight="1">
      <c r="C529" s="293" t="s">
        <v>1218</v>
      </c>
      <c r="D529" s="294" t="s">
        <v>1219</v>
      </c>
      <c r="E529" s="295"/>
      <c r="F529" s="295"/>
      <c r="G529" s="295"/>
      <c r="H529" s="296"/>
      <c r="I529" s="284">
        <f>I528+I524+I522</f>
        <v>578270</v>
      </c>
      <c r="J529" s="119"/>
    </row>
    <row r="530" spans="3:10" s="297" customFormat="1" ht="21.6" customHeight="1">
      <c r="C530" s="293" t="s">
        <v>1220</v>
      </c>
      <c r="D530" s="294" t="s">
        <v>1321</v>
      </c>
      <c r="E530" s="295"/>
      <c r="F530" s="295"/>
      <c r="G530" s="296"/>
      <c r="H530" s="298">
        <f>$N$7</f>
        <v>0.1</v>
      </c>
      <c r="I530" s="284">
        <f>I529*H530</f>
        <v>57827</v>
      </c>
      <c r="J530" s="119"/>
    </row>
    <row r="531" spans="3:10" s="297" customFormat="1" ht="21.6" customHeight="1" thickBot="1">
      <c r="C531" s="299" t="s">
        <v>1221</v>
      </c>
      <c r="D531" s="300" t="s">
        <v>1222</v>
      </c>
      <c r="E531" s="301"/>
      <c r="F531" s="301"/>
      <c r="G531" s="301"/>
      <c r="H531" s="302"/>
      <c r="I531" s="303">
        <f>SUM(I529:I530)</f>
        <v>636097</v>
      </c>
      <c r="J531" s="119"/>
    </row>
    <row r="532" spans="3:10" ht="14.4" thickTop="1"/>
    <row r="533" spans="3:10" ht="14.4" thickBot="1">
      <c r="C533" s="126" t="s">
        <v>2380</v>
      </c>
      <c r="D533" s="47" t="s">
        <v>1295</v>
      </c>
      <c r="E533" s="47"/>
      <c r="F533" s="47"/>
      <c r="G533" s="47"/>
      <c r="H533" s="47"/>
      <c r="I533" s="47"/>
      <c r="J533" s="120">
        <f>ROUNDDOWN(I549,-2)</f>
        <v>4418700</v>
      </c>
    </row>
    <row r="534" spans="3:10" ht="28.2" thickTop="1">
      <c r="C534" s="51" t="s">
        <v>1195</v>
      </c>
      <c r="D534" s="52" t="s">
        <v>1196</v>
      </c>
      <c r="E534" s="52" t="s">
        <v>1773</v>
      </c>
      <c r="F534" s="52" t="s">
        <v>1197</v>
      </c>
      <c r="G534" s="52" t="s">
        <v>1198</v>
      </c>
      <c r="H534" s="52" t="s">
        <v>1199</v>
      </c>
      <c r="I534" s="53" t="s">
        <v>1200</v>
      </c>
    </row>
    <row r="535" spans="3:10" ht="21.6" customHeight="1">
      <c r="C535" s="290" t="s">
        <v>1201</v>
      </c>
      <c r="D535" s="182" t="s">
        <v>1202</v>
      </c>
      <c r="E535" s="182"/>
      <c r="F535" s="70"/>
      <c r="G535" s="70"/>
      <c r="H535" s="70"/>
      <c r="I535" s="71"/>
    </row>
    <row r="536" spans="3:10" ht="21.6" customHeight="1">
      <c r="C536" s="310" t="s">
        <v>1203</v>
      </c>
      <c r="D536" s="182" t="s">
        <v>5</v>
      </c>
      <c r="E536" s="176" t="s">
        <v>1774</v>
      </c>
      <c r="F536" s="176" t="s">
        <v>6</v>
      </c>
      <c r="G536" s="282">
        <v>0.4</v>
      </c>
      <c r="H536" s="283">
        <f>VLOOKUP(D536,upahbahan,3,FALSE)</f>
        <v>100000</v>
      </c>
      <c r="I536" s="284">
        <f>G536*H536</f>
        <v>40000</v>
      </c>
    </row>
    <row r="537" spans="3:10" s="59" customFormat="1" ht="21.6" customHeight="1">
      <c r="C537" s="310" t="s">
        <v>1204</v>
      </c>
      <c r="D537" s="182" t="s">
        <v>19</v>
      </c>
      <c r="E537" s="176" t="s">
        <v>1777</v>
      </c>
      <c r="F537" s="176" t="s">
        <v>6</v>
      </c>
      <c r="G537" s="282">
        <v>0.04</v>
      </c>
      <c r="H537" s="283">
        <f>VLOOKUP(D537,upahbahan,3,FALSE)</f>
        <v>160000</v>
      </c>
      <c r="I537" s="284">
        <f>G537*H537</f>
        <v>6400</v>
      </c>
      <c r="J537" s="119"/>
    </row>
    <row r="538" spans="3:10" ht="21.6" customHeight="1">
      <c r="C538" s="66" t="s">
        <v>1208</v>
      </c>
      <c r="D538" s="67"/>
      <c r="E538" s="67"/>
      <c r="F538" s="67"/>
      <c r="G538" s="68"/>
      <c r="H538" s="69"/>
      <c r="I538" s="284">
        <f>SUM(I536:I537)</f>
        <v>46400</v>
      </c>
    </row>
    <row r="539" spans="3:10" ht="21.6" customHeight="1">
      <c r="C539" s="290" t="s">
        <v>1209</v>
      </c>
      <c r="D539" s="182" t="s">
        <v>1210</v>
      </c>
      <c r="E539" s="182"/>
      <c r="F539" s="70"/>
      <c r="G539" s="70"/>
      <c r="H539" s="70"/>
      <c r="I539" s="71"/>
    </row>
    <row r="540" spans="3:10" ht="21.6" customHeight="1">
      <c r="C540" s="310" t="s">
        <v>1203</v>
      </c>
      <c r="D540" s="285" t="s">
        <v>752</v>
      </c>
      <c r="E540" s="285"/>
      <c r="F540" s="176" t="s">
        <v>42</v>
      </c>
      <c r="G540" s="309">
        <v>0.1963</v>
      </c>
      <c r="H540" s="283">
        <f>VLOOKUP(D540,upahbahan,3,FALSE)</f>
        <v>20000000</v>
      </c>
      <c r="I540" s="284">
        <f>G540*H540</f>
        <v>3926000</v>
      </c>
    </row>
    <row r="541" spans="3:10" ht="21.6" customHeight="1">
      <c r="C541" s="66" t="s">
        <v>1214</v>
      </c>
      <c r="D541" s="67"/>
      <c r="E541" s="67"/>
      <c r="F541" s="67"/>
      <c r="G541" s="67"/>
      <c r="H541" s="69"/>
      <c r="I541" s="284">
        <f>SUM(I540:I540)</f>
        <v>3926000</v>
      </c>
    </row>
    <row r="542" spans="3:10" ht="21.6" customHeight="1">
      <c r="C542" s="290" t="s">
        <v>1215</v>
      </c>
      <c r="D542" s="182" t="s">
        <v>1216</v>
      </c>
      <c r="E542" s="182"/>
      <c r="F542" s="70"/>
      <c r="G542" s="70"/>
      <c r="H542" s="70"/>
      <c r="I542" s="71"/>
    </row>
    <row r="543" spans="3:10" ht="21.6" customHeight="1">
      <c r="C543" s="306" t="s">
        <v>1203</v>
      </c>
      <c r="D543" s="182" t="s">
        <v>1144</v>
      </c>
      <c r="E543" s="182"/>
      <c r="F543" s="102" t="s">
        <v>1080</v>
      </c>
      <c r="G543" s="127">
        <v>0.1</v>
      </c>
      <c r="H543" s="283">
        <f>VLOOKUP(D543,upahbahan,3,FALSE)</f>
        <v>95000</v>
      </c>
      <c r="I543" s="284">
        <f>G543*H543</f>
        <v>9500</v>
      </c>
    </row>
    <row r="544" spans="3:10" ht="21.6" customHeight="1">
      <c r="C544" s="306" t="s">
        <v>1204</v>
      </c>
      <c r="D544" s="182" t="s">
        <v>1117</v>
      </c>
      <c r="E544" s="182"/>
      <c r="F544" s="102" t="s">
        <v>1080</v>
      </c>
      <c r="G544" s="127">
        <v>0.1</v>
      </c>
      <c r="H544" s="283">
        <f>VLOOKUP(D544,upahbahan,3,FALSE)</f>
        <v>340000</v>
      </c>
      <c r="I544" s="284">
        <f>G544*H544</f>
        <v>34000</v>
      </c>
    </row>
    <row r="545" spans="3:10" ht="21.6" customHeight="1">
      <c r="C545" s="306" t="s">
        <v>1205</v>
      </c>
      <c r="D545" s="285" t="s">
        <v>1296</v>
      </c>
      <c r="E545" s="285"/>
      <c r="F545" s="102" t="s">
        <v>113</v>
      </c>
      <c r="G545" s="127">
        <v>0.02</v>
      </c>
      <c r="H545" s="283">
        <f>VLOOKUP(D545,upahbahan,3,FALSE)</f>
        <v>55800</v>
      </c>
      <c r="I545" s="284">
        <f>G545*H545</f>
        <v>1116</v>
      </c>
    </row>
    <row r="546" spans="3:10" ht="21.6" customHeight="1">
      <c r="C546" s="66" t="s">
        <v>1217</v>
      </c>
      <c r="D546" s="67"/>
      <c r="E546" s="67"/>
      <c r="F546" s="67"/>
      <c r="G546" s="67"/>
      <c r="H546" s="69"/>
      <c r="I546" s="284">
        <f>SUM(I543:I545)</f>
        <v>44616</v>
      </c>
    </row>
    <row r="547" spans="3:10" s="297" customFormat="1" ht="21.6" customHeight="1">
      <c r="C547" s="293" t="s">
        <v>1218</v>
      </c>
      <c r="D547" s="294" t="s">
        <v>1219</v>
      </c>
      <c r="E547" s="295"/>
      <c r="F547" s="295"/>
      <c r="G547" s="295"/>
      <c r="H547" s="296"/>
      <c r="I547" s="284">
        <f>I546+I541+I538</f>
        <v>4017016</v>
      </c>
      <c r="J547" s="119"/>
    </row>
    <row r="548" spans="3:10" s="297" customFormat="1" ht="21.6" customHeight="1">
      <c r="C548" s="293" t="s">
        <v>1220</v>
      </c>
      <c r="D548" s="294" t="s">
        <v>1321</v>
      </c>
      <c r="E548" s="295"/>
      <c r="F548" s="295"/>
      <c r="G548" s="296"/>
      <c r="H548" s="298">
        <f>$N$7</f>
        <v>0.1</v>
      </c>
      <c r="I548" s="284">
        <f>I547*H548</f>
        <v>401701.60000000003</v>
      </c>
      <c r="J548" s="119"/>
    </row>
    <row r="549" spans="3:10" s="297" customFormat="1" ht="21.6" customHeight="1" thickBot="1">
      <c r="C549" s="299" t="s">
        <v>1221</v>
      </c>
      <c r="D549" s="300" t="s">
        <v>1222</v>
      </c>
      <c r="E549" s="301"/>
      <c r="F549" s="301"/>
      <c r="G549" s="301"/>
      <c r="H549" s="302"/>
      <c r="I549" s="303">
        <f>SUM(I547:I548)</f>
        <v>4418717.5999999996</v>
      </c>
      <c r="J549" s="119"/>
    </row>
    <row r="550" spans="3:10" ht="14.4" thickTop="1"/>
    <row r="551" spans="3:10" ht="14.4" thickBot="1">
      <c r="C551" s="126" t="s">
        <v>2381</v>
      </c>
      <c r="D551" s="47" t="s">
        <v>1297</v>
      </c>
      <c r="E551" s="47"/>
      <c r="F551" s="47"/>
      <c r="G551" s="47"/>
      <c r="H551" s="47"/>
      <c r="I551" s="47"/>
      <c r="J551" s="120">
        <f>ROUNDDOWN(I565,-2)</f>
        <v>164700</v>
      </c>
    </row>
    <row r="552" spans="3:10" ht="28.2" thickTop="1">
      <c r="C552" s="51" t="s">
        <v>1195</v>
      </c>
      <c r="D552" s="52" t="s">
        <v>1196</v>
      </c>
      <c r="E552" s="52" t="s">
        <v>1773</v>
      </c>
      <c r="F552" s="52" t="s">
        <v>1197</v>
      </c>
      <c r="G552" s="52" t="s">
        <v>1198</v>
      </c>
      <c r="H552" s="52" t="s">
        <v>1199</v>
      </c>
      <c r="I552" s="53" t="s">
        <v>1200</v>
      </c>
    </row>
    <row r="553" spans="3:10" ht="21.6" customHeight="1">
      <c r="C553" s="290" t="s">
        <v>1201</v>
      </c>
      <c r="D553" s="182" t="s">
        <v>1202</v>
      </c>
      <c r="E553" s="182"/>
      <c r="F553" s="70"/>
      <c r="G553" s="70"/>
      <c r="H553" s="70"/>
      <c r="I553" s="71"/>
    </row>
    <row r="554" spans="3:10" ht="21.6" customHeight="1">
      <c r="C554" s="310" t="s">
        <v>1203</v>
      </c>
      <c r="D554" s="182" t="s">
        <v>5</v>
      </c>
      <c r="E554" s="182" t="s">
        <v>1774</v>
      </c>
      <c r="F554" s="176" t="s">
        <v>6</v>
      </c>
      <c r="G554" s="309">
        <v>0.66639999999999999</v>
      </c>
      <c r="H554" s="283">
        <f>VLOOKUP(D554,upahbahan,3,FALSE)</f>
        <v>100000</v>
      </c>
      <c r="I554" s="284">
        <f>G554*H554</f>
        <v>66640</v>
      </c>
    </row>
    <row r="555" spans="3:10" s="59" customFormat="1" ht="21.6" customHeight="1">
      <c r="C555" s="310" t="s">
        <v>1204</v>
      </c>
      <c r="D555" s="182" t="s">
        <v>19</v>
      </c>
      <c r="E555" s="182" t="s">
        <v>1777</v>
      </c>
      <c r="F555" s="176" t="s">
        <v>6</v>
      </c>
      <c r="G555" s="309">
        <v>6.6600000000000006E-2</v>
      </c>
      <c r="H555" s="283">
        <f>VLOOKUP(D555,upahbahan,3,FALSE)</f>
        <v>160000</v>
      </c>
      <c r="I555" s="284">
        <f>G555*H555</f>
        <v>10656.000000000002</v>
      </c>
      <c r="J555" s="119"/>
    </row>
    <row r="556" spans="3:10" ht="21.6" customHeight="1">
      <c r="C556" s="66" t="s">
        <v>1208</v>
      </c>
      <c r="D556" s="67"/>
      <c r="E556" s="67"/>
      <c r="F556" s="67"/>
      <c r="G556" s="68"/>
      <c r="H556" s="69"/>
      <c r="I556" s="284">
        <f>SUM(I554:I555)</f>
        <v>77296</v>
      </c>
    </row>
    <row r="557" spans="3:10" ht="21.6" customHeight="1">
      <c r="C557" s="290" t="s">
        <v>1209</v>
      </c>
      <c r="D557" s="182" t="s">
        <v>1210</v>
      </c>
      <c r="E557" s="182"/>
      <c r="F557" s="70"/>
      <c r="G557" s="70"/>
      <c r="H557" s="70"/>
      <c r="I557" s="105"/>
    </row>
    <row r="558" spans="3:10" ht="21.6" customHeight="1">
      <c r="C558" s="66" t="s">
        <v>1214</v>
      </c>
      <c r="D558" s="67"/>
      <c r="E558" s="67"/>
      <c r="F558" s="67"/>
      <c r="G558" s="67"/>
      <c r="H558" s="69"/>
      <c r="I558" s="313">
        <v>0</v>
      </c>
    </row>
    <row r="559" spans="3:10" ht="21.6" customHeight="1">
      <c r="C559" s="290" t="s">
        <v>1215</v>
      </c>
      <c r="D559" s="182" t="s">
        <v>1216</v>
      </c>
      <c r="E559" s="182"/>
      <c r="F559" s="70"/>
      <c r="G559" s="70"/>
      <c r="H559" s="70"/>
      <c r="I559" s="71"/>
    </row>
    <row r="560" spans="3:10" ht="21.6" customHeight="1">
      <c r="C560" s="306" t="s">
        <v>1203</v>
      </c>
      <c r="D560" s="182" t="s">
        <v>1144</v>
      </c>
      <c r="E560" s="182"/>
      <c r="F560" s="102" t="s">
        <v>1080</v>
      </c>
      <c r="G560" s="118">
        <v>0.1666</v>
      </c>
      <c r="H560" s="283">
        <f>VLOOKUP(D560,upahbahan,3,FALSE)</f>
        <v>95000</v>
      </c>
      <c r="I560" s="284">
        <f>G560*H560</f>
        <v>15827</v>
      </c>
    </row>
    <row r="561" spans="3:10" ht="21.6" customHeight="1">
      <c r="C561" s="306" t="s">
        <v>1204</v>
      </c>
      <c r="D561" s="182" t="s">
        <v>1117</v>
      </c>
      <c r="E561" s="182"/>
      <c r="F561" s="102" t="s">
        <v>1080</v>
      </c>
      <c r="G561" s="118">
        <v>0.1666</v>
      </c>
      <c r="H561" s="283">
        <f>VLOOKUP(D561,upahbahan,3,FALSE)</f>
        <v>340000</v>
      </c>
      <c r="I561" s="284">
        <f>G561*H561</f>
        <v>56644</v>
      </c>
    </row>
    <row r="562" spans="3:10" ht="21.6" customHeight="1">
      <c r="C562" s="66" t="s">
        <v>1217</v>
      </c>
      <c r="D562" s="67"/>
      <c r="E562" s="67"/>
      <c r="F562" s="67"/>
      <c r="G562" s="67"/>
      <c r="H562" s="69"/>
      <c r="I562" s="284">
        <f>SUM(I560:I561)</f>
        <v>72471</v>
      </c>
    </row>
    <row r="563" spans="3:10" s="297" customFormat="1" ht="21.6" customHeight="1">
      <c r="C563" s="293" t="s">
        <v>1218</v>
      </c>
      <c r="D563" s="294" t="s">
        <v>1219</v>
      </c>
      <c r="E563" s="295"/>
      <c r="F563" s="295"/>
      <c r="G563" s="295"/>
      <c r="H563" s="296"/>
      <c r="I563" s="284">
        <f>I562+I558+I556</f>
        <v>149767</v>
      </c>
      <c r="J563" s="119"/>
    </row>
    <row r="564" spans="3:10" s="297" customFormat="1" ht="21.6" customHeight="1">
      <c r="C564" s="293" t="s">
        <v>1220</v>
      </c>
      <c r="D564" s="294" t="s">
        <v>1321</v>
      </c>
      <c r="E564" s="295"/>
      <c r="F564" s="295"/>
      <c r="G564" s="296"/>
      <c r="H564" s="298">
        <f>$N$7</f>
        <v>0.1</v>
      </c>
      <c r="I564" s="284">
        <f>I563*H564</f>
        <v>14976.7</v>
      </c>
      <c r="J564" s="119"/>
    </row>
    <row r="565" spans="3:10" s="297" customFormat="1" ht="21.6" customHeight="1" thickBot="1">
      <c r="C565" s="299" t="s">
        <v>1221</v>
      </c>
      <c r="D565" s="300" t="s">
        <v>1222</v>
      </c>
      <c r="E565" s="301"/>
      <c r="F565" s="301"/>
      <c r="G565" s="301"/>
      <c r="H565" s="302"/>
      <c r="I565" s="303">
        <f>SUM(I563:I564)</f>
        <v>164743.70000000001</v>
      </c>
      <c r="J565" s="119"/>
    </row>
    <row r="566" spans="3:10" ht="14.4" thickTop="1"/>
    <row r="567" spans="3:10" ht="33.75" customHeight="1" thickBot="1">
      <c r="C567" s="126" t="s">
        <v>2382</v>
      </c>
      <c r="D567" s="1875" t="s">
        <v>1298</v>
      </c>
      <c r="E567" s="1875"/>
      <c r="F567" s="1875"/>
      <c r="G567" s="1875"/>
      <c r="H567" s="1875"/>
      <c r="I567" s="1875"/>
      <c r="J567" s="120">
        <f>ROUNDDOWN(I581,-2)</f>
        <v>1098700</v>
      </c>
    </row>
    <row r="568" spans="3:10" ht="28.2" thickTop="1">
      <c r="C568" s="51" t="s">
        <v>1195</v>
      </c>
      <c r="D568" s="52" t="s">
        <v>1196</v>
      </c>
      <c r="E568" s="52" t="s">
        <v>1773</v>
      </c>
      <c r="F568" s="52" t="s">
        <v>1197</v>
      </c>
      <c r="G568" s="52" t="s">
        <v>1198</v>
      </c>
      <c r="H568" s="52" t="s">
        <v>1199</v>
      </c>
      <c r="I568" s="53" t="s">
        <v>1200</v>
      </c>
    </row>
    <row r="569" spans="3:10" ht="21.6" customHeight="1">
      <c r="C569" s="290" t="s">
        <v>1201</v>
      </c>
      <c r="D569" s="182" t="s">
        <v>1202</v>
      </c>
      <c r="E569" s="182"/>
      <c r="F569" s="70"/>
      <c r="G569" s="70"/>
      <c r="H569" s="70"/>
      <c r="I569" s="71"/>
    </row>
    <row r="570" spans="3:10" ht="21.6" customHeight="1">
      <c r="C570" s="310" t="s">
        <v>1203</v>
      </c>
      <c r="D570" s="182" t="s">
        <v>5</v>
      </c>
      <c r="E570" s="182" t="s">
        <v>1774</v>
      </c>
      <c r="F570" s="176" t="s">
        <v>6</v>
      </c>
      <c r="G570" s="309">
        <v>4.4443999999999999</v>
      </c>
      <c r="H570" s="283">
        <f>VLOOKUP(D570,upahbahan,3,FALSE)</f>
        <v>100000</v>
      </c>
      <c r="I570" s="284">
        <f>G570*H570</f>
        <v>444440</v>
      </c>
    </row>
    <row r="571" spans="3:10" s="59" customFormat="1" ht="21.6" customHeight="1">
      <c r="C571" s="310" t="s">
        <v>1204</v>
      </c>
      <c r="D571" s="182" t="s">
        <v>19</v>
      </c>
      <c r="E571" s="182" t="s">
        <v>1777</v>
      </c>
      <c r="F571" s="176" t="s">
        <v>6</v>
      </c>
      <c r="G571" s="309">
        <v>0.44440000000000002</v>
      </c>
      <c r="H571" s="283">
        <f>VLOOKUP(D571,upahbahan,3,FALSE)</f>
        <v>160000</v>
      </c>
      <c r="I571" s="284">
        <f>G571*H571</f>
        <v>71104</v>
      </c>
      <c r="J571" s="119"/>
    </row>
    <row r="572" spans="3:10" ht="21.6" customHeight="1">
      <c r="C572" s="66" t="s">
        <v>1208</v>
      </c>
      <c r="D572" s="67"/>
      <c r="E572" s="67"/>
      <c r="F572" s="67"/>
      <c r="G572" s="68"/>
      <c r="H572" s="69"/>
      <c r="I572" s="284">
        <f>SUM(I570:I571)</f>
        <v>515544</v>
      </c>
    </row>
    <row r="573" spans="3:10" ht="21.6" customHeight="1">
      <c r="C573" s="290" t="s">
        <v>1209</v>
      </c>
      <c r="D573" s="182" t="s">
        <v>1210</v>
      </c>
      <c r="E573" s="182"/>
      <c r="F573" s="70"/>
      <c r="G573" s="70"/>
      <c r="H573" s="70"/>
      <c r="I573" s="71"/>
    </row>
    <row r="574" spans="3:10" ht="21.6" customHeight="1">
      <c r="C574" s="66" t="s">
        <v>1214</v>
      </c>
      <c r="D574" s="67"/>
      <c r="E574" s="67"/>
      <c r="F574" s="67"/>
      <c r="G574" s="67"/>
      <c r="H574" s="69"/>
      <c r="I574" s="313">
        <v>0</v>
      </c>
    </row>
    <row r="575" spans="3:10" ht="21.6" customHeight="1">
      <c r="C575" s="290" t="s">
        <v>1215</v>
      </c>
      <c r="D575" s="182" t="s">
        <v>1216</v>
      </c>
      <c r="E575" s="182"/>
      <c r="F575" s="70"/>
      <c r="G575" s="70"/>
      <c r="H575" s="70"/>
      <c r="I575" s="71"/>
    </row>
    <row r="576" spans="3:10" ht="21.6" customHeight="1">
      <c r="C576" s="306" t="s">
        <v>1203</v>
      </c>
      <c r="D576" s="182" t="s">
        <v>1144</v>
      </c>
      <c r="E576" s="182"/>
      <c r="F576" s="102" t="s">
        <v>1080</v>
      </c>
      <c r="G576" s="118">
        <v>1.1111</v>
      </c>
      <c r="H576" s="283">
        <f>VLOOKUP(D576,upahbahan,3,FALSE)</f>
        <v>95000</v>
      </c>
      <c r="I576" s="284">
        <f>G576*H576</f>
        <v>105554.5</v>
      </c>
    </row>
    <row r="577" spans="3:10" ht="21.6" customHeight="1">
      <c r="C577" s="306" t="s">
        <v>1204</v>
      </c>
      <c r="D577" s="182" t="s">
        <v>1117</v>
      </c>
      <c r="E577" s="182"/>
      <c r="F577" s="102" t="s">
        <v>1080</v>
      </c>
      <c r="G577" s="118">
        <v>1.1111</v>
      </c>
      <c r="H577" s="283">
        <f>VLOOKUP(D577,upahbahan,3,FALSE)</f>
        <v>340000</v>
      </c>
      <c r="I577" s="284">
        <f>G577*H577</f>
        <v>377774</v>
      </c>
    </row>
    <row r="578" spans="3:10" ht="21.6" customHeight="1">
      <c r="C578" s="66" t="s">
        <v>1217</v>
      </c>
      <c r="D578" s="67"/>
      <c r="E578" s="67"/>
      <c r="F578" s="67"/>
      <c r="G578" s="67"/>
      <c r="H578" s="69"/>
      <c r="I578" s="284">
        <f>SUM(I576:I577)</f>
        <v>483328.5</v>
      </c>
    </row>
    <row r="579" spans="3:10" s="297" customFormat="1" ht="21.6" customHeight="1">
      <c r="C579" s="293" t="s">
        <v>1218</v>
      </c>
      <c r="D579" s="294" t="s">
        <v>1219</v>
      </c>
      <c r="E579" s="295"/>
      <c r="F579" s="295"/>
      <c r="G579" s="295"/>
      <c r="H579" s="296"/>
      <c r="I579" s="284">
        <f>I578+I574+I572</f>
        <v>998872.5</v>
      </c>
      <c r="J579" s="119"/>
    </row>
    <row r="580" spans="3:10" s="297" customFormat="1" ht="21.6" customHeight="1">
      <c r="C580" s="293" t="s">
        <v>1220</v>
      </c>
      <c r="D580" s="294" t="s">
        <v>1321</v>
      </c>
      <c r="E580" s="295"/>
      <c r="F580" s="295"/>
      <c r="G580" s="296"/>
      <c r="H580" s="298">
        <f>$N$7</f>
        <v>0.1</v>
      </c>
      <c r="I580" s="284">
        <f>I579*H580</f>
        <v>99887.25</v>
      </c>
      <c r="J580" s="119"/>
    </row>
    <row r="581" spans="3:10" s="297" customFormat="1" ht="21.6" customHeight="1" thickBot="1">
      <c r="C581" s="299" t="s">
        <v>1221</v>
      </c>
      <c r="D581" s="300" t="s">
        <v>1222</v>
      </c>
      <c r="E581" s="301"/>
      <c r="F581" s="301"/>
      <c r="G581" s="301"/>
      <c r="H581" s="302"/>
      <c r="I581" s="303">
        <f>SUM(I579:I580)</f>
        <v>1098759.75</v>
      </c>
      <c r="J581" s="119"/>
    </row>
    <row r="582" spans="3:10" ht="14.4" thickTop="1"/>
    <row r="583" spans="3:10" ht="14.4" thickBot="1">
      <c r="C583" s="126" t="s">
        <v>2383</v>
      </c>
      <c r="D583" s="47" t="s">
        <v>1299</v>
      </c>
      <c r="E583" s="47"/>
      <c r="F583" s="47"/>
      <c r="G583" s="47"/>
      <c r="H583" s="47"/>
      <c r="I583" s="47"/>
      <c r="J583" s="120">
        <f>ROUNDDOWN(I597,-2)</f>
        <v>1648000</v>
      </c>
    </row>
    <row r="584" spans="3:10" ht="28.2" thickTop="1">
      <c r="C584" s="51" t="s">
        <v>1195</v>
      </c>
      <c r="D584" s="52" t="s">
        <v>1196</v>
      </c>
      <c r="E584" s="52" t="s">
        <v>1773</v>
      </c>
      <c r="F584" s="52" t="s">
        <v>1197</v>
      </c>
      <c r="G584" s="52" t="s">
        <v>1198</v>
      </c>
      <c r="H584" s="52" t="s">
        <v>1199</v>
      </c>
      <c r="I584" s="53" t="s">
        <v>1200</v>
      </c>
    </row>
    <row r="585" spans="3:10" ht="21.6" customHeight="1">
      <c r="C585" s="290" t="s">
        <v>1201</v>
      </c>
      <c r="D585" s="182" t="s">
        <v>1202</v>
      </c>
      <c r="E585" s="182"/>
      <c r="F585" s="70"/>
      <c r="G585" s="70"/>
      <c r="H585" s="70"/>
      <c r="I585" s="71"/>
    </row>
    <row r="586" spans="3:10" ht="21.6" customHeight="1">
      <c r="C586" s="310" t="s">
        <v>1203</v>
      </c>
      <c r="D586" s="182" t="s">
        <v>5</v>
      </c>
      <c r="E586" s="182" t="s">
        <v>1774</v>
      </c>
      <c r="F586" s="176" t="s">
        <v>6</v>
      </c>
      <c r="G586" s="309">
        <v>6.6664000000000003</v>
      </c>
      <c r="H586" s="283">
        <f>VLOOKUP(D586,upahbahan,3,FALSE)</f>
        <v>100000</v>
      </c>
      <c r="I586" s="284">
        <f>G586*H586</f>
        <v>666640</v>
      </c>
    </row>
    <row r="587" spans="3:10" s="59" customFormat="1" ht="21.6" customHeight="1">
      <c r="C587" s="310" t="s">
        <v>1204</v>
      </c>
      <c r="D587" s="182" t="s">
        <v>19</v>
      </c>
      <c r="E587" s="182" t="s">
        <v>1777</v>
      </c>
      <c r="F587" s="176" t="s">
        <v>6</v>
      </c>
      <c r="G587" s="309">
        <v>0.66659999999999997</v>
      </c>
      <c r="H587" s="283">
        <f>VLOOKUP(D587,upahbahan,3,FALSE)</f>
        <v>160000</v>
      </c>
      <c r="I587" s="284">
        <f>G587*H587</f>
        <v>106656</v>
      </c>
      <c r="J587" s="119"/>
    </row>
    <row r="588" spans="3:10" ht="21.6" customHeight="1">
      <c r="C588" s="66" t="s">
        <v>1208</v>
      </c>
      <c r="D588" s="67"/>
      <c r="E588" s="67"/>
      <c r="F588" s="67"/>
      <c r="G588" s="68"/>
      <c r="H588" s="69"/>
      <c r="I588" s="284">
        <f>SUM(I586:I587)</f>
        <v>773296</v>
      </c>
    </row>
    <row r="589" spans="3:10" ht="21.6" customHeight="1">
      <c r="C589" s="290" t="s">
        <v>1209</v>
      </c>
      <c r="D589" s="182" t="s">
        <v>1210</v>
      </c>
      <c r="E589" s="182"/>
      <c r="F589" s="70"/>
      <c r="G589" s="70"/>
      <c r="H589" s="70"/>
      <c r="I589" s="71"/>
    </row>
    <row r="590" spans="3:10" ht="21.6" customHeight="1">
      <c r="C590" s="66" t="s">
        <v>1214</v>
      </c>
      <c r="D590" s="67"/>
      <c r="E590" s="67"/>
      <c r="F590" s="67"/>
      <c r="G590" s="67"/>
      <c r="H590" s="69"/>
      <c r="I590" s="313">
        <v>0</v>
      </c>
    </row>
    <row r="591" spans="3:10" ht="21.6" customHeight="1">
      <c r="C591" s="290" t="s">
        <v>1215</v>
      </c>
      <c r="D591" s="182" t="s">
        <v>1216</v>
      </c>
      <c r="E591" s="182"/>
      <c r="F591" s="70"/>
      <c r="G591" s="70"/>
      <c r="H591" s="70"/>
      <c r="I591" s="71"/>
    </row>
    <row r="592" spans="3:10" ht="21.6" customHeight="1">
      <c r="C592" s="306" t="s">
        <v>1203</v>
      </c>
      <c r="D592" s="182" t="s">
        <v>1144</v>
      </c>
      <c r="E592" s="182"/>
      <c r="F592" s="102" t="s">
        <v>1080</v>
      </c>
      <c r="G592" s="118">
        <v>1.6666000000000001</v>
      </c>
      <c r="H592" s="283">
        <f>VLOOKUP(D592,upahbahan,3,FALSE)</f>
        <v>95000</v>
      </c>
      <c r="I592" s="284">
        <f>G592*H592</f>
        <v>158327</v>
      </c>
    </row>
    <row r="593" spans="3:10" ht="21.6" customHeight="1">
      <c r="C593" s="306" t="s">
        <v>1204</v>
      </c>
      <c r="D593" s="182" t="s">
        <v>1117</v>
      </c>
      <c r="E593" s="182"/>
      <c r="F593" s="102" t="s">
        <v>1080</v>
      </c>
      <c r="G593" s="118">
        <v>1.6666000000000001</v>
      </c>
      <c r="H593" s="283">
        <f>VLOOKUP(D593,upahbahan,3,FALSE)</f>
        <v>340000</v>
      </c>
      <c r="I593" s="284">
        <f>G593*H593</f>
        <v>566644</v>
      </c>
    </row>
    <row r="594" spans="3:10" ht="21.6" customHeight="1">
      <c r="C594" s="66" t="s">
        <v>1217</v>
      </c>
      <c r="D594" s="67"/>
      <c r="E594" s="67"/>
      <c r="F594" s="67"/>
      <c r="G594" s="67"/>
      <c r="H594" s="69"/>
      <c r="I594" s="284">
        <f>SUM(I592:I593)</f>
        <v>724971</v>
      </c>
    </row>
    <row r="595" spans="3:10" s="297" customFormat="1" ht="21.6" customHeight="1">
      <c r="C595" s="293" t="s">
        <v>1218</v>
      </c>
      <c r="D595" s="294" t="s">
        <v>1219</v>
      </c>
      <c r="E595" s="295"/>
      <c r="F595" s="295"/>
      <c r="G595" s="295"/>
      <c r="H595" s="296"/>
      <c r="I595" s="284">
        <f>I594+I590+I588</f>
        <v>1498267</v>
      </c>
      <c r="J595" s="119"/>
    </row>
    <row r="596" spans="3:10" s="297" customFormat="1" ht="21.6" customHeight="1">
      <c r="C596" s="293" t="s">
        <v>1220</v>
      </c>
      <c r="D596" s="294" t="s">
        <v>1321</v>
      </c>
      <c r="E596" s="295"/>
      <c r="F596" s="295"/>
      <c r="G596" s="296"/>
      <c r="H596" s="298">
        <f>$N$7</f>
        <v>0.1</v>
      </c>
      <c r="I596" s="284">
        <f>I595*H596</f>
        <v>149826.70000000001</v>
      </c>
      <c r="J596" s="119"/>
    </row>
    <row r="597" spans="3:10" s="297" customFormat="1" ht="21.6" customHeight="1" thickBot="1">
      <c r="C597" s="299" t="s">
        <v>1221</v>
      </c>
      <c r="D597" s="300" t="s">
        <v>1222</v>
      </c>
      <c r="E597" s="301"/>
      <c r="F597" s="301"/>
      <c r="G597" s="301"/>
      <c r="H597" s="302"/>
      <c r="I597" s="303">
        <f>SUM(I595:I596)</f>
        <v>1648093.7</v>
      </c>
      <c r="J597" s="119"/>
    </row>
    <row r="598" spans="3:10" ht="14.4" thickTop="1"/>
    <row r="600" spans="3:10" ht="14.4" thickBot="1">
      <c r="C600" s="126" t="s">
        <v>2384</v>
      </c>
      <c r="D600" s="47" t="s">
        <v>2385</v>
      </c>
      <c r="E600" s="47"/>
      <c r="F600" s="47"/>
      <c r="G600" s="47"/>
      <c r="H600" s="47"/>
      <c r="I600" s="47"/>
      <c r="J600" s="120">
        <f>ROUNDDOWN(I614,-2)</f>
        <v>139400</v>
      </c>
    </row>
    <row r="601" spans="3:10" ht="28.2" thickTop="1">
      <c r="C601" s="51" t="s">
        <v>1195</v>
      </c>
      <c r="D601" s="52" t="s">
        <v>1196</v>
      </c>
      <c r="E601" s="52" t="s">
        <v>1773</v>
      </c>
      <c r="F601" s="52" t="s">
        <v>1197</v>
      </c>
      <c r="G601" s="52" t="s">
        <v>1198</v>
      </c>
      <c r="H601" s="52" t="s">
        <v>1199</v>
      </c>
      <c r="I601" s="53" t="s">
        <v>1200</v>
      </c>
    </row>
    <row r="602" spans="3:10" ht="21.6" customHeight="1">
      <c r="C602" s="290" t="s">
        <v>1201</v>
      </c>
      <c r="D602" s="182" t="s">
        <v>1202</v>
      </c>
      <c r="E602" s="182"/>
      <c r="F602" s="70"/>
      <c r="G602" s="70"/>
      <c r="H602" s="70"/>
      <c r="I602" s="71"/>
    </row>
    <row r="603" spans="3:10" ht="21.6" customHeight="1">
      <c r="C603" s="310" t="s">
        <v>1203</v>
      </c>
      <c r="D603" s="182" t="s">
        <v>5</v>
      </c>
      <c r="E603" s="182" t="s">
        <v>1774</v>
      </c>
      <c r="F603" s="176" t="s">
        <v>1863</v>
      </c>
      <c r="G603" s="309">
        <v>0.24940000000000001</v>
      </c>
      <c r="H603" s="283">
        <f>VLOOKUP(D603,upahbahan,3,FALSE)/8</f>
        <v>12500</v>
      </c>
      <c r="I603" s="284">
        <f>G603*H603</f>
        <v>3117.5</v>
      </c>
    </row>
    <row r="604" spans="3:10" ht="21.6" customHeight="1">
      <c r="C604" s="310">
        <v>2</v>
      </c>
      <c r="D604" s="182" t="s">
        <v>7</v>
      </c>
      <c r="E604" s="182" t="s">
        <v>1775</v>
      </c>
      <c r="F604" s="176" t="s">
        <v>1863</v>
      </c>
      <c r="G604" s="309">
        <v>0.24940000000000001</v>
      </c>
      <c r="H604" s="283">
        <f>VLOOKUP(D604,upahbahan,3,FALSE)/8</f>
        <v>16875</v>
      </c>
      <c r="I604" s="284">
        <f>G604*H604</f>
        <v>4208.625</v>
      </c>
    </row>
    <row r="605" spans="3:10" s="59" customFormat="1" ht="21.6" customHeight="1">
      <c r="C605" s="310">
        <v>3</v>
      </c>
      <c r="D605" s="182" t="s">
        <v>19</v>
      </c>
      <c r="E605" s="182" t="s">
        <v>1777</v>
      </c>
      <c r="F605" s="176" t="s">
        <v>1863</v>
      </c>
      <c r="G605" s="309">
        <v>2.4899999999999999E-2</v>
      </c>
      <c r="H605" s="283">
        <f>VLOOKUP(D605,upahbahan,3,FALSE)/8</f>
        <v>20000</v>
      </c>
      <c r="I605" s="284">
        <f>G605*H605</f>
        <v>497.99999999999994</v>
      </c>
      <c r="J605" s="119"/>
    </row>
    <row r="606" spans="3:10" ht="21.6" customHeight="1">
      <c r="C606" s="66" t="s">
        <v>1208</v>
      </c>
      <c r="D606" s="67"/>
      <c r="E606" s="67"/>
      <c r="F606" s="67"/>
      <c r="G606" s="68"/>
      <c r="H606" s="69"/>
      <c r="I606" s="284">
        <f>SUM(I603:I605)</f>
        <v>7824.125</v>
      </c>
    </row>
    <row r="607" spans="3:10" ht="21.6" customHeight="1">
      <c r="C607" s="290" t="s">
        <v>1209</v>
      </c>
      <c r="D607" s="182" t="s">
        <v>1210</v>
      </c>
      <c r="E607" s="182"/>
      <c r="F607" s="70"/>
      <c r="G607" s="70"/>
      <c r="H607" s="70"/>
      <c r="I607" s="71"/>
    </row>
    <row r="608" spans="3:10" ht="21.6" customHeight="1">
      <c r="C608" s="66" t="s">
        <v>1214</v>
      </c>
      <c r="D608" s="67"/>
      <c r="E608" s="67"/>
      <c r="F608" s="67"/>
      <c r="G608" s="67"/>
      <c r="H608" s="69"/>
      <c r="I608" s="313">
        <v>0</v>
      </c>
    </row>
    <row r="609" spans="3:10" ht="21.6" customHeight="1">
      <c r="C609" s="290" t="s">
        <v>1215</v>
      </c>
      <c r="D609" s="182" t="s">
        <v>1216</v>
      </c>
      <c r="E609" s="182"/>
      <c r="F609" s="70"/>
      <c r="G609" s="70"/>
      <c r="H609" s="70"/>
      <c r="I609" s="71"/>
    </row>
    <row r="610" spans="3:10" ht="21.6" customHeight="1">
      <c r="C610" s="306" t="s">
        <v>1203</v>
      </c>
      <c r="D610" s="182" t="s">
        <v>2386</v>
      </c>
      <c r="E610" s="182"/>
      <c r="F610" s="102" t="s">
        <v>1074</v>
      </c>
      <c r="G610" s="118">
        <v>0.24940000000000001</v>
      </c>
      <c r="H610" s="283">
        <f>VLOOKUP(D610,upahbahan,3,FALSE)</f>
        <v>476900</v>
      </c>
      <c r="I610" s="284">
        <f>G610*H610</f>
        <v>118938.86</v>
      </c>
    </row>
    <row r="611" spans="3:10" ht="21.6" customHeight="1">
      <c r="C611" s="66" t="s">
        <v>1217</v>
      </c>
      <c r="D611" s="67"/>
      <c r="E611" s="67"/>
      <c r="F611" s="67"/>
      <c r="G611" s="67"/>
      <c r="H611" s="69"/>
      <c r="I611" s="284">
        <f>SUM(I610:I610)</f>
        <v>118938.86</v>
      </c>
    </row>
    <row r="612" spans="3:10" s="297" customFormat="1" ht="21.6" customHeight="1">
      <c r="C612" s="293" t="s">
        <v>1218</v>
      </c>
      <c r="D612" s="294" t="s">
        <v>1219</v>
      </c>
      <c r="E612" s="295"/>
      <c r="F612" s="295"/>
      <c r="G612" s="295"/>
      <c r="H612" s="296"/>
      <c r="I612" s="284">
        <f>I611+I608+I606</f>
        <v>126762.985</v>
      </c>
      <c r="J612" s="119"/>
    </row>
    <row r="613" spans="3:10" s="297" customFormat="1" ht="21.6" customHeight="1">
      <c r="C613" s="293" t="s">
        <v>1220</v>
      </c>
      <c r="D613" s="294" t="s">
        <v>1321</v>
      </c>
      <c r="E613" s="295"/>
      <c r="F613" s="295"/>
      <c r="G613" s="296"/>
      <c r="H613" s="298">
        <f>$N$7</f>
        <v>0.1</v>
      </c>
      <c r="I613" s="284">
        <f>I612*H613</f>
        <v>12676.298500000001</v>
      </c>
      <c r="J613" s="119"/>
    </row>
    <row r="614" spans="3:10" s="297" customFormat="1" ht="21.6" customHeight="1" thickBot="1">
      <c r="C614" s="299" t="s">
        <v>1221</v>
      </c>
      <c r="D614" s="300" t="s">
        <v>1222</v>
      </c>
      <c r="E614" s="301"/>
      <c r="F614" s="301"/>
      <c r="G614" s="301"/>
      <c r="H614" s="302"/>
      <c r="I614" s="303">
        <f>SUM(I612:I613)</f>
        <v>139439.28349999999</v>
      </c>
      <c r="J614" s="119"/>
    </row>
    <row r="615" spans="3:10" ht="14.4" thickTop="1"/>
    <row r="616" spans="3:10" ht="14.4" thickBot="1">
      <c r="C616" s="126" t="s">
        <v>2387</v>
      </c>
      <c r="D616" s="47" t="s">
        <v>2388</v>
      </c>
      <c r="E616" s="47"/>
      <c r="F616" s="47"/>
      <c r="G616" s="47"/>
      <c r="H616" s="47"/>
      <c r="I616" s="47"/>
      <c r="J616" s="120">
        <f>ROUNDDOWN(I630,-2)</f>
        <v>153300</v>
      </c>
    </row>
    <row r="617" spans="3:10" ht="28.2" thickTop="1">
      <c r="C617" s="51" t="s">
        <v>1195</v>
      </c>
      <c r="D617" s="52" t="s">
        <v>1196</v>
      </c>
      <c r="E617" s="52" t="s">
        <v>1773</v>
      </c>
      <c r="F617" s="52" t="s">
        <v>1197</v>
      </c>
      <c r="G617" s="52" t="s">
        <v>1198</v>
      </c>
      <c r="H617" s="52" t="s">
        <v>1199</v>
      </c>
      <c r="I617" s="53" t="s">
        <v>1200</v>
      </c>
    </row>
    <row r="618" spans="3:10" ht="21.6" customHeight="1">
      <c r="C618" s="290" t="s">
        <v>1201</v>
      </c>
      <c r="D618" s="182" t="s">
        <v>1202</v>
      </c>
      <c r="E618" s="182"/>
      <c r="F618" s="70"/>
      <c r="G618" s="70"/>
      <c r="H618" s="70"/>
      <c r="I618" s="71"/>
    </row>
    <row r="619" spans="3:10" ht="21.6" customHeight="1">
      <c r="C619" s="310" t="s">
        <v>1203</v>
      </c>
      <c r="D619" s="182" t="s">
        <v>5</v>
      </c>
      <c r="E619" s="182" t="s">
        <v>1774</v>
      </c>
      <c r="F619" s="176" t="s">
        <v>1863</v>
      </c>
      <c r="G619" s="309">
        <v>0.2742</v>
      </c>
      <c r="H619" s="283">
        <f>VLOOKUP(D619,upahbahan,3,FALSE)/8</f>
        <v>12500</v>
      </c>
      <c r="I619" s="284">
        <f>G619*H619</f>
        <v>3427.5</v>
      </c>
    </row>
    <row r="620" spans="3:10" ht="21.6" customHeight="1">
      <c r="C620" s="310">
        <v>2</v>
      </c>
      <c r="D620" s="182" t="s">
        <v>7</v>
      </c>
      <c r="E620" s="182" t="s">
        <v>1775</v>
      </c>
      <c r="F620" s="176" t="s">
        <v>1863</v>
      </c>
      <c r="G620" s="309">
        <v>0.2742</v>
      </c>
      <c r="H620" s="283">
        <f>VLOOKUP(D620,upahbahan,3,FALSE)/8</f>
        <v>16875</v>
      </c>
      <c r="I620" s="284">
        <f>G620*H620</f>
        <v>4627.125</v>
      </c>
    </row>
    <row r="621" spans="3:10" s="59" customFormat="1" ht="21.6" customHeight="1">
      <c r="C621" s="310">
        <v>3</v>
      </c>
      <c r="D621" s="182" t="s">
        <v>19</v>
      </c>
      <c r="E621" s="182" t="s">
        <v>1777</v>
      </c>
      <c r="F621" s="176" t="s">
        <v>1863</v>
      </c>
      <c r="G621" s="309">
        <v>2.7400000000000001E-2</v>
      </c>
      <c r="H621" s="283">
        <f>VLOOKUP(D621,upahbahan,3,FALSE)/8</f>
        <v>20000</v>
      </c>
      <c r="I621" s="284">
        <f>G621*H621</f>
        <v>548</v>
      </c>
      <c r="J621" s="119"/>
    </row>
    <row r="622" spans="3:10" ht="21.6" customHeight="1">
      <c r="C622" s="66" t="s">
        <v>1208</v>
      </c>
      <c r="D622" s="67"/>
      <c r="E622" s="67"/>
      <c r="F622" s="67"/>
      <c r="G622" s="68"/>
      <c r="H622" s="69"/>
      <c r="I622" s="284">
        <f>SUM(I619:I621)</f>
        <v>8602.625</v>
      </c>
    </row>
    <row r="623" spans="3:10" ht="21.6" customHeight="1">
      <c r="C623" s="290" t="s">
        <v>1209</v>
      </c>
      <c r="D623" s="182" t="s">
        <v>1210</v>
      </c>
      <c r="E623" s="182"/>
      <c r="F623" s="70"/>
      <c r="G623" s="70"/>
      <c r="H623" s="70"/>
      <c r="I623" s="71"/>
    </row>
    <row r="624" spans="3:10" ht="21.6" customHeight="1">
      <c r="C624" s="66" t="s">
        <v>1214</v>
      </c>
      <c r="D624" s="67"/>
      <c r="E624" s="67"/>
      <c r="F624" s="67"/>
      <c r="G624" s="67"/>
      <c r="H624" s="69"/>
      <c r="I624" s="313">
        <v>0</v>
      </c>
    </row>
    <row r="625" spans="3:10" ht="21.6" customHeight="1">
      <c r="C625" s="290" t="s">
        <v>1215</v>
      </c>
      <c r="D625" s="182" t="s">
        <v>1216</v>
      </c>
      <c r="E625" s="182"/>
      <c r="F625" s="70"/>
      <c r="G625" s="70"/>
      <c r="H625" s="70"/>
      <c r="I625" s="71"/>
    </row>
    <row r="626" spans="3:10" ht="21.6" customHeight="1">
      <c r="C626" s="306" t="s">
        <v>1203</v>
      </c>
      <c r="D626" s="182" t="s">
        <v>2386</v>
      </c>
      <c r="E626" s="182"/>
      <c r="F626" s="102" t="s">
        <v>1074</v>
      </c>
      <c r="G626" s="118">
        <v>0.2742</v>
      </c>
      <c r="H626" s="283">
        <f>VLOOKUP(D626,upahbahan,3,FALSE)</f>
        <v>476900</v>
      </c>
      <c r="I626" s="284">
        <f>G626*H626</f>
        <v>130765.98</v>
      </c>
    </row>
    <row r="627" spans="3:10" ht="21.6" customHeight="1">
      <c r="C627" s="66" t="s">
        <v>1217</v>
      </c>
      <c r="D627" s="67"/>
      <c r="E627" s="67"/>
      <c r="F627" s="67"/>
      <c r="G627" s="67"/>
      <c r="H627" s="69"/>
      <c r="I627" s="284">
        <f>SUM(I626:I626)</f>
        <v>130765.98</v>
      </c>
    </row>
    <row r="628" spans="3:10" s="297" customFormat="1" ht="21.6" customHeight="1">
      <c r="C628" s="293" t="s">
        <v>1218</v>
      </c>
      <c r="D628" s="294" t="s">
        <v>1219</v>
      </c>
      <c r="E628" s="295"/>
      <c r="F628" s="295"/>
      <c r="G628" s="295"/>
      <c r="H628" s="296"/>
      <c r="I628" s="284">
        <f>I627+I624+I622</f>
        <v>139368.60499999998</v>
      </c>
      <c r="J628" s="119"/>
    </row>
    <row r="629" spans="3:10" s="297" customFormat="1" ht="21.6" customHeight="1">
      <c r="C629" s="293" t="s">
        <v>1220</v>
      </c>
      <c r="D629" s="294" t="s">
        <v>1321</v>
      </c>
      <c r="E629" s="295"/>
      <c r="F629" s="295"/>
      <c r="G629" s="296"/>
      <c r="H629" s="298">
        <f>$N$7</f>
        <v>0.1</v>
      </c>
      <c r="I629" s="284">
        <f>I628*H629</f>
        <v>13936.860499999999</v>
      </c>
      <c r="J629" s="119"/>
    </row>
    <row r="630" spans="3:10" s="297" customFormat="1" ht="21.6" customHeight="1" thickBot="1">
      <c r="C630" s="299" t="s">
        <v>1221</v>
      </c>
      <c r="D630" s="300" t="s">
        <v>1222</v>
      </c>
      <c r="E630" s="301"/>
      <c r="F630" s="301"/>
      <c r="G630" s="301"/>
      <c r="H630" s="302"/>
      <c r="I630" s="303">
        <f>SUM(I628:I629)</f>
        <v>153305.46549999999</v>
      </c>
      <c r="J630" s="119"/>
    </row>
    <row r="631" spans="3:10" ht="14.4" thickTop="1"/>
    <row r="632" spans="3:10" ht="14.4" thickBot="1">
      <c r="C632" s="126" t="s">
        <v>2389</v>
      </c>
      <c r="D632" s="47" t="s">
        <v>2390</v>
      </c>
      <c r="E632" s="47"/>
      <c r="F632" s="47"/>
      <c r="G632" s="47"/>
      <c r="H632" s="47"/>
      <c r="I632" s="47"/>
      <c r="J632" s="120">
        <f>ROUNDDOWN(I646,-2)</f>
        <v>167400</v>
      </c>
    </row>
    <row r="633" spans="3:10" ht="28.2" thickTop="1">
      <c r="C633" s="51" t="s">
        <v>1195</v>
      </c>
      <c r="D633" s="52" t="s">
        <v>1196</v>
      </c>
      <c r="E633" s="52" t="s">
        <v>1773</v>
      </c>
      <c r="F633" s="52" t="s">
        <v>1197</v>
      </c>
      <c r="G633" s="52" t="s">
        <v>1198</v>
      </c>
      <c r="H633" s="52" t="s">
        <v>1199</v>
      </c>
      <c r="I633" s="53" t="s">
        <v>1200</v>
      </c>
    </row>
    <row r="634" spans="3:10" ht="21.6" customHeight="1">
      <c r="C634" s="290" t="s">
        <v>1201</v>
      </c>
      <c r="D634" s="182" t="s">
        <v>1202</v>
      </c>
      <c r="E634" s="182"/>
      <c r="F634" s="70"/>
      <c r="G634" s="70"/>
      <c r="H634" s="70"/>
      <c r="I634" s="71"/>
    </row>
    <row r="635" spans="3:10" ht="21.6" customHeight="1">
      <c r="C635" s="310" t="s">
        <v>1203</v>
      </c>
      <c r="D635" s="182" t="s">
        <v>5</v>
      </c>
      <c r="E635" s="182" t="s">
        <v>1774</v>
      </c>
      <c r="F635" s="176" t="s">
        <v>1863</v>
      </c>
      <c r="G635" s="309">
        <v>0.29949999999999999</v>
      </c>
      <c r="H635" s="283">
        <f>VLOOKUP(D635,upahbahan,3,FALSE)/8</f>
        <v>12500</v>
      </c>
      <c r="I635" s="284">
        <f>G635*H635</f>
        <v>3743.75</v>
      </c>
    </row>
    <row r="636" spans="3:10" ht="21.6" customHeight="1">
      <c r="C636" s="310">
        <v>2</v>
      </c>
      <c r="D636" s="182" t="s">
        <v>7</v>
      </c>
      <c r="E636" s="182" t="s">
        <v>1775</v>
      </c>
      <c r="F636" s="176" t="s">
        <v>1863</v>
      </c>
      <c r="G636" s="309">
        <v>0.29949999999999999</v>
      </c>
      <c r="H636" s="283">
        <f>VLOOKUP(D636,upahbahan,3,FALSE)/8</f>
        <v>16875</v>
      </c>
      <c r="I636" s="284">
        <f>G636*H636</f>
        <v>5054.0625</v>
      </c>
    </row>
    <row r="637" spans="3:10" s="59" customFormat="1" ht="21.6" customHeight="1">
      <c r="C637" s="310">
        <v>3</v>
      </c>
      <c r="D637" s="182" t="s">
        <v>19</v>
      </c>
      <c r="E637" s="182" t="s">
        <v>1777</v>
      </c>
      <c r="F637" s="176" t="s">
        <v>1863</v>
      </c>
      <c r="G637" s="309">
        <v>0.03</v>
      </c>
      <c r="H637" s="283">
        <f>VLOOKUP(D637,upahbahan,3,FALSE)/8</f>
        <v>20000</v>
      </c>
      <c r="I637" s="284">
        <f>G637*H637</f>
        <v>600</v>
      </c>
      <c r="J637" s="119"/>
    </row>
    <row r="638" spans="3:10" ht="21.6" customHeight="1">
      <c r="C638" s="66" t="s">
        <v>1208</v>
      </c>
      <c r="D638" s="67"/>
      <c r="E638" s="67"/>
      <c r="F638" s="67"/>
      <c r="G638" s="68"/>
      <c r="H638" s="69"/>
      <c r="I638" s="284">
        <f>SUM(I635:I637)</f>
        <v>9397.8125</v>
      </c>
    </row>
    <row r="639" spans="3:10" ht="21.6" customHeight="1">
      <c r="C639" s="290" t="s">
        <v>1209</v>
      </c>
      <c r="D639" s="182" t="s">
        <v>1210</v>
      </c>
      <c r="E639" s="182"/>
      <c r="F639" s="70"/>
      <c r="G639" s="70"/>
      <c r="H639" s="70"/>
      <c r="I639" s="71"/>
    </row>
    <row r="640" spans="3:10" ht="21.6" customHeight="1">
      <c r="C640" s="66" t="s">
        <v>1214</v>
      </c>
      <c r="D640" s="67"/>
      <c r="E640" s="67"/>
      <c r="F640" s="67"/>
      <c r="G640" s="67"/>
      <c r="H640" s="69"/>
      <c r="I640" s="313">
        <v>0</v>
      </c>
    </row>
    <row r="641" spans="3:10" ht="21.6" customHeight="1">
      <c r="C641" s="290" t="s">
        <v>1215</v>
      </c>
      <c r="D641" s="182" t="s">
        <v>1216</v>
      </c>
      <c r="E641" s="182"/>
      <c r="F641" s="70"/>
      <c r="G641" s="70"/>
      <c r="H641" s="70"/>
      <c r="I641" s="71"/>
    </row>
    <row r="642" spans="3:10" ht="21.6" customHeight="1">
      <c r="C642" s="306" t="s">
        <v>1203</v>
      </c>
      <c r="D642" s="182" t="s">
        <v>2386</v>
      </c>
      <c r="E642" s="182"/>
      <c r="F642" s="102" t="s">
        <v>1074</v>
      </c>
      <c r="G642" s="118">
        <v>0.29949999999999999</v>
      </c>
      <c r="H642" s="283">
        <f>VLOOKUP(D642,upahbahan,3,FALSE)</f>
        <v>476900</v>
      </c>
      <c r="I642" s="284">
        <f>G642*H642</f>
        <v>142831.54999999999</v>
      </c>
    </row>
    <row r="643" spans="3:10" ht="21.6" customHeight="1">
      <c r="C643" s="66" t="s">
        <v>1217</v>
      </c>
      <c r="D643" s="67"/>
      <c r="E643" s="67"/>
      <c r="F643" s="67"/>
      <c r="G643" s="67"/>
      <c r="H643" s="69"/>
      <c r="I643" s="284">
        <f>SUM(I642:I642)</f>
        <v>142831.54999999999</v>
      </c>
    </row>
    <row r="644" spans="3:10" s="297" customFormat="1" ht="21.6" customHeight="1">
      <c r="C644" s="293" t="s">
        <v>1218</v>
      </c>
      <c r="D644" s="294" t="s">
        <v>1219</v>
      </c>
      <c r="E644" s="295"/>
      <c r="F644" s="295"/>
      <c r="G644" s="295"/>
      <c r="H644" s="296"/>
      <c r="I644" s="284">
        <f>I643+I640+I638</f>
        <v>152229.36249999999</v>
      </c>
      <c r="J644" s="119"/>
    </row>
    <row r="645" spans="3:10" s="297" customFormat="1" ht="21.6" customHeight="1">
      <c r="C645" s="293" t="s">
        <v>1220</v>
      </c>
      <c r="D645" s="294" t="s">
        <v>1321</v>
      </c>
      <c r="E645" s="295"/>
      <c r="F645" s="295"/>
      <c r="G645" s="296"/>
      <c r="H645" s="298">
        <f>$N$7</f>
        <v>0.1</v>
      </c>
      <c r="I645" s="284">
        <f>I644*H645</f>
        <v>15222.936249999999</v>
      </c>
      <c r="J645" s="119"/>
    </row>
    <row r="646" spans="3:10" s="297" customFormat="1" ht="21.6" customHeight="1" thickBot="1">
      <c r="C646" s="299" t="s">
        <v>1221</v>
      </c>
      <c r="D646" s="300" t="s">
        <v>1222</v>
      </c>
      <c r="E646" s="301"/>
      <c r="F646" s="301"/>
      <c r="G646" s="301"/>
      <c r="H646" s="302"/>
      <c r="I646" s="303">
        <f>SUM(I644:I645)</f>
        <v>167452.29874999999</v>
      </c>
      <c r="J646" s="119"/>
    </row>
    <row r="647" spans="3:10" ht="14.4" thickTop="1"/>
    <row r="648" spans="3:10" ht="14.4" thickBot="1">
      <c r="C648" s="126" t="s">
        <v>2391</v>
      </c>
      <c r="D648" s="47" t="s">
        <v>2392</v>
      </c>
      <c r="E648" s="47"/>
      <c r="F648" s="47"/>
      <c r="G648" s="47"/>
      <c r="H648" s="47"/>
      <c r="I648" s="47"/>
      <c r="J648" s="120">
        <f>ROUNDDOWN(I662,-2)</f>
        <v>208200</v>
      </c>
    </row>
    <row r="649" spans="3:10" ht="28.2" thickTop="1">
      <c r="C649" s="51" t="s">
        <v>1195</v>
      </c>
      <c r="D649" s="52" t="s">
        <v>1196</v>
      </c>
      <c r="E649" s="52" t="s">
        <v>1773</v>
      </c>
      <c r="F649" s="52" t="s">
        <v>1197</v>
      </c>
      <c r="G649" s="52" t="s">
        <v>1198</v>
      </c>
      <c r="H649" s="52" t="s">
        <v>1199</v>
      </c>
      <c r="I649" s="53" t="s">
        <v>1200</v>
      </c>
    </row>
    <row r="650" spans="3:10" ht="21.6" customHeight="1">
      <c r="C650" s="290" t="s">
        <v>1201</v>
      </c>
      <c r="D650" s="182" t="s">
        <v>1202</v>
      </c>
      <c r="E650" s="182"/>
      <c r="F650" s="70"/>
      <c r="G650" s="70"/>
      <c r="H650" s="70"/>
      <c r="I650" s="71"/>
    </row>
    <row r="651" spans="3:10" ht="21.6" customHeight="1">
      <c r="C651" s="310" t="s">
        <v>1203</v>
      </c>
      <c r="D651" s="182" t="s">
        <v>5</v>
      </c>
      <c r="E651" s="182" t="s">
        <v>1774</v>
      </c>
      <c r="F651" s="176" t="s">
        <v>1863</v>
      </c>
      <c r="G651" s="309">
        <v>0.3725</v>
      </c>
      <c r="H651" s="283">
        <f>VLOOKUP(D651,upahbahan,3,FALSE)/8</f>
        <v>12500</v>
      </c>
      <c r="I651" s="284">
        <f>G651*H651</f>
        <v>4656.25</v>
      </c>
    </row>
    <row r="652" spans="3:10" ht="21.6" customHeight="1">
      <c r="C652" s="310">
        <v>2</v>
      </c>
      <c r="D652" s="182" t="s">
        <v>7</v>
      </c>
      <c r="E652" s="182" t="s">
        <v>1775</v>
      </c>
      <c r="F652" s="176" t="s">
        <v>1863</v>
      </c>
      <c r="G652" s="309">
        <v>0.3725</v>
      </c>
      <c r="H652" s="283">
        <f>VLOOKUP(D652,upahbahan,3,FALSE)/8</f>
        <v>16875</v>
      </c>
      <c r="I652" s="284">
        <f>G652*H652</f>
        <v>6285.9375</v>
      </c>
    </row>
    <row r="653" spans="3:10" s="59" customFormat="1" ht="21.6" customHeight="1">
      <c r="C653" s="310">
        <v>3</v>
      </c>
      <c r="D653" s="182" t="s">
        <v>19</v>
      </c>
      <c r="E653" s="182" t="s">
        <v>1777</v>
      </c>
      <c r="F653" s="176" t="s">
        <v>1863</v>
      </c>
      <c r="G653" s="309">
        <v>3.7199999999999997E-2</v>
      </c>
      <c r="H653" s="283">
        <f>VLOOKUP(D653,upahbahan,3,FALSE)/8</f>
        <v>20000</v>
      </c>
      <c r="I653" s="284">
        <f>G653*H653</f>
        <v>743.99999999999989</v>
      </c>
      <c r="J653" s="119"/>
    </row>
    <row r="654" spans="3:10" ht="21.6" customHeight="1">
      <c r="C654" s="66" t="s">
        <v>1208</v>
      </c>
      <c r="D654" s="67"/>
      <c r="E654" s="67"/>
      <c r="F654" s="67"/>
      <c r="G654" s="68"/>
      <c r="H654" s="69"/>
      <c r="I654" s="284">
        <f>SUM(I651:I653)</f>
        <v>11686.1875</v>
      </c>
    </row>
    <row r="655" spans="3:10" ht="21.6" customHeight="1">
      <c r="C655" s="290" t="s">
        <v>1209</v>
      </c>
      <c r="D655" s="182" t="s">
        <v>1210</v>
      </c>
      <c r="E655" s="182"/>
      <c r="F655" s="70"/>
      <c r="G655" s="70"/>
      <c r="H655" s="70"/>
      <c r="I655" s="71"/>
    </row>
    <row r="656" spans="3:10" ht="21.6" customHeight="1">
      <c r="C656" s="66" t="s">
        <v>1214</v>
      </c>
      <c r="D656" s="67"/>
      <c r="E656" s="67"/>
      <c r="F656" s="67"/>
      <c r="G656" s="67"/>
      <c r="H656" s="69"/>
      <c r="I656" s="313">
        <v>0</v>
      </c>
    </row>
    <row r="657" spans="3:10" ht="21.6" customHeight="1">
      <c r="C657" s="290" t="s">
        <v>1215</v>
      </c>
      <c r="D657" s="182" t="s">
        <v>1216</v>
      </c>
      <c r="E657" s="182"/>
      <c r="F657" s="70"/>
      <c r="G657" s="70"/>
      <c r="H657" s="70"/>
      <c r="I657" s="71"/>
    </row>
    <row r="658" spans="3:10" ht="21.6" customHeight="1">
      <c r="C658" s="306" t="s">
        <v>1203</v>
      </c>
      <c r="D658" s="182" t="s">
        <v>2386</v>
      </c>
      <c r="E658" s="182"/>
      <c r="F658" s="102" t="s">
        <v>1074</v>
      </c>
      <c r="G658" s="118">
        <v>0.3725</v>
      </c>
      <c r="H658" s="283">
        <f>VLOOKUP(D658,upahbahan,3,FALSE)</f>
        <v>476900</v>
      </c>
      <c r="I658" s="284">
        <f>G658*H658</f>
        <v>177645.25</v>
      </c>
    </row>
    <row r="659" spans="3:10" ht="21.6" customHeight="1">
      <c r="C659" s="66" t="s">
        <v>1217</v>
      </c>
      <c r="D659" s="67"/>
      <c r="E659" s="67"/>
      <c r="F659" s="67"/>
      <c r="G659" s="67"/>
      <c r="H659" s="69"/>
      <c r="I659" s="284">
        <f>SUM(I658:I658)</f>
        <v>177645.25</v>
      </c>
    </row>
    <row r="660" spans="3:10" s="297" customFormat="1" ht="21.6" customHeight="1">
      <c r="C660" s="293" t="s">
        <v>1218</v>
      </c>
      <c r="D660" s="294" t="s">
        <v>1219</v>
      </c>
      <c r="E660" s="295"/>
      <c r="F660" s="295"/>
      <c r="G660" s="295"/>
      <c r="H660" s="296"/>
      <c r="I660" s="284">
        <f>I659+I656+I654</f>
        <v>189331.4375</v>
      </c>
      <c r="J660" s="119"/>
    </row>
    <row r="661" spans="3:10" s="297" customFormat="1" ht="21.6" customHeight="1">
      <c r="C661" s="293" t="s">
        <v>1220</v>
      </c>
      <c r="D661" s="294" t="s">
        <v>1321</v>
      </c>
      <c r="E661" s="295"/>
      <c r="F661" s="295"/>
      <c r="G661" s="296"/>
      <c r="H661" s="298">
        <f>$N$7</f>
        <v>0.1</v>
      </c>
      <c r="I661" s="284">
        <f>I660*H661</f>
        <v>18933.143749999999</v>
      </c>
      <c r="J661" s="119"/>
    </row>
    <row r="662" spans="3:10" s="297" customFormat="1" ht="21.6" customHeight="1" thickBot="1">
      <c r="C662" s="299" t="s">
        <v>1221</v>
      </c>
      <c r="D662" s="300" t="s">
        <v>1222</v>
      </c>
      <c r="E662" s="301"/>
      <c r="F662" s="301"/>
      <c r="G662" s="301"/>
      <c r="H662" s="302"/>
      <c r="I662" s="303">
        <f>SUM(I660:I661)</f>
        <v>208264.58124999999</v>
      </c>
      <c r="J662" s="119"/>
    </row>
    <row r="663" spans="3:10" ht="14.4" thickTop="1"/>
    <row r="665" spans="3:10">
      <c r="C665" s="126" t="s">
        <v>2393</v>
      </c>
      <c r="D665" s="119" t="s">
        <v>2394</v>
      </c>
    </row>
    <row r="666" spans="3:10" ht="15" thickBot="1">
      <c r="C666" s="126" t="s">
        <v>2395</v>
      </c>
      <c r="D666" s="119" t="s">
        <v>5237</v>
      </c>
      <c r="J666" s="120">
        <f>ROUNDDOWN(I683,-2)</f>
        <v>89300</v>
      </c>
    </row>
    <row r="667" spans="3:10" ht="28.2" thickTop="1">
      <c r="C667" s="51" t="s">
        <v>1195</v>
      </c>
      <c r="D667" s="52" t="s">
        <v>1196</v>
      </c>
      <c r="E667" s="52" t="s">
        <v>1773</v>
      </c>
      <c r="F667" s="52" t="s">
        <v>1197</v>
      </c>
      <c r="G667" s="52" t="s">
        <v>1198</v>
      </c>
      <c r="H667" s="52" t="s">
        <v>1199</v>
      </c>
      <c r="I667" s="53" t="s">
        <v>1200</v>
      </c>
    </row>
    <row r="668" spans="3:10" ht="21.6" customHeight="1">
      <c r="C668" s="290" t="s">
        <v>1201</v>
      </c>
      <c r="D668" s="182" t="s">
        <v>1202</v>
      </c>
      <c r="E668" s="182"/>
      <c r="F668" s="70"/>
      <c r="G668" s="70"/>
      <c r="H668" s="70"/>
      <c r="I668" s="71"/>
    </row>
    <row r="669" spans="3:10" ht="21.6" customHeight="1">
      <c r="C669" s="310" t="s">
        <v>1203</v>
      </c>
      <c r="D669" s="182" t="s">
        <v>5</v>
      </c>
      <c r="E669" s="182" t="s">
        <v>1774</v>
      </c>
      <c r="F669" s="176" t="s">
        <v>1863</v>
      </c>
      <c r="G669" s="309">
        <v>9.1200000000000003E-2</v>
      </c>
      <c r="H669" s="283">
        <f>VLOOKUP(D669,upahbahan,3,FALSE)/8</f>
        <v>12500</v>
      </c>
      <c r="I669" s="284">
        <f>G669*H669</f>
        <v>1140</v>
      </c>
    </row>
    <row r="670" spans="3:10" ht="21.6" customHeight="1">
      <c r="C670" s="310">
        <v>2</v>
      </c>
      <c r="D670" s="182" t="s">
        <v>7</v>
      </c>
      <c r="E670" s="182" t="s">
        <v>1775</v>
      </c>
      <c r="F670" s="176" t="s">
        <v>1863</v>
      </c>
      <c r="G670" s="309">
        <v>4.5600000000000002E-2</v>
      </c>
      <c r="H670" s="283">
        <f>VLOOKUP(D670,upahbahan,3,FALSE)/8</f>
        <v>16875</v>
      </c>
      <c r="I670" s="284">
        <f>G670*H670</f>
        <v>769.5</v>
      </c>
    </row>
    <row r="671" spans="3:10" s="59" customFormat="1" ht="21.6" customHeight="1">
      <c r="C671" s="310">
        <v>3</v>
      </c>
      <c r="D671" s="182" t="s">
        <v>19</v>
      </c>
      <c r="E671" s="182" t="s">
        <v>1777</v>
      </c>
      <c r="F671" s="176" t="s">
        <v>1863</v>
      </c>
      <c r="G671" s="309">
        <v>9.1000000000000004E-3</v>
      </c>
      <c r="H671" s="283">
        <f>VLOOKUP(D671,upahbahan,3,FALSE)/8</f>
        <v>20000</v>
      </c>
      <c r="I671" s="284">
        <f>G671*H671</f>
        <v>182</v>
      </c>
      <c r="J671" s="119"/>
    </row>
    <row r="672" spans="3:10" ht="21.6" customHeight="1">
      <c r="C672" s="66" t="s">
        <v>1208</v>
      </c>
      <c r="D672" s="67"/>
      <c r="E672" s="67"/>
      <c r="F672" s="67"/>
      <c r="G672" s="68"/>
      <c r="H672" s="69"/>
      <c r="I672" s="284">
        <f>SUM(I669:I671)</f>
        <v>2091.5</v>
      </c>
    </row>
    <row r="673" spans="3:10" ht="21.6" customHeight="1">
      <c r="C673" s="290" t="s">
        <v>1209</v>
      </c>
      <c r="D673" s="182" t="s">
        <v>1210</v>
      </c>
      <c r="E673" s="182"/>
      <c r="F673" s="70"/>
      <c r="G673" s="70"/>
      <c r="H673" s="70"/>
      <c r="I673" s="71"/>
    </row>
    <row r="674" spans="3:10" ht="21.6" customHeight="1">
      <c r="C674" s="184">
        <v>1</v>
      </c>
      <c r="D674" s="109" t="s">
        <v>5235</v>
      </c>
      <c r="E674" s="109"/>
      <c r="F674" s="108" t="s">
        <v>2167</v>
      </c>
      <c r="G674" s="109">
        <v>0.16669999999999999</v>
      </c>
      <c r="H674" s="185">
        <f>VLOOKUP(D674,upahbahan,3,FALSE)</f>
        <v>200000</v>
      </c>
      <c r="I674" s="284">
        <f>G674*H674</f>
        <v>33340</v>
      </c>
    </row>
    <row r="675" spans="3:10" ht="21.6" customHeight="1">
      <c r="C675" s="184">
        <v>2</v>
      </c>
      <c r="D675" s="109" t="s">
        <v>5236</v>
      </c>
      <c r="E675" s="109"/>
      <c r="F675" s="108" t="s">
        <v>2167</v>
      </c>
      <c r="G675" s="109">
        <v>0.16669999999999999</v>
      </c>
      <c r="H675" s="185">
        <f>VLOOKUP(D675,upahbahan,3,FALSE)</f>
        <v>124500</v>
      </c>
      <c r="I675" s="284">
        <f>G675*H675</f>
        <v>20754.149999999998</v>
      </c>
    </row>
    <row r="676" spans="3:10" ht="21.6" customHeight="1">
      <c r="C676" s="66" t="s">
        <v>1214</v>
      </c>
      <c r="D676" s="67"/>
      <c r="E676" s="67"/>
      <c r="F676" s="111"/>
      <c r="G676" s="67"/>
      <c r="H676" s="69"/>
      <c r="I676" s="313">
        <f>SUM(I674:I675)</f>
        <v>54094.149999999994</v>
      </c>
    </row>
    <row r="677" spans="3:10" ht="21.6" customHeight="1">
      <c r="C677" s="290" t="s">
        <v>1215</v>
      </c>
      <c r="D677" s="182" t="s">
        <v>1216</v>
      </c>
      <c r="E677" s="182"/>
      <c r="F677" s="124"/>
      <c r="G677" s="70"/>
      <c r="H677" s="70"/>
      <c r="I677" s="71"/>
    </row>
    <row r="678" spans="3:10" ht="21.6" customHeight="1">
      <c r="C678" s="316">
        <v>1</v>
      </c>
      <c r="D678" s="109" t="s">
        <v>6498</v>
      </c>
      <c r="E678" s="109"/>
      <c r="F678" s="108" t="s">
        <v>2396</v>
      </c>
      <c r="G678" s="116">
        <v>4.5600000000000002E-2</v>
      </c>
      <c r="H678" s="185">
        <f>VLOOKUP(D678,upahbahan,3,FALSE)</f>
        <v>500000</v>
      </c>
      <c r="I678" s="317">
        <f>G678*H678</f>
        <v>22800</v>
      </c>
    </row>
    <row r="679" spans="3:10" ht="21.6" customHeight="1">
      <c r="C679" s="318">
        <v>2</v>
      </c>
      <c r="D679" s="109" t="s">
        <v>6504</v>
      </c>
      <c r="E679" s="109"/>
      <c r="F679" s="115" t="s">
        <v>1074</v>
      </c>
      <c r="G679" s="116">
        <v>4.5600000000000002E-2</v>
      </c>
      <c r="H679" s="185">
        <f>VLOOKUP(D679,upahbahan,3,FALSE)</f>
        <v>50000</v>
      </c>
      <c r="I679" s="317">
        <f>G679*H679</f>
        <v>2280</v>
      </c>
    </row>
    <row r="680" spans="3:10" ht="21.6" customHeight="1">
      <c r="C680" s="66" t="s">
        <v>1217</v>
      </c>
      <c r="D680" s="67"/>
      <c r="E680" s="67"/>
      <c r="F680" s="67"/>
      <c r="G680" s="67"/>
      <c r="H680" s="69"/>
      <c r="I680" s="284">
        <f>SUM(I678:I679)</f>
        <v>25080</v>
      </c>
    </row>
    <row r="681" spans="3:10" s="297" customFormat="1" ht="21.6" customHeight="1">
      <c r="C681" s="293" t="s">
        <v>1218</v>
      </c>
      <c r="D681" s="294" t="s">
        <v>1219</v>
      </c>
      <c r="E681" s="295"/>
      <c r="F681" s="295"/>
      <c r="G681" s="295"/>
      <c r="H681" s="296"/>
      <c r="I681" s="284">
        <f>I680+I676+I672</f>
        <v>81265.649999999994</v>
      </c>
      <c r="J681" s="119"/>
    </row>
    <row r="682" spans="3:10" s="297" customFormat="1" ht="21.6" customHeight="1">
      <c r="C682" s="293" t="s">
        <v>1220</v>
      </c>
      <c r="D682" s="294" t="s">
        <v>1321</v>
      </c>
      <c r="E682" s="295"/>
      <c r="F682" s="295"/>
      <c r="G682" s="296"/>
      <c r="H682" s="298">
        <f>$N$7</f>
        <v>0.1</v>
      </c>
      <c r="I682" s="284">
        <f>I681*H682</f>
        <v>8126.5649999999996</v>
      </c>
      <c r="J682" s="119"/>
    </row>
    <row r="683" spans="3:10" s="297" customFormat="1" ht="21.6" customHeight="1" thickBot="1">
      <c r="C683" s="299" t="s">
        <v>1221</v>
      </c>
      <c r="D683" s="300" t="s">
        <v>1222</v>
      </c>
      <c r="E683" s="301"/>
      <c r="F683" s="301"/>
      <c r="G683" s="301"/>
      <c r="H683" s="302"/>
      <c r="I683" s="303">
        <f>SUM(I681:I682)</f>
        <v>89392.214999999997</v>
      </c>
      <c r="J683" s="119"/>
    </row>
    <row r="684" spans="3:10" ht="14.4" thickTop="1"/>
    <row r="686" spans="3:10">
      <c r="C686" s="126"/>
      <c r="D686" s="119"/>
    </row>
    <row r="687" spans="3:10" ht="15" thickBot="1">
      <c r="C687" s="126" t="s">
        <v>2397</v>
      </c>
      <c r="D687" s="119" t="s">
        <v>5238</v>
      </c>
      <c r="J687" s="120">
        <f>ROUNDDOWN(I704,-2)</f>
        <v>92200</v>
      </c>
    </row>
    <row r="688" spans="3:10" ht="28.2" thickTop="1">
      <c r="C688" s="51" t="s">
        <v>1195</v>
      </c>
      <c r="D688" s="52" t="s">
        <v>1196</v>
      </c>
      <c r="E688" s="52" t="s">
        <v>1773</v>
      </c>
      <c r="F688" s="52" t="s">
        <v>1197</v>
      </c>
      <c r="G688" s="52" t="s">
        <v>1198</v>
      </c>
      <c r="H688" s="52" t="s">
        <v>1199</v>
      </c>
      <c r="I688" s="53" t="s">
        <v>1200</v>
      </c>
    </row>
    <row r="689" spans="3:10" ht="21.6" customHeight="1">
      <c r="C689" s="290" t="s">
        <v>1201</v>
      </c>
      <c r="D689" s="182" t="s">
        <v>1202</v>
      </c>
      <c r="E689" s="182"/>
      <c r="F689" s="70"/>
      <c r="G689" s="70"/>
      <c r="H689" s="70"/>
      <c r="I689" s="71"/>
    </row>
    <row r="690" spans="3:10" ht="21.6" customHeight="1">
      <c r="C690" s="310" t="s">
        <v>1203</v>
      </c>
      <c r="D690" s="182" t="s">
        <v>5</v>
      </c>
      <c r="E690" s="182" t="s">
        <v>1774</v>
      </c>
      <c r="F690" s="176" t="s">
        <v>1863</v>
      </c>
      <c r="G690" s="309">
        <v>9.9900000000000003E-2</v>
      </c>
      <c r="H690" s="283">
        <f>VLOOKUP(D690,upahbahan,3,FALSE)/8</f>
        <v>12500</v>
      </c>
      <c r="I690" s="284">
        <f>G690*H690</f>
        <v>1248.75</v>
      </c>
    </row>
    <row r="691" spans="3:10" ht="21.6" customHeight="1">
      <c r="C691" s="310">
        <v>2</v>
      </c>
      <c r="D691" s="182" t="s">
        <v>7</v>
      </c>
      <c r="E691" s="182" t="s">
        <v>1775</v>
      </c>
      <c r="F691" s="176" t="s">
        <v>1863</v>
      </c>
      <c r="G691" s="309">
        <v>0.05</v>
      </c>
      <c r="H691" s="283">
        <f>VLOOKUP(D691,upahbahan,3,FALSE)/8</f>
        <v>16875</v>
      </c>
      <c r="I691" s="284">
        <f>G691*H691</f>
        <v>843.75</v>
      </c>
    </row>
    <row r="692" spans="3:10" s="59" customFormat="1" ht="21.6" customHeight="1">
      <c r="C692" s="310">
        <v>3</v>
      </c>
      <c r="D692" s="182" t="s">
        <v>19</v>
      </c>
      <c r="E692" s="182" t="s">
        <v>1777</v>
      </c>
      <c r="F692" s="176" t="s">
        <v>1863</v>
      </c>
      <c r="G692" s="309">
        <v>0.01</v>
      </c>
      <c r="H692" s="283">
        <f>VLOOKUP(D692,upahbahan,3,FALSE)/8</f>
        <v>20000</v>
      </c>
      <c r="I692" s="284">
        <f>G692*H692</f>
        <v>200</v>
      </c>
      <c r="J692" s="119"/>
    </row>
    <row r="693" spans="3:10" ht="21.6" customHeight="1">
      <c r="C693" s="66" t="s">
        <v>1208</v>
      </c>
      <c r="D693" s="67"/>
      <c r="E693" s="67"/>
      <c r="F693" s="67"/>
      <c r="G693" s="68"/>
      <c r="H693" s="69"/>
      <c r="I693" s="284">
        <f>SUM(I690:I692)</f>
        <v>2292.5</v>
      </c>
    </row>
    <row r="694" spans="3:10" ht="21.6" customHeight="1">
      <c r="C694" s="290" t="s">
        <v>1209</v>
      </c>
      <c r="D694" s="182" t="s">
        <v>1210</v>
      </c>
      <c r="E694" s="182"/>
      <c r="F694" s="70"/>
      <c r="G694" s="70"/>
      <c r="H694" s="70"/>
      <c r="I694" s="71"/>
    </row>
    <row r="695" spans="3:10" ht="21.6" customHeight="1">
      <c r="C695" s="184">
        <v>1</v>
      </c>
      <c r="D695" s="109" t="s">
        <v>5235</v>
      </c>
      <c r="E695" s="109"/>
      <c r="F695" s="109" t="s">
        <v>2167</v>
      </c>
      <c r="G695" s="109">
        <v>0.16669999999999999</v>
      </c>
      <c r="H695" s="185">
        <f>VLOOKUP(D695,upahbahan,3,FALSE)</f>
        <v>200000</v>
      </c>
      <c r="I695" s="284">
        <f>G695*H695</f>
        <v>33340</v>
      </c>
    </row>
    <row r="696" spans="3:10" ht="21.6" customHeight="1">
      <c r="C696" s="184">
        <v>2</v>
      </c>
      <c r="D696" s="109" t="s">
        <v>5236</v>
      </c>
      <c r="E696" s="109"/>
      <c r="F696" s="109" t="s">
        <v>2167</v>
      </c>
      <c r="G696" s="109">
        <v>0.16669999999999999</v>
      </c>
      <c r="H696" s="185">
        <f>VLOOKUP(D696,upahbahan,3,FALSE)</f>
        <v>124500</v>
      </c>
      <c r="I696" s="284">
        <f>G696*H696</f>
        <v>20754.149999999998</v>
      </c>
    </row>
    <row r="697" spans="3:10" ht="21.6" customHeight="1">
      <c r="C697" s="66" t="s">
        <v>1214</v>
      </c>
      <c r="D697" s="67"/>
      <c r="E697" s="67"/>
      <c r="F697" s="67"/>
      <c r="G697" s="67"/>
      <c r="H697" s="69"/>
      <c r="I697" s="313">
        <f>SUM(I695:I696)</f>
        <v>54094.149999999994</v>
      </c>
    </row>
    <row r="698" spans="3:10" ht="21.6" customHeight="1">
      <c r="C698" s="290" t="s">
        <v>1215</v>
      </c>
      <c r="D698" s="182" t="s">
        <v>1216</v>
      </c>
      <c r="E698" s="182"/>
      <c r="F698" s="70"/>
      <c r="G698" s="70"/>
      <c r="H698" s="70"/>
      <c r="I698" s="71"/>
    </row>
    <row r="699" spans="3:10" ht="21.6" customHeight="1">
      <c r="C699" s="316">
        <v>1</v>
      </c>
      <c r="D699" s="109" t="s">
        <v>6498</v>
      </c>
      <c r="E699" s="109"/>
      <c r="F699" s="108" t="s">
        <v>2396</v>
      </c>
      <c r="G699" s="116">
        <v>0.05</v>
      </c>
      <c r="H699" s="185">
        <f>VLOOKUP(D699,upahbahan,3,FALSE)</f>
        <v>500000</v>
      </c>
      <c r="I699" s="317">
        <f>G699*H699</f>
        <v>25000</v>
      </c>
    </row>
    <row r="700" spans="3:10" ht="21.6" customHeight="1">
      <c r="C700" s="318">
        <v>2</v>
      </c>
      <c r="D700" s="109" t="s">
        <v>6504</v>
      </c>
      <c r="E700" s="109"/>
      <c r="F700" s="115" t="s">
        <v>1074</v>
      </c>
      <c r="G700" s="116">
        <v>0.05</v>
      </c>
      <c r="H700" s="185">
        <f>VLOOKUP(D700,upahbahan,3,FALSE)</f>
        <v>50000</v>
      </c>
      <c r="I700" s="317">
        <f>G700*H700</f>
        <v>2500</v>
      </c>
    </row>
    <row r="701" spans="3:10" ht="21.6" customHeight="1">
      <c r="C701" s="66" t="s">
        <v>1217</v>
      </c>
      <c r="D701" s="67"/>
      <c r="E701" s="67"/>
      <c r="F701" s="67"/>
      <c r="G701" s="67"/>
      <c r="H701" s="69"/>
      <c r="I701" s="284">
        <f>SUM(I699:I700)</f>
        <v>27500</v>
      </c>
    </row>
    <row r="702" spans="3:10" s="297" customFormat="1" ht="21.6" customHeight="1">
      <c r="C702" s="293" t="s">
        <v>1218</v>
      </c>
      <c r="D702" s="294" t="s">
        <v>1219</v>
      </c>
      <c r="E702" s="295"/>
      <c r="F702" s="295"/>
      <c r="G702" s="295"/>
      <c r="H702" s="296"/>
      <c r="I702" s="284">
        <f>I701+I697+I693</f>
        <v>83886.65</v>
      </c>
      <c r="J702" s="119"/>
    </row>
    <row r="703" spans="3:10" s="297" customFormat="1" ht="21.6" customHeight="1">
      <c r="C703" s="293" t="s">
        <v>1220</v>
      </c>
      <c r="D703" s="294" t="s">
        <v>1321</v>
      </c>
      <c r="E703" s="295"/>
      <c r="F703" s="295"/>
      <c r="G703" s="296"/>
      <c r="H703" s="298">
        <f>$N$7</f>
        <v>0.1</v>
      </c>
      <c r="I703" s="284">
        <f>I702*H703</f>
        <v>8388.6649999999991</v>
      </c>
      <c r="J703" s="119"/>
    </row>
    <row r="704" spans="3:10" s="297" customFormat="1" ht="21.6" customHeight="1" thickBot="1">
      <c r="C704" s="299" t="s">
        <v>1221</v>
      </c>
      <c r="D704" s="300" t="s">
        <v>1222</v>
      </c>
      <c r="E704" s="301"/>
      <c r="F704" s="301"/>
      <c r="G704" s="301"/>
      <c r="H704" s="302"/>
      <c r="I704" s="303">
        <f>SUM(I702:I703)</f>
        <v>92275.314999999988</v>
      </c>
      <c r="J704" s="119"/>
    </row>
    <row r="705" spans="3:10" ht="14.4" thickTop="1"/>
    <row r="707" spans="3:10" ht="14.4" thickBot="1">
      <c r="C707" s="126" t="s">
        <v>2398</v>
      </c>
      <c r="D707" s="119" t="s">
        <v>2399</v>
      </c>
      <c r="J707" s="120">
        <f>ROUNDDOWN(I724,-2)</f>
        <v>100000</v>
      </c>
    </row>
    <row r="708" spans="3:10" ht="28.2" thickTop="1">
      <c r="C708" s="51" t="s">
        <v>1195</v>
      </c>
      <c r="D708" s="52" t="s">
        <v>1196</v>
      </c>
      <c r="E708" s="52" t="s">
        <v>1773</v>
      </c>
      <c r="F708" s="52" t="s">
        <v>1197</v>
      </c>
      <c r="G708" s="52" t="s">
        <v>1198</v>
      </c>
      <c r="H708" s="52" t="s">
        <v>1199</v>
      </c>
      <c r="I708" s="53" t="s">
        <v>1200</v>
      </c>
    </row>
    <row r="709" spans="3:10" ht="21.6" customHeight="1">
      <c r="C709" s="290" t="s">
        <v>1201</v>
      </c>
      <c r="D709" s="182" t="s">
        <v>1202</v>
      </c>
      <c r="E709" s="182"/>
      <c r="F709" s="70"/>
      <c r="G709" s="70"/>
      <c r="H709" s="70"/>
      <c r="I709" s="71"/>
    </row>
    <row r="710" spans="3:10" ht="21.6" customHeight="1">
      <c r="C710" s="310" t="s">
        <v>1203</v>
      </c>
      <c r="D710" s="182" t="s">
        <v>5</v>
      </c>
      <c r="E710" s="182" t="s">
        <v>1774</v>
      </c>
      <c r="F710" s="176" t="s">
        <v>1863</v>
      </c>
      <c r="G710" s="309">
        <v>9.5500000000000002E-2</v>
      </c>
      <c r="H710" s="283">
        <f>VLOOKUP(D710,upahbahan,3,FALSE)/8</f>
        <v>12500</v>
      </c>
      <c r="I710" s="284">
        <f>G710*H710</f>
        <v>1193.75</v>
      </c>
    </row>
    <row r="711" spans="3:10" ht="21.6" customHeight="1">
      <c r="C711" s="310">
        <v>2</v>
      </c>
      <c r="D711" s="182" t="s">
        <v>7</v>
      </c>
      <c r="E711" s="182" t="s">
        <v>1775</v>
      </c>
      <c r="F711" s="176" t="s">
        <v>1863</v>
      </c>
      <c r="G711" s="309">
        <v>4.7800000000000002E-2</v>
      </c>
      <c r="H711" s="283">
        <f>VLOOKUP(D711,upahbahan,3,FALSE)/8</f>
        <v>16875</v>
      </c>
      <c r="I711" s="284">
        <f>G711*H711</f>
        <v>806.625</v>
      </c>
    </row>
    <row r="712" spans="3:10" s="59" customFormat="1" ht="21.6" customHeight="1">
      <c r="C712" s="310">
        <v>3</v>
      </c>
      <c r="D712" s="182" t="s">
        <v>19</v>
      </c>
      <c r="E712" s="182" t="s">
        <v>1777</v>
      </c>
      <c r="F712" s="176" t="s">
        <v>1863</v>
      </c>
      <c r="G712" s="309">
        <v>9.5999999999999992E-3</v>
      </c>
      <c r="H712" s="283">
        <f>VLOOKUP(D712,upahbahan,3,FALSE)/8</f>
        <v>20000</v>
      </c>
      <c r="I712" s="284">
        <f>G712*H712</f>
        <v>191.99999999999997</v>
      </c>
      <c r="J712" s="119"/>
    </row>
    <row r="713" spans="3:10" ht="21.6" customHeight="1">
      <c r="C713" s="66" t="s">
        <v>1208</v>
      </c>
      <c r="D713" s="67"/>
      <c r="E713" s="67"/>
      <c r="F713" s="67"/>
      <c r="G713" s="68"/>
      <c r="H713" s="69"/>
      <c r="I713" s="284">
        <f>SUM(I710:I712)</f>
        <v>2192.375</v>
      </c>
    </row>
    <row r="714" spans="3:10" ht="21.6" customHeight="1">
      <c r="C714" s="290" t="s">
        <v>1209</v>
      </c>
      <c r="D714" s="182" t="s">
        <v>1210</v>
      </c>
      <c r="E714" s="182"/>
      <c r="F714" s="70"/>
      <c r="G714" s="70"/>
      <c r="H714" s="70"/>
      <c r="I714" s="71"/>
    </row>
    <row r="715" spans="3:10" ht="21.6" customHeight="1">
      <c r="C715" s="184">
        <v>1</v>
      </c>
      <c r="D715" s="109" t="s">
        <v>5239</v>
      </c>
      <c r="E715" s="109"/>
      <c r="F715" s="109" t="s">
        <v>2167</v>
      </c>
      <c r="G715" s="109">
        <v>0.16669999999999999</v>
      </c>
      <c r="H715" s="185">
        <f>VLOOKUP(D715,upahbahan,3,FALSE)</f>
        <v>250000</v>
      </c>
      <c r="I715" s="284">
        <f>G715*H715</f>
        <v>41675</v>
      </c>
    </row>
    <row r="716" spans="3:10" ht="21.6" customHeight="1">
      <c r="C716" s="184">
        <v>2</v>
      </c>
      <c r="D716" s="109" t="s">
        <v>5241</v>
      </c>
      <c r="E716" s="109"/>
      <c r="F716" s="109" t="s">
        <v>2167</v>
      </c>
      <c r="G716" s="109">
        <v>0.16669999999999999</v>
      </c>
      <c r="H716" s="185">
        <f>VLOOKUP(D716,upahbahan,3,FALSE)</f>
        <v>124500</v>
      </c>
      <c r="I716" s="284">
        <f>G716*H716</f>
        <v>20754.149999999998</v>
      </c>
    </row>
    <row r="717" spans="3:10" ht="21.6" customHeight="1">
      <c r="C717" s="66" t="s">
        <v>1214</v>
      </c>
      <c r="D717" s="67"/>
      <c r="E717" s="67"/>
      <c r="F717" s="67"/>
      <c r="G717" s="67"/>
      <c r="H717" s="69"/>
      <c r="I717" s="313">
        <f>SUM(I715:I716)</f>
        <v>62429.149999999994</v>
      </c>
    </row>
    <row r="718" spans="3:10" ht="21.6" customHeight="1">
      <c r="C718" s="290" t="s">
        <v>1215</v>
      </c>
      <c r="D718" s="182" t="s">
        <v>1216</v>
      </c>
      <c r="E718" s="182"/>
      <c r="F718" s="70"/>
      <c r="G718" s="70"/>
      <c r="H718" s="70"/>
      <c r="I718" s="71"/>
    </row>
    <row r="719" spans="3:10" ht="21.6" customHeight="1">
      <c r="C719" s="316">
        <v>1</v>
      </c>
      <c r="D719" s="109" t="s">
        <v>6498</v>
      </c>
      <c r="E719" s="109"/>
      <c r="F719" s="108" t="s">
        <v>2396</v>
      </c>
      <c r="G719" s="116">
        <v>4.7800000000000002E-2</v>
      </c>
      <c r="H719" s="185">
        <f>VLOOKUP(D719,upahbahan,3,FALSE)</f>
        <v>500000</v>
      </c>
      <c r="I719" s="317">
        <f>G719*H719</f>
        <v>23900</v>
      </c>
    </row>
    <row r="720" spans="3:10" ht="21.6" customHeight="1">
      <c r="C720" s="318">
        <v>2</v>
      </c>
      <c r="D720" s="109" t="s">
        <v>6504</v>
      </c>
      <c r="E720" s="109"/>
      <c r="F720" s="115" t="s">
        <v>1074</v>
      </c>
      <c r="G720" s="116">
        <v>4.7800000000000002E-2</v>
      </c>
      <c r="H720" s="185">
        <f>VLOOKUP(D720,upahbahan,3,FALSE)</f>
        <v>50000</v>
      </c>
      <c r="I720" s="317">
        <f>G720*H720</f>
        <v>2390</v>
      </c>
    </row>
    <row r="721" spans="3:10" ht="21.6" customHeight="1">
      <c r="C721" s="66" t="s">
        <v>1217</v>
      </c>
      <c r="D721" s="67"/>
      <c r="E721" s="67"/>
      <c r="F721" s="67"/>
      <c r="G721" s="67"/>
      <c r="H721" s="69"/>
      <c r="I721" s="284">
        <f>SUM(I719:I720)</f>
        <v>26290</v>
      </c>
    </row>
    <row r="722" spans="3:10" s="297" customFormat="1" ht="21.6" customHeight="1">
      <c r="C722" s="293" t="s">
        <v>1218</v>
      </c>
      <c r="D722" s="294" t="s">
        <v>1219</v>
      </c>
      <c r="E722" s="295"/>
      <c r="F722" s="295"/>
      <c r="G722" s="295"/>
      <c r="H722" s="296"/>
      <c r="I722" s="284">
        <f>I721+I717+I713</f>
        <v>90911.524999999994</v>
      </c>
      <c r="J722" s="119"/>
    </row>
    <row r="723" spans="3:10" s="297" customFormat="1" ht="21.6" customHeight="1">
      <c r="C723" s="293" t="s">
        <v>1220</v>
      </c>
      <c r="D723" s="294" t="s">
        <v>1321</v>
      </c>
      <c r="E723" s="295"/>
      <c r="F723" s="295"/>
      <c r="G723" s="296"/>
      <c r="H723" s="298">
        <f>$N$7</f>
        <v>0.1</v>
      </c>
      <c r="I723" s="284">
        <f>I722*H723</f>
        <v>9091.1525000000001</v>
      </c>
      <c r="J723" s="119"/>
    </row>
    <row r="724" spans="3:10" s="297" customFormat="1" ht="21.6" customHeight="1" thickBot="1">
      <c r="C724" s="299" t="s">
        <v>1221</v>
      </c>
      <c r="D724" s="300" t="s">
        <v>1222</v>
      </c>
      <c r="E724" s="301"/>
      <c r="F724" s="301"/>
      <c r="G724" s="301"/>
      <c r="H724" s="302"/>
      <c r="I724" s="303">
        <f>SUM(I722:I723)</f>
        <v>100002.67749999999</v>
      </c>
      <c r="J724" s="119"/>
    </row>
    <row r="725" spans="3:10" ht="21.6" customHeight="1" thickTop="1"/>
    <row r="726" spans="3:10" ht="14.4" thickBot="1">
      <c r="C726" s="126" t="s">
        <v>2400</v>
      </c>
      <c r="D726" s="119" t="s">
        <v>2401</v>
      </c>
      <c r="J726" s="120">
        <f>ROUNDDOWN(I743,-2)</f>
        <v>104300</v>
      </c>
    </row>
    <row r="727" spans="3:10" ht="28.2" thickTop="1">
      <c r="C727" s="51" t="s">
        <v>1195</v>
      </c>
      <c r="D727" s="52" t="s">
        <v>1196</v>
      </c>
      <c r="E727" s="52" t="s">
        <v>1773</v>
      </c>
      <c r="F727" s="52" t="s">
        <v>1197</v>
      </c>
      <c r="G727" s="52" t="s">
        <v>1198</v>
      </c>
      <c r="H727" s="52" t="s">
        <v>1199</v>
      </c>
      <c r="I727" s="53" t="s">
        <v>1200</v>
      </c>
    </row>
    <row r="728" spans="3:10" ht="21.6" customHeight="1">
      <c r="C728" s="290" t="s">
        <v>1201</v>
      </c>
      <c r="D728" s="182" t="s">
        <v>1202</v>
      </c>
      <c r="E728" s="182"/>
      <c r="F728" s="70"/>
      <c r="G728" s="70"/>
      <c r="H728" s="70"/>
      <c r="I728" s="71"/>
    </row>
    <row r="729" spans="3:10" ht="21.6" customHeight="1">
      <c r="C729" s="310" t="s">
        <v>1203</v>
      </c>
      <c r="D729" s="182" t="s">
        <v>5</v>
      </c>
      <c r="E729" s="182" t="s">
        <v>1774</v>
      </c>
      <c r="F729" s="176" t="s">
        <v>1863</v>
      </c>
      <c r="G729" s="309">
        <v>0.10879999999999999</v>
      </c>
      <c r="H729" s="283">
        <f>VLOOKUP(D729,upahbahan,3,FALSE)/8</f>
        <v>12500</v>
      </c>
      <c r="I729" s="284">
        <f>G729*H729</f>
        <v>1360</v>
      </c>
    </row>
    <row r="730" spans="3:10" ht="21.6" customHeight="1">
      <c r="C730" s="310">
        <v>2</v>
      </c>
      <c r="D730" s="182" t="s">
        <v>7</v>
      </c>
      <c r="E730" s="182" t="s">
        <v>1775</v>
      </c>
      <c r="F730" s="176" t="s">
        <v>1863</v>
      </c>
      <c r="G730" s="309">
        <v>5.4399999999999997E-2</v>
      </c>
      <c r="H730" s="283">
        <f>VLOOKUP(D730,upahbahan,3,FALSE)/8</f>
        <v>16875</v>
      </c>
      <c r="I730" s="284">
        <f>G730*H730</f>
        <v>918</v>
      </c>
    </row>
    <row r="731" spans="3:10" s="59" customFormat="1" ht="21.6" customHeight="1">
      <c r="C731" s="310">
        <v>3</v>
      </c>
      <c r="D731" s="182" t="s">
        <v>19</v>
      </c>
      <c r="E731" s="182" t="s">
        <v>1777</v>
      </c>
      <c r="F731" s="176" t="s">
        <v>1863</v>
      </c>
      <c r="G731" s="309">
        <v>1.09E-2</v>
      </c>
      <c r="H731" s="283">
        <f>VLOOKUP(D731,upahbahan,3,FALSE)/8</f>
        <v>20000</v>
      </c>
      <c r="I731" s="284">
        <f>G731*H731</f>
        <v>218</v>
      </c>
      <c r="J731" s="119"/>
    </row>
    <row r="732" spans="3:10" ht="21.6" customHeight="1">
      <c r="C732" s="66" t="s">
        <v>1208</v>
      </c>
      <c r="D732" s="67"/>
      <c r="E732" s="67"/>
      <c r="F732" s="67"/>
      <c r="G732" s="68"/>
      <c r="H732" s="69"/>
      <c r="I732" s="284">
        <f>SUM(I729:I731)</f>
        <v>2496</v>
      </c>
    </row>
    <row r="733" spans="3:10" ht="21.6" customHeight="1">
      <c r="C733" s="290" t="s">
        <v>1209</v>
      </c>
      <c r="D733" s="182" t="s">
        <v>1210</v>
      </c>
      <c r="E733" s="182"/>
      <c r="F733" s="70"/>
      <c r="G733" s="70"/>
      <c r="H733" s="70"/>
      <c r="I733" s="71"/>
    </row>
    <row r="734" spans="3:10" ht="21.6" customHeight="1">
      <c r="C734" s="184">
        <v>1</v>
      </c>
      <c r="D734" s="109" t="s">
        <v>5239</v>
      </c>
      <c r="E734" s="109"/>
      <c r="F734" s="109" t="s">
        <v>2167</v>
      </c>
      <c r="G734" s="109">
        <v>0.16669999999999999</v>
      </c>
      <c r="H734" s="185">
        <f>VLOOKUP(D734,upahbahan,3,FALSE)</f>
        <v>250000</v>
      </c>
      <c r="I734" s="284">
        <f>G734*H734</f>
        <v>41675</v>
      </c>
    </row>
    <row r="735" spans="3:10" ht="21.6" customHeight="1">
      <c r="C735" s="184">
        <v>2</v>
      </c>
      <c r="D735" s="109" t="s">
        <v>5242</v>
      </c>
      <c r="E735" s="109"/>
      <c r="F735" s="109" t="s">
        <v>2167</v>
      </c>
      <c r="G735" s="109">
        <v>0.16669999999999999</v>
      </c>
      <c r="H735" s="185">
        <f>VLOOKUP(D735,upahbahan,3,FALSE)</f>
        <v>124500</v>
      </c>
      <c r="I735" s="284">
        <f>G735*H735</f>
        <v>20754.149999999998</v>
      </c>
    </row>
    <row r="736" spans="3:10" ht="21.6" customHeight="1">
      <c r="C736" s="66" t="s">
        <v>1214</v>
      </c>
      <c r="D736" s="67"/>
      <c r="E736" s="67"/>
      <c r="F736" s="67"/>
      <c r="G736" s="67"/>
      <c r="H736" s="69"/>
      <c r="I736" s="313">
        <f>SUM(I734:I735)</f>
        <v>62429.149999999994</v>
      </c>
    </row>
    <row r="737" spans="3:10" ht="21.6" customHeight="1">
      <c r="C737" s="290" t="s">
        <v>1215</v>
      </c>
      <c r="D737" s="182" t="s">
        <v>1216</v>
      </c>
      <c r="E737" s="182"/>
      <c r="F737" s="70"/>
      <c r="G737" s="70"/>
      <c r="H737" s="70"/>
      <c r="I737" s="71"/>
    </row>
    <row r="738" spans="3:10" ht="21.6" customHeight="1">
      <c r="C738" s="316">
        <v>1</v>
      </c>
      <c r="D738" s="109" t="s">
        <v>6498</v>
      </c>
      <c r="E738" s="109"/>
      <c r="F738" s="108" t="s">
        <v>2396</v>
      </c>
      <c r="G738" s="116">
        <v>5.4399999999999997E-2</v>
      </c>
      <c r="H738" s="185">
        <f>VLOOKUP(D738,upahbahan,3,FALSE)</f>
        <v>500000</v>
      </c>
      <c r="I738" s="317">
        <f>G738*H738</f>
        <v>27200</v>
      </c>
    </row>
    <row r="739" spans="3:10" ht="21.6" customHeight="1">
      <c r="C739" s="318">
        <v>2</v>
      </c>
      <c r="D739" s="109" t="s">
        <v>6504</v>
      </c>
      <c r="E739" s="109"/>
      <c r="F739" s="115" t="s">
        <v>1074</v>
      </c>
      <c r="G739" s="116">
        <v>5.4399999999999997E-2</v>
      </c>
      <c r="H739" s="185">
        <f>VLOOKUP(D739,upahbahan,3,FALSE)</f>
        <v>50000</v>
      </c>
      <c r="I739" s="317">
        <f>G739*H739</f>
        <v>2720</v>
      </c>
    </row>
    <row r="740" spans="3:10" ht="21.6" customHeight="1">
      <c r="C740" s="66" t="s">
        <v>1217</v>
      </c>
      <c r="D740" s="67"/>
      <c r="E740" s="67"/>
      <c r="F740" s="67"/>
      <c r="G740" s="67"/>
      <c r="H740" s="69"/>
      <c r="I740" s="284">
        <f>SUM(I738:I739)</f>
        <v>29920</v>
      </c>
    </row>
    <row r="741" spans="3:10" s="297" customFormat="1" ht="21.6" customHeight="1">
      <c r="C741" s="293" t="s">
        <v>1218</v>
      </c>
      <c r="D741" s="294" t="s">
        <v>1219</v>
      </c>
      <c r="E741" s="295"/>
      <c r="F741" s="295"/>
      <c r="G741" s="295"/>
      <c r="H741" s="296"/>
      <c r="I741" s="284">
        <f>I740+I736+I732</f>
        <v>94845.15</v>
      </c>
      <c r="J741" s="119"/>
    </row>
    <row r="742" spans="3:10" s="297" customFormat="1" ht="21.6" customHeight="1">
      <c r="C742" s="293" t="s">
        <v>1220</v>
      </c>
      <c r="D742" s="294" t="s">
        <v>1321</v>
      </c>
      <c r="E742" s="295"/>
      <c r="F742" s="295"/>
      <c r="G742" s="296"/>
      <c r="H742" s="298">
        <f>$N$7</f>
        <v>0.1</v>
      </c>
      <c r="I742" s="284">
        <f>I741*H742</f>
        <v>9484.5149999999994</v>
      </c>
      <c r="J742" s="119"/>
    </row>
    <row r="743" spans="3:10" s="297" customFormat="1" ht="21.6" customHeight="1" thickBot="1">
      <c r="C743" s="299" t="s">
        <v>1221</v>
      </c>
      <c r="D743" s="300" t="s">
        <v>1222</v>
      </c>
      <c r="E743" s="301"/>
      <c r="F743" s="301"/>
      <c r="G743" s="301"/>
      <c r="H743" s="302"/>
      <c r="I743" s="303">
        <f>SUM(I741:I742)</f>
        <v>104329.66499999999</v>
      </c>
      <c r="J743" s="119"/>
    </row>
    <row r="744" spans="3:10" ht="14.4" thickTop="1"/>
    <row r="746" spans="3:10" ht="14.4" thickBot="1">
      <c r="C746" s="126" t="s">
        <v>2402</v>
      </c>
      <c r="D746" s="119" t="s">
        <v>2403</v>
      </c>
      <c r="J746" s="120">
        <f>ROUNDDOWN(I763,-2)</f>
        <v>106900</v>
      </c>
    </row>
    <row r="747" spans="3:10" ht="28.2" thickTop="1">
      <c r="C747" s="51" t="s">
        <v>1195</v>
      </c>
      <c r="D747" s="52" t="s">
        <v>1196</v>
      </c>
      <c r="E747" s="52" t="s">
        <v>1773</v>
      </c>
      <c r="F747" s="52" t="s">
        <v>1197</v>
      </c>
      <c r="G747" s="52" t="s">
        <v>1198</v>
      </c>
      <c r="H747" s="52" t="s">
        <v>1199</v>
      </c>
      <c r="I747" s="53" t="s">
        <v>1200</v>
      </c>
    </row>
    <row r="748" spans="3:10" ht="21.6" customHeight="1">
      <c r="C748" s="290" t="s">
        <v>1201</v>
      </c>
      <c r="D748" s="182" t="s">
        <v>1202</v>
      </c>
      <c r="E748" s="182"/>
      <c r="F748" s="70"/>
      <c r="G748" s="70"/>
      <c r="H748" s="70"/>
      <c r="I748" s="71"/>
    </row>
    <row r="749" spans="3:10" ht="21.6" customHeight="1">
      <c r="C749" s="310" t="s">
        <v>1203</v>
      </c>
      <c r="D749" s="182" t="s">
        <v>5</v>
      </c>
      <c r="E749" s="182" t="s">
        <v>1774</v>
      </c>
      <c r="F749" s="176" t="s">
        <v>1863</v>
      </c>
      <c r="G749" s="309">
        <v>0.1168</v>
      </c>
      <c r="H749" s="283">
        <f>VLOOKUP(D749,upahbahan,3,FALSE)/8</f>
        <v>12500</v>
      </c>
      <c r="I749" s="284">
        <f>G749*H749</f>
        <v>1460</v>
      </c>
    </row>
    <row r="750" spans="3:10" ht="21.6" customHeight="1">
      <c r="C750" s="310">
        <v>2</v>
      </c>
      <c r="D750" s="182" t="s">
        <v>7</v>
      </c>
      <c r="E750" s="182" t="s">
        <v>1775</v>
      </c>
      <c r="F750" s="176" t="s">
        <v>1863</v>
      </c>
      <c r="G750" s="309">
        <v>5.8400000000000001E-2</v>
      </c>
      <c r="H750" s="283">
        <f>VLOOKUP(D750,upahbahan,3,FALSE)/8</f>
        <v>16875</v>
      </c>
      <c r="I750" s="284">
        <f>G750*H750</f>
        <v>985.5</v>
      </c>
    </row>
    <row r="751" spans="3:10" s="59" customFormat="1" ht="21.6" customHeight="1">
      <c r="C751" s="310">
        <v>3</v>
      </c>
      <c r="D751" s="182" t="s">
        <v>19</v>
      </c>
      <c r="E751" s="182" t="s">
        <v>1777</v>
      </c>
      <c r="F751" s="176" t="s">
        <v>1863</v>
      </c>
      <c r="G751" s="309">
        <v>1.17E-2</v>
      </c>
      <c r="H751" s="283">
        <f>VLOOKUP(D751,upahbahan,3,FALSE)/8</f>
        <v>20000</v>
      </c>
      <c r="I751" s="284">
        <f>G751*H751</f>
        <v>234</v>
      </c>
      <c r="J751" s="119"/>
    </row>
    <row r="752" spans="3:10" ht="21.6" customHeight="1">
      <c r="C752" s="66" t="s">
        <v>1208</v>
      </c>
      <c r="D752" s="67"/>
      <c r="E752" s="67"/>
      <c r="F752" s="67"/>
      <c r="G752" s="68"/>
      <c r="H752" s="69"/>
      <c r="I752" s="284">
        <f>SUM(I749:I751)</f>
        <v>2679.5</v>
      </c>
    </row>
    <row r="753" spans="3:10" ht="21.6" customHeight="1">
      <c r="C753" s="290" t="s">
        <v>1209</v>
      </c>
      <c r="D753" s="182" t="s">
        <v>1210</v>
      </c>
      <c r="E753" s="182"/>
      <c r="F753" s="70"/>
      <c r="G753" s="70"/>
      <c r="H753" s="70"/>
      <c r="I753" s="71"/>
    </row>
    <row r="754" spans="3:10" ht="21.6" customHeight="1">
      <c r="C754" s="184">
        <v>1</v>
      </c>
      <c r="D754" s="109" t="s">
        <v>5239</v>
      </c>
      <c r="E754" s="109"/>
      <c r="F754" s="109" t="s">
        <v>2167</v>
      </c>
      <c r="G754" s="109">
        <v>0.16669999999999999</v>
      </c>
      <c r="H754" s="185">
        <f>VLOOKUP(D754,upahbahan,3,FALSE)</f>
        <v>250000</v>
      </c>
      <c r="I754" s="284">
        <f>G754*H754</f>
        <v>41675</v>
      </c>
    </row>
    <row r="755" spans="3:10" ht="21.6" customHeight="1">
      <c r="C755" s="184">
        <v>2</v>
      </c>
      <c r="D755" s="109" t="s">
        <v>5242</v>
      </c>
      <c r="E755" s="109"/>
      <c r="F755" s="109" t="s">
        <v>2167</v>
      </c>
      <c r="G755" s="109">
        <v>0.16669999999999999</v>
      </c>
      <c r="H755" s="185">
        <f>VLOOKUP(D755,upahbahan,3,FALSE)</f>
        <v>124500</v>
      </c>
      <c r="I755" s="284">
        <f>G755*H755</f>
        <v>20754.149999999998</v>
      </c>
    </row>
    <row r="756" spans="3:10" ht="21.6" customHeight="1">
      <c r="C756" s="66" t="s">
        <v>1214</v>
      </c>
      <c r="D756" s="67"/>
      <c r="E756" s="67"/>
      <c r="F756" s="67"/>
      <c r="G756" s="67"/>
      <c r="H756" s="69"/>
      <c r="I756" s="313">
        <f>SUM(I754:I755)</f>
        <v>62429.149999999994</v>
      </c>
    </row>
    <row r="757" spans="3:10" ht="21.6" customHeight="1">
      <c r="C757" s="290" t="s">
        <v>1215</v>
      </c>
      <c r="D757" s="182" t="s">
        <v>1216</v>
      </c>
      <c r="E757" s="182"/>
      <c r="F757" s="70"/>
      <c r="G757" s="70"/>
      <c r="H757" s="70"/>
      <c r="I757" s="71"/>
    </row>
    <row r="758" spans="3:10" ht="21.6" customHeight="1">
      <c r="C758" s="316">
        <v>1</v>
      </c>
      <c r="D758" s="109" t="s">
        <v>6498</v>
      </c>
      <c r="E758" s="109"/>
      <c r="F758" s="108" t="s">
        <v>2396</v>
      </c>
      <c r="G758" s="116">
        <v>5.8400000000000001E-2</v>
      </c>
      <c r="H758" s="185">
        <f>VLOOKUP(D758,upahbahan,3,FALSE)</f>
        <v>500000</v>
      </c>
      <c r="I758" s="317">
        <f>G758*H758</f>
        <v>29200</v>
      </c>
    </row>
    <row r="759" spans="3:10" ht="21.6" customHeight="1">
      <c r="C759" s="318">
        <v>2</v>
      </c>
      <c r="D759" s="109" t="s">
        <v>6494</v>
      </c>
      <c r="E759" s="109"/>
      <c r="F759" s="115" t="s">
        <v>1074</v>
      </c>
      <c r="G759" s="116">
        <v>5.8400000000000001E-2</v>
      </c>
      <c r="H759" s="185">
        <f>VLOOKUP(D759,upahbahan,3,FALSE)</f>
        <v>50000</v>
      </c>
      <c r="I759" s="317">
        <f>G759*H759</f>
        <v>2920</v>
      </c>
    </row>
    <row r="760" spans="3:10" ht="21.6" customHeight="1">
      <c r="C760" s="66" t="s">
        <v>1217</v>
      </c>
      <c r="D760" s="67"/>
      <c r="E760" s="67"/>
      <c r="F760" s="67"/>
      <c r="G760" s="67"/>
      <c r="H760" s="69"/>
      <c r="I760" s="284">
        <f>SUM(I758:I759)</f>
        <v>32120</v>
      </c>
    </row>
    <row r="761" spans="3:10" s="297" customFormat="1" ht="21.6" customHeight="1">
      <c r="C761" s="293" t="s">
        <v>1218</v>
      </c>
      <c r="D761" s="294" t="s">
        <v>1219</v>
      </c>
      <c r="E761" s="295"/>
      <c r="F761" s="295"/>
      <c r="G761" s="295"/>
      <c r="H761" s="296"/>
      <c r="I761" s="284">
        <f>I760+I756+I752</f>
        <v>97228.65</v>
      </c>
      <c r="J761" s="119"/>
    </row>
    <row r="762" spans="3:10" s="297" customFormat="1" ht="21.6" customHeight="1">
      <c r="C762" s="293" t="s">
        <v>1220</v>
      </c>
      <c r="D762" s="294" t="s">
        <v>1321</v>
      </c>
      <c r="E762" s="295"/>
      <c r="F762" s="295"/>
      <c r="G762" s="296"/>
      <c r="H762" s="298">
        <f>$N$7</f>
        <v>0.1</v>
      </c>
      <c r="I762" s="284">
        <f>I761*H762</f>
        <v>9722.8649999999998</v>
      </c>
      <c r="J762" s="119"/>
    </row>
    <row r="763" spans="3:10" s="297" customFormat="1" ht="21.6" customHeight="1" thickBot="1">
      <c r="C763" s="299" t="s">
        <v>1221</v>
      </c>
      <c r="D763" s="300" t="s">
        <v>1222</v>
      </c>
      <c r="E763" s="301"/>
      <c r="F763" s="301"/>
      <c r="G763" s="301"/>
      <c r="H763" s="302"/>
      <c r="I763" s="303">
        <f>SUM(I761:I762)</f>
        <v>106951.515</v>
      </c>
      <c r="J763" s="119"/>
    </row>
    <row r="764" spans="3:10" ht="14.4" thickTop="1"/>
    <row r="766" spans="3:10" ht="14.4" thickBot="1">
      <c r="C766" s="126" t="s">
        <v>2404</v>
      </c>
      <c r="D766" s="119" t="s">
        <v>2405</v>
      </c>
      <c r="J766" s="120">
        <f>ROUNDDOWN(I783,-2)</f>
        <v>107600</v>
      </c>
    </row>
    <row r="767" spans="3:10" ht="28.2" thickTop="1">
      <c r="C767" s="51" t="s">
        <v>1195</v>
      </c>
      <c r="D767" s="52" t="s">
        <v>1196</v>
      </c>
      <c r="E767" s="52" t="s">
        <v>1773</v>
      </c>
      <c r="F767" s="52" t="s">
        <v>1197</v>
      </c>
      <c r="G767" s="52" t="s">
        <v>1198</v>
      </c>
      <c r="H767" s="52" t="s">
        <v>1199</v>
      </c>
      <c r="I767" s="53" t="s">
        <v>1200</v>
      </c>
    </row>
    <row r="768" spans="3:10" ht="21.6" customHeight="1">
      <c r="C768" s="290" t="s">
        <v>1201</v>
      </c>
      <c r="D768" s="182" t="s">
        <v>1202</v>
      </c>
      <c r="E768" s="182"/>
      <c r="F768" s="70"/>
      <c r="G768" s="70"/>
      <c r="H768" s="70"/>
      <c r="I768" s="71"/>
    </row>
    <row r="769" spans="3:10" ht="21.6" customHeight="1">
      <c r="C769" s="310" t="s">
        <v>1203</v>
      </c>
      <c r="D769" s="182" t="s">
        <v>5</v>
      </c>
      <c r="E769" s="182" t="s">
        <v>1774</v>
      </c>
      <c r="F769" s="176" t="s">
        <v>1863</v>
      </c>
      <c r="G769" s="309">
        <v>0.11890000000000001</v>
      </c>
      <c r="H769" s="283">
        <f>VLOOKUP(D769,upahbahan,3,FALSE)/8</f>
        <v>12500</v>
      </c>
      <c r="I769" s="284">
        <f>G769*H769</f>
        <v>1486.25</v>
      </c>
    </row>
    <row r="770" spans="3:10" ht="21.6" customHeight="1">
      <c r="C770" s="310">
        <v>2</v>
      </c>
      <c r="D770" s="182" t="s">
        <v>7</v>
      </c>
      <c r="E770" s="182" t="s">
        <v>1775</v>
      </c>
      <c r="F770" s="176" t="s">
        <v>1863</v>
      </c>
      <c r="G770" s="309">
        <v>5.9400000000000001E-2</v>
      </c>
      <c r="H770" s="283">
        <f>VLOOKUP(D770,upahbahan,3,FALSE)/8</f>
        <v>16875</v>
      </c>
      <c r="I770" s="284">
        <f>G770*H770</f>
        <v>1002.375</v>
      </c>
    </row>
    <row r="771" spans="3:10" s="59" customFormat="1" ht="21.6" customHeight="1">
      <c r="C771" s="310">
        <v>3</v>
      </c>
      <c r="D771" s="182" t="s">
        <v>19</v>
      </c>
      <c r="E771" s="182" t="s">
        <v>1777</v>
      </c>
      <c r="F771" s="176" t="s">
        <v>1863</v>
      </c>
      <c r="G771" s="309">
        <v>1.1900000000000001E-2</v>
      </c>
      <c r="H771" s="283">
        <f>VLOOKUP(D771,upahbahan,3,FALSE)/8</f>
        <v>20000</v>
      </c>
      <c r="I771" s="284">
        <f>G771*H771</f>
        <v>238.00000000000003</v>
      </c>
      <c r="J771" s="119"/>
    </row>
    <row r="772" spans="3:10" ht="21.6" customHeight="1">
      <c r="C772" s="66" t="s">
        <v>1208</v>
      </c>
      <c r="D772" s="67"/>
      <c r="E772" s="67"/>
      <c r="F772" s="67"/>
      <c r="G772" s="68"/>
      <c r="H772" s="69"/>
      <c r="I772" s="284">
        <f>SUM(I769:I771)</f>
        <v>2726.625</v>
      </c>
    </row>
    <row r="773" spans="3:10" ht="21.6" customHeight="1">
      <c r="C773" s="290" t="s">
        <v>1209</v>
      </c>
      <c r="D773" s="182" t="s">
        <v>1210</v>
      </c>
      <c r="E773" s="182"/>
      <c r="F773" s="70"/>
      <c r="G773" s="70"/>
      <c r="H773" s="70"/>
      <c r="I773" s="71"/>
    </row>
    <row r="774" spans="3:10" ht="21.6" customHeight="1">
      <c r="C774" s="184">
        <v>1</v>
      </c>
      <c r="D774" s="109" t="s">
        <v>5239</v>
      </c>
      <c r="E774" s="109"/>
      <c r="F774" s="109" t="s">
        <v>2167</v>
      </c>
      <c r="G774" s="109">
        <v>0.16669999999999999</v>
      </c>
      <c r="H774" s="185">
        <f>VLOOKUP(D774,upahbahan,3,FALSE)</f>
        <v>250000</v>
      </c>
      <c r="I774" s="284">
        <f>G774*H774</f>
        <v>41675</v>
      </c>
    </row>
    <row r="775" spans="3:10" ht="21.6" customHeight="1">
      <c r="C775" s="184">
        <v>2</v>
      </c>
      <c r="D775" s="109" t="s">
        <v>5242</v>
      </c>
      <c r="E775" s="109"/>
      <c r="F775" s="109" t="s">
        <v>2167</v>
      </c>
      <c r="G775" s="109">
        <v>0.16669999999999999</v>
      </c>
      <c r="H775" s="185">
        <f>VLOOKUP(D775,upahbahan,3,FALSE)</f>
        <v>124500</v>
      </c>
      <c r="I775" s="284">
        <f>G775*H775</f>
        <v>20754.149999999998</v>
      </c>
    </row>
    <row r="776" spans="3:10" ht="21.6" customHeight="1">
      <c r="C776" s="66" t="s">
        <v>1214</v>
      </c>
      <c r="D776" s="67"/>
      <c r="E776" s="67"/>
      <c r="F776" s="67"/>
      <c r="G776" s="67"/>
      <c r="H776" s="69"/>
      <c r="I776" s="313">
        <f>SUM(I774:I775)</f>
        <v>62429.149999999994</v>
      </c>
    </row>
    <row r="777" spans="3:10" ht="21.6" customHeight="1">
      <c r="C777" s="290" t="s">
        <v>1215</v>
      </c>
      <c r="D777" s="182" t="s">
        <v>1216</v>
      </c>
      <c r="E777" s="182"/>
      <c r="F777" s="70"/>
      <c r="G777" s="70"/>
      <c r="H777" s="70"/>
      <c r="I777" s="71"/>
    </row>
    <row r="778" spans="3:10" ht="21.6" customHeight="1">
      <c r="C778" s="316">
        <v>1</v>
      </c>
      <c r="D778" s="109" t="s">
        <v>6498</v>
      </c>
      <c r="E778" s="109"/>
      <c r="F778" s="108" t="s">
        <v>2396</v>
      </c>
      <c r="G778" s="116">
        <v>5.9400000000000001E-2</v>
      </c>
      <c r="H778" s="185">
        <f>VLOOKUP(D778,upahbahan,3,FALSE)</f>
        <v>500000</v>
      </c>
      <c r="I778" s="317">
        <f>G778*H778</f>
        <v>29700</v>
      </c>
    </row>
    <row r="779" spans="3:10" ht="21.6" customHeight="1">
      <c r="C779" s="318">
        <v>2</v>
      </c>
      <c r="D779" s="109" t="s">
        <v>6494</v>
      </c>
      <c r="E779" s="109"/>
      <c r="F779" s="115" t="s">
        <v>1074</v>
      </c>
      <c r="G779" s="116">
        <v>5.9400000000000001E-2</v>
      </c>
      <c r="H779" s="185">
        <f>VLOOKUP(D779,upahbahan,3,FALSE)</f>
        <v>50000</v>
      </c>
      <c r="I779" s="317">
        <f>G779*H779</f>
        <v>2970</v>
      </c>
    </row>
    <row r="780" spans="3:10" ht="21.6" customHeight="1">
      <c r="C780" s="66" t="s">
        <v>1217</v>
      </c>
      <c r="D780" s="67"/>
      <c r="E780" s="67"/>
      <c r="F780" s="67"/>
      <c r="G780" s="67"/>
      <c r="H780" s="69"/>
      <c r="I780" s="284">
        <f>SUM(I778:I779)</f>
        <v>32670</v>
      </c>
    </row>
    <row r="781" spans="3:10" s="297" customFormat="1" ht="21.6" customHeight="1">
      <c r="C781" s="293" t="s">
        <v>1218</v>
      </c>
      <c r="D781" s="294" t="s">
        <v>1219</v>
      </c>
      <c r="E781" s="295"/>
      <c r="F781" s="295"/>
      <c r="G781" s="295"/>
      <c r="H781" s="296"/>
      <c r="I781" s="284">
        <f>I780+I776+I772</f>
        <v>97825.774999999994</v>
      </c>
      <c r="J781" s="119"/>
    </row>
    <row r="782" spans="3:10" s="297" customFormat="1" ht="21.6" customHeight="1">
      <c r="C782" s="293" t="s">
        <v>1220</v>
      </c>
      <c r="D782" s="294" t="s">
        <v>1321</v>
      </c>
      <c r="E782" s="295"/>
      <c r="F782" s="295"/>
      <c r="G782" s="296"/>
      <c r="H782" s="298">
        <f>$N$7</f>
        <v>0.1</v>
      </c>
      <c r="I782" s="284">
        <f>I781*H782</f>
        <v>9782.5774999999994</v>
      </c>
      <c r="J782" s="119"/>
    </row>
    <row r="783" spans="3:10" s="297" customFormat="1" ht="21.6" customHeight="1" thickBot="1">
      <c r="C783" s="299" t="s">
        <v>1221</v>
      </c>
      <c r="D783" s="300" t="s">
        <v>1222</v>
      </c>
      <c r="E783" s="301"/>
      <c r="F783" s="301"/>
      <c r="G783" s="301"/>
      <c r="H783" s="302"/>
      <c r="I783" s="303">
        <f>SUM(I781:I782)</f>
        <v>107608.35249999999</v>
      </c>
      <c r="J783" s="119"/>
    </row>
    <row r="784" spans="3:10" ht="14.4" thickTop="1"/>
    <row r="786" spans="3:10" ht="14.4" thickBot="1">
      <c r="C786" s="126" t="s">
        <v>2406</v>
      </c>
      <c r="D786" s="119" t="s">
        <v>2407</v>
      </c>
      <c r="J786" s="120">
        <f>ROUNDDOWN(I803,-2)</f>
        <v>111600</v>
      </c>
    </row>
    <row r="787" spans="3:10" ht="28.2" thickTop="1">
      <c r="C787" s="51" t="s">
        <v>1195</v>
      </c>
      <c r="D787" s="52" t="s">
        <v>1196</v>
      </c>
      <c r="E787" s="52" t="s">
        <v>1773</v>
      </c>
      <c r="F787" s="52" t="s">
        <v>1197</v>
      </c>
      <c r="G787" s="52" t="s">
        <v>1198</v>
      </c>
      <c r="H787" s="52" t="s">
        <v>1199</v>
      </c>
      <c r="I787" s="53" t="s">
        <v>1200</v>
      </c>
    </row>
    <row r="788" spans="3:10" ht="21.6" customHeight="1">
      <c r="C788" s="290" t="s">
        <v>1201</v>
      </c>
      <c r="D788" s="182" t="s">
        <v>1202</v>
      </c>
      <c r="E788" s="182"/>
      <c r="F788" s="70"/>
      <c r="G788" s="70"/>
      <c r="H788" s="70"/>
      <c r="I788" s="71"/>
    </row>
    <row r="789" spans="3:10" ht="21.6" customHeight="1">
      <c r="C789" s="310" t="s">
        <v>1203</v>
      </c>
      <c r="D789" s="182" t="s">
        <v>5</v>
      </c>
      <c r="E789" s="182" t="s">
        <v>1774</v>
      </c>
      <c r="F789" s="176" t="s">
        <v>1863</v>
      </c>
      <c r="G789" s="309">
        <v>0.13109999999999999</v>
      </c>
      <c r="H789" s="283">
        <f>VLOOKUP(D789,upahbahan,3,FALSE)/8</f>
        <v>12500</v>
      </c>
      <c r="I789" s="284">
        <f>G789*H789</f>
        <v>1638.75</v>
      </c>
    </row>
    <row r="790" spans="3:10" ht="21.6" customHeight="1">
      <c r="C790" s="310">
        <v>2</v>
      </c>
      <c r="D790" s="182" t="s">
        <v>7</v>
      </c>
      <c r="E790" s="182" t="s">
        <v>1775</v>
      </c>
      <c r="F790" s="176" t="s">
        <v>1863</v>
      </c>
      <c r="G790" s="309">
        <v>6.5600000000000006E-2</v>
      </c>
      <c r="H790" s="283">
        <f>VLOOKUP(D790,upahbahan,3,FALSE)/8</f>
        <v>16875</v>
      </c>
      <c r="I790" s="284">
        <f>G790*H790</f>
        <v>1107</v>
      </c>
    </row>
    <row r="791" spans="3:10" s="59" customFormat="1" ht="21.6" customHeight="1">
      <c r="C791" s="310">
        <v>3</v>
      </c>
      <c r="D791" s="182" t="s">
        <v>19</v>
      </c>
      <c r="E791" s="182" t="s">
        <v>1777</v>
      </c>
      <c r="F791" s="176" t="s">
        <v>1863</v>
      </c>
      <c r="G791" s="309">
        <v>1.3100000000000001E-2</v>
      </c>
      <c r="H791" s="283">
        <f>VLOOKUP(D791,upahbahan,3,FALSE)/8</f>
        <v>20000</v>
      </c>
      <c r="I791" s="284">
        <f>G791*H791</f>
        <v>262</v>
      </c>
      <c r="J791" s="119"/>
    </row>
    <row r="792" spans="3:10" ht="21.6" customHeight="1">
      <c r="C792" s="66" t="s">
        <v>1208</v>
      </c>
      <c r="D792" s="67"/>
      <c r="E792" s="67"/>
      <c r="F792" s="67"/>
      <c r="G792" s="68"/>
      <c r="H792" s="69"/>
      <c r="I792" s="284">
        <f>SUM(I789:I791)</f>
        <v>3007.75</v>
      </c>
    </row>
    <row r="793" spans="3:10" ht="21.6" customHeight="1">
      <c r="C793" s="290" t="s">
        <v>1209</v>
      </c>
      <c r="D793" s="182" t="s">
        <v>1210</v>
      </c>
      <c r="E793" s="182"/>
      <c r="F793" s="70"/>
      <c r="G793" s="70"/>
      <c r="H793" s="70"/>
      <c r="I793" s="71"/>
    </row>
    <row r="794" spans="3:10" ht="21.6" customHeight="1">
      <c r="C794" s="184">
        <v>1</v>
      </c>
      <c r="D794" s="109" t="s">
        <v>5239</v>
      </c>
      <c r="E794" s="109"/>
      <c r="F794" s="109" t="s">
        <v>2167</v>
      </c>
      <c r="G794" s="109">
        <v>0.16669999999999999</v>
      </c>
      <c r="H794" s="185">
        <f>VLOOKUP(D794,upahbahan,3,FALSE)</f>
        <v>250000</v>
      </c>
      <c r="I794" s="284">
        <f>G794*H794</f>
        <v>41675</v>
      </c>
    </row>
    <row r="795" spans="3:10" ht="21.6" customHeight="1">
      <c r="C795" s="184">
        <v>2</v>
      </c>
      <c r="D795" s="109" t="s">
        <v>5242</v>
      </c>
      <c r="E795" s="109"/>
      <c r="F795" s="109" t="s">
        <v>2167</v>
      </c>
      <c r="G795" s="109">
        <v>0.16669999999999999</v>
      </c>
      <c r="H795" s="185">
        <f>VLOOKUP(D795,upahbahan,3,FALSE)</f>
        <v>124500</v>
      </c>
      <c r="I795" s="284">
        <f>G795*H795</f>
        <v>20754.149999999998</v>
      </c>
    </row>
    <row r="796" spans="3:10" ht="21.6" customHeight="1">
      <c r="C796" s="66" t="s">
        <v>1214</v>
      </c>
      <c r="D796" s="67"/>
      <c r="E796" s="67"/>
      <c r="F796" s="67"/>
      <c r="G796" s="67"/>
      <c r="H796" s="69"/>
      <c r="I796" s="313">
        <f>SUM(I794:I795)</f>
        <v>62429.149999999994</v>
      </c>
    </row>
    <row r="797" spans="3:10" ht="21.6" customHeight="1">
      <c r="C797" s="290" t="s">
        <v>1215</v>
      </c>
      <c r="D797" s="182" t="s">
        <v>1216</v>
      </c>
      <c r="E797" s="182"/>
      <c r="F797" s="70"/>
      <c r="G797" s="70"/>
      <c r="H797" s="70"/>
      <c r="I797" s="71"/>
    </row>
    <row r="798" spans="3:10" ht="21.6" customHeight="1">
      <c r="C798" s="316">
        <v>1</v>
      </c>
      <c r="D798" s="109" t="s">
        <v>6498</v>
      </c>
      <c r="E798" s="109"/>
      <c r="F798" s="108" t="s">
        <v>2396</v>
      </c>
      <c r="G798" s="116">
        <v>6.5600000000000006E-2</v>
      </c>
      <c r="H798" s="185">
        <f>VLOOKUP(D798,upahbahan,3,FALSE)</f>
        <v>500000</v>
      </c>
      <c r="I798" s="317">
        <f>G798*H798</f>
        <v>32800</v>
      </c>
    </row>
    <row r="799" spans="3:10" ht="21.6" customHeight="1">
      <c r="C799" s="318">
        <v>2</v>
      </c>
      <c r="D799" s="109" t="s">
        <v>6494</v>
      </c>
      <c r="E799" s="109"/>
      <c r="F799" s="115" t="s">
        <v>1074</v>
      </c>
      <c r="G799" s="116">
        <v>6.5600000000000006E-2</v>
      </c>
      <c r="H799" s="185">
        <f>VLOOKUP(D799,upahbahan,3,FALSE)</f>
        <v>50000</v>
      </c>
      <c r="I799" s="317">
        <f>G799*H799</f>
        <v>3280.0000000000005</v>
      </c>
    </row>
    <row r="800" spans="3:10" ht="21.6" customHeight="1">
      <c r="C800" s="66" t="s">
        <v>1217</v>
      </c>
      <c r="D800" s="67"/>
      <c r="E800" s="67"/>
      <c r="F800" s="67"/>
      <c r="G800" s="67"/>
      <c r="H800" s="69"/>
      <c r="I800" s="284">
        <f>SUM(I798:I799)</f>
        <v>36080</v>
      </c>
    </row>
    <row r="801" spans="3:10" s="297" customFormat="1" ht="21.6" customHeight="1">
      <c r="C801" s="293" t="s">
        <v>1218</v>
      </c>
      <c r="D801" s="294" t="s">
        <v>1219</v>
      </c>
      <c r="E801" s="295"/>
      <c r="F801" s="295"/>
      <c r="G801" s="295"/>
      <c r="H801" s="296"/>
      <c r="I801" s="284">
        <f>I800+I796+I792</f>
        <v>101516.9</v>
      </c>
      <c r="J801" s="119"/>
    </row>
    <row r="802" spans="3:10" s="297" customFormat="1" ht="21.6" customHeight="1">
      <c r="C802" s="293" t="s">
        <v>1220</v>
      </c>
      <c r="D802" s="294" t="s">
        <v>1321</v>
      </c>
      <c r="E802" s="295"/>
      <c r="F802" s="295"/>
      <c r="G802" s="296"/>
      <c r="H802" s="298">
        <f>$N$7</f>
        <v>0.1</v>
      </c>
      <c r="I802" s="284">
        <f>I801*H802</f>
        <v>10151.69</v>
      </c>
      <c r="J802" s="119"/>
    </row>
    <row r="803" spans="3:10" s="297" customFormat="1" ht="21.6" customHeight="1" thickBot="1">
      <c r="C803" s="299" t="s">
        <v>1221</v>
      </c>
      <c r="D803" s="300" t="s">
        <v>1222</v>
      </c>
      <c r="E803" s="301"/>
      <c r="F803" s="301"/>
      <c r="G803" s="301"/>
      <c r="H803" s="302"/>
      <c r="I803" s="303">
        <f>SUM(I801:I802)</f>
        <v>111668.59</v>
      </c>
      <c r="J803" s="119"/>
    </row>
    <row r="804" spans="3:10" ht="14.4" thickTop="1"/>
    <row r="807" spans="3:10" ht="14.4" thickBot="1">
      <c r="C807" s="126" t="s">
        <v>2408</v>
      </c>
      <c r="D807" s="119" t="s">
        <v>2409</v>
      </c>
      <c r="J807" s="120">
        <f>ROUNDDOWN(I824,-2)</f>
        <v>115800</v>
      </c>
    </row>
    <row r="808" spans="3:10" ht="28.2" thickTop="1">
      <c r="C808" s="51" t="s">
        <v>1195</v>
      </c>
      <c r="D808" s="52" t="s">
        <v>1196</v>
      </c>
      <c r="E808" s="52" t="s">
        <v>1773</v>
      </c>
      <c r="F808" s="52" t="s">
        <v>1197</v>
      </c>
      <c r="G808" s="52" t="s">
        <v>1198</v>
      </c>
      <c r="H808" s="52" t="s">
        <v>1199</v>
      </c>
      <c r="I808" s="53" t="s">
        <v>1200</v>
      </c>
    </row>
    <row r="809" spans="3:10" ht="21.6" customHeight="1">
      <c r="C809" s="290" t="s">
        <v>1201</v>
      </c>
      <c r="D809" s="182" t="s">
        <v>1202</v>
      </c>
      <c r="E809" s="182"/>
      <c r="F809" s="70"/>
      <c r="G809" s="70"/>
      <c r="H809" s="70"/>
      <c r="I809" s="71"/>
    </row>
    <row r="810" spans="3:10" ht="21.6" customHeight="1">
      <c r="C810" s="310" t="s">
        <v>1203</v>
      </c>
      <c r="D810" s="182" t="s">
        <v>5</v>
      </c>
      <c r="E810" s="182" t="s">
        <v>1774</v>
      </c>
      <c r="F810" s="176" t="s">
        <v>1863</v>
      </c>
      <c r="G810" s="309">
        <v>0.1439</v>
      </c>
      <c r="H810" s="283">
        <f>VLOOKUP(D810,upahbahan,3,FALSE)/8</f>
        <v>12500</v>
      </c>
      <c r="I810" s="284">
        <f>G810*H810</f>
        <v>1798.75</v>
      </c>
    </row>
    <row r="811" spans="3:10" ht="21.6" customHeight="1">
      <c r="C811" s="310">
        <v>2</v>
      </c>
      <c r="D811" s="182" t="s">
        <v>7</v>
      </c>
      <c r="E811" s="182" t="s">
        <v>1775</v>
      </c>
      <c r="F811" s="176" t="s">
        <v>1863</v>
      </c>
      <c r="G811" s="309">
        <v>7.1999999999999995E-2</v>
      </c>
      <c r="H811" s="283">
        <f>VLOOKUP(D811,upahbahan,3,FALSE)/8</f>
        <v>16875</v>
      </c>
      <c r="I811" s="284">
        <f>G811*H811</f>
        <v>1215</v>
      </c>
    </row>
    <row r="812" spans="3:10" s="59" customFormat="1" ht="21.6" customHeight="1">
      <c r="C812" s="310">
        <v>3</v>
      </c>
      <c r="D812" s="182" t="s">
        <v>19</v>
      </c>
      <c r="E812" s="182" t="s">
        <v>1777</v>
      </c>
      <c r="F812" s="176" t="s">
        <v>1863</v>
      </c>
      <c r="G812" s="309">
        <v>1.44E-2</v>
      </c>
      <c r="H812" s="283">
        <f>VLOOKUP(D812,upahbahan,3,FALSE)/8</f>
        <v>20000</v>
      </c>
      <c r="I812" s="284">
        <f>G812*H812</f>
        <v>288</v>
      </c>
      <c r="J812" s="119"/>
    </row>
    <row r="813" spans="3:10" ht="21.6" customHeight="1">
      <c r="C813" s="66" t="s">
        <v>1208</v>
      </c>
      <c r="D813" s="67"/>
      <c r="E813" s="67"/>
      <c r="F813" s="67"/>
      <c r="G813" s="68"/>
      <c r="H813" s="69"/>
      <c r="I813" s="284">
        <f>SUM(I810:I812)</f>
        <v>3301.75</v>
      </c>
    </row>
    <row r="814" spans="3:10" ht="21.6" customHeight="1">
      <c r="C814" s="290" t="s">
        <v>1209</v>
      </c>
      <c r="D814" s="182" t="s">
        <v>1210</v>
      </c>
      <c r="E814" s="182"/>
      <c r="F814" s="70"/>
      <c r="G814" s="70"/>
      <c r="H814" s="70"/>
      <c r="I814" s="71"/>
    </row>
    <row r="815" spans="3:10" ht="21.6" customHeight="1">
      <c r="C815" s="184">
        <v>1</v>
      </c>
      <c r="D815" s="109" t="s">
        <v>5239</v>
      </c>
      <c r="E815" s="109"/>
      <c r="F815" s="109" t="s">
        <v>2167</v>
      </c>
      <c r="G815" s="116">
        <v>0.16669999999999999</v>
      </c>
      <c r="H815" s="185">
        <f>VLOOKUP(D815,upahbahan,3,FALSE)</f>
        <v>250000</v>
      </c>
      <c r="I815" s="284">
        <f>G815*H815</f>
        <v>41675</v>
      </c>
    </row>
    <row r="816" spans="3:10" ht="21.6" customHeight="1">
      <c r="C816" s="184">
        <v>2</v>
      </c>
      <c r="D816" s="109" t="s">
        <v>5242</v>
      </c>
      <c r="E816" s="109"/>
      <c r="F816" s="109" t="s">
        <v>2167</v>
      </c>
      <c r="G816" s="116">
        <v>0.16669999999999999</v>
      </c>
      <c r="H816" s="185">
        <f>VLOOKUP(D816,upahbahan,3,FALSE)</f>
        <v>124500</v>
      </c>
      <c r="I816" s="284">
        <f>G816*H816</f>
        <v>20754.149999999998</v>
      </c>
    </row>
    <row r="817" spans="3:10" ht="21.6" customHeight="1">
      <c r="C817" s="66" t="s">
        <v>1214</v>
      </c>
      <c r="D817" s="67"/>
      <c r="E817" s="67"/>
      <c r="F817" s="67"/>
      <c r="G817" s="117"/>
      <c r="H817" s="69"/>
      <c r="I817" s="313">
        <f>SUM(I815:I816)</f>
        <v>62429.149999999994</v>
      </c>
    </row>
    <row r="818" spans="3:10" ht="21.6" customHeight="1">
      <c r="C818" s="290" t="s">
        <v>1215</v>
      </c>
      <c r="D818" s="182" t="s">
        <v>1216</v>
      </c>
      <c r="E818" s="182"/>
      <c r="F818" s="70"/>
      <c r="G818" s="118"/>
      <c r="H818" s="70"/>
      <c r="I818" s="71"/>
    </row>
    <row r="819" spans="3:10" ht="21.6" customHeight="1">
      <c r="C819" s="316">
        <v>1</v>
      </c>
      <c r="D819" s="109" t="s">
        <v>6498</v>
      </c>
      <c r="E819" s="109"/>
      <c r="F819" s="108" t="s">
        <v>2396</v>
      </c>
      <c r="G819" s="116">
        <v>7.1999999999999995E-2</v>
      </c>
      <c r="H819" s="185">
        <f>VLOOKUP(D819,upahbahan,3,FALSE)</f>
        <v>500000</v>
      </c>
      <c r="I819" s="317">
        <f>G819*H819</f>
        <v>36000</v>
      </c>
    </row>
    <row r="820" spans="3:10" ht="21.6" customHeight="1">
      <c r="C820" s="318">
        <v>2</v>
      </c>
      <c r="D820" s="109" t="s">
        <v>6504</v>
      </c>
      <c r="E820" s="109"/>
      <c r="F820" s="115" t="s">
        <v>1074</v>
      </c>
      <c r="G820" s="116">
        <v>7.1999999999999995E-2</v>
      </c>
      <c r="H820" s="185">
        <f>VLOOKUP(D820,upahbahan,3,FALSE)</f>
        <v>50000</v>
      </c>
      <c r="I820" s="317">
        <f>G820*H820</f>
        <v>3599.9999999999995</v>
      </c>
    </row>
    <row r="821" spans="3:10" ht="21.6" customHeight="1">
      <c r="C821" s="66" t="s">
        <v>1217</v>
      </c>
      <c r="D821" s="67"/>
      <c r="E821" s="67"/>
      <c r="F821" s="67"/>
      <c r="G821" s="67"/>
      <c r="H821" s="69"/>
      <c r="I821" s="284">
        <f>SUM(I819:I820)</f>
        <v>39600</v>
      </c>
    </row>
    <row r="822" spans="3:10" s="297" customFormat="1" ht="21.6" customHeight="1">
      <c r="C822" s="293" t="s">
        <v>1218</v>
      </c>
      <c r="D822" s="294" t="s">
        <v>1219</v>
      </c>
      <c r="E822" s="295"/>
      <c r="F822" s="295"/>
      <c r="G822" s="295"/>
      <c r="H822" s="296"/>
      <c r="I822" s="284">
        <f>I821+I817+I813</f>
        <v>105330.9</v>
      </c>
      <c r="J822" s="119"/>
    </row>
    <row r="823" spans="3:10" s="297" customFormat="1" ht="21.6" customHeight="1">
      <c r="C823" s="293" t="s">
        <v>1220</v>
      </c>
      <c r="D823" s="294" t="s">
        <v>1321</v>
      </c>
      <c r="E823" s="295"/>
      <c r="F823" s="295"/>
      <c r="G823" s="296"/>
      <c r="H823" s="298">
        <f>$N$7</f>
        <v>0.1</v>
      </c>
      <c r="I823" s="284">
        <f>I822*H823</f>
        <v>10533.09</v>
      </c>
      <c r="J823" s="119"/>
    </row>
    <row r="824" spans="3:10" s="297" customFormat="1" ht="21.6" customHeight="1" thickBot="1">
      <c r="C824" s="299" t="s">
        <v>1221</v>
      </c>
      <c r="D824" s="300" t="s">
        <v>1222</v>
      </c>
      <c r="E824" s="301"/>
      <c r="F824" s="301"/>
      <c r="G824" s="301"/>
      <c r="H824" s="302"/>
      <c r="I824" s="303">
        <f>SUM(I822:I823)</f>
        <v>115863.98999999999</v>
      </c>
      <c r="J824" s="119"/>
    </row>
    <row r="825" spans="3:10" ht="14.4" thickTop="1"/>
    <row r="827" spans="3:10" ht="14.4" thickBot="1">
      <c r="C827" s="126" t="s">
        <v>2410</v>
      </c>
      <c r="D827" s="119" t="s">
        <v>2411</v>
      </c>
      <c r="J827" s="120">
        <f>ROUNDDOWN(I844,-2)</f>
        <v>116300</v>
      </c>
    </row>
    <row r="828" spans="3:10" ht="28.2" thickTop="1">
      <c r="C828" s="51" t="s">
        <v>1195</v>
      </c>
      <c r="D828" s="52" t="s">
        <v>1196</v>
      </c>
      <c r="E828" s="52" t="s">
        <v>1773</v>
      </c>
      <c r="F828" s="52" t="s">
        <v>1197</v>
      </c>
      <c r="G828" s="52" t="s">
        <v>1198</v>
      </c>
      <c r="H828" s="52" t="s">
        <v>1199</v>
      </c>
      <c r="I828" s="53" t="s">
        <v>1200</v>
      </c>
    </row>
    <row r="829" spans="3:10" ht="21.6" customHeight="1">
      <c r="C829" s="290" t="s">
        <v>1201</v>
      </c>
      <c r="D829" s="182" t="s">
        <v>1202</v>
      </c>
      <c r="E829" s="182"/>
      <c r="F829" s="70"/>
      <c r="G829" s="70"/>
      <c r="H829" s="70"/>
      <c r="I829" s="71"/>
    </row>
    <row r="830" spans="3:10" ht="21.6" customHeight="1">
      <c r="C830" s="310" t="s">
        <v>1203</v>
      </c>
      <c r="D830" s="182" t="s">
        <v>5</v>
      </c>
      <c r="E830" s="182" t="s">
        <v>1774</v>
      </c>
      <c r="F830" s="176" t="s">
        <v>1863</v>
      </c>
      <c r="G830" s="309">
        <v>0.14560000000000001</v>
      </c>
      <c r="H830" s="283">
        <f>VLOOKUP(D830,upahbahan,3,FALSE)/8</f>
        <v>12500</v>
      </c>
      <c r="I830" s="284">
        <f>G830*H830</f>
        <v>1820</v>
      </c>
    </row>
    <row r="831" spans="3:10" ht="21.6" customHeight="1">
      <c r="C831" s="310">
        <v>2</v>
      </c>
      <c r="D831" s="182" t="s">
        <v>7</v>
      </c>
      <c r="E831" s="182" t="s">
        <v>1775</v>
      </c>
      <c r="F831" s="176" t="s">
        <v>1863</v>
      </c>
      <c r="G831" s="309">
        <v>7.2800000000000004E-2</v>
      </c>
      <c r="H831" s="283">
        <f>VLOOKUP(D831,upahbahan,3,FALSE)/8</f>
        <v>16875</v>
      </c>
      <c r="I831" s="284">
        <f>G831*H831</f>
        <v>1228.5</v>
      </c>
    </row>
    <row r="832" spans="3:10" s="59" customFormat="1" ht="21.6" customHeight="1">
      <c r="C832" s="310">
        <v>3</v>
      </c>
      <c r="D832" s="182" t="s">
        <v>19</v>
      </c>
      <c r="E832" s="182" t="s">
        <v>1777</v>
      </c>
      <c r="F832" s="176" t="s">
        <v>1863</v>
      </c>
      <c r="G832" s="309">
        <v>1.46E-2</v>
      </c>
      <c r="H832" s="283">
        <f>VLOOKUP(D832,upahbahan,3,FALSE)/8</f>
        <v>20000</v>
      </c>
      <c r="I832" s="284">
        <f>G832*H832</f>
        <v>292</v>
      </c>
      <c r="J832" s="119"/>
    </row>
    <row r="833" spans="3:12" ht="21.6" customHeight="1">
      <c r="C833" s="66" t="s">
        <v>1208</v>
      </c>
      <c r="D833" s="67"/>
      <c r="E833" s="67"/>
      <c r="F833" s="67"/>
      <c r="G833" s="68"/>
      <c r="H833" s="69"/>
      <c r="I833" s="284">
        <f>SUM(I830:I832)</f>
        <v>3340.5</v>
      </c>
    </row>
    <row r="834" spans="3:12" ht="21.6" customHeight="1">
      <c r="C834" s="290" t="s">
        <v>1209</v>
      </c>
      <c r="D834" s="182" t="s">
        <v>1210</v>
      </c>
      <c r="E834" s="182"/>
      <c r="F834" s="70"/>
      <c r="G834" s="70"/>
      <c r="H834" s="70"/>
      <c r="I834" s="71"/>
    </row>
    <row r="835" spans="3:12" ht="21.6" customHeight="1">
      <c r="C835" s="184">
        <v>1</v>
      </c>
      <c r="D835" s="109" t="s">
        <v>5239</v>
      </c>
      <c r="E835" s="109"/>
      <c r="F835" s="109" t="s">
        <v>2167</v>
      </c>
      <c r="G835" s="116">
        <v>0.16669999999999999</v>
      </c>
      <c r="H835" s="185">
        <f>VLOOKUP(D835,upahbahan,3,FALSE)</f>
        <v>250000</v>
      </c>
      <c r="I835" s="284">
        <f>G835*H835</f>
        <v>41675</v>
      </c>
    </row>
    <row r="836" spans="3:12" ht="21.6" customHeight="1">
      <c r="C836" s="184">
        <v>2</v>
      </c>
      <c r="D836" s="109" t="s">
        <v>5242</v>
      </c>
      <c r="E836" s="109"/>
      <c r="F836" s="109" t="s">
        <v>2167</v>
      </c>
      <c r="G836" s="116">
        <v>0.16669999999999999</v>
      </c>
      <c r="H836" s="185">
        <f>VLOOKUP(D836,upahbahan,3,FALSE)</f>
        <v>124500</v>
      </c>
      <c r="I836" s="284">
        <f>G836*H836</f>
        <v>20754.149999999998</v>
      </c>
    </row>
    <row r="837" spans="3:12" ht="21.6" customHeight="1">
      <c r="C837" s="66" t="s">
        <v>1214</v>
      </c>
      <c r="D837" s="67"/>
      <c r="E837" s="67"/>
      <c r="F837" s="67"/>
      <c r="G837" s="67"/>
      <c r="H837" s="69"/>
      <c r="I837" s="313">
        <f>SUM(I835:I836)</f>
        <v>62429.149999999994</v>
      </c>
    </row>
    <row r="838" spans="3:12" ht="21.6" customHeight="1">
      <c r="C838" s="290" t="s">
        <v>1215</v>
      </c>
      <c r="D838" s="182" t="s">
        <v>1216</v>
      </c>
      <c r="E838" s="182"/>
      <c r="F838" s="70"/>
      <c r="G838" s="70"/>
      <c r="H838" s="70"/>
      <c r="I838" s="71"/>
    </row>
    <row r="839" spans="3:12" ht="21.6" customHeight="1">
      <c r="C839" s="316">
        <v>1</v>
      </c>
      <c r="D839" s="109" t="s">
        <v>6498</v>
      </c>
      <c r="E839" s="109"/>
      <c r="F839" s="108" t="s">
        <v>2396</v>
      </c>
      <c r="G839" s="116">
        <v>7.2800000000000004E-2</v>
      </c>
      <c r="H839" s="185">
        <f>VLOOKUP(D839,upahbahan,3,FALSE)</f>
        <v>500000</v>
      </c>
      <c r="I839" s="317">
        <f>G839*H839</f>
        <v>36400</v>
      </c>
    </row>
    <row r="840" spans="3:12" ht="21.6" customHeight="1">
      <c r="C840" s="318">
        <v>2</v>
      </c>
      <c r="D840" s="109" t="s">
        <v>6504</v>
      </c>
      <c r="E840" s="109"/>
      <c r="F840" s="115" t="s">
        <v>1074</v>
      </c>
      <c r="G840" s="116">
        <v>7.2800000000000004E-2</v>
      </c>
      <c r="H840" s="185">
        <f>VLOOKUP(D840,upahbahan,3,FALSE)</f>
        <v>50000</v>
      </c>
      <c r="I840" s="317">
        <f>G840*H840</f>
        <v>3640</v>
      </c>
    </row>
    <row r="841" spans="3:12" ht="21.6" customHeight="1">
      <c r="C841" s="66" t="s">
        <v>1217</v>
      </c>
      <c r="D841" s="67"/>
      <c r="E841" s="67"/>
      <c r="F841" s="67"/>
      <c r="G841" s="67"/>
      <c r="H841" s="69"/>
      <c r="I841" s="284">
        <f>SUM(I839:I840)</f>
        <v>40040</v>
      </c>
    </row>
    <row r="842" spans="3:12" s="297" customFormat="1" ht="21.6" customHeight="1">
      <c r="C842" s="293" t="s">
        <v>1218</v>
      </c>
      <c r="D842" s="294" t="s">
        <v>1219</v>
      </c>
      <c r="E842" s="295"/>
      <c r="F842" s="295"/>
      <c r="G842" s="295"/>
      <c r="H842" s="296"/>
      <c r="I842" s="284">
        <f>I841+I837+I833</f>
        <v>105809.65</v>
      </c>
      <c r="J842" s="119"/>
    </row>
    <row r="843" spans="3:12" s="297" customFormat="1" ht="21.6" customHeight="1">
      <c r="C843" s="293" t="s">
        <v>1220</v>
      </c>
      <c r="D843" s="294" t="s">
        <v>1321</v>
      </c>
      <c r="E843" s="295"/>
      <c r="F843" s="295"/>
      <c r="G843" s="296"/>
      <c r="H843" s="298">
        <f>$N$7</f>
        <v>0.1</v>
      </c>
      <c r="I843" s="284">
        <f>I842*H843</f>
        <v>10580.965</v>
      </c>
      <c r="J843" s="119"/>
    </row>
    <row r="844" spans="3:12" s="297" customFormat="1" ht="21.6" customHeight="1" thickBot="1">
      <c r="C844" s="299" t="s">
        <v>1221</v>
      </c>
      <c r="D844" s="300" t="s">
        <v>1222</v>
      </c>
      <c r="E844" s="301"/>
      <c r="F844" s="301"/>
      <c r="G844" s="301"/>
      <c r="H844" s="302"/>
      <c r="I844" s="303">
        <f>SUM(I842:I843)</f>
        <v>116390.61499999999</v>
      </c>
      <c r="J844" s="119"/>
    </row>
    <row r="845" spans="3:12" ht="14.4" thickTop="1"/>
    <row r="847" spans="3:12" ht="14.4" thickBot="1">
      <c r="C847" s="126" t="s">
        <v>2412</v>
      </c>
      <c r="D847" s="119" t="s">
        <v>2413</v>
      </c>
      <c r="J847" s="120">
        <f>ROUNDDOWN(I864,-2)</f>
        <v>103600</v>
      </c>
      <c r="K847" s="280" t="s">
        <v>6451</v>
      </c>
      <c r="L847" s="280" t="s">
        <v>6499</v>
      </c>
    </row>
    <row r="848" spans="3:12" ht="28.2" thickTop="1">
      <c r="C848" s="51" t="s">
        <v>1195</v>
      </c>
      <c r="D848" s="52" t="s">
        <v>1196</v>
      </c>
      <c r="E848" s="52" t="s">
        <v>1773</v>
      </c>
      <c r="F848" s="52" t="s">
        <v>1197</v>
      </c>
      <c r="G848" s="52" t="s">
        <v>1198</v>
      </c>
      <c r="H848" s="52" t="s">
        <v>1199</v>
      </c>
      <c r="I848" s="53" t="s">
        <v>1200</v>
      </c>
    </row>
    <row r="849" spans="3:10" ht="21.6" customHeight="1">
      <c r="C849" s="290" t="s">
        <v>1201</v>
      </c>
      <c r="D849" s="182" t="s">
        <v>1202</v>
      </c>
      <c r="E849" s="182"/>
      <c r="F849" s="70"/>
      <c r="G849" s="70"/>
      <c r="H849" s="70"/>
      <c r="I849" s="71"/>
    </row>
    <row r="850" spans="3:10" ht="21.6" customHeight="1">
      <c r="C850" s="310" t="s">
        <v>1203</v>
      </c>
      <c r="D850" s="182" t="s">
        <v>5</v>
      </c>
      <c r="E850" s="182" t="s">
        <v>1774</v>
      </c>
      <c r="F850" s="176" t="s">
        <v>1863</v>
      </c>
      <c r="G850" s="309">
        <v>0.1011</v>
      </c>
      <c r="H850" s="283">
        <f>VLOOKUP(D850,upahbahan,3,FALSE)/8</f>
        <v>12500</v>
      </c>
      <c r="I850" s="284">
        <f>G850*H850</f>
        <v>1263.75</v>
      </c>
    </row>
    <row r="851" spans="3:10" ht="21.6" customHeight="1">
      <c r="C851" s="310">
        <v>2</v>
      </c>
      <c r="D851" s="182" t="s">
        <v>7</v>
      </c>
      <c r="E851" s="182" t="s">
        <v>1775</v>
      </c>
      <c r="F851" s="176" t="s">
        <v>1863</v>
      </c>
      <c r="G851" s="309">
        <v>5.0500000000000003E-2</v>
      </c>
      <c r="H851" s="283">
        <f>VLOOKUP(D851,upahbahan,3,FALSE)/8</f>
        <v>16875</v>
      </c>
      <c r="I851" s="284">
        <f>G851*H851</f>
        <v>852.1875</v>
      </c>
    </row>
    <row r="852" spans="3:10" s="59" customFormat="1" ht="21.6" customHeight="1">
      <c r="C852" s="310">
        <v>3</v>
      </c>
      <c r="D852" s="182" t="s">
        <v>19</v>
      </c>
      <c r="E852" s="182" t="s">
        <v>1777</v>
      </c>
      <c r="F852" s="176" t="s">
        <v>1863</v>
      </c>
      <c r="G852" s="309">
        <v>1.01E-2</v>
      </c>
      <c r="H852" s="283">
        <f>VLOOKUP(D852,upahbahan,3,FALSE)/8</f>
        <v>20000</v>
      </c>
      <c r="I852" s="284">
        <f>G852*H852</f>
        <v>202</v>
      </c>
      <c r="J852" s="119"/>
    </row>
    <row r="853" spans="3:10" ht="21.6" customHeight="1">
      <c r="C853" s="66" t="s">
        <v>1208</v>
      </c>
      <c r="D853" s="67"/>
      <c r="E853" s="67"/>
      <c r="F853" s="67"/>
      <c r="G853" s="68"/>
      <c r="H853" s="69"/>
      <c r="I853" s="284">
        <f>SUM(I850:I852)</f>
        <v>2317.9375</v>
      </c>
    </row>
    <row r="854" spans="3:10" ht="21.6" customHeight="1">
      <c r="C854" s="290" t="s">
        <v>1209</v>
      </c>
      <c r="D854" s="182" t="s">
        <v>1210</v>
      </c>
      <c r="E854" s="182"/>
      <c r="F854" s="70"/>
      <c r="G854" s="70"/>
      <c r="H854" s="70"/>
      <c r="I854" s="71"/>
    </row>
    <row r="855" spans="3:10" ht="21.6" customHeight="1">
      <c r="C855" s="184">
        <v>1</v>
      </c>
      <c r="D855" s="109" t="s">
        <v>6496</v>
      </c>
      <c r="E855" s="109"/>
      <c r="F855" s="109" t="s">
        <v>2167</v>
      </c>
      <c r="G855" s="116">
        <v>0.16669999999999999</v>
      </c>
      <c r="H855" s="185">
        <f>VLOOKUP(D855,upahbahan,3,FALSE)</f>
        <v>250000</v>
      </c>
      <c r="I855" s="284">
        <f>G855*H855</f>
        <v>41675</v>
      </c>
    </row>
    <row r="856" spans="3:10" ht="21.6" customHeight="1">
      <c r="C856" s="184">
        <v>2</v>
      </c>
      <c r="D856" s="109" t="s">
        <v>6497</v>
      </c>
      <c r="E856" s="109"/>
      <c r="F856" s="109" t="s">
        <v>2167</v>
      </c>
      <c r="G856" s="116">
        <v>0.16669999999999999</v>
      </c>
      <c r="H856" s="185">
        <f>VLOOKUP(D856,upahbahan,3,FALSE)</f>
        <v>135000</v>
      </c>
      <c r="I856" s="284">
        <f>G856*H856</f>
        <v>22504.5</v>
      </c>
    </row>
    <row r="857" spans="3:10" ht="21.6" customHeight="1">
      <c r="C857" s="66" t="s">
        <v>1214</v>
      </c>
      <c r="D857" s="67"/>
      <c r="E857" s="67"/>
      <c r="F857" s="67"/>
      <c r="G857" s="67"/>
      <c r="H857" s="69"/>
      <c r="I857" s="313">
        <f>SUM(I855:I856)</f>
        <v>64179.5</v>
      </c>
    </row>
    <row r="858" spans="3:10" ht="21.6" customHeight="1">
      <c r="C858" s="290" t="s">
        <v>1215</v>
      </c>
      <c r="D858" s="182" t="s">
        <v>1216</v>
      </c>
      <c r="E858" s="182"/>
      <c r="F858" s="70"/>
      <c r="G858" s="70"/>
      <c r="H858" s="70"/>
      <c r="I858" s="71"/>
    </row>
    <row r="859" spans="3:10" ht="21.6" customHeight="1">
      <c r="C859" s="316">
        <v>1</v>
      </c>
      <c r="D859" s="109" t="s">
        <v>6498</v>
      </c>
      <c r="E859" s="109"/>
      <c r="F859" s="108" t="s">
        <v>2396</v>
      </c>
      <c r="G859" s="116">
        <v>5.0500000000000003E-2</v>
      </c>
      <c r="H859" s="185">
        <f>VLOOKUP(D859,upahbahan,3,FALSE)</f>
        <v>500000</v>
      </c>
      <c r="I859" s="317">
        <f>G859*H859</f>
        <v>25250</v>
      </c>
    </row>
    <row r="860" spans="3:10" ht="21.6" customHeight="1">
      <c r="C860" s="318">
        <v>2</v>
      </c>
      <c r="D860" s="109" t="s">
        <v>6494</v>
      </c>
      <c r="E860" s="109"/>
      <c r="F860" s="115" t="s">
        <v>1074</v>
      </c>
      <c r="G860" s="116">
        <v>5.0500000000000003E-2</v>
      </c>
      <c r="H860" s="185">
        <f>VLOOKUP(D860,upahbahan,3,FALSE)</f>
        <v>50000</v>
      </c>
      <c r="I860" s="317">
        <f>G860*H860</f>
        <v>2525</v>
      </c>
    </row>
    <row r="861" spans="3:10" ht="21.6" customHeight="1">
      <c r="C861" s="66" t="s">
        <v>1217</v>
      </c>
      <c r="D861" s="67"/>
      <c r="E861" s="67"/>
      <c r="F861" s="67"/>
      <c r="G861" s="67"/>
      <c r="H861" s="69"/>
      <c r="I861" s="284">
        <f>SUM(I859:I860)</f>
        <v>27775</v>
      </c>
    </row>
    <row r="862" spans="3:10" s="297" customFormat="1" ht="21.6" customHeight="1">
      <c r="C862" s="293" t="s">
        <v>1218</v>
      </c>
      <c r="D862" s="294" t="s">
        <v>1219</v>
      </c>
      <c r="E862" s="295"/>
      <c r="F862" s="295"/>
      <c r="G862" s="295"/>
      <c r="H862" s="296"/>
      <c r="I862" s="284">
        <f>I861+I857+I853</f>
        <v>94272.4375</v>
      </c>
      <c r="J862" s="119"/>
    </row>
    <row r="863" spans="3:10" s="297" customFormat="1" ht="21.6" customHeight="1">
      <c r="C863" s="293" t="s">
        <v>1220</v>
      </c>
      <c r="D863" s="294" t="s">
        <v>1321</v>
      </c>
      <c r="E863" s="295"/>
      <c r="F863" s="295"/>
      <c r="G863" s="296"/>
      <c r="H863" s="298">
        <f>$N$7</f>
        <v>0.1</v>
      </c>
      <c r="I863" s="284">
        <f>I862*H863</f>
        <v>9427.2437499999996</v>
      </c>
      <c r="J863" s="119"/>
    </row>
    <row r="864" spans="3:10" s="297" customFormat="1" ht="21.6" customHeight="1" thickBot="1">
      <c r="C864" s="299" t="s">
        <v>1221</v>
      </c>
      <c r="D864" s="300" t="s">
        <v>1222</v>
      </c>
      <c r="E864" s="301"/>
      <c r="F864" s="301"/>
      <c r="G864" s="301"/>
      <c r="H864" s="302"/>
      <c r="I864" s="303">
        <f>SUM(I862:I863)</f>
        <v>103699.68124999999</v>
      </c>
      <c r="J864" s="119"/>
    </row>
    <row r="865" spans="3:12" ht="21.6" customHeight="1" thickTop="1"/>
    <row r="867" spans="3:12" ht="14.4" thickBot="1">
      <c r="C867" s="126" t="s">
        <v>2414</v>
      </c>
      <c r="D867" s="119" t="s">
        <v>2415</v>
      </c>
      <c r="J867" s="120">
        <f>ROUNDDOWN(I884,-2)</f>
        <v>106000</v>
      </c>
      <c r="K867" s="280" t="s">
        <v>6451</v>
      </c>
      <c r="L867" s="280" t="s">
        <v>6499</v>
      </c>
    </row>
    <row r="868" spans="3:12" ht="28.2" thickTop="1">
      <c r="C868" s="51" t="s">
        <v>1195</v>
      </c>
      <c r="D868" s="52" t="s">
        <v>1196</v>
      </c>
      <c r="E868" s="52" t="s">
        <v>1773</v>
      </c>
      <c r="F868" s="52" t="s">
        <v>1197</v>
      </c>
      <c r="G868" s="52" t="s">
        <v>1198</v>
      </c>
      <c r="H868" s="52" t="s">
        <v>1199</v>
      </c>
      <c r="I868" s="53" t="s">
        <v>1200</v>
      </c>
    </row>
    <row r="869" spans="3:12" ht="21.6" customHeight="1">
      <c r="C869" s="290" t="s">
        <v>1201</v>
      </c>
      <c r="D869" s="182" t="s">
        <v>1202</v>
      </c>
      <c r="E869" s="182"/>
      <c r="F869" s="70"/>
      <c r="G869" s="70"/>
      <c r="H869" s="70"/>
      <c r="I869" s="71"/>
    </row>
    <row r="870" spans="3:12" ht="21.6" customHeight="1">
      <c r="C870" s="310" t="s">
        <v>1203</v>
      </c>
      <c r="D870" s="182" t="s">
        <v>5</v>
      </c>
      <c r="E870" s="182" t="s">
        <v>1774</v>
      </c>
      <c r="F870" s="176" t="s">
        <v>1863</v>
      </c>
      <c r="G870" s="309">
        <v>0.1026</v>
      </c>
      <c r="H870" s="283">
        <f>VLOOKUP(D870,upahbahan,3,FALSE)/8</f>
        <v>12500</v>
      </c>
      <c r="I870" s="284">
        <f>G870*H870</f>
        <v>1282.5</v>
      </c>
    </row>
    <row r="871" spans="3:12" ht="21.6" customHeight="1">
      <c r="C871" s="310">
        <v>2</v>
      </c>
      <c r="D871" s="182" t="s">
        <v>7</v>
      </c>
      <c r="E871" s="182" t="s">
        <v>1775</v>
      </c>
      <c r="F871" s="176" t="s">
        <v>1863</v>
      </c>
      <c r="G871" s="309">
        <v>5.1299999999999998E-2</v>
      </c>
      <c r="H871" s="283">
        <f>VLOOKUP(D871,upahbahan,3,FALSE)/8</f>
        <v>16875</v>
      </c>
      <c r="I871" s="284">
        <f>G871*H871</f>
        <v>865.6875</v>
      </c>
    </row>
    <row r="872" spans="3:12" s="59" customFormat="1" ht="21.6" customHeight="1">
      <c r="C872" s="310">
        <v>3</v>
      </c>
      <c r="D872" s="182" t="s">
        <v>19</v>
      </c>
      <c r="E872" s="182" t="s">
        <v>1777</v>
      </c>
      <c r="F872" s="176" t="s">
        <v>1863</v>
      </c>
      <c r="G872" s="309">
        <v>1.03E-2</v>
      </c>
      <c r="H872" s="283">
        <f>VLOOKUP(D872,upahbahan,3,FALSE)/8</f>
        <v>20000</v>
      </c>
      <c r="I872" s="284">
        <f>G872*H872</f>
        <v>206</v>
      </c>
      <c r="J872" s="119"/>
    </row>
    <row r="873" spans="3:12" ht="21.6" customHeight="1">
      <c r="C873" s="66" t="s">
        <v>1208</v>
      </c>
      <c r="D873" s="67"/>
      <c r="E873" s="67"/>
      <c r="F873" s="67"/>
      <c r="G873" s="68"/>
      <c r="H873" s="69"/>
      <c r="I873" s="284">
        <f>SUM(I870:I872)</f>
        <v>2354.1875</v>
      </c>
    </row>
    <row r="874" spans="3:12" ht="21.6" customHeight="1">
      <c r="C874" s="290" t="s">
        <v>1209</v>
      </c>
      <c r="D874" s="182" t="s">
        <v>1210</v>
      </c>
      <c r="E874" s="182"/>
      <c r="F874" s="70"/>
      <c r="G874" s="70"/>
      <c r="H874" s="70"/>
      <c r="I874" s="71"/>
    </row>
    <row r="875" spans="3:12" ht="21.6" customHeight="1">
      <c r="C875" s="184">
        <v>1</v>
      </c>
      <c r="D875" s="109" t="s">
        <v>6502</v>
      </c>
      <c r="E875" s="109"/>
      <c r="F875" s="109" t="s">
        <v>2167</v>
      </c>
      <c r="G875" s="116">
        <v>0.16669999999999999</v>
      </c>
      <c r="H875" s="185">
        <f>VLOOKUP(D875,upahbahan,3,FALSE)</f>
        <v>255000</v>
      </c>
      <c r="I875" s="284">
        <f>G875*H875</f>
        <v>42508.5</v>
      </c>
    </row>
    <row r="876" spans="3:12" ht="21.6" customHeight="1">
      <c r="C876" s="184">
        <v>2</v>
      </c>
      <c r="D876" s="109" t="s">
        <v>6503</v>
      </c>
      <c r="E876" s="109"/>
      <c r="F876" s="109" t="s">
        <v>2167</v>
      </c>
      <c r="G876" s="116">
        <v>0.16669999999999999</v>
      </c>
      <c r="H876" s="185">
        <f>VLOOKUP(D876,upahbahan,3,FALSE)</f>
        <v>140000</v>
      </c>
      <c r="I876" s="284">
        <f>G876*H876</f>
        <v>23338</v>
      </c>
    </row>
    <row r="877" spans="3:12" ht="21.6" customHeight="1">
      <c r="C877" s="66" t="s">
        <v>1214</v>
      </c>
      <c r="D877" s="67"/>
      <c r="E877" s="67"/>
      <c r="F877" s="67"/>
      <c r="G877" s="67"/>
      <c r="H877" s="69"/>
      <c r="I877" s="313">
        <f>SUM(I875:I876)</f>
        <v>65846.5</v>
      </c>
    </row>
    <row r="878" spans="3:12" ht="21.6" customHeight="1">
      <c r="C878" s="290" t="s">
        <v>1215</v>
      </c>
      <c r="D878" s="182" t="s">
        <v>1216</v>
      </c>
      <c r="E878" s="182"/>
      <c r="F878" s="70"/>
      <c r="G878" s="70"/>
      <c r="H878" s="70"/>
      <c r="I878" s="71"/>
    </row>
    <row r="879" spans="3:12" ht="21.6" customHeight="1">
      <c r="C879" s="316">
        <v>1</v>
      </c>
      <c r="D879" s="109" t="s">
        <v>6498</v>
      </c>
      <c r="E879" s="109"/>
      <c r="F879" s="108" t="s">
        <v>2396</v>
      </c>
      <c r="G879" s="116">
        <v>5.1299999999999998E-2</v>
      </c>
      <c r="H879" s="185">
        <f>VLOOKUP(D879,upahbahan,3,FALSE)</f>
        <v>500000</v>
      </c>
      <c r="I879" s="317">
        <f>G879*H879</f>
        <v>25650</v>
      </c>
    </row>
    <row r="880" spans="3:12" ht="21.6" customHeight="1">
      <c r="C880" s="318">
        <v>2</v>
      </c>
      <c r="D880" s="109" t="s">
        <v>6494</v>
      </c>
      <c r="E880" s="109"/>
      <c r="F880" s="115" t="s">
        <v>1074</v>
      </c>
      <c r="G880" s="116">
        <v>5.1299999999999998E-2</v>
      </c>
      <c r="H880" s="185">
        <f>VLOOKUP(D880,upahbahan,3,FALSE)</f>
        <v>50000</v>
      </c>
      <c r="I880" s="317">
        <f>G880*H880</f>
        <v>2565</v>
      </c>
    </row>
    <row r="881" spans="3:12" ht="21.6" customHeight="1">
      <c r="C881" s="66" t="s">
        <v>1217</v>
      </c>
      <c r="D881" s="67"/>
      <c r="E881" s="67"/>
      <c r="F881" s="67"/>
      <c r="G881" s="67"/>
      <c r="H881" s="69"/>
      <c r="I881" s="284">
        <f>SUM(I879:I880)</f>
        <v>28215</v>
      </c>
    </row>
    <row r="882" spans="3:12" s="297" customFormat="1" ht="21.6" customHeight="1">
      <c r="C882" s="293" t="s">
        <v>1218</v>
      </c>
      <c r="D882" s="294" t="s">
        <v>1219</v>
      </c>
      <c r="E882" s="295"/>
      <c r="F882" s="295"/>
      <c r="G882" s="295"/>
      <c r="H882" s="296"/>
      <c r="I882" s="284">
        <f>I881+I877+I873</f>
        <v>96415.6875</v>
      </c>
      <c r="J882" s="119"/>
    </row>
    <row r="883" spans="3:12" s="297" customFormat="1" ht="21.6" customHeight="1">
      <c r="C883" s="293" t="s">
        <v>1220</v>
      </c>
      <c r="D883" s="294" t="s">
        <v>1321</v>
      </c>
      <c r="E883" s="295"/>
      <c r="F883" s="295"/>
      <c r="G883" s="296"/>
      <c r="H883" s="298">
        <f>$N$7</f>
        <v>0.1</v>
      </c>
      <c r="I883" s="284">
        <f>I882*H883</f>
        <v>9641.5687500000004</v>
      </c>
      <c r="J883" s="119"/>
    </row>
    <row r="884" spans="3:12" s="297" customFormat="1" ht="21.6" customHeight="1" thickBot="1">
      <c r="C884" s="299" t="s">
        <v>1221</v>
      </c>
      <c r="D884" s="300" t="s">
        <v>1222</v>
      </c>
      <c r="E884" s="301"/>
      <c r="F884" s="301"/>
      <c r="G884" s="301"/>
      <c r="H884" s="302"/>
      <c r="I884" s="303">
        <f>SUM(I882:I883)</f>
        <v>106057.25625000001</v>
      </c>
      <c r="J884" s="119"/>
    </row>
    <row r="885" spans="3:12" ht="14.4" thickTop="1"/>
    <row r="886" spans="3:12" ht="14.4" thickBot="1">
      <c r="C886" s="126" t="s">
        <v>2416</v>
      </c>
      <c r="D886" s="119" t="s">
        <v>2417</v>
      </c>
      <c r="J886" s="120">
        <f>ROUNDDOWN(I903,-2)</f>
        <v>108300</v>
      </c>
      <c r="K886" s="280" t="s">
        <v>6456</v>
      </c>
      <c r="L886" s="280" t="s">
        <v>6499</v>
      </c>
    </row>
    <row r="887" spans="3:12" ht="30.6" customHeight="1" thickTop="1">
      <c r="C887" s="51" t="s">
        <v>1195</v>
      </c>
      <c r="D887" s="52" t="s">
        <v>1196</v>
      </c>
      <c r="E887" s="52" t="s">
        <v>1773</v>
      </c>
      <c r="F887" s="52" t="s">
        <v>1197</v>
      </c>
      <c r="G887" s="52" t="s">
        <v>1198</v>
      </c>
      <c r="H887" s="52" t="s">
        <v>1199</v>
      </c>
      <c r="I887" s="53" t="s">
        <v>1200</v>
      </c>
    </row>
    <row r="888" spans="3:12" ht="21.6" customHeight="1">
      <c r="C888" s="290" t="s">
        <v>1201</v>
      </c>
      <c r="D888" s="182" t="s">
        <v>1202</v>
      </c>
      <c r="E888" s="182"/>
      <c r="F888" s="70"/>
      <c r="G888" s="70"/>
      <c r="H888" s="70"/>
      <c r="I888" s="71"/>
    </row>
    <row r="889" spans="3:12" ht="21.6" customHeight="1">
      <c r="C889" s="310" t="s">
        <v>1203</v>
      </c>
      <c r="D889" s="182" t="s">
        <v>5</v>
      </c>
      <c r="E889" s="182" t="s">
        <v>1774</v>
      </c>
      <c r="F889" s="176" t="s">
        <v>1863</v>
      </c>
      <c r="G889" s="309">
        <v>0.1211</v>
      </c>
      <c r="H889" s="283">
        <f>VLOOKUP(D889,upahbahan,3,FALSE)/8</f>
        <v>12500</v>
      </c>
      <c r="I889" s="284">
        <f>G889*H889</f>
        <v>1513.75</v>
      </c>
    </row>
    <row r="890" spans="3:12" ht="21.6" customHeight="1">
      <c r="C890" s="310">
        <v>2</v>
      </c>
      <c r="D890" s="182" t="s">
        <v>7</v>
      </c>
      <c r="E890" s="182" t="s">
        <v>1775</v>
      </c>
      <c r="F890" s="176" t="s">
        <v>1863</v>
      </c>
      <c r="G890" s="309">
        <v>6.0499999999999998E-2</v>
      </c>
      <c r="H890" s="283">
        <f>VLOOKUP(D890,upahbahan,3,FALSE)/8</f>
        <v>16875</v>
      </c>
      <c r="I890" s="284">
        <f>G890*H890</f>
        <v>1020.9375</v>
      </c>
    </row>
    <row r="891" spans="3:12" s="59" customFormat="1" ht="21.6" customHeight="1">
      <c r="C891" s="310">
        <v>3</v>
      </c>
      <c r="D891" s="182" t="s">
        <v>19</v>
      </c>
      <c r="E891" s="182" t="s">
        <v>1777</v>
      </c>
      <c r="F891" s="176" t="s">
        <v>1863</v>
      </c>
      <c r="G891" s="309">
        <v>1.21E-2</v>
      </c>
      <c r="H891" s="283">
        <f>VLOOKUP(D891,upahbahan,3,FALSE)/8</f>
        <v>20000</v>
      </c>
      <c r="I891" s="284">
        <f>G891*H891</f>
        <v>242</v>
      </c>
      <c r="J891" s="119"/>
    </row>
    <row r="892" spans="3:12" ht="21.6" customHeight="1">
      <c r="C892" s="66" t="s">
        <v>1208</v>
      </c>
      <c r="D892" s="67"/>
      <c r="E892" s="67"/>
      <c r="F892" s="67"/>
      <c r="G892" s="68"/>
      <c r="H892" s="69"/>
      <c r="I892" s="284">
        <f>SUM(I889:I891)</f>
        <v>2776.6875</v>
      </c>
    </row>
    <row r="893" spans="3:12" ht="21.6" customHeight="1">
      <c r="C893" s="290" t="s">
        <v>1209</v>
      </c>
      <c r="D893" s="182" t="s">
        <v>1210</v>
      </c>
      <c r="E893" s="182"/>
      <c r="F893" s="70"/>
      <c r="G893" s="70"/>
      <c r="H893" s="70"/>
      <c r="I893" s="71"/>
    </row>
    <row r="894" spans="3:12" ht="21.6" customHeight="1">
      <c r="C894" s="184">
        <v>1</v>
      </c>
      <c r="D894" s="109" t="s">
        <v>5239</v>
      </c>
      <c r="E894" s="109"/>
      <c r="F894" s="109" t="s">
        <v>2167</v>
      </c>
      <c r="G894" s="116">
        <v>0.16669999999999999</v>
      </c>
      <c r="H894" s="185">
        <f>VLOOKUP(D894,upahbahan,3,FALSE)</f>
        <v>250000</v>
      </c>
      <c r="I894" s="284">
        <f>G894*H894</f>
        <v>41675</v>
      </c>
    </row>
    <row r="895" spans="3:12" ht="21.6" customHeight="1">
      <c r="C895" s="184">
        <v>2</v>
      </c>
      <c r="D895" s="109" t="s">
        <v>5242</v>
      </c>
      <c r="E895" s="109"/>
      <c r="F895" s="109" t="s">
        <v>2167</v>
      </c>
      <c r="G895" s="116">
        <v>0.16669999999999999</v>
      </c>
      <c r="H895" s="185">
        <f>VLOOKUP(D895,upahbahan,3,FALSE)</f>
        <v>124500</v>
      </c>
      <c r="I895" s="284">
        <f>G895*H895</f>
        <v>20754.149999999998</v>
      </c>
    </row>
    <row r="896" spans="3:12" ht="21.6" customHeight="1">
      <c r="C896" s="66" t="s">
        <v>1214</v>
      </c>
      <c r="D896" s="67"/>
      <c r="E896" s="67"/>
      <c r="F896" s="67"/>
      <c r="G896" s="67"/>
      <c r="H896" s="69"/>
      <c r="I896" s="313">
        <f>SUM(I894:I895)</f>
        <v>62429.149999999994</v>
      </c>
    </row>
    <row r="897" spans="3:12" ht="21.6" customHeight="1">
      <c r="C897" s="290" t="s">
        <v>1215</v>
      </c>
      <c r="D897" s="182" t="s">
        <v>1216</v>
      </c>
      <c r="E897" s="182"/>
      <c r="F897" s="70"/>
      <c r="G897" s="70"/>
      <c r="H897" s="70"/>
      <c r="I897" s="71"/>
    </row>
    <row r="898" spans="3:12" ht="21.6" customHeight="1">
      <c r="C898" s="316">
        <v>1</v>
      </c>
      <c r="D898" s="109" t="s">
        <v>6498</v>
      </c>
      <c r="E898" s="109"/>
      <c r="F898" s="108" t="s">
        <v>2396</v>
      </c>
      <c r="G898" s="116">
        <v>6.0499999999999998E-2</v>
      </c>
      <c r="H898" s="185">
        <f>VLOOKUP(D898,upahbahan,3,FALSE)</f>
        <v>500000</v>
      </c>
      <c r="I898" s="317">
        <f>G898*H898</f>
        <v>30250</v>
      </c>
    </row>
    <row r="899" spans="3:12" ht="21.6" customHeight="1">
      <c r="C899" s="318">
        <v>2</v>
      </c>
      <c r="D899" s="109" t="s">
        <v>6494</v>
      </c>
      <c r="E899" s="109"/>
      <c r="F899" s="115" t="s">
        <v>1074</v>
      </c>
      <c r="G899" s="116">
        <v>6.0499999999999998E-2</v>
      </c>
      <c r="H899" s="185">
        <f>VLOOKUP(D899,upahbahan,3,FALSE)</f>
        <v>50000</v>
      </c>
      <c r="I899" s="317">
        <f>G899*H899</f>
        <v>3025</v>
      </c>
    </row>
    <row r="900" spans="3:12" ht="21.6" customHeight="1">
      <c r="C900" s="66" t="s">
        <v>1217</v>
      </c>
      <c r="D900" s="67"/>
      <c r="E900" s="67"/>
      <c r="F900" s="67"/>
      <c r="G900" s="67"/>
      <c r="H900" s="69"/>
      <c r="I900" s="284">
        <f>SUM(I898:I899)</f>
        <v>33275</v>
      </c>
    </row>
    <row r="901" spans="3:12" s="297" customFormat="1" ht="21.6" customHeight="1">
      <c r="C901" s="293" t="s">
        <v>1218</v>
      </c>
      <c r="D901" s="294" t="s">
        <v>1219</v>
      </c>
      <c r="E901" s="295"/>
      <c r="F901" s="295"/>
      <c r="G901" s="295"/>
      <c r="H901" s="296"/>
      <c r="I901" s="284">
        <f>I900+I896+I892</f>
        <v>98480.837499999994</v>
      </c>
      <c r="J901" s="119"/>
    </row>
    <row r="902" spans="3:12" s="297" customFormat="1" ht="21.6" customHeight="1">
      <c r="C902" s="293" t="s">
        <v>1220</v>
      </c>
      <c r="D902" s="294" t="s">
        <v>1321</v>
      </c>
      <c r="E902" s="295"/>
      <c r="F902" s="295"/>
      <c r="G902" s="296"/>
      <c r="H902" s="298">
        <f>$N$7</f>
        <v>0.1</v>
      </c>
      <c r="I902" s="284">
        <f>I901*H902</f>
        <v>9848.0837499999998</v>
      </c>
      <c r="J902" s="119"/>
    </row>
    <row r="903" spans="3:12" s="297" customFormat="1" ht="21.6" customHeight="1" thickBot="1">
      <c r="C903" s="299" t="s">
        <v>1221</v>
      </c>
      <c r="D903" s="300" t="s">
        <v>1222</v>
      </c>
      <c r="E903" s="301"/>
      <c r="F903" s="301"/>
      <c r="G903" s="301"/>
      <c r="H903" s="302"/>
      <c r="I903" s="303">
        <f>SUM(I901:I902)</f>
        <v>108328.92125</v>
      </c>
      <c r="J903" s="119"/>
    </row>
    <row r="904" spans="3:12" ht="14.4" thickTop="1"/>
    <row r="905" spans="3:12" ht="14.4" thickBot="1">
      <c r="C905" s="126" t="s">
        <v>2418</v>
      </c>
      <c r="D905" s="280" t="s">
        <v>2419</v>
      </c>
      <c r="J905" s="120">
        <f>ROUNDDOWN(I922,-2)</f>
        <v>112500</v>
      </c>
      <c r="K905" s="280" t="s">
        <v>6456</v>
      </c>
      <c r="L905" s="280" t="s">
        <v>6499</v>
      </c>
    </row>
    <row r="906" spans="3:12" ht="28.2" thickTop="1">
      <c r="C906" s="51" t="s">
        <v>1195</v>
      </c>
      <c r="D906" s="52" t="s">
        <v>1196</v>
      </c>
      <c r="E906" s="52" t="s">
        <v>1773</v>
      </c>
      <c r="F906" s="52" t="s">
        <v>1197</v>
      </c>
      <c r="G906" s="52" t="s">
        <v>1198</v>
      </c>
      <c r="H906" s="52" t="s">
        <v>1199</v>
      </c>
      <c r="I906" s="53" t="s">
        <v>1200</v>
      </c>
    </row>
    <row r="907" spans="3:12" ht="21.6" customHeight="1">
      <c r="C907" s="290" t="s">
        <v>1201</v>
      </c>
      <c r="D907" s="182" t="s">
        <v>1202</v>
      </c>
      <c r="E907" s="182"/>
      <c r="F907" s="70"/>
      <c r="G907" s="70"/>
      <c r="H907" s="70"/>
      <c r="I907" s="71"/>
    </row>
    <row r="908" spans="3:12" ht="21.6" customHeight="1">
      <c r="C908" s="310" t="s">
        <v>1203</v>
      </c>
      <c r="D908" s="182" t="s">
        <v>5</v>
      </c>
      <c r="E908" s="182" t="s">
        <v>1774</v>
      </c>
      <c r="F908" s="176" t="s">
        <v>1863</v>
      </c>
      <c r="G908" s="309">
        <v>0.13389999999999999</v>
      </c>
      <c r="H908" s="283">
        <f>VLOOKUP(D908,upahbahan,3,FALSE)/8</f>
        <v>12500</v>
      </c>
      <c r="I908" s="284">
        <f>G908*H908</f>
        <v>1673.75</v>
      </c>
    </row>
    <row r="909" spans="3:12" ht="21.6" customHeight="1">
      <c r="C909" s="310">
        <v>2</v>
      </c>
      <c r="D909" s="182" t="s">
        <v>7</v>
      </c>
      <c r="E909" s="182" t="s">
        <v>1775</v>
      </c>
      <c r="F909" s="176" t="s">
        <v>1863</v>
      </c>
      <c r="G909" s="309">
        <v>6.6900000000000001E-2</v>
      </c>
      <c r="H909" s="283">
        <f>VLOOKUP(D909,upahbahan,3,FALSE)/8</f>
        <v>16875</v>
      </c>
      <c r="I909" s="284">
        <f>G909*H909</f>
        <v>1128.9375</v>
      </c>
    </row>
    <row r="910" spans="3:12" s="59" customFormat="1" ht="21.6" customHeight="1">
      <c r="C910" s="310">
        <v>3</v>
      </c>
      <c r="D910" s="182" t="s">
        <v>19</v>
      </c>
      <c r="E910" s="182" t="s">
        <v>1777</v>
      </c>
      <c r="F910" s="176" t="s">
        <v>1863</v>
      </c>
      <c r="G910" s="309">
        <v>1.34E-2</v>
      </c>
      <c r="H910" s="283">
        <f>VLOOKUP(D910,upahbahan,3,FALSE)/8</f>
        <v>20000</v>
      </c>
      <c r="I910" s="284">
        <f>G910*H910</f>
        <v>268</v>
      </c>
      <c r="J910" s="119"/>
    </row>
    <row r="911" spans="3:12" ht="21.6" customHeight="1">
      <c r="C911" s="66" t="s">
        <v>1208</v>
      </c>
      <c r="D911" s="67"/>
      <c r="E911" s="67"/>
      <c r="F911" s="67"/>
      <c r="G911" s="68"/>
      <c r="H911" s="69"/>
      <c r="I911" s="284">
        <f>SUM(I908:I910)</f>
        <v>3070.6875</v>
      </c>
    </row>
    <row r="912" spans="3:12" ht="21.6" customHeight="1">
      <c r="C912" s="290" t="s">
        <v>1209</v>
      </c>
      <c r="D912" s="182" t="s">
        <v>1210</v>
      </c>
      <c r="E912" s="182"/>
      <c r="F912" s="70"/>
      <c r="G912" s="70"/>
      <c r="H912" s="70"/>
      <c r="I912" s="71"/>
    </row>
    <row r="913" spans="3:12" ht="21.6" customHeight="1">
      <c r="C913" s="184">
        <v>1</v>
      </c>
      <c r="D913" s="109" t="s">
        <v>5239</v>
      </c>
      <c r="E913" s="109"/>
      <c r="F913" s="109" t="s">
        <v>2167</v>
      </c>
      <c r="G913" s="116">
        <v>0.16669999999999999</v>
      </c>
      <c r="H913" s="185">
        <f>VLOOKUP(D913,upahbahan,3,FALSE)</f>
        <v>250000</v>
      </c>
      <c r="I913" s="284">
        <f>G913*H913</f>
        <v>41675</v>
      </c>
    </row>
    <row r="914" spans="3:12" ht="21.6" customHeight="1">
      <c r="C914" s="184">
        <v>2</v>
      </c>
      <c r="D914" s="109" t="s">
        <v>5242</v>
      </c>
      <c r="E914" s="109"/>
      <c r="F914" s="109" t="s">
        <v>2167</v>
      </c>
      <c r="G914" s="116">
        <v>0.16669999999999999</v>
      </c>
      <c r="H914" s="185">
        <f>VLOOKUP(D914,upahbahan,3,FALSE)</f>
        <v>124500</v>
      </c>
      <c r="I914" s="284">
        <f>G914*H914</f>
        <v>20754.149999999998</v>
      </c>
    </row>
    <row r="915" spans="3:12" ht="21.6" customHeight="1">
      <c r="C915" s="66" t="s">
        <v>1214</v>
      </c>
      <c r="D915" s="67"/>
      <c r="E915" s="67"/>
      <c r="F915" s="67"/>
      <c r="G915" s="67"/>
      <c r="H915" s="69"/>
      <c r="I915" s="313">
        <f>SUM(I913:I914)</f>
        <v>62429.149999999994</v>
      </c>
    </row>
    <row r="916" spans="3:12" ht="21.6" customHeight="1">
      <c r="C916" s="290" t="s">
        <v>1215</v>
      </c>
      <c r="D916" s="182" t="s">
        <v>1216</v>
      </c>
      <c r="E916" s="182"/>
      <c r="F916" s="70"/>
      <c r="G916" s="70"/>
      <c r="H916" s="70"/>
      <c r="I916" s="71"/>
    </row>
    <row r="917" spans="3:12" ht="21.6" customHeight="1">
      <c r="C917" s="316">
        <v>1</v>
      </c>
      <c r="D917" s="109" t="s">
        <v>6498</v>
      </c>
      <c r="E917" s="109"/>
      <c r="F917" s="108" t="s">
        <v>2396</v>
      </c>
      <c r="G917" s="116">
        <v>6.6900000000000001E-2</v>
      </c>
      <c r="H917" s="185">
        <f>VLOOKUP(D917,upahbahan,3,FALSE)</f>
        <v>500000</v>
      </c>
      <c r="I917" s="317">
        <f>G917*H917</f>
        <v>33450</v>
      </c>
    </row>
    <row r="918" spans="3:12" ht="21.6" customHeight="1">
      <c r="C918" s="318">
        <v>2</v>
      </c>
      <c r="D918" s="109" t="s">
        <v>6494</v>
      </c>
      <c r="E918" s="109"/>
      <c r="F918" s="115" t="s">
        <v>1074</v>
      </c>
      <c r="G918" s="116">
        <v>6.6900000000000001E-2</v>
      </c>
      <c r="H918" s="185">
        <f>VLOOKUP(D918,upahbahan,3,FALSE)</f>
        <v>50000</v>
      </c>
      <c r="I918" s="317">
        <f>G918*H918</f>
        <v>3345</v>
      </c>
    </row>
    <row r="919" spans="3:12" ht="21.6" customHeight="1">
      <c r="C919" s="66" t="s">
        <v>1217</v>
      </c>
      <c r="D919" s="67"/>
      <c r="E919" s="67"/>
      <c r="F919" s="67"/>
      <c r="G919" s="67"/>
      <c r="H919" s="69"/>
      <c r="I919" s="284">
        <f>SUM(I917:I918)</f>
        <v>36795</v>
      </c>
    </row>
    <row r="920" spans="3:12" s="297" customFormat="1" ht="21.6" customHeight="1">
      <c r="C920" s="293" t="s">
        <v>1218</v>
      </c>
      <c r="D920" s="294" t="s">
        <v>1219</v>
      </c>
      <c r="E920" s="295"/>
      <c r="F920" s="295"/>
      <c r="G920" s="295"/>
      <c r="H920" s="296"/>
      <c r="I920" s="284">
        <f>I919+I915+I911</f>
        <v>102294.83749999999</v>
      </c>
      <c r="J920" s="119"/>
    </row>
    <row r="921" spans="3:12" s="297" customFormat="1" ht="21.6" customHeight="1">
      <c r="C921" s="293" t="s">
        <v>1220</v>
      </c>
      <c r="D921" s="294" t="s">
        <v>1321</v>
      </c>
      <c r="E921" s="295"/>
      <c r="F921" s="295"/>
      <c r="G921" s="296"/>
      <c r="H921" s="298">
        <f>$N$7</f>
        <v>0.1</v>
      </c>
      <c r="I921" s="284">
        <f>I920*H921</f>
        <v>10229.483749999999</v>
      </c>
      <c r="J921" s="119"/>
    </row>
    <row r="922" spans="3:12" s="297" customFormat="1" ht="21.6" customHeight="1" thickBot="1">
      <c r="C922" s="299" t="s">
        <v>1221</v>
      </c>
      <c r="D922" s="300" t="s">
        <v>1222</v>
      </c>
      <c r="E922" s="301"/>
      <c r="F922" s="301"/>
      <c r="G922" s="301"/>
      <c r="H922" s="302"/>
      <c r="I922" s="303">
        <f>SUM(I920:I921)</f>
        <v>112524.32124999999</v>
      </c>
      <c r="J922" s="119"/>
    </row>
    <row r="923" spans="3:12" ht="14.4" thickTop="1"/>
    <row r="924" spans="3:12" ht="14.4" thickBot="1">
      <c r="C924" s="126" t="s">
        <v>2420</v>
      </c>
      <c r="D924" s="119" t="s">
        <v>2421</v>
      </c>
      <c r="J924" s="120">
        <f>ROUNDDOWN(I941,-2)</f>
        <v>113100</v>
      </c>
      <c r="K924" s="280" t="s">
        <v>6456</v>
      </c>
      <c r="L924" s="280" t="s">
        <v>6499</v>
      </c>
    </row>
    <row r="925" spans="3:12" ht="28.2" thickTop="1">
      <c r="C925" s="51" t="s">
        <v>1195</v>
      </c>
      <c r="D925" s="52" t="s">
        <v>1196</v>
      </c>
      <c r="E925" s="52" t="s">
        <v>1773</v>
      </c>
      <c r="F925" s="52" t="s">
        <v>1197</v>
      </c>
      <c r="G925" s="52" t="s">
        <v>1198</v>
      </c>
      <c r="H925" s="52" t="s">
        <v>1199</v>
      </c>
      <c r="I925" s="53" t="s">
        <v>1200</v>
      </c>
    </row>
    <row r="926" spans="3:12" ht="21.6" customHeight="1">
      <c r="C926" s="290" t="s">
        <v>1201</v>
      </c>
      <c r="D926" s="182" t="s">
        <v>1202</v>
      </c>
      <c r="E926" s="182"/>
      <c r="F926" s="70"/>
      <c r="G926" s="70"/>
      <c r="H926" s="70"/>
      <c r="I926" s="71"/>
    </row>
    <row r="927" spans="3:12" ht="21.6" customHeight="1">
      <c r="C927" s="310" t="s">
        <v>1203</v>
      </c>
      <c r="D927" s="182" t="s">
        <v>5</v>
      </c>
      <c r="E927" s="182" t="s">
        <v>1774</v>
      </c>
      <c r="F927" s="176" t="s">
        <v>1863</v>
      </c>
      <c r="G927" s="309">
        <v>0.1356</v>
      </c>
      <c r="H927" s="283">
        <f>VLOOKUP(D927,upahbahan,3,FALSE)/8</f>
        <v>12500</v>
      </c>
      <c r="I927" s="284">
        <f>G927*H927</f>
        <v>1695</v>
      </c>
    </row>
    <row r="928" spans="3:12" ht="21.6" customHeight="1">
      <c r="C928" s="310">
        <v>2</v>
      </c>
      <c r="D928" s="182" t="s">
        <v>7</v>
      </c>
      <c r="E928" s="182" t="s">
        <v>1775</v>
      </c>
      <c r="F928" s="176" t="s">
        <v>1863</v>
      </c>
      <c r="G928" s="309">
        <v>6.7799999999999999E-2</v>
      </c>
      <c r="H928" s="283">
        <f>VLOOKUP(D928,upahbahan,3,FALSE)/8</f>
        <v>16875</v>
      </c>
      <c r="I928" s="284">
        <f>G928*H928</f>
        <v>1144.125</v>
      </c>
    </row>
    <row r="929" spans="3:12" s="59" customFormat="1" ht="21.6" customHeight="1">
      <c r="C929" s="310">
        <v>3</v>
      </c>
      <c r="D929" s="182" t="s">
        <v>19</v>
      </c>
      <c r="E929" s="182" t="s">
        <v>1777</v>
      </c>
      <c r="F929" s="176" t="s">
        <v>1863</v>
      </c>
      <c r="G929" s="309">
        <v>1.3599999999999999E-2</v>
      </c>
      <c r="H929" s="283">
        <f>VLOOKUP(D929,upahbahan,3,FALSE)/8</f>
        <v>20000</v>
      </c>
      <c r="I929" s="284">
        <f>G929*H929</f>
        <v>272</v>
      </c>
      <c r="J929" s="119"/>
    </row>
    <row r="930" spans="3:12" ht="21.6" customHeight="1">
      <c r="C930" s="66" t="s">
        <v>1208</v>
      </c>
      <c r="D930" s="67"/>
      <c r="E930" s="67"/>
      <c r="F930" s="67"/>
      <c r="G930" s="68"/>
      <c r="H930" s="69"/>
      <c r="I930" s="284">
        <f>SUM(I927:I929)</f>
        <v>3111.125</v>
      </c>
    </row>
    <row r="931" spans="3:12" ht="21.6" customHeight="1">
      <c r="C931" s="290" t="s">
        <v>1209</v>
      </c>
      <c r="D931" s="182" t="s">
        <v>1210</v>
      </c>
      <c r="E931" s="182"/>
      <c r="F931" s="70"/>
      <c r="G931" s="70"/>
      <c r="H931" s="70"/>
      <c r="I931" s="71"/>
    </row>
    <row r="932" spans="3:12" ht="21.6" customHeight="1">
      <c r="C932" s="184">
        <v>1</v>
      </c>
      <c r="D932" s="109" t="s">
        <v>5239</v>
      </c>
      <c r="E932" s="109"/>
      <c r="F932" s="109" t="s">
        <v>2167</v>
      </c>
      <c r="G932" s="116">
        <v>0.16669999999999999</v>
      </c>
      <c r="H932" s="185">
        <f>VLOOKUP(D932,upahbahan,3,FALSE)</f>
        <v>250000</v>
      </c>
      <c r="I932" s="284">
        <f>G932*H932</f>
        <v>41675</v>
      </c>
    </row>
    <row r="933" spans="3:12" ht="21.6" customHeight="1">
      <c r="C933" s="184">
        <v>2</v>
      </c>
      <c r="D933" s="109" t="s">
        <v>5242</v>
      </c>
      <c r="E933" s="109"/>
      <c r="F933" s="109" t="s">
        <v>2167</v>
      </c>
      <c r="G933" s="116">
        <v>0.16669999999999999</v>
      </c>
      <c r="H933" s="185">
        <f>VLOOKUP(D933,upahbahan,3,FALSE)</f>
        <v>124500</v>
      </c>
      <c r="I933" s="284">
        <f>G933*H933</f>
        <v>20754.149999999998</v>
      </c>
    </row>
    <row r="934" spans="3:12" ht="21.6" customHeight="1">
      <c r="C934" s="66" t="s">
        <v>1214</v>
      </c>
      <c r="D934" s="67"/>
      <c r="E934" s="67"/>
      <c r="F934" s="67"/>
      <c r="G934" s="67"/>
      <c r="H934" s="69"/>
      <c r="I934" s="313">
        <f>SUM(I932:I933)</f>
        <v>62429.149999999994</v>
      </c>
    </row>
    <row r="935" spans="3:12" ht="21.6" customHeight="1">
      <c r="C935" s="290" t="s">
        <v>1215</v>
      </c>
      <c r="D935" s="182" t="s">
        <v>1216</v>
      </c>
      <c r="E935" s="182"/>
      <c r="F935" s="70"/>
      <c r="G935" s="70"/>
      <c r="H935" s="70"/>
      <c r="I935" s="71"/>
    </row>
    <row r="936" spans="3:12" ht="21.6" customHeight="1">
      <c r="C936" s="316">
        <v>1</v>
      </c>
      <c r="D936" s="109" t="s">
        <v>6498</v>
      </c>
      <c r="E936" s="109"/>
      <c r="F936" s="108" t="s">
        <v>2396</v>
      </c>
      <c r="G936" s="116">
        <v>6.7799999999999999E-2</v>
      </c>
      <c r="H936" s="185">
        <f>VLOOKUP(D936,upahbahan,3,FALSE)</f>
        <v>500000</v>
      </c>
      <c r="I936" s="317">
        <f>G936*H936</f>
        <v>33900</v>
      </c>
    </row>
    <row r="937" spans="3:12" ht="21.6" customHeight="1">
      <c r="C937" s="318">
        <v>2</v>
      </c>
      <c r="D937" s="109" t="s">
        <v>6494</v>
      </c>
      <c r="E937" s="109"/>
      <c r="F937" s="115" t="s">
        <v>1074</v>
      </c>
      <c r="G937" s="116">
        <v>6.7799999999999999E-2</v>
      </c>
      <c r="H937" s="185">
        <f>VLOOKUP(D937,upahbahan,3,FALSE)</f>
        <v>50000</v>
      </c>
      <c r="I937" s="317">
        <f>G937*H937</f>
        <v>3390</v>
      </c>
    </row>
    <row r="938" spans="3:12" ht="21.6" customHeight="1">
      <c r="C938" s="66" t="s">
        <v>1217</v>
      </c>
      <c r="D938" s="67"/>
      <c r="E938" s="67"/>
      <c r="F938" s="67"/>
      <c r="G938" s="67"/>
      <c r="H938" s="69"/>
      <c r="I938" s="284">
        <f>SUM(I936:I937)</f>
        <v>37290</v>
      </c>
    </row>
    <row r="939" spans="3:12" s="297" customFormat="1" ht="21.6" customHeight="1">
      <c r="C939" s="293" t="s">
        <v>1218</v>
      </c>
      <c r="D939" s="294" t="s">
        <v>1219</v>
      </c>
      <c r="E939" s="295"/>
      <c r="F939" s="295"/>
      <c r="G939" s="295"/>
      <c r="H939" s="296"/>
      <c r="I939" s="284">
        <f>I938+I934+I930</f>
        <v>102830.27499999999</v>
      </c>
      <c r="J939" s="119"/>
    </row>
    <row r="940" spans="3:12" s="297" customFormat="1" ht="21.6" customHeight="1">
      <c r="C940" s="293" t="s">
        <v>1220</v>
      </c>
      <c r="D940" s="294" t="s">
        <v>1321</v>
      </c>
      <c r="E940" s="295"/>
      <c r="F940" s="295"/>
      <c r="G940" s="296"/>
      <c r="H940" s="298">
        <f>$N$7</f>
        <v>0.1</v>
      </c>
      <c r="I940" s="284">
        <f>I939*H940</f>
        <v>10283.0275</v>
      </c>
      <c r="J940" s="119"/>
    </row>
    <row r="941" spans="3:12" s="297" customFormat="1" ht="21.6" customHeight="1" thickBot="1">
      <c r="C941" s="299" t="s">
        <v>1221</v>
      </c>
      <c r="D941" s="300" t="s">
        <v>1222</v>
      </c>
      <c r="E941" s="301"/>
      <c r="F941" s="301"/>
      <c r="G941" s="301"/>
      <c r="H941" s="302"/>
      <c r="I941" s="303">
        <f>SUM(I939:I940)</f>
        <v>113113.30249999999</v>
      </c>
      <c r="J941" s="119"/>
    </row>
    <row r="942" spans="3:12" ht="14.4" thickTop="1"/>
    <row r="944" spans="3:12" ht="14.4" thickBot="1">
      <c r="C944" s="126" t="s">
        <v>2423</v>
      </c>
      <c r="D944" s="119" t="s">
        <v>2424</v>
      </c>
      <c r="J944" s="120">
        <f>ROUNDDOWN(I961,-2)</f>
        <v>114000</v>
      </c>
      <c r="K944" s="280" t="s">
        <v>6456</v>
      </c>
      <c r="L944" s="280" t="s">
        <v>6499</v>
      </c>
    </row>
    <row r="945" spans="3:10" ht="28.2" thickTop="1">
      <c r="C945" s="51" t="s">
        <v>1195</v>
      </c>
      <c r="D945" s="52" t="s">
        <v>1196</v>
      </c>
      <c r="E945" s="52" t="s">
        <v>1773</v>
      </c>
      <c r="F945" s="52" t="s">
        <v>1197</v>
      </c>
      <c r="G945" s="52" t="s">
        <v>1198</v>
      </c>
      <c r="H945" s="52" t="s">
        <v>1199</v>
      </c>
      <c r="I945" s="53" t="s">
        <v>1200</v>
      </c>
    </row>
    <row r="946" spans="3:10" ht="21.6" customHeight="1">
      <c r="C946" s="290" t="s">
        <v>1201</v>
      </c>
      <c r="D946" s="182" t="s">
        <v>1202</v>
      </c>
      <c r="E946" s="182"/>
      <c r="F946" s="70"/>
      <c r="G946" s="70"/>
      <c r="H946" s="70"/>
      <c r="I946" s="71"/>
    </row>
    <row r="947" spans="3:10" ht="21.6" customHeight="1">
      <c r="C947" s="310" t="s">
        <v>1203</v>
      </c>
      <c r="D947" s="182" t="s">
        <v>5</v>
      </c>
      <c r="E947" s="182" t="s">
        <v>1774</v>
      </c>
      <c r="F947" s="176" t="s">
        <v>1863</v>
      </c>
      <c r="G947" s="309">
        <v>0.1384</v>
      </c>
      <c r="H947" s="283">
        <f>VLOOKUP(D947,upahbahan,3,FALSE)/8</f>
        <v>12500</v>
      </c>
      <c r="I947" s="284">
        <f>G947*H947</f>
        <v>1730</v>
      </c>
    </row>
    <row r="948" spans="3:10" ht="21.6" customHeight="1">
      <c r="C948" s="310">
        <v>2</v>
      </c>
      <c r="D948" s="182" t="s">
        <v>7</v>
      </c>
      <c r="E948" s="182" t="s">
        <v>1775</v>
      </c>
      <c r="F948" s="176" t="s">
        <v>1863</v>
      </c>
      <c r="G948" s="309">
        <v>6.9199999999999998E-2</v>
      </c>
      <c r="H948" s="283">
        <f>VLOOKUP(D948,upahbahan,3,FALSE)/8</f>
        <v>16875</v>
      </c>
      <c r="I948" s="284">
        <f>G948*H948</f>
        <v>1167.75</v>
      </c>
    </row>
    <row r="949" spans="3:10" s="59" customFormat="1" ht="21.6" customHeight="1">
      <c r="C949" s="310">
        <v>3</v>
      </c>
      <c r="D949" s="182" t="s">
        <v>19</v>
      </c>
      <c r="E949" s="182" t="s">
        <v>1777</v>
      </c>
      <c r="F949" s="176" t="s">
        <v>1863</v>
      </c>
      <c r="G949" s="309">
        <v>1.38E-2</v>
      </c>
      <c r="H949" s="283">
        <f>VLOOKUP(D949,upahbahan,3,FALSE)/8</f>
        <v>20000</v>
      </c>
      <c r="I949" s="284">
        <f>G949*H949</f>
        <v>276</v>
      </c>
      <c r="J949" s="119"/>
    </row>
    <row r="950" spans="3:10" ht="21.6" customHeight="1">
      <c r="C950" s="66" t="s">
        <v>1208</v>
      </c>
      <c r="D950" s="67"/>
      <c r="E950" s="67"/>
      <c r="F950" s="67"/>
      <c r="G950" s="68"/>
      <c r="H950" s="69"/>
      <c r="I950" s="284">
        <f>SUM(I947:I949)</f>
        <v>3173.75</v>
      </c>
    </row>
    <row r="951" spans="3:10" ht="21.6" customHeight="1">
      <c r="C951" s="290" t="s">
        <v>1209</v>
      </c>
      <c r="D951" s="182" t="s">
        <v>1210</v>
      </c>
      <c r="E951" s="182"/>
      <c r="F951" s="70"/>
      <c r="G951" s="70"/>
      <c r="H951" s="70"/>
      <c r="I951" s="71"/>
    </row>
    <row r="952" spans="3:10" ht="21.6" customHeight="1">
      <c r="C952" s="184">
        <v>1</v>
      </c>
      <c r="D952" s="109" t="s">
        <v>5239</v>
      </c>
      <c r="E952" s="109"/>
      <c r="F952" s="109" t="s">
        <v>2167</v>
      </c>
      <c r="G952" s="109">
        <v>0.16669999999999999</v>
      </c>
      <c r="H952" s="185">
        <f>VLOOKUP(D952,upahbahan,3,FALSE)</f>
        <v>250000</v>
      </c>
      <c r="I952" s="284">
        <f>G952*H952</f>
        <v>41675</v>
      </c>
    </row>
    <row r="953" spans="3:10" ht="21.6" customHeight="1">
      <c r="C953" s="184">
        <v>2</v>
      </c>
      <c r="D953" s="109" t="s">
        <v>5242</v>
      </c>
      <c r="E953" s="109"/>
      <c r="F953" s="109" t="s">
        <v>2167</v>
      </c>
      <c r="G953" s="109">
        <v>0.16669999999999999</v>
      </c>
      <c r="H953" s="185">
        <f>VLOOKUP(D953,upahbahan,3,FALSE)</f>
        <v>124500</v>
      </c>
      <c r="I953" s="284">
        <f>G953*H953</f>
        <v>20754.149999999998</v>
      </c>
    </row>
    <row r="954" spans="3:10" ht="21.6" customHeight="1">
      <c r="C954" s="66" t="s">
        <v>1214</v>
      </c>
      <c r="D954" s="67"/>
      <c r="E954" s="67"/>
      <c r="F954" s="67"/>
      <c r="G954" s="67"/>
      <c r="H954" s="69"/>
      <c r="I954" s="313">
        <f>SUM(I952:I953)</f>
        <v>62429.149999999994</v>
      </c>
    </row>
    <row r="955" spans="3:10" ht="21.6" customHeight="1">
      <c r="C955" s="290" t="s">
        <v>1215</v>
      </c>
      <c r="D955" s="182" t="s">
        <v>1216</v>
      </c>
      <c r="E955" s="182"/>
      <c r="F955" s="70"/>
      <c r="G955" s="70"/>
      <c r="H955" s="70"/>
      <c r="I955" s="71"/>
    </row>
    <row r="956" spans="3:10" ht="21.6" customHeight="1">
      <c r="C956" s="316">
        <v>1</v>
      </c>
      <c r="D956" s="109" t="s">
        <v>6498</v>
      </c>
      <c r="E956" s="109"/>
      <c r="F956" s="108" t="s">
        <v>2396</v>
      </c>
      <c r="G956" s="116">
        <v>6.9199999999999998E-2</v>
      </c>
      <c r="H956" s="185">
        <f>VLOOKUP(D956,upahbahan,3,FALSE)</f>
        <v>500000</v>
      </c>
      <c r="I956" s="317">
        <f>G956*H956</f>
        <v>34600</v>
      </c>
    </row>
    <row r="957" spans="3:10" ht="21.6" customHeight="1">
      <c r="C957" s="318">
        <v>2</v>
      </c>
      <c r="D957" s="109" t="s">
        <v>6494</v>
      </c>
      <c r="E957" s="109"/>
      <c r="F957" s="115" t="s">
        <v>1074</v>
      </c>
      <c r="G957" s="116">
        <v>6.9199999999999998E-2</v>
      </c>
      <c r="H957" s="185">
        <f>VLOOKUP(D957,upahbahan,3,FALSE)</f>
        <v>50000</v>
      </c>
      <c r="I957" s="317">
        <f>G957*H957</f>
        <v>3460</v>
      </c>
    </row>
    <row r="958" spans="3:10" ht="21.6" customHeight="1">
      <c r="C958" s="66" t="s">
        <v>1217</v>
      </c>
      <c r="D958" s="67"/>
      <c r="E958" s="67"/>
      <c r="F958" s="67"/>
      <c r="G958" s="67"/>
      <c r="H958" s="69"/>
      <c r="I958" s="284">
        <f>SUM(I956:I957)</f>
        <v>38060</v>
      </c>
    </row>
    <row r="959" spans="3:10" s="297" customFormat="1" ht="21.6" customHeight="1">
      <c r="C959" s="293" t="s">
        <v>1218</v>
      </c>
      <c r="D959" s="294" t="s">
        <v>1219</v>
      </c>
      <c r="E959" s="295"/>
      <c r="F959" s="295"/>
      <c r="G959" s="295"/>
      <c r="H959" s="296"/>
      <c r="I959" s="284">
        <f>I958+I954+I950</f>
        <v>103662.9</v>
      </c>
      <c r="J959" s="119"/>
    </row>
    <row r="960" spans="3:10" s="297" customFormat="1" ht="21.6" customHeight="1">
      <c r="C960" s="293" t="s">
        <v>1220</v>
      </c>
      <c r="D960" s="294" t="s">
        <v>1321</v>
      </c>
      <c r="E960" s="295"/>
      <c r="F960" s="295"/>
      <c r="G960" s="296"/>
      <c r="H960" s="298">
        <f>$N$7</f>
        <v>0.1</v>
      </c>
      <c r="I960" s="284">
        <f>I959*H960</f>
        <v>10366.290000000001</v>
      </c>
      <c r="J960" s="119"/>
    </row>
    <row r="961" spans="3:12" s="297" customFormat="1" ht="21.6" customHeight="1" thickBot="1">
      <c r="C961" s="299" t="s">
        <v>1221</v>
      </c>
      <c r="D961" s="300" t="s">
        <v>1222</v>
      </c>
      <c r="E961" s="301"/>
      <c r="F961" s="301"/>
      <c r="G961" s="301"/>
      <c r="H961" s="302"/>
      <c r="I961" s="303">
        <f>SUM(I959:I960)</f>
        <v>114029.19</v>
      </c>
      <c r="J961" s="119"/>
    </row>
    <row r="962" spans="3:12" ht="14.4" thickTop="1"/>
    <row r="964" spans="3:12" ht="14.4" thickBot="1">
      <c r="C964" s="126" t="s">
        <v>2422</v>
      </c>
      <c r="D964" s="119" t="s">
        <v>2425</v>
      </c>
      <c r="J964" s="120">
        <f>ROUNDDOWN(I979,-2)</f>
        <v>18000</v>
      </c>
      <c r="K964" s="280" t="s">
        <v>6456</v>
      </c>
      <c r="L964" s="280" t="s">
        <v>6510</v>
      </c>
    </row>
    <row r="965" spans="3:12" ht="28.2" thickTop="1">
      <c r="C965" s="51" t="s">
        <v>1195</v>
      </c>
      <c r="D965" s="52" t="s">
        <v>1196</v>
      </c>
      <c r="E965" s="52" t="s">
        <v>1773</v>
      </c>
      <c r="F965" s="52" t="s">
        <v>1197</v>
      </c>
      <c r="G965" s="52" t="s">
        <v>1198</v>
      </c>
      <c r="H965" s="52" t="s">
        <v>1199</v>
      </c>
      <c r="I965" s="53" t="s">
        <v>1200</v>
      </c>
    </row>
    <row r="966" spans="3:12" ht="21.6" customHeight="1">
      <c r="C966" s="290" t="s">
        <v>1201</v>
      </c>
      <c r="D966" s="182" t="s">
        <v>1202</v>
      </c>
      <c r="E966" s="182"/>
      <c r="F966" s="70"/>
      <c r="G966" s="70"/>
      <c r="H966" s="70"/>
      <c r="I966" s="71"/>
    </row>
    <row r="967" spans="3:12" ht="21.6" customHeight="1">
      <c r="C967" s="310" t="s">
        <v>1203</v>
      </c>
      <c r="D967" s="182" t="s">
        <v>5</v>
      </c>
      <c r="E967" s="182" t="s">
        <v>1774</v>
      </c>
      <c r="F967" s="176" t="s">
        <v>1863</v>
      </c>
      <c r="G967" s="309">
        <v>2.01E-2</v>
      </c>
      <c r="H967" s="283">
        <f>VLOOKUP(D967,upahbahan,3,FALSE)/8</f>
        <v>12500</v>
      </c>
      <c r="I967" s="284">
        <f>G967*H967</f>
        <v>251.25</v>
      </c>
    </row>
    <row r="968" spans="3:12" ht="21.6" customHeight="1">
      <c r="C968" s="310">
        <v>2</v>
      </c>
      <c r="D968" s="182" t="s">
        <v>7</v>
      </c>
      <c r="E968" s="182" t="s">
        <v>1775</v>
      </c>
      <c r="F968" s="176" t="s">
        <v>1863</v>
      </c>
      <c r="G968" s="309">
        <v>2.01E-2</v>
      </c>
      <c r="H968" s="283">
        <f>VLOOKUP(D968,upahbahan,3,FALSE)/8</f>
        <v>16875</v>
      </c>
      <c r="I968" s="284">
        <f>G968*H968</f>
        <v>339.1875</v>
      </c>
    </row>
    <row r="969" spans="3:12" s="59" customFormat="1" ht="21.6" customHeight="1">
      <c r="C969" s="310">
        <v>3</v>
      </c>
      <c r="D969" s="182" t="s">
        <v>19</v>
      </c>
      <c r="E969" s="182" t="s">
        <v>1777</v>
      </c>
      <c r="F969" s="176" t="s">
        <v>1863</v>
      </c>
      <c r="G969" s="309">
        <v>2E-3</v>
      </c>
      <c r="H969" s="283">
        <f>VLOOKUP(D969,upahbahan,3,FALSE)/8</f>
        <v>20000</v>
      </c>
      <c r="I969" s="284">
        <f>G969*H969</f>
        <v>40</v>
      </c>
      <c r="J969" s="119"/>
    </row>
    <row r="970" spans="3:12" ht="21.6" customHeight="1">
      <c r="C970" s="66" t="s">
        <v>1208</v>
      </c>
      <c r="D970" s="67"/>
      <c r="E970" s="67"/>
      <c r="F970" s="67"/>
      <c r="G970" s="68"/>
      <c r="H970" s="69"/>
      <c r="I970" s="284">
        <f>SUM(I967:I969)</f>
        <v>630.4375</v>
      </c>
    </row>
    <row r="971" spans="3:12" ht="21.6" customHeight="1">
      <c r="C971" s="290" t="s">
        <v>1209</v>
      </c>
      <c r="D971" s="182" t="s">
        <v>1210</v>
      </c>
      <c r="E971" s="182"/>
      <c r="F971" s="70"/>
      <c r="G971" s="118"/>
      <c r="H971" s="70"/>
      <c r="I971" s="71"/>
    </row>
    <row r="972" spans="3:12" ht="21.6" customHeight="1">
      <c r="C972" s="184">
        <v>1</v>
      </c>
      <c r="D972" s="109" t="s">
        <v>1499</v>
      </c>
      <c r="E972" s="109"/>
      <c r="F972" s="109" t="s">
        <v>2426</v>
      </c>
      <c r="G972" s="116">
        <v>0.23549999999999999</v>
      </c>
      <c r="H972" s="283">
        <f>VLOOKUP(D972,upahbahan,3,FALSE)</f>
        <v>66600</v>
      </c>
      <c r="I972" s="284">
        <f>G972*H972</f>
        <v>15684.3</v>
      </c>
    </row>
    <row r="973" spans="3:12" ht="21.6" customHeight="1">
      <c r="C973" s="66" t="s">
        <v>1214</v>
      </c>
      <c r="D973" s="67"/>
      <c r="E973" s="67"/>
      <c r="F973" s="67"/>
      <c r="G973" s="67"/>
      <c r="H973" s="69"/>
      <c r="I973" s="313">
        <f>SUM(I972)</f>
        <v>15684.3</v>
      </c>
    </row>
    <row r="974" spans="3:12" ht="21.6" customHeight="1">
      <c r="C974" s="290" t="s">
        <v>1215</v>
      </c>
      <c r="D974" s="182" t="s">
        <v>1216</v>
      </c>
      <c r="E974" s="182"/>
      <c r="F974" s="70"/>
      <c r="G974" s="70"/>
      <c r="H974" s="70"/>
      <c r="I974" s="71"/>
    </row>
    <row r="975" spans="3:12" ht="21.6" customHeight="1">
      <c r="C975" s="316">
        <v>1</v>
      </c>
      <c r="D975" s="109" t="s">
        <v>6509</v>
      </c>
      <c r="E975" s="109"/>
      <c r="F975" s="108" t="s">
        <v>2396</v>
      </c>
      <c r="G975" s="116">
        <v>2.01E-2</v>
      </c>
      <c r="H975" s="185">
        <f>VLOOKUP(D975,upahbahan,3,FALSE)</f>
        <v>3125</v>
      </c>
      <c r="I975" s="317">
        <f>G975*H975</f>
        <v>62.8125</v>
      </c>
    </row>
    <row r="976" spans="3:12" ht="21.6" customHeight="1">
      <c r="C976" s="66" t="s">
        <v>1217</v>
      </c>
      <c r="D976" s="67"/>
      <c r="E976" s="67"/>
      <c r="F976" s="67"/>
      <c r="G976" s="67"/>
      <c r="H976" s="69"/>
      <c r="I976" s="284">
        <f>SUM(I975)</f>
        <v>62.8125</v>
      </c>
    </row>
    <row r="977" spans="3:12" s="297" customFormat="1" ht="21.6" customHeight="1">
      <c r="C977" s="293" t="s">
        <v>1218</v>
      </c>
      <c r="D977" s="294" t="s">
        <v>1219</v>
      </c>
      <c r="E977" s="295"/>
      <c r="F977" s="295"/>
      <c r="G977" s="295"/>
      <c r="H977" s="296"/>
      <c r="I977" s="284">
        <f>I976+I973+I970</f>
        <v>16377.55</v>
      </c>
      <c r="J977" s="119"/>
    </row>
    <row r="978" spans="3:12" s="297" customFormat="1" ht="21.6" customHeight="1">
      <c r="C978" s="293" t="s">
        <v>1220</v>
      </c>
      <c r="D978" s="294" t="s">
        <v>1321</v>
      </c>
      <c r="E978" s="295"/>
      <c r="F978" s="295"/>
      <c r="G978" s="296"/>
      <c r="H978" s="298">
        <f>$N$7</f>
        <v>0.1</v>
      </c>
      <c r="I978" s="284">
        <f>I977*H978</f>
        <v>1637.7550000000001</v>
      </c>
      <c r="J978" s="119"/>
    </row>
    <row r="979" spans="3:12" s="297" customFormat="1" ht="21.6" customHeight="1" thickBot="1">
      <c r="C979" s="299" t="s">
        <v>1221</v>
      </c>
      <c r="D979" s="300" t="s">
        <v>1222</v>
      </c>
      <c r="E979" s="301"/>
      <c r="F979" s="301"/>
      <c r="G979" s="301"/>
      <c r="H979" s="302"/>
      <c r="I979" s="303">
        <f>SUM(I977:I978)</f>
        <v>18015.305</v>
      </c>
      <c r="J979" s="119"/>
    </row>
    <row r="980" spans="3:12" ht="14.4" thickTop="1"/>
    <row r="982" spans="3:12" ht="14.4" thickBot="1">
      <c r="C982" s="126" t="s">
        <v>2428</v>
      </c>
      <c r="D982" s="119" t="s">
        <v>2429</v>
      </c>
      <c r="J982" s="120">
        <f>ROUNDDOWN(I997,-2)</f>
        <v>25300</v>
      </c>
      <c r="K982" s="280" t="s">
        <v>6456</v>
      </c>
      <c r="L982" s="280" t="s">
        <v>6512</v>
      </c>
    </row>
    <row r="983" spans="3:12" ht="28.2" thickTop="1">
      <c r="C983" s="51" t="s">
        <v>1195</v>
      </c>
      <c r="D983" s="52" t="s">
        <v>1196</v>
      </c>
      <c r="E983" s="52" t="s">
        <v>1773</v>
      </c>
      <c r="F983" s="52" t="s">
        <v>1197</v>
      </c>
      <c r="G983" s="52" t="s">
        <v>1198</v>
      </c>
      <c r="H983" s="52" t="s">
        <v>1199</v>
      </c>
      <c r="I983" s="53" t="s">
        <v>1200</v>
      </c>
    </row>
    <row r="984" spans="3:12" ht="21.6" customHeight="1">
      <c r="C984" s="290" t="s">
        <v>1201</v>
      </c>
      <c r="D984" s="182" t="s">
        <v>1202</v>
      </c>
      <c r="E984" s="182"/>
      <c r="F984" s="70"/>
      <c r="G984" s="70"/>
      <c r="H984" s="70"/>
      <c r="I984" s="71"/>
    </row>
    <row r="985" spans="3:12" ht="21.6" customHeight="1">
      <c r="C985" s="310" t="s">
        <v>1203</v>
      </c>
      <c r="D985" s="182" t="s">
        <v>5</v>
      </c>
      <c r="E985" s="182" t="s">
        <v>1774</v>
      </c>
      <c r="F985" s="176" t="s">
        <v>1863</v>
      </c>
      <c r="G985" s="309">
        <v>1.4200000000000001E-2</v>
      </c>
      <c r="H985" s="283">
        <f>VLOOKUP(D985,upahbahan,3,FALSE)/8</f>
        <v>12500</v>
      </c>
      <c r="I985" s="284">
        <f>G985*H985</f>
        <v>177.5</v>
      </c>
    </row>
    <row r="986" spans="3:12" ht="21.6" customHeight="1">
      <c r="C986" s="310">
        <v>2</v>
      </c>
      <c r="D986" s="182" t="s">
        <v>7</v>
      </c>
      <c r="E986" s="182" t="s">
        <v>1775</v>
      </c>
      <c r="F986" s="176" t="s">
        <v>1863</v>
      </c>
      <c r="G986" s="309">
        <v>1.4200000000000001E-2</v>
      </c>
      <c r="H986" s="283">
        <f>VLOOKUP(D986,upahbahan,3,FALSE)/8</f>
        <v>16875</v>
      </c>
      <c r="I986" s="284">
        <f>G986*H986</f>
        <v>239.625</v>
      </c>
    </row>
    <row r="987" spans="3:12" s="59" customFormat="1" ht="21.6" customHeight="1">
      <c r="C987" s="310">
        <v>3</v>
      </c>
      <c r="D987" s="182" t="s">
        <v>19</v>
      </c>
      <c r="E987" s="182" t="s">
        <v>1777</v>
      </c>
      <c r="F987" s="176" t="s">
        <v>1863</v>
      </c>
      <c r="G987" s="309">
        <v>1.4E-3</v>
      </c>
      <c r="H987" s="283">
        <f>VLOOKUP(D987,upahbahan,3,FALSE)/8</f>
        <v>20000</v>
      </c>
      <c r="I987" s="284">
        <f>G987*H987</f>
        <v>28</v>
      </c>
      <c r="J987" s="119"/>
    </row>
    <row r="988" spans="3:12" ht="21.6" customHeight="1">
      <c r="C988" s="66" t="s">
        <v>1208</v>
      </c>
      <c r="D988" s="67"/>
      <c r="E988" s="67"/>
      <c r="F988" s="67"/>
      <c r="G988" s="68"/>
      <c r="H988" s="69"/>
      <c r="I988" s="284">
        <f>SUM(I985:I987)</f>
        <v>445.125</v>
      </c>
    </row>
    <row r="989" spans="3:12" ht="21.6" customHeight="1">
      <c r="C989" s="290" t="s">
        <v>1209</v>
      </c>
      <c r="D989" s="182" t="s">
        <v>1210</v>
      </c>
      <c r="E989" s="182"/>
      <c r="F989" s="70"/>
      <c r="G989" s="118"/>
      <c r="H989" s="70"/>
      <c r="I989" s="71"/>
    </row>
    <row r="990" spans="3:12" ht="21.6" customHeight="1">
      <c r="C990" s="184">
        <v>1</v>
      </c>
      <c r="D990" s="109" t="s">
        <v>1499</v>
      </c>
      <c r="E990" s="109"/>
      <c r="F990" s="109" t="s">
        <v>2426</v>
      </c>
      <c r="G990" s="116">
        <v>0.33910000000000001</v>
      </c>
      <c r="H990" s="283">
        <f>VLOOKUP(D990,upahbahan,3,FALSE)</f>
        <v>66600</v>
      </c>
      <c r="I990" s="284">
        <f>G990*H990</f>
        <v>22584.06</v>
      </c>
    </row>
    <row r="991" spans="3:12" ht="21.6" customHeight="1">
      <c r="C991" s="66" t="s">
        <v>1214</v>
      </c>
      <c r="D991" s="67"/>
      <c r="E991" s="67"/>
      <c r="F991" s="67"/>
      <c r="G991" s="67"/>
      <c r="H991" s="69"/>
      <c r="I991" s="313">
        <f>SUM(I990)</f>
        <v>22584.06</v>
      </c>
    </row>
    <row r="992" spans="3:12" ht="21.6" customHeight="1">
      <c r="C992" s="290" t="s">
        <v>1215</v>
      </c>
      <c r="D992" s="182" t="s">
        <v>1216</v>
      </c>
      <c r="E992" s="182"/>
      <c r="F992" s="70"/>
      <c r="G992" s="70"/>
      <c r="H992" s="70"/>
      <c r="I992" s="71"/>
    </row>
    <row r="993" spans="3:12" ht="21.6" customHeight="1">
      <c r="C993" s="316">
        <v>1</v>
      </c>
      <c r="D993" s="109" t="s">
        <v>6511</v>
      </c>
      <c r="E993" s="109"/>
      <c r="F993" s="108" t="s">
        <v>2396</v>
      </c>
      <c r="G993" s="116">
        <v>1.4200000000000001E-2</v>
      </c>
      <c r="H993" s="185">
        <f>VLOOKUP(D993,upahbahan,3,FALSE)</f>
        <v>3125</v>
      </c>
      <c r="I993" s="317">
        <f>G993*H993</f>
        <v>44.375</v>
      </c>
    </row>
    <row r="994" spans="3:12" ht="21.6" customHeight="1">
      <c r="C994" s="66" t="s">
        <v>1217</v>
      </c>
      <c r="D994" s="67"/>
      <c r="E994" s="67"/>
      <c r="F994" s="67"/>
      <c r="G994" s="67"/>
      <c r="H994" s="69"/>
      <c r="I994" s="284">
        <f>SUM(I993)</f>
        <v>44.375</v>
      </c>
    </row>
    <row r="995" spans="3:12" s="297" customFormat="1" ht="21.6" customHeight="1">
      <c r="C995" s="293" t="s">
        <v>1218</v>
      </c>
      <c r="D995" s="294" t="s">
        <v>1219</v>
      </c>
      <c r="E995" s="295"/>
      <c r="F995" s="295"/>
      <c r="G995" s="295"/>
      <c r="H995" s="296"/>
      <c r="I995" s="284">
        <f>I994+I991+I988</f>
        <v>23073.56</v>
      </c>
      <c r="J995" s="119"/>
    </row>
    <row r="996" spans="3:12" s="297" customFormat="1" ht="21.6" customHeight="1">
      <c r="C996" s="293" t="s">
        <v>1220</v>
      </c>
      <c r="D996" s="294" t="s">
        <v>1321</v>
      </c>
      <c r="E996" s="295"/>
      <c r="F996" s="295"/>
      <c r="G996" s="296"/>
      <c r="H996" s="298">
        <f>$N$7</f>
        <v>0.1</v>
      </c>
      <c r="I996" s="284">
        <f>I995*H996</f>
        <v>2307.3560000000002</v>
      </c>
      <c r="J996" s="119"/>
    </row>
    <row r="997" spans="3:12" s="297" customFormat="1" ht="21.6" customHeight="1" thickBot="1">
      <c r="C997" s="299" t="s">
        <v>1221</v>
      </c>
      <c r="D997" s="300" t="s">
        <v>1222</v>
      </c>
      <c r="E997" s="301"/>
      <c r="F997" s="301"/>
      <c r="G997" s="301"/>
      <c r="H997" s="302"/>
      <c r="I997" s="303">
        <f>SUM(I995:I996)</f>
        <v>25380.916000000001</v>
      </c>
      <c r="J997" s="119"/>
    </row>
    <row r="998" spans="3:12" ht="14.4" thickTop="1"/>
    <row r="1001" spans="3:12" ht="14.4" thickBot="1">
      <c r="C1001" s="126" t="s">
        <v>2430</v>
      </c>
      <c r="D1001" s="119" t="s">
        <v>2431</v>
      </c>
      <c r="J1001" s="120">
        <f>ROUNDDOWN(I1016,-2)</f>
        <v>44600</v>
      </c>
      <c r="K1001" s="280" t="s">
        <v>6456</v>
      </c>
      <c r="L1001" s="280" t="s">
        <v>6514</v>
      </c>
    </row>
    <row r="1002" spans="3:12" ht="28.2" thickTop="1">
      <c r="C1002" s="51" t="s">
        <v>1195</v>
      </c>
      <c r="D1002" s="52" t="s">
        <v>1196</v>
      </c>
      <c r="E1002" s="52" t="s">
        <v>1773</v>
      </c>
      <c r="F1002" s="52" t="s">
        <v>1197</v>
      </c>
      <c r="G1002" s="52" t="s">
        <v>1198</v>
      </c>
      <c r="H1002" s="52" t="s">
        <v>1199</v>
      </c>
      <c r="I1002" s="53" t="s">
        <v>1200</v>
      </c>
    </row>
    <row r="1003" spans="3:12" ht="21.6" customHeight="1">
      <c r="C1003" s="290" t="s">
        <v>1201</v>
      </c>
      <c r="D1003" s="182" t="s">
        <v>1202</v>
      </c>
      <c r="E1003" s="182"/>
      <c r="F1003" s="70"/>
      <c r="G1003" s="70"/>
      <c r="H1003" s="70"/>
      <c r="I1003" s="71"/>
    </row>
    <row r="1004" spans="3:12" ht="21.6" customHeight="1">
      <c r="C1004" s="310" t="s">
        <v>1203</v>
      </c>
      <c r="D1004" s="182" t="s">
        <v>5</v>
      </c>
      <c r="E1004" s="182" t="s">
        <v>1774</v>
      </c>
      <c r="F1004" s="176" t="s">
        <v>1863</v>
      </c>
      <c r="G1004" s="309">
        <v>1.2E-2</v>
      </c>
      <c r="H1004" s="283">
        <f>VLOOKUP(D1004,upahbahan,3,FALSE)/8</f>
        <v>12500</v>
      </c>
      <c r="I1004" s="284">
        <f>G1004*H1004</f>
        <v>150</v>
      </c>
    </row>
    <row r="1005" spans="3:12" ht="21.6" customHeight="1">
      <c r="C1005" s="310">
        <v>2</v>
      </c>
      <c r="D1005" s="182" t="s">
        <v>7</v>
      </c>
      <c r="E1005" s="182" t="s">
        <v>1775</v>
      </c>
      <c r="F1005" s="176" t="s">
        <v>1863</v>
      </c>
      <c r="G1005" s="309">
        <v>1.2E-2</v>
      </c>
      <c r="H1005" s="283">
        <f>VLOOKUP(D1005,upahbahan,3,FALSE)/8</f>
        <v>16875</v>
      </c>
      <c r="I1005" s="284">
        <f>G1005*H1005</f>
        <v>202.5</v>
      </c>
    </row>
    <row r="1006" spans="3:12" s="59" customFormat="1" ht="21.6" customHeight="1">
      <c r="C1006" s="310">
        <v>3</v>
      </c>
      <c r="D1006" s="182" t="s">
        <v>19</v>
      </c>
      <c r="E1006" s="182" t="s">
        <v>1777</v>
      </c>
      <c r="F1006" s="176" t="s">
        <v>1863</v>
      </c>
      <c r="G1006" s="309">
        <v>1.1999999999999999E-3</v>
      </c>
      <c r="H1006" s="283">
        <f>VLOOKUP(D1006,upahbahan,3,FALSE)/8</f>
        <v>20000</v>
      </c>
      <c r="I1006" s="284">
        <f>G1006*H1006</f>
        <v>23.999999999999996</v>
      </c>
      <c r="J1006" s="119"/>
    </row>
    <row r="1007" spans="3:12" ht="21.6" customHeight="1">
      <c r="C1007" s="66" t="s">
        <v>1208</v>
      </c>
      <c r="D1007" s="67"/>
      <c r="E1007" s="67"/>
      <c r="F1007" s="67"/>
      <c r="G1007" s="68"/>
      <c r="H1007" s="69"/>
      <c r="I1007" s="284">
        <f>SUM(I1004:I1006)</f>
        <v>376.5</v>
      </c>
    </row>
    <row r="1008" spans="3:12" ht="21.6" customHeight="1">
      <c r="C1008" s="290" t="s">
        <v>1209</v>
      </c>
      <c r="D1008" s="182" t="s">
        <v>1210</v>
      </c>
      <c r="E1008" s="182"/>
      <c r="F1008" s="70"/>
      <c r="G1008" s="118"/>
      <c r="H1008" s="70"/>
      <c r="I1008" s="71"/>
    </row>
    <row r="1009" spans="3:12" ht="21.6" customHeight="1">
      <c r="C1009" s="184">
        <v>1</v>
      </c>
      <c r="D1009" s="109" t="s">
        <v>1499</v>
      </c>
      <c r="E1009" s="109"/>
      <c r="F1009" s="109" t="s">
        <v>2426</v>
      </c>
      <c r="G1009" s="116">
        <v>0.60289999999999999</v>
      </c>
      <c r="H1009" s="283">
        <f>VLOOKUP(D1009,upahbahan,3,FALSE)</f>
        <v>66600</v>
      </c>
      <c r="I1009" s="284">
        <f>G1009*H1009</f>
        <v>40153.14</v>
      </c>
    </row>
    <row r="1010" spans="3:12" ht="21.6" customHeight="1">
      <c r="C1010" s="66" t="s">
        <v>1214</v>
      </c>
      <c r="D1010" s="67"/>
      <c r="E1010" s="67"/>
      <c r="F1010" s="67"/>
      <c r="G1010" s="67"/>
      <c r="H1010" s="69"/>
      <c r="I1010" s="313">
        <f>SUM(I1009)</f>
        <v>40153.14</v>
      </c>
    </row>
    <row r="1011" spans="3:12" ht="21.6" customHeight="1">
      <c r="C1011" s="290" t="s">
        <v>1215</v>
      </c>
      <c r="D1011" s="182" t="s">
        <v>1216</v>
      </c>
      <c r="E1011" s="182"/>
      <c r="F1011" s="70"/>
      <c r="G1011" s="70"/>
      <c r="H1011" s="70"/>
      <c r="I1011" s="71"/>
    </row>
    <row r="1012" spans="3:12" ht="21.6" customHeight="1">
      <c r="C1012" s="316">
        <v>1</v>
      </c>
      <c r="D1012" s="109" t="s">
        <v>6513</v>
      </c>
      <c r="E1012" s="109"/>
      <c r="F1012" s="108" t="s">
        <v>2396</v>
      </c>
      <c r="G1012" s="116">
        <v>1.2E-2</v>
      </c>
      <c r="H1012" s="185">
        <f>VLOOKUP(D1012,upahbahan,3,FALSE)</f>
        <v>3125</v>
      </c>
      <c r="I1012" s="317">
        <f>G1012*H1012</f>
        <v>37.5</v>
      </c>
    </row>
    <row r="1013" spans="3:12" ht="21.6" customHeight="1">
      <c r="C1013" s="66" t="s">
        <v>1217</v>
      </c>
      <c r="D1013" s="67"/>
      <c r="E1013" s="67"/>
      <c r="F1013" s="67"/>
      <c r="G1013" s="67"/>
      <c r="H1013" s="69"/>
      <c r="I1013" s="284">
        <f>SUM(I1012)</f>
        <v>37.5</v>
      </c>
    </row>
    <row r="1014" spans="3:12" s="297" customFormat="1" ht="21.6" customHeight="1">
      <c r="C1014" s="293" t="s">
        <v>1218</v>
      </c>
      <c r="D1014" s="294" t="s">
        <v>1219</v>
      </c>
      <c r="E1014" s="295"/>
      <c r="F1014" s="295"/>
      <c r="G1014" s="295"/>
      <c r="H1014" s="296"/>
      <c r="I1014" s="284">
        <f>I1013+I1010+I1007</f>
        <v>40567.14</v>
      </c>
      <c r="J1014" s="119"/>
    </row>
    <row r="1015" spans="3:12" s="297" customFormat="1" ht="21.6" customHeight="1">
      <c r="C1015" s="293" t="s">
        <v>1220</v>
      </c>
      <c r="D1015" s="294" t="s">
        <v>1321</v>
      </c>
      <c r="E1015" s="295"/>
      <c r="F1015" s="295"/>
      <c r="G1015" s="296"/>
      <c r="H1015" s="298">
        <f>$N$7</f>
        <v>0.1</v>
      </c>
      <c r="I1015" s="284">
        <f>I1014*H1015</f>
        <v>4056.7139999999999</v>
      </c>
      <c r="J1015" s="119"/>
    </row>
    <row r="1016" spans="3:12" s="297" customFormat="1" ht="21.6" customHeight="1" thickBot="1">
      <c r="C1016" s="299" t="s">
        <v>1221</v>
      </c>
      <c r="D1016" s="300" t="s">
        <v>1222</v>
      </c>
      <c r="E1016" s="301"/>
      <c r="F1016" s="301"/>
      <c r="G1016" s="301"/>
      <c r="H1016" s="302"/>
      <c r="I1016" s="303">
        <f>SUM(I1014:I1015)</f>
        <v>44623.853999999999</v>
      </c>
      <c r="J1016" s="119"/>
    </row>
    <row r="1017" spans="3:12" ht="14.4" thickTop="1"/>
    <row r="1020" spans="3:12" ht="14.4" thickBot="1">
      <c r="C1020" s="126" t="s">
        <v>2432</v>
      </c>
      <c r="D1020" s="119" t="s">
        <v>5243</v>
      </c>
      <c r="J1020" s="120">
        <f>ROUNDDOWN(I1035,-2)</f>
        <v>69300</v>
      </c>
      <c r="K1020" s="280" t="s">
        <v>6456</v>
      </c>
      <c r="L1020" s="280" t="s">
        <v>6514</v>
      </c>
    </row>
    <row r="1021" spans="3:12" ht="28.2" thickTop="1">
      <c r="C1021" s="51" t="s">
        <v>1195</v>
      </c>
      <c r="D1021" s="52" t="s">
        <v>1196</v>
      </c>
      <c r="E1021" s="52" t="s">
        <v>1773</v>
      </c>
      <c r="F1021" s="52" t="s">
        <v>1197</v>
      </c>
      <c r="G1021" s="52" t="s">
        <v>1198</v>
      </c>
      <c r="H1021" s="52" t="s">
        <v>1199</v>
      </c>
      <c r="I1021" s="53" t="s">
        <v>1200</v>
      </c>
    </row>
    <row r="1022" spans="3:12" ht="21.6" customHeight="1">
      <c r="C1022" s="290" t="s">
        <v>1201</v>
      </c>
      <c r="D1022" s="182" t="s">
        <v>1202</v>
      </c>
      <c r="E1022" s="182"/>
      <c r="F1022" s="70"/>
      <c r="G1022" s="70"/>
      <c r="H1022" s="70"/>
      <c r="I1022" s="71"/>
    </row>
    <row r="1023" spans="3:12" ht="21.6" customHeight="1">
      <c r="C1023" s="310" t="s">
        <v>1203</v>
      </c>
      <c r="D1023" s="182" t="s">
        <v>5</v>
      </c>
      <c r="E1023" s="182" t="s">
        <v>1774</v>
      </c>
      <c r="F1023" s="176" t="s">
        <v>1863</v>
      </c>
      <c r="G1023" s="309">
        <v>9.5999999999999992E-3</v>
      </c>
      <c r="H1023" s="283">
        <f>VLOOKUP(D1023,upahbahan,3,FALSE)/8</f>
        <v>12500</v>
      </c>
      <c r="I1023" s="284">
        <f>G1023*H1023</f>
        <v>119.99999999999999</v>
      </c>
    </row>
    <row r="1024" spans="3:12" ht="21.6" customHeight="1">
      <c r="C1024" s="310">
        <v>2</v>
      </c>
      <c r="D1024" s="182" t="s">
        <v>7</v>
      </c>
      <c r="E1024" s="182" t="s">
        <v>1775</v>
      </c>
      <c r="F1024" s="176" t="s">
        <v>1863</v>
      </c>
      <c r="G1024" s="309">
        <v>9.5999999999999992E-3</v>
      </c>
      <c r="H1024" s="283">
        <f>VLOOKUP(D1024,upahbahan,3,FALSE)/8</f>
        <v>16875</v>
      </c>
      <c r="I1024" s="284">
        <f>G1024*H1024</f>
        <v>162</v>
      </c>
    </row>
    <row r="1025" spans="3:10" s="59" customFormat="1" ht="21.6" customHeight="1">
      <c r="C1025" s="310">
        <v>3</v>
      </c>
      <c r="D1025" s="182" t="s">
        <v>19</v>
      </c>
      <c r="E1025" s="182" t="s">
        <v>1777</v>
      </c>
      <c r="F1025" s="176" t="s">
        <v>1863</v>
      </c>
      <c r="G1025" s="309">
        <v>1E-3</v>
      </c>
      <c r="H1025" s="283">
        <f>VLOOKUP(D1025,upahbahan,3,FALSE)/8</f>
        <v>20000</v>
      </c>
      <c r="I1025" s="284">
        <f>G1025*H1025</f>
        <v>20</v>
      </c>
      <c r="J1025" s="119"/>
    </row>
    <row r="1026" spans="3:10" ht="21.6" customHeight="1">
      <c r="C1026" s="66" t="s">
        <v>1208</v>
      </c>
      <c r="D1026" s="67"/>
      <c r="E1026" s="67"/>
      <c r="F1026" s="67"/>
      <c r="G1026" s="68"/>
      <c r="H1026" s="69"/>
      <c r="I1026" s="284">
        <f>SUM(I1023:I1025)</f>
        <v>302</v>
      </c>
    </row>
    <row r="1027" spans="3:10" ht="21.6" customHeight="1">
      <c r="C1027" s="290" t="s">
        <v>1209</v>
      </c>
      <c r="D1027" s="182" t="s">
        <v>1210</v>
      </c>
      <c r="E1027" s="182"/>
      <c r="F1027" s="70"/>
      <c r="G1027" s="118"/>
      <c r="H1027" s="70"/>
      <c r="I1027" s="71"/>
    </row>
    <row r="1028" spans="3:10" ht="21.6" customHeight="1">
      <c r="C1028" s="184">
        <v>1</v>
      </c>
      <c r="D1028" s="109" t="s">
        <v>1499</v>
      </c>
      <c r="E1028" s="109"/>
      <c r="F1028" s="109" t="s">
        <v>2426</v>
      </c>
      <c r="G1028" s="116">
        <v>0.94199999999999995</v>
      </c>
      <c r="H1028" s="283">
        <f>VLOOKUP(D1028,upahbahan,3,FALSE)</f>
        <v>66600</v>
      </c>
      <c r="I1028" s="284">
        <f>G1028*H1028</f>
        <v>62737.2</v>
      </c>
    </row>
    <row r="1029" spans="3:10" ht="21.6" customHeight="1">
      <c r="C1029" s="66" t="s">
        <v>1214</v>
      </c>
      <c r="D1029" s="67"/>
      <c r="E1029" s="67"/>
      <c r="F1029" s="67"/>
      <c r="G1029" s="67"/>
      <c r="H1029" s="69"/>
      <c r="I1029" s="313">
        <f>SUM(I1028)</f>
        <v>62737.2</v>
      </c>
    </row>
    <row r="1030" spans="3:10" ht="21.6" customHeight="1">
      <c r="C1030" s="290" t="s">
        <v>1215</v>
      </c>
      <c r="D1030" s="182" t="s">
        <v>1216</v>
      </c>
      <c r="E1030" s="182"/>
      <c r="F1030" s="70"/>
      <c r="G1030" s="70"/>
      <c r="H1030" s="70"/>
      <c r="I1030" s="71"/>
    </row>
    <row r="1031" spans="3:10" ht="21.6" customHeight="1">
      <c r="C1031" s="316">
        <v>1</v>
      </c>
      <c r="D1031" s="109" t="s">
        <v>6515</v>
      </c>
      <c r="E1031" s="109"/>
      <c r="F1031" s="108" t="s">
        <v>2396</v>
      </c>
      <c r="G1031" s="116">
        <v>9.5999999999999992E-3</v>
      </c>
      <c r="H1031" s="185">
        <f>VLOOKUP(D1031,upahbahan,3,FALSE)</f>
        <v>3125</v>
      </c>
      <c r="I1031" s="317">
        <f>G1031*H1031</f>
        <v>29.999999999999996</v>
      </c>
    </row>
    <row r="1032" spans="3:10" ht="21.6" customHeight="1">
      <c r="C1032" s="66" t="s">
        <v>1217</v>
      </c>
      <c r="D1032" s="67"/>
      <c r="E1032" s="67"/>
      <c r="F1032" s="67"/>
      <c r="G1032" s="67"/>
      <c r="H1032" s="69"/>
      <c r="I1032" s="284">
        <f>SUM(I1031)</f>
        <v>29.999999999999996</v>
      </c>
    </row>
    <row r="1033" spans="3:10" s="297" customFormat="1" ht="21.6" customHeight="1">
      <c r="C1033" s="293" t="s">
        <v>1218</v>
      </c>
      <c r="D1033" s="294" t="s">
        <v>1219</v>
      </c>
      <c r="E1033" s="295"/>
      <c r="F1033" s="295"/>
      <c r="G1033" s="295"/>
      <c r="H1033" s="296"/>
      <c r="I1033" s="284">
        <f>I1032+I1029+I1026</f>
        <v>63069.2</v>
      </c>
      <c r="J1033" s="119"/>
    </row>
    <row r="1034" spans="3:10" s="297" customFormat="1" ht="21.6" customHeight="1">
      <c r="C1034" s="293" t="s">
        <v>1220</v>
      </c>
      <c r="D1034" s="294" t="s">
        <v>1321</v>
      </c>
      <c r="E1034" s="295"/>
      <c r="F1034" s="295"/>
      <c r="G1034" s="296"/>
      <c r="H1034" s="298">
        <f>$N$7</f>
        <v>0.1</v>
      </c>
      <c r="I1034" s="284">
        <f>I1033*H1034</f>
        <v>6306.92</v>
      </c>
      <c r="J1034" s="119"/>
    </row>
    <row r="1035" spans="3:10" s="297" customFormat="1" ht="21.6" customHeight="1" thickBot="1">
      <c r="C1035" s="299" t="s">
        <v>1221</v>
      </c>
      <c r="D1035" s="300" t="s">
        <v>1222</v>
      </c>
      <c r="E1035" s="301"/>
      <c r="F1035" s="301"/>
      <c r="G1035" s="301"/>
      <c r="H1035" s="302"/>
      <c r="I1035" s="303">
        <f>SUM(I1033:I1034)</f>
        <v>69376.12</v>
      </c>
      <c r="J1035" s="119"/>
    </row>
    <row r="1036" spans="3:10" ht="14.4" thickTop="1"/>
    <row r="1037" spans="3:10">
      <c r="C1037" s="126" t="s">
        <v>2433</v>
      </c>
      <c r="D1037" s="119" t="s">
        <v>2434</v>
      </c>
    </row>
    <row r="1039" spans="3:10" ht="14.4" thickBot="1">
      <c r="C1039" s="126" t="s">
        <v>2435</v>
      </c>
      <c r="D1039" s="119" t="s">
        <v>2436</v>
      </c>
      <c r="J1039" s="120">
        <f>ROUNDDOWN(I1054,-2)</f>
        <v>47400</v>
      </c>
    </row>
    <row r="1040" spans="3:10" ht="28.2" thickTop="1">
      <c r="C1040" s="51" t="s">
        <v>1195</v>
      </c>
      <c r="D1040" s="52" t="s">
        <v>1196</v>
      </c>
      <c r="E1040" s="52" t="s">
        <v>1773</v>
      </c>
      <c r="F1040" s="52" t="s">
        <v>1197</v>
      </c>
      <c r="G1040" s="52" t="s">
        <v>1198</v>
      </c>
      <c r="H1040" s="52" t="s">
        <v>1199</v>
      </c>
      <c r="I1040" s="53" t="s">
        <v>1200</v>
      </c>
    </row>
    <row r="1041" spans="3:10" ht="21.6" customHeight="1">
      <c r="C1041" s="290" t="s">
        <v>1201</v>
      </c>
      <c r="D1041" s="182" t="s">
        <v>1202</v>
      </c>
      <c r="E1041" s="182"/>
      <c r="F1041" s="70"/>
      <c r="G1041" s="70"/>
      <c r="H1041" s="70"/>
      <c r="I1041" s="71"/>
    </row>
    <row r="1042" spans="3:10" ht="21.6" customHeight="1">
      <c r="C1042" s="310" t="s">
        <v>1203</v>
      </c>
      <c r="D1042" s="182" t="s">
        <v>5</v>
      </c>
      <c r="E1042" s="182" t="s">
        <v>1774</v>
      </c>
      <c r="F1042" s="176" t="s">
        <v>1863</v>
      </c>
      <c r="G1042" s="309">
        <v>8.3699999999999997E-2</v>
      </c>
      <c r="H1042" s="283">
        <f>VLOOKUP(D1042,upahbahan,3,FALSE)/8</f>
        <v>12500</v>
      </c>
      <c r="I1042" s="284">
        <f>G1042*H1042</f>
        <v>1046.25</v>
      </c>
    </row>
    <row r="1043" spans="3:10" ht="21.6" customHeight="1">
      <c r="C1043" s="310">
        <v>2</v>
      </c>
      <c r="D1043" s="182" t="s">
        <v>7</v>
      </c>
      <c r="E1043" s="182" t="s">
        <v>1775</v>
      </c>
      <c r="F1043" s="176" t="s">
        <v>1863</v>
      </c>
      <c r="G1043" s="309">
        <v>4.1799999999999997E-2</v>
      </c>
      <c r="H1043" s="283">
        <f>VLOOKUP(D1043,upahbahan,3,FALSE)/8</f>
        <v>16875</v>
      </c>
      <c r="I1043" s="284">
        <f>G1043*H1043</f>
        <v>705.375</v>
      </c>
    </row>
    <row r="1044" spans="3:10" s="59" customFormat="1" ht="21.6" customHeight="1">
      <c r="C1044" s="310">
        <v>3</v>
      </c>
      <c r="D1044" s="182" t="s">
        <v>19</v>
      </c>
      <c r="E1044" s="182" t="s">
        <v>1777</v>
      </c>
      <c r="F1044" s="176" t="s">
        <v>1863</v>
      </c>
      <c r="G1044" s="309">
        <v>8.3999999999999995E-3</v>
      </c>
      <c r="H1044" s="283">
        <f>VLOOKUP(D1044,upahbahan,3,FALSE)/8</f>
        <v>20000</v>
      </c>
      <c r="I1044" s="284">
        <f>G1044*H1044</f>
        <v>168</v>
      </c>
      <c r="J1044" s="119"/>
    </row>
    <row r="1045" spans="3:10" ht="21.6" customHeight="1">
      <c r="C1045" s="66" t="s">
        <v>1208</v>
      </c>
      <c r="D1045" s="67"/>
      <c r="E1045" s="67"/>
      <c r="F1045" s="67"/>
      <c r="G1045" s="68"/>
      <c r="H1045" s="69"/>
      <c r="I1045" s="284">
        <f>SUM(I1042:I1044)</f>
        <v>1919.625</v>
      </c>
    </row>
    <row r="1046" spans="3:10" ht="21.6" customHeight="1">
      <c r="C1046" s="290" t="s">
        <v>1209</v>
      </c>
      <c r="D1046" s="182" t="s">
        <v>1210</v>
      </c>
      <c r="E1046" s="182"/>
      <c r="F1046" s="70"/>
      <c r="G1046" s="118"/>
      <c r="H1046" s="70"/>
      <c r="I1046" s="71"/>
    </row>
    <row r="1047" spans="3:10" ht="21.6" customHeight="1">
      <c r="C1047" s="66" t="s">
        <v>1214</v>
      </c>
      <c r="D1047" s="67"/>
      <c r="E1047" s="67"/>
      <c r="F1047" s="67"/>
      <c r="G1047" s="67"/>
      <c r="H1047" s="69"/>
      <c r="I1047" s="313">
        <v>0</v>
      </c>
    </row>
    <row r="1048" spans="3:10" ht="21.6" customHeight="1">
      <c r="C1048" s="290" t="s">
        <v>1215</v>
      </c>
      <c r="D1048" s="182" t="s">
        <v>1216</v>
      </c>
      <c r="E1048" s="182"/>
      <c r="F1048" s="70"/>
      <c r="G1048" s="70"/>
      <c r="H1048" s="70"/>
      <c r="I1048" s="71"/>
    </row>
    <row r="1049" spans="3:10" ht="21.6" customHeight="1">
      <c r="C1049" s="316">
        <v>1</v>
      </c>
      <c r="D1049" s="109" t="s">
        <v>6498</v>
      </c>
      <c r="E1049" s="109"/>
      <c r="F1049" s="108" t="s">
        <v>2396</v>
      </c>
      <c r="G1049" s="116">
        <v>4.1799999999999997E-2</v>
      </c>
      <c r="H1049" s="185">
        <f>VLOOKUP(D1049,upahbahan,3,FALSE)</f>
        <v>500000</v>
      </c>
      <c r="I1049" s="317">
        <f>G1049*H1049</f>
        <v>20900</v>
      </c>
    </row>
    <row r="1050" spans="3:10" ht="21.6" customHeight="1">
      <c r="C1050" s="316">
        <v>2</v>
      </c>
      <c r="D1050" s="109" t="s">
        <v>5244</v>
      </c>
      <c r="E1050" s="109"/>
      <c r="F1050" s="108" t="s">
        <v>2396</v>
      </c>
      <c r="G1050" s="116">
        <v>4.1799999999999997E-2</v>
      </c>
      <c r="H1050" s="185">
        <f>VLOOKUP(D1050,upahbahan,3,FALSE)</f>
        <v>487000</v>
      </c>
      <c r="I1050" s="317">
        <f>G1050*H1050</f>
        <v>20356.599999999999</v>
      </c>
    </row>
    <row r="1051" spans="3:10" ht="21.6" customHeight="1">
      <c r="C1051" s="66" t="s">
        <v>1217</v>
      </c>
      <c r="D1051" s="67"/>
      <c r="E1051" s="67"/>
      <c r="F1051" s="67"/>
      <c r="G1051" s="67"/>
      <c r="H1051" s="69"/>
      <c r="I1051" s="284">
        <f>SUM(I1049:I1050)</f>
        <v>41256.6</v>
      </c>
    </row>
    <row r="1052" spans="3:10" s="297" customFormat="1" ht="21.6" customHeight="1">
      <c r="C1052" s="293" t="s">
        <v>1218</v>
      </c>
      <c r="D1052" s="294" t="s">
        <v>1219</v>
      </c>
      <c r="E1052" s="295"/>
      <c r="F1052" s="295"/>
      <c r="G1052" s="295"/>
      <c r="H1052" s="296"/>
      <c r="I1052" s="284">
        <f>I1051+I1047+I1045</f>
        <v>43176.224999999999</v>
      </c>
      <c r="J1052" s="119"/>
    </row>
    <row r="1053" spans="3:10" s="297" customFormat="1" ht="21.6" customHeight="1">
      <c r="C1053" s="293" t="s">
        <v>1220</v>
      </c>
      <c r="D1053" s="294" t="s">
        <v>1321</v>
      </c>
      <c r="E1053" s="295"/>
      <c r="F1053" s="295"/>
      <c r="G1053" s="296"/>
      <c r="H1053" s="298">
        <f>$N$7</f>
        <v>0.1</v>
      </c>
      <c r="I1053" s="284">
        <f>I1052*H1053</f>
        <v>4317.6225000000004</v>
      </c>
      <c r="J1053" s="119"/>
    </row>
    <row r="1054" spans="3:10" s="297" customFormat="1" ht="21.6" customHeight="1" thickBot="1">
      <c r="C1054" s="299" t="s">
        <v>1221</v>
      </c>
      <c r="D1054" s="300" t="s">
        <v>1222</v>
      </c>
      <c r="E1054" s="301"/>
      <c r="F1054" s="301"/>
      <c r="G1054" s="301"/>
      <c r="H1054" s="302"/>
      <c r="I1054" s="303">
        <f>SUM(I1052:I1053)</f>
        <v>47493.847499999996</v>
      </c>
      <c r="J1054" s="119"/>
    </row>
    <row r="1055" spans="3:10" ht="14.4" thickTop="1"/>
    <row r="1058" spans="3:10" ht="14.4" thickBot="1">
      <c r="C1058" s="126" t="s">
        <v>2437</v>
      </c>
      <c r="D1058" s="119" t="s">
        <v>2438</v>
      </c>
      <c r="J1058" s="120">
        <f>ROUNDDOWN(I1073,-2)</f>
        <v>58800</v>
      </c>
    </row>
    <row r="1059" spans="3:10" ht="28.2" thickTop="1">
      <c r="C1059" s="51" t="s">
        <v>1195</v>
      </c>
      <c r="D1059" s="52" t="s">
        <v>1196</v>
      </c>
      <c r="E1059" s="52" t="s">
        <v>1773</v>
      </c>
      <c r="F1059" s="52" t="s">
        <v>1197</v>
      </c>
      <c r="G1059" s="52" t="s">
        <v>1198</v>
      </c>
      <c r="H1059" s="52" t="s">
        <v>1199</v>
      </c>
      <c r="I1059" s="53" t="s">
        <v>1200</v>
      </c>
    </row>
    <row r="1060" spans="3:10" ht="21.6" customHeight="1">
      <c r="C1060" s="290" t="s">
        <v>1201</v>
      </c>
      <c r="D1060" s="182" t="s">
        <v>1202</v>
      </c>
      <c r="E1060" s="182"/>
      <c r="F1060" s="70"/>
      <c r="G1060" s="70"/>
      <c r="H1060" s="70"/>
      <c r="I1060" s="71"/>
    </row>
    <row r="1061" spans="3:10" ht="21.6" customHeight="1">
      <c r="C1061" s="310" t="s">
        <v>1203</v>
      </c>
      <c r="D1061" s="182" t="s">
        <v>5</v>
      </c>
      <c r="E1061" s="182" t="s">
        <v>1774</v>
      </c>
      <c r="F1061" s="176" t="s">
        <v>1863</v>
      </c>
      <c r="G1061" s="309">
        <v>0.1033</v>
      </c>
      <c r="H1061" s="283">
        <f>VLOOKUP(D1061,upahbahan,3,FALSE)/8</f>
        <v>12500</v>
      </c>
      <c r="I1061" s="284">
        <f>G1061*H1061</f>
        <v>1291.25</v>
      </c>
    </row>
    <row r="1062" spans="3:10" ht="21.6" customHeight="1">
      <c r="C1062" s="310">
        <v>2</v>
      </c>
      <c r="D1062" s="182" t="s">
        <v>7</v>
      </c>
      <c r="E1062" s="182" t="s">
        <v>1775</v>
      </c>
      <c r="F1062" s="176" t="s">
        <v>1863</v>
      </c>
      <c r="G1062" s="309">
        <v>5.16E-2</v>
      </c>
      <c r="H1062" s="283">
        <f>VLOOKUP(D1062,upahbahan,3,FALSE)/8</f>
        <v>16875</v>
      </c>
      <c r="I1062" s="284">
        <f>G1062*H1062</f>
        <v>870.75</v>
      </c>
    </row>
    <row r="1063" spans="3:10" s="59" customFormat="1" ht="21.6" customHeight="1">
      <c r="C1063" s="310">
        <v>3</v>
      </c>
      <c r="D1063" s="182" t="s">
        <v>19</v>
      </c>
      <c r="E1063" s="182" t="s">
        <v>1777</v>
      </c>
      <c r="F1063" s="176" t="s">
        <v>1863</v>
      </c>
      <c r="G1063" s="309">
        <v>2.0299999999999999E-2</v>
      </c>
      <c r="H1063" s="283">
        <f>VLOOKUP(D1063,upahbahan,3,FALSE)/8</f>
        <v>20000</v>
      </c>
      <c r="I1063" s="284">
        <f>G1063*H1063</f>
        <v>406</v>
      </c>
      <c r="J1063" s="119"/>
    </row>
    <row r="1064" spans="3:10" ht="21.6" customHeight="1">
      <c r="C1064" s="66" t="s">
        <v>1208</v>
      </c>
      <c r="D1064" s="67"/>
      <c r="E1064" s="67"/>
      <c r="F1064" s="67"/>
      <c r="G1064" s="68"/>
      <c r="H1064" s="69"/>
      <c r="I1064" s="284">
        <f>SUM(I1061:I1063)</f>
        <v>2568</v>
      </c>
    </row>
    <row r="1065" spans="3:10" ht="21.6" customHeight="1">
      <c r="C1065" s="290" t="s">
        <v>1209</v>
      </c>
      <c r="D1065" s="182" t="s">
        <v>1210</v>
      </c>
      <c r="E1065" s="182"/>
      <c r="F1065" s="70"/>
      <c r="G1065" s="118"/>
      <c r="H1065" s="70"/>
      <c r="I1065" s="71"/>
    </row>
    <row r="1066" spans="3:10" ht="21.6" customHeight="1">
      <c r="C1066" s="66" t="s">
        <v>1214</v>
      </c>
      <c r="D1066" s="67"/>
      <c r="E1066" s="67"/>
      <c r="F1066" s="67"/>
      <c r="G1066" s="67"/>
      <c r="H1066" s="69"/>
      <c r="I1066" s="313">
        <v>0</v>
      </c>
    </row>
    <row r="1067" spans="3:10" ht="21.6" customHeight="1">
      <c r="C1067" s="290" t="s">
        <v>1215</v>
      </c>
      <c r="D1067" s="182" t="s">
        <v>1216</v>
      </c>
      <c r="E1067" s="182"/>
      <c r="F1067" s="70"/>
      <c r="G1067" s="70"/>
      <c r="H1067" s="70"/>
      <c r="I1067" s="71"/>
    </row>
    <row r="1068" spans="3:10" ht="21.6" customHeight="1">
      <c r="C1068" s="316">
        <v>1</v>
      </c>
      <c r="D1068" s="109" t="s">
        <v>6498</v>
      </c>
      <c r="E1068" s="109"/>
      <c r="F1068" s="108" t="s">
        <v>2396</v>
      </c>
      <c r="G1068" s="116">
        <v>5.16E-2</v>
      </c>
      <c r="H1068" s="185">
        <f>VLOOKUP(D1068,upahbahan,3,FALSE)</f>
        <v>500000</v>
      </c>
      <c r="I1068" s="317">
        <f>G1068*H1068</f>
        <v>25800</v>
      </c>
    </row>
    <row r="1069" spans="3:10" ht="21.6" customHeight="1">
      <c r="C1069" s="316">
        <v>2</v>
      </c>
      <c r="D1069" s="109" t="s">
        <v>5244</v>
      </c>
      <c r="E1069" s="109"/>
      <c r="F1069" s="108" t="s">
        <v>2396</v>
      </c>
      <c r="G1069" s="116">
        <v>5.16E-2</v>
      </c>
      <c r="H1069" s="185">
        <f>VLOOKUP(D1069,upahbahan,3,FALSE)</f>
        <v>487000</v>
      </c>
      <c r="I1069" s="317">
        <f>G1069*H1069</f>
        <v>25129.200000000001</v>
      </c>
    </row>
    <row r="1070" spans="3:10" ht="21.6" customHeight="1">
      <c r="C1070" s="66" t="s">
        <v>1217</v>
      </c>
      <c r="D1070" s="67"/>
      <c r="E1070" s="67"/>
      <c r="F1070" s="67"/>
      <c r="G1070" s="67"/>
      <c r="H1070" s="69"/>
      <c r="I1070" s="284">
        <f>SUM(I1068:I1069)</f>
        <v>50929.2</v>
      </c>
    </row>
    <row r="1071" spans="3:10" s="297" customFormat="1" ht="21.6" customHeight="1">
      <c r="C1071" s="293" t="s">
        <v>1218</v>
      </c>
      <c r="D1071" s="294" t="s">
        <v>1219</v>
      </c>
      <c r="E1071" s="295"/>
      <c r="F1071" s="295"/>
      <c r="G1071" s="295"/>
      <c r="H1071" s="296"/>
      <c r="I1071" s="284">
        <f>I1070+I1066+I1064</f>
        <v>53497.2</v>
      </c>
      <c r="J1071" s="119"/>
    </row>
    <row r="1072" spans="3:10" s="297" customFormat="1" ht="21.6" customHeight="1">
      <c r="C1072" s="293" t="s">
        <v>1220</v>
      </c>
      <c r="D1072" s="294" t="s">
        <v>1321</v>
      </c>
      <c r="E1072" s="295"/>
      <c r="F1072" s="295"/>
      <c r="G1072" s="296"/>
      <c r="H1072" s="298">
        <f>$N$7</f>
        <v>0.1</v>
      </c>
      <c r="I1072" s="284">
        <f>I1071*H1072</f>
        <v>5349.72</v>
      </c>
      <c r="J1072" s="119"/>
    </row>
    <row r="1073" spans="3:10" s="297" customFormat="1" ht="21.6" customHeight="1" thickBot="1">
      <c r="C1073" s="299" t="s">
        <v>1221</v>
      </c>
      <c r="D1073" s="300" t="s">
        <v>1222</v>
      </c>
      <c r="E1073" s="301"/>
      <c r="F1073" s="301"/>
      <c r="G1073" s="301"/>
      <c r="H1073" s="302"/>
      <c r="I1073" s="303">
        <f>SUM(I1071:I1072)</f>
        <v>58846.92</v>
      </c>
      <c r="J1073" s="119"/>
    </row>
    <row r="1074" spans="3:10" ht="14.4" thickTop="1"/>
    <row r="1076" spans="3:10" ht="14.4" thickBot="1">
      <c r="C1076" s="126" t="s">
        <v>2439</v>
      </c>
      <c r="D1076" s="119" t="s">
        <v>2440</v>
      </c>
      <c r="J1076" s="120">
        <f>ROUNDDOWN(I1091,-2)</f>
        <v>78600</v>
      </c>
    </row>
    <row r="1077" spans="3:10" ht="28.2" thickTop="1">
      <c r="C1077" s="51" t="s">
        <v>1195</v>
      </c>
      <c r="D1077" s="52" t="s">
        <v>1196</v>
      </c>
      <c r="E1077" s="52" t="s">
        <v>1773</v>
      </c>
      <c r="F1077" s="52" t="s">
        <v>1197</v>
      </c>
      <c r="G1077" s="52" t="s">
        <v>1198</v>
      </c>
      <c r="H1077" s="52" t="s">
        <v>1199</v>
      </c>
      <c r="I1077" s="53" t="s">
        <v>1200</v>
      </c>
    </row>
    <row r="1078" spans="3:10" ht="21.6" customHeight="1">
      <c r="C1078" s="290" t="s">
        <v>1201</v>
      </c>
      <c r="D1078" s="182" t="s">
        <v>1202</v>
      </c>
      <c r="E1078" s="182"/>
      <c r="F1078" s="70"/>
      <c r="G1078" s="70"/>
      <c r="H1078" s="70"/>
      <c r="I1078" s="71"/>
    </row>
    <row r="1079" spans="3:10" ht="21.6" customHeight="1">
      <c r="C1079" s="310" t="s">
        <v>1203</v>
      </c>
      <c r="D1079" s="182" t="s">
        <v>5</v>
      </c>
      <c r="E1079" s="182" t="s">
        <v>1774</v>
      </c>
      <c r="F1079" s="176" t="s">
        <v>1863</v>
      </c>
      <c r="G1079" s="309">
        <v>0.1384</v>
      </c>
      <c r="H1079" s="283">
        <f>VLOOKUP(D1079,upahbahan,3,FALSE)/8</f>
        <v>12500</v>
      </c>
      <c r="I1079" s="284">
        <f>G1079*H1079</f>
        <v>1730</v>
      </c>
    </row>
    <row r="1080" spans="3:10" ht="21.6" customHeight="1">
      <c r="C1080" s="310">
        <v>2</v>
      </c>
      <c r="D1080" s="182" t="s">
        <v>7</v>
      </c>
      <c r="E1080" s="182" t="s">
        <v>1775</v>
      </c>
      <c r="F1080" s="176" t="s">
        <v>1863</v>
      </c>
      <c r="G1080" s="309">
        <v>6.9199999999999998E-2</v>
      </c>
      <c r="H1080" s="283">
        <f>VLOOKUP(D1080,upahbahan,3,FALSE)/8</f>
        <v>16875</v>
      </c>
      <c r="I1080" s="284">
        <f>G1080*H1080</f>
        <v>1167.75</v>
      </c>
    </row>
    <row r="1081" spans="3:10" s="59" customFormat="1" ht="21.6" customHeight="1">
      <c r="C1081" s="310">
        <v>3</v>
      </c>
      <c r="D1081" s="182" t="s">
        <v>19</v>
      </c>
      <c r="E1081" s="182" t="s">
        <v>1777</v>
      </c>
      <c r="F1081" s="176" t="s">
        <v>1863</v>
      </c>
      <c r="G1081" s="309">
        <v>1.38E-2</v>
      </c>
      <c r="H1081" s="283">
        <f>VLOOKUP(D1081,upahbahan,3,FALSE)/8</f>
        <v>20000</v>
      </c>
      <c r="I1081" s="284">
        <f>G1081*H1081</f>
        <v>276</v>
      </c>
      <c r="J1081" s="119"/>
    </row>
    <row r="1082" spans="3:10" ht="21.6" customHeight="1">
      <c r="C1082" s="66" t="s">
        <v>1208</v>
      </c>
      <c r="D1082" s="67"/>
      <c r="E1082" s="67"/>
      <c r="F1082" s="67"/>
      <c r="G1082" s="68"/>
      <c r="H1082" s="69"/>
      <c r="I1082" s="284">
        <f>SUM(I1079:I1081)</f>
        <v>3173.75</v>
      </c>
    </row>
    <row r="1083" spans="3:10" ht="21.6" customHeight="1">
      <c r="C1083" s="290" t="s">
        <v>1209</v>
      </c>
      <c r="D1083" s="182" t="s">
        <v>1210</v>
      </c>
      <c r="E1083" s="182"/>
      <c r="F1083" s="70"/>
      <c r="G1083" s="118"/>
      <c r="H1083" s="70"/>
      <c r="I1083" s="71"/>
    </row>
    <row r="1084" spans="3:10" ht="21.6" customHeight="1">
      <c r="C1084" s="66" t="s">
        <v>1214</v>
      </c>
      <c r="D1084" s="67"/>
      <c r="E1084" s="67"/>
      <c r="F1084" s="67"/>
      <c r="G1084" s="67"/>
      <c r="H1084" s="69"/>
      <c r="I1084" s="313">
        <v>0</v>
      </c>
    </row>
    <row r="1085" spans="3:10" ht="21.6" customHeight="1">
      <c r="C1085" s="290" t="s">
        <v>1215</v>
      </c>
      <c r="D1085" s="182" t="s">
        <v>1216</v>
      </c>
      <c r="E1085" s="182"/>
      <c r="F1085" s="70"/>
      <c r="G1085" s="70"/>
      <c r="H1085" s="70"/>
      <c r="I1085" s="71"/>
    </row>
    <row r="1086" spans="3:10" ht="21.6" customHeight="1">
      <c r="C1086" s="316">
        <v>1</v>
      </c>
      <c r="D1086" s="109" t="s">
        <v>6498</v>
      </c>
      <c r="E1086" s="109"/>
      <c r="F1086" s="108" t="s">
        <v>2396</v>
      </c>
      <c r="G1086" s="116">
        <v>6.9199999999999998E-2</v>
      </c>
      <c r="H1086" s="185">
        <f>VLOOKUP(D1086,upahbahan,3,FALSE)</f>
        <v>500000</v>
      </c>
      <c r="I1086" s="317">
        <f>G1086*H1086</f>
        <v>34600</v>
      </c>
    </row>
    <row r="1087" spans="3:10" ht="21.6" customHeight="1">
      <c r="C1087" s="316">
        <v>2</v>
      </c>
      <c r="D1087" s="109" t="s">
        <v>5244</v>
      </c>
      <c r="E1087" s="109"/>
      <c r="F1087" s="108" t="s">
        <v>2396</v>
      </c>
      <c r="G1087" s="116">
        <v>6.9199999999999998E-2</v>
      </c>
      <c r="H1087" s="185">
        <f>VLOOKUP(D1087,upahbahan,3,FALSE)</f>
        <v>487000</v>
      </c>
      <c r="I1087" s="317">
        <f>G1087*H1087</f>
        <v>33700.400000000001</v>
      </c>
    </row>
    <row r="1088" spans="3:10" ht="21.6" customHeight="1">
      <c r="C1088" s="66" t="s">
        <v>1217</v>
      </c>
      <c r="D1088" s="67"/>
      <c r="E1088" s="67"/>
      <c r="F1088" s="67"/>
      <c r="G1088" s="67"/>
      <c r="H1088" s="69"/>
      <c r="I1088" s="284">
        <f>SUM(I1086:I1087)</f>
        <v>68300.399999999994</v>
      </c>
    </row>
    <row r="1089" spans="3:10" s="297" customFormat="1" ht="21.6" customHeight="1">
      <c r="C1089" s="293" t="s">
        <v>1218</v>
      </c>
      <c r="D1089" s="294" t="s">
        <v>1219</v>
      </c>
      <c r="E1089" s="295"/>
      <c r="F1089" s="295"/>
      <c r="G1089" s="295"/>
      <c r="H1089" s="296"/>
      <c r="I1089" s="284">
        <f>I1088+I1084+I1082</f>
        <v>71474.149999999994</v>
      </c>
      <c r="J1089" s="119"/>
    </row>
    <row r="1090" spans="3:10" s="297" customFormat="1" ht="21.6" customHeight="1">
      <c r="C1090" s="293" t="s">
        <v>1220</v>
      </c>
      <c r="D1090" s="294" t="s">
        <v>1321</v>
      </c>
      <c r="E1090" s="295"/>
      <c r="F1090" s="295"/>
      <c r="G1090" s="296"/>
      <c r="H1090" s="298">
        <f>$N$7</f>
        <v>0.1</v>
      </c>
      <c r="I1090" s="284">
        <f>I1089*H1090</f>
        <v>7147.415</v>
      </c>
      <c r="J1090" s="119"/>
    </row>
    <row r="1091" spans="3:10" s="297" customFormat="1" ht="21.6" customHeight="1" thickBot="1">
      <c r="C1091" s="299" t="s">
        <v>1221</v>
      </c>
      <c r="D1091" s="300" t="s">
        <v>1222</v>
      </c>
      <c r="E1091" s="301"/>
      <c r="F1091" s="301"/>
      <c r="G1091" s="301"/>
      <c r="H1091" s="302"/>
      <c r="I1091" s="303">
        <f>SUM(I1089:I1090)</f>
        <v>78621.564999999988</v>
      </c>
      <c r="J1091" s="119"/>
    </row>
    <row r="1092" spans="3:10" ht="14.4" thickTop="1"/>
    <row r="1094" spans="3:10" ht="14.4" thickBot="1">
      <c r="C1094" s="126" t="s">
        <v>2441</v>
      </c>
      <c r="D1094" s="119" t="s">
        <v>2442</v>
      </c>
      <c r="J1094" s="120">
        <f>ROUNDDOWN(I1109,-2)</f>
        <v>85700</v>
      </c>
    </row>
    <row r="1095" spans="3:10" ht="28.2" thickTop="1">
      <c r="C1095" s="51" t="s">
        <v>1195</v>
      </c>
      <c r="D1095" s="52" t="s">
        <v>1196</v>
      </c>
      <c r="E1095" s="52" t="s">
        <v>1773</v>
      </c>
      <c r="F1095" s="52" t="s">
        <v>1197</v>
      </c>
      <c r="G1095" s="52" t="s">
        <v>1198</v>
      </c>
      <c r="H1095" s="52" t="s">
        <v>1199</v>
      </c>
      <c r="I1095" s="53" t="s">
        <v>1200</v>
      </c>
    </row>
    <row r="1096" spans="3:10" ht="21.6" customHeight="1">
      <c r="C1096" s="290" t="s">
        <v>1201</v>
      </c>
      <c r="D1096" s="182" t="s">
        <v>1202</v>
      </c>
      <c r="E1096" s="182"/>
      <c r="F1096" s="70"/>
      <c r="G1096" s="70"/>
      <c r="H1096" s="70"/>
      <c r="I1096" s="71"/>
    </row>
    <row r="1097" spans="3:10" ht="21.6" customHeight="1">
      <c r="C1097" s="310" t="s">
        <v>1203</v>
      </c>
      <c r="D1097" s="182" t="s">
        <v>5</v>
      </c>
      <c r="E1097" s="182" t="s">
        <v>1774</v>
      </c>
      <c r="F1097" s="176" t="s">
        <v>1863</v>
      </c>
      <c r="G1097" s="309">
        <v>0.1439</v>
      </c>
      <c r="H1097" s="283">
        <f>VLOOKUP(D1097,upahbahan,3,FALSE)/8</f>
        <v>12500</v>
      </c>
      <c r="I1097" s="284">
        <f>G1097*H1097</f>
        <v>1798.75</v>
      </c>
    </row>
    <row r="1098" spans="3:10" ht="21.6" customHeight="1">
      <c r="C1098" s="310">
        <v>2</v>
      </c>
      <c r="D1098" s="182" t="s">
        <v>7</v>
      </c>
      <c r="E1098" s="182" t="s">
        <v>1775</v>
      </c>
      <c r="F1098" s="176" t="s">
        <v>1863</v>
      </c>
      <c r="G1098" s="309">
        <v>7.1999999999999995E-2</v>
      </c>
      <c r="H1098" s="283">
        <f>VLOOKUP(D1098,upahbahan,3,FALSE)/8</f>
        <v>16875</v>
      </c>
      <c r="I1098" s="284">
        <f>G1098*H1098</f>
        <v>1215</v>
      </c>
    </row>
    <row r="1099" spans="3:10" s="59" customFormat="1" ht="21.6" customHeight="1">
      <c r="C1099" s="310">
        <v>3</v>
      </c>
      <c r="D1099" s="182" t="s">
        <v>19</v>
      </c>
      <c r="E1099" s="182" t="s">
        <v>1777</v>
      </c>
      <c r="F1099" s="176" t="s">
        <v>1863</v>
      </c>
      <c r="G1099" s="309">
        <v>1.44E-2</v>
      </c>
      <c r="H1099" s="283">
        <f>VLOOKUP(D1099,upahbahan,3,FALSE)/8</f>
        <v>20000</v>
      </c>
      <c r="I1099" s="284">
        <f>G1099*H1099</f>
        <v>288</v>
      </c>
      <c r="J1099" s="119"/>
    </row>
    <row r="1100" spans="3:10" ht="21.6" customHeight="1">
      <c r="C1100" s="66" t="s">
        <v>1208</v>
      </c>
      <c r="D1100" s="67"/>
      <c r="E1100" s="67"/>
      <c r="F1100" s="67"/>
      <c r="G1100" s="68"/>
      <c r="H1100" s="69"/>
      <c r="I1100" s="284">
        <f>SUM(I1097:I1099)</f>
        <v>3301.75</v>
      </c>
    </row>
    <row r="1101" spans="3:10" ht="21.6" customHeight="1">
      <c r="C1101" s="290" t="s">
        <v>1209</v>
      </c>
      <c r="D1101" s="182" t="s">
        <v>1210</v>
      </c>
      <c r="E1101" s="182"/>
      <c r="F1101" s="70"/>
      <c r="G1101" s="118"/>
      <c r="H1101" s="70"/>
      <c r="I1101" s="71"/>
    </row>
    <row r="1102" spans="3:10" ht="21.6" customHeight="1">
      <c r="C1102" s="66" t="s">
        <v>1214</v>
      </c>
      <c r="D1102" s="67"/>
      <c r="E1102" s="67"/>
      <c r="F1102" s="67"/>
      <c r="G1102" s="67"/>
      <c r="H1102" s="69"/>
      <c r="I1102" s="313">
        <v>0</v>
      </c>
    </row>
    <row r="1103" spans="3:10" ht="21.6" customHeight="1">
      <c r="C1103" s="290" t="s">
        <v>1215</v>
      </c>
      <c r="D1103" s="182" t="s">
        <v>1216</v>
      </c>
      <c r="E1103" s="182"/>
      <c r="F1103" s="70"/>
      <c r="G1103" s="70"/>
      <c r="H1103" s="70"/>
      <c r="I1103" s="71"/>
    </row>
    <row r="1104" spans="3:10" ht="21.6" customHeight="1">
      <c r="C1104" s="316">
        <v>1</v>
      </c>
      <c r="D1104" s="109" t="s">
        <v>6517</v>
      </c>
      <c r="E1104" s="109"/>
      <c r="F1104" s="108" t="s">
        <v>2396</v>
      </c>
      <c r="G1104" s="116">
        <v>7.1999999999999995E-2</v>
      </c>
      <c r="H1104" s="185">
        <f>VLOOKUP(D1104,upahbahan,3,FALSE)</f>
        <v>550000</v>
      </c>
      <c r="I1104" s="317">
        <f>G1104*H1104</f>
        <v>39600</v>
      </c>
    </row>
    <row r="1105" spans="3:10" ht="21.6" customHeight="1">
      <c r="C1105" s="316">
        <v>2</v>
      </c>
      <c r="D1105" s="109" t="s">
        <v>5244</v>
      </c>
      <c r="E1105" s="109"/>
      <c r="F1105" s="108" t="s">
        <v>2396</v>
      </c>
      <c r="G1105" s="116">
        <v>7.1999999999999995E-2</v>
      </c>
      <c r="H1105" s="185">
        <f>VLOOKUP(D1105,upahbahan,3,FALSE)</f>
        <v>487000</v>
      </c>
      <c r="I1105" s="317">
        <f>G1105*H1105</f>
        <v>35064</v>
      </c>
    </row>
    <row r="1106" spans="3:10" ht="21.6" customHeight="1">
      <c r="C1106" s="66" t="s">
        <v>1217</v>
      </c>
      <c r="D1106" s="67"/>
      <c r="E1106" s="67"/>
      <c r="F1106" s="67"/>
      <c r="G1106" s="67"/>
      <c r="H1106" s="69"/>
      <c r="I1106" s="284">
        <f>SUM(I1104:I1105)</f>
        <v>74664</v>
      </c>
    </row>
    <row r="1107" spans="3:10" s="297" customFormat="1" ht="21.6" customHeight="1">
      <c r="C1107" s="293" t="s">
        <v>1218</v>
      </c>
      <c r="D1107" s="294" t="s">
        <v>1219</v>
      </c>
      <c r="E1107" s="295"/>
      <c r="F1107" s="295"/>
      <c r="G1107" s="295"/>
      <c r="H1107" s="296"/>
      <c r="I1107" s="284">
        <f>I1106+I1102+I1100</f>
        <v>77965.75</v>
      </c>
      <c r="J1107" s="119"/>
    </row>
    <row r="1108" spans="3:10" s="297" customFormat="1" ht="21.6" customHeight="1">
      <c r="C1108" s="293" t="s">
        <v>1220</v>
      </c>
      <c r="D1108" s="294" t="s">
        <v>1321</v>
      </c>
      <c r="E1108" s="295"/>
      <c r="F1108" s="295"/>
      <c r="G1108" s="296"/>
      <c r="H1108" s="298">
        <f>$N$7</f>
        <v>0.1</v>
      </c>
      <c r="I1108" s="284">
        <f>I1107*H1108</f>
        <v>7796.5750000000007</v>
      </c>
      <c r="J1108" s="119"/>
    </row>
    <row r="1109" spans="3:10" s="297" customFormat="1" ht="21.6" customHeight="1" thickBot="1">
      <c r="C1109" s="299" t="s">
        <v>1221</v>
      </c>
      <c r="D1109" s="300" t="s">
        <v>1222</v>
      </c>
      <c r="E1109" s="301"/>
      <c r="F1109" s="301"/>
      <c r="G1109" s="301"/>
      <c r="H1109" s="302"/>
      <c r="I1109" s="303">
        <f>SUM(I1107:I1108)</f>
        <v>85762.324999999997</v>
      </c>
      <c r="J1109" s="119"/>
    </row>
    <row r="1110" spans="3:10" ht="14.4" thickTop="1"/>
    <row r="1112" spans="3:10" ht="14.4" thickBot="1">
      <c r="C1112" s="126" t="s">
        <v>2443</v>
      </c>
      <c r="D1112" s="119" t="s">
        <v>2445</v>
      </c>
      <c r="J1112" s="120">
        <f>ROUNDDOWN(I1127,-2)</f>
        <v>105600</v>
      </c>
    </row>
    <row r="1113" spans="3:10" ht="28.2" thickTop="1">
      <c r="C1113" s="51" t="s">
        <v>1195</v>
      </c>
      <c r="D1113" s="52" t="s">
        <v>1196</v>
      </c>
      <c r="E1113" s="52" t="s">
        <v>1773</v>
      </c>
      <c r="F1113" s="52" t="s">
        <v>1197</v>
      </c>
      <c r="G1113" s="52" t="s">
        <v>1198</v>
      </c>
      <c r="H1113" s="52" t="s">
        <v>1199</v>
      </c>
      <c r="I1113" s="53" t="s">
        <v>1200</v>
      </c>
    </row>
    <row r="1114" spans="3:10" ht="21.6" customHeight="1">
      <c r="C1114" s="290" t="s">
        <v>1201</v>
      </c>
      <c r="D1114" s="182" t="s">
        <v>1202</v>
      </c>
      <c r="E1114" s="182"/>
      <c r="F1114" s="70"/>
      <c r="G1114" s="70"/>
      <c r="H1114" s="70"/>
      <c r="I1114" s="71"/>
    </row>
    <row r="1115" spans="3:10" ht="21.6" customHeight="1">
      <c r="C1115" s="310" t="s">
        <v>1203</v>
      </c>
      <c r="D1115" s="182" t="s">
        <v>5</v>
      </c>
      <c r="E1115" s="182" t="s">
        <v>1774</v>
      </c>
      <c r="F1115" s="176" t="s">
        <v>1863</v>
      </c>
      <c r="G1115" s="309">
        <v>0.1774</v>
      </c>
      <c r="H1115" s="283">
        <f>VLOOKUP(D1115,upahbahan,3,FALSE)/8</f>
        <v>12500</v>
      </c>
      <c r="I1115" s="284">
        <f>G1115*H1115</f>
        <v>2217.5</v>
      </c>
    </row>
    <row r="1116" spans="3:10" ht="21.6" customHeight="1">
      <c r="C1116" s="310">
        <v>2</v>
      </c>
      <c r="D1116" s="182" t="s">
        <v>7</v>
      </c>
      <c r="E1116" s="182" t="s">
        <v>1775</v>
      </c>
      <c r="F1116" s="176" t="s">
        <v>1863</v>
      </c>
      <c r="G1116" s="309">
        <v>8.8700000000000001E-2</v>
      </c>
      <c r="H1116" s="283">
        <f>VLOOKUP(D1116,upahbahan,3,FALSE)/8</f>
        <v>16875</v>
      </c>
      <c r="I1116" s="284">
        <f>G1116*H1116</f>
        <v>1496.8125</v>
      </c>
    </row>
    <row r="1117" spans="3:10" s="59" customFormat="1" ht="21.6" customHeight="1">
      <c r="C1117" s="310">
        <v>3</v>
      </c>
      <c r="D1117" s="182" t="s">
        <v>19</v>
      </c>
      <c r="E1117" s="182" t="s">
        <v>1777</v>
      </c>
      <c r="F1117" s="176" t="s">
        <v>1863</v>
      </c>
      <c r="G1117" s="309">
        <v>1.77E-2</v>
      </c>
      <c r="H1117" s="283">
        <f>VLOOKUP(D1117,upahbahan,3,FALSE)/8</f>
        <v>20000</v>
      </c>
      <c r="I1117" s="284">
        <f>G1117*H1117</f>
        <v>354</v>
      </c>
      <c r="J1117" s="119"/>
    </row>
    <row r="1118" spans="3:10" ht="21.6" customHeight="1">
      <c r="C1118" s="66" t="s">
        <v>1208</v>
      </c>
      <c r="D1118" s="67"/>
      <c r="E1118" s="67"/>
      <c r="F1118" s="67"/>
      <c r="G1118" s="68"/>
      <c r="H1118" s="69"/>
      <c r="I1118" s="284">
        <f>SUM(I1115:I1117)</f>
        <v>4068.3125</v>
      </c>
    </row>
    <row r="1119" spans="3:10" ht="21.6" customHeight="1">
      <c r="C1119" s="290" t="s">
        <v>1209</v>
      </c>
      <c r="D1119" s="182" t="s">
        <v>1210</v>
      </c>
      <c r="E1119" s="182"/>
      <c r="F1119" s="70"/>
      <c r="G1119" s="118"/>
      <c r="H1119" s="70"/>
      <c r="I1119" s="71"/>
    </row>
    <row r="1120" spans="3:10" ht="21.6" customHeight="1">
      <c r="C1120" s="66" t="s">
        <v>1214</v>
      </c>
      <c r="D1120" s="67"/>
      <c r="E1120" s="67"/>
      <c r="F1120" s="67"/>
      <c r="G1120" s="67"/>
      <c r="H1120" s="69"/>
      <c r="I1120" s="313">
        <v>0</v>
      </c>
    </row>
    <row r="1121" spans="3:10" ht="21.6" customHeight="1">
      <c r="C1121" s="290" t="s">
        <v>1215</v>
      </c>
      <c r="D1121" s="182" t="s">
        <v>1216</v>
      </c>
      <c r="E1121" s="182"/>
      <c r="F1121" s="70"/>
      <c r="G1121" s="70"/>
      <c r="H1121" s="70"/>
      <c r="I1121" s="71"/>
    </row>
    <row r="1122" spans="3:10" ht="21.6" customHeight="1">
      <c r="C1122" s="316">
        <v>1</v>
      </c>
      <c r="D1122" s="109" t="s">
        <v>6517</v>
      </c>
      <c r="E1122" s="109"/>
      <c r="F1122" s="108" t="s">
        <v>2396</v>
      </c>
      <c r="G1122" s="116">
        <v>8.8700000000000001E-2</v>
      </c>
      <c r="H1122" s="185">
        <f>VLOOKUP(D1122,upahbahan,3,FALSE)</f>
        <v>550000</v>
      </c>
      <c r="I1122" s="317">
        <f>G1122*H1122</f>
        <v>48785</v>
      </c>
    </row>
    <row r="1123" spans="3:10" ht="21.6" customHeight="1">
      <c r="C1123" s="316">
        <v>2</v>
      </c>
      <c r="D1123" s="109" t="s">
        <v>5244</v>
      </c>
      <c r="E1123" s="109"/>
      <c r="F1123" s="108" t="s">
        <v>2396</v>
      </c>
      <c r="G1123" s="116">
        <v>8.8700000000000001E-2</v>
      </c>
      <c r="H1123" s="185">
        <f>VLOOKUP(D1123,upahbahan,3,FALSE)</f>
        <v>487000</v>
      </c>
      <c r="I1123" s="317">
        <f>G1123*H1123</f>
        <v>43196.9</v>
      </c>
    </row>
    <row r="1124" spans="3:10" ht="21.6" customHeight="1">
      <c r="C1124" s="66" t="s">
        <v>1217</v>
      </c>
      <c r="D1124" s="67"/>
      <c r="E1124" s="67"/>
      <c r="F1124" s="67"/>
      <c r="G1124" s="67"/>
      <c r="H1124" s="69"/>
      <c r="I1124" s="284">
        <f>SUM(I1122:I1123)</f>
        <v>91981.9</v>
      </c>
    </row>
    <row r="1125" spans="3:10" s="297" customFormat="1" ht="21.6" customHeight="1">
      <c r="C1125" s="293" t="s">
        <v>1218</v>
      </c>
      <c r="D1125" s="294" t="s">
        <v>1219</v>
      </c>
      <c r="E1125" s="295"/>
      <c r="F1125" s="295"/>
      <c r="G1125" s="295"/>
      <c r="H1125" s="296"/>
      <c r="I1125" s="284">
        <f>I1124+I1120+I1118</f>
        <v>96050.212499999994</v>
      </c>
      <c r="J1125" s="119"/>
    </row>
    <row r="1126" spans="3:10" s="297" customFormat="1" ht="21.6" customHeight="1">
      <c r="C1126" s="293" t="s">
        <v>1220</v>
      </c>
      <c r="D1126" s="294" t="s">
        <v>1321</v>
      </c>
      <c r="E1126" s="295"/>
      <c r="F1126" s="295"/>
      <c r="G1126" s="296"/>
      <c r="H1126" s="298">
        <f>$N$7</f>
        <v>0.1</v>
      </c>
      <c r="I1126" s="284">
        <f>I1125*H1126</f>
        <v>9605.0212499999998</v>
      </c>
      <c r="J1126" s="119"/>
    </row>
    <row r="1127" spans="3:10" s="297" customFormat="1" ht="21.6" customHeight="1" thickBot="1">
      <c r="C1127" s="299" t="s">
        <v>1221</v>
      </c>
      <c r="D1127" s="300" t="s">
        <v>1222</v>
      </c>
      <c r="E1127" s="301"/>
      <c r="F1127" s="301"/>
      <c r="G1127" s="301"/>
      <c r="H1127" s="302"/>
      <c r="I1127" s="303">
        <f>SUM(I1125:I1126)</f>
        <v>105655.23375</v>
      </c>
      <c r="J1127" s="119"/>
    </row>
    <row r="1128" spans="3:10" ht="14.4" thickTop="1"/>
    <row r="1130" spans="3:10" ht="14.4" thickBot="1">
      <c r="C1130" s="126" t="s">
        <v>2444</v>
      </c>
      <c r="D1130" s="119" t="s">
        <v>2446</v>
      </c>
      <c r="J1130" s="120">
        <f>ROUNDDOWN(I1145,-2)</f>
        <v>114500</v>
      </c>
    </row>
    <row r="1131" spans="3:10" ht="28.2" thickTop="1">
      <c r="C1131" s="51" t="s">
        <v>1195</v>
      </c>
      <c r="D1131" s="52" t="s">
        <v>1196</v>
      </c>
      <c r="E1131" s="52" t="s">
        <v>1773</v>
      </c>
      <c r="F1131" s="52" t="s">
        <v>1197</v>
      </c>
      <c r="G1131" s="52" t="s">
        <v>1198</v>
      </c>
      <c r="H1131" s="52" t="s">
        <v>1199</v>
      </c>
      <c r="I1131" s="53" t="s">
        <v>1200</v>
      </c>
    </row>
    <row r="1132" spans="3:10" ht="21.6" customHeight="1">
      <c r="C1132" s="290" t="s">
        <v>1201</v>
      </c>
      <c r="D1132" s="182" t="s">
        <v>1202</v>
      </c>
      <c r="E1132" s="182"/>
      <c r="F1132" s="70"/>
      <c r="G1132" s="70"/>
      <c r="H1132" s="70"/>
      <c r="I1132" s="71"/>
    </row>
    <row r="1133" spans="3:10" ht="21.6" customHeight="1">
      <c r="C1133" s="310" t="s">
        <v>1203</v>
      </c>
      <c r="D1133" s="182" t="s">
        <v>5</v>
      </c>
      <c r="E1133" s="182" t="s">
        <v>1774</v>
      </c>
      <c r="F1133" s="176" t="s">
        <v>1863</v>
      </c>
      <c r="G1133" s="309">
        <v>0.19239999999999999</v>
      </c>
      <c r="H1133" s="283">
        <f>VLOOKUP(D1133,upahbahan,3,FALSE)/8</f>
        <v>12500</v>
      </c>
      <c r="I1133" s="284">
        <f>G1133*H1133</f>
        <v>2405</v>
      </c>
    </row>
    <row r="1134" spans="3:10" ht="21.6" customHeight="1">
      <c r="C1134" s="310">
        <v>2</v>
      </c>
      <c r="D1134" s="182" t="s">
        <v>7</v>
      </c>
      <c r="E1134" s="182" t="s">
        <v>1775</v>
      </c>
      <c r="F1134" s="176" t="s">
        <v>1863</v>
      </c>
      <c r="G1134" s="309">
        <v>9.6199999999999994E-2</v>
      </c>
      <c r="H1134" s="283">
        <f>VLOOKUP(D1134,upahbahan,3,FALSE)/8</f>
        <v>16875</v>
      </c>
      <c r="I1134" s="284">
        <f>G1134*H1134</f>
        <v>1623.375</v>
      </c>
    </row>
    <row r="1135" spans="3:10" s="59" customFormat="1" ht="21.6" customHeight="1">
      <c r="C1135" s="310">
        <v>3</v>
      </c>
      <c r="D1135" s="182" t="s">
        <v>19</v>
      </c>
      <c r="E1135" s="182" t="s">
        <v>1777</v>
      </c>
      <c r="F1135" s="176" t="s">
        <v>1863</v>
      </c>
      <c r="G1135" s="309">
        <v>1.9199999999999998E-2</v>
      </c>
      <c r="H1135" s="283">
        <f>VLOOKUP(D1135,upahbahan,3,FALSE)/8</f>
        <v>20000</v>
      </c>
      <c r="I1135" s="284">
        <f>G1135*H1135</f>
        <v>383.99999999999994</v>
      </c>
      <c r="J1135" s="119"/>
    </row>
    <row r="1136" spans="3:10" ht="21.6" customHeight="1">
      <c r="C1136" s="66" t="s">
        <v>1208</v>
      </c>
      <c r="D1136" s="67"/>
      <c r="E1136" s="67"/>
      <c r="F1136" s="67"/>
      <c r="G1136" s="68"/>
      <c r="H1136" s="69"/>
      <c r="I1136" s="284">
        <f>SUM(I1133:I1135)</f>
        <v>4412.375</v>
      </c>
    </row>
    <row r="1137" spans="3:10" ht="21.6" customHeight="1">
      <c r="C1137" s="290" t="s">
        <v>1209</v>
      </c>
      <c r="D1137" s="182" t="s">
        <v>1210</v>
      </c>
      <c r="E1137" s="182"/>
      <c r="F1137" s="70"/>
      <c r="G1137" s="118"/>
      <c r="H1137" s="70"/>
      <c r="I1137" s="71"/>
    </row>
    <row r="1138" spans="3:10" ht="21.6" customHeight="1">
      <c r="C1138" s="66" t="s">
        <v>1214</v>
      </c>
      <c r="D1138" s="67"/>
      <c r="E1138" s="67"/>
      <c r="F1138" s="67"/>
      <c r="G1138" s="67"/>
      <c r="H1138" s="69"/>
      <c r="I1138" s="313">
        <v>0</v>
      </c>
    </row>
    <row r="1139" spans="3:10" ht="21.6" customHeight="1">
      <c r="C1139" s="290" t="s">
        <v>1215</v>
      </c>
      <c r="D1139" s="182" t="s">
        <v>1216</v>
      </c>
      <c r="E1139" s="182"/>
      <c r="F1139" s="70"/>
      <c r="G1139" s="70"/>
      <c r="H1139" s="70"/>
      <c r="I1139" s="71"/>
    </row>
    <row r="1140" spans="3:10" ht="21.6" customHeight="1">
      <c r="C1140" s="316">
        <v>1</v>
      </c>
      <c r="D1140" s="109" t="s">
        <v>6517</v>
      </c>
      <c r="E1140" s="109"/>
      <c r="F1140" s="108" t="s">
        <v>2396</v>
      </c>
      <c r="G1140" s="116">
        <v>9.6199999999999994E-2</v>
      </c>
      <c r="H1140" s="185">
        <f>VLOOKUP(D1140,upahbahan,3,FALSE)</f>
        <v>550000</v>
      </c>
      <c r="I1140" s="317">
        <f>G1140*H1140</f>
        <v>52910</v>
      </c>
    </row>
    <row r="1141" spans="3:10" ht="21.6" customHeight="1">
      <c r="C1141" s="316">
        <v>2</v>
      </c>
      <c r="D1141" s="109" t="s">
        <v>5244</v>
      </c>
      <c r="E1141" s="109"/>
      <c r="F1141" s="108" t="s">
        <v>2396</v>
      </c>
      <c r="G1141" s="116">
        <v>9.6199999999999994E-2</v>
      </c>
      <c r="H1141" s="185">
        <f>VLOOKUP(D1141,upahbahan,3,FALSE)</f>
        <v>487000</v>
      </c>
      <c r="I1141" s="317">
        <f>G1141*H1141</f>
        <v>46849.399999999994</v>
      </c>
    </row>
    <row r="1142" spans="3:10" ht="21.6" customHeight="1">
      <c r="C1142" s="66" t="s">
        <v>1217</v>
      </c>
      <c r="D1142" s="67"/>
      <c r="E1142" s="67"/>
      <c r="F1142" s="67"/>
      <c r="G1142" s="67"/>
      <c r="H1142" s="69"/>
      <c r="I1142" s="284">
        <f>SUM(I1140:I1141)</f>
        <v>99759.4</v>
      </c>
    </row>
    <row r="1143" spans="3:10" s="297" customFormat="1" ht="21.6" customHeight="1">
      <c r="C1143" s="293" t="s">
        <v>1218</v>
      </c>
      <c r="D1143" s="294" t="s">
        <v>1219</v>
      </c>
      <c r="E1143" s="295"/>
      <c r="F1143" s="295"/>
      <c r="G1143" s="295"/>
      <c r="H1143" s="296"/>
      <c r="I1143" s="284">
        <f>I1142+I1138+I1136</f>
        <v>104171.77499999999</v>
      </c>
      <c r="J1143" s="119"/>
    </row>
    <row r="1144" spans="3:10" s="297" customFormat="1" ht="21.6" customHeight="1">
      <c r="C1144" s="293" t="s">
        <v>1220</v>
      </c>
      <c r="D1144" s="294" t="s">
        <v>1321</v>
      </c>
      <c r="E1144" s="295"/>
      <c r="F1144" s="295"/>
      <c r="G1144" s="296"/>
      <c r="H1144" s="298">
        <f>$N$7</f>
        <v>0.1</v>
      </c>
      <c r="I1144" s="284">
        <f>I1143*H1144</f>
        <v>10417.1775</v>
      </c>
      <c r="J1144" s="119"/>
    </row>
    <row r="1145" spans="3:10" s="297" customFormat="1" ht="21.6" customHeight="1" thickBot="1">
      <c r="C1145" s="299" t="s">
        <v>1221</v>
      </c>
      <c r="D1145" s="300" t="s">
        <v>1222</v>
      </c>
      <c r="E1145" s="301"/>
      <c r="F1145" s="301"/>
      <c r="G1145" s="301"/>
      <c r="H1145" s="302"/>
      <c r="I1145" s="303">
        <f>SUM(I1143:I1144)</f>
        <v>114588.9525</v>
      </c>
      <c r="J1145" s="119"/>
    </row>
    <row r="1146" spans="3:10" ht="14.4" thickTop="1"/>
  </sheetData>
  <mergeCells count="9">
    <mergeCell ref="D369:I369"/>
    <mergeCell ref="D435:I435"/>
    <mergeCell ref="D501:I501"/>
    <mergeCell ref="D567:I567"/>
    <mergeCell ref="D211:I211"/>
    <mergeCell ref="D231:I231"/>
    <mergeCell ref="D251:I251"/>
    <mergeCell ref="D272:I272"/>
    <mergeCell ref="D292:I29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P121"/>
  <sheetViews>
    <sheetView zoomScale="84" zoomScaleNormal="84" workbookViewId="0">
      <selection activeCell="A581" sqref="A581:XFD599"/>
    </sheetView>
  </sheetViews>
  <sheetFormatPr defaultRowHeight="13.2"/>
  <cols>
    <col min="1" max="1" width="3.6640625" style="122" customWidth="1"/>
    <col min="2" max="2" width="1.6640625" style="122" customWidth="1"/>
    <col min="3" max="3" width="7.33203125" style="122" customWidth="1"/>
    <col min="4" max="4" width="27.88671875" style="122" customWidth="1"/>
    <col min="5" max="6" width="8.88671875" style="122"/>
    <col min="7" max="7" width="10.6640625" style="345" customWidth="1"/>
    <col min="8" max="8" width="12.6640625" style="122" customWidth="1"/>
    <col min="9" max="9" width="16.33203125" style="122" customWidth="1"/>
    <col min="10" max="12" width="10.88671875" style="122" customWidth="1"/>
    <col min="13" max="16384" width="8.88671875" style="122"/>
  </cols>
  <sheetData>
    <row r="2" spans="3:16" s="280" customFormat="1" ht="15.6" customHeight="1">
      <c r="C2" s="126" t="s">
        <v>2447</v>
      </c>
      <c r="D2" s="119" t="s">
        <v>2448</v>
      </c>
      <c r="E2" s="119"/>
      <c r="G2" s="289"/>
      <c r="J2" s="119"/>
      <c r="K2" s="119"/>
      <c r="L2" s="119"/>
    </row>
    <row r="3" spans="3:16" s="119" customFormat="1" ht="15.6" customHeight="1">
      <c r="C3" s="46" t="s">
        <v>2449</v>
      </c>
      <c r="D3" s="47" t="s">
        <v>2222</v>
      </c>
      <c r="E3" s="47"/>
      <c r="F3" s="47"/>
      <c r="G3" s="46"/>
      <c r="H3" s="47"/>
      <c r="I3" s="47"/>
    </row>
    <row r="4" spans="3:16" s="280" customFormat="1" ht="15.6" customHeight="1" thickBot="1">
      <c r="C4" s="126" t="s">
        <v>2450</v>
      </c>
      <c r="D4" s="48" t="s">
        <v>2451</v>
      </c>
      <c r="E4" s="48"/>
      <c r="F4" s="49"/>
      <c r="G4" s="342"/>
      <c r="H4" s="49"/>
      <c r="I4" s="49"/>
      <c r="J4" s="120">
        <f>ROUNDDOWN(I22,-2)</f>
        <v>13800</v>
      </c>
      <c r="K4" s="120" t="s">
        <v>6451</v>
      </c>
      <c r="L4" s="120" t="s">
        <v>6518</v>
      </c>
    </row>
    <row r="5" spans="3:16" s="289" customFormat="1" ht="31.65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  <c r="K5" s="126"/>
      <c r="L5" s="126"/>
    </row>
    <row r="6" spans="3:16" s="280" customFormat="1" ht="20.399999999999999" customHeight="1">
      <c r="C6" s="290" t="s">
        <v>1201</v>
      </c>
      <c r="D6" s="182" t="s">
        <v>1202</v>
      </c>
      <c r="E6" s="182"/>
      <c r="F6" s="70"/>
      <c r="G6" s="124"/>
      <c r="H6" s="70"/>
      <c r="I6" s="71"/>
      <c r="J6" s="119"/>
      <c r="K6" s="119"/>
      <c r="L6" s="119"/>
      <c r="M6" s="59" t="s">
        <v>1247</v>
      </c>
      <c r="N6" s="59"/>
      <c r="O6" s="59"/>
      <c r="P6" s="59"/>
    </row>
    <row r="7" spans="3:16" s="280" customFormat="1" ht="20.399999999999999" customHeight="1">
      <c r="C7" s="281">
        <v>1</v>
      </c>
      <c r="D7" s="182" t="s">
        <v>5</v>
      </c>
      <c r="E7" s="176" t="s">
        <v>1774</v>
      </c>
      <c r="F7" s="176" t="s">
        <v>6</v>
      </c>
      <c r="G7" s="346">
        <v>3.7499999999999999E-2</v>
      </c>
      <c r="H7" s="283">
        <f>VLOOKUP(D7,upahbahan,3,FALSE)</f>
        <v>100000</v>
      </c>
      <c r="I7" s="284">
        <f>G7*H7</f>
        <v>3750</v>
      </c>
      <c r="J7" s="119"/>
      <c r="K7" s="119"/>
      <c r="L7" s="119"/>
      <c r="M7" s="59" t="s">
        <v>1248</v>
      </c>
      <c r="N7" s="59"/>
      <c r="O7" s="59"/>
      <c r="P7" s="65">
        <v>0.1</v>
      </c>
    </row>
    <row r="8" spans="3:16" s="280" customFormat="1" ht="20.399999999999999" customHeight="1">
      <c r="C8" s="281">
        <v>2</v>
      </c>
      <c r="D8" s="182" t="s">
        <v>9</v>
      </c>
      <c r="E8" s="176" t="s">
        <v>1775</v>
      </c>
      <c r="F8" s="176" t="s">
        <v>6</v>
      </c>
      <c r="G8" s="346">
        <v>1.2500000000000001E-2</v>
      </c>
      <c r="H8" s="283">
        <f>VLOOKUP(D8,upahbahan,3,FALSE)</f>
        <v>135000</v>
      </c>
      <c r="I8" s="284">
        <f t="shared" ref="I8:I10" si="0">G8*H8</f>
        <v>1687.5</v>
      </c>
      <c r="J8" s="119"/>
      <c r="K8" s="119"/>
      <c r="L8" s="119"/>
      <c r="M8" s="59"/>
      <c r="N8" s="59"/>
      <c r="O8" s="59"/>
      <c r="P8" s="65"/>
    </row>
    <row r="9" spans="3:16" s="59" customFormat="1" ht="20.399999999999999" customHeight="1">
      <c r="C9" s="281">
        <v>4</v>
      </c>
      <c r="D9" s="182" t="s">
        <v>18</v>
      </c>
      <c r="E9" s="176" t="s">
        <v>1776</v>
      </c>
      <c r="F9" s="176" t="s">
        <v>6</v>
      </c>
      <c r="G9" s="346">
        <v>2.5000000000000001E-3</v>
      </c>
      <c r="H9" s="283">
        <f>VLOOKUP(D9,upahbahan,3,FALSE)</f>
        <v>150000</v>
      </c>
      <c r="I9" s="284">
        <f t="shared" si="0"/>
        <v>375</v>
      </c>
      <c r="J9" s="119"/>
      <c r="K9" s="119"/>
      <c r="L9" s="119"/>
    </row>
    <row r="10" spans="3:16" s="59" customFormat="1" ht="20.399999999999999" customHeight="1">
      <c r="C10" s="281">
        <v>5</v>
      </c>
      <c r="D10" s="182" t="s">
        <v>19</v>
      </c>
      <c r="E10" s="176" t="s">
        <v>1777</v>
      </c>
      <c r="F10" s="176" t="s">
        <v>6</v>
      </c>
      <c r="G10" s="346">
        <v>8.0000000000000002E-3</v>
      </c>
      <c r="H10" s="283">
        <f>VLOOKUP(D10,upahbahan,3,FALSE)</f>
        <v>160000</v>
      </c>
      <c r="I10" s="284">
        <f t="shared" si="0"/>
        <v>1280</v>
      </c>
      <c r="J10" s="119"/>
      <c r="K10" s="119"/>
      <c r="L10" s="119"/>
    </row>
    <row r="11" spans="3:16" s="280" customFormat="1" ht="20.399999999999999" customHeight="1">
      <c r="C11" s="66" t="s">
        <v>1208</v>
      </c>
      <c r="D11" s="67"/>
      <c r="E11" s="67"/>
      <c r="F11" s="67"/>
      <c r="G11" s="343"/>
      <c r="H11" s="69"/>
      <c r="I11" s="284">
        <f>SUM(I7:I10)</f>
        <v>7092.5</v>
      </c>
      <c r="J11" s="119"/>
      <c r="K11" s="119"/>
      <c r="L11" s="119"/>
    </row>
    <row r="12" spans="3:16" s="280" customFormat="1" ht="20.399999999999999" customHeight="1">
      <c r="C12" s="290" t="s">
        <v>1209</v>
      </c>
      <c r="D12" s="182" t="s">
        <v>1210</v>
      </c>
      <c r="E12" s="182"/>
      <c r="F12" s="70"/>
      <c r="G12" s="124"/>
      <c r="H12" s="70"/>
      <c r="I12" s="71"/>
      <c r="J12" s="119"/>
      <c r="K12" s="119"/>
      <c r="L12" s="119"/>
    </row>
    <row r="13" spans="3:16" s="280" customFormat="1" ht="20.399999999999999" customHeight="1">
      <c r="C13" s="338">
        <v>1</v>
      </c>
      <c r="D13" s="339" t="s">
        <v>5159</v>
      </c>
      <c r="E13" s="339"/>
      <c r="F13" s="115" t="s">
        <v>65</v>
      </c>
      <c r="G13" s="352">
        <v>1.1499999999999999</v>
      </c>
      <c r="H13" s="185">
        <f>VLOOKUP(D13,upahbahan,3,FALSE)</f>
        <v>0</v>
      </c>
      <c r="I13" s="317">
        <f>G13*H13</f>
        <v>0</v>
      </c>
      <c r="J13" s="119"/>
      <c r="K13" s="119"/>
      <c r="L13" s="119"/>
    </row>
    <row r="14" spans="3:16" s="280" customFormat="1" ht="20.399999999999999" customHeight="1">
      <c r="C14" s="281">
        <v>2</v>
      </c>
      <c r="D14" s="182" t="s">
        <v>254</v>
      </c>
      <c r="E14" s="182"/>
      <c r="F14" s="291" t="s">
        <v>65</v>
      </c>
      <c r="G14" s="353">
        <v>5.2999999999999999E-2</v>
      </c>
      <c r="H14" s="283">
        <f>VLOOKUP(D14,upahbahan,3,FALSE)</f>
        <v>66600</v>
      </c>
      <c r="I14" s="284">
        <f>G14*H14</f>
        <v>3529.7999999999997</v>
      </c>
      <c r="J14" s="119"/>
      <c r="K14" s="119"/>
      <c r="L14" s="119"/>
    </row>
    <row r="15" spans="3:16" s="280" customFormat="1" ht="20.399999999999999" customHeight="1">
      <c r="C15" s="66" t="s">
        <v>1214</v>
      </c>
      <c r="D15" s="67"/>
      <c r="E15" s="67"/>
      <c r="F15" s="67"/>
      <c r="G15" s="111"/>
      <c r="H15" s="69"/>
      <c r="I15" s="284">
        <f>SUM(I13:I14)</f>
        <v>3529.7999999999997</v>
      </c>
      <c r="J15" s="119"/>
      <c r="K15" s="119"/>
      <c r="L15" s="119"/>
    </row>
    <row r="16" spans="3:16" s="280" customFormat="1" ht="20.399999999999999" customHeight="1">
      <c r="C16" s="290" t="s">
        <v>1215</v>
      </c>
      <c r="D16" s="182" t="s">
        <v>1216</v>
      </c>
      <c r="E16" s="182"/>
      <c r="F16" s="70"/>
      <c r="G16" s="124"/>
      <c r="H16" s="70"/>
      <c r="I16" s="71"/>
      <c r="J16" s="119"/>
      <c r="K16" s="119"/>
      <c r="L16" s="119"/>
    </row>
    <row r="17" spans="3:16" s="280" customFormat="1" ht="20.399999999999999" customHeight="1">
      <c r="C17" s="181">
        <v>1</v>
      </c>
      <c r="D17" s="109" t="s">
        <v>2452</v>
      </c>
      <c r="E17" s="109"/>
      <c r="F17" s="108" t="s">
        <v>2396</v>
      </c>
      <c r="G17" s="108">
        <v>3.3000000000000002E-2</v>
      </c>
      <c r="H17" s="185">
        <f>VLOOKUP(D17,upahbahan,3,FALSE)</f>
        <v>3125</v>
      </c>
      <c r="I17" s="317">
        <f>G17*H17</f>
        <v>103.125</v>
      </c>
      <c r="J17" s="119"/>
      <c r="K17" s="119"/>
      <c r="L17" s="119"/>
    </row>
    <row r="18" spans="3:16" s="280" customFormat="1" ht="20.399999999999999" customHeight="1">
      <c r="C18" s="181">
        <v>2</v>
      </c>
      <c r="D18" s="109" t="s">
        <v>1181</v>
      </c>
      <c r="E18" s="109"/>
      <c r="F18" s="108" t="s">
        <v>2396</v>
      </c>
      <c r="G18" s="108">
        <v>1.2999999999999999E-3</v>
      </c>
      <c r="H18" s="185">
        <f>VLOOKUP(D18,upahbahan,3,FALSE)</f>
        <v>1450000</v>
      </c>
      <c r="I18" s="317">
        <f>G18*H18</f>
        <v>1885</v>
      </c>
      <c r="J18" s="119"/>
      <c r="K18" s="119"/>
      <c r="L18" s="119"/>
    </row>
    <row r="19" spans="3:16" s="280" customFormat="1" ht="20.399999999999999" customHeight="1">
      <c r="C19" s="66" t="s">
        <v>1217</v>
      </c>
      <c r="D19" s="67"/>
      <c r="E19" s="67"/>
      <c r="F19" s="67"/>
      <c r="G19" s="111"/>
      <c r="H19" s="69"/>
      <c r="I19" s="292">
        <f>SUM(I17:I18)</f>
        <v>1988.125</v>
      </c>
      <c r="J19" s="119"/>
      <c r="K19" s="119"/>
      <c r="L19" s="119"/>
    </row>
    <row r="20" spans="3:16" s="297" customFormat="1" ht="20.399999999999999" customHeight="1">
      <c r="C20" s="293" t="s">
        <v>1218</v>
      </c>
      <c r="D20" s="294" t="s">
        <v>1219</v>
      </c>
      <c r="E20" s="295"/>
      <c r="F20" s="295"/>
      <c r="G20" s="348"/>
      <c r="H20" s="296"/>
      <c r="I20" s="284">
        <f>I19+I15+I11</f>
        <v>12610.424999999999</v>
      </c>
      <c r="J20" s="119"/>
      <c r="K20" s="119"/>
      <c r="L20" s="119"/>
    </row>
    <row r="21" spans="3:16" s="297" customFormat="1" ht="20.399999999999999" customHeight="1">
      <c r="C21" s="293" t="s">
        <v>1220</v>
      </c>
      <c r="D21" s="294" t="s">
        <v>1321</v>
      </c>
      <c r="E21" s="295"/>
      <c r="F21" s="295"/>
      <c r="G21" s="349"/>
      <c r="H21" s="298">
        <f>$P$7</f>
        <v>0.1</v>
      </c>
      <c r="I21" s="284">
        <f>I20*H21</f>
        <v>1261.0425</v>
      </c>
      <c r="J21" s="119"/>
      <c r="K21" s="119"/>
      <c r="L21" s="119"/>
    </row>
    <row r="22" spans="3:16" s="297" customFormat="1" ht="20.399999999999999" customHeight="1" thickBot="1">
      <c r="C22" s="299" t="s">
        <v>1221</v>
      </c>
      <c r="D22" s="300" t="s">
        <v>1222</v>
      </c>
      <c r="E22" s="301"/>
      <c r="F22" s="301"/>
      <c r="G22" s="350"/>
      <c r="H22" s="302"/>
      <c r="I22" s="303">
        <f>SUM(I20:I21)</f>
        <v>13871.467499999999</v>
      </c>
      <c r="J22" s="119"/>
      <c r="K22" s="119"/>
      <c r="L22" s="119"/>
    </row>
    <row r="23" spans="3:16" s="297" customFormat="1" ht="14.4" thickTop="1">
      <c r="C23" s="289"/>
      <c r="G23" s="289"/>
      <c r="I23" s="139"/>
      <c r="J23" s="119"/>
      <c r="K23" s="119"/>
      <c r="L23" s="119"/>
    </row>
    <row r="24" spans="3:16" s="280" customFormat="1" ht="14.4" thickBot="1">
      <c r="C24" s="126" t="s">
        <v>2453</v>
      </c>
      <c r="D24" s="48" t="s">
        <v>2454</v>
      </c>
      <c r="E24" s="48"/>
      <c r="F24" s="49"/>
      <c r="G24" s="342"/>
      <c r="H24" s="49"/>
      <c r="I24" s="49"/>
      <c r="J24" s="120">
        <f>ROUNDDOWN(I40,-2)</f>
        <v>30200</v>
      </c>
      <c r="K24" s="120" t="s">
        <v>6451</v>
      </c>
      <c r="L24" s="120" t="s">
        <v>6519</v>
      </c>
    </row>
    <row r="25" spans="3:16" s="289" customFormat="1" ht="31.65" customHeight="1" thickTop="1">
      <c r="C25" s="51" t="s">
        <v>1195</v>
      </c>
      <c r="D25" s="52" t="s">
        <v>1196</v>
      </c>
      <c r="E25" s="52" t="s">
        <v>1906</v>
      </c>
      <c r="F25" s="52" t="s">
        <v>1197</v>
      </c>
      <c r="G25" s="52" t="s">
        <v>1198</v>
      </c>
      <c r="H25" s="52" t="s">
        <v>1199</v>
      </c>
      <c r="I25" s="53" t="s">
        <v>1200</v>
      </c>
      <c r="J25" s="126"/>
      <c r="K25" s="126"/>
      <c r="L25" s="126"/>
    </row>
    <row r="26" spans="3:16" s="280" customFormat="1" ht="21.6" customHeight="1">
      <c r="C26" s="290" t="s">
        <v>1201</v>
      </c>
      <c r="D26" s="182" t="s">
        <v>1202</v>
      </c>
      <c r="E26" s="182"/>
      <c r="F26" s="70"/>
      <c r="G26" s="124"/>
      <c r="H26" s="70"/>
      <c r="I26" s="71"/>
      <c r="J26" s="119"/>
      <c r="K26" s="119"/>
      <c r="L26" s="119"/>
      <c r="M26" s="59" t="s">
        <v>1247</v>
      </c>
      <c r="N26" s="59"/>
      <c r="O26" s="59"/>
      <c r="P26" s="59"/>
    </row>
    <row r="27" spans="3:16" s="280" customFormat="1" ht="21.6" customHeight="1">
      <c r="C27" s="281">
        <v>1</v>
      </c>
      <c r="D27" s="182" t="s">
        <v>5</v>
      </c>
      <c r="E27" s="176" t="s">
        <v>1774</v>
      </c>
      <c r="F27" s="176" t="s">
        <v>6</v>
      </c>
      <c r="G27" s="346">
        <v>4.0599999999999997E-2</v>
      </c>
      <c r="H27" s="283">
        <f>VLOOKUP(D27,upahbahan,3,FALSE)</f>
        <v>100000</v>
      </c>
      <c r="I27" s="284">
        <f>G27*H27</f>
        <v>4059.9999999999995</v>
      </c>
      <c r="J27" s="119"/>
      <c r="K27" s="119"/>
      <c r="L27" s="119"/>
      <c r="M27" s="59" t="s">
        <v>1248</v>
      </c>
      <c r="N27" s="59"/>
      <c r="O27" s="59"/>
      <c r="P27" s="65">
        <v>0.1</v>
      </c>
    </row>
    <row r="28" spans="3:16" s="280" customFormat="1" ht="21.6" customHeight="1">
      <c r="C28" s="281">
        <v>2</v>
      </c>
      <c r="D28" s="182" t="s">
        <v>11</v>
      </c>
      <c r="E28" s="176" t="s">
        <v>1775</v>
      </c>
      <c r="F28" s="176" t="s">
        <v>6</v>
      </c>
      <c r="G28" s="346">
        <v>4.0599999999999997E-2</v>
      </c>
      <c r="H28" s="283">
        <f>VLOOKUP(D28,upahbahan,3,FALSE)</f>
        <v>145000</v>
      </c>
      <c r="I28" s="284">
        <f t="shared" ref="I28:I29" si="1">G28*H28</f>
        <v>5887</v>
      </c>
      <c r="J28" s="119"/>
      <c r="K28" s="119"/>
      <c r="L28" s="119"/>
      <c r="M28" s="59"/>
      <c r="N28" s="59"/>
      <c r="O28" s="59"/>
      <c r="P28" s="65"/>
    </row>
    <row r="29" spans="3:16" s="59" customFormat="1" ht="21.6" customHeight="1">
      <c r="C29" s="281">
        <v>4</v>
      </c>
      <c r="D29" s="182" t="s">
        <v>19</v>
      </c>
      <c r="E29" s="176" t="s">
        <v>1777</v>
      </c>
      <c r="F29" s="176" t="s">
        <v>6</v>
      </c>
      <c r="G29" s="354">
        <v>1.4E-3</v>
      </c>
      <c r="H29" s="283">
        <f>VLOOKUP(D29,upahbahan,3,FALSE)</f>
        <v>160000</v>
      </c>
      <c r="I29" s="284">
        <f t="shared" si="1"/>
        <v>224</v>
      </c>
      <c r="J29" s="119"/>
      <c r="K29" s="119"/>
      <c r="L29" s="119"/>
    </row>
    <row r="30" spans="3:16" s="280" customFormat="1" ht="21.6" customHeight="1">
      <c r="C30" s="66" t="s">
        <v>1208</v>
      </c>
      <c r="D30" s="67"/>
      <c r="E30" s="67"/>
      <c r="F30" s="67"/>
      <c r="G30" s="343"/>
      <c r="H30" s="69"/>
      <c r="I30" s="284">
        <f>SUM(I27:I29)</f>
        <v>10171</v>
      </c>
      <c r="J30" s="119"/>
      <c r="K30" s="119"/>
      <c r="L30" s="119"/>
    </row>
    <row r="31" spans="3:16" s="280" customFormat="1" ht="21.6" customHeight="1">
      <c r="C31" s="290" t="s">
        <v>1209</v>
      </c>
      <c r="D31" s="182" t="s">
        <v>1210</v>
      </c>
      <c r="E31" s="182"/>
      <c r="F31" s="70"/>
      <c r="G31" s="124"/>
      <c r="H31" s="70"/>
      <c r="I31" s="71"/>
      <c r="J31" s="119"/>
      <c r="K31" s="119"/>
      <c r="L31" s="119"/>
    </row>
    <row r="32" spans="3:16" s="280" customFormat="1" ht="21.6" customHeight="1">
      <c r="C32" s="323">
        <v>1</v>
      </c>
      <c r="D32" s="285" t="s">
        <v>219</v>
      </c>
      <c r="E32" s="285"/>
      <c r="F32" s="291" t="s">
        <v>65</v>
      </c>
      <c r="G32" s="355">
        <v>1</v>
      </c>
      <c r="H32" s="183">
        <f>VLOOKUP(D32,upahbahan,3,FALSE)</f>
        <v>16660</v>
      </c>
      <c r="I32" s="325">
        <f>G32*H32</f>
        <v>16660</v>
      </c>
      <c r="J32" s="119"/>
      <c r="K32" s="119"/>
      <c r="L32" s="119"/>
    </row>
    <row r="33" spans="3:16" s="280" customFormat="1" ht="21.6" customHeight="1">
      <c r="C33" s="356"/>
      <c r="D33" s="357" t="s">
        <v>254</v>
      </c>
      <c r="E33" s="357"/>
      <c r="F33" s="111" t="s">
        <v>2426</v>
      </c>
      <c r="G33" s="358">
        <v>7.4999999999999997E-3</v>
      </c>
      <c r="H33" s="183">
        <f>VLOOKUP(D33,upahbahan,3,FALSE)</f>
        <v>66600</v>
      </c>
      <c r="I33" s="325">
        <f>G33*H33</f>
        <v>499.5</v>
      </c>
      <c r="J33" s="119"/>
      <c r="K33" s="119"/>
      <c r="L33" s="119"/>
    </row>
    <row r="34" spans="3:16" s="280" customFormat="1" ht="21.6" customHeight="1">
      <c r="C34" s="66" t="s">
        <v>1214</v>
      </c>
      <c r="D34" s="67"/>
      <c r="E34" s="67"/>
      <c r="F34" s="67"/>
      <c r="G34" s="344"/>
      <c r="H34" s="69"/>
      <c r="I34" s="284">
        <f>SUM(I32:I33)</f>
        <v>17159.5</v>
      </c>
      <c r="J34" s="119"/>
      <c r="K34" s="119"/>
      <c r="L34" s="119"/>
    </row>
    <row r="35" spans="3:16" s="280" customFormat="1" ht="21.6" customHeight="1">
      <c r="C35" s="290" t="s">
        <v>1215</v>
      </c>
      <c r="D35" s="182" t="s">
        <v>1216</v>
      </c>
      <c r="E35" s="182"/>
      <c r="F35" s="70"/>
      <c r="G35" s="341"/>
      <c r="H35" s="70"/>
      <c r="I35" s="71"/>
      <c r="J35" s="119"/>
      <c r="K35" s="119"/>
      <c r="L35" s="119"/>
    </row>
    <row r="36" spans="3:16" s="280" customFormat="1" ht="21.6" customHeight="1">
      <c r="C36" s="323">
        <v>1</v>
      </c>
      <c r="D36" s="285" t="s">
        <v>2452</v>
      </c>
      <c r="E36" s="285"/>
      <c r="F36" s="291" t="s">
        <v>1080</v>
      </c>
      <c r="G36" s="359">
        <v>4.0599999999999997E-2</v>
      </c>
      <c r="H36" s="183">
        <f>VLOOKUP(D36,upahbahan,3,FALSE)</f>
        <v>3125</v>
      </c>
      <c r="I36" s="325">
        <f>G36*H36</f>
        <v>126.87499999999999</v>
      </c>
      <c r="J36" s="119"/>
      <c r="K36" s="119"/>
      <c r="L36" s="119"/>
    </row>
    <row r="37" spans="3:16" s="280" customFormat="1" ht="21.6" customHeight="1">
      <c r="C37" s="66" t="s">
        <v>1217</v>
      </c>
      <c r="D37" s="67"/>
      <c r="E37" s="67"/>
      <c r="F37" s="67"/>
      <c r="G37" s="111"/>
      <c r="H37" s="69"/>
      <c r="I37" s="292">
        <f>SUM(I36)</f>
        <v>126.87499999999999</v>
      </c>
      <c r="J37" s="119"/>
      <c r="K37" s="119"/>
      <c r="L37" s="119"/>
    </row>
    <row r="38" spans="3:16" s="297" customFormat="1" ht="21.6" customHeight="1">
      <c r="C38" s="293" t="s">
        <v>1218</v>
      </c>
      <c r="D38" s="294" t="s">
        <v>1219</v>
      </c>
      <c r="E38" s="295"/>
      <c r="F38" s="295"/>
      <c r="G38" s="348"/>
      <c r="H38" s="296"/>
      <c r="I38" s="284">
        <f>I37+I34+I30</f>
        <v>27457.375</v>
      </c>
      <c r="J38" s="119"/>
      <c r="K38" s="119"/>
      <c r="L38" s="119"/>
    </row>
    <row r="39" spans="3:16" s="297" customFormat="1" ht="21.6" customHeight="1">
      <c r="C39" s="293" t="s">
        <v>1220</v>
      </c>
      <c r="D39" s="294" t="s">
        <v>1321</v>
      </c>
      <c r="E39" s="295"/>
      <c r="F39" s="295"/>
      <c r="G39" s="349"/>
      <c r="H39" s="298">
        <f>$P$7</f>
        <v>0.1</v>
      </c>
      <c r="I39" s="284">
        <f>I38*H39</f>
        <v>2745.7375000000002</v>
      </c>
      <c r="J39" s="119"/>
      <c r="K39" s="119"/>
      <c r="L39" s="119"/>
    </row>
    <row r="40" spans="3:16" s="297" customFormat="1" ht="21.6" customHeight="1" thickBot="1">
      <c r="C40" s="299" t="s">
        <v>1221</v>
      </c>
      <c r="D40" s="300" t="s">
        <v>1222</v>
      </c>
      <c r="E40" s="301"/>
      <c r="F40" s="301"/>
      <c r="G40" s="350"/>
      <c r="H40" s="302"/>
      <c r="I40" s="303">
        <f>SUM(I38:I39)</f>
        <v>30203.112499999999</v>
      </c>
      <c r="J40" s="119"/>
      <c r="K40" s="119"/>
      <c r="L40" s="119"/>
    </row>
    <row r="41" spans="3:16" ht="13.8" thickTop="1"/>
    <row r="43" spans="3:16" s="280" customFormat="1" ht="14.4" thickBot="1">
      <c r="C43" s="126" t="s">
        <v>2455</v>
      </c>
      <c r="D43" s="48" t="s">
        <v>2456</v>
      </c>
      <c r="E43" s="48"/>
      <c r="F43" s="49"/>
      <c r="G43" s="342"/>
      <c r="H43" s="49"/>
      <c r="I43" s="49"/>
      <c r="J43" s="120">
        <f>ROUNDDOWN(I59,-2)</f>
        <v>28700</v>
      </c>
      <c r="K43" s="120"/>
      <c r="L43" s="120"/>
    </row>
    <row r="44" spans="3:16" s="289" customFormat="1" ht="31.65" customHeight="1" thickTop="1">
      <c r="C44" s="51" t="s">
        <v>1195</v>
      </c>
      <c r="D44" s="52" t="s">
        <v>1196</v>
      </c>
      <c r="E44" s="52" t="s">
        <v>1906</v>
      </c>
      <c r="F44" s="52" t="s">
        <v>1197</v>
      </c>
      <c r="G44" s="52" t="s">
        <v>1198</v>
      </c>
      <c r="H44" s="52" t="s">
        <v>1199</v>
      </c>
      <c r="I44" s="53" t="s">
        <v>1200</v>
      </c>
      <c r="J44" s="126"/>
      <c r="K44" s="126"/>
      <c r="L44" s="126"/>
    </row>
    <row r="45" spans="3:16" s="280" customFormat="1" ht="16.5" customHeight="1">
      <c r="C45" s="290" t="s">
        <v>1201</v>
      </c>
      <c r="D45" s="182" t="s">
        <v>1202</v>
      </c>
      <c r="E45" s="182"/>
      <c r="F45" s="70"/>
      <c r="G45" s="124"/>
      <c r="H45" s="70"/>
      <c r="I45" s="71"/>
      <c r="J45" s="119"/>
      <c r="K45" s="119"/>
      <c r="L45" s="119"/>
      <c r="M45" s="59" t="s">
        <v>1247</v>
      </c>
      <c r="N45" s="59"/>
      <c r="O45" s="59"/>
      <c r="P45" s="59"/>
    </row>
    <row r="46" spans="3:16" s="280" customFormat="1" ht="13.8">
      <c r="C46" s="281">
        <v>1</v>
      </c>
      <c r="D46" s="182" t="s">
        <v>5</v>
      </c>
      <c r="E46" s="176" t="s">
        <v>1774</v>
      </c>
      <c r="F46" s="176" t="s">
        <v>6</v>
      </c>
      <c r="G46" s="346">
        <v>3.5700000000000003E-2</v>
      </c>
      <c r="H46" s="283">
        <f>VLOOKUP(D46,upahbahan,3,FALSE)</f>
        <v>100000</v>
      </c>
      <c r="I46" s="284">
        <f>G46*H46</f>
        <v>3570.0000000000005</v>
      </c>
      <c r="J46" s="119"/>
      <c r="K46" s="119"/>
      <c r="L46" s="119"/>
      <c r="M46" s="59" t="s">
        <v>1248</v>
      </c>
      <c r="N46" s="59"/>
      <c r="O46" s="59"/>
      <c r="P46" s="65">
        <v>0.1</v>
      </c>
    </row>
    <row r="47" spans="3:16" s="280" customFormat="1" ht="13.8">
      <c r="C47" s="281">
        <v>2</v>
      </c>
      <c r="D47" s="182" t="s">
        <v>9</v>
      </c>
      <c r="E47" s="176" t="s">
        <v>1775</v>
      </c>
      <c r="F47" s="176" t="s">
        <v>6</v>
      </c>
      <c r="G47" s="346">
        <v>3.5700000000000003E-2</v>
      </c>
      <c r="H47" s="283">
        <f>VLOOKUP(D47,upahbahan,3,FALSE)</f>
        <v>135000</v>
      </c>
      <c r="I47" s="284">
        <f t="shared" ref="I47:I49" si="2">G47*H47</f>
        <v>4819.5</v>
      </c>
      <c r="J47" s="119"/>
      <c r="K47" s="119"/>
      <c r="L47" s="119"/>
      <c r="M47" s="59"/>
      <c r="N47" s="59"/>
      <c r="O47" s="59"/>
      <c r="P47" s="65"/>
    </row>
    <row r="48" spans="3:16" s="59" customFormat="1" ht="17.399999999999999" customHeight="1">
      <c r="C48" s="281">
        <v>3</v>
      </c>
      <c r="D48" s="182" t="s">
        <v>18</v>
      </c>
      <c r="E48" s="176" t="s">
        <v>1776</v>
      </c>
      <c r="F48" s="176" t="s">
        <v>6</v>
      </c>
      <c r="G48" s="346">
        <v>3.5999999999999999E-3</v>
      </c>
      <c r="H48" s="283">
        <f>VLOOKUP(D48,upahbahan,3,FALSE)</f>
        <v>150000</v>
      </c>
      <c r="I48" s="284">
        <f t="shared" si="2"/>
        <v>540</v>
      </c>
      <c r="J48" s="119"/>
      <c r="K48" s="119"/>
      <c r="L48" s="119"/>
    </row>
    <row r="49" spans="3:16" s="59" customFormat="1" ht="13.8">
      <c r="C49" s="281">
        <v>4</v>
      </c>
      <c r="D49" s="182" t="s">
        <v>19</v>
      </c>
      <c r="E49" s="176" t="s">
        <v>1777</v>
      </c>
      <c r="F49" s="176" t="s">
        <v>6</v>
      </c>
      <c r="G49" s="346">
        <v>1.1999999999999999E-3</v>
      </c>
      <c r="H49" s="283">
        <f>VLOOKUP(D49,upahbahan,3,FALSE)</f>
        <v>160000</v>
      </c>
      <c r="I49" s="284">
        <f t="shared" si="2"/>
        <v>191.99999999999997</v>
      </c>
      <c r="J49" s="119"/>
      <c r="K49" s="119"/>
      <c r="L49" s="119"/>
    </row>
    <row r="50" spans="3:16" s="280" customFormat="1" ht="15.75" customHeight="1">
      <c r="C50" s="66" t="s">
        <v>1208</v>
      </c>
      <c r="D50" s="67"/>
      <c r="E50" s="67"/>
      <c r="F50" s="67"/>
      <c r="G50" s="343"/>
      <c r="H50" s="69"/>
      <c r="I50" s="284">
        <f>SUM(I46:I49)</f>
        <v>9121.5</v>
      </c>
      <c r="J50" s="119"/>
      <c r="K50" s="119"/>
      <c r="L50" s="119"/>
    </row>
    <row r="51" spans="3:16" s="280" customFormat="1" ht="13.8">
      <c r="C51" s="290" t="s">
        <v>1209</v>
      </c>
      <c r="D51" s="182" t="s">
        <v>1210</v>
      </c>
      <c r="E51" s="182"/>
      <c r="F51" s="70"/>
      <c r="G51" s="124"/>
      <c r="H51" s="70"/>
      <c r="I51" s="71"/>
      <c r="J51" s="119"/>
      <c r="K51" s="119"/>
      <c r="L51" s="119"/>
    </row>
    <row r="52" spans="3:16" s="280" customFormat="1" ht="13.8">
      <c r="C52" s="338">
        <v>1</v>
      </c>
      <c r="D52" s="339" t="s">
        <v>5245</v>
      </c>
      <c r="E52" s="339"/>
      <c r="F52" s="115" t="s">
        <v>1044</v>
      </c>
      <c r="G52" s="352">
        <v>1</v>
      </c>
      <c r="H52" s="185">
        <f>VLOOKUP(D52,upahbahan,3,FALSE)</f>
        <v>17000</v>
      </c>
      <c r="I52" s="317">
        <f>G52*H52</f>
        <v>17000</v>
      </c>
      <c r="J52" s="119"/>
      <c r="K52" s="119"/>
      <c r="L52" s="119"/>
    </row>
    <row r="53" spans="3:16" s="280" customFormat="1" ht="15.75" customHeight="1">
      <c r="C53" s="66" t="s">
        <v>1214</v>
      </c>
      <c r="D53" s="67"/>
      <c r="E53" s="67"/>
      <c r="F53" s="67"/>
      <c r="G53" s="111"/>
      <c r="H53" s="69"/>
      <c r="I53" s="284">
        <f>SUM(I52:I52)</f>
        <v>17000</v>
      </c>
      <c r="J53" s="119"/>
      <c r="K53" s="119"/>
      <c r="L53" s="119"/>
    </row>
    <row r="54" spans="3:16" s="280" customFormat="1" ht="19.5" customHeight="1">
      <c r="C54" s="290" t="s">
        <v>1215</v>
      </c>
      <c r="D54" s="182" t="s">
        <v>1216</v>
      </c>
      <c r="E54" s="182"/>
      <c r="F54" s="70"/>
      <c r="G54" s="124"/>
      <c r="H54" s="70"/>
      <c r="I54" s="71"/>
      <c r="J54" s="119"/>
      <c r="K54" s="119"/>
      <c r="L54" s="119"/>
    </row>
    <row r="55" spans="3:16" s="280" customFormat="1" ht="19.5" customHeight="1">
      <c r="C55" s="184">
        <v>1</v>
      </c>
      <c r="D55" s="109" t="s">
        <v>2457</v>
      </c>
      <c r="E55" s="109"/>
      <c r="F55" s="108" t="s">
        <v>1080</v>
      </c>
      <c r="G55" s="108">
        <v>3.5700000000000003E-2</v>
      </c>
      <c r="H55" s="185">
        <f>VLOOKUP(D55,upahbahan,3,FALSE)</f>
        <v>20000</v>
      </c>
      <c r="I55" s="317">
        <f>G55*H55</f>
        <v>714</v>
      </c>
      <c r="J55" s="119"/>
      <c r="K55" s="119"/>
      <c r="L55" s="119"/>
    </row>
    <row r="56" spans="3:16" s="280" customFormat="1" ht="15.75" customHeight="1">
      <c r="C56" s="66" t="s">
        <v>1217</v>
      </c>
      <c r="D56" s="67"/>
      <c r="E56" s="67"/>
      <c r="F56" s="67"/>
      <c r="G56" s="111"/>
      <c r="H56" s="69"/>
      <c r="I56" s="292">
        <v>0</v>
      </c>
      <c r="J56" s="119"/>
      <c r="K56" s="119"/>
      <c r="L56" s="119"/>
    </row>
    <row r="57" spans="3:16" s="297" customFormat="1" ht="13.8">
      <c r="C57" s="293" t="s">
        <v>1218</v>
      </c>
      <c r="D57" s="294" t="s">
        <v>1219</v>
      </c>
      <c r="E57" s="295"/>
      <c r="F57" s="295"/>
      <c r="G57" s="348"/>
      <c r="H57" s="296"/>
      <c r="I57" s="284">
        <f>I56+I53+I50</f>
        <v>26121.5</v>
      </c>
      <c r="J57" s="119"/>
      <c r="K57" s="119"/>
      <c r="L57" s="119"/>
    </row>
    <row r="58" spans="3:16" s="297" customFormat="1" ht="13.8">
      <c r="C58" s="293" t="s">
        <v>1220</v>
      </c>
      <c r="D58" s="294" t="s">
        <v>1321</v>
      </c>
      <c r="E58" s="295"/>
      <c r="F58" s="295"/>
      <c r="G58" s="349"/>
      <c r="H58" s="298">
        <f>$P$7</f>
        <v>0.1</v>
      </c>
      <c r="I58" s="284">
        <f>I57*H58</f>
        <v>2612.15</v>
      </c>
      <c r="J58" s="119"/>
      <c r="K58" s="119"/>
      <c r="L58" s="119"/>
    </row>
    <row r="59" spans="3:16" s="297" customFormat="1" ht="14.4" thickBot="1">
      <c r="C59" s="299" t="s">
        <v>1221</v>
      </c>
      <c r="D59" s="300" t="s">
        <v>1222</v>
      </c>
      <c r="E59" s="301"/>
      <c r="F59" s="301"/>
      <c r="G59" s="350"/>
      <c r="H59" s="302"/>
      <c r="I59" s="303">
        <f>SUM(I57:I58)</f>
        <v>28733.65</v>
      </c>
      <c r="J59" s="119"/>
      <c r="K59" s="119"/>
      <c r="L59" s="119"/>
    </row>
    <row r="60" spans="3:16" ht="13.8" thickTop="1"/>
    <row r="62" spans="3:16" s="280" customFormat="1" ht="14.4" thickBot="1">
      <c r="C62" s="126" t="s">
        <v>2458</v>
      </c>
      <c r="D62" s="48" t="s">
        <v>2459</v>
      </c>
      <c r="E62" s="48"/>
      <c r="F62" s="49"/>
      <c r="G62" s="342"/>
      <c r="H62" s="49"/>
      <c r="I62" s="49"/>
      <c r="J62" s="120">
        <f>ROUNDDOWN(I79,-2)</f>
        <v>13600</v>
      </c>
      <c r="K62" s="120"/>
      <c r="L62" s="120"/>
    </row>
    <row r="63" spans="3:16" s="289" customFormat="1" ht="31.65" customHeight="1" thickTop="1">
      <c r="C63" s="51" t="s">
        <v>1195</v>
      </c>
      <c r="D63" s="52" t="s">
        <v>1196</v>
      </c>
      <c r="E63" s="52" t="s">
        <v>1906</v>
      </c>
      <c r="F63" s="52" t="s">
        <v>1197</v>
      </c>
      <c r="G63" s="52" t="s">
        <v>1198</v>
      </c>
      <c r="H63" s="52" t="s">
        <v>1199</v>
      </c>
      <c r="I63" s="53" t="s">
        <v>1200</v>
      </c>
      <c r="J63" s="126"/>
      <c r="K63" s="126"/>
      <c r="L63" s="126"/>
    </row>
    <row r="64" spans="3:16" s="280" customFormat="1" ht="20.399999999999999" customHeight="1">
      <c r="C64" s="290" t="s">
        <v>1201</v>
      </c>
      <c r="D64" s="182" t="s">
        <v>1202</v>
      </c>
      <c r="E64" s="182"/>
      <c r="F64" s="70"/>
      <c r="G64" s="124"/>
      <c r="H64" s="70"/>
      <c r="I64" s="71"/>
      <c r="J64" s="119"/>
      <c r="K64" s="119"/>
      <c r="L64" s="119"/>
      <c r="M64" s="59" t="s">
        <v>1247</v>
      </c>
      <c r="N64" s="59"/>
      <c r="O64" s="59"/>
      <c r="P64" s="59"/>
    </row>
    <row r="65" spans="3:16" s="280" customFormat="1" ht="20.399999999999999" customHeight="1">
      <c r="C65" s="281">
        <v>1</v>
      </c>
      <c r="D65" s="182" t="s">
        <v>5</v>
      </c>
      <c r="E65" s="176" t="s">
        <v>1774</v>
      </c>
      <c r="F65" s="176" t="s">
        <v>6</v>
      </c>
      <c r="G65" s="346">
        <v>3.4500000000000003E-2</v>
      </c>
      <c r="H65" s="283">
        <f>VLOOKUP(D65,upahbahan,3,FALSE)</f>
        <v>100000</v>
      </c>
      <c r="I65" s="284">
        <f>G65*H65</f>
        <v>3450.0000000000005</v>
      </c>
      <c r="J65" s="119"/>
      <c r="K65" s="119"/>
      <c r="L65" s="119"/>
      <c r="M65" s="59" t="s">
        <v>1248</v>
      </c>
      <c r="N65" s="59"/>
      <c r="O65" s="59"/>
      <c r="P65" s="65">
        <v>0.1</v>
      </c>
    </row>
    <row r="66" spans="3:16" s="280" customFormat="1" ht="20.399999999999999" customHeight="1">
      <c r="C66" s="281">
        <v>2</v>
      </c>
      <c r="D66" s="182" t="s">
        <v>9</v>
      </c>
      <c r="E66" s="176" t="s">
        <v>1775</v>
      </c>
      <c r="F66" s="176" t="s">
        <v>6</v>
      </c>
      <c r="G66" s="346">
        <v>3.4500000000000003E-2</v>
      </c>
      <c r="H66" s="283">
        <f>VLOOKUP(D66,upahbahan,3,FALSE)</f>
        <v>135000</v>
      </c>
      <c r="I66" s="284">
        <f t="shared" ref="I66:I68" si="3">G66*H66</f>
        <v>4657.5</v>
      </c>
      <c r="J66" s="119"/>
      <c r="K66" s="119"/>
      <c r="L66" s="119"/>
      <c r="M66" s="59"/>
      <c r="N66" s="59"/>
      <c r="O66" s="59"/>
      <c r="P66" s="65"/>
    </row>
    <row r="67" spans="3:16" s="59" customFormat="1" ht="20.399999999999999" customHeight="1">
      <c r="C67" s="281">
        <v>3</v>
      </c>
      <c r="D67" s="182" t="s">
        <v>18</v>
      </c>
      <c r="E67" s="176" t="s">
        <v>1776</v>
      </c>
      <c r="F67" s="176" t="s">
        <v>6</v>
      </c>
      <c r="G67" s="346">
        <v>3.3999999999999998E-3</v>
      </c>
      <c r="H67" s="283">
        <f>VLOOKUP(D67,upahbahan,3,FALSE)</f>
        <v>150000</v>
      </c>
      <c r="I67" s="284">
        <f t="shared" si="3"/>
        <v>510</v>
      </c>
      <c r="J67" s="119"/>
      <c r="K67" s="119"/>
      <c r="L67" s="119"/>
    </row>
    <row r="68" spans="3:16" s="59" customFormat="1" ht="20.399999999999999" customHeight="1">
      <c r="C68" s="281">
        <v>4</v>
      </c>
      <c r="D68" s="182" t="s">
        <v>19</v>
      </c>
      <c r="E68" s="176" t="s">
        <v>1777</v>
      </c>
      <c r="F68" s="176" t="s">
        <v>6</v>
      </c>
      <c r="G68" s="346">
        <v>1.1000000000000001E-3</v>
      </c>
      <c r="H68" s="283">
        <f>VLOOKUP(D68,upahbahan,3,FALSE)</f>
        <v>160000</v>
      </c>
      <c r="I68" s="284">
        <f t="shared" si="3"/>
        <v>176</v>
      </c>
      <c r="J68" s="119"/>
      <c r="K68" s="119"/>
      <c r="L68" s="119"/>
    </row>
    <row r="69" spans="3:16" s="280" customFormat="1" ht="20.399999999999999" customHeight="1">
      <c r="C69" s="66" t="s">
        <v>1208</v>
      </c>
      <c r="D69" s="67"/>
      <c r="E69" s="67"/>
      <c r="F69" s="67"/>
      <c r="G69" s="343"/>
      <c r="H69" s="69"/>
      <c r="I69" s="284">
        <f>SUM(I65:I68)</f>
        <v>8793.5</v>
      </c>
      <c r="J69" s="119"/>
      <c r="K69" s="119"/>
      <c r="L69" s="119"/>
    </row>
    <row r="70" spans="3:16" s="280" customFormat="1" ht="20.399999999999999" customHeight="1">
      <c r="C70" s="290" t="s">
        <v>1209</v>
      </c>
      <c r="D70" s="182" t="s">
        <v>1210</v>
      </c>
      <c r="E70" s="182"/>
      <c r="F70" s="70"/>
      <c r="G70" s="124"/>
      <c r="H70" s="70"/>
      <c r="I70" s="71"/>
      <c r="J70" s="119"/>
      <c r="K70" s="119"/>
      <c r="L70" s="119"/>
    </row>
    <row r="71" spans="3:16" s="280" customFormat="1" ht="20.399999999999999" customHeight="1">
      <c r="C71" s="290">
        <v>1</v>
      </c>
      <c r="D71" s="182" t="s">
        <v>224</v>
      </c>
      <c r="E71" s="182"/>
      <c r="F71" s="124" t="s">
        <v>65</v>
      </c>
      <c r="G71" s="341">
        <v>1.1499999999999999</v>
      </c>
      <c r="H71" s="185">
        <f>VLOOKUP(D71,upahbahan,3,FALSE)</f>
        <v>0</v>
      </c>
      <c r="I71" s="317">
        <f>G71*H71</f>
        <v>0</v>
      </c>
      <c r="J71" s="119"/>
      <c r="K71" s="119"/>
      <c r="L71" s="119"/>
    </row>
    <row r="72" spans="3:16" s="280" customFormat="1" ht="20.399999999999999" customHeight="1">
      <c r="C72" s="338">
        <v>2</v>
      </c>
      <c r="D72" s="339" t="s">
        <v>2427</v>
      </c>
      <c r="E72" s="339"/>
      <c r="F72" s="115" t="s">
        <v>1044</v>
      </c>
      <c r="G72" s="347">
        <v>5.2999999999999999E-2</v>
      </c>
      <c r="H72" s="185">
        <f>VLOOKUP(D72,upahbahan,3,FALSE)</f>
        <v>66600</v>
      </c>
      <c r="I72" s="317">
        <f>G72*H72</f>
        <v>3529.7999999999997</v>
      </c>
      <c r="J72" s="119"/>
      <c r="K72" s="119"/>
      <c r="L72" s="119"/>
    </row>
    <row r="73" spans="3:16" s="280" customFormat="1" ht="20.399999999999999" customHeight="1">
      <c r="C73" s="66" t="s">
        <v>1214</v>
      </c>
      <c r="D73" s="67"/>
      <c r="E73" s="67"/>
      <c r="F73" s="67"/>
      <c r="G73" s="111"/>
      <c r="H73" s="69"/>
      <c r="I73" s="284">
        <f>SUM(I71:I72)</f>
        <v>3529.7999999999997</v>
      </c>
      <c r="J73" s="119"/>
      <c r="K73" s="119"/>
      <c r="L73" s="119"/>
    </row>
    <row r="74" spans="3:16" s="280" customFormat="1" ht="20.399999999999999" customHeight="1">
      <c r="C74" s="290" t="s">
        <v>1215</v>
      </c>
      <c r="D74" s="182" t="s">
        <v>1216</v>
      </c>
      <c r="E74" s="182"/>
      <c r="F74" s="70"/>
      <c r="G74" s="124"/>
      <c r="H74" s="70"/>
      <c r="I74" s="71"/>
      <c r="J74" s="119"/>
      <c r="K74" s="119"/>
      <c r="L74" s="119"/>
    </row>
    <row r="75" spans="3:16" s="280" customFormat="1" ht="20.399999999999999" customHeight="1">
      <c r="C75" s="184">
        <v>1</v>
      </c>
      <c r="D75" s="109" t="s">
        <v>2452</v>
      </c>
      <c r="E75" s="109"/>
      <c r="F75" s="108" t="s">
        <v>1080</v>
      </c>
      <c r="G75" s="108">
        <v>3.3300000000000003E-2</v>
      </c>
      <c r="H75" s="185">
        <f>VLOOKUP(D75,upahbahan,3,FALSE)</f>
        <v>3125</v>
      </c>
      <c r="I75" s="317">
        <f>G75*H75</f>
        <v>104.06250000000001</v>
      </c>
      <c r="J75" s="119"/>
      <c r="K75" s="119"/>
      <c r="L75" s="119"/>
    </row>
    <row r="76" spans="3:16" s="280" customFormat="1" ht="20.399999999999999" customHeight="1">
      <c r="C76" s="66" t="s">
        <v>1217</v>
      </c>
      <c r="D76" s="67"/>
      <c r="E76" s="67"/>
      <c r="F76" s="67"/>
      <c r="G76" s="111"/>
      <c r="H76" s="69"/>
      <c r="I76" s="292">
        <f>SUM(I75)</f>
        <v>104.06250000000001</v>
      </c>
      <c r="J76" s="119"/>
      <c r="K76" s="119"/>
      <c r="L76" s="119"/>
    </row>
    <row r="77" spans="3:16" s="297" customFormat="1" ht="20.399999999999999" customHeight="1">
      <c r="C77" s="293" t="s">
        <v>1218</v>
      </c>
      <c r="D77" s="294" t="s">
        <v>1219</v>
      </c>
      <c r="E77" s="295"/>
      <c r="F77" s="295"/>
      <c r="G77" s="348"/>
      <c r="H77" s="296"/>
      <c r="I77" s="284">
        <f>I76+I73+I69</f>
        <v>12427.362499999999</v>
      </c>
      <c r="J77" s="119"/>
      <c r="K77" s="119"/>
      <c r="L77" s="119"/>
    </row>
    <row r="78" spans="3:16" s="297" customFormat="1" ht="20.399999999999999" customHeight="1">
      <c r="C78" s="293" t="s">
        <v>1220</v>
      </c>
      <c r="D78" s="294" t="s">
        <v>1321</v>
      </c>
      <c r="E78" s="295"/>
      <c r="F78" s="295"/>
      <c r="G78" s="349"/>
      <c r="H78" s="351">
        <f>$P$7</f>
        <v>0.1</v>
      </c>
      <c r="I78" s="284">
        <f>I77*H78</f>
        <v>1242.7362499999999</v>
      </c>
      <c r="J78" s="119"/>
      <c r="K78" s="119"/>
      <c r="L78" s="119"/>
    </row>
    <row r="79" spans="3:16" s="297" customFormat="1" ht="20.399999999999999" customHeight="1" thickBot="1">
      <c r="C79" s="299" t="s">
        <v>1221</v>
      </c>
      <c r="D79" s="300" t="s">
        <v>1222</v>
      </c>
      <c r="E79" s="301"/>
      <c r="F79" s="301"/>
      <c r="G79" s="350"/>
      <c r="H79" s="302"/>
      <c r="I79" s="303">
        <f>SUM(I77:I78)</f>
        <v>13670.098749999999</v>
      </c>
      <c r="J79" s="119"/>
      <c r="K79" s="119"/>
      <c r="L79" s="119"/>
    </row>
    <row r="80" spans="3:16" ht="13.8" thickTop="1"/>
    <row r="82" spans="3:16" s="280" customFormat="1" ht="14.4" thickBot="1">
      <c r="C82" s="126" t="s">
        <v>2460</v>
      </c>
      <c r="D82" s="48" t="s">
        <v>2461</v>
      </c>
      <c r="E82" s="48"/>
      <c r="F82" s="49"/>
      <c r="G82" s="342"/>
      <c r="H82" s="49"/>
      <c r="I82" s="49"/>
      <c r="J82" s="120">
        <f>ROUNDDOWN(I99,-2)</f>
        <v>13600</v>
      </c>
      <c r="K82" s="120"/>
      <c r="L82" s="120"/>
    </row>
    <row r="83" spans="3:16" s="289" customFormat="1" ht="31.65" customHeight="1" thickTop="1">
      <c r="C83" s="51" t="s">
        <v>1195</v>
      </c>
      <c r="D83" s="52" t="s">
        <v>1196</v>
      </c>
      <c r="E83" s="52" t="s">
        <v>1906</v>
      </c>
      <c r="F83" s="52" t="s">
        <v>1197</v>
      </c>
      <c r="G83" s="52" t="s">
        <v>1198</v>
      </c>
      <c r="H83" s="52" t="s">
        <v>1199</v>
      </c>
      <c r="I83" s="53" t="s">
        <v>1200</v>
      </c>
      <c r="J83" s="126"/>
      <c r="K83" s="126"/>
      <c r="L83" s="126"/>
    </row>
    <row r="84" spans="3:16" s="280" customFormat="1" ht="20.399999999999999" customHeight="1">
      <c r="C84" s="290" t="s">
        <v>1201</v>
      </c>
      <c r="D84" s="182" t="s">
        <v>1202</v>
      </c>
      <c r="E84" s="182"/>
      <c r="F84" s="70"/>
      <c r="G84" s="124"/>
      <c r="H84" s="70"/>
      <c r="I84" s="71"/>
      <c r="J84" s="119"/>
      <c r="K84" s="119"/>
      <c r="L84" s="119"/>
      <c r="M84" s="59" t="s">
        <v>1247</v>
      </c>
      <c r="N84" s="59"/>
      <c r="O84" s="59"/>
      <c r="P84" s="59"/>
    </row>
    <row r="85" spans="3:16" s="280" customFormat="1" ht="20.399999999999999" customHeight="1">
      <c r="C85" s="281">
        <v>1</v>
      </c>
      <c r="D85" s="182" t="s">
        <v>5</v>
      </c>
      <c r="E85" s="176" t="s">
        <v>1774</v>
      </c>
      <c r="F85" s="176" t="s">
        <v>6</v>
      </c>
      <c r="G85" s="346">
        <v>3.4500000000000003E-2</v>
      </c>
      <c r="H85" s="283">
        <f>VLOOKUP(D85,upahbahan,3,FALSE)</f>
        <v>100000</v>
      </c>
      <c r="I85" s="284">
        <f>G85*H85</f>
        <v>3450.0000000000005</v>
      </c>
      <c r="J85" s="119"/>
      <c r="K85" s="119"/>
      <c r="L85" s="119"/>
      <c r="M85" s="59" t="s">
        <v>1248</v>
      </c>
      <c r="N85" s="59"/>
      <c r="O85" s="59"/>
      <c r="P85" s="65">
        <v>0.1</v>
      </c>
    </row>
    <row r="86" spans="3:16" s="280" customFormat="1" ht="20.399999999999999" customHeight="1">
      <c r="C86" s="281">
        <v>2</v>
      </c>
      <c r="D86" s="182" t="s">
        <v>9</v>
      </c>
      <c r="E86" s="176" t="s">
        <v>1775</v>
      </c>
      <c r="F86" s="176" t="s">
        <v>6</v>
      </c>
      <c r="G86" s="346">
        <v>3.4500000000000003E-2</v>
      </c>
      <c r="H86" s="283">
        <f>VLOOKUP(D86,upahbahan,3,FALSE)</f>
        <v>135000</v>
      </c>
      <c r="I86" s="284">
        <f t="shared" ref="I86:I88" si="4">G86*H86</f>
        <v>4657.5</v>
      </c>
      <c r="J86" s="119"/>
      <c r="K86" s="119"/>
      <c r="L86" s="119"/>
      <c r="M86" s="59"/>
      <c r="N86" s="59"/>
      <c r="O86" s="59"/>
      <c r="P86" s="65"/>
    </row>
    <row r="87" spans="3:16" s="59" customFormat="1" ht="20.399999999999999" customHeight="1">
      <c r="C87" s="281">
        <v>3</v>
      </c>
      <c r="D87" s="182" t="s">
        <v>18</v>
      </c>
      <c r="E87" s="176" t="s">
        <v>1776</v>
      </c>
      <c r="F87" s="176" t="s">
        <v>6</v>
      </c>
      <c r="G87" s="346">
        <v>3.3999999999999998E-3</v>
      </c>
      <c r="H87" s="283">
        <f>VLOOKUP(D87,upahbahan,3,FALSE)</f>
        <v>150000</v>
      </c>
      <c r="I87" s="284">
        <f t="shared" si="4"/>
        <v>510</v>
      </c>
      <c r="J87" s="119"/>
      <c r="K87" s="119"/>
      <c r="L87" s="119"/>
    </row>
    <row r="88" spans="3:16" s="59" customFormat="1" ht="20.399999999999999" customHeight="1">
      <c r="C88" s="281">
        <v>4</v>
      </c>
      <c r="D88" s="182" t="s">
        <v>19</v>
      </c>
      <c r="E88" s="176" t="s">
        <v>1777</v>
      </c>
      <c r="F88" s="176" t="s">
        <v>6</v>
      </c>
      <c r="G88" s="346">
        <v>1.1000000000000001E-3</v>
      </c>
      <c r="H88" s="283">
        <f>VLOOKUP(D88,upahbahan,3,FALSE)</f>
        <v>160000</v>
      </c>
      <c r="I88" s="284">
        <f t="shared" si="4"/>
        <v>176</v>
      </c>
      <c r="J88" s="119"/>
      <c r="K88" s="119"/>
      <c r="L88" s="119"/>
    </row>
    <row r="89" spans="3:16" s="280" customFormat="1" ht="20.399999999999999" customHeight="1">
      <c r="C89" s="66" t="s">
        <v>1208</v>
      </c>
      <c r="D89" s="67"/>
      <c r="E89" s="67"/>
      <c r="F89" s="67"/>
      <c r="G89" s="343"/>
      <c r="H89" s="69"/>
      <c r="I89" s="284">
        <f>SUM(I85:I88)</f>
        <v>8793.5</v>
      </c>
      <c r="J89" s="119"/>
      <c r="K89" s="119"/>
      <c r="L89" s="119"/>
    </row>
    <row r="90" spans="3:16" s="280" customFormat="1" ht="20.399999999999999" customHeight="1">
      <c r="C90" s="290" t="s">
        <v>1209</v>
      </c>
      <c r="D90" s="182" t="s">
        <v>1210</v>
      </c>
      <c r="E90" s="182"/>
      <c r="F90" s="70"/>
      <c r="G90" s="124"/>
      <c r="H90" s="70"/>
      <c r="I90" s="71"/>
      <c r="J90" s="119"/>
      <c r="K90" s="119"/>
      <c r="L90" s="119"/>
    </row>
    <row r="91" spans="3:16" s="280" customFormat="1" ht="20.399999999999999" customHeight="1">
      <c r="C91" s="290">
        <v>1</v>
      </c>
      <c r="D91" s="182" t="s">
        <v>5247</v>
      </c>
      <c r="E91" s="182"/>
      <c r="F91" s="124" t="s">
        <v>65</v>
      </c>
      <c r="G91" s="341">
        <v>1.1499999999999999</v>
      </c>
      <c r="H91" s="185">
        <f>VLOOKUP(D91,upahbahan,3,FALSE)</f>
        <v>0</v>
      </c>
      <c r="I91" s="317">
        <f>G91*H91</f>
        <v>0</v>
      </c>
      <c r="J91" s="119"/>
      <c r="K91" s="119"/>
      <c r="L91" s="119"/>
    </row>
    <row r="92" spans="3:16" s="280" customFormat="1" ht="20.399999999999999" customHeight="1">
      <c r="C92" s="338">
        <v>2</v>
      </c>
      <c r="D92" s="339" t="s">
        <v>2427</v>
      </c>
      <c r="E92" s="339"/>
      <c r="F92" s="115" t="s">
        <v>1044</v>
      </c>
      <c r="G92" s="347">
        <v>5.2999999999999999E-2</v>
      </c>
      <c r="H92" s="185">
        <f>VLOOKUP(D92,upahbahan,3,FALSE)</f>
        <v>66600</v>
      </c>
      <c r="I92" s="317">
        <f>G92*H92</f>
        <v>3529.7999999999997</v>
      </c>
      <c r="J92" s="119"/>
      <c r="K92" s="119"/>
      <c r="L92" s="119"/>
    </row>
    <row r="93" spans="3:16" s="280" customFormat="1" ht="20.399999999999999" customHeight="1">
      <c r="C93" s="66" t="s">
        <v>1214</v>
      </c>
      <c r="D93" s="67"/>
      <c r="E93" s="67"/>
      <c r="F93" s="67"/>
      <c r="G93" s="111"/>
      <c r="H93" s="69"/>
      <c r="I93" s="284">
        <f>SUM(I91:I92)</f>
        <v>3529.7999999999997</v>
      </c>
      <c r="J93" s="119"/>
      <c r="K93" s="119"/>
      <c r="L93" s="119"/>
    </row>
    <row r="94" spans="3:16" s="280" customFormat="1" ht="20.399999999999999" customHeight="1">
      <c r="C94" s="290" t="s">
        <v>1215</v>
      </c>
      <c r="D94" s="182" t="s">
        <v>1216</v>
      </c>
      <c r="E94" s="182"/>
      <c r="F94" s="70"/>
      <c r="G94" s="124"/>
      <c r="H94" s="70"/>
      <c r="I94" s="71"/>
      <c r="J94" s="119"/>
      <c r="K94" s="119"/>
      <c r="L94" s="119"/>
    </row>
    <row r="95" spans="3:16" s="280" customFormat="1" ht="20.399999999999999" customHeight="1">
      <c r="C95" s="184">
        <v>1</v>
      </c>
      <c r="D95" s="109" t="s">
        <v>2452</v>
      </c>
      <c r="E95" s="109"/>
      <c r="F95" s="108" t="s">
        <v>2139</v>
      </c>
      <c r="G95" s="108">
        <v>3.3300000000000003E-2</v>
      </c>
      <c r="H95" s="185">
        <f>VLOOKUP(D95,upahbahan,3,FALSE)</f>
        <v>3125</v>
      </c>
      <c r="I95" s="317">
        <f>G95*H95</f>
        <v>104.06250000000001</v>
      </c>
      <c r="J95" s="119"/>
      <c r="K95" s="119"/>
      <c r="L95" s="119"/>
    </row>
    <row r="96" spans="3:16" s="280" customFormat="1" ht="20.399999999999999" customHeight="1">
      <c r="C96" s="66" t="s">
        <v>1217</v>
      </c>
      <c r="D96" s="67"/>
      <c r="E96" s="67"/>
      <c r="F96" s="67"/>
      <c r="G96" s="111"/>
      <c r="H96" s="69"/>
      <c r="I96" s="292">
        <f>SUM(I95)</f>
        <v>104.06250000000001</v>
      </c>
      <c r="J96" s="119"/>
      <c r="K96" s="119"/>
      <c r="L96" s="119"/>
    </row>
    <row r="97" spans="3:16" s="297" customFormat="1" ht="20.399999999999999" customHeight="1">
      <c r="C97" s="293" t="s">
        <v>1218</v>
      </c>
      <c r="D97" s="294" t="s">
        <v>1219</v>
      </c>
      <c r="E97" s="295"/>
      <c r="F97" s="295"/>
      <c r="G97" s="348"/>
      <c r="H97" s="296"/>
      <c r="I97" s="284">
        <f>I96+I93+I89</f>
        <v>12427.362499999999</v>
      </c>
      <c r="J97" s="119"/>
      <c r="K97" s="119"/>
      <c r="L97" s="119"/>
    </row>
    <row r="98" spans="3:16" s="297" customFormat="1" ht="20.399999999999999" customHeight="1">
      <c r="C98" s="293" t="s">
        <v>1220</v>
      </c>
      <c r="D98" s="294" t="s">
        <v>1321</v>
      </c>
      <c r="E98" s="295"/>
      <c r="F98" s="295"/>
      <c r="G98" s="349"/>
      <c r="H98" s="298">
        <f>$P$7</f>
        <v>0.1</v>
      </c>
      <c r="I98" s="284">
        <f>I97*H98</f>
        <v>1242.7362499999999</v>
      </c>
      <c r="J98" s="119"/>
      <c r="K98" s="119"/>
      <c r="L98" s="119"/>
    </row>
    <row r="99" spans="3:16" s="297" customFormat="1" ht="20.399999999999999" customHeight="1" thickBot="1">
      <c r="C99" s="299" t="s">
        <v>1221</v>
      </c>
      <c r="D99" s="300" t="s">
        <v>1222</v>
      </c>
      <c r="E99" s="301"/>
      <c r="F99" s="301"/>
      <c r="G99" s="350"/>
      <c r="H99" s="302"/>
      <c r="I99" s="303">
        <f>SUM(I97:I98)</f>
        <v>13670.098749999999</v>
      </c>
      <c r="J99" s="119"/>
      <c r="K99" s="119"/>
      <c r="L99" s="119"/>
    </row>
    <row r="100" spans="3:16" ht="13.8" thickTop="1"/>
    <row r="102" spans="3:16" s="280" customFormat="1" ht="14.4" thickBot="1">
      <c r="C102" s="126" t="s">
        <v>2462</v>
      </c>
      <c r="D102" s="48" t="s">
        <v>2463</v>
      </c>
      <c r="E102" s="48"/>
      <c r="F102" s="49"/>
      <c r="G102" s="342"/>
      <c r="H102" s="49"/>
      <c r="I102" s="49"/>
      <c r="J102" s="120">
        <f>ROUNDDOWN(I117,-2)</f>
        <v>8000</v>
      </c>
      <c r="K102" s="120"/>
      <c r="L102" s="120"/>
    </row>
    <row r="103" spans="3:16" s="289" customFormat="1" ht="31.65" customHeight="1" thickTop="1">
      <c r="C103" s="51" t="s">
        <v>1195</v>
      </c>
      <c r="D103" s="52" t="s">
        <v>1196</v>
      </c>
      <c r="E103" s="52" t="s">
        <v>1906</v>
      </c>
      <c r="F103" s="52" t="s">
        <v>1197</v>
      </c>
      <c r="G103" s="52" t="s">
        <v>1198</v>
      </c>
      <c r="H103" s="52" t="s">
        <v>1199</v>
      </c>
      <c r="I103" s="53" t="s">
        <v>1200</v>
      </c>
      <c r="J103" s="126"/>
      <c r="K103" s="126"/>
      <c r="L103" s="126"/>
    </row>
    <row r="104" spans="3:16" s="280" customFormat="1" ht="20.399999999999999" customHeight="1">
      <c r="C104" s="290" t="s">
        <v>1201</v>
      </c>
      <c r="D104" s="182" t="s">
        <v>1202</v>
      </c>
      <c r="E104" s="182"/>
      <c r="F104" s="70"/>
      <c r="G104" s="124"/>
      <c r="H104" s="70"/>
      <c r="I104" s="71"/>
      <c r="J104" s="119"/>
      <c r="K104" s="119"/>
      <c r="L104" s="119"/>
      <c r="M104" s="59" t="s">
        <v>1247</v>
      </c>
      <c r="N104" s="59"/>
      <c r="O104" s="59"/>
      <c r="P104" s="59"/>
    </row>
    <row r="105" spans="3:16" s="280" customFormat="1" ht="20.399999999999999" customHeight="1">
      <c r="C105" s="281">
        <v>1</v>
      </c>
      <c r="D105" s="182" t="s">
        <v>5</v>
      </c>
      <c r="E105" s="176" t="s">
        <v>1774</v>
      </c>
      <c r="F105" s="176" t="s">
        <v>6</v>
      </c>
      <c r="G105" s="346">
        <v>2.86E-2</v>
      </c>
      <c r="H105" s="283">
        <f>VLOOKUP(D105,upahbahan,3,FALSE)</f>
        <v>100000</v>
      </c>
      <c r="I105" s="284">
        <f>G105*H105</f>
        <v>2860</v>
      </c>
      <c r="J105" s="119"/>
      <c r="K105" s="119"/>
      <c r="L105" s="119"/>
      <c r="M105" s="59" t="s">
        <v>1248</v>
      </c>
      <c r="N105" s="59"/>
      <c r="O105" s="59"/>
      <c r="P105" s="65">
        <v>0.1</v>
      </c>
    </row>
    <row r="106" spans="3:16" s="280" customFormat="1" ht="20.399999999999999" customHeight="1">
      <c r="C106" s="281">
        <v>2</v>
      </c>
      <c r="D106" s="182" t="s">
        <v>9</v>
      </c>
      <c r="E106" s="176" t="s">
        <v>1775</v>
      </c>
      <c r="F106" s="176" t="s">
        <v>6</v>
      </c>
      <c r="G106" s="346">
        <v>2.86E-2</v>
      </c>
      <c r="H106" s="283">
        <f>VLOOKUP(D106,upahbahan,3,FALSE)</f>
        <v>135000</v>
      </c>
      <c r="I106" s="284">
        <f t="shared" ref="I106:I108" si="5">G106*H106</f>
        <v>3861</v>
      </c>
      <c r="J106" s="119"/>
      <c r="K106" s="119"/>
      <c r="L106" s="119"/>
      <c r="M106" s="59"/>
      <c r="N106" s="59"/>
      <c r="O106" s="59"/>
      <c r="P106" s="65"/>
    </row>
    <row r="107" spans="3:16" s="59" customFormat="1" ht="20.399999999999999" customHeight="1">
      <c r="C107" s="281">
        <v>3</v>
      </c>
      <c r="D107" s="182" t="s">
        <v>18</v>
      </c>
      <c r="E107" s="176" t="s">
        <v>1776</v>
      </c>
      <c r="F107" s="176" t="s">
        <v>6</v>
      </c>
      <c r="G107" s="346">
        <v>2.8999999999999998E-3</v>
      </c>
      <c r="H107" s="283">
        <f>VLOOKUP(D107,upahbahan,3,FALSE)</f>
        <v>150000</v>
      </c>
      <c r="I107" s="284">
        <f t="shared" si="5"/>
        <v>434.99999999999994</v>
      </c>
      <c r="J107" s="119"/>
      <c r="K107" s="119"/>
      <c r="L107" s="119"/>
    </row>
    <row r="108" spans="3:16" s="59" customFormat="1" ht="20.399999999999999" customHeight="1">
      <c r="C108" s="281">
        <v>4</v>
      </c>
      <c r="D108" s="182" t="s">
        <v>19</v>
      </c>
      <c r="E108" s="176" t="s">
        <v>1777</v>
      </c>
      <c r="F108" s="176" t="s">
        <v>6</v>
      </c>
      <c r="G108" s="346">
        <v>1E-3</v>
      </c>
      <c r="H108" s="283">
        <f>VLOOKUP(D108,upahbahan,3,FALSE)</f>
        <v>160000</v>
      </c>
      <c r="I108" s="284">
        <f t="shared" si="5"/>
        <v>160</v>
      </c>
      <c r="J108" s="119"/>
      <c r="K108" s="119"/>
      <c r="L108" s="119"/>
    </row>
    <row r="109" spans="3:16" s="280" customFormat="1" ht="20.399999999999999" customHeight="1">
      <c r="C109" s="66" t="s">
        <v>1208</v>
      </c>
      <c r="D109" s="67"/>
      <c r="E109" s="67"/>
      <c r="F109" s="67"/>
      <c r="G109" s="343"/>
      <c r="H109" s="69"/>
      <c r="I109" s="284">
        <f>SUM(I105:I108)</f>
        <v>7316</v>
      </c>
      <c r="J109" s="119"/>
      <c r="K109" s="119"/>
      <c r="L109" s="119"/>
    </row>
    <row r="110" spans="3:16" s="280" customFormat="1" ht="20.399999999999999" customHeight="1">
      <c r="C110" s="290" t="s">
        <v>1209</v>
      </c>
      <c r="D110" s="182" t="s">
        <v>1210</v>
      </c>
      <c r="E110" s="182"/>
      <c r="F110" s="70"/>
      <c r="G110" s="124"/>
      <c r="H110" s="70"/>
      <c r="I110" s="71"/>
      <c r="J110" s="119"/>
      <c r="K110" s="119"/>
      <c r="L110" s="119"/>
    </row>
    <row r="111" spans="3:16" s="280" customFormat="1" ht="20.399999999999999" customHeight="1">
      <c r="C111" s="290">
        <v>1</v>
      </c>
      <c r="D111" s="182" t="s">
        <v>5247</v>
      </c>
      <c r="E111" s="182"/>
      <c r="F111" s="124" t="s">
        <v>65</v>
      </c>
      <c r="G111" s="341">
        <v>1.1499999999999999</v>
      </c>
      <c r="H111" s="185">
        <f>VLOOKUP(D111,upahbahan,3,FALSE)</f>
        <v>0</v>
      </c>
      <c r="I111" s="317">
        <f>G111*H111</f>
        <v>0</v>
      </c>
      <c r="J111" s="119"/>
      <c r="K111" s="119"/>
      <c r="L111" s="119"/>
    </row>
    <row r="112" spans="3:16" s="280" customFormat="1" ht="20.399999999999999" customHeight="1">
      <c r="C112" s="66" t="s">
        <v>1214</v>
      </c>
      <c r="D112" s="67"/>
      <c r="E112" s="67"/>
      <c r="F112" s="67"/>
      <c r="G112" s="111"/>
      <c r="H112" s="69"/>
      <c r="I112" s="284">
        <f>SUM(I111:I111)</f>
        <v>0</v>
      </c>
      <c r="J112" s="119"/>
      <c r="K112" s="119"/>
      <c r="L112" s="119"/>
    </row>
    <row r="113" spans="3:12" s="280" customFormat="1" ht="20.399999999999999" customHeight="1">
      <c r="C113" s="290" t="s">
        <v>1215</v>
      </c>
      <c r="D113" s="182" t="s">
        <v>1216</v>
      </c>
      <c r="E113" s="182"/>
      <c r="F113" s="70"/>
      <c r="G113" s="124"/>
      <c r="H113" s="70"/>
      <c r="I113" s="71"/>
      <c r="J113" s="119"/>
      <c r="K113" s="119"/>
      <c r="L113" s="119"/>
    </row>
    <row r="114" spans="3:12" s="280" customFormat="1" ht="20.399999999999999" customHeight="1">
      <c r="C114" s="66" t="s">
        <v>1217</v>
      </c>
      <c r="D114" s="67"/>
      <c r="E114" s="67"/>
      <c r="F114" s="67"/>
      <c r="G114" s="111"/>
      <c r="H114" s="69"/>
      <c r="I114" s="292">
        <v>0</v>
      </c>
      <c r="J114" s="119"/>
      <c r="K114" s="119"/>
      <c r="L114" s="119"/>
    </row>
    <row r="115" spans="3:12" s="297" customFormat="1" ht="20.399999999999999" customHeight="1">
      <c r="C115" s="293" t="s">
        <v>1218</v>
      </c>
      <c r="D115" s="294" t="s">
        <v>1219</v>
      </c>
      <c r="E115" s="295"/>
      <c r="F115" s="295"/>
      <c r="G115" s="348"/>
      <c r="H115" s="296"/>
      <c r="I115" s="284">
        <f>I114+I112+I109</f>
        <v>7316</v>
      </c>
      <c r="J115" s="119"/>
      <c r="K115" s="119"/>
      <c r="L115" s="119"/>
    </row>
    <row r="116" spans="3:12" s="297" customFormat="1" ht="20.399999999999999" customHeight="1">
      <c r="C116" s="293" t="s">
        <v>1220</v>
      </c>
      <c r="D116" s="294" t="s">
        <v>1321</v>
      </c>
      <c r="E116" s="295"/>
      <c r="F116" s="295"/>
      <c r="G116" s="349"/>
      <c r="H116" s="298">
        <f>$P$7</f>
        <v>0.1</v>
      </c>
      <c r="I116" s="284">
        <f>I115*H116</f>
        <v>731.6</v>
      </c>
      <c r="J116" s="119"/>
      <c r="K116" s="119"/>
      <c r="L116" s="119"/>
    </row>
    <row r="117" spans="3:12" s="297" customFormat="1" ht="20.399999999999999" customHeight="1" thickBot="1">
      <c r="C117" s="299" t="s">
        <v>1221</v>
      </c>
      <c r="D117" s="300" t="s">
        <v>1222</v>
      </c>
      <c r="E117" s="301"/>
      <c r="F117" s="301"/>
      <c r="G117" s="350"/>
      <c r="H117" s="302"/>
      <c r="I117" s="303">
        <f>SUM(I115:I116)</f>
        <v>8047.6</v>
      </c>
      <c r="J117" s="119"/>
      <c r="K117" s="119"/>
      <c r="L117" s="119"/>
    </row>
    <row r="118" spans="3:12" ht="13.8" thickTop="1"/>
    <row r="120" spans="3:12" ht="13.8">
      <c r="C120" s="126"/>
      <c r="D120" s="138"/>
    </row>
    <row r="121" spans="3:12">
      <c r="C121" s="121"/>
      <c r="D121" s="1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N470"/>
  <sheetViews>
    <sheetView topLeftCell="A19" zoomScale="75" zoomScaleNormal="75" workbookViewId="0">
      <selection activeCell="A581" sqref="A581:XFD599"/>
    </sheetView>
  </sheetViews>
  <sheetFormatPr defaultRowHeight="13.2"/>
  <cols>
    <col min="1" max="1" width="3" style="122" customWidth="1"/>
    <col min="2" max="2" width="2.88671875" style="122" customWidth="1"/>
    <col min="3" max="3" width="9.33203125" style="122" customWidth="1"/>
    <col min="4" max="4" width="30.109375" style="122" customWidth="1"/>
    <col min="5" max="5" width="8.88671875" style="122"/>
    <col min="6" max="6" width="11" style="122" customWidth="1"/>
    <col min="7" max="7" width="10.88671875" style="122" customWidth="1"/>
    <col min="8" max="8" width="13.6640625" style="122" customWidth="1"/>
    <col min="9" max="9" width="16.88671875" style="122" customWidth="1"/>
    <col min="10" max="10" width="15.33203125" style="122" customWidth="1"/>
    <col min="11" max="16384" width="8.88671875" style="122"/>
  </cols>
  <sheetData>
    <row r="1" spans="3:14" ht="19.8" customHeight="1"/>
    <row r="2" spans="3:14" ht="19.8" customHeight="1">
      <c r="C2" s="368">
        <v>2.4</v>
      </c>
      <c r="D2" s="121" t="s">
        <v>5248</v>
      </c>
    </row>
    <row r="3" spans="3:14" ht="19.8" customHeight="1">
      <c r="C3" s="368" t="s">
        <v>5249</v>
      </c>
      <c r="D3" s="121" t="s">
        <v>2464</v>
      </c>
    </row>
    <row r="4" spans="3:14" s="280" customFormat="1" ht="29.25" customHeight="1" thickBot="1">
      <c r="C4" s="126" t="s">
        <v>2465</v>
      </c>
      <c r="D4" s="123" t="s">
        <v>2466</v>
      </c>
      <c r="E4" s="123"/>
      <c r="F4" s="123"/>
      <c r="G4" s="123"/>
      <c r="H4" s="123"/>
      <c r="I4" s="123"/>
      <c r="J4" s="120">
        <f>ROUNDDOWN(I24,-2)</f>
        <v>192700</v>
      </c>
    </row>
    <row r="5" spans="3:14" s="289" customFormat="1" ht="31.65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</row>
    <row r="6" spans="3:14" s="280" customFormat="1" ht="22.2" customHeight="1">
      <c r="C6" s="290" t="s">
        <v>1201</v>
      </c>
      <c r="D6" s="182" t="s">
        <v>1202</v>
      </c>
      <c r="E6" s="182"/>
      <c r="F6" s="70"/>
      <c r="G6" s="70"/>
      <c r="H6" s="70"/>
      <c r="I6" s="71"/>
      <c r="J6" s="119"/>
      <c r="K6" s="59" t="s">
        <v>1247</v>
      </c>
      <c r="L6" s="59"/>
      <c r="M6" s="59"/>
      <c r="N6" s="59"/>
    </row>
    <row r="7" spans="3:14" s="280" customFormat="1" ht="22.2" customHeight="1">
      <c r="C7" s="281">
        <v>1</v>
      </c>
      <c r="D7" s="182" t="s">
        <v>5</v>
      </c>
      <c r="E7" s="176" t="s">
        <v>1774</v>
      </c>
      <c r="F7" s="176" t="s">
        <v>6</v>
      </c>
      <c r="G7" s="315">
        <v>7.0000000000000001E-3</v>
      </c>
      <c r="H7" s="283">
        <f>VLOOKUP(D7,upahbahan,3,FALSE)</f>
        <v>100000</v>
      </c>
      <c r="I7" s="284">
        <f>G7*H7</f>
        <v>700</v>
      </c>
      <c r="J7" s="119"/>
      <c r="K7" s="59" t="s">
        <v>1248</v>
      </c>
      <c r="L7" s="59"/>
      <c r="M7" s="59"/>
      <c r="N7" s="65">
        <v>0.1</v>
      </c>
    </row>
    <row r="8" spans="3:14" s="280" customFormat="1" ht="22.2" customHeight="1">
      <c r="C8" s="281">
        <v>2</v>
      </c>
      <c r="D8" s="182" t="s">
        <v>8</v>
      </c>
      <c r="E8" s="176" t="s">
        <v>1775</v>
      </c>
      <c r="F8" s="176" t="s">
        <v>6</v>
      </c>
      <c r="G8" s="315">
        <v>7.5999999999999998E-2</v>
      </c>
      <c r="H8" s="283">
        <f>VLOOKUP(D8,upahbahan,3,FALSE)</f>
        <v>135000</v>
      </c>
      <c r="I8" s="284">
        <f t="shared" ref="I8:I10" si="0">G8*H8</f>
        <v>10260</v>
      </c>
      <c r="J8" s="119"/>
      <c r="K8" s="59"/>
      <c r="L8" s="59"/>
      <c r="M8" s="59"/>
      <c r="N8" s="65"/>
    </row>
    <row r="9" spans="3:14" s="59" customFormat="1" ht="22.2" customHeight="1">
      <c r="C9" s="281">
        <v>3</v>
      </c>
      <c r="D9" s="182" t="s">
        <v>18</v>
      </c>
      <c r="E9" s="176" t="s">
        <v>1776</v>
      </c>
      <c r="F9" s="176" t="s">
        <v>6</v>
      </c>
      <c r="G9" s="315">
        <v>8.0000000000000002E-3</v>
      </c>
      <c r="H9" s="283">
        <f>VLOOKUP(D9,upahbahan,3,FALSE)</f>
        <v>150000</v>
      </c>
      <c r="I9" s="284">
        <f t="shared" si="0"/>
        <v>1200</v>
      </c>
      <c r="J9" s="119"/>
    </row>
    <row r="10" spans="3:14" s="59" customFormat="1" ht="22.2" customHeight="1">
      <c r="C10" s="281">
        <v>4</v>
      </c>
      <c r="D10" s="182" t="s">
        <v>19</v>
      </c>
      <c r="E10" s="176" t="s">
        <v>1777</v>
      </c>
      <c r="F10" s="176" t="s">
        <v>6</v>
      </c>
      <c r="G10" s="315">
        <v>3.0000000000000001E-3</v>
      </c>
      <c r="H10" s="283">
        <f>VLOOKUP(D10,upahbahan,3,FALSE)</f>
        <v>160000</v>
      </c>
      <c r="I10" s="284">
        <f t="shared" si="0"/>
        <v>480</v>
      </c>
      <c r="J10" s="119"/>
    </row>
    <row r="11" spans="3:14" s="280" customFormat="1" ht="22.2" customHeight="1">
      <c r="C11" s="66" t="s">
        <v>1208</v>
      </c>
      <c r="D11" s="67"/>
      <c r="E11" s="67"/>
      <c r="F11" s="67"/>
      <c r="G11" s="68"/>
      <c r="H11" s="69"/>
      <c r="I11" s="284">
        <f>SUM(I7:I10)</f>
        <v>12640</v>
      </c>
      <c r="J11" s="119"/>
    </row>
    <row r="12" spans="3:14" s="280" customFormat="1" ht="22.2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  <c r="J12" s="119"/>
    </row>
    <row r="13" spans="3:14" s="280" customFormat="1" ht="22.2" customHeight="1">
      <c r="C13" s="290">
        <v>1</v>
      </c>
      <c r="D13" s="182" t="s">
        <v>5252</v>
      </c>
      <c r="E13" s="182"/>
      <c r="F13" s="124" t="s">
        <v>42</v>
      </c>
      <c r="G13" s="118">
        <v>8.0000000000000002E-3</v>
      </c>
      <c r="H13" s="283">
        <f t="shared" ref="H13:H18" si="1">VLOOKUP(D13,upahbahan,3,FALSE)</f>
        <v>805000</v>
      </c>
      <c r="I13" s="284">
        <f t="shared" ref="I13:I18" si="2">G13*H13</f>
        <v>6440</v>
      </c>
      <c r="J13" s="119"/>
    </row>
    <row r="14" spans="3:14" s="280" customFormat="1" ht="22.2" customHeight="1">
      <c r="C14" s="290">
        <v>2</v>
      </c>
      <c r="D14" s="182" t="s">
        <v>221</v>
      </c>
      <c r="E14" s="182"/>
      <c r="F14" s="124" t="s">
        <v>2426</v>
      </c>
      <c r="G14" s="118">
        <v>9.3940000000000001</v>
      </c>
      <c r="H14" s="283">
        <f t="shared" si="1"/>
        <v>13800</v>
      </c>
      <c r="I14" s="284">
        <f t="shared" si="2"/>
        <v>129637.2</v>
      </c>
      <c r="J14" s="119"/>
    </row>
    <row r="15" spans="3:14" s="280" customFormat="1" ht="22.2" customHeight="1">
      <c r="C15" s="290">
        <v>3</v>
      </c>
      <c r="D15" s="182" t="s">
        <v>2467</v>
      </c>
      <c r="E15" s="182"/>
      <c r="F15" s="124" t="s">
        <v>42</v>
      </c>
      <c r="G15" s="118">
        <v>5.0000000000000001E-3</v>
      </c>
      <c r="H15" s="283">
        <f t="shared" si="1"/>
        <v>2250000</v>
      </c>
      <c r="I15" s="284">
        <f t="shared" si="2"/>
        <v>11250</v>
      </c>
      <c r="J15" s="119"/>
    </row>
    <row r="16" spans="3:14" s="280" customFormat="1" ht="22.2" customHeight="1">
      <c r="C16" s="290"/>
      <c r="D16" s="182" t="s">
        <v>133</v>
      </c>
      <c r="E16" s="182"/>
      <c r="F16" s="124" t="s">
        <v>2468</v>
      </c>
      <c r="G16" s="118">
        <v>0.08</v>
      </c>
      <c r="H16" s="283">
        <f t="shared" si="1"/>
        <v>0</v>
      </c>
      <c r="I16" s="284">
        <f t="shared" si="2"/>
        <v>0</v>
      </c>
      <c r="J16" s="119"/>
    </row>
    <row r="17" spans="3:14" s="280" customFormat="1" ht="22.2" customHeight="1">
      <c r="C17" s="290">
        <v>4</v>
      </c>
      <c r="D17" s="182" t="s">
        <v>755</v>
      </c>
      <c r="E17" s="182"/>
      <c r="F17" s="124" t="s">
        <v>2469</v>
      </c>
      <c r="G17" s="118">
        <v>0.2</v>
      </c>
      <c r="H17" s="283">
        <f t="shared" si="1"/>
        <v>76500</v>
      </c>
      <c r="I17" s="284">
        <f t="shared" si="2"/>
        <v>15300</v>
      </c>
      <c r="J17" s="119"/>
    </row>
    <row r="18" spans="3:14" s="280" customFormat="1" ht="22.2" customHeight="1">
      <c r="C18" s="290">
        <v>5</v>
      </c>
      <c r="D18" s="182" t="s">
        <v>239</v>
      </c>
      <c r="E18" s="182"/>
      <c r="F18" s="124" t="s">
        <v>2167</v>
      </c>
      <c r="G18" s="125">
        <v>3.8820000000000001</v>
      </c>
      <c r="H18" s="283">
        <f t="shared" si="1"/>
        <v>0</v>
      </c>
      <c r="I18" s="284">
        <f t="shared" si="2"/>
        <v>0</v>
      </c>
      <c r="J18" s="119"/>
    </row>
    <row r="19" spans="3:14" s="280" customFormat="1" ht="22.2" customHeight="1">
      <c r="C19" s="66" t="s">
        <v>1214</v>
      </c>
      <c r="D19" s="67"/>
      <c r="E19" s="67"/>
      <c r="F19" s="67"/>
      <c r="G19" s="67"/>
      <c r="H19" s="69"/>
      <c r="I19" s="284">
        <f>SUM(I13:I18)</f>
        <v>162627.20000000001</v>
      </c>
      <c r="J19" s="119"/>
    </row>
    <row r="20" spans="3:14" s="280" customFormat="1" ht="22.2" customHeight="1">
      <c r="C20" s="290" t="s">
        <v>1215</v>
      </c>
      <c r="D20" s="182" t="s">
        <v>1216</v>
      </c>
      <c r="E20" s="182"/>
      <c r="F20" s="70"/>
      <c r="G20" s="70"/>
      <c r="H20" s="70"/>
      <c r="I20" s="71"/>
      <c r="J20" s="119"/>
    </row>
    <row r="21" spans="3:14" s="280" customFormat="1" ht="22.2" customHeight="1">
      <c r="C21" s="66" t="s">
        <v>1217</v>
      </c>
      <c r="D21" s="67"/>
      <c r="E21" s="67"/>
      <c r="F21" s="67"/>
      <c r="G21" s="67"/>
      <c r="H21" s="69"/>
      <c r="I21" s="292">
        <v>0</v>
      </c>
      <c r="J21" s="119"/>
    </row>
    <row r="22" spans="3:14" s="297" customFormat="1" ht="22.2" customHeight="1">
      <c r="C22" s="293" t="s">
        <v>1218</v>
      </c>
      <c r="D22" s="294" t="s">
        <v>1219</v>
      </c>
      <c r="E22" s="295"/>
      <c r="F22" s="295"/>
      <c r="G22" s="295"/>
      <c r="H22" s="296"/>
      <c r="I22" s="284">
        <f>I21+I19+I11</f>
        <v>175267.20000000001</v>
      </c>
      <c r="J22" s="119"/>
    </row>
    <row r="23" spans="3:14" s="297" customFormat="1" ht="22.2" customHeight="1">
      <c r="C23" s="293" t="s">
        <v>1220</v>
      </c>
      <c r="D23" s="294" t="s">
        <v>1321</v>
      </c>
      <c r="E23" s="295"/>
      <c r="F23" s="295"/>
      <c r="G23" s="296"/>
      <c r="H23" s="298">
        <v>0.1</v>
      </c>
      <c r="I23" s="284">
        <f>I22*H23</f>
        <v>17526.72</v>
      </c>
      <c r="J23" s="119"/>
    </row>
    <row r="24" spans="3:14" s="297" customFormat="1" ht="22.2" customHeight="1" thickBot="1">
      <c r="C24" s="299" t="s">
        <v>1221</v>
      </c>
      <c r="D24" s="300" t="s">
        <v>1222</v>
      </c>
      <c r="E24" s="301"/>
      <c r="F24" s="301"/>
      <c r="G24" s="301"/>
      <c r="H24" s="302"/>
      <c r="I24" s="303">
        <f>SUM(I22:I23)</f>
        <v>192793.92</v>
      </c>
      <c r="J24" s="119"/>
    </row>
    <row r="25" spans="3:14" ht="13.8" thickTop="1"/>
    <row r="27" spans="3:14" s="280" customFormat="1" ht="23.25" customHeight="1" thickBot="1">
      <c r="C27" s="126" t="s">
        <v>2470</v>
      </c>
      <c r="D27" s="123" t="s">
        <v>2471</v>
      </c>
      <c r="E27" s="123"/>
      <c r="F27" s="123"/>
      <c r="G27" s="123"/>
      <c r="H27" s="123"/>
      <c r="I27" s="123"/>
      <c r="J27" s="120">
        <f>ROUNDDOWN(I46,-2)</f>
        <v>37800</v>
      </c>
    </row>
    <row r="28" spans="3:14" s="289" customFormat="1" ht="31.65" customHeight="1" thickTop="1">
      <c r="C28" s="51" t="s">
        <v>1195</v>
      </c>
      <c r="D28" s="52" t="s">
        <v>1196</v>
      </c>
      <c r="E28" s="52" t="s">
        <v>1906</v>
      </c>
      <c r="F28" s="52" t="s">
        <v>1197</v>
      </c>
      <c r="G28" s="52" t="s">
        <v>1198</v>
      </c>
      <c r="H28" s="52" t="s">
        <v>1199</v>
      </c>
      <c r="I28" s="53" t="s">
        <v>1200</v>
      </c>
      <c r="J28" s="126"/>
    </row>
    <row r="29" spans="3:14" s="280" customFormat="1" ht="19.8" customHeight="1">
      <c r="C29" s="290" t="s">
        <v>1201</v>
      </c>
      <c r="D29" s="182" t="s">
        <v>1202</v>
      </c>
      <c r="E29" s="182"/>
      <c r="F29" s="70"/>
      <c r="G29" s="70"/>
      <c r="H29" s="70"/>
      <c r="I29" s="71"/>
      <c r="J29" s="119"/>
      <c r="K29" s="59" t="s">
        <v>1247</v>
      </c>
      <c r="L29" s="59"/>
      <c r="M29" s="59"/>
      <c r="N29" s="59"/>
    </row>
    <row r="30" spans="3:14" s="280" customFormat="1" ht="19.8" customHeight="1">
      <c r="C30" s="281">
        <v>1</v>
      </c>
      <c r="D30" s="182" t="s">
        <v>5</v>
      </c>
      <c r="E30" s="176" t="s">
        <v>1774</v>
      </c>
      <c r="F30" s="176" t="s">
        <v>6</v>
      </c>
      <c r="G30" s="315">
        <v>4.0000000000000001E-3</v>
      </c>
      <c r="H30" s="283">
        <f>VLOOKUP(D30,upahbahan,3,FALSE)</f>
        <v>100000</v>
      </c>
      <c r="I30" s="284">
        <f>G30*H30</f>
        <v>400</v>
      </c>
      <c r="J30" s="119"/>
      <c r="K30" s="59" t="s">
        <v>1248</v>
      </c>
      <c r="L30" s="59"/>
      <c r="M30" s="59"/>
      <c r="N30" s="65">
        <v>0.1</v>
      </c>
    </row>
    <row r="31" spans="3:14" s="280" customFormat="1" ht="19.8" customHeight="1">
      <c r="C31" s="281">
        <v>2</v>
      </c>
      <c r="D31" s="182" t="s">
        <v>8</v>
      </c>
      <c r="E31" s="176" t="s">
        <v>1775</v>
      </c>
      <c r="F31" s="176" t="s">
        <v>6</v>
      </c>
      <c r="G31" s="315">
        <v>3.7999999999999999E-2</v>
      </c>
      <c r="H31" s="283">
        <f>VLOOKUP(D31,upahbahan,3,FALSE)</f>
        <v>135000</v>
      </c>
      <c r="I31" s="284">
        <f t="shared" ref="I31:I33" si="3">G31*H31</f>
        <v>5130</v>
      </c>
      <c r="J31" s="119"/>
      <c r="K31" s="59"/>
      <c r="L31" s="59"/>
      <c r="M31" s="59"/>
      <c r="N31" s="65"/>
    </row>
    <row r="32" spans="3:14" s="59" customFormat="1" ht="19.8" customHeight="1">
      <c r="C32" s="281">
        <v>3</v>
      </c>
      <c r="D32" s="182" t="s">
        <v>18</v>
      </c>
      <c r="E32" s="176" t="s">
        <v>1776</v>
      </c>
      <c r="F32" s="176" t="s">
        <v>6</v>
      </c>
      <c r="G32" s="315">
        <v>4.0000000000000001E-3</v>
      </c>
      <c r="H32" s="283">
        <f>VLOOKUP(D32,upahbahan,3,FALSE)</f>
        <v>150000</v>
      </c>
      <c r="I32" s="284">
        <f t="shared" si="3"/>
        <v>600</v>
      </c>
      <c r="J32" s="119"/>
    </row>
    <row r="33" spans="3:10" s="59" customFormat="1" ht="19.8" customHeight="1">
      <c r="C33" s="281">
        <v>4</v>
      </c>
      <c r="D33" s="182" t="s">
        <v>19</v>
      </c>
      <c r="E33" s="176" t="s">
        <v>1777</v>
      </c>
      <c r="F33" s="176" t="s">
        <v>6</v>
      </c>
      <c r="G33" s="315">
        <v>1E-3</v>
      </c>
      <c r="H33" s="283">
        <f>VLOOKUP(D33,upahbahan,3,FALSE)</f>
        <v>160000</v>
      </c>
      <c r="I33" s="284">
        <f t="shared" si="3"/>
        <v>160</v>
      </c>
      <c r="J33" s="119"/>
    </row>
    <row r="34" spans="3:10" s="280" customFormat="1" ht="19.8" customHeight="1">
      <c r="C34" s="66" t="s">
        <v>1208</v>
      </c>
      <c r="D34" s="67"/>
      <c r="E34" s="67"/>
      <c r="F34" s="67"/>
      <c r="G34" s="68"/>
      <c r="H34" s="69"/>
      <c r="I34" s="284">
        <f>SUM(I30:I33)</f>
        <v>6290</v>
      </c>
      <c r="J34" s="119"/>
    </row>
    <row r="35" spans="3:10" s="280" customFormat="1" ht="19.8" customHeight="1">
      <c r="C35" s="290" t="s">
        <v>1209</v>
      </c>
      <c r="D35" s="182" t="s">
        <v>1210</v>
      </c>
      <c r="E35" s="182"/>
      <c r="F35" s="70"/>
      <c r="G35" s="70"/>
      <c r="H35" s="70"/>
      <c r="I35" s="71"/>
      <c r="J35" s="119"/>
    </row>
    <row r="36" spans="3:10" s="280" customFormat="1" ht="19.8" customHeight="1">
      <c r="C36" s="290">
        <v>1</v>
      </c>
      <c r="D36" s="182" t="s">
        <v>2467</v>
      </c>
      <c r="E36" s="182"/>
      <c r="F36" s="124" t="s">
        <v>42</v>
      </c>
      <c r="G36" s="118">
        <v>5.0000000000000001E-3</v>
      </c>
      <c r="H36" s="283">
        <f>VLOOKUP(D36,upahbahan,3,FALSE)</f>
        <v>2250000</v>
      </c>
      <c r="I36" s="284">
        <f t="shared" ref="I36:I40" si="4">G36*H36</f>
        <v>11250</v>
      </c>
      <c r="J36" s="119"/>
    </row>
    <row r="37" spans="3:10" s="280" customFormat="1" ht="19.8" customHeight="1">
      <c r="C37" s="290">
        <v>2</v>
      </c>
      <c r="D37" s="182" t="s">
        <v>133</v>
      </c>
      <c r="E37" s="182"/>
      <c r="F37" s="124" t="s">
        <v>2468</v>
      </c>
      <c r="G37" s="118">
        <v>4.2999999999999997E-2</v>
      </c>
      <c r="H37" s="283">
        <f>VLOOKUP(D37,upahbahan,3,FALSE)</f>
        <v>0</v>
      </c>
      <c r="I37" s="284">
        <f t="shared" si="4"/>
        <v>0</v>
      </c>
      <c r="J37" s="119"/>
    </row>
    <row r="38" spans="3:10" s="280" customFormat="1" ht="19.8" customHeight="1">
      <c r="C38" s="290">
        <v>3</v>
      </c>
      <c r="D38" s="182" t="s">
        <v>755</v>
      </c>
      <c r="E38" s="182"/>
      <c r="F38" s="124" t="s">
        <v>2469</v>
      </c>
      <c r="G38" s="118">
        <v>0.2</v>
      </c>
      <c r="H38" s="283">
        <f>VLOOKUP(D38,upahbahan,3,FALSE)</f>
        <v>76500</v>
      </c>
      <c r="I38" s="284">
        <f t="shared" si="4"/>
        <v>15300</v>
      </c>
      <c r="J38" s="119"/>
    </row>
    <row r="39" spans="3:10" s="280" customFormat="1" ht="19.8" customHeight="1">
      <c r="C39" s="290">
        <v>4</v>
      </c>
      <c r="D39" s="182" t="s">
        <v>261</v>
      </c>
      <c r="E39" s="182"/>
      <c r="F39" s="124" t="s">
        <v>2426</v>
      </c>
      <c r="G39" s="118">
        <v>4.5999999999999999E-2</v>
      </c>
      <c r="H39" s="283">
        <f>VLOOKUP(D39,upahbahan,3,FALSE)</f>
        <v>33901.875</v>
      </c>
      <c r="I39" s="284">
        <f t="shared" si="4"/>
        <v>1559.4862499999999</v>
      </c>
      <c r="J39" s="119"/>
    </row>
    <row r="40" spans="3:10" s="280" customFormat="1" ht="19.8" customHeight="1">
      <c r="C40" s="290">
        <v>5</v>
      </c>
      <c r="D40" s="182" t="s">
        <v>239</v>
      </c>
      <c r="E40" s="182"/>
      <c r="F40" s="124" t="s">
        <v>2167</v>
      </c>
      <c r="G40" s="125">
        <v>0.69299999999999995</v>
      </c>
      <c r="H40" s="283">
        <f>VLOOKUP(D40,upahbahan,3,FALSE)</f>
        <v>0</v>
      </c>
      <c r="I40" s="284">
        <f t="shared" si="4"/>
        <v>0</v>
      </c>
      <c r="J40" s="119"/>
    </row>
    <row r="41" spans="3:10" s="280" customFormat="1" ht="19.8" customHeight="1">
      <c r="C41" s="66" t="s">
        <v>1214</v>
      </c>
      <c r="D41" s="67"/>
      <c r="E41" s="67"/>
      <c r="F41" s="67"/>
      <c r="G41" s="67"/>
      <c r="H41" s="69"/>
      <c r="I41" s="284">
        <f>SUM(I36:I40)</f>
        <v>28109.486250000002</v>
      </c>
      <c r="J41" s="119"/>
    </row>
    <row r="42" spans="3:10" s="280" customFormat="1" ht="19.8" customHeight="1">
      <c r="C42" s="290" t="s">
        <v>1215</v>
      </c>
      <c r="D42" s="182" t="s">
        <v>1216</v>
      </c>
      <c r="E42" s="182"/>
      <c r="F42" s="70"/>
      <c r="G42" s="70"/>
      <c r="H42" s="70"/>
      <c r="I42" s="71"/>
      <c r="J42" s="119"/>
    </row>
    <row r="43" spans="3:10" s="280" customFormat="1" ht="19.8" customHeight="1">
      <c r="C43" s="66" t="s">
        <v>1217</v>
      </c>
      <c r="D43" s="67"/>
      <c r="E43" s="67"/>
      <c r="F43" s="67"/>
      <c r="G43" s="67"/>
      <c r="H43" s="69"/>
      <c r="I43" s="292">
        <v>0</v>
      </c>
      <c r="J43" s="119"/>
    </row>
    <row r="44" spans="3:10" s="297" customFormat="1" ht="19.8" customHeight="1">
      <c r="C44" s="293" t="s">
        <v>1218</v>
      </c>
      <c r="D44" s="294" t="s">
        <v>1219</v>
      </c>
      <c r="E44" s="295"/>
      <c r="F44" s="295"/>
      <c r="G44" s="295"/>
      <c r="H44" s="296"/>
      <c r="I44" s="284">
        <f>I43+I41+I34</f>
        <v>34399.486250000002</v>
      </c>
      <c r="J44" s="119"/>
    </row>
    <row r="45" spans="3:10" s="297" customFormat="1" ht="19.8" customHeight="1">
      <c r="C45" s="293" t="s">
        <v>1220</v>
      </c>
      <c r="D45" s="294" t="s">
        <v>1321</v>
      </c>
      <c r="E45" s="295"/>
      <c r="F45" s="295"/>
      <c r="G45" s="296"/>
      <c r="H45" s="298">
        <v>0.1</v>
      </c>
      <c r="I45" s="284">
        <f>I44*H45</f>
        <v>3439.9486250000004</v>
      </c>
      <c r="J45" s="119"/>
    </row>
    <row r="46" spans="3:10" s="297" customFormat="1" ht="19.8" customHeight="1" thickBot="1">
      <c r="C46" s="299" t="s">
        <v>1221</v>
      </c>
      <c r="D46" s="300" t="s">
        <v>1222</v>
      </c>
      <c r="E46" s="301"/>
      <c r="F46" s="301"/>
      <c r="G46" s="301"/>
      <c r="H46" s="302"/>
      <c r="I46" s="303">
        <f>SUM(I44:I45)</f>
        <v>37839.434874999999</v>
      </c>
      <c r="J46" s="119"/>
    </row>
    <row r="47" spans="3:10" ht="13.8" thickTop="1"/>
    <row r="49" spans="3:14" s="280" customFormat="1" ht="23.25" customHeight="1" thickBot="1">
      <c r="C49" s="126" t="s">
        <v>2472</v>
      </c>
      <c r="D49" s="123" t="s">
        <v>2473</v>
      </c>
      <c r="E49" s="123"/>
      <c r="F49" s="123"/>
      <c r="G49" s="123"/>
      <c r="H49" s="123"/>
      <c r="I49" s="123"/>
      <c r="J49" s="120">
        <f>ROUNDDOWN(I68,-2)</f>
        <v>25400</v>
      </c>
    </row>
    <row r="50" spans="3:14" s="289" customFormat="1" ht="31.65" customHeight="1" thickTop="1">
      <c r="C50" s="51" t="s">
        <v>1195</v>
      </c>
      <c r="D50" s="52" t="s">
        <v>1196</v>
      </c>
      <c r="E50" s="52" t="s">
        <v>1906</v>
      </c>
      <c r="F50" s="52" t="s">
        <v>1197</v>
      </c>
      <c r="G50" s="52" t="s">
        <v>1198</v>
      </c>
      <c r="H50" s="52" t="s">
        <v>1199</v>
      </c>
      <c r="I50" s="53" t="s">
        <v>1200</v>
      </c>
      <c r="J50" s="126"/>
    </row>
    <row r="51" spans="3:14" s="280" customFormat="1" ht="19.2" customHeight="1">
      <c r="C51" s="290" t="s">
        <v>1201</v>
      </c>
      <c r="D51" s="182" t="s">
        <v>1202</v>
      </c>
      <c r="E51" s="182"/>
      <c r="F51" s="70"/>
      <c r="G51" s="70"/>
      <c r="H51" s="70"/>
      <c r="I51" s="71"/>
      <c r="J51" s="119"/>
      <c r="K51" s="59" t="s">
        <v>1247</v>
      </c>
      <c r="L51" s="59"/>
      <c r="M51" s="59"/>
      <c r="N51" s="59"/>
    </row>
    <row r="52" spans="3:14" s="280" customFormat="1" ht="19.2" customHeight="1">
      <c r="C52" s="281">
        <v>1</v>
      </c>
      <c r="D52" s="182" t="s">
        <v>5</v>
      </c>
      <c r="E52" s="176" t="s">
        <v>1774</v>
      </c>
      <c r="F52" s="176" t="s">
        <v>6</v>
      </c>
      <c r="G52" s="315">
        <v>4.0000000000000001E-3</v>
      </c>
      <c r="H52" s="283">
        <f>VLOOKUP(D52,upahbahan,3,FALSE)</f>
        <v>100000</v>
      </c>
      <c r="I52" s="284">
        <f>G52*H52</f>
        <v>400</v>
      </c>
      <c r="J52" s="119"/>
      <c r="K52" s="59" t="s">
        <v>1248</v>
      </c>
      <c r="L52" s="59"/>
      <c r="M52" s="59"/>
      <c r="N52" s="65">
        <v>0.1</v>
      </c>
    </row>
    <row r="53" spans="3:14" s="280" customFormat="1" ht="19.2" customHeight="1">
      <c r="C53" s="281">
        <v>2</v>
      </c>
      <c r="D53" s="182" t="s">
        <v>8</v>
      </c>
      <c r="E53" s="176" t="s">
        <v>1775</v>
      </c>
      <c r="F53" s="176" t="s">
        <v>6</v>
      </c>
      <c r="G53" s="315">
        <v>3.7999999999999999E-2</v>
      </c>
      <c r="H53" s="283">
        <f>VLOOKUP(D53,upahbahan,3,FALSE)</f>
        <v>135000</v>
      </c>
      <c r="I53" s="284">
        <f t="shared" ref="I53:I55" si="5">G53*H53</f>
        <v>5130</v>
      </c>
      <c r="J53" s="119"/>
      <c r="K53" s="59"/>
      <c r="L53" s="59"/>
      <c r="M53" s="59"/>
      <c r="N53" s="65"/>
    </row>
    <row r="54" spans="3:14" s="59" customFormat="1" ht="19.2" customHeight="1">
      <c r="C54" s="281">
        <v>3</v>
      </c>
      <c r="D54" s="182" t="s">
        <v>18</v>
      </c>
      <c r="E54" s="176" t="s">
        <v>1776</v>
      </c>
      <c r="F54" s="176" t="s">
        <v>6</v>
      </c>
      <c r="G54" s="315">
        <v>4.0000000000000001E-3</v>
      </c>
      <c r="H54" s="283">
        <f>VLOOKUP(D54,upahbahan,3,FALSE)</f>
        <v>150000</v>
      </c>
      <c r="I54" s="284">
        <f t="shared" si="5"/>
        <v>600</v>
      </c>
      <c r="J54" s="119"/>
    </row>
    <row r="55" spans="3:14" s="59" customFormat="1" ht="19.2" customHeight="1">
      <c r="C55" s="281">
        <v>4</v>
      </c>
      <c r="D55" s="182" t="s">
        <v>19</v>
      </c>
      <c r="E55" s="176" t="s">
        <v>1777</v>
      </c>
      <c r="F55" s="176" t="s">
        <v>6</v>
      </c>
      <c r="G55" s="315">
        <v>1E-3</v>
      </c>
      <c r="H55" s="283">
        <f>VLOOKUP(D55,upahbahan,3,FALSE)</f>
        <v>160000</v>
      </c>
      <c r="I55" s="284">
        <f t="shared" si="5"/>
        <v>160</v>
      </c>
      <c r="J55" s="119"/>
    </row>
    <row r="56" spans="3:14" s="280" customFormat="1" ht="19.2" customHeight="1">
      <c r="C56" s="66" t="s">
        <v>1208</v>
      </c>
      <c r="D56" s="67"/>
      <c r="E56" s="67"/>
      <c r="F56" s="67"/>
      <c r="G56" s="68"/>
      <c r="H56" s="69"/>
      <c r="I56" s="284">
        <f>SUM(I52:I55)</f>
        <v>6290</v>
      </c>
      <c r="J56" s="119"/>
    </row>
    <row r="57" spans="3:14" s="280" customFormat="1" ht="19.2" customHeight="1">
      <c r="C57" s="290" t="s">
        <v>1209</v>
      </c>
      <c r="D57" s="182" t="s">
        <v>1210</v>
      </c>
      <c r="E57" s="182"/>
      <c r="F57" s="70"/>
      <c r="G57" s="70"/>
      <c r="H57" s="70"/>
      <c r="I57" s="71"/>
      <c r="J57" s="119"/>
    </row>
    <row r="58" spans="3:14" s="280" customFormat="1" ht="19.2" customHeight="1">
      <c r="C58" s="290">
        <v>1</v>
      </c>
      <c r="D58" s="182" t="s">
        <v>2474</v>
      </c>
      <c r="E58" s="182"/>
      <c r="F58" s="124" t="s">
        <v>42</v>
      </c>
      <c r="G58" s="118">
        <v>4.0000000000000001E-3</v>
      </c>
      <c r="H58" s="283">
        <f>VLOOKUP(D58,upahbahan,3,FALSE)</f>
        <v>0</v>
      </c>
      <c r="I58" s="284">
        <f t="shared" ref="I58:I62" si="6">G58*H58</f>
        <v>0</v>
      </c>
      <c r="J58" s="119"/>
    </row>
    <row r="59" spans="3:14" s="280" customFormat="1" ht="19.2" customHeight="1">
      <c r="C59" s="290">
        <v>2</v>
      </c>
      <c r="D59" s="182" t="s">
        <v>133</v>
      </c>
      <c r="E59" s="182"/>
      <c r="F59" s="124" t="s">
        <v>2468</v>
      </c>
      <c r="G59" s="118">
        <v>4.8000000000000001E-2</v>
      </c>
      <c r="H59" s="283">
        <f>VLOOKUP(D59,upahbahan,3,FALSE)</f>
        <v>0</v>
      </c>
      <c r="I59" s="284">
        <f t="shared" si="6"/>
        <v>0</v>
      </c>
      <c r="J59" s="119"/>
    </row>
    <row r="60" spans="3:14" s="280" customFormat="1" ht="19.2" customHeight="1">
      <c r="C60" s="290">
        <v>3</v>
      </c>
      <c r="D60" s="182" t="s">
        <v>755</v>
      </c>
      <c r="E60" s="182"/>
      <c r="F60" s="124" t="s">
        <v>2469</v>
      </c>
      <c r="G60" s="127">
        <v>0.2</v>
      </c>
      <c r="H60" s="283">
        <f>VLOOKUP(D60,upahbahan,3,FALSE)</f>
        <v>76500</v>
      </c>
      <c r="I60" s="284">
        <f t="shared" si="6"/>
        <v>15300</v>
      </c>
      <c r="J60" s="119"/>
    </row>
    <row r="61" spans="3:14" s="280" customFormat="1" ht="19.2" customHeight="1">
      <c r="C61" s="290">
        <v>4</v>
      </c>
      <c r="D61" s="182" t="s">
        <v>261</v>
      </c>
      <c r="E61" s="182"/>
      <c r="F61" s="124" t="s">
        <v>2426</v>
      </c>
      <c r="G61" s="118">
        <v>4.5999999999999999E-2</v>
      </c>
      <c r="H61" s="283">
        <f>VLOOKUP(D61,upahbahan,3,FALSE)</f>
        <v>33901.875</v>
      </c>
      <c r="I61" s="284">
        <f t="shared" si="6"/>
        <v>1559.4862499999999</v>
      </c>
      <c r="J61" s="119"/>
    </row>
    <row r="62" spans="3:14" s="280" customFormat="1" ht="19.2" customHeight="1">
      <c r="C62" s="290">
        <v>5</v>
      </c>
      <c r="D62" s="182" t="s">
        <v>239</v>
      </c>
      <c r="E62" s="182"/>
      <c r="F62" s="124" t="s">
        <v>2167</v>
      </c>
      <c r="G62" s="125">
        <v>0.69299999999999995</v>
      </c>
      <c r="H62" s="283">
        <f>VLOOKUP(D62,upahbahan,3,FALSE)</f>
        <v>0</v>
      </c>
      <c r="I62" s="284">
        <f t="shared" si="6"/>
        <v>0</v>
      </c>
      <c r="J62" s="119"/>
    </row>
    <row r="63" spans="3:14" s="280" customFormat="1" ht="19.2" customHeight="1">
      <c r="C63" s="66" t="s">
        <v>1214</v>
      </c>
      <c r="D63" s="67"/>
      <c r="E63" s="67"/>
      <c r="F63" s="67"/>
      <c r="G63" s="67"/>
      <c r="H63" s="69"/>
      <c r="I63" s="284">
        <f>SUM(I58:I62)</f>
        <v>16859.486250000002</v>
      </c>
      <c r="J63" s="119"/>
    </row>
    <row r="64" spans="3:14" s="280" customFormat="1" ht="19.2" customHeight="1">
      <c r="C64" s="290" t="s">
        <v>1215</v>
      </c>
      <c r="D64" s="182" t="s">
        <v>1216</v>
      </c>
      <c r="E64" s="182"/>
      <c r="F64" s="70"/>
      <c r="G64" s="70"/>
      <c r="H64" s="70"/>
      <c r="I64" s="71"/>
      <c r="J64" s="119"/>
    </row>
    <row r="65" spans="3:14" s="280" customFormat="1" ht="19.2" customHeight="1">
      <c r="C65" s="66" t="s">
        <v>1217</v>
      </c>
      <c r="D65" s="67"/>
      <c r="E65" s="67"/>
      <c r="F65" s="67"/>
      <c r="G65" s="67"/>
      <c r="H65" s="69"/>
      <c r="I65" s="292">
        <v>0</v>
      </c>
      <c r="J65" s="119"/>
    </row>
    <row r="66" spans="3:14" s="297" customFormat="1" ht="19.2" customHeight="1">
      <c r="C66" s="293" t="s">
        <v>1218</v>
      </c>
      <c r="D66" s="294" t="s">
        <v>1219</v>
      </c>
      <c r="E66" s="295"/>
      <c r="F66" s="295"/>
      <c r="G66" s="295"/>
      <c r="H66" s="296"/>
      <c r="I66" s="284">
        <f>I65+I63+I56</f>
        <v>23149.486250000002</v>
      </c>
      <c r="J66" s="119"/>
    </row>
    <row r="67" spans="3:14" s="297" customFormat="1" ht="19.2" customHeight="1">
      <c r="C67" s="293" t="s">
        <v>1220</v>
      </c>
      <c r="D67" s="294" t="s">
        <v>1321</v>
      </c>
      <c r="E67" s="295"/>
      <c r="F67" s="295"/>
      <c r="G67" s="296"/>
      <c r="H67" s="298">
        <v>0.1</v>
      </c>
      <c r="I67" s="284">
        <f>I66*H67</f>
        <v>2314.9486250000004</v>
      </c>
      <c r="J67" s="119"/>
    </row>
    <row r="68" spans="3:14" s="297" customFormat="1" ht="19.2" customHeight="1" thickBot="1">
      <c r="C68" s="299" t="s">
        <v>1221</v>
      </c>
      <c r="D68" s="300" t="s">
        <v>1222</v>
      </c>
      <c r="E68" s="301"/>
      <c r="F68" s="301"/>
      <c r="G68" s="301"/>
      <c r="H68" s="302"/>
      <c r="I68" s="303">
        <f>SUM(I66:I67)</f>
        <v>25464.434875000003</v>
      </c>
      <c r="J68" s="119"/>
    </row>
    <row r="69" spans="3:14" ht="13.8" thickTop="1"/>
    <row r="71" spans="3:14" s="280" customFormat="1" ht="23.25" customHeight="1" thickBot="1">
      <c r="C71" s="126" t="s">
        <v>2475</v>
      </c>
      <c r="D71" s="123" t="s">
        <v>2476</v>
      </c>
      <c r="E71" s="123"/>
      <c r="F71" s="123"/>
      <c r="G71" s="123"/>
      <c r="H71" s="123"/>
      <c r="I71" s="123"/>
      <c r="J71" s="120">
        <f>ROUNDDOWN(I88,-2)</f>
        <v>48800</v>
      </c>
    </row>
    <row r="72" spans="3:14" s="289" customFormat="1" ht="31.65" customHeight="1" thickTop="1">
      <c r="C72" s="51" t="s">
        <v>1195</v>
      </c>
      <c r="D72" s="52" t="s">
        <v>1196</v>
      </c>
      <c r="E72" s="52" t="s">
        <v>1906</v>
      </c>
      <c r="F72" s="52" t="s">
        <v>1197</v>
      </c>
      <c r="G72" s="52" t="s">
        <v>1198</v>
      </c>
      <c r="H72" s="52" t="s">
        <v>1199</v>
      </c>
      <c r="I72" s="53" t="s">
        <v>1200</v>
      </c>
      <c r="J72" s="126"/>
    </row>
    <row r="73" spans="3:14" s="280" customFormat="1" ht="18.600000000000001" customHeight="1">
      <c r="C73" s="290" t="s">
        <v>1201</v>
      </c>
      <c r="D73" s="182" t="s">
        <v>1202</v>
      </c>
      <c r="E73" s="182"/>
      <c r="F73" s="70"/>
      <c r="G73" s="70"/>
      <c r="H73" s="70"/>
      <c r="I73" s="71"/>
      <c r="J73" s="119"/>
      <c r="K73" s="59" t="s">
        <v>1247</v>
      </c>
      <c r="L73" s="59"/>
      <c r="M73" s="59"/>
      <c r="N73" s="59"/>
    </row>
    <row r="74" spans="3:14" s="280" customFormat="1" ht="18.600000000000001" customHeight="1">
      <c r="C74" s="281">
        <v>1</v>
      </c>
      <c r="D74" s="182" t="s">
        <v>5</v>
      </c>
      <c r="E74" s="176" t="s">
        <v>1774</v>
      </c>
      <c r="F74" s="176" t="s">
        <v>6</v>
      </c>
      <c r="G74" s="315">
        <v>0.14699999999999999</v>
      </c>
      <c r="H74" s="283">
        <f>VLOOKUP(D74,upahbahan,3,FALSE)</f>
        <v>100000</v>
      </c>
      <c r="I74" s="284">
        <f>G74*H74</f>
        <v>14700</v>
      </c>
      <c r="J74" s="119"/>
      <c r="K74" s="59" t="s">
        <v>1248</v>
      </c>
      <c r="L74" s="59"/>
      <c r="M74" s="59"/>
      <c r="N74" s="65">
        <v>0.1</v>
      </c>
    </row>
    <row r="75" spans="3:14" s="280" customFormat="1" ht="18.600000000000001" customHeight="1">
      <c r="C75" s="281">
        <v>2</v>
      </c>
      <c r="D75" s="182" t="s">
        <v>8</v>
      </c>
      <c r="E75" s="176" t="s">
        <v>1775</v>
      </c>
      <c r="F75" s="176" t="s">
        <v>6</v>
      </c>
      <c r="G75" s="315">
        <v>0.14699999999999999</v>
      </c>
      <c r="H75" s="283">
        <f>VLOOKUP(D75,upahbahan,3,FALSE)</f>
        <v>135000</v>
      </c>
      <c r="I75" s="284">
        <f t="shared" ref="I75:I77" si="7">G75*H75</f>
        <v>19845</v>
      </c>
      <c r="J75" s="119"/>
      <c r="K75" s="59"/>
      <c r="L75" s="59"/>
      <c r="M75" s="59"/>
      <c r="N75" s="65"/>
    </row>
    <row r="76" spans="3:14" s="59" customFormat="1" ht="18.600000000000001" customHeight="1">
      <c r="C76" s="281">
        <v>3</v>
      </c>
      <c r="D76" s="182" t="s">
        <v>18</v>
      </c>
      <c r="E76" s="176" t="s">
        <v>1776</v>
      </c>
      <c r="F76" s="176" t="s">
        <v>6</v>
      </c>
      <c r="G76" s="315">
        <v>1.4999999999999999E-2</v>
      </c>
      <c r="H76" s="283">
        <f>VLOOKUP(D76,upahbahan,3,FALSE)</f>
        <v>150000</v>
      </c>
      <c r="I76" s="284">
        <f t="shared" si="7"/>
        <v>2250</v>
      </c>
      <c r="J76" s="119"/>
    </row>
    <row r="77" spans="3:14" s="59" customFormat="1" ht="18.600000000000001" customHeight="1">
      <c r="C77" s="281">
        <v>4</v>
      </c>
      <c r="D77" s="182" t="s">
        <v>19</v>
      </c>
      <c r="E77" s="176" t="s">
        <v>1777</v>
      </c>
      <c r="F77" s="176" t="s">
        <v>6</v>
      </c>
      <c r="G77" s="315">
        <v>5.0000000000000001E-3</v>
      </c>
      <c r="H77" s="283">
        <f>VLOOKUP(D77,upahbahan,3,FALSE)</f>
        <v>160000</v>
      </c>
      <c r="I77" s="284">
        <f t="shared" si="7"/>
        <v>800</v>
      </c>
      <c r="J77" s="119"/>
    </row>
    <row r="78" spans="3:14" s="280" customFormat="1" ht="18.600000000000001" customHeight="1">
      <c r="C78" s="66" t="s">
        <v>1208</v>
      </c>
      <c r="D78" s="67"/>
      <c r="E78" s="67"/>
      <c r="F78" s="67"/>
      <c r="G78" s="68"/>
      <c r="H78" s="69"/>
      <c r="I78" s="284">
        <f>SUM(I74:I77)</f>
        <v>37595</v>
      </c>
      <c r="J78" s="119"/>
    </row>
    <row r="79" spans="3:14" s="280" customFormat="1" ht="18.600000000000001" customHeight="1">
      <c r="C79" s="290" t="s">
        <v>1209</v>
      </c>
      <c r="D79" s="182" t="s">
        <v>1210</v>
      </c>
      <c r="E79" s="182"/>
      <c r="F79" s="70"/>
      <c r="G79" s="70"/>
      <c r="H79" s="70"/>
      <c r="I79" s="71"/>
      <c r="J79" s="119"/>
    </row>
    <row r="80" spans="3:14" s="280" customFormat="1" ht="18.600000000000001" customHeight="1">
      <c r="C80" s="290">
        <v>1</v>
      </c>
      <c r="D80" s="182" t="s">
        <v>2474</v>
      </c>
      <c r="E80" s="182"/>
      <c r="F80" s="124" t="s">
        <v>42</v>
      </c>
      <c r="G80" s="118">
        <v>4.0000000000000001E-3</v>
      </c>
      <c r="H80" s="283">
        <f>VLOOKUP(D80,upahbahan,3,FALSE)</f>
        <v>0</v>
      </c>
      <c r="I80" s="284">
        <f>G80*H80</f>
        <v>0</v>
      </c>
      <c r="J80" s="119"/>
    </row>
    <row r="81" spans="3:14" s="280" customFormat="1" ht="18.600000000000001" customHeight="1">
      <c r="C81" s="290">
        <v>2</v>
      </c>
      <c r="D81" s="182" t="s">
        <v>2477</v>
      </c>
      <c r="E81" s="182"/>
      <c r="F81" s="124" t="s">
        <v>42</v>
      </c>
      <c r="G81" s="118">
        <v>4.8000000000000001E-2</v>
      </c>
      <c r="H81" s="283">
        <f>VLOOKUP(D81,upahbahan,3,FALSE)</f>
        <v>0</v>
      </c>
      <c r="I81" s="284">
        <f t="shared" ref="I81:I82" si="8">G81*H81</f>
        <v>0</v>
      </c>
      <c r="J81" s="119"/>
    </row>
    <row r="82" spans="3:14" s="280" customFormat="1" ht="18.600000000000001" customHeight="1">
      <c r="C82" s="290">
        <v>3</v>
      </c>
      <c r="D82" s="182" t="s">
        <v>261</v>
      </c>
      <c r="E82" s="182"/>
      <c r="F82" s="124" t="s">
        <v>2469</v>
      </c>
      <c r="G82" s="127">
        <v>0.2</v>
      </c>
      <c r="H82" s="283">
        <f>VLOOKUP(D82,upahbahan,3,FALSE)</f>
        <v>33901.875</v>
      </c>
      <c r="I82" s="284">
        <f t="shared" si="8"/>
        <v>6780.375</v>
      </c>
      <c r="J82" s="119"/>
    </row>
    <row r="83" spans="3:14" s="280" customFormat="1" ht="18.600000000000001" customHeight="1">
      <c r="C83" s="66" t="s">
        <v>1214</v>
      </c>
      <c r="D83" s="67"/>
      <c r="E83" s="67"/>
      <c r="F83" s="67"/>
      <c r="G83" s="67"/>
      <c r="H83" s="69"/>
      <c r="I83" s="284">
        <f>SUM(I80:I82)</f>
        <v>6780.375</v>
      </c>
      <c r="J83" s="119"/>
    </row>
    <row r="84" spans="3:14" s="280" customFormat="1" ht="18.600000000000001" customHeight="1">
      <c r="C84" s="290" t="s">
        <v>1215</v>
      </c>
      <c r="D84" s="182" t="s">
        <v>1216</v>
      </c>
      <c r="E84" s="182"/>
      <c r="F84" s="70"/>
      <c r="G84" s="70"/>
      <c r="H84" s="70"/>
      <c r="I84" s="71"/>
      <c r="J84" s="119"/>
    </row>
    <row r="85" spans="3:14" s="280" customFormat="1" ht="18.600000000000001" customHeight="1">
      <c r="C85" s="66" t="s">
        <v>1217</v>
      </c>
      <c r="D85" s="67"/>
      <c r="E85" s="67"/>
      <c r="F85" s="67"/>
      <c r="G85" s="67"/>
      <c r="H85" s="69"/>
      <c r="I85" s="292">
        <v>0</v>
      </c>
      <c r="J85" s="119"/>
    </row>
    <row r="86" spans="3:14" s="297" customFormat="1" ht="18.600000000000001" customHeight="1">
      <c r="C86" s="293" t="s">
        <v>1218</v>
      </c>
      <c r="D86" s="294" t="s">
        <v>1219</v>
      </c>
      <c r="E86" s="295"/>
      <c r="F86" s="295"/>
      <c r="G86" s="295"/>
      <c r="H86" s="296"/>
      <c r="I86" s="284">
        <f>I85+I83+I78</f>
        <v>44375.375</v>
      </c>
      <c r="J86" s="119"/>
    </row>
    <row r="87" spans="3:14" s="297" customFormat="1" ht="18.600000000000001" customHeight="1">
      <c r="C87" s="293" t="s">
        <v>1220</v>
      </c>
      <c r="D87" s="294" t="s">
        <v>1321</v>
      </c>
      <c r="E87" s="295"/>
      <c r="F87" s="295"/>
      <c r="G87" s="296"/>
      <c r="H87" s="298">
        <v>0.1</v>
      </c>
      <c r="I87" s="284">
        <f>I86*H87</f>
        <v>4437.5375000000004</v>
      </c>
      <c r="J87" s="119"/>
    </row>
    <row r="88" spans="3:14" s="297" customFormat="1" ht="18.600000000000001" customHeight="1" thickBot="1">
      <c r="C88" s="299" t="s">
        <v>1221</v>
      </c>
      <c r="D88" s="300" t="s">
        <v>1222</v>
      </c>
      <c r="E88" s="301"/>
      <c r="F88" s="301"/>
      <c r="G88" s="301"/>
      <c r="H88" s="302"/>
      <c r="I88" s="303">
        <f>SUM(I86:I87)</f>
        <v>48812.912499999999</v>
      </c>
      <c r="J88" s="119"/>
    </row>
    <row r="89" spans="3:14" ht="13.8" thickTop="1"/>
    <row r="90" spans="3:14" ht="13.8">
      <c r="C90" s="126" t="s">
        <v>2479</v>
      </c>
      <c r="D90" s="138" t="s">
        <v>2480</v>
      </c>
    </row>
    <row r="91" spans="3:14" s="280" customFormat="1" ht="30.15" customHeight="1" thickBot="1">
      <c r="C91" s="126" t="s">
        <v>2478</v>
      </c>
      <c r="D91" s="123" t="s">
        <v>2481</v>
      </c>
      <c r="E91" s="123"/>
      <c r="F91" s="123"/>
      <c r="G91" s="123"/>
      <c r="H91" s="123"/>
      <c r="I91" s="123"/>
      <c r="J91" s="120">
        <f>ROUNDDOWN(I105,-2)</f>
        <v>9000</v>
      </c>
    </row>
    <row r="92" spans="3:14" s="289" customFormat="1" ht="31.65" customHeight="1" thickTop="1">
      <c r="C92" s="51" t="s">
        <v>1195</v>
      </c>
      <c r="D92" s="52" t="s">
        <v>1196</v>
      </c>
      <c r="E92" s="52" t="s">
        <v>1906</v>
      </c>
      <c r="F92" s="52" t="s">
        <v>1197</v>
      </c>
      <c r="G92" s="52" t="s">
        <v>1198</v>
      </c>
      <c r="H92" s="52" t="s">
        <v>1199</v>
      </c>
      <c r="I92" s="53" t="s">
        <v>1200</v>
      </c>
      <c r="J92" s="126"/>
    </row>
    <row r="93" spans="3:14" s="280" customFormat="1" ht="19.2" customHeight="1">
      <c r="C93" s="290" t="s">
        <v>1201</v>
      </c>
      <c r="D93" s="182" t="s">
        <v>1202</v>
      </c>
      <c r="E93" s="182"/>
      <c r="F93" s="70"/>
      <c r="G93" s="70"/>
      <c r="H93" s="70"/>
      <c r="I93" s="71"/>
      <c r="J93" s="119"/>
      <c r="K93" s="59" t="s">
        <v>1247</v>
      </c>
      <c r="L93" s="59"/>
      <c r="M93" s="59"/>
      <c r="N93" s="59"/>
    </row>
    <row r="94" spans="3:14" s="280" customFormat="1" ht="19.2" customHeight="1">
      <c r="C94" s="281">
        <v>1</v>
      </c>
      <c r="D94" s="182" t="s">
        <v>5</v>
      </c>
      <c r="E94" s="176" t="s">
        <v>1774</v>
      </c>
      <c r="F94" s="176" t="s">
        <v>6</v>
      </c>
      <c r="G94" s="315">
        <v>5.2999999999999999E-2</v>
      </c>
      <c r="H94" s="283">
        <f>VLOOKUP(D94,upahbahan,3,FALSE)</f>
        <v>100000</v>
      </c>
      <c r="I94" s="284">
        <f>G94*H94</f>
        <v>5300</v>
      </c>
      <c r="J94" s="119"/>
      <c r="K94" s="59" t="s">
        <v>1248</v>
      </c>
      <c r="L94" s="59"/>
      <c r="M94" s="59"/>
      <c r="N94" s="65">
        <v>0.1</v>
      </c>
    </row>
    <row r="95" spans="3:14" s="280" customFormat="1" ht="19.2" customHeight="1">
      <c r="C95" s="281">
        <v>2</v>
      </c>
      <c r="D95" s="182" t="s">
        <v>8</v>
      </c>
      <c r="E95" s="176" t="s">
        <v>1775</v>
      </c>
      <c r="F95" s="176" t="s">
        <v>6</v>
      </c>
      <c r="G95" s="315">
        <v>1.7999999999999999E-2</v>
      </c>
      <c r="H95" s="283">
        <f>VLOOKUP(D95,upahbahan,3,FALSE)</f>
        <v>135000</v>
      </c>
      <c r="I95" s="284">
        <f t="shared" ref="I95:I97" si="9">G95*H95</f>
        <v>2430</v>
      </c>
      <c r="J95" s="119"/>
      <c r="K95" s="59"/>
      <c r="L95" s="59"/>
      <c r="M95" s="59"/>
      <c r="N95" s="65"/>
    </row>
    <row r="96" spans="3:14" s="59" customFormat="1" ht="19.2" customHeight="1">
      <c r="C96" s="281">
        <v>3</v>
      </c>
      <c r="D96" s="182" t="s">
        <v>18</v>
      </c>
      <c r="E96" s="176" t="s">
        <v>1776</v>
      </c>
      <c r="F96" s="176" t="s">
        <v>6</v>
      </c>
      <c r="G96" s="315">
        <v>2E-3</v>
      </c>
      <c r="H96" s="283">
        <f>VLOOKUP(D96,upahbahan,3,FALSE)</f>
        <v>150000</v>
      </c>
      <c r="I96" s="284">
        <f t="shared" si="9"/>
        <v>300</v>
      </c>
      <c r="J96" s="119"/>
    </row>
    <row r="97" spans="3:14" s="59" customFormat="1" ht="19.2" customHeight="1">
      <c r="C97" s="281">
        <v>4</v>
      </c>
      <c r="D97" s="182" t="s">
        <v>19</v>
      </c>
      <c r="E97" s="176" t="s">
        <v>1777</v>
      </c>
      <c r="F97" s="176" t="s">
        <v>6</v>
      </c>
      <c r="G97" s="315">
        <v>1E-3</v>
      </c>
      <c r="H97" s="283">
        <f>VLOOKUP(D97,upahbahan,3,FALSE)</f>
        <v>160000</v>
      </c>
      <c r="I97" s="284">
        <f t="shared" si="9"/>
        <v>160</v>
      </c>
      <c r="J97" s="119"/>
    </row>
    <row r="98" spans="3:14" s="280" customFormat="1" ht="19.2" customHeight="1">
      <c r="C98" s="66" t="s">
        <v>1208</v>
      </c>
      <c r="D98" s="67"/>
      <c r="E98" s="67"/>
      <c r="F98" s="67"/>
      <c r="G98" s="68"/>
      <c r="H98" s="69"/>
      <c r="I98" s="284">
        <f>SUM(I94:I97)</f>
        <v>8190</v>
      </c>
      <c r="J98" s="119"/>
    </row>
    <row r="99" spans="3:14" s="280" customFormat="1" ht="19.2" customHeight="1">
      <c r="C99" s="290" t="s">
        <v>1209</v>
      </c>
      <c r="D99" s="182" t="s">
        <v>1210</v>
      </c>
      <c r="E99" s="182"/>
      <c r="F99" s="70"/>
      <c r="G99" s="70"/>
      <c r="H99" s="70"/>
      <c r="I99" s="71"/>
      <c r="J99" s="119"/>
    </row>
    <row r="100" spans="3:14" s="280" customFormat="1" ht="19.2" customHeight="1">
      <c r="C100" s="66" t="s">
        <v>1214</v>
      </c>
      <c r="D100" s="67"/>
      <c r="E100" s="67"/>
      <c r="F100" s="67"/>
      <c r="G100" s="67"/>
      <c r="H100" s="69"/>
      <c r="I100" s="284">
        <f>SUM(I99)</f>
        <v>0</v>
      </c>
      <c r="J100" s="119"/>
    </row>
    <row r="101" spans="3:14" s="280" customFormat="1" ht="19.2" customHeight="1">
      <c r="C101" s="290" t="s">
        <v>1215</v>
      </c>
      <c r="D101" s="182" t="s">
        <v>1216</v>
      </c>
      <c r="E101" s="182"/>
      <c r="F101" s="70"/>
      <c r="G101" s="70"/>
      <c r="H101" s="70"/>
      <c r="I101" s="71"/>
      <c r="J101" s="119"/>
    </row>
    <row r="102" spans="3:14" s="280" customFormat="1" ht="19.2" customHeight="1">
      <c r="C102" s="66" t="s">
        <v>1217</v>
      </c>
      <c r="D102" s="67"/>
      <c r="E102" s="67"/>
      <c r="F102" s="67"/>
      <c r="G102" s="67"/>
      <c r="H102" s="69"/>
      <c r="I102" s="292">
        <f>SUM(I101)</f>
        <v>0</v>
      </c>
      <c r="J102" s="119"/>
    </row>
    <row r="103" spans="3:14" s="297" customFormat="1" ht="19.2" customHeight="1">
      <c r="C103" s="293" t="s">
        <v>1218</v>
      </c>
      <c r="D103" s="294" t="s">
        <v>1219</v>
      </c>
      <c r="E103" s="295"/>
      <c r="F103" s="295"/>
      <c r="G103" s="295"/>
      <c r="H103" s="296"/>
      <c r="I103" s="284">
        <f>I102+I100+I98</f>
        <v>8190</v>
      </c>
      <c r="J103" s="119"/>
    </row>
    <row r="104" spans="3:14" s="297" customFormat="1" ht="19.2" customHeight="1">
      <c r="C104" s="293" t="s">
        <v>1220</v>
      </c>
      <c r="D104" s="294" t="s">
        <v>1321</v>
      </c>
      <c r="E104" s="295"/>
      <c r="F104" s="295"/>
      <c r="G104" s="296"/>
      <c r="H104" s="298">
        <v>0.1</v>
      </c>
      <c r="I104" s="284">
        <f>I103*H104</f>
        <v>819</v>
      </c>
      <c r="J104" s="119"/>
    </row>
    <row r="105" spans="3:14" s="297" customFormat="1" ht="19.2" customHeight="1" thickBot="1">
      <c r="C105" s="299" t="s">
        <v>1221</v>
      </c>
      <c r="D105" s="300" t="s">
        <v>1222</v>
      </c>
      <c r="E105" s="301"/>
      <c r="F105" s="301"/>
      <c r="G105" s="301"/>
      <c r="H105" s="302"/>
      <c r="I105" s="303">
        <f>SUM(I103:I104)</f>
        <v>9009</v>
      </c>
      <c r="J105" s="119"/>
    </row>
    <row r="106" spans="3:14" ht="13.8" thickTop="1"/>
    <row r="108" spans="3:14" s="280" customFormat="1" ht="30.15" customHeight="1" thickBot="1">
      <c r="C108" s="126" t="s">
        <v>2482</v>
      </c>
      <c r="D108" s="123" t="s">
        <v>2484</v>
      </c>
      <c r="E108" s="123"/>
      <c r="F108" s="123"/>
      <c r="G108" s="123"/>
      <c r="H108" s="123"/>
      <c r="I108" s="123"/>
      <c r="J108" s="120">
        <f>ROUNDDOWN(I122,-2)</f>
        <v>14900</v>
      </c>
    </row>
    <row r="109" spans="3:14" s="289" customFormat="1" ht="31.65" customHeight="1" thickTop="1">
      <c r="C109" s="51" t="s">
        <v>1195</v>
      </c>
      <c r="D109" s="52" t="s">
        <v>1196</v>
      </c>
      <c r="E109" s="52" t="s">
        <v>1906</v>
      </c>
      <c r="F109" s="52" t="s">
        <v>1197</v>
      </c>
      <c r="G109" s="52" t="s">
        <v>1198</v>
      </c>
      <c r="H109" s="52" t="s">
        <v>1199</v>
      </c>
      <c r="I109" s="53" t="s">
        <v>1200</v>
      </c>
      <c r="J109" s="126"/>
    </row>
    <row r="110" spans="3:14" s="280" customFormat="1" ht="19.8" customHeight="1">
      <c r="C110" s="290" t="s">
        <v>1201</v>
      </c>
      <c r="D110" s="182" t="s">
        <v>1202</v>
      </c>
      <c r="E110" s="182"/>
      <c r="F110" s="70"/>
      <c r="G110" s="70"/>
      <c r="H110" s="70"/>
      <c r="I110" s="71"/>
      <c r="J110" s="119"/>
      <c r="K110" s="59" t="s">
        <v>1247</v>
      </c>
      <c r="L110" s="59"/>
      <c r="M110" s="59"/>
      <c r="N110" s="59"/>
    </row>
    <row r="111" spans="3:14" s="280" customFormat="1" ht="19.8" customHeight="1">
      <c r="C111" s="281">
        <v>1</v>
      </c>
      <c r="D111" s="182" t="s">
        <v>5</v>
      </c>
      <c r="E111" s="176" t="s">
        <v>1774</v>
      </c>
      <c r="F111" s="176" t="s">
        <v>6</v>
      </c>
      <c r="G111" s="315">
        <v>8.8999999999999996E-2</v>
      </c>
      <c r="H111" s="283">
        <f>VLOOKUP(D111,upahbahan,3,FALSE)</f>
        <v>100000</v>
      </c>
      <c r="I111" s="284">
        <f>G111*H111</f>
        <v>8900</v>
      </c>
      <c r="J111" s="119"/>
      <c r="K111" s="59" t="s">
        <v>1248</v>
      </c>
      <c r="L111" s="59"/>
      <c r="M111" s="59"/>
      <c r="N111" s="65">
        <v>0.1</v>
      </c>
    </row>
    <row r="112" spans="3:14" s="280" customFormat="1" ht="19.8" customHeight="1">
      <c r="C112" s="281">
        <v>2</v>
      </c>
      <c r="D112" s="182" t="s">
        <v>8</v>
      </c>
      <c r="E112" s="176" t="s">
        <v>1775</v>
      </c>
      <c r="F112" s="176" t="s">
        <v>6</v>
      </c>
      <c r="G112" s="315">
        <v>0.03</v>
      </c>
      <c r="H112" s="283">
        <f>VLOOKUP(D112,upahbahan,3,FALSE)</f>
        <v>135000</v>
      </c>
      <c r="I112" s="284">
        <f t="shared" ref="I112:I114" si="10">G112*H112</f>
        <v>4050</v>
      </c>
      <c r="J112" s="119"/>
      <c r="K112" s="59"/>
      <c r="L112" s="59"/>
      <c r="M112" s="59"/>
      <c r="N112" s="65"/>
    </row>
    <row r="113" spans="3:14" s="59" customFormat="1" ht="19.8" customHeight="1">
      <c r="C113" s="281">
        <v>3</v>
      </c>
      <c r="D113" s="182" t="s">
        <v>18</v>
      </c>
      <c r="E113" s="176" t="s">
        <v>1776</v>
      </c>
      <c r="F113" s="176" t="s">
        <v>6</v>
      </c>
      <c r="G113" s="315">
        <v>3.0000000000000001E-3</v>
      </c>
      <c r="H113" s="283">
        <f>VLOOKUP(D113,upahbahan,3,FALSE)</f>
        <v>150000</v>
      </c>
      <c r="I113" s="284">
        <f t="shared" si="10"/>
        <v>450</v>
      </c>
      <c r="J113" s="119"/>
    </row>
    <row r="114" spans="3:14" s="59" customFormat="1" ht="19.8" customHeight="1">
      <c r="C114" s="281">
        <v>4</v>
      </c>
      <c r="D114" s="182" t="s">
        <v>19</v>
      </c>
      <c r="E114" s="176" t="s">
        <v>1777</v>
      </c>
      <c r="F114" s="176" t="s">
        <v>6</v>
      </c>
      <c r="G114" s="315">
        <v>1E-3</v>
      </c>
      <c r="H114" s="283">
        <f>VLOOKUP(D114,upahbahan,3,FALSE)</f>
        <v>160000</v>
      </c>
      <c r="I114" s="284">
        <f t="shared" si="10"/>
        <v>160</v>
      </c>
      <c r="J114" s="119"/>
    </row>
    <row r="115" spans="3:14" s="280" customFormat="1" ht="19.8" customHeight="1">
      <c r="C115" s="66" t="s">
        <v>1208</v>
      </c>
      <c r="D115" s="67"/>
      <c r="E115" s="67"/>
      <c r="F115" s="67"/>
      <c r="G115" s="68"/>
      <c r="H115" s="69"/>
      <c r="I115" s="284">
        <f>SUM(I111:I114)</f>
        <v>13560</v>
      </c>
      <c r="J115" s="119"/>
    </row>
    <row r="116" spans="3:14" s="280" customFormat="1" ht="19.8" customHeight="1">
      <c r="C116" s="290" t="s">
        <v>1209</v>
      </c>
      <c r="D116" s="182" t="s">
        <v>1210</v>
      </c>
      <c r="E116" s="182"/>
      <c r="F116" s="70"/>
      <c r="G116" s="70"/>
      <c r="H116" s="70"/>
      <c r="I116" s="71"/>
      <c r="J116" s="119"/>
    </row>
    <row r="117" spans="3:14" s="280" customFormat="1" ht="19.8" customHeight="1">
      <c r="C117" s="66" t="s">
        <v>1214</v>
      </c>
      <c r="D117" s="67"/>
      <c r="E117" s="67"/>
      <c r="F117" s="67"/>
      <c r="G117" s="67"/>
      <c r="H117" s="69"/>
      <c r="I117" s="284">
        <f>SUM(I116)</f>
        <v>0</v>
      </c>
      <c r="J117" s="119"/>
    </row>
    <row r="118" spans="3:14" s="280" customFormat="1" ht="19.8" customHeight="1">
      <c r="C118" s="290" t="s">
        <v>1215</v>
      </c>
      <c r="D118" s="182" t="s">
        <v>1216</v>
      </c>
      <c r="E118" s="182"/>
      <c r="F118" s="70"/>
      <c r="G118" s="70"/>
      <c r="H118" s="70"/>
      <c r="I118" s="71"/>
      <c r="J118" s="119"/>
    </row>
    <row r="119" spans="3:14" s="280" customFormat="1" ht="19.8" customHeight="1">
      <c r="C119" s="66" t="s">
        <v>1217</v>
      </c>
      <c r="D119" s="67"/>
      <c r="E119" s="67"/>
      <c r="F119" s="67"/>
      <c r="G119" s="67"/>
      <c r="H119" s="69"/>
      <c r="I119" s="292">
        <f>SUM(I118)</f>
        <v>0</v>
      </c>
      <c r="J119" s="119"/>
    </row>
    <row r="120" spans="3:14" s="297" customFormat="1" ht="19.8" customHeight="1">
      <c r="C120" s="293" t="s">
        <v>1218</v>
      </c>
      <c r="D120" s="294" t="s">
        <v>1219</v>
      </c>
      <c r="E120" s="295"/>
      <c r="F120" s="295"/>
      <c r="G120" s="295"/>
      <c r="H120" s="296"/>
      <c r="I120" s="284">
        <f>I119+I117+I115</f>
        <v>13560</v>
      </c>
      <c r="J120" s="119"/>
    </row>
    <row r="121" spans="3:14" s="297" customFormat="1" ht="19.8" customHeight="1">
      <c r="C121" s="293" t="s">
        <v>1220</v>
      </c>
      <c r="D121" s="294" t="s">
        <v>1321</v>
      </c>
      <c r="E121" s="295"/>
      <c r="F121" s="295"/>
      <c r="G121" s="296"/>
      <c r="H121" s="298">
        <v>0.1</v>
      </c>
      <c r="I121" s="284">
        <f>I120*H121</f>
        <v>1356</v>
      </c>
      <c r="J121" s="119"/>
    </row>
    <row r="122" spans="3:14" s="297" customFormat="1" ht="19.8" customHeight="1" thickBot="1">
      <c r="C122" s="299" t="s">
        <v>1221</v>
      </c>
      <c r="D122" s="300" t="s">
        <v>1222</v>
      </c>
      <c r="E122" s="301"/>
      <c r="F122" s="301"/>
      <c r="G122" s="301"/>
      <c r="H122" s="302"/>
      <c r="I122" s="303">
        <f>SUM(I120:I121)</f>
        <v>14916</v>
      </c>
      <c r="J122" s="119"/>
    </row>
    <row r="123" spans="3:14" ht="13.8" thickTop="1"/>
    <row r="126" spans="3:14" s="280" customFormat="1" ht="30.15" customHeight="1" thickBot="1">
      <c r="C126" s="126" t="s">
        <v>2483</v>
      </c>
      <c r="D126" s="123" t="s">
        <v>2485</v>
      </c>
      <c r="E126" s="123"/>
      <c r="F126" s="123"/>
      <c r="G126" s="123"/>
      <c r="H126" s="123"/>
      <c r="I126" s="123"/>
      <c r="J126" s="120">
        <f>ROUNDDOWN(I140,-2)</f>
        <v>11800</v>
      </c>
    </row>
    <row r="127" spans="3:14" s="289" customFormat="1" ht="31.65" customHeight="1" thickTop="1">
      <c r="C127" s="51" t="s">
        <v>1195</v>
      </c>
      <c r="D127" s="52" t="s">
        <v>1196</v>
      </c>
      <c r="E127" s="52" t="s">
        <v>1906</v>
      </c>
      <c r="F127" s="52" t="s">
        <v>1197</v>
      </c>
      <c r="G127" s="52" t="s">
        <v>1198</v>
      </c>
      <c r="H127" s="52" t="s">
        <v>1199</v>
      </c>
      <c r="I127" s="53" t="s">
        <v>1200</v>
      </c>
      <c r="J127" s="126"/>
    </row>
    <row r="128" spans="3:14" s="280" customFormat="1" ht="21" customHeight="1">
      <c r="C128" s="290" t="s">
        <v>1201</v>
      </c>
      <c r="D128" s="182" t="s">
        <v>1202</v>
      </c>
      <c r="E128" s="182"/>
      <c r="F128" s="70"/>
      <c r="G128" s="70"/>
      <c r="H128" s="70"/>
      <c r="I128" s="71"/>
      <c r="J128" s="119"/>
      <c r="K128" s="59" t="s">
        <v>1247</v>
      </c>
      <c r="L128" s="59"/>
      <c r="M128" s="59"/>
      <c r="N128" s="59"/>
    </row>
    <row r="129" spans="3:14" s="280" customFormat="1" ht="21" customHeight="1">
      <c r="C129" s="281">
        <v>1</v>
      </c>
      <c r="D129" s="182" t="s">
        <v>5</v>
      </c>
      <c r="E129" s="176" t="s">
        <v>1774</v>
      </c>
      <c r="F129" s="176" t="s">
        <v>6</v>
      </c>
      <c r="G129" s="315">
        <v>7.0999999999999994E-2</v>
      </c>
      <c r="H129" s="283">
        <f>VLOOKUP(D129,upahbahan,3,FALSE)</f>
        <v>100000</v>
      </c>
      <c r="I129" s="284">
        <f>G129*H129</f>
        <v>7099.9999999999991</v>
      </c>
      <c r="J129" s="119"/>
      <c r="K129" s="59" t="s">
        <v>1248</v>
      </c>
      <c r="L129" s="59"/>
      <c r="M129" s="59"/>
      <c r="N129" s="65">
        <v>0.1</v>
      </c>
    </row>
    <row r="130" spans="3:14" s="280" customFormat="1" ht="21" customHeight="1">
      <c r="C130" s="281">
        <v>2</v>
      </c>
      <c r="D130" s="182" t="s">
        <v>8</v>
      </c>
      <c r="E130" s="176" t="s">
        <v>1775</v>
      </c>
      <c r="F130" s="176" t="s">
        <v>6</v>
      </c>
      <c r="G130" s="315">
        <v>2.4E-2</v>
      </c>
      <c r="H130" s="283">
        <f>VLOOKUP(D130,upahbahan,3,FALSE)</f>
        <v>135000</v>
      </c>
      <c r="I130" s="284">
        <f t="shared" ref="I130:I132" si="11">G130*H130</f>
        <v>3240</v>
      </c>
      <c r="J130" s="119"/>
      <c r="K130" s="59"/>
      <c r="L130" s="59"/>
      <c r="M130" s="59"/>
      <c r="N130" s="65"/>
    </row>
    <row r="131" spans="3:14" s="59" customFormat="1" ht="21" customHeight="1">
      <c r="C131" s="281">
        <v>3</v>
      </c>
      <c r="D131" s="182" t="s">
        <v>18</v>
      </c>
      <c r="E131" s="176" t="s">
        <v>1776</v>
      </c>
      <c r="F131" s="176" t="s">
        <v>6</v>
      </c>
      <c r="G131" s="315">
        <v>2E-3</v>
      </c>
      <c r="H131" s="283">
        <f>VLOOKUP(D131,upahbahan,3,FALSE)</f>
        <v>150000</v>
      </c>
      <c r="I131" s="284">
        <f t="shared" si="11"/>
        <v>300</v>
      </c>
      <c r="J131" s="119"/>
    </row>
    <row r="132" spans="3:14" s="59" customFormat="1" ht="21" customHeight="1">
      <c r="C132" s="281">
        <v>4</v>
      </c>
      <c r="D132" s="182" t="s">
        <v>19</v>
      </c>
      <c r="E132" s="176" t="s">
        <v>1777</v>
      </c>
      <c r="F132" s="176" t="s">
        <v>6</v>
      </c>
      <c r="G132" s="315">
        <v>1E-3</v>
      </c>
      <c r="H132" s="283">
        <f>VLOOKUP(D132,upahbahan,3,FALSE)</f>
        <v>160000</v>
      </c>
      <c r="I132" s="284">
        <f t="shared" si="11"/>
        <v>160</v>
      </c>
      <c r="J132" s="119"/>
    </row>
    <row r="133" spans="3:14" s="280" customFormat="1" ht="21" customHeight="1">
      <c r="C133" s="66" t="s">
        <v>1208</v>
      </c>
      <c r="D133" s="67"/>
      <c r="E133" s="67"/>
      <c r="F133" s="67"/>
      <c r="G133" s="68"/>
      <c r="H133" s="69"/>
      <c r="I133" s="284">
        <f>SUM(I129:I132)</f>
        <v>10800</v>
      </c>
      <c r="J133" s="119"/>
    </row>
    <row r="134" spans="3:14" s="280" customFormat="1" ht="21" customHeight="1">
      <c r="C134" s="290" t="s">
        <v>1209</v>
      </c>
      <c r="D134" s="182" t="s">
        <v>1210</v>
      </c>
      <c r="E134" s="182"/>
      <c r="F134" s="70"/>
      <c r="G134" s="70"/>
      <c r="H134" s="70"/>
      <c r="I134" s="71"/>
      <c r="J134" s="119"/>
    </row>
    <row r="135" spans="3:14" s="280" customFormat="1" ht="21" customHeight="1">
      <c r="C135" s="66" t="s">
        <v>1214</v>
      </c>
      <c r="D135" s="67"/>
      <c r="E135" s="67"/>
      <c r="F135" s="67"/>
      <c r="G135" s="67"/>
      <c r="H135" s="69"/>
      <c r="I135" s="284">
        <f>SUM(I134)</f>
        <v>0</v>
      </c>
      <c r="J135" s="119"/>
    </row>
    <row r="136" spans="3:14" s="280" customFormat="1" ht="21" customHeight="1">
      <c r="C136" s="290" t="s">
        <v>1215</v>
      </c>
      <c r="D136" s="182" t="s">
        <v>1216</v>
      </c>
      <c r="E136" s="182"/>
      <c r="F136" s="70"/>
      <c r="G136" s="70"/>
      <c r="H136" s="70"/>
      <c r="I136" s="71"/>
      <c r="J136" s="119"/>
    </row>
    <row r="137" spans="3:14" s="280" customFormat="1" ht="21" customHeight="1">
      <c r="C137" s="66" t="s">
        <v>1217</v>
      </c>
      <c r="D137" s="67"/>
      <c r="E137" s="67"/>
      <c r="F137" s="67"/>
      <c r="G137" s="67"/>
      <c r="H137" s="69"/>
      <c r="I137" s="292">
        <f>SUM(I136)</f>
        <v>0</v>
      </c>
      <c r="J137" s="119"/>
    </row>
    <row r="138" spans="3:14" s="297" customFormat="1" ht="21" customHeight="1">
      <c r="C138" s="293" t="s">
        <v>1218</v>
      </c>
      <c r="D138" s="294" t="s">
        <v>1219</v>
      </c>
      <c r="E138" s="295"/>
      <c r="F138" s="295"/>
      <c r="G138" s="295"/>
      <c r="H138" s="296"/>
      <c r="I138" s="284">
        <f>I137+I135+I133</f>
        <v>10800</v>
      </c>
      <c r="J138" s="119"/>
    </row>
    <row r="139" spans="3:14" s="297" customFormat="1" ht="21" customHeight="1">
      <c r="C139" s="293" t="s">
        <v>1220</v>
      </c>
      <c r="D139" s="294" t="s">
        <v>1321</v>
      </c>
      <c r="E139" s="295"/>
      <c r="F139" s="295"/>
      <c r="G139" s="296"/>
      <c r="H139" s="298">
        <v>0.1</v>
      </c>
      <c r="I139" s="284">
        <f>I138*H139</f>
        <v>1080</v>
      </c>
      <c r="J139" s="119"/>
    </row>
    <row r="140" spans="3:14" s="297" customFormat="1" ht="21" customHeight="1" thickBot="1">
      <c r="C140" s="299" t="s">
        <v>1221</v>
      </c>
      <c r="D140" s="300" t="s">
        <v>1222</v>
      </c>
      <c r="E140" s="301"/>
      <c r="F140" s="301"/>
      <c r="G140" s="301"/>
      <c r="H140" s="302"/>
      <c r="I140" s="303">
        <f>SUM(I138:I139)</f>
        <v>11880</v>
      </c>
      <c r="J140" s="119"/>
    </row>
    <row r="141" spans="3:14" ht="13.8" thickTop="1"/>
    <row r="143" spans="3:14" ht="13.8">
      <c r="C143" s="126" t="s">
        <v>2486</v>
      </c>
      <c r="D143" s="138" t="s">
        <v>2487</v>
      </c>
    </row>
    <row r="144" spans="3:14" s="280" customFormat="1" ht="30.15" customHeight="1" thickBot="1">
      <c r="C144" s="126" t="s">
        <v>2488</v>
      </c>
      <c r="D144" s="123" t="s">
        <v>2489</v>
      </c>
      <c r="E144" s="123"/>
      <c r="F144" s="123"/>
      <c r="G144" s="123"/>
      <c r="H144" s="123"/>
      <c r="I144" s="123"/>
      <c r="J144" s="120">
        <f>ROUNDDOWN(I159,-2)</f>
        <v>71200</v>
      </c>
    </row>
    <row r="145" spans="3:14" s="289" customFormat="1" ht="31.65" customHeight="1" thickTop="1">
      <c r="C145" s="51" t="s">
        <v>1195</v>
      </c>
      <c r="D145" s="52" t="s">
        <v>1196</v>
      </c>
      <c r="E145" s="52" t="s">
        <v>1906</v>
      </c>
      <c r="F145" s="52" t="s">
        <v>1197</v>
      </c>
      <c r="G145" s="52" t="s">
        <v>1198</v>
      </c>
      <c r="H145" s="52" t="s">
        <v>1199</v>
      </c>
      <c r="I145" s="53" t="s">
        <v>1200</v>
      </c>
      <c r="J145" s="126"/>
    </row>
    <row r="146" spans="3:14" s="280" customFormat="1" ht="19.8" customHeight="1">
      <c r="C146" s="290" t="s">
        <v>1201</v>
      </c>
      <c r="D146" s="182" t="s">
        <v>1202</v>
      </c>
      <c r="E146" s="182"/>
      <c r="F146" s="70"/>
      <c r="G146" s="70"/>
      <c r="H146" s="70"/>
      <c r="I146" s="71"/>
      <c r="J146" s="119"/>
      <c r="K146" s="59" t="s">
        <v>1247</v>
      </c>
      <c r="L146" s="59"/>
      <c r="M146" s="59"/>
      <c r="N146" s="59"/>
    </row>
    <row r="147" spans="3:14" s="280" customFormat="1" ht="19.8" customHeight="1">
      <c r="C147" s="281">
        <v>1</v>
      </c>
      <c r="D147" s="182" t="s">
        <v>5</v>
      </c>
      <c r="E147" s="176" t="s">
        <v>1774</v>
      </c>
      <c r="F147" s="176" t="s">
        <v>6</v>
      </c>
      <c r="G147" s="315">
        <v>6.4000000000000001E-2</v>
      </c>
      <c r="H147" s="283">
        <f>VLOOKUP(D147,upahbahan,3,FALSE)</f>
        <v>100000</v>
      </c>
      <c r="I147" s="284">
        <f>G147*H147</f>
        <v>6400</v>
      </c>
      <c r="J147" s="119"/>
      <c r="K147" s="59" t="s">
        <v>1248</v>
      </c>
      <c r="L147" s="59"/>
      <c r="M147" s="59"/>
      <c r="N147" s="65">
        <v>0.1</v>
      </c>
    </row>
    <row r="148" spans="3:14" s="280" customFormat="1" ht="19.8" customHeight="1">
      <c r="C148" s="281">
        <v>2</v>
      </c>
      <c r="D148" s="182" t="s">
        <v>7</v>
      </c>
      <c r="E148" s="176" t="s">
        <v>1775</v>
      </c>
      <c r="F148" s="176" t="s">
        <v>6</v>
      </c>
      <c r="G148" s="315">
        <v>0.24399999999999999</v>
      </c>
      <c r="H148" s="283">
        <f>VLOOKUP(D148,upahbahan,3,FALSE)</f>
        <v>135000</v>
      </c>
      <c r="I148" s="284">
        <f t="shared" ref="I148:I151" si="12">G148*H148</f>
        <v>32940</v>
      </c>
      <c r="J148" s="119"/>
      <c r="K148" s="59"/>
      <c r="L148" s="59"/>
      <c r="M148" s="59"/>
      <c r="N148" s="65"/>
    </row>
    <row r="149" spans="3:14" s="280" customFormat="1" ht="19.8" customHeight="1">
      <c r="C149" s="281">
        <v>3</v>
      </c>
      <c r="D149" s="182" t="s">
        <v>2492</v>
      </c>
      <c r="E149" s="176" t="s">
        <v>2490</v>
      </c>
      <c r="F149" s="176" t="s">
        <v>2102</v>
      </c>
      <c r="G149" s="315">
        <v>0.128</v>
      </c>
      <c r="H149" s="283">
        <f>VLOOKUP(D149,upahbahan,3,FALSE)</f>
        <v>145000</v>
      </c>
      <c r="I149" s="284">
        <f t="shared" si="12"/>
        <v>18560</v>
      </c>
      <c r="J149" s="119"/>
      <c r="K149" s="59"/>
      <c r="L149" s="59"/>
      <c r="M149" s="59"/>
      <c r="N149" s="65"/>
    </row>
    <row r="150" spans="3:14" s="59" customFormat="1" ht="19.8" customHeight="1">
      <c r="C150" s="281">
        <v>4</v>
      </c>
      <c r="D150" s="182" t="s">
        <v>18</v>
      </c>
      <c r="E150" s="176" t="s">
        <v>1776</v>
      </c>
      <c r="F150" s="176" t="s">
        <v>6</v>
      </c>
      <c r="G150" s="315">
        <v>3.4000000000000002E-2</v>
      </c>
      <c r="H150" s="283">
        <f>VLOOKUP(D150,upahbahan,3,FALSE)</f>
        <v>150000</v>
      </c>
      <c r="I150" s="284">
        <f t="shared" si="12"/>
        <v>5100</v>
      </c>
      <c r="J150" s="119"/>
    </row>
    <row r="151" spans="3:14" s="59" customFormat="1" ht="19.8" customHeight="1">
      <c r="C151" s="281">
        <v>5</v>
      </c>
      <c r="D151" s="182" t="s">
        <v>19</v>
      </c>
      <c r="E151" s="176" t="s">
        <v>1777</v>
      </c>
      <c r="F151" s="176" t="s">
        <v>6</v>
      </c>
      <c r="G151" s="315">
        <v>1.0999999999999999E-2</v>
      </c>
      <c r="H151" s="283">
        <f>VLOOKUP(D151,upahbahan,3,FALSE)</f>
        <v>160000</v>
      </c>
      <c r="I151" s="284">
        <f t="shared" si="12"/>
        <v>1760</v>
      </c>
      <c r="J151" s="119"/>
    </row>
    <row r="152" spans="3:14" s="280" customFormat="1" ht="19.8" customHeight="1">
      <c r="C152" s="66" t="s">
        <v>1208</v>
      </c>
      <c r="D152" s="67"/>
      <c r="E152" s="67"/>
      <c r="F152" s="67"/>
      <c r="G152" s="68"/>
      <c r="H152" s="69"/>
      <c r="I152" s="284">
        <f>SUM(I147:I151)</f>
        <v>64760</v>
      </c>
      <c r="J152" s="119"/>
    </row>
    <row r="153" spans="3:14" s="280" customFormat="1" ht="19.8" customHeight="1">
      <c r="C153" s="290" t="s">
        <v>1209</v>
      </c>
      <c r="D153" s="182" t="s">
        <v>1210</v>
      </c>
      <c r="E153" s="182"/>
      <c r="F153" s="70"/>
      <c r="G153" s="70"/>
      <c r="H153" s="70"/>
      <c r="I153" s="71"/>
      <c r="J153" s="119"/>
    </row>
    <row r="154" spans="3:14" s="280" customFormat="1" ht="19.8" customHeight="1">
      <c r="C154" s="66" t="s">
        <v>1214</v>
      </c>
      <c r="D154" s="67"/>
      <c r="E154" s="67"/>
      <c r="F154" s="67"/>
      <c r="G154" s="67"/>
      <c r="H154" s="69"/>
      <c r="I154" s="284">
        <f>SUM(I153)</f>
        <v>0</v>
      </c>
      <c r="J154" s="119"/>
    </row>
    <row r="155" spans="3:14" s="280" customFormat="1" ht="19.8" customHeight="1">
      <c r="C155" s="290" t="s">
        <v>1215</v>
      </c>
      <c r="D155" s="182" t="s">
        <v>1216</v>
      </c>
      <c r="E155" s="182"/>
      <c r="F155" s="70"/>
      <c r="G155" s="70"/>
      <c r="H155" s="70"/>
      <c r="I155" s="71"/>
      <c r="J155" s="119"/>
    </row>
    <row r="156" spans="3:14" s="280" customFormat="1" ht="19.8" customHeight="1">
      <c r="C156" s="66" t="s">
        <v>1217</v>
      </c>
      <c r="D156" s="67"/>
      <c r="E156" s="67"/>
      <c r="F156" s="67"/>
      <c r="G156" s="67"/>
      <c r="H156" s="69"/>
      <c r="I156" s="292">
        <f>SUM(I155)</f>
        <v>0</v>
      </c>
      <c r="J156" s="119"/>
    </row>
    <row r="157" spans="3:14" s="297" customFormat="1" ht="19.8" customHeight="1">
      <c r="C157" s="293" t="s">
        <v>1218</v>
      </c>
      <c r="D157" s="294" t="s">
        <v>1219</v>
      </c>
      <c r="E157" s="295"/>
      <c r="F157" s="295"/>
      <c r="G157" s="295"/>
      <c r="H157" s="296"/>
      <c r="I157" s="284">
        <f>I156+I154+I152</f>
        <v>64760</v>
      </c>
      <c r="J157" s="119"/>
    </row>
    <row r="158" spans="3:14" s="297" customFormat="1" ht="19.8" customHeight="1">
      <c r="C158" s="293" t="s">
        <v>1220</v>
      </c>
      <c r="D158" s="294" t="s">
        <v>1321</v>
      </c>
      <c r="E158" s="295"/>
      <c r="F158" s="295"/>
      <c r="G158" s="296"/>
      <c r="H158" s="298">
        <v>0.1</v>
      </c>
      <c r="I158" s="284">
        <f>I157*H158</f>
        <v>6476</v>
      </c>
      <c r="J158" s="119"/>
    </row>
    <row r="159" spans="3:14" s="297" customFormat="1" ht="19.8" customHeight="1" thickBot="1">
      <c r="C159" s="299" t="s">
        <v>1221</v>
      </c>
      <c r="D159" s="300" t="s">
        <v>1222</v>
      </c>
      <c r="E159" s="301"/>
      <c r="F159" s="301"/>
      <c r="G159" s="301"/>
      <c r="H159" s="302"/>
      <c r="I159" s="303">
        <f>SUM(I157:I158)</f>
        <v>71236</v>
      </c>
      <c r="J159" s="119"/>
    </row>
    <row r="160" spans="3:14" ht="19.8" customHeight="1" thickTop="1">
      <c r="C160" s="360" t="s">
        <v>1827</v>
      </c>
      <c r="D160" s="297" t="s">
        <v>2491</v>
      </c>
    </row>
    <row r="162" spans="3:14" s="280" customFormat="1" ht="30.15" customHeight="1" thickBot="1">
      <c r="C162" s="126" t="s">
        <v>2493</v>
      </c>
      <c r="D162" s="123" t="s">
        <v>2494</v>
      </c>
      <c r="E162" s="123"/>
      <c r="F162" s="123"/>
      <c r="G162" s="123"/>
      <c r="H162" s="123"/>
      <c r="I162" s="123"/>
      <c r="J162" s="120">
        <f>ROUNDDOWN(I177,-2)</f>
        <v>73700</v>
      </c>
    </row>
    <row r="163" spans="3:14" s="289" customFormat="1" ht="31.65" customHeight="1" thickTop="1">
      <c r="C163" s="51" t="s">
        <v>1195</v>
      </c>
      <c r="D163" s="52" t="s">
        <v>1196</v>
      </c>
      <c r="E163" s="52" t="s">
        <v>1906</v>
      </c>
      <c r="F163" s="52" t="s">
        <v>1197</v>
      </c>
      <c r="G163" s="52" t="s">
        <v>1198</v>
      </c>
      <c r="H163" s="52" t="s">
        <v>1199</v>
      </c>
      <c r="I163" s="53" t="s">
        <v>1200</v>
      </c>
      <c r="J163" s="126"/>
    </row>
    <row r="164" spans="3:14" s="280" customFormat="1" ht="21.6" customHeight="1">
      <c r="C164" s="290" t="s">
        <v>1201</v>
      </c>
      <c r="D164" s="182" t="s">
        <v>1202</v>
      </c>
      <c r="E164" s="182"/>
      <c r="F164" s="70"/>
      <c r="G164" s="70"/>
      <c r="H164" s="70"/>
      <c r="I164" s="71"/>
      <c r="J164" s="119"/>
      <c r="K164" s="59" t="s">
        <v>1247</v>
      </c>
      <c r="L164" s="59"/>
      <c r="M164" s="59"/>
      <c r="N164" s="59"/>
    </row>
    <row r="165" spans="3:14" s="280" customFormat="1" ht="21.6" customHeight="1">
      <c r="C165" s="281">
        <v>1</v>
      </c>
      <c r="D165" s="182" t="s">
        <v>5</v>
      </c>
      <c r="E165" s="176" t="s">
        <v>1774</v>
      </c>
      <c r="F165" s="176" t="s">
        <v>6</v>
      </c>
      <c r="G165" s="315">
        <v>6.9000000000000006E-2</v>
      </c>
      <c r="H165" s="283">
        <f>VLOOKUP(D165,upahbahan,3,FALSE)</f>
        <v>100000</v>
      </c>
      <c r="I165" s="284">
        <f>G165*H165</f>
        <v>6900.0000000000009</v>
      </c>
      <c r="J165" s="119"/>
      <c r="K165" s="59" t="s">
        <v>1248</v>
      </c>
      <c r="L165" s="59"/>
      <c r="M165" s="59"/>
      <c r="N165" s="65">
        <v>0.1</v>
      </c>
    </row>
    <row r="166" spans="3:14" s="280" customFormat="1" ht="21.6" customHeight="1">
      <c r="C166" s="281">
        <v>2</v>
      </c>
      <c r="D166" s="182" t="s">
        <v>7</v>
      </c>
      <c r="E166" s="176" t="s">
        <v>1775</v>
      </c>
      <c r="F166" s="176" t="s">
        <v>6</v>
      </c>
      <c r="G166" s="315">
        <v>0.24199999999999999</v>
      </c>
      <c r="H166" s="283">
        <f>VLOOKUP(D166,upahbahan,3,FALSE)</f>
        <v>135000</v>
      </c>
      <c r="I166" s="284">
        <f t="shared" ref="I166:I169" si="13">G166*H166</f>
        <v>32670</v>
      </c>
      <c r="J166" s="119"/>
      <c r="K166" s="59"/>
      <c r="L166" s="59"/>
      <c r="M166" s="59"/>
      <c r="N166" s="65"/>
    </row>
    <row r="167" spans="3:14" s="280" customFormat="1" ht="21.6" customHeight="1">
      <c r="C167" s="281">
        <v>3</v>
      </c>
      <c r="D167" s="182" t="s">
        <v>2492</v>
      </c>
      <c r="E167" s="176" t="s">
        <v>2490</v>
      </c>
      <c r="F167" s="176" t="s">
        <v>2102</v>
      </c>
      <c r="G167" s="315">
        <v>0.13800000000000001</v>
      </c>
      <c r="H167" s="283">
        <f>VLOOKUP(D167,upahbahan,3,FALSE)</f>
        <v>145000</v>
      </c>
      <c r="I167" s="284">
        <f t="shared" si="13"/>
        <v>20010</v>
      </c>
      <c r="J167" s="119"/>
      <c r="K167" s="59"/>
      <c r="L167" s="59"/>
      <c r="M167" s="59"/>
      <c r="N167" s="65"/>
    </row>
    <row r="168" spans="3:14" s="59" customFormat="1" ht="21.6" customHeight="1">
      <c r="C168" s="281">
        <v>4</v>
      </c>
      <c r="D168" s="182" t="s">
        <v>18</v>
      </c>
      <c r="E168" s="176" t="s">
        <v>1776</v>
      </c>
      <c r="F168" s="176" t="s">
        <v>6</v>
      </c>
      <c r="G168" s="315">
        <v>3.6999999999999998E-2</v>
      </c>
      <c r="H168" s="283">
        <f>VLOOKUP(D168,upahbahan,3,FALSE)</f>
        <v>150000</v>
      </c>
      <c r="I168" s="284">
        <f t="shared" si="13"/>
        <v>5550</v>
      </c>
      <c r="J168" s="119"/>
    </row>
    <row r="169" spans="3:14" s="59" customFormat="1" ht="21.6" customHeight="1">
      <c r="C169" s="281">
        <v>5</v>
      </c>
      <c r="D169" s="182" t="s">
        <v>19</v>
      </c>
      <c r="E169" s="176" t="s">
        <v>1777</v>
      </c>
      <c r="F169" s="176" t="s">
        <v>6</v>
      </c>
      <c r="G169" s="315">
        <v>1.2E-2</v>
      </c>
      <c r="H169" s="283">
        <f>VLOOKUP(D169,upahbahan,3,FALSE)</f>
        <v>160000</v>
      </c>
      <c r="I169" s="284">
        <f t="shared" si="13"/>
        <v>1920</v>
      </c>
      <c r="J169" s="119"/>
    </row>
    <row r="170" spans="3:14" s="280" customFormat="1" ht="21.6" customHeight="1">
      <c r="C170" s="66" t="s">
        <v>1208</v>
      </c>
      <c r="D170" s="67"/>
      <c r="E170" s="67"/>
      <c r="F170" s="67"/>
      <c r="G170" s="68"/>
      <c r="H170" s="69"/>
      <c r="I170" s="284">
        <f>SUM(I165:I169)</f>
        <v>67050</v>
      </c>
      <c r="J170" s="119"/>
    </row>
    <row r="171" spans="3:14" s="280" customFormat="1" ht="21.6" customHeight="1">
      <c r="C171" s="290" t="s">
        <v>1209</v>
      </c>
      <c r="D171" s="182" t="s">
        <v>1210</v>
      </c>
      <c r="E171" s="182"/>
      <c r="F171" s="70"/>
      <c r="G171" s="70"/>
      <c r="H171" s="70"/>
      <c r="I171" s="71"/>
      <c r="J171" s="119"/>
    </row>
    <row r="172" spans="3:14" s="280" customFormat="1" ht="21.6" customHeight="1">
      <c r="C172" s="66" t="s">
        <v>1214</v>
      </c>
      <c r="D172" s="67"/>
      <c r="E172" s="67"/>
      <c r="F172" s="67"/>
      <c r="G172" s="67"/>
      <c r="H172" s="69"/>
      <c r="I172" s="284">
        <f>SUM(I171)</f>
        <v>0</v>
      </c>
      <c r="J172" s="119"/>
    </row>
    <row r="173" spans="3:14" s="280" customFormat="1" ht="21.6" customHeight="1">
      <c r="C173" s="290" t="s">
        <v>1215</v>
      </c>
      <c r="D173" s="182" t="s">
        <v>1216</v>
      </c>
      <c r="E173" s="182"/>
      <c r="F173" s="70"/>
      <c r="G173" s="70"/>
      <c r="H173" s="70"/>
      <c r="I173" s="71"/>
      <c r="J173" s="119"/>
    </row>
    <row r="174" spans="3:14" s="280" customFormat="1" ht="21.6" customHeight="1">
      <c r="C174" s="66" t="s">
        <v>1217</v>
      </c>
      <c r="D174" s="67"/>
      <c r="E174" s="67"/>
      <c r="F174" s="67"/>
      <c r="G174" s="67"/>
      <c r="H174" s="69"/>
      <c r="I174" s="292">
        <f>SUM(I173)</f>
        <v>0</v>
      </c>
      <c r="J174" s="119"/>
    </row>
    <row r="175" spans="3:14" s="297" customFormat="1" ht="21.6" customHeight="1">
      <c r="C175" s="293" t="s">
        <v>1218</v>
      </c>
      <c r="D175" s="294" t="s">
        <v>1219</v>
      </c>
      <c r="E175" s="295"/>
      <c r="F175" s="295"/>
      <c r="G175" s="295"/>
      <c r="H175" s="296"/>
      <c r="I175" s="284">
        <f>I174+I172+I170</f>
        <v>67050</v>
      </c>
      <c r="J175" s="119"/>
    </row>
    <row r="176" spans="3:14" s="297" customFormat="1" ht="21.6" customHeight="1">
      <c r="C176" s="293" t="s">
        <v>1220</v>
      </c>
      <c r="D176" s="294" t="s">
        <v>1321</v>
      </c>
      <c r="E176" s="295"/>
      <c r="F176" s="295"/>
      <c r="G176" s="296"/>
      <c r="H176" s="298">
        <v>0.1</v>
      </c>
      <c r="I176" s="284">
        <f>I175*H176</f>
        <v>6705</v>
      </c>
      <c r="J176" s="119"/>
    </row>
    <row r="177" spans="3:14" s="297" customFormat="1" ht="21.6" customHeight="1" thickBot="1">
      <c r="C177" s="299" t="s">
        <v>1221</v>
      </c>
      <c r="D177" s="300" t="s">
        <v>1222</v>
      </c>
      <c r="E177" s="301"/>
      <c r="F177" s="301"/>
      <c r="G177" s="301"/>
      <c r="H177" s="302"/>
      <c r="I177" s="303">
        <f>SUM(I175:I176)</f>
        <v>73755</v>
      </c>
      <c r="J177" s="119"/>
    </row>
    <row r="178" spans="3:14" ht="21.6" customHeight="1" thickTop="1">
      <c r="C178" s="360" t="s">
        <v>1827</v>
      </c>
      <c r="D178" s="297" t="s">
        <v>2491</v>
      </c>
    </row>
    <row r="180" spans="3:14" s="280" customFormat="1" ht="30.15" customHeight="1" thickBot="1">
      <c r="C180" s="126" t="s">
        <v>2495</v>
      </c>
      <c r="D180" s="123" t="s">
        <v>2496</v>
      </c>
      <c r="E180" s="123"/>
      <c r="F180" s="123"/>
      <c r="G180" s="123"/>
      <c r="H180" s="123"/>
      <c r="I180" s="123"/>
      <c r="J180" s="120">
        <f>ROUNDDOWN(I195,-2)</f>
        <v>65100</v>
      </c>
    </row>
    <row r="181" spans="3:14" s="289" customFormat="1" ht="31.65" customHeight="1" thickTop="1">
      <c r="C181" s="51" t="s">
        <v>1195</v>
      </c>
      <c r="D181" s="52" t="s">
        <v>1196</v>
      </c>
      <c r="E181" s="52" t="s">
        <v>1906</v>
      </c>
      <c r="F181" s="52" t="s">
        <v>1197</v>
      </c>
      <c r="G181" s="52" t="s">
        <v>1198</v>
      </c>
      <c r="H181" s="52" t="s">
        <v>1199</v>
      </c>
      <c r="I181" s="53" t="s">
        <v>1200</v>
      </c>
      <c r="J181" s="126"/>
    </row>
    <row r="182" spans="3:14" s="280" customFormat="1" ht="20.399999999999999" customHeight="1">
      <c r="C182" s="290" t="s">
        <v>1201</v>
      </c>
      <c r="D182" s="182" t="s">
        <v>1202</v>
      </c>
      <c r="E182" s="182"/>
      <c r="F182" s="70"/>
      <c r="G182" s="70"/>
      <c r="H182" s="70"/>
      <c r="I182" s="71"/>
      <c r="J182" s="119"/>
      <c r="K182" s="59" t="s">
        <v>1247</v>
      </c>
      <c r="L182" s="59"/>
      <c r="M182" s="59"/>
      <c r="N182" s="59"/>
    </row>
    <row r="183" spans="3:14" s="280" customFormat="1" ht="20.399999999999999" customHeight="1">
      <c r="C183" s="281">
        <v>1</v>
      </c>
      <c r="D183" s="182" t="s">
        <v>5</v>
      </c>
      <c r="E183" s="176" t="s">
        <v>1774</v>
      </c>
      <c r="F183" s="176" t="s">
        <v>6</v>
      </c>
      <c r="G183" s="315">
        <v>6.0999999999999999E-2</v>
      </c>
      <c r="H183" s="283">
        <f>VLOOKUP(D183,upahbahan,3,FALSE)</f>
        <v>100000</v>
      </c>
      <c r="I183" s="284">
        <f>G183*H183</f>
        <v>6100</v>
      </c>
      <c r="J183" s="119"/>
      <c r="K183" s="59" t="s">
        <v>1248</v>
      </c>
      <c r="L183" s="59"/>
      <c r="M183" s="59"/>
      <c r="N183" s="65">
        <v>0.1</v>
      </c>
    </row>
    <row r="184" spans="3:14" s="280" customFormat="1" ht="20.399999999999999" customHeight="1">
      <c r="C184" s="281">
        <v>2</v>
      </c>
      <c r="D184" s="182" t="s">
        <v>7</v>
      </c>
      <c r="E184" s="176" t="s">
        <v>1775</v>
      </c>
      <c r="F184" s="176" t="s">
        <v>6</v>
      </c>
      <c r="G184" s="315">
        <v>0.21299999999999999</v>
      </c>
      <c r="H184" s="283">
        <f>VLOOKUP(D184,upahbahan,3,FALSE)</f>
        <v>135000</v>
      </c>
      <c r="I184" s="284">
        <f t="shared" ref="I184:I187" si="14">G184*H184</f>
        <v>28755</v>
      </c>
      <c r="J184" s="119"/>
      <c r="K184" s="59"/>
      <c r="L184" s="59"/>
      <c r="M184" s="59"/>
      <c r="N184" s="65"/>
    </row>
    <row r="185" spans="3:14" s="280" customFormat="1" ht="20.399999999999999" customHeight="1">
      <c r="C185" s="281">
        <v>3</v>
      </c>
      <c r="D185" s="182" t="s">
        <v>2492</v>
      </c>
      <c r="E185" s="176" t="s">
        <v>2490</v>
      </c>
      <c r="F185" s="176" t="s">
        <v>2102</v>
      </c>
      <c r="G185" s="315">
        <v>0.122</v>
      </c>
      <c r="H185" s="283">
        <f>VLOOKUP(D185,upahbahan,3,FALSE)</f>
        <v>145000</v>
      </c>
      <c r="I185" s="284">
        <f t="shared" si="14"/>
        <v>17690</v>
      </c>
      <c r="J185" s="119"/>
      <c r="K185" s="59"/>
      <c r="L185" s="59"/>
      <c r="M185" s="59"/>
      <c r="N185" s="65"/>
    </row>
    <row r="186" spans="3:14" s="59" customFormat="1" ht="20.399999999999999" customHeight="1">
      <c r="C186" s="281">
        <v>4</v>
      </c>
      <c r="D186" s="182" t="s">
        <v>18</v>
      </c>
      <c r="E186" s="176" t="s">
        <v>1776</v>
      </c>
      <c r="F186" s="176" t="s">
        <v>6</v>
      </c>
      <c r="G186" s="315">
        <v>3.3000000000000002E-2</v>
      </c>
      <c r="H186" s="283">
        <f>VLOOKUP(D186,upahbahan,3,FALSE)</f>
        <v>150000</v>
      </c>
      <c r="I186" s="284">
        <f t="shared" si="14"/>
        <v>4950</v>
      </c>
      <c r="J186" s="119"/>
    </row>
    <row r="187" spans="3:14" s="59" customFormat="1" ht="20.399999999999999" customHeight="1">
      <c r="C187" s="281">
        <v>5</v>
      </c>
      <c r="D187" s="182" t="s">
        <v>19</v>
      </c>
      <c r="E187" s="176" t="s">
        <v>1777</v>
      </c>
      <c r="F187" s="176" t="s">
        <v>6</v>
      </c>
      <c r="G187" s="315">
        <v>1.0999999999999999E-2</v>
      </c>
      <c r="H187" s="283">
        <f>VLOOKUP(D187,upahbahan,3,FALSE)</f>
        <v>160000</v>
      </c>
      <c r="I187" s="284">
        <f t="shared" si="14"/>
        <v>1760</v>
      </c>
      <c r="J187" s="119"/>
    </row>
    <row r="188" spans="3:14" s="280" customFormat="1" ht="20.399999999999999" customHeight="1">
      <c r="C188" s="66" t="s">
        <v>1208</v>
      </c>
      <c r="D188" s="67"/>
      <c r="E188" s="67"/>
      <c r="F188" s="67"/>
      <c r="G188" s="68"/>
      <c r="H188" s="69"/>
      <c r="I188" s="284">
        <f>SUM(I183:I187)</f>
        <v>59255</v>
      </c>
      <c r="J188" s="119"/>
    </row>
    <row r="189" spans="3:14" s="280" customFormat="1" ht="20.399999999999999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  <c r="J189" s="119"/>
    </row>
    <row r="190" spans="3:14" s="280" customFormat="1" ht="20.399999999999999" customHeight="1">
      <c r="C190" s="66" t="s">
        <v>1214</v>
      </c>
      <c r="D190" s="67"/>
      <c r="E190" s="67"/>
      <c r="F190" s="67"/>
      <c r="G190" s="67"/>
      <c r="H190" s="69"/>
      <c r="I190" s="284">
        <f>SUM(I189)</f>
        <v>0</v>
      </c>
      <c r="J190" s="119"/>
    </row>
    <row r="191" spans="3:14" s="280" customFormat="1" ht="20.399999999999999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  <c r="J191" s="119"/>
    </row>
    <row r="192" spans="3:14" s="280" customFormat="1" ht="20.399999999999999" customHeight="1">
      <c r="C192" s="66" t="s">
        <v>1217</v>
      </c>
      <c r="D192" s="67"/>
      <c r="E192" s="67"/>
      <c r="F192" s="67"/>
      <c r="G192" s="67"/>
      <c r="H192" s="69"/>
      <c r="I192" s="292">
        <f>SUM(I191)</f>
        <v>0</v>
      </c>
      <c r="J192" s="119"/>
    </row>
    <row r="193" spans="3:14" s="297" customFormat="1" ht="20.399999999999999" customHeight="1">
      <c r="C193" s="293" t="s">
        <v>1218</v>
      </c>
      <c r="D193" s="294" t="s">
        <v>1219</v>
      </c>
      <c r="E193" s="295"/>
      <c r="F193" s="295"/>
      <c r="G193" s="295"/>
      <c r="H193" s="296"/>
      <c r="I193" s="284">
        <f>I192+I190+I188</f>
        <v>59255</v>
      </c>
      <c r="J193" s="119"/>
    </row>
    <row r="194" spans="3:14" s="297" customFormat="1" ht="20.399999999999999" customHeight="1">
      <c r="C194" s="293" t="s">
        <v>1220</v>
      </c>
      <c r="D194" s="294" t="s">
        <v>1321</v>
      </c>
      <c r="E194" s="295"/>
      <c r="F194" s="295"/>
      <c r="G194" s="296"/>
      <c r="H194" s="298">
        <v>0.1</v>
      </c>
      <c r="I194" s="284">
        <f>I193*H194</f>
        <v>5925.5</v>
      </c>
      <c r="J194" s="119"/>
    </row>
    <row r="195" spans="3:14" s="297" customFormat="1" ht="20.399999999999999" customHeight="1" thickBot="1">
      <c r="C195" s="299" t="s">
        <v>1221</v>
      </c>
      <c r="D195" s="300" t="s">
        <v>1222</v>
      </c>
      <c r="E195" s="301"/>
      <c r="F195" s="301"/>
      <c r="G195" s="301"/>
      <c r="H195" s="302"/>
      <c r="I195" s="303">
        <f>SUM(I193:I194)</f>
        <v>65180.5</v>
      </c>
      <c r="J195" s="119"/>
    </row>
    <row r="196" spans="3:14" s="297" customFormat="1" ht="14.4" thickTop="1">
      <c r="C196" s="289" t="s">
        <v>1247</v>
      </c>
      <c r="I196" s="139"/>
      <c r="J196" s="119"/>
    </row>
    <row r="197" spans="3:14" ht="13.8">
      <c r="C197" s="335" t="s">
        <v>1827</v>
      </c>
      <c r="D197" s="122" t="s">
        <v>2491</v>
      </c>
    </row>
    <row r="199" spans="3:14" ht="13.8">
      <c r="C199" s="126" t="s">
        <v>2497</v>
      </c>
      <c r="D199" s="138" t="s">
        <v>2498</v>
      </c>
    </row>
    <row r="200" spans="3:14" s="280" customFormat="1" ht="16.5" customHeight="1" thickBot="1">
      <c r="C200" s="126" t="s">
        <v>2499</v>
      </c>
      <c r="D200" s="123" t="s">
        <v>2500</v>
      </c>
      <c r="E200" s="123"/>
      <c r="F200" s="123"/>
      <c r="G200" s="123"/>
      <c r="H200" s="123"/>
      <c r="I200" s="123"/>
      <c r="J200" s="120">
        <f>ROUNDDOWN(I214,-2)</f>
        <v>78400</v>
      </c>
    </row>
    <row r="201" spans="3:14" s="289" customFormat="1" ht="31.65" customHeight="1" thickTop="1">
      <c r="C201" s="51" t="s">
        <v>1195</v>
      </c>
      <c r="D201" s="52" t="s">
        <v>1196</v>
      </c>
      <c r="E201" s="52" t="s">
        <v>1906</v>
      </c>
      <c r="F201" s="52" t="s">
        <v>1197</v>
      </c>
      <c r="G201" s="52" t="s">
        <v>1198</v>
      </c>
      <c r="H201" s="52" t="s">
        <v>1199</v>
      </c>
      <c r="I201" s="53" t="s">
        <v>1200</v>
      </c>
      <c r="J201" s="126"/>
    </row>
    <row r="202" spans="3:14" s="280" customFormat="1" ht="21.6" customHeight="1">
      <c r="C202" s="290" t="s">
        <v>1201</v>
      </c>
      <c r="D202" s="182" t="s">
        <v>1202</v>
      </c>
      <c r="E202" s="182"/>
      <c r="F202" s="70"/>
      <c r="G202" s="70"/>
      <c r="H202" s="70"/>
      <c r="I202" s="71"/>
      <c r="J202" s="119"/>
      <c r="K202" s="59" t="s">
        <v>1247</v>
      </c>
      <c r="L202" s="59"/>
      <c r="M202" s="59"/>
      <c r="N202" s="59"/>
    </row>
    <row r="203" spans="3:14" s="280" customFormat="1" ht="21.6" customHeight="1">
      <c r="C203" s="281">
        <v>1</v>
      </c>
      <c r="D203" s="182" t="s">
        <v>7</v>
      </c>
      <c r="E203" s="176" t="s">
        <v>1775</v>
      </c>
      <c r="F203" s="176" t="s">
        <v>6</v>
      </c>
      <c r="G203" s="315">
        <v>3.7999999999999999E-2</v>
      </c>
      <c r="H203" s="283">
        <f>VLOOKUP(D203,upahbahan,3,FALSE)</f>
        <v>135000</v>
      </c>
      <c r="I203" s="284">
        <f t="shared" ref="I203:I205" si="15">G203*H203</f>
        <v>5130</v>
      </c>
      <c r="J203" s="119"/>
      <c r="K203" s="59"/>
      <c r="L203" s="59"/>
      <c r="M203" s="59"/>
      <c r="N203" s="65"/>
    </row>
    <row r="204" spans="3:14" s="59" customFormat="1" ht="21.6" customHeight="1">
      <c r="C204" s="281">
        <v>2</v>
      </c>
      <c r="D204" s="182" t="s">
        <v>18</v>
      </c>
      <c r="E204" s="176" t="s">
        <v>1776</v>
      </c>
      <c r="F204" s="176" t="s">
        <v>6</v>
      </c>
      <c r="G204" s="315">
        <v>3.8E-3</v>
      </c>
      <c r="H204" s="283">
        <f>VLOOKUP(D204,upahbahan,3,FALSE)</f>
        <v>150000</v>
      </c>
      <c r="I204" s="284">
        <f t="shared" si="15"/>
        <v>570</v>
      </c>
      <c r="J204" s="119"/>
    </row>
    <row r="205" spans="3:14" s="59" customFormat="1" ht="21.6" customHeight="1">
      <c r="C205" s="281">
        <v>3</v>
      </c>
      <c r="D205" s="182" t="s">
        <v>19</v>
      </c>
      <c r="E205" s="176" t="s">
        <v>1777</v>
      </c>
      <c r="F205" s="176" t="s">
        <v>6</v>
      </c>
      <c r="G205" s="315">
        <v>1E-3</v>
      </c>
      <c r="H205" s="283">
        <f>VLOOKUP(D205,upahbahan,3,FALSE)</f>
        <v>160000</v>
      </c>
      <c r="I205" s="284">
        <f t="shared" si="15"/>
        <v>160</v>
      </c>
      <c r="J205" s="119"/>
    </row>
    <row r="206" spans="3:14" s="280" customFormat="1" ht="21.6" customHeight="1">
      <c r="C206" s="66" t="s">
        <v>1208</v>
      </c>
      <c r="D206" s="67"/>
      <c r="E206" s="67"/>
      <c r="F206" s="67"/>
      <c r="G206" s="68"/>
      <c r="H206" s="69"/>
      <c r="I206" s="284">
        <f>SUM(I203:I205)</f>
        <v>5860</v>
      </c>
      <c r="J206" s="119"/>
    </row>
    <row r="207" spans="3:14" s="280" customFormat="1" ht="21.6" customHeight="1">
      <c r="C207" s="290" t="s">
        <v>1209</v>
      </c>
      <c r="D207" s="182" t="s">
        <v>1210</v>
      </c>
      <c r="E207" s="182"/>
      <c r="F207" s="70"/>
      <c r="G207" s="70"/>
      <c r="H207" s="70"/>
      <c r="I207" s="71"/>
      <c r="J207" s="119"/>
    </row>
    <row r="208" spans="3:14" s="280" customFormat="1" ht="21.6" customHeight="1">
      <c r="C208" s="66" t="s">
        <v>1214</v>
      </c>
      <c r="D208" s="67"/>
      <c r="E208" s="67"/>
      <c r="F208" s="67"/>
      <c r="G208" s="67"/>
      <c r="H208" s="69"/>
      <c r="I208" s="284">
        <f>SUM(I207)</f>
        <v>0</v>
      </c>
      <c r="J208" s="119"/>
    </row>
    <row r="209" spans="3:14" s="280" customFormat="1" ht="21.6" customHeight="1">
      <c r="C209" s="290" t="s">
        <v>1215</v>
      </c>
      <c r="D209" s="182" t="s">
        <v>1216</v>
      </c>
      <c r="E209" s="182"/>
      <c r="F209" s="70"/>
      <c r="G209" s="70"/>
      <c r="H209" s="70"/>
      <c r="I209" s="71"/>
      <c r="J209" s="119"/>
    </row>
    <row r="210" spans="3:14" s="280" customFormat="1" ht="21.6" customHeight="1">
      <c r="C210" s="181">
        <v>1</v>
      </c>
      <c r="D210" s="361" t="s">
        <v>2502</v>
      </c>
      <c r="E210" s="361"/>
      <c r="F210" s="362" t="s">
        <v>2501</v>
      </c>
      <c r="G210" s="130">
        <v>1.9E-2</v>
      </c>
      <c r="H210" s="283">
        <f>VLOOKUP(D210,upahbahan,3,FALSE)</f>
        <v>3442900</v>
      </c>
      <c r="I210" s="284">
        <f>G210*H210</f>
        <v>65415.1</v>
      </c>
      <c r="J210" s="119"/>
    </row>
    <row r="211" spans="3:14" s="280" customFormat="1" ht="21.6" customHeight="1">
      <c r="C211" s="66" t="s">
        <v>1217</v>
      </c>
      <c r="D211" s="131"/>
      <c r="E211" s="131"/>
      <c r="F211" s="131"/>
      <c r="G211" s="131"/>
      <c r="H211" s="132"/>
      <c r="I211" s="292">
        <f>SUM(I209:I210)</f>
        <v>65415.1</v>
      </c>
      <c r="J211" s="119"/>
    </row>
    <row r="212" spans="3:14" s="297" customFormat="1" ht="21.6" customHeight="1">
      <c r="C212" s="293" t="s">
        <v>1218</v>
      </c>
      <c r="D212" s="294" t="s">
        <v>1219</v>
      </c>
      <c r="E212" s="295"/>
      <c r="F212" s="295"/>
      <c r="G212" s="295"/>
      <c r="H212" s="296"/>
      <c r="I212" s="284">
        <f>I211+I208+I206</f>
        <v>71275.100000000006</v>
      </c>
      <c r="J212" s="119"/>
    </row>
    <row r="213" spans="3:14" s="297" customFormat="1" ht="21.6" customHeight="1">
      <c r="C213" s="293" t="s">
        <v>1220</v>
      </c>
      <c r="D213" s="294" t="s">
        <v>1321</v>
      </c>
      <c r="E213" s="295"/>
      <c r="F213" s="295"/>
      <c r="G213" s="296"/>
      <c r="H213" s="298">
        <v>0.1</v>
      </c>
      <c r="I213" s="284">
        <f>I212*H213</f>
        <v>7127.5100000000011</v>
      </c>
      <c r="J213" s="119"/>
    </row>
    <row r="214" spans="3:14" s="297" customFormat="1" ht="21.6" customHeight="1" thickBot="1">
      <c r="C214" s="299" t="s">
        <v>1221</v>
      </c>
      <c r="D214" s="300" t="s">
        <v>1222</v>
      </c>
      <c r="E214" s="301"/>
      <c r="F214" s="301"/>
      <c r="G214" s="301"/>
      <c r="H214" s="302"/>
      <c r="I214" s="303">
        <f>SUM(I212:I213)</f>
        <v>78402.61</v>
      </c>
      <c r="J214" s="119"/>
    </row>
    <row r="215" spans="3:14" s="297" customFormat="1" ht="14.4" thickTop="1">
      <c r="C215" s="289"/>
      <c r="I215" s="139"/>
      <c r="J215" s="119"/>
    </row>
    <row r="216" spans="3:14" ht="13.8">
      <c r="C216" s="335"/>
    </row>
    <row r="217" spans="3:14" s="280" customFormat="1" ht="16.5" customHeight="1" thickBot="1">
      <c r="C217" s="126" t="s">
        <v>2503</v>
      </c>
      <c r="D217" s="123" t="s">
        <v>2504</v>
      </c>
      <c r="E217" s="123"/>
      <c r="F217" s="123"/>
      <c r="G217" s="123"/>
      <c r="H217" s="123"/>
      <c r="I217" s="123"/>
      <c r="J217" s="120">
        <f>ROUNDDOWN(I231,-2)</f>
        <v>78400</v>
      </c>
    </row>
    <row r="218" spans="3:14" s="289" customFormat="1" ht="31.65" customHeight="1" thickTop="1">
      <c r="C218" s="51" t="s">
        <v>1195</v>
      </c>
      <c r="D218" s="52" t="s">
        <v>1196</v>
      </c>
      <c r="E218" s="52" t="s">
        <v>1906</v>
      </c>
      <c r="F218" s="52" t="s">
        <v>1197</v>
      </c>
      <c r="G218" s="52" t="s">
        <v>1198</v>
      </c>
      <c r="H218" s="52" t="s">
        <v>1199</v>
      </c>
      <c r="I218" s="53" t="s">
        <v>1200</v>
      </c>
      <c r="J218" s="126"/>
    </row>
    <row r="219" spans="3:14" s="280" customFormat="1" ht="19.2" customHeight="1">
      <c r="C219" s="290" t="s">
        <v>1201</v>
      </c>
      <c r="D219" s="182" t="s">
        <v>1202</v>
      </c>
      <c r="E219" s="182"/>
      <c r="F219" s="70"/>
      <c r="G219" s="70"/>
      <c r="H219" s="70"/>
      <c r="I219" s="71"/>
      <c r="J219" s="119"/>
      <c r="K219" s="59" t="s">
        <v>1247</v>
      </c>
      <c r="L219" s="59"/>
      <c r="M219" s="59"/>
      <c r="N219" s="59"/>
    </row>
    <row r="220" spans="3:14" s="280" customFormat="1" ht="19.2" customHeight="1">
      <c r="C220" s="281">
        <v>1</v>
      </c>
      <c r="D220" s="182" t="s">
        <v>7</v>
      </c>
      <c r="E220" s="176" t="s">
        <v>1775</v>
      </c>
      <c r="F220" s="176" t="s">
        <v>6</v>
      </c>
      <c r="G220" s="315">
        <v>3.7999999999999999E-2</v>
      </c>
      <c r="H220" s="283">
        <f>VLOOKUP(D220,upahbahan,3,FALSE)</f>
        <v>135000</v>
      </c>
      <c r="I220" s="284">
        <f t="shared" ref="I220:I222" si="16">G220*H220</f>
        <v>5130</v>
      </c>
      <c r="J220" s="119"/>
      <c r="K220" s="59"/>
      <c r="L220" s="59"/>
      <c r="M220" s="59"/>
      <c r="N220" s="65"/>
    </row>
    <row r="221" spans="3:14" s="59" customFormat="1" ht="19.2" customHeight="1">
      <c r="C221" s="281">
        <v>2</v>
      </c>
      <c r="D221" s="182" t="s">
        <v>18</v>
      </c>
      <c r="E221" s="176" t="s">
        <v>1776</v>
      </c>
      <c r="F221" s="176" t="s">
        <v>6</v>
      </c>
      <c r="G221" s="315">
        <v>3.8E-3</v>
      </c>
      <c r="H221" s="283">
        <f>VLOOKUP(D221,upahbahan,3,FALSE)</f>
        <v>150000</v>
      </c>
      <c r="I221" s="284">
        <f t="shared" si="16"/>
        <v>570</v>
      </c>
      <c r="J221" s="119"/>
    </row>
    <row r="222" spans="3:14" s="59" customFormat="1" ht="19.2" customHeight="1">
      <c r="C222" s="281">
        <v>3</v>
      </c>
      <c r="D222" s="182" t="s">
        <v>19</v>
      </c>
      <c r="E222" s="176" t="s">
        <v>1777</v>
      </c>
      <c r="F222" s="176" t="s">
        <v>6</v>
      </c>
      <c r="G222" s="315">
        <v>1E-3</v>
      </c>
      <c r="H222" s="283">
        <f>VLOOKUP(D222,upahbahan,3,FALSE)</f>
        <v>160000</v>
      </c>
      <c r="I222" s="284">
        <f t="shared" si="16"/>
        <v>160</v>
      </c>
      <c r="J222" s="119"/>
    </row>
    <row r="223" spans="3:14" s="280" customFormat="1" ht="19.2" customHeight="1">
      <c r="C223" s="66" t="s">
        <v>1208</v>
      </c>
      <c r="D223" s="67"/>
      <c r="E223" s="67"/>
      <c r="F223" s="67"/>
      <c r="G223" s="68"/>
      <c r="H223" s="69"/>
      <c r="I223" s="284">
        <f>SUM(I220:I222)</f>
        <v>5860</v>
      </c>
      <c r="J223" s="119"/>
    </row>
    <row r="224" spans="3:14" s="280" customFormat="1" ht="19.2" customHeight="1">
      <c r="C224" s="290" t="s">
        <v>1209</v>
      </c>
      <c r="D224" s="182" t="s">
        <v>1210</v>
      </c>
      <c r="E224" s="182"/>
      <c r="F224" s="70"/>
      <c r="G224" s="70"/>
      <c r="H224" s="70"/>
      <c r="I224" s="71"/>
      <c r="J224" s="119"/>
    </row>
    <row r="225" spans="3:14" s="280" customFormat="1" ht="19.2" customHeight="1">
      <c r="C225" s="66" t="s">
        <v>1214</v>
      </c>
      <c r="D225" s="67"/>
      <c r="E225" s="67"/>
      <c r="F225" s="67"/>
      <c r="G225" s="67"/>
      <c r="H225" s="69"/>
      <c r="I225" s="284">
        <f>SUM(I224)</f>
        <v>0</v>
      </c>
      <c r="J225" s="119"/>
    </row>
    <row r="226" spans="3:14" s="280" customFormat="1" ht="19.2" customHeight="1">
      <c r="C226" s="290" t="s">
        <v>1215</v>
      </c>
      <c r="D226" s="182" t="s">
        <v>1216</v>
      </c>
      <c r="E226" s="182"/>
      <c r="F226" s="70"/>
      <c r="G226" s="70"/>
      <c r="H226" s="70"/>
      <c r="I226" s="71"/>
      <c r="J226" s="119"/>
    </row>
    <row r="227" spans="3:14" s="280" customFormat="1" ht="19.2" customHeight="1">
      <c r="C227" s="181">
        <v>1</v>
      </c>
      <c r="D227" s="361" t="s">
        <v>2502</v>
      </c>
      <c r="E227" s="361"/>
      <c r="F227" s="362" t="s">
        <v>2501</v>
      </c>
      <c r="G227" s="130">
        <v>1.9E-2</v>
      </c>
      <c r="H227" s="283">
        <f>VLOOKUP(D227,upahbahan,3,FALSE)</f>
        <v>3442900</v>
      </c>
      <c r="I227" s="284">
        <f>G227*H227</f>
        <v>65415.1</v>
      </c>
      <c r="J227" s="119"/>
    </row>
    <row r="228" spans="3:14" s="280" customFormat="1" ht="19.2" customHeight="1">
      <c r="C228" s="66" t="s">
        <v>1217</v>
      </c>
      <c r="D228" s="131"/>
      <c r="E228" s="131"/>
      <c r="F228" s="131"/>
      <c r="G228" s="131"/>
      <c r="H228" s="132"/>
      <c r="I228" s="292">
        <f>SUM(I226:I227)</f>
        <v>65415.1</v>
      </c>
      <c r="J228" s="119"/>
    </row>
    <row r="229" spans="3:14" s="297" customFormat="1" ht="19.2" customHeight="1">
      <c r="C229" s="293" t="s">
        <v>1218</v>
      </c>
      <c r="D229" s="294" t="s">
        <v>1219</v>
      </c>
      <c r="E229" s="295"/>
      <c r="F229" s="295"/>
      <c r="G229" s="295"/>
      <c r="H229" s="296"/>
      <c r="I229" s="284">
        <f>I228+I225+I223</f>
        <v>71275.100000000006</v>
      </c>
      <c r="J229" s="119"/>
    </row>
    <row r="230" spans="3:14" s="297" customFormat="1" ht="19.2" customHeight="1">
      <c r="C230" s="293" t="s">
        <v>1220</v>
      </c>
      <c r="D230" s="294" t="s">
        <v>1321</v>
      </c>
      <c r="E230" s="295"/>
      <c r="F230" s="295"/>
      <c r="G230" s="296"/>
      <c r="H230" s="298">
        <v>0.1</v>
      </c>
      <c r="I230" s="284">
        <f>I229*H230</f>
        <v>7127.5100000000011</v>
      </c>
      <c r="J230" s="119"/>
    </row>
    <row r="231" spans="3:14" s="297" customFormat="1" ht="19.2" customHeight="1" thickBot="1">
      <c r="C231" s="299" t="s">
        <v>1221</v>
      </c>
      <c r="D231" s="300" t="s">
        <v>1222</v>
      </c>
      <c r="E231" s="301"/>
      <c r="F231" s="301"/>
      <c r="G231" s="301"/>
      <c r="H231" s="302"/>
      <c r="I231" s="303">
        <f>SUM(I229:I230)</f>
        <v>78402.61</v>
      </c>
      <c r="J231" s="119"/>
    </row>
    <row r="232" spans="3:14" s="297" customFormat="1" ht="14.4" thickTop="1">
      <c r="C232" s="289"/>
      <c r="I232" s="139"/>
      <c r="J232" s="119"/>
    </row>
    <row r="234" spans="3:14" s="280" customFormat="1" ht="16.5" customHeight="1" thickBot="1">
      <c r="C234" s="126" t="s">
        <v>2505</v>
      </c>
      <c r="D234" s="123" t="s">
        <v>2506</v>
      </c>
      <c r="E234" s="123"/>
      <c r="F234" s="123"/>
      <c r="G234" s="123"/>
      <c r="H234" s="123"/>
      <c r="I234" s="123"/>
      <c r="J234" s="120">
        <f>ROUNDDOWN(I248,-2)</f>
        <v>78400</v>
      </c>
    </row>
    <row r="235" spans="3:14" s="289" customFormat="1" ht="31.65" customHeight="1" thickTop="1">
      <c r="C235" s="51" t="s">
        <v>1195</v>
      </c>
      <c r="D235" s="52" t="s">
        <v>1196</v>
      </c>
      <c r="E235" s="52" t="s">
        <v>1906</v>
      </c>
      <c r="F235" s="52" t="s">
        <v>1197</v>
      </c>
      <c r="G235" s="52" t="s">
        <v>1198</v>
      </c>
      <c r="H235" s="52" t="s">
        <v>1199</v>
      </c>
      <c r="I235" s="53" t="s">
        <v>1200</v>
      </c>
      <c r="J235" s="126"/>
    </row>
    <row r="236" spans="3:14" s="280" customFormat="1" ht="19.8" customHeight="1">
      <c r="C236" s="290" t="s">
        <v>1201</v>
      </c>
      <c r="D236" s="182" t="s">
        <v>1202</v>
      </c>
      <c r="E236" s="182"/>
      <c r="F236" s="70"/>
      <c r="G236" s="70"/>
      <c r="H236" s="70"/>
      <c r="I236" s="71"/>
      <c r="J236" s="119"/>
      <c r="K236" s="59" t="s">
        <v>1247</v>
      </c>
      <c r="L236" s="59"/>
      <c r="M236" s="59"/>
      <c r="N236" s="59"/>
    </row>
    <row r="237" spans="3:14" s="280" customFormat="1" ht="19.8" customHeight="1">
      <c r="C237" s="281">
        <v>1</v>
      </c>
      <c r="D237" s="182" t="s">
        <v>7</v>
      </c>
      <c r="E237" s="176" t="s">
        <v>1775</v>
      </c>
      <c r="F237" s="176" t="s">
        <v>6</v>
      </c>
      <c r="G237" s="315">
        <v>3.7999999999999999E-2</v>
      </c>
      <c r="H237" s="283">
        <f>VLOOKUP(D237,upahbahan,3,FALSE)</f>
        <v>135000</v>
      </c>
      <c r="I237" s="284">
        <f t="shared" ref="I237:I239" si="17">G237*H237</f>
        <v>5130</v>
      </c>
      <c r="J237" s="119"/>
      <c r="K237" s="59"/>
      <c r="L237" s="59"/>
      <c r="M237" s="59"/>
      <c r="N237" s="65"/>
    </row>
    <row r="238" spans="3:14" s="59" customFormat="1" ht="19.8" customHeight="1">
      <c r="C238" s="281">
        <v>2</v>
      </c>
      <c r="D238" s="182" t="s">
        <v>18</v>
      </c>
      <c r="E238" s="176" t="s">
        <v>1776</v>
      </c>
      <c r="F238" s="176" t="s">
        <v>6</v>
      </c>
      <c r="G238" s="315">
        <v>3.8E-3</v>
      </c>
      <c r="H238" s="283">
        <f>VLOOKUP(D238,upahbahan,3,FALSE)</f>
        <v>150000</v>
      </c>
      <c r="I238" s="284">
        <f t="shared" si="17"/>
        <v>570</v>
      </c>
      <c r="J238" s="119"/>
    </row>
    <row r="239" spans="3:14" s="59" customFormat="1" ht="19.8" customHeight="1">
      <c r="C239" s="281">
        <v>3</v>
      </c>
      <c r="D239" s="182" t="s">
        <v>19</v>
      </c>
      <c r="E239" s="176" t="s">
        <v>1777</v>
      </c>
      <c r="F239" s="176" t="s">
        <v>6</v>
      </c>
      <c r="G239" s="315">
        <v>1E-3</v>
      </c>
      <c r="H239" s="283">
        <f>VLOOKUP(D239,upahbahan,3,FALSE)</f>
        <v>160000</v>
      </c>
      <c r="I239" s="284">
        <f t="shared" si="17"/>
        <v>160</v>
      </c>
      <c r="J239" s="119"/>
    </row>
    <row r="240" spans="3:14" s="280" customFormat="1" ht="19.8" customHeight="1">
      <c r="C240" s="66" t="s">
        <v>1208</v>
      </c>
      <c r="D240" s="67"/>
      <c r="E240" s="67"/>
      <c r="F240" s="67"/>
      <c r="G240" s="68"/>
      <c r="H240" s="69"/>
      <c r="I240" s="284">
        <f>SUM(I237:I239)</f>
        <v>5860</v>
      </c>
      <c r="J240" s="119"/>
    </row>
    <row r="241" spans="3:14" s="280" customFormat="1" ht="19.8" customHeight="1">
      <c r="C241" s="290" t="s">
        <v>1209</v>
      </c>
      <c r="D241" s="182" t="s">
        <v>1210</v>
      </c>
      <c r="E241" s="182"/>
      <c r="F241" s="70"/>
      <c r="G241" s="70"/>
      <c r="H241" s="70"/>
      <c r="I241" s="71"/>
      <c r="J241" s="119"/>
    </row>
    <row r="242" spans="3:14" s="280" customFormat="1" ht="19.8" customHeight="1">
      <c r="C242" s="66" t="s">
        <v>1214</v>
      </c>
      <c r="D242" s="67"/>
      <c r="E242" s="67"/>
      <c r="F242" s="67"/>
      <c r="G242" s="67"/>
      <c r="H242" s="69"/>
      <c r="I242" s="284">
        <f>SUM(I241)</f>
        <v>0</v>
      </c>
      <c r="J242" s="119"/>
    </row>
    <row r="243" spans="3:14" s="280" customFormat="1" ht="19.8" customHeight="1">
      <c r="C243" s="290" t="s">
        <v>1215</v>
      </c>
      <c r="D243" s="182" t="s">
        <v>1216</v>
      </c>
      <c r="E243" s="182"/>
      <c r="F243" s="70"/>
      <c r="G243" s="70"/>
      <c r="H243" s="70"/>
      <c r="I243" s="71"/>
      <c r="J243" s="119"/>
    </row>
    <row r="244" spans="3:14" s="280" customFormat="1" ht="19.8" customHeight="1">
      <c r="C244" s="181">
        <v>1</v>
      </c>
      <c r="D244" s="361" t="s">
        <v>2502</v>
      </c>
      <c r="E244" s="361"/>
      <c r="F244" s="362" t="s">
        <v>2501</v>
      </c>
      <c r="G244" s="130">
        <v>1.9E-2</v>
      </c>
      <c r="H244" s="283">
        <f>VLOOKUP(D244,upahbahan,3,FALSE)</f>
        <v>3442900</v>
      </c>
      <c r="I244" s="284">
        <f>G244*H244</f>
        <v>65415.1</v>
      </c>
      <c r="J244" s="119"/>
    </row>
    <row r="245" spans="3:14" s="280" customFormat="1" ht="19.8" customHeight="1">
      <c r="C245" s="66" t="s">
        <v>1217</v>
      </c>
      <c r="D245" s="131"/>
      <c r="E245" s="131"/>
      <c r="F245" s="131"/>
      <c r="G245" s="131"/>
      <c r="H245" s="132"/>
      <c r="I245" s="292">
        <f>SUM(I243:I244)</f>
        <v>65415.1</v>
      </c>
      <c r="J245" s="119"/>
    </row>
    <row r="246" spans="3:14" s="297" customFormat="1" ht="19.8" customHeight="1">
      <c r="C246" s="293" t="s">
        <v>1218</v>
      </c>
      <c r="D246" s="294" t="s">
        <v>1219</v>
      </c>
      <c r="E246" s="295"/>
      <c r="F246" s="295"/>
      <c r="G246" s="295"/>
      <c r="H246" s="296"/>
      <c r="I246" s="284">
        <f>I245+I242+I240</f>
        <v>71275.100000000006</v>
      </c>
      <c r="J246" s="119"/>
    </row>
    <row r="247" spans="3:14" s="297" customFormat="1" ht="19.8" customHeight="1">
      <c r="C247" s="293" t="s">
        <v>1220</v>
      </c>
      <c r="D247" s="294" t="s">
        <v>1321</v>
      </c>
      <c r="E247" s="295"/>
      <c r="F247" s="295"/>
      <c r="G247" s="296"/>
      <c r="H247" s="298">
        <v>0.1</v>
      </c>
      <c r="I247" s="284">
        <f>I246*H247</f>
        <v>7127.5100000000011</v>
      </c>
      <c r="J247" s="119"/>
    </row>
    <row r="248" spans="3:14" s="297" customFormat="1" ht="19.8" customHeight="1" thickBot="1">
      <c r="C248" s="299" t="s">
        <v>1221</v>
      </c>
      <c r="D248" s="300" t="s">
        <v>1222</v>
      </c>
      <c r="E248" s="301"/>
      <c r="F248" s="301"/>
      <c r="G248" s="301"/>
      <c r="H248" s="302"/>
      <c r="I248" s="303">
        <f>SUM(I246:I247)</f>
        <v>78402.61</v>
      </c>
      <c r="J248" s="119"/>
    </row>
    <row r="249" spans="3:14" s="297" customFormat="1" ht="14.4" thickTop="1">
      <c r="C249" s="289"/>
      <c r="I249" s="139"/>
      <c r="J249" s="119"/>
    </row>
    <row r="251" spans="3:14" ht="13.8">
      <c r="C251" s="126" t="s">
        <v>2507</v>
      </c>
      <c r="D251" s="138" t="s">
        <v>2509</v>
      </c>
    </row>
    <row r="252" spans="3:14" s="280" customFormat="1" ht="28.5" customHeight="1" thickBot="1">
      <c r="C252" s="126" t="s">
        <v>2508</v>
      </c>
      <c r="D252" s="123" t="s">
        <v>2512</v>
      </c>
      <c r="E252" s="123"/>
      <c r="F252" s="123"/>
      <c r="G252" s="123"/>
      <c r="H252" s="123"/>
      <c r="I252" s="123"/>
      <c r="J252" s="120">
        <f>ROUNDDOWN(I269,-2)</f>
        <v>308300</v>
      </c>
    </row>
    <row r="253" spans="3:14" s="289" customFormat="1" ht="31.65" customHeight="1" thickTop="1">
      <c r="C253" s="51" t="s">
        <v>1195</v>
      </c>
      <c r="D253" s="52" t="s">
        <v>1196</v>
      </c>
      <c r="E253" s="52" t="s">
        <v>1906</v>
      </c>
      <c r="F253" s="52" t="s">
        <v>1197</v>
      </c>
      <c r="G253" s="52" t="s">
        <v>1198</v>
      </c>
      <c r="H253" s="52" t="s">
        <v>1199</v>
      </c>
      <c r="I253" s="53" t="s">
        <v>1200</v>
      </c>
      <c r="J253" s="126"/>
    </row>
    <row r="254" spans="3:14" s="280" customFormat="1" ht="22.8" customHeight="1">
      <c r="C254" s="290" t="s">
        <v>1201</v>
      </c>
      <c r="D254" s="182" t="s">
        <v>1202</v>
      </c>
      <c r="E254" s="182"/>
      <c r="F254" s="70"/>
      <c r="G254" s="70"/>
      <c r="H254" s="70"/>
      <c r="I254" s="71"/>
      <c r="J254" s="119"/>
      <c r="K254" s="59" t="s">
        <v>1247</v>
      </c>
      <c r="L254" s="59"/>
      <c r="M254" s="59"/>
      <c r="N254" s="59"/>
    </row>
    <row r="255" spans="3:14" s="280" customFormat="1" ht="22.8" customHeight="1">
      <c r="C255" s="290">
        <v>1</v>
      </c>
      <c r="D255" s="182" t="s">
        <v>5</v>
      </c>
      <c r="E255" s="176" t="s">
        <v>1774</v>
      </c>
      <c r="F255" s="124" t="s">
        <v>2102</v>
      </c>
      <c r="G255" s="125">
        <v>6.7000000000000004E-2</v>
      </c>
      <c r="H255" s="283">
        <f>VLOOKUP(D255,upahbahan,3,FALSE)</f>
        <v>100000</v>
      </c>
      <c r="I255" s="284">
        <f t="shared" ref="I255:I259" si="18">G255*H255</f>
        <v>6700</v>
      </c>
      <c r="J255" s="119"/>
      <c r="K255" s="59"/>
      <c r="L255" s="59"/>
      <c r="M255" s="59"/>
      <c r="N255" s="59"/>
    </row>
    <row r="256" spans="3:14" s="280" customFormat="1" ht="22.8" customHeight="1">
      <c r="C256" s="281">
        <v>2</v>
      </c>
      <c r="D256" s="182" t="s">
        <v>7</v>
      </c>
      <c r="E256" s="176" t="s">
        <v>1775</v>
      </c>
      <c r="F256" s="176" t="s">
        <v>6</v>
      </c>
      <c r="G256" s="315">
        <v>6.7000000000000004E-2</v>
      </c>
      <c r="H256" s="283">
        <f>VLOOKUP(D256,upahbahan,3,FALSE)</f>
        <v>135000</v>
      </c>
      <c r="I256" s="284">
        <f t="shared" si="18"/>
        <v>9045</v>
      </c>
      <c r="J256" s="119"/>
      <c r="K256" s="59"/>
      <c r="L256" s="59"/>
      <c r="M256" s="59"/>
      <c r="N256" s="65"/>
    </row>
    <row r="257" spans="3:14" s="280" customFormat="1" ht="22.8" customHeight="1">
      <c r="C257" s="290">
        <v>3</v>
      </c>
      <c r="D257" s="182" t="s">
        <v>13</v>
      </c>
      <c r="E257" s="176" t="s">
        <v>1775</v>
      </c>
      <c r="F257" s="176" t="s">
        <v>2102</v>
      </c>
      <c r="G257" s="315">
        <v>0.13400000000000001</v>
      </c>
      <c r="H257" s="283">
        <f>VLOOKUP(D257,upahbahan,3,FALSE)</f>
        <v>145000</v>
      </c>
      <c r="I257" s="284">
        <f t="shared" si="18"/>
        <v>19430</v>
      </c>
      <c r="J257" s="119"/>
      <c r="K257" s="59"/>
      <c r="L257" s="59"/>
      <c r="M257" s="59"/>
      <c r="N257" s="65"/>
    </row>
    <row r="258" spans="3:14" s="59" customFormat="1" ht="22.8" customHeight="1">
      <c r="C258" s="281">
        <v>4</v>
      </c>
      <c r="D258" s="182" t="s">
        <v>18</v>
      </c>
      <c r="E258" s="176" t="s">
        <v>1776</v>
      </c>
      <c r="F258" s="176" t="s">
        <v>6</v>
      </c>
      <c r="G258" s="315">
        <v>6.7000000000000004E-2</v>
      </c>
      <c r="H258" s="283">
        <f>VLOOKUP(D258,upahbahan,3,FALSE)</f>
        <v>150000</v>
      </c>
      <c r="I258" s="284">
        <f t="shared" si="18"/>
        <v>10050</v>
      </c>
      <c r="J258" s="119"/>
    </row>
    <row r="259" spans="3:14" s="59" customFormat="1" ht="22.8" customHeight="1">
      <c r="C259" s="290">
        <v>5</v>
      </c>
      <c r="D259" s="182" t="s">
        <v>19</v>
      </c>
      <c r="E259" s="176" t="s">
        <v>1777</v>
      </c>
      <c r="F259" s="176" t="s">
        <v>6</v>
      </c>
      <c r="G259" s="315">
        <v>2.1999999999999999E-2</v>
      </c>
      <c r="H259" s="283">
        <f>VLOOKUP(D259,upahbahan,3,FALSE)</f>
        <v>160000</v>
      </c>
      <c r="I259" s="284">
        <f t="shared" si="18"/>
        <v>3520</v>
      </c>
      <c r="J259" s="119"/>
    </row>
    <row r="260" spans="3:14" s="280" customFormat="1" ht="22.8" customHeight="1">
      <c r="C260" s="66" t="s">
        <v>1208</v>
      </c>
      <c r="D260" s="67"/>
      <c r="E260" s="67"/>
      <c r="F260" s="67"/>
      <c r="G260" s="68"/>
      <c r="H260" s="69"/>
      <c r="I260" s="284">
        <f>SUM(I255:I259)</f>
        <v>48745</v>
      </c>
      <c r="J260" s="119"/>
    </row>
    <row r="261" spans="3:14" s="280" customFormat="1" ht="22.8" customHeight="1">
      <c r="C261" s="290" t="s">
        <v>1209</v>
      </c>
      <c r="D261" s="182" t="s">
        <v>1210</v>
      </c>
      <c r="E261" s="182"/>
      <c r="F261" s="70"/>
      <c r="G261" s="70"/>
      <c r="H261" s="70"/>
      <c r="I261" s="71"/>
      <c r="J261" s="119"/>
    </row>
    <row r="262" spans="3:14" s="280" customFormat="1" ht="22.8" customHeight="1">
      <c r="C262" s="66" t="s">
        <v>1214</v>
      </c>
      <c r="D262" s="67"/>
      <c r="E262" s="67"/>
      <c r="F262" s="67"/>
      <c r="G262" s="67"/>
      <c r="H262" s="69"/>
      <c r="I262" s="284">
        <f>SUM(I261)</f>
        <v>0</v>
      </c>
      <c r="J262" s="119"/>
    </row>
    <row r="263" spans="3:14" s="280" customFormat="1" ht="22.8" customHeight="1">
      <c r="C263" s="290" t="s">
        <v>1215</v>
      </c>
      <c r="D263" s="182" t="s">
        <v>1216</v>
      </c>
      <c r="E263" s="182"/>
      <c r="F263" s="70"/>
      <c r="G263" s="70"/>
      <c r="H263" s="70"/>
      <c r="I263" s="71"/>
      <c r="J263" s="119"/>
    </row>
    <row r="264" spans="3:14" s="280" customFormat="1" ht="22.8" customHeight="1">
      <c r="C264" s="181">
        <v>1</v>
      </c>
      <c r="D264" s="361" t="s">
        <v>2502</v>
      </c>
      <c r="E264" s="361"/>
      <c r="F264" s="362" t="s">
        <v>2501</v>
      </c>
      <c r="G264" s="130">
        <v>6.7000000000000004E-2</v>
      </c>
      <c r="H264" s="283">
        <f>VLOOKUP(D264,upahbahan,3,FALSE)</f>
        <v>3442900</v>
      </c>
      <c r="I264" s="284">
        <f>G264*H264</f>
        <v>230674.30000000002</v>
      </c>
      <c r="J264" s="119"/>
    </row>
    <row r="265" spans="3:14" s="366" customFormat="1" ht="22.8" customHeight="1">
      <c r="C265" s="184">
        <v>2</v>
      </c>
      <c r="D265" s="363" t="s">
        <v>5253</v>
      </c>
      <c r="E265" s="363"/>
      <c r="F265" s="364" t="s">
        <v>2510</v>
      </c>
      <c r="G265" s="133">
        <v>1.1000000000000001</v>
      </c>
      <c r="H265" s="185">
        <f>VLOOKUP(D265,upahbahan,3,FALSE)</f>
        <v>850</v>
      </c>
      <c r="I265" s="317">
        <f>G265*H265</f>
        <v>935.00000000000011</v>
      </c>
      <c r="J265" s="365"/>
    </row>
    <row r="266" spans="3:14" s="280" customFormat="1" ht="22.8" customHeight="1">
      <c r="C266" s="66" t="s">
        <v>1217</v>
      </c>
      <c r="D266" s="131"/>
      <c r="E266" s="131"/>
      <c r="F266" s="131"/>
      <c r="G266" s="131"/>
      <c r="H266" s="132"/>
      <c r="I266" s="292">
        <f>SUM(I263:I265)</f>
        <v>231609.30000000002</v>
      </c>
      <c r="J266" s="119"/>
    </row>
    <row r="267" spans="3:14" s="297" customFormat="1" ht="22.8" customHeight="1">
      <c r="C267" s="293" t="s">
        <v>1218</v>
      </c>
      <c r="D267" s="294" t="s">
        <v>1219</v>
      </c>
      <c r="E267" s="295"/>
      <c r="F267" s="295"/>
      <c r="G267" s="295"/>
      <c r="H267" s="296"/>
      <c r="I267" s="284">
        <f>I266+I262+I260</f>
        <v>280354.30000000005</v>
      </c>
      <c r="J267" s="119"/>
    </row>
    <row r="268" spans="3:14" s="297" customFormat="1" ht="22.8" customHeight="1">
      <c r="C268" s="293" t="s">
        <v>1220</v>
      </c>
      <c r="D268" s="294" t="s">
        <v>1321</v>
      </c>
      <c r="E268" s="295"/>
      <c r="F268" s="295"/>
      <c r="G268" s="296"/>
      <c r="H268" s="298">
        <v>0.1</v>
      </c>
      <c r="I268" s="284">
        <f>I267*H268</f>
        <v>28035.430000000008</v>
      </c>
      <c r="J268" s="119"/>
    </row>
    <row r="269" spans="3:14" s="297" customFormat="1" ht="22.8" customHeight="1" thickBot="1">
      <c r="C269" s="299" t="s">
        <v>1221</v>
      </c>
      <c r="D269" s="300" t="s">
        <v>1222</v>
      </c>
      <c r="E269" s="301"/>
      <c r="F269" s="301"/>
      <c r="G269" s="301"/>
      <c r="H269" s="302"/>
      <c r="I269" s="303">
        <f>SUM(I267:I268)</f>
        <v>308389.73000000004</v>
      </c>
      <c r="J269" s="119"/>
    </row>
    <row r="270" spans="3:14" s="297" customFormat="1" ht="14.4" thickTop="1">
      <c r="C270" s="289"/>
      <c r="I270" s="139"/>
      <c r="J270" s="119"/>
    </row>
    <row r="273" spans="3:14" s="280" customFormat="1" ht="28.5" customHeight="1" thickBot="1">
      <c r="C273" s="126" t="s">
        <v>2511</v>
      </c>
      <c r="D273" s="123" t="s">
        <v>2513</v>
      </c>
      <c r="E273" s="123"/>
      <c r="F273" s="123"/>
      <c r="G273" s="123"/>
      <c r="H273" s="123"/>
      <c r="I273" s="123"/>
      <c r="J273" s="120">
        <f>ROUNDDOWN(I290,-2)</f>
        <v>280500</v>
      </c>
    </row>
    <row r="274" spans="3:14" s="289" customFormat="1" ht="31.65" customHeight="1" thickTop="1">
      <c r="C274" s="51" t="s">
        <v>1195</v>
      </c>
      <c r="D274" s="52" t="s">
        <v>1196</v>
      </c>
      <c r="E274" s="52" t="s">
        <v>1906</v>
      </c>
      <c r="F274" s="52" t="s">
        <v>1197</v>
      </c>
      <c r="G274" s="52" t="s">
        <v>1198</v>
      </c>
      <c r="H274" s="52" t="s">
        <v>1199</v>
      </c>
      <c r="I274" s="53" t="s">
        <v>1200</v>
      </c>
      <c r="J274" s="126"/>
    </row>
    <row r="275" spans="3:14" s="280" customFormat="1" ht="22.2" customHeight="1">
      <c r="C275" s="290" t="s">
        <v>1201</v>
      </c>
      <c r="D275" s="182" t="s">
        <v>1202</v>
      </c>
      <c r="E275" s="182"/>
      <c r="F275" s="70"/>
      <c r="G275" s="70"/>
      <c r="H275" s="70"/>
      <c r="I275" s="71"/>
      <c r="J275" s="119"/>
      <c r="K275" s="59" t="s">
        <v>1247</v>
      </c>
      <c r="L275" s="59"/>
      <c r="M275" s="59"/>
      <c r="N275" s="59"/>
    </row>
    <row r="276" spans="3:14" s="280" customFormat="1" ht="22.2" customHeight="1">
      <c r="C276" s="290">
        <v>1</v>
      </c>
      <c r="D276" s="182" t="s">
        <v>5</v>
      </c>
      <c r="E276" s="176" t="s">
        <v>1774</v>
      </c>
      <c r="F276" s="124" t="s">
        <v>2102</v>
      </c>
      <c r="G276" s="125">
        <v>6.0999999999999999E-2</v>
      </c>
      <c r="H276" s="283">
        <f>VLOOKUP(D276,upahbahan,3,FALSE)</f>
        <v>100000</v>
      </c>
      <c r="I276" s="284">
        <f t="shared" ref="I276:I280" si="19">G276*H276</f>
        <v>6100</v>
      </c>
      <c r="J276" s="119"/>
      <c r="K276" s="59"/>
      <c r="L276" s="59"/>
      <c r="M276" s="59"/>
      <c r="N276" s="59"/>
    </row>
    <row r="277" spans="3:14" s="280" customFormat="1" ht="22.2" customHeight="1">
      <c r="C277" s="281">
        <v>2</v>
      </c>
      <c r="D277" s="182" t="s">
        <v>7</v>
      </c>
      <c r="E277" s="176" t="s">
        <v>1775</v>
      </c>
      <c r="F277" s="176" t="s">
        <v>6</v>
      </c>
      <c r="G277" s="315">
        <v>6.0999999999999999E-2</v>
      </c>
      <c r="H277" s="283">
        <f>VLOOKUP(D277,upahbahan,3,FALSE)</f>
        <v>135000</v>
      </c>
      <c r="I277" s="284">
        <f t="shared" si="19"/>
        <v>8235</v>
      </c>
      <c r="J277" s="119"/>
      <c r="K277" s="59"/>
      <c r="L277" s="59"/>
      <c r="M277" s="59"/>
      <c r="N277" s="65"/>
    </row>
    <row r="278" spans="3:14" s="280" customFormat="1" ht="22.2" customHeight="1">
      <c r="C278" s="290">
        <v>3</v>
      </c>
      <c r="D278" s="182" t="s">
        <v>13</v>
      </c>
      <c r="E278" s="176" t="s">
        <v>1775</v>
      </c>
      <c r="F278" s="176" t="s">
        <v>2102</v>
      </c>
      <c r="G278" s="315">
        <v>0.122</v>
      </c>
      <c r="H278" s="283">
        <f>VLOOKUP(D278,upahbahan,3,FALSE)</f>
        <v>145000</v>
      </c>
      <c r="I278" s="284">
        <f t="shared" si="19"/>
        <v>17690</v>
      </c>
      <c r="J278" s="119"/>
      <c r="K278" s="59"/>
      <c r="L278" s="59"/>
      <c r="M278" s="59"/>
      <c r="N278" s="65"/>
    </row>
    <row r="279" spans="3:14" s="59" customFormat="1" ht="22.2" customHeight="1">
      <c r="C279" s="281">
        <v>4</v>
      </c>
      <c r="D279" s="182" t="s">
        <v>18</v>
      </c>
      <c r="E279" s="176" t="s">
        <v>1776</v>
      </c>
      <c r="F279" s="176" t="s">
        <v>6</v>
      </c>
      <c r="G279" s="315">
        <v>6.0999999999999999E-2</v>
      </c>
      <c r="H279" s="283">
        <f>VLOOKUP(D279,upahbahan,3,FALSE)</f>
        <v>150000</v>
      </c>
      <c r="I279" s="284">
        <f t="shared" si="19"/>
        <v>9150</v>
      </c>
      <c r="J279" s="119"/>
    </row>
    <row r="280" spans="3:14" s="59" customFormat="1" ht="22.2" customHeight="1">
      <c r="C280" s="290">
        <v>5</v>
      </c>
      <c r="D280" s="182" t="s">
        <v>19</v>
      </c>
      <c r="E280" s="176" t="s">
        <v>1777</v>
      </c>
      <c r="F280" s="176" t="s">
        <v>6</v>
      </c>
      <c r="G280" s="315">
        <v>0.02</v>
      </c>
      <c r="H280" s="283">
        <f>VLOOKUP(D280,upahbahan,3,FALSE)</f>
        <v>160000</v>
      </c>
      <c r="I280" s="284">
        <f t="shared" si="19"/>
        <v>3200</v>
      </c>
      <c r="J280" s="119"/>
    </row>
    <row r="281" spans="3:14" s="280" customFormat="1" ht="22.2" customHeight="1">
      <c r="C281" s="66" t="s">
        <v>1208</v>
      </c>
      <c r="D281" s="67"/>
      <c r="E281" s="67"/>
      <c r="F281" s="67"/>
      <c r="G281" s="68"/>
      <c r="H281" s="69"/>
      <c r="I281" s="284">
        <f>SUM(I276:I280)</f>
        <v>44375</v>
      </c>
      <c r="J281" s="119"/>
    </row>
    <row r="282" spans="3:14" s="280" customFormat="1" ht="22.2" customHeight="1">
      <c r="C282" s="290" t="s">
        <v>1209</v>
      </c>
      <c r="D282" s="182" t="s">
        <v>1210</v>
      </c>
      <c r="E282" s="182"/>
      <c r="F282" s="70"/>
      <c r="G282" s="70"/>
      <c r="H282" s="70"/>
      <c r="I282" s="71"/>
      <c r="J282" s="119"/>
    </row>
    <row r="283" spans="3:14" s="280" customFormat="1" ht="22.2" customHeight="1">
      <c r="C283" s="66" t="s">
        <v>1214</v>
      </c>
      <c r="D283" s="67"/>
      <c r="E283" s="67"/>
      <c r="F283" s="67"/>
      <c r="G283" s="67"/>
      <c r="H283" s="69"/>
      <c r="I283" s="284">
        <f>SUM(I282)</f>
        <v>0</v>
      </c>
      <c r="J283" s="119"/>
    </row>
    <row r="284" spans="3:14" s="280" customFormat="1" ht="22.2" customHeight="1">
      <c r="C284" s="290" t="s">
        <v>1215</v>
      </c>
      <c r="D284" s="182" t="s">
        <v>1216</v>
      </c>
      <c r="E284" s="182"/>
      <c r="F284" s="70"/>
      <c r="G284" s="70"/>
      <c r="H284" s="70"/>
      <c r="I284" s="71"/>
      <c r="J284" s="119"/>
    </row>
    <row r="285" spans="3:14" s="280" customFormat="1" ht="22.2" customHeight="1">
      <c r="C285" s="181">
        <v>1</v>
      </c>
      <c r="D285" s="361" t="s">
        <v>2502</v>
      </c>
      <c r="E285" s="361"/>
      <c r="F285" s="362" t="s">
        <v>2501</v>
      </c>
      <c r="G285" s="130">
        <v>6.0999999999999999E-2</v>
      </c>
      <c r="H285" s="283">
        <f>VLOOKUP(D285,upahbahan,3,FALSE)</f>
        <v>3442900</v>
      </c>
      <c r="I285" s="284">
        <f>G285*H285</f>
        <v>210016.9</v>
      </c>
      <c r="J285" s="119"/>
    </row>
    <row r="286" spans="3:14" s="366" customFormat="1" ht="22.2" customHeight="1">
      <c r="C286" s="181">
        <v>2</v>
      </c>
      <c r="D286" s="135" t="s">
        <v>1142</v>
      </c>
      <c r="E286" s="361"/>
      <c r="F286" s="367" t="s">
        <v>2510</v>
      </c>
      <c r="G286" s="136">
        <v>1.1000000000000001</v>
      </c>
      <c r="H286" s="183">
        <f>VLOOKUP(D286,upahbahan,3,FALSE)/30</f>
        <v>586.66666666666663</v>
      </c>
      <c r="I286" s="325">
        <f>G286*H286</f>
        <v>645.33333333333337</v>
      </c>
      <c r="J286" s="365"/>
    </row>
    <row r="287" spans="3:14" s="280" customFormat="1" ht="22.2" customHeight="1">
      <c r="C287" s="66" t="s">
        <v>1217</v>
      </c>
      <c r="D287" s="131"/>
      <c r="E287" s="131"/>
      <c r="F287" s="131"/>
      <c r="G287" s="131"/>
      <c r="H287" s="132"/>
      <c r="I287" s="292">
        <f>SUM(I284:I286)</f>
        <v>210662.23333333334</v>
      </c>
      <c r="J287" s="119"/>
    </row>
    <row r="288" spans="3:14" s="297" customFormat="1" ht="22.2" customHeight="1">
      <c r="C288" s="293" t="s">
        <v>1218</v>
      </c>
      <c r="D288" s="294" t="s">
        <v>1219</v>
      </c>
      <c r="E288" s="295"/>
      <c r="F288" s="295"/>
      <c r="G288" s="295"/>
      <c r="H288" s="296"/>
      <c r="I288" s="284">
        <f>I287+I283+I281</f>
        <v>255037.23333333334</v>
      </c>
      <c r="J288" s="119"/>
    </row>
    <row r="289" spans="3:14" s="297" customFormat="1" ht="22.2" customHeight="1">
      <c r="C289" s="293" t="s">
        <v>1220</v>
      </c>
      <c r="D289" s="294" t="s">
        <v>1321</v>
      </c>
      <c r="E289" s="295"/>
      <c r="F289" s="295"/>
      <c r="G289" s="296"/>
      <c r="H289" s="298">
        <v>0.1</v>
      </c>
      <c r="I289" s="284">
        <f>I288*H289</f>
        <v>25503.723333333335</v>
      </c>
      <c r="J289" s="119"/>
    </row>
    <row r="290" spans="3:14" s="297" customFormat="1" ht="22.2" customHeight="1" thickBot="1">
      <c r="C290" s="299" t="s">
        <v>1221</v>
      </c>
      <c r="D290" s="300" t="s">
        <v>1222</v>
      </c>
      <c r="E290" s="301"/>
      <c r="F290" s="301"/>
      <c r="G290" s="301"/>
      <c r="H290" s="302"/>
      <c r="I290" s="303">
        <f>SUM(I288:I289)</f>
        <v>280540.95666666667</v>
      </c>
      <c r="J290" s="119"/>
    </row>
    <row r="291" spans="3:14" s="297" customFormat="1" ht="14.4" thickTop="1">
      <c r="C291" s="289"/>
      <c r="I291" s="139"/>
      <c r="J291" s="119"/>
    </row>
    <row r="292" spans="3:14" s="280" customFormat="1" ht="28.5" customHeight="1" thickBot="1">
      <c r="C292" s="126" t="s">
        <v>2514</v>
      </c>
      <c r="D292" s="123" t="s">
        <v>2515</v>
      </c>
      <c r="E292" s="123"/>
      <c r="F292" s="123"/>
      <c r="G292" s="123"/>
      <c r="H292" s="123"/>
      <c r="I292" s="123"/>
      <c r="J292" s="120">
        <f>ROUNDDOWN(I309,-2)</f>
        <v>308000</v>
      </c>
    </row>
    <row r="293" spans="3:14" s="289" customFormat="1" ht="31.65" customHeight="1" thickTop="1">
      <c r="C293" s="51" t="s">
        <v>1195</v>
      </c>
      <c r="D293" s="52" t="s">
        <v>1196</v>
      </c>
      <c r="E293" s="52" t="s">
        <v>1906</v>
      </c>
      <c r="F293" s="52" t="s">
        <v>1197</v>
      </c>
      <c r="G293" s="52" t="s">
        <v>1198</v>
      </c>
      <c r="H293" s="52" t="s">
        <v>1199</v>
      </c>
      <c r="I293" s="53" t="s">
        <v>1200</v>
      </c>
      <c r="J293" s="126"/>
    </row>
    <row r="294" spans="3:14" s="280" customFormat="1" ht="21.6" customHeight="1">
      <c r="C294" s="290" t="s">
        <v>1201</v>
      </c>
      <c r="D294" s="182" t="s">
        <v>1202</v>
      </c>
      <c r="E294" s="182"/>
      <c r="F294" s="70"/>
      <c r="G294" s="70"/>
      <c r="H294" s="70"/>
      <c r="I294" s="71"/>
      <c r="J294" s="119"/>
      <c r="K294" s="59" t="s">
        <v>1247</v>
      </c>
      <c r="L294" s="59"/>
      <c r="M294" s="59"/>
      <c r="N294" s="59"/>
    </row>
    <row r="295" spans="3:14" s="280" customFormat="1" ht="21.6" customHeight="1">
      <c r="C295" s="290">
        <v>1</v>
      </c>
      <c r="D295" s="182" t="s">
        <v>5</v>
      </c>
      <c r="E295" s="176" t="s">
        <v>1774</v>
      </c>
      <c r="F295" s="124" t="s">
        <v>2102</v>
      </c>
      <c r="G295" s="125">
        <v>6.7000000000000004E-2</v>
      </c>
      <c r="H295" s="283">
        <f>VLOOKUP(D295,upahbahan,3,FALSE)</f>
        <v>100000</v>
      </c>
      <c r="I295" s="284">
        <f t="shared" ref="I295:I299" si="20">G295*H295</f>
        <v>6700</v>
      </c>
      <c r="J295" s="119"/>
      <c r="K295" s="59"/>
      <c r="L295" s="59"/>
      <c r="M295" s="59"/>
      <c r="N295" s="59"/>
    </row>
    <row r="296" spans="3:14" s="280" customFormat="1" ht="21.6" customHeight="1">
      <c r="C296" s="281">
        <v>2</v>
      </c>
      <c r="D296" s="182" t="s">
        <v>7</v>
      </c>
      <c r="E296" s="176" t="s">
        <v>1775</v>
      </c>
      <c r="F296" s="176" t="s">
        <v>6</v>
      </c>
      <c r="G296" s="315">
        <v>6.7000000000000004E-2</v>
      </c>
      <c r="H296" s="283">
        <f>VLOOKUP(D296,upahbahan,3,FALSE)</f>
        <v>135000</v>
      </c>
      <c r="I296" s="284">
        <f t="shared" si="20"/>
        <v>9045</v>
      </c>
      <c r="J296" s="119"/>
      <c r="K296" s="59"/>
      <c r="L296" s="59"/>
      <c r="M296" s="59"/>
      <c r="N296" s="65"/>
    </row>
    <row r="297" spans="3:14" s="280" customFormat="1" ht="21.6" customHeight="1">
      <c r="C297" s="290">
        <v>3</v>
      </c>
      <c r="D297" s="182" t="s">
        <v>13</v>
      </c>
      <c r="E297" s="176" t="s">
        <v>1775</v>
      </c>
      <c r="F297" s="176" t="s">
        <v>2102</v>
      </c>
      <c r="G297" s="315">
        <v>0.13400000000000001</v>
      </c>
      <c r="H297" s="283">
        <f>VLOOKUP(D297,upahbahan,3,FALSE)</f>
        <v>145000</v>
      </c>
      <c r="I297" s="284">
        <f t="shared" si="20"/>
        <v>19430</v>
      </c>
      <c r="J297" s="119"/>
      <c r="K297" s="59"/>
      <c r="L297" s="59"/>
      <c r="M297" s="59"/>
      <c r="N297" s="65"/>
    </row>
    <row r="298" spans="3:14" s="59" customFormat="1" ht="21.6" customHeight="1">
      <c r="C298" s="281">
        <v>4</v>
      </c>
      <c r="D298" s="182" t="s">
        <v>18</v>
      </c>
      <c r="E298" s="176" t="s">
        <v>1776</v>
      </c>
      <c r="F298" s="176" t="s">
        <v>6</v>
      </c>
      <c r="G298" s="315">
        <v>6.7000000000000004E-2</v>
      </c>
      <c r="H298" s="283">
        <f>VLOOKUP(D298,upahbahan,3,FALSE)</f>
        <v>150000</v>
      </c>
      <c r="I298" s="284">
        <f t="shared" si="20"/>
        <v>10050</v>
      </c>
      <c r="J298" s="119"/>
    </row>
    <row r="299" spans="3:14" s="59" customFormat="1" ht="21.6" customHeight="1">
      <c r="C299" s="290">
        <v>5</v>
      </c>
      <c r="D299" s="182" t="s">
        <v>19</v>
      </c>
      <c r="E299" s="176" t="s">
        <v>1777</v>
      </c>
      <c r="F299" s="176" t="s">
        <v>6</v>
      </c>
      <c r="G299" s="315">
        <v>2.1999999999999999E-2</v>
      </c>
      <c r="H299" s="283">
        <f>VLOOKUP(D299,upahbahan,3,FALSE)</f>
        <v>160000</v>
      </c>
      <c r="I299" s="284">
        <f t="shared" si="20"/>
        <v>3520</v>
      </c>
      <c r="J299" s="119"/>
    </row>
    <row r="300" spans="3:14" s="280" customFormat="1" ht="21.6" customHeight="1">
      <c r="C300" s="66" t="s">
        <v>1208</v>
      </c>
      <c r="D300" s="67"/>
      <c r="E300" s="67"/>
      <c r="F300" s="67"/>
      <c r="G300" s="68"/>
      <c r="H300" s="69"/>
      <c r="I300" s="284">
        <f>SUM(I295:I299)</f>
        <v>48745</v>
      </c>
      <c r="J300" s="119"/>
    </row>
    <row r="301" spans="3:14" s="280" customFormat="1" ht="21.6" customHeight="1">
      <c r="C301" s="290" t="s">
        <v>1209</v>
      </c>
      <c r="D301" s="182" t="s">
        <v>1210</v>
      </c>
      <c r="E301" s="182"/>
      <c r="F301" s="70"/>
      <c r="G301" s="70"/>
      <c r="H301" s="70"/>
      <c r="I301" s="71"/>
      <c r="J301" s="119"/>
    </row>
    <row r="302" spans="3:14" s="280" customFormat="1" ht="21.6" customHeight="1">
      <c r="C302" s="66" t="s">
        <v>1214</v>
      </c>
      <c r="D302" s="67"/>
      <c r="E302" s="67"/>
      <c r="F302" s="67"/>
      <c r="G302" s="67"/>
      <c r="H302" s="69"/>
      <c r="I302" s="284">
        <f>SUM(I301)</f>
        <v>0</v>
      </c>
      <c r="J302" s="119"/>
    </row>
    <row r="303" spans="3:14" s="280" customFormat="1" ht="21.6" customHeight="1">
      <c r="C303" s="290" t="s">
        <v>1215</v>
      </c>
      <c r="D303" s="182" t="s">
        <v>1216</v>
      </c>
      <c r="E303" s="182"/>
      <c r="F303" s="70"/>
      <c r="G303" s="70"/>
      <c r="H303" s="70"/>
      <c r="I303" s="71"/>
      <c r="J303" s="119"/>
    </row>
    <row r="304" spans="3:14" s="280" customFormat="1" ht="21.6" customHeight="1">
      <c r="C304" s="181">
        <v>1</v>
      </c>
      <c r="D304" s="361" t="s">
        <v>2502</v>
      </c>
      <c r="E304" s="361"/>
      <c r="F304" s="362" t="s">
        <v>2501</v>
      </c>
      <c r="G304" s="130">
        <v>6.7000000000000004E-2</v>
      </c>
      <c r="H304" s="283">
        <f>VLOOKUP(D304,upahbahan,3,FALSE)</f>
        <v>3442900</v>
      </c>
      <c r="I304" s="284">
        <f>G304*H304</f>
        <v>230674.30000000002</v>
      </c>
      <c r="J304" s="119"/>
    </row>
    <row r="305" spans="3:14" s="366" customFormat="1" ht="21.6" customHeight="1">
      <c r="C305" s="181">
        <v>2</v>
      </c>
      <c r="D305" s="135" t="s">
        <v>1142</v>
      </c>
      <c r="E305" s="361"/>
      <c r="F305" s="367" t="s">
        <v>2510</v>
      </c>
      <c r="G305" s="136">
        <v>1.1000000000000001</v>
      </c>
      <c r="H305" s="183">
        <f>VLOOKUP(D305,upahbahan,3,FALSE)/30</f>
        <v>586.66666666666663</v>
      </c>
      <c r="I305" s="325">
        <f>G305*H305</f>
        <v>645.33333333333337</v>
      </c>
      <c r="J305" s="365"/>
    </row>
    <row r="306" spans="3:14" s="280" customFormat="1" ht="21.6" customHeight="1">
      <c r="C306" s="66" t="s">
        <v>1217</v>
      </c>
      <c r="D306" s="131"/>
      <c r="E306" s="131"/>
      <c r="F306" s="131"/>
      <c r="G306" s="131"/>
      <c r="H306" s="132"/>
      <c r="I306" s="292">
        <f>SUM(I303:I305)</f>
        <v>231319.63333333336</v>
      </c>
      <c r="J306" s="119"/>
    </row>
    <row r="307" spans="3:14" s="297" customFormat="1" ht="21.6" customHeight="1">
      <c r="C307" s="293" t="s">
        <v>1218</v>
      </c>
      <c r="D307" s="294" t="s">
        <v>1219</v>
      </c>
      <c r="E307" s="295"/>
      <c r="F307" s="295"/>
      <c r="G307" s="295"/>
      <c r="H307" s="296"/>
      <c r="I307" s="284">
        <f>I306+I302+I300</f>
        <v>280064.63333333336</v>
      </c>
      <c r="J307" s="119"/>
    </row>
    <row r="308" spans="3:14" s="297" customFormat="1" ht="21.6" customHeight="1">
      <c r="C308" s="293" t="s">
        <v>1220</v>
      </c>
      <c r="D308" s="294" t="s">
        <v>1321</v>
      </c>
      <c r="E308" s="295"/>
      <c r="F308" s="295"/>
      <c r="G308" s="296"/>
      <c r="H308" s="298">
        <v>0.1</v>
      </c>
      <c r="I308" s="284">
        <f>I307*H308</f>
        <v>28006.463333333337</v>
      </c>
      <c r="J308" s="119"/>
    </row>
    <row r="309" spans="3:14" s="297" customFormat="1" ht="21.6" customHeight="1" thickBot="1">
      <c r="C309" s="299" t="s">
        <v>1221</v>
      </c>
      <c r="D309" s="300" t="s">
        <v>1222</v>
      </c>
      <c r="E309" s="301"/>
      <c r="F309" s="301"/>
      <c r="G309" s="301"/>
      <c r="H309" s="302"/>
      <c r="I309" s="303">
        <f>SUM(I307:I308)</f>
        <v>308071.09666666668</v>
      </c>
      <c r="J309" s="119"/>
    </row>
    <row r="310" spans="3:14" ht="13.8" thickTop="1"/>
    <row r="312" spans="3:14" s="280" customFormat="1" ht="28.5" customHeight="1" thickBot="1">
      <c r="C312" s="126" t="s">
        <v>2516</v>
      </c>
      <c r="D312" s="123" t="s">
        <v>2517</v>
      </c>
      <c r="E312" s="123"/>
      <c r="F312" s="123"/>
      <c r="G312" s="123"/>
      <c r="H312" s="123"/>
      <c r="I312" s="123"/>
      <c r="J312" s="120">
        <f>ROUNDDOWN(I329,-2)</f>
        <v>280500</v>
      </c>
    </row>
    <row r="313" spans="3:14" s="289" customFormat="1" ht="31.65" customHeight="1" thickTop="1">
      <c r="C313" s="51" t="s">
        <v>1195</v>
      </c>
      <c r="D313" s="52" t="s">
        <v>1196</v>
      </c>
      <c r="E313" s="52" t="s">
        <v>1906</v>
      </c>
      <c r="F313" s="52" t="s">
        <v>1197</v>
      </c>
      <c r="G313" s="52" t="s">
        <v>1198</v>
      </c>
      <c r="H313" s="52" t="s">
        <v>1199</v>
      </c>
      <c r="I313" s="53" t="s">
        <v>1200</v>
      </c>
      <c r="J313" s="126"/>
    </row>
    <row r="314" spans="3:14" s="280" customFormat="1" ht="21.6" customHeight="1">
      <c r="C314" s="290" t="s">
        <v>1201</v>
      </c>
      <c r="D314" s="182" t="s">
        <v>1202</v>
      </c>
      <c r="E314" s="182"/>
      <c r="F314" s="70"/>
      <c r="G314" s="70"/>
      <c r="H314" s="70"/>
      <c r="I314" s="71"/>
      <c r="J314" s="119"/>
      <c r="K314" s="59" t="s">
        <v>1247</v>
      </c>
      <c r="L314" s="59"/>
      <c r="M314" s="59"/>
      <c r="N314" s="59"/>
    </row>
    <row r="315" spans="3:14" s="280" customFormat="1" ht="21.6" customHeight="1">
      <c r="C315" s="290">
        <v>1</v>
      </c>
      <c r="D315" s="182" t="s">
        <v>5</v>
      </c>
      <c r="E315" s="176" t="s">
        <v>1774</v>
      </c>
      <c r="F315" s="124" t="s">
        <v>2102</v>
      </c>
      <c r="G315" s="125">
        <v>6.0999999999999999E-2</v>
      </c>
      <c r="H315" s="283">
        <f>VLOOKUP(D315,upahbahan,3,FALSE)</f>
        <v>100000</v>
      </c>
      <c r="I315" s="284">
        <f t="shared" ref="I315:I319" si="21">G315*H315</f>
        <v>6100</v>
      </c>
      <c r="J315" s="119"/>
      <c r="K315" s="59"/>
      <c r="L315" s="59"/>
      <c r="M315" s="59"/>
      <c r="N315" s="59"/>
    </row>
    <row r="316" spans="3:14" s="280" customFormat="1" ht="21.6" customHeight="1">
      <c r="C316" s="281">
        <v>2</v>
      </c>
      <c r="D316" s="182" t="s">
        <v>7</v>
      </c>
      <c r="E316" s="176" t="s">
        <v>1775</v>
      </c>
      <c r="F316" s="176" t="s">
        <v>6</v>
      </c>
      <c r="G316" s="315">
        <v>6.0999999999999999E-2</v>
      </c>
      <c r="H316" s="283">
        <f>VLOOKUP(D316,upahbahan,3,FALSE)</f>
        <v>135000</v>
      </c>
      <c r="I316" s="284">
        <f t="shared" si="21"/>
        <v>8235</v>
      </c>
      <c r="J316" s="119"/>
      <c r="K316" s="59"/>
      <c r="L316" s="59"/>
      <c r="M316" s="59"/>
      <c r="N316" s="65"/>
    </row>
    <row r="317" spans="3:14" s="280" customFormat="1" ht="21.6" customHeight="1">
      <c r="C317" s="290">
        <v>3</v>
      </c>
      <c r="D317" s="182" t="s">
        <v>13</v>
      </c>
      <c r="E317" s="176" t="s">
        <v>1775</v>
      </c>
      <c r="F317" s="176" t="s">
        <v>2102</v>
      </c>
      <c r="G317" s="315">
        <v>0.122</v>
      </c>
      <c r="H317" s="283">
        <f>VLOOKUP(D317,upahbahan,3,FALSE)</f>
        <v>145000</v>
      </c>
      <c r="I317" s="284">
        <f t="shared" si="21"/>
        <v>17690</v>
      </c>
      <c r="J317" s="119"/>
      <c r="K317" s="59"/>
      <c r="L317" s="59"/>
      <c r="M317" s="59"/>
      <c r="N317" s="65"/>
    </row>
    <row r="318" spans="3:14" s="59" customFormat="1" ht="21.6" customHeight="1">
      <c r="C318" s="281">
        <v>4</v>
      </c>
      <c r="D318" s="182" t="s">
        <v>18</v>
      </c>
      <c r="E318" s="176" t="s">
        <v>1776</v>
      </c>
      <c r="F318" s="176" t="s">
        <v>6</v>
      </c>
      <c r="G318" s="315">
        <v>6.0999999999999999E-2</v>
      </c>
      <c r="H318" s="283">
        <f>VLOOKUP(D318,upahbahan,3,FALSE)</f>
        <v>150000</v>
      </c>
      <c r="I318" s="284">
        <f t="shared" si="21"/>
        <v>9150</v>
      </c>
      <c r="J318" s="119"/>
    </row>
    <row r="319" spans="3:14" s="59" customFormat="1" ht="21.6" customHeight="1">
      <c r="C319" s="290">
        <v>5</v>
      </c>
      <c r="D319" s="182" t="s">
        <v>19</v>
      </c>
      <c r="E319" s="176" t="s">
        <v>1777</v>
      </c>
      <c r="F319" s="176" t="s">
        <v>6</v>
      </c>
      <c r="G319" s="315">
        <v>0.02</v>
      </c>
      <c r="H319" s="283">
        <f>VLOOKUP(D319,upahbahan,3,FALSE)</f>
        <v>160000</v>
      </c>
      <c r="I319" s="284">
        <f t="shared" si="21"/>
        <v>3200</v>
      </c>
      <c r="J319" s="119"/>
    </row>
    <row r="320" spans="3:14" s="280" customFormat="1" ht="21.6" customHeight="1">
      <c r="C320" s="66" t="s">
        <v>1208</v>
      </c>
      <c r="D320" s="67"/>
      <c r="E320" s="67"/>
      <c r="F320" s="67"/>
      <c r="G320" s="68"/>
      <c r="H320" s="69"/>
      <c r="I320" s="284">
        <f>SUM(I315:I319)</f>
        <v>44375</v>
      </c>
      <c r="J320" s="119"/>
    </row>
    <row r="321" spans="3:14" s="280" customFormat="1" ht="21.6" customHeight="1">
      <c r="C321" s="290" t="s">
        <v>1209</v>
      </c>
      <c r="D321" s="182" t="s">
        <v>1210</v>
      </c>
      <c r="E321" s="182"/>
      <c r="F321" s="70"/>
      <c r="G321" s="70"/>
      <c r="H321" s="70"/>
      <c r="I321" s="71"/>
      <c r="J321" s="119"/>
    </row>
    <row r="322" spans="3:14" s="280" customFormat="1" ht="21.6" customHeight="1">
      <c r="C322" s="66" t="s">
        <v>1214</v>
      </c>
      <c r="D322" s="67"/>
      <c r="E322" s="67"/>
      <c r="F322" s="67"/>
      <c r="G322" s="67"/>
      <c r="H322" s="69"/>
      <c r="I322" s="284">
        <f>SUM(I321)</f>
        <v>0</v>
      </c>
      <c r="J322" s="119"/>
    </row>
    <row r="323" spans="3:14" s="280" customFormat="1" ht="21.6" customHeight="1">
      <c r="C323" s="290" t="s">
        <v>1215</v>
      </c>
      <c r="D323" s="182" t="s">
        <v>1216</v>
      </c>
      <c r="E323" s="182"/>
      <c r="F323" s="70"/>
      <c r="G323" s="70"/>
      <c r="H323" s="70"/>
      <c r="I323" s="71"/>
      <c r="J323" s="119"/>
    </row>
    <row r="324" spans="3:14" s="280" customFormat="1" ht="21.6" customHeight="1">
      <c r="C324" s="181">
        <v>1</v>
      </c>
      <c r="D324" s="361" t="s">
        <v>2502</v>
      </c>
      <c r="E324" s="361"/>
      <c r="F324" s="362" t="s">
        <v>2501</v>
      </c>
      <c r="G324" s="130">
        <v>6.0999999999999999E-2</v>
      </c>
      <c r="H324" s="283">
        <f>VLOOKUP(D324,upahbahan,3,FALSE)</f>
        <v>3442900</v>
      </c>
      <c r="I324" s="284">
        <f>G324*H324</f>
        <v>210016.9</v>
      </c>
      <c r="J324" s="119"/>
    </row>
    <row r="325" spans="3:14" s="366" customFormat="1" ht="21.6" customHeight="1">
      <c r="C325" s="181">
        <v>2</v>
      </c>
      <c r="D325" s="135" t="s">
        <v>1142</v>
      </c>
      <c r="E325" s="361"/>
      <c r="F325" s="367" t="s">
        <v>2510</v>
      </c>
      <c r="G325" s="136">
        <v>1.1000000000000001</v>
      </c>
      <c r="H325" s="183">
        <f>VLOOKUP(D325,upahbahan,3,FALSE)/30</f>
        <v>586.66666666666663</v>
      </c>
      <c r="I325" s="325">
        <f>G325*H325</f>
        <v>645.33333333333337</v>
      </c>
      <c r="J325" s="365"/>
    </row>
    <row r="326" spans="3:14" s="280" customFormat="1" ht="21.6" customHeight="1">
      <c r="C326" s="66" t="s">
        <v>1217</v>
      </c>
      <c r="D326" s="131"/>
      <c r="E326" s="131"/>
      <c r="F326" s="131"/>
      <c r="G326" s="131"/>
      <c r="H326" s="132"/>
      <c r="I326" s="292">
        <f>SUM(I323:I325)</f>
        <v>210662.23333333334</v>
      </c>
      <c r="J326" s="119"/>
    </row>
    <row r="327" spans="3:14" s="297" customFormat="1" ht="21.6" customHeight="1">
      <c r="C327" s="293" t="s">
        <v>1218</v>
      </c>
      <c r="D327" s="294" t="s">
        <v>1219</v>
      </c>
      <c r="E327" s="295"/>
      <c r="F327" s="295"/>
      <c r="G327" s="295"/>
      <c r="H327" s="296"/>
      <c r="I327" s="284">
        <f>I326+I322+I320</f>
        <v>255037.23333333334</v>
      </c>
      <c r="J327" s="119"/>
    </row>
    <row r="328" spans="3:14" s="297" customFormat="1" ht="21.6" customHeight="1">
      <c r="C328" s="293" t="s">
        <v>1220</v>
      </c>
      <c r="D328" s="294" t="s">
        <v>1321</v>
      </c>
      <c r="E328" s="295"/>
      <c r="F328" s="295"/>
      <c r="G328" s="296"/>
      <c r="H328" s="298">
        <v>0.1</v>
      </c>
      <c r="I328" s="284">
        <f>I327*H328</f>
        <v>25503.723333333335</v>
      </c>
      <c r="J328" s="119"/>
    </row>
    <row r="329" spans="3:14" s="297" customFormat="1" ht="21.6" customHeight="1" thickBot="1">
      <c r="C329" s="299" t="s">
        <v>1221</v>
      </c>
      <c r="D329" s="300" t="s">
        <v>1222</v>
      </c>
      <c r="E329" s="301"/>
      <c r="F329" s="301"/>
      <c r="G329" s="301"/>
      <c r="H329" s="302"/>
      <c r="I329" s="303">
        <f>SUM(I327:I328)</f>
        <v>280540.95666666667</v>
      </c>
      <c r="J329" s="119"/>
    </row>
    <row r="330" spans="3:14" ht="13.8" thickTop="1"/>
    <row r="333" spans="3:14" s="280" customFormat="1" ht="28.5" customHeight="1" thickBot="1">
      <c r="C333" s="126" t="s">
        <v>2518</v>
      </c>
      <c r="D333" s="123" t="s">
        <v>2519</v>
      </c>
      <c r="E333" s="123"/>
      <c r="F333" s="123"/>
      <c r="G333" s="123"/>
      <c r="H333" s="123"/>
      <c r="I333" s="123"/>
      <c r="J333" s="120">
        <f>ROUNDDOWN(I350,-2)</f>
        <v>382300</v>
      </c>
    </row>
    <row r="334" spans="3:14" s="289" customFormat="1" ht="31.65" customHeight="1" thickTop="1">
      <c r="C334" s="51" t="s">
        <v>1195</v>
      </c>
      <c r="D334" s="52" t="s">
        <v>1196</v>
      </c>
      <c r="E334" s="52" t="s">
        <v>1906</v>
      </c>
      <c r="F334" s="52" t="s">
        <v>1197</v>
      </c>
      <c r="G334" s="52" t="s">
        <v>1198</v>
      </c>
      <c r="H334" s="52" t="s">
        <v>1199</v>
      </c>
      <c r="I334" s="53" t="s">
        <v>1200</v>
      </c>
      <c r="J334" s="126"/>
    </row>
    <row r="335" spans="3:14" s="280" customFormat="1" ht="22.8" customHeight="1">
      <c r="C335" s="290" t="s">
        <v>1201</v>
      </c>
      <c r="D335" s="182" t="s">
        <v>1202</v>
      </c>
      <c r="E335" s="182"/>
      <c r="F335" s="70"/>
      <c r="G335" s="70"/>
      <c r="H335" s="70"/>
      <c r="I335" s="71"/>
      <c r="J335" s="119"/>
      <c r="K335" s="59" t="s">
        <v>1247</v>
      </c>
      <c r="L335" s="59"/>
      <c r="M335" s="59"/>
      <c r="N335" s="59"/>
    </row>
    <row r="336" spans="3:14" s="280" customFormat="1" ht="22.8" customHeight="1">
      <c r="C336" s="290">
        <v>1</v>
      </c>
      <c r="D336" s="182" t="s">
        <v>5</v>
      </c>
      <c r="E336" s="176" t="s">
        <v>1774</v>
      </c>
      <c r="F336" s="124" t="s">
        <v>2102</v>
      </c>
      <c r="G336" s="125">
        <v>8.3000000000000004E-2</v>
      </c>
      <c r="H336" s="283">
        <f>VLOOKUP(D336,upahbahan,3,FALSE)</f>
        <v>100000</v>
      </c>
      <c r="I336" s="284">
        <f t="shared" ref="I336:I340" si="22">G336*H336</f>
        <v>8300</v>
      </c>
      <c r="J336" s="119"/>
      <c r="K336" s="59"/>
      <c r="L336" s="59"/>
      <c r="M336" s="59"/>
      <c r="N336" s="59"/>
    </row>
    <row r="337" spans="3:14" s="280" customFormat="1" ht="22.8" customHeight="1">
      <c r="C337" s="281">
        <v>2</v>
      </c>
      <c r="D337" s="182" t="s">
        <v>7</v>
      </c>
      <c r="E337" s="176" t="s">
        <v>1775</v>
      </c>
      <c r="F337" s="176" t="s">
        <v>6</v>
      </c>
      <c r="G337" s="315">
        <v>8.3000000000000004E-2</v>
      </c>
      <c r="H337" s="283">
        <f>VLOOKUP(D337,upahbahan,3,FALSE)</f>
        <v>135000</v>
      </c>
      <c r="I337" s="284">
        <f t="shared" si="22"/>
        <v>11205</v>
      </c>
      <c r="J337" s="119"/>
      <c r="K337" s="59"/>
      <c r="L337" s="59"/>
      <c r="M337" s="59"/>
      <c r="N337" s="65"/>
    </row>
    <row r="338" spans="3:14" s="280" customFormat="1" ht="22.8" customHeight="1">
      <c r="C338" s="290">
        <v>3</v>
      </c>
      <c r="D338" s="182" t="s">
        <v>13</v>
      </c>
      <c r="E338" s="176" t="s">
        <v>1775</v>
      </c>
      <c r="F338" s="176" t="s">
        <v>2102</v>
      </c>
      <c r="G338" s="315">
        <v>0.16600000000000001</v>
      </c>
      <c r="H338" s="283">
        <f>VLOOKUP(D338,upahbahan,3,FALSE)</f>
        <v>145000</v>
      </c>
      <c r="I338" s="284">
        <f t="shared" si="22"/>
        <v>24070</v>
      </c>
      <c r="J338" s="119"/>
      <c r="K338" s="59"/>
      <c r="L338" s="59"/>
      <c r="M338" s="59"/>
      <c r="N338" s="65"/>
    </row>
    <row r="339" spans="3:14" s="59" customFormat="1" ht="22.8" customHeight="1">
      <c r="C339" s="281">
        <v>4</v>
      </c>
      <c r="D339" s="182" t="s">
        <v>18</v>
      </c>
      <c r="E339" s="176" t="s">
        <v>1776</v>
      </c>
      <c r="F339" s="176" t="s">
        <v>6</v>
      </c>
      <c r="G339" s="315">
        <v>8.3000000000000004E-2</v>
      </c>
      <c r="H339" s="283">
        <f>VLOOKUP(D339,upahbahan,3,FALSE)</f>
        <v>150000</v>
      </c>
      <c r="I339" s="284">
        <f t="shared" si="22"/>
        <v>12450</v>
      </c>
      <c r="J339" s="119"/>
    </row>
    <row r="340" spans="3:14" s="59" customFormat="1" ht="22.8" customHeight="1">
      <c r="C340" s="290">
        <v>5</v>
      </c>
      <c r="D340" s="182" t="s">
        <v>19</v>
      </c>
      <c r="E340" s="176" t="s">
        <v>1777</v>
      </c>
      <c r="F340" s="176" t="s">
        <v>6</v>
      </c>
      <c r="G340" s="315">
        <v>2.8000000000000001E-2</v>
      </c>
      <c r="H340" s="283">
        <f>VLOOKUP(D340,upahbahan,3,FALSE)</f>
        <v>160000</v>
      </c>
      <c r="I340" s="284">
        <f t="shared" si="22"/>
        <v>4480</v>
      </c>
      <c r="J340" s="119"/>
    </row>
    <row r="341" spans="3:14" s="280" customFormat="1" ht="22.8" customHeight="1">
      <c r="C341" s="66" t="s">
        <v>1208</v>
      </c>
      <c r="D341" s="67"/>
      <c r="E341" s="67"/>
      <c r="F341" s="67"/>
      <c r="G341" s="68"/>
      <c r="H341" s="69"/>
      <c r="I341" s="284">
        <f>SUM(I336:I340)</f>
        <v>60505</v>
      </c>
      <c r="J341" s="119"/>
    </row>
    <row r="342" spans="3:14" s="280" customFormat="1" ht="22.8" customHeight="1">
      <c r="C342" s="290" t="s">
        <v>1209</v>
      </c>
      <c r="D342" s="182" t="s">
        <v>1210</v>
      </c>
      <c r="E342" s="182"/>
      <c r="F342" s="70"/>
      <c r="G342" s="70"/>
      <c r="H342" s="70"/>
      <c r="I342" s="71"/>
      <c r="J342" s="119"/>
    </row>
    <row r="343" spans="3:14" s="280" customFormat="1" ht="22.8" customHeight="1">
      <c r="C343" s="66" t="s">
        <v>1214</v>
      </c>
      <c r="D343" s="67"/>
      <c r="E343" s="67"/>
      <c r="F343" s="67"/>
      <c r="G343" s="67"/>
      <c r="H343" s="69"/>
      <c r="I343" s="284">
        <f>SUM(I342)</f>
        <v>0</v>
      </c>
      <c r="J343" s="119"/>
    </row>
    <row r="344" spans="3:14" s="280" customFormat="1" ht="22.8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  <c r="J344" s="119"/>
    </row>
    <row r="345" spans="3:14" s="280" customFormat="1" ht="22.8" customHeight="1">
      <c r="C345" s="181">
        <v>1</v>
      </c>
      <c r="D345" s="361" t="s">
        <v>2502</v>
      </c>
      <c r="E345" s="361"/>
      <c r="F345" s="362" t="s">
        <v>2501</v>
      </c>
      <c r="G345" s="130">
        <v>8.3000000000000004E-2</v>
      </c>
      <c r="H345" s="283">
        <f>VLOOKUP(D345,upahbahan,3,FALSE)</f>
        <v>3442900</v>
      </c>
      <c r="I345" s="284">
        <f>G345*H345</f>
        <v>285760.7</v>
      </c>
      <c r="J345" s="119"/>
    </row>
    <row r="346" spans="3:14" s="366" customFormat="1" ht="22.8" customHeight="1">
      <c r="C346" s="181">
        <v>2</v>
      </c>
      <c r="D346" s="135" t="s">
        <v>1142</v>
      </c>
      <c r="E346" s="361"/>
      <c r="F346" s="367" t="s">
        <v>2510</v>
      </c>
      <c r="G346" s="136">
        <v>2.2000000000000002</v>
      </c>
      <c r="H346" s="183">
        <f>VLOOKUP(D346,upahbahan,3,FALSE)/30</f>
        <v>586.66666666666663</v>
      </c>
      <c r="I346" s="325">
        <f>G346*H346</f>
        <v>1290.6666666666667</v>
      </c>
      <c r="J346" s="365"/>
    </row>
    <row r="347" spans="3:14" s="280" customFormat="1" ht="22.8" customHeight="1">
      <c r="C347" s="66" t="s">
        <v>1217</v>
      </c>
      <c r="D347" s="131"/>
      <c r="E347" s="131"/>
      <c r="F347" s="131"/>
      <c r="G347" s="131"/>
      <c r="H347" s="132"/>
      <c r="I347" s="292">
        <f>SUM(I344:I346)</f>
        <v>287051.3666666667</v>
      </c>
      <c r="J347" s="119"/>
    </row>
    <row r="348" spans="3:14" s="297" customFormat="1" ht="22.8" customHeight="1">
      <c r="C348" s="293" t="s">
        <v>1218</v>
      </c>
      <c r="D348" s="294" t="s">
        <v>1219</v>
      </c>
      <c r="E348" s="295"/>
      <c r="F348" s="295"/>
      <c r="G348" s="295"/>
      <c r="H348" s="296"/>
      <c r="I348" s="284">
        <f>I347+I343+I341</f>
        <v>347556.3666666667</v>
      </c>
      <c r="J348" s="119"/>
    </row>
    <row r="349" spans="3:14" s="297" customFormat="1" ht="22.8" customHeight="1">
      <c r="C349" s="293" t="s">
        <v>1220</v>
      </c>
      <c r="D349" s="294" t="s">
        <v>1321</v>
      </c>
      <c r="E349" s="295"/>
      <c r="F349" s="295"/>
      <c r="G349" s="296"/>
      <c r="H349" s="298">
        <v>0.1</v>
      </c>
      <c r="I349" s="284">
        <f>I348*H349</f>
        <v>34755.636666666673</v>
      </c>
      <c r="J349" s="119"/>
    </row>
    <row r="350" spans="3:14" s="297" customFormat="1" ht="22.8" customHeight="1" thickBot="1">
      <c r="C350" s="299" t="s">
        <v>1221</v>
      </c>
      <c r="D350" s="300" t="s">
        <v>1222</v>
      </c>
      <c r="E350" s="301"/>
      <c r="F350" s="301"/>
      <c r="G350" s="301"/>
      <c r="H350" s="302"/>
      <c r="I350" s="303">
        <f>SUM(I348:I349)</f>
        <v>382312.00333333336</v>
      </c>
      <c r="J350" s="119"/>
    </row>
    <row r="351" spans="3:14" ht="13.8" thickTop="1"/>
    <row r="354" spans="3:14" s="280" customFormat="1" ht="28.5" customHeight="1" thickBot="1">
      <c r="C354" s="126" t="s">
        <v>2520</v>
      </c>
      <c r="D354" s="123" t="s">
        <v>2521</v>
      </c>
      <c r="E354" s="123"/>
      <c r="F354" s="123"/>
      <c r="G354" s="123"/>
      <c r="H354" s="123"/>
      <c r="I354" s="123"/>
      <c r="J354" s="120">
        <f>ROUNDDOWN(I367,-2)</f>
        <v>71100</v>
      </c>
    </row>
    <row r="355" spans="3:14" s="289" customFormat="1" ht="31.65" customHeight="1" thickTop="1">
      <c r="C355" s="51" t="s">
        <v>1195</v>
      </c>
      <c r="D355" s="52" t="s">
        <v>1196</v>
      </c>
      <c r="E355" s="52" t="s">
        <v>1906</v>
      </c>
      <c r="F355" s="52" t="s">
        <v>1197</v>
      </c>
      <c r="G355" s="52" t="s">
        <v>1198</v>
      </c>
      <c r="H355" s="52" t="s">
        <v>1199</v>
      </c>
      <c r="I355" s="53" t="s">
        <v>1200</v>
      </c>
      <c r="J355" s="126"/>
    </row>
    <row r="356" spans="3:14" s="280" customFormat="1" ht="24" customHeight="1">
      <c r="C356" s="290" t="s">
        <v>1201</v>
      </c>
      <c r="D356" s="182" t="s">
        <v>1202</v>
      </c>
      <c r="E356" s="182"/>
      <c r="F356" s="70"/>
      <c r="G356" s="70"/>
      <c r="H356" s="70"/>
      <c r="I356" s="71"/>
      <c r="J356" s="119"/>
      <c r="K356" s="59" t="s">
        <v>1247</v>
      </c>
      <c r="L356" s="59"/>
      <c r="M356" s="59"/>
      <c r="N356" s="59"/>
    </row>
    <row r="357" spans="3:14" s="280" customFormat="1" ht="24" customHeight="1">
      <c r="C357" s="281">
        <v>1</v>
      </c>
      <c r="D357" s="182" t="s">
        <v>7</v>
      </c>
      <c r="E357" s="176" t="s">
        <v>1775</v>
      </c>
      <c r="F357" s="176" t="s">
        <v>6</v>
      </c>
      <c r="G357" s="315">
        <v>0.36699999999999999</v>
      </c>
      <c r="H357" s="283">
        <f>VLOOKUP(D357,upahbahan,3,FALSE)</f>
        <v>135000</v>
      </c>
      <c r="I357" s="284">
        <f t="shared" ref="I357:I359" si="23">G357*H357</f>
        <v>49545</v>
      </c>
      <c r="J357" s="119"/>
      <c r="K357" s="59"/>
      <c r="L357" s="59"/>
      <c r="M357" s="59"/>
      <c r="N357" s="65"/>
    </row>
    <row r="358" spans="3:14" s="59" customFormat="1" ht="24" customHeight="1">
      <c r="C358" s="281">
        <v>2</v>
      </c>
      <c r="D358" s="182" t="s">
        <v>18</v>
      </c>
      <c r="E358" s="176" t="s">
        <v>1776</v>
      </c>
      <c r="F358" s="176" t="s">
        <v>6</v>
      </c>
      <c r="G358" s="315">
        <v>7.3999999999999996E-2</v>
      </c>
      <c r="H358" s="283">
        <f>VLOOKUP(D358,upahbahan,3,FALSE)</f>
        <v>150000</v>
      </c>
      <c r="I358" s="284">
        <f t="shared" si="23"/>
        <v>11100</v>
      </c>
      <c r="J358" s="119"/>
    </row>
    <row r="359" spans="3:14" s="59" customFormat="1" ht="24" customHeight="1">
      <c r="C359" s="290">
        <v>3</v>
      </c>
      <c r="D359" s="182" t="s">
        <v>19</v>
      </c>
      <c r="E359" s="176" t="s">
        <v>1777</v>
      </c>
      <c r="F359" s="176" t="s">
        <v>6</v>
      </c>
      <c r="G359" s="315">
        <v>2.5000000000000001E-2</v>
      </c>
      <c r="H359" s="283">
        <f>VLOOKUP(D359,upahbahan,3,FALSE)</f>
        <v>160000</v>
      </c>
      <c r="I359" s="284">
        <f t="shared" si="23"/>
        <v>4000</v>
      </c>
      <c r="J359" s="119"/>
    </row>
    <row r="360" spans="3:14" s="280" customFormat="1" ht="24" customHeight="1">
      <c r="C360" s="66" t="s">
        <v>1208</v>
      </c>
      <c r="D360" s="67"/>
      <c r="E360" s="67"/>
      <c r="F360" s="67"/>
      <c r="G360" s="68"/>
      <c r="H360" s="69"/>
      <c r="I360" s="284">
        <f>SUM(I357:I359)</f>
        <v>64645</v>
      </c>
      <c r="J360" s="119"/>
    </row>
    <row r="361" spans="3:14" s="280" customFormat="1" ht="24" customHeight="1">
      <c r="C361" s="290" t="s">
        <v>1209</v>
      </c>
      <c r="D361" s="182" t="s">
        <v>1210</v>
      </c>
      <c r="E361" s="182"/>
      <c r="F361" s="70"/>
      <c r="G361" s="70"/>
      <c r="H361" s="70"/>
      <c r="I361" s="71"/>
      <c r="J361" s="119"/>
    </row>
    <row r="362" spans="3:14" s="280" customFormat="1" ht="24" customHeight="1">
      <c r="C362" s="66" t="s">
        <v>1214</v>
      </c>
      <c r="D362" s="67"/>
      <c r="E362" s="67"/>
      <c r="F362" s="67"/>
      <c r="G362" s="67"/>
      <c r="H362" s="69"/>
      <c r="I362" s="284">
        <f>SUM(I361)</f>
        <v>0</v>
      </c>
      <c r="J362" s="119"/>
    </row>
    <row r="363" spans="3:14" s="280" customFormat="1" ht="24" customHeight="1">
      <c r="C363" s="290" t="s">
        <v>1215</v>
      </c>
      <c r="D363" s="182" t="s">
        <v>1216</v>
      </c>
      <c r="E363" s="182"/>
      <c r="F363" s="70"/>
      <c r="G363" s="70"/>
      <c r="H363" s="70"/>
      <c r="I363" s="71"/>
      <c r="J363" s="119"/>
    </row>
    <row r="364" spans="3:14" s="280" customFormat="1" ht="24" customHeight="1">
      <c r="C364" s="66" t="s">
        <v>1217</v>
      </c>
      <c r="D364" s="131"/>
      <c r="E364" s="131"/>
      <c r="F364" s="131"/>
      <c r="G364" s="131"/>
      <c r="H364" s="132"/>
      <c r="I364" s="292">
        <f>SUM(I363:I363)</f>
        <v>0</v>
      </c>
      <c r="J364" s="119"/>
    </row>
    <row r="365" spans="3:14" s="297" customFormat="1" ht="24" customHeight="1">
      <c r="C365" s="293" t="s">
        <v>1218</v>
      </c>
      <c r="D365" s="294" t="s">
        <v>1219</v>
      </c>
      <c r="E365" s="295"/>
      <c r="F365" s="295"/>
      <c r="G365" s="295"/>
      <c r="H365" s="296"/>
      <c r="I365" s="284">
        <f>I364+I362+I360</f>
        <v>64645</v>
      </c>
      <c r="J365" s="119"/>
    </row>
    <row r="366" spans="3:14" s="297" customFormat="1" ht="24" customHeight="1">
      <c r="C366" s="293" t="s">
        <v>1220</v>
      </c>
      <c r="D366" s="294" t="s">
        <v>1321</v>
      </c>
      <c r="E366" s="295"/>
      <c r="F366" s="295"/>
      <c r="G366" s="296"/>
      <c r="H366" s="298">
        <v>0.1</v>
      </c>
      <c r="I366" s="284">
        <f>I365*H366</f>
        <v>6464.5</v>
      </c>
      <c r="J366" s="119"/>
    </row>
    <row r="367" spans="3:14" s="297" customFormat="1" ht="24" customHeight="1" thickBot="1">
      <c r="C367" s="299" t="s">
        <v>1221</v>
      </c>
      <c r="D367" s="300" t="s">
        <v>1222</v>
      </c>
      <c r="E367" s="301"/>
      <c r="F367" s="301"/>
      <c r="G367" s="301"/>
      <c r="H367" s="302"/>
      <c r="I367" s="303">
        <f>SUM(I365:I366)</f>
        <v>71109.5</v>
      </c>
      <c r="J367" s="119"/>
    </row>
    <row r="368" spans="3:14" ht="13.8" thickTop="1"/>
    <row r="370" spans="3:14" s="280" customFormat="1" ht="28.5" customHeight="1" thickBot="1">
      <c r="C370" s="126" t="s">
        <v>2522</v>
      </c>
      <c r="D370" s="123" t="s">
        <v>2523</v>
      </c>
      <c r="E370" s="123"/>
      <c r="F370" s="123"/>
      <c r="G370" s="123"/>
      <c r="H370" s="123"/>
      <c r="I370" s="123"/>
      <c r="J370" s="120">
        <f>ROUNDDOWN(I384,-2)</f>
        <v>72900</v>
      </c>
    </row>
    <row r="371" spans="3:14" s="289" customFormat="1" ht="31.65" customHeight="1" thickTop="1">
      <c r="C371" s="51" t="s">
        <v>1195</v>
      </c>
      <c r="D371" s="52" t="s">
        <v>1196</v>
      </c>
      <c r="E371" s="52" t="s">
        <v>1906</v>
      </c>
      <c r="F371" s="52" t="s">
        <v>1197</v>
      </c>
      <c r="G371" s="52" t="s">
        <v>1198</v>
      </c>
      <c r="H371" s="52" t="s">
        <v>1199</v>
      </c>
      <c r="I371" s="53" t="s">
        <v>1200</v>
      </c>
      <c r="J371" s="126"/>
    </row>
    <row r="372" spans="3:14" s="280" customFormat="1" ht="23.4" customHeight="1">
      <c r="C372" s="290" t="s">
        <v>1201</v>
      </c>
      <c r="D372" s="182" t="s">
        <v>1202</v>
      </c>
      <c r="E372" s="182"/>
      <c r="F372" s="70"/>
      <c r="G372" s="70"/>
      <c r="H372" s="70"/>
      <c r="I372" s="71"/>
      <c r="J372" s="119"/>
      <c r="K372" s="59" t="s">
        <v>1247</v>
      </c>
      <c r="L372" s="59"/>
      <c r="M372" s="59"/>
      <c r="N372" s="59"/>
    </row>
    <row r="373" spans="3:14" s="280" customFormat="1" ht="23.4" customHeight="1">
      <c r="C373" s="290">
        <v>1</v>
      </c>
      <c r="D373" s="182" t="s">
        <v>5</v>
      </c>
      <c r="E373" s="176" t="s">
        <v>1774</v>
      </c>
      <c r="F373" s="124" t="s">
        <v>2102</v>
      </c>
      <c r="G373" s="125">
        <v>0.22</v>
      </c>
      <c r="H373" s="283">
        <f>VLOOKUP(D373,upahbahan,3,FALSE)</f>
        <v>100000</v>
      </c>
      <c r="I373" s="284">
        <f t="shared" ref="I373:I376" si="24">G373*H373</f>
        <v>22000</v>
      </c>
      <c r="J373" s="119"/>
      <c r="K373" s="59"/>
      <c r="L373" s="59"/>
      <c r="M373" s="59"/>
      <c r="N373" s="59"/>
    </row>
    <row r="374" spans="3:14" s="280" customFormat="1" ht="23.4" customHeight="1">
      <c r="C374" s="281">
        <v>2</v>
      </c>
      <c r="D374" s="182" t="s">
        <v>8</v>
      </c>
      <c r="E374" s="176" t="s">
        <v>1775</v>
      </c>
      <c r="F374" s="176" t="s">
        <v>6</v>
      </c>
      <c r="G374" s="315">
        <v>2.1999999999999999E-2</v>
      </c>
      <c r="H374" s="283">
        <f>VLOOKUP(D374,upahbahan,3,FALSE)</f>
        <v>135000</v>
      </c>
      <c r="I374" s="284">
        <f t="shared" si="24"/>
        <v>2970</v>
      </c>
      <c r="J374" s="119"/>
      <c r="K374" s="59"/>
      <c r="L374" s="59"/>
      <c r="M374" s="59"/>
      <c r="N374" s="65"/>
    </row>
    <row r="375" spans="3:14" s="59" customFormat="1" ht="23.4" customHeight="1">
      <c r="C375" s="281">
        <v>3</v>
      </c>
      <c r="D375" s="182" t="s">
        <v>9</v>
      </c>
      <c r="E375" s="176" t="s">
        <v>1775</v>
      </c>
      <c r="F375" s="176" t="s">
        <v>6</v>
      </c>
      <c r="G375" s="315">
        <v>0.22</v>
      </c>
      <c r="H375" s="283">
        <f>VLOOKUP(D375,upahbahan,3,FALSE)</f>
        <v>135000</v>
      </c>
      <c r="I375" s="284">
        <f t="shared" si="24"/>
        <v>29700</v>
      </c>
      <c r="J375" s="119"/>
    </row>
    <row r="376" spans="3:14" s="59" customFormat="1" ht="23.4" customHeight="1">
      <c r="C376" s="290">
        <v>4</v>
      </c>
      <c r="D376" s="182" t="s">
        <v>19</v>
      </c>
      <c r="E376" s="176" t="s">
        <v>1777</v>
      </c>
      <c r="F376" s="176" t="s">
        <v>6</v>
      </c>
      <c r="G376" s="315">
        <v>7.2999999999999995E-2</v>
      </c>
      <c r="H376" s="283">
        <f>VLOOKUP(D376,upahbahan,3,FALSE)</f>
        <v>160000</v>
      </c>
      <c r="I376" s="284">
        <f t="shared" si="24"/>
        <v>11680</v>
      </c>
      <c r="J376" s="119"/>
    </row>
    <row r="377" spans="3:14" s="280" customFormat="1" ht="23.4" customHeight="1">
      <c r="C377" s="66" t="s">
        <v>1208</v>
      </c>
      <c r="D377" s="67"/>
      <c r="E377" s="67"/>
      <c r="F377" s="67"/>
      <c r="G377" s="68"/>
      <c r="H377" s="69"/>
      <c r="I377" s="284">
        <f>SUM(I373:I376)</f>
        <v>66350</v>
      </c>
      <c r="J377" s="119"/>
    </row>
    <row r="378" spans="3:14" s="280" customFormat="1" ht="23.4" customHeight="1">
      <c r="C378" s="290" t="s">
        <v>1209</v>
      </c>
      <c r="D378" s="182" t="s">
        <v>1210</v>
      </c>
      <c r="E378" s="182"/>
      <c r="F378" s="70"/>
      <c r="G378" s="70"/>
      <c r="H378" s="70"/>
      <c r="I378" s="71"/>
      <c r="J378" s="119"/>
    </row>
    <row r="379" spans="3:14" s="280" customFormat="1" ht="23.4" customHeight="1">
      <c r="C379" s="66" t="s">
        <v>1214</v>
      </c>
      <c r="D379" s="67"/>
      <c r="E379" s="67"/>
      <c r="F379" s="67"/>
      <c r="G379" s="67"/>
      <c r="H379" s="69"/>
      <c r="I379" s="284">
        <f>SUM(I378)</f>
        <v>0</v>
      </c>
      <c r="J379" s="119"/>
    </row>
    <row r="380" spans="3:14" s="280" customFormat="1" ht="23.4" customHeight="1">
      <c r="C380" s="290" t="s">
        <v>1215</v>
      </c>
      <c r="D380" s="182" t="s">
        <v>1216</v>
      </c>
      <c r="E380" s="182"/>
      <c r="F380" s="70"/>
      <c r="G380" s="70"/>
      <c r="H380" s="70"/>
      <c r="I380" s="71"/>
      <c r="J380" s="119"/>
    </row>
    <row r="381" spans="3:14" s="280" customFormat="1" ht="23.4" customHeight="1">
      <c r="C381" s="66" t="s">
        <v>1217</v>
      </c>
      <c r="D381" s="131"/>
      <c r="E381" s="131"/>
      <c r="F381" s="131"/>
      <c r="G381" s="131"/>
      <c r="H381" s="132"/>
      <c r="I381" s="292">
        <f>SUM(I380:I380)</f>
        <v>0</v>
      </c>
      <c r="J381" s="119"/>
    </row>
    <row r="382" spans="3:14" s="297" customFormat="1" ht="23.4" customHeight="1">
      <c r="C382" s="293" t="s">
        <v>1218</v>
      </c>
      <c r="D382" s="294" t="s">
        <v>1219</v>
      </c>
      <c r="E382" s="295"/>
      <c r="F382" s="295"/>
      <c r="G382" s="295"/>
      <c r="H382" s="296"/>
      <c r="I382" s="284">
        <f>I381+I379+I377</f>
        <v>66350</v>
      </c>
      <c r="J382" s="119"/>
    </row>
    <row r="383" spans="3:14" s="297" customFormat="1" ht="23.4" customHeight="1">
      <c r="C383" s="293" t="s">
        <v>1220</v>
      </c>
      <c r="D383" s="294" t="s">
        <v>1321</v>
      </c>
      <c r="E383" s="295"/>
      <c r="F383" s="295"/>
      <c r="G383" s="296"/>
      <c r="H383" s="298">
        <v>0.1</v>
      </c>
      <c r="I383" s="284">
        <f>I382*H383</f>
        <v>6635</v>
      </c>
      <c r="J383" s="119"/>
    </row>
    <row r="384" spans="3:14" s="297" customFormat="1" ht="23.4" customHeight="1" thickBot="1">
      <c r="C384" s="299" t="s">
        <v>1221</v>
      </c>
      <c r="D384" s="300" t="s">
        <v>1222</v>
      </c>
      <c r="E384" s="301"/>
      <c r="F384" s="301"/>
      <c r="G384" s="301"/>
      <c r="H384" s="302"/>
      <c r="I384" s="303">
        <f>SUM(I382:I383)</f>
        <v>72985</v>
      </c>
      <c r="J384" s="119"/>
    </row>
    <row r="385" spans="3:14" ht="13.8" thickTop="1"/>
    <row r="387" spans="3:14" ht="13.8">
      <c r="C387" s="126" t="s">
        <v>2524</v>
      </c>
      <c r="D387" s="138" t="s">
        <v>2525</v>
      </c>
    </row>
    <row r="388" spans="3:14" s="280" customFormat="1" ht="28.5" customHeight="1" thickBot="1">
      <c r="C388" s="126" t="s">
        <v>2526</v>
      </c>
      <c r="D388" s="123" t="s">
        <v>2527</v>
      </c>
      <c r="E388" s="123"/>
      <c r="F388" s="123"/>
      <c r="G388" s="123"/>
      <c r="H388" s="123"/>
      <c r="I388" s="123"/>
      <c r="J388" s="120">
        <f>ROUNDDOWN(I406,-2)</f>
        <v>80800</v>
      </c>
    </row>
    <row r="389" spans="3:14" s="289" customFormat="1" ht="31.65" customHeight="1" thickTop="1">
      <c r="C389" s="51" t="s">
        <v>1195</v>
      </c>
      <c r="D389" s="52" t="s">
        <v>1196</v>
      </c>
      <c r="E389" s="52" t="s">
        <v>1906</v>
      </c>
      <c r="F389" s="52" t="s">
        <v>1197</v>
      </c>
      <c r="G389" s="52" t="s">
        <v>1198</v>
      </c>
      <c r="H389" s="52" t="s">
        <v>1199</v>
      </c>
      <c r="I389" s="53" t="s">
        <v>1200</v>
      </c>
      <c r="J389" s="126"/>
    </row>
    <row r="390" spans="3:14" s="280" customFormat="1" ht="22.8" customHeight="1">
      <c r="C390" s="290" t="s">
        <v>1201</v>
      </c>
      <c r="D390" s="182" t="s">
        <v>1202</v>
      </c>
      <c r="E390" s="182"/>
      <c r="F390" s="70"/>
      <c r="G390" s="70"/>
      <c r="H390" s="70"/>
      <c r="I390" s="71"/>
      <c r="J390" s="119"/>
      <c r="K390" s="59" t="s">
        <v>1247</v>
      </c>
      <c r="L390" s="59"/>
      <c r="M390" s="59"/>
      <c r="N390" s="59"/>
    </row>
    <row r="391" spans="3:14" s="280" customFormat="1" ht="22.8" customHeight="1">
      <c r="C391" s="290">
        <v>1</v>
      </c>
      <c r="D391" s="182" t="s">
        <v>5</v>
      </c>
      <c r="E391" s="176" t="s">
        <v>1774</v>
      </c>
      <c r="F391" s="124" t="s">
        <v>2102</v>
      </c>
      <c r="G391" s="125">
        <v>0.13200000000000001</v>
      </c>
      <c r="H391" s="283">
        <f>VLOOKUP(D391,upahbahan,3,FALSE)</f>
        <v>100000</v>
      </c>
      <c r="I391" s="284">
        <f t="shared" ref="I391:I394" si="25">G391*H391</f>
        <v>13200</v>
      </c>
      <c r="J391" s="119"/>
      <c r="K391" s="59"/>
      <c r="L391" s="59"/>
      <c r="M391" s="59"/>
      <c r="N391" s="59"/>
    </row>
    <row r="392" spans="3:14" s="280" customFormat="1" ht="22.8" customHeight="1">
      <c r="C392" s="281">
        <v>2</v>
      </c>
      <c r="D392" s="182" t="s">
        <v>7</v>
      </c>
      <c r="E392" s="176" t="s">
        <v>1775</v>
      </c>
      <c r="F392" s="176" t="s">
        <v>6</v>
      </c>
      <c r="G392" s="315">
        <v>2.1999999999999999E-2</v>
      </c>
      <c r="H392" s="283">
        <f>VLOOKUP(D392,upahbahan,3,FALSE)</f>
        <v>135000</v>
      </c>
      <c r="I392" s="284">
        <f t="shared" si="25"/>
        <v>2970</v>
      </c>
      <c r="J392" s="119"/>
      <c r="K392" s="59"/>
      <c r="L392" s="59"/>
      <c r="M392" s="59"/>
      <c r="N392" s="65"/>
    </row>
    <row r="393" spans="3:14" s="59" customFormat="1" ht="22.8" customHeight="1">
      <c r="C393" s="281">
        <v>3</v>
      </c>
      <c r="D393" s="182" t="s">
        <v>18</v>
      </c>
      <c r="E393" s="176" t="s">
        <v>1776</v>
      </c>
      <c r="F393" s="176" t="s">
        <v>6</v>
      </c>
      <c r="G393" s="315">
        <v>2E-3</v>
      </c>
      <c r="H393" s="283">
        <f>VLOOKUP(D393,upahbahan,3,FALSE)</f>
        <v>150000</v>
      </c>
      <c r="I393" s="284">
        <f t="shared" si="25"/>
        <v>300</v>
      </c>
      <c r="J393" s="119"/>
    </row>
    <row r="394" spans="3:14" s="59" customFormat="1" ht="22.8" customHeight="1">
      <c r="C394" s="290">
        <v>4</v>
      </c>
      <c r="D394" s="182" t="s">
        <v>19</v>
      </c>
      <c r="E394" s="176" t="s">
        <v>1777</v>
      </c>
      <c r="F394" s="176" t="s">
        <v>6</v>
      </c>
      <c r="G394" s="315">
        <v>1E-3</v>
      </c>
      <c r="H394" s="283">
        <f>VLOOKUP(D394,upahbahan,3,FALSE)</f>
        <v>160000</v>
      </c>
      <c r="I394" s="284">
        <f t="shared" si="25"/>
        <v>160</v>
      </c>
      <c r="J394" s="119"/>
    </row>
    <row r="395" spans="3:14" s="280" customFormat="1" ht="22.8" customHeight="1">
      <c r="C395" s="66" t="s">
        <v>1208</v>
      </c>
      <c r="D395" s="67"/>
      <c r="E395" s="67"/>
      <c r="F395" s="67"/>
      <c r="G395" s="68"/>
      <c r="H395" s="69"/>
      <c r="I395" s="284">
        <f>SUM(I391:I394)</f>
        <v>16630</v>
      </c>
      <c r="J395" s="119"/>
    </row>
    <row r="396" spans="3:14" s="280" customFormat="1" ht="22.8" customHeight="1">
      <c r="C396" s="290" t="s">
        <v>1209</v>
      </c>
      <c r="D396" s="182" t="s">
        <v>1210</v>
      </c>
      <c r="E396" s="182"/>
      <c r="F396" s="70"/>
      <c r="G396" s="70"/>
      <c r="H396" s="70"/>
      <c r="I396" s="71"/>
      <c r="J396" s="119"/>
    </row>
    <row r="397" spans="3:14" s="280" customFormat="1" ht="22.8" customHeight="1">
      <c r="C397" s="181">
        <v>1</v>
      </c>
      <c r="D397" s="182" t="s">
        <v>1796</v>
      </c>
      <c r="E397" s="182"/>
      <c r="F397" s="124" t="s">
        <v>65</v>
      </c>
      <c r="G397" s="118">
        <v>26.08</v>
      </c>
      <c r="H397" s="283">
        <f>VLOOKUP(D397,upahbahan,3,FALSE)</f>
        <v>1530</v>
      </c>
      <c r="I397" s="284">
        <f>G397*H397</f>
        <v>39902.399999999994</v>
      </c>
      <c r="J397" s="119"/>
    </row>
    <row r="398" spans="3:14" s="280" customFormat="1" ht="22.8" customHeight="1">
      <c r="C398" s="181">
        <v>2</v>
      </c>
      <c r="D398" s="182" t="s">
        <v>1797</v>
      </c>
      <c r="E398" s="182"/>
      <c r="F398" s="124" t="s">
        <v>65</v>
      </c>
      <c r="G398" s="118">
        <v>60.8</v>
      </c>
      <c r="H398" s="283">
        <f>VLOOKUP(D398,upahbahan,3,FALSE)</f>
        <v>221.78700000000001</v>
      </c>
      <c r="I398" s="284">
        <f>G398*H398</f>
        <v>13484.649600000001</v>
      </c>
      <c r="J398" s="119"/>
    </row>
    <row r="399" spans="3:14" s="280" customFormat="1" ht="22.8" customHeight="1">
      <c r="C399" s="181">
        <v>3</v>
      </c>
      <c r="D399" s="109" t="s">
        <v>1798</v>
      </c>
      <c r="E399" s="109"/>
      <c r="F399" s="108" t="s">
        <v>65</v>
      </c>
      <c r="G399" s="116">
        <v>82.32</v>
      </c>
      <c r="H399" s="185">
        <f>VLOOKUP(D399,upahbahan,3,FALSE)</f>
        <v>0</v>
      </c>
      <c r="I399" s="317">
        <f>G399*H399</f>
        <v>0</v>
      </c>
      <c r="J399" s="119"/>
    </row>
    <row r="400" spans="3:14" s="280" customFormat="1" ht="22.8" customHeight="1">
      <c r="C400" s="181">
        <v>4</v>
      </c>
      <c r="D400" s="182" t="s">
        <v>960</v>
      </c>
      <c r="E400" s="182"/>
      <c r="F400" s="124" t="s">
        <v>529</v>
      </c>
      <c r="G400" s="118">
        <v>17.2</v>
      </c>
      <c r="H400" s="283">
        <f>VLOOKUP(D400,upahbahan,3,FALSE)</f>
        <v>200</v>
      </c>
      <c r="I400" s="284">
        <f>G400*H400</f>
        <v>3440</v>
      </c>
      <c r="J400" s="119"/>
    </row>
    <row r="401" spans="3:14" s="280" customFormat="1" ht="22.8" customHeight="1">
      <c r="C401" s="66" t="s">
        <v>1214</v>
      </c>
      <c r="D401" s="67"/>
      <c r="E401" s="67"/>
      <c r="F401" s="67"/>
      <c r="G401" s="67"/>
      <c r="H401" s="69"/>
      <c r="I401" s="284">
        <f>SUM(I397:I400)</f>
        <v>56827.049599999998</v>
      </c>
      <c r="J401" s="119"/>
    </row>
    <row r="402" spans="3:14" s="280" customFormat="1" ht="22.8" customHeight="1">
      <c r="C402" s="290" t="s">
        <v>1215</v>
      </c>
      <c r="D402" s="182" t="s">
        <v>1216</v>
      </c>
      <c r="E402" s="182"/>
      <c r="F402" s="70"/>
      <c r="G402" s="70"/>
      <c r="H402" s="70"/>
      <c r="I402" s="71"/>
      <c r="J402" s="119"/>
    </row>
    <row r="403" spans="3:14" s="280" customFormat="1" ht="22.8" customHeight="1">
      <c r="C403" s="66" t="s">
        <v>1217</v>
      </c>
      <c r="D403" s="131"/>
      <c r="E403" s="131"/>
      <c r="F403" s="131"/>
      <c r="G403" s="131"/>
      <c r="H403" s="132"/>
      <c r="I403" s="292">
        <f>SUM(I402:I402)</f>
        <v>0</v>
      </c>
      <c r="J403" s="119"/>
    </row>
    <row r="404" spans="3:14" s="297" customFormat="1" ht="22.8" customHeight="1">
      <c r="C404" s="293" t="s">
        <v>1218</v>
      </c>
      <c r="D404" s="294" t="s">
        <v>1219</v>
      </c>
      <c r="E404" s="295"/>
      <c r="F404" s="295"/>
      <c r="G404" s="295"/>
      <c r="H404" s="296"/>
      <c r="I404" s="284">
        <f>I403+I401+I395</f>
        <v>73457.049599999998</v>
      </c>
      <c r="J404" s="119"/>
    </row>
    <row r="405" spans="3:14" s="297" customFormat="1" ht="22.8" customHeight="1">
      <c r="C405" s="293" t="s">
        <v>1220</v>
      </c>
      <c r="D405" s="294" t="s">
        <v>1321</v>
      </c>
      <c r="E405" s="295"/>
      <c r="F405" s="295"/>
      <c r="G405" s="296"/>
      <c r="H405" s="298">
        <v>0.1</v>
      </c>
      <c r="I405" s="284">
        <f>I404*H405</f>
        <v>7345.70496</v>
      </c>
      <c r="J405" s="119"/>
    </row>
    <row r="406" spans="3:14" s="297" customFormat="1" ht="22.8" customHeight="1" thickBot="1">
      <c r="C406" s="299" t="s">
        <v>1221</v>
      </c>
      <c r="D406" s="300" t="s">
        <v>1222</v>
      </c>
      <c r="E406" s="301"/>
      <c r="F406" s="301"/>
      <c r="G406" s="301"/>
      <c r="H406" s="302"/>
      <c r="I406" s="303">
        <f>SUM(I404:I405)</f>
        <v>80802.754560000001</v>
      </c>
      <c r="J406" s="119"/>
    </row>
    <row r="407" spans="3:14" ht="13.8" thickTop="1"/>
    <row r="409" spans="3:14" s="280" customFormat="1" ht="43.2" customHeight="1" thickBot="1">
      <c r="C409" s="138" t="s">
        <v>2528</v>
      </c>
      <c r="D409" s="1875" t="s">
        <v>2529</v>
      </c>
      <c r="E409" s="1875"/>
      <c r="F409" s="1875"/>
      <c r="G409" s="1875"/>
      <c r="H409" s="1875"/>
      <c r="I409" s="1875"/>
      <c r="J409" s="139">
        <f>ROUNDDOWN(I427,-2)</f>
        <v>101100</v>
      </c>
    </row>
    <row r="410" spans="3:14" s="289" customFormat="1" ht="31.65" customHeight="1" thickTop="1">
      <c r="C410" s="51" t="s">
        <v>1195</v>
      </c>
      <c r="D410" s="52" t="s">
        <v>1196</v>
      </c>
      <c r="E410" s="52" t="s">
        <v>1906</v>
      </c>
      <c r="F410" s="52" t="s">
        <v>1197</v>
      </c>
      <c r="G410" s="52" t="s">
        <v>1198</v>
      </c>
      <c r="H410" s="52" t="s">
        <v>1199</v>
      </c>
      <c r="I410" s="53" t="s">
        <v>1200</v>
      </c>
      <c r="J410" s="126"/>
    </row>
    <row r="411" spans="3:14" s="280" customFormat="1" ht="21" customHeight="1">
      <c r="C411" s="290" t="s">
        <v>1201</v>
      </c>
      <c r="D411" s="182" t="s">
        <v>1202</v>
      </c>
      <c r="E411" s="182"/>
      <c r="F411" s="70"/>
      <c r="G411" s="70"/>
      <c r="H411" s="70"/>
      <c r="I411" s="71"/>
      <c r="J411" s="119"/>
      <c r="K411" s="59" t="s">
        <v>1247</v>
      </c>
      <c r="L411" s="59"/>
      <c r="M411" s="59"/>
      <c r="N411" s="59"/>
    </row>
    <row r="412" spans="3:14" s="280" customFormat="1" ht="21" customHeight="1">
      <c r="C412" s="290">
        <v>1</v>
      </c>
      <c r="D412" s="182" t="s">
        <v>5</v>
      </c>
      <c r="E412" s="176" t="s">
        <v>1774</v>
      </c>
      <c r="F412" s="124" t="s">
        <v>2102</v>
      </c>
      <c r="G412" s="125">
        <v>0.16500000000000001</v>
      </c>
      <c r="H412" s="283">
        <f>VLOOKUP(D412,upahbahan,3,FALSE)</f>
        <v>100000</v>
      </c>
      <c r="I412" s="284">
        <f t="shared" ref="I412:I415" si="26">G412*H412</f>
        <v>16500</v>
      </c>
      <c r="J412" s="119"/>
      <c r="K412" s="59"/>
      <c r="L412" s="59"/>
      <c r="M412" s="59"/>
      <c r="N412" s="59"/>
    </row>
    <row r="413" spans="3:14" s="280" customFormat="1" ht="21" customHeight="1">
      <c r="C413" s="281">
        <v>2</v>
      </c>
      <c r="D413" s="182" t="s">
        <v>7</v>
      </c>
      <c r="E413" s="176" t="s">
        <v>1775</v>
      </c>
      <c r="F413" s="176" t="s">
        <v>6</v>
      </c>
      <c r="G413" s="315">
        <v>2.8000000000000001E-2</v>
      </c>
      <c r="H413" s="283">
        <f>VLOOKUP(D413,upahbahan,3,FALSE)</f>
        <v>135000</v>
      </c>
      <c r="I413" s="284">
        <f t="shared" si="26"/>
        <v>3780</v>
      </c>
      <c r="J413" s="119"/>
      <c r="K413" s="59"/>
      <c r="L413" s="59"/>
      <c r="M413" s="59"/>
      <c r="N413" s="65"/>
    </row>
    <row r="414" spans="3:14" s="59" customFormat="1" ht="21" customHeight="1">
      <c r="C414" s="281">
        <v>3</v>
      </c>
      <c r="D414" s="182" t="s">
        <v>18</v>
      </c>
      <c r="E414" s="176" t="s">
        <v>1776</v>
      </c>
      <c r="F414" s="176" t="s">
        <v>6</v>
      </c>
      <c r="G414" s="315">
        <v>3.0000000000000001E-3</v>
      </c>
      <c r="H414" s="283">
        <f>VLOOKUP(D414,upahbahan,3,FALSE)</f>
        <v>150000</v>
      </c>
      <c r="I414" s="284">
        <f t="shared" si="26"/>
        <v>450</v>
      </c>
      <c r="J414" s="119"/>
    </row>
    <row r="415" spans="3:14" s="59" customFormat="1" ht="21" customHeight="1">
      <c r="C415" s="290">
        <v>4</v>
      </c>
      <c r="D415" s="182" t="s">
        <v>19</v>
      </c>
      <c r="E415" s="176" t="s">
        <v>1777</v>
      </c>
      <c r="F415" s="176" t="s">
        <v>6</v>
      </c>
      <c r="G415" s="315">
        <v>1E-3</v>
      </c>
      <c r="H415" s="283">
        <f>VLOOKUP(D415,upahbahan,3,FALSE)</f>
        <v>160000</v>
      </c>
      <c r="I415" s="284">
        <f t="shared" si="26"/>
        <v>160</v>
      </c>
      <c r="J415" s="119"/>
    </row>
    <row r="416" spans="3:14" s="280" customFormat="1" ht="21" customHeight="1">
      <c r="C416" s="66" t="s">
        <v>1208</v>
      </c>
      <c r="D416" s="67"/>
      <c r="E416" s="67"/>
      <c r="F416" s="67"/>
      <c r="G416" s="68"/>
      <c r="H416" s="69"/>
      <c r="I416" s="284">
        <f>SUM(I412:I415)</f>
        <v>20890</v>
      </c>
      <c r="J416" s="119"/>
    </row>
    <row r="417" spans="3:14" s="280" customFormat="1" ht="21" customHeight="1">
      <c r="C417" s="290" t="s">
        <v>1209</v>
      </c>
      <c r="D417" s="182" t="s">
        <v>1210</v>
      </c>
      <c r="E417" s="182"/>
      <c r="F417" s="70"/>
      <c r="G417" s="70"/>
      <c r="H417" s="70"/>
      <c r="I417" s="71"/>
      <c r="J417" s="119"/>
    </row>
    <row r="418" spans="3:14" s="280" customFormat="1" ht="21" customHeight="1">
      <c r="C418" s="181">
        <v>1</v>
      </c>
      <c r="D418" s="182" t="s">
        <v>1796</v>
      </c>
      <c r="E418" s="182"/>
      <c r="F418" s="124" t="s">
        <v>65</v>
      </c>
      <c r="G418" s="118">
        <v>32.6</v>
      </c>
      <c r="H418" s="283">
        <f>VLOOKUP(D418,upahbahan,3,FALSE)</f>
        <v>1530</v>
      </c>
      <c r="I418" s="284">
        <f>G418*H418</f>
        <v>49878</v>
      </c>
      <c r="J418" s="119"/>
    </row>
    <row r="419" spans="3:14" s="280" customFormat="1" ht="21" customHeight="1">
      <c r="C419" s="181">
        <v>2</v>
      </c>
      <c r="D419" s="182" t="s">
        <v>1797</v>
      </c>
      <c r="E419" s="182"/>
      <c r="F419" s="124" t="s">
        <v>65</v>
      </c>
      <c r="G419" s="118">
        <v>76</v>
      </c>
      <c r="H419" s="283">
        <f>VLOOKUP(D419,upahbahan,3,FALSE)</f>
        <v>221.78700000000001</v>
      </c>
      <c r="I419" s="284">
        <f>G419*H419</f>
        <v>16855.812000000002</v>
      </c>
      <c r="J419" s="119"/>
    </row>
    <row r="420" spans="3:14" s="280" customFormat="1" ht="21" customHeight="1">
      <c r="C420" s="181">
        <v>3</v>
      </c>
      <c r="D420" s="109" t="s">
        <v>1798</v>
      </c>
      <c r="E420" s="109"/>
      <c r="F420" s="108" t="s">
        <v>65</v>
      </c>
      <c r="G420" s="116">
        <v>102.9</v>
      </c>
      <c r="H420" s="185">
        <f>VLOOKUP(D420,upahbahan,3,FALSE)</f>
        <v>0</v>
      </c>
      <c r="I420" s="317">
        <f>G420*H420</f>
        <v>0</v>
      </c>
      <c r="J420" s="119"/>
    </row>
    <row r="421" spans="3:14" s="280" customFormat="1" ht="21" customHeight="1">
      <c r="C421" s="181">
        <v>4</v>
      </c>
      <c r="D421" s="182" t="s">
        <v>960</v>
      </c>
      <c r="E421" s="182"/>
      <c r="F421" s="124" t="s">
        <v>529</v>
      </c>
      <c r="G421" s="118">
        <v>21.5</v>
      </c>
      <c r="H421" s="283">
        <f>VLOOKUP(D421,upahbahan,3,FALSE)</f>
        <v>200</v>
      </c>
      <c r="I421" s="284">
        <f>G421*H421</f>
        <v>4300</v>
      </c>
      <c r="J421" s="119"/>
    </row>
    <row r="422" spans="3:14" s="280" customFormat="1" ht="21" customHeight="1">
      <c r="C422" s="66" t="s">
        <v>1214</v>
      </c>
      <c r="D422" s="67"/>
      <c r="E422" s="67"/>
      <c r="F422" s="67"/>
      <c r="G422" s="67"/>
      <c r="H422" s="69"/>
      <c r="I422" s="284">
        <f>SUM(I418:I421)</f>
        <v>71033.812000000005</v>
      </c>
      <c r="J422" s="119"/>
    </row>
    <row r="423" spans="3:14" s="280" customFormat="1" ht="21" customHeight="1">
      <c r="C423" s="290" t="s">
        <v>1215</v>
      </c>
      <c r="D423" s="182" t="s">
        <v>1216</v>
      </c>
      <c r="E423" s="182"/>
      <c r="F423" s="70"/>
      <c r="G423" s="70"/>
      <c r="H423" s="70"/>
      <c r="I423" s="71"/>
      <c r="J423" s="119"/>
    </row>
    <row r="424" spans="3:14" s="280" customFormat="1" ht="21" customHeight="1">
      <c r="C424" s="66" t="s">
        <v>1217</v>
      </c>
      <c r="D424" s="131"/>
      <c r="E424" s="131"/>
      <c r="F424" s="131"/>
      <c r="G424" s="131"/>
      <c r="H424" s="132"/>
      <c r="I424" s="292">
        <f>SUM(I423:I423)</f>
        <v>0</v>
      </c>
      <c r="J424" s="119"/>
    </row>
    <row r="425" spans="3:14" s="297" customFormat="1" ht="21" customHeight="1">
      <c r="C425" s="293" t="s">
        <v>1218</v>
      </c>
      <c r="D425" s="294" t="s">
        <v>1219</v>
      </c>
      <c r="E425" s="295"/>
      <c r="F425" s="295"/>
      <c r="G425" s="295"/>
      <c r="H425" s="296"/>
      <c r="I425" s="284">
        <f>I424+I422+I416</f>
        <v>91923.812000000005</v>
      </c>
      <c r="J425" s="119"/>
    </row>
    <row r="426" spans="3:14" s="297" customFormat="1" ht="21" customHeight="1">
      <c r="C426" s="293" t="s">
        <v>1220</v>
      </c>
      <c r="D426" s="294" t="s">
        <v>1321</v>
      </c>
      <c r="E426" s="295"/>
      <c r="F426" s="295"/>
      <c r="G426" s="296"/>
      <c r="H426" s="298">
        <v>0.1</v>
      </c>
      <c r="I426" s="284">
        <f>I425*H426</f>
        <v>9192.3812000000016</v>
      </c>
      <c r="J426" s="119"/>
    </row>
    <row r="427" spans="3:14" s="297" customFormat="1" ht="21" customHeight="1" thickBot="1">
      <c r="C427" s="299" t="s">
        <v>1221</v>
      </c>
      <c r="D427" s="300" t="s">
        <v>1222</v>
      </c>
      <c r="E427" s="301"/>
      <c r="F427" s="301"/>
      <c r="G427" s="301"/>
      <c r="H427" s="302"/>
      <c r="I427" s="303">
        <f>SUM(I425:I426)</f>
        <v>101116.19320000001</v>
      </c>
      <c r="J427" s="119"/>
    </row>
    <row r="428" spans="3:14" ht="13.8" thickTop="1"/>
    <row r="430" spans="3:14" s="280" customFormat="1" ht="28.5" customHeight="1" thickBot="1">
      <c r="C430" s="126" t="s">
        <v>2530</v>
      </c>
      <c r="D430" s="123" t="s">
        <v>2531</v>
      </c>
      <c r="E430" s="123"/>
      <c r="F430" s="123"/>
      <c r="G430" s="123"/>
      <c r="H430" s="123"/>
      <c r="I430" s="123"/>
      <c r="J430" s="120">
        <f>ROUNDDOWN(I448,-2)</f>
        <v>121100</v>
      </c>
    </row>
    <row r="431" spans="3:14" s="289" customFormat="1" ht="31.65" customHeight="1" thickTop="1">
      <c r="C431" s="51" t="s">
        <v>1195</v>
      </c>
      <c r="D431" s="52" t="s">
        <v>1196</v>
      </c>
      <c r="E431" s="52" t="s">
        <v>1906</v>
      </c>
      <c r="F431" s="52" t="s">
        <v>1197</v>
      </c>
      <c r="G431" s="52" t="s">
        <v>1198</v>
      </c>
      <c r="H431" s="52" t="s">
        <v>1199</v>
      </c>
      <c r="I431" s="53" t="s">
        <v>1200</v>
      </c>
      <c r="J431" s="126"/>
    </row>
    <row r="432" spans="3:14" s="280" customFormat="1" ht="25.2" customHeight="1">
      <c r="C432" s="290" t="s">
        <v>1201</v>
      </c>
      <c r="D432" s="182" t="s">
        <v>1202</v>
      </c>
      <c r="E432" s="182"/>
      <c r="F432" s="70"/>
      <c r="G432" s="70"/>
      <c r="H432" s="70"/>
      <c r="I432" s="71"/>
      <c r="J432" s="119"/>
      <c r="K432" s="59" t="s">
        <v>1247</v>
      </c>
      <c r="L432" s="59"/>
      <c r="M432" s="59"/>
      <c r="N432" s="59"/>
    </row>
    <row r="433" spans="3:14" s="280" customFormat="1" ht="25.2" customHeight="1">
      <c r="C433" s="290">
        <v>1</v>
      </c>
      <c r="D433" s="182" t="s">
        <v>5</v>
      </c>
      <c r="E433" s="176" t="s">
        <v>1774</v>
      </c>
      <c r="F433" s="124" t="s">
        <v>2102</v>
      </c>
      <c r="G433" s="125">
        <v>0.19800000000000001</v>
      </c>
      <c r="H433" s="283">
        <f>VLOOKUP(D433,upahbahan,3,FALSE)</f>
        <v>100000</v>
      </c>
      <c r="I433" s="284">
        <f t="shared" ref="I433:I436" si="27">G433*H433</f>
        <v>19800</v>
      </c>
      <c r="J433" s="119"/>
      <c r="K433" s="59"/>
      <c r="L433" s="59"/>
      <c r="M433" s="59"/>
      <c r="N433" s="59"/>
    </row>
    <row r="434" spans="3:14" s="280" customFormat="1" ht="25.2" customHeight="1">
      <c r="C434" s="281">
        <v>2</v>
      </c>
      <c r="D434" s="182" t="s">
        <v>7</v>
      </c>
      <c r="E434" s="176" t="s">
        <v>1775</v>
      </c>
      <c r="F434" s="176" t="s">
        <v>6</v>
      </c>
      <c r="G434" s="315">
        <v>3.3000000000000002E-2</v>
      </c>
      <c r="H434" s="283">
        <f>VLOOKUP(D434,upahbahan,3,FALSE)</f>
        <v>135000</v>
      </c>
      <c r="I434" s="284">
        <f t="shared" si="27"/>
        <v>4455</v>
      </c>
      <c r="J434" s="119"/>
      <c r="K434" s="59"/>
      <c r="L434" s="59"/>
      <c r="M434" s="59"/>
      <c r="N434" s="65"/>
    </row>
    <row r="435" spans="3:14" s="59" customFormat="1" ht="25.2" customHeight="1">
      <c r="C435" s="281">
        <v>3</v>
      </c>
      <c r="D435" s="182" t="s">
        <v>18</v>
      </c>
      <c r="E435" s="176" t="s">
        <v>1776</v>
      </c>
      <c r="F435" s="176" t="s">
        <v>6</v>
      </c>
      <c r="G435" s="315">
        <v>3.0000000000000001E-3</v>
      </c>
      <c r="H435" s="283">
        <f>VLOOKUP(D435,upahbahan,3,FALSE)</f>
        <v>150000</v>
      </c>
      <c r="I435" s="284">
        <f t="shared" si="27"/>
        <v>450</v>
      </c>
      <c r="J435" s="119"/>
    </row>
    <row r="436" spans="3:14" s="59" customFormat="1" ht="25.2" customHeight="1">
      <c r="C436" s="290">
        <v>4</v>
      </c>
      <c r="D436" s="182" t="s">
        <v>19</v>
      </c>
      <c r="E436" s="176" t="s">
        <v>1777</v>
      </c>
      <c r="F436" s="176" t="s">
        <v>6</v>
      </c>
      <c r="G436" s="315">
        <v>1E-3</v>
      </c>
      <c r="H436" s="283">
        <f>VLOOKUP(D436,upahbahan,3,FALSE)</f>
        <v>160000</v>
      </c>
      <c r="I436" s="284">
        <f t="shared" si="27"/>
        <v>160</v>
      </c>
      <c r="J436" s="119"/>
    </row>
    <row r="437" spans="3:14" s="280" customFormat="1" ht="25.2" customHeight="1">
      <c r="C437" s="66" t="s">
        <v>1208</v>
      </c>
      <c r="D437" s="67"/>
      <c r="E437" s="67"/>
      <c r="F437" s="67"/>
      <c r="G437" s="68"/>
      <c r="H437" s="69"/>
      <c r="I437" s="284">
        <f>SUM(I433:I436)</f>
        <v>24865</v>
      </c>
      <c r="J437" s="119"/>
    </row>
    <row r="438" spans="3:14" s="280" customFormat="1" ht="25.2" customHeight="1">
      <c r="C438" s="290" t="s">
        <v>1209</v>
      </c>
      <c r="D438" s="182" t="s">
        <v>1210</v>
      </c>
      <c r="E438" s="182"/>
      <c r="F438" s="70"/>
      <c r="G438" s="70"/>
      <c r="H438" s="70"/>
      <c r="I438" s="71"/>
      <c r="J438" s="119"/>
    </row>
    <row r="439" spans="3:14" s="280" customFormat="1" ht="25.2" customHeight="1">
      <c r="C439" s="181">
        <v>1</v>
      </c>
      <c r="D439" s="182" t="s">
        <v>1796</v>
      </c>
      <c r="E439" s="182"/>
      <c r="F439" s="124" t="s">
        <v>65</v>
      </c>
      <c r="G439" s="118">
        <v>39.119999999999997</v>
      </c>
      <c r="H439" s="283">
        <f>VLOOKUP(D439,upahbahan,3,FALSE)</f>
        <v>1530</v>
      </c>
      <c r="I439" s="284">
        <f>G439*H439</f>
        <v>59853.599999999999</v>
      </c>
      <c r="J439" s="119"/>
    </row>
    <row r="440" spans="3:14" s="280" customFormat="1" ht="25.2" customHeight="1">
      <c r="C440" s="181">
        <v>2</v>
      </c>
      <c r="D440" s="182" t="s">
        <v>1797</v>
      </c>
      <c r="E440" s="182"/>
      <c r="F440" s="124" t="s">
        <v>65</v>
      </c>
      <c r="G440" s="118">
        <v>91.2</v>
      </c>
      <c r="H440" s="283">
        <f>VLOOKUP(D440,upahbahan,3,FALSE)</f>
        <v>221.78700000000001</v>
      </c>
      <c r="I440" s="284">
        <f>G440*H440</f>
        <v>20226.974400000003</v>
      </c>
      <c r="J440" s="119"/>
    </row>
    <row r="441" spans="3:14" s="280" customFormat="1" ht="25.2" customHeight="1">
      <c r="C441" s="181">
        <v>3</v>
      </c>
      <c r="D441" s="109" t="s">
        <v>1798</v>
      </c>
      <c r="E441" s="109"/>
      <c r="F441" s="108" t="s">
        <v>65</v>
      </c>
      <c r="G441" s="116">
        <v>123.48</v>
      </c>
      <c r="H441" s="185">
        <f>VLOOKUP(D441,upahbahan,3,FALSE)</f>
        <v>0</v>
      </c>
      <c r="I441" s="317">
        <f>G441*H441</f>
        <v>0</v>
      </c>
      <c r="J441" s="119"/>
    </row>
    <row r="442" spans="3:14" s="280" customFormat="1" ht="25.2" customHeight="1">
      <c r="C442" s="181">
        <v>4</v>
      </c>
      <c r="D442" s="182" t="s">
        <v>960</v>
      </c>
      <c r="E442" s="182"/>
      <c r="F442" s="124" t="s">
        <v>529</v>
      </c>
      <c r="G442" s="118">
        <v>25.8</v>
      </c>
      <c r="H442" s="283">
        <f>VLOOKUP(D442,upahbahan,3,FALSE)</f>
        <v>200</v>
      </c>
      <c r="I442" s="284">
        <f>G442*H442</f>
        <v>5160</v>
      </c>
      <c r="J442" s="119"/>
    </row>
    <row r="443" spans="3:14" s="280" customFormat="1" ht="25.2" customHeight="1">
      <c r="C443" s="66" t="s">
        <v>1214</v>
      </c>
      <c r="D443" s="67"/>
      <c r="E443" s="67"/>
      <c r="F443" s="67"/>
      <c r="G443" s="67"/>
      <c r="H443" s="69"/>
      <c r="I443" s="284">
        <f>SUM(I439:I442)</f>
        <v>85240.574399999998</v>
      </c>
      <c r="J443" s="119"/>
    </row>
    <row r="444" spans="3:14" s="280" customFormat="1" ht="25.2" customHeight="1">
      <c r="C444" s="290" t="s">
        <v>1215</v>
      </c>
      <c r="D444" s="182" t="s">
        <v>1216</v>
      </c>
      <c r="E444" s="182"/>
      <c r="F444" s="70"/>
      <c r="G444" s="70"/>
      <c r="H444" s="70"/>
      <c r="I444" s="71"/>
      <c r="J444" s="119"/>
    </row>
    <row r="445" spans="3:14" s="280" customFormat="1" ht="25.2" customHeight="1">
      <c r="C445" s="66" t="s">
        <v>1217</v>
      </c>
      <c r="D445" s="131"/>
      <c r="E445" s="131"/>
      <c r="F445" s="131"/>
      <c r="G445" s="131"/>
      <c r="H445" s="132"/>
      <c r="I445" s="292">
        <f>SUM(I444:I444)</f>
        <v>0</v>
      </c>
      <c r="J445" s="119"/>
    </row>
    <row r="446" spans="3:14" s="297" customFormat="1" ht="25.2" customHeight="1">
      <c r="C446" s="293" t="s">
        <v>1218</v>
      </c>
      <c r="D446" s="294" t="s">
        <v>1219</v>
      </c>
      <c r="E446" s="295"/>
      <c r="F446" s="295"/>
      <c r="G446" s="295"/>
      <c r="H446" s="296"/>
      <c r="I446" s="284">
        <f>I445+I443+I437</f>
        <v>110105.5744</v>
      </c>
      <c r="J446" s="119"/>
    </row>
    <row r="447" spans="3:14" s="297" customFormat="1" ht="25.2" customHeight="1">
      <c r="C447" s="293" t="s">
        <v>1220</v>
      </c>
      <c r="D447" s="294" t="s">
        <v>1321</v>
      </c>
      <c r="E447" s="295"/>
      <c r="F447" s="295"/>
      <c r="G447" s="296"/>
      <c r="H447" s="298">
        <v>0.1</v>
      </c>
      <c r="I447" s="284">
        <f>I446*H447</f>
        <v>11010.55744</v>
      </c>
      <c r="J447" s="119"/>
    </row>
    <row r="448" spans="3:14" s="297" customFormat="1" ht="25.2" customHeight="1" thickBot="1">
      <c r="C448" s="299" t="s">
        <v>1221</v>
      </c>
      <c r="D448" s="300" t="s">
        <v>1222</v>
      </c>
      <c r="E448" s="301"/>
      <c r="F448" s="301"/>
      <c r="G448" s="301"/>
      <c r="H448" s="302"/>
      <c r="I448" s="303">
        <f>SUM(I446:I447)</f>
        <v>121116.13184</v>
      </c>
      <c r="J448" s="119"/>
    </row>
    <row r="449" spans="3:14" ht="13.8" thickTop="1"/>
    <row r="451" spans="3:14" s="280" customFormat="1" ht="28.5" customHeight="1" thickBot="1">
      <c r="C451" s="126" t="s">
        <v>2532</v>
      </c>
      <c r="D451" s="123" t="s">
        <v>2533</v>
      </c>
      <c r="E451" s="123"/>
      <c r="F451" s="123"/>
      <c r="G451" s="123"/>
      <c r="H451" s="123"/>
      <c r="I451" s="123"/>
      <c r="J451" s="120">
        <f>ROUNDDOWN(I469,-2)</f>
        <v>151400</v>
      </c>
    </row>
    <row r="452" spans="3:14" s="289" customFormat="1" ht="31.65" customHeight="1" thickTop="1">
      <c r="C452" s="51" t="s">
        <v>1195</v>
      </c>
      <c r="D452" s="52" t="s">
        <v>1196</v>
      </c>
      <c r="E452" s="52" t="s">
        <v>1906</v>
      </c>
      <c r="F452" s="52" t="s">
        <v>1197</v>
      </c>
      <c r="G452" s="52" t="s">
        <v>1198</v>
      </c>
      <c r="H452" s="52" t="s">
        <v>1199</v>
      </c>
      <c r="I452" s="53" t="s">
        <v>1200</v>
      </c>
      <c r="J452" s="126"/>
    </row>
    <row r="453" spans="3:14" s="280" customFormat="1" ht="25.8" customHeight="1">
      <c r="C453" s="290" t="s">
        <v>1201</v>
      </c>
      <c r="D453" s="182" t="s">
        <v>1202</v>
      </c>
      <c r="E453" s="182"/>
      <c r="F453" s="70"/>
      <c r="G453" s="70"/>
      <c r="H453" s="70"/>
      <c r="I453" s="71"/>
      <c r="J453" s="119"/>
      <c r="K453" s="59" t="s">
        <v>1247</v>
      </c>
      <c r="L453" s="59"/>
      <c r="M453" s="59"/>
      <c r="N453" s="59"/>
    </row>
    <row r="454" spans="3:14" s="280" customFormat="1" ht="25.8" customHeight="1">
      <c r="C454" s="290">
        <v>1</v>
      </c>
      <c r="D454" s="182" t="s">
        <v>5</v>
      </c>
      <c r="E454" s="176" t="s">
        <v>1774</v>
      </c>
      <c r="F454" s="124" t="s">
        <v>2102</v>
      </c>
      <c r="G454" s="125">
        <v>0.248</v>
      </c>
      <c r="H454" s="283">
        <f>VLOOKUP(D454,upahbahan,3,FALSE)</f>
        <v>100000</v>
      </c>
      <c r="I454" s="284">
        <f t="shared" ref="I454:I457" si="28">G454*H454</f>
        <v>24800</v>
      </c>
      <c r="J454" s="119"/>
      <c r="K454" s="59"/>
      <c r="L454" s="59"/>
      <c r="M454" s="59"/>
      <c r="N454" s="59"/>
    </row>
    <row r="455" spans="3:14" s="280" customFormat="1" ht="25.8" customHeight="1">
      <c r="C455" s="281">
        <v>2</v>
      </c>
      <c r="D455" s="182" t="s">
        <v>7</v>
      </c>
      <c r="E455" s="176" t="s">
        <v>1775</v>
      </c>
      <c r="F455" s="176" t="s">
        <v>6</v>
      </c>
      <c r="G455" s="315">
        <v>4.1000000000000002E-2</v>
      </c>
      <c r="H455" s="283">
        <f>VLOOKUP(D455,upahbahan,3,FALSE)</f>
        <v>135000</v>
      </c>
      <c r="I455" s="284">
        <f t="shared" si="28"/>
        <v>5535</v>
      </c>
      <c r="J455" s="119"/>
      <c r="K455" s="59"/>
      <c r="L455" s="59"/>
      <c r="M455" s="59"/>
      <c r="N455" s="65"/>
    </row>
    <row r="456" spans="3:14" s="59" customFormat="1" ht="25.8" customHeight="1">
      <c r="C456" s="281">
        <v>3</v>
      </c>
      <c r="D456" s="182" t="s">
        <v>18</v>
      </c>
      <c r="E456" s="176" t="s">
        <v>1776</v>
      </c>
      <c r="F456" s="176" t="s">
        <v>6</v>
      </c>
      <c r="G456" s="315">
        <v>4.0000000000000001E-3</v>
      </c>
      <c r="H456" s="283">
        <f>VLOOKUP(D456,upahbahan,3,FALSE)</f>
        <v>150000</v>
      </c>
      <c r="I456" s="284">
        <f t="shared" si="28"/>
        <v>600</v>
      </c>
      <c r="J456" s="119"/>
    </row>
    <row r="457" spans="3:14" s="59" customFormat="1" ht="25.8" customHeight="1">
      <c r="C457" s="290">
        <v>4</v>
      </c>
      <c r="D457" s="182" t="s">
        <v>19</v>
      </c>
      <c r="E457" s="176" t="s">
        <v>1777</v>
      </c>
      <c r="F457" s="176" t="s">
        <v>6</v>
      </c>
      <c r="G457" s="315">
        <v>1E-3</v>
      </c>
      <c r="H457" s="283">
        <f>VLOOKUP(D457,upahbahan,3,FALSE)</f>
        <v>160000</v>
      </c>
      <c r="I457" s="284">
        <f t="shared" si="28"/>
        <v>160</v>
      </c>
      <c r="J457" s="119"/>
    </row>
    <row r="458" spans="3:14" s="280" customFormat="1" ht="25.8" customHeight="1">
      <c r="C458" s="66" t="s">
        <v>1208</v>
      </c>
      <c r="D458" s="67"/>
      <c r="E458" s="67"/>
      <c r="F458" s="67"/>
      <c r="G458" s="68"/>
      <c r="H458" s="69"/>
      <c r="I458" s="284">
        <f>SUM(I454:I457)</f>
        <v>31095</v>
      </c>
      <c r="J458" s="119"/>
    </row>
    <row r="459" spans="3:14" s="280" customFormat="1" ht="25.8" customHeight="1">
      <c r="C459" s="290" t="s">
        <v>1209</v>
      </c>
      <c r="D459" s="182" t="s">
        <v>1210</v>
      </c>
      <c r="E459" s="182"/>
      <c r="F459" s="70"/>
      <c r="G459" s="70"/>
      <c r="H459" s="70"/>
      <c r="I459" s="71"/>
      <c r="J459" s="119"/>
    </row>
    <row r="460" spans="3:14" s="280" customFormat="1" ht="25.8" customHeight="1">
      <c r="C460" s="181">
        <v>1</v>
      </c>
      <c r="D460" s="182" t="s">
        <v>1796</v>
      </c>
      <c r="E460" s="182"/>
      <c r="F460" s="124" t="s">
        <v>65</v>
      </c>
      <c r="G460" s="118">
        <v>48.9</v>
      </c>
      <c r="H460" s="283">
        <f>VLOOKUP(D460,upahbahan,3,FALSE)</f>
        <v>1530</v>
      </c>
      <c r="I460" s="284">
        <f>G460*H460</f>
        <v>74817</v>
      </c>
      <c r="J460" s="119"/>
    </row>
    <row r="461" spans="3:14" s="280" customFormat="1" ht="25.8" customHeight="1">
      <c r="C461" s="181">
        <v>2</v>
      </c>
      <c r="D461" s="182" t="s">
        <v>1797</v>
      </c>
      <c r="E461" s="182"/>
      <c r="F461" s="124" t="s">
        <v>65</v>
      </c>
      <c r="G461" s="118">
        <v>114</v>
      </c>
      <c r="H461" s="283">
        <f>VLOOKUP(D461,upahbahan,3,FALSE)</f>
        <v>221.78700000000001</v>
      </c>
      <c r="I461" s="284">
        <f>G461*H461</f>
        <v>25283.718000000001</v>
      </c>
      <c r="J461" s="119"/>
    </row>
    <row r="462" spans="3:14" s="280" customFormat="1" ht="25.8" customHeight="1">
      <c r="C462" s="181">
        <v>3</v>
      </c>
      <c r="D462" s="109" t="s">
        <v>1798</v>
      </c>
      <c r="E462" s="109"/>
      <c r="F462" s="108" t="s">
        <v>65</v>
      </c>
      <c r="G462" s="116">
        <v>154.35</v>
      </c>
      <c r="H462" s="185">
        <f>VLOOKUP(D462,upahbahan,3,FALSE)</f>
        <v>0</v>
      </c>
      <c r="I462" s="317">
        <f>G462*H462</f>
        <v>0</v>
      </c>
      <c r="J462" s="119"/>
    </row>
    <row r="463" spans="3:14" s="280" customFormat="1" ht="25.8" customHeight="1">
      <c r="C463" s="181">
        <v>4</v>
      </c>
      <c r="D463" s="182" t="s">
        <v>960</v>
      </c>
      <c r="E463" s="182"/>
      <c r="F463" s="124" t="s">
        <v>529</v>
      </c>
      <c r="G463" s="118">
        <v>32.25</v>
      </c>
      <c r="H463" s="283">
        <f>VLOOKUP(D463,upahbahan,3,FALSE)</f>
        <v>200</v>
      </c>
      <c r="I463" s="284">
        <f>G463*H463</f>
        <v>6450</v>
      </c>
      <c r="J463" s="119"/>
    </row>
    <row r="464" spans="3:14" s="280" customFormat="1" ht="25.8" customHeight="1">
      <c r="C464" s="66" t="s">
        <v>1214</v>
      </c>
      <c r="D464" s="67"/>
      <c r="E464" s="67"/>
      <c r="F464" s="67"/>
      <c r="G464" s="67"/>
      <c r="H464" s="69"/>
      <c r="I464" s="284">
        <f>SUM(I460:I463)</f>
        <v>106550.71799999999</v>
      </c>
      <c r="J464" s="119"/>
    </row>
    <row r="465" spans="3:10" s="280" customFormat="1" ht="25.8" customHeight="1">
      <c r="C465" s="290" t="s">
        <v>1215</v>
      </c>
      <c r="D465" s="182" t="s">
        <v>1216</v>
      </c>
      <c r="E465" s="182"/>
      <c r="F465" s="70"/>
      <c r="G465" s="70"/>
      <c r="H465" s="70"/>
      <c r="I465" s="71"/>
      <c r="J465" s="119"/>
    </row>
    <row r="466" spans="3:10" s="280" customFormat="1" ht="25.8" customHeight="1">
      <c r="C466" s="66" t="s">
        <v>1217</v>
      </c>
      <c r="D466" s="131"/>
      <c r="E466" s="131"/>
      <c r="F466" s="131"/>
      <c r="G466" s="131"/>
      <c r="H466" s="132"/>
      <c r="I466" s="292">
        <f>SUM(I465:I465)</f>
        <v>0</v>
      </c>
      <c r="J466" s="119"/>
    </row>
    <row r="467" spans="3:10" s="297" customFormat="1" ht="25.8" customHeight="1">
      <c r="C467" s="293" t="s">
        <v>1218</v>
      </c>
      <c r="D467" s="294" t="s">
        <v>1219</v>
      </c>
      <c r="E467" s="295"/>
      <c r="F467" s="295"/>
      <c r="G467" s="295"/>
      <c r="H467" s="296"/>
      <c r="I467" s="284">
        <f>I466+I464+I458</f>
        <v>137645.71799999999</v>
      </c>
      <c r="J467" s="119"/>
    </row>
    <row r="468" spans="3:10" s="297" customFormat="1" ht="25.8" customHeight="1">
      <c r="C468" s="293" t="s">
        <v>1220</v>
      </c>
      <c r="D468" s="294" t="s">
        <v>1321</v>
      </c>
      <c r="E468" s="295"/>
      <c r="F468" s="295"/>
      <c r="G468" s="296"/>
      <c r="H468" s="298">
        <v>0.1</v>
      </c>
      <c r="I468" s="284">
        <f>I467*H468</f>
        <v>13764.5718</v>
      </c>
      <c r="J468" s="119"/>
    </row>
    <row r="469" spans="3:10" s="297" customFormat="1" ht="25.8" customHeight="1" thickBot="1">
      <c r="C469" s="299" t="s">
        <v>1221</v>
      </c>
      <c r="D469" s="300" t="s">
        <v>1222</v>
      </c>
      <c r="E469" s="301"/>
      <c r="F469" s="301"/>
      <c r="G469" s="301"/>
      <c r="H469" s="302"/>
      <c r="I469" s="303">
        <f>SUM(I467:I468)</f>
        <v>151410.2898</v>
      </c>
      <c r="J469" s="119"/>
    </row>
    <row r="470" spans="3:10" ht="13.8" thickTop="1"/>
  </sheetData>
  <mergeCells count="1">
    <mergeCell ref="D409:I409"/>
  </mergeCells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N21"/>
  <sheetViews>
    <sheetView zoomScale="78" zoomScaleNormal="78" workbookViewId="0">
      <selection activeCell="A581" sqref="A581:XFD599"/>
    </sheetView>
  </sheetViews>
  <sheetFormatPr defaultRowHeight="13.2"/>
  <cols>
    <col min="1" max="1" width="3.5546875" style="122" customWidth="1"/>
    <col min="2" max="2" width="3.88671875" style="122" customWidth="1"/>
    <col min="3" max="3" width="6.109375" style="122" customWidth="1"/>
    <col min="4" max="4" width="16" style="122" customWidth="1"/>
    <col min="5" max="5" width="7.6640625" style="122" customWidth="1"/>
    <col min="6" max="6" width="10.33203125" style="122" customWidth="1"/>
    <col min="7" max="7" width="11.88671875" style="122" customWidth="1"/>
    <col min="8" max="8" width="16.6640625" style="122" customWidth="1"/>
    <col min="9" max="9" width="14.44140625" style="122" customWidth="1"/>
    <col min="10" max="10" width="11" style="122" customWidth="1"/>
    <col min="11" max="16384" width="8.88671875" style="122"/>
  </cols>
  <sheetData>
    <row r="2" spans="3:14">
      <c r="C2" s="121" t="s">
        <v>5254</v>
      </c>
      <c r="D2" s="121" t="s">
        <v>2534</v>
      </c>
    </row>
    <row r="3" spans="3:14" s="45" customFormat="1" ht="29.25" customHeight="1" thickBot="1">
      <c r="C3" s="43" t="s">
        <v>2535</v>
      </c>
      <c r="D3" s="123" t="s">
        <v>2536</v>
      </c>
      <c r="E3" s="123"/>
      <c r="F3" s="123"/>
      <c r="G3" s="123"/>
      <c r="H3" s="123"/>
      <c r="I3" s="123"/>
      <c r="J3" s="50">
        <f>ROUNDDOWN(I20,-2)</f>
        <v>73600</v>
      </c>
    </row>
    <row r="4" spans="3:14" s="54" customFormat="1" ht="31.65" customHeight="1" thickTop="1">
      <c r="C4" s="51" t="s">
        <v>1195</v>
      </c>
      <c r="D4" s="52" t="s">
        <v>1196</v>
      </c>
      <c r="E4" s="52" t="s">
        <v>1906</v>
      </c>
      <c r="F4" s="52" t="s">
        <v>1197</v>
      </c>
      <c r="G4" s="52" t="s">
        <v>1198</v>
      </c>
      <c r="H4" s="52" t="s">
        <v>1199</v>
      </c>
      <c r="I4" s="53" t="s">
        <v>1200</v>
      </c>
      <c r="J4" s="43"/>
    </row>
    <row r="5" spans="3:14" s="45" customFormat="1" ht="22.2" customHeight="1">
      <c r="C5" s="55" t="s">
        <v>1201</v>
      </c>
      <c r="D5" s="56" t="s">
        <v>1202</v>
      </c>
      <c r="E5" s="56"/>
      <c r="F5" s="57"/>
      <c r="G5" s="57"/>
      <c r="H5" s="57"/>
      <c r="I5" s="58"/>
      <c r="J5" s="44"/>
      <c r="K5" s="59" t="s">
        <v>1247</v>
      </c>
      <c r="L5" s="59"/>
      <c r="M5" s="59"/>
      <c r="N5" s="59"/>
    </row>
    <row r="6" spans="3:14" s="45" customFormat="1" ht="22.2" customHeight="1">
      <c r="C6" s="60">
        <v>1</v>
      </c>
      <c r="D6" s="56" t="s">
        <v>5</v>
      </c>
      <c r="E6" s="61" t="s">
        <v>1774</v>
      </c>
      <c r="F6" s="61" t="s">
        <v>6</v>
      </c>
      <c r="G6" s="101">
        <v>5.0000000000000001E-3</v>
      </c>
      <c r="H6" s="63">
        <f>VLOOKUP(D6,upahbahan,3,FALSE)</f>
        <v>100000</v>
      </c>
      <c r="I6" s="64">
        <f>G6*H6</f>
        <v>500</v>
      </c>
      <c r="J6" s="44"/>
      <c r="K6" s="59" t="s">
        <v>1248</v>
      </c>
      <c r="L6" s="59"/>
      <c r="M6" s="59"/>
      <c r="N6" s="65">
        <v>0.1</v>
      </c>
    </row>
    <row r="7" spans="3:14" s="45" customFormat="1" ht="22.2" customHeight="1">
      <c r="C7" s="60">
        <v>2</v>
      </c>
      <c r="D7" s="56" t="s">
        <v>9</v>
      </c>
      <c r="E7" s="61" t="s">
        <v>1775</v>
      </c>
      <c r="F7" s="61" t="s">
        <v>6</v>
      </c>
      <c r="G7" s="101">
        <v>5.0000000000000001E-3</v>
      </c>
      <c r="H7" s="63">
        <f>VLOOKUP(D7,upahbahan,3,FALSE)</f>
        <v>135000</v>
      </c>
      <c r="I7" s="64">
        <f t="shared" ref="I7:I9" si="0">G7*H7</f>
        <v>675</v>
      </c>
      <c r="J7" s="44"/>
      <c r="K7" s="59"/>
      <c r="L7" s="59"/>
      <c r="M7" s="59"/>
      <c r="N7" s="65"/>
    </row>
    <row r="8" spans="3:14" s="59" customFormat="1" ht="22.2" customHeight="1">
      <c r="C8" s="60">
        <v>3</v>
      </c>
      <c r="D8" s="56" t="s">
        <v>18</v>
      </c>
      <c r="E8" s="61" t="s">
        <v>1776</v>
      </c>
      <c r="F8" s="61" t="s">
        <v>6</v>
      </c>
      <c r="G8" s="101">
        <v>5.0000000000000001E-4</v>
      </c>
      <c r="H8" s="63">
        <f>VLOOKUP(D8,upahbahan,3,FALSE)</f>
        <v>150000</v>
      </c>
      <c r="I8" s="64">
        <f t="shared" si="0"/>
        <v>75</v>
      </c>
      <c r="J8" s="44"/>
    </row>
    <row r="9" spans="3:14" s="59" customFormat="1" ht="22.2" customHeight="1">
      <c r="C9" s="60">
        <v>4</v>
      </c>
      <c r="D9" s="56" t="s">
        <v>19</v>
      </c>
      <c r="E9" s="61" t="s">
        <v>1777</v>
      </c>
      <c r="F9" s="61" t="s">
        <v>6</v>
      </c>
      <c r="G9" s="101">
        <v>2.0000000000000001E-4</v>
      </c>
      <c r="H9" s="63">
        <f>VLOOKUP(D9,upahbahan,3,FALSE)</f>
        <v>160000</v>
      </c>
      <c r="I9" s="64">
        <f t="shared" si="0"/>
        <v>32</v>
      </c>
      <c r="J9" s="44"/>
    </row>
    <row r="10" spans="3:14" s="45" customFormat="1" ht="22.2" customHeight="1">
      <c r="C10" s="66" t="s">
        <v>1208</v>
      </c>
      <c r="D10" s="67"/>
      <c r="E10" s="67"/>
      <c r="F10" s="67"/>
      <c r="G10" s="68"/>
      <c r="H10" s="69"/>
      <c r="I10" s="64">
        <f>SUM(I6:I9)</f>
        <v>1282</v>
      </c>
      <c r="J10" s="44"/>
    </row>
    <row r="11" spans="3:14" s="45" customFormat="1" ht="22.2" customHeight="1">
      <c r="C11" s="55" t="s">
        <v>1209</v>
      </c>
      <c r="D11" s="56" t="s">
        <v>1210</v>
      </c>
      <c r="E11" s="56"/>
      <c r="F11" s="70"/>
      <c r="G11" s="70"/>
      <c r="H11" s="70"/>
      <c r="I11" s="71"/>
      <c r="J11" s="44"/>
    </row>
    <row r="12" spans="3:14" s="45" customFormat="1" ht="22.2" customHeight="1">
      <c r="C12" s="55">
        <v>1</v>
      </c>
      <c r="D12" s="56" t="s">
        <v>233</v>
      </c>
      <c r="E12" s="56"/>
      <c r="F12" s="124" t="s">
        <v>2426</v>
      </c>
      <c r="G12" s="118">
        <v>1.05</v>
      </c>
      <c r="H12" s="63">
        <f t="shared" ref="H12:H13" si="1">VLOOKUP(D12,upahbahan,3,FALSE)</f>
        <v>0</v>
      </c>
      <c r="I12" s="64">
        <f t="shared" ref="I12:I13" si="2">G12*H12</f>
        <v>0</v>
      </c>
      <c r="J12" s="44"/>
    </row>
    <row r="13" spans="3:14" s="45" customFormat="1" ht="22.2" customHeight="1">
      <c r="C13" s="55">
        <v>2</v>
      </c>
      <c r="D13" s="56" t="s">
        <v>251</v>
      </c>
      <c r="E13" s="56"/>
      <c r="F13" s="124" t="s">
        <v>2426</v>
      </c>
      <c r="G13" s="118">
        <v>0.01</v>
      </c>
      <c r="H13" s="63">
        <f t="shared" si="1"/>
        <v>27720</v>
      </c>
      <c r="I13" s="64">
        <f t="shared" si="2"/>
        <v>277.2</v>
      </c>
      <c r="J13" s="44"/>
    </row>
    <row r="14" spans="3:14" s="45" customFormat="1" ht="22.2" customHeight="1">
      <c r="C14" s="66" t="s">
        <v>1214</v>
      </c>
      <c r="D14" s="67"/>
      <c r="E14" s="67"/>
      <c r="F14" s="67"/>
      <c r="G14" s="67"/>
      <c r="H14" s="69"/>
      <c r="I14" s="64">
        <f>SUM(I12:I13)</f>
        <v>277.2</v>
      </c>
      <c r="J14" s="44"/>
    </row>
    <row r="15" spans="3:14" s="45" customFormat="1" ht="22.2" customHeight="1">
      <c r="C15" s="55" t="s">
        <v>1215</v>
      </c>
      <c r="D15" s="56" t="s">
        <v>1216</v>
      </c>
      <c r="E15" s="56"/>
      <c r="F15" s="57"/>
      <c r="G15" s="57"/>
      <c r="H15" s="57"/>
      <c r="I15" s="58"/>
      <c r="J15" s="44"/>
    </row>
    <row r="16" spans="3:14" s="45" customFormat="1" ht="22.2" customHeight="1">
      <c r="C16" s="129">
        <v>1</v>
      </c>
      <c r="D16" s="56" t="s">
        <v>2502</v>
      </c>
      <c r="E16" s="56"/>
      <c r="F16" s="93" t="s">
        <v>2501</v>
      </c>
      <c r="G16" s="94">
        <v>1.9E-2</v>
      </c>
      <c r="H16" s="63">
        <f t="shared" ref="H16" si="3">VLOOKUP(D16,upahbahan,3,FALSE)</f>
        <v>3442900</v>
      </c>
      <c r="I16" s="64">
        <f t="shared" ref="I16" si="4">G16*H16</f>
        <v>65415.1</v>
      </c>
      <c r="J16" s="44"/>
    </row>
    <row r="17" spans="3:10" s="45" customFormat="1" ht="22.2" customHeight="1">
      <c r="C17" s="66" t="s">
        <v>1217</v>
      </c>
      <c r="D17" s="67"/>
      <c r="E17" s="67"/>
      <c r="F17" s="67"/>
      <c r="G17" s="67"/>
      <c r="H17" s="69"/>
      <c r="I17" s="74">
        <f>SUM(I16)</f>
        <v>65415.1</v>
      </c>
      <c r="J17" s="44"/>
    </row>
    <row r="18" spans="3:10" s="79" customFormat="1" ht="22.2" customHeight="1">
      <c r="C18" s="75" t="s">
        <v>1218</v>
      </c>
      <c r="D18" s="76" t="s">
        <v>1219</v>
      </c>
      <c r="E18" s="77"/>
      <c r="F18" s="77"/>
      <c r="G18" s="77"/>
      <c r="H18" s="78"/>
      <c r="I18" s="64">
        <f>I17+I14+I10</f>
        <v>66974.3</v>
      </c>
      <c r="J18" s="44"/>
    </row>
    <row r="19" spans="3:10" s="79" customFormat="1" ht="22.2" customHeight="1">
      <c r="C19" s="75" t="s">
        <v>1220</v>
      </c>
      <c r="D19" s="76" t="s">
        <v>1321</v>
      </c>
      <c r="E19" s="77"/>
      <c r="F19" s="77"/>
      <c r="G19" s="78"/>
      <c r="H19" s="80">
        <v>0.1</v>
      </c>
      <c r="I19" s="64">
        <f>I18*H19</f>
        <v>6697.43</v>
      </c>
      <c r="J19" s="44"/>
    </row>
    <row r="20" spans="3:10" s="79" customFormat="1" ht="22.2" customHeight="1" thickBot="1">
      <c r="C20" s="81" t="s">
        <v>1221</v>
      </c>
      <c r="D20" s="82" t="s">
        <v>1222</v>
      </c>
      <c r="E20" s="83"/>
      <c r="F20" s="83"/>
      <c r="G20" s="83"/>
      <c r="H20" s="84"/>
      <c r="I20" s="85">
        <f>SUM(I18:I19)</f>
        <v>73671.73000000001</v>
      </c>
      <c r="J20" s="44"/>
    </row>
    <row r="21" spans="3:10" ht="13.8" thickTop="1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BS59"/>
  <sheetViews>
    <sheetView topLeftCell="A46" zoomScale="80" zoomScaleNormal="80" workbookViewId="0">
      <selection activeCell="A581" sqref="A581:XFD599"/>
    </sheetView>
  </sheetViews>
  <sheetFormatPr defaultColWidth="8.88671875" defaultRowHeight="13.8"/>
  <cols>
    <col min="1" max="1" width="1.5546875" style="59" customWidth="1"/>
    <col min="2" max="2" width="1.33203125" style="59" customWidth="1"/>
    <col min="3" max="3" width="9.109375" style="45" customWidth="1"/>
    <col min="4" max="4" width="33.77734375" style="45" customWidth="1"/>
    <col min="5" max="5" width="6.5546875" style="45" customWidth="1"/>
    <col min="6" max="6" width="8.6640625" style="45" customWidth="1"/>
    <col min="7" max="7" width="10.5546875" style="45" customWidth="1"/>
    <col min="8" max="8" width="15.109375" style="45" customWidth="1"/>
    <col min="9" max="9" width="18.44140625" style="45" customWidth="1"/>
    <col min="10" max="10" width="16.5546875" style="44" customWidth="1"/>
    <col min="11" max="16384" width="8.88671875" style="59"/>
  </cols>
  <sheetData>
    <row r="1" spans="3:14" ht="19.2" customHeight="1">
      <c r="C1" s="126" t="s">
        <v>5255</v>
      </c>
      <c r="D1" s="44" t="s">
        <v>2537</v>
      </c>
    </row>
    <row r="2" spans="3:14" ht="19.2" customHeight="1">
      <c r="C2" s="126" t="s">
        <v>2538</v>
      </c>
      <c r="D2" s="44" t="s">
        <v>2222</v>
      </c>
    </row>
    <row r="3" spans="3:14" ht="19.2" customHeight="1">
      <c r="C3" s="46" t="s">
        <v>2539</v>
      </c>
      <c r="D3" s="148" t="s">
        <v>2540</v>
      </c>
      <c r="E3" s="148"/>
      <c r="F3" s="148"/>
      <c r="G3" s="148"/>
      <c r="H3" s="148"/>
      <c r="I3" s="148"/>
    </row>
    <row r="4" spans="3:14" ht="19.2" customHeight="1" thickBot="1">
      <c r="C4" s="371" t="s">
        <v>2541</v>
      </c>
      <c r="D4" s="1876" t="s">
        <v>2542</v>
      </c>
      <c r="E4" s="1876"/>
      <c r="F4" s="1876"/>
      <c r="G4" s="1876"/>
      <c r="H4" s="1876"/>
      <c r="I4" s="1876"/>
      <c r="J4" s="50">
        <f>ROUNDDOWN(I20,-2)</f>
        <v>163800</v>
      </c>
    </row>
    <row r="5" spans="3:14" ht="28.2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</row>
    <row r="6" spans="3:14" ht="21.6" customHeight="1">
      <c r="C6" s="55" t="s">
        <v>1201</v>
      </c>
      <c r="D6" s="56" t="s">
        <v>1202</v>
      </c>
      <c r="E6" s="56"/>
      <c r="F6" s="57"/>
      <c r="G6" s="57"/>
      <c r="H6" s="57"/>
      <c r="I6" s="58"/>
      <c r="K6" s="152" t="s">
        <v>1247</v>
      </c>
    </row>
    <row r="7" spans="3:14" ht="21.6" customHeight="1">
      <c r="C7" s="60">
        <v>1</v>
      </c>
      <c r="D7" s="56" t="s">
        <v>5</v>
      </c>
      <c r="E7" s="61" t="s">
        <v>1774</v>
      </c>
      <c r="F7" s="61" t="s">
        <v>6</v>
      </c>
      <c r="G7" s="101">
        <v>6.0499999999999998E-2</v>
      </c>
      <c r="H7" s="63">
        <f>VLOOKUP(D7,upahbahan,3,FALSE)</f>
        <v>100000</v>
      </c>
      <c r="I7" s="64">
        <f>G7*H7</f>
        <v>6050</v>
      </c>
      <c r="K7" s="152" t="s">
        <v>1248</v>
      </c>
      <c r="N7" s="65">
        <v>0.1</v>
      </c>
    </row>
    <row r="8" spans="3:14" ht="21.6" customHeight="1">
      <c r="C8" s="60">
        <v>2</v>
      </c>
      <c r="D8" s="56" t="s">
        <v>8</v>
      </c>
      <c r="E8" s="61" t="s">
        <v>1775</v>
      </c>
      <c r="F8" s="61" t="s">
        <v>6</v>
      </c>
      <c r="G8" s="101">
        <v>6.0499999999999998E-2</v>
      </c>
      <c r="H8" s="63">
        <f>VLOOKUP(D8,upahbahan,3,FALSE)</f>
        <v>135000</v>
      </c>
      <c r="I8" s="64">
        <f>G8*H8</f>
        <v>8167.5</v>
      </c>
    </row>
    <row r="9" spans="3:14" ht="21.6" customHeight="1">
      <c r="C9" s="60">
        <v>3</v>
      </c>
      <c r="D9" s="56" t="s">
        <v>19</v>
      </c>
      <c r="E9" s="61" t="s">
        <v>1776</v>
      </c>
      <c r="F9" s="61" t="s">
        <v>6</v>
      </c>
      <c r="G9" s="101">
        <v>6.0000000000000001E-3</v>
      </c>
      <c r="H9" s="63">
        <f>VLOOKUP(D9,upahbahan,3,FALSE)</f>
        <v>160000</v>
      </c>
      <c r="I9" s="64">
        <f>G9*H9</f>
        <v>960</v>
      </c>
    </row>
    <row r="10" spans="3:14" ht="21.6" customHeight="1">
      <c r="C10" s="66" t="s">
        <v>1208</v>
      </c>
      <c r="D10" s="67"/>
      <c r="E10" s="67"/>
      <c r="F10" s="67"/>
      <c r="G10" s="142"/>
      <c r="H10" s="153"/>
      <c r="I10" s="64">
        <f>SUM(I7:I9)</f>
        <v>15177.5</v>
      </c>
      <c r="J10" s="154"/>
    </row>
    <row r="11" spans="3:14" ht="21.6" customHeight="1">
      <c r="C11" s="55" t="s">
        <v>1209</v>
      </c>
      <c r="D11" s="56" t="s">
        <v>1210</v>
      </c>
      <c r="E11" s="56"/>
      <c r="F11" s="57"/>
      <c r="G11" s="57"/>
      <c r="H11" s="57"/>
      <c r="I11" s="58"/>
    </row>
    <row r="12" spans="3:14" ht="27" customHeight="1">
      <c r="C12" s="155" t="s">
        <v>1203</v>
      </c>
      <c r="D12" s="107" t="s">
        <v>1158</v>
      </c>
      <c r="E12" s="107"/>
      <c r="F12" s="156" t="s">
        <v>2167</v>
      </c>
      <c r="G12" s="140">
        <v>0.25</v>
      </c>
      <c r="H12" s="110">
        <f>VLOOKUP(D12,upahbahan,3,FALSE)</f>
        <v>350000</v>
      </c>
      <c r="I12" s="114">
        <f>G12*H12</f>
        <v>87500</v>
      </c>
    </row>
    <row r="13" spans="3:14" ht="21.6" customHeight="1">
      <c r="C13" s="155" t="s">
        <v>1204</v>
      </c>
      <c r="D13" s="107" t="s">
        <v>5241</v>
      </c>
      <c r="E13" s="107"/>
      <c r="F13" s="156" t="s">
        <v>2167</v>
      </c>
      <c r="G13" s="140">
        <v>0.25</v>
      </c>
      <c r="H13" s="110">
        <f>VLOOKUP(D13,upahbahan,3,FALSE)</f>
        <v>124500</v>
      </c>
      <c r="I13" s="114">
        <f t="shared" ref="I13" si="0">G13*H13</f>
        <v>31125</v>
      </c>
    </row>
    <row r="14" spans="3:14" ht="21.6" customHeight="1">
      <c r="C14" s="157" t="s">
        <v>1214</v>
      </c>
      <c r="D14" s="158"/>
      <c r="E14" s="158"/>
      <c r="F14" s="158"/>
      <c r="G14" s="158"/>
      <c r="H14" s="159"/>
      <c r="I14" s="114">
        <f>SUM(I12:I13)</f>
        <v>118625</v>
      </c>
    </row>
    <row r="15" spans="3:14" ht="21.6" customHeight="1">
      <c r="C15" s="112" t="s">
        <v>1215</v>
      </c>
      <c r="D15" s="107" t="s">
        <v>1216</v>
      </c>
      <c r="E15" s="107"/>
      <c r="F15" s="145"/>
      <c r="G15" s="145"/>
      <c r="H15" s="145"/>
      <c r="I15" s="160"/>
    </row>
    <row r="16" spans="3:14" ht="21.6" customHeight="1">
      <c r="C16" s="106">
        <v>1</v>
      </c>
      <c r="D16" s="107" t="s">
        <v>5256</v>
      </c>
      <c r="E16" s="107"/>
      <c r="F16" s="108" t="s">
        <v>1974</v>
      </c>
      <c r="G16" s="108">
        <v>6.0499999999999998E-2</v>
      </c>
      <c r="H16" s="110">
        <f>VLOOKUP(D16,upahbahan,3,FALSE)</f>
        <v>250000</v>
      </c>
      <c r="I16" s="114">
        <f t="shared" ref="I16" si="1">G16*H16</f>
        <v>15125</v>
      </c>
    </row>
    <row r="17" spans="3:10" ht="21.6" customHeight="1">
      <c r="C17" s="66" t="s">
        <v>1217</v>
      </c>
      <c r="D17" s="67"/>
      <c r="E17" s="67"/>
      <c r="F17" s="67"/>
      <c r="G17" s="67"/>
      <c r="H17" s="69"/>
      <c r="I17" s="74">
        <f>SUM(I15:I16)</f>
        <v>15125</v>
      </c>
    </row>
    <row r="18" spans="3:10" ht="21.6" customHeight="1">
      <c r="C18" s="75" t="s">
        <v>1218</v>
      </c>
      <c r="D18" s="76" t="s">
        <v>1219</v>
      </c>
      <c r="E18" s="77"/>
      <c r="F18" s="77"/>
      <c r="G18" s="77"/>
      <c r="H18" s="78"/>
      <c r="I18" s="64">
        <f>I17+I14+I10</f>
        <v>148927.5</v>
      </c>
    </row>
    <row r="19" spans="3:10" ht="21.6" customHeight="1">
      <c r="C19" s="75" t="s">
        <v>1220</v>
      </c>
      <c r="D19" s="76" t="s">
        <v>1321</v>
      </c>
      <c r="E19" s="77"/>
      <c r="F19" s="77"/>
      <c r="G19" s="78"/>
      <c r="H19" s="80">
        <f>$N$7</f>
        <v>0.1</v>
      </c>
      <c r="I19" s="64">
        <f>I18*H19</f>
        <v>14892.75</v>
      </c>
    </row>
    <row r="20" spans="3:10" ht="21.6" customHeight="1" thickBot="1">
      <c r="C20" s="81" t="s">
        <v>1221</v>
      </c>
      <c r="D20" s="82" t="s">
        <v>1222</v>
      </c>
      <c r="E20" s="83"/>
      <c r="F20" s="83"/>
      <c r="G20" s="83"/>
      <c r="H20" s="84"/>
      <c r="I20" s="85">
        <f>SUM(I18:I19)</f>
        <v>163820.25</v>
      </c>
    </row>
    <row r="21" spans="3:10" ht="14.4" thickTop="1">
      <c r="C21" s="89"/>
      <c r="D21" s="90"/>
      <c r="E21" s="90"/>
      <c r="F21" s="90"/>
      <c r="G21" s="90"/>
      <c r="H21" s="90"/>
      <c r="I21" s="91"/>
    </row>
    <row r="22" spans="3:10" ht="24" customHeight="1" thickBot="1">
      <c r="C22" s="149" t="s">
        <v>2543</v>
      </c>
      <c r="D22" s="1877" t="s">
        <v>2544</v>
      </c>
      <c r="E22" s="1877"/>
      <c r="F22" s="1877"/>
      <c r="G22" s="1877"/>
      <c r="H22" s="1877"/>
      <c r="I22" s="1877"/>
      <c r="J22" s="50">
        <f>ROUNDDOWN(I39,-2)</f>
        <v>268500</v>
      </c>
    </row>
    <row r="23" spans="3:10" ht="28.2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</row>
    <row r="24" spans="3:10" ht="21.6" customHeight="1">
      <c r="C24" s="55" t="s">
        <v>1201</v>
      </c>
      <c r="D24" s="56" t="s">
        <v>1202</v>
      </c>
      <c r="E24" s="56"/>
      <c r="F24" s="57"/>
      <c r="G24" s="57"/>
      <c r="H24" s="57"/>
      <c r="I24" s="58"/>
    </row>
    <row r="25" spans="3:10" ht="21.6" customHeight="1">
      <c r="C25" s="60">
        <v>1</v>
      </c>
      <c r="D25" s="56" t="s">
        <v>5</v>
      </c>
      <c r="E25" s="56" t="s">
        <v>1774</v>
      </c>
      <c r="F25" s="61" t="s">
        <v>6</v>
      </c>
      <c r="G25" s="101">
        <v>7.5899999999999995E-2</v>
      </c>
      <c r="H25" s="63">
        <f>VLOOKUP(D25,upahbahan,3,FALSE)</f>
        <v>100000</v>
      </c>
      <c r="I25" s="64">
        <f>G25*H25</f>
        <v>7589.9999999999991</v>
      </c>
    </row>
    <row r="26" spans="3:10" ht="21.6" customHeight="1">
      <c r="C26" s="60">
        <v>2</v>
      </c>
      <c r="D26" s="56" t="s">
        <v>8</v>
      </c>
      <c r="E26" s="56" t="s">
        <v>1775</v>
      </c>
      <c r="F26" s="61" t="s">
        <v>6</v>
      </c>
      <c r="G26" s="101">
        <v>7.5899999999999995E-2</v>
      </c>
      <c r="H26" s="63">
        <f>VLOOKUP(D26,upahbahan,3,FALSE)</f>
        <v>135000</v>
      </c>
      <c r="I26" s="64">
        <f>G26*H26</f>
        <v>10246.5</v>
      </c>
    </row>
    <row r="27" spans="3:10" ht="21.6" customHeight="1">
      <c r="C27" s="60">
        <v>3</v>
      </c>
      <c r="D27" s="56" t="s">
        <v>19</v>
      </c>
      <c r="E27" s="56" t="s">
        <v>1777</v>
      </c>
      <c r="F27" s="61" t="s">
        <v>6</v>
      </c>
      <c r="G27" s="101">
        <v>2.2800000000000001E-2</v>
      </c>
      <c r="H27" s="63">
        <f>VLOOKUP(D27,upahbahan,3,FALSE)</f>
        <v>160000</v>
      </c>
      <c r="I27" s="64">
        <f>G27*H27</f>
        <v>3648</v>
      </c>
    </row>
    <row r="28" spans="3:10" ht="21.6" customHeight="1">
      <c r="C28" s="66" t="s">
        <v>1208</v>
      </c>
      <c r="D28" s="67"/>
      <c r="E28" s="67"/>
      <c r="F28" s="67"/>
      <c r="G28" s="142"/>
      <c r="H28" s="153"/>
      <c r="I28" s="64">
        <f>SUM(I25:I27)</f>
        <v>21484.5</v>
      </c>
      <c r="J28" s="154"/>
    </row>
    <row r="29" spans="3:10" ht="21.6" customHeight="1">
      <c r="C29" s="55" t="s">
        <v>1209</v>
      </c>
      <c r="D29" s="56" t="s">
        <v>1210</v>
      </c>
      <c r="E29" s="56"/>
      <c r="F29" s="57"/>
      <c r="G29" s="57"/>
      <c r="H29" s="57"/>
      <c r="I29" s="58"/>
    </row>
    <row r="30" spans="3:10" ht="21.6" customHeight="1">
      <c r="C30" s="99" t="s">
        <v>1203</v>
      </c>
      <c r="D30" s="56" t="s">
        <v>5257</v>
      </c>
      <c r="E30" s="56"/>
      <c r="F30" s="61" t="s">
        <v>2167</v>
      </c>
      <c r="G30" s="62">
        <v>0.25</v>
      </c>
      <c r="H30" s="63">
        <f>VLOOKUP(D30,upahbahan,3,FALSE)</f>
        <v>250000</v>
      </c>
      <c r="I30" s="64">
        <f>G30*H30</f>
        <v>62500</v>
      </c>
    </row>
    <row r="31" spans="3:10" ht="21.6" customHeight="1">
      <c r="C31" s="99" t="s">
        <v>1204</v>
      </c>
      <c r="D31" s="56" t="s">
        <v>5242</v>
      </c>
      <c r="E31" s="56"/>
      <c r="F31" s="61" t="s">
        <v>2167</v>
      </c>
      <c r="G31" s="62">
        <v>0.25</v>
      </c>
      <c r="H31" s="63">
        <f>VLOOKUP(D31,upahbahan,3,FALSE)</f>
        <v>124500</v>
      </c>
      <c r="I31" s="64">
        <f t="shared" ref="I31" si="2">G31*H31</f>
        <v>31125</v>
      </c>
    </row>
    <row r="32" spans="3:10" ht="21.6" customHeight="1">
      <c r="C32" s="66" t="s">
        <v>1214</v>
      </c>
      <c r="D32" s="67"/>
      <c r="E32" s="67"/>
      <c r="F32" s="67"/>
      <c r="G32" s="67"/>
      <c r="H32" s="69"/>
      <c r="I32" s="64">
        <f>SUM(I30:I31)</f>
        <v>93625</v>
      </c>
    </row>
    <row r="33" spans="3:71" ht="21.6" customHeight="1">
      <c r="C33" s="55" t="s">
        <v>1215</v>
      </c>
      <c r="D33" s="56" t="s">
        <v>1216</v>
      </c>
      <c r="E33" s="56"/>
      <c r="F33" s="57"/>
      <c r="G33" s="57"/>
      <c r="H33" s="57"/>
      <c r="I33" s="58"/>
    </row>
    <row r="34" spans="3:71" s="164" customFormat="1" ht="21.6" customHeight="1">
      <c r="C34" s="161">
        <v>1</v>
      </c>
      <c r="D34" s="162" t="s">
        <v>4712</v>
      </c>
      <c r="E34" s="162"/>
      <c r="F34" s="163" t="s">
        <v>1080</v>
      </c>
      <c r="G34" s="370">
        <v>7.5899999999999995E-2</v>
      </c>
      <c r="H34" s="63">
        <f>VLOOKUP(D34,upahbahan,3,FALSE)</f>
        <v>1450000</v>
      </c>
      <c r="I34" s="64">
        <f>G34*H34</f>
        <v>110055</v>
      </c>
      <c r="J34" s="36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</row>
    <row r="35" spans="3:71" s="164" customFormat="1" ht="21.6" customHeight="1">
      <c r="C35" s="161">
        <v>2</v>
      </c>
      <c r="D35" s="162" t="s">
        <v>5256</v>
      </c>
      <c r="E35" s="162"/>
      <c r="F35" s="163" t="s">
        <v>1080</v>
      </c>
      <c r="G35" s="370">
        <v>7.5899999999999995E-2</v>
      </c>
      <c r="H35" s="63">
        <f>VLOOKUP(D35,upahbahan,3,FALSE)</f>
        <v>250000</v>
      </c>
      <c r="I35" s="64">
        <f>G35*H35</f>
        <v>18975</v>
      </c>
      <c r="J35" s="36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</row>
    <row r="36" spans="3:71" ht="21.6" customHeight="1">
      <c r="C36" s="66" t="s">
        <v>1217</v>
      </c>
      <c r="D36" s="67"/>
      <c r="E36" s="67"/>
      <c r="F36" s="67"/>
      <c r="G36" s="67"/>
      <c r="H36" s="69"/>
      <c r="I36" s="74">
        <f>SUM(I33:I35)</f>
        <v>129030</v>
      </c>
    </row>
    <row r="37" spans="3:71" ht="21.6" customHeight="1">
      <c r="C37" s="75" t="s">
        <v>1218</v>
      </c>
      <c r="D37" s="76" t="s">
        <v>1219</v>
      </c>
      <c r="E37" s="77"/>
      <c r="F37" s="77"/>
      <c r="G37" s="77"/>
      <c r="H37" s="78"/>
      <c r="I37" s="64">
        <f>I36+I32+I28</f>
        <v>244139.5</v>
      </c>
    </row>
    <row r="38" spans="3:71" ht="21.6" customHeight="1">
      <c r="C38" s="75" t="s">
        <v>1220</v>
      </c>
      <c r="D38" s="76" t="s">
        <v>1321</v>
      </c>
      <c r="E38" s="77"/>
      <c r="F38" s="77"/>
      <c r="G38" s="78"/>
      <c r="H38" s="80">
        <f>$N$7</f>
        <v>0.1</v>
      </c>
      <c r="I38" s="64">
        <f>I37*H38</f>
        <v>24413.95</v>
      </c>
    </row>
    <row r="39" spans="3:71" ht="21.6" customHeight="1" thickBot="1">
      <c r="C39" s="81" t="s">
        <v>1221</v>
      </c>
      <c r="D39" s="82" t="s">
        <v>1222</v>
      </c>
      <c r="E39" s="83"/>
      <c r="F39" s="83"/>
      <c r="G39" s="83"/>
      <c r="H39" s="84"/>
      <c r="I39" s="85">
        <f>SUM(I37:I38)</f>
        <v>268553.45</v>
      </c>
    </row>
    <row r="40" spans="3:71" ht="14.4" thickTop="1"/>
    <row r="41" spans="3:71" ht="27.6" customHeight="1" thickBot="1">
      <c r="C41" s="170" t="s">
        <v>2545</v>
      </c>
      <c r="D41" s="1876" t="s">
        <v>2546</v>
      </c>
      <c r="E41" s="1876"/>
      <c r="F41" s="1876"/>
      <c r="G41" s="1876"/>
      <c r="H41" s="1876"/>
      <c r="I41" s="1876"/>
      <c r="J41" s="120">
        <f>ROUNDDOWN(I58,-2)</f>
        <v>21800</v>
      </c>
    </row>
    <row r="42" spans="3:71" ht="28.2" thickTop="1">
      <c r="C42" s="51" t="s">
        <v>1195</v>
      </c>
      <c r="D42" s="52" t="s">
        <v>1196</v>
      </c>
      <c r="E42" s="52" t="s">
        <v>1906</v>
      </c>
      <c r="F42" s="52" t="s">
        <v>1197</v>
      </c>
      <c r="G42" s="52" t="s">
        <v>1198</v>
      </c>
      <c r="H42" s="52" t="s">
        <v>1199</v>
      </c>
      <c r="I42" s="53" t="s">
        <v>1200</v>
      </c>
    </row>
    <row r="43" spans="3:71" ht="20.399999999999999" customHeight="1">
      <c r="C43" s="55" t="s">
        <v>1201</v>
      </c>
      <c r="D43" s="56" t="s">
        <v>1202</v>
      </c>
      <c r="E43" s="56"/>
      <c r="F43" s="57"/>
      <c r="G43" s="57"/>
      <c r="H43" s="57"/>
      <c r="I43" s="58"/>
    </row>
    <row r="44" spans="3:71" ht="20.399999999999999" customHeight="1">
      <c r="C44" s="60">
        <v>1</v>
      </c>
      <c r="D44" s="56" t="s">
        <v>5</v>
      </c>
      <c r="E44" s="56" t="s">
        <v>1774</v>
      </c>
      <c r="F44" s="61" t="s">
        <v>6</v>
      </c>
      <c r="G44" s="101">
        <v>0.111</v>
      </c>
      <c r="H44" s="63">
        <f>VLOOKUP(D44,upahbahan,3,FALSE)</f>
        <v>100000</v>
      </c>
      <c r="I44" s="64">
        <f>G44*H44</f>
        <v>11100</v>
      </c>
    </row>
    <row r="45" spans="3:71" ht="20.399999999999999" customHeight="1">
      <c r="C45" s="60">
        <v>2</v>
      </c>
      <c r="D45" s="56" t="s">
        <v>8</v>
      </c>
      <c r="E45" s="56" t="s">
        <v>1775</v>
      </c>
      <c r="F45" s="61" t="s">
        <v>6</v>
      </c>
      <c r="G45" s="101">
        <v>5.6000000000000001E-2</v>
      </c>
      <c r="H45" s="63">
        <f>VLOOKUP(D45,upahbahan,3,FALSE)</f>
        <v>135000</v>
      </c>
      <c r="I45" s="64">
        <f>G45*H45</f>
        <v>7560</v>
      </c>
    </row>
    <row r="46" spans="3:71" ht="20.399999999999999" customHeight="1">
      <c r="C46" s="60">
        <v>3</v>
      </c>
      <c r="D46" s="56" t="s">
        <v>18</v>
      </c>
      <c r="E46" s="56" t="s">
        <v>1776</v>
      </c>
      <c r="F46" s="61" t="s">
        <v>6</v>
      </c>
      <c r="G46" s="101">
        <v>6.0000000000000001E-3</v>
      </c>
      <c r="H46" s="63">
        <f>VLOOKUP(D46,upahbahan,3,FALSE)</f>
        <v>150000</v>
      </c>
      <c r="I46" s="64">
        <f t="shared" ref="I46:I47" si="3">G46*H46</f>
        <v>900</v>
      </c>
    </row>
    <row r="47" spans="3:71" ht="20.399999999999999" customHeight="1">
      <c r="C47" s="60">
        <v>4</v>
      </c>
      <c r="D47" s="56" t="s">
        <v>19</v>
      </c>
      <c r="E47" s="56" t="s">
        <v>1777</v>
      </c>
      <c r="F47" s="61" t="s">
        <v>6</v>
      </c>
      <c r="G47" s="101">
        <v>2E-3</v>
      </c>
      <c r="H47" s="63">
        <f>VLOOKUP(D47,upahbahan,3,FALSE)</f>
        <v>160000</v>
      </c>
      <c r="I47" s="64">
        <f t="shared" si="3"/>
        <v>320</v>
      </c>
    </row>
    <row r="48" spans="3:71" ht="20.399999999999999" customHeight="1">
      <c r="C48" s="66" t="s">
        <v>1208</v>
      </c>
      <c r="D48" s="67"/>
      <c r="E48" s="67"/>
      <c r="F48" s="67"/>
      <c r="G48" s="142"/>
      <c r="H48" s="153"/>
      <c r="I48" s="64">
        <f>SUM(I44:I47)</f>
        <v>19880</v>
      </c>
      <c r="J48" s="154"/>
    </row>
    <row r="49" spans="3:10" ht="20.399999999999999" customHeight="1">
      <c r="C49" s="55" t="s">
        <v>1209</v>
      </c>
      <c r="D49" s="56" t="s">
        <v>1210</v>
      </c>
      <c r="E49" s="56"/>
      <c r="F49" s="57"/>
      <c r="G49" s="57"/>
      <c r="H49" s="57"/>
      <c r="I49" s="58"/>
    </row>
    <row r="50" spans="3:10" s="165" customFormat="1" ht="20.399999999999999" customHeight="1">
      <c r="C50" s="155" t="s">
        <v>1203</v>
      </c>
      <c r="D50" s="107" t="s">
        <v>5258</v>
      </c>
      <c r="E50" s="107"/>
      <c r="F50" s="156" t="s">
        <v>2547</v>
      </c>
      <c r="G50" s="140">
        <v>0.83330000000000004</v>
      </c>
      <c r="H50" s="110">
        <f>VLOOKUP(D50,upahbahan,3,FALSE)</f>
        <v>0</v>
      </c>
      <c r="I50" s="114">
        <f>G50*H50</f>
        <v>0</v>
      </c>
      <c r="J50" s="134"/>
    </row>
    <row r="51" spans="3:10" s="165" customFormat="1" ht="20.399999999999999" customHeight="1">
      <c r="C51" s="155" t="s">
        <v>1204</v>
      </c>
      <c r="D51" s="107" t="s">
        <v>5259</v>
      </c>
      <c r="E51" s="107"/>
      <c r="F51" s="156" t="s">
        <v>2468</v>
      </c>
      <c r="G51" s="140">
        <v>0.3</v>
      </c>
      <c r="H51" s="110">
        <f>VLOOKUP(D51,upahbahan,3,FALSE)</f>
        <v>0</v>
      </c>
      <c r="I51" s="114">
        <f t="shared" ref="I51:I52" si="4">G51*H51</f>
        <v>0</v>
      </c>
      <c r="J51" s="134"/>
    </row>
    <row r="52" spans="3:10" s="165" customFormat="1" ht="20.399999999999999" customHeight="1">
      <c r="C52" s="166">
        <v>3</v>
      </c>
      <c r="D52" s="107" t="s">
        <v>5260</v>
      </c>
      <c r="E52" s="107"/>
      <c r="F52" s="156" t="s">
        <v>2426</v>
      </c>
      <c r="G52" s="144">
        <v>0.1477</v>
      </c>
      <c r="H52" s="110">
        <f>VLOOKUP(D52,upahbahan,3,FALSE)</f>
        <v>0</v>
      </c>
      <c r="I52" s="114">
        <f t="shared" si="4"/>
        <v>0</v>
      </c>
      <c r="J52" s="134"/>
    </row>
    <row r="53" spans="3:10" ht="20.399999999999999" customHeight="1">
      <c r="C53" s="66" t="s">
        <v>1214</v>
      </c>
      <c r="D53" s="67"/>
      <c r="E53" s="67"/>
      <c r="F53" s="67"/>
      <c r="G53" s="67"/>
      <c r="H53" s="69"/>
      <c r="I53" s="64">
        <f>SUM(I50:I52)</f>
        <v>0</v>
      </c>
    </row>
    <row r="54" spans="3:10" ht="20.399999999999999" customHeight="1">
      <c r="C54" s="167" t="s">
        <v>1215</v>
      </c>
      <c r="D54" s="56" t="s">
        <v>1216</v>
      </c>
      <c r="E54" s="56"/>
      <c r="F54" s="57"/>
      <c r="G54" s="57"/>
      <c r="H54" s="57"/>
      <c r="I54" s="58"/>
    </row>
    <row r="55" spans="3:10" ht="20.399999999999999" customHeight="1">
      <c r="C55" s="66" t="s">
        <v>1217</v>
      </c>
      <c r="D55" s="67"/>
      <c r="E55" s="67"/>
      <c r="F55" s="67"/>
      <c r="G55" s="67"/>
      <c r="H55" s="69"/>
      <c r="I55" s="74">
        <f>SUM(I54:I54)</f>
        <v>0</v>
      </c>
    </row>
    <row r="56" spans="3:10" ht="20.399999999999999" customHeight="1">
      <c r="C56" s="75" t="s">
        <v>1218</v>
      </c>
      <c r="D56" s="76" t="s">
        <v>1219</v>
      </c>
      <c r="E56" s="77"/>
      <c r="F56" s="77"/>
      <c r="G56" s="77"/>
      <c r="H56" s="78"/>
      <c r="I56" s="64">
        <f>I55+I53+I48</f>
        <v>19880</v>
      </c>
    </row>
    <row r="57" spans="3:10" ht="20.399999999999999" customHeight="1">
      <c r="C57" s="75" t="s">
        <v>1220</v>
      </c>
      <c r="D57" s="76" t="s">
        <v>1321</v>
      </c>
      <c r="E57" s="77"/>
      <c r="F57" s="77"/>
      <c r="G57" s="78"/>
      <c r="H57" s="80">
        <f>$N$7</f>
        <v>0.1</v>
      </c>
      <c r="I57" s="64">
        <f>I56*H57</f>
        <v>1988</v>
      </c>
    </row>
    <row r="58" spans="3:10" ht="20.399999999999999" customHeight="1" thickBot="1">
      <c r="C58" s="81" t="s">
        <v>1221</v>
      </c>
      <c r="D58" s="82" t="s">
        <v>1222</v>
      </c>
      <c r="E58" s="83"/>
      <c r="F58" s="83"/>
      <c r="G58" s="83"/>
      <c r="H58" s="84"/>
      <c r="I58" s="85">
        <f>SUM(I56:I57)</f>
        <v>21868</v>
      </c>
    </row>
    <row r="59" spans="3:10" ht="20.399999999999999" customHeight="1" thickTop="1">
      <c r="C59" s="54"/>
      <c r="D59" s="86" t="s">
        <v>2548</v>
      </c>
      <c r="E59" s="86"/>
      <c r="F59" s="86"/>
      <c r="G59" s="86"/>
      <c r="H59" s="86"/>
      <c r="I59" s="87"/>
    </row>
  </sheetData>
  <mergeCells count="3">
    <mergeCell ref="D4:I4"/>
    <mergeCell ref="D22:I22"/>
    <mergeCell ref="D41:I41"/>
  </mergeCells>
  <dataValidations count="1">
    <dataValidation type="list" allowBlank="1" showInputMessage="1" showErrorMessage="1" sqref="D25:E27 D44:E47" xr:uid="{00000000-0002-0000-0C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P293"/>
  <sheetViews>
    <sheetView topLeftCell="A30" zoomScale="71" zoomScaleNormal="71" workbookViewId="0">
      <selection activeCell="A581" sqref="A581:XFD599"/>
    </sheetView>
  </sheetViews>
  <sheetFormatPr defaultRowHeight="13.2"/>
  <cols>
    <col min="1" max="1" width="3.33203125" style="122" customWidth="1"/>
    <col min="2" max="2" width="2.88671875" style="122" customWidth="1"/>
    <col min="3" max="3" width="7.5546875" style="122" customWidth="1"/>
    <col min="4" max="4" width="30.44140625" style="122" customWidth="1"/>
    <col min="5" max="6" width="8.88671875" style="122"/>
    <col min="7" max="7" width="12" style="122" customWidth="1"/>
    <col min="8" max="8" width="15.88671875" style="122" customWidth="1"/>
    <col min="9" max="9" width="18.88671875" style="122" customWidth="1"/>
    <col min="10" max="12" width="13.109375" style="122" customWidth="1"/>
    <col min="13" max="16384" width="8.88671875" style="122"/>
  </cols>
  <sheetData>
    <row r="2" spans="3:16" s="59" customFormat="1" ht="13.8">
      <c r="C2" s="46" t="s">
        <v>5264</v>
      </c>
      <c r="D2" s="47" t="s">
        <v>2549</v>
      </c>
      <c r="E2" s="47"/>
      <c r="F2" s="47"/>
      <c r="G2" s="47"/>
      <c r="H2" s="47"/>
      <c r="I2" s="47"/>
      <c r="J2" s="119"/>
      <c r="K2" s="119"/>
      <c r="L2" s="119"/>
    </row>
    <row r="3" spans="3:16" s="59" customFormat="1" ht="31.65" customHeight="1" thickBot="1">
      <c r="C3" s="170" t="s">
        <v>2550</v>
      </c>
      <c r="D3" s="1876" t="s">
        <v>2551</v>
      </c>
      <c r="E3" s="1876"/>
      <c r="F3" s="1876"/>
      <c r="G3" s="1876"/>
      <c r="H3" s="1876"/>
      <c r="I3" s="1876"/>
      <c r="J3" s="120">
        <f>ROUNDDOWN(I19,-2)</f>
        <v>25900</v>
      </c>
      <c r="K3" s="120" t="s">
        <v>6451</v>
      </c>
      <c r="L3" s="120" t="s">
        <v>6521</v>
      </c>
    </row>
    <row r="4" spans="3:16" s="59" customFormat="1" ht="32.4" customHeight="1" thickTop="1">
      <c r="C4" s="51" t="s">
        <v>1195</v>
      </c>
      <c r="D4" s="52" t="s">
        <v>1196</v>
      </c>
      <c r="E4" s="52" t="s">
        <v>1906</v>
      </c>
      <c r="F4" s="52" t="s">
        <v>1197</v>
      </c>
      <c r="G4" s="52" t="s">
        <v>1198</v>
      </c>
      <c r="H4" s="52" t="s">
        <v>1199</v>
      </c>
      <c r="I4" s="53" t="s">
        <v>1200</v>
      </c>
      <c r="J4" s="119"/>
      <c r="K4" s="119"/>
      <c r="L4" s="119"/>
    </row>
    <row r="5" spans="3:16" s="59" customFormat="1" ht="22.2" customHeight="1">
      <c r="C5" s="290" t="s">
        <v>1201</v>
      </c>
      <c r="D5" s="182" t="s">
        <v>1202</v>
      </c>
      <c r="E5" s="182"/>
      <c r="F5" s="70"/>
      <c r="G5" s="70"/>
      <c r="H5" s="70"/>
      <c r="I5" s="71"/>
      <c r="J5" s="119"/>
      <c r="K5" s="119"/>
      <c r="L5" s="119"/>
      <c r="M5" s="374" t="s">
        <v>1247</v>
      </c>
    </row>
    <row r="6" spans="3:16" s="59" customFormat="1" ht="22.2" customHeight="1">
      <c r="C6" s="281">
        <v>1</v>
      </c>
      <c r="D6" s="182" t="s">
        <v>5</v>
      </c>
      <c r="E6" s="176" t="s">
        <v>1774</v>
      </c>
      <c r="F6" s="176" t="s">
        <v>6</v>
      </c>
      <c r="G6" s="315">
        <v>0.01</v>
      </c>
      <c r="H6" s="283">
        <f>VLOOKUP(D6,upahbahan,3,FALSE)</f>
        <v>100000</v>
      </c>
      <c r="I6" s="284">
        <f>G6*H6</f>
        <v>1000</v>
      </c>
      <c r="J6" s="119"/>
      <c r="K6" s="119"/>
      <c r="L6" s="119"/>
      <c r="M6" s="374" t="s">
        <v>1248</v>
      </c>
      <c r="P6" s="65">
        <v>0.1</v>
      </c>
    </row>
    <row r="7" spans="3:16" s="59" customFormat="1" ht="22.2" customHeight="1">
      <c r="C7" s="281">
        <v>2</v>
      </c>
      <c r="D7" s="182" t="s">
        <v>19</v>
      </c>
      <c r="E7" s="176" t="s">
        <v>1777</v>
      </c>
      <c r="F7" s="176" t="s">
        <v>6</v>
      </c>
      <c r="G7" s="315">
        <v>1E-3</v>
      </c>
      <c r="H7" s="283">
        <f>VLOOKUP(D7,upahbahan,3,FALSE)</f>
        <v>160000</v>
      </c>
      <c r="I7" s="284">
        <f>G7*H7</f>
        <v>160</v>
      </c>
      <c r="J7" s="119"/>
      <c r="K7" s="119"/>
      <c r="L7" s="119"/>
    </row>
    <row r="8" spans="3:16" s="59" customFormat="1" ht="22.2" customHeight="1">
      <c r="C8" s="66" t="s">
        <v>1208</v>
      </c>
      <c r="D8" s="67"/>
      <c r="E8" s="67"/>
      <c r="F8" s="67"/>
      <c r="G8" s="142"/>
      <c r="H8" s="153"/>
      <c r="I8" s="284">
        <f>SUM(I6:I7)</f>
        <v>1160</v>
      </c>
      <c r="J8" s="319"/>
      <c r="K8" s="319"/>
      <c r="L8" s="319"/>
    </row>
    <row r="9" spans="3:16" s="59" customFormat="1" ht="22.2" customHeight="1">
      <c r="C9" s="290" t="s">
        <v>1209</v>
      </c>
      <c r="D9" s="182" t="s">
        <v>1210</v>
      </c>
      <c r="E9" s="182"/>
      <c r="F9" s="70"/>
      <c r="G9" s="70"/>
      <c r="H9" s="70"/>
      <c r="I9" s="71"/>
      <c r="J9" s="119"/>
      <c r="K9" s="119"/>
      <c r="L9" s="119"/>
    </row>
    <row r="10" spans="3:16" s="59" customFormat="1" ht="22.2" customHeight="1">
      <c r="C10" s="375" t="s">
        <v>1203</v>
      </c>
      <c r="D10" s="109" t="s">
        <v>5261</v>
      </c>
      <c r="E10" s="109"/>
      <c r="F10" s="108" t="s">
        <v>113</v>
      </c>
      <c r="G10" s="340">
        <v>1.05</v>
      </c>
      <c r="H10" s="185">
        <f>VLOOKUP(D10,upahbahan,3,FALSE)</f>
        <v>11250</v>
      </c>
      <c r="I10" s="317">
        <f>G10*H10</f>
        <v>11812.5</v>
      </c>
      <c r="J10" s="119"/>
      <c r="K10" s="119"/>
      <c r="L10" s="119"/>
    </row>
    <row r="11" spans="3:16" s="59" customFormat="1" ht="22.2" customHeight="1">
      <c r="C11" s="375">
        <v>2</v>
      </c>
      <c r="D11" s="109" t="s">
        <v>2552</v>
      </c>
      <c r="E11" s="109"/>
      <c r="F11" s="108" t="s">
        <v>65</v>
      </c>
      <c r="G11" s="340">
        <v>0.45610000000000001</v>
      </c>
      <c r="H11" s="185">
        <f>VLOOKUP(D11,upahbahan,3,FALSE)</f>
        <v>10800</v>
      </c>
      <c r="I11" s="317">
        <f>G11*H11</f>
        <v>4925.88</v>
      </c>
      <c r="J11" s="119"/>
      <c r="K11" s="119"/>
      <c r="L11" s="119"/>
    </row>
    <row r="12" spans="3:16" s="59" customFormat="1" ht="22.2" customHeight="1">
      <c r="C12" s="375">
        <v>3</v>
      </c>
      <c r="D12" s="109" t="s">
        <v>2553</v>
      </c>
      <c r="E12" s="109"/>
      <c r="F12" s="108" t="s">
        <v>42</v>
      </c>
      <c r="G12" s="340">
        <v>1.9599999999999999E-2</v>
      </c>
      <c r="H12" s="185">
        <f>VLOOKUP(D12,upahbahan,3,FALSE)</f>
        <v>292500</v>
      </c>
      <c r="I12" s="317">
        <f>G12*H12</f>
        <v>5733</v>
      </c>
      <c r="J12" s="119"/>
      <c r="K12" s="119"/>
      <c r="L12" s="119"/>
    </row>
    <row r="13" spans="3:16" s="59" customFormat="1" ht="22.2" customHeight="1">
      <c r="C13" s="375">
        <v>4</v>
      </c>
      <c r="D13" s="109" t="s">
        <v>6520</v>
      </c>
      <c r="E13" s="109"/>
      <c r="F13" s="108" t="s">
        <v>62</v>
      </c>
      <c r="G13" s="340">
        <v>0.2</v>
      </c>
      <c r="H13" s="185">
        <f>VLOOKUP(D13,upahbahan,3,FALSE)</f>
        <v>0</v>
      </c>
      <c r="I13" s="317">
        <f>G13*H13</f>
        <v>0</v>
      </c>
      <c r="J13" s="119"/>
      <c r="K13" s="119"/>
      <c r="L13" s="119"/>
    </row>
    <row r="14" spans="3:16" s="59" customFormat="1" ht="22.2" customHeight="1">
      <c r="C14" s="157" t="s">
        <v>1214</v>
      </c>
      <c r="D14" s="158"/>
      <c r="E14" s="158"/>
      <c r="F14" s="158"/>
      <c r="G14" s="158"/>
      <c r="H14" s="159"/>
      <c r="I14" s="317">
        <f>SUM(I10:I13)</f>
        <v>22471.38</v>
      </c>
      <c r="J14" s="119"/>
      <c r="K14" s="119"/>
      <c r="L14" s="119"/>
    </row>
    <row r="15" spans="3:16" s="59" customFormat="1" ht="22.2" customHeight="1">
      <c r="C15" s="316" t="s">
        <v>1215</v>
      </c>
      <c r="D15" s="109" t="s">
        <v>1216</v>
      </c>
      <c r="E15" s="109"/>
      <c r="F15" s="109"/>
      <c r="G15" s="109"/>
      <c r="H15" s="109"/>
      <c r="I15" s="376"/>
      <c r="J15" s="119"/>
      <c r="K15" s="119"/>
      <c r="L15" s="119"/>
    </row>
    <row r="16" spans="3:16" s="59" customFormat="1" ht="22.2" customHeight="1">
      <c r="C16" s="66" t="s">
        <v>1217</v>
      </c>
      <c r="D16" s="67"/>
      <c r="E16" s="67"/>
      <c r="F16" s="67"/>
      <c r="G16" s="67"/>
      <c r="H16" s="69"/>
      <c r="I16" s="292">
        <f>SUM(I15:I15)</f>
        <v>0</v>
      </c>
      <c r="J16" s="119"/>
      <c r="K16" s="119"/>
      <c r="L16" s="119"/>
    </row>
    <row r="17" spans="3:16" s="59" customFormat="1" ht="22.2" customHeight="1">
      <c r="C17" s="293" t="s">
        <v>1218</v>
      </c>
      <c r="D17" s="294" t="s">
        <v>1219</v>
      </c>
      <c r="E17" s="295"/>
      <c r="F17" s="295"/>
      <c r="G17" s="295"/>
      <c r="H17" s="296"/>
      <c r="I17" s="284">
        <f>I16+I14+I8</f>
        <v>23631.38</v>
      </c>
      <c r="J17" s="119"/>
      <c r="K17" s="119"/>
      <c r="L17" s="119"/>
    </row>
    <row r="18" spans="3:16" s="59" customFormat="1" ht="22.2" customHeight="1">
      <c r="C18" s="293" t="s">
        <v>1220</v>
      </c>
      <c r="D18" s="294" t="s">
        <v>1321</v>
      </c>
      <c r="E18" s="295"/>
      <c r="F18" s="295"/>
      <c r="G18" s="296"/>
      <c r="H18" s="298">
        <v>0.1</v>
      </c>
      <c r="I18" s="284">
        <f>I17*H18</f>
        <v>2363.1380000000004</v>
      </c>
      <c r="J18" s="119"/>
      <c r="K18" s="119"/>
      <c r="L18" s="119"/>
    </row>
    <row r="19" spans="3:16" s="59" customFormat="1" ht="22.2" customHeight="1" thickBot="1">
      <c r="C19" s="299" t="s">
        <v>1221</v>
      </c>
      <c r="D19" s="300" t="s">
        <v>1222</v>
      </c>
      <c r="E19" s="301"/>
      <c r="F19" s="301"/>
      <c r="G19" s="301"/>
      <c r="H19" s="302"/>
      <c r="I19" s="303">
        <f>SUM(I17:I18)</f>
        <v>25994.518</v>
      </c>
      <c r="J19" s="119"/>
      <c r="K19" s="119"/>
      <c r="L19" s="119"/>
    </row>
    <row r="20" spans="3:16" s="59" customFormat="1" ht="14.4" thickTop="1">
      <c r="C20" s="304"/>
      <c r="D20" s="304"/>
      <c r="E20" s="304"/>
      <c r="F20" s="304"/>
      <c r="G20" s="304"/>
      <c r="H20" s="304"/>
      <c r="I20" s="305"/>
      <c r="J20" s="119"/>
      <c r="K20" s="119"/>
      <c r="L20" s="119"/>
    </row>
    <row r="22" spans="3:16" s="59" customFormat="1" ht="31.65" customHeight="1" thickBot="1">
      <c r="C22" s="170" t="s">
        <v>2554</v>
      </c>
      <c r="D22" s="1876" t="s">
        <v>2555</v>
      </c>
      <c r="E22" s="1876"/>
      <c r="F22" s="1876"/>
      <c r="G22" s="1876"/>
      <c r="H22" s="1876"/>
      <c r="I22" s="1876"/>
      <c r="J22" s="120">
        <f>ROUNDDOWN(I38,-2)</f>
        <v>46900</v>
      </c>
      <c r="K22" s="120" t="s">
        <v>6451</v>
      </c>
      <c r="L22" s="120" t="s">
        <v>6521</v>
      </c>
    </row>
    <row r="23" spans="3:16" s="59" customFormat="1" ht="28.2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  <c r="J23" s="119"/>
      <c r="K23" s="119"/>
      <c r="L23" s="119"/>
    </row>
    <row r="24" spans="3:16" s="59" customFormat="1" ht="19.2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  <c r="J24" s="119"/>
      <c r="K24" s="119"/>
      <c r="L24" s="119"/>
      <c r="M24" s="374" t="s">
        <v>1247</v>
      </c>
    </row>
    <row r="25" spans="3:16" s="59" customFormat="1" ht="19.2" customHeight="1">
      <c r="C25" s="281">
        <v>1</v>
      </c>
      <c r="D25" s="182" t="s">
        <v>5</v>
      </c>
      <c r="E25" s="176" t="s">
        <v>1774</v>
      </c>
      <c r="F25" s="176" t="s">
        <v>6</v>
      </c>
      <c r="G25" s="315">
        <v>0.01</v>
      </c>
      <c r="H25" s="283">
        <f>VLOOKUP(D25,upahbahan,3,FALSE)</f>
        <v>100000</v>
      </c>
      <c r="I25" s="284">
        <f>G25*H25</f>
        <v>1000</v>
      </c>
      <c r="J25" s="119"/>
      <c r="K25" s="119"/>
      <c r="L25" s="119"/>
      <c r="M25" s="374" t="s">
        <v>1248</v>
      </c>
      <c r="P25" s="65">
        <v>0.1</v>
      </c>
    </row>
    <row r="26" spans="3:16" s="59" customFormat="1" ht="19.2" customHeight="1">
      <c r="C26" s="281">
        <v>2</v>
      </c>
      <c r="D26" s="182" t="s">
        <v>19</v>
      </c>
      <c r="E26" s="176" t="s">
        <v>1777</v>
      </c>
      <c r="F26" s="176" t="s">
        <v>6</v>
      </c>
      <c r="G26" s="315">
        <v>1E-3</v>
      </c>
      <c r="H26" s="283">
        <f>VLOOKUP(D26,upahbahan,3,FALSE)</f>
        <v>160000</v>
      </c>
      <c r="I26" s="284">
        <f>G26*H26</f>
        <v>160</v>
      </c>
      <c r="J26" s="119"/>
      <c r="K26" s="119"/>
      <c r="L26" s="119"/>
    </row>
    <row r="27" spans="3:16" s="59" customFormat="1" ht="19.2" customHeight="1">
      <c r="C27" s="66" t="s">
        <v>1208</v>
      </c>
      <c r="D27" s="67"/>
      <c r="E27" s="67"/>
      <c r="F27" s="67"/>
      <c r="G27" s="142"/>
      <c r="H27" s="153"/>
      <c r="I27" s="284">
        <f>SUM(I25:I26)</f>
        <v>1160</v>
      </c>
      <c r="J27" s="319"/>
      <c r="K27" s="319"/>
      <c r="L27" s="319"/>
    </row>
    <row r="28" spans="3:16" s="59" customFormat="1" ht="19.2" customHeight="1">
      <c r="C28" s="290" t="s">
        <v>1209</v>
      </c>
      <c r="D28" s="182" t="s">
        <v>1210</v>
      </c>
      <c r="E28" s="182"/>
      <c r="F28" s="70"/>
      <c r="G28" s="70"/>
      <c r="H28" s="70"/>
      <c r="I28" s="71"/>
      <c r="J28" s="119"/>
      <c r="K28" s="119"/>
      <c r="L28" s="119"/>
    </row>
    <row r="29" spans="3:16" s="59" customFormat="1" ht="19.2" customHeight="1">
      <c r="C29" s="375" t="s">
        <v>1203</v>
      </c>
      <c r="D29" s="109" t="s">
        <v>5262</v>
      </c>
      <c r="E29" s="109"/>
      <c r="F29" s="108" t="s">
        <v>113</v>
      </c>
      <c r="G29" s="340">
        <v>1.05</v>
      </c>
      <c r="H29" s="185">
        <f>VLOOKUP(D29,upahbahan,3,FALSE)</f>
        <v>26000</v>
      </c>
      <c r="I29" s="317">
        <f>G29*H29</f>
        <v>27300</v>
      </c>
      <c r="J29" s="119"/>
      <c r="K29" s="119"/>
      <c r="L29" s="119"/>
    </row>
    <row r="30" spans="3:16" s="59" customFormat="1" ht="19.2" customHeight="1">
      <c r="C30" s="375">
        <v>2</v>
      </c>
      <c r="D30" s="109" t="s">
        <v>2552</v>
      </c>
      <c r="E30" s="109"/>
      <c r="F30" s="108" t="s">
        <v>65</v>
      </c>
      <c r="G30" s="340">
        <v>0.6774</v>
      </c>
      <c r="H30" s="185">
        <f>VLOOKUP(D30,upahbahan,3,FALSE)</f>
        <v>10800</v>
      </c>
      <c r="I30" s="317">
        <f>G30*H30</f>
        <v>7315.92</v>
      </c>
      <c r="J30" s="119"/>
      <c r="K30" s="119"/>
      <c r="L30" s="119"/>
    </row>
    <row r="31" spans="3:16" s="59" customFormat="1" ht="19.2" customHeight="1">
      <c r="C31" s="375">
        <v>3</v>
      </c>
      <c r="D31" s="109" t="s">
        <v>2553</v>
      </c>
      <c r="E31" s="109"/>
      <c r="F31" s="108" t="s">
        <v>42</v>
      </c>
      <c r="G31" s="340">
        <v>2.35E-2</v>
      </c>
      <c r="H31" s="185">
        <f>VLOOKUP(D31,upahbahan,3,FALSE)</f>
        <v>292500</v>
      </c>
      <c r="I31" s="317">
        <f>G31*H31</f>
        <v>6873.75</v>
      </c>
      <c r="J31" s="119"/>
      <c r="K31" s="119"/>
      <c r="L31" s="119"/>
    </row>
    <row r="32" spans="3:16" s="59" customFormat="1" ht="19.2" customHeight="1">
      <c r="C32" s="375">
        <v>4</v>
      </c>
      <c r="D32" s="109" t="s">
        <v>6520</v>
      </c>
      <c r="E32" s="109"/>
      <c r="F32" s="108" t="s">
        <v>62</v>
      </c>
      <c r="G32" s="340">
        <v>0.35</v>
      </c>
      <c r="H32" s="185">
        <f>VLOOKUP(D32,upahbahan,3,FALSE)</f>
        <v>0</v>
      </c>
      <c r="I32" s="317">
        <f>G32*H32</f>
        <v>0</v>
      </c>
      <c r="J32" s="119"/>
      <c r="K32" s="119"/>
      <c r="L32" s="119"/>
    </row>
    <row r="33" spans="3:16" s="59" customFormat="1" ht="19.2" customHeight="1">
      <c r="C33" s="157" t="s">
        <v>1214</v>
      </c>
      <c r="D33" s="158"/>
      <c r="E33" s="158"/>
      <c r="F33" s="158"/>
      <c r="G33" s="158"/>
      <c r="H33" s="159"/>
      <c r="I33" s="317">
        <f>SUM(I29:I32)</f>
        <v>41489.67</v>
      </c>
      <c r="J33" s="119"/>
      <c r="K33" s="119"/>
      <c r="L33" s="119"/>
    </row>
    <row r="34" spans="3:16" s="59" customFormat="1" ht="19.2" customHeight="1">
      <c r="C34" s="316" t="s">
        <v>1215</v>
      </c>
      <c r="D34" s="109" t="s">
        <v>1216</v>
      </c>
      <c r="E34" s="109"/>
      <c r="F34" s="109"/>
      <c r="G34" s="109"/>
      <c r="H34" s="109"/>
      <c r="I34" s="376"/>
      <c r="J34" s="119"/>
      <c r="K34" s="119"/>
      <c r="L34" s="119"/>
    </row>
    <row r="35" spans="3:16" s="59" customFormat="1" ht="19.2" customHeight="1">
      <c r="C35" s="66" t="s">
        <v>1217</v>
      </c>
      <c r="D35" s="67"/>
      <c r="E35" s="67"/>
      <c r="F35" s="67"/>
      <c r="G35" s="67"/>
      <c r="H35" s="69"/>
      <c r="I35" s="292">
        <f>SUM(I34:I34)</f>
        <v>0</v>
      </c>
      <c r="J35" s="119"/>
      <c r="K35" s="119"/>
      <c r="L35" s="119"/>
    </row>
    <row r="36" spans="3:16" s="59" customFormat="1" ht="19.2" customHeight="1">
      <c r="C36" s="293" t="s">
        <v>1218</v>
      </c>
      <c r="D36" s="294" t="s">
        <v>1219</v>
      </c>
      <c r="E36" s="295"/>
      <c r="F36" s="295"/>
      <c r="G36" s="295"/>
      <c r="H36" s="296"/>
      <c r="I36" s="284">
        <f>I35+I33+I27</f>
        <v>42649.67</v>
      </c>
      <c r="J36" s="119"/>
      <c r="K36" s="119"/>
      <c r="L36" s="119"/>
    </row>
    <row r="37" spans="3:16" s="59" customFormat="1" ht="19.2" customHeight="1">
      <c r="C37" s="293" t="s">
        <v>1220</v>
      </c>
      <c r="D37" s="294" t="s">
        <v>1321</v>
      </c>
      <c r="E37" s="295"/>
      <c r="F37" s="295"/>
      <c r="G37" s="296"/>
      <c r="H37" s="298">
        <v>0.1</v>
      </c>
      <c r="I37" s="284">
        <f>I36*H37</f>
        <v>4264.9669999999996</v>
      </c>
      <c r="J37" s="119"/>
      <c r="K37" s="119"/>
      <c r="L37" s="119"/>
    </row>
    <row r="38" spans="3:16" s="59" customFormat="1" ht="19.2" customHeight="1" thickBot="1">
      <c r="C38" s="299" t="s">
        <v>1221</v>
      </c>
      <c r="D38" s="300" t="s">
        <v>1222</v>
      </c>
      <c r="E38" s="301"/>
      <c r="F38" s="301"/>
      <c r="G38" s="301"/>
      <c r="H38" s="302"/>
      <c r="I38" s="303">
        <f>SUM(I36:I37)</f>
        <v>46914.636999999995</v>
      </c>
      <c r="J38" s="119"/>
      <c r="K38" s="119"/>
      <c r="L38" s="119"/>
    </row>
    <row r="39" spans="3:16" s="59" customFormat="1" ht="14.4" thickTop="1">
      <c r="C39" s="304"/>
      <c r="D39" s="304"/>
      <c r="E39" s="304"/>
      <c r="F39" s="304"/>
      <c r="G39" s="304"/>
      <c r="H39" s="304"/>
      <c r="I39" s="305"/>
      <c r="J39" s="119"/>
      <c r="K39" s="119"/>
      <c r="L39" s="119"/>
    </row>
    <row r="41" spans="3:16" s="59" customFormat="1" ht="31.65" customHeight="1" thickBot="1">
      <c r="C41" s="170" t="s">
        <v>2556</v>
      </c>
      <c r="D41" s="1876" t="s">
        <v>2557</v>
      </c>
      <c r="E41" s="1876"/>
      <c r="F41" s="1876"/>
      <c r="G41" s="1876"/>
      <c r="H41" s="1876"/>
      <c r="I41" s="1876"/>
      <c r="J41" s="120">
        <f>ROUNDDOWN(I54,-2)</f>
        <v>90400</v>
      </c>
      <c r="K41" s="120"/>
      <c r="L41" s="120"/>
    </row>
    <row r="42" spans="3:16" s="59" customFormat="1" ht="28.2" thickTop="1">
      <c r="C42" s="51" t="s">
        <v>1195</v>
      </c>
      <c r="D42" s="52" t="s">
        <v>1196</v>
      </c>
      <c r="E42" s="52" t="s">
        <v>1906</v>
      </c>
      <c r="F42" s="52" t="s">
        <v>1197</v>
      </c>
      <c r="G42" s="52" t="s">
        <v>1198</v>
      </c>
      <c r="H42" s="52" t="s">
        <v>1199</v>
      </c>
      <c r="I42" s="53" t="s">
        <v>1200</v>
      </c>
      <c r="J42" s="119"/>
      <c r="K42" s="119"/>
      <c r="L42" s="119"/>
    </row>
    <row r="43" spans="3:16" s="59" customFormat="1" ht="20.399999999999999" customHeight="1">
      <c r="C43" s="290" t="s">
        <v>1201</v>
      </c>
      <c r="D43" s="182" t="s">
        <v>1202</v>
      </c>
      <c r="E43" s="182"/>
      <c r="F43" s="70"/>
      <c r="G43" s="70"/>
      <c r="H43" s="70"/>
      <c r="I43" s="71"/>
      <c r="J43" s="119"/>
      <c r="K43" s="119"/>
      <c r="L43" s="119"/>
      <c r="M43" s="374" t="s">
        <v>1247</v>
      </c>
    </row>
    <row r="44" spans="3:16" s="59" customFormat="1" ht="20.399999999999999" customHeight="1">
      <c r="C44" s="281">
        <v>1</v>
      </c>
      <c r="D44" s="182" t="s">
        <v>5</v>
      </c>
      <c r="E44" s="176" t="s">
        <v>1774</v>
      </c>
      <c r="F44" s="176" t="s">
        <v>6</v>
      </c>
      <c r="G44" s="315">
        <v>0.15</v>
      </c>
      <c r="H44" s="283">
        <f>VLOOKUP(D44,upahbahan,3,FALSE)</f>
        <v>100000</v>
      </c>
      <c r="I44" s="284">
        <f>G44*H44</f>
        <v>15000</v>
      </c>
      <c r="J44" s="119"/>
      <c r="K44" s="119"/>
      <c r="L44" s="119"/>
      <c r="M44" s="374" t="s">
        <v>1248</v>
      </c>
      <c r="P44" s="65">
        <v>0.1</v>
      </c>
    </row>
    <row r="45" spans="3:16" s="59" customFormat="1" ht="20.399999999999999" customHeight="1">
      <c r="C45" s="281">
        <v>2</v>
      </c>
      <c r="D45" s="182" t="s">
        <v>19</v>
      </c>
      <c r="E45" s="176" t="s">
        <v>1777</v>
      </c>
      <c r="F45" s="176" t="s">
        <v>6</v>
      </c>
      <c r="G45" s="315">
        <v>1.4999999999999999E-2</v>
      </c>
      <c r="H45" s="283">
        <f>VLOOKUP(D45,upahbahan,3,FALSE)</f>
        <v>160000</v>
      </c>
      <c r="I45" s="284">
        <f>G45*H45</f>
        <v>2400</v>
      </c>
      <c r="J45" s="119"/>
      <c r="K45" s="119"/>
      <c r="L45" s="119"/>
    </row>
    <row r="46" spans="3:16" s="59" customFormat="1" ht="20.399999999999999" customHeight="1">
      <c r="C46" s="66" t="s">
        <v>1208</v>
      </c>
      <c r="D46" s="67"/>
      <c r="E46" s="67"/>
      <c r="F46" s="67"/>
      <c r="G46" s="142"/>
      <c r="H46" s="153"/>
      <c r="I46" s="284">
        <f>SUM(I44:I45)</f>
        <v>17400</v>
      </c>
      <c r="J46" s="319"/>
      <c r="K46" s="319"/>
      <c r="L46" s="319"/>
    </row>
    <row r="47" spans="3:16" s="59" customFormat="1" ht="20.399999999999999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  <c r="J47" s="119"/>
      <c r="K47" s="119"/>
      <c r="L47" s="119"/>
    </row>
    <row r="48" spans="3:16" s="59" customFormat="1" ht="20.399999999999999" customHeight="1">
      <c r="C48" s="375">
        <v>1</v>
      </c>
      <c r="D48" s="109" t="s">
        <v>2552</v>
      </c>
      <c r="E48" s="109"/>
      <c r="F48" s="108" t="s">
        <v>65</v>
      </c>
      <c r="G48" s="340">
        <v>6</v>
      </c>
      <c r="H48" s="185">
        <f>VLOOKUP(D48,upahbahan,3,FALSE)</f>
        <v>10800</v>
      </c>
      <c r="I48" s="317">
        <f>G48*H48</f>
        <v>64800</v>
      </c>
      <c r="J48" s="119"/>
      <c r="K48" s="119"/>
      <c r="L48" s="119"/>
    </row>
    <row r="49" spans="3:16" s="59" customFormat="1" ht="20.399999999999999" customHeight="1">
      <c r="C49" s="157" t="s">
        <v>1214</v>
      </c>
      <c r="D49" s="158"/>
      <c r="E49" s="158"/>
      <c r="F49" s="158"/>
      <c r="G49" s="158"/>
      <c r="H49" s="159"/>
      <c r="I49" s="317">
        <f>SUM(I48:I48)</f>
        <v>64800</v>
      </c>
      <c r="J49" s="119"/>
      <c r="K49" s="119"/>
      <c r="L49" s="119"/>
    </row>
    <row r="50" spans="3:16" s="59" customFormat="1" ht="20.399999999999999" customHeight="1">
      <c r="C50" s="316" t="s">
        <v>1215</v>
      </c>
      <c r="D50" s="109" t="s">
        <v>1216</v>
      </c>
      <c r="E50" s="109"/>
      <c r="F50" s="109"/>
      <c r="G50" s="109"/>
      <c r="H50" s="109"/>
      <c r="I50" s="376"/>
      <c r="J50" s="119"/>
      <c r="K50" s="119"/>
      <c r="L50" s="119"/>
    </row>
    <row r="51" spans="3:16" s="59" customFormat="1" ht="20.399999999999999" customHeight="1">
      <c r="C51" s="66" t="s">
        <v>1217</v>
      </c>
      <c r="D51" s="67"/>
      <c r="E51" s="67"/>
      <c r="F51" s="67"/>
      <c r="G51" s="67"/>
      <c r="H51" s="69"/>
      <c r="I51" s="292">
        <f>SUM(I50:I50)</f>
        <v>0</v>
      </c>
      <c r="J51" s="119"/>
      <c r="K51" s="119"/>
      <c r="L51" s="119"/>
    </row>
    <row r="52" spans="3:16" s="59" customFormat="1" ht="20.399999999999999" customHeight="1">
      <c r="C52" s="293" t="s">
        <v>1218</v>
      </c>
      <c r="D52" s="294" t="s">
        <v>1219</v>
      </c>
      <c r="E52" s="295"/>
      <c r="F52" s="295"/>
      <c r="G52" s="295"/>
      <c r="H52" s="296"/>
      <c r="I52" s="284">
        <f>I51+I49+I46</f>
        <v>82200</v>
      </c>
      <c r="J52" s="119"/>
      <c r="K52" s="119"/>
      <c r="L52" s="119"/>
    </row>
    <row r="53" spans="3:16" s="59" customFormat="1" ht="20.399999999999999" customHeight="1">
      <c r="C53" s="293" t="s">
        <v>1220</v>
      </c>
      <c r="D53" s="294" t="s">
        <v>1321</v>
      </c>
      <c r="E53" s="295"/>
      <c r="F53" s="295"/>
      <c r="G53" s="296"/>
      <c r="H53" s="298">
        <v>0.1</v>
      </c>
      <c r="I53" s="284">
        <f>I52*H53</f>
        <v>8220</v>
      </c>
      <c r="J53" s="119"/>
      <c r="K53" s="119"/>
      <c r="L53" s="119"/>
    </row>
    <row r="54" spans="3:16" s="59" customFormat="1" ht="20.399999999999999" customHeight="1" thickBot="1">
      <c r="C54" s="299" t="s">
        <v>1221</v>
      </c>
      <c r="D54" s="300" t="s">
        <v>1222</v>
      </c>
      <c r="E54" s="301"/>
      <c r="F54" s="301"/>
      <c r="G54" s="301"/>
      <c r="H54" s="302"/>
      <c r="I54" s="303">
        <f>SUM(I52:I53)</f>
        <v>90420</v>
      </c>
      <c r="J54" s="119"/>
      <c r="K54" s="119"/>
      <c r="L54" s="119"/>
    </row>
    <row r="55" spans="3:16" s="59" customFormat="1" ht="14.4" thickTop="1">
      <c r="C55" s="304"/>
      <c r="D55" s="304"/>
      <c r="E55" s="304"/>
      <c r="F55" s="304"/>
      <c r="G55" s="304"/>
      <c r="H55" s="304"/>
      <c r="I55" s="305"/>
      <c r="J55" s="119"/>
      <c r="K55" s="119"/>
      <c r="L55" s="119"/>
    </row>
    <row r="57" spans="3:16" s="59" customFormat="1" ht="31.65" customHeight="1" thickBot="1">
      <c r="C57" s="170" t="s">
        <v>2558</v>
      </c>
      <c r="D57" s="1876" t="s">
        <v>2559</v>
      </c>
      <c r="E57" s="1876"/>
      <c r="F57" s="1876"/>
      <c r="G57" s="1876"/>
      <c r="H57" s="1876"/>
      <c r="I57" s="1876"/>
      <c r="J57" s="120">
        <f>ROUNDDOWN(I73,-2)</f>
        <v>71000</v>
      </c>
      <c r="K57" s="120" t="s">
        <v>6451</v>
      </c>
      <c r="L57" s="120" t="s">
        <v>6466</v>
      </c>
    </row>
    <row r="58" spans="3:16" s="59" customFormat="1" ht="28.2" thickTop="1">
      <c r="C58" s="51" t="s">
        <v>1195</v>
      </c>
      <c r="D58" s="52" t="s">
        <v>1196</v>
      </c>
      <c r="E58" s="52" t="s">
        <v>1906</v>
      </c>
      <c r="F58" s="52" t="s">
        <v>1197</v>
      </c>
      <c r="G58" s="52" t="s">
        <v>1198</v>
      </c>
      <c r="H58" s="52" t="s">
        <v>1199</v>
      </c>
      <c r="I58" s="53" t="s">
        <v>1200</v>
      </c>
      <c r="J58" s="119"/>
      <c r="K58" s="119"/>
      <c r="L58" s="119"/>
    </row>
    <row r="59" spans="3:16" s="59" customFormat="1" ht="20.399999999999999" customHeight="1">
      <c r="C59" s="290" t="s">
        <v>1201</v>
      </c>
      <c r="D59" s="182" t="s">
        <v>1202</v>
      </c>
      <c r="E59" s="182"/>
      <c r="F59" s="70"/>
      <c r="G59" s="70"/>
      <c r="H59" s="70"/>
      <c r="I59" s="71"/>
      <c r="J59" s="119"/>
      <c r="K59" s="119"/>
      <c r="L59" s="119"/>
      <c r="M59" s="374" t="s">
        <v>1247</v>
      </c>
    </row>
    <row r="60" spans="3:16" s="59" customFormat="1" ht="20.399999999999999" customHeight="1">
      <c r="C60" s="281">
        <v>1</v>
      </c>
      <c r="D60" s="182" t="s">
        <v>5</v>
      </c>
      <c r="E60" s="176" t="s">
        <v>1774</v>
      </c>
      <c r="F60" s="176" t="s">
        <v>6</v>
      </c>
      <c r="G60" s="315">
        <v>0.3</v>
      </c>
      <c r="H60" s="283">
        <f>VLOOKUP(D60,upahbahan,3,FALSE)</f>
        <v>100000</v>
      </c>
      <c r="I60" s="284">
        <f>G60*H60</f>
        <v>30000</v>
      </c>
      <c r="J60" s="119"/>
      <c r="K60" s="119"/>
      <c r="L60" s="119"/>
      <c r="M60" s="374" t="s">
        <v>1248</v>
      </c>
      <c r="P60" s="65">
        <v>0.1</v>
      </c>
    </row>
    <row r="61" spans="3:16" s="59" customFormat="1" ht="20.399999999999999" customHeight="1">
      <c r="C61" s="281">
        <v>2</v>
      </c>
      <c r="D61" s="182" t="s">
        <v>2165</v>
      </c>
      <c r="E61" s="176" t="s">
        <v>1775</v>
      </c>
      <c r="F61" s="176" t="s">
        <v>2102</v>
      </c>
      <c r="G61" s="315">
        <v>0.15</v>
      </c>
      <c r="H61" s="283">
        <f>VLOOKUP(D61,upahbahan,3,FALSE)</f>
        <v>135000</v>
      </c>
      <c r="I61" s="284">
        <f t="shared" ref="I61:I63" si="0">G61*H61</f>
        <v>20250</v>
      </c>
      <c r="J61" s="119"/>
      <c r="K61" s="119"/>
      <c r="L61" s="119"/>
      <c r="M61" s="374"/>
      <c r="P61" s="65"/>
    </row>
    <row r="62" spans="3:16" s="59" customFormat="1" ht="20.399999999999999" customHeight="1">
      <c r="C62" s="281">
        <v>3</v>
      </c>
      <c r="D62" s="182" t="s">
        <v>1310</v>
      </c>
      <c r="E62" s="176" t="s">
        <v>1776</v>
      </c>
      <c r="F62" s="176" t="s">
        <v>2102</v>
      </c>
      <c r="G62" s="315">
        <v>1.4999999999999999E-2</v>
      </c>
      <c r="H62" s="283">
        <f>VLOOKUP(D62,upahbahan,3,FALSE)</f>
        <v>150000</v>
      </c>
      <c r="I62" s="284">
        <f t="shared" si="0"/>
        <v>2250</v>
      </c>
      <c r="J62" s="119"/>
      <c r="K62" s="119"/>
      <c r="L62" s="119"/>
      <c r="M62" s="374"/>
      <c r="P62" s="65"/>
    </row>
    <row r="63" spans="3:16" s="59" customFormat="1" ht="20.399999999999999" customHeight="1">
      <c r="C63" s="281">
        <v>4</v>
      </c>
      <c r="D63" s="182" t="s">
        <v>19</v>
      </c>
      <c r="E63" s="176" t="s">
        <v>1777</v>
      </c>
      <c r="F63" s="176" t="s">
        <v>6</v>
      </c>
      <c r="G63" s="315">
        <v>1.4999999999999999E-2</v>
      </c>
      <c r="H63" s="283">
        <f>VLOOKUP(D63,upahbahan,3,FALSE)</f>
        <v>160000</v>
      </c>
      <c r="I63" s="284">
        <f t="shared" si="0"/>
        <v>2400</v>
      </c>
      <c r="J63" s="119"/>
      <c r="K63" s="119"/>
      <c r="L63" s="119"/>
    </row>
    <row r="64" spans="3:16" s="59" customFormat="1" ht="20.399999999999999" customHeight="1">
      <c r="C64" s="66" t="s">
        <v>1208</v>
      </c>
      <c r="D64" s="67"/>
      <c r="E64" s="67"/>
      <c r="F64" s="67"/>
      <c r="G64" s="142"/>
      <c r="H64" s="153"/>
      <c r="I64" s="284">
        <f>SUM(I60:I63)</f>
        <v>54900</v>
      </c>
      <c r="J64" s="319"/>
      <c r="K64" s="319"/>
      <c r="L64" s="319"/>
    </row>
    <row r="65" spans="3:16" s="59" customFormat="1" ht="20.399999999999999" customHeight="1">
      <c r="C65" s="290" t="s">
        <v>1209</v>
      </c>
      <c r="D65" s="182" t="s">
        <v>1210</v>
      </c>
      <c r="E65" s="182"/>
      <c r="F65" s="70"/>
      <c r="G65" s="70"/>
      <c r="H65" s="70"/>
      <c r="I65" s="71"/>
      <c r="J65" s="119"/>
      <c r="K65" s="119"/>
      <c r="L65" s="119"/>
    </row>
    <row r="66" spans="3:16" s="59" customFormat="1" ht="20.399999999999999" customHeight="1">
      <c r="C66" s="375">
        <v>1</v>
      </c>
      <c r="D66" s="109" t="s">
        <v>1796</v>
      </c>
      <c r="E66" s="109"/>
      <c r="F66" s="108" t="s">
        <v>65</v>
      </c>
      <c r="G66" s="340">
        <v>6.34</v>
      </c>
      <c r="H66" s="185">
        <f>VLOOKUP(D66,upahbahan,3,FALSE)</f>
        <v>1530</v>
      </c>
      <c r="I66" s="317">
        <f>G66*H66</f>
        <v>9700.1999999999989</v>
      </c>
      <c r="J66" s="119"/>
      <c r="K66" s="119"/>
      <c r="L66" s="119"/>
    </row>
    <row r="67" spans="3:16" s="59" customFormat="1" ht="20.399999999999999" customHeight="1">
      <c r="C67" s="377">
        <v>2</v>
      </c>
      <c r="D67" s="109" t="s">
        <v>1840</v>
      </c>
      <c r="E67" s="109"/>
      <c r="F67" s="108" t="s">
        <v>42</v>
      </c>
      <c r="G67" s="340">
        <v>1.2E-2</v>
      </c>
      <c r="H67" s="185">
        <f>VLOOKUP(D67,upahbahan,3,FALSE)</f>
        <v>0</v>
      </c>
      <c r="I67" s="317">
        <f>G67*H67</f>
        <v>0</v>
      </c>
      <c r="J67" s="119"/>
      <c r="K67" s="119"/>
      <c r="L67" s="119"/>
    </row>
    <row r="68" spans="3:16" s="59" customFormat="1" ht="20.399999999999999" customHeight="1">
      <c r="C68" s="157" t="s">
        <v>1214</v>
      </c>
      <c r="D68" s="158"/>
      <c r="E68" s="158"/>
      <c r="F68" s="158"/>
      <c r="G68" s="158"/>
      <c r="H68" s="159"/>
      <c r="I68" s="317">
        <f>SUM(I66:I67)</f>
        <v>9700.1999999999989</v>
      </c>
      <c r="J68" s="119"/>
      <c r="K68" s="119"/>
      <c r="L68" s="119"/>
    </row>
    <row r="69" spans="3:16" s="59" customFormat="1" ht="20.399999999999999" customHeight="1">
      <c r="C69" s="316" t="s">
        <v>1215</v>
      </c>
      <c r="D69" s="109" t="s">
        <v>1216</v>
      </c>
      <c r="E69" s="109"/>
      <c r="F69" s="109"/>
      <c r="G69" s="109"/>
      <c r="H69" s="109"/>
      <c r="I69" s="376"/>
      <c r="J69" s="119"/>
      <c r="K69" s="119"/>
      <c r="L69" s="119"/>
    </row>
    <row r="70" spans="3:16" s="59" customFormat="1" ht="20.399999999999999" customHeight="1">
      <c r="C70" s="66" t="s">
        <v>1217</v>
      </c>
      <c r="D70" s="67"/>
      <c r="E70" s="67"/>
      <c r="F70" s="67"/>
      <c r="G70" s="67"/>
      <c r="H70" s="69"/>
      <c r="I70" s="292">
        <f>SUM(I69:I69)</f>
        <v>0</v>
      </c>
      <c r="J70" s="119"/>
      <c r="K70" s="119"/>
      <c r="L70" s="119"/>
    </row>
    <row r="71" spans="3:16" s="59" customFormat="1" ht="20.399999999999999" customHeight="1">
      <c r="C71" s="293" t="s">
        <v>1218</v>
      </c>
      <c r="D71" s="294" t="s">
        <v>1219</v>
      </c>
      <c r="E71" s="295"/>
      <c r="F71" s="295"/>
      <c r="G71" s="295"/>
      <c r="H71" s="296"/>
      <c r="I71" s="284">
        <f>I70+I68+I64</f>
        <v>64600.2</v>
      </c>
      <c r="J71" s="119"/>
      <c r="K71" s="119"/>
      <c r="L71" s="119"/>
    </row>
    <row r="72" spans="3:16" s="59" customFormat="1" ht="20.399999999999999" customHeight="1">
      <c r="C72" s="293" t="s">
        <v>1220</v>
      </c>
      <c r="D72" s="294" t="s">
        <v>1321</v>
      </c>
      <c r="E72" s="295"/>
      <c r="F72" s="295"/>
      <c r="G72" s="296"/>
      <c r="H72" s="298">
        <v>0.1</v>
      </c>
      <c r="I72" s="284">
        <f>I71*H72</f>
        <v>6460.02</v>
      </c>
      <c r="J72" s="119"/>
      <c r="K72" s="119"/>
      <c r="L72" s="119"/>
    </row>
    <row r="73" spans="3:16" s="59" customFormat="1" ht="20.399999999999999" customHeight="1" thickBot="1">
      <c r="C73" s="299" t="s">
        <v>1221</v>
      </c>
      <c r="D73" s="300" t="s">
        <v>1222</v>
      </c>
      <c r="E73" s="301"/>
      <c r="F73" s="301"/>
      <c r="G73" s="301"/>
      <c r="H73" s="302"/>
      <c r="I73" s="303">
        <f>SUM(I71:I72)</f>
        <v>71060.22</v>
      </c>
      <c r="J73" s="119"/>
      <c r="K73" s="119"/>
      <c r="L73" s="119"/>
    </row>
    <row r="74" spans="3:16" s="59" customFormat="1" ht="20.399999999999999" customHeight="1" thickTop="1">
      <c r="C74" s="304"/>
      <c r="D74" s="304"/>
      <c r="E74" s="304"/>
      <c r="F74" s="304"/>
      <c r="G74" s="304"/>
      <c r="H74" s="304"/>
      <c r="I74" s="305"/>
      <c r="J74" s="119"/>
      <c r="K74" s="119"/>
      <c r="L74" s="119"/>
    </row>
    <row r="76" spans="3:16" s="59" customFormat="1" ht="31.65" customHeight="1" thickBot="1">
      <c r="C76" s="170" t="s">
        <v>2560</v>
      </c>
      <c r="D76" s="1876" t="s">
        <v>2561</v>
      </c>
      <c r="E76" s="1876"/>
      <c r="F76" s="1876"/>
      <c r="G76" s="1876"/>
      <c r="H76" s="1876"/>
      <c r="I76" s="1876"/>
      <c r="J76" s="120">
        <f>ROUNDDOWN(I92,-2)</f>
        <v>141600</v>
      </c>
      <c r="K76" s="120"/>
      <c r="L76" s="120"/>
    </row>
    <row r="77" spans="3:16" s="59" customFormat="1" ht="28.2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  <c r="J77" s="119"/>
      <c r="K77" s="119"/>
      <c r="L77" s="119"/>
    </row>
    <row r="78" spans="3:16" s="59" customFormat="1" ht="22.8" customHeight="1">
      <c r="C78" s="290" t="s">
        <v>1201</v>
      </c>
      <c r="D78" s="182" t="s">
        <v>1202</v>
      </c>
      <c r="E78" s="182"/>
      <c r="F78" s="70"/>
      <c r="G78" s="70"/>
      <c r="H78" s="70"/>
      <c r="I78" s="71"/>
      <c r="J78" s="119"/>
      <c r="K78" s="119"/>
      <c r="L78" s="119"/>
      <c r="M78" s="374" t="s">
        <v>1247</v>
      </c>
    </row>
    <row r="79" spans="3:16" s="59" customFormat="1" ht="22.8" customHeight="1">
      <c r="C79" s="281">
        <v>1</v>
      </c>
      <c r="D79" s="182" t="s">
        <v>5</v>
      </c>
      <c r="E79" s="176" t="s">
        <v>1774</v>
      </c>
      <c r="F79" s="176" t="s">
        <v>6</v>
      </c>
      <c r="G79" s="315">
        <v>0.61570000000000003</v>
      </c>
      <c r="H79" s="283">
        <f>VLOOKUP(D79,upahbahan,3,FALSE)</f>
        <v>100000</v>
      </c>
      <c r="I79" s="284">
        <f>G79*H79</f>
        <v>61570</v>
      </c>
      <c r="J79" s="119"/>
      <c r="K79" s="119"/>
      <c r="L79" s="119"/>
      <c r="M79" s="374" t="s">
        <v>1248</v>
      </c>
      <c r="P79" s="65">
        <v>0.1</v>
      </c>
    </row>
    <row r="80" spans="3:16" s="59" customFormat="1" ht="22.8" customHeight="1">
      <c r="C80" s="281">
        <v>2</v>
      </c>
      <c r="D80" s="182" t="s">
        <v>1783</v>
      </c>
      <c r="E80" s="176" t="s">
        <v>1775</v>
      </c>
      <c r="F80" s="176" t="s">
        <v>2102</v>
      </c>
      <c r="G80" s="315">
        <v>0.3957</v>
      </c>
      <c r="H80" s="283">
        <f>VLOOKUP(D80,upahbahan,3,FALSE)</f>
        <v>145000</v>
      </c>
      <c r="I80" s="284">
        <f>G80*H80</f>
        <v>57376.5</v>
      </c>
      <c r="J80" s="119"/>
      <c r="K80" s="119"/>
      <c r="L80" s="119"/>
      <c r="M80" s="374"/>
      <c r="P80" s="65"/>
    </row>
    <row r="81" spans="3:12" s="59" customFormat="1" ht="22.8" customHeight="1">
      <c r="C81" s="281">
        <v>3</v>
      </c>
      <c r="D81" s="182" t="s">
        <v>19</v>
      </c>
      <c r="E81" s="176" t="s">
        <v>1777</v>
      </c>
      <c r="F81" s="176" t="s">
        <v>6</v>
      </c>
      <c r="G81" s="315">
        <v>6.1600000000000002E-2</v>
      </c>
      <c r="H81" s="283">
        <f>VLOOKUP(D81,upahbahan,3,FALSE)</f>
        <v>160000</v>
      </c>
      <c r="I81" s="284">
        <f>G81*H81</f>
        <v>9856</v>
      </c>
      <c r="J81" s="119"/>
      <c r="K81" s="119"/>
      <c r="L81" s="119"/>
    </row>
    <row r="82" spans="3:12" s="59" customFormat="1" ht="22.8" customHeight="1">
      <c r="C82" s="66" t="s">
        <v>1208</v>
      </c>
      <c r="D82" s="67"/>
      <c r="E82" s="67"/>
      <c r="F82" s="67"/>
      <c r="G82" s="142"/>
      <c r="H82" s="153"/>
      <c r="I82" s="284">
        <f>SUM(I79:I81)</f>
        <v>128802.5</v>
      </c>
      <c r="J82" s="319"/>
      <c r="K82" s="319"/>
      <c r="L82" s="319"/>
    </row>
    <row r="83" spans="3:12" s="59" customFormat="1" ht="22.8" customHeight="1">
      <c r="C83" s="290" t="s">
        <v>1209</v>
      </c>
      <c r="D83" s="182" t="s">
        <v>1210</v>
      </c>
      <c r="E83" s="182"/>
      <c r="F83" s="70"/>
      <c r="G83" s="70"/>
      <c r="H83" s="70"/>
      <c r="I83" s="71"/>
      <c r="J83" s="119"/>
      <c r="K83" s="119"/>
      <c r="L83" s="119"/>
    </row>
    <row r="84" spans="3:12" s="59" customFormat="1" ht="22.8" customHeight="1">
      <c r="C84" s="375">
        <v>1</v>
      </c>
      <c r="D84" s="109" t="s">
        <v>5263</v>
      </c>
      <c r="E84" s="109"/>
      <c r="F84" s="108" t="s">
        <v>42</v>
      </c>
      <c r="G84" s="340">
        <v>1.3</v>
      </c>
      <c r="H84" s="185">
        <f>VLOOKUP(D84,upahbahan,3,FALSE)</f>
        <v>0</v>
      </c>
      <c r="I84" s="317">
        <f>G84*H84</f>
        <v>0</v>
      </c>
      <c r="J84" s="119"/>
      <c r="K84" s="119"/>
      <c r="L84" s="119"/>
    </row>
    <row r="85" spans="3:12" s="59" customFormat="1" ht="22.8" customHeight="1">
      <c r="C85" s="377">
        <v>2</v>
      </c>
      <c r="D85" s="109" t="s">
        <v>241</v>
      </c>
      <c r="E85" s="109"/>
      <c r="F85" s="108" t="s">
        <v>65</v>
      </c>
      <c r="G85" s="340">
        <v>13.85</v>
      </c>
      <c r="H85" s="185">
        <f>VLOOKUP(D85,upahbahan,3,FALSE)</f>
        <v>0</v>
      </c>
      <c r="I85" s="317">
        <f>G85*H85</f>
        <v>0</v>
      </c>
      <c r="J85" s="119"/>
      <c r="K85" s="119"/>
      <c r="L85" s="119"/>
    </row>
    <row r="86" spans="3:12" s="59" customFormat="1" ht="22.8" customHeight="1">
      <c r="C86" s="377">
        <v>3</v>
      </c>
      <c r="D86" s="109" t="s">
        <v>1840</v>
      </c>
      <c r="E86" s="109"/>
      <c r="F86" s="108" t="s">
        <v>42</v>
      </c>
      <c r="G86" s="340">
        <v>0.432</v>
      </c>
      <c r="H86" s="185">
        <f>VLOOKUP(D86,upahbahan,3,FALSE)</f>
        <v>0</v>
      </c>
      <c r="I86" s="317">
        <f>G86*H86</f>
        <v>0</v>
      </c>
      <c r="J86" s="119"/>
      <c r="K86" s="119"/>
      <c r="L86" s="119"/>
    </row>
    <row r="87" spans="3:12" s="59" customFormat="1" ht="22.8" customHeight="1">
      <c r="C87" s="157" t="s">
        <v>1214</v>
      </c>
      <c r="D87" s="158"/>
      <c r="E87" s="158"/>
      <c r="F87" s="158"/>
      <c r="G87" s="158"/>
      <c r="H87" s="159"/>
      <c r="I87" s="317">
        <f>SUM(I84:I86)</f>
        <v>0</v>
      </c>
      <c r="J87" s="119"/>
      <c r="K87" s="119"/>
      <c r="L87" s="119"/>
    </row>
    <row r="88" spans="3:12" s="59" customFormat="1" ht="22.8" customHeight="1">
      <c r="C88" s="316" t="s">
        <v>1215</v>
      </c>
      <c r="D88" s="109" t="s">
        <v>1216</v>
      </c>
      <c r="E88" s="109"/>
      <c r="F88" s="109"/>
      <c r="G88" s="109"/>
      <c r="H88" s="109"/>
      <c r="I88" s="376"/>
      <c r="J88" s="119"/>
      <c r="K88" s="119"/>
      <c r="L88" s="119"/>
    </row>
    <row r="89" spans="3:12" s="59" customFormat="1" ht="22.8" customHeight="1">
      <c r="C89" s="66" t="s">
        <v>1217</v>
      </c>
      <c r="D89" s="67"/>
      <c r="E89" s="67"/>
      <c r="F89" s="67"/>
      <c r="G89" s="67"/>
      <c r="H89" s="69"/>
      <c r="I89" s="292">
        <f>SUM(I88:I88)</f>
        <v>0</v>
      </c>
      <c r="J89" s="119"/>
      <c r="K89" s="119"/>
      <c r="L89" s="119"/>
    </row>
    <row r="90" spans="3:12" s="59" customFormat="1" ht="22.8" customHeight="1">
      <c r="C90" s="293" t="s">
        <v>1218</v>
      </c>
      <c r="D90" s="294" t="s">
        <v>1219</v>
      </c>
      <c r="E90" s="295"/>
      <c r="F90" s="295"/>
      <c r="G90" s="295"/>
      <c r="H90" s="296"/>
      <c r="I90" s="284">
        <f>I89+I87+I82</f>
        <v>128802.5</v>
      </c>
      <c r="J90" s="119"/>
      <c r="K90" s="119"/>
      <c r="L90" s="119"/>
    </row>
    <row r="91" spans="3:12" s="59" customFormat="1" ht="22.8" customHeight="1">
      <c r="C91" s="293" t="s">
        <v>1220</v>
      </c>
      <c r="D91" s="294" t="s">
        <v>1321</v>
      </c>
      <c r="E91" s="295"/>
      <c r="F91" s="295"/>
      <c r="G91" s="296"/>
      <c r="H91" s="298">
        <v>0.1</v>
      </c>
      <c r="I91" s="284">
        <f>I90*H91</f>
        <v>12880.25</v>
      </c>
      <c r="J91" s="119"/>
      <c r="K91" s="119"/>
      <c r="L91" s="119"/>
    </row>
    <row r="92" spans="3:12" s="59" customFormat="1" ht="22.8" customHeight="1" thickBot="1">
      <c r="C92" s="299" t="s">
        <v>1221</v>
      </c>
      <c r="D92" s="300" t="s">
        <v>1222</v>
      </c>
      <c r="E92" s="301"/>
      <c r="F92" s="301"/>
      <c r="G92" s="301"/>
      <c r="H92" s="302"/>
      <c r="I92" s="303">
        <f>SUM(I90:I91)</f>
        <v>141682.75</v>
      </c>
      <c r="J92" s="119"/>
      <c r="K92" s="119"/>
      <c r="L92" s="119"/>
    </row>
    <row r="93" spans="3:12" s="59" customFormat="1" ht="14.4" thickTop="1">
      <c r="C93" s="378" t="s">
        <v>1827</v>
      </c>
      <c r="D93" s="326" t="s">
        <v>2562</v>
      </c>
      <c r="E93" s="326"/>
      <c r="F93" s="326"/>
      <c r="G93" s="326"/>
      <c r="H93" s="326"/>
      <c r="I93" s="305"/>
      <c r="J93" s="119"/>
      <c r="K93" s="119"/>
      <c r="L93" s="119"/>
    </row>
    <row r="95" spans="3:12" s="59" customFormat="1" ht="31.65" customHeight="1" thickBot="1">
      <c r="C95" s="170" t="s">
        <v>2563</v>
      </c>
      <c r="D95" s="1876" t="s">
        <v>2564</v>
      </c>
      <c r="E95" s="1876"/>
      <c r="F95" s="1876"/>
      <c r="G95" s="1876"/>
      <c r="H95" s="1876"/>
      <c r="I95" s="1876"/>
      <c r="J95" s="120">
        <f>ROUNDDOWN(I110,-2)</f>
        <v>141600</v>
      </c>
      <c r="K95" s="120"/>
      <c r="L95" s="120"/>
    </row>
    <row r="96" spans="3:12" s="59" customFormat="1" ht="28.2" thickTop="1">
      <c r="C96" s="51" t="s">
        <v>1195</v>
      </c>
      <c r="D96" s="52" t="s">
        <v>1196</v>
      </c>
      <c r="E96" s="52" t="s">
        <v>1906</v>
      </c>
      <c r="F96" s="52" t="s">
        <v>1197</v>
      </c>
      <c r="G96" s="52" t="s">
        <v>1198</v>
      </c>
      <c r="H96" s="52" t="s">
        <v>1199</v>
      </c>
      <c r="I96" s="53" t="s">
        <v>1200</v>
      </c>
      <c r="J96" s="119"/>
      <c r="K96" s="119"/>
      <c r="L96" s="119"/>
    </row>
    <row r="97" spans="3:16" s="59" customFormat="1" ht="20.399999999999999" customHeight="1">
      <c r="C97" s="290" t="s">
        <v>1201</v>
      </c>
      <c r="D97" s="182" t="s">
        <v>1202</v>
      </c>
      <c r="E97" s="182"/>
      <c r="F97" s="70"/>
      <c r="G97" s="70"/>
      <c r="H97" s="70"/>
      <c r="I97" s="71"/>
      <c r="J97" s="119"/>
      <c r="K97" s="119"/>
      <c r="L97" s="119"/>
      <c r="M97" s="374" t="s">
        <v>1247</v>
      </c>
    </row>
    <row r="98" spans="3:16" s="59" customFormat="1" ht="20.399999999999999" customHeight="1">
      <c r="C98" s="281">
        <v>1</v>
      </c>
      <c r="D98" s="182" t="s">
        <v>5</v>
      </c>
      <c r="E98" s="176" t="s">
        <v>1774</v>
      </c>
      <c r="F98" s="176" t="s">
        <v>6</v>
      </c>
      <c r="G98" s="315">
        <v>0.61570000000000003</v>
      </c>
      <c r="H98" s="283">
        <f>VLOOKUP(D98,upahbahan,3,FALSE)</f>
        <v>100000</v>
      </c>
      <c r="I98" s="284">
        <f>G98*H98</f>
        <v>61570</v>
      </c>
      <c r="J98" s="119"/>
      <c r="K98" s="119"/>
      <c r="L98" s="119"/>
      <c r="M98" s="374" t="s">
        <v>1248</v>
      </c>
      <c r="P98" s="65">
        <v>0.1</v>
      </c>
    </row>
    <row r="99" spans="3:16" s="59" customFormat="1" ht="20.399999999999999" customHeight="1">
      <c r="C99" s="281">
        <v>2</v>
      </c>
      <c r="D99" s="182" t="s">
        <v>1783</v>
      </c>
      <c r="E99" s="176" t="s">
        <v>1775</v>
      </c>
      <c r="F99" s="176" t="s">
        <v>2102</v>
      </c>
      <c r="G99" s="315">
        <v>0.3957</v>
      </c>
      <c r="H99" s="283">
        <f>VLOOKUP(D99,upahbahan,3,FALSE)</f>
        <v>145000</v>
      </c>
      <c r="I99" s="284">
        <f>G99*H99</f>
        <v>57376.5</v>
      </c>
      <c r="J99" s="119"/>
      <c r="K99" s="119"/>
      <c r="L99" s="119"/>
      <c r="M99" s="374"/>
      <c r="P99" s="65"/>
    </row>
    <row r="100" spans="3:16" s="59" customFormat="1" ht="20.399999999999999" customHeight="1">
      <c r="C100" s="281">
        <v>3</v>
      </c>
      <c r="D100" s="182" t="s">
        <v>19</v>
      </c>
      <c r="E100" s="176" t="s">
        <v>1777</v>
      </c>
      <c r="F100" s="176" t="s">
        <v>6</v>
      </c>
      <c r="G100" s="315">
        <v>6.1600000000000002E-2</v>
      </c>
      <c r="H100" s="283">
        <f>VLOOKUP(D100,upahbahan,3,FALSE)</f>
        <v>160000</v>
      </c>
      <c r="I100" s="284">
        <f>G100*H100</f>
        <v>9856</v>
      </c>
      <c r="J100" s="119"/>
      <c r="K100" s="119"/>
      <c r="L100" s="119"/>
    </row>
    <row r="101" spans="3:16" s="59" customFormat="1" ht="20.399999999999999" customHeight="1">
      <c r="C101" s="66" t="s">
        <v>1208</v>
      </c>
      <c r="D101" s="67"/>
      <c r="E101" s="67"/>
      <c r="F101" s="67"/>
      <c r="G101" s="142"/>
      <c r="H101" s="153"/>
      <c r="I101" s="284">
        <f>SUM(I98:I100)</f>
        <v>128802.5</v>
      </c>
      <c r="J101" s="319"/>
      <c r="K101" s="319"/>
      <c r="L101" s="319"/>
    </row>
    <row r="102" spans="3:16" s="59" customFormat="1" ht="20.399999999999999" customHeight="1">
      <c r="C102" s="290" t="s">
        <v>1209</v>
      </c>
      <c r="D102" s="182" t="s">
        <v>1210</v>
      </c>
      <c r="E102" s="182"/>
      <c r="F102" s="70"/>
      <c r="G102" s="70"/>
      <c r="H102" s="70"/>
      <c r="I102" s="71"/>
      <c r="J102" s="119"/>
      <c r="K102" s="119"/>
      <c r="L102" s="119"/>
    </row>
    <row r="103" spans="3:16" s="59" customFormat="1" ht="20.399999999999999" customHeight="1">
      <c r="C103" s="375">
        <v>1</v>
      </c>
      <c r="D103" s="109" t="s">
        <v>5263</v>
      </c>
      <c r="E103" s="109"/>
      <c r="F103" s="108" t="s">
        <v>42</v>
      </c>
      <c r="G103" s="340">
        <v>1.3</v>
      </c>
      <c r="H103" s="185">
        <f>VLOOKUP(D103,upahbahan,3,FALSE)</f>
        <v>0</v>
      </c>
      <c r="I103" s="317">
        <f>G103*H103</f>
        <v>0</v>
      </c>
      <c r="J103" s="119"/>
      <c r="K103" s="119"/>
      <c r="L103" s="119"/>
    </row>
    <row r="104" spans="3:16" s="59" customFormat="1" ht="20.399999999999999" customHeight="1">
      <c r="C104" s="377">
        <v>2</v>
      </c>
      <c r="D104" s="109" t="s">
        <v>241</v>
      </c>
      <c r="E104" s="109"/>
      <c r="F104" s="108" t="s">
        <v>65</v>
      </c>
      <c r="G104" s="340">
        <v>13.85</v>
      </c>
      <c r="H104" s="185">
        <f>VLOOKUP(D104,upahbahan,3,FALSE)</f>
        <v>0</v>
      </c>
      <c r="I104" s="317">
        <f>G104*H104</f>
        <v>0</v>
      </c>
      <c r="J104" s="119"/>
      <c r="K104" s="119"/>
      <c r="L104" s="119"/>
    </row>
    <row r="105" spans="3:16" s="59" customFormat="1" ht="20.399999999999999" customHeight="1">
      <c r="C105" s="157" t="s">
        <v>1214</v>
      </c>
      <c r="D105" s="158"/>
      <c r="E105" s="158"/>
      <c r="F105" s="158"/>
      <c r="G105" s="158"/>
      <c r="H105" s="159"/>
      <c r="I105" s="317">
        <f>SUM(I103:I104)</f>
        <v>0</v>
      </c>
      <c r="J105" s="119"/>
      <c r="K105" s="119"/>
      <c r="L105" s="119"/>
    </row>
    <row r="106" spans="3:16" s="59" customFormat="1" ht="20.399999999999999" customHeight="1">
      <c r="C106" s="316" t="s">
        <v>1215</v>
      </c>
      <c r="D106" s="109" t="s">
        <v>1216</v>
      </c>
      <c r="E106" s="109"/>
      <c r="F106" s="109"/>
      <c r="G106" s="109"/>
      <c r="H106" s="109"/>
      <c r="I106" s="376"/>
      <c r="J106" s="119"/>
      <c r="K106" s="119"/>
      <c r="L106" s="119"/>
    </row>
    <row r="107" spans="3:16" s="59" customFormat="1" ht="20.399999999999999" customHeight="1">
      <c r="C107" s="66" t="s">
        <v>1217</v>
      </c>
      <c r="D107" s="67"/>
      <c r="E107" s="67"/>
      <c r="F107" s="67"/>
      <c r="G107" s="67"/>
      <c r="H107" s="69"/>
      <c r="I107" s="292">
        <f>SUM(I106:I106)</f>
        <v>0</v>
      </c>
      <c r="J107" s="119"/>
      <c r="K107" s="119"/>
      <c r="L107" s="119"/>
    </row>
    <row r="108" spans="3:16" s="59" customFormat="1" ht="20.399999999999999" customHeight="1">
      <c r="C108" s="293" t="s">
        <v>1218</v>
      </c>
      <c r="D108" s="294" t="s">
        <v>1219</v>
      </c>
      <c r="E108" s="295"/>
      <c r="F108" s="295"/>
      <c r="G108" s="295"/>
      <c r="H108" s="296"/>
      <c r="I108" s="284">
        <f>I107+I105+I101</f>
        <v>128802.5</v>
      </c>
      <c r="J108" s="119"/>
      <c r="K108" s="119"/>
      <c r="L108" s="119"/>
    </row>
    <row r="109" spans="3:16" s="59" customFormat="1" ht="20.399999999999999" customHeight="1">
      <c r="C109" s="293" t="s">
        <v>1220</v>
      </c>
      <c r="D109" s="294" t="s">
        <v>1321</v>
      </c>
      <c r="E109" s="295"/>
      <c r="F109" s="295"/>
      <c r="G109" s="296"/>
      <c r="H109" s="298">
        <v>0.1</v>
      </c>
      <c r="I109" s="284">
        <f>I108*H109</f>
        <v>12880.25</v>
      </c>
      <c r="J109" s="119"/>
      <c r="K109" s="119"/>
      <c r="L109" s="119"/>
    </row>
    <row r="110" spans="3:16" s="59" customFormat="1" ht="20.399999999999999" customHeight="1" thickBot="1">
      <c r="C110" s="299" t="s">
        <v>1221</v>
      </c>
      <c r="D110" s="300" t="s">
        <v>1222</v>
      </c>
      <c r="E110" s="301"/>
      <c r="F110" s="301"/>
      <c r="G110" s="301"/>
      <c r="H110" s="302"/>
      <c r="I110" s="303">
        <f>SUM(I108:I109)</f>
        <v>141682.75</v>
      </c>
      <c r="J110" s="119"/>
      <c r="K110" s="119"/>
      <c r="L110" s="119"/>
    </row>
    <row r="111" spans="3:16" ht="13.8" thickTop="1"/>
    <row r="113" spans="3:16" s="59" customFormat="1" ht="31.65" customHeight="1" thickBot="1">
      <c r="C113" s="170" t="s">
        <v>2567</v>
      </c>
      <c r="D113" s="1876" t="s">
        <v>2565</v>
      </c>
      <c r="E113" s="1876"/>
      <c r="F113" s="1876"/>
      <c r="G113" s="1876"/>
      <c r="H113" s="1876"/>
      <c r="I113" s="1876"/>
      <c r="J113" s="120">
        <f>ROUNDDOWN(I129,-2)</f>
        <v>213400</v>
      </c>
      <c r="K113" s="120"/>
      <c r="L113" s="120"/>
    </row>
    <row r="114" spans="3:16" s="59" customFormat="1" ht="28.2" thickTop="1">
      <c r="C114" s="51" t="s">
        <v>1195</v>
      </c>
      <c r="D114" s="52" t="s">
        <v>1196</v>
      </c>
      <c r="E114" s="52" t="s">
        <v>1906</v>
      </c>
      <c r="F114" s="52" t="s">
        <v>1197</v>
      </c>
      <c r="G114" s="52" t="s">
        <v>1198</v>
      </c>
      <c r="H114" s="52" t="s">
        <v>1199</v>
      </c>
      <c r="I114" s="53" t="s">
        <v>1200</v>
      </c>
      <c r="J114" s="119"/>
      <c r="K114" s="119"/>
      <c r="L114" s="119"/>
    </row>
    <row r="115" spans="3:16" s="59" customFormat="1" ht="20.399999999999999" customHeight="1">
      <c r="C115" s="290" t="s">
        <v>1201</v>
      </c>
      <c r="D115" s="182" t="s">
        <v>1202</v>
      </c>
      <c r="E115" s="182"/>
      <c r="F115" s="70"/>
      <c r="G115" s="70"/>
      <c r="H115" s="70"/>
      <c r="I115" s="71"/>
      <c r="J115" s="119"/>
      <c r="K115" s="119"/>
      <c r="L115" s="119"/>
      <c r="M115" s="374" t="s">
        <v>1247</v>
      </c>
    </row>
    <row r="116" spans="3:16" s="59" customFormat="1" ht="20.399999999999999" customHeight="1">
      <c r="C116" s="281">
        <v>1</v>
      </c>
      <c r="D116" s="182" t="s">
        <v>5</v>
      </c>
      <c r="E116" s="176" t="s">
        <v>1774</v>
      </c>
      <c r="F116" s="176" t="s">
        <v>6</v>
      </c>
      <c r="G116" s="315">
        <v>0.95740000000000003</v>
      </c>
      <c r="H116" s="283">
        <f>VLOOKUP(D116,upahbahan,3,FALSE)</f>
        <v>100000</v>
      </c>
      <c r="I116" s="284">
        <f>G116*H116</f>
        <v>95740</v>
      </c>
      <c r="J116" s="119"/>
      <c r="K116" s="119"/>
      <c r="L116" s="119"/>
      <c r="M116" s="374" t="s">
        <v>1248</v>
      </c>
      <c r="P116" s="65">
        <v>0.1</v>
      </c>
    </row>
    <row r="117" spans="3:16" s="59" customFormat="1" ht="20.399999999999999" customHeight="1">
      <c r="C117" s="281">
        <v>2</v>
      </c>
      <c r="D117" s="182" t="s">
        <v>1783</v>
      </c>
      <c r="E117" s="176" t="s">
        <v>1775</v>
      </c>
      <c r="F117" s="176" t="s">
        <v>2102</v>
      </c>
      <c r="G117" s="315">
        <v>0.50960000000000005</v>
      </c>
      <c r="H117" s="283">
        <f>VLOOKUP(D117,upahbahan,3,FALSE)</f>
        <v>145000</v>
      </c>
      <c r="I117" s="284">
        <f>G117*H117</f>
        <v>73892.000000000015</v>
      </c>
      <c r="J117" s="119"/>
      <c r="K117" s="119"/>
      <c r="L117" s="119"/>
      <c r="M117" s="374"/>
      <c r="P117" s="65"/>
    </row>
    <row r="118" spans="3:16" s="59" customFormat="1" ht="20.399999999999999" customHeight="1">
      <c r="C118" s="281">
        <v>3</v>
      </c>
      <c r="D118" s="182" t="s">
        <v>19</v>
      </c>
      <c r="E118" s="176" t="s">
        <v>1777</v>
      </c>
      <c r="F118" s="176" t="s">
        <v>6</v>
      </c>
      <c r="G118" s="315">
        <v>0.15279999999999999</v>
      </c>
      <c r="H118" s="283">
        <f>VLOOKUP(D118,upahbahan,3,FALSE)</f>
        <v>160000</v>
      </c>
      <c r="I118" s="284">
        <f>G118*H118</f>
        <v>24448</v>
      </c>
      <c r="J118" s="119"/>
      <c r="K118" s="119"/>
      <c r="L118" s="119"/>
    </row>
    <row r="119" spans="3:16" s="59" customFormat="1" ht="20.399999999999999" customHeight="1">
      <c r="C119" s="66" t="s">
        <v>1208</v>
      </c>
      <c r="D119" s="67"/>
      <c r="E119" s="67"/>
      <c r="F119" s="67"/>
      <c r="G119" s="142"/>
      <c r="H119" s="153"/>
      <c r="I119" s="284">
        <f>SUM(I116:I118)</f>
        <v>194080</v>
      </c>
      <c r="J119" s="319"/>
      <c r="K119" s="319"/>
      <c r="L119" s="319"/>
    </row>
    <row r="120" spans="3:16" s="59" customFormat="1" ht="20.399999999999999" customHeight="1">
      <c r="C120" s="290" t="s">
        <v>1209</v>
      </c>
      <c r="D120" s="182" t="s">
        <v>1210</v>
      </c>
      <c r="E120" s="182"/>
      <c r="F120" s="70"/>
      <c r="G120" s="70"/>
      <c r="H120" s="70"/>
      <c r="I120" s="71"/>
      <c r="J120" s="119"/>
      <c r="K120" s="119"/>
      <c r="L120" s="119"/>
    </row>
    <row r="121" spans="3:16" s="59" customFormat="1" ht="20.399999999999999" customHeight="1">
      <c r="C121" s="375">
        <v>1</v>
      </c>
      <c r="D121" s="109" t="s">
        <v>5263</v>
      </c>
      <c r="E121" s="109"/>
      <c r="F121" s="108" t="s">
        <v>42</v>
      </c>
      <c r="G121" s="340">
        <v>1.3</v>
      </c>
      <c r="H121" s="185">
        <f>VLOOKUP(D121,upahbahan,3,FALSE)</f>
        <v>0</v>
      </c>
      <c r="I121" s="317">
        <f>G121*H121</f>
        <v>0</v>
      </c>
      <c r="J121" s="119"/>
      <c r="K121" s="119"/>
      <c r="L121" s="119"/>
    </row>
    <row r="122" spans="3:16" s="59" customFormat="1" ht="20.399999999999999" customHeight="1">
      <c r="C122" s="377">
        <v>2</v>
      </c>
      <c r="D122" s="109" t="s">
        <v>241</v>
      </c>
      <c r="E122" s="109"/>
      <c r="F122" s="108" t="s">
        <v>65</v>
      </c>
      <c r="G122" s="340">
        <v>13.85</v>
      </c>
      <c r="H122" s="185">
        <f>VLOOKUP(D122,upahbahan,3,FALSE)</f>
        <v>0</v>
      </c>
      <c r="I122" s="317">
        <f>G122*H122</f>
        <v>0</v>
      </c>
      <c r="J122" s="119"/>
      <c r="K122" s="119"/>
      <c r="L122" s="119"/>
    </row>
    <row r="123" spans="3:16" s="59" customFormat="1" ht="20.399999999999999" customHeight="1">
      <c r="C123" s="377">
        <v>3</v>
      </c>
      <c r="D123" s="363" t="s">
        <v>1840</v>
      </c>
      <c r="E123" s="363"/>
      <c r="F123" s="364" t="s">
        <v>42</v>
      </c>
      <c r="G123" s="379">
        <v>0.432</v>
      </c>
      <c r="H123" s="185">
        <f>VLOOKUP(D123,upahbahan,3,FALSE)</f>
        <v>0</v>
      </c>
      <c r="I123" s="317">
        <f>G123*H123</f>
        <v>0</v>
      </c>
      <c r="J123" s="119"/>
      <c r="K123" s="119"/>
      <c r="L123" s="119"/>
    </row>
    <row r="124" spans="3:16" s="59" customFormat="1" ht="20.399999999999999" customHeight="1">
      <c r="C124" s="157" t="s">
        <v>1214</v>
      </c>
      <c r="D124" s="372"/>
      <c r="E124" s="372"/>
      <c r="F124" s="372"/>
      <c r="G124" s="372"/>
      <c r="H124" s="373"/>
      <c r="I124" s="317">
        <f>SUM(I121:I123)</f>
        <v>0</v>
      </c>
      <c r="J124" s="119"/>
      <c r="K124" s="119"/>
      <c r="L124" s="119"/>
    </row>
    <row r="125" spans="3:16" s="59" customFormat="1" ht="20.399999999999999" customHeight="1">
      <c r="C125" s="316" t="s">
        <v>1215</v>
      </c>
      <c r="D125" s="109" t="s">
        <v>1216</v>
      </c>
      <c r="E125" s="109"/>
      <c r="F125" s="109"/>
      <c r="G125" s="109"/>
      <c r="H125" s="109"/>
      <c r="I125" s="376"/>
      <c r="J125" s="119"/>
      <c r="K125" s="119"/>
      <c r="L125" s="119"/>
    </row>
    <row r="126" spans="3:16" s="59" customFormat="1" ht="20.399999999999999" customHeight="1">
      <c r="C126" s="66" t="s">
        <v>1217</v>
      </c>
      <c r="D126" s="67"/>
      <c r="E126" s="67"/>
      <c r="F126" s="67"/>
      <c r="G126" s="67"/>
      <c r="H126" s="69"/>
      <c r="I126" s="292">
        <f>SUM(I125:I125)</f>
        <v>0</v>
      </c>
      <c r="J126" s="119"/>
      <c r="K126" s="119"/>
      <c r="L126" s="119"/>
    </row>
    <row r="127" spans="3:16" s="59" customFormat="1" ht="20.399999999999999" customHeight="1">
      <c r="C127" s="293" t="s">
        <v>1218</v>
      </c>
      <c r="D127" s="294" t="s">
        <v>1219</v>
      </c>
      <c r="E127" s="295"/>
      <c r="F127" s="295"/>
      <c r="G127" s="295"/>
      <c r="H127" s="296"/>
      <c r="I127" s="284">
        <f>I126+I124+I119</f>
        <v>194080</v>
      </c>
      <c r="J127" s="119"/>
      <c r="K127" s="119"/>
      <c r="L127" s="119"/>
    </row>
    <row r="128" spans="3:16" s="59" customFormat="1" ht="20.399999999999999" customHeight="1">
      <c r="C128" s="293" t="s">
        <v>1220</v>
      </c>
      <c r="D128" s="294" t="s">
        <v>1321</v>
      </c>
      <c r="E128" s="295"/>
      <c r="F128" s="295"/>
      <c r="G128" s="296"/>
      <c r="H128" s="298">
        <v>0.1</v>
      </c>
      <c r="I128" s="284">
        <f>I127*H128</f>
        <v>19408</v>
      </c>
      <c r="J128" s="119"/>
      <c r="K128" s="119"/>
      <c r="L128" s="119"/>
    </row>
    <row r="129" spans="3:16" s="59" customFormat="1" ht="20.399999999999999" customHeight="1" thickBot="1">
      <c r="C129" s="299" t="s">
        <v>1221</v>
      </c>
      <c r="D129" s="300" t="s">
        <v>1222</v>
      </c>
      <c r="E129" s="301"/>
      <c r="F129" s="301"/>
      <c r="G129" s="301"/>
      <c r="H129" s="302"/>
      <c r="I129" s="303">
        <f>SUM(I127:I128)</f>
        <v>213488</v>
      </c>
      <c r="J129" s="119"/>
      <c r="K129" s="119"/>
      <c r="L129" s="119"/>
    </row>
    <row r="130" spans="3:16" ht="20.399999999999999" customHeight="1" thickTop="1">
      <c r="C130" s="360" t="s">
        <v>1827</v>
      </c>
      <c r="D130" s="297" t="s">
        <v>2566</v>
      </c>
    </row>
    <row r="132" spans="3:16" s="59" customFormat="1" ht="31.65" customHeight="1" thickBot="1">
      <c r="C132" s="170" t="s">
        <v>2568</v>
      </c>
      <c r="D132" s="1876" t="s">
        <v>2569</v>
      </c>
      <c r="E132" s="1876"/>
      <c r="F132" s="1876"/>
      <c r="G132" s="1876"/>
      <c r="H132" s="1876"/>
      <c r="I132" s="1876"/>
      <c r="J132" s="120">
        <f>ROUNDDOWN(I147,-2)</f>
        <v>213400</v>
      </c>
      <c r="K132" s="120"/>
      <c r="L132" s="120"/>
    </row>
    <row r="133" spans="3:16" s="59" customFormat="1" ht="28.2" thickTop="1">
      <c r="C133" s="51" t="s">
        <v>1195</v>
      </c>
      <c r="D133" s="52" t="s">
        <v>1196</v>
      </c>
      <c r="E133" s="52" t="s">
        <v>1906</v>
      </c>
      <c r="F133" s="52" t="s">
        <v>1197</v>
      </c>
      <c r="G133" s="52" t="s">
        <v>1198</v>
      </c>
      <c r="H133" s="52" t="s">
        <v>1199</v>
      </c>
      <c r="I133" s="53" t="s">
        <v>1200</v>
      </c>
      <c r="J133" s="119"/>
      <c r="K133" s="119"/>
      <c r="L133" s="119"/>
    </row>
    <row r="134" spans="3:16" s="59" customFormat="1" ht="20.399999999999999" customHeight="1">
      <c r="C134" s="290" t="s">
        <v>1201</v>
      </c>
      <c r="D134" s="182" t="s">
        <v>1202</v>
      </c>
      <c r="E134" s="182"/>
      <c r="F134" s="70"/>
      <c r="G134" s="70"/>
      <c r="H134" s="70"/>
      <c r="I134" s="71"/>
      <c r="J134" s="119"/>
      <c r="K134" s="119"/>
      <c r="L134" s="119"/>
      <c r="M134" s="374" t="s">
        <v>1247</v>
      </c>
    </row>
    <row r="135" spans="3:16" s="59" customFormat="1" ht="20.399999999999999" customHeight="1">
      <c r="C135" s="281">
        <v>1</v>
      </c>
      <c r="D135" s="182" t="s">
        <v>5</v>
      </c>
      <c r="E135" s="176" t="s">
        <v>1774</v>
      </c>
      <c r="F135" s="176" t="s">
        <v>6</v>
      </c>
      <c r="G135" s="315">
        <v>0.95740000000000003</v>
      </c>
      <c r="H135" s="283">
        <f>VLOOKUP(D135,upahbahan,3,FALSE)</f>
        <v>100000</v>
      </c>
      <c r="I135" s="284">
        <f>G135*H135</f>
        <v>95740</v>
      </c>
      <c r="J135" s="119"/>
      <c r="K135" s="119"/>
      <c r="L135" s="119"/>
      <c r="M135" s="374" t="s">
        <v>1248</v>
      </c>
      <c r="P135" s="65">
        <v>0.1</v>
      </c>
    </row>
    <row r="136" spans="3:16" s="59" customFormat="1" ht="20.399999999999999" customHeight="1">
      <c r="C136" s="281">
        <v>2</v>
      </c>
      <c r="D136" s="182" t="s">
        <v>1783</v>
      </c>
      <c r="E136" s="176" t="s">
        <v>1775</v>
      </c>
      <c r="F136" s="176" t="s">
        <v>2102</v>
      </c>
      <c r="G136" s="315">
        <v>0.50960000000000005</v>
      </c>
      <c r="H136" s="283">
        <f>VLOOKUP(D136,upahbahan,3,FALSE)</f>
        <v>145000</v>
      </c>
      <c r="I136" s="284">
        <f>G136*H136</f>
        <v>73892.000000000015</v>
      </c>
      <c r="J136" s="119"/>
      <c r="K136" s="119"/>
      <c r="L136" s="119"/>
      <c r="M136" s="374"/>
      <c r="P136" s="65"/>
    </row>
    <row r="137" spans="3:16" s="59" customFormat="1" ht="20.399999999999999" customHeight="1">
      <c r="C137" s="281">
        <v>3</v>
      </c>
      <c r="D137" s="182" t="s">
        <v>19</v>
      </c>
      <c r="E137" s="176" t="s">
        <v>1777</v>
      </c>
      <c r="F137" s="176" t="s">
        <v>6</v>
      </c>
      <c r="G137" s="315">
        <v>0.15279999999999999</v>
      </c>
      <c r="H137" s="283">
        <f>VLOOKUP(D137,upahbahan,3,FALSE)</f>
        <v>160000</v>
      </c>
      <c r="I137" s="284">
        <f>G137*H137</f>
        <v>24448</v>
      </c>
      <c r="J137" s="119"/>
      <c r="K137" s="119"/>
      <c r="L137" s="119"/>
    </row>
    <row r="138" spans="3:16" s="59" customFormat="1" ht="20.399999999999999" customHeight="1">
      <c r="C138" s="66" t="s">
        <v>1208</v>
      </c>
      <c r="D138" s="67"/>
      <c r="E138" s="67"/>
      <c r="F138" s="67"/>
      <c r="G138" s="142"/>
      <c r="H138" s="153"/>
      <c r="I138" s="284">
        <f>SUM(I135:I137)</f>
        <v>194080</v>
      </c>
      <c r="J138" s="319"/>
      <c r="K138" s="319"/>
      <c r="L138" s="319"/>
    </row>
    <row r="139" spans="3:16" s="59" customFormat="1" ht="20.399999999999999" customHeight="1">
      <c r="C139" s="290" t="s">
        <v>1209</v>
      </c>
      <c r="D139" s="182" t="s">
        <v>1210</v>
      </c>
      <c r="E139" s="182"/>
      <c r="F139" s="70"/>
      <c r="G139" s="70"/>
      <c r="H139" s="70"/>
      <c r="I139" s="71"/>
      <c r="J139" s="119"/>
      <c r="K139" s="119"/>
      <c r="L139" s="119"/>
    </row>
    <row r="140" spans="3:16" s="59" customFormat="1" ht="20.399999999999999" customHeight="1">
      <c r="C140" s="375">
        <v>1</v>
      </c>
      <c r="D140" s="109" t="s">
        <v>5263</v>
      </c>
      <c r="E140" s="109"/>
      <c r="F140" s="108" t="s">
        <v>42</v>
      </c>
      <c r="G140" s="340">
        <v>1.3</v>
      </c>
      <c r="H140" s="185">
        <f>VLOOKUP(D140,upahbahan,3,FALSE)</f>
        <v>0</v>
      </c>
      <c r="I140" s="317">
        <f>G140*H140</f>
        <v>0</v>
      </c>
      <c r="J140" s="119"/>
      <c r="K140" s="119"/>
      <c r="L140" s="119"/>
    </row>
    <row r="141" spans="3:16" s="59" customFormat="1" ht="20.399999999999999" customHeight="1">
      <c r="C141" s="377">
        <v>2</v>
      </c>
      <c r="D141" s="109" t="s">
        <v>241</v>
      </c>
      <c r="E141" s="109"/>
      <c r="F141" s="108" t="s">
        <v>65</v>
      </c>
      <c r="G141" s="340">
        <v>13.85</v>
      </c>
      <c r="H141" s="185">
        <f>VLOOKUP(D141,upahbahan,3,FALSE)</f>
        <v>0</v>
      </c>
      <c r="I141" s="317">
        <f>G141*H141</f>
        <v>0</v>
      </c>
      <c r="J141" s="119"/>
      <c r="K141" s="119"/>
      <c r="L141" s="119"/>
    </row>
    <row r="142" spans="3:16" s="59" customFormat="1" ht="20.399999999999999" customHeight="1">
      <c r="C142" s="157" t="s">
        <v>1214</v>
      </c>
      <c r="D142" s="372"/>
      <c r="E142" s="372"/>
      <c r="F142" s="372"/>
      <c r="G142" s="372"/>
      <c r="H142" s="373"/>
      <c r="I142" s="317">
        <f>SUM(I140:I141)</f>
        <v>0</v>
      </c>
      <c r="J142" s="119"/>
      <c r="K142" s="119"/>
      <c r="L142" s="119"/>
    </row>
    <row r="143" spans="3:16" s="59" customFormat="1" ht="20.399999999999999" customHeight="1">
      <c r="C143" s="316" t="s">
        <v>1215</v>
      </c>
      <c r="D143" s="109" t="s">
        <v>1216</v>
      </c>
      <c r="E143" s="109"/>
      <c r="F143" s="109"/>
      <c r="G143" s="109"/>
      <c r="H143" s="109"/>
      <c r="I143" s="376"/>
      <c r="J143" s="119"/>
      <c r="K143" s="119"/>
      <c r="L143" s="119"/>
    </row>
    <row r="144" spans="3:16" s="59" customFormat="1" ht="20.399999999999999" customHeight="1">
      <c r="C144" s="66" t="s">
        <v>1217</v>
      </c>
      <c r="D144" s="67"/>
      <c r="E144" s="67"/>
      <c r="F144" s="67"/>
      <c r="G144" s="67"/>
      <c r="H144" s="69"/>
      <c r="I144" s="292">
        <f>SUM(I143:I143)</f>
        <v>0</v>
      </c>
      <c r="J144" s="119"/>
      <c r="K144" s="119"/>
      <c r="L144" s="119"/>
    </row>
    <row r="145" spans="3:16" s="59" customFormat="1" ht="20.399999999999999" customHeight="1">
      <c r="C145" s="293" t="s">
        <v>1218</v>
      </c>
      <c r="D145" s="294" t="s">
        <v>1219</v>
      </c>
      <c r="E145" s="295"/>
      <c r="F145" s="295"/>
      <c r="G145" s="295"/>
      <c r="H145" s="296"/>
      <c r="I145" s="284">
        <f>I144+I142+I138</f>
        <v>194080</v>
      </c>
      <c r="J145" s="119"/>
      <c r="K145" s="119"/>
      <c r="L145" s="119"/>
    </row>
    <row r="146" spans="3:16" s="59" customFormat="1" ht="20.399999999999999" customHeight="1">
      <c r="C146" s="293" t="s">
        <v>1220</v>
      </c>
      <c r="D146" s="294" t="s">
        <v>1321</v>
      </c>
      <c r="E146" s="295"/>
      <c r="F146" s="295"/>
      <c r="G146" s="296"/>
      <c r="H146" s="298">
        <v>0.1</v>
      </c>
      <c r="I146" s="284">
        <f>I145*H146</f>
        <v>19408</v>
      </c>
      <c r="J146" s="119"/>
      <c r="K146" s="119"/>
      <c r="L146" s="119"/>
    </row>
    <row r="147" spans="3:16" s="59" customFormat="1" ht="20.399999999999999" customHeight="1" thickBot="1">
      <c r="C147" s="299" t="s">
        <v>1221</v>
      </c>
      <c r="D147" s="300" t="s">
        <v>1222</v>
      </c>
      <c r="E147" s="301"/>
      <c r="F147" s="301"/>
      <c r="G147" s="301"/>
      <c r="H147" s="302"/>
      <c r="I147" s="303">
        <f>SUM(I145:I146)</f>
        <v>213488</v>
      </c>
      <c r="J147" s="119"/>
      <c r="K147" s="119"/>
      <c r="L147" s="119"/>
    </row>
    <row r="148" spans="3:16" ht="13.8" thickTop="1"/>
    <row r="150" spans="3:16" s="59" customFormat="1" ht="31.65" customHeight="1" thickBot="1">
      <c r="C150" s="170" t="s">
        <v>2570</v>
      </c>
      <c r="D150" s="1876" t="s">
        <v>2571</v>
      </c>
      <c r="E150" s="1876"/>
      <c r="F150" s="1876"/>
      <c r="G150" s="1876"/>
      <c r="H150" s="1876"/>
      <c r="I150" s="1876"/>
      <c r="J150" s="120">
        <f>ROUNDDOWN(I166,-2)</f>
        <v>114300</v>
      </c>
      <c r="K150" s="120"/>
      <c r="L150" s="120"/>
    </row>
    <row r="151" spans="3:16" s="59" customFormat="1" ht="28.2" thickTop="1">
      <c r="C151" s="51" t="s">
        <v>1195</v>
      </c>
      <c r="D151" s="52" t="s">
        <v>1196</v>
      </c>
      <c r="E151" s="52" t="s">
        <v>1906</v>
      </c>
      <c r="F151" s="52" t="s">
        <v>1197</v>
      </c>
      <c r="G151" s="52" t="s">
        <v>1198</v>
      </c>
      <c r="H151" s="52" t="s">
        <v>1199</v>
      </c>
      <c r="I151" s="53" t="s">
        <v>1200</v>
      </c>
      <c r="J151" s="119"/>
      <c r="K151" s="119"/>
      <c r="L151" s="119"/>
    </row>
    <row r="152" spans="3:16" s="59" customFormat="1" ht="24.6" customHeight="1">
      <c r="C152" s="290" t="s">
        <v>1201</v>
      </c>
      <c r="D152" s="182" t="s">
        <v>1202</v>
      </c>
      <c r="E152" s="182"/>
      <c r="F152" s="70"/>
      <c r="G152" s="70"/>
      <c r="H152" s="70"/>
      <c r="I152" s="71"/>
      <c r="J152" s="119"/>
      <c r="K152" s="119"/>
      <c r="L152" s="119"/>
      <c r="M152" s="374" t="s">
        <v>1247</v>
      </c>
    </row>
    <row r="153" spans="3:16" s="59" customFormat="1" ht="24.6" customHeight="1">
      <c r="C153" s="281">
        <v>1</v>
      </c>
      <c r="D153" s="182" t="s">
        <v>5</v>
      </c>
      <c r="E153" s="176" t="s">
        <v>1774</v>
      </c>
      <c r="F153" s="176" t="s">
        <v>6</v>
      </c>
      <c r="G153" s="315">
        <v>0.52049999999999996</v>
      </c>
      <c r="H153" s="283">
        <f>VLOOKUP(D153,upahbahan,3,FALSE)</f>
        <v>100000</v>
      </c>
      <c r="I153" s="284">
        <f>G153*H153</f>
        <v>52049.999999999993</v>
      </c>
      <c r="J153" s="119"/>
      <c r="K153" s="119"/>
      <c r="L153" s="119"/>
      <c r="M153" s="374" t="s">
        <v>1248</v>
      </c>
      <c r="P153" s="65">
        <v>0.1</v>
      </c>
    </row>
    <row r="154" spans="3:16" s="59" customFormat="1" ht="24.6" customHeight="1">
      <c r="C154" s="281">
        <v>2</v>
      </c>
      <c r="D154" s="182" t="s">
        <v>1783</v>
      </c>
      <c r="E154" s="176" t="s">
        <v>1775</v>
      </c>
      <c r="F154" s="176" t="s">
        <v>2102</v>
      </c>
      <c r="G154" s="315">
        <v>0.30049999999999999</v>
      </c>
      <c r="H154" s="283">
        <f>VLOOKUP(D154,upahbahan,3,FALSE)</f>
        <v>145000</v>
      </c>
      <c r="I154" s="284">
        <f>G154*H154</f>
        <v>43572.5</v>
      </c>
      <c r="J154" s="119"/>
      <c r="K154" s="119"/>
      <c r="L154" s="119"/>
      <c r="M154" s="374"/>
      <c r="P154" s="65"/>
    </row>
    <row r="155" spans="3:16" s="59" customFormat="1" ht="24.6" customHeight="1">
      <c r="C155" s="281">
        <v>3</v>
      </c>
      <c r="D155" s="182" t="s">
        <v>19</v>
      </c>
      <c r="E155" s="176" t="s">
        <v>1777</v>
      </c>
      <c r="F155" s="176" t="s">
        <v>6</v>
      </c>
      <c r="G155" s="315">
        <v>5.1999999999999998E-2</v>
      </c>
      <c r="H155" s="283">
        <f>VLOOKUP(D155,upahbahan,3,FALSE)</f>
        <v>160000</v>
      </c>
      <c r="I155" s="284">
        <f>G155*H155</f>
        <v>8320</v>
      </c>
      <c r="J155" s="119"/>
      <c r="K155" s="119"/>
      <c r="L155" s="119"/>
    </row>
    <row r="156" spans="3:16" s="59" customFormat="1" ht="24.6" customHeight="1">
      <c r="C156" s="66" t="s">
        <v>1208</v>
      </c>
      <c r="D156" s="67"/>
      <c r="E156" s="67"/>
      <c r="F156" s="67"/>
      <c r="G156" s="142"/>
      <c r="H156" s="153"/>
      <c r="I156" s="284">
        <f>SUM(I153:I155)</f>
        <v>103942.5</v>
      </c>
      <c r="J156" s="319"/>
      <c r="K156" s="319"/>
      <c r="L156" s="319"/>
    </row>
    <row r="157" spans="3:16" s="59" customFormat="1" ht="24.6" customHeight="1">
      <c r="C157" s="290" t="s">
        <v>1209</v>
      </c>
      <c r="D157" s="182" t="s">
        <v>1210</v>
      </c>
      <c r="E157" s="182"/>
      <c r="F157" s="70"/>
      <c r="G157" s="70"/>
      <c r="H157" s="70"/>
      <c r="I157" s="71"/>
      <c r="J157" s="119"/>
      <c r="K157" s="119"/>
      <c r="L157" s="119"/>
    </row>
    <row r="158" spans="3:16" s="59" customFormat="1" ht="24.6" customHeight="1">
      <c r="C158" s="375">
        <v>1</v>
      </c>
      <c r="D158" s="109" t="s">
        <v>5263</v>
      </c>
      <c r="E158" s="109"/>
      <c r="F158" s="108" t="s">
        <v>42</v>
      </c>
      <c r="G158" s="340">
        <v>1.3</v>
      </c>
      <c r="H158" s="185">
        <f>VLOOKUP(D158,upahbahan,3,FALSE)</f>
        <v>0</v>
      </c>
      <c r="I158" s="317">
        <f>G158*H158</f>
        <v>0</v>
      </c>
      <c r="J158" s="119"/>
      <c r="K158" s="119"/>
      <c r="L158" s="119"/>
    </row>
    <row r="159" spans="3:16" s="59" customFormat="1" ht="24.6" customHeight="1">
      <c r="C159" s="377">
        <v>2</v>
      </c>
      <c r="D159" s="109" t="s">
        <v>241</v>
      </c>
      <c r="E159" s="109"/>
      <c r="F159" s="108" t="s">
        <v>65</v>
      </c>
      <c r="G159" s="340">
        <v>14.85</v>
      </c>
      <c r="H159" s="185">
        <f>VLOOKUP(D159,upahbahan,3,FALSE)</f>
        <v>0</v>
      </c>
      <c r="I159" s="317">
        <f>G159*H159</f>
        <v>0</v>
      </c>
      <c r="J159" s="119"/>
      <c r="K159" s="119"/>
      <c r="L159" s="119"/>
    </row>
    <row r="160" spans="3:16" s="59" customFormat="1" ht="24.6" customHeight="1">
      <c r="C160" s="377">
        <v>3</v>
      </c>
      <c r="D160" s="363" t="s">
        <v>1840</v>
      </c>
      <c r="E160" s="363"/>
      <c r="F160" s="364" t="s">
        <v>42</v>
      </c>
      <c r="G160" s="379">
        <v>0.432</v>
      </c>
      <c r="H160" s="185">
        <f>VLOOKUP(D160,upahbahan,3,FALSE)</f>
        <v>0</v>
      </c>
      <c r="I160" s="317">
        <f>G160*H160</f>
        <v>0</v>
      </c>
      <c r="J160" s="119"/>
      <c r="K160" s="119"/>
      <c r="L160" s="119"/>
    </row>
    <row r="161" spans="3:16" s="59" customFormat="1" ht="24.6" customHeight="1">
      <c r="C161" s="157" t="s">
        <v>1214</v>
      </c>
      <c r="D161" s="372"/>
      <c r="E161" s="372"/>
      <c r="F161" s="372"/>
      <c r="G161" s="372"/>
      <c r="H161" s="373"/>
      <c r="I161" s="317">
        <f>SUM(I158:I160)</f>
        <v>0</v>
      </c>
      <c r="J161" s="119"/>
      <c r="K161" s="119"/>
      <c r="L161" s="119"/>
    </row>
    <row r="162" spans="3:16" s="59" customFormat="1" ht="24.6" customHeight="1">
      <c r="C162" s="316" t="s">
        <v>1215</v>
      </c>
      <c r="D162" s="109" t="s">
        <v>1216</v>
      </c>
      <c r="E162" s="109"/>
      <c r="F162" s="109"/>
      <c r="G162" s="109"/>
      <c r="H162" s="109"/>
      <c r="I162" s="376"/>
      <c r="J162" s="119"/>
      <c r="K162" s="119"/>
      <c r="L162" s="119"/>
    </row>
    <row r="163" spans="3:16" s="59" customFormat="1" ht="24.6" customHeight="1">
      <c r="C163" s="66" t="s">
        <v>1217</v>
      </c>
      <c r="D163" s="67"/>
      <c r="E163" s="67"/>
      <c r="F163" s="67"/>
      <c r="G163" s="67"/>
      <c r="H163" s="69"/>
      <c r="I163" s="292">
        <f>SUM(I162:I162)</f>
        <v>0</v>
      </c>
      <c r="J163" s="119"/>
      <c r="K163" s="119"/>
      <c r="L163" s="119"/>
    </row>
    <row r="164" spans="3:16" s="59" customFormat="1" ht="24.6" customHeight="1">
      <c r="C164" s="293" t="s">
        <v>1218</v>
      </c>
      <c r="D164" s="294" t="s">
        <v>1219</v>
      </c>
      <c r="E164" s="295"/>
      <c r="F164" s="295"/>
      <c r="G164" s="295"/>
      <c r="H164" s="296"/>
      <c r="I164" s="284">
        <f>I163+I161+I156</f>
        <v>103942.5</v>
      </c>
      <c r="J164" s="119"/>
      <c r="K164" s="119"/>
      <c r="L164" s="119"/>
    </row>
    <row r="165" spans="3:16" s="59" customFormat="1" ht="24.6" customHeight="1">
      <c r="C165" s="293" t="s">
        <v>1220</v>
      </c>
      <c r="D165" s="294" t="s">
        <v>1321</v>
      </c>
      <c r="E165" s="295"/>
      <c r="F165" s="295"/>
      <c r="G165" s="296"/>
      <c r="H165" s="298">
        <v>0.1</v>
      </c>
      <c r="I165" s="284">
        <f>I164*H165</f>
        <v>10394.25</v>
      </c>
      <c r="J165" s="119"/>
      <c r="K165" s="119"/>
      <c r="L165" s="119"/>
    </row>
    <row r="166" spans="3:16" s="59" customFormat="1" ht="24.6" customHeight="1" thickBot="1">
      <c r="C166" s="299" t="s">
        <v>1221</v>
      </c>
      <c r="D166" s="300" t="s">
        <v>1222</v>
      </c>
      <c r="E166" s="301"/>
      <c r="F166" s="301"/>
      <c r="G166" s="301"/>
      <c r="H166" s="302"/>
      <c r="I166" s="303">
        <f>SUM(I164:I165)</f>
        <v>114336.75</v>
      </c>
      <c r="J166" s="119"/>
      <c r="K166" s="119"/>
      <c r="L166" s="119"/>
    </row>
    <row r="167" spans="3:16" ht="13.8" thickTop="1"/>
    <row r="169" spans="3:16" s="59" customFormat="1" ht="31.65" customHeight="1" thickBot="1">
      <c r="C169" s="170" t="s">
        <v>2572</v>
      </c>
      <c r="D169" s="1876" t="s">
        <v>2575</v>
      </c>
      <c r="E169" s="1876"/>
      <c r="F169" s="1876"/>
      <c r="G169" s="1876"/>
      <c r="H169" s="1876"/>
      <c r="I169" s="1876"/>
      <c r="J169" s="120">
        <f>ROUNDDOWN(I184,-2)</f>
        <v>114300</v>
      </c>
      <c r="K169" s="120"/>
      <c r="L169" s="120"/>
    </row>
    <row r="170" spans="3:16" s="59" customFormat="1" ht="28.2" thickTop="1">
      <c r="C170" s="51" t="s">
        <v>1195</v>
      </c>
      <c r="D170" s="52" t="s">
        <v>1196</v>
      </c>
      <c r="E170" s="52" t="s">
        <v>1906</v>
      </c>
      <c r="F170" s="52" t="s">
        <v>1197</v>
      </c>
      <c r="G170" s="52" t="s">
        <v>1198</v>
      </c>
      <c r="H170" s="52" t="s">
        <v>1199</v>
      </c>
      <c r="I170" s="53" t="s">
        <v>1200</v>
      </c>
      <c r="J170" s="119"/>
      <c r="K170" s="119"/>
      <c r="L170" s="119"/>
    </row>
    <row r="171" spans="3:16" s="59" customFormat="1" ht="25.2" customHeight="1">
      <c r="C171" s="290" t="s">
        <v>1201</v>
      </c>
      <c r="D171" s="182" t="s">
        <v>1202</v>
      </c>
      <c r="E171" s="182"/>
      <c r="F171" s="70"/>
      <c r="G171" s="70"/>
      <c r="H171" s="70"/>
      <c r="I171" s="71"/>
      <c r="J171" s="119"/>
      <c r="K171" s="119"/>
      <c r="L171" s="119"/>
      <c r="M171" s="374" t="s">
        <v>1247</v>
      </c>
    </row>
    <row r="172" spans="3:16" s="59" customFormat="1" ht="25.2" customHeight="1">
      <c r="C172" s="281">
        <v>1</v>
      </c>
      <c r="D172" s="182" t="s">
        <v>5</v>
      </c>
      <c r="E172" s="176" t="s">
        <v>1774</v>
      </c>
      <c r="F172" s="176" t="s">
        <v>6</v>
      </c>
      <c r="G172" s="315">
        <v>0.52049999999999996</v>
      </c>
      <c r="H172" s="283">
        <f>VLOOKUP(D172,upahbahan,3,FALSE)</f>
        <v>100000</v>
      </c>
      <c r="I172" s="284">
        <f>G172*H172</f>
        <v>52049.999999999993</v>
      </c>
      <c r="J172" s="119"/>
      <c r="K172" s="119"/>
      <c r="L172" s="119"/>
      <c r="M172" s="374" t="s">
        <v>1248</v>
      </c>
      <c r="P172" s="65">
        <v>0.1</v>
      </c>
    </row>
    <row r="173" spans="3:16" s="59" customFormat="1" ht="25.2" customHeight="1">
      <c r="C173" s="281">
        <v>2</v>
      </c>
      <c r="D173" s="182" t="s">
        <v>1783</v>
      </c>
      <c r="E173" s="176" t="s">
        <v>1775</v>
      </c>
      <c r="F173" s="176" t="s">
        <v>2102</v>
      </c>
      <c r="G173" s="315">
        <v>0.30049999999999999</v>
      </c>
      <c r="H173" s="283">
        <f>VLOOKUP(D173,upahbahan,3,FALSE)</f>
        <v>145000</v>
      </c>
      <c r="I173" s="284">
        <f>G173*H173</f>
        <v>43572.5</v>
      </c>
      <c r="J173" s="119"/>
      <c r="K173" s="119"/>
      <c r="L173" s="119"/>
      <c r="M173" s="374"/>
      <c r="P173" s="65"/>
    </row>
    <row r="174" spans="3:16" s="59" customFormat="1" ht="25.2" customHeight="1">
      <c r="C174" s="281">
        <v>3</v>
      </c>
      <c r="D174" s="182" t="s">
        <v>19</v>
      </c>
      <c r="E174" s="176" t="s">
        <v>1777</v>
      </c>
      <c r="F174" s="176" t="s">
        <v>6</v>
      </c>
      <c r="G174" s="315">
        <v>5.1999999999999998E-2</v>
      </c>
      <c r="H174" s="283">
        <f>VLOOKUP(D174,upahbahan,3,FALSE)</f>
        <v>160000</v>
      </c>
      <c r="I174" s="284">
        <f>G174*H174</f>
        <v>8320</v>
      </c>
      <c r="J174" s="119"/>
      <c r="K174" s="119"/>
      <c r="L174" s="119"/>
    </row>
    <row r="175" spans="3:16" s="59" customFormat="1" ht="25.2" customHeight="1">
      <c r="C175" s="66" t="s">
        <v>1208</v>
      </c>
      <c r="D175" s="67"/>
      <c r="E175" s="67"/>
      <c r="F175" s="67"/>
      <c r="G175" s="142"/>
      <c r="H175" s="153"/>
      <c r="I175" s="284">
        <f>SUM(I172:I174)</f>
        <v>103942.5</v>
      </c>
      <c r="J175" s="319"/>
      <c r="K175" s="319"/>
      <c r="L175" s="319"/>
    </row>
    <row r="176" spans="3:16" s="59" customFormat="1" ht="25.2" customHeight="1">
      <c r="C176" s="290" t="s">
        <v>1209</v>
      </c>
      <c r="D176" s="182" t="s">
        <v>1210</v>
      </c>
      <c r="E176" s="182"/>
      <c r="F176" s="70"/>
      <c r="G176" s="70"/>
      <c r="H176" s="70"/>
      <c r="I176" s="71"/>
      <c r="J176" s="119"/>
      <c r="K176" s="119"/>
      <c r="L176" s="119"/>
    </row>
    <row r="177" spans="3:16" s="59" customFormat="1" ht="25.2" customHeight="1">
      <c r="C177" s="375">
        <v>1</v>
      </c>
      <c r="D177" s="109" t="s">
        <v>5263</v>
      </c>
      <c r="E177" s="109"/>
      <c r="F177" s="108" t="s">
        <v>42</v>
      </c>
      <c r="G177" s="340">
        <v>1.3</v>
      </c>
      <c r="H177" s="185">
        <f>VLOOKUP(D177,upahbahan,3,FALSE)</f>
        <v>0</v>
      </c>
      <c r="I177" s="317">
        <f>G177*H177</f>
        <v>0</v>
      </c>
      <c r="J177" s="119"/>
      <c r="K177" s="119"/>
      <c r="L177" s="119"/>
    </row>
    <row r="178" spans="3:16" s="59" customFormat="1" ht="25.2" customHeight="1">
      <c r="C178" s="377">
        <v>2</v>
      </c>
      <c r="D178" s="109" t="s">
        <v>241</v>
      </c>
      <c r="E178" s="109"/>
      <c r="F178" s="108" t="s">
        <v>65</v>
      </c>
      <c r="G178" s="340">
        <v>14.85</v>
      </c>
      <c r="H178" s="185">
        <f>VLOOKUP(D178,upahbahan,3,FALSE)</f>
        <v>0</v>
      </c>
      <c r="I178" s="317">
        <f>G178*H178</f>
        <v>0</v>
      </c>
      <c r="J178" s="119"/>
      <c r="K178" s="119"/>
      <c r="L178" s="119"/>
    </row>
    <row r="179" spans="3:16" s="59" customFormat="1" ht="25.2" customHeight="1">
      <c r="C179" s="157" t="s">
        <v>1214</v>
      </c>
      <c r="D179" s="372"/>
      <c r="E179" s="372"/>
      <c r="F179" s="372"/>
      <c r="G179" s="372"/>
      <c r="H179" s="373"/>
      <c r="I179" s="317">
        <f>SUM(I177:I178)</f>
        <v>0</v>
      </c>
      <c r="J179" s="119"/>
      <c r="K179" s="119"/>
      <c r="L179" s="119"/>
    </row>
    <row r="180" spans="3:16" s="59" customFormat="1" ht="25.2" customHeight="1">
      <c r="C180" s="316" t="s">
        <v>1215</v>
      </c>
      <c r="D180" s="109" t="s">
        <v>1216</v>
      </c>
      <c r="E180" s="109"/>
      <c r="F180" s="109"/>
      <c r="G180" s="109"/>
      <c r="H180" s="109"/>
      <c r="I180" s="376"/>
      <c r="J180" s="119"/>
      <c r="K180" s="119"/>
      <c r="L180" s="119"/>
    </row>
    <row r="181" spans="3:16" s="59" customFormat="1" ht="25.2" customHeight="1">
      <c r="C181" s="66" t="s">
        <v>1217</v>
      </c>
      <c r="D181" s="67"/>
      <c r="E181" s="67"/>
      <c r="F181" s="67"/>
      <c r="G181" s="67"/>
      <c r="H181" s="69"/>
      <c r="I181" s="292">
        <f>SUM(I180:I180)</f>
        <v>0</v>
      </c>
      <c r="J181" s="119"/>
      <c r="K181" s="119"/>
      <c r="L181" s="119"/>
    </row>
    <row r="182" spans="3:16" s="59" customFormat="1" ht="25.2" customHeight="1">
      <c r="C182" s="293" t="s">
        <v>1218</v>
      </c>
      <c r="D182" s="294" t="s">
        <v>1219</v>
      </c>
      <c r="E182" s="295"/>
      <c r="F182" s="295"/>
      <c r="G182" s="295"/>
      <c r="H182" s="296"/>
      <c r="I182" s="284">
        <f>I181+I179+I175</f>
        <v>103942.5</v>
      </c>
      <c r="J182" s="119"/>
      <c r="K182" s="119"/>
      <c r="L182" s="119"/>
    </row>
    <row r="183" spans="3:16" s="59" customFormat="1" ht="25.2" customHeight="1">
      <c r="C183" s="293" t="s">
        <v>1220</v>
      </c>
      <c r="D183" s="294" t="s">
        <v>1321</v>
      </c>
      <c r="E183" s="295"/>
      <c r="F183" s="295"/>
      <c r="G183" s="296"/>
      <c r="H183" s="298">
        <v>0.1</v>
      </c>
      <c r="I183" s="284">
        <f>I182*H183</f>
        <v>10394.25</v>
      </c>
      <c r="J183" s="119"/>
      <c r="K183" s="119"/>
      <c r="L183" s="119"/>
    </row>
    <row r="184" spans="3:16" s="59" customFormat="1" ht="25.2" customHeight="1" thickBot="1">
      <c r="C184" s="299" t="s">
        <v>1221</v>
      </c>
      <c r="D184" s="300" t="s">
        <v>1222</v>
      </c>
      <c r="E184" s="301"/>
      <c r="F184" s="301"/>
      <c r="G184" s="301"/>
      <c r="H184" s="302"/>
      <c r="I184" s="303">
        <f>SUM(I182:I183)</f>
        <v>114336.75</v>
      </c>
      <c r="J184" s="119"/>
      <c r="K184" s="119"/>
      <c r="L184" s="119"/>
    </row>
    <row r="185" spans="3:16" ht="13.8" thickTop="1"/>
    <row r="186" spans="3:16" s="59" customFormat="1" ht="31.65" customHeight="1" thickBot="1">
      <c r="C186" s="170" t="s">
        <v>2574</v>
      </c>
      <c r="D186" s="1876" t="s">
        <v>2573</v>
      </c>
      <c r="E186" s="1876"/>
      <c r="F186" s="1876"/>
      <c r="G186" s="1876"/>
      <c r="H186" s="1876"/>
      <c r="I186" s="1876"/>
      <c r="J186" s="120">
        <f>ROUNDDOWN(I202,-2)</f>
        <v>176100</v>
      </c>
      <c r="K186" s="120"/>
      <c r="L186" s="120"/>
    </row>
    <row r="187" spans="3:16" s="59" customFormat="1" ht="28.2" thickTop="1">
      <c r="C187" s="51" t="s">
        <v>1195</v>
      </c>
      <c r="D187" s="52" t="s">
        <v>1196</v>
      </c>
      <c r="E187" s="52" t="s">
        <v>1906</v>
      </c>
      <c r="F187" s="52" t="s">
        <v>1197</v>
      </c>
      <c r="G187" s="52" t="s">
        <v>1198</v>
      </c>
      <c r="H187" s="52" t="s">
        <v>1199</v>
      </c>
      <c r="I187" s="53" t="s">
        <v>1200</v>
      </c>
      <c r="J187" s="119"/>
      <c r="K187" s="119"/>
      <c r="L187" s="119"/>
    </row>
    <row r="188" spans="3:16" s="59" customFormat="1" ht="21" customHeight="1">
      <c r="C188" s="290" t="s">
        <v>1201</v>
      </c>
      <c r="D188" s="182" t="s">
        <v>1202</v>
      </c>
      <c r="E188" s="182"/>
      <c r="F188" s="70"/>
      <c r="G188" s="70"/>
      <c r="H188" s="70"/>
      <c r="I188" s="71"/>
      <c r="J188" s="119"/>
      <c r="K188" s="119"/>
      <c r="L188" s="119"/>
      <c r="M188" s="374" t="s">
        <v>1247</v>
      </c>
    </row>
    <row r="189" spans="3:16" s="59" customFormat="1" ht="21" customHeight="1">
      <c r="C189" s="281">
        <v>1</v>
      </c>
      <c r="D189" s="182" t="s">
        <v>5</v>
      </c>
      <c r="E189" s="176" t="s">
        <v>1774</v>
      </c>
      <c r="F189" s="176" t="s">
        <v>6</v>
      </c>
      <c r="G189" s="315">
        <v>0.86219999999999997</v>
      </c>
      <c r="H189" s="283">
        <f>VLOOKUP(D189,upahbahan,3,FALSE)</f>
        <v>100000</v>
      </c>
      <c r="I189" s="284">
        <f>G189*H189</f>
        <v>86220</v>
      </c>
      <c r="J189" s="119"/>
      <c r="K189" s="119"/>
      <c r="L189" s="119"/>
      <c r="M189" s="374" t="s">
        <v>1248</v>
      </c>
      <c r="P189" s="65">
        <v>0.1</v>
      </c>
    </row>
    <row r="190" spans="3:16" s="59" customFormat="1" ht="21" customHeight="1">
      <c r="C190" s="281">
        <v>2</v>
      </c>
      <c r="D190" s="182" t="s">
        <v>1783</v>
      </c>
      <c r="E190" s="176" t="s">
        <v>1775</v>
      </c>
      <c r="F190" s="176" t="s">
        <v>2102</v>
      </c>
      <c r="G190" s="315">
        <v>0.41439999999999999</v>
      </c>
      <c r="H190" s="283">
        <f>VLOOKUP(D190,upahbahan,3,FALSE)</f>
        <v>145000</v>
      </c>
      <c r="I190" s="284">
        <f>G190*H190</f>
        <v>60088</v>
      </c>
      <c r="J190" s="119"/>
      <c r="K190" s="119"/>
      <c r="L190" s="119"/>
      <c r="M190" s="374"/>
      <c r="P190" s="65"/>
    </row>
    <row r="191" spans="3:16" s="59" customFormat="1" ht="21" customHeight="1">
      <c r="C191" s="281">
        <v>3</v>
      </c>
      <c r="D191" s="182" t="s">
        <v>19</v>
      </c>
      <c r="E191" s="176" t="s">
        <v>1777</v>
      </c>
      <c r="F191" s="176" t="s">
        <v>6</v>
      </c>
      <c r="G191" s="315">
        <v>8.6199999999999999E-2</v>
      </c>
      <c r="H191" s="283">
        <f>VLOOKUP(D191,upahbahan,3,FALSE)</f>
        <v>160000</v>
      </c>
      <c r="I191" s="284">
        <f>G191*H191</f>
        <v>13792</v>
      </c>
      <c r="J191" s="119"/>
      <c r="K191" s="119"/>
      <c r="L191" s="119"/>
    </row>
    <row r="192" spans="3:16" s="59" customFormat="1" ht="21" customHeight="1">
      <c r="C192" s="66" t="s">
        <v>1208</v>
      </c>
      <c r="D192" s="67"/>
      <c r="E192" s="67"/>
      <c r="F192" s="67"/>
      <c r="G192" s="142"/>
      <c r="H192" s="153"/>
      <c r="I192" s="284">
        <f>SUM(I189:I191)</f>
        <v>160100</v>
      </c>
      <c r="J192" s="319"/>
      <c r="K192" s="319"/>
      <c r="L192" s="319"/>
    </row>
    <row r="193" spans="3:16" s="59" customFormat="1" ht="21" customHeight="1">
      <c r="C193" s="290" t="s">
        <v>1209</v>
      </c>
      <c r="D193" s="182" t="s">
        <v>1210</v>
      </c>
      <c r="E193" s="182"/>
      <c r="F193" s="70"/>
      <c r="G193" s="70"/>
      <c r="H193" s="70"/>
      <c r="I193" s="71"/>
      <c r="J193" s="119"/>
      <c r="K193" s="119"/>
      <c r="L193" s="119"/>
    </row>
    <row r="194" spans="3:16" s="59" customFormat="1" ht="21" customHeight="1">
      <c r="C194" s="375">
        <v>1</v>
      </c>
      <c r="D194" s="109" t="s">
        <v>5263</v>
      </c>
      <c r="E194" s="109"/>
      <c r="F194" s="108" t="s">
        <v>42</v>
      </c>
      <c r="G194" s="340">
        <v>1.3</v>
      </c>
      <c r="H194" s="185">
        <f>VLOOKUP(D194,upahbahan,3,FALSE)</f>
        <v>0</v>
      </c>
      <c r="I194" s="317">
        <f>G194*H194</f>
        <v>0</v>
      </c>
      <c r="J194" s="119"/>
      <c r="K194" s="119"/>
      <c r="L194" s="119"/>
    </row>
    <row r="195" spans="3:16" s="59" customFormat="1" ht="21" customHeight="1">
      <c r="C195" s="377">
        <v>2</v>
      </c>
      <c r="D195" s="109" t="s">
        <v>241</v>
      </c>
      <c r="E195" s="109"/>
      <c r="F195" s="108" t="s">
        <v>65</v>
      </c>
      <c r="G195" s="340">
        <v>14.85</v>
      </c>
      <c r="H195" s="185">
        <f>VLOOKUP(D195,upahbahan,3,FALSE)</f>
        <v>0</v>
      </c>
      <c r="I195" s="317">
        <f>G195*H195</f>
        <v>0</v>
      </c>
      <c r="J195" s="119"/>
      <c r="K195" s="119"/>
      <c r="L195" s="119"/>
    </row>
    <row r="196" spans="3:16" s="59" customFormat="1" ht="21" customHeight="1">
      <c r="C196" s="377">
        <v>3</v>
      </c>
      <c r="D196" s="109" t="s">
        <v>1840</v>
      </c>
      <c r="E196" s="109"/>
      <c r="F196" s="108"/>
      <c r="G196" s="340">
        <v>0.432</v>
      </c>
      <c r="H196" s="185">
        <f>VLOOKUP(D196,upahbahan,3,FALSE)</f>
        <v>0</v>
      </c>
      <c r="I196" s="317">
        <f>G196*H196</f>
        <v>0</v>
      </c>
      <c r="J196" s="119"/>
      <c r="K196" s="119"/>
      <c r="L196" s="119"/>
    </row>
    <row r="197" spans="3:16" s="59" customFormat="1" ht="21" customHeight="1">
      <c r="C197" s="157" t="s">
        <v>1214</v>
      </c>
      <c r="D197" s="372"/>
      <c r="E197" s="372"/>
      <c r="F197" s="372"/>
      <c r="G197" s="372"/>
      <c r="H197" s="373"/>
      <c r="I197" s="317">
        <f>SUM(I194:I196)</f>
        <v>0</v>
      </c>
      <c r="J197" s="119"/>
      <c r="K197" s="119"/>
      <c r="L197" s="119"/>
    </row>
    <row r="198" spans="3:16" s="59" customFormat="1" ht="21" customHeight="1">
      <c r="C198" s="316" t="s">
        <v>1215</v>
      </c>
      <c r="D198" s="109" t="s">
        <v>1216</v>
      </c>
      <c r="E198" s="109"/>
      <c r="F198" s="109"/>
      <c r="G198" s="109"/>
      <c r="H198" s="109"/>
      <c r="I198" s="376"/>
      <c r="J198" s="119"/>
      <c r="K198" s="119"/>
      <c r="L198" s="119"/>
    </row>
    <row r="199" spans="3:16" s="59" customFormat="1" ht="21" customHeight="1">
      <c r="C199" s="66" t="s">
        <v>1217</v>
      </c>
      <c r="D199" s="67"/>
      <c r="E199" s="67"/>
      <c r="F199" s="67"/>
      <c r="G199" s="67"/>
      <c r="H199" s="69"/>
      <c r="I199" s="292">
        <f>SUM(I198:I198)</f>
        <v>0</v>
      </c>
      <c r="J199" s="119"/>
      <c r="K199" s="119"/>
      <c r="L199" s="119"/>
    </row>
    <row r="200" spans="3:16" s="59" customFormat="1" ht="21" customHeight="1">
      <c r="C200" s="293" t="s">
        <v>1218</v>
      </c>
      <c r="D200" s="294" t="s">
        <v>1219</v>
      </c>
      <c r="E200" s="295"/>
      <c r="F200" s="295"/>
      <c r="G200" s="295"/>
      <c r="H200" s="296"/>
      <c r="I200" s="284">
        <f>I199+I197+I192</f>
        <v>160100</v>
      </c>
      <c r="J200" s="119"/>
      <c r="K200" s="119"/>
      <c r="L200" s="119"/>
    </row>
    <row r="201" spans="3:16" s="59" customFormat="1" ht="21" customHeight="1">
      <c r="C201" s="293" t="s">
        <v>1220</v>
      </c>
      <c r="D201" s="294" t="s">
        <v>1321</v>
      </c>
      <c r="E201" s="295"/>
      <c r="F201" s="295"/>
      <c r="G201" s="296"/>
      <c r="H201" s="298">
        <v>0.1</v>
      </c>
      <c r="I201" s="284">
        <f>I200*H201</f>
        <v>16010</v>
      </c>
      <c r="J201" s="119"/>
      <c r="K201" s="119"/>
      <c r="L201" s="119"/>
    </row>
    <row r="202" spans="3:16" s="59" customFormat="1" ht="21" customHeight="1" thickBot="1">
      <c r="C202" s="299" t="s">
        <v>1221</v>
      </c>
      <c r="D202" s="300" t="s">
        <v>1222</v>
      </c>
      <c r="E202" s="301"/>
      <c r="F202" s="301"/>
      <c r="G202" s="301"/>
      <c r="H202" s="302"/>
      <c r="I202" s="303">
        <f>SUM(I200:I201)</f>
        <v>176110</v>
      </c>
      <c r="J202" s="119"/>
      <c r="K202" s="119"/>
      <c r="L202" s="119"/>
    </row>
    <row r="203" spans="3:16" ht="13.8" thickTop="1"/>
    <row r="204" spans="3:16" s="59" customFormat="1" ht="31.65" customHeight="1" thickBot="1">
      <c r="C204" s="170" t="s">
        <v>2576</v>
      </c>
      <c r="D204" s="1876" t="s">
        <v>2577</v>
      </c>
      <c r="E204" s="1876"/>
      <c r="F204" s="1876"/>
      <c r="G204" s="1876"/>
      <c r="H204" s="1876"/>
      <c r="I204" s="1876"/>
      <c r="J204" s="120">
        <f>ROUNDDOWN(I219,-2)</f>
        <v>176100</v>
      </c>
      <c r="K204" s="120"/>
      <c r="L204" s="120"/>
    </row>
    <row r="205" spans="3:16" s="59" customFormat="1" ht="28.2" thickTop="1">
      <c r="C205" s="51" t="s">
        <v>1195</v>
      </c>
      <c r="D205" s="52" t="s">
        <v>1196</v>
      </c>
      <c r="E205" s="52" t="s">
        <v>1906</v>
      </c>
      <c r="F205" s="52" t="s">
        <v>1197</v>
      </c>
      <c r="G205" s="52" t="s">
        <v>1198</v>
      </c>
      <c r="H205" s="52" t="s">
        <v>1199</v>
      </c>
      <c r="I205" s="53" t="s">
        <v>1200</v>
      </c>
      <c r="J205" s="119"/>
      <c r="K205" s="119"/>
      <c r="L205" s="119"/>
    </row>
    <row r="206" spans="3:16" s="59" customFormat="1" ht="20.399999999999999" customHeight="1">
      <c r="C206" s="290" t="s">
        <v>1201</v>
      </c>
      <c r="D206" s="182" t="s">
        <v>1202</v>
      </c>
      <c r="E206" s="182"/>
      <c r="F206" s="70"/>
      <c r="G206" s="70"/>
      <c r="H206" s="70"/>
      <c r="I206" s="71"/>
      <c r="J206" s="119"/>
      <c r="K206" s="119"/>
      <c r="L206" s="119"/>
      <c r="M206" s="374" t="s">
        <v>1247</v>
      </c>
    </row>
    <row r="207" spans="3:16" s="59" customFormat="1" ht="20.399999999999999" customHeight="1">
      <c r="C207" s="281">
        <v>1</v>
      </c>
      <c r="D207" s="182" t="s">
        <v>5</v>
      </c>
      <c r="E207" s="176" t="s">
        <v>1774</v>
      </c>
      <c r="F207" s="176" t="s">
        <v>6</v>
      </c>
      <c r="G207" s="315">
        <v>0.86219999999999997</v>
      </c>
      <c r="H207" s="283">
        <f>VLOOKUP(D207,upahbahan,3,FALSE)</f>
        <v>100000</v>
      </c>
      <c r="I207" s="284">
        <f>G207*H207</f>
        <v>86220</v>
      </c>
      <c r="J207" s="119"/>
      <c r="K207" s="119"/>
      <c r="L207" s="119"/>
      <c r="M207" s="374" t="s">
        <v>1248</v>
      </c>
      <c r="P207" s="65">
        <v>0.1</v>
      </c>
    </row>
    <row r="208" spans="3:16" s="59" customFormat="1" ht="20.399999999999999" customHeight="1">
      <c r="C208" s="281">
        <v>2</v>
      </c>
      <c r="D208" s="182" t="s">
        <v>1783</v>
      </c>
      <c r="E208" s="176" t="s">
        <v>1775</v>
      </c>
      <c r="F208" s="176" t="s">
        <v>2102</v>
      </c>
      <c r="G208" s="315">
        <v>0.41439999999999999</v>
      </c>
      <c r="H208" s="283">
        <f>VLOOKUP(D208,upahbahan,3,FALSE)</f>
        <v>145000</v>
      </c>
      <c r="I208" s="284">
        <f>G208*H208</f>
        <v>60088</v>
      </c>
      <c r="J208" s="119"/>
      <c r="K208" s="119"/>
      <c r="L208" s="119"/>
      <c r="M208" s="374"/>
      <c r="P208" s="65"/>
    </row>
    <row r="209" spans="3:13" s="59" customFormat="1" ht="20.399999999999999" customHeight="1">
      <c r="C209" s="281">
        <v>3</v>
      </c>
      <c r="D209" s="182" t="s">
        <v>19</v>
      </c>
      <c r="E209" s="176" t="s">
        <v>1777</v>
      </c>
      <c r="F209" s="176" t="s">
        <v>6</v>
      </c>
      <c r="G209" s="315">
        <v>8.6199999999999999E-2</v>
      </c>
      <c r="H209" s="283">
        <f>VLOOKUP(D209,upahbahan,3,FALSE)</f>
        <v>160000</v>
      </c>
      <c r="I209" s="284">
        <f>G209*H209</f>
        <v>13792</v>
      </c>
      <c r="J209" s="119"/>
      <c r="K209" s="119"/>
      <c r="L209" s="119"/>
    </row>
    <row r="210" spans="3:13" s="59" customFormat="1" ht="20.399999999999999" customHeight="1">
      <c r="C210" s="66" t="s">
        <v>1208</v>
      </c>
      <c r="D210" s="67"/>
      <c r="E210" s="67"/>
      <c r="F210" s="67"/>
      <c r="G210" s="142"/>
      <c r="H210" s="153"/>
      <c r="I210" s="284">
        <f>SUM(I207:I209)</f>
        <v>160100</v>
      </c>
      <c r="J210" s="319"/>
      <c r="K210" s="319"/>
      <c r="L210" s="319"/>
    </row>
    <row r="211" spans="3:13" s="59" customFormat="1" ht="20.399999999999999" customHeight="1">
      <c r="C211" s="290" t="s">
        <v>1209</v>
      </c>
      <c r="D211" s="182" t="s">
        <v>1210</v>
      </c>
      <c r="E211" s="182"/>
      <c r="F211" s="70"/>
      <c r="G211" s="70"/>
      <c r="H211" s="70"/>
      <c r="I211" s="71"/>
      <c r="J211" s="119"/>
      <c r="K211" s="119"/>
      <c r="L211" s="119"/>
    </row>
    <row r="212" spans="3:13" s="59" customFormat="1" ht="20.399999999999999" customHeight="1">
      <c r="C212" s="375">
        <v>1</v>
      </c>
      <c r="D212" s="109" t="s">
        <v>5263</v>
      </c>
      <c r="E212" s="109"/>
      <c r="F212" s="108" t="s">
        <v>42</v>
      </c>
      <c r="G212" s="340">
        <v>1.3</v>
      </c>
      <c r="H212" s="185">
        <f>VLOOKUP(D212,upahbahan,3,FALSE)</f>
        <v>0</v>
      </c>
      <c r="I212" s="317">
        <f>G212*H212</f>
        <v>0</v>
      </c>
      <c r="J212" s="119"/>
      <c r="K212" s="119"/>
      <c r="L212" s="119"/>
    </row>
    <row r="213" spans="3:13" s="59" customFormat="1" ht="20.399999999999999" customHeight="1">
      <c r="C213" s="377">
        <v>2</v>
      </c>
      <c r="D213" s="109" t="s">
        <v>241</v>
      </c>
      <c r="E213" s="109"/>
      <c r="F213" s="108" t="s">
        <v>65</v>
      </c>
      <c r="G213" s="340">
        <v>14.85</v>
      </c>
      <c r="H213" s="185">
        <f>VLOOKUP(D213,upahbahan,3,FALSE)</f>
        <v>0</v>
      </c>
      <c r="I213" s="317">
        <f>G213*H213</f>
        <v>0</v>
      </c>
      <c r="J213" s="119"/>
      <c r="K213" s="119"/>
      <c r="L213" s="119"/>
    </row>
    <row r="214" spans="3:13" s="59" customFormat="1" ht="20.399999999999999" customHeight="1">
      <c r="C214" s="157" t="s">
        <v>1214</v>
      </c>
      <c r="D214" s="372"/>
      <c r="E214" s="372"/>
      <c r="F214" s="372"/>
      <c r="G214" s="372"/>
      <c r="H214" s="373"/>
      <c r="I214" s="317">
        <f>SUM(I212:I213)</f>
        <v>0</v>
      </c>
      <c r="J214" s="119"/>
      <c r="K214" s="119"/>
      <c r="L214" s="119"/>
    </row>
    <row r="215" spans="3:13" s="59" customFormat="1" ht="20.399999999999999" customHeight="1">
      <c r="C215" s="316" t="s">
        <v>1215</v>
      </c>
      <c r="D215" s="109" t="s">
        <v>1216</v>
      </c>
      <c r="E215" s="109"/>
      <c r="F215" s="109"/>
      <c r="G215" s="109"/>
      <c r="H215" s="109"/>
      <c r="I215" s="376"/>
      <c r="J215" s="119"/>
      <c r="K215" s="119"/>
      <c r="L215" s="119"/>
    </row>
    <row r="216" spans="3:13" s="59" customFormat="1" ht="20.399999999999999" customHeight="1">
      <c r="C216" s="66" t="s">
        <v>1217</v>
      </c>
      <c r="D216" s="67"/>
      <c r="E216" s="67"/>
      <c r="F216" s="67"/>
      <c r="G216" s="67"/>
      <c r="H216" s="69"/>
      <c r="I216" s="292">
        <f>SUM(I215:I215)</f>
        <v>0</v>
      </c>
      <c r="J216" s="119"/>
      <c r="K216" s="119"/>
      <c r="L216" s="119"/>
    </row>
    <row r="217" spans="3:13" s="59" customFormat="1" ht="20.399999999999999" customHeight="1">
      <c r="C217" s="293" t="s">
        <v>1218</v>
      </c>
      <c r="D217" s="294" t="s">
        <v>1219</v>
      </c>
      <c r="E217" s="295"/>
      <c r="F217" s="295"/>
      <c r="G217" s="295"/>
      <c r="H217" s="296"/>
      <c r="I217" s="284">
        <f>I216+I214+I210</f>
        <v>160100</v>
      </c>
      <c r="J217" s="119"/>
      <c r="K217" s="119"/>
      <c r="L217" s="119"/>
    </row>
    <row r="218" spans="3:13" s="59" customFormat="1" ht="20.399999999999999" customHeight="1">
      <c r="C218" s="293" t="s">
        <v>1220</v>
      </c>
      <c r="D218" s="294" t="s">
        <v>1321</v>
      </c>
      <c r="E218" s="295"/>
      <c r="F218" s="295"/>
      <c r="G218" s="296"/>
      <c r="H218" s="298">
        <v>0.1</v>
      </c>
      <c r="I218" s="284">
        <f>I217*H218</f>
        <v>16010</v>
      </c>
      <c r="J218" s="119"/>
      <c r="K218" s="119"/>
      <c r="L218" s="119"/>
    </row>
    <row r="219" spans="3:13" s="59" customFormat="1" ht="20.399999999999999" customHeight="1" thickBot="1">
      <c r="C219" s="299" t="s">
        <v>1221</v>
      </c>
      <c r="D219" s="300" t="s">
        <v>1222</v>
      </c>
      <c r="E219" s="301"/>
      <c r="F219" s="301"/>
      <c r="G219" s="301"/>
      <c r="H219" s="302"/>
      <c r="I219" s="303">
        <f>SUM(I217:I218)</f>
        <v>176110</v>
      </c>
      <c r="J219" s="119"/>
      <c r="K219" s="119"/>
      <c r="L219" s="119"/>
    </row>
    <row r="220" spans="3:13" ht="13.8" thickTop="1"/>
    <row r="222" spans="3:13" s="59" customFormat="1" ht="31.65" customHeight="1" thickBot="1">
      <c r="C222" s="170" t="s">
        <v>2578</v>
      </c>
      <c r="D222" s="1876" t="s">
        <v>2579</v>
      </c>
      <c r="E222" s="1876"/>
      <c r="F222" s="1876"/>
      <c r="G222" s="1876"/>
      <c r="H222" s="1876"/>
      <c r="I222" s="1876"/>
      <c r="J222" s="120">
        <f>ROUNDDOWN(I238,-2)</f>
        <v>63700</v>
      </c>
      <c r="K222" s="120"/>
      <c r="L222" s="120"/>
    </row>
    <row r="223" spans="3:13" s="59" customFormat="1" ht="28.2" thickTop="1">
      <c r="C223" s="51" t="s">
        <v>1195</v>
      </c>
      <c r="D223" s="52" t="s">
        <v>1196</v>
      </c>
      <c r="E223" s="52" t="s">
        <v>1906</v>
      </c>
      <c r="F223" s="52" t="s">
        <v>1197</v>
      </c>
      <c r="G223" s="52" t="s">
        <v>1198</v>
      </c>
      <c r="H223" s="52" t="s">
        <v>1199</v>
      </c>
      <c r="I223" s="53" t="s">
        <v>1200</v>
      </c>
      <c r="J223" s="119"/>
      <c r="K223" s="119"/>
      <c r="L223" s="119"/>
    </row>
    <row r="224" spans="3:13" s="59" customFormat="1" ht="21" customHeight="1">
      <c r="C224" s="290" t="s">
        <v>1201</v>
      </c>
      <c r="D224" s="182" t="s">
        <v>1202</v>
      </c>
      <c r="E224" s="182"/>
      <c r="F224" s="70"/>
      <c r="G224" s="70"/>
      <c r="H224" s="70"/>
      <c r="I224" s="71"/>
      <c r="J224" s="119"/>
      <c r="K224" s="119"/>
      <c r="L224" s="119"/>
      <c r="M224" s="374" t="s">
        <v>1247</v>
      </c>
    </row>
    <row r="225" spans="3:16" s="59" customFormat="1" ht="21" customHeight="1">
      <c r="C225" s="281">
        <v>1</v>
      </c>
      <c r="D225" s="182" t="s">
        <v>5</v>
      </c>
      <c r="E225" s="176" t="s">
        <v>1774</v>
      </c>
      <c r="F225" s="176" t="s">
        <v>6</v>
      </c>
      <c r="G225" s="315">
        <v>0.36</v>
      </c>
      <c r="H225" s="283">
        <f>VLOOKUP(D225,upahbahan,3,FALSE)</f>
        <v>100000</v>
      </c>
      <c r="I225" s="284">
        <f>G225*H225</f>
        <v>36000</v>
      </c>
      <c r="J225" s="119"/>
      <c r="K225" s="119"/>
      <c r="L225" s="119"/>
      <c r="M225" s="374" t="s">
        <v>1248</v>
      </c>
      <c r="P225" s="65">
        <v>0.1</v>
      </c>
    </row>
    <row r="226" spans="3:16" s="59" customFormat="1" ht="21" customHeight="1">
      <c r="C226" s="281">
        <v>2</v>
      </c>
      <c r="D226" s="182" t="s">
        <v>7</v>
      </c>
      <c r="E226" s="176" t="s">
        <v>1775</v>
      </c>
      <c r="F226" s="176" t="s">
        <v>2102</v>
      </c>
      <c r="G226" s="315">
        <v>0.12</v>
      </c>
      <c r="H226" s="283">
        <f>VLOOKUP(D226,upahbahan,3,FALSE)</f>
        <v>135000</v>
      </c>
      <c r="I226" s="284">
        <f>G226*H226</f>
        <v>16200</v>
      </c>
      <c r="J226" s="119"/>
      <c r="K226" s="119"/>
      <c r="L226" s="119"/>
      <c r="M226" s="374"/>
      <c r="P226" s="65"/>
    </row>
    <row r="227" spans="3:16" s="59" customFormat="1" ht="21" customHeight="1">
      <c r="C227" s="281">
        <v>3</v>
      </c>
      <c r="D227" s="182" t="s">
        <v>19</v>
      </c>
      <c r="E227" s="176" t="s">
        <v>1777</v>
      </c>
      <c r="F227" s="176" t="s">
        <v>6</v>
      </c>
      <c r="G227" s="315">
        <v>3.5999999999999997E-2</v>
      </c>
      <c r="H227" s="283">
        <f>VLOOKUP(D227,upahbahan,3,FALSE)</f>
        <v>160000</v>
      </c>
      <c r="I227" s="284">
        <f>G227*H227</f>
        <v>5760</v>
      </c>
      <c r="J227" s="119"/>
      <c r="K227" s="119"/>
      <c r="L227" s="119"/>
    </row>
    <row r="228" spans="3:16" s="59" customFormat="1" ht="21" customHeight="1">
      <c r="C228" s="66" t="s">
        <v>1208</v>
      </c>
      <c r="D228" s="67"/>
      <c r="E228" s="67"/>
      <c r="F228" s="67"/>
      <c r="G228" s="142"/>
      <c r="H228" s="153"/>
      <c r="I228" s="284">
        <f>SUM(I225:I227)</f>
        <v>57960</v>
      </c>
      <c r="J228" s="319"/>
      <c r="K228" s="319"/>
      <c r="L228" s="319"/>
    </row>
    <row r="229" spans="3:16" s="59" customFormat="1" ht="21" customHeight="1">
      <c r="C229" s="290" t="s">
        <v>1209</v>
      </c>
      <c r="D229" s="182" t="s">
        <v>1210</v>
      </c>
      <c r="E229" s="182"/>
      <c r="F229" s="70"/>
      <c r="G229" s="70"/>
      <c r="H229" s="70"/>
      <c r="I229" s="71"/>
      <c r="J229" s="119"/>
      <c r="K229" s="119"/>
      <c r="L229" s="119"/>
    </row>
    <row r="230" spans="3:16" s="59" customFormat="1" ht="21" customHeight="1">
      <c r="C230" s="375">
        <v>1</v>
      </c>
      <c r="D230" s="109" t="s">
        <v>5263</v>
      </c>
      <c r="E230" s="109"/>
      <c r="F230" s="108" t="s">
        <v>42</v>
      </c>
      <c r="G230" s="340">
        <v>1.3</v>
      </c>
      <c r="H230" s="185">
        <f>VLOOKUP(D230,upahbahan,3,FALSE)</f>
        <v>0</v>
      </c>
      <c r="I230" s="317">
        <f>G230*H230</f>
        <v>0</v>
      </c>
      <c r="J230" s="119"/>
      <c r="K230" s="119"/>
      <c r="L230" s="119"/>
    </row>
    <row r="231" spans="3:16" s="59" customFormat="1" ht="21" customHeight="1">
      <c r="C231" s="377">
        <v>2</v>
      </c>
      <c r="D231" s="109" t="s">
        <v>234</v>
      </c>
      <c r="E231" s="109"/>
      <c r="F231" s="108" t="s">
        <v>44</v>
      </c>
      <c r="G231" s="340">
        <v>1</v>
      </c>
      <c r="H231" s="185">
        <f>VLOOKUP(D231,upahbahan,3,FALSE)</f>
        <v>0</v>
      </c>
      <c r="I231" s="317">
        <f>G231*H231</f>
        <v>0</v>
      </c>
      <c r="J231" s="119"/>
      <c r="K231" s="119"/>
      <c r="L231" s="119"/>
    </row>
    <row r="232" spans="3:16" s="59" customFormat="1" ht="21" customHeight="1">
      <c r="C232" s="377">
        <v>3</v>
      </c>
      <c r="D232" s="109" t="s">
        <v>1840</v>
      </c>
      <c r="E232" s="109"/>
      <c r="F232" s="108" t="s">
        <v>42</v>
      </c>
      <c r="G232" s="340">
        <v>0.432</v>
      </c>
      <c r="H232" s="185">
        <f>VLOOKUP(D232,upahbahan,3,FALSE)</f>
        <v>0</v>
      </c>
      <c r="I232" s="317">
        <f>G232*H232</f>
        <v>0</v>
      </c>
      <c r="J232" s="119"/>
      <c r="K232" s="119"/>
      <c r="L232" s="119"/>
    </row>
    <row r="233" spans="3:16" s="59" customFormat="1" ht="21" customHeight="1">
      <c r="C233" s="157" t="s">
        <v>1214</v>
      </c>
      <c r="D233" s="372"/>
      <c r="E233" s="372"/>
      <c r="F233" s="372"/>
      <c r="G233" s="372"/>
      <c r="H233" s="373"/>
      <c r="I233" s="317">
        <f>SUM(I230:I231)</f>
        <v>0</v>
      </c>
      <c r="J233" s="119"/>
      <c r="K233" s="119"/>
      <c r="L233" s="119"/>
    </row>
    <row r="234" spans="3:16" s="59" customFormat="1" ht="21" customHeight="1">
      <c r="C234" s="316" t="s">
        <v>1215</v>
      </c>
      <c r="D234" s="109" t="s">
        <v>1216</v>
      </c>
      <c r="E234" s="109"/>
      <c r="F234" s="109"/>
      <c r="G234" s="109"/>
      <c r="H234" s="109"/>
      <c r="I234" s="376"/>
      <c r="J234" s="119"/>
      <c r="K234" s="119"/>
      <c r="L234" s="119"/>
    </row>
    <row r="235" spans="3:16" s="59" customFormat="1" ht="21" customHeight="1">
      <c r="C235" s="66" t="s">
        <v>1217</v>
      </c>
      <c r="D235" s="67"/>
      <c r="E235" s="67"/>
      <c r="F235" s="67"/>
      <c r="G235" s="67"/>
      <c r="H235" s="69"/>
      <c r="I235" s="292">
        <f>SUM(I234:I234)</f>
        <v>0</v>
      </c>
      <c r="J235" s="119"/>
      <c r="K235" s="119"/>
      <c r="L235" s="119"/>
    </row>
    <row r="236" spans="3:16" s="59" customFormat="1" ht="21" customHeight="1">
      <c r="C236" s="293" t="s">
        <v>1218</v>
      </c>
      <c r="D236" s="294" t="s">
        <v>1219</v>
      </c>
      <c r="E236" s="295"/>
      <c r="F236" s="295"/>
      <c r="G236" s="295"/>
      <c r="H236" s="296"/>
      <c r="I236" s="284">
        <f>I235+I233+I228</f>
        <v>57960</v>
      </c>
      <c r="J236" s="119"/>
      <c r="K236" s="119"/>
      <c r="L236" s="119"/>
    </row>
    <row r="237" spans="3:16" s="59" customFormat="1" ht="21" customHeight="1">
      <c r="C237" s="293" t="s">
        <v>1220</v>
      </c>
      <c r="D237" s="294" t="s">
        <v>1321</v>
      </c>
      <c r="E237" s="295"/>
      <c r="F237" s="295"/>
      <c r="G237" s="296"/>
      <c r="H237" s="298">
        <v>0.1</v>
      </c>
      <c r="I237" s="284">
        <f>I236*H237</f>
        <v>5796</v>
      </c>
      <c r="J237" s="119"/>
      <c r="K237" s="119"/>
      <c r="L237" s="119"/>
    </row>
    <row r="238" spans="3:16" s="59" customFormat="1" ht="21" customHeight="1" thickBot="1">
      <c r="C238" s="299" t="s">
        <v>1221</v>
      </c>
      <c r="D238" s="300" t="s">
        <v>1222</v>
      </c>
      <c r="E238" s="301"/>
      <c r="F238" s="301"/>
      <c r="G238" s="301"/>
      <c r="H238" s="302"/>
      <c r="I238" s="303">
        <f>SUM(I236:I237)</f>
        <v>63756</v>
      </c>
      <c r="J238" s="119"/>
      <c r="K238" s="119"/>
      <c r="L238" s="119"/>
    </row>
    <row r="239" spans="3:16" ht="13.8" thickTop="1"/>
    <row r="240" spans="3:16" s="59" customFormat="1" ht="31.65" customHeight="1" thickBot="1">
      <c r="C240" s="170" t="s">
        <v>2580</v>
      </c>
      <c r="D240" s="1876" t="s">
        <v>2581</v>
      </c>
      <c r="E240" s="1876"/>
      <c r="F240" s="1876"/>
      <c r="G240" s="1876"/>
      <c r="H240" s="1876"/>
      <c r="I240" s="1876"/>
      <c r="J240" s="120">
        <f>ROUNDDOWN(I255,-2)</f>
        <v>63700</v>
      </c>
      <c r="K240" s="120"/>
      <c r="L240" s="120"/>
    </row>
    <row r="241" spans="3:16" s="59" customFormat="1" ht="28.2" thickTop="1">
      <c r="C241" s="51" t="s">
        <v>1195</v>
      </c>
      <c r="D241" s="52" t="s">
        <v>1196</v>
      </c>
      <c r="E241" s="52" t="s">
        <v>1906</v>
      </c>
      <c r="F241" s="52" t="s">
        <v>1197</v>
      </c>
      <c r="G241" s="52" t="s">
        <v>1198</v>
      </c>
      <c r="H241" s="52" t="s">
        <v>1199</v>
      </c>
      <c r="I241" s="53" t="s">
        <v>1200</v>
      </c>
      <c r="J241" s="119"/>
      <c r="K241" s="119"/>
      <c r="L241" s="119"/>
    </row>
    <row r="242" spans="3:16" s="59" customFormat="1" ht="21" customHeight="1">
      <c r="C242" s="290" t="s">
        <v>1201</v>
      </c>
      <c r="D242" s="182" t="s">
        <v>1202</v>
      </c>
      <c r="E242" s="182"/>
      <c r="F242" s="70"/>
      <c r="G242" s="70"/>
      <c r="H242" s="70"/>
      <c r="I242" s="71"/>
      <c r="J242" s="119"/>
      <c r="K242" s="119"/>
      <c r="L242" s="119"/>
      <c r="M242" s="374" t="s">
        <v>1247</v>
      </c>
    </row>
    <row r="243" spans="3:16" s="59" customFormat="1" ht="21" customHeight="1">
      <c r="C243" s="281">
        <v>1</v>
      </c>
      <c r="D243" s="182" t="s">
        <v>5</v>
      </c>
      <c r="E243" s="176" t="s">
        <v>1774</v>
      </c>
      <c r="F243" s="176" t="s">
        <v>6</v>
      </c>
      <c r="G243" s="315">
        <v>0.36</v>
      </c>
      <c r="H243" s="283">
        <f>VLOOKUP(D243,upahbahan,3,FALSE)</f>
        <v>100000</v>
      </c>
      <c r="I243" s="284">
        <f>G243*H243</f>
        <v>36000</v>
      </c>
      <c r="J243" s="119"/>
      <c r="K243" s="119"/>
      <c r="L243" s="119"/>
      <c r="M243" s="374" t="s">
        <v>1248</v>
      </c>
      <c r="P243" s="65">
        <v>0.1</v>
      </c>
    </row>
    <row r="244" spans="3:16" s="59" customFormat="1" ht="21" customHeight="1">
      <c r="C244" s="281">
        <v>2</v>
      </c>
      <c r="D244" s="182" t="s">
        <v>7</v>
      </c>
      <c r="E244" s="176" t="s">
        <v>1775</v>
      </c>
      <c r="F244" s="176" t="s">
        <v>2102</v>
      </c>
      <c r="G244" s="315">
        <v>0.12</v>
      </c>
      <c r="H244" s="283">
        <f>VLOOKUP(D244,upahbahan,3,FALSE)</f>
        <v>135000</v>
      </c>
      <c r="I244" s="284">
        <f>G244*H244</f>
        <v>16200</v>
      </c>
      <c r="J244" s="119"/>
      <c r="K244" s="119"/>
      <c r="L244" s="119"/>
      <c r="M244" s="374"/>
      <c r="P244" s="65"/>
    </row>
    <row r="245" spans="3:16" s="59" customFormat="1" ht="21" customHeight="1">
      <c r="C245" s="281">
        <v>3</v>
      </c>
      <c r="D245" s="182" t="s">
        <v>19</v>
      </c>
      <c r="E245" s="176" t="s">
        <v>1777</v>
      </c>
      <c r="F245" s="176" t="s">
        <v>6</v>
      </c>
      <c r="G245" s="315">
        <v>3.5999999999999997E-2</v>
      </c>
      <c r="H245" s="283">
        <f>VLOOKUP(D245,upahbahan,3,FALSE)</f>
        <v>160000</v>
      </c>
      <c r="I245" s="284">
        <f>G245*H245</f>
        <v>5760</v>
      </c>
      <c r="J245" s="119"/>
      <c r="K245" s="119"/>
      <c r="L245" s="119"/>
    </row>
    <row r="246" spans="3:16" s="59" customFormat="1" ht="21" customHeight="1">
      <c r="C246" s="66" t="s">
        <v>1208</v>
      </c>
      <c r="D246" s="67"/>
      <c r="E246" s="67"/>
      <c r="F246" s="67"/>
      <c r="G246" s="142"/>
      <c r="H246" s="153"/>
      <c r="I246" s="284">
        <f>SUM(I243:I245)</f>
        <v>57960</v>
      </c>
      <c r="J246" s="319"/>
      <c r="K246" s="319"/>
      <c r="L246" s="319"/>
    </row>
    <row r="247" spans="3:16" s="59" customFormat="1" ht="21" customHeight="1">
      <c r="C247" s="290" t="s">
        <v>1209</v>
      </c>
      <c r="D247" s="182" t="s">
        <v>1210</v>
      </c>
      <c r="E247" s="182"/>
      <c r="F247" s="70"/>
      <c r="G247" s="70"/>
      <c r="H247" s="70"/>
      <c r="I247" s="71"/>
      <c r="J247" s="119"/>
      <c r="K247" s="119"/>
      <c r="L247" s="119"/>
    </row>
    <row r="248" spans="3:16" s="59" customFormat="1" ht="21" customHeight="1">
      <c r="C248" s="375">
        <v>1</v>
      </c>
      <c r="D248" s="109" t="s">
        <v>5263</v>
      </c>
      <c r="E248" s="109"/>
      <c r="F248" s="108" t="s">
        <v>42</v>
      </c>
      <c r="G248" s="340">
        <v>1.3</v>
      </c>
      <c r="H248" s="185">
        <f>VLOOKUP(D248,upahbahan,3,FALSE)</f>
        <v>0</v>
      </c>
      <c r="I248" s="317">
        <f>G248*H248</f>
        <v>0</v>
      </c>
      <c r="J248" s="119"/>
      <c r="K248" s="119"/>
      <c r="L248" s="119"/>
    </row>
    <row r="249" spans="3:16" s="59" customFormat="1" ht="33" customHeight="1">
      <c r="C249" s="377">
        <v>2</v>
      </c>
      <c r="D249" s="109" t="s">
        <v>234</v>
      </c>
      <c r="E249" s="109"/>
      <c r="F249" s="108" t="s">
        <v>44</v>
      </c>
      <c r="G249" s="340">
        <v>1</v>
      </c>
      <c r="H249" s="185">
        <f>VLOOKUP(D249,upahbahan,3,FALSE)</f>
        <v>0</v>
      </c>
      <c r="I249" s="317">
        <f>G249*H249</f>
        <v>0</v>
      </c>
      <c r="J249" s="119"/>
      <c r="K249" s="119"/>
      <c r="L249" s="119"/>
    </row>
    <row r="250" spans="3:16" s="59" customFormat="1" ht="21" customHeight="1">
      <c r="C250" s="157" t="s">
        <v>1214</v>
      </c>
      <c r="D250" s="372"/>
      <c r="E250" s="372"/>
      <c r="F250" s="372"/>
      <c r="G250" s="372"/>
      <c r="H250" s="373"/>
      <c r="I250" s="317">
        <f>SUM(I248:I249)</f>
        <v>0</v>
      </c>
      <c r="J250" s="119"/>
      <c r="K250" s="119"/>
      <c r="L250" s="119"/>
    </row>
    <row r="251" spans="3:16" s="59" customFormat="1" ht="21" customHeight="1">
      <c r="C251" s="316" t="s">
        <v>1215</v>
      </c>
      <c r="D251" s="109" t="s">
        <v>1216</v>
      </c>
      <c r="E251" s="109"/>
      <c r="F251" s="109"/>
      <c r="G251" s="109"/>
      <c r="H251" s="109"/>
      <c r="I251" s="376"/>
      <c r="J251" s="119"/>
      <c r="K251" s="119"/>
      <c r="L251" s="119"/>
    </row>
    <row r="252" spans="3:16" s="59" customFormat="1" ht="21" customHeight="1">
      <c r="C252" s="66" t="s">
        <v>1217</v>
      </c>
      <c r="D252" s="67"/>
      <c r="E252" s="67"/>
      <c r="F252" s="67"/>
      <c r="G252" s="67"/>
      <c r="H252" s="69"/>
      <c r="I252" s="292">
        <f>SUM(I251:I251)</f>
        <v>0</v>
      </c>
      <c r="J252" s="119"/>
      <c r="K252" s="119"/>
      <c r="L252" s="119"/>
    </row>
    <row r="253" spans="3:16" s="59" customFormat="1" ht="21" customHeight="1">
      <c r="C253" s="293" t="s">
        <v>1218</v>
      </c>
      <c r="D253" s="294" t="s">
        <v>1219</v>
      </c>
      <c r="E253" s="295"/>
      <c r="F253" s="295"/>
      <c r="G253" s="295"/>
      <c r="H253" s="296"/>
      <c r="I253" s="284">
        <f>I252+I250+I246</f>
        <v>57960</v>
      </c>
      <c r="J253" s="119"/>
      <c r="K253" s="119"/>
      <c r="L253" s="119"/>
    </row>
    <row r="254" spans="3:16" s="59" customFormat="1" ht="21" customHeight="1">
      <c r="C254" s="293" t="s">
        <v>1220</v>
      </c>
      <c r="D254" s="294" t="s">
        <v>1321</v>
      </c>
      <c r="E254" s="295"/>
      <c r="F254" s="295"/>
      <c r="G254" s="296"/>
      <c r="H254" s="298">
        <v>0.1</v>
      </c>
      <c r="I254" s="284">
        <f>I253*H254</f>
        <v>5796</v>
      </c>
      <c r="J254" s="119"/>
      <c r="K254" s="119"/>
      <c r="L254" s="119"/>
    </row>
    <row r="255" spans="3:16" s="59" customFormat="1" ht="21" customHeight="1" thickBot="1">
      <c r="C255" s="299" t="s">
        <v>1221</v>
      </c>
      <c r="D255" s="300" t="s">
        <v>1222</v>
      </c>
      <c r="E255" s="301"/>
      <c r="F255" s="301"/>
      <c r="G255" s="301"/>
      <c r="H255" s="302"/>
      <c r="I255" s="303">
        <f>SUM(I253:I254)</f>
        <v>63756</v>
      </c>
      <c r="J255" s="119"/>
      <c r="K255" s="119"/>
      <c r="L255" s="119"/>
    </row>
    <row r="256" spans="3:16" ht="13.8" thickTop="1"/>
    <row r="258" spans="3:16" s="59" customFormat="1" ht="31.65" customHeight="1" thickBot="1">
      <c r="C258" s="170" t="s">
        <v>2582</v>
      </c>
      <c r="D258" s="1876" t="s">
        <v>2583</v>
      </c>
      <c r="E258" s="1876"/>
      <c r="F258" s="1876"/>
      <c r="G258" s="1876"/>
      <c r="H258" s="1876"/>
      <c r="I258" s="1876"/>
      <c r="J258" s="120">
        <f>ROUNDDOWN(I274,-2)</f>
        <v>124200</v>
      </c>
      <c r="K258" s="120"/>
      <c r="L258" s="120"/>
    </row>
    <row r="259" spans="3:16" s="59" customFormat="1" ht="28.2" thickTop="1">
      <c r="C259" s="51" t="s">
        <v>1195</v>
      </c>
      <c r="D259" s="52" t="s">
        <v>1196</v>
      </c>
      <c r="E259" s="52" t="s">
        <v>1906</v>
      </c>
      <c r="F259" s="52" t="s">
        <v>1197</v>
      </c>
      <c r="G259" s="52" t="s">
        <v>1198</v>
      </c>
      <c r="H259" s="52" t="s">
        <v>1199</v>
      </c>
      <c r="I259" s="53" t="s">
        <v>1200</v>
      </c>
      <c r="J259" s="119"/>
      <c r="K259" s="119"/>
      <c r="L259" s="119"/>
    </row>
    <row r="260" spans="3:16" s="59" customFormat="1" ht="22.65" customHeight="1">
      <c r="C260" s="290" t="s">
        <v>1201</v>
      </c>
      <c r="D260" s="182" t="s">
        <v>1202</v>
      </c>
      <c r="E260" s="182"/>
      <c r="F260" s="70"/>
      <c r="G260" s="70"/>
      <c r="H260" s="70"/>
      <c r="I260" s="71"/>
      <c r="J260" s="119"/>
      <c r="K260" s="119"/>
      <c r="L260" s="119"/>
      <c r="M260" s="374" t="s">
        <v>1247</v>
      </c>
    </row>
    <row r="261" spans="3:16" s="59" customFormat="1" ht="24.6" customHeight="1">
      <c r="C261" s="281">
        <v>1</v>
      </c>
      <c r="D261" s="182" t="s">
        <v>5</v>
      </c>
      <c r="E261" s="176" t="s">
        <v>1774</v>
      </c>
      <c r="F261" s="176" t="s">
        <v>6</v>
      </c>
      <c r="G261" s="315">
        <v>0.70169999999999999</v>
      </c>
      <c r="H261" s="283">
        <f>VLOOKUP(D261,upahbahan,3,FALSE)</f>
        <v>100000</v>
      </c>
      <c r="I261" s="284">
        <f>G261*H261</f>
        <v>70170</v>
      </c>
      <c r="J261" s="119"/>
      <c r="K261" s="119"/>
      <c r="L261" s="119"/>
      <c r="M261" s="374" t="s">
        <v>1248</v>
      </c>
      <c r="P261" s="65">
        <v>0.1</v>
      </c>
    </row>
    <row r="262" spans="3:16" s="59" customFormat="1" ht="24.6" customHeight="1">
      <c r="C262" s="281">
        <v>2</v>
      </c>
      <c r="D262" s="182" t="s">
        <v>7</v>
      </c>
      <c r="E262" s="176" t="s">
        <v>1775</v>
      </c>
      <c r="F262" s="176" t="s">
        <v>2102</v>
      </c>
      <c r="G262" s="315">
        <v>0.2339</v>
      </c>
      <c r="H262" s="283">
        <f>VLOOKUP(D262,upahbahan,3,FALSE)</f>
        <v>135000</v>
      </c>
      <c r="I262" s="284">
        <f>G262*H262</f>
        <v>31576.5</v>
      </c>
      <c r="J262" s="119"/>
      <c r="K262" s="119"/>
      <c r="L262" s="119"/>
      <c r="M262" s="374"/>
      <c r="P262" s="65"/>
    </row>
    <row r="263" spans="3:16" s="59" customFormat="1" ht="24.6" customHeight="1">
      <c r="C263" s="281">
        <v>3</v>
      </c>
      <c r="D263" s="182" t="s">
        <v>19</v>
      </c>
      <c r="E263" s="176" t="s">
        <v>1777</v>
      </c>
      <c r="F263" s="176" t="s">
        <v>6</v>
      </c>
      <c r="G263" s="315">
        <v>7.0099999999999996E-2</v>
      </c>
      <c r="H263" s="283">
        <f>VLOOKUP(D263,upahbahan,3,FALSE)</f>
        <v>160000</v>
      </c>
      <c r="I263" s="284">
        <f>G263*H263</f>
        <v>11216</v>
      </c>
      <c r="J263" s="119"/>
      <c r="K263" s="119"/>
      <c r="L263" s="119"/>
    </row>
    <row r="264" spans="3:16" s="59" customFormat="1" ht="24.6" customHeight="1">
      <c r="C264" s="66" t="s">
        <v>1208</v>
      </c>
      <c r="D264" s="67"/>
      <c r="E264" s="67"/>
      <c r="F264" s="67"/>
      <c r="G264" s="142"/>
      <c r="H264" s="153"/>
      <c r="I264" s="284">
        <f>SUM(I261:I263)</f>
        <v>112962.5</v>
      </c>
      <c r="J264" s="319"/>
      <c r="K264" s="319"/>
      <c r="L264" s="319"/>
    </row>
    <row r="265" spans="3:16" s="59" customFormat="1" ht="24.6" customHeight="1">
      <c r="C265" s="290" t="s">
        <v>1209</v>
      </c>
      <c r="D265" s="182" t="s">
        <v>1210</v>
      </c>
      <c r="E265" s="182"/>
      <c r="F265" s="70"/>
      <c r="G265" s="70"/>
      <c r="H265" s="70"/>
      <c r="I265" s="71"/>
      <c r="J265" s="119"/>
      <c r="K265" s="119"/>
      <c r="L265" s="119"/>
    </row>
    <row r="266" spans="3:16" s="59" customFormat="1" ht="24.6" customHeight="1">
      <c r="C266" s="375">
        <v>1</v>
      </c>
      <c r="D266" s="109" t="s">
        <v>5263</v>
      </c>
      <c r="E266" s="109"/>
      <c r="F266" s="108" t="s">
        <v>42</v>
      </c>
      <c r="G266" s="340">
        <v>1.3</v>
      </c>
      <c r="H266" s="185">
        <f>VLOOKUP(D266,upahbahan,3,FALSE)</f>
        <v>0</v>
      </c>
      <c r="I266" s="317">
        <f>G266*H266</f>
        <v>0</v>
      </c>
      <c r="J266" s="119"/>
      <c r="K266" s="119"/>
      <c r="L266" s="119"/>
    </row>
    <row r="267" spans="3:16" s="59" customFormat="1" ht="28.8" customHeight="1">
      <c r="C267" s="377">
        <v>2</v>
      </c>
      <c r="D267" s="109" t="s">
        <v>234</v>
      </c>
      <c r="E267" s="109"/>
      <c r="F267" s="108" t="s">
        <v>44</v>
      </c>
      <c r="G267" s="340">
        <v>1</v>
      </c>
      <c r="H267" s="185">
        <f>VLOOKUP(D267,upahbahan,3,FALSE)</f>
        <v>0</v>
      </c>
      <c r="I267" s="317">
        <f>G267*H267</f>
        <v>0</v>
      </c>
      <c r="J267" s="119"/>
      <c r="K267" s="119"/>
      <c r="L267" s="119"/>
    </row>
    <row r="268" spans="3:16" s="59" customFormat="1" ht="24.6" customHeight="1">
      <c r="C268" s="377">
        <v>3</v>
      </c>
      <c r="D268" s="109" t="s">
        <v>1840</v>
      </c>
      <c r="E268" s="109"/>
      <c r="F268" s="108" t="s">
        <v>42</v>
      </c>
      <c r="G268" s="340">
        <v>0.432</v>
      </c>
      <c r="H268" s="185">
        <f>VLOOKUP(D268,upahbahan,3,FALSE)</f>
        <v>0</v>
      </c>
      <c r="I268" s="317">
        <f>G268*H268</f>
        <v>0</v>
      </c>
      <c r="J268" s="119"/>
      <c r="K268" s="119"/>
      <c r="L268" s="119"/>
    </row>
    <row r="269" spans="3:16" s="59" customFormat="1" ht="24.6" customHeight="1">
      <c r="C269" s="157" t="s">
        <v>1214</v>
      </c>
      <c r="D269" s="372"/>
      <c r="E269" s="372"/>
      <c r="F269" s="372"/>
      <c r="G269" s="372"/>
      <c r="H269" s="373"/>
      <c r="I269" s="317">
        <f>SUM(I266:I267)</f>
        <v>0</v>
      </c>
      <c r="J269" s="119"/>
      <c r="K269" s="119"/>
      <c r="L269" s="119"/>
    </row>
    <row r="270" spans="3:16" s="59" customFormat="1" ht="24.6" customHeight="1">
      <c r="C270" s="316" t="s">
        <v>1215</v>
      </c>
      <c r="D270" s="109" t="s">
        <v>1216</v>
      </c>
      <c r="E270" s="109"/>
      <c r="F270" s="109"/>
      <c r="G270" s="109"/>
      <c r="H270" s="109"/>
      <c r="I270" s="376"/>
      <c r="J270" s="119"/>
      <c r="K270" s="119"/>
      <c r="L270" s="119"/>
    </row>
    <row r="271" spans="3:16" s="59" customFormat="1" ht="24.6" customHeight="1">
      <c r="C271" s="66" t="s">
        <v>1217</v>
      </c>
      <c r="D271" s="67"/>
      <c r="E271" s="67"/>
      <c r="F271" s="67"/>
      <c r="G271" s="67"/>
      <c r="H271" s="69"/>
      <c r="I271" s="292">
        <f>SUM(I270:I270)</f>
        <v>0</v>
      </c>
      <c r="J271" s="119"/>
      <c r="K271" s="119"/>
      <c r="L271" s="119"/>
    </row>
    <row r="272" spans="3:16" s="59" customFormat="1" ht="24.6" customHeight="1">
      <c r="C272" s="293" t="s">
        <v>1218</v>
      </c>
      <c r="D272" s="294" t="s">
        <v>1219</v>
      </c>
      <c r="E272" s="295"/>
      <c r="F272" s="295"/>
      <c r="G272" s="295"/>
      <c r="H272" s="296"/>
      <c r="I272" s="284">
        <f>I271+I269+I264</f>
        <v>112962.5</v>
      </c>
      <c r="J272" s="119"/>
      <c r="K272" s="119"/>
      <c r="L272" s="119"/>
    </row>
    <row r="273" spans="3:16" s="59" customFormat="1" ht="24.6" customHeight="1">
      <c r="C273" s="293" t="s">
        <v>1220</v>
      </c>
      <c r="D273" s="294" t="s">
        <v>1321</v>
      </c>
      <c r="E273" s="295"/>
      <c r="F273" s="295"/>
      <c r="G273" s="296"/>
      <c r="H273" s="298">
        <v>0.1</v>
      </c>
      <c r="I273" s="284">
        <f>I272*H273</f>
        <v>11296.25</v>
      </c>
      <c r="J273" s="119"/>
      <c r="K273" s="119"/>
      <c r="L273" s="119"/>
    </row>
    <row r="274" spans="3:16" s="59" customFormat="1" ht="24.6" customHeight="1" thickBot="1">
      <c r="C274" s="299" t="s">
        <v>1221</v>
      </c>
      <c r="D274" s="300" t="s">
        <v>1222</v>
      </c>
      <c r="E274" s="301"/>
      <c r="F274" s="301"/>
      <c r="G274" s="301"/>
      <c r="H274" s="302"/>
      <c r="I274" s="303">
        <f>SUM(I272:I273)</f>
        <v>124258.75</v>
      </c>
      <c r="J274" s="119"/>
      <c r="K274" s="119"/>
      <c r="L274" s="119"/>
    </row>
    <row r="275" spans="3:16" ht="13.8" thickTop="1"/>
    <row r="277" spans="3:16" s="59" customFormat="1" ht="31.65" customHeight="1" thickBot="1">
      <c r="C277" s="170" t="s">
        <v>2584</v>
      </c>
      <c r="D277" s="1876" t="s">
        <v>2585</v>
      </c>
      <c r="E277" s="1876"/>
      <c r="F277" s="1876"/>
      <c r="G277" s="1876"/>
      <c r="H277" s="1876"/>
      <c r="I277" s="1876"/>
      <c r="J277" s="120">
        <f>ROUNDDOWN(I292,-2)</f>
        <v>124200</v>
      </c>
      <c r="K277" s="120"/>
      <c r="L277" s="120"/>
    </row>
    <row r="278" spans="3:16" s="59" customFormat="1" ht="28.2" thickTop="1">
      <c r="C278" s="51" t="s">
        <v>1195</v>
      </c>
      <c r="D278" s="52" t="s">
        <v>1196</v>
      </c>
      <c r="E278" s="52" t="s">
        <v>1906</v>
      </c>
      <c r="F278" s="52" t="s">
        <v>1197</v>
      </c>
      <c r="G278" s="52" t="s">
        <v>1198</v>
      </c>
      <c r="H278" s="52" t="s">
        <v>1199</v>
      </c>
      <c r="I278" s="53" t="s">
        <v>1200</v>
      </c>
      <c r="J278" s="119"/>
      <c r="K278" s="119"/>
      <c r="L278" s="119"/>
    </row>
    <row r="279" spans="3:16" s="59" customFormat="1" ht="22.2" customHeight="1">
      <c r="C279" s="290" t="s">
        <v>1201</v>
      </c>
      <c r="D279" s="182" t="s">
        <v>1202</v>
      </c>
      <c r="E279" s="182"/>
      <c r="F279" s="70"/>
      <c r="G279" s="70"/>
      <c r="H279" s="70"/>
      <c r="I279" s="71"/>
      <c r="J279" s="119"/>
      <c r="K279" s="119"/>
      <c r="L279" s="119"/>
      <c r="M279" s="374" t="s">
        <v>1247</v>
      </c>
    </row>
    <row r="280" spans="3:16" s="59" customFormat="1" ht="22.2" customHeight="1">
      <c r="C280" s="281">
        <v>1</v>
      </c>
      <c r="D280" s="182" t="s">
        <v>5</v>
      </c>
      <c r="E280" s="176" t="s">
        <v>1774</v>
      </c>
      <c r="F280" s="176" t="s">
        <v>6</v>
      </c>
      <c r="G280" s="315">
        <v>0.70169999999999999</v>
      </c>
      <c r="H280" s="283">
        <f>VLOOKUP(D280,upahbahan,3,FALSE)</f>
        <v>100000</v>
      </c>
      <c r="I280" s="284">
        <f>G280*H280</f>
        <v>70170</v>
      </c>
      <c r="J280" s="119"/>
      <c r="K280" s="119"/>
      <c r="L280" s="119"/>
      <c r="M280" s="374" t="s">
        <v>1248</v>
      </c>
      <c r="P280" s="65">
        <v>0.1</v>
      </c>
    </row>
    <row r="281" spans="3:16" s="59" customFormat="1" ht="22.2" customHeight="1">
      <c r="C281" s="281">
        <v>2</v>
      </c>
      <c r="D281" s="182" t="s">
        <v>7</v>
      </c>
      <c r="E281" s="176" t="s">
        <v>1775</v>
      </c>
      <c r="F281" s="176" t="s">
        <v>2102</v>
      </c>
      <c r="G281" s="315">
        <v>0.2339</v>
      </c>
      <c r="H281" s="283">
        <f>VLOOKUP(D281,upahbahan,3,FALSE)</f>
        <v>135000</v>
      </c>
      <c r="I281" s="284">
        <f>G281*H281</f>
        <v>31576.5</v>
      </c>
      <c r="J281" s="119"/>
      <c r="K281" s="119"/>
      <c r="L281" s="119"/>
      <c r="M281" s="374"/>
      <c r="P281" s="65"/>
    </row>
    <row r="282" spans="3:16" s="59" customFormat="1" ht="22.2" customHeight="1">
      <c r="C282" s="281">
        <v>3</v>
      </c>
      <c r="D282" s="182" t="s">
        <v>19</v>
      </c>
      <c r="E282" s="176" t="s">
        <v>1777</v>
      </c>
      <c r="F282" s="176" t="s">
        <v>6</v>
      </c>
      <c r="G282" s="315">
        <v>7.0099999999999996E-2</v>
      </c>
      <c r="H282" s="283">
        <f>VLOOKUP(D282,upahbahan,3,FALSE)</f>
        <v>160000</v>
      </c>
      <c r="I282" s="284">
        <f>G282*H282</f>
        <v>11216</v>
      </c>
      <c r="J282" s="119"/>
      <c r="K282" s="119"/>
      <c r="L282" s="119"/>
    </row>
    <row r="283" spans="3:16" s="59" customFormat="1" ht="22.2" customHeight="1">
      <c r="C283" s="66" t="s">
        <v>1208</v>
      </c>
      <c r="D283" s="67"/>
      <c r="E283" s="67"/>
      <c r="F283" s="67"/>
      <c r="G283" s="142"/>
      <c r="H283" s="153"/>
      <c r="I283" s="284">
        <f>SUM(I280:I282)</f>
        <v>112962.5</v>
      </c>
      <c r="J283" s="319"/>
      <c r="K283" s="319"/>
      <c r="L283" s="319"/>
    </row>
    <row r="284" spans="3:16" s="59" customFormat="1" ht="22.2" customHeight="1">
      <c r="C284" s="290" t="s">
        <v>1209</v>
      </c>
      <c r="D284" s="182" t="s">
        <v>1210</v>
      </c>
      <c r="E284" s="182"/>
      <c r="F284" s="70"/>
      <c r="G284" s="70"/>
      <c r="H284" s="70"/>
      <c r="I284" s="71"/>
      <c r="J284" s="119"/>
      <c r="K284" s="119"/>
      <c r="L284" s="119"/>
    </row>
    <row r="285" spans="3:16" s="59" customFormat="1" ht="22.2" customHeight="1">
      <c r="C285" s="375">
        <v>1</v>
      </c>
      <c r="D285" s="109" t="s">
        <v>5263</v>
      </c>
      <c r="E285" s="109"/>
      <c r="F285" s="108" t="s">
        <v>42</v>
      </c>
      <c r="G285" s="340">
        <v>1.3</v>
      </c>
      <c r="H285" s="185">
        <f>VLOOKUP(D285,upahbahan,3,FALSE)</f>
        <v>0</v>
      </c>
      <c r="I285" s="317">
        <f>G285*H285</f>
        <v>0</v>
      </c>
      <c r="J285" s="119"/>
      <c r="K285" s="119"/>
      <c r="L285" s="119"/>
    </row>
    <row r="286" spans="3:16" s="59" customFormat="1" ht="28.2" customHeight="1">
      <c r="C286" s="377">
        <v>2</v>
      </c>
      <c r="D286" s="109" t="s">
        <v>234</v>
      </c>
      <c r="E286" s="109"/>
      <c r="F286" s="108" t="s">
        <v>44</v>
      </c>
      <c r="G286" s="340">
        <v>1</v>
      </c>
      <c r="H286" s="185">
        <f>VLOOKUP(D286,upahbahan,3,FALSE)</f>
        <v>0</v>
      </c>
      <c r="I286" s="317">
        <f>G286*H286</f>
        <v>0</v>
      </c>
      <c r="J286" s="119"/>
      <c r="K286" s="119"/>
      <c r="L286" s="119"/>
    </row>
    <row r="287" spans="3:16" s="59" customFormat="1" ht="22.2" customHeight="1">
      <c r="C287" s="157" t="s">
        <v>1214</v>
      </c>
      <c r="D287" s="372"/>
      <c r="E287" s="372"/>
      <c r="F287" s="372"/>
      <c r="G287" s="372"/>
      <c r="H287" s="373"/>
      <c r="I287" s="317">
        <f>SUM(I285:I286)</f>
        <v>0</v>
      </c>
      <c r="J287" s="119"/>
      <c r="K287" s="119"/>
      <c r="L287" s="119"/>
    </row>
    <row r="288" spans="3:16" s="59" customFormat="1" ht="22.2" customHeight="1">
      <c r="C288" s="316" t="s">
        <v>1215</v>
      </c>
      <c r="D288" s="109" t="s">
        <v>1216</v>
      </c>
      <c r="E288" s="109"/>
      <c r="F288" s="109"/>
      <c r="G288" s="109"/>
      <c r="H288" s="109"/>
      <c r="I288" s="376"/>
      <c r="J288" s="119"/>
      <c r="K288" s="119"/>
      <c r="L288" s="119"/>
    </row>
    <row r="289" spans="3:12" s="59" customFormat="1" ht="22.2" customHeight="1">
      <c r="C289" s="66" t="s">
        <v>1217</v>
      </c>
      <c r="D289" s="67"/>
      <c r="E289" s="67"/>
      <c r="F289" s="67"/>
      <c r="G289" s="67"/>
      <c r="H289" s="69"/>
      <c r="I289" s="292">
        <f>SUM(I288:I288)</f>
        <v>0</v>
      </c>
      <c r="J289" s="119"/>
      <c r="K289" s="119"/>
      <c r="L289" s="119"/>
    </row>
    <row r="290" spans="3:12" s="59" customFormat="1" ht="22.2" customHeight="1">
      <c r="C290" s="293" t="s">
        <v>1218</v>
      </c>
      <c r="D290" s="294" t="s">
        <v>1219</v>
      </c>
      <c r="E290" s="295"/>
      <c r="F290" s="295"/>
      <c r="G290" s="295"/>
      <c r="H290" s="296"/>
      <c r="I290" s="284">
        <f>I289+I287+I283</f>
        <v>112962.5</v>
      </c>
      <c r="J290" s="119"/>
      <c r="K290" s="119"/>
      <c r="L290" s="119"/>
    </row>
    <row r="291" spans="3:12" s="59" customFormat="1" ht="22.2" customHeight="1">
      <c r="C291" s="293" t="s">
        <v>1220</v>
      </c>
      <c r="D291" s="294" t="s">
        <v>1321</v>
      </c>
      <c r="E291" s="295"/>
      <c r="F291" s="295"/>
      <c r="G291" s="296"/>
      <c r="H291" s="298">
        <v>0.1</v>
      </c>
      <c r="I291" s="284">
        <f>I290*H291</f>
        <v>11296.25</v>
      </c>
      <c r="J291" s="119"/>
      <c r="K291" s="119"/>
      <c r="L291" s="119"/>
    </row>
    <row r="292" spans="3:12" s="59" customFormat="1" ht="22.2" customHeight="1" thickBot="1">
      <c r="C292" s="299" t="s">
        <v>1221</v>
      </c>
      <c r="D292" s="300" t="s">
        <v>1222</v>
      </c>
      <c r="E292" s="301"/>
      <c r="F292" s="301"/>
      <c r="G292" s="301"/>
      <c r="H292" s="302"/>
      <c r="I292" s="303">
        <f>SUM(I290:I291)</f>
        <v>124258.75</v>
      </c>
      <c r="J292" s="119"/>
      <c r="K292" s="119"/>
      <c r="L292" s="119"/>
    </row>
    <row r="293" spans="3:12" ht="13.8" thickTop="1"/>
  </sheetData>
  <mergeCells count="16">
    <mergeCell ref="D3:I3"/>
    <mergeCell ref="D22:I22"/>
    <mergeCell ref="D41:I41"/>
    <mergeCell ref="D57:I57"/>
    <mergeCell ref="D76:I76"/>
    <mergeCell ref="D95:I95"/>
    <mergeCell ref="D113:I113"/>
    <mergeCell ref="D132:I132"/>
    <mergeCell ref="D150:I150"/>
    <mergeCell ref="D169:I169"/>
    <mergeCell ref="D277:I277"/>
    <mergeCell ref="D186:I186"/>
    <mergeCell ref="D204:I204"/>
    <mergeCell ref="D222:I222"/>
    <mergeCell ref="D240:I240"/>
    <mergeCell ref="D258:I258"/>
  </mergeCells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M1059"/>
  <sheetViews>
    <sheetView topLeftCell="A798" zoomScale="75" zoomScaleNormal="75" workbookViewId="0">
      <selection activeCell="A581" sqref="A581:XFD599"/>
    </sheetView>
  </sheetViews>
  <sheetFormatPr defaultColWidth="8.88671875" defaultRowHeight="13.8"/>
  <cols>
    <col min="1" max="1" width="2" style="59" customWidth="1"/>
    <col min="2" max="2" width="2.109375" style="59" customWidth="1"/>
    <col min="3" max="3" width="10" style="380" customWidth="1"/>
    <col min="4" max="4" width="38" style="380" customWidth="1"/>
    <col min="5" max="5" width="8.88671875" style="380" customWidth="1"/>
    <col min="6" max="6" width="10.6640625" style="380" customWidth="1"/>
    <col min="7" max="7" width="15.88671875" style="380" customWidth="1"/>
    <col min="8" max="8" width="16.44140625" style="380" customWidth="1"/>
    <col min="9" max="9" width="13.44140625" style="381" customWidth="1"/>
    <col min="10" max="16384" width="8.88671875" style="59"/>
  </cols>
  <sheetData>
    <row r="1" spans="3:13" ht="12.6" customHeight="1"/>
    <row r="2" spans="3:13" ht="20.399999999999999" customHeight="1">
      <c r="C2" s="382">
        <v>3</v>
      </c>
      <c r="D2" s="381" t="s">
        <v>5266</v>
      </c>
    </row>
    <row r="3" spans="3:13" ht="20.399999999999999" customHeight="1">
      <c r="C3" s="383" t="s">
        <v>5265</v>
      </c>
      <c r="D3" s="384" t="s">
        <v>6436</v>
      </c>
      <c r="E3" s="384"/>
      <c r="F3" s="384"/>
      <c r="G3" s="384"/>
      <c r="H3" s="384"/>
    </row>
    <row r="4" spans="3:13" ht="20.399999999999999" customHeight="1">
      <c r="C4" s="383" t="s">
        <v>2586</v>
      </c>
      <c r="D4" s="384" t="s">
        <v>2587</v>
      </c>
      <c r="E4" s="384"/>
      <c r="F4" s="384"/>
      <c r="G4" s="384"/>
      <c r="H4" s="384"/>
    </row>
    <row r="5" spans="3:13" ht="20.399999999999999" customHeight="1" thickBot="1">
      <c r="C5" s="385" t="s">
        <v>2588</v>
      </c>
      <c r="D5" s="1878" t="s">
        <v>2589</v>
      </c>
      <c r="E5" s="1878"/>
      <c r="F5" s="1878"/>
      <c r="G5" s="1878"/>
      <c r="H5" s="1878"/>
      <c r="I5" s="386">
        <f>ROUNDDOWN(H20,-2)</f>
        <v>29300</v>
      </c>
    </row>
    <row r="6" spans="3:13" ht="28.2" thickTop="1">
      <c r="C6" s="387" t="s">
        <v>1195</v>
      </c>
      <c r="D6" s="388" t="s">
        <v>1196</v>
      </c>
      <c r="E6" s="388" t="s">
        <v>1197</v>
      </c>
      <c r="F6" s="388" t="s">
        <v>1198</v>
      </c>
      <c r="G6" s="388" t="s">
        <v>1199</v>
      </c>
      <c r="H6" s="389" t="s">
        <v>1200</v>
      </c>
    </row>
    <row r="7" spans="3:13" ht="19.8" customHeight="1">
      <c r="C7" s="390" t="s">
        <v>1201</v>
      </c>
      <c r="D7" s="391" t="s">
        <v>1202</v>
      </c>
      <c r="E7" s="392"/>
      <c r="F7" s="392"/>
      <c r="G7" s="392"/>
      <c r="H7" s="393"/>
      <c r="J7" s="59" t="s">
        <v>1247</v>
      </c>
    </row>
    <row r="8" spans="3:13" ht="19.8" customHeight="1">
      <c r="C8" s="394">
        <v>1</v>
      </c>
      <c r="D8" s="391" t="s">
        <v>5</v>
      </c>
      <c r="E8" s="395" t="s">
        <v>6</v>
      </c>
      <c r="F8" s="396">
        <v>0.15</v>
      </c>
      <c r="G8" s="63">
        <f>VLOOKUP(D8,upahbahan,3,FALSE)</f>
        <v>100000</v>
      </c>
      <c r="H8" s="397">
        <f>F8*G8</f>
        <v>15000</v>
      </c>
      <c r="J8" s="59" t="s">
        <v>1248</v>
      </c>
      <c r="M8" s="65">
        <v>0.1</v>
      </c>
    </row>
    <row r="9" spans="3:13" ht="19.8" customHeight="1">
      <c r="C9" s="394">
        <v>2</v>
      </c>
      <c r="D9" s="391" t="s">
        <v>8</v>
      </c>
      <c r="E9" s="395" t="s">
        <v>6</v>
      </c>
      <c r="F9" s="396">
        <v>7.4999999999999997E-2</v>
      </c>
      <c r="G9" s="63">
        <f>VLOOKUP(D9,upahbahan,3,FALSE)</f>
        <v>135000</v>
      </c>
      <c r="H9" s="397">
        <f>F9*G9</f>
        <v>10125</v>
      </c>
    </row>
    <row r="10" spans="3:13" ht="19.8" customHeight="1">
      <c r="C10" s="394">
        <v>3</v>
      </c>
      <c r="D10" s="391" t="s">
        <v>18</v>
      </c>
      <c r="E10" s="395" t="s">
        <v>6</v>
      </c>
      <c r="F10" s="396">
        <v>7.4999999999999997E-3</v>
      </c>
      <c r="G10" s="63">
        <f>VLOOKUP(D10,upahbahan,3,FALSE)</f>
        <v>150000</v>
      </c>
      <c r="H10" s="397">
        <f>F10*G10</f>
        <v>1125</v>
      </c>
    </row>
    <row r="11" spans="3:13" ht="19.8" customHeight="1">
      <c r="C11" s="394">
        <v>4</v>
      </c>
      <c r="D11" s="391" t="s">
        <v>19</v>
      </c>
      <c r="E11" s="395" t="s">
        <v>6</v>
      </c>
      <c r="F11" s="396">
        <v>2.5000000000000001E-3</v>
      </c>
      <c r="G11" s="63">
        <f>VLOOKUP(D11,upahbahan,3,FALSE)</f>
        <v>160000</v>
      </c>
      <c r="H11" s="397">
        <f>F11*G11</f>
        <v>400</v>
      </c>
    </row>
    <row r="12" spans="3:13" ht="19.8" customHeight="1">
      <c r="C12" s="398" t="s">
        <v>1208</v>
      </c>
      <c r="D12" s="399"/>
      <c r="E12" s="399"/>
      <c r="F12" s="400"/>
      <c r="G12" s="401"/>
      <c r="H12" s="397">
        <f>SUM(H8:H11)</f>
        <v>26650</v>
      </c>
      <c r="I12" s="402"/>
    </row>
    <row r="13" spans="3:13" ht="19.8" customHeight="1">
      <c r="C13" s="390" t="s">
        <v>1209</v>
      </c>
      <c r="D13" s="391" t="s">
        <v>1210</v>
      </c>
      <c r="E13" s="392"/>
      <c r="F13" s="392"/>
      <c r="G13" s="392"/>
      <c r="H13" s="393"/>
    </row>
    <row r="14" spans="3:13" ht="19.8" customHeight="1">
      <c r="C14" s="394">
        <v>1</v>
      </c>
      <c r="D14" s="391" t="s">
        <v>337</v>
      </c>
      <c r="E14" s="395" t="s">
        <v>44</v>
      </c>
      <c r="F14" s="403">
        <v>25</v>
      </c>
      <c r="G14" s="63">
        <f>VLOOKUP(D14,upahbahan,3,FALSE)</f>
        <v>0</v>
      </c>
      <c r="H14" s="397">
        <f>F14*G14</f>
        <v>0</v>
      </c>
    </row>
    <row r="15" spans="3:13" ht="19.8" customHeight="1">
      <c r="C15" s="398" t="s">
        <v>1214</v>
      </c>
      <c r="D15" s="399"/>
      <c r="E15" s="399"/>
      <c r="F15" s="399"/>
      <c r="G15" s="404"/>
      <c r="H15" s="397">
        <f>SUM(H14)</f>
        <v>0</v>
      </c>
    </row>
    <row r="16" spans="3:13" ht="19.8" customHeight="1">
      <c r="C16" s="405" t="s">
        <v>1215</v>
      </c>
      <c r="D16" s="391" t="s">
        <v>1216</v>
      </c>
      <c r="E16" s="392"/>
      <c r="F16" s="392"/>
      <c r="G16" s="392"/>
      <c r="H16" s="393"/>
    </row>
    <row r="17" spans="3:9" ht="19.8" customHeight="1">
      <c r="C17" s="398" t="s">
        <v>1217</v>
      </c>
      <c r="D17" s="399"/>
      <c r="E17" s="399"/>
      <c r="F17" s="399"/>
      <c r="G17" s="404"/>
      <c r="H17" s="406">
        <v>0</v>
      </c>
    </row>
    <row r="18" spans="3:9" ht="19.8" customHeight="1">
      <c r="C18" s="407" t="s">
        <v>1218</v>
      </c>
      <c r="D18" s="408" t="s">
        <v>1219</v>
      </c>
      <c r="E18" s="409"/>
      <c r="F18" s="409"/>
      <c r="G18" s="410"/>
      <c r="H18" s="397">
        <f>H17+H15+H12</f>
        <v>26650</v>
      </c>
      <c r="I18" s="411"/>
    </row>
    <row r="19" spans="3:9" ht="19.8" customHeight="1">
      <c r="C19" s="75" t="s">
        <v>1220</v>
      </c>
      <c r="D19" s="76" t="s">
        <v>1321</v>
      </c>
      <c r="E19" s="77"/>
      <c r="F19" s="78"/>
      <c r="G19" s="80">
        <f>$M$8</f>
        <v>0.1</v>
      </c>
      <c r="H19" s="64">
        <f>H18*G19</f>
        <v>2665</v>
      </c>
      <c r="I19" s="411"/>
    </row>
    <row r="20" spans="3:9" ht="19.8" customHeight="1" thickBot="1">
      <c r="C20" s="412" t="s">
        <v>1221</v>
      </c>
      <c r="D20" s="413" t="s">
        <v>1222</v>
      </c>
      <c r="E20" s="414"/>
      <c r="F20" s="414"/>
      <c r="G20" s="415"/>
      <c r="H20" s="416">
        <f>SUM(H18:H19)</f>
        <v>29315</v>
      </c>
      <c r="I20" s="411"/>
    </row>
    <row r="21" spans="3:9" ht="14.4" thickTop="1">
      <c r="C21" s="417"/>
      <c r="D21" s="418"/>
      <c r="E21" s="418"/>
      <c r="F21" s="418"/>
      <c r="G21" s="418"/>
      <c r="H21" s="419"/>
    </row>
    <row r="22" spans="3:9" ht="28.2" customHeight="1" thickBot="1">
      <c r="C22" s="47" t="s">
        <v>2590</v>
      </c>
      <c r="D22" s="1879" t="s">
        <v>1356</v>
      </c>
      <c r="E22" s="1879"/>
      <c r="F22" s="1879"/>
      <c r="G22" s="1879"/>
      <c r="H22" s="1879"/>
      <c r="I22" s="386">
        <f>ROUNDDOWN(H37,-2)</f>
        <v>29300</v>
      </c>
    </row>
    <row r="23" spans="3:9" ht="28.2" thickTop="1">
      <c r="C23" s="387" t="s">
        <v>1195</v>
      </c>
      <c r="D23" s="388" t="s">
        <v>1196</v>
      </c>
      <c r="E23" s="388" t="s">
        <v>1197</v>
      </c>
      <c r="F23" s="388" t="s">
        <v>1198</v>
      </c>
      <c r="G23" s="388" t="s">
        <v>1199</v>
      </c>
      <c r="H23" s="389" t="s">
        <v>1200</v>
      </c>
    </row>
    <row r="24" spans="3:9" ht="19.2" customHeight="1">
      <c r="C24" s="390" t="s">
        <v>1201</v>
      </c>
      <c r="D24" s="391" t="s">
        <v>1202</v>
      </c>
      <c r="E24" s="392"/>
      <c r="F24" s="392"/>
      <c r="G24" s="392"/>
      <c r="H24" s="393"/>
    </row>
    <row r="25" spans="3:9" ht="19.2" customHeight="1">
      <c r="C25" s="394">
        <v>1</v>
      </c>
      <c r="D25" s="391" t="s">
        <v>5</v>
      </c>
      <c r="E25" s="395" t="s">
        <v>6</v>
      </c>
      <c r="F25" s="396">
        <v>0.15</v>
      </c>
      <c r="G25" s="63">
        <f>VLOOKUP(D25,upahbahan,3,FALSE)</f>
        <v>100000</v>
      </c>
      <c r="H25" s="397">
        <f>F25*G25</f>
        <v>15000</v>
      </c>
    </row>
    <row r="26" spans="3:9" ht="19.2" customHeight="1">
      <c r="C26" s="394">
        <v>2</v>
      </c>
      <c r="D26" s="391" t="s">
        <v>8</v>
      </c>
      <c r="E26" s="395" t="s">
        <v>6</v>
      </c>
      <c r="F26" s="396">
        <v>7.4999999999999997E-2</v>
      </c>
      <c r="G26" s="63">
        <f>VLOOKUP(D26,upahbahan,3,FALSE)</f>
        <v>135000</v>
      </c>
      <c r="H26" s="397">
        <f>F26*G26</f>
        <v>10125</v>
      </c>
    </row>
    <row r="27" spans="3:9" ht="19.2" customHeight="1">
      <c r="C27" s="394">
        <v>3</v>
      </c>
      <c r="D27" s="391" t="s">
        <v>18</v>
      </c>
      <c r="E27" s="395" t="s">
        <v>6</v>
      </c>
      <c r="F27" s="396">
        <v>7.4999999999999997E-3</v>
      </c>
      <c r="G27" s="63">
        <f>VLOOKUP(D27,upahbahan,3,FALSE)</f>
        <v>150000</v>
      </c>
      <c r="H27" s="397">
        <f>F27*G27</f>
        <v>1125</v>
      </c>
    </row>
    <row r="28" spans="3:9" ht="19.2" customHeight="1">
      <c r="C28" s="394">
        <v>4</v>
      </c>
      <c r="D28" s="391" t="s">
        <v>19</v>
      </c>
      <c r="E28" s="395" t="s">
        <v>6</v>
      </c>
      <c r="F28" s="396">
        <v>2.5000000000000001E-3</v>
      </c>
      <c r="G28" s="63">
        <f>VLOOKUP(D28,upahbahan,3,FALSE)</f>
        <v>160000</v>
      </c>
      <c r="H28" s="397">
        <f>F28*G28</f>
        <v>400</v>
      </c>
    </row>
    <row r="29" spans="3:9" ht="19.2" customHeight="1">
      <c r="C29" s="398" t="s">
        <v>1208</v>
      </c>
      <c r="D29" s="399"/>
      <c r="E29" s="399"/>
      <c r="F29" s="400"/>
      <c r="G29" s="401"/>
      <c r="H29" s="397">
        <f>SUM(H25:H28)</f>
        <v>26650</v>
      </c>
      <c r="I29" s="402"/>
    </row>
    <row r="30" spans="3:9" ht="19.2" customHeight="1">
      <c r="C30" s="390" t="s">
        <v>1209</v>
      </c>
      <c r="D30" s="391" t="s">
        <v>1210</v>
      </c>
      <c r="E30" s="392"/>
      <c r="F30" s="392"/>
      <c r="G30" s="392"/>
      <c r="H30" s="393"/>
    </row>
    <row r="31" spans="3:9" ht="19.2" customHeight="1">
      <c r="C31" s="394">
        <v>1</v>
      </c>
      <c r="D31" s="391" t="s">
        <v>334</v>
      </c>
      <c r="E31" s="395" t="s">
        <v>44</v>
      </c>
      <c r="F31" s="421">
        <v>25</v>
      </c>
      <c r="G31" s="63">
        <f>VLOOKUP(D31,upahbahan,3,FALSE)</f>
        <v>0</v>
      </c>
      <c r="H31" s="397">
        <f>F31*G31</f>
        <v>0</v>
      </c>
    </row>
    <row r="32" spans="3:9" ht="19.2" customHeight="1">
      <c r="C32" s="398" t="s">
        <v>1214</v>
      </c>
      <c r="D32" s="399"/>
      <c r="E32" s="399"/>
      <c r="F32" s="399"/>
      <c r="G32" s="404"/>
      <c r="H32" s="397">
        <f>SUM(H31)</f>
        <v>0</v>
      </c>
    </row>
    <row r="33" spans="3:9" ht="19.2" customHeight="1">
      <c r="C33" s="405" t="s">
        <v>1215</v>
      </c>
      <c r="D33" s="391" t="s">
        <v>1216</v>
      </c>
      <c r="E33" s="392"/>
      <c r="F33" s="392"/>
      <c r="G33" s="392"/>
      <c r="H33" s="393"/>
    </row>
    <row r="34" spans="3:9" ht="19.2" customHeight="1">
      <c r="C34" s="398" t="s">
        <v>1217</v>
      </c>
      <c r="D34" s="399"/>
      <c r="E34" s="399"/>
      <c r="F34" s="399"/>
      <c r="G34" s="404"/>
      <c r="H34" s="406">
        <v>0</v>
      </c>
    </row>
    <row r="35" spans="3:9" ht="19.2" customHeight="1">
      <c r="C35" s="407" t="s">
        <v>1218</v>
      </c>
      <c r="D35" s="408" t="s">
        <v>1219</v>
      </c>
      <c r="E35" s="409"/>
      <c r="F35" s="409"/>
      <c r="G35" s="410"/>
      <c r="H35" s="397">
        <f>H34+H32+H29</f>
        <v>26650</v>
      </c>
      <c r="I35" s="422"/>
    </row>
    <row r="36" spans="3:9" ht="19.2" customHeight="1">
      <c r="C36" s="75" t="s">
        <v>1220</v>
      </c>
      <c r="D36" s="76" t="s">
        <v>1321</v>
      </c>
      <c r="E36" s="77"/>
      <c r="F36" s="78"/>
      <c r="G36" s="80">
        <f>$M$8</f>
        <v>0.1</v>
      </c>
      <c r="H36" s="64">
        <f>H35*G36</f>
        <v>2665</v>
      </c>
      <c r="I36" s="422"/>
    </row>
    <row r="37" spans="3:9" ht="19.2" customHeight="1" thickBot="1">
      <c r="C37" s="412" t="s">
        <v>1221</v>
      </c>
      <c r="D37" s="413" t="s">
        <v>1222</v>
      </c>
      <c r="E37" s="414"/>
      <c r="F37" s="414"/>
      <c r="G37" s="415"/>
      <c r="H37" s="416">
        <f>SUM(H35:H36)</f>
        <v>29315</v>
      </c>
      <c r="I37" s="422"/>
    </row>
    <row r="38" spans="3:9" ht="14.4" thickTop="1">
      <c r="C38" s="417"/>
      <c r="D38" s="418"/>
      <c r="E38" s="418"/>
      <c r="F38" s="418"/>
      <c r="G38" s="418"/>
      <c r="H38" s="419"/>
    </row>
    <row r="39" spans="3:9" ht="14.4" thickBot="1">
      <c r="C39" s="47" t="s">
        <v>2591</v>
      </c>
      <c r="D39" s="385" t="s">
        <v>1357</v>
      </c>
      <c r="E39" s="420"/>
      <c r="F39" s="420"/>
      <c r="G39" s="420"/>
      <c r="H39" s="420"/>
      <c r="I39" s="386" t="e">
        <f>ROUNDDOWN(H54,-2)</f>
        <v>#VALUE!</v>
      </c>
    </row>
    <row r="40" spans="3:9" ht="28.2" thickTop="1">
      <c r="C40" s="387" t="s">
        <v>1195</v>
      </c>
      <c r="D40" s="388" t="s">
        <v>1196</v>
      </c>
      <c r="E40" s="388" t="s">
        <v>1197</v>
      </c>
      <c r="F40" s="388" t="s">
        <v>1198</v>
      </c>
      <c r="G40" s="388" t="s">
        <v>1199</v>
      </c>
      <c r="H40" s="389" t="s">
        <v>1200</v>
      </c>
    </row>
    <row r="41" spans="3:9" ht="21.6" customHeight="1">
      <c r="C41" s="390" t="s">
        <v>1201</v>
      </c>
      <c r="D41" s="391" t="s">
        <v>1202</v>
      </c>
      <c r="E41" s="392"/>
      <c r="F41" s="392"/>
      <c r="G41" s="392"/>
      <c r="H41" s="393"/>
    </row>
    <row r="42" spans="3:9" ht="21.6" customHeight="1">
      <c r="C42" s="394">
        <v>1</v>
      </c>
      <c r="D42" s="391" t="s">
        <v>5</v>
      </c>
      <c r="E42" s="395" t="s">
        <v>6</v>
      </c>
      <c r="F42" s="396">
        <v>0.15</v>
      </c>
      <c r="G42" s="63">
        <f>VLOOKUP(D42,upahbahan,3,FALSE)</f>
        <v>100000</v>
      </c>
      <c r="H42" s="397">
        <f>F42*G42</f>
        <v>15000</v>
      </c>
    </row>
    <row r="43" spans="3:9" ht="21.6" customHeight="1">
      <c r="C43" s="394">
        <v>2</v>
      </c>
      <c r="D43" s="391" t="s">
        <v>8</v>
      </c>
      <c r="E43" s="395" t="s">
        <v>6</v>
      </c>
      <c r="F43" s="396">
        <v>7.4999999999999997E-2</v>
      </c>
      <c r="G43" s="63">
        <f>VLOOKUP(D43,upahbahan,3,FALSE)</f>
        <v>135000</v>
      </c>
      <c r="H43" s="397">
        <f>F43*G43</f>
        <v>10125</v>
      </c>
    </row>
    <row r="44" spans="3:9" ht="21.6" customHeight="1">
      <c r="C44" s="394">
        <v>3</v>
      </c>
      <c r="D44" s="391" t="s">
        <v>18</v>
      </c>
      <c r="E44" s="395" t="s">
        <v>6</v>
      </c>
      <c r="F44" s="396">
        <v>7.4999999999999997E-3</v>
      </c>
      <c r="G44" s="63">
        <f>VLOOKUP(D44,upahbahan,3,FALSE)</f>
        <v>150000</v>
      </c>
      <c r="H44" s="397">
        <f>F44*G44</f>
        <v>1125</v>
      </c>
    </row>
    <row r="45" spans="3:9" ht="21.6" customHeight="1">
      <c r="C45" s="394">
        <v>4</v>
      </c>
      <c r="D45" s="391" t="s">
        <v>19</v>
      </c>
      <c r="E45" s="395" t="s">
        <v>6</v>
      </c>
      <c r="F45" s="396">
        <v>2.5000000000000001E-3</v>
      </c>
      <c r="G45" s="63">
        <f>VLOOKUP(D45,upahbahan,3,FALSE)</f>
        <v>160000</v>
      </c>
      <c r="H45" s="397">
        <f>F45*G45</f>
        <v>400</v>
      </c>
    </row>
    <row r="46" spans="3:9" ht="21.6" customHeight="1">
      <c r="C46" s="398" t="s">
        <v>1208</v>
      </c>
      <c r="D46" s="399"/>
      <c r="E46" s="399"/>
      <c r="F46" s="400"/>
      <c r="G46" s="401"/>
      <c r="H46" s="397">
        <f>SUM(H42:H45)</f>
        <v>26650</v>
      </c>
      <c r="I46" s="402"/>
    </row>
    <row r="47" spans="3:9" ht="21.6" customHeight="1">
      <c r="C47" s="390" t="s">
        <v>1209</v>
      </c>
      <c r="D47" s="391" t="s">
        <v>1210</v>
      </c>
      <c r="E47" s="392"/>
      <c r="F47" s="392"/>
      <c r="G47" s="392"/>
      <c r="H47" s="393"/>
    </row>
    <row r="48" spans="3:9" ht="21.6" customHeight="1">
      <c r="C48" s="394">
        <v>1</v>
      </c>
      <c r="D48" s="391" t="s">
        <v>338</v>
      </c>
      <c r="E48" s="395" t="s">
        <v>44</v>
      </c>
      <c r="F48" s="403">
        <v>12</v>
      </c>
      <c r="G48" s="63" t="e">
        <f>VLOOKUP(D48,upahbahan,3,FALSE)</f>
        <v>#VALUE!</v>
      </c>
      <c r="H48" s="397" t="e">
        <f>F48*G48</f>
        <v>#VALUE!</v>
      </c>
    </row>
    <row r="49" spans="3:9" ht="21.6" customHeight="1">
      <c r="C49" s="398" t="s">
        <v>1214</v>
      </c>
      <c r="D49" s="399"/>
      <c r="E49" s="399"/>
      <c r="F49" s="399"/>
      <c r="G49" s="404"/>
      <c r="H49" s="397" t="e">
        <f>SUM(H48)</f>
        <v>#VALUE!</v>
      </c>
    </row>
    <row r="50" spans="3:9" ht="21.6" customHeight="1">
      <c r="C50" s="405" t="s">
        <v>1215</v>
      </c>
      <c r="D50" s="391" t="s">
        <v>1216</v>
      </c>
      <c r="E50" s="392"/>
      <c r="F50" s="392"/>
      <c r="G50" s="392"/>
      <c r="H50" s="393"/>
    </row>
    <row r="51" spans="3:9" ht="21.6" customHeight="1">
      <c r="C51" s="398" t="s">
        <v>1217</v>
      </c>
      <c r="D51" s="399"/>
      <c r="E51" s="399"/>
      <c r="F51" s="399"/>
      <c r="G51" s="404"/>
      <c r="H51" s="406">
        <v>0</v>
      </c>
    </row>
    <row r="52" spans="3:9" ht="21.6" customHeight="1">
      <c r="C52" s="407" t="s">
        <v>1218</v>
      </c>
      <c r="D52" s="408" t="s">
        <v>1219</v>
      </c>
      <c r="E52" s="409"/>
      <c r="F52" s="409"/>
      <c r="G52" s="410"/>
      <c r="H52" s="397" t="e">
        <f>H51+H49+H46</f>
        <v>#VALUE!</v>
      </c>
      <c r="I52" s="411"/>
    </row>
    <row r="53" spans="3:9" ht="21.6" customHeight="1">
      <c r="C53" s="75" t="s">
        <v>1220</v>
      </c>
      <c r="D53" s="76" t="s">
        <v>1321</v>
      </c>
      <c r="E53" s="77"/>
      <c r="F53" s="78"/>
      <c r="G53" s="80">
        <f>$M$8</f>
        <v>0.1</v>
      </c>
      <c r="H53" s="64" t="e">
        <f>H52*G53</f>
        <v>#VALUE!</v>
      </c>
      <c r="I53" s="411"/>
    </row>
    <row r="54" spans="3:9" ht="21.6" customHeight="1" thickBot="1">
      <c r="C54" s="412" t="s">
        <v>1221</v>
      </c>
      <c r="D54" s="413" t="s">
        <v>1222</v>
      </c>
      <c r="E54" s="414"/>
      <c r="F54" s="414"/>
      <c r="G54" s="415"/>
      <c r="H54" s="416" t="e">
        <f>SUM(H52:H53)</f>
        <v>#VALUE!</v>
      </c>
      <c r="I54" s="411"/>
    </row>
    <row r="55" spans="3:9" ht="14.4" thickTop="1"/>
    <row r="56" spans="3:9" ht="14.4" thickBot="1">
      <c r="C56" s="47" t="s">
        <v>2592</v>
      </c>
      <c r="D56" s="385" t="s">
        <v>1358</v>
      </c>
      <c r="E56" s="420"/>
      <c r="F56" s="420"/>
      <c r="G56" s="420"/>
      <c r="H56" s="420"/>
      <c r="I56" s="386">
        <f>ROUNDDOWN(H72,-2)</f>
        <v>39700</v>
      </c>
    </row>
    <row r="57" spans="3:9" ht="28.2" thickTop="1">
      <c r="C57" s="387" t="s">
        <v>1195</v>
      </c>
      <c r="D57" s="388" t="s">
        <v>1196</v>
      </c>
      <c r="E57" s="388" t="s">
        <v>1197</v>
      </c>
      <c r="F57" s="388" t="s">
        <v>1198</v>
      </c>
      <c r="G57" s="388" t="s">
        <v>1199</v>
      </c>
      <c r="H57" s="389" t="s">
        <v>1200</v>
      </c>
    </row>
    <row r="58" spans="3:9" ht="19.2" customHeight="1">
      <c r="C58" s="390" t="s">
        <v>1201</v>
      </c>
      <c r="D58" s="391" t="s">
        <v>1202</v>
      </c>
      <c r="E58" s="392"/>
      <c r="F58" s="392"/>
      <c r="G58" s="392"/>
      <c r="H58" s="393"/>
    </row>
    <row r="59" spans="3:9" ht="19.2" customHeight="1">
      <c r="C59" s="394">
        <v>1</v>
      </c>
      <c r="D59" s="391" t="s">
        <v>5</v>
      </c>
      <c r="E59" s="395" t="s">
        <v>6</v>
      </c>
      <c r="F59" s="396">
        <v>0.2</v>
      </c>
      <c r="G59" s="63">
        <f>VLOOKUP(D59,upahbahan,3,FALSE)</f>
        <v>100000</v>
      </c>
      <c r="H59" s="397">
        <f>F59*G59</f>
        <v>20000</v>
      </c>
    </row>
    <row r="60" spans="3:9" ht="19.2" customHeight="1">
      <c r="C60" s="394">
        <v>2</v>
      </c>
      <c r="D60" s="391" t="s">
        <v>8</v>
      </c>
      <c r="E60" s="395" t="s">
        <v>6</v>
      </c>
      <c r="F60" s="396">
        <v>0.1</v>
      </c>
      <c r="G60" s="63">
        <f>VLOOKUP(D60,upahbahan,3,FALSE)</f>
        <v>135000</v>
      </c>
      <c r="H60" s="397">
        <f>F60*G60</f>
        <v>13500</v>
      </c>
    </row>
    <row r="61" spans="3:9" ht="19.2" customHeight="1">
      <c r="C61" s="394">
        <v>3</v>
      </c>
      <c r="D61" s="391" t="s">
        <v>18</v>
      </c>
      <c r="E61" s="395" t="s">
        <v>6</v>
      </c>
      <c r="F61" s="396">
        <v>0.01</v>
      </c>
      <c r="G61" s="63">
        <f>VLOOKUP(D61,upahbahan,3,FALSE)</f>
        <v>150000</v>
      </c>
      <c r="H61" s="397">
        <f>F61*G61</f>
        <v>1500</v>
      </c>
    </row>
    <row r="62" spans="3:9" ht="19.2" customHeight="1">
      <c r="C62" s="394">
        <v>4</v>
      </c>
      <c r="D62" s="391" t="s">
        <v>19</v>
      </c>
      <c r="E62" s="395" t="s">
        <v>6</v>
      </c>
      <c r="F62" s="396">
        <v>3.3E-3</v>
      </c>
      <c r="G62" s="63">
        <f>VLOOKUP(D62,upahbahan,3,FALSE)</f>
        <v>160000</v>
      </c>
      <c r="H62" s="397">
        <f>F62*G62</f>
        <v>528</v>
      </c>
    </row>
    <row r="63" spans="3:9" ht="19.2" customHeight="1">
      <c r="C63" s="398" t="s">
        <v>1208</v>
      </c>
      <c r="D63" s="399"/>
      <c r="E63" s="399"/>
      <c r="F63" s="400"/>
      <c r="G63" s="401"/>
      <c r="H63" s="397">
        <f>SUM(H59:H62)</f>
        <v>35528</v>
      </c>
      <c r="I63" s="402"/>
    </row>
    <row r="64" spans="3:9" ht="19.2" customHeight="1">
      <c r="C64" s="390" t="s">
        <v>1209</v>
      </c>
      <c r="D64" s="391" t="s">
        <v>1210</v>
      </c>
      <c r="E64" s="392"/>
      <c r="F64" s="392"/>
      <c r="G64" s="392"/>
      <c r="H64" s="393"/>
    </row>
    <row r="65" spans="3:9" ht="19.2" customHeight="1">
      <c r="C65" s="394">
        <v>1</v>
      </c>
      <c r="D65" s="391" t="s">
        <v>331</v>
      </c>
      <c r="E65" s="395" t="s">
        <v>44</v>
      </c>
      <c r="F65" s="421">
        <v>11</v>
      </c>
      <c r="G65" s="63">
        <f>VLOOKUP(D65,upahbahan,3,FALSE)</f>
        <v>0</v>
      </c>
      <c r="H65" s="397">
        <f>F65*G65</f>
        <v>0</v>
      </c>
    </row>
    <row r="66" spans="3:9" ht="19.2" customHeight="1">
      <c r="C66" s="394">
        <v>2</v>
      </c>
      <c r="D66" s="391" t="s">
        <v>1795</v>
      </c>
      <c r="E66" s="395" t="s">
        <v>65</v>
      </c>
      <c r="F66" s="421">
        <v>0.03</v>
      </c>
      <c r="G66" s="63">
        <f>VLOOKUP(D66,upahbahan,3,FALSE)</f>
        <v>20000</v>
      </c>
      <c r="H66" s="397">
        <f>F66*G66</f>
        <v>600</v>
      </c>
    </row>
    <row r="67" spans="3:9" ht="19.2" customHeight="1">
      <c r="C67" s="398" t="s">
        <v>1214</v>
      </c>
      <c r="D67" s="399"/>
      <c r="E67" s="399"/>
      <c r="F67" s="399"/>
      <c r="G67" s="404"/>
      <c r="H67" s="397">
        <f>SUM(H65:H66)</f>
        <v>600</v>
      </c>
    </row>
    <row r="68" spans="3:9" ht="19.2" customHeight="1">
      <c r="C68" s="405" t="s">
        <v>1215</v>
      </c>
      <c r="D68" s="391" t="s">
        <v>1216</v>
      </c>
      <c r="E68" s="392"/>
      <c r="F68" s="392"/>
      <c r="G68" s="392"/>
      <c r="H68" s="393"/>
    </row>
    <row r="69" spans="3:9" ht="19.2" customHeight="1">
      <c r="C69" s="398" t="s">
        <v>1217</v>
      </c>
      <c r="D69" s="399"/>
      <c r="E69" s="399"/>
      <c r="F69" s="399"/>
      <c r="G69" s="404"/>
      <c r="H69" s="406">
        <v>0</v>
      </c>
    </row>
    <row r="70" spans="3:9" ht="19.2" customHeight="1">
      <c r="C70" s="407" t="s">
        <v>1218</v>
      </c>
      <c r="D70" s="408" t="s">
        <v>1219</v>
      </c>
      <c r="E70" s="409"/>
      <c r="F70" s="409"/>
      <c r="G70" s="410"/>
      <c r="H70" s="397">
        <f>H69+H67+H63</f>
        <v>36128</v>
      </c>
      <c r="I70" s="411"/>
    </row>
    <row r="71" spans="3:9" ht="19.2" customHeight="1">
      <c r="C71" s="75" t="s">
        <v>1220</v>
      </c>
      <c r="D71" s="76" t="s">
        <v>1321</v>
      </c>
      <c r="E71" s="77"/>
      <c r="F71" s="78"/>
      <c r="G71" s="80">
        <f>$M$8</f>
        <v>0.1</v>
      </c>
      <c r="H71" s="64">
        <f>H70*G71</f>
        <v>3612.8</v>
      </c>
      <c r="I71" s="411"/>
    </row>
    <row r="72" spans="3:9" ht="19.2" customHeight="1" thickBot="1">
      <c r="C72" s="412" t="s">
        <v>1221</v>
      </c>
      <c r="D72" s="413" t="s">
        <v>1222</v>
      </c>
      <c r="E72" s="414"/>
      <c r="F72" s="414"/>
      <c r="G72" s="415"/>
      <c r="H72" s="416">
        <f>SUM(H70:H71)</f>
        <v>39740.800000000003</v>
      </c>
      <c r="I72" s="411"/>
    </row>
    <row r="73" spans="3:9" ht="14.4" thickTop="1"/>
    <row r="74" spans="3:9" ht="14.4" thickBot="1">
      <c r="C74" s="47" t="s">
        <v>2593</v>
      </c>
      <c r="D74" s="385" t="s">
        <v>2594</v>
      </c>
      <c r="E74" s="423"/>
      <c r="F74" s="423"/>
      <c r="G74" s="423"/>
      <c r="H74" s="423"/>
      <c r="I74" s="386">
        <f>ROUNDDOWN(H91,-2)</f>
        <v>102500</v>
      </c>
    </row>
    <row r="75" spans="3:9" ht="28.2" thickTop="1">
      <c r="C75" s="387" t="s">
        <v>1195</v>
      </c>
      <c r="D75" s="388" t="s">
        <v>1196</v>
      </c>
      <c r="E75" s="388" t="s">
        <v>1197</v>
      </c>
      <c r="F75" s="388" t="s">
        <v>1198</v>
      </c>
      <c r="G75" s="388" t="s">
        <v>1199</v>
      </c>
      <c r="H75" s="389" t="s">
        <v>1200</v>
      </c>
    </row>
    <row r="76" spans="3:9" ht="19.2" customHeight="1">
      <c r="C76" s="390" t="s">
        <v>1201</v>
      </c>
      <c r="D76" s="391" t="s">
        <v>1202</v>
      </c>
      <c r="E76" s="392"/>
      <c r="F76" s="392"/>
      <c r="G76" s="392"/>
      <c r="H76" s="393"/>
    </row>
    <row r="77" spans="3:9" ht="19.2" customHeight="1">
      <c r="C77" s="394">
        <v>1</v>
      </c>
      <c r="D77" s="391" t="s">
        <v>5</v>
      </c>
      <c r="E77" s="395" t="s">
        <v>6</v>
      </c>
      <c r="F77" s="396">
        <v>0.4</v>
      </c>
      <c r="G77" s="63">
        <f>VLOOKUP(D77,upahbahan,3,FALSE)</f>
        <v>100000</v>
      </c>
      <c r="H77" s="397">
        <f>F77*G77</f>
        <v>40000</v>
      </c>
    </row>
    <row r="78" spans="3:9" ht="19.2" customHeight="1">
      <c r="C78" s="394">
        <v>2</v>
      </c>
      <c r="D78" s="391" t="s">
        <v>8</v>
      </c>
      <c r="E78" s="395" t="s">
        <v>6</v>
      </c>
      <c r="F78" s="396">
        <v>0.2</v>
      </c>
      <c r="G78" s="63">
        <f>VLOOKUP(D78,upahbahan,3,FALSE)</f>
        <v>135000</v>
      </c>
      <c r="H78" s="397">
        <f>F78*G78</f>
        <v>27000</v>
      </c>
    </row>
    <row r="79" spans="3:9" ht="19.2" customHeight="1">
      <c r="C79" s="394">
        <v>3</v>
      </c>
      <c r="D79" s="391" t="s">
        <v>18</v>
      </c>
      <c r="E79" s="395" t="s">
        <v>6</v>
      </c>
      <c r="F79" s="396">
        <v>0.02</v>
      </c>
      <c r="G79" s="63">
        <f>VLOOKUP(D79,upahbahan,3,FALSE)</f>
        <v>150000</v>
      </c>
      <c r="H79" s="397">
        <f>F79*G79</f>
        <v>3000</v>
      </c>
    </row>
    <row r="80" spans="3:9" ht="19.2" customHeight="1">
      <c r="C80" s="394">
        <v>4</v>
      </c>
      <c r="D80" s="391" t="s">
        <v>19</v>
      </c>
      <c r="E80" s="395" t="s">
        <v>6</v>
      </c>
      <c r="F80" s="396">
        <v>6.7000000000000002E-3</v>
      </c>
      <c r="G80" s="63">
        <f>VLOOKUP(D80,upahbahan,3,FALSE)</f>
        <v>160000</v>
      </c>
      <c r="H80" s="397">
        <f>F80*G80</f>
        <v>1072</v>
      </c>
    </row>
    <row r="81" spans="3:9" ht="19.2" customHeight="1">
      <c r="C81" s="398" t="s">
        <v>1208</v>
      </c>
      <c r="D81" s="399"/>
      <c r="E81" s="399"/>
      <c r="F81" s="400"/>
      <c r="G81" s="401"/>
      <c r="H81" s="397">
        <f>SUM(H77:H80)</f>
        <v>71072</v>
      </c>
      <c r="I81" s="402"/>
    </row>
    <row r="82" spans="3:9" ht="19.2" customHeight="1">
      <c r="C82" s="390" t="s">
        <v>1209</v>
      </c>
      <c r="D82" s="391" t="s">
        <v>1210</v>
      </c>
      <c r="E82" s="392"/>
      <c r="F82" s="392"/>
      <c r="G82" s="392"/>
      <c r="H82" s="393"/>
    </row>
    <row r="83" spans="3:9" ht="19.2" customHeight="1">
      <c r="C83" s="394">
        <v>1</v>
      </c>
      <c r="D83" s="391" t="s">
        <v>318</v>
      </c>
      <c r="E83" s="395" t="s">
        <v>44</v>
      </c>
      <c r="F83" s="421">
        <v>5</v>
      </c>
      <c r="G83" s="63">
        <f>VLOOKUP(D83,upahbahan,3,FALSE)</f>
        <v>0</v>
      </c>
      <c r="H83" s="397">
        <f>F83*G83</f>
        <v>0</v>
      </c>
    </row>
    <row r="84" spans="3:9" ht="19.2" customHeight="1">
      <c r="C84" s="394">
        <v>2</v>
      </c>
      <c r="D84" s="391" t="s">
        <v>2332</v>
      </c>
      <c r="E84" s="395" t="s">
        <v>65</v>
      </c>
      <c r="F84" s="421">
        <v>8</v>
      </c>
      <c r="G84" s="63">
        <f>VLOOKUP(D84,upahbahan,3,FALSE)</f>
        <v>1530</v>
      </c>
      <c r="H84" s="397">
        <f>F84*G84</f>
        <v>12240</v>
      </c>
    </row>
    <row r="85" spans="3:9" ht="19.2" customHeight="1">
      <c r="C85" s="394">
        <v>3</v>
      </c>
      <c r="D85" s="424" t="s">
        <v>85</v>
      </c>
      <c r="E85" s="395" t="s">
        <v>42</v>
      </c>
      <c r="F85" s="421">
        <v>3.2000000000000001E-2</v>
      </c>
      <c r="G85" s="63">
        <f>VLOOKUP(D85,upahbahan,3,FALSE)</f>
        <v>310500</v>
      </c>
      <c r="H85" s="397">
        <f>F85*G85</f>
        <v>9936</v>
      </c>
    </row>
    <row r="86" spans="3:9" ht="19.2" customHeight="1">
      <c r="C86" s="398" t="s">
        <v>1214</v>
      </c>
      <c r="D86" s="399"/>
      <c r="E86" s="399"/>
      <c r="F86" s="399"/>
      <c r="G86" s="404"/>
      <c r="H86" s="397">
        <f>SUM(H83:H85)</f>
        <v>22176</v>
      </c>
    </row>
    <row r="87" spans="3:9" ht="19.2" customHeight="1">
      <c r="C87" s="405" t="s">
        <v>1215</v>
      </c>
      <c r="D87" s="391" t="s">
        <v>1216</v>
      </c>
      <c r="E87" s="392"/>
      <c r="F87" s="392"/>
      <c r="G87" s="392"/>
      <c r="H87" s="393"/>
    </row>
    <row r="88" spans="3:9" ht="19.2" customHeight="1">
      <c r="C88" s="398" t="s">
        <v>1217</v>
      </c>
      <c r="D88" s="399"/>
      <c r="E88" s="399"/>
      <c r="F88" s="399"/>
      <c r="G88" s="404"/>
      <c r="H88" s="406">
        <v>0</v>
      </c>
    </row>
    <row r="89" spans="3:9" ht="19.2" customHeight="1">
      <c r="C89" s="407" t="s">
        <v>1218</v>
      </c>
      <c r="D89" s="408" t="s">
        <v>1219</v>
      </c>
      <c r="E89" s="409"/>
      <c r="F89" s="409"/>
      <c r="G89" s="410"/>
      <c r="H89" s="397">
        <f>H88+H86+H81</f>
        <v>93248</v>
      </c>
      <c r="I89" s="411"/>
    </row>
    <row r="90" spans="3:9" ht="19.2" customHeight="1">
      <c r="C90" s="75" t="s">
        <v>1220</v>
      </c>
      <c r="D90" s="76" t="s">
        <v>1321</v>
      </c>
      <c r="E90" s="77"/>
      <c r="F90" s="78"/>
      <c r="G90" s="80">
        <f>$M$8</f>
        <v>0.1</v>
      </c>
      <c r="H90" s="64">
        <f>H89*G90</f>
        <v>9324.8000000000011</v>
      </c>
      <c r="I90" s="411"/>
    </row>
    <row r="91" spans="3:9" ht="19.2" customHeight="1" thickBot="1">
      <c r="C91" s="412" t="s">
        <v>1221</v>
      </c>
      <c r="D91" s="413" t="s">
        <v>1222</v>
      </c>
      <c r="E91" s="414"/>
      <c r="F91" s="414"/>
      <c r="G91" s="415"/>
      <c r="H91" s="416">
        <f>SUM(H89:H90)</f>
        <v>102572.8</v>
      </c>
      <c r="I91" s="411"/>
    </row>
    <row r="92" spans="3:9" ht="14.4" thickTop="1">
      <c r="C92" s="417"/>
      <c r="D92" s="418"/>
      <c r="E92" s="418"/>
      <c r="F92" s="418"/>
      <c r="G92" s="418"/>
      <c r="H92" s="419"/>
    </row>
    <row r="93" spans="3:9" ht="14.4" thickBot="1">
      <c r="C93" s="47" t="s">
        <v>2595</v>
      </c>
      <c r="D93" s="385" t="s">
        <v>2596</v>
      </c>
      <c r="E93" s="420"/>
      <c r="F93" s="420"/>
      <c r="G93" s="420"/>
      <c r="H93" s="420"/>
      <c r="I93" s="386">
        <f>ROUNDDOWN(H110,-2)</f>
        <v>102500</v>
      </c>
    </row>
    <row r="94" spans="3:9" ht="28.2" thickTop="1">
      <c r="C94" s="387" t="s">
        <v>1195</v>
      </c>
      <c r="D94" s="388" t="s">
        <v>1196</v>
      </c>
      <c r="E94" s="388" t="s">
        <v>1197</v>
      </c>
      <c r="F94" s="388" t="s">
        <v>1198</v>
      </c>
      <c r="G94" s="388" t="s">
        <v>1199</v>
      </c>
      <c r="H94" s="389" t="s">
        <v>1200</v>
      </c>
    </row>
    <row r="95" spans="3:9" ht="21" customHeight="1">
      <c r="C95" s="390" t="s">
        <v>1201</v>
      </c>
      <c r="D95" s="391" t="s">
        <v>1202</v>
      </c>
      <c r="E95" s="392"/>
      <c r="F95" s="392"/>
      <c r="G95" s="392"/>
      <c r="H95" s="393"/>
    </row>
    <row r="96" spans="3:9" ht="21" customHeight="1">
      <c r="C96" s="394">
        <v>1</v>
      </c>
      <c r="D96" s="391" t="s">
        <v>5</v>
      </c>
      <c r="E96" s="395" t="s">
        <v>6</v>
      </c>
      <c r="F96" s="396">
        <v>0.4</v>
      </c>
      <c r="G96" s="63">
        <f>VLOOKUP(D96,upahbahan,3,FALSE)</f>
        <v>100000</v>
      </c>
      <c r="H96" s="397">
        <f>F96*G96</f>
        <v>40000</v>
      </c>
    </row>
    <row r="97" spans="3:9" ht="21" customHeight="1">
      <c r="C97" s="394">
        <v>2</v>
      </c>
      <c r="D97" s="391" t="s">
        <v>8</v>
      </c>
      <c r="E97" s="395" t="s">
        <v>6</v>
      </c>
      <c r="F97" s="396">
        <v>0.2</v>
      </c>
      <c r="G97" s="63">
        <f>VLOOKUP(D97,upahbahan,3,FALSE)</f>
        <v>135000</v>
      </c>
      <c r="H97" s="397">
        <f>F97*G97</f>
        <v>27000</v>
      </c>
    </row>
    <row r="98" spans="3:9" ht="21" customHeight="1">
      <c r="C98" s="394">
        <v>3</v>
      </c>
      <c r="D98" s="391" t="s">
        <v>18</v>
      </c>
      <c r="E98" s="395" t="s">
        <v>6</v>
      </c>
      <c r="F98" s="396">
        <v>0.02</v>
      </c>
      <c r="G98" s="63">
        <f>VLOOKUP(D98,upahbahan,3,FALSE)</f>
        <v>150000</v>
      </c>
      <c r="H98" s="397">
        <f>F98*G98</f>
        <v>3000</v>
      </c>
    </row>
    <row r="99" spans="3:9" ht="21" customHeight="1">
      <c r="C99" s="394">
        <v>4</v>
      </c>
      <c r="D99" s="391" t="s">
        <v>19</v>
      </c>
      <c r="E99" s="395" t="s">
        <v>6</v>
      </c>
      <c r="F99" s="396">
        <v>6.7000000000000002E-3</v>
      </c>
      <c r="G99" s="63">
        <f>VLOOKUP(D99,upahbahan,3,FALSE)</f>
        <v>160000</v>
      </c>
      <c r="H99" s="397">
        <f>F99*G99</f>
        <v>1072</v>
      </c>
    </row>
    <row r="100" spans="3:9" ht="21" customHeight="1">
      <c r="C100" s="398" t="s">
        <v>1208</v>
      </c>
      <c r="D100" s="399"/>
      <c r="E100" s="399"/>
      <c r="F100" s="400"/>
      <c r="G100" s="401"/>
      <c r="H100" s="397">
        <f>SUM(H96:H99)</f>
        <v>71072</v>
      </c>
      <c r="I100" s="402"/>
    </row>
    <row r="101" spans="3:9" ht="21" customHeight="1">
      <c r="C101" s="390" t="s">
        <v>1209</v>
      </c>
      <c r="D101" s="391" t="s">
        <v>1210</v>
      </c>
      <c r="E101" s="392"/>
      <c r="F101" s="392"/>
      <c r="G101" s="392"/>
      <c r="H101" s="393"/>
    </row>
    <row r="102" spans="3:9" ht="21" customHeight="1">
      <c r="C102" s="394">
        <v>1</v>
      </c>
      <c r="D102" s="424" t="s">
        <v>317</v>
      </c>
      <c r="E102" s="425" t="s">
        <v>44</v>
      </c>
      <c r="F102" s="421">
        <v>5</v>
      </c>
      <c r="G102" s="63">
        <f>VLOOKUP(D102,upahbahan,3,FALSE)</f>
        <v>0</v>
      </c>
      <c r="H102" s="397">
        <f>F102*G102</f>
        <v>0</v>
      </c>
    </row>
    <row r="103" spans="3:9" ht="21" customHeight="1">
      <c r="C103" s="394">
        <v>2</v>
      </c>
      <c r="D103" s="391" t="s">
        <v>2332</v>
      </c>
      <c r="E103" s="395" t="s">
        <v>65</v>
      </c>
      <c r="F103" s="421">
        <v>8</v>
      </c>
      <c r="G103" s="63">
        <f>VLOOKUP(D103,upahbahan,3,FALSE)</f>
        <v>1530</v>
      </c>
      <c r="H103" s="397">
        <f>F103*G103</f>
        <v>12240</v>
      </c>
    </row>
    <row r="104" spans="3:9" ht="21" customHeight="1">
      <c r="C104" s="394">
        <v>3</v>
      </c>
      <c r="D104" s="424" t="s">
        <v>85</v>
      </c>
      <c r="E104" s="395" t="s">
        <v>42</v>
      </c>
      <c r="F104" s="421">
        <v>3.2000000000000001E-2</v>
      </c>
      <c r="G104" s="63">
        <f>VLOOKUP(D104,upahbahan,3,FALSE)</f>
        <v>310500</v>
      </c>
      <c r="H104" s="397">
        <f>F104*G104</f>
        <v>9936</v>
      </c>
    </row>
    <row r="105" spans="3:9" ht="21" customHeight="1">
      <c r="C105" s="398" t="s">
        <v>1214</v>
      </c>
      <c r="D105" s="399"/>
      <c r="E105" s="399"/>
      <c r="F105" s="399"/>
      <c r="G105" s="404"/>
      <c r="H105" s="397">
        <f>SUM(H102:H104)</f>
        <v>22176</v>
      </c>
    </row>
    <row r="106" spans="3:9" ht="21" customHeight="1">
      <c r="C106" s="405" t="s">
        <v>1215</v>
      </c>
      <c r="D106" s="391" t="s">
        <v>1216</v>
      </c>
      <c r="E106" s="392"/>
      <c r="F106" s="392"/>
      <c r="G106" s="392"/>
      <c r="H106" s="393"/>
    </row>
    <row r="107" spans="3:9" ht="21" customHeight="1">
      <c r="C107" s="398" t="s">
        <v>1217</v>
      </c>
      <c r="D107" s="399"/>
      <c r="E107" s="399"/>
      <c r="F107" s="399"/>
      <c r="G107" s="404"/>
      <c r="H107" s="406">
        <v>0</v>
      </c>
    </row>
    <row r="108" spans="3:9" ht="21" customHeight="1">
      <c r="C108" s="407" t="s">
        <v>1218</v>
      </c>
      <c r="D108" s="408" t="s">
        <v>1219</v>
      </c>
      <c r="E108" s="409"/>
      <c r="F108" s="409"/>
      <c r="G108" s="410"/>
      <c r="H108" s="397">
        <f>H107+H105+H100</f>
        <v>93248</v>
      </c>
      <c r="I108" s="411"/>
    </row>
    <row r="109" spans="3:9" ht="21" customHeight="1">
      <c r="C109" s="75" t="s">
        <v>1220</v>
      </c>
      <c r="D109" s="76" t="s">
        <v>1321</v>
      </c>
      <c r="E109" s="77"/>
      <c r="F109" s="78"/>
      <c r="G109" s="80">
        <f>$M$8</f>
        <v>0.1</v>
      </c>
      <c r="H109" s="64">
        <f>H108*G109</f>
        <v>9324.8000000000011</v>
      </c>
      <c r="I109" s="411"/>
    </row>
    <row r="110" spans="3:9" ht="21" customHeight="1" thickBot="1">
      <c r="C110" s="412" t="s">
        <v>1221</v>
      </c>
      <c r="D110" s="413" t="s">
        <v>1222</v>
      </c>
      <c r="E110" s="414"/>
      <c r="F110" s="414"/>
      <c r="G110" s="415"/>
      <c r="H110" s="416">
        <f>SUM(H108:H109)</f>
        <v>102572.8</v>
      </c>
      <c r="I110" s="411"/>
    </row>
    <row r="111" spans="3:9" ht="14.4" thickTop="1">
      <c r="C111" s="417"/>
      <c r="D111" s="418"/>
      <c r="E111" s="418"/>
      <c r="F111" s="418"/>
      <c r="G111" s="418"/>
      <c r="H111" s="419"/>
    </row>
    <row r="112" spans="3:9" ht="14.4" thickBot="1">
      <c r="C112" s="47" t="s">
        <v>2597</v>
      </c>
      <c r="D112" s="385" t="s">
        <v>2598</v>
      </c>
      <c r="E112" s="420"/>
      <c r="F112" s="420"/>
      <c r="G112" s="420"/>
      <c r="H112" s="420"/>
      <c r="I112" s="386">
        <f>ROUNDDOWN(H129,-2)</f>
        <v>102500</v>
      </c>
    </row>
    <row r="113" spans="3:9" ht="28.2" thickTop="1">
      <c r="C113" s="387" t="s">
        <v>1195</v>
      </c>
      <c r="D113" s="388" t="s">
        <v>1196</v>
      </c>
      <c r="E113" s="388" t="s">
        <v>1197</v>
      </c>
      <c r="F113" s="388" t="s">
        <v>1198</v>
      </c>
      <c r="G113" s="388" t="s">
        <v>1199</v>
      </c>
      <c r="H113" s="389" t="s">
        <v>1200</v>
      </c>
    </row>
    <row r="114" spans="3:9" ht="22.2" customHeight="1">
      <c r="C114" s="390" t="s">
        <v>1201</v>
      </c>
      <c r="D114" s="391" t="s">
        <v>1202</v>
      </c>
      <c r="E114" s="392"/>
      <c r="F114" s="392"/>
      <c r="G114" s="392"/>
      <c r="H114" s="393"/>
    </row>
    <row r="115" spans="3:9" ht="22.2" customHeight="1">
      <c r="C115" s="394">
        <v>1</v>
      </c>
      <c r="D115" s="391" t="s">
        <v>5</v>
      </c>
      <c r="E115" s="395" t="s">
        <v>6</v>
      </c>
      <c r="F115" s="396">
        <v>0.4</v>
      </c>
      <c r="G115" s="63">
        <f>VLOOKUP(D115,upahbahan,3,FALSE)</f>
        <v>100000</v>
      </c>
      <c r="H115" s="397">
        <f>F115*G115</f>
        <v>40000</v>
      </c>
    </row>
    <row r="116" spans="3:9" ht="22.2" customHeight="1">
      <c r="C116" s="394">
        <v>2</v>
      </c>
      <c r="D116" s="391" t="s">
        <v>8</v>
      </c>
      <c r="E116" s="395" t="s">
        <v>6</v>
      </c>
      <c r="F116" s="396">
        <v>0.2</v>
      </c>
      <c r="G116" s="63">
        <f>VLOOKUP(D116,upahbahan,3,FALSE)</f>
        <v>135000</v>
      </c>
      <c r="H116" s="397">
        <f>F116*G116</f>
        <v>27000</v>
      </c>
    </row>
    <row r="117" spans="3:9" ht="22.2" customHeight="1">
      <c r="C117" s="394">
        <v>3</v>
      </c>
      <c r="D117" s="391" t="s">
        <v>18</v>
      </c>
      <c r="E117" s="395" t="s">
        <v>6</v>
      </c>
      <c r="F117" s="396">
        <v>0.02</v>
      </c>
      <c r="G117" s="63">
        <f>VLOOKUP(D117,upahbahan,3,FALSE)</f>
        <v>150000</v>
      </c>
      <c r="H117" s="397">
        <f>F117*G117</f>
        <v>3000</v>
      </c>
    </row>
    <row r="118" spans="3:9" ht="22.2" customHeight="1">
      <c r="C118" s="394">
        <v>4</v>
      </c>
      <c r="D118" s="391" t="s">
        <v>19</v>
      </c>
      <c r="E118" s="395" t="s">
        <v>6</v>
      </c>
      <c r="F118" s="396">
        <v>6.7000000000000002E-3</v>
      </c>
      <c r="G118" s="63">
        <f>VLOOKUP(D118,upahbahan,3,FALSE)</f>
        <v>160000</v>
      </c>
      <c r="H118" s="397">
        <f>F118*G118</f>
        <v>1072</v>
      </c>
    </row>
    <row r="119" spans="3:9" ht="22.2" customHeight="1">
      <c r="C119" s="398" t="s">
        <v>1208</v>
      </c>
      <c r="D119" s="399"/>
      <c r="E119" s="399"/>
      <c r="F119" s="400"/>
      <c r="G119" s="401"/>
      <c r="H119" s="397">
        <f>SUM(H115:H118)</f>
        <v>71072</v>
      </c>
      <c r="I119" s="402"/>
    </row>
    <row r="120" spans="3:9" ht="22.2" customHeight="1">
      <c r="C120" s="390" t="s">
        <v>1209</v>
      </c>
      <c r="D120" s="391" t="s">
        <v>1210</v>
      </c>
      <c r="E120" s="392"/>
      <c r="F120" s="392"/>
      <c r="G120" s="392"/>
      <c r="H120" s="393"/>
    </row>
    <row r="121" spans="3:9" ht="22.2" customHeight="1">
      <c r="C121" s="394">
        <v>1</v>
      </c>
      <c r="D121" s="424" t="s">
        <v>318</v>
      </c>
      <c r="E121" s="425" t="s">
        <v>44</v>
      </c>
      <c r="F121" s="421">
        <v>4</v>
      </c>
      <c r="G121" s="63">
        <f>VLOOKUP(D121,upahbahan,3,FALSE)</f>
        <v>0</v>
      </c>
      <c r="H121" s="397">
        <f>F121*G121</f>
        <v>0</v>
      </c>
    </row>
    <row r="122" spans="3:9" ht="22.2" customHeight="1">
      <c r="C122" s="394">
        <v>2</v>
      </c>
      <c r="D122" s="391" t="s">
        <v>2332</v>
      </c>
      <c r="E122" s="395" t="s">
        <v>65</v>
      </c>
      <c r="F122" s="421">
        <v>8</v>
      </c>
      <c r="G122" s="63">
        <f>VLOOKUP(D122,upahbahan,3,FALSE)</f>
        <v>1530</v>
      </c>
      <c r="H122" s="397">
        <f>F122*G122</f>
        <v>12240</v>
      </c>
    </row>
    <row r="123" spans="3:9" ht="22.2" customHeight="1">
      <c r="C123" s="394">
        <v>3</v>
      </c>
      <c r="D123" s="424" t="s">
        <v>85</v>
      </c>
      <c r="E123" s="395" t="s">
        <v>42</v>
      </c>
      <c r="F123" s="421">
        <v>3.2000000000000001E-2</v>
      </c>
      <c r="G123" s="63">
        <f>VLOOKUP(D123,upahbahan,3,FALSE)</f>
        <v>310500</v>
      </c>
      <c r="H123" s="397">
        <f>F123*G123</f>
        <v>9936</v>
      </c>
    </row>
    <row r="124" spans="3:9" ht="22.2" customHeight="1">
      <c r="C124" s="398" t="s">
        <v>1214</v>
      </c>
      <c r="D124" s="399"/>
      <c r="E124" s="399"/>
      <c r="F124" s="399"/>
      <c r="G124" s="404"/>
      <c r="H124" s="397">
        <f>SUM(H121:H123)</f>
        <v>22176</v>
      </c>
    </row>
    <row r="125" spans="3:9" ht="22.2" customHeight="1">
      <c r="C125" s="405" t="s">
        <v>1215</v>
      </c>
      <c r="D125" s="391" t="s">
        <v>1216</v>
      </c>
      <c r="E125" s="392"/>
      <c r="F125" s="392"/>
      <c r="G125" s="392"/>
      <c r="H125" s="393"/>
    </row>
    <row r="126" spans="3:9" ht="22.2" customHeight="1">
      <c r="C126" s="398" t="s">
        <v>1217</v>
      </c>
      <c r="D126" s="399"/>
      <c r="E126" s="399"/>
      <c r="F126" s="399"/>
      <c r="G126" s="404"/>
      <c r="H126" s="406">
        <v>0</v>
      </c>
    </row>
    <row r="127" spans="3:9" ht="22.2" customHeight="1">
      <c r="C127" s="407" t="s">
        <v>1218</v>
      </c>
      <c r="D127" s="408" t="s">
        <v>1219</v>
      </c>
      <c r="E127" s="409"/>
      <c r="F127" s="409"/>
      <c r="G127" s="410"/>
      <c r="H127" s="397">
        <f>H126+H124+H119</f>
        <v>93248</v>
      </c>
      <c r="I127" s="411"/>
    </row>
    <row r="128" spans="3:9" ht="22.2" customHeight="1">
      <c r="C128" s="75" t="s">
        <v>1220</v>
      </c>
      <c r="D128" s="76" t="s">
        <v>1321</v>
      </c>
      <c r="E128" s="77"/>
      <c r="F128" s="78"/>
      <c r="G128" s="80">
        <f>$M$8</f>
        <v>0.1</v>
      </c>
      <c r="H128" s="64">
        <f>H127*G128</f>
        <v>9324.8000000000011</v>
      </c>
      <c r="I128" s="411"/>
    </row>
    <row r="129" spans="3:9" ht="22.2" customHeight="1" thickBot="1">
      <c r="C129" s="412" t="s">
        <v>1221</v>
      </c>
      <c r="D129" s="413" t="s">
        <v>1222</v>
      </c>
      <c r="E129" s="414"/>
      <c r="F129" s="414"/>
      <c r="G129" s="415"/>
      <c r="H129" s="416">
        <f>SUM(H127:H128)</f>
        <v>102572.8</v>
      </c>
      <c r="I129" s="411"/>
    </row>
    <row r="130" spans="3:9" ht="14.4" thickTop="1">
      <c r="C130" s="417"/>
      <c r="D130" s="418"/>
      <c r="E130" s="418"/>
      <c r="F130" s="418"/>
      <c r="G130" s="418"/>
      <c r="H130" s="419"/>
    </row>
    <row r="131" spans="3:9" ht="14.4" thickBot="1">
      <c r="C131" s="47" t="s">
        <v>2599</v>
      </c>
      <c r="D131" s="385" t="s">
        <v>2600</v>
      </c>
      <c r="E131" s="420"/>
      <c r="F131" s="420"/>
      <c r="G131" s="420"/>
      <c r="H131" s="420"/>
      <c r="I131" s="386">
        <f>ROUNDDOWN(H150,-2)</f>
        <v>128900</v>
      </c>
    </row>
    <row r="132" spans="3:9" ht="28.2" thickTop="1">
      <c r="C132" s="387" t="s">
        <v>1195</v>
      </c>
      <c r="D132" s="388" t="s">
        <v>1196</v>
      </c>
      <c r="E132" s="388" t="s">
        <v>1197</v>
      </c>
      <c r="F132" s="388" t="s">
        <v>1198</v>
      </c>
      <c r="G132" s="388" t="s">
        <v>1199</v>
      </c>
      <c r="H132" s="389" t="s">
        <v>1200</v>
      </c>
    </row>
    <row r="133" spans="3:9" ht="22.2" customHeight="1">
      <c r="C133" s="390" t="s">
        <v>1201</v>
      </c>
      <c r="D133" s="391" t="s">
        <v>1202</v>
      </c>
      <c r="E133" s="392"/>
      <c r="F133" s="392"/>
      <c r="G133" s="392"/>
      <c r="H133" s="393"/>
    </row>
    <row r="134" spans="3:9" ht="22.2" customHeight="1">
      <c r="C134" s="394">
        <v>1</v>
      </c>
      <c r="D134" s="391" t="s">
        <v>5</v>
      </c>
      <c r="E134" s="395" t="s">
        <v>6</v>
      </c>
      <c r="F134" s="396">
        <v>0.4</v>
      </c>
      <c r="G134" s="63">
        <f>VLOOKUP(D134,upahbahan,3,FALSE)</f>
        <v>100000</v>
      </c>
      <c r="H134" s="397">
        <f>F134*G134</f>
        <v>40000</v>
      </c>
    </row>
    <row r="135" spans="3:9" ht="22.2" customHeight="1">
      <c r="C135" s="394">
        <v>2</v>
      </c>
      <c r="D135" s="391" t="s">
        <v>8</v>
      </c>
      <c r="E135" s="395" t="s">
        <v>6</v>
      </c>
      <c r="F135" s="396">
        <v>0.2</v>
      </c>
      <c r="G135" s="63">
        <f>VLOOKUP(D135,upahbahan,3,FALSE)</f>
        <v>135000</v>
      </c>
      <c r="H135" s="397">
        <f>F135*G135</f>
        <v>27000</v>
      </c>
    </row>
    <row r="136" spans="3:9" ht="22.2" customHeight="1">
      <c r="C136" s="394">
        <v>3</v>
      </c>
      <c r="D136" s="391" t="s">
        <v>18</v>
      </c>
      <c r="E136" s="395" t="s">
        <v>6</v>
      </c>
      <c r="F136" s="396">
        <v>0.02</v>
      </c>
      <c r="G136" s="63">
        <f>VLOOKUP(D136,upahbahan,3,FALSE)</f>
        <v>150000</v>
      </c>
      <c r="H136" s="397">
        <f>F136*G136</f>
        <v>3000</v>
      </c>
    </row>
    <row r="137" spans="3:9" ht="22.2" customHeight="1">
      <c r="C137" s="394">
        <v>4</v>
      </c>
      <c r="D137" s="391" t="s">
        <v>19</v>
      </c>
      <c r="E137" s="395" t="s">
        <v>6</v>
      </c>
      <c r="F137" s="396">
        <v>6.7000000000000002E-3</v>
      </c>
      <c r="G137" s="63">
        <f>VLOOKUP(D137,upahbahan,3,FALSE)</f>
        <v>160000</v>
      </c>
      <c r="H137" s="397">
        <f>F137*G137</f>
        <v>1072</v>
      </c>
    </row>
    <row r="138" spans="3:9" ht="22.2" customHeight="1">
      <c r="C138" s="398" t="s">
        <v>1208</v>
      </c>
      <c r="D138" s="399"/>
      <c r="E138" s="399"/>
      <c r="F138" s="400"/>
      <c r="G138" s="401"/>
      <c r="H138" s="397">
        <f>SUM(H134:H137)</f>
        <v>71072</v>
      </c>
      <c r="I138" s="402"/>
    </row>
    <row r="139" spans="3:9" ht="22.2" customHeight="1">
      <c r="C139" s="390" t="s">
        <v>1209</v>
      </c>
      <c r="D139" s="391" t="s">
        <v>1210</v>
      </c>
      <c r="E139" s="392"/>
      <c r="F139" s="392"/>
      <c r="G139" s="392"/>
      <c r="H139" s="393"/>
    </row>
    <row r="140" spans="3:9" ht="22.2" customHeight="1">
      <c r="C140" s="394">
        <v>1</v>
      </c>
      <c r="D140" s="391" t="s">
        <v>343</v>
      </c>
      <c r="E140" s="395" t="s">
        <v>44</v>
      </c>
      <c r="F140" s="421">
        <v>3.5</v>
      </c>
      <c r="G140" s="63">
        <f>VLOOKUP(D140,upahbahan,3,FALSE)</f>
        <v>0</v>
      </c>
      <c r="H140" s="397">
        <f>F140*G140</f>
        <v>0</v>
      </c>
    </row>
    <row r="141" spans="3:9" ht="22.2" customHeight="1">
      <c r="C141" s="394">
        <v>2</v>
      </c>
      <c r="D141" s="391" t="s">
        <v>259</v>
      </c>
      <c r="E141" s="395" t="s">
        <v>65</v>
      </c>
      <c r="F141" s="421">
        <v>0.05</v>
      </c>
      <c r="G141" s="63">
        <f>VLOOKUP(D141,upahbahan,3,FALSE)</f>
        <v>33075</v>
      </c>
      <c r="H141" s="397">
        <f>F141*G141</f>
        <v>1653.75</v>
      </c>
    </row>
    <row r="142" spans="3:9" ht="22.2" customHeight="1">
      <c r="C142" s="394">
        <v>3</v>
      </c>
      <c r="D142" s="391" t="s">
        <v>2332</v>
      </c>
      <c r="E142" s="395" t="s">
        <v>65</v>
      </c>
      <c r="F142" s="421">
        <v>10.8</v>
      </c>
      <c r="G142" s="63">
        <f>VLOOKUP(D142,upahbahan,3,FALSE)</f>
        <v>1530</v>
      </c>
      <c r="H142" s="397">
        <f>F142*G142</f>
        <v>16524</v>
      </c>
    </row>
    <row r="143" spans="3:9" ht="22.2" customHeight="1">
      <c r="C143" s="394">
        <v>4</v>
      </c>
      <c r="D143" s="424" t="s">
        <v>85</v>
      </c>
      <c r="E143" s="395" t="s">
        <v>42</v>
      </c>
      <c r="F143" s="421">
        <v>3.2000000000000001E-2</v>
      </c>
      <c r="G143" s="63">
        <f>VLOOKUP(D143,upahbahan,3,FALSE)</f>
        <v>310500</v>
      </c>
      <c r="H143" s="397">
        <f>F143*G143</f>
        <v>9936</v>
      </c>
    </row>
    <row r="144" spans="3:9" ht="22.2" customHeight="1">
      <c r="C144" s="394">
        <v>5</v>
      </c>
      <c r="D144" s="391" t="s">
        <v>562</v>
      </c>
      <c r="E144" s="395" t="s">
        <v>65</v>
      </c>
      <c r="F144" s="421">
        <v>1</v>
      </c>
      <c r="G144" s="63">
        <f>VLOOKUP(D144,upahbahan,3,FALSE)</f>
        <v>18000</v>
      </c>
      <c r="H144" s="397">
        <f>F144*G144</f>
        <v>18000</v>
      </c>
    </row>
    <row r="145" spans="3:9" ht="22.2" customHeight="1">
      <c r="C145" s="398" t="s">
        <v>1214</v>
      </c>
      <c r="D145" s="399"/>
      <c r="E145" s="399"/>
      <c r="F145" s="399"/>
      <c r="G145" s="404"/>
      <c r="H145" s="397">
        <f>SUM(H140:H144)</f>
        <v>46113.75</v>
      </c>
    </row>
    <row r="146" spans="3:9" ht="22.2" customHeight="1">
      <c r="C146" s="405" t="s">
        <v>1215</v>
      </c>
      <c r="D146" s="391" t="s">
        <v>1216</v>
      </c>
      <c r="E146" s="392"/>
      <c r="F146" s="392"/>
      <c r="G146" s="392"/>
      <c r="H146" s="393"/>
    </row>
    <row r="147" spans="3:9" ht="22.2" customHeight="1">
      <c r="C147" s="398" t="s">
        <v>1217</v>
      </c>
      <c r="D147" s="399"/>
      <c r="E147" s="399"/>
      <c r="F147" s="399"/>
      <c r="G147" s="404"/>
      <c r="H147" s="406">
        <v>0</v>
      </c>
    </row>
    <row r="148" spans="3:9" ht="22.2" customHeight="1">
      <c r="C148" s="407" t="s">
        <v>1218</v>
      </c>
      <c r="D148" s="408" t="s">
        <v>1219</v>
      </c>
      <c r="E148" s="409"/>
      <c r="F148" s="409"/>
      <c r="G148" s="410"/>
      <c r="H148" s="397">
        <f>H147+H145+H138</f>
        <v>117185.75</v>
      </c>
      <c r="I148" s="411"/>
    </row>
    <row r="149" spans="3:9" ht="22.2" customHeight="1">
      <c r="C149" s="75" t="s">
        <v>1220</v>
      </c>
      <c r="D149" s="76" t="s">
        <v>1321</v>
      </c>
      <c r="E149" s="77"/>
      <c r="F149" s="78"/>
      <c r="G149" s="80">
        <f>$M$8</f>
        <v>0.1</v>
      </c>
      <c r="H149" s="64">
        <f>H148*G149</f>
        <v>11718.575000000001</v>
      </c>
      <c r="I149" s="411"/>
    </row>
    <row r="150" spans="3:9" ht="22.2" customHeight="1" thickBot="1">
      <c r="C150" s="412" t="s">
        <v>1221</v>
      </c>
      <c r="D150" s="413" t="s">
        <v>1222</v>
      </c>
      <c r="E150" s="414"/>
      <c r="F150" s="414"/>
      <c r="G150" s="415"/>
      <c r="H150" s="416">
        <f>SUM(H148:H149)</f>
        <v>128904.325</v>
      </c>
      <c r="I150" s="411"/>
    </row>
    <row r="151" spans="3:9" ht="14.4" thickTop="1">
      <c r="C151" s="426"/>
      <c r="D151" s="427"/>
      <c r="E151" s="427"/>
      <c r="F151" s="427"/>
      <c r="G151" s="427"/>
      <c r="H151" s="428"/>
      <c r="I151" s="411"/>
    </row>
    <row r="152" spans="3:9">
      <c r="C152" s="382" t="s">
        <v>2601</v>
      </c>
      <c r="D152" s="429" t="s">
        <v>2602</v>
      </c>
      <c r="E152" s="427"/>
      <c r="F152" s="427"/>
      <c r="G152" s="427"/>
      <c r="H152" s="428"/>
      <c r="I152" s="411"/>
    </row>
    <row r="153" spans="3:9" ht="14.4" thickBot="1">
      <c r="C153" s="47" t="s">
        <v>2603</v>
      </c>
      <c r="D153" s="385" t="s">
        <v>2604</v>
      </c>
      <c r="E153" s="423"/>
      <c r="F153" s="423"/>
      <c r="G153" s="423"/>
      <c r="H153" s="423"/>
      <c r="I153" s="386">
        <f>ROUNDDOWN(H169,-2)</f>
        <v>93100</v>
      </c>
    </row>
    <row r="154" spans="3:9" ht="28.2" thickTop="1">
      <c r="C154" s="387" t="s">
        <v>1195</v>
      </c>
      <c r="D154" s="388" t="s">
        <v>1196</v>
      </c>
      <c r="E154" s="388" t="s">
        <v>1197</v>
      </c>
      <c r="F154" s="388" t="s">
        <v>1198</v>
      </c>
      <c r="G154" s="388" t="s">
        <v>1199</v>
      </c>
      <c r="H154" s="389" t="s">
        <v>1200</v>
      </c>
    </row>
    <row r="155" spans="3:9" ht="21.6" customHeight="1">
      <c r="C155" s="390" t="s">
        <v>1201</v>
      </c>
      <c r="D155" s="391" t="s">
        <v>1202</v>
      </c>
      <c r="E155" s="392"/>
      <c r="F155" s="392"/>
      <c r="G155" s="392"/>
      <c r="H155" s="393"/>
    </row>
    <row r="156" spans="3:9" ht="21.6" customHeight="1">
      <c r="C156" s="394">
        <v>1</v>
      </c>
      <c r="D156" s="391" t="s">
        <v>5</v>
      </c>
      <c r="E156" s="395" t="s">
        <v>6</v>
      </c>
      <c r="F156" s="396">
        <v>0.14000000000000001</v>
      </c>
      <c r="G156" s="63">
        <f>VLOOKUP(D156,upahbahan,3,FALSE)</f>
        <v>100000</v>
      </c>
      <c r="H156" s="397">
        <f>F156*G156</f>
        <v>14000.000000000002</v>
      </c>
    </row>
    <row r="157" spans="3:9" ht="21.6" customHeight="1">
      <c r="C157" s="394">
        <v>2</v>
      </c>
      <c r="D157" s="391" t="s">
        <v>8</v>
      </c>
      <c r="E157" s="395" t="s">
        <v>6</v>
      </c>
      <c r="F157" s="396">
        <v>7.4999999999999997E-2</v>
      </c>
      <c r="G157" s="63">
        <f>VLOOKUP(D157,upahbahan,3,FALSE)</f>
        <v>135000</v>
      </c>
      <c r="H157" s="397">
        <f>F157*G157</f>
        <v>10125</v>
      </c>
    </row>
    <row r="158" spans="3:9" ht="21.6" customHeight="1">
      <c r="C158" s="394">
        <v>3</v>
      </c>
      <c r="D158" s="391" t="s">
        <v>18</v>
      </c>
      <c r="E158" s="395" t="s">
        <v>6</v>
      </c>
      <c r="F158" s="396">
        <v>7.4999999999999997E-3</v>
      </c>
      <c r="G158" s="63">
        <f>VLOOKUP(D158,upahbahan,3,FALSE)</f>
        <v>150000</v>
      </c>
      <c r="H158" s="397">
        <f>F158*G158</f>
        <v>1125</v>
      </c>
    </row>
    <row r="159" spans="3:9" ht="21.6" customHeight="1">
      <c r="C159" s="394">
        <v>4</v>
      </c>
      <c r="D159" s="391" t="s">
        <v>19</v>
      </c>
      <c r="E159" s="395" t="s">
        <v>6</v>
      </c>
      <c r="F159" s="396">
        <v>2.5000000000000001E-3</v>
      </c>
      <c r="G159" s="63">
        <f>VLOOKUP(D159,upahbahan,3,FALSE)</f>
        <v>160000</v>
      </c>
      <c r="H159" s="397">
        <f>F159*G159</f>
        <v>400</v>
      </c>
    </row>
    <row r="160" spans="3:9" ht="21.6" customHeight="1">
      <c r="C160" s="398" t="s">
        <v>1208</v>
      </c>
      <c r="D160" s="399"/>
      <c r="E160" s="399"/>
      <c r="F160" s="400"/>
      <c r="G160" s="401"/>
      <c r="H160" s="397">
        <f>SUM(H156:H159)</f>
        <v>25650</v>
      </c>
      <c r="I160" s="402"/>
    </row>
    <row r="161" spans="3:9" ht="21.6" customHeight="1">
      <c r="C161" s="390" t="s">
        <v>1209</v>
      </c>
      <c r="D161" s="391" t="s">
        <v>1210</v>
      </c>
      <c r="E161" s="392"/>
      <c r="F161" s="392"/>
      <c r="G161" s="392"/>
      <c r="H161" s="393"/>
    </row>
    <row r="162" spans="3:9" ht="21.6" customHeight="1">
      <c r="C162" s="394">
        <v>1</v>
      </c>
      <c r="D162" s="391" t="s">
        <v>303</v>
      </c>
      <c r="E162" s="425" t="s">
        <v>129</v>
      </c>
      <c r="F162" s="421">
        <v>0.5</v>
      </c>
      <c r="G162" s="63">
        <f>VLOOKUP(D162,upahbahan,3,FALSE)</f>
        <v>113400</v>
      </c>
      <c r="H162" s="397">
        <f>F162*G162</f>
        <v>56700</v>
      </c>
    </row>
    <row r="163" spans="3:9" ht="21.6" customHeight="1">
      <c r="C163" s="394">
        <v>2</v>
      </c>
      <c r="D163" s="391" t="s">
        <v>265</v>
      </c>
      <c r="E163" s="395" t="s">
        <v>65</v>
      </c>
      <c r="F163" s="421">
        <v>0.12</v>
      </c>
      <c r="G163" s="63">
        <f>VLOOKUP(D163,upahbahan,3,FALSE)</f>
        <v>19460</v>
      </c>
      <c r="H163" s="397">
        <f>F163*G163</f>
        <v>2335.1999999999998</v>
      </c>
    </row>
    <row r="164" spans="3:9" ht="21.6" customHeight="1">
      <c r="C164" s="398" t="s">
        <v>1214</v>
      </c>
      <c r="D164" s="399"/>
      <c r="E164" s="399"/>
      <c r="F164" s="399"/>
      <c r="G164" s="404"/>
      <c r="H164" s="397">
        <f>SUM(H162:H163)</f>
        <v>59035.199999999997</v>
      </c>
    </row>
    <row r="165" spans="3:9" ht="21.6" customHeight="1">
      <c r="C165" s="405" t="s">
        <v>1215</v>
      </c>
      <c r="D165" s="391" t="s">
        <v>1216</v>
      </c>
      <c r="E165" s="392"/>
      <c r="F165" s="392"/>
      <c r="G165" s="392"/>
      <c r="H165" s="393"/>
    </row>
    <row r="166" spans="3:9" ht="21.6" customHeight="1">
      <c r="C166" s="398" t="s">
        <v>1217</v>
      </c>
      <c r="D166" s="399"/>
      <c r="E166" s="399"/>
      <c r="F166" s="399"/>
      <c r="G166" s="404"/>
      <c r="H166" s="406">
        <v>0</v>
      </c>
    </row>
    <row r="167" spans="3:9" ht="21.6" customHeight="1">
      <c r="C167" s="407" t="s">
        <v>1218</v>
      </c>
      <c r="D167" s="408" t="s">
        <v>1219</v>
      </c>
      <c r="E167" s="409"/>
      <c r="F167" s="409"/>
      <c r="G167" s="410"/>
      <c r="H167" s="397">
        <f>H166+H164+H160</f>
        <v>84685.2</v>
      </c>
      <c r="I167" s="411"/>
    </row>
    <row r="168" spans="3:9" ht="21.6" customHeight="1">
      <c r="C168" s="75" t="s">
        <v>1220</v>
      </c>
      <c r="D168" s="76" t="s">
        <v>1321</v>
      </c>
      <c r="E168" s="77"/>
      <c r="F168" s="78"/>
      <c r="G168" s="80">
        <f>$M$8</f>
        <v>0.1</v>
      </c>
      <c r="H168" s="64">
        <f>H167*G168</f>
        <v>8468.52</v>
      </c>
      <c r="I168" s="411"/>
    </row>
    <row r="169" spans="3:9" ht="21.6" customHeight="1" thickBot="1">
      <c r="C169" s="412" t="s">
        <v>1221</v>
      </c>
      <c r="D169" s="413" t="s">
        <v>1222</v>
      </c>
      <c r="E169" s="414"/>
      <c r="F169" s="414"/>
      <c r="G169" s="415"/>
      <c r="H169" s="416">
        <f>SUM(H167:H168)</f>
        <v>93153.72</v>
      </c>
      <c r="I169" s="411"/>
    </row>
    <row r="170" spans="3:9" ht="14.4" thickTop="1">
      <c r="C170" s="417"/>
      <c r="D170" s="418"/>
      <c r="E170" s="418"/>
      <c r="F170" s="418"/>
      <c r="G170" s="418"/>
      <c r="H170" s="419"/>
    </row>
    <row r="171" spans="3:9" ht="14.4" thickBot="1">
      <c r="C171" s="47" t="s">
        <v>2605</v>
      </c>
      <c r="D171" s="385" t="s">
        <v>2606</v>
      </c>
      <c r="E171" s="420"/>
      <c r="F171" s="420"/>
      <c r="G171" s="420"/>
      <c r="H171" s="420"/>
      <c r="I171" s="386">
        <f>ROUNDDOWN(H187,-2)</f>
        <v>100000</v>
      </c>
    </row>
    <row r="172" spans="3:9" ht="28.2" thickTop="1">
      <c r="C172" s="387" t="s">
        <v>1195</v>
      </c>
      <c r="D172" s="388" t="s">
        <v>1196</v>
      </c>
      <c r="E172" s="388" t="s">
        <v>1197</v>
      </c>
      <c r="F172" s="388" t="s">
        <v>1198</v>
      </c>
      <c r="G172" s="388" t="s">
        <v>1199</v>
      </c>
      <c r="H172" s="389" t="s">
        <v>1200</v>
      </c>
    </row>
    <row r="173" spans="3:9" ht="22.2" customHeight="1">
      <c r="C173" s="390" t="s">
        <v>1201</v>
      </c>
      <c r="D173" s="391" t="s">
        <v>1202</v>
      </c>
      <c r="E173" s="392"/>
      <c r="F173" s="392"/>
      <c r="G173" s="392"/>
      <c r="H173" s="393"/>
    </row>
    <row r="174" spans="3:9" ht="22.2" customHeight="1">
      <c r="C174" s="394">
        <v>1</v>
      </c>
      <c r="D174" s="391" t="s">
        <v>5</v>
      </c>
      <c r="E174" s="395" t="s">
        <v>6</v>
      </c>
      <c r="F174" s="396">
        <v>0.14000000000000001</v>
      </c>
      <c r="G174" s="63">
        <f>VLOOKUP(D174,upahbahan,3,FALSE)</f>
        <v>100000</v>
      </c>
      <c r="H174" s="397">
        <f>F174*G174</f>
        <v>14000.000000000002</v>
      </c>
    </row>
    <row r="175" spans="3:9" ht="22.2" customHeight="1">
      <c r="C175" s="394">
        <v>2</v>
      </c>
      <c r="D175" s="391" t="s">
        <v>8</v>
      </c>
      <c r="E175" s="395" t="s">
        <v>6</v>
      </c>
      <c r="F175" s="396">
        <v>7.4999999999999997E-2</v>
      </c>
      <c r="G175" s="63">
        <f>VLOOKUP(D175,upahbahan,3,FALSE)</f>
        <v>135000</v>
      </c>
      <c r="H175" s="397">
        <f>F175*G175</f>
        <v>10125</v>
      </c>
    </row>
    <row r="176" spans="3:9" ht="22.2" customHeight="1">
      <c r="C176" s="394">
        <v>3</v>
      </c>
      <c r="D176" s="391" t="s">
        <v>18</v>
      </c>
      <c r="E176" s="395" t="s">
        <v>6</v>
      </c>
      <c r="F176" s="396">
        <v>7.4999999999999997E-3</v>
      </c>
      <c r="G176" s="63">
        <f>VLOOKUP(D176,upahbahan,3,FALSE)</f>
        <v>150000</v>
      </c>
      <c r="H176" s="397">
        <f>F176*G176</f>
        <v>1125</v>
      </c>
    </row>
    <row r="177" spans="3:9" ht="22.2" customHeight="1">
      <c r="C177" s="394">
        <v>4</v>
      </c>
      <c r="D177" s="391" t="s">
        <v>19</v>
      </c>
      <c r="E177" s="395" t="s">
        <v>6</v>
      </c>
      <c r="F177" s="396">
        <v>2.5000000000000001E-3</v>
      </c>
      <c r="G177" s="63">
        <f>VLOOKUP(D177,upahbahan,3,FALSE)</f>
        <v>160000</v>
      </c>
      <c r="H177" s="397">
        <f>F177*G177</f>
        <v>400</v>
      </c>
    </row>
    <row r="178" spans="3:9" ht="22.2" customHeight="1">
      <c r="C178" s="398" t="s">
        <v>1208</v>
      </c>
      <c r="D178" s="399"/>
      <c r="E178" s="399"/>
      <c r="F178" s="400"/>
      <c r="G178" s="401"/>
      <c r="H178" s="397">
        <f>SUM(H174:H177)</f>
        <v>25650</v>
      </c>
      <c r="I178" s="402"/>
    </row>
    <row r="179" spans="3:9" ht="22.2" customHeight="1">
      <c r="C179" s="390" t="s">
        <v>1209</v>
      </c>
      <c r="D179" s="391" t="s">
        <v>1210</v>
      </c>
      <c r="E179" s="392"/>
      <c r="F179" s="392"/>
      <c r="G179" s="392"/>
      <c r="H179" s="393"/>
    </row>
    <row r="180" spans="3:9" ht="22.2" customHeight="1">
      <c r="C180" s="394">
        <v>1</v>
      </c>
      <c r="D180" s="391" t="s">
        <v>301</v>
      </c>
      <c r="E180" s="395" t="s">
        <v>129</v>
      </c>
      <c r="F180" s="421">
        <v>0.6</v>
      </c>
      <c r="G180" s="63">
        <f>VLOOKUP(D180,upahbahan,3,FALSE)</f>
        <v>104900</v>
      </c>
      <c r="H180" s="397">
        <f>F180*G180</f>
        <v>62940</v>
      </c>
    </row>
    <row r="181" spans="3:9" ht="22.2" customHeight="1">
      <c r="C181" s="394">
        <v>2</v>
      </c>
      <c r="D181" s="391" t="s">
        <v>265</v>
      </c>
      <c r="E181" s="395" t="s">
        <v>65</v>
      </c>
      <c r="F181" s="421">
        <v>0.12</v>
      </c>
      <c r="G181" s="63">
        <f>VLOOKUP(D181,upahbahan,3,FALSE)</f>
        <v>19460</v>
      </c>
      <c r="H181" s="397">
        <f>F181*G181</f>
        <v>2335.1999999999998</v>
      </c>
    </row>
    <row r="182" spans="3:9" ht="22.2" customHeight="1">
      <c r="C182" s="398" t="s">
        <v>1214</v>
      </c>
      <c r="D182" s="399"/>
      <c r="E182" s="399"/>
      <c r="F182" s="399"/>
      <c r="G182" s="404"/>
      <c r="H182" s="397">
        <f>SUM(H180:H181)</f>
        <v>65275.199999999997</v>
      </c>
    </row>
    <row r="183" spans="3:9" ht="22.2" customHeight="1">
      <c r="C183" s="405" t="s">
        <v>1215</v>
      </c>
      <c r="D183" s="391" t="s">
        <v>1216</v>
      </c>
      <c r="E183" s="392"/>
      <c r="F183" s="392"/>
      <c r="G183" s="392"/>
      <c r="H183" s="393"/>
    </row>
    <row r="184" spans="3:9" ht="22.2" customHeight="1">
      <c r="C184" s="398" t="s">
        <v>1217</v>
      </c>
      <c r="D184" s="399"/>
      <c r="E184" s="399"/>
      <c r="F184" s="399"/>
      <c r="G184" s="404"/>
      <c r="H184" s="406">
        <v>0</v>
      </c>
    </row>
    <row r="185" spans="3:9" ht="22.2" customHeight="1">
      <c r="C185" s="407" t="s">
        <v>1218</v>
      </c>
      <c r="D185" s="408" t="s">
        <v>1219</v>
      </c>
      <c r="E185" s="409"/>
      <c r="F185" s="409"/>
      <c r="G185" s="410"/>
      <c r="H185" s="397">
        <f>H184+H182+H178</f>
        <v>90925.2</v>
      </c>
      <c r="I185" s="411"/>
    </row>
    <row r="186" spans="3:9" ht="22.2" customHeight="1">
      <c r="C186" s="75" t="s">
        <v>1220</v>
      </c>
      <c r="D186" s="76" t="s">
        <v>1321</v>
      </c>
      <c r="E186" s="77"/>
      <c r="F186" s="78"/>
      <c r="G186" s="80">
        <f>$M$8</f>
        <v>0.1</v>
      </c>
      <c r="H186" s="64">
        <f>H185*G186</f>
        <v>9092.52</v>
      </c>
      <c r="I186" s="411"/>
    </row>
    <row r="187" spans="3:9" ht="22.2" customHeight="1" thickBot="1">
      <c r="C187" s="412" t="s">
        <v>1221</v>
      </c>
      <c r="D187" s="413" t="s">
        <v>1222</v>
      </c>
      <c r="E187" s="414"/>
      <c r="F187" s="414"/>
      <c r="G187" s="415"/>
      <c r="H187" s="416">
        <f>SUM(H185:H186)</f>
        <v>100017.72</v>
      </c>
      <c r="I187" s="411"/>
    </row>
    <row r="188" spans="3:9" ht="14.4" thickTop="1">
      <c r="C188" s="417"/>
      <c r="D188" s="418"/>
      <c r="E188" s="418"/>
      <c r="F188" s="418"/>
      <c r="G188" s="418"/>
      <c r="H188" s="419"/>
    </row>
    <row r="189" spans="3:9" ht="14.4" thickBot="1">
      <c r="C189" s="47" t="s">
        <v>2607</v>
      </c>
      <c r="D189" s="385" t="s">
        <v>2608</v>
      </c>
      <c r="E189" s="420"/>
      <c r="F189" s="420"/>
      <c r="G189" s="420"/>
      <c r="H189" s="420"/>
      <c r="I189" s="386">
        <f>ROUNDDOWN(H205,-2)</f>
        <v>91900</v>
      </c>
    </row>
    <row r="190" spans="3:9" ht="28.2" thickTop="1">
      <c r="C190" s="387" t="s">
        <v>1195</v>
      </c>
      <c r="D190" s="388" t="s">
        <v>1196</v>
      </c>
      <c r="E190" s="388" t="s">
        <v>1197</v>
      </c>
      <c r="F190" s="388" t="s">
        <v>1198</v>
      </c>
      <c r="G190" s="388" t="s">
        <v>1199</v>
      </c>
      <c r="H190" s="389" t="s">
        <v>1200</v>
      </c>
    </row>
    <row r="191" spans="3:9" ht="19.8" customHeight="1">
      <c r="C191" s="390" t="s">
        <v>1201</v>
      </c>
      <c r="D191" s="391" t="s">
        <v>1202</v>
      </c>
      <c r="E191" s="392"/>
      <c r="F191" s="392"/>
      <c r="G191" s="392"/>
      <c r="H191" s="393"/>
    </row>
    <row r="192" spans="3:9" ht="19.8" customHeight="1">
      <c r="C192" s="394">
        <v>1</v>
      </c>
      <c r="D192" s="391" t="s">
        <v>5</v>
      </c>
      <c r="E192" s="395" t="s">
        <v>6</v>
      </c>
      <c r="F192" s="396">
        <v>0.14000000000000001</v>
      </c>
      <c r="G192" s="63">
        <f>VLOOKUP(D192,upahbahan,3,FALSE)</f>
        <v>100000</v>
      </c>
      <c r="H192" s="397">
        <f>F192*G192</f>
        <v>14000.000000000002</v>
      </c>
    </row>
    <row r="193" spans="3:9" ht="19.8" customHeight="1">
      <c r="C193" s="394">
        <v>2</v>
      </c>
      <c r="D193" s="391" t="s">
        <v>8</v>
      </c>
      <c r="E193" s="395" t="s">
        <v>6</v>
      </c>
      <c r="F193" s="396">
        <v>7.0000000000000007E-2</v>
      </c>
      <c r="G193" s="63">
        <f>VLOOKUP(D193,upahbahan,3,FALSE)</f>
        <v>135000</v>
      </c>
      <c r="H193" s="397">
        <f>F193*G193</f>
        <v>9450</v>
      </c>
    </row>
    <row r="194" spans="3:9" ht="19.8" customHeight="1">
      <c r="C194" s="394">
        <v>3</v>
      </c>
      <c r="D194" s="391" t="s">
        <v>18</v>
      </c>
      <c r="E194" s="395" t="s">
        <v>6</v>
      </c>
      <c r="F194" s="396">
        <v>7.0000000000000001E-3</v>
      </c>
      <c r="G194" s="63">
        <f>VLOOKUP(D194,upahbahan,3,FALSE)</f>
        <v>150000</v>
      </c>
      <c r="H194" s="397">
        <f>F194*G194</f>
        <v>1050</v>
      </c>
    </row>
    <row r="195" spans="3:9" ht="19.8" customHeight="1">
      <c r="C195" s="394">
        <v>4</v>
      </c>
      <c r="D195" s="391" t="s">
        <v>19</v>
      </c>
      <c r="E195" s="395" t="s">
        <v>6</v>
      </c>
      <c r="F195" s="396">
        <v>2.3E-3</v>
      </c>
      <c r="G195" s="63">
        <f>VLOOKUP(D195,upahbahan,3,FALSE)</f>
        <v>160000</v>
      </c>
      <c r="H195" s="397">
        <f>F195*G195</f>
        <v>368</v>
      </c>
    </row>
    <row r="196" spans="3:9" ht="19.8" customHeight="1">
      <c r="C196" s="398" t="s">
        <v>1208</v>
      </c>
      <c r="D196" s="399"/>
      <c r="E196" s="399"/>
      <c r="F196" s="400"/>
      <c r="G196" s="401"/>
      <c r="H196" s="397">
        <f>SUM(H192:H195)</f>
        <v>24868</v>
      </c>
      <c r="I196" s="402"/>
    </row>
    <row r="197" spans="3:9" ht="19.8" customHeight="1">
      <c r="C197" s="390" t="s">
        <v>1209</v>
      </c>
      <c r="D197" s="391" t="s">
        <v>1210</v>
      </c>
      <c r="E197" s="392"/>
      <c r="F197" s="392"/>
      <c r="G197" s="392"/>
      <c r="H197" s="393"/>
    </row>
    <row r="198" spans="3:9" ht="19.8" customHeight="1">
      <c r="C198" s="394">
        <v>1</v>
      </c>
      <c r="D198" s="391" t="s">
        <v>299</v>
      </c>
      <c r="E198" s="395" t="s">
        <v>129</v>
      </c>
      <c r="F198" s="421">
        <v>0.6</v>
      </c>
      <c r="G198" s="63">
        <f>VLOOKUP(D198,upahbahan,3,FALSE)</f>
        <v>94000</v>
      </c>
      <c r="H198" s="397">
        <f>F198*G198</f>
        <v>56400</v>
      </c>
    </row>
    <row r="199" spans="3:9" ht="19.8" customHeight="1">
      <c r="C199" s="394">
        <v>2</v>
      </c>
      <c r="D199" s="391" t="s">
        <v>265</v>
      </c>
      <c r="E199" s="395" t="s">
        <v>65</v>
      </c>
      <c r="F199" s="421">
        <v>0.12</v>
      </c>
      <c r="G199" s="63">
        <f>VLOOKUP(D199,upahbahan,3,FALSE)</f>
        <v>19460</v>
      </c>
      <c r="H199" s="397">
        <f>F199*G199</f>
        <v>2335.1999999999998</v>
      </c>
    </row>
    <row r="200" spans="3:9" ht="19.8" customHeight="1">
      <c r="C200" s="398" t="s">
        <v>1214</v>
      </c>
      <c r="D200" s="399"/>
      <c r="E200" s="399"/>
      <c r="F200" s="399"/>
      <c r="G200" s="404"/>
      <c r="H200" s="397">
        <f>SUM(H198:H199)</f>
        <v>58735.199999999997</v>
      </c>
    </row>
    <row r="201" spans="3:9" ht="19.8" customHeight="1">
      <c r="C201" s="405" t="s">
        <v>1215</v>
      </c>
      <c r="D201" s="391" t="s">
        <v>1216</v>
      </c>
      <c r="E201" s="392"/>
      <c r="F201" s="392"/>
      <c r="G201" s="392"/>
      <c r="H201" s="393"/>
    </row>
    <row r="202" spans="3:9" ht="19.8" customHeight="1">
      <c r="C202" s="398" t="s">
        <v>1217</v>
      </c>
      <c r="D202" s="399"/>
      <c r="E202" s="399"/>
      <c r="F202" s="399"/>
      <c r="G202" s="404"/>
      <c r="H202" s="406">
        <v>0</v>
      </c>
    </row>
    <row r="203" spans="3:9" ht="19.8" customHeight="1">
      <c r="C203" s="407" t="s">
        <v>1218</v>
      </c>
      <c r="D203" s="408" t="s">
        <v>1219</v>
      </c>
      <c r="E203" s="409"/>
      <c r="F203" s="409"/>
      <c r="G203" s="410"/>
      <c r="H203" s="397">
        <f>H202+H200+H196</f>
        <v>83603.199999999997</v>
      </c>
      <c r="I203" s="411"/>
    </row>
    <row r="204" spans="3:9" ht="19.8" customHeight="1">
      <c r="C204" s="75" t="s">
        <v>1220</v>
      </c>
      <c r="D204" s="76" t="s">
        <v>1321</v>
      </c>
      <c r="E204" s="77"/>
      <c r="F204" s="78"/>
      <c r="G204" s="80">
        <f>$M$8</f>
        <v>0.1</v>
      </c>
      <c r="H204" s="64">
        <f>H203*G204</f>
        <v>8360.32</v>
      </c>
      <c r="I204" s="411"/>
    </row>
    <row r="205" spans="3:9" ht="19.8" customHeight="1" thickBot="1">
      <c r="C205" s="412" t="s">
        <v>1221</v>
      </c>
      <c r="D205" s="413" t="s">
        <v>1222</v>
      </c>
      <c r="E205" s="414"/>
      <c r="F205" s="414"/>
      <c r="G205" s="415"/>
      <c r="H205" s="416">
        <f>SUM(H203:H204)</f>
        <v>91963.51999999999</v>
      </c>
      <c r="I205" s="411"/>
    </row>
    <row r="206" spans="3:9" ht="14.4" thickTop="1">
      <c r="C206" s="426"/>
      <c r="D206" s="427"/>
      <c r="E206" s="427"/>
      <c r="F206" s="427"/>
      <c r="G206" s="427"/>
      <c r="H206" s="428"/>
      <c r="I206" s="411"/>
    </row>
    <row r="207" spans="3:9" ht="14.4" thickBot="1">
      <c r="C207" s="47" t="s">
        <v>2609</v>
      </c>
      <c r="D207" s="385" t="s">
        <v>2610</v>
      </c>
      <c r="E207" s="420"/>
      <c r="F207" s="420"/>
      <c r="G207" s="420"/>
      <c r="H207" s="420"/>
      <c r="I207" s="386">
        <f>ROUNDDOWN(H223,-2)</f>
        <v>100400</v>
      </c>
    </row>
    <row r="208" spans="3:9" ht="28.2" thickTop="1">
      <c r="C208" s="387" t="s">
        <v>1195</v>
      </c>
      <c r="D208" s="388" t="s">
        <v>1196</v>
      </c>
      <c r="E208" s="388" t="s">
        <v>1197</v>
      </c>
      <c r="F208" s="388" t="s">
        <v>1198</v>
      </c>
      <c r="G208" s="388" t="s">
        <v>1199</v>
      </c>
      <c r="H208" s="389" t="s">
        <v>1200</v>
      </c>
    </row>
    <row r="209" spans="3:9" ht="19.8" customHeight="1">
      <c r="C209" s="390" t="s">
        <v>1201</v>
      </c>
      <c r="D209" s="391" t="s">
        <v>1202</v>
      </c>
      <c r="E209" s="392"/>
      <c r="F209" s="392"/>
      <c r="G209" s="392"/>
      <c r="H209" s="393"/>
    </row>
    <row r="210" spans="3:9" ht="19.8" customHeight="1">
      <c r="C210" s="394">
        <v>1</v>
      </c>
      <c r="D210" s="391" t="s">
        <v>5</v>
      </c>
      <c r="E210" s="395" t="s">
        <v>6</v>
      </c>
      <c r="F210" s="396">
        <v>0.14000000000000001</v>
      </c>
      <c r="G210" s="63">
        <f>VLOOKUP(D210,upahbahan,3,FALSE)</f>
        <v>100000</v>
      </c>
      <c r="H210" s="397">
        <f>F210*G210</f>
        <v>14000.000000000002</v>
      </c>
    </row>
    <row r="211" spans="3:9" ht="19.8" customHeight="1">
      <c r="C211" s="394">
        <v>2</v>
      </c>
      <c r="D211" s="391" t="s">
        <v>8</v>
      </c>
      <c r="E211" s="395" t="s">
        <v>6</v>
      </c>
      <c r="F211" s="396">
        <v>7.0000000000000007E-2</v>
      </c>
      <c r="G211" s="63">
        <f>VLOOKUP(D211,upahbahan,3,FALSE)</f>
        <v>135000</v>
      </c>
      <c r="H211" s="397">
        <f>F211*G211</f>
        <v>9450</v>
      </c>
    </row>
    <row r="212" spans="3:9" ht="19.8" customHeight="1">
      <c r="C212" s="394">
        <v>3</v>
      </c>
      <c r="D212" s="391" t="s">
        <v>18</v>
      </c>
      <c r="E212" s="395" t="s">
        <v>6</v>
      </c>
      <c r="F212" s="396">
        <v>7.0000000000000001E-3</v>
      </c>
      <c r="G212" s="63">
        <f>VLOOKUP(D212,upahbahan,3,FALSE)</f>
        <v>150000</v>
      </c>
      <c r="H212" s="397">
        <f>F212*G212</f>
        <v>1050</v>
      </c>
    </row>
    <row r="213" spans="3:9" ht="19.8" customHeight="1">
      <c r="C213" s="394">
        <v>4</v>
      </c>
      <c r="D213" s="391" t="s">
        <v>19</v>
      </c>
      <c r="E213" s="395" t="s">
        <v>6</v>
      </c>
      <c r="F213" s="396">
        <v>2.3E-3</v>
      </c>
      <c r="G213" s="63">
        <f>VLOOKUP(D213,upahbahan,3,FALSE)</f>
        <v>160000</v>
      </c>
      <c r="H213" s="397">
        <f>F213*G213</f>
        <v>368</v>
      </c>
    </row>
    <row r="214" spans="3:9" ht="19.8" customHeight="1">
      <c r="C214" s="398" t="s">
        <v>1208</v>
      </c>
      <c r="D214" s="399"/>
      <c r="E214" s="399"/>
      <c r="F214" s="400"/>
      <c r="G214" s="401"/>
      <c r="H214" s="397">
        <f>SUM(H210:H213)</f>
        <v>24868</v>
      </c>
      <c r="I214" s="402"/>
    </row>
    <row r="215" spans="3:9" ht="19.8" customHeight="1">
      <c r="C215" s="390" t="s">
        <v>1209</v>
      </c>
      <c r="D215" s="391" t="s">
        <v>1210</v>
      </c>
      <c r="E215" s="392"/>
      <c r="F215" s="392"/>
      <c r="G215" s="392"/>
      <c r="H215" s="393"/>
    </row>
    <row r="216" spans="3:9" ht="19.8" customHeight="1">
      <c r="C216" s="394">
        <v>1</v>
      </c>
      <c r="D216" s="391" t="s">
        <v>298</v>
      </c>
      <c r="E216" s="395" t="s">
        <v>129</v>
      </c>
      <c r="F216" s="421">
        <v>0.75</v>
      </c>
      <c r="G216" s="63">
        <f>VLOOKUP(D216,upahbahan,3,FALSE)</f>
        <v>85500</v>
      </c>
      <c r="H216" s="397">
        <f>F216*G216</f>
        <v>64125</v>
      </c>
    </row>
    <row r="217" spans="3:9" ht="19.8" customHeight="1">
      <c r="C217" s="394">
        <v>2</v>
      </c>
      <c r="D217" s="391" t="s">
        <v>265</v>
      </c>
      <c r="E217" s="395" t="s">
        <v>65</v>
      </c>
      <c r="F217" s="421">
        <v>0.12</v>
      </c>
      <c r="G217" s="63">
        <f>VLOOKUP(D217,upahbahan,3,FALSE)</f>
        <v>19460</v>
      </c>
      <c r="H217" s="397">
        <f>F217*G217</f>
        <v>2335.1999999999998</v>
      </c>
    </row>
    <row r="218" spans="3:9" ht="19.8" customHeight="1">
      <c r="C218" s="398" t="s">
        <v>1214</v>
      </c>
      <c r="D218" s="399"/>
      <c r="E218" s="399"/>
      <c r="F218" s="399"/>
      <c r="G218" s="404"/>
      <c r="H218" s="397">
        <f>SUM(H216:H217)</f>
        <v>66460.2</v>
      </c>
    </row>
    <row r="219" spans="3:9" ht="19.8" customHeight="1">
      <c r="C219" s="405" t="s">
        <v>1215</v>
      </c>
      <c r="D219" s="391" t="s">
        <v>1216</v>
      </c>
      <c r="E219" s="392"/>
      <c r="F219" s="392"/>
      <c r="G219" s="392"/>
      <c r="H219" s="393"/>
    </row>
    <row r="220" spans="3:9" ht="19.8" customHeight="1">
      <c r="C220" s="398" t="s">
        <v>1217</v>
      </c>
      <c r="D220" s="399"/>
      <c r="E220" s="399"/>
      <c r="F220" s="399"/>
      <c r="G220" s="404"/>
      <c r="H220" s="406">
        <v>0</v>
      </c>
    </row>
    <row r="221" spans="3:9" ht="19.8" customHeight="1">
      <c r="C221" s="407" t="s">
        <v>1218</v>
      </c>
      <c r="D221" s="408" t="s">
        <v>1219</v>
      </c>
      <c r="E221" s="409"/>
      <c r="F221" s="409"/>
      <c r="G221" s="410"/>
      <c r="H221" s="397">
        <f>H220+H218+H214</f>
        <v>91328.2</v>
      </c>
      <c r="I221" s="411"/>
    </row>
    <row r="222" spans="3:9" ht="19.8" customHeight="1">
      <c r="C222" s="75" t="s">
        <v>1220</v>
      </c>
      <c r="D222" s="76" t="s">
        <v>1321</v>
      </c>
      <c r="E222" s="77"/>
      <c r="F222" s="78"/>
      <c r="G222" s="80">
        <f>$M$8</f>
        <v>0.1</v>
      </c>
      <c r="H222" s="64">
        <f>H221*G222</f>
        <v>9132.82</v>
      </c>
      <c r="I222" s="411"/>
    </row>
    <row r="223" spans="3:9" ht="19.8" customHeight="1" thickBot="1">
      <c r="C223" s="412" t="s">
        <v>1221</v>
      </c>
      <c r="D223" s="413" t="s">
        <v>1222</v>
      </c>
      <c r="E223" s="414"/>
      <c r="F223" s="414"/>
      <c r="G223" s="415"/>
      <c r="H223" s="416">
        <f>SUM(H221:H222)</f>
        <v>100461.01999999999</v>
      </c>
      <c r="I223" s="411"/>
    </row>
    <row r="224" spans="3:9" ht="14.4" thickTop="1">
      <c r="C224" s="426"/>
      <c r="D224" s="427"/>
      <c r="E224" s="427"/>
      <c r="F224" s="427"/>
      <c r="G224" s="427"/>
      <c r="H224" s="428"/>
      <c r="I224" s="411"/>
    </row>
    <row r="225" spans="3:9" ht="14.4" thickBot="1">
      <c r="C225" s="47" t="s">
        <v>2611</v>
      </c>
      <c r="D225" s="385" t="s">
        <v>2612</v>
      </c>
      <c r="E225" s="420"/>
      <c r="F225" s="420"/>
      <c r="G225" s="420"/>
      <c r="H225" s="420"/>
      <c r="I225" s="386">
        <f>ROUNDDOWN(H241,-2)</f>
        <v>70700</v>
      </c>
    </row>
    <row r="226" spans="3:9" ht="28.2" thickTop="1">
      <c r="C226" s="387" t="s">
        <v>1195</v>
      </c>
      <c r="D226" s="388" t="s">
        <v>1196</v>
      </c>
      <c r="E226" s="388" t="s">
        <v>1197</v>
      </c>
      <c r="F226" s="388" t="s">
        <v>1198</v>
      </c>
      <c r="G226" s="388" t="s">
        <v>1199</v>
      </c>
      <c r="H226" s="389" t="s">
        <v>1200</v>
      </c>
    </row>
    <row r="227" spans="3:9" ht="21" customHeight="1">
      <c r="C227" s="390" t="s">
        <v>1201</v>
      </c>
      <c r="D227" s="391" t="s">
        <v>1202</v>
      </c>
      <c r="E227" s="392"/>
      <c r="F227" s="392"/>
      <c r="G227" s="392"/>
      <c r="H227" s="393"/>
    </row>
    <row r="228" spans="3:9" ht="21" customHeight="1">
      <c r="C228" s="394">
        <v>1</v>
      </c>
      <c r="D228" s="391" t="s">
        <v>5</v>
      </c>
      <c r="E228" s="395" t="s">
        <v>6</v>
      </c>
      <c r="F228" s="396">
        <v>0.14000000000000001</v>
      </c>
      <c r="G228" s="63">
        <f>VLOOKUP(D228,upahbahan,3,FALSE)</f>
        <v>100000</v>
      </c>
      <c r="H228" s="397">
        <f>F228*G228</f>
        <v>14000.000000000002</v>
      </c>
    </row>
    <row r="229" spans="3:9" ht="21" customHeight="1">
      <c r="C229" s="394">
        <v>2</v>
      </c>
      <c r="D229" s="391" t="s">
        <v>8</v>
      </c>
      <c r="E229" s="395" t="s">
        <v>6</v>
      </c>
      <c r="F229" s="396">
        <v>7.0000000000000007E-2</v>
      </c>
      <c r="G229" s="63">
        <f>VLOOKUP(D229,upahbahan,3,FALSE)</f>
        <v>135000</v>
      </c>
      <c r="H229" s="397">
        <f>F229*G229</f>
        <v>9450</v>
      </c>
    </row>
    <row r="230" spans="3:9" ht="21" customHeight="1">
      <c r="C230" s="394">
        <v>3</v>
      </c>
      <c r="D230" s="391" t="s">
        <v>18</v>
      </c>
      <c r="E230" s="395" t="s">
        <v>6</v>
      </c>
      <c r="F230" s="396">
        <v>7.0000000000000001E-3</v>
      </c>
      <c r="G230" s="63">
        <f>VLOOKUP(D230,upahbahan,3,FALSE)</f>
        <v>150000</v>
      </c>
      <c r="H230" s="397">
        <f>F230*G230</f>
        <v>1050</v>
      </c>
    </row>
    <row r="231" spans="3:9" ht="21" customHeight="1">
      <c r="C231" s="394">
        <v>4</v>
      </c>
      <c r="D231" s="391" t="s">
        <v>19</v>
      </c>
      <c r="E231" s="395" t="s">
        <v>6</v>
      </c>
      <c r="F231" s="396">
        <v>2.3E-3</v>
      </c>
      <c r="G231" s="63">
        <f>VLOOKUP(D231,upahbahan,3,FALSE)</f>
        <v>160000</v>
      </c>
      <c r="H231" s="397">
        <f>F231*G231</f>
        <v>368</v>
      </c>
    </row>
    <row r="232" spans="3:9" ht="21" customHeight="1">
      <c r="C232" s="398" t="s">
        <v>1208</v>
      </c>
      <c r="D232" s="399"/>
      <c r="E232" s="399"/>
      <c r="F232" s="400"/>
      <c r="G232" s="401"/>
      <c r="H232" s="397">
        <f>SUM(H228:H231)</f>
        <v>24868</v>
      </c>
      <c r="I232" s="402"/>
    </row>
    <row r="233" spans="3:9" ht="21" customHeight="1">
      <c r="C233" s="390" t="s">
        <v>1209</v>
      </c>
      <c r="D233" s="391" t="s">
        <v>1210</v>
      </c>
      <c r="E233" s="392"/>
      <c r="F233" s="392"/>
      <c r="G233" s="392"/>
      <c r="H233" s="393"/>
    </row>
    <row r="234" spans="3:9" ht="21" customHeight="1">
      <c r="C234" s="394">
        <v>1</v>
      </c>
      <c r="D234" s="391" t="s">
        <v>310</v>
      </c>
      <c r="E234" s="395" t="s">
        <v>129</v>
      </c>
      <c r="F234" s="421">
        <v>0.42</v>
      </c>
      <c r="G234" s="63">
        <f>VLOOKUP(D234,upahbahan,3,FALSE)</f>
        <v>88400</v>
      </c>
      <c r="H234" s="397">
        <f>F234*G234</f>
        <v>37128</v>
      </c>
    </row>
    <row r="235" spans="3:9" ht="21" customHeight="1">
      <c r="C235" s="394">
        <v>2</v>
      </c>
      <c r="D235" s="391" t="s">
        <v>265</v>
      </c>
      <c r="E235" s="395" t="s">
        <v>65</v>
      </c>
      <c r="F235" s="421">
        <v>0.12</v>
      </c>
      <c r="G235" s="63">
        <f>VLOOKUP(D235,upahbahan,3,FALSE)</f>
        <v>19460</v>
      </c>
      <c r="H235" s="397">
        <f>F235*G235</f>
        <v>2335.1999999999998</v>
      </c>
    </row>
    <row r="236" spans="3:9" ht="21" customHeight="1">
      <c r="C236" s="398" t="s">
        <v>1214</v>
      </c>
      <c r="D236" s="399"/>
      <c r="E236" s="399"/>
      <c r="F236" s="399"/>
      <c r="G236" s="404"/>
      <c r="H236" s="397">
        <f>SUM(H234:H235)</f>
        <v>39463.199999999997</v>
      </c>
    </row>
    <row r="237" spans="3:9" ht="21" customHeight="1">
      <c r="C237" s="405" t="s">
        <v>1215</v>
      </c>
      <c r="D237" s="391" t="s">
        <v>1216</v>
      </c>
      <c r="E237" s="392"/>
      <c r="F237" s="392"/>
      <c r="G237" s="392"/>
      <c r="H237" s="393"/>
    </row>
    <row r="238" spans="3:9" ht="21" customHeight="1">
      <c r="C238" s="398" t="s">
        <v>1217</v>
      </c>
      <c r="D238" s="399"/>
      <c r="E238" s="399"/>
      <c r="F238" s="399"/>
      <c r="G238" s="404"/>
      <c r="H238" s="406">
        <v>0</v>
      </c>
    </row>
    <row r="239" spans="3:9" ht="21" customHeight="1">
      <c r="C239" s="407" t="s">
        <v>1218</v>
      </c>
      <c r="D239" s="408" t="s">
        <v>1219</v>
      </c>
      <c r="E239" s="409"/>
      <c r="F239" s="409"/>
      <c r="G239" s="410"/>
      <c r="H239" s="397">
        <f>H238+H236+H232</f>
        <v>64331.199999999997</v>
      </c>
      <c r="I239" s="411"/>
    </row>
    <row r="240" spans="3:9" ht="21" customHeight="1">
      <c r="C240" s="75" t="s">
        <v>1220</v>
      </c>
      <c r="D240" s="76" t="s">
        <v>1321</v>
      </c>
      <c r="E240" s="77"/>
      <c r="F240" s="78"/>
      <c r="G240" s="80">
        <f>$M$8</f>
        <v>0.1</v>
      </c>
      <c r="H240" s="64">
        <f>H239*G240</f>
        <v>6433.12</v>
      </c>
      <c r="I240" s="411"/>
    </row>
    <row r="241" spans="3:9" ht="21" customHeight="1" thickBot="1">
      <c r="C241" s="412" t="s">
        <v>1221</v>
      </c>
      <c r="D241" s="413" t="s">
        <v>1222</v>
      </c>
      <c r="E241" s="414"/>
      <c r="F241" s="414"/>
      <c r="G241" s="415"/>
      <c r="H241" s="416">
        <f>SUM(H239:H240)</f>
        <v>70764.319999999992</v>
      </c>
      <c r="I241" s="411"/>
    </row>
    <row r="242" spans="3:9" ht="14.4" thickTop="1">
      <c r="C242" s="426"/>
      <c r="D242" s="427"/>
      <c r="E242" s="427"/>
      <c r="F242" s="427"/>
      <c r="G242" s="427"/>
      <c r="H242" s="428"/>
      <c r="I242" s="411"/>
    </row>
    <row r="243" spans="3:9" ht="14.4" thickBot="1">
      <c r="C243" s="47" t="s">
        <v>2613</v>
      </c>
      <c r="D243" s="385" t="s">
        <v>2614</v>
      </c>
      <c r="E243" s="420"/>
      <c r="F243" s="420"/>
      <c r="G243" s="420"/>
      <c r="H243" s="420"/>
      <c r="I243" s="386">
        <f>ROUNDDOWN(H259,-2)</f>
        <v>81800</v>
      </c>
    </row>
    <row r="244" spans="3:9" ht="28.2" thickTop="1">
      <c r="C244" s="387" t="s">
        <v>1195</v>
      </c>
      <c r="D244" s="388" t="s">
        <v>1196</v>
      </c>
      <c r="E244" s="388" t="s">
        <v>1197</v>
      </c>
      <c r="F244" s="388" t="s">
        <v>1198</v>
      </c>
      <c r="G244" s="388" t="s">
        <v>1199</v>
      </c>
      <c r="H244" s="389" t="s">
        <v>1200</v>
      </c>
    </row>
    <row r="245" spans="3:9" ht="21.6" customHeight="1">
      <c r="C245" s="390" t="s">
        <v>1201</v>
      </c>
      <c r="D245" s="391" t="s">
        <v>1202</v>
      </c>
      <c r="E245" s="392"/>
      <c r="F245" s="392"/>
      <c r="G245" s="392"/>
      <c r="H245" s="393"/>
    </row>
    <row r="246" spans="3:9" ht="21.6" customHeight="1">
      <c r="C246" s="394">
        <v>1</v>
      </c>
      <c r="D246" s="391" t="s">
        <v>5</v>
      </c>
      <c r="E246" s="395" t="s">
        <v>6</v>
      </c>
      <c r="F246" s="396">
        <v>0.14000000000000001</v>
      </c>
      <c r="G246" s="63">
        <f>VLOOKUP(D246,upahbahan,3,FALSE)</f>
        <v>100000</v>
      </c>
      <c r="H246" s="397">
        <f>F246*G246</f>
        <v>14000.000000000002</v>
      </c>
    </row>
    <row r="247" spans="3:9" ht="21.6" customHeight="1">
      <c r="C247" s="394">
        <v>2</v>
      </c>
      <c r="D247" s="391" t="s">
        <v>8</v>
      </c>
      <c r="E247" s="395" t="s">
        <v>6</v>
      </c>
      <c r="F247" s="396">
        <v>7.0000000000000007E-2</v>
      </c>
      <c r="G247" s="63">
        <f>VLOOKUP(D247,upahbahan,3,FALSE)</f>
        <v>135000</v>
      </c>
      <c r="H247" s="397">
        <f>F247*G247</f>
        <v>9450</v>
      </c>
    </row>
    <row r="248" spans="3:9" ht="21.6" customHeight="1">
      <c r="C248" s="394">
        <v>3</v>
      </c>
      <c r="D248" s="391" t="s">
        <v>18</v>
      </c>
      <c r="E248" s="395" t="s">
        <v>6</v>
      </c>
      <c r="F248" s="396">
        <v>7.0000000000000001E-3</v>
      </c>
      <c r="G248" s="63">
        <f>VLOOKUP(D248,upahbahan,3,FALSE)</f>
        <v>150000</v>
      </c>
      <c r="H248" s="397">
        <f>F248*G248</f>
        <v>1050</v>
      </c>
    </row>
    <row r="249" spans="3:9" ht="21.6" customHeight="1">
      <c r="C249" s="394">
        <v>4</v>
      </c>
      <c r="D249" s="391" t="s">
        <v>19</v>
      </c>
      <c r="E249" s="395" t="s">
        <v>6</v>
      </c>
      <c r="F249" s="396">
        <v>2.3E-3</v>
      </c>
      <c r="G249" s="63">
        <f>VLOOKUP(D249,upahbahan,3,FALSE)</f>
        <v>160000</v>
      </c>
      <c r="H249" s="397">
        <f>F249*G249</f>
        <v>368</v>
      </c>
    </row>
    <row r="250" spans="3:9" ht="21.6" customHeight="1">
      <c r="C250" s="398" t="s">
        <v>1208</v>
      </c>
      <c r="D250" s="399"/>
      <c r="E250" s="399"/>
      <c r="F250" s="400"/>
      <c r="G250" s="401"/>
      <c r="H250" s="397">
        <f>SUM(H246:H249)</f>
        <v>24868</v>
      </c>
      <c r="I250" s="402"/>
    </row>
    <row r="251" spans="3:9" ht="21.6" customHeight="1">
      <c r="C251" s="390" t="s">
        <v>1209</v>
      </c>
      <c r="D251" s="391" t="s">
        <v>1210</v>
      </c>
      <c r="E251" s="392"/>
      <c r="F251" s="392"/>
      <c r="G251" s="392"/>
      <c r="H251" s="393"/>
    </row>
    <row r="252" spans="3:9" ht="21.6" customHeight="1">
      <c r="C252" s="394">
        <v>1</v>
      </c>
      <c r="D252" s="391" t="s">
        <v>304</v>
      </c>
      <c r="E252" s="395" t="s">
        <v>129</v>
      </c>
      <c r="F252" s="421">
        <v>0.35</v>
      </c>
      <c r="G252" s="63">
        <f>VLOOKUP(D252,upahbahan,3,FALSE)</f>
        <v>135000</v>
      </c>
      <c r="H252" s="397">
        <f>F252*G252</f>
        <v>47250</v>
      </c>
    </row>
    <row r="253" spans="3:9" ht="21.6" customHeight="1">
      <c r="C253" s="394">
        <v>2</v>
      </c>
      <c r="D253" s="391" t="s">
        <v>265</v>
      </c>
      <c r="E253" s="395" t="s">
        <v>65</v>
      </c>
      <c r="F253" s="421">
        <v>0.12</v>
      </c>
      <c r="G253" s="63">
        <f>VLOOKUP(D253,upahbahan,3,FALSE)</f>
        <v>19460</v>
      </c>
      <c r="H253" s="397">
        <f>F253*G253</f>
        <v>2335.1999999999998</v>
      </c>
    </row>
    <row r="254" spans="3:9" ht="21.6" customHeight="1">
      <c r="C254" s="398" t="s">
        <v>1214</v>
      </c>
      <c r="D254" s="399"/>
      <c r="E254" s="399"/>
      <c r="F254" s="399"/>
      <c r="G254" s="404"/>
      <c r="H254" s="397">
        <f>SUM(H252:H253)</f>
        <v>49585.2</v>
      </c>
    </row>
    <row r="255" spans="3:9" ht="21.6" customHeight="1">
      <c r="C255" s="405" t="s">
        <v>1215</v>
      </c>
      <c r="D255" s="391" t="s">
        <v>1216</v>
      </c>
      <c r="E255" s="392"/>
      <c r="F255" s="392"/>
      <c r="G255" s="392"/>
      <c r="H255" s="393"/>
    </row>
    <row r="256" spans="3:9" ht="21.6" customHeight="1">
      <c r="C256" s="398" t="s">
        <v>1217</v>
      </c>
      <c r="D256" s="399"/>
      <c r="E256" s="399"/>
      <c r="F256" s="399"/>
      <c r="G256" s="404"/>
      <c r="H256" s="406">
        <v>0</v>
      </c>
    </row>
    <row r="257" spans="3:9" ht="21.6" customHeight="1">
      <c r="C257" s="407" t="s">
        <v>1218</v>
      </c>
      <c r="D257" s="408" t="s">
        <v>1219</v>
      </c>
      <c r="E257" s="409"/>
      <c r="F257" s="409"/>
      <c r="G257" s="410"/>
      <c r="H257" s="397">
        <f>H256+H254+H250</f>
        <v>74453.2</v>
      </c>
      <c r="I257" s="411"/>
    </row>
    <row r="258" spans="3:9" ht="21.6" customHeight="1">
      <c r="C258" s="75" t="s">
        <v>1220</v>
      </c>
      <c r="D258" s="76" t="s">
        <v>1321</v>
      </c>
      <c r="E258" s="77"/>
      <c r="F258" s="78"/>
      <c r="G258" s="80">
        <f>$M$8</f>
        <v>0.1</v>
      </c>
      <c r="H258" s="64">
        <f>H257*G258</f>
        <v>7445.32</v>
      </c>
      <c r="I258" s="411"/>
    </row>
    <row r="259" spans="3:9" ht="21.6" customHeight="1" thickBot="1">
      <c r="C259" s="412" t="s">
        <v>1221</v>
      </c>
      <c r="D259" s="413" t="s">
        <v>1222</v>
      </c>
      <c r="E259" s="414"/>
      <c r="F259" s="414"/>
      <c r="G259" s="415"/>
      <c r="H259" s="416">
        <f>SUM(H257:H258)</f>
        <v>81898.51999999999</v>
      </c>
      <c r="I259" s="411"/>
    </row>
    <row r="260" spans="3:9" ht="14.4" thickTop="1">
      <c r="C260" s="426"/>
      <c r="D260" s="427"/>
      <c r="E260" s="427"/>
      <c r="F260" s="427"/>
      <c r="G260" s="427"/>
      <c r="H260" s="428"/>
      <c r="I260" s="411"/>
    </row>
    <row r="261" spans="3:9" ht="14.4" thickBot="1">
      <c r="C261" s="381" t="s">
        <v>2615</v>
      </c>
      <c r="D261" s="385" t="s">
        <v>2616</v>
      </c>
      <c r="E261" s="420"/>
      <c r="F261" s="420"/>
      <c r="G261" s="420"/>
      <c r="H261" s="420"/>
      <c r="I261" s="386">
        <f>ROUNDDOWN(H277,-2)</f>
        <v>92800</v>
      </c>
    </row>
    <row r="262" spans="3:9" ht="28.2" thickTop="1">
      <c r="C262" s="387" t="s">
        <v>1195</v>
      </c>
      <c r="D262" s="388" t="s">
        <v>1196</v>
      </c>
      <c r="E262" s="388" t="s">
        <v>1197</v>
      </c>
      <c r="F262" s="388" t="s">
        <v>1198</v>
      </c>
      <c r="G262" s="388" t="s">
        <v>1199</v>
      </c>
      <c r="H262" s="389" t="s">
        <v>1200</v>
      </c>
    </row>
    <row r="263" spans="3:9" ht="21" customHeight="1">
      <c r="C263" s="390" t="s">
        <v>1201</v>
      </c>
      <c r="D263" s="391" t="s">
        <v>1202</v>
      </c>
      <c r="E263" s="392"/>
      <c r="F263" s="392"/>
      <c r="G263" s="392"/>
      <c r="H263" s="393"/>
    </row>
    <row r="264" spans="3:9" ht="21" customHeight="1">
      <c r="C264" s="394">
        <v>1</v>
      </c>
      <c r="D264" s="391" t="s">
        <v>5</v>
      </c>
      <c r="E264" s="395" t="s">
        <v>6</v>
      </c>
      <c r="F264" s="396">
        <v>0.14000000000000001</v>
      </c>
      <c r="G264" s="63">
        <f>VLOOKUP(D264,upahbahan,3,FALSE)</f>
        <v>100000</v>
      </c>
      <c r="H264" s="397">
        <f>F264*G264</f>
        <v>14000.000000000002</v>
      </c>
    </row>
    <row r="265" spans="3:9" ht="21" customHeight="1">
      <c r="C265" s="394">
        <v>2</v>
      </c>
      <c r="D265" s="391" t="s">
        <v>8</v>
      </c>
      <c r="E265" s="395" t="s">
        <v>6</v>
      </c>
      <c r="F265" s="396">
        <v>7.0000000000000007E-2</v>
      </c>
      <c r="G265" s="63">
        <f>VLOOKUP(D265,upahbahan,3,FALSE)</f>
        <v>135000</v>
      </c>
      <c r="H265" s="397">
        <f>F265*G265</f>
        <v>9450</v>
      </c>
    </row>
    <row r="266" spans="3:9" ht="21" customHeight="1">
      <c r="C266" s="394">
        <v>3</v>
      </c>
      <c r="D266" s="391" t="s">
        <v>18</v>
      </c>
      <c r="E266" s="395" t="s">
        <v>6</v>
      </c>
      <c r="F266" s="396">
        <v>7.0000000000000001E-3</v>
      </c>
      <c r="G266" s="63">
        <f>VLOOKUP(D266,upahbahan,3,FALSE)</f>
        <v>150000</v>
      </c>
      <c r="H266" s="397">
        <f>F266*G266</f>
        <v>1050</v>
      </c>
    </row>
    <row r="267" spans="3:9" ht="21" customHeight="1">
      <c r="C267" s="394">
        <v>4</v>
      </c>
      <c r="D267" s="391" t="s">
        <v>19</v>
      </c>
      <c r="E267" s="395" t="s">
        <v>6</v>
      </c>
      <c r="F267" s="396">
        <v>2.3E-3</v>
      </c>
      <c r="G267" s="63">
        <f>VLOOKUP(D267,upahbahan,3,FALSE)</f>
        <v>160000</v>
      </c>
      <c r="H267" s="397">
        <f>F267*G267</f>
        <v>368</v>
      </c>
    </row>
    <row r="268" spans="3:9" ht="21" customHeight="1">
      <c r="C268" s="398" t="s">
        <v>1208</v>
      </c>
      <c r="D268" s="399"/>
      <c r="E268" s="399"/>
      <c r="F268" s="400"/>
      <c r="G268" s="401"/>
      <c r="H268" s="397">
        <f>SUM(H264:H267)</f>
        <v>24868</v>
      </c>
      <c r="I268" s="402"/>
    </row>
    <row r="269" spans="3:9" ht="21" customHeight="1">
      <c r="C269" s="390" t="s">
        <v>1209</v>
      </c>
      <c r="D269" s="391" t="s">
        <v>1210</v>
      </c>
      <c r="E269" s="392"/>
      <c r="F269" s="392"/>
      <c r="G269" s="392"/>
      <c r="H269" s="393"/>
    </row>
    <row r="270" spans="3:9" ht="21" customHeight="1">
      <c r="C270" s="394">
        <v>1</v>
      </c>
      <c r="D270" s="391" t="s">
        <v>302</v>
      </c>
      <c r="E270" s="395" t="s">
        <v>129</v>
      </c>
      <c r="F270" s="421">
        <v>0.44</v>
      </c>
      <c r="G270" s="63">
        <f>VLOOKUP(D270,upahbahan,3,FALSE)</f>
        <v>130000</v>
      </c>
      <c r="H270" s="397">
        <f>F270*G270</f>
        <v>57200</v>
      </c>
    </row>
    <row r="271" spans="3:9" ht="21" customHeight="1">
      <c r="C271" s="394">
        <v>2</v>
      </c>
      <c r="D271" s="391" t="s">
        <v>265</v>
      </c>
      <c r="E271" s="395" t="s">
        <v>65</v>
      </c>
      <c r="F271" s="421">
        <v>0.12</v>
      </c>
      <c r="G271" s="63">
        <f>VLOOKUP(D271,upahbahan,3,FALSE)</f>
        <v>19460</v>
      </c>
      <c r="H271" s="397">
        <f>F271*G271</f>
        <v>2335.1999999999998</v>
      </c>
    </row>
    <row r="272" spans="3:9" ht="21" customHeight="1">
      <c r="C272" s="398" t="s">
        <v>1214</v>
      </c>
      <c r="D272" s="399"/>
      <c r="E272" s="399"/>
      <c r="F272" s="399"/>
      <c r="G272" s="404"/>
      <c r="H272" s="397">
        <f>SUM(H270:H271)</f>
        <v>59535.199999999997</v>
      </c>
    </row>
    <row r="273" spans="3:9" ht="21" customHeight="1">
      <c r="C273" s="405" t="s">
        <v>1215</v>
      </c>
      <c r="D273" s="391" t="s">
        <v>1216</v>
      </c>
      <c r="E273" s="392"/>
      <c r="F273" s="392"/>
      <c r="G273" s="392"/>
      <c r="H273" s="393"/>
    </row>
    <row r="274" spans="3:9" ht="21" customHeight="1">
      <c r="C274" s="398" t="s">
        <v>1217</v>
      </c>
      <c r="D274" s="399"/>
      <c r="E274" s="399"/>
      <c r="F274" s="399"/>
      <c r="G274" s="404"/>
      <c r="H274" s="406">
        <v>0</v>
      </c>
    </row>
    <row r="275" spans="3:9" ht="21" customHeight="1">
      <c r="C275" s="407" t="s">
        <v>1218</v>
      </c>
      <c r="D275" s="408" t="s">
        <v>1219</v>
      </c>
      <c r="E275" s="409"/>
      <c r="F275" s="409"/>
      <c r="G275" s="410"/>
      <c r="H275" s="397">
        <f>H274+H272+H268</f>
        <v>84403.199999999997</v>
      </c>
      <c r="I275" s="411"/>
    </row>
    <row r="276" spans="3:9" ht="21" customHeight="1">
      <c r="C276" s="75" t="s">
        <v>1220</v>
      </c>
      <c r="D276" s="76" t="s">
        <v>1321</v>
      </c>
      <c r="E276" s="77"/>
      <c r="F276" s="78"/>
      <c r="G276" s="80">
        <f>$M$8</f>
        <v>0.1</v>
      </c>
      <c r="H276" s="64">
        <f>H275*G276</f>
        <v>8440.32</v>
      </c>
      <c r="I276" s="411"/>
    </row>
    <row r="277" spans="3:9" ht="21" customHeight="1" thickBot="1">
      <c r="C277" s="412" t="s">
        <v>1221</v>
      </c>
      <c r="D277" s="413" t="s">
        <v>1222</v>
      </c>
      <c r="E277" s="414"/>
      <c r="F277" s="414"/>
      <c r="G277" s="415"/>
      <c r="H277" s="416">
        <f>SUM(H275:H276)</f>
        <v>92843.51999999999</v>
      </c>
      <c r="I277" s="411"/>
    </row>
    <row r="278" spans="3:9" ht="14.4" thickTop="1">
      <c r="C278" s="426"/>
      <c r="D278" s="427"/>
      <c r="E278" s="427"/>
      <c r="F278" s="427"/>
      <c r="G278" s="427"/>
      <c r="H278" s="428"/>
      <c r="I278" s="411"/>
    </row>
    <row r="279" spans="3:9" ht="14.4" thickBot="1">
      <c r="C279" s="381" t="s">
        <v>2617</v>
      </c>
      <c r="D279" s="385" t="s">
        <v>2618</v>
      </c>
      <c r="E279" s="420"/>
      <c r="F279" s="420"/>
      <c r="G279" s="420"/>
      <c r="H279" s="420"/>
      <c r="I279" s="386">
        <f>ROUNDDOWN(H295,-2)</f>
        <v>100000</v>
      </c>
    </row>
    <row r="280" spans="3:9" ht="28.2" thickTop="1">
      <c r="C280" s="387" t="s">
        <v>1195</v>
      </c>
      <c r="D280" s="388" t="s">
        <v>1196</v>
      </c>
      <c r="E280" s="388" t="s">
        <v>1197</v>
      </c>
      <c r="F280" s="388" t="s">
        <v>1198</v>
      </c>
      <c r="G280" s="388" t="s">
        <v>1199</v>
      </c>
      <c r="H280" s="389" t="s">
        <v>1200</v>
      </c>
    </row>
    <row r="281" spans="3:9" ht="19.8" customHeight="1">
      <c r="C281" s="390" t="s">
        <v>1201</v>
      </c>
      <c r="D281" s="391" t="s">
        <v>1202</v>
      </c>
      <c r="E281" s="392"/>
      <c r="F281" s="392"/>
      <c r="G281" s="392"/>
      <c r="H281" s="393"/>
    </row>
    <row r="282" spans="3:9" ht="19.8" customHeight="1">
      <c r="C282" s="394">
        <v>1</v>
      </c>
      <c r="D282" s="391" t="s">
        <v>5</v>
      </c>
      <c r="E282" s="395" t="s">
        <v>6</v>
      </c>
      <c r="F282" s="396">
        <v>0.14000000000000001</v>
      </c>
      <c r="G282" s="63">
        <f>VLOOKUP(D282,upahbahan,3,FALSE)</f>
        <v>100000</v>
      </c>
      <c r="H282" s="397">
        <f>F282*G282</f>
        <v>14000.000000000002</v>
      </c>
    </row>
    <row r="283" spans="3:9" ht="19.8" customHeight="1">
      <c r="C283" s="394">
        <v>2</v>
      </c>
      <c r="D283" s="391" t="s">
        <v>8</v>
      </c>
      <c r="E283" s="395" t="s">
        <v>6</v>
      </c>
      <c r="F283" s="396">
        <v>7.0000000000000007E-2</v>
      </c>
      <c r="G283" s="63">
        <f>VLOOKUP(D283,upahbahan,3,FALSE)</f>
        <v>135000</v>
      </c>
      <c r="H283" s="397">
        <f>F283*G283</f>
        <v>9450</v>
      </c>
    </row>
    <row r="284" spans="3:9" ht="19.8" customHeight="1">
      <c r="C284" s="394">
        <v>3</v>
      </c>
      <c r="D284" s="391" t="s">
        <v>18</v>
      </c>
      <c r="E284" s="395" t="s">
        <v>6</v>
      </c>
      <c r="F284" s="396">
        <v>7.0000000000000001E-3</v>
      </c>
      <c r="G284" s="63">
        <f>VLOOKUP(D284,upahbahan,3,FALSE)</f>
        <v>150000</v>
      </c>
      <c r="H284" s="397">
        <f>F284*G284</f>
        <v>1050</v>
      </c>
    </row>
    <row r="285" spans="3:9" ht="19.8" customHeight="1">
      <c r="C285" s="394">
        <v>4</v>
      </c>
      <c r="D285" s="391" t="s">
        <v>19</v>
      </c>
      <c r="E285" s="395" t="s">
        <v>6</v>
      </c>
      <c r="F285" s="396">
        <v>2.3E-3</v>
      </c>
      <c r="G285" s="63">
        <f>VLOOKUP(D285,upahbahan,3,FALSE)</f>
        <v>160000</v>
      </c>
      <c r="H285" s="397">
        <f>F285*G285</f>
        <v>368</v>
      </c>
    </row>
    <row r="286" spans="3:9" ht="19.8" customHeight="1">
      <c r="C286" s="398" t="s">
        <v>1208</v>
      </c>
      <c r="D286" s="399"/>
      <c r="E286" s="399"/>
      <c r="F286" s="400"/>
      <c r="G286" s="401"/>
      <c r="H286" s="397">
        <f>SUM(H282:H285)</f>
        <v>24868</v>
      </c>
      <c r="I286" s="402"/>
    </row>
    <row r="287" spans="3:9" ht="19.8" customHeight="1">
      <c r="C287" s="390" t="s">
        <v>1209</v>
      </c>
      <c r="D287" s="391" t="s">
        <v>1210</v>
      </c>
      <c r="E287" s="392"/>
      <c r="F287" s="392"/>
      <c r="G287" s="392"/>
      <c r="H287" s="393"/>
    </row>
    <row r="288" spans="3:9" ht="19.8" customHeight="1">
      <c r="C288" s="394">
        <v>1</v>
      </c>
      <c r="D288" s="391" t="s">
        <v>300</v>
      </c>
      <c r="E288" s="395" t="s">
        <v>129</v>
      </c>
      <c r="F288" s="421">
        <v>0.51</v>
      </c>
      <c r="G288" s="63">
        <f>VLOOKUP(D288,upahbahan,3,FALSE)</f>
        <v>125000</v>
      </c>
      <c r="H288" s="397">
        <f>F288*G288</f>
        <v>63750</v>
      </c>
    </row>
    <row r="289" spans="3:9" ht="19.8" customHeight="1">
      <c r="C289" s="394">
        <v>2</v>
      </c>
      <c r="D289" s="391" t="s">
        <v>265</v>
      </c>
      <c r="E289" s="395" t="s">
        <v>65</v>
      </c>
      <c r="F289" s="421">
        <v>0.12</v>
      </c>
      <c r="G289" s="63">
        <f>VLOOKUP(D289,upahbahan,3,FALSE)</f>
        <v>19460</v>
      </c>
      <c r="H289" s="397">
        <f>F289*G289</f>
        <v>2335.1999999999998</v>
      </c>
    </row>
    <row r="290" spans="3:9" ht="19.8" customHeight="1">
      <c r="C290" s="398" t="s">
        <v>1214</v>
      </c>
      <c r="D290" s="399"/>
      <c r="E290" s="399"/>
      <c r="F290" s="399"/>
      <c r="G290" s="404"/>
      <c r="H290" s="397">
        <f>SUM(H288:H289)</f>
        <v>66085.2</v>
      </c>
    </row>
    <row r="291" spans="3:9" ht="19.8" customHeight="1">
      <c r="C291" s="405" t="s">
        <v>1215</v>
      </c>
      <c r="D291" s="391" t="s">
        <v>1216</v>
      </c>
      <c r="E291" s="392"/>
      <c r="F291" s="392"/>
      <c r="G291" s="392"/>
      <c r="H291" s="393"/>
    </row>
    <row r="292" spans="3:9" ht="19.8" customHeight="1">
      <c r="C292" s="398" t="s">
        <v>1217</v>
      </c>
      <c r="D292" s="399"/>
      <c r="E292" s="399"/>
      <c r="F292" s="399"/>
      <c r="G292" s="404"/>
      <c r="H292" s="406">
        <v>0</v>
      </c>
    </row>
    <row r="293" spans="3:9" ht="19.8" customHeight="1">
      <c r="C293" s="407" t="s">
        <v>1218</v>
      </c>
      <c r="D293" s="408" t="s">
        <v>1219</v>
      </c>
      <c r="E293" s="409"/>
      <c r="F293" s="409"/>
      <c r="G293" s="410"/>
      <c r="H293" s="397">
        <f>H292+H290+H286</f>
        <v>90953.2</v>
      </c>
      <c r="I293" s="411"/>
    </row>
    <row r="294" spans="3:9" ht="19.8" customHeight="1">
      <c r="C294" s="75" t="s">
        <v>1220</v>
      </c>
      <c r="D294" s="76" t="s">
        <v>1321</v>
      </c>
      <c r="E294" s="77"/>
      <c r="F294" s="78"/>
      <c r="G294" s="80">
        <f>$M$8</f>
        <v>0.1</v>
      </c>
      <c r="H294" s="64">
        <f>H293*G294</f>
        <v>9095.32</v>
      </c>
      <c r="I294" s="411"/>
    </row>
    <row r="295" spans="3:9" ht="19.8" customHeight="1" thickBot="1">
      <c r="C295" s="412" t="s">
        <v>1221</v>
      </c>
      <c r="D295" s="413" t="s">
        <v>1222</v>
      </c>
      <c r="E295" s="414"/>
      <c r="F295" s="414"/>
      <c r="G295" s="415"/>
      <c r="H295" s="416">
        <f>SUM(H293:H294)</f>
        <v>100048.51999999999</v>
      </c>
      <c r="I295" s="411"/>
    </row>
    <row r="296" spans="3:9" ht="14.4" thickTop="1">
      <c r="C296" s="426"/>
      <c r="D296" s="427"/>
      <c r="E296" s="427"/>
      <c r="F296" s="427"/>
      <c r="G296" s="427"/>
      <c r="H296" s="428"/>
      <c r="I296" s="411"/>
    </row>
    <row r="297" spans="3:9" ht="14.4" thickBot="1">
      <c r="C297" s="381" t="s">
        <v>2619</v>
      </c>
      <c r="D297" s="385" t="s">
        <v>2620</v>
      </c>
      <c r="E297" s="420"/>
      <c r="F297" s="420"/>
      <c r="G297" s="420"/>
      <c r="H297" s="420"/>
      <c r="I297" s="386">
        <f>ROUNDDOWN(H313,-2)</f>
        <v>135500</v>
      </c>
    </row>
    <row r="298" spans="3:9" ht="28.2" thickTop="1">
      <c r="C298" s="387" t="s">
        <v>1195</v>
      </c>
      <c r="D298" s="388" t="s">
        <v>1196</v>
      </c>
      <c r="E298" s="388" t="s">
        <v>1197</v>
      </c>
      <c r="F298" s="388" t="s">
        <v>1198</v>
      </c>
      <c r="G298" s="388" t="s">
        <v>1199</v>
      </c>
      <c r="H298" s="389" t="s">
        <v>1200</v>
      </c>
    </row>
    <row r="299" spans="3:9" ht="21" customHeight="1">
      <c r="C299" s="390" t="s">
        <v>1201</v>
      </c>
      <c r="D299" s="391" t="s">
        <v>1202</v>
      </c>
      <c r="E299" s="392"/>
      <c r="F299" s="392"/>
      <c r="G299" s="392"/>
      <c r="H299" s="393"/>
    </row>
    <row r="300" spans="3:9" ht="21" customHeight="1">
      <c r="C300" s="394">
        <v>1</v>
      </c>
      <c r="D300" s="391" t="s">
        <v>5</v>
      </c>
      <c r="E300" s="395" t="s">
        <v>6</v>
      </c>
      <c r="F300" s="396">
        <v>0.14000000000000001</v>
      </c>
      <c r="G300" s="63">
        <f>VLOOKUP(D300,upahbahan,3,FALSE)</f>
        <v>100000</v>
      </c>
      <c r="H300" s="397">
        <f>F300*G300</f>
        <v>14000.000000000002</v>
      </c>
    </row>
    <row r="301" spans="3:9" ht="21" customHeight="1">
      <c r="C301" s="394">
        <v>2</v>
      </c>
      <c r="D301" s="391" t="s">
        <v>8</v>
      </c>
      <c r="E301" s="395" t="s">
        <v>6</v>
      </c>
      <c r="F301" s="396">
        <v>7.0000000000000007E-2</v>
      </c>
      <c r="G301" s="63">
        <f>VLOOKUP(D301,upahbahan,3,FALSE)</f>
        <v>135000</v>
      </c>
      <c r="H301" s="397">
        <f>F301*G301</f>
        <v>9450</v>
      </c>
    </row>
    <row r="302" spans="3:9" ht="21" customHeight="1">
      <c r="C302" s="394">
        <v>3</v>
      </c>
      <c r="D302" s="391" t="s">
        <v>18</v>
      </c>
      <c r="E302" s="395" t="s">
        <v>6</v>
      </c>
      <c r="F302" s="396">
        <v>7.0000000000000001E-3</v>
      </c>
      <c r="G302" s="63">
        <f>VLOOKUP(D302,upahbahan,3,FALSE)</f>
        <v>150000</v>
      </c>
      <c r="H302" s="397">
        <f>F302*G302</f>
        <v>1050</v>
      </c>
    </row>
    <row r="303" spans="3:9" ht="21" customHeight="1">
      <c r="C303" s="394">
        <v>4</v>
      </c>
      <c r="D303" s="391" t="s">
        <v>19</v>
      </c>
      <c r="E303" s="395" t="s">
        <v>6</v>
      </c>
      <c r="F303" s="396">
        <v>2.3E-3</v>
      </c>
      <c r="G303" s="63">
        <f>VLOOKUP(D303,upahbahan,3,FALSE)</f>
        <v>160000</v>
      </c>
      <c r="H303" s="397">
        <f>F303*G303</f>
        <v>368</v>
      </c>
    </row>
    <row r="304" spans="3:9" ht="21" customHeight="1">
      <c r="C304" s="398" t="s">
        <v>1208</v>
      </c>
      <c r="D304" s="399"/>
      <c r="E304" s="399"/>
      <c r="F304" s="400"/>
      <c r="G304" s="401"/>
      <c r="H304" s="397">
        <f>SUM(H300:H303)</f>
        <v>24868</v>
      </c>
      <c r="I304" s="402"/>
    </row>
    <row r="305" spans="3:9" ht="21" customHeight="1">
      <c r="C305" s="390" t="s">
        <v>1209</v>
      </c>
      <c r="D305" s="391" t="s">
        <v>1210</v>
      </c>
      <c r="E305" s="392"/>
      <c r="F305" s="392"/>
      <c r="G305" s="392"/>
      <c r="H305" s="393"/>
    </row>
    <row r="306" spans="3:9" ht="21" customHeight="1">
      <c r="C306" s="394">
        <v>1</v>
      </c>
      <c r="D306" s="391" t="s">
        <v>297</v>
      </c>
      <c r="E306" s="395" t="s">
        <v>129</v>
      </c>
      <c r="F306" s="421">
        <v>0.8</v>
      </c>
      <c r="G306" s="63">
        <f>VLOOKUP(D306,upahbahan,3,FALSE)</f>
        <v>120000</v>
      </c>
      <c r="H306" s="397">
        <f>F306*G306</f>
        <v>96000</v>
      </c>
    </row>
    <row r="307" spans="3:9" ht="21" customHeight="1">
      <c r="C307" s="394">
        <v>2</v>
      </c>
      <c r="D307" s="391" t="s">
        <v>265</v>
      </c>
      <c r="E307" s="395" t="s">
        <v>65</v>
      </c>
      <c r="F307" s="421">
        <v>0.12</v>
      </c>
      <c r="G307" s="63">
        <f>VLOOKUP(D307,upahbahan,3,FALSE)</f>
        <v>19460</v>
      </c>
      <c r="H307" s="397">
        <f>F307*G307</f>
        <v>2335.1999999999998</v>
      </c>
    </row>
    <row r="308" spans="3:9" ht="21" customHeight="1">
      <c r="C308" s="398" t="s">
        <v>1214</v>
      </c>
      <c r="D308" s="399"/>
      <c r="E308" s="399"/>
      <c r="F308" s="399"/>
      <c r="G308" s="404"/>
      <c r="H308" s="397">
        <f>SUM(H306:H307)</f>
        <v>98335.2</v>
      </c>
    </row>
    <row r="309" spans="3:9" ht="21" customHeight="1">
      <c r="C309" s="405" t="s">
        <v>1215</v>
      </c>
      <c r="D309" s="391" t="s">
        <v>1216</v>
      </c>
      <c r="E309" s="392"/>
      <c r="F309" s="392"/>
      <c r="G309" s="392"/>
      <c r="H309" s="393"/>
    </row>
    <row r="310" spans="3:9" ht="21" customHeight="1">
      <c r="C310" s="398" t="s">
        <v>1217</v>
      </c>
      <c r="D310" s="399"/>
      <c r="E310" s="399"/>
      <c r="F310" s="399"/>
      <c r="G310" s="404"/>
      <c r="H310" s="406">
        <v>0</v>
      </c>
    </row>
    <row r="311" spans="3:9" ht="21" customHeight="1">
      <c r="C311" s="407" t="s">
        <v>1218</v>
      </c>
      <c r="D311" s="408" t="s">
        <v>1219</v>
      </c>
      <c r="E311" s="409"/>
      <c r="F311" s="409"/>
      <c r="G311" s="410"/>
      <c r="H311" s="397">
        <f>H310+H308+H304</f>
        <v>123203.2</v>
      </c>
      <c r="I311" s="411"/>
    </row>
    <row r="312" spans="3:9" ht="21" customHeight="1">
      <c r="C312" s="75" t="s">
        <v>1220</v>
      </c>
      <c r="D312" s="76" t="s">
        <v>1321</v>
      </c>
      <c r="E312" s="77"/>
      <c r="F312" s="78"/>
      <c r="G312" s="80">
        <f>$M$8</f>
        <v>0.1</v>
      </c>
      <c r="H312" s="64">
        <f>H311*G312</f>
        <v>12320.32</v>
      </c>
      <c r="I312" s="411"/>
    </row>
    <row r="313" spans="3:9" ht="21" customHeight="1" thickBot="1">
      <c r="C313" s="412" t="s">
        <v>1221</v>
      </c>
      <c r="D313" s="413" t="s">
        <v>1222</v>
      </c>
      <c r="E313" s="414"/>
      <c r="F313" s="414"/>
      <c r="G313" s="415"/>
      <c r="H313" s="416">
        <f>SUM(H311:H312)</f>
        <v>135523.51999999999</v>
      </c>
      <c r="I313" s="411"/>
    </row>
    <row r="314" spans="3:9" ht="14.4" thickTop="1">
      <c r="C314" s="426"/>
      <c r="D314" s="427"/>
      <c r="E314" s="427"/>
      <c r="F314" s="427"/>
      <c r="G314" s="427"/>
      <c r="H314" s="428"/>
      <c r="I314" s="411"/>
    </row>
    <row r="315" spans="3:9" ht="14.4" thickBot="1">
      <c r="C315" s="381" t="s">
        <v>2621</v>
      </c>
      <c r="D315" s="385" t="s">
        <v>2622</v>
      </c>
      <c r="E315" s="420"/>
      <c r="F315" s="420"/>
      <c r="G315" s="420"/>
      <c r="H315" s="420"/>
      <c r="I315" s="386">
        <f>ROUNDDOWN(H331,-2)</f>
        <v>83200</v>
      </c>
    </row>
    <row r="316" spans="3:9" ht="28.2" thickTop="1">
      <c r="C316" s="387" t="s">
        <v>1195</v>
      </c>
      <c r="D316" s="388" t="s">
        <v>1196</v>
      </c>
      <c r="E316" s="388" t="s">
        <v>1197</v>
      </c>
      <c r="F316" s="388" t="s">
        <v>1198</v>
      </c>
      <c r="G316" s="388" t="s">
        <v>1199</v>
      </c>
      <c r="H316" s="389" t="s">
        <v>1200</v>
      </c>
    </row>
    <row r="317" spans="3:9" ht="20.399999999999999" customHeight="1">
      <c r="C317" s="390" t="s">
        <v>1201</v>
      </c>
      <c r="D317" s="391" t="s">
        <v>1202</v>
      </c>
      <c r="E317" s="392"/>
      <c r="F317" s="392"/>
      <c r="G317" s="392"/>
      <c r="H317" s="393"/>
    </row>
    <row r="318" spans="3:9" ht="20.399999999999999" customHeight="1">
      <c r="C318" s="394">
        <v>1</v>
      </c>
      <c r="D318" s="391" t="s">
        <v>5</v>
      </c>
      <c r="E318" s="395" t="s">
        <v>6</v>
      </c>
      <c r="F318" s="396">
        <v>0.14000000000000001</v>
      </c>
      <c r="G318" s="63">
        <f>VLOOKUP(D318,upahbahan,3,FALSE)</f>
        <v>100000</v>
      </c>
      <c r="H318" s="397">
        <f>F318*G318</f>
        <v>14000.000000000002</v>
      </c>
    </row>
    <row r="319" spans="3:9" ht="20.399999999999999" customHeight="1">
      <c r="C319" s="394">
        <v>2</v>
      </c>
      <c r="D319" s="391" t="s">
        <v>8</v>
      </c>
      <c r="E319" s="395" t="s">
        <v>6</v>
      </c>
      <c r="F319" s="396">
        <v>7.0000000000000007E-2</v>
      </c>
      <c r="G319" s="63">
        <f>VLOOKUP(D319,upahbahan,3,FALSE)</f>
        <v>135000</v>
      </c>
      <c r="H319" s="397">
        <f>F319*G319</f>
        <v>9450</v>
      </c>
    </row>
    <row r="320" spans="3:9" ht="20.399999999999999" customHeight="1">
      <c r="C320" s="394">
        <v>3</v>
      </c>
      <c r="D320" s="391" t="s">
        <v>18</v>
      </c>
      <c r="E320" s="395" t="s">
        <v>6</v>
      </c>
      <c r="F320" s="396">
        <v>7.0000000000000001E-3</v>
      </c>
      <c r="G320" s="63">
        <f>VLOOKUP(D320,upahbahan,3,FALSE)</f>
        <v>150000</v>
      </c>
      <c r="H320" s="397">
        <f>F320*G320</f>
        <v>1050</v>
      </c>
    </row>
    <row r="321" spans="3:9" ht="20.399999999999999" customHeight="1">
      <c r="C321" s="394">
        <v>4</v>
      </c>
      <c r="D321" s="391" t="s">
        <v>19</v>
      </c>
      <c r="E321" s="395" t="s">
        <v>6</v>
      </c>
      <c r="F321" s="396">
        <v>2.3E-3</v>
      </c>
      <c r="G321" s="63">
        <f>VLOOKUP(D321,upahbahan,3,FALSE)</f>
        <v>160000</v>
      </c>
      <c r="H321" s="397">
        <f>F321*G321</f>
        <v>368</v>
      </c>
    </row>
    <row r="322" spans="3:9" ht="20.399999999999999" customHeight="1">
      <c r="C322" s="398" t="s">
        <v>1208</v>
      </c>
      <c r="D322" s="399"/>
      <c r="E322" s="399"/>
      <c r="F322" s="400"/>
      <c r="G322" s="401"/>
      <c r="H322" s="397">
        <f>SUM(H318:H321)</f>
        <v>24868</v>
      </c>
      <c r="I322" s="402"/>
    </row>
    <row r="323" spans="3:9" ht="20.399999999999999" customHeight="1">
      <c r="C323" s="390" t="s">
        <v>1209</v>
      </c>
      <c r="D323" s="391" t="s">
        <v>1210</v>
      </c>
      <c r="E323" s="392"/>
      <c r="F323" s="392"/>
      <c r="G323" s="392"/>
      <c r="H323" s="393"/>
    </row>
    <row r="324" spans="3:9" ht="20.399999999999999" customHeight="1">
      <c r="C324" s="394">
        <v>1</v>
      </c>
      <c r="D324" s="391" t="s">
        <v>309</v>
      </c>
      <c r="E324" s="395" t="s">
        <v>129</v>
      </c>
      <c r="F324" s="421">
        <v>0.37</v>
      </c>
      <c r="G324" s="63">
        <f>VLOOKUP(D324,upahbahan,3,FALSE)</f>
        <v>131000</v>
      </c>
      <c r="H324" s="397">
        <f>F324*G324</f>
        <v>48470</v>
      </c>
    </row>
    <row r="325" spans="3:9" ht="20.399999999999999" customHeight="1">
      <c r="C325" s="394">
        <v>2</v>
      </c>
      <c r="D325" s="391" t="s">
        <v>265</v>
      </c>
      <c r="E325" s="395" t="s">
        <v>65</v>
      </c>
      <c r="F325" s="421">
        <v>0.12</v>
      </c>
      <c r="G325" s="63">
        <f>VLOOKUP(D325,upahbahan,3,FALSE)</f>
        <v>19460</v>
      </c>
      <c r="H325" s="397">
        <f>F325*G325</f>
        <v>2335.1999999999998</v>
      </c>
    </row>
    <row r="326" spans="3:9" ht="20.399999999999999" customHeight="1">
      <c r="C326" s="398" t="s">
        <v>1214</v>
      </c>
      <c r="D326" s="399"/>
      <c r="E326" s="399"/>
      <c r="F326" s="399"/>
      <c r="G326" s="404"/>
      <c r="H326" s="397">
        <f>SUM(H324:H325)</f>
        <v>50805.2</v>
      </c>
    </row>
    <row r="327" spans="3:9" ht="20.399999999999999" customHeight="1">
      <c r="C327" s="405" t="s">
        <v>1215</v>
      </c>
      <c r="D327" s="391" t="s">
        <v>1216</v>
      </c>
      <c r="E327" s="392"/>
      <c r="F327" s="392"/>
      <c r="G327" s="392"/>
      <c r="H327" s="393"/>
    </row>
    <row r="328" spans="3:9" ht="20.399999999999999" customHeight="1">
      <c r="C328" s="398" t="s">
        <v>1217</v>
      </c>
      <c r="D328" s="399"/>
      <c r="E328" s="399"/>
      <c r="F328" s="399"/>
      <c r="G328" s="404"/>
      <c r="H328" s="406">
        <v>0</v>
      </c>
    </row>
    <row r="329" spans="3:9" ht="20.399999999999999" customHeight="1">
      <c r="C329" s="407" t="s">
        <v>1218</v>
      </c>
      <c r="D329" s="408" t="s">
        <v>1219</v>
      </c>
      <c r="E329" s="409"/>
      <c r="F329" s="409"/>
      <c r="G329" s="410"/>
      <c r="H329" s="397">
        <f>H328+H326+H322</f>
        <v>75673.2</v>
      </c>
      <c r="I329" s="411"/>
    </row>
    <row r="330" spans="3:9" ht="20.399999999999999" customHeight="1">
      <c r="C330" s="75" t="s">
        <v>1220</v>
      </c>
      <c r="D330" s="76" t="s">
        <v>1321</v>
      </c>
      <c r="E330" s="77"/>
      <c r="F330" s="78"/>
      <c r="G330" s="80">
        <f>$M$8</f>
        <v>0.1</v>
      </c>
      <c r="H330" s="64">
        <f>H329*G330</f>
        <v>7567.32</v>
      </c>
      <c r="I330" s="411"/>
    </row>
    <row r="331" spans="3:9" ht="20.399999999999999" customHeight="1" thickBot="1">
      <c r="C331" s="412" t="s">
        <v>1221</v>
      </c>
      <c r="D331" s="413" t="s">
        <v>1222</v>
      </c>
      <c r="E331" s="414"/>
      <c r="F331" s="414"/>
      <c r="G331" s="415"/>
      <c r="H331" s="416">
        <f>SUM(H329:H330)</f>
        <v>83240.51999999999</v>
      </c>
      <c r="I331" s="411"/>
    </row>
    <row r="332" spans="3:9" ht="20.399999999999999" customHeight="1" thickTop="1">
      <c r="C332" s="426"/>
      <c r="D332" s="427"/>
      <c r="E332" s="427"/>
      <c r="F332" s="427"/>
      <c r="G332" s="427"/>
      <c r="H332" s="428"/>
      <c r="I332" s="411"/>
    </row>
    <row r="333" spans="3:9" ht="14.4" thickBot="1">
      <c r="C333" s="381" t="s">
        <v>2623</v>
      </c>
      <c r="D333" s="385" t="s">
        <v>2624</v>
      </c>
      <c r="E333" s="420"/>
      <c r="F333" s="420"/>
      <c r="G333" s="420"/>
      <c r="H333" s="420"/>
      <c r="I333" s="386">
        <f>ROUNDDOWN(H349,-2)</f>
        <v>77300</v>
      </c>
    </row>
    <row r="334" spans="3:9" ht="28.2" thickTop="1">
      <c r="C334" s="387" t="s">
        <v>1195</v>
      </c>
      <c r="D334" s="388" t="s">
        <v>1196</v>
      </c>
      <c r="E334" s="388" t="s">
        <v>1197</v>
      </c>
      <c r="F334" s="388" t="s">
        <v>1198</v>
      </c>
      <c r="G334" s="388" t="s">
        <v>1199</v>
      </c>
      <c r="H334" s="389" t="s">
        <v>1200</v>
      </c>
    </row>
    <row r="335" spans="3:9" ht="22.2" customHeight="1">
      <c r="C335" s="390" t="s">
        <v>1201</v>
      </c>
      <c r="D335" s="391" t="s">
        <v>1202</v>
      </c>
      <c r="E335" s="392"/>
      <c r="F335" s="392"/>
      <c r="G335" s="392"/>
      <c r="H335" s="393"/>
    </row>
    <row r="336" spans="3:9" ht="22.2" customHeight="1">
      <c r="C336" s="394">
        <v>1</v>
      </c>
      <c r="D336" s="391" t="s">
        <v>5</v>
      </c>
      <c r="E336" s="395" t="s">
        <v>6</v>
      </c>
      <c r="F336" s="396">
        <v>0.14000000000000001</v>
      </c>
      <c r="G336" s="63">
        <f>VLOOKUP(D336,upahbahan,3,FALSE)</f>
        <v>100000</v>
      </c>
      <c r="H336" s="397">
        <f>F336*G336</f>
        <v>14000.000000000002</v>
      </c>
    </row>
    <row r="337" spans="3:9" ht="22.2" customHeight="1">
      <c r="C337" s="394">
        <v>2</v>
      </c>
      <c r="D337" s="391" t="s">
        <v>8</v>
      </c>
      <c r="E337" s="395" t="s">
        <v>6</v>
      </c>
      <c r="F337" s="396">
        <v>7.0000000000000007E-2</v>
      </c>
      <c r="G337" s="63">
        <f>VLOOKUP(D337,upahbahan,3,FALSE)</f>
        <v>135000</v>
      </c>
      <c r="H337" s="397">
        <f>F337*G337</f>
        <v>9450</v>
      </c>
    </row>
    <row r="338" spans="3:9" ht="22.2" customHeight="1">
      <c r="C338" s="394">
        <v>3</v>
      </c>
      <c r="D338" s="391" t="s">
        <v>18</v>
      </c>
      <c r="E338" s="395" t="s">
        <v>6</v>
      </c>
      <c r="F338" s="396">
        <v>7.0000000000000001E-3</v>
      </c>
      <c r="G338" s="63">
        <f>VLOOKUP(D338,upahbahan,3,FALSE)</f>
        <v>150000</v>
      </c>
      <c r="H338" s="397">
        <f>F338*G338</f>
        <v>1050</v>
      </c>
    </row>
    <row r="339" spans="3:9" ht="22.2" customHeight="1">
      <c r="C339" s="394">
        <v>4</v>
      </c>
      <c r="D339" s="391" t="s">
        <v>19</v>
      </c>
      <c r="E339" s="395" t="s">
        <v>6</v>
      </c>
      <c r="F339" s="396">
        <v>2.3E-3</v>
      </c>
      <c r="G339" s="63">
        <f>VLOOKUP(D339,upahbahan,3,FALSE)</f>
        <v>160000</v>
      </c>
      <c r="H339" s="397">
        <f>F339*G339</f>
        <v>368</v>
      </c>
    </row>
    <row r="340" spans="3:9" ht="22.2" customHeight="1">
      <c r="C340" s="398" t="s">
        <v>1208</v>
      </c>
      <c r="D340" s="399"/>
      <c r="E340" s="399"/>
      <c r="F340" s="400"/>
      <c r="G340" s="401"/>
      <c r="H340" s="397">
        <f>SUM(H336:H339)</f>
        <v>24868</v>
      </c>
      <c r="I340" s="402"/>
    </row>
    <row r="341" spans="3:9" ht="22.2" customHeight="1">
      <c r="C341" s="390" t="s">
        <v>1209</v>
      </c>
      <c r="D341" s="391" t="s">
        <v>1210</v>
      </c>
      <c r="E341" s="392"/>
      <c r="F341" s="392"/>
      <c r="G341" s="392"/>
      <c r="H341" s="393"/>
    </row>
    <row r="342" spans="3:9" ht="22.2" customHeight="1">
      <c r="C342" s="394">
        <v>1</v>
      </c>
      <c r="D342" s="391" t="s">
        <v>308</v>
      </c>
      <c r="E342" s="395" t="s">
        <v>129</v>
      </c>
      <c r="F342" s="421">
        <v>0.38</v>
      </c>
      <c r="G342" s="63">
        <f>VLOOKUP(D342,upahbahan,3,FALSE)</f>
        <v>113400</v>
      </c>
      <c r="H342" s="397">
        <f>F342*G342</f>
        <v>43092</v>
      </c>
    </row>
    <row r="343" spans="3:9" ht="22.2" customHeight="1">
      <c r="C343" s="394">
        <v>2</v>
      </c>
      <c r="D343" s="391" t="s">
        <v>265</v>
      </c>
      <c r="E343" s="395" t="s">
        <v>65</v>
      </c>
      <c r="F343" s="421">
        <v>0.12</v>
      </c>
      <c r="G343" s="63">
        <f>VLOOKUP(D343,upahbahan,3,FALSE)</f>
        <v>19460</v>
      </c>
      <c r="H343" s="397">
        <f>F343*G343</f>
        <v>2335.1999999999998</v>
      </c>
    </row>
    <row r="344" spans="3:9" ht="22.2" customHeight="1">
      <c r="C344" s="398" t="s">
        <v>1214</v>
      </c>
      <c r="D344" s="399"/>
      <c r="E344" s="399"/>
      <c r="F344" s="399"/>
      <c r="G344" s="404"/>
      <c r="H344" s="397">
        <f>SUM(H342:H343)</f>
        <v>45427.199999999997</v>
      </c>
    </row>
    <row r="345" spans="3:9" ht="22.2" customHeight="1">
      <c r="C345" s="405" t="s">
        <v>1215</v>
      </c>
      <c r="D345" s="391" t="s">
        <v>1216</v>
      </c>
      <c r="E345" s="392"/>
      <c r="F345" s="392"/>
      <c r="G345" s="392"/>
      <c r="H345" s="393"/>
    </row>
    <row r="346" spans="3:9" ht="22.2" customHeight="1">
      <c r="C346" s="398" t="s">
        <v>1217</v>
      </c>
      <c r="D346" s="399"/>
      <c r="E346" s="399"/>
      <c r="F346" s="399"/>
      <c r="G346" s="404"/>
      <c r="H346" s="406">
        <v>0</v>
      </c>
    </row>
    <row r="347" spans="3:9" ht="22.2" customHeight="1">
      <c r="C347" s="407" t="s">
        <v>1218</v>
      </c>
      <c r="D347" s="408" t="s">
        <v>1219</v>
      </c>
      <c r="E347" s="409"/>
      <c r="F347" s="409"/>
      <c r="G347" s="410"/>
      <c r="H347" s="397">
        <f>H346+H344+H340</f>
        <v>70295.199999999997</v>
      </c>
      <c r="I347" s="411"/>
    </row>
    <row r="348" spans="3:9" ht="22.2" customHeight="1">
      <c r="C348" s="75" t="s">
        <v>1220</v>
      </c>
      <c r="D348" s="76" t="s">
        <v>1321</v>
      </c>
      <c r="E348" s="77"/>
      <c r="F348" s="78"/>
      <c r="G348" s="80">
        <f>$M$8</f>
        <v>0.1</v>
      </c>
      <c r="H348" s="64">
        <f>H347*G348</f>
        <v>7029.52</v>
      </c>
      <c r="I348" s="411"/>
    </row>
    <row r="349" spans="3:9" ht="22.2" customHeight="1" thickBot="1">
      <c r="C349" s="412" t="s">
        <v>1221</v>
      </c>
      <c r="D349" s="413" t="s">
        <v>1222</v>
      </c>
      <c r="E349" s="414"/>
      <c r="F349" s="414"/>
      <c r="G349" s="415"/>
      <c r="H349" s="416">
        <f>SUM(H347:H348)</f>
        <v>77324.72</v>
      </c>
      <c r="I349" s="411"/>
    </row>
    <row r="350" spans="3:9" ht="14.4" thickTop="1">
      <c r="C350" s="426"/>
      <c r="D350" s="427"/>
      <c r="E350" s="427"/>
      <c r="F350" s="427"/>
      <c r="G350" s="427"/>
      <c r="H350" s="428"/>
      <c r="I350" s="411"/>
    </row>
    <row r="351" spans="3:9" ht="14.4" thickBot="1">
      <c r="C351" s="381" t="s">
        <v>2625</v>
      </c>
      <c r="D351" s="385" t="s">
        <v>2626</v>
      </c>
      <c r="E351" s="420"/>
      <c r="F351" s="420"/>
      <c r="G351" s="420"/>
      <c r="H351" s="420"/>
      <c r="I351" s="386">
        <f>ROUNDDOWN(H367,-2)</f>
        <v>80300</v>
      </c>
    </row>
    <row r="352" spans="3:9" ht="28.2" thickTop="1">
      <c r="C352" s="387" t="s">
        <v>1195</v>
      </c>
      <c r="D352" s="388" t="s">
        <v>1196</v>
      </c>
      <c r="E352" s="388" t="s">
        <v>1197</v>
      </c>
      <c r="F352" s="388" t="s">
        <v>1198</v>
      </c>
      <c r="G352" s="388" t="s">
        <v>1199</v>
      </c>
      <c r="H352" s="389" t="s">
        <v>1200</v>
      </c>
    </row>
    <row r="353" spans="3:9" ht="21.6" customHeight="1">
      <c r="C353" s="390" t="s">
        <v>1201</v>
      </c>
      <c r="D353" s="391" t="s">
        <v>1202</v>
      </c>
      <c r="E353" s="392"/>
      <c r="F353" s="392"/>
      <c r="G353" s="392"/>
      <c r="H353" s="393"/>
    </row>
    <row r="354" spans="3:9" ht="21.6" customHeight="1">
      <c r="C354" s="394">
        <v>1</v>
      </c>
      <c r="D354" s="391" t="s">
        <v>5</v>
      </c>
      <c r="E354" s="395" t="s">
        <v>6</v>
      </c>
      <c r="F354" s="396">
        <v>0.14000000000000001</v>
      </c>
      <c r="G354" s="63">
        <f>VLOOKUP(D354,upahbahan,3,FALSE)</f>
        <v>100000</v>
      </c>
      <c r="H354" s="397">
        <f>F354*G354</f>
        <v>14000.000000000002</v>
      </c>
    </row>
    <row r="355" spans="3:9" ht="21.6" customHeight="1">
      <c r="C355" s="394">
        <v>2</v>
      </c>
      <c r="D355" s="391" t="s">
        <v>8</v>
      </c>
      <c r="E355" s="395" t="s">
        <v>6</v>
      </c>
      <c r="F355" s="396">
        <v>7.0000000000000007E-2</v>
      </c>
      <c r="G355" s="63">
        <f>VLOOKUP(D355,upahbahan,3,FALSE)</f>
        <v>135000</v>
      </c>
      <c r="H355" s="397">
        <f>F355*G355</f>
        <v>9450</v>
      </c>
    </row>
    <row r="356" spans="3:9" ht="21.6" customHeight="1">
      <c r="C356" s="394">
        <v>3</v>
      </c>
      <c r="D356" s="391" t="s">
        <v>18</v>
      </c>
      <c r="E356" s="395" t="s">
        <v>6</v>
      </c>
      <c r="F356" s="396">
        <v>7.0000000000000001E-3</v>
      </c>
      <c r="G356" s="63">
        <f>VLOOKUP(D356,upahbahan,3,FALSE)</f>
        <v>150000</v>
      </c>
      <c r="H356" s="397">
        <f>F356*G356</f>
        <v>1050</v>
      </c>
    </row>
    <row r="357" spans="3:9" ht="21.6" customHeight="1">
      <c r="C357" s="394">
        <v>4</v>
      </c>
      <c r="D357" s="391" t="s">
        <v>19</v>
      </c>
      <c r="E357" s="395" t="s">
        <v>6</v>
      </c>
      <c r="F357" s="396">
        <v>2.3E-3</v>
      </c>
      <c r="G357" s="63">
        <f>VLOOKUP(D357,upahbahan,3,FALSE)</f>
        <v>160000</v>
      </c>
      <c r="H357" s="397">
        <f>F357*G357</f>
        <v>368</v>
      </c>
    </row>
    <row r="358" spans="3:9" ht="21.6" customHeight="1">
      <c r="C358" s="398" t="s">
        <v>1208</v>
      </c>
      <c r="D358" s="399"/>
      <c r="E358" s="399"/>
      <c r="F358" s="400"/>
      <c r="G358" s="401"/>
      <c r="H358" s="397">
        <f>SUM(H354:H357)</f>
        <v>24868</v>
      </c>
      <c r="I358" s="402"/>
    </row>
    <row r="359" spans="3:9" ht="21.6" customHeight="1">
      <c r="C359" s="390" t="s">
        <v>1209</v>
      </c>
      <c r="D359" s="391" t="s">
        <v>1210</v>
      </c>
      <c r="E359" s="392"/>
      <c r="F359" s="392"/>
      <c r="G359" s="392"/>
      <c r="H359" s="393"/>
    </row>
    <row r="360" spans="3:9" ht="21.6" customHeight="1">
      <c r="C360" s="394">
        <v>1</v>
      </c>
      <c r="D360" s="391" t="s">
        <v>307</v>
      </c>
      <c r="E360" s="395" t="s">
        <v>129</v>
      </c>
      <c r="F360" s="421">
        <v>0.46</v>
      </c>
      <c r="G360" s="63">
        <f>VLOOKUP(D360,upahbahan,3,FALSE)</f>
        <v>99600</v>
      </c>
      <c r="H360" s="397">
        <f>F360*G360</f>
        <v>45816</v>
      </c>
    </row>
    <row r="361" spans="3:9" ht="21.6" customHeight="1">
      <c r="C361" s="394">
        <v>2</v>
      </c>
      <c r="D361" s="391" t="s">
        <v>265</v>
      </c>
      <c r="E361" s="395" t="s">
        <v>65</v>
      </c>
      <c r="F361" s="421">
        <v>0.12</v>
      </c>
      <c r="G361" s="63">
        <f>VLOOKUP(D361,upahbahan,3,FALSE)</f>
        <v>19460</v>
      </c>
      <c r="H361" s="397">
        <f>F361*G361</f>
        <v>2335.1999999999998</v>
      </c>
    </row>
    <row r="362" spans="3:9" ht="21.6" customHeight="1">
      <c r="C362" s="398" t="s">
        <v>1214</v>
      </c>
      <c r="D362" s="399"/>
      <c r="E362" s="399"/>
      <c r="F362" s="399"/>
      <c r="G362" s="404"/>
      <c r="H362" s="397">
        <f>SUM(H360:H361)</f>
        <v>48151.199999999997</v>
      </c>
    </row>
    <row r="363" spans="3:9" ht="21.6" customHeight="1">
      <c r="C363" s="405" t="s">
        <v>1215</v>
      </c>
      <c r="D363" s="391" t="s">
        <v>1216</v>
      </c>
      <c r="E363" s="392"/>
      <c r="F363" s="392"/>
      <c r="G363" s="392"/>
      <c r="H363" s="393"/>
    </row>
    <row r="364" spans="3:9" ht="21.6" customHeight="1">
      <c r="C364" s="398" t="s">
        <v>1217</v>
      </c>
      <c r="D364" s="399"/>
      <c r="E364" s="399"/>
      <c r="F364" s="399"/>
      <c r="G364" s="404"/>
      <c r="H364" s="406">
        <v>0</v>
      </c>
    </row>
    <row r="365" spans="3:9" ht="21.6" customHeight="1">
      <c r="C365" s="407" t="s">
        <v>1218</v>
      </c>
      <c r="D365" s="408" t="s">
        <v>1219</v>
      </c>
      <c r="E365" s="409"/>
      <c r="F365" s="409"/>
      <c r="G365" s="410"/>
      <c r="H365" s="397">
        <f>H364+H362+H358</f>
        <v>73019.199999999997</v>
      </c>
      <c r="I365" s="411"/>
    </row>
    <row r="366" spans="3:9" ht="21.6" customHeight="1">
      <c r="C366" s="75" t="s">
        <v>1220</v>
      </c>
      <c r="D366" s="76" t="s">
        <v>1321</v>
      </c>
      <c r="E366" s="77"/>
      <c r="F366" s="78"/>
      <c r="G366" s="80">
        <f>$M$8</f>
        <v>0.1</v>
      </c>
      <c r="H366" s="64">
        <f>H365*G366</f>
        <v>7301.92</v>
      </c>
      <c r="I366" s="411"/>
    </row>
    <row r="367" spans="3:9" ht="21.6" customHeight="1" thickBot="1">
      <c r="C367" s="412" t="s">
        <v>1221</v>
      </c>
      <c r="D367" s="413" t="s">
        <v>1222</v>
      </c>
      <c r="E367" s="414"/>
      <c r="F367" s="414"/>
      <c r="G367" s="415"/>
      <c r="H367" s="416">
        <f>SUM(H365:H366)</f>
        <v>80321.119999999995</v>
      </c>
      <c r="I367" s="411"/>
    </row>
    <row r="368" spans="3:9" ht="14.4" thickTop="1">
      <c r="C368" s="426"/>
      <c r="D368" s="427"/>
      <c r="E368" s="427"/>
      <c r="F368" s="427"/>
      <c r="G368" s="427"/>
      <c r="H368" s="428"/>
      <c r="I368" s="411"/>
    </row>
    <row r="369" spans="3:9" ht="14.4" thickBot="1">
      <c r="C369" s="381" t="s">
        <v>2627</v>
      </c>
      <c r="D369" s="385" t="s">
        <v>2628</v>
      </c>
      <c r="E369" s="420"/>
      <c r="F369" s="420"/>
      <c r="G369" s="420"/>
      <c r="H369" s="420"/>
      <c r="I369" s="386">
        <f>ROUNDDOWN(H385,-2)</f>
        <v>79900</v>
      </c>
    </row>
    <row r="370" spans="3:9" ht="28.2" thickTop="1">
      <c r="C370" s="387" t="s">
        <v>1195</v>
      </c>
      <c r="D370" s="388" t="s">
        <v>1196</v>
      </c>
      <c r="E370" s="388" t="s">
        <v>1197</v>
      </c>
      <c r="F370" s="388" t="s">
        <v>1198</v>
      </c>
      <c r="G370" s="388" t="s">
        <v>1199</v>
      </c>
      <c r="H370" s="389" t="s">
        <v>1200</v>
      </c>
    </row>
    <row r="371" spans="3:9" ht="21.6" customHeight="1">
      <c r="C371" s="390" t="s">
        <v>1201</v>
      </c>
      <c r="D371" s="391" t="s">
        <v>1202</v>
      </c>
      <c r="E371" s="392"/>
      <c r="F371" s="392"/>
      <c r="G371" s="392"/>
      <c r="H371" s="393"/>
    </row>
    <row r="372" spans="3:9" ht="21.6" customHeight="1">
      <c r="C372" s="394">
        <v>1</v>
      </c>
      <c r="D372" s="391" t="s">
        <v>5</v>
      </c>
      <c r="E372" s="395" t="s">
        <v>6</v>
      </c>
      <c r="F372" s="396">
        <v>0.14000000000000001</v>
      </c>
      <c r="G372" s="63">
        <f>VLOOKUP(D372,upahbahan,3,FALSE)</f>
        <v>100000</v>
      </c>
      <c r="H372" s="397">
        <f>F372*G372</f>
        <v>14000.000000000002</v>
      </c>
    </row>
    <row r="373" spans="3:9" ht="21.6" customHeight="1">
      <c r="C373" s="394">
        <v>2</v>
      </c>
      <c r="D373" s="391" t="s">
        <v>8</v>
      </c>
      <c r="E373" s="395" t="s">
        <v>6</v>
      </c>
      <c r="F373" s="396">
        <v>7.0000000000000007E-2</v>
      </c>
      <c r="G373" s="63">
        <f>VLOOKUP(D373,upahbahan,3,FALSE)</f>
        <v>135000</v>
      </c>
      <c r="H373" s="397">
        <f>F373*G373</f>
        <v>9450</v>
      </c>
    </row>
    <row r="374" spans="3:9" ht="21.6" customHeight="1">
      <c r="C374" s="394">
        <v>3</v>
      </c>
      <c r="D374" s="391" t="s">
        <v>18</v>
      </c>
      <c r="E374" s="395" t="s">
        <v>6</v>
      </c>
      <c r="F374" s="396">
        <v>7.0000000000000001E-3</v>
      </c>
      <c r="G374" s="63">
        <f>VLOOKUP(D374,upahbahan,3,FALSE)</f>
        <v>150000</v>
      </c>
      <c r="H374" s="397">
        <f>F374*G374</f>
        <v>1050</v>
      </c>
    </row>
    <row r="375" spans="3:9" ht="21.6" customHeight="1">
      <c r="C375" s="394">
        <v>4</v>
      </c>
      <c r="D375" s="391" t="s">
        <v>19</v>
      </c>
      <c r="E375" s="395" t="s">
        <v>6</v>
      </c>
      <c r="F375" s="396">
        <v>2.3E-3</v>
      </c>
      <c r="G375" s="63">
        <f>VLOOKUP(D375,upahbahan,3,FALSE)</f>
        <v>160000</v>
      </c>
      <c r="H375" s="397">
        <f>F375*G375</f>
        <v>368</v>
      </c>
    </row>
    <row r="376" spans="3:9" ht="21.6" customHeight="1">
      <c r="C376" s="398" t="s">
        <v>1208</v>
      </c>
      <c r="D376" s="399"/>
      <c r="E376" s="399"/>
      <c r="F376" s="400"/>
      <c r="G376" s="401"/>
      <c r="H376" s="397">
        <f>SUM(H372:H375)</f>
        <v>24868</v>
      </c>
      <c r="I376" s="402"/>
    </row>
    <row r="377" spans="3:9" ht="21.6" customHeight="1">
      <c r="C377" s="390" t="s">
        <v>1209</v>
      </c>
      <c r="D377" s="391" t="s">
        <v>1210</v>
      </c>
      <c r="E377" s="392"/>
      <c r="F377" s="392"/>
      <c r="G377" s="392"/>
      <c r="H377" s="393"/>
    </row>
    <row r="378" spans="3:9" ht="21.6" customHeight="1">
      <c r="C378" s="394">
        <v>1</v>
      </c>
      <c r="D378" s="391" t="s">
        <v>306</v>
      </c>
      <c r="E378" s="395" t="s">
        <v>129</v>
      </c>
      <c r="F378" s="421">
        <v>0.49</v>
      </c>
      <c r="G378" s="63">
        <f>VLOOKUP(D378,upahbahan,3,FALSE)</f>
        <v>92900</v>
      </c>
      <c r="H378" s="397">
        <f>F378*G378</f>
        <v>45521</v>
      </c>
    </row>
    <row r="379" spans="3:9" ht="21.6" customHeight="1">
      <c r="C379" s="394">
        <v>2</v>
      </c>
      <c r="D379" s="391" t="s">
        <v>265</v>
      </c>
      <c r="E379" s="395" t="s">
        <v>65</v>
      </c>
      <c r="F379" s="421">
        <v>0.12</v>
      </c>
      <c r="G379" s="63">
        <f>VLOOKUP(D379,upahbahan,3,FALSE)</f>
        <v>19460</v>
      </c>
      <c r="H379" s="397">
        <f>F379*G379</f>
        <v>2335.1999999999998</v>
      </c>
    </row>
    <row r="380" spans="3:9" ht="21.6" customHeight="1">
      <c r="C380" s="398" t="s">
        <v>1214</v>
      </c>
      <c r="D380" s="399"/>
      <c r="E380" s="399"/>
      <c r="F380" s="399"/>
      <c r="G380" s="404"/>
      <c r="H380" s="397">
        <f>SUM(H378:H379)</f>
        <v>47856.2</v>
      </c>
    </row>
    <row r="381" spans="3:9" ht="21.6" customHeight="1">
      <c r="C381" s="405" t="s">
        <v>1215</v>
      </c>
      <c r="D381" s="391" t="s">
        <v>1216</v>
      </c>
      <c r="E381" s="392"/>
      <c r="F381" s="392"/>
      <c r="G381" s="392"/>
      <c r="H381" s="393"/>
    </row>
    <row r="382" spans="3:9" ht="21.6" customHeight="1">
      <c r="C382" s="398" t="s">
        <v>1217</v>
      </c>
      <c r="D382" s="399"/>
      <c r="E382" s="399"/>
      <c r="F382" s="399"/>
      <c r="G382" s="404"/>
      <c r="H382" s="406">
        <v>0</v>
      </c>
    </row>
    <row r="383" spans="3:9" ht="21.6" customHeight="1">
      <c r="C383" s="407" t="s">
        <v>1218</v>
      </c>
      <c r="D383" s="408" t="s">
        <v>1219</v>
      </c>
      <c r="E383" s="409"/>
      <c r="F383" s="409"/>
      <c r="G383" s="410"/>
      <c r="H383" s="397">
        <f>H382+H380+H376</f>
        <v>72724.2</v>
      </c>
      <c r="I383" s="411"/>
    </row>
    <row r="384" spans="3:9" ht="21.6" customHeight="1">
      <c r="C384" s="75" t="s">
        <v>1220</v>
      </c>
      <c r="D384" s="76" t="s">
        <v>1321</v>
      </c>
      <c r="E384" s="77"/>
      <c r="F384" s="78"/>
      <c r="G384" s="80">
        <f>$M$8</f>
        <v>0.1</v>
      </c>
      <c r="H384" s="64">
        <f>H383*G384</f>
        <v>7272.42</v>
      </c>
      <c r="I384" s="411"/>
    </row>
    <row r="385" spans="3:9" ht="21.6" customHeight="1" thickBot="1">
      <c r="C385" s="412" t="s">
        <v>1221</v>
      </c>
      <c r="D385" s="413" t="s">
        <v>1222</v>
      </c>
      <c r="E385" s="414"/>
      <c r="F385" s="414"/>
      <c r="G385" s="415"/>
      <c r="H385" s="416">
        <f>SUM(H383:H384)</f>
        <v>79996.62</v>
      </c>
      <c r="I385" s="411"/>
    </row>
    <row r="386" spans="3:9" ht="14.4" thickTop="1">
      <c r="C386" s="426"/>
      <c r="D386" s="427"/>
      <c r="E386" s="427"/>
      <c r="F386" s="427"/>
      <c r="G386" s="427"/>
      <c r="H386" s="428"/>
      <c r="I386" s="411"/>
    </row>
    <row r="387" spans="3:9" ht="14.4" thickBot="1">
      <c r="C387" s="381" t="s">
        <v>2629</v>
      </c>
      <c r="D387" s="385" t="s">
        <v>2630</v>
      </c>
      <c r="E387" s="420"/>
      <c r="F387" s="420"/>
      <c r="G387" s="420"/>
      <c r="H387" s="420"/>
      <c r="I387" s="386">
        <f>ROUNDDOWN(H403,-2)</f>
        <v>88200</v>
      </c>
    </row>
    <row r="388" spans="3:9" ht="28.2" thickTop="1">
      <c r="C388" s="387" t="s">
        <v>1195</v>
      </c>
      <c r="D388" s="388" t="s">
        <v>1196</v>
      </c>
      <c r="E388" s="388" t="s">
        <v>1197</v>
      </c>
      <c r="F388" s="388" t="s">
        <v>1198</v>
      </c>
      <c r="G388" s="388" t="s">
        <v>1199</v>
      </c>
      <c r="H388" s="389" t="s">
        <v>1200</v>
      </c>
    </row>
    <row r="389" spans="3:9" ht="22.2" customHeight="1">
      <c r="C389" s="390" t="s">
        <v>1201</v>
      </c>
      <c r="D389" s="391" t="s">
        <v>1202</v>
      </c>
      <c r="E389" s="392"/>
      <c r="F389" s="392"/>
      <c r="G389" s="392"/>
      <c r="H389" s="393"/>
    </row>
    <row r="390" spans="3:9" ht="22.2" customHeight="1">
      <c r="C390" s="394">
        <v>1</v>
      </c>
      <c r="D390" s="391" t="s">
        <v>5</v>
      </c>
      <c r="E390" s="395" t="s">
        <v>6</v>
      </c>
      <c r="F390" s="396">
        <v>0.14000000000000001</v>
      </c>
      <c r="G390" s="63">
        <f>VLOOKUP(D390,upahbahan,3,FALSE)</f>
        <v>100000</v>
      </c>
      <c r="H390" s="397">
        <f>F390*G390</f>
        <v>14000.000000000002</v>
      </c>
    </row>
    <row r="391" spans="3:9" ht="22.2" customHeight="1">
      <c r="C391" s="394">
        <v>2</v>
      </c>
      <c r="D391" s="391" t="s">
        <v>8</v>
      </c>
      <c r="E391" s="395" t="s">
        <v>6</v>
      </c>
      <c r="F391" s="396">
        <v>7.0000000000000007E-2</v>
      </c>
      <c r="G391" s="63">
        <f>VLOOKUP(D391,upahbahan,3,FALSE)</f>
        <v>135000</v>
      </c>
      <c r="H391" s="397">
        <f>F391*G391</f>
        <v>9450</v>
      </c>
    </row>
    <row r="392" spans="3:9" ht="22.2" customHeight="1">
      <c r="C392" s="394">
        <v>3</v>
      </c>
      <c r="D392" s="391" t="s">
        <v>18</v>
      </c>
      <c r="E392" s="395" t="s">
        <v>6</v>
      </c>
      <c r="F392" s="396">
        <v>7.0000000000000001E-3</v>
      </c>
      <c r="G392" s="63">
        <f>VLOOKUP(D392,upahbahan,3,FALSE)</f>
        <v>150000</v>
      </c>
      <c r="H392" s="397">
        <f>F392*G392</f>
        <v>1050</v>
      </c>
    </row>
    <row r="393" spans="3:9" ht="22.2" customHeight="1">
      <c r="C393" s="394">
        <v>4</v>
      </c>
      <c r="D393" s="391" t="s">
        <v>19</v>
      </c>
      <c r="E393" s="395" t="s">
        <v>6</v>
      </c>
      <c r="F393" s="396">
        <v>2.3E-3</v>
      </c>
      <c r="G393" s="63">
        <f>VLOOKUP(D393,upahbahan,3,FALSE)</f>
        <v>160000</v>
      </c>
      <c r="H393" s="397">
        <f>F393*G393</f>
        <v>368</v>
      </c>
    </row>
    <row r="394" spans="3:9" ht="22.2" customHeight="1">
      <c r="C394" s="398" t="s">
        <v>1208</v>
      </c>
      <c r="D394" s="399"/>
      <c r="E394" s="399"/>
      <c r="F394" s="400"/>
      <c r="G394" s="401"/>
      <c r="H394" s="397">
        <f>SUM(H390:H393)</f>
        <v>24868</v>
      </c>
      <c r="I394" s="402"/>
    </row>
    <row r="395" spans="3:9" ht="22.2" customHeight="1">
      <c r="C395" s="390" t="s">
        <v>1209</v>
      </c>
      <c r="D395" s="391" t="s">
        <v>1210</v>
      </c>
      <c r="E395" s="392"/>
      <c r="F395" s="392"/>
      <c r="G395" s="392"/>
      <c r="H395" s="393"/>
    </row>
    <row r="396" spans="3:9" ht="22.2" customHeight="1">
      <c r="C396" s="394">
        <v>1</v>
      </c>
      <c r="D396" s="391" t="s">
        <v>305</v>
      </c>
      <c r="E396" s="395" t="s">
        <v>129</v>
      </c>
      <c r="F396" s="421">
        <v>0.56999999999999995</v>
      </c>
      <c r="G396" s="63">
        <f>VLOOKUP(D396,upahbahan,3,FALSE)</f>
        <v>93000</v>
      </c>
      <c r="H396" s="397">
        <f>F396*G396</f>
        <v>53009.999999999993</v>
      </c>
    </row>
    <row r="397" spans="3:9" ht="22.2" customHeight="1">
      <c r="C397" s="394">
        <v>2</v>
      </c>
      <c r="D397" s="391" t="s">
        <v>265</v>
      </c>
      <c r="E397" s="395" t="s">
        <v>65</v>
      </c>
      <c r="F397" s="421">
        <v>0.12</v>
      </c>
      <c r="G397" s="63">
        <f>VLOOKUP(D397,upahbahan,3,FALSE)</f>
        <v>19460</v>
      </c>
      <c r="H397" s="397">
        <f>F397*G397</f>
        <v>2335.1999999999998</v>
      </c>
    </row>
    <row r="398" spans="3:9" ht="22.2" customHeight="1">
      <c r="C398" s="398" t="s">
        <v>1214</v>
      </c>
      <c r="D398" s="399"/>
      <c r="E398" s="399"/>
      <c r="F398" s="399"/>
      <c r="G398" s="404"/>
      <c r="H398" s="397">
        <f>SUM(H396:H397)</f>
        <v>55345.19999999999</v>
      </c>
    </row>
    <row r="399" spans="3:9" ht="22.2" customHeight="1">
      <c r="C399" s="405" t="s">
        <v>1215</v>
      </c>
      <c r="D399" s="391" t="s">
        <v>1216</v>
      </c>
      <c r="E399" s="392"/>
      <c r="F399" s="392"/>
      <c r="G399" s="392"/>
      <c r="H399" s="393"/>
    </row>
    <row r="400" spans="3:9" ht="22.2" customHeight="1">
      <c r="C400" s="398" t="s">
        <v>1217</v>
      </c>
      <c r="D400" s="399"/>
      <c r="E400" s="399"/>
      <c r="F400" s="399"/>
      <c r="G400" s="404"/>
      <c r="H400" s="406">
        <v>0</v>
      </c>
    </row>
    <row r="401" spans="3:9" ht="22.2" customHeight="1">
      <c r="C401" s="407" t="s">
        <v>1218</v>
      </c>
      <c r="D401" s="408" t="s">
        <v>1219</v>
      </c>
      <c r="E401" s="409"/>
      <c r="F401" s="409"/>
      <c r="G401" s="410"/>
      <c r="H401" s="397">
        <f>H400+H398+H394</f>
        <v>80213.199999999983</v>
      </c>
      <c r="I401" s="411"/>
    </row>
    <row r="402" spans="3:9" ht="22.2" customHeight="1">
      <c r="C402" s="75" t="s">
        <v>1220</v>
      </c>
      <c r="D402" s="76" t="s">
        <v>1321</v>
      </c>
      <c r="E402" s="77"/>
      <c r="F402" s="78"/>
      <c r="G402" s="80">
        <f>$M$8</f>
        <v>0.1</v>
      </c>
      <c r="H402" s="64">
        <f>H401*G402</f>
        <v>8021.3199999999988</v>
      </c>
      <c r="I402" s="411"/>
    </row>
    <row r="403" spans="3:9" ht="22.2" customHeight="1" thickBot="1">
      <c r="C403" s="412" t="s">
        <v>1221</v>
      </c>
      <c r="D403" s="413" t="s">
        <v>1222</v>
      </c>
      <c r="E403" s="414"/>
      <c r="F403" s="414"/>
      <c r="G403" s="415"/>
      <c r="H403" s="416">
        <f>SUM(H401:H402)</f>
        <v>88234.519999999975</v>
      </c>
      <c r="I403" s="411"/>
    </row>
    <row r="404" spans="3:9" ht="14.4" thickTop="1">
      <c r="C404" s="426"/>
      <c r="D404" s="427"/>
      <c r="E404" s="427"/>
      <c r="F404" s="427"/>
      <c r="G404" s="427"/>
      <c r="H404" s="428"/>
      <c r="I404" s="411"/>
    </row>
    <row r="405" spans="3:9" ht="14.4" thickBot="1">
      <c r="C405" s="381" t="s">
        <v>2631</v>
      </c>
      <c r="D405" s="385" t="s">
        <v>2633</v>
      </c>
      <c r="E405" s="423"/>
      <c r="F405" s="423"/>
      <c r="G405" s="423"/>
      <c r="H405" s="423"/>
      <c r="I405" s="386">
        <f>ROUNDDOWN(H421,-2)</f>
        <v>1456200</v>
      </c>
    </row>
    <row r="406" spans="3:9" ht="28.2" thickTop="1">
      <c r="C406" s="387" t="s">
        <v>1195</v>
      </c>
      <c r="D406" s="388" t="s">
        <v>1196</v>
      </c>
      <c r="E406" s="388" t="s">
        <v>1197</v>
      </c>
      <c r="F406" s="388" t="s">
        <v>1198</v>
      </c>
      <c r="G406" s="388" t="s">
        <v>1199</v>
      </c>
      <c r="H406" s="389" t="s">
        <v>1200</v>
      </c>
    </row>
    <row r="407" spans="3:9" ht="19.8" customHeight="1">
      <c r="C407" s="390" t="s">
        <v>1201</v>
      </c>
      <c r="D407" s="391" t="s">
        <v>1202</v>
      </c>
      <c r="E407" s="392"/>
      <c r="F407" s="392"/>
      <c r="G407" s="392"/>
      <c r="H407" s="393"/>
    </row>
    <row r="408" spans="3:9" ht="19.8" customHeight="1">
      <c r="C408" s="394">
        <v>1</v>
      </c>
      <c r="D408" s="391" t="s">
        <v>5</v>
      </c>
      <c r="E408" s="395" t="s">
        <v>6</v>
      </c>
      <c r="F408" s="396">
        <v>8.4000000000000005E-2</v>
      </c>
      <c r="G408" s="63">
        <f>VLOOKUP(D408,upahbahan,3,FALSE)</f>
        <v>100000</v>
      </c>
      <c r="H408" s="397">
        <f>F408*G408</f>
        <v>8400</v>
      </c>
    </row>
    <row r="409" spans="3:9" ht="19.8" customHeight="1">
      <c r="C409" s="394">
        <v>2</v>
      </c>
      <c r="D409" s="391" t="s">
        <v>8</v>
      </c>
      <c r="E409" s="395" t="s">
        <v>6</v>
      </c>
      <c r="F409" s="396">
        <v>0.125</v>
      </c>
      <c r="G409" s="63">
        <f>VLOOKUP(D409,upahbahan,3,FALSE)</f>
        <v>135000</v>
      </c>
      <c r="H409" s="397">
        <f>F409*G409</f>
        <v>16875</v>
      </c>
    </row>
    <row r="410" spans="3:9" ht="19.8" customHeight="1">
      <c r="C410" s="394">
        <v>3</v>
      </c>
      <c r="D410" s="391" t="s">
        <v>18</v>
      </c>
      <c r="E410" s="395" t="s">
        <v>6</v>
      </c>
      <c r="F410" s="396">
        <v>1.2500000000000001E-2</v>
      </c>
      <c r="G410" s="63">
        <f>VLOOKUP(D410,upahbahan,3,FALSE)</f>
        <v>150000</v>
      </c>
      <c r="H410" s="397">
        <f>F410*G410</f>
        <v>1875</v>
      </c>
    </row>
    <row r="411" spans="3:9" ht="19.8" customHeight="1">
      <c r="C411" s="394">
        <v>4</v>
      </c>
      <c r="D411" s="391" t="s">
        <v>19</v>
      </c>
      <c r="E411" s="395" t="s">
        <v>6</v>
      </c>
      <c r="F411" s="396">
        <v>4.1999999999999997E-3</v>
      </c>
      <c r="G411" s="63">
        <f>VLOOKUP(D411,upahbahan,3,FALSE)</f>
        <v>160000</v>
      </c>
      <c r="H411" s="397">
        <f>F411*G411</f>
        <v>672</v>
      </c>
    </row>
    <row r="412" spans="3:9" ht="19.8" customHeight="1">
      <c r="C412" s="398" t="s">
        <v>1208</v>
      </c>
      <c r="D412" s="399"/>
      <c r="E412" s="399"/>
      <c r="F412" s="400"/>
      <c r="G412" s="401"/>
      <c r="H412" s="397">
        <f>SUM(H408:H411)</f>
        <v>27822</v>
      </c>
      <c r="I412" s="402"/>
    </row>
    <row r="413" spans="3:9" ht="19.8" customHeight="1">
      <c r="C413" s="390" t="s">
        <v>1209</v>
      </c>
      <c r="D413" s="391" t="s">
        <v>1210</v>
      </c>
      <c r="E413" s="392"/>
      <c r="F413" s="392"/>
      <c r="G413" s="392"/>
      <c r="H413" s="393"/>
    </row>
    <row r="414" spans="3:9" ht="19.8" customHeight="1">
      <c r="C414" s="394">
        <v>1</v>
      </c>
      <c r="D414" s="424" t="s">
        <v>354</v>
      </c>
      <c r="E414" s="425" t="s">
        <v>129</v>
      </c>
      <c r="F414" s="403">
        <v>2.4</v>
      </c>
      <c r="G414" s="63">
        <f>VLOOKUP(D414,upahbahan,3,FALSE)</f>
        <v>0</v>
      </c>
      <c r="H414" s="397">
        <f>F414*G414</f>
        <v>0</v>
      </c>
    </row>
    <row r="415" spans="3:9" ht="19.8" customHeight="1">
      <c r="C415" s="394">
        <v>2</v>
      </c>
      <c r="D415" s="391" t="s">
        <v>268</v>
      </c>
      <c r="E415" s="395" t="s">
        <v>65</v>
      </c>
      <c r="F415" s="403">
        <v>6</v>
      </c>
      <c r="G415" s="63">
        <f>VLOOKUP(D415,upahbahan,3,FALSE)</f>
        <v>216000</v>
      </c>
      <c r="H415" s="397">
        <f>F415*G415</f>
        <v>1296000</v>
      </c>
    </row>
    <row r="416" spans="3:9" ht="19.8" customHeight="1">
      <c r="C416" s="398" t="s">
        <v>1214</v>
      </c>
      <c r="D416" s="399"/>
      <c r="E416" s="399"/>
      <c r="F416" s="399"/>
      <c r="G416" s="404"/>
      <c r="H416" s="397">
        <f>SUM(H414:H415)</f>
        <v>1296000</v>
      </c>
    </row>
    <row r="417" spans="3:9" ht="19.8" customHeight="1">
      <c r="C417" s="405" t="s">
        <v>1215</v>
      </c>
      <c r="D417" s="391" t="s">
        <v>1216</v>
      </c>
      <c r="E417" s="392"/>
      <c r="F417" s="392"/>
      <c r="G417" s="392"/>
      <c r="H417" s="393"/>
    </row>
    <row r="418" spans="3:9" ht="19.8" customHeight="1">
      <c r="C418" s="398" t="s">
        <v>1217</v>
      </c>
      <c r="D418" s="399"/>
      <c r="E418" s="399"/>
      <c r="F418" s="399"/>
      <c r="G418" s="404"/>
      <c r="H418" s="406">
        <v>0</v>
      </c>
    </row>
    <row r="419" spans="3:9" ht="19.8" customHeight="1">
      <c r="C419" s="407" t="s">
        <v>1218</v>
      </c>
      <c r="D419" s="408" t="s">
        <v>1219</v>
      </c>
      <c r="E419" s="409"/>
      <c r="F419" s="409"/>
      <c r="G419" s="410"/>
      <c r="H419" s="397">
        <f>H418+H416+H412</f>
        <v>1323822</v>
      </c>
      <c r="I419" s="411"/>
    </row>
    <row r="420" spans="3:9" ht="19.8" customHeight="1">
      <c r="C420" s="75" t="s">
        <v>1220</v>
      </c>
      <c r="D420" s="76" t="s">
        <v>1321</v>
      </c>
      <c r="E420" s="77"/>
      <c r="F420" s="78"/>
      <c r="G420" s="80">
        <f>$M$8</f>
        <v>0.1</v>
      </c>
      <c r="H420" s="64">
        <f>H419*G420</f>
        <v>132382.20000000001</v>
      </c>
      <c r="I420" s="411"/>
    </row>
    <row r="421" spans="3:9" ht="19.8" customHeight="1" thickBot="1">
      <c r="C421" s="412" t="s">
        <v>1221</v>
      </c>
      <c r="D421" s="413" t="s">
        <v>1222</v>
      </c>
      <c r="E421" s="414"/>
      <c r="F421" s="414"/>
      <c r="G421" s="415"/>
      <c r="H421" s="416">
        <f>SUM(H419:H420)</f>
        <v>1456204.2</v>
      </c>
      <c r="I421" s="411"/>
    </row>
    <row r="422" spans="3:9" ht="14.4" thickTop="1">
      <c r="C422" s="417"/>
      <c r="D422" s="418"/>
      <c r="E422" s="418"/>
      <c r="F422" s="418"/>
      <c r="G422" s="418"/>
      <c r="H422" s="419"/>
    </row>
    <row r="423" spans="3:9" ht="14.4" thickBot="1">
      <c r="C423" s="381" t="s">
        <v>2632</v>
      </c>
      <c r="D423" s="385" t="s">
        <v>2634</v>
      </c>
      <c r="E423" s="430"/>
      <c r="F423" s="430"/>
      <c r="G423" s="430"/>
      <c r="H423" s="430"/>
      <c r="I423" s="386">
        <f>ROUNDDOWN(H439,-2)</f>
        <v>1456200</v>
      </c>
    </row>
    <row r="424" spans="3:9" ht="28.2" thickTop="1">
      <c r="C424" s="387" t="s">
        <v>1195</v>
      </c>
      <c r="D424" s="388" t="s">
        <v>1196</v>
      </c>
      <c r="E424" s="388" t="s">
        <v>1197</v>
      </c>
      <c r="F424" s="388" t="s">
        <v>1198</v>
      </c>
      <c r="G424" s="388" t="s">
        <v>1199</v>
      </c>
      <c r="H424" s="389" t="s">
        <v>1200</v>
      </c>
    </row>
    <row r="425" spans="3:9" ht="21" customHeight="1">
      <c r="C425" s="390" t="s">
        <v>1201</v>
      </c>
      <c r="D425" s="391" t="s">
        <v>1202</v>
      </c>
      <c r="E425" s="392"/>
      <c r="F425" s="392"/>
      <c r="G425" s="392"/>
      <c r="H425" s="393"/>
    </row>
    <row r="426" spans="3:9" ht="21" customHeight="1">
      <c r="C426" s="394">
        <v>1</v>
      </c>
      <c r="D426" s="391" t="s">
        <v>5</v>
      </c>
      <c r="E426" s="395" t="s">
        <v>6</v>
      </c>
      <c r="F426" s="396">
        <v>8.4000000000000005E-2</v>
      </c>
      <c r="G426" s="63">
        <f>VLOOKUP(D426,upahbahan,3,FALSE)</f>
        <v>100000</v>
      </c>
      <c r="H426" s="397">
        <f>F426*G426</f>
        <v>8400</v>
      </c>
    </row>
    <row r="427" spans="3:9" ht="21" customHeight="1">
      <c r="C427" s="394">
        <v>2</v>
      </c>
      <c r="D427" s="391" t="s">
        <v>8</v>
      </c>
      <c r="E427" s="395" t="s">
        <v>6</v>
      </c>
      <c r="F427" s="396">
        <v>0.125</v>
      </c>
      <c r="G427" s="63">
        <f>VLOOKUP(D427,upahbahan,3,FALSE)</f>
        <v>135000</v>
      </c>
      <c r="H427" s="397">
        <f>F427*G427</f>
        <v>16875</v>
      </c>
    </row>
    <row r="428" spans="3:9" ht="21" customHeight="1">
      <c r="C428" s="394">
        <v>3</v>
      </c>
      <c r="D428" s="391" t="s">
        <v>18</v>
      </c>
      <c r="E428" s="395" t="s">
        <v>6</v>
      </c>
      <c r="F428" s="396">
        <v>1.2500000000000001E-2</v>
      </c>
      <c r="G428" s="63">
        <f>VLOOKUP(D428,upahbahan,3,FALSE)</f>
        <v>150000</v>
      </c>
      <c r="H428" s="397">
        <f>F428*G428</f>
        <v>1875</v>
      </c>
    </row>
    <row r="429" spans="3:9" ht="21" customHeight="1">
      <c r="C429" s="394">
        <v>4</v>
      </c>
      <c r="D429" s="391" t="s">
        <v>19</v>
      </c>
      <c r="E429" s="395" t="s">
        <v>6</v>
      </c>
      <c r="F429" s="396">
        <v>4.1999999999999997E-3</v>
      </c>
      <c r="G429" s="63">
        <f>VLOOKUP(D429,upahbahan,3,FALSE)</f>
        <v>160000</v>
      </c>
      <c r="H429" s="397">
        <f>F429*G429</f>
        <v>672</v>
      </c>
    </row>
    <row r="430" spans="3:9" ht="21" customHeight="1">
      <c r="C430" s="398" t="s">
        <v>1208</v>
      </c>
      <c r="D430" s="399"/>
      <c r="E430" s="399"/>
      <c r="F430" s="400"/>
      <c r="G430" s="401"/>
      <c r="H430" s="397">
        <f>SUM(H426:H429)</f>
        <v>27822</v>
      </c>
      <c r="I430" s="402"/>
    </row>
    <row r="431" spans="3:9" ht="21" customHeight="1">
      <c r="C431" s="390" t="s">
        <v>1209</v>
      </c>
      <c r="D431" s="391" t="s">
        <v>1210</v>
      </c>
      <c r="E431" s="392"/>
      <c r="F431" s="392"/>
      <c r="G431" s="392"/>
      <c r="H431" s="393"/>
    </row>
    <row r="432" spans="3:9" ht="21" customHeight="1">
      <c r="C432" s="431">
        <v>1</v>
      </c>
      <c r="D432" s="424" t="s">
        <v>352</v>
      </c>
      <c r="E432" s="425" t="s">
        <v>129</v>
      </c>
      <c r="F432" s="432">
        <v>2.1</v>
      </c>
      <c r="G432" s="63">
        <f>VLOOKUP(D432,upahbahan,3,FALSE)</f>
        <v>0</v>
      </c>
      <c r="H432" s="397">
        <f>F432*G432</f>
        <v>0</v>
      </c>
      <c r="I432" s="433"/>
    </row>
    <row r="433" spans="3:9" ht="21" customHeight="1">
      <c r="C433" s="394">
        <v>2</v>
      </c>
      <c r="D433" s="391" t="s">
        <v>268</v>
      </c>
      <c r="E433" s="395" t="s">
        <v>65</v>
      </c>
      <c r="F433" s="421">
        <v>6</v>
      </c>
      <c r="G433" s="63">
        <f>VLOOKUP(D433,upahbahan,3,FALSE)</f>
        <v>216000</v>
      </c>
      <c r="H433" s="397">
        <f>F433*G433</f>
        <v>1296000</v>
      </c>
    </row>
    <row r="434" spans="3:9" ht="21" customHeight="1">
      <c r="C434" s="398" t="s">
        <v>1214</v>
      </c>
      <c r="D434" s="399"/>
      <c r="E434" s="399"/>
      <c r="F434" s="399"/>
      <c r="G434" s="404"/>
      <c r="H434" s="397">
        <f>SUM(H432:H433)</f>
        <v>1296000</v>
      </c>
    </row>
    <row r="435" spans="3:9" ht="21" customHeight="1">
      <c r="C435" s="405" t="s">
        <v>1215</v>
      </c>
      <c r="D435" s="391" t="s">
        <v>1216</v>
      </c>
      <c r="E435" s="392"/>
      <c r="F435" s="392"/>
      <c r="G435" s="392"/>
      <c r="H435" s="393"/>
    </row>
    <row r="436" spans="3:9" ht="21" customHeight="1">
      <c r="C436" s="398" t="s">
        <v>1217</v>
      </c>
      <c r="D436" s="399"/>
      <c r="E436" s="399"/>
      <c r="F436" s="399"/>
      <c r="G436" s="404"/>
      <c r="H436" s="406">
        <v>0</v>
      </c>
    </row>
    <row r="437" spans="3:9" ht="21" customHeight="1">
      <c r="C437" s="407" t="s">
        <v>1218</v>
      </c>
      <c r="D437" s="408" t="s">
        <v>1219</v>
      </c>
      <c r="E437" s="409"/>
      <c r="F437" s="409"/>
      <c r="G437" s="410"/>
      <c r="H437" s="397">
        <f>H436+H434+H430</f>
        <v>1323822</v>
      </c>
      <c r="I437" s="411"/>
    </row>
    <row r="438" spans="3:9" ht="21" customHeight="1">
      <c r="C438" s="75" t="s">
        <v>1220</v>
      </c>
      <c r="D438" s="76" t="s">
        <v>1321</v>
      </c>
      <c r="E438" s="77"/>
      <c r="F438" s="78"/>
      <c r="G438" s="80">
        <f>$M$8</f>
        <v>0.1</v>
      </c>
      <c r="H438" s="64">
        <f>H437*G438</f>
        <v>132382.20000000001</v>
      </c>
      <c r="I438" s="411"/>
    </row>
    <row r="439" spans="3:9" ht="21" customHeight="1" thickBot="1">
      <c r="C439" s="412" t="s">
        <v>1221</v>
      </c>
      <c r="D439" s="413" t="s">
        <v>1222</v>
      </c>
      <c r="E439" s="414"/>
      <c r="F439" s="414"/>
      <c r="G439" s="415"/>
      <c r="H439" s="416">
        <f>SUM(H437:H438)</f>
        <v>1456204.2</v>
      </c>
      <c r="I439" s="411"/>
    </row>
    <row r="440" spans="3:9" ht="14.4" thickTop="1">
      <c r="C440" s="417"/>
      <c r="D440" s="418"/>
      <c r="E440" s="418"/>
      <c r="F440" s="418"/>
      <c r="G440" s="418"/>
      <c r="H440" s="419"/>
    </row>
    <row r="441" spans="3:9" ht="14.4" thickBot="1">
      <c r="C441" s="381" t="s">
        <v>2635</v>
      </c>
      <c r="D441" s="385" t="s">
        <v>2636</v>
      </c>
      <c r="E441" s="420"/>
      <c r="F441" s="420"/>
      <c r="G441" s="420"/>
      <c r="H441" s="420"/>
      <c r="I441" s="386">
        <f>ROUNDDOWN(H457,-2)</f>
        <v>1456200</v>
      </c>
    </row>
    <row r="442" spans="3:9" ht="28.2" thickTop="1">
      <c r="C442" s="387" t="s">
        <v>1195</v>
      </c>
      <c r="D442" s="388" t="s">
        <v>1196</v>
      </c>
      <c r="E442" s="388" t="s">
        <v>1197</v>
      </c>
      <c r="F442" s="388" t="s">
        <v>1198</v>
      </c>
      <c r="G442" s="388" t="s">
        <v>1199</v>
      </c>
      <c r="H442" s="389" t="s">
        <v>1200</v>
      </c>
    </row>
    <row r="443" spans="3:9" ht="19.8" customHeight="1">
      <c r="C443" s="390" t="s">
        <v>1201</v>
      </c>
      <c r="D443" s="391" t="s">
        <v>1202</v>
      </c>
      <c r="E443" s="392"/>
      <c r="F443" s="392"/>
      <c r="G443" s="392"/>
      <c r="H443" s="393"/>
    </row>
    <row r="444" spans="3:9" ht="19.8" customHeight="1">
      <c r="C444" s="394">
        <v>1</v>
      </c>
      <c r="D444" s="391" t="s">
        <v>5</v>
      </c>
      <c r="E444" s="395" t="s">
        <v>6</v>
      </c>
      <c r="F444" s="396">
        <v>8.4000000000000005E-2</v>
      </c>
      <c r="G444" s="63">
        <f>VLOOKUP(D444,upahbahan,3,FALSE)</f>
        <v>100000</v>
      </c>
      <c r="H444" s="397">
        <f>F444*G444</f>
        <v>8400</v>
      </c>
    </row>
    <row r="445" spans="3:9" ht="19.8" customHeight="1">
      <c r="C445" s="394">
        <v>2</v>
      </c>
      <c r="D445" s="391" t="s">
        <v>8</v>
      </c>
      <c r="E445" s="395" t="s">
        <v>6</v>
      </c>
      <c r="F445" s="396">
        <v>0.125</v>
      </c>
      <c r="G445" s="63">
        <f>VLOOKUP(D445,upahbahan,3,FALSE)</f>
        <v>135000</v>
      </c>
      <c r="H445" s="397">
        <f>F445*G445</f>
        <v>16875</v>
      </c>
    </row>
    <row r="446" spans="3:9" ht="19.8" customHeight="1">
      <c r="C446" s="394">
        <v>3</v>
      </c>
      <c r="D446" s="391" t="s">
        <v>18</v>
      </c>
      <c r="E446" s="395" t="s">
        <v>6</v>
      </c>
      <c r="F446" s="396">
        <v>1.2500000000000001E-2</v>
      </c>
      <c r="G446" s="63">
        <f>VLOOKUP(D446,upahbahan,3,FALSE)</f>
        <v>150000</v>
      </c>
      <c r="H446" s="397">
        <f>F446*G446</f>
        <v>1875</v>
      </c>
    </row>
    <row r="447" spans="3:9" ht="19.8" customHeight="1">
      <c r="C447" s="394">
        <v>4</v>
      </c>
      <c r="D447" s="391" t="s">
        <v>19</v>
      </c>
      <c r="E447" s="395" t="s">
        <v>6</v>
      </c>
      <c r="F447" s="396">
        <v>4.1999999999999997E-3</v>
      </c>
      <c r="G447" s="63">
        <f>VLOOKUP(D447,upahbahan,3,FALSE)</f>
        <v>160000</v>
      </c>
      <c r="H447" s="397">
        <f>F447*G447</f>
        <v>672</v>
      </c>
    </row>
    <row r="448" spans="3:9" ht="19.8" customHeight="1">
      <c r="C448" s="398" t="s">
        <v>1208</v>
      </c>
      <c r="D448" s="399"/>
      <c r="E448" s="399"/>
      <c r="F448" s="400"/>
      <c r="G448" s="401"/>
      <c r="H448" s="397">
        <f>SUM(H444:H447)</f>
        <v>27822</v>
      </c>
      <c r="I448" s="402"/>
    </row>
    <row r="449" spans="3:9" ht="19.8" customHeight="1">
      <c r="C449" s="390" t="s">
        <v>1209</v>
      </c>
      <c r="D449" s="391" t="s">
        <v>1210</v>
      </c>
      <c r="E449" s="392"/>
      <c r="F449" s="392"/>
      <c r="G449" s="392"/>
      <c r="H449" s="393"/>
    </row>
    <row r="450" spans="3:9" ht="19.8" customHeight="1">
      <c r="C450" s="394">
        <v>1</v>
      </c>
      <c r="D450" s="391" t="s">
        <v>353</v>
      </c>
      <c r="E450" s="425" t="s">
        <v>129</v>
      </c>
      <c r="F450" s="421">
        <v>2</v>
      </c>
      <c r="G450" s="63">
        <f>VLOOKUP(D450,upahbahan,3,FALSE)</f>
        <v>0</v>
      </c>
      <c r="H450" s="397">
        <f>F450*G450</f>
        <v>0</v>
      </c>
    </row>
    <row r="451" spans="3:9" ht="19.8" customHeight="1">
      <c r="C451" s="394">
        <v>2</v>
      </c>
      <c r="D451" s="391" t="s">
        <v>268</v>
      </c>
      <c r="E451" s="395" t="s">
        <v>65</v>
      </c>
      <c r="F451" s="421">
        <v>6</v>
      </c>
      <c r="G451" s="63">
        <f>VLOOKUP(D451,upahbahan,3,FALSE)</f>
        <v>216000</v>
      </c>
      <c r="H451" s="397">
        <f>F451*G451</f>
        <v>1296000</v>
      </c>
    </row>
    <row r="452" spans="3:9" ht="19.8" customHeight="1">
      <c r="C452" s="398" t="s">
        <v>1214</v>
      </c>
      <c r="D452" s="399"/>
      <c r="E452" s="399"/>
      <c r="F452" s="399"/>
      <c r="G452" s="404"/>
      <c r="H452" s="397">
        <f>SUM(H450:H451)</f>
        <v>1296000</v>
      </c>
    </row>
    <row r="453" spans="3:9" ht="19.8" customHeight="1">
      <c r="C453" s="390" t="s">
        <v>1215</v>
      </c>
      <c r="D453" s="391" t="s">
        <v>1216</v>
      </c>
      <c r="E453" s="392"/>
      <c r="F453" s="392"/>
      <c r="G453" s="392"/>
      <c r="H453" s="393"/>
    </row>
    <row r="454" spans="3:9" ht="19.8" customHeight="1">
      <c r="C454" s="398" t="s">
        <v>1217</v>
      </c>
      <c r="D454" s="399"/>
      <c r="E454" s="399"/>
      <c r="F454" s="399"/>
      <c r="G454" s="404"/>
      <c r="H454" s="406">
        <v>0</v>
      </c>
    </row>
    <row r="455" spans="3:9" ht="19.8" customHeight="1">
      <c r="C455" s="407" t="s">
        <v>1218</v>
      </c>
      <c r="D455" s="408" t="s">
        <v>1219</v>
      </c>
      <c r="E455" s="409"/>
      <c r="F455" s="409"/>
      <c r="G455" s="410"/>
      <c r="H455" s="397">
        <f>H454+H452+H448</f>
        <v>1323822</v>
      </c>
      <c r="I455" s="411"/>
    </row>
    <row r="456" spans="3:9" ht="19.8" customHeight="1">
      <c r="C456" s="75" t="s">
        <v>1220</v>
      </c>
      <c r="D456" s="76" t="s">
        <v>1321</v>
      </c>
      <c r="E456" s="77"/>
      <c r="F456" s="78"/>
      <c r="G456" s="80">
        <f>$M$8</f>
        <v>0.1</v>
      </c>
      <c r="H456" s="64">
        <f>H455*G456</f>
        <v>132382.20000000001</v>
      </c>
      <c r="I456" s="411"/>
    </row>
    <row r="457" spans="3:9" ht="19.8" customHeight="1" thickBot="1">
      <c r="C457" s="412" t="s">
        <v>1221</v>
      </c>
      <c r="D457" s="413" t="s">
        <v>1222</v>
      </c>
      <c r="E457" s="414"/>
      <c r="F457" s="414"/>
      <c r="G457" s="415"/>
      <c r="H457" s="416">
        <f>SUM(H455:H456)</f>
        <v>1456204.2</v>
      </c>
      <c r="I457" s="411"/>
    </row>
    <row r="458" spans="3:9" ht="14.4" thickTop="1">
      <c r="C458" s="426"/>
      <c r="D458" s="427"/>
      <c r="E458" s="427"/>
      <c r="F458" s="427"/>
      <c r="G458" s="427"/>
      <c r="H458" s="428"/>
      <c r="I458" s="411"/>
    </row>
    <row r="459" spans="3:9" ht="14.4" thickBot="1">
      <c r="C459" s="381" t="s">
        <v>2637</v>
      </c>
      <c r="D459" s="385" t="s">
        <v>2638</v>
      </c>
      <c r="E459" s="420"/>
      <c r="F459" s="420"/>
      <c r="G459" s="420"/>
      <c r="H459" s="420"/>
      <c r="I459" s="386">
        <f>ROUNDDOWN(H475,-2)</f>
        <v>1456200</v>
      </c>
    </row>
    <row r="460" spans="3:9" ht="28.2" thickTop="1">
      <c r="C460" s="387" t="s">
        <v>1195</v>
      </c>
      <c r="D460" s="388" t="s">
        <v>1196</v>
      </c>
      <c r="E460" s="388" t="s">
        <v>1197</v>
      </c>
      <c r="F460" s="388" t="s">
        <v>1198</v>
      </c>
      <c r="G460" s="388" t="s">
        <v>1199</v>
      </c>
      <c r="H460" s="389" t="s">
        <v>1200</v>
      </c>
    </row>
    <row r="461" spans="3:9" ht="19.2" customHeight="1">
      <c r="C461" s="390" t="s">
        <v>1201</v>
      </c>
      <c r="D461" s="391" t="s">
        <v>1202</v>
      </c>
      <c r="E461" s="392"/>
      <c r="F461" s="392"/>
      <c r="G461" s="392"/>
      <c r="H461" s="393"/>
    </row>
    <row r="462" spans="3:9" ht="19.2" customHeight="1">
      <c r="C462" s="394">
        <v>1</v>
      </c>
      <c r="D462" s="391" t="s">
        <v>5</v>
      </c>
      <c r="E462" s="395" t="s">
        <v>6</v>
      </c>
      <c r="F462" s="396">
        <v>8.4000000000000005E-2</v>
      </c>
      <c r="G462" s="63">
        <f>VLOOKUP(D462,upahbahan,3,FALSE)</f>
        <v>100000</v>
      </c>
      <c r="H462" s="397">
        <f>F462*G462</f>
        <v>8400</v>
      </c>
    </row>
    <row r="463" spans="3:9" ht="19.2" customHeight="1">
      <c r="C463" s="394">
        <v>2</v>
      </c>
      <c r="D463" s="391" t="s">
        <v>8</v>
      </c>
      <c r="E463" s="395" t="s">
        <v>6</v>
      </c>
      <c r="F463" s="396">
        <v>0.125</v>
      </c>
      <c r="G463" s="63">
        <f>VLOOKUP(D463,upahbahan,3,FALSE)</f>
        <v>135000</v>
      </c>
      <c r="H463" s="397">
        <f>F463*G463</f>
        <v>16875</v>
      </c>
    </row>
    <row r="464" spans="3:9" ht="19.2" customHeight="1">
      <c r="C464" s="394">
        <v>3</v>
      </c>
      <c r="D464" s="391" t="s">
        <v>18</v>
      </c>
      <c r="E464" s="395" t="s">
        <v>6</v>
      </c>
      <c r="F464" s="396">
        <v>1.2500000000000001E-2</v>
      </c>
      <c r="G464" s="63">
        <f>VLOOKUP(D464,upahbahan,3,FALSE)</f>
        <v>150000</v>
      </c>
      <c r="H464" s="397">
        <f>F464*G464</f>
        <v>1875</v>
      </c>
    </row>
    <row r="465" spans="3:9" ht="19.2" customHeight="1">
      <c r="C465" s="394">
        <v>4</v>
      </c>
      <c r="D465" s="391" t="s">
        <v>19</v>
      </c>
      <c r="E465" s="395" t="s">
        <v>6</v>
      </c>
      <c r="F465" s="396">
        <v>4.1999999999999997E-3</v>
      </c>
      <c r="G465" s="63">
        <f>VLOOKUP(D465,upahbahan,3,FALSE)</f>
        <v>160000</v>
      </c>
      <c r="H465" s="397">
        <f>F465*G465</f>
        <v>672</v>
      </c>
    </row>
    <row r="466" spans="3:9" ht="19.2" customHeight="1">
      <c r="C466" s="398" t="s">
        <v>1208</v>
      </c>
      <c r="D466" s="399"/>
      <c r="E466" s="399"/>
      <c r="F466" s="400"/>
      <c r="G466" s="401"/>
      <c r="H466" s="397">
        <f>SUM(H462:H465)</f>
        <v>27822</v>
      </c>
      <c r="I466" s="402"/>
    </row>
    <row r="467" spans="3:9" ht="19.2" customHeight="1">
      <c r="C467" s="390" t="s">
        <v>1209</v>
      </c>
      <c r="D467" s="391" t="s">
        <v>1210</v>
      </c>
      <c r="E467" s="392"/>
      <c r="F467" s="392"/>
      <c r="G467" s="392"/>
      <c r="H467" s="393"/>
    </row>
    <row r="468" spans="3:9" ht="19.2" customHeight="1">
      <c r="C468" s="394">
        <v>1</v>
      </c>
      <c r="D468" s="391" t="s">
        <v>347</v>
      </c>
      <c r="E468" s="425" t="s">
        <v>129</v>
      </c>
      <c r="F468" s="421">
        <v>1.1000000000000001</v>
      </c>
      <c r="G468" s="63">
        <f>VLOOKUP(D468,upahbahan,3,FALSE)</f>
        <v>0</v>
      </c>
      <c r="H468" s="397">
        <f>F468*G468</f>
        <v>0</v>
      </c>
    </row>
    <row r="469" spans="3:9" ht="19.2" customHeight="1">
      <c r="C469" s="394">
        <v>2</v>
      </c>
      <c r="D469" s="391" t="s">
        <v>268</v>
      </c>
      <c r="E469" s="395" t="s">
        <v>65</v>
      </c>
      <c r="F469" s="421">
        <v>6</v>
      </c>
      <c r="G469" s="63">
        <f>VLOOKUP(D469,upahbahan,3,FALSE)</f>
        <v>216000</v>
      </c>
      <c r="H469" s="397">
        <f>F469*G469</f>
        <v>1296000</v>
      </c>
    </row>
    <row r="470" spans="3:9" ht="19.2" customHeight="1">
      <c r="C470" s="398" t="s">
        <v>1214</v>
      </c>
      <c r="D470" s="399"/>
      <c r="E470" s="399"/>
      <c r="F470" s="399"/>
      <c r="G470" s="404"/>
      <c r="H470" s="397">
        <f>SUM(H468:H469)</f>
        <v>1296000</v>
      </c>
    </row>
    <row r="471" spans="3:9" ht="19.2" customHeight="1">
      <c r="C471" s="405" t="s">
        <v>1215</v>
      </c>
      <c r="D471" s="391" t="s">
        <v>1216</v>
      </c>
      <c r="E471" s="392"/>
      <c r="F471" s="392"/>
      <c r="G471" s="392"/>
      <c r="H471" s="393"/>
    </row>
    <row r="472" spans="3:9" ht="19.2" customHeight="1">
      <c r="C472" s="398" t="s">
        <v>1217</v>
      </c>
      <c r="D472" s="399"/>
      <c r="E472" s="399"/>
      <c r="F472" s="399"/>
      <c r="G472" s="404"/>
      <c r="H472" s="406">
        <v>0</v>
      </c>
    </row>
    <row r="473" spans="3:9" ht="19.2" customHeight="1">
      <c r="C473" s="407" t="s">
        <v>1218</v>
      </c>
      <c r="D473" s="408" t="s">
        <v>1219</v>
      </c>
      <c r="E473" s="409"/>
      <c r="F473" s="409"/>
      <c r="G473" s="410"/>
      <c r="H473" s="397">
        <f>H472+H470+H466</f>
        <v>1323822</v>
      </c>
      <c r="I473" s="411"/>
    </row>
    <row r="474" spans="3:9" ht="19.2" customHeight="1">
      <c r="C474" s="75" t="s">
        <v>1220</v>
      </c>
      <c r="D474" s="76" t="s">
        <v>1321</v>
      </c>
      <c r="E474" s="77"/>
      <c r="F474" s="78"/>
      <c r="G474" s="80">
        <f>$M$8</f>
        <v>0.1</v>
      </c>
      <c r="H474" s="64">
        <f>H473*G474</f>
        <v>132382.20000000001</v>
      </c>
      <c r="I474" s="411"/>
    </row>
    <row r="475" spans="3:9" ht="19.2" customHeight="1" thickBot="1">
      <c r="C475" s="412" t="s">
        <v>1221</v>
      </c>
      <c r="D475" s="413" t="s">
        <v>1222</v>
      </c>
      <c r="E475" s="414"/>
      <c r="F475" s="414"/>
      <c r="G475" s="415"/>
      <c r="H475" s="416">
        <f>SUM(H473:H474)</f>
        <v>1456204.2</v>
      </c>
      <c r="I475" s="411"/>
    </row>
    <row r="476" spans="3:9" ht="14.4" thickTop="1">
      <c r="C476" s="426"/>
      <c r="D476" s="427"/>
      <c r="E476" s="427"/>
      <c r="F476" s="427"/>
      <c r="G476" s="427"/>
      <c r="H476" s="428"/>
      <c r="I476" s="411"/>
    </row>
    <row r="477" spans="3:9" ht="14.4" thickBot="1">
      <c r="C477" s="381" t="s">
        <v>2639</v>
      </c>
      <c r="D477" s="385" t="s">
        <v>2640</v>
      </c>
      <c r="E477" s="420"/>
      <c r="F477" s="420"/>
      <c r="G477" s="420"/>
      <c r="H477" s="420"/>
      <c r="I477" s="386">
        <f>ROUNDDOWN(H493,-2)</f>
        <v>1456200</v>
      </c>
    </row>
    <row r="478" spans="3:9" ht="28.2" thickTop="1">
      <c r="C478" s="387" t="s">
        <v>1195</v>
      </c>
      <c r="D478" s="388" t="s">
        <v>1196</v>
      </c>
      <c r="E478" s="388" t="s">
        <v>1197</v>
      </c>
      <c r="F478" s="388" t="s">
        <v>1198</v>
      </c>
      <c r="G478" s="388" t="s">
        <v>1199</v>
      </c>
      <c r="H478" s="389" t="s">
        <v>1200</v>
      </c>
    </row>
    <row r="479" spans="3:9">
      <c r="C479" s="390" t="s">
        <v>1201</v>
      </c>
      <c r="D479" s="391" t="s">
        <v>1202</v>
      </c>
      <c r="E479" s="392"/>
      <c r="F479" s="392"/>
      <c r="G479" s="392"/>
      <c r="H479" s="393"/>
    </row>
    <row r="480" spans="3:9">
      <c r="C480" s="394">
        <v>1</v>
      </c>
      <c r="D480" s="391" t="s">
        <v>5</v>
      </c>
      <c r="E480" s="395" t="s">
        <v>6</v>
      </c>
      <c r="F480" s="396">
        <v>8.4000000000000005E-2</v>
      </c>
      <c r="G480" s="63">
        <f>VLOOKUP(D480,upahbahan,3,FALSE)</f>
        <v>100000</v>
      </c>
      <c r="H480" s="397">
        <f>F480*G480</f>
        <v>8400</v>
      </c>
    </row>
    <row r="481" spans="3:9">
      <c r="C481" s="394">
        <v>2</v>
      </c>
      <c r="D481" s="391" t="s">
        <v>8</v>
      </c>
      <c r="E481" s="395" t="s">
        <v>6</v>
      </c>
      <c r="F481" s="396">
        <v>0.125</v>
      </c>
      <c r="G481" s="63">
        <f>VLOOKUP(D481,upahbahan,3,FALSE)</f>
        <v>135000</v>
      </c>
      <c r="H481" s="397">
        <f>F481*G481</f>
        <v>16875</v>
      </c>
    </row>
    <row r="482" spans="3:9">
      <c r="C482" s="394">
        <v>3</v>
      </c>
      <c r="D482" s="391" t="s">
        <v>18</v>
      </c>
      <c r="E482" s="395" t="s">
        <v>6</v>
      </c>
      <c r="F482" s="396">
        <v>1.2500000000000001E-2</v>
      </c>
      <c r="G482" s="63">
        <f>VLOOKUP(D482,upahbahan,3,FALSE)</f>
        <v>150000</v>
      </c>
      <c r="H482" s="397">
        <f>F482*G482</f>
        <v>1875</v>
      </c>
    </row>
    <row r="483" spans="3:9">
      <c r="C483" s="394">
        <v>4</v>
      </c>
      <c r="D483" s="391" t="s">
        <v>19</v>
      </c>
      <c r="E483" s="395" t="s">
        <v>6</v>
      </c>
      <c r="F483" s="396">
        <v>4.1999999999999997E-3</v>
      </c>
      <c r="G483" s="63">
        <f>VLOOKUP(D483,upahbahan,3,FALSE)</f>
        <v>160000</v>
      </c>
      <c r="H483" s="397">
        <f>F483*G483</f>
        <v>672</v>
      </c>
    </row>
    <row r="484" spans="3:9">
      <c r="C484" s="398" t="s">
        <v>1208</v>
      </c>
      <c r="D484" s="399"/>
      <c r="E484" s="399"/>
      <c r="F484" s="400"/>
      <c r="G484" s="401"/>
      <c r="H484" s="397">
        <f>SUM(H480:H483)</f>
        <v>27822</v>
      </c>
      <c r="I484" s="402"/>
    </row>
    <row r="485" spans="3:9">
      <c r="C485" s="390" t="s">
        <v>1209</v>
      </c>
      <c r="D485" s="391" t="s">
        <v>1210</v>
      </c>
      <c r="E485" s="392"/>
      <c r="F485" s="392"/>
      <c r="G485" s="392"/>
      <c r="H485" s="393"/>
    </row>
    <row r="486" spans="3:9">
      <c r="C486" s="394">
        <v>1</v>
      </c>
      <c r="D486" s="391" t="s">
        <v>345</v>
      </c>
      <c r="E486" s="425" t="s">
        <v>129</v>
      </c>
      <c r="F486" s="421">
        <v>1.2</v>
      </c>
      <c r="G486" s="63">
        <f>VLOOKUP(D486,upahbahan,3,FALSE)</f>
        <v>0</v>
      </c>
      <c r="H486" s="397">
        <f>F486*G486</f>
        <v>0</v>
      </c>
    </row>
    <row r="487" spans="3:9">
      <c r="C487" s="394">
        <v>2</v>
      </c>
      <c r="D487" s="391" t="s">
        <v>268</v>
      </c>
      <c r="E487" s="395" t="s">
        <v>65</v>
      </c>
      <c r="F487" s="421">
        <v>6</v>
      </c>
      <c r="G487" s="63">
        <f>VLOOKUP(D487,upahbahan,3,FALSE)</f>
        <v>216000</v>
      </c>
      <c r="H487" s="397">
        <f>F487*G487</f>
        <v>1296000</v>
      </c>
    </row>
    <row r="488" spans="3:9">
      <c r="C488" s="398" t="s">
        <v>1214</v>
      </c>
      <c r="D488" s="399"/>
      <c r="E488" s="399"/>
      <c r="F488" s="399"/>
      <c r="G488" s="404"/>
      <c r="H488" s="397">
        <f>SUM(H486:H487)</f>
        <v>1296000</v>
      </c>
    </row>
    <row r="489" spans="3:9">
      <c r="C489" s="405" t="s">
        <v>1215</v>
      </c>
      <c r="D489" s="391" t="s">
        <v>1216</v>
      </c>
      <c r="E489" s="392"/>
      <c r="F489" s="392"/>
      <c r="G489" s="392"/>
      <c r="H489" s="393"/>
    </row>
    <row r="490" spans="3:9">
      <c r="C490" s="398" t="s">
        <v>1217</v>
      </c>
      <c r="D490" s="399"/>
      <c r="E490" s="399"/>
      <c r="F490" s="399"/>
      <c r="G490" s="404"/>
      <c r="H490" s="406">
        <v>0</v>
      </c>
    </row>
    <row r="491" spans="3:9">
      <c r="C491" s="407" t="s">
        <v>1218</v>
      </c>
      <c r="D491" s="408" t="s">
        <v>1219</v>
      </c>
      <c r="E491" s="409"/>
      <c r="F491" s="409"/>
      <c r="G491" s="410"/>
      <c r="H491" s="397">
        <f>H490+H488+H484</f>
        <v>1323822</v>
      </c>
      <c r="I491" s="411"/>
    </row>
    <row r="492" spans="3:9">
      <c r="C492" s="75" t="s">
        <v>1220</v>
      </c>
      <c r="D492" s="76" t="s">
        <v>1321</v>
      </c>
      <c r="E492" s="77"/>
      <c r="F492" s="78"/>
      <c r="G492" s="80">
        <f>$M$8</f>
        <v>0.1</v>
      </c>
      <c r="H492" s="64">
        <f>H491*G492</f>
        <v>132382.20000000001</v>
      </c>
      <c r="I492" s="411"/>
    </row>
    <row r="493" spans="3:9" ht="14.4" thickBot="1">
      <c r="C493" s="412" t="s">
        <v>1221</v>
      </c>
      <c r="D493" s="413" t="s">
        <v>1222</v>
      </c>
      <c r="E493" s="414"/>
      <c r="F493" s="414"/>
      <c r="G493" s="415"/>
      <c r="H493" s="416">
        <f>SUM(H491:H492)</f>
        <v>1456204.2</v>
      </c>
      <c r="I493" s="411"/>
    </row>
    <row r="494" spans="3:9" ht="14.4" thickTop="1">
      <c r="C494" s="426"/>
      <c r="D494" s="427"/>
      <c r="E494" s="427"/>
      <c r="F494" s="427"/>
      <c r="G494" s="427"/>
      <c r="H494" s="428"/>
      <c r="I494" s="411"/>
    </row>
    <row r="495" spans="3:9" ht="14.4" thickBot="1">
      <c r="C495" s="381" t="s">
        <v>2641</v>
      </c>
      <c r="D495" s="385" t="s">
        <v>2642</v>
      </c>
      <c r="E495" s="420"/>
      <c r="F495" s="420"/>
      <c r="G495" s="420"/>
      <c r="H495" s="420"/>
      <c r="I495" s="386">
        <f>ROUNDDOWN(H511,-2)</f>
        <v>1456200</v>
      </c>
    </row>
    <row r="496" spans="3:9" ht="28.2" thickTop="1">
      <c r="C496" s="387" t="s">
        <v>1195</v>
      </c>
      <c r="D496" s="388" t="s">
        <v>1196</v>
      </c>
      <c r="E496" s="388" t="s">
        <v>1197</v>
      </c>
      <c r="F496" s="388" t="s">
        <v>1198</v>
      </c>
      <c r="G496" s="388" t="s">
        <v>1199</v>
      </c>
      <c r="H496" s="389" t="s">
        <v>1200</v>
      </c>
    </row>
    <row r="497" spans="3:9" ht="19.8" customHeight="1">
      <c r="C497" s="390" t="s">
        <v>1201</v>
      </c>
      <c r="D497" s="391" t="s">
        <v>1202</v>
      </c>
      <c r="E497" s="392"/>
      <c r="F497" s="392"/>
      <c r="G497" s="392"/>
      <c r="H497" s="393"/>
    </row>
    <row r="498" spans="3:9" ht="19.8" customHeight="1">
      <c r="C498" s="394">
        <v>1</v>
      </c>
      <c r="D498" s="391" t="s">
        <v>5</v>
      </c>
      <c r="E498" s="395" t="s">
        <v>6</v>
      </c>
      <c r="F498" s="396">
        <v>8.4000000000000005E-2</v>
      </c>
      <c r="G498" s="63">
        <f>VLOOKUP(D498,upahbahan,3,FALSE)</f>
        <v>100000</v>
      </c>
      <c r="H498" s="397">
        <f>F498*G498</f>
        <v>8400</v>
      </c>
    </row>
    <row r="499" spans="3:9" ht="19.8" customHeight="1">
      <c r="C499" s="394">
        <v>2</v>
      </c>
      <c r="D499" s="391" t="s">
        <v>8</v>
      </c>
      <c r="E499" s="395" t="s">
        <v>6</v>
      </c>
      <c r="F499" s="396">
        <v>0.125</v>
      </c>
      <c r="G499" s="63">
        <f>VLOOKUP(D499,upahbahan,3,FALSE)</f>
        <v>135000</v>
      </c>
      <c r="H499" s="397">
        <f>F499*G499</f>
        <v>16875</v>
      </c>
    </row>
    <row r="500" spans="3:9" ht="19.8" customHeight="1">
      <c r="C500" s="394">
        <v>3</v>
      </c>
      <c r="D500" s="391" t="s">
        <v>18</v>
      </c>
      <c r="E500" s="395" t="s">
        <v>6</v>
      </c>
      <c r="F500" s="396">
        <v>1.2500000000000001E-2</v>
      </c>
      <c r="G500" s="63">
        <f>VLOOKUP(D500,upahbahan,3,FALSE)</f>
        <v>150000</v>
      </c>
      <c r="H500" s="397">
        <f>F500*G500</f>
        <v>1875</v>
      </c>
    </row>
    <row r="501" spans="3:9" ht="19.8" customHeight="1">
      <c r="C501" s="394">
        <v>4</v>
      </c>
      <c r="D501" s="391" t="s">
        <v>19</v>
      </c>
      <c r="E501" s="395" t="s">
        <v>6</v>
      </c>
      <c r="F501" s="396">
        <v>4.1999999999999997E-3</v>
      </c>
      <c r="G501" s="63">
        <f>VLOOKUP(D501,upahbahan,3,FALSE)</f>
        <v>160000</v>
      </c>
      <c r="H501" s="397">
        <f>F501*G501</f>
        <v>672</v>
      </c>
    </row>
    <row r="502" spans="3:9" ht="19.8" customHeight="1">
      <c r="C502" s="398" t="s">
        <v>1208</v>
      </c>
      <c r="D502" s="399"/>
      <c r="E502" s="399"/>
      <c r="F502" s="400"/>
      <c r="G502" s="401"/>
      <c r="H502" s="397">
        <f>SUM(H498:H501)</f>
        <v>27822</v>
      </c>
      <c r="I502" s="402"/>
    </row>
    <row r="503" spans="3:9" ht="19.8" customHeight="1">
      <c r="C503" s="390" t="s">
        <v>1209</v>
      </c>
      <c r="D503" s="391" t="s">
        <v>1210</v>
      </c>
      <c r="E503" s="392"/>
      <c r="F503" s="392"/>
      <c r="G503" s="392"/>
      <c r="H503" s="393"/>
    </row>
    <row r="504" spans="3:9" ht="19.8" customHeight="1">
      <c r="C504" s="394">
        <v>1</v>
      </c>
      <c r="D504" s="391" t="s">
        <v>346</v>
      </c>
      <c r="E504" s="425" t="s">
        <v>129</v>
      </c>
      <c r="F504" s="421">
        <v>1.2</v>
      </c>
      <c r="G504" s="63">
        <f>VLOOKUP(D504,upahbahan,3,FALSE)</f>
        <v>0</v>
      </c>
      <c r="H504" s="397">
        <f>F504*G504</f>
        <v>0</v>
      </c>
    </row>
    <row r="505" spans="3:9" ht="19.8" customHeight="1">
      <c r="C505" s="394">
        <v>2</v>
      </c>
      <c r="D505" s="391" t="s">
        <v>268</v>
      </c>
      <c r="E505" s="395" t="s">
        <v>65</v>
      </c>
      <c r="F505" s="421">
        <v>6</v>
      </c>
      <c r="G505" s="63">
        <f>VLOOKUP(D505,upahbahan,3,FALSE)</f>
        <v>216000</v>
      </c>
      <c r="H505" s="397">
        <f>F505*G505</f>
        <v>1296000</v>
      </c>
    </row>
    <row r="506" spans="3:9" ht="19.8" customHeight="1">
      <c r="C506" s="398" t="s">
        <v>1214</v>
      </c>
      <c r="D506" s="399"/>
      <c r="E506" s="399"/>
      <c r="F506" s="399"/>
      <c r="G506" s="404"/>
      <c r="H506" s="397">
        <f>SUM(H504:H505)</f>
        <v>1296000</v>
      </c>
    </row>
    <row r="507" spans="3:9" ht="19.8" customHeight="1">
      <c r="C507" s="405" t="s">
        <v>1215</v>
      </c>
      <c r="D507" s="391" t="s">
        <v>1216</v>
      </c>
      <c r="E507" s="392"/>
      <c r="F507" s="392"/>
      <c r="G507" s="392"/>
      <c r="H507" s="393"/>
    </row>
    <row r="508" spans="3:9" ht="19.8" customHeight="1">
      <c r="C508" s="398" t="s">
        <v>1217</v>
      </c>
      <c r="D508" s="399"/>
      <c r="E508" s="399"/>
      <c r="F508" s="399"/>
      <c r="G508" s="404"/>
      <c r="H508" s="406">
        <v>0</v>
      </c>
    </row>
    <row r="509" spans="3:9" ht="19.8" customHeight="1">
      <c r="C509" s="407" t="s">
        <v>1218</v>
      </c>
      <c r="D509" s="408" t="s">
        <v>1219</v>
      </c>
      <c r="E509" s="409"/>
      <c r="F509" s="409"/>
      <c r="G509" s="410"/>
      <c r="H509" s="397">
        <f>H508+H506+H502</f>
        <v>1323822</v>
      </c>
      <c r="I509" s="411"/>
    </row>
    <row r="510" spans="3:9" ht="19.8" customHeight="1">
      <c r="C510" s="75" t="s">
        <v>1220</v>
      </c>
      <c r="D510" s="76" t="s">
        <v>1321</v>
      </c>
      <c r="E510" s="77"/>
      <c r="F510" s="78"/>
      <c r="G510" s="80">
        <f>$M$8</f>
        <v>0.1</v>
      </c>
      <c r="H510" s="64">
        <f>H509*G510</f>
        <v>132382.20000000001</v>
      </c>
      <c r="I510" s="411"/>
    </row>
    <row r="511" spans="3:9" ht="19.8" customHeight="1" thickBot="1">
      <c r="C511" s="412" t="s">
        <v>1221</v>
      </c>
      <c r="D511" s="413" t="s">
        <v>1222</v>
      </c>
      <c r="E511" s="414"/>
      <c r="F511" s="414"/>
      <c r="G511" s="415"/>
      <c r="H511" s="416">
        <f>SUM(H509:H510)</f>
        <v>1456204.2</v>
      </c>
      <c r="I511" s="411"/>
    </row>
    <row r="512" spans="3:9" ht="14.4" thickTop="1">
      <c r="C512" s="426"/>
      <c r="D512" s="427"/>
      <c r="E512" s="427"/>
      <c r="F512" s="427"/>
      <c r="G512" s="427"/>
      <c r="H512" s="428"/>
      <c r="I512" s="411"/>
    </row>
    <row r="513" spans="3:12" ht="14.4" thickBot="1">
      <c r="C513" s="381" t="s">
        <v>2643</v>
      </c>
      <c r="D513" s="385" t="s">
        <v>2644</v>
      </c>
      <c r="E513" s="420"/>
      <c r="F513" s="420"/>
      <c r="G513" s="420"/>
      <c r="H513" s="420"/>
      <c r="I513" s="386">
        <f>ROUNDDOWN(H529,-2)</f>
        <v>1456200</v>
      </c>
      <c r="J513" s="59" t="s">
        <v>6451</v>
      </c>
      <c r="K513" s="59" t="s">
        <v>6522</v>
      </c>
    </row>
    <row r="514" spans="3:12" ht="28.2" thickTop="1">
      <c r="C514" s="387" t="s">
        <v>1195</v>
      </c>
      <c r="D514" s="388" t="s">
        <v>1196</v>
      </c>
      <c r="E514" s="388" t="s">
        <v>1197</v>
      </c>
      <c r="F514" s="388" t="s">
        <v>1198</v>
      </c>
      <c r="G514" s="388" t="s">
        <v>1199</v>
      </c>
      <c r="H514" s="389" t="s">
        <v>1200</v>
      </c>
    </row>
    <row r="515" spans="3:12" ht="18.600000000000001" customHeight="1">
      <c r="C515" s="390" t="s">
        <v>1201</v>
      </c>
      <c r="D515" s="391" t="s">
        <v>1202</v>
      </c>
      <c r="E515" s="392"/>
      <c r="F515" s="392"/>
      <c r="G515" s="392"/>
      <c r="H515" s="393"/>
      <c r="L515" s="59" t="s">
        <v>6523</v>
      </c>
    </row>
    <row r="516" spans="3:12" ht="18.600000000000001" customHeight="1">
      <c r="C516" s="394">
        <v>1</v>
      </c>
      <c r="D516" s="391" t="s">
        <v>5</v>
      </c>
      <c r="E516" s="395" t="s">
        <v>6</v>
      </c>
      <c r="F516" s="396">
        <v>8.4000000000000005E-2</v>
      </c>
      <c r="G516" s="63">
        <f>VLOOKUP(D516,upahbahan,3,FALSE)</f>
        <v>100000</v>
      </c>
      <c r="H516" s="397">
        <f>F516*G516</f>
        <v>8400</v>
      </c>
      <c r="L516" s="396">
        <v>0.1</v>
      </c>
    </row>
    <row r="517" spans="3:12" ht="18.600000000000001" customHeight="1">
      <c r="C517" s="394">
        <v>2</v>
      </c>
      <c r="D517" s="391" t="s">
        <v>8</v>
      </c>
      <c r="E517" s="395" t="s">
        <v>6</v>
      </c>
      <c r="F517" s="396">
        <v>0.125</v>
      </c>
      <c r="G517" s="63">
        <f>VLOOKUP(D517,upahbahan,3,FALSE)</f>
        <v>135000</v>
      </c>
      <c r="H517" s="397">
        <f>F517*G517</f>
        <v>16875</v>
      </c>
      <c r="L517" s="396">
        <v>0.15</v>
      </c>
    </row>
    <row r="518" spans="3:12" ht="18.600000000000001" customHeight="1">
      <c r="C518" s="394">
        <v>3</v>
      </c>
      <c r="D518" s="391" t="s">
        <v>18</v>
      </c>
      <c r="E518" s="395" t="s">
        <v>6</v>
      </c>
      <c r="F518" s="396">
        <v>1.2500000000000001E-2</v>
      </c>
      <c r="G518" s="63">
        <f>VLOOKUP(D518,upahbahan,3,FALSE)</f>
        <v>150000</v>
      </c>
      <c r="H518" s="397">
        <f>F518*G518</f>
        <v>1875</v>
      </c>
      <c r="L518" s="396">
        <v>1.4999999999999999E-2</v>
      </c>
    </row>
    <row r="519" spans="3:12" ht="18.600000000000001" customHeight="1">
      <c r="C519" s="394">
        <v>4</v>
      </c>
      <c r="D519" s="391" t="s">
        <v>19</v>
      </c>
      <c r="E519" s="395" t="s">
        <v>6</v>
      </c>
      <c r="F519" s="396">
        <v>4.1999999999999997E-3</v>
      </c>
      <c r="G519" s="63">
        <f>VLOOKUP(D519,upahbahan,3,FALSE)</f>
        <v>160000</v>
      </c>
      <c r="H519" s="397">
        <f>F519*G519</f>
        <v>672</v>
      </c>
      <c r="L519" s="396">
        <v>5.0000000000000001E-3</v>
      </c>
    </row>
    <row r="520" spans="3:12" ht="18.600000000000001" customHeight="1">
      <c r="C520" s="398" t="s">
        <v>1208</v>
      </c>
      <c r="D520" s="399"/>
      <c r="E520" s="399"/>
      <c r="F520" s="400"/>
      <c r="G520" s="401"/>
      <c r="H520" s="397">
        <f>SUM(H516:H519)</f>
        <v>27822</v>
      </c>
      <c r="I520" s="402"/>
    </row>
    <row r="521" spans="3:12" ht="18.600000000000001" customHeight="1">
      <c r="C521" s="390" t="s">
        <v>1209</v>
      </c>
      <c r="D521" s="391" t="s">
        <v>1210</v>
      </c>
      <c r="E521" s="392"/>
      <c r="F521" s="392"/>
      <c r="G521" s="392"/>
      <c r="H521" s="393"/>
    </row>
    <row r="522" spans="3:12" ht="18.600000000000001" customHeight="1">
      <c r="C522" s="394">
        <v>1</v>
      </c>
      <c r="D522" s="391" t="s">
        <v>350</v>
      </c>
      <c r="E522" s="425" t="s">
        <v>129</v>
      </c>
      <c r="F522" s="421">
        <v>1.1000000000000001</v>
      </c>
      <c r="G522" s="63">
        <f>VLOOKUP(D522,upahbahan,3,FALSE)</f>
        <v>0</v>
      </c>
      <c r="H522" s="397">
        <f>F522*G522</f>
        <v>0</v>
      </c>
    </row>
    <row r="523" spans="3:12" ht="18.600000000000001" customHeight="1">
      <c r="C523" s="394">
        <v>2</v>
      </c>
      <c r="D523" s="391" t="s">
        <v>268</v>
      </c>
      <c r="E523" s="395" t="s">
        <v>65</v>
      </c>
      <c r="F523" s="421">
        <v>6</v>
      </c>
      <c r="G523" s="63">
        <f>VLOOKUP(D523,upahbahan,3,FALSE)</f>
        <v>216000</v>
      </c>
      <c r="H523" s="397">
        <f>F523*G523</f>
        <v>1296000</v>
      </c>
    </row>
    <row r="524" spans="3:12" ht="18.600000000000001" customHeight="1">
      <c r="C524" s="398" t="s">
        <v>1214</v>
      </c>
      <c r="D524" s="399"/>
      <c r="E524" s="399"/>
      <c r="F524" s="399"/>
      <c r="G524" s="404"/>
      <c r="H524" s="397">
        <f>SUM(H522:H523)</f>
        <v>1296000</v>
      </c>
    </row>
    <row r="525" spans="3:12" ht="18.600000000000001" customHeight="1">
      <c r="C525" s="405" t="s">
        <v>1215</v>
      </c>
      <c r="D525" s="391" t="s">
        <v>1216</v>
      </c>
      <c r="E525" s="392"/>
      <c r="F525" s="392"/>
      <c r="G525" s="392"/>
      <c r="H525" s="393"/>
    </row>
    <row r="526" spans="3:12" ht="18.600000000000001" customHeight="1">
      <c r="C526" s="398" t="s">
        <v>1217</v>
      </c>
      <c r="D526" s="399"/>
      <c r="E526" s="399"/>
      <c r="F526" s="399"/>
      <c r="G526" s="404"/>
      <c r="H526" s="406">
        <v>0</v>
      </c>
    </row>
    <row r="527" spans="3:12" ht="18.600000000000001" customHeight="1">
      <c r="C527" s="407" t="s">
        <v>1218</v>
      </c>
      <c r="D527" s="408" t="s">
        <v>1219</v>
      </c>
      <c r="E527" s="409"/>
      <c r="F527" s="409"/>
      <c r="G527" s="410"/>
      <c r="H527" s="397">
        <f>H526+H524+H520</f>
        <v>1323822</v>
      </c>
      <c r="I527" s="411"/>
    </row>
    <row r="528" spans="3:12" ht="18.600000000000001" customHeight="1">
      <c r="C528" s="75" t="s">
        <v>1220</v>
      </c>
      <c r="D528" s="76" t="s">
        <v>1321</v>
      </c>
      <c r="E528" s="77"/>
      <c r="F528" s="78"/>
      <c r="G528" s="80">
        <f>$M$8</f>
        <v>0.1</v>
      </c>
      <c r="H528" s="64">
        <f>H527*G528</f>
        <v>132382.20000000001</v>
      </c>
      <c r="I528" s="411"/>
    </row>
    <row r="529" spans="3:9" ht="18.600000000000001" customHeight="1" thickBot="1">
      <c r="C529" s="412" t="s">
        <v>1221</v>
      </c>
      <c r="D529" s="413" t="s">
        <v>1222</v>
      </c>
      <c r="E529" s="414"/>
      <c r="F529" s="414"/>
      <c r="G529" s="415"/>
      <c r="H529" s="416">
        <f>SUM(H527:H528)</f>
        <v>1456204.2</v>
      </c>
      <c r="I529" s="411"/>
    </row>
    <row r="530" spans="3:9" ht="18.600000000000001" customHeight="1" thickTop="1">
      <c r="C530" s="426"/>
      <c r="D530" s="427"/>
      <c r="E530" s="427"/>
      <c r="F530" s="427"/>
      <c r="G530" s="427"/>
      <c r="H530" s="428"/>
      <c r="I530" s="411"/>
    </row>
    <row r="531" spans="3:9" ht="14.4" thickBot="1">
      <c r="C531" s="434" t="s">
        <v>2645</v>
      </c>
      <c r="D531" s="435" t="s">
        <v>2646</v>
      </c>
      <c r="E531" s="420"/>
      <c r="F531" s="420"/>
      <c r="G531" s="420"/>
      <c r="H531" s="420"/>
      <c r="I531" s="386">
        <f>ROUNDDOWN(H547,-2)</f>
        <v>1456200</v>
      </c>
    </row>
    <row r="532" spans="3:9" ht="28.2" thickTop="1">
      <c r="C532" s="387" t="s">
        <v>1195</v>
      </c>
      <c r="D532" s="388" t="s">
        <v>1196</v>
      </c>
      <c r="E532" s="388" t="s">
        <v>1197</v>
      </c>
      <c r="F532" s="388" t="s">
        <v>1198</v>
      </c>
      <c r="G532" s="388" t="s">
        <v>1199</v>
      </c>
      <c r="H532" s="389" t="s">
        <v>1200</v>
      </c>
    </row>
    <row r="533" spans="3:9" ht="22.2" customHeight="1">
      <c r="C533" s="390" t="s">
        <v>1201</v>
      </c>
      <c r="D533" s="391" t="s">
        <v>1202</v>
      </c>
      <c r="E533" s="392"/>
      <c r="F533" s="392"/>
      <c r="G533" s="392"/>
      <c r="H533" s="393"/>
    </row>
    <row r="534" spans="3:9" ht="22.2" customHeight="1">
      <c r="C534" s="394">
        <v>1</v>
      </c>
      <c r="D534" s="391" t="s">
        <v>5</v>
      </c>
      <c r="E534" s="395" t="s">
        <v>6</v>
      </c>
      <c r="F534" s="396">
        <v>8.4000000000000005E-2</v>
      </c>
      <c r="G534" s="63">
        <f>VLOOKUP(D534,upahbahan,3,FALSE)</f>
        <v>100000</v>
      </c>
      <c r="H534" s="397">
        <f>F534*G534</f>
        <v>8400</v>
      </c>
    </row>
    <row r="535" spans="3:9" ht="22.2" customHeight="1">
      <c r="C535" s="394">
        <v>2</v>
      </c>
      <c r="D535" s="391" t="s">
        <v>8</v>
      </c>
      <c r="E535" s="395" t="s">
        <v>6</v>
      </c>
      <c r="F535" s="396">
        <v>0.125</v>
      </c>
      <c r="G535" s="63">
        <f>VLOOKUP(D535,upahbahan,3,FALSE)</f>
        <v>135000</v>
      </c>
      <c r="H535" s="397">
        <f>F535*G535</f>
        <v>16875</v>
      </c>
    </row>
    <row r="536" spans="3:9" ht="22.2" customHeight="1">
      <c r="C536" s="394">
        <v>3</v>
      </c>
      <c r="D536" s="391" t="s">
        <v>18</v>
      </c>
      <c r="E536" s="395" t="s">
        <v>6</v>
      </c>
      <c r="F536" s="396">
        <v>1.2500000000000001E-2</v>
      </c>
      <c r="G536" s="63">
        <f>VLOOKUP(D536,upahbahan,3,FALSE)</f>
        <v>150000</v>
      </c>
      <c r="H536" s="397">
        <f>F536*G536</f>
        <v>1875</v>
      </c>
    </row>
    <row r="537" spans="3:9" ht="22.2" customHeight="1">
      <c r="C537" s="394">
        <v>4</v>
      </c>
      <c r="D537" s="391" t="s">
        <v>19</v>
      </c>
      <c r="E537" s="395" t="s">
        <v>6</v>
      </c>
      <c r="F537" s="396">
        <v>4.1999999999999997E-3</v>
      </c>
      <c r="G537" s="63">
        <f>VLOOKUP(D537,upahbahan,3,FALSE)</f>
        <v>160000</v>
      </c>
      <c r="H537" s="397">
        <f>F537*G537</f>
        <v>672</v>
      </c>
    </row>
    <row r="538" spans="3:9" ht="22.2" customHeight="1">
      <c r="C538" s="398" t="s">
        <v>1208</v>
      </c>
      <c r="D538" s="399"/>
      <c r="E538" s="399"/>
      <c r="F538" s="400"/>
      <c r="G538" s="401"/>
      <c r="H538" s="397">
        <f>SUM(H534:H537)</f>
        <v>27822</v>
      </c>
      <c r="I538" s="402"/>
    </row>
    <row r="539" spans="3:9" ht="22.2" customHeight="1">
      <c r="C539" s="390" t="s">
        <v>1209</v>
      </c>
      <c r="D539" s="391" t="s">
        <v>1210</v>
      </c>
      <c r="E539" s="392"/>
      <c r="F539" s="392"/>
      <c r="G539" s="392"/>
      <c r="H539" s="393"/>
    </row>
    <row r="540" spans="3:9" ht="22.2" customHeight="1">
      <c r="C540" s="394">
        <v>1</v>
      </c>
      <c r="D540" s="391" t="s">
        <v>348</v>
      </c>
      <c r="E540" s="425" t="s">
        <v>129</v>
      </c>
      <c r="F540" s="421">
        <v>1.1000000000000001</v>
      </c>
      <c r="G540" s="63">
        <f>VLOOKUP(D540,upahbahan,3,FALSE)</f>
        <v>0</v>
      </c>
      <c r="H540" s="397">
        <f>F540*G540</f>
        <v>0</v>
      </c>
    </row>
    <row r="541" spans="3:9" ht="22.2" customHeight="1">
      <c r="C541" s="394">
        <v>2</v>
      </c>
      <c r="D541" s="391" t="s">
        <v>268</v>
      </c>
      <c r="E541" s="395" t="s">
        <v>65</v>
      </c>
      <c r="F541" s="421">
        <v>6</v>
      </c>
      <c r="G541" s="63">
        <f>VLOOKUP(D541,upahbahan,3,FALSE)</f>
        <v>216000</v>
      </c>
      <c r="H541" s="397">
        <f>F541*G541</f>
        <v>1296000</v>
      </c>
    </row>
    <row r="542" spans="3:9" ht="22.2" customHeight="1">
      <c r="C542" s="398" t="s">
        <v>1214</v>
      </c>
      <c r="D542" s="399"/>
      <c r="E542" s="399"/>
      <c r="F542" s="399"/>
      <c r="G542" s="404"/>
      <c r="H542" s="397">
        <f>SUM(H540:H541)</f>
        <v>1296000</v>
      </c>
    </row>
    <row r="543" spans="3:9" ht="22.2" customHeight="1">
      <c r="C543" s="405" t="s">
        <v>1215</v>
      </c>
      <c r="D543" s="391" t="s">
        <v>1216</v>
      </c>
      <c r="E543" s="392"/>
      <c r="F543" s="392"/>
      <c r="G543" s="392"/>
      <c r="H543" s="393"/>
    </row>
    <row r="544" spans="3:9" ht="22.2" customHeight="1">
      <c r="C544" s="398" t="s">
        <v>1217</v>
      </c>
      <c r="D544" s="399"/>
      <c r="E544" s="399"/>
      <c r="F544" s="399"/>
      <c r="G544" s="404"/>
      <c r="H544" s="406">
        <v>0</v>
      </c>
    </row>
    <row r="545" spans="3:9" ht="22.2" customHeight="1">
      <c r="C545" s="407" t="s">
        <v>1218</v>
      </c>
      <c r="D545" s="408" t="s">
        <v>1219</v>
      </c>
      <c r="E545" s="409"/>
      <c r="F545" s="409"/>
      <c r="G545" s="410"/>
      <c r="H545" s="397">
        <f>H544+H542+H538</f>
        <v>1323822</v>
      </c>
      <c r="I545" s="411"/>
    </row>
    <row r="546" spans="3:9" ht="22.2" customHeight="1">
      <c r="C546" s="75" t="s">
        <v>1220</v>
      </c>
      <c r="D546" s="76" t="s">
        <v>1321</v>
      </c>
      <c r="E546" s="77"/>
      <c r="F546" s="78"/>
      <c r="G546" s="80">
        <f>$M$8</f>
        <v>0.1</v>
      </c>
      <c r="H546" s="64">
        <f>H545*G546</f>
        <v>132382.20000000001</v>
      </c>
      <c r="I546" s="411"/>
    </row>
    <row r="547" spans="3:9" ht="22.2" customHeight="1" thickBot="1">
      <c r="C547" s="412" t="s">
        <v>1221</v>
      </c>
      <c r="D547" s="413" t="s">
        <v>1222</v>
      </c>
      <c r="E547" s="414"/>
      <c r="F547" s="414"/>
      <c r="G547" s="415"/>
      <c r="H547" s="416">
        <f>SUM(H545:H546)</f>
        <v>1456204.2</v>
      </c>
      <c r="I547" s="411"/>
    </row>
    <row r="548" spans="3:9" ht="14.4" thickTop="1">
      <c r="C548" s="426"/>
      <c r="D548" s="427"/>
      <c r="E548" s="427"/>
      <c r="F548" s="427"/>
      <c r="G548" s="427"/>
      <c r="H548" s="428"/>
      <c r="I548" s="411"/>
    </row>
    <row r="549" spans="3:9" ht="14.4" thickBot="1">
      <c r="C549" s="381" t="s">
        <v>2647</v>
      </c>
      <c r="D549" s="385" t="s">
        <v>2648</v>
      </c>
      <c r="E549" s="420"/>
      <c r="F549" s="420"/>
      <c r="G549" s="420"/>
      <c r="H549" s="420"/>
      <c r="I549" s="386">
        <f>ROUNDDOWN(H565,-2)</f>
        <v>1456200</v>
      </c>
    </row>
    <row r="550" spans="3:9" ht="28.2" thickTop="1">
      <c r="C550" s="387" t="s">
        <v>1195</v>
      </c>
      <c r="D550" s="388" t="s">
        <v>1196</v>
      </c>
      <c r="E550" s="388" t="s">
        <v>1197</v>
      </c>
      <c r="F550" s="388" t="s">
        <v>1198</v>
      </c>
      <c r="G550" s="388" t="s">
        <v>1199</v>
      </c>
      <c r="H550" s="389" t="s">
        <v>1200</v>
      </c>
    </row>
    <row r="551" spans="3:9" ht="21.6" customHeight="1">
      <c r="C551" s="390" t="s">
        <v>1201</v>
      </c>
      <c r="D551" s="391" t="s">
        <v>1202</v>
      </c>
      <c r="E551" s="392"/>
      <c r="F551" s="392"/>
      <c r="G551" s="392"/>
      <c r="H551" s="393"/>
    </row>
    <row r="552" spans="3:9" ht="21.6" customHeight="1">
      <c r="C552" s="394">
        <v>1</v>
      </c>
      <c r="D552" s="391" t="s">
        <v>5</v>
      </c>
      <c r="E552" s="395" t="s">
        <v>6</v>
      </c>
      <c r="F552" s="396">
        <v>8.4000000000000005E-2</v>
      </c>
      <c r="G552" s="63">
        <f>VLOOKUP(D552,upahbahan,3,FALSE)</f>
        <v>100000</v>
      </c>
      <c r="H552" s="397">
        <f>F552*G552</f>
        <v>8400</v>
      </c>
    </row>
    <row r="553" spans="3:9" ht="21.6" customHeight="1">
      <c r="C553" s="394">
        <v>2</v>
      </c>
      <c r="D553" s="391" t="s">
        <v>8</v>
      </c>
      <c r="E553" s="395" t="s">
        <v>6</v>
      </c>
      <c r="F553" s="396">
        <v>0.125</v>
      </c>
      <c r="G553" s="63">
        <f>VLOOKUP(D553,upahbahan,3,FALSE)</f>
        <v>135000</v>
      </c>
      <c r="H553" s="397">
        <f>F553*G553</f>
        <v>16875</v>
      </c>
    </row>
    <row r="554" spans="3:9" ht="21.6" customHeight="1">
      <c r="C554" s="394">
        <v>3</v>
      </c>
      <c r="D554" s="391" t="s">
        <v>18</v>
      </c>
      <c r="E554" s="395" t="s">
        <v>6</v>
      </c>
      <c r="F554" s="396">
        <v>1.2500000000000001E-2</v>
      </c>
      <c r="G554" s="63">
        <f>VLOOKUP(D554,upahbahan,3,FALSE)</f>
        <v>150000</v>
      </c>
      <c r="H554" s="397">
        <f>F554*G554</f>
        <v>1875</v>
      </c>
    </row>
    <row r="555" spans="3:9" ht="21.6" customHeight="1">
      <c r="C555" s="394">
        <v>4</v>
      </c>
      <c r="D555" s="391" t="s">
        <v>19</v>
      </c>
      <c r="E555" s="395" t="s">
        <v>6</v>
      </c>
      <c r="F555" s="396">
        <v>4.1999999999999997E-3</v>
      </c>
      <c r="G555" s="63">
        <f>VLOOKUP(D555,upahbahan,3,FALSE)</f>
        <v>160000</v>
      </c>
      <c r="H555" s="397">
        <f>F555*G555</f>
        <v>672</v>
      </c>
    </row>
    <row r="556" spans="3:9" ht="21.6" customHeight="1">
      <c r="C556" s="398" t="s">
        <v>1208</v>
      </c>
      <c r="D556" s="399"/>
      <c r="E556" s="399"/>
      <c r="F556" s="400"/>
      <c r="G556" s="401"/>
      <c r="H556" s="397">
        <f>SUM(H552:H555)</f>
        <v>27822</v>
      </c>
      <c r="I556" s="402"/>
    </row>
    <row r="557" spans="3:9" ht="21.6" customHeight="1">
      <c r="C557" s="390" t="s">
        <v>1209</v>
      </c>
      <c r="D557" s="391" t="s">
        <v>1210</v>
      </c>
      <c r="E557" s="392"/>
      <c r="F557" s="392"/>
      <c r="G557" s="392"/>
      <c r="H557" s="393"/>
    </row>
    <row r="558" spans="3:9" ht="21.6" customHeight="1">
      <c r="C558" s="394">
        <v>1</v>
      </c>
      <c r="D558" s="391" t="s">
        <v>349</v>
      </c>
      <c r="E558" s="425" t="s">
        <v>129</v>
      </c>
      <c r="F558" s="421">
        <v>1.1000000000000001</v>
      </c>
      <c r="G558" s="63">
        <f>VLOOKUP(D558,upahbahan,3,FALSE)</f>
        <v>0</v>
      </c>
      <c r="H558" s="397">
        <f>F558*G558</f>
        <v>0</v>
      </c>
    </row>
    <row r="559" spans="3:9" ht="21.6" customHeight="1">
      <c r="C559" s="394">
        <v>2</v>
      </c>
      <c r="D559" s="391" t="s">
        <v>268</v>
      </c>
      <c r="E559" s="395" t="s">
        <v>65</v>
      </c>
      <c r="F559" s="421">
        <v>6</v>
      </c>
      <c r="G559" s="63">
        <f>VLOOKUP(D559,upahbahan,3,FALSE)</f>
        <v>216000</v>
      </c>
      <c r="H559" s="397">
        <f>F559*G559</f>
        <v>1296000</v>
      </c>
    </row>
    <row r="560" spans="3:9" ht="21.6" customHeight="1">
      <c r="C560" s="398" t="s">
        <v>1214</v>
      </c>
      <c r="D560" s="399"/>
      <c r="E560" s="399"/>
      <c r="F560" s="399"/>
      <c r="G560" s="404"/>
      <c r="H560" s="397">
        <f>SUM(H558:H559)</f>
        <v>1296000</v>
      </c>
    </row>
    <row r="561" spans="3:9" ht="21.6" customHeight="1">
      <c r="C561" s="405" t="s">
        <v>1215</v>
      </c>
      <c r="D561" s="391" t="s">
        <v>1216</v>
      </c>
      <c r="E561" s="392"/>
      <c r="F561" s="392"/>
      <c r="G561" s="392"/>
      <c r="H561" s="393"/>
    </row>
    <row r="562" spans="3:9" ht="21.6" customHeight="1">
      <c r="C562" s="398" t="s">
        <v>1217</v>
      </c>
      <c r="D562" s="399"/>
      <c r="E562" s="399"/>
      <c r="F562" s="399"/>
      <c r="G562" s="404"/>
      <c r="H562" s="406">
        <v>0</v>
      </c>
    </row>
    <row r="563" spans="3:9" ht="21.6" customHeight="1">
      <c r="C563" s="407" t="s">
        <v>1218</v>
      </c>
      <c r="D563" s="408" t="s">
        <v>1219</v>
      </c>
      <c r="E563" s="409"/>
      <c r="F563" s="409"/>
      <c r="G563" s="410"/>
      <c r="H563" s="397">
        <f>H562+H560+H556</f>
        <v>1323822</v>
      </c>
      <c r="I563" s="411"/>
    </row>
    <row r="564" spans="3:9" ht="21.6" customHeight="1">
      <c r="C564" s="75" t="s">
        <v>1220</v>
      </c>
      <c r="D564" s="76" t="s">
        <v>1321</v>
      </c>
      <c r="E564" s="77"/>
      <c r="F564" s="78"/>
      <c r="G564" s="80">
        <f>$M$8</f>
        <v>0.1</v>
      </c>
      <c r="H564" s="64">
        <f>H563*G564</f>
        <v>132382.20000000001</v>
      </c>
      <c r="I564" s="411"/>
    </row>
    <row r="565" spans="3:9" ht="21.6" customHeight="1" thickBot="1">
      <c r="C565" s="412" t="s">
        <v>1221</v>
      </c>
      <c r="D565" s="413" t="s">
        <v>1222</v>
      </c>
      <c r="E565" s="414"/>
      <c r="F565" s="414"/>
      <c r="G565" s="415"/>
      <c r="H565" s="416">
        <f>SUM(H563:H564)</f>
        <v>1456204.2</v>
      </c>
      <c r="I565" s="411"/>
    </row>
    <row r="566" spans="3:9" ht="14.4" thickTop="1">
      <c r="C566" s="426"/>
      <c r="D566" s="427"/>
      <c r="E566" s="427"/>
      <c r="F566" s="427"/>
      <c r="G566" s="427"/>
      <c r="H566" s="428"/>
      <c r="I566" s="411"/>
    </row>
    <row r="567" spans="3:9">
      <c r="C567" s="382" t="s">
        <v>5267</v>
      </c>
      <c r="D567" s="429" t="s">
        <v>2650</v>
      </c>
      <c r="E567" s="427"/>
      <c r="F567" s="427"/>
      <c r="G567" s="427"/>
      <c r="H567" s="428"/>
      <c r="I567" s="411"/>
    </row>
    <row r="568" spans="3:9" ht="14.4" thickBot="1">
      <c r="C568" s="47" t="s">
        <v>2651</v>
      </c>
      <c r="D568" s="385" t="s">
        <v>1359</v>
      </c>
      <c r="E568" s="420"/>
      <c r="F568" s="420"/>
      <c r="G568" s="420"/>
      <c r="H568" s="420"/>
      <c r="I568" s="386">
        <f>ROUNDDOWN(H584,-2)</f>
        <v>24100</v>
      </c>
    </row>
    <row r="569" spans="3:9" ht="28.2" thickTop="1">
      <c r="C569" s="387" t="s">
        <v>1195</v>
      </c>
      <c r="D569" s="388" t="s">
        <v>1196</v>
      </c>
      <c r="E569" s="388" t="s">
        <v>1197</v>
      </c>
      <c r="F569" s="388" t="s">
        <v>1198</v>
      </c>
      <c r="G569" s="388" t="s">
        <v>1199</v>
      </c>
      <c r="H569" s="389" t="s">
        <v>1200</v>
      </c>
    </row>
    <row r="570" spans="3:9" ht="19.8" customHeight="1">
      <c r="C570" s="390" t="s">
        <v>1201</v>
      </c>
      <c r="D570" s="391" t="s">
        <v>1202</v>
      </c>
      <c r="E570" s="392"/>
      <c r="F570" s="392"/>
      <c r="G570" s="392"/>
      <c r="H570" s="393"/>
    </row>
    <row r="571" spans="3:9" ht="19.8" customHeight="1">
      <c r="C571" s="394">
        <v>1</v>
      </c>
      <c r="D571" s="391" t="s">
        <v>5</v>
      </c>
      <c r="E571" s="395" t="s">
        <v>6</v>
      </c>
      <c r="F571" s="396">
        <v>0.12</v>
      </c>
      <c r="G571" s="63">
        <f>VLOOKUP(D571,upahbahan,3,FALSE)</f>
        <v>100000</v>
      </c>
      <c r="H571" s="397">
        <f>F571*G571</f>
        <v>12000</v>
      </c>
    </row>
    <row r="572" spans="3:9" ht="19.8" customHeight="1">
      <c r="C572" s="394">
        <v>2</v>
      </c>
      <c r="D572" s="391" t="s">
        <v>8</v>
      </c>
      <c r="E572" s="395" t="s">
        <v>6</v>
      </c>
      <c r="F572" s="396">
        <v>0.06</v>
      </c>
      <c r="G572" s="63">
        <f>VLOOKUP(D572,upahbahan,3,FALSE)</f>
        <v>135000</v>
      </c>
      <c r="H572" s="397">
        <f>F572*G572</f>
        <v>8100</v>
      </c>
    </row>
    <row r="573" spans="3:9" ht="19.8" customHeight="1">
      <c r="C573" s="394">
        <v>3</v>
      </c>
      <c r="D573" s="391" t="s">
        <v>18</v>
      </c>
      <c r="E573" s="395" t="s">
        <v>6</v>
      </c>
      <c r="F573" s="396">
        <v>6.0000000000000001E-3</v>
      </c>
      <c r="G573" s="63">
        <f>VLOOKUP(D573,upahbahan,3,FALSE)</f>
        <v>150000</v>
      </c>
      <c r="H573" s="397">
        <f>F573*G573</f>
        <v>900</v>
      </c>
    </row>
    <row r="574" spans="3:9" ht="19.8" customHeight="1">
      <c r="C574" s="394">
        <v>4</v>
      </c>
      <c r="D574" s="391" t="s">
        <v>19</v>
      </c>
      <c r="E574" s="395" t="s">
        <v>6</v>
      </c>
      <c r="F574" s="396">
        <v>2E-3</v>
      </c>
      <c r="G574" s="63">
        <f>VLOOKUP(D574,upahbahan,3,FALSE)</f>
        <v>160000</v>
      </c>
      <c r="H574" s="397">
        <f>F574*G574</f>
        <v>320</v>
      </c>
    </row>
    <row r="575" spans="3:9" ht="19.8" customHeight="1">
      <c r="C575" s="398" t="s">
        <v>1208</v>
      </c>
      <c r="D575" s="399"/>
      <c r="E575" s="399"/>
      <c r="F575" s="400"/>
      <c r="G575" s="401"/>
      <c r="H575" s="397">
        <f>SUM(H571:H574)</f>
        <v>21320</v>
      </c>
      <c r="I575" s="402"/>
    </row>
    <row r="576" spans="3:9" ht="19.8" customHeight="1">
      <c r="C576" s="390" t="s">
        <v>1209</v>
      </c>
      <c r="D576" s="391" t="s">
        <v>1210</v>
      </c>
      <c r="E576" s="392"/>
      <c r="F576" s="392"/>
      <c r="G576" s="392"/>
      <c r="H576" s="393"/>
    </row>
    <row r="577" spans="3:9" ht="19.8" customHeight="1">
      <c r="C577" s="394">
        <v>1</v>
      </c>
      <c r="D577" s="391" t="s">
        <v>2652</v>
      </c>
      <c r="E577" s="425" t="s">
        <v>129</v>
      </c>
      <c r="F577" s="403">
        <v>0.7</v>
      </c>
      <c r="G577" s="63">
        <f>VLOOKUP(D577,upahbahan,3,FALSE)</f>
        <v>0</v>
      </c>
      <c r="H577" s="397">
        <f>F577*G577</f>
        <v>0</v>
      </c>
    </row>
    <row r="578" spans="3:9" ht="19.8" customHeight="1">
      <c r="C578" s="394">
        <v>2</v>
      </c>
      <c r="D578" s="391" t="s">
        <v>259</v>
      </c>
      <c r="E578" s="395" t="s">
        <v>65</v>
      </c>
      <c r="F578" s="403">
        <v>0.02</v>
      </c>
      <c r="G578" s="63">
        <f>VLOOKUP(D578,upahbahan,3,FALSE)</f>
        <v>33075</v>
      </c>
      <c r="H578" s="397">
        <f>F578*G578</f>
        <v>661.5</v>
      </c>
    </row>
    <row r="579" spans="3:9" ht="19.8" customHeight="1">
      <c r="C579" s="398" t="s">
        <v>1214</v>
      </c>
      <c r="D579" s="399"/>
      <c r="E579" s="399"/>
      <c r="F579" s="399"/>
      <c r="G579" s="404"/>
      <c r="H579" s="397">
        <f>SUM(H577:H578)</f>
        <v>661.5</v>
      </c>
    </row>
    <row r="580" spans="3:9" ht="19.8" customHeight="1">
      <c r="C580" s="405" t="s">
        <v>1215</v>
      </c>
      <c r="D580" s="391" t="s">
        <v>1216</v>
      </c>
      <c r="E580" s="392"/>
      <c r="F580" s="392"/>
      <c r="G580" s="392"/>
      <c r="H580" s="393"/>
    </row>
    <row r="581" spans="3:9" ht="19.8" customHeight="1">
      <c r="C581" s="398" t="s">
        <v>1217</v>
      </c>
      <c r="D581" s="399"/>
      <c r="E581" s="399"/>
      <c r="F581" s="399"/>
      <c r="G581" s="404"/>
      <c r="H581" s="406">
        <v>0</v>
      </c>
    </row>
    <row r="582" spans="3:9" ht="19.8" customHeight="1">
      <c r="C582" s="407" t="s">
        <v>1218</v>
      </c>
      <c r="D582" s="408" t="s">
        <v>1219</v>
      </c>
      <c r="E582" s="409"/>
      <c r="F582" s="409"/>
      <c r="G582" s="410"/>
      <c r="H582" s="397">
        <f>H581+H579+H575</f>
        <v>21981.5</v>
      </c>
      <c r="I582" s="411"/>
    </row>
    <row r="583" spans="3:9" ht="19.8" customHeight="1">
      <c r="C583" s="75" t="s">
        <v>1220</v>
      </c>
      <c r="D583" s="76" t="s">
        <v>1321</v>
      </c>
      <c r="E583" s="77"/>
      <c r="F583" s="78"/>
      <c r="G583" s="80">
        <f>$M$8</f>
        <v>0.1</v>
      </c>
      <c r="H583" s="64">
        <f>H582*G583</f>
        <v>2198.15</v>
      </c>
      <c r="I583" s="411"/>
    </row>
    <row r="584" spans="3:9" ht="19.8" customHeight="1" thickBot="1">
      <c r="C584" s="412" t="s">
        <v>1221</v>
      </c>
      <c r="D584" s="413" t="s">
        <v>1222</v>
      </c>
      <c r="E584" s="414"/>
      <c r="F584" s="414"/>
      <c r="G584" s="415"/>
      <c r="H584" s="416">
        <f>SUM(H582:H583)</f>
        <v>24179.65</v>
      </c>
      <c r="I584" s="411"/>
    </row>
    <row r="585" spans="3:9" ht="14.4" thickTop="1">
      <c r="C585" s="426"/>
      <c r="D585" s="427"/>
      <c r="E585" s="427"/>
      <c r="F585" s="427"/>
      <c r="G585" s="427"/>
      <c r="H585" s="428"/>
      <c r="I585" s="411"/>
    </row>
    <row r="586" spans="3:9" ht="14.4" thickBot="1">
      <c r="C586" s="381" t="s">
        <v>2654</v>
      </c>
      <c r="D586" s="385" t="s">
        <v>1360</v>
      </c>
      <c r="E586" s="420"/>
      <c r="F586" s="420"/>
      <c r="G586" s="420"/>
      <c r="H586" s="420"/>
      <c r="I586" s="386">
        <f>ROUNDDOWN(H602,-2)</f>
        <v>293900</v>
      </c>
    </row>
    <row r="587" spans="3:9" ht="28.2" thickTop="1">
      <c r="C587" s="387" t="s">
        <v>1195</v>
      </c>
      <c r="D587" s="388" t="s">
        <v>1196</v>
      </c>
      <c r="E587" s="388" t="s">
        <v>1197</v>
      </c>
      <c r="F587" s="388" t="s">
        <v>1198</v>
      </c>
      <c r="G587" s="388" t="s">
        <v>1199</v>
      </c>
      <c r="H587" s="389" t="s">
        <v>1200</v>
      </c>
    </row>
    <row r="588" spans="3:9" ht="19.2" customHeight="1">
      <c r="C588" s="390" t="s">
        <v>1201</v>
      </c>
      <c r="D588" s="391" t="s">
        <v>1202</v>
      </c>
      <c r="E588" s="392"/>
      <c r="F588" s="392"/>
      <c r="G588" s="392"/>
      <c r="H588" s="393"/>
    </row>
    <row r="589" spans="3:9" ht="19.2" customHeight="1">
      <c r="C589" s="394">
        <v>1</v>
      </c>
      <c r="D589" s="391" t="s">
        <v>5</v>
      </c>
      <c r="E589" s="395" t="s">
        <v>6</v>
      </c>
      <c r="F589" s="421">
        <v>0.15</v>
      </c>
      <c r="G589" s="63">
        <f>VLOOKUP(D589,upahbahan,3,FALSE)</f>
        <v>100000</v>
      </c>
      <c r="H589" s="397">
        <f>F589*G589</f>
        <v>15000</v>
      </c>
    </row>
    <row r="590" spans="3:9" ht="19.2" customHeight="1">
      <c r="C590" s="394">
        <v>2</v>
      </c>
      <c r="D590" s="391" t="s">
        <v>8</v>
      </c>
      <c r="E590" s="395" t="s">
        <v>6</v>
      </c>
      <c r="F590" s="421">
        <v>0.75</v>
      </c>
      <c r="G590" s="63">
        <f>VLOOKUP(D590,upahbahan,3,FALSE)</f>
        <v>135000</v>
      </c>
      <c r="H590" s="397">
        <f>F590*G590</f>
        <v>101250</v>
      </c>
    </row>
    <row r="591" spans="3:9" ht="19.2" customHeight="1">
      <c r="C591" s="394">
        <v>3</v>
      </c>
      <c r="D591" s="391" t="s">
        <v>18</v>
      </c>
      <c r="E591" s="395" t="s">
        <v>6</v>
      </c>
      <c r="F591" s="421">
        <v>7.4999999999999997E-2</v>
      </c>
      <c r="G591" s="63">
        <f>VLOOKUP(D591,upahbahan,3,FALSE)</f>
        <v>150000</v>
      </c>
      <c r="H591" s="397">
        <f>F591*G591</f>
        <v>11250</v>
      </c>
    </row>
    <row r="592" spans="3:9" ht="19.2" customHeight="1">
      <c r="C592" s="394">
        <v>4</v>
      </c>
      <c r="D592" s="391" t="s">
        <v>19</v>
      </c>
      <c r="E592" s="395" t="s">
        <v>6</v>
      </c>
      <c r="F592" s="421">
        <v>2.5000000000000001E-2</v>
      </c>
      <c r="G592" s="63">
        <f>VLOOKUP(D592,upahbahan,3,FALSE)</f>
        <v>160000</v>
      </c>
      <c r="H592" s="397">
        <f>F592*G592</f>
        <v>4000</v>
      </c>
    </row>
    <row r="593" spans="3:9" ht="19.2" customHeight="1">
      <c r="C593" s="398" t="s">
        <v>1208</v>
      </c>
      <c r="D593" s="399"/>
      <c r="E593" s="399"/>
      <c r="F593" s="400"/>
      <c r="G593" s="401"/>
      <c r="H593" s="397">
        <f>SUM(H589:H592)</f>
        <v>131500</v>
      </c>
      <c r="I593" s="402"/>
    </row>
    <row r="594" spans="3:9" ht="19.2" customHeight="1">
      <c r="C594" s="390" t="s">
        <v>1209</v>
      </c>
      <c r="D594" s="391" t="s">
        <v>1210</v>
      </c>
      <c r="E594" s="392"/>
      <c r="F594" s="392"/>
      <c r="G594" s="392"/>
      <c r="H594" s="393"/>
    </row>
    <row r="595" spans="3:9" ht="19.2" customHeight="1">
      <c r="C595" s="394">
        <v>1</v>
      </c>
      <c r="D595" s="391" t="s">
        <v>292</v>
      </c>
      <c r="E595" s="425" t="s">
        <v>129</v>
      </c>
      <c r="F595" s="403">
        <v>0.75</v>
      </c>
      <c r="G595" s="63">
        <f>VLOOKUP(D595,upahbahan,3,FALSE)</f>
        <v>180400</v>
      </c>
      <c r="H595" s="397">
        <f>F595*G595</f>
        <v>135300</v>
      </c>
    </row>
    <row r="596" spans="3:9" ht="19.2" customHeight="1">
      <c r="C596" s="394">
        <v>2</v>
      </c>
      <c r="D596" s="391" t="s">
        <v>265</v>
      </c>
      <c r="E596" s="395" t="s">
        <v>65</v>
      </c>
      <c r="F596" s="403">
        <v>0.02</v>
      </c>
      <c r="G596" s="63">
        <f>VLOOKUP(D596,upahbahan,3,FALSE)</f>
        <v>19460</v>
      </c>
      <c r="H596" s="397">
        <f>F596*G596</f>
        <v>389.2</v>
      </c>
    </row>
    <row r="597" spans="3:9" ht="19.2" customHeight="1">
      <c r="C597" s="398" t="s">
        <v>1214</v>
      </c>
      <c r="D597" s="399"/>
      <c r="E597" s="399"/>
      <c r="F597" s="399"/>
      <c r="G597" s="404"/>
      <c r="H597" s="397">
        <f>SUM(H595:H596)</f>
        <v>135689.20000000001</v>
      </c>
    </row>
    <row r="598" spans="3:9" ht="19.2" customHeight="1">
      <c r="C598" s="405" t="s">
        <v>1215</v>
      </c>
      <c r="D598" s="391" t="s">
        <v>1216</v>
      </c>
      <c r="E598" s="392"/>
      <c r="F598" s="392"/>
      <c r="G598" s="392"/>
      <c r="H598" s="393"/>
    </row>
    <row r="599" spans="3:9" ht="19.2" customHeight="1">
      <c r="C599" s="398" t="s">
        <v>1217</v>
      </c>
      <c r="D599" s="399"/>
      <c r="E599" s="399"/>
      <c r="F599" s="399"/>
      <c r="G599" s="404"/>
      <c r="H599" s="406">
        <v>0</v>
      </c>
    </row>
    <row r="600" spans="3:9" ht="19.2" customHeight="1">
      <c r="C600" s="407" t="s">
        <v>1218</v>
      </c>
      <c r="D600" s="408" t="s">
        <v>1219</v>
      </c>
      <c r="E600" s="409"/>
      <c r="F600" s="409"/>
      <c r="G600" s="410"/>
      <c r="H600" s="397">
        <f>H599+H597+H593</f>
        <v>267189.2</v>
      </c>
      <c r="I600" s="411"/>
    </row>
    <row r="601" spans="3:9" ht="19.2" customHeight="1">
      <c r="C601" s="75" t="s">
        <v>1220</v>
      </c>
      <c r="D601" s="76" t="s">
        <v>1321</v>
      </c>
      <c r="E601" s="77"/>
      <c r="F601" s="78"/>
      <c r="G601" s="80">
        <f>$M$8</f>
        <v>0.1</v>
      </c>
      <c r="H601" s="64">
        <f>H600*G601</f>
        <v>26718.920000000002</v>
      </c>
      <c r="I601" s="411"/>
    </row>
    <row r="602" spans="3:9" ht="19.2" customHeight="1" thickBot="1">
      <c r="C602" s="412" t="s">
        <v>1221</v>
      </c>
      <c r="D602" s="413" t="s">
        <v>1222</v>
      </c>
      <c r="E602" s="414"/>
      <c r="F602" s="414"/>
      <c r="G602" s="415"/>
      <c r="H602" s="416">
        <f>SUM(H600:H601)</f>
        <v>293908.12</v>
      </c>
      <c r="I602" s="411"/>
    </row>
    <row r="603" spans="3:9" ht="14.4" thickTop="1">
      <c r="C603" s="426"/>
      <c r="D603" s="427"/>
      <c r="E603" s="427"/>
      <c r="F603" s="427"/>
      <c r="G603" s="427"/>
      <c r="H603" s="428"/>
      <c r="I603" s="411"/>
    </row>
    <row r="604" spans="3:9" ht="14.4" thickBot="1">
      <c r="C604" s="381" t="s">
        <v>2655</v>
      </c>
      <c r="D604" s="385" t="s">
        <v>1361</v>
      </c>
      <c r="E604" s="420"/>
      <c r="F604" s="420"/>
      <c r="G604" s="420"/>
      <c r="H604" s="420"/>
      <c r="I604" s="386">
        <f>ROUNDDOWN(H620,-2)</f>
        <v>68200</v>
      </c>
    </row>
    <row r="605" spans="3:9" ht="28.2" thickTop="1">
      <c r="C605" s="387" t="s">
        <v>1195</v>
      </c>
      <c r="D605" s="388" t="s">
        <v>1196</v>
      </c>
      <c r="E605" s="388" t="s">
        <v>1197</v>
      </c>
      <c r="F605" s="388" t="s">
        <v>1198</v>
      </c>
      <c r="G605" s="388" t="s">
        <v>1199</v>
      </c>
      <c r="H605" s="389" t="s">
        <v>1200</v>
      </c>
    </row>
    <row r="606" spans="3:9" ht="21" customHeight="1">
      <c r="C606" s="390" t="s">
        <v>1201</v>
      </c>
      <c r="D606" s="391" t="s">
        <v>1202</v>
      </c>
      <c r="E606" s="392"/>
      <c r="F606" s="392"/>
      <c r="G606" s="392"/>
      <c r="H606" s="393"/>
    </row>
    <row r="607" spans="3:9" ht="21" customHeight="1">
      <c r="C607" s="394">
        <v>1</v>
      </c>
      <c r="D607" s="391" t="s">
        <v>5</v>
      </c>
      <c r="E607" s="395" t="s">
        <v>6</v>
      </c>
      <c r="F607" s="396">
        <v>0.16600000000000001</v>
      </c>
      <c r="G607" s="63">
        <f>VLOOKUP(D607,upahbahan,3,FALSE)</f>
        <v>100000</v>
      </c>
      <c r="H607" s="397">
        <f>F607*G607</f>
        <v>16600</v>
      </c>
    </row>
    <row r="608" spans="3:9" ht="21" customHeight="1">
      <c r="C608" s="394">
        <v>2</v>
      </c>
      <c r="D608" s="391" t="s">
        <v>8</v>
      </c>
      <c r="E608" s="395" t="s">
        <v>6</v>
      </c>
      <c r="F608" s="396">
        <v>0.25</v>
      </c>
      <c r="G608" s="63">
        <f>VLOOKUP(D608,upahbahan,3,FALSE)</f>
        <v>135000</v>
      </c>
      <c r="H608" s="397">
        <f>F608*G608</f>
        <v>33750</v>
      </c>
    </row>
    <row r="609" spans="3:11" ht="21" customHeight="1">
      <c r="C609" s="394">
        <v>3</v>
      </c>
      <c r="D609" s="391" t="s">
        <v>18</v>
      </c>
      <c r="E609" s="395" t="s">
        <v>6</v>
      </c>
      <c r="F609" s="396">
        <v>2.5000000000000001E-2</v>
      </c>
      <c r="G609" s="63">
        <f>VLOOKUP(D609,upahbahan,3,FALSE)</f>
        <v>150000</v>
      </c>
      <c r="H609" s="397">
        <f>F609*G609</f>
        <v>3750</v>
      </c>
    </row>
    <row r="610" spans="3:11" ht="21" customHeight="1">
      <c r="C610" s="394">
        <v>4</v>
      </c>
      <c r="D610" s="391" t="s">
        <v>19</v>
      </c>
      <c r="E610" s="395" t="s">
        <v>6</v>
      </c>
      <c r="F610" s="396">
        <v>8.3000000000000001E-3</v>
      </c>
      <c r="G610" s="63">
        <f>VLOOKUP(D610,upahbahan,3,FALSE)</f>
        <v>160000</v>
      </c>
      <c r="H610" s="397">
        <f>F610*G610</f>
        <v>1328</v>
      </c>
    </row>
    <row r="611" spans="3:11" ht="21" customHeight="1">
      <c r="C611" s="398" t="s">
        <v>1208</v>
      </c>
      <c r="D611" s="399"/>
      <c r="E611" s="399"/>
      <c r="F611" s="400"/>
      <c r="G611" s="401"/>
      <c r="H611" s="397">
        <f>SUM(H607:H610)</f>
        <v>55428</v>
      </c>
      <c r="I611" s="402"/>
    </row>
    <row r="612" spans="3:11" ht="21" customHeight="1">
      <c r="C612" s="390" t="s">
        <v>1209</v>
      </c>
      <c r="D612" s="391" t="s">
        <v>1210</v>
      </c>
      <c r="E612" s="392"/>
      <c r="F612" s="392"/>
      <c r="G612" s="392"/>
      <c r="H612" s="393"/>
    </row>
    <row r="613" spans="3:11" ht="21" customHeight="1">
      <c r="C613" s="394">
        <v>1</v>
      </c>
      <c r="D613" s="391" t="s">
        <v>374</v>
      </c>
      <c r="E613" s="425" t="s">
        <v>44</v>
      </c>
      <c r="F613" s="403">
        <v>30</v>
      </c>
      <c r="G613" s="63">
        <f>VLOOKUP(D613,upahbahan,3,FALSE)</f>
        <v>0</v>
      </c>
      <c r="H613" s="397">
        <f>F613*G613</f>
        <v>0</v>
      </c>
    </row>
    <row r="614" spans="3:11" ht="21" customHeight="1">
      <c r="C614" s="394">
        <v>2</v>
      </c>
      <c r="D614" s="391" t="s">
        <v>259</v>
      </c>
      <c r="E614" s="395" t="s">
        <v>65</v>
      </c>
      <c r="F614" s="403">
        <v>0.2</v>
      </c>
      <c r="G614" s="63">
        <f>VLOOKUP(D614,upahbahan,3,FALSE)</f>
        <v>33075</v>
      </c>
      <c r="H614" s="397">
        <f>F614*G614</f>
        <v>6615</v>
      </c>
    </row>
    <row r="615" spans="3:11" ht="21" customHeight="1">
      <c r="C615" s="398" t="s">
        <v>1214</v>
      </c>
      <c r="D615" s="399"/>
      <c r="E615" s="399"/>
      <c r="F615" s="399"/>
      <c r="G615" s="404"/>
      <c r="H615" s="397">
        <f>SUM(H613:H614)</f>
        <v>6615</v>
      </c>
    </row>
    <row r="616" spans="3:11" ht="21" customHeight="1">
      <c r="C616" s="405" t="s">
        <v>1215</v>
      </c>
      <c r="D616" s="391" t="s">
        <v>1216</v>
      </c>
      <c r="E616" s="392"/>
      <c r="F616" s="392"/>
      <c r="G616" s="392"/>
      <c r="H616" s="393"/>
    </row>
    <row r="617" spans="3:11" ht="21" customHeight="1">
      <c r="C617" s="398" t="s">
        <v>1217</v>
      </c>
      <c r="D617" s="399"/>
      <c r="E617" s="399"/>
      <c r="F617" s="399"/>
      <c r="G617" s="404"/>
      <c r="H617" s="406">
        <v>0</v>
      </c>
    </row>
    <row r="618" spans="3:11" ht="21" customHeight="1">
      <c r="C618" s="407" t="s">
        <v>1218</v>
      </c>
      <c r="D618" s="408" t="s">
        <v>1219</v>
      </c>
      <c r="E618" s="409"/>
      <c r="F618" s="409"/>
      <c r="G618" s="410"/>
      <c r="H618" s="397">
        <f>H617+H615+H611</f>
        <v>62043</v>
      </c>
      <c r="I618" s="411"/>
    </row>
    <row r="619" spans="3:11" ht="21" customHeight="1">
      <c r="C619" s="75" t="s">
        <v>1220</v>
      </c>
      <c r="D619" s="76" t="s">
        <v>1321</v>
      </c>
      <c r="E619" s="77"/>
      <c r="F619" s="78"/>
      <c r="G619" s="80">
        <f>$M$8</f>
        <v>0.1</v>
      </c>
      <c r="H619" s="64">
        <f>H618*G619</f>
        <v>6204.3</v>
      </c>
      <c r="I619" s="411"/>
    </row>
    <row r="620" spans="3:11" ht="21" customHeight="1" thickBot="1">
      <c r="C620" s="412" t="s">
        <v>1221</v>
      </c>
      <c r="D620" s="413" t="s">
        <v>1222</v>
      </c>
      <c r="E620" s="414"/>
      <c r="F620" s="414"/>
      <c r="G620" s="415"/>
      <c r="H620" s="416">
        <f>SUM(H618:H619)</f>
        <v>68247.3</v>
      </c>
      <c r="I620" s="411"/>
    </row>
    <row r="621" spans="3:11" ht="21" customHeight="1" thickTop="1">
      <c r="C621" s="426"/>
      <c r="D621" s="427"/>
      <c r="E621" s="427"/>
      <c r="F621" s="427"/>
      <c r="G621" s="427"/>
      <c r="H621" s="428"/>
      <c r="I621" s="411"/>
    </row>
    <row r="622" spans="3:11" ht="14.4" thickBot="1">
      <c r="C622" s="381" t="s">
        <v>2656</v>
      </c>
      <c r="D622" s="385" t="s">
        <v>1362</v>
      </c>
      <c r="E622" s="420"/>
      <c r="F622" s="420"/>
      <c r="G622" s="420"/>
      <c r="H622" s="420"/>
      <c r="I622" s="386">
        <f>ROUNDDOWN(H638,-2)</f>
        <v>28600</v>
      </c>
      <c r="J622" s="59" t="s">
        <v>6451</v>
      </c>
      <c r="K622" s="59" t="s">
        <v>6524</v>
      </c>
    </row>
    <row r="623" spans="3:11" ht="28.2" thickTop="1">
      <c r="C623" s="387" t="s">
        <v>1195</v>
      </c>
      <c r="D623" s="388" t="s">
        <v>1196</v>
      </c>
      <c r="E623" s="388" t="s">
        <v>1197</v>
      </c>
      <c r="F623" s="388" t="s">
        <v>1198</v>
      </c>
      <c r="G623" s="388" t="s">
        <v>1199</v>
      </c>
      <c r="H623" s="389" t="s">
        <v>1200</v>
      </c>
    </row>
    <row r="624" spans="3:11" ht="19.8" customHeight="1">
      <c r="C624" s="390" t="s">
        <v>1201</v>
      </c>
      <c r="D624" s="391" t="s">
        <v>1202</v>
      </c>
      <c r="E624" s="392"/>
      <c r="F624" s="392"/>
      <c r="G624" s="392"/>
      <c r="H624" s="393"/>
    </row>
    <row r="625" spans="3:9" ht="19.8" customHeight="1">
      <c r="C625" s="394">
        <v>1</v>
      </c>
      <c r="D625" s="391" t="s">
        <v>5</v>
      </c>
      <c r="E625" s="395" t="s">
        <v>6</v>
      </c>
      <c r="F625" s="396">
        <v>0.14000000000000001</v>
      </c>
      <c r="G625" s="63">
        <f>VLOOKUP(D625,upahbahan,3,FALSE)</f>
        <v>100000</v>
      </c>
      <c r="H625" s="397">
        <f>F625*G625</f>
        <v>14000.000000000002</v>
      </c>
    </row>
    <row r="626" spans="3:9" ht="19.8" customHeight="1">
      <c r="C626" s="394">
        <v>2</v>
      </c>
      <c r="D626" s="391" t="s">
        <v>8</v>
      </c>
      <c r="E626" s="395" t="s">
        <v>6</v>
      </c>
      <c r="F626" s="396">
        <v>6.7000000000000004E-2</v>
      </c>
      <c r="G626" s="63">
        <f>VLOOKUP(D626,upahbahan,3,FALSE)</f>
        <v>135000</v>
      </c>
      <c r="H626" s="397">
        <f>F626*G626</f>
        <v>9045</v>
      </c>
    </row>
    <row r="627" spans="3:9" ht="19.8" customHeight="1">
      <c r="C627" s="394">
        <v>3</v>
      </c>
      <c r="D627" s="391" t="s">
        <v>18</v>
      </c>
      <c r="E627" s="395" t="s">
        <v>6</v>
      </c>
      <c r="F627" s="396">
        <v>6.7000000000000002E-3</v>
      </c>
      <c r="G627" s="63">
        <f>VLOOKUP(D627,upahbahan,3,FALSE)</f>
        <v>150000</v>
      </c>
      <c r="H627" s="397">
        <f>F627*G627</f>
        <v>1005</v>
      </c>
    </row>
    <row r="628" spans="3:9" ht="19.8" customHeight="1">
      <c r="C628" s="394">
        <v>4</v>
      </c>
      <c r="D628" s="391" t="s">
        <v>19</v>
      </c>
      <c r="E628" s="395" t="s">
        <v>6</v>
      </c>
      <c r="F628" s="396">
        <v>2.2000000000000001E-3</v>
      </c>
      <c r="G628" s="63">
        <f>VLOOKUP(D628,upahbahan,3,FALSE)</f>
        <v>160000</v>
      </c>
      <c r="H628" s="397">
        <f>F628*G628</f>
        <v>352</v>
      </c>
    </row>
    <row r="629" spans="3:9" ht="19.8" customHeight="1">
      <c r="C629" s="398" t="s">
        <v>1208</v>
      </c>
      <c r="D629" s="399"/>
      <c r="E629" s="399"/>
      <c r="F629" s="400"/>
      <c r="G629" s="401"/>
      <c r="H629" s="397">
        <f>SUM(H625:H628)</f>
        <v>24402</v>
      </c>
      <c r="I629" s="402"/>
    </row>
    <row r="630" spans="3:9" ht="19.8" customHeight="1">
      <c r="C630" s="390" t="s">
        <v>1209</v>
      </c>
      <c r="D630" s="391" t="s">
        <v>1210</v>
      </c>
      <c r="E630" s="392"/>
      <c r="F630" s="392"/>
      <c r="G630" s="392"/>
      <c r="H630" s="393"/>
    </row>
    <row r="631" spans="3:9" ht="19.8" customHeight="1">
      <c r="C631" s="394">
        <v>1</v>
      </c>
      <c r="D631" s="424" t="s">
        <v>356</v>
      </c>
      <c r="E631" s="425" t="s">
        <v>129</v>
      </c>
      <c r="F631" s="396">
        <v>0.64810000000000001</v>
      </c>
      <c r="G631" s="63">
        <f>VLOOKUP(D631,upahbahan,3,FALSE)</f>
        <v>0</v>
      </c>
      <c r="H631" s="397">
        <f>F631*G631</f>
        <v>0</v>
      </c>
    </row>
    <row r="632" spans="3:9" ht="19.8" customHeight="1">
      <c r="C632" s="394">
        <v>2</v>
      </c>
      <c r="D632" s="391" t="s">
        <v>259</v>
      </c>
      <c r="E632" s="395" t="s">
        <v>65</v>
      </c>
      <c r="F632" s="421">
        <v>0.05</v>
      </c>
      <c r="G632" s="63">
        <f>VLOOKUP(D632,upahbahan,3,FALSE)</f>
        <v>33075</v>
      </c>
      <c r="H632" s="397">
        <f>F632*G632</f>
        <v>1653.75</v>
      </c>
    </row>
    <row r="633" spans="3:9" ht="19.8" customHeight="1">
      <c r="C633" s="398" t="s">
        <v>1214</v>
      </c>
      <c r="D633" s="399"/>
      <c r="E633" s="399"/>
      <c r="F633" s="399"/>
      <c r="G633" s="404"/>
      <c r="H633" s="397">
        <f>SUM(H631:H632)</f>
        <v>1653.75</v>
      </c>
    </row>
    <row r="634" spans="3:9" ht="19.8" customHeight="1">
      <c r="C634" s="405" t="s">
        <v>1215</v>
      </c>
      <c r="D634" s="391" t="s">
        <v>1216</v>
      </c>
      <c r="E634" s="392"/>
      <c r="F634" s="392"/>
      <c r="G634" s="392"/>
      <c r="H634" s="393"/>
    </row>
    <row r="635" spans="3:9" ht="19.8" customHeight="1">
      <c r="C635" s="398" t="s">
        <v>1217</v>
      </c>
      <c r="D635" s="399"/>
      <c r="E635" s="399"/>
      <c r="F635" s="399"/>
      <c r="G635" s="404"/>
      <c r="H635" s="406">
        <v>0</v>
      </c>
    </row>
    <row r="636" spans="3:9" ht="19.8" customHeight="1">
      <c r="C636" s="407" t="s">
        <v>1218</v>
      </c>
      <c r="D636" s="408" t="s">
        <v>1219</v>
      </c>
      <c r="E636" s="409"/>
      <c r="F636" s="409"/>
      <c r="G636" s="410"/>
      <c r="H636" s="397">
        <f>H635+H633+H629</f>
        <v>26055.75</v>
      </c>
      <c r="I636" s="411"/>
    </row>
    <row r="637" spans="3:9" ht="19.8" customHeight="1">
      <c r="C637" s="75" t="s">
        <v>1220</v>
      </c>
      <c r="D637" s="76" t="s">
        <v>1321</v>
      </c>
      <c r="E637" s="77"/>
      <c r="F637" s="78"/>
      <c r="G637" s="80">
        <f>$M$8</f>
        <v>0.1</v>
      </c>
      <c r="H637" s="64">
        <f>H636*G637</f>
        <v>2605.5750000000003</v>
      </c>
      <c r="I637" s="411"/>
    </row>
    <row r="638" spans="3:9" ht="19.8" customHeight="1" thickBot="1">
      <c r="C638" s="412" t="s">
        <v>1221</v>
      </c>
      <c r="D638" s="413" t="s">
        <v>1222</v>
      </c>
      <c r="E638" s="414"/>
      <c r="F638" s="414"/>
      <c r="G638" s="415"/>
      <c r="H638" s="416">
        <f>SUM(H636:H637)</f>
        <v>28661.325000000001</v>
      </c>
      <c r="I638" s="411"/>
    </row>
    <row r="639" spans="3:9" ht="14.4" thickTop="1"/>
    <row r="640" spans="3:9" ht="14.4" thickBot="1">
      <c r="C640" s="381" t="s">
        <v>2657</v>
      </c>
      <c r="D640" s="385" t="s">
        <v>1363</v>
      </c>
      <c r="E640" s="420"/>
      <c r="F640" s="420"/>
      <c r="G640" s="420"/>
      <c r="H640" s="420"/>
      <c r="I640" s="386">
        <f>ROUNDDOWN(H656,-2)</f>
        <v>53100</v>
      </c>
    </row>
    <row r="641" spans="3:9" ht="28.2" thickTop="1">
      <c r="C641" s="387" t="s">
        <v>1195</v>
      </c>
      <c r="D641" s="388" t="s">
        <v>1196</v>
      </c>
      <c r="E641" s="388" t="s">
        <v>1197</v>
      </c>
      <c r="F641" s="388" t="s">
        <v>1198</v>
      </c>
      <c r="G641" s="388" t="s">
        <v>1199</v>
      </c>
      <c r="H641" s="389" t="s">
        <v>1200</v>
      </c>
    </row>
    <row r="642" spans="3:9" ht="19.2" customHeight="1">
      <c r="C642" s="390" t="s">
        <v>1201</v>
      </c>
      <c r="D642" s="391" t="s">
        <v>1202</v>
      </c>
      <c r="E642" s="392"/>
      <c r="F642" s="392"/>
      <c r="G642" s="392"/>
      <c r="H642" s="393"/>
    </row>
    <row r="643" spans="3:9" ht="19.2" customHeight="1">
      <c r="C643" s="394">
        <v>1</v>
      </c>
      <c r="D643" s="391" t="s">
        <v>5</v>
      </c>
      <c r="E643" s="395" t="s">
        <v>6</v>
      </c>
      <c r="F643" s="396">
        <v>0.2</v>
      </c>
      <c r="G643" s="63">
        <f>VLOOKUP(D643,upahbahan,3,FALSE)</f>
        <v>100000</v>
      </c>
      <c r="H643" s="397">
        <f>F643*G643</f>
        <v>20000</v>
      </c>
    </row>
    <row r="644" spans="3:9" ht="19.2" customHeight="1">
      <c r="C644" s="394">
        <v>2</v>
      </c>
      <c r="D644" s="391" t="s">
        <v>8</v>
      </c>
      <c r="E644" s="395" t="s">
        <v>6</v>
      </c>
      <c r="F644" s="396">
        <v>0.1</v>
      </c>
      <c r="G644" s="63">
        <f>VLOOKUP(D644,upahbahan,3,FALSE)</f>
        <v>135000</v>
      </c>
      <c r="H644" s="397">
        <f>F644*G644</f>
        <v>13500</v>
      </c>
    </row>
    <row r="645" spans="3:9" ht="19.2" customHeight="1">
      <c r="C645" s="394">
        <v>3</v>
      </c>
      <c r="D645" s="391" t="s">
        <v>18</v>
      </c>
      <c r="E645" s="395" t="s">
        <v>6</v>
      </c>
      <c r="F645" s="396">
        <v>0.01</v>
      </c>
      <c r="G645" s="63">
        <f>VLOOKUP(D645,upahbahan,3,FALSE)</f>
        <v>150000</v>
      </c>
      <c r="H645" s="397">
        <f>F645*G645</f>
        <v>1500</v>
      </c>
    </row>
    <row r="646" spans="3:9" ht="19.2" customHeight="1">
      <c r="C646" s="394">
        <v>4</v>
      </c>
      <c r="D646" s="391" t="s">
        <v>19</v>
      </c>
      <c r="E646" s="395" t="s">
        <v>6</v>
      </c>
      <c r="F646" s="396">
        <v>3.3E-3</v>
      </c>
      <c r="G646" s="63">
        <f>VLOOKUP(D646,upahbahan,3,FALSE)</f>
        <v>160000</v>
      </c>
      <c r="H646" s="397">
        <f>F646*G646</f>
        <v>528</v>
      </c>
    </row>
    <row r="647" spans="3:9" ht="19.2" customHeight="1">
      <c r="C647" s="398" t="s">
        <v>1208</v>
      </c>
      <c r="D647" s="399"/>
      <c r="E647" s="399"/>
      <c r="F647" s="400"/>
      <c r="G647" s="401"/>
      <c r="H647" s="397">
        <f>SUM(H643:H646)</f>
        <v>35528</v>
      </c>
      <c r="I647" s="402"/>
    </row>
    <row r="648" spans="3:9" ht="19.2" customHeight="1">
      <c r="C648" s="390" t="s">
        <v>1209</v>
      </c>
      <c r="D648" s="391" t="s">
        <v>1210</v>
      </c>
      <c r="E648" s="392"/>
      <c r="F648" s="392"/>
      <c r="G648" s="392"/>
      <c r="H648" s="393"/>
    </row>
    <row r="649" spans="3:9" ht="19.2" customHeight="1">
      <c r="C649" s="394">
        <v>1</v>
      </c>
      <c r="D649" s="424" t="s">
        <v>315</v>
      </c>
      <c r="E649" s="425" t="s">
        <v>62</v>
      </c>
      <c r="F649" s="396">
        <v>0.1002</v>
      </c>
      <c r="G649" s="63">
        <f>VLOOKUP(D649,upahbahan,3,FALSE)</f>
        <v>0</v>
      </c>
      <c r="H649" s="397">
        <f>F649*G649</f>
        <v>0</v>
      </c>
    </row>
    <row r="650" spans="3:9" ht="19.2" customHeight="1">
      <c r="C650" s="394">
        <v>2</v>
      </c>
      <c r="D650" s="391" t="s">
        <v>1376</v>
      </c>
      <c r="E650" s="395" t="s">
        <v>44</v>
      </c>
      <c r="F650" s="396">
        <v>8</v>
      </c>
      <c r="G650" s="63">
        <f>VLOOKUP(D650,upahbahan,3,FALSE)</f>
        <v>1600</v>
      </c>
      <c r="H650" s="397">
        <f>F650*G650</f>
        <v>12800</v>
      </c>
    </row>
    <row r="651" spans="3:9" ht="19.2" customHeight="1">
      <c r="C651" s="398" t="s">
        <v>1214</v>
      </c>
      <c r="D651" s="399"/>
      <c r="E651" s="399"/>
      <c r="F651" s="399"/>
      <c r="G651" s="404"/>
      <c r="H651" s="397">
        <f>SUM(H649:H650)</f>
        <v>12800</v>
      </c>
    </row>
    <row r="652" spans="3:9" ht="19.2" customHeight="1">
      <c r="C652" s="405" t="s">
        <v>1215</v>
      </c>
      <c r="D652" s="391" t="s">
        <v>1216</v>
      </c>
      <c r="E652" s="392"/>
      <c r="F652" s="392"/>
      <c r="G652" s="392"/>
      <c r="H652" s="393"/>
    </row>
    <row r="653" spans="3:9" ht="19.2" customHeight="1">
      <c r="C653" s="398" t="s">
        <v>1217</v>
      </c>
      <c r="D653" s="399"/>
      <c r="E653" s="399"/>
      <c r="F653" s="399"/>
      <c r="G653" s="404"/>
      <c r="H653" s="406">
        <v>0</v>
      </c>
    </row>
    <row r="654" spans="3:9" ht="19.2" customHeight="1">
      <c r="C654" s="407" t="s">
        <v>1218</v>
      </c>
      <c r="D654" s="408" t="s">
        <v>1219</v>
      </c>
      <c r="E654" s="409"/>
      <c r="F654" s="409"/>
      <c r="G654" s="410"/>
      <c r="H654" s="397">
        <f>H653+H651+H647</f>
        <v>48328</v>
      </c>
      <c r="I654" s="411"/>
    </row>
    <row r="655" spans="3:9" ht="19.2" customHeight="1">
      <c r="C655" s="75" t="s">
        <v>1220</v>
      </c>
      <c r="D655" s="76" t="s">
        <v>1321</v>
      </c>
      <c r="E655" s="77"/>
      <c r="F655" s="78"/>
      <c r="G655" s="80">
        <f>$M$8</f>
        <v>0.1</v>
      </c>
      <c r="H655" s="64">
        <f>H654*G655</f>
        <v>4832.8</v>
      </c>
      <c r="I655" s="411"/>
    </row>
    <row r="656" spans="3:9" ht="19.2" customHeight="1" thickBot="1">
      <c r="C656" s="412" t="s">
        <v>1221</v>
      </c>
      <c r="D656" s="413" t="s">
        <v>1222</v>
      </c>
      <c r="E656" s="414"/>
      <c r="F656" s="414"/>
      <c r="G656" s="415"/>
      <c r="H656" s="416">
        <f>SUM(H654:H655)</f>
        <v>53160.800000000003</v>
      </c>
      <c r="I656" s="411"/>
    </row>
    <row r="657" spans="3:9" ht="14.4" thickTop="1"/>
    <row r="658" spans="3:9" ht="14.4" thickBot="1">
      <c r="C658" s="381" t="s">
        <v>2658</v>
      </c>
      <c r="D658" s="385" t="s">
        <v>1364</v>
      </c>
      <c r="E658" s="420"/>
      <c r="F658" s="420"/>
      <c r="G658" s="420"/>
      <c r="H658" s="420"/>
      <c r="I658" s="386">
        <f>ROUNDDOWN(H676,-2)</f>
        <v>106700</v>
      </c>
    </row>
    <row r="659" spans="3:9" ht="28.2" thickTop="1">
      <c r="C659" s="387" t="s">
        <v>1195</v>
      </c>
      <c r="D659" s="388" t="s">
        <v>1196</v>
      </c>
      <c r="E659" s="388" t="s">
        <v>1197</v>
      </c>
      <c r="F659" s="388" t="s">
        <v>1198</v>
      </c>
      <c r="G659" s="388" t="s">
        <v>1199</v>
      </c>
      <c r="H659" s="389" t="s">
        <v>1200</v>
      </c>
    </row>
    <row r="660" spans="3:9" ht="22.2" customHeight="1">
      <c r="C660" s="390" t="s">
        <v>1201</v>
      </c>
      <c r="D660" s="391" t="s">
        <v>1202</v>
      </c>
      <c r="E660" s="392"/>
      <c r="F660" s="392"/>
      <c r="G660" s="392"/>
      <c r="H660" s="393"/>
    </row>
    <row r="661" spans="3:9" ht="22.2" customHeight="1">
      <c r="C661" s="394">
        <v>1</v>
      </c>
      <c r="D661" s="391" t="s">
        <v>5</v>
      </c>
      <c r="E661" s="395" t="s">
        <v>6</v>
      </c>
      <c r="F661" s="396">
        <v>0.2</v>
      </c>
      <c r="G661" s="63">
        <f>VLOOKUP(D661,upahbahan,3,FALSE)</f>
        <v>100000</v>
      </c>
      <c r="H661" s="397">
        <f>F661*G661</f>
        <v>20000</v>
      </c>
    </row>
    <row r="662" spans="3:9" ht="22.2" customHeight="1">
      <c r="C662" s="394">
        <v>2</v>
      </c>
      <c r="D662" s="391" t="s">
        <v>8</v>
      </c>
      <c r="E662" s="395" t="s">
        <v>6</v>
      </c>
      <c r="F662" s="396">
        <v>0.3</v>
      </c>
      <c r="G662" s="63">
        <f>VLOOKUP(D662,upahbahan,3,FALSE)</f>
        <v>135000</v>
      </c>
      <c r="H662" s="397">
        <f>F662*G662</f>
        <v>40500</v>
      </c>
    </row>
    <row r="663" spans="3:9" ht="22.2" customHeight="1">
      <c r="C663" s="394">
        <v>3</v>
      </c>
      <c r="D663" s="391" t="s">
        <v>18</v>
      </c>
      <c r="E663" s="395" t="s">
        <v>6</v>
      </c>
      <c r="F663" s="396">
        <v>0.03</v>
      </c>
      <c r="G663" s="63">
        <f>VLOOKUP(D663,upahbahan,3,FALSE)</f>
        <v>150000</v>
      </c>
      <c r="H663" s="397">
        <f>F663*G663</f>
        <v>4500</v>
      </c>
    </row>
    <row r="664" spans="3:9" ht="22.2" customHeight="1">
      <c r="C664" s="394">
        <v>4</v>
      </c>
      <c r="D664" s="391" t="s">
        <v>19</v>
      </c>
      <c r="E664" s="395" t="s">
        <v>6</v>
      </c>
      <c r="F664" s="396">
        <v>0.01</v>
      </c>
      <c r="G664" s="63">
        <f>VLOOKUP(D664,upahbahan,3,FALSE)</f>
        <v>160000</v>
      </c>
      <c r="H664" s="397">
        <f>F664*G664</f>
        <v>1600</v>
      </c>
    </row>
    <row r="665" spans="3:9" ht="22.2" customHeight="1">
      <c r="C665" s="398" t="s">
        <v>1208</v>
      </c>
      <c r="D665" s="399"/>
      <c r="E665" s="399"/>
      <c r="F665" s="400"/>
      <c r="G665" s="401"/>
      <c r="H665" s="397">
        <f>SUM(H661:H664)</f>
        <v>66600</v>
      </c>
      <c r="I665" s="402"/>
    </row>
    <row r="666" spans="3:9" ht="22.2" customHeight="1">
      <c r="C666" s="390" t="s">
        <v>1209</v>
      </c>
      <c r="D666" s="391" t="s">
        <v>1210</v>
      </c>
      <c r="E666" s="392"/>
      <c r="F666" s="392"/>
      <c r="G666" s="392"/>
      <c r="H666" s="393"/>
    </row>
    <row r="667" spans="3:9" ht="22.2" customHeight="1">
      <c r="C667" s="394">
        <v>1</v>
      </c>
      <c r="D667" s="391" t="s">
        <v>330</v>
      </c>
      <c r="E667" s="425" t="s">
        <v>44</v>
      </c>
      <c r="F667" s="421">
        <v>1.5</v>
      </c>
      <c r="G667" s="63">
        <f>VLOOKUP(D667,upahbahan,3,FALSE)</f>
        <v>0</v>
      </c>
      <c r="H667" s="397">
        <f>F667*G667</f>
        <v>0</v>
      </c>
    </row>
    <row r="668" spans="3:9" ht="22.2" customHeight="1">
      <c r="C668" s="394">
        <v>2</v>
      </c>
      <c r="D668" s="391" t="s">
        <v>137</v>
      </c>
      <c r="E668" s="425" t="s">
        <v>129</v>
      </c>
      <c r="F668" s="421">
        <v>0.35</v>
      </c>
      <c r="G668" s="63">
        <f>VLOOKUP(D668,upahbahan,3,FALSE)</f>
        <v>84200</v>
      </c>
      <c r="H668" s="397">
        <f>F668*G668</f>
        <v>29469.999999999996</v>
      </c>
    </row>
    <row r="669" spans="3:9" ht="22.2" customHeight="1">
      <c r="C669" s="394">
        <v>3</v>
      </c>
      <c r="D669" s="391" t="s">
        <v>259</v>
      </c>
      <c r="E669" s="395" t="s">
        <v>65</v>
      </c>
      <c r="F669" s="421">
        <v>0.03</v>
      </c>
      <c r="G669" s="63">
        <f>VLOOKUP(D669,upahbahan,3,FALSE)</f>
        <v>33075</v>
      </c>
      <c r="H669" s="397">
        <f>F669*G669</f>
        <v>992.25</v>
      </c>
    </row>
    <row r="670" spans="3:9" ht="22.2" customHeight="1">
      <c r="C670" s="394">
        <v>4</v>
      </c>
      <c r="D670" s="391" t="s">
        <v>1030</v>
      </c>
      <c r="E670" s="395" t="s">
        <v>44</v>
      </c>
      <c r="F670" s="421">
        <v>0.5</v>
      </c>
      <c r="G670" s="63">
        <f>VLOOKUP(D670,upahbahan,3,FALSE)</f>
        <v>0</v>
      </c>
      <c r="H670" s="397">
        <f>F670*G670</f>
        <v>0</v>
      </c>
    </row>
    <row r="671" spans="3:9" ht="22.2" customHeight="1">
      <c r="C671" s="398" t="s">
        <v>1214</v>
      </c>
      <c r="D671" s="399"/>
      <c r="E671" s="399"/>
      <c r="F671" s="399"/>
      <c r="G671" s="404"/>
      <c r="H671" s="397">
        <f>SUM(H667:H670)</f>
        <v>30462.249999999996</v>
      </c>
    </row>
    <row r="672" spans="3:9" ht="22.2" customHeight="1">
      <c r="C672" s="405" t="s">
        <v>1215</v>
      </c>
      <c r="D672" s="391" t="s">
        <v>1216</v>
      </c>
      <c r="E672" s="392"/>
      <c r="F672" s="392"/>
      <c r="G672" s="392"/>
      <c r="H672" s="393"/>
    </row>
    <row r="673" spans="3:9" ht="22.2" customHeight="1">
      <c r="C673" s="398" t="s">
        <v>1217</v>
      </c>
      <c r="D673" s="399"/>
      <c r="E673" s="399"/>
      <c r="F673" s="399"/>
      <c r="G673" s="404"/>
      <c r="H673" s="406">
        <v>0</v>
      </c>
    </row>
    <row r="674" spans="3:9" ht="22.2" customHeight="1">
      <c r="C674" s="407" t="s">
        <v>1218</v>
      </c>
      <c r="D674" s="408" t="s">
        <v>1219</v>
      </c>
      <c r="E674" s="409"/>
      <c r="F674" s="409"/>
      <c r="G674" s="410"/>
      <c r="H674" s="397">
        <f>H673+H671+H665</f>
        <v>97062.25</v>
      </c>
      <c r="I674" s="411"/>
    </row>
    <row r="675" spans="3:9" ht="22.2" customHeight="1">
      <c r="C675" s="75" t="s">
        <v>1220</v>
      </c>
      <c r="D675" s="76" t="s">
        <v>1321</v>
      </c>
      <c r="E675" s="77"/>
      <c r="F675" s="78"/>
      <c r="G675" s="80">
        <f>$M$8</f>
        <v>0.1</v>
      </c>
      <c r="H675" s="64">
        <f>H674*G675</f>
        <v>9706.2250000000004</v>
      </c>
      <c r="I675" s="411"/>
    </row>
    <row r="676" spans="3:9" ht="22.2" customHeight="1" thickBot="1">
      <c r="C676" s="412" t="s">
        <v>1221</v>
      </c>
      <c r="D676" s="413" t="s">
        <v>1222</v>
      </c>
      <c r="E676" s="414"/>
      <c r="F676" s="414"/>
      <c r="G676" s="415"/>
      <c r="H676" s="416">
        <f>SUM(H674:H675)</f>
        <v>106768.47500000001</v>
      </c>
      <c r="I676" s="411"/>
    </row>
    <row r="677" spans="3:9" ht="14.4" thickTop="1">
      <c r="C677" s="426"/>
      <c r="D677" s="427"/>
      <c r="E677" s="427"/>
      <c r="F677" s="427"/>
      <c r="G677" s="427"/>
      <c r="H677" s="428"/>
      <c r="I677" s="411"/>
    </row>
    <row r="678" spans="3:9" ht="14.4" thickBot="1">
      <c r="C678" s="381" t="s">
        <v>2659</v>
      </c>
      <c r="D678" s="385" t="s">
        <v>2660</v>
      </c>
      <c r="E678" s="420"/>
      <c r="F678" s="420"/>
      <c r="G678" s="420"/>
      <c r="H678" s="420"/>
      <c r="I678" s="386">
        <f>ROUNDDOWN(H694,-2)</f>
        <v>311000</v>
      </c>
    </row>
    <row r="679" spans="3:9" ht="28.2" thickTop="1">
      <c r="C679" s="387" t="s">
        <v>1195</v>
      </c>
      <c r="D679" s="388" t="s">
        <v>1196</v>
      </c>
      <c r="E679" s="388" t="s">
        <v>1197</v>
      </c>
      <c r="F679" s="388" t="s">
        <v>1198</v>
      </c>
      <c r="G679" s="388" t="s">
        <v>1199</v>
      </c>
      <c r="H679" s="389" t="s">
        <v>1200</v>
      </c>
    </row>
    <row r="680" spans="3:9" ht="21" customHeight="1">
      <c r="C680" s="390" t="s">
        <v>1201</v>
      </c>
      <c r="D680" s="391" t="s">
        <v>1202</v>
      </c>
      <c r="E680" s="392"/>
      <c r="F680" s="392"/>
      <c r="G680" s="392"/>
      <c r="H680" s="393"/>
    </row>
    <row r="681" spans="3:9" ht="21" customHeight="1">
      <c r="C681" s="394">
        <v>1</v>
      </c>
      <c r="D681" s="391" t="s">
        <v>5</v>
      </c>
      <c r="E681" s="395" t="s">
        <v>6</v>
      </c>
      <c r="F681" s="396">
        <v>0.1333</v>
      </c>
      <c r="G681" s="63">
        <f>VLOOKUP(D681,upahbahan,3,FALSE)</f>
        <v>100000</v>
      </c>
      <c r="H681" s="397">
        <f>F681*G681</f>
        <v>13330</v>
      </c>
    </row>
    <row r="682" spans="3:9" ht="21" customHeight="1">
      <c r="C682" s="394">
        <v>2</v>
      </c>
      <c r="D682" s="391" t="s">
        <v>8</v>
      </c>
      <c r="E682" s="395" t="s">
        <v>6</v>
      </c>
      <c r="F682" s="396">
        <v>6.6699999999999995E-2</v>
      </c>
      <c r="G682" s="63">
        <f>VLOOKUP(D682,upahbahan,3,FALSE)</f>
        <v>135000</v>
      </c>
      <c r="H682" s="397">
        <f>F682*G682</f>
        <v>9004.5</v>
      </c>
    </row>
    <row r="683" spans="3:9" ht="21" customHeight="1">
      <c r="C683" s="394">
        <v>3</v>
      </c>
      <c r="D683" s="391" t="s">
        <v>18</v>
      </c>
      <c r="E683" s="395" t="s">
        <v>6</v>
      </c>
      <c r="F683" s="396">
        <v>6.7000000000000002E-3</v>
      </c>
      <c r="G683" s="63">
        <f>VLOOKUP(D683,upahbahan,3,FALSE)</f>
        <v>150000</v>
      </c>
      <c r="H683" s="397">
        <f>F683*G683</f>
        <v>1005</v>
      </c>
    </row>
    <row r="684" spans="3:9" ht="21" customHeight="1">
      <c r="C684" s="394">
        <v>4</v>
      </c>
      <c r="D684" s="391" t="s">
        <v>19</v>
      </c>
      <c r="E684" s="395" t="s">
        <v>6</v>
      </c>
      <c r="F684" s="396">
        <v>2.2000000000000001E-3</v>
      </c>
      <c r="G684" s="63">
        <f>VLOOKUP(D684,upahbahan,3,FALSE)</f>
        <v>160000</v>
      </c>
      <c r="H684" s="397">
        <f>F684*G684</f>
        <v>352</v>
      </c>
    </row>
    <row r="685" spans="3:9" ht="21" customHeight="1">
      <c r="C685" s="398" t="s">
        <v>1208</v>
      </c>
      <c r="D685" s="399"/>
      <c r="E685" s="399"/>
      <c r="F685" s="400"/>
      <c r="G685" s="401"/>
      <c r="H685" s="397">
        <f>SUM(H681:H684)</f>
        <v>23691.5</v>
      </c>
      <c r="I685" s="402"/>
    </row>
    <row r="686" spans="3:9" ht="21" customHeight="1">
      <c r="C686" s="390" t="s">
        <v>1209</v>
      </c>
      <c r="D686" s="391" t="s">
        <v>1210</v>
      </c>
      <c r="E686" s="392"/>
      <c r="F686" s="392"/>
      <c r="G686" s="392"/>
      <c r="H686" s="393"/>
    </row>
    <row r="687" spans="3:9" ht="21" customHeight="1">
      <c r="C687" s="394">
        <v>1</v>
      </c>
      <c r="D687" s="391" t="s">
        <v>2661</v>
      </c>
      <c r="E687" s="425" t="s">
        <v>62</v>
      </c>
      <c r="F687" s="421">
        <v>1.3</v>
      </c>
      <c r="G687" s="63">
        <f>VLOOKUP(D687,upahbahan,3,FALSE)</f>
        <v>198000</v>
      </c>
      <c r="H687" s="397">
        <f>F687*G687</f>
        <v>257400</v>
      </c>
    </row>
    <row r="688" spans="3:9" ht="21" customHeight="1">
      <c r="C688" s="394">
        <v>2</v>
      </c>
      <c r="D688" s="391" t="s">
        <v>259</v>
      </c>
      <c r="E688" s="395" t="s">
        <v>65</v>
      </c>
      <c r="F688" s="421">
        <v>0.05</v>
      </c>
      <c r="G688" s="63">
        <f>VLOOKUP(D688,upahbahan,3,FALSE)</f>
        <v>33075</v>
      </c>
      <c r="H688" s="397">
        <f>F688*G688</f>
        <v>1653.75</v>
      </c>
    </row>
    <row r="689" spans="3:9" ht="21" customHeight="1">
      <c r="C689" s="398" t="s">
        <v>1214</v>
      </c>
      <c r="D689" s="399"/>
      <c r="E689" s="399"/>
      <c r="F689" s="399"/>
      <c r="G689" s="404"/>
      <c r="H689" s="397">
        <f>SUM(H687:H688)</f>
        <v>259053.75</v>
      </c>
    </row>
    <row r="690" spans="3:9" ht="21" customHeight="1">
      <c r="C690" s="405" t="s">
        <v>1215</v>
      </c>
      <c r="D690" s="391" t="s">
        <v>1216</v>
      </c>
      <c r="E690" s="392"/>
      <c r="F690" s="392"/>
      <c r="G690" s="392"/>
      <c r="H690" s="393"/>
    </row>
    <row r="691" spans="3:9" ht="21" customHeight="1">
      <c r="C691" s="398" t="s">
        <v>1217</v>
      </c>
      <c r="D691" s="399"/>
      <c r="E691" s="399"/>
      <c r="F691" s="399"/>
      <c r="G691" s="404"/>
      <c r="H691" s="406">
        <v>0</v>
      </c>
    </row>
    <row r="692" spans="3:9" ht="21" customHeight="1">
      <c r="C692" s="407" t="s">
        <v>1218</v>
      </c>
      <c r="D692" s="408" t="s">
        <v>1219</v>
      </c>
      <c r="E692" s="409"/>
      <c r="F692" s="409"/>
      <c r="G692" s="410"/>
      <c r="H692" s="397">
        <f>H691+H689+H685</f>
        <v>282745.25</v>
      </c>
      <c r="I692" s="411"/>
    </row>
    <row r="693" spans="3:9" ht="21" customHeight="1">
      <c r="C693" s="75" t="s">
        <v>1220</v>
      </c>
      <c r="D693" s="76" t="s">
        <v>1321</v>
      </c>
      <c r="E693" s="77"/>
      <c r="F693" s="78"/>
      <c r="G693" s="80">
        <f>$M$8</f>
        <v>0.1</v>
      </c>
      <c r="H693" s="64">
        <f>H692*G693</f>
        <v>28274.525000000001</v>
      </c>
      <c r="I693" s="411"/>
    </row>
    <row r="694" spans="3:9" ht="21" customHeight="1" thickBot="1">
      <c r="C694" s="412" t="s">
        <v>1221</v>
      </c>
      <c r="D694" s="413" t="s">
        <v>1222</v>
      </c>
      <c r="E694" s="414"/>
      <c r="F694" s="414"/>
      <c r="G694" s="415"/>
      <c r="H694" s="416">
        <f>SUM(H692:H693)</f>
        <v>311019.77500000002</v>
      </c>
      <c r="I694" s="411"/>
    </row>
    <row r="695" spans="3:9" ht="14.4" thickTop="1">
      <c r="C695" s="426"/>
      <c r="D695" s="427"/>
      <c r="E695" s="427"/>
      <c r="F695" s="427"/>
      <c r="G695" s="427"/>
      <c r="H695" s="428"/>
      <c r="I695" s="411"/>
    </row>
    <row r="696" spans="3:9" ht="14.4" thickBot="1">
      <c r="C696" s="381" t="s">
        <v>2662</v>
      </c>
      <c r="D696" s="385" t="s">
        <v>1365</v>
      </c>
      <c r="E696" s="420"/>
      <c r="F696" s="420"/>
      <c r="G696" s="420"/>
      <c r="H696" s="420"/>
      <c r="I696" s="386">
        <f>ROUNDDOWN(H712,-2)</f>
        <v>51200</v>
      </c>
    </row>
    <row r="697" spans="3:9" ht="28.2" thickTop="1">
      <c r="C697" s="387" t="s">
        <v>1195</v>
      </c>
      <c r="D697" s="388" t="s">
        <v>1196</v>
      </c>
      <c r="E697" s="388" t="s">
        <v>1197</v>
      </c>
      <c r="F697" s="388" t="s">
        <v>1198</v>
      </c>
      <c r="G697" s="388" t="s">
        <v>1199</v>
      </c>
      <c r="H697" s="389" t="s">
        <v>1200</v>
      </c>
    </row>
    <row r="698" spans="3:9" ht="21" customHeight="1">
      <c r="C698" s="390" t="s">
        <v>1201</v>
      </c>
      <c r="D698" s="391" t="s">
        <v>1202</v>
      </c>
      <c r="E698" s="392"/>
      <c r="F698" s="392"/>
      <c r="G698" s="392"/>
      <c r="H698" s="393"/>
    </row>
    <row r="699" spans="3:9" ht="21" customHeight="1">
      <c r="C699" s="394">
        <v>1</v>
      </c>
      <c r="D699" s="391" t="s">
        <v>5</v>
      </c>
      <c r="E699" s="395" t="s">
        <v>6</v>
      </c>
      <c r="F699" s="396">
        <v>0.08</v>
      </c>
      <c r="G699" s="63">
        <f>VLOOKUP(D699,upahbahan,3,FALSE)</f>
        <v>100000</v>
      </c>
      <c r="H699" s="397">
        <f>F699*G699</f>
        <v>8000</v>
      </c>
    </row>
    <row r="700" spans="3:9" ht="21" customHeight="1">
      <c r="C700" s="394">
        <v>2</v>
      </c>
      <c r="D700" s="391" t="s">
        <v>8</v>
      </c>
      <c r="E700" s="395" t="s">
        <v>6</v>
      </c>
      <c r="F700" s="396">
        <v>0.04</v>
      </c>
      <c r="G700" s="63">
        <f>VLOOKUP(D700,upahbahan,3,FALSE)</f>
        <v>135000</v>
      </c>
      <c r="H700" s="397">
        <f>F700*G700</f>
        <v>5400</v>
      </c>
    </row>
    <row r="701" spans="3:9" ht="21" customHeight="1">
      <c r="C701" s="394">
        <v>3</v>
      </c>
      <c r="D701" s="391" t="s">
        <v>18</v>
      </c>
      <c r="E701" s="395" t="s">
        <v>6</v>
      </c>
      <c r="F701" s="396">
        <v>4.0000000000000001E-3</v>
      </c>
      <c r="G701" s="63">
        <f>VLOOKUP(D701,upahbahan,3,FALSE)</f>
        <v>150000</v>
      </c>
      <c r="H701" s="397">
        <f>F701*G701</f>
        <v>600</v>
      </c>
    </row>
    <row r="702" spans="3:9" ht="21" customHeight="1">
      <c r="C702" s="394">
        <v>4</v>
      </c>
      <c r="D702" s="391" t="s">
        <v>19</v>
      </c>
      <c r="E702" s="395" t="s">
        <v>6</v>
      </c>
      <c r="F702" s="396">
        <v>1.2999999999999999E-3</v>
      </c>
      <c r="G702" s="63">
        <f>VLOOKUP(D702,upahbahan,3,FALSE)</f>
        <v>160000</v>
      </c>
      <c r="H702" s="397">
        <f>F702*G702</f>
        <v>208</v>
      </c>
    </row>
    <row r="703" spans="3:9" ht="21" customHeight="1">
      <c r="C703" s="398" t="s">
        <v>1208</v>
      </c>
      <c r="D703" s="399"/>
      <c r="E703" s="399"/>
      <c r="F703" s="400"/>
      <c r="G703" s="401"/>
      <c r="H703" s="397">
        <f>SUM(H699:H702)</f>
        <v>14208</v>
      </c>
      <c r="I703" s="402"/>
    </row>
    <row r="704" spans="3:9" ht="21" customHeight="1">
      <c r="C704" s="390" t="s">
        <v>1209</v>
      </c>
      <c r="D704" s="391" t="s">
        <v>1210</v>
      </c>
      <c r="E704" s="392"/>
      <c r="F704" s="392"/>
      <c r="G704" s="392"/>
      <c r="H704" s="393"/>
    </row>
    <row r="705" spans="3:9" ht="21" customHeight="1">
      <c r="C705" s="394">
        <v>1</v>
      </c>
      <c r="D705" s="391" t="s">
        <v>313</v>
      </c>
      <c r="E705" s="425" t="s">
        <v>62</v>
      </c>
      <c r="F705" s="421">
        <v>1.3</v>
      </c>
      <c r="G705" s="63">
        <f>VLOOKUP(D705,upahbahan,3,FALSE)</f>
        <v>0</v>
      </c>
      <c r="H705" s="397">
        <f>F705*G705</f>
        <v>0</v>
      </c>
    </row>
    <row r="706" spans="3:9" ht="21" customHeight="1">
      <c r="C706" s="394">
        <v>2</v>
      </c>
      <c r="D706" s="391" t="s">
        <v>268</v>
      </c>
      <c r="E706" s="395" t="s">
        <v>65</v>
      </c>
      <c r="F706" s="421">
        <v>0.15</v>
      </c>
      <c r="G706" s="63">
        <f>VLOOKUP(D706,upahbahan,3,FALSE)</f>
        <v>216000</v>
      </c>
      <c r="H706" s="397">
        <f>F706*G706</f>
        <v>32400</v>
      </c>
    </row>
    <row r="707" spans="3:9" ht="21" customHeight="1">
      <c r="C707" s="398" t="s">
        <v>1214</v>
      </c>
      <c r="D707" s="399"/>
      <c r="E707" s="399"/>
      <c r="F707" s="399"/>
      <c r="G707" s="404"/>
      <c r="H707" s="397">
        <f>SUM(H705:H706)</f>
        <v>32400</v>
      </c>
    </row>
    <row r="708" spans="3:9" ht="21" customHeight="1">
      <c r="C708" s="405" t="s">
        <v>1215</v>
      </c>
      <c r="D708" s="391" t="s">
        <v>1216</v>
      </c>
      <c r="E708" s="392"/>
      <c r="F708" s="392"/>
      <c r="G708" s="392"/>
      <c r="H708" s="393"/>
    </row>
    <row r="709" spans="3:9" ht="21" customHeight="1">
      <c r="C709" s="398" t="s">
        <v>1217</v>
      </c>
      <c r="D709" s="399"/>
      <c r="E709" s="399"/>
      <c r="F709" s="399"/>
      <c r="G709" s="404"/>
      <c r="H709" s="406">
        <v>0</v>
      </c>
    </row>
    <row r="710" spans="3:9" ht="21" customHeight="1">
      <c r="C710" s="407" t="s">
        <v>1218</v>
      </c>
      <c r="D710" s="408" t="s">
        <v>1219</v>
      </c>
      <c r="E710" s="409"/>
      <c r="F710" s="409"/>
      <c r="G710" s="410"/>
      <c r="H710" s="397">
        <f>H709+H707+H703</f>
        <v>46608</v>
      </c>
      <c r="I710" s="411"/>
    </row>
    <row r="711" spans="3:9" ht="21" customHeight="1">
      <c r="C711" s="75" t="s">
        <v>1220</v>
      </c>
      <c r="D711" s="76" t="s">
        <v>1321</v>
      </c>
      <c r="E711" s="77"/>
      <c r="F711" s="78"/>
      <c r="G711" s="80">
        <f>$M$8</f>
        <v>0.1</v>
      </c>
      <c r="H711" s="64">
        <f>H710*G711</f>
        <v>4660.8</v>
      </c>
      <c r="I711" s="411"/>
    </row>
    <row r="712" spans="3:9" ht="21" customHeight="1" thickBot="1">
      <c r="C712" s="412" t="s">
        <v>1221</v>
      </c>
      <c r="D712" s="413" t="s">
        <v>1222</v>
      </c>
      <c r="E712" s="414"/>
      <c r="F712" s="414"/>
      <c r="G712" s="415"/>
      <c r="H712" s="416">
        <f>SUM(H710:H711)</f>
        <v>51268.800000000003</v>
      </c>
      <c r="I712" s="411"/>
    </row>
    <row r="713" spans="3:9" ht="14.4" thickTop="1">
      <c r="C713" s="426"/>
      <c r="D713" s="427"/>
      <c r="E713" s="427"/>
      <c r="F713" s="427"/>
      <c r="G713" s="427"/>
      <c r="H713" s="428"/>
      <c r="I713" s="411"/>
    </row>
    <row r="714" spans="3:9">
      <c r="C714" s="382" t="s">
        <v>2663</v>
      </c>
      <c r="D714" s="429" t="s">
        <v>2664</v>
      </c>
      <c r="E714" s="427"/>
      <c r="F714" s="427"/>
      <c r="G714" s="427"/>
      <c r="H714" s="428"/>
      <c r="I714" s="411"/>
    </row>
    <row r="715" spans="3:9" ht="14.4" thickBot="1">
      <c r="C715" s="381" t="s">
        <v>2665</v>
      </c>
      <c r="D715" s="385" t="s">
        <v>1366</v>
      </c>
      <c r="E715" s="420"/>
      <c r="F715" s="420"/>
      <c r="G715" s="420"/>
      <c r="H715" s="420"/>
      <c r="I715" s="386">
        <f>ROUNDDOWN(H731,-2)</f>
        <v>776000</v>
      </c>
    </row>
    <row r="716" spans="3:9" ht="28.2" thickTop="1">
      <c r="C716" s="387" t="s">
        <v>1195</v>
      </c>
      <c r="D716" s="388" t="s">
        <v>1196</v>
      </c>
      <c r="E716" s="388" t="s">
        <v>1197</v>
      </c>
      <c r="F716" s="388" t="s">
        <v>1198</v>
      </c>
      <c r="G716" s="388" t="s">
        <v>1199</v>
      </c>
      <c r="H716" s="389" t="s">
        <v>1200</v>
      </c>
    </row>
    <row r="717" spans="3:9" ht="23.4" customHeight="1">
      <c r="C717" s="390" t="s">
        <v>1201</v>
      </c>
      <c r="D717" s="391" t="s">
        <v>1202</v>
      </c>
      <c r="E717" s="392"/>
      <c r="F717" s="392"/>
      <c r="G717" s="392"/>
      <c r="H717" s="393"/>
    </row>
    <row r="718" spans="3:9" ht="23.4" customHeight="1">
      <c r="C718" s="394">
        <v>1</v>
      </c>
      <c r="D718" s="391" t="s">
        <v>5</v>
      </c>
      <c r="E718" s="395" t="s">
        <v>6</v>
      </c>
      <c r="F718" s="421">
        <v>0.3</v>
      </c>
      <c r="G718" s="63">
        <f>VLOOKUP(D718,upahbahan,3,FALSE)</f>
        <v>100000</v>
      </c>
      <c r="H718" s="397">
        <f>F718*G718</f>
        <v>30000</v>
      </c>
    </row>
    <row r="719" spans="3:9" ht="23.4" customHeight="1">
      <c r="C719" s="394">
        <v>2</v>
      </c>
      <c r="D719" s="391" t="s">
        <v>8</v>
      </c>
      <c r="E719" s="395" t="s">
        <v>6</v>
      </c>
      <c r="F719" s="421">
        <v>0.1</v>
      </c>
      <c r="G719" s="63">
        <f>VLOOKUP(D719,upahbahan,3,FALSE)</f>
        <v>135000</v>
      </c>
      <c r="H719" s="397">
        <f>F719*G719</f>
        <v>13500</v>
      </c>
    </row>
    <row r="720" spans="3:9" ht="23.4" customHeight="1">
      <c r="C720" s="394">
        <v>3</v>
      </c>
      <c r="D720" s="391" t="s">
        <v>18</v>
      </c>
      <c r="E720" s="395" t="s">
        <v>6</v>
      </c>
      <c r="F720" s="421">
        <v>0.01</v>
      </c>
      <c r="G720" s="63">
        <f>VLOOKUP(D720,upahbahan,3,FALSE)</f>
        <v>150000</v>
      </c>
      <c r="H720" s="397">
        <f>F720*G720</f>
        <v>1500</v>
      </c>
    </row>
    <row r="721" spans="3:9" ht="23.4" customHeight="1">
      <c r="C721" s="394">
        <v>4</v>
      </c>
      <c r="D721" s="391" t="s">
        <v>19</v>
      </c>
      <c r="E721" s="395" t="s">
        <v>6</v>
      </c>
      <c r="F721" s="421">
        <v>3.0000000000000001E-3</v>
      </c>
      <c r="G721" s="63">
        <f>VLOOKUP(D721,upahbahan,3,FALSE)</f>
        <v>160000</v>
      </c>
      <c r="H721" s="397">
        <f>F721*G721</f>
        <v>480</v>
      </c>
    </row>
    <row r="722" spans="3:9" ht="23.4" customHeight="1">
      <c r="C722" s="398" t="s">
        <v>1208</v>
      </c>
      <c r="D722" s="399"/>
      <c r="E722" s="399"/>
      <c r="F722" s="400"/>
      <c r="G722" s="401"/>
      <c r="H722" s="397">
        <f>SUM(H718:H721)</f>
        <v>45480</v>
      </c>
      <c r="I722" s="402"/>
    </row>
    <row r="723" spans="3:9" ht="23.4" customHeight="1">
      <c r="C723" s="390" t="s">
        <v>1209</v>
      </c>
      <c r="D723" s="391" t="s">
        <v>1210</v>
      </c>
      <c r="E723" s="392"/>
      <c r="F723" s="392"/>
      <c r="G723" s="392"/>
      <c r="H723" s="393"/>
    </row>
    <row r="724" spans="3:9" ht="23.4" customHeight="1">
      <c r="C724" s="394">
        <v>1</v>
      </c>
      <c r="D724" s="391" t="s">
        <v>654</v>
      </c>
      <c r="E724" s="425" t="s">
        <v>62</v>
      </c>
      <c r="F724" s="403">
        <v>1.1000000000000001</v>
      </c>
      <c r="G724" s="63">
        <f>VLOOKUP(D724,upahbahan,3,FALSE)</f>
        <v>600000</v>
      </c>
      <c r="H724" s="397">
        <f>F724*G724</f>
        <v>660000</v>
      </c>
    </row>
    <row r="725" spans="3:9" ht="23.4" customHeight="1">
      <c r="C725" s="394">
        <v>2</v>
      </c>
      <c r="D725" s="391" t="s">
        <v>1047</v>
      </c>
      <c r="E725" s="395" t="s">
        <v>1048</v>
      </c>
      <c r="F725" s="403">
        <v>0.05</v>
      </c>
      <c r="G725" s="63">
        <f>VLOOKUP(D725,upahbahan,3,FALSE)</f>
        <v>0</v>
      </c>
      <c r="H725" s="397">
        <f>F725*G725</f>
        <v>0</v>
      </c>
    </row>
    <row r="726" spans="3:9" ht="23.4" customHeight="1">
      <c r="C726" s="398" t="s">
        <v>1214</v>
      </c>
      <c r="D726" s="399"/>
      <c r="E726" s="399"/>
      <c r="F726" s="399"/>
      <c r="G726" s="404"/>
      <c r="H726" s="397">
        <f>SUM(H724:H725)</f>
        <v>660000</v>
      </c>
    </row>
    <row r="727" spans="3:9" ht="23.4" customHeight="1">
      <c r="C727" s="405" t="s">
        <v>1215</v>
      </c>
      <c r="D727" s="391" t="s">
        <v>1216</v>
      </c>
      <c r="E727" s="392"/>
      <c r="F727" s="392"/>
      <c r="G727" s="392"/>
      <c r="H727" s="393"/>
    </row>
    <row r="728" spans="3:9" ht="23.4" customHeight="1">
      <c r="C728" s="398" t="s">
        <v>1217</v>
      </c>
      <c r="D728" s="399"/>
      <c r="E728" s="399"/>
      <c r="F728" s="399"/>
      <c r="G728" s="404"/>
      <c r="H728" s="406">
        <v>0</v>
      </c>
    </row>
    <row r="729" spans="3:9" ht="23.4" customHeight="1">
      <c r="C729" s="407" t="s">
        <v>1218</v>
      </c>
      <c r="D729" s="408" t="s">
        <v>1219</v>
      </c>
      <c r="E729" s="409"/>
      <c r="F729" s="409"/>
      <c r="G729" s="410"/>
      <c r="H729" s="397">
        <f>H728+H726+H722</f>
        <v>705480</v>
      </c>
      <c r="I729" s="411"/>
    </row>
    <row r="730" spans="3:9" ht="23.4" customHeight="1">
      <c r="C730" s="75" t="s">
        <v>1220</v>
      </c>
      <c r="D730" s="76" t="s">
        <v>1321</v>
      </c>
      <c r="E730" s="77"/>
      <c r="F730" s="78"/>
      <c r="G730" s="80">
        <f>$M$8</f>
        <v>0.1</v>
      </c>
      <c r="H730" s="64">
        <f>H729*G730</f>
        <v>70548</v>
      </c>
      <c r="I730" s="411"/>
    </row>
    <row r="731" spans="3:9" ht="23.4" customHeight="1" thickBot="1">
      <c r="C731" s="412" t="s">
        <v>1221</v>
      </c>
      <c r="D731" s="413" t="s">
        <v>1222</v>
      </c>
      <c r="E731" s="414"/>
      <c r="F731" s="414"/>
      <c r="G731" s="415"/>
      <c r="H731" s="416">
        <f>SUM(H729:H730)</f>
        <v>776028</v>
      </c>
      <c r="I731" s="411"/>
    </row>
    <row r="732" spans="3:9" ht="14.4" thickTop="1">
      <c r="C732" s="426"/>
      <c r="D732" s="427"/>
      <c r="E732" s="427"/>
      <c r="F732" s="427"/>
      <c r="G732" s="427"/>
      <c r="H732" s="428"/>
      <c r="I732" s="411"/>
    </row>
    <row r="733" spans="3:9" ht="14.4" thickBot="1">
      <c r="C733" s="47" t="s">
        <v>2666</v>
      </c>
      <c r="D733" s="385" t="s">
        <v>2667</v>
      </c>
      <c r="E733" s="420"/>
      <c r="F733" s="420"/>
      <c r="G733" s="420"/>
      <c r="H733" s="420"/>
      <c r="I733" s="386">
        <f>ROUNDDOWN(H749,-2)</f>
        <v>29900</v>
      </c>
    </row>
    <row r="734" spans="3:9" ht="28.2" thickTop="1">
      <c r="C734" s="387" t="s">
        <v>1195</v>
      </c>
      <c r="D734" s="388" t="s">
        <v>1196</v>
      </c>
      <c r="E734" s="388" t="s">
        <v>1197</v>
      </c>
      <c r="F734" s="388" t="s">
        <v>1198</v>
      </c>
      <c r="G734" s="388" t="s">
        <v>1199</v>
      </c>
      <c r="H734" s="389" t="s">
        <v>1200</v>
      </c>
    </row>
    <row r="735" spans="3:9" ht="21.6" customHeight="1">
      <c r="C735" s="390" t="s">
        <v>1201</v>
      </c>
      <c r="D735" s="391" t="s">
        <v>1202</v>
      </c>
      <c r="E735" s="392"/>
      <c r="F735" s="392"/>
      <c r="G735" s="392"/>
      <c r="H735" s="393"/>
    </row>
    <row r="736" spans="3:9" ht="21.6" customHeight="1">
      <c r="C736" s="394">
        <v>1</v>
      </c>
      <c r="D736" s="391" t="s">
        <v>5</v>
      </c>
      <c r="E736" s="395" t="s">
        <v>6</v>
      </c>
      <c r="F736" s="396">
        <v>0.15</v>
      </c>
      <c r="G736" s="63">
        <f>VLOOKUP(D736,upahbahan,3,FALSE)</f>
        <v>100000</v>
      </c>
      <c r="H736" s="397">
        <f>F736*G736</f>
        <v>15000</v>
      </c>
    </row>
    <row r="737" spans="3:9" ht="21.6" customHeight="1">
      <c r="C737" s="394">
        <v>2</v>
      </c>
      <c r="D737" s="391" t="s">
        <v>8</v>
      </c>
      <c r="E737" s="395" t="s">
        <v>6</v>
      </c>
      <c r="F737" s="396">
        <v>7.0000000000000007E-2</v>
      </c>
      <c r="G737" s="63">
        <f>VLOOKUP(D737,upahbahan,3,FALSE)</f>
        <v>135000</v>
      </c>
      <c r="H737" s="397">
        <f>F737*G737</f>
        <v>9450</v>
      </c>
    </row>
    <row r="738" spans="3:9" ht="21.6" customHeight="1">
      <c r="C738" s="394">
        <v>3</v>
      </c>
      <c r="D738" s="391" t="s">
        <v>18</v>
      </c>
      <c r="E738" s="395" t="s">
        <v>6</v>
      </c>
      <c r="F738" s="396">
        <v>7.0000000000000001E-3</v>
      </c>
      <c r="G738" s="63">
        <f>VLOOKUP(D738,upahbahan,3,FALSE)</f>
        <v>150000</v>
      </c>
      <c r="H738" s="397">
        <f>F738*G738</f>
        <v>1050</v>
      </c>
    </row>
    <row r="739" spans="3:9" ht="21.6" customHeight="1">
      <c r="C739" s="394">
        <v>4</v>
      </c>
      <c r="D739" s="391" t="s">
        <v>19</v>
      </c>
      <c r="E739" s="395" t="s">
        <v>6</v>
      </c>
      <c r="F739" s="396">
        <v>2.3E-3</v>
      </c>
      <c r="G739" s="63">
        <f>VLOOKUP(D739,upahbahan,3,FALSE)</f>
        <v>160000</v>
      </c>
      <c r="H739" s="397">
        <f>F739*G739</f>
        <v>368</v>
      </c>
    </row>
    <row r="740" spans="3:9" ht="21.6" customHeight="1">
      <c r="C740" s="398" t="s">
        <v>1208</v>
      </c>
      <c r="D740" s="399"/>
      <c r="E740" s="399"/>
      <c r="F740" s="400"/>
      <c r="G740" s="401"/>
      <c r="H740" s="397">
        <f>SUM(H736:H739)</f>
        <v>25868</v>
      </c>
      <c r="I740" s="402"/>
    </row>
    <row r="741" spans="3:9" ht="21.6" customHeight="1">
      <c r="C741" s="390" t="s">
        <v>1209</v>
      </c>
      <c r="D741" s="391" t="s">
        <v>1210</v>
      </c>
      <c r="E741" s="392"/>
      <c r="F741" s="392"/>
      <c r="G741" s="392"/>
      <c r="H741" s="393"/>
    </row>
    <row r="742" spans="3:9" ht="21.6" customHeight="1">
      <c r="C742" s="394">
        <v>1</v>
      </c>
      <c r="D742" s="424" t="s">
        <v>2668</v>
      </c>
      <c r="E742" s="425" t="s">
        <v>129</v>
      </c>
      <c r="F742" s="421">
        <v>0.3</v>
      </c>
      <c r="G742" s="63">
        <f>VLOOKUP(D742,upahbahan,3,FALSE)</f>
        <v>0</v>
      </c>
      <c r="H742" s="397">
        <f>F742*G742</f>
        <v>0</v>
      </c>
    </row>
    <row r="743" spans="3:9" ht="21.6" customHeight="1">
      <c r="C743" s="394">
        <v>2</v>
      </c>
      <c r="D743" s="391" t="s">
        <v>259</v>
      </c>
      <c r="E743" s="395" t="s">
        <v>65</v>
      </c>
      <c r="F743" s="421">
        <v>0.04</v>
      </c>
      <c r="G743" s="63">
        <f>VLOOKUP(D743,upahbahan,3,FALSE)</f>
        <v>33075</v>
      </c>
      <c r="H743" s="397">
        <f>F743*G743</f>
        <v>1323</v>
      </c>
    </row>
    <row r="744" spans="3:9" ht="21.6" customHeight="1">
      <c r="C744" s="398" t="s">
        <v>1214</v>
      </c>
      <c r="D744" s="399"/>
      <c r="E744" s="399"/>
      <c r="F744" s="399"/>
      <c r="G744" s="404"/>
      <c r="H744" s="397">
        <f>SUM(H742:H743)</f>
        <v>1323</v>
      </c>
    </row>
    <row r="745" spans="3:9" ht="21.6" customHeight="1">
      <c r="C745" s="405" t="s">
        <v>1215</v>
      </c>
      <c r="D745" s="391" t="s">
        <v>1216</v>
      </c>
      <c r="E745" s="392"/>
      <c r="F745" s="392"/>
      <c r="G745" s="392"/>
      <c r="H745" s="393"/>
    </row>
    <row r="746" spans="3:9" ht="21.6" customHeight="1">
      <c r="C746" s="398" t="s">
        <v>1217</v>
      </c>
      <c r="D746" s="399"/>
      <c r="E746" s="399"/>
      <c r="F746" s="399"/>
      <c r="G746" s="404"/>
      <c r="H746" s="406">
        <v>0</v>
      </c>
    </row>
    <row r="747" spans="3:9" ht="21.6" customHeight="1">
      <c r="C747" s="407" t="s">
        <v>1218</v>
      </c>
      <c r="D747" s="408" t="s">
        <v>1219</v>
      </c>
      <c r="E747" s="409"/>
      <c r="F747" s="409"/>
      <c r="G747" s="410"/>
      <c r="H747" s="397">
        <f>H746+H744+H740</f>
        <v>27191</v>
      </c>
      <c r="I747" s="411"/>
    </row>
    <row r="748" spans="3:9" ht="21.6" customHeight="1">
      <c r="C748" s="75" t="s">
        <v>1220</v>
      </c>
      <c r="D748" s="76" t="s">
        <v>1321</v>
      </c>
      <c r="E748" s="77"/>
      <c r="F748" s="78"/>
      <c r="G748" s="80">
        <f>$M$8</f>
        <v>0.1</v>
      </c>
      <c r="H748" s="64">
        <f>H747*G748</f>
        <v>2719.1000000000004</v>
      </c>
      <c r="I748" s="411"/>
    </row>
    <row r="749" spans="3:9" ht="21.6" customHeight="1" thickBot="1">
      <c r="C749" s="412" t="s">
        <v>1221</v>
      </c>
      <c r="D749" s="413" t="s">
        <v>1222</v>
      </c>
      <c r="E749" s="414"/>
      <c r="F749" s="414"/>
      <c r="G749" s="415"/>
      <c r="H749" s="416">
        <f>SUM(H747:H748)</f>
        <v>29910.1</v>
      </c>
      <c r="I749" s="411"/>
    </row>
    <row r="750" spans="3:9" ht="21.6" customHeight="1" thickTop="1">
      <c r="C750" s="426"/>
      <c r="D750" s="427"/>
      <c r="E750" s="427"/>
      <c r="F750" s="427"/>
      <c r="G750" s="427"/>
      <c r="H750" s="428"/>
      <c r="I750" s="411"/>
    </row>
    <row r="751" spans="3:9" ht="14.4" thickBot="1">
      <c r="C751" s="381" t="s">
        <v>2669</v>
      </c>
      <c r="D751" s="385" t="s">
        <v>2670</v>
      </c>
      <c r="E751" s="420"/>
      <c r="F751" s="420"/>
      <c r="G751" s="420"/>
      <c r="H751" s="420"/>
      <c r="I751" s="386">
        <f>ROUNDDOWN(H767,-2)</f>
        <v>182200</v>
      </c>
    </row>
    <row r="752" spans="3:9" ht="28.2" thickTop="1">
      <c r="C752" s="387" t="s">
        <v>1195</v>
      </c>
      <c r="D752" s="388" t="s">
        <v>1196</v>
      </c>
      <c r="E752" s="388" t="s">
        <v>1197</v>
      </c>
      <c r="F752" s="388" t="s">
        <v>1198</v>
      </c>
      <c r="G752" s="388" t="s">
        <v>1199</v>
      </c>
      <c r="H752" s="389" t="s">
        <v>1200</v>
      </c>
    </row>
    <row r="753" spans="3:9" ht="24.6" customHeight="1">
      <c r="C753" s="390" t="s">
        <v>1201</v>
      </c>
      <c r="D753" s="391" t="s">
        <v>1202</v>
      </c>
      <c r="E753" s="392"/>
      <c r="F753" s="392"/>
      <c r="G753" s="392"/>
      <c r="H753" s="393"/>
    </row>
    <row r="754" spans="3:9" ht="24.6" customHeight="1">
      <c r="C754" s="394">
        <v>1</v>
      </c>
      <c r="D754" s="391" t="s">
        <v>5</v>
      </c>
      <c r="E754" s="395" t="s">
        <v>6</v>
      </c>
      <c r="F754" s="396">
        <v>0.1</v>
      </c>
      <c r="G754" s="63">
        <f>VLOOKUP(D754,upahbahan,3,FALSE)</f>
        <v>100000</v>
      </c>
      <c r="H754" s="397">
        <f>F754*G754</f>
        <v>10000</v>
      </c>
    </row>
    <row r="755" spans="3:9" ht="24.6" customHeight="1">
      <c r="C755" s="394">
        <v>2</v>
      </c>
      <c r="D755" s="391" t="s">
        <v>8</v>
      </c>
      <c r="E755" s="395" t="s">
        <v>6</v>
      </c>
      <c r="F755" s="396">
        <v>1</v>
      </c>
      <c r="G755" s="63">
        <f>VLOOKUP(D755,upahbahan,3,FALSE)</f>
        <v>135000</v>
      </c>
      <c r="H755" s="397">
        <f>F755*G755</f>
        <v>135000</v>
      </c>
    </row>
    <row r="756" spans="3:9" ht="24.6" customHeight="1">
      <c r="C756" s="394">
        <v>3</v>
      </c>
      <c r="D756" s="391" t="s">
        <v>18</v>
      </c>
      <c r="E756" s="395" t="s">
        <v>6</v>
      </c>
      <c r="F756" s="396">
        <v>0.1</v>
      </c>
      <c r="G756" s="63">
        <f>VLOOKUP(D756,upahbahan,3,FALSE)</f>
        <v>150000</v>
      </c>
      <c r="H756" s="397">
        <f>F756*G756</f>
        <v>15000</v>
      </c>
    </row>
    <row r="757" spans="3:9" ht="24.6" customHeight="1">
      <c r="C757" s="394">
        <v>4</v>
      </c>
      <c r="D757" s="391" t="s">
        <v>19</v>
      </c>
      <c r="E757" s="395" t="s">
        <v>6</v>
      </c>
      <c r="F757" s="396">
        <v>3.3300000000000003E-2</v>
      </c>
      <c r="G757" s="63">
        <f>VLOOKUP(D757,upahbahan,3,FALSE)</f>
        <v>160000</v>
      </c>
      <c r="H757" s="397">
        <f>F757*G757</f>
        <v>5328.0000000000009</v>
      </c>
    </row>
    <row r="758" spans="3:9" ht="24.6" customHeight="1">
      <c r="C758" s="398" t="s">
        <v>1208</v>
      </c>
      <c r="D758" s="399"/>
      <c r="E758" s="399"/>
      <c r="F758" s="400"/>
      <c r="G758" s="401"/>
      <c r="H758" s="397">
        <f>SUM(H754:H757)</f>
        <v>165328</v>
      </c>
      <c r="I758" s="402"/>
    </row>
    <row r="759" spans="3:9" ht="24.6" customHeight="1">
      <c r="C759" s="390" t="s">
        <v>1209</v>
      </c>
      <c r="D759" s="391" t="s">
        <v>1210</v>
      </c>
      <c r="E759" s="392"/>
      <c r="F759" s="392"/>
      <c r="G759" s="392"/>
      <c r="H759" s="393"/>
    </row>
    <row r="760" spans="3:9" ht="24.6" customHeight="1">
      <c r="C760" s="394">
        <v>1</v>
      </c>
      <c r="D760" s="424" t="s">
        <v>351</v>
      </c>
      <c r="E760" s="425" t="s">
        <v>129</v>
      </c>
      <c r="F760" s="421">
        <v>1.2</v>
      </c>
      <c r="G760" s="63">
        <f>VLOOKUP(D760,upahbahan,3,FALSE)</f>
        <v>0</v>
      </c>
      <c r="H760" s="397">
        <f>F760*G760</f>
        <v>0</v>
      </c>
    </row>
    <row r="761" spans="3:9" ht="24.6" customHeight="1">
      <c r="C761" s="394">
        <v>2</v>
      </c>
      <c r="D761" s="391" t="s">
        <v>265</v>
      </c>
      <c r="E761" s="395" t="s">
        <v>65</v>
      </c>
      <c r="F761" s="421">
        <v>0.02</v>
      </c>
      <c r="G761" s="63">
        <f>VLOOKUP(D761,upahbahan,3,FALSE)</f>
        <v>19460</v>
      </c>
      <c r="H761" s="397">
        <f>F761*G761</f>
        <v>389.2</v>
      </c>
    </row>
    <row r="762" spans="3:9" ht="24.6" customHeight="1">
      <c r="C762" s="398" t="s">
        <v>1214</v>
      </c>
      <c r="D762" s="399"/>
      <c r="E762" s="399"/>
      <c r="F762" s="399"/>
      <c r="G762" s="404"/>
      <c r="H762" s="397">
        <f>SUM(H760:H761)</f>
        <v>389.2</v>
      </c>
    </row>
    <row r="763" spans="3:9" ht="24.6" customHeight="1">
      <c r="C763" s="405" t="s">
        <v>1215</v>
      </c>
      <c r="D763" s="391" t="s">
        <v>1216</v>
      </c>
      <c r="E763" s="392"/>
      <c r="F763" s="392"/>
      <c r="G763" s="392"/>
      <c r="H763" s="393"/>
    </row>
    <row r="764" spans="3:9" ht="24.6" customHeight="1">
      <c r="C764" s="398" t="s">
        <v>1217</v>
      </c>
      <c r="D764" s="399"/>
      <c r="E764" s="399"/>
      <c r="F764" s="399"/>
      <c r="G764" s="404"/>
      <c r="H764" s="406">
        <v>0</v>
      </c>
    </row>
    <row r="765" spans="3:9" ht="24.6" customHeight="1">
      <c r="C765" s="407" t="s">
        <v>1218</v>
      </c>
      <c r="D765" s="408" t="s">
        <v>1219</v>
      </c>
      <c r="E765" s="409"/>
      <c r="F765" s="409"/>
      <c r="G765" s="410"/>
      <c r="H765" s="397">
        <f>H764+H762+H758</f>
        <v>165717.20000000001</v>
      </c>
      <c r="I765" s="411"/>
    </row>
    <row r="766" spans="3:9" ht="24.6" customHeight="1">
      <c r="C766" s="75" t="s">
        <v>1220</v>
      </c>
      <c r="D766" s="76" t="s">
        <v>1321</v>
      </c>
      <c r="E766" s="77"/>
      <c r="F766" s="78"/>
      <c r="G766" s="80">
        <f>$M$8</f>
        <v>0.1</v>
      </c>
      <c r="H766" s="64">
        <f>H765*G766</f>
        <v>16571.72</v>
      </c>
      <c r="I766" s="411"/>
    </row>
    <row r="767" spans="3:9" ht="24.6" customHeight="1" thickBot="1">
      <c r="C767" s="412" t="s">
        <v>1221</v>
      </c>
      <c r="D767" s="413" t="s">
        <v>1222</v>
      </c>
      <c r="E767" s="414"/>
      <c r="F767" s="414"/>
      <c r="G767" s="415"/>
      <c r="H767" s="416">
        <f>SUM(H765:H766)</f>
        <v>182288.92</v>
      </c>
      <c r="I767" s="411"/>
    </row>
    <row r="768" spans="3:9" ht="14.4" thickTop="1">
      <c r="C768" s="426"/>
      <c r="D768" s="427"/>
      <c r="E768" s="427"/>
      <c r="F768" s="427"/>
      <c r="G768" s="427"/>
      <c r="H768" s="428"/>
      <c r="I768" s="411"/>
    </row>
    <row r="769" spans="3:9" ht="14.4" thickBot="1">
      <c r="C769" s="381" t="s">
        <v>2671</v>
      </c>
      <c r="D769" s="385" t="s">
        <v>2672</v>
      </c>
      <c r="E769" s="420"/>
      <c r="F769" s="420"/>
      <c r="G769" s="420"/>
      <c r="H769" s="420"/>
      <c r="I769" s="386">
        <f>ROUNDDOWN(H785,-2)</f>
        <v>58200</v>
      </c>
    </row>
    <row r="770" spans="3:9" ht="28.2" thickTop="1">
      <c r="C770" s="387" t="s">
        <v>1195</v>
      </c>
      <c r="D770" s="388" t="s">
        <v>1196</v>
      </c>
      <c r="E770" s="388" t="s">
        <v>1197</v>
      </c>
      <c r="F770" s="388" t="s">
        <v>1198</v>
      </c>
      <c r="G770" s="388" t="s">
        <v>1199</v>
      </c>
      <c r="H770" s="389" t="s">
        <v>1200</v>
      </c>
    </row>
    <row r="771" spans="3:9" ht="22.8" customHeight="1">
      <c r="C771" s="390" t="s">
        <v>1201</v>
      </c>
      <c r="D771" s="391" t="s">
        <v>1202</v>
      </c>
      <c r="E771" s="392"/>
      <c r="F771" s="392"/>
      <c r="G771" s="392"/>
      <c r="H771" s="393"/>
    </row>
    <row r="772" spans="3:9" ht="22.8" customHeight="1">
      <c r="C772" s="394">
        <v>1</v>
      </c>
      <c r="D772" s="391" t="s">
        <v>5</v>
      </c>
      <c r="E772" s="395" t="s">
        <v>6</v>
      </c>
      <c r="F772" s="396">
        <v>0.125</v>
      </c>
      <c r="G772" s="63">
        <f>VLOOKUP(D772,upahbahan,3,FALSE)</f>
        <v>100000</v>
      </c>
      <c r="H772" s="397">
        <f>F772*G772</f>
        <v>12500</v>
      </c>
    </row>
    <row r="773" spans="3:9" ht="22.8" customHeight="1">
      <c r="C773" s="394">
        <v>2</v>
      </c>
      <c r="D773" s="391" t="s">
        <v>8</v>
      </c>
      <c r="E773" s="395" t="s">
        <v>6</v>
      </c>
      <c r="F773" s="396">
        <v>0.25</v>
      </c>
      <c r="G773" s="63">
        <f>VLOOKUP(D773,upahbahan,3,FALSE)</f>
        <v>135000</v>
      </c>
      <c r="H773" s="397">
        <f>F773*G773</f>
        <v>33750</v>
      </c>
    </row>
    <row r="774" spans="3:9" ht="22.8" customHeight="1">
      <c r="C774" s="394">
        <v>3</v>
      </c>
      <c r="D774" s="391" t="s">
        <v>18</v>
      </c>
      <c r="E774" s="395" t="s">
        <v>6</v>
      </c>
      <c r="F774" s="396">
        <v>2.5000000000000001E-2</v>
      </c>
      <c r="G774" s="63">
        <f>VLOOKUP(D774,upahbahan,3,FALSE)</f>
        <v>150000</v>
      </c>
      <c r="H774" s="397">
        <f>F774*G774</f>
        <v>3750</v>
      </c>
    </row>
    <row r="775" spans="3:9" ht="22.8" customHeight="1">
      <c r="C775" s="394">
        <v>4</v>
      </c>
      <c r="D775" s="391" t="s">
        <v>19</v>
      </c>
      <c r="E775" s="395" t="s">
        <v>6</v>
      </c>
      <c r="F775" s="396">
        <v>8.3000000000000001E-3</v>
      </c>
      <c r="G775" s="63">
        <f>VLOOKUP(D775,upahbahan,3,FALSE)</f>
        <v>160000</v>
      </c>
      <c r="H775" s="397">
        <f>F775*G775</f>
        <v>1328</v>
      </c>
    </row>
    <row r="776" spans="3:9" ht="22.8" customHeight="1">
      <c r="C776" s="398" t="s">
        <v>1208</v>
      </c>
      <c r="D776" s="399"/>
      <c r="E776" s="399"/>
      <c r="F776" s="400"/>
      <c r="G776" s="401"/>
      <c r="H776" s="397">
        <f>SUM(H772:H775)</f>
        <v>51328</v>
      </c>
      <c r="I776" s="402"/>
    </row>
    <row r="777" spans="3:9" ht="22.8" customHeight="1">
      <c r="C777" s="390" t="s">
        <v>1209</v>
      </c>
      <c r="D777" s="391" t="s">
        <v>1210</v>
      </c>
      <c r="E777" s="392"/>
      <c r="F777" s="392"/>
      <c r="G777" s="392"/>
      <c r="H777" s="393"/>
    </row>
    <row r="778" spans="3:9" ht="22.8" customHeight="1">
      <c r="C778" s="394">
        <v>1</v>
      </c>
      <c r="D778" s="424" t="s">
        <v>2668</v>
      </c>
      <c r="E778" s="425" t="s">
        <v>129</v>
      </c>
      <c r="F778" s="421">
        <v>0.4</v>
      </c>
      <c r="G778" s="63">
        <f>VLOOKUP(D778,upahbahan,3,FALSE)</f>
        <v>0</v>
      </c>
      <c r="H778" s="397">
        <f>F778*G778</f>
        <v>0</v>
      </c>
    </row>
    <row r="779" spans="3:9" ht="22.8" customHeight="1">
      <c r="C779" s="394">
        <v>2</v>
      </c>
      <c r="D779" s="391" t="s">
        <v>259</v>
      </c>
      <c r="E779" s="395" t="s">
        <v>65</v>
      </c>
      <c r="F779" s="421">
        <v>0.05</v>
      </c>
      <c r="G779" s="63">
        <f>VLOOKUP(D779,upahbahan,3,FALSE)</f>
        <v>33075</v>
      </c>
      <c r="H779" s="397">
        <f>F779*G779</f>
        <v>1653.75</v>
      </c>
    </row>
    <row r="780" spans="3:9" ht="22.8" customHeight="1">
      <c r="C780" s="398" t="s">
        <v>1214</v>
      </c>
      <c r="D780" s="399"/>
      <c r="E780" s="399"/>
      <c r="F780" s="399"/>
      <c r="G780" s="404"/>
      <c r="H780" s="397">
        <f>SUM(H778:H779)</f>
        <v>1653.75</v>
      </c>
    </row>
    <row r="781" spans="3:9" ht="22.8" customHeight="1">
      <c r="C781" s="405" t="s">
        <v>1215</v>
      </c>
      <c r="D781" s="391" t="s">
        <v>1216</v>
      </c>
      <c r="E781" s="392"/>
      <c r="F781" s="392"/>
      <c r="G781" s="392"/>
      <c r="H781" s="393"/>
    </row>
    <row r="782" spans="3:9" ht="22.8" customHeight="1">
      <c r="C782" s="398" t="s">
        <v>1217</v>
      </c>
      <c r="D782" s="399"/>
      <c r="E782" s="399"/>
      <c r="F782" s="399"/>
      <c r="G782" s="404"/>
      <c r="H782" s="406">
        <v>0</v>
      </c>
    </row>
    <row r="783" spans="3:9" ht="22.8" customHeight="1">
      <c r="C783" s="407" t="s">
        <v>1218</v>
      </c>
      <c r="D783" s="408" t="s">
        <v>1219</v>
      </c>
      <c r="E783" s="409"/>
      <c r="F783" s="409"/>
      <c r="G783" s="410"/>
      <c r="H783" s="397">
        <f>H782+H780+H776</f>
        <v>52981.75</v>
      </c>
      <c r="I783" s="411"/>
    </row>
    <row r="784" spans="3:9" ht="22.8" customHeight="1">
      <c r="C784" s="75" t="s">
        <v>1220</v>
      </c>
      <c r="D784" s="76" t="s">
        <v>1321</v>
      </c>
      <c r="E784" s="77"/>
      <c r="F784" s="78"/>
      <c r="G784" s="80">
        <f>$M$8</f>
        <v>0.1</v>
      </c>
      <c r="H784" s="64">
        <f>H783*G784</f>
        <v>5298.1750000000002</v>
      </c>
      <c r="I784" s="411"/>
    </row>
    <row r="785" spans="3:9" ht="22.8" customHeight="1" thickBot="1">
      <c r="C785" s="412" t="s">
        <v>1221</v>
      </c>
      <c r="D785" s="413" t="s">
        <v>1222</v>
      </c>
      <c r="E785" s="414"/>
      <c r="F785" s="414"/>
      <c r="G785" s="415"/>
      <c r="H785" s="416">
        <f>SUM(H783:H784)</f>
        <v>58279.925000000003</v>
      </c>
      <c r="I785" s="411"/>
    </row>
    <row r="786" spans="3:9" ht="14.4" thickTop="1">
      <c r="C786" s="426"/>
      <c r="D786" s="427"/>
      <c r="E786" s="427"/>
      <c r="F786" s="427"/>
      <c r="G786" s="427"/>
      <c r="H786" s="428"/>
      <c r="I786" s="411"/>
    </row>
    <row r="787" spans="3:9" ht="14.4" thickBot="1">
      <c r="C787" s="381" t="s">
        <v>2673</v>
      </c>
      <c r="D787" s="385" t="s">
        <v>2674</v>
      </c>
      <c r="E787" s="420"/>
      <c r="F787" s="420"/>
      <c r="G787" s="420"/>
      <c r="H787" s="420"/>
      <c r="I787" s="386">
        <f>ROUNDDOWN(H804,-2)</f>
        <v>58200</v>
      </c>
    </row>
    <row r="788" spans="3:9" ht="28.2" thickTop="1">
      <c r="C788" s="387" t="s">
        <v>1195</v>
      </c>
      <c r="D788" s="388" t="s">
        <v>1196</v>
      </c>
      <c r="E788" s="388" t="s">
        <v>1197</v>
      </c>
      <c r="F788" s="388" t="s">
        <v>1198</v>
      </c>
      <c r="G788" s="388" t="s">
        <v>1199</v>
      </c>
      <c r="H788" s="389" t="s">
        <v>1200</v>
      </c>
    </row>
    <row r="789" spans="3:9" ht="24" customHeight="1">
      <c r="C789" s="390" t="s">
        <v>1201</v>
      </c>
      <c r="D789" s="391" t="s">
        <v>1202</v>
      </c>
      <c r="E789" s="392"/>
      <c r="F789" s="392"/>
      <c r="G789" s="392"/>
      <c r="H789" s="393"/>
    </row>
    <row r="790" spans="3:9" ht="24" customHeight="1">
      <c r="C790" s="394">
        <v>1</v>
      </c>
      <c r="D790" s="391" t="s">
        <v>5</v>
      </c>
      <c r="E790" s="395" t="s">
        <v>6</v>
      </c>
      <c r="F790" s="396">
        <v>0.125</v>
      </c>
      <c r="G790" s="63">
        <f>VLOOKUP(D790,upahbahan,3,FALSE)</f>
        <v>100000</v>
      </c>
      <c r="H790" s="397">
        <f>F790*G790</f>
        <v>12500</v>
      </c>
    </row>
    <row r="791" spans="3:9" ht="24" customHeight="1">
      <c r="C791" s="394">
        <v>2</v>
      </c>
      <c r="D791" s="391" t="s">
        <v>8</v>
      </c>
      <c r="E791" s="395" t="s">
        <v>6</v>
      </c>
      <c r="F791" s="396">
        <v>0.25</v>
      </c>
      <c r="G791" s="63">
        <f>VLOOKUP(D791,upahbahan,3,FALSE)</f>
        <v>135000</v>
      </c>
      <c r="H791" s="397">
        <f>F791*G791</f>
        <v>33750</v>
      </c>
    </row>
    <row r="792" spans="3:9" ht="24" customHeight="1">
      <c r="C792" s="394">
        <v>3</v>
      </c>
      <c r="D792" s="391" t="s">
        <v>18</v>
      </c>
      <c r="E792" s="395" t="s">
        <v>6</v>
      </c>
      <c r="F792" s="396">
        <v>2.5000000000000001E-2</v>
      </c>
      <c r="G792" s="63">
        <f>VLOOKUP(D792,upahbahan,3,FALSE)</f>
        <v>150000</v>
      </c>
      <c r="H792" s="397">
        <f>F792*G792</f>
        <v>3750</v>
      </c>
    </row>
    <row r="793" spans="3:9" ht="24" customHeight="1">
      <c r="C793" s="394">
        <v>4</v>
      </c>
      <c r="D793" s="391" t="s">
        <v>19</v>
      </c>
      <c r="E793" s="395" t="s">
        <v>6</v>
      </c>
      <c r="F793" s="396">
        <v>8.3000000000000001E-3</v>
      </c>
      <c r="G793" s="63">
        <f>VLOOKUP(D793,upahbahan,3,FALSE)</f>
        <v>160000</v>
      </c>
      <c r="H793" s="397">
        <f>F793*G793</f>
        <v>1328</v>
      </c>
    </row>
    <row r="794" spans="3:9" ht="24" customHeight="1">
      <c r="C794" s="398" t="s">
        <v>1208</v>
      </c>
      <c r="D794" s="399"/>
      <c r="E794" s="399"/>
      <c r="F794" s="400"/>
      <c r="G794" s="401"/>
      <c r="H794" s="397">
        <f>SUM(H790:H793)</f>
        <v>51328</v>
      </c>
      <c r="I794" s="402"/>
    </row>
    <row r="795" spans="3:9" ht="24" customHeight="1">
      <c r="C795" s="390" t="s">
        <v>1209</v>
      </c>
      <c r="D795" s="391" t="s">
        <v>1210</v>
      </c>
      <c r="E795" s="392"/>
      <c r="F795" s="392"/>
      <c r="G795" s="392"/>
      <c r="H795" s="393"/>
    </row>
    <row r="796" spans="3:9" ht="24" customHeight="1">
      <c r="C796" s="436" t="s">
        <v>1203</v>
      </c>
      <c r="D796" s="424" t="s">
        <v>342</v>
      </c>
      <c r="E796" s="425" t="s">
        <v>44</v>
      </c>
      <c r="F796" s="396">
        <v>2</v>
      </c>
      <c r="G796" s="63">
        <f>VLOOKUP(D796,upahbahan,3,FALSE)</f>
        <v>0</v>
      </c>
      <c r="H796" s="397">
        <f>F796*G796</f>
        <v>0</v>
      </c>
    </row>
    <row r="797" spans="3:9" ht="24" customHeight="1">
      <c r="C797" s="436" t="s">
        <v>1204</v>
      </c>
      <c r="D797" s="391" t="s">
        <v>259</v>
      </c>
      <c r="E797" s="425" t="s">
        <v>65</v>
      </c>
      <c r="F797" s="396">
        <v>0.05</v>
      </c>
      <c r="G797" s="63">
        <f>VLOOKUP(D797,upahbahan,3,FALSE)</f>
        <v>33075</v>
      </c>
      <c r="H797" s="397">
        <f>F797*G797</f>
        <v>1653.75</v>
      </c>
    </row>
    <row r="798" spans="3:9" ht="24" customHeight="1">
      <c r="C798" s="436" t="s">
        <v>1205</v>
      </c>
      <c r="D798" s="391" t="s">
        <v>2675</v>
      </c>
      <c r="E798" s="395" t="s">
        <v>42</v>
      </c>
      <c r="F798" s="396">
        <v>3.5000000000000001E-3</v>
      </c>
      <c r="G798" s="63">
        <f>VLOOKUP(D798,upahbahan,3,FALSE)</f>
        <v>0</v>
      </c>
      <c r="H798" s="397">
        <f>F798*G798</f>
        <v>0</v>
      </c>
    </row>
    <row r="799" spans="3:9" ht="24" customHeight="1">
      <c r="C799" s="398" t="s">
        <v>1214</v>
      </c>
      <c r="D799" s="399"/>
      <c r="E799" s="399"/>
      <c r="F799" s="399"/>
      <c r="G799" s="404"/>
      <c r="H799" s="397">
        <f>SUM(H796:H798)</f>
        <v>1653.75</v>
      </c>
    </row>
    <row r="800" spans="3:9" ht="24" customHeight="1">
      <c r="C800" s="405" t="s">
        <v>1215</v>
      </c>
      <c r="D800" s="391" t="s">
        <v>1216</v>
      </c>
      <c r="E800" s="392"/>
      <c r="F800" s="392"/>
      <c r="G800" s="392"/>
      <c r="H800" s="393"/>
    </row>
    <row r="801" spans="3:9" ht="24" customHeight="1">
      <c r="C801" s="398" t="s">
        <v>1217</v>
      </c>
      <c r="D801" s="399"/>
      <c r="E801" s="399"/>
      <c r="F801" s="399"/>
      <c r="G801" s="404"/>
      <c r="H801" s="406">
        <v>0</v>
      </c>
    </row>
    <row r="802" spans="3:9" ht="24" customHeight="1">
      <c r="C802" s="407" t="s">
        <v>1218</v>
      </c>
      <c r="D802" s="408" t="s">
        <v>1219</v>
      </c>
      <c r="E802" s="409"/>
      <c r="F802" s="409"/>
      <c r="G802" s="410"/>
      <c r="H802" s="397">
        <f>H801+H799+H794</f>
        <v>52981.75</v>
      </c>
      <c r="I802" s="411"/>
    </row>
    <row r="803" spans="3:9" ht="24" customHeight="1">
      <c r="C803" s="75" t="s">
        <v>1220</v>
      </c>
      <c r="D803" s="76" t="s">
        <v>1321</v>
      </c>
      <c r="E803" s="77"/>
      <c r="F803" s="78"/>
      <c r="G803" s="80">
        <f>$M$8</f>
        <v>0.1</v>
      </c>
      <c r="H803" s="64">
        <f>H802*G803</f>
        <v>5298.1750000000002</v>
      </c>
      <c r="I803" s="411"/>
    </row>
    <row r="804" spans="3:9" ht="24" customHeight="1" thickBot="1">
      <c r="C804" s="412" t="s">
        <v>1221</v>
      </c>
      <c r="D804" s="413" t="s">
        <v>1222</v>
      </c>
      <c r="E804" s="414"/>
      <c r="F804" s="414"/>
      <c r="G804" s="415"/>
      <c r="H804" s="416">
        <f>SUM(H802:H803)</f>
        <v>58279.925000000003</v>
      </c>
      <c r="I804" s="411"/>
    </row>
    <row r="805" spans="3:9" ht="14.4" thickTop="1">
      <c r="C805" s="426"/>
      <c r="D805" s="427"/>
      <c r="E805" s="427"/>
      <c r="F805" s="427"/>
      <c r="G805" s="427"/>
      <c r="H805" s="428"/>
      <c r="I805" s="411"/>
    </row>
    <row r="806" spans="3:9" ht="14.4" thickBot="1">
      <c r="C806" s="381" t="s">
        <v>2677</v>
      </c>
      <c r="D806" s="385" t="s">
        <v>2678</v>
      </c>
      <c r="E806" s="420"/>
      <c r="F806" s="420"/>
      <c r="G806" s="420"/>
      <c r="H806" s="420"/>
      <c r="I806" s="386">
        <f>ROUNDDOWN(H822,-2)</f>
        <v>65000</v>
      </c>
    </row>
    <row r="807" spans="3:9" ht="28.2" thickTop="1">
      <c r="C807" s="387" t="s">
        <v>1195</v>
      </c>
      <c r="D807" s="388" t="s">
        <v>1196</v>
      </c>
      <c r="E807" s="388" t="s">
        <v>1197</v>
      </c>
      <c r="F807" s="388" t="s">
        <v>1198</v>
      </c>
      <c r="G807" s="388" t="s">
        <v>1199</v>
      </c>
      <c r="H807" s="389" t="s">
        <v>1200</v>
      </c>
    </row>
    <row r="808" spans="3:9" ht="21.6" customHeight="1">
      <c r="C808" s="390" t="s">
        <v>1201</v>
      </c>
      <c r="D808" s="391" t="s">
        <v>1202</v>
      </c>
      <c r="E808" s="392"/>
      <c r="F808" s="392"/>
      <c r="G808" s="392"/>
      <c r="H808" s="393"/>
    </row>
    <row r="809" spans="3:9" ht="21.6" customHeight="1">
      <c r="C809" s="394">
        <v>1</v>
      </c>
      <c r="D809" s="391" t="s">
        <v>5</v>
      </c>
      <c r="E809" s="395" t="s">
        <v>6</v>
      </c>
      <c r="F809" s="421">
        <v>0.25</v>
      </c>
      <c r="G809" s="63">
        <f>VLOOKUP(D809,upahbahan,3,FALSE)</f>
        <v>100000</v>
      </c>
      <c r="H809" s="397">
        <f>F809*G809</f>
        <v>25000</v>
      </c>
    </row>
    <row r="810" spans="3:9" ht="21.6" customHeight="1">
      <c r="C810" s="394">
        <v>2</v>
      </c>
      <c r="D810" s="391" t="s">
        <v>8</v>
      </c>
      <c r="E810" s="395" t="s">
        <v>6</v>
      </c>
      <c r="F810" s="421">
        <v>0.15</v>
      </c>
      <c r="G810" s="63">
        <f>VLOOKUP(D810,upahbahan,3,FALSE)</f>
        <v>135000</v>
      </c>
      <c r="H810" s="397">
        <f>F810*G810</f>
        <v>20250</v>
      </c>
    </row>
    <row r="811" spans="3:9" ht="21.6" customHeight="1">
      <c r="C811" s="394">
        <v>3</v>
      </c>
      <c r="D811" s="391" t="s">
        <v>18</v>
      </c>
      <c r="E811" s="395" t="s">
        <v>6</v>
      </c>
      <c r="F811" s="421">
        <v>1.4999999999999999E-2</v>
      </c>
      <c r="G811" s="63">
        <f>VLOOKUP(D811,upahbahan,3,FALSE)</f>
        <v>150000</v>
      </c>
      <c r="H811" s="397">
        <f>F811*G811</f>
        <v>2250</v>
      </c>
    </row>
    <row r="812" spans="3:9" ht="21.6" customHeight="1">
      <c r="C812" s="394">
        <v>4</v>
      </c>
      <c r="D812" s="391" t="s">
        <v>19</v>
      </c>
      <c r="E812" s="395" t="s">
        <v>6</v>
      </c>
      <c r="F812" s="421">
        <v>5.0000000000000001E-3</v>
      </c>
      <c r="G812" s="63">
        <f>VLOOKUP(D812,upahbahan,3,FALSE)</f>
        <v>160000</v>
      </c>
      <c r="H812" s="397">
        <f>F812*G812</f>
        <v>800</v>
      </c>
    </row>
    <row r="813" spans="3:9" ht="21.6" customHeight="1">
      <c r="C813" s="398" t="s">
        <v>1208</v>
      </c>
      <c r="D813" s="399"/>
      <c r="E813" s="399"/>
      <c r="F813" s="400"/>
      <c r="G813" s="401"/>
      <c r="H813" s="397">
        <f>SUM(H809:H812)</f>
        <v>48300</v>
      </c>
      <c r="I813" s="402"/>
    </row>
    <row r="814" spans="3:9" ht="21.6" customHeight="1">
      <c r="C814" s="390" t="s">
        <v>1209</v>
      </c>
      <c r="D814" s="391" t="s">
        <v>1210</v>
      </c>
      <c r="E814" s="392"/>
      <c r="F814" s="392"/>
      <c r="G814" s="392"/>
      <c r="H814" s="393"/>
    </row>
    <row r="815" spans="3:9" ht="21.6" customHeight="1">
      <c r="C815" s="436" t="s">
        <v>1203</v>
      </c>
      <c r="D815" s="424" t="s">
        <v>344</v>
      </c>
      <c r="E815" s="425" t="s">
        <v>44</v>
      </c>
      <c r="F815" s="421">
        <v>1.1000000000000001</v>
      </c>
      <c r="G815" s="63">
        <f>VLOOKUP(D815,upahbahan,3,FALSE)</f>
        <v>0</v>
      </c>
      <c r="H815" s="397">
        <f>F815*G815</f>
        <v>0</v>
      </c>
    </row>
    <row r="816" spans="3:9" ht="21.6" customHeight="1">
      <c r="C816" s="436" t="s">
        <v>1204</v>
      </c>
      <c r="D816" s="391" t="s">
        <v>268</v>
      </c>
      <c r="E816" s="425" t="s">
        <v>65</v>
      </c>
      <c r="F816" s="421">
        <v>0.05</v>
      </c>
      <c r="G816" s="63">
        <f>VLOOKUP(D816,upahbahan,3,FALSE)</f>
        <v>216000</v>
      </c>
      <c r="H816" s="397">
        <f>F816*G816</f>
        <v>10800</v>
      </c>
    </row>
    <row r="817" spans="3:9" ht="21.6" customHeight="1">
      <c r="C817" s="398" t="s">
        <v>1214</v>
      </c>
      <c r="D817" s="399"/>
      <c r="E817" s="399"/>
      <c r="F817" s="399"/>
      <c r="G817" s="404"/>
      <c r="H817" s="397">
        <f>SUM(H815:H816)</f>
        <v>10800</v>
      </c>
    </row>
    <row r="818" spans="3:9" ht="21.6" customHeight="1">
      <c r="C818" s="405" t="s">
        <v>1215</v>
      </c>
      <c r="D818" s="391" t="s">
        <v>1216</v>
      </c>
      <c r="E818" s="392"/>
      <c r="F818" s="392"/>
      <c r="G818" s="392"/>
      <c r="H818" s="393"/>
    </row>
    <row r="819" spans="3:9" ht="21.6" customHeight="1">
      <c r="C819" s="398" t="s">
        <v>1217</v>
      </c>
      <c r="D819" s="399"/>
      <c r="E819" s="399"/>
      <c r="F819" s="399"/>
      <c r="G819" s="404"/>
      <c r="H819" s="406">
        <v>0</v>
      </c>
    </row>
    <row r="820" spans="3:9" ht="21.6" customHeight="1">
      <c r="C820" s="407" t="s">
        <v>1218</v>
      </c>
      <c r="D820" s="408" t="s">
        <v>1219</v>
      </c>
      <c r="E820" s="409"/>
      <c r="F820" s="409"/>
      <c r="G820" s="410"/>
      <c r="H820" s="397">
        <f>H819+H817+H813</f>
        <v>59100</v>
      </c>
      <c r="I820" s="411"/>
    </row>
    <row r="821" spans="3:9" ht="21.6" customHeight="1">
      <c r="C821" s="75" t="s">
        <v>1220</v>
      </c>
      <c r="D821" s="76" t="s">
        <v>1321</v>
      </c>
      <c r="E821" s="77"/>
      <c r="F821" s="78"/>
      <c r="G821" s="80">
        <f>$M$8</f>
        <v>0.1</v>
      </c>
      <c r="H821" s="64">
        <f>H820*G821</f>
        <v>5910</v>
      </c>
      <c r="I821" s="411"/>
    </row>
    <row r="822" spans="3:9" ht="21.6" customHeight="1" thickBot="1">
      <c r="C822" s="412" t="s">
        <v>1221</v>
      </c>
      <c r="D822" s="413" t="s">
        <v>1222</v>
      </c>
      <c r="E822" s="414"/>
      <c r="F822" s="414"/>
      <c r="G822" s="415"/>
      <c r="H822" s="416">
        <f>SUM(H820:H821)</f>
        <v>65010</v>
      </c>
      <c r="I822" s="411"/>
    </row>
    <row r="823" spans="3:9" ht="14.4" thickTop="1">
      <c r="C823" s="426"/>
      <c r="D823" s="427"/>
      <c r="E823" s="427"/>
      <c r="F823" s="427"/>
      <c r="G823" s="427"/>
      <c r="H823" s="428"/>
      <c r="I823" s="411"/>
    </row>
    <row r="824" spans="3:9">
      <c r="C824" s="382" t="s">
        <v>2679</v>
      </c>
      <c r="D824" s="429" t="s">
        <v>5268</v>
      </c>
      <c r="E824" s="427"/>
      <c r="F824" s="427"/>
      <c r="G824" s="427"/>
      <c r="H824" s="428"/>
      <c r="I824" s="411"/>
    </row>
    <row r="825" spans="3:9" ht="14.4" thickBot="1">
      <c r="C825" s="381" t="s">
        <v>2680</v>
      </c>
      <c r="D825" s="385" t="s">
        <v>1367</v>
      </c>
      <c r="E825" s="437"/>
      <c r="F825" s="437"/>
      <c r="G825" s="437"/>
      <c r="H825" s="437"/>
      <c r="I825" s="386">
        <f>ROUNDDOWN(H840,-2)</f>
        <v>28900</v>
      </c>
    </row>
    <row r="826" spans="3:9" ht="28.2" thickTop="1">
      <c r="C826" s="387" t="s">
        <v>1195</v>
      </c>
      <c r="D826" s="388" t="s">
        <v>1196</v>
      </c>
      <c r="E826" s="388" t="s">
        <v>1197</v>
      </c>
      <c r="F826" s="388" t="s">
        <v>1198</v>
      </c>
      <c r="G826" s="388" t="s">
        <v>1199</v>
      </c>
      <c r="H826" s="389" t="s">
        <v>1200</v>
      </c>
    </row>
    <row r="827" spans="3:9" ht="18.600000000000001" customHeight="1">
      <c r="C827" s="390" t="s">
        <v>1201</v>
      </c>
      <c r="D827" s="391" t="s">
        <v>1202</v>
      </c>
      <c r="E827" s="392"/>
      <c r="F827" s="392"/>
      <c r="G827" s="392"/>
      <c r="H827" s="393"/>
    </row>
    <row r="828" spans="3:9" ht="18.600000000000001" customHeight="1">
      <c r="C828" s="394">
        <v>1</v>
      </c>
      <c r="D828" s="391" t="s">
        <v>5</v>
      </c>
      <c r="E828" s="395" t="s">
        <v>6</v>
      </c>
      <c r="F828" s="396">
        <v>0.08</v>
      </c>
      <c r="G828" s="63">
        <f>VLOOKUP(D828,upahbahan,3,FALSE)</f>
        <v>100000</v>
      </c>
      <c r="H828" s="397">
        <f>F828*G828</f>
        <v>8000</v>
      </c>
    </row>
    <row r="829" spans="3:9" ht="18.600000000000001" customHeight="1">
      <c r="C829" s="394">
        <v>2</v>
      </c>
      <c r="D829" s="391" t="s">
        <v>8</v>
      </c>
      <c r="E829" s="395" t="s">
        <v>6</v>
      </c>
      <c r="F829" s="396">
        <v>0.04</v>
      </c>
      <c r="G829" s="63">
        <f>VLOOKUP(D829,upahbahan,3,FALSE)</f>
        <v>135000</v>
      </c>
      <c r="H829" s="397">
        <f>F829*G829</f>
        <v>5400</v>
      </c>
    </row>
    <row r="830" spans="3:9" ht="18.600000000000001" customHeight="1">
      <c r="C830" s="394">
        <v>3</v>
      </c>
      <c r="D830" s="391" t="s">
        <v>18</v>
      </c>
      <c r="E830" s="395" t="s">
        <v>6</v>
      </c>
      <c r="F830" s="396">
        <v>4.0000000000000001E-3</v>
      </c>
      <c r="G830" s="63">
        <f>VLOOKUP(D830,upahbahan,3,FALSE)</f>
        <v>150000</v>
      </c>
      <c r="H830" s="397">
        <f>F830*G830</f>
        <v>600</v>
      </c>
    </row>
    <row r="831" spans="3:9" ht="18.600000000000001" customHeight="1">
      <c r="C831" s="394">
        <v>4</v>
      </c>
      <c r="D831" s="391" t="s">
        <v>19</v>
      </c>
      <c r="E831" s="395" t="s">
        <v>6</v>
      </c>
      <c r="F831" s="396">
        <v>1.2999999999999999E-3</v>
      </c>
      <c r="G831" s="63">
        <f>VLOOKUP(D831,upahbahan,3,FALSE)</f>
        <v>160000</v>
      </c>
      <c r="H831" s="397">
        <f>F831*G831</f>
        <v>208</v>
      </c>
    </row>
    <row r="832" spans="3:9" ht="18.600000000000001" customHeight="1">
      <c r="C832" s="398" t="s">
        <v>1208</v>
      </c>
      <c r="D832" s="399"/>
      <c r="E832" s="399"/>
      <c r="F832" s="400"/>
      <c r="G832" s="401"/>
      <c r="H832" s="397">
        <f>SUM(H828:H831)</f>
        <v>14208</v>
      </c>
      <c r="I832" s="402"/>
    </row>
    <row r="833" spans="3:9" ht="18.600000000000001" customHeight="1">
      <c r="C833" s="390" t="s">
        <v>1209</v>
      </c>
      <c r="D833" s="391" t="s">
        <v>1210</v>
      </c>
      <c r="E833" s="392"/>
      <c r="G833" s="392"/>
      <c r="H833" s="393"/>
    </row>
    <row r="834" spans="3:9" ht="18.600000000000001" customHeight="1">
      <c r="C834" s="394">
        <v>1</v>
      </c>
      <c r="D834" s="391" t="s">
        <v>966</v>
      </c>
      <c r="E834" s="395" t="s">
        <v>62</v>
      </c>
      <c r="F834" s="438">
        <v>1.1000000000000001</v>
      </c>
      <c r="G834" s="63">
        <f>VLOOKUP(D834,upahbahan,3,FALSE)</f>
        <v>11000</v>
      </c>
      <c r="H834" s="397">
        <f>F834*G834</f>
        <v>12100.000000000002</v>
      </c>
    </row>
    <row r="835" spans="3:9" ht="18.600000000000001" customHeight="1">
      <c r="C835" s="398" t="s">
        <v>1214</v>
      </c>
      <c r="D835" s="399"/>
      <c r="E835" s="399"/>
      <c r="F835" s="399"/>
      <c r="G835" s="404"/>
      <c r="H835" s="397">
        <f>SUM(H834)</f>
        <v>12100.000000000002</v>
      </c>
    </row>
    <row r="836" spans="3:9" ht="18.600000000000001" customHeight="1">
      <c r="C836" s="405" t="s">
        <v>1215</v>
      </c>
      <c r="D836" s="391" t="s">
        <v>1216</v>
      </c>
      <c r="E836" s="392"/>
      <c r="F836" s="392"/>
      <c r="G836" s="392"/>
      <c r="H836" s="393"/>
    </row>
    <row r="837" spans="3:9" ht="18.600000000000001" customHeight="1">
      <c r="C837" s="398" t="s">
        <v>1217</v>
      </c>
      <c r="D837" s="399"/>
      <c r="E837" s="399"/>
      <c r="F837" s="399"/>
      <c r="G837" s="404"/>
      <c r="H837" s="406">
        <v>0</v>
      </c>
    </row>
    <row r="838" spans="3:9" ht="18.600000000000001" customHeight="1">
      <c r="C838" s="407" t="s">
        <v>1218</v>
      </c>
      <c r="D838" s="408" t="s">
        <v>1219</v>
      </c>
      <c r="E838" s="409"/>
      <c r="F838" s="409"/>
      <c r="G838" s="410"/>
      <c r="H838" s="397">
        <f>H837+H835+H832</f>
        <v>26308</v>
      </c>
      <c r="I838" s="411"/>
    </row>
    <row r="839" spans="3:9" ht="18.600000000000001" customHeight="1">
      <c r="C839" s="75" t="s">
        <v>1220</v>
      </c>
      <c r="D839" s="76" t="s">
        <v>1321</v>
      </c>
      <c r="E839" s="77"/>
      <c r="F839" s="78"/>
      <c r="G839" s="80">
        <f>$M$8</f>
        <v>0.1</v>
      </c>
      <c r="H839" s="64">
        <f>H838*G839</f>
        <v>2630.8</v>
      </c>
      <c r="I839" s="411"/>
    </row>
    <row r="840" spans="3:9" ht="18.600000000000001" customHeight="1" thickBot="1">
      <c r="C840" s="412" t="s">
        <v>1221</v>
      </c>
      <c r="D840" s="413" t="s">
        <v>1222</v>
      </c>
      <c r="E840" s="414"/>
      <c r="F840" s="414"/>
      <c r="G840" s="415"/>
      <c r="H840" s="416">
        <f>SUM(H838:H839)</f>
        <v>28938.799999999999</v>
      </c>
      <c r="I840" s="411"/>
    </row>
    <row r="841" spans="3:9" ht="18.600000000000001" customHeight="1" thickTop="1">
      <c r="C841" s="426"/>
      <c r="D841" s="427"/>
      <c r="E841" s="427"/>
      <c r="F841" s="427"/>
      <c r="G841" s="427"/>
      <c r="H841" s="428"/>
      <c r="I841" s="411"/>
    </row>
    <row r="842" spans="3:9" ht="14.4" thickBot="1">
      <c r="C842" s="47" t="s">
        <v>2681</v>
      </c>
      <c r="D842" s="385" t="s">
        <v>1368</v>
      </c>
      <c r="E842" s="437"/>
      <c r="F842" s="437"/>
      <c r="G842" s="437"/>
      <c r="H842" s="437"/>
      <c r="I842" s="386">
        <f>ROUNDDOWN(H858,-2)</f>
        <v>25000</v>
      </c>
    </row>
    <row r="843" spans="3:9" ht="21.6" customHeight="1" thickTop="1">
      <c r="C843" s="387" t="s">
        <v>1195</v>
      </c>
      <c r="D843" s="388" t="s">
        <v>1196</v>
      </c>
      <c r="E843" s="388" t="s">
        <v>1197</v>
      </c>
      <c r="F843" s="388" t="s">
        <v>1198</v>
      </c>
      <c r="G843" s="388" t="s">
        <v>1199</v>
      </c>
      <c r="H843" s="389" t="s">
        <v>1200</v>
      </c>
    </row>
    <row r="844" spans="3:9" ht="21.6" customHeight="1">
      <c r="C844" s="390" t="s">
        <v>1201</v>
      </c>
      <c r="D844" s="391" t="s">
        <v>1202</v>
      </c>
      <c r="E844" s="392"/>
      <c r="F844" s="392"/>
      <c r="G844" s="392"/>
      <c r="H844" s="393"/>
    </row>
    <row r="845" spans="3:9" ht="21.6" customHeight="1">
      <c r="C845" s="394">
        <v>1</v>
      </c>
      <c r="D845" s="391" t="s">
        <v>5</v>
      </c>
      <c r="E845" s="395" t="s">
        <v>6</v>
      </c>
      <c r="F845" s="396">
        <v>0.15</v>
      </c>
      <c r="G845" s="63">
        <f>VLOOKUP(D845,upahbahan,3,FALSE)</f>
        <v>100000</v>
      </c>
      <c r="H845" s="397">
        <f>F845*G845</f>
        <v>15000</v>
      </c>
    </row>
    <row r="846" spans="3:9" ht="21.6" customHeight="1">
      <c r="C846" s="394">
        <v>2</v>
      </c>
      <c r="D846" s="391" t="s">
        <v>8</v>
      </c>
      <c r="E846" s="395" t="s">
        <v>6</v>
      </c>
      <c r="F846" s="396">
        <v>0.05</v>
      </c>
      <c r="G846" s="63">
        <f>VLOOKUP(D846,upahbahan,3,FALSE)</f>
        <v>135000</v>
      </c>
      <c r="H846" s="397">
        <f>F846*G846</f>
        <v>6750</v>
      </c>
    </row>
    <row r="847" spans="3:9" ht="21.6" customHeight="1">
      <c r="C847" s="394">
        <v>3</v>
      </c>
      <c r="D847" s="391" t="s">
        <v>18</v>
      </c>
      <c r="E847" s="395" t="s">
        <v>6</v>
      </c>
      <c r="F847" s="396">
        <v>5.0000000000000001E-3</v>
      </c>
      <c r="G847" s="63">
        <f>VLOOKUP(D847,upahbahan,3,FALSE)</f>
        <v>150000</v>
      </c>
      <c r="H847" s="397">
        <f>F847*G847</f>
        <v>750</v>
      </c>
    </row>
    <row r="848" spans="3:9" ht="21.6" customHeight="1">
      <c r="C848" s="394">
        <v>4</v>
      </c>
      <c r="D848" s="391" t="s">
        <v>19</v>
      </c>
      <c r="E848" s="395" t="s">
        <v>6</v>
      </c>
      <c r="F848" s="396">
        <v>1.6999999999999999E-3</v>
      </c>
      <c r="G848" s="63">
        <f>VLOOKUP(D848,upahbahan,3,FALSE)</f>
        <v>160000</v>
      </c>
      <c r="H848" s="397">
        <f>F848*G848</f>
        <v>272</v>
      </c>
    </row>
    <row r="849" spans="3:9" ht="21.6" customHeight="1">
      <c r="C849" s="398" t="s">
        <v>1208</v>
      </c>
      <c r="D849" s="399"/>
      <c r="E849" s="399"/>
      <c r="F849" s="400"/>
      <c r="G849" s="401"/>
      <c r="H849" s="397">
        <f>SUM(H845:H848)</f>
        <v>22772</v>
      </c>
      <c r="I849" s="402"/>
    </row>
    <row r="850" spans="3:9" ht="21.6" customHeight="1">
      <c r="C850" s="390" t="s">
        <v>1209</v>
      </c>
      <c r="D850" s="391" t="s">
        <v>1210</v>
      </c>
      <c r="E850" s="392"/>
      <c r="G850" s="392"/>
      <c r="H850" s="393"/>
    </row>
    <row r="851" spans="3:9" ht="21.6" customHeight="1">
      <c r="C851" s="390">
        <v>1</v>
      </c>
      <c r="D851" s="391" t="s">
        <v>987</v>
      </c>
      <c r="E851" s="439" t="s">
        <v>62</v>
      </c>
      <c r="F851" s="440">
        <v>1.1000000000000001</v>
      </c>
      <c r="G851" s="63">
        <f>VLOOKUP(D851,upahbahan,3,FALSE)</f>
        <v>0</v>
      </c>
      <c r="H851" s="397">
        <f>F851*G851</f>
        <v>0</v>
      </c>
    </row>
    <row r="852" spans="3:9" ht="21.6" customHeight="1">
      <c r="C852" s="394">
        <v>2</v>
      </c>
      <c r="D852" s="391" t="s">
        <v>253</v>
      </c>
      <c r="E852" s="395" t="s">
        <v>62</v>
      </c>
      <c r="F852" s="441">
        <v>1.1000000000000001</v>
      </c>
      <c r="G852" s="63">
        <f>VLOOKUP(D852,upahbahan,3,FALSE)</f>
        <v>0</v>
      </c>
      <c r="H852" s="397">
        <f>F852*G852</f>
        <v>0</v>
      </c>
    </row>
    <row r="853" spans="3:9" ht="21.6" customHeight="1">
      <c r="C853" s="398" t="s">
        <v>1214</v>
      </c>
      <c r="D853" s="399"/>
      <c r="E853" s="399"/>
      <c r="F853" s="399"/>
      <c r="G853" s="404"/>
      <c r="H853" s="397">
        <f>SUM(H851:H852)</f>
        <v>0</v>
      </c>
    </row>
    <row r="854" spans="3:9" ht="21.6" customHeight="1">
      <c r="C854" s="405" t="s">
        <v>1215</v>
      </c>
      <c r="D854" s="391" t="s">
        <v>1216</v>
      </c>
      <c r="E854" s="392"/>
      <c r="F854" s="392"/>
      <c r="G854" s="392"/>
      <c r="H854" s="393"/>
    </row>
    <row r="855" spans="3:9" ht="21.6" customHeight="1">
      <c r="C855" s="398" t="s">
        <v>1217</v>
      </c>
      <c r="D855" s="399"/>
      <c r="E855" s="399"/>
      <c r="F855" s="399"/>
      <c r="G855" s="404"/>
      <c r="H855" s="406">
        <v>0</v>
      </c>
    </row>
    <row r="856" spans="3:9" ht="21.6" customHeight="1">
      <c r="C856" s="407" t="s">
        <v>1218</v>
      </c>
      <c r="D856" s="408" t="s">
        <v>1219</v>
      </c>
      <c r="E856" s="409"/>
      <c r="F856" s="409"/>
      <c r="G856" s="410"/>
      <c r="H856" s="397">
        <f>H855+H853+H849</f>
        <v>22772</v>
      </c>
      <c r="I856" s="411"/>
    </row>
    <row r="857" spans="3:9" ht="21.6" customHeight="1">
      <c r="C857" s="75" t="s">
        <v>1220</v>
      </c>
      <c r="D857" s="76" t="s">
        <v>1321</v>
      </c>
      <c r="E857" s="77"/>
      <c r="F857" s="78"/>
      <c r="G857" s="80">
        <f>$M$8</f>
        <v>0.1</v>
      </c>
      <c r="H857" s="64">
        <f>H856*G857</f>
        <v>2277.2000000000003</v>
      </c>
      <c r="I857" s="411"/>
    </row>
    <row r="858" spans="3:9" ht="21.6" customHeight="1" thickBot="1">
      <c r="C858" s="412" t="s">
        <v>1221</v>
      </c>
      <c r="D858" s="413" t="s">
        <v>1222</v>
      </c>
      <c r="E858" s="414"/>
      <c r="F858" s="414"/>
      <c r="G858" s="415"/>
      <c r="H858" s="416">
        <f>SUM(H856:H857)</f>
        <v>25049.200000000001</v>
      </c>
      <c r="I858" s="411"/>
    </row>
    <row r="859" spans="3:9" ht="14.4" thickTop="1">
      <c r="C859" s="426"/>
      <c r="D859" s="427"/>
      <c r="E859" s="427"/>
      <c r="F859" s="427"/>
      <c r="G859" s="427"/>
      <c r="H859" s="428"/>
      <c r="I859" s="411"/>
    </row>
    <row r="860" spans="3:9" ht="14.4" thickBot="1">
      <c r="C860" s="47" t="s">
        <v>2649</v>
      </c>
      <c r="D860" s="385" t="s">
        <v>1369</v>
      </c>
      <c r="E860" s="437"/>
      <c r="F860" s="437"/>
      <c r="G860" s="437"/>
      <c r="H860" s="437"/>
      <c r="I860" s="386">
        <f>ROUNDDOWN(H875,-2)</f>
        <v>19500</v>
      </c>
    </row>
    <row r="861" spans="3:9" ht="28.2" thickTop="1">
      <c r="C861" s="387" t="s">
        <v>1195</v>
      </c>
      <c r="D861" s="388" t="s">
        <v>1196</v>
      </c>
      <c r="E861" s="388" t="s">
        <v>1197</v>
      </c>
      <c r="F861" s="388" t="s">
        <v>1198</v>
      </c>
      <c r="G861" s="388" t="s">
        <v>1199</v>
      </c>
      <c r="H861" s="389" t="s">
        <v>1200</v>
      </c>
    </row>
    <row r="862" spans="3:9" ht="22.8" customHeight="1">
      <c r="C862" s="390" t="s">
        <v>1201</v>
      </c>
      <c r="D862" s="391" t="s">
        <v>1202</v>
      </c>
      <c r="E862" s="392"/>
      <c r="F862" s="392"/>
      <c r="G862" s="392"/>
      <c r="H862" s="393"/>
    </row>
    <row r="863" spans="3:9" ht="22.8" customHeight="1">
      <c r="C863" s="394">
        <v>1</v>
      </c>
      <c r="D863" s="391" t="s">
        <v>5</v>
      </c>
      <c r="E863" s="395" t="s">
        <v>6</v>
      </c>
      <c r="F863" s="396">
        <v>0.1</v>
      </c>
      <c r="G863" s="63">
        <f>VLOOKUP(D863,upahbahan,3,FALSE)</f>
        <v>100000</v>
      </c>
      <c r="H863" s="397">
        <f>F863*G863</f>
        <v>10000</v>
      </c>
    </row>
    <row r="864" spans="3:9" ht="22.8" customHeight="1">
      <c r="C864" s="394">
        <v>2</v>
      </c>
      <c r="D864" s="391" t="s">
        <v>8</v>
      </c>
      <c r="E864" s="395" t="s">
        <v>6</v>
      </c>
      <c r="F864" s="396">
        <v>0.05</v>
      </c>
      <c r="G864" s="63">
        <f>VLOOKUP(D864,upahbahan,3,FALSE)</f>
        <v>135000</v>
      </c>
      <c r="H864" s="397">
        <f>F864*G864</f>
        <v>6750</v>
      </c>
    </row>
    <row r="865" spans="3:9" ht="22.8" customHeight="1">
      <c r="C865" s="394">
        <v>3</v>
      </c>
      <c r="D865" s="391" t="s">
        <v>18</v>
      </c>
      <c r="E865" s="395" t="s">
        <v>6</v>
      </c>
      <c r="F865" s="396">
        <v>5.0000000000000001E-3</v>
      </c>
      <c r="G865" s="63">
        <f>VLOOKUP(D865,upahbahan,3,FALSE)</f>
        <v>150000</v>
      </c>
      <c r="H865" s="397">
        <f>F865*G865</f>
        <v>750</v>
      </c>
    </row>
    <row r="866" spans="3:9" ht="22.8" customHeight="1">
      <c r="C866" s="394">
        <v>4</v>
      </c>
      <c r="D866" s="391" t="s">
        <v>19</v>
      </c>
      <c r="E866" s="395" t="s">
        <v>6</v>
      </c>
      <c r="F866" s="396">
        <v>1.6999999999999999E-3</v>
      </c>
      <c r="G866" s="63">
        <f>VLOOKUP(D866,upahbahan,3,FALSE)</f>
        <v>160000</v>
      </c>
      <c r="H866" s="397">
        <f>F866*G866</f>
        <v>272</v>
      </c>
    </row>
    <row r="867" spans="3:9" ht="22.8" customHeight="1">
      <c r="C867" s="398" t="s">
        <v>1208</v>
      </c>
      <c r="D867" s="399"/>
      <c r="E867" s="399"/>
      <c r="F867" s="400"/>
      <c r="G867" s="401"/>
      <c r="H867" s="397">
        <f>SUM(H863:H866)</f>
        <v>17772</v>
      </c>
      <c r="I867" s="402"/>
    </row>
    <row r="868" spans="3:9" ht="22.8" customHeight="1">
      <c r="C868" s="390" t="s">
        <v>1209</v>
      </c>
      <c r="D868" s="391" t="s">
        <v>1210</v>
      </c>
      <c r="E868" s="392"/>
      <c r="G868" s="392"/>
      <c r="H868" s="393"/>
    </row>
    <row r="869" spans="3:9" ht="22.8" customHeight="1">
      <c r="C869" s="390">
        <v>1</v>
      </c>
      <c r="D869" s="424" t="s">
        <v>992</v>
      </c>
      <c r="E869" s="439" t="s">
        <v>62</v>
      </c>
      <c r="F869" s="440">
        <v>1.1000000000000001</v>
      </c>
      <c r="G869" s="63">
        <f>VLOOKUP(D869,upahbahan,3,FALSE)</f>
        <v>0</v>
      </c>
      <c r="H869" s="397">
        <f>F869*G869</f>
        <v>0</v>
      </c>
    </row>
    <row r="870" spans="3:9" ht="22.8" customHeight="1">
      <c r="C870" s="398" t="s">
        <v>1214</v>
      </c>
      <c r="D870" s="399"/>
      <c r="E870" s="399"/>
      <c r="F870" s="399"/>
      <c r="G870" s="404"/>
      <c r="H870" s="397">
        <f>SUM(H869:H869)</f>
        <v>0</v>
      </c>
    </row>
    <row r="871" spans="3:9" ht="22.8" customHeight="1">
      <c r="C871" s="405" t="s">
        <v>1215</v>
      </c>
      <c r="D871" s="391" t="s">
        <v>1216</v>
      </c>
      <c r="E871" s="392"/>
      <c r="F871" s="392"/>
      <c r="G871" s="392"/>
      <c r="H871" s="393"/>
    </row>
    <row r="872" spans="3:9" ht="22.8" customHeight="1">
      <c r="C872" s="398" t="s">
        <v>1217</v>
      </c>
      <c r="D872" s="399"/>
      <c r="E872" s="399"/>
      <c r="F872" s="399"/>
      <c r="G872" s="404"/>
      <c r="H872" s="406">
        <v>0</v>
      </c>
    </row>
    <row r="873" spans="3:9" ht="22.8" customHeight="1">
      <c r="C873" s="407" t="s">
        <v>1218</v>
      </c>
      <c r="D873" s="408" t="s">
        <v>1219</v>
      </c>
      <c r="E873" s="409"/>
      <c r="F873" s="409"/>
      <c r="G873" s="410"/>
      <c r="H873" s="397">
        <f>H872+H870+H867</f>
        <v>17772</v>
      </c>
      <c r="I873" s="411"/>
    </row>
    <row r="874" spans="3:9" ht="22.8" customHeight="1">
      <c r="C874" s="75" t="s">
        <v>1220</v>
      </c>
      <c r="D874" s="76" t="s">
        <v>1321</v>
      </c>
      <c r="E874" s="77"/>
      <c r="F874" s="78"/>
      <c r="G874" s="80">
        <f>$M$8</f>
        <v>0.1</v>
      </c>
      <c r="H874" s="64">
        <f>H873*G874</f>
        <v>1777.2</v>
      </c>
      <c r="I874" s="411"/>
    </row>
    <row r="875" spans="3:9" ht="22.8" customHeight="1" thickBot="1">
      <c r="C875" s="412" t="s">
        <v>1221</v>
      </c>
      <c r="D875" s="413" t="s">
        <v>1222</v>
      </c>
      <c r="E875" s="414"/>
      <c r="F875" s="414"/>
      <c r="G875" s="415"/>
      <c r="H875" s="416">
        <f>SUM(H873:H874)</f>
        <v>19549.2</v>
      </c>
      <c r="I875" s="411"/>
    </row>
    <row r="876" spans="3:9" ht="14.4" thickTop="1">
      <c r="C876" s="426"/>
      <c r="D876" s="427"/>
      <c r="E876" s="427"/>
      <c r="F876" s="427"/>
      <c r="G876" s="427"/>
      <c r="H876" s="428"/>
      <c r="I876" s="411"/>
    </row>
    <row r="877" spans="3:9">
      <c r="C877" s="382" t="s">
        <v>2682</v>
      </c>
      <c r="D877" s="427" t="s">
        <v>5269</v>
      </c>
      <c r="E877" s="427"/>
      <c r="F877" s="427"/>
      <c r="G877" s="427"/>
      <c r="H877" s="428"/>
      <c r="I877" s="411"/>
    </row>
    <row r="878" spans="3:9" ht="14.4" thickBot="1">
      <c r="C878" s="47" t="s">
        <v>2683</v>
      </c>
      <c r="D878" s="385" t="s">
        <v>1370</v>
      </c>
      <c r="E878" s="420"/>
      <c r="F878" s="420"/>
      <c r="G878" s="420"/>
      <c r="H878" s="420"/>
      <c r="I878" s="386">
        <f>ROUNDDOWN(H895,-2)</f>
        <v>209100</v>
      </c>
    </row>
    <row r="879" spans="3:9" ht="28.2" thickTop="1">
      <c r="C879" s="387" t="s">
        <v>1195</v>
      </c>
      <c r="D879" s="388" t="s">
        <v>1196</v>
      </c>
      <c r="E879" s="388" t="s">
        <v>1197</v>
      </c>
      <c r="F879" s="388" t="s">
        <v>1198</v>
      </c>
      <c r="G879" s="388" t="s">
        <v>1199</v>
      </c>
      <c r="H879" s="389" t="s">
        <v>1200</v>
      </c>
    </row>
    <row r="880" spans="3:9" ht="19.8" customHeight="1">
      <c r="C880" s="390" t="s">
        <v>1201</v>
      </c>
      <c r="D880" s="391" t="s">
        <v>1202</v>
      </c>
      <c r="E880" s="392"/>
      <c r="F880" s="392"/>
      <c r="G880" s="392"/>
      <c r="H880" s="393"/>
    </row>
    <row r="881" spans="3:9" ht="19.8" customHeight="1">
      <c r="C881" s="394">
        <v>1</v>
      </c>
      <c r="D881" s="391" t="s">
        <v>5</v>
      </c>
      <c r="E881" s="395" t="s">
        <v>6</v>
      </c>
      <c r="F881" s="396">
        <v>0.2</v>
      </c>
      <c r="G881" s="63">
        <f>VLOOKUP(D881,upahbahan,3,FALSE)</f>
        <v>100000</v>
      </c>
      <c r="H881" s="397">
        <f>F881*G881</f>
        <v>20000</v>
      </c>
    </row>
    <row r="882" spans="3:9" ht="19.8" customHeight="1">
      <c r="C882" s="394">
        <v>2</v>
      </c>
      <c r="D882" s="391" t="s">
        <v>7</v>
      </c>
      <c r="E882" s="395" t="s">
        <v>6</v>
      </c>
      <c r="F882" s="396">
        <v>0.2</v>
      </c>
      <c r="G882" s="63">
        <f>VLOOKUP(D882,upahbahan,3,FALSE)</f>
        <v>135000</v>
      </c>
      <c r="H882" s="397">
        <f>F882*G882</f>
        <v>27000</v>
      </c>
    </row>
    <row r="883" spans="3:9" ht="19.8" customHeight="1">
      <c r="C883" s="394">
        <v>3</v>
      </c>
      <c r="D883" s="391" t="s">
        <v>18</v>
      </c>
      <c r="E883" s="395" t="s">
        <v>6</v>
      </c>
      <c r="F883" s="396">
        <v>0.02</v>
      </c>
      <c r="G883" s="63">
        <f>VLOOKUP(D883,upahbahan,3,FALSE)</f>
        <v>150000</v>
      </c>
      <c r="H883" s="397">
        <f>F883*G883</f>
        <v>3000</v>
      </c>
    </row>
    <row r="884" spans="3:9" ht="19.8" customHeight="1">
      <c r="C884" s="394">
        <v>4</v>
      </c>
      <c r="D884" s="391" t="s">
        <v>19</v>
      </c>
      <c r="E884" s="395" t="s">
        <v>6</v>
      </c>
      <c r="F884" s="396">
        <v>6.7000000000000002E-3</v>
      </c>
      <c r="G884" s="63">
        <f>VLOOKUP(D884,upahbahan,3,FALSE)</f>
        <v>160000</v>
      </c>
      <c r="H884" s="397">
        <f>F884*G884</f>
        <v>1072</v>
      </c>
    </row>
    <row r="885" spans="3:9" ht="19.8" customHeight="1">
      <c r="C885" s="398" t="s">
        <v>1208</v>
      </c>
      <c r="D885" s="399"/>
      <c r="E885" s="399"/>
      <c r="F885" s="400"/>
      <c r="G885" s="401"/>
      <c r="H885" s="397">
        <f>SUM(H881:H884)</f>
        <v>51072</v>
      </c>
      <c r="I885" s="402"/>
    </row>
    <row r="886" spans="3:9" ht="19.8" customHeight="1">
      <c r="C886" s="390" t="s">
        <v>1209</v>
      </c>
      <c r="D886" s="391" t="s">
        <v>1210</v>
      </c>
      <c r="E886" s="392"/>
      <c r="F886" s="392"/>
      <c r="G886" s="392"/>
      <c r="H886" s="393"/>
    </row>
    <row r="887" spans="3:9" ht="19.8" customHeight="1">
      <c r="C887" s="394">
        <v>1</v>
      </c>
      <c r="D887" s="391" t="s">
        <v>2686</v>
      </c>
      <c r="E887" s="395" t="s">
        <v>42</v>
      </c>
      <c r="F887" s="421">
        <v>1.05</v>
      </c>
      <c r="G887" s="63">
        <f>VLOOKUP(D887,upahbahan,3,FALSE)</f>
        <v>75000</v>
      </c>
      <c r="H887" s="397">
        <f>F887*G887</f>
        <v>78750</v>
      </c>
    </row>
    <row r="888" spans="3:9" ht="19.8" customHeight="1">
      <c r="C888" s="394">
        <v>2</v>
      </c>
      <c r="D888" s="391" t="s">
        <v>259</v>
      </c>
      <c r="E888" s="395" t="s">
        <v>65</v>
      </c>
      <c r="F888" s="421">
        <v>1.4999999999999999E-2</v>
      </c>
      <c r="G888" s="63">
        <f>VLOOKUP(D888,upahbahan,3,FALSE)</f>
        <v>33075</v>
      </c>
      <c r="H888" s="397">
        <f>F888*G888</f>
        <v>496.125</v>
      </c>
    </row>
    <row r="889" spans="3:9" ht="19.8" customHeight="1">
      <c r="C889" s="394">
        <v>3</v>
      </c>
      <c r="D889" s="391" t="s">
        <v>124</v>
      </c>
      <c r="E889" s="395" t="s">
        <v>42</v>
      </c>
      <c r="F889" s="421">
        <v>1.9E-2</v>
      </c>
      <c r="G889" s="63">
        <f>VLOOKUP(D889,upahbahan,3,FALSE)</f>
        <v>3150000</v>
      </c>
      <c r="H889" s="397">
        <f>F889*G889</f>
        <v>59850</v>
      </c>
    </row>
    <row r="890" spans="3:9" ht="19.8" customHeight="1">
      <c r="C890" s="398" t="s">
        <v>1214</v>
      </c>
      <c r="D890" s="399"/>
      <c r="E890" s="399"/>
      <c r="F890" s="399"/>
      <c r="G890" s="404"/>
      <c r="H890" s="397">
        <f>SUM(H887:H889)</f>
        <v>139096.125</v>
      </c>
    </row>
    <row r="891" spans="3:9" ht="19.8" customHeight="1">
      <c r="C891" s="405" t="s">
        <v>1215</v>
      </c>
      <c r="D891" s="391" t="s">
        <v>1216</v>
      </c>
      <c r="E891" s="392"/>
      <c r="F891" s="392"/>
      <c r="G891" s="392"/>
      <c r="H891" s="393"/>
    </row>
    <row r="892" spans="3:9" ht="19.8" customHeight="1">
      <c r="C892" s="398" t="s">
        <v>1217</v>
      </c>
      <c r="D892" s="399"/>
      <c r="E892" s="399"/>
      <c r="F892" s="399"/>
      <c r="G892" s="404"/>
      <c r="H892" s="406">
        <v>0</v>
      </c>
    </row>
    <row r="893" spans="3:9" ht="19.8" customHeight="1">
      <c r="C893" s="407" t="s">
        <v>1218</v>
      </c>
      <c r="D893" s="408" t="s">
        <v>1219</v>
      </c>
      <c r="E893" s="409"/>
      <c r="F893" s="409"/>
      <c r="G893" s="410"/>
      <c r="H893" s="397">
        <f>H892+H890+H885</f>
        <v>190168.125</v>
      </c>
      <c r="I893" s="411"/>
    </row>
    <row r="894" spans="3:9" ht="19.8" customHeight="1">
      <c r="C894" s="75" t="s">
        <v>1220</v>
      </c>
      <c r="D894" s="76" t="s">
        <v>1321</v>
      </c>
      <c r="E894" s="77"/>
      <c r="F894" s="78"/>
      <c r="G894" s="80">
        <f>$M$8</f>
        <v>0.1</v>
      </c>
      <c r="H894" s="64">
        <f>H893*G894</f>
        <v>19016.8125</v>
      </c>
      <c r="I894" s="411"/>
    </row>
    <row r="895" spans="3:9" ht="19.8" customHeight="1" thickBot="1">
      <c r="C895" s="412" t="s">
        <v>1221</v>
      </c>
      <c r="D895" s="413" t="s">
        <v>1222</v>
      </c>
      <c r="E895" s="414"/>
      <c r="F895" s="414"/>
      <c r="G895" s="415"/>
      <c r="H895" s="416">
        <f>SUM(H893:H894)</f>
        <v>209184.9375</v>
      </c>
      <c r="I895" s="411"/>
    </row>
    <row r="896" spans="3:9" ht="14.4" thickTop="1">
      <c r="C896" s="442"/>
    </row>
    <row r="897" spans="3:9" ht="14.4" thickBot="1">
      <c r="C897" s="381" t="s">
        <v>2684</v>
      </c>
      <c r="D897" s="385" t="s">
        <v>1371</v>
      </c>
      <c r="E897" s="443"/>
      <c r="F897" s="443"/>
      <c r="G897" s="443"/>
      <c r="H897" s="443"/>
      <c r="I897" s="386">
        <f>ROUNDDOWN(H914,-2)</f>
        <v>221700</v>
      </c>
    </row>
    <row r="898" spans="3:9" ht="19.8" customHeight="1" thickTop="1">
      <c r="C898" s="387" t="s">
        <v>1195</v>
      </c>
      <c r="D898" s="388" t="s">
        <v>1196</v>
      </c>
      <c r="E898" s="388" t="s">
        <v>1197</v>
      </c>
      <c r="F898" s="388" t="s">
        <v>1198</v>
      </c>
      <c r="G898" s="388" t="s">
        <v>1199</v>
      </c>
      <c r="H898" s="389" t="s">
        <v>1200</v>
      </c>
    </row>
    <row r="899" spans="3:9" ht="19.8" customHeight="1">
      <c r="C899" s="390" t="s">
        <v>1201</v>
      </c>
      <c r="D899" s="391" t="s">
        <v>1202</v>
      </c>
      <c r="E899" s="392"/>
      <c r="F899" s="392"/>
      <c r="G899" s="392"/>
      <c r="H899" s="393"/>
    </row>
    <row r="900" spans="3:9" ht="19.8" customHeight="1">
      <c r="C900" s="394">
        <v>1</v>
      </c>
      <c r="D900" s="391" t="s">
        <v>5</v>
      </c>
      <c r="E900" s="395" t="s">
        <v>6</v>
      </c>
      <c r="F900" s="421">
        <v>0.15</v>
      </c>
      <c r="G900" s="63">
        <f>VLOOKUP(D900,upahbahan,3,FALSE)</f>
        <v>100000</v>
      </c>
      <c r="H900" s="397">
        <f>F900*G900</f>
        <v>15000</v>
      </c>
    </row>
    <row r="901" spans="3:9" ht="19.8" customHeight="1">
      <c r="C901" s="394">
        <v>2</v>
      </c>
      <c r="D901" s="391" t="s">
        <v>7</v>
      </c>
      <c r="E901" s="395" t="s">
        <v>6</v>
      </c>
      <c r="F901" s="421">
        <v>0.3</v>
      </c>
      <c r="G901" s="63">
        <f>VLOOKUP(D901,upahbahan,3,FALSE)</f>
        <v>135000</v>
      </c>
      <c r="H901" s="397">
        <f>F901*G901</f>
        <v>40500</v>
      </c>
    </row>
    <row r="902" spans="3:9" ht="19.8" customHeight="1">
      <c r="C902" s="394">
        <v>3</v>
      </c>
      <c r="D902" s="391" t="s">
        <v>18</v>
      </c>
      <c r="E902" s="395" t="s">
        <v>6</v>
      </c>
      <c r="F902" s="421">
        <v>0.03</v>
      </c>
      <c r="G902" s="63">
        <f>VLOOKUP(D902,upahbahan,3,FALSE)</f>
        <v>150000</v>
      </c>
      <c r="H902" s="397">
        <f>F902*G902</f>
        <v>4500</v>
      </c>
    </row>
    <row r="903" spans="3:9" ht="19.8" customHeight="1">
      <c r="C903" s="394">
        <v>4</v>
      </c>
      <c r="D903" s="391" t="s">
        <v>19</v>
      </c>
      <c r="E903" s="395" t="s">
        <v>6</v>
      </c>
      <c r="F903" s="421">
        <v>0.01</v>
      </c>
      <c r="G903" s="63">
        <f>VLOOKUP(D903,upahbahan,3,FALSE)</f>
        <v>160000</v>
      </c>
      <c r="H903" s="397">
        <f>F903*G903</f>
        <v>1600</v>
      </c>
    </row>
    <row r="904" spans="3:9" ht="19.8" customHeight="1">
      <c r="C904" s="398" t="s">
        <v>1208</v>
      </c>
      <c r="D904" s="399"/>
      <c r="E904" s="399"/>
      <c r="F904" s="400"/>
      <c r="G904" s="401"/>
      <c r="H904" s="397">
        <f>SUM(H900:H903)</f>
        <v>61600</v>
      </c>
      <c r="I904" s="402"/>
    </row>
    <row r="905" spans="3:9" ht="19.8" customHeight="1">
      <c r="C905" s="390" t="s">
        <v>1209</v>
      </c>
      <c r="D905" s="391" t="s">
        <v>1210</v>
      </c>
      <c r="E905" s="392"/>
      <c r="F905" s="392"/>
      <c r="G905" s="392"/>
      <c r="H905" s="393"/>
    </row>
    <row r="906" spans="3:9" ht="19.8" customHeight="1">
      <c r="C906" s="394">
        <v>1</v>
      </c>
      <c r="D906" s="391" t="s">
        <v>2685</v>
      </c>
      <c r="E906" s="395" t="s">
        <v>1300</v>
      </c>
      <c r="F906" s="421">
        <v>1.05</v>
      </c>
      <c r="G906" s="63">
        <f>VLOOKUP(D906,upahbahan,3,FALSE)</f>
        <v>133000</v>
      </c>
      <c r="H906" s="397">
        <f>F906*G906</f>
        <v>139650</v>
      </c>
    </row>
    <row r="907" spans="3:9" ht="19.8" customHeight="1">
      <c r="C907" s="394">
        <v>2</v>
      </c>
      <c r="D907" s="391" t="s">
        <v>259</v>
      </c>
      <c r="E907" s="395" t="s">
        <v>65</v>
      </c>
      <c r="F907" s="421">
        <v>0.01</v>
      </c>
      <c r="G907" s="63">
        <f>VLOOKUP(D907,upahbahan,3,FALSE)</f>
        <v>33075</v>
      </c>
      <c r="H907" s="397">
        <f>F907*G907</f>
        <v>330.75</v>
      </c>
    </row>
    <row r="908" spans="3:9" ht="19.8" customHeight="1">
      <c r="C908" s="394">
        <v>3</v>
      </c>
      <c r="D908" s="391" t="s">
        <v>230</v>
      </c>
      <c r="E908" s="395" t="s">
        <v>65</v>
      </c>
      <c r="F908" s="421">
        <v>0.5</v>
      </c>
      <c r="G908" s="63">
        <f>VLOOKUP(D908,upahbahan,3,FALSE)</f>
        <v>0</v>
      </c>
      <c r="H908" s="397">
        <f>F908*G908</f>
        <v>0</v>
      </c>
    </row>
    <row r="909" spans="3:9" ht="19.8" customHeight="1">
      <c r="C909" s="398" t="s">
        <v>1214</v>
      </c>
      <c r="D909" s="399"/>
      <c r="E909" s="399"/>
      <c r="F909" s="399"/>
      <c r="G909" s="404"/>
      <c r="H909" s="397">
        <f>SUM(H906:H908)</f>
        <v>139980.75</v>
      </c>
    </row>
    <row r="910" spans="3:9" ht="19.8" customHeight="1">
      <c r="C910" s="405" t="s">
        <v>1215</v>
      </c>
      <c r="D910" s="391" t="s">
        <v>1216</v>
      </c>
      <c r="E910" s="392"/>
      <c r="F910" s="392"/>
      <c r="G910" s="392"/>
      <c r="H910" s="393"/>
    </row>
    <row r="911" spans="3:9" ht="19.8" customHeight="1">
      <c r="C911" s="398" t="s">
        <v>1217</v>
      </c>
      <c r="D911" s="399"/>
      <c r="E911" s="399"/>
      <c r="F911" s="399"/>
      <c r="G911" s="404"/>
      <c r="H911" s="406">
        <v>0</v>
      </c>
    </row>
    <row r="912" spans="3:9" ht="19.8" customHeight="1">
      <c r="C912" s="407" t="s">
        <v>1218</v>
      </c>
      <c r="D912" s="408" t="s">
        <v>1219</v>
      </c>
      <c r="E912" s="409"/>
      <c r="F912" s="409"/>
      <c r="G912" s="410"/>
      <c r="H912" s="397">
        <f>H911+H909+H904</f>
        <v>201580.75</v>
      </c>
      <c r="I912" s="411"/>
    </row>
    <row r="913" spans="3:9" ht="19.8" customHeight="1">
      <c r="C913" s="75" t="s">
        <v>1220</v>
      </c>
      <c r="D913" s="76" t="s">
        <v>1321</v>
      </c>
      <c r="E913" s="77"/>
      <c r="F913" s="78"/>
      <c r="G913" s="80">
        <f>$M$8</f>
        <v>0.1</v>
      </c>
      <c r="H913" s="64">
        <f>H912*G913</f>
        <v>20158.075000000001</v>
      </c>
      <c r="I913" s="411"/>
    </row>
    <row r="914" spans="3:9" ht="19.8" customHeight="1" thickBot="1">
      <c r="C914" s="412" t="s">
        <v>1221</v>
      </c>
      <c r="D914" s="413" t="s">
        <v>1222</v>
      </c>
      <c r="E914" s="414"/>
      <c r="F914" s="414"/>
      <c r="G914" s="415"/>
      <c r="H914" s="416">
        <f>SUM(H912:H913)</f>
        <v>221738.82500000001</v>
      </c>
      <c r="I914" s="411"/>
    </row>
    <row r="915" spans="3:9" ht="14.4" thickTop="1">
      <c r="C915" s="426"/>
      <c r="D915" s="427"/>
      <c r="E915" s="427"/>
      <c r="F915" s="427"/>
      <c r="G915" s="427"/>
      <c r="H915" s="428"/>
      <c r="I915" s="411"/>
    </row>
    <row r="916" spans="3:9" ht="14.4" thickBot="1">
      <c r="C916" s="381" t="s">
        <v>2687</v>
      </c>
      <c r="D916" s="385" t="s">
        <v>1372</v>
      </c>
      <c r="E916" s="420"/>
      <c r="F916" s="420"/>
      <c r="G916" s="420"/>
      <c r="H916" s="420"/>
      <c r="I916" s="386" t="e">
        <f>ROUNDDOWN(H932,-2)</f>
        <v>#VALUE!</v>
      </c>
    </row>
    <row r="917" spans="3:9" ht="24.6" customHeight="1" thickTop="1">
      <c r="C917" s="387" t="s">
        <v>1195</v>
      </c>
      <c r="D917" s="388" t="s">
        <v>1196</v>
      </c>
      <c r="E917" s="388" t="s">
        <v>1197</v>
      </c>
      <c r="F917" s="388" t="s">
        <v>1198</v>
      </c>
      <c r="G917" s="388" t="s">
        <v>1199</v>
      </c>
      <c r="H917" s="389" t="s">
        <v>1200</v>
      </c>
    </row>
    <row r="918" spans="3:9" ht="24.6" customHeight="1">
      <c r="C918" s="390" t="s">
        <v>1201</v>
      </c>
      <c r="D918" s="391" t="s">
        <v>1202</v>
      </c>
      <c r="E918" s="392"/>
      <c r="F918" s="392"/>
      <c r="G918" s="392"/>
      <c r="H918" s="393"/>
    </row>
    <row r="919" spans="3:9" ht="24.6" customHeight="1">
      <c r="C919" s="394">
        <v>1</v>
      </c>
      <c r="D919" s="391" t="s">
        <v>5</v>
      </c>
      <c r="E919" s="395" t="s">
        <v>6</v>
      </c>
      <c r="F919" s="396">
        <v>0.1</v>
      </c>
      <c r="G919" s="63">
        <f>VLOOKUP(D919,upahbahan,3,FALSE)</f>
        <v>100000</v>
      </c>
      <c r="H919" s="397">
        <f>F919*G919</f>
        <v>10000</v>
      </c>
    </row>
    <row r="920" spans="3:9" ht="24.6" customHeight="1">
      <c r="C920" s="394">
        <v>2</v>
      </c>
      <c r="D920" s="391" t="s">
        <v>8</v>
      </c>
      <c r="E920" s="395" t="s">
        <v>6</v>
      </c>
      <c r="F920" s="396">
        <v>0.2</v>
      </c>
      <c r="G920" s="63">
        <f>VLOOKUP(D920,upahbahan,3,FALSE)</f>
        <v>135000</v>
      </c>
      <c r="H920" s="397">
        <f>F920*G920</f>
        <v>27000</v>
      </c>
    </row>
    <row r="921" spans="3:9" ht="24.6" customHeight="1">
      <c r="C921" s="394">
        <v>3</v>
      </c>
      <c r="D921" s="391" t="s">
        <v>18</v>
      </c>
      <c r="E921" s="395" t="s">
        <v>6</v>
      </c>
      <c r="F921" s="396">
        <v>0.02</v>
      </c>
      <c r="G921" s="63">
        <f>VLOOKUP(D921,upahbahan,3,FALSE)</f>
        <v>150000</v>
      </c>
      <c r="H921" s="397">
        <f>F921*G921</f>
        <v>3000</v>
      </c>
    </row>
    <row r="922" spans="3:9" ht="24.6" customHeight="1">
      <c r="C922" s="394">
        <v>4</v>
      </c>
      <c r="D922" s="391" t="s">
        <v>19</v>
      </c>
      <c r="E922" s="395" t="s">
        <v>6</v>
      </c>
      <c r="F922" s="396">
        <v>6.7000000000000002E-3</v>
      </c>
      <c r="G922" s="63">
        <f>VLOOKUP(D922,upahbahan,3,FALSE)</f>
        <v>160000</v>
      </c>
      <c r="H922" s="397">
        <f>F922*G922</f>
        <v>1072</v>
      </c>
    </row>
    <row r="923" spans="3:9" ht="24.6" customHeight="1">
      <c r="C923" s="398" t="s">
        <v>1208</v>
      </c>
      <c r="D923" s="399"/>
      <c r="E923" s="399"/>
      <c r="F923" s="400"/>
      <c r="G923" s="401"/>
      <c r="H923" s="397">
        <f>SUM(H919:H922)</f>
        <v>41072</v>
      </c>
      <c r="I923" s="402"/>
    </row>
    <row r="924" spans="3:9" ht="24.6" customHeight="1">
      <c r="C924" s="390" t="s">
        <v>1209</v>
      </c>
      <c r="D924" s="391" t="s">
        <v>1210</v>
      </c>
      <c r="E924" s="392"/>
      <c r="F924" s="392"/>
      <c r="G924" s="392"/>
      <c r="H924" s="393"/>
    </row>
    <row r="925" spans="3:9" ht="24.6" customHeight="1">
      <c r="C925" s="394">
        <v>1</v>
      </c>
      <c r="D925" s="391" t="s">
        <v>123</v>
      </c>
      <c r="E925" s="395" t="s">
        <v>42</v>
      </c>
      <c r="F925" s="396">
        <v>1.0800000000000001E-2</v>
      </c>
      <c r="G925" s="63" t="e">
        <f>VLOOKUP(D925,upahbahan,3,FALSE)</f>
        <v>#VALUE!</v>
      </c>
      <c r="H925" s="397" t="e">
        <f>F925*G925</f>
        <v>#VALUE!</v>
      </c>
    </row>
    <row r="926" spans="3:9" ht="24.6" customHeight="1">
      <c r="C926" s="394">
        <v>2</v>
      </c>
      <c r="D926" s="391" t="s">
        <v>261</v>
      </c>
      <c r="E926" s="395" t="s">
        <v>65</v>
      </c>
      <c r="F926" s="396">
        <v>0.1</v>
      </c>
      <c r="G926" s="63">
        <f>VLOOKUP(D926,upahbahan,3,FALSE)</f>
        <v>33901.875</v>
      </c>
      <c r="H926" s="397">
        <f>F926*G926</f>
        <v>3390.1875</v>
      </c>
    </row>
    <row r="927" spans="3:9" ht="24.6" customHeight="1">
      <c r="C927" s="398" t="s">
        <v>1214</v>
      </c>
      <c r="D927" s="399"/>
      <c r="E927" s="399"/>
      <c r="F927" s="399"/>
      <c r="G927" s="404"/>
      <c r="H927" s="397" t="e">
        <f>SUM(H925:H926)</f>
        <v>#VALUE!</v>
      </c>
    </row>
    <row r="928" spans="3:9" ht="24.6" customHeight="1">
      <c r="C928" s="405" t="s">
        <v>1215</v>
      </c>
      <c r="D928" s="391" t="s">
        <v>1216</v>
      </c>
      <c r="E928" s="392"/>
      <c r="F928" s="392"/>
      <c r="G928" s="392"/>
      <c r="H928" s="393"/>
    </row>
    <row r="929" spans="3:9" ht="24.6" customHeight="1">
      <c r="C929" s="398" t="s">
        <v>1217</v>
      </c>
      <c r="D929" s="399"/>
      <c r="E929" s="399"/>
      <c r="F929" s="399"/>
      <c r="G929" s="404"/>
      <c r="H929" s="406">
        <v>0</v>
      </c>
    </row>
    <row r="930" spans="3:9" ht="24.6" customHeight="1">
      <c r="C930" s="407" t="s">
        <v>1218</v>
      </c>
      <c r="D930" s="408" t="s">
        <v>1219</v>
      </c>
      <c r="E930" s="409"/>
      <c r="F930" s="409"/>
      <c r="G930" s="410"/>
      <c r="H930" s="397" t="e">
        <f>H929+H927+H923</f>
        <v>#VALUE!</v>
      </c>
      <c r="I930" s="411"/>
    </row>
    <row r="931" spans="3:9" ht="24.6" customHeight="1">
      <c r="C931" s="75" t="s">
        <v>1220</v>
      </c>
      <c r="D931" s="76" t="s">
        <v>1321</v>
      </c>
      <c r="E931" s="77"/>
      <c r="F931" s="78"/>
      <c r="G931" s="80">
        <f>$M$8</f>
        <v>0.1</v>
      </c>
      <c r="H931" s="64" t="e">
        <f>H930*G931</f>
        <v>#VALUE!</v>
      </c>
      <c r="I931" s="411"/>
    </row>
    <row r="932" spans="3:9" ht="24.6" customHeight="1" thickBot="1">
      <c r="C932" s="412" t="s">
        <v>1221</v>
      </c>
      <c r="D932" s="413" t="s">
        <v>1222</v>
      </c>
      <c r="E932" s="414"/>
      <c r="F932" s="414"/>
      <c r="G932" s="415"/>
      <c r="H932" s="416" t="e">
        <f>SUM(H930:H931)</f>
        <v>#VALUE!</v>
      </c>
      <c r="I932" s="411"/>
    </row>
    <row r="933" spans="3:9" ht="14.4" thickTop="1">
      <c r="C933" s="417"/>
      <c r="D933" s="418"/>
      <c r="E933" s="418"/>
      <c r="F933" s="418"/>
      <c r="G933" s="418"/>
      <c r="H933" s="419"/>
    </row>
    <row r="934" spans="3:9" ht="14.4" thickBot="1">
      <c r="C934" s="381" t="s">
        <v>2688</v>
      </c>
      <c r="D934" s="385" t="s">
        <v>1373</v>
      </c>
      <c r="E934" s="420"/>
      <c r="F934" s="420"/>
      <c r="G934" s="420"/>
      <c r="H934" s="420"/>
      <c r="I934" s="386" t="e">
        <f>ROUNDDOWN(H950,-2)</f>
        <v>#VALUE!</v>
      </c>
    </row>
    <row r="935" spans="3:9" ht="28.2" thickTop="1">
      <c r="C935" s="387" t="s">
        <v>1195</v>
      </c>
      <c r="D935" s="388" t="s">
        <v>1196</v>
      </c>
      <c r="E935" s="388" t="s">
        <v>1197</v>
      </c>
      <c r="F935" s="388" t="s">
        <v>1198</v>
      </c>
      <c r="G935" s="388" t="s">
        <v>1199</v>
      </c>
      <c r="H935" s="389" t="s">
        <v>1200</v>
      </c>
      <c r="I935" s="386"/>
    </row>
    <row r="936" spans="3:9" ht="19.2" customHeight="1">
      <c r="C936" s="390" t="s">
        <v>1201</v>
      </c>
      <c r="D936" s="391" t="s">
        <v>1202</v>
      </c>
      <c r="E936" s="392"/>
      <c r="F936" s="392"/>
      <c r="G936" s="392"/>
      <c r="H936" s="393"/>
    </row>
    <row r="937" spans="3:9" ht="19.2" customHeight="1">
      <c r="C937" s="394">
        <v>1</v>
      </c>
      <c r="D937" s="391" t="s">
        <v>5</v>
      </c>
      <c r="E937" s="395" t="s">
        <v>6</v>
      </c>
      <c r="F937" s="396">
        <v>0.1</v>
      </c>
      <c r="G937" s="63">
        <f>VLOOKUP(D937,upahbahan,3,FALSE)</f>
        <v>100000</v>
      </c>
      <c r="H937" s="397">
        <f>F937*G937</f>
        <v>10000</v>
      </c>
    </row>
    <row r="938" spans="3:9" ht="19.2" customHeight="1">
      <c r="C938" s="394">
        <v>2</v>
      </c>
      <c r="D938" s="391" t="s">
        <v>8</v>
      </c>
      <c r="E938" s="395" t="s">
        <v>6</v>
      </c>
      <c r="F938" s="396">
        <v>0.2</v>
      </c>
      <c r="G938" s="63">
        <f>VLOOKUP(D938,upahbahan,3,FALSE)</f>
        <v>135000</v>
      </c>
      <c r="H938" s="397">
        <f>F938*G938</f>
        <v>27000</v>
      </c>
    </row>
    <row r="939" spans="3:9" ht="19.2" customHeight="1">
      <c r="C939" s="394">
        <v>3</v>
      </c>
      <c r="D939" s="391" t="s">
        <v>18</v>
      </c>
      <c r="E939" s="395" t="s">
        <v>6</v>
      </c>
      <c r="F939" s="396">
        <v>0.02</v>
      </c>
      <c r="G939" s="63">
        <f>VLOOKUP(D939,upahbahan,3,FALSE)</f>
        <v>150000</v>
      </c>
      <c r="H939" s="397">
        <f>F939*G939</f>
        <v>3000</v>
      </c>
    </row>
    <row r="940" spans="3:9" ht="19.2" customHeight="1">
      <c r="C940" s="394">
        <v>4</v>
      </c>
      <c r="D940" s="391" t="s">
        <v>19</v>
      </c>
      <c r="E940" s="395" t="s">
        <v>6</v>
      </c>
      <c r="F940" s="396">
        <v>6.7000000000000002E-3</v>
      </c>
      <c r="G940" s="63">
        <f>VLOOKUP(D940,upahbahan,3,FALSE)</f>
        <v>160000</v>
      </c>
      <c r="H940" s="397">
        <f>F940*G940</f>
        <v>1072</v>
      </c>
    </row>
    <row r="941" spans="3:9" ht="19.2" customHeight="1">
      <c r="C941" s="398" t="s">
        <v>1208</v>
      </c>
      <c r="D941" s="399"/>
      <c r="E941" s="399"/>
      <c r="F941" s="400"/>
      <c r="G941" s="401"/>
      <c r="H941" s="397">
        <f>SUM(H937:H940)</f>
        <v>41072</v>
      </c>
      <c r="I941" s="402"/>
    </row>
    <row r="942" spans="3:9" ht="19.2" customHeight="1">
      <c r="C942" s="390" t="s">
        <v>1209</v>
      </c>
      <c r="D942" s="391" t="s">
        <v>1210</v>
      </c>
      <c r="E942" s="392"/>
      <c r="F942" s="392"/>
      <c r="G942" s="392"/>
      <c r="H942" s="393"/>
    </row>
    <row r="943" spans="3:9" ht="19.2" customHeight="1">
      <c r="C943" s="394">
        <v>1</v>
      </c>
      <c r="D943" s="391" t="s">
        <v>123</v>
      </c>
      <c r="E943" s="395" t="s">
        <v>42</v>
      </c>
      <c r="F943" s="421">
        <v>1.0999999999999999E-2</v>
      </c>
      <c r="G943" s="63" t="e">
        <f>VLOOKUP(D943,upahbahan,3,FALSE)</f>
        <v>#VALUE!</v>
      </c>
      <c r="H943" s="397" t="e">
        <f>F943*G943</f>
        <v>#VALUE!</v>
      </c>
    </row>
    <row r="944" spans="3:9" ht="19.2" customHeight="1">
      <c r="C944" s="394">
        <v>2</v>
      </c>
      <c r="D944" s="391" t="s">
        <v>261</v>
      </c>
      <c r="E944" s="395" t="s">
        <v>65</v>
      </c>
      <c r="F944" s="421">
        <v>0.05</v>
      </c>
      <c r="G944" s="63">
        <f>VLOOKUP(D944,upahbahan,3,FALSE)</f>
        <v>33901.875</v>
      </c>
      <c r="H944" s="397">
        <f>F944*G944</f>
        <v>1695.09375</v>
      </c>
    </row>
    <row r="945" spans="3:9" ht="19.2" customHeight="1">
      <c r="C945" s="398" t="s">
        <v>1214</v>
      </c>
      <c r="D945" s="399"/>
      <c r="E945" s="399"/>
      <c r="F945" s="399"/>
      <c r="G945" s="404"/>
      <c r="H945" s="397" t="e">
        <f>SUM(H943:H944)</f>
        <v>#VALUE!</v>
      </c>
    </row>
    <row r="946" spans="3:9" ht="19.2" customHeight="1">
      <c r="C946" s="405" t="s">
        <v>1215</v>
      </c>
      <c r="D946" s="391" t="s">
        <v>1216</v>
      </c>
      <c r="E946" s="392"/>
      <c r="F946" s="392"/>
      <c r="G946" s="392"/>
      <c r="H946" s="393"/>
    </row>
    <row r="947" spans="3:9" ht="19.2" customHeight="1">
      <c r="C947" s="398" t="s">
        <v>1217</v>
      </c>
      <c r="D947" s="399"/>
      <c r="E947" s="399"/>
      <c r="F947" s="399"/>
      <c r="G947" s="404"/>
      <c r="H947" s="406">
        <v>0</v>
      </c>
    </row>
    <row r="948" spans="3:9" ht="19.2" customHeight="1">
      <c r="C948" s="407" t="s">
        <v>1218</v>
      </c>
      <c r="D948" s="408" t="s">
        <v>1219</v>
      </c>
      <c r="E948" s="409"/>
      <c r="F948" s="409"/>
      <c r="G948" s="410"/>
      <c r="H948" s="397" t="e">
        <f>H947+H945+H941</f>
        <v>#VALUE!</v>
      </c>
      <c r="I948" s="411"/>
    </row>
    <row r="949" spans="3:9" ht="19.2" customHeight="1">
      <c r="C949" s="75" t="s">
        <v>1220</v>
      </c>
      <c r="D949" s="76" t="s">
        <v>1321</v>
      </c>
      <c r="E949" s="77"/>
      <c r="F949" s="78"/>
      <c r="G949" s="80">
        <f>$M$8</f>
        <v>0.1</v>
      </c>
      <c r="H949" s="64" t="e">
        <f>H948*G949</f>
        <v>#VALUE!</v>
      </c>
      <c r="I949" s="411"/>
    </row>
    <row r="950" spans="3:9" ht="19.2" customHeight="1" thickBot="1">
      <c r="C950" s="412" t="s">
        <v>1221</v>
      </c>
      <c r="D950" s="413" t="s">
        <v>1222</v>
      </c>
      <c r="E950" s="414"/>
      <c r="F950" s="414"/>
      <c r="G950" s="415"/>
      <c r="H950" s="416" t="e">
        <f>SUM(H948:H949)</f>
        <v>#VALUE!</v>
      </c>
      <c r="I950" s="411"/>
    </row>
    <row r="951" spans="3:9" ht="14.4" thickTop="1">
      <c r="C951" s="426"/>
      <c r="D951" s="427"/>
      <c r="E951" s="427"/>
      <c r="F951" s="427"/>
      <c r="G951" s="427"/>
      <c r="H951" s="428"/>
      <c r="I951" s="411"/>
    </row>
    <row r="952" spans="3:9" ht="14.4" thickBot="1">
      <c r="C952" s="381" t="s">
        <v>2689</v>
      </c>
      <c r="D952" s="385" t="s">
        <v>1374</v>
      </c>
      <c r="E952" s="420"/>
      <c r="F952" s="420"/>
      <c r="G952" s="420"/>
      <c r="H952" s="420"/>
      <c r="I952" s="386">
        <f>ROUNDDOWN(H968,-2)</f>
        <v>73600</v>
      </c>
    </row>
    <row r="953" spans="3:9" ht="28.2" thickTop="1">
      <c r="C953" s="387" t="s">
        <v>1195</v>
      </c>
      <c r="D953" s="388" t="s">
        <v>1196</v>
      </c>
      <c r="E953" s="388" t="s">
        <v>1197</v>
      </c>
      <c r="F953" s="388" t="s">
        <v>1198</v>
      </c>
      <c r="G953" s="388" t="s">
        <v>1199</v>
      </c>
      <c r="H953" s="389" t="s">
        <v>1200</v>
      </c>
      <c r="I953" s="386"/>
    </row>
    <row r="954" spans="3:9" ht="19.8" customHeight="1">
      <c r="C954" s="390" t="s">
        <v>1201</v>
      </c>
      <c r="D954" s="391" t="s">
        <v>1202</v>
      </c>
      <c r="E954" s="392"/>
      <c r="F954" s="392"/>
      <c r="G954" s="392"/>
      <c r="H954" s="393"/>
    </row>
    <row r="955" spans="3:9" ht="19.8" customHeight="1">
      <c r="C955" s="394">
        <v>1</v>
      </c>
      <c r="D955" s="391" t="s">
        <v>5</v>
      </c>
      <c r="E955" s="395" t="s">
        <v>6</v>
      </c>
      <c r="F955" s="396">
        <v>0.1</v>
      </c>
      <c r="G955" s="63">
        <f>VLOOKUP(D955,upahbahan,3,FALSE)</f>
        <v>100000</v>
      </c>
      <c r="H955" s="397">
        <f>F955*G955</f>
        <v>10000</v>
      </c>
    </row>
    <row r="956" spans="3:9" ht="19.8" customHeight="1">
      <c r="C956" s="394">
        <v>2</v>
      </c>
      <c r="D956" s="391" t="s">
        <v>8</v>
      </c>
      <c r="E956" s="395" t="s">
        <v>6</v>
      </c>
      <c r="F956" s="396">
        <v>0.2</v>
      </c>
      <c r="G956" s="63">
        <f>VLOOKUP(D956,upahbahan,3,FALSE)</f>
        <v>135000</v>
      </c>
      <c r="H956" s="397">
        <f>F956*G956</f>
        <v>27000</v>
      </c>
    </row>
    <row r="957" spans="3:9" ht="19.8" customHeight="1">
      <c r="C957" s="394">
        <v>3</v>
      </c>
      <c r="D957" s="391" t="s">
        <v>18</v>
      </c>
      <c r="E957" s="395" t="s">
        <v>6</v>
      </c>
      <c r="F957" s="396">
        <v>0.02</v>
      </c>
      <c r="G957" s="63">
        <f>VLOOKUP(D957,upahbahan,3,FALSE)</f>
        <v>150000</v>
      </c>
      <c r="H957" s="397">
        <f>F957*G957</f>
        <v>3000</v>
      </c>
    </row>
    <row r="958" spans="3:9" ht="19.8" customHeight="1">
      <c r="C958" s="394">
        <v>4</v>
      </c>
      <c r="D958" s="391" t="s">
        <v>19</v>
      </c>
      <c r="E958" s="395" t="s">
        <v>6</v>
      </c>
      <c r="F958" s="396">
        <v>6.7000000000000002E-3</v>
      </c>
      <c r="G958" s="63">
        <f>VLOOKUP(D958,upahbahan,3,FALSE)</f>
        <v>160000</v>
      </c>
      <c r="H958" s="397">
        <f>F958*G958</f>
        <v>1072</v>
      </c>
    </row>
    <row r="959" spans="3:9" ht="19.8" customHeight="1">
      <c r="C959" s="398" t="s">
        <v>1208</v>
      </c>
      <c r="D959" s="399"/>
      <c r="E959" s="399"/>
      <c r="F959" s="400"/>
      <c r="G959" s="401"/>
      <c r="H959" s="397">
        <f>SUM(H955:H958)</f>
        <v>41072</v>
      </c>
      <c r="I959" s="402"/>
    </row>
    <row r="960" spans="3:9" ht="19.8" customHeight="1">
      <c r="C960" s="390" t="s">
        <v>1209</v>
      </c>
      <c r="D960" s="391" t="s">
        <v>1210</v>
      </c>
      <c r="E960" s="392"/>
      <c r="F960" s="392"/>
      <c r="G960" s="392"/>
      <c r="H960" s="393"/>
    </row>
    <row r="961" spans="3:9" ht="19.8" customHeight="1">
      <c r="C961" s="394">
        <v>1</v>
      </c>
      <c r="D961" s="391" t="s">
        <v>388</v>
      </c>
      <c r="E961" s="395" t="s">
        <v>113</v>
      </c>
      <c r="F961" s="421">
        <v>1.05</v>
      </c>
      <c r="G961" s="63">
        <f>VLOOKUP(D961,upahbahan,3,FALSE)</f>
        <v>23000</v>
      </c>
      <c r="H961" s="397">
        <f>F961*G961</f>
        <v>24150</v>
      </c>
    </row>
    <row r="962" spans="3:9" ht="19.8" customHeight="1">
      <c r="C962" s="394">
        <v>2</v>
      </c>
      <c r="D962" s="391" t="s">
        <v>261</v>
      </c>
      <c r="E962" s="395" t="s">
        <v>65</v>
      </c>
      <c r="F962" s="421">
        <v>0.05</v>
      </c>
      <c r="G962" s="63">
        <f>VLOOKUP(D962,upahbahan,3,FALSE)</f>
        <v>33901.875</v>
      </c>
      <c r="H962" s="397">
        <f>F962*G962</f>
        <v>1695.09375</v>
      </c>
    </row>
    <row r="963" spans="3:9" ht="19.8" customHeight="1">
      <c r="C963" s="398" t="s">
        <v>1214</v>
      </c>
      <c r="D963" s="399"/>
      <c r="E963" s="399"/>
      <c r="F963" s="399"/>
      <c r="G963" s="404"/>
      <c r="H963" s="397">
        <f>SUM(H961:H962)</f>
        <v>25845.09375</v>
      </c>
    </row>
    <row r="964" spans="3:9" ht="19.8" customHeight="1">
      <c r="C964" s="405" t="s">
        <v>1215</v>
      </c>
      <c r="D964" s="391" t="s">
        <v>1216</v>
      </c>
      <c r="E964" s="392"/>
      <c r="F964" s="392"/>
      <c r="G964" s="392"/>
      <c r="H964" s="393"/>
    </row>
    <row r="965" spans="3:9" ht="19.8" customHeight="1">
      <c r="C965" s="398" t="s">
        <v>1217</v>
      </c>
      <c r="D965" s="399"/>
      <c r="E965" s="399"/>
      <c r="F965" s="399"/>
      <c r="G965" s="404"/>
      <c r="H965" s="406">
        <v>0</v>
      </c>
    </row>
    <row r="966" spans="3:9" ht="19.8" customHeight="1">
      <c r="C966" s="407" t="s">
        <v>1218</v>
      </c>
      <c r="D966" s="408" t="s">
        <v>1219</v>
      </c>
      <c r="E966" s="409"/>
      <c r="F966" s="409"/>
      <c r="G966" s="410"/>
      <c r="H966" s="397">
        <f>H965+H963+H959</f>
        <v>66917.09375</v>
      </c>
      <c r="I966" s="411"/>
    </row>
    <row r="967" spans="3:9" ht="19.8" customHeight="1">
      <c r="C967" s="75" t="s">
        <v>1220</v>
      </c>
      <c r="D967" s="76" t="s">
        <v>1321</v>
      </c>
      <c r="E967" s="77"/>
      <c r="F967" s="78"/>
      <c r="G967" s="80">
        <f>$M$8</f>
        <v>0.1</v>
      </c>
      <c r="H967" s="64">
        <f>H966*G967</f>
        <v>6691.7093750000004</v>
      </c>
      <c r="I967" s="411"/>
    </row>
    <row r="968" spans="3:9" ht="19.8" customHeight="1" thickBot="1">
      <c r="C968" s="412" t="s">
        <v>1221</v>
      </c>
      <c r="D968" s="413" t="s">
        <v>1222</v>
      </c>
      <c r="E968" s="414"/>
      <c r="F968" s="414"/>
      <c r="G968" s="415"/>
      <c r="H968" s="416">
        <f>SUM(H966:H967)</f>
        <v>73608.803125000006</v>
      </c>
      <c r="I968" s="411"/>
    </row>
    <row r="969" spans="3:9" ht="14.4" thickTop="1">
      <c r="C969" s="426"/>
      <c r="D969" s="427"/>
      <c r="E969" s="427"/>
      <c r="F969" s="427"/>
      <c r="G969" s="427"/>
      <c r="H969" s="428"/>
      <c r="I969" s="411"/>
    </row>
    <row r="970" spans="3:9" ht="14.4" thickBot="1">
      <c r="C970" s="381" t="s">
        <v>2690</v>
      </c>
      <c r="D970" s="385" t="s">
        <v>1375</v>
      </c>
      <c r="E970" s="420"/>
      <c r="F970" s="420"/>
      <c r="G970" s="420"/>
      <c r="H970" s="420"/>
      <c r="I970" s="386">
        <f>ROUNDDOWN(H986,-2)</f>
        <v>75600</v>
      </c>
    </row>
    <row r="971" spans="3:9" ht="31.2" customHeight="1" thickTop="1">
      <c r="C971" s="387" t="s">
        <v>1195</v>
      </c>
      <c r="D971" s="388" t="s">
        <v>1196</v>
      </c>
      <c r="E971" s="388" t="s">
        <v>1197</v>
      </c>
      <c r="F971" s="388" t="s">
        <v>1198</v>
      </c>
      <c r="G971" s="388" t="s">
        <v>1199</v>
      </c>
      <c r="H971" s="389" t="s">
        <v>1200</v>
      </c>
      <c r="I971" s="386"/>
    </row>
    <row r="972" spans="3:9" ht="21" customHeight="1">
      <c r="C972" s="390" t="s">
        <v>1201</v>
      </c>
      <c r="D972" s="391" t="s">
        <v>1202</v>
      </c>
      <c r="E972" s="392"/>
      <c r="F972" s="392"/>
      <c r="G972" s="392"/>
      <c r="H972" s="393"/>
    </row>
    <row r="973" spans="3:9" ht="21" customHeight="1">
      <c r="C973" s="394">
        <v>1</v>
      </c>
      <c r="D973" s="391" t="s">
        <v>5</v>
      </c>
      <c r="E973" s="395" t="s">
        <v>6</v>
      </c>
      <c r="F973" s="396">
        <v>0.1</v>
      </c>
      <c r="G973" s="63">
        <f>VLOOKUP(D973,upahbahan,3,FALSE)</f>
        <v>100000</v>
      </c>
      <c r="H973" s="397">
        <f>F973*G973</f>
        <v>10000</v>
      </c>
    </row>
    <row r="974" spans="3:9" ht="21" customHeight="1">
      <c r="C974" s="394">
        <v>2</v>
      </c>
      <c r="D974" s="391" t="s">
        <v>8</v>
      </c>
      <c r="E974" s="395" t="s">
        <v>6</v>
      </c>
      <c r="F974" s="396">
        <v>0.2</v>
      </c>
      <c r="G974" s="63">
        <f>VLOOKUP(D974,upahbahan,3,FALSE)</f>
        <v>135000</v>
      </c>
      <c r="H974" s="397">
        <f>F974*G974</f>
        <v>27000</v>
      </c>
    </row>
    <row r="975" spans="3:9" ht="21" customHeight="1">
      <c r="C975" s="394">
        <v>3</v>
      </c>
      <c r="D975" s="391" t="s">
        <v>18</v>
      </c>
      <c r="E975" s="395" t="s">
        <v>6</v>
      </c>
      <c r="F975" s="396">
        <v>0.02</v>
      </c>
      <c r="G975" s="63">
        <f>VLOOKUP(D975,upahbahan,3,FALSE)</f>
        <v>150000</v>
      </c>
      <c r="H975" s="397">
        <f>F975*G975</f>
        <v>3000</v>
      </c>
    </row>
    <row r="976" spans="3:9" ht="21" customHeight="1">
      <c r="C976" s="394">
        <v>4</v>
      </c>
      <c r="D976" s="391" t="s">
        <v>19</v>
      </c>
      <c r="E976" s="395" t="s">
        <v>6</v>
      </c>
      <c r="F976" s="396">
        <v>6.7000000000000002E-3</v>
      </c>
      <c r="G976" s="63">
        <f>VLOOKUP(D976,upahbahan,3,FALSE)</f>
        <v>160000</v>
      </c>
      <c r="H976" s="397">
        <f>F976*G976</f>
        <v>1072</v>
      </c>
    </row>
    <row r="977" spans="3:9" ht="21" customHeight="1">
      <c r="C977" s="398" t="s">
        <v>1208</v>
      </c>
      <c r="D977" s="399"/>
      <c r="E977" s="399"/>
      <c r="F977" s="400"/>
      <c r="G977" s="401"/>
      <c r="H977" s="397">
        <f>SUM(H973:H976)</f>
        <v>41072</v>
      </c>
      <c r="I977" s="402"/>
    </row>
    <row r="978" spans="3:9" ht="21" customHeight="1">
      <c r="C978" s="390" t="s">
        <v>1209</v>
      </c>
      <c r="D978" s="391" t="s">
        <v>1210</v>
      </c>
      <c r="E978" s="392"/>
      <c r="F978" s="392"/>
      <c r="G978" s="392"/>
      <c r="H978" s="393"/>
    </row>
    <row r="979" spans="3:9" ht="21" customHeight="1">
      <c r="C979" s="394">
        <v>1</v>
      </c>
      <c r="D979" s="391" t="s">
        <v>387</v>
      </c>
      <c r="E979" s="395" t="s">
        <v>113</v>
      </c>
      <c r="F979" s="421">
        <v>1.05</v>
      </c>
      <c r="G979" s="63">
        <f>VLOOKUP(D979,upahbahan,3,FALSE)</f>
        <v>24750</v>
      </c>
      <c r="H979" s="397">
        <f>F979*G979</f>
        <v>25987.5</v>
      </c>
    </row>
    <row r="980" spans="3:9" ht="21" customHeight="1">
      <c r="C980" s="394">
        <v>2</v>
      </c>
      <c r="D980" s="391" t="s">
        <v>261</v>
      </c>
      <c r="E980" s="395" t="s">
        <v>65</v>
      </c>
      <c r="F980" s="421">
        <v>0.05</v>
      </c>
      <c r="G980" s="63">
        <f>VLOOKUP(D980,upahbahan,3,FALSE)</f>
        <v>33901.875</v>
      </c>
      <c r="H980" s="397">
        <f>F980*G980</f>
        <v>1695.09375</v>
      </c>
    </row>
    <row r="981" spans="3:9" ht="21" customHeight="1">
      <c r="C981" s="398" t="s">
        <v>1214</v>
      </c>
      <c r="D981" s="399"/>
      <c r="E981" s="399"/>
      <c r="F981" s="399"/>
      <c r="G981" s="404"/>
      <c r="H981" s="397">
        <f>SUM(H979:H980)</f>
        <v>27682.59375</v>
      </c>
    </row>
    <row r="982" spans="3:9" ht="21" customHeight="1">
      <c r="C982" s="405" t="s">
        <v>1215</v>
      </c>
      <c r="D982" s="391" t="s">
        <v>1216</v>
      </c>
      <c r="E982" s="392"/>
      <c r="F982" s="392"/>
      <c r="G982" s="392"/>
      <c r="H982" s="393"/>
    </row>
    <row r="983" spans="3:9" ht="21" customHeight="1">
      <c r="C983" s="398" t="s">
        <v>1217</v>
      </c>
      <c r="D983" s="399"/>
      <c r="E983" s="399"/>
      <c r="F983" s="399"/>
      <c r="G983" s="404"/>
      <c r="H983" s="406">
        <v>0</v>
      </c>
    </row>
    <row r="984" spans="3:9" ht="21" customHeight="1">
      <c r="C984" s="407" t="s">
        <v>1218</v>
      </c>
      <c r="D984" s="408" t="s">
        <v>1219</v>
      </c>
      <c r="E984" s="409"/>
      <c r="F984" s="409"/>
      <c r="G984" s="410"/>
      <c r="H984" s="397">
        <f>H983+H981+H977</f>
        <v>68754.59375</v>
      </c>
      <c r="I984" s="411"/>
    </row>
    <row r="985" spans="3:9" ht="21" customHeight="1">
      <c r="C985" s="75" t="s">
        <v>1220</v>
      </c>
      <c r="D985" s="76" t="s">
        <v>1321</v>
      </c>
      <c r="E985" s="77"/>
      <c r="F985" s="78"/>
      <c r="G985" s="80">
        <f>$M$8</f>
        <v>0.1</v>
      </c>
      <c r="H985" s="64">
        <f>H984*G985</f>
        <v>6875.4593750000004</v>
      </c>
      <c r="I985" s="411"/>
    </row>
    <row r="986" spans="3:9" ht="21" customHeight="1" thickBot="1">
      <c r="C986" s="412" t="s">
        <v>1221</v>
      </c>
      <c r="D986" s="413" t="s">
        <v>1222</v>
      </c>
      <c r="E986" s="414"/>
      <c r="F986" s="414"/>
      <c r="G986" s="415"/>
      <c r="H986" s="416">
        <f>SUM(H984:H985)</f>
        <v>75630.053125000006</v>
      </c>
      <c r="I986" s="411"/>
    </row>
    <row r="987" spans="3:9" ht="14.4" thickTop="1">
      <c r="C987" s="426"/>
      <c r="D987" s="427"/>
      <c r="E987" s="427"/>
      <c r="F987" s="427"/>
      <c r="G987" s="427"/>
      <c r="H987" s="428"/>
      <c r="I987" s="411"/>
    </row>
    <row r="988" spans="3:9">
      <c r="C988" s="444" t="s">
        <v>2691</v>
      </c>
      <c r="D988" s="445" t="s">
        <v>5270</v>
      </c>
      <c r="E988" s="427"/>
      <c r="F988" s="427"/>
      <c r="G988" s="427"/>
      <c r="H988" s="428"/>
      <c r="I988" s="411"/>
    </row>
    <row r="989" spans="3:9" ht="14.4" thickBot="1">
      <c r="C989" s="382" t="s">
        <v>2692</v>
      </c>
      <c r="D989" s="385" t="s">
        <v>2693</v>
      </c>
      <c r="E989" s="420"/>
      <c r="F989" s="420"/>
      <c r="G989" s="420"/>
      <c r="H989" s="420"/>
      <c r="I989" s="386">
        <f>ROUNDDOWN(H1005,-2)</f>
        <v>206300</v>
      </c>
    </row>
    <row r="990" spans="3:9" ht="28.2" thickTop="1">
      <c r="C990" s="387" t="s">
        <v>1195</v>
      </c>
      <c r="D990" s="388" t="s">
        <v>1196</v>
      </c>
      <c r="E990" s="388" t="s">
        <v>1197</v>
      </c>
      <c r="F990" s="388" t="s">
        <v>1198</v>
      </c>
      <c r="G990" s="388" t="s">
        <v>1199</v>
      </c>
      <c r="H990" s="389" t="s">
        <v>1200</v>
      </c>
      <c r="I990" s="386"/>
    </row>
    <row r="991" spans="3:9" ht="21" customHeight="1">
      <c r="C991" s="390" t="s">
        <v>1201</v>
      </c>
      <c r="D991" s="391" t="s">
        <v>1202</v>
      </c>
      <c r="E991" s="392"/>
      <c r="F991" s="392"/>
      <c r="G991" s="392"/>
      <c r="H991" s="393"/>
    </row>
    <row r="992" spans="3:9" ht="21" customHeight="1">
      <c r="C992" s="394">
        <v>1</v>
      </c>
      <c r="D992" s="391" t="s">
        <v>5</v>
      </c>
      <c r="E992" s="395" t="s">
        <v>6</v>
      </c>
      <c r="F992" s="396">
        <v>0.05</v>
      </c>
      <c r="G992" s="63">
        <f>VLOOKUP(D992,upahbahan,3,FALSE)</f>
        <v>100000</v>
      </c>
      <c r="H992" s="397">
        <f>F992*G992</f>
        <v>5000</v>
      </c>
    </row>
    <row r="993" spans="3:9" ht="21" customHeight="1">
      <c r="C993" s="394">
        <v>2</v>
      </c>
      <c r="D993" s="391" t="s">
        <v>8</v>
      </c>
      <c r="E993" s="395" t="s">
        <v>6</v>
      </c>
      <c r="F993" s="396">
        <v>0.05</v>
      </c>
      <c r="G993" s="63">
        <f>VLOOKUP(D993,upahbahan,3,FALSE)</f>
        <v>135000</v>
      </c>
      <c r="H993" s="397">
        <f>F993*G993</f>
        <v>6750</v>
      </c>
    </row>
    <row r="994" spans="3:9" ht="21" customHeight="1">
      <c r="C994" s="394">
        <v>3</v>
      </c>
      <c r="D994" s="391" t="s">
        <v>18</v>
      </c>
      <c r="E994" s="395" t="s">
        <v>6</v>
      </c>
      <c r="F994" s="396">
        <v>5.0000000000000001E-3</v>
      </c>
      <c r="G994" s="63">
        <f>VLOOKUP(D994,upahbahan,3,FALSE)</f>
        <v>150000</v>
      </c>
      <c r="H994" s="397">
        <f>F994*G994</f>
        <v>750</v>
      </c>
    </row>
    <row r="995" spans="3:9" ht="21" customHeight="1">
      <c r="C995" s="394">
        <v>4</v>
      </c>
      <c r="D995" s="391" t="s">
        <v>19</v>
      </c>
      <c r="E995" s="395" t="s">
        <v>6</v>
      </c>
      <c r="F995" s="396">
        <v>2E-3</v>
      </c>
      <c r="G995" s="63">
        <f>VLOOKUP(D995,upahbahan,3,FALSE)</f>
        <v>160000</v>
      </c>
      <c r="H995" s="397">
        <f>F995*G995</f>
        <v>320</v>
      </c>
    </row>
    <row r="996" spans="3:9" ht="21" customHeight="1">
      <c r="C996" s="398" t="s">
        <v>1208</v>
      </c>
      <c r="D996" s="399"/>
      <c r="E996" s="399"/>
      <c r="F996" s="400"/>
      <c r="G996" s="401"/>
      <c r="H996" s="397">
        <f>SUM(H992:H995)</f>
        <v>12820</v>
      </c>
      <c r="I996" s="402"/>
    </row>
    <row r="997" spans="3:9" ht="21" customHeight="1">
      <c r="C997" s="390" t="s">
        <v>1209</v>
      </c>
      <c r="D997" s="391" t="s">
        <v>1210</v>
      </c>
      <c r="E997" s="392"/>
      <c r="F997" s="392"/>
      <c r="G997" s="392"/>
      <c r="H997" s="393"/>
    </row>
    <row r="998" spans="3:9" ht="21" customHeight="1">
      <c r="C998" s="394">
        <v>1</v>
      </c>
      <c r="D998" s="391" t="s">
        <v>2694</v>
      </c>
      <c r="E998" s="395" t="s">
        <v>113</v>
      </c>
      <c r="F998" s="421">
        <v>1.05</v>
      </c>
      <c r="G998" s="63">
        <f>VLOOKUP(D998,upahbahan,3,FALSE)</f>
        <v>150000</v>
      </c>
      <c r="H998" s="397">
        <f>F998*G998</f>
        <v>157500</v>
      </c>
    </row>
    <row r="999" spans="3:9" ht="21" customHeight="1">
      <c r="C999" s="394">
        <v>2</v>
      </c>
      <c r="D999" s="391" t="s">
        <v>2695</v>
      </c>
      <c r="E999" s="395" t="s">
        <v>65</v>
      </c>
      <c r="F999" s="421">
        <v>0.3</v>
      </c>
      <c r="G999" s="63">
        <f>VLOOKUP(D999,upahbahan,3,FALSE)</f>
        <v>57500</v>
      </c>
      <c r="H999" s="397">
        <f>F999*G999</f>
        <v>17250</v>
      </c>
    </row>
    <row r="1000" spans="3:9" ht="21" customHeight="1">
      <c r="C1000" s="398" t="s">
        <v>1214</v>
      </c>
      <c r="D1000" s="399"/>
      <c r="E1000" s="399"/>
      <c r="F1000" s="399"/>
      <c r="G1000" s="404"/>
      <c r="H1000" s="397">
        <f>SUM(H998:H999)</f>
        <v>174750</v>
      </c>
    </row>
    <row r="1001" spans="3:9" ht="21" customHeight="1">
      <c r="C1001" s="405" t="s">
        <v>1215</v>
      </c>
      <c r="D1001" s="391" t="s">
        <v>1216</v>
      </c>
      <c r="E1001" s="392"/>
      <c r="F1001" s="392"/>
      <c r="G1001" s="392"/>
      <c r="H1001" s="393"/>
    </row>
    <row r="1002" spans="3:9" ht="21" customHeight="1">
      <c r="C1002" s="398" t="s">
        <v>1217</v>
      </c>
      <c r="D1002" s="399"/>
      <c r="E1002" s="399"/>
      <c r="F1002" s="399"/>
      <c r="G1002" s="404"/>
      <c r="H1002" s="406">
        <v>0</v>
      </c>
    </row>
    <row r="1003" spans="3:9" ht="21" customHeight="1">
      <c r="C1003" s="407" t="s">
        <v>1218</v>
      </c>
      <c r="D1003" s="408" t="s">
        <v>1219</v>
      </c>
      <c r="E1003" s="409"/>
      <c r="F1003" s="409"/>
      <c r="G1003" s="410"/>
      <c r="H1003" s="397">
        <f>H1002+H1000+H996</f>
        <v>187570</v>
      </c>
      <c r="I1003" s="411"/>
    </row>
    <row r="1004" spans="3:9" ht="21" customHeight="1">
      <c r="C1004" s="75" t="s">
        <v>1220</v>
      </c>
      <c r="D1004" s="76" t="s">
        <v>1321</v>
      </c>
      <c r="E1004" s="77"/>
      <c r="F1004" s="78"/>
      <c r="G1004" s="80">
        <f>$M$8</f>
        <v>0.1</v>
      </c>
      <c r="H1004" s="64">
        <f>H1003*G1004</f>
        <v>18757</v>
      </c>
      <c r="I1004" s="411"/>
    </row>
    <row r="1005" spans="3:9" ht="21" customHeight="1" thickBot="1">
      <c r="C1005" s="412" t="s">
        <v>1221</v>
      </c>
      <c r="D1005" s="413" t="s">
        <v>1222</v>
      </c>
      <c r="E1005" s="414"/>
      <c r="F1005" s="414"/>
      <c r="G1005" s="415"/>
      <c r="H1005" s="416">
        <f>SUM(H1003:H1004)</f>
        <v>206327</v>
      </c>
      <c r="I1005" s="411"/>
    </row>
    <row r="1006" spans="3:9" ht="14.4" thickTop="1"/>
    <row r="1008" spans="3:9" ht="14.4" thickBot="1">
      <c r="C1008" s="381" t="s">
        <v>2696</v>
      </c>
      <c r="D1008" s="385" t="s">
        <v>2697</v>
      </c>
      <c r="E1008" s="420"/>
      <c r="F1008" s="420"/>
      <c r="G1008" s="420"/>
      <c r="H1008" s="420"/>
      <c r="I1008" s="386">
        <f>ROUNDDOWN(H1023,-2)</f>
        <v>122800</v>
      </c>
    </row>
    <row r="1009" spans="3:9" ht="28.2" thickTop="1">
      <c r="C1009" s="387" t="s">
        <v>1195</v>
      </c>
      <c r="D1009" s="388" t="s">
        <v>1196</v>
      </c>
      <c r="E1009" s="388" t="s">
        <v>1197</v>
      </c>
      <c r="F1009" s="388" t="s">
        <v>1198</v>
      </c>
      <c r="G1009" s="388" t="s">
        <v>1199</v>
      </c>
      <c r="H1009" s="389" t="s">
        <v>1200</v>
      </c>
      <c r="I1009" s="386"/>
    </row>
    <row r="1010" spans="3:9" ht="21.6" customHeight="1">
      <c r="C1010" s="390" t="s">
        <v>1201</v>
      </c>
      <c r="D1010" s="391" t="s">
        <v>1202</v>
      </c>
      <c r="E1010" s="392"/>
      <c r="F1010" s="392"/>
      <c r="G1010" s="392"/>
      <c r="H1010" s="393"/>
    </row>
    <row r="1011" spans="3:9" ht="21.6" customHeight="1">
      <c r="C1011" s="394">
        <v>1</v>
      </c>
      <c r="D1011" s="391" t="s">
        <v>5</v>
      </c>
      <c r="E1011" s="395" t="s">
        <v>6</v>
      </c>
      <c r="F1011" s="446">
        <v>0.1</v>
      </c>
      <c r="G1011" s="63">
        <f>VLOOKUP(D1011,upahbahan,3,FALSE)</f>
        <v>100000</v>
      </c>
      <c r="H1011" s="397">
        <f>F1011*G1011</f>
        <v>10000</v>
      </c>
    </row>
    <row r="1012" spans="3:9" ht="21.6" customHeight="1">
      <c r="C1012" s="394">
        <v>2</v>
      </c>
      <c r="D1012" s="391" t="s">
        <v>2698</v>
      </c>
      <c r="E1012" s="395" t="s">
        <v>6</v>
      </c>
      <c r="F1012" s="446">
        <v>0.1</v>
      </c>
      <c r="G1012" s="63">
        <f>VLOOKUP(D1012,upahbahan,3,FALSE)</f>
        <v>135000</v>
      </c>
      <c r="H1012" s="397">
        <f>F1012*G1012</f>
        <v>13500</v>
      </c>
    </row>
    <row r="1013" spans="3:9" ht="21.6" customHeight="1">
      <c r="C1013" s="394">
        <v>3</v>
      </c>
      <c r="D1013" s="391" t="s">
        <v>18</v>
      </c>
      <c r="E1013" s="395" t="s">
        <v>6</v>
      </c>
      <c r="F1013" s="446">
        <v>0.01</v>
      </c>
      <c r="G1013" s="63">
        <f>VLOOKUP(D1013,upahbahan,3,FALSE)</f>
        <v>150000</v>
      </c>
      <c r="H1013" s="397">
        <f>F1013*G1013</f>
        <v>1500</v>
      </c>
    </row>
    <row r="1014" spans="3:9" ht="21.6" customHeight="1">
      <c r="C1014" s="394">
        <v>4</v>
      </c>
      <c r="D1014" s="391" t="s">
        <v>19</v>
      </c>
      <c r="E1014" s="395" t="s">
        <v>6</v>
      </c>
      <c r="F1014" s="446">
        <v>3.3E-3</v>
      </c>
      <c r="G1014" s="63">
        <f>VLOOKUP(D1014,upahbahan,3,FALSE)</f>
        <v>160000</v>
      </c>
      <c r="H1014" s="397">
        <f>F1014*G1014</f>
        <v>528</v>
      </c>
    </row>
    <row r="1015" spans="3:9" ht="21.6" customHeight="1">
      <c r="C1015" s="398" t="s">
        <v>1208</v>
      </c>
      <c r="D1015" s="399"/>
      <c r="E1015" s="399"/>
      <c r="F1015" s="400"/>
      <c r="G1015" s="401"/>
      <c r="H1015" s="397">
        <f>SUM(H1011:H1014)</f>
        <v>25528</v>
      </c>
      <c r="I1015" s="402"/>
    </row>
    <row r="1016" spans="3:9" ht="21.6" customHeight="1">
      <c r="C1016" s="390" t="s">
        <v>1209</v>
      </c>
      <c r="D1016" s="391" t="s">
        <v>1210</v>
      </c>
      <c r="E1016" s="392"/>
      <c r="F1016" s="392"/>
      <c r="G1016" s="392"/>
      <c r="H1016" s="393"/>
    </row>
    <row r="1017" spans="3:9" ht="21.6" customHeight="1">
      <c r="C1017" s="394">
        <v>1</v>
      </c>
      <c r="D1017" s="391" t="s">
        <v>2699</v>
      </c>
      <c r="E1017" s="395" t="s">
        <v>65</v>
      </c>
      <c r="F1017" s="421">
        <v>1.389</v>
      </c>
      <c r="G1017" s="63">
        <f>VLOOKUP(D1017,upahbahan,3,FALSE)</f>
        <v>62000</v>
      </c>
      <c r="H1017" s="397">
        <f>F1017*G1017</f>
        <v>86118</v>
      </c>
    </row>
    <row r="1018" spans="3:9" ht="21.6" customHeight="1">
      <c r="C1018" s="398" t="s">
        <v>1214</v>
      </c>
      <c r="D1018" s="399"/>
      <c r="E1018" s="399"/>
      <c r="F1018" s="399"/>
      <c r="G1018" s="404"/>
      <c r="H1018" s="397">
        <f>SUM(H1017:H1017)</f>
        <v>86118</v>
      </c>
    </row>
    <row r="1019" spans="3:9" ht="21.6" customHeight="1">
      <c r="C1019" s="405" t="s">
        <v>1215</v>
      </c>
      <c r="D1019" s="391" t="s">
        <v>1216</v>
      </c>
      <c r="E1019" s="392"/>
      <c r="F1019" s="392"/>
      <c r="G1019" s="392"/>
      <c r="H1019" s="393"/>
    </row>
    <row r="1020" spans="3:9" ht="21.6" customHeight="1">
      <c r="C1020" s="398" t="s">
        <v>1217</v>
      </c>
      <c r="D1020" s="399"/>
      <c r="E1020" s="399"/>
      <c r="F1020" s="399"/>
      <c r="G1020" s="404"/>
      <c r="H1020" s="406">
        <v>0</v>
      </c>
    </row>
    <row r="1021" spans="3:9" ht="21.6" customHeight="1">
      <c r="C1021" s="407" t="s">
        <v>1218</v>
      </c>
      <c r="D1021" s="408" t="s">
        <v>1219</v>
      </c>
      <c r="E1021" s="409"/>
      <c r="F1021" s="409"/>
      <c r="G1021" s="410"/>
      <c r="H1021" s="397">
        <f>H1020+H1018+H1015</f>
        <v>111646</v>
      </c>
      <c r="I1021" s="411"/>
    </row>
    <row r="1022" spans="3:9" ht="21.6" customHeight="1">
      <c r="C1022" s="75" t="s">
        <v>1220</v>
      </c>
      <c r="D1022" s="76" t="s">
        <v>1321</v>
      </c>
      <c r="E1022" s="77"/>
      <c r="F1022" s="78"/>
      <c r="G1022" s="80">
        <f>$M$8</f>
        <v>0.1</v>
      </c>
      <c r="H1022" s="64">
        <f>H1021*G1022</f>
        <v>11164.6</v>
      </c>
      <c r="I1022" s="411"/>
    </row>
    <row r="1023" spans="3:9" ht="21.6" customHeight="1" thickBot="1">
      <c r="C1023" s="412" t="s">
        <v>1221</v>
      </c>
      <c r="D1023" s="413" t="s">
        <v>1222</v>
      </c>
      <c r="E1023" s="414"/>
      <c r="F1023" s="414"/>
      <c r="G1023" s="415"/>
      <c r="H1023" s="416">
        <f>SUM(H1021:H1022)</f>
        <v>122810.6</v>
      </c>
      <c r="I1023" s="411"/>
    </row>
    <row r="1024" spans="3:9" ht="14.4" thickTop="1"/>
    <row r="1025" spans="3:9" ht="14.4" thickBot="1">
      <c r="C1025" s="381" t="s">
        <v>2700</v>
      </c>
      <c r="D1025" s="385" t="s">
        <v>2701</v>
      </c>
      <c r="E1025" s="420"/>
      <c r="F1025" s="420"/>
      <c r="G1025" s="420"/>
      <c r="H1025" s="420"/>
      <c r="I1025" s="386">
        <f>ROUNDDOWN(H1040,-2)</f>
        <v>141900</v>
      </c>
    </row>
    <row r="1026" spans="3:9" ht="28.2" thickTop="1">
      <c r="C1026" s="387" t="s">
        <v>1195</v>
      </c>
      <c r="D1026" s="388" t="s">
        <v>1196</v>
      </c>
      <c r="E1026" s="388" t="s">
        <v>1197</v>
      </c>
      <c r="F1026" s="388" t="s">
        <v>1198</v>
      </c>
      <c r="G1026" s="388" t="s">
        <v>1199</v>
      </c>
      <c r="H1026" s="389" t="s">
        <v>1200</v>
      </c>
      <c r="I1026" s="386"/>
    </row>
    <row r="1027" spans="3:9" ht="19.8" customHeight="1">
      <c r="C1027" s="390" t="s">
        <v>1201</v>
      </c>
      <c r="D1027" s="391" t="s">
        <v>1202</v>
      </c>
      <c r="E1027" s="392"/>
      <c r="F1027" s="392"/>
      <c r="G1027" s="392"/>
      <c r="H1027" s="393"/>
    </row>
    <row r="1028" spans="3:9" ht="19.8" customHeight="1">
      <c r="C1028" s="394">
        <v>1</v>
      </c>
      <c r="D1028" s="391" t="s">
        <v>5</v>
      </c>
      <c r="E1028" s="395" t="s">
        <v>6</v>
      </c>
      <c r="F1028" s="446">
        <v>0.1</v>
      </c>
      <c r="G1028" s="63">
        <f>VLOOKUP(D1028,upahbahan,3,FALSE)</f>
        <v>100000</v>
      </c>
      <c r="H1028" s="397">
        <f>F1028*G1028</f>
        <v>10000</v>
      </c>
    </row>
    <row r="1029" spans="3:9" ht="19.8" customHeight="1">
      <c r="C1029" s="394">
        <v>2</v>
      </c>
      <c r="D1029" s="391" t="s">
        <v>2698</v>
      </c>
      <c r="E1029" s="395" t="s">
        <v>6</v>
      </c>
      <c r="F1029" s="446">
        <v>0.1</v>
      </c>
      <c r="G1029" s="63">
        <f>VLOOKUP(D1029,upahbahan,3,FALSE)</f>
        <v>135000</v>
      </c>
      <c r="H1029" s="397">
        <f>F1029*G1029</f>
        <v>13500</v>
      </c>
    </row>
    <row r="1030" spans="3:9" ht="19.8" customHeight="1">
      <c r="C1030" s="394">
        <v>3</v>
      </c>
      <c r="D1030" s="391" t="s">
        <v>18</v>
      </c>
      <c r="E1030" s="395" t="s">
        <v>6</v>
      </c>
      <c r="F1030" s="446">
        <v>0.01</v>
      </c>
      <c r="G1030" s="63">
        <f>VLOOKUP(D1030,upahbahan,3,FALSE)</f>
        <v>150000</v>
      </c>
      <c r="H1030" s="397">
        <f>F1030*G1030</f>
        <v>1500</v>
      </c>
    </row>
    <row r="1031" spans="3:9" ht="19.8" customHeight="1">
      <c r="C1031" s="394">
        <v>4</v>
      </c>
      <c r="D1031" s="391" t="s">
        <v>19</v>
      </c>
      <c r="E1031" s="395" t="s">
        <v>6</v>
      </c>
      <c r="F1031" s="446">
        <v>3.3E-3</v>
      </c>
      <c r="G1031" s="63">
        <f>VLOOKUP(D1031,upahbahan,3,FALSE)</f>
        <v>160000</v>
      </c>
      <c r="H1031" s="397">
        <f>F1031*G1031</f>
        <v>528</v>
      </c>
    </row>
    <row r="1032" spans="3:9" ht="19.8" customHeight="1">
      <c r="C1032" s="398" t="s">
        <v>1208</v>
      </c>
      <c r="D1032" s="399"/>
      <c r="E1032" s="399"/>
      <c r="F1032" s="447"/>
      <c r="G1032" s="401"/>
      <c r="H1032" s="397">
        <f>SUM(H1028:H1031)</f>
        <v>25528</v>
      </c>
      <c r="I1032" s="402"/>
    </row>
    <row r="1033" spans="3:9" ht="19.8" customHeight="1">
      <c r="C1033" s="390" t="s">
        <v>1209</v>
      </c>
      <c r="D1033" s="391" t="s">
        <v>1210</v>
      </c>
      <c r="E1033" s="392"/>
      <c r="F1033" s="392"/>
      <c r="G1033" s="392"/>
      <c r="H1033" s="393"/>
    </row>
    <row r="1034" spans="3:9" ht="19.8" customHeight="1">
      <c r="C1034" s="394">
        <v>1</v>
      </c>
      <c r="D1034" s="391" t="s">
        <v>2702</v>
      </c>
      <c r="E1034" s="395" t="s">
        <v>65</v>
      </c>
      <c r="F1034" s="421">
        <v>1.389</v>
      </c>
      <c r="G1034" s="63">
        <f>VLOOKUP(D1034,upahbahan,3,FALSE)</f>
        <v>74500</v>
      </c>
      <c r="H1034" s="397">
        <f>F1034*G1034</f>
        <v>103480.5</v>
      </c>
    </row>
    <row r="1035" spans="3:9" ht="19.8" customHeight="1">
      <c r="C1035" s="398" t="s">
        <v>1214</v>
      </c>
      <c r="D1035" s="399"/>
      <c r="E1035" s="399"/>
      <c r="F1035" s="399"/>
      <c r="G1035" s="404"/>
      <c r="H1035" s="397">
        <f>SUM(H1034:H1034)</f>
        <v>103480.5</v>
      </c>
    </row>
    <row r="1036" spans="3:9" ht="19.8" customHeight="1">
      <c r="C1036" s="405" t="s">
        <v>1215</v>
      </c>
      <c r="D1036" s="391" t="s">
        <v>1216</v>
      </c>
      <c r="E1036" s="392"/>
      <c r="F1036" s="392"/>
      <c r="G1036" s="392"/>
      <c r="H1036" s="393"/>
    </row>
    <row r="1037" spans="3:9" ht="19.8" customHeight="1">
      <c r="C1037" s="398" t="s">
        <v>1217</v>
      </c>
      <c r="D1037" s="399"/>
      <c r="E1037" s="399"/>
      <c r="F1037" s="399"/>
      <c r="G1037" s="404"/>
      <c r="H1037" s="406">
        <v>0</v>
      </c>
    </row>
    <row r="1038" spans="3:9" ht="19.8" customHeight="1">
      <c r="C1038" s="407" t="s">
        <v>1218</v>
      </c>
      <c r="D1038" s="408" t="s">
        <v>1219</v>
      </c>
      <c r="E1038" s="409"/>
      <c r="F1038" s="409"/>
      <c r="G1038" s="410"/>
      <c r="H1038" s="397">
        <f>H1037+H1035+H1032</f>
        <v>129008.5</v>
      </c>
      <c r="I1038" s="411"/>
    </row>
    <row r="1039" spans="3:9" ht="19.8" customHeight="1">
      <c r="C1039" s="75" t="s">
        <v>1220</v>
      </c>
      <c r="D1039" s="76" t="s">
        <v>1321</v>
      </c>
      <c r="E1039" s="77"/>
      <c r="F1039" s="78"/>
      <c r="G1039" s="80">
        <f>$M$8</f>
        <v>0.1</v>
      </c>
      <c r="H1039" s="64">
        <f>H1038*G1039</f>
        <v>12900.85</v>
      </c>
      <c r="I1039" s="411"/>
    </row>
    <row r="1040" spans="3:9" ht="19.8" customHeight="1" thickBot="1">
      <c r="C1040" s="412" t="s">
        <v>1221</v>
      </c>
      <c r="D1040" s="413" t="s">
        <v>1222</v>
      </c>
      <c r="E1040" s="414"/>
      <c r="F1040" s="414"/>
      <c r="G1040" s="415"/>
      <c r="H1040" s="416">
        <f>SUM(H1038:H1039)</f>
        <v>141909.35</v>
      </c>
      <c r="I1040" s="411"/>
    </row>
    <row r="1041" spans="3:9" ht="14.4" thickTop="1"/>
    <row r="1043" spans="3:9" ht="14.4" thickBot="1">
      <c r="C1043" s="381" t="s">
        <v>2703</v>
      </c>
      <c r="D1043" s="385" t="s">
        <v>2704</v>
      </c>
      <c r="E1043" s="420"/>
      <c r="F1043" s="420"/>
      <c r="G1043" s="420"/>
      <c r="H1043" s="420"/>
      <c r="I1043" s="386">
        <f>ROUNDDOWN(H1058,-2)</f>
        <v>125800</v>
      </c>
    </row>
    <row r="1044" spans="3:9" ht="28.2" thickTop="1">
      <c r="C1044" s="387" t="s">
        <v>1195</v>
      </c>
      <c r="D1044" s="388" t="s">
        <v>1196</v>
      </c>
      <c r="E1044" s="388" t="s">
        <v>1197</v>
      </c>
      <c r="F1044" s="388" t="s">
        <v>1198</v>
      </c>
      <c r="G1044" s="388" t="s">
        <v>1199</v>
      </c>
      <c r="H1044" s="389" t="s">
        <v>1200</v>
      </c>
      <c r="I1044" s="386"/>
    </row>
    <row r="1045" spans="3:9" ht="21" customHeight="1">
      <c r="C1045" s="390" t="s">
        <v>1201</v>
      </c>
      <c r="D1045" s="391" t="s">
        <v>1202</v>
      </c>
      <c r="E1045" s="392"/>
      <c r="F1045" s="392"/>
      <c r="G1045" s="392"/>
      <c r="H1045" s="393"/>
    </row>
    <row r="1046" spans="3:9" ht="21" customHeight="1">
      <c r="C1046" s="394">
        <v>1</v>
      </c>
      <c r="D1046" s="391" t="s">
        <v>5</v>
      </c>
      <c r="E1046" s="395" t="s">
        <v>6</v>
      </c>
      <c r="F1046" s="446">
        <v>0.1</v>
      </c>
      <c r="G1046" s="63">
        <f>VLOOKUP(D1046,upahbahan,3,FALSE)</f>
        <v>100000</v>
      </c>
      <c r="H1046" s="397">
        <f>F1046*G1046</f>
        <v>10000</v>
      </c>
    </row>
    <row r="1047" spans="3:9" ht="21" customHeight="1">
      <c r="C1047" s="394">
        <v>2</v>
      </c>
      <c r="D1047" s="391" t="s">
        <v>2698</v>
      </c>
      <c r="E1047" s="395" t="s">
        <v>6</v>
      </c>
      <c r="F1047" s="446">
        <v>0.1</v>
      </c>
      <c r="G1047" s="63">
        <f>VLOOKUP(D1047,upahbahan,3,FALSE)</f>
        <v>135000</v>
      </c>
      <c r="H1047" s="397">
        <f>F1047*G1047</f>
        <v>13500</v>
      </c>
    </row>
    <row r="1048" spans="3:9" ht="21" customHeight="1">
      <c r="C1048" s="394">
        <v>3</v>
      </c>
      <c r="D1048" s="391" t="s">
        <v>18</v>
      </c>
      <c r="E1048" s="395" t="s">
        <v>6</v>
      </c>
      <c r="F1048" s="446">
        <v>0.01</v>
      </c>
      <c r="G1048" s="63">
        <f>VLOOKUP(D1048,upahbahan,3,FALSE)</f>
        <v>150000</v>
      </c>
      <c r="H1048" s="397">
        <f>F1048*G1048</f>
        <v>1500</v>
      </c>
    </row>
    <row r="1049" spans="3:9" ht="21" customHeight="1">
      <c r="C1049" s="394">
        <v>4</v>
      </c>
      <c r="D1049" s="391" t="s">
        <v>19</v>
      </c>
      <c r="E1049" s="395" t="s">
        <v>6</v>
      </c>
      <c r="F1049" s="446">
        <v>3.3E-3</v>
      </c>
      <c r="G1049" s="63">
        <f>VLOOKUP(D1049,upahbahan,3,FALSE)</f>
        <v>160000</v>
      </c>
      <c r="H1049" s="397">
        <f>F1049*G1049</f>
        <v>528</v>
      </c>
    </row>
    <row r="1050" spans="3:9" ht="21" customHeight="1">
      <c r="C1050" s="398" t="s">
        <v>1208</v>
      </c>
      <c r="D1050" s="399"/>
      <c r="E1050" s="399"/>
      <c r="F1050" s="400"/>
      <c r="G1050" s="401"/>
      <c r="H1050" s="397">
        <f>SUM(H1046:H1049)</f>
        <v>25528</v>
      </c>
      <c r="I1050" s="402"/>
    </row>
    <row r="1051" spans="3:9" ht="21" customHeight="1">
      <c r="C1051" s="390" t="s">
        <v>1209</v>
      </c>
      <c r="D1051" s="391" t="s">
        <v>1210</v>
      </c>
      <c r="E1051" s="392"/>
      <c r="F1051" s="392"/>
      <c r="G1051" s="392"/>
      <c r="H1051" s="393"/>
    </row>
    <row r="1052" spans="3:9" ht="21" customHeight="1">
      <c r="C1052" s="394">
        <v>1</v>
      </c>
      <c r="D1052" s="391" t="s">
        <v>2705</v>
      </c>
      <c r="E1052" s="395" t="s">
        <v>65</v>
      </c>
      <c r="F1052" s="396">
        <v>1.389</v>
      </c>
      <c r="G1052" s="63">
        <f>VLOOKUP(D1052,upahbahan,3,FALSE)</f>
        <v>64000</v>
      </c>
      <c r="H1052" s="397">
        <f>F1052*G1052</f>
        <v>88896</v>
      </c>
    </row>
    <row r="1053" spans="3:9" ht="21" customHeight="1">
      <c r="C1053" s="398" t="s">
        <v>1214</v>
      </c>
      <c r="D1053" s="399"/>
      <c r="E1053" s="399"/>
      <c r="F1053" s="399"/>
      <c r="G1053" s="404"/>
      <c r="H1053" s="397">
        <f>SUM(H1052:H1052)</f>
        <v>88896</v>
      </c>
    </row>
    <row r="1054" spans="3:9" ht="21" customHeight="1">
      <c r="C1054" s="405" t="s">
        <v>1215</v>
      </c>
      <c r="D1054" s="391" t="s">
        <v>1216</v>
      </c>
      <c r="E1054" s="392"/>
      <c r="F1054" s="392"/>
      <c r="G1054" s="392"/>
      <c r="H1054" s="393"/>
    </row>
    <row r="1055" spans="3:9" ht="21" customHeight="1">
      <c r="C1055" s="398" t="s">
        <v>1217</v>
      </c>
      <c r="D1055" s="399"/>
      <c r="E1055" s="399"/>
      <c r="F1055" s="399"/>
      <c r="G1055" s="404"/>
      <c r="H1055" s="406">
        <v>0</v>
      </c>
    </row>
    <row r="1056" spans="3:9" ht="21" customHeight="1">
      <c r="C1056" s="407" t="s">
        <v>1218</v>
      </c>
      <c r="D1056" s="408" t="s">
        <v>1219</v>
      </c>
      <c r="E1056" s="409"/>
      <c r="F1056" s="409"/>
      <c r="G1056" s="410"/>
      <c r="H1056" s="397">
        <f>H1055+H1053+H1050</f>
        <v>114424</v>
      </c>
      <c r="I1056" s="411"/>
    </row>
    <row r="1057" spans="3:9" ht="21" customHeight="1">
      <c r="C1057" s="75" t="s">
        <v>1220</v>
      </c>
      <c r="D1057" s="76" t="s">
        <v>1321</v>
      </c>
      <c r="E1057" s="77"/>
      <c r="F1057" s="78"/>
      <c r="G1057" s="80">
        <f>$M$8</f>
        <v>0.1</v>
      </c>
      <c r="H1057" s="64">
        <f>H1056*G1057</f>
        <v>11442.400000000001</v>
      </c>
      <c r="I1057" s="411"/>
    </row>
    <row r="1058" spans="3:9" ht="21" customHeight="1" thickBot="1">
      <c r="C1058" s="412" t="s">
        <v>1221</v>
      </c>
      <c r="D1058" s="413" t="s">
        <v>1222</v>
      </c>
      <c r="E1058" s="414"/>
      <c r="F1058" s="414"/>
      <c r="G1058" s="415"/>
      <c r="H1058" s="416">
        <f>SUM(H1056:H1057)</f>
        <v>125866.4</v>
      </c>
      <c r="I1058" s="411"/>
    </row>
    <row r="1059" spans="3:9" ht="14.4" thickTop="1"/>
  </sheetData>
  <mergeCells count="2">
    <mergeCell ref="D5:H5"/>
    <mergeCell ref="D22:H22"/>
  </mergeCells>
  <pageMargins left="0.7" right="0.7" top="0.75" bottom="0.75" header="0.3" footer="0.3"/>
  <pageSetup paperSize="9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M296"/>
  <sheetViews>
    <sheetView topLeftCell="A235" zoomScale="88" zoomScaleNormal="71" workbookViewId="0">
      <selection activeCell="A581" sqref="A581:XFD599"/>
    </sheetView>
  </sheetViews>
  <sheetFormatPr defaultColWidth="10" defaultRowHeight="13.8"/>
  <cols>
    <col min="1" max="2" width="2" style="59" customWidth="1"/>
    <col min="3" max="3" width="10.5546875" style="59" customWidth="1"/>
    <col min="4" max="4" width="39" style="59" customWidth="1"/>
    <col min="5" max="5" width="7.44140625" style="59" customWidth="1"/>
    <col min="6" max="6" width="10.5546875" style="59" customWidth="1"/>
    <col min="7" max="7" width="15.6640625" style="59" customWidth="1"/>
    <col min="8" max="8" width="17.5546875" style="59" customWidth="1"/>
    <col min="9" max="9" width="16.109375" style="45" customWidth="1"/>
    <col min="10" max="16384" width="10" style="59"/>
  </cols>
  <sheetData>
    <row r="1" spans="3:13" ht="9.75" customHeight="1"/>
    <row r="2" spans="3:13" ht="9.75" customHeight="1"/>
    <row r="3" spans="3:13" ht="15.75" customHeight="1">
      <c r="C3" s="147" t="s">
        <v>5272</v>
      </c>
      <c r="D3" s="148" t="s">
        <v>2707</v>
      </c>
      <c r="E3" s="148"/>
      <c r="F3" s="148"/>
      <c r="G3" s="148"/>
      <c r="H3" s="148"/>
    </row>
    <row r="4" spans="3:13" ht="15.75" customHeight="1">
      <c r="C4" s="147" t="s">
        <v>5273</v>
      </c>
      <c r="D4" s="148" t="s">
        <v>2708</v>
      </c>
      <c r="E4" s="148"/>
      <c r="F4" s="148"/>
      <c r="G4" s="148"/>
      <c r="H4" s="148"/>
    </row>
    <row r="5" spans="3:13" ht="15.75" customHeight="1" thickBot="1">
      <c r="C5" s="47" t="s">
        <v>2706</v>
      </c>
      <c r="D5" s="149" t="s">
        <v>1392</v>
      </c>
      <c r="E5" s="275"/>
      <c r="F5" s="275"/>
      <c r="G5" s="275"/>
      <c r="H5" s="275"/>
      <c r="I5" s="50">
        <f>ROUNDDOWN(H20,-2)</f>
        <v>115500</v>
      </c>
    </row>
    <row r="6" spans="3:13" ht="28.2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</row>
    <row r="7" spans="3:13" ht="20.399999999999999" customHeight="1">
      <c r="C7" s="55" t="s">
        <v>1201</v>
      </c>
      <c r="D7" s="56" t="s">
        <v>1202</v>
      </c>
      <c r="E7" s="57"/>
      <c r="F7" s="57"/>
      <c r="G7" s="57"/>
      <c r="H7" s="58"/>
      <c r="J7" s="59" t="s">
        <v>1247</v>
      </c>
    </row>
    <row r="8" spans="3:13" ht="20.399999999999999" customHeight="1">
      <c r="C8" s="60">
        <v>1</v>
      </c>
      <c r="D8" s="56" t="s">
        <v>5</v>
      </c>
      <c r="E8" s="61" t="s">
        <v>6</v>
      </c>
      <c r="F8" s="62">
        <v>0.12</v>
      </c>
      <c r="G8" s="63">
        <f>VLOOKUP(D8,upahbahan,3,FALSE)</f>
        <v>100000</v>
      </c>
      <c r="H8" s="64">
        <f>F8*G8</f>
        <v>12000</v>
      </c>
      <c r="J8" s="59" t="s">
        <v>1248</v>
      </c>
      <c r="M8" s="65">
        <v>0.1</v>
      </c>
    </row>
    <row r="9" spans="3:13" ht="20.399999999999999" customHeight="1">
      <c r="C9" s="60">
        <v>2</v>
      </c>
      <c r="D9" s="56" t="s">
        <v>8</v>
      </c>
      <c r="E9" s="61" t="s">
        <v>6</v>
      </c>
      <c r="F9" s="62">
        <v>0.12</v>
      </c>
      <c r="G9" s="63">
        <f>VLOOKUP(D9,upahbahan,3,FALSE)</f>
        <v>135000</v>
      </c>
      <c r="H9" s="64">
        <f>F9*G9</f>
        <v>16200</v>
      </c>
    </row>
    <row r="10" spans="3:13" ht="20.399999999999999" customHeight="1">
      <c r="C10" s="60">
        <v>3</v>
      </c>
      <c r="D10" s="56" t="s">
        <v>18</v>
      </c>
      <c r="E10" s="61" t="s">
        <v>6</v>
      </c>
      <c r="F10" s="62">
        <v>1.2E-2</v>
      </c>
      <c r="G10" s="63">
        <f>VLOOKUP(D10,upahbahan,3,FALSE)</f>
        <v>150000</v>
      </c>
      <c r="H10" s="64">
        <f>F10*G10</f>
        <v>1800</v>
      </c>
    </row>
    <row r="11" spans="3:13" ht="20.399999999999999" customHeight="1">
      <c r="C11" s="60">
        <v>4</v>
      </c>
      <c r="D11" s="56" t="s">
        <v>19</v>
      </c>
      <c r="E11" s="61" t="s">
        <v>6</v>
      </c>
      <c r="F11" s="62">
        <v>4.0000000000000001E-3</v>
      </c>
      <c r="G11" s="63">
        <f>VLOOKUP(D11,upahbahan,3,FALSE)</f>
        <v>160000</v>
      </c>
      <c r="H11" s="64">
        <f>F11*G11</f>
        <v>640</v>
      </c>
    </row>
    <row r="12" spans="3:13" ht="20.399999999999999" customHeight="1">
      <c r="C12" s="66" t="s">
        <v>1208</v>
      </c>
      <c r="D12" s="67"/>
      <c r="E12" s="67"/>
      <c r="F12" s="142"/>
      <c r="G12" s="153"/>
      <c r="H12" s="64">
        <f>SUM(H8:H11)</f>
        <v>30640</v>
      </c>
      <c r="I12" s="274"/>
      <c r="J12" s="274"/>
      <c r="K12" s="274"/>
    </row>
    <row r="13" spans="3:13" ht="20.399999999999999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3" ht="20.399999999999999" customHeight="1">
      <c r="C14" s="60">
        <v>1</v>
      </c>
      <c r="D14" s="56" t="s">
        <v>393</v>
      </c>
      <c r="E14" s="61" t="s">
        <v>129</v>
      </c>
      <c r="F14" s="62">
        <v>12</v>
      </c>
      <c r="G14" s="63">
        <f>VLOOKUP(D14,upahbahan,3,FALSE)</f>
        <v>6200</v>
      </c>
      <c r="H14" s="64">
        <f>F14*G14</f>
        <v>74400</v>
      </c>
    </row>
    <row r="15" spans="3:13" ht="20.399999999999999" customHeight="1">
      <c r="C15" s="66" t="s">
        <v>1214</v>
      </c>
      <c r="D15" s="67"/>
      <c r="E15" s="67"/>
      <c r="F15" s="67"/>
      <c r="G15" s="69"/>
      <c r="H15" s="64">
        <f>SUM(H14:H14)</f>
        <v>74400</v>
      </c>
      <c r="I15" s="59"/>
    </row>
    <row r="16" spans="3:13" ht="20.399999999999999" customHeight="1">
      <c r="C16" s="167" t="s">
        <v>1215</v>
      </c>
      <c r="D16" s="56" t="s">
        <v>1216</v>
      </c>
      <c r="E16" s="57"/>
      <c r="F16" s="57"/>
      <c r="G16" s="57"/>
      <c r="H16" s="58"/>
      <c r="I16" s="59"/>
    </row>
    <row r="17" spans="3:11" ht="20.399999999999999" customHeight="1">
      <c r="C17" s="66" t="s">
        <v>1217</v>
      </c>
      <c r="D17" s="67"/>
      <c r="E17" s="67"/>
      <c r="F17" s="67"/>
      <c r="G17" s="69"/>
      <c r="H17" s="74">
        <v>0</v>
      </c>
      <c r="I17" s="59"/>
    </row>
    <row r="18" spans="3:11" s="79" customFormat="1" ht="20.399999999999999" customHeight="1">
      <c r="C18" s="75" t="s">
        <v>1218</v>
      </c>
      <c r="D18" s="76" t="s">
        <v>1219</v>
      </c>
      <c r="E18" s="77"/>
      <c r="F18" s="77"/>
      <c r="G18" s="78"/>
      <c r="H18" s="64">
        <f>H17+H15+H12</f>
        <v>105040</v>
      </c>
      <c r="I18" s="45"/>
    </row>
    <row r="19" spans="3:11" s="79" customFormat="1" ht="20.399999999999999" customHeight="1">
      <c r="C19" s="75" t="s">
        <v>1220</v>
      </c>
      <c r="D19" s="76" t="s">
        <v>1321</v>
      </c>
      <c r="E19" s="77"/>
      <c r="F19" s="78"/>
      <c r="G19" s="80">
        <f>$M$8</f>
        <v>0.1</v>
      </c>
      <c r="H19" s="64">
        <f>H18*G19</f>
        <v>10504</v>
      </c>
      <c r="I19" s="45"/>
    </row>
    <row r="20" spans="3:11" s="79" customFormat="1" ht="20.399999999999999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115544</v>
      </c>
      <c r="I20" s="45"/>
    </row>
    <row r="21" spans="3:11" ht="20.399999999999999" customHeight="1" thickTop="1">
      <c r="C21" s="89"/>
      <c r="D21" s="90"/>
      <c r="E21" s="90"/>
      <c r="F21" s="90"/>
      <c r="G21" s="90"/>
      <c r="H21" s="91"/>
    </row>
    <row r="22" spans="3:11" ht="19.2" customHeight="1" thickBot="1">
      <c r="C22" s="47" t="s">
        <v>2709</v>
      </c>
      <c r="D22" s="149" t="s">
        <v>1393</v>
      </c>
      <c r="E22" s="275"/>
      <c r="F22" s="275"/>
      <c r="G22" s="275"/>
      <c r="H22" s="275"/>
      <c r="I22" s="50">
        <f>ROUNDDOWN(H37,-2)</f>
        <v>122300</v>
      </c>
    </row>
    <row r="23" spans="3:11" ht="19.2" customHeight="1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</row>
    <row r="24" spans="3:11" ht="19.2" customHeight="1">
      <c r="C24" s="55" t="s">
        <v>1201</v>
      </c>
      <c r="D24" s="56" t="s">
        <v>1202</v>
      </c>
      <c r="E24" s="57"/>
      <c r="F24" s="57"/>
      <c r="G24" s="57"/>
      <c r="H24" s="58"/>
    </row>
    <row r="25" spans="3:11" ht="19.2" customHeight="1">
      <c r="C25" s="60">
        <v>1</v>
      </c>
      <c r="D25" s="56" t="s">
        <v>5</v>
      </c>
      <c r="E25" s="61" t="s">
        <v>6</v>
      </c>
      <c r="F25" s="62">
        <v>0.12</v>
      </c>
      <c r="G25" s="63">
        <f>VLOOKUP(D25,upahbahan,3,FALSE)</f>
        <v>100000</v>
      </c>
      <c r="H25" s="64">
        <f>F25*G25</f>
        <v>12000</v>
      </c>
    </row>
    <row r="26" spans="3:11" ht="19.2" customHeight="1">
      <c r="C26" s="60">
        <v>2</v>
      </c>
      <c r="D26" s="56" t="s">
        <v>8</v>
      </c>
      <c r="E26" s="61" t="s">
        <v>6</v>
      </c>
      <c r="F26" s="62">
        <v>0.12</v>
      </c>
      <c r="G26" s="63">
        <f>VLOOKUP(D26,upahbahan,3,FALSE)</f>
        <v>135000</v>
      </c>
      <c r="H26" s="64">
        <f>F26*G26</f>
        <v>16200</v>
      </c>
    </row>
    <row r="27" spans="3:11" ht="19.2" customHeight="1">
      <c r="C27" s="60">
        <v>3</v>
      </c>
      <c r="D27" s="56" t="s">
        <v>18</v>
      </c>
      <c r="E27" s="61" t="s">
        <v>6</v>
      </c>
      <c r="F27" s="62">
        <v>1.2E-2</v>
      </c>
      <c r="G27" s="63">
        <f>VLOOKUP(D27,upahbahan,3,FALSE)</f>
        <v>150000</v>
      </c>
      <c r="H27" s="64">
        <f>F27*G27</f>
        <v>1800</v>
      </c>
    </row>
    <row r="28" spans="3:11" ht="19.2" customHeight="1">
      <c r="C28" s="60">
        <v>4</v>
      </c>
      <c r="D28" s="56" t="s">
        <v>19</v>
      </c>
      <c r="E28" s="61" t="s">
        <v>6</v>
      </c>
      <c r="F28" s="62">
        <v>4.0000000000000001E-3</v>
      </c>
      <c r="G28" s="63">
        <f>VLOOKUP(D28,upahbahan,3,FALSE)</f>
        <v>160000</v>
      </c>
      <c r="H28" s="64">
        <f>F28*G28</f>
        <v>640</v>
      </c>
    </row>
    <row r="29" spans="3:11" ht="19.2" customHeight="1">
      <c r="C29" s="66" t="s">
        <v>1208</v>
      </c>
      <c r="D29" s="67"/>
      <c r="E29" s="67"/>
      <c r="F29" s="142"/>
      <c r="G29" s="153"/>
      <c r="H29" s="64">
        <f>SUM(H25:H28)</f>
        <v>30640</v>
      </c>
      <c r="I29" s="274"/>
      <c r="J29" s="274"/>
      <c r="K29" s="274"/>
    </row>
    <row r="30" spans="3:11" ht="19.2" customHeight="1">
      <c r="C30" s="55" t="s">
        <v>1209</v>
      </c>
      <c r="D30" s="56" t="s">
        <v>1210</v>
      </c>
      <c r="E30" s="57"/>
      <c r="F30" s="57"/>
      <c r="G30" s="57"/>
      <c r="H30" s="58"/>
    </row>
    <row r="31" spans="3:11" ht="19.2" customHeight="1">
      <c r="C31" s="60">
        <v>1</v>
      </c>
      <c r="D31" s="56" t="s">
        <v>394</v>
      </c>
      <c r="E31" s="61" t="s">
        <v>129</v>
      </c>
      <c r="F31" s="276">
        <v>5.8</v>
      </c>
      <c r="G31" s="63">
        <f>VLOOKUP(D31,upahbahan,3,FALSE)</f>
        <v>13900</v>
      </c>
      <c r="H31" s="64">
        <f>F31*G31</f>
        <v>80620</v>
      </c>
    </row>
    <row r="32" spans="3:11" ht="19.2" customHeight="1">
      <c r="C32" s="66" t="s">
        <v>1214</v>
      </c>
      <c r="D32" s="67"/>
      <c r="E32" s="67"/>
      <c r="F32" s="67"/>
      <c r="G32" s="69"/>
      <c r="H32" s="64">
        <f>SUM(H31:H31)</f>
        <v>80620</v>
      </c>
      <c r="I32" s="59"/>
    </row>
    <row r="33" spans="3:11" ht="19.2" customHeight="1">
      <c r="C33" s="167" t="s">
        <v>1215</v>
      </c>
      <c r="D33" s="56" t="s">
        <v>1216</v>
      </c>
      <c r="E33" s="57"/>
      <c r="F33" s="57"/>
      <c r="G33" s="57"/>
      <c r="H33" s="58"/>
      <c r="I33" s="59"/>
    </row>
    <row r="34" spans="3:11" ht="19.2" customHeight="1">
      <c r="C34" s="66" t="s">
        <v>1217</v>
      </c>
      <c r="D34" s="67"/>
      <c r="E34" s="67"/>
      <c r="F34" s="67"/>
      <c r="G34" s="69"/>
      <c r="H34" s="74">
        <v>0</v>
      </c>
      <c r="I34" s="59"/>
    </row>
    <row r="35" spans="3:11" s="79" customFormat="1" ht="19.2" customHeight="1">
      <c r="C35" s="75" t="s">
        <v>1218</v>
      </c>
      <c r="D35" s="76" t="s">
        <v>1219</v>
      </c>
      <c r="E35" s="77"/>
      <c r="F35" s="77"/>
      <c r="G35" s="78"/>
      <c r="H35" s="64">
        <f>H34+H32+H29</f>
        <v>111260</v>
      </c>
      <c r="I35" s="45"/>
    </row>
    <row r="36" spans="3:11" s="79" customFormat="1" ht="19.2" customHeight="1">
      <c r="C36" s="75" t="s">
        <v>1220</v>
      </c>
      <c r="D36" s="76" t="s">
        <v>1321</v>
      </c>
      <c r="E36" s="77"/>
      <c r="F36" s="78"/>
      <c r="G36" s="80">
        <f>$M$8</f>
        <v>0.1</v>
      </c>
      <c r="H36" s="64">
        <f>H35*G36</f>
        <v>11126</v>
      </c>
      <c r="I36" s="45"/>
    </row>
    <row r="37" spans="3:11" s="79" customFormat="1" ht="19.2" customHeight="1" thickBot="1">
      <c r="C37" s="81" t="s">
        <v>1221</v>
      </c>
      <c r="D37" s="82" t="s">
        <v>1222</v>
      </c>
      <c r="E37" s="83"/>
      <c r="F37" s="83"/>
      <c r="G37" s="84"/>
      <c r="H37" s="85">
        <f>SUM(H35:H36)</f>
        <v>122386</v>
      </c>
      <c r="I37" s="45"/>
    </row>
    <row r="38" spans="3:11" ht="14.4" thickTop="1">
      <c r="C38" s="89"/>
      <c r="D38" s="90"/>
      <c r="E38" s="90"/>
      <c r="F38" s="90"/>
      <c r="G38" s="90"/>
      <c r="H38" s="91"/>
    </row>
    <row r="39" spans="3:11" ht="15.75" customHeight="1" thickBot="1">
      <c r="C39" s="47" t="s">
        <v>2710</v>
      </c>
      <c r="D39" s="149" t="s">
        <v>1394</v>
      </c>
      <c r="E39" s="275"/>
      <c r="F39" s="275"/>
      <c r="G39" s="275"/>
      <c r="H39" s="275"/>
      <c r="I39" s="50">
        <f>ROUNDDOWN(H54,-2)</f>
        <v>67600</v>
      </c>
    </row>
    <row r="40" spans="3:11" ht="28.2" thickTop="1">
      <c r="C40" s="51" t="s">
        <v>1195</v>
      </c>
      <c r="D40" s="52" t="s">
        <v>1196</v>
      </c>
      <c r="E40" s="52" t="s">
        <v>1197</v>
      </c>
      <c r="F40" s="52" t="s">
        <v>1198</v>
      </c>
      <c r="G40" s="52" t="s">
        <v>1199</v>
      </c>
      <c r="H40" s="53" t="s">
        <v>1200</v>
      </c>
    </row>
    <row r="41" spans="3:11" ht="18.600000000000001" customHeight="1">
      <c r="C41" s="55" t="s">
        <v>1201</v>
      </c>
      <c r="D41" s="56" t="s">
        <v>1202</v>
      </c>
      <c r="E41" s="57"/>
      <c r="F41" s="57"/>
      <c r="G41" s="57"/>
      <c r="H41" s="58"/>
    </row>
    <row r="42" spans="3:11" ht="18.600000000000001" customHeight="1">
      <c r="C42" s="60">
        <v>1</v>
      </c>
      <c r="D42" s="56" t="s">
        <v>5</v>
      </c>
      <c r="E42" s="61" t="s">
        <v>6</v>
      </c>
      <c r="F42" s="101">
        <v>0.1</v>
      </c>
      <c r="G42" s="63">
        <f>VLOOKUP(D42,upahbahan,3,FALSE)</f>
        <v>100000</v>
      </c>
      <c r="H42" s="64">
        <f>F42*G42</f>
        <v>10000</v>
      </c>
    </row>
    <row r="43" spans="3:11" ht="18.600000000000001" customHeight="1">
      <c r="C43" s="60">
        <v>2</v>
      </c>
      <c r="D43" s="56" t="s">
        <v>8</v>
      </c>
      <c r="E43" s="61" t="s">
        <v>6</v>
      </c>
      <c r="F43" s="101">
        <v>0.1</v>
      </c>
      <c r="G43" s="63">
        <f>VLOOKUP(D43,upahbahan,3,FALSE)</f>
        <v>135000</v>
      </c>
      <c r="H43" s="64">
        <f>F43*G43</f>
        <v>13500</v>
      </c>
    </row>
    <row r="44" spans="3:11" ht="18.600000000000001" customHeight="1">
      <c r="C44" s="60">
        <v>3</v>
      </c>
      <c r="D44" s="56" t="s">
        <v>18</v>
      </c>
      <c r="E44" s="61" t="s">
        <v>6</v>
      </c>
      <c r="F44" s="101">
        <v>0.01</v>
      </c>
      <c r="G44" s="63">
        <f>VLOOKUP(D44,upahbahan,3,FALSE)</f>
        <v>150000</v>
      </c>
      <c r="H44" s="64">
        <f>F44*G44</f>
        <v>1500</v>
      </c>
    </row>
    <row r="45" spans="3:11" ht="18.600000000000001" customHeight="1">
      <c r="C45" s="60">
        <v>4</v>
      </c>
      <c r="D45" s="56" t="s">
        <v>19</v>
      </c>
      <c r="E45" s="61" t="s">
        <v>6</v>
      </c>
      <c r="F45" s="101">
        <v>3.3E-3</v>
      </c>
      <c r="G45" s="63">
        <f>VLOOKUP(D45,upahbahan,3,FALSE)</f>
        <v>160000</v>
      </c>
      <c r="H45" s="64">
        <f>F45*G45</f>
        <v>528</v>
      </c>
    </row>
    <row r="46" spans="3:11" ht="18.600000000000001" customHeight="1">
      <c r="C46" s="66" t="s">
        <v>1208</v>
      </c>
      <c r="D46" s="67"/>
      <c r="E46" s="67"/>
      <c r="F46" s="142"/>
      <c r="G46" s="153"/>
      <c r="H46" s="64">
        <f>SUM(H42:H45)</f>
        <v>25528</v>
      </c>
      <c r="I46" s="274"/>
      <c r="J46" s="274"/>
      <c r="K46" s="274"/>
    </row>
    <row r="47" spans="3:11" ht="18.600000000000001" customHeight="1">
      <c r="C47" s="55" t="s">
        <v>1209</v>
      </c>
      <c r="D47" s="56" t="s">
        <v>1210</v>
      </c>
      <c r="E47" s="57"/>
      <c r="F47" s="57"/>
      <c r="G47" s="57"/>
      <c r="H47" s="58"/>
    </row>
    <row r="48" spans="3:11" ht="18.600000000000001" customHeight="1">
      <c r="C48" s="60">
        <v>1</v>
      </c>
      <c r="D48" s="56" t="s">
        <v>395</v>
      </c>
      <c r="E48" s="61" t="s">
        <v>129</v>
      </c>
      <c r="F48" s="276">
        <v>1.5</v>
      </c>
      <c r="G48" s="63">
        <f>VLOOKUP(D48,upahbahan,3,FALSE)</f>
        <v>24000</v>
      </c>
      <c r="H48" s="64">
        <f>F48*G48</f>
        <v>36000</v>
      </c>
    </row>
    <row r="49" spans="3:11" ht="18.600000000000001" customHeight="1">
      <c r="C49" s="66" t="s">
        <v>1214</v>
      </c>
      <c r="D49" s="67"/>
      <c r="E49" s="67"/>
      <c r="F49" s="67"/>
      <c r="G49" s="69"/>
      <c r="H49" s="64">
        <f>SUM(H48:H48)</f>
        <v>36000</v>
      </c>
      <c r="I49" s="59"/>
    </row>
    <row r="50" spans="3:11" ht="18.600000000000001" customHeight="1">
      <c r="C50" s="167" t="s">
        <v>1215</v>
      </c>
      <c r="D50" s="56" t="s">
        <v>1216</v>
      </c>
      <c r="E50" s="57"/>
      <c r="F50" s="57"/>
      <c r="G50" s="57"/>
      <c r="H50" s="58"/>
      <c r="I50" s="59"/>
    </row>
    <row r="51" spans="3:11" ht="18.600000000000001" customHeight="1">
      <c r="C51" s="66" t="s">
        <v>1217</v>
      </c>
      <c r="D51" s="67"/>
      <c r="E51" s="67"/>
      <c r="F51" s="67"/>
      <c r="G51" s="69"/>
      <c r="H51" s="74">
        <v>0</v>
      </c>
      <c r="I51" s="59"/>
    </row>
    <row r="52" spans="3:11" s="79" customFormat="1" ht="18.600000000000001" customHeight="1">
      <c r="C52" s="75" t="s">
        <v>1218</v>
      </c>
      <c r="D52" s="76" t="s">
        <v>1219</v>
      </c>
      <c r="E52" s="77"/>
      <c r="F52" s="77"/>
      <c r="G52" s="78"/>
      <c r="H52" s="64">
        <f>H51+H49+H46</f>
        <v>61528</v>
      </c>
      <c r="I52" s="45"/>
    </row>
    <row r="53" spans="3:11" s="79" customFormat="1" ht="18.600000000000001" customHeight="1">
      <c r="C53" s="75" t="s">
        <v>1220</v>
      </c>
      <c r="D53" s="76" t="s">
        <v>1321</v>
      </c>
      <c r="E53" s="77"/>
      <c r="F53" s="78"/>
      <c r="G53" s="80">
        <f>$M$8</f>
        <v>0.1</v>
      </c>
      <c r="H53" s="64">
        <f>H52*G53</f>
        <v>6152.8</v>
      </c>
      <c r="I53" s="45"/>
    </row>
    <row r="54" spans="3:11" s="79" customFormat="1" ht="18.600000000000001" customHeight="1" thickBot="1">
      <c r="C54" s="81" t="s">
        <v>1221</v>
      </c>
      <c r="D54" s="82" t="s">
        <v>1222</v>
      </c>
      <c r="E54" s="83"/>
      <c r="F54" s="83"/>
      <c r="G54" s="84"/>
      <c r="H54" s="85">
        <f>SUM(H52:H53)</f>
        <v>67680.800000000003</v>
      </c>
      <c r="I54" s="45"/>
    </row>
    <row r="55" spans="3:11" ht="14.4" thickTop="1">
      <c r="C55" s="89"/>
      <c r="D55" s="90"/>
      <c r="E55" s="90"/>
      <c r="F55" s="90"/>
      <c r="G55" s="90"/>
      <c r="H55" s="91"/>
    </row>
    <row r="56" spans="3:11" ht="15.75" customHeight="1" thickBot="1">
      <c r="C56" s="47" t="s">
        <v>2711</v>
      </c>
      <c r="D56" s="149" t="s">
        <v>2712</v>
      </c>
      <c r="E56" s="275"/>
      <c r="F56" s="275"/>
      <c r="G56" s="275"/>
      <c r="H56" s="275"/>
      <c r="I56" s="50">
        <f>ROUNDDOWN(H74,-2)</f>
        <v>239400</v>
      </c>
    </row>
    <row r="57" spans="3:11" ht="19.2" customHeight="1" thickTop="1">
      <c r="C57" s="51" t="s">
        <v>1195</v>
      </c>
      <c r="D57" s="52" t="s">
        <v>1196</v>
      </c>
      <c r="E57" s="52" t="s">
        <v>1197</v>
      </c>
      <c r="F57" s="52" t="s">
        <v>1198</v>
      </c>
      <c r="G57" s="52" t="s">
        <v>1199</v>
      </c>
      <c r="H57" s="53" t="s">
        <v>1200</v>
      </c>
    </row>
    <row r="58" spans="3:11" ht="19.2" customHeight="1">
      <c r="C58" s="55" t="s">
        <v>1201</v>
      </c>
      <c r="D58" s="56" t="s">
        <v>1202</v>
      </c>
      <c r="E58" s="57"/>
      <c r="F58" s="57"/>
      <c r="G58" s="57"/>
      <c r="H58" s="58"/>
    </row>
    <row r="59" spans="3:11" ht="19.2" customHeight="1">
      <c r="C59" s="60">
        <v>1</v>
      </c>
      <c r="D59" s="56" t="s">
        <v>5</v>
      </c>
      <c r="E59" s="61" t="s">
        <v>6</v>
      </c>
      <c r="F59" s="101">
        <v>0.5</v>
      </c>
      <c r="G59" s="63">
        <f>VLOOKUP(D59,upahbahan,3,FALSE)</f>
        <v>100000</v>
      </c>
      <c r="H59" s="64">
        <f>F59*G59</f>
        <v>50000</v>
      </c>
    </row>
    <row r="60" spans="3:11" ht="19.2" customHeight="1">
      <c r="C60" s="60">
        <v>2</v>
      </c>
      <c r="D60" s="56" t="s">
        <v>9</v>
      </c>
      <c r="E60" s="61" t="s">
        <v>6</v>
      </c>
      <c r="F60" s="101">
        <v>0.5</v>
      </c>
      <c r="G60" s="63">
        <f>VLOOKUP(D60,upahbahan,3,FALSE)</f>
        <v>135000</v>
      </c>
      <c r="H60" s="64">
        <f>F60*G60</f>
        <v>67500</v>
      </c>
    </row>
    <row r="61" spans="3:11" ht="19.2" customHeight="1">
      <c r="C61" s="60">
        <v>3</v>
      </c>
      <c r="D61" s="56" t="s">
        <v>18</v>
      </c>
      <c r="E61" s="61" t="s">
        <v>6</v>
      </c>
      <c r="F61" s="101">
        <v>0.05</v>
      </c>
      <c r="G61" s="63">
        <f>VLOOKUP(D61,upahbahan,3,FALSE)</f>
        <v>150000</v>
      </c>
      <c r="H61" s="64">
        <f>F61*G61</f>
        <v>7500</v>
      </c>
    </row>
    <row r="62" spans="3:11" ht="19.2" customHeight="1">
      <c r="C62" s="60">
        <v>4</v>
      </c>
      <c r="D62" s="56" t="s">
        <v>19</v>
      </c>
      <c r="E62" s="61" t="s">
        <v>6</v>
      </c>
      <c r="F62" s="101">
        <v>1.67E-2</v>
      </c>
      <c r="G62" s="63">
        <f>VLOOKUP(D62,upahbahan,3,FALSE)</f>
        <v>160000</v>
      </c>
      <c r="H62" s="64">
        <f>F62*G62</f>
        <v>2672</v>
      </c>
    </row>
    <row r="63" spans="3:11" ht="19.2" customHeight="1">
      <c r="C63" s="66" t="s">
        <v>1208</v>
      </c>
      <c r="D63" s="67"/>
      <c r="E63" s="67"/>
      <c r="F63" s="142"/>
      <c r="G63" s="153"/>
      <c r="H63" s="64">
        <f>SUM(H59:H62)</f>
        <v>127672</v>
      </c>
      <c r="I63" s="274"/>
      <c r="J63" s="274"/>
      <c r="K63" s="274"/>
    </row>
    <row r="64" spans="3:11" ht="19.2" customHeight="1">
      <c r="C64" s="55" t="s">
        <v>1209</v>
      </c>
      <c r="D64" s="56" t="s">
        <v>1210</v>
      </c>
      <c r="E64" s="57"/>
      <c r="F64" s="57"/>
      <c r="G64" s="57"/>
      <c r="H64" s="58"/>
    </row>
    <row r="65" spans="3:11" ht="19.2" customHeight="1">
      <c r="C65" s="92" t="s">
        <v>1203</v>
      </c>
      <c r="D65" s="56" t="s">
        <v>808</v>
      </c>
      <c r="E65" s="93" t="s">
        <v>113</v>
      </c>
      <c r="F65" s="104">
        <v>3.6</v>
      </c>
      <c r="G65" s="63">
        <f>VLOOKUP(D65,upahbahan,3,FALSE)</f>
        <v>15000</v>
      </c>
      <c r="H65" s="64">
        <f>F65*G65</f>
        <v>54000</v>
      </c>
    </row>
    <row r="66" spans="3:11" ht="19.2" customHeight="1">
      <c r="C66" s="92" t="s">
        <v>1204</v>
      </c>
      <c r="D66" s="72" t="s">
        <v>257</v>
      </c>
      <c r="E66" s="93" t="s">
        <v>65</v>
      </c>
      <c r="F66" s="104">
        <v>0.15</v>
      </c>
      <c r="G66" s="63">
        <f>VLOOKUP(D66,upahbahan,3,FALSE)</f>
        <v>0</v>
      </c>
      <c r="H66" s="64">
        <f>F66*G66</f>
        <v>0</v>
      </c>
    </row>
    <row r="67" spans="3:11" ht="19.2" customHeight="1">
      <c r="C67" s="92" t="s">
        <v>1205</v>
      </c>
      <c r="D67" s="56" t="s">
        <v>1032</v>
      </c>
      <c r="E67" s="93" t="s">
        <v>44</v>
      </c>
      <c r="F67" s="104">
        <v>1.05</v>
      </c>
      <c r="G67" s="63">
        <f>VLOOKUP(D67,upahbahan,3,FALSE)</f>
        <v>0</v>
      </c>
      <c r="H67" s="64">
        <f>F67*G67</f>
        <v>0</v>
      </c>
    </row>
    <row r="68" spans="3:11" ht="19.2" customHeight="1">
      <c r="C68" s="92" t="s">
        <v>1206</v>
      </c>
      <c r="D68" s="56" t="s">
        <v>395</v>
      </c>
      <c r="E68" s="61" t="s">
        <v>129</v>
      </c>
      <c r="F68" s="62">
        <v>1.5</v>
      </c>
      <c r="G68" s="63">
        <f>VLOOKUP(D68,upahbahan,3,FALSE)</f>
        <v>24000</v>
      </c>
      <c r="H68" s="64">
        <f>F68*G68</f>
        <v>36000</v>
      </c>
    </row>
    <row r="69" spans="3:11" ht="19.2" customHeight="1">
      <c r="C69" s="66" t="s">
        <v>1214</v>
      </c>
      <c r="D69" s="67"/>
      <c r="E69" s="67"/>
      <c r="F69" s="67"/>
      <c r="G69" s="69"/>
      <c r="H69" s="64">
        <f>SUM(H65:H68)</f>
        <v>90000</v>
      </c>
      <c r="I69" s="59"/>
    </row>
    <row r="70" spans="3:11" ht="19.2" customHeight="1">
      <c r="C70" s="167" t="s">
        <v>1215</v>
      </c>
      <c r="D70" s="56" t="s">
        <v>1216</v>
      </c>
      <c r="E70" s="57"/>
      <c r="F70" s="57"/>
      <c r="G70" s="57"/>
      <c r="H70" s="58"/>
      <c r="I70" s="59"/>
    </row>
    <row r="71" spans="3:11" ht="19.2" customHeight="1">
      <c r="C71" s="66" t="s">
        <v>1217</v>
      </c>
      <c r="D71" s="67"/>
      <c r="E71" s="67"/>
      <c r="F71" s="67"/>
      <c r="G71" s="69"/>
      <c r="H71" s="74">
        <v>0</v>
      </c>
      <c r="I71" s="59"/>
    </row>
    <row r="72" spans="3:11" s="79" customFormat="1" ht="19.2" customHeight="1">
      <c r="C72" s="75" t="s">
        <v>1218</v>
      </c>
      <c r="D72" s="76" t="s">
        <v>1219</v>
      </c>
      <c r="E72" s="77"/>
      <c r="F72" s="77"/>
      <c r="G72" s="78"/>
      <c r="H72" s="64">
        <f>H71+H69+H63</f>
        <v>217672</v>
      </c>
      <c r="I72" s="45"/>
    </row>
    <row r="73" spans="3:11" s="79" customFormat="1" ht="19.2" customHeight="1">
      <c r="C73" s="75" t="s">
        <v>1220</v>
      </c>
      <c r="D73" s="76" t="s">
        <v>1321</v>
      </c>
      <c r="E73" s="77"/>
      <c r="F73" s="78"/>
      <c r="G73" s="80">
        <f>$M$8</f>
        <v>0.1</v>
      </c>
      <c r="H73" s="64">
        <f>H72*G73</f>
        <v>21767.200000000001</v>
      </c>
      <c r="I73" s="45"/>
    </row>
    <row r="74" spans="3:11" s="79" customFormat="1" ht="19.2" customHeight="1" thickBot="1">
      <c r="C74" s="81" t="s">
        <v>1221</v>
      </c>
      <c r="D74" s="82" t="s">
        <v>1222</v>
      </c>
      <c r="E74" s="83"/>
      <c r="F74" s="83"/>
      <c r="G74" s="84"/>
      <c r="H74" s="85">
        <f>SUM(H72:H73)</f>
        <v>239439.2</v>
      </c>
      <c r="I74" s="45"/>
    </row>
    <row r="75" spans="3:11" ht="14.4" thickTop="1">
      <c r="C75" s="89"/>
      <c r="D75" s="90"/>
      <c r="E75" s="90"/>
      <c r="F75" s="90"/>
      <c r="G75" s="90"/>
      <c r="H75" s="91"/>
    </row>
    <row r="76" spans="3:11">
      <c r="C76" s="277" t="s">
        <v>2713</v>
      </c>
      <c r="D76" s="278" t="s">
        <v>2714</v>
      </c>
      <c r="E76" s="90"/>
      <c r="F76" s="90"/>
      <c r="G76" s="90"/>
      <c r="H76" s="91"/>
    </row>
    <row r="77" spans="3:11" ht="14.4" thickBot="1">
      <c r="C77" s="47" t="s">
        <v>2715</v>
      </c>
      <c r="D77" s="149" t="s">
        <v>2716</v>
      </c>
      <c r="E77" s="275"/>
      <c r="F77" s="275"/>
      <c r="G77" s="275"/>
      <c r="H77" s="275"/>
      <c r="I77" s="50">
        <f>ROUNDDOWN(H93,-2)</f>
        <v>73700</v>
      </c>
      <c r="J77" s="59" t="s">
        <v>6451</v>
      </c>
      <c r="K77" s="59" t="s">
        <v>6466</v>
      </c>
    </row>
    <row r="78" spans="3:11" ht="28.2" thickTop="1">
      <c r="C78" s="51" t="s">
        <v>1195</v>
      </c>
      <c r="D78" s="52" t="s">
        <v>1196</v>
      </c>
      <c r="E78" s="52" t="s">
        <v>1197</v>
      </c>
      <c r="F78" s="52" t="s">
        <v>1198</v>
      </c>
      <c r="G78" s="52" t="s">
        <v>1199</v>
      </c>
      <c r="H78" s="53" t="s">
        <v>1200</v>
      </c>
    </row>
    <row r="79" spans="3:11" ht="18" customHeight="1">
      <c r="C79" s="55" t="s">
        <v>1201</v>
      </c>
      <c r="D79" s="56" t="s">
        <v>1202</v>
      </c>
      <c r="E79" s="57"/>
      <c r="F79" s="57"/>
      <c r="G79" s="57"/>
      <c r="H79" s="58"/>
    </row>
    <row r="80" spans="3:11" ht="18" customHeight="1">
      <c r="C80" s="60">
        <v>1</v>
      </c>
      <c r="D80" s="56" t="s">
        <v>5</v>
      </c>
      <c r="E80" s="61" t="s">
        <v>6</v>
      </c>
      <c r="F80" s="101">
        <v>0.1</v>
      </c>
      <c r="G80" s="63">
        <f>VLOOKUP(D80,upahbahan,3,FALSE)</f>
        <v>100000</v>
      </c>
      <c r="H80" s="64">
        <f>F80*G80</f>
        <v>10000</v>
      </c>
    </row>
    <row r="81" spans="3:11" ht="18" customHeight="1">
      <c r="C81" s="60">
        <v>2</v>
      </c>
      <c r="D81" s="56" t="s">
        <v>8</v>
      </c>
      <c r="E81" s="61" t="s">
        <v>6</v>
      </c>
      <c r="F81" s="101">
        <v>0.05</v>
      </c>
      <c r="G81" s="63">
        <f>VLOOKUP(D81,upahbahan,3,FALSE)</f>
        <v>135000</v>
      </c>
      <c r="H81" s="64">
        <f>F81*G81</f>
        <v>6750</v>
      </c>
    </row>
    <row r="82" spans="3:11" ht="18" customHeight="1">
      <c r="C82" s="60">
        <v>3</v>
      </c>
      <c r="D82" s="56" t="s">
        <v>18</v>
      </c>
      <c r="E82" s="61" t="s">
        <v>6</v>
      </c>
      <c r="F82" s="101">
        <v>5.0000000000000001E-3</v>
      </c>
      <c r="G82" s="63">
        <f>VLOOKUP(D82,upahbahan,3,FALSE)</f>
        <v>150000</v>
      </c>
      <c r="H82" s="64">
        <f>F82*G82</f>
        <v>750</v>
      </c>
    </row>
    <row r="83" spans="3:11" ht="18" customHeight="1">
      <c r="C83" s="60">
        <v>4</v>
      </c>
      <c r="D83" s="56" t="s">
        <v>19</v>
      </c>
      <c r="E83" s="61" t="s">
        <v>6</v>
      </c>
      <c r="F83" s="101">
        <v>1.6999999999999999E-3</v>
      </c>
      <c r="G83" s="63">
        <f>VLOOKUP(D83,upahbahan,3,FALSE)</f>
        <v>160000</v>
      </c>
      <c r="H83" s="64">
        <f>F83*G83</f>
        <v>272</v>
      </c>
    </row>
    <row r="84" spans="3:11" ht="18" customHeight="1">
      <c r="C84" s="66" t="s">
        <v>1208</v>
      </c>
      <c r="D84" s="67"/>
      <c r="E84" s="67"/>
      <c r="F84" s="142"/>
      <c r="G84" s="153"/>
      <c r="H84" s="64">
        <f>SUM(H80:H83)</f>
        <v>17772</v>
      </c>
      <c r="I84" s="274"/>
      <c r="J84" s="274"/>
      <c r="K84" s="274"/>
    </row>
    <row r="85" spans="3:11" ht="18" customHeight="1">
      <c r="C85" s="55" t="s">
        <v>1209</v>
      </c>
      <c r="D85" s="56" t="s">
        <v>1210</v>
      </c>
      <c r="E85" s="57"/>
      <c r="F85" s="57"/>
      <c r="G85" s="57"/>
      <c r="H85" s="58"/>
    </row>
    <row r="86" spans="3:11" ht="18" customHeight="1">
      <c r="C86" s="60">
        <v>1</v>
      </c>
      <c r="D86" s="56" t="s">
        <v>383</v>
      </c>
      <c r="E86" s="61" t="s">
        <v>129</v>
      </c>
      <c r="F86" s="62">
        <v>0.36399999999999999</v>
      </c>
      <c r="G86" s="63">
        <f>VLOOKUP(D86,upahbahan,3,FALSE)</f>
        <v>70000</v>
      </c>
      <c r="H86" s="64">
        <f>F86*G86</f>
        <v>25480</v>
      </c>
    </row>
    <row r="87" spans="3:11" ht="18" customHeight="1">
      <c r="C87" s="60">
        <v>2</v>
      </c>
      <c r="D87" s="56" t="s">
        <v>268</v>
      </c>
      <c r="E87" s="61" t="s">
        <v>65</v>
      </c>
      <c r="F87" s="276">
        <v>0.11</v>
      </c>
      <c r="G87" s="63">
        <f>VLOOKUP(D87,upahbahan,3,FALSE)</f>
        <v>216000</v>
      </c>
      <c r="H87" s="64">
        <f>F87*G87</f>
        <v>23760</v>
      </c>
    </row>
    <row r="88" spans="3:11" ht="18" customHeight="1">
      <c r="C88" s="66" t="s">
        <v>1214</v>
      </c>
      <c r="D88" s="67"/>
      <c r="E88" s="67"/>
      <c r="F88" s="67"/>
      <c r="G88" s="69"/>
      <c r="H88" s="64">
        <f>SUM(H86:H87)</f>
        <v>49240</v>
      </c>
      <c r="I88" s="59"/>
    </row>
    <row r="89" spans="3:11" ht="18" customHeight="1">
      <c r="C89" s="167" t="s">
        <v>1215</v>
      </c>
      <c r="D89" s="56" t="s">
        <v>1216</v>
      </c>
      <c r="E89" s="57"/>
      <c r="F89" s="57"/>
      <c r="G89" s="57"/>
      <c r="H89" s="58"/>
      <c r="I89" s="59"/>
    </row>
    <row r="90" spans="3:11" ht="18" customHeight="1">
      <c r="C90" s="66" t="s">
        <v>1217</v>
      </c>
      <c r="D90" s="67"/>
      <c r="E90" s="67"/>
      <c r="F90" s="67"/>
      <c r="G90" s="69"/>
      <c r="H90" s="74">
        <v>0</v>
      </c>
      <c r="I90" s="59"/>
    </row>
    <row r="91" spans="3:11" s="79" customFormat="1" ht="18" customHeight="1">
      <c r="C91" s="75" t="s">
        <v>1218</v>
      </c>
      <c r="D91" s="76" t="s">
        <v>1219</v>
      </c>
      <c r="E91" s="77"/>
      <c r="F91" s="77"/>
      <c r="G91" s="78"/>
      <c r="H91" s="64">
        <f>H90+H88+H84</f>
        <v>67012</v>
      </c>
      <c r="I91" s="45"/>
    </row>
    <row r="92" spans="3:11" s="79" customFormat="1" ht="18" customHeight="1">
      <c r="C92" s="75" t="s">
        <v>1220</v>
      </c>
      <c r="D92" s="76" t="s">
        <v>1321</v>
      </c>
      <c r="E92" s="77"/>
      <c r="F92" s="78"/>
      <c r="G92" s="80">
        <f>$M$8</f>
        <v>0.1</v>
      </c>
      <c r="H92" s="64">
        <f>H91*G92</f>
        <v>6701.2000000000007</v>
      </c>
      <c r="I92" s="45"/>
    </row>
    <row r="93" spans="3:11" s="79" customFormat="1" ht="18" customHeight="1" thickBot="1">
      <c r="C93" s="81" t="s">
        <v>1221</v>
      </c>
      <c r="D93" s="82" t="s">
        <v>1222</v>
      </c>
      <c r="E93" s="83"/>
      <c r="F93" s="83"/>
      <c r="G93" s="84"/>
      <c r="H93" s="85">
        <f>SUM(H91:H92)</f>
        <v>73713.2</v>
      </c>
      <c r="I93" s="45"/>
    </row>
    <row r="94" spans="3:11" ht="14.4" thickTop="1">
      <c r="C94" s="89"/>
      <c r="D94" s="90"/>
      <c r="E94" s="90"/>
      <c r="F94" s="90"/>
      <c r="G94" s="90"/>
      <c r="H94" s="91"/>
    </row>
    <row r="95" spans="3:11">
      <c r="C95" s="89"/>
      <c r="D95" s="90"/>
      <c r="E95" s="90"/>
      <c r="F95" s="90"/>
      <c r="G95" s="90"/>
      <c r="H95" s="91"/>
    </row>
    <row r="96" spans="3:11" ht="14.4" thickBot="1">
      <c r="C96" s="149" t="s">
        <v>2717</v>
      </c>
      <c r="D96" s="149" t="s">
        <v>2718</v>
      </c>
      <c r="E96" s="275"/>
      <c r="F96" s="275"/>
      <c r="G96" s="275"/>
      <c r="H96" s="275"/>
      <c r="I96" s="50">
        <f>ROUNDDOWN(H112,-2)</f>
        <v>75500</v>
      </c>
    </row>
    <row r="97" spans="3:11" ht="28.2" thickTop="1">
      <c r="C97" s="51" t="s">
        <v>1195</v>
      </c>
      <c r="D97" s="52" t="s">
        <v>1196</v>
      </c>
      <c r="E97" s="52" t="s">
        <v>1197</v>
      </c>
      <c r="F97" s="52" t="s">
        <v>1198</v>
      </c>
      <c r="G97" s="52" t="s">
        <v>1199</v>
      </c>
      <c r="H97" s="53" t="s">
        <v>1200</v>
      </c>
    </row>
    <row r="98" spans="3:11" ht="20.399999999999999" customHeight="1">
      <c r="C98" s="55" t="s">
        <v>1201</v>
      </c>
      <c r="D98" s="56" t="s">
        <v>1202</v>
      </c>
      <c r="E98" s="57"/>
      <c r="F98" s="57"/>
      <c r="G98" s="57"/>
      <c r="H98" s="58"/>
    </row>
    <row r="99" spans="3:11" ht="20.399999999999999" customHeight="1">
      <c r="C99" s="60">
        <v>1</v>
      </c>
      <c r="D99" s="56" t="s">
        <v>5</v>
      </c>
      <c r="E99" s="61" t="s">
        <v>6</v>
      </c>
      <c r="F99" s="101">
        <v>0.03</v>
      </c>
      <c r="G99" s="63">
        <f>VLOOKUP(D99,upahbahan,3,FALSE)</f>
        <v>100000</v>
      </c>
      <c r="H99" s="64">
        <f>F99*G99</f>
        <v>3000</v>
      </c>
    </row>
    <row r="100" spans="3:11" ht="20.399999999999999" customHeight="1">
      <c r="C100" s="60">
        <v>2</v>
      </c>
      <c r="D100" s="56" t="s">
        <v>8</v>
      </c>
      <c r="E100" s="61" t="s">
        <v>6</v>
      </c>
      <c r="F100" s="101">
        <v>7.0000000000000007E-2</v>
      </c>
      <c r="G100" s="63">
        <f>VLOOKUP(D100,upahbahan,3,FALSE)</f>
        <v>135000</v>
      </c>
      <c r="H100" s="64">
        <f>F100*G100</f>
        <v>9450</v>
      </c>
    </row>
    <row r="101" spans="3:11" ht="20.399999999999999" customHeight="1">
      <c r="C101" s="60">
        <v>3</v>
      </c>
      <c r="D101" s="56" t="s">
        <v>18</v>
      </c>
      <c r="E101" s="61" t="s">
        <v>6</v>
      </c>
      <c r="F101" s="101">
        <v>7.0000000000000001E-3</v>
      </c>
      <c r="G101" s="63">
        <f>VLOOKUP(D101,upahbahan,3,FALSE)</f>
        <v>150000</v>
      </c>
      <c r="H101" s="64">
        <f>F101*G101</f>
        <v>1050</v>
      </c>
    </row>
    <row r="102" spans="3:11" ht="20.399999999999999" customHeight="1">
      <c r="C102" s="60">
        <v>4</v>
      </c>
      <c r="D102" s="56" t="s">
        <v>19</v>
      </c>
      <c r="E102" s="61" t="s">
        <v>6</v>
      </c>
      <c r="F102" s="101">
        <v>2.3E-3</v>
      </c>
      <c r="G102" s="63">
        <f>VLOOKUP(D102,upahbahan,3,FALSE)</f>
        <v>160000</v>
      </c>
      <c r="H102" s="64">
        <f>F102*G102</f>
        <v>368</v>
      </c>
    </row>
    <row r="103" spans="3:11" ht="20.399999999999999" customHeight="1">
      <c r="C103" s="66" t="s">
        <v>1208</v>
      </c>
      <c r="D103" s="67"/>
      <c r="E103" s="67"/>
      <c r="F103" s="142"/>
      <c r="G103" s="153"/>
      <c r="H103" s="64">
        <f>SUM(H99:H102)</f>
        <v>13868</v>
      </c>
      <c r="I103" s="274"/>
      <c r="J103" s="274"/>
      <c r="K103" s="274"/>
    </row>
    <row r="104" spans="3:11" ht="20.399999999999999" customHeight="1">
      <c r="C104" s="55" t="s">
        <v>1209</v>
      </c>
      <c r="D104" s="56" t="s">
        <v>1210</v>
      </c>
      <c r="E104" s="57"/>
      <c r="F104" s="57"/>
      <c r="G104" s="57"/>
      <c r="H104" s="58"/>
    </row>
    <row r="105" spans="3:11" ht="20.399999999999999" customHeight="1">
      <c r="C105" s="60">
        <v>1</v>
      </c>
      <c r="D105" s="56" t="s">
        <v>390</v>
      </c>
      <c r="E105" s="61" t="s">
        <v>62</v>
      </c>
      <c r="F105" s="62">
        <v>1.21</v>
      </c>
      <c r="G105" s="63">
        <f>VLOOKUP(D105,upahbahan,3,FALSE)</f>
        <v>45000</v>
      </c>
      <c r="H105" s="64">
        <f>F105*G105</f>
        <v>54450</v>
      </c>
    </row>
    <row r="106" spans="3:11" ht="20.399999999999999" customHeight="1">
      <c r="C106" s="60">
        <v>2</v>
      </c>
      <c r="D106" s="56" t="s">
        <v>261</v>
      </c>
      <c r="E106" s="61" t="s">
        <v>65</v>
      </c>
      <c r="F106" s="62">
        <v>0.01</v>
      </c>
      <c r="G106" s="63">
        <f>VLOOKUP(D106,upahbahan,3,FALSE)</f>
        <v>33901.875</v>
      </c>
      <c r="H106" s="64">
        <f>F106*G106</f>
        <v>339.01875000000001</v>
      </c>
    </row>
    <row r="107" spans="3:11" ht="20.399999999999999" customHeight="1">
      <c r="C107" s="66" t="s">
        <v>1214</v>
      </c>
      <c r="D107" s="67"/>
      <c r="E107" s="67"/>
      <c r="F107" s="67"/>
      <c r="G107" s="69"/>
      <c r="H107" s="64">
        <f>SUM(H105:H106)</f>
        <v>54789.018750000003</v>
      </c>
      <c r="I107" s="59"/>
    </row>
    <row r="108" spans="3:11" ht="20.399999999999999" customHeight="1">
      <c r="C108" s="167" t="s">
        <v>1215</v>
      </c>
      <c r="D108" s="56" t="s">
        <v>1216</v>
      </c>
      <c r="E108" s="57"/>
      <c r="F108" s="57"/>
      <c r="G108" s="57"/>
      <c r="H108" s="58"/>
      <c r="I108" s="59"/>
    </row>
    <row r="109" spans="3:11" ht="20.399999999999999" customHeight="1">
      <c r="C109" s="66" t="s">
        <v>1217</v>
      </c>
      <c r="D109" s="67"/>
      <c r="E109" s="67"/>
      <c r="F109" s="67"/>
      <c r="G109" s="69"/>
      <c r="H109" s="74">
        <v>0</v>
      </c>
      <c r="I109" s="59"/>
    </row>
    <row r="110" spans="3:11" s="79" customFormat="1" ht="20.399999999999999" customHeight="1">
      <c r="C110" s="75" t="s">
        <v>1218</v>
      </c>
      <c r="D110" s="76" t="s">
        <v>1219</v>
      </c>
      <c r="E110" s="77"/>
      <c r="F110" s="77"/>
      <c r="G110" s="78"/>
      <c r="H110" s="64">
        <f>H109+H107+H103</f>
        <v>68657.018750000003</v>
      </c>
      <c r="I110" s="45"/>
    </row>
    <row r="111" spans="3:11" s="79" customFormat="1" ht="20.399999999999999" customHeight="1">
      <c r="C111" s="75" t="s">
        <v>1220</v>
      </c>
      <c r="D111" s="76" t="s">
        <v>1321</v>
      </c>
      <c r="E111" s="77"/>
      <c r="F111" s="78"/>
      <c r="G111" s="80">
        <f>$M$8</f>
        <v>0.1</v>
      </c>
      <c r="H111" s="64">
        <f>H110*G111</f>
        <v>6865.7018750000007</v>
      </c>
      <c r="I111" s="45"/>
    </row>
    <row r="112" spans="3:11" s="79" customFormat="1" ht="20.399999999999999" customHeight="1" thickBot="1">
      <c r="C112" s="81" t="s">
        <v>1221</v>
      </c>
      <c r="D112" s="82" t="s">
        <v>1222</v>
      </c>
      <c r="E112" s="83"/>
      <c r="F112" s="83"/>
      <c r="G112" s="84"/>
      <c r="H112" s="85">
        <f>SUM(H110:H111)</f>
        <v>75522.720625000002</v>
      </c>
      <c r="I112" s="45"/>
    </row>
    <row r="113" spans="3:11" ht="14.4" thickTop="1">
      <c r="C113" s="89"/>
      <c r="D113" s="90"/>
      <c r="E113" s="90"/>
      <c r="F113" s="90"/>
      <c r="G113" s="90"/>
      <c r="H113" s="91"/>
    </row>
    <row r="114" spans="3:11" ht="27" customHeight="1">
      <c r="C114" s="448" t="s">
        <v>2719</v>
      </c>
      <c r="D114" s="1880" t="s">
        <v>2721</v>
      </c>
      <c r="E114" s="1880"/>
      <c r="F114" s="1880"/>
      <c r="G114" s="1880"/>
      <c r="H114" s="1880"/>
    </row>
    <row r="115" spans="3:11" ht="14.4" thickBot="1">
      <c r="C115" s="47" t="s">
        <v>2724</v>
      </c>
      <c r="D115" s="149" t="s">
        <v>2722</v>
      </c>
      <c r="E115" s="275"/>
      <c r="F115" s="275"/>
      <c r="G115" s="275"/>
      <c r="H115" s="275"/>
      <c r="I115" s="50">
        <f>ROUNDDOWN(H131,-2)</f>
        <v>54400</v>
      </c>
    </row>
    <row r="116" spans="3:11" ht="28.2" thickTop="1">
      <c r="C116" s="51" t="s">
        <v>1195</v>
      </c>
      <c r="D116" s="52" t="s">
        <v>1196</v>
      </c>
      <c r="E116" s="52" t="s">
        <v>1197</v>
      </c>
      <c r="F116" s="52" t="s">
        <v>1198</v>
      </c>
      <c r="G116" s="52" t="s">
        <v>1199</v>
      </c>
      <c r="H116" s="53" t="s">
        <v>1200</v>
      </c>
    </row>
    <row r="117" spans="3:11" ht="18.600000000000001" customHeight="1">
      <c r="C117" s="55" t="s">
        <v>1201</v>
      </c>
      <c r="D117" s="56" t="s">
        <v>1202</v>
      </c>
      <c r="E117" s="57"/>
      <c r="F117" s="57"/>
      <c r="G117" s="57"/>
      <c r="H117" s="58"/>
    </row>
    <row r="118" spans="3:11" ht="18.600000000000001" customHeight="1">
      <c r="C118" s="60">
        <v>1</v>
      </c>
      <c r="D118" s="56" t="s">
        <v>5</v>
      </c>
      <c r="E118" s="61" t="s">
        <v>6</v>
      </c>
      <c r="F118" s="101">
        <v>0.1</v>
      </c>
      <c r="G118" s="63">
        <f>VLOOKUP(D118,upahbahan,3,FALSE)</f>
        <v>100000</v>
      </c>
      <c r="H118" s="64">
        <f>F118*G118</f>
        <v>10000</v>
      </c>
    </row>
    <row r="119" spans="3:11" ht="18.600000000000001" customHeight="1">
      <c r="C119" s="60">
        <v>2</v>
      </c>
      <c r="D119" s="56" t="s">
        <v>8</v>
      </c>
      <c r="E119" s="61" t="s">
        <v>6</v>
      </c>
      <c r="F119" s="101">
        <v>0.1</v>
      </c>
      <c r="G119" s="63">
        <f>VLOOKUP(D119,upahbahan,3,FALSE)</f>
        <v>135000</v>
      </c>
      <c r="H119" s="64">
        <f>F119*G119</f>
        <v>13500</v>
      </c>
    </row>
    <row r="120" spans="3:11" ht="18.600000000000001" customHeight="1">
      <c r="C120" s="60">
        <v>3</v>
      </c>
      <c r="D120" s="56" t="s">
        <v>18</v>
      </c>
      <c r="E120" s="61" t="s">
        <v>6</v>
      </c>
      <c r="F120" s="101">
        <v>0.01</v>
      </c>
      <c r="G120" s="63">
        <f>VLOOKUP(D120,upahbahan,3,FALSE)</f>
        <v>150000</v>
      </c>
      <c r="H120" s="64">
        <f>F120*G120</f>
        <v>1500</v>
      </c>
    </row>
    <row r="121" spans="3:11" ht="18.600000000000001" customHeight="1">
      <c r="C121" s="60">
        <v>4</v>
      </c>
      <c r="D121" s="56" t="s">
        <v>19</v>
      </c>
      <c r="E121" s="61" t="s">
        <v>6</v>
      </c>
      <c r="F121" s="101">
        <v>3.3E-3</v>
      </c>
      <c r="G121" s="63">
        <f>VLOOKUP(D121,upahbahan,3,FALSE)</f>
        <v>160000</v>
      </c>
      <c r="H121" s="64">
        <f>F121*G121</f>
        <v>528</v>
      </c>
    </row>
    <row r="122" spans="3:11" ht="18.600000000000001" customHeight="1">
      <c r="C122" s="66" t="s">
        <v>1208</v>
      </c>
      <c r="D122" s="67"/>
      <c r="E122" s="67"/>
      <c r="F122" s="142"/>
      <c r="G122" s="153"/>
      <c r="H122" s="64">
        <f>SUM(H118:H121)</f>
        <v>25528</v>
      </c>
      <c r="I122" s="274"/>
      <c r="J122" s="274"/>
      <c r="K122" s="274"/>
    </row>
    <row r="123" spans="3:11" ht="18.600000000000001" customHeight="1">
      <c r="C123" s="55" t="s">
        <v>1209</v>
      </c>
      <c r="D123" s="56" t="s">
        <v>1210</v>
      </c>
      <c r="E123" s="57"/>
      <c r="F123" s="57"/>
      <c r="G123" s="57"/>
      <c r="H123" s="58"/>
    </row>
    <row r="124" spans="3:11" ht="18.600000000000001" customHeight="1">
      <c r="C124" s="60">
        <v>1</v>
      </c>
      <c r="D124" s="56" t="s">
        <v>2720</v>
      </c>
      <c r="E124" s="61" t="s">
        <v>129</v>
      </c>
      <c r="F124" s="62">
        <v>0.375</v>
      </c>
      <c r="G124" s="63">
        <f>VLOOKUP(D124,upahbahan,3,FALSE)</f>
        <v>62500</v>
      </c>
      <c r="H124" s="64">
        <f>F124*G124</f>
        <v>23437.5</v>
      </c>
    </row>
    <row r="125" spans="3:11" ht="18.600000000000001" customHeight="1">
      <c r="C125" s="60">
        <v>2</v>
      </c>
      <c r="D125" s="56" t="s">
        <v>2723</v>
      </c>
      <c r="E125" s="61" t="s">
        <v>65</v>
      </c>
      <c r="F125" s="62">
        <v>0.03</v>
      </c>
      <c r="G125" s="63">
        <f>VLOOKUP(D125,upahbahan,3,FALSE)</f>
        <v>17500</v>
      </c>
      <c r="H125" s="64">
        <f>F125*G125</f>
        <v>525</v>
      </c>
    </row>
    <row r="126" spans="3:11" ht="18.600000000000001" customHeight="1">
      <c r="C126" s="66" t="s">
        <v>1214</v>
      </c>
      <c r="D126" s="67"/>
      <c r="E126" s="67"/>
      <c r="F126" s="67"/>
      <c r="G126" s="69"/>
      <c r="H126" s="64">
        <f>SUM(H124:H125)</f>
        <v>23962.5</v>
      </c>
      <c r="I126" s="59"/>
    </row>
    <row r="127" spans="3:11" ht="18.600000000000001" customHeight="1">
      <c r="C127" s="167" t="s">
        <v>1215</v>
      </c>
      <c r="D127" s="56" t="s">
        <v>1216</v>
      </c>
      <c r="E127" s="57"/>
      <c r="F127" s="57"/>
      <c r="G127" s="57"/>
      <c r="H127" s="58"/>
      <c r="I127" s="59"/>
    </row>
    <row r="128" spans="3:11" ht="18.600000000000001" customHeight="1">
      <c r="C128" s="66" t="s">
        <v>1217</v>
      </c>
      <c r="D128" s="67"/>
      <c r="E128" s="67"/>
      <c r="F128" s="67"/>
      <c r="G128" s="69"/>
      <c r="H128" s="74">
        <v>0</v>
      </c>
      <c r="I128" s="59"/>
    </row>
    <row r="129" spans="3:11" s="79" customFormat="1" ht="18.600000000000001" customHeight="1">
      <c r="C129" s="75" t="s">
        <v>1218</v>
      </c>
      <c r="D129" s="76" t="s">
        <v>1219</v>
      </c>
      <c r="E129" s="77"/>
      <c r="F129" s="77"/>
      <c r="G129" s="78"/>
      <c r="H129" s="64">
        <f>H128+H126+H122</f>
        <v>49490.5</v>
      </c>
      <c r="I129" s="45"/>
    </row>
    <row r="130" spans="3:11" s="79" customFormat="1" ht="18.600000000000001" customHeight="1">
      <c r="C130" s="75" t="s">
        <v>1220</v>
      </c>
      <c r="D130" s="76" t="s">
        <v>1321</v>
      </c>
      <c r="E130" s="77"/>
      <c r="F130" s="78"/>
      <c r="G130" s="80">
        <f>$M$8</f>
        <v>0.1</v>
      </c>
      <c r="H130" s="64">
        <f>H129*G130</f>
        <v>4949.05</v>
      </c>
      <c r="I130" s="45"/>
    </row>
    <row r="131" spans="3:11" s="79" customFormat="1" ht="18.600000000000001" customHeight="1" thickBot="1">
      <c r="C131" s="81" t="s">
        <v>1221</v>
      </c>
      <c r="D131" s="82" t="s">
        <v>1222</v>
      </c>
      <c r="E131" s="83"/>
      <c r="F131" s="83"/>
      <c r="G131" s="84"/>
      <c r="H131" s="85">
        <f>SUM(H129:H130)</f>
        <v>54439.55</v>
      </c>
      <c r="I131" s="45"/>
    </row>
    <row r="132" spans="3:11" ht="14.4" thickTop="1">
      <c r="C132" s="89"/>
      <c r="D132" s="90"/>
      <c r="E132" s="90"/>
      <c r="F132" s="90"/>
      <c r="G132" s="90"/>
      <c r="H132" s="91"/>
    </row>
    <row r="133" spans="3:11">
      <c r="C133" s="89"/>
      <c r="D133" s="90"/>
      <c r="E133" s="90"/>
      <c r="F133" s="90"/>
      <c r="G133" s="90"/>
      <c r="H133" s="91"/>
    </row>
    <row r="134" spans="3:11" ht="14.4" thickBot="1">
      <c r="C134" s="47" t="s">
        <v>2725</v>
      </c>
      <c r="D134" s="149" t="s">
        <v>2726</v>
      </c>
      <c r="E134" s="275"/>
      <c r="F134" s="275"/>
      <c r="G134" s="275"/>
      <c r="H134" s="275"/>
      <c r="I134" s="50">
        <f>ROUNDDOWN(H150,-2)</f>
        <v>59500</v>
      </c>
    </row>
    <row r="135" spans="3:11" ht="28.2" thickTop="1">
      <c r="C135" s="51" t="s">
        <v>1195</v>
      </c>
      <c r="D135" s="52" t="s">
        <v>1196</v>
      </c>
      <c r="E135" s="52" t="s">
        <v>1197</v>
      </c>
      <c r="F135" s="52" t="s">
        <v>1198</v>
      </c>
      <c r="G135" s="52" t="s">
        <v>1199</v>
      </c>
      <c r="H135" s="53" t="s">
        <v>1200</v>
      </c>
    </row>
    <row r="136" spans="3:11" ht="18.600000000000001" customHeight="1">
      <c r="C136" s="55" t="s">
        <v>1201</v>
      </c>
      <c r="D136" s="56" t="s">
        <v>1202</v>
      </c>
      <c r="E136" s="57"/>
      <c r="F136" s="57"/>
      <c r="G136" s="57"/>
      <c r="H136" s="58"/>
    </row>
    <row r="137" spans="3:11" ht="18.600000000000001" customHeight="1">
      <c r="C137" s="60">
        <v>1</v>
      </c>
      <c r="D137" s="56" t="s">
        <v>5</v>
      </c>
      <c r="E137" s="61" t="s">
        <v>6</v>
      </c>
      <c r="F137" s="101">
        <v>0.1</v>
      </c>
      <c r="G137" s="63">
        <f>VLOOKUP(D137,upahbahan,3,FALSE)</f>
        <v>100000</v>
      </c>
      <c r="H137" s="64">
        <f>F137*G137</f>
        <v>10000</v>
      </c>
    </row>
    <row r="138" spans="3:11" ht="18.600000000000001" customHeight="1">
      <c r="C138" s="60">
        <v>2</v>
      </c>
      <c r="D138" s="56" t="s">
        <v>8</v>
      </c>
      <c r="E138" s="61" t="s">
        <v>6</v>
      </c>
      <c r="F138" s="101">
        <v>0.1</v>
      </c>
      <c r="G138" s="63">
        <f>VLOOKUP(D138,upahbahan,3,FALSE)</f>
        <v>135000</v>
      </c>
      <c r="H138" s="64">
        <f>F138*G138</f>
        <v>13500</v>
      </c>
    </row>
    <row r="139" spans="3:11" ht="18.600000000000001" customHeight="1">
      <c r="C139" s="60">
        <v>3</v>
      </c>
      <c r="D139" s="56" t="s">
        <v>18</v>
      </c>
      <c r="E139" s="61" t="s">
        <v>6</v>
      </c>
      <c r="F139" s="101">
        <v>0.01</v>
      </c>
      <c r="G139" s="63">
        <f>VLOOKUP(D139,upahbahan,3,FALSE)</f>
        <v>150000</v>
      </c>
      <c r="H139" s="64">
        <f>F139*G139</f>
        <v>1500</v>
      </c>
    </row>
    <row r="140" spans="3:11" ht="18.600000000000001" customHeight="1">
      <c r="C140" s="60">
        <v>4</v>
      </c>
      <c r="D140" s="56" t="s">
        <v>19</v>
      </c>
      <c r="E140" s="61" t="s">
        <v>6</v>
      </c>
      <c r="F140" s="101">
        <v>3.3E-3</v>
      </c>
      <c r="G140" s="63">
        <f>VLOOKUP(D140,upahbahan,3,FALSE)</f>
        <v>160000</v>
      </c>
      <c r="H140" s="64">
        <f>F140*G140</f>
        <v>528</v>
      </c>
    </row>
    <row r="141" spans="3:11" ht="18.600000000000001" customHeight="1">
      <c r="C141" s="66" t="s">
        <v>1208</v>
      </c>
      <c r="D141" s="67"/>
      <c r="E141" s="67"/>
      <c r="F141" s="142"/>
      <c r="G141" s="153"/>
      <c r="H141" s="64">
        <f>SUM(H137:H140)</f>
        <v>25528</v>
      </c>
      <c r="I141" s="274"/>
      <c r="J141" s="274"/>
      <c r="K141" s="274"/>
    </row>
    <row r="142" spans="3:11" ht="18.600000000000001" customHeight="1">
      <c r="C142" s="55" t="s">
        <v>1209</v>
      </c>
      <c r="D142" s="56" t="s">
        <v>1210</v>
      </c>
      <c r="E142" s="57"/>
      <c r="F142" s="57"/>
      <c r="G142" s="57"/>
      <c r="H142" s="58"/>
    </row>
    <row r="143" spans="3:11" ht="18.600000000000001" customHeight="1">
      <c r="C143" s="60">
        <v>1</v>
      </c>
      <c r="D143" s="56" t="s">
        <v>1845</v>
      </c>
      <c r="E143" s="61" t="s">
        <v>129</v>
      </c>
      <c r="F143" s="62">
        <v>0.375</v>
      </c>
      <c r="G143" s="63">
        <f>VLOOKUP(D143,upahbahan,3,FALSE)</f>
        <v>75000</v>
      </c>
      <c r="H143" s="64">
        <f>F143*G143</f>
        <v>28125</v>
      </c>
    </row>
    <row r="144" spans="3:11" ht="18.600000000000001" customHeight="1">
      <c r="C144" s="60">
        <v>2</v>
      </c>
      <c r="D144" s="56" t="s">
        <v>2723</v>
      </c>
      <c r="E144" s="61" t="s">
        <v>65</v>
      </c>
      <c r="F144" s="62">
        <v>0.03</v>
      </c>
      <c r="G144" s="63">
        <f>VLOOKUP(D144,upahbahan,3,FALSE)</f>
        <v>17500</v>
      </c>
      <c r="H144" s="64">
        <f>F144*G144</f>
        <v>525</v>
      </c>
    </row>
    <row r="145" spans="3:11" ht="18.600000000000001" customHeight="1">
      <c r="C145" s="66" t="s">
        <v>1214</v>
      </c>
      <c r="D145" s="67"/>
      <c r="E145" s="67"/>
      <c r="F145" s="67"/>
      <c r="G145" s="69"/>
      <c r="H145" s="64">
        <f>SUM(H143:H144)</f>
        <v>28650</v>
      </c>
      <c r="I145" s="59"/>
    </row>
    <row r="146" spans="3:11" ht="18.600000000000001" customHeight="1">
      <c r="C146" s="167" t="s">
        <v>1215</v>
      </c>
      <c r="D146" s="56" t="s">
        <v>1216</v>
      </c>
      <c r="E146" s="57"/>
      <c r="F146" s="57"/>
      <c r="G146" s="57"/>
      <c r="H146" s="58"/>
      <c r="I146" s="59"/>
    </row>
    <row r="147" spans="3:11" ht="18.600000000000001" customHeight="1">
      <c r="C147" s="66" t="s">
        <v>1217</v>
      </c>
      <c r="D147" s="67"/>
      <c r="E147" s="67"/>
      <c r="F147" s="67"/>
      <c r="G147" s="69"/>
      <c r="H147" s="74">
        <v>0</v>
      </c>
      <c r="I147" s="59"/>
    </row>
    <row r="148" spans="3:11" s="79" customFormat="1" ht="18.600000000000001" customHeight="1">
      <c r="C148" s="75" t="s">
        <v>1218</v>
      </c>
      <c r="D148" s="76" t="s">
        <v>1219</v>
      </c>
      <c r="E148" s="77"/>
      <c r="F148" s="77"/>
      <c r="G148" s="78"/>
      <c r="H148" s="64">
        <f>H147+H145+H141</f>
        <v>54178</v>
      </c>
      <c r="I148" s="45"/>
    </row>
    <row r="149" spans="3:11" s="79" customFormat="1" ht="18.600000000000001" customHeight="1">
      <c r="C149" s="75" t="s">
        <v>1220</v>
      </c>
      <c r="D149" s="76" t="s">
        <v>1321</v>
      </c>
      <c r="E149" s="77"/>
      <c r="F149" s="78"/>
      <c r="G149" s="80">
        <f>$M$8</f>
        <v>0.1</v>
      </c>
      <c r="H149" s="64">
        <f>H148*G149</f>
        <v>5417.8</v>
      </c>
      <c r="I149" s="45"/>
    </row>
    <row r="150" spans="3:11" s="79" customFormat="1" ht="18.600000000000001" customHeight="1" thickBot="1">
      <c r="C150" s="81" t="s">
        <v>1221</v>
      </c>
      <c r="D150" s="82" t="s">
        <v>1222</v>
      </c>
      <c r="E150" s="83"/>
      <c r="F150" s="83"/>
      <c r="G150" s="84"/>
      <c r="H150" s="85">
        <f>SUM(H148:H149)</f>
        <v>59595.8</v>
      </c>
      <c r="I150" s="45"/>
    </row>
    <row r="151" spans="3:11" ht="14.4" thickTop="1">
      <c r="C151" s="89"/>
      <c r="D151" s="90"/>
      <c r="E151" s="90"/>
      <c r="F151" s="90"/>
      <c r="G151" s="90"/>
      <c r="H151" s="91"/>
    </row>
    <row r="152" spans="3:11" ht="14.4" thickBot="1">
      <c r="C152" s="47" t="s">
        <v>2727</v>
      </c>
      <c r="D152" s="149" t="s">
        <v>2728</v>
      </c>
      <c r="E152" s="275"/>
      <c r="F152" s="275"/>
      <c r="G152" s="275"/>
      <c r="H152" s="275"/>
      <c r="I152" s="50">
        <f>ROUNDDOWN(H168,-2)</f>
        <v>63300</v>
      </c>
    </row>
    <row r="153" spans="3:11" ht="28.2" thickTop="1">
      <c r="C153" s="51" t="s">
        <v>1195</v>
      </c>
      <c r="D153" s="52" t="s">
        <v>1196</v>
      </c>
      <c r="E153" s="52" t="s">
        <v>1197</v>
      </c>
      <c r="F153" s="52" t="s">
        <v>1198</v>
      </c>
      <c r="G153" s="52" t="s">
        <v>1199</v>
      </c>
      <c r="H153" s="53" t="s">
        <v>1200</v>
      </c>
    </row>
    <row r="154" spans="3:11" ht="19.8" customHeight="1">
      <c r="C154" s="55" t="s">
        <v>1201</v>
      </c>
      <c r="D154" s="56" t="s">
        <v>1202</v>
      </c>
      <c r="E154" s="57"/>
      <c r="F154" s="57"/>
      <c r="G154" s="57"/>
      <c r="H154" s="58"/>
    </row>
    <row r="155" spans="3:11" ht="19.8" customHeight="1">
      <c r="C155" s="60">
        <v>1</v>
      </c>
      <c r="D155" s="56" t="s">
        <v>5</v>
      </c>
      <c r="E155" s="61" t="s">
        <v>6</v>
      </c>
      <c r="F155" s="101">
        <v>0.1</v>
      </c>
      <c r="G155" s="63">
        <f>VLOOKUP(D155,upahbahan,3,FALSE)</f>
        <v>100000</v>
      </c>
      <c r="H155" s="64">
        <f>F155*G155</f>
        <v>10000</v>
      </c>
    </row>
    <row r="156" spans="3:11" ht="19.8" customHeight="1">
      <c r="C156" s="60">
        <v>2</v>
      </c>
      <c r="D156" s="56" t="s">
        <v>8</v>
      </c>
      <c r="E156" s="61" t="s">
        <v>6</v>
      </c>
      <c r="F156" s="101">
        <v>0.1</v>
      </c>
      <c r="G156" s="63">
        <f>VLOOKUP(D156,upahbahan,3,FALSE)</f>
        <v>135000</v>
      </c>
      <c r="H156" s="64">
        <f>F156*G156</f>
        <v>13500</v>
      </c>
    </row>
    <row r="157" spans="3:11" ht="19.8" customHeight="1">
      <c r="C157" s="60">
        <v>3</v>
      </c>
      <c r="D157" s="56" t="s">
        <v>18</v>
      </c>
      <c r="E157" s="61" t="s">
        <v>6</v>
      </c>
      <c r="F157" s="101">
        <v>0.01</v>
      </c>
      <c r="G157" s="63">
        <f>VLOOKUP(D157,upahbahan,3,FALSE)</f>
        <v>150000</v>
      </c>
      <c r="H157" s="64">
        <f>F157*G157</f>
        <v>1500</v>
      </c>
    </row>
    <row r="158" spans="3:11" ht="19.8" customHeight="1">
      <c r="C158" s="60">
        <v>4</v>
      </c>
      <c r="D158" s="56" t="s">
        <v>19</v>
      </c>
      <c r="E158" s="61" t="s">
        <v>6</v>
      </c>
      <c r="F158" s="101">
        <v>3.3E-3</v>
      </c>
      <c r="G158" s="63">
        <f>VLOOKUP(D158,upahbahan,3,FALSE)</f>
        <v>160000</v>
      </c>
      <c r="H158" s="64">
        <f>F158*G158</f>
        <v>528</v>
      </c>
    </row>
    <row r="159" spans="3:11" ht="19.8" customHeight="1">
      <c r="C159" s="66" t="s">
        <v>1208</v>
      </c>
      <c r="D159" s="67"/>
      <c r="E159" s="67"/>
      <c r="F159" s="142"/>
      <c r="G159" s="153"/>
      <c r="H159" s="64">
        <f>SUM(H155:H158)</f>
        <v>25528</v>
      </c>
      <c r="I159" s="274"/>
      <c r="J159" s="274"/>
      <c r="K159" s="274"/>
    </row>
    <row r="160" spans="3:11" ht="19.8" customHeight="1">
      <c r="C160" s="55" t="s">
        <v>1209</v>
      </c>
      <c r="D160" s="56" t="s">
        <v>1210</v>
      </c>
      <c r="E160" s="57"/>
      <c r="F160" s="57"/>
      <c r="G160" s="57"/>
      <c r="H160" s="58"/>
    </row>
    <row r="161" spans="3:9" ht="19.8" customHeight="1">
      <c r="C161" s="60">
        <v>1</v>
      </c>
      <c r="D161" s="56" t="s">
        <v>137</v>
      </c>
      <c r="E161" s="61" t="s">
        <v>129</v>
      </c>
      <c r="F161" s="62">
        <v>0.375</v>
      </c>
      <c r="G161" s="63">
        <f>VLOOKUP(D161,upahbahan,3,FALSE)</f>
        <v>84200</v>
      </c>
      <c r="H161" s="64">
        <f>F161*G161</f>
        <v>31575</v>
      </c>
    </row>
    <row r="162" spans="3:9" ht="19.8" customHeight="1">
      <c r="C162" s="60">
        <v>2</v>
      </c>
      <c r="D162" s="56" t="s">
        <v>2723</v>
      </c>
      <c r="E162" s="61" t="s">
        <v>65</v>
      </c>
      <c r="F162" s="62">
        <v>0.03</v>
      </c>
      <c r="G162" s="63">
        <f>VLOOKUP(D162,upahbahan,3,FALSE)</f>
        <v>17500</v>
      </c>
      <c r="H162" s="64">
        <f>F162*G162</f>
        <v>525</v>
      </c>
    </row>
    <row r="163" spans="3:9" ht="19.8" customHeight="1">
      <c r="C163" s="66" t="s">
        <v>1214</v>
      </c>
      <c r="D163" s="67"/>
      <c r="E163" s="67"/>
      <c r="F163" s="67"/>
      <c r="G163" s="69"/>
      <c r="H163" s="64">
        <f>SUM(H161:H162)</f>
        <v>32100</v>
      </c>
      <c r="I163" s="59"/>
    </row>
    <row r="164" spans="3:9" ht="19.8" customHeight="1">
      <c r="C164" s="167" t="s">
        <v>1215</v>
      </c>
      <c r="D164" s="56" t="s">
        <v>1216</v>
      </c>
      <c r="E164" s="57"/>
      <c r="F164" s="57"/>
      <c r="G164" s="57"/>
      <c r="H164" s="58"/>
      <c r="I164" s="59"/>
    </row>
    <row r="165" spans="3:9" ht="19.8" customHeight="1">
      <c r="C165" s="66" t="s">
        <v>1217</v>
      </c>
      <c r="D165" s="67"/>
      <c r="E165" s="67"/>
      <c r="F165" s="67"/>
      <c r="G165" s="69"/>
      <c r="H165" s="74">
        <v>0</v>
      </c>
      <c r="I165" s="59"/>
    </row>
    <row r="166" spans="3:9" s="79" customFormat="1" ht="19.8" customHeight="1">
      <c r="C166" s="75" t="s">
        <v>1218</v>
      </c>
      <c r="D166" s="76" t="s">
        <v>1219</v>
      </c>
      <c r="E166" s="77"/>
      <c r="F166" s="77"/>
      <c r="G166" s="78"/>
      <c r="H166" s="64">
        <f>H165+H163+H159</f>
        <v>57628</v>
      </c>
      <c r="I166" s="45"/>
    </row>
    <row r="167" spans="3:9" s="79" customFormat="1" ht="19.8" customHeight="1">
      <c r="C167" s="75" t="s">
        <v>1220</v>
      </c>
      <c r="D167" s="76" t="s">
        <v>1321</v>
      </c>
      <c r="E167" s="77"/>
      <c r="F167" s="78"/>
      <c r="G167" s="80">
        <f>$M$8</f>
        <v>0.1</v>
      </c>
      <c r="H167" s="64">
        <f>H166*G167</f>
        <v>5762.8</v>
      </c>
      <c r="I167" s="45"/>
    </row>
    <row r="168" spans="3:9" s="79" customFormat="1" ht="19.8" customHeight="1" thickBot="1">
      <c r="C168" s="81" t="s">
        <v>1221</v>
      </c>
      <c r="D168" s="82" t="s">
        <v>1222</v>
      </c>
      <c r="E168" s="83"/>
      <c r="F168" s="83"/>
      <c r="G168" s="84"/>
      <c r="H168" s="85">
        <f>SUM(H166:H167)</f>
        <v>63390.8</v>
      </c>
      <c r="I168" s="45"/>
    </row>
    <row r="169" spans="3:9" ht="14.4" thickTop="1">
      <c r="C169" s="89"/>
      <c r="D169" s="90"/>
      <c r="E169" s="90"/>
      <c r="F169" s="90"/>
      <c r="G169" s="90"/>
      <c r="H169" s="91"/>
    </row>
    <row r="170" spans="3:9" ht="14.4" thickBot="1">
      <c r="C170" s="47" t="s">
        <v>2729</v>
      </c>
      <c r="D170" s="149" t="s">
        <v>1395</v>
      </c>
      <c r="E170" s="275"/>
      <c r="F170" s="275"/>
      <c r="G170" s="275"/>
      <c r="H170" s="275"/>
      <c r="I170" s="50">
        <f>ROUNDDOWN(H186,-2)</f>
        <v>224800</v>
      </c>
    </row>
    <row r="171" spans="3:9" ht="28.2" thickTop="1">
      <c r="C171" s="51" t="s">
        <v>1195</v>
      </c>
      <c r="D171" s="52" t="s">
        <v>1196</v>
      </c>
      <c r="E171" s="52" t="s">
        <v>1197</v>
      </c>
      <c r="F171" s="52" t="s">
        <v>1198</v>
      </c>
      <c r="G171" s="52" t="s">
        <v>1199</v>
      </c>
      <c r="H171" s="53" t="s">
        <v>1200</v>
      </c>
    </row>
    <row r="172" spans="3:9" ht="19.2" customHeight="1">
      <c r="C172" s="55" t="s">
        <v>1201</v>
      </c>
      <c r="D172" s="56" t="s">
        <v>1202</v>
      </c>
      <c r="E172" s="57"/>
      <c r="F172" s="57"/>
      <c r="G172" s="57"/>
      <c r="H172" s="58"/>
    </row>
    <row r="173" spans="3:9" ht="19.2" customHeight="1">
      <c r="C173" s="60">
        <v>1</v>
      </c>
      <c r="D173" s="56" t="s">
        <v>5</v>
      </c>
      <c r="E173" s="61" t="s">
        <v>6</v>
      </c>
      <c r="F173" s="101">
        <v>0.8</v>
      </c>
      <c r="G173" s="63">
        <f>VLOOKUP(D173,upahbahan,3,FALSE)</f>
        <v>100000</v>
      </c>
      <c r="H173" s="64">
        <f>F173*G173</f>
        <v>80000</v>
      </c>
    </row>
    <row r="174" spans="3:9" ht="19.2" customHeight="1">
      <c r="C174" s="60">
        <v>2</v>
      </c>
      <c r="D174" s="56" t="s">
        <v>8</v>
      </c>
      <c r="E174" s="61" t="s">
        <v>6</v>
      </c>
      <c r="F174" s="101">
        <v>0.8</v>
      </c>
      <c r="G174" s="63">
        <f>VLOOKUP(D174,upahbahan,3,FALSE)</f>
        <v>135000</v>
      </c>
      <c r="H174" s="64">
        <f>F174*G174</f>
        <v>108000</v>
      </c>
    </row>
    <row r="175" spans="3:9" ht="19.2" customHeight="1">
      <c r="C175" s="60">
        <v>3</v>
      </c>
      <c r="D175" s="56" t="s">
        <v>18</v>
      </c>
      <c r="E175" s="61" t="s">
        <v>6</v>
      </c>
      <c r="F175" s="101">
        <v>0.08</v>
      </c>
      <c r="G175" s="63">
        <f>VLOOKUP(D175,upahbahan,3,FALSE)</f>
        <v>150000</v>
      </c>
      <c r="H175" s="64">
        <f>F175*G175</f>
        <v>12000</v>
      </c>
    </row>
    <row r="176" spans="3:9" ht="19.2" customHeight="1">
      <c r="C176" s="60">
        <v>4</v>
      </c>
      <c r="D176" s="56" t="s">
        <v>19</v>
      </c>
      <c r="E176" s="61" t="s">
        <v>6</v>
      </c>
      <c r="F176" s="101">
        <v>2.6700000000000002E-2</v>
      </c>
      <c r="G176" s="63">
        <f>VLOOKUP(D176,upahbahan,3,FALSE)</f>
        <v>160000</v>
      </c>
      <c r="H176" s="64">
        <f>F176*G176</f>
        <v>4272</v>
      </c>
    </row>
    <row r="177" spans="3:11" ht="19.2" customHeight="1">
      <c r="C177" s="66" t="s">
        <v>1208</v>
      </c>
      <c r="D177" s="67"/>
      <c r="E177" s="67"/>
      <c r="F177" s="142"/>
      <c r="G177" s="153"/>
      <c r="H177" s="64">
        <f>SUM(H173:H176)</f>
        <v>204272</v>
      </c>
      <c r="I177" s="274"/>
      <c r="J177" s="274"/>
      <c r="K177" s="274"/>
    </row>
    <row r="178" spans="3:11" ht="19.2" customHeight="1">
      <c r="C178" s="55" t="s">
        <v>1209</v>
      </c>
      <c r="D178" s="56" t="s">
        <v>1210</v>
      </c>
      <c r="E178" s="57"/>
      <c r="F178" s="57"/>
      <c r="G178" s="57"/>
      <c r="H178" s="58"/>
    </row>
    <row r="179" spans="3:11" ht="19.2" customHeight="1">
      <c r="C179" s="60">
        <v>1</v>
      </c>
      <c r="D179" s="56" t="s">
        <v>2731</v>
      </c>
      <c r="E179" s="61" t="s">
        <v>42</v>
      </c>
      <c r="F179" s="62">
        <v>1.4999999999999999E-2</v>
      </c>
      <c r="G179" s="63">
        <f>VLOOKUP(D179,upahbahan,3,FALSE)</f>
        <v>0</v>
      </c>
      <c r="H179" s="64">
        <f>F179*G179</f>
        <v>0</v>
      </c>
    </row>
    <row r="180" spans="3:11" ht="19.2" customHeight="1">
      <c r="C180" s="60">
        <v>2</v>
      </c>
      <c r="D180" s="56" t="s">
        <v>2723</v>
      </c>
      <c r="E180" s="61" t="s">
        <v>65</v>
      </c>
      <c r="F180" s="62">
        <v>0.01</v>
      </c>
      <c r="G180" s="63">
        <f>VLOOKUP(D180,upahbahan,3,FALSE)</f>
        <v>17500</v>
      </c>
      <c r="H180" s="64">
        <f>F180*G180</f>
        <v>175</v>
      </c>
    </row>
    <row r="181" spans="3:11" ht="19.2" customHeight="1">
      <c r="C181" s="66" t="s">
        <v>1214</v>
      </c>
      <c r="D181" s="67"/>
      <c r="E181" s="67"/>
      <c r="F181" s="67"/>
      <c r="G181" s="69"/>
      <c r="H181" s="64">
        <f>SUM(H179:H180)</f>
        <v>175</v>
      </c>
      <c r="I181" s="59"/>
    </row>
    <row r="182" spans="3:11" ht="19.2" customHeight="1">
      <c r="C182" s="167" t="s">
        <v>1215</v>
      </c>
      <c r="D182" s="56" t="s">
        <v>1216</v>
      </c>
      <c r="E182" s="57"/>
      <c r="F182" s="57"/>
      <c r="G182" s="57"/>
      <c r="H182" s="58"/>
      <c r="I182" s="59"/>
    </row>
    <row r="183" spans="3:11" ht="19.2" customHeight="1">
      <c r="C183" s="66" t="s">
        <v>1217</v>
      </c>
      <c r="D183" s="67"/>
      <c r="E183" s="67"/>
      <c r="F183" s="67"/>
      <c r="G183" s="69"/>
      <c r="H183" s="74">
        <v>0</v>
      </c>
      <c r="I183" s="59"/>
    </row>
    <row r="184" spans="3:11" s="79" customFormat="1" ht="19.2" customHeight="1">
      <c r="C184" s="75" t="s">
        <v>1218</v>
      </c>
      <c r="D184" s="76" t="s">
        <v>1219</v>
      </c>
      <c r="E184" s="77"/>
      <c r="F184" s="77"/>
      <c r="G184" s="78"/>
      <c r="H184" s="64">
        <f>H183+H181+H177</f>
        <v>204447</v>
      </c>
      <c r="I184" s="45"/>
    </row>
    <row r="185" spans="3:11" s="79" customFormat="1" ht="19.2" customHeight="1">
      <c r="C185" s="75" t="s">
        <v>1220</v>
      </c>
      <c r="D185" s="76" t="s">
        <v>1321</v>
      </c>
      <c r="E185" s="77"/>
      <c r="F185" s="78"/>
      <c r="G185" s="80">
        <f>$M$8</f>
        <v>0.1</v>
      </c>
      <c r="H185" s="64">
        <f>H184*G185</f>
        <v>20444.7</v>
      </c>
      <c r="I185" s="45"/>
    </row>
    <row r="186" spans="3:11" s="79" customFormat="1" ht="19.2" customHeight="1" thickBot="1">
      <c r="C186" s="81" t="s">
        <v>1221</v>
      </c>
      <c r="D186" s="82" t="s">
        <v>1222</v>
      </c>
      <c r="E186" s="83"/>
      <c r="F186" s="83"/>
      <c r="G186" s="84"/>
      <c r="H186" s="85">
        <f>SUM(H184:H185)</f>
        <v>224891.7</v>
      </c>
      <c r="I186" s="45"/>
    </row>
    <row r="187" spans="3:11" s="79" customFormat="1" ht="14.4" thickTop="1">
      <c r="C187" s="54"/>
      <c r="D187" s="86"/>
      <c r="E187" s="86"/>
      <c r="F187" s="86"/>
      <c r="G187" s="86"/>
      <c r="H187" s="87"/>
      <c r="I187" s="45"/>
    </row>
    <row r="188" spans="3:11" ht="14.4" thickBot="1">
      <c r="C188" s="47" t="s">
        <v>2732</v>
      </c>
      <c r="D188" s="149" t="s">
        <v>1396</v>
      </c>
      <c r="E188" s="275"/>
      <c r="F188" s="275"/>
      <c r="G188" s="275"/>
      <c r="H188" s="275"/>
      <c r="I188" s="50">
        <f>ROUNDDOWN(H204,-2)</f>
        <v>9300</v>
      </c>
    </row>
    <row r="189" spans="3:11" ht="28.2" thickTop="1">
      <c r="C189" s="51" t="s">
        <v>1195</v>
      </c>
      <c r="D189" s="52" t="s">
        <v>1196</v>
      </c>
      <c r="E189" s="52" t="s">
        <v>1197</v>
      </c>
      <c r="F189" s="52" t="s">
        <v>1198</v>
      </c>
      <c r="G189" s="52" t="s">
        <v>1199</v>
      </c>
      <c r="H189" s="53" t="s">
        <v>1200</v>
      </c>
    </row>
    <row r="190" spans="3:11" ht="19.8" customHeight="1">
      <c r="C190" s="55" t="s">
        <v>1201</v>
      </c>
      <c r="D190" s="56" t="s">
        <v>1202</v>
      </c>
      <c r="E190" s="57"/>
      <c r="F190" s="57"/>
      <c r="G190" s="57"/>
      <c r="H190" s="58"/>
    </row>
    <row r="191" spans="3:11" ht="19.8" customHeight="1">
      <c r="C191" s="60">
        <v>1</v>
      </c>
      <c r="D191" s="56" t="s">
        <v>5</v>
      </c>
      <c r="E191" s="61" t="s">
        <v>6</v>
      </c>
      <c r="F191" s="101">
        <v>2.5000000000000001E-2</v>
      </c>
      <c r="G191" s="63">
        <f>VLOOKUP(D191,upahbahan,3,FALSE)</f>
        <v>100000</v>
      </c>
      <c r="H191" s="64">
        <f>F191*G191</f>
        <v>2500</v>
      </c>
    </row>
    <row r="192" spans="3:11" ht="19.8" customHeight="1">
      <c r="C192" s="60">
        <v>2</v>
      </c>
      <c r="D192" s="56" t="s">
        <v>8</v>
      </c>
      <c r="E192" s="61" t="s">
        <v>6</v>
      </c>
      <c r="F192" s="101">
        <v>2.5000000000000001E-2</v>
      </c>
      <c r="G192" s="63">
        <f>VLOOKUP(D192,upahbahan,3,FALSE)</f>
        <v>135000</v>
      </c>
      <c r="H192" s="64">
        <f>F192*G192</f>
        <v>3375</v>
      </c>
    </row>
    <row r="193" spans="3:11" ht="19.8" customHeight="1">
      <c r="C193" s="60">
        <v>3</v>
      </c>
      <c r="D193" s="56" t="s">
        <v>18</v>
      </c>
      <c r="E193" s="61" t="s">
        <v>6</v>
      </c>
      <c r="F193" s="101">
        <v>2.5000000000000001E-3</v>
      </c>
      <c r="G193" s="63">
        <f>VLOOKUP(D193,upahbahan,3,FALSE)</f>
        <v>150000</v>
      </c>
      <c r="H193" s="64">
        <f>F193*G193</f>
        <v>375</v>
      </c>
    </row>
    <row r="194" spans="3:11" ht="19.8" customHeight="1">
      <c r="C194" s="60">
        <v>4</v>
      </c>
      <c r="D194" s="56" t="s">
        <v>19</v>
      </c>
      <c r="E194" s="61" t="s">
        <v>6</v>
      </c>
      <c r="F194" s="101">
        <v>8.0000000000000004E-4</v>
      </c>
      <c r="G194" s="63">
        <f>VLOOKUP(D194,upahbahan,3,FALSE)</f>
        <v>160000</v>
      </c>
      <c r="H194" s="64">
        <f>F194*G194</f>
        <v>128</v>
      </c>
    </row>
    <row r="195" spans="3:11" ht="19.8" customHeight="1">
      <c r="C195" s="66" t="s">
        <v>1208</v>
      </c>
      <c r="D195" s="67"/>
      <c r="E195" s="67"/>
      <c r="F195" s="142"/>
      <c r="G195" s="153"/>
      <c r="H195" s="64">
        <f>SUM(H191:H194)</f>
        <v>6378</v>
      </c>
      <c r="I195" s="274"/>
      <c r="J195" s="274"/>
      <c r="K195" s="274"/>
    </row>
    <row r="196" spans="3:11" ht="19.8" customHeight="1">
      <c r="C196" s="55" t="s">
        <v>1209</v>
      </c>
      <c r="D196" s="56" t="s">
        <v>1210</v>
      </c>
      <c r="E196" s="57"/>
      <c r="F196" s="57"/>
      <c r="G196" s="57"/>
      <c r="H196" s="58"/>
    </row>
    <row r="197" spans="3:11" ht="19.8" customHeight="1">
      <c r="C197" s="60">
        <v>1</v>
      </c>
      <c r="D197" s="56" t="s">
        <v>128</v>
      </c>
      <c r="E197" s="61" t="s">
        <v>113</v>
      </c>
      <c r="F197" s="276">
        <v>1.1000000000000001</v>
      </c>
      <c r="G197" s="63">
        <f>VLOOKUP(D197,upahbahan,3,FALSE)</f>
        <v>0</v>
      </c>
      <c r="H197" s="64">
        <f>F197*G197</f>
        <v>0</v>
      </c>
    </row>
    <row r="198" spans="3:11" ht="19.8" customHeight="1">
      <c r="C198" s="60">
        <v>2</v>
      </c>
      <c r="D198" s="56" t="s">
        <v>268</v>
      </c>
      <c r="E198" s="61" t="s">
        <v>65</v>
      </c>
      <c r="F198" s="276">
        <v>0.01</v>
      </c>
      <c r="G198" s="63">
        <f>VLOOKUP(D198,upahbahan,3,FALSE)</f>
        <v>216000</v>
      </c>
      <c r="H198" s="64">
        <f>F198*G198</f>
        <v>2160</v>
      </c>
    </row>
    <row r="199" spans="3:11" ht="19.8" customHeight="1">
      <c r="C199" s="66" t="s">
        <v>1214</v>
      </c>
      <c r="D199" s="67"/>
      <c r="E199" s="67"/>
      <c r="F199" s="67"/>
      <c r="G199" s="69"/>
      <c r="H199" s="64">
        <f>SUM(H197:H198)</f>
        <v>2160</v>
      </c>
      <c r="I199" s="59"/>
    </row>
    <row r="200" spans="3:11" ht="19.8" customHeight="1">
      <c r="C200" s="167" t="s">
        <v>1215</v>
      </c>
      <c r="D200" s="56" t="s">
        <v>1216</v>
      </c>
      <c r="E200" s="57"/>
      <c r="F200" s="57"/>
      <c r="G200" s="57"/>
      <c r="H200" s="58"/>
      <c r="I200" s="59"/>
    </row>
    <row r="201" spans="3:11" ht="19.8" customHeight="1">
      <c r="C201" s="66" t="s">
        <v>1217</v>
      </c>
      <c r="D201" s="67"/>
      <c r="E201" s="67"/>
      <c r="F201" s="67"/>
      <c r="G201" s="69"/>
      <c r="H201" s="74">
        <v>0</v>
      </c>
      <c r="I201" s="59"/>
    </row>
    <row r="202" spans="3:11" s="79" customFormat="1" ht="19.8" customHeight="1">
      <c r="C202" s="75" t="s">
        <v>1218</v>
      </c>
      <c r="D202" s="76" t="s">
        <v>1219</v>
      </c>
      <c r="E202" s="77"/>
      <c r="F202" s="77"/>
      <c r="G202" s="78"/>
      <c r="H202" s="64">
        <f>H201+H199+H195</f>
        <v>8538</v>
      </c>
      <c r="I202" s="45"/>
    </row>
    <row r="203" spans="3:11" s="79" customFormat="1" ht="19.8" customHeight="1">
      <c r="C203" s="75" t="s">
        <v>1220</v>
      </c>
      <c r="D203" s="76" t="s">
        <v>1321</v>
      </c>
      <c r="E203" s="77"/>
      <c r="F203" s="78"/>
      <c r="G203" s="80">
        <f>$M$8</f>
        <v>0.1</v>
      </c>
      <c r="H203" s="64">
        <f>H202*G203</f>
        <v>853.80000000000007</v>
      </c>
      <c r="I203" s="45"/>
    </row>
    <row r="204" spans="3:11" s="79" customFormat="1" ht="19.8" customHeight="1" thickBot="1">
      <c r="C204" s="81" t="s">
        <v>1221</v>
      </c>
      <c r="D204" s="82" t="s">
        <v>1222</v>
      </c>
      <c r="E204" s="83"/>
      <c r="F204" s="83"/>
      <c r="G204" s="84"/>
      <c r="H204" s="85">
        <f>SUM(H202:H203)</f>
        <v>9391.7999999999993</v>
      </c>
      <c r="I204" s="45"/>
    </row>
    <row r="205" spans="3:11" s="79" customFormat="1" ht="14.4" thickTop="1">
      <c r="C205" s="54"/>
      <c r="D205" s="86"/>
      <c r="E205" s="86"/>
      <c r="F205" s="86"/>
      <c r="G205" s="86"/>
      <c r="H205" s="87"/>
      <c r="I205" s="45"/>
    </row>
    <row r="206" spans="3:11" ht="14.4" thickBot="1">
      <c r="C206" s="47" t="s">
        <v>2733</v>
      </c>
      <c r="D206" s="149" t="s">
        <v>1397</v>
      </c>
      <c r="E206" s="275"/>
      <c r="F206" s="275"/>
      <c r="G206" s="275"/>
      <c r="H206" s="275"/>
      <c r="I206" s="50">
        <f>ROUNDDOWN(H222,-2)</f>
        <v>21300</v>
      </c>
    </row>
    <row r="207" spans="3:11" ht="28.2" thickTop="1">
      <c r="C207" s="51" t="s">
        <v>1195</v>
      </c>
      <c r="D207" s="52" t="s">
        <v>1196</v>
      </c>
      <c r="E207" s="52" t="s">
        <v>1197</v>
      </c>
      <c r="F207" s="52" t="s">
        <v>1198</v>
      </c>
      <c r="G207" s="52" t="s">
        <v>1199</v>
      </c>
      <c r="H207" s="53" t="s">
        <v>1200</v>
      </c>
    </row>
    <row r="208" spans="3:11" ht="22.2" customHeight="1">
      <c r="C208" s="55" t="s">
        <v>1201</v>
      </c>
      <c r="D208" s="56" t="s">
        <v>1202</v>
      </c>
      <c r="E208" s="57"/>
      <c r="F208" s="57"/>
      <c r="G208" s="57"/>
      <c r="H208" s="58"/>
    </row>
    <row r="209" spans="3:11" ht="22.2" customHeight="1">
      <c r="C209" s="60">
        <v>1</v>
      </c>
      <c r="D209" s="56" t="s">
        <v>5</v>
      </c>
      <c r="E209" s="61" t="s">
        <v>6</v>
      </c>
      <c r="F209" s="101">
        <v>2.5000000000000001E-2</v>
      </c>
      <c r="G209" s="63">
        <f>VLOOKUP(D209,upahbahan,3,FALSE)</f>
        <v>100000</v>
      </c>
      <c r="H209" s="64">
        <f>F209*G209</f>
        <v>2500</v>
      </c>
    </row>
    <row r="210" spans="3:11" ht="22.2" customHeight="1">
      <c r="C210" s="60">
        <v>2</v>
      </c>
      <c r="D210" s="56" t="s">
        <v>8</v>
      </c>
      <c r="E210" s="61" t="s">
        <v>6</v>
      </c>
      <c r="F210" s="101">
        <v>2.5000000000000001E-2</v>
      </c>
      <c r="G210" s="63">
        <f>VLOOKUP(D210,upahbahan,3,FALSE)</f>
        <v>135000</v>
      </c>
      <c r="H210" s="64">
        <f>F210*G210</f>
        <v>3375</v>
      </c>
    </row>
    <row r="211" spans="3:11" ht="22.2" customHeight="1">
      <c r="C211" s="60">
        <v>3</v>
      </c>
      <c r="D211" s="56" t="s">
        <v>18</v>
      </c>
      <c r="E211" s="61" t="s">
        <v>6</v>
      </c>
      <c r="F211" s="101">
        <v>2.5000000000000001E-3</v>
      </c>
      <c r="G211" s="63">
        <f>VLOOKUP(D211,upahbahan,3,FALSE)</f>
        <v>150000</v>
      </c>
      <c r="H211" s="64">
        <f>F211*G211</f>
        <v>375</v>
      </c>
    </row>
    <row r="212" spans="3:11" ht="22.2" customHeight="1">
      <c r="C212" s="60">
        <v>4</v>
      </c>
      <c r="D212" s="56" t="s">
        <v>19</v>
      </c>
      <c r="E212" s="61" t="s">
        <v>6</v>
      </c>
      <c r="F212" s="101">
        <v>8.0000000000000004E-4</v>
      </c>
      <c r="G212" s="63">
        <f>VLOOKUP(D212,upahbahan,3,FALSE)</f>
        <v>160000</v>
      </c>
      <c r="H212" s="64">
        <f>F212*G212</f>
        <v>128</v>
      </c>
    </row>
    <row r="213" spans="3:11" ht="22.2" customHeight="1">
      <c r="C213" s="66" t="s">
        <v>1208</v>
      </c>
      <c r="D213" s="67"/>
      <c r="E213" s="67"/>
      <c r="F213" s="142"/>
      <c r="G213" s="153"/>
      <c r="H213" s="64">
        <f>SUM(H209:H212)</f>
        <v>6378</v>
      </c>
      <c r="I213" s="274"/>
      <c r="J213" s="274"/>
      <c r="K213" s="274"/>
    </row>
    <row r="214" spans="3:11" ht="22.2" customHeight="1">
      <c r="C214" s="55" t="s">
        <v>1209</v>
      </c>
      <c r="D214" s="56" t="s">
        <v>1210</v>
      </c>
      <c r="E214" s="57"/>
      <c r="F214" s="57"/>
      <c r="G214" s="57"/>
      <c r="H214" s="58"/>
    </row>
    <row r="215" spans="3:11" ht="22.2" customHeight="1">
      <c r="C215" s="60">
        <v>1</v>
      </c>
      <c r="D215" s="56" t="s">
        <v>386</v>
      </c>
      <c r="E215" s="61" t="s">
        <v>113</v>
      </c>
      <c r="F215" s="276">
        <v>1.1000000000000001</v>
      </c>
      <c r="G215" s="63">
        <f>VLOOKUP(D215,upahbahan,3,FALSE)</f>
        <v>9900</v>
      </c>
      <c r="H215" s="64">
        <f>F215*G215</f>
        <v>10890</v>
      </c>
    </row>
    <row r="216" spans="3:11" ht="22.2" customHeight="1">
      <c r="C216" s="60">
        <v>2</v>
      </c>
      <c r="D216" s="56" t="s">
        <v>268</v>
      </c>
      <c r="E216" s="61" t="s">
        <v>65</v>
      </c>
      <c r="F216" s="276">
        <v>0.01</v>
      </c>
      <c r="G216" s="63">
        <f>VLOOKUP(D216,upahbahan,3,FALSE)</f>
        <v>216000</v>
      </c>
      <c r="H216" s="64">
        <f>F216*G216</f>
        <v>2160</v>
      </c>
    </row>
    <row r="217" spans="3:11" ht="22.2" customHeight="1">
      <c r="C217" s="66" t="s">
        <v>1214</v>
      </c>
      <c r="D217" s="67"/>
      <c r="E217" s="67"/>
      <c r="F217" s="67"/>
      <c r="G217" s="69"/>
      <c r="H217" s="64">
        <f>SUM(H215:H216)</f>
        <v>13050</v>
      </c>
      <c r="I217" s="59"/>
    </row>
    <row r="218" spans="3:11" ht="22.2" customHeight="1">
      <c r="C218" s="167" t="s">
        <v>1215</v>
      </c>
      <c r="D218" s="56" t="s">
        <v>1216</v>
      </c>
      <c r="E218" s="57"/>
      <c r="F218" s="57"/>
      <c r="G218" s="57"/>
      <c r="H218" s="58"/>
      <c r="I218" s="59"/>
    </row>
    <row r="219" spans="3:11" ht="22.2" customHeight="1">
      <c r="C219" s="66" t="s">
        <v>1217</v>
      </c>
      <c r="D219" s="67"/>
      <c r="E219" s="67"/>
      <c r="F219" s="67"/>
      <c r="G219" s="69"/>
      <c r="H219" s="74">
        <v>0</v>
      </c>
      <c r="I219" s="59"/>
    </row>
    <row r="220" spans="3:11" s="79" customFormat="1" ht="22.2" customHeight="1">
      <c r="C220" s="75" t="s">
        <v>1218</v>
      </c>
      <c r="D220" s="76" t="s">
        <v>1219</v>
      </c>
      <c r="E220" s="77"/>
      <c r="F220" s="77"/>
      <c r="G220" s="78"/>
      <c r="H220" s="64">
        <f>H219+H217+H213</f>
        <v>19428</v>
      </c>
      <c r="I220" s="45"/>
    </row>
    <row r="221" spans="3:11" s="79" customFormat="1" ht="22.2" customHeight="1">
      <c r="C221" s="75" t="s">
        <v>1220</v>
      </c>
      <c r="D221" s="76" t="s">
        <v>1321</v>
      </c>
      <c r="E221" s="77"/>
      <c r="F221" s="78"/>
      <c r="G221" s="80">
        <f>$M$8</f>
        <v>0.1</v>
      </c>
      <c r="H221" s="64">
        <f>H220*G221</f>
        <v>1942.8000000000002</v>
      </c>
      <c r="I221" s="45"/>
    </row>
    <row r="222" spans="3:11" s="79" customFormat="1" ht="22.2" customHeight="1" thickBot="1">
      <c r="C222" s="81" t="s">
        <v>1221</v>
      </c>
      <c r="D222" s="82" t="s">
        <v>1222</v>
      </c>
      <c r="E222" s="83"/>
      <c r="F222" s="83"/>
      <c r="G222" s="84"/>
      <c r="H222" s="85">
        <f>SUM(H220:H221)</f>
        <v>21370.799999999999</v>
      </c>
      <c r="I222" s="45"/>
    </row>
    <row r="223" spans="3:11" s="79" customFormat="1" ht="14.4" thickTop="1">
      <c r="C223" s="54"/>
      <c r="D223" s="86"/>
      <c r="E223" s="86"/>
      <c r="F223" s="86"/>
      <c r="G223" s="86"/>
      <c r="H223" s="87"/>
      <c r="I223" s="45"/>
    </row>
    <row r="224" spans="3:11" ht="14.4" thickBot="1">
      <c r="C224" s="47" t="s">
        <v>2734</v>
      </c>
      <c r="D224" s="149" t="s">
        <v>1398</v>
      </c>
      <c r="E224" s="275"/>
      <c r="F224" s="275"/>
      <c r="G224" s="275"/>
      <c r="H224" s="275"/>
      <c r="I224" s="50">
        <f>ROUNDDOWN(H240,-2)</f>
        <v>416500</v>
      </c>
    </row>
    <row r="225" spans="3:11" ht="28.2" thickTop="1">
      <c r="C225" s="51" t="s">
        <v>1195</v>
      </c>
      <c r="D225" s="52" t="s">
        <v>1196</v>
      </c>
      <c r="E225" s="52" t="s">
        <v>1197</v>
      </c>
      <c r="F225" s="52" t="s">
        <v>1198</v>
      </c>
      <c r="G225" s="52" t="s">
        <v>1199</v>
      </c>
      <c r="H225" s="53" t="s">
        <v>1200</v>
      </c>
    </row>
    <row r="226" spans="3:11" ht="19.8" customHeight="1">
      <c r="C226" s="55" t="s">
        <v>1201</v>
      </c>
      <c r="D226" s="56" t="s">
        <v>1202</v>
      </c>
      <c r="E226" s="57"/>
      <c r="F226" s="57"/>
      <c r="G226" s="57"/>
      <c r="H226" s="58"/>
    </row>
    <row r="227" spans="3:11" ht="19.8" customHeight="1">
      <c r="C227" s="60">
        <v>1</v>
      </c>
      <c r="D227" s="56" t="s">
        <v>5</v>
      </c>
      <c r="E227" s="61" t="s">
        <v>6</v>
      </c>
      <c r="F227" s="101">
        <v>0.1</v>
      </c>
      <c r="G227" s="63">
        <f>VLOOKUP(D227,upahbahan,3,FALSE)</f>
        <v>100000</v>
      </c>
      <c r="H227" s="64">
        <f>F227*G227</f>
        <v>10000</v>
      </c>
    </row>
    <row r="228" spans="3:11" ht="19.8" customHeight="1">
      <c r="C228" s="60">
        <v>2</v>
      </c>
      <c r="D228" s="56" t="s">
        <v>8</v>
      </c>
      <c r="E228" s="61" t="s">
        <v>6</v>
      </c>
      <c r="F228" s="101">
        <v>0.1</v>
      </c>
      <c r="G228" s="63">
        <f>VLOOKUP(D228,upahbahan,3,FALSE)</f>
        <v>135000</v>
      </c>
      <c r="H228" s="64">
        <f>F228*G228</f>
        <v>13500</v>
      </c>
    </row>
    <row r="229" spans="3:11" ht="19.8" customHeight="1">
      <c r="C229" s="60">
        <v>3</v>
      </c>
      <c r="D229" s="56" t="s">
        <v>18</v>
      </c>
      <c r="E229" s="61" t="s">
        <v>6</v>
      </c>
      <c r="F229" s="101">
        <v>0.01</v>
      </c>
      <c r="G229" s="63">
        <f>VLOOKUP(D229,upahbahan,3,FALSE)</f>
        <v>150000</v>
      </c>
      <c r="H229" s="64">
        <f>F229*G229</f>
        <v>1500</v>
      </c>
    </row>
    <row r="230" spans="3:11" ht="19.8" customHeight="1">
      <c r="C230" s="60">
        <v>4</v>
      </c>
      <c r="D230" s="56" t="s">
        <v>19</v>
      </c>
      <c r="E230" s="61" t="s">
        <v>6</v>
      </c>
      <c r="F230" s="101">
        <v>3.3E-3</v>
      </c>
      <c r="G230" s="63">
        <f>VLOOKUP(D230,upahbahan,3,FALSE)</f>
        <v>160000</v>
      </c>
      <c r="H230" s="64">
        <f>F230*G230</f>
        <v>528</v>
      </c>
    </row>
    <row r="231" spans="3:11" ht="19.8" customHeight="1">
      <c r="C231" s="66" t="s">
        <v>1208</v>
      </c>
      <c r="D231" s="67"/>
      <c r="E231" s="67"/>
      <c r="F231" s="142"/>
      <c r="G231" s="153"/>
      <c r="H231" s="64">
        <f>SUM(H227:H230)</f>
        <v>25528</v>
      </c>
      <c r="I231" s="274"/>
      <c r="J231" s="274"/>
      <c r="K231" s="274"/>
    </row>
    <row r="232" spans="3:11" ht="19.8" customHeight="1">
      <c r="C232" s="55" t="s">
        <v>1209</v>
      </c>
      <c r="D232" s="56" t="s">
        <v>1210</v>
      </c>
      <c r="E232" s="57"/>
      <c r="F232" s="57"/>
      <c r="G232" s="57"/>
      <c r="H232" s="58"/>
    </row>
    <row r="233" spans="3:11" ht="19.8" customHeight="1">
      <c r="C233" s="60">
        <v>1</v>
      </c>
      <c r="D233" s="72" t="s">
        <v>771</v>
      </c>
      <c r="E233" s="73" t="s">
        <v>129</v>
      </c>
      <c r="F233" s="101">
        <v>1.75</v>
      </c>
      <c r="G233" s="63">
        <f>VLOOKUP(D233,upahbahan,3,FALSE)</f>
        <v>200000</v>
      </c>
      <c r="H233" s="64">
        <f>F233*G233</f>
        <v>350000</v>
      </c>
    </row>
    <row r="234" spans="3:11" ht="19.8" customHeight="1">
      <c r="C234" s="60">
        <v>2</v>
      </c>
      <c r="D234" s="72" t="s">
        <v>268</v>
      </c>
      <c r="E234" s="73" t="s">
        <v>65</v>
      </c>
      <c r="F234" s="101">
        <v>1.4500000000000001E-2</v>
      </c>
      <c r="G234" s="63">
        <f>VLOOKUP(D234,upahbahan,3,FALSE)</f>
        <v>216000</v>
      </c>
      <c r="H234" s="64">
        <f>F234*G234</f>
        <v>3132</v>
      </c>
    </row>
    <row r="235" spans="3:11" ht="19.8" customHeight="1">
      <c r="C235" s="66" t="s">
        <v>1214</v>
      </c>
      <c r="D235" s="67"/>
      <c r="E235" s="67"/>
      <c r="F235" s="67"/>
      <c r="G235" s="69"/>
      <c r="H235" s="64">
        <f>SUM(H233:H234)</f>
        <v>353132</v>
      </c>
      <c r="I235" s="59"/>
    </row>
    <row r="236" spans="3:11" ht="19.8" customHeight="1">
      <c r="C236" s="167" t="s">
        <v>1215</v>
      </c>
      <c r="D236" s="56" t="s">
        <v>1216</v>
      </c>
      <c r="E236" s="57"/>
      <c r="F236" s="57"/>
      <c r="G236" s="57"/>
      <c r="H236" s="58"/>
      <c r="I236" s="59"/>
    </row>
    <row r="237" spans="3:11" ht="19.8" customHeight="1">
      <c r="C237" s="66" t="s">
        <v>1217</v>
      </c>
      <c r="D237" s="67"/>
      <c r="E237" s="67"/>
      <c r="F237" s="67"/>
      <c r="G237" s="69"/>
      <c r="H237" s="74">
        <v>0</v>
      </c>
      <c r="I237" s="59"/>
    </row>
    <row r="238" spans="3:11" s="79" customFormat="1" ht="19.8" customHeight="1">
      <c r="C238" s="75" t="s">
        <v>1218</v>
      </c>
      <c r="D238" s="76" t="s">
        <v>1219</v>
      </c>
      <c r="E238" s="77"/>
      <c r="F238" s="77"/>
      <c r="G238" s="78"/>
      <c r="H238" s="64">
        <f>H237+H235+H231</f>
        <v>378660</v>
      </c>
      <c r="I238" s="45"/>
    </row>
    <row r="239" spans="3:11" s="79" customFormat="1" ht="19.8" customHeight="1">
      <c r="C239" s="75" t="s">
        <v>1220</v>
      </c>
      <c r="D239" s="76" t="s">
        <v>1321</v>
      </c>
      <c r="E239" s="77"/>
      <c r="F239" s="78"/>
      <c r="G239" s="80">
        <f>$M$8</f>
        <v>0.1</v>
      </c>
      <c r="H239" s="64">
        <f>H238*G239</f>
        <v>37866</v>
      </c>
      <c r="I239" s="45"/>
    </row>
    <row r="240" spans="3:11" s="79" customFormat="1" ht="19.8" customHeight="1" thickBot="1">
      <c r="C240" s="81" t="s">
        <v>1221</v>
      </c>
      <c r="D240" s="82" t="s">
        <v>1222</v>
      </c>
      <c r="E240" s="83"/>
      <c r="F240" s="83"/>
      <c r="G240" s="84"/>
      <c r="H240" s="85">
        <f>SUM(H238:H239)</f>
        <v>416526</v>
      </c>
      <c r="I240" s="45"/>
    </row>
    <row r="241" spans="3:11" s="79" customFormat="1" ht="14.4" thickTop="1">
      <c r="C241" s="54"/>
      <c r="D241" s="86"/>
      <c r="E241" s="86"/>
      <c r="F241" s="86"/>
      <c r="G241" s="86"/>
      <c r="H241" s="87"/>
      <c r="I241" s="45"/>
    </row>
    <row r="242" spans="3:11" s="79" customFormat="1">
      <c r="C242" s="43" t="s">
        <v>2735</v>
      </c>
      <c r="D242" s="128" t="s">
        <v>2736</v>
      </c>
      <c r="E242" s="86"/>
      <c r="F242" s="86"/>
      <c r="G242" s="86"/>
      <c r="H242" s="87"/>
      <c r="I242" s="45"/>
    </row>
    <row r="243" spans="3:11" ht="14.4" thickBot="1">
      <c r="C243" s="47" t="s">
        <v>2737</v>
      </c>
      <c r="D243" s="149" t="s">
        <v>1399</v>
      </c>
      <c r="E243" s="275"/>
      <c r="F243" s="275"/>
      <c r="G243" s="275"/>
      <c r="H243" s="275"/>
      <c r="I243" s="50">
        <f>ROUNDDOWN(H259,-2)</f>
        <v>120400</v>
      </c>
    </row>
    <row r="244" spans="3:11" ht="28.2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</row>
    <row r="245" spans="3:11" ht="19.8" customHeight="1">
      <c r="C245" s="55" t="s">
        <v>1201</v>
      </c>
      <c r="D245" s="56" t="s">
        <v>1202</v>
      </c>
      <c r="E245" s="57"/>
      <c r="F245" s="57"/>
      <c r="G245" s="57"/>
      <c r="H245" s="58"/>
    </row>
    <row r="246" spans="3:11" ht="19.8" customHeight="1">
      <c r="C246" s="60">
        <v>1</v>
      </c>
      <c r="D246" s="56" t="s">
        <v>5</v>
      </c>
      <c r="E246" s="61" t="s">
        <v>6</v>
      </c>
      <c r="F246" s="101">
        <v>0.35</v>
      </c>
      <c r="G246" s="63">
        <f>VLOOKUP(D246,upahbahan,3,FALSE)</f>
        <v>100000</v>
      </c>
      <c r="H246" s="64">
        <f>F246*G246</f>
        <v>35000</v>
      </c>
    </row>
    <row r="247" spans="3:11" ht="19.8" customHeight="1">
      <c r="C247" s="60">
        <v>2</v>
      </c>
      <c r="D247" s="56" t="s">
        <v>9</v>
      </c>
      <c r="E247" s="61" t="s">
        <v>6</v>
      </c>
      <c r="F247" s="101">
        <v>0.35</v>
      </c>
      <c r="G247" s="63">
        <f>VLOOKUP(D247,upahbahan,3,FALSE)</f>
        <v>135000</v>
      </c>
      <c r="H247" s="64">
        <f>F247*G247</f>
        <v>47250</v>
      </c>
    </row>
    <row r="248" spans="3:11" ht="19.8" customHeight="1">
      <c r="C248" s="60">
        <v>3</v>
      </c>
      <c r="D248" s="56" t="s">
        <v>18</v>
      </c>
      <c r="E248" s="61" t="s">
        <v>6</v>
      </c>
      <c r="F248" s="101">
        <v>3.5000000000000003E-2</v>
      </c>
      <c r="G248" s="63">
        <f>VLOOKUP(D248,upahbahan,3,FALSE)</f>
        <v>150000</v>
      </c>
      <c r="H248" s="64">
        <f>F248*G248</f>
        <v>5250.0000000000009</v>
      </c>
    </row>
    <row r="249" spans="3:11" ht="19.8" customHeight="1">
      <c r="C249" s="60">
        <v>4</v>
      </c>
      <c r="D249" s="56" t="s">
        <v>19</v>
      </c>
      <c r="E249" s="61" t="s">
        <v>6</v>
      </c>
      <c r="F249" s="101">
        <v>1.17E-2</v>
      </c>
      <c r="G249" s="63">
        <f>VLOOKUP(D249,upahbahan,3,FALSE)</f>
        <v>160000</v>
      </c>
      <c r="H249" s="64">
        <f>F249*G249</f>
        <v>1872</v>
      </c>
    </row>
    <row r="250" spans="3:11" ht="19.8" customHeight="1">
      <c r="C250" s="66" t="s">
        <v>1208</v>
      </c>
      <c r="D250" s="67"/>
      <c r="E250" s="67"/>
      <c r="F250" s="142"/>
      <c r="G250" s="153"/>
      <c r="H250" s="64">
        <f>SUM(H246:H249)</f>
        <v>89372</v>
      </c>
      <c r="I250" s="274"/>
      <c r="J250" s="274"/>
      <c r="K250" s="274"/>
    </row>
    <row r="251" spans="3:11" ht="19.8" customHeight="1">
      <c r="C251" s="55" t="s">
        <v>1209</v>
      </c>
      <c r="D251" s="56" t="s">
        <v>1210</v>
      </c>
      <c r="E251" s="57"/>
      <c r="F251" s="57"/>
      <c r="G251" s="57"/>
      <c r="H251" s="58"/>
    </row>
    <row r="252" spans="3:11" ht="19.8" customHeight="1">
      <c r="C252" s="60">
        <v>1</v>
      </c>
      <c r="D252" s="72" t="s">
        <v>222</v>
      </c>
      <c r="E252" s="73" t="s">
        <v>113</v>
      </c>
      <c r="F252" s="62">
        <v>4</v>
      </c>
      <c r="G252" s="63">
        <f>VLOOKUP(D252,upahbahan,3,FALSE)</f>
        <v>4200</v>
      </c>
      <c r="H252" s="64">
        <f>F252*G252</f>
        <v>16800</v>
      </c>
    </row>
    <row r="253" spans="3:11" ht="19.8" customHeight="1">
      <c r="C253" s="60">
        <v>2</v>
      </c>
      <c r="D253" s="72" t="s">
        <v>254</v>
      </c>
      <c r="E253" s="73" t="s">
        <v>65</v>
      </c>
      <c r="F253" s="62">
        <v>0.05</v>
      </c>
      <c r="G253" s="63">
        <f>VLOOKUP(D253,upahbahan,3,FALSE)</f>
        <v>66600</v>
      </c>
      <c r="H253" s="64">
        <f>F253*G253</f>
        <v>3330</v>
      </c>
    </row>
    <row r="254" spans="3:11" ht="19.8" customHeight="1">
      <c r="C254" s="66" t="s">
        <v>1214</v>
      </c>
      <c r="D254" s="67"/>
      <c r="E254" s="67"/>
      <c r="F254" s="67"/>
      <c r="G254" s="69"/>
      <c r="H254" s="64">
        <f>SUM(H252:H253)</f>
        <v>20130</v>
      </c>
      <c r="I254" s="59"/>
    </row>
    <row r="255" spans="3:11" ht="19.8" customHeight="1">
      <c r="C255" s="167" t="s">
        <v>1215</v>
      </c>
      <c r="D255" s="56" t="s">
        <v>1216</v>
      </c>
      <c r="E255" s="57"/>
      <c r="F255" s="57"/>
      <c r="G255" s="57"/>
      <c r="H255" s="58"/>
      <c r="I255" s="59"/>
    </row>
    <row r="256" spans="3:11" ht="19.8" customHeight="1">
      <c r="C256" s="66" t="s">
        <v>1217</v>
      </c>
      <c r="D256" s="67"/>
      <c r="E256" s="67"/>
      <c r="F256" s="67"/>
      <c r="G256" s="69"/>
      <c r="H256" s="74">
        <v>0</v>
      </c>
      <c r="I256" s="59"/>
    </row>
    <row r="257" spans="3:11" s="79" customFormat="1" ht="19.8" customHeight="1">
      <c r="C257" s="75" t="s">
        <v>1218</v>
      </c>
      <c r="D257" s="76" t="s">
        <v>1219</v>
      </c>
      <c r="E257" s="77"/>
      <c r="F257" s="77"/>
      <c r="G257" s="78"/>
      <c r="H257" s="64">
        <f>H256+H254+H250</f>
        <v>109502</v>
      </c>
      <c r="I257" s="45"/>
    </row>
    <row r="258" spans="3:11" s="79" customFormat="1" ht="19.8" customHeight="1">
      <c r="C258" s="75" t="s">
        <v>1220</v>
      </c>
      <c r="D258" s="76" t="s">
        <v>1321</v>
      </c>
      <c r="E258" s="77"/>
      <c r="F258" s="78"/>
      <c r="G258" s="80">
        <f>$M$8</f>
        <v>0.1</v>
      </c>
      <c r="H258" s="64">
        <f>H257*G258</f>
        <v>10950.2</v>
      </c>
      <c r="I258" s="45"/>
    </row>
    <row r="259" spans="3:11" s="79" customFormat="1" ht="19.8" customHeight="1" thickBot="1">
      <c r="C259" s="81" t="s">
        <v>1221</v>
      </c>
      <c r="D259" s="82" t="s">
        <v>1222</v>
      </c>
      <c r="E259" s="83"/>
      <c r="F259" s="83"/>
      <c r="G259" s="84"/>
      <c r="H259" s="85">
        <f>SUM(H257:H258)</f>
        <v>120452.2</v>
      </c>
      <c r="I259" s="45"/>
    </row>
    <row r="260" spans="3:11" s="79" customFormat="1" ht="19.8" customHeight="1" thickTop="1">
      <c r="C260" s="54"/>
      <c r="D260" s="86"/>
      <c r="E260" s="86"/>
      <c r="F260" s="86"/>
      <c r="G260" s="86"/>
      <c r="H260" s="87"/>
      <c r="I260" s="45"/>
    </row>
    <row r="261" spans="3:11" ht="14.4" thickBot="1">
      <c r="C261" s="47" t="s">
        <v>2738</v>
      </c>
      <c r="D261" s="149" t="s">
        <v>2739</v>
      </c>
      <c r="E261" s="275"/>
      <c r="F261" s="275"/>
      <c r="G261" s="275"/>
      <c r="H261" s="275"/>
      <c r="I261" s="50">
        <f>ROUNDDOWN(H277,-2)</f>
        <v>123000</v>
      </c>
      <c r="J261" s="59" t="s">
        <v>6451</v>
      </c>
      <c r="K261" s="59" t="s">
        <v>6525</v>
      </c>
    </row>
    <row r="262" spans="3:11" ht="28.2" thickTop="1">
      <c r="C262" s="51" t="s">
        <v>1195</v>
      </c>
      <c r="D262" s="52" t="s">
        <v>1196</v>
      </c>
      <c r="E262" s="52" t="s">
        <v>1197</v>
      </c>
      <c r="F262" s="52" t="s">
        <v>1198</v>
      </c>
      <c r="G262" s="52" t="s">
        <v>1199</v>
      </c>
      <c r="H262" s="53" t="s">
        <v>1200</v>
      </c>
    </row>
    <row r="263" spans="3:11" ht="19.2" customHeight="1">
      <c r="C263" s="55" t="s">
        <v>1201</v>
      </c>
      <c r="D263" s="56" t="s">
        <v>1202</v>
      </c>
      <c r="E263" s="57"/>
      <c r="F263" s="57"/>
      <c r="G263" s="57"/>
      <c r="H263" s="58"/>
    </row>
    <row r="264" spans="3:11" ht="19.2" customHeight="1">
      <c r="C264" s="60">
        <v>1</v>
      </c>
      <c r="D264" s="56" t="s">
        <v>5</v>
      </c>
      <c r="E264" s="61" t="s">
        <v>6</v>
      </c>
      <c r="F264" s="62">
        <v>0.15</v>
      </c>
      <c r="G264" s="63">
        <f>VLOOKUP(D264,upahbahan,3,FALSE)</f>
        <v>100000</v>
      </c>
      <c r="H264" s="64">
        <f>F264*G264</f>
        <v>15000</v>
      </c>
    </row>
    <row r="265" spans="3:11" ht="19.2" customHeight="1">
      <c r="C265" s="60">
        <v>2</v>
      </c>
      <c r="D265" s="56" t="s">
        <v>8</v>
      </c>
      <c r="E265" s="61" t="s">
        <v>6</v>
      </c>
      <c r="F265" s="62">
        <v>0.3</v>
      </c>
      <c r="G265" s="63">
        <f>VLOOKUP(D265,upahbahan,3,FALSE)</f>
        <v>135000</v>
      </c>
      <c r="H265" s="64">
        <f>F265*G265</f>
        <v>40500</v>
      </c>
    </row>
    <row r="266" spans="3:11" ht="19.2" customHeight="1">
      <c r="C266" s="60">
        <v>3</v>
      </c>
      <c r="D266" s="56" t="s">
        <v>18</v>
      </c>
      <c r="E266" s="61" t="s">
        <v>6</v>
      </c>
      <c r="F266" s="62">
        <v>0.03</v>
      </c>
      <c r="G266" s="63">
        <f>VLOOKUP(D266,upahbahan,3,FALSE)</f>
        <v>150000</v>
      </c>
      <c r="H266" s="64">
        <f>F266*G266</f>
        <v>4500</v>
      </c>
    </row>
    <row r="267" spans="3:11" ht="19.2" customHeight="1">
      <c r="C267" s="60">
        <v>4</v>
      </c>
      <c r="D267" s="56" t="s">
        <v>19</v>
      </c>
      <c r="E267" s="61" t="s">
        <v>6</v>
      </c>
      <c r="F267" s="62">
        <v>0.01</v>
      </c>
      <c r="G267" s="63">
        <f>VLOOKUP(D267,upahbahan,3,FALSE)</f>
        <v>160000</v>
      </c>
      <c r="H267" s="64">
        <f>F267*G267</f>
        <v>1600</v>
      </c>
    </row>
    <row r="268" spans="3:11" ht="19.2" customHeight="1">
      <c r="C268" s="66" t="s">
        <v>1208</v>
      </c>
      <c r="D268" s="67"/>
      <c r="E268" s="67"/>
      <c r="F268" s="142"/>
      <c r="G268" s="153"/>
      <c r="H268" s="64">
        <f>SUM(H264:H267)</f>
        <v>61600</v>
      </c>
      <c r="I268" s="274"/>
      <c r="J268" s="274"/>
      <c r="K268" s="274"/>
    </row>
    <row r="269" spans="3:11" ht="19.2" customHeight="1">
      <c r="C269" s="55" t="s">
        <v>1209</v>
      </c>
      <c r="D269" s="56" t="s">
        <v>1210</v>
      </c>
      <c r="E269" s="57"/>
      <c r="F269" s="57"/>
      <c r="G269" s="57"/>
      <c r="H269" s="58"/>
    </row>
    <row r="270" spans="3:11" ht="19.2" customHeight="1">
      <c r="C270" s="60">
        <v>1</v>
      </c>
      <c r="D270" s="72" t="s">
        <v>1793</v>
      </c>
      <c r="E270" s="73" t="s">
        <v>42</v>
      </c>
      <c r="F270" s="101">
        <v>1.4999999999999999E-2</v>
      </c>
      <c r="G270" s="63">
        <f>VLOOKUP(D270,upahbahan,3,FALSE)</f>
        <v>3015000</v>
      </c>
      <c r="H270" s="64">
        <f>F270*G270</f>
        <v>45225</v>
      </c>
    </row>
    <row r="271" spans="3:11" ht="19.2" customHeight="1">
      <c r="C271" s="60">
        <v>2</v>
      </c>
      <c r="D271" s="72" t="s">
        <v>6538</v>
      </c>
      <c r="E271" s="73" t="s">
        <v>65</v>
      </c>
      <c r="F271" s="101">
        <v>0.25</v>
      </c>
      <c r="G271" s="63">
        <f>VLOOKUP(D271,upahbahan,3,FALSE)</f>
        <v>20000</v>
      </c>
      <c r="H271" s="64">
        <f>F271*G271</f>
        <v>5000</v>
      </c>
    </row>
    <row r="272" spans="3:11" ht="19.2" customHeight="1">
      <c r="C272" s="66" t="s">
        <v>1214</v>
      </c>
      <c r="D272" s="67"/>
      <c r="E272" s="67"/>
      <c r="F272" s="67"/>
      <c r="G272" s="69"/>
      <c r="H272" s="64">
        <f>SUM(H270:H271)</f>
        <v>50225</v>
      </c>
      <c r="I272" s="59"/>
    </row>
    <row r="273" spans="3:11" ht="19.2" customHeight="1">
      <c r="C273" s="167" t="s">
        <v>1215</v>
      </c>
      <c r="D273" s="56" t="s">
        <v>1216</v>
      </c>
      <c r="E273" s="57"/>
      <c r="F273" s="57"/>
      <c r="G273" s="57"/>
      <c r="H273" s="58"/>
      <c r="I273" s="59"/>
    </row>
    <row r="274" spans="3:11" ht="19.2" customHeight="1">
      <c r="C274" s="66" t="s">
        <v>1217</v>
      </c>
      <c r="D274" s="67"/>
      <c r="E274" s="67"/>
      <c r="F274" s="67"/>
      <c r="G274" s="69"/>
      <c r="H274" s="74">
        <v>0</v>
      </c>
      <c r="I274" s="59"/>
    </row>
    <row r="275" spans="3:11" s="79" customFormat="1" ht="19.2" customHeight="1">
      <c r="C275" s="75" t="s">
        <v>1218</v>
      </c>
      <c r="D275" s="76" t="s">
        <v>1219</v>
      </c>
      <c r="E275" s="77"/>
      <c r="F275" s="77"/>
      <c r="G275" s="78"/>
      <c r="H275" s="64">
        <f>H274+H272+H268</f>
        <v>111825</v>
      </c>
      <c r="I275" s="45"/>
    </row>
    <row r="276" spans="3:11" s="79" customFormat="1" ht="19.2" customHeight="1">
      <c r="C276" s="75" t="s">
        <v>1220</v>
      </c>
      <c r="D276" s="76" t="s">
        <v>1321</v>
      </c>
      <c r="E276" s="77"/>
      <c r="F276" s="78"/>
      <c r="G276" s="80">
        <f>$M$8</f>
        <v>0.1</v>
      </c>
      <c r="H276" s="64">
        <f>H275*G276</f>
        <v>11182.5</v>
      </c>
      <c r="I276" s="45"/>
    </row>
    <row r="277" spans="3:11" s="79" customFormat="1" ht="19.2" customHeight="1" thickBot="1">
      <c r="C277" s="81" t="s">
        <v>1221</v>
      </c>
      <c r="D277" s="82" t="s">
        <v>1222</v>
      </c>
      <c r="E277" s="83"/>
      <c r="F277" s="83"/>
      <c r="G277" s="84"/>
      <c r="H277" s="85">
        <f>SUM(H275:H276)</f>
        <v>123007.5</v>
      </c>
      <c r="I277" s="45"/>
    </row>
    <row r="278" spans="3:11" ht="14.4" thickTop="1"/>
    <row r="279" spans="3:11" ht="14.4" thickBot="1">
      <c r="C279" s="47" t="s">
        <v>2740</v>
      </c>
      <c r="D279" s="149" t="s">
        <v>2741</v>
      </c>
      <c r="E279" s="275"/>
      <c r="F279" s="275"/>
      <c r="G279" s="275"/>
      <c r="H279" s="275"/>
      <c r="I279" s="50">
        <f>ROUNDDOWN(H295,-2)</f>
        <v>132800</v>
      </c>
      <c r="J279" s="59" t="s">
        <v>6451</v>
      </c>
      <c r="K279" s="59" t="s">
        <v>6525</v>
      </c>
    </row>
    <row r="280" spans="3:11" ht="28.2" thickTop="1">
      <c r="C280" s="51" t="s">
        <v>1195</v>
      </c>
      <c r="D280" s="52" t="s">
        <v>1196</v>
      </c>
      <c r="E280" s="52" t="s">
        <v>1197</v>
      </c>
      <c r="F280" s="52" t="s">
        <v>1198</v>
      </c>
      <c r="G280" s="52" t="s">
        <v>1199</v>
      </c>
      <c r="H280" s="53" t="s">
        <v>1200</v>
      </c>
    </row>
    <row r="281" spans="3:11" ht="19.2" customHeight="1">
      <c r="C281" s="55" t="s">
        <v>1201</v>
      </c>
      <c r="D281" s="56" t="s">
        <v>1202</v>
      </c>
      <c r="E281" s="57"/>
      <c r="F281" s="57"/>
      <c r="G281" s="57"/>
      <c r="H281" s="58"/>
    </row>
    <row r="282" spans="3:11" ht="19.2" customHeight="1">
      <c r="C282" s="60">
        <v>1</v>
      </c>
      <c r="D282" s="56" t="s">
        <v>5</v>
      </c>
      <c r="E282" s="61" t="s">
        <v>6</v>
      </c>
      <c r="F282" s="62">
        <v>0.2</v>
      </c>
      <c r="G282" s="63">
        <f>VLOOKUP(D282,upahbahan,3,FALSE)</f>
        <v>100000</v>
      </c>
      <c r="H282" s="64">
        <f>F282*G282</f>
        <v>20000</v>
      </c>
    </row>
    <row r="283" spans="3:11" ht="19.2" customHeight="1">
      <c r="C283" s="60">
        <v>2</v>
      </c>
      <c r="D283" s="56" t="s">
        <v>8</v>
      </c>
      <c r="E283" s="61" t="s">
        <v>6</v>
      </c>
      <c r="F283" s="62">
        <v>0.3</v>
      </c>
      <c r="G283" s="63">
        <f>VLOOKUP(D283,upahbahan,3,FALSE)</f>
        <v>135000</v>
      </c>
      <c r="H283" s="64">
        <f>F283*G283</f>
        <v>40500</v>
      </c>
    </row>
    <row r="284" spans="3:11" ht="19.2" customHeight="1">
      <c r="C284" s="60">
        <v>3</v>
      </c>
      <c r="D284" s="56" t="s">
        <v>18</v>
      </c>
      <c r="E284" s="61" t="s">
        <v>6</v>
      </c>
      <c r="F284" s="62">
        <v>0.03</v>
      </c>
      <c r="G284" s="63">
        <f>VLOOKUP(D284,upahbahan,3,FALSE)</f>
        <v>150000</v>
      </c>
      <c r="H284" s="64">
        <f>F284*G284</f>
        <v>4500</v>
      </c>
    </row>
    <row r="285" spans="3:11" ht="19.2" customHeight="1">
      <c r="C285" s="60">
        <v>4</v>
      </c>
      <c r="D285" s="56" t="s">
        <v>19</v>
      </c>
      <c r="E285" s="61" t="s">
        <v>6</v>
      </c>
      <c r="F285" s="62">
        <v>0.01</v>
      </c>
      <c r="G285" s="63">
        <f>VLOOKUP(D285,upahbahan,3,FALSE)</f>
        <v>160000</v>
      </c>
      <c r="H285" s="64">
        <f>F285*G285</f>
        <v>1600</v>
      </c>
    </row>
    <row r="286" spans="3:11" ht="19.2" customHeight="1">
      <c r="C286" s="66" t="s">
        <v>1208</v>
      </c>
      <c r="D286" s="67"/>
      <c r="E286" s="67"/>
      <c r="F286" s="142"/>
      <c r="G286" s="153"/>
      <c r="H286" s="64">
        <f>SUM(H282:H285)</f>
        <v>66600</v>
      </c>
      <c r="I286" s="274"/>
      <c r="J286" s="274"/>
      <c r="K286" s="274"/>
    </row>
    <row r="287" spans="3:11" ht="19.2" customHeight="1">
      <c r="C287" s="55" t="s">
        <v>1209</v>
      </c>
      <c r="D287" s="56" t="s">
        <v>1210</v>
      </c>
      <c r="E287" s="57"/>
      <c r="F287" s="57"/>
      <c r="G287" s="57"/>
      <c r="H287" s="58"/>
    </row>
    <row r="288" spans="3:11" ht="19.2" customHeight="1">
      <c r="C288" s="60">
        <v>1</v>
      </c>
      <c r="D288" s="72" t="s">
        <v>1793</v>
      </c>
      <c r="E288" s="73" t="s">
        <v>42</v>
      </c>
      <c r="F288" s="101">
        <v>1.6299999999999999E-2</v>
      </c>
      <c r="G288" s="63">
        <f>VLOOKUP(D288,upahbahan,3,FALSE)</f>
        <v>3015000</v>
      </c>
      <c r="H288" s="64">
        <f>F288*G288</f>
        <v>49144.499999999993</v>
      </c>
    </row>
    <row r="289" spans="3:9" ht="19.2" customHeight="1">
      <c r="C289" s="60">
        <v>2</v>
      </c>
      <c r="D289" s="72" t="s">
        <v>6538</v>
      </c>
      <c r="E289" s="73" t="s">
        <v>65</v>
      </c>
      <c r="F289" s="101">
        <v>0.25</v>
      </c>
      <c r="G289" s="63">
        <f>VLOOKUP(D289,upahbahan,3,FALSE)</f>
        <v>20000</v>
      </c>
      <c r="H289" s="64">
        <f>F289*G289</f>
        <v>5000</v>
      </c>
    </row>
    <row r="290" spans="3:9" ht="19.2" customHeight="1">
      <c r="C290" s="66" t="s">
        <v>1214</v>
      </c>
      <c r="D290" s="67"/>
      <c r="E290" s="67"/>
      <c r="F290" s="67"/>
      <c r="G290" s="69"/>
      <c r="H290" s="64">
        <f>SUM(H288:H289)</f>
        <v>54144.499999999993</v>
      </c>
      <c r="I290" s="59"/>
    </row>
    <row r="291" spans="3:9" ht="19.2" customHeight="1">
      <c r="C291" s="167" t="s">
        <v>1215</v>
      </c>
      <c r="D291" s="56" t="s">
        <v>1216</v>
      </c>
      <c r="E291" s="57"/>
      <c r="F291" s="57"/>
      <c r="G291" s="57"/>
      <c r="H291" s="58"/>
      <c r="I291" s="59"/>
    </row>
    <row r="292" spans="3:9" ht="19.2" customHeight="1">
      <c r="C292" s="66" t="s">
        <v>1217</v>
      </c>
      <c r="D292" s="67"/>
      <c r="E292" s="67"/>
      <c r="F292" s="67"/>
      <c r="G292" s="69"/>
      <c r="H292" s="74">
        <v>0</v>
      </c>
      <c r="I292" s="59"/>
    </row>
    <row r="293" spans="3:9" s="79" customFormat="1" ht="19.2" customHeight="1">
      <c r="C293" s="75" t="s">
        <v>1218</v>
      </c>
      <c r="D293" s="76" t="s">
        <v>1219</v>
      </c>
      <c r="E293" s="77"/>
      <c r="F293" s="77"/>
      <c r="G293" s="78"/>
      <c r="H293" s="64">
        <f>H292+H290+H286</f>
        <v>120744.5</v>
      </c>
      <c r="I293" s="45"/>
    </row>
    <row r="294" spans="3:9" s="79" customFormat="1" ht="19.2" customHeight="1">
      <c r="C294" s="75" t="s">
        <v>1220</v>
      </c>
      <c r="D294" s="76" t="s">
        <v>1321</v>
      </c>
      <c r="E294" s="77"/>
      <c r="F294" s="78"/>
      <c r="G294" s="80">
        <f>$M$8</f>
        <v>0.1</v>
      </c>
      <c r="H294" s="64">
        <f>H293*G294</f>
        <v>12074.45</v>
      </c>
      <c r="I294" s="45"/>
    </row>
    <row r="295" spans="3:9" s="79" customFormat="1" ht="19.2" customHeight="1" thickBot="1">
      <c r="C295" s="81" t="s">
        <v>1221</v>
      </c>
      <c r="D295" s="82" t="s">
        <v>1222</v>
      </c>
      <c r="E295" s="83"/>
      <c r="F295" s="83"/>
      <c r="G295" s="84"/>
      <c r="H295" s="85">
        <f>SUM(H293:H294)</f>
        <v>132818.95000000001</v>
      </c>
      <c r="I295" s="45"/>
    </row>
    <row r="296" spans="3:9" ht="14.4" thickTop="1"/>
  </sheetData>
  <mergeCells count="1">
    <mergeCell ref="D114:H1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M529"/>
  <sheetViews>
    <sheetView topLeftCell="A434" zoomScale="119" zoomScaleNormal="78" workbookViewId="0">
      <selection activeCell="A581" sqref="A581:XFD599"/>
    </sheetView>
  </sheetViews>
  <sheetFormatPr defaultColWidth="8.88671875" defaultRowHeight="13.8"/>
  <cols>
    <col min="1" max="2" width="3.109375" style="59" customWidth="1"/>
    <col min="3" max="3" width="8.6640625" style="45" customWidth="1"/>
    <col min="4" max="4" width="36.5546875" style="45" customWidth="1"/>
    <col min="5" max="5" width="6.109375" style="45" customWidth="1"/>
    <col min="6" max="6" width="11.44140625" style="45" customWidth="1"/>
    <col min="7" max="7" width="15" style="45" customWidth="1"/>
    <col min="8" max="8" width="16.44140625" style="45" customWidth="1"/>
    <col min="9" max="9" width="16.5546875" style="45" customWidth="1"/>
    <col min="10" max="16384" width="8.88671875" style="59"/>
  </cols>
  <sheetData>
    <row r="1" spans="3:13" ht="12.15" customHeight="1"/>
    <row r="2" spans="3:13" ht="12.15" customHeight="1"/>
    <row r="3" spans="3:13">
      <c r="C3" s="147" t="s">
        <v>5274</v>
      </c>
      <c r="D3" s="148" t="s">
        <v>6437</v>
      </c>
      <c r="E3" s="148"/>
      <c r="F3" s="148"/>
      <c r="G3" s="148"/>
      <c r="H3" s="148"/>
    </row>
    <row r="4" spans="3:13">
      <c r="C4" s="147" t="s">
        <v>2742</v>
      </c>
      <c r="D4" s="148" t="s">
        <v>5275</v>
      </c>
      <c r="E4" s="148"/>
      <c r="F4" s="148"/>
      <c r="G4" s="148"/>
      <c r="H4" s="148"/>
    </row>
    <row r="5" spans="3:13" ht="29.4" customHeight="1" thickBot="1">
      <c r="C5" s="44" t="s">
        <v>5276</v>
      </c>
      <c r="D5" s="168" t="s">
        <v>1330</v>
      </c>
      <c r="E5" s="150"/>
      <c r="F5" s="150"/>
      <c r="G5" s="150"/>
      <c r="H5" s="150"/>
      <c r="I5" s="50">
        <f>ROUNDDOWN(H22,-2)</f>
        <v>289400</v>
      </c>
    </row>
    <row r="6" spans="3:13" ht="28.2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I6" s="54"/>
    </row>
    <row r="7" spans="3:13" ht="19.8" customHeight="1">
      <c r="C7" s="55" t="s">
        <v>1201</v>
      </c>
      <c r="D7" s="56" t="s">
        <v>1202</v>
      </c>
      <c r="E7" s="57"/>
      <c r="F7" s="57"/>
      <c r="G7" s="57"/>
      <c r="H7" s="58"/>
      <c r="J7" s="59" t="s">
        <v>1247</v>
      </c>
    </row>
    <row r="8" spans="3:13" ht="19.8" customHeight="1">
      <c r="C8" s="60">
        <v>1</v>
      </c>
      <c r="D8" s="56" t="s">
        <v>5</v>
      </c>
      <c r="E8" s="61" t="s">
        <v>6</v>
      </c>
      <c r="F8" s="101">
        <v>0.4</v>
      </c>
      <c r="G8" s="63">
        <f>VLOOKUP(D8,upahbahan,3,FALSE)</f>
        <v>100000</v>
      </c>
      <c r="H8" s="64">
        <f>F8*G8</f>
        <v>40000</v>
      </c>
      <c r="J8" s="59" t="s">
        <v>1248</v>
      </c>
      <c r="M8" s="65">
        <v>0.1</v>
      </c>
    </row>
    <row r="9" spans="3:13" ht="19.8" customHeight="1">
      <c r="C9" s="60">
        <v>2</v>
      </c>
      <c r="D9" s="56" t="s">
        <v>7</v>
      </c>
      <c r="E9" s="61" t="s">
        <v>6</v>
      </c>
      <c r="F9" s="101">
        <v>0.2</v>
      </c>
      <c r="G9" s="63">
        <f>VLOOKUP(D9,upahbahan,3,FALSE)</f>
        <v>135000</v>
      </c>
      <c r="H9" s="64">
        <f>F9*G9</f>
        <v>27000</v>
      </c>
    </row>
    <row r="10" spans="3:13" ht="19.8" customHeight="1">
      <c r="C10" s="60">
        <v>3</v>
      </c>
      <c r="D10" s="56" t="s">
        <v>18</v>
      </c>
      <c r="E10" s="61" t="s">
        <v>6</v>
      </c>
      <c r="F10" s="101">
        <v>0.02</v>
      </c>
      <c r="G10" s="63">
        <f>VLOOKUP(D10,upahbahan,3,FALSE)</f>
        <v>150000</v>
      </c>
      <c r="H10" s="64">
        <f>F10*G10</f>
        <v>3000</v>
      </c>
    </row>
    <row r="11" spans="3:13" ht="19.8" customHeight="1">
      <c r="C11" s="60">
        <v>4</v>
      </c>
      <c r="D11" s="56" t="s">
        <v>19</v>
      </c>
      <c r="E11" s="61" t="s">
        <v>6</v>
      </c>
      <c r="F11" s="101">
        <v>6.7000000000000002E-3</v>
      </c>
      <c r="G11" s="63">
        <f>VLOOKUP(D11,upahbahan,3,FALSE)</f>
        <v>160000</v>
      </c>
      <c r="H11" s="64">
        <f>F11*G11</f>
        <v>1072</v>
      </c>
    </row>
    <row r="12" spans="3:13" ht="19.8" customHeight="1">
      <c r="C12" s="66" t="s">
        <v>1331</v>
      </c>
      <c r="D12" s="67"/>
      <c r="E12" s="67"/>
      <c r="F12" s="67"/>
      <c r="G12" s="69"/>
      <c r="H12" s="64">
        <f>SUM(H8:H11)</f>
        <v>71072</v>
      </c>
    </row>
    <row r="13" spans="3:13" ht="19.8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3" ht="19.8" customHeight="1">
      <c r="C14" s="60">
        <v>1</v>
      </c>
      <c r="D14" s="56" t="s">
        <v>43</v>
      </c>
      <c r="E14" s="61" t="s">
        <v>44</v>
      </c>
      <c r="F14" s="276">
        <v>143.81</v>
      </c>
      <c r="G14" s="63">
        <f>VLOOKUP(D14,upahbahan,3,FALSE)</f>
        <v>700</v>
      </c>
      <c r="H14" s="64">
        <f>F14*G14</f>
        <v>100667</v>
      </c>
    </row>
    <row r="15" spans="3:13" ht="19.8" customHeight="1">
      <c r="C15" s="60">
        <v>2</v>
      </c>
      <c r="D15" s="56" t="s">
        <v>2332</v>
      </c>
      <c r="E15" s="61" t="s">
        <v>65</v>
      </c>
      <c r="F15" s="276">
        <v>43.5</v>
      </c>
      <c r="G15" s="63">
        <f>VLOOKUP(D15,upahbahan,3,FALSE)</f>
        <v>1530</v>
      </c>
      <c r="H15" s="64">
        <f>F15*G15</f>
        <v>66555</v>
      </c>
    </row>
    <row r="16" spans="3:13" ht="19.8" customHeight="1">
      <c r="C16" s="60">
        <v>3</v>
      </c>
      <c r="D16" s="72" t="s">
        <v>85</v>
      </c>
      <c r="E16" s="61" t="s">
        <v>42</v>
      </c>
      <c r="F16" s="276">
        <v>0.08</v>
      </c>
      <c r="G16" s="63">
        <f>VLOOKUP(D16,upahbahan,3,FALSE)</f>
        <v>310500</v>
      </c>
      <c r="H16" s="64">
        <f>F16*G16</f>
        <v>24840</v>
      </c>
    </row>
    <row r="17" spans="3:9" ht="19.8" customHeight="1">
      <c r="C17" s="66" t="s">
        <v>1214</v>
      </c>
      <c r="D17" s="67"/>
      <c r="E17" s="67"/>
      <c r="F17" s="67"/>
      <c r="G17" s="69"/>
      <c r="H17" s="64">
        <f>SUM(H14:H16)</f>
        <v>192062</v>
      </c>
    </row>
    <row r="18" spans="3:9" ht="19.8" customHeight="1">
      <c r="C18" s="167" t="s">
        <v>1215</v>
      </c>
      <c r="D18" s="56" t="s">
        <v>1216</v>
      </c>
      <c r="E18" s="57"/>
      <c r="F18" s="57"/>
      <c r="G18" s="57"/>
      <c r="H18" s="58"/>
    </row>
    <row r="19" spans="3:9" ht="19.8" customHeight="1">
      <c r="C19" s="66" t="s">
        <v>1217</v>
      </c>
      <c r="D19" s="67"/>
      <c r="E19" s="67"/>
      <c r="F19" s="67"/>
      <c r="G19" s="69"/>
      <c r="H19" s="74">
        <v>0</v>
      </c>
    </row>
    <row r="20" spans="3:9" ht="19.8" customHeight="1">
      <c r="C20" s="75" t="s">
        <v>1218</v>
      </c>
      <c r="D20" s="76" t="s">
        <v>1219</v>
      </c>
      <c r="E20" s="77"/>
      <c r="F20" s="77"/>
      <c r="G20" s="78"/>
      <c r="H20" s="64">
        <f>H19+H17+H12</f>
        <v>263134</v>
      </c>
    </row>
    <row r="21" spans="3:9" ht="19.8" customHeight="1">
      <c r="C21" s="75" t="s">
        <v>1220</v>
      </c>
      <c r="D21" s="76" t="s">
        <v>1321</v>
      </c>
      <c r="E21" s="77"/>
      <c r="F21" s="78"/>
      <c r="G21" s="80">
        <f>$M$8</f>
        <v>0.1</v>
      </c>
      <c r="H21" s="64">
        <f>H20*G21</f>
        <v>26313.4</v>
      </c>
    </row>
    <row r="22" spans="3:9" ht="19.8" customHeight="1" thickBot="1">
      <c r="C22" s="81" t="s">
        <v>1221</v>
      </c>
      <c r="D22" s="82" t="s">
        <v>1222</v>
      </c>
      <c r="E22" s="83"/>
      <c r="F22" s="83"/>
      <c r="G22" s="84"/>
      <c r="H22" s="85">
        <f>SUM(H20:H21)</f>
        <v>289447.40000000002</v>
      </c>
    </row>
    <row r="23" spans="3:9" ht="14.4" thickTop="1">
      <c r="C23" s="89"/>
      <c r="D23" s="90"/>
      <c r="E23" s="90"/>
      <c r="F23" s="90"/>
      <c r="G23" s="90"/>
      <c r="H23" s="96"/>
    </row>
    <row r="24" spans="3:9" ht="36.75" customHeight="1" thickBot="1">
      <c r="C24" s="44" t="s">
        <v>2743</v>
      </c>
      <c r="D24" s="449" t="s">
        <v>1332</v>
      </c>
      <c r="E24" s="449"/>
      <c r="F24" s="449"/>
      <c r="G24" s="449"/>
      <c r="H24" s="449"/>
      <c r="I24" s="50">
        <f>ROUNDDOWN(H41,-2)</f>
        <v>275400</v>
      </c>
    </row>
    <row r="25" spans="3:9" ht="28.2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1199</v>
      </c>
      <c r="H25" s="53" t="s">
        <v>1200</v>
      </c>
      <c r="I25" s="174"/>
    </row>
    <row r="26" spans="3:9" ht="19.8" customHeight="1">
      <c r="C26" s="55" t="s">
        <v>1201</v>
      </c>
      <c r="D26" s="56" t="s">
        <v>1202</v>
      </c>
      <c r="E26" s="57"/>
      <c r="F26" s="57"/>
      <c r="G26" s="57"/>
      <c r="H26" s="58"/>
    </row>
    <row r="27" spans="3:9" ht="19.8" customHeight="1">
      <c r="C27" s="60">
        <v>1</v>
      </c>
      <c r="D27" s="56" t="s">
        <v>5</v>
      </c>
      <c r="E27" s="61" t="s">
        <v>6</v>
      </c>
      <c r="F27" s="101">
        <v>0.4</v>
      </c>
      <c r="G27" s="63">
        <f>VLOOKUP(D27,upahbahan,3,FALSE)</f>
        <v>100000</v>
      </c>
      <c r="H27" s="64">
        <f>F27*G27</f>
        <v>40000</v>
      </c>
    </row>
    <row r="28" spans="3:9" ht="19.8" customHeight="1">
      <c r="C28" s="60">
        <v>2</v>
      </c>
      <c r="D28" s="56" t="s">
        <v>7</v>
      </c>
      <c r="E28" s="61" t="s">
        <v>6</v>
      </c>
      <c r="F28" s="101">
        <v>0.2</v>
      </c>
      <c r="G28" s="63">
        <f>VLOOKUP(D28,upahbahan,3,FALSE)</f>
        <v>135000</v>
      </c>
      <c r="H28" s="64">
        <f>F28*G28</f>
        <v>27000</v>
      </c>
    </row>
    <row r="29" spans="3:9" ht="19.8" customHeight="1">
      <c r="C29" s="60">
        <v>3</v>
      </c>
      <c r="D29" s="56" t="s">
        <v>18</v>
      </c>
      <c r="E29" s="61" t="s">
        <v>6</v>
      </c>
      <c r="F29" s="101">
        <v>0.02</v>
      </c>
      <c r="G29" s="63">
        <f>VLOOKUP(D29,upahbahan,3,FALSE)</f>
        <v>150000</v>
      </c>
      <c r="H29" s="64">
        <f>F29*G29</f>
        <v>3000</v>
      </c>
    </row>
    <row r="30" spans="3:9" ht="19.8" customHeight="1">
      <c r="C30" s="60">
        <v>4</v>
      </c>
      <c r="D30" s="56" t="s">
        <v>19</v>
      </c>
      <c r="E30" s="61" t="s">
        <v>6</v>
      </c>
      <c r="F30" s="101">
        <v>6.7000000000000002E-3</v>
      </c>
      <c r="G30" s="63">
        <f>VLOOKUP(D30,upahbahan,3,FALSE)</f>
        <v>160000</v>
      </c>
      <c r="H30" s="64">
        <f>F30*G30</f>
        <v>1072</v>
      </c>
    </row>
    <row r="31" spans="3:9" ht="19.8" customHeight="1">
      <c r="C31" s="66" t="s">
        <v>1331</v>
      </c>
      <c r="D31" s="450"/>
      <c r="E31" s="450"/>
      <c r="F31" s="450"/>
      <c r="G31" s="450"/>
      <c r="H31" s="64">
        <f>SUM(H27:H30)</f>
        <v>71072</v>
      </c>
    </row>
    <row r="32" spans="3:9" ht="19.8" customHeight="1">
      <c r="C32" s="55" t="s">
        <v>1209</v>
      </c>
      <c r="D32" s="56" t="s">
        <v>1210</v>
      </c>
      <c r="E32" s="57"/>
      <c r="F32" s="57"/>
      <c r="G32" s="57"/>
      <c r="H32" s="58"/>
    </row>
    <row r="33" spans="3:9" ht="19.8" customHeight="1">
      <c r="C33" s="60">
        <v>1</v>
      </c>
      <c r="D33" s="56" t="s">
        <v>43</v>
      </c>
      <c r="E33" s="61" t="s">
        <v>44</v>
      </c>
      <c r="F33" s="62">
        <v>143.81</v>
      </c>
      <c r="G33" s="63">
        <f>VLOOKUP(D33,upahbahan,3,FALSE)</f>
        <v>700</v>
      </c>
      <c r="H33" s="64">
        <f>F33*G33</f>
        <v>100667</v>
      </c>
    </row>
    <row r="34" spans="3:9" ht="19.8" customHeight="1">
      <c r="C34" s="60">
        <v>2</v>
      </c>
      <c r="D34" s="56" t="s">
        <v>2332</v>
      </c>
      <c r="E34" s="61" t="s">
        <v>65</v>
      </c>
      <c r="F34" s="62">
        <v>32.950000000000003</v>
      </c>
      <c r="G34" s="63">
        <f>VLOOKUP(D34,upahbahan,3,FALSE)</f>
        <v>1530</v>
      </c>
      <c r="H34" s="64">
        <f>F34*G34</f>
        <v>50413.500000000007</v>
      </c>
    </row>
    <row r="35" spans="3:9" ht="19.8" customHeight="1">
      <c r="C35" s="60">
        <v>3</v>
      </c>
      <c r="D35" s="72" t="s">
        <v>85</v>
      </c>
      <c r="E35" s="61" t="s">
        <v>42</v>
      </c>
      <c r="F35" s="62">
        <v>9.0999999999999998E-2</v>
      </c>
      <c r="G35" s="63">
        <f>VLOOKUP(D35,upahbahan,3,FALSE)</f>
        <v>310500</v>
      </c>
      <c r="H35" s="64">
        <f>F35*G35</f>
        <v>28255.5</v>
      </c>
    </row>
    <row r="36" spans="3:9" ht="19.8" customHeight="1">
      <c r="C36" s="66" t="s">
        <v>1214</v>
      </c>
      <c r="D36" s="450"/>
      <c r="E36" s="450"/>
      <c r="F36" s="450"/>
      <c r="G36" s="450"/>
      <c r="H36" s="64">
        <f>SUM(H33:H35)</f>
        <v>179336</v>
      </c>
    </row>
    <row r="37" spans="3:9" ht="19.8" customHeight="1">
      <c r="C37" s="167" t="s">
        <v>1215</v>
      </c>
      <c r="D37" s="56" t="s">
        <v>1216</v>
      </c>
      <c r="E37" s="57"/>
      <c r="F37" s="57"/>
      <c r="G37" s="57"/>
      <c r="H37" s="58"/>
    </row>
    <row r="38" spans="3:9" ht="19.8" customHeight="1">
      <c r="C38" s="66" t="s">
        <v>1217</v>
      </c>
      <c r="D38" s="450"/>
      <c r="E38" s="450"/>
      <c r="F38" s="450"/>
      <c r="G38" s="450"/>
      <c r="H38" s="74">
        <v>0</v>
      </c>
    </row>
    <row r="39" spans="3:9" ht="19.8" customHeight="1">
      <c r="C39" s="75" t="s">
        <v>1218</v>
      </c>
      <c r="D39" s="76" t="s">
        <v>1219</v>
      </c>
      <c r="E39" s="77"/>
      <c r="F39" s="77"/>
      <c r="G39" s="78"/>
      <c r="H39" s="64">
        <f>H38+H36+H31</f>
        <v>250408</v>
      </c>
    </row>
    <row r="40" spans="3:9" ht="19.8" customHeight="1">
      <c r="C40" s="75" t="s">
        <v>1220</v>
      </c>
      <c r="D40" s="76" t="s">
        <v>1321</v>
      </c>
      <c r="E40" s="77"/>
      <c r="F40" s="78"/>
      <c r="G40" s="80">
        <f>$M$8</f>
        <v>0.1</v>
      </c>
      <c r="H40" s="64">
        <f>H39*G40</f>
        <v>25040.800000000003</v>
      </c>
    </row>
    <row r="41" spans="3:9" ht="19.8" customHeight="1" thickBot="1">
      <c r="C41" s="81" t="s">
        <v>1221</v>
      </c>
      <c r="D41" s="82" t="s">
        <v>1222</v>
      </c>
      <c r="E41" s="83"/>
      <c r="F41" s="83"/>
      <c r="G41" s="84"/>
      <c r="H41" s="85">
        <f>SUM(H39:H40)</f>
        <v>275448.8</v>
      </c>
    </row>
    <row r="42" spans="3:9" ht="14.4" thickTop="1">
      <c r="C42" s="89"/>
      <c r="D42" s="90"/>
      <c r="E42" s="90"/>
      <c r="F42" s="90"/>
      <c r="G42" s="90"/>
      <c r="H42" s="91"/>
    </row>
    <row r="43" spans="3:9" ht="30.6" customHeight="1" thickBot="1">
      <c r="C43" s="44" t="s">
        <v>2744</v>
      </c>
      <c r="D43" s="150" t="s">
        <v>1333</v>
      </c>
      <c r="E43" s="150"/>
      <c r="F43" s="150"/>
      <c r="G43" s="150"/>
      <c r="H43" s="150"/>
      <c r="I43" s="50">
        <f>ROUNDDOWN(H60,-2)</f>
        <v>265300</v>
      </c>
    </row>
    <row r="44" spans="3:9" ht="28.2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1199</v>
      </c>
      <c r="H44" s="53" t="s">
        <v>1200</v>
      </c>
      <c r="I44" s="174"/>
    </row>
    <row r="45" spans="3:9" ht="19.8" customHeight="1">
      <c r="C45" s="55" t="s">
        <v>1201</v>
      </c>
      <c r="D45" s="56" t="s">
        <v>1202</v>
      </c>
      <c r="E45" s="57"/>
      <c r="F45" s="57"/>
      <c r="G45" s="57"/>
      <c r="H45" s="58"/>
    </row>
    <row r="46" spans="3:9" ht="19.8" customHeight="1">
      <c r="C46" s="60">
        <v>1</v>
      </c>
      <c r="D46" s="56" t="s">
        <v>5</v>
      </c>
      <c r="E46" s="61" t="s">
        <v>6</v>
      </c>
      <c r="F46" s="101">
        <v>0.4</v>
      </c>
      <c r="G46" s="63">
        <f>VLOOKUP(D46,upahbahan,3,FALSE)</f>
        <v>100000</v>
      </c>
      <c r="H46" s="64">
        <f>F46*G46</f>
        <v>40000</v>
      </c>
    </row>
    <row r="47" spans="3:9" ht="19.8" customHeight="1">
      <c r="C47" s="60">
        <v>2</v>
      </c>
      <c r="D47" s="56" t="s">
        <v>7</v>
      </c>
      <c r="E47" s="61" t="s">
        <v>6</v>
      </c>
      <c r="F47" s="101">
        <v>0.2</v>
      </c>
      <c r="G47" s="63">
        <f>VLOOKUP(D47,upahbahan,3,FALSE)</f>
        <v>135000</v>
      </c>
      <c r="H47" s="64">
        <f>F47*G47</f>
        <v>27000</v>
      </c>
    </row>
    <row r="48" spans="3:9" ht="19.8" customHeight="1">
      <c r="C48" s="60">
        <v>3</v>
      </c>
      <c r="D48" s="56" t="s">
        <v>18</v>
      </c>
      <c r="E48" s="61" t="s">
        <v>6</v>
      </c>
      <c r="F48" s="101">
        <v>0.02</v>
      </c>
      <c r="G48" s="63">
        <f>VLOOKUP(D48,upahbahan,3,FALSE)</f>
        <v>150000</v>
      </c>
      <c r="H48" s="64">
        <f>F48*G48</f>
        <v>3000</v>
      </c>
    </row>
    <row r="49" spans="3:9" ht="19.8" customHeight="1">
      <c r="C49" s="60">
        <v>4</v>
      </c>
      <c r="D49" s="56" t="s">
        <v>19</v>
      </c>
      <c r="E49" s="61" t="s">
        <v>6</v>
      </c>
      <c r="F49" s="101">
        <v>6.7000000000000002E-3</v>
      </c>
      <c r="G49" s="63">
        <f>VLOOKUP(D49,upahbahan,3,FALSE)</f>
        <v>160000</v>
      </c>
      <c r="H49" s="64">
        <f>F49*G49</f>
        <v>1072</v>
      </c>
    </row>
    <row r="50" spans="3:9" ht="19.8" customHeight="1">
      <c r="C50" s="66" t="s">
        <v>1331</v>
      </c>
      <c r="D50" s="450"/>
      <c r="E50" s="450"/>
      <c r="F50" s="450"/>
      <c r="G50" s="450"/>
      <c r="H50" s="64">
        <f>SUM(H46:H49)</f>
        <v>71072</v>
      </c>
    </row>
    <row r="51" spans="3:9" ht="19.8" customHeight="1">
      <c r="C51" s="55" t="s">
        <v>1209</v>
      </c>
      <c r="D51" s="56" t="s">
        <v>1210</v>
      </c>
      <c r="E51" s="57"/>
      <c r="F51" s="57"/>
      <c r="G51" s="57"/>
      <c r="H51" s="58"/>
    </row>
    <row r="52" spans="3:9" ht="19.8" customHeight="1">
      <c r="C52" s="60">
        <v>1</v>
      </c>
      <c r="D52" s="56" t="s">
        <v>43</v>
      </c>
      <c r="E52" s="61" t="s">
        <v>44</v>
      </c>
      <c r="F52" s="62">
        <v>143.81</v>
      </c>
      <c r="G52" s="63">
        <f>VLOOKUP(D52,upahbahan,3,FALSE)</f>
        <v>700</v>
      </c>
      <c r="H52" s="64">
        <f>F52*G52</f>
        <v>100667</v>
      </c>
    </row>
    <row r="53" spans="3:9" ht="19.8" customHeight="1">
      <c r="C53" s="60">
        <v>2</v>
      </c>
      <c r="D53" s="56" t="s">
        <v>2332</v>
      </c>
      <c r="E53" s="61" t="s">
        <v>65</v>
      </c>
      <c r="F53" s="62">
        <v>26.55</v>
      </c>
      <c r="G53" s="63">
        <f>VLOOKUP(D53,upahbahan,3,FALSE)</f>
        <v>1530</v>
      </c>
      <c r="H53" s="64">
        <f>F53*G53</f>
        <v>40621.5</v>
      </c>
    </row>
    <row r="54" spans="3:9" ht="19.8" customHeight="1">
      <c r="C54" s="60">
        <v>3</v>
      </c>
      <c r="D54" s="72" t="s">
        <v>85</v>
      </c>
      <c r="E54" s="61" t="s">
        <v>42</v>
      </c>
      <c r="F54" s="62">
        <v>9.2999999999999999E-2</v>
      </c>
      <c r="G54" s="63">
        <f>VLOOKUP(D54,upahbahan,3,FALSE)</f>
        <v>310500</v>
      </c>
      <c r="H54" s="64">
        <f>F54*G54</f>
        <v>28876.5</v>
      </c>
    </row>
    <row r="55" spans="3:9" ht="19.8" customHeight="1">
      <c r="C55" s="66" t="s">
        <v>1214</v>
      </c>
      <c r="D55" s="450"/>
      <c r="E55" s="450"/>
      <c r="F55" s="450"/>
      <c r="G55" s="450"/>
      <c r="H55" s="64">
        <f>SUM(H52:H54)</f>
        <v>170165</v>
      </c>
    </row>
    <row r="56" spans="3:9" ht="19.8" customHeight="1">
      <c r="C56" s="167" t="s">
        <v>1215</v>
      </c>
      <c r="D56" s="56" t="s">
        <v>1216</v>
      </c>
      <c r="E56" s="57"/>
      <c r="F56" s="57"/>
      <c r="G56" s="57"/>
      <c r="H56" s="58"/>
    </row>
    <row r="57" spans="3:9" ht="19.8" customHeight="1">
      <c r="C57" s="66" t="s">
        <v>1217</v>
      </c>
      <c r="D57" s="450"/>
      <c r="E57" s="450"/>
      <c r="F57" s="450"/>
      <c r="G57" s="450"/>
      <c r="H57" s="74">
        <v>0</v>
      </c>
    </row>
    <row r="58" spans="3:9" ht="19.8" customHeight="1">
      <c r="C58" s="75" t="s">
        <v>1218</v>
      </c>
      <c r="D58" s="76" t="s">
        <v>1219</v>
      </c>
      <c r="E58" s="77"/>
      <c r="F58" s="77"/>
      <c r="G58" s="78"/>
      <c r="H58" s="64">
        <f>H57+H55+H50</f>
        <v>241237</v>
      </c>
    </row>
    <row r="59" spans="3:9" ht="19.8" customHeight="1">
      <c r="C59" s="75" t="s">
        <v>1220</v>
      </c>
      <c r="D59" s="76" t="s">
        <v>1321</v>
      </c>
      <c r="E59" s="77"/>
      <c r="F59" s="78"/>
      <c r="G59" s="80">
        <f>$M$8</f>
        <v>0.1</v>
      </c>
      <c r="H59" s="64">
        <f>H58*G59</f>
        <v>24123.7</v>
      </c>
    </row>
    <row r="60" spans="3:9" ht="19.8" customHeight="1" thickBot="1">
      <c r="C60" s="81" t="s">
        <v>1221</v>
      </c>
      <c r="D60" s="82" t="s">
        <v>1222</v>
      </c>
      <c r="E60" s="83"/>
      <c r="F60" s="83"/>
      <c r="G60" s="84"/>
      <c r="H60" s="85">
        <f>SUM(H58:H59)</f>
        <v>265360.7</v>
      </c>
    </row>
    <row r="61" spans="3:9" ht="14.4" thickTop="1"/>
    <row r="62" spans="3:9" ht="31.65" customHeight="1" thickBot="1">
      <c r="C62" s="44" t="s">
        <v>2745</v>
      </c>
      <c r="D62" s="150" t="s">
        <v>1334</v>
      </c>
      <c r="E62" s="150"/>
      <c r="F62" s="150"/>
      <c r="G62" s="150"/>
      <c r="H62" s="150"/>
      <c r="I62" s="50">
        <f>ROUNDDOWN(H79,-2)</f>
        <v>261100</v>
      </c>
    </row>
    <row r="63" spans="3:9" ht="28.2" thickTop="1">
      <c r="C63" s="51" t="s">
        <v>1195</v>
      </c>
      <c r="D63" s="52" t="s">
        <v>1196</v>
      </c>
      <c r="E63" s="52" t="s">
        <v>1197</v>
      </c>
      <c r="F63" s="52" t="s">
        <v>1198</v>
      </c>
      <c r="G63" s="52" t="s">
        <v>1199</v>
      </c>
      <c r="H63" s="53" t="s">
        <v>1200</v>
      </c>
      <c r="I63" s="54"/>
    </row>
    <row r="64" spans="3:9" ht="19.8" customHeight="1">
      <c r="C64" s="55" t="s">
        <v>1201</v>
      </c>
      <c r="D64" s="56" t="s">
        <v>1202</v>
      </c>
      <c r="E64" s="57"/>
      <c r="F64" s="57"/>
      <c r="G64" s="57"/>
      <c r="H64" s="58"/>
    </row>
    <row r="65" spans="3:8" ht="19.8" customHeight="1">
      <c r="C65" s="60">
        <v>1</v>
      </c>
      <c r="D65" s="56" t="s">
        <v>5</v>
      </c>
      <c r="E65" s="61" t="s">
        <v>6</v>
      </c>
      <c r="F65" s="101">
        <v>0.4</v>
      </c>
      <c r="G65" s="63">
        <f>VLOOKUP(D65,upahbahan,3,FALSE)</f>
        <v>100000</v>
      </c>
      <c r="H65" s="64">
        <f>F65*G65</f>
        <v>40000</v>
      </c>
    </row>
    <row r="66" spans="3:8" ht="19.8" customHeight="1">
      <c r="C66" s="60">
        <v>2</v>
      </c>
      <c r="D66" s="56" t="s">
        <v>7</v>
      </c>
      <c r="E66" s="61" t="s">
        <v>6</v>
      </c>
      <c r="F66" s="101">
        <v>0.2</v>
      </c>
      <c r="G66" s="63">
        <f>VLOOKUP(D66,upahbahan,3,FALSE)</f>
        <v>135000</v>
      </c>
      <c r="H66" s="64">
        <f>F66*G66</f>
        <v>27000</v>
      </c>
    </row>
    <row r="67" spans="3:8" ht="19.8" customHeight="1">
      <c r="C67" s="60">
        <v>3</v>
      </c>
      <c r="D67" s="56" t="s">
        <v>18</v>
      </c>
      <c r="E67" s="61" t="s">
        <v>6</v>
      </c>
      <c r="F67" s="101">
        <v>0.02</v>
      </c>
      <c r="G67" s="63">
        <f>VLOOKUP(D67,upahbahan,3,FALSE)</f>
        <v>150000</v>
      </c>
      <c r="H67" s="64">
        <f>F67*G67</f>
        <v>3000</v>
      </c>
    </row>
    <row r="68" spans="3:8" ht="19.8" customHeight="1">
      <c r="C68" s="60">
        <v>4</v>
      </c>
      <c r="D68" s="56" t="s">
        <v>19</v>
      </c>
      <c r="E68" s="61" t="s">
        <v>6</v>
      </c>
      <c r="F68" s="101">
        <v>6.7000000000000002E-3</v>
      </c>
      <c r="G68" s="63">
        <f>VLOOKUP(D68,upahbahan,3,FALSE)</f>
        <v>160000</v>
      </c>
      <c r="H68" s="64">
        <f>F68*G68</f>
        <v>1072</v>
      </c>
    </row>
    <row r="69" spans="3:8" ht="19.8" customHeight="1">
      <c r="C69" s="66" t="s">
        <v>1331</v>
      </c>
      <c r="D69" s="67"/>
      <c r="E69" s="67"/>
      <c r="F69" s="67"/>
      <c r="G69" s="69"/>
      <c r="H69" s="64">
        <f>SUM(H65:H68)</f>
        <v>71072</v>
      </c>
    </row>
    <row r="70" spans="3:8" ht="19.8" customHeight="1">
      <c r="C70" s="55" t="s">
        <v>1209</v>
      </c>
      <c r="D70" s="56" t="s">
        <v>1210</v>
      </c>
      <c r="E70" s="57"/>
      <c r="F70" s="57"/>
      <c r="G70" s="57"/>
      <c r="H70" s="58"/>
    </row>
    <row r="71" spans="3:8" ht="19.8" customHeight="1">
      <c r="C71" s="60">
        <v>1</v>
      </c>
      <c r="D71" s="56" t="s">
        <v>43</v>
      </c>
      <c r="E71" s="61" t="s">
        <v>44</v>
      </c>
      <c r="F71" s="62">
        <v>143.81</v>
      </c>
      <c r="G71" s="63">
        <f>VLOOKUP(D71,upahbahan,3,FALSE)</f>
        <v>700</v>
      </c>
      <c r="H71" s="64">
        <f>F71*G71</f>
        <v>100667</v>
      </c>
    </row>
    <row r="72" spans="3:8" ht="19.8" customHeight="1">
      <c r="C72" s="60">
        <v>2</v>
      </c>
      <c r="D72" s="56" t="s">
        <v>2332</v>
      </c>
      <c r="E72" s="61" t="s">
        <v>65</v>
      </c>
      <c r="F72" s="62">
        <v>22.2</v>
      </c>
      <c r="G72" s="63">
        <f>VLOOKUP(D72,upahbahan,3,FALSE)</f>
        <v>1530</v>
      </c>
      <c r="H72" s="64">
        <f>F72*G72</f>
        <v>33966</v>
      </c>
    </row>
    <row r="73" spans="3:8" ht="19.8" customHeight="1">
      <c r="C73" s="60">
        <v>3</v>
      </c>
      <c r="D73" s="72" t="s">
        <v>85</v>
      </c>
      <c r="E73" s="61" t="s">
        <v>42</v>
      </c>
      <c r="F73" s="62">
        <v>0.10199999999999999</v>
      </c>
      <c r="G73" s="63">
        <f>VLOOKUP(D73,upahbahan,3,FALSE)</f>
        <v>310500</v>
      </c>
      <c r="H73" s="64">
        <f>F73*G73</f>
        <v>31670.999999999996</v>
      </c>
    </row>
    <row r="74" spans="3:8" ht="19.8" customHeight="1">
      <c r="C74" s="66" t="s">
        <v>1214</v>
      </c>
      <c r="D74" s="67"/>
      <c r="E74" s="67"/>
      <c r="F74" s="67"/>
      <c r="G74" s="69"/>
      <c r="H74" s="64">
        <f>SUM(H71:H73)</f>
        <v>166304</v>
      </c>
    </row>
    <row r="75" spans="3:8" ht="19.8" customHeight="1">
      <c r="C75" s="167" t="s">
        <v>1215</v>
      </c>
      <c r="D75" s="56" t="s">
        <v>1216</v>
      </c>
      <c r="E75" s="57"/>
      <c r="F75" s="57"/>
      <c r="G75" s="57"/>
      <c r="H75" s="58"/>
    </row>
    <row r="76" spans="3:8" ht="19.8" customHeight="1">
      <c r="C76" s="66" t="s">
        <v>1217</v>
      </c>
      <c r="D76" s="67"/>
      <c r="E76" s="67"/>
      <c r="F76" s="67"/>
      <c r="G76" s="69"/>
      <c r="H76" s="74">
        <v>0</v>
      </c>
    </row>
    <row r="77" spans="3:8" ht="19.8" customHeight="1">
      <c r="C77" s="75" t="s">
        <v>1218</v>
      </c>
      <c r="D77" s="76" t="s">
        <v>1219</v>
      </c>
      <c r="E77" s="77"/>
      <c r="F77" s="77"/>
      <c r="G77" s="78"/>
      <c r="H77" s="64">
        <f>H76+H74+H69</f>
        <v>237376</v>
      </c>
    </row>
    <row r="78" spans="3:8" ht="19.8" customHeight="1">
      <c r="C78" s="75" t="s">
        <v>1220</v>
      </c>
      <c r="D78" s="76" t="s">
        <v>1321</v>
      </c>
      <c r="E78" s="77"/>
      <c r="F78" s="78"/>
      <c r="G78" s="80">
        <f>$M$8</f>
        <v>0.1</v>
      </c>
      <c r="H78" s="64">
        <f>H77*G78</f>
        <v>23737.600000000002</v>
      </c>
    </row>
    <row r="79" spans="3:8" ht="19.8" customHeight="1" thickBot="1">
      <c r="C79" s="81" t="s">
        <v>1221</v>
      </c>
      <c r="D79" s="82" t="s">
        <v>1222</v>
      </c>
      <c r="E79" s="83"/>
      <c r="F79" s="83"/>
      <c r="G79" s="84"/>
      <c r="H79" s="85">
        <f>SUM(H77:H78)</f>
        <v>261113.60000000001</v>
      </c>
    </row>
    <row r="80" spans="3:8" ht="14.4" thickTop="1">
      <c r="C80" s="89"/>
      <c r="D80" s="90"/>
      <c r="E80" s="90"/>
      <c r="F80" s="90"/>
      <c r="G80" s="90"/>
      <c r="H80" s="91"/>
    </row>
    <row r="81" spans="3:9" ht="14.4" thickBot="1">
      <c r="C81" s="44" t="s">
        <v>2746</v>
      </c>
      <c r="D81" s="451" t="s">
        <v>1335</v>
      </c>
      <c r="E81" s="452"/>
      <c r="F81" s="452"/>
      <c r="G81" s="452"/>
      <c r="H81" s="452"/>
      <c r="I81" s="50">
        <f>ROUNDDOWN(H98,-2)</f>
        <v>261700</v>
      </c>
    </row>
    <row r="82" spans="3:9" ht="28.2" thickTop="1">
      <c r="C82" s="51" t="s">
        <v>1195</v>
      </c>
      <c r="D82" s="52" t="s">
        <v>1196</v>
      </c>
      <c r="E82" s="52" t="s">
        <v>1197</v>
      </c>
      <c r="F82" s="52" t="s">
        <v>1198</v>
      </c>
      <c r="G82" s="52" t="s">
        <v>1199</v>
      </c>
      <c r="H82" s="53" t="s">
        <v>1200</v>
      </c>
    </row>
    <row r="83" spans="3:9" ht="19.8" customHeight="1">
      <c r="C83" s="55" t="s">
        <v>1201</v>
      </c>
      <c r="D83" s="56" t="s">
        <v>1202</v>
      </c>
      <c r="E83" s="57"/>
      <c r="F83" s="57"/>
      <c r="G83" s="57"/>
      <c r="H83" s="58"/>
    </row>
    <row r="84" spans="3:9" ht="19.8" customHeight="1">
      <c r="C84" s="60">
        <v>1</v>
      </c>
      <c r="D84" s="56" t="s">
        <v>5</v>
      </c>
      <c r="E84" s="61" t="s">
        <v>6</v>
      </c>
      <c r="F84" s="62">
        <v>0.4</v>
      </c>
      <c r="G84" s="63">
        <f>VLOOKUP(D84,upahbahan,3,FALSE)</f>
        <v>100000</v>
      </c>
      <c r="H84" s="64">
        <f>F84*G84</f>
        <v>40000</v>
      </c>
    </row>
    <row r="85" spans="3:9" ht="19.8" customHeight="1">
      <c r="C85" s="60">
        <v>2</v>
      </c>
      <c r="D85" s="56" t="s">
        <v>7</v>
      </c>
      <c r="E85" s="61" t="s">
        <v>6</v>
      </c>
      <c r="F85" s="62">
        <v>0.2</v>
      </c>
      <c r="G85" s="63">
        <f>VLOOKUP(D85,upahbahan,3,FALSE)</f>
        <v>135000</v>
      </c>
      <c r="H85" s="64">
        <f>F85*G85</f>
        <v>27000</v>
      </c>
    </row>
    <row r="86" spans="3:9" ht="19.8" customHeight="1">
      <c r="C86" s="60">
        <v>3</v>
      </c>
      <c r="D86" s="56" t="s">
        <v>18</v>
      </c>
      <c r="E86" s="61" t="s">
        <v>6</v>
      </c>
      <c r="F86" s="62">
        <v>0.02</v>
      </c>
      <c r="G86" s="63">
        <f>VLOOKUP(D86,upahbahan,3,FALSE)</f>
        <v>150000</v>
      </c>
      <c r="H86" s="64">
        <f>F86*G86</f>
        <v>3000</v>
      </c>
    </row>
    <row r="87" spans="3:9" ht="19.8" customHeight="1">
      <c r="C87" s="60">
        <v>4</v>
      </c>
      <c r="D87" s="56" t="s">
        <v>19</v>
      </c>
      <c r="E87" s="61" t="s">
        <v>6</v>
      </c>
      <c r="F87" s="62">
        <v>6.7000000000000002E-3</v>
      </c>
      <c r="G87" s="63">
        <f>VLOOKUP(D87,upahbahan,3,FALSE)</f>
        <v>160000</v>
      </c>
      <c r="H87" s="64">
        <f>F87*G87</f>
        <v>1072</v>
      </c>
    </row>
    <row r="88" spans="3:9" ht="19.8" customHeight="1">
      <c r="C88" s="66" t="s">
        <v>1331</v>
      </c>
      <c r="D88" s="67"/>
      <c r="E88" s="67"/>
      <c r="F88" s="67"/>
      <c r="G88" s="69"/>
      <c r="H88" s="64">
        <f>SUM(H84:H87)</f>
        <v>71072</v>
      </c>
    </row>
    <row r="89" spans="3:9" ht="19.8" customHeight="1">
      <c r="C89" s="55" t="s">
        <v>1209</v>
      </c>
      <c r="D89" s="56" t="s">
        <v>1210</v>
      </c>
      <c r="E89" s="57"/>
      <c r="F89" s="57"/>
      <c r="G89" s="57"/>
      <c r="H89" s="58"/>
    </row>
    <row r="90" spans="3:9" ht="19.8" customHeight="1">
      <c r="C90" s="60">
        <v>1</v>
      </c>
      <c r="D90" s="56" t="s">
        <v>43</v>
      </c>
      <c r="E90" s="61" t="s">
        <v>44</v>
      </c>
      <c r="F90" s="62">
        <v>143.81</v>
      </c>
      <c r="G90" s="63">
        <f>VLOOKUP(D90,upahbahan,3,FALSE)</f>
        <v>700</v>
      </c>
      <c r="H90" s="64">
        <f>F90*G90</f>
        <v>100667</v>
      </c>
    </row>
    <row r="91" spans="3:9" ht="19.8" customHeight="1">
      <c r="C91" s="60">
        <v>2</v>
      </c>
      <c r="D91" s="56" t="s">
        <v>2332</v>
      </c>
      <c r="E91" s="61" t="s">
        <v>65</v>
      </c>
      <c r="F91" s="62">
        <v>18.5</v>
      </c>
      <c r="G91" s="63">
        <f>VLOOKUP(D91,upahbahan,3,FALSE)</f>
        <v>1530</v>
      </c>
      <c r="H91" s="64">
        <f>F91*G91</f>
        <v>28305</v>
      </c>
    </row>
    <row r="92" spans="3:9" ht="19.8" customHeight="1">
      <c r="C92" s="60">
        <v>3</v>
      </c>
      <c r="D92" s="72" t="s">
        <v>85</v>
      </c>
      <c r="E92" s="61" t="s">
        <v>42</v>
      </c>
      <c r="F92" s="62">
        <v>0.122</v>
      </c>
      <c r="G92" s="63">
        <f>VLOOKUP(D92,upahbahan,3,FALSE)</f>
        <v>310500</v>
      </c>
      <c r="H92" s="64">
        <f>F92*G92</f>
        <v>37881</v>
      </c>
    </row>
    <row r="93" spans="3:9" ht="19.8" customHeight="1">
      <c r="C93" s="66" t="s">
        <v>1214</v>
      </c>
      <c r="D93" s="67"/>
      <c r="E93" s="67"/>
      <c r="F93" s="67"/>
      <c r="G93" s="69"/>
      <c r="H93" s="64">
        <f>SUM(H90:H92)</f>
        <v>166853</v>
      </c>
    </row>
    <row r="94" spans="3:9" ht="19.8" customHeight="1">
      <c r="C94" s="167" t="s">
        <v>1215</v>
      </c>
      <c r="D94" s="56" t="s">
        <v>1216</v>
      </c>
      <c r="E94" s="57"/>
      <c r="F94" s="57"/>
      <c r="G94" s="57"/>
      <c r="H94" s="58"/>
    </row>
    <row r="95" spans="3:9" ht="19.8" customHeight="1">
      <c r="C95" s="66" t="s">
        <v>1217</v>
      </c>
      <c r="D95" s="67"/>
      <c r="E95" s="67"/>
      <c r="F95" s="67"/>
      <c r="G95" s="69"/>
      <c r="H95" s="74">
        <v>0</v>
      </c>
    </row>
    <row r="96" spans="3:9" ht="19.8" customHeight="1">
      <c r="C96" s="75" t="s">
        <v>1218</v>
      </c>
      <c r="D96" s="76" t="s">
        <v>1219</v>
      </c>
      <c r="E96" s="77"/>
      <c r="F96" s="77"/>
      <c r="G96" s="78"/>
      <c r="H96" s="64">
        <f>H95+H93+H88</f>
        <v>237925</v>
      </c>
    </row>
    <row r="97" spans="3:9" ht="19.8" customHeight="1">
      <c r="C97" s="75" t="s">
        <v>1220</v>
      </c>
      <c r="D97" s="76" t="s">
        <v>1321</v>
      </c>
      <c r="E97" s="77"/>
      <c r="F97" s="78"/>
      <c r="G97" s="80">
        <f>$M$8</f>
        <v>0.1</v>
      </c>
      <c r="H97" s="64">
        <f>H96*G97</f>
        <v>23792.5</v>
      </c>
    </row>
    <row r="98" spans="3:9" ht="19.8" customHeight="1" thickBot="1">
      <c r="C98" s="81" t="s">
        <v>1221</v>
      </c>
      <c r="D98" s="82" t="s">
        <v>1222</v>
      </c>
      <c r="E98" s="83"/>
      <c r="F98" s="83"/>
      <c r="G98" s="84"/>
      <c r="H98" s="85">
        <f>SUM(H96:H97)</f>
        <v>261717.5</v>
      </c>
    </row>
    <row r="99" spans="3:9" ht="14.4" thickTop="1">
      <c r="C99" s="89"/>
      <c r="D99" s="90"/>
      <c r="E99" s="90"/>
      <c r="F99" s="90"/>
      <c r="G99" s="90"/>
      <c r="H99" s="91"/>
    </row>
    <row r="100" spans="3:9" ht="30.15" customHeight="1" thickBot="1">
      <c r="C100" s="44" t="s">
        <v>2747</v>
      </c>
      <c r="D100" s="453" t="s">
        <v>1336</v>
      </c>
      <c r="E100" s="453"/>
      <c r="F100" s="453"/>
      <c r="G100" s="453"/>
      <c r="H100" s="453"/>
      <c r="I100" s="50">
        <f>ROUNDDOWN(H117,-2)</f>
        <v>139300</v>
      </c>
    </row>
    <row r="101" spans="3:9" ht="28.2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</row>
    <row r="102" spans="3:9" ht="19.8" customHeight="1">
      <c r="C102" s="55" t="s">
        <v>1201</v>
      </c>
      <c r="D102" s="56" t="s">
        <v>1202</v>
      </c>
      <c r="E102" s="57"/>
      <c r="F102" s="57"/>
      <c r="G102" s="57"/>
      <c r="H102" s="58"/>
    </row>
    <row r="103" spans="3:9" ht="19.8" customHeight="1">
      <c r="C103" s="60">
        <v>1</v>
      </c>
      <c r="D103" s="56" t="s">
        <v>5</v>
      </c>
      <c r="E103" s="61" t="s">
        <v>6</v>
      </c>
      <c r="F103" s="101">
        <v>0.2</v>
      </c>
      <c r="G103" s="63">
        <f>VLOOKUP(D103,upahbahan,3,FALSE)</f>
        <v>100000</v>
      </c>
      <c r="H103" s="64">
        <f>F103*G103</f>
        <v>20000</v>
      </c>
    </row>
    <row r="104" spans="3:9" ht="19.8" customHeight="1">
      <c r="C104" s="60">
        <v>2</v>
      </c>
      <c r="D104" s="56" t="s">
        <v>7</v>
      </c>
      <c r="E104" s="61" t="s">
        <v>6</v>
      </c>
      <c r="F104" s="101">
        <v>0.1</v>
      </c>
      <c r="G104" s="63">
        <f>VLOOKUP(D104,upahbahan,3,FALSE)</f>
        <v>135000</v>
      </c>
      <c r="H104" s="64">
        <f>F104*G104</f>
        <v>13500</v>
      </c>
    </row>
    <row r="105" spans="3:9" ht="19.8" customHeight="1">
      <c r="C105" s="60">
        <v>3</v>
      </c>
      <c r="D105" s="56" t="s">
        <v>18</v>
      </c>
      <c r="E105" s="61" t="s">
        <v>6</v>
      </c>
      <c r="F105" s="101">
        <v>0.01</v>
      </c>
      <c r="G105" s="63">
        <f>VLOOKUP(D105,upahbahan,3,FALSE)</f>
        <v>150000</v>
      </c>
      <c r="H105" s="64">
        <f>F105*G105</f>
        <v>1500</v>
      </c>
    </row>
    <row r="106" spans="3:9" ht="19.8" customHeight="1">
      <c r="C106" s="60">
        <v>4</v>
      </c>
      <c r="D106" s="56" t="s">
        <v>19</v>
      </c>
      <c r="E106" s="61" t="s">
        <v>6</v>
      </c>
      <c r="F106" s="101">
        <v>3.3E-3</v>
      </c>
      <c r="G106" s="63">
        <f>VLOOKUP(D106,upahbahan,3,FALSE)</f>
        <v>160000</v>
      </c>
      <c r="H106" s="64">
        <f>F106*G106</f>
        <v>528</v>
      </c>
    </row>
    <row r="107" spans="3:9" ht="19.8" customHeight="1">
      <c r="C107" s="66" t="s">
        <v>1331</v>
      </c>
      <c r="D107" s="67"/>
      <c r="E107" s="67"/>
      <c r="F107" s="67"/>
      <c r="G107" s="69"/>
      <c r="H107" s="64">
        <f>SUM(H103:H106)</f>
        <v>35528</v>
      </c>
    </row>
    <row r="108" spans="3:9" ht="19.8" customHeight="1">
      <c r="C108" s="55" t="s">
        <v>1209</v>
      </c>
      <c r="D108" s="56" t="s">
        <v>1210</v>
      </c>
      <c r="E108" s="57"/>
      <c r="F108" s="57"/>
      <c r="G108" s="57"/>
      <c r="H108" s="58"/>
    </row>
    <row r="109" spans="3:9" ht="19.8" customHeight="1">
      <c r="C109" s="60">
        <v>1</v>
      </c>
      <c r="D109" s="56" t="s">
        <v>43</v>
      </c>
      <c r="E109" s="61" t="s">
        <v>44</v>
      </c>
      <c r="F109" s="62">
        <v>71.91</v>
      </c>
      <c r="G109" s="63">
        <f>VLOOKUP(D109,upahbahan,3,FALSE)</f>
        <v>700</v>
      </c>
      <c r="H109" s="64">
        <f>F109*G109</f>
        <v>50337</v>
      </c>
    </row>
    <row r="110" spans="3:9" ht="19.8" customHeight="1">
      <c r="C110" s="60">
        <v>2</v>
      </c>
      <c r="D110" s="56" t="s">
        <v>2332</v>
      </c>
      <c r="E110" s="61" t="s">
        <v>65</v>
      </c>
      <c r="F110" s="62">
        <v>18.95</v>
      </c>
      <c r="G110" s="63">
        <f>VLOOKUP(D110,upahbahan,3,FALSE)</f>
        <v>1530</v>
      </c>
      <c r="H110" s="64">
        <f>F110*G110</f>
        <v>28993.5</v>
      </c>
    </row>
    <row r="111" spans="3:9" ht="19.8" customHeight="1">
      <c r="C111" s="60">
        <v>3</v>
      </c>
      <c r="D111" s="72" t="s">
        <v>85</v>
      </c>
      <c r="E111" s="61" t="s">
        <v>42</v>
      </c>
      <c r="F111" s="62">
        <v>3.7999999999999999E-2</v>
      </c>
      <c r="G111" s="63">
        <f>VLOOKUP(D111,upahbahan,3,FALSE)</f>
        <v>310500</v>
      </c>
      <c r="H111" s="64">
        <f>F111*G111</f>
        <v>11799</v>
      </c>
    </row>
    <row r="112" spans="3:9" ht="19.8" customHeight="1">
      <c r="C112" s="66" t="s">
        <v>1214</v>
      </c>
      <c r="D112" s="67"/>
      <c r="E112" s="67"/>
      <c r="F112" s="67"/>
      <c r="G112" s="69"/>
      <c r="H112" s="64">
        <f>SUM(H109:H111)</f>
        <v>91129.5</v>
      </c>
    </row>
    <row r="113" spans="3:9" ht="19.8" customHeight="1">
      <c r="C113" s="167" t="s">
        <v>1215</v>
      </c>
      <c r="D113" s="56" t="s">
        <v>1216</v>
      </c>
      <c r="E113" s="57"/>
      <c r="F113" s="57"/>
      <c r="G113" s="57"/>
      <c r="H113" s="58"/>
    </row>
    <row r="114" spans="3:9" ht="19.8" customHeight="1">
      <c r="C114" s="66" t="s">
        <v>1217</v>
      </c>
      <c r="D114" s="67"/>
      <c r="E114" s="67"/>
      <c r="F114" s="67"/>
      <c r="G114" s="69"/>
      <c r="H114" s="74">
        <v>0</v>
      </c>
    </row>
    <row r="115" spans="3:9" ht="19.8" customHeight="1">
      <c r="C115" s="75" t="s">
        <v>1218</v>
      </c>
      <c r="D115" s="76" t="s">
        <v>1219</v>
      </c>
      <c r="E115" s="77"/>
      <c r="F115" s="77"/>
      <c r="G115" s="78"/>
      <c r="H115" s="64">
        <f>H114+H112+H107</f>
        <v>126657.5</v>
      </c>
    </row>
    <row r="116" spans="3:9" ht="19.8" customHeight="1">
      <c r="C116" s="75" t="s">
        <v>1220</v>
      </c>
      <c r="D116" s="76" t="s">
        <v>1321</v>
      </c>
      <c r="E116" s="77"/>
      <c r="F116" s="78"/>
      <c r="G116" s="80">
        <f>$M$8</f>
        <v>0.1</v>
      </c>
      <c r="H116" s="64">
        <f>H115*G116</f>
        <v>12665.75</v>
      </c>
    </row>
    <row r="117" spans="3:9" ht="19.8" customHeight="1" thickBot="1">
      <c r="C117" s="81" t="s">
        <v>1221</v>
      </c>
      <c r="D117" s="82" t="s">
        <v>1222</v>
      </c>
      <c r="E117" s="83"/>
      <c r="F117" s="83"/>
      <c r="G117" s="84"/>
      <c r="H117" s="85">
        <f>SUM(H115:H116)</f>
        <v>139323.25</v>
      </c>
    </row>
    <row r="118" spans="3:9" ht="14.4" thickTop="1"/>
    <row r="119" spans="3:9" ht="31.65" customHeight="1" thickBot="1">
      <c r="C119" s="44" t="s">
        <v>2748</v>
      </c>
      <c r="D119" s="453" t="s">
        <v>1337</v>
      </c>
      <c r="E119" s="453"/>
      <c r="F119" s="453"/>
      <c r="G119" s="453"/>
      <c r="H119" s="453"/>
      <c r="I119" s="50">
        <f>ROUNDDOWN(H136,-2)</f>
        <v>132200</v>
      </c>
    </row>
    <row r="120" spans="3:9" ht="28.2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</row>
    <row r="121" spans="3:9" ht="19.8" customHeight="1">
      <c r="C121" s="55" t="s">
        <v>1201</v>
      </c>
      <c r="D121" s="56" t="s">
        <v>1202</v>
      </c>
      <c r="E121" s="57"/>
      <c r="F121" s="57"/>
      <c r="G121" s="57"/>
      <c r="H121" s="58"/>
    </row>
    <row r="122" spans="3:9" ht="19.8" customHeight="1">
      <c r="C122" s="60">
        <v>1</v>
      </c>
      <c r="D122" s="56" t="s">
        <v>5</v>
      </c>
      <c r="E122" s="61" t="s">
        <v>6</v>
      </c>
      <c r="F122" s="101">
        <v>0.2</v>
      </c>
      <c r="G122" s="63">
        <f>VLOOKUP(D122,upahbahan,3,FALSE)</f>
        <v>100000</v>
      </c>
      <c r="H122" s="64">
        <f>F122*G122</f>
        <v>20000</v>
      </c>
    </row>
    <row r="123" spans="3:9" ht="19.8" customHeight="1">
      <c r="C123" s="60">
        <v>2</v>
      </c>
      <c r="D123" s="56" t="s">
        <v>7</v>
      </c>
      <c r="E123" s="61" t="s">
        <v>6</v>
      </c>
      <c r="F123" s="101">
        <v>0.1</v>
      </c>
      <c r="G123" s="63">
        <f>VLOOKUP(D123,upahbahan,3,FALSE)</f>
        <v>135000</v>
      </c>
      <c r="H123" s="64">
        <f>F123*G123</f>
        <v>13500</v>
      </c>
    </row>
    <row r="124" spans="3:9" ht="19.8" customHeight="1">
      <c r="C124" s="60">
        <v>3</v>
      </c>
      <c r="D124" s="56" t="s">
        <v>18</v>
      </c>
      <c r="E124" s="61" t="s">
        <v>6</v>
      </c>
      <c r="F124" s="101">
        <v>0.01</v>
      </c>
      <c r="G124" s="63">
        <f>VLOOKUP(D124,upahbahan,3,FALSE)</f>
        <v>150000</v>
      </c>
      <c r="H124" s="64">
        <f>F124*G124</f>
        <v>1500</v>
      </c>
    </row>
    <row r="125" spans="3:9" ht="19.8" customHeight="1">
      <c r="C125" s="60">
        <v>4</v>
      </c>
      <c r="D125" s="56" t="s">
        <v>19</v>
      </c>
      <c r="E125" s="61" t="s">
        <v>6</v>
      </c>
      <c r="F125" s="101">
        <v>3.3E-3</v>
      </c>
      <c r="G125" s="63">
        <f>VLOOKUP(D125,upahbahan,3,FALSE)</f>
        <v>160000</v>
      </c>
      <c r="H125" s="64">
        <f>F125*G125</f>
        <v>528</v>
      </c>
    </row>
    <row r="126" spans="3:9" ht="19.8" customHeight="1">
      <c r="C126" s="66" t="s">
        <v>1331</v>
      </c>
      <c r="D126" s="67"/>
      <c r="E126" s="67"/>
      <c r="F126" s="67"/>
      <c r="G126" s="69"/>
      <c r="H126" s="64">
        <f>SUM(H122:H125)</f>
        <v>35528</v>
      </c>
    </row>
    <row r="127" spans="3:9" ht="19.8" customHeight="1">
      <c r="C127" s="55" t="s">
        <v>1209</v>
      </c>
      <c r="D127" s="56" t="s">
        <v>1210</v>
      </c>
      <c r="E127" s="57"/>
      <c r="F127" s="57"/>
      <c r="G127" s="57"/>
      <c r="H127" s="58"/>
    </row>
    <row r="128" spans="3:9" ht="19.8" customHeight="1">
      <c r="C128" s="60">
        <v>1</v>
      </c>
      <c r="D128" s="56" t="s">
        <v>43</v>
      </c>
      <c r="E128" s="61" t="s">
        <v>44</v>
      </c>
      <c r="F128" s="62">
        <v>71.91</v>
      </c>
      <c r="G128" s="63">
        <f>VLOOKUP(D128,upahbahan,3,FALSE)</f>
        <v>700</v>
      </c>
      <c r="H128" s="64">
        <f>F128*G128</f>
        <v>50337</v>
      </c>
    </row>
    <row r="129" spans="3:9" ht="19.8" customHeight="1">
      <c r="C129" s="60">
        <v>2</v>
      </c>
      <c r="D129" s="56" t="s">
        <v>2334</v>
      </c>
      <c r="E129" s="61" t="s">
        <v>65</v>
      </c>
      <c r="F129" s="62">
        <v>14.37</v>
      </c>
      <c r="G129" s="63">
        <f>VLOOKUP(D129,upahbahan,3,FALSE)</f>
        <v>1530</v>
      </c>
      <c r="H129" s="64">
        <f>F129*G129</f>
        <v>21986.1</v>
      </c>
    </row>
    <row r="130" spans="3:9" ht="19.8" customHeight="1">
      <c r="C130" s="60">
        <v>3</v>
      </c>
      <c r="D130" s="72" t="s">
        <v>85</v>
      </c>
      <c r="E130" s="61" t="s">
        <v>42</v>
      </c>
      <c r="F130" s="62">
        <v>0.04</v>
      </c>
      <c r="G130" s="63">
        <f>VLOOKUP(D130,upahbahan,3,FALSE)</f>
        <v>310500</v>
      </c>
      <c r="H130" s="64">
        <f>F130*G130</f>
        <v>12420</v>
      </c>
    </row>
    <row r="131" spans="3:9" ht="19.8" customHeight="1">
      <c r="C131" s="66" t="s">
        <v>1214</v>
      </c>
      <c r="D131" s="67"/>
      <c r="E131" s="67"/>
      <c r="F131" s="67"/>
      <c r="G131" s="69"/>
      <c r="H131" s="64">
        <f>SUM(H128:H130)</f>
        <v>84743.1</v>
      </c>
    </row>
    <row r="132" spans="3:9" ht="19.8" customHeight="1">
      <c r="C132" s="167" t="s">
        <v>1215</v>
      </c>
      <c r="D132" s="56" t="s">
        <v>1216</v>
      </c>
      <c r="E132" s="57"/>
      <c r="F132" s="57"/>
      <c r="G132" s="57"/>
      <c r="H132" s="58"/>
    </row>
    <row r="133" spans="3:9" ht="19.8" customHeight="1">
      <c r="C133" s="66" t="s">
        <v>1217</v>
      </c>
      <c r="D133" s="67"/>
      <c r="E133" s="67"/>
      <c r="F133" s="67"/>
      <c r="G133" s="69"/>
      <c r="H133" s="74">
        <v>0</v>
      </c>
    </row>
    <row r="134" spans="3:9" ht="19.8" customHeight="1">
      <c r="C134" s="75" t="s">
        <v>1218</v>
      </c>
      <c r="D134" s="76" t="s">
        <v>1219</v>
      </c>
      <c r="E134" s="77"/>
      <c r="F134" s="77"/>
      <c r="G134" s="78"/>
      <c r="H134" s="64">
        <f>H133+H131+H126</f>
        <v>120271.1</v>
      </c>
    </row>
    <row r="135" spans="3:9" ht="19.8" customHeight="1">
      <c r="C135" s="75" t="s">
        <v>1220</v>
      </c>
      <c r="D135" s="76" t="s">
        <v>1321</v>
      </c>
      <c r="E135" s="77"/>
      <c r="F135" s="78"/>
      <c r="G135" s="80">
        <f>$M$8</f>
        <v>0.1</v>
      </c>
      <c r="H135" s="64">
        <f>H134*G135</f>
        <v>12027.11</v>
      </c>
    </row>
    <row r="136" spans="3:9" ht="19.8" customHeight="1" thickBot="1">
      <c r="C136" s="81" t="s">
        <v>1221</v>
      </c>
      <c r="D136" s="82" t="s">
        <v>1222</v>
      </c>
      <c r="E136" s="83"/>
      <c r="F136" s="83"/>
      <c r="G136" s="84"/>
      <c r="H136" s="85">
        <f>SUM(H134:H135)</f>
        <v>132298.21000000002</v>
      </c>
    </row>
    <row r="137" spans="3:9" ht="14.4" thickTop="1">
      <c r="C137" s="89"/>
      <c r="D137" s="90"/>
      <c r="E137" s="90"/>
      <c r="F137" s="90"/>
      <c r="G137" s="90"/>
      <c r="H137" s="91"/>
    </row>
    <row r="138" spans="3:9" ht="28.95" customHeight="1" thickBot="1">
      <c r="C138" s="44" t="s">
        <v>2749</v>
      </c>
      <c r="D138" s="453" t="s">
        <v>1338</v>
      </c>
      <c r="E138" s="453"/>
      <c r="F138" s="453"/>
      <c r="G138" s="453"/>
      <c r="H138" s="453"/>
      <c r="I138" s="50">
        <f>ROUNDDOWN(H155,-2)</f>
        <v>128400</v>
      </c>
    </row>
    <row r="139" spans="3:9" ht="28.2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</row>
    <row r="140" spans="3:9" ht="19.8" customHeight="1">
      <c r="C140" s="55" t="s">
        <v>1201</v>
      </c>
      <c r="D140" s="56" t="s">
        <v>1202</v>
      </c>
      <c r="E140" s="57"/>
      <c r="F140" s="57"/>
      <c r="G140" s="57"/>
      <c r="H140" s="58"/>
    </row>
    <row r="141" spans="3:9" ht="19.8" customHeight="1">
      <c r="C141" s="60">
        <v>1</v>
      </c>
      <c r="D141" s="56" t="s">
        <v>5</v>
      </c>
      <c r="E141" s="61" t="s">
        <v>6</v>
      </c>
      <c r="F141" s="101">
        <v>0.2</v>
      </c>
      <c r="G141" s="63">
        <f>VLOOKUP(D141,upahbahan,3,FALSE)</f>
        <v>100000</v>
      </c>
      <c r="H141" s="64">
        <f>F141*G141</f>
        <v>20000</v>
      </c>
    </row>
    <row r="142" spans="3:9" ht="19.8" customHeight="1">
      <c r="C142" s="60">
        <v>2</v>
      </c>
      <c r="D142" s="56" t="s">
        <v>7</v>
      </c>
      <c r="E142" s="61" t="s">
        <v>6</v>
      </c>
      <c r="F142" s="101">
        <v>0.1</v>
      </c>
      <c r="G142" s="63">
        <f>VLOOKUP(D142,upahbahan,3,FALSE)</f>
        <v>135000</v>
      </c>
      <c r="H142" s="64">
        <f>F142*G142</f>
        <v>13500</v>
      </c>
    </row>
    <row r="143" spans="3:9" ht="19.8" customHeight="1">
      <c r="C143" s="60">
        <v>3</v>
      </c>
      <c r="D143" s="56" t="s">
        <v>18</v>
      </c>
      <c r="E143" s="61" t="s">
        <v>6</v>
      </c>
      <c r="F143" s="101">
        <v>0.01</v>
      </c>
      <c r="G143" s="63">
        <f>VLOOKUP(D143,upahbahan,3,FALSE)</f>
        <v>150000</v>
      </c>
      <c r="H143" s="64">
        <f>F143*G143</f>
        <v>1500</v>
      </c>
    </row>
    <row r="144" spans="3:9" ht="19.8" customHeight="1">
      <c r="C144" s="60">
        <v>4</v>
      </c>
      <c r="D144" s="56" t="s">
        <v>19</v>
      </c>
      <c r="E144" s="61" t="s">
        <v>6</v>
      </c>
      <c r="F144" s="101">
        <v>3.3E-3</v>
      </c>
      <c r="G144" s="63">
        <f>VLOOKUP(D144,upahbahan,3,FALSE)</f>
        <v>160000</v>
      </c>
      <c r="H144" s="64">
        <f>F144*G144</f>
        <v>528</v>
      </c>
    </row>
    <row r="145" spans="3:9" ht="19.8" customHeight="1">
      <c r="C145" s="66" t="s">
        <v>1331</v>
      </c>
      <c r="D145" s="67"/>
      <c r="E145" s="67"/>
      <c r="F145" s="67"/>
      <c r="G145" s="69"/>
      <c r="H145" s="64">
        <f>SUM(H141:H144)</f>
        <v>35528</v>
      </c>
    </row>
    <row r="146" spans="3:9" ht="19.8" customHeight="1">
      <c r="C146" s="55" t="s">
        <v>1209</v>
      </c>
      <c r="D146" s="56" t="s">
        <v>1210</v>
      </c>
      <c r="E146" s="57"/>
      <c r="F146" s="57"/>
      <c r="G146" s="57"/>
      <c r="H146" s="58"/>
    </row>
    <row r="147" spans="3:9" ht="19.8" customHeight="1">
      <c r="C147" s="60">
        <v>1</v>
      </c>
      <c r="D147" s="56" t="s">
        <v>43</v>
      </c>
      <c r="E147" s="61" t="s">
        <v>44</v>
      </c>
      <c r="F147" s="62">
        <v>71.91</v>
      </c>
      <c r="G147" s="63">
        <f>VLOOKUP(D147,upahbahan,3,FALSE)</f>
        <v>700</v>
      </c>
      <c r="H147" s="64">
        <f>F147*G147</f>
        <v>50337</v>
      </c>
    </row>
    <row r="148" spans="3:9" ht="19.8" customHeight="1">
      <c r="C148" s="60">
        <v>2</v>
      </c>
      <c r="D148" s="56" t="s">
        <v>2334</v>
      </c>
      <c r="E148" s="61" t="s">
        <v>65</v>
      </c>
      <c r="F148" s="62">
        <v>11.5</v>
      </c>
      <c r="G148" s="63">
        <f>VLOOKUP(D148,upahbahan,3,FALSE)</f>
        <v>1530</v>
      </c>
      <c r="H148" s="64">
        <f>F148*G148</f>
        <v>17595</v>
      </c>
    </row>
    <row r="149" spans="3:9" ht="19.8" customHeight="1">
      <c r="C149" s="60">
        <v>3</v>
      </c>
      <c r="D149" s="72" t="s">
        <v>85</v>
      </c>
      <c r="E149" s="61" t="s">
        <v>42</v>
      </c>
      <c r="F149" s="62">
        <v>4.2999999999999997E-2</v>
      </c>
      <c r="G149" s="63">
        <f>VLOOKUP(D149,upahbahan,3,FALSE)</f>
        <v>310500</v>
      </c>
      <c r="H149" s="64">
        <f>F149*G149</f>
        <v>13351.499999999998</v>
      </c>
    </row>
    <row r="150" spans="3:9" ht="19.8" customHeight="1">
      <c r="C150" s="66" t="s">
        <v>1214</v>
      </c>
      <c r="D150" s="67"/>
      <c r="E150" s="67"/>
      <c r="F150" s="67"/>
      <c r="G150" s="69"/>
      <c r="H150" s="64">
        <f>SUM(H147:H149)</f>
        <v>81283.5</v>
      </c>
    </row>
    <row r="151" spans="3:9" ht="19.8" customHeight="1">
      <c r="C151" s="167" t="s">
        <v>1215</v>
      </c>
      <c r="D151" s="56" t="s">
        <v>1216</v>
      </c>
      <c r="E151" s="57"/>
      <c r="F151" s="57"/>
      <c r="G151" s="57"/>
      <c r="H151" s="58"/>
    </row>
    <row r="152" spans="3:9" ht="19.8" customHeight="1">
      <c r="C152" s="66" t="s">
        <v>1217</v>
      </c>
      <c r="D152" s="67"/>
      <c r="E152" s="67"/>
      <c r="F152" s="67"/>
      <c r="G152" s="69"/>
      <c r="H152" s="74">
        <v>0</v>
      </c>
    </row>
    <row r="153" spans="3:9" ht="19.8" customHeight="1">
      <c r="C153" s="75" t="s">
        <v>1218</v>
      </c>
      <c r="D153" s="76" t="s">
        <v>1219</v>
      </c>
      <c r="E153" s="77"/>
      <c r="F153" s="77"/>
      <c r="G153" s="78"/>
      <c r="H153" s="64">
        <f>H152+H150+H145</f>
        <v>116811.5</v>
      </c>
    </row>
    <row r="154" spans="3:9" ht="19.8" customHeight="1">
      <c r="C154" s="75" t="s">
        <v>1220</v>
      </c>
      <c r="D154" s="76" t="s">
        <v>1321</v>
      </c>
      <c r="E154" s="77"/>
      <c r="F154" s="78"/>
      <c r="G154" s="80">
        <f>$M$8</f>
        <v>0.1</v>
      </c>
      <c r="H154" s="64">
        <f>H153*G154</f>
        <v>11681.150000000001</v>
      </c>
    </row>
    <row r="155" spans="3:9" ht="19.8" customHeight="1" thickBot="1">
      <c r="C155" s="81" t="s">
        <v>1221</v>
      </c>
      <c r="D155" s="82" t="s">
        <v>1222</v>
      </c>
      <c r="E155" s="83"/>
      <c r="F155" s="83"/>
      <c r="G155" s="84"/>
      <c r="H155" s="85">
        <f>SUM(H153:H154)</f>
        <v>128492.65</v>
      </c>
    </row>
    <row r="156" spans="3:9" ht="14.4" thickTop="1">
      <c r="C156" s="89"/>
      <c r="D156" s="90"/>
      <c r="E156" s="90"/>
      <c r="F156" s="90"/>
      <c r="G156" s="90"/>
      <c r="H156" s="91"/>
    </row>
    <row r="157" spans="3:9" ht="30.15" customHeight="1" thickBot="1">
      <c r="C157" s="44" t="s">
        <v>2750</v>
      </c>
      <c r="D157" s="454" t="s">
        <v>1339</v>
      </c>
      <c r="E157" s="454"/>
      <c r="F157" s="454"/>
      <c r="G157" s="454"/>
      <c r="H157" s="454"/>
      <c r="I157" s="50">
        <f>ROUNDDOWN(H174,-2)</f>
        <v>126100</v>
      </c>
    </row>
    <row r="158" spans="3:9" ht="28.2" thickTop="1">
      <c r="C158" s="51" t="s">
        <v>1195</v>
      </c>
      <c r="D158" s="52" t="s">
        <v>1196</v>
      </c>
      <c r="E158" s="52" t="s">
        <v>1197</v>
      </c>
      <c r="F158" s="52" t="s">
        <v>1198</v>
      </c>
      <c r="G158" s="52" t="s">
        <v>1199</v>
      </c>
      <c r="H158" s="53" t="s">
        <v>1200</v>
      </c>
    </row>
    <row r="159" spans="3:9" ht="19.8" customHeight="1">
      <c r="C159" s="55" t="s">
        <v>1201</v>
      </c>
      <c r="D159" s="56" t="s">
        <v>1202</v>
      </c>
      <c r="E159" s="57"/>
      <c r="F159" s="57"/>
      <c r="G159" s="57"/>
      <c r="H159" s="58"/>
    </row>
    <row r="160" spans="3:9" ht="19.8" customHeight="1">
      <c r="C160" s="60">
        <v>1</v>
      </c>
      <c r="D160" s="56" t="s">
        <v>5</v>
      </c>
      <c r="E160" s="61" t="s">
        <v>6</v>
      </c>
      <c r="F160" s="101">
        <v>0.2</v>
      </c>
      <c r="G160" s="63">
        <f>VLOOKUP(D160,upahbahan,3,FALSE)</f>
        <v>100000</v>
      </c>
      <c r="H160" s="64">
        <f>F160*G160</f>
        <v>20000</v>
      </c>
    </row>
    <row r="161" spans="3:9" ht="19.8" customHeight="1">
      <c r="C161" s="60">
        <v>2</v>
      </c>
      <c r="D161" s="56" t="s">
        <v>7</v>
      </c>
      <c r="E161" s="61" t="s">
        <v>6</v>
      </c>
      <c r="F161" s="101">
        <v>0.1</v>
      </c>
      <c r="G161" s="63">
        <f>VLOOKUP(D161,upahbahan,3,FALSE)</f>
        <v>135000</v>
      </c>
      <c r="H161" s="64">
        <f>F161*G161</f>
        <v>13500</v>
      </c>
    </row>
    <row r="162" spans="3:9" ht="19.8" customHeight="1">
      <c r="C162" s="60">
        <v>3</v>
      </c>
      <c r="D162" s="56" t="s">
        <v>18</v>
      </c>
      <c r="E162" s="61" t="s">
        <v>6</v>
      </c>
      <c r="F162" s="101">
        <v>0.01</v>
      </c>
      <c r="G162" s="63">
        <f>VLOOKUP(D162,upahbahan,3,FALSE)</f>
        <v>150000</v>
      </c>
      <c r="H162" s="64">
        <f>F162*G162</f>
        <v>1500</v>
      </c>
    </row>
    <row r="163" spans="3:9" ht="19.8" customHeight="1">
      <c r="C163" s="60">
        <v>4</v>
      </c>
      <c r="D163" s="56" t="s">
        <v>19</v>
      </c>
      <c r="E163" s="61" t="s">
        <v>6</v>
      </c>
      <c r="F163" s="101">
        <v>3.3E-3</v>
      </c>
      <c r="G163" s="63">
        <f>VLOOKUP(D163,upahbahan,3,FALSE)</f>
        <v>160000</v>
      </c>
      <c r="H163" s="64">
        <f>F163*G163</f>
        <v>528</v>
      </c>
    </row>
    <row r="164" spans="3:9" ht="19.8" customHeight="1">
      <c r="C164" s="66" t="s">
        <v>1331</v>
      </c>
      <c r="D164" s="67"/>
      <c r="E164" s="67"/>
      <c r="F164" s="67"/>
      <c r="G164" s="69"/>
      <c r="H164" s="64">
        <f>SUM(H160:H163)</f>
        <v>35528</v>
      </c>
    </row>
    <row r="165" spans="3:9" ht="19.8" customHeight="1">
      <c r="C165" s="55" t="s">
        <v>1209</v>
      </c>
      <c r="D165" s="56" t="s">
        <v>1210</v>
      </c>
      <c r="E165" s="57"/>
      <c r="F165" s="57"/>
      <c r="G165" s="57"/>
      <c r="H165" s="58"/>
    </row>
    <row r="166" spans="3:9" ht="19.8" customHeight="1">
      <c r="C166" s="60">
        <v>1</v>
      </c>
      <c r="D166" s="56" t="s">
        <v>43</v>
      </c>
      <c r="E166" s="61" t="s">
        <v>44</v>
      </c>
      <c r="F166" s="62">
        <v>71.91</v>
      </c>
      <c r="G166" s="63">
        <f>VLOOKUP(D166,upahbahan,3,FALSE)</f>
        <v>700</v>
      </c>
      <c r="H166" s="64">
        <f>F166*G166</f>
        <v>50337</v>
      </c>
    </row>
    <row r="167" spans="3:9" ht="19.8" customHeight="1">
      <c r="C167" s="60">
        <v>2</v>
      </c>
      <c r="D167" s="56" t="s">
        <v>2332</v>
      </c>
      <c r="E167" s="61" t="s">
        <v>65</v>
      </c>
      <c r="F167" s="62">
        <v>9.68</v>
      </c>
      <c r="G167" s="63">
        <f>VLOOKUP(D167,upahbahan,3,FALSE)</f>
        <v>1530</v>
      </c>
      <c r="H167" s="64">
        <f>F167*G167</f>
        <v>14810.4</v>
      </c>
    </row>
    <row r="168" spans="3:9" ht="19.8" customHeight="1">
      <c r="C168" s="60">
        <v>3</v>
      </c>
      <c r="D168" s="72" t="s">
        <v>85</v>
      </c>
      <c r="E168" s="61" t="s">
        <v>42</v>
      </c>
      <c r="F168" s="62">
        <v>4.4999999999999998E-2</v>
      </c>
      <c r="G168" s="63">
        <f>VLOOKUP(D168,upahbahan,3,FALSE)</f>
        <v>310500</v>
      </c>
      <c r="H168" s="64">
        <f>F168*G168</f>
        <v>13972.5</v>
      </c>
    </row>
    <row r="169" spans="3:9" ht="19.8" customHeight="1">
      <c r="C169" s="66" t="s">
        <v>1214</v>
      </c>
      <c r="D169" s="67"/>
      <c r="E169" s="67"/>
      <c r="F169" s="67"/>
      <c r="G169" s="69"/>
      <c r="H169" s="64">
        <f>SUM(H166:H168)</f>
        <v>79119.899999999994</v>
      </c>
    </row>
    <row r="170" spans="3:9" ht="19.8" customHeight="1">
      <c r="C170" s="167" t="s">
        <v>1215</v>
      </c>
      <c r="D170" s="56" t="s">
        <v>1216</v>
      </c>
      <c r="E170" s="57"/>
      <c r="F170" s="57"/>
      <c r="G170" s="57"/>
      <c r="H170" s="58"/>
    </row>
    <row r="171" spans="3:9" ht="19.8" customHeight="1">
      <c r="C171" s="66" t="s">
        <v>1217</v>
      </c>
      <c r="D171" s="67"/>
      <c r="E171" s="67"/>
      <c r="F171" s="67"/>
      <c r="G171" s="69"/>
      <c r="H171" s="74">
        <v>0</v>
      </c>
    </row>
    <row r="172" spans="3:9" ht="19.8" customHeight="1">
      <c r="C172" s="75" t="s">
        <v>1218</v>
      </c>
      <c r="D172" s="76" t="s">
        <v>1219</v>
      </c>
      <c r="E172" s="77"/>
      <c r="F172" s="77"/>
      <c r="G172" s="78"/>
      <c r="H172" s="64">
        <f>H171+H169+H164</f>
        <v>114647.9</v>
      </c>
    </row>
    <row r="173" spans="3:9" ht="19.8" customHeight="1">
      <c r="C173" s="75" t="s">
        <v>1220</v>
      </c>
      <c r="D173" s="76" t="s">
        <v>1321</v>
      </c>
      <c r="E173" s="77"/>
      <c r="F173" s="78"/>
      <c r="G173" s="80">
        <f>$M$8</f>
        <v>0.1</v>
      </c>
      <c r="H173" s="64">
        <f>H172*G173</f>
        <v>11464.79</v>
      </c>
    </row>
    <row r="174" spans="3:9" ht="19.8" customHeight="1" thickBot="1">
      <c r="C174" s="81" t="s">
        <v>1221</v>
      </c>
      <c r="D174" s="82" t="s">
        <v>1222</v>
      </c>
      <c r="E174" s="83"/>
      <c r="F174" s="83"/>
      <c r="G174" s="84"/>
      <c r="H174" s="85">
        <f>SUM(H172:H173)</f>
        <v>126112.69</v>
      </c>
    </row>
    <row r="175" spans="3:9" ht="14.4" thickTop="1">
      <c r="C175" s="89"/>
      <c r="D175" s="90"/>
      <c r="E175" s="90"/>
      <c r="F175" s="90"/>
      <c r="G175" s="90"/>
      <c r="H175" s="91"/>
    </row>
    <row r="176" spans="3:9" ht="14.4" thickBot="1">
      <c r="C176" s="44" t="s">
        <v>2751</v>
      </c>
      <c r="D176" s="455" t="s">
        <v>1340</v>
      </c>
      <c r="E176" s="456"/>
      <c r="F176" s="456"/>
      <c r="G176" s="456"/>
      <c r="H176" s="456"/>
      <c r="I176" s="50">
        <f>ROUNDDOWN(H193,-2)</f>
        <v>125100</v>
      </c>
    </row>
    <row r="177" spans="3:8" ht="28.2" thickTop="1">
      <c r="C177" s="51" t="s">
        <v>1195</v>
      </c>
      <c r="D177" s="52" t="s">
        <v>1196</v>
      </c>
      <c r="E177" s="52" t="s">
        <v>1197</v>
      </c>
      <c r="F177" s="52" t="s">
        <v>1198</v>
      </c>
      <c r="G177" s="52" t="s">
        <v>1199</v>
      </c>
      <c r="H177" s="53" t="s">
        <v>1200</v>
      </c>
    </row>
    <row r="178" spans="3:8" ht="19.8" customHeight="1">
      <c r="C178" s="55" t="s">
        <v>1201</v>
      </c>
      <c r="D178" s="56" t="s">
        <v>1202</v>
      </c>
      <c r="E178" s="57"/>
      <c r="F178" s="57"/>
      <c r="G178" s="57"/>
      <c r="H178" s="58"/>
    </row>
    <row r="179" spans="3:8" ht="19.8" customHeight="1">
      <c r="C179" s="60">
        <v>1</v>
      </c>
      <c r="D179" s="56" t="s">
        <v>5</v>
      </c>
      <c r="E179" s="61" t="s">
        <v>6</v>
      </c>
      <c r="F179" s="101">
        <v>0.2</v>
      </c>
      <c r="G179" s="63">
        <f>VLOOKUP(D179,upahbahan,3,FALSE)</f>
        <v>100000</v>
      </c>
      <c r="H179" s="64">
        <f>F179*G179</f>
        <v>20000</v>
      </c>
    </row>
    <row r="180" spans="3:8" ht="19.8" customHeight="1">
      <c r="C180" s="60">
        <v>2</v>
      </c>
      <c r="D180" s="56" t="s">
        <v>7</v>
      </c>
      <c r="E180" s="61" t="s">
        <v>6</v>
      </c>
      <c r="F180" s="101">
        <v>0.1</v>
      </c>
      <c r="G180" s="63">
        <f>VLOOKUP(D180,upahbahan,3,FALSE)</f>
        <v>135000</v>
      </c>
      <c r="H180" s="64">
        <f>F180*G180</f>
        <v>13500</v>
      </c>
    </row>
    <row r="181" spans="3:8" ht="19.8" customHeight="1">
      <c r="C181" s="60">
        <v>3</v>
      </c>
      <c r="D181" s="56" t="s">
        <v>18</v>
      </c>
      <c r="E181" s="61" t="s">
        <v>6</v>
      </c>
      <c r="F181" s="101">
        <v>0.01</v>
      </c>
      <c r="G181" s="63">
        <f>VLOOKUP(D181,upahbahan,3,FALSE)</f>
        <v>150000</v>
      </c>
      <c r="H181" s="64">
        <f>F181*G181</f>
        <v>1500</v>
      </c>
    </row>
    <row r="182" spans="3:8" ht="19.8" customHeight="1">
      <c r="C182" s="60">
        <v>4</v>
      </c>
      <c r="D182" s="56" t="s">
        <v>19</v>
      </c>
      <c r="E182" s="61" t="s">
        <v>6</v>
      </c>
      <c r="F182" s="101">
        <v>3.3E-3</v>
      </c>
      <c r="G182" s="63">
        <f>VLOOKUP(D182,upahbahan,3,FALSE)</f>
        <v>160000</v>
      </c>
      <c r="H182" s="64">
        <f>F182*G182</f>
        <v>528</v>
      </c>
    </row>
    <row r="183" spans="3:8" ht="19.8" customHeight="1">
      <c r="C183" s="66" t="s">
        <v>1331</v>
      </c>
      <c r="D183" s="67"/>
      <c r="E183" s="67"/>
      <c r="F183" s="67"/>
      <c r="G183" s="69"/>
      <c r="H183" s="64">
        <f>SUM(H179:H182)</f>
        <v>35528</v>
      </c>
    </row>
    <row r="184" spans="3:8" ht="19.8" customHeight="1">
      <c r="C184" s="55" t="s">
        <v>1209</v>
      </c>
      <c r="D184" s="56" t="s">
        <v>1210</v>
      </c>
      <c r="E184" s="57"/>
      <c r="F184" s="57"/>
      <c r="G184" s="57"/>
      <c r="H184" s="58"/>
    </row>
    <row r="185" spans="3:8" ht="19.8" customHeight="1">
      <c r="C185" s="60">
        <v>1</v>
      </c>
      <c r="D185" s="56" t="s">
        <v>43</v>
      </c>
      <c r="E185" s="61" t="s">
        <v>44</v>
      </c>
      <c r="F185" s="62">
        <v>71.91</v>
      </c>
      <c r="G185" s="63">
        <f>VLOOKUP(D185,upahbahan,3,FALSE)</f>
        <v>700</v>
      </c>
      <c r="H185" s="64">
        <f>F185*G185</f>
        <v>50337</v>
      </c>
    </row>
    <row r="186" spans="3:8" ht="19.8" customHeight="1">
      <c r="C186" s="60">
        <v>2</v>
      </c>
      <c r="D186" s="56" t="s">
        <v>2332</v>
      </c>
      <c r="E186" s="61" t="s">
        <v>65</v>
      </c>
      <c r="F186" s="62">
        <v>8.32</v>
      </c>
      <c r="G186" s="63">
        <f>VLOOKUP(D186,upahbahan,3,FALSE)</f>
        <v>1530</v>
      </c>
      <c r="H186" s="64">
        <f>F186*G186</f>
        <v>12729.6</v>
      </c>
    </row>
    <row r="187" spans="3:8" ht="19.8" customHeight="1">
      <c r="C187" s="60">
        <v>3</v>
      </c>
      <c r="D187" s="72" t="s">
        <v>85</v>
      </c>
      <c r="E187" s="61" t="s">
        <v>42</v>
      </c>
      <c r="F187" s="62">
        <v>4.9000000000000002E-2</v>
      </c>
      <c r="G187" s="63">
        <f>VLOOKUP(D187,upahbahan,3,FALSE)</f>
        <v>310500</v>
      </c>
      <c r="H187" s="64">
        <f>F187*G187</f>
        <v>15214.5</v>
      </c>
    </row>
    <row r="188" spans="3:8" ht="19.8" customHeight="1">
      <c r="C188" s="66" t="s">
        <v>1214</v>
      </c>
      <c r="D188" s="67"/>
      <c r="E188" s="67"/>
      <c r="F188" s="67"/>
      <c r="G188" s="69"/>
      <c r="H188" s="64">
        <f>SUM(H185:H187)</f>
        <v>78281.100000000006</v>
      </c>
    </row>
    <row r="189" spans="3:8" ht="19.8" customHeight="1">
      <c r="C189" s="167" t="s">
        <v>1215</v>
      </c>
      <c r="D189" s="56" t="s">
        <v>1216</v>
      </c>
      <c r="E189" s="57"/>
      <c r="F189" s="57"/>
      <c r="G189" s="57"/>
      <c r="H189" s="58"/>
    </row>
    <row r="190" spans="3:8" ht="19.8" customHeight="1">
      <c r="C190" s="66" t="s">
        <v>1217</v>
      </c>
      <c r="D190" s="67"/>
      <c r="E190" s="67"/>
      <c r="F190" s="67"/>
      <c r="G190" s="69"/>
      <c r="H190" s="74">
        <v>0</v>
      </c>
    </row>
    <row r="191" spans="3:8" ht="19.8" customHeight="1">
      <c r="C191" s="75" t="s">
        <v>1218</v>
      </c>
      <c r="D191" s="76" t="s">
        <v>1219</v>
      </c>
      <c r="E191" s="77"/>
      <c r="F191" s="77"/>
      <c r="G191" s="78"/>
      <c r="H191" s="64">
        <f>H190+H188+H183</f>
        <v>113809.1</v>
      </c>
    </row>
    <row r="192" spans="3:8" ht="19.8" customHeight="1">
      <c r="C192" s="75" t="s">
        <v>1220</v>
      </c>
      <c r="D192" s="76" t="s">
        <v>1321</v>
      </c>
      <c r="E192" s="77"/>
      <c r="F192" s="78"/>
      <c r="G192" s="80">
        <f>$M$8</f>
        <v>0.1</v>
      </c>
      <c r="H192" s="64">
        <f>H191*G192</f>
        <v>11380.910000000002</v>
      </c>
    </row>
    <row r="193" spans="3:9" ht="19.8" customHeight="1" thickBot="1">
      <c r="C193" s="81" t="s">
        <v>1221</v>
      </c>
      <c r="D193" s="82" t="s">
        <v>1222</v>
      </c>
      <c r="E193" s="83"/>
      <c r="F193" s="83"/>
      <c r="G193" s="84"/>
      <c r="H193" s="85">
        <f>SUM(H191:H192)</f>
        <v>125190.01000000001</v>
      </c>
    </row>
    <row r="194" spans="3:9" ht="14.4" thickTop="1">
      <c r="C194" s="169"/>
      <c r="D194" s="1882"/>
      <c r="E194" s="1882"/>
      <c r="F194" s="1882"/>
      <c r="G194" s="1882"/>
      <c r="H194" s="1882"/>
    </row>
    <row r="195" spans="3:9">
      <c r="C195" s="169" t="s">
        <v>2752</v>
      </c>
      <c r="D195" s="457" t="s">
        <v>2753</v>
      </c>
      <c r="E195" s="457"/>
      <c r="F195" s="457"/>
      <c r="G195" s="457"/>
      <c r="H195" s="457"/>
    </row>
    <row r="196" spans="3:9" ht="31.65" customHeight="1" thickBot="1">
      <c r="C196" s="44" t="s">
        <v>2754</v>
      </c>
      <c r="D196" s="454" t="s">
        <v>1341</v>
      </c>
      <c r="E196" s="454"/>
      <c r="F196" s="454"/>
      <c r="G196" s="454"/>
      <c r="H196" s="454"/>
      <c r="I196" s="50">
        <f>ROUNDDOWN(H214,-2)</f>
        <v>343000</v>
      </c>
    </row>
    <row r="197" spans="3:9" ht="28.2" thickTop="1">
      <c r="C197" s="51" t="s">
        <v>1195</v>
      </c>
      <c r="D197" s="52" t="s">
        <v>1196</v>
      </c>
      <c r="E197" s="52" t="s">
        <v>1197</v>
      </c>
      <c r="F197" s="52" t="s">
        <v>1198</v>
      </c>
      <c r="G197" s="52" t="s">
        <v>1199</v>
      </c>
      <c r="H197" s="53" t="s">
        <v>1200</v>
      </c>
    </row>
    <row r="198" spans="3:9" ht="19.8" customHeight="1">
      <c r="C198" s="55" t="s">
        <v>1201</v>
      </c>
      <c r="D198" s="56" t="s">
        <v>1202</v>
      </c>
      <c r="E198" s="57"/>
      <c r="F198" s="57"/>
      <c r="G198" s="57"/>
      <c r="H198" s="58"/>
    </row>
    <row r="199" spans="3:9" ht="19.8" customHeight="1">
      <c r="C199" s="60">
        <v>1</v>
      </c>
      <c r="D199" s="56" t="s">
        <v>5</v>
      </c>
      <c r="E199" s="61" t="s">
        <v>6</v>
      </c>
      <c r="F199" s="98">
        <v>0.16669999999999999</v>
      </c>
      <c r="G199" s="63">
        <f>VLOOKUP(D199,upahbahan,3,FALSE)</f>
        <v>100000</v>
      </c>
      <c r="H199" s="64">
        <f>F199*G199</f>
        <v>16670</v>
      </c>
    </row>
    <row r="200" spans="3:9" ht="19.8" customHeight="1">
      <c r="C200" s="60">
        <v>2</v>
      </c>
      <c r="D200" s="56" t="s">
        <v>7</v>
      </c>
      <c r="E200" s="61" t="s">
        <v>6</v>
      </c>
      <c r="F200" s="98">
        <v>8.3299999999999999E-2</v>
      </c>
      <c r="G200" s="63">
        <f>VLOOKUP(D200,upahbahan,3,FALSE)</f>
        <v>135000</v>
      </c>
      <c r="H200" s="64">
        <f>F200*G200</f>
        <v>11245.5</v>
      </c>
    </row>
    <row r="201" spans="3:9" ht="19.8" customHeight="1">
      <c r="C201" s="60">
        <v>3</v>
      </c>
      <c r="D201" s="56" t="s">
        <v>18</v>
      </c>
      <c r="E201" s="61" t="s">
        <v>6</v>
      </c>
      <c r="F201" s="98">
        <v>8.3000000000000001E-3</v>
      </c>
      <c r="G201" s="63">
        <f>VLOOKUP(D201,upahbahan,3,FALSE)</f>
        <v>150000</v>
      </c>
      <c r="H201" s="64">
        <f>F201*G201</f>
        <v>1245</v>
      </c>
    </row>
    <row r="202" spans="3:9" ht="19.8" customHeight="1">
      <c r="C202" s="60">
        <v>4</v>
      </c>
      <c r="D202" s="56" t="s">
        <v>19</v>
      </c>
      <c r="E202" s="61" t="s">
        <v>6</v>
      </c>
      <c r="F202" s="98">
        <v>2.8E-3</v>
      </c>
      <c r="G202" s="63">
        <f>VLOOKUP(D202,upahbahan,3,FALSE)</f>
        <v>160000</v>
      </c>
      <c r="H202" s="64">
        <f>F202*G202</f>
        <v>448</v>
      </c>
    </row>
    <row r="203" spans="3:9" ht="19.8" customHeight="1">
      <c r="C203" s="66" t="s">
        <v>1331</v>
      </c>
      <c r="D203" s="67"/>
      <c r="E203" s="67"/>
      <c r="F203" s="67"/>
      <c r="G203" s="69"/>
      <c r="H203" s="64">
        <f>SUM(H199:H202)</f>
        <v>29608.5</v>
      </c>
    </row>
    <row r="204" spans="3:9" ht="19.8" customHeight="1">
      <c r="C204" s="55" t="s">
        <v>1209</v>
      </c>
      <c r="D204" s="56" t="s">
        <v>1210</v>
      </c>
      <c r="E204" s="57"/>
      <c r="F204" s="57"/>
      <c r="G204" s="57"/>
      <c r="H204" s="58"/>
    </row>
    <row r="205" spans="3:9" ht="19.8" customHeight="1">
      <c r="C205" s="99" t="s">
        <v>1203</v>
      </c>
      <c r="D205" s="56" t="s">
        <v>77</v>
      </c>
      <c r="E205" s="61" t="s">
        <v>44</v>
      </c>
      <c r="F205" s="62">
        <v>14</v>
      </c>
      <c r="G205" s="63">
        <f>VLOOKUP(D205,upahbahan,3,FALSE)</f>
        <v>0</v>
      </c>
      <c r="H205" s="64">
        <f>F205*G205</f>
        <v>0</v>
      </c>
    </row>
    <row r="206" spans="3:9" ht="19.8" customHeight="1">
      <c r="C206" s="99" t="s">
        <v>1204</v>
      </c>
      <c r="D206" s="56" t="s">
        <v>2332</v>
      </c>
      <c r="E206" s="61" t="s">
        <v>65</v>
      </c>
      <c r="F206" s="62">
        <v>30.32</v>
      </c>
      <c r="G206" s="63">
        <f>VLOOKUP(D206,upahbahan,3,FALSE)</f>
        <v>1530</v>
      </c>
      <c r="H206" s="64">
        <f>F206*G206</f>
        <v>46389.599999999999</v>
      </c>
    </row>
    <row r="207" spans="3:9" ht="19.8" customHeight="1">
      <c r="C207" s="99" t="s">
        <v>1205</v>
      </c>
      <c r="D207" s="72" t="s">
        <v>85</v>
      </c>
      <c r="E207" s="61" t="s">
        <v>42</v>
      </c>
      <c r="F207" s="62">
        <v>0.72799999999999998</v>
      </c>
      <c r="G207" s="63">
        <f>VLOOKUP(D207,upahbahan,3,FALSE)</f>
        <v>310500</v>
      </c>
      <c r="H207" s="64">
        <f>F207*G207</f>
        <v>226044</v>
      </c>
    </row>
    <row r="208" spans="3:9" ht="19.8" customHeight="1">
      <c r="C208" s="99" t="s">
        <v>1206</v>
      </c>
      <c r="D208" s="72" t="s">
        <v>218</v>
      </c>
      <c r="E208" s="61" t="s">
        <v>65</v>
      </c>
      <c r="F208" s="62">
        <v>0.28000000000000003</v>
      </c>
      <c r="G208" s="63">
        <f>VLOOKUP(D208,upahbahan,3,FALSE)</f>
        <v>35000</v>
      </c>
      <c r="H208" s="64">
        <f>F208*G208</f>
        <v>9800.0000000000018</v>
      </c>
    </row>
    <row r="209" spans="3:9" ht="19.8" customHeight="1">
      <c r="C209" s="66" t="s">
        <v>1214</v>
      </c>
      <c r="D209" s="67"/>
      <c r="E209" s="67"/>
      <c r="F209" s="67"/>
      <c r="G209" s="69"/>
      <c r="H209" s="64">
        <f>SUM(H205:H208)</f>
        <v>282233.59999999998</v>
      </c>
    </row>
    <row r="210" spans="3:9" ht="19.8" customHeight="1">
      <c r="C210" s="167" t="s">
        <v>1215</v>
      </c>
      <c r="D210" s="56" t="s">
        <v>1216</v>
      </c>
      <c r="E210" s="57"/>
      <c r="F210" s="57"/>
      <c r="G210" s="57"/>
      <c r="H210" s="58"/>
    </row>
    <row r="211" spans="3:9" ht="19.8" customHeight="1">
      <c r="C211" s="66" t="s">
        <v>1217</v>
      </c>
      <c r="D211" s="67"/>
      <c r="E211" s="67"/>
      <c r="F211" s="67"/>
      <c r="G211" s="69"/>
      <c r="H211" s="74">
        <v>0</v>
      </c>
    </row>
    <row r="212" spans="3:9" ht="19.8" customHeight="1">
      <c r="C212" s="75" t="s">
        <v>1218</v>
      </c>
      <c r="D212" s="76" t="s">
        <v>1219</v>
      </c>
      <c r="E212" s="77"/>
      <c r="F212" s="77"/>
      <c r="G212" s="78"/>
      <c r="H212" s="64">
        <f>H211+H209+H203</f>
        <v>311842.09999999998</v>
      </c>
    </row>
    <row r="213" spans="3:9" ht="19.8" customHeight="1">
      <c r="C213" s="75" t="s">
        <v>1220</v>
      </c>
      <c r="D213" s="76" t="s">
        <v>1321</v>
      </c>
      <c r="E213" s="77"/>
      <c r="F213" s="78"/>
      <c r="G213" s="80">
        <f>$M$8</f>
        <v>0.1</v>
      </c>
      <c r="H213" s="64">
        <f>H212*G213</f>
        <v>31184.21</v>
      </c>
    </row>
    <row r="214" spans="3:9" ht="19.8" customHeight="1" thickBot="1">
      <c r="C214" s="81" t="s">
        <v>1221</v>
      </c>
      <c r="D214" s="82" t="s">
        <v>1222</v>
      </c>
      <c r="E214" s="83"/>
      <c r="F214" s="83"/>
      <c r="G214" s="84"/>
      <c r="H214" s="85">
        <f>SUM(H212:H213)</f>
        <v>343026.31</v>
      </c>
    </row>
    <row r="215" spans="3:9" ht="14.4" thickTop="1">
      <c r="C215" s="89"/>
      <c r="D215" s="90"/>
      <c r="E215" s="90"/>
      <c r="F215" s="90"/>
      <c r="G215" s="90"/>
      <c r="H215" s="91"/>
    </row>
    <row r="216" spans="3:9" ht="30.15" customHeight="1" thickBot="1">
      <c r="C216" s="47" t="s">
        <v>2755</v>
      </c>
      <c r="D216" s="454" t="s">
        <v>1342</v>
      </c>
      <c r="E216" s="454"/>
      <c r="F216" s="454"/>
      <c r="G216" s="454"/>
      <c r="H216" s="454"/>
      <c r="I216" s="50">
        <f>ROUNDDOWN(H234,-2)</f>
        <v>354300</v>
      </c>
    </row>
    <row r="217" spans="3:9" ht="28.2" thickTop="1">
      <c r="C217" s="51" t="s">
        <v>1195</v>
      </c>
      <c r="D217" s="52" t="s">
        <v>1196</v>
      </c>
      <c r="E217" s="52" t="s">
        <v>1197</v>
      </c>
      <c r="F217" s="52" t="s">
        <v>1198</v>
      </c>
      <c r="G217" s="52" t="s">
        <v>1199</v>
      </c>
      <c r="H217" s="53" t="s">
        <v>1200</v>
      </c>
    </row>
    <row r="218" spans="3:9" ht="19.8" customHeight="1">
      <c r="C218" s="55" t="s">
        <v>1201</v>
      </c>
      <c r="D218" s="56" t="s">
        <v>1202</v>
      </c>
      <c r="E218" s="57"/>
      <c r="F218" s="57"/>
      <c r="G218" s="57"/>
      <c r="H218" s="58"/>
    </row>
    <row r="219" spans="3:9" ht="19.8" customHeight="1">
      <c r="C219" s="60">
        <v>1</v>
      </c>
      <c r="D219" s="56" t="s">
        <v>5</v>
      </c>
      <c r="E219" s="61" t="s">
        <v>6</v>
      </c>
      <c r="F219" s="101">
        <v>0.2</v>
      </c>
      <c r="G219" s="63">
        <f>VLOOKUP(D219,upahbahan,3,FALSE)</f>
        <v>100000</v>
      </c>
      <c r="H219" s="64">
        <f>F219*G219</f>
        <v>20000</v>
      </c>
    </row>
    <row r="220" spans="3:9" ht="19.8" customHeight="1">
      <c r="C220" s="60">
        <v>2</v>
      </c>
      <c r="D220" s="56" t="s">
        <v>7</v>
      </c>
      <c r="E220" s="61" t="s">
        <v>6</v>
      </c>
      <c r="F220" s="101">
        <v>0.1</v>
      </c>
      <c r="G220" s="63">
        <f>VLOOKUP(D220,upahbahan,3,FALSE)</f>
        <v>135000</v>
      </c>
      <c r="H220" s="64">
        <f>F220*G220</f>
        <v>13500</v>
      </c>
    </row>
    <row r="221" spans="3:9" ht="19.8" customHeight="1">
      <c r="C221" s="60">
        <v>3</v>
      </c>
      <c r="D221" s="56" t="s">
        <v>18</v>
      </c>
      <c r="E221" s="61" t="s">
        <v>6</v>
      </c>
      <c r="F221" s="101">
        <v>0.01</v>
      </c>
      <c r="G221" s="63">
        <f>VLOOKUP(D221,upahbahan,3,FALSE)</f>
        <v>150000</v>
      </c>
      <c r="H221" s="64">
        <f>F221*G221</f>
        <v>1500</v>
      </c>
    </row>
    <row r="222" spans="3:9" ht="19.8" customHeight="1">
      <c r="C222" s="60">
        <v>4</v>
      </c>
      <c r="D222" s="56" t="s">
        <v>19</v>
      </c>
      <c r="E222" s="61" t="s">
        <v>6</v>
      </c>
      <c r="F222" s="101">
        <v>3.3E-3</v>
      </c>
      <c r="G222" s="63">
        <f>VLOOKUP(D222,upahbahan,3,FALSE)</f>
        <v>160000</v>
      </c>
      <c r="H222" s="64">
        <f>F222*G222</f>
        <v>528</v>
      </c>
    </row>
    <row r="223" spans="3:9" ht="19.8" customHeight="1">
      <c r="C223" s="66" t="s">
        <v>1331</v>
      </c>
      <c r="D223" s="67"/>
      <c r="E223" s="67"/>
      <c r="F223" s="67"/>
      <c r="G223" s="69"/>
      <c r="H223" s="64">
        <f>SUM(H219:H222)</f>
        <v>35528</v>
      </c>
    </row>
    <row r="224" spans="3:9" ht="19.8" customHeight="1">
      <c r="C224" s="55" t="s">
        <v>1209</v>
      </c>
      <c r="D224" s="56" t="s">
        <v>1210</v>
      </c>
      <c r="E224" s="57"/>
      <c r="F224" s="57"/>
      <c r="G224" s="57"/>
      <c r="H224" s="58"/>
    </row>
    <row r="225" spans="3:11" ht="19.8" customHeight="1">
      <c r="C225" s="99" t="s">
        <v>1203</v>
      </c>
      <c r="D225" s="56" t="s">
        <v>77</v>
      </c>
      <c r="E225" s="61" t="s">
        <v>44</v>
      </c>
      <c r="F225" s="62">
        <v>14</v>
      </c>
      <c r="G225" s="63">
        <f>VLOOKUP(D225,upahbahan,3,FALSE)</f>
        <v>0</v>
      </c>
      <c r="H225" s="64">
        <f>F225*G225</f>
        <v>0</v>
      </c>
    </row>
    <row r="226" spans="3:11" ht="19.8" customHeight="1">
      <c r="C226" s="99" t="s">
        <v>1204</v>
      </c>
      <c r="D226" s="56" t="s">
        <v>2332</v>
      </c>
      <c r="E226" s="61" t="s">
        <v>65</v>
      </c>
      <c r="F226" s="62">
        <v>24.26</v>
      </c>
      <c r="G226" s="63">
        <f>VLOOKUP(D226,upahbahan,3,FALSE)</f>
        <v>1530</v>
      </c>
      <c r="H226" s="64">
        <f>F226*G226</f>
        <v>37117.800000000003</v>
      </c>
    </row>
    <row r="227" spans="3:11" ht="19.8" customHeight="1">
      <c r="C227" s="99" t="s">
        <v>1205</v>
      </c>
      <c r="D227" s="72" t="s">
        <v>85</v>
      </c>
      <c r="E227" s="61" t="s">
        <v>42</v>
      </c>
      <c r="F227" s="62">
        <v>0.77200000000000002</v>
      </c>
      <c r="G227" s="63">
        <f>VLOOKUP(D227,upahbahan,3,FALSE)</f>
        <v>310500</v>
      </c>
      <c r="H227" s="64">
        <f>F227*G227</f>
        <v>239706</v>
      </c>
    </row>
    <row r="228" spans="3:11" ht="19.8" customHeight="1">
      <c r="C228" s="99" t="s">
        <v>1206</v>
      </c>
      <c r="D228" s="72" t="s">
        <v>218</v>
      </c>
      <c r="E228" s="61" t="s">
        <v>65</v>
      </c>
      <c r="F228" s="62">
        <v>0.28000000000000003</v>
      </c>
      <c r="G228" s="63">
        <f>VLOOKUP(D228,upahbahan,3,FALSE)</f>
        <v>35000</v>
      </c>
      <c r="H228" s="64">
        <f>F228*G228</f>
        <v>9800.0000000000018</v>
      </c>
    </row>
    <row r="229" spans="3:11" ht="19.8" customHeight="1">
      <c r="C229" s="66" t="s">
        <v>1214</v>
      </c>
      <c r="D229" s="67"/>
      <c r="E229" s="67"/>
      <c r="F229" s="67"/>
      <c r="G229" s="69"/>
      <c r="H229" s="64">
        <f>SUM(H225:H228)</f>
        <v>286623.8</v>
      </c>
    </row>
    <row r="230" spans="3:11" ht="19.8" customHeight="1">
      <c r="C230" s="167" t="s">
        <v>1215</v>
      </c>
      <c r="D230" s="56" t="s">
        <v>1216</v>
      </c>
      <c r="E230" s="57"/>
      <c r="F230" s="57"/>
      <c r="G230" s="57"/>
      <c r="H230" s="58"/>
    </row>
    <row r="231" spans="3:11" ht="19.8" customHeight="1">
      <c r="C231" s="66" t="s">
        <v>1217</v>
      </c>
      <c r="D231" s="67"/>
      <c r="E231" s="67"/>
      <c r="F231" s="67"/>
      <c r="G231" s="69"/>
      <c r="H231" s="74">
        <v>0</v>
      </c>
    </row>
    <row r="232" spans="3:11" ht="19.8" customHeight="1">
      <c r="C232" s="75" t="s">
        <v>1218</v>
      </c>
      <c r="D232" s="76" t="s">
        <v>1219</v>
      </c>
      <c r="E232" s="77"/>
      <c r="F232" s="77"/>
      <c r="G232" s="78"/>
      <c r="H232" s="64">
        <f>H231+H229+H223</f>
        <v>322151.8</v>
      </c>
    </row>
    <row r="233" spans="3:11" ht="19.8" customHeight="1">
      <c r="C233" s="75" t="s">
        <v>1220</v>
      </c>
      <c r="D233" s="76" t="s">
        <v>1321</v>
      </c>
      <c r="E233" s="77"/>
      <c r="F233" s="78"/>
      <c r="G233" s="80">
        <f>$M$8</f>
        <v>0.1</v>
      </c>
      <c r="H233" s="64">
        <f>H232*G233</f>
        <v>32215.18</v>
      </c>
    </row>
    <row r="234" spans="3:11" ht="19.8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354366.98</v>
      </c>
    </row>
    <row r="235" spans="3:11" ht="14.4" thickTop="1">
      <c r="C235" s="89"/>
      <c r="D235" s="90"/>
      <c r="E235" s="90"/>
      <c r="F235" s="90"/>
      <c r="G235" s="90"/>
      <c r="H235" s="91"/>
    </row>
    <row r="236" spans="3:11" ht="22.5" customHeight="1" thickBot="1">
      <c r="C236" s="44" t="s">
        <v>2756</v>
      </c>
      <c r="D236" s="458" t="s">
        <v>1343</v>
      </c>
      <c r="E236" s="454"/>
      <c r="F236" s="454"/>
      <c r="G236" s="454"/>
      <c r="H236" s="454"/>
      <c r="I236" s="50">
        <f>ROUNDDOWN(H254,-2)</f>
        <v>269400</v>
      </c>
      <c r="J236" s="59" t="s">
        <v>6451</v>
      </c>
      <c r="K236" s="59" t="s">
        <v>6526</v>
      </c>
    </row>
    <row r="237" spans="3:11" ht="28.2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19.8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19.8" customHeight="1">
      <c r="C239" s="60">
        <v>1</v>
      </c>
      <c r="D239" s="56" t="s">
        <v>5</v>
      </c>
      <c r="E239" s="61" t="s">
        <v>6</v>
      </c>
      <c r="F239" s="101">
        <v>0.16669999999999999</v>
      </c>
      <c r="G239" s="63">
        <f>VLOOKUP(D239,upahbahan,3,FALSE)</f>
        <v>100000</v>
      </c>
      <c r="H239" s="64">
        <f>F239*G239</f>
        <v>16670</v>
      </c>
    </row>
    <row r="240" spans="3:11" ht="19.8" customHeight="1">
      <c r="C240" s="60">
        <v>2</v>
      </c>
      <c r="D240" s="56" t="s">
        <v>7</v>
      </c>
      <c r="E240" s="61" t="s">
        <v>6</v>
      </c>
      <c r="F240" s="101">
        <v>8.3299999999999999E-2</v>
      </c>
      <c r="G240" s="63">
        <f>VLOOKUP(D240,upahbahan,3,FALSE)</f>
        <v>135000</v>
      </c>
      <c r="H240" s="64">
        <f>F240*G240</f>
        <v>11245.5</v>
      </c>
    </row>
    <row r="241" spans="3:9" ht="19.8" customHeight="1">
      <c r="C241" s="60">
        <v>3</v>
      </c>
      <c r="D241" s="56" t="s">
        <v>18</v>
      </c>
      <c r="E241" s="61" t="s">
        <v>6</v>
      </c>
      <c r="F241" s="101">
        <v>8.3000000000000001E-3</v>
      </c>
      <c r="G241" s="63">
        <f>VLOOKUP(D241,upahbahan,3,FALSE)</f>
        <v>150000</v>
      </c>
      <c r="H241" s="64">
        <f>F241*G241</f>
        <v>1245</v>
      </c>
    </row>
    <row r="242" spans="3:9" ht="19.8" customHeight="1">
      <c r="C242" s="60">
        <v>4</v>
      </c>
      <c r="D242" s="56" t="s">
        <v>19</v>
      </c>
      <c r="E242" s="61" t="s">
        <v>6</v>
      </c>
      <c r="F242" s="101">
        <v>2.8E-3</v>
      </c>
      <c r="G242" s="63">
        <f>VLOOKUP(D242,upahbahan,3,FALSE)</f>
        <v>160000</v>
      </c>
      <c r="H242" s="64">
        <f>F242*G242</f>
        <v>448</v>
      </c>
    </row>
    <row r="243" spans="3:9" ht="19.8" customHeight="1">
      <c r="C243" s="66" t="s">
        <v>1331</v>
      </c>
      <c r="D243" s="67"/>
      <c r="E243" s="67"/>
      <c r="F243" s="67"/>
      <c r="G243" s="69"/>
      <c r="H243" s="64">
        <f>SUM(H239:H242)</f>
        <v>29608.5</v>
      </c>
    </row>
    <row r="244" spans="3:9" ht="19.8" customHeight="1">
      <c r="C244" s="55" t="s">
        <v>1209</v>
      </c>
      <c r="D244" s="56" t="s">
        <v>1210</v>
      </c>
      <c r="E244" s="57"/>
      <c r="F244" s="287"/>
      <c r="G244" s="57"/>
      <c r="H244" s="58"/>
    </row>
    <row r="245" spans="3:9" ht="19.8" customHeight="1">
      <c r="C245" s="99" t="s">
        <v>1203</v>
      </c>
      <c r="D245" s="56" t="s">
        <v>76</v>
      </c>
      <c r="E245" s="61" t="s">
        <v>44</v>
      </c>
      <c r="F245" s="62">
        <v>12.5</v>
      </c>
      <c r="G245" s="63">
        <f>VLOOKUP(D245,upahbahan,3,FALSE)</f>
        <v>0</v>
      </c>
      <c r="H245" s="64">
        <f>F245*G245</f>
        <v>0</v>
      </c>
    </row>
    <row r="246" spans="3:9" ht="19.8" customHeight="1">
      <c r="C246" s="99" t="s">
        <v>1204</v>
      </c>
      <c r="D246" s="56" t="s">
        <v>2332</v>
      </c>
      <c r="E246" s="61" t="s">
        <v>65</v>
      </c>
      <c r="F246" s="62">
        <v>22.74</v>
      </c>
      <c r="G246" s="63">
        <f>VLOOKUP(D246,upahbahan,3,FALSE)</f>
        <v>1530</v>
      </c>
      <c r="H246" s="64">
        <f>F246*G246</f>
        <v>34792.199999999997</v>
      </c>
    </row>
    <row r="247" spans="3:9" ht="19.8" customHeight="1">
      <c r="C247" s="99" t="s">
        <v>1205</v>
      </c>
      <c r="D247" s="72" t="s">
        <v>85</v>
      </c>
      <c r="E247" s="61" t="s">
        <v>42</v>
      </c>
      <c r="F247" s="62">
        <v>0.55000000000000004</v>
      </c>
      <c r="G247" s="63">
        <f>VLOOKUP(D247,upahbahan,3,FALSE)</f>
        <v>310500</v>
      </c>
      <c r="H247" s="64">
        <f>F247*G247</f>
        <v>170775</v>
      </c>
    </row>
    <row r="248" spans="3:9" ht="19.8" customHeight="1">
      <c r="C248" s="99" t="s">
        <v>1206</v>
      </c>
      <c r="D248" s="72" t="s">
        <v>218</v>
      </c>
      <c r="E248" s="61" t="s">
        <v>65</v>
      </c>
      <c r="F248" s="62">
        <v>0.28000000000000003</v>
      </c>
      <c r="G248" s="63">
        <f>VLOOKUP(D248,upahbahan,3,FALSE)</f>
        <v>35000</v>
      </c>
      <c r="H248" s="64">
        <f>F248*G248</f>
        <v>9800.0000000000018</v>
      </c>
    </row>
    <row r="249" spans="3:9" ht="19.8" customHeight="1">
      <c r="C249" s="66" t="s">
        <v>1214</v>
      </c>
      <c r="D249" s="67"/>
      <c r="E249" s="67"/>
      <c r="F249" s="67"/>
      <c r="G249" s="69"/>
      <c r="H249" s="64">
        <f>SUM(H245:H248)</f>
        <v>215367.2</v>
      </c>
    </row>
    <row r="250" spans="3:9" ht="19.8" customHeight="1">
      <c r="C250" s="167" t="s">
        <v>1215</v>
      </c>
      <c r="D250" s="56" t="s">
        <v>1216</v>
      </c>
      <c r="E250" s="57"/>
      <c r="F250" s="57"/>
      <c r="G250" s="57"/>
      <c r="H250" s="58"/>
    </row>
    <row r="251" spans="3:9" ht="19.8" customHeight="1">
      <c r="C251" s="66" t="s">
        <v>1217</v>
      </c>
      <c r="D251" s="67"/>
      <c r="E251" s="67"/>
      <c r="F251" s="67"/>
      <c r="G251" s="69"/>
      <c r="H251" s="74">
        <v>0</v>
      </c>
    </row>
    <row r="252" spans="3:9" ht="19.8" customHeight="1">
      <c r="C252" s="75" t="s">
        <v>1218</v>
      </c>
      <c r="D252" s="76" t="s">
        <v>1219</v>
      </c>
      <c r="E252" s="77"/>
      <c r="F252" s="77"/>
      <c r="G252" s="78"/>
      <c r="H252" s="64">
        <f>H251+H249+H243</f>
        <v>244975.7</v>
      </c>
    </row>
    <row r="253" spans="3:9" ht="19.8" customHeight="1">
      <c r="C253" s="75" t="s">
        <v>1220</v>
      </c>
      <c r="D253" s="76" t="s">
        <v>1321</v>
      </c>
      <c r="E253" s="77"/>
      <c r="F253" s="78"/>
      <c r="G253" s="80">
        <f>$M$8</f>
        <v>0.1</v>
      </c>
      <c r="H253" s="64">
        <f>H252*G253</f>
        <v>24497.570000000003</v>
      </c>
    </row>
    <row r="254" spans="3:9" ht="19.8" customHeight="1" thickBot="1">
      <c r="C254" s="81" t="s">
        <v>1221</v>
      </c>
      <c r="D254" s="82" t="s">
        <v>1222</v>
      </c>
      <c r="E254" s="83"/>
      <c r="F254" s="83"/>
      <c r="G254" s="84"/>
      <c r="H254" s="85">
        <f>SUM(H252:H253)</f>
        <v>269473.27</v>
      </c>
    </row>
    <row r="255" spans="3:9" ht="14.4" thickTop="1">
      <c r="C255" s="89"/>
      <c r="D255" s="90"/>
      <c r="E255" s="90"/>
      <c r="F255" s="90"/>
      <c r="G255" s="90"/>
      <c r="H255" s="91"/>
    </row>
    <row r="256" spans="3:9" ht="30.6" customHeight="1" thickBot="1">
      <c r="C256" s="44" t="s">
        <v>2757</v>
      </c>
      <c r="D256" s="454" t="s">
        <v>1344</v>
      </c>
      <c r="E256" s="454"/>
      <c r="F256" s="454"/>
      <c r="G256" s="454"/>
      <c r="H256" s="454"/>
      <c r="I256" s="50">
        <f>ROUNDDOWN(H274,-2)</f>
        <v>272700</v>
      </c>
    </row>
    <row r="257" spans="3:8" ht="28.2" thickTop="1">
      <c r="C257" s="51" t="s">
        <v>1195</v>
      </c>
      <c r="D257" s="52" t="s">
        <v>1196</v>
      </c>
      <c r="E257" s="52" t="s">
        <v>1197</v>
      </c>
      <c r="F257" s="52" t="s">
        <v>1198</v>
      </c>
      <c r="G257" s="52" t="s">
        <v>1199</v>
      </c>
      <c r="H257" s="53" t="s">
        <v>1200</v>
      </c>
    </row>
    <row r="258" spans="3:8" ht="19.8" customHeight="1">
      <c r="C258" s="55" t="s">
        <v>1201</v>
      </c>
      <c r="D258" s="56" t="s">
        <v>1202</v>
      </c>
      <c r="E258" s="57"/>
      <c r="F258" s="57"/>
      <c r="G258" s="57"/>
      <c r="H258" s="58"/>
    </row>
    <row r="259" spans="3:8" ht="19.8" customHeight="1">
      <c r="C259" s="60">
        <v>1</v>
      </c>
      <c r="D259" s="56" t="s">
        <v>5</v>
      </c>
      <c r="E259" s="61" t="s">
        <v>6</v>
      </c>
      <c r="F259" s="101">
        <v>0.16669999999999999</v>
      </c>
      <c r="G259" s="63">
        <f>VLOOKUP(D259,upahbahan,3,FALSE)</f>
        <v>100000</v>
      </c>
      <c r="H259" s="64">
        <f>F259*G259</f>
        <v>16670</v>
      </c>
    </row>
    <row r="260" spans="3:8" ht="19.8" customHeight="1">
      <c r="C260" s="60">
        <v>2</v>
      </c>
      <c r="D260" s="56" t="s">
        <v>7</v>
      </c>
      <c r="E260" s="61" t="s">
        <v>6</v>
      </c>
      <c r="F260" s="101">
        <v>8.3299999999999999E-2</v>
      </c>
      <c r="G260" s="63">
        <f>VLOOKUP(D260,upahbahan,3,FALSE)</f>
        <v>135000</v>
      </c>
      <c r="H260" s="64">
        <f>F260*G260</f>
        <v>11245.5</v>
      </c>
    </row>
    <row r="261" spans="3:8" ht="19.8" customHeight="1">
      <c r="C261" s="60">
        <v>3</v>
      </c>
      <c r="D261" s="56" t="s">
        <v>18</v>
      </c>
      <c r="E261" s="61" t="s">
        <v>6</v>
      </c>
      <c r="F261" s="101">
        <v>8.3000000000000001E-3</v>
      </c>
      <c r="G261" s="63">
        <f>VLOOKUP(D261,upahbahan,3,FALSE)</f>
        <v>150000</v>
      </c>
      <c r="H261" s="64">
        <f>F261*G261</f>
        <v>1245</v>
      </c>
    </row>
    <row r="262" spans="3:8" ht="19.8" customHeight="1">
      <c r="C262" s="60">
        <v>4</v>
      </c>
      <c r="D262" s="56" t="s">
        <v>19</v>
      </c>
      <c r="E262" s="61" t="s">
        <v>6</v>
      </c>
      <c r="F262" s="101">
        <v>2.8E-3</v>
      </c>
      <c r="G262" s="63">
        <f>VLOOKUP(D262,upahbahan,3,FALSE)</f>
        <v>160000</v>
      </c>
      <c r="H262" s="64">
        <f>F262*G262</f>
        <v>448</v>
      </c>
    </row>
    <row r="263" spans="3:8" ht="19.8" customHeight="1">
      <c r="C263" s="66" t="s">
        <v>1331</v>
      </c>
      <c r="D263" s="67"/>
      <c r="E263" s="67"/>
      <c r="F263" s="68"/>
      <c r="G263" s="69"/>
      <c r="H263" s="64">
        <f>SUM(H259:H262)</f>
        <v>29608.5</v>
      </c>
    </row>
    <row r="264" spans="3:8" ht="19.8" customHeight="1">
      <c r="C264" s="55" t="s">
        <v>1209</v>
      </c>
      <c r="D264" s="56" t="s">
        <v>1210</v>
      </c>
      <c r="E264" s="57"/>
      <c r="F264" s="287"/>
      <c r="G264" s="57"/>
      <c r="H264" s="58"/>
    </row>
    <row r="265" spans="3:8" ht="19.8" customHeight="1">
      <c r="C265" s="99" t="s">
        <v>1203</v>
      </c>
      <c r="D265" s="56" t="s">
        <v>76</v>
      </c>
      <c r="E265" s="61" t="s">
        <v>44</v>
      </c>
      <c r="F265" s="62">
        <v>12.5</v>
      </c>
      <c r="G265" s="63">
        <f>VLOOKUP(D265,upahbahan,3,FALSE)</f>
        <v>0</v>
      </c>
      <c r="H265" s="64">
        <f>F265*G265</f>
        <v>0</v>
      </c>
    </row>
    <row r="266" spans="3:8" ht="19.8" customHeight="1">
      <c r="C266" s="99" t="s">
        <v>1204</v>
      </c>
      <c r="D266" s="56" t="s">
        <v>2332</v>
      </c>
      <c r="E266" s="61" t="s">
        <v>65</v>
      </c>
      <c r="F266" s="62">
        <v>18.2</v>
      </c>
      <c r="G266" s="63">
        <f>VLOOKUP(D266,upahbahan,3,FALSE)</f>
        <v>1530</v>
      </c>
      <c r="H266" s="64">
        <f>F266*G266</f>
        <v>27846</v>
      </c>
    </row>
    <row r="267" spans="3:8" ht="19.8" customHeight="1">
      <c r="C267" s="99" t="s">
        <v>1205</v>
      </c>
      <c r="D267" s="72" t="s">
        <v>85</v>
      </c>
      <c r="E267" s="61" t="s">
        <v>42</v>
      </c>
      <c r="F267" s="62">
        <v>0.58199999999999996</v>
      </c>
      <c r="G267" s="63">
        <f>VLOOKUP(D267,upahbahan,3,FALSE)</f>
        <v>310500</v>
      </c>
      <c r="H267" s="64">
        <f>F267*G267</f>
        <v>180711</v>
      </c>
    </row>
    <row r="268" spans="3:8" ht="19.8" customHeight="1">
      <c r="C268" s="99" t="s">
        <v>1206</v>
      </c>
      <c r="D268" s="72" t="s">
        <v>218</v>
      </c>
      <c r="E268" s="61" t="s">
        <v>65</v>
      </c>
      <c r="F268" s="62">
        <v>0.28000000000000003</v>
      </c>
      <c r="G268" s="63">
        <f>VLOOKUP(D268,upahbahan,3,FALSE)</f>
        <v>35000</v>
      </c>
      <c r="H268" s="64">
        <f>F268*G268</f>
        <v>9800.0000000000018</v>
      </c>
    </row>
    <row r="269" spans="3:8" ht="19.8" customHeight="1">
      <c r="C269" s="66" t="s">
        <v>1214</v>
      </c>
      <c r="D269" s="67"/>
      <c r="E269" s="67"/>
      <c r="F269" s="67"/>
      <c r="G269" s="69"/>
      <c r="H269" s="64">
        <f>SUM(H265:H268)</f>
        <v>218357</v>
      </c>
    </row>
    <row r="270" spans="3:8" ht="19.8" customHeight="1">
      <c r="C270" s="167" t="s">
        <v>1215</v>
      </c>
      <c r="D270" s="56" t="s">
        <v>1216</v>
      </c>
      <c r="E270" s="57"/>
      <c r="F270" s="57"/>
      <c r="G270" s="57"/>
      <c r="H270" s="58"/>
    </row>
    <row r="271" spans="3:8" ht="19.8" customHeight="1">
      <c r="C271" s="66" t="s">
        <v>1217</v>
      </c>
      <c r="D271" s="67"/>
      <c r="E271" s="67"/>
      <c r="F271" s="67"/>
      <c r="G271" s="69"/>
      <c r="H271" s="74">
        <v>0</v>
      </c>
    </row>
    <row r="272" spans="3:8" ht="19.8" customHeight="1">
      <c r="C272" s="75" t="s">
        <v>1218</v>
      </c>
      <c r="D272" s="76" t="s">
        <v>1219</v>
      </c>
      <c r="E272" s="77"/>
      <c r="F272" s="77"/>
      <c r="G272" s="78"/>
      <c r="H272" s="64">
        <f>H271+H269+H263</f>
        <v>247965.5</v>
      </c>
    </row>
    <row r="273" spans="3:9" ht="19.8" customHeight="1">
      <c r="C273" s="75" t="s">
        <v>1220</v>
      </c>
      <c r="D273" s="76" t="s">
        <v>1321</v>
      </c>
      <c r="E273" s="77"/>
      <c r="F273" s="78"/>
      <c r="G273" s="80">
        <f>$M$8</f>
        <v>0.1</v>
      </c>
      <c r="H273" s="64">
        <f>H272*G273</f>
        <v>24796.550000000003</v>
      </c>
    </row>
    <row r="274" spans="3:9" ht="19.8" customHeight="1" thickBot="1">
      <c r="C274" s="81" t="s">
        <v>1221</v>
      </c>
      <c r="D274" s="82" t="s">
        <v>1222</v>
      </c>
      <c r="E274" s="83"/>
      <c r="F274" s="83"/>
      <c r="G274" s="84"/>
      <c r="H274" s="85">
        <f>SUM(H272:H273)</f>
        <v>272762.05</v>
      </c>
    </row>
    <row r="275" spans="3:9" ht="14.4" thickTop="1"/>
    <row r="276" spans="3:9" ht="31.5" customHeight="1" thickBot="1">
      <c r="C276" s="44" t="s">
        <v>2758</v>
      </c>
      <c r="D276" s="454" t="s">
        <v>1345</v>
      </c>
      <c r="E276" s="454"/>
      <c r="F276" s="454"/>
      <c r="G276" s="454"/>
      <c r="H276" s="454"/>
      <c r="I276" s="50">
        <f>ROUNDDOWN(H294,-2)</f>
        <v>193100</v>
      </c>
    </row>
    <row r="277" spans="3:9" ht="28.2" thickTop="1">
      <c r="C277" s="51" t="s">
        <v>1195</v>
      </c>
      <c r="D277" s="52" t="s">
        <v>1196</v>
      </c>
      <c r="E277" s="52" t="s">
        <v>1197</v>
      </c>
      <c r="F277" s="52" t="s">
        <v>1198</v>
      </c>
      <c r="G277" s="52" t="s">
        <v>1199</v>
      </c>
      <c r="H277" s="53" t="s">
        <v>1200</v>
      </c>
    </row>
    <row r="278" spans="3:9" ht="19.8" customHeight="1">
      <c r="C278" s="55" t="s">
        <v>1201</v>
      </c>
      <c r="D278" s="56" t="s">
        <v>1202</v>
      </c>
      <c r="E278" s="57"/>
      <c r="F278" s="57"/>
      <c r="G278" s="57"/>
      <c r="H278" s="58"/>
    </row>
    <row r="279" spans="3:9" ht="19.8" customHeight="1">
      <c r="C279" s="60">
        <v>1</v>
      </c>
      <c r="D279" s="56" t="s">
        <v>5</v>
      </c>
      <c r="E279" s="61" t="s">
        <v>6</v>
      </c>
      <c r="F279" s="101">
        <v>0.16669999999999999</v>
      </c>
      <c r="G279" s="63">
        <f>VLOOKUP(D279,upahbahan,3,FALSE)</f>
        <v>100000</v>
      </c>
      <c r="H279" s="64">
        <f>F279*G279</f>
        <v>16670</v>
      </c>
    </row>
    <row r="280" spans="3:9" ht="19.8" customHeight="1">
      <c r="C280" s="60">
        <v>2</v>
      </c>
      <c r="D280" s="56" t="s">
        <v>7</v>
      </c>
      <c r="E280" s="61" t="s">
        <v>6</v>
      </c>
      <c r="F280" s="101">
        <v>8.3299999999999999E-2</v>
      </c>
      <c r="G280" s="63">
        <f>VLOOKUP(D280,upahbahan,3,FALSE)</f>
        <v>135000</v>
      </c>
      <c r="H280" s="64">
        <f>F280*G280</f>
        <v>11245.5</v>
      </c>
    </row>
    <row r="281" spans="3:9" ht="19.8" customHeight="1">
      <c r="C281" s="60">
        <v>3</v>
      </c>
      <c r="D281" s="56" t="s">
        <v>18</v>
      </c>
      <c r="E281" s="61" t="s">
        <v>6</v>
      </c>
      <c r="F281" s="101">
        <v>8.3000000000000001E-3</v>
      </c>
      <c r="G281" s="63">
        <f>VLOOKUP(D281,upahbahan,3,FALSE)</f>
        <v>150000</v>
      </c>
      <c r="H281" s="64">
        <f>F281*G281</f>
        <v>1245</v>
      </c>
    </row>
    <row r="282" spans="3:9" ht="19.8" customHeight="1">
      <c r="C282" s="60">
        <v>4</v>
      </c>
      <c r="D282" s="56" t="s">
        <v>19</v>
      </c>
      <c r="E282" s="61" t="s">
        <v>6</v>
      </c>
      <c r="F282" s="101">
        <v>2.8E-3</v>
      </c>
      <c r="G282" s="63">
        <f>VLOOKUP(D282,upahbahan,3,FALSE)</f>
        <v>160000</v>
      </c>
      <c r="H282" s="64">
        <f>F282*G282</f>
        <v>448</v>
      </c>
    </row>
    <row r="283" spans="3:9" ht="19.8" customHeight="1">
      <c r="C283" s="66" t="s">
        <v>1331</v>
      </c>
      <c r="D283" s="67"/>
      <c r="E283" s="67"/>
      <c r="F283" s="68"/>
      <c r="G283" s="69"/>
      <c r="H283" s="64">
        <f>SUM(H279:H282)</f>
        <v>29608.5</v>
      </c>
    </row>
    <row r="284" spans="3:9" ht="19.8" customHeight="1">
      <c r="C284" s="55" t="s">
        <v>1209</v>
      </c>
      <c r="D284" s="56" t="s">
        <v>1210</v>
      </c>
      <c r="E284" s="57"/>
      <c r="F284" s="287"/>
      <c r="G284" s="57"/>
      <c r="H284" s="58"/>
    </row>
    <row r="285" spans="3:9" ht="19.8" customHeight="1">
      <c r="C285" s="99" t="s">
        <v>1203</v>
      </c>
      <c r="D285" s="56" t="s">
        <v>75</v>
      </c>
      <c r="E285" s="61" t="s">
        <v>44</v>
      </c>
      <c r="F285" s="62">
        <v>12.5</v>
      </c>
      <c r="G285" s="63">
        <f>VLOOKUP(D285,upahbahan,3,FALSE)</f>
        <v>0</v>
      </c>
      <c r="H285" s="64">
        <f>F285*G285</f>
        <v>0</v>
      </c>
    </row>
    <row r="286" spans="3:9" ht="19.8" customHeight="1">
      <c r="C286" s="99" t="s">
        <v>1204</v>
      </c>
      <c r="D286" s="56" t="s">
        <v>2332</v>
      </c>
      <c r="E286" s="61" t="s">
        <v>65</v>
      </c>
      <c r="F286" s="62">
        <v>15.16</v>
      </c>
      <c r="G286" s="63">
        <f>VLOOKUP(D286,upahbahan,3,FALSE)</f>
        <v>1530</v>
      </c>
      <c r="H286" s="64">
        <f>F286*G286</f>
        <v>23194.799999999999</v>
      </c>
    </row>
    <row r="287" spans="3:9" ht="19.8" customHeight="1">
      <c r="C287" s="99" t="s">
        <v>1205</v>
      </c>
      <c r="D287" s="72" t="s">
        <v>85</v>
      </c>
      <c r="E287" s="61" t="s">
        <v>42</v>
      </c>
      <c r="F287" s="62">
        <v>0.36399999999999999</v>
      </c>
      <c r="G287" s="63">
        <f>VLOOKUP(D287,upahbahan,3,FALSE)</f>
        <v>310500</v>
      </c>
      <c r="H287" s="64">
        <f>F287*G287</f>
        <v>113022</v>
      </c>
    </row>
    <row r="288" spans="3:9" ht="19.8" customHeight="1">
      <c r="C288" s="99" t="s">
        <v>1206</v>
      </c>
      <c r="D288" s="72" t="s">
        <v>218</v>
      </c>
      <c r="E288" s="61" t="s">
        <v>65</v>
      </c>
      <c r="F288" s="62">
        <v>0.28000000000000003</v>
      </c>
      <c r="G288" s="63">
        <f>VLOOKUP(D288,upahbahan,3,FALSE)</f>
        <v>35000</v>
      </c>
      <c r="H288" s="64">
        <f>F288*G288</f>
        <v>9800.0000000000018</v>
      </c>
    </row>
    <row r="289" spans="3:9" ht="19.8" customHeight="1">
      <c r="C289" s="66" t="s">
        <v>1214</v>
      </c>
      <c r="D289" s="67"/>
      <c r="E289" s="67"/>
      <c r="F289" s="67"/>
      <c r="G289" s="69"/>
      <c r="H289" s="64">
        <f>SUM(H285:H288)</f>
        <v>146016.79999999999</v>
      </c>
    </row>
    <row r="290" spans="3:9" ht="19.8" customHeight="1">
      <c r="C290" s="167" t="s">
        <v>1215</v>
      </c>
      <c r="D290" s="56" t="s">
        <v>1216</v>
      </c>
      <c r="E290" s="57"/>
      <c r="F290" s="57"/>
      <c r="G290" s="57"/>
      <c r="H290" s="58"/>
    </row>
    <row r="291" spans="3:9" ht="19.8" customHeight="1">
      <c r="C291" s="66" t="s">
        <v>1217</v>
      </c>
      <c r="D291" s="67"/>
      <c r="E291" s="67"/>
      <c r="F291" s="67"/>
      <c r="G291" s="69"/>
      <c r="H291" s="74">
        <v>0</v>
      </c>
    </row>
    <row r="292" spans="3:9" ht="19.8" customHeight="1">
      <c r="C292" s="75" t="s">
        <v>1218</v>
      </c>
      <c r="D292" s="76" t="s">
        <v>1219</v>
      </c>
      <c r="E292" s="77"/>
      <c r="F292" s="77"/>
      <c r="G292" s="78"/>
      <c r="H292" s="64">
        <f>H291+H289+H283</f>
        <v>175625.3</v>
      </c>
    </row>
    <row r="293" spans="3:9" ht="19.8" customHeight="1">
      <c r="C293" s="75" t="s">
        <v>1220</v>
      </c>
      <c r="D293" s="76" t="s">
        <v>1321</v>
      </c>
      <c r="E293" s="77"/>
      <c r="F293" s="78"/>
      <c r="G293" s="80">
        <f>$M$8</f>
        <v>0.1</v>
      </c>
      <c r="H293" s="64">
        <f>H292*G293</f>
        <v>17562.53</v>
      </c>
    </row>
    <row r="294" spans="3:9" ht="19.8" customHeight="1" thickBot="1">
      <c r="C294" s="81" t="s">
        <v>1221</v>
      </c>
      <c r="D294" s="82" t="s">
        <v>1222</v>
      </c>
      <c r="E294" s="83"/>
      <c r="F294" s="83"/>
      <c r="G294" s="84"/>
      <c r="H294" s="85">
        <f>SUM(H292:H293)</f>
        <v>193187.83</v>
      </c>
    </row>
    <row r="295" spans="3:9" ht="14.4" thickTop="1">
      <c r="C295" s="89"/>
      <c r="D295" s="90"/>
      <c r="E295" s="90"/>
      <c r="F295" s="90"/>
      <c r="G295" s="90"/>
      <c r="H295" s="91"/>
    </row>
    <row r="296" spans="3:9" ht="28.95" customHeight="1" thickBot="1">
      <c r="C296" s="44" t="s">
        <v>2759</v>
      </c>
      <c r="D296" s="454" t="s">
        <v>1346</v>
      </c>
      <c r="E296" s="454"/>
      <c r="F296" s="454"/>
      <c r="G296" s="454"/>
      <c r="H296" s="454"/>
      <c r="I296" s="50">
        <f>ROUNDDOWN(H314,-2)</f>
        <v>196200</v>
      </c>
    </row>
    <row r="297" spans="3:9" ht="28.2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</row>
    <row r="298" spans="3:9" ht="19.8" customHeight="1">
      <c r="C298" s="55" t="s">
        <v>1201</v>
      </c>
      <c r="D298" s="56" t="s">
        <v>1202</v>
      </c>
      <c r="E298" s="57"/>
      <c r="F298" s="57"/>
      <c r="G298" s="57"/>
      <c r="H298" s="58"/>
    </row>
    <row r="299" spans="3:9" ht="19.8" customHeight="1">
      <c r="C299" s="60">
        <v>1</v>
      </c>
      <c r="D299" s="56" t="s">
        <v>5</v>
      </c>
      <c r="E299" s="61" t="s">
        <v>6</v>
      </c>
      <c r="F299" s="101">
        <v>0.16669999999999999</v>
      </c>
      <c r="G299" s="63">
        <f>VLOOKUP(D299,upahbahan,3,FALSE)</f>
        <v>100000</v>
      </c>
      <c r="H299" s="64">
        <f>F299*G299</f>
        <v>16670</v>
      </c>
    </row>
    <row r="300" spans="3:9" ht="19.8" customHeight="1">
      <c r="C300" s="60">
        <v>2</v>
      </c>
      <c r="D300" s="56" t="s">
        <v>7</v>
      </c>
      <c r="E300" s="61" t="s">
        <v>6</v>
      </c>
      <c r="F300" s="101">
        <v>8.3299999999999999E-2</v>
      </c>
      <c r="G300" s="63">
        <f>VLOOKUP(D300,upahbahan,3,FALSE)</f>
        <v>135000</v>
      </c>
      <c r="H300" s="64">
        <f>F300*G300</f>
        <v>11245.5</v>
      </c>
    </row>
    <row r="301" spans="3:9" ht="19.8" customHeight="1">
      <c r="C301" s="60">
        <v>3</v>
      </c>
      <c r="D301" s="56" t="s">
        <v>18</v>
      </c>
      <c r="E301" s="61" t="s">
        <v>6</v>
      </c>
      <c r="F301" s="101">
        <v>8.3000000000000001E-3</v>
      </c>
      <c r="G301" s="63">
        <f>VLOOKUP(D301,upahbahan,3,FALSE)</f>
        <v>150000</v>
      </c>
      <c r="H301" s="64">
        <f>F301*G301</f>
        <v>1245</v>
      </c>
    </row>
    <row r="302" spans="3:9" ht="19.8" customHeight="1">
      <c r="C302" s="60">
        <v>4</v>
      </c>
      <c r="D302" s="56" t="s">
        <v>19</v>
      </c>
      <c r="E302" s="61" t="s">
        <v>6</v>
      </c>
      <c r="F302" s="101">
        <v>2.8E-3</v>
      </c>
      <c r="G302" s="63">
        <f>VLOOKUP(D302,upahbahan,3,FALSE)</f>
        <v>160000</v>
      </c>
      <c r="H302" s="64">
        <f>F302*G302</f>
        <v>448</v>
      </c>
    </row>
    <row r="303" spans="3:9" ht="19.8" customHeight="1">
      <c r="C303" s="66" t="s">
        <v>1331</v>
      </c>
      <c r="D303" s="67"/>
      <c r="E303" s="67"/>
      <c r="F303" s="67"/>
      <c r="G303" s="69"/>
      <c r="H303" s="64">
        <f>SUM(H299:H302)</f>
        <v>29608.5</v>
      </c>
    </row>
    <row r="304" spans="3:9" ht="19.8" customHeight="1">
      <c r="C304" s="55" t="s">
        <v>1209</v>
      </c>
      <c r="D304" s="56" t="s">
        <v>1210</v>
      </c>
      <c r="E304" s="57"/>
      <c r="F304" s="57"/>
      <c r="G304" s="57"/>
      <c r="H304" s="58"/>
    </row>
    <row r="305" spans="3:11" ht="19.8" customHeight="1">
      <c r="C305" s="99" t="s">
        <v>1203</v>
      </c>
      <c r="D305" s="56" t="s">
        <v>75</v>
      </c>
      <c r="E305" s="61" t="s">
        <v>44</v>
      </c>
      <c r="F305" s="276">
        <v>12.5</v>
      </c>
      <c r="G305" s="63">
        <f>VLOOKUP(D305,upahbahan,3,FALSE)</f>
        <v>0</v>
      </c>
      <c r="H305" s="64">
        <f>F305*G305</f>
        <v>0</v>
      </c>
    </row>
    <row r="306" spans="3:11" ht="19.8" customHeight="1">
      <c r="C306" s="99" t="s">
        <v>1204</v>
      </c>
      <c r="D306" s="56" t="s">
        <v>2332</v>
      </c>
      <c r="E306" s="61" t="s">
        <v>65</v>
      </c>
      <c r="F306" s="276">
        <v>12.13</v>
      </c>
      <c r="G306" s="63">
        <f>VLOOKUP(D306,upahbahan,3,FALSE)</f>
        <v>1530</v>
      </c>
      <c r="H306" s="64">
        <f>F306*G306</f>
        <v>18558.900000000001</v>
      </c>
    </row>
    <row r="307" spans="3:11" ht="19.8" customHeight="1">
      <c r="C307" s="99" t="s">
        <v>1205</v>
      </c>
      <c r="D307" s="72" t="s">
        <v>85</v>
      </c>
      <c r="E307" s="61" t="s">
        <v>42</v>
      </c>
      <c r="F307" s="62">
        <v>0.38800000000000001</v>
      </c>
      <c r="G307" s="63">
        <f>VLOOKUP(D307,upahbahan,3,FALSE)</f>
        <v>310500</v>
      </c>
      <c r="H307" s="64">
        <f>F307*G307</f>
        <v>120474</v>
      </c>
    </row>
    <row r="308" spans="3:11" ht="19.8" customHeight="1">
      <c r="C308" s="99" t="s">
        <v>1206</v>
      </c>
      <c r="D308" s="72" t="s">
        <v>218</v>
      </c>
      <c r="E308" s="61" t="s">
        <v>65</v>
      </c>
      <c r="F308" s="62">
        <v>0.28000000000000003</v>
      </c>
      <c r="G308" s="63">
        <f>VLOOKUP(D308,upahbahan,3,FALSE)</f>
        <v>35000</v>
      </c>
      <c r="H308" s="64">
        <f>F308*G308</f>
        <v>9800.0000000000018</v>
      </c>
    </row>
    <row r="309" spans="3:11" ht="19.8" customHeight="1">
      <c r="C309" s="66" t="s">
        <v>1214</v>
      </c>
      <c r="D309" s="67"/>
      <c r="E309" s="67"/>
      <c r="F309" s="67"/>
      <c r="G309" s="69"/>
      <c r="H309" s="64">
        <f>SUM(H305:H308)</f>
        <v>148832.9</v>
      </c>
    </row>
    <row r="310" spans="3:11" ht="19.8" customHeight="1">
      <c r="C310" s="167" t="s">
        <v>1215</v>
      </c>
      <c r="D310" s="56" t="s">
        <v>1216</v>
      </c>
      <c r="E310" s="57"/>
      <c r="F310" s="57"/>
      <c r="G310" s="57"/>
      <c r="H310" s="58"/>
    </row>
    <row r="311" spans="3:11" ht="19.8" customHeight="1">
      <c r="C311" s="66" t="s">
        <v>1217</v>
      </c>
      <c r="D311" s="67"/>
      <c r="E311" s="67"/>
      <c r="F311" s="67"/>
      <c r="G311" s="69"/>
      <c r="H311" s="74">
        <v>0</v>
      </c>
    </row>
    <row r="312" spans="3:11" ht="19.8" customHeight="1">
      <c r="C312" s="75" t="s">
        <v>1218</v>
      </c>
      <c r="D312" s="76" t="s">
        <v>1219</v>
      </c>
      <c r="E312" s="77"/>
      <c r="F312" s="77"/>
      <c r="G312" s="78"/>
      <c r="H312" s="64">
        <f>H311+H309+H303</f>
        <v>178441.4</v>
      </c>
    </row>
    <row r="313" spans="3:11" ht="19.8" customHeight="1">
      <c r="C313" s="75" t="s">
        <v>1220</v>
      </c>
      <c r="D313" s="76" t="s">
        <v>1321</v>
      </c>
      <c r="E313" s="77"/>
      <c r="F313" s="78"/>
      <c r="G313" s="80">
        <f>$M$8</f>
        <v>0.1</v>
      </c>
      <c r="H313" s="64">
        <f>H312*G313</f>
        <v>17844.14</v>
      </c>
    </row>
    <row r="314" spans="3:11" ht="19.8" customHeight="1" thickBot="1">
      <c r="C314" s="81" t="s">
        <v>1221</v>
      </c>
      <c r="D314" s="82" t="s">
        <v>1222</v>
      </c>
      <c r="E314" s="83"/>
      <c r="F314" s="83"/>
      <c r="G314" s="84"/>
      <c r="H314" s="85">
        <f>SUM(H312:H313)</f>
        <v>196285.53999999998</v>
      </c>
    </row>
    <row r="315" spans="3:11" ht="14.4" thickTop="1">
      <c r="C315" s="89"/>
      <c r="D315" s="90"/>
      <c r="E315" s="90"/>
      <c r="F315" s="90"/>
      <c r="G315" s="90"/>
      <c r="H315" s="91"/>
    </row>
    <row r="316" spans="3:11">
      <c r="C316" s="277" t="s">
        <v>2760</v>
      </c>
      <c r="D316" s="278" t="s">
        <v>2761</v>
      </c>
      <c r="E316" s="90"/>
      <c r="F316" s="90"/>
      <c r="G316" s="90"/>
      <c r="H316" s="91"/>
    </row>
    <row r="317" spans="3:11" ht="31.5" customHeight="1" thickBot="1">
      <c r="C317" s="47" t="s">
        <v>2762</v>
      </c>
      <c r="D317" s="458" t="s">
        <v>1347</v>
      </c>
      <c r="E317" s="454"/>
      <c r="F317" s="454"/>
      <c r="G317" s="454"/>
      <c r="H317" s="454"/>
      <c r="I317" s="50">
        <f>ROUNDDOWN(H334,-2)</f>
        <v>291100</v>
      </c>
      <c r="J317" s="59" t="s">
        <v>6451</v>
      </c>
      <c r="K317" s="59" t="s">
        <v>6527</v>
      </c>
    </row>
    <row r="318" spans="3:11" ht="28.2" thickTop="1">
      <c r="C318" s="51" t="s">
        <v>1195</v>
      </c>
      <c r="D318" s="52" t="s">
        <v>1196</v>
      </c>
      <c r="E318" s="52" t="s">
        <v>1197</v>
      </c>
      <c r="F318" s="52" t="s">
        <v>1198</v>
      </c>
      <c r="G318" s="52" t="s">
        <v>1199</v>
      </c>
      <c r="H318" s="53" t="s">
        <v>1200</v>
      </c>
    </row>
    <row r="319" spans="3:11" ht="19.8" customHeight="1">
      <c r="C319" s="55" t="s">
        <v>1201</v>
      </c>
      <c r="D319" s="56" t="s">
        <v>1202</v>
      </c>
      <c r="E319" s="57"/>
      <c r="F319" s="57"/>
      <c r="G319" s="57"/>
      <c r="H319" s="58"/>
    </row>
    <row r="320" spans="3:11" ht="19.8" customHeight="1">
      <c r="C320" s="60">
        <v>1</v>
      </c>
      <c r="D320" s="56" t="s">
        <v>5</v>
      </c>
      <c r="E320" s="61" t="s">
        <v>6</v>
      </c>
      <c r="F320" s="101">
        <v>0.2</v>
      </c>
      <c r="G320" s="63">
        <f>VLOOKUP(D320,upahbahan,3,FALSE)</f>
        <v>100000</v>
      </c>
      <c r="H320" s="64">
        <f>F320*G320</f>
        <v>20000</v>
      </c>
    </row>
    <row r="321" spans="3:9" ht="19.8" customHeight="1">
      <c r="C321" s="60">
        <v>2</v>
      </c>
      <c r="D321" s="56" t="s">
        <v>7</v>
      </c>
      <c r="E321" s="61" t="s">
        <v>6</v>
      </c>
      <c r="F321" s="101">
        <v>0.1</v>
      </c>
      <c r="G321" s="63">
        <f>VLOOKUP(D321,upahbahan,3,FALSE)</f>
        <v>135000</v>
      </c>
      <c r="H321" s="64">
        <f>F321*G321</f>
        <v>13500</v>
      </c>
    </row>
    <row r="322" spans="3:9" ht="19.8" customHeight="1">
      <c r="C322" s="60">
        <v>3</v>
      </c>
      <c r="D322" s="56" t="s">
        <v>18</v>
      </c>
      <c r="E322" s="61" t="s">
        <v>6</v>
      </c>
      <c r="F322" s="101">
        <v>0.01</v>
      </c>
      <c r="G322" s="63">
        <f>VLOOKUP(D322,upahbahan,3,FALSE)</f>
        <v>150000</v>
      </c>
      <c r="H322" s="64">
        <f>F322*G322</f>
        <v>1500</v>
      </c>
    </row>
    <row r="323" spans="3:9" ht="19.8" customHeight="1">
      <c r="C323" s="60">
        <v>4</v>
      </c>
      <c r="D323" s="56" t="s">
        <v>19</v>
      </c>
      <c r="E323" s="61" t="s">
        <v>6</v>
      </c>
      <c r="F323" s="101">
        <v>3.3E-3</v>
      </c>
      <c r="G323" s="63">
        <f>VLOOKUP(D323,upahbahan,3,FALSE)</f>
        <v>160000</v>
      </c>
      <c r="H323" s="64">
        <f>F323*G323</f>
        <v>528</v>
      </c>
    </row>
    <row r="324" spans="3:9" ht="19.8" customHeight="1">
      <c r="C324" s="66" t="s">
        <v>1331</v>
      </c>
      <c r="D324" s="67"/>
      <c r="E324" s="67"/>
      <c r="F324" s="68"/>
      <c r="G324" s="459"/>
      <c r="H324" s="64">
        <f>SUM(H320:H323)</f>
        <v>35528</v>
      </c>
    </row>
    <row r="325" spans="3:9" ht="19.8" customHeight="1">
      <c r="C325" s="55" t="s">
        <v>1209</v>
      </c>
      <c r="D325" s="56" t="s">
        <v>1210</v>
      </c>
      <c r="E325" s="57"/>
      <c r="F325" s="287"/>
      <c r="G325" s="287"/>
      <c r="H325" s="58"/>
    </row>
    <row r="326" spans="3:9" ht="19.8" customHeight="1">
      <c r="C326" s="60">
        <v>1</v>
      </c>
      <c r="D326" s="56" t="s">
        <v>50</v>
      </c>
      <c r="E326" s="61" t="s">
        <v>44</v>
      </c>
      <c r="F326" s="62">
        <v>36.46</v>
      </c>
      <c r="G326" s="63">
        <f>VLOOKUP(D326,upahbahan,3,FALSE)</f>
        <v>5400</v>
      </c>
      <c r="H326" s="64">
        <f>F326*G326</f>
        <v>196884</v>
      </c>
    </row>
    <row r="327" spans="3:9" ht="19.8" customHeight="1">
      <c r="C327" s="60">
        <v>2</v>
      </c>
      <c r="D327" s="56" t="s">
        <v>2332</v>
      </c>
      <c r="E327" s="61" t="s">
        <v>65</v>
      </c>
      <c r="F327" s="62">
        <v>14</v>
      </c>
      <c r="G327" s="63">
        <f>VLOOKUP(D327,upahbahan,3,FALSE)</f>
        <v>1530</v>
      </c>
      <c r="H327" s="64">
        <f>F327*G327</f>
        <v>21420</v>
      </c>
    </row>
    <row r="328" spans="3:9" ht="19.8" customHeight="1">
      <c r="C328" s="60">
        <v>3</v>
      </c>
      <c r="D328" s="72" t="s">
        <v>85</v>
      </c>
      <c r="E328" s="61" t="s">
        <v>42</v>
      </c>
      <c r="F328" s="62">
        <v>3.5000000000000003E-2</v>
      </c>
      <c r="G328" s="63">
        <f>VLOOKUP(D328,upahbahan,3,FALSE)</f>
        <v>310500</v>
      </c>
      <c r="H328" s="64">
        <f>F328*G328</f>
        <v>10867.500000000002</v>
      </c>
    </row>
    <row r="329" spans="3:9" ht="19.8" customHeight="1">
      <c r="C329" s="66" t="s">
        <v>1214</v>
      </c>
      <c r="D329" s="67"/>
      <c r="E329" s="67"/>
      <c r="F329" s="67"/>
      <c r="G329" s="69"/>
      <c r="H329" s="64">
        <f>SUM(H326:H328)</f>
        <v>229171.5</v>
      </c>
    </row>
    <row r="330" spans="3:9" ht="19.8" customHeight="1">
      <c r="C330" s="167" t="s">
        <v>1215</v>
      </c>
      <c r="D330" s="56" t="s">
        <v>1216</v>
      </c>
      <c r="E330" s="57"/>
      <c r="F330" s="57"/>
      <c r="G330" s="57"/>
      <c r="H330" s="58"/>
    </row>
    <row r="331" spans="3:9" ht="19.8" customHeight="1">
      <c r="C331" s="66" t="s">
        <v>1217</v>
      </c>
      <c r="D331" s="67"/>
      <c r="E331" s="67"/>
      <c r="F331" s="67"/>
      <c r="G331" s="69"/>
      <c r="H331" s="74">
        <v>0</v>
      </c>
    </row>
    <row r="332" spans="3:9" ht="19.8" customHeight="1">
      <c r="C332" s="75" t="s">
        <v>1218</v>
      </c>
      <c r="D332" s="76" t="s">
        <v>1219</v>
      </c>
      <c r="E332" s="77"/>
      <c r="F332" s="77"/>
      <c r="G332" s="78"/>
      <c r="H332" s="64">
        <f>H331+H329+H324</f>
        <v>264699.5</v>
      </c>
    </row>
    <row r="333" spans="3:9" ht="19.8" customHeight="1">
      <c r="C333" s="75" t="s">
        <v>1220</v>
      </c>
      <c r="D333" s="76" t="s">
        <v>1321</v>
      </c>
      <c r="E333" s="77"/>
      <c r="F333" s="78"/>
      <c r="G333" s="80">
        <f>$M$8</f>
        <v>0.1</v>
      </c>
      <c r="H333" s="64">
        <f>H332*G333</f>
        <v>26469.95</v>
      </c>
    </row>
    <row r="334" spans="3:9" ht="19.8" customHeight="1" thickBot="1">
      <c r="C334" s="81" t="s">
        <v>1221</v>
      </c>
      <c r="D334" s="82" t="s">
        <v>1222</v>
      </c>
      <c r="E334" s="83"/>
      <c r="F334" s="83"/>
      <c r="G334" s="84"/>
      <c r="H334" s="85">
        <f>SUM(H332:H333)</f>
        <v>291169.45</v>
      </c>
    </row>
    <row r="335" spans="3:9" ht="14.4" thickTop="1">
      <c r="C335" s="460"/>
      <c r="D335" s="1881"/>
      <c r="E335" s="1881"/>
      <c r="F335" s="49"/>
      <c r="G335" s="49"/>
      <c r="H335" s="49"/>
    </row>
    <row r="336" spans="3:9" ht="29.4" customHeight="1" thickBot="1">
      <c r="C336" s="47" t="s">
        <v>2763</v>
      </c>
      <c r="D336" s="454" t="s">
        <v>1348</v>
      </c>
      <c r="E336" s="454"/>
      <c r="F336" s="454"/>
      <c r="G336" s="454"/>
      <c r="H336" s="454"/>
      <c r="I336" s="50">
        <f>ROUNDDOWN(H353,-2)</f>
        <v>286100</v>
      </c>
    </row>
    <row r="337" spans="3:8" ht="28.2" thickTop="1">
      <c r="C337" s="51" t="s">
        <v>1195</v>
      </c>
      <c r="D337" s="52" t="s">
        <v>1196</v>
      </c>
      <c r="E337" s="52" t="s">
        <v>1197</v>
      </c>
      <c r="F337" s="52" t="s">
        <v>1198</v>
      </c>
      <c r="G337" s="52" t="s">
        <v>1199</v>
      </c>
      <c r="H337" s="53" t="s">
        <v>1200</v>
      </c>
    </row>
    <row r="338" spans="3:8" ht="19.8" customHeight="1">
      <c r="C338" s="55" t="s">
        <v>1201</v>
      </c>
      <c r="D338" s="56" t="s">
        <v>1202</v>
      </c>
      <c r="E338" s="57"/>
      <c r="F338" s="57"/>
      <c r="G338" s="57"/>
      <c r="H338" s="58"/>
    </row>
    <row r="339" spans="3:8" ht="19.8" customHeight="1">
      <c r="C339" s="60">
        <v>1</v>
      </c>
      <c r="D339" s="56" t="s">
        <v>5</v>
      </c>
      <c r="E339" s="61" t="s">
        <v>6</v>
      </c>
      <c r="F339" s="101">
        <v>0.2</v>
      </c>
      <c r="G339" s="63">
        <f>VLOOKUP(D339,upahbahan,3,FALSE)</f>
        <v>100000</v>
      </c>
      <c r="H339" s="64">
        <f>F339*G339</f>
        <v>20000</v>
      </c>
    </row>
    <row r="340" spans="3:8" ht="19.8" customHeight="1">
      <c r="C340" s="60">
        <v>2</v>
      </c>
      <c r="D340" s="56" t="s">
        <v>7</v>
      </c>
      <c r="E340" s="61" t="s">
        <v>6</v>
      </c>
      <c r="F340" s="101">
        <v>0.1</v>
      </c>
      <c r="G340" s="63">
        <f>VLOOKUP(D340,upahbahan,3,FALSE)</f>
        <v>135000</v>
      </c>
      <c r="H340" s="64">
        <f>F340*G340</f>
        <v>13500</v>
      </c>
    </row>
    <row r="341" spans="3:8" ht="19.8" customHeight="1">
      <c r="C341" s="60">
        <v>3</v>
      </c>
      <c r="D341" s="56" t="s">
        <v>18</v>
      </c>
      <c r="E341" s="61" t="s">
        <v>6</v>
      </c>
      <c r="F341" s="101">
        <v>0.01</v>
      </c>
      <c r="G341" s="63">
        <f>VLOOKUP(D341,upahbahan,3,FALSE)</f>
        <v>150000</v>
      </c>
      <c r="H341" s="64">
        <f>F341*G341</f>
        <v>1500</v>
      </c>
    </row>
    <row r="342" spans="3:8" ht="19.8" customHeight="1">
      <c r="C342" s="60">
        <v>4</v>
      </c>
      <c r="D342" s="56" t="s">
        <v>19</v>
      </c>
      <c r="E342" s="61" t="s">
        <v>6</v>
      </c>
      <c r="F342" s="101">
        <v>3.3E-3</v>
      </c>
      <c r="G342" s="63">
        <f>VLOOKUP(D342,upahbahan,3,FALSE)</f>
        <v>160000</v>
      </c>
      <c r="H342" s="64">
        <f>F342*G342</f>
        <v>528</v>
      </c>
    </row>
    <row r="343" spans="3:8" ht="19.8" customHeight="1">
      <c r="C343" s="66" t="s">
        <v>1331</v>
      </c>
      <c r="D343" s="67"/>
      <c r="E343" s="67"/>
      <c r="F343" s="68"/>
      <c r="G343" s="69"/>
      <c r="H343" s="64">
        <f>SUM(H339:H342)</f>
        <v>35528</v>
      </c>
    </row>
    <row r="344" spans="3:8" ht="19.8" customHeight="1">
      <c r="C344" s="55" t="s">
        <v>1209</v>
      </c>
      <c r="D344" s="56" t="s">
        <v>1210</v>
      </c>
      <c r="E344" s="57"/>
      <c r="F344" s="287"/>
      <c r="G344" s="57"/>
      <c r="H344" s="58"/>
    </row>
    <row r="345" spans="3:8" ht="19.8" customHeight="1">
      <c r="C345" s="60">
        <v>1</v>
      </c>
      <c r="D345" s="56" t="s">
        <v>50</v>
      </c>
      <c r="E345" s="61" t="s">
        <v>44</v>
      </c>
      <c r="F345" s="62">
        <v>36.46</v>
      </c>
      <c r="G345" s="63">
        <f>VLOOKUP(D345,upahbahan,3,FALSE)</f>
        <v>5400</v>
      </c>
      <c r="H345" s="64">
        <f>F345*G345</f>
        <v>196884</v>
      </c>
    </row>
    <row r="346" spans="3:8" ht="19.8" customHeight="1">
      <c r="C346" s="60">
        <v>2</v>
      </c>
      <c r="D346" s="56" t="s">
        <v>2332</v>
      </c>
      <c r="E346" s="61" t="s">
        <v>65</v>
      </c>
      <c r="F346" s="62">
        <v>11</v>
      </c>
      <c r="G346" s="63">
        <f>VLOOKUP(D346,upahbahan,3,FALSE)</f>
        <v>1530</v>
      </c>
      <c r="H346" s="64">
        <f>F346*G346</f>
        <v>16830</v>
      </c>
    </row>
    <row r="347" spans="3:8" ht="19.8" customHeight="1">
      <c r="C347" s="60">
        <v>3</v>
      </c>
      <c r="D347" s="72" t="s">
        <v>85</v>
      </c>
      <c r="E347" s="61" t="s">
        <v>42</v>
      </c>
      <c r="F347" s="62">
        <v>3.5000000000000003E-2</v>
      </c>
      <c r="G347" s="63">
        <f>VLOOKUP(D347,upahbahan,3,FALSE)</f>
        <v>310500</v>
      </c>
      <c r="H347" s="64">
        <f>F347*G347</f>
        <v>10867.500000000002</v>
      </c>
    </row>
    <row r="348" spans="3:8" ht="19.8" customHeight="1">
      <c r="C348" s="66" t="s">
        <v>1214</v>
      </c>
      <c r="D348" s="67"/>
      <c r="E348" s="67"/>
      <c r="F348" s="67"/>
      <c r="G348" s="69"/>
      <c r="H348" s="64">
        <f>SUM(H345:H347)</f>
        <v>224581.5</v>
      </c>
    </row>
    <row r="349" spans="3:8" ht="19.8" customHeight="1">
      <c r="C349" s="167" t="s">
        <v>1215</v>
      </c>
      <c r="D349" s="56" t="s">
        <v>1216</v>
      </c>
      <c r="E349" s="57"/>
      <c r="F349" s="57"/>
      <c r="G349" s="57"/>
      <c r="H349" s="58"/>
    </row>
    <row r="350" spans="3:8" ht="19.8" customHeight="1">
      <c r="C350" s="66" t="s">
        <v>1217</v>
      </c>
      <c r="D350" s="67"/>
      <c r="E350" s="67"/>
      <c r="F350" s="67"/>
      <c r="G350" s="69"/>
      <c r="H350" s="74">
        <v>0</v>
      </c>
    </row>
    <row r="351" spans="3:8" ht="19.8" customHeight="1">
      <c r="C351" s="75" t="s">
        <v>1218</v>
      </c>
      <c r="D351" s="76" t="s">
        <v>1219</v>
      </c>
      <c r="E351" s="77"/>
      <c r="F351" s="77"/>
      <c r="G351" s="78"/>
      <c r="H351" s="64">
        <f>H350+H348+H343</f>
        <v>260109.5</v>
      </c>
    </row>
    <row r="352" spans="3:8" ht="19.8" customHeight="1">
      <c r="C352" s="75" t="s">
        <v>1220</v>
      </c>
      <c r="D352" s="76" t="s">
        <v>1321</v>
      </c>
      <c r="E352" s="77"/>
      <c r="F352" s="78"/>
      <c r="G352" s="80">
        <f>$M$8</f>
        <v>0.1</v>
      </c>
      <c r="H352" s="64">
        <f>H351*G352</f>
        <v>26010.95</v>
      </c>
    </row>
    <row r="353" spans="3:9" ht="19.8" customHeight="1" thickBot="1">
      <c r="C353" s="81" t="s">
        <v>1221</v>
      </c>
      <c r="D353" s="82" t="s">
        <v>1222</v>
      </c>
      <c r="E353" s="83"/>
      <c r="F353" s="83"/>
      <c r="G353" s="84"/>
      <c r="H353" s="85">
        <f>SUM(H351:H352)</f>
        <v>286120.45</v>
      </c>
    </row>
    <row r="354" spans="3:9" ht="14.4" thickTop="1">
      <c r="C354" s="460"/>
      <c r="D354" s="1881"/>
      <c r="E354" s="1881"/>
      <c r="F354" s="49"/>
      <c r="G354" s="49"/>
      <c r="H354" s="49"/>
    </row>
    <row r="355" spans="3:9" ht="28.95" customHeight="1" thickBot="1">
      <c r="C355" s="47" t="s">
        <v>2764</v>
      </c>
      <c r="D355" s="454" t="s">
        <v>1349</v>
      </c>
      <c r="E355" s="454"/>
      <c r="F355" s="454"/>
      <c r="G355" s="454"/>
      <c r="H355" s="454"/>
      <c r="I355" s="50">
        <f>ROUNDDOWN(H372,-2)</f>
        <v>93100</v>
      </c>
    </row>
    <row r="356" spans="3:9" ht="28.2" thickTop="1">
      <c r="C356" s="51" t="s">
        <v>1195</v>
      </c>
      <c r="D356" s="52" t="s">
        <v>1196</v>
      </c>
      <c r="E356" s="52" t="s">
        <v>1197</v>
      </c>
      <c r="F356" s="52" t="s">
        <v>1198</v>
      </c>
      <c r="G356" s="52" t="s">
        <v>1199</v>
      </c>
      <c r="H356" s="53" t="s">
        <v>1200</v>
      </c>
    </row>
    <row r="357" spans="3:9" ht="19.8" customHeight="1">
      <c r="C357" s="55" t="s">
        <v>1201</v>
      </c>
      <c r="D357" s="56" t="s">
        <v>1202</v>
      </c>
      <c r="E357" s="57"/>
      <c r="F357" s="57"/>
      <c r="G357" s="63"/>
      <c r="H357" s="58"/>
    </row>
    <row r="358" spans="3:9" ht="19.8" customHeight="1">
      <c r="C358" s="60">
        <v>1</v>
      </c>
      <c r="D358" s="56" t="s">
        <v>5</v>
      </c>
      <c r="E358" s="61" t="s">
        <v>6</v>
      </c>
      <c r="F358" s="62">
        <v>0.3</v>
      </c>
      <c r="G358" s="63">
        <f>VLOOKUP(D358,upahbahan,3,FALSE)</f>
        <v>100000</v>
      </c>
      <c r="H358" s="64">
        <f>F358*G358</f>
        <v>30000</v>
      </c>
    </row>
    <row r="359" spans="3:9" ht="19.8" customHeight="1">
      <c r="C359" s="60">
        <v>2</v>
      </c>
      <c r="D359" s="56" t="s">
        <v>7</v>
      </c>
      <c r="E359" s="61" t="s">
        <v>6</v>
      </c>
      <c r="F359" s="62">
        <v>0.15</v>
      </c>
      <c r="G359" s="63">
        <f>VLOOKUP(D359,upahbahan,3,FALSE)</f>
        <v>135000</v>
      </c>
      <c r="H359" s="64">
        <f>F359*G359</f>
        <v>20250</v>
      </c>
    </row>
    <row r="360" spans="3:9" ht="19.8" customHeight="1">
      <c r="C360" s="60">
        <v>3</v>
      </c>
      <c r="D360" s="56" t="s">
        <v>18</v>
      </c>
      <c r="E360" s="61" t="s">
        <v>6</v>
      </c>
      <c r="F360" s="62">
        <v>1.4999999999999999E-2</v>
      </c>
      <c r="G360" s="63">
        <f>VLOOKUP(D360,upahbahan,3,FALSE)</f>
        <v>150000</v>
      </c>
      <c r="H360" s="64">
        <f>F360*G360</f>
        <v>2250</v>
      </c>
    </row>
    <row r="361" spans="3:9" ht="19.8" customHeight="1">
      <c r="C361" s="60">
        <v>4</v>
      </c>
      <c r="D361" s="56" t="s">
        <v>19</v>
      </c>
      <c r="E361" s="61" t="s">
        <v>6</v>
      </c>
      <c r="F361" s="62">
        <v>5.0000000000000001E-3</v>
      </c>
      <c r="G361" s="63">
        <f>VLOOKUP(D361,upahbahan,3,FALSE)</f>
        <v>160000</v>
      </c>
      <c r="H361" s="64">
        <f>F361*G361</f>
        <v>800</v>
      </c>
    </row>
    <row r="362" spans="3:9" ht="19.8" customHeight="1">
      <c r="C362" s="66" t="s">
        <v>1331</v>
      </c>
      <c r="D362" s="67"/>
      <c r="E362" s="67"/>
      <c r="F362" s="68"/>
      <c r="G362" s="69"/>
      <c r="H362" s="64">
        <f>SUM(H358:H361)</f>
        <v>53300</v>
      </c>
    </row>
    <row r="363" spans="3:9" ht="19.8" customHeight="1">
      <c r="C363" s="55" t="s">
        <v>1209</v>
      </c>
      <c r="D363" s="56" t="s">
        <v>1210</v>
      </c>
      <c r="E363" s="57"/>
      <c r="F363" s="287"/>
      <c r="G363" s="57"/>
      <c r="H363" s="58"/>
    </row>
    <row r="364" spans="3:9" ht="19.8" customHeight="1">
      <c r="C364" s="60">
        <v>1</v>
      </c>
      <c r="D364" s="56" t="s">
        <v>2765</v>
      </c>
      <c r="E364" s="61" t="s">
        <v>44</v>
      </c>
      <c r="F364" s="62">
        <v>36.46</v>
      </c>
      <c r="G364" s="63">
        <f>VLOOKUP(D364,upahbahan,3,FALSE)</f>
        <v>0</v>
      </c>
      <c r="H364" s="64">
        <f>F364*G364</f>
        <v>0</v>
      </c>
    </row>
    <row r="365" spans="3:9" ht="19.8" customHeight="1">
      <c r="C365" s="60">
        <v>2</v>
      </c>
      <c r="D365" s="56" t="s">
        <v>2332</v>
      </c>
      <c r="E365" s="61" t="s">
        <v>65</v>
      </c>
      <c r="F365" s="62">
        <v>14</v>
      </c>
      <c r="G365" s="63">
        <f>VLOOKUP(D365,upahbahan,3,FALSE)</f>
        <v>1530</v>
      </c>
      <c r="H365" s="64">
        <f>F365*G365</f>
        <v>21420</v>
      </c>
    </row>
    <row r="366" spans="3:9" ht="19.8" customHeight="1">
      <c r="C366" s="60">
        <v>3</v>
      </c>
      <c r="D366" s="72" t="s">
        <v>85</v>
      </c>
      <c r="E366" s="61" t="s">
        <v>42</v>
      </c>
      <c r="F366" s="62">
        <v>3.2000000000000001E-2</v>
      </c>
      <c r="G366" s="63">
        <f>VLOOKUP(D366,upahbahan,3,FALSE)</f>
        <v>310500</v>
      </c>
      <c r="H366" s="64">
        <f>F366*G366</f>
        <v>9936</v>
      </c>
    </row>
    <row r="367" spans="3:9" ht="19.8" customHeight="1">
      <c r="C367" s="66" t="s">
        <v>1214</v>
      </c>
      <c r="D367" s="67"/>
      <c r="E367" s="67"/>
      <c r="F367" s="67"/>
      <c r="G367" s="69"/>
      <c r="H367" s="64">
        <f>SUM(H364:H366)</f>
        <v>31356</v>
      </c>
    </row>
    <row r="368" spans="3:9" ht="19.8" customHeight="1">
      <c r="C368" s="167" t="s">
        <v>1215</v>
      </c>
      <c r="D368" s="56" t="s">
        <v>1216</v>
      </c>
      <c r="E368" s="57"/>
      <c r="F368" s="57"/>
      <c r="G368" s="57"/>
      <c r="H368" s="58"/>
    </row>
    <row r="369" spans="3:9" ht="19.8" customHeight="1">
      <c r="C369" s="66" t="s">
        <v>1217</v>
      </c>
      <c r="D369" s="67"/>
      <c r="E369" s="67"/>
      <c r="F369" s="67"/>
      <c r="G369" s="69"/>
      <c r="H369" s="74">
        <v>0</v>
      </c>
    </row>
    <row r="370" spans="3:9" ht="19.8" customHeight="1">
      <c r="C370" s="75" t="s">
        <v>1218</v>
      </c>
      <c r="D370" s="76" t="s">
        <v>1219</v>
      </c>
      <c r="E370" s="77"/>
      <c r="F370" s="77"/>
      <c r="G370" s="78"/>
      <c r="H370" s="64">
        <f>H369+H367+H362</f>
        <v>84656</v>
      </c>
    </row>
    <row r="371" spans="3:9" ht="19.8" customHeight="1">
      <c r="C371" s="75" t="s">
        <v>1220</v>
      </c>
      <c r="D371" s="76" t="s">
        <v>1321</v>
      </c>
      <c r="E371" s="77"/>
      <c r="F371" s="78"/>
      <c r="G371" s="80">
        <f>$M$8</f>
        <v>0.1</v>
      </c>
      <c r="H371" s="64">
        <f>H370*G371</f>
        <v>8465.6</v>
      </c>
    </row>
    <row r="372" spans="3:9" ht="19.8" customHeight="1" thickBot="1">
      <c r="C372" s="81" t="s">
        <v>1221</v>
      </c>
      <c r="D372" s="82" t="s">
        <v>1222</v>
      </c>
      <c r="E372" s="83"/>
      <c r="F372" s="83"/>
      <c r="G372" s="84"/>
      <c r="H372" s="85">
        <f>SUM(H370:H371)</f>
        <v>93121.600000000006</v>
      </c>
    </row>
    <row r="373" spans="3:9" ht="14.4" thickTop="1">
      <c r="C373" s="54"/>
      <c r="D373" s="86"/>
      <c r="E373" s="86"/>
      <c r="F373" s="86"/>
      <c r="G373" s="86"/>
      <c r="H373" s="87"/>
    </row>
    <row r="374" spans="3:9" ht="14.4" thickBot="1">
      <c r="C374" s="44" t="s">
        <v>2766</v>
      </c>
      <c r="D374" s="451" t="s">
        <v>1350</v>
      </c>
      <c r="E374" s="456"/>
      <c r="F374" s="456"/>
      <c r="G374" s="456"/>
      <c r="H374" s="456"/>
      <c r="I374" s="50">
        <f>ROUNDDOWN(H391,-2)</f>
        <v>145700</v>
      </c>
    </row>
    <row r="375" spans="3:9" ht="31.2" customHeight="1" thickTop="1">
      <c r="C375" s="51" t="s">
        <v>1195</v>
      </c>
      <c r="D375" s="52" t="s">
        <v>1196</v>
      </c>
      <c r="E375" s="52" t="s">
        <v>1197</v>
      </c>
      <c r="F375" s="52" t="s">
        <v>1198</v>
      </c>
      <c r="G375" s="52" t="s">
        <v>1199</v>
      </c>
      <c r="H375" s="53" t="s">
        <v>1200</v>
      </c>
    </row>
    <row r="376" spans="3:9" ht="19.8" customHeight="1">
      <c r="C376" s="55" t="s">
        <v>1201</v>
      </c>
      <c r="D376" s="56" t="s">
        <v>1202</v>
      </c>
      <c r="E376" s="57"/>
      <c r="F376" s="57"/>
      <c r="G376" s="57"/>
      <c r="H376" s="58"/>
    </row>
    <row r="377" spans="3:9" ht="19.8" customHeight="1">
      <c r="C377" s="60">
        <v>1</v>
      </c>
      <c r="D377" s="56" t="s">
        <v>5</v>
      </c>
      <c r="E377" s="61" t="s">
        <v>6</v>
      </c>
      <c r="F377" s="101">
        <v>0.2</v>
      </c>
      <c r="G377" s="63">
        <f>VLOOKUP(D377,upahbahan,3,FALSE)</f>
        <v>100000</v>
      </c>
      <c r="H377" s="64">
        <f>F377*G377</f>
        <v>20000</v>
      </c>
    </row>
    <row r="378" spans="3:9" ht="19.8" customHeight="1">
      <c r="C378" s="60">
        <v>2</v>
      </c>
      <c r="D378" s="56" t="s">
        <v>7</v>
      </c>
      <c r="E378" s="61" t="s">
        <v>6</v>
      </c>
      <c r="F378" s="101">
        <v>0.1</v>
      </c>
      <c r="G378" s="63">
        <f>VLOOKUP(D378,upahbahan,3,FALSE)</f>
        <v>135000</v>
      </c>
      <c r="H378" s="64">
        <f>F378*G378</f>
        <v>13500</v>
      </c>
    </row>
    <row r="379" spans="3:9" ht="19.8" customHeight="1">
      <c r="C379" s="60">
        <v>3</v>
      </c>
      <c r="D379" s="56" t="s">
        <v>18</v>
      </c>
      <c r="E379" s="61" t="s">
        <v>6</v>
      </c>
      <c r="F379" s="101">
        <v>0.01</v>
      </c>
      <c r="G379" s="63">
        <f>VLOOKUP(D379,upahbahan,3,FALSE)</f>
        <v>150000</v>
      </c>
      <c r="H379" s="64">
        <f>F379*G379</f>
        <v>1500</v>
      </c>
    </row>
    <row r="380" spans="3:9" ht="19.8" customHeight="1">
      <c r="C380" s="60">
        <v>4</v>
      </c>
      <c r="D380" s="56" t="s">
        <v>19</v>
      </c>
      <c r="E380" s="61" t="s">
        <v>6</v>
      </c>
      <c r="F380" s="101">
        <v>3.3E-3</v>
      </c>
      <c r="G380" s="63">
        <f>VLOOKUP(D380,upahbahan,3,FALSE)</f>
        <v>160000</v>
      </c>
      <c r="H380" s="64">
        <f>F380*G380</f>
        <v>528</v>
      </c>
    </row>
    <row r="381" spans="3:9" ht="19.8" customHeight="1">
      <c r="C381" s="66" t="s">
        <v>1331</v>
      </c>
      <c r="D381" s="67"/>
      <c r="E381" s="67"/>
      <c r="F381" s="68"/>
      <c r="G381" s="69"/>
      <c r="H381" s="64">
        <f>SUM(H377:H380)</f>
        <v>35528</v>
      </c>
    </row>
    <row r="382" spans="3:9" ht="19.8" customHeight="1">
      <c r="C382" s="55" t="s">
        <v>1209</v>
      </c>
      <c r="D382" s="56" t="s">
        <v>1210</v>
      </c>
      <c r="E382" s="57"/>
      <c r="F382" s="287"/>
      <c r="G382" s="57"/>
      <c r="H382" s="58"/>
    </row>
    <row r="383" spans="3:9" ht="19.8" customHeight="1">
      <c r="C383" s="60">
        <v>1</v>
      </c>
      <c r="D383" s="56" t="s">
        <v>635</v>
      </c>
      <c r="E383" s="61" t="s">
        <v>44</v>
      </c>
      <c r="F383" s="62">
        <v>26.25</v>
      </c>
      <c r="G383" s="63">
        <f>VLOOKUP(D383,upahbahan,3,FALSE)</f>
        <v>2500</v>
      </c>
      <c r="H383" s="64">
        <f>F383*G383</f>
        <v>65625</v>
      </c>
    </row>
    <row r="384" spans="3:9" ht="19.8" customHeight="1">
      <c r="C384" s="60">
        <v>2</v>
      </c>
      <c r="D384" s="56" t="s">
        <v>2334</v>
      </c>
      <c r="E384" s="61" t="s">
        <v>65</v>
      </c>
      <c r="F384" s="62">
        <v>14</v>
      </c>
      <c r="G384" s="63">
        <f>VLOOKUP(D384,upahbahan,3,FALSE)</f>
        <v>1530</v>
      </c>
      <c r="H384" s="64">
        <f>F384*G384</f>
        <v>21420</v>
      </c>
    </row>
    <row r="385" spans="3:9" ht="19.8" customHeight="1">
      <c r="C385" s="60">
        <v>3</v>
      </c>
      <c r="D385" s="72" t="s">
        <v>85</v>
      </c>
      <c r="E385" s="61" t="s">
        <v>42</v>
      </c>
      <c r="F385" s="62">
        <v>3.2000000000000001E-2</v>
      </c>
      <c r="G385" s="63">
        <f>VLOOKUP(D385,upahbahan,3,FALSE)</f>
        <v>310500</v>
      </c>
      <c r="H385" s="64">
        <f>F385*G385</f>
        <v>9936</v>
      </c>
    </row>
    <row r="386" spans="3:9" ht="19.8" customHeight="1">
      <c r="C386" s="66" t="s">
        <v>1214</v>
      </c>
      <c r="D386" s="67"/>
      <c r="E386" s="67"/>
      <c r="F386" s="67"/>
      <c r="G386" s="69"/>
      <c r="H386" s="64">
        <f>SUM(H383:H385)</f>
        <v>96981</v>
      </c>
    </row>
    <row r="387" spans="3:9" ht="19.8" customHeight="1">
      <c r="C387" s="167" t="s">
        <v>1215</v>
      </c>
      <c r="D387" s="56" t="s">
        <v>1216</v>
      </c>
      <c r="E387" s="57"/>
      <c r="F387" s="57"/>
      <c r="G387" s="57"/>
      <c r="H387" s="58"/>
    </row>
    <row r="388" spans="3:9" ht="19.8" customHeight="1">
      <c r="C388" s="66" t="s">
        <v>1217</v>
      </c>
      <c r="D388" s="67"/>
      <c r="E388" s="67"/>
      <c r="F388" s="67"/>
      <c r="G388" s="69"/>
      <c r="H388" s="74">
        <v>0</v>
      </c>
    </row>
    <row r="389" spans="3:9" ht="19.8" customHeight="1">
      <c r="C389" s="75" t="s">
        <v>1218</v>
      </c>
      <c r="D389" s="76" t="s">
        <v>1219</v>
      </c>
      <c r="E389" s="77"/>
      <c r="F389" s="77"/>
      <c r="G389" s="78"/>
      <c r="H389" s="64">
        <f>H388+H386+H381</f>
        <v>132509</v>
      </c>
    </row>
    <row r="390" spans="3:9" ht="19.8" customHeight="1">
      <c r="C390" s="75" t="s">
        <v>1220</v>
      </c>
      <c r="D390" s="76" t="s">
        <v>1321</v>
      </c>
      <c r="E390" s="77"/>
      <c r="F390" s="78"/>
      <c r="G390" s="80">
        <f>$M$8</f>
        <v>0.1</v>
      </c>
      <c r="H390" s="64">
        <f>H389*G390</f>
        <v>13250.900000000001</v>
      </c>
    </row>
    <row r="391" spans="3:9" ht="19.8" customHeight="1" thickBot="1">
      <c r="C391" s="81" t="s">
        <v>1221</v>
      </c>
      <c r="D391" s="82" t="s">
        <v>1222</v>
      </c>
      <c r="E391" s="83"/>
      <c r="F391" s="83"/>
      <c r="G391" s="84"/>
      <c r="H391" s="85">
        <f>SUM(H389:H390)</f>
        <v>145759.9</v>
      </c>
    </row>
    <row r="392" spans="3:9" ht="14.4" thickTop="1">
      <c r="C392" s="54"/>
      <c r="D392" s="86"/>
      <c r="E392" s="86"/>
      <c r="F392" s="86"/>
      <c r="G392" s="86"/>
      <c r="H392" s="87"/>
    </row>
    <row r="393" spans="3:9" ht="29.4" customHeight="1" thickBot="1">
      <c r="C393" s="47" t="s">
        <v>2767</v>
      </c>
      <c r="D393" s="454" t="s">
        <v>2768</v>
      </c>
      <c r="E393" s="454"/>
      <c r="F393" s="454"/>
      <c r="G393" s="454"/>
      <c r="H393" s="454"/>
      <c r="I393" s="50">
        <f>ROUNDDOWN(H410,-2)</f>
        <v>229400</v>
      </c>
    </row>
    <row r="394" spans="3:9" ht="28.2" thickTop="1">
      <c r="C394" s="51" t="s">
        <v>1195</v>
      </c>
      <c r="D394" s="52" t="s">
        <v>1196</v>
      </c>
      <c r="E394" s="52" t="s">
        <v>1197</v>
      </c>
      <c r="F394" s="52" t="s">
        <v>1198</v>
      </c>
      <c r="G394" s="52" t="s">
        <v>1199</v>
      </c>
      <c r="H394" s="53" t="s">
        <v>1200</v>
      </c>
    </row>
    <row r="395" spans="3:9" ht="19.8" customHeight="1">
      <c r="C395" s="55" t="s">
        <v>1201</v>
      </c>
      <c r="D395" s="56" t="s">
        <v>1202</v>
      </c>
      <c r="E395" s="57"/>
      <c r="F395" s="57"/>
      <c r="G395" s="57"/>
      <c r="H395" s="58"/>
    </row>
    <row r="396" spans="3:9" ht="19.8" customHeight="1">
      <c r="C396" s="60">
        <v>1</v>
      </c>
      <c r="D396" s="56" t="s">
        <v>5</v>
      </c>
      <c r="E396" s="61" t="s">
        <v>6</v>
      </c>
      <c r="F396" s="101">
        <v>0.2</v>
      </c>
      <c r="G396" s="63">
        <f>VLOOKUP(D396,upahbahan,3,FALSE)</f>
        <v>100000</v>
      </c>
      <c r="H396" s="64">
        <f>F396*G396</f>
        <v>20000</v>
      </c>
    </row>
    <row r="397" spans="3:9" ht="19.8" customHeight="1">
      <c r="C397" s="60">
        <v>2</v>
      </c>
      <c r="D397" s="56" t="s">
        <v>7</v>
      </c>
      <c r="E397" s="61" t="s">
        <v>6</v>
      </c>
      <c r="F397" s="101">
        <v>0.1</v>
      </c>
      <c r="G397" s="63">
        <f>VLOOKUP(D397,upahbahan,3,FALSE)</f>
        <v>135000</v>
      </c>
      <c r="H397" s="64">
        <f>F397*G397</f>
        <v>13500</v>
      </c>
    </row>
    <row r="398" spans="3:9" ht="19.8" customHeight="1">
      <c r="C398" s="60">
        <v>3</v>
      </c>
      <c r="D398" s="56" t="s">
        <v>18</v>
      </c>
      <c r="E398" s="61" t="s">
        <v>6</v>
      </c>
      <c r="F398" s="101">
        <v>0.01</v>
      </c>
      <c r="G398" s="63">
        <f>VLOOKUP(D398,upahbahan,3,FALSE)</f>
        <v>150000</v>
      </c>
      <c r="H398" s="64">
        <f>F398*G398</f>
        <v>1500</v>
      </c>
    </row>
    <row r="399" spans="3:9" ht="19.8" customHeight="1">
      <c r="C399" s="60">
        <v>4</v>
      </c>
      <c r="D399" s="56" t="s">
        <v>19</v>
      </c>
      <c r="E399" s="61" t="s">
        <v>6</v>
      </c>
      <c r="F399" s="101">
        <v>3.3E-3</v>
      </c>
      <c r="G399" s="63">
        <f>VLOOKUP(D399,upahbahan,3,FALSE)</f>
        <v>160000</v>
      </c>
      <c r="H399" s="64">
        <f>F399*G399</f>
        <v>528</v>
      </c>
    </row>
    <row r="400" spans="3:9" ht="19.8" customHeight="1">
      <c r="C400" s="66" t="s">
        <v>1331</v>
      </c>
      <c r="D400" s="67"/>
      <c r="E400" s="67"/>
      <c r="F400" s="68"/>
      <c r="G400" s="69"/>
      <c r="H400" s="64">
        <f>SUM(H396:H399)</f>
        <v>35528</v>
      </c>
    </row>
    <row r="401" spans="3:9" ht="19.8" customHeight="1">
      <c r="C401" s="55" t="s">
        <v>1209</v>
      </c>
      <c r="D401" s="56" t="s">
        <v>1210</v>
      </c>
      <c r="E401" s="57"/>
      <c r="F401" s="287"/>
      <c r="G401" s="57"/>
      <c r="H401" s="58"/>
    </row>
    <row r="402" spans="3:9" ht="19.8" customHeight="1">
      <c r="C402" s="60">
        <v>1</v>
      </c>
      <c r="D402" s="56" t="s">
        <v>50</v>
      </c>
      <c r="E402" s="61" t="s">
        <v>44</v>
      </c>
      <c r="F402" s="62">
        <v>26.25</v>
      </c>
      <c r="G402" s="63">
        <f>VLOOKUP(D402,upahbahan,3,FALSE)</f>
        <v>5400</v>
      </c>
      <c r="H402" s="64">
        <f>F402*G402</f>
        <v>141750</v>
      </c>
    </row>
    <row r="403" spans="3:9" ht="19.8" customHeight="1">
      <c r="C403" s="60">
        <v>2</v>
      </c>
      <c r="D403" s="56" t="s">
        <v>2332</v>
      </c>
      <c r="E403" s="61" t="s">
        <v>65</v>
      </c>
      <c r="F403" s="62">
        <v>14</v>
      </c>
      <c r="G403" s="63">
        <f>VLOOKUP(D403,upahbahan,3,FALSE)</f>
        <v>1530</v>
      </c>
      <c r="H403" s="64">
        <f>F403*G403</f>
        <v>21420</v>
      </c>
    </row>
    <row r="404" spans="3:9" ht="19.8" customHeight="1">
      <c r="C404" s="60">
        <v>3</v>
      </c>
      <c r="D404" s="72" t="s">
        <v>85</v>
      </c>
      <c r="E404" s="61" t="s">
        <v>42</v>
      </c>
      <c r="F404" s="62">
        <v>3.2000000000000001E-2</v>
      </c>
      <c r="G404" s="63">
        <f>VLOOKUP(D404,upahbahan,3,FALSE)</f>
        <v>310500</v>
      </c>
      <c r="H404" s="64">
        <f>F404*G404</f>
        <v>9936</v>
      </c>
    </row>
    <row r="405" spans="3:9" ht="19.8" customHeight="1">
      <c r="C405" s="66" t="s">
        <v>1214</v>
      </c>
      <c r="D405" s="67"/>
      <c r="E405" s="67"/>
      <c r="F405" s="67"/>
      <c r="G405" s="69"/>
      <c r="H405" s="64">
        <f>SUM(H402:H404)</f>
        <v>173106</v>
      </c>
    </row>
    <row r="406" spans="3:9" ht="19.8" customHeight="1">
      <c r="C406" s="167" t="s">
        <v>1215</v>
      </c>
      <c r="D406" s="56" t="s">
        <v>1216</v>
      </c>
      <c r="E406" s="57"/>
      <c r="F406" s="57"/>
      <c r="G406" s="57"/>
      <c r="H406" s="58"/>
    </row>
    <row r="407" spans="3:9" ht="19.8" customHeight="1">
      <c r="C407" s="66" t="s">
        <v>1217</v>
      </c>
      <c r="D407" s="67"/>
      <c r="E407" s="67"/>
      <c r="F407" s="67"/>
      <c r="G407" s="69"/>
      <c r="H407" s="74">
        <v>0</v>
      </c>
    </row>
    <row r="408" spans="3:9" ht="19.8" customHeight="1">
      <c r="C408" s="75" t="s">
        <v>1218</v>
      </c>
      <c r="D408" s="76" t="s">
        <v>1219</v>
      </c>
      <c r="E408" s="77"/>
      <c r="F408" s="77"/>
      <c r="G408" s="78"/>
      <c r="H408" s="64">
        <f>H407+H405+H400</f>
        <v>208634</v>
      </c>
    </row>
    <row r="409" spans="3:9" ht="19.8" customHeight="1">
      <c r="C409" s="75" t="s">
        <v>1220</v>
      </c>
      <c r="D409" s="76" t="s">
        <v>1321</v>
      </c>
      <c r="E409" s="77"/>
      <c r="F409" s="78"/>
      <c r="G409" s="80">
        <f>$M$8</f>
        <v>0.1</v>
      </c>
      <c r="H409" s="64">
        <f>H408*G409</f>
        <v>20863.400000000001</v>
      </c>
    </row>
    <row r="410" spans="3:9" ht="19.8" customHeight="1" thickBot="1">
      <c r="C410" s="81" t="s">
        <v>1221</v>
      </c>
      <c r="D410" s="82" t="s">
        <v>1222</v>
      </c>
      <c r="E410" s="83"/>
      <c r="F410" s="83"/>
      <c r="G410" s="84"/>
      <c r="H410" s="85">
        <f>SUM(H408:H409)</f>
        <v>229497.4</v>
      </c>
    </row>
    <row r="411" spans="3:9" ht="14.4" thickTop="1">
      <c r="C411" s="54"/>
      <c r="D411" s="86"/>
      <c r="E411" s="86"/>
      <c r="F411" s="86"/>
      <c r="G411" s="86"/>
      <c r="H411" s="87"/>
    </row>
    <row r="412" spans="3:9">
      <c r="C412" s="54"/>
      <c r="D412" s="86"/>
      <c r="E412" s="86"/>
      <c r="F412" s="86"/>
      <c r="G412" s="86"/>
      <c r="H412" s="87"/>
    </row>
    <row r="413" spans="3:9">
      <c r="C413" s="43" t="s">
        <v>2769</v>
      </c>
      <c r="D413" s="128" t="s">
        <v>2770</v>
      </c>
      <c r="E413" s="86"/>
      <c r="F413" s="86"/>
      <c r="G413" s="86"/>
      <c r="H413" s="87"/>
    </row>
    <row r="414" spans="3:9" ht="14.4" thickBot="1">
      <c r="C414" s="44" t="s">
        <v>2771</v>
      </c>
      <c r="D414" s="451" t="s">
        <v>1351</v>
      </c>
      <c r="E414" s="151"/>
      <c r="F414" s="151"/>
      <c r="G414" s="151"/>
      <c r="H414" s="151"/>
      <c r="I414" s="50">
        <f>ROUNDDOWN(H430,-2)</f>
        <v>96300</v>
      </c>
    </row>
    <row r="415" spans="3:9" ht="28.2" thickTop="1">
      <c r="C415" s="51" t="s">
        <v>1195</v>
      </c>
      <c r="D415" s="52" t="s">
        <v>1196</v>
      </c>
      <c r="E415" s="52" t="s">
        <v>1197</v>
      </c>
      <c r="F415" s="52" t="s">
        <v>1198</v>
      </c>
      <c r="G415" s="52" t="s">
        <v>1199</v>
      </c>
      <c r="H415" s="53" t="s">
        <v>1200</v>
      </c>
    </row>
    <row r="416" spans="3:9" ht="19.8" customHeight="1">
      <c r="C416" s="55" t="s">
        <v>1201</v>
      </c>
      <c r="D416" s="56" t="s">
        <v>1202</v>
      </c>
      <c r="E416" s="57"/>
      <c r="F416" s="57"/>
      <c r="G416" s="57"/>
      <c r="H416" s="58"/>
    </row>
    <row r="417" spans="3:9" ht="19.8" customHeight="1">
      <c r="C417" s="60">
        <v>1</v>
      </c>
      <c r="D417" s="56" t="s">
        <v>5</v>
      </c>
      <c r="E417" s="61" t="s">
        <v>6</v>
      </c>
      <c r="F417" s="101">
        <v>0.16769999999999999</v>
      </c>
      <c r="G417" s="63">
        <f>VLOOKUP(D417,upahbahan,3,FALSE)</f>
        <v>100000</v>
      </c>
      <c r="H417" s="64">
        <f>F417*G417</f>
        <v>16770</v>
      </c>
    </row>
    <row r="418" spans="3:9" ht="19.8" customHeight="1">
      <c r="C418" s="60">
        <v>2</v>
      </c>
      <c r="D418" s="56" t="s">
        <v>7</v>
      </c>
      <c r="E418" s="61" t="s">
        <v>6</v>
      </c>
      <c r="F418" s="101">
        <v>8.3299999999999999E-2</v>
      </c>
      <c r="G418" s="63">
        <f>VLOOKUP(D418,upahbahan,3,FALSE)</f>
        <v>135000</v>
      </c>
      <c r="H418" s="64">
        <f>F418*G418</f>
        <v>11245.5</v>
      </c>
    </row>
    <row r="419" spans="3:9" ht="19.8" customHeight="1">
      <c r="C419" s="60">
        <v>3</v>
      </c>
      <c r="D419" s="56" t="s">
        <v>18</v>
      </c>
      <c r="E419" s="61" t="s">
        <v>6</v>
      </c>
      <c r="F419" s="101">
        <v>8.3000000000000001E-3</v>
      </c>
      <c r="G419" s="63">
        <f>VLOOKUP(D419,upahbahan,3,FALSE)</f>
        <v>150000</v>
      </c>
      <c r="H419" s="64">
        <f>F419*G419</f>
        <v>1245</v>
      </c>
    </row>
    <row r="420" spans="3:9" ht="19.8" customHeight="1">
      <c r="C420" s="60">
        <v>4</v>
      </c>
      <c r="D420" s="56" t="s">
        <v>19</v>
      </c>
      <c r="E420" s="61" t="s">
        <v>6</v>
      </c>
      <c r="F420" s="101">
        <v>2.8E-3</v>
      </c>
      <c r="G420" s="63">
        <f>VLOOKUP(D420,upahbahan,3,FALSE)</f>
        <v>160000</v>
      </c>
      <c r="H420" s="64">
        <f>F420*G420</f>
        <v>448</v>
      </c>
    </row>
    <row r="421" spans="3:9" ht="19.8" customHeight="1">
      <c r="C421" s="66" t="s">
        <v>1331</v>
      </c>
      <c r="D421" s="67"/>
      <c r="E421" s="67"/>
      <c r="F421" s="68"/>
      <c r="G421" s="69"/>
      <c r="H421" s="64">
        <f>SUM(H417:H420)</f>
        <v>29708.5</v>
      </c>
    </row>
    <row r="422" spans="3:9" ht="19.8" customHeight="1">
      <c r="C422" s="55" t="s">
        <v>1209</v>
      </c>
      <c r="D422" s="56" t="s">
        <v>1210</v>
      </c>
      <c r="E422" s="57"/>
      <c r="F422" s="287"/>
      <c r="G422" s="57"/>
      <c r="H422" s="58"/>
    </row>
    <row r="423" spans="3:9" ht="19.8" customHeight="1">
      <c r="C423" s="60">
        <v>1</v>
      </c>
      <c r="D423" s="56" t="s">
        <v>49</v>
      </c>
      <c r="E423" s="61" t="s">
        <v>44</v>
      </c>
      <c r="F423" s="62">
        <v>8.75</v>
      </c>
      <c r="G423" s="63">
        <f>VLOOKUP(D423,upahbahan,3,FALSE)</f>
        <v>6120</v>
      </c>
      <c r="H423" s="64">
        <f>F423*G423</f>
        <v>53550</v>
      </c>
    </row>
    <row r="424" spans="3:9" ht="19.8" customHeight="1">
      <c r="C424" s="60">
        <v>2</v>
      </c>
      <c r="D424" s="56" t="s">
        <v>1014</v>
      </c>
      <c r="E424" s="61" t="s">
        <v>65</v>
      </c>
      <c r="F424" s="62">
        <v>2.5710000000000002</v>
      </c>
      <c r="G424" s="63">
        <f>VLOOKUP(D424,upahbahan,3,FALSE)</f>
        <v>1687.5</v>
      </c>
      <c r="H424" s="64">
        <f>F424*G424</f>
        <v>4338.5625</v>
      </c>
    </row>
    <row r="425" spans="3:9" ht="19.8" customHeight="1">
      <c r="C425" s="66" t="s">
        <v>1214</v>
      </c>
      <c r="D425" s="67"/>
      <c r="E425" s="461"/>
      <c r="F425" s="461"/>
      <c r="G425" s="461"/>
      <c r="H425" s="64">
        <f>SUM(H423:H424)</f>
        <v>57888.5625</v>
      </c>
    </row>
    <row r="426" spans="3:9" ht="19.8" customHeight="1">
      <c r="C426" s="167" t="s">
        <v>1215</v>
      </c>
      <c r="D426" s="56" t="s">
        <v>1216</v>
      </c>
      <c r="E426" s="57"/>
      <c r="F426" s="57"/>
      <c r="G426" s="57"/>
      <c r="H426" s="58"/>
    </row>
    <row r="427" spans="3:9" ht="19.8" customHeight="1">
      <c r="C427" s="66" t="s">
        <v>1217</v>
      </c>
      <c r="D427" s="67"/>
      <c r="E427" s="67"/>
      <c r="F427" s="67"/>
      <c r="G427" s="69"/>
      <c r="H427" s="74">
        <v>0</v>
      </c>
    </row>
    <row r="428" spans="3:9" ht="19.8" customHeight="1">
      <c r="C428" s="75" t="s">
        <v>1218</v>
      </c>
      <c r="D428" s="76" t="s">
        <v>1219</v>
      </c>
      <c r="E428" s="77"/>
      <c r="F428" s="77"/>
      <c r="G428" s="78"/>
      <c r="H428" s="64">
        <f>H427+H425+H421</f>
        <v>87597.0625</v>
      </c>
    </row>
    <row r="429" spans="3:9" ht="19.8" customHeight="1">
      <c r="C429" s="75" t="s">
        <v>1220</v>
      </c>
      <c r="D429" s="76" t="s">
        <v>1321</v>
      </c>
      <c r="E429" s="77"/>
      <c r="F429" s="78"/>
      <c r="G429" s="80">
        <f>$M$8</f>
        <v>0.1</v>
      </c>
      <c r="H429" s="64">
        <f>H428*G429</f>
        <v>8759.7062500000011</v>
      </c>
    </row>
    <row r="430" spans="3:9" ht="19.8" customHeight="1" thickBot="1">
      <c r="C430" s="81" t="s">
        <v>1221</v>
      </c>
      <c r="D430" s="82" t="s">
        <v>1222</v>
      </c>
      <c r="E430" s="83"/>
      <c r="F430" s="83"/>
      <c r="G430" s="84"/>
      <c r="H430" s="85">
        <f>SUM(H428:H429)</f>
        <v>96356.768750000003</v>
      </c>
    </row>
    <row r="431" spans="3:9" ht="14.4" thickTop="1">
      <c r="C431" s="89"/>
      <c r="D431" s="90"/>
      <c r="E431" s="90"/>
      <c r="F431" s="90"/>
      <c r="G431" s="90"/>
      <c r="H431" s="91"/>
    </row>
    <row r="432" spans="3:9" ht="14.4" thickBot="1">
      <c r="C432" s="47" t="s">
        <v>2772</v>
      </c>
      <c r="D432" s="451" t="s">
        <v>1352</v>
      </c>
      <c r="E432" s="275"/>
      <c r="F432" s="275"/>
      <c r="G432" s="275"/>
      <c r="H432" s="275"/>
      <c r="I432" s="50" t="e">
        <f>ROUNDDOWN(H448,-2)</f>
        <v>#N/A</v>
      </c>
    </row>
    <row r="433" spans="3:8" ht="28.2" thickTop="1">
      <c r="C433" s="51" t="s">
        <v>1195</v>
      </c>
      <c r="D433" s="52" t="s">
        <v>1196</v>
      </c>
      <c r="E433" s="52" t="s">
        <v>1197</v>
      </c>
      <c r="F433" s="52" t="s">
        <v>1198</v>
      </c>
      <c r="G433" s="52" t="s">
        <v>1199</v>
      </c>
      <c r="H433" s="53" t="s">
        <v>1200</v>
      </c>
    </row>
    <row r="434" spans="3:8" ht="19.8" customHeight="1">
      <c r="C434" s="55" t="s">
        <v>1201</v>
      </c>
      <c r="D434" s="56" t="s">
        <v>1202</v>
      </c>
      <c r="E434" s="57"/>
      <c r="F434" s="57"/>
      <c r="G434" s="57"/>
      <c r="H434" s="58"/>
    </row>
    <row r="435" spans="3:8" ht="19.8" customHeight="1">
      <c r="C435" s="60">
        <v>1</v>
      </c>
      <c r="D435" s="56" t="s">
        <v>5</v>
      </c>
      <c r="E435" s="61" t="s">
        <v>6</v>
      </c>
      <c r="F435" s="101">
        <v>0.16769999999999999</v>
      </c>
      <c r="G435" s="63">
        <f>VLOOKUP(D435,upahbahan,3,FALSE)</f>
        <v>100000</v>
      </c>
      <c r="H435" s="64">
        <f>F435*G435</f>
        <v>16770</v>
      </c>
    </row>
    <row r="436" spans="3:8" ht="19.8" customHeight="1">
      <c r="C436" s="60">
        <v>2</v>
      </c>
      <c r="D436" s="56" t="s">
        <v>7</v>
      </c>
      <c r="E436" s="61" t="s">
        <v>6</v>
      </c>
      <c r="F436" s="101">
        <v>8.3299999999999999E-2</v>
      </c>
      <c r="G436" s="63">
        <f>VLOOKUP(D436,upahbahan,3,FALSE)</f>
        <v>135000</v>
      </c>
      <c r="H436" s="64">
        <f>F436*G436</f>
        <v>11245.5</v>
      </c>
    </row>
    <row r="437" spans="3:8" ht="19.8" customHeight="1">
      <c r="C437" s="60">
        <v>3</v>
      </c>
      <c r="D437" s="56" t="s">
        <v>18</v>
      </c>
      <c r="E437" s="61" t="s">
        <v>6</v>
      </c>
      <c r="F437" s="101">
        <v>8.3000000000000001E-3</v>
      </c>
      <c r="G437" s="63">
        <f>VLOOKUP(D437,upahbahan,3,FALSE)</f>
        <v>150000</v>
      </c>
      <c r="H437" s="64">
        <f>F437*G437</f>
        <v>1245</v>
      </c>
    </row>
    <row r="438" spans="3:8" ht="19.8" customHeight="1">
      <c r="C438" s="60">
        <v>4</v>
      </c>
      <c r="D438" s="56" t="s">
        <v>19</v>
      </c>
      <c r="E438" s="61" t="s">
        <v>6</v>
      </c>
      <c r="F438" s="101">
        <v>2.8E-3</v>
      </c>
      <c r="G438" s="63">
        <f>VLOOKUP(D438,upahbahan,3,FALSE)</f>
        <v>160000</v>
      </c>
      <c r="H438" s="64">
        <f>F438*G438</f>
        <v>448</v>
      </c>
    </row>
    <row r="439" spans="3:8" ht="19.8" customHeight="1">
      <c r="C439" s="66" t="s">
        <v>1331</v>
      </c>
      <c r="D439" s="67"/>
      <c r="E439" s="67"/>
      <c r="F439" s="68"/>
      <c r="G439" s="69"/>
      <c r="H439" s="64">
        <f>SUM(H435:H438)</f>
        <v>29708.5</v>
      </c>
    </row>
    <row r="440" spans="3:8" ht="19.8" customHeight="1">
      <c r="C440" s="55" t="s">
        <v>1209</v>
      </c>
      <c r="D440" s="56" t="s">
        <v>1210</v>
      </c>
      <c r="E440" s="57"/>
      <c r="F440" s="143"/>
      <c r="G440" s="57"/>
      <c r="H440" s="58"/>
    </row>
    <row r="441" spans="3:8" ht="19.8" customHeight="1">
      <c r="C441" s="60">
        <v>1</v>
      </c>
      <c r="D441" s="56" t="s">
        <v>47</v>
      </c>
      <c r="E441" s="61" t="s">
        <v>44</v>
      </c>
      <c r="F441" s="62">
        <v>8.75</v>
      </c>
      <c r="G441" s="63" t="e">
        <f>VLOOKUP(D441,upahbahan,3,FALSE)</f>
        <v>#N/A</v>
      </c>
      <c r="H441" s="64" t="e">
        <f>F441*G441</f>
        <v>#N/A</v>
      </c>
    </row>
    <row r="442" spans="3:8" ht="19.8" customHeight="1">
      <c r="C442" s="60">
        <v>2</v>
      </c>
      <c r="D442" s="56" t="s">
        <v>1014</v>
      </c>
      <c r="E442" s="61" t="s">
        <v>65</v>
      </c>
      <c r="F442" s="62">
        <v>3.4289999999999998</v>
      </c>
      <c r="G442" s="63">
        <f>VLOOKUP(D442,upahbahan,3,FALSE)</f>
        <v>1687.5</v>
      </c>
      <c r="H442" s="64">
        <f>F442*G442</f>
        <v>5786.4375</v>
      </c>
    </row>
    <row r="443" spans="3:8" ht="19.8" customHeight="1">
      <c r="C443" s="66" t="s">
        <v>1214</v>
      </c>
      <c r="D443" s="67"/>
      <c r="E443" s="67"/>
      <c r="F443" s="68"/>
      <c r="G443" s="69"/>
      <c r="H443" s="64" t="e">
        <f>SUM(H441:H442)</f>
        <v>#N/A</v>
      </c>
    </row>
    <row r="444" spans="3:8" ht="19.8" customHeight="1">
      <c r="C444" s="167" t="s">
        <v>1215</v>
      </c>
      <c r="D444" s="56" t="s">
        <v>1216</v>
      </c>
      <c r="E444" s="57"/>
      <c r="F444" s="57"/>
      <c r="G444" s="57"/>
      <c r="H444" s="58"/>
    </row>
    <row r="445" spans="3:8" ht="19.8" customHeight="1">
      <c r="C445" s="66" t="s">
        <v>1217</v>
      </c>
      <c r="D445" s="67"/>
      <c r="E445" s="67"/>
      <c r="F445" s="68"/>
      <c r="G445" s="69"/>
      <c r="H445" s="74">
        <v>0</v>
      </c>
    </row>
    <row r="446" spans="3:8" ht="19.8" customHeight="1">
      <c r="C446" s="75" t="s">
        <v>1218</v>
      </c>
      <c r="D446" s="76" t="s">
        <v>1219</v>
      </c>
      <c r="E446" s="77"/>
      <c r="F446" s="77"/>
      <c r="G446" s="78"/>
      <c r="H446" s="64" t="e">
        <f>H445+H443+H439</f>
        <v>#N/A</v>
      </c>
    </row>
    <row r="447" spans="3:8" ht="19.8" customHeight="1">
      <c r="C447" s="75" t="s">
        <v>1220</v>
      </c>
      <c r="D447" s="76" t="s">
        <v>1321</v>
      </c>
      <c r="E447" s="77"/>
      <c r="F447" s="78"/>
      <c r="G447" s="80">
        <f>$M$8</f>
        <v>0.1</v>
      </c>
      <c r="H447" s="64" t="e">
        <f>H446*G447</f>
        <v>#N/A</v>
      </c>
    </row>
    <row r="448" spans="3:8" ht="19.8" customHeight="1" thickBot="1">
      <c r="C448" s="81" t="s">
        <v>1221</v>
      </c>
      <c r="D448" s="82" t="s">
        <v>1222</v>
      </c>
      <c r="E448" s="83"/>
      <c r="F448" s="83"/>
      <c r="G448" s="84"/>
      <c r="H448" s="85" t="e">
        <f>SUM(H446:H447)</f>
        <v>#N/A</v>
      </c>
    </row>
    <row r="449" spans="3:9" ht="14.4" thickTop="1"/>
    <row r="450" spans="3:9" ht="14.4" thickBot="1">
      <c r="C450" s="44" t="s">
        <v>2773</v>
      </c>
      <c r="D450" s="451" t="s">
        <v>1353</v>
      </c>
      <c r="E450" s="275"/>
      <c r="F450" s="275"/>
      <c r="G450" s="275"/>
      <c r="H450" s="275"/>
      <c r="I450" s="50">
        <f>ROUNDDOWN(H466,-2)</f>
        <v>217500</v>
      </c>
    </row>
    <row r="451" spans="3:9" ht="28.2" thickTop="1">
      <c r="C451" s="51" t="s">
        <v>1195</v>
      </c>
      <c r="D451" s="52" t="s">
        <v>1196</v>
      </c>
      <c r="E451" s="52" t="s">
        <v>1197</v>
      </c>
      <c r="F451" s="52" t="s">
        <v>1198</v>
      </c>
      <c r="G451" s="52" t="s">
        <v>1199</v>
      </c>
      <c r="H451" s="53" t="s">
        <v>1200</v>
      </c>
    </row>
    <row r="452" spans="3:9" ht="19.8" customHeight="1">
      <c r="C452" s="55" t="s">
        <v>1201</v>
      </c>
      <c r="D452" s="56" t="s">
        <v>1202</v>
      </c>
      <c r="E452" s="57"/>
      <c r="F452" s="57"/>
      <c r="G452" s="57"/>
      <c r="H452" s="58"/>
    </row>
    <row r="453" spans="3:9" ht="19.8" customHeight="1">
      <c r="C453" s="60">
        <v>1</v>
      </c>
      <c r="D453" s="56" t="s">
        <v>5</v>
      </c>
      <c r="E453" s="61" t="s">
        <v>6</v>
      </c>
      <c r="F453" s="101">
        <v>0.25</v>
      </c>
      <c r="G453" s="63">
        <f>VLOOKUP(D453,upahbahan,3,FALSE)</f>
        <v>100000</v>
      </c>
      <c r="H453" s="64">
        <f>F453*G453</f>
        <v>25000</v>
      </c>
    </row>
    <row r="454" spans="3:9" ht="19.8" customHeight="1">
      <c r="C454" s="60">
        <v>2</v>
      </c>
      <c r="D454" s="56" t="s">
        <v>7</v>
      </c>
      <c r="E454" s="61" t="s">
        <v>6</v>
      </c>
      <c r="F454" s="101">
        <v>0.125</v>
      </c>
      <c r="G454" s="63">
        <f>VLOOKUP(D454,upahbahan,3,FALSE)</f>
        <v>135000</v>
      </c>
      <c r="H454" s="64">
        <f>F454*G454</f>
        <v>16875</v>
      </c>
    </row>
    <row r="455" spans="3:9" ht="19.8" customHeight="1">
      <c r="C455" s="60">
        <v>3</v>
      </c>
      <c r="D455" s="56" t="s">
        <v>18</v>
      </c>
      <c r="E455" s="61" t="s">
        <v>6</v>
      </c>
      <c r="F455" s="101">
        <v>1.2500000000000001E-2</v>
      </c>
      <c r="G455" s="63">
        <f>VLOOKUP(D455,upahbahan,3,FALSE)</f>
        <v>150000</v>
      </c>
      <c r="H455" s="64">
        <f>F455*G455</f>
        <v>1875</v>
      </c>
    </row>
    <row r="456" spans="3:9" ht="19.8" customHeight="1">
      <c r="C456" s="60">
        <v>4</v>
      </c>
      <c r="D456" s="56" t="s">
        <v>19</v>
      </c>
      <c r="E456" s="61" t="s">
        <v>6</v>
      </c>
      <c r="F456" s="101">
        <v>4.1999999999999997E-3</v>
      </c>
      <c r="G456" s="63">
        <f>VLOOKUP(D456,upahbahan,3,FALSE)</f>
        <v>160000</v>
      </c>
      <c r="H456" s="64">
        <f>F456*G456</f>
        <v>672</v>
      </c>
    </row>
    <row r="457" spans="3:9" ht="19.8" customHeight="1">
      <c r="C457" s="66" t="s">
        <v>1331</v>
      </c>
      <c r="D457" s="67"/>
      <c r="E457" s="67"/>
      <c r="F457" s="68"/>
      <c r="G457" s="69"/>
      <c r="H457" s="64">
        <f>SUM(H453:H456)</f>
        <v>44422</v>
      </c>
    </row>
    <row r="458" spans="3:9" ht="19.8" customHeight="1">
      <c r="C458" s="55" t="s">
        <v>1209</v>
      </c>
      <c r="D458" s="56" t="s">
        <v>1210</v>
      </c>
      <c r="E458" s="57"/>
      <c r="F458" s="143"/>
      <c r="G458" s="57"/>
      <c r="H458" s="58"/>
    </row>
    <row r="459" spans="3:9" ht="19.8" customHeight="1">
      <c r="C459" s="60">
        <v>1</v>
      </c>
      <c r="D459" s="56" t="s">
        <v>48</v>
      </c>
      <c r="E459" s="61" t="s">
        <v>44</v>
      </c>
      <c r="F459" s="62">
        <v>8.75</v>
      </c>
      <c r="G459" s="63">
        <f>VLOOKUP(D459,upahbahan,3,FALSE)</f>
        <v>16200</v>
      </c>
      <c r="H459" s="64">
        <f>F459*G459</f>
        <v>141750</v>
      </c>
    </row>
    <row r="460" spans="3:9" ht="19.8" customHeight="1">
      <c r="C460" s="60">
        <v>2</v>
      </c>
      <c r="D460" s="56" t="s">
        <v>1014</v>
      </c>
      <c r="E460" s="61" t="s">
        <v>65</v>
      </c>
      <c r="F460" s="62">
        <v>6.8570000000000002</v>
      </c>
      <c r="G460" s="63">
        <f>VLOOKUP(D460,upahbahan,3,FALSE)</f>
        <v>1687.5</v>
      </c>
      <c r="H460" s="64">
        <f>F460*G460</f>
        <v>11571.1875</v>
      </c>
    </row>
    <row r="461" spans="3:9" ht="19.8" customHeight="1">
      <c r="C461" s="66" t="s">
        <v>1214</v>
      </c>
      <c r="D461" s="67"/>
      <c r="E461" s="67"/>
      <c r="F461" s="68"/>
      <c r="G461" s="69"/>
      <c r="H461" s="64">
        <f>SUM(H459:H460)</f>
        <v>153321.1875</v>
      </c>
    </row>
    <row r="462" spans="3:9" ht="19.8" customHeight="1">
      <c r="C462" s="167" t="s">
        <v>1215</v>
      </c>
      <c r="D462" s="56" t="s">
        <v>1216</v>
      </c>
      <c r="E462" s="57"/>
      <c r="F462" s="57"/>
      <c r="G462" s="57"/>
      <c r="H462" s="58"/>
    </row>
    <row r="463" spans="3:9" ht="19.8" customHeight="1">
      <c r="C463" s="66" t="s">
        <v>1217</v>
      </c>
      <c r="D463" s="67"/>
      <c r="E463" s="67"/>
      <c r="F463" s="68"/>
      <c r="G463" s="69"/>
      <c r="H463" s="74">
        <v>0</v>
      </c>
    </row>
    <row r="464" spans="3:9" ht="19.8" customHeight="1">
      <c r="C464" s="75" t="s">
        <v>1218</v>
      </c>
      <c r="D464" s="76" t="s">
        <v>1219</v>
      </c>
      <c r="E464" s="77"/>
      <c r="F464" s="77"/>
      <c r="G464" s="78"/>
      <c r="H464" s="64">
        <f>H463+H461+H457</f>
        <v>197743.1875</v>
      </c>
    </row>
    <row r="465" spans="3:9" ht="19.8" customHeight="1">
      <c r="C465" s="75" t="s">
        <v>1220</v>
      </c>
      <c r="D465" s="76" t="s">
        <v>1321</v>
      </c>
      <c r="E465" s="77"/>
      <c r="F465" s="78"/>
      <c r="G465" s="80">
        <f>$M$8</f>
        <v>0.1</v>
      </c>
      <c r="H465" s="64">
        <f>H464*G465</f>
        <v>19774.318750000002</v>
      </c>
    </row>
    <row r="466" spans="3:9" ht="19.8" customHeight="1" thickBot="1">
      <c r="C466" s="81" t="s">
        <v>1221</v>
      </c>
      <c r="D466" s="82" t="s">
        <v>1222</v>
      </c>
      <c r="E466" s="83"/>
      <c r="F466" s="83"/>
      <c r="G466" s="84"/>
      <c r="H466" s="85">
        <f>SUM(H464:H465)</f>
        <v>217517.50625000001</v>
      </c>
    </row>
    <row r="467" spans="3:9" ht="14.4" thickTop="1"/>
    <row r="468" spans="3:9">
      <c r="C468" s="44" t="s">
        <v>2774</v>
      </c>
      <c r="D468" s="44" t="s">
        <v>2775</v>
      </c>
    </row>
    <row r="469" spans="3:9" ht="31.65" customHeight="1" thickBot="1">
      <c r="C469" s="44" t="s">
        <v>2776</v>
      </c>
      <c r="D469" s="454" t="s">
        <v>1354</v>
      </c>
      <c r="E469" s="454"/>
      <c r="F469" s="454"/>
      <c r="G469" s="454"/>
      <c r="H469" s="454"/>
      <c r="I469" s="50">
        <f>ROUNDDOWN(H487,-2)</f>
        <v>175600</v>
      </c>
    </row>
    <row r="470" spans="3:9" ht="28.2" thickTop="1">
      <c r="C470" s="51" t="s">
        <v>1195</v>
      </c>
      <c r="D470" s="52" t="s">
        <v>1196</v>
      </c>
      <c r="E470" s="52" t="s">
        <v>1197</v>
      </c>
      <c r="F470" s="52" t="s">
        <v>1198</v>
      </c>
      <c r="G470" s="52" t="s">
        <v>1199</v>
      </c>
      <c r="H470" s="53" t="s">
        <v>1200</v>
      </c>
    </row>
    <row r="471" spans="3:9" ht="19.8" customHeight="1">
      <c r="C471" s="55" t="s">
        <v>1201</v>
      </c>
      <c r="D471" s="56" t="s">
        <v>1202</v>
      </c>
      <c r="E471" s="57"/>
      <c r="F471" s="57"/>
      <c r="G471" s="57"/>
      <c r="H471" s="58"/>
    </row>
    <row r="472" spans="3:9" ht="19.8" customHeight="1">
      <c r="C472" s="60">
        <v>1</v>
      </c>
      <c r="D472" s="56" t="s">
        <v>5</v>
      </c>
      <c r="E472" s="61" t="s">
        <v>6</v>
      </c>
      <c r="F472" s="101">
        <v>0.18179999999999999</v>
      </c>
      <c r="G472" s="63">
        <f>VLOOKUP(D472,upahbahan,3,FALSE)</f>
        <v>100000</v>
      </c>
      <c r="H472" s="64">
        <f>F472*G472</f>
        <v>18180</v>
      </c>
    </row>
    <row r="473" spans="3:9" ht="19.8" customHeight="1">
      <c r="C473" s="60">
        <v>2</v>
      </c>
      <c r="D473" s="56" t="s">
        <v>7</v>
      </c>
      <c r="E473" s="61" t="s">
        <v>6</v>
      </c>
      <c r="F473" s="101">
        <v>9.0899999999999995E-2</v>
      </c>
      <c r="G473" s="63">
        <f>VLOOKUP(D473,upahbahan,3,FALSE)</f>
        <v>135000</v>
      </c>
      <c r="H473" s="64">
        <f>F473*G473</f>
        <v>12271.5</v>
      </c>
    </row>
    <row r="474" spans="3:9" ht="19.8" customHeight="1">
      <c r="C474" s="60">
        <v>3</v>
      </c>
      <c r="D474" s="56" t="s">
        <v>18</v>
      </c>
      <c r="E474" s="61" t="s">
        <v>6</v>
      </c>
      <c r="F474" s="101">
        <v>9.1000000000000004E-3</v>
      </c>
      <c r="G474" s="63">
        <f>VLOOKUP(D474,upahbahan,3,FALSE)</f>
        <v>150000</v>
      </c>
      <c r="H474" s="64">
        <f>F474*G474</f>
        <v>1365</v>
      </c>
    </row>
    <row r="475" spans="3:9" ht="19.8" customHeight="1">
      <c r="C475" s="60">
        <v>4</v>
      </c>
      <c r="D475" s="56" t="s">
        <v>19</v>
      </c>
      <c r="E475" s="61" t="s">
        <v>6</v>
      </c>
      <c r="F475" s="101">
        <v>3.0000000000000001E-3</v>
      </c>
      <c r="G475" s="63">
        <f>VLOOKUP(D475,upahbahan,3,FALSE)</f>
        <v>160000</v>
      </c>
      <c r="H475" s="64">
        <f>F475*G475</f>
        <v>480</v>
      </c>
    </row>
    <row r="476" spans="3:9" ht="19.8" customHeight="1">
      <c r="C476" s="66" t="s">
        <v>1331</v>
      </c>
      <c r="D476" s="67"/>
      <c r="E476" s="67"/>
      <c r="F476" s="68"/>
      <c r="G476" s="69"/>
      <c r="H476" s="64">
        <f>SUM(H472:H475)</f>
        <v>32296.5</v>
      </c>
    </row>
    <row r="477" spans="3:9" ht="19.8" customHeight="1">
      <c r="C477" s="55" t="s">
        <v>1209</v>
      </c>
      <c r="D477" s="56" t="s">
        <v>1210</v>
      </c>
      <c r="E477" s="57"/>
      <c r="F477" s="287"/>
      <c r="G477" s="57"/>
      <c r="H477" s="58"/>
    </row>
    <row r="478" spans="3:9" ht="19.8" customHeight="1">
      <c r="C478" s="99" t="s">
        <v>1203</v>
      </c>
      <c r="D478" s="56" t="s">
        <v>399</v>
      </c>
      <c r="E478" s="61" t="s">
        <v>44</v>
      </c>
      <c r="F478" s="62">
        <v>14</v>
      </c>
      <c r="G478" s="63">
        <f>VLOOKUP(D478,upahbahan,3,FALSE)</f>
        <v>3000</v>
      </c>
      <c r="H478" s="64">
        <f>F478*G478</f>
        <v>42000</v>
      </c>
    </row>
    <row r="479" spans="3:9" ht="19.8" customHeight="1">
      <c r="C479" s="99" t="s">
        <v>1204</v>
      </c>
      <c r="D479" s="56" t="s">
        <v>2334</v>
      </c>
      <c r="E479" s="61" t="s">
        <v>65</v>
      </c>
      <c r="F479" s="62">
        <v>30.95</v>
      </c>
      <c r="G479" s="63">
        <f>VLOOKUP(D479,upahbahan,3,FALSE)</f>
        <v>1530</v>
      </c>
      <c r="H479" s="64">
        <f>F479*G479</f>
        <v>47353.5</v>
      </c>
    </row>
    <row r="480" spans="3:9" ht="19.8" customHeight="1">
      <c r="C480" s="99" t="s">
        <v>1205</v>
      </c>
      <c r="D480" s="72" t="s">
        <v>85</v>
      </c>
      <c r="E480" s="61" t="s">
        <v>42</v>
      </c>
      <c r="F480" s="62">
        <v>9.0999999999999998E-2</v>
      </c>
      <c r="G480" s="63">
        <f>VLOOKUP(D480,upahbahan,3,FALSE)</f>
        <v>310500</v>
      </c>
      <c r="H480" s="64">
        <f>F480*G480</f>
        <v>28255.5</v>
      </c>
    </row>
    <row r="481" spans="3:9" ht="19.8" customHeight="1">
      <c r="C481" s="462">
        <v>4</v>
      </c>
      <c r="D481" s="463" t="s">
        <v>218</v>
      </c>
      <c r="E481" s="464" t="s">
        <v>2426</v>
      </c>
      <c r="F481" s="465">
        <v>0.28000000000000003</v>
      </c>
      <c r="G481" s="63">
        <f>VLOOKUP(D481,upahbahan,3,FALSE)</f>
        <v>35000</v>
      </c>
      <c r="H481" s="64">
        <f>F481*G481</f>
        <v>9800.0000000000018</v>
      </c>
    </row>
    <row r="482" spans="3:9" ht="19.8" customHeight="1">
      <c r="C482" s="66" t="s">
        <v>1214</v>
      </c>
      <c r="D482" s="131"/>
      <c r="E482" s="131"/>
      <c r="F482" s="466"/>
      <c r="G482" s="69"/>
      <c r="H482" s="64">
        <f>SUM(H478:H481)</f>
        <v>127409</v>
      </c>
    </row>
    <row r="483" spans="3:9" ht="19.8" customHeight="1">
      <c r="C483" s="167" t="s">
        <v>1215</v>
      </c>
      <c r="D483" s="56" t="s">
        <v>1216</v>
      </c>
      <c r="E483" s="57"/>
      <c r="F483" s="57"/>
      <c r="G483" s="57"/>
      <c r="H483" s="58"/>
    </row>
    <row r="484" spans="3:9" ht="19.8" customHeight="1">
      <c r="C484" s="66" t="s">
        <v>1217</v>
      </c>
      <c r="D484" s="67"/>
      <c r="E484" s="67"/>
      <c r="F484" s="68"/>
      <c r="G484" s="69"/>
      <c r="H484" s="74">
        <v>0</v>
      </c>
    </row>
    <row r="485" spans="3:9" ht="19.8" customHeight="1">
      <c r="C485" s="75" t="s">
        <v>1218</v>
      </c>
      <c r="D485" s="76" t="s">
        <v>1219</v>
      </c>
      <c r="E485" s="77"/>
      <c r="F485" s="77"/>
      <c r="G485" s="78"/>
      <c r="H485" s="64">
        <f>H484+H482+H476</f>
        <v>159705.5</v>
      </c>
    </row>
    <row r="486" spans="3:9" ht="19.8" customHeight="1">
      <c r="C486" s="75" t="s">
        <v>1220</v>
      </c>
      <c r="D486" s="76" t="s">
        <v>1321</v>
      </c>
      <c r="E486" s="77"/>
      <c r="F486" s="78"/>
      <c r="G486" s="80">
        <f>$M$8</f>
        <v>0.1</v>
      </c>
      <c r="H486" s="64">
        <f>H485*G486</f>
        <v>15970.550000000001</v>
      </c>
    </row>
    <row r="487" spans="3:9" ht="19.8" customHeight="1" thickBot="1">
      <c r="C487" s="81" t="s">
        <v>1221</v>
      </c>
      <c r="D487" s="82" t="s">
        <v>1222</v>
      </c>
      <c r="E487" s="83"/>
      <c r="F487" s="83"/>
      <c r="G487" s="84"/>
      <c r="H487" s="85">
        <f>SUM(H485:H486)</f>
        <v>175676.05</v>
      </c>
    </row>
    <row r="488" spans="3:9" ht="14.4" thickTop="1"/>
    <row r="489" spans="3:9" ht="30.6" customHeight="1" thickBot="1">
      <c r="C489" s="47" t="s">
        <v>2777</v>
      </c>
      <c r="D489" s="454" t="s">
        <v>1355</v>
      </c>
      <c r="E489" s="454"/>
      <c r="F489" s="454"/>
      <c r="G489" s="454"/>
      <c r="H489" s="454"/>
      <c r="I489" s="50">
        <f>ROUNDDOWN(H507,-2)</f>
        <v>394000</v>
      </c>
    </row>
    <row r="490" spans="3:9" ht="28.2" thickTop="1">
      <c r="C490" s="51" t="s">
        <v>1195</v>
      </c>
      <c r="D490" s="52" t="s">
        <v>1196</v>
      </c>
      <c r="E490" s="52" t="s">
        <v>1197</v>
      </c>
      <c r="F490" s="52" t="s">
        <v>1198</v>
      </c>
      <c r="G490" s="52" t="s">
        <v>1199</v>
      </c>
      <c r="H490" s="53" t="s">
        <v>1200</v>
      </c>
    </row>
    <row r="491" spans="3:9" ht="19.8" customHeight="1">
      <c r="C491" s="55" t="s">
        <v>1201</v>
      </c>
      <c r="D491" s="56" t="s">
        <v>1202</v>
      </c>
      <c r="E491" s="57"/>
      <c r="F491" s="57"/>
      <c r="G491" s="57"/>
      <c r="H491" s="58"/>
    </row>
    <row r="492" spans="3:9" ht="19.8" customHeight="1">
      <c r="C492" s="60">
        <v>1</v>
      </c>
      <c r="D492" s="56" t="s">
        <v>5</v>
      </c>
      <c r="E492" s="61" t="s">
        <v>6</v>
      </c>
      <c r="F492" s="101">
        <v>0.16669999999999999</v>
      </c>
      <c r="G492" s="63">
        <f>VLOOKUP(D492,upahbahan,3,FALSE)</f>
        <v>100000</v>
      </c>
      <c r="H492" s="64">
        <f>F492*G492</f>
        <v>16670</v>
      </c>
    </row>
    <row r="493" spans="3:9" ht="19.8" customHeight="1">
      <c r="C493" s="60">
        <v>2</v>
      </c>
      <c r="D493" s="56" t="s">
        <v>7</v>
      </c>
      <c r="E493" s="61" t="s">
        <v>6</v>
      </c>
      <c r="F493" s="101">
        <v>8.3299999999999999E-2</v>
      </c>
      <c r="G493" s="63">
        <f>VLOOKUP(D493,upahbahan,3,FALSE)</f>
        <v>135000</v>
      </c>
      <c r="H493" s="64">
        <f>F493*G493</f>
        <v>11245.5</v>
      </c>
    </row>
    <row r="494" spans="3:9" ht="19.8" customHeight="1">
      <c r="C494" s="60">
        <v>3</v>
      </c>
      <c r="D494" s="56" t="s">
        <v>18</v>
      </c>
      <c r="E494" s="61" t="s">
        <v>6</v>
      </c>
      <c r="F494" s="101">
        <v>8.3000000000000001E-3</v>
      </c>
      <c r="G494" s="63">
        <f>VLOOKUP(D494,upahbahan,3,FALSE)</f>
        <v>150000</v>
      </c>
      <c r="H494" s="64">
        <f>F494*G494</f>
        <v>1245</v>
      </c>
    </row>
    <row r="495" spans="3:9" ht="19.8" customHeight="1">
      <c r="C495" s="60">
        <v>4</v>
      </c>
      <c r="D495" s="56" t="s">
        <v>19</v>
      </c>
      <c r="E495" s="61" t="s">
        <v>6</v>
      </c>
      <c r="F495" s="101">
        <v>2.8E-3</v>
      </c>
      <c r="G495" s="63">
        <f>VLOOKUP(D495,upahbahan,3,FALSE)</f>
        <v>160000</v>
      </c>
      <c r="H495" s="64">
        <f>F495*G495</f>
        <v>448</v>
      </c>
    </row>
    <row r="496" spans="3:9" ht="19.8" customHeight="1">
      <c r="C496" s="66" t="s">
        <v>1331</v>
      </c>
      <c r="D496" s="67"/>
      <c r="E496" s="67"/>
      <c r="F496" s="142"/>
      <c r="G496" s="153"/>
      <c r="H496" s="64">
        <f>SUM(H492:H495)</f>
        <v>29608.5</v>
      </c>
    </row>
    <row r="497" spans="3:9" ht="19.8" customHeight="1">
      <c r="C497" s="55" t="s">
        <v>1209</v>
      </c>
      <c r="D497" s="56" t="s">
        <v>1210</v>
      </c>
      <c r="E497" s="57"/>
      <c r="F497" s="143"/>
      <c r="G497" s="143"/>
      <c r="H497" s="58"/>
    </row>
    <row r="498" spans="3:9" ht="19.8" customHeight="1">
      <c r="C498" s="99" t="s">
        <v>1203</v>
      </c>
      <c r="D498" s="56" t="s">
        <v>399</v>
      </c>
      <c r="E498" s="61" t="s">
        <v>44</v>
      </c>
      <c r="F498" s="62">
        <v>14</v>
      </c>
      <c r="G498" s="63">
        <f>VLOOKUP(D498,upahbahan,3,FALSE)</f>
        <v>3000</v>
      </c>
      <c r="H498" s="64">
        <f>F498*G498</f>
        <v>42000</v>
      </c>
    </row>
    <row r="499" spans="3:9" ht="19.8" customHeight="1">
      <c r="C499" s="99" t="s">
        <v>1204</v>
      </c>
      <c r="D499" s="56" t="s">
        <v>2332</v>
      </c>
      <c r="E499" s="61" t="s">
        <v>65</v>
      </c>
      <c r="F499" s="62">
        <v>24.26</v>
      </c>
      <c r="G499" s="63">
        <f>VLOOKUP(D499,upahbahan,3,FALSE)</f>
        <v>1530</v>
      </c>
      <c r="H499" s="64">
        <f>F499*G499</f>
        <v>37117.800000000003</v>
      </c>
    </row>
    <row r="500" spans="3:9" ht="19.8" customHeight="1">
      <c r="C500" s="99" t="s">
        <v>1205</v>
      </c>
      <c r="D500" s="72" t="s">
        <v>85</v>
      </c>
      <c r="E500" s="61" t="s">
        <v>42</v>
      </c>
      <c r="F500" s="62">
        <v>0.77200000000000002</v>
      </c>
      <c r="G500" s="63">
        <f>VLOOKUP(D500,upahbahan,3,FALSE)</f>
        <v>310500</v>
      </c>
      <c r="H500" s="64">
        <f>F500*G500</f>
        <v>239706</v>
      </c>
    </row>
    <row r="501" spans="3:9" ht="19.8" customHeight="1">
      <c r="C501" s="99" t="s">
        <v>1206</v>
      </c>
      <c r="D501" s="72" t="s">
        <v>218</v>
      </c>
      <c r="E501" s="61" t="s">
        <v>65</v>
      </c>
      <c r="F501" s="62">
        <v>0.28000000000000003</v>
      </c>
      <c r="G501" s="63">
        <f>VLOOKUP(D501,upahbahan,3,FALSE)</f>
        <v>35000</v>
      </c>
      <c r="H501" s="64">
        <f>F501*G501</f>
        <v>9800.0000000000018</v>
      </c>
    </row>
    <row r="502" spans="3:9" ht="19.8" customHeight="1">
      <c r="C502" s="66" t="s">
        <v>1214</v>
      </c>
      <c r="D502" s="67"/>
      <c r="E502" s="67"/>
      <c r="F502" s="68"/>
      <c r="G502" s="69"/>
      <c r="H502" s="64">
        <f>SUM(H498:H501)</f>
        <v>328623.8</v>
      </c>
    </row>
    <row r="503" spans="3:9" ht="19.8" customHeight="1">
      <c r="C503" s="167" t="s">
        <v>1215</v>
      </c>
      <c r="D503" s="56" t="s">
        <v>1216</v>
      </c>
      <c r="E503" s="57"/>
      <c r="F503" s="57"/>
      <c r="G503" s="57"/>
      <c r="H503" s="58"/>
    </row>
    <row r="504" spans="3:9" ht="19.8" customHeight="1">
      <c r="C504" s="66" t="s">
        <v>1217</v>
      </c>
      <c r="D504" s="67"/>
      <c r="E504" s="67"/>
      <c r="F504" s="68"/>
      <c r="G504" s="69"/>
      <c r="H504" s="74">
        <v>0</v>
      </c>
    </row>
    <row r="505" spans="3:9" ht="19.8" customHeight="1">
      <c r="C505" s="75" t="s">
        <v>1218</v>
      </c>
      <c r="D505" s="76" t="s">
        <v>1219</v>
      </c>
      <c r="E505" s="77"/>
      <c r="F505" s="77"/>
      <c r="G505" s="78"/>
      <c r="H505" s="64">
        <f>H504+H502+H496</f>
        <v>358232.3</v>
      </c>
    </row>
    <row r="506" spans="3:9" ht="19.8" customHeight="1">
      <c r="C506" s="75" t="s">
        <v>1220</v>
      </c>
      <c r="D506" s="76" t="s">
        <v>1321</v>
      </c>
      <c r="E506" s="77"/>
      <c r="F506" s="78"/>
      <c r="G506" s="80">
        <f>$M$8</f>
        <v>0.1</v>
      </c>
      <c r="H506" s="64">
        <f>H505*G506</f>
        <v>35823.230000000003</v>
      </c>
    </row>
    <row r="507" spans="3:9" ht="19.8" customHeight="1" thickBot="1">
      <c r="C507" s="81" t="s">
        <v>1221</v>
      </c>
      <c r="D507" s="82" t="s">
        <v>1222</v>
      </c>
      <c r="E507" s="83"/>
      <c r="F507" s="83"/>
      <c r="G507" s="84"/>
      <c r="H507" s="85">
        <f>SUM(H505:H506)</f>
        <v>394055.52999999997</v>
      </c>
    </row>
    <row r="508" spans="3:9" ht="14.4" thickTop="1"/>
    <row r="509" spans="3:9">
      <c r="C509" s="44" t="s">
        <v>2778</v>
      </c>
      <c r="D509" s="44" t="s">
        <v>2779</v>
      </c>
    </row>
    <row r="510" spans="3:9" ht="30.6" customHeight="1" thickBot="1">
      <c r="C510" s="47" t="s">
        <v>2780</v>
      </c>
      <c r="D510" s="454" t="s">
        <v>2781</v>
      </c>
      <c r="E510" s="454"/>
      <c r="F510" s="454"/>
      <c r="G510" s="454"/>
      <c r="H510" s="454"/>
      <c r="I510" s="50">
        <f>ROUNDDOWN(H528,-2)</f>
        <v>480200</v>
      </c>
    </row>
    <row r="511" spans="3:9" ht="28.2" thickTop="1">
      <c r="C511" s="51" t="s">
        <v>1195</v>
      </c>
      <c r="D511" s="52" t="s">
        <v>1196</v>
      </c>
      <c r="E511" s="52" t="s">
        <v>1197</v>
      </c>
      <c r="F511" s="52" t="s">
        <v>1198</v>
      </c>
      <c r="G511" s="52" t="s">
        <v>1199</v>
      </c>
      <c r="H511" s="53" t="s">
        <v>1200</v>
      </c>
    </row>
    <row r="512" spans="3:9" ht="19.8" customHeight="1">
      <c r="C512" s="55" t="s">
        <v>1201</v>
      </c>
      <c r="D512" s="56" t="s">
        <v>1202</v>
      </c>
      <c r="E512" s="57"/>
      <c r="F512" s="57"/>
      <c r="G512" s="57"/>
      <c r="H512" s="58"/>
    </row>
    <row r="513" spans="3:8" ht="19.8" customHeight="1">
      <c r="C513" s="60">
        <v>1</v>
      </c>
      <c r="D513" s="56" t="s">
        <v>5</v>
      </c>
      <c r="E513" s="61" t="s">
        <v>6</v>
      </c>
      <c r="F513" s="101">
        <v>0.2</v>
      </c>
      <c r="G513" s="63">
        <f>VLOOKUP(D513,upahbahan,3,FALSE)</f>
        <v>100000</v>
      </c>
      <c r="H513" s="64">
        <f>F513*G513</f>
        <v>20000</v>
      </c>
    </row>
    <row r="514" spans="3:8" ht="19.8" customHeight="1">
      <c r="C514" s="60">
        <v>2</v>
      </c>
      <c r="D514" s="56" t="s">
        <v>7</v>
      </c>
      <c r="E514" s="61" t="s">
        <v>6</v>
      </c>
      <c r="F514" s="101">
        <v>0.1</v>
      </c>
      <c r="G514" s="63">
        <f>VLOOKUP(D514,upahbahan,3,FALSE)</f>
        <v>135000</v>
      </c>
      <c r="H514" s="64">
        <f>F514*G514</f>
        <v>13500</v>
      </c>
    </row>
    <row r="515" spans="3:8" ht="19.8" customHeight="1">
      <c r="C515" s="60">
        <v>3</v>
      </c>
      <c r="D515" s="56" t="s">
        <v>18</v>
      </c>
      <c r="E515" s="61" t="s">
        <v>6</v>
      </c>
      <c r="F515" s="101">
        <v>0.01</v>
      </c>
      <c r="G515" s="63">
        <f>VLOOKUP(D515,upahbahan,3,FALSE)</f>
        <v>150000</v>
      </c>
      <c r="H515" s="64">
        <f>F515*G515</f>
        <v>1500</v>
      </c>
    </row>
    <row r="516" spans="3:8" ht="19.8" customHeight="1">
      <c r="C516" s="60">
        <v>4</v>
      </c>
      <c r="D516" s="56" t="s">
        <v>19</v>
      </c>
      <c r="E516" s="61" t="s">
        <v>6</v>
      </c>
      <c r="F516" s="101">
        <v>3.0000000000000001E-3</v>
      </c>
      <c r="G516" s="63">
        <f>VLOOKUP(D516,upahbahan,3,FALSE)</f>
        <v>160000</v>
      </c>
      <c r="H516" s="64">
        <f>F516*G516</f>
        <v>480</v>
      </c>
    </row>
    <row r="517" spans="3:8" ht="19.8" customHeight="1">
      <c r="C517" s="66" t="s">
        <v>1331</v>
      </c>
      <c r="D517" s="67"/>
      <c r="E517" s="67"/>
      <c r="F517" s="142"/>
      <c r="G517" s="153"/>
      <c r="H517" s="64">
        <f>SUM(H513:H516)</f>
        <v>35480</v>
      </c>
    </row>
    <row r="518" spans="3:8" ht="19.8" customHeight="1">
      <c r="C518" s="55" t="s">
        <v>1209</v>
      </c>
      <c r="D518" s="56" t="s">
        <v>1210</v>
      </c>
      <c r="E518" s="57"/>
      <c r="F518" s="143"/>
      <c r="G518" s="143"/>
      <c r="H518" s="58"/>
    </row>
    <row r="519" spans="3:8" ht="19.8" customHeight="1">
      <c r="C519" s="99" t="s">
        <v>1203</v>
      </c>
      <c r="D519" s="56" t="s">
        <v>2782</v>
      </c>
      <c r="E519" s="61" t="s">
        <v>44</v>
      </c>
      <c r="F519" s="62">
        <v>0.73899999999999999</v>
      </c>
      <c r="G519" s="63">
        <f>VLOOKUP(D519,upahbahan,3,FALSE)</f>
        <v>96000</v>
      </c>
      <c r="H519" s="64">
        <f>F519*G519</f>
        <v>70944</v>
      </c>
    </row>
    <row r="520" spans="3:8" ht="19.8" customHeight="1">
      <c r="C520" s="99" t="s">
        <v>1204</v>
      </c>
      <c r="D520" s="56" t="s">
        <v>2783</v>
      </c>
      <c r="E520" s="61" t="s">
        <v>65</v>
      </c>
      <c r="F520" s="62">
        <v>1.1000000000000001</v>
      </c>
      <c r="G520" s="63">
        <f>VLOOKUP(D520,upahbahan,3,FALSE)</f>
        <v>290000</v>
      </c>
      <c r="H520" s="64">
        <f>F520*G520</f>
        <v>319000</v>
      </c>
    </row>
    <row r="521" spans="3:8" ht="19.8" customHeight="1">
      <c r="C521" s="99" t="s">
        <v>1205</v>
      </c>
      <c r="D521" s="72" t="s">
        <v>268</v>
      </c>
      <c r="E521" s="61" t="s">
        <v>42</v>
      </c>
      <c r="F521" s="62">
        <v>0.05</v>
      </c>
      <c r="G521" s="63">
        <f>VLOOKUP(D521,upahbahan,3,FALSE)</f>
        <v>216000</v>
      </c>
      <c r="H521" s="64">
        <f>F521*G521</f>
        <v>10800</v>
      </c>
    </row>
    <row r="522" spans="3:8" ht="19.8" customHeight="1">
      <c r="C522" s="99" t="s">
        <v>1206</v>
      </c>
      <c r="D522" s="72" t="s">
        <v>542</v>
      </c>
      <c r="E522" s="61" t="s">
        <v>65</v>
      </c>
      <c r="F522" s="62">
        <v>0.106</v>
      </c>
      <c r="G522" s="63">
        <f>VLOOKUP(D522,upahbahan,3,FALSE)</f>
        <v>3500</v>
      </c>
      <c r="H522" s="64">
        <f>F522*G522</f>
        <v>371</v>
      </c>
    </row>
    <row r="523" spans="3:8" ht="19.8" customHeight="1">
      <c r="C523" s="66" t="s">
        <v>1214</v>
      </c>
      <c r="D523" s="67"/>
      <c r="E523" s="67"/>
      <c r="F523" s="68"/>
      <c r="G523" s="69"/>
      <c r="H523" s="64">
        <f>SUM(H519:H522)</f>
        <v>401115</v>
      </c>
    </row>
    <row r="524" spans="3:8" ht="19.8" customHeight="1">
      <c r="C524" s="167" t="s">
        <v>1215</v>
      </c>
      <c r="D524" s="56" t="s">
        <v>1216</v>
      </c>
      <c r="E524" s="57"/>
      <c r="F524" s="57"/>
      <c r="G524" s="57"/>
      <c r="H524" s="58"/>
    </row>
    <row r="525" spans="3:8" ht="19.8" customHeight="1">
      <c r="C525" s="66" t="s">
        <v>1217</v>
      </c>
      <c r="D525" s="67"/>
      <c r="E525" s="67"/>
      <c r="F525" s="68"/>
      <c r="G525" s="69"/>
      <c r="H525" s="74">
        <v>0</v>
      </c>
    </row>
    <row r="526" spans="3:8" ht="19.8" customHeight="1">
      <c r="C526" s="75" t="s">
        <v>1218</v>
      </c>
      <c r="D526" s="76" t="s">
        <v>1219</v>
      </c>
      <c r="E526" s="77"/>
      <c r="F526" s="77"/>
      <c r="G526" s="78"/>
      <c r="H526" s="64">
        <f>H525+H523+H517</f>
        <v>436595</v>
      </c>
    </row>
    <row r="527" spans="3:8" ht="19.8" customHeight="1">
      <c r="C527" s="75" t="s">
        <v>1220</v>
      </c>
      <c r="D527" s="76" t="s">
        <v>1321</v>
      </c>
      <c r="E527" s="77"/>
      <c r="F527" s="78"/>
      <c r="G527" s="80">
        <f>$M$8</f>
        <v>0.1</v>
      </c>
      <c r="H527" s="64">
        <f>H526*G527</f>
        <v>43659.5</v>
      </c>
    </row>
    <row r="528" spans="3:8" ht="19.8" customHeight="1" thickBot="1">
      <c r="C528" s="81" t="s">
        <v>1221</v>
      </c>
      <c r="D528" s="82" t="s">
        <v>1222</v>
      </c>
      <c r="E528" s="83"/>
      <c r="F528" s="83"/>
      <c r="G528" s="84"/>
      <c r="H528" s="85">
        <f>SUM(H526:H527)</f>
        <v>480254.5</v>
      </c>
    </row>
    <row r="529" ht="14.4" thickTop="1"/>
  </sheetData>
  <mergeCells count="3">
    <mergeCell ref="D354:E354"/>
    <mergeCell ref="D335:E335"/>
    <mergeCell ref="D194:H19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1:M287"/>
  <sheetViews>
    <sheetView topLeftCell="A116" zoomScale="73" zoomScaleNormal="73" workbookViewId="0">
      <selection activeCell="A581" sqref="A581:XFD599"/>
    </sheetView>
  </sheetViews>
  <sheetFormatPr defaultColWidth="9.44140625" defaultRowHeight="13.8"/>
  <cols>
    <col min="1" max="2" width="3.109375" style="45" customWidth="1"/>
    <col min="3" max="3" width="6.44140625" style="45" customWidth="1"/>
    <col min="4" max="4" width="36.5546875" style="45" customWidth="1"/>
    <col min="5" max="5" width="7.21875" style="45" customWidth="1"/>
    <col min="6" max="6" width="10.5546875" style="45" customWidth="1"/>
    <col min="7" max="7" width="15" style="45" customWidth="1"/>
    <col min="8" max="8" width="16.109375" style="45" customWidth="1"/>
    <col min="9" max="9" width="14.109375" style="45" customWidth="1"/>
    <col min="10" max="16384" width="9.44140625" style="45"/>
  </cols>
  <sheetData>
    <row r="1" spans="3:13" ht="9.75" customHeight="1"/>
    <row r="2" spans="3:13" ht="9.75" customHeight="1"/>
    <row r="3" spans="3:13" ht="15.75" customHeight="1">
      <c r="C3" s="467" t="s">
        <v>2784</v>
      </c>
      <c r="D3" s="148" t="s">
        <v>6438</v>
      </c>
      <c r="E3" s="273"/>
      <c r="F3" s="273"/>
      <c r="G3" s="273"/>
      <c r="H3" s="273"/>
    </row>
    <row r="4" spans="3:13" ht="14.4" thickBot="1">
      <c r="C4" s="44" t="s">
        <v>2785</v>
      </c>
      <c r="D4" s="451" t="s">
        <v>1377</v>
      </c>
      <c r="E4" s="468"/>
      <c r="F4" s="468"/>
      <c r="G4" s="468"/>
      <c r="H4" s="468"/>
      <c r="I4" s="50">
        <f>ROUNDDOWN(H20,-2)</f>
        <v>70600</v>
      </c>
    </row>
    <row r="5" spans="3:13" ht="28.2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20.399999999999999" customHeight="1">
      <c r="C6" s="55" t="s">
        <v>1201</v>
      </c>
      <c r="D6" s="56" t="s">
        <v>1202</v>
      </c>
      <c r="E6" s="57"/>
      <c r="F6" s="57"/>
      <c r="G6" s="57"/>
      <c r="H6" s="58"/>
      <c r="J6" s="59" t="s">
        <v>1247</v>
      </c>
      <c r="K6" s="59"/>
      <c r="L6" s="59"/>
      <c r="M6" s="59"/>
    </row>
    <row r="7" spans="3:13" ht="20.399999999999999" customHeight="1">
      <c r="C7" s="60">
        <v>1</v>
      </c>
      <c r="D7" s="56" t="s">
        <v>5</v>
      </c>
      <c r="E7" s="61" t="s">
        <v>6</v>
      </c>
      <c r="F7" s="101">
        <v>0.2</v>
      </c>
      <c r="G7" s="63">
        <f>VLOOKUP(D7,upahbahan,3,FALSE)</f>
        <v>100000</v>
      </c>
      <c r="H7" s="64">
        <f>F7*G7</f>
        <v>20000</v>
      </c>
      <c r="J7" s="59" t="s">
        <v>1248</v>
      </c>
      <c r="K7" s="59"/>
      <c r="L7" s="59"/>
      <c r="M7" s="65">
        <v>0.1</v>
      </c>
    </row>
    <row r="8" spans="3:13" ht="20.399999999999999" customHeight="1">
      <c r="C8" s="60">
        <v>2</v>
      </c>
      <c r="D8" s="56" t="s">
        <v>7</v>
      </c>
      <c r="E8" s="61" t="s">
        <v>6</v>
      </c>
      <c r="F8" s="101">
        <v>0.1</v>
      </c>
      <c r="G8" s="63">
        <f>VLOOKUP(D8,upahbahan,3,FALSE)</f>
        <v>135000</v>
      </c>
      <c r="H8" s="64">
        <f>F8*G8</f>
        <v>13500</v>
      </c>
    </row>
    <row r="9" spans="3:13" ht="20.399999999999999" customHeight="1">
      <c r="C9" s="60">
        <v>3</v>
      </c>
      <c r="D9" s="56" t="s">
        <v>18</v>
      </c>
      <c r="E9" s="61" t="s">
        <v>6</v>
      </c>
      <c r="F9" s="101">
        <v>0.01</v>
      </c>
      <c r="G9" s="63">
        <f>VLOOKUP(D9,upahbahan,3,FALSE)</f>
        <v>150000</v>
      </c>
      <c r="H9" s="64">
        <f>F9*G9</f>
        <v>1500</v>
      </c>
    </row>
    <row r="10" spans="3:13" ht="20.399999999999999" customHeight="1">
      <c r="C10" s="60">
        <v>4</v>
      </c>
      <c r="D10" s="56" t="s">
        <v>19</v>
      </c>
      <c r="E10" s="61" t="s">
        <v>6</v>
      </c>
      <c r="F10" s="101">
        <v>3.3E-3</v>
      </c>
      <c r="G10" s="63">
        <f>VLOOKUP(D10,upahbahan,3,FALSE)</f>
        <v>160000</v>
      </c>
      <c r="H10" s="64">
        <f>F10*G10</f>
        <v>528</v>
      </c>
    </row>
    <row r="11" spans="3:13" ht="20.399999999999999" customHeight="1">
      <c r="C11" s="66" t="s">
        <v>1208</v>
      </c>
      <c r="D11" s="67"/>
      <c r="E11" s="67"/>
      <c r="F11" s="68"/>
      <c r="G11" s="459"/>
      <c r="H11" s="64">
        <f>SUM(H7:H10)</f>
        <v>35528</v>
      </c>
    </row>
    <row r="12" spans="3:13" ht="20.399999999999999" customHeight="1">
      <c r="C12" s="55" t="s">
        <v>1209</v>
      </c>
      <c r="D12" s="56" t="s">
        <v>1210</v>
      </c>
      <c r="E12" s="57"/>
      <c r="F12" s="287"/>
      <c r="G12" s="287"/>
      <c r="H12" s="58"/>
    </row>
    <row r="13" spans="3:13" ht="20.399999999999999" customHeight="1">
      <c r="C13" s="60">
        <v>1</v>
      </c>
      <c r="D13" s="56" t="s">
        <v>2332</v>
      </c>
      <c r="E13" s="61" t="s">
        <v>65</v>
      </c>
      <c r="F13" s="62">
        <v>15.504</v>
      </c>
      <c r="G13" s="63">
        <f>VLOOKUP(D13,upahbahan,3,FALSE)</f>
        <v>1530</v>
      </c>
      <c r="H13" s="64">
        <f>F13*G13</f>
        <v>23721.119999999999</v>
      </c>
    </row>
    <row r="14" spans="3:13" ht="20.399999999999999" customHeight="1">
      <c r="C14" s="60">
        <v>2</v>
      </c>
      <c r="D14" s="72" t="s">
        <v>85</v>
      </c>
      <c r="E14" s="61" t="s">
        <v>42</v>
      </c>
      <c r="F14" s="62">
        <v>1.6E-2</v>
      </c>
      <c r="G14" s="63">
        <f>VLOOKUP(D14,upahbahan,3,FALSE)</f>
        <v>310500</v>
      </c>
      <c r="H14" s="64">
        <f>F14*G14</f>
        <v>4968</v>
      </c>
    </row>
    <row r="15" spans="3:13" ht="20.399999999999999" customHeight="1">
      <c r="C15" s="66" t="s">
        <v>1214</v>
      </c>
      <c r="D15" s="67"/>
      <c r="E15" s="67"/>
      <c r="F15" s="67"/>
      <c r="G15" s="69"/>
      <c r="H15" s="64">
        <f>SUM(H13:H14)</f>
        <v>28689.119999999999</v>
      </c>
    </row>
    <row r="16" spans="3:13" ht="20.399999999999999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9" ht="20.399999999999999" customHeight="1">
      <c r="C17" s="66" t="s">
        <v>1217</v>
      </c>
      <c r="D17" s="67"/>
      <c r="E17" s="67"/>
      <c r="F17" s="67"/>
      <c r="G17" s="69"/>
      <c r="H17" s="74">
        <v>0</v>
      </c>
    </row>
    <row r="18" spans="3:9" s="79" customFormat="1" ht="20.399999999999999" customHeight="1">
      <c r="C18" s="75" t="s">
        <v>1218</v>
      </c>
      <c r="D18" s="76" t="s">
        <v>1219</v>
      </c>
      <c r="E18" s="77"/>
      <c r="F18" s="77"/>
      <c r="G18" s="78"/>
      <c r="H18" s="64">
        <f>H17+H15+H11</f>
        <v>64217.119999999995</v>
      </c>
      <c r="I18" s="45"/>
    </row>
    <row r="19" spans="3:9" s="79" customFormat="1" ht="20.399999999999999" customHeight="1">
      <c r="C19" s="75" t="s">
        <v>1220</v>
      </c>
      <c r="D19" s="76" t="s">
        <v>1321</v>
      </c>
      <c r="E19" s="77"/>
      <c r="F19" s="78"/>
      <c r="G19" s="80">
        <f>$M$7</f>
        <v>0.1</v>
      </c>
      <c r="H19" s="64">
        <f>H18*G19</f>
        <v>6421.7119999999995</v>
      </c>
      <c r="I19" s="45"/>
    </row>
    <row r="20" spans="3:9" s="79" customFormat="1" ht="20.399999999999999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70638.831999999995</v>
      </c>
      <c r="I20" s="45"/>
    </row>
    <row r="21" spans="3:9" ht="14.4" thickTop="1">
      <c r="C21" s="89"/>
      <c r="D21" s="90"/>
      <c r="E21" s="90"/>
      <c r="F21" s="90"/>
      <c r="G21" s="90"/>
      <c r="H21" s="91"/>
    </row>
    <row r="22" spans="3:9" ht="14.4" thickBot="1">
      <c r="C22" s="44" t="s">
        <v>2786</v>
      </c>
      <c r="D22" s="451" t="s">
        <v>1378</v>
      </c>
      <c r="E22" s="275"/>
      <c r="F22" s="275"/>
      <c r="G22" s="275"/>
      <c r="H22" s="275"/>
      <c r="I22" s="50">
        <f>ROUNDDOWN(H38,-2)</f>
        <v>63100</v>
      </c>
    </row>
    <row r="23" spans="3:9" ht="28.2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</row>
    <row r="24" spans="3:9" ht="20.399999999999999" customHeight="1">
      <c r="C24" s="55" t="s">
        <v>1201</v>
      </c>
      <c r="D24" s="56" t="s">
        <v>1202</v>
      </c>
      <c r="E24" s="57"/>
      <c r="F24" s="57"/>
      <c r="G24" s="57"/>
      <c r="H24" s="58"/>
    </row>
    <row r="25" spans="3:9" ht="20.399999999999999" customHeight="1">
      <c r="C25" s="60">
        <v>1</v>
      </c>
      <c r="D25" s="56" t="s">
        <v>5</v>
      </c>
      <c r="E25" s="61" t="s">
        <v>6</v>
      </c>
      <c r="F25" s="101">
        <v>0.2</v>
      </c>
      <c r="G25" s="63">
        <f>VLOOKUP(D25,upahbahan,3,FALSE)</f>
        <v>100000</v>
      </c>
      <c r="H25" s="64">
        <f>F25*G25</f>
        <v>20000</v>
      </c>
    </row>
    <row r="26" spans="3:9" ht="20.399999999999999" customHeight="1">
      <c r="C26" s="60">
        <v>2</v>
      </c>
      <c r="D26" s="56" t="s">
        <v>7</v>
      </c>
      <c r="E26" s="61" t="s">
        <v>6</v>
      </c>
      <c r="F26" s="101">
        <v>0.1</v>
      </c>
      <c r="G26" s="63">
        <f>VLOOKUP(D26,upahbahan,3,FALSE)</f>
        <v>135000</v>
      </c>
      <c r="H26" s="64">
        <f>F26*G26</f>
        <v>13500</v>
      </c>
    </row>
    <row r="27" spans="3:9" ht="20.399999999999999" customHeight="1">
      <c r="C27" s="60">
        <v>3</v>
      </c>
      <c r="D27" s="56" t="s">
        <v>18</v>
      </c>
      <c r="E27" s="61" t="s">
        <v>6</v>
      </c>
      <c r="F27" s="101">
        <v>0.01</v>
      </c>
      <c r="G27" s="63">
        <f>VLOOKUP(D27,upahbahan,3,FALSE)</f>
        <v>150000</v>
      </c>
      <c r="H27" s="64">
        <f>F27*G27</f>
        <v>1500</v>
      </c>
    </row>
    <row r="28" spans="3:9" ht="20.399999999999999" customHeight="1">
      <c r="C28" s="60">
        <v>4</v>
      </c>
      <c r="D28" s="56" t="s">
        <v>19</v>
      </c>
      <c r="E28" s="61" t="s">
        <v>6</v>
      </c>
      <c r="F28" s="101">
        <v>3.3E-3</v>
      </c>
      <c r="G28" s="63">
        <f>VLOOKUP(D28,upahbahan,3,FALSE)</f>
        <v>160000</v>
      </c>
      <c r="H28" s="64">
        <f>F28*G28</f>
        <v>528</v>
      </c>
    </row>
    <row r="29" spans="3:9" ht="20.399999999999999" customHeight="1">
      <c r="C29" s="66" t="s">
        <v>1331</v>
      </c>
      <c r="D29" s="67"/>
      <c r="E29" s="67"/>
      <c r="F29" s="68"/>
      <c r="G29" s="459"/>
      <c r="H29" s="64">
        <f>SUM(H25:H28)</f>
        <v>35528</v>
      </c>
    </row>
    <row r="30" spans="3:9" ht="20.399999999999999" customHeight="1">
      <c r="C30" s="55" t="s">
        <v>1209</v>
      </c>
      <c r="D30" s="56" t="s">
        <v>1210</v>
      </c>
      <c r="E30" s="57"/>
      <c r="F30" s="287"/>
      <c r="G30" s="287"/>
      <c r="H30" s="58"/>
    </row>
    <row r="31" spans="3:9" ht="20.399999999999999" customHeight="1">
      <c r="C31" s="60">
        <v>1</v>
      </c>
      <c r="D31" s="56" t="s">
        <v>2332</v>
      </c>
      <c r="E31" s="61" t="s">
        <v>65</v>
      </c>
      <c r="F31" s="62">
        <v>10.224</v>
      </c>
      <c r="G31" s="63">
        <f>VLOOKUP(D31,upahbahan,3,FALSE)</f>
        <v>1530</v>
      </c>
      <c r="H31" s="64">
        <f>F31*G31</f>
        <v>15642.720000000001</v>
      </c>
    </row>
    <row r="32" spans="3:9" ht="20.399999999999999" customHeight="1">
      <c r="C32" s="60">
        <v>2</v>
      </c>
      <c r="D32" s="72" t="s">
        <v>85</v>
      </c>
      <c r="E32" s="61" t="s">
        <v>42</v>
      </c>
      <c r="F32" s="62">
        <v>0.02</v>
      </c>
      <c r="G32" s="63">
        <f>VLOOKUP(D32,upahbahan,3,FALSE)</f>
        <v>310500</v>
      </c>
      <c r="H32" s="64">
        <f>F32*G32</f>
        <v>6210</v>
      </c>
    </row>
    <row r="33" spans="3:11" ht="20.399999999999999" customHeight="1">
      <c r="C33" s="66" t="s">
        <v>1214</v>
      </c>
      <c r="D33" s="67"/>
      <c r="E33" s="67"/>
      <c r="F33" s="67"/>
      <c r="G33" s="69"/>
      <c r="H33" s="64">
        <f>SUM(H31:H32)</f>
        <v>21852.720000000001</v>
      </c>
      <c r="K33" s="45">
        <v>0</v>
      </c>
    </row>
    <row r="34" spans="3:11" ht="20.399999999999999" customHeight="1">
      <c r="C34" s="167" t="s">
        <v>1215</v>
      </c>
      <c r="D34" s="56" t="s">
        <v>1216</v>
      </c>
      <c r="E34" s="57"/>
      <c r="F34" s="57"/>
      <c r="G34" s="57"/>
      <c r="H34" s="58"/>
    </row>
    <row r="35" spans="3:11" ht="20.399999999999999" customHeight="1">
      <c r="C35" s="66" t="s">
        <v>1217</v>
      </c>
      <c r="D35" s="67"/>
      <c r="E35" s="67"/>
      <c r="F35" s="67"/>
      <c r="G35" s="69"/>
      <c r="H35" s="74">
        <v>0</v>
      </c>
    </row>
    <row r="36" spans="3:11" s="79" customFormat="1" ht="20.399999999999999" customHeight="1">
      <c r="C36" s="75" t="s">
        <v>1218</v>
      </c>
      <c r="D36" s="76" t="s">
        <v>1219</v>
      </c>
      <c r="E36" s="77"/>
      <c r="F36" s="77"/>
      <c r="G36" s="78"/>
      <c r="H36" s="64">
        <f>H35+H33+H29</f>
        <v>57380.72</v>
      </c>
      <c r="I36" s="45"/>
    </row>
    <row r="37" spans="3:11" s="79" customFormat="1" ht="20.399999999999999" customHeight="1">
      <c r="C37" s="75" t="s">
        <v>1220</v>
      </c>
      <c r="D37" s="76" t="s">
        <v>1321</v>
      </c>
      <c r="E37" s="77"/>
      <c r="F37" s="78"/>
      <c r="G37" s="80">
        <f>$M$7</f>
        <v>0.1</v>
      </c>
      <c r="H37" s="64">
        <f>H36*G37</f>
        <v>5738.0720000000001</v>
      </c>
      <c r="I37" s="45"/>
    </row>
    <row r="38" spans="3:11" s="79" customFormat="1" ht="20.399999999999999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63118.792000000001</v>
      </c>
      <c r="I38" s="45"/>
    </row>
    <row r="39" spans="3:11" ht="14.4" thickTop="1"/>
    <row r="40" spans="3:11" ht="14.4" thickBot="1">
      <c r="C40" s="44" t="s">
        <v>2787</v>
      </c>
      <c r="D40" s="451" t="s">
        <v>1379</v>
      </c>
      <c r="E40" s="275"/>
      <c r="F40" s="275"/>
      <c r="G40" s="275"/>
      <c r="H40" s="275"/>
      <c r="I40" s="50">
        <f>ROUNDDOWN(H56,-2)</f>
        <v>60000</v>
      </c>
    </row>
    <row r="41" spans="3:11" ht="28.2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</row>
    <row r="42" spans="3:11" ht="20.399999999999999" customHeight="1">
      <c r="C42" s="55" t="s">
        <v>1201</v>
      </c>
      <c r="D42" s="56" t="s">
        <v>1202</v>
      </c>
      <c r="E42" s="57"/>
      <c r="F42" s="57"/>
      <c r="G42" s="57"/>
      <c r="H42" s="58"/>
    </row>
    <row r="43" spans="3:11" ht="20.399999999999999" customHeight="1">
      <c r="C43" s="60">
        <v>1</v>
      </c>
      <c r="D43" s="56" t="s">
        <v>5</v>
      </c>
      <c r="E43" s="61" t="s">
        <v>6</v>
      </c>
      <c r="F43" s="101">
        <v>0.2</v>
      </c>
      <c r="G43" s="63">
        <f>VLOOKUP(D43,upahbahan,3,FALSE)</f>
        <v>100000</v>
      </c>
      <c r="H43" s="64">
        <f>F43*G43</f>
        <v>20000</v>
      </c>
    </row>
    <row r="44" spans="3:11" ht="20.399999999999999" customHeight="1">
      <c r="C44" s="60">
        <v>2</v>
      </c>
      <c r="D44" s="56" t="s">
        <v>7</v>
      </c>
      <c r="E44" s="61" t="s">
        <v>6</v>
      </c>
      <c r="F44" s="101">
        <v>0.1</v>
      </c>
      <c r="G44" s="63">
        <f>VLOOKUP(D44,upahbahan,3,FALSE)</f>
        <v>135000</v>
      </c>
      <c r="H44" s="64">
        <f>F44*G44</f>
        <v>13500</v>
      </c>
    </row>
    <row r="45" spans="3:11" ht="20.399999999999999" customHeight="1">
      <c r="C45" s="60">
        <v>3</v>
      </c>
      <c r="D45" s="56" t="s">
        <v>18</v>
      </c>
      <c r="E45" s="61" t="s">
        <v>6</v>
      </c>
      <c r="F45" s="101">
        <v>0.01</v>
      </c>
      <c r="G45" s="63">
        <f>VLOOKUP(D45,upahbahan,3,FALSE)</f>
        <v>150000</v>
      </c>
      <c r="H45" s="64">
        <f>F45*G45</f>
        <v>1500</v>
      </c>
    </row>
    <row r="46" spans="3:11" ht="20.399999999999999" customHeight="1">
      <c r="C46" s="60">
        <v>4</v>
      </c>
      <c r="D46" s="56" t="s">
        <v>19</v>
      </c>
      <c r="E46" s="61" t="s">
        <v>6</v>
      </c>
      <c r="F46" s="101">
        <v>3.3E-3</v>
      </c>
      <c r="G46" s="63">
        <f>VLOOKUP(D46,upahbahan,3,FALSE)</f>
        <v>160000</v>
      </c>
      <c r="H46" s="64">
        <f>F46*G46</f>
        <v>528</v>
      </c>
    </row>
    <row r="47" spans="3:11" ht="20.399999999999999" customHeight="1">
      <c r="C47" s="66" t="s">
        <v>1331</v>
      </c>
      <c r="D47" s="67"/>
      <c r="E47" s="67"/>
      <c r="F47" s="68"/>
      <c r="G47" s="459"/>
      <c r="H47" s="64">
        <f>SUM(H43:H46)</f>
        <v>35528</v>
      </c>
    </row>
    <row r="48" spans="3:11" ht="20.399999999999999" customHeight="1">
      <c r="C48" s="55" t="s">
        <v>1209</v>
      </c>
      <c r="D48" s="56" t="s">
        <v>1210</v>
      </c>
      <c r="E48" s="57"/>
      <c r="F48" s="287"/>
      <c r="G48" s="287"/>
      <c r="H48" s="58"/>
    </row>
    <row r="49" spans="3:9" ht="20.399999999999999" customHeight="1">
      <c r="C49" s="60">
        <v>1</v>
      </c>
      <c r="D49" s="56" t="s">
        <v>2332</v>
      </c>
      <c r="E49" s="61" t="s">
        <v>65</v>
      </c>
      <c r="F49" s="98">
        <v>7.7759999999999998</v>
      </c>
      <c r="G49" s="63">
        <f>VLOOKUP(D49,upahbahan,3,FALSE)</f>
        <v>1530</v>
      </c>
      <c r="H49" s="64">
        <f>F49*G49</f>
        <v>11897.279999999999</v>
      </c>
    </row>
    <row r="50" spans="3:9" ht="20.399999999999999" customHeight="1">
      <c r="C50" s="60">
        <v>2</v>
      </c>
      <c r="D50" s="72" t="s">
        <v>85</v>
      </c>
      <c r="E50" s="61" t="s">
        <v>42</v>
      </c>
      <c r="F50" s="98">
        <v>2.3E-2</v>
      </c>
      <c r="G50" s="63">
        <f>VLOOKUP(D50,upahbahan,3,FALSE)</f>
        <v>310500</v>
      </c>
      <c r="H50" s="64">
        <f>F50*G50</f>
        <v>7141.5</v>
      </c>
    </row>
    <row r="51" spans="3:9" ht="20.399999999999999" customHeight="1">
      <c r="C51" s="66" t="s">
        <v>1214</v>
      </c>
      <c r="D51" s="67"/>
      <c r="E51" s="67"/>
      <c r="F51" s="67"/>
      <c r="G51" s="69"/>
      <c r="H51" s="64">
        <f>SUM(H49:H50)</f>
        <v>19038.78</v>
      </c>
    </row>
    <row r="52" spans="3:9" ht="20.399999999999999" customHeight="1">
      <c r="C52" s="167" t="s">
        <v>1215</v>
      </c>
      <c r="D52" s="56" t="s">
        <v>1216</v>
      </c>
      <c r="E52" s="57"/>
      <c r="F52" s="57"/>
      <c r="G52" s="57"/>
      <c r="H52" s="58"/>
    </row>
    <row r="53" spans="3:9" ht="20.399999999999999" customHeight="1">
      <c r="C53" s="66" t="s">
        <v>1217</v>
      </c>
      <c r="D53" s="67"/>
      <c r="E53" s="67"/>
      <c r="F53" s="67"/>
      <c r="G53" s="69"/>
      <c r="H53" s="74">
        <v>0</v>
      </c>
    </row>
    <row r="54" spans="3:9" s="79" customFormat="1" ht="20.399999999999999" customHeight="1">
      <c r="C54" s="75" t="s">
        <v>1218</v>
      </c>
      <c r="D54" s="76" t="s">
        <v>1219</v>
      </c>
      <c r="E54" s="77"/>
      <c r="F54" s="77"/>
      <c r="G54" s="78"/>
      <c r="H54" s="64">
        <f>H53+H51+H47</f>
        <v>54566.78</v>
      </c>
      <c r="I54" s="45"/>
    </row>
    <row r="55" spans="3:9" s="79" customFormat="1" ht="20.399999999999999" customHeight="1">
      <c r="C55" s="75" t="s">
        <v>1220</v>
      </c>
      <c r="D55" s="76" t="s">
        <v>1321</v>
      </c>
      <c r="E55" s="77"/>
      <c r="F55" s="78"/>
      <c r="G55" s="80">
        <f>$M$7</f>
        <v>0.1</v>
      </c>
      <c r="H55" s="64">
        <f>H54*G55</f>
        <v>5456.6779999999999</v>
      </c>
      <c r="I55" s="45"/>
    </row>
    <row r="56" spans="3:9" s="79" customFormat="1" ht="20.399999999999999" customHeight="1" thickBot="1">
      <c r="C56" s="81" t="s">
        <v>1221</v>
      </c>
      <c r="D56" s="82" t="s">
        <v>1222</v>
      </c>
      <c r="E56" s="83"/>
      <c r="F56" s="83"/>
      <c r="G56" s="84"/>
      <c r="H56" s="85">
        <f>SUM(H54:H55)</f>
        <v>60023.457999999999</v>
      </c>
      <c r="I56" s="45"/>
    </row>
    <row r="57" spans="3:9" ht="14.4" thickTop="1">
      <c r="C57" s="89"/>
      <c r="D57" s="90"/>
      <c r="E57" s="90"/>
      <c r="F57" s="90"/>
      <c r="G57" s="90"/>
      <c r="H57" s="91"/>
    </row>
    <row r="58" spans="3:9" ht="14.4" thickBot="1">
      <c r="C58" s="44" t="s">
        <v>2788</v>
      </c>
      <c r="D58" s="451" t="s">
        <v>1380</v>
      </c>
      <c r="E58" s="275"/>
      <c r="F58" s="275"/>
      <c r="G58" s="275"/>
      <c r="H58" s="275"/>
      <c r="I58" s="50">
        <f>ROUNDDOWN(H74,-2)</f>
        <v>57700</v>
      </c>
    </row>
    <row r="59" spans="3:9" ht="28.2" thickTop="1">
      <c r="C59" s="51" t="s">
        <v>1195</v>
      </c>
      <c r="D59" s="52" t="s">
        <v>1196</v>
      </c>
      <c r="E59" s="52" t="s">
        <v>1197</v>
      </c>
      <c r="F59" s="52" t="s">
        <v>1198</v>
      </c>
      <c r="G59" s="52" t="s">
        <v>1199</v>
      </c>
      <c r="H59" s="53" t="s">
        <v>1200</v>
      </c>
    </row>
    <row r="60" spans="3:9" ht="20.399999999999999" customHeight="1">
      <c r="C60" s="55" t="s">
        <v>1201</v>
      </c>
      <c r="D60" s="56" t="s">
        <v>1202</v>
      </c>
      <c r="E60" s="57"/>
      <c r="F60" s="57"/>
      <c r="G60" s="57"/>
      <c r="H60" s="58"/>
    </row>
    <row r="61" spans="3:9" ht="20.399999999999999" customHeight="1">
      <c r="C61" s="60">
        <v>1</v>
      </c>
      <c r="D61" s="56" t="s">
        <v>5</v>
      </c>
      <c r="E61" s="61" t="s">
        <v>6</v>
      </c>
      <c r="F61" s="101">
        <v>0.2</v>
      </c>
      <c r="G61" s="63">
        <f>VLOOKUP(D61,upahbahan,3,FALSE)</f>
        <v>100000</v>
      </c>
      <c r="H61" s="64">
        <f>F61*G61</f>
        <v>20000</v>
      </c>
    </row>
    <row r="62" spans="3:9" ht="20.399999999999999" customHeight="1">
      <c r="C62" s="60">
        <v>2</v>
      </c>
      <c r="D62" s="56" t="s">
        <v>7</v>
      </c>
      <c r="E62" s="61" t="s">
        <v>6</v>
      </c>
      <c r="F62" s="101">
        <v>0.1</v>
      </c>
      <c r="G62" s="63">
        <f>VLOOKUP(D62,upahbahan,3,FALSE)</f>
        <v>135000</v>
      </c>
      <c r="H62" s="64">
        <f>F62*G62</f>
        <v>13500</v>
      </c>
    </row>
    <row r="63" spans="3:9" ht="20.399999999999999" customHeight="1">
      <c r="C63" s="60">
        <v>3</v>
      </c>
      <c r="D63" s="56" t="s">
        <v>18</v>
      </c>
      <c r="E63" s="61" t="s">
        <v>6</v>
      </c>
      <c r="F63" s="101">
        <v>0.01</v>
      </c>
      <c r="G63" s="63">
        <f>VLOOKUP(D63,upahbahan,3,FALSE)</f>
        <v>150000</v>
      </c>
      <c r="H63" s="64">
        <f>F63*G63</f>
        <v>1500</v>
      </c>
    </row>
    <row r="64" spans="3:9" ht="20.399999999999999" customHeight="1">
      <c r="C64" s="60">
        <v>4</v>
      </c>
      <c r="D64" s="56" t="s">
        <v>19</v>
      </c>
      <c r="E64" s="61" t="s">
        <v>6</v>
      </c>
      <c r="F64" s="101">
        <v>3.3E-3</v>
      </c>
      <c r="G64" s="63">
        <f>VLOOKUP(D64,upahbahan,3,FALSE)</f>
        <v>160000</v>
      </c>
      <c r="H64" s="64">
        <f>F64*G64</f>
        <v>528</v>
      </c>
    </row>
    <row r="65" spans="3:9" ht="20.399999999999999" customHeight="1">
      <c r="C65" s="66" t="s">
        <v>1331</v>
      </c>
      <c r="D65" s="67"/>
      <c r="E65" s="67"/>
      <c r="F65" s="68"/>
      <c r="G65" s="459"/>
      <c r="H65" s="64">
        <f>SUM(H61:H64)</f>
        <v>35528</v>
      </c>
    </row>
    <row r="66" spans="3:9" ht="20.399999999999999" customHeight="1">
      <c r="C66" s="55" t="s">
        <v>1209</v>
      </c>
      <c r="D66" s="56" t="s">
        <v>1210</v>
      </c>
      <c r="E66" s="57"/>
      <c r="F66" s="57"/>
      <c r="G66" s="57"/>
      <c r="H66" s="58"/>
    </row>
    <row r="67" spans="3:9" ht="20.399999999999999" customHeight="1">
      <c r="C67" s="60">
        <v>1</v>
      </c>
      <c r="D67" s="56" t="s">
        <v>2332</v>
      </c>
      <c r="E67" s="61" t="s">
        <v>65</v>
      </c>
      <c r="F67" s="62">
        <v>6.24</v>
      </c>
      <c r="G67" s="63">
        <f>VLOOKUP(D67,upahbahan,3,FALSE)</f>
        <v>1530</v>
      </c>
      <c r="H67" s="64">
        <f>F67*G67</f>
        <v>9547.2000000000007</v>
      </c>
    </row>
    <row r="68" spans="3:9" ht="20.399999999999999" customHeight="1">
      <c r="C68" s="60">
        <v>2</v>
      </c>
      <c r="D68" s="72" t="s">
        <v>85</v>
      </c>
      <c r="E68" s="61" t="s">
        <v>42</v>
      </c>
      <c r="F68" s="62">
        <v>2.4E-2</v>
      </c>
      <c r="G68" s="63">
        <f>VLOOKUP(D68,upahbahan,3,FALSE)</f>
        <v>310500</v>
      </c>
      <c r="H68" s="64">
        <f>F68*G68</f>
        <v>7452</v>
      </c>
    </row>
    <row r="69" spans="3:9" ht="20.399999999999999" customHeight="1">
      <c r="C69" s="66" t="s">
        <v>1214</v>
      </c>
      <c r="D69" s="67"/>
      <c r="E69" s="67"/>
      <c r="F69" s="67"/>
      <c r="G69" s="69"/>
      <c r="H69" s="64">
        <f>SUM(H67:H68)</f>
        <v>16999.2</v>
      </c>
    </row>
    <row r="70" spans="3:9" ht="20.399999999999999" customHeight="1">
      <c r="C70" s="167" t="s">
        <v>1215</v>
      </c>
      <c r="D70" s="56" t="s">
        <v>1216</v>
      </c>
      <c r="E70" s="57"/>
      <c r="F70" s="57"/>
      <c r="G70" s="57"/>
      <c r="H70" s="58"/>
    </row>
    <row r="71" spans="3:9" ht="20.399999999999999" customHeight="1">
      <c r="C71" s="66" t="s">
        <v>1217</v>
      </c>
      <c r="D71" s="67"/>
      <c r="E71" s="67"/>
      <c r="F71" s="67"/>
      <c r="G71" s="69"/>
      <c r="H71" s="74">
        <v>0</v>
      </c>
    </row>
    <row r="72" spans="3:9" s="79" customFormat="1" ht="20.399999999999999" customHeight="1">
      <c r="C72" s="75" t="s">
        <v>1218</v>
      </c>
      <c r="D72" s="76" t="s">
        <v>1219</v>
      </c>
      <c r="E72" s="77"/>
      <c r="F72" s="77"/>
      <c r="G72" s="78"/>
      <c r="H72" s="64">
        <f>H71+H69+H65</f>
        <v>52527.199999999997</v>
      </c>
      <c r="I72" s="45"/>
    </row>
    <row r="73" spans="3:9" s="79" customFormat="1" ht="20.399999999999999" customHeight="1">
      <c r="C73" s="75" t="s">
        <v>1220</v>
      </c>
      <c r="D73" s="76" t="s">
        <v>1321</v>
      </c>
      <c r="E73" s="77"/>
      <c r="F73" s="78"/>
      <c r="G73" s="80">
        <f>$M$7</f>
        <v>0.1</v>
      </c>
      <c r="H73" s="64">
        <f>H72*G73</f>
        <v>5252.72</v>
      </c>
      <c r="I73" s="45"/>
    </row>
    <row r="74" spans="3:9" s="79" customFormat="1" ht="20.399999999999999" customHeight="1" thickBot="1">
      <c r="C74" s="81" t="s">
        <v>1221</v>
      </c>
      <c r="D74" s="82" t="s">
        <v>1222</v>
      </c>
      <c r="E74" s="83"/>
      <c r="F74" s="83"/>
      <c r="G74" s="84"/>
      <c r="H74" s="85">
        <f>SUM(H72:H73)</f>
        <v>57779.92</v>
      </c>
      <c r="I74" s="45"/>
    </row>
    <row r="75" spans="3:9" ht="14.4" thickTop="1">
      <c r="C75" s="89"/>
      <c r="D75" s="90"/>
      <c r="E75" s="90"/>
      <c r="F75" s="90"/>
      <c r="G75" s="90"/>
      <c r="H75" s="91"/>
    </row>
    <row r="76" spans="3:9" ht="14.4" thickBot="1">
      <c r="C76" s="44" t="s">
        <v>2789</v>
      </c>
      <c r="D76" s="451" t="s">
        <v>1381</v>
      </c>
      <c r="E76" s="468"/>
      <c r="F76" s="468"/>
      <c r="G76" s="468"/>
      <c r="H76" s="468"/>
      <c r="I76" s="50">
        <f>ROUNDDOWN(H92,-2)</f>
        <v>56600</v>
      </c>
    </row>
    <row r="77" spans="3:9" ht="28.2" thickTop="1">
      <c r="C77" s="51" t="s">
        <v>1195</v>
      </c>
      <c r="D77" s="52" t="s">
        <v>1196</v>
      </c>
      <c r="E77" s="52" t="s">
        <v>1197</v>
      </c>
      <c r="F77" s="52" t="s">
        <v>1198</v>
      </c>
      <c r="G77" s="52" t="s">
        <v>1199</v>
      </c>
      <c r="H77" s="53" t="s">
        <v>1200</v>
      </c>
    </row>
    <row r="78" spans="3:9" ht="20.399999999999999" customHeight="1">
      <c r="C78" s="55" t="s">
        <v>1201</v>
      </c>
      <c r="D78" s="56" t="s">
        <v>1202</v>
      </c>
      <c r="E78" s="57"/>
      <c r="F78" s="57"/>
      <c r="G78" s="57"/>
      <c r="H78" s="58"/>
    </row>
    <row r="79" spans="3:9" ht="20.399999999999999" customHeight="1">
      <c r="C79" s="60">
        <v>1</v>
      </c>
      <c r="D79" s="56" t="s">
        <v>5</v>
      </c>
      <c r="E79" s="61" t="s">
        <v>6</v>
      </c>
      <c r="F79" s="101">
        <v>0.2</v>
      </c>
      <c r="G79" s="63">
        <f>VLOOKUP(D79,upahbahan,3,FALSE)</f>
        <v>100000</v>
      </c>
      <c r="H79" s="64">
        <f>F79*G79</f>
        <v>20000</v>
      </c>
    </row>
    <row r="80" spans="3:9" ht="20.399999999999999" customHeight="1">
      <c r="C80" s="60">
        <v>2</v>
      </c>
      <c r="D80" s="56" t="s">
        <v>7</v>
      </c>
      <c r="E80" s="61" t="s">
        <v>6</v>
      </c>
      <c r="F80" s="101">
        <v>0.1</v>
      </c>
      <c r="G80" s="63">
        <f>VLOOKUP(D80,upahbahan,3,FALSE)</f>
        <v>135000</v>
      </c>
      <c r="H80" s="64">
        <f>F80*G80</f>
        <v>13500</v>
      </c>
    </row>
    <row r="81" spans="3:9" ht="20.399999999999999" customHeight="1">
      <c r="C81" s="60">
        <v>3</v>
      </c>
      <c r="D81" s="56" t="s">
        <v>18</v>
      </c>
      <c r="E81" s="61" t="s">
        <v>6</v>
      </c>
      <c r="F81" s="101">
        <v>0.01</v>
      </c>
      <c r="G81" s="63">
        <f>VLOOKUP(D81,upahbahan,3,FALSE)</f>
        <v>150000</v>
      </c>
      <c r="H81" s="64">
        <f>F81*G81</f>
        <v>1500</v>
      </c>
    </row>
    <row r="82" spans="3:9" ht="20.399999999999999" customHeight="1">
      <c r="C82" s="60">
        <v>4</v>
      </c>
      <c r="D82" s="56" t="s">
        <v>19</v>
      </c>
      <c r="E82" s="61" t="s">
        <v>6</v>
      </c>
      <c r="F82" s="101">
        <v>3.3E-3</v>
      </c>
      <c r="G82" s="63">
        <f>VLOOKUP(D82,upahbahan,3,FALSE)</f>
        <v>160000</v>
      </c>
      <c r="H82" s="64">
        <f>F82*G82</f>
        <v>528</v>
      </c>
    </row>
    <row r="83" spans="3:9" ht="20.399999999999999" customHeight="1">
      <c r="C83" s="66" t="s">
        <v>1331</v>
      </c>
      <c r="D83" s="67"/>
      <c r="E83" s="67"/>
      <c r="F83" s="68"/>
      <c r="G83" s="459"/>
      <c r="H83" s="64">
        <f>SUM(H79:H82)</f>
        <v>35528</v>
      </c>
    </row>
    <row r="84" spans="3:9" ht="20.399999999999999" customHeight="1">
      <c r="C84" s="55" t="s">
        <v>1209</v>
      </c>
      <c r="D84" s="56" t="s">
        <v>1210</v>
      </c>
      <c r="E84" s="57"/>
      <c r="F84" s="57"/>
      <c r="G84" s="57"/>
      <c r="H84" s="58"/>
    </row>
    <row r="85" spans="3:9" ht="20.399999999999999" customHeight="1">
      <c r="C85" s="60">
        <v>1</v>
      </c>
      <c r="D85" s="56" t="s">
        <v>2332</v>
      </c>
      <c r="E85" s="61" t="s">
        <v>65</v>
      </c>
      <c r="F85" s="62">
        <v>5.1840000000000002</v>
      </c>
      <c r="G85" s="63">
        <f>VLOOKUP(D85,upahbahan,3,FALSE)</f>
        <v>1530</v>
      </c>
      <c r="H85" s="64">
        <f>F85*G85</f>
        <v>7931.52</v>
      </c>
    </row>
    <row r="86" spans="3:9" ht="20.399999999999999" customHeight="1">
      <c r="C86" s="60">
        <v>2</v>
      </c>
      <c r="D86" s="72" t="s">
        <v>85</v>
      </c>
      <c r="E86" s="61" t="s">
        <v>42</v>
      </c>
      <c r="F86" s="62">
        <v>2.5999999999999999E-2</v>
      </c>
      <c r="G86" s="63">
        <f>VLOOKUP(D86,upahbahan,3,FALSE)</f>
        <v>310500</v>
      </c>
      <c r="H86" s="64">
        <f>F86*G86</f>
        <v>8073</v>
      </c>
    </row>
    <row r="87" spans="3:9" ht="20.399999999999999" customHeight="1">
      <c r="C87" s="66" t="s">
        <v>1214</v>
      </c>
      <c r="D87" s="67"/>
      <c r="E87" s="67"/>
      <c r="F87" s="67"/>
      <c r="G87" s="69"/>
      <c r="H87" s="64">
        <f>SUM(H85:H86)</f>
        <v>16004.52</v>
      </c>
    </row>
    <row r="88" spans="3:9" ht="20.399999999999999" customHeight="1">
      <c r="C88" s="167" t="s">
        <v>1215</v>
      </c>
      <c r="D88" s="56" t="s">
        <v>1216</v>
      </c>
      <c r="E88" s="57"/>
      <c r="F88" s="57"/>
      <c r="G88" s="57"/>
      <c r="H88" s="58"/>
    </row>
    <row r="89" spans="3:9" ht="20.399999999999999" customHeight="1">
      <c r="C89" s="66" t="s">
        <v>1217</v>
      </c>
      <c r="D89" s="67"/>
      <c r="E89" s="67"/>
      <c r="F89" s="67"/>
      <c r="G89" s="69"/>
      <c r="H89" s="74">
        <v>0</v>
      </c>
    </row>
    <row r="90" spans="3:9" s="79" customFormat="1" ht="20.399999999999999" customHeight="1">
      <c r="C90" s="75" t="s">
        <v>1218</v>
      </c>
      <c r="D90" s="76" t="s">
        <v>1219</v>
      </c>
      <c r="E90" s="77"/>
      <c r="F90" s="77"/>
      <c r="G90" s="78"/>
      <c r="H90" s="64">
        <f>H89+H87+H83</f>
        <v>51532.520000000004</v>
      </c>
      <c r="I90" s="45"/>
    </row>
    <row r="91" spans="3:9" s="79" customFormat="1" ht="20.399999999999999" customHeight="1">
      <c r="C91" s="75" t="s">
        <v>1220</v>
      </c>
      <c r="D91" s="76" t="s">
        <v>1321</v>
      </c>
      <c r="E91" s="77"/>
      <c r="F91" s="78"/>
      <c r="G91" s="80">
        <f>$M$7</f>
        <v>0.1</v>
      </c>
      <c r="H91" s="64">
        <f>H90*G91</f>
        <v>5153.2520000000004</v>
      </c>
      <c r="I91" s="45"/>
    </row>
    <row r="92" spans="3:9" s="79" customFormat="1" ht="20.399999999999999" customHeight="1" thickBot="1">
      <c r="C92" s="81" t="s">
        <v>1221</v>
      </c>
      <c r="D92" s="82" t="s">
        <v>1222</v>
      </c>
      <c r="E92" s="83"/>
      <c r="F92" s="83"/>
      <c r="G92" s="84"/>
      <c r="H92" s="85">
        <f>SUM(H90:H91)</f>
        <v>56685.772000000004</v>
      </c>
      <c r="I92" s="45"/>
    </row>
    <row r="93" spans="3:9" ht="14.4" thickTop="1">
      <c r="C93" s="89"/>
      <c r="D93" s="90"/>
      <c r="E93" s="90"/>
      <c r="F93" s="90"/>
      <c r="G93" s="90"/>
      <c r="H93" s="91"/>
    </row>
    <row r="94" spans="3:9" ht="14.4" thickBot="1">
      <c r="C94" s="44" t="s">
        <v>2790</v>
      </c>
      <c r="D94" s="451" t="s">
        <v>1382</v>
      </c>
      <c r="E94" s="468"/>
      <c r="F94" s="468"/>
      <c r="G94" s="468"/>
      <c r="H94" s="468"/>
      <c r="I94" s="50">
        <f>ROUNDDOWN(H110,-2)</f>
        <v>55700</v>
      </c>
    </row>
    <row r="95" spans="3:9" ht="28.2" thickTop="1">
      <c r="C95" s="51" t="s">
        <v>1195</v>
      </c>
      <c r="D95" s="52" t="s">
        <v>1196</v>
      </c>
      <c r="E95" s="52" t="s">
        <v>1197</v>
      </c>
      <c r="F95" s="52" t="s">
        <v>1198</v>
      </c>
      <c r="G95" s="52" t="s">
        <v>1199</v>
      </c>
      <c r="H95" s="53" t="s">
        <v>1200</v>
      </c>
    </row>
    <row r="96" spans="3:9" ht="20.399999999999999" customHeight="1">
      <c r="C96" s="55" t="s">
        <v>1201</v>
      </c>
      <c r="D96" s="56" t="s">
        <v>1202</v>
      </c>
      <c r="E96" s="57"/>
      <c r="F96" s="57"/>
      <c r="G96" s="57"/>
      <c r="H96" s="58"/>
    </row>
    <row r="97" spans="3:9" ht="20.399999999999999" customHeight="1">
      <c r="C97" s="60">
        <v>1</v>
      </c>
      <c r="D97" s="56" t="s">
        <v>5</v>
      </c>
      <c r="E97" s="61" t="s">
        <v>6</v>
      </c>
      <c r="F97" s="101">
        <v>0.2</v>
      </c>
      <c r="G97" s="63">
        <f>VLOOKUP(D97,upahbahan,3,FALSE)</f>
        <v>100000</v>
      </c>
      <c r="H97" s="64">
        <f>F97*G97</f>
        <v>20000</v>
      </c>
    </row>
    <row r="98" spans="3:9" ht="20.399999999999999" customHeight="1">
      <c r="C98" s="60">
        <v>2</v>
      </c>
      <c r="D98" s="56" t="s">
        <v>7</v>
      </c>
      <c r="E98" s="61" t="s">
        <v>6</v>
      </c>
      <c r="F98" s="101">
        <v>0.1</v>
      </c>
      <c r="G98" s="63">
        <f>VLOOKUP(D98,upahbahan,3,FALSE)</f>
        <v>135000</v>
      </c>
      <c r="H98" s="64">
        <f>F98*G98</f>
        <v>13500</v>
      </c>
    </row>
    <row r="99" spans="3:9" ht="20.399999999999999" customHeight="1">
      <c r="C99" s="60">
        <v>3</v>
      </c>
      <c r="D99" s="56" t="s">
        <v>18</v>
      </c>
      <c r="E99" s="61" t="s">
        <v>6</v>
      </c>
      <c r="F99" s="101">
        <v>0.01</v>
      </c>
      <c r="G99" s="63">
        <f>VLOOKUP(D99,upahbahan,3,FALSE)</f>
        <v>150000</v>
      </c>
      <c r="H99" s="64">
        <f>F99*G99</f>
        <v>1500</v>
      </c>
    </row>
    <row r="100" spans="3:9" ht="20.399999999999999" customHeight="1">
      <c r="C100" s="60">
        <v>4</v>
      </c>
      <c r="D100" s="56" t="s">
        <v>19</v>
      </c>
      <c r="E100" s="61" t="s">
        <v>6</v>
      </c>
      <c r="F100" s="101">
        <v>3.3E-3</v>
      </c>
      <c r="G100" s="63">
        <f>VLOOKUP(D100,upahbahan,3,FALSE)</f>
        <v>160000</v>
      </c>
      <c r="H100" s="64">
        <f>F100*G100</f>
        <v>528</v>
      </c>
    </row>
    <row r="101" spans="3:9" ht="20.399999999999999" customHeight="1">
      <c r="C101" s="66" t="s">
        <v>1331</v>
      </c>
      <c r="D101" s="67"/>
      <c r="E101" s="67"/>
      <c r="F101" s="68"/>
      <c r="G101" s="459"/>
      <c r="H101" s="64">
        <f>SUM(H97:H100)</f>
        <v>35528</v>
      </c>
    </row>
    <row r="102" spans="3:9" ht="20.399999999999999" customHeight="1">
      <c r="C102" s="167" t="s">
        <v>1209</v>
      </c>
      <c r="D102" s="56" t="s">
        <v>1210</v>
      </c>
      <c r="E102" s="57"/>
      <c r="F102" s="57"/>
      <c r="G102" s="469"/>
      <c r="H102" s="470"/>
    </row>
    <row r="103" spans="3:9" ht="20.399999999999999" customHeight="1">
      <c r="C103" s="60">
        <v>1</v>
      </c>
      <c r="D103" s="56" t="s">
        <v>2332</v>
      </c>
      <c r="E103" s="61" t="s">
        <v>65</v>
      </c>
      <c r="F103" s="62">
        <v>4.4160000000000004</v>
      </c>
      <c r="G103" s="63">
        <f>VLOOKUP(D103,upahbahan,3,FALSE)</f>
        <v>1530</v>
      </c>
      <c r="H103" s="64">
        <f>F103*G103</f>
        <v>6756.4800000000005</v>
      </c>
    </row>
    <row r="104" spans="3:9" ht="20.399999999999999" customHeight="1">
      <c r="C104" s="60">
        <v>2</v>
      </c>
      <c r="D104" s="72" t="s">
        <v>85</v>
      </c>
      <c r="E104" s="61" t="s">
        <v>42</v>
      </c>
      <c r="F104" s="62">
        <v>2.7E-2</v>
      </c>
      <c r="G104" s="63">
        <f>VLOOKUP(D104,upahbahan,3,FALSE)</f>
        <v>310500</v>
      </c>
      <c r="H104" s="64">
        <f>F104*G104</f>
        <v>8383.5</v>
      </c>
    </row>
    <row r="105" spans="3:9" ht="20.399999999999999" customHeight="1">
      <c r="C105" s="66" t="s">
        <v>1214</v>
      </c>
      <c r="D105" s="67"/>
      <c r="E105" s="67"/>
      <c r="F105" s="67"/>
      <c r="G105" s="69"/>
      <c r="H105" s="64">
        <f>SUM(H103:H104)</f>
        <v>15139.98</v>
      </c>
    </row>
    <row r="106" spans="3:9" ht="20.399999999999999" customHeight="1">
      <c r="C106" s="167" t="s">
        <v>1215</v>
      </c>
      <c r="D106" s="56" t="s">
        <v>1216</v>
      </c>
      <c r="E106" s="57"/>
      <c r="F106" s="57"/>
      <c r="G106" s="57"/>
      <c r="H106" s="58"/>
    </row>
    <row r="107" spans="3:9" ht="20.399999999999999" customHeight="1">
      <c r="C107" s="66" t="s">
        <v>1217</v>
      </c>
      <c r="D107" s="67"/>
      <c r="E107" s="67"/>
      <c r="F107" s="67"/>
      <c r="G107" s="69"/>
      <c r="H107" s="74">
        <v>0</v>
      </c>
    </row>
    <row r="108" spans="3:9" s="79" customFormat="1" ht="20.399999999999999" customHeight="1">
      <c r="C108" s="75" t="s">
        <v>1218</v>
      </c>
      <c r="D108" s="76" t="s">
        <v>1219</v>
      </c>
      <c r="E108" s="77"/>
      <c r="F108" s="77"/>
      <c r="G108" s="78"/>
      <c r="H108" s="64">
        <f>H107+H105+H101</f>
        <v>50667.979999999996</v>
      </c>
      <c r="I108" s="45"/>
    </row>
    <row r="109" spans="3:9" s="79" customFormat="1" ht="20.399999999999999" customHeight="1">
      <c r="C109" s="75" t="s">
        <v>1220</v>
      </c>
      <c r="D109" s="76" t="s">
        <v>1321</v>
      </c>
      <c r="E109" s="77"/>
      <c r="F109" s="78"/>
      <c r="G109" s="80">
        <f>$M$7</f>
        <v>0.1</v>
      </c>
      <c r="H109" s="64">
        <f>H108*G109</f>
        <v>5066.7979999999998</v>
      </c>
      <c r="I109" s="45"/>
    </row>
    <row r="110" spans="3:9" s="79" customFormat="1" ht="20.399999999999999" customHeight="1" thickBot="1">
      <c r="C110" s="81" t="s">
        <v>1221</v>
      </c>
      <c r="D110" s="82" t="s">
        <v>1222</v>
      </c>
      <c r="E110" s="83"/>
      <c r="F110" s="83"/>
      <c r="G110" s="84"/>
      <c r="H110" s="85">
        <f>SUM(H108:H109)</f>
        <v>55734.777999999998</v>
      </c>
      <c r="I110" s="45"/>
    </row>
    <row r="111" spans="3:9" ht="14.4" thickTop="1">
      <c r="C111" s="471"/>
      <c r="D111" s="304"/>
      <c r="E111" s="49"/>
      <c r="F111" s="49"/>
      <c r="G111" s="49"/>
      <c r="H111" s="49"/>
    </row>
    <row r="112" spans="3:9" ht="14.4" thickBot="1">
      <c r="C112" s="44" t="s">
        <v>2791</v>
      </c>
      <c r="D112" s="451" t="s">
        <v>1383</v>
      </c>
      <c r="E112" s="468"/>
      <c r="F112" s="468"/>
      <c r="G112" s="468"/>
      <c r="H112" s="468"/>
      <c r="I112" s="50">
        <f>ROUNDDOWN(H127,-2)</f>
        <v>63500</v>
      </c>
    </row>
    <row r="113" spans="3:9" ht="28.2" thickTop="1">
      <c r="C113" s="51" t="s">
        <v>1195</v>
      </c>
      <c r="D113" s="52" t="s">
        <v>1196</v>
      </c>
      <c r="E113" s="52" t="s">
        <v>1197</v>
      </c>
      <c r="F113" s="52" t="s">
        <v>1198</v>
      </c>
      <c r="G113" s="52" t="s">
        <v>1199</v>
      </c>
      <c r="H113" s="53" t="s">
        <v>1200</v>
      </c>
    </row>
    <row r="114" spans="3:9" ht="20.399999999999999" customHeight="1">
      <c r="C114" s="55" t="s">
        <v>1201</v>
      </c>
      <c r="D114" s="56" t="s">
        <v>1202</v>
      </c>
      <c r="E114" s="57"/>
      <c r="F114" s="57"/>
      <c r="G114" s="57"/>
      <c r="H114" s="58"/>
    </row>
    <row r="115" spans="3:9" ht="20.399999999999999" customHeight="1">
      <c r="C115" s="60">
        <v>1</v>
      </c>
      <c r="D115" s="56" t="s">
        <v>5</v>
      </c>
      <c r="E115" s="61" t="s">
        <v>6</v>
      </c>
      <c r="F115" s="101">
        <v>0.16700000000000001</v>
      </c>
      <c r="G115" s="63">
        <f>VLOOKUP(D115,upahbahan,3,FALSE)</f>
        <v>100000</v>
      </c>
      <c r="H115" s="64">
        <f>F115*G115</f>
        <v>16700</v>
      </c>
      <c r="I115" s="274"/>
    </row>
    <row r="116" spans="3:9" ht="20.399999999999999" customHeight="1">
      <c r="C116" s="60">
        <v>2</v>
      </c>
      <c r="D116" s="56" t="s">
        <v>7</v>
      </c>
      <c r="E116" s="61" t="s">
        <v>6</v>
      </c>
      <c r="F116" s="101">
        <v>8.3000000000000004E-2</v>
      </c>
      <c r="G116" s="63">
        <f>VLOOKUP(D116,upahbahan,3,FALSE)</f>
        <v>135000</v>
      </c>
      <c r="H116" s="64">
        <f>F116*G116</f>
        <v>11205</v>
      </c>
      <c r="I116" s="274"/>
    </row>
    <row r="117" spans="3:9" ht="20.399999999999999" customHeight="1">
      <c r="C117" s="60">
        <v>3</v>
      </c>
      <c r="D117" s="56" t="s">
        <v>18</v>
      </c>
      <c r="E117" s="61" t="s">
        <v>6</v>
      </c>
      <c r="F117" s="101">
        <v>8.3000000000000001E-3</v>
      </c>
      <c r="G117" s="63">
        <f>VLOOKUP(D117,upahbahan,3,FALSE)</f>
        <v>150000</v>
      </c>
      <c r="H117" s="64">
        <f>F117*G117</f>
        <v>1245</v>
      </c>
      <c r="I117" s="274"/>
    </row>
    <row r="118" spans="3:9" ht="20.399999999999999" customHeight="1">
      <c r="C118" s="60">
        <v>4</v>
      </c>
      <c r="D118" s="56" t="s">
        <v>19</v>
      </c>
      <c r="E118" s="61" t="s">
        <v>6</v>
      </c>
      <c r="F118" s="101">
        <v>2.8E-3</v>
      </c>
      <c r="G118" s="63">
        <f>VLOOKUP(D118,upahbahan,3,FALSE)</f>
        <v>160000</v>
      </c>
      <c r="H118" s="64">
        <f>F118*G118</f>
        <v>448</v>
      </c>
      <c r="I118" s="274"/>
    </row>
    <row r="119" spans="3:9" ht="20.399999999999999" customHeight="1">
      <c r="C119" s="66" t="s">
        <v>1331</v>
      </c>
      <c r="D119" s="67"/>
      <c r="E119" s="67"/>
      <c r="F119" s="142"/>
      <c r="G119" s="153"/>
      <c r="H119" s="64">
        <f>SUM(H115:H118)</f>
        <v>29598</v>
      </c>
      <c r="I119" s="274"/>
    </row>
    <row r="120" spans="3:9" ht="20.399999999999999" customHeight="1">
      <c r="C120" s="55" t="s">
        <v>1209</v>
      </c>
      <c r="D120" s="56" t="s">
        <v>1210</v>
      </c>
      <c r="E120" s="57"/>
      <c r="F120" s="143"/>
      <c r="G120" s="143"/>
      <c r="H120" s="472"/>
      <c r="I120" s="274"/>
    </row>
    <row r="121" spans="3:9" ht="20.399999999999999" customHeight="1">
      <c r="C121" s="60">
        <v>1</v>
      </c>
      <c r="D121" s="56" t="s">
        <v>1014</v>
      </c>
      <c r="E121" s="61" t="s">
        <v>65</v>
      </c>
      <c r="F121" s="62">
        <v>16.670000000000002</v>
      </c>
      <c r="G121" s="63">
        <f>VLOOKUP(D121,upahbahan,3,FALSE)</f>
        <v>1687.5</v>
      </c>
      <c r="H121" s="64">
        <f>F121*G121</f>
        <v>28130.625000000004</v>
      </c>
      <c r="I121" s="274"/>
    </row>
    <row r="122" spans="3:9" ht="20.399999999999999" customHeight="1">
      <c r="C122" s="66" t="s">
        <v>1214</v>
      </c>
      <c r="D122" s="67"/>
      <c r="E122" s="67"/>
      <c r="F122" s="67"/>
      <c r="G122" s="69"/>
      <c r="H122" s="64">
        <f>SUM(H121:H121)</f>
        <v>28130.625000000004</v>
      </c>
    </row>
    <row r="123" spans="3:9" ht="20.399999999999999" customHeight="1">
      <c r="C123" s="167" t="s">
        <v>1215</v>
      </c>
      <c r="D123" s="56" t="s">
        <v>1216</v>
      </c>
      <c r="E123" s="57"/>
      <c r="F123" s="57"/>
      <c r="G123" s="57"/>
      <c r="H123" s="58"/>
    </row>
    <row r="124" spans="3:9" ht="20.399999999999999" customHeight="1">
      <c r="C124" s="66" t="s">
        <v>1217</v>
      </c>
      <c r="D124" s="67"/>
      <c r="E124" s="67"/>
      <c r="F124" s="67"/>
      <c r="G124" s="69"/>
      <c r="H124" s="74">
        <v>0</v>
      </c>
    </row>
    <row r="125" spans="3:9" s="79" customFormat="1" ht="20.399999999999999" customHeight="1">
      <c r="C125" s="75" t="s">
        <v>1218</v>
      </c>
      <c r="D125" s="76" t="s">
        <v>1219</v>
      </c>
      <c r="E125" s="77"/>
      <c r="F125" s="77"/>
      <c r="G125" s="78"/>
      <c r="H125" s="64">
        <f>H124+H122+H119</f>
        <v>57728.625</v>
      </c>
      <c r="I125" s="45"/>
    </row>
    <row r="126" spans="3:9" s="79" customFormat="1" ht="20.399999999999999" customHeight="1">
      <c r="C126" s="75" t="s">
        <v>1220</v>
      </c>
      <c r="D126" s="76" t="s">
        <v>1321</v>
      </c>
      <c r="E126" s="77"/>
      <c r="F126" s="78"/>
      <c r="G126" s="80">
        <f>$M$7</f>
        <v>0.1</v>
      </c>
      <c r="H126" s="64">
        <f>H125*G126</f>
        <v>5772.8625000000002</v>
      </c>
      <c r="I126" s="45"/>
    </row>
    <row r="127" spans="3:9" s="79" customFormat="1" ht="20.399999999999999" customHeight="1" thickBot="1">
      <c r="C127" s="81" t="s">
        <v>1221</v>
      </c>
      <c r="D127" s="82" t="s">
        <v>1222</v>
      </c>
      <c r="E127" s="83"/>
      <c r="F127" s="83"/>
      <c r="G127" s="84"/>
      <c r="H127" s="85">
        <f>SUM(H125:H126)</f>
        <v>63501.487500000003</v>
      </c>
      <c r="I127" s="45"/>
    </row>
    <row r="128" spans="3:9" ht="14.4" thickTop="1">
      <c r="C128" s="89"/>
      <c r="D128" s="90"/>
      <c r="E128" s="90"/>
      <c r="F128" s="90"/>
      <c r="G128" s="90"/>
      <c r="H128" s="91"/>
    </row>
    <row r="129" spans="3:11" ht="14.4" thickBot="1">
      <c r="C129" s="44" t="s">
        <v>2792</v>
      </c>
      <c r="D129" s="451" t="s">
        <v>1384</v>
      </c>
      <c r="E129" s="275"/>
      <c r="F129" s="275"/>
      <c r="G129" s="275"/>
      <c r="H129" s="275"/>
      <c r="I129" s="50">
        <f>ROUNDDOWN(H144,-2)</f>
        <v>44500</v>
      </c>
    </row>
    <row r="130" spans="3:11" ht="28.2" thickTop="1">
      <c r="C130" s="51" t="s">
        <v>1195</v>
      </c>
      <c r="D130" s="52" t="s">
        <v>1196</v>
      </c>
      <c r="E130" s="52" t="s">
        <v>1197</v>
      </c>
      <c r="F130" s="52" t="s">
        <v>1198</v>
      </c>
      <c r="G130" s="52" t="s">
        <v>1199</v>
      </c>
      <c r="H130" s="53" t="s">
        <v>1200</v>
      </c>
    </row>
    <row r="131" spans="3:11" ht="20.399999999999999" customHeight="1">
      <c r="C131" s="55" t="s">
        <v>1201</v>
      </c>
      <c r="D131" s="56" t="s">
        <v>1202</v>
      </c>
      <c r="E131" s="57"/>
      <c r="F131" s="57"/>
      <c r="G131" s="57"/>
      <c r="H131" s="58"/>
    </row>
    <row r="132" spans="3:11" ht="20.399999999999999" customHeight="1">
      <c r="C132" s="60">
        <v>1</v>
      </c>
      <c r="D132" s="56" t="s">
        <v>5</v>
      </c>
      <c r="E132" s="61" t="s">
        <v>6</v>
      </c>
      <c r="F132" s="101">
        <v>0.2</v>
      </c>
      <c r="G132" s="63">
        <f>VLOOKUP(D132,upahbahan,3,FALSE)</f>
        <v>100000</v>
      </c>
      <c r="H132" s="64">
        <f>F132*G132</f>
        <v>20000</v>
      </c>
      <c r="I132" s="274"/>
      <c r="J132" s="274"/>
      <c r="K132" s="274"/>
    </row>
    <row r="133" spans="3:11" ht="20.399999999999999" customHeight="1">
      <c r="C133" s="60">
        <v>2</v>
      </c>
      <c r="D133" s="56" t="s">
        <v>7</v>
      </c>
      <c r="E133" s="61" t="s">
        <v>6</v>
      </c>
      <c r="F133" s="101">
        <v>0.1</v>
      </c>
      <c r="G133" s="63">
        <f>VLOOKUP(D133,upahbahan,3,FALSE)</f>
        <v>135000</v>
      </c>
      <c r="H133" s="64">
        <f>F133*G133</f>
        <v>13500</v>
      </c>
      <c r="I133" s="274"/>
      <c r="J133" s="274"/>
      <c r="K133" s="274"/>
    </row>
    <row r="134" spans="3:11" ht="20.399999999999999" customHeight="1">
      <c r="C134" s="60">
        <v>3</v>
      </c>
      <c r="D134" s="56" t="s">
        <v>18</v>
      </c>
      <c r="E134" s="61" t="s">
        <v>6</v>
      </c>
      <c r="F134" s="101">
        <v>0.01</v>
      </c>
      <c r="G134" s="63">
        <f>VLOOKUP(D134,upahbahan,3,FALSE)</f>
        <v>150000</v>
      </c>
      <c r="H134" s="64">
        <f>F134*G134</f>
        <v>1500</v>
      </c>
      <c r="I134" s="274"/>
      <c r="J134" s="274"/>
      <c r="K134" s="274"/>
    </row>
    <row r="135" spans="3:11" ht="20.399999999999999" customHeight="1">
      <c r="C135" s="60">
        <v>4</v>
      </c>
      <c r="D135" s="56" t="s">
        <v>19</v>
      </c>
      <c r="E135" s="61" t="s">
        <v>6</v>
      </c>
      <c r="F135" s="101">
        <v>3.3E-3</v>
      </c>
      <c r="G135" s="63">
        <f>VLOOKUP(D135,upahbahan,3,FALSE)</f>
        <v>160000</v>
      </c>
      <c r="H135" s="64">
        <f>F135*G135</f>
        <v>528</v>
      </c>
      <c r="I135" s="274"/>
      <c r="J135" s="274"/>
      <c r="K135" s="274"/>
    </row>
    <row r="136" spans="3:11" ht="20.399999999999999" customHeight="1">
      <c r="C136" s="66" t="s">
        <v>1331</v>
      </c>
      <c r="D136" s="67"/>
      <c r="E136" s="67"/>
      <c r="F136" s="142"/>
      <c r="G136" s="153"/>
      <c r="H136" s="64">
        <f>SUM(H132:H135)</f>
        <v>35528</v>
      </c>
      <c r="I136" s="274"/>
      <c r="J136" s="274"/>
      <c r="K136" s="274"/>
    </row>
    <row r="137" spans="3:11" ht="20.399999999999999" customHeight="1">
      <c r="C137" s="55" t="s">
        <v>1209</v>
      </c>
      <c r="D137" s="56" t="s">
        <v>1210</v>
      </c>
      <c r="E137" s="57"/>
      <c r="F137" s="143"/>
      <c r="G137" s="143"/>
      <c r="H137" s="472"/>
      <c r="I137" s="274"/>
      <c r="J137" s="274"/>
      <c r="K137" s="274"/>
    </row>
    <row r="138" spans="3:11" ht="20.399999999999999" customHeight="1">
      <c r="C138" s="60">
        <v>1</v>
      </c>
      <c r="D138" s="56" t="s">
        <v>2332</v>
      </c>
      <c r="E138" s="61" t="s">
        <v>65</v>
      </c>
      <c r="F138" s="62">
        <v>3.25</v>
      </c>
      <c r="G138" s="63">
        <f>VLOOKUP(D138,upahbahan,3,FALSE)</f>
        <v>1530</v>
      </c>
      <c r="H138" s="64">
        <f>F138*G138</f>
        <v>4972.5</v>
      </c>
      <c r="I138" s="274"/>
      <c r="J138" s="274"/>
      <c r="K138" s="274"/>
    </row>
    <row r="139" spans="3:11" ht="20.399999999999999" customHeight="1">
      <c r="C139" s="66" t="s">
        <v>1214</v>
      </c>
      <c r="D139" s="67"/>
      <c r="E139" s="67"/>
      <c r="F139" s="67"/>
      <c r="G139" s="69"/>
      <c r="H139" s="64">
        <f>SUM(H138:H138)</f>
        <v>4972.5</v>
      </c>
    </row>
    <row r="140" spans="3:11" ht="20.399999999999999" customHeight="1">
      <c r="C140" s="167" t="s">
        <v>1215</v>
      </c>
      <c r="D140" s="56" t="s">
        <v>1216</v>
      </c>
      <c r="E140" s="57"/>
      <c r="F140" s="57"/>
      <c r="G140" s="57"/>
      <c r="H140" s="58"/>
    </row>
    <row r="141" spans="3:11" ht="20.399999999999999" customHeight="1">
      <c r="C141" s="66" t="s">
        <v>1217</v>
      </c>
      <c r="D141" s="67"/>
      <c r="E141" s="67"/>
      <c r="F141" s="67"/>
      <c r="G141" s="69"/>
      <c r="H141" s="74">
        <v>0</v>
      </c>
    </row>
    <row r="142" spans="3:11" s="79" customFormat="1" ht="20.399999999999999" customHeight="1">
      <c r="C142" s="75" t="s">
        <v>1218</v>
      </c>
      <c r="D142" s="76" t="s">
        <v>1219</v>
      </c>
      <c r="E142" s="77"/>
      <c r="F142" s="77"/>
      <c r="G142" s="78"/>
      <c r="H142" s="64">
        <f>H141+H139+H136</f>
        <v>40500.5</v>
      </c>
      <c r="I142" s="45"/>
    </row>
    <row r="143" spans="3:11" s="79" customFormat="1" ht="20.399999999999999" customHeight="1">
      <c r="C143" s="75" t="s">
        <v>1220</v>
      </c>
      <c r="D143" s="76" t="s">
        <v>1321</v>
      </c>
      <c r="E143" s="77"/>
      <c r="F143" s="78"/>
      <c r="G143" s="80">
        <f>$M$7</f>
        <v>0.1</v>
      </c>
      <c r="H143" s="64">
        <f>H142*G143</f>
        <v>4050.05</v>
      </c>
      <c r="I143" s="45"/>
    </row>
    <row r="144" spans="3:11" s="79" customFormat="1" ht="20.399999999999999" customHeight="1" thickBot="1">
      <c r="C144" s="81" t="s">
        <v>1221</v>
      </c>
      <c r="D144" s="82" t="s">
        <v>1222</v>
      </c>
      <c r="E144" s="83"/>
      <c r="F144" s="83"/>
      <c r="G144" s="84"/>
      <c r="H144" s="85">
        <f>SUM(H142:H143)</f>
        <v>44550.55</v>
      </c>
      <c r="I144" s="45"/>
    </row>
    <row r="145" spans="3:11" ht="14.4" thickTop="1">
      <c r="C145" s="89"/>
      <c r="D145" s="90"/>
      <c r="E145" s="90"/>
      <c r="F145" s="90"/>
      <c r="G145" s="90"/>
      <c r="H145" s="91"/>
    </row>
    <row r="146" spans="3:11" ht="14.4" thickBot="1">
      <c r="C146" s="44" t="s">
        <v>2793</v>
      </c>
      <c r="D146" s="451" t="s">
        <v>1385</v>
      </c>
      <c r="E146" s="151"/>
      <c r="F146" s="151"/>
      <c r="G146" s="151"/>
      <c r="H146" s="151"/>
      <c r="I146" s="50">
        <f>ROUNDDOWN(H162,-2)</f>
        <v>67500</v>
      </c>
    </row>
    <row r="147" spans="3:11" ht="28.2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</row>
    <row r="148" spans="3:11" ht="20.399999999999999" customHeight="1">
      <c r="C148" s="55" t="s">
        <v>1201</v>
      </c>
      <c r="D148" s="56" t="s">
        <v>1202</v>
      </c>
      <c r="E148" s="57"/>
      <c r="F148" s="57"/>
      <c r="G148" s="57"/>
      <c r="H148" s="58"/>
    </row>
    <row r="149" spans="3:11" ht="20.399999999999999" customHeight="1">
      <c r="C149" s="60">
        <v>1</v>
      </c>
      <c r="D149" s="56" t="s">
        <v>5</v>
      </c>
      <c r="E149" s="61" t="s">
        <v>6</v>
      </c>
      <c r="F149" s="101">
        <v>0.25</v>
      </c>
      <c r="G149" s="63">
        <f>VLOOKUP(D149,upahbahan,3,FALSE)</f>
        <v>100000</v>
      </c>
      <c r="H149" s="64">
        <f>F149*G149</f>
        <v>25000</v>
      </c>
    </row>
    <row r="150" spans="3:11" ht="20.399999999999999" customHeight="1">
      <c r="C150" s="60">
        <v>2</v>
      </c>
      <c r="D150" s="56" t="s">
        <v>7</v>
      </c>
      <c r="E150" s="61" t="s">
        <v>6</v>
      </c>
      <c r="F150" s="101">
        <v>0.125</v>
      </c>
      <c r="G150" s="63">
        <f>VLOOKUP(D150,upahbahan,3,FALSE)</f>
        <v>135000</v>
      </c>
      <c r="H150" s="64">
        <f>F150*G150</f>
        <v>16875</v>
      </c>
    </row>
    <row r="151" spans="3:11" ht="20.399999999999999" customHeight="1">
      <c r="C151" s="60">
        <v>3</v>
      </c>
      <c r="D151" s="56" t="s">
        <v>18</v>
      </c>
      <c r="E151" s="61" t="s">
        <v>6</v>
      </c>
      <c r="F151" s="101">
        <v>1.2500000000000001E-2</v>
      </c>
      <c r="G151" s="63">
        <f>VLOOKUP(D151,upahbahan,3,FALSE)</f>
        <v>150000</v>
      </c>
      <c r="H151" s="64">
        <f>F151*G151</f>
        <v>1875</v>
      </c>
    </row>
    <row r="152" spans="3:11" ht="20.399999999999999" customHeight="1">
      <c r="C152" s="60">
        <v>4</v>
      </c>
      <c r="D152" s="56" t="s">
        <v>19</v>
      </c>
      <c r="E152" s="61" t="s">
        <v>6</v>
      </c>
      <c r="F152" s="101">
        <v>4.1999999999999997E-3</v>
      </c>
      <c r="G152" s="63">
        <f>VLOOKUP(D152,upahbahan,3,FALSE)</f>
        <v>160000</v>
      </c>
      <c r="H152" s="64">
        <f>F152*G152</f>
        <v>672</v>
      </c>
    </row>
    <row r="153" spans="3:11" ht="20.399999999999999" customHeight="1">
      <c r="C153" s="66" t="s">
        <v>1331</v>
      </c>
      <c r="D153" s="67"/>
      <c r="E153" s="67"/>
      <c r="F153" s="142"/>
      <c r="G153" s="153"/>
      <c r="H153" s="64">
        <f>SUM(H149:H152)</f>
        <v>44422</v>
      </c>
      <c r="I153" s="274"/>
      <c r="J153" s="274"/>
      <c r="K153" s="274"/>
    </row>
    <row r="154" spans="3:11" ht="20.399999999999999" customHeight="1">
      <c r="C154" s="55" t="s">
        <v>1209</v>
      </c>
      <c r="D154" s="56" t="s">
        <v>1210</v>
      </c>
      <c r="E154" s="57"/>
      <c r="F154" s="57"/>
      <c r="G154" s="57"/>
      <c r="H154" s="58"/>
    </row>
    <row r="155" spans="3:11" ht="20.399999999999999" customHeight="1">
      <c r="C155" s="60">
        <v>1</v>
      </c>
      <c r="D155" s="56" t="s">
        <v>2332</v>
      </c>
      <c r="E155" s="61" t="s">
        <v>65</v>
      </c>
      <c r="F155" s="62">
        <v>6.24</v>
      </c>
      <c r="G155" s="63">
        <f>VLOOKUP(D155,upahbahan,3,FALSE)</f>
        <v>1530</v>
      </c>
      <c r="H155" s="64">
        <f>F155*G155</f>
        <v>9547.2000000000007</v>
      </c>
    </row>
    <row r="156" spans="3:11" ht="20.399999999999999" customHeight="1">
      <c r="C156" s="60">
        <v>2</v>
      </c>
      <c r="D156" s="72" t="s">
        <v>85</v>
      </c>
      <c r="E156" s="61" t="s">
        <v>42</v>
      </c>
      <c r="F156" s="62">
        <v>2.4E-2</v>
      </c>
      <c r="G156" s="63">
        <f>VLOOKUP(D156,upahbahan,3,FALSE)</f>
        <v>310500</v>
      </c>
      <c r="H156" s="64">
        <f>F156*G156</f>
        <v>7452</v>
      </c>
    </row>
    <row r="157" spans="3:11" ht="20.399999999999999" customHeight="1">
      <c r="C157" s="66" t="s">
        <v>1214</v>
      </c>
      <c r="D157" s="67"/>
      <c r="E157" s="67"/>
      <c r="F157" s="67"/>
      <c r="G157" s="69"/>
      <c r="H157" s="64">
        <f>SUM(H155:H156)</f>
        <v>16999.2</v>
      </c>
    </row>
    <row r="158" spans="3:11" ht="20.399999999999999" customHeight="1">
      <c r="C158" s="167" t="s">
        <v>1215</v>
      </c>
      <c r="D158" s="56" t="s">
        <v>1216</v>
      </c>
      <c r="E158" s="57"/>
      <c r="F158" s="57"/>
      <c r="G158" s="57"/>
      <c r="H158" s="58"/>
    </row>
    <row r="159" spans="3:11" ht="20.399999999999999" customHeight="1">
      <c r="C159" s="66" t="s">
        <v>1217</v>
      </c>
      <c r="D159" s="67"/>
      <c r="E159" s="67"/>
      <c r="F159" s="67"/>
      <c r="G159" s="69"/>
      <c r="H159" s="74">
        <v>0</v>
      </c>
    </row>
    <row r="160" spans="3:11" s="79" customFormat="1" ht="20.399999999999999" customHeight="1">
      <c r="C160" s="75" t="s">
        <v>1218</v>
      </c>
      <c r="D160" s="76" t="s">
        <v>1219</v>
      </c>
      <c r="E160" s="77"/>
      <c r="F160" s="77"/>
      <c r="G160" s="78"/>
      <c r="H160" s="64">
        <f>H159+H157+H153</f>
        <v>61421.2</v>
      </c>
      <c r="I160" s="45"/>
    </row>
    <row r="161" spans="3:11" s="79" customFormat="1" ht="20.399999999999999" customHeight="1">
      <c r="C161" s="75" t="s">
        <v>1220</v>
      </c>
      <c r="D161" s="76" t="s">
        <v>1321</v>
      </c>
      <c r="E161" s="77"/>
      <c r="F161" s="78"/>
      <c r="G161" s="80">
        <f>$M$7</f>
        <v>0.1</v>
      </c>
      <c r="H161" s="64">
        <f>H160*G161</f>
        <v>6142.12</v>
      </c>
      <c r="I161" s="45"/>
    </row>
    <row r="162" spans="3:11" s="79" customFormat="1" ht="20.399999999999999" customHeight="1" thickBot="1">
      <c r="C162" s="81" t="s">
        <v>1221</v>
      </c>
      <c r="D162" s="82" t="s">
        <v>1222</v>
      </c>
      <c r="E162" s="83"/>
      <c r="F162" s="83"/>
      <c r="G162" s="84"/>
      <c r="H162" s="85">
        <f>SUM(H160:H161)</f>
        <v>67563.319999999992</v>
      </c>
      <c r="I162" s="45"/>
    </row>
    <row r="163" spans="3:11" ht="14.4" thickTop="1"/>
    <row r="164" spans="3:11" ht="14.4" thickBot="1">
      <c r="C164" s="44" t="s">
        <v>2794</v>
      </c>
      <c r="D164" s="451" t="s">
        <v>1386</v>
      </c>
      <c r="E164" s="151"/>
      <c r="F164" s="151"/>
      <c r="G164" s="151"/>
      <c r="H164" s="151"/>
      <c r="I164" s="50">
        <f>ROUNDDOWN(H180,-2)</f>
        <v>55400</v>
      </c>
    </row>
    <row r="165" spans="3:11" ht="28.2" thickTop="1">
      <c r="C165" s="51" t="s">
        <v>1195</v>
      </c>
      <c r="D165" s="52" t="s">
        <v>1196</v>
      </c>
      <c r="E165" s="52" t="s">
        <v>1197</v>
      </c>
      <c r="F165" s="52" t="s">
        <v>1198</v>
      </c>
      <c r="G165" s="52" t="s">
        <v>1199</v>
      </c>
      <c r="H165" s="53" t="s">
        <v>1200</v>
      </c>
    </row>
    <row r="166" spans="3:11" ht="20.399999999999999" customHeight="1">
      <c r="C166" s="55" t="s">
        <v>1201</v>
      </c>
      <c r="D166" s="56" t="s">
        <v>1202</v>
      </c>
      <c r="E166" s="57"/>
      <c r="F166" s="57"/>
      <c r="G166" s="57"/>
      <c r="H166" s="58"/>
    </row>
    <row r="167" spans="3:11" ht="20.399999999999999" customHeight="1">
      <c r="C167" s="60">
        <v>1</v>
      </c>
      <c r="D167" s="56" t="s">
        <v>5</v>
      </c>
      <c r="E167" s="61" t="s">
        <v>6</v>
      </c>
      <c r="F167" s="101">
        <v>0.17860000000000001</v>
      </c>
      <c r="G167" s="63">
        <f>VLOOKUP(D167,upahbahan,3,FALSE)</f>
        <v>100000</v>
      </c>
      <c r="H167" s="64">
        <f>F167*G167</f>
        <v>17860</v>
      </c>
    </row>
    <row r="168" spans="3:11" ht="20.399999999999999" customHeight="1">
      <c r="C168" s="60">
        <v>2</v>
      </c>
      <c r="D168" s="56" t="s">
        <v>7</v>
      </c>
      <c r="E168" s="61" t="s">
        <v>6</v>
      </c>
      <c r="F168" s="101">
        <v>0.17860000000000001</v>
      </c>
      <c r="G168" s="63">
        <f>VLOOKUP(D168,upahbahan,3,FALSE)</f>
        <v>135000</v>
      </c>
      <c r="H168" s="64">
        <f>F168*G168</f>
        <v>24111</v>
      </c>
    </row>
    <row r="169" spans="3:11" ht="20.399999999999999" customHeight="1">
      <c r="C169" s="60">
        <v>3</v>
      </c>
      <c r="D169" s="56" t="s">
        <v>18</v>
      </c>
      <c r="E169" s="61" t="s">
        <v>6</v>
      </c>
      <c r="F169" s="101">
        <v>1.7899999999999999E-2</v>
      </c>
      <c r="G169" s="63">
        <f>VLOOKUP(D169,upahbahan,3,FALSE)</f>
        <v>150000</v>
      </c>
      <c r="H169" s="64">
        <f>F169*G169</f>
        <v>2685</v>
      </c>
    </row>
    <row r="170" spans="3:11" ht="20.399999999999999" customHeight="1">
      <c r="C170" s="60">
        <v>4</v>
      </c>
      <c r="D170" s="56" t="s">
        <v>19</v>
      </c>
      <c r="E170" s="61" t="s">
        <v>6</v>
      </c>
      <c r="F170" s="101">
        <v>6.0000000000000001E-3</v>
      </c>
      <c r="G170" s="63">
        <f>VLOOKUP(D170,upahbahan,3,FALSE)</f>
        <v>160000</v>
      </c>
      <c r="H170" s="64">
        <f>F170*G170</f>
        <v>960</v>
      </c>
    </row>
    <row r="171" spans="3:11" ht="20.399999999999999" customHeight="1">
      <c r="C171" s="66" t="s">
        <v>1331</v>
      </c>
      <c r="D171" s="67"/>
      <c r="E171" s="67"/>
      <c r="F171" s="142"/>
      <c r="G171" s="153"/>
      <c r="H171" s="64">
        <f>SUM(H167:H170)</f>
        <v>45616</v>
      </c>
      <c r="I171" s="274"/>
      <c r="J171" s="274"/>
      <c r="K171" s="274"/>
    </row>
    <row r="172" spans="3:11" ht="20.399999999999999" customHeight="1">
      <c r="C172" s="55" t="s">
        <v>1209</v>
      </c>
      <c r="D172" s="56" t="s">
        <v>1210</v>
      </c>
      <c r="E172" s="57"/>
      <c r="F172" s="57"/>
      <c r="G172" s="57"/>
      <c r="H172" s="58"/>
    </row>
    <row r="173" spans="3:11" ht="20.399999999999999" customHeight="1">
      <c r="C173" s="60">
        <v>1</v>
      </c>
      <c r="D173" s="56" t="s">
        <v>2332</v>
      </c>
      <c r="E173" s="61" t="s">
        <v>65</v>
      </c>
      <c r="F173" s="62">
        <v>0.5</v>
      </c>
      <c r="G173" s="63">
        <f>VLOOKUP(D173,upahbahan,3,FALSE)</f>
        <v>1530</v>
      </c>
      <c r="H173" s="64">
        <f>F173*G173</f>
        <v>765</v>
      </c>
    </row>
    <row r="174" spans="3:11" ht="20.399999999999999" customHeight="1">
      <c r="C174" s="60">
        <v>2</v>
      </c>
      <c r="D174" s="72" t="s">
        <v>85</v>
      </c>
      <c r="E174" s="61" t="s">
        <v>42</v>
      </c>
      <c r="F174" s="62">
        <v>1.2999999999999999E-2</v>
      </c>
      <c r="G174" s="63">
        <f>VLOOKUP(D174,upahbahan,3,FALSE)</f>
        <v>310500</v>
      </c>
      <c r="H174" s="64">
        <f>F174*G174</f>
        <v>4036.5</v>
      </c>
    </row>
    <row r="175" spans="3:11" ht="20.399999999999999" customHeight="1">
      <c r="C175" s="66" t="s">
        <v>1214</v>
      </c>
      <c r="D175" s="67"/>
      <c r="E175" s="67"/>
      <c r="F175" s="67"/>
      <c r="G175" s="69"/>
      <c r="H175" s="64">
        <f>SUM(H173:H174)</f>
        <v>4801.5</v>
      </c>
    </row>
    <row r="176" spans="3:11" ht="20.399999999999999" customHeight="1">
      <c r="C176" s="167" t="s">
        <v>1215</v>
      </c>
      <c r="D176" s="56" t="s">
        <v>1216</v>
      </c>
      <c r="E176" s="57"/>
      <c r="F176" s="57"/>
      <c r="G176" s="57"/>
      <c r="H176" s="58"/>
    </row>
    <row r="177" spans="3:11" ht="20.399999999999999" customHeight="1">
      <c r="C177" s="66" t="s">
        <v>1217</v>
      </c>
      <c r="D177" s="67"/>
      <c r="E177" s="67"/>
      <c r="F177" s="67"/>
      <c r="G177" s="69"/>
      <c r="H177" s="74">
        <v>0</v>
      </c>
    </row>
    <row r="178" spans="3:11" s="79" customFormat="1" ht="20.399999999999999" customHeight="1">
      <c r="C178" s="75" t="s">
        <v>1218</v>
      </c>
      <c r="D178" s="76" t="s">
        <v>1219</v>
      </c>
      <c r="E178" s="77"/>
      <c r="F178" s="77"/>
      <c r="G178" s="78"/>
      <c r="H178" s="64">
        <f>H177+H175+H171</f>
        <v>50417.5</v>
      </c>
      <c r="I178" s="45"/>
    </row>
    <row r="179" spans="3:11" s="79" customFormat="1" ht="20.399999999999999" customHeight="1">
      <c r="C179" s="75" t="s">
        <v>1220</v>
      </c>
      <c r="D179" s="76" t="s">
        <v>1321</v>
      </c>
      <c r="E179" s="77"/>
      <c r="F179" s="78"/>
      <c r="G179" s="80">
        <f>$M$7</f>
        <v>0.1</v>
      </c>
      <c r="H179" s="64">
        <f>H178*G179</f>
        <v>5041.75</v>
      </c>
      <c r="I179" s="45"/>
    </row>
    <row r="180" spans="3:11" s="79" customFormat="1" ht="20.399999999999999" customHeight="1" thickBot="1">
      <c r="C180" s="81" t="s">
        <v>1221</v>
      </c>
      <c r="D180" s="82" t="s">
        <v>1222</v>
      </c>
      <c r="E180" s="83"/>
      <c r="F180" s="83"/>
      <c r="G180" s="84"/>
      <c r="H180" s="85">
        <f>SUM(H178:H179)</f>
        <v>55459.25</v>
      </c>
      <c r="I180" s="45"/>
    </row>
    <row r="181" spans="3:11" ht="20.399999999999999" customHeight="1" thickTop="1">
      <c r="C181" s="89"/>
      <c r="D181" s="90"/>
      <c r="E181" s="90"/>
      <c r="F181" s="90"/>
      <c r="G181" s="90"/>
      <c r="H181" s="91"/>
    </row>
    <row r="182" spans="3:11" ht="14.4" thickBot="1">
      <c r="C182" s="44" t="s">
        <v>2795</v>
      </c>
      <c r="D182" s="451" t="s">
        <v>1387</v>
      </c>
      <c r="E182" s="275"/>
      <c r="F182" s="275"/>
      <c r="G182" s="275"/>
      <c r="H182" s="275"/>
      <c r="I182" s="50">
        <f>ROUNDDOWN(H198,-2)</f>
        <v>55800</v>
      </c>
    </row>
    <row r="183" spans="3:11" ht="28.2" thickTop="1">
      <c r="C183" s="51" t="s">
        <v>1195</v>
      </c>
      <c r="D183" s="52" t="s">
        <v>1196</v>
      </c>
      <c r="E183" s="52" t="s">
        <v>1197</v>
      </c>
      <c r="F183" s="52" t="s">
        <v>1198</v>
      </c>
      <c r="G183" s="52" t="s">
        <v>1199</v>
      </c>
      <c r="H183" s="53" t="s">
        <v>1200</v>
      </c>
    </row>
    <row r="184" spans="3:11" ht="20.399999999999999" customHeight="1">
      <c r="C184" s="55" t="s">
        <v>1201</v>
      </c>
      <c r="D184" s="56" t="s">
        <v>1202</v>
      </c>
      <c r="E184" s="57"/>
      <c r="F184" s="57"/>
      <c r="G184" s="57"/>
      <c r="H184" s="58"/>
    </row>
    <row r="185" spans="3:11" ht="20.399999999999999" customHeight="1">
      <c r="C185" s="60">
        <v>1</v>
      </c>
      <c r="D185" s="56" t="s">
        <v>5</v>
      </c>
      <c r="E185" s="61" t="s">
        <v>6</v>
      </c>
      <c r="F185" s="101">
        <v>0.2</v>
      </c>
      <c r="G185" s="63">
        <f>VLOOKUP(D185,upahbahan,3,FALSE)</f>
        <v>100000</v>
      </c>
      <c r="H185" s="64">
        <f>F185*G185</f>
        <v>20000</v>
      </c>
    </row>
    <row r="186" spans="3:11" ht="20.399999999999999" customHeight="1">
      <c r="C186" s="60">
        <v>2</v>
      </c>
      <c r="D186" s="56" t="s">
        <v>7</v>
      </c>
      <c r="E186" s="61" t="s">
        <v>6</v>
      </c>
      <c r="F186" s="101">
        <v>0.1</v>
      </c>
      <c r="G186" s="63">
        <f>VLOOKUP(D186,upahbahan,3,FALSE)</f>
        <v>135000</v>
      </c>
      <c r="H186" s="64">
        <f>F186*G186</f>
        <v>13500</v>
      </c>
    </row>
    <row r="187" spans="3:11" ht="20.399999999999999" customHeight="1">
      <c r="C187" s="60">
        <v>3</v>
      </c>
      <c r="D187" s="56" t="s">
        <v>18</v>
      </c>
      <c r="E187" s="61" t="s">
        <v>6</v>
      </c>
      <c r="F187" s="101">
        <v>0.01</v>
      </c>
      <c r="G187" s="63">
        <f>VLOOKUP(D187,upahbahan,3,FALSE)</f>
        <v>150000</v>
      </c>
      <c r="H187" s="64">
        <f>F187*G187</f>
        <v>1500</v>
      </c>
    </row>
    <row r="188" spans="3:11" ht="20.399999999999999" customHeight="1">
      <c r="C188" s="60">
        <v>4</v>
      </c>
      <c r="D188" s="56" t="s">
        <v>19</v>
      </c>
      <c r="E188" s="61" t="s">
        <v>6</v>
      </c>
      <c r="F188" s="101">
        <v>3.0000000000000001E-3</v>
      </c>
      <c r="G188" s="63">
        <f>VLOOKUP(D188,upahbahan,3,FALSE)</f>
        <v>160000</v>
      </c>
      <c r="H188" s="64">
        <f>F188*G188</f>
        <v>480</v>
      </c>
    </row>
    <row r="189" spans="3:11" ht="20.399999999999999" customHeight="1">
      <c r="C189" s="66" t="s">
        <v>1331</v>
      </c>
      <c r="D189" s="67"/>
      <c r="E189" s="67"/>
      <c r="F189" s="142"/>
      <c r="G189" s="153"/>
      <c r="H189" s="64">
        <f>SUM(H185:H188)</f>
        <v>35480</v>
      </c>
      <c r="I189" s="274"/>
      <c r="J189" s="274"/>
      <c r="K189" s="274"/>
    </row>
    <row r="190" spans="3:11" ht="20.399999999999999" customHeight="1">
      <c r="C190" s="55" t="s">
        <v>1209</v>
      </c>
      <c r="D190" s="56" t="s">
        <v>1210</v>
      </c>
      <c r="E190" s="57"/>
      <c r="F190" s="57"/>
      <c r="G190" s="57"/>
      <c r="H190" s="58"/>
    </row>
    <row r="191" spans="3:11" ht="20.399999999999999" customHeight="1">
      <c r="C191" s="60">
        <v>1</v>
      </c>
      <c r="D191" s="56" t="s">
        <v>2332</v>
      </c>
      <c r="E191" s="61" t="s">
        <v>65</v>
      </c>
      <c r="F191" s="62">
        <v>10</v>
      </c>
      <c r="G191" s="63">
        <f>VLOOKUP(D191,upahbahan,3,FALSE)</f>
        <v>1530</v>
      </c>
      <c r="H191" s="64">
        <f>F191*G191</f>
        <v>15300</v>
      </c>
    </row>
    <row r="192" spans="3:11" ht="20.399999999999999" customHeight="1">
      <c r="C192" s="60">
        <v>2</v>
      </c>
      <c r="D192" s="72" t="s">
        <v>90</v>
      </c>
      <c r="E192" s="61" t="s">
        <v>65</v>
      </c>
      <c r="F192" s="62">
        <v>15</v>
      </c>
      <c r="G192" s="63">
        <f>VLOOKUP(D192,upahbahan,3,FALSE)</f>
        <v>0</v>
      </c>
      <c r="H192" s="64">
        <f>F192*G192</f>
        <v>0</v>
      </c>
    </row>
    <row r="193" spans="3:11" ht="20.399999999999999" customHeight="1">
      <c r="C193" s="66" t="s">
        <v>1214</v>
      </c>
      <c r="D193" s="67"/>
      <c r="E193" s="67"/>
      <c r="F193" s="67"/>
      <c r="G193" s="69"/>
      <c r="H193" s="64">
        <f>SUM(H191:H192)</f>
        <v>15300</v>
      </c>
    </row>
    <row r="194" spans="3:11" ht="20.399999999999999" customHeight="1">
      <c r="C194" s="167" t="s">
        <v>1215</v>
      </c>
      <c r="D194" s="56" t="s">
        <v>1216</v>
      </c>
      <c r="E194" s="57"/>
      <c r="F194" s="57"/>
      <c r="G194" s="57"/>
      <c r="H194" s="58"/>
    </row>
    <row r="195" spans="3:11" ht="20.399999999999999" customHeight="1">
      <c r="C195" s="66" t="s">
        <v>1217</v>
      </c>
      <c r="D195" s="67"/>
      <c r="E195" s="67"/>
      <c r="F195" s="67"/>
      <c r="G195" s="69"/>
      <c r="H195" s="74">
        <v>0</v>
      </c>
    </row>
    <row r="196" spans="3:11" s="79" customFormat="1" ht="20.399999999999999" customHeight="1">
      <c r="C196" s="75" t="s">
        <v>1218</v>
      </c>
      <c r="D196" s="76" t="s">
        <v>1219</v>
      </c>
      <c r="E196" s="77"/>
      <c r="F196" s="77"/>
      <c r="G196" s="78"/>
      <c r="H196" s="64">
        <f>H195+H193+H189</f>
        <v>50780</v>
      </c>
      <c r="I196" s="45"/>
    </row>
    <row r="197" spans="3:11" s="79" customFormat="1" ht="20.399999999999999" customHeight="1">
      <c r="C197" s="75" t="s">
        <v>1220</v>
      </c>
      <c r="D197" s="76" t="s">
        <v>1321</v>
      </c>
      <c r="E197" s="77"/>
      <c r="F197" s="78"/>
      <c r="G197" s="80">
        <f>$M$7</f>
        <v>0.1</v>
      </c>
      <c r="H197" s="64">
        <f>H196*G197</f>
        <v>5078</v>
      </c>
      <c r="I197" s="45"/>
    </row>
    <row r="198" spans="3:11" s="79" customFormat="1" ht="20.399999999999999" customHeight="1" thickBot="1">
      <c r="C198" s="81" t="s">
        <v>1221</v>
      </c>
      <c r="D198" s="82" t="s">
        <v>1222</v>
      </c>
      <c r="E198" s="83"/>
      <c r="F198" s="83"/>
      <c r="G198" s="84"/>
      <c r="H198" s="85">
        <f>SUM(H196:H197)</f>
        <v>55858</v>
      </c>
      <c r="I198" s="45"/>
    </row>
    <row r="199" spans="3:11" ht="14.4" thickTop="1">
      <c r="C199" s="89"/>
      <c r="D199" s="90"/>
      <c r="E199" s="90"/>
      <c r="F199" s="90"/>
      <c r="G199" s="90"/>
      <c r="H199" s="91"/>
    </row>
    <row r="200" spans="3:11" ht="14.4" thickBot="1">
      <c r="C200" s="44" t="s">
        <v>2796</v>
      </c>
      <c r="D200" s="451" t="s">
        <v>1388</v>
      </c>
      <c r="E200" s="275"/>
      <c r="F200" s="275"/>
      <c r="G200" s="275"/>
      <c r="H200" s="275"/>
      <c r="I200" s="50">
        <f>ROUNDDOWN(H216,-2)</f>
        <v>55800</v>
      </c>
    </row>
    <row r="201" spans="3:11" ht="28.2" thickTop="1">
      <c r="C201" s="51" t="s">
        <v>1195</v>
      </c>
      <c r="D201" s="52" t="s">
        <v>1196</v>
      </c>
      <c r="E201" s="52" t="s">
        <v>1197</v>
      </c>
      <c r="F201" s="52" t="s">
        <v>1198</v>
      </c>
      <c r="G201" s="52" t="s">
        <v>1199</v>
      </c>
      <c r="H201" s="53" t="s">
        <v>1200</v>
      </c>
    </row>
    <row r="202" spans="3:11" ht="20.399999999999999" customHeight="1">
      <c r="C202" s="55" t="s">
        <v>1201</v>
      </c>
      <c r="D202" s="56" t="s">
        <v>1202</v>
      </c>
      <c r="E202" s="57"/>
      <c r="F202" s="57"/>
      <c r="G202" s="57"/>
      <c r="H202" s="58"/>
    </row>
    <row r="203" spans="3:11" ht="20.399999999999999" customHeight="1">
      <c r="C203" s="60">
        <v>1</v>
      </c>
      <c r="D203" s="56" t="s">
        <v>5</v>
      </c>
      <c r="E203" s="61" t="s">
        <v>6</v>
      </c>
      <c r="F203" s="101">
        <v>0.2</v>
      </c>
      <c r="G203" s="63">
        <f>VLOOKUP(D203,upahbahan,3,FALSE)</f>
        <v>100000</v>
      </c>
      <c r="H203" s="64">
        <f>F203*G203</f>
        <v>20000</v>
      </c>
    </row>
    <row r="204" spans="3:11" ht="20.399999999999999" customHeight="1">
      <c r="C204" s="60">
        <v>2</v>
      </c>
      <c r="D204" s="56" t="s">
        <v>7</v>
      </c>
      <c r="E204" s="61" t="s">
        <v>6</v>
      </c>
      <c r="F204" s="101">
        <v>0.1</v>
      </c>
      <c r="G204" s="63">
        <f>VLOOKUP(D204,upahbahan,3,FALSE)</f>
        <v>135000</v>
      </c>
      <c r="H204" s="64">
        <f>F204*G204</f>
        <v>13500</v>
      </c>
    </row>
    <row r="205" spans="3:11" ht="20.399999999999999" customHeight="1">
      <c r="C205" s="60">
        <v>3</v>
      </c>
      <c r="D205" s="56" t="s">
        <v>18</v>
      </c>
      <c r="E205" s="61" t="s">
        <v>6</v>
      </c>
      <c r="F205" s="101">
        <v>0.01</v>
      </c>
      <c r="G205" s="63">
        <f>VLOOKUP(D205,upahbahan,3,FALSE)</f>
        <v>150000</v>
      </c>
      <c r="H205" s="64">
        <f>F205*G205</f>
        <v>1500</v>
      </c>
    </row>
    <row r="206" spans="3:11" ht="20.399999999999999" customHeight="1">
      <c r="C206" s="60">
        <v>4</v>
      </c>
      <c r="D206" s="56" t="s">
        <v>19</v>
      </c>
      <c r="E206" s="61" t="s">
        <v>6</v>
      </c>
      <c r="F206" s="101">
        <v>3.0000000000000001E-3</v>
      </c>
      <c r="G206" s="63">
        <f>VLOOKUP(D206,upahbahan,3,FALSE)</f>
        <v>160000</v>
      </c>
      <c r="H206" s="64">
        <f>F206*G206</f>
        <v>480</v>
      </c>
    </row>
    <row r="207" spans="3:11" ht="20.399999999999999" customHeight="1">
      <c r="C207" s="66" t="s">
        <v>1331</v>
      </c>
      <c r="D207" s="67"/>
      <c r="E207" s="67"/>
      <c r="F207" s="142"/>
      <c r="G207" s="153"/>
      <c r="H207" s="64">
        <f>SUM(H203:H206)</f>
        <v>35480</v>
      </c>
      <c r="I207" s="274"/>
      <c r="J207" s="274"/>
      <c r="K207" s="274"/>
    </row>
    <row r="208" spans="3:11" ht="20.399999999999999" customHeight="1">
      <c r="C208" s="55" t="s">
        <v>1209</v>
      </c>
      <c r="D208" s="56" t="s">
        <v>1210</v>
      </c>
      <c r="E208" s="57"/>
      <c r="F208" s="57"/>
      <c r="G208" s="57"/>
      <c r="H208" s="58"/>
    </row>
    <row r="209" spans="3:11" ht="20.399999999999999" customHeight="1">
      <c r="C209" s="60">
        <v>1</v>
      </c>
      <c r="D209" s="56" t="s">
        <v>2332</v>
      </c>
      <c r="E209" s="61" t="s">
        <v>65</v>
      </c>
      <c r="F209" s="62">
        <v>10</v>
      </c>
      <c r="G209" s="63">
        <f>VLOOKUP(D209,upahbahan,3,FALSE)</f>
        <v>1530</v>
      </c>
      <c r="H209" s="64">
        <f>F209*G209</f>
        <v>15300</v>
      </c>
    </row>
    <row r="210" spans="3:11" ht="20.399999999999999" customHeight="1">
      <c r="C210" s="60">
        <v>2</v>
      </c>
      <c r="D210" s="72" t="s">
        <v>91</v>
      </c>
      <c r="E210" s="61" t="s">
        <v>65</v>
      </c>
      <c r="F210" s="62">
        <v>15</v>
      </c>
      <c r="G210" s="63">
        <f>VLOOKUP(D210,upahbahan,3,FALSE)</f>
        <v>0</v>
      </c>
      <c r="H210" s="64">
        <f>F210*G210</f>
        <v>0</v>
      </c>
    </row>
    <row r="211" spans="3:11" ht="20.399999999999999" customHeight="1">
      <c r="C211" s="66" t="s">
        <v>1214</v>
      </c>
      <c r="D211" s="67"/>
      <c r="E211" s="67"/>
      <c r="F211" s="67"/>
      <c r="G211" s="69"/>
      <c r="H211" s="64">
        <f>SUM(H209:H210)</f>
        <v>15300</v>
      </c>
    </row>
    <row r="212" spans="3:11" ht="20.399999999999999" customHeight="1">
      <c r="C212" s="167" t="s">
        <v>1215</v>
      </c>
      <c r="D212" s="56" t="s">
        <v>1216</v>
      </c>
      <c r="E212" s="57"/>
      <c r="F212" s="57"/>
      <c r="G212" s="57"/>
      <c r="H212" s="58"/>
    </row>
    <row r="213" spans="3:11" ht="20.399999999999999" customHeight="1">
      <c r="C213" s="66" t="s">
        <v>1217</v>
      </c>
      <c r="D213" s="67"/>
      <c r="E213" s="67"/>
      <c r="F213" s="67"/>
      <c r="G213" s="69"/>
      <c r="H213" s="74">
        <v>0</v>
      </c>
    </row>
    <row r="214" spans="3:11" s="79" customFormat="1" ht="20.399999999999999" customHeight="1">
      <c r="C214" s="75" t="s">
        <v>1218</v>
      </c>
      <c r="D214" s="76" t="s">
        <v>1219</v>
      </c>
      <c r="E214" s="77"/>
      <c r="F214" s="77"/>
      <c r="G214" s="78"/>
      <c r="H214" s="64">
        <f>H213+H211+H207</f>
        <v>50780</v>
      </c>
      <c r="I214" s="45"/>
    </row>
    <row r="215" spans="3:11" s="79" customFormat="1" ht="20.399999999999999" customHeight="1">
      <c r="C215" s="75" t="s">
        <v>1220</v>
      </c>
      <c r="D215" s="76" t="s">
        <v>1321</v>
      </c>
      <c r="E215" s="77"/>
      <c r="F215" s="78"/>
      <c r="G215" s="80">
        <f>$M$7</f>
        <v>0.1</v>
      </c>
      <c r="H215" s="64">
        <f>H214*G215</f>
        <v>5078</v>
      </c>
      <c r="I215" s="45"/>
    </row>
    <row r="216" spans="3:11" s="79" customFormat="1" ht="20.399999999999999" customHeight="1" thickBot="1">
      <c r="C216" s="81" t="s">
        <v>1221</v>
      </c>
      <c r="D216" s="82" t="s">
        <v>1222</v>
      </c>
      <c r="E216" s="83"/>
      <c r="F216" s="83"/>
      <c r="G216" s="84"/>
      <c r="H216" s="85">
        <f>SUM(H214:H215)</f>
        <v>55858</v>
      </c>
      <c r="I216" s="45"/>
    </row>
    <row r="217" spans="3:11" ht="14.4" thickTop="1">
      <c r="C217" s="89"/>
      <c r="D217" s="90"/>
      <c r="E217" s="90"/>
      <c r="F217" s="90"/>
      <c r="G217" s="90"/>
      <c r="H217" s="91"/>
    </row>
    <row r="218" spans="3:11" ht="14.4" thickBot="1">
      <c r="C218" s="44" t="s">
        <v>2797</v>
      </c>
      <c r="D218" s="451" t="s">
        <v>1389</v>
      </c>
      <c r="E218" s="275"/>
      <c r="F218" s="275"/>
      <c r="G218" s="275"/>
      <c r="H218" s="275"/>
      <c r="I218" s="50">
        <f>ROUNDDOWN(H234,-2)</f>
        <v>33300</v>
      </c>
      <c r="J218" s="45" t="s">
        <v>6451</v>
      </c>
      <c r="K218" s="45" t="s">
        <v>6528</v>
      </c>
    </row>
    <row r="219" spans="3:11" ht="28.2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</row>
    <row r="220" spans="3:11" ht="20.399999999999999" customHeight="1">
      <c r="C220" s="55" t="s">
        <v>1201</v>
      </c>
      <c r="D220" s="56" t="s">
        <v>1202</v>
      </c>
      <c r="E220" s="57"/>
      <c r="F220" s="57"/>
      <c r="G220" s="57"/>
      <c r="H220" s="58"/>
    </row>
    <row r="221" spans="3:11" ht="20.399999999999999" customHeight="1">
      <c r="C221" s="60">
        <v>1</v>
      </c>
      <c r="D221" s="56" t="s">
        <v>5</v>
      </c>
      <c r="E221" s="61" t="s">
        <v>6</v>
      </c>
      <c r="F221" s="62">
        <v>0.13300000000000001</v>
      </c>
      <c r="G221" s="63">
        <f>VLOOKUP(D221,upahbahan,3,FALSE)</f>
        <v>100000</v>
      </c>
      <c r="H221" s="64">
        <f>F221*G221</f>
        <v>13300</v>
      </c>
    </row>
    <row r="222" spans="3:11" ht="20.399999999999999" customHeight="1">
      <c r="C222" s="60">
        <v>2</v>
      </c>
      <c r="D222" s="56" t="s">
        <v>7</v>
      </c>
      <c r="E222" s="61" t="s">
        <v>6</v>
      </c>
      <c r="F222" s="62">
        <v>6.7000000000000004E-2</v>
      </c>
      <c r="G222" s="63">
        <f>VLOOKUP(D222,upahbahan,3,FALSE)</f>
        <v>135000</v>
      </c>
      <c r="H222" s="64">
        <f>F222*G222</f>
        <v>9045</v>
      </c>
    </row>
    <row r="223" spans="3:11" ht="20.399999999999999" customHeight="1">
      <c r="C223" s="60">
        <v>3</v>
      </c>
      <c r="D223" s="56" t="s">
        <v>18</v>
      </c>
      <c r="E223" s="61" t="s">
        <v>6</v>
      </c>
      <c r="F223" s="62">
        <v>7.0000000000000001E-3</v>
      </c>
      <c r="G223" s="63">
        <f>VLOOKUP(D223,upahbahan,3,FALSE)</f>
        <v>150000</v>
      </c>
      <c r="H223" s="64">
        <f>F223*G223</f>
        <v>1050</v>
      </c>
    </row>
    <row r="224" spans="3:11" ht="20.399999999999999" customHeight="1">
      <c r="C224" s="60">
        <v>4</v>
      </c>
      <c r="D224" s="56" t="s">
        <v>19</v>
      </c>
      <c r="E224" s="61" t="s">
        <v>6</v>
      </c>
      <c r="F224" s="62">
        <v>2E-3</v>
      </c>
      <c r="G224" s="63">
        <f>VLOOKUP(D224,upahbahan,3,FALSE)</f>
        <v>160000</v>
      </c>
      <c r="H224" s="64">
        <f>F224*G224</f>
        <v>320</v>
      </c>
    </row>
    <row r="225" spans="3:11" ht="20.399999999999999" customHeight="1">
      <c r="C225" s="66" t="s">
        <v>1331</v>
      </c>
      <c r="D225" s="67"/>
      <c r="E225" s="67"/>
      <c r="F225" s="142"/>
      <c r="G225" s="153"/>
      <c r="H225" s="64">
        <f>SUM(H221:H224)</f>
        <v>23715</v>
      </c>
      <c r="I225" s="274"/>
      <c r="J225" s="274"/>
      <c r="K225" s="274"/>
    </row>
    <row r="226" spans="3:11" ht="20.399999999999999" customHeight="1">
      <c r="C226" s="55" t="s">
        <v>1209</v>
      </c>
      <c r="D226" s="56" t="s">
        <v>1210</v>
      </c>
      <c r="E226" s="57"/>
      <c r="F226" s="57"/>
      <c r="G226" s="57"/>
      <c r="H226" s="58"/>
    </row>
    <row r="227" spans="3:11" ht="20.399999999999999" customHeight="1">
      <c r="C227" s="60">
        <v>1</v>
      </c>
      <c r="D227" s="56" t="s">
        <v>2332</v>
      </c>
      <c r="E227" s="61" t="s">
        <v>65</v>
      </c>
      <c r="F227" s="62">
        <v>4.32</v>
      </c>
      <c r="G227" s="63">
        <f>VLOOKUP(D227,upahbahan,3,FALSE)</f>
        <v>1530</v>
      </c>
      <c r="H227" s="64">
        <f>F227*G227</f>
        <v>6609.6</v>
      </c>
    </row>
    <row r="228" spans="3:11" ht="20.399999999999999" customHeight="1">
      <c r="C228" s="60">
        <v>2</v>
      </c>
      <c r="D228" s="72" t="s">
        <v>1840</v>
      </c>
      <c r="E228" s="61" t="s">
        <v>42</v>
      </c>
      <c r="F228" s="62">
        <v>6.0000000000000001E-3</v>
      </c>
      <c r="G228" s="63">
        <f>VLOOKUP(D228,upahbahan,3,FALSE)</f>
        <v>0</v>
      </c>
      <c r="H228" s="64">
        <f>F228*G228</f>
        <v>0</v>
      </c>
    </row>
    <row r="229" spans="3:11" ht="20.399999999999999" customHeight="1">
      <c r="C229" s="66" t="s">
        <v>1214</v>
      </c>
      <c r="D229" s="67"/>
      <c r="E229" s="67"/>
      <c r="F229" s="67"/>
      <c r="G229" s="69"/>
      <c r="H229" s="64">
        <f>SUM(H227:H228)</f>
        <v>6609.6</v>
      </c>
    </row>
    <row r="230" spans="3:11" ht="20.399999999999999" customHeight="1">
      <c r="C230" s="167" t="s">
        <v>1215</v>
      </c>
      <c r="D230" s="56" t="s">
        <v>1216</v>
      </c>
      <c r="E230" s="57"/>
      <c r="F230" s="57"/>
      <c r="G230" s="57"/>
      <c r="H230" s="58"/>
    </row>
    <row r="231" spans="3:11" ht="20.399999999999999" customHeight="1">
      <c r="C231" s="66" t="s">
        <v>1217</v>
      </c>
      <c r="D231" s="67"/>
      <c r="E231" s="67"/>
      <c r="F231" s="67"/>
      <c r="G231" s="69"/>
      <c r="H231" s="74">
        <v>0</v>
      </c>
    </row>
    <row r="232" spans="3:11" s="79" customFormat="1" ht="20.399999999999999" customHeight="1">
      <c r="C232" s="75" t="s">
        <v>1218</v>
      </c>
      <c r="D232" s="76" t="s">
        <v>1219</v>
      </c>
      <c r="E232" s="77"/>
      <c r="F232" s="77"/>
      <c r="G232" s="78"/>
      <c r="H232" s="64">
        <f>H231+H229+H225</f>
        <v>30324.6</v>
      </c>
      <c r="I232" s="45"/>
    </row>
    <row r="233" spans="3:11" s="79" customFormat="1" ht="20.399999999999999" customHeight="1">
      <c r="C233" s="75" t="s">
        <v>1220</v>
      </c>
      <c r="D233" s="76" t="s">
        <v>1321</v>
      </c>
      <c r="E233" s="77"/>
      <c r="F233" s="78"/>
      <c r="G233" s="80">
        <f>$M$7</f>
        <v>0.1</v>
      </c>
      <c r="H233" s="64">
        <f>H232*G233</f>
        <v>3032.46</v>
      </c>
      <c r="I233" s="45"/>
    </row>
    <row r="234" spans="3:11" s="79" customFormat="1" ht="20.399999999999999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33357.06</v>
      </c>
      <c r="I234" s="45"/>
    </row>
    <row r="235" spans="3:11" ht="14.4" thickTop="1"/>
    <row r="236" spans="3:11" ht="14.4" thickBot="1">
      <c r="C236" s="44" t="s">
        <v>2798</v>
      </c>
      <c r="D236" s="451" t="s">
        <v>1390</v>
      </c>
      <c r="E236" s="151"/>
      <c r="F236" s="151"/>
      <c r="G236" s="151"/>
      <c r="H236" s="151"/>
      <c r="I236" s="50">
        <f>ROUNDDOWN(H251,-2)</f>
        <v>35200</v>
      </c>
    </row>
    <row r="237" spans="3:11" ht="28.2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20.399999999999999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20.399999999999999" customHeight="1">
      <c r="C239" s="60">
        <v>1</v>
      </c>
      <c r="D239" s="56" t="s">
        <v>5</v>
      </c>
      <c r="E239" s="61" t="s">
        <v>6</v>
      </c>
      <c r="F239" s="98">
        <v>6.7000000000000004E-2</v>
      </c>
      <c r="G239" s="63">
        <f>VLOOKUP(D239,upahbahan,3,FALSE)</f>
        <v>100000</v>
      </c>
      <c r="H239" s="64">
        <f>F239*G239</f>
        <v>6700</v>
      </c>
    </row>
    <row r="240" spans="3:11" ht="20.399999999999999" customHeight="1">
      <c r="C240" s="60">
        <v>2</v>
      </c>
      <c r="D240" s="56" t="s">
        <v>7</v>
      </c>
      <c r="E240" s="61" t="s">
        <v>6</v>
      </c>
      <c r="F240" s="98">
        <v>0.13300000000000001</v>
      </c>
      <c r="G240" s="63">
        <f>VLOOKUP(D240,upahbahan,3,FALSE)</f>
        <v>135000</v>
      </c>
      <c r="H240" s="64">
        <f>F240*G240</f>
        <v>17955</v>
      </c>
    </row>
    <row r="241" spans="3:11" ht="20.399999999999999" customHeight="1">
      <c r="C241" s="60">
        <v>3</v>
      </c>
      <c r="D241" s="56" t="s">
        <v>18</v>
      </c>
      <c r="E241" s="61" t="s">
        <v>6</v>
      </c>
      <c r="F241" s="98">
        <v>1.2999999999999999E-2</v>
      </c>
      <c r="G241" s="63">
        <f>VLOOKUP(D241,upahbahan,3,FALSE)</f>
        <v>150000</v>
      </c>
      <c r="H241" s="64">
        <f>F241*G241</f>
        <v>1950</v>
      </c>
    </row>
    <row r="242" spans="3:11" ht="20.399999999999999" customHeight="1">
      <c r="C242" s="60">
        <v>4</v>
      </c>
      <c r="D242" s="56" t="s">
        <v>19</v>
      </c>
      <c r="E242" s="61" t="s">
        <v>6</v>
      </c>
      <c r="F242" s="98">
        <v>4.0000000000000001E-3</v>
      </c>
      <c r="G242" s="63">
        <f>VLOOKUP(D242,upahbahan,3,FALSE)</f>
        <v>160000</v>
      </c>
      <c r="H242" s="64">
        <f>F242*G242</f>
        <v>640</v>
      </c>
    </row>
    <row r="243" spans="3:11" ht="20.399999999999999" customHeight="1">
      <c r="C243" s="66" t="s">
        <v>1331</v>
      </c>
      <c r="D243" s="67"/>
      <c r="E243" s="67"/>
      <c r="F243" s="142"/>
      <c r="G243" s="153"/>
      <c r="H243" s="64">
        <f>SUM(H239:H242)</f>
        <v>27245</v>
      </c>
      <c r="I243" s="274"/>
      <c r="J243" s="274"/>
      <c r="K243" s="274"/>
    </row>
    <row r="244" spans="3:11" ht="20.399999999999999" customHeight="1">
      <c r="C244" s="55" t="s">
        <v>1209</v>
      </c>
      <c r="D244" s="56" t="s">
        <v>1210</v>
      </c>
      <c r="E244" s="57"/>
      <c r="F244" s="57"/>
      <c r="G244" s="57"/>
      <c r="H244" s="58"/>
    </row>
    <row r="245" spans="3:11" ht="20.399999999999999" customHeight="1">
      <c r="C245" s="60">
        <v>1</v>
      </c>
      <c r="D245" s="56" t="s">
        <v>2332</v>
      </c>
      <c r="E245" s="61" t="s">
        <v>65</v>
      </c>
      <c r="F245" s="98">
        <v>3.1080000000000001</v>
      </c>
      <c r="G245" s="63">
        <f>VLOOKUP(D245,upahbahan,3,FALSE)</f>
        <v>1530</v>
      </c>
      <c r="H245" s="64">
        <f>F245*G245</f>
        <v>4755.24</v>
      </c>
    </row>
    <row r="246" spans="3:11" ht="20.399999999999999" customHeight="1">
      <c r="C246" s="66" t="s">
        <v>1214</v>
      </c>
      <c r="D246" s="67"/>
      <c r="E246" s="67"/>
      <c r="F246" s="67"/>
      <c r="G246" s="69"/>
      <c r="H246" s="64">
        <f>SUM(H244:H245)</f>
        <v>4755.24</v>
      </c>
    </row>
    <row r="247" spans="3:11" ht="20.399999999999999" customHeight="1">
      <c r="C247" s="167" t="s">
        <v>1215</v>
      </c>
      <c r="D247" s="56" t="s">
        <v>1216</v>
      </c>
      <c r="E247" s="57"/>
      <c r="F247" s="57"/>
      <c r="G247" s="57"/>
      <c r="H247" s="58"/>
    </row>
    <row r="248" spans="3:11" ht="20.399999999999999" customHeight="1">
      <c r="C248" s="66" t="s">
        <v>1217</v>
      </c>
      <c r="D248" s="67"/>
      <c r="E248" s="67"/>
      <c r="F248" s="67"/>
      <c r="G248" s="69"/>
      <c r="H248" s="74">
        <v>0</v>
      </c>
    </row>
    <row r="249" spans="3:11" s="79" customFormat="1" ht="20.399999999999999" customHeight="1">
      <c r="C249" s="75" t="s">
        <v>1218</v>
      </c>
      <c r="D249" s="76" t="s">
        <v>1219</v>
      </c>
      <c r="E249" s="77"/>
      <c r="F249" s="77"/>
      <c r="G249" s="78"/>
      <c r="H249" s="64">
        <f>H248+H246+H243</f>
        <v>32000.239999999998</v>
      </c>
      <c r="I249" s="45"/>
    </row>
    <row r="250" spans="3:11" s="79" customFormat="1" ht="20.399999999999999" customHeight="1">
      <c r="C250" s="75" t="s">
        <v>1220</v>
      </c>
      <c r="D250" s="76" t="s">
        <v>1321</v>
      </c>
      <c r="E250" s="77"/>
      <c r="F250" s="78"/>
      <c r="G250" s="80">
        <f>$M$7</f>
        <v>0.1</v>
      </c>
      <c r="H250" s="64">
        <f>H249*G250</f>
        <v>3200.0239999999999</v>
      </c>
      <c r="I250" s="45"/>
    </row>
    <row r="251" spans="3:11" s="79" customFormat="1" ht="20.399999999999999" customHeight="1" thickBot="1">
      <c r="C251" s="81" t="s">
        <v>1221</v>
      </c>
      <c r="D251" s="82" t="s">
        <v>1222</v>
      </c>
      <c r="E251" s="83"/>
      <c r="F251" s="83"/>
      <c r="G251" s="84"/>
      <c r="H251" s="85">
        <f>SUM(H249:H250)</f>
        <v>35200.263999999996</v>
      </c>
      <c r="I251" s="45"/>
    </row>
    <row r="252" spans="3:11" ht="14.4" thickTop="1">
      <c r="C252" s="89"/>
      <c r="D252" s="90"/>
      <c r="E252" s="90"/>
      <c r="F252" s="90"/>
      <c r="G252" s="90"/>
      <c r="H252" s="91"/>
    </row>
    <row r="253" spans="3:11" ht="14.4" thickBot="1">
      <c r="C253" s="44" t="s">
        <v>2799</v>
      </c>
      <c r="D253" s="451" t="s">
        <v>1391</v>
      </c>
      <c r="E253" s="275"/>
      <c r="F253" s="275"/>
      <c r="G253" s="275"/>
      <c r="H253" s="275"/>
      <c r="I253" s="50">
        <f>ROUNDDOWN(H268,-2)</f>
        <v>25200</v>
      </c>
    </row>
    <row r="254" spans="3:11" ht="28.2" thickTop="1">
      <c r="C254" s="51" t="s">
        <v>1195</v>
      </c>
      <c r="D254" s="52" t="s">
        <v>1196</v>
      </c>
      <c r="E254" s="52" t="s">
        <v>1197</v>
      </c>
      <c r="F254" s="52" t="s">
        <v>1198</v>
      </c>
      <c r="G254" s="52" t="s">
        <v>1199</v>
      </c>
      <c r="H254" s="53" t="s">
        <v>1200</v>
      </c>
    </row>
    <row r="255" spans="3:11" ht="20.399999999999999" customHeight="1">
      <c r="C255" s="55" t="s">
        <v>1201</v>
      </c>
      <c r="D255" s="56" t="s">
        <v>1202</v>
      </c>
      <c r="E255" s="57"/>
      <c r="F255" s="57"/>
      <c r="G255" s="57"/>
      <c r="H255" s="58"/>
    </row>
    <row r="256" spans="3:11" ht="20.399999999999999" customHeight="1">
      <c r="C256" s="60">
        <v>1</v>
      </c>
      <c r="D256" s="56" t="s">
        <v>5</v>
      </c>
      <c r="E256" s="61" t="s">
        <v>6</v>
      </c>
      <c r="F256" s="62">
        <v>0.05</v>
      </c>
      <c r="G256" s="63">
        <f>VLOOKUP(D256,upahbahan,3,FALSE)</f>
        <v>100000</v>
      </c>
      <c r="H256" s="64">
        <f>F256*G256</f>
        <v>5000</v>
      </c>
    </row>
    <row r="257" spans="3:11" ht="20.399999999999999" customHeight="1">
      <c r="C257" s="60">
        <v>2</v>
      </c>
      <c r="D257" s="56" t="s">
        <v>7</v>
      </c>
      <c r="E257" s="61" t="s">
        <v>6</v>
      </c>
      <c r="F257" s="62">
        <v>0.1</v>
      </c>
      <c r="G257" s="63">
        <f>VLOOKUP(D257,upahbahan,3,FALSE)</f>
        <v>135000</v>
      </c>
      <c r="H257" s="64">
        <f>F257*G257</f>
        <v>13500</v>
      </c>
    </row>
    <row r="258" spans="3:11" ht="20.399999999999999" customHeight="1">
      <c r="C258" s="60">
        <v>3</v>
      </c>
      <c r="D258" s="56" t="s">
        <v>18</v>
      </c>
      <c r="E258" s="61" t="s">
        <v>6</v>
      </c>
      <c r="F258" s="62">
        <v>0.01</v>
      </c>
      <c r="G258" s="63">
        <f>VLOOKUP(D258,upahbahan,3,FALSE)</f>
        <v>150000</v>
      </c>
      <c r="H258" s="64">
        <f>F258*G258</f>
        <v>1500</v>
      </c>
    </row>
    <row r="259" spans="3:11" ht="20.399999999999999" customHeight="1">
      <c r="C259" s="60">
        <v>4</v>
      </c>
      <c r="D259" s="56" t="s">
        <v>19</v>
      </c>
      <c r="E259" s="61" t="s">
        <v>6</v>
      </c>
      <c r="F259" s="62">
        <v>3.0000000000000001E-3</v>
      </c>
      <c r="G259" s="63">
        <f>VLOOKUP(D259,upahbahan,3,FALSE)</f>
        <v>160000</v>
      </c>
      <c r="H259" s="64">
        <f>F259*G259</f>
        <v>480</v>
      </c>
    </row>
    <row r="260" spans="3:11" ht="20.399999999999999" customHeight="1">
      <c r="C260" s="66" t="s">
        <v>1331</v>
      </c>
      <c r="D260" s="67"/>
      <c r="E260" s="67"/>
      <c r="F260" s="142"/>
      <c r="G260" s="153"/>
      <c r="H260" s="64">
        <f>SUM(H256:H259)</f>
        <v>20480</v>
      </c>
      <c r="I260" s="274"/>
      <c r="J260" s="274"/>
      <c r="K260" s="274"/>
    </row>
    <row r="261" spans="3:11" ht="20.399999999999999" customHeight="1">
      <c r="C261" s="55" t="s">
        <v>1209</v>
      </c>
      <c r="D261" s="56" t="s">
        <v>1210</v>
      </c>
      <c r="E261" s="57"/>
      <c r="F261" s="57"/>
      <c r="G261" s="57"/>
      <c r="H261" s="58"/>
    </row>
    <row r="262" spans="3:11" ht="20.399999999999999" customHeight="1">
      <c r="C262" s="60">
        <v>1</v>
      </c>
      <c r="D262" s="56" t="s">
        <v>2332</v>
      </c>
      <c r="E262" s="61" t="s">
        <v>65</v>
      </c>
      <c r="F262" s="62">
        <v>1.6</v>
      </c>
      <c r="G262" s="63">
        <f>VLOOKUP(D262,upahbahan,3,FALSE)</f>
        <v>1530</v>
      </c>
      <c r="H262" s="64">
        <f>F262*G262</f>
        <v>2448</v>
      </c>
    </row>
    <row r="263" spans="3:11" ht="20.399999999999999" customHeight="1">
      <c r="C263" s="66" t="s">
        <v>1214</v>
      </c>
      <c r="D263" s="67"/>
      <c r="E263" s="67"/>
      <c r="F263" s="67"/>
      <c r="G263" s="69"/>
      <c r="H263" s="64">
        <f>SUM(H262)</f>
        <v>2448</v>
      </c>
    </row>
    <row r="264" spans="3:11" ht="20.399999999999999" customHeight="1">
      <c r="C264" s="167" t="s">
        <v>1215</v>
      </c>
      <c r="D264" s="56" t="s">
        <v>1216</v>
      </c>
      <c r="E264" s="57"/>
      <c r="F264" s="57"/>
      <c r="G264" s="57"/>
      <c r="H264" s="58"/>
    </row>
    <row r="265" spans="3:11" ht="20.399999999999999" customHeight="1">
      <c r="C265" s="66" t="s">
        <v>1217</v>
      </c>
      <c r="D265" s="67"/>
      <c r="E265" s="67"/>
      <c r="F265" s="67"/>
      <c r="G265" s="69"/>
      <c r="H265" s="74">
        <v>0</v>
      </c>
    </row>
    <row r="266" spans="3:11" s="79" customFormat="1" ht="20.399999999999999" customHeight="1">
      <c r="C266" s="75" t="s">
        <v>1218</v>
      </c>
      <c r="D266" s="76" t="s">
        <v>1219</v>
      </c>
      <c r="E266" s="77"/>
      <c r="F266" s="77"/>
      <c r="G266" s="78"/>
      <c r="H266" s="64">
        <f>H265+H263+H260</f>
        <v>22928</v>
      </c>
      <c r="I266" s="45"/>
    </row>
    <row r="267" spans="3:11" s="79" customFormat="1" ht="20.399999999999999" customHeight="1">
      <c r="C267" s="75" t="s">
        <v>1220</v>
      </c>
      <c r="D267" s="76" t="s">
        <v>1321</v>
      </c>
      <c r="E267" s="77"/>
      <c r="F267" s="78"/>
      <c r="G267" s="80">
        <f>$M$7</f>
        <v>0.1</v>
      </c>
      <c r="H267" s="64">
        <f>H266*G267</f>
        <v>2292.8000000000002</v>
      </c>
      <c r="I267" s="45"/>
    </row>
    <row r="268" spans="3:11" s="79" customFormat="1" ht="20.399999999999999" customHeight="1" thickBot="1">
      <c r="C268" s="81" t="s">
        <v>1221</v>
      </c>
      <c r="D268" s="82" t="s">
        <v>1222</v>
      </c>
      <c r="E268" s="83"/>
      <c r="F268" s="83"/>
      <c r="G268" s="84"/>
      <c r="H268" s="85">
        <f>SUM(H266:H267)</f>
        <v>25220.799999999999</v>
      </c>
      <c r="I268" s="45"/>
    </row>
    <row r="269" spans="3:11" ht="14.4" thickTop="1"/>
    <row r="271" spans="3:11" ht="14.4" thickBot="1">
      <c r="C271" s="44" t="s">
        <v>2800</v>
      </c>
      <c r="D271" s="451" t="s">
        <v>2801</v>
      </c>
      <c r="E271" s="275"/>
      <c r="F271" s="275"/>
      <c r="G271" s="275"/>
      <c r="H271" s="275"/>
      <c r="I271" s="50">
        <f>ROUNDDOWN(H286,-2)</f>
        <v>28000</v>
      </c>
    </row>
    <row r="272" spans="3:11" ht="28.2" thickTop="1">
      <c r="C272" s="51" t="s">
        <v>1195</v>
      </c>
      <c r="D272" s="52" t="s">
        <v>1196</v>
      </c>
      <c r="E272" s="52" t="s">
        <v>1197</v>
      </c>
      <c r="F272" s="52" t="s">
        <v>1198</v>
      </c>
      <c r="G272" s="52" t="s">
        <v>1199</v>
      </c>
      <c r="H272" s="53" t="s">
        <v>1200</v>
      </c>
    </row>
    <row r="273" spans="3:11" ht="20.399999999999999" customHeight="1">
      <c r="C273" s="55" t="s">
        <v>1201</v>
      </c>
      <c r="D273" s="56" t="s">
        <v>1202</v>
      </c>
      <c r="E273" s="57"/>
      <c r="F273" s="57"/>
      <c r="G273" s="57"/>
      <c r="H273" s="58"/>
    </row>
    <row r="274" spans="3:11" ht="20.399999999999999" customHeight="1">
      <c r="C274" s="60">
        <v>1</v>
      </c>
      <c r="D274" s="56" t="s">
        <v>5</v>
      </c>
      <c r="E274" s="61" t="s">
        <v>6</v>
      </c>
      <c r="F274" s="101">
        <v>0.1</v>
      </c>
      <c r="G274" s="63">
        <f>VLOOKUP(D274,upahbahan,3,FALSE)</f>
        <v>100000</v>
      </c>
      <c r="H274" s="64">
        <f>F274*G274</f>
        <v>10000</v>
      </c>
    </row>
    <row r="275" spans="3:11" ht="20.399999999999999" customHeight="1">
      <c r="C275" s="60">
        <v>2</v>
      </c>
      <c r="D275" s="56" t="s">
        <v>7</v>
      </c>
      <c r="E275" s="61" t="s">
        <v>6</v>
      </c>
      <c r="F275" s="101">
        <v>0.1</v>
      </c>
      <c r="G275" s="63">
        <f>VLOOKUP(D275,upahbahan,3,FALSE)</f>
        <v>135000</v>
      </c>
      <c r="H275" s="64">
        <f>F275*G275</f>
        <v>13500</v>
      </c>
    </row>
    <row r="276" spans="3:11" ht="20.399999999999999" customHeight="1">
      <c r="C276" s="60">
        <v>3</v>
      </c>
      <c r="D276" s="56" t="s">
        <v>18</v>
      </c>
      <c r="E276" s="61" t="s">
        <v>6</v>
      </c>
      <c r="F276" s="101">
        <v>0.01</v>
      </c>
      <c r="G276" s="63">
        <f>VLOOKUP(D276,upahbahan,3,FALSE)</f>
        <v>150000</v>
      </c>
      <c r="H276" s="64">
        <f>F276*G276</f>
        <v>1500</v>
      </c>
    </row>
    <row r="277" spans="3:11" ht="20.399999999999999" customHeight="1">
      <c r="C277" s="60">
        <v>4</v>
      </c>
      <c r="D277" s="56" t="s">
        <v>19</v>
      </c>
      <c r="E277" s="61" t="s">
        <v>6</v>
      </c>
      <c r="F277" s="101">
        <v>3.3E-3</v>
      </c>
      <c r="G277" s="63">
        <f>VLOOKUP(D277,upahbahan,3,FALSE)</f>
        <v>160000</v>
      </c>
      <c r="H277" s="64">
        <f>F277*G277</f>
        <v>528</v>
      </c>
    </row>
    <row r="278" spans="3:11" ht="20.399999999999999" customHeight="1">
      <c r="C278" s="66" t="s">
        <v>1331</v>
      </c>
      <c r="D278" s="67"/>
      <c r="E278" s="67"/>
      <c r="F278" s="142"/>
      <c r="G278" s="153"/>
      <c r="H278" s="64">
        <f>SUM(H274:H277)</f>
        <v>25528</v>
      </c>
      <c r="I278" s="274"/>
      <c r="J278" s="274"/>
      <c r="K278" s="274"/>
    </row>
    <row r="279" spans="3:11" ht="20.399999999999999" customHeight="1">
      <c r="C279" s="55" t="s">
        <v>1209</v>
      </c>
      <c r="D279" s="56" t="s">
        <v>1210</v>
      </c>
      <c r="E279" s="57"/>
      <c r="F279" s="57"/>
      <c r="G279" s="57"/>
      <c r="H279" s="58"/>
    </row>
    <row r="280" spans="3:11" ht="20.399999999999999" customHeight="1">
      <c r="C280" s="60">
        <v>1</v>
      </c>
      <c r="D280" s="56" t="s">
        <v>2802</v>
      </c>
      <c r="E280" s="61" t="s">
        <v>65</v>
      </c>
      <c r="F280" s="62">
        <v>2</v>
      </c>
      <c r="G280" s="63">
        <f>VLOOKUP(D280,upahbahan,3,FALSE)</f>
        <v>0</v>
      </c>
      <c r="H280" s="64">
        <f>F280*G280</f>
        <v>0</v>
      </c>
    </row>
    <row r="281" spans="3:11" ht="20.399999999999999" customHeight="1">
      <c r="C281" s="66" t="s">
        <v>1214</v>
      </c>
      <c r="D281" s="67"/>
      <c r="E281" s="67"/>
      <c r="F281" s="67"/>
      <c r="G281" s="69"/>
      <c r="H281" s="64">
        <f>SUM(H280)</f>
        <v>0</v>
      </c>
    </row>
    <row r="282" spans="3:11" ht="20.399999999999999" customHeight="1">
      <c r="C282" s="167" t="s">
        <v>1215</v>
      </c>
      <c r="D282" s="56" t="s">
        <v>1216</v>
      </c>
      <c r="E282" s="57"/>
      <c r="F282" s="57"/>
      <c r="G282" s="57"/>
      <c r="H282" s="58"/>
    </row>
    <row r="283" spans="3:11" ht="20.399999999999999" customHeight="1">
      <c r="C283" s="66" t="s">
        <v>1217</v>
      </c>
      <c r="D283" s="67"/>
      <c r="E283" s="67"/>
      <c r="F283" s="67"/>
      <c r="G283" s="69"/>
      <c r="H283" s="74">
        <v>0</v>
      </c>
    </row>
    <row r="284" spans="3:11" s="79" customFormat="1" ht="20.399999999999999" customHeight="1">
      <c r="C284" s="75" t="s">
        <v>1218</v>
      </c>
      <c r="D284" s="76" t="s">
        <v>1219</v>
      </c>
      <c r="E284" s="77"/>
      <c r="F284" s="77"/>
      <c r="G284" s="78"/>
      <c r="H284" s="64">
        <f>H283+H281+H278</f>
        <v>25528</v>
      </c>
      <c r="I284" s="45"/>
    </row>
    <row r="285" spans="3:11" s="79" customFormat="1" ht="20.399999999999999" customHeight="1">
      <c r="C285" s="75" t="s">
        <v>1220</v>
      </c>
      <c r="D285" s="76" t="s">
        <v>1321</v>
      </c>
      <c r="E285" s="77"/>
      <c r="F285" s="78"/>
      <c r="G285" s="80">
        <f>$M$7</f>
        <v>0.1</v>
      </c>
      <c r="H285" s="64">
        <f>H284*G285</f>
        <v>2552.8000000000002</v>
      </c>
      <c r="I285" s="45"/>
    </row>
    <row r="286" spans="3:11" s="79" customFormat="1" ht="20.399999999999999" customHeight="1" thickBot="1">
      <c r="C286" s="81" t="s">
        <v>1221</v>
      </c>
      <c r="D286" s="82" t="s">
        <v>1222</v>
      </c>
      <c r="E286" s="83"/>
      <c r="F286" s="83"/>
      <c r="G286" s="84"/>
      <c r="H286" s="85">
        <f>SUM(H284:H285)</f>
        <v>28080.799999999999</v>
      </c>
      <c r="I286" s="45"/>
    </row>
    <row r="287" spans="3:11" ht="14.4" thickTop="1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M471"/>
  <sheetViews>
    <sheetView topLeftCell="A176" zoomScale="75" zoomScaleNormal="75" workbookViewId="0">
      <selection activeCell="A398" sqref="A398:XFD418"/>
    </sheetView>
  </sheetViews>
  <sheetFormatPr defaultColWidth="8.88671875" defaultRowHeight="13.8"/>
  <cols>
    <col min="1" max="2" width="3.44140625" style="59" customWidth="1"/>
    <col min="3" max="3" width="11.6640625" style="45" customWidth="1"/>
    <col min="4" max="4" width="36.5546875" style="45" customWidth="1"/>
    <col min="5" max="5" width="8.109375" style="45" customWidth="1"/>
    <col min="6" max="6" width="11.44140625" style="45" customWidth="1"/>
    <col min="7" max="7" width="16.109375" style="45" customWidth="1"/>
    <col min="8" max="8" width="16.6640625" style="45" customWidth="1"/>
    <col min="9" max="9" width="14.109375" style="44" customWidth="1"/>
    <col min="10" max="10" width="8.88671875" style="59"/>
    <col min="11" max="11" width="11.5546875" style="59" bestFit="1" customWidth="1"/>
    <col min="12" max="12" width="11" style="59" customWidth="1"/>
    <col min="13" max="16384" width="8.88671875" style="59"/>
  </cols>
  <sheetData>
    <row r="1" spans="3:13" ht="12.15" customHeight="1"/>
    <row r="2" spans="3:13" ht="12.15" customHeight="1"/>
    <row r="3" spans="3:13">
      <c r="C3" s="473" t="s">
        <v>2803</v>
      </c>
      <c r="D3" s="474" t="s">
        <v>6439</v>
      </c>
      <c r="E3" s="448"/>
      <c r="F3" s="448"/>
      <c r="G3" s="448"/>
      <c r="H3" s="448"/>
    </row>
    <row r="4" spans="3:13" ht="14.4" thickBot="1">
      <c r="C4" s="44" t="s">
        <v>2804</v>
      </c>
      <c r="D4" s="451" t="s">
        <v>1541</v>
      </c>
      <c r="E4" s="151"/>
      <c r="F4" s="151"/>
      <c r="G4" s="151"/>
      <c r="H4" s="151"/>
      <c r="I4" s="50">
        <f>ROUNDDOWN(H17,-2)</f>
        <v>17800</v>
      </c>
      <c r="K4" s="475"/>
    </row>
    <row r="5" spans="3:13" ht="28.2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  <c r="K5" s="475"/>
    </row>
    <row r="6" spans="3:13" ht="21.6" customHeight="1">
      <c r="C6" s="55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21.6" customHeight="1">
      <c r="C7" s="60">
        <v>1</v>
      </c>
      <c r="D7" s="56" t="s">
        <v>5</v>
      </c>
      <c r="E7" s="61" t="s">
        <v>6</v>
      </c>
      <c r="F7" s="101">
        <v>0.15</v>
      </c>
      <c r="G7" s="63">
        <f>VLOOKUP(D7,upahbahan,3,FALSE)</f>
        <v>100000</v>
      </c>
      <c r="H7" s="64">
        <f>F7*G7</f>
        <v>15000</v>
      </c>
      <c r="J7" s="152" t="s">
        <v>1248</v>
      </c>
      <c r="M7" s="65">
        <v>0.1</v>
      </c>
    </row>
    <row r="8" spans="3:13" ht="21.6" customHeight="1">
      <c r="C8" s="60">
        <v>2</v>
      </c>
      <c r="D8" s="56" t="s">
        <v>19</v>
      </c>
      <c r="E8" s="61" t="s">
        <v>6</v>
      </c>
      <c r="F8" s="101">
        <v>7.4999999999999997E-3</v>
      </c>
      <c r="G8" s="63">
        <f>VLOOKUP(D8,upahbahan,3,FALSE)</f>
        <v>160000</v>
      </c>
      <c r="H8" s="64">
        <f t="shared" ref="H8" si="0">F8*G8</f>
        <v>1200</v>
      </c>
      <c r="K8" s="475"/>
    </row>
    <row r="9" spans="3:13" ht="21.6" customHeight="1">
      <c r="C9" s="66" t="s">
        <v>1208</v>
      </c>
      <c r="D9" s="67"/>
      <c r="E9" s="67"/>
      <c r="F9" s="142"/>
      <c r="G9" s="153"/>
      <c r="H9" s="64">
        <f>SUM(H7:H8)</f>
        <v>16200</v>
      </c>
      <c r="I9" s="154"/>
      <c r="K9" s="475"/>
    </row>
    <row r="10" spans="3:13" ht="21.6" customHeight="1">
      <c r="C10" s="55" t="s">
        <v>1209</v>
      </c>
      <c r="D10" s="56" t="s">
        <v>1210</v>
      </c>
      <c r="E10" s="57"/>
      <c r="F10" s="57"/>
      <c r="G10" s="57"/>
      <c r="H10" s="58"/>
      <c r="K10" s="475"/>
    </row>
    <row r="11" spans="3:13" ht="21.6" customHeight="1">
      <c r="C11" s="60">
        <v>1</v>
      </c>
      <c r="D11" s="56" t="s">
        <v>1060</v>
      </c>
      <c r="E11" s="61" t="s">
        <v>65</v>
      </c>
      <c r="F11" s="62">
        <v>0.05</v>
      </c>
      <c r="G11" s="63">
        <f>VLOOKUP(D11,upahbahan,3,FALSE)</f>
        <v>0</v>
      </c>
      <c r="H11" s="64">
        <f t="shared" ref="H11" si="1">F11*G11</f>
        <v>0</v>
      </c>
      <c r="K11" s="475"/>
    </row>
    <row r="12" spans="3:13" ht="21.6" customHeight="1">
      <c r="C12" s="66" t="s">
        <v>1214</v>
      </c>
      <c r="D12" s="67"/>
      <c r="E12" s="67"/>
      <c r="F12" s="67"/>
      <c r="G12" s="69"/>
      <c r="H12" s="64">
        <f>SUM(H11)</f>
        <v>0</v>
      </c>
      <c r="K12" s="475"/>
    </row>
    <row r="13" spans="3:13" ht="21.6" customHeight="1">
      <c r="C13" s="167" t="s">
        <v>1215</v>
      </c>
      <c r="D13" s="56" t="s">
        <v>1216</v>
      </c>
      <c r="E13" s="57"/>
      <c r="F13" s="57"/>
      <c r="G13" s="57"/>
      <c r="H13" s="58"/>
      <c r="K13" s="475"/>
    </row>
    <row r="14" spans="3:13" ht="21.6" customHeight="1">
      <c r="C14" s="66" t="s">
        <v>1217</v>
      </c>
      <c r="D14" s="67"/>
      <c r="E14" s="67"/>
      <c r="F14" s="67"/>
      <c r="G14" s="69"/>
      <c r="H14" s="74">
        <v>0</v>
      </c>
      <c r="K14" s="475"/>
    </row>
    <row r="15" spans="3:13" ht="21.6" customHeight="1">
      <c r="C15" s="75" t="s">
        <v>1218</v>
      </c>
      <c r="D15" s="76" t="s">
        <v>1219</v>
      </c>
      <c r="E15" s="77"/>
      <c r="F15" s="77"/>
      <c r="G15" s="78"/>
      <c r="H15" s="64">
        <f>H14+H12+H9</f>
        <v>16200</v>
      </c>
      <c r="K15" s="475"/>
    </row>
    <row r="16" spans="3:13" ht="21.6" customHeight="1">
      <c r="C16" s="75" t="s">
        <v>1220</v>
      </c>
      <c r="D16" s="76" t="s">
        <v>1321</v>
      </c>
      <c r="E16" s="77"/>
      <c r="F16" s="78"/>
      <c r="G16" s="80">
        <f>$M$7</f>
        <v>0.1</v>
      </c>
      <c r="H16" s="64">
        <f>H15*G16</f>
        <v>1620</v>
      </c>
      <c r="K16" s="475"/>
    </row>
    <row r="17" spans="3:11" ht="21.6" customHeight="1" thickBot="1">
      <c r="C17" s="81" t="s">
        <v>1221</v>
      </c>
      <c r="D17" s="82" t="s">
        <v>1222</v>
      </c>
      <c r="E17" s="83"/>
      <c r="F17" s="83"/>
      <c r="G17" s="84"/>
      <c r="H17" s="85">
        <f>SUM(H15:H16)</f>
        <v>17820</v>
      </c>
      <c r="K17" s="475"/>
    </row>
    <row r="18" spans="3:11" ht="14.4" thickTop="1">
      <c r="C18" s="89"/>
      <c r="D18" s="90"/>
      <c r="E18" s="90"/>
      <c r="F18" s="90"/>
      <c r="G18" s="90"/>
      <c r="H18" s="91"/>
      <c r="K18" s="475"/>
    </row>
    <row r="19" spans="3:11" ht="14.4" thickBot="1">
      <c r="C19" s="44" t="s">
        <v>2805</v>
      </c>
      <c r="D19" s="451" t="s">
        <v>1542</v>
      </c>
      <c r="E19" s="275"/>
      <c r="F19" s="275"/>
      <c r="G19" s="275"/>
      <c r="H19" s="275"/>
      <c r="I19" s="50">
        <f>ROUNDDOWN(H32,-2)</f>
        <v>17800</v>
      </c>
      <c r="K19" s="475"/>
    </row>
    <row r="20" spans="3:11" ht="28.2" thickTop="1">
      <c r="C20" s="51" t="s">
        <v>1195</v>
      </c>
      <c r="D20" s="52" t="s">
        <v>1196</v>
      </c>
      <c r="E20" s="52" t="s">
        <v>1197</v>
      </c>
      <c r="F20" s="52" t="s">
        <v>1198</v>
      </c>
      <c r="G20" s="52" t="s">
        <v>1199</v>
      </c>
      <c r="H20" s="53" t="s">
        <v>1200</v>
      </c>
      <c r="K20" s="475"/>
    </row>
    <row r="21" spans="3:11" ht="19.8" customHeight="1">
      <c r="C21" s="55" t="s">
        <v>1201</v>
      </c>
      <c r="D21" s="56" t="s">
        <v>1202</v>
      </c>
      <c r="E21" s="57"/>
      <c r="F21" s="57"/>
      <c r="G21" s="57"/>
      <c r="H21" s="58"/>
      <c r="K21" s="475"/>
    </row>
    <row r="22" spans="3:11" ht="19.8" customHeight="1">
      <c r="C22" s="60">
        <v>1</v>
      </c>
      <c r="D22" s="56" t="s">
        <v>5</v>
      </c>
      <c r="E22" s="61" t="s">
        <v>6</v>
      </c>
      <c r="F22" s="101">
        <v>0.15</v>
      </c>
      <c r="G22" s="63">
        <f>VLOOKUP(D22,upahbahan,3,FALSE)</f>
        <v>100000</v>
      </c>
      <c r="H22" s="64">
        <f>F22*G22</f>
        <v>15000</v>
      </c>
      <c r="K22" s="475"/>
    </row>
    <row r="23" spans="3:11" ht="19.8" customHeight="1">
      <c r="C23" s="60">
        <v>2</v>
      </c>
      <c r="D23" s="56" t="s">
        <v>19</v>
      </c>
      <c r="E23" s="61" t="s">
        <v>6</v>
      </c>
      <c r="F23" s="101">
        <v>7.4999999999999997E-3</v>
      </c>
      <c r="G23" s="63">
        <f>VLOOKUP(D23,upahbahan,3,FALSE)</f>
        <v>160000</v>
      </c>
      <c r="H23" s="64">
        <f t="shared" ref="H23" si="2">F23*G23</f>
        <v>1200</v>
      </c>
      <c r="K23" s="475"/>
    </row>
    <row r="24" spans="3:11" ht="19.8" customHeight="1">
      <c r="C24" s="66" t="s">
        <v>1331</v>
      </c>
      <c r="D24" s="67"/>
      <c r="E24" s="67"/>
      <c r="F24" s="142"/>
      <c r="G24" s="153"/>
      <c r="H24" s="64">
        <f>SUM(H22:H23)</f>
        <v>16200</v>
      </c>
      <c r="I24" s="154"/>
      <c r="K24" s="475"/>
    </row>
    <row r="25" spans="3:11" ht="19.8" customHeight="1">
      <c r="C25" s="55" t="s">
        <v>1209</v>
      </c>
      <c r="D25" s="56" t="s">
        <v>1210</v>
      </c>
      <c r="E25" s="57"/>
      <c r="F25" s="57"/>
      <c r="G25" s="57"/>
      <c r="H25" s="58"/>
      <c r="K25" s="475"/>
    </row>
    <row r="26" spans="3:11" ht="19.8" customHeight="1">
      <c r="C26" s="60">
        <v>1</v>
      </c>
      <c r="D26" s="56" t="s">
        <v>1043</v>
      </c>
      <c r="E26" s="61" t="s">
        <v>65</v>
      </c>
      <c r="F26" s="62">
        <v>0.05</v>
      </c>
      <c r="G26" s="63">
        <f>VLOOKUP(D26,upahbahan,3,FALSE)</f>
        <v>0</v>
      </c>
      <c r="H26" s="64">
        <f t="shared" ref="H26" si="3">F26*G26</f>
        <v>0</v>
      </c>
      <c r="K26" s="475"/>
    </row>
    <row r="27" spans="3:11" ht="19.8" customHeight="1">
      <c r="C27" s="66" t="s">
        <v>1214</v>
      </c>
      <c r="D27" s="67"/>
      <c r="E27" s="67"/>
      <c r="F27" s="67"/>
      <c r="G27" s="69"/>
      <c r="H27" s="64">
        <f>SUM(H26)</f>
        <v>0</v>
      </c>
      <c r="K27" s="475"/>
    </row>
    <row r="28" spans="3:11" ht="19.8" customHeight="1">
      <c r="C28" s="167" t="s">
        <v>1215</v>
      </c>
      <c r="D28" s="56" t="s">
        <v>1216</v>
      </c>
      <c r="E28" s="57"/>
      <c r="F28" s="57"/>
      <c r="G28" s="57"/>
      <c r="H28" s="58"/>
      <c r="K28" s="475"/>
    </row>
    <row r="29" spans="3:11" ht="19.8" customHeight="1">
      <c r="C29" s="66" t="s">
        <v>1217</v>
      </c>
      <c r="D29" s="67"/>
      <c r="E29" s="67"/>
      <c r="F29" s="67"/>
      <c r="G29" s="69"/>
      <c r="H29" s="74">
        <v>0</v>
      </c>
      <c r="K29" s="475"/>
    </row>
    <row r="30" spans="3:11" ht="19.8" customHeight="1">
      <c r="C30" s="75" t="s">
        <v>1218</v>
      </c>
      <c r="D30" s="76" t="s">
        <v>1219</v>
      </c>
      <c r="E30" s="77"/>
      <c r="F30" s="77"/>
      <c r="G30" s="78"/>
      <c r="H30" s="64">
        <f>H29+H27+H24</f>
        <v>16200</v>
      </c>
      <c r="K30" s="475"/>
    </row>
    <row r="31" spans="3:11" ht="19.8" customHeight="1">
      <c r="C31" s="75" t="s">
        <v>1220</v>
      </c>
      <c r="D31" s="76" t="s">
        <v>1321</v>
      </c>
      <c r="E31" s="77"/>
      <c r="F31" s="78"/>
      <c r="G31" s="80">
        <f>$M$7</f>
        <v>0.1</v>
      </c>
      <c r="H31" s="64">
        <f>H30*G31</f>
        <v>1620</v>
      </c>
      <c r="K31" s="475"/>
    </row>
    <row r="32" spans="3:11" ht="19.8" customHeight="1" thickBot="1">
      <c r="C32" s="81" t="s">
        <v>1221</v>
      </c>
      <c r="D32" s="82" t="s">
        <v>1222</v>
      </c>
      <c r="E32" s="83"/>
      <c r="F32" s="83"/>
      <c r="G32" s="84"/>
      <c r="H32" s="85">
        <f>SUM(H30:H31)</f>
        <v>17820</v>
      </c>
      <c r="K32" s="475"/>
    </row>
    <row r="33" spans="3:11" ht="14.4" thickTop="1">
      <c r="C33" s="89"/>
      <c r="D33" s="90"/>
      <c r="E33" s="90"/>
      <c r="F33" s="90"/>
      <c r="G33" s="90"/>
      <c r="H33" s="91"/>
      <c r="K33" s="475"/>
    </row>
    <row r="34" spans="3:11" ht="14.4" thickBot="1">
      <c r="C34" s="44" t="s">
        <v>2806</v>
      </c>
      <c r="D34" s="451" t="s">
        <v>1543</v>
      </c>
      <c r="E34" s="275"/>
      <c r="F34" s="275"/>
      <c r="G34" s="275"/>
      <c r="H34" s="275"/>
      <c r="I34" s="50">
        <f>ROUNDDOWN(H47,-2)</f>
        <v>18900</v>
      </c>
      <c r="K34" s="475"/>
    </row>
    <row r="35" spans="3:11" ht="28.2" thickTop="1">
      <c r="C35" s="51" t="s">
        <v>1195</v>
      </c>
      <c r="D35" s="52" t="s">
        <v>1196</v>
      </c>
      <c r="E35" s="52" t="s">
        <v>1197</v>
      </c>
      <c r="F35" s="52" t="s">
        <v>1198</v>
      </c>
      <c r="G35" s="52" t="s">
        <v>1199</v>
      </c>
      <c r="H35" s="53" t="s">
        <v>1200</v>
      </c>
      <c r="K35" s="475"/>
    </row>
    <row r="36" spans="3:11" ht="19.8" customHeight="1">
      <c r="C36" s="55" t="s">
        <v>1201</v>
      </c>
      <c r="D36" s="56" t="s">
        <v>1202</v>
      </c>
      <c r="E36" s="57"/>
      <c r="F36" s="57"/>
      <c r="G36" s="57"/>
      <c r="H36" s="58"/>
      <c r="K36" s="475"/>
    </row>
    <row r="37" spans="3:11" ht="19.8" customHeight="1">
      <c r="C37" s="60">
        <v>1</v>
      </c>
      <c r="D37" s="56" t="s">
        <v>5</v>
      </c>
      <c r="E37" s="61" t="s">
        <v>6</v>
      </c>
      <c r="F37" s="101">
        <v>0.15</v>
      </c>
      <c r="G37" s="63">
        <f>VLOOKUP(D37,upahbahan,3,FALSE)</f>
        <v>100000</v>
      </c>
      <c r="H37" s="64">
        <f t="shared" ref="H37:H38" si="4">F37*G37</f>
        <v>15000</v>
      </c>
      <c r="K37" s="475"/>
    </row>
    <row r="38" spans="3:11" ht="19.8" customHeight="1">
      <c r="C38" s="60">
        <v>2</v>
      </c>
      <c r="D38" s="56" t="s">
        <v>19</v>
      </c>
      <c r="E38" s="61" t="s">
        <v>6</v>
      </c>
      <c r="F38" s="101">
        <v>7.4999999999999997E-3</v>
      </c>
      <c r="G38" s="63">
        <f>VLOOKUP(D38,upahbahan,3,FALSE)</f>
        <v>160000</v>
      </c>
      <c r="H38" s="64">
        <f t="shared" si="4"/>
        <v>1200</v>
      </c>
      <c r="K38" s="475"/>
    </row>
    <row r="39" spans="3:11" ht="19.8" customHeight="1">
      <c r="C39" s="66" t="s">
        <v>1331</v>
      </c>
      <c r="D39" s="67"/>
      <c r="E39" s="67"/>
      <c r="F39" s="142"/>
      <c r="G39" s="153"/>
      <c r="H39" s="64">
        <f>SUM(H37:H38)</f>
        <v>16200</v>
      </c>
      <c r="I39" s="154"/>
      <c r="K39" s="475"/>
    </row>
    <row r="40" spans="3:11" ht="19.8" customHeight="1">
      <c r="C40" s="55" t="s">
        <v>1209</v>
      </c>
      <c r="D40" s="56" t="s">
        <v>1210</v>
      </c>
      <c r="E40" s="57"/>
      <c r="F40" s="57"/>
      <c r="G40" s="57"/>
      <c r="H40" s="58"/>
      <c r="K40" s="475"/>
    </row>
    <row r="41" spans="3:11" ht="19.8" customHeight="1">
      <c r="C41" s="60">
        <v>1</v>
      </c>
      <c r="D41" s="56" t="s">
        <v>753</v>
      </c>
      <c r="E41" s="61" t="s">
        <v>65</v>
      </c>
      <c r="F41" s="62">
        <v>0.05</v>
      </c>
      <c r="G41" s="63">
        <f>VLOOKUP(D41,upahbahan,3,FALSE)</f>
        <v>20000</v>
      </c>
      <c r="H41" s="64">
        <f t="shared" ref="H41" si="5">F41*G41</f>
        <v>1000</v>
      </c>
      <c r="K41" s="475"/>
    </row>
    <row r="42" spans="3:11" ht="19.8" customHeight="1">
      <c r="C42" s="66" t="s">
        <v>1214</v>
      </c>
      <c r="D42" s="67"/>
      <c r="E42" s="67"/>
      <c r="F42" s="67"/>
      <c r="G42" s="69"/>
      <c r="H42" s="64">
        <f>SUM(H41)</f>
        <v>1000</v>
      </c>
      <c r="K42" s="475"/>
    </row>
    <row r="43" spans="3:11" ht="19.8" customHeight="1">
      <c r="C43" s="167" t="s">
        <v>1215</v>
      </c>
      <c r="D43" s="56" t="s">
        <v>1216</v>
      </c>
      <c r="E43" s="57"/>
      <c r="F43" s="57"/>
      <c r="G43" s="57"/>
      <c r="H43" s="58"/>
      <c r="K43" s="475"/>
    </row>
    <row r="44" spans="3:11" ht="19.8" customHeight="1">
      <c r="C44" s="66" t="s">
        <v>1217</v>
      </c>
      <c r="D44" s="67"/>
      <c r="E44" s="67"/>
      <c r="F44" s="67"/>
      <c r="G44" s="69"/>
      <c r="H44" s="74">
        <v>0</v>
      </c>
      <c r="K44" s="475"/>
    </row>
    <row r="45" spans="3:11" ht="19.8" customHeight="1">
      <c r="C45" s="75" t="s">
        <v>1218</v>
      </c>
      <c r="D45" s="76" t="s">
        <v>1219</v>
      </c>
      <c r="E45" s="77"/>
      <c r="F45" s="77"/>
      <c r="G45" s="78"/>
      <c r="H45" s="64">
        <f>H44+H42+H39</f>
        <v>17200</v>
      </c>
      <c r="K45" s="475"/>
    </row>
    <row r="46" spans="3:11" ht="19.8" customHeight="1">
      <c r="C46" s="75" t="s">
        <v>1220</v>
      </c>
      <c r="D46" s="76" t="s">
        <v>1321</v>
      </c>
      <c r="E46" s="77"/>
      <c r="F46" s="78"/>
      <c r="G46" s="80">
        <f>$M$7</f>
        <v>0.1</v>
      </c>
      <c r="H46" s="64">
        <f>H45*G46</f>
        <v>1720</v>
      </c>
      <c r="K46" s="475"/>
    </row>
    <row r="47" spans="3:11" ht="19.8" customHeight="1" thickBot="1">
      <c r="C47" s="81" t="s">
        <v>1221</v>
      </c>
      <c r="D47" s="82" t="s">
        <v>1222</v>
      </c>
      <c r="E47" s="83"/>
      <c r="F47" s="83"/>
      <c r="G47" s="84"/>
      <c r="H47" s="85">
        <f>SUM(H45:H46)</f>
        <v>18920</v>
      </c>
      <c r="K47" s="475"/>
    </row>
    <row r="48" spans="3:11" ht="14.4" thickTop="1">
      <c r="C48" s="89"/>
      <c r="D48" s="90"/>
      <c r="E48" s="90"/>
      <c r="F48" s="90"/>
      <c r="G48" s="90"/>
      <c r="H48" s="91"/>
      <c r="K48" s="475"/>
    </row>
    <row r="49" spans="3:11" ht="15.75" customHeight="1" thickBot="1">
      <c r="C49" s="44" t="s">
        <v>2807</v>
      </c>
      <c r="D49" s="476" t="s">
        <v>1544</v>
      </c>
      <c r="E49" s="477"/>
      <c r="F49" s="477"/>
      <c r="G49" s="477"/>
      <c r="H49" s="477"/>
      <c r="I49" s="50">
        <f>ROUNDDOWN(H70,-2)</f>
        <v>30500</v>
      </c>
      <c r="K49" s="475"/>
    </row>
    <row r="50" spans="3:11" ht="28.2" thickTop="1">
      <c r="C50" s="51" t="s">
        <v>1195</v>
      </c>
      <c r="D50" s="52" t="s">
        <v>1196</v>
      </c>
      <c r="E50" s="52" t="s">
        <v>1197</v>
      </c>
      <c r="F50" s="52" t="s">
        <v>1198</v>
      </c>
      <c r="G50" s="52" t="s">
        <v>1199</v>
      </c>
      <c r="H50" s="53" t="s">
        <v>1200</v>
      </c>
      <c r="K50" s="475"/>
    </row>
    <row r="51" spans="3:11" ht="19.8" customHeight="1">
      <c r="C51" s="55" t="s">
        <v>1201</v>
      </c>
      <c r="D51" s="56" t="s">
        <v>1202</v>
      </c>
      <c r="E51" s="57"/>
      <c r="F51" s="57"/>
      <c r="G51" s="57"/>
      <c r="H51" s="58"/>
      <c r="K51" s="475"/>
    </row>
    <row r="52" spans="3:11" ht="19.8" customHeight="1">
      <c r="C52" s="60">
        <v>1</v>
      </c>
      <c r="D52" s="56" t="s">
        <v>5</v>
      </c>
      <c r="E52" s="61" t="s">
        <v>6</v>
      </c>
      <c r="F52" s="101">
        <v>7.0000000000000007E-2</v>
      </c>
      <c r="G52" s="63">
        <f>VLOOKUP(D52,upahbahan,3,FALSE)</f>
        <v>100000</v>
      </c>
      <c r="H52" s="64">
        <f t="shared" ref="H52:H55" si="6">F52*G52</f>
        <v>7000.0000000000009</v>
      </c>
      <c r="K52" s="475"/>
    </row>
    <row r="53" spans="3:11" ht="19.8" customHeight="1">
      <c r="C53" s="60">
        <v>2</v>
      </c>
      <c r="D53" s="56" t="s">
        <v>12</v>
      </c>
      <c r="E53" s="61" t="s">
        <v>6</v>
      </c>
      <c r="F53" s="101">
        <v>8.9999999999999993E-3</v>
      </c>
      <c r="G53" s="63">
        <f>VLOOKUP(D53,upahbahan,3,FALSE)</f>
        <v>135000</v>
      </c>
      <c r="H53" s="64">
        <f t="shared" si="6"/>
        <v>1215</v>
      </c>
      <c r="K53" s="475"/>
    </row>
    <row r="54" spans="3:11" ht="19.8" customHeight="1">
      <c r="C54" s="60">
        <v>3</v>
      </c>
      <c r="D54" s="56" t="s">
        <v>18</v>
      </c>
      <c r="E54" s="61" t="s">
        <v>6</v>
      </c>
      <c r="F54" s="101">
        <v>8.9999999999999998E-4</v>
      </c>
      <c r="G54" s="63">
        <f>VLOOKUP(D54,upahbahan,3,FALSE)</f>
        <v>150000</v>
      </c>
      <c r="H54" s="64">
        <f t="shared" si="6"/>
        <v>135</v>
      </c>
      <c r="K54" s="475"/>
    </row>
    <row r="55" spans="3:11" ht="19.8" customHeight="1">
      <c r="C55" s="60">
        <v>4</v>
      </c>
      <c r="D55" s="56" t="s">
        <v>19</v>
      </c>
      <c r="E55" s="61" t="s">
        <v>6</v>
      </c>
      <c r="F55" s="101">
        <v>2.9999999999999997E-4</v>
      </c>
      <c r="G55" s="63">
        <f>VLOOKUP(D55,upahbahan,3,FALSE)</f>
        <v>160000</v>
      </c>
      <c r="H55" s="64">
        <f t="shared" si="6"/>
        <v>47.999999999999993</v>
      </c>
      <c r="K55" s="475"/>
    </row>
    <row r="56" spans="3:11" ht="19.8" customHeight="1">
      <c r="C56" s="66" t="s">
        <v>1208</v>
      </c>
      <c r="D56" s="67"/>
      <c r="E56" s="67"/>
      <c r="F56" s="68"/>
      <c r="G56" s="459"/>
      <c r="H56" s="64">
        <f>SUM(H52:H55)</f>
        <v>8398</v>
      </c>
      <c r="K56" s="475"/>
    </row>
    <row r="57" spans="3:11" ht="19.8" customHeight="1">
      <c r="C57" s="55" t="s">
        <v>1209</v>
      </c>
      <c r="D57" s="56" t="s">
        <v>1210</v>
      </c>
      <c r="E57" s="57"/>
      <c r="F57" s="57"/>
      <c r="G57" s="57"/>
      <c r="H57" s="58"/>
      <c r="K57" s="475"/>
    </row>
    <row r="58" spans="3:11" ht="19.8" customHeight="1">
      <c r="C58" s="60">
        <v>1</v>
      </c>
      <c r="D58" s="56" t="s">
        <v>590</v>
      </c>
      <c r="E58" s="61" t="s">
        <v>65</v>
      </c>
      <c r="F58" s="62">
        <v>0.2</v>
      </c>
      <c r="G58" s="63">
        <f t="shared" ref="G58:G64" si="7">VLOOKUP(D58,upahbahan,3,FALSE)</f>
        <v>34500</v>
      </c>
      <c r="H58" s="64">
        <f t="shared" ref="H58:H64" si="8">F58*G58</f>
        <v>6900</v>
      </c>
      <c r="K58" s="475"/>
    </row>
    <row r="59" spans="3:11" ht="19.8" customHeight="1">
      <c r="C59" s="60">
        <v>2</v>
      </c>
      <c r="D59" s="56" t="s">
        <v>595</v>
      </c>
      <c r="E59" s="61" t="s">
        <v>65</v>
      </c>
      <c r="F59" s="62">
        <v>0.15</v>
      </c>
      <c r="G59" s="63">
        <f t="shared" si="7"/>
        <v>30100</v>
      </c>
      <c r="H59" s="64">
        <f t="shared" si="8"/>
        <v>4515</v>
      </c>
      <c r="K59" s="475"/>
    </row>
    <row r="60" spans="3:11" ht="19.8" customHeight="1">
      <c r="C60" s="60">
        <v>3</v>
      </c>
      <c r="D60" s="56" t="s">
        <v>572</v>
      </c>
      <c r="E60" s="61" t="s">
        <v>65</v>
      </c>
      <c r="F60" s="62">
        <v>0.17</v>
      </c>
      <c r="G60" s="63">
        <f t="shared" si="7"/>
        <v>38200</v>
      </c>
      <c r="H60" s="64">
        <f t="shared" si="8"/>
        <v>6494.0000000000009</v>
      </c>
      <c r="K60" s="475"/>
    </row>
    <row r="61" spans="3:11" ht="19.8" customHeight="1">
      <c r="C61" s="60">
        <v>4</v>
      </c>
      <c r="D61" s="56" t="s">
        <v>578</v>
      </c>
      <c r="E61" s="61" t="s">
        <v>65</v>
      </c>
      <c r="F61" s="62">
        <v>0.26</v>
      </c>
      <c r="G61" s="63">
        <f t="shared" si="7"/>
        <v>0</v>
      </c>
      <c r="H61" s="64">
        <f t="shared" si="8"/>
        <v>0</v>
      </c>
      <c r="K61" s="475"/>
    </row>
    <row r="62" spans="3:11" ht="19.8" customHeight="1">
      <c r="C62" s="60">
        <v>5</v>
      </c>
      <c r="D62" s="56" t="s">
        <v>587</v>
      </c>
      <c r="E62" s="61" t="s">
        <v>44</v>
      </c>
      <c r="F62" s="62">
        <v>0.01</v>
      </c>
      <c r="G62" s="63">
        <f t="shared" si="7"/>
        <v>10400</v>
      </c>
      <c r="H62" s="64">
        <f t="shared" si="8"/>
        <v>104</v>
      </c>
      <c r="K62" s="475"/>
    </row>
    <row r="63" spans="3:11" ht="19.8" customHeight="1">
      <c r="C63" s="60">
        <v>6</v>
      </c>
      <c r="D63" s="56" t="s">
        <v>593</v>
      </c>
      <c r="E63" s="61" t="s">
        <v>65</v>
      </c>
      <c r="F63" s="62">
        <v>0.03</v>
      </c>
      <c r="G63" s="63">
        <f t="shared" si="7"/>
        <v>20000</v>
      </c>
      <c r="H63" s="64">
        <f t="shared" si="8"/>
        <v>600</v>
      </c>
      <c r="K63" s="475"/>
    </row>
    <row r="64" spans="3:11" ht="19.8" customHeight="1">
      <c r="C64" s="60">
        <v>7</v>
      </c>
      <c r="D64" s="56" t="s">
        <v>967</v>
      </c>
      <c r="E64" s="73" t="s">
        <v>129</v>
      </c>
      <c r="F64" s="62">
        <v>0.2</v>
      </c>
      <c r="G64" s="63">
        <f t="shared" si="7"/>
        <v>3900</v>
      </c>
      <c r="H64" s="64">
        <f t="shared" si="8"/>
        <v>780</v>
      </c>
      <c r="K64" s="475"/>
    </row>
    <row r="65" spans="3:11" ht="19.8" customHeight="1">
      <c r="C65" s="66" t="s">
        <v>1214</v>
      </c>
      <c r="D65" s="67"/>
      <c r="E65" s="67"/>
      <c r="F65" s="67"/>
      <c r="G65" s="69"/>
      <c r="H65" s="64">
        <f>SUM(H58:H64)</f>
        <v>19393</v>
      </c>
      <c r="K65" s="475"/>
    </row>
    <row r="66" spans="3:11" ht="19.8" customHeight="1">
      <c r="C66" s="167" t="s">
        <v>1215</v>
      </c>
      <c r="D66" s="56" t="s">
        <v>1216</v>
      </c>
      <c r="E66" s="57"/>
      <c r="F66" s="57"/>
      <c r="G66" s="57"/>
      <c r="H66" s="58"/>
      <c r="K66" s="475"/>
    </row>
    <row r="67" spans="3:11" ht="19.8" customHeight="1">
      <c r="C67" s="66" t="s">
        <v>1217</v>
      </c>
      <c r="D67" s="67"/>
      <c r="E67" s="67"/>
      <c r="F67" s="67"/>
      <c r="G67" s="69"/>
      <c r="H67" s="74">
        <v>0</v>
      </c>
      <c r="K67" s="475"/>
    </row>
    <row r="68" spans="3:11" ht="19.8" customHeight="1">
      <c r="C68" s="75" t="s">
        <v>1218</v>
      </c>
      <c r="D68" s="76" t="s">
        <v>1219</v>
      </c>
      <c r="E68" s="77"/>
      <c r="F68" s="77"/>
      <c r="G68" s="78"/>
      <c r="H68" s="64">
        <f>H67+H65+H56</f>
        <v>27791</v>
      </c>
      <c r="K68" s="475"/>
    </row>
    <row r="69" spans="3:11" ht="19.8" customHeight="1">
      <c r="C69" s="75" t="s">
        <v>1220</v>
      </c>
      <c r="D69" s="76" t="s">
        <v>1321</v>
      </c>
      <c r="E69" s="77"/>
      <c r="F69" s="78"/>
      <c r="G69" s="80">
        <f>$M$7</f>
        <v>0.1</v>
      </c>
      <c r="H69" s="64">
        <f>H68*G69</f>
        <v>2779.1000000000004</v>
      </c>
      <c r="K69" s="475"/>
    </row>
    <row r="70" spans="3:11" ht="19.8" customHeight="1" thickBot="1">
      <c r="C70" s="81" t="s">
        <v>1221</v>
      </c>
      <c r="D70" s="82" t="s">
        <v>1222</v>
      </c>
      <c r="E70" s="83"/>
      <c r="F70" s="83"/>
      <c r="G70" s="84"/>
      <c r="H70" s="85">
        <f>SUM(H68:H69)</f>
        <v>30570.1</v>
      </c>
      <c r="K70" s="475"/>
    </row>
    <row r="71" spans="3:11" ht="14.4" thickTop="1">
      <c r="K71" s="475"/>
    </row>
    <row r="72" spans="3:11" ht="15.75" customHeight="1" thickBot="1">
      <c r="C72" s="44" t="s">
        <v>2808</v>
      </c>
      <c r="D72" s="476" t="s">
        <v>1545</v>
      </c>
      <c r="E72" s="477"/>
      <c r="F72" s="477"/>
      <c r="G72" s="477"/>
      <c r="H72" s="477"/>
      <c r="I72" s="50">
        <f>ROUNDDOWN(H93,-2)</f>
        <v>46900</v>
      </c>
      <c r="K72" s="475"/>
    </row>
    <row r="73" spans="3:11" ht="28.2" thickTop="1">
      <c r="C73" s="51" t="s">
        <v>1195</v>
      </c>
      <c r="D73" s="52" t="s">
        <v>1196</v>
      </c>
      <c r="E73" s="52" t="s">
        <v>1197</v>
      </c>
      <c r="F73" s="52" t="s">
        <v>1198</v>
      </c>
      <c r="G73" s="52" t="s">
        <v>1199</v>
      </c>
      <c r="H73" s="53" t="s">
        <v>1200</v>
      </c>
      <c r="K73" s="475"/>
    </row>
    <row r="74" spans="3:11" ht="19.8" customHeight="1">
      <c r="C74" s="55" t="s">
        <v>1201</v>
      </c>
      <c r="D74" s="56" t="s">
        <v>1202</v>
      </c>
      <c r="E74" s="57"/>
      <c r="F74" s="57"/>
      <c r="G74" s="57"/>
      <c r="H74" s="58"/>
      <c r="K74" s="475"/>
    </row>
    <row r="75" spans="3:11" ht="19.8" customHeight="1">
      <c r="C75" s="60">
        <v>1</v>
      </c>
      <c r="D75" s="56" t="s">
        <v>5</v>
      </c>
      <c r="E75" s="61" t="s">
        <v>6</v>
      </c>
      <c r="F75" s="101">
        <v>7.0000000000000007E-2</v>
      </c>
      <c r="G75" s="63">
        <f>VLOOKUP(D75,upahbahan,3,FALSE)</f>
        <v>100000</v>
      </c>
      <c r="H75" s="64">
        <f t="shared" ref="H75:H78" si="9">F75*G75</f>
        <v>7000.0000000000009</v>
      </c>
      <c r="K75" s="475"/>
    </row>
    <row r="76" spans="3:11" ht="19.8" customHeight="1">
      <c r="C76" s="60">
        <v>2</v>
      </c>
      <c r="D76" s="56" t="s">
        <v>12</v>
      </c>
      <c r="E76" s="61" t="s">
        <v>6</v>
      </c>
      <c r="F76" s="101">
        <v>0.105</v>
      </c>
      <c r="G76" s="63">
        <f>VLOOKUP(D76,upahbahan,3,FALSE)</f>
        <v>135000</v>
      </c>
      <c r="H76" s="64">
        <f t="shared" si="9"/>
        <v>14175</v>
      </c>
      <c r="K76" s="475"/>
    </row>
    <row r="77" spans="3:11" ht="19.8" customHeight="1">
      <c r="C77" s="60">
        <v>3</v>
      </c>
      <c r="D77" s="56" t="s">
        <v>18</v>
      </c>
      <c r="E77" s="61" t="s">
        <v>6</v>
      </c>
      <c r="F77" s="101">
        <v>1.0500000000000001E-2</v>
      </c>
      <c r="G77" s="63">
        <f>VLOOKUP(D77,upahbahan,3,FALSE)</f>
        <v>150000</v>
      </c>
      <c r="H77" s="64">
        <f t="shared" si="9"/>
        <v>1575</v>
      </c>
      <c r="K77" s="475"/>
    </row>
    <row r="78" spans="3:11" ht="19.8" customHeight="1">
      <c r="C78" s="60">
        <v>4</v>
      </c>
      <c r="D78" s="56" t="s">
        <v>19</v>
      </c>
      <c r="E78" s="61" t="s">
        <v>6</v>
      </c>
      <c r="F78" s="101">
        <v>3.5000000000000001E-3</v>
      </c>
      <c r="G78" s="63">
        <f>VLOOKUP(D78,upahbahan,3,FALSE)</f>
        <v>160000</v>
      </c>
      <c r="H78" s="64">
        <f t="shared" si="9"/>
        <v>560</v>
      </c>
      <c r="K78" s="475"/>
    </row>
    <row r="79" spans="3:11" ht="19.8" customHeight="1">
      <c r="C79" s="66" t="s">
        <v>1208</v>
      </c>
      <c r="D79" s="67"/>
      <c r="E79" s="67"/>
      <c r="F79" s="68"/>
      <c r="G79" s="459"/>
      <c r="H79" s="64">
        <f>SUM(H75:H78)</f>
        <v>23310</v>
      </c>
      <c r="K79" s="475"/>
    </row>
    <row r="80" spans="3:11" ht="19.8" customHeight="1">
      <c r="C80" s="55" t="s">
        <v>1209</v>
      </c>
      <c r="D80" s="56" t="s">
        <v>1210</v>
      </c>
      <c r="E80" s="57"/>
      <c r="F80" s="57"/>
      <c r="G80" s="57"/>
      <c r="H80" s="58"/>
      <c r="K80" s="475"/>
    </row>
    <row r="81" spans="3:11" ht="19.8" customHeight="1">
      <c r="C81" s="60">
        <v>1</v>
      </c>
      <c r="D81" s="56" t="s">
        <v>590</v>
      </c>
      <c r="E81" s="61" t="s">
        <v>65</v>
      </c>
      <c r="F81" s="62">
        <v>0.2</v>
      </c>
      <c r="G81" s="63">
        <f t="shared" ref="G81:G87" si="10">VLOOKUP(D81,upahbahan,3,FALSE)</f>
        <v>34500</v>
      </c>
      <c r="H81" s="64">
        <f t="shared" ref="H81:H87" si="11">F81*G81</f>
        <v>6900</v>
      </c>
      <c r="K81" s="475"/>
    </row>
    <row r="82" spans="3:11" ht="19.8" customHeight="1">
      <c r="C82" s="60">
        <v>2</v>
      </c>
      <c r="D82" s="56" t="s">
        <v>595</v>
      </c>
      <c r="E82" s="61" t="s">
        <v>65</v>
      </c>
      <c r="F82" s="62">
        <v>0.15</v>
      </c>
      <c r="G82" s="63">
        <f t="shared" si="10"/>
        <v>30100</v>
      </c>
      <c r="H82" s="64">
        <f t="shared" si="11"/>
        <v>4515</v>
      </c>
      <c r="K82" s="475"/>
    </row>
    <row r="83" spans="3:11" ht="19.8" customHeight="1">
      <c r="C83" s="60">
        <v>3</v>
      </c>
      <c r="D83" s="56" t="s">
        <v>572</v>
      </c>
      <c r="E83" s="61" t="s">
        <v>65</v>
      </c>
      <c r="F83" s="62">
        <v>0.17</v>
      </c>
      <c r="G83" s="63">
        <f t="shared" si="10"/>
        <v>38200</v>
      </c>
      <c r="H83" s="64">
        <f t="shared" si="11"/>
        <v>6494.0000000000009</v>
      </c>
      <c r="K83" s="475"/>
    </row>
    <row r="84" spans="3:11" ht="19.8" customHeight="1">
      <c r="C84" s="60">
        <v>4</v>
      </c>
      <c r="D84" s="56" t="s">
        <v>578</v>
      </c>
      <c r="E84" s="61" t="s">
        <v>65</v>
      </c>
      <c r="F84" s="62">
        <v>0.35</v>
      </c>
      <c r="G84" s="63">
        <f t="shared" si="10"/>
        <v>0</v>
      </c>
      <c r="H84" s="64">
        <f t="shared" si="11"/>
        <v>0</v>
      </c>
      <c r="K84" s="475"/>
    </row>
    <row r="85" spans="3:11" ht="19.8" customHeight="1">
      <c r="C85" s="60">
        <v>5</v>
      </c>
      <c r="D85" s="56" t="s">
        <v>587</v>
      </c>
      <c r="E85" s="61" t="s">
        <v>44</v>
      </c>
      <c r="F85" s="62">
        <v>0.01</v>
      </c>
      <c r="G85" s="63">
        <f t="shared" si="10"/>
        <v>10400</v>
      </c>
      <c r="H85" s="64">
        <f t="shared" si="11"/>
        <v>104</v>
      </c>
      <c r="K85" s="475"/>
    </row>
    <row r="86" spans="3:11" ht="19.8" customHeight="1">
      <c r="C86" s="60">
        <v>6</v>
      </c>
      <c r="D86" s="56" t="s">
        <v>593</v>
      </c>
      <c r="E86" s="61" t="s">
        <v>65</v>
      </c>
      <c r="F86" s="62">
        <v>0.03</v>
      </c>
      <c r="G86" s="63">
        <f t="shared" si="10"/>
        <v>20000</v>
      </c>
      <c r="H86" s="64">
        <f t="shared" si="11"/>
        <v>600</v>
      </c>
      <c r="K86" s="475"/>
    </row>
    <row r="87" spans="3:11" ht="19.8" customHeight="1">
      <c r="C87" s="60">
        <v>7</v>
      </c>
      <c r="D87" s="56" t="s">
        <v>967</v>
      </c>
      <c r="E87" s="73" t="s">
        <v>129</v>
      </c>
      <c r="F87" s="62">
        <v>0.2</v>
      </c>
      <c r="G87" s="63">
        <f t="shared" si="10"/>
        <v>3900</v>
      </c>
      <c r="H87" s="64">
        <f t="shared" si="11"/>
        <v>780</v>
      </c>
      <c r="K87" s="475"/>
    </row>
    <row r="88" spans="3:11" ht="19.8" customHeight="1">
      <c r="C88" s="66" t="s">
        <v>1214</v>
      </c>
      <c r="D88" s="67"/>
      <c r="E88" s="67"/>
      <c r="F88" s="67"/>
      <c r="G88" s="69"/>
      <c r="H88" s="64">
        <f>SUM(H81:H87)</f>
        <v>19393</v>
      </c>
      <c r="K88" s="475"/>
    </row>
    <row r="89" spans="3:11" ht="19.8" customHeight="1">
      <c r="C89" s="167" t="s">
        <v>1215</v>
      </c>
      <c r="D89" s="56" t="s">
        <v>1216</v>
      </c>
      <c r="E89" s="57"/>
      <c r="F89" s="57"/>
      <c r="G89" s="57"/>
      <c r="H89" s="58"/>
      <c r="K89" s="475"/>
    </row>
    <row r="90" spans="3:11" ht="19.8" customHeight="1">
      <c r="C90" s="66" t="s">
        <v>1217</v>
      </c>
      <c r="D90" s="67"/>
      <c r="E90" s="67"/>
      <c r="F90" s="67"/>
      <c r="G90" s="69"/>
      <c r="H90" s="74">
        <v>0</v>
      </c>
      <c r="K90" s="475"/>
    </row>
    <row r="91" spans="3:11" ht="19.8" customHeight="1">
      <c r="C91" s="75" t="s">
        <v>1218</v>
      </c>
      <c r="D91" s="76" t="s">
        <v>1219</v>
      </c>
      <c r="E91" s="77"/>
      <c r="F91" s="77"/>
      <c r="G91" s="78"/>
      <c r="H91" s="64">
        <f>H90+H88+H79</f>
        <v>42703</v>
      </c>
      <c r="K91" s="475"/>
    </row>
    <row r="92" spans="3:11" ht="19.8" customHeight="1">
      <c r="C92" s="75" t="s">
        <v>1220</v>
      </c>
      <c r="D92" s="76" t="s">
        <v>1321</v>
      </c>
      <c r="E92" s="77"/>
      <c r="F92" s="78"/>
      <c r="G92" s="80">
        <f>$M$7</f>
        <v>0.1</v>
      </c>
      <c r="H92" s="64">
        <f>H91*G92</f>
        <v>4270.3</v>
      </c>
      <c r="K92" s="475"/>
    </row>
    <row r="93" spans="3:11" ht="19.8" customHeight="1" thickBot="1">
      <c r="C93" s="81" t="s">
        <v>1221</v>
      </c>
      <c r="D93" s="82" t="s">
        <v>1222</v>
      </c>
      <c r="E93" s="83"/>
      <c r="F93" s="83"/>
      <c r="G93" s="84"/>
      <c r="H93" s="85">
        <f>SUM(H91:H92)</f>
        <v>46973.3</v>
      </c>
      <c r="K93" s="475"/>
    </row>
    <row r="94" spans="3:11" ht="14.4" thickTop="1">
      <c r="C94" s="89"/>
      <c r="D94" s="90"/>
      <c r="E94" s="90"/>
      <c r="F94" s="90"/>
      <c r="G94" s="90"/>
      <c r="H94" s="91"/>
      <c r="K94" s="475"/>
    </row>
    <row r="95" spans="3:11" ht="14.4" thickBot="1">
      <c r="C95" s="44" t="s">
        <v>2809</v>
      </c>
      <c r="D95" s="451" t="s">
        <v>1546</v>
      </c>
      <c r="E95" s="275"/>
      <c r="F95" s="275"/>
      <c r="G95" s="275"/>
      <c r="H95" s="275"/>
      <c r="I95" s="50">
        <f>ROUNDDOWN(H110,-2)</f>
        <v>26700</v>
      </c>
      <c r="K95" s="475"/>
    </row>
    <row r="96" spans="3:11" ht="28.2" thickTop="1">
      <c r="C96" s="51" t="s">
        <v>1195</v>
      </c>
      <c r="D96" s="52" t="s">
        <v>1196</v>
      </c>
      <c r="E96" s="52" t="s">
        <v>1197</v>
      </c>
      <c r="F96" s="52" t="s">
        <v>1198</v>
      </c>
      <c r="G96" s="52" t="s">
        <v>1199</v>
      </c>
      <c r="H96" s="53" t="s">
        <v>1200</v>
      </c>
      <c r="K96" s="475"/>
    </row>
    <row r="97" spans="3:11" ht="21" customHeight="1">
      <c r="C97" s="55" t="s">
        <v>1201</v>
      </c>
      <c r="D97" s="56" t="s">
        <v>1202</v>
      </c>
      <c r="E97" s="57"/>
      <c r="F97" s="57"/>
      <c r="G97" s="57"/>
      <c r="H97" s="58"/>
      <c r="K97" s="475"/>
    </row>
    <row r="98" spans="3:11" ht="21" customHeight="1">
      <c r="C98" s="60">
        <v>1</v>
      </c>
      <c r="D98" s="56" t="s">
        <v>5</v>
      </c>
      <c r="E98" s="61" t="s">
        <v>6</v>
      </c>
      <c r="F98" s="101">
        <v>0.04</v>
      </c>
      <c r="G98" s="63">
        <f>VLOOKUP(D98,upahbahan,3,FALSE)</f>
        <v>100000</v>
      </c>
      <c r="H98" s="64">
        <f t="shared" ref="H98:H101" si="12">F98*G98</f>
        <v>4000</v>
      </c>
      <c r="K98" s="475"/>
    </row>
    <row r="99" spans="3:11" ht="21" customHeight="1">
      <c r="C99" s="60">
        <v>2</v>
      </c>
      <c r="D99" s="56" t="s">
        <v>12</v>
      </c>
      <c r="E99" s="61" t="s">
        <v>6</v>
      </c>
      <c r="F99" s="101">
        <v>6.3E-2</v>
      </c>
      <c r="G99" s="63">
        <f>VLOOKUP(D99,upahbahan,3,FALSE)</f>
        <v>135000</v>
      </c>
      <c r="H99" s="64">
        <f t="shared" si="12"/>
        <v>8505</v>
      </c>
      <c r="K99" s="475"/>
    </row>
    <row r="100" spans="3:11" ht="21" customHeight="1">
      <c r="C100" s="60">
        <v>3</v>
      </c>
      <c r="D100" s="56" t="s">
        <v>18</v>
      </c>
      <c r="E100" s="61" t="s">
        <v>6</v>
      </c>
      <c r="F100" s="101">
        <v>6.3E-3</v>
      </c>
      <c r="G100" s="63">
        <f>VLOOKUP(D100,upahbahan,3,FALSE)</f>
        <v>150000</v>
      </c>
      <c r="H100" s="64">
        <f t="shared" si="12"/>
        <v>945</v>
      </c>
      <c r="K100" s="475"/>
    </row>
    <row r="101" spans="3:11" ht="21" customHeight="1">
      <c r="C101" s="60">
        <v>4</v>
      </c>
      <c r="D101" s="56" t="s">
        <v>19</v>
      </c>
      <c r="E101" s="61" t="s">
        <v>6</v>
      </c>
      <c r="F101" s="101">
        <v>2.0999999999999999E-3</v>
      </c>
      <c r="G101" s="63">
        <f>VLOOKUP(D101,upahbahan,3,FALSE)</f>
        <v>160000</v>
      </c>
      <c r="H101" s="64">
        <f t="shared" si="12"/>
        <v>336</v>
      </c>
      <c r="K101" s="475"/>
    </row>
    <row r="102" spans="3:11" ht="21" customHeight="1">
      <c r="C102" s="66" t="s">
        <v>1208</v>
      </c>
      <c r="D102" s="67"/>
      <c r="E102" s="67"/>
      <c r="F102" s="68"/>
      <c r="G102" s="459"/>
      <c r="H102" s="64">
        <f>SUM(H98:H101)</f>
        <v>13786</v>
      </c>
      <c r="K102" s="475"/>
    </row>
    <row r="103" spans="3:11" ht="21" customHeight="1">
      <c r="C103" s="55" t="s">
        <v>1209</v>
      </c>
      <c r="D103" s="56" t="s">
        <v>1210</v>
      </c>
      <c r="E103" s="57"/>
      <c r="F103" s="57"/>
      <c r="G103" s="57"/>
      <c r="H103" s="58"/>
      <c r="K103" s="475"/>
    </row>
    <row r="104" spans="3:11" ht="21" customHeight="1">
      <c r="C104" s="60">
        <v>1</v>
      </c>
      <c r="D104" s="56" t="s">
        <v>766</v>
      </c>
      <c r="E104" s="61" t="s">
        <v>529</v>
      </c>
      <c r="F104" s="62">
        <v>0.36</v>
      </c>
      <c r="G104" s="63">
        <f>VLOOKUP(D104,upahbahan,3,FALSE)</f>
        <v>29200</v>
      </c>
      <c r="H104" s="64">
        <f>F104*G104</f>
        <v>10512</v>
      </c>
      <c r="K104" s="475"/>
    </row>
    <row r="105" spans="3:11" ht="21" customHeight="1">
      <c r="C105" s="66" t="s">
        <v>1214</v>
      </c>
      <c r="D105" s="67"/>
      <c r="E105" s="67"/>
      <c r="F105" s="67"/>
      <c r="G105" s="69"/>
      <c r="H105" s="64">
        <f>SUM(H104)</f>
        <v>10512</v>
      </c>
      <c r="K105" s="475"/>
    </row>
    <row r="106" spans="3:11" ht="21" customHeight="1">
      <c r="C106" s="167" t="s">
        <v>1215</v>
      </c>
      <c r="D106" s="56" t="s">
        <v>1216</v>
      </c>
      <c r="E106" s="57"/>
      <c r="F106" s="57"/>
      <c r="G106" s="57"/>
      <c r="H106" s="58"/>
      <c r="K106" s="475"/>
    </row>
    <row r="107" spans="3:11" ht="21" customHeight="1">
      <c r="C107" s="66" t="s">
        <v>1217</v>
      </c>
      <c r="D107" s="67"/>
      <c r="E107" s="67"/>
      <c r="F107" s="67"/>
      <c r="G107" s="69"/>
      <c r="H107" s="74">
        <v>0</v>
      </c>
      <c r="K107" s="475"/>
    </row>
    <row r="108" spans="3:11" ht="21" customHeight="1">
      <c r="C108" s="75" t="s">
        <v>1218</v>
      </c>
      <c r="D108" s="76" t="s">
        <v>1219</v>
      </c>
      <c r="E108" s="77"/>
      <c r="F108" s="77"/>
      <c r="G108" s="78"/>
      <c r="H108" s="64">
        <f>H107+H105+H102</f>
        <v>24298</v>
      </c>
      <c r="K108" s="475"/>
    </row>
    <row r="109" spans="3:11" ht="21" customHeight="1">
      <c r="C109" s="75" t="s">
        <v>1220</v>
      </c>
      <c r="D109" s="76" t="s">
        <v>1321</v>
      </c>
      <c r="E109" s="77"/>
      <c r="F109" s="78"/>
      <c r="G109" s="80">
        <f>$M$7</f>
        <v>0.1</v>
      </c>
      <c r="H109" s="64">
        <f>H108*G109</f>
        <v>2429.8000000000002</v>
      </c>
      <c r="K109" s="475"/>
    </row>
    <row r="110" spans="3:11" ht="21" customHeight="1" thickBot="1">
      <c r="C110" s="81" t="s">
        <v>1221</v>
      </c>
      <c r="D110" s="82" t="s">
        <v>1222</v>
      </c>
      <c r="E110" s="83"/>
      <c r="F110" s="83"/>
      <c r="G110" s="84"/>
      <c r="H110" s="85">
        <f>SUM(H108:H109)</f>
        <v>26727.8</v>
      </c>
      <c r="K110" s="475"/>
    </row>
    <row r="111" spans="3:11" ht="14.4" thickTop="1">
      <c r="C111" s="89"/>
      <c r="D111" s="90"/>
      <c r="E111" s="90"/>
      <c r="F111" s="90"/>
      <c r="G111" s="90"/>
      <c r="H111" s="91"/>
      <c r="K111" s="475"/>
    </row>
    <row r="112" spans="3:11" ht="14.4" thickBot="1">
      <c r="C112" s="44" t="s">
        <v>2810</v>
      </c>
      <c r="D112" s="451" t="s">
        <v>1547</v>
      </c>
      <c r="E112" s="275"/>
      <c r="F112" s="275"/>
      <c r="G112" s="275"/>
      <c r="H112" s="275"/>
      <c r="I112" s="50">
        <f>ROUNDDOWN(H129,-2)</f>
        <v>62400</v>
      </c>
      <c r="K112" s="475"/>
    </row>
    <row r="113" spans="3:11" ht="28.2" thickTop="1">
      <c r="C113" s="51" t="s">
        <v>1195</v>
      </c>
      <c r="D113" s="52" t="s">
        <v>1196</v>
      </c>
      <c r="E113" s="52" t="s">
        <v>1197</v>
      </c>
      <c r="F113" s="52" t="s">
        <v>1198</v>
      </c>
      <c r="G113" s="52" t="s">
        <v>1199</v>
      </c>
      <c r="H113" s="53" t="s">
        <v>1200</v>
      </c>
      <c r="K113" s="475"/>
    </row>
    <row r="114" spans="3:11" ht="21.6" customHeight="1">
      <c r="C114" s="55" t="s">
        <v>1201</v>
      </c>
      <c r="D114" s="56" t="s">
        <v>1202</v>
      </c>
      <c r="E114" s="57"/>
      <c r="F114" s="57"/>
      <c r="G114" s="57"/>
      <c r="H114" s="58"/>
      <c r="K114" s="475"/>
    </row>
    <row r="115" spans="3:11" ht="21.6" customHeight="1">
      <c r="C115" s="60">
        <v>1</v>
      </c>
      <c r="D115" s="56" t="s">
        <v>5</v>
      </c>
      <c r="E115" s="61" t="s">
        <v>6</v>
      </c>
      <c r="F115" s="62">
        <v>0.04</v>
      </c>
      <c r="G115" s="63">
        <f>VLOOKUP(D115,upahbahan,3,FALSE)</f>
        <v>100000</v>
      </c>
      <c r="H115" s="64">
        <f t="shared" ref="H115:H118" si="13">F115*G115</f>
        <v>4000</v>
      </c>
      <c r="K115" s="475"/>
    </row>
    <row r="116" spans="3:11" ht="21.6" customHeight="1">
      <c r="C116" s="60">
        <v>2</v>
      </c>
      <c r="D116" s="56" t="s">
        <v>12</v>
      </c>
      <c r="E116" s="61" t="s">
        <v>6</v>
      </c>
      <c r="F116" s="62">
        <v>0.06</v>
      </c>
      <c r="G116" s="63">
        <f>VLOOKUP(D116,upahbahan,3,FALSE)</f>
        <v>135000</v>
      </c>
      <c r="H116" s="64">
        <f t="shared" si="13"/>
        <v>8100</v>
      </c>
      <c r="K116" s="475"/>
    </row>
    <row r="117" spans="3:11" ht="21.6" customHeight="1">
      <c r="C117" s="60">
        <v>3</v>
      </c>
      <c r="D117" s="56" t="s">
        <v>18</v>
      </c>
      <c r="E117" s="61" t="s">
        <v>6</v>
      </c>
      <c r="F117" s="98">
        <v>6.0000000000000001E-3</v>
      </c>
      <c r="G117" s="63">
        <f>VLOOKUP(D117,upahbahan,3,FALSE)</f>
        <v>150000</v>
      </c>
      <c r="H117" s="64">
        <f t="shared" si="13"/>
        <v>900</v>
      </c>
      <c r="K117" s="475"/>
    </row>
    <row r="118" spans="3:11" ht="21.6" customHeight="1">
      <c r="C118" s="60">
        <v>4</v>
      </c>
      <c r="D118" s="56" t="s">
        <v>19</v>
      </c>
      <c r="E118" s="61" t="s">
        <v>6</v>
      </c>
      <c r="F118" s="98">
        <v>2E-3</v>
      </c>
      <c r="G118" s="63">
        <f>VLOOKUP(D118,upahbahan,3,FALSE)</f>
        <v>160000</v>
      </c>
      <c r="H118" s="64">
        <f t="shared" si="13"/>
        <v>320</v>
      </c>
      <c r="K118" s="475"/>
    </row>
    <row r="119" spans="3:11" ht="21.6" customHeight="1">
      <c r="C119" s="66" t="s">
        <v>1208</v>
      </c>
      <c r="D119" s="67"/>
      <c r="E119" s="67"/>
      <c r="F119" s="68"/>
      <c r="G119" s="459"/>
      <c r="H119" s="64">
        <f>SUM(H115:H118)</f>
        <v>13320</v>
      </c>
      <c r="K119" s="475"/>
    </row>
    <row r="120" spans="3:11" ht="21.6" customHeight="1">
      <c r="C120" s="55" t="s">
        <v>1209</v>
      </c>
      <c r="D120" s="56" t="s">
        <v>1210</v>
      </c>
      <c r="E120" s="57"/>
      <c r="F120" s="57"/>
      <c r="G120" s="57"/>
      <c r="H120" s="58"/>
      <c r="K120" s="475"/>
    </row>
    <row r="121" spans="3:11" ht="21.6" customHeight="1">
      <c r="C121" s="60">
        <v>1</v>
      </c>
      <c r="D121" s="56" t="s">
        <v>591</v>
      </c>
      <c r="E121" s="61" t="s">
        <v>529</v>
      </c>
      <c r="F121" s="62">
        <v>0.15</v>
      </c>
      <c r="G121" s="63">
        <f>VLOOKUP(D121,upahbahan,3,FALSE)</f>
        <v>73700</v>
      </c>
      <c r="H121" s="64">
        <f t="shared" ref="H121:H123" si="14">F121*G121</f>
        <v>11055</v>
      </c>
      <c r="K121" s="475"/>
    </row>
    <row r="122" spans="3:11" ht="21.6" customHeight="1">
      <c r="C122" s="60">
        <v>2</v>
      </c>
      <c r="D122" s="56" t="s">
        <v>592</v>
      </c>
      <c r="E122" s="61" t="s">
        <v>529</v>
      </c>
      <c r="F122" s="62">
        <v>0.372</v>
      </c>
      <c r="G122" s="63">
        <f>VLOOKUP(D122,upahbahan,3,FALSE)</f>
        <v>66200</v>
      </c>
      <c r="H122" s="64">
        <f t="shared" si="14"/>
        <v>24626.400000000001</v>
      </c>
      <c r="K122" s="475"/>
    </row>
    <row r="123" spans="3:11" ht="21.6" customHeight="1">
      <c r="C123" s="60">
        <v>3</v>
      </c>
      <c r="D123" s="56" t="s">
        <v>967</v>
      </c>
      <c r="E123" s="73" t="s">
        <v>129</v>
      </c>
      <c r="F123" s="62">
        <v>2</v>
      </c>
      <c r="G123" s="63">
        <f>VLOOKUP(D123,upahbahan,3,FALSE)</f>
        <v>3900</v>
      </c>
      <c r="H123" s="64">
        <f t="shared" si="14"/>
        <v>7800</v>
      </c>
      <c r="K123" s="475"/>
    </row>
    <row r="124" spans="3:11" ht="21.6" customHeight="1">
      <c r="C124" s="66" t="s">
        <v>1214</v>
      </c>
      <c r="D124" s="67"/>
      <c r="E124" s="67"/>
      <c r="F124" s="67"/>
      <c r="G124" s="69"/>
      <c r="H124" s="64">
        <f>SUM(H121:H123)</f>
        <v>43481.4</v>
      </c>
      <c r="K124" s="475"/>
    </row>
    <row r="125" spans="3:11" ht="21.6" customHeight="1">
      <c r="C125" s="167" t="s">
        <v>1215</v>
      </c>
      <c r="D125" s="56" t="s">
        <v>1216</v>
      </c>
      <c r="E125" s="57"/>
      <c r="F125" s="57"/>
      <c r="G125" s="57"/>
      <c r="H125" s="58"/>
      <c r="K125" s="475"/>
    </row>
    <row r="126" spans="3:11" ht="21.6" customHeight="1">
      <c r="C126" s="66" t="s">
        <v>1217</v>
      </c>
      <c r="D126" s="67"/>
      <c r="E126" s="67"/>
      <c r="F126" s="67"/>
      <c r="G126" s="69"/>
      <c r="H126" s="74">
        <v>0</v>
      </c>
      <c r="K126" s="475"/>
    </row>
    <row r="127" spans="3:11" ht="21.6" customHeight="1">
      <c r="C127" s="75" t="s">
        <v>1218</v>
      </c>
      <c r="D127" s="76" t="s">
        <v>1219</v>
      </c>
      <c r="E127" s="77"/>
      <c r="F127" s="77"/>
      <c r="G127" s="78"/>
      <c r="H127" s="64">
        <f>H126+H124+H119</f>
        <v>56801.4</v>
      </c>
      <c r="K127" s="475"/>
    </row>
    <row r="128" spans="3:11" ht="21.6" customHeight="1">
      <c r="C128" s="75" t="s">
        <v>1220</v>
      </c>
      <c r="D128" s="76" t="s">
        <v>1321</v>
      </c>
      <c r="E128" s="77"/>
      <c r="F128" s="78"/>
      <c r="G128" s="80">
        <f>$M$7</f>
        <v>0.1</v>
      </c>
      <c r="H128" s="64">
        <f>H127*G128</f>
        <v>5680.14</v>
      </c>
      <c r="K128" s="475"/>
    </row>
    <row r="129" spans="3:11" ht="21.6" customHeight="1" thickBot="1">
      <c r="C129" s="81" t="s">
        <v>1221</v>
      </c>
      <c r="D129" s="82" t="s">
        <v>1222</v>
      </c>
      <c r="E129" s="83"/>
      <c r="F129" s="83"/>
      <c r="G129" s="84"/>
      <c r="H129" s="85">
        <f>SUM(H127:H128)</f>
        <v>62481.54</v>
      </c>
      <c r="K129" s="475"/>
    </row>
    <row r="130" spans="3:11" ht="14.4" thickTop="1">
      <c r="C130" s="89"/>
      <c r="D130" s="90"/>
      <c r="E130" s="90"/>
      <c r="F130" s="90"/>
      <c r="G130" s="90"/>
      <c r="H130" s="91"/>
      <c r="K130" s="475"/>
    </row>
    <row r="131" spans="3:11" ht="14.4" thickBot="1">
      <c r="C131" s="44" t="s">
        <v>2811</v>
      </c>
      <c r="D131" s="451" t="s">
        <v>2812</v>
      </c>
      <c r="E131" s="275"/>
      <c r="F131" s="275"/>
      <c r="G131" s="275"/>
      <c r="H131" s="275"/>
      <c r="I131" s="50">
        <f>ROUNDDOWN(H144,-2)</f>
        <v>19900</v>
      </c>
      <c r="K131" s="475"/>
    </row>
    <row r="132" spans="3:11" ht="28.2" thickTop="1">
      <c r="C132" s="51" t="s">
        <v>1195</v>
      </c>
      <c r="D132" s="52" t="s">
        <v>1196</v>
      </c>
      <c r="E132" s="52" t="s">
        <v>1197</v>
      </c>
      <c r="F132" s="52" t="s">
        <v>1198</v>
      </c>
      <c r="G132" s="52" t="s">
        <v>1199</v>
      </c>
      <c r="H132" s="53" t="s">
        <v>1200</v>
      </c>
      <c r="K132" s="475"/>
    </row>
    <row r="133" spans="3:11" ht="21" customHeight="1">
      <c r="C133" s="55" t="s">
        <v>1201</v>
      </c>
      <c r="D133" s="56" t="s">
        <v>1202</v>
      </c>
      <c r="E133" s="57"/>
      <c r="F133" s="57"/>
      <c r="G133" s="57"/>
      <c r="H133" s="58"/>
      <c r="K133" s="475"/>
    </row>
    <row r="134" spans="3:11" ht="21" customHeight="1">
      <c r="C134" s="60">
        <v>1</v>
      </c>
      <c r="D134" s="56" t="s">
        <v>5</v>
      </c>
      <c r="E134" s="61" t="s">
        <v>6</v>
      </c>
      <c r="F134" s="62">
        <v>0.1</v>
      </c>
      <c r="G134" s="63">
        <f>VLOOKUP(D134,upahbahan,3,FALSE)</f>
        <v>100000</v>
      </c>
      <c r="H134" s="64">
        <f t="shared" ref="H134:H135" si="15">F134*G134</f>
        <v>10000</v>
      </c>
      <c r="K134" s="475"/>
    </row>
    <row r="135" spans="3:11" ht="21" customHeight="1">
      <c r="C135" s="60">
        <v>2</v>
      </c>
      <c r="D135" s="56" t="s">
        <v>19</v>
      </c>
      <c r="E135" s="61" t="s">
        <v>6</v>
      </c>
      <c r="F135" s="62">
        <v>5.0000000000000001E-3</v>
      </c>
      <c r="G135" s="63">
        <f>VLOOKUP(D135,upahbahan,3,FALSE)</f>
        <v>160000</v>
      </c>
      <c r="H135" s="64">
        <f t="shared" si="15"/>
        <v>800</v>
      </c>
      <c r="K135" s="475"/>
    </row>
    <row r="136" spans="3:11" ht="21" customHeight="1">
      <c r="C136" s="66" t="s">
        <v>1208</v>
      </c>
      <c r="D136" s="67"/>
      <c r="E136" s="67"/>
      <c r="F136" s="68"/>
      <c r="G136" s="459"/>
      <c r="H136" s="64">
        <f>SUM(H134:H135)</f>
        <v>10800</v>
      </c>
      <c r="K136" s="475"/>
    </row>
    <row r="137" spans="3:11" ht="21" customHeight="1">
      <c r="C137" s="55" t="s">
        <v>1209</v>
      </c>
      <c r="D137" s="56" t="s">
        <v>1210</v>
      </c>
      <c r="E137" s="57"/>
      <c r="F137" s="57"/>
      <c r="G137" s="57"/>
      <c r="H137" s="58"/>
      <c r="K137" s="475"/>
    </row>
    <row r="138" spans="3:11" ht="21" customHeight="1">
      <c r="C138" s="60">
        <v>1</v>
      </c>
      <c r="D138" s="56" t="s">
        <v>762</v>
      </c>
      <c r="E138" s="61" t="s">
        <v>529</v>
      </c>
      <c r="F138" s="62">
        <v>0.35</v>
      </c>
      <c r="G138" s="63">
        <f>VLOOKUP(D138,upahbahan,3,FALSE)</f>
        <v>21000</v>
      </c>
      <c r="H138" s="64">
        <f t="shared" ref="H138" si="16">F138*G138</f>
        <v>7349.9999999999991</v>
      </c>
      <c r="K138" s="475"/>
    </row>
    <row r="139" spans="3:11" ht="21" customHeight="1">
      <c r="C139" s="66" t="s">
        <v>1214</v>
      </c>
      <c r="D139" s="67"/>
      <c r="E139" s="67"/>
      <c r="F139" s="67"/>
      <c r="G139" s="69"/>
      <c r="H139" s="64">
        <f>SUM(H138)</f>
        <v>7349.9999999999991</v>
      </c>
      <c r="K139" s="475"/>
    </row>
    <row r="140" spans="3:11" ht="21" customHeight="1">
      <c r="C140" s="167" t="s">
        <v>1215</v>
      </c>
      <c r="D140" s="56" t="s">
        <v>1216</v>
      </c>
      <c r="E140" s="57"/>
      <c r="F140" s="57"/>
      <c r="G140" s="57"/>
      <c r="H140" s="58"/>
      <c r="K140" s="475"/>
    </row>
    <row r="141" spans="3:11" ht="21" customHeight="1">
      <c r="C141" s="66" t="s">
        <v>1217</v>
      </c>
      <c r="D141" s="67"/>
      <c r="E141" s="67"/>
      <c r="F141" s="67"/>
      <c r="G141" s="69"/>
      <c r="H141" s="74">
        <v>0</v>
      </c>
      <c r="K141" s="475"/>
    </row>
    <row r="142" spans="3:11" ht="21" customHeight="1">
      <c r="C142" s="75" t="s">
        <v>1218</v>
      </c>
      <c r="D142" s="76" t="s">
        <v>1219</v>
      </c>
      <c r="E142" s="77"/>
      <c r="F142" s="77"/>
      <c r="G142" s="78"/>
      <c r="H142" s="64">
        <f>H141+H139+H136</f>
        <v>18150</v>
      </c>
      <c r="K142" s="475"/>
    </row>
    <row r="143" spans="3:11" ht="21" customHeight="1">
      <c r="C143" s="75" t="s">
        <v>1220</v>
      </c>
      <c r="D143" s="76" t="s">
        <v>1321</v>
      </c>
      <c r="E143" s="77"/>
      <c r="F143" s="78"/>
      <c r="G143" s="80">
        <f>$M$7</f>
        <v>0.1</v>
      </c>
      <c r="H143" s="64">
        <f>H142*G143</f>
        <v>1815</v>
      </c>
      <c r="K143" s="475"/>
    </row>
    <row r="144" spans="3:11" ht="21" customHeight="1" thickBot="1">
      <c r="C144" s="81" t="s">
        <v>1221</v>
      </c>
      <c r="D144" s="82" t="s">
        <v>1222</v>
      </c>
      <c r="E144" s="83"/>
      <c r="F144" s="83"/>
      <c r="G144" s="84"/>
      <c r="H144" s="85">
        <f>SUM(H142:H143)</f>
        <v>19965</v>
      </c>
      <c r="K144" s="475"/>
    </row>
    <row r="145" spans="3:11" ht="14.4" thickTop="1">
      <c r="K145" s="475"/>
    </row>
    <row r="146" spans="3:11" ht="14.4" thickBot="1">
      <c r="C146" s="44" t="s">
        <v>2813</v>
      </c>
      <c r="D146" s="451" t="s">
        <v>1548</v>
      </c>
      <c r="E146" s="151"/>
      <c r="F146" s="151"/>
      <c r="G146" s="151"/>
      <c r="H146" s="151"/>
      <c r="I146" s="50">
        <f>ROUNDDOWN(H163,-2)</f>
        <v>54500</v>
      </c>
      <c r="K146" s="475"/>
    </row>
    <row r="147" spans="3:11" ht="28.2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  <c r="K147" s="475"/>
    </row>
    <row r="148" spans="3:11" ht="21.6" customHeight="1">
      <c r="C148" s="55" t="s">
        <v>1201</v>
      </c>
      <c r="D148" s="56" t="s">
        <v>1202</v>
      </c>
      <c r="E148" s="57"/>
      <c r="F148" s="57"/>
      <c r="G148" s="57"/>
      <c r="H148" s="58"/>
      <c r="K148" s="475"/>
    </row>
    <row r="149" spans="3:11" ht="21.6" customHeight="1">
      <c r="C149" s="60">
        <v>1</v>
      </c>
      <c r="D149" s="56" t="s">
        <v>5</v>
      </c>
      <c r="E149" s="61" t="s">
        <v>6</v>
      </c>
      <c r="F149" s="101">
        <v>0.16</v>
      </c>
      <c r="G149" s="63">
        <f>VLOOKUP(D149,upahbahan,3,FALSE)</f>
        <v>100000</v>
      </c>
      <c r="H149" s="64">
        <f t="shared" ref="H149:H152" si="17">F149*G149</f>
        <v>16000</v>
      </c>
      <c r="K149" s="475"/>
    </row>
    <row r="150" spans="3:11" ht="21.6" customHeight="1">
      <c r="C150" s="60">
        <v>2</v>
      </c>
      <c r="D150" s="56" t="s">
        <v>12</v>
      </c>
      <c r="E150" s="61" t="s">
        <v>6</v>
      </c>
      <c r="F150" s="101">
        <v>0.16</v>
      </c>
      <c r="G150" s="63">
        <f>VLOOKUP(D150,upahbahan,3,FALSE)</f>
        <v>135000</v>
      </c>
      <c r="H150" s="64">
        <f t="shared" si="17"/>
        <v>21600</v>
      </c>
      <c r="K150" s="475"/>
    </row>
    <row r="151" spans="3:11" ht="21.6" customHeight="1">
      <c r="C151" s="60">
        <v>3</v>
      </c>
      <c r="D151" s="56" t="s">
        <v>18</v>
      </c>
      <c r="E151" s="61" t="s">
        <v>6</v>
      </c>
      <c r="F151" s="101">
        <v>1.6E-2</v>
      </c>
      <c r="G151" s="63">
        <f>VLOOKUP(D151,upahbahan,3,FALSE)</f>
        <v>150000</v>
      </c>
      <c r="H151" s="64">
        <f t="shared" si="17"/>
        <v>2400</v>
      </c>
      <c r="K151" s="475"/>
    </row>
    <row r="152" spans="3:11" ht="21.6" customHeight="1">
      <c r="C152" s="60">
        <v>4</v>
      </c>
      <c r="D152" s="56" t="s">
        <v>19</v>
      </c>
      <c r="E152" s="61" t="s">
        <v>6</v>
      </c>
      <c r="F152" s="101">
        <v>5.3E-3</v>
      </c>
      <c r="G152" s="63">
        <f>VLOOKUP(D152,upahbahan,3,FALSE)</f>
        <v>160000</v>
      </c>
      <c r="H152" s="64">
        <f t="shared" si="17"/>
        <v>848</v>
      </c>
      <c r="K152" s="475"/>
    </row>
    <row r="153" spans="3:11" ht="21.6" customHeight="1">
      <c r="C153" s="66" t="s">
        <v>1208</v>
      </c>
      <c r="D153" s="67"/>
      <c r="E153" s="67"/>
      <c r="F153" s="68"/>
      <c r="G153" s="459"/>
      <c r="H153" s="64">
        <f>SUM(H149:H152)</f>
        <v>40848</v>
      </c>
      <c r="K153" s="475"/>
    </row>
    <row r="154" spans="3:11" ht="21.6" customHeight="1">
      <c r="C154" s="55" t="s">
        <v>1209</v>
      </c>
      <c r="D154" s="56" t="s">
        <v>1210</v>
      </c>
      <c r="E154" s="57"/>
      <c r="F154" s="57"/>
      <c r="G154" s="57"/>
      <c r="H154" s="58"/>
      <c r="K154" s="475"/>
    </row>
    <row r="155" spans="3:11" ht="21.6" customHeight="1">
      <c r="C155" s="60">
        <v>1</v>
      </c>
      <c r="D155" s="56" t="s">
        <v>598</v>
      </c>
      <c r="E155" s="61" t="s">
        <v>529</v>
      </c>
      <c r="F155" s="62">
        <v>0.15</v>
      </c>
      <c r="G155" s="63">
        <f>VLOOKUP(D155,upahbahan,3,FALSE)</f>
        <v>44500</v>
      </c>
      <c r="H155" s="64">
        <f t="shared" ref="H155:H157" si="18">F155*G155</f>
        <v>6675</v>
      </c>
      <c r="K155" s="475"/>
    </row>
    <row r="156" spans="3:11" ht="21.6" customHeight="1">
      <c r="C156" s="60">
        <v>2</v>
      </c>
      <c r="D156" s="56" t="s">
        <v>582</v>
      </c>
      <c r="E156" s="61" t="s">
        <v>65</v>
      </c>
      <c r="F156" s="62">
        <v>0.05</v>
      </c>
      <c r="G156" s="63">
        <f>VLOOKUP(D156,upahbahan,3,FALSE)</f>
        <v>33500</v>
      </c>
      <c r="H156" s="64">
        <f t="shared" si="18"/>
        <v>1675</v>
      </c>
      <c r="K156" s="475"/>
    </row>
    <row r="157" spans="3:11" ht="21.6" customHeight="1">
      <c r="C157" s="60">
        <v>3</v>
      </c>
      <c r="D157" s="56" t="s">
        <v>967</v>
      </c>
      <c r="E157" s="73" t="s">
        <v>129</v>
      </c>
      <c r="F157" s="62">
        <v>0.1</v>
      </c>
      <c r="G157" s="63">
        <f>VLOOKUP(D157,upahbahan,3,FALSE)</f>
        <v>3900</v>
      </c>
      <c r="H157" s="64">
        <f t="shared" si="18"/>
        <v>390</v>
      </c>
      <c r="K157" s="475"/>
    </row>
    <row r="158" spans="3:11" ht="21.6" customHeight="1">
      <c r="C158" s="66" t="s">
        <v>1214</v>
      </c>
      <c r="D158" s="67"/>
      <c r="E158" s="67"/>
      <c r="F158" s="67"/>
      <c r="G158" s="69"/>
      <c r="H158" s="64">
        <f>SUM(H155:H157)</f>
        <v>8740</v>
      </c>
      <c r="K158" s="475"/>
    </row>
    <row r="159" spans="3:11" ht="21.6" customHeight="1">
      <c r="C159" s="167" t="s">
        <v>1215</v>
      </c>
      <c r="D159" s="56" t="s">
        <v>1216</v>
      </c>
      <c r="E159" s="57"/>
      <c r="F159" s="57"/>
      <c r="G159" s="57"/>
      <c r="H159" s="58"/>
      <c r="K159" s="475"/>
    </row>
    <row r="160" spans="3:11" ht="21.6" customHeight="1">
      <c r="C160" s="66" t="s">
        <v>1217</v>
      </c>
      <c r="D160" s="67"/>
      <c r="E160" s="67"/>
      <c r="F160" s="67"/>
      <c r="G160" s="69"/>
      <c r="H160" s="74">
        <v>0</v>
      </c>
      <c r="K160" s="475"/>
    </row>
    <row r="161" spans="3:11" ht="21.6" customHeight="1">
      <c r="C161" s="75" t="s">
        <v>1218</v>
      </c>
      <c r="D161" s="76" t="s">
        <v>1219</v>
      </c>
      <c r="E161" s="77"/>
      <c r="F161" s="77"/>
      <c r="G161" s="78"/>
      <c r="H161" s="64">
        <f>H160+H158+H153</f>
        <v>49588</v>
      </c>
      <c r="K161" s="475"/>
    </row>
    <row r="162" spans="3:11" ht="21.6" customHeight="1">
      <c r="C162" s="75" t="s">
        <v>1220</v>
      </c>
      <c r="D162" s="76" t="s">
        <v>1321</v>
      </c>
      <c r="E162" s="77"/>
      <c r="F162" s="78"/>
      <c r="G162" s="80">
        <f>$M$7</f>
        <v>0.1</v>
      </c>
      <c r="H162" s="64">
        <f>H161*G162</f>
        <v>4958.8</v>
      </c>
      <c r="K162" s="475"/>
    </row>
    <row r="163" spans="3:11" ht="21.6" customHeight="1" thickBot="1">
      <c r="C163" s="81" t="s">
        <v>1221</v>
      </c>
      <c r="D163" s="82" t="s">
        <v>1222</v>
      </c>
      <c r="E163" s="83"/>
      <c r="F163" s="83"/>
      <c r="G163" s="84"/>
      <c r="H163" s="85">
        <f>SUM(H161:H162)</f>
        <v>54546.8</v>
      </c>
      <c r="K163" s="475"/>
    </row>
    <row r="164" spans="3:11" ht="14.4" thickTop="1">
      <c r="C164" s="89"/>
      <c r="D164" s="90"/>
      <c r="E164" s="90"/>
      <c r="F164" s="90"/>
      <c r="G164" s="90"/>
      <c r="H164" s="91"/>
      <c r="K164" s="475"/>
    </row>
    <row r="165" spans="3:11">
      <c r="C165" s="478" t="s">
        <v>2814</v>
      </c>
      <c r="D165" s="278" t="s">
        <v>2815</v>
      </c>
      <c r="E165" s="90"/>
      <c r="F165" s="90"/>
      <c r="G165" s="90"/>
      <c r="H165" s="91"/>
      <c r="K165" s="475"/>
    </row>
    <row r="166" spans="3:11" ht="15.75" customHeight="1" thickBot="1">
      <c r="C166" s="44" t="s">
        <v>2816</v>
      </c>
      <c r="D166" s="149" t="s">
        <v>2817</v>
      </c>
      <c r="E166" s="479"/>
      <c r="F166" s="479"/>
      <c r="G166" s="479"/>
      <c r="H166" s="479"/>
      <c r="I166" s="50">
        <f>ROUNDDOWN(H182,-2)</f>
        <v>37500</v>
      </c>
      <c r="K166" s="475"/>
    </row>
    <row r="167" spans="3:11" ht="28.2" thickTop="1">
      <c r="C167" s="51" t="s">
        <v>1195</v>
      </c>
      <c r="D167" s="52" t="s">
        <v>1196</v>
      </c>
      <c r="E167" s="52" t="s">
        <v>1197</v>
      </c>
      <c r="F167" s="52" t="s">
        <v>1198</v>
      </c>
      <c r="G167" s="52" t="s">
        <v>1199</v>
      </c>
      <c r="H167" s="53" t="s">
        <v>1200</v>
      </c>
      <c r="K167" s="475"/>
    </row>
    <row r="168" spans="3:11" ht="21.6" customHeight="1">
      <c r="C168" s="55" t="s">
        <v>1201</v>
      </c>
      <c r="D168" s="56" t="s">
        <v>1202</v>
      </c>
      <c r="E168" s="57"/>
      <c r="F168" s="57"/>
      <c r="G168" s="57"/>
      <c r="H168" s="58"/>
      <c r="K168" s="475"/>
    </row>
    <row r="169" spans="3:11" ht="21.6" customHeight="1">
      <c r="C169" s="60">
        <v>1</v>
      </c>
      <c r="D169" s="56" t="s">
        <v>5</v>
      </c>
      <c r="E169" s="61" t="s">
        <v>6</v>
      </c>
      <c r="F169" s="98">
        <v>6.6699999999999995E-2</v>
      </c>
      <c r="G169" s="63">
        <f>VLOOKUP(D169,upahbahan,3,FALSE)</f>
        <v>100000</v>
      </c>
      <c r="H169" s="64">
        <f t="shared" ref="H169:H172" si="19">F169*G169</f>
        <v>6669.9999999999991</v>
      </c>
      <c r="K169" s="475"/>
    </row>
    <row r="170" spans="3:11" ht="21.6" customHeight="1">
      <c r="C170" s="60">
        <v>2</v>
      </c>
      <c r="D170" s="56" t="s">
        <v>12</v>
      </c>
      <c r="E170" s="61" t="s">
        <v>6</v>
      </c>
      <c r="F170" s="98">
        <v>6.6699999999999995E-2</v>
      </c>
      <c r="G170" s="63">
        <f>VLOOKUP(D170,upahbahan,3,FALSE)</f>
        <v>135000</v>
      </c>
      <c r="H170" s="64">
        <f t="shared" si="19"/>
        <v>9004.5</v>
      </c>
      <c r="K170" s="475"/>
    </row>
    <row r="171" spans="3:11" ht="21.6" customHeight="1">
      <c r="C171" s="60">
        <v>3</v>
      </c>
      <c r="D171" s="56" t="s">
        <v>18</v>
      </c>
      <c r="E171" s="61" t="s">
        <v>6</v>
      </c>
      <c r="F171" s="98">
        <v>6.7000000000000002E-3</v>
      </c>
      <c r="G171" s="63">
        <f>VLOOKUP(D171,upahbahan,3,FALSE)</f>
        <v>150000</v>
      </c>
      <c r="H171" s="64">
        <f t="shared" si="19"/>
        <v>1005</v>
      </c>
      <c r="K171" s="475"/>
    </row>
    <row r="172" spans="3:11" ht="21.6" customHeight="1">
      <c r="C172" s="60">
        <v>4</v>
      </c>
      <c r="D172" s="56" t="s">
        <v>19</v>
      </c>
      <c r="E172" s="61" t="s">
        <v>6</v>
      </c>
      <c r="F172" s="98">
        <v>2.2000000000000001E-3</v>
      </c>
      <c r="G172" s="63">
        <f>VLOOKUP(D172,upahbahan,3,FALSE)</f>
        <v>160000</v>
      </c>
      <c r="H172" s="64">
        <f t="shared" si="19"/>
        <v>352</v>
      </c>
      <c r="K172" s="475"/>
    </row>
    <row r="173" spans="3:11" ht="21.6" customHeight="1">
      <c r="C173" s="66" t="s">
        <v>1208</v>
      </c>
      <c r="D173" s="67"/>
      <c r="E173" s="67"/>
      <c r="F173" s="68"/>
      <c r="G173" s="459"/>
      <c r="H173" s="64">
        <f>SUM(H169:H172)</f>
        <v>17031.5</v>
      </c>
      <c r="K173" s="475"/>
    </row>
    <row r="174" spans="3:11" ht="21.6" customHeight="1">
      <c r="C174" s="55" t="s">
        <v>1209</v>
      </c>
      <c r="D174" s="56" t="s">
        <v>1210</v>
      </c>
      <c r="E174" s="57"/>
      <c r="F174" s="57"/>
      <c r="G174" s="57"/>
      <c r="H174" s="58"/>
      <c r="K174" s="475"/>
    </row>
    <row r="175" spans="3:11" ht="21.6" customHeight="1">
      <c r="C175" s="60">
        <v>2</v>
      </c>
      <c r="D175" s="56" t="s">
        <v>574</v>
      </c>
      <c r="E175" s="61" t="s">
        <v>65</v>
      </c>
      <c r="F175" s="62">
        <v>0.1</v>
      </c>
      <c r="G175" s="63">
        <f>VLOOKUP(D175,upahbahan,3,FALSE)</f>
        <v>39600</v>
      </c>
      <c r="H175" s="64">
        <f t="shared" ref="H175:H176" si="20">F175*G175</f>
        <v>3960</v>
      </c>
      <c r="K175" s="475"/>
    </row>
    <row r="176" spans="3:11" ht="21.6" customHeight="1">
      <c r="C176" s="60">
        <v>3</v>
      </c>
      <c r="D176" s="56" t="s">
        <v>580</v>
      </c>
      <c r="E176" s="61" t="s">
        <v>65</v>
      </c>
      <c r="F176" s="62">
        <v>0.26</v>
      </c>
      <c r="G176" s="63">
        <f>VLOOKUP(D176,upahbahan,3,FALSE)</f>
        <v>50400</v>
      </c>
      <c r="H176" s="64">
        <f t="shared" si="20"/>
        <v>13104</v>
      </c>
      <c r="K176" s="475"/>
    </row>
    <row r="177" spans="3:11" ht="21.6" customHeight="1">
      <c r="C177" s="66" t="s">
        <v>1214</v>
      </c>
      <c r="D177" s="67"/>
      <c r="E177" s="67"/>
      <c r="F177" s="67"/>
      <c r="G177" s="69"/>
      <c r="H177" s="64">
        <f>SUM(H175:H176)</f>
        <v>17064</v>
      </c>
      <c r="K177" s="475"/>
    </row>
    <row r="178" spans="3:11" ht="21.6" customHeight="1">
      <c r="C178" s="167" t="s">
        <v>1215</v>
      </c>
      <c r="D178" s="56" t="s">
        <v>1216</v>
      </c>
      <c r="E178" s="57"/>
      <c r="F178" s="57"/>
      <c r="G178" s="57"/>
      <c r="H178" s="58"/>
      <c r="K178" s="475"/>
    </row>
    <row r="179" spans="3:11" ht="21.6" customHeight="1">
      <c r="C179" s="66" t="s">
        <v>1217</v>
      </c>
      <c r="D179" s="67"/>
      <c r="E179" s="67"/>
      <c r="F179" s="67"/>
      <c r="G179" s="69"/>
      <c r="H179" s="74">
        <v>0</v>
      </c>
      <c r="K179" s="475"/>
    </row>
    <row r="180" spans="3:11" ht="21.6" customHeight="1">
      <c r="C180" s="75" t="s">
        <v>1218</v>
      </c>
      <c r="D180" s="76" t="s">
        <v>1219</v>
      </c>
      <c r="E180" s="77"/>
      <c r="F180" s="77"/>
      <c r="G180" s="78"/>
      <c r="H180" s="64">
        <f>H179+H177+H173</f>
        <v>34095.5</v>
      </c>
      <c r="K180" s="475"/>
    </row>
    <row r="181" spans="3:11" ht="21.6" customHeight="1">
      <c r="C181" s="75" t="s">
        <v>1220</v>
      </c>
      <c r="D181" s="76" t="s">
        <v>1321</v>
      </c>
      <c r="E181" s="77"/>
      <c r="F181" s="78"/>
      <c r="G181" s="80">
        <f>$M$7</f>
        <v>0.1</v>
      </c>
      <c r="H181" s="64">
        <f>H180*G181</f>
        <v>3409.55</v>
      </c>
      <c r="K181" s="475"/>
    </row>
    <row r="182" spans="3:11" ht="21.6" customHeight="1" thickBot="1">
      <c r="C182" s="81" t="s">
        <v>1221</v>
      </c>
      <c r="D182" s="82" t="s">
        <v>1222</v>
      </c>
      <c r="E182" s="83"/>
      <c r="F182" s="83"/>
      <c r="G182" s="84"/>
      <c r="H182" s="85">
        <f>SUM(H180:H181)</f>
        <v>37505.050000000003</v>
      </c>
      <c r="K182" s="475"/>
    </row>
    <row r="183" spans="3:11" ht="14.4" thickTop="1">
      <c r="C183" s="89"/>
      <c r="D183" s="90"/>
      <c r="E183" s="90"/>
      <c r="F183" s="90"/>
      <c r="G183" s="90"/>
      <c r="H183" s="91"/>
      <c r="K183" s="475"/>
    </row>
    <row r="184" spans="3:11" ht="14.4" thickBot="1">
      <c r="C184" s="47" t="s">
        <v>2818</v>
      </c>
      <c r="D184" s="149" t="s">
        <v>2819</v>
      </c>
      <c r="E184" s="149"/>
      <c r="F184" s="149"/>
      <c r="G184" s="149"/>
      <c r="H184" s="149"/>
      <c r="I184" s="50">
        <f>ROUNDDOWN(H200,-2)</f>
        <v>35700</v>
      </c>
      <c r="K184" s="475"/>
    </row>
    <row r="185" spans="3:11" ht="28.2" thickTop="1">
      <c r="C185" s="51" t="s">
        <v>1195</v>
      </c>
      <c r="D185" s="52" t="s">
        <v>1196</v>
      </c>
      <c r="E185" s="52" t="s">
        <v>1197</v>
      </c>
      <c r="F185" s="52" t="s">
        <v>1198</v>
      </c>
      <c r="G185" s="52" t="s">
        <v>1199</v>
      </c>
      <c r="H185" s="53" t="s">
        <v>1200</v>
      </c>
      <c r="K185" s="475"/>
    </row>
    <row r="186" spans="3:11" ht="21.6" customHeight="1">
      <c r="C186" s="55" t="s">
        <v>1201</v>
      </c>
      <c r="D186" s="56" t="s">
        <v>1202</v>
      </c>
      <c r="E186" s="57"/>
      <c r="F186" s="57"/>
      <c r="G186" s="57"/>
      <c r="H186" s="58"/>
      <c r="K186" s="475"/>
    </row>
    <row r="187" spans="3:11" ht="21.6" customHeight="1">
      <c r="C187" s="60">
        <v>1</v>
      </c>
      <c r="D187" s="56" t="s">
        <v>5</v>
      </c>
      <c r="E187" s="61" t="s">
        <v>6</v>
      </c>
      <c r="F187" s="98">
        <v>7.6899999999999996E-2</v>
      </c>
      <c r="G187" s="63">
        <f>VLOOKUP(D187,upahbahan,3,FALSE)</f>
        <v>100000</v>
      </c>
      <c r="H187" s="64">
        <f t="shared" ref="H187:H190" si="21">F187*G187</f>
        <v>7690</v>
      </c>
      <c r="K187" s="475"/>
    </row>
    <row r="188" spans="3:11" ht="21.6" customHeight="1">
      <c r="C188" s="60">
        <v>2</v>
      </c>
      <c r="D188" s="56" t="s">
        <v>12</v>
      </c>
      <c r="E188" s="61" t="s">
        <v>6</v>
      </c>
      <c r="F188" s="98">
        <v>7.6899999999999996E-2</v>
      </c>
      <c r="G188" s="63">
        <f>VLOOKUP(D188,upahbahan,3,FALSE)</f>
        <v>135000</v>
      </c>
      <c r="H188" s="64">
        <f t="shared" si="21"/>
        <v>10381.5</v>
      </c>
      <c r="K188" s="475"/>
    </row>
    <row r="189" spans="3:11" ht="21.6" customHeight="1">
      <c r="C189" s="60">
        <v>3</v>
      </c>
      <c r="D189" s="56" t="s">
        <v>18</v>
      </c>
      <c r="E189" s="61" t="s">
        <v>6</v>
      </c>
      <c r="F189" s="98">
        <v>7.7000000000000002E-3</v>
      </c>
      <c r="G189" s="63">
        <f>VLOOKUP(D189,upahbahan,3,FALSE)</f>
        <v>150000</v>
      </c>
      <c r="H189" s="64">
        <f t="shared" si="21"/>
        <v>1155</v>
      </c>
      <c r="K189" s="475"/>
    </row>
    <row r="190" spans="3:11" ht="21.6" customHeight="1">
      <c r="C190" s="60">
        <v>4</v>
      </c>
      <c r="D190" s="56" t="s">
        <v>19</v>
      </c>
      <c r="E190" s="61" t="s">
        <v>6</v>
      </c>
      <c r="F190" s="98">
        <v>2.5999999999999999E-3</v>
      </c>
      <c r="G190" s="63">
        <f>VLOOKUP(D190,upahbahan,3,FALSE)</f>
        <v>160000</v>
      </c>
      <c r="H190" s="64">
        <f t="shared" si="21"/>
        <v>416</v>
      </c>
      <c r="K190" s="475"/>
    </row>
    <row r="191" spans="3:11" ht="21.6" customHeight="1">
      <c r="C191" s="66" t="s">
        <v>1208</v>
      </c>
      <c r="D191" s="67"/>
      <c r="E191" s="67"/>
      <c r="F191" s="68"/>
      <c r="G191" s="459"/>
      <c r="H191" s="64">
        <f>SUM(H187:H190)</f>
        <v>19642.5</v>
      </c>
      <c r="K191" s="475"/>
    </row>
    <row r="192" spans="3:11" ht="21.6" customHeight="1">
      <c r="C192" s="55" t="s">
        <v>1209</v>
      </c>
      <c r="D192" s="56" t="s">
        <v>1210</v>
      </c>
      <c r="E192" s="57"/>
      <c r="F192" s="57"/>
      <c r="G192" s="57"/>
      <c r="H192" s="58"/>
      <c r="K192" s="475"/>
    </row>
    <row r="193" spans="3:11" ht="21.6" customHeight="1">
      <c r="C193" s="60">
        <v>1</v>
      </c>
      <c r="D193" s="56" t="s">
        <v>573</v>
      </c>
      <c r="E193" s="61" t="s">
        <v>65</v>
      </c>
      <c r="F193" s="62">
        <v>0.1</v>
      </c>
      <c r="G193" s="63">
        <f>VLOOKUP(D193,upahbahan,3,FALSE)</f>
        <v>128500</v>
      </c>
      <c r="H193" s="64">
        <f t="shared" ref="H193:H194" si="22">F193*G193</f>
        <v>12850</v>
      </c>
      <c r="K193" s="475"/>
    </row>
    <row r="194" spans="3:11" ht="21.6" customHeight="1">
      <c r="C194" s="60">
        <v>2</v>
      </c>
      <c r="D194" s="56" t="s">
        <v>579</v>
      </c>
      <c r="E194" s="61" t="s">
        <v>65</v>
      </c>
      <c r="F194" s="62">
        <v>0.26</v>
      </c>
      <c r="G194" s="63">
        <f>VLOOKUP(D194,upahbahan,3,FALSE)</f>
        <v>0</v>
      </c>
      <c r="H194" s="64">
        <f t="shared" si="22"/>
        <v>0</v>
      </c>
      <c r="K194" s="475"/>
    </row>
    <row r="195" spans="3:11" ht="21.6" customHeight="1">
      <c r="C195" s="66" t="s">
        <v>1214</v>
      </c>
      <c r="D195" s="67"/>
      <c r="E195" s="67"/>
      <c r="F195" s="67"/>
      <c r="G195" s="69"/>
      <c r="H195" s="64">
        <f>SUM(H193:H194)</f>
        <v>12850</v>
      </c>
      <c r="K195" s="475"/>
    </row>
    <row r="196" spans="3:11" ht="21.6" customHeight="1">
      <c r="C196" s="167" t="s">
        <v>1215</v>
      </c>
      <c r="D196" s="56" t="s">
        <v>1216</v>
      </c>
      <c r="E196" s="57"/>
      <c r="F196" s="57"/>
      <c r="G196" s="57"/>
      <c r="H196" s="58"/>
      <c r="K196" s="475"/>
    </row>
    <row r="197" spans="3:11" ht="21.6" customHeight="1">
      <c r="C197" s="66" t="s">
        <v>1217</v>
      </c>
      <c r="D197" s="67"/>
      <c r="E197" s="67"/>
      <c r="F197" s="67"/>
      <c r="G197" s="69"/>
      <c r="H197" s="74">
        <v>0</v>
      </c>
      <c r="K197" s="475"/>
    </row>
    <row r="198" spans="3:11" ht="21.6" customHeight="1">
      <c r="C198" s="75" t="s">
        <v>1218</v>
      </c>
      <c r="D198" s="76" t="s">
        <v>1219</v>
      </c>
      <c r="E198" s="77"/>
      <c r="F198" s="77"/>
      <c r="G198" s="78"/>
      <c r="H198" s="64">
        <f>H197+H195+H191</f>
        <v>32492.5</v>
      </c>
      <c r="K198" s="475"/>
    </row>
    <row r="199" spans="3:11" ht="21.6" customHeight="1">
      <c r="C199" s="75" t="s">
        <v>1220</v>
      </c>
      <c r="D199" s="76" t="s">
        <v>1321</v>
      </c>
      <c r="E199" s="77"/>
      <c r="F199" s="78"/>
      <c r="G199" s="80">
        <f>$M$7</f>
        <v>0.1</v>
      </c>
      <c r="H199" s="64">
        <f>H198*G199</f>
        <v>3249.25</v>
      </c>
      <c r="K199" s="475"/>
    </row>
    <row r="200" spans="3:11" ht="21.6" customHeight="1" thickBot="1">
      <c r="C200" s="81" t="s">
        <v>1221</v>
      </c>
      <c r="D200" s="82" t="s">
        <v>1222</v>
      </c>
      <c r="E200" s="83"/>
      <c r="F200" s="83"/>
      <c r="G200" s="84"/>
      <c r="H200" s="85">
        <f>SUM(H198:H199)</f>
        <v>35741.75</v>
      </c>
      <c r="K200" s="475"/>
    </row>
    <row r="201" spans="3:11" ht="14.4" thickTop="1">
      <c r="C201" s="89"/>
      <c r="D201" s="90"/>
      <c r="E201" s="90"/>
      <c r="F201" s="90"/>
      <c r="G201" s="90"/>
      <c r="H201" s="96"/>
      <c r="K201" s="475"/>
    </row>
    <row r="202" spans="3:11" ht="15.75" customHeight="1">
      <c r="C202" s="277" t="s">
        <v>2821</v>
      </c>
      <c r="D202" s="278" t="s">
        <v>2820</v>
      </c>
      <c r="E202" s="90"/>
      <c r="F202" s="90"/>
      <c r="G202" s="90"/>
      <c r="H202" s="96"/>
      <c r="K202" s="475"/>
    </row>
    <row r="203" spans="3:11" ht="14.4" thickBot="1">
      <c r="C203" s="47" t="s">
        <v>2822</v>
      </c>
      <c r="D203" s="455" t="s">
        <v>2823</v>
      </c>
      <c r="E203" s="275"/>
      <c r="F203" s="275"/>
      <c r="G203" s="275"/>
      <c r="H203" s="275"/>
      <c r="I203" s="50">
        <f>ROUNDDOWN(H219,-2)</f>
        <v>29200</v>
      </c>
      <c r="K203" s="475"/>
    </row>
    <row r="204" spans="3:11" ht="28.2" thickTop="1">
      <c r="C204" s="51" t="s">
        <v>1195</v>
      </c>
      <c r="D204" s="52" t="s">
        <v>1196</v>
      </c>
      <c r="E204" s="52" t="s">
        <v>1197</v>
      </c>
      <c r="F204" s="52" t="s">
        <v>1198</v>
      </c>
      <c r="G204" s="52" t="s">
        <v>1199</v>
      </c>
      <c r="H204" s="53" t="s">
        <v>1200</v>
      </c>
      <c r="K204" s="475"/>
    </row>
    <row r="205" spans="3:11" ht="21.6" customHeight="1">
      <c r="C205" s="55" t="s">
        <v>1201</v>
      </c>
      <c r="D205" s="56" t="s">
        <v>1202</v>
      </c>
      <c r="E205" s="57"/>
      <c r="F205" s="57"/>
      <c r="G205" s="57"/>
      <c r="H205" s="58"/>
      <c r="K205" s="475"/>
    </row>
    <row r="206" spans="3:11" ht="21.6" customHeight="1">
      <c r="C206" s="60">
        <v>1</v>
      </c>
      <c r="D206" s="56" t="s">
        <v>5</v>
      </c>
      <c r="E206" s="61" t="s">
        <v>6</v>
      </c>
      <c r="F206" s="101">
        <v>0.05</v>
      </c>
      <c r="G206" s="63">
        <f>VLOOKUP(D206,upahbahan,3,FALSE)</f>
        <v>100000</v>
      </c>
      <c r="H206" s="64">
        <f t="shared" ref="H206:H209" si="23">F206*G206</f>
        <v>5000</v>
      </c>
      <c r="K206" s="475"/>
    </row>
    <row r="207" spans="3:11" ht="21.6" customHeight="1">
      <c r="C207" s="60">
        <v>2</v>
      </c>
      <c r="D207" s="56" t="s">
        <v>12</v>
      </c>
      <c r="E207" s="61" t="s">
        <v>6</v>
      </c>
      <c r="F207" s="101">
        <v>0.05</v>
      </c>
      <c r="G207" s="63">
        <f>VLOOKUP(D207,upahbahan,3,FALSE)</f>
        <v>135000</v>
      </c>
      <c r="H207" s="64">
        <f t="shared" si="23"/>
        <v>6750</v>
      </c>
      <c r="K207" s="475"/>
    </row>
    <row r="208" spans="3:11" ht="21.6" customHeight="1">
      <c r="C208" s="60">
        <v>3</v>
      </c>
      <c r="D208" s="56" t="s">
        <v>18</v>
      </c>
      <c r="E208" s="61" t="s">
        <v>6</v>
      </c>
      <c r="F208" s="101">
        <v>5.0000000000000001E-3</v>
      </c>
      <c r="G208" s="63">
        <f>VLOOKUP(D208,upahbahan,3,FALSE)</f>
        <v>150000</v>
      </c>
      <c r="H208" s="64">
        <f t="shared" si="23"/>
        <v>750</v>
      </c>
      <c r="K208" s="475"/>
    </row>
    <row r="209" spans="3:11" ht="21.6" customHeight="1">
      <c r="C209" s="60">
        <v>4</v>
      </c>
      <c r="D209" s="56" t="s">
        <v>19</v>
      </c>
      <c r="E209" s="61" t="s">
        <v>6</v>
      </c>
      <c r="F209" s="101">
        <v>1.6999999999999999E-3</v>
      </c>
      <c r="G209" s="63">
        <f>VLOOKUP(D209,upahbahan,3,FALSE)</f>
        <v>160000</v>
      </c>
      <c r="H209" s="64">
        <f t="shared" si="23"/>
        <v>272</v>
      </c>
      <c r="K209" s="475"/>
    </row>
    <row r="210" spans="3:11" ht="21.6" customHeight="1">
      <c r="C210" s="66" t="s">
        <v>1208</v>
      </c>
      <c r="D210" s="67"/>
      <c r="E210" s="67"/>
      <c r="F210" s="68"/>
      <c r="G210" s="459"/>
      <c r="H210" s="64">
        <f>SUM(H206:H209)</f>
        <v>12772</v>
      </c>
      <c r="K210" s="475"/>
    </row>
    <row r="211" spans="3:11" ht="21.6" customHeight="1">
      <c r="C211" s="55" t="s">
        <v>1209</v>
      </c>
      <c r="D211" s="56" t="s">
        <v>1210</v>
      </c>
      <c r="E211" s="57"/>
      <c r="F211" s="57"/>
      <c r="G211" s="57"/>
      <c r="H211" s="58"/>
      <c r="K211" s="475"/>
    </row>
    <row r="212" spans="3:11" ht="21.6" customHeight="1">
      <c r="C212" s="60">
        <v>1</v>
      </c>
      <c r="D212" s="56" t="s">
        <v>574</v>
      </c>
      <c r="E212" s="61" t="s">
        <v>65</v>
      </c>
      <c r="F212" s="62">
        <v>0.12</v>
      </c>
      <c r="G212" s="63">
        <f>VLOOKUP(D212,upahbahan,3,FALSE)</f>
        <v>39600</v>
      </c>
      <c r="H212" s="64">
        <f t="shared" ref="H212:H213" si="24">F212*G212</f>
        <v>4752</v>
      </c>
      <c r="K212" s="475"/>
    </row>
    <row r="213" spans="3:11" ht="21.6" customHeight="1">
      <c r="C213" s="60">
        <v>2</v>
      </c>
      <c r="D213" s="56" t="s">
        <v>580</v>
      </c>
      <c r="E213" s="61" t="s">
        <v>65</v>
      </c>
      <c r="F213" s="62">
        <v>0.18</v>
      </c>
      <c r="G213" s="63">
        <f>VLOOKUP(D213,upahbahan,3,FALSE)</f>
        <v>50400</v>
      </c>
      <c r="H213" s="64">
        <f t="shared" si="24"/>
        <v>9072</v>
      </c>
      <c r="K213" s="475"/>
    </row>
    <row r="214" spans="3:11" ht="21.6" customHeight="1">
      <c r="C214" s="66" t="s">
        <v>1214</v>
      </c>
      <c r="D214" s="67"/>
      <c r="E214" s="67"/>
      <c r="F214" s="67"/>
      <c r="G214" s="69"/>
      <c r="H214" s="64">
        <f>SUM(H212:H213)</f>
        <v>13824</v>
      </c>
      <c r="K214" s="475"/>
    </row>
    <row r="215" spans="3:11" ht="21.6" customHeight="1">
      <c r="C215" s="167" t="s">
        <v>1215</v>
      </c>
      <c r="D215" s="56" t="s">
        <v>1216</v>
      </c>
      <c r="E215" s="57"/>
      <c r="F215" s="57"/>
      <c r="G215" s="57"/>
      <c r="H215" s="58"/>
      <c r="K215" s="475"/>
    </row>
    <row r="216" spans="3:11" ht="21.6" customHeight="1">
      <c r="C216" s="66" t="s">
        <v>1217</v>
      </c>
      <c r="D216" s="67"/>
      <c r="E216" s="67"/>
      <c r="F216" s="67"/>
      <c r="G216" s="69"/>
      <c r="H216" s="74">
        <v>0</v>
      </c>
      <c r="K216" s="475"/>
    </row>
    <row r="217" spans="3:11" ht="21.6" customHeight="1">
      <c r="C217" s="75" t="s">
        <v>1218</v>
      </c>
      <c r="D217" s="76" t="s">
        <v>1219</v>
      </c>
      <c r="E217" s="77"/>
      <c r="F217" s="77"/>
      <c r="G217" s="78"/>
      <c r="H217" s="64">
        <f>H216+H214+H210</f>
        <v>26596</v>
      </c>
      <c r="K217" s="475"/>
    </row>
    <row r="218" spans="3:11" ht="21.6" customHeight="1">
      <c r="C218" s="75" t="s">
        <v>1220</v>
      </c>
      <c r="D218" s="76" t="s">
        <v>1321</v>
      </c>
      <c r="E218" s="77"/>
      <c r="F218" s="78"/>
      <c r="G218" s="80">
        <f>$M$7</f>
        <v>0.1</v>
      </c>
      <c r="H218" s="64">
        <f>H217*G218</f>
        <v>2659.6000000000004</v>
      </c>
      <c r="K218" s="475"/>
    </row>
    <row r="219" spans="3:11" ht="21.6" customHeight="1" thickBot="1">
      <c r="C219" s="81" t="s">
        <v>1221</v>
      </c>
      <c r="D219" s="82" t="s">
        <v>1222</v>
      </c>
      <c r="E219" s="83"/>
      <c r="F219" s="83"/>
      <c r="G219" s="84"/>
      <c r="H219" s="85">
        <f>SUM(H217:H218)</f>
        <v>29255.599999999999</v>
      </c>
      <c r="K219" s="475"/>
    </row>
    <row r="220" spans="3:11" ht="14.4" thickTop="1">
      <c r="K220" s="475"/>
    </row>
    <row r="221" spans="3:11" ht="14.4" thickBot="1">
      <c r="C221" s="47" t="s">
        <v>2824</v>
      </c>
      <c r="D221" s="455" t="s">
        <v>2825</v>
      </c>
      <c r="E221" s="151"/>
      <c r="F221" s="151"/>
      <c r="G221" s="151"/>
      <c r="H221" s="151"/>
      <c r="I221" s="50">
        <f>ROUNDDOWN(H237,-2)</f>
        <v>31000</v>
      </c>
      <c r="K221" s="475"/>
    </row>
    <row r="222" spans="3:11" ht="28.2" thickTop="1">
      <c r="C222" s="51" t="s">
        <v>1195</v>
      </c>
      <c r="D222" s="52" t="s">
        <v>1196</v>
      </c>
      <c r="E222" s="52" t="s">
        <v>1197</v>
      </c>
      <c r="F222" s="52" t="s">
        <v>1198</v>
      </c>
      <c r="G222" s="52" t="s">
        <v>1199</v>
      </c>
      <c r="H222" s="53" t="s">
        <v>1200</v>
      </c>
      <c r="K222" s="475"/>
    </row>
    <row r="223" spans="3:11" ht="21.6" customHeight="1">
      <c r="C223" s="55" t="s">
        <v>1201</v>
      </c>
      <c r="D223" s="56" t="s">
        <v>1202</v>
      </c>
      <c r="E223" s="57"/>
      <c r="F223" s="57"/>
      <c r="G223" s="57"/>
      <c r="H223" s="58"/>
      <c r="K223" s="475"/>
    </row>
    <row r="224" spans="3:11" ht="21.6" customHeight="1">
      <c r="C224" s="60">
        <v>1</v>
      </c>
      <c r="D224" s="56" t="s">
        <v>5</v>
      </c>
      <c r="E224" s="61" t="s">
        <v>6</v>
      </c>
      <c r="F224" s="101">
        <v>0.05</v>
      </c>
      <c r="G224" s="63">
        <f>VLOOKUP(D224,upahbahan,3,FALSE)</f>
        <v>100000</v>
      </c>
      <c r="H224" s="64">
        <f t="shared" ref="H224:H227" si="25">F224*G224</f>
        <v>5000</v>
      </c>
      <c r="K224" s="475"/>
    </row>
    <row r="225" spans="3:11" ht="21.6" customHeight="1">
      <c r="C225" s="60">
        <v>2</v>
      </c>
      <c r="D225" s="56" t="s">
        <v>12</v>
      </c>
      <c r="E225" s="61" t="s">
        <v>6</v>
      </c>
      <c r="F225" s="101">
        <v>0.05</v>
      </c>
      <c r="G225" s="63">
        <f>VLOOKUP(D225,upahbahan,3,FALSE)</f>
        <v>135000</v>
      </c>
      <c r="H225" s="64">
        <f t="shared" si="25"/>
        <v>6750</v>
      </c>
      <c r="K225" s="475"/>
    </row>
    <row r="226" spans="3:11" ht="21.6" customHeight="1">
      <c r="C226" s="60">
        <v>3</v>
      </c>
      <c r="D226" s="56" t="s">
        <v>18</v>
      </c>
      <c r="E226" s="61" t="s">
        <v>6</v>
      </c>
      <c r="F226" s="101">
        <v>5.0000000000000001E-3</v>
      </c>
      <c r="G226" s="63">
        <f>VLOOKUP(D226,upahbahan,3,FALSE)</f>
        <v>150000</v>
      </c>
      <c r="H226" s="64">
        <f t="shared" si="25"/>
        <v>750</v>
      </c>
      <c r="K226" s="475"/>
    </row>
    <row r="227" spans="3:11" ht="21.6" customHeight="1">
      <c r="C227" s="60">
        <v>4</v>
      </c>
      <c r="D227" s="56" t="s">
        <v>19</v>
      </c>
      <c r="E227" s="61" t="s">
        <v>6</v>
      </c>
      <c r="F227" s="101">
        <v>1.6999999999999999E-3</v>
      </c>
      <c r="G227" s="63">
        <f>VLOOKUP(D227,upahbahan,3,FALSE)</f>
        <v>160000</v>
      </c>
      <c r="H227" s="64">
        <f t="shared" si="25"/>
        <v>272</v>
      </c>
      <c r="K227" s="475"/>
    </row>
    <row r="228" spans="3:11" ht="21.6" customHeight="1">
      <c r="C228" s="66" t="s">
        <v>1208</v>
      </c>
      <c r="D228" s="67"/>
      <c r="E228" s="67"/>
      <c r="F228" s="68"/>
      <c r="G228" s="459"/>
      <c r="H228" s="64">
        <f>SUM(H224:H227)</f>
        <v>12772</v>
      </c>
      <c r="K228" s="475"/>
    </row>
    <row r="229" spans="3:11" ht="21.6" customHeight="1">
      <c r="C229" s="55" t="s">
        <v>1209</v>
      </c>
      <c r="D229" s="56" t="s">
        <v>1210</v>
      </c>
      <c r="E229" s="57"/>
      <c r="F229" s="57"/>
      <c r="G229" s="57"/>
      <c r="H229" s="58"/>
      <c r="K229" s="475"/>
    </row>
    <row r="230" spans="3:11" ht="21.6" customHeight="1">
      <c r="C230" s="60">
        <v>1</v>
      </c>
      <c r="D230" s="56" t="s">
        <v>573</v>
      </c>
      <c r="E230" s="61" t="s">
        <v>65</v>
      </c>
      <c r="F230" s="62">
        <v>0.12</v>
      </c>
      <c r="G230" s="63">
        <f>VLOOKUP(D230,upahbahan,3,FALSE)</f>
        <v>128500</v>
      </c>
      <c r="H230" s="64">
        <f t="shared" ref="H230:H231" si="26">F230*G230</f>
        <v>15420</v>
      </c>
      <c r="K230" s="475"/>
    </row>
    <row r="231" spans="3:11" ht="21.6" customHeight="1">
      <c r="C231" s="60">
        <v>2</v>
      </c>
      <c r="D231" s="56" t="s">
        <v>579</v>
      </c>
      <c r="E231" s="61" t="s">
        <v>65</v>
      </c>
      <c r="F231" s="62">
        <v>0.18</v>
      </c>
      <c r="G231" s="63">
        <f>VLOOKUP(D231,upahbahan,3,FALSE)</f>
        <v>0</v>
      </c>
      <c r="H231" s="64">
        <f t="shared" si="26"/>
        <v>0</v>
      </c>
      <c r="K231" s="475"/>
    </row>
    <row r="232" spans="3:11" ht="21.6" customHeight="1">
      <c r="C232" s="66" t="s">
        <v>1214</v>
      </c>
      <c r="D232" s="67"/>
      <c r="E232" s="67"/>
      <c r="F232" s="67"/>
      <c r="G232" s="69"/>
      <c r="H232" s="64">
        <f>SUM(H230:H231)</f>
        <v>15420</v>
      </c>
      <c r="K232" s="475"/>
    </row>
    <row r="233" spans="3:11" ht="21.6" customHeight="1">
      <c r="C233" s="167" t="s">
        <v>1215</v>
      </c>
      <c r="D233" s="56" t="s">
        <v>1216</v>
      </c>
      <c r="E233" s="57"/>
      <c r="F233" s="57"/>
      <c r="G233" s="57"/>
      <c r="H233" s="58"/>
      <c r="K233" s="475"/>
    </row>
    <row r="234" spans="3:11" ht="21.6" customHeight="1">
      <c r="C234" s="66" t="s">
        <v>1217</v>
      </c>
      <c r="D234" s="67"/>
      <c r="E234" s="67"/>
      <c r="F234" s="67"/>
      <c r="G234" s="69"/>
      <c r="H234" s="74">
        <v>0</v>
      </c>
      <c r="K234" s="475"/>
    </row>
    <row r="235" spans="3:11" ht="21.6" customHeight="1">
      <c r="C235" s="75" t="s">
        <v>1218</v>
      </c>
      <c r="D235" s="76" t="s">
        <v>1219</v>
      </c>
      <c r="E235" s="77"/>
      <c r="F235" s="77"/>
      <c r="G235" s="78"/>
      <c r="H235" s="64">
        <f>H234+H232+H228</f>
        <v>28192</v>
      </c>
      <c r="K235" s="475"/>
    </row>
    <row r="236" spans="3:11" ht="21.6" customHeight="1">
      <c r="C236" s="75" t="s">
        <v>1220</v>
      </c>
      <c r="D236" s="76" t="s">
        <v>1321</v>
      </c>
      <c r="E236" s="77"/>
      <c r="F236" s="78"/>
      <c r="G236" s="80">
        <f>$M$7</f>
        <v>0.1</v>
      </c>
      <c r="H236" s="64">
        <f>H235*G236</f>
        <v>2819.2000000000003</v>
      </c>
      <c r="K236" s="475"/>
    </row>
    <row r="237" spans="3:11" ht="21.6" customHeight="1" thickBot="1">
      <c r="C237" s="81" t="s">
        <v>1221</v>
      </c>
      <c r="D237" s="82" t="s">
        <v>1222</v>
      </c>
      <c r="E237" s="83"/>
      <c r="F237" s="83"/>
      <c r="G237" s="84"/>
      <c r="H237" s="85">
        <f>SUM(H235:H236)</f>
        <v>31011.200000000001</v>
      </c>
      <c r="K237" s="475"/>
    </row>
    <row r="238" spans="3:11" ht="21.6" customHeight="1" thickTop="1">
      <c r="C238" s="54"/>
      <c r="D238" s="86"/>
      <c r="E238" s="86"/>
      <c r="F238" s="86"/>
      <c r="G238" s="86"/>
      <c r="H238" s="87"/>
      <c r="K238" s="475"/>
    </row>
    <row r="239" spans="3:11" ht="14.4" thickBot="1">
      <c r="C239" s="47" t="s">
        <v>2826</v>
      </c>
      <c r="D239" s="455" t="s">
        <v>1549</v>
      </c>
      <c r="E239" s="151"/>
      <c r="F239" s="151"/>
      <c r="G239" s="151"/>
      <c r="H239" s="151"/>
      <c r="I239" s="50">
        <f>ROUNDDOWN(H256,-2)</f>
        <v>25300</v>
      </c>
      <c r="K239" s="475"/>
    </row>
    <row r="240" spans="3:11" ht="28.2" thickTop="1">
      <c r="C240" s="51" t="s">
        <v>1195</v>
      </c>
      <c r="D240" s="52" t="s">
        <v>1196</v>
      </c>
      <c r="E240" s="52" t="s">
        <v>1197</v>
      </c>
      <c r="F240" s="52" t="s">
        <v>1198</v>
      </c>
      <c r="G240" s="52" t="s">
        <v>1199</v>
      </c>
      <c r="H240" s="53" t="s">
        <v>1200</v>
      </c>
      <c r="K240" s="475"/>
    </row>
    <row r="241" spans="3:11" ht="21.6" customHeight="1">
      <c r="C241" s="55" t="s">
        <v>1201</v>
      </c>
      <c r="D241" s="56" t="s">
        <v>1202</v>
      </c>
      <c r="E241" s="57"/>
      <c r="F241" s="57"/>
      <c r="G241" s="57"/>
      <c r="H241" s="58"/>
      <c r="K241" s="475"/>
    </row>
    <row r="242" spans="3:11" ht="21.6" customHeight="1">
      <c r="C242" s="60">
        <v>1</v>
      </c>
      <c r="D242" s="56" t="s">
        <v>5</v>
      </c>
      <c r="E242" s="61" t="s">
        <v>6</v>
      </c>
      <c r="F242" s="286">
        <v>0.15</v>
      </c>
      <c r="G242" s="63">
        <f>VLOOKUP(D242,upahbahan,3,FALSE)</f>
        <v>100000</v>
      </c>
      <c r="H242" s="64">
        <f>F242*G242</f>
        <v>15000</v>
      </c>
      <c r="K242" s="475"/>
    </row>
    <row r="243" spans="3:11" ht="21.6" customHeight="1">
      <c r="C243" s="60">
        <v>2</v>
      </c>
      <c r="D243" s="56" t="s">
        <v>12</v>
      </c>
      <c r="E243" s="61" t="s">
        <v>6</v>
      </c>
      <c r="F243" s="286">
        <v>1E-3</v>
      </c>
      <c r="G243" s="63">
        <f>VLOOKUP(D243,upahbahan,3,FALSE)</f>
        <v>135000</v>
      </c>
      <c r="H243" s="64">
        <f t="shared" ref="H243:H245" si="27">F243*G243</f>
        <v>135</v>
      </c>
      <c r="K243" s="475"/>
    </row>
    <row r="244" spans="3:11" ht="21.6" customHeight="1">
      <c r="C244" s="60">
        <v>3</v>
      </c>
      <c r="D244" s="56" t="s">
        <v>18</v>
      </c>
      <c r="E244" s="61" t="s">
        <v>6</v>
      </c>
      <c r="F244" s="286">
        <v>1E-4</v>
      </c>
      <c r="G244" s="63">
        <f>VLOOKUP(D244,upahbahan,3,FALSE)</f>
        <v>150000</v>
      </c>
      <c r="H244" s="64">
        <f t="shared" si="27"/>
        <v>15</v>
      </c>
      <c r="K244" s="475"/>
    </row>
    <row r="245" spans="3:11" ht="21.6" customHeight="1">
      <c r="C245" s="60">
        <v>4</v>
      </c>
      <c r="D245" s="56" t="s">
        <v>19</v>
      </c>
      <c r="E245" s="61" t="s">
        <v>6</v>
      </c>
      <c r="F245" s="286">
        <v>3.3000000000000003E-5</v>
      </c>
      <c r="G245" s="63">
        <f>VLOOKUP(D245,upahbahan,3,FALSE)</f>
        <v>160000</v>
      </c>
      <c r="H245" s="64">
        <f t="shared" si="27"/>
        <v>5.28</v>
      </c>
      <c r="K245" s="475"/>
    </row>
    <row r="246" spans="3:11" ht="21.6" customHeight="1">
      <c r="C246" s="66" t="s">
        <v>1208</v>
      </c>
      <c r="D246" s="67"/>
      <c r="E246" s="67"/>
      <c r="F246" s="68"/>
      <c r="G246" s="459"/>
      <c r="H246" s="64">
        <f>SUM(H242:H245)</f>
        <v>15155.28</v>
      </c>
      <c r="K246" s="475"/>
    </row>
    <row r="247" spans="3:11" ht="21.6" customHeight="1">
      <c r="C247" s="55" t="s">
        <v>1209</v>
      </c>
      <c r="D247" s="56" t="s">
        <v>1210</v>
      </c>
      <c r="E247" s="57"/>
      <c r="F247" s="57"/>
      <c r="G247" s="57"/>
      <c r="H247" s="58"/>
      <c r="K247" s="475"/>
    </row>
    <row r="248" spans="3:11" ht="21.6" customHeight="1">
      <c r="C248" s="60">
        <v>1</v>
      </c>
      <c r="D248" s="72" t="s">
        <v>998</v>
      </c>
      <c r="E248" s="73" t="s">
        <v>65</v>
      </c>
      <c r="F248" s="62">
        <v>0.15</v>
      </c>
      <c r="G248" s="63">
        <f>VLOOKUP(D248,upahbahan,3,FALSE)</f>
        <v>0</v>
      </c>
      <c r="H248" s="64">
        <f>F248*G248</f>
        <v>0</v>
      </c>
      <c r="K248" s="475"/>
    </row>
    <row r="249" spans="3:11" ht="21.6" customHeight="1">
      <c r="C249" s="60">
        <v>2</v>
      </c>
      <c r="D249" s="72" t="s">
        <v>967</v>
      </c>
      <c r="E249" s="73" t="s">
        <v>129</v>
      </c>
      <c r="F249" s="62">
        <v>0.1</v>
      </c>
      <c r="G249" s="63">
        <f>VLOOKUP(D249,upahbahan,3,FALSE)</f>
        <v>3900</v>
      </c>
      <c r="H249" s="64">
        <f t="shared" ref="H249:H250" si="28">F249*G249</f>
        <v>390</v>
      </c>
      <c r="K249" s="475"/>
    </row>
    <row r="250" spans="3:11" ht="21.6" customHeight="1">
      <c r="C250" s="60">
        <v>3</v>
      </c>
      <c r="D250" s="72" t="s">
        <v>962</v>
      </c>
      <c r="E250" s="73" t="s">
        <v>963</v>
      </c>
      <c r="F250" s="62">
        <v>0.25</v>
      </c>
      <c r="G250" s="63">
        <f>VLOOKUP(D250,upahbahan,3,FALSE)</f>
        <v>30000</v>
      </c>
      <c r="H250" s="64">
        <f t="shared" si="28"/>
        <v>7500</v>
      </c>
      <c r="K250" s="475"/>
    </row>
    <row r="251" spans="3:11" ht="21.6" customHeight="1">
      <c r="C251" s="66" t="s">
        <v>1214</v>
      </c>
      <c r="D251" s="67"/>
      <c r="E251" s="67"/>
      <c r="F251" s="67"/>
      <c r="G251" s="69"/>
      <c r="H251" s="64">
        <f>SUM(H248:H250)</f>
        <v>7890</v>
      </c>
      <c r="K251" s="475"/>
    </row>
    <row r="252" spans="3:11" ht="21.6" customHeight="1">
      <c r="C252" s="167" t="s">
        <v>1215</v>
      </c>
      <c r="D252" s="56" t="s">
        <v>1216</v>
      </c>
      <c r="E252" s="57"/>
      <c r="F252" s="57"/>
      <c r="G252" s="57"/>
      <c r="H252" s="58"/>
      <c r="K252" s="475"/>
    </row>
    <row r="253" spans="3:11" ht="21.6" customHeight="1">
      <c r="C253" s="66" t="s">
        <v>1217</v>
      </c>
      <c r="D253" s="67"/>
      <c r="E253" s="67"/>
      <c r="F253" s="67"/>
      <c r="G253" s="69"/>
      <c r="H253" s="74">
        <v>0</v>
      </c>
      <c r="K253" s="475"/>
    </row>
    <row r="254" spans="3:11" ht="21.6" customHeight="1">
      <c r="C254" s="75" t="s">
        <v>1218</v>
      </c>
      <c r="D254" s="76" t="s">
        <v>1219</v>
      </c>
      <c r="E254" s="77"/>
      <c r="F254" s="77"/>
      <c r="G254" s="78"/>
      <c r="H254" s="64">
        <f>H253+H251+H246</f>
        <v>23045.279999999999</v>
      </c>
      <c r="K254" s="475"/>
    </row>
    <row r="255" spans="3:11" ht="21.6" customHeight="1">
      <c r="C255" s="75" t="s">
        <v>1220</v>
      </c>
      <c r="D255" s="76" t="s">
        <v>1321</v>
      </c>
      <c r="E255" s="77"/>
      <c r="F255" s="78"/>
      <c r="G255" s="80">
        <f>$M$7</f>
        <v>0.1</v>
      </c>
      <c r="H255" s="64">
        <f>H254*G255</f>
        <v>2304.5279999999998</v>
      </c>
      <c r="K255" s="475"/>
    </row>
    <row r="256" spans="3:11" ht="21.6" customHeight="1" thickBot="1">
      <c r="C256" s="81" t="s">
        <v>1221</v>
      </c>
      <c r="D256" s="82" t="s">
        <v>1222</v>
      </c>
      <c r="E256" s="83"/>
      <c r="F256" s="83"/>
      <c r="G256" s="84"/>
      <c r="H256" s="85">
        <f>SUM(H254:H255)</f>
        <v>25349.807999999997</v>
      </c>
      <c r="K256" s="475"/>
    </row>
    <row r="257" spans="3:11" ht="14.4" thickTop="1">
      <c r="C257" s="54"/>
      <c r="D257" s="86"/>
      <c r="E257" s="86"/>
      <c r="F257" s="86"/>
      <c r="G257" s="86"/>
      <c r="H257" s="87"/>
      <c r="K257" s="475"/>
    </row>
    <row r="258" spans="3:11" ht="14.4" thickBot="1">
      <c r="C258" s="47" t="s">
        <v>2827</v>
      </c>
      <c r="D258" s="455" t="s">
        <v>1550</v>
      </c>
      <c r="E258" s="151"/>
      <c r="F258" s="151"/>
      <c r="G258" s="151"/>
      <c r="H258" s="151"/>
      <c r="I258" s="50">
        <f>ROUNDDOWN(H275,-2)</f>
        <v>14300</v>
      </c>
      <c r="K258" s="475"/>
    </row>
    <row r="259" spans="3:11" ht="28.2" thickTop="1">
      <c r="C259" s="51" t="s">
        <v>1195</v>
      </c>
      <c r="D259" s="52" t="s">
        <v>1196</v>
      </c>
      <c r="E259" s="52" t="s">
        <v>1197</v>
      </c>
      <c r="F259" s="52" t="s">
        <v>1198</v>
      </c>
      <c r="G259" s="52" t="s">
        <v>1199</v>
      </c>
      <c r="H259" s="53" t="s">
        <v>1200</v>
      </c>
      <c r="K259" s="475"/>
    </row>
    <row r="260" spans="3:11" ht="21.6" customHeight="1">
      <c r="C260" s="55" t="s">
        <v>1201</v>
      </c>
      <c r="D260" s="56" t="s">
        <v>1202</v>
      </c>
      <c r="E260" s="57"/>
      <c r="F260" s="57"/>
      <c r="G260" s="57"/>
      <c r="H260" s="58"/>
      <c r="K260" s="475"/>
    </row>
    <row r="261" spans="3:11" ht="21.6" customHeight="1">
      <c r="C261" s="60">
        <v>1</v>
      </c>
      <c r="D261" s="56" t="s">
        <v>5</v>
      </c>
      <c r="E261" s="61" t="s">
        <v>6</v>
      </c>
      <c r="F261" s="101">
        <v>0.04</v>
      </c>
      <c r="G261" s="63">
        <f>VLOOKUP(D261,upahbahan,3,FALSE)</f>
        <v>100000</v>
      </c>
      <c r="H261" s="64">
        <f t="shared" ref="H261:H264" si="29">F261*G261</f>
        <v>4000</v>
      </c>
      <c r="K261" s="475"/>
    </row>
    <row r="262" spans="3:11" ht="21.6" customHeight="1">
      <c r="C262" s="60">
        <v>2</v>
      </c>
      <c r="D262" s="56" t="s">
        <v>12</v>
      </c>
      <c r="E262" s="61" t="s">
        <v>6</v>
      </c>
      <c r="F262" s="101">
        <v>5.0000000000000001E-3</v>
      </c>
      <c r="G262" s="63">
        <f>VLOOKUP(D262,upahbahan,3,FALSE)</f>
        <v>135000</v>
      </c>
      <c r="H262" s="64">
        <f t="shared" si="29"/>
        <v>675</v>
      </c>
      <c r="K262" s="475"/>
    </row>
    <row r="263" spans="3:11" ht="21.6" customHeight="1">
      <c r="C263" s="60">
        <v>3</v>
      </c>
      <c r="D263" s="56" t="s">
        <v>18</v>
      </c>
      <c r="E263" s="61" t="s">
        <v>6</v>
      </c>
      <c r="F263" s="101">
        <v>5.0000000000000001E-4</v>
      </c>
      <c r="G263" s="63">
        <f>VLOOKUP(D263,upahbahan,3,FALSE)</f>
        <v>150000</v>
      </c>
      <c r="H263" s="64">
        <f t="shared" si="29"/>
        <v>75</v>
      </c>
      <c r="K263" s="475"/>
    </row>
    <row r="264" spans="3:11" ht="21.6" customHeight="1">
      <c r="C264" s="60">
        <v>4</v>
      </c>
      <c r="D264" s="56" t="s">
        <v>19</v>
      </c>
      <c r="E264" s="61" t="s">
        <v>6</v>
      </c>
      <c r="F264" s="101">
        <v>2.0000000000000001E-4</v>
      </c>
      <c r="G264" s="63">
        <f>VLOOKUP(D264,upahbahan,3,FALSE)</f>
        <v>160000</v>
      </c>
      <c r="H264" s="64">
        <f t="shared" si="29"/>
        <v>32</v>
      </c>
      <c r="K264" s="475"/>
    </row>
    <row r="265" spans="3:11" ht="21.6" customHeight="1">
      <c r="C265" s="66" t="s">
        <v>1208</v>
      </c>
      <c r="D265" s="67"/>
      <c r="E265" s="67"/>
      <c r="F265" s="68"/>
      <c r="G265" s="459"/>
      <c r="H265" s="64">
        <f>SUM(H261:H264)</f>
        <v>4782</v>
      </c>
      <c r="K265" s="475"/>
    </row>
    <row r="266" spans="3:11" ht="21.6" customHeight="1">
      <c r="C266" s="55" t="s">
        <v>1209</v>
      </c>
      <c r="D266" s="56" t="s">
        <v>1210</v>
      </c>
      <c r="E266" s="57"/>
      <c r="F266" s="57"/>
      <c r="G266" s="57"/>
      <c r="H266" s="58"/>
      <c r="K266" s="475"/>
    </row>
    <row r="267" spans="3:11" ht="21.6" customHeight="1">
      <c r="C267" s="60">
        <v>1</v>
      </c>
      <c r="D267" s="72" t="s">
        <v>998</v>
      </c>
      <c r="E267" s="73" t="s">
        <v>65</v>
      </c>
      <c r="F267" s="62">
        <v>0.3</v>
      </c>
      <c r="G267" s="63">
        <f>VLOOKUP(D267,upahbahan,3,FALSE)</f>
        <v>0</v>
      </c>
      <c r="H267" s="64">
        <f t="shared" ref="H267:H269" si="30">F267*G267</f>
        <v>0</v>
      </c>
      <c r="K267" s="475"/>
    </row>
    <row r="268" spans="3:11" ht="21.6" customHeight="1">
      <c r="C268" s="60">
        <v>2</v>
      </c>
      <c r="D268" s="72" t="s">
        <v>967</v>
      </c>
      <c r="E268" s="73" t="s">
        <v>129</v>
      </c>
      <c r="F268" s="62">
        <v>0.2</v>
      </c>
      <c r="G268" s="63">
        <f>VLOOKUP(D268,upahbahan,3,FALSE)</f>
        <v>3900</v>
      </c>
      <c r="H268" s="64">
        <f t="shared" si="30"/>
        <v>780</v>
      </c>
      <c r="K268" s="475"/>
    </row>
    <row r="269" spans="3:11" ht="21.6" customHeight="1">
      <c r="C269" s="60">
        <v>3</v>
      </c>
      <c r="D269" s="72" t="s">
        <v>962</v>
      </c>
      <c r="E269" s="73" t="s">
        <v>963</v>
      </c>
      <c r="F269" s="62">
        <v>0.25</v>
      </c>
      <c r="G269" s="63">
        <f>VLOOKUP(D269,upahbahan,3,FALSE)</f>
        <v>30000</v>
      </c>
      <c r="H269" s="64">
        <f t="shared" si="30"/>
        <v>7500</v>
      </c>
      <c r="K269" s="475"/>
    </row>
    <row r="270" spans="3:11" ht="21.6" customHeight="1">
      <c r="C270" s="66" t="s">
        <v>1214</v>
      </c>
      <c r="D270" s="67"/>
      <c r="E270" s="67"/>
      <c r="F270" s="67"/>
      <c r="G270" s="69"/>
      <c r="H270" s="64">
        <f>SUM(H267:H269)</f>
        <v>8280</v>
      </c>
      <c r="K270" s="475"/>
    </row>
    <row r="271" spans="3:11" ht="21.6" customHeight="1">
      <c r="C271" s="167" t="s">
        <v>1215</v>
      </c>
      <c r="D271" s="56" t="s">
        <v>1216</v>
      </c>
      <c r="E271" s="57"/>
      <c r="F271" s="57"/>
      <c r="G271" s="57"/>
      <c r="H271" s="58"/>
      <c r="K271" s="475"/>
    </row>
    <row r="272" spans="3:11" ht="21.6" customHeight="1">
      <c r="C272" s="66" t="s">
        <v>1217</v>
      </c>
      <c r="D272" s="67"/>
      <c r="E272" s="67"/>
      <c r="F272" s="67"/>
      <c r="G272" s="69"/>
      <c r="H272" s="74">
        <v>0</v>
      </c>
      <c r="K272" s="475"/>
    </row>
    <row r="273" spans="3:11" ht="21.6" customHeight="1">
      <c r="C273" s="75" t="s">
        <v>1218</v>
      </c>
      <c r="D273" s="76" t="s">
        <v>1219</v>
      </c>
      <c r="E273" s="77"/>
      <c r="F273" s="77"/>
      <c r="G273" s="78"/>
      <c r="H273" s="64">
        <f>H272+H270+H265</f>
        <v>13062</v>
      </c>
      <c r="K273" s="475"/>
    </row>
    <row r="274" spans="3:11" ht="21.6" customHeight="1">
      <c r="C274" s="75" t="s">
        <v>1220</v>
      </c>
      <c r="D274" s="76" t="s">
        <v>1321</v>
      </c>
      <c r="E274" s="77"/>
      <c r="F274" s="78"/>
      <c r="G274" s="80">
        <f>$M$7</f>
        <v>0.1</v>
      </c>
      <c r="H274" s="64">
        <f>H273*G274</f>
        <v>1306.2</v>
      </c>
      <c r="K274" s="475"/>
    </row>
    <row r="275" spans="3:11" ht="21.6" customHeight="1" thickBot="1">
      <c r="C275" s="81" t="s">
        <v>1221</v>
      </c>
      <c r="D275" s="82" t="s">
        <v>1222</v>
      </c>
      <c r="E275" s="83"/>
      <c r="F275" s="83"/>
      <c r="G275" s="84"/>
      <c r="H275" s="85">
        <f>SUM(H273:H274)</f>
        <v>14368.2</v>
      </c>
      <c r="K275" s="475"/>
    </row>
    <row r="276" spans="3:11" ht="14.4" thickTop="1">
      <c r="C276" s="54"/>
      <c r="D276" s="86"/>
      <c r="E276" s="86"/>
      <c r="F276" s="86"/>
      <c r="G276" s="86"/>
      <c r="H276" s="87"/>
      <c r="K276" s="475"/>
    </row>
    <row r="277" spans="3:11" ht="14.4" thickBot="1">
      <c r="C277" s="47" t="s">
        <v>2828</v>
      </c>
      <c r="D277" s="455" t="s">
        <v>1551</v>
      </c>
      <c r="E277" s="151"/>
      <c r="F277" s="151"/>
      <c r="G277" s="151"/>
      <c r="H277" s="151"/>
      <c r="I277" s="50">
        <f>ROUNDDOWN(H293,-2)</f>
        <v>73600</v>
      </c>
      <c r="K277" s="475"/>
    </row>
    <row r="278" spans="3:11" ht="28.2" thickTop="1">
      <c r="C278" s="51" t="s">
        <v>1195</v>
      </c>
      <c r="D278" s="52" t="s">
        <v>1196</v>
      </c>
      <c r="E278" s="52" t="s">
        <v>1197</v>
      </c>
      <c r="F278" s="52" t="s">
        <v>1198</v>
      </c>
      <c r="G278" s="52" t="s">
        <v>1199</v>
      </c>
      <c r="H278" s="53" t="s">
        <v>1200</v>
      </c>
      <c r="K278" s="475"/>
    </row>
    <row r="279" spans="3:11" ht="21.6" customHeight="1">
      <c r="C279" s="55" t="s">
        <v>1201</v>
      </c>
      <c r="D279" s="56" t="s">
        <v>1202</v>
      </c>
      <c r="E279" s="57"/>
      <c r="F279" s="57"/>
      <c r="G279" s="57"/>
      <c r="H279" s="58"/>
      <c r="K279" s="475"/>
    </row>
    <row r="280" spans="3:11" ht="21.6" customHeight="1">
      <c r="C280" s="60">
        <v>1</v>
      </c>
      <c r="D280" s="56" t="s">
        <v>5</v>
      </c>
      <c r="E280" s="61" t="s">
        <v>6</v>
      </c>
      <c r="F280" s="101">
        <v>0.2</v>
      </c>
      <c r="G280" s="63">
        <f>VLOOKUP(D280,upahbahan,3,FALSE)</f>
        <v>100000</v>
      </c>
      <c r="H280" s="64">
        <f t="shared" ref="H280:H283" si="31">F280*G280</f>
        <v>20000</v>
      </c>
      <c r="K280" s="475"/>
    </row>
    <row r="281" spans="3:11" ht="21.6" customHeight="1">
      <c r="C281" s="60">
        <v>2</v>
      </c>
      <c r="D281" s="56" t="s">
        <v>12</v>
      </c>
      <c r="E281" s="61" t="s">
        <v>6</v>
      </c>
      <c r="F281" s="101">
        <v>0.2</v>
      </c>
      <c r="G281" s="63">
        <f>VLOOKUP(D281,upahbahan,3,FALSE)</f>
        <v>135000</v>
      </c>
      <c r="H281" s="64">
        <f t="shared" si="31"/>
        <v>27000</v>
      </c>
      <c r="K281" s="475"/>
    </row>
    <row r="282" spans="3:11" ht="21.6" customHeight="1">
      <c r="C282" s="60">
        <v>3</v>
      </c>
      <c r="D282" s="56" t="s">
        <v>18</v>
      </c>
      <c r="E282" s="61" t="s">
        <v>6</v>
      </c>
      <c r="F282" s="101">
        <v>0.02</v>
      </c>
      <c r="G282" s="63">
        <f>VLOOKUP(D282,upahbahan,3,FALSE)</f>
        <v>150000</v>
      </c>
      <c r="H282" s="64">
        <f t="shared" si="31"/>
        <v>3000</v>
      </c>
      <c r="K282" s="475"/>
    </row>
    <row r="283" spans="3:11" ht="21.6" customHeight="1">
      <c r="C283" s="60">
        <v>4</v>
      </c>
      <c r="D283" s="56" t="s">
        <v>19</v>
      </c>
      <c r="E283" s="61" t="s">
        <v>6</v>
      </c>
      <c r="F283" s="101">
        <v>6.7000000000000002E-3</v>
      </c>
      <c r="G283" s="63">
        <f>VLOOKUP(D283,upahbahan,3,FALSE)</f>
        <v>160000</v>
      </c>
      <c r="H283" s="64">
        <f t="shared" si="31"/>
        <v>1072</v>
      </c>
      <c r="K283" s="475"/>
    </row>
    <row r="284" spans="3:11" ht="21.6" customHeight="1">
      <c r="C284" s="66" t="s">
        <v>1208</v>
      </c>
      <c r="D284" s="67"/>
      <c r="E284" s="67"/>
      <c r="F284" s="68"/>
      <c r="G284" s="459"/>
      <c r="H284" s="64">
        <f>SUM(H280:H283)</f>
        <v>51072</v>
      </c>
      <c r="K284" s="475"/>
    </row>
    <row r="285" spans="3:11" ht="21.6" customHeight="1">
      <c r="C285" s="55" t="s">
        <v>1209</v>
      </c>
      <c r="D285" s="56" t="s">
        <v>1210</v>
      </c>
      <c r="E285" s="57"/>
      <c r="F285" s="57"/>
      <c r="G285" s="57"/>
      <c r="H285" s="58"/>
      <c r="K285" s="475"/>
    </row>
    <row r="286" spans="3:11" ht="21.6" customHeight="1">
      <c r="C286" s="60">
        <v>1</v>
      </c>
      <c r="D286" s="72" t="s">
        <v>571</v>
      </c>
      <c r="E286" s="73" t="s">
        <v>65</v>
      </c>
      <c r="F286" s="62">
        <v>0.3</v>
      </c>
      <c r="G286" s="63">
        <f>VLOOKUP(D286,upahbahan,3,FALSE)</f>
        <v>52300</v>
      </c>
      <c r="H286" s="64">
        <f t="shared" ref="H286:H287" si="32">F286*G286</f>
        <v>15690</v>
      </c>
      <c r="K286" s="475"/>
    </row>
    <row r="287" spans="3:11" ht="21.6" customHeight="1">
      <c r="C287" s="60">
        <v>2</v>
      </c>
      <c r="D287" s="72" t="s">
        <v>593</v>
      </c>
      <c r="E287" s="73" t="s">
        <v>529</v>
      </c>
      <c r="F287" s="62">
        <v>0.01</v>
      </c>
      <c r="G287" s="63">
        <f>VLOOKUP(D287,upahbahan,3,FALSE)</f>
        <v>20000</v>
      </c>
      <c r="H287" s="64">
        <f t="shared" si="32"/>
        <v>200</v>
      </c>
      <c r="K287" s="475"/>
    </row>
    <row r="288" spans="3:11" ht="21.6" customHeight="1">
      <c r="C288" s="66" t="s">
        <v>1214</v>
      </c>
      <c r="D288" s="67"/>
      <c r="E288" s="67"/>
      <c r="F288" s="67"/>
      <c r="G288" s="69"/>
      <c r="H288" s="64">
        <f>SUM(H286:H287)</f>
        <v>15890</v>
      </c>
      <c r="K288" s="475"/>
    </row>
    <row r="289" spans="3:11" ht="21.6" customHeight="1">
      <c r="C289" s="167" t="s">
        <v>1215</v>
      </c>
      <c r="D289" s="56" t="s">
        <v>1216</v>
      </c>
      <c r="E289" s="57"/>
      <c r="F289" s="57"/>
      <c r="G289" s="57"/>
      <c r="H289" s="58"/>
      <c r="K289" s="475"/>
    </row>
    <row r="290" spans="3:11" ht="21.6" customHeight="1">
      <c r="C290" s="66" t="s">
        <v>1217</v>
      </c>
      <c r="D290" s="67"/>
      <c r="E290" s="67"/>
      <c r="F290" s="67"/>
      <c r="G290" s="69"/>
      <c r="H290" s="74">
        <v>0</v>
      </c>
      <c r="K290" s="475"/>
    </row>
    <row r="291" spans="3:11" ht="21.6" customHeight="1">
      <c r="C291" s="75" t="s">
        <v>1218</v>
      </c>
      <c r="D291" s="76" t="s">
        <v>1219</v>
      </c>
      <c r="E291" s="77"/>
      <c r="F291" s="77"/>
      <c r="G291" s="78"/>
      <c r="H291" s="64">
        <f>H290+H288+H284</f>
        <v>66962</v>
      </c>
      <c r="K291" s="475"/>
    </row>
    <row r="292" spans="3:11" ht="21.6" customHeight="1">
      <c r="C292" s="75" t="s">
        <v>1220</v>
      </c>
      <c r="D292" s="76" t="s">
        <v>1321</v>
      </c>
      <c r="E292" s="77"/>
      <c r="F292" s="78"/>
      <c r="G292" s="80">
        <f>$M$7</f>
        <v>0.1</v>
      </c>
      <c r="H292" s="64">
        <f>H291*G292</f>
        <v>6696.2000000000007</v>
      </c>
      <c r="K292" s="475"/>
    </row>
    <row r="293" spans="3:11" ht="21.6" customHeight="1" thickBot="1">
      <c r="C293" s="81" t="s">
        <v>1221</v>
      </c>
      <c r="D293" s="82" t="s">
        <v>1222</v>
      </c>
      <c r="E293" s="83"/>
      <c r="F293" s="83"/>
      <c r="G293" s="84"/>
      <c r="H293" s="85">
        <f>SUM(H291:H292)</f>
        <v>73658.2</v>
      </c>
      <c r="K293" s="475"/>
    </row>
    <row r="294" spans="3:11" ht="14.4" thickTop="1">
      <c r="C294" s="54"/>
      <c r="D294" s="86"/>
      <c r="E294" s="86"/>
      <c r="F294" s="86"/>
      <c r="G294" s="86"/>
      <c r="H294" s="87"/>
      <c r="K294" s="475"/>
    </row>
    <row r="295" spans="3:11" ht="14.4" thickBot="1">
      <c r="C295" s="47" t="s">
        <v>2829</v>
      </c>
      <c r="D295" s="455" t="s">
        <v>1552</v>
      </c>
      <c r="E295" s="151"/>
      <c r="F295" s="151"/>
      <c r="G295" s="151"/>
      <c r="H295" s="151"/>
      <c r="I295" s="50">
        <f>ROUNDDOWN(H314,-2)</f>
        <v>196600</v>
      </c>
      <c r="K295" s="475"/>
    </row>
    <row r="296" spans="3:11" ht="28.2" thickTop="1">
      <c r="C296" s="51" t="s">
        <v>1195</v>
      </c>
      <c r="D296" s="52" t="s">
        <v>1196</v>
      </c>
      <c r="E296" s="52" t="s">
        <v>1197</v>
      </c>
      <c r="F296" s="52" t="s">
        <v>1198</v>
      </c>
      <c r="G296" s="52" t="s">
        <v>1199</v>
      </c>
      <c r="H296" s="53" t="s">
        <v>1200</v>
      </c>
      <c r="K296" s="475"/>
    </row>
    <row r="297" spans="3:11" ht="21.6" customHeight="1">
      <c r="C297" s="55" t="s">
        <v>1201</v>
      </c>
      <c r="D297" s="56" t="s">
        <v>1202</v>
      </c>
      <c r="E297" s="57"/>
      <c r="F297" s="57"/>
      <c r="G297" s="57"/>
      <c r="H297" s="58"/>
      <c r="K297" s="475"/>
    </row>
    <row r="298" spans="3:11" ht="21.6" customHeight="1">
      <c r="C298" s="60">
        <v>1</v>
      </c>
      <c r="D298" s="56" t="s">
        <v>5</v>
      </c>
      <c r="E298" s="61" t="s">
        <v>6</v>
      </c>
      <c r="F298" s="101">
        <v>0.4</v>
      </c>
      <c r="G298" s="63">
        <f>VLOOKUP(D298,upahbahan,3,FALSE)</f>
        <v>100000</v>
      </c>
      <c r="H298" s="64">
        <f t="shared" ref="H298:H301" si="33">F298*G298</f>
        <v>40000</v>
      </c>
      <c r="K298" s="475"/>
    </row>
    <row r="299" spans="3:11" ht="21.6" customHeight="1">
      <c r="C299" s="60">
        <v>2</v>
      </c>
      <c r="D299" s="56" t="s">
        <v>12</v>
      </c>
      <c r="E299" s="61" t="s">
        <v>6</v>
      </c>
      <c r="F299" s="101">
        <v>0.8</v>
      </c>
      <c r="G299" s="63">
        <f>VLOOKUP(D299,upahbahan,3,FALSE)</f>
        <v>135000</v>
      </c>
      <c r="H299" s="64">
        <f t="shared" si="33"/>
        <v>108000</v>
      </c>
      <c r="K299" s="475"/>
    </row>
    <row r="300" spans="3:11" ht="21.6" customHeight="1">
      <c r="C300" s="60">
        <v>3</v>
      </c>
      <c r="D300" s="56" t="s">
        <v>18</v>
      </c>
      <c r="E300" s="61" t="s">
        <v>6</v>
      </c>
      <c r="F300" s="101">
        <v>0.08</v>
      </c>
      <c r="G300" s="63">
        <f>VLOOKUP(D300,upahbahan,3,FALSE)</f>
        <v>150000</v>
      </c>
      <c r="H300" s="64">
        <f t="shared" si="33"/>
        <v>12000</v>
      </c>
      <c r="K300" s="475"/>
    </row>
    <row r="301" spans="3:11" ht="21.6" customHeight="1">
      <c r="C301" s="60">
        <v>4</v>
      </c>
      <c r="D301" s="56" t="s">
        <v>19</v>
      </c>
      <c r="E301" s="61" t="s">
        <v>6</v>
      </c>
      <c r="F301" s="101">
        <v>2.6700000000000002E-2</v>
      </c>
      <c r="G301" s="63">
        <f>VLOOKUP(D301,upahbahan,3,FALSE)</f>
        <v>160000</v>
      </c>
      <c r="H301" s="64">
        <f t="shared" si="33"/>
        <v>4272</v>
      </c>
      <c r="K301" s="475"/>
    </row>
    <row r="302" spans="3:11" ht="21.6" customHeight="1">
      <c r="C302" s="66" t="s">
        <v>1208</v>
      </c>
      <c r="D302" s="67"/>
      <c r="E302" s="67"/>
      <c r="F302" s="68"/>
      <c r="G302" s="459"/>
      <c r="H302" s="64">
        <f>SUM(H298:H301)</f>
        <v>164272</v>
      </c>
      <c r="K302" s="475"/>
    </row>
    <row r="303" spans="3:11" ht="21.6" customHeight="1">
      <c r="C303" s="55" t="s">
        <v>1209</v>
      </c>
      <c r="D303" s="56" t="s">
        <v>1210</v>
      </c>
      <c r="E303" s="57"/>
      <c r="F303" s="57"/>
      <c r="G303" s="57"/>
      <c r="H303" s="58"/>
      <c r="K303" s="475"/>
    </row>
    <row r="304" spans="3:11" ht="21.6" customHeight="1">
      <c r="C304" s="99" t="s">
        <v>1203</v>
      </c>
      <c r="D304" s="72" t="s">
        <v>571</v>
      </c>
      <c r="E304" s="73" t="s">
        <v>65</v>
      </c>
      <c r="F304" s="62">
        <v>0.11</v>
      </c>
      <c r="G304" s="63">
        <f>VLOOKUP(D304,upahbahan,3,FALSE)</f>
        <v>52300</v>
      </c>
      <c r="H304" s="64">
        <f t="shared" ref="H304:H308" si="34">F304*G304</f>
        <v>5753</v>
      </c>
      <c r="K304" s="475"/>
    </row>
    <row r="305" spans="3:11" ht="21.6" customHeight="1">
      <c r="C305" s="99" t="s">
        <v>1204</v>
      </c>
      <c r="D305" s="72" t="s">
        <v>570</v>
      </c>
      <c r="E305" s="73" t="s">
        <v>65</v>
      </c>
      <c r="F305" s="62">
        <v>0.17</v>
      </c>
      <c r="G305" s="63">
        <f>VLOOKUP(D305,upahbahan,3,FALSE)</f>
        <v>49700</v>
      </c>
      <c r="H305" s="64">
        <f t="shared" si="34"/>
        <v>8449</v>
      </c>
      <c r="K305" s="475"/>
    </row>
    <row r="306" spans="3:11" ht="21.6" customHeight="1">
      <c r="C306" s="99" t="s">
        <v>1205</v>
      </c>
      <c r="D306" s="72" t="s">
        <v>577</v>
      </c>
      <c r="E306" s="73" t="s">
        <v>65</v>
      </c>
      <c r="F306" s="62">
        <v>0.08</v>
      </c>
      <c r="G306" s="63">
        <f>VLOOKUP(D306,upahbahan,3,FALSE)</f>
        <v>0</v>
      </c>
      <c r="H306" s="64">
        <f t="shared" si="34"/>
        <v>0</v>
      </c>
      <c r="K306" s="475"/>
    </row>
    <row r="307" spans="3:11" ht="21.6" customHeight="1">
      <c r="C307" s="99" t="s">
        <v>1206</v>
      </c>
      <c r="D307" s="72" t="s">
        <v>587</v>
      </c>
      <c r="E307" s="73" t="s">
        <v>44</v>
      </c>
      <c r="F307" s="62">
        <v>0.01</v>
      </c>
      <c r="G307" s="63">
        <f>VLOOKUP(D307,upahbahan,3,FALSE)</f>
        <v>10400</v>
      </c>
      <c r="H307" s="64">
        <f t="shared" si="34"/>
        <v>104</v>
      </c>
      <c r="K307" s="475"/>
    </row>
    <row r="308" spans="3:11" ht="21.6" customHeight="1">
      <c r="C308" s="99" t="s">
        <v>1207</v>
      </c>
      <c r="D308" s="72" t="s">
        <v>593</v>
      </c>
      <c r="E308" s="73" t="s">
        <v>529</v>
      </c>
      <c r="F308" s="62">
        <v>0.01</v>
      </c>
      <c r="G308" s="63">
        <f>VLOOKUP(D308,upahbahan,3,FALSE)</f>
        <v>20000</v>
      </c>
      <c r="H308" s="64">
        <f t="shared" si="34"/>
        <v>200</v>
      </c>
      <c r="K308" s="475"/>
    </row>
    <row r="309" spans="3:11" ht="21.6" customHeight="1">
      <c r="C309" s="66" t="s">
        <v>1214</v>
      </c>
      <c r="D309" s="67"/>
      <c r="E309" s="67"/>
      <c r="F309" s="67"/>
      <c r="G309" s="69"/>
      <c r="H309" s="64">
        <f>SUM(H304:H308)</f>
        <v>14506</v>
      </c>
      <c r="K309" s="475"/>
    </row>
    <row r="310" spans="3:11" ht="21.6" customHeight="1">
      <c r="C310" s="167" t="s">
        <v>1215</v>
      </c>
      <c r="D310" s="56" t="s">
        <v>1216</v>
      </c>
      <c r="E310" s="57"/>
      <c r="F310" s="57"/>
      <c r="G310" s="57"/>
      <c r="H310" s="58"/>
      <c r="K310" s="475"/>
    </row>
    <row r="311" spans="3:11" ht="21.6" customHeight="1">
      <c r="C311" s="66" t="s">
        <v>1217</v>
      </c>
      <c r="D311" s="67"/>
      <c r="E311" s="67"/>
      <c r="F311" s="67"/>
      <c r="G311" s="69"/>
      <c r="H311" s="74">
        <v>0</v>
      </c>
      <c r="K311" s="475"/>
    </row>
    <row r="312" spans="3:11" ht="21.6" customHeight="1">
      <c r="C312" s="75" t="s">
        <v>1218</v>
      </c>
      <c r="D312" s="76" t="s">
        <v>1219</v>
      </c>
      <c r="E312" s="77"/>
      <c r="F312" s="77"/>
      <c r="G312" s="78"/>
      <c r="H312" s="64">
        <f>H311+H309+H302</f>
        <v>178778</v>
      </c>
      <c r="K312" s="475"/>
    </row>
    <row r="313" spans="3:11" ht="21.6" customHeight="1">
      <c r="C313" s="75" t="s">
        <v>1220</v>
      </c>
      <c r="D313" s="76" t="s">
        <v>1321</v>
      </c>
      <c r="E313" s="77"/>
      <c r="F313" s="78"/>
      <c r="G313" s="80">
        <f>$M$7</f>
        <v>0.1</v>
      </c>
      <c r="H313" s="64">
        <f>H312*G313</f>
        <v>17877.8</v>
      </c>
      <c r="K313" s="475"/>
    </row>
    <row r="314" spans="3:11" ht="21.6" customHeight="1" thickBot="1">
      <c r="C314" s="81" t="s">
        <v>1221</v>
      </c>
      <c r="D314" s="82" t="s">
        <v>1222</v>
      </c>
      <c r="E314" s="83"/>
      <c r="F314" s="83"/>
      <c r="G314" s="84"/>
      <c r="H314" s="85">
        <f>SUM(H312:H313)</f>
        <v>196655.8</v>
      </c>
      <c r="K314" s="475"/>
    </row>
    <row r="315" spans="3:11" ht="14.4" thickTop="1">
      <c r="C315" s="54"/>
      <c r="D315" s="86"/>
      <c r="E315" s="86"/>
      <c r="F315" s="86"/>
      <c r="G315" s="86"/>
      <c r="H315" s="87"/>
      <c r="K315" s="475"/>
    </row>
    <row r="316" spans="3:11" ht="14.4" thickBot="1">
      <c r="C316" s="47" t="s">
        <v>2830</v>
      </c>
      <c r="D316" s="455" t="s">
        <v>2831</v>
      </c>
      <c r="E316" s="275"/>
      <c r="F316" s="275"/>
      <c r="G316" s="275"/>
      <c r="H316" s="275"/>
      <c r="I316" s="50">
        <f>ROUNDDOWN(H334,-2)</f>
        <v>41100</v>
      </c>
      <c r="K316" s="475"/>
    </row>
    <row r="317" spans="3:11" ht="28.2" thickTop="1">
      <c r="C317" s="51" t="s">
        <v>1195</v>
      </c>
      <c r="D317" s="52" t="s">
        <v>1196</v>
      </c>
      <c r="E317" s="52" t="s">
        <v>1197</v>
      </c>
      <c r="F317" s="52" t="s">
        <v>1198</v>
      </c>
      <c r="G317" s="52" t="s">
        <v>1199</v>
      </c>
      <c r="H317" s="53" t="s">
        <v>1200</v>
      </c>
      <c r="K317" s="475"/>
    </row>
    <row r="318" spans="3:11" ht="21.6" customHeight="1">
      <c r="C318" s="55" t="s">
        <v>1201</v>
      </c>
      <c r="D318" s="56" t="s">
        <v>1202</v>
      </c>
      <c r="E318" s="57"/>
      <c r="F318" s="57"/>
      <c r="G318" s="57"/>
      <c r="H318" s="58"/>
      <c r="K318" s="475"/>
    </row>
    <row r="319" spans="3:11" ht="21.6" customHeight="1">
      <c r="C319" s="60">
        <v>1</v>
      </c>
      <c r="D319" s="56" t="s">
        <v>5</v>
      </c>
      <c r="E319" s="61" t="s">
        <v>6</v>
      </c>
      <c r="F319" s="101">
        <v>0.02</v>
      </c>
      <c r="G319" s="63">
        <f>VLOOKUP(D319,upahbahan,3,FALSE)</f>
        <v>100000</v>
      </c>
      <c r="H319" s="64">
        <f t="shared" ref="H319:H322" si="35">F319*G319</f>
        <v>2000</v>
      </c>
      <c r="K319" s="475"/>
    </row>
    <row r="320" spans="3:11" ht="21.6" customHeight="1">
      <c r="C320" s="60">
        <v>2</v>
      </c>
      <c r="D320" s="56" t="s">
        <v>12</v>
      </c>
      <c r="E320" s="61" t="s">
        <v>6</v>
      </c>
      <c r="F320" s="101">
        <v>0.2</v>
      </c>
      <c r="G320" s="63">
        <f>VLOOKUP(D320,upahbahan,3,FALSE)</f>
        <v>135000</v>
      </c>
      <c r="H320" s="64">
        <f t="shared" si="35"/>
        <v>27000</v>
      </c>
      <c r="K320" s="475"/>
    </row>
    <row r="321" spans="3:11" ht="21.6" customHeight="1">
      <c r="C321" s="60">
        <v>3</v>
      </c>
      <c r="D321" s="56" t="s">
        <v>18</v>
      </c>
      <c r="E321" s="61" t="s">
        <v>6</v>
      </c>
      <c r="F321" s="101">
        <v>0.02</v>
      </c>
      <c r="G321" s="63">
        <f>VLOOKUP(D321,upahbahan,3,FALSE)</f>
        <v>150000</v>
      </c>
      <c r="H321" s="64">
        <f t="shared" si="35"/>
        <v>3000</v>
      </c>
      <c r="K321" s="475"/>
    </row>
    <row r="322" spans="3:11" ht="21.6" customHeight="1">
      <c r="C322" s="60">
        <v>4</v>
      </c>
      <c r="D322" s="56" t="s">
        <v>19</v>
      </c>
      <c r="E322" s="61" t="s">
        <v>6</v>
      </c>
      <c r="F322" s="101">
        <v>6.7000000000000002E-3</v>
      </c>
      <c r="G322" s="63">
        <f>VLOOKUP(D322,upahbahan,3,FALSE)</f>
        <v>160000</v>
      </c>
      <c r="H322" s="64">
        <f t="shared" si="35"/>
        <v>1072</v>
      </c>
      <c r="K322" s="475"/>
    </row>
    <row r="323" spans="3:11" ht="21.6" customHeight="1">
      <c r="C323" s="66" t="s">
        <v>1208</v>
      </c>
      <c r="D323" s="67"/>
      <c r="E323" s="67"/>
      <c r="F323" s="68"/>
      <c r="G323" s="459"/>
      <c r="H323" s="64">
        <f>SUM(H319:H322)</f>
        <v>33072</v>
      </c>
      <c r="K323" s="475"/>
    </row>
    <row r="324" spans="3:11" ht="21.6" customHeight="1">
      <c r="C324" s="55" t="s">
        <v>1209</v>
      </c>
      <c r="D324" s="56" t="s">
        <v>1210</v>
      </c>
      <c r="E324" s="57"/>
      <c r="F324" s="57"/>
      <c r="G324" s="57"/>
      <c r="H324" s="58"/>
      <c r="K324" s="475"/>
    </row>
    <row r="325" spans="3:11" ht="21.6" customHeight="1">
      <c r="C325" s="99" t="s">
        <v>1203</v>
      </c>
      <c r="D325" s="72" t="s">
        <v>589</v>
      </c>
      <c r="E325" s="61" t="s">
        <v>65</v>
      </c>
      <c r="F325" s="62">
        <v>0.1</v>
      </c>
      <c r="G325" s="63">
        <f>VLOOKUP(D325,upahbahan,3,FALSE)</f>
        <v>39700</v>
      </c>
      <c r="H325" s="64">
        <f t="shared" ref="H325:H328" si="36">F325*G325</f>
        <v>3970</v>
      </c>
      <c r="K325" s="475"/>
    </row>
    <row r="326" spans="3:11" ht="21.6" customHeight="1">
      <c r="C326" s="99" t="s">
        <v>1204</v>
      </c>
      <c r="D326" s="72" t="s">
        <v>587</v>
      </c>
      <c r="E326" s="61" t="s">
        <v>44</v>
      </c>
      <c r="F326" s="62">
        <v>0.01</v>
      </c>
      <c r="G326" s="63">
        <f>VLOOKUP(D326,upahbahan,3,FALSE)</f>
        <v>10400</v>
      </c>
      <c r="H326" s="64">
        <f t="shared" si="36"/>
        <v>104</v>
      </c>
      <c r="K326" s="475"/>
    </row>
    <row r="327" spans="3:11" ht="21.6" customHeight="1">
      <c r="C327" s="99" t="s">
        <v>1205</v>
      </c>
      <c r="D327" s="72" t="s">
        <v>593</v>
      </c>
      <c r="E327" s="61" t="s">
        <v>529</v>
      </c>
      <c r="F327" s="62">
        <v>0.01</v>
      </c>
      <c r="G327" s="63">
        <f>VLOOKUP(D327,upahbahan,3,FALSE)</f>
        <v>20000</v>
      </c>
      <c r="H327" s="64">
        <f t="shared" si="36"/>
        <v>200</v>
      </c>
      <c r="K327" s="475"/>
    </row>
    <row r="328" spans="3:11" ht="21.6" customHeight="1">
      <c r="C328" s="99" t="s">
        <v>1206</v>
      </c>
      <c r="D328" s="72" t="s">
        <v>967</v>
      </c>
      <c r="E328" s="73" t="s">
        <v>129</v>
      </c>
      <c r="F328" s="62">
        <v>0.02</v>
      </c>
      <c r="G328" s="63">
        <f>VLOOKUP(D328,upahbahan,3,FALSE)</f>
        <v>3900</v>
      </c>
      <c r="H328" s="64">
        <f t="shared" si="36"/>
        <v>78</v>
      </c>
      <c r="K328" s="475"/>
    </row>
    <row r="329" spans="3:11" ht="21.6" customHeight="1">
      <c r="C329" s="66" t="s">
        <v>1214</v>
      </c>
      <c r="D329" s="67"/>
      <c r="E329" s="67"/>
      <c r="F329" s="67"/>
      <c r="G329" s="69"/>
      <c r="H329" s="64">
        <f>SUM(H325:H328)</f>
        <v>4352</v>
      </c>
      <c r="K329" s="475"/>
    </row>
    <row r="330" spans="3:11" ht="21.6" customHeight="1">
      <c r="C330" s="167" t="s">
        <v>1215</v>
      </c>
      <c r="D330" s="56" t="s">
        <v>1216</v>
      </c>
      <c r="E330" s="57"/>
      <c r="F330" s="57"/>
      <c r="G330" s="57"/>
      <c r="H330" s="58"/>
      <c r="K330" s="475"/>
    </row>
    <row r="331" spans="3:11" ht="21.6" customHeight="1">
      <c r="C331" s="66" t="s">
        <v>1217</v>
      </c>
      <c r="D331" s="67"/>
      <c r="E331" s="67"/>
      <c r="F331" s="67"/>
      <c r="G331" s="69"/>
      <c r="H331" s="74">
        <v>0</v>
      </c>
      <c r="K331" s="475"/>
    </row>
    <row r="332" spans="3:11" ht="21.6" customHeight="1">
      <c r="C332" s="75" t="s">
        <v>1218</v>
      </c>
      <c r="D332" s="76" t="s">
        <v>1219</v>
      </c>
      <c r="E332" s="77"/>
      <c r="F332" s="77"/>
      <c r="G332" s="78"/>
      <c r="H332" s="64">
        <f>H331+H329+H323</f>
        <v>37424</v>
      </c>
      <c r="K332" s="475"/>
    </row>
    <row r="333" spans="3:11" ht="21.6" customHeight="1">
      <c r="C333" s="75" t="s">
        <v>1220</v>
      </c>
      <c r="D333" s="76" t="s">
        <v>1321</v>
      </c>
      <c r="E333" s="77"/>
      <c r="F333" s="78"/>
      <c r="G333" s="80">
        <f>$M$7</f>
        <v>0.1</v>
      </c>
      <c r="H333" s="64">
        <f>H332*G333</f>
        <v>3742.4</v>
      </c>
      <c r="K333" s="475"/>
    </row>
    <row r="334" spans="3:11" ht="21.6" customHeight="1" thickBot="1">
      <c r="C334" s="81" t="s">
        <v>1221</v>
      </c>
      <c r="D334" s="82" t="s">
        <v>1222</v>
      </c>
      <c r="E334" s="83"/>
      <c r="F334" s="83"/>
      <c r="G334" s="84"/>
      <c r="H334" s="85">
        <f>SUM(H332:H333)</f>
        <v>41166.400000000001</v>
      </c>
      <c r="K334" s="475"/>
    </row>
    <row r="335" spans="3:11" ht="14.4" thickTop="1">
      <c r="C335" s="54"/>
      <c r="D335" s="86"/>
      <c r="E335" s="86"/>
      <c r="F335" s="86"/>
      <c r="G335" s="86"/>
      <c r="H335" s="87"/>
      <c r="K335" s="475"/>
    </row>
    <row r="336" spans="3:11" ht="14.4" thickBot="1">
      <c r="C336" s="47" t="s">
        <v>2832</v>
      </c>
      <c r="D336" s="455" t="s">
        <v>1553</v>
      </c>
      <c r="E336" s="275"/>
      <c r="F336" s="275"/>
      <c r="G336" s="275"/>
      <c r="H336" s="275"/>
      <c r="I336" s="50">
        <f>ROUNDDOWN(H354,-2)</f>
        <v>70600</v>
      </c>
      <c r="K336" s="475"/>
    </row>
    <row r="337" spans="3:11" ht="28.2" thickTop="1">
      <c r="C337" s="51" t="s">
        <v>1195</v>
      </c>
      <c r="D337" s="52" t="s">
        <v>1196</v>
      </c>
      <c r="E337" s="52" t="s">
        <v>1197</v>
      </c>
      <c r="F337" s="52" t="s">
        <v>1198</v>
      </c>
      <c r="G337" s="52" t="s">
        <v>1199</v>
      </c>
      <c r="H337" s="53" t="s">
        <v>1200</v>
      </c>
      <c r="K337" s="475"/>
    </row>
    <row r="338" spans="3:11" ht="21.6" customHeight="1">
      <c r="C338" s="55" t="s">
        <v>1201</v>
      </c>
      <c r="D338" s="56" t="s">
        <v>1202</v>
      </c>
      <c r="E338" s="57"/>
      <c r="F338" s="57"/>
      <c r="G338" s="57"/>
      <c r="H338" s="58"/>
      <c r="K338" s="475"/>
    </row>
    <row r="339" spans="3:11" ht="21.6" customHeight="1">
      <c r="C339" s="60">
        <v>1</v>
      </c>
      <c r="D339" s="56" t="s">
        <v>5</v>
      </c>
      <c r="E339" s="61" t="s">
        <v>6</v>
      </c>
      <c r="F339" s="101">
        <v>0.25</v>
      </c>
      <c r="G339" s="63">
        <f>VLOOKUP(D339,upahbahan,3,FALSE)</f>
        <v>100000</v>
      </c>
      <c r="H339" s="64">
        <f t="shared" ref="H339:H342" si="37">F339*G339</f>
        <v>25000</v>
      </c>
      <c r="K339" s="475"/>
    </row>
    <row r="340" spans="3:11" ht="21.6" customHeight="1">
      <c r="C340" s="60">
        <v>2</v>
      </c>
      <c r="D340" s="56" t="s">
        <v>12</v>
      </c>
      <c r="E340" s="61" t="s">
        <v>6</v>
      </c>
      <c r="F340" s="101">
        <v>0.22500000000000001</v>
      </c>
      <c r="G340" s="63">
        <f>VLOOKUP(D340,upahbahan,3,FALSE)</f>
        <v>135000</v>
      </c>
      <c r="H340" s="64">
        <f t="shared" si="37"/>
        <v>30375</v>
      </c>
      <c r="K340" s="475"/>
    </row>
    <row r="341" spans="3:11" ht="21.6" customHeight="1">
      <c r="C341" s="60">
        <v>3</v>
      </c>
      <c r="D341" s="56" t="s">
        <v>18</v>
      </c>
      <c r="E341" s="61" t="s">
        <v>6</v>
      </c>
      <c r="F341" s="101">
        <v>2.2499999999999999E-2</v>
      </c>
      <c r="G341" s="63">
        <f>VLOOKUP(D341,upahbahan,3,FALSE)</f>
        <v>150000</v>
      </c>
      <c r="H341" s="64">
        <f t="shared" si="37"/>
        <v>3375</v>
      </c>
      <c r="K341" s="475"/>
    </row>
    <row r="342" spans="3:11" ht="21.6" customHeight="1">
      <c r="C342" s="60">
        <v>4</v>
      </c>
      <c r="D342" s="56" t="s">
        <v>19</v>
      </c>
      <c r="E342" s="61" t="s">
        <v>6</v>
      </c>
      <c r="F342" s="101">
        <v>7.4999999999999997E-3</v>
      </c>
      <c r="G342" s="63">
        <f>VLOOKUP(D342,upahbahan,3,FALSE)</f>
        <v>160000</v>
      </c>
      <c r="H342" s="64">
        <f t="shared" si="37"/>
        <v>1200</v>
      </c>
      <c r="K342" s="475"/>
    </row>
    <row r="343" spans="3:11" ht="21.6" customHeight="1">
      <c r="C343" s="66" t="s">
        <v>1208</v>
      </c>
      <c r="D343" s="67"/>
      <c r="E343" s="67"/>
      <c r="F343" s="68"/>
      <c r="G343" s="459"/>
      <c r="H343" s="64">
        <f>SUM(H339:H342)</f>
        <v>59950</v>
      </c>
      <c r="K343" s="475"/>
    </row>
    <row r="344" spans="3:11" ht="21.6" customHeight="1">
      <c r="C344" s="55" t="s">
        <v>1209</v>
      </c>
      <c r="D344" s="56" t="s">
        <v>1210</v>
      </c>
      <c r="E344" s="57"/>
      <c r="F344" s="57"/>
      <c r="G344" s="57"/>
      <c r="H344" s="58"/>
      <c r="K344" s="475"/>
    </row>
    <row r="345" spans="3:11" ht="21.6" customHeight="1">
      <c r="C345" s="99" t="s">
        <v>1203</v>
      </c>
      <c r="D345" s="72" t="s">
        <v>589</v>
      </c>
      <c r="E345" s="61" t="s">
        <v>65</v>
      </c>
      <c r="F345" s="62">
        <v>0.1</v>
      </c>
      <c r="G345" s="63">
        <f>VLOOKUP(D345,upahbahan,3,FALSE)</f>
        <v>39700</v>
      </c>
      <c r="H345" s="64">
        <f t="shared" ref="H345:H348" si="38">F345*G345</f>
        <v>3970</v>
      </c>
      <c r="K345" s="475"/>
    </row>
    <row r="346" spans="3:11" ht="21.6" customHeight="1">
      <c r="C346" s="99" t="s">
        <v>1204</v>
      </c>
      <c r="D346" s="72" t="s">
        <v>587</v>
      </c>
      <c r="E346" s="61" t="s">
        <v>44</v>
      </c>
      <c r="F346" s="62">
        <v>0.01</v>
      </c>
      <c r="G346" s="63">
        <f>VLOOKUP(D346,upahbahan,3,FALSE)</f>
        <v>10400</v>
      </c>
      <c r="H346" s="64">
        <f t="shared" si="38"/>
        <v>104</v>
      </c>
      <c r="K346" s="475"/>
    </row>
    <row r="347" spans="3:11" ht="21.6" customHeight="1">
      <c r="C347" s="99" t="s">
        <v>1205</v>
      </c>
      <c r="D347" s="72" t="s">
        <v>593</v>
      </c>
      <c r="E347" s="61" t="s">
        <v>529</v>
      </c>
      <c r="F347" s="62">
        <v>0.01</v>
      </c>
      <c r="G347" s="63">
        <f>VLOOKUP(D347,upahbahan,3,FALSE)</f>
        <v>20000</v>
      </c>
      <c r="H347" s="64">
        <f t="shared" si="38"/>
        <v>200</v>
      </c>
      <c r="K347" s="475"/>
    </row>
    <row r="348" spans="3:11" ht="21.6" customHeight="1">
      <c r="C348" s="99" t="s">
        <v>1206</v>
      </c>
      <c r="D348" s="72" t="s">
        <v>132</v>
      </c>
      <c r="E348" s="73" t="s">
        <v>42</v>
      </c>
      <c r="F348" s="62">
        <v>2E-3</v>
      </c>
      <c r="G348" s="63">
        <f>VLOOKUP(D348,upahbahan,3,FALSE)</f>
        <v>0</v>
      </c>
      <c r="H348" s="64">
        <f t="shared" si="38"/>
        <v>0</v>
      </c>
      <c r="K348" s="475"/>
    </row>
    <row r="349" spans="3:11" ht="21.6" customHeight="1">
      <c r="C349" s="66" t="s">
        <v>1214</v>
      </c>
      <c r="D349" s="67"/>
      <c r="E349" s="67"/>
      <c r="F349" s="67"/>
      <c r="G349" s="69"/>
      <c r="H349" s="64">
        <f>SUM(H345:H348)</f>
        <v>4274</v>
      </c>
      <c r="K349" s="475"/>
    </row>
    <row r="350" spans="3:11" ht="21.6" customHeight="1">
      <c r="C350" s="167" t="s">
        <v>1215</v>
      </c>
      <c r="D350" s="56" t="s">
        <v>1216</v>
      </c>
      <c r="E350" s="57"/>
      <c r="F350" s="57"/>
      <c r="G350" s="57"/>
      <c r="H350" s="58"/>
      <c r="K350" s="475"/>
    </row>
    <row r="351" spans="3:11" ht="21.6" customHeight="1">
      <c r="C351" s="66" t="s">
        <v>1217</v>
      </c>
      <c r="D351" s="67"/>
      <c r="E351" s="67"/>
      <c r="F351" s="67"/>
      <c r="G351" s="69"/>
      <c r="H351" s="74">
        <v>0</v>
      </c>
      <c r="K351" s="475"/>
    </row>
    <row r="352" spans="3:11" ht="21.6" customHeight="1">
      <c r="C352" s="75" t="s">
        <v>1218</v>
      </c>
      <c r="D352" s="76" t="s">
        <v>1219</v>
      </c>
      <c r="E352" s="77"/>
      <c r="F352" s="77"/>
      <c r="G352" s="78"/>
      <c r="H352" s="64">
        <f>H351+H349+H343</f>
        <v>64224</v>
      </c>
      <c r="K352" s="475"/>
    </row>
    <row r="353" spans="3:11" ht="21.6" customHeight="1">
      <c r="C353" s="75" t="s">
        <v>1220</v>
      </c>
      <c r="D353" s="76" t="s">
        <v>1321</v>
      </c>
      <c r="E353" s="77"/>
      <c r="F353" s="78"/>
      <c r="G353" s="80">
        <f>$M$7</f>
        <v>0.1</v>
      </c>
      <c r="H353" s="64">
        <f>H352*G353</f>
        <v>6422.4000000000005</v>
      </c>
      <c r="K353" s="475"/>
    </row>
    <row r="354" spans="3:11" ht="21.6" customHeight="1" thickBot="1">
      <c r="C354" s="81" t="s">
        <v>1221</v>
      </c>
      <c r="D354" s="82" t="s">
        <v>1222</v>
      </c>
      <c r="E354" s="83"/>
      <c r="F354" s="83"/>
      <c r="G354" s="84"/>
      <c r="H354" s="85">
        <f>SUM(H352:H353)</f>
        <v>70646.399999999994</v>
      </c>
      <c r="K354" s="475"/>
    </row>
    <row r="355" spans="3:11" ht="14.4" thickTop="1">
      <c r="C355" s="54"/>
      <c r="D355" s="86"/>
      <c r="E355" s="86"/>
      <c r="F355" s="86"/>
      <c r="G355" s="86"/>
      <c r="H355" s="87"/>
      <c r="K355" s="475"/>
    </row>
    <row r="356" spans="3:11" ht="14.4" thickBot="1">
      <c r="C356" s="47" t="s">
        <v>2833</v>
      </c>
      <c r="D356" s="455" t="s">
        <v>1554</v>
      </c>
      <c r="E356" s="275"/>
      <c r="F356" s="275"/>
      <c r="G356" s="275"/>
      <c r="H356" s="275"/>
      <c r="I356" s="50">
        <f>ROUNDDOWN(H375,-2)</f>
        <v>81700</v>
      </c>
      <c r="K356" s="475"/>
    </row>
    <row r="357" spans="3:11" ht="28.2" thickTop="1">
      <c r="C357" s="51" t="s">
        <v>1195</v>
      </c>
      <c r="D357" s="52" t="s">
        <v>1196</v>
      </c>
      <c r="E357" s="52" t="s">
        <v>1197</v>
      </c>
      <c r="F357" s="52" t="s">
        <v>1198</v>
      </c>
      <c r="G357" s="52" t="s">
        <v>1199</v>
      </c>
      <c r="H357" s="53" t="s">
        <v>1200</v>
      </c>
      <c r="K357" s="475"/>
    </row>
    <row r="358" spans="3:11" ht="21.6" customHeight="1">
      <c r="C358" s="55" t="s">
        <v>1201</v>
      </c>
      <c r="D358" s="56" t="s">
        <v>1202</v>
      </c>
      <c r="E358" s="57"/>
      <c r="F358" s="57"/>
      <c r="G358" s="57"/>
      <c r="H358" s="58"/>
      <c r="K358" s="475"/>
    </row>
    <row r="359" spans="3:11" ht="21.6" customHeight="1">
      <c r="C359" s="60">
        <v>1</v>
      </c>
      <c r="D359" s="56" t="s">
        <v>5</v>
      </c>
      <c r="E359" s="61" t="s">
        <v>6</v>
      </c>
      <c r="F359" s="101">
        <v>0.25</v>
      </c>
      <c r="G359" s="63">
        <f>VLOOKUP(D359,upahbahan,3,FALSE)</f>
        <v>100000</v>
      </c>
      <c r="H359" s="64">
        <f t="shared" ref="H359:H362" si="39">F359*G359</f>
        <v>25000</v>
      </c>
      <c r="K359" s="475"/>
    </row>
    <row r="360" spans="3:11" ht="21.6" customHeight="1">
      <c r="C360" s="60">
        <v>2</v>
      </c>
      <c r="D360" s="56" t="s">
        <v>12</v>
      </c>
      <c r="E360" s="61" t="s">
        <v>6</v>
      </c>
      <c r="F360" s="101">
        <v>0.25</v>
      </c>
      <c r="G360" s="63">
        <f>VLOOKUP(D360,upahbahan,3,FALSE)</f>
        <v>135000</v>
      </c>
      <c r="H360" s="64">
        <f t="shared" si="39"/>
        <v>33750</v>
      </c>
      <c r="K360" s="475"/>
    </row>
    <row r="361" spans="3:11" ht="21.6" customHeight="1">
      <c r="C361" s="60">
        <v>3</v>
      </c>
      <c r="D361" s="56" t="s">
        <v>18</v>
      </c>
      <c r="E361" s="61" t="s">
        <v>6</v>
      </c>
      <c r="F361" s="101">
        <v>2.5000000000000001E-2</v>
      </c>
      <c r="G361" s="63">
        <f>VLOOKUP(D361,upahbahan,3,FALSE)</f>
        <v>150000</v>
      </c>
      <c r="H361" s="64">
        <f t="shared" si="39"/>
        <v>3750</v>
      </c>
      <c r="K361" s="475"/>
    </row>
    <row r="362" spans="3:11" ht="21.6" customHeight="1">
      <c r="C362" s="60">
        <v>4</v>
      </c>
      <c r="D362" s="56" t="s">
        <v>19</v>
      </c>
      <c r="E362" s="61" t="s">
        <v>6</v>
      </c>
      <c r="F362" s="101">
        <v>8.3000000000000001E-3</v>
      </c>
      <c r="G362" s="63">
        <f>VLOOKUP(D362,upahbahan,3,FALSE)</f>
        <v>160000</v>
      </c>
      <c r="H362" s="64">
        <f t="shared" si="39"/>
        <v>1328</v>
      </c>
      <c r="K362" s="475"/>
    </row>
    <row r="363" spans="3:11" ht="21.6" customHeight="1">
      <c r="C363" s="66" t="s">
        <v>1208</v>
      </c>
      <c r="D363" s="67"/>
      <c r="E363" s="67"/>
      <c r="F363" s="68"/>
      <c r="G363" s="459"/>
      <c r="H363" s="64">
        <f>SUM(H359:H362)</f>
        <v>63828</v>
      </c>
      <c r="K363" s="475"/>
    </row>
    <row r="364" spans="3:11" ht="21.6" customHeight="1">
      <c r="C364" s="55" t="s">
        <v>1209</v>
      </c>
      <c r="D364" s="56" t="s">
        <v>1210</v>
      </c>
      <c r="E364" s="57"/>
      <c r="F364" s="57"/>
      <c r="G364" s="57"/>
      <c r="H364" s="58"/>
      <c r="K364" s="475"/>
    </row>
    <row r="365" spans="3:11" ht="21.6" customHeight="1">
      <c r="C365" s="99" t="s">
        <v>1203</v>
      </c>
      <c r="D365" s="72" t="s">
        <v>571</v>
      </c>
      <c r="E365" s="73" t="s">
        <v>65</v>
      </c>
      <c r="F365" s="62">
        <v>0.1</v>
      </c>
      <c r="G365" s="63">
        <f>VLOOKUP(D365,upahbahan,3,FALSE)</f>
        <v>52300</v>
      </c>
      <c r="H365" s="64">
        <f t="shared" ref="H365:H369" si="40">F365*G365</f>
        <v>5230</v>
      </c>
      <c r="K365" s="475"/>
    </row>
    <row r="366" spans="3:11" ht="21.6" customHeight="1">
      <c r="C366" s="99" t="s">
        <v>1204</v>
      </c>
      <c r="D366" s="72" t="s">
        <v>570</v>
      </c>
      <c r="E366" s="73" t="s">
        <v>65</v>
      </c>
      <c r="F366" s="62">
        <v>0.1</v>
      </c>
      <c r="G366" s="63">
        <f>VLOOKUP(D366,upahbahan,3,FALSE)</f>
        <v>49700</v>
      </c>
      <c r="H366" s="64">
        <f t="shared" si="40"/>
        <v>4970</v>
      </c>
      <c r="K366" s="475"/>
    </row>
    <row r="367" spans="3:11" ht="21.6" customHeight="1">
      <c r="C367" s="99" t="s">
        <v>1205</v>
      </c>
      <c r="D367" s="72" t="s">
        <v>577</v>
      </c>
      <c r="E367" s="73" t="s">
        <v>65</v>
      </c>
      <c r="F367" s="62">
        <v>0.08</v>
      </c>
      <c r="G367" s="63">
        <f>VLOOKUP(D367,upahbahan,3,FALSE)</f>
        <v>0</v>
      </c>
      <c r="H367" s="64">
        <f t="shared" si="40"/>
        <v>0</v>
      </c>
      <c r="K367" s="475"/>
    </row>
    <row r="368" spans="3:11" ht="21.6" customHeight="1">
      <c r="C368" s="99" t="s">
        <v>1206</v>
      </c>
      <c r="D368" s="72" t="s">
        <v>587</v>
      </c>
      <c r="E368" s="73" t="s">
        <v>44</v>
      </c>
      <c r="F368" s="62">
        <v>0.01</v>
      </c>
      <c r="G368" s="63">
        <f>VLOOKUP(D368,upahbahan,3,FALSE)</f>
        <v>10400</v>
      </c>
      <c r="H368" s="64">
        <f t="shared" si="40"/>
        <v>104</v>
      </c>
      <c r="K368" s="475"/>
    </row>
    <row r="369" spans="3:11" ht="21.6" customHeight="1">
      <c r="C369" s="99" t="s">
        <v>1207</v>
      </c>
      <c r="D369" s="72" t="s">
        <v>593</v>
      </c>
      <c r="E369" s="73" t="s">
        <v>529</v>
      </c>
      <c r="F369" s="62">
        <v>0.01</v>
      </c>
      <c r="G369" s="63">
        <f>VLOOKUP(D369,upahbahan,3,FALSE)</f>
        <v>20000</v>
      </c>
      <c r="H369" s="64">
        <f t="shared" si="40"/>
        <v>200</v>
      </c>
      <c r="K369" s="475"/>
    </row>
    <row r="370" spans="3:11" ht="21.6" customHeight="1">
      <c r="C370" s="66" t="s">
        <v>1214</v>
      </c>
      <c r="D370" s="67"/>
      <c r="E370" s="67"/>
      <c r="F370" s="67"/>
      <c r="G370" s="69"/>
      <c r="H370" s="64">
        <f>SUM(H365:H369)</f>
        <v>10504</v>
      </c>
      <c r="K370" s="475"/>
    </row>
    <row r="371" spans="3:11" ht="21.6" customHeight="1">
      <c r="C371" s="167" t="s">
        <v>1215</v>
      </c>
      <c r="D371" s="56" t="s">
        <v>1216</v>
      </c>
      <c r="E371" s="57"/>
      <c r="F371" s="57"/>
      <c r="G371" s="57"/>
      <c r="H371" s="58"/>
      <c r="K371" s="475"/>
    </row>
    <row r="372" spans="3:11" ht="21.6" customHeight="1">
      <c r="C372" s="66" t="s">
        <v>1217</v>
      </c>
      <c r="D372" s="67"/>
      <c r="E372" s="67"/>
      <c r="F372" s="67"/>
      <c r="G372" s="69"/>
      <c r="H372" s="74">
        <v>0</v>
      </c>
      <c r="K372" s="475"/>
    </row>
    <row r="373" spans="3:11" ht="21.6" customHeight="1">
      <c r="C373" s="75" t="s">
        <v>1218</v>
      </c>
      <c r="D373" s="76" t="s">
        <v>1219</v>
      </c>
      <c r="E373" s="77"/>
      <c r="F373" s="77"/>
      <c r="G373" s="78"/>
      <c r="H373" s="64">
        <f>H372+H370+H363</f>
        <v>74332</v>
      </c>
      <c r="K373" s="475"/>
    </row>
    <row r="374" spans="3:11" ht="21.6" customHeight="1">
      <c r="C374" s="75" t="s">
        <v>1220</v>
      </c>
      <c r="D374" s="76" t="s">
        <v>1321</v>
      </c>
      <c r="E374" s="77"/>
      <c r="F374" s="78"/>
      <c r="G374" s="80">
        <f>$M$7</f>
        <v>0.1</v>
      </c>
      <c r="H374" s="64">
        <f>H373*G374</f>
        <v>7433.2000000000007</v>
      </c>
      <c r="K374" s="475"/>
    </row>
    <row r="375" spans="3:11" ht="21.6" customHeight="1" thickBot="1">
      <c r="C375" s="81" t="s">
        <v>1221</v>
      </c>
      <c r="D375" s="82" t="s">
        <v>1222</v>
      </c>
      <c r="E375" s="83"/>
      <c r="F375" s="83"/>
      <c r="G375" s="84"/>
      <c r="H375" s="85">
        <f>SUM(H373:H374)</f>
        <v>81765.2</v>
      </c>
      <c r="K375" s="475"/>
    </row>
    <row r="376" spans="3:11" ht="14.4" thickTop="1">
      <c r="C376" s="54"/>
      <c r="D376" s="86"/>
      <c r="E376" s="86"/>
      <c r="F376" s="86"/>
      <c r="G376" s="86"/>
      <c r="H376" s="87"/>
      <c r="K376" s="475"/>
    </row>
    <row r="377" spans="3:11" ht="14.4" thickBot="1">
      <c r="C377" s="47" t="s">
        <v>2834</v>
      </c>
      <c r="D377" s="455" t="s">
        <v>1555</v>
      </c>
      <c r="E377" s="479"/>
      <c r="F377" s="479"/>
      <c r="G377" s="479"/>
      <c r="H377" s="479"/>
      <c r="I377" s="50">
        <f>ROUNDDOWN(H394,-2)</f>
        <v>17100</v>
      </c>
      <c r="K377" s="475"/>
    </row>
    <row r="378" spans="3:11" ht="28.2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  <c r="K378" s="475"/>
    </row>
    <row r="379" spans="3:11" ht="21.6" customHeight="1">
      <c r="C379" s="55" t="s">
        <v>1201</v>
      </c>
      <c r="D379" s="56" t="s">
        <v>1202</v>
      </c>
      <c r="E379" s="57"/>
      <c r="F379" s="57"/>
      <c r="G379" s="57"/>
      <c r="H379" s="58"/>
      <c r="K379" s="475"/>
    </row>
    <row r="380" spans="3:11" ht="21.6" customHeight="1">
      <c r="C380" s="60">
        <v>1</v>
      </c>
      <c r="D380" s="56" t="s">
        <v>5</v>
      </c>
      <c r="E380" s="61" t="s">
        <v>6</v>
      </c>
      <c r="F380" s="101">
        <v>0.06</v>
      </c>
      <c r="G380" s="63">
        <f>VLOOKUP(D380,upahbahan,3,FALSE)</f>
        <v>100000</v>
      </c>
      <c r="H380" s="64">
        <f t="shared" ref="H380:H383" si="41">F380*G380</f>
        <v>6000</v>
      </c>
      <c r="K380" s="475"/>
    </row>
    <row r="381" spans="3:11" ht="21.6" customHeight="1">
      <c r="C381" s="60">
        <v>2</v>
      </c>
      <c r="D381" s="56" t="s">
        <v>12</v>
      </c>
      <c r="E381" s="61" t="s">
        <v>6</v>
      </c>
      <c r="F381" s="101">
        <v>0.06</v>
      </c>
      <c r="G381" s="63">
        <f>VLOOKUP(D381,upahbahan,3,FALSE)</f>
        <v>135000</v>
      </c>
      <c r="H381" s="64">
        <f t="shared" si="41"/>
        <v>8100</v>
      </c>
      <c r="K381" s="475"/>
    </row>
    <row r="382" spans="3:11" ht="21.6" customHeight="1">
      <c r="C382" s="60">
        <v>3</v>
      </c>
      <c r="D382" s="56" t="s">
        <v>18</v>
      </c>
      <c r="E382" s="61" t="s">
        <v>6</v>
      </c>
      <c r="F382" s="101">
        <v>6.0000000000000001E-3</v>
      </c>
      <c r="G382" s="63">
        <f>VLOOKUP(D382,upahbahan,3,FALSE)</f>
        <v>150000</v>
      </c>
      <c r="H382" s="64">
        <f t="shared" si="41"/>
        <v>900</v>
      </c>
      <c r="K382" s="475"/>
    </row>
    <row r="383" spans="3:11" ht="21.6" customHeight="1">
      <c r="C383" s="60">
        <v>4</v>
      </c>
      <c r="D383" s="56" t="s">
        <v>19</v>
      </c>
      <c r="E383" s="61" t="s">
        <v>6</v>
      </c>
      <c r="F383" s="101">
        <v>2E-3</v>
      </c>
      <c r="G383" s="63">
        <f>VLOOKUP(D383,upahbahan,3,FALSE)</f>
        <v>160000</v>
      </c>
      <c r="H383" s="64">
        <f t="shared" si="41"/>
        <v>320</v>
      </c>
      <c r="K383" s="475"/>
    </row>
    <row r="384" spans="3:11" ht="21.6" customHeight="1">
      <c r="C384" s="66" t="s">
        <v>1208</v>
      </c>
      <c r="D384" s="67"/>
      <c r="E384" s="67"/>
      <c r="F384" s="68"/>
      <c r="G384" s="459"/>
      <c r="H384" s="64">
        <f>SUM(H380:H383)</f>
        <v>15320</v>
      </c>
      <c r="K384" s="475"/>
    </row>
    <row r="385" spans="3:11" ht="21.6" customHeight="1">
      <c r="C385" s="55" t="s">
        <v>1209</v>
      </c>
      <c r="D385" s="56" t="s">
        <v>1210</v>
      </c>
      <c r="E385" s="57"/>
      <c r="F385" s="57"/>
      <c r="G385" s="57"/>
      <c r="H385" s="58"/>
      <c r="K385" s="475"/>
    </row>
    <row r="386" spans="3:11" ht="21.6" customHeight="1">
      <c r="C386" s="99" t="s">
        <v>1203</v>
      </c>
      <c r="D386" s="72" t="s">
        <v>577</v>
      </c>
      <c r="E386" s="73" t="s">
        <v>65</v>
      </c>
      <c r="F386" s="62">
        <v>0.3</v>
      </c>
      <c r="G386" s="63">
        <f>VLOOKUP(D386,upahbahan,3,FALSE)</f>
        <v>0</v>
      </c>
      <c r="H386" s="64">
        <f t="shared" ref="H386:H388" si="42">F386*G386</f>
        <v>0</v>
      </c>
      <c r="K386" s="475"/>
    </row>
    <row r="387" spans="3:11" ht="21.6" customHeight="1">
      <c r="C387" s="99" t="s">
        <v>1204</v>
      </c>
      <c r="D387" s="72" t="s">
        <v>587</v>
      </c>
      <c r="E387" s="73" t="s">
        <v>44</v>
      </c>
      <c r="F387" s="62">
        <v>0.01</v>
      </c>
      <c r="G387" s="63">
        <f>VLOOKUP(D387,upahbahan,3,FALSE)</f>
        <v>10400</v>
      </c>
      <c r="H387" s="64">
        <f t="shared" si="42"/>
        <v>104</v>
      </c>
      <c r="K387" s="475"/>
    </row>
    <row r="388" spans="3:11" ht="21.6" customHeight="1">
      <c r="C388" s="99" t="s">
        <v>1205</v>
      </c>
      <c r="D388" s="72" t="s">
        <v>593</v>
      </c>
      <c r="E388" s="73" t="s">
        <v>529</v>
      </c>
      <c r="F388" s="62">
        <v>0.01</v>
      </c>
      <c r="G388" s="63">
        <f>VLOOKUP(D388,upahbahan,3,FALSE)</f>
        <v>20000</v>
      </c>
      <c r="H388" s="64">
        <f t="shared" si="42"/>
        <v>200</v>
      </c>
      <c r="K388" s="475"/>
    </row>
    <row r="389" spans="3:11" ht="21.6" customHeight="1">
      <c r="C389" s="66" t="s">
        <v>1214</v>
      </c>
      <c r="D389" s="67"/>
      <c r="E389" s="67"/>
      <c r="F389" s="67"/>
      <c r="G389" s="69"/>
      <c r="H389" s="64">
        <f>SUM(H386:H388)</f>
        <v>304</v>
      </c>
      <c r="K389" s="475"/>
    </row>
    <row r="390" spans="3:11" ht="21.6" customHeight="1">
      <c r="C390" s="167" t="s">
        <v>1215</v>
      </c>
      <c r="D390" s="56" t="s">
        <v>1216</v>
      </c>
      <c r="E390" s="57"/>
      <c r="F390" s="57"/>
      <c r="G390" s="57"/>
      <c r="H390" s="58"/>
      <c r="K390" s="475"/>
    </row>
    <row r="391" spans="3:11" ht="21.6" customHeight="1">
      <c r="C391" s="66" t="s">
        <v>1217</v>
      </c>
      <c r="D391" s="67"/>
      <c r="E391" s="67"/>
      <c r="F391" s="67"/>
      <c r="G391" s="69"/>
      <c r="H391" s="74">
        <v>0</v>
      </c>
      <c r="K391" s="475"/>
    </row>
    <row r="392" spans="3:11" ht="21.6" customHeight="1">
      <c r="C392" s="75" t="s">
        <v>1218</v>
      </c>
      <c r="D392" s="76" t="s">
        <v>1219</v>
      </c>
      <c r="E392" s="77"/>
      <c r="F392" s="77"/>
      <c r="G392" s="78"/>
      <c r="H392" s="64">
        <f>H391+H389+H384</f>
        <v>15624</v>
      </c>
      <c r="K392" s="475"/>
    </row>
    <row r="393" spans="3:11" ht="21.6" customHeight="1">
      <c r="C393" s="75" t="s">
        <v>1220</v>
      </c>
      <c r="D393" s="76" t="s">
        <v>1321</v>
      </c>
      <c r="E393" s="77"/>
      <c r="F393" s="78"/>
      <c r="G393" s="80">
        <f>$M$7</f>
        <v>0.1</v>
      </c>
      <c r="H393" s="64">
        <f>H392*G393</f>
        <v>1562.4</v>
      </c>
      <c r="K393" s="475"/>
    </row>
    <row r="394" spans="3:11" ht="21.6" customHeight="1" thickBot="1">
      <c r="C394" s="81" t="s">
        <v>1221</v>
      </c>
      <c r="D394" s="82" t="s">
        <v>1222</v>
      </c>
      <c r="E394" s="83"/>
      <c r="F394" s="83"/>
      <c r="G394" s="84"/>
      <c r="H394" s="85">
        <f>SUM(H392:H393)</f>
        <v>17186.400000000001</v>
      </c>
      <c r="K394" s="475"/>
    </row>
    <row r="395" spans="3:11" ht="14.4" thickTop="1">
      <c r="C395" s="54"/>
      <c r="D395" s="86"/>
      <c r="E395" s="86"/>
      <c r="F395" s="86"/>
      <c r="G395" s="86"/>
      <c r="H395" s="87"/>
      <c r="K395" s="475"/>
    </row>
    <row r="396" spans="3:11">
      <c r="C396" s="47" t="s">
        <v>2835</v>
      </c>
      <c r="D396" s="455" t="s">
        <v>1556</v>
      </c>
      <c r="E396" s="149"/>
      <c r="F396" s="149"/>
      <c r="G396" s="149"/>
      <c r="H396" s="149"/>
      <c r="K396" s="475"/>
    </row>
    <row r="397" spans="3:11" ht="14.4" thickBot="1">
      <c r="C397" s="47" t="s">
        <v>2836</v>
      </c>
      <c r="D397" s="455" t="s">
        <v>2837</v>
      </c>
      <c r="E397" s="149"/>
      <c r="F397" s="149"/>
      <c r="G397" s="149"/>
      <c r="H397" s="149"/>
      <c r="I397" s="50">
        <f>ROUNDDOWN(H413,-2)</f>
        <v>32700</v>
      </c>
      <c r="K397" s="475"/>
    </row>
    <row r="398" spans="3:11" ht="28.2" thickTop="1">
      <c r="C398" s="51" t="s">
        <v>1195</v>
      </c>
      <c r="D398" s="52" t="s">
        <v>1196</v>
      </c>
      <c r="E398" s="52" t="s">
        <v>1197</v>
      </c>
      <c r="F398" s="52" t="s">
        <v>1198</v>
      </c>
      <c r="G398" s="52" t="s">
        <v>1199</v>
      </c>
      <c r="H398" s="53" t="s">
        <v>1200</v>
      </c>
      <c r="K398" s="475"/>
    </row>
    <row r="399" spans="3:11" ht="21.6" customHeight="1">
      <c r="C399" s="55" t="s">
        <v>1201</v>
      </c>
      <c r="D399" s="56" t="s">
        <v>1202</v>
      </c>
      <c r="E399" s="57"/>
      <c r="F399" s="57"/>
      <c r="G399" s="57"/>
      <c r="H399" s="58"/>
      <c r="K399" s="475"/>
    </row>
    <row r="400" spans="3:11" ht="21.6" customHeight="1">
      <c r="C400" s="60">
        <v>1</v>
      </c>
      <c r="D400" s="56" t="s">
        <v>5</v>
      </c>
      <c r="E400" s="61" t="s">
        <v>6</v>
      </c>
      <c r="F400" s="98">
        <v>6.25E-2</v>
      </c>
      <c r="G400" s="63">
        <f>VLOOKUP(D400,upahbahan,3,FALSE)</f>
        <v>100000</v>
      </c>
      <c r="H400" s="64">
        <f t="shared" ref="H400:H403" si="43">F400*G400</f>
        <v>6250</v>
      </c>
      <c r="K400" s="475"/>
    </row>
    <row r="401" spans="3:11" ht="21.6" customHeight="1">
      <c r="C401" s="60">
        <v>2</v>
      </c>
      <c r="D401" s="56" t="s">
        <v>12</v>
      </c>
      <c r="E401" s="61" t="s">
        <v>6</v>
      </c>
      <c r="F401" s="98">
        <v>6.25E-2</v>
      </c>
      <c r="G401" s="63">
        <f>VLOOKUP(D401,upahbahan,3,FALSE)</f>
        <v>135000</v>
      </c>
      <c r="H401" s="64">
        <f t="shared" si="43"/>
        <v>8437.5</v>
      </c>
      <c r="K401" s="475"/>
    </row>
    <row r="402" spans="3:11" ht="21.6" customHeight="1">
      <c r="C402" s="60">
        <v>3</v>
      </c>
      <c r="D402" s="56" t="s">
        <v>18</v>
      </c>
      <c r="E402" s="61" t="s">
        <v>6</v>
      </c>
      <c r="F402" s="98">
        <v>6.3E-3</v>
      </c>
      <c r="G402" s="63">
        <f>VLOOKUP(D402,upahbahan,3,FALSE)</f>
        <v>150000</v>
      </c>
      <c r="H402" s="64">
        <f t="shared" si="43"/>
        <v>945</v>
      </c>
      <c r="K402" s="475"/>
    </row>
    <row r="403" spans="3:11" ht="21.6" customHeight="1">
      <c r="C403" s="60">
        <v>4</v>
      </c>
      <c r="D403" s="56" t="s">
        <v>19</v>
      </c>
      <c r="E403" s="61" t="s">
        <v>6</v>
      </c>
      <c r="F403" s="98">
        <v>2.0999999999999999E-3</v>
      </c>
      <c r="G403" s="63">
        <f>VLOOKUP(D403,upahbahan,3,FALSE)</f>
        <v>160000</v>
      </c>
      <c r="H403" s="64">
        <f t="shared" si="43"/>
        <v>336</v>
      </c>
      <c r="K403" s="475"/>
    </row>
    <row r="404" spans="3:11" ht="21.6" customHeight="1">
      <c r="C404" s="66" t="s">
        <v>1208</v>
      </c>
      <c r="D404" s="67"/>
      <c r="E404" s="67"/>
      <c r="F404" s="68"/>
      <c r="G404" s="459"/>
      <c r="H404" s="64">
        <f>SUM(H400:H403)</f>
        <v>15968.5</v>
      </c>
      <c r="K404" s="475"/>
    </row>
    <row r="405" spans="3:11" ht="21.6" customHeight="1">
      <c r="C405" s="55" t="s">
        <v>1209</v>
      </c>
      <c r="D405" s="56" t="s">
        <v>1210</v>
      </c>
      <c r="E405" s="57"/>
      <c r="F405" s="57"/>
      <c r="G405" s="57"/>
      <c r="H405" s="58"/>
      <c r="K405" s="475"/>
    </row>
    <row r="406" spans="3:11" ht="21.6" customHeight="1">
      <c r="C406" s="60">
        <v>1</v>
      </c>
      <c r="D406" s="56" t="s">
        <v>574</v>
      </c>
      <c r="E406" s="61" t="s">
        <v>65</v>
      </c>
      <c r="F406" s="62">
        <v>0.12</v>
      </c>
      <c r="G406" s="63">
        <f>VLOOKUP(D406,upahbahan,3,FALSE)</f>
        <v>39600</v>
      </c>
      <c r="H406" s="64">
        <f t="shared" ref="H406:H407" si="44">F406*G406</f>
        <v>4752</v>
      </c>
      <c r="K406" s="475"/>
    </row>
    <row r="407" spans="3:11" ht="21.6" customHeight="1">
      <c r="C407" s="60">
        <v>2</v>
      </c>
      <c r="D407" s="56" t="s">
        <v>580</v>
      </c>
      <c r="E407" s="61" t="s">
        <v>65</v>
      </c>
      <c r="F407" s="62">
        <v>0.18</v>
      </c>
      <c r="G407" s="63">
        <f>VLOOKUP(D407,upahbahan,3,FALSE)</f>
        <v>50400</v>
      </c>
      <c r="H407" s="64">
        <f t="shared" si="44"/>
        <v>9072</v>
      </c>
      <c r="K407" s="475"/>
    </row>
    <row r="408" spans="3:11" ht="21.6" customHeight="1">
      <c r="C408" s="66" t="s">
        <v>1214</v>
      </c>
      <c r="D408" s="67"/>
      <c r="E408" s="67"/>
      <c r="F408" s="67"/>
      <c r="G408" s="69"/>
      <c r="H408" s="64">
        <f>SUM(H406:H407)</f>
        <v>13824</v>
      </c>
      <c r="K408" s="475"/>
    </row>
    <row r="409" spans="3:11" ht="21.6" customHeight="1">
      <c r="C409" s="167" t="s">
        <v>1215</v>
      </c>
      <c r="D409" s="56" t="s">
        <v>1216</v>
      </c>
      <c r="E409" s="57"/>
      <c r="F409" s="57"/>
      <c r="G409" s="57"/>
      <c r="H409" s="58"/>
      <c r="K409" s="475"/>
    </row>
    <row r="410" spans="3:11" ht="21.6" customHeight="1">
      <c r="C410" s="66" t="s">
        <v>1217</v>
      </c>
      <c r="D410" s="67"/>
      <c r="E410" s="67"/>
      <c r="F410" s="67"/>
      <c r="G410" s="69"/>
      <c r="H410" s="74">
        <v>0</v>
      </c>
      <c r="K410" s="475"/>
    </row>
    <row r="411" spans="3:11" ht="21.6" customHeight="1">
      <c r="C411" s="75" t="s">
        <v>1218</v>
      </c>
      <c r="D411" s="76" t="s">
        <v>1219</v>
      </c>
      <c r="E411" s="77"/>
      <c r="F411" s="77"/>
      <c r="G411" s="78"/>
      <c r="H411" s="64">
        <f>H410+H408+H404</f>
        <v>29792.5</v>
      </c>
      <c r="K411" s="475"/>
    </row>
    <row r="412" spans="3:11" ht="21.6" customHeight="1">
      <c r="C412" s="75" t="s">
        <v>1220</v>
      </c>
      <c r="D412" s="76" t="s">
        <v>1321</v>
      </c>
      <c r="E412" s="77"/>
      <c r="F412" s="78"/>
      <c r="G412" s="80">
        <f>$M$7</f>
        <v>0.1</v>
      </c>
      <c r="H412" s="64">
        <f>H411*G412</f>
        <v>2979.25</v>
      </c>
      <c r="K412" s="475"/>
    </row>
    <row r="413" spans="3:11" ht="21.6" customHeight="1" thickBot="1">
      <c r="C413" s="81" t="s">
        <v>1221</v>
      </c>
      <c r="D413" s="82" t="s">
        <v>1222</v>
      </c>
      <c r="E413" s="83"/>
      <c r="F413" s="83"/>
      <c r="G413" s="84"/>
      <c r="H413" s="85">
        <f>SUM(H411:H412)</f>
        <v>32771.75</v>
      </c>
      <c r="K413" s="475"/>
    </row>
    <row r="414" spans="3:11" ht="14.4" thickTop="1">
      <c r="C414" s="54"/>
      <c r="D414" s="86"/>
      <c r="E414" s="86"/>
      <c r="F414" s="86"/>
      <c r="G414" s="86"/>
      <c r="H414" s="87"/>
      <c r="K414" s="475"/>
    </row>
    <row r="415" spans="3:11" ht="14.4" thickBot="1">
      <c r="C415" s="47" t="s">
        <v>5277</v>
      </c>
      <c r="D415" s="455" t="s">
        <v>2838</v>
      </c>
      <c r="E415" s="149"/>
      <c r="F415" s="149"/>
      <c r="G415" s="149"/>
      <c r="H415" s="149"/>
      <c r="I415" s="50">
        <f>ROUNDDOWN(H431,-2)</f>
        <v>17500</v>
      </c>
      <c r="J415" s="59" t="s">
        <v>6456</v>
      </c>
      <c r="K415" s="475" t="s">
        <v>6529</v>
      </c>
    </row>
    <row r="416" spans="3:11" ht="28.2" thickTop="1">
      <c r="C416" s="51" t="s">
        <v>1195</v>
      </c>
      <c r="D416" s="52" t="s">
        <v>1196</v>
      </c>
      <c r="E416" s="52" t="s">
        <v>1197</v>
      </c>
      <c r="F416" s="52" t="s">
        <v>1198</v>
      </c>
      <c r="G416" s="52" t="s">
        <v>1199</v>
      </c>
      <c r="H416" s="53" t="s">
        <v>1200</v>
      </c>
      <c r="K416" s="475"/>
    </row>
    <row r="417" spans="3:11" ht="21.6" customHeight="1">
      <c r="C417" s="55" t="s">
        <v>1201</v>
      </c>
      <c r="D417" s="56" t="s">
        <v>1202</v>
      </c>
      <c r="E417" s="57"/>
      <c r="F417" s="57"/>
      <c r="G417" s="57"/>
      <c r="H417" s="58"/>
      <c r="K417" s="475"/>
    </row>
    <row r="418" spans="3:11" ht="21.6" customHeight="1">
      <c r="C418" s="60">
        <v>1</v>
      </c>
      <c r="D418" s="56" t="s">
        <v>5</v>
      </c>
      <c r="E418" s="61" t="s">
        <v>6</v>
      </c>
      <c r="F418" s="98">
        <v>6.25E-2</v>
      </c>
      <c r="G418" s="63">
        <f>VLOOKUP(D418,upahbahan,3,FALSE)</f>
        <v>100000</v>
      </c>
      <c r="H418" s="64">
        <f t="shared" ref="H418:H421" si="45">F418*G418</f>
        <v>6250</v>
      </c>
      <c r="K418" s="475"/>
    </row>
    <row r="419" spans="3:11" ht="21.6" customHeight="1">
      <c r="C419" s="60">
        <v>2</v>
      </c>
      <c r="D419" s="56" t="s">
        <v>12</v>
      </c>
      <c r="E419" s="61" t="s">
        <v>6</v>
      </c>
      <c r="F419" s="98">
        <v>6.25E-2</v>
      </c>
      <c r="G419" s="63">
        <f>VLOOKUP(D419,upahbahan,3,FALSE)</f>
        <v>135000</v>
      </c>
      <c r="H419" s="64">
        <f t="shared" si="45"/>
        <v>8437.5</v>
      </c>
      <c r="K419" s="475"/>
    </row>
    <row r="420" spans="3:11" ht="21.6" customHeight="1">
      <c r="C420" s="60">
        <v>3</v>
      </c>
      <c r="D420" s="56" t="s">
        <v>18</v>
      </c>
      <c r="E420" s="61" t="s">
        <v>6</v>
      </c>
      <c r="F420" s="98">
        <v>6.3E-3</v>
      </c>
      <c r="G420" s="63">
        <f>VLOOKUP(D420,upahbahan,3,FALSE)</f>
        <v>150000</v>
      </c>
      <c r="H420" s="64">
        <f t="shared" si="45"/>
        <v>945</v>
      </c>
      <c r="K420" s="475"/>
    </row>
    <row r="421" spans="3:11" ht="21.6" customHeight="1">
      <c r="C421" s="60">
        <v>4</v>
      </c>
      <c r="D421" s="56" t="s">
        <v>19</v>
      </c>
      <c r="E421" s="61" t="s">
        <v>6</v>
      </c>
      <c r="F421" s="98">
        <v>2.0999999999999999E-3</v>
      </c>
      <c r="G421" s="63">
        <f>VLOOKUP(D421,upahbahan,3,FALSE)</f>
        <v>160000</v>
      </c>
      <c r="H421" s="64">
        <f t="shared" si="45"/>
        <v>336</v>
      </c>
      <c r="K421" s="475"/>
    </row>
    <row r="422" spans="3:11" ht="21.6" customHeight="1">
      <c r="C422" s="66" t="s">
        <v>1208</v>
      </c>
      <c r="D422" s="67"/>
      <c r="E422" s="67"/>
      <c r="F422" s="68"/>
      <c r="G422" s="459"/>
      <c r="H422" s="64">
        <f>SUM(H418:H421)</f>
        <v>15968.5</v>
      </c>
      <c r="K422" s="475"/>
    </row>
    <row r="423" spans="3:11" ht="21.6" customHeight="1">
      <c r="C423" s="55" t="s">
        <v>1209</v>
      </c>
      <c r="D423" s="56" t="s">
        <v>1210</v>
      </c>
      <c r="E423" s="57"/>
      <c r="F423" s="57"/>
      <c r="G423" s="57"/>
      <c r="H423" s="58"/>
      <c r="K423" s="475"/>
    </row>
    <row r="424" spans="3:11" ht="21.6" customHeight="1">
      <c r="C424" s="60">
        <v>1</v>
      </c>
      <c r="D424" s="56" t="s">
        <v>6530</v>
      </c>
      <c r="E424" s="61" t="s">
        <v>65</v>
      </c>
      <c r="F424" s="62">
        <v>0.12</v>
      </c>
      <c r="G424" s="63">
        <f>VLOOKUP(D424,upahbahan,3,FALSE)</f>
        <v>0</v>
      </c>
      <c r="H424" s="64">
        <f t="shared" ref="H424:H425" si="46">F424*G424</f>
        <v>0</v>
      </c>
      <c r="K424" s="475"/>
    </row>
    <row r="425" spans="3:11" ht="21.6" customHeight="1">
      <c r="C425" s="60">
        <v>2</v>
      </c>
      <c r="D425" s="56" t="s">
        <v>6531</v>
      </c>
      <c r="E425" s="61" t="s">
        <v>65</v>
      </c>
      <c r="F425" s="62">
        <v>0.18</v>
      </c>
      <c r="G425" s="63">
        <f>VLOOKUP(D425,upahbahan,3,FALSE)</f>
        <v>0</v>
      </c>
      <c r="H425" s="64">
        <f t="shared" si="46"/>
        <v>0</v>
      </c>
      <c r="K425" s="475"/>
    </row>
    <row r="426" spans="3:11" ht="21.6" customHeight="1">
      <c r="C426" s="66" t="s">
        <v>1214</v>
      </c>
      <c r="D426" s="67"/>
      <c r="E426" s="67"/>
      <c r="F426" s="67"/>
      <c r="G426" s="69"/>
      <c r="H426" s="64">
        <f>SUM(H424:H425)</f>
        <v>0</v>
      </c>
      <c r="K426" s="475"/>
    </row>
    <row r="427" spans="3:11" ht="21.6" customHeight="1">
      <c r="C427" s="167" t="s">
        <v>1215</v>
      </c>
      <c r="D427" s="56" t="s">
        <v>1216</v>
      </c>
      <c r="E427" s="57"/>
      <c r="F427" s="57"/>
      <c r="G427" s="57"/>
      <c r="H427" s="58"/>
      <c r="K427" s="475"/>
    </row>
    <row r="428" spans="3:11" ht="21.6" customHeight="1">
      <c r="C428" s="66" t="s">
        <v>1217</v>
      </c>
      <c r="D428" s="67"/>
      <c r="E428" s="67"/>
      <c r="F428" s="67"/>
      <c r="G428" s="69"/>
      <c r="H428" s="74">
        <v>0</v>
      </c>
      <c r="K428" s="475"/>
    </row>
    <row r="429" spans="3:11" ht="21.6" customHeight="1">
      <c r="C429" s="75" t="s">
        <v>1218</v>
      </c>
      <c r="D429" s="76" t="s">
        <v>1219</v>
      </c>
      <c r="E429" s="77"/>
      <c r="F429" s="77"/>
      <c r="G429" s="78"/>
      <c r="H429" s="64">
        <f>H428+H426+H422</f>
        <v>15968.5</v>
      </c>
      <c r="K429" s="475"/>
    </row>
    <row r="430" spans="3:11" ht="21.6" customHeight="1">
      <c r="C430" s="75" t="s">
        <v>1220</v>
      </c>
      <c r="D430" s="76" t="s">
        <v>1321</v>
      </c>
      <c r="E430" s="77"/>
      <c r="F430" s="78"/>
      <c r="G430" s="80">
        <f>$M$7</f>
        <v>0.1</v>
      </c>
      <c r="H430" s="64">
        <f>H429*G430</f>
        <v>1596.8500000000001</v>
      </c>
      <c r="K430" s="475"/>
    </row>
    <row r="431" spans="3:11" ht="21.6" customHeight="1" thickBot="1">
      <c r="C431" s="81" t="s">
        <v>1221</v>
      </c>
      <c r="D431" s="82" t="s">
        <v>1222</v>
      </c>
      <c r="E431" s="83"/>
      <c r="F431" s="83"/>
      <c r="G431" s="84"/>
      <c r="H431" s="85">
        <f>SUM(H429:H430)</f>
        <v>17565.349999999999</v>
      </c>
      <c r="K431" s="475"/>
    </row>
    <row r="432" spans="3:11" ht="14.4" thickTop="1">
      <c r="C432" s="54"/>
      <c r="D432" s="86"/>
      <c r="E432" s="86"/>
      <c r="F432" s="86"/>
      <c r="G432" s="86"/>
      <c r="H432" s="87"/>
      <c r="K432" s="475"/>
    </row>
    <row r="433" spans="3:11" ht="14.4" thickBot="1">
      <c r="C433" s="47" t="s">
        <v>2839</v>
      </c>
      <c r="D433" s="455" t="s">
        <v>1557</v>
      </c>
      <c r="E433" s="149"/>
      <c r="F433" s="149"/>
      <c r="G433" s="149"/>
      <c r="H433" s="149"/>
      <c r="I433" s="50">
        <f>ROUNDDOWN(H448,-2)</f>
        <v>56100</v>
      </c>
      <c r="K433" s="475"/>
    </row>
    <row r="434" spans="3:11" ht="28.2" thickTop="1">
      <c r="C434" s="51" t="s">
        <v>1195</v>
      </c>
      <c r="D434" s="52" t="s">
        <v>1196</v>
      </c>
      <c r="E434" s="52" t="s">
        <v>1197</v>
      </c>
      <c r="F434" s="52" t="s">
        <v>1198</v>
      </c>
      <c r="G434" s="52" t="s">
        <v>1199</v>
      </c>
      <c r="H434" s="53" t="s">
        <v>1200</v>
      </c>
      <c r="K434" s="475"/>
    </row>
    <row r="435" spans="3:11" ht="21.6" customHeight="1">
      <c r="C435" s="55" t="s">
        <v>1201</v>
      </c>
      <c r="D435" s="56" t="s">
        <v>1202</v>
      </c>
      <c r="E435" s="57"/>
      <c r="F435" s="57"/>
      <c r="G435" s="57"/>
      <c r="H435" s="58"/>
      <c r="K435" s="475"/>
    </row>
    <row r="436" spans="3:11" ht="21.6" customHeight="1">
      <c r="C436" s="60">
        <v>1</v>
      </c>
      <c r="D436" s="56" t="s">
        <v>5</v>
      </c>
      <c r="E436" s="61" t="s">
        <v>6</v>
      </c>
      <c r="F436" s="101">
        <v>0.2</v>
      </c>
      <c r="G436" s="63">
        <f>VLOOKUP(D436,upahbahan,3,FALSE)</f>
        <v>100000</v>
      </c>
      <c r="H436" s="64">
        <f t="shared" ref="H436:H439" si="47">F436*G436</f>
        <v>20000</v>
      </c>
      <c r="K436" s="475"/>
    </row>
    <row r="437" spans="3:11" ht="21.6" customHeight="1">
      <c r="C437" s="60">
        <v>2</v>
      </c>
      <c r="D437" s="56" t="s">
        <v>12</v>
      </c>
      <c r="E437" s="61" t="s">
        <v>6</v>
      </c>
      <c r="F437" s="101">
        <v>0.2</v>
      </c>
      <c r="G437" s="63">
        <f>VLOOKUP(D437,upahbahan,3,FALSE)</f>
        <v>135000</v>
      </c>
      <c r="H437" s="64">
        <f t="shared" si="47"/>
        <v>27000</v>
      </c>
      <c r="K437" s="475"/>
    </row>
    <row r="438" spans="3:11" ht="21.6" customHeight="1">
      <c r="C438" s="60">
        <v>3</v>
      </c>
      <c r="D438" s="56" t="s">
        <v>18</v>
      </c>
      <c r="E438" s="61" t="s">
        <v>6</v>
      </c>
      <c r="F438" s="101">
        <v>0.02</v>
      </c>
      <c r="G438" s="63">
        <f>VLOOKUP(D438,upahbahan,3,FALSE)</f>
        <v>150000</v>
      </c>
      <c r="H438" s="64">
        <f t="shared" si="47"/>
        <v>3000</v>
      </c>
      <c r="K438" s="475"/>
    </row>
    <row r="439" spans="3:11" ht="21.6" customHeight="1">
      <c r="C439" s="60">
        <v>4</v>
      </c>
      <c r="D439" s="56" t="s">
        <v>19</v>
      </c>
      <c r="E439" s="61" t="s">
        <v>6</v>
      </c>
      <c r="F439" s="101">
        <v>6.7000000000000002E-3</v>
      </c>
      <c r="G439" s="63">
        <f>VLOOKUP(D439,upahbahan,3,FALSE)</f>
        <v>160000</v>
      </c>
      <c r="H439" s="64">
        <f t="shared" si="47"/>
        <v>1072</v>
      </c>
      <c r="K439" s="475"/>
    </row>
    <row r="440" spans="3:11" ht="21.6" customHeight="1">
      <c r="C440" s="66" t="s">
        <v>1208</v>
      </c>
      <c r="D440" s="67"/>
      <c r="E440" s="67"/>
      <c r="F440" s="68"/>
      <c r="G440" s="459"/>
      <c r="H440" s="64">
        <f>SUM(H436:H439)</f>
        <v>51072</v>
      </c>
      <c r="K440" s="475"/>
    </row>
    <row r="441" spans="3:11" ht="21.6" customHeight="1">
      <c r="C441" s="55" t="s">
        <v>1209</v>
      </c>
      <c r="D441" s="56" t="s">
        <v>1210</v>
      </c>
      <c r="E441" s="57"/>
      <c r="F441" s="57"/>
      <c r="G441" s="57"/>
      <c r="H441" s="58"/>
      <c r="K441" s="475"/>
    </row>
    <row r="442" spans="3:11" ht="21.6" customHeight="1">
      <c r="C442" s="60">
        <v>1</v>
      </c>
      <c r="D442" s="56" t="s">
        <v>575</v>
      </c>
      <c r="E442" s="61" t="s">
        <v>65</v>
      </c>
      <c r="F442" s="62">
        <v>1</v>
      </c>
      <c r="G442" s="63">
        <f>VLOOKUP(D442,upahbahan,3,FALSE)</f>
        <v>0</v>
      </c>
      <c r="H442" s="64">
        <f>F442*G442</f>
        <v>0</v>
      </c>
      <c r="K442" s="475"/>
    </row>
    <row r="443" spans="3:11" ht="21.6" customHeight="1">
      <c r="C443" s="66" t="s">
        <v>1214</v>
      </c>
      <c r="D443" s="67"/>
      <c r="E443" s="67"/>
      <c r="F443" s="67"/>
      <c r="G443" s="69"/>
      <c r="H443" s="64">
        <f>SUM(H442:H442)</f>
        <v>0</v>
      </c>
      <c r="K443" s="475"/>
    </row>
    <row r="444" spans="3:11" ht="21.6" customHeight="1">
      <c r="C444" s="167" t="s">
        <v>1215</v>
      </c>
      <c r="D444" s="56" t="s">
        <v>1216</v>
      </c>
      <c r="E444" s="57"/>
      <c r="F444" s="57"/>
      <c r="G444" s="57"/>
      <c r="H444" s="58"/>
      <c r="K444" s="475"/>
    </row>
    <row r="445" spans="3:11" ht="21.6" customHeight="1">
      <c r="C445" s="66" t="s">
        <v>1217</v>
      </c>
      <c r="D445" s="67"/>
      <c r="E445" s="67"/>
      <c r="F445" s="67"/>
      <c r="G445" s="69"/>
      <c r="H445" s="74">
        <v>0</v>
      </c>
      <c r="K445" s="475"/>
    </row>
    <row r="446" spans="3:11" ht="21.6" customHeight="1">
      <c r="C446" s="75" t="s">
        <v>1218</v>
      </c>
      <c r="D446" s="76" t="s">
        <v>1219</v>
      </c>
      <c r="E446" s="77"/>
      <c r="F446" s="77"/>
      <c r="G446" s="78"/>
      <c r="H446" s="64">
        <f>H445+H443+H440</f>
        <v>51072</v>
      </c>
      <c r="K446" s="475"/>
    </row>
    <row r="447" spans="3:11" ht="21.6" customHeight="1">
      <c r="C447" s="75" t="s">
        <v>1220</v>
      </c>
      <c r="D447" s="76" t="s">
        <v>1321</v>
      </c>
      <c r="E447" s="77"/>
      <c r="F447" s="78"/>
      <c r="G447" s="80">
        <f>$M$7</f>
        <v>0.1</v>
      </c>
      <c r="H447" s="64">
        <f>H446*G447</f>
        <v>5107.2000000000007</v>
      </c>
      <c r="K447" s="475"/>
    </row>
    <row r="448" spans="3:11" ht="21.6" customHeight="1" thickBot="1">
      <c r="C448" s="81" t="s">
        <v>1221</v>
      </c>
      <c r="D448" s="82" t="s">
        <v>1222</v>
      </c>
      <c r="E448" s="83"/>
      <c r="F448" s="83"/>
      <c r="G448" s="84"/>
      <c r="H448" s="85">
        <f>SUM(H446:H447)</f>
        <v>56179.199999999997</v>
      </c>
      <c r="K448" s="475"/>
    </row>
    <row r="449" spans="3:11" ht="14.4" thickTop="1">
      <c r="C449" s="54"/>
      <c r="D449" s="86"/>
      <c r="E449" s="86"/>
      <c r="F449" s="86"/>
      <c r="G449" s="86"/>
      <c r="H449" s="87"/>
      <c r="K449" s="475"/>
    </row>
    <row r="450" spans="3:11" ht="14.4" thickBot="1">
      <c r="C450" s="47" t="s">
        <v>2840</v>
      </c>
      <c r="D450" s="455" t="s">
        <v>1558</v>
      </c>
      <c r="E450" s="149"/>
      <c r="F450" s="149"/>
      <c r="G450" s="149"/>
      <c r="H450" s="149"/>
      <c r="I450" s="50">
        <f>ROUNDDOWN(H470,-2)</f>
        <v>288200</v>
      </c>
      <c r="K450" s="475"/>
    </row>
    <row r="451" spans="3:11" ht="28.2" thickTop="1">
      <c r="C451" s="51" t="s">
        <v>1195</v>
      </c>
      <c r="D451" s="52" t="s">
        <v>1196</v>
      </c>
      <c r="E451" s="52" t="s">
        <v>1197</v>
      </c>
      <c r="F451" s="52" t="s">
        <v>1198</v>
      </c>
      <c r="G451" s="52" t="s">
        <v>1199</v>
      </c>
      <c r="H451" s="53" t="s">
        <v>1200</v>
      </c>
      <c r="K451" s="475"/>
    </row>
    <row r="452" spans="3:11" ht="21.6" customHeight="1">
      <c r="C452" s="55" t="s">
        <v>1201</v>
      </c>
      <c r="D452" s="56" t="s">
        <v>1202</v>
      </c>
      <c r="E452" s="57"/>
      <c r="F452" s="57"/>
      <c r="G452" s="57"/>
      <c r="H452" s="58"/>
      <c r="K452" s="475"/>
    </row>
    <row r="453" spans="3:11" ht="21.6" customHeight="1">
      <c r="C453" s="60">
        <v>1</v>
      </c>
      <c r="D453" s="56" t="s">
        <v>5</v>
      </c>
      <c r="E453" s="61" t="s">
        <v>6</v>
      </c>
      <c r="F453" s="62">
        <v>0.2</v>
      </c>
      <c r="G453" s="63">
        <f>VLOOKUP(D453,upahbahan,3,FALSE)</f>
        <v>100000</v>
      </c>
      <c r="H453" s="64">
        <f t="shared" ref="H453:H456" si="48">F453*G453</f>
        <v>20000</v>
      </c>
      <c r="K453" s="475"/>
    </row>
    <row r="454" spans="3:11" ht="21.6" customHeight="1">
      <c r="C454" s="60">
        <v>2</v>
      </c>
      <c r="D454" s="56" t="s">
        <v>12</v>
      </c>
      <c r="E454" s="61" t="s">
        <v>6</v>
      </c>
      <c r="F454" s="62">
        <v>1.2</v>
      </c>
      <c r="G454" s="63">
        <f>VLOOKUP(D454,upahbahan,3,FALSE)</f>
        <v>135000</v>
      </c>
      <c r="H454" s="64">
        <f t="shared" si="48"/>
        <v>162000</v>
      </c>
      <c r="K454" s="475"/>
    </row>
    <row r="455" spans="3:11" ht="21.6" customHeight="1">
      <c r="C455" s="60">
        <v>3</v>
      </c>
      <c r="D455" s="56" t="s">
        <v>18</v>
      </c>
      <c r="E455" s="61" t="s">
        <v>6</v>
      </c>
      <c r="F455" s="62">
        <v>0.12</v>
      </c>
      <c r="G455" s="63">
        <f>VLOOKUP(D455,upahbahan,3,FALSE)</f>
        <v>150000</v>
      </c>
      <c r="H455" s="64">
        <f t="shared" si="48"/>
        <v>18000</v>
      </c>
      <c r="K455" s="475"/>
    </row>
    <row r="456" spans="3:11" ht="21.6" customHeight="1">
      <c r="C456" s="60">
        <v>4</v>
      </c>
      <c r="D456" s="56" t="s">
        <v>19</v>
      </c>
      <c r="E456" s="61" t="s">
        <v>6</v>
      </c>
      <c r="F456" s="62">
        <v>0.04</v>
      </c>
      <c r="G456" s="63">
        <f>VLOOKUP(D456,upahbahan,3,FALSE)</f>
        <v>160000</v>
      </c>
      <c r="H456" s="64">
        <f t="shared" si="48"/>
        <v>6400</v>
      </c>
      <c r="K456" s="475"/>
    </row>
    <row r="457" spans="3:11" ht="21.6" customHeight="1">
      <c r="C457" s="66" t="s">
        <v>1208</v>
      </c>
      <c r="D457" s="67"/>
      <c r="E457" s="67"/>
      <c r="F457" s="68"/>
      <c r="G457" s="459"/>
      <c r="H457" s="64">
        <f>SUM(H453:H456)</f>
        <v>206400</v>
      </c>
      <c r="K457" s="475"/>
    </row>
    <row r="458" spans="3:11" ht="21.6" customHeight="1">
      <c r="C458" s="55" t="s">
        <v>1209</v>
      </c>
      <c r="D458" s="56" t="s">
        <v>1210</v>
      </c>
      <c r="E458" s="57"/>
      <c r="F458" s="57"/>
      <c r="G458" s="57"/>
      <c r="H458" s="58"/>
      <c r="K458" s="475"/>
    </row>
    <row r="459" spans="3:11" ht="21.6" customHeight="1">
      <c r="C459" s="99" t="s">
        <v>1203</v>
      </c>
      <c r="D459" s="56" t="s">
        <v>599</v>
      </c>
      <c r="E459" s="61" t="s">
        <v>65</v>
      </c>
      <c r="F459" s="62">
        <v>0.15</v>
      </c>
      <c r="G459" s="63">
        <f t="shared" ref="G459:G464" si="49">VLOOKUP(D459,upahbahan,3,FALSE)</f>
        <v>53000</v>
      </c>
      <c r="H459" s="64">
        <f t="shared" ref="H459:H464" si="50">F459*G459</f>
        <v>7950</v>
      </c>
      <c r="K459" s="475"/>
    </row>
    <row r="460" spans="3:11" ht="21.6" customHeight="1">
      <c r="C460" s="99" t="s">
        <v>1204</v>
      </c>
      <c r="D460" s="56" t="s">
        <v>600</v>
      </c>
      <c r="E460" s="61" t="s">
        <v>65</v>
      </c>
      <c r="F460" s="62">
        <v>0.15</v>
      </c>
      <c r="G460" s="63">
        <f t="shared" si="49"/>
        <v>87000</v>
      </c>
      <c r="H460" s="64">
        <f t="shared" si="50"/>
        <v>13050</v>
      </c>
      <c r="K460" s="475"/>
    </row>
    <row r="461" spans="3:11" ht="21.6" customHeight="1">
      <c r="C461" s="99" t="s">
        <v>1205</v>
      </c>
      <c r="D461" s="56" t="s">
        <v>597</v>
      </c>
      <c r="E461" s="61" t="s">
        <v>65</v>
      </c>
      <c r="F461" s="62">
        <v>0.15</v>
      </c>
      <c r="G461" s="63">
        <f t="shared" si="49"/>
        <v>90000</v>
      </c>
      <c r="H461" s="64">
        <f t="shared" si="50"/>
        <v>13500</v>
      </c>
      <c r="K461" s="475"/>
    </row>
    <row r="462" spans="3:11" ht="21.6" customHeight="1">
      <c r="C462" s="99" t="s">
        <v>1206</v>
      </c>
      <c r="D462" s="56" t="s">
        <v>588</v>
      </c>
      <c r="E462" s="61" t="s">
        <v>65</v>
      </c>
      <c r="F462" s="62">
        <v>0.24</v>
      </c>
      <c r="G462" s="63">
        <f t="shared" si="49"/>
        <v>60000</v>
      </c>
      <c r="H462" s="64">
        <f t="shared" si="50"/>
        <v>14400</v>
      </c>
    </row>
    <row r="463" spans="3:11" ht="21.6" customHeight="1">
      <c r="C463" s="99" t="s">
        <v>1207</v>
      </c>
      <c r="D463" s="56" t="s">
        <v>767</v>
      </c>
      <c r="E463" s="61" t="s">
        <v>529</v>
      </c>
      <c r="F463" s="62">
        <v>0.2</v>
      </c>
      <c r="G463" s="63">
        <f t="shared" si="49"/>
        <v>21800</v>
      </c>
      <c r="H463" s="64">
        <f t="shared" si="50"/>
        <v>4360</v>
      </c>
    </row>
    <row r="464" spans="3:11" ht="21.6" customHeight="1">
      <c r="C464" s="99" t="s">
        <v>1211</v>
      </c>
      <c r="D464" s="72" t="s">
        <v>967</v>
      </c>
      <c r="E464" s="73" t="s">
        <v>129</v>
      </c>
      <c r="F464" s="480">
        <v>0.6</v>
      </c>
      <c r="G464" s="63">
        <f t="shared" si="49"/>
        <v>3900</v>
      </c>
      <c r="H464" s="64">
        <f t="shared" si="50"/>
        <v>2340</v>
      </c>
    </row>
    <row r="465" spans="3:8" ht="21.6" customHeight="1">
      <c r="C465" s="66" t="s">
        <v>1214</v>
      </c>
      <c r="D465" s="67"/>
      <c r="E465" s="67"/>
      <c r="F465" s="67"/>
      <c r="G465" s="69"/>
      <c r="H465" s="64">
        <f>SUM(H459:H464)</f>
        <v>55600</v>
      </c>
    </row>
    <row r="466" spans="3:8" ht="21.6" customHeight="1">
      <c r="C466" s="167" t="s">
        <v>1215</v>
      </c>
      <c r="D466" s="56" t="s">
        <v>1216</v>
      </c>
      <c r="E466" s="57"/>
      <c r="F466" s="57"/>
      <c r="G466" s="57"/>
      <c r="H466" s="58"/>
    </row>
    <row r="467" spans="3:8" ht="21.6" customHeight="1">
      <c r="C467" s="66" t="s">
        <v>1217</v>
      </c>
      <c r="D467" s="67"/>
      <c r="E467" s="67"/>
      <c r="F467" s="67"/>
      <c r="G467" s="69"/>
      <c r="H467" s="74">
        <v>0</v>
      </c>
    </row>
    <row r="468" spans="3:8" ht="21.6" customHeight="1">
      <c r="C468" s="75" t="s">
        <v>1218</v>
      </c>
      <c r="D468" s="76" t="s">
        <v>1219</v>
      </c>
      <c r="E468" s="77"/>
      <c r="F468" s="77"/>
      <c r="G468" s="78"/>
      <c r="H468" s="64">
        <f>H467+H465+H457</f>
        <v>262000</v>
      </c>
    </row>
    <row r="469" spans="3:8" ht="21.6" customHeight="1">
      <c r="C469" s="75" t="s">
        <v>1220</v>
      </c>
      <c r="D469" s="76" t="s">
        <v>1321</v>
      </c>
      <c r="E469" s="77"/>
      <c r="F469" s="78"/>
      <c r="G469" s="80">
        <f>$M$7</f>
        <v>0.1</v>
      </c>
      <c r="H469" s="64">
        <f>H468*G469</f>
        <v>26200</v>
      </c>
    </row>
    <row r="470" spans="3:8" ht="21.6" customHeight="1" thickBot="1">
      <c r="C470" s="81" t="s">
        <v>1221</v>
      </c>
      <c r="D470" s="82" t="s">
        <v>1222</v>
      </c>
      <c r="E470" s="83"/>
      <c r="F470" s="83"/>
      <c r="G470" s="84"/>
      <c r="H470" s="85">
        <f>SUM(H468:H469)</f>
        <v>288200</v>
      </c>
    </row>
    <row r="471" spans="3:8" ht="14.4" thickTop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M2044"/>
  <sheetViews>
    <sheetView topLeftCell="A1147" zoomScale="73" zoomScaleNormal="73" workbookViewId="0">
      <selection activeCell="D1168" sqref="D1168"/>
    </sheetView>
  </sheetViews>
  <sheetFormatPr defaultColWidth="8.88671875" defaultRowHeight="13.8"/>
  <cols>
    <col min="1" max="1" width="1.88671875" style="59" customWidth="1"/>
    <col min="2" max="2" width="2.44140625" style="59" customWidth="1"/>
    <col min="3" max="3" width="9.109375" style="280" customWidth="1"/>
    <col min="4" max="4" width="36.5546875" style="280" customWidth="1"/>
    <col min="5" max="5" width="8.44140625" style="280" customWidth="1"/>
    <col min="6" max="6" width="10.5546875" style="280" customWidth="1"/>
    <col min="7" max="7" width="14.44140625" style="280" customWidth="1"/>
    <col min="8" max="8" width="16.21875" style="280" customWidth="1"/>
    <col min="9" max="9" width="17.109375" style="280" bestFit="1" customWidth="1"/>
    <col min="10" max="16384" width="8.88671875" style="59"/>
  </cols>
  <sheetData>
    <row r="1" spans="3:13" ht="6.6" customHeight="1"/>
    <row r="2" spans="3:13" ht="6.6" customHeight="1"/>
    <row r="3" spans="3:13" ht="17.399999999999999" customHeight="1">
      <c r="C3" s="46" t="s">
        <v>2841</v>
      </c>
      <c r="D3" s="47" t="s">
        <v>2842</v>
      </c>
      <c r="E3" s="47"/>
      <c r="F3" s="47"/>
      <c r="G3" s="47"/>
      <c r="H3" s="47"/>
    </row>
    <row r="4" spans="3:13" ht="17.399999999999999" customHeight="1">
      <c r="C4" s="46" t="s">
        <v>2844</v>
      </c>
      <c r="D4" s="47" t="s">
        <v>2845</v>
      </c>
      <c r="E4" s="47"/>
      <c r="F4" s="47"/>
      <c r="G4" s="47"/>
      <c r="H4" s="47"/>
    </row>
    <row r="5" spans="3:13" ht="17.399999999999999" customHeight="1" thickBot="1">
      <c r="C5" s="126" t="s">
        <v>2843</v>
      </c>
      <c r="D5" s="485" t="s">
        <v>1400</v>
      </c>
      <c r="E5" s="275"/>
      <c r="F5" s="275"/>
      <c r="G5" s="275"/>
      <c r="H5" s="275"/>
      <c r="I5" s="120">
        <f>ROUNDDOWN(H22,-2)</f>
        <v>115900</v>
      </c>
    </row>
    <row r="6" spans="3:13" ht="28.2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1401</v>
      </c>
      <c r="H6" s="53" t="s">
        <v>1200</v>
      </c>
    </row>
    <row r="7" spans="3:13" ht="19.2" customHeight="1">
      <c r="C7" s="290" t="s">
        <v>1201</v>
      </c>
      <c r="D7" s="182" t="s">
        <v>1202</v>
      </c>
      <c r="E7" s="70"/>
      <c r="F7" s="70"/>
      <c r="G7" s="70"/>
      <c r="H7" s="71"/>
      <c r="J7" s="59" t="s">
        <v>1247</v>
      </c>
    </row>
    <row r="8" spans="3:13" ht="19.2" customHeight="1">
      <c r="C8" s="281">
        <v>1</v>
      </c>
      <c r="D8" s="182" t="s">
        <v>5</v>
      </c>
      <c r="E8" s="176" t="s">
        <v>6</v>
      </c>
      <c r="F8" s="309">
        <v>0.1333</v>
      </c>
      <c r="G8" s="283">
        <f>VLOOKUP(D8,upahbahan,3,FALSE)</f>
        <v>100000</v>
      </c>
      <c r="H8" s="284">
        <f t="shared" ref="H8:H11" si="0">F8*G8</f>
        <v>13330</v>
      </c>
      <c r="J8" s="59" t="s">
        <v>1248</v>
      </c>
      <c r="M8" s="65">
        <v>0.1</v>
      </c>
    </row>
    <row r="9" spans="3:13" ht="19.2" customHeight="1">
      <c r="C9" s="281">
        <v>2</v>
      </c>
      <c r="D9" s="182" t="s">
        <v>7</v>
      </c>
      <c r="E9" s="176" t="s">
        <v>6</v>
      </c>
      <c r="F9" s="309">
        <v>6.6699999999999995E-2</v>
      </c>
      <c r="G9" s="283">
        <f>VLOOKUP(D9,upahbahan,3,FALSE)</f>
        <v>135000</v>
      </c>
      <c r="H9" s="284">
        <f t="shared" si="0"/>
        <v>9004.5</v>
      </c>
    </row>
    <row r="10" spans="3:13" ht="19.2" customHeight="1">
      <c r="C10" s="281">
        <v>3</v>
      </c>
      <c r="D10" s="182" t="s">
        <v>18</v>
      </c>
      <c r="E10" s="176" t="s">
        <v>6</v>
      </c>
      <c r="F10" s="309">
        <v>6.7000000000000002E-3</v>
      </c>
      <c r="G10" s="283">
        <f>VLOOKUP(D10,upahbahan,3,FALSE)</f>
        <v>150000</v>
      </c>
      <c r="H10" s="284">
        <f t="shared" si="0"/>
        <v>1005</v>
      </c>
    </row>
    <row r="11" spans="3:13" ht="19.2" customHeight="1">
      <c r="C11" s="281">
        <v>4</v>
      </c>
      <c r="D11" s="182" t="s">
        <v>19</v>
      </c>
      <c r="E11" s="176" t="s">
        <v>6</v>
      </c>
      <c r="F11" s="309">
        <v>2.2000000000000001E-3</v>
      </c>
      <c r="G11" s="283">
        <f>VLOOKUP(D11,upahbahan,3,FALSE)</f>
        <v>160000</v>
      </c>
      <c r="H11" s="284">
        <f t="shared" si="0"/>
        <v>352</v>
      </c>
    </row>
    <row r="12" spans="3:13" ht="19.2" customHeight="1">
      <c r="C12" s="66" t="s">
        <v>1208</v>
      </c>
      <c r="D12" s="67"/>
      <c r="E12" s="67"/>
      <c r="F12" s="142"/>
      <c r="G12" s="153"/>
      <c r="H12" s="284">
        <f>SUM(H8:H11)</f>
        <v>23691.5</v>
      </c>
      <c r="I12" s="320"/>
    </row>
    <row r="13" spans="3:13" ht="19.2" customHeight="1">
      <c r="C13" s="290" t="s">
        <v>1209</v>
      </c>
      <c r="D13" s="182" t="s">
        <v>1210</v>
      </c>
      <c r="E13" s="70"/>
      <c r="F13" s="70"/>
      <c r="G13" s="70"/>
      <c r="H13" s="71"/>
    </row>
    <row r="14" spans="3:13" ht="19.2" customHeight="1">
      <c r="C14" s="281">
        <v>1</v>
      </c>
      <c r="D14" s="182" t="s">
        <v>506</v>
      </c>
      <c r="E14" s="176" t="s">
        <v>44</v>
      </c>
      <c r="F14" s="282">
        <v>26.25</v>
      </c>
      <c r="G14" s="283">
        <f>VLOOKUP(D14,upahbahan,3,FALSE)</f>
        <v>2000</v>
      </c>
      <c r="H14" s="284">
        <f t="shared" ref="H14:H16" si="1">F14*G14</f>
        <v>52500</v>
      </c>
    </row>
    <row r="15" spans="3:13" ht="19.2" customHeight="1">
      <c r="C15" s="281">
        <v>2</v>
      </c>
      <c r="D15" s="182" t="s">
        <v>2332</v>
      </c>
      <c r="E15" s="176" t="s">
        <v>65</v>
      </c>
      <c r="F15" s="282">
        <v>13.632</v>
      </c>
      <c r="G15" s="283">
        <f>VLOOKUP(D15,upahbahan,3,FALSE)</f>
        <v>1530</v>
      </c>
      <c r="H15" s="284">
        <f t="shared" si="1"/>
        <v>20856.96</v>
      </c>
    </row>
    <row r="16" spans="3:13" ht="19.2" customHeight="1">
      <c r="C16" s="281">
        <v>4</v>
      </c>
      <c r="D16" s="285" t="s">
        <v>85</v>
      </c>
      <c r="E16" s="176" t="s">
        <v>42</v>
      </c>
      <c r="F16" s="282">
        <v>2.7E-2</v>
      </c>
      <c r="G16" s="283">
        <f>VLOOKUP(D16,upahbahan,3,FALSE)</f>
        <v>310500</v>
      </c>
      <c r="H16" s="284">
        <f t="shared" si="1"/>
        <v>8383.5</v>
      </c>
    </row>
    <row r="17" spans="3:9" ht="19.2" customHeight="1">
      <c r="C17" s="66" t="s">
        <v>1214</v>
      </c>
      <c r="D17" s="67"/>
      <c r="E17" s="67"/>
      <c r="F17" s="67"/>
      <c r="G17" s="69"/>
      <c r="H17" s="284">
        <f>SUM(H14:H16)</f>
        <v>81740.459999999992</v>
      </c>
    </row>
    <row r="18" spans="3:9" ht="19.2" customHeight="1">
      <c r="C18" s="321" t="s">
        <v>1215</v>
      </c>
      <c r="D18" s="182" t="s">
        <v>1216</v>
      </c>
      <c r="E18" s="70"/>
      <c r="F18" s="70"/>
      <c r="G18" s="70"/>
      <c r="H18" s="71"/>
    </row>
    <row r="19" spans="3:9" ht="19.2" customHeight="1">
      <c r="C19" s="66" t="s">
        <v>1217</v>
      </c>
      <c r="D19" s="67"/>
      <c r="E19" s="67"/>
      <c r="F19" s="67"/>
      <c r="G19" s="69"/>
      <c r="H19" s="292">
        <v>0</v>
      </c>
    </row>
    <row r="20" spans="3:9" ht="19.2" customHeight="1">
      <c r="C20" s="293" t="s">
        <v>1218</v>
      </c>
      <c r="D20" s="294" t="s">
        <v>1219</v>
      </c>
      <c r="E20" s="295"/>
      <c r="F20" s="295"/>
      <c r="G20" s="296"/>
      <c r="H20" s="284">
        <f>H19+H17+H12</f>
        <v>105431.95999999999</v>
      </c>
    </row>
    <row r="21" spans="3:9" ht="19.2" customHeight="1">
      <c r="C21" s="293" t="s">
        <v>1220</v>
      </c>
      <c r="D21" s="294" t="s">
        <v>1321</v>
      </c>
      <c r="E21" s="295"/>
      <c r="F21" s="296"/>
      <c r="G21" s="298">
        <f>$M$8</f>
        <v>0.1</v>
      </c>
      <c r="H21" s="284">
        <f>H20*G21</f>
        <v>10543.196</v>
      </c>
    </row>
    <row r="22" spans="3:9" ht="19.2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115975.15599999999</v>
      </c>
    </row>
    <row r="23" spans="3:9" ht="14.4" thickTop="1"/>
    <row r="24" spans="3:9" ht="14.4" thickBot="1">
      <c r="C24" s="119" t="s">
        <v>2846</v>
      </c>
      <c r="D24" s="485" t="s">
        <v>1404</v>
      </c>
      <c r="E24" s="275"/>
      <c r="F24" s="275"/>
      <c r="G24" s="275"/>
      <c r="H24" s="275"/>
      <c r="I24" s="120">
        <f>ROUNDDOWN(H41,-2)</f>
        <v>103700</v>
      </c>
    </row>
    <row r="25" spans="3:9" ht="28.2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1401</v>
      </c>
      <c r="H25" s="53" t="s">
        <v>1200</v>
      </c>
    </row>
    <row r="26" spans="3:9" ht="20.399999999999999" customHeight="1">
      <c r="C26" s="290" t="s">
        <v>1201</v>
      </c>
      <c r="D26" s="182" t="s">
        <v>1202</v>
      </c>
      <c r="E26" s="70"/>
      <c r="F26" s="70"/>
      <c r="G26" s="70"/>
      <c r="H26" s="71"/>
    </row>
    <row r="27" spans="3:9" ht="20.399999999999999" customHeight="1">
      <c r="C27" s="281">
        <v>1</v>
      </c>
      <c r="D27" s="182" t="s">
        <v>5</v>
      </c>
      <c r="E27" s="176" t="s">
        <v>6</v>
      </c>
      <c r="F27" s="309">
        <v>0.1429</v>
      </c>
      <c r="G27" s="283">
        <f>VLOOKUP(D27,upahbahan,3,FALSE)</f>
        <v>100000</v>
      </c>
      <c r="H27" s="284">
        <f t="shared" ref="H27:H30" si="2">F27*G27</f>
        <v>14290</v>
      </c>
    </row>
    <row r="28" spans="3:9" ht="20.399999999999999" customHeight="1">
      <c r="C28" s="281">
        <v>2</v>
      </c>
      <c r="D28" s="182" t="s">
        <v>7</v>
      </c>
      <c r="E28" s="176" t="s">
        <v>6</v>
      </c>
      <c r="F28" s="309">
        <v>7.1400000000000005E-2</v>
      </c>
      <c r="G28" s="283">
        <f>VLOOKUP(D28,upahbahan,3,FALSE)</f>
        <v>135000</v>
      </c>
      <c r="H28" s="284">
        <f t="shared" si="2"/>
        <v>9639</v>
      </c>
    </row>
    <row r="29" spans="3:9" ht="20.399999999999999" customHeight="1">
      <c r="C29" s="281">
        <v>3</v>
      </c>
      <c r="D29" s="182" t="s">
        <v>18</v>
      </c>
      <c r="E29" s="176" t="s">
        <v>6</v>
      </c>
      <c r="F29" s="309">
        <v>7.1000000000000004E-3</v>
      </c>
      <c r="G29" s="283">
        <f>VLOOKUP(D29,upahbahan,3,FALSE)</f>
        <v>150000</v>
      </c>
      <c r="H29" s="284">
        <f t="shared" si="2"/>
        <v>1065</v>
      </c>
    </row>
    <row r="30" spans="3:9" ht="20.399999999999999" customHeight="1">
      <c r="C30" s="281">
        <v>4</v>
      </c>
      <c r="D30" s="182" t="s">
        <v>19</v>
      </c>
      <c r="E30" s="176" t="s">
        <v>6</v>
      </c>
      <c r="F30" s="309">
        <v>2.3999999999999998E-3</v>
      </c>
      <c r="G30" s="283">
        <f>VLOOKUP(D30,upahbahan,3,FALSE)</f>
        <v>160000</v>
      </c>
      <c r="H30" s="284">
        <f t="shared" si="2"/>
        <v>383.99999999999994</v>
      </c>
    </row>
    <row r="31" spans="3:9" ht="20.399999999999999" customHeight="1">
      <c r="C31" s="66" t="s">
        <v>1208</v>
      </c>
      <c r="D31" s="67"/>
      <c r="E31" s="67"/>
      <c r="F31" s="142"/>
      <c r="G31" s="153"/>
      <c r="H31" s="284">
        <f>SUM(H27:H30)</f>
        <v>25378</v>
      </c>
      <c r="I31" s="320"/>
    </row>
    <row r="32" spans="3:9" ht="20.399999999999999" customHeight="1">
      <c r="C32" s="290" t="s">
        <v>1209</v>
      </c>
      <c r="D32" s="182" t="s">
        <v>1210</v>
      </c>
      <c r="E32" s="70"/>
      <c r="F32" s="70"/>
      <c r="G32" s="70"/>
      <c r="H32" s="71"/>
    </row>
    <row r="33" spans="3:9" ht="20.399999999999999" customHeight="1">
      <c r="C33" s="281">
        <v>1</v>
      </c>
      <c r="D33" s="182" t="s">
        <v>507</v>
      </c>
      <c r="E33" s="176" t="s">
        <v>44</v>
      </c>
      <c r="F33" s="309">
        <v>11.667</v>
      </c>
      <c r="G33" s="283">
        <f>VLOOKUP(D33,upahbahan,3,FALSE)</f>
        <v>3400</v>
      </c>
      <c r="H33" s="284">
        <f t="shared" ref="H33:H35" si="3">F33*G33</f>
        <v>39667.800000000003</v>
      </c>
    </row>
    <row r="34" spans="3:9" ht="20.399999999999999" customHeight="1">
      <c r="C34" s="281">
        <v>2</v>
      </c>
      <c r="D34" s="182" t="s">
        <v>2332</v>
      </c>
      <c r="E34" s="176" t="s">
        <v>65</v>
      </c>
      <c r="F34" s="309">
        <v>13.632</v>
      </c>
      <c r="G34" s="283">
        <f>VLOOKUP(D34,upahbahan,3,FALSE)</f>
        <v>1530</v>
      </c>
      <c r="H34" s="284">
        <f t="shared" si="3"/>
        <v>20856.96</v>
      </c>
    </row>
    <row r="35" spans="3:9" ht="20.399999999999999" customHeight="1">
      <c r="C35" s="281">
        <v>4</v>
      </c>
      <c r="D35" s="285" t="s">
        <v>85</v>
      </c>
      <c r="E35" s="176" t="s">
        <v>42</v>
      </c>
      <c r="F35" s="309">
        <v>2.7E-2</v>
      </c>
      <c r="G35" s="283">
        <f>VLOOKUP(D35,upahbahan,3,FALSE)</f>
        <v>310500</v>
      </c>
      <c r="H35" s="284">
        <f t="shared" si="3"/>
        <v>8383.5</v>
      </c>
    </row>
    <row r="36" spans="3:9" ht="20.399999999999999" customHeight="1">
      <c r="C36" s="66" t="s">
        <v>1214</v>
      </c>
      <c r="D36" s="67"/>
      <c r="E36" s="67"/>
      <c r="F36" s="67"/>
      <c r="G36" s="69"/>
      <c r="H36" s="284">
        <f>SUM(H33:H35)</f>
        <v>68908.260000000009</v>
      </c>
    </row>
    <row r="37" spans="3:9" ht="20.399999999999999" customHeight="1">
      <c r="C37" s="321" t="s">
        <v>1215</v>
      </c>
      <c r="D37" s="182" t="s">
        <v>1216</v>
      </c>
      <c r="E37" s="70"/>
      <c r="F37" s="70"/>
      <c r="G37" s="70"/>
      <c r="H37" s="71"/>
    </row>
    <row r="38" spans="3:9" ht="20.399999999999999" customHeight="1">
      <c r="C38" s="66" t="s">
        <v>1217</v>
      </c>
      <c r="D38" s="67"/>
      <c r="E38" s="67"/>
      <c r="F38" s="67"/>
      <c r="G38" s="69"/>
      <c r="H38" s="292">
        <v>0</v>
      </c>
    </row>
    <row r="39" spans="3:9" ht="20.399999999999999" customHeight="1">
      <c r="C39" s="293" t="s">
        <v>1218</v>
      </c>
      <c r="D39" s="294" t="s">
        <v>1219</v>
      </c>
      <c r="E39" s="295"/>
      <c r="F39" s="295"/>
      <c r="G39" s="296"/>
      <c r="H39" s="284">
        <f>H38+H36+H31</f>
        <v>94286.260000000009</v>
      </c>
    </row>
    <row r="40" spans="3:9" ht="20.399999999999999" customHeight="1">
      <c r="C40" s="293" t="s">
        <v>1220</v>
      </c>
      <c r="D40" s="294" t="s">
        <v>1402</v>
      </c>
      <c r="E40" s="295"/>
      <c r="F40" s="296"/>
      <c r="G40" s="486" t="s">
        <v>1403</v>
      </c>
      <c r="H40" s="284">
        <f>H39*10%</f>
        <v>9428.626000000002</v>
      </c>
    </row>
    <row r="41" spans="3:9" ht="20.399999999999999" customHeight="1" thickBot="1">
      <c r="C41" s="299" t="s">
        <v>1221</v>
      </c>
      <c r="D41" s="300" t="s">
        <v>1222</v>
      </c>
      <c r="E41" s="301"/>
      <c r="F41" s="301"/>
      <c r="G41" s="302"/>
      <c r="H41" s="303">
        <f>SUM(H39:H40)</f>
        <v>103714.88600000001</v>
      </c>
    </row>
    <row r="42" spans="3:9" ht="14.4" thickTop="1">
      <c r="C42" s="304"/>
      <c r="D42" s="304"/>
      <c r="E42" s="304"/>
      <c r="F42" s="304"/>
      <c r="G42" s="304"/>
      <c r="H42" s="305"/>
    </row>
    <row r="43" spans="3:9" ht="14.4" thickBot="1">
      <c r="C43" s="119" t="s">
        <v>2847</v>
      </c>
      <c r="D43" s="485" t="s">
        <v>1405</v>
      </c>
      <c r="E43" s="275"/>
      <c r="F43" s="275"/>
      <c r="G43" s="275"/>
      <c r="H43" s="275"/>
      <c r="I43" s="120">
        <f>ROUNDDOWN(H60,-2)</f>
        <v>95400</v>
      </c>
    </row>
    <row r="44" spans="3:9" ht="28.2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1401</v>
      </c>
      <c r="H44" s="53" t="s">
        <v>1200</v>
      </c>
    </row>
    <row r="45" spans="3:9" ht="23.4" customHeight="1">
      <c r="C45" s="290" t="s">
        <v>1201</v>
      </c>
      <c r="D45" s="182" t="s">
        <v>1202</v>
      </c>
      <c r="E45" s="70"/>
      <c r="F45" s="70"/>
      <c r="G45" s="70"/>
      <c r="H45" s="71"/>
    </row>
    <row r="46" spans="3:9" ht="23.4" customHeight="1">
      <c r="C46" s="281">
        <v>1</v>
      </c>
      <c r="D46" s="182" t="s">
        <v>5</v>
      </c>
      <c r="E46" s="176" t="s">
        <v>6</v>
      </c>
      <c r="F46" s="309">
        <v>0.15379999999999999</v>
      </c>
      <c r="G46" s="283">
        <f>VLOOKUP(D46,upahbahan,3,FALSE)</f>
        <v>100000</v>
      </c>
      <c r="H46" s="284">
        <f t="shared" ref="H46:H49" si="4">F46*G46</f>
        <v>15380</v>
      </c>
    </row>
    <row r="47" spans="3:9" ht="23.4" customHeight="1">
      <c r="C47" s="281">
        <v>2</v>
      </c>
      <c r="D47" s="182" t="s">
        <v>7</v>
      </c>
      <c r="E47" s="176" t="s">
        <v>6</v>
      </c>
      <c r="F47" s="309">
        <v>7.6899999999999996E-2</v>
      </c>
      <c r="G47" s="283">
        <f>VLOOKUP(D47,upahbahan,3,FALSE)</f>
        <v>135000</v>
      </c>
      <c r="H47" s="284">
        <f t="shared" si="4"/>
        <v>10381.5</v>
      </c>
    </row>
    <row r="48" spans="3:9" ht="23.4" customHeight="1">
      <c r="C48" s="281">
        <v>3</v>
      </c>
      <c r="D48" s="182" t="s">
        <v>18</v>
      </c>
      <c r="E48" s="176" t="s">
        <v>6</v>
      </c>
      <c r="F48" s="309">
        <v>7.7000000000000002E-3</v>
      </c>
      <c r="G48" s="283">
        <f>VLOOKUP(D48,upahbahan,3,FALSE)</f>
        <v>150000</v>
      </c>
      <c r="H48" s="284">
        <f t="shared" si="4"/>
        <v>1155</v>
      </c>
    </row>
    <row r="49" spans="3:9" ht="23.4" customHeight="1">
      <c r="C49" s="281">
        <v>4</v>
      </c>
      <c r="D49" s="182" t="s">
        <v>19</v>
      </c>
      <c r="E49" s="176" t="s">
        <v>6</v>
      </c>
      <c r="F49" s="309">
        <v>2.5999999999999999E-3</v>
      </c>
      <c r="G49" s="283">
        <f>VLOOKUP(D49,upahbahan,3,FALSE)</f>
        <v>160000</v>
      </c>
      <c r="H49" s="284">
        <f t="shared" si="4"/>
        <v>416</v>
      </c>
    </row>
    <row r="50" spans="3:9" ht="23.4" customHeight="1">
      <c r="C50" s="66" t="s">
        <v>1208</v>
      </c>
      <c r="D50" s="67"/>
      <c r="E50" s="67"/>
      <c r="F50" s="142"/>
      <c r="G50" s="153"/>
      <c r="H50" s="284">
        <f>SUM(H46:H49)</f>
        <v>27332.5</v>
      </c>
      <c r="I50" s="320"/>
    </row>
    <row r="51" spans="3:9" ht="23.4" customHeight="1">
      <c r="C51" s="290" t="s">
        <v>1209</v>
      </c>
      <c r="D51" s="182" t="s">
        <v>1210</v>
      </c>
      <c r="E51" s="70"/>
      <c r="F51" s="70"/>
      <c r="G51" s="70"/>
      <c r="H51" s="71"/>
    </row>
    <row r="52" spans="3:9" ht="23.4" customHeight="1">
      <c r="C52" s="281">
        <v>1</v>
      </c>
      <c r="D52" s="182" t="s">
        <v>508</v>
      </c>
      <c r="E52" s="176" t="s">
        <v>44</v>
      </c>
      <c r="F52" s="282">
        <v>6.5629999999999997</v>
      </c>
      <c r="G52" s="283">
        <f>VLOOKUP(D52,upahbahan,3,FALSE)</f>
        <v>4600</v>
      </c>
      <c r="H52" s="284">
        <f t="shared" ref="H52:H54" si="5">F52*G52</f>
        <v>30189.8</v>
      </c>
    </row>
    <row r="53" spans="3:9" ht="23.4" customHeight="1">
      <c r="C53" s="281">
        <v>2</v>
      </c>
      <c r="D53" s="182" t="s">
        <v>2332</v>
      </c>
      <c r="E53" s="176" t="s">
        <v>65</v>
      </c>
      <c r="F53" s="282">
        <v>13.632</v>
      </c>
      <c r="G53" s="283">
        <f>VLOOKUP(D53,upahbahan,3,FALSE)</f>
        <v>1530</v>
      </c>
      <c r="H53" s="284">
        <f t="shared" si="5"/>
        <v>20856.96</v>
      </c>
    </row>
    <row r="54" spans="3:9" ht="23.4" customHeight="1">
      <c r="C54" s="281">
        <v>4</v>
      </c>
      <c r="D54" s="285" t="s">
        <v>85</v>
      </c>
      <c r="E54" s="176" t="s">
        <v>42</v>
      </c>
      <c r="F54" s="282">
        <v>2.7E-2</v>
      </c>
      <c r="G54" s="283">
        <f>VLOOKUP(D54,upahbahan,3,FALSE)</f>
        <v>310500</v>
      </c>
      <c r="H54" s="284">
        <f t="shared" si="5"/>
        <v>8383.5</v>
      </c>
    </row>
    <row r="55" spans="3:9" ht="23.4" customHeight="1">
      <c r="C55" s="66" t="s">
        <v>1214</v>
      </c>
      <c r="D55" s="67"/>
      <c r="E55" s="67"/>
      <c r="F55" s="67"/>
      <c r="G55" s="69"/>
      <c r="H55" s="284">
        <f>SUM(H52:H54)</f>
        <v>59430.259999999995</v>
      </c>
    </row>
    <row r="56" spans="3:9" ht="23.4" customHeight="1">
      <c r="C56" s="321" t="s">
        <v>1215</v>
      </c>
      <c r="D56" s="182" t="s">
        <v>1216</v>
      </c>
      <c r="E56" s="70"/>
      <c r="F56" s="70"/>
      <c r="G56" s="70"/>
      <c r="H56" s="71"/>
    </row>
    <row r="57" spans="3:9" ht="23.4" customHeight="1">
      <c r="C57" s="66" t="s">
        <v>1217</v>
      </c>
      <c r="D57" s="67"/>
      <c r="E57" s="67"/>
      <c r="F57" s="67"/>
      <c r="G57" s="69"/>
      <c r="H57" s="292">
        <v>0</v>
      </c>
    </row>
    <row r="58" spans="3:9" ht="23.4" customHeight="1">
      <c r="C58" s="293" t="s">
        <v>1218</v>
      </c>
      <c r="D58" s="294" t="s">
        <v>1219</v>
      </c>
      <c r="E58" s="295"/>
      <c r="F58" s="295"/>
      <c r="G58" s="296"/>
      <c r="H58" s="284">
        <f>H57+H55+H50</f>
        <v>86762.76</v>
      </c>
    </row>
    <row r="59" spans="3:9" ht="23.4" customHeight="1">
      <c r="C59" s="293" t="s">
        <v>1220</v>
      </c>
      <c r="D59" s="294" t="s">
        <v>1402</v>
      </c>
      <c r="E59" s="295"/>
      <c r="F59" s="296"/>
      <c r="G59" s="486" t="s">
        <v>1403</v>
      </c>
      <c r="H59" s="284">
        <f>H58*10%</f>
        <v>8676.2759999999998</v>
      </c>
    </row>
    <row r="60" spans="3:9" ht="23.4" customHeight="1" thickBot="1">
      <c r="C60" s="299" t="s">
        <v>1221</v>
      </c>
      <c r="D60" s="300" t="s">
        <v>1222</v>
      </c>
      <c r="E60" s="301"/>
      <c r="F60" s="301"/>
      <c r="G60" s="302"/>
      <c r="H60" s="303">
        <f>SUM(H58:H59)</f>
        <v>95439.035999999993</v>
      </c>
    </row>
    <row r="61" spans="3:9" ht="14.4" thickTop="1">
      <c r="C61" s="304"/>
      <c r="D61" s="304"/>
      <c r="E61" s="304"/>
      <c r="F61" s="304"/>
      <c r="G61" s="304"/>
      <c r="H61" s="305"/>
    </row>
    <row r="62" spans="3:9" ht="14.4" thickBot="1">
      <c r="C62" s="119" t="s">
        <v>2848</v>
      </c>
      <c r="D62" s="485" t="s">
        <v>1406</v>
      </c>
      <c r="E62" s="485"/>
      <c r="F62" s="485"/>
      <c r="G62" s="485"/>
      <c r="H62" s="485"/>
      <c r="I62" s="120">
        <f>ROUNDDOWN(H79,-2)</f>
        <v>93100</v>
      </c>
    </row>
    <row r="63" spans="3:9" ht="28.2" thickTop="1">
      <c r="C63" s="51" t="s">
        <v>1195</v>
      </c>
      <c r="D63" s="52" t="s">
        <v>1196</v>
      </c>
      <c r="E63" s="52" t="s">
        <v>1197</v>
      </c>
      <c r="F63" s="52" t="s">
        <v>1198</v>
      </c>
      <c r="G63" s="52" t="s">
        <v>1401</v>
      </c>
      <c r="H63" s="53" t="s">
        <v>1200</v>
      </c>
    </row>
    <row r="64" spans="3:9" ht="23.4" customHeight="1">
      <c r="C64" s="290" t="s">
        <v>1201</v>
      </c>
      <c r="D64" s="182" t="s">
        <v>1202</v>
      </c>
      <c r="E64" s="70"/>
      <c r="F64" s="70"/>
      <c r="G64" s="70"/>
      <c r="H64" s="71"/>
    </row>
    <row r="65" spans="3:9" ht="23.4" customHeight="1">
      <c r="C65" s="281">
        <v>1</v>
      </c>
      <c r="D65" s="182" t="s">
        <v>5</v>
      </c>
      <c r="E65" s="176" t="s">
        <v>6</v>
      </c>
      <c r="F65" s="315">
        <v>0.25</v>
      </c>
      <c r="G65" s="283">
        <f>VLOOKUP(D65,upahbahan,3,FALSE)</f>
        <v>100000</v>
      </c>
      <c r="H65" s="284">
        <f t="shared" ref="H65:H68" si="6">F65*G65</f>
        <v>25000</v>
      </c>
    </row>
    <row r="66" spans="3:9" ht="23.4" customHeight="1">
      <c r="C66" s="281">
        <v>2</v>
      </c>
      <c r="D66" s="182" t="s">
        <v>7</v>
      </c>
      <c r="E66" s="176" t="s">
        <v>6</v>
      </c>
      <c r="F66" s="315">
        <v>8.3299999999999999E-2</v>
      </c>
      <c r="G66" s="283">
        <f>VLOOKUP(D66,upahbahan,3,FALSE)</f>
        <v>135000</v>
      </c>
      <c r="H66" s="284">
        <f t="shared" si="6"/>
        <v>11245.5</v>
      </c>
    </row>
    <row r="67" spans="3:9" ht="23.4" customHeight="1">
      <c r="C67" s="281">
        <v>3</v>
      </c>
      <c r="D67" s="182" t="s">
        <v>18</v>
      </c>
      <c r="E67" s="176" t="s">
        <v>6</v>
      </c>
      <c r="F67" s="315">
        <v>8.3000000000000001E-3</v>
      </c>
      <c r="G67" s="283">
        <f>VLOOKUP(D67,upahbahan,3,FALSE)</f>
        <v>150000</v>
      </c>
      <c r="H67" s="284">
        <f t="shared" si="6"/>
        <v>1245</v>
      </c>
    </row>
    <row r="68" spans="3:9" ht="23.4" customHeight="1">
      <c r="C68" s="281">
        <v>4</v>
      </c>
      <c r="D68" s="182" t="s">
        <v>19</v>
      </c>
      <c r="E68" s="176" t="s">
        <v>6</v>
      </c>
      <c r="F68" s="315">
        <v>2.8E-3</v>
      </c>
      <c r="G68" s="283">
        <f>VLOOKUP(D68,upahbahan,3,FALSE)</f>
        <v>160000</v>
      </c>
      <c r="H68" s="284">
        <f t="shared" si="6"/>
        <v>448</v>
      </c>
    </row>
    <row r="69" spans="3:9" ht="23.4" customHeight="1">
      <c r="C69" s="66" t="s">
        <v>1208</v>
      </c>
      <c r="D69" s="67"/>
      <c r="E69" s="67"/>
      <c r="F69" s="142"/>
      <c r="G69" s="153"/>
      <c r="H69" s="284">
        <f>SUM(H65:H68)</f>
        <v>37938.5</v>
      </c>
      <c r="I69" s="320"/>
    </row>
    <row r="70" spans="3:9" ht="23.4" customHeight="1">
      <c r="C70" s="290" t="s">
        <v>1209</v>
      </c>
      <c r="D70" s="182" t="s">
        <v>1210</v>
      </c>
      <c r="E70" s="70"/>
      <c r="F70" s="70"/>
      <c r="G70" s="70"/>
      <c r="H70" s="71"/>
    </row>
    <row r="71" spans="3:9" ht="23.4" customHeight="1">
      <c r="C71" s="281">
        <v>1</v>
      </c>
      <c r="D71" s="182" t="s">
        <v>509</v>
      </c>
      <c r="E71" s="176" t="s">
        <v>44</v>
      </c>
      <c r="F71" s="309">
        <v>2.9169999999999998</v>
      </c>
      <c r="G71" s="283">
        <f>VLOOKUP(D71,upahbahan,3,FALSE)</f>
        <v>6000</v>
      </c>
      <c r="H71" s="284">
        <f t="shared" ref="H71:H73" si="7">F71*G71</f>
        <v>17502</v>
      </c>
    </row>
    <row r="72" spans="3:9" ht="23.4" customHeight="1">
      <c r="C72" s="281">
        <v>2</v>
      </c>
      <c r="D72" s="182" t="s">
        <v>2332</v>
      </c>
      <c r="E72" s="176" t="s">
        <v>65</v>
      </c>
      <c r="F72" s="282">
        <v>13.632</v>
      </c>
      <c r="G72" s="283">
        <f>VLOOKUP(D72,upahbahan,3,FALSE)</f>
        <v>1530</v>
      </c>
      <c r="H72" s="284">
        <f t="shared" si="7"/>
        <v>20856.96</v>
      </c>
    </row>
    <row r="73" spans="3:9" ht="23.4" customHeight="1">
      <c r="C73" s="281">
        <v>4</v>
      </c>
      <c r="D73" s="285" t="s">
        <v>85</v>
      </c>
      <c r="E73" s="176" t="s">
        <v>42</v>
      </c>
      <c r="F73" s="282">
        <v>2.7E-2</v>
      </c>
      <c r="G73" s="283">
        <f>VLOOKUP(D73,upahbahan,3,FALSE)</f>
        <v>310500</v>
      </c>
      <c r="H73" s="284">
        <f t="shared" si="7"/>
        <v>8383.5</v>
      </c>
    </row>
    <row r="74" spans="3:9" ht="23.4" customHeight="1">
      <c r="C74" s="66" t="s">
        <v>1214</v>
      </c>
      <c r="D74" s="67"/>
      <c r="E74" s="67"/>
      <c r="F74" s="67"/>
      <c r="G74" s="69"/>
      <c r="H74" s="284">
        <f>SUM(H71:H73)</f>
        <v>46742.46</v>
      </c>
    </row>
    <row r="75" spans="3:9" ht="23.4" customHeight="1">
      <c r="C75" s="321" t="s">
        <v>1215</v>
      </c>
      <c r="D75" s="182" t="s">
        <v>1216</v>
      </c>
      <c r="E75" s="70"/>
      <c r="F75" s="70"/>
      <c r="G75" s="70"/>
      <c r="H75" s="71"/>
    </row>
    <row r="76" spans="3:9" ht="23.4" customHeight="1">
      <c r="C76" s="66" t="s">
        <v>1217</v>
      </c>
      <c r="D76" s="67"/>
      <c r="E76" s="67"/>
      <c r="F76" s="67"/>
      <c r="G76" s="69"/>
      <c r="H76" s="292">
        <v>0</v>
      </c>
    </row>
    <row r="77" spans="3:9" ht="23.4" customHeight="1">
      <c r="C77" s="293" t="s">
        <v>1218</v>
      </c>
      <c r="D77" s="294" t="s">
        <v>1219</v>
      </c>
      <c r="E77" s="295"/>
      <c r="F77" s="295"/>
      <c r="G77" s="296"/>
      <c r="H77" s="284">
        <f>H76+H74+H69</f>
        <v>84680.959999999992</v>
      </c>
    </row>
    <row r="78" spans="3:9" ht="23.4" customHeight="1">
      <c r="C78" s="293" t="s">
        <v>1220</v>
      </c>
      <c r="D78" s="294" t="s">
        <v>1402</v>
      </c>
      <c r="E78" s="295"/>
      <c r="F78" s="296"/>
      <c r="G78" s="486" t="s">
        <v>1403</v>
      </c>
      <c r="H78" s="284">
        <f>H77*10%</f>
        <v>8468.0959999999995</v>
      </c>
    </row>
    <row r="79" spans="3:9" ht="23.4" customHeight="1" thickBot="1">
      <c r="C79" s="299" t="s">
        <v>1221</v>
      </c>
      <c r="D79" s="300" t="s">
        <v>1222</v>
      </c>
      <c r="E79" s="301"/>
      <c r="F79" s="301"/>
      <c r="G79" s="302"/>
      <c r="H79" s="303">
        <f>SUM(H77:H78)</f>
        <v>93149.055999999997</v>
      </c>
    </row>
    <row r="80" spans="3:9" ht="14.4" thickTop="1">
      <c r="C80" s="289"/>
      <c r="D80" s="297"/>
      <c r="E80" s="297"/>
      <c r="F80" s="297"/>
      <c r="G80" s="297"/>
      <c r="H80" s="139"/>
    </row>
    <row r="81" spans="3:9" ht="14.4" thickBot="1">
      <c r="C81" s="119" t="s">
        <v>2849</v>
      </c>
      <c r="D81" s="485" t="s">
        <v>1407</v>
      </c>
      <c r="E81" s="485"/>
      <c r="F81" s="485"/>
      <c r="G81" s="485"/>
      <c r="H81" s="485"/>
      <c r="I81" s="120">
        <f>ROUNDDOWN(H98,-2)</f>
        <v>20800</v>
      </c>
    </row>
    <row r="82" spans="3:9" ht="28.2" thickTop="1">
      <c r="C82" s="51" t="s">
        <v>1195</v>
      </c>
      <c r="D82" s="52" t="s">
        <v>1196</v>
      </c>
      <c r="E82" s="52" t="s">
        <v>1197</v>
      </c>
      <c r="F82" s="52" t="s">
        <v>1198</v>
      </c>
      <c r="G82" s="52" t="s">
        <v>1401</v>
      </c>
      <c r="H82" s="53" t="s">
        <v>1200</v>
      </c>
    </row>
    <row r="83" spans="3:9" ht="23.4" customHeight="1">
      <c r="C83" s="290" t="s">
        <v>1201</v>
      </c>
      <c r="D83" s="182" t="s">
        <v>1202</v>
      </c>
      <c r="E83" s="70"/>
      <c r="F83" s="70"/>
      <c r="G83" s="70"/>
      <c r="H83" s="71"/>
    </row>
    <row r="84" spans="3:9" ht="23.4" customHeight="1">
      <c r="C84" s="281">
        <v>1</v>
      </c>
      <c r="D84" s="182" t="s">
        <v>5</v>
      </c>
      <c r="E84" s="176" t="s">
        <v>6</v>
      </c>
      <c r="F84" s="315">
        <v>5.7099999999999998E-2</v>
      </c>
      <c r="G84" s="283">
        <f>VLOOKUP(D84,upahbahan,3,FALSE)</f>
        <v>100000</v>
      </c>
      <c r="H84" s="284">
        <f t="shared" ref="H84:H87" si="8">F84*G84</f>
        <v>5710</v>
      </c>
    </row>
    <row r="85" spans="3:9" ht="23.4" customHeight="1">
      <c r="C85" s="281">
        <v>2</v>
      </c>
      <c r="D85" s="182" t="s">
        <v>7</v>
      </c>
      <c r="E85" s="176" t="s">
        <v>6</v>
      </c>
      <c r="F85" s="315">
        <v>2.86E-2</v>
      </c>
      <c r="G85" s="283">
        <f>VLOOKUP(D85,upahbahan,3,FALSE)</f>
        <v>135000</v>
      </c>
      <c r="H85" s="284">
        <f t="shared" si="8"/>
        <v>3861</v>
      </c>
    </row>
    <row r="86" spans="3:9" ht="23.4" customHeight="1">
      <c r="C86" s="281">
        <v>3</v>
      </c>
      <c r="D86" s="182" t="s">
        <v>18</v>
      </c>
      <c r="E86" s="176" t="s">
        <v>6</v>
      </c>
      <c r="F86" s="315">
        <v>2.8999999999999998E-3</v>
      </c>
      <c r="G86" s="283">
        <f>VLOOKUP(D86,upahbahan,3,FALSE)</f>
        <v>150000</v>
      </c>
      <c r="H86" s="284">
        <f t="shared" si="8"/>
        <v>434.99999999999994</v>
      </c>
    </row>
    <row r="87" spans="3:9" ht="23.4" customHeight="1">
      <c r="C87" s="281">
        <v>4</v>
      </c>
      <c r="D87" s="182" t="s">
        <v>19</v>
      </c>
      <c r="E87" s="176" t="s">
        <v>6</v>
      </c>
      <c r="F87" s="315">
        <v>1E-3</v>
      </c>
      <c r="G87" s="283">
        <f>VLOOKUP(D87,upahbahan,3,FALSE)</f>
        <v>160000</v>
      </c>
      <c r="H87" s="284">
        <f t="shared" si="8"/>
        <v>160</v>
      </c>
    </row>
    <row r="88" spans="3:9" ht="23.4" customHeight="1">
      <c r="C88" s="66" t="s">
        <v>1208</v>
      </c>
      <c r="D88" s="67"/>
      <c r="E88" s="67"/>
      <c r="F88" s="142"/>
      <c r="G88" s="153"/>
      <c r="H88" s="284">
        <f>SUM(H84:H87)</f>
        <v>10166</v>
      </c>
      <c r="I88" s="320"/>
    </row>
    <row r="89" spans="3:9" ht="23.4" customHeight="1">
      <c r="C89" s="290" t="s">
        <v>1209</v>
      </c>
      <c r="D89" s="182" t="s">
        <v>1210</v>
      </c>
      <c r="E89" s="70"/>
      <c r="F89" s="70"/>
      <c r="G89" s="70"/>
      <c r="H89" s="71"/>
    </row>
    <row r="90" spans="3:9" ht="23.4" customHeight="1">
      <c r="C90" s="281">
        <v>1</v>
      </c>
      <c r="D90" s="285" t="s">
        <v>484</v>
      </c>
      <c r="E90" s="176" t="s">
        <v>44</v>
      </c>
      <c r="F90" s="282">
        <v>5.25</v>
      </c>
      <c r="G90" s="283">
        <f>VLOOKUP(D90,upahbahan,3,FALSE)</f>
        <v>1000</v>
      </c>
      <c r="H90" s="284">
        <f t="shared" ref="H90:H92" si="9">F90*G90</f>
        <v>5250</v>
      </c>
    </row>
    <row r="91" spans="3:9" ht="23.4" customHeight="1">
      <c r="C91" s="281">
        <v>2</v>
      </c>
      <c r="D91" s="182" t="s">
        <v>2332</v>
      </c>
      <c r="E91" s="176" t="s">
        <v>65</v>
      </c>
      <c r="F91" s="282">
        <v>1.704</v>
      </c>
      <c r="G91" s="283">
        <f>VLOOKUP(D91,upahbahan,3,FALSE)</f>
        <v>1530</v>
      </c>
      <c r="H91" s="284">
        <f t="shared" si="9"/>
        <v>2607.12</v>
      </c>
    </row>
    <row r="92" spans="3:9" ht="23.4" customHeight="1">
      <c r="C92" s="281">
        <v>4</v>
      </c>
      <c r="D92" s="285" t="s">
        <v>85</v>
      </c>
      <c r="E92" s="176" t="s">
        <v>42</v>
      </c>
      <c r="F92" s="282">
        <v>3.0000000000000001E-3</v>
      </c>
      <c r="G92" s="283">
        <f>VLOOKUP(D92,upahbahan,3,FALSE)</f>
        <v>310500</v>
      </c>
      <c r="H92" s="284">
        <f t="shared" si="9"/>
        <v>931.5</v>
      </c>
    </row>
    <row r="93" spans="3:9" ht="23.4" customHeight="1">
      <c r="C93" s="66" t="s">
        <v>1214</v>
      </c>
      <c r="D93" s="67"/>
      <c r="E93" s="67"/>
      <c r="F93" s="67"/>
      <c r="G93" s="69"/>
      <c r="H93" s="284">
        <f>SUM(H90:H92)</f>
        <v>8788.619999999999</v>
      </c>
    </row>
    <row r="94" spans="3:9" ht="23.4" customHeight="1">
      <c r="C94" s="321" t="s">
        <v>1215</v>
      </c>
      <c r="D94" s="182" t="s">
        <v>1216</v>
      </c>
      <c r="E94" s="70"/>
      <c r="F94" s="70"/>
      <c r="G94" s="70"/>
      <c r="H94" s="71"/>
    </row>
    <row r="95" spans="3:9" ht="23.4" customHeight="1">
      <c r="C95" s="66" t="s">
        <v>1217</v>
      </c>
      <c r="D95" s="67"/>
      <c r="E95" s="67"/>
      <c r="F95" s="67"/>
      <c r="G95" s="69"/>
      <c r="H95" s="292">
        <v>0</v>
      </c>
    </row>
    <row r="96" spans="3:9" ht="23.4" customHeight="1">
      <c r="C96" s="293" t="s">
        <v>1218</v>
      </c>
      <c r="D96" s="294" t="s">
        <v>1219</v>
      </c>
      <c r="E96" s="295"/>
      <c r="F96" s="295"/>
      <c r="G96" s="296"/>
      <c r="H96" s="284">
        <f>H95+H93+H88</f>
        <v>18954.62</v>
      </c>
    </row>
    <row r="97" spans="3:9" ht="23.4" customHeight="1">
      <c r="C97" s="293" t="s">
        <v>1220</v>
      </c>
      <c r="D97" s="294" t="s">
        <v>1402</v>
      </c>
      <c r="E97" s="295"/>
      <c r="F97" s="296"/>
      <c r="G97" s="486" t="s">
        <v>1403</v>
      </c>
      <c r="H97" s="284">
        <f>H96*10%</f>
        <v>1895.462</v>
      </c>
    </row>
    <row r="98" spans="3:9" ht="23.4" customHeight="1" thickBot="1">
      <c r="C98" s="299" t="s">
        <v>1221</v>
      </c>
      <c r="D98" s="300" t="s">
        <v>1222</v>
      </c>
      <c r="E98" s="301"/>
      <c r="F98" s="301"/>
      <c r="G98" s="302"/>
      <c r="H98" s="303">
        <f>SUM(H96:H97)</f>
        <v>20850.081999999999</v>
      </c>
    </row>
    <row r="99" spans="3:9" ht="14.4" thickTop="1">
      <c r="C99" s="289"/>
      <c r="D99" s="297"/>
      <c r="E99" s="297"/>
      <c r="F99" s="297"/>
      <c r="G99" s="297"/>
      <c r="H99" s="139"/>
    </row>
    <row r="100" spans="3:9" ht="14.4" thickBot="1">
      <c r="C100" s="119" t="s">
        <v>2850</v>
      </c>
      <c r="D100" s="485" t="s">
        <v>1408</v>
      </c>
      <c r="E100" s="485"/>
      <c r="F100" s="485"/>
      <c r="G100" s="485"/>
      <c r="H100" s="485"/>
      <c r="I100" s="120">
        <f>ROUNDDOWN(H117,-2)</f>
        <v>21800</v>
      </c>
    </row>
    <row r="101" spans="3:9" ht="28.2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</row>
    <row r="102" spans="3:9" ht="23.4" customHeight="1">
      <c r="C102" s="290" t="s">
        <v>1201</v>
      </c>
      <c r="D102" s="182" t="s">
        <v>1202</v>
      </c>
      <c r="E102" s="70"/>
      <c r="F102" s="70"/>
      <c r="G102" s="70"/>
      <c r="H102" s="71"/>
    </row>
    <row r="103" spans="3:9" ht="23.4" customHeight="1">
      <c r="C103" s="281">
        <v>1</v>
      </c>
      <c r="D103" s="182" t="s">
        <v>5</v>
      </c>
      <c r="E103" s="176" t="s">
        <v>6</v>
      </c>
      <c r="F103" s="315">
        <v>6.25E-2</v>
      </c>
      <c r="G103" s="283">
        <f>VLOOKUP(D103,upahbahan,3,FALSE)</f>
        <v>100000</v>
      </c>
      <c r="H103" s="284">
        <f t="shared" ref="H103:H106" si="10">F103*G103</f>
        <v>6250</v>
      </c>
    </row>
    <row r="104" spans="3:9" ht="23.4" customHeight="1">
      <c r="C104" s="281">
        <v>2</v>
      </c>
      <c r="D104" s="182" t="s">
        <v>7</v>
      </c>
      <c r="E104" s="176" t="s">
        <v>6</v>
      </c>
      <c r="F104" s="315">
        <v>3.1300000000000001E-2</v>
      </c>
      <c r="G104" s="283">
        <f>VLOOKUP(D104,upahbahan,3,FALSE)</f>
        <v>135000</v>
      </c>
      <c r="H104" s="284">
        <f t="shared" si="10"/>
        <v>4225.5</v>
      </c>
    </row>
    <row r="105" spans="3:9" ht="23.4" customHeight="1">
      <c r="C105" s="281">
        <v>3</v>
      </c>
      <c r="D105" s="182" t="s">
        <v>18</v>
      </c>
      <c r="E105" s="176" t="s">
        <v>6</v>
      </c>
      <c r="F105" s="315">
        <v>3.0999999999999999E-3</v>
      </c>
      <c r="G105" s="283">
        <f>VLOOKUP(D105,upahbahan,3,FALSE)</f>
        <v>150000</v>
      </c>
      <c r="H105" s="284">
        <f t="shared" si="10"/>
        <v>465</v>
      </c>
    </row>
    <row r="106" spans="3:9" ht="23.4" customHeight="1">
      <c r="C106" s="281">
        <v>4</v>
      </c>
      <c r="D106" s="182" t="s">
        <v>19</v>
      </c>
      <c r="E106" s="176" t="s">
        <v>6</v>
      </c>
      <c r="F106" s="315">
        <v>1E-3</v>
      </c>
      <c r="G106" s="283">
        <f>VLOOKUP(D106,upahbahan,3,FALSE)</f>
        <v>160000</v>
      </c>
      <c r="H106" s="284">
        <f t="shared" si="10"/>
        <v>160</v>
      </c>
    </row>
    <row r="107" spans="3:9" ht="23.4" customHeight="1">
      <c r="C107" s="66" t="s">
        <v>1208</v>
      </c>
      <c r="D107" s="67"/>
      <c r="E107" s="67"/>
      <c r="F107" s="142"/>
      <c r="G107" s="153"/>
      <c r="H107" s="284">
        <f>SUM(H103:H106)</f>
        <v>11100.5</v>
      </c>
      <c r="I107" s="320"/>
    </row>
    <row r="108" spans="3:9" ht="23.4" customHeight="1">
      <c r="C108" s="290" t="s">
        <v>1209</v>
      </c>
      <c r="D108" s="182" t="s">
        <v>1210</v>
      </c>
      <c r="E108" s="70"/>
      <c r="F108" s="70"/>
      <c r="G108" s="70"/>
      <c r="H108" s="71"/>
    </row>
    <row r="109" spans="3:9" ht="23.4" customHeight="1">
      <c r="C109" s="281">
        <v>1</v>
      </c>
      <c r="D109" s="285" t="s">
        <v>485</v>
      </c>
      <c r="E109" s="176" t="s">
        <v>44</v>
      </c>
      <c r="F109" s="282">
        <v>3.5</v>
      </c>
      <c r="G109" s="283">
        <f>VLOOKUP(D109,upahbahan,3,FALSE)</f>
        <v>1500</v>
      </c>
      <c r="H109" s="284">
        <f t="shared" ref="H109:H111" si="11">F109*G109</f>
        <v>5250</v>
      </c>
    </row>
    <row r="110" spans="3:9" ht="23.4" customHeight="1">
      <c r="C110" s="281">
        <v>2</v>
      </c>
      <c r="D110" s="182" t="s">
        <v>2332</v>
      </c>
      <c r="E110" s="176" t="s">
        <v>65</v>
      </c>
      <c r="F110" s="282">
        <v>1.704</v>
      </c>
      <c r="G110" s="283">
        <f>VLOOKUP(D110,upahbahan,3,FALSE)</f>
        <v>1530</v>
      </c>
      <c r="H110" s="284">
        <f t="shared" si="11"/>
        <v>2607.12</v>
      </c>
    </row>
    <row r="111" spans="3:9" ht="23.4" customHeight="1">
      <c r="C111" s="281">
        <v>4</v>
      </c>
      <c r="D111" s="285" t="s">
        <v>85</v>
      </c>
      <c r="E111" s="176" t="s">
        <v>42</v>
      </c>
      <c r="F111" s="282">
        <v>3.0000000000000001E-3</v>
      </c>
      <c r="G111" s="283">
        <f>VLOOKUP(D111,upahbahan,3,FALSE)</f>
        <v>310500</v>
      </c>
      <c r="H111" s="284">
        <f t="shared" si="11"/>
        <v>931.5</v>
      </c>
    </row>
    <row r="112" spans="3:9" ht="23.4" customHeight="1">
      <c r="C112" s="66" t="s">
        <v>1214</v>
      </c>
      <c r="D112" s="67"/>
      <c r="E112" s="67"/>
      <c r="F112" s="67"/>
      <c r="G112" s="69"/>
      <c r="H112" s="284">
        <f>SUM(H109:H111)</f>
        <v>8788.619999999999</v>
      </c>
    </row>
    <row r="113" spans="3:9" ht="23.4" customHeight="1">
      <c r="C113" s="321" t="s">
        <v>1215</v>
      </c>
      <c r="D113" s="182" t="s">
        <v>1216</v>
      </c>
      <c r="E113" s="70"/>
      <c r="F113" s="70"/>
      <c r="G113" s="70"/>
      <c r="H113" s="71"/>
    </row>
    <row r="114" spans="3:9" ht="23.4" customHeight="1">
      <c r="C114" s="66" t="s">
        <v>1217</v>
      </c>
      <c r="D114" s="67"/>
      <c r="E114" s="67"/>
      <c r="F114" s="67"/>
      <c r="G114" s="69"/>
      <c r="H114" s="292">
        <v>0</v>
      </c>
    </row>
    <row r="115" spans="3:9" ht="23.4" customHeight="1">
      <c r="C115" s="293" t="s">
        <v>1218</v>
      </c>
      <c r="D115" s="294" t="s">
        <v>1219</v>
      </c>
      <c r="E115" s="295"/>
      <c r="F115" s="295"/>
      <c r="G115" s="296"/>
      <c r="H115" s="284">
        <f>H114+H112+H107</f>
        <v>19889.12</v>
      </c>
    </row>
    <row r="116" spans="3:9" ht="23.4" customHeight="1">
      <c r="C116" s="293" t="s">
        <v>1220</v>
      </c>
      <c r="D116" s="294" t="s">
        <v>1402</v>
      </c>
      <c r="E116" s="295"/>
      <c r="F116" s="296"/>
      <c r="G116" s="486" t="s">
        <v>1403</v>
      </c>
      <c r="H116" s="284">
        <f>H115*10%</f>
        <v>1988.912</v>
      </c>
    </row>
    <row r="117" spans="3:9" ht="23.4" customHeight="1" thickBot="1">
      <c r="C117" s="299" t="s">
        <v>1221</v>
      </c>
      <c r="D117" s="300" t="s">
        <v>1222</v>
      </c>
      <c r="E117" s="301"/>
      <c r="F117" s="301"/>
      <c r="G117" s="302"/>
      <c r="H117" s="303">
        <f>SUM(H115:H116)</f>
        <v>21878.031999999999</v>
      </c>
    </row>
    <row r="118" spans="3:9" ht="14.4" thickTop="1">
      <c r="C118" s="289"/>
      <c r="D118" s="297"/>
      <c r="E118" s="297"/>
      <c r="F118" s="297"/>
      <c r="G118" s="297"/>
      <c r="H118" s="139"/>
    </row>
    <row r="119" spans="3:9" ht="14.4" thickBot="1">
      <c r="C119" s="119" t="s">
        <v>2851</v>
      </c>
      <c r="D119" s="485" t="s">
        <v>1409</v>
      </c>
      <c r="E119" s="485"/>
      <c r="F119" s="485"/>
      <c r="G119" s="485"/>
      <c r="H119" s="485"/>
      <c r="I119" s="120">
        <f>ROUNDDOWN(H136,-2)</f>
        <v>22600</v>
      </c>
    </row>
    <row r="120" spans="3:9" ht="28.2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</row>
    <row r="121" spans="3:9" ht="23.4" customHeight="1">
      <c r="C121" s="290" t="s">
        <v>1201</v>
      </c>
      <c r="D121" s="182" t="s">
        <v>1202</v>
      </c>
      <c r="E121" s="70"/>
      <c r="F121" s="70"/>
      <c r="G121" s="70"/>
      <c r="H121" s="71"/>
    </row>
    <row r="122" spans="3:9" ht="23.4" customHeight="1">
      <c r="C122" s="281">
        <v>1</v>
      </c>
      <c r="D122" s="182" t="s">
        <v>5</v>
      </c>
      <c r="E122" s="176" t="s">
        <v>6</v>
      </c>
      <c r="F122" s="309">
        <v>6.6699999999999995E-2</v>
      </c>
      <c r="G122" s="283">
        <f>VLOOKUP(D122,upahbahan,3,FALSE)</f>
        <v>100000</v>
      </c>
      <c r="H122" s="284">
        <f t="shared" ref="H122:H125" si="12">F122*G122</f>
        <v>6669.9999999999991</v>
      </c>
    </row>
    <row r="123" spans="3:9" ht="23.4" customHeight="1">
      <c r="C123" s="281">
        <v>2</v>
      </c>
      <c r="D123" s="182" t="s">
        <v>7</v>
      </c>
      <c r="E123" s="176" t="s">
        <v>6</v>
      </c>
      <c r="F123" s="309">
        <v>3.3300000000000003E-2</v>
      </c>
      <c r="G123" s="283">
        <f>VLOOKUP(D123,upahbahan,3,FALSE)</f>
        <v>135000</v>
      </c>
      <c r="H123" s="284">
        <f t="shared" si="12"/>
        <v>4495.5</v>
      </c>
    </row>
    <row r="124" spans="3:9" ht="23.4" customHeight="1">
      <c r="C124" s="281">
        <v>3</v>
      </c>
      <c r="D124" s="182" t="s">
        <v>18</v>
      </c>
      <c r="E124" s="176" t="s">
        <v>6</v>
      </c>
      <c r="F124" s="309">
        <v>3.3E-3</v>
      </c>
      <c r="G124" s="283">
        <f>VLOOKUP(D124,upahbahan,3,FALSE)</f>
        <v>150000</v>
      </c>
      <c r="H124" s="284">
        <f t="shared" si="12"/>
        <v>495</v>
      </c>
    </row>
    <row r="125" spans="3:9" ht="23.4" customHeight="1">
      <c r="C125" s="281">
        <v>4</v>
      </c>
      <c r="D125" s="182" t="s">
        <v>19</v>
      </c>
      <c r="E125" s="176" t="s">
        <v>6</v>
      </c>
      <c r="F125" s="309">
        <v>1.1000000000000001E-3</v>
      </c>
      <c r="G125" s="283">
        <f>VLOOKUP(D125,upahbahan,3,FALSE)</f>
        <v>160000</v>
      </c>
      <c r="H125" s="284">
        <f t="shared" si="12"/>
        <v>176</v>
      </c>
    </row>
    <row r="126" spans="3:9" ht="23.4" customHeight="1">
      <c r="C126" s="66" t="s">
        <v>1208</v>
      </c>
      <c r="D126" s="67"/>
      <c r="E126" s="67"/>
      <c r="F126" s="142"/>
      <c r="G126" s="153"/>
      <c r="H126" s="284">
        <f>SUM(H122:H125)</f>
        <v>11836.5</v>
      </c>
      <c r="I126" s="320"/>
    </row>
    <row r="127" spans="3:9" ht="23.4" customHeight="1">
      <c r="C127" s="290" t="s">
        <v>1209</v>
      </c>
      <c r="D127" s="182" t="s">
        <v>1210</v>
      </c>
      <c r="E127" s="70"/>
      <c r="F127" s="70"/>
      <c r="G127" s="70"/>
      <c r="H127" s="71"/>
    </row>
    <row r="128" spans="3:9" ht="23.4" customHeight="1">
      <c r="C128" s="281">
        <v>1</v>
      </c>
      <c r="D128" s="285" t="s">
        <v>486</v>
      </c>
      <c r="E128" s="176" t="s">
        <v>44</v>
      </c>
      <c r="F128" s="309">
        <v>2.625</v>
      </c>
      <c r="G128" s="283">
        <f>VLOOKUP(D128,upahbahan,3,FALSE)</f>
        <v>2000</v>
      </c>
      <c r="H128" s="284">
        <f t="shared" ref="H128:H130" si="13">F128*G128</f>
        <v>5250</v>
      </c>
    </row>
    <row r="129" spans="3:9" ht="23.4" customHeight="1">
      <c r="C129" s="281">
        <v>2</v>
      </c>
      <c r="D129" s="182" t="s">
        <v>2332</v>
      </c>
      <c r="E129" s="176" t="s">
        <v>65</v>
      </c>
      <c r="F129" s="282">
        <v>1.704</v>
      </c>
      <c r="G129" s="283">
        <f>VLOOKUP(D129,upahbahan,3,FALSE)</f>
        <v>1530</v>
      </c>
      <c r="H129" s="284">
        <f t="shared" si="13"/>
        <v>2607.12</v>
      </c>
    </row>
    <row r="130" spans="3:9" ht="23.4" customHeight="1">
      <c r="C130" s="281">
        <v>4</v>
      </c>
      <c r="D130" s="285" t="s">
        <v>85</v>
      </c>
      <c r="E130" s="176" t="s">
        <v>42</v>
      </c>
      <c r="F130" s="282">
        <v>3.0000000000000001E-3</v>
      </c>
      <c r="G130" s="283">
        <f>VLOOKUP(D130,upahbahan,3,FALSE)</f>
        <v>310500</v>
      </c>
      <c r="H130" s="284">
        <f t="shared" si="13"/>
        <v>931.5</v>
      </c>
    </row>
    <row r="131" spans="3:9" ht="23.4" customHeight="1">
      <c r="C131" s="66" t="s">
        <v>1214</v>
      </c>
      <c r="D131" s="67"/>
      <c r="E131" s="67"/>
      <c r="F131" s="67"/>
      <c r="G131" s="69"/>
      <c r="H131" s="284">
        <f>SUM(H128:H130)</f>
        <v>8788.619999999999</v>
      </c>
    </row>
    <row r="132" spans="3:9" ht="23.4" customHeight="1">
      <c r="C132" s="321" t="s">
        <v>1215</v>
      </c>
      <c r="D132" s="182" t="s">
        <v>1216</v>
      </c>
      <c r="E132" s="70"/>
      <c r="F132" s="70"/>
      <c r="G132" s="70"/>
      <c r="H132" s="71"/>
    </row>
    <row r="133" spans="3:9" ht="23.4" customHeight="1">
      <c r="C133" s="66" t="s">
        <v>1217</v>
      </c>
      <c r="D133" s="67"/>
      <c r="E133" s="67"/>
      <c r="F133" s="67"/>
      <c r="G133" s="69"/>
      <c r="H133" s="292">
        <v>0</v>
      </c>
    </row>
    <row r="134" spans="3:9" ht="23.4" customHeight="1">
      <c r="C134" s="293" t="s">
        <v>1218</v>
      </c>
      <c r="D134" s="294" t="s">
        <v>1219</v>
      </c>
      <c r="E134" s="295"/>
      <c r="F134" s="295"/>
      <c r="G134" s="296"/>
      <c r="H134" s="284">
        <f>H133+H131+H126</f>
        <v>20625.12</v>
      </c>
    </row>
    <row r="135" spans="3:9" ht="23.4" customHeight="1">
      <c r="C135" s="293" t="s">
        <v>1220</v>
      </c>
      <c r="D135" s="294" t="s">
        <v>1402</v>
      </c>
      <c r="E135" s="295"/>
      <c r="F135" s="296"/>
      <c r="G135" s="486" t="s">
        <v>1403</v>
      </c>
      <c r="H135" s="284">
        <f>H134*10%</f>
        <v>2062.5120000000002</v>
      </c>
    </row>
    <row r="136" spans="3:9" ht="23.4" customHeight="1" thickBot="1">
      <c r="C136" s="299" t="s">
        <v>1221</v>
      </c>
      <c r="D136" s="300" t="s">
        <v>1222</v>
      </c>
      <c r="E136" s="301"/>
      <c r="F136" s="301"/>
      <c r="G136" s="302"/>
      <c r="H136" s="303">
        <f>SUM(H134:H135)</f>
        <v>22687.631999999998</v>
      </c>
    </row>
    <row r="137" spans="3:9" ht="14.4" thickTop="1">
      <c r="C137" s="304"/>
      <c r="D137" s="304"/>
      <c r="E137" s="304"/>
      <c r="F137" s="304"/>
      <c r="G137" s="304"/>
      <c r="H137" s="305"/>
    </row>
    <row r="138" spans="3:9" ht="14.4" thickBot="1">
      <c r="C138" s="119" t="s">
        <v>2852</v>
      </c>
      <c r="D138" s="485" t="s">
        <v>1410</v>
      </c>
      <c r="E138" s="485"/>
      <c r="F138" s="485"/>
      <c r="G138" s="485"/>
      <c r="H138" s="485"/>
      <c r="I138" s="120">
        <f>ROUNDDOWN(H155,-2)</f>
        <v>22600</v>
      </c>
    </row>
    <row r="139" spans="3:9" ht="28.2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</row>
    <row r="140" spans="3:9" ht="23.4" customHeight="1">
      <c r="C140" s="290" t="s">
        <v>1201</v>
      </c>
      <c r="D140" s="182" t="s">
        <v>1202</v>
      </c>
      <c r="E140" s="70"/>
      <c r="F140" s="70"/>
      <c r="G140" s="70"/>
      <c r="H140" s="71"/>
    </row>
    <row r="141" spans="3:9" ht="23.4" customHeight="1">
      <c r="C141" s="281">
        <v>1</v>
      </c>
      <c r="D141" s="182" t="s">
        <v>5</v>
      </c>
      <c r="E141" s="176" t="s">
        <v>6</v>
      </c>
      <c r="F141" s="309">
        <v>7.1400000000000005E-2</v>
      </c>
      <c r="G141" s="283">
        <f>VLOOKUP(D141,upahbahan,3,FALSE)</f>
        <v>100000</v>
      </c>
      <c r="H141" s="284">
        <f t="shared" ref="H141:H144" si="14">F141*G141</f>
        <v>7140.0000000000009</v>
      </c>
    </row>
    <row r="142" spans="3:9" ht="23.4" customHeight="1">
      <c r="C142" s="281">
        <v>2</v>
      </c>
      <c r="D142" s="182" t="s">
        <v>7</v>
      </c>
      <c r="E142" s="176" t="s">
        <v>6</v>
      </c>
      <c r="F142" s="309">
        <v>3.5700000000000003E-2</v>
      </c>
      <c r="G142" s="283">
        <f>VLOOKUP(D142,upahbahan,3,FALSE)</f>
        <v>135000</v>
      </c>
      <c r="H142" s="284">
        <f t="shared" si="14"/>
        <v>4819.5</v>
      </c>
    </row>
    <row r="143" spans="3:9" ht="23.4" customHeight="1">
      <c r="C143" s="281">
        <v>3</v>
      </c>
      <c r="D143" s="182" t="s">
        <v>18</v>
      </c>
      <c r="E143" s="176" t="s">
        <v>6</v>
      </c>
      <c r="F143" s="309">
        <v>3.5999999999999999E-3</v>
      </c>
      <c r="G143" s="283">
        <f>VLOOKUP(D143,upahbahan,3,FALSE)</f>
        <v>150000</v>
      </c>
      <c r="H143" s="284">
        <f t="shared" si="14"/>
        <v>540</v>
      </c>
    </row>
    <row r="144" spans="3:9" ht="23.4" customHeight="1">
      <c r="C144" s="281">
        <v>4</v>
      </c>
      <c r="D144" s="182" t="s">
        <v>19</v>
      </c>
      <c r="E144" s="176" t="s">
        <v>6</v>
      </c>
      <c r="F144" s="309">
        <v>1.1999999999999999E-3</v>
      </c>
      <c r="G144" s="283">
        <f>VLOOKUP(D144,upahbahan,3,FALSE)</f>
        <v>160000</v>
      </c>
      <c r="H144" s="284">
        <f t="shared" si="14"/>
        <v>191.99999999999997</v>
      </c>
    </row>
    <row r="145" spans="3:9" ht="23.4" customHeight="1">
      <c r="C145" s="66" t="s">
        <v>1208</v>
      </c>
      <c r="D145" s="67"/>
      <c r="E145" s="67"/>
      <c r="F145" s="142"/>
      <c r="G145" s="153"/>
      <c r="H145" s="284">
        <f>SUM(H141:H144)</f>
        <v>12691.5</v>
      </c>
      <c r="I145" s="320"/>
    </row>
    <row r="146" spans="3:9" ht="23.4" customHeight="1">
      <c r="C146" s="290" t="s">
        <v>1209</v>
      </c>
      <c r="D146" s="182" t="s">
        <v>1210</v>
      </c>
      <c r="E146" s="70"/>
      <c r="F146" s="70"/>
      <c r="G146" s="70"/>
      <c r="H146" s="71"/>
    </row>
    <row r="147" spans="3:9" ht="23.4" customHeight="1">
      <c r="C147" s="281">
        <v>1</v>
      </c>
      <c r="D147" s="285" t="s">
        <v>487</v>
      </c>
      <c r="E147" s="176" t="s">
        <v>44</v>
      </c>
      <c r="F147" s="282">
        <v>1.75</v>
      </c>
      <c r="G147" s="283">
        <f>VLOOKUP(D147,upahbahan,3,FALSE)</f>
        <v>2500</v>
      </c>
      <c r="H147" s="284">
        <f t="shared" ref="H147:H149" si="15">F147*G147</f>
        <v>4375</v>
      </c>
    </row>
    <row r="148" spans="3:9" ht="23.4" customHeight="1">
      <c r="C148" s="281">
        <v>2</v>
      </c>
      <c r="D148" s="182" t="s">
        <v>2332</v>
      </c>
      <c r="E148" s="176" t="s">
        <v>65</v>
      </c>
      <c r="F148" s="282">
        <v>1.704</v>
      </c>
      <c r="G148" s="283">
        <f>VLOOKUP(D148,upahbahan,3,FALSE)</f>
        <v>1530</v>
      </c>
      <c r="H148" s="284">
        <f t="shared" si="15"/>
        <v>2607.12</v>
      </c>
    </row>
    <row r="149" spans="3:9" ht="23.4" customHeight="1">
      <c r="C149" s="281">
        <v>4</v>
      </c>
      <c r="D149" s="285" t="s">
        <v>85</v>
      </c>
      <c r="E149" s="176" t="s">
        <v>42</v>
      </c>
      <c r="F149" s="282">
        <v>3.0000000000000001E-3</v>
      </c>
      <c r="G149" s="283">
        <f>VLOOKUP(D149,upahbahan,3,FALSE)</f>
        <v>310500</v>
      </c>
      <c r="H149" s="284">
        <f t="shared" si="15"/>
        <v>931.5</v>
      </c>
    </row>
    <row r="150" spans="3:9" ht="23.4" customHeight="1">
      <c r="C150" s="66" t="s">
        <v>1214</v>
      </c>
      <c r="D150" s="67"/>
      <c r="E150" s="67"/>
      <c r="F150" s="67"/>
      <c r="G150" s="69"/>
      <c r="H150" s="284">
        <f>SUM(H147:H149)</f>
        <v>7913.62</v>
      </c>
    </row>
    <row r="151" spans="3:9" ht="23.4" customHeight="1">
      <c r="C151" s="321" t="s">
        <v>1215</v>
      </c>
      <c r="D151" s="182" t="s">
        <v>1216</v>
      </c>
      <c r="E151" s="70"/>
      <c r="F151" s="70"/>
      <c r="G151" s="70"/>
      <c r="H151" s="71"/>
    </row>
    <row r="152" spans="3:9" ht="23.4" customHeight="1">
      <c r="C152" s="66" t="s">
        <v>1217</v>
      </c>
      <c r="D152" s="67"/>
      <c r="E152" s="67"/>
      <c r="F152" s="67"/>
      <c r="G152" s="69"/>
      <c r="H152" s="292">
        <v>0</v>
      </c>
    </row>
    <row r="153" spans="3:9" ht="23.4" customHeight="1">
      <c r="C153" s="293" t="s">
        <v>1218</v>
      </c>
      <c r="D153" s="294" t="s">
        <v>1219</v>
      </c>
      <c r="E153" s="295"/>
      <c r="F153" s="295"/>
      <c r="G153" s="296"/>
      <c r="H153" s="284">
        <f>H152+H150+H145</f>
        <v>20605.12</v>
      </c>
    </row>
    <row r="154" spans="3:9" ht="23.4" customHeight="1">
      <c r="C154" s="293" t="s">
        <v>1220</v>
      </c>
      <c r="D154" s="294" t="s">
        <v>1402</v>
      </c>
      <c r="E154" s="295"/>
      <c r="F154" s="296"/>
      <c r="G154" s="486" t="s">
        <v>1403</v>
      </c>
      <c r="H154" s="284">
        <f>H153*10%</f>
        <v>2060.5120000000002</v>
      </c>
    </row>
    <row r="155" spans="3:9" ht="23.4" customHeight="1" thickBot="1">
      <c r="C155" s="299" t="s">
        <v>1221</v>
      </c>
      <c r="D155" s="300" t="s">
        <v>1222</v>
      </c>
      <c r="E155" s="301"/>
      <c r="F155" s="301"/>
      <c r="G155" s="302"/>
      <c r="H155" s="303">
        <f>SUM(H153:H154)</f>
        <v>22665.631999999998</v>
      </c>
    </row>
    <row r="156" spans="3:9" ht="14.4" thickTop="1">
      <c r="C156" s="304"/>
      <c r="D156" s="304"/>
      <c r="E156" s="304"/>
      <c r="F156" s="304"/>
      <c r="G156" s="304"/>
      <c r="H156" s="305"/>
    </row>
    <row r="157" spans="3:9">
      <c r="C157" s="328" t="s">
        <v>2853</v>
      </c>
      <c r="D157" s="328" t="s">
        <v>2854</v>
      </c>
      <c r="E157" s="304"/>
      <c r="F157" s="304"/>
      <c r="G157" s="304"/>
      <c r="H157" s="305"/>
    </row>
    <row r="158" spans="3:9" ht="14.4" thickBot="1">
      <c r="C158" s="119" t="s">
        <v>2855</v>
      </c>
      <c r="D158" s="485" t="s">
        <v>1411</v>
      </c>
      <c r="E158" s="485"/>
      <c r="F158" s="485"/>
      <c r="G158" s="485"/>
      <c r="H158" s="485"/>
      <c r="I158" s="120">
        <f>ROUNDDOWN(H176,-2)</f>
        <v>145600</v>
      </c>
    </row>
    <row r="159" spans="3:9" ht="28.2" thickTop="1">
      <c r="C159" s="51" t="s">
        <v>1195</v>
      </c>
      <c r="D159" s="52" t="s">
        <v>1196</v>
      </c>
      <c r="E159" s="52" t="s">
        <v>1197</v>
      </c>
      <c r="F159" s="52" t="s">
        <v>1198</v>
      </c>
      <c r="G159" s="52" t="s">
        <v>1199</v>
      </c>
      <c r="H159" s="53" t="s">
        <v>1200</v>
      </c>
    </row>
    <row r="160" spans="3:9" ht="23.4" customHeight="1">
      <c r="C160" s="290" t="s">
        <v>1201</v>
      </c>
      <c r="D160" s="182" t="s">
        <v>1202</v>
      </c>
      <c r="E160" s="70"/>
      <c r="F160" s="70"/>
      <c r="G160" s="70"/>
      <c r="H160" s="71"/>
    </row>
    <row r="161" spans="3:9" ht="23.4" customHeight="1">
      <c r="C161" s="281">
        <v>1</v>
      </c>
      <c r="D161" s="182" t="s">
        <v>5</v>
      </c>
      <c r="E161" s="176" t="s">
        <v>6</v>
      </c>
      <c r="F161" s="309">
        <v>0.1333</v>
      </c>
      <c r="G161" s="283">
        <f>VLOOKUP(D161,upahbahan,3,FALSE)</f>
        <v>100000</v>
      </c>
      <c r="H161" s="284">
        <f t="shared" ref="H161:H164" si="16">F161*G161</f>
        <v>13330</v>
      </c>
    </row>
    <row r="162" spans="3:9" ht="23.4" customHeight="1">
      <c r="C162" s="281">
        <v>2</v>
      </c>
      <c r="D162" s="182" t="s">
        <v>7</v>
      </c>
      <c r="E162" s="176" t="s">
        <v>6</v>
      </c>
      <c r="F162" s="309">
        <v>6.6699999999999995E-2</v>
      </c>
      <c r="G162" s="283">
        <f>VLOOKUP(D162,upahbahan,3,FALSE)</f>
        <v>135000</v>
      </c>
      <c r="H162" s="284">
        <f t="shared" si="16"/>
        <v>9004.5</v>
      </c>
    </row>
    <row r="163" spans="3:9" ht="23.4" customHeight="1">
      <c r="C163" s="281">
        <v>3</v>
      </c>
      <c r="D163" s="182" t="s">
        <v>18</v>
      </c>
      <c r="E163" s="176" t="s">
        <v>6</v>
      </c>
      <c r="F163" s="309">
        <v>6.7000000000000002E-3</v>
      </c>
      <c r="G163" s="283">
        <f>VLOOKUP(D163,upahbahan,3,FALSE)</f>
        <v>150000</v>
      </c>
      <c r="H163" s="284">
        <f>F163*G163</f>
        <v>1005</v>
      </c>
    </row>
    <row r="164" spans="3:9" ht="23.4" customHeight="1">
      <c r="C164" s="281">
        <v>4</v>
      </c>
      <c r="D164" s="182" t="s">
        <v>19</v>
      </c>
      <c r="E164" s="176" t="s">
        <v>6</v>
      </c>
      <c r="F164" s="309">
        <v>2.2000000000000001E-3</v>
      </c>
      <c r="G164" s="283">
        <f>VLOOKUP(D164,upahbahan,3,FALSE)</f>
        <v>160000</v>
      </c>
      <c r="H164" s="284">
        <f t="shared" si="16"/>
        <v>352</v>
      </c>
    </row>
    <row r="165" spans="3:9" ht="23.4" customHeight="1">
      <c r="C165" s="66" t="s">
        <v>1208</v>
      </c>
      <c r="D165" s="67"/>
      <c r="E165" s="67"/>
      <c r="F165" s="142"/>
      <c r="G165" s="153"/>
      <c r="H165" s="284">
        <f>SUM(H161:H164)</f>
        <v>23691.5</v>
      </c>
      <c r="I165" s="320"/>
    </row>
    <row r="166" spans="3:9" ht="23.4" customHeight="1">
      <c r="C166" s="290" t="s">
        <v>1209</v>
      </c>
      <c r="D166" s="182" t="s">
        <v>1210</v>
      </c>
      <c r="E166" s="70"/>
      <c r="F166" s="70"/>
      <c r="G166" s="70"/>
      <c r="H166" s="71"/>
    </row>
    <row r="167" spans="3:9" ht="23.4" customHeight="1">
      <c r="C167" s="310" t="s">
        <v>1203</v>
      </c>
      <c r="D167" s="285" t="s">
        <v>520</v>
      </c>
      <c r="E167" s="176" t="s">
        <v>44</v>
      </c>
      <c r="F167" s="282">
        <v>26.25</v>
      </c>
      <c r="G167" s="283">
        <f>VLOOKUP(D167,upahbahan,3,FALSE)</f>
        <v>2000</v>
      </c>
      <c r="H167" s="284">
        <f t="shared" ref="H167:H170" si="17">F167*G167</f>
        <v>52500</v>
      </c>
    </row>
    <row r="168" spans="3:9" ht="23.4" customHeight="1">
      <c r="C168" s="310" t="s">
        <v>1204</v>
      </c>
      <c r="D168" s="182" t="s">
        <v>2332</v>
      </c>
      <c r="E168" s="176" t="s">
        <v>65</v>
      </c>
      <c r="F168" s="282">
        <v>13.632</v>
      </c>
      <c r="G168" s="283">
        <f>VLOOKUP(D168,upahbahan,3,FALSE)</f>
        <v>1530</v>
      </c>
      <c r="H168" s="284">
        <f t="shared" si="17"/>
        <v>20856.96</v>
      </c>
    </row>
    <row r="169" spans="3:9" ht="23.4" customHeight="1">
      <c r="C169" s="310" t="s">
        <v>1205</v>
      </c>
      <c r="D169" s="182" t="s">
        <v>562</v>
      </c>
      <c r="E169" s="176" t="s">
        <v>65</v>
      </c>
      <c r="F169" s="282">
        <v>1.5</v>
      </c>
      <c r="G169" s="283">
        <f>VLOOKUP(D169,upahbahan,3,FALSE)</f>
        <v>18000</v>
      </c>
      <c r="H169" s="284">
        <f t="shared" si="17"/>
        <v>27000</v>
      </c>
    </row>
    <row r="170" spans="3:9" ht="23.4" customHeight="1">
      <c r="C170" s="310" t="s">
        <v>1206</v>
      </c>
      <c r="D170" s="285" t="s">
        <v>85</v>
      </c>
      <c r="E170" s="176" t="s">
        <v>42</v>
      </c>
      <c r="F170" s="282">
        <v>2.7E-2</v>
      </c>
      <c r="G170" s="283">
        <f>VLOOKUP(D170,upahbahan,3,FALSE)</f>
        <v>310500</v>
      </c>
      <c r="H170" s="284">
        <f t="shared" si="17"/>
        <v>8383.5</v>
      </c>
    </row>
    <row r="171" spans="3:9" ht="23.4" customHeight="1">
      <c r="C171" s="66" t="s">
        <v>1214</v>
      </c>
      <c r="D171" s="67"/>
      <c r="E171" s="67"/>
      <c r="F171" s="67"/>
      <c r="G171" s="69"/>
      <c r="H171" s="284">
        <f>SUM(H167:H170)</f>
        <v>108740.45999999999</v>
      </c>
    </row>
    <row r="172" spans="3:9" ht="23.4" customHeight="1">
      <c r="C172" s="321" t="s">
        <v>1215</v>
      </c>
      <c r="D172" s="182" t="s">
        <v>1216</v>
      </c>
      <c r="E172" s="70"/>
      <c r="F172" s="70"/>
      <c r="G172" s="70"/>
      <c r="H172" s="71"/>
    </row>
    <row r="173" spans="3:9" ht="23.4" customHeight="1">
      <c r="C173" s="66" t="s">
        <v>1217</v>
      </c>
      <c r="D173" s="67"/>
      <c r="E173" s="67"/>
      <c r="F173" s="67"/>
      <c r="G173" s="69"/>
      <c r="H173" s="292">
        <v>0</v>
      </c>
    </row>
    <row r="174" spans="3:9" ht="23.4" customHeight="1">
      <c r="C174" s="293" t="s">
        <v>1218</v>
      </c>
      <c r="D174" s="294" t="s">
        <v>1219</v>
      </c>
      <c r="E174" s="295"/>
      <c r="F174" s="295"/>
      <c r="G174" s="296"/>
      <c r="H174" s="284">
        <f>H173+H171+H165</f>
        <v>132431.96</v>
      </c>
    </row>
    <row r="175" spans="3:9" ht="23.4" customHeight="1">
      <c r="C175" s="293" t="s">
        <v>1220</v>
      </c>
      <c r="D175" s="294" t="s">
        <v>1402</v>
      </c>
      <c r="E175" s="295"/>
      <c r="F175" s="296"/>
      <c r="G175" s="486" t="s">
        <v>1403</v>
      </c>
      <c r="H175" s="284">
        <f>H174*10%</f>
        <v>13243.196</v>
      </c>
    </row>
    <row r="176" spans="3:9" ht="23.4" customHeight="1" thickBot="1">
      <c r="C176" s="299" t="s">
        <v>1221</v>
      </c>
      <c r="D176" s="300" t="s">
        <v>1222</v>
      </c>
      <c r="E176" s="301"/>
      <c r="F176" s="301"/>
      <c r="G176" s="302"/>
      <c r="H176" s="303">
        <f>SUM(H174:H175)</f>
        <v>145675.15599999999</v>
      </c>
    </row>
    <row r="177" spans="3:9" ht="14.4" thickTop="1">
      <c r="C177" s="304"/>
      <c r="D177" s="304"/>
      <c r="E177" s="304"/>
      <c r="F177" s="304"/>
      <c r="G177" s="304"/>
      <c r="H177" s="305"/>
    </row>
    <row r="178" spans="3:9" ht="14.4" thickBot="1">
      <c r="C178" s="47" t="s">
        <v>2856</v>
      </c>
      <c r="D178" s="485" t="s">
        <v>1412</v>
      </c>
      <c r="E178" s="485"/>
      <c r="F178" s="485"/>
      <c r="G178" s="485"/>
      <c r="H178" s="485"/>
      <c r="I178" s="120">
        <f>ROUNDDOWN(H196,-2)</f>
        <v>147500</v>
      </c>
    </row>
    <row r="179" spans="3:9" ht="28.2" thickTop="1">
      <c r="C179" s="51" t="s">
        <v>1195</v>
      </c>
      <c r="D179" s="52" t="s">
        <v>1196</v>
      </c>
      <c r="E179" s="52" t="s">
        <v>1197</v>
      </c>
      <c r="F179" s="52" t="s">
        <v>1198</v>
      </c>
      <c r="G179" s="52" t="s">
        <v>1199</v>
      </c>
      <c r="H179" s="53" t="s">
        <v>1200</v>
      </c>
    </row>
    <row r="180" spans="3:9" ht="23.4" customHeight="1">
      <c r="C180" s="290" t="s">
        <v>1201</v>
      </c>
      <c r="D180" s="182" t="s">
        <v>1202</v>
      </c>
      <c r="E180" s="70"/>
      <c r="F180" s="70"/>
      <c r="G180" s="70"/>
      <c r="H180" s="71"/>
    </row>
    <row r="181" spans="3:9" ht="23.4" customHeight="1">
      <c r="C181" s="281">
        <v>1</v>
      </c>
      <c r="D181" s="182" t="s">
        <v>5</v>
      </c>
      <c r="E181" s="176" t="s">
        <v>6</v>
      </c>
      <c r="F181" s="309">
        <v>0.1429</v>
      </c>
      <c r="G181" s="283">
        <f>VLOOKUP(D181,upahbahan,3,FALSE)</f>
        <v>100000</v>
      </c>
      <c r="H181" s="284">
        <f t="shared" ref="H181:H184" si="18">F181*G181</f>
        <v>14290</v>
      </c>
    </row>
    <row r="182" spans="3:9" ht="23.4" customHeight="1">
      <c r="C182" s="281">
        <v>2</v>
      </c>
      <c r="D182" s="182" t="s">
        <v>7</v>
      </c>
      <c r="E182" s="176" t="s">
        <v>6</v>
      </c>
      <c r="F182" s="309">
        <v>7.1400000000000005E-2</v>
      </c>
      <c r="G182" s="283">
        <f>VLOOKUP(D182,upahbahan,3,FALSE)</f>
        <v>135000</v>
      </c>
      <c r="H182" s="284">
        <f t="shared" si="18"/>
        <v>9639</v>
      </c>
    </row>
    <row r="183" spans="3:9" ht="23.4" customHeight="1">
      <c r="C183" s="281">
        <v>3</v>
      </c>
      <c r="D183" s="182" t="s">
        <v>18</v>
      </c>
      <c r="E183" s="176" t="s">
        <v>6</v>
      </c>
      <c r="F183" s="309">
        <v>7.1000000000000004E-3</v>
      </c>
      <c r="G183" s="283">
        <f>VLOOKUP(D183,upahbahan,3,FALSE)</f>
        <v>150000</v>
      </c>
      <c r="H183" s="284">
        <f t="shared" si="18"/>
        <v>1065</v>
      </c>
    </row>
    <row r="184" spans="3:9" ht="23.4" customHeight="1">
      <c r="C184" s="281">
        <v>4</v>
      </c>
      <c r="D184" s="182" t="s">
        <v>19</v>
      </c>
      <c r="E184" s="176" t="s">
        <v>6</v>
      </c>
      <c r="F184" s="309">
        <v>2.3999999999999998E-3</v>
      </c>
      <c r="G184" s="283">
        <f>VLOOKUP(D184,upahbahan,3,FALSE)</f>
        <v>160000</v>
      </c>
      <c r="H184" s="284">
        <f t="shared" si="18"/>
        <v>383.99999999999994</v>
      </c>
    </row>
    <row r="185" spans="3:9" ht="23.4" customHeight="1">
      <c r="C185" s="66" t="s">
        <v>1208</v>
      </c>
      <c r="D185" s="67"/>
      <c r="E185" s="67"/>
      <c r="F185" s="142"/>
      <c r="G185" s="153"/>
      <c r="H185" s="284">
        <f>SUM(H181:H184)</f>
        <v>25378</v>
      </c>
      <c r="I185" s="320"/>
    </row>
    <row r="186" spans="3:9" ht="23.4" customHeight="1">
      <c r="C186" s="290" t="s">
        <v>1209</v>
      </c>
      <c r="D186" s="182" t="s">
        <v>1210</v>
      </c>
      <c r="E186" s="70"/>
      <c r="F186" s="70"/>
      <c r="G186" s="70"/>
      <c r="H186" s="71"/>
    </row>
    <row r="187" spans="3:9" ht="23.4" customHeight="1">
      <c r="C187" s="310" t="s">
        <v>1203</v>
      </c>
      <c r="D187" s="285" t="s">
        <v>521</v>
      </c>
      <c r="E187" s="176" t="s">
        <v>44</v>
      </c>
      <c r="F187" s="282">
        <v>11.667</v>
      </c>
      <c r="G187" s="283">
        <f>VLOOKUP(D187,upahbahan,3,FALSE)</f>
        <v>4500</v>
      </c>
      <c r="H187" s="284">
        <f t="shared" ref="H187:H190" si="19">F187*G187</f>
        <v>52501.5</v>
      </c>
    </row>
    <row r="188" spans="3:9" ht="23.4" customHeight="1">
      <c r="C188" s="310" t="s">
        <v>1204</v>
      </c>
      <c r="D188" s="182" t="s">
        <v>2332</v>
      </c>
      <c r="E188" s="176" t="s">
        <v>65</v>
      </c>
      <c r="F188" s="282">
        <v>13.632</v>
      </c>
      <c r="G188" s="283">
        <f>VLOOKUP(D188,upahbahan,3,FALSE)</f>
        <v>1530</v>
      </c>
      <c r="H188" s="284">
        <f t="shared" si="19"/>
        <v>20856.96</v>
      </c>
    </row>
    <row r="189" spans="3:9" ht="23.4" customHeight="1">
      <c r="C189" s="310" t="s">
        <v>1205</v>
      </c>
      <c r="D189" s="182" t="s">
        <v>562</v>
      </c>
      <c r="E189" s="176" t="s">
        <v>65</v>
      </c>
      <c r="F189" s="282">
        <v>1.5</v>
      </c>
      <c r="G189" s="283">
        <f>VLOOKUP(D189,upahbahan,3,FALSE)</f>
        <v>18000</v>
      </c>
      <c r="H189" s="284">
        <f t="shared" si="19"/>
        <v>27000</v>
      </c>
    </row>
    <row r="190" spans="3:9" ht="23.4" customHeight="1">
      <c r="C190" s="310" t="s">
        <v>1206</v>
      </c>
      <c r="D190" s="285" t="s">
        <v>85</v>
      </c>
      <c r="E190" s="176" t="s">
        <v>42</v>
      </c>
      <c r="F190" s="282">
        <v>2.7E-2</v>
      </c>
      <c r="G190" s="283">
        <f>VLOOKUP(D190,upahbahan,3,FALSE)</f>
        <v>310500</v>
      </c>
      <c r="H190" s="284">
        <f t="shared" si="19"/>
        <v>8383.5</v>
      </c>
    </row>
    <row r="191" spans="3:9" ht="23.4" customHeight="1">
      <c r="C191" s="66" t="s">
        <v>1214</v>
      </c>
      <c r="D191" s="67"/>
      <c r="E191" s="67"/>
      <c r="F191" s="67"/>
      <c r="G191" s="69"/>
      <c r="H191" s="284">
        <f>SUM(H187:H190)</f>
        <v>108741.95999999999</v>
      </c>
    </row>
    <row r="192" spans="3:9" ht="23.4" customHeight="1">
      <c r="C192" s="321" t="s">
        <v>1215</v>
      </c>
      <c r="D192" s="182" t="s">
        <v>1216</v>
      </c>
      <c r="E192" s="70"/>
      <c r="F192" s="70"/>
      <c r="G192" s="70"/>
      <c r="H192" s="71"/>
    </row>
    <row r="193" spans="3:9" ht="23.4" customHeight="1">
      <c r="C193" s="66" t="s">
        <v>1217</v>
      </c>
      <c r="D193" s="67"/>
      <c r="E193" s="67"/>
      <c r="F193" s="67"/>
      <c r="G193" s="69"/>
      <c r="H193" s="292">
        <v>0</v>
      </c>
    </row>
    <row r="194" spans="3:9" ht="23.4" customHeight="1">
      <c r="C194" s="293" t="s">
        <v>1218</v>
      </c>
      <c r="D194" s="294" t="s">
        <v>1219</v>
      </c>
      <c r="E194" s="295"/>
      <c r="F194" s="295"/>
      <c r="G194" s="296"/>
      <c r="H194" s="284">
        <f>H193+H191+H185</f>
        <v>134119.96</v>
      </c>
    </row>
    <row r="195" spans="3:9" ht="23.4" customHeight="1">
      <c r="C195" s="293" t="s">
        <v>1220</v>
      </c>
      <c r="D195" s="294" t="s">
        <v>1402</v>
      </c>
      <c r="E195" s="295"/>
      <c r="F195" s="296"/>
      <c r="G195" s="486" t="s">
        <v>1403</v>
      </c>
      <c r="H195" s="284">
        <f>H194*10%</f>
        <v>13411.995999999999</v>
      </c>
    </row>
    <row r="196" spans="3:9" ht="23.4" customHeight="1" thickBot="1">
      <c r="C196" s="299" t="s">
        <v>1221</v>
      </c>
      <c r="D196" s="300" t="s">
        <v>1222</v>
      </c>
      <c r="E196" s="301"/>
      <c r="F196" s="301"/>
      <c r="G196" s="302"/>
      <c r="H196" s="303">
        <f>SUM(H194:H195)</f>
        <v>147531.95600000001</v>
      </c>
    </row>
    <row r="197" spans="3:9" ht="14.4" thickTop="1">
      <c r="C197" s="304"/>
      <c r="D197" s="304"/>
      <c r="E197" s="304"/>
      <c r="F197" s="304"/>
      <c r="G197" s="304"/>
      <c r="H197" s="305"/>
    </row>
    <row r="198" spans="3:9" ht="14.4" thickBot="1">
      <c r="C198" s="47" t="s">
        <v>2857</v>
      </c>
      <c r="D198" s="485" t="s">
        <v>1413</v>
      </c>
      <c r="E198" s="485"/>
      <c r="F198" s="485"/>
      <c r="G198" s="485"/>
      <c r="H198" s="485"/>
      <c r="I198" s="120">
        <f>ROUNDDOWN(H216,-2)</f>
        <v>135200</v>
      </c>
    </row>
    <row r="199" spans="3:9" ht="28.2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</row>
    <row r="200" spans="3:9" ht="23.4" customHeight="1">
      <c r="C200" s="290" t="s">
        <v>1201</v>
      </c>
      <c r="D200" s="182" t="s">
        <v>1202</v>
      </c>
      <c r="E200" s="70"/>
      <c r="F200" s="70"/>
      <c r="G200" s="70"/>
      <c r="H200" s="71"/>
    </row>
    <row r="201" spans="3:9" ht="23.4" customHeight="1">
      <c r="C201" s="281">
        <v>1</v>
      </c>
      <c r="D201" s="182" t="s">
        <v>5</v>
      </c>
      <c r="E201" s="176" t="s">
        <v>6</v>
      </c>
      <c r="F201" s="309">
        <v>0.15379999999999999</v>
      </c>
      <c r="G201" s="283">
        <f>VLOOKUP(D201,upahbahan,3,FALSE)</f>
        <v>100000</v>
      </c>
      <c r="H201" s="284">
        <f t="shared" ref="H201:H204" si="20">F201*G201</f>
        <v>15380</v>
      </c>
    </row>
    <row r="202" spans="3:9" ht="23.4" customHeight="1">
      <c r="C202" s="281">
        <v>2</v>
      </c>
      <c r="D202" s="182" t="s">
        <v>7</v>
      </c>
      <c r="E202" s="176" t="s">
        <v>6</v>
      </c>
      <c r="F202" s="309">
        <v>7.6899999999999996E-2</v>
      </c>
      <c r="G202" s="283">
        <f>VLOOKUP(D202,upahbahan,3,FALSE)</f>
        <v>135000</v>
      </c>
      <c r="H202" s="284">
        <f t="shared" si="20"/>
        <v>10381.5</v>
      </c>
    </row>
    <row r="203" spans="3:9" ht="23.4" customHeight="1">
      <c r="C203" s="281">
        <v>3</v>
      </c>
      <c r="D203" s="182" t="s">
        <v>18</v>
      </c>
      <c r="E203" s="176" t="s">
        <v>6</v>
      </c>
      <c r="F203" s="309">
        <v>7.7000000000000002E-3</v>
      </c>
      <c r="G203" s="283">
        <f>VLOOKUP(D203,upahbahan,3,FALSE)</f>
        <v>150000</v>
      </c>
      <c r="H203" s="284">
        <f t="shared" si="20"/>
        <v>1155</v>
      </c>
    </row>
    <row r="204" spans="3:9" ht="23.4" customHeight="1">
      <c r="C204" s="281">
        <v>4</v>
      </c>
      <c r="D204" s="182" t="s">
        <v>19</v>
      </c>
      <c r="E204" s="176" t="s">
        <v>6</v>
      </c>
      <c r="F204" s="309">
        <v>2.5999999999999999E-3</v>
      </c>
      <c r="G204" s="283">
        <f>VLOOKUP(D204,upahbahan,3,FALSE)</f>
        <v>160000</v>
      </c>
      <c r="H204" s="284">
        <f t="shared" si="20"/>
        <v>416</v>
      </c>
    </row>
    <row r="205" spans="3:9" ht="23.4" customHeight="1">
      <c r="C205" s="66" t="s">
        <v>1208</v>
      </c>
      <c r="D205" s="67"/>
      <c r="E205" s="67"/>
      <c r="F205" s="142"/>
      <c r="G205" s="153"/>
      <c r="H205" s="284">
        <f>SUM(H201:H204)</f>
        <v>27332.5</v>
      </c>
      <c r="I205" s="320"/>
    </row>
    <row r="206" spans="3:9" ht="23.4" customHeight="1">
      <c r="C206" s="290" t="s">
        <v>1209</v>
      </c>
      <c r="D206" s="182" t="s">
        <v>1210</v>
      </c>
      <c r="E206" s="70"/>
      <c r="F206" s="70"/>
      <c r="G206" s="70"/>
      <c r="H206" s="71"/>
    </row>
    <row r="207" spans="3:9" ht="23.4" customHeight="1">
      <c r="C207" s="310" t="s">
        <v>1203</v>
      </c>
      <c r="D207" s="285" t="s">
        <v>522</v>
      </c>
      <c r="E207" s="176" t="s">
        <v>44</v>
      </c>
      <c r="F207" s="309">
        <v>6.5629999999999997</v>
      </c>
      <c r="G207" s="283">
        <f>VLOOKUP(D207,upahbahan,3,FALSE)</f>
        <v>6000</v>
      </c>
      <c r="H207" s="284">
        <f t="shared" ref="H207:H210" si="21">F207*G207</f>
        <v>39378</v>
      </c>
    </row>
    <row r="208" spans="3:9" ht="23.4" customHeight="1">
      <c r="C208" s="310" t="s">
        <v>1204</v>
      </c>
      <c r="D208" s="182" t="s">
        <v>2332</v>
      </c>
      <c r="E208" s="176" t="s">
        <v>65</v>
      </c>
      <c r="F208" s="282">
        <v>13.632</v>
      </c>
      <c r="G208" s="283">
        <f>VLOOKUP(D208,upahbahan,3,FALSE)</f>
        <v>1530</v>
      </c>
      <c r="H208" s="284">
        <f t="shared" si="21"/>
        <v>20856.96</v>
      </c>
    </row>
    <row r="209" spans="3:9" ht="23.4" customHeight="1">
      <c r="C209" s="310" t="s">
        <v>1205</v>
      </c>
      <c r="D209" s="182" t="s">
        <v>562</v>
      </c>
      <c r="E209" s="176" t="s">
        <v>65</v>
      </c>
      <c r="F209" s="282">
        <v>1.5</v>
      </c>
      <c r="G209" s="283">
        <f>VLOOKUP(D209,upahbahan,3,FALSE)</f>
        <v>18000</v>
      </c>
      <c r="H209" s="284">
        <f t="shared" si="21"/>
        <v>27000</v>
      </c>
    </row>
    <row r="210" spans="3:9" ht="23.4" customHeight="1">
      <c r="C210" s="310" t="s">
        <v>1206</v>
      </c>
      <c r="D210" s="285" t="s">
        <v>85</v>
      </c>
      <c r="E210" s="176" t="s">
        <v>42</v>
      </c>
      <c r="F210" s="282">
        <v>2.7E-2</v>
      </c>
      <c r="G210" s="283">
        <f>VLOOKUP(D210,upahbahan,3,FALSE)</f>
        <v>310500</v>
      </c>
      <c r="H210" s="284">
        <f t="shared" si="21"/>
        <v>8383.5</v>
      </c>
    </row>
    <row r="211" spans="3:9" ht="23.4" customHeight="1">
      <c r="C211" s="66" t="s">
        <v>1214</v>
      </c>
      <c r="D211" s="67"/>
      <c r="E211" s="67"/>
      <c r="F211" s="67"/>
      <c r="G211" s="69"/>
      <c r="H211" s="284">
        <f>SUM(H207:H210)</f>
        <v>95618.459999999992</v>
      </c>
    </row>
    <row r="212" spans="3:9" ht="23.4" customHeight="1">
      <c r="C212" s="321" t="s">
        <v>1215</v>
      </c>
      <c r="D212" s="182" t="s">
        <v>1216</v>
      </c>
      <c r="E212" s="70"/>
      <c r="F212" s="70"/>
      <c r="G212" s="70"/>
      <c r="H212" s="71"/>
    </row>
    <row r="213" spans="3:9" ht="23.4" customHeight="1">
      <c r="C213" s="66" t="s">
        <v>1217</v>
      </c>
      <c r="D213" s="67"/>
      <c r="E213" s="67"/>
      <c r="F213" s="67"/>
      <c r="G213" s="69"/>
      <c r="H213" s="292">
        <v>0</v>
      </c>
    </row>
    <row r="214" spans="3:9" ht="23.4" customHeight="1">
      <c r="C214" s="293" t="s">
        <v>1218</v>
      </c>
      <c r="D214" s="294" t="s">
        <v>1219</v>
      </c>
      <c r="E214" s="295"/>
      <c r="F214" s="295"/>
      <c r="G214" s="296"/>
      <c r="H214" s="284">
        <f>H213+H211+H205</f>
        <v>122950.95999999999</v>
      </c>
    </row>
    <row r="215" spans="3:9" ht="23.4" customHeight="1">
      <c r="C215" s="293" t="s">
        <v>1220</v>
      </c>
      <c r="D215" s="294" t="s">
        <v>1402</v>
      </c>
      <c r="E215" s="295"/>
      <c r="F215" s="296"/>
      <c r="G215" s="486" t="s">
        <v>1403</v>
      </c>
      <c r="H215" s="284">
        <f>H214*10%</f>
        <v>12295.096</v>
      </c>
    </row>
    <row r="216" spans="3:9" ht="23.4" customHeight="1" thickBot="1">
      <c r="C216" s="299" t="s">
        <v>1221</v>
      </c>
      <c r="D216" s="300" t="s">
        <v>1222</v>
      </c>
      <c r="E216" s="301"/>
      <c r="F216" s="301"/>
      <c r="G216" s="302"/>
      <c r="H216" s="303">
        <f>SUM(H214:H215)</f>
        <v>135246.05599999998</v>
      </c>
    </row>
    <row r="217" spans="3:9" ht="14.4" thickTop="1">
      <c r="C217" s="289"/>
      <c r="D217" s="297"/>
      <c r="E217" s="297"/>
      <c r="F217" s="297"/>
      <c r="G217" s="297"/>
      <c r="H217" s="139"/>
    </row>
    <row r="218" spans="3:9" ht="14.4" thickBot="1">
      <c r="C218" s="47" t="s">
        <v>2858</v>
      </c>
      <c r="D218" s="485" t="s">
        <v>1414</v>
      </c>
      <c r="E218" s="485"/>
      <c r="F218" s="485"/>
      <c r="G218" s="485"/>
      <c r="H218" s="485"/>
      <c r="I218" s="120">
        <f>ROUNDDOWN(H236,-2)</f>
        <v>129200</v>
      </c>
    </row>
    <row r="219" spans="3:9" ht="28.2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</row>
    <row r="220" spans="3:9" ht="23.4" customHeight="1">
      <c r="C220" s="290" t="s">
        <v>1201</v>
      </c>
      <c r="D220" s="182" t="s">
        <v>1202</v>
      </c>
      <c r="E220" s="70"/>
      <c r="F220" s="70"/>
      <c r="G220" s="70"/>
      <c r="H220" s="71"/>
    </row>
    <row r="221" spans="3:9" ht="23.4" customHeight="1">
      <c r="C221" s="281">
        <v>1</v>
      </c>
      <c r="D221" s="182" t="s">
        <v>5</v>
      </c>
      <c r="E221" s="176" t="s">
        <v>6</v>
      </c>
      <c r="F221" s="315">
        <v>0.25</v>
      </c>
      <c r="G221" s="283">
        <f>VLOOKUP(D221,upahbahan,3,FALSE)</f>
        <v>100000</v>
      </c>
      <c r="H221" s="284">
        <f t="shared" ref="H221:H224" si="22">F221*G221</f>
        <v>25000</v>
      </c>
    </row>
    <row r="222" spans="3:9" ht="23.4" customHeight="1">
      <c r="C222" s="281">
        <v>2</v>
      </c>
      <c r="D222" s="182" t="s">
        <v>7</v>
      </c>
      <c r="E222" s="176" t="s">
        <v>6</v>
      </c>
      <c r="F222" s="315">
        <v>8.3299999999999999E-2</v>
      </c>
      <c r="G222" s="283">
        <f>VLOOKUP(D222,upahbahan,3,FALSE)</f>
        <v>135000</v>
      </c>
      <c r="H222" s="284">
        <f t="shared" si="22"/>
        <v>11245.5</v>
      </c>
    </row>
    <row r="223" spans="3:9" ht="23.4" customHeight="1">
      <c r="C223" s="281">
        <v>3</v>
      </c>
      <c r="D223" s="182" t="s">
        <v>18</v>
      </c>
      <c r="E223" s="176" t="s">
        <v>6</v>
      </c>
      <c r="F223" s="315">
        <v>8.3000000000000001E-3</v>
      </c>
      <c r="G223" s="283">
        <f>VLOOKUP(D223,upahbahan,3,FALSE)</f>
        <v>150000</v>
      </c>
      <c r="H223" s="284">
        <f t="shared" si="22"/>
        <v>1245</v>
      </c>
    </row>
    <row r="224" spans="3:9" ht="23.4" customHeight="1">
      <c r="C224" s="281">
        <v>4</v>
      </c>
      <c r="D224" s="182" t="s">
        <v>19</v>
      </c>
      <c r="E224" s="176" t="s">
        <v>6</v>
      </c>
      <c r="F224" s="315">
        <v>2.8E-3</v>
      </c>
      <c r="G224" s="283">
        <f>VLOOKUP(D224,upahbahan,3,FALSE)</f>
        <v>160000</v>
      </c>
      <c r="H224" s="284">
        <f t="shared" si="22"/>
        <v>448</v>
      </c>
    </row>
    <row r="225" spans="3:9" ht="23.4" customHeight="1">
      <c r="C225" s="66" t="s">
        <v>1208</v>
      </c>
      <c r="D225" s="67"/>
      <c r="E225" s="67"/>
      <c r="F225" s="142"/>
      <c r="G225" s="153"/>
      <c r="H225" s="284">
        <f>SUM(H221:H224)</f>
        <v>37938.5</v>
      </c>
      <c r="I225" s="320"/>
    </row>
    <row r="226" spans="3:9" ht="23.4" customHeight="1">
      <c r="C226" s="290" t="s">
        <v>1209</v>
      </c>
      <c r="D226" s="182" t="s">
        <v>1210</v>
      </c>
      <c r="E226" s="70"/>
      <c r="F226" s="70"/>
      <c r="G226" s="70"/>
      <c r="H226" s="71"/>
    </row>
    <row r="227" spans="3:9" ht="23.4" customHeight="1">
      <c r="C227" s="310" t="s">
        <v>1203</v>
      </c>
      <c r="D227" s="285" t="s">
        <v>523</v>
      </c>
      <c r="E227" s="176" t="s">
        <v>44</v>
      </c>
      <c r="F227" s="309">
        <v>2.9169999999999998</v>
      </c>
      <c r="G227" s="283">
        <f>VLOOKUP(D227,upahbahan,3,FALSE)</f>
        <v>8000</v>
      </c>
      <c r="H227" s="284">
        <f t="shared" ref="H227:H230" si="23">F227*G227</f>
        <v>23336</v>
      </c>
    </row>
    <row r="228" spans="3:9" ht="23.4" customHeight="1">
      <c r="C228" s="310" t="s">
        <v>1204</v>
      </c>
      <c r="D228" s="182" t="s">
        <v>2332</v>
      </c>
      <c r="E228" s="176" t="s">
        <v>65</v>
      </c>
      <c r="F228" s="282">
        <v>13.632</v>
      </c>
      <c r="G228" s="283">
        <f>VLOOKUP(D228,upahbahan,3,FALSE)</f>
        <v>1530</v>
      </c>
      <c r="H228" s="284">
        <f t="shared" si="23"/>
        <v>20856.96</v>
      </c>
    </row>
    <row r="229" spans="3:9" ht="23.4" customHeight="1">
      <c r="C229" s="310" t="s">
        <v>1205</v>
      </c>
      <c r="D229" s="182" t="s">
        <v>562</v>
      </c>
      <c r="E229" s="176" t="s">
        <v>65</v>
      </c>
      <c r="F229" s="282">
        <v>1.5</v>
      </c>
      <c r="G229" s="283">
        <f>VLOOKUP(D229,upahbahan,3,FALSE)</f>
        <v>18000</v>
      </c>
      <c r="H229" s="284">
        <f t="shared" si="23"/>
        <v>27000</v>
      </c>
    </row>
    <row r="230" spans="3:9" ht="23.4" customHeight="1">
      <c r="C230" s="310" t="s">
        <v>1206</v>
      </c>
      <c r="D230" s="285" t="s">
        <v>85</v>
      </c>
      <c r="E230" s="176" t="s">
        <v>42</v>
      </c>
      <c r="F230" s="282">
        <v>2.7E-2</v>
      </c>
      <c r="G230" s="283">
        <f>VLOOKUP(D230,upahbahan,3,FALSE)</f>
        <v>310500</v>
      </c>
      <c r="H230" s="284">
        <f t="shared" si="23"/>
        <v>8383.5</v>
      </c>
    </row>
    <row r="231" spans="3:9" ht="23.4" customHeight="1">
      <c r="C231" s="66" t="s">
        <v>1214</v>
      </c>
      <c r="D231" s="67"/>
      <c r="E231" s="67"/>
      <c r="F231" s="67"/>
      <c r="G231" s="69"/>
      <c r="H231" s="284">
        <f>SUM(H227:H230)</f>
        <v>79576.459999999992</v>
      </c>
    </row>
    <row r="232" spans="3:9" ht="23.4" customHeight="1">
      <c r="C232" s="321" t="s">
        <v>1215</v>
      </c>
      <c r="D232" s="182" t="s">
        <v>1216</v>
      </c>
      <c r="E232" s="70"/>
      <c r="F232" s="70"/>
      <c r="G232" s="70"/>
      <c r="H232" s="71"/>
    </row>
    <row r="233" spans="3:9" ht="23.4" customHeight="1">
      <c r="C233" s="66" t="s">
        <v>1217</v>
      </c>
      <c r="D233" s="67"/>
      <c r="E233" s="67"/>
      <c r="F233" s="67"/>
      <c r="G233" s="69"/>
      <c r="H233" s="292">
        <v>0</v>
      </c>
    </row>
    <row r="234" spans="3:9" ht="23.4" customHeight="1">
      <c r="C234" s="293" t="s">
        <v>1218</v>
      </c>
      <c r="D234" s="294" t="s">
        <v>1219</v>
      </c>
      <c r="E234" s="295"/>
      <c r="F234" s="295"/>
      <c r="G234" s="296"/>
      <c r="H234" s="284">
        <f>H233+H231+H225</f>
        <v>117514.95999999999</v>
      </c>
    </row>
    <row r="235" spans="3:9" ht="23.4" customHeight="1">
      <c r="C235" s="293" t="s">
        <v>1220</v>
      </c>
      <c r="D235" s="294" t="s">
        <v>1402</v>
      </c>
      <c r="E235" s="295"/>
      <c r="F235" s="296"/>
      <c r="G235" s="486" t="s">
        <v>1403</v>
      </c>
      <c r="H235" s="284">
        <f>H234*10%</f>
        <v>11751.495999999999</v>
      </c>
    </row>
    <row r="236" spans="3:9" ht="23.4" customHeight="1" thickBot="1">
      <c r="C236" s="299" t="s">
        <v>1221</v>
      </c>
      <c r="D236" s="300" t="s">
        <v>1222</v>
      </c>
      <c r="E236" s="301"/>
      <c r="F236" s="301"/>
      <c r="G236" s="302"/>
      <c r="H236" s="303">
        <f>SUM(H234:H235)</f>
        <v>129266.45599999999</v>
      </c>
    </row>
    <row r="237" spans="3:9" ht="14.4" thickTop="1">
      <c r="C237" s="289"/>
      <c r="D237" s="297"/>
      <c r="E237" s="297"/>
      <c r="F237" s="297"/>
      <c r="G237" s="297"/>
      <c r="H237" s="139"/>
    </row>
    <row r="238" spans="3:9" ht="14.4" thickBot="1">
      <c r="C238" s="47" t="s">
        <v>2859</v>
      </c>
      <c r="D238" s="485" t="s">
        <v>1415</v>
      </c>
      <c r="E238" s="485"/>
      <c r="F238" s="485"/>
      <c r="G238" s="485"/>
      <c r="H238" s="485"/>
      <c r="I238" s="120">
        <f>ROUNDDOWN(H256,-2)</f>
        <v>27400</v>
      </c>
    </row>
    <row r="239" spans="3:9" ht="28.2" thickTop="1">
      <c r="C239" s="51" t="s">
        <v>1195</v>
      </c>
      <c r="D239" s="52" t="s">
        <v>1196</v>
      </c>
      <c r="E239" s="52" t="s">
        <v>1197</v>
      </c>
      <c r="F239" s="52" t="s">
        <v>1198</v>
      </c>
      <c r="G239" s="52" t="s">
        <v>1199</v>
      </c>
      <c r="H239" s="53" t="s">
        <v>1200</v>
      </c>
    </row>
    <row r="240" spans="3:9" ht="23.4" customHeight="1">
      <c r="C240" s="290" t="s">
        <v>1201</v>
      </c>
      <c r="D240" s="182" t="s">
        <v>1202</v>
      </c>
      <c r="E240" s="70"/>
      <c r="F240" s="70"/>
      <c r="G240" s="70"/>
      <c r="H240" s="71"/>
    </row>
    <row r="241" spans="3:9" ht="23.4" customHeight="1">
      <c r="C241" s="281">
        <v>1</v>
      </c>
      <c r="D241" s="182" t="s">
        <v>5</v>
      </c>
      <c r="E241" s="176" t="s">
        <v>6</v>
      </c>
      <c r="F241" s="315">
        <v>5.7099999999999998E-2</v>
      </c>
      <c r="G241" s="283">
        <f>VLOOKUP(D241,upahbahan,3,FALSE)</f>
        <v>100000</v>
      </c>
      <c r="H241" s="284">
        <f t="shared" ref="H241:H244" si="24">F241*G241</f>
        <v>5710</v>
      </c>
    </row>
    <row r="242" spans="3:9" ht="23.4" customHeight="1">
      <c r="C242" s="281">
        <v>2</v>
      </c>
      <c r="D242" s="182" t="s">
        <v>7</v>
      </c>
      <c r="E242" s="176" t="s">
        <v>6</v>
      </c>
      <c r="F242" s="315">
        <v>2.86E-2</v>
      </c>
      <c r="G242" s="283">
        <f>VLOOKUP(D242,upahbahan,3,FALSE)</f>
        <v>135000</v>
      </c>
      <c r="H242" s="284">
        <f t="shared" si="24"/>
        <v>3861</v>
      </c>
    </row>
    <row r="243" spans="3:9" ht="23.4" customHeight="1">
      <c r="C243" s="281">
        <v>3</v>
      </c>
      <c r="D243" s="182" t="s">
        <v>18</v>
      </c>
      <c r="E243" s="176" t="s">
        <v>6</v>
      </c>
      <c r="F243" s="315">
        <v>2.8999999999999998E-3</v>
      </c>
      <c r="G243" s="283">
        <f>VLOOKUP(D243,upahbahan,3,FALSE)</f>
        <v>150000</v>
      </c>
      <c r="H243" s="284">
        <f t="shared" si="24"/>
        <v>434.99999999999994</v>
      </c>
    </row>
    <row r="244" spans="3:9" ht="23.4" customHeight="1">
      <c r="C244" s="281">
        <v>4</v>
      </c>
      <c r="D244" s="182" t="s">
        <v>19</v>
      </c>
      <c r="E244" s="176" t="s">
        <v>6</v>
      </c>
      <c r="F244" s="315">
        <v>1E-3</v>
      </c>
      <c r="G244" s="283">
        <f>VLOOKUP(D244,upahbahan,3,FALSE)</f>
        <v>160000</v>
      </c>
      <c r="H244" s="284">
        <f t="shared" si="24"/>
        <v>160</v>
      </c>
    </row>
    <row r="245" spans="3:9" ht="23.4" customHeight="1">
      <c r="C245" s="66" t="s">
        <v>1208</v>
      </c>
      <c r="D245" s="67"/>
      <c r="E245" s="67"/>
      <c r="F245" s="142"/>
      <c r="G245" s="153"/>
      <c r="H245" s="284">
        <f>SUM(H241:H244)</f>
        <v>10166</v>
      </c>
      <c r="I245" s="320"/>
    </row>
    <row r="246" spans="3:9" ht="23.4" customHeight="1">
      <c r="C246" s="290" t="s">
        <v>1209</v>
      </c>
      <c r="D246" s="182" t="s">
        <v>1210</v>
      </c>
      <c r="E246" s="70"/>
      <c r="F246" s="70"/>
      <c r="G246" s="70"/>
      <c r="H246" s="71"/>
    </row>
    <row r="247" spans="3:9" ht="23.4" customHeight="1">
      <c r="C247" s="310" t="s">
        <v>1203</v>
      </c>
      <c r="D247" s="285" t="s">
        <v>490</v>
      </c>
      <c r="E247" s="176" t="s">
        <v>44</v>
      </c>
      <c r="F247" s="282">
        <v>5.25</v>
      </c>
      <c r="G247" s="283">
        <f>VLOOKUP(D247,upahbahan,3,FALSE)</f>
        <v>1500</v>
      </c>
      <c r="H247" s="284">
        <f t="shared" ref="H247:H250" si="25">F247*G247</f>
        <v>7875</v>
      </c>
    </row>
    <row r="248" spans="3:9" ht="23.4" customHeight="1">
      <c r="C248" s="310" t="s">
        <v>1204</v>
      </c>
      <c r="D248" s="182" t="s">
        <v>2332</v>
      </c>
      <c r="E248" s="176" t="s">
        <v>65</v>
      </c>
      <c r="F248" s="282">
        <v>1.704</v>
      </c>
      <c r="G248" s="283">
        <f>VLOOKUP(D248,upahbahan,3,FALSE)</f>
        <v>1530</v>
      </c>
      <c r="H248" s="284">
        <f t="shared" si="25"/>
        <v>2607.12</v>
      </c>
    </row>
    <row r="249" spans="3:9" ht="23.4" customHeight="1">
      <c r="C249" s="310" t="s">
        <v>1205</v>
      </c>
      <c r="D249" s="182" t="s">
        <v>562</v>
      </c>
      <c r="E249" s="176" t="s">
        <v>65</v>
      </c>
      <c r="F249" s="282">
        <v>0.188</v>
      </c>
      <c r="G249" s="283">
        <f>VLOOKUP(D249,upahbahan,3,FALSE)</f>
        <v>18000</v>
      </c>
      <c r="H249" s="284">
        <f t="shared" si="25"/>
        <v>3384</v>
      </c>
    </row>
    <row r="250" spans="3:9" ht="23.4" customHeight="1">
      <c r="C250" s="310" t="s">
        <v>1206</v>
      </c>
      <c r="D250" s="285" t="s">
        <v>85</v>
      </c>
      <c r="E250" s="176" t="s">
        <v>42</v>
      </c>
      <c r="F250" s="282">
        <v>3.0000000000000001E-3</v>
      </c>
      <c r="G250" s="283">
        <f>VLOOKUP(D250,upahbahan,3,FALSE)</f>
        <v>310500</v>
      </c>
      <c r="H250" s="284">
        <f t="shared" si="25"/>
        <v>931.5</v>
      </c>
    </row>
    <row r="251" spans="3:9" ht="23.4" customHeight="1">
      <c r="C251" s="66" t="s">
        <v>1214</v>
      </c>
      <c r="D251" s="67"/>
      <c r="E251" s="67"/>
      <c r="F251" s="67"/>
      <c r="G251" s="69"/>
      <c r="H251" s="284">
        <f>SUM(H247:H250)</f>
        <v>14797.619999999999</v>
      </c>
    </row>
    <row r="252" spans="3:9" ht="23.4" customHeight="1">
      <c r="C252" s="321" t="s">
        <v>1215</v>
      </c>
      <c r="D252" s="182" t="s">
        <v>1216</v>
      </c>
      <c r="E252" s="70"/>
      <c r="F252" s="70"/>
      <c r="G252" s="70"/>
      <c r="H252" s="71"/>
    </row>
    <row r="253" spans="3:9" ht="23.4" customHeight="1">
      <c r="C253" s="66" t="s">
        <v>1217</v>
      </c>
      <c r="D253" s="67"/>
      <c r="E253" s="67"/>
      <c r="F253" s="67"/>
      <c r="G253" s="69"/>
      <c r="H253" s="292">
        <v>0</v>
      </c>
    </row>
    <row r="254" spans="3:9" ht="23.4" customHeight="1">
      <c r="C254" s="293" t="s">
        <v>1218</v>
      </c>
      <c r="D254" s="294" t="s">
        <v>1219</v>
      </c>
      <c r="E254" s="295"/>
      <c r="F254" s="295"/>
      <c r="G254" s="296"/>
      <c r="H254" s="284">
        <f>H253+H251+H245</f>
        <v>24963.62</v>
      </c>
    </row>
    <row r="255" spans="3:9" ht="23.4" customHeight="1">
      <c r="C255" s="293" t="s">
        <v>1220</v>
      </c>
      <c r="D255" s="294" t="s">
        <v>1402</v>
      </c>
      <c r="E255" s="295"/>
      <c r="F255" s="296"/>
      <c r="G255" s="486" t="s">
        <v>1403</v>
      </c>
      <c r="H255" s="284">
        <f>H254*10%</f>
        <v>2496.3620000000001</v>
      </c>
    </row>
    <row r="256" spans="3:9" ht="23.4" customHeight="1" thickBot="1">
      <c r="C256" s="299" t="s">
        <v>1221</v>
      </c>
      <c r="D256" s="300" t="s">
        <v>1222</v>
      </c>
      <c r="E256" s="301"/>
      <c r="F256" s="301"/>
      <c r="G256" s="302"/>
      <c r="H256" s="303">
        <f>SUM(H254:H255)</f>
        <v>27459.982</v>
      </c>
    </row>
    <row r="257" spans="3:9" ht="14.4" thickTop="1">
      <c r="C257" s="289"/>
      <c r="D257" s="297"/>
      <c r="E257" s="297"/>
      <c r="F257" s="297"/>
      <c r="G257" s="297"/>
      <c r="H257" s="139"/>
    </row>
    <row r="258" spans="3:9" ht="15.75" customHeight="1" thickBot="1">
      <c r="C258" s="119" t="s">
        <v>2860</v>
      </c>
      <c r="D258" s="482" t="s">
        <v>1416</v>
      </c>
      <c r="E258" s="482"/>
      <c r="F258" s="482"/>
      <c r="G258" s="482"/>
      <c r="H258" s="482"/>
      <c r="I258" s="120">
        <f>ROUNDDOWN(H276,-2)</f>
        <v>27500</v>
      </c>
    </row>
    <row r="259" spans="3:9" ht="28.2" thickTop="1">
      <c r="C259" s="51" t="s">
        <v>1195</v>
      </c>
      <c r="D259" s="52" t="s">
        <v>1196</v>
      </c>
      <c r="E259" s="52" t="s">
        <v>1197</v>
      </c>
      <c r="F259" s="52" t="s">
        <v>1198</v>
      </c>
      <c r="G259" s="52" t="s">
        <v>1199</v>
      </c>
      <c r="H259" s="53" t="s">
        <v>1200</v>
      </c>
    </row>
    <row r="260" spans="3:9" ht="23.4" customHeight="1">
      <c r="C260" s="290" t="s">
        <v>1201</v>
      </c>
      <c r="D260" s="182" t="s">
        <v>1202</v>
      </c>
      <c r="E260" s="70"/>
      <c r="F260" s="70"/>
      <c r="G260" s="70"/>
      <c r="H260" s="71"/>
    </row>
    <row r="261" spans="3:9" ht="23.4" customHeight="1">
      <c r="C261" s="281">
        <v>1</v>
      </c>
      <c r="D261" s="182" t="s">
        <v>5</v>
      </c>
      <c r="E261" s="176" t="s">
        <v>6</v>
      </c>
      <c r="F261" s="315">
        <v>6.25E-2</v>
      </c>
      <c r="G261" s="283">
        <f>VLOOKUP(D261,upahbahan,3,FALSE)</f>
        <v>100000</v>
      </c>
      <c r="H261" s="284">
        <f>F261*G261</f>
        <v>6250</v>
      </c>
    </row>
    <row r="262" spans="3:9" ht="23.4" customHeight="1">
      <c r="C262" s="281">
        <v>2</v>
      </c>
      <c r="D262" s="182" t="s">
        <v>7</v>
      </c>
      <c r="E262" s="176" t="s">
        <v>6</v>
      </c>
      <c r="F262" s="315">
        <v>3.1300000000000001E-2</v>
      </c>
      <c r="G262" s="283">
        <f>VLOOKUP(D262,upahbahan,3,FALSE)</f>
        <v>135000</v>
      </c>
      <c r="H262" s="284">
        <f t="shared" ref="H262:H263" si="26">F262*G262</f>
        <v>4225.5</v>
      </c>
    </row>
    <row r="263" spans="3:9" ht="23.4" customHeight="1">
      <c r="C263" s="281">
        <v>3</v>
      </c>
      <c r="D263" s="182" t="s">
        <v>18</v>
      </c>
      <c r="E263" s="176" t="s">
        <v>6</v>
      </c>
      <c r="F263" s="315">
        <v>3.0999999999999999E-3</v>
      </c>
      <c r="G263" s="283">
        <f>VLOOKUP(D263,upahbahan,3,FALSE)</f>
        <v>150000</v>
      </c>
      <c r="H263" s="284">
        <f t="shared" si="26"/>
        <v>465</v>
      </c>
    </row>
    <row r="264" spans="3:9" ht="23.4" customHeight="1">
      <c r="C264" s="281">
        <v>4</v>
      </c>
      <c r="D264" s="182" t="s">
        <v>19</v>
      </c>
      <c r="E264" s="176" t="s">
        <v>6</v>
      </c>
      <c r="F264" s="315">
        <v>1E-3</v>
      </c>
      <c r="G264" s="283">
        <f>VLOOKUP(D264,upahbahan,3,FALSE)</f>
        <v>160000</v>
      </c>
      <c r="H264" s="284">
        <f>F264*G264</f>
        <v>160</v>
      </c>
    </row>
    <row r="265" spans="3:9" ht="23.4" customHeight="1">
      <c r="C265" s="66" t="s">
        <v>1208</v>
      </c>
      <c r="D265" s="67"/>
      <c r="E265" s="67"/>
      <c r="F265" s="142"/>
      <c r="G265" s="153"/>
      <c r="H265" s="284">
        <f>SUM(H261:H264)</f>
        <v>11100.5</v>
      </c>
      <c r="I265" s="320"/>
    </row>
    <row r="266" spans="3:9" ht="23.4" customHeight="1">
      <c r="C266" s="290" t="s">
        <v>1209</v>
      </c>
      <c r="D266" s="182" t="s">
        <v>1210</v>
      </c>
      <c r="E266" s="70"/>
      <c r="F266" s="70"/>
      <c r="G266" s="70"/>
      <c r="H266" s="71"/>
    </row>
    <row r="267" spans="3:9" ht="23.4" customHeight="1">
      <c r="C267" s="310" t="s">
        <v>1203</v>
      </c>
      <c r="D267" s="285" t="s">
        <v>491</v>
      </c>
      <c r="E267" s="176" t="s">
        <v>44</v>
      </c>
      <c r="F267" s="282">
        <v>3.5</v>
      </c>
      <c r="G267" s="283">
        <f>VLOOKUP(D267,upahbahan,3,FALSE)</f>
        <v>2000</v>
      </c>
      <c r="H267" s="284">
        <f>F267*G267</f>
        <v>7000</v>
      </c>
    </row>
    <row r="268" spans="3:9" ht="23.4" customHeight="1">
      <c r="C268" s="310" t="s">
        <v>1204</v>
      </c>
      <c r="D268" s="182" t="s">
        <v>2332</v>
      </c>
      <c r="E268" s="176" t="s">
        <v>65</v>
      </c>
      <c r="F268" s="282">
        <v>1.704</v>
      </c>
      <c r="G268" s="283">
        <f>VLOOKUP(D268,upahbahan,3,FALSE)</f>
        <v>1530</v>
      </c>
      <c r="H268" s="284">
        <f t="shared" ref="H268:H270" si="27">F268*G268</f>
        <v>2607.12</v>
      </c>
    </row>
    <row r="269" spans="3:9" ht="23.4" customHeight="1">
      <c r="C269" s="310" t="s">
        <v>1205</v>
      </c>
      <c r="D269" s="182" t="s">
        <v>562</v>
      </c>
      <c r="E269" s="176" t="s">
        <v>65</v>
      </c>
      <c r="F269" s="282">
        <v>0.188</v>
      </c>
      <c r="G269" s="283">
        <f>VLOOKUP(D269,upahbahan,3,FALSE)</f>
        <v>18000</v>
      </c>
      <c r="H269" s="284">
        <f t="shared" si="27"/>
        <v>3384</v>
      </c>
    </row>
    <row r="270" spans="3:9" ht="23.4" customHeight="1">
      <c r="C270" s="310" t="s">
        <v>1206</v>
      </c>
      <c r="D270" s="285" t="s">
        <v>85</v>
      </c>
      <c r="E270" s="176" t="s">
        <v>42</v>
      </c>
      <c r="F270" s="282">
        <v>3.0000000000000001E-3</v>
      </c>
      <c r="G270" s="283">
        <f>VLOOKUP(D270,upahbahan,3,FALSE)</f>
        <v>310500</v>
      </c>
      <c r="H270" s="284">
        <f t="shared" si="27"/>
        <v>931.5</v>
      </c>
    </row>
    <row r="271" spans="3:9" ht="23.4" customHeight="1">
      <c r="C271" s="66" t="s">
        <v>1214</v>
      </c>
      <c r="D271" s="67"/>
      <c r="E271" s="67"/>
      <c r="F271" s="67"/>
      <c r="G271" s="69"/>
      <c r="H271" s="284">
        <f>SUM(H267:H270)</f>
        <v>13922.619999999999</v>
      </c>
    </row>
    <row r="272" spans="3:9" ht="23.4" customHeight="1">
      <c r="C272" s="321" t="s">
        <v>1215</v>
      </c>
      <c r="D272" s="182" t="s">
        <v>1216</v>
      </c>
      <c r="E272" s="70"/>
      <c r="F272" s="70"/>
      <c r="G272" s="70"/>
      <c r="H272" s="71"/>
    </row>
    <row r="273" spans="3:9" ht="23.4" customHeight="1">
      <c r="C273" s="66" t="s">
        <v>1217</v>
      </c>
      <c r="D273" s="67"/>
      <c r="E273" s="67"/>
      <c r="F273" s="67"/>
      <c r="G273" s="69"/>
      <c r="H273" s="292">
        <v>0</v>
      </c>
    </row>
    <row r="274" spans="3:9" ht="23.4" customHeight="1">
      <c r="C274" s="293" t="s">
        <v>1218</v>
      </c>
      <c r="D274" s="294" t="s">
        <v>1219</v>
      </c>
      <c r="E274" s="295"/>
      <c r="F274" s="295"/>
      <c r="G274" s="296"/>
      <c r="H274" s="284">
        <f>H273+H271+H265</f>
        <v>25023.119999999999</v>
      </c>
    </row>
    <row r="275" spans="3:9" ht="23.4" customHeight="1">
      <c r="C275" s="293" t="s">
        <v>1220</v>
      </c>
      <c r="D275" s="294" t="s">
        <v>1402</v>
      </c>
      <c r="E275" s="295"/>
      <c r="F275" s="296"/>
      <c r="G275" s="298">
        <v>0.1</v>
      </c>
      <c r="H275" s="284">
        <f>H274*G275</f>
        <v>2502.3119999999999</v>
      </c>
    </row>
    <row r="276" spans="3:9" ht="23.4" customHeight="1" thickBot="1">
      <c r="C276" s="299" t="s">
        <v>1221</v>
      </c>
      <c r="D276" s="300" t="s">
        <v>1222</v>
      </c>
      <c r="E276" s="301"/>
      <c r="F276" s="301"/>
      <c r="G276" s="302"/>
      <c r="H276" s="303">
        <f>SUM(H274:H275)</f>
        <v>27525.432000000001</v>
      </c>
    </row>
    <row r="277" spans="3:9" ht="14.4" thickTop="1">
      <c r="C277" s="304"/>
      <c r="D277" s="304"/>
      <c r="E277" s="304"/>
      <c r="F277" s="304"/>
      <c r="G277" s="304"/>
      <c r="H277" s="305"/>
    </row>
    <row r="278" spans="3:9" ht="15.75" customHeight="1" thickBot="1">
      <c r="C278" s="119" t="s">
        <v>2861</v>
      </c>
      <c r="D278" s="483" t="s">
        <v>1417</v>
      </c>
      <c r="E278" s="483"/>
      <c r="F278" s="483"/>
      <c r="G278" s="483"/>
      <c r="H278" s="483"/>
      <c r="I278" s="120">
        <f>ROUNDDOWN(H296,-2)</f>
        <v>8683100</v>
      </c>
    </row>
    <row r="279" spans="3:9" ht="28.2" thickTop="1">
      <c r="C279" s="51" t="s">
        <v>1195</v>
      </c>
      <c r="D279" s="52" t="s">
        <v>1196</v>
      </c>
      <c r="E279" s="52" t="s">
        <v>1197</v>
      </c>
      <c r="F279" s="52" t="s">
        <v>1198</v>
      </c>
      <c r="G279" s="52" t="s">
        <v>1199</v>
      </c>
      <c r="H279" s="53" t="s">
        <v>1200</v>
      </c>
    </row>
    <row r="280" spans="3:9" ht="23.4" customHeight="1">
      <c r="C280" s="290" t="s">
        <v>1201</v>
      </c>
      <c r="D280" s="182" t="s">
        <v>1202</v>
      </c>
      <c r="E280" s="70"/>
      <c r="F280" s="70"/>
      <c r="G280" s="70"/>
      <c r="H280" s="71"/>
    </row>
    <row r="281" spans="3:9" ht="23.4" customHeight="1">
      <c r="C281" s="281">
        <v>1</v>
      </c>
      <c r="D281" s="182" t="s">
        <v>5</v>
      </c>
      <c r="E281" s="176" t="s">
        <v>6</v>
      </c>
      <c r="F281" s="309">
        <v>6.6699999999999995E-2</v>
      </c>
      <c r="G281" s="283">
        <f>VLOOKUP(D281,upahbahan,3,FALSE)</f>
        <v>100000</v>
      </c>
      <c r="H281" s="284">
        <f t="shared" ref="H281:H284" si="28">F281*G281</f>
        <v>6669.9999999999991</v>
      </c>
    </row>
    <row r="282" spans="3:9" ht="23.4" customHeight="1">
      <c r="C282" s="281">
        <v>2</v>
      </c>
      <c r="D282" s="182" t="s">
        <v>7</v>
      </c>
      <c r="E282" s="176" t="s">
        <v>6</v>
      </c>
      <c r="F282" s="309">
        <v>3.3300000000000003E-2</v>
      </c>
      <c r="G282" s="283">
        <f>VLOOKUP(D282,upahbahan,3,FALSE)</f>
        <v>135000</v>
      </c>
      <c r="H282" s="284">
        <f t="shared" si="28"/>
        <v>4495.5</v>
      </c>
    </row>
    <row r="283" spans="3:9" ht="23.4" customHeight="1">
      <c r="C283" s="281">
        <v>3</v>
      </c>
      <c r="D283" s="182" t="s">
        <v>18</v>
      </c>
      <c r="E283" s="176" t="s">
        <v>6</v>
      </c>
      <c r="F283" s="309">
        <v>3.3E-3</v>
      </c>
      <c r="G283" s="283">
        <f>VLOOKUP(D283,upahbahan,3,FALSE)</f>
        <v>150000</v>
      </c>
      <c r="H283" s="284">
        <f t="shared" si="28"/>
        <v>495</v>
      </c>
    </row>
    <row r="284" spans="3:9" ht="23.4" customHeight="1">
      <c r="C284" s="281">
        <v>4</v>
      </c>
      <c r="D284" s="182" t="s">
        <v>19</v>
      </c>
      <c r="E284" s="176" t="s">
        <v>6</v>
      </c>
      <c r="F284" s="309">
        <v>1.1000000000000001E-3</v>
      </c>
      <c r="G284" s="283">
        <f>VLOOKUP(D284,upahbahan,3,FALSE)</f>
        <v>160000</v>
      </c>
      <c r="H284" s="284">
        <f t="shared" si="28"/>
        <v>176</v>
      </c>
    </row>
    <row r="285" spans="3:9" ht="23.4" customHeight="1">
      <c r="C285" s="66" t="s">
        <v>1208</v>
      </c>
      <c r="D285" s="67"/>
      <c r="E285" s="67"/>
      <c r="F285" s="142"/>
      <c r="G285" s="153"/>
      <c r="H285" s="284">
        <f>SUM(H281:H284)</f>
        <v>11836.5</v>
      </c>
      <c r="I285" s="320"/>
    </row>
    <row r="286" spans="3:9" ht="23.4" customHeight="1">
      <c r="C286" s="290" t="s">
        <v>1209</v>
      </c>
      <c r="D286" s="182" t="s">
        <v>1210</v>
      </c>
      <c r="E286" s="70"/>
      <c r="F286" s="70"/>
      <c r="G286" s="70"/>
      <c r="H286" s="71"/>
    </row>
    <row r="287" spans="3:9" ht="23.4" customHeight="1">
      <c r="C287" s="310" t="s">
        <v>1203</v>
      </c>
      <c r="D287" s="285" t="s">
        <v>492</v>
      </c>
      <c r="E287" s="176" t="s">
        <v>44</v>
      </c>
      <c r="F287" s="282" t="s">
        <v>1418</v>
      </c>
      <c r="G287" s="283">
        <f>VLOOKUP(D287,upahbahan,3,FALSE)</f>
        <v>3000</v>
      </c>
      <c r="H287" s="284">
        <f t="shared" ref="H287:H290" si="29">F287*G287</f>
        <v>7875000</v>
      </c>
    </row>
    <row r="288" spans="3:9" ht="23.4" customHeight="1">
      <c r="C288" s="310" t="s">
        <v>1204</v>
      </c>
      <c r="D288" s="182" t="s">
        <v>2332</v>
      </c>
      <c r="E288" s="176" t="s">
        <v>65</v>
      </c>
      <c r="F288" s="282">
        <v>1.704</v>
      </c>
      <c r="G288" s="283">
        <f>VLOOKUP(D288,upahbahan,3,FALSE)</f>
        <v>1530</v>
      </c>
      <c r="H288" s="284">
        <f t="shared" si="29"/>
        <v>2607.12</v>
      </c>
    </row>
    <row r="289" spans="3:9" ht="23.4" customHeight="1">
      <c r="C289" s="310" t="s">
        <v>1205</v>
      </c>
      <c r="D289" s="182" t="s">
        <v>562</v>
      </c>
      <c r="E289" s="176" t="s">
        <v>65</v>
      </c>
      <c r="F289" s="282">
        <v>0.188</v>
      </c>
      <c r="G289" s="283">
        <f>VLOOKUP(D289,upahbahan,3,FALSE)</f>
        <v>18000</v>
      </c>
      <c r="H289" s="284">
        <f t="shared" si="29"/>
        <v>3384</v>
      </c>
    </row>
    <row r="290" spans="3:9" ht="23.4" customHeight="1">
      <c r="C290" s="310" t="s">
        <v>1206</v>
      </c>
      <c r="D290" s="285" t="s">
        <v>85</v>
      </c>
      <c r="E290" s="176" t="s">
        <v>42</v>
      </c>
      <c r="F290" s="282">
        <v>3.0000000000000001E-3</v>
      </c>
      <c r="G290" s="283">
        <f>VLOOKUP(D290,upahbahan,3,FALSE)</f>
        <v>310500</v>
      </c>
      <c r="H290" s="284">
        <f t="shared" si="29"/>
        <v>931.5</v>
      </c>
    </row>
    <row r="291" spans="3:9" ht="23.4" customHeight="1">
      <c r="C291" s="66" t="s">
        <v>1214</v>
      </c>
      <c r="D291" s="67"/>
      <c r="E291" s="67"/>
      <c r="F291" s="67"/>
      <c r="G291" s="69"/>
      <c r="H291" s="284">
        <f>SUM(H287:H290)</f>
        <v>7881922.6200000001</v>
      </c>
    </row>
    <row r="292" spans="3:9" ht="23.4" customHeight="1">
      <c r="C292" s="321" t="s">
        <v>1215</v>
      </c>
      <c r="D292" s="182" t="s">
        <v>1216</v>
      </c>
      <c r="E292" s="70"/>
      <c r="F292" s="70"/>
      <c r="G292" s="70"/>
      <c r="H292" s="71"/>
    </row>
    <row r="293" spans="3:9" ht="23.4" customHeight="1">
      <c r="C293" s="66" t="s">
        <v>1217</v>
      </c>
      <c r="D293" s="67"/>
      <c r="E293" s="67"/>
      <c r="F293" s="67"/>
      <c r="G293" s="69"/>
      <c r="H293" s="292">
        <v>0</v>
      </c>
    </row>
    <row r="294" spans="3:9" ht="23.4" customHeight="1">
      <c r="C294" s="293" t="s">
        <v>1218</v>
      </c>
      <c r="D294" s="294" t="s">
        <v>1219</v>
      </c>
      <c r="E294" s="295"/>
      <c r="F294" s="295"/>
      <c r="G294" s="296"/>
      <c r="H294" s="284">
        <f>H293+H291+H285</f>
        <v>7893759.1200000001</v>
      </c>
    </row>
    <row r="295" spans="3:9" ht="23.4" customHeight="1">
      <c r="C295" s="293" t="s">
        <v>1220</v>
      </c>
      <c r="D295" s="294" t="s">
        <v>1402</v>
      </c>
      <c r="E295" s="295"/>
      <c r="F295" s="296"/>
      <c r="G295" s="486" t="s">
        <v>1403</v>
      </c>
      <c r="H295" s="284">
        <f>H294*10%</f>
        <v>789375.91200000001</v>
      </c>
    </row>
    <row r="296" spans="3:9" ht="23.4" customHeight="1" thickBot="1">
      <c r="C296" s="299" t="s">
        <v>1221</v>
      </c>
      <c r="D296" s="300" t="s">
        <v>1222</v>
      </c>
      <c r="E296" s="301"/>
      <c r="F296" s="301"/>
      <c r="G296" s="302"/>
      <c r="H296" s="303">
        <f>SUM(H294:H295)</f>
        <v>8683135.0319999997</v>
      </c>
    </row>
    <row r="297" spans="3:9" ht="14.4" thickTop="1">
      <c r="C297" s="304"/>
      <c r="D297" s="304"/>
      <c r="E297" s="304"/>
      <c r="F297" s="304"/>
      <c r="G297" s="304"/>
      <c r="H297" s="305"/>
    </row>
    <row r="298" spans="3:9" ht="15.75" customHeight="1" thickBot="1">
      <c r="C298" s="119" t="s">
        <v>2862</v>
      </c>
      <c r="D298" s="483" t="s">
        <v>1419</v>
      </c>
      <c r="E298" s="483"/>
      <c r="F298" s="483"/>
      <c r="G298" s="483"/>
      <c r="H298" s="483"/>
      <c r="I298" s="120">
        <f>ROUNDDOWN(H316,-2)</f>
        <v>30200</v>
      </c>
    </row>
    <row r="299" spans="3:9" ht="28.2" thickTop="1">
      <c r="C299" s="51" t="s">
        <v>1195</v>
      </c>
      <c r="D299" s="52" t="s">
        <v>1196</v>
      </c>
      <c r="E299" s="52" t="s">
        <v>1197</v>
      </c>
      <c r="F299" s="52" t="s">
        <v>1198</v>
      </c>
      <c r="G299" s="52" t="s">
        <v>1199</v>
      </c>
      <c r="H299" s="53" t="s">
        <v>1200</v>
      </c>
    </row>
    <row r="300" spans="3:9" ht="23.4" customHeight="1">
      <c r="C300" s="290" t="s">
        <v>1201</v>
      </c>
      <c r="D300" s="182" t="s">
        <v>1202</v>
      </c>
      <c r="E300" s="70"/>
      <c r="F300" s="70"/>
      <c r="G300" s="70"/>
      <c r="H300" s="71"/>
    </row>
    <row r="301" spans="3:9" ht="23.4" customHeight="1">
      <c r="C301" s="281">
        <v>1</v>
      </c>
      <c r="D301" s="182" t="s">
        <v>5</v>
      </c>
      <c r="E301" s="176" t="s">
        <v>6</v>
      </c>
      <c r="F301" s="309">
        <v>7.1400000000000005E-2</v>
      </c>
      <c r="G301" s="283">
        <f>VLOOKUP(D301,upahbahan,3,FALSE)</f>
        <v>100000</v>
      </c>
      <c r="H301" s="284">
        <f t="shared" ref="H301:H304" si="30">F301*G301</f>
        <v>7140.0000000000009</v>
      </c>
    </row>
    <row r="302" spans="3:9" ht="23.4" customHeight="1">
      <c r="C302" s="281">
        <v>2</v>
      </c>
      <c r="D302" s="182" t="s">
        <v>7</v>
      </c>
      <c r="E302" s="176" t="s">
        <v>6</v>
      </c>
      <c r="F302" s="309">
        <v>3.5700000000000003E-2</v>
      </c>
      <c r="G302" s="283">
        <f>VLOOKUP(D302,upahbahan,3,FALSE)</f>
        <v>135000</v>
      </c>
      <c r="H302" s="284">
        <f t="shared" si="30"/>
        <v>4819.5</v>
      </c>
    </row>
    <row r="303" spans="3:9" ht="23.4" customHeight="1">
      <c r="C303" s="281">
        <v>3</v>
      </c>
      <c r="D303" s="182" t="s">
        <v>18</v>
      </c>
      <c r="E303" s="176" t="s">
        <v>6</v>
      </c>
      <c r="F303" s="309">
        <v>3.5999999999999999E-3</v>
      </c>
      <c r="G303" s="283">
        <f>VLOOKUP(D303,upahbahan,3,FALSE)</f>
        <v>150000</v>
      </c>
      <c r="H303" s="284">
        <f t="shared" si="30"/>
        <v>540</v>
      </c>
    </row>
    <row r="304" spans="3:9" ht="23.4" customHeight="1">
      <c r="C304" s="281">
        <v>4</v>
      </c>
      <c r="D304" s="182" t="s">
        <v>19</v>
      </c>
      <c r="E304" s="176" t="s">
        <v>6</v>
      </c>
      <c r="F304" s="309">
        <v>1.1999999999999999E-3</v>
      </c>
      <c r="G304" s="283">
        <f>VLOOKUP(D304,upahbahan,3,FALSE)</f>
        <v>160000</v>
      </c>
      <c r="H304" s="284">
        <f t="shared" si="30"/>
        <v>191.99999999999997</v>
      </c>
    </row>
    <row r="305" spans="3:9" ht="23.4" customHeight="1">
      <c r="C305" s="66" t="s">
        <v>1208</v>
      </c>
      <c r="D305" s="67"/>
      <c r="E305" s="67"/>
      <c r="F305" s="142"/>
      <c r="G305" s="153"/>
      <c r="H305" s="284">
        <f>SUM(H301:H304)</f>
        <v>12691.5</v>
      </c>
      <c r="I305" s="320"/>
    </row>
    <row r="306" spans="3:9" ht="23.4" customHeight="1">
      <c r="C306" s="290" t="s">
        <v>1209</v>
      </c>
      <c r="D306" s="182" t="s">
        <v>1210</v>
      </c>
      <c r="E306" s="70"/>
      <c r="F306" s="70"/>
      <c r="G306" s="70"/>
      <c r="H306" s="71"/>
    </row>
    <row r="307" spans="3:9" ht="23.4" customHeight="1">
      <c r="C307" s="310" t="s">
        <v>1203</v>
      </c>
      <c r="D307" s="182" t="s">
        <v>493</v>
      </c>
      <c r="E307" s="176" t="s">
        <v>44</v>
      </c>
      <c r="F307" s="282">
        <v>1.75</v>
      </c>
      <c r="G307" s="283">
        <f>VLOOKUP(D307,upahbahan,3,FALSE)</f>
        <v>4500</v>
      </c>
      <c r="H307" s="284">
        <f t="shared" ref="H307:H310" si="31">F307*G307</f>
        <v>7875</v>
      </c>
    </row>
    <row r="308" spans="3:9" ht="23.4" customHeight="1">
      <c r="C308" s="310" t="s">
        <v>1204</v>
      </c>
      <c r="D308" s="182" t="s">
        <v>2334</v>
      </c>
      <c r="E308" s="176" t="s">
        <v>65</v>
      </c>
      <c r="F308" s="282">
        <v>1.704</v>
      </c>
      <c r="G308" s="283">
        <f>VLOOKUP(D308,upahbahan,3,FALSE)</f>
        <v>1530</v>
      </c>
      <c r="H308" s="284">
        <f t="shared" si="31"/>
        <v>2607.12</v>
      </c>
    </row>
    <row r="309" spans="3:9" ht="23.4" customHeight="1">
      <c r="C309" s="310" t="s">
        <v>1205</v>
      </c>
      <c r="D309" s="182" t="s">
        <v>562</v>
      </c>
      <c r="E309" s="176" t="s">
        <v>65</v>
      </c>
      <c r="F309" s="282">
        <v>0.188</v>
      </c>
      <c r="G309" s="283">
        <f>VLOOKUP(D309,upahbahan,3,FALSE)</f>
        <v>18000</v>
      </c>
      <c r="H309" s="284">
        <f t="shared" si="31"/>
        <v>3384</v>
      </c>
    </row>
    <row r="310" spans="3:9" ht="23.4" customHeight="1">
      <c r="C310" s="310" t="s">
        <v>1206</v>
      </c>
      <c r="D310" s="285" t="s">
        <v>85</v>
      </c>
      <c r="E310" s="176" t="s">
        <v>42</v>
      </c>
      <c r="F310" s="282">
        <v>3.0000000000000001E-3</v>
      </c>
      <c r="G310" s="283">
        <f>VLOOKUP(D310,upahbahan,3,FALSE)</f>
        <v>310500</v>
      </c>
      <c r="H310" s="284">
        <f t="shared" si="31"/>
        <v>931.5</v>
      </c>
    </row>
    <row r="311" spans="3:9" ht="23.4" customHeight="1">
      <c r="C311" s="66" t="s">
        <v>1214</v>
      </c>
      <c r="D311" s="67"/>
      <c r="E311" s="67"/>
      <c r="F311" s="67"/>
      <c r="G311" s="69"/>
      <c r="H311" s="284">
        <f>SUM(H307:H310)</f>
        <v>14797.619999999999</v>
      </c>
    </row>
    <row r="312" spans="3:9" ht="23.4" customHeight="1">
      <c r="C312" s="321" t="s">
        <v>1215</v>
      </c>
      <c r="D312" s="182" t="s">
        <v>1216</v>
      </c>
      <c r="E312" s="70"/>
      <c r="F312" s="70"/>
      <c r="G312" s="70"/>
      <c r="H312" s="71"/>
    </row>
    <row r="313" spans="3:9" ht="23.4" customHeight="1">
      <c r="C313" s="66" t="s">
        <v>1217</v>
      </c>
      <c r="D313" s="67"/>
      <c r="E313" s="67"/>
      <c r="F313" s="67"/>
      <c r="G313" s="69"/>
      <c r="H313" s="292">
        <v>0</v>
      </c>
    </row>
    <row r="314" spans="3:9" ht="23.4" customHeight="1">
      <c r="C314" s="293" t="s">
        <v>1218</v>
      </c>
      <c r="D314" s="294" t="s">
        <v>1219</v>
      </c>
      <c r="E314" s="295"/>
      <c r="F314" s="295"/>
      <c r="G314" s="296"/>
      <c r="H314" s="284">
        <f>H313+H311+H305</f>
        <v>27489.119999999999</v>
      </c>
    </row>
    <row r="315" spans="3:9" ht="23.4" customHeight="1">
      <c r="C315" s="293" t="s">
        <v>1220</v>
      </c>
      <c r="D315" s="294" t="s">
        <v>1402</v>
      </c>
      <c r="E315" s="295"/>
      <c r="F315" s="296"/>
      <c r="G315" s="486" t="s">
        <v>1403</v>
      </c>
      <c r="H315" s="284">
        <f>H314*10%</f>
        <v>2748.9120000000003</v>
      </c>
    </row>
    <row r="316" spans="3:9" ht="23.4" customHeight="1" thickBot="1">
      <c r="C316" s="299" t="s">
        <v>1221</v>
      </c>
      <c r="D316" s="300" t="s">
        <v>1222</v>
      </c>
      <c r="E316" s="301"/>
      <c r="F316" s="301"/>
      <c r="G316" s="302"/>
      <c r="H316" s="303">
        <f>SUM(H314:H315)</f>
        <v>30238.031999999999</v>
      </c>
    </row>
    <row r="317" spans="3:9" ht="14.4" thickTop="1">
      <c r="C317" s="289"/>
      <c r="D317" s="297"/>
      <c r="E317" s="297"/>
      <c r="F317" s="297"/>
      <c r="G317" s="297"/>
      <c r="H317" s="139"/>
    </row>
    <row r="318" spans="3:9">
      <c r="C318" s="126" t="s">
        <v>2863</v>
      </c>
      <c r="D318" s="138" t="s">
        <v>2864</v>
      </c>
      <c r="E318" s="297"/>
      <c r="F318" s="297"/>
      <c r="G318" s="297"/>
      <c r="H318" s="139"/>
    </row>
    <row r="319" spans="3:9" ht="15.75" customHeight="1" thickBot="1">
      <c r="C319" s="119" t="s">
        <v>2865</v>
      </c>
      <c r="D319" s="483" t="s">
        <v>1420</v>
      </c>
      <c r="E319" s="483"/>
      <c r="F319" s="483"/>
      <c r="G319" s="483"/>
      <c r="H319" s="483"/>
      <c r="I319" s="120">
        <f>ROUNDDOWN(H337,-2)</f>
        <v>397700</v>
      </c>
    </row>
    <row r="320" spans="3:9" ht="28.2" thickTop="1">
      <c r="C320" s="51" t="s">
        <v>1195</v>
      </c>
      <c r="D320" s="52" t="s">
        <v>1196</v>
      </c>
      <c r="E320" s="52" t="s">
        <v>1197</v>
      </c>
      <c r="F320" s="52" t="s">
        <v>1198</v>
      </c>
      <c r="G320" s="52" t="s">
        <v>1199</v>
      </c>
      <c r="H320" s="53" t="s">
        <v>1200</v>
      </c>
    </row>
    <row r="321" spans="3:9" ht="23.4" customHeight="1">
      <c r="C321" s="290" t="s">
        <v>1201</v>
      </c>
      <c r="D321" s="182" t="s">
        <v>1202</v>
      </c>
      <c r="E321" s="70"/>
      <c r="F321" s="70"/>
      <c r="G321" s="70"/>
      <c r="H321" s="71"/>
    </row>
    <row r="322" spans="3:9" ht="23.4" customHeight="1">
      <c r="C322" s="281">
        <v>1</v>
      </c>
      <c r="D322" s="182" t="s">
        <v>5</v>
      </c>
      <c r="E322" s="176" t="s">
        <v>6</v>
      </c>
      <c r="F322" s="309">
        <v>0.1429</v>
      </c>
      <c r="G322" s="283">
        <f>VLOOKUP(D322,upahbahan,3,FALSE)</f>
        <v>100000</v>
      </c>
      <c r="H322" s="284">
        <f>F322*G322</f>
        <v>14290</v>
      </c>
    </row>
    <row r="323" spans="3:9" ht="23.4" customHeight="1">
      <c r="C323" s="281">
        <v>2</v>
      </c>
      <c r="D323" s="182" t="s">
        <v>7</v>
      </c>
      <c r="E323" s="176" t="s">
        <v>6</v>
      </c>
      <c r="F323" s="309">
        <v>7.1400000000000005E-2</v>
      </c>
      <c r="G323" s="283">
        <f>VLOOKUP(D323,upahbahan,3,FALSE)</f>
        <v>135000</v>
      </c>
      <c r="H323" s="284">
        <f t="shared" ref="H323:H325" si="32">F323*G323</f>
        <v>9639</v>
      </c>
    </row>
    <row r="324" spans="3:9" ht="23.4" customHeight="1">
      <c r="C324" s="281">
        <v>3</v>
      </c>
      <c r="D324" s="182" t="s">
        <v>18</v>
      </c>
      <c r="E324" s="176" t="s">
        <v>6</v>
      </c>
      <c r="F324" s="309">
        <v>7.1000000000000004E-3</v>
      </c>
      <c r="G324" s="283">
        <f>VLOOKUP(D324,upahbahan,3,FALSE)</f>
        <v>150000</v>
      </c>
      <c r="H324" s="284">
        <f t="shared" si="32"/>
        <v>1065</v>
      </c>
    </row>
    <row r="325" spans="3:9" ht="23.4" customHeight="1">
      <c r="C325" s="281">
        <v>4</v>
      </c>
      <c r="D325" s="182" t="s">
        <v>19</v>
      </c>
      <c r="E325" s="176" t="s">
        <v>6</v>
      </c>
      <c r="F325" s="309">
        <v>2.3999999999999998E-3</v>
      </c>
      <c r="G325" s="283">
        <f>VLOOKUP(D325,upahbahan,3,FALSE)</f>
        <v>160000</v>
      </c>
      <c r="H325" s="284">
        <f t="shared" si="32"/>
        <v>383.99999999999994</v>
      </c>
    </row>
    <row r="326" spans="3:9" ht="23.4" customHeight="1">
      <c r="C326" s="66" t="s">
        <v>1208</v>
      </c>
      <c r="D326" s="67"/>
      <c r="E326" s="67"/>
      <c r="F326" s="142"/>
      <c r="G326" s="153"/>
      <c r="H326" s="284">
        <f>SUM(H322:H325)</f>
        <v>25378</v>
      </c>
      <c r="I326" s="320"/>
    </row>
    <row r="327" spans="3:9" ht="23.4" customHeight="1">
      <c r="C327" s="290" t="s">
        <v>1209</v>
      </c>
      <c r="D327" s="182" t="s">
        <v>1210</v>
      </c>
      <c r="E327" s="70"/>
      <c r="F327" s="70"/>
      <c r="G327" s="70"/>
      <c r="H327" s="71"/>
    </row>
    <row r="328" spans="3:9" ht="23.4" customHeight="1">
      <c r="C328" s="310" t="s">
        <v>1203</v>
      </c>
      <c r="D328" s="182" t="s">
        <v>518</v>
      </c>
      <c r="E328" s="176" t="s">
        <v>44</v>
      </c>
      <c r="F328" s="282">
        <v>11.667</v>
      </c>
      <c r="G328" s="283">
        <f>VLOOKUP(D328,upahbahan,3,FALSE)</f>
        <v>24000</v>
      </c>
      <c r="H328" s="284">
        <f t="shared" ref="H328:H331" si="33">F328*G328</f>
        <v>280008</v>
      </c>
    </row>
    <row r="329" spans="3:9" ht="23.4" customHeight="1">
      <c r="C329" s="310" t="s">
        <v>1204</v>
      </c>
      <c r="D329" s="182" t="s">
        <v>2332</v>
      </c>
      <c r="E329" s="176" t="s">
        <v>65</v>
      </c>
      <c r="F329" s="282">
        <v>13.632</v>
      </c>
      <c r="G329" s="283">
        <f>VLOOKUP(D329,upahbahan,3,FALSE)</f>
        <v>1530</v>
      </c>
      <c r="H329" s="284">
        <f t="shared" si="33"/>
        <v>20856.96</v>
      </c>
    </row>
    <row r="330" spans="3:9" ht="23.4" customHeight="1">
      <c r="C330" s="310" t="s">
        <v>1205</v>
      </c>
      <c r="D330" s="182" t="s">
        <v>562</v>
      </c>
      <c r="E330" s="176" t="s">
        <v>65</v>
      </c>
      <c r="F330" s="282">
        <v>1.5</v>
      </c>
      <c r="G330" s="283">
        <f>VLOOKUP(D330,upahbahan,3,FALSE)</f>
        <v>18000</v>
      </c>
      <c r="H330" s="284">
        <f t="shared" si="33"/>
        <v>27000</v>
      </c>
    </row>
    <row r="331" spans="3:9" ht="23.4" customHeight="1">
      <c r="C331" s="310" t="s">
        <v>1206</v>
      </c>
      <c r="D331" s="285" t="s">
        <v>85</v>
      </c>
      <c r="E331" s="176" t="s">
        <v>42</v>
      </c>
      <c r="F331" s="282">
        <v>2.7E-2</v>
      </c>
      <c r="G331" s="283">
        <f>VLOOKUP(D331,upahbahan,3,FALSE)</f>
        <v>310500</v>
      </c>
      <c r="H331" s="284">
        <f t="shared" si="33"/>
        <v>8383.5</v>
      </c>
    </row>
    <row r="332" spans="3:9" ht="23.4" customHeight="1">
      <c r="C332" s="66" t="s">
        <v>1214</v>
      </c>
      <c r="D332" s="67"/>
      <c r="E332" s="67"/>
      <c r="F332" s="67"/>
      <c r="G332" s="69"/>
      <c r="H332" s="284">
        <f>SUM(H328:H331)</f>
        <v>336248.46</v>
      </c>
    </row>
    <row r="333" spans="3:9" ht="23.4" customHeight="1">
      <c r="C333" s="321" t="s">
        <v>1215</v>
      </c>
      <c r="D333" s="182" t="s">
        <v>1216</v>
      </c>
      <c r="E333" s="70"/>
      <c r="F333" s="70"/>
      <c r="G333" s="70"/>
      <c r="H333" s="71"/>
    </row>
    <row r="334" spans="3:9" ht="23.4" customHeight="1">
      <c r="C334" s="66" t="s">
        <v>1217</v>
      </c>
      <c r="D334" s="67"/>
      <c r="E334" s="67"/>
      <c r="F334" s="67"/>
      <c r="G334" s="69"/>
      <c r="H334" s="292">
        <v>0</v>
      </c>
    </row>
    <row r="335" spans="3:9" ht="23.4" customHeight="1">
      <c r="C335" s="293" t="s">
        <v>1218</v>
      </c>
      <c r="D335" s="294" t="s">
        <v>1219</v>
      </c>
      <c r="E335" s="295"/>
      <c r="F335" s="295"/>
      <c r="G335" s="296"/>
      <c r="H335" s="284">
        <f>H334+H332+H326</f>
        <v>361626.46</v>
      </c>
    </row>
    <row r="336" spans="3:9" ht="23.4" customHeight="1">
      <c r="C336" s="293" t="s">
        <v>1220</v>
      </c>
      <c r="D336" s="294" t="s">
        <v>1402</v>
      </c>
      <c r="E336" s="295"/>
      <c r="F336" s="296"/>
      <c r="G336" s="486" t="s">
        <v>1403</v>
      </c>
      <c r="H336" s="284">
        <f>H335*10%</f>
        <v>36162.646000000001</v>
      </c>
    </row>
    <row r="337" spans="3:9" ht="23.4" customHeight="1" thickBot="1">
      <c r="C337" s="299" t="s">
        <v>1221</v>
      </c>
      <c r="D337" s="300" t="s">
        <v>1222</v>
      </c>
      <c r="E337" s="301"/>
      <c r="F337" s="301"/>
      <c r="G337" s="302"/>
      <c r="H337" s="303">
        <f>SUM(H335:H336)</f>
        <v>397789.10600000003</v>
      </c>
    </row>
    <row r="338" spans="3:9" ht="14.4" thickTop="1">
      <c r="C338" s="289"/>
      <c r="D338" s="297"/>
      <c r="E338" s="297"/>
      <c r="F338" s="297"/>
      <c r="G338" s="297"/>
      <c r="H338" s="139"/>
    </row>
    <row r="339" spans="3:9" ht="15.75" customHeight="1" thickBot="1">
      <c r="C339" s="47" t="s">
        <v>2866</v>
      </c>
      <c r="D339" s="483" t="s">
        <v>1421</v>
      </c>
      <c r="E339" s="483"/>
      <c r="F339" s="483"/>
      <c r="G339" s="483"/>
      <c r="H339" s="483"/>
      <c r="I339" s="120">
        <f>ROUNDDOWN(H357,-2)</f>
        <v>308500</v>
      </c>
    </row>
    <row r="340" spans="3:9" ht="28.2" thickTop="1">
      <c r="C340" s="51" t="s">
        <v>1195</v>
      </c>
      <c r="D340" s="52" t="s">
        <v>1196</v>
      </c>
      <c r="E340" s="52" t="s">
        <v>1197</v>
      </c>
      <c r="F340" s="52" t="s">
        <v>1198</v>
      </c>
      <c r="G340" s="52" t="s">
        <v>1199</v>
      </c>
      <c r="H340" s="53" t="s">
        <v>1200</v>
      </c>
    </row>
    <row r="341" spans="3:9" ht="23.4" customHeight="1">
      <c r="C341" s="290" t="s">
        <v>1201</v>
      </c>
      <c r="D341" s="182" t="s">
        <v>1202</v>
      </c>
      <c r="E341" s="70"/>
      <c r="F341" s="70"/>
      <c r="G341" s="70"/>
      <c r="H341" s="71"/>
    </row>
    <row r="342" spans="3:9" ht="23.4" customHeight="1">
      <c r="C342" s="281">
        <v>1</v>
      </c>
      <c r="D342" s="182" t="s">
        <v>5</v>
      </c>
      <c r="E342" s="176" t="s">
        <v>6</v>
      </c>
      <c r="F342" s="309">
        <v>0.15379999999999999</v>
      </c>
      <c r="G342" s="283">
        <f>VLOOKUP(D342,upahbahan,3,FALSE)</f>
        <v>100000</v>
      </c>
      <c r="H342" s="284">
        <f t="shared" ref="H342:H345" si="34">F342*G342</f>
        <v>15380</v>
      </c>
    </row>
    <row r="343" spans="3:9" ht="23.4" customHeight="1">
      <c r="C343" s="281">
        <v>2</v>
      </c>
      <c r="D343" s="182" t="s">
        <v>7</v>
      </c>
      <c r="E343" s="176" t="s">
        <v>6</v>
      </c>
      <c r="F343" s="309">
        <v>7.6899999999999996E-2</v>
      </c>
      <c r="G343" s="283">
        <f>VLOOKUP(D343,upahbahan,3,FALSE)</f>
        <v>135000</v>
      </c>
      <c r="H343" s="284">
        <f t="shared" si="34"/>
        <v>10381.5</v>
      </c>
    </row>
    <row r="344" spans="3:9" ht="23.4" customHeight="1">
      <c r="C344" s="281">
        <v>3</v>
      </c>
      <c r="D344" s="182" t="s">
        <v>18</v>
      </c>
      <c r="E344" s="176" t="s">
        <v>6</v>
      </c>
      <c r="F344" s="309">
        <v>7.7000000000000002E-3</v>
      </c>
      <c r="G344" s="283">
        <f>VLOOKUP(D344,upahbahan,3,FALSE)</f>
        <v>150000</v>
      </c>
      <c r="H344" s="284">
        <f t="shared" si="34"/>
        <v>1155</v>
      </c>
    </row>
    <row r="345" spans="3:9" ht="23.4" customHeight="1">
      <c r="C345" s="281">
        <v>4</v>
      </c>
      <c r="D345" s="182" t="s">
        <v>19</v>
      </c>
      <c r="E345" s="176" t="s">
        <v>6</v>
      </c>
      <c r="F345" s="309">
        <v>2.5999999999999999E-3</v>
      </c>
      <c r="G345" s="283">
        <f>VLOOKUP(D345,upahbahan,3,FALSE)</f>
        <v>160000</v>
      </c>
      <c r="H345" s="284">
        <f t="shared" si="34"/>
        <v>416</v>
      </c>
    </row>
    <row r="346" spans="3:9" ht="23.4" customHeight="1">
      <c r="C346" s="66" t="s">
        <v>1208</v>
      </c>
      <c r="D346" s="67"/>
      <c r="E346" s="67"/>
      <c r="F346" s="142"/>
      <c r="G346" s="153"/>
      <c r="H346" s="284">
        <f>SUM(H342:H345)</f>
        <v>27332.5</v>
      </c>
      <c r="I346" s="320"/>
    </row>
    <row r="347" spans="3:9" ht="23.4" customHeight="1">
      <c r="C347" s="290" t="s">
        <v>1209</v>
      </c>
      <c r="D347" s="182" t="s">
        <v>1210</v>
      </c>
      <c r="E347" s="70"/>
      <c r="F347" s="70"/>
      <c r="G347" s="70"/>
      <c r="H347" s="71"/>
    </row>
    <row r="348" spans="3:9" ht="23.4" customHeight="1">
      <c r="C348" s="310" t="s">
        <v>1203</v>
      </c>
      <c r="D348" s="182" t="s">
        <v>519</v>
      </c>
      <c r="E348" s="176" t="s">
        <v>44</v>
      </c>
      <c r="F348" s="309">
        <v>6.5629999999999997</v>
      </c>
      <c r="G348" s="283">
        <f>VLOOKUP(D348,upahbahan,3,FALSE)</f>
        <v>30000</v>
      </c>
      <c r="H348" s="284">
        <f t="shared" ref="H348:H351" si="35">F348*G348</f>
        <v>196890</v>
      </c>
    </row>
    <row r="349" spans="3:9" ht="23.4" customHeight="1">
      <c r="C349" s="310" t="s">
        <v>1204</v>
      </c>
      <c r="D349" s="182" t="s">
        <v>2332</v>
      </c>
      <c r="E349" s="176" t="s">
        <v>65</v>
      </c>
      <c r="F349" s="282">
        <v>13.632</v>
      </c>
      <c r="G349" s="283">
        <f>VLOOKUP(D349,upahbahan,3,FALSE)</f>
        <v>1530</v>
      </c>
      <c r="H349" s="284">
        <f t="shared" si="35"/>
        <v>20856.96</v>
      </c>
    </row>
    <row r="350" spans="3:9" ht="23.4" customHeight="1">
      <c r="C350" s="310" t="s">
        <v>1205</v>
      </c>
      <c r="D350" s="182" t="s">
        <v>562</v>
      </c>
      <c r="E350" s="176" t="s">
        <v>65</v>
      </c>
      <c r="F350" s="282">
        <v>1.5</v>
      </c>
      <c r="G350" s="283">
        <f>VLOOKUP(D350,upahbahan,3,FALSE)</f>
        <v>18000</v>
      </c>
      <c r="H350" s="284">
        <f t="shared" si="35"/>
        <v>27000</v>
      </c>
    </row>
    <row r="351" spans="3:9" ht="23.4" customHeight="1">
      <c r="C351" s="310" t="s">
        <v>1206</v>
      </c>
      <c r="D351" s="285" t="s">
        <v>85</v>
      </c>
      <c r="E351" s="176" t="s">
        <v>42</v>
      </c>
      <c r="F351" s="282">
        <v>2.7E-2</v>
      </c>
      <c r="G351" s="283">
        <f>VLOOKUP(D351,upahbahan,3,FALSE)</f>
        <v>310500</v>
      </c>
      <c r="H351" s="284">
        <f t="shared" si="35"/>
        <v>8383.5</v>
      </c>
    </row>
    <row r="352" spans="3:9" ht="23.4" customHeight="1">
      <c r="C352" s="66" t="s">
        <v>1214</v>
      </c>
      <c r="D352" s="67"/>
      <c r="E352" s="67"/>
      <c r="F352" s="67"/>
      <c r="G352" s="69"/>
      <c r="H352" s="284">
        <f>SUM(H348:H351)</f>
        <v>253130.46</v>
      </c>
    </row>
    <row r="353" spans="3:9" ht="23.4" customHeight="1">
      <c r="C353" s="321" t="s">
        <v>1215</v>
      </c>
      <c r="D353" s="182" t="s">
        <v>1216</v>
      </c>
      <c r="E353" s="70"/>
      <c r="F353" s="70"/>
      <c r="G353" s="70"/>
      <c r="H353" s="71"/>
    </row>
    <row r="354" spans="3:9" ht="23.4" customHeight="1">
      <c r="C354" s="66" t="s">
        <v>1217</v>
      </c>
      <c r="D354" s="67"/>
      <c r="E354" s="67"/>
      <c r="F354" s="67"/>
      <c r="G354" s="69"/>
      <c r="H354" s="292">
        <v>0</v>
      </c>
    </row>
    <row r="355" spans="3:9" ht="23.4" customHeight="1">
      <c r="C355" s="293" t="s">
        <v>1218</v>
      </c>
      <c r="D355" s="294" t="s">
        <v>1219</v>
      </c>
      <c r="E355" s="295"/>
      <c r="F355" s="295"/>
      <c r="G355" s="296"/>
      <c r="H355" s="284">
        <f>H354+H352+H346</f>
        <v>280462.95999999996</v>
      </c>
    </row>
    <row r="356" spans="3:9" ht="23.4" customHeight="1">
      <c r="C356" s="293" t="s">
        <v>1220</v>
      </c>
      <c r="D356" s="294" t="s">
        <v>1402</v>
      </c>
      <c r="E356" s="295"/>
      <c r="F356" s="296"/>
      <c r="G356" s="486" t="s">
        <v>1403</v>
      </c>
      <c r="H356" s="284">
        <f>H355*10%</f>
        <v>28046.295999999998</v>
      </c>
    </row>
    <row r="357" spans="3:9" ht="23.4" customHeight="1" thickBot="1">
      <c r="C357" s="299" t="s">
        <v>1221</v>
      </c>
      <c r="D357" s="300" t="s">
        <v>1222</v>
      </c>
      <c r="E357" s="301"/>
      <c r="F357" s="301"/>
      <c r="G357" s="302"/>
      <c r="H357" s="303">
        <f>SUM(H355:H356)</f>
        <v>308509.25599999994</v>
      </c>
    </row>
    <row r="358" spans="3:9" ht="14.4" thickTop="1">
      <c r="C358" s="289"/>
      <c r="D358" s="297"/>
      <c r="E358" s="297"/>
      <c r="F358" s="297"/>
      <c r="G358" s="297"/>
      <c r="H358" s="139"/>
    </row>
    <row r="359" spans="3:9" ht="15.75" customHeight="1" thickBot="1">
      <c r="C359" s="47" t="s">
        <v>2867</v>
      </c>
      <c r="D359" s="483" t="s">
        <v>1422</v>
      </c>
      <c r="E359" s="483"/>
      <c r="F359" s="483"/>
      <c r="G359" s="483"/>
      <c r="H359" s="483"/>
      <c r="I359" s="120">
        <f>ROUNDDOWN(H375,-2)</f>
        <v>210900</v>
      </c>
    </row>
    <row r="360" spans="3:9" ht="28.2" thickTop="1">
      <c r="C360" s="51" t="s">
        <v>1195</v>
      </c>
      <c r="D360" s="52" t="s">
        <v>1196</v>
      </c>
      <c r="E360" s="52" t="s">
        <v>1197</v>
      </c>
      <c r="F360" s="52" t="s">
        <v>1198</v>
      </c>
      <c r="G360" s="52" t="s">
        <v>1199</v>
      </c>
      <c r="H360" s="53" t="s">
        <v>1200</v>
      </c>
    </row>
    <row r="361" spans="3:9" ht="23.4" customHeight="1">
      <c r="C361" s="290" t="s">
        <v>1201</v>
      </c>
      <c r="D361" s="182" t="s">
        <v>1202</v>
      </c>
      <c r="E361" s="70"/>
      <c r="F361" s="70"/>
      <c r="G361" s="70"/>
      <c r="H361" s="71"/>
    </row>
    <row r="362" spans="3:9" ht="23.4" customHeight="1">
      <c r="C362" s="281">
        <v>1</v>
      </c>
      <c r="D362" s="182" t="s">
        <v>5</v>
      </c>
      <c r="E362" s="176" t="s">
        <v>6</v>
      </c>
      <c r="F362" s="282">
        <v>0.36</v>
      </c>
      <c r="G362" s="283">
        <f>VLOOKUP(D362,upahbahan,3,FALSE)</f>
        <v>100000</v>
      </c>
      <c r="H362" s="284">
        <f>F362*G362</f>
        <v>36000</v>
      </c>
    </row>
    <row r="363" spans="3:9" ht="23.4" customHeight="1">
      <c r="C363" s="281">
        <v>2</v>
      </c>
      <c r="D363" s="182" t="s">
        <v>7</v>
      </c>
      <c r="E363" s="176" t="s">
        <v>6</v>
      </c>
      <c r="F363" s="282">
        <v>0.18</v>
      </c>
      <c r="G363" s="283">
        <f>VLOOKUP(D363,upahbahan,3,FALSE)</f>
        <v>135000</v>
      </c>
      <c r="H363" s="284">
        <f t="shared" ref="H363:H365" si="36">F363*G363</f>
        <v>24300</v>
      </c>
    </row>
    <row r="364" spans="3:9" ht="23.4" customHeight="1">
      <c r="C364" s="281">
        <v>3</v>
      </c>
      <c r="D364" s="182" t="s">
        <v>18</v>
      </c>
      <c r="E364" s="176" t="s">
        <v>6</v>
      </c>
      <c r="F364" s="282">
        <v>1.7999999999999999E-2</v>
      </c>
      <c r="G364" s="283">
        <f>VLOOKUP(D364,upahbahan,3,FALSE)</f>
        <v>150000</v>
      </c>
      <c r="H364" s="284">
        <f t="shared" si="36"/>
        <v>2700</v>
      </c>
    </row>
    <row r="365" spans="3:9" ht="23.4" customHeight="1">
      <c r="C365" s="281">
        <v>4</v>
      </c>
      <c r="D365" s="182" t="s">
        <v>19</v>
      </c>
      <c r="E365" s="176" t="s">
        <v>6</v>
      </c>
      <c r="F365" s="282">
        <v>6.0000000000000001E-3</v>
      </c>
      <c r="G365" s="283">
        <f>VLOOKUP(D365,upahbahan,3,FALSE)</f>
        <v>160000</v>
      </c>
      <c r="H365" s="284">
        <f t="shared" si="36"/>
        <v>960</v>
      </c>
    </row>
    <row r="366" spans="3:9" ht="23.4" customHeight="1">
      <c r="C366" s="66" t="s">
        <v>1208</v>
      </c>
      <c r="D366" s="67"/>
      <c r="E366" s="67"/>
      <c r="F366" s="142"/>
      <c r="G366" s="153"/>
      <c r="H366" s="284">
        <f>SUM(H362:H365)</f>
        <v>63960</v>
      </c>
      <c r="I366" s="320"/>
    </row>
    <row r="367" spans="3:9" ht="23.4" customHeight="1">
      <c r="C367" s="290" t="s">
        <v>1209</v>
      </c>
      <c r="D367" s="182" t="s">
        <v>1210</v>
      </c>
      <c r="E367" s="70"/>
      <c r="F367" s="70"/>
      <c r="G367" s="70"/>
      <c r="H367" s="71"/>
    </row>
    <row r="368" spans="3:9" ht="23.4" customHeight="1">
      <c r="C368" s="310" t="s">
        <v>1203</v>
      </c>
      <c r="D368" s="182" t="s">
        <v>502</v>
      </c>
      <c r="E368" s="176" t="s">
        <v>42</v>
      </c>
      <c r="F368" s="282">
        <v>3.5999999999999997E-2</v>
      </c>
      <c r="G368" s="283">
        <f>VLOOKUP(D368,upahbahan,3,FALSE)</f>
        <v>3500000</v>
      </c>
      <c r="H368" s="284">
        <f>F368*G368</f>
        <v>125999.99999999999</v>
      </c>
    </row>
    <row r="369" spans="3:9" ht="23.4" customHeight="1">
      <c r="C369" s="310">
        <v>2</v>
      </c>
      <c r="D369" s="182" t="s">
        <v>562</v>
      </c>
      <c r="E369" s="176" t="s">
        <v>65</v>
      </c>
      <c r="F369" s="282">
        <v>0.1</v>
      </c>
      <c r="G369" s="283">
        <f>VLOOKUP(D369,upahbahan,3,FALSE)</f>
        <v>18000</v>
      </c>
      <c r="H369" s="284">
        <f>F369*G369</f>
        <v>1800</v>
      </c>
    </row>
    <row r="370" spans="3:9" ht="23.4" customHeight="1">
      <c r="C370" s="66" t="s">
        <v>1214</v>
      </c>
      <c r="D370" s="67"/>
      <c r="E370" s="67"/>
      <c r="F370" s="67"/>
      <c r="G370" s="69"/>
      <c r="H370" s="284">
        <f>SUM(H368:H369)</f>
        <v>127799.99999999999</v>
      </c>
    </row>
    <row r="371" spans="3:9" ht="23.4" customHeight="1">
      <c r="C371" s="321" t="s">
        <v>1215</v>
      </c>
      <c r="D371" s="182" t="s">
        <v>1216</v>
      </c>
      <c r="E371" s="70"/>
      <c r="F371" s="70"/>
      <c r="G371" s="70"/>
      <c r="H371" s="71"/>
    </row>
    <row r="372" spans="3:9" ht="23.4" customHeight="1">
      <c r="C372" s="66" t="s">
        <v>1217</v>
      </c>
      <c r="D372" s="67"/>
      <c r="E372" s="67"/>
      <c r="F372" s="67"/>
      <c r="G372" s="69"/>
      <c r="H372" s="292">
        <v>0</v>
      </c>
    </row>
    <row r="373" spans="3:9" ht="23.4" customHeight="1">
      <c r="C373" s="293" t="s">
        <v>1218</v>
      </c>
      <c r="D373" s="294" t="s">
        <v>1219</v>
      </c>
      <c r="E373" s="295"/>
      <c r="F373" s="295"/>
      <c r="G373" s="296"/>
      <c r="H373" s="284">
        <f>H372+H370+H366</f>
        <v>191760</v>
      </c>
    </row>
    <row r="374" spans="3:9" ht="23.4" customHeight="1">
      <c r="C374" s="293" t="s">
        <v>1220</v>
      </c>
      <c r="D374" s="294" t="s">
        <v>1321</v>
      </c>
      <c r="E374" s="295"/>
      <c r="F374" s="296"/>
      <c r="G374" s="298">
        <f>$M$8</f>
        <v>0.1</v>
      </c>
      <c r="H374" s="284">
        <f>H373*G374</f>
        <v>19176</v>
      </c>
    </row>
    <row r="375" spans="3:9" ht="23.4" customHeight="1" thickBot="1">
      <c r="C375" s="299" t="s">
        <v>1221</v>
      </c>
      <c r="D375" s="300" t="s">
        <v>1222</v>
      </c>
      <c r="E375" s="301"/>
      <c r="F375" s="301"/>
      <c r="G375" s="302"/>
      <c r="H375" s="303">
        <f>SUM(H373:H374)</f>
        <v>210936</v>
      </c>
    </row>
    <row r="376" spans="3:9" ht="14.4" thickTop="1">
      <c r="C376" s="289"/>
      <c r="D376" s="297"/>
      <c r="E376" s="297"/>
      <c r="F376" s="297"/>
      <c r="G376" s="297"/>
      <c r="H376" s="139"/>
    </row>
    <row r="377" spans="3:9" ht="15.75" customHeight="1" thickBot="1">
      <c r="C377" s="47" t="s">
        <v>2868</v>
      </c>
      <c r="D377" s="483" t="s">
        <v>1423</v>
      </c>
      <c r="E377" s="483"/>
      <c r="F377" s="483"/>
      <c r="G377" s="483"/>
      <c r="H377" s="483"/>
      <c r="I377" s="120">
        <f>ROUNDDOWN(H395,-2)</f>
        <v>35200</v>
      </c>
    </row>
    <row r="378" spans="3:9" ht="28.2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</row>
    <row r="379" spans="3:9" ht="23.4" customHeight="1">
      <c r="C379" s="290" t="s">
        <v>1201</v>
      </c>
      <c r="D379" s="182" t="s">
        <v>1202</v>
      </c>
      <c r="E379" s="70"/>
      <c r="F379" s="70"/>
      <c r="G379" s="70"/>
      <c r="H379" s="71"/>
    </row>
    <row r="380" spans="3:9" ht="23.4" customHeight="1">
      <c r="C380" s="281">
        <v>1</v>
      </c>
      <c r="D380" s="182" t="s">
        <v>5</v>
      </c>
      <c r="E380" s="176" t="s">
        <v>6</v>
      </c>
      <c r="F380" s="315">
        <v>6.25E-2</v>
      </c>
      <c r="G380" s="283">
        <f>VLOOKUP(D380,upahbahan,3,FALSE)</f>
        <v>100000</v>
      </c>
      <c r="H380" s="284">
        <f t="shared" ref="H380:H383" si="37">F380*G380</f>
        <v>6250</v>
      </c>
    </row>
    <row r="381" spans="3:9" ht="23.4" customHeight="1">
      <c r="C381" s="281">
        <v>2</v>
      </c>
      <c r="D381" s="182" t="s">
        <v>7</v>
      </c>
      <c r="E381" s="176" t="s">
        <v>6</v>
      </c>
      <c r="F381" s="315">
        <v>3.1300000000000001E-2</v>
      </c>
      <c r="G381" s="283">
        <f>VLOOKUP(D381,upahbahan,3,FALSE)</f>
        <v>135000</v>
      </c>
      <c r="H381" s="284">
        <f t="shared" si="37"/>
        <v>4225.5</v>
      </c>
    </row>
    <row r="382" spans="3:9" ht="23.4" customHeight="1">
      <c r="C382" s="281">
        <v>3</v>
      </c>
      <c r="D382" s="182" t="s">
        <v>18</v>
      </c>
      <c r="E382" s="176" t="s">
        <v>6</v>
      </c>
      <c r="F382" s="315">
        <v>3.0999999999999999E-3</v>
      </c>
      <c r="G382" s="283">
        <f>VLOOKUP(D382,upahbahan,3,FALSE)</f>
        <v>150000</v>
      </c>
      <c r="H382" s="284">
        <f t="shared" si="37"/>
        <v>465</v>
      </c>
    </row>
    <row r="383" spans="3:9" ht="23.4" customHeight="1">
      <c r="C383" s="281">
        <v>4</v>
      </c>
      <c r="D383" s="182" t="s">
        <v>19</v>
      </c>
      <c r="E383" s="176" t="s">
        <v>6</v>
      </c>
      <c r="F383" s="315">
        <v>1E-3</v>
      </c>
      <c r="G383" s="283">
        <f>VLOOKUP(D383,upahbahan,3,FALSE)</f>
        <v>160000</v>
      </c>
      <c r="H383" s="284">
        <f t="shared" si="37"/>
        <v>160</v>
      </c>
    </row>
    <row r="384" spans="3:9" ht="23.4" customHeight="1">
      <c r="C384" s="66" t="s">
        <v>1208</v>
      </c>
      <c r="D384" s="67"/>
      <c r="E384" s="67"/>
      <c r="F384" s="142"/>
      <c r="G384" s="153"/>
      <c r="H384" s="284">
        <f>SUM(H380:H383)</f>
        <v>11100.5</v>
      </c>
      <c r="I384" s="320"/>
    </row>
    <row r="385" spans="3:9" ht="23.4" customHeight="1">
      <c r="C385" s="290" t="s">
        <v>1209</v>
      </c>
      <c r="D385" s="182" t="s">
        <v>1210</v>
      </c>
      <c r="E385" s="70"/>
      <c r="F385" s="70"/>
      <c r="G385" s="70"/>
      <c r="H385" s="71"/>
    </row>
    <row r="386" spans="3:9" ht="23.4" customHeight="1">
      <c r="C386" s="310" t="s">
        <v>1203</v>
      </c>
      <c r="D386" s="182" t="s">
        <v>488</v>
      </c>
      <c r="E386" s="176" t="s">
        <v>44</v>
      </c>
      <c r="F386" s="282">
        <v>3.5</v>
      </c>
      <c r="G386" s="283">
        <f>VLOOKUP(D386,upahbahan,3,FALSE)</f>
        <v>4000</v>
      </c>
      <c r="H386" s="284">
        <f t="shared" ref="H386:H389" si="38">F386*G386</f>
        <v>14000</v>
      </c>
    </row>
    <row r="387" spans="3:9" ht="23.4" customHeight="1">
      <c r="C387" s="310" t="s">
        <v>1204</v>
      </c>
      <c r="D387" s="182" t="s">
        <v>2332</v>
      </c>
      <c r="E387" s="176" t="s">
        <v>65</v>
      </c>
      <c r="F387" s="282">
        <v>1.704</v>
      </c>
      <c r="G387" s="283">
        <f>VLOOKUP(D387,upahbahan,3,FALSE)</f>
        <v>1530</v>
      </c>
      <c r="H387" s="284">
        <f t="shared" si="38"/>
        <v>2607.12</v>
      </c>
    </row>
    <row r="388" spans="3:9" ht="23.4" customHeight="1">
      <c r="C388" s="310" t="s">
        <v>1205</v>
      </c>
      <c r="D388" s="182" t="s">
        <v>562</v>
      </c>
      <c r="E388" s="176" t="s">
        <v>65</v>
      </c>
      <c r="F388" s="282">
        <v>0.188</v>
      </c>
      <c r="G388" s="283">
        <f>VLOOKUP(D388,upahbahan,3,FALSE)</f>
        <v>18000</v>
      </c>
      <c r="H388" s="284">
        <f t="shared" si="38"/>
        <v>3384</v>
      </c>
    </row>
    <row r="389" spans="3:9" ht="23.4" customHeight="1">
      <c r="C389" s="310" t="s">
        <v>1206</v>
      </c>
      <c r="D389" s="285" t="s">
        <v>85</v>
      </c>
      <c r="E389" s="176" t="s">
        <v>42</v>
      </c>
      <c r="F389" s="282">
        <v>3.0000000000000001E-3</v>
      </c>
      <c r="G389" s="283">
        <f>VLOOKUP(D389,upahbahan,3,FALSE)</f>
        <v>310500</v>
      </c>
      <c r="H389" s="284">
        <f t="shared" si="38"/>
        <v>931.5</v>
      </c>
    </row>
    <row r="390" spans="3:9" ht="23.4" customHeight="1">
      <c r="C390" s="66" t="s">
        <v>1214</v>
      </c>
      <c r="D390" s="67"/>
      <c r="E390" s="67"/>
      <c r="F390" s="67"/>
      <c r="G390" s="69"/>
      <c r="H390" s="284">
        <f>SUM(H386:H389)</f>
        <v>20922.62</v>
      </c>
    </row>
    <row r="391" spans="3:9" ht="23.4" customHeight="1">
      <c r="C391" s="321" t="s">
        <v>1215</v>
      </c>
      <c r="D391" s="182" t="s">
        <v>1216</v>
      </c>
      <c r="E391" s="70"/>
      <c r="F391" s="70"/>
      <c r="G391" s="70"/>
      <c r="H391" s="71"/>
    </row>
    <row r="392" spans="3:9" ht="23.4" customHeight="1">
      <c r="C392" s="66" t="s">
        <v>1217</v>
      </c>
      <c r="D392" s="67"/>
      <c r="E392" s="67"/>
      <c r="F392" s="67"/>
      <c r="G392" s="69"/>
      <c r="H392" s="292">
        <v>0</v>
      </c>
    </row>
    <row r="393" spans="3:9" ht="23.4" customHeight="1">
      <c r="C393" s="293" t="s">
        <v>1218</v>
      </c>
      <c r="D393" s="294" t="s">
        <v>1219</v>
      </c>
      <c r="E393" s="295"/>
      <c r="F393" s="295"/>
      <c r="G393" s="296"/>
      <c r="H393" s="284">
        <f>H392+H390+H384</f>
        <v>32023.119999999999</v>
      </c>
    </row>
    <row r="394" spans="3:9" ht="23.4" customHeight="1">
      <c r="C394" s="293" t="s">
        <v>1220</v>
      </c>
      <c r="D394" s="294" t="s">
        <v>1321</v>
      </c>
      <c r="E394" s="295"/>
      <c r="F394" s="296"/>
      <c r="G394" s="298">
        <f>$M$8</f>
        <v>0.1</v>
      </c>
      <c r="H394" s="284">
        <f>H393*G394</f>
        <v>3202.3119999999999</v>
      </c>
    </row>
    <row r="395" spans="3:9" ht="23.4" customHeight="1" thickBot="1">
      <c r="C395" s="299" t="s">
        <v>1221</v>
      </c>
      <c r="D395" s="300" t="s">
        <v>1222</v>
      </c>
      <c r="E395" s="301"/>
      <c r="F395" s="301"/>
      <c r="G395" s="302"/>
      <c r="H395" s="303">
        <f>SUM(H393:H394)</f>
        <v>35225.432000000001</v>
      </c>
    </row>
    <row r="396" spans="3:9" ht="14.4" thickTop="1">
      <c r="C396" s="289"/>
      <c r="D396" s="297"/>
      <c r="E396" s="297"/>
      <c r="F396" s="297"/>
      <c r="G396" s="297"/>
      <c r="H396" s="139"/>
    </row>
    <row r="397" spans="3:9" ht="15.75" customHeight="1" thickBot="1">
      <c r="C397" s="47" t="s">
        <v>2869</v>
      </c>
      <c r="D397" s="483" t="s">
        <v>1424</v>
      </c>
      <c r="E397" s="483"/>
      <c r="F397" s="483"/>
      <c r="G397" s="483"/>
      <c r="H397" s="483"/>
      <c r="I397" s="120">
        <f>ROUNDDOWN(H415,-2)</f>
        <v>37900</v>
      </c>
    </row>
    <row r="398" spans="3:9" ht="28.2" thickTop="1">
      <c r="C398" s="51" t="s">
        <v>1195</v>
      </c>
      <c r="D398" s="52" t="s">
        <v>1196</v>
      </c>
      <c r="E398" s="52" t="s">
        <v>1197</v>
      </c>
      <c r="F398" s="52" t="s">
        <v>1198</v>
      </c>
      <c r="G398" s="52" t="s">
        <v>1199</v>
      </c>
      <c r="H398" s="53" t="s">
        <v>1200</v>
      </c>
    </row>
    <row r="399" spans="3:9">
      <c r="C399" s="290" t="s">
        <v>1201</v>
      </c>
      <c r="D399" s="182" t="s">
        <v>1202</v>
      </c>
      <c r="E399" s="70"/>
      <c r="F399" s="70"/>
      <c r="G399" s="70"/>
      <c r="H399" s="71"/>
    </row>
    <row r="400" spans="3:9" ht="23.4" customHeight="1">
      <c r="C400" s="281">
        <v>1</v>
      </c>
      <c r="D400" s="182" t="s">
        <v>5</v>
      </c>
      <c r="E400" s="176" t="s">
        <v>6</v>
      </c>
      <c r="F400" s="309">
        <v>6.6699999999999995E-2</v>
      </c>
      <c r="G400" s="283">
        <f>VLOOKUP(D400,upahbahan,3,FALSE)</f>
        <v>100000</v>
      </c>
      <c r="H400" s="284">
        <f>F400*G400</f>
        <v>6669.9999999999991</v>
      </c>
    </row>
    <row r="401" spans="3:9" ht="23.4" customHeight="1">
      <c r="C401" s="281">
        <v>2</v>
      </c>
      <c r="D401" s="182" t="s">
        <v>7</v>
      </c>
      <c r="E401" s="176" t="s">
        <v>6</v>
      </c>
      <c r="F401" s="309">
        <v>3.3300000000000003E-2</v>
      </c>
      <c r="G401" s="283">
        <f>VLOOKUP(D401,upahbahan,3,FALSE)</f>
        <v>135000</v>
      </c>
      <c r="H401" s="284">
        <f t="shared" ref="H401:H403" si="39">F401*G401</f>
        <v>4495.5</v>
      </c>
    </row>
    <row r="402" spans="3:9" ht="23.4" customHeight="1">
      <c r="C402" s="281">
        <v>3</v>
      </c>
      <c r="D402" s="182" t="s">
        <v>18</v>
      </c>
      <c r="E402" s="176" t="s">
        <v>6</v>
      </c>
      <c r="F402" s="309">
        <v>3.3E-3</v>
      </c>
      <c r="G402" s="283">
        <f>VLOOKUP(D402,upahbahan,3,FALSE)</f>
        <v>150000</v>
      </c>
      <c r="H402" s="284">
        <f t="shared" si="39"/>
        <v>495</v>
      </c>
    </row>
    <row r="403" spans="3:9" ht="23.4" customHeight="1">
      <c r="C403" s="281">
        <v>4</v>
      </c>
      <c r="D403" s="182" t="s">
        <v>19</v>
      </c>
      <c r="E403" s="176" t="s">
        <v>6</v>
      </c>
      <c r="F403" s="309">
        <v>1.1000000000000001E-3</v>
      </c>
      <c r="G403" s="283">
        <f>VLOOKUP(D403,upahbahan,3,FALSE)</f>
        <v>160000</v>
      </c>
      <c r="H403" s="284">
        <f t="shared" si="39"/>
        <v>176</v>
      </c>
    </row>
    <row r="404" spans="3:9" ht="23.4" customHeight="1">
      <c r="C404" s="66" t="s">
        <v>1208</v>
      </c>
      <c r="D404" s="67"/>
      <c r="E404" s="67"/>
      <c r="F404" s="142"/>
      <c r="G404" s="153"/>
      <c r="H404" s="284">
        <f>SUM(H400:H403)</f>
        <v>11836.5</v>
      </c>
      <c r="I404" s="320"/>
    </row>
    <row r="405" spans="3:9" ht="23.4" customHeight="1">
      <c r="C405" s="290" t="s">
        <v>1209</v>
      </c>
      <c r="D405" s="182" t="s">
        <v>1210</v>
      </c>
      <c r="E405" s="70"/>
      <c r="F405" s="70"/>
      <c r="G405" s="70"/>
      <c r="H405" s="71"/>
    </row>
    <row r="406" spans="3:9" ht="23.4" customHeight="1">
      <c r="C406" s="310" t="s">
        <v>1203</v>
      </c>
      <c r="D406" s="182" t="s">
        <v>489</v>
      </c>
      <c r="E406" s="176" t="s">
        <v>44</v>
      </c>
      <c r="F406" s="309">
        <v>2.625</v>
      </c>
      <c r="G406" s="283">
        <f>VLOOKUP(D406,upahbahan,3,FALSE)</f>
        <v>6000</v>
      </c>
      <c r="H406" s="284">
        <f>F406*G406</f>
        <v>15750</v>
      </c>
    </row>
    <row r="407" spans="3:9" ht="23.4" customHeight="1">
      <c r="C407" s="310" t="s">
        <v>1204</v>
      </c>
      <c r="D407" s="182" t="s">
        <v>2332</v>
      </c>
      <c r="E407" s="176" t="s">
        <v>65</v>
      </c>
      <c r="F407" s="309">
        <v>1.704</v>
      </c>
      <c r="G407" s="283">
        <f>VLOOKUP(D407,upahbahan,3,FALSE)</f>
        <v>1530</v>
      </c>
      <c r="H407" s="284">
        <f t="shared" ref="H407:H409" si="40">F407*G407</f>
        <v>2607.12</v>
      </c>
    </row>
    <row r="408" spans="3:9" ht="23.4" customHeight="1">
      <c r="C408" s="310" t="s">
        <v>1205</v>
      </c>
      <c r="D408" s="182" t="s">
        <v>562</v>
      </c>
      <c r="E408" s="176" t="s">
        <v>65</v>
      </c>
      <c r="F408" s="309">
        <v>0.188</v>
      </c>
      <c r="G408" s="283">
        <f>VLOOKUP(D408,upahbahan,3,FALSE)</f>
        <v>18000</v>
      </c>
      <c r="H408" s="284">
        <f t="shared" si="40"/>
        <v>3384</v>
      </c>
    </row>
    <row r="409" spans="3:9" ht="23.4" customHeight="1">
      <c r="C409" s="310" t="s">
        <v>1206</v>
      </c>
      <c r="D409" s="285" t="s">
        <v>85</v>
      </c>
      <c r="E409" s="176" t="s">
        <v>42</v>
      </c>
      <c r="F409" s="309">
        <v>3.0000000000000001E-3</v>
      </c>
      <c r="G409" s="283">
        <f>VLOOKUP(D409,upahbahan,3,FALSE)</f>
        <v>310500</v>
      </c>
      <c r="H409" s="284">
        <f t="shared" si="40"/>
        <v>931.5</v>
      </c>
    </row>
    <row r="410" spans="3:9" ht="23.4" customHeight="1">
      <c r="C410" s="66" t="s">
        <v>1214</v>
      </c>
      <c r="D410" s="67"/>
      <c r="E410" s="67"/>
      <c r="F410" s="67"/>
      <c r="G410" s="69"/>
      <c r="H410" s="284">
        <f>SUM(H406:H409)</f>
        <v>22672.62</v>
      </c>
    </row>
    <row r="411" spans="3:9" ht="23.4" customHeight="1">
      <c r="C411" s="321" t="s">
        <v>1215</v>
      </c>
      <c r="D411" s="182" t="s">
        <v>1216</v>
      </c>
      <c r="E411" s="70"/>
      <c r="F411" s="70"/>
      <c r="G411" s="70"/>
      <c r="H411" s="71"/>
    </row>
    <row r="412" spans="3:9" ht="23.4" customHeight="1">
      <c r="C412" s="66" t="s">
        <v>1217</v>
      </c>
      <c r="D412" s="67"/>
      <c r="E412" s="67"/>
      <c r="F412" s="67"/>
      <c r="G412" s="69"/>
      <c r="H412" s="292">
        <v>0</v>
      </c>
    </row>
    <row r="413" spans="3:9" ht="23.4" customHeight="1">
      <c r="C413" s="293" t="s">
        <v>1218</v>
      </c>
      <c r="D413" s="294" t="s">
        <v>1219</v>
      </c>
      <c r="E413" s="295"/>
      <c r="F413" s="295"/>
      <c r="G413" s="296"/>
      <c r="H413" s="284">
        <f>H412+H410+H404</f>
        <v>34509.119999999995</v>
      </c>
    </row>
    <row r="414" spans="3:9" ht="23.4" customHeight="1">
      <c r="C414" s="293" t="s">
        <v>1220</v>
      </c>
      <c r="D414" s="294" t="s">
        <v>1321</v>
      </c>
      <c r="E414" s="295"/>
      <c r="F414" s="296"/>
      <c r="G414" s="298">
        <f>$M$8</f>
        <v>0.1</v>
      </c>
      <c r="H414" s="284">
        <f>H413*G414</f>
        <v>3450.9119999999998</v>
      </c>
    </row>
    <row r="415" spans="3:9" ht="23.4" customHeight="1" thickBot="1">
      <c r="C415" s="299" t="s">
        <v>1221</v>
      </c>
      <c r="D415" s="300" t="s">
        <v>1222</v>
      </c>
      <c r="E415" s="301"/>
      <c r="F415" s="301"/>
      <c r="G415" s="302"/>
      <c r="H415" s="303">
        <f>SUM(H413:H414)</f>
        <v>37960.031999999992</v>
      </c>
    </row>
    <row r="416" spans="3:9" ht="14.4" thickTop="1">
      <c r="C416" s="289"/>
      <c r="D416" s="297"/>
      <c r="E416" s="297"/>
      <c r="F416" s="297"/>
      <c r="G416" s="297"/>
      <c r="H416" s="139"/>
    </row>
    <row r="417" spans="3:9">
      <c r="C417" s="126" t="s">
        <v>2870</v>
      </c>
      <c r="D417" s="138" t="s">
        <v>2871</v>
      </c>
      <c r="E417" s="297"/>
      <c r="F417" s="297"/>
      <c r="G417" s="297"/>
      <c r="H417" s="139"/>
    </row>
    <row r="418" spans="3:9" ht="15.75" customHeight="1" thickBot="1">
      <c r="C418" s="47" t="s">
        <v>2872</v>
      </c>
      <c r="D418" s="483" t="s">
        <v>2874</v>
      </c>
      <c r="E418" s="483"/>
      <c r="F418" s="483"/>
      <c r="G418" s="483"/>
      <c r="H418" s="483"/>
      <c r="I418" s="120">
        <f>ROUNDDOWN(H436,-2)</f>
        <v>346400</v>
      </c>
    </row>
    <row r="419" spans="3:9" ht="28.2" thickTop="1">
      <c r="C419" s="51" t="s">
        <v>1195</v>
      </c>
      <c r="D419" s="52" t="s">
        <v>1196</v>
      </c>
      <c r="E419" s="52" t="s">
        <v>1197</v>
      </c>
      <c r="F419" s="52" t="s">
        <v>1198</v>
      </c>
      <c r="G419" s="52" t="s">
        <v>1199</v>
      </c>
      <c r="H419" s="53" t="s">
        <v>1200</v>
      </c>
    </row>
    <row r="420" spans="3:9" ht="23.4" customHeight="1">
      <c r="C420" s="290" t="s">
        <v>1201</v>
      </c>
      <c r="D420" s="182" t="s">
        <v>1202</v>
      </c>
      <c r="E420" s="70"/>
      <c r="F420" s="70"/>
      <c r="G420" s="70"/>
      <c r="H420" s="71"/>
    </row>
    <row r="421" spans="3:9" ht="23.4" customHeight="1">
      <c r="C421" s="281">
        <v>1</v>
      </c>
      <c r="D421" s="182" t="s">
        <v>5</v>
      </c>
      <c r="E421" s="176" t="s">
        <v>6</v>
      </c>
      <c r="F421" s="309">
        <v>0.1429</v>
      </c>
      <c r="G421" s="283">
        <f>VLOOKUP(D421,upahbahan,3,FALSE)</f>
        <v>100000</v>
      </c>
      <c r="H421" s="284">
        <f t="shared" ref="H421:H424" si="41">F421*G421</f>
        <v>14290</v>
      </c>
    </row>
    <row r="422" spans="3:9" ht="23.4" customHeight="1">
      <c r="C422" s="281">
        <v>2</v>
      </c>
      <c r="D422" s="182" t="s">
        <v>7</v>
      </c>
      <c r="E422" s="176" t="s">
        <v>6</v>
      </c>
      <c r="F422" s="309">
        <v>7.1400000000000005E-2</v>
      </c>
      <c r="G422" s="283">
        <f>VLOOKUP(D422,upahbahan,3,FALSE)</f>
        <v>135000</v>
      </c>
      <c r="H422" s="284">
        <f t="shared" si="41"/>
        <v>9639</v>
      </c>
    </row>
    <row r="423" spans="3:9" ht="23.4" customHeight="1">
      <c r="C423" s="281">
        <v>3</v>
      </c>
      <c r="D423" s="182" t="s">
        <v>18</v>
      </c>
      <c r="E423" s="176" t="s">
        <v>6</v>
      </c>
      <c r="F423" s="309">
        <v>7.1000000000000004E-3</v>
      </c>
      <c r="G423" s="283">
        <f>VLOOKUP(D423,upahbahan,3,FALSE)</f>
        <v>150000</v>
      </c>
      <c r="H423" s="284">
        <f t="shared" si="41"/>
        <v>1065</v>
      </c>
    </row>
    <row r="424" spans="3:9" ht="23.4" customHeight="1">
      <c r="C424" s="281">
        <v>4</v>
      </c>
      <c r="D424" s="182" t="s">
        <v>19</v>
      </c>
      <c r="E424" s="176" t="s">
        <v>6</v>
      </c>
      <c r="F424" s="309">
        <v>2.3999999999999998E-3</v>
      </c>
      <c r="G424" s="283">
        <f>VLOOKUP(D424,upahbahan,3,FALSE)</f>
        <v>160000</v>
      </c>
      <c r="H424" s="284">
        <f t="shared" si="41"/>
        <v>383.99999999999994</v>
      </c>
    </row>
    <row r="425" spans="3:9" ht="23.4" customHeight="1">
      <c r="C425" s="66" t="s">
        <v>1208</v>
      </c>
      <c r="D425" s="67"/>
      <c r="E425" s="67"/>
      <c r="F425" s="142"/>
      <c r="G425" s="153"/>
      <c r="H425" s="284">
        <f>SUM(H421:H424)</f>
        <v>25378</v>
      </c>
      <c r="I425" s="320"/>
    </row>
    <row r="426" spans="3:9" ht="23.4" customHeight="1">
      <c r="C426" s="290" t="s">
        <v>1209</v>
      </c>
      <c r="D426" s="182" t="s">
        <v>1210</v>
      </c>
      <c r="E426" s="70"/>
      <c r="F426" s="70"/>
      <c r="G426" s="70"/>
      <c r="H426" s="71"/>
    </row>
    <row r="427" spans="3:9" ht="23.4" customHeight="1">
      <c r="C427" s="310" t="s">
        <v>1203</v>
      </c>
      <c r="D427" s="182" t="s">
        <v>416</v>
      </c>
      <c r="E427" s="176" t="s">
        <v>44</v>
      </c>
      <c r="F427" s="309">
        <v>11.667</v>
      </c>
      <c r="G427" s="283">
        <f>VLOOKUP(D427,upahbahan,3,FALSE)</f>
        <v>20000</v>
      </c>
      <c r="H427" s="284">
        <f t="shared" ref="H427:H430" si="42">F427*G427</f>
        <v>233340</v>
      </c>
    </row>
    <row r="428" spans="3:9" ht="23.4" customHeight="1">
      <c r="C428" s="310" t="s">
        <v>1204</v>
      </c>
      <c r="D428" s="182" t="s">
        <v>2332</v>
      </c>
      <c r="E428" s="176" t="s">
        <v>65</v>
      </c>
      <c r="F428" s="309">
        <v>13.632</v>
      </c>
      <c r="G428" s="283">
        <f>VLOOKUP(D428,upahbahan,3,FALSE)</f>
        <v>1530</v>
      </c>
      <c r="H428" s="284">
        <f t="shared" si="42"/>
        <v>20856.96</v>
      </c>
    </row>
    <row r="429" spans="3:9" ht="23.4" customHeight="1">
      <c r="C429" s="310" t="s">
        <v>1205</v>
      </c>
      <c r="D429" s="182" t="s">
        <v>562</v>
      </c>
      <c r="E429" s="176" t="s">
        <v>65</v>
      </c>
      <c r="F429" s="282">
        <v>1.5</v>
      </c>
      <c r="G429" s="283">
        <f>VLOOKUP(D429,upahbahan,3,FALSE)</f>
        <v>18000</v>
      </c>
      <c r="H429" s="284">
        <f t="shared" si="42"/>
        <v>27000</v>
      </c>
    </row>
    <row r="430" spans="3:9" ht="23.4" customHeight="1">
      <c r="C430" s="310" t="s">
        <v>1206</v>
      </c>
      <c r="D430" s="285" t="s">
        <v>85</v>
      </c>
      <c r="E430" s="176" t="s">
        <v>42</v>
      </c>
      <c r="F430" s="282">
        <v>2.7E-2</v>
      </c>
      <c r="G430" s="283">
        <f>VLOOKUP(D430,upahbahan,3,FALSE)</f>
        <v>310500</v>
      </c>
      <c r="H430" s="284">
        <f t="shared" si="42"/>
        <v>8383.5</v>
      </c>
    </row>
    <row r="431" spans="3:9" ht="23.4" customHeight="1">
      <c r="C431" s="66" t="s">
        <v>1214</v>
      </c>
      <c r="D431" s="67"/>
      <c r="E431" s="67"/>
      <c r="F431" s="67"/>
      <c r="G431" s="69"/>
      <c r="H431" s="284">
        <f>SUM(H427:H430)</f>
        <v>289580.45999999996</v>
      </c>
    </row>
    <row r="432" spans="3:9" ht="23.4" customHeight="1">
      <c r="C432" s="321" t="s">
        <v>1215</v>
      </c>
      <c r="D432" s="182" t="s">
        <v>1216</v>
      </c>
      <c r="E432" s="70"/>
      <c r="F432" s="70"/>
      <c r="G432" s="70"/>
      <c r="H432" s="71"/>
    </row>
    <row r="433" spans="3:9" ht="23.4" customHeight="1">
      <c r="C433" s="66" t="s">
        <v>1217</v>
      </c>
      <c r="D433" s="67"/>
      <c r="E433" s="67"/>
      <c r="F433" s="67"/>
      <c r="G433" s="69"/>
      <c r="H433" s="292">
        <v>0</v>
      </c>
    </row>
    <row r="434" spans="3:9" ht="23.4" customHeight="1">
      <c r="C434" s="293" t="s">
        <v>1218</v>
      </c>
      <c r="D434" s="294" t="s">
        <v>1219</v>
      </c>
      <c r="E434" s="295"/>
      <c r="F434" s="295"/>
      <c r="G434" s="296"/>
      <c r="H434" s="284">
        <f>H433+H431+H425</f>
        <v>314958.45999999996</v>
      </c>
    </row>
    <row r="435" spans="3:9" ht="23.4" customHeight="1">
      <c r="C435" s="293" t="s">
        <v>1220</v>
      </c>
      <c r="D435" s="294" t="s">
        <v>1321</v>
      </c>
      <c r="E435" s="295"/>
      <c r="F435" s="296"/>
      <c r="G435" s="298">
        <f>$M$8</f>
        <v>0.1</v>
      </c>
      <c r="H435" s="284">
        <f>H434*G435</f>
        <v>31495.845999999998</v>
      </c>
    </row>
    <row r="436" spans="3:9" ht="23.4" customHeight="1" thickBot="1">
      <c r="C436" s="299" t="s">
        <v>1221</v>
      </c>
      <c r="D436" s="300" t="s">
        <v>1222</v>
      </c>
      <c r="E436" s="301"/>
      <c r="F436" s="301"/>
      <c r="G436" s="302"/>
      <c r="H436" s="303">
        <f>SUM(H434:H435)</f>
        <v>346454.30599999998</v>
      </c>
    </row>
    <row r="437" spans="3:9" ht="14.4" thickTop="1">
      <c r="C437" s="289"/>
      <c r="D437" s="297"/>
      <c r="E437" s="297"/>
      <c r="F437" s="297"/>
      <c r="G437" s="297"/>
      <c r="H437" s="139"/>
    </row>
    <row r="438" spans="3:9" ht="15.75" customHeight="1" thickBot="1">
      <c r="C438" s="47" t="s">
        <v>2873</v>
      </c>
      <c r="D438" s="483" t="s">
        <v>2875</v>
      </c>
      <c r="E438" s="483"/>
      <c r="F438" s="483"/>
      <c r="G438" s="483"/>
      <c r="H438" s="483"/>
      <c r="I438" s="120">
        <f>ROUNDDOWN(H456,-2)</f>
        <v>308500</v>
      </c>
    </row>
    <row r="439" spans="3:9" ht="28.2" thickTop="1">
      <c r="C439" s="51" t="s">
        <v>1195</v>
      </c>
      <c r="D439" s="52" t="s">
        <v>1196</v>
      </c>
      <c r="E439" s="52" t="s">
        <v>1197</v>
      </c>
      <c r="F439" s="52" t="s">
        <v>1198</v>
      </c>
      <c r="G439" s="52" t="s">
        <v>1199</v>
      </c>
      <c r="H439" s="53" t="s">
        <v>1200</v>
      </c>
    </row>
    <row r="440" spans="3:9" ht="23.4" customHeight="1">
      <c r="C440" s="290" t="s">
        <v>1201</v>
      </c>
      <c r="D440" s="182" t="s">
        <v>1202</v>
      </c>
      <c r="E440" s="70"/>
      <c r="F440" s="70"/>
      <c r="G440" s="70"/>
      <c r="H440" s="71"/>
    </row>
    <row r="441" spans="3:9" ht="23.4" customHeight="1">
      <c r="C441" s="281">
        <v>1</v>
      </c>
      <c r="D441" s="182" t="s">
        <v>5</v>
      </c>
      <c r="E441" s="176" t="s">
        <v>6</v>
      </c>
      <c r="F441" s="315">
        <v>0.15379999999999999</v>
      </c>
      <c r="G441" s="283">
        <f>VLOOKUP(D441,upahbahan,3,FALSE)</f>
        <v>100000</v>
      </c>
      <c r="H441" s="284">
        <f t="shared" ref="H441:H444" si="43">F441*G441</f>
        <v>15380</v>
      </c>
    </row>
    <row r="442" spans="3:9" ht="23.4" customHeight="1">
      <c r="C442" s="281">
        <v>2</v>
      </c>
      <c r="D442" s="182" t="s">
        <v>7</v>
      </c>
      <c r="E442" s="176" t="s">
        <v>6</v>
      </c>
      <c r="F442" s="315">
        <v>7.6899999999999996E-2</v>
      </c>
      <c r="G442" s="283">
        <f>VLOOKUP(D442,upahbahan,3,FALSE)</f>
        <v>135000</v>
      </c>
      <c r="H442" s="284">
        <f t="shared" si="43"/>
        <v>10381.5</v>
      </c>
    </row>
    <row r="443" spans="3:9" ht="23.4" customHeight="1">
      <c r="C443" s="281">
        <v>3</v>
      </c>
      <c r="D443" s="182" t="s">
        <v>18</v>
      </c>
      <c r="E443" s="176" t="s">
        <v>6</v>
      </c>
      <c r="F443" s="315">
        <v>7.7000000000000002E-3</v>
      </c>
      <c r="G443" s="283">
        <f>VLOOKUP(D443,upahbahan,3,FALSE)</f>
        <v>150000</v>
      </c>
      <c r="H443" s="284">
        <f t="shared" si="43"/>
        <v>1155</v>
      </c>
    </row>
    <row r="444" spans="3:9" ht="23.4" customHeight="1">
      <c r="C444" s="281">
        <v>4</v>
      </c>
      <c r="D444" s="182" t="s">
        <v>19</v>
      </c>
      <c r="E444" s="176" t="s">
        <v>6</v>
      </c>
      <c r="F444" s="315">
        <v>2.5999999999999999E-3</v>
      </c>
      <c r="G444" s="283">
        <f>VLOOKUP(D444,upahbahan,3,FALSE)</f>
        <v>160000</v>
      </c>
      <c r="H444" s="284">
        <f t="shared" si="43"/>
        <v>416</v>
      </c>
    </row>
    <row r="445" spans="3:9" ht="23.4" customHeight="1">
      <c r="C445" s="66" t="s">
        <v>1208</v>
      </c>
      <c r="D445" s="67"/>
      <c r="E445" s="67"/>
      <c r="F445" s="142"/>
      <c r="G445" s="153"/>
      <c r="H445" s="284">
        <f>SUM(H441:H444)</f>
        <v>27332.5</v>
      </c>
      <c r="I445" s="320"/>
    </row>
    <row r="446" spans="3:9" ht="23.4" customHeight="1">
      <c r="C446" s="290" t="s">
        <v>1209</v>
      </c>
      <c r="D446" s="182" t="s">
        <v>1210</v>
      </c>
      <c r="E446" s="70"/>
      <c r="F446" s="70"/>
      <c r="G446" s="70"/>
      <c r="H446" s="71"/>
    </row>
    <row r="447" spans="3:9" ht="23.4" customHeight="1">
      <c r="C447" s="310" t="s">
        <v>1203</v>
      </c>
      <c r="D447" s="182" t="s">
        <v>417</v>
      </c>
      <c r="E447" s="176" t="s">
        <v>44</v>
      </c>
      <c r="F447" s="309">
        <v>6.5629999999999997</v>
      </c>
      <c r="G447" s="283">
        <f>VLOOKUP(D447,upahbahan,3,FALSE)</f>
        <v>30000</v>
      </c>
      <c r="H447" s="284">
        <f>F447*G447</f>
        <v>196890</v>
      </c>
    </row>
    <row r="448" spans="3:9" ht="23.4" customHeight="1">
      <c r="C448" s="310" t="s">
        <v>1204</v>
      </c>
      <c r="D448" s="182" t="s">
        <v>2332</v>
      </c>
      <c r="E448" s="176" t="s">
        <v>65</v>
      </c>
      <c r="F448" s="309">
        <v>13.632</v>
      </c>
      <c r="G448" s="283">
        <f>VLOOKUP(D448,upahbahan,3,FALSE)</f>
        <v>1530</v>
      </c>
      <c r="H448" s="284">
        <f t="shared" ref="H448:H450" si="44">F448*G448</f>
        <v>20856.96</v>
      </c>
    </row>
    <row r="449" spans="3:9" ht="23.4" customHeight="1">
      <c r="C449" s="310" t="s">
        <v>1205</v>
      </c>
      <c r="D449" s="182" t="s">
        <v>562</v>
      </c>
      <c r="E449" s="176" t="s">
        <v>65</v>
      </c>
      <c r="F449" s="282">
        <v>1.5</v>
      </c>
      <c r="G449" s="283">
        <f>VLOOKUP(D449,upahbahan,3,FALSE)</f>
        <v>18000</v>
      </c>
      <c r="H449" s="284">
        <f t="shared" si="44"/>
        <v>27000</v>
      </c>
    </row>
    <row r="450" spans="3:9" ht="23.4" customHeight="1">
      <c r="C450" s="310" t="s">
        <v>1206</v>
      </c>
      <c r="D450" s="285" t="s">
        <v>85</v>
      </c>
      <c r="E450" s="176" t="s">
        <v>42</v>
      </c>
      <c r="F450" s="282">
        <v>2.7E-2</v>
      </c>
      <c r="G450" s="283">
        <f>VLOOKUP(D450,upahbahan,3,FALSE)</f>
        <v>310500</v>
      </c>
      <c r="H450" s="284">
        <f t="shared" si="44"/>
        <v>8383.5</v>
      </c>
    </row>
    <row r="451" spans="3:9" ht="23.4" customHeight="1">
      <c r="C451" s="66" t="s">
        <v>1214</v>
      </c>
      <c r="D451" s="67"/>
      <c r="E451" s="67"/>
      <c r="F451" s="67"/>
      <c r="G451" s="69"/>
      <c r="H451" s="284">
        <f>SUM(H447:H450)</f>
        <v>253130.46</v>
      </c>
    </row>
    <row r="452" spans="3:9" ht="23.4" customHeight="1">
      <c r="C452" s="321" t="s">
        <v>1215</v>
      </c>
      <c r="D452" s="182" t="s">
        <v>1216</v>
      </c>
      <c r="E452" s="70"/>
      <c r="F452" s="70"/>
      <c r="G452" s="70"/>
      <c r="H452" s="71"/>
    </row>
    <row r="453" spans="3:9" ht="23.4" customHeight="1">
      <c r="C453" s="66" t="s">
        <v>1217</v>
      </c>
      <c r="D453" s="67"/>
      <c r="E453" s="67"/>
      <c r="F453" s="67"/>
      <c r="G453" s="69"/>
      <c r="H453" s="292">
        <v>0</v>
      </c>
    </row>
    <row r="454" spans="3:9" ht="23.4" customHeight="1">
      <c r="C454" s="293" t="s">
        <v>1218</v>
      </c>
      <c r="D454" s="294" t="s">
        <v>1219</v>
      </c>
      <c r="E454" s="295"/>
      <c r="F454" s="295"/>
      <c r="G454" s="296"/>
      <c r="H454" s="284">
        <f>H453+H451+H445</f>
        <v>280462.95999999996</v>
      </c>
    </row>
    <row r="455" spans="3:9" ht="23.4" customHeight="1">
      <c r="C455" s="293" t="s">
        <v>1220</v>
      </c>
      <c r="D455" s="294" t="s">
        <v>1321</v>
      </c>
      <c r="E455" s="295"/>
      <c r="F455" s="296"/>
      <c r="G455" s="298">
        <f>$M$8</f>
        <v>0.1</v>
      </c>
      <c r="H455" s="284">
        <f>H454*G455</f>
        <v>28046.295999999998</v>
      </c>
    </row>
    <row r="456" spans="3:9" ht="23.4" customHeight="1" thickBot="1">
      <c r="C456" s="299" t="s">
        <v>1221</v>
      </c>
      <c r="D456" s="300" t="s">
        <v>1222</v>
      </c>
      <c r="E456" s="301"/>
      <c r="F456" s="301"/>
      <c r="G456" s="302"/>
      <c r="H456" s="303">
        <f>SUM(H454:H455)</f>
        <v>308509.25599999994</v>
      </c>
    </row>
    <row r="457" spans="3:9" ht="14.4" thickTop="1">
      <c r="C457" s="289"/>
      <c r="D457" s="297"/>
      <c r="E457" s="297"/>
      <c r="F457" s="297"/>
      <c r="G457" s="297"/>
      <c r="H457" s="139"/>
    </row>
    <row r="458" spans="3:9" ht="15.75" customHeight="1" thickBot="1">
      <c r="C458" s="47" t="s">
        <v>2876</v>
      </c>
      <c r="D458" s="483" t="s">
        <v>2877</v>
      </c>
      <c r="E458" s="483"/>
      <c r="F458" s="483"/>
      <c r="G458" s="483"/>
      <c r="H458" s="483"/>
      <c r="I458" s="120">
        <f>ROUNDDOWN(H476,-2)</f>
        <v>264000</v>
      </c>
    </row>
    <row r="459" spans="3:9" ht="28.2" thickTop="1">
      <c r="C459" s="51" t="s">
        <v>1195</v>
      </c>
      <c r="D459" s="52" t="s">
        <v>1196</v>
      </c>
      <c r="E459" s="52" t="s">
        <v>1197</v>
      </c>
      <c r="F459" s="52" t="s">
        <v>1198</v>
      </c>
      <c r="G459" s="52" t="s">
        <v>1199</v>
      </c>
      <c r="H459" s="53" t="s">
        <v>1200</v>
      </c>
    </row>
    <row r="460" spans="3:9" ht="23.4" customHeight="1">
      <c r="C460" s="290" t="s">
        <v>1201</v>
      </c>
      <c r="D460" s="182" t="s">
        <v>1202</v>
      </c>
      <c r="E460" s="70"/>
      <c r="F460" s="70"/>
      <c r="G460" s="70"/>
      <c r="H460" s="71"/>
    </row>
    <row r="461" spans="3:9" ht="23.4" customHeight="1">
      <c r="C461" s="281">
        <v>1</v>
      </c>
      <c r="D461" s="182" t="s">
        <v>5</v>
      </c>
      <c r="E461" s="176" t="s">
        <v>6</v>
      </c>
      <c r="F461" s="315">
        <v>0.25</v>
      </c>
      <c r="G461" s="283">
        <f>VLOOKUP(D461,upahbahan,3,FALSE)</f>
        <v>100000</v>
      </c>
      <c r="H461" s="284">
        <f t="shared" ref="H461:H464" si="45">F461*G461</f>
        <v>25000</v>
      </c>
    </row>
    <row r="462" spans="3:9" ht="23.4" customHeight="1">
      <c r="C462" s="281">
        <v>2</v>
      </c>
      <c r="D462" s="182" t="s">
        <v>7</v>
      </c>
      <c r="E462" s="176" t="s">
        <v>6</v>
      </c>
      <c r="F462" s="315">
        <v>8.3299999999999999E-2</v>
      </c>
      <c r="G462" s="283">
        <f>VLOOKUP(D462,upahbahan,3,FALSE)</f>
        <v>135000</v>
      </c>
      <c r="H462" s="284">
        <f t="shared" si="45"/>
        <v>11245.5</v>
      </c>
    </row>
    <row r="463" spans="3:9" ht="23.4" customHeight="1">
      <c r="C463" s="281">
        <v>3</v>
      </c>
      <c r="D463" s="182" t="s">
        <v>18</v>
      </c>
      <c r="E463" s="176" t="s">
        <v>6</v>
      </c>
      <c r="F463" s="315">
        <v>8.3000000000000001E-3</v>
      </c>
      <c r="G463" s="283">
        <f>VLOOKUP(D463,upahbahan,3,FALSE)</f>
        <v>150000</v>
      </c>
      <c r="H463" s="284">
        <f t="shared" si="45"/>
        <v>1245</v>
      </c>
    </row>
    <row r="464" spans="3:9" ht="23.4" customHeight="1">
      <c r="C464" s="281">
        <v>4</v>
      </c>
      <c r="D464" s="182" t="s">
        <v>19</v>
      </c>
      <c r="E464" s="176" t="s">
        <v>6</v>
      </c>
      <c r="F464" s="315">
        <v>2.8E-3</v>
      </c>
      <c r="G464" s="283">
        <f>VLOOKUP(D464,upahbahan,3,FALSE)</f>
        <v>160000</v>
      </c>
      <c r="H464" s="284">
        <f t="shared" si="45"/>
        <v>448</v>
      </c>
    </row>
    <row r="465" spans="3:9" ht="23.4" customHeight="1">
      <c r="C465" s="66" t="s">
        <v>1208</v>
      </c>
      <c r="D465" s="67"/>
      <c r="E465" s="67"/>
      <c r="F465" s="142"/>
      <c r="G465" s="153"/>
      <c r="H465" s="284">
        <f>SUM(H461:H464)</f>
        <v>37938.5</v>
      </c>
      <c r="I465" s="320"/>
    </row>
    <row r="466" spans="3:9" ht="23.4" customHeight="1">
      <c r="C466" s="290" t="s">
        <v>1209</v>
      </c>
      <c r="D466" s="182" t="s">
        <v>1210</v>
      </c>
      <c r="E466" s="70"/>
      <c r="F466" s="70"/>
      <c r="G466" s="70"/>
      <c r="H466" s="71"/>
    </row>
    <row r="467" spans="3:9" ht="23.4" customHeight="1">
      <c r="C467" s="310" t="s">
        <v>1203</v>
      </c>
      <c r="D467" s="182" t="s">
        <v>418</v>
      </c>
      <c r="E467" s="176" t="s">
        <v>44</v>
      </c>
      <c r="F467" s="309">
        <v>2.9169999999999998</v>
      </c>
      <c r="G467" s="283">
        <f>VLOOKUP(D467,upahbahan,3,FALSE)</f>
        <v>50000</v>
      </c>
      <c r="H467" s="284">
        <f t="shared" ref="H467:H470" si="46">F467*G467</f>
        <v>145850</v>
      </c>
    </row>
    <row r="468" spans="3:9" ht="23.4" customHeight="1">
      <c r="C468" s="310" t="s">
        <v>1204</v>
      </c>
      <c r="D468" s="182" t="s">
        <v>2332</v>
      </c>
      <c r="E468" s="176" t="s">
        <v>65</v>
      </c>
      <c r="F468" s="309">
        <v>13.632</v>
      </c>
      <c r="G468" s="283">
        <f>VLOOKUP(D468,upahbahan,3,FALSE)</f>
        <v>1530</v>
      </c>
      <c r="H468" s="284">
        <f t="shared" si="46"/>
        <v>20856.96</v>
      </c>
    </row>
    <row r="469" spans="3:9" ht="23.4" customHeight="1">
      <c r="C469" s="310" t="s">
        <v>1205</v>
      </c>
      <c r="D469" s="182" t="s">
        <v>562</v>
      </c>
      <c r="E469" s="176" t="s">
        <v>65</v>
      </c>
      <c r="F469" s="282">
        <v>1.5</v>
      </c>
      <c r="G469" s="283">
        <f>VLOOKUP(D469,upahbahan,3,FALSE)</f>
        <v>18000</v>
      </c>
      <c r="H469" s="284">
        <f t="shared" si="46"/>
        <v>27000</v>
      </c>
    </row>
    <row r="470" spans="3:9" ht="23.4" customHeight="1">
      <c r="C470" s="310" t="s">
        <v>1206</v>
      </c>
      <c r="D470" s="285" t="s">
        <v>85</v>
      </c>
      <c r="E470" s="176" t="s">
        <v>42</v>
      </c>
      <c r="F470" s="282">
        <v>2.7E-2</v>
      </c>
      <c r="G470" s="283">
        <f>VLOOKUP(D470,upahbahan,3,FALSE)</f>
        <v>310500</v>
      </c>
      <c r="H470" s="284">
        <f t="shared" si="46"/>
        <v>8383.5</v>
      </c>
    </row>
    <row r="471" spans="3:9" ht="23.4" customHeight="1">
      <c r="C471" s="66" t="s">
        <v>1214</v>
      </c>
      <c r="D471" s="67"/>
      <c r="E471" s="67"/>
      <c r="F471" s="67"/>
      <c r="G471" s="69"/>
      <c r="H471" s="284">
        <f>SUM(H467:H470)</f>
        <v>202090.46</v>
      </c>
    </row>
    <row r="472" spans="3:9" ht="23.4" customHeight="1">
      <c r="C472" s="321" t="s">
        <v>1215</v>
      </c>
      <c r="D472" s="182" t="s">
        <v>1216</v>
      </c>
      <c r="E472" s="70"/>
      <c r="F472" s="70"/>
      <c r="G472" s="70"/>
      <c r="H472" s="71"/>
    </row>
    <row r="473" spans="3:9" ht="23.4" customHeight="1">
      <c r="C473" s="66" t="s">
        <v>1217</v>
      </c>
      <c r="D473" s="67"/>
      <c r="E473" s="67"/>
      <c r="F473" s="67"/>
      <c r="G473" s="69"/>
      <c r="H473" s="292">
        <v>0</v>
      </c>
    </row>
    <row r="474" spans="3:9" ht="23.4" customHeight="1">
      <c r="C474" s="293" t="s">
        <v>1218</v>
      </c>
      <c r="D474" s="294" t="s">
        <v>1219</v>
      </c>
      <c r="E474" s="295"/>
      <c r="F474" s="295"/>
      <c r="G474" s="296"/>
      <c r="H474" s="284">
        <f>H473+H471+H465</f>
        <v>240028.96</v>
      </c>
    </row>
    <row r="475" spans="3:9" ht="23.4" customHeight="1">
      <c r="C475" s="293" t="s">
        <v>1220</v>
      </c>
      <c r="D475" s="294" t="s">
        <v>1321</v>
      </c>
      <c r="E475" s="295"/>
      <c r="F475" s="296"/>
      <c r="G475" s="298">
        <f>$M$8</f>
        <v>0.1</v>
      </c>
      <c r="H475" s="284">
        <f>H474*G475</f>
        <v>24002.896000000001</v>
      </c>
    </row>
    <row r="476" spans="3:9" ht="23.4" customHeight="1" thickBot="1">
      <c r="C476" s="299" t="s">
        <v>1221</v>
      </c>
      <c r="D476" s="300" t="s">
        <v>1222</v>
      </c>
      <c r="E476" s="301"/>
      <c r="F476" s="301"/>
      <c r="G476" s="302"/>
      <c r="H476" s="303">
        <f>SUM(H474:H475)</f>
        <v>264031.85599999997</v>
      </c>
    </row>
    <row r="477" spans="3:9" ht="14.4" thickTop="1">
      <c r="C477" s="289"/>
      <c r="D477" s="297"/>
      <c r="E477" s="297"/>
      <c r="F477" s="297"/>
      <c r="G477" s="297"/>
      <c r="H477" s="139"/>
    </row>
    <row r="478" spans="3:9" ht="15.75" customHeight="1" thickBot="1">
      <c r="C478" s="47" t="s">
        <v>2878</v>
      </c>
      <c r="D478" s="483" t="s">
        <v>2879</v>
      </c>
      <c r="E478" s="483"/>
      <c r="F478" s="483"/>
      <c r="G478" s="483"/>
      <c r="H478" s="483"/>
      <c r="I478" s="120">
        <f>ROUNDDOWN(H496,-2)</f>
        <v>39000</v>
      </c>
    </row>
    <row r="479" spans="3:9" ht="28.2" thickTop="1">
      <c r="C479" s="51" t="s">
        <v>1195</v>
      </c>
      <c r="D479" s="52" t="s">
        <v>1196</v>
      </c>
      <c r="E479" s="52" t="s">
        <v>1197</v>
      </c>
      <c r="F479" s="52" t="s">
        <v>1198</v>
      </c>
      <c r="G479" s="52" t="s">
        <v>1199</v>
      </c>
      <c r="H479" s="53" t="s">
        <v>1200</v>
      </c>
    </row>
    <row r="480" spans="3:9" ht="23.4" customHeight="1">
      <c r="C480" s="290" t="s">
        <v>1201</v>
      </c>
      <c r="D480" s="182" t="s">
        <v>1202</v>
      </c>
      <c r="E480" s="70"/>
      <c r="F480" s="70"/>
      <c r="G480" s="70"/>
      <c r="H480" s="71"/>
    </row>
    <row r="481" spans="3:9" ht="23.4" customHeight="1">
      <c r="C481" s="281">
        <v>1</v>
      </c>
      <c r="D481" s="182" t="s">
        <v>5</v>
      </c>
      <c r="E481" s="176" t="s">
        <v>6</v>
      </c>
      <c r="F481" s="315">
        <v>6.25E-2</v>
      </c>
      <c r="G481" s="283">
        <f>VLOOKUP(D481,upahbahan,3,FALSE)</f>
        <v>100000</v>
      </c>
      <c r="H481" s="284">
        <f t="shared" ref="H481:H484" si="47">F481*G481</f>
        <v>6250</v>
      </c>
    </row>
    <row r="482" spans="3:9" ht="23.4" customHeight="1">
      <c r="C482" s="281">
        <v>2</v>
      </c>
      <c r="D482" s="182" t="s">
        <v>7</v>
      </c>
      <c r="E482" s="176" t="s">
        <v>6</v>
      </c>
      <c r="F482" s="315">
        <v>3.1300000000000001E-2</v>
      </c>
      <c r="G482" s="283">
        <f>VLOOKUP(D482,upahbahan,3,FALSE)</f>
        <v>135000</v>
      </c>
      <c r="H482" s="284">
        <f t="shared" si="47"/>
        <v>4225.5</v>
      </c>
    </row>
    <row r="483" spans="3:9" ht="23.4" customHeight="1">
      <c r="C483" s="281">
        <v>3</v>
      </c>
      <c r="D483" s="182" t="s">
        <v>18</v>
      </c>
      <c r="E483" s="176" t="s">
        <v>6</v>
      </c>
      <c r="F483" s="315">
        <v>3.0999999999999999E-3</v>
      </c>
      <c r="G483" s="283">
        <f>VLOOKUP(D483,upahbahan,3,FALSE)</f>
        <v>150000</v>
      </c>
      <c r="H483" s="284">
        <f t="shared" si="47"/>
        <v>465</v>
      </c>
    </row>
    <row r="484" spans="3:9" ht="23.4" customHeight="1">
      <c r="C484" s="281">
        <v>4</v>
      </c>
      <c r="D484" s="182" t="s">
        <v>19</v>
      </c>
      <c r="E484" s="176" t="s">
        <v>6</v>
      </c>
      <c r="F484" s="315">
        <v>1E-3</v>
      </c>
      <c r="G484" s="283">
        <f>VLOOKUP(D484,upahbahan,3,FALSE)</f>
        <v>160000</v>
      </c>
      <c r="H484" s="284">
        <f t="shared" si="47"/>
        <v>160</v>
      </c>
    </row>
    <row r="485" spans="3:9" ht="23.4" customHeight="1">
      <c r="C485" s="66" t="s">
        <v>1208</v>
      </c>
      <c r="D485" s="67"/>
      <c r="E485" s="67"/>
      <c r="F485" s="142"/>
      <c r="G485" s="153"/>
      <c r="H485" s="284">
        <f>SUM(H481:H484)</f>
        <v>11100.5</v>
      </c>
      <c r="I485" s="320"/>
    </row>
    <row r="486" spans="3:9" ht="23.4" customHeight="1">
      <c r="C486" s="290" t="s">
        <v>1209</v>
      </c>
      <c r="D486" s="182" t="s">
        <v>1210</v>
      </c>
      <c r="E486" s="70"/>
      <c r="F486" s="70"/>
      <c r="G486" s="70"/>
      <c r="H486" s="71"/>
    </row>
    <row r="487" spans="3:9" ht="23.4" customHeight="1">
      <c r="C487" s="310" t="s">
        <v>1203</v>
      </c>
      <c r="D487" s="285" t="s">
        <v>466</v>
      </c>
      <c r="E487" s="176" t="s">
        <v>44</v>
      </c>
      <c r="F487" s="282">
        <v>3.5</v>
      </c>
      <c r="G487" s="283">
        <f>VLOOKUP(D487,upahbahan,3,FALSE)</f>
        <v>5000</v>
      </c>
      <c r="H487" s="284">
        <f t="shared" ref="H487:H490" si="48">F487*G487</f>
        <v>17500</v>
      </c>
    </row>
    <row r="488" spans="3:9" ht="23.4" customHeight="1">
      <c r="C488" s="310" t="s">
        <v>1204</v>
      </c>
      <c r="D488" s="182" t="s">
        <v>2334</v>
      </c>
      <c r="E488" s="176" t="s">
        <v>65</v>
      </c>
      <c r="F488" s="282">
        <v>1.704</v>
      </c>
      <c r="G488" s="283">
        <f>VLOOKUP(D488,upahbahan,3,FALSE)</f>
        <v>1530</v>
      </c>
      <c r="H488" s="284">
        <f t="shared" si="48"/>
        <v>2607.12</v>
      </c>
    </row>
    <row r="489" spans="3:9" ht="23.4" customHeight="1">
      <c r="C489" s="310" t="s">
        <v>1205</v>
      </c>
      <c r="D489" s="182" t="s">
        <v>562</v>
      </c>
      <c r="E489" s="176" t="s">
        <v>65</v>
      </c>
      <c r="F489" s="282">
        <v>0.188</v>
      </c>
      <c r="G489" s="283">
        <f>VLOOKUP(D489,upahbahan,3,FALSE)</f>
        <v>18000</v>
      </c>
      <c r="H489" s="284">
        <f t="shared" si="48"/>
        <v>3384</v>
      </c>
    </row>
    <row r="490" spans="3:9" ht="23.4" customHeight="1">
      <c r="C490" s="310" t="s">
        <v>1206</v>
      </c>
      <c r="D490" s="285" t="s">
        <v>85</v>
      </c>
      <c r="E490" s="176" t="s">
        <v>42</v>
      </c>
      <c r="F490" s="282">
        <v>3.0000000000000001E-3</v>
      </c>
      <c r="G490" s="283">
        <f>VLOOKUP(D490,upahbahan,3,FALSE)</f>
        <v>310500</v>
      </c>
      <c r="H490" s="284">
        <f t="shared" si="48"/>
        <v>931.5</v>
      </c>
    </row>
    <row r="491" spans="3:9" ht="23.4" customHeight="1">
      <c r="C491" s="66" t="s">
        <v>1214</v>
      </c>
      <c r="D491" s="67"/>
      <c r="E491" s="67"/>
      <c r="F491" s="67"/>
      <c r="G491" s="69"/>
      <c r="H491" s="284">
        <f>SUM(H487:H490)</f>
        <v>24422.62</v>
      </c>
    </row>
    <row r="492" spans="3:9" ht="23.4" customHeight="1">
      <c r="C492" s="321" t="s">
        <v>1215</v>
      </c>
      <c r="D492" s="182" t="s">
        <v>1216</v>
      </c>
      <c r="E492" s="70"/>
      <c r="F492" s="70"/>
      <c r="G492" s="70"/>
      <c r="H492" s="71"/>
    </row>
    <row r="493" spans="3:9" ht="23.4" customHeight="1">
      <c r="C493" s="66" t="s">
        <v>1217</v>
      </c>
      <c r="D493" s="67"/>
      <c r="E493" s="67"/>
      <c r="F493" s="67"/>
      <c r="G493" s="69"/>
      <c r="H493" s="292">
        <v>0</v>
      </c>
    </row>
    <row r="494" spans="3:9" ht="23.4" customHeight="1">
      <c r="C494" s="293" t="s">
        <v>1218</v>
      </c>
      <c r="D494" s="294" t="s">
        <v>1219</v>
      </c>
      <c r="E494" s="295"/>
      <c r="F494" s="295"/>
      <c r="G494" s="296"/>
      <c r="H494" s="284">
        <f>H493+H491+H485</f>
        <v>35523.119999999995</v>
      </c>
    </row>
    <row r="495" spans="3:9" ht="23.4" customHeight="1">
      <c r="C495" s="293" t="s">
        <v>1220</v>
      </c>
      <c r="D495" s="294" t="s">
        <v>1321</v>
      </c>
      <c r="E495" s="295"/>
      <c r="F495" s="296"/>
      <c r="G495" s="298">
        <f>$M$8</f>
        <v>0.1</v>
      </c>
      <c r="H495" s="284">
        <f>H494*G495</f>
        <v>3552.3119999999999</v>
      </c>
    </row>
    <row r="496" spans="3:9" ht="23.4" customHeight="1" thickBot="1">
      <c r="C496" s="299" t="s">
        <v>1221</v>
      </c>
      <c r="D496" s="300" t="s">
        <v>1222</v>
      </c>
      <c r="E496" s="301"/>
      <c r="F496" s="301"/>
      <c r="G496" s="302"/>
      <c r="H496" s="303">
        <f>SUM(H494:H495)</f>
        <v>39075.431999999993</v>
      </c>
    </row>
    <row r="497" spans="3:9" ht="14.4" thickTop="1">
      <c r="C497" s="289"/>
      <c r="D497" s="297"/>
      <c r="E497" s="297"/>
      <c r="F497" s="297"/>
      <c r="G497" s="297"/>
      <c r="H497" s="139"/>
    </row>
    <row r="498" spans="3:9" ht="15.75" customHeight="1" thickBot="1">
      <c r="C498" s="47" t="s">
        <v>2880</v>
      </c>
      <c r="D498" s="483" t="s">
        <v>2881</v>
      </c>
      <c r="E498" s="483"/>
      <c r="F498" s="483"/>
      <c r="G498" s="483"/>
      <c r="H498" s="483"/>
      <c r="I498" s="120">
        <f>ROUNDDOWN(H516,-2)</f>
        <v>40800</v>
      </c>
    </row>
    <row r="499" spans="3:9" ht="28.2" thickTop="1">
      <c r="C499" s="51" t="s">
        <v>1195</v>
      </c>
      <c r="D499" s="52" t="s">
        <v>1196</v>
      </c>
      <c r="E499" s="52" t="s">
        <v>1197</v>
      </c>
      <c r="F499" s="52" t="s">
        <v>1198</v>
      </c>
      <c r="G499" s="52" t="s">
        <v>1199</v>
      </c>
      <c r="H499" s="53" t="s">
        <v>1200</v>
      </c>
    </row>
    <row r="500" spans="3:9" ht="23.4" customHeight="1">
      <c r="C500" s="290" t="s">
        <v>1201</v>
      </c>
      <c r="D500" s="182" t="s">
        <v>1202</v>
      </c>
      <c r="E500" s="70"/>
      <c r="F500" s="70"/>
      <c r="G500" s="70"/>
      <c r="H500" s="71"/>
    </row>
    <row r="501" spans="3:9" ht="23.4" customHeight="1">
      <c r="C501" s="281">
        <v>1</v>
      </c>
      <c r="D501" s="182" t="s">
        <v>5</v>
      </c>
      <c r="E501" s="176" t="s">
        <v>6</v>
      </c>
      <c r="F501" s="309">
        <v>6.6699999999999995E-2</v>
      </c>
      <c r="G501" s="283">
        <f>VLOOKUP(D501,upahbahan,3,FALSE)</f>
        <v>100000</v>
      </c>
      <c r="H501" s="284">
        <f t="shared" ref="H501:H504" si="49">F501*G501</f>
        <v>6669.9999999999991</v>
      </c>
    </row>
    <row r="502" spans="3:9" ht="23.4" customHeight="1">
      <c r="C502" s="281">
        <v>2</v>
      </c>
      <c r="D502" s="182" t="s">
        <v>7</v>
      </c>
      <c r="E502" s="176" t="s">
        <v>6</v>
      </c>
      <c r="F502" s="309">
        <v>3.3300000000000003E-2</v>
      </c>
      <c r="G502" s="283">
        <f>VLOOKUP(D502,upahbahan,3,FALSE)</f>
        <v>135000</v>
      </c>
      <c r="H502" s="284">
        <f t="shared" si="49"/>
        <v>4495.5</v>
      </c>
    </row>
    <row r="503" spans="3:9" ht="23.4" customHeight="1">
      <c r="C503" s="281">
        <v>3</v>
      </c>
      <c r="D503" s="182" t="s">
        <v>18</v>
      </c>
      <c r="E503" s="176" t="s">
        <v>6</v>
      </c>
      <c r="F503" s="309">
        <v>3.3E-3</v>
      </c>
      <c r="G503" s="283">
        <f>VLOOKUP(D503,upahbahan,3,FALSE)</f>
        <v>150000</v>
      </c>
      <c r="H503" s="284">
        <f t="shared" si="49"/>
        <v>495</v>
      </c>
    </row>
    <row r="504" spans="3:9" ht="23.4" customHeight="1">
      <c r="C504" s="281">
        <v>4</v>
      </c>
      <c r="D504" s="182" t="s">
        <v>19</v>
      </c>
      <c r="E504" s="176" t="s">
        <v>6</v>
      </c>
      <c r="F504" s="309">
        <v>1.1000000000000001E-3</v>
      </c>
      <c r="G504" s="283">
        <f>VLOOKUP(D504,upahbahan,3,FALSE)</f>
        <v>160000</v>
      </c>
      <c r="H504" s="284">
        <f t="shared" si="49"/>
        <v>176</v>
      </c>
    </row>
    <row r="505" spans="3:9" ht="23.4" customHeight="1">
      <c r="C505" s="66" t="s">
        <v>1208</v>
      </c>
      <c r="D505" s="67"/>
      <c r="E505" s="67"/>
      <c r="F505" s="142"/>
      <c r="G505" s="153"/>
      <c r="H505" s="284">
        <f>SUM(H501:H504)</f>
        <v>11836.5</v>
      </c>
      <c r="I505" s="320"/>
    </row>
    <row r="506" spans="3:9" ht="23.4" customHeight="1">
      <c r="C506" s="290" t="s">
        <v>1209</v>
      </c>
      <c r="D506" s="182" t="s">
        <v>1210</v>
      </c>
      <c r="E506" s="70"/>
      <c r="F506" s="70"/>
      <c r="G506" s="70"/>
      <c r="H506" s="71"/>
    </row>
    <row r="507" spans="3:9" ht="23.4" customHeight="1">
      <c r="C507" s="310" t="s">
        <v>1203</v>
      </c>
      <c r="D507" s="285" t="s">
        <v>467</v>
      </c>
      <c r="E507" s="176" t="s">
        <v>44</v>
      </c>
      <c r="F507" s="309">
        <v>2.625</v>
      </c>
      <c r="G507" s="283">
        <f>VLOOKUP(D507,upahbahan,3,FALSE)</f>
        <v>7000</v>
      </c>
      <c r="H507" s="284">
        <f t="shared" ref="H507:H510" si="50">F507*G507</f>
        <v>18375</v>
      </c>
    </row>
    <row r="508" spans="3:9" ht="23.4" customHeight="1">
      <c r="C508" s="310" t="s">
        <v>1204</v>
      </c>
      <c r="D508" s="182" t="s">
        <v>2334</v>
      </c>
      <c r="E508" s="176" t="s">
        <v>65</v>
      </c>
      <c r="F508" s="282">
        <v>1.704</v>
      </c>
      <c r="G508" s="283">
        <f>VLOOKUP(D508,upahbahan,3,FALSE)</f>
        <v>1530</v>
      </c>
      <c r="H508" s="284">
        <f t="shared" si="50"/>
        <v>2607.12</v>
      </c>
    </row>
    <row r="509" spans="3:9" ht="23.4" customHeight="1">
      <c r="C509" s="310" t="s">
        <v>1205</v>
      </c>
      <c r="D509" s="182" t="s">
        <v>562</v>
      </c>
      <c r="E509" s="176" t="s">
        <v>65</v>
      </c>
      <c r="F509" s="282">
        <v>0.188</v>
      </c>
      <c r="G509" s="283">
        <f>VLOOKUP(D509,upahbahan,3,FALSE)</f>
        <v>18000</v>
      </c>
      <c r="H509" s="284">
        <f t="shared" si="50"/>
        <v>3384</v>
      </c>
    </row>
    <row r="510" spans="3:9" ht="23.4" customHeight="1">
      <c r="C510" s="310" t="s">
        <v>1206</v>
      </c>
      <c r="D510" s="285" t="s">
        <v>85</v>
      </c>
      <c r="E510" s="176" t="s">
        <v>42</v>
      </c>
      <c r="F510" s="282">
        <v>3.0000000000000001E-3</v>
      </c>
      <c r="G510" s="283">
        <f>VLOOKUP(D510,upahbahan,3,FALSE)</f>
        <v>310500</v>
      </c>
      <c r="H510" s="284">
        <f t="shared" si="50"/>
        <v>931.5</v>
      </c>
    </row>
    <row r="511" spans="3:9" ht="23.4" customHeight="1">
      <c r="C511" s="66" t="s">
        <v>1214</v>
      </c>
      <c r="D511" s="67"/>
      <c r="E511" s="67"/>
      <c r="F511" s="67"/>
      <c r="G511" s="69"/>
      <c r="H511" s="284">
        <f>SUM(H507:H510)</f>
        <v>25297.62</v>
      </c>
    </row>
    <row r="512" spans="3:9" ht="23.4" customHeight="1">
      <c r="C512" s="321" t="s">
        <v>1215</v>
      </c>
      <c r="D512" s="182" t="s">
        <v>1216</v>
      </c>
      <c r="E512" s="70"/>
      <c r="F512" s="70"/>
      <c r="G512" s="70"/>
      <c r="H512" s="71"/>
    </row>
    <row r="513" spans="3:9" ht="23.4" customHeight="1">
      <c r="C513" s="66" t="s">
        <v>1217</v>
      </c>
      <c r="D513" s="67"/>
      <c r="E513" s="67"/>
      <c r="F513" s="67"/>
      <c r="G513" s="69"/>
      <c r="H513" s="292">
        <v>0</v>
      </c>
    </row>
    <row r="514" spans="3:9" ht="23.4" customHeight="1">
      <c r="C514" s="293" t="s">
        <v>1218</v>
      </c>
      <c r="D514" s="294" t="s">
        <v>1219</v>
      </c>
      <c r="E514" s="295"/>
      <c r="F514" s="295"/>
      <c r="G514" s="296"/>
      <c r="H514" s="284">
        <f>H513+H511+H505</f>
        <v>37134.119999999995</v>
      </c>
    </row>
    <row r="515" spans="3:9" ht="23.4" customHeight="1">
      <c r="C515" s="293" t="s">
        <v>1220</v>
      </c>
      <c r="D515" s="294" t="s">
        <v>1321</v>
      </c>
      <c r="E515" s="295"/>
      <c r="F515" s="296"/>
      <c r="G515" s="298">
        <f>$M$8</f>
        <v>0.1</v>
      </c>
      <c r="H515" s="284">
        <f>H514*G515</f>
        <v>3713.4119999999998</v>
      </c>
    </row>
    <row r="516" spans="3:9" ht="23.4" customHeight="1" thickBot="1">
      <c r="C516" s="299" t="s">
        <v>1221</v>
      </c>
      <c r="D516" s="300" t="s">
        <v>1222</v>
      </c>
      <c r="E516" s="301"/>
      <c r="F516" s="301"/>
      <c r="G516" s="302"/>
      <c r="H516" s="303">
        <f>SUM(H514:H515)</f>
        <v>40847.531999999992</v>
      </c>
    </row>
    <row r="517" spans="3:9" ht="14.4" thickTop="1">
      <c r="C517" s="289"/>
      <c r="D517" s="297"/>
      <c r="E517" s="297"/>
      <c r="F517" s="297"/>
      <c r="G517" s="297"/>
      <c r="H517" s="139"/>
    </row>
    <row r="518" spans="3:9" ht="15.75" customHeight="1" thickBot="1">
      <c r="C518" s="47" t="s">
        <v>2882</v>
      </c>
      <c r="D518" s="483" t="s">
        <v>2883</v>
      </c>
      <c r="E518" s="483"/>
      <c r="F518" s="483"/>
      <c r="G518" s="483"/>
      <c r="H518" s="483"/>
      <c r="I518" s="120">
        <f>ROUNDDOWN(H536,-2)</f>
        <v>40800</v>
      </c>
    </row>
    <row r="519" spans="3:9" ht="28.2" thickTop="1">
      <c r="C519" s="51" t="s">
        <v>1195</v>
      </c>
      <c r="D519" s="52" t="s">
        <v>1196</v>
      </c>
      <c r="E519" s="52" t="s">
        <v>1197</v>
      </c>
      <c r="F519" s="52" t="s">
        <v>1198</v>
      </c>
      <c r="G519" s="52" t="s">
        <v>1199</v>
      </c>
      <c r="H519" s="53" t="s">
        <v>1200</v>
      </c>
    </row>
    <row r="520" spans="3:9" ht="23.4" customHeight="1">
      <c r="C520" s="290" t="s">
        <v>1201</v>
      </c>
      <c r="D520" s="182" t="s">
        <v>1202</v>
      </c>
      <c r="E520" s="70"/>
      <c r="F520" s="70"/>
      <c r="G520" s="70"/>
      <c r="H520" s="71"/>
    </row>
    <row r="521" spans="3:9" ht="23.4" customHeight="1">
      <c r="C521" s="281">
        <v>1</v>
      </c>
      <c r="D521" s="182" t="s">
        <v>5</v>
      </c>
      <c r="E521" s="176" t="s">
        <v>6</v>
      </c>
      <c r="F521" s="309">
        <v>7.1400000000000005E-2</v>
      </c>
      <c r="G521" s="283">
        <f>VLOOKUP(D521,upahbahan,3,FALSE)</f>
        <v>100000</v>
      </c>
      <c r="H521" s="284">
        <f t="shared" ref="H521:H524" si="51">F521*G521</f>
        <v>7140.0000000000009</v>
      </c>
    </row>
    <row r="522" spans="3:9" ht="23.4" customHeight="1">
      <c r="C522" s="281">
        <v>2</v>
      </c>
      <c r="D522" s="182" t="s">
        <v>7</v>
      </c>
      <c r="E522" s="176" t="s">
        <v>6</v>
      </c>
      <c r="F522" s="309">
        <v>3.5700000000000003E-2</v>
      </c>
      <c r="G522" s="283">
        <f>VLOOKUP(D522,upahbahan,3,FALSE)</f>
        <v>135000</v>
      </c>
      <c r="H522" s="284">
        <f t="shared" si="51"/>
        <v>4819.5</v>
      </c>
    </row>
    <row r="523" spans="3:9" ht="23.4" customHeight="1">
      <c r="C523" s="281">
        <v>3</v>
      </c>
      <c r="D523" s="182" t="s">
        <v>18</v>
      </c>
      <c r="E523" s="176" t="s">
        <v>6</v>
      </c>
      <c r="F523" s="309">
        <v>3.5999999999999999E-3</v>
      </c>
      <c r="G523" s="283">
        <f>VLOOKUP(D523,upahbahan,3,FALSE)</f>
        <v>150000</v>
      </c>
      <c r="H523" s="284">
        <f t="shared" si="51"/>
        <v>540</v>
      </c>
    </row>
    <row r="524" spans="3:9" ht="23.4" customHeight="1">
      <c r="C524" s="281">
        <v>4</v>
      </c>
      <c r="D524" s="182" t="s">
        <v>19</v>
      </c>
      <c r="E524" s="176" t="s">
        <v>6</v>
      </c>
      <c r="F524" s="309">
        <v>1.1999999999999999E-3</v>
      </c>
      <c r="G524" s="283">
        <f>VLOOKUP(D524,upahbahan,3,FALSE)</f>
        <v>160000</v>
      </c>
      <c r="H524" s="284">
        <f t="shared" si="51"/>
        <v>191.99999999999997</v>
      </c>
    </row>
    <row r="525" spans="3:9" ht="23.4" customHeight="1">
      <c r="C525" s="66" t="s">
        <v>1208</v>
      </c>
      <c r="D525" s="67"/>
      <c r="E525" s="67"/>
      <c r="F525" s="142"/>
      <c r="G525" s="153"/>
      <c r="H525" s="284">
        <f>SUM(H521:H524)</f>
        <v>12691.5</v>
      </c>
      <c r="I525" s="320"/>
    </row>
    <row r="526" spans="3:9" ht="23.4" customHeight="1">
      <c r="C526" s="290" t="s">
        <v>1209</v>
      </c>
      <c r="D526" s="182" t="s">
        <v>1210</v>
      </c>
      <c r="E526" s="70"/>
      <c r="F526" s="70"/>
      <c r="G526" s="70"/>
      <c r="H526" s="71"/>
    </row>
    <row r="527" spans="3:9" ht="23.4" customHeight="1">
      <c r="C527" s="310" t="s">
        <v>1203</v>
      </c>
      <c r="D527" s="285" t="s">
        <v>468</v>
      </c>
      <c r="E527" s="176" t="s">
        <v>44</v>
      </c>
      <c r="F527" s="282">
        <v>1.75</v>
      </c>
      <c r="G527" s="283">
        <f>VLOOKUP(D527,upahbahan,3,FALSE)</f>
        <v>10000</v>
      </c>
      <c r="H527" s="284">
        <f t="shared" ref="H527:H530" si="52">F527*G527</f>
        <v>17500</v>
      </c>
    </row>
    <row r="528" spans="3:9" ht="23.4" customHeight="1">
      <c r="C528" s="310" t="s">
        <v>1204</v>
      </c>
      <c r="D528" s="182" t="s">
        <v>2334</v>
      </c>
      <c r="E528" s="176" t="s">
        <v>65</v>
      </c>
      <c r="F528" s="282">
        <v>1.704</v>
      </c>
      <c r="G528" s="283">
        <f>VLOOKUP(D528,upahbahan,3,FALSE)</f>
        <v>1530</v>
      </c>
      <c r="H528" s="284">
        <f t="shared" si="52"/>
        <v>2607.12</v>
      </c>
    </row>
    <row r="529" spans="3:9" ht="23.4" customHeight="1">
      <c r="C529" s="310" t="s">
        <v>1205</v>
      </c>
      <c r="D529" s="182" t="s">
        <v>562</v>
      </c>
      <c r="E529" s="176" t="s">
        <v>65</v>
      </c>
      <c r="F529" s="282">
        <v>0.188</v>
      </c>
      <c r="G529" s="283">
        <f>VLOOKUP(D529,upahbahan,3,FALSE)</f>
        <v>18000</v>
      </c>
      <c r="H529" s="284">
        <f t="shared" si="52"/>
        <v>3384</v>
      </c>
    </row>
    <row r="530" spans="3:9" ht="23.4" customHeight="1">
      <c r="C530" s="310" t="s">
        <v>1206</v>
      </c>
      <c r="D530" s="285" t="s">
        <v>85</v>
      </c>
      <c r="E530" s="176" t="s">
        <v>42</v>
      </c>
      <c r="F530" s="282">
        <v>3.0000000000000001E-3</v>
      </c>
      <c r="G530" s="283">
        <f>VLOOKUP(D530,upahbahan,3,FALSE)</f>
        <v>310500</v>
      </c>
      <c r="H530" s="284">
        <f t="shared" si="52"/>
        <v>931.5</v>
      </c>
    </row>
    <row r="531" spans="3:9" ht="23.4" customHeight="1">
      <c r="C531" s="66" t="s">
        <v>1214</v>
      </c>
      <c r="D531" s="67"/>
      <c r="E531" s="67"/>
      <c r="F531" s="67"/>
      <c r="G531" s="69"/>
      <c r="H531" s="284">
        <f>SUM(H527:H530)</f>
        <v>24422.62</v>
      </c>
    </row>
    <row r="532" spans="3:9" ht="23.4" customHeight="1">
      <c r="C532" s="321" t="s">
        <v>1215</v>
      </c>
      <c r="D532" s="182" t="s">
        <v>1216</v>
      </c>
      <c r="E532" s="70"/>
      <c r="F532" s="70"/>
      <c r="G532" s="70"/>
      <c r="H532" s="71"/>
    </row>
    <row r="533" spans="3:9" ht="23.4" customHeight="1">
      <c r="C533" s="66" t="s">
        <v>1217</v>
      </c>
      <c r="D533" s="67"/>
      <c r="E533" s="67"/>
      <c r="F533" s="67"/>
      <c r="G533" s="69"/>
      <c r="H533" s="292">
        <v>0</v>
      </c>
    </row>
    <row r="534" spans="3:9" ht="23.4" customHeight="1">
      <c r="C534" s="293" t="s">
        <v>1218</v>
      </c>
      <c r="D534" s="294" t="s">
        <v>1219</v>
      </c>
      <c r="E534" s="295"/>
      <c r="F534" s="295"/>
      <c r="G534" s="296"/>
      <c r="H534" s="284">
        <f>H533+H531+H525</f>
        <v>37114.119999999995</v>
      </c>
    </row>
    <row r="535" spans="3:9" ht="23.4" customHeight="1">
      <c r="C535" s="293" t="s">
        <v>1220</v>
      </c>
      <c r="D535" s="294" t="s">
        <v>1321</v>
      </c>
      <c r="E535" s="295"/>
      <c r="F535" s="296"/>
      <c r="G535" s="298">
        <f>$M$8</f>
        <v>0.1</v>
      </c>
      <c r="H535" s="284">
        <f>H534*G535</f>
        <v>3711.4119999999998</v>
      </c>
    </row>
    <row r="536" spans="3:9" ht="23.4" customHeight="1" thickBot="1">
      <c r="C536" s="299" t="s">
        <v>1221</v>
      </c>
      <c r="D536" s="300" t="s">
        <v>1222</v>
      </c>
      <c r="E536" s="301"/>
      <c r="F536" s="301"/>
      <c r="G536" s="302"/>
      <c r="H536" s="303">
        <f>SUM(H534:H535)</f>
        <v>40825.531999999992</v>
      </c>
    </row>
    <row r="537" spans="3:9" ht="14.4" thickTop="1">
      <c r="C537" s="289"/>
      <c r="D537" s="297"/>
      <c r="E537" s="297"/>
      <c r="F537" s="297"/>
      <c r="G537" s="297"/>
      <c r="H537" s="139"/>
    </row>
    <row r="538" spans="3:9">
      <c r="C538" s="289"/>
      <c r="D538" s="297"/>
      <c r="E538" s="297"/>
      <c r="F538" s="297"/>
      <c r="G538" s="297"/>
      <c r="H538" s="139"/>
    </row>
    <row r="539" spans="3:9" ht="15.75" customHeight="1" thickBot="1">
      <c r="C539" s="47" t="s">
        <v>2884</v>
      </c>
      <c r="D539" s="483" t="s">
        <v>2885</v>
      </c>
      <c r="E539" s="483"/>
      <c r="F539" s="483"/>
      <c r="G539" s="483"/>
      <c r="H539" s="483"/>
      <c r="I539" s="120">
        <f>ROUNDDOWN(H557,-2)</f>
        <v>436200</v>
      </c>
    </row>
    <row r="540" spans="3:9" ht="28.2" thickTop="1">
      <c r="C540" s="51" t="s">
        <v>1195</v>
      </c>
      <c r="D540" s="52" t="s">
        <v>1196</v>
      </c>
      <c r="E540" s="52" t="s">
        <v>1197</v>
      </c>
      <c r="F540" s="52" t="s">
        <v>1198</v>
      </c>
      <c r="G540" s="52" t="s">
        <v>1199</v>
      </c>
      <c r="H540" s="53" t="s">
        <v>1200</v>
      </c>
    </row>
    <row r="541" spans="3:9" ht="23.4" customHeight="1">
      <c r="C541" s="290" t="s">
        <v>1201</v>
      </c>
      <c r="D541" s="182" t="s">
        <v>1202</v>
      </c>
      <c r="E541" s="70"/>
      <c r="F541" s="70"/>
      <c r="G541" s="70"/>
      <c r="H541" s="71"/>
    </row>
    <row r="542" spans="3:9" ht="23.4" customHeight="1">
      <c r="C542" s="281">
        <v>1</v>
      </c>
      <c r="D542" s="182" t="s">
        <v>5</v>
      </c>
      <c r="E542" s="176" t="s">
        <v>6</v>
      </c>
      <c r="F542" s="309">
        <v>0.1429</v>
      </c>
      <c r="G542" s="283">
        <f>VLOOKUP(D542,upahbahan,3,FALSE)</f>
        <v>100000</v>
      </c>
      <c r="H542" s="284">
        <f t="shared" ref="H542:H545" si="53">F542*G542</f>
        <v>14290</v>
      </c>
    </row>
    <row r="543" spans="3:9" ht="23.4" customHeight="1">
      <c r="C543" s="281">
        <v>2</v>
      </c>
      <c r="D543" s="182" t="s">
        <v>7</v>
      </c>
      <c r="E543" s="176" t="s">
        <v>6</v>
      </c>
      <c r="F543" s="309">
        <v>7.1400000000000005E-2</v>
      </c>
      <c r="G543" s="283">
        <f>VLOOKUP(D543,upahbahan,3,FALSE)</f>
        <v>135000</v>
      </c>
      <c r="H543" s="284">
        <f t="shared" si="53"/>
        <v>9639</v>
      </c>
    </row>
    <row r="544" spans="3:9" ht="23.4" customHeight="1">
      <c r="C544" s="281">
        <v>3</v>
      </c>
      <c r="D544" s="182" t="s">
        <v>18</v>
      </c>
      <c r="E544" s="176" t="s">
        <v>6</v>
      </c>
      <c r="F544" s="309">
        <v>7.1000000000000004E-3</v>
      </c>
      <c r="G544" s="283">
        <f>VLOOKUP(D544,upahbahan,3,FALSE)</f>
        <v>150000</v>
      </c>
      <c r="H544" s="284">
        <f t="shared" si="53"/>
        <v>1065</v>
      </c>
    </row>
    <row r="545" spans="3:9" ht="23.4" customHeight="1">
      <c r="C545" s="281">
        <v>4</v>
      </c>
      <c r="D545" s="182" t="s">
        <v>19</v>
      </c>
      <c r="E545" s="176" t="s">
        <v>6</v>
      </c>
      <c r="F545" s="309">
        <v>2.3999999999999998E-3</v>
      </c>
      <c r="G545" s="283">
        <f>VLOOKUP(D545,upahbahan,3,FALSE)</f>
        <v>160000</v>
      </c>
      <c r="H545" s="284">
        <f t="shared" si="53"/>
        <v>383.99999999999994</v>
      </c>
    </row>
    <row r="546" spans="3:9" ht="23.4" customHeight="1">
      <c r="C546" s="66" t="s">
        <v>1208</v>
      </c>
      <c r="D546" s="67"/>
      <c r="E546" s="67"/>
      <c r="F546" s="142"/>
      <c r="G546" s="153"/>
      <c r="H546" s="284">
        <f>SUM(H542:H545)</f>
        <v>25378</v>
      </c>
      <c r="I546" s="320"/>
    </row>
    <row r="547" spans="3:9" ht="23.4" customHeight="1">
      <c r="C547" s="290" t="s">
        <v>1209</v>
      </c>
      <c r="D547" s="182" t="s">
        <v>1210</v>
      </c>
      <c r="E547" s="70"/>
      <c r="F547" s="70"/>
      <c r="G547" s="70"/>
      <c r="H547" s="71"/>
    </row>
    <row r="548" spans="3:9" ht="23.4" customHeight="1">
      <c r="C548" s="310" t="s">
        <v>1203</v>
      </c>
      <c r="D548" s="285" t="s">
        <v>2886</v>
      </c>
      <c r="E548" s="176" t="s">
        <v>44</v>
      </c>
      <c r="F548" s="282">
        <v>11.667</v>
      </c>
      <c r="G548" s="283">
        <f>VLOOKUP(D548,upahbahan,3,FALSE)</f>
        <v>27000</v>
      </c>
      <c r="H548" s="284">
        <f t="shared" ref="H548:H551" si="54">F548*G548</f>
        <v>315009</v>
      </c>
    </row>
    <row r="549" spans="3:9" ht="23.4" customHeight="1">
      <c r="C549" s="310" t="s">
        <v>1204</v>
      </c>
      <c r="D549" s="182" t="s">
        <v>2334</v>
      </c>
      <c r="E549" s="176" t="s">
        <v>65</v>
      </c>
      <c r="F549" s="282">
        <v>13.632</v>
      </c>
      <c r="G549" s="283">
        <f>VLOOKUP(D549,upahbahan,3,FALSE)</f>
        <v>1530</v>
      </c>
      <c r="H549" s="284">
        <f t="shared" si="54"/>
        <v>20856.96</v>
      </c>
    </row>
    <row r="550" spans="3:9" ht="23.4" customHeight="1">
      <c r="C550" s="310" t="s">
        <v>1205</v>
      </c>
      <c r="D550" s="182" t="s">
        <v>562</v>
      </c>
      <c r="E550" s="176" t="s">
        <v>65</v>
      </c>
      <c r="F550" s="282">
        <v>1.5</v>
      </c>
      <c r="G550" s="283">
        <f>VLOOKUP(D550,upahbahan,3,FALSE)</f>
        <v>18000</v>
      </c>
      <c r="H550" s="284">
        <f t="shared" si="54"/>
        <v>27000</v>
      </c>
    </row>
    <row r="551" spans="3:9" ht="23.4" customHeight="1">
      <c r="C551" s="310" t="s">
        <v>1206</v>
      </c>
      <c r="D551" s="285" t="s">
        <v>85</v>
      </c>
      <c r="E551" s="176" t="s">
        <v>42</v>
      </c>
      <c r="F551" s="282">
        <v>2.7E-2</v>
      </c>
      <c r="G551" s="283">
        <f>VLOOKUP(D551,upahbahan,3,FALSE)</f>
        <v>310500</v>
      </c>
      <c r="H551" s="284">
        <f t="shared" si="54"/>
        <v>8383.5</v>
      </c>
    </row>
    <row r="552" spans="3:9" ht="23.4" customHeight="1">
      <c r="C552" s="66" t="s">
        <v>1214</v>
      </c>
      <c r="D552" s="67"/>
      <c r="E552" s="67"/>
      <c r="F552" s="67"/>
      <c r="G552" s="69"/>
      <c r="H552" s="284">
        <f>SUM(H548:H551)</f>
        <v>371249.46</v>
      </c>
    </row>
    <row r="553" spans="3:9" ht="23.4" customHeight="1">
      <c r="C553" s="321" t="s">
        <v>1215</v>
      </c>
      <c r="D553" s="182" t="s">
        <v>1216</v>
      </c>
      <c r="E553" s="70"/>
      <c r="F553" s="70"/>
      <c r="G553" s="70"/>
      <c r="H553" s="71"/>
    </row>
    <row r="554" spans="3:9" ht="23.4" customHeight="1">
      <c r="C554" s="66" t="s">
        <v>1217</v>
      </c>
      <c r="D554" s="67"/>
      <c r="E554" s="67"/>
      <c r="F554" s="67"/>
      <c r="G554" s="69"/>
      <c r="H554" s="292">
        <v>0</v>
      </c>
    </row>
    <row r="555" spans="3:9" ht="23.4" customHeight="1">
      <c r="C555" s="293" t="s">
        <v>1218</v>
      </c>
      <c r="D555" s="294" t="s">
        <v>1219</v>
      </c>
      <c r="E555" s="295"/>
      <c r="F555" s="295"/>
      <c r="G555" s="296"/>
      <c r="H555" s="284">
        <f>H554+H552+H546</f>
        <v>396627.46</v>
      </c>
    </row>
    <row r="556" spans="3:9" ht="23.4" customHeight="1">
      <c r="C556" s="293" t="s">
        <v>1220</v>
      </c>
      <c r="D556" s="294" t="s">
        <v>1321</v>
      </c>
      <c r="E556" s="295"/>
      <c r="F556" s="296"/>
      <c r="G556" s="298">
        <f>$M$8</f>
        <v>0.1</v>
      </c>
      <c r="H556" s="284">
        <f>H555*G556</f>
        <v>39662.746000000006</v>
      </c>
    </row>
    <row r="557" spans="3:9" ht="23.4" customHeight="1" thickBot="1">
      <c r="C557" s="299" t="s">
        <v>1221</v>
      </c>
      <c r="D557" s="300" t="s">
        <v>1222</v>
      </c>
      <c r="E557" s="301"/>
      <c r="F557" s="301"/>
      <c r="G557" s="302"/>
      <c r="H557" s="303">
        <f>SUM(H555:H556)</f>
        <v>436290.20600000001</v>
      </c>
    </row>
    <row r="558" spans="3:9" ht="14.4" thickTop="1">
      <c r="C558" s="289"/>
      <c r="D558" s="297"/>
      <c r="E558" s="297"/>
      <c r="F558" s="297"/>
      <c r="G558" s="297"/>
      <c r="H558" s="139"/>
    </row>
    <row r="559" spans="3:9" ht="15.75" customHeight="1" thickBot="1">
      <c r="C559" s="47" t="s">
        <v>2889</v>
      </c>
      <c r="D559" s="483" t="s">
        <v>2890</v>
      </c>
      <c r="E559" s="483"/>
      <c r="F559" s="483"/>
      <c r="G559" s="483"/>
      <c r="H559" s="483"/>
      <c r="I559" s="120">
        <f>ROUNDDOWN(H577,-2)</f>
        <v>373400</v>
      </c>
    </row>
    <row r="560" spans="3:9" ht="28.2" thickTop="1">
      <c r="C560" s="51" t="s">
        <v>1195</v>
      </c>
      <c r="D560" s="52" t="s">
        <v>1196</v>
      </c>
      <c r="E560" s="52" t="s">
        <v>1197</v>
      </c>
      <c r="F560" s="52" t="s">
        <v>1198</v>
      </c>
      <c r="G560" s="52" t="s">
        <v>1199</v>
      </c>
      <c r="H560" s="53" t="s">
        <v>1200</v>
      </c>
    </row>
    <row r="561" spans="3:9" ht="23.4" customHeight="1">
      <c r="C561" s="290" t="s">
        <v>1201</v>
      </c>
      <c r="D561" s="182" t="s">
        <v>1202</v>
      </c>
      <c r="E561" s="70"/>
      <c r="F561" s="70"/>
      <c r="G561" s="70"/>
      <c r="H561" s="71"/>
    </row>
    <row r="562" spans="3:9" ht="23.4" customHeight="1">
      <c r="C562" s="281">
        <v>1</v>
      </c>
      <c r="D562" s="182" t="s">
        <v>5</v>
      </c>
      <c r="E562" s="176" t="s">
        <v>6</v>
      </c>
      <c r="F562" s="309">
        <v>0.15379999999999999</v>
      </c>
      <c r="G562" s="283">
        <f>VLOOKUP(D562,upahbahan,3,FALSE)</f>
        <v>100000</v>
      </c>
      <c r="H562" s="284">
        <f t="shared" ref="H562:H565" si="55">F562*G562</f>
        <v>15380</v>
      </c>
    </row>
    <row r="563" spans="3:9" ht="23.4" customHeight="1">
      <c r="C563" s="281">
        <v>2</v>
      </c>
      <c r="D563" s="182" t="s">
        <v>7</v>
      </c>
      <c r="E563" s="176" t="s">
        <v>6</v>
      </c>
      <c r="F563" s="309">
        <v>7.6899999999999996E-2</v>
      </c>
      <c r="G563" s="283">
        <f>VLOOKUP(D563,upahbahan,3,FALSE)</f>
        <v>135000</v>
      </c>
      <c r="H563" s="284">
        <f t="shared" si="55"/>
        <v>10381.5</v>
      </c>
    </row>
    <row r="564" spans="3:9" ht="23.4" customHeight="1">
      <c r="C564" s="281">
        <v>3</v>
      </c>
      <c r="D564" s="182" t="s">
        <v>18</v>
      </c>
      <c r="E564" s="176" t="s">
        <v>6</v>
      </c>
      <c r="F564" s="309">
        <v>7.7000000000000002E-3</v>
      </c>
      <c r="G564" s="283">
        <f>VLOOKUP(D564,upahbahan,3,FALSE)</f>
        <v>150000</v>
      </c>
      <c r="H564" s="284">
        <f t="shared" si="55"/>
        <v>1155</v>
      </c>
    </row>
    <row r="565" spans="3:9" ht="23.4" customHeight="1">
      <c r="C565" s="281">
        <v>4</v>
      </c>
      <c r="D565" s="182" t="s">
        <v>19</v>
      </c>
      <c r="E565" s="176" t="s">
        <v>6</v>
      </c>
      <c r="F565" s="309">
        <v>2.5999999999999999E-3</v>
      </c>
      <c r="G565" s="283">
        <f>VLOOKUP(D565,upahbahan,3,FALSE)</f>
        <v>160000</v>
      </c>
      <c r="H565" s="284">
        <f t="shared" si="55"/>
        <v>416</v>
      </c>
    </row>
    <row r="566" spans="3:9" ht="23.4" customHeight="1">
      <c r="C566" s="66" t="s">
        <v>1208</v>
      </c>
      <c r="D566" s="67"/>
      <c r="E566" s="67"/>
      <c r="F566" s="142"/>
      <c r="G566" s="153"/>
      <c r="H566" s="284">
        <f>SUM(H562:H565)</f>
        <v>27332.5</v>
      </c>
      <c r="I566" s="320"/>
    </row>
    <row r="567" spans="3:9" ht="23.4" customHeight="1">
      <c r="C567" s="290" t="s">
        <v>1209</v>
      </c>
      <c r="D567" s="182" t="s">
        <v>1210</v>
      </c>
      <c r="E567" s="70"/>
      <c r="F567" s="70"/>
      <c r="G567" s="70"/>
      <c r="H567" s="71"/>
    </row>
    <row r="568" spans="3:9" ht="23.4" customHeight="1">
      <c r="C568" s="310" t="s">
        <v>1203</v>
      </c>
      <c r="D568" s="285" t="s">
        <v>2887</v>
      </c>
      <c r="E568" s="176" t="s">
        <v>44</v>
      </c>
      <c r="F568" s="282">
        <v>6.5629999999999997</v>
      </c>
      <c r="G568" s="283">
        <f>VLOOKUP(D568,upahbahan,3,FALSE)</f>
        <v>39000</v>
      </c>
      <c r="H568" s="284">
        <f t="shared" ref="H568:H571" si="56">F568*G568</f>
        <v>255957</v>
      </c>
    </row>
    <row r="569" spans="3:9" ht="23.4" customHeight="1">
      <c r="C569" s="310" t="s">
        <v>1204</v>
      </c>
      <c r="D569" s="182" t="s">
        <v>2334</v>
      </c>
      <c r="E569" s="176" t="s">
        <v>65</v>
      </c>
      <c r="F569" s="282">
        <v>13.632</v>
      </c>
      <c r="G569" s="283">
        <f>VLOOKUP(D569,upahbahan,3,FALSE)</f>
        <v>1530</v>
      </c>
      <c r="H569" s="284">
        <f t="shared" si="56"/>
        <v>20856.96</v>
      </c>
    </row>
    <row r="570" spans="3:9" ht="23.4" customHeight="1">
      <c r="C570" s="310" t="s">
        <v>1205</v>
      </c>
      <c r="D570" s="182" t="s">
        <v>562</v>
      </c>
      <c r="E570" s="176" t="s">
        <v>65</v>
      </c>
      <c r="F570" s="282">
        <v>1.5</v>
      </c>
      <c r="G570" s="283">
        <f>VLOOKUP(D570,upahbahan,3,FALSE)</f>
        <v>18000</v>
      </c>
      <c r="H570" s="284">
        <f t="shared" si="56"/>
        <v>27000</v>
      </c>
    </row>
    <row r="571" spans="3:9" ht="23.4" customHeight="1">
      <c r="C571" s="310" t="s">
        <v>1206</v>
      </c>
      <c r="D571" s="285" t="s">
        <v>85</v>
      </c>
      <c r="E571" s="176" t="s">
        <v>42</v>
      </c>
      <c r="F571" s="282">
        <v>2.7E-2</v>
      </c>
      <c r="G571" s="283">
        <f>VLOOKUP(D571,upahbahan,3,FALSE)</f>
        <v>310500</v>
      </c>
      <c r="H571" s="284">
        <f t="shared" si="56"/>
        <v>8383.5</v>
      </c>
    </row>
    <row r="572" spans="3:9" ht="23.4" customHeight="1">
      <c r="C572" s="66" t="s">
        <v>1214</v>
      </c>
      <c r="D572" s="67"/>
      <c r="E572" s="67"/>
      <c r="F572" s="67"/>
      <c r="G572" s="69"/>
      <c r="H572" s="284">
        <f>SUM(H568:H571)</f>
        <v>312197.46000000002</v>
      </c>
    </row>
    <row r="573" spans="3:9" ht="23.4" customHeight="1">
      <c r="C573" s="321" t="s">
        <v>1215</v>
      </c>
      <c r="D573" s="182" t="s">
        <v>1216</v>
      </c>
      <c r="E573" s="70"/>
      <c r="F573" s="70"/>
      <c r="G573" s="70"/>
      <c r="H573" s="71"/>
    </row>
    <row r="574" spans="3:9" ht="23.4" customHeight="1">
      <c r="C574" s="66" t="s">
        <v>1217</v>
      </c>
      <c r="D574" s="67"/>
      <c r="E574" s="67"/>
      <c r="F574" s="67"/>
      <c r="G574" s="69"/>
      <c r="H574" s="292">
        <v>0</v>
      </c>
    </row>
    <row r="575" spans="3:9" ht="23.4" customHeight="1">
      <c r="C575" s="293" t="s">
        <v>1218</v>
      </c>
      <c r="D575" s="294" t="s">
        <v>1219</v>
      </c>
      <c r="E575" s="295"/>
      <c r="F575" s="295"/>
      <c r="G575" s="296"/>
      <c r="H575" s="284">
        <f>H574+H572+H566</f>
        <v>339529.96</v>
      </c>
    </row>
    <row r="576" spans="3:9" ht="23.4" customHeight="1">
      <c r="C576" s="293" t="s">
        <v>1220</v>
      </c>
      <c r="D576" s="294" t="s">
        <v>1321</v>
      </c>
      <c r="E576" s="295"/>
      <c r="F576" s="296"/>
      <c r="G576" s="298">
        <f>$M$8</f>
        <v>0.1</v>
      </c>
      <c r="H576" s="284">
        <f>H575*G576</f>
        <v>33952.996000000006</v>
      </c>
    </row>
    <row r="577" spans="3:9" ht="23.4" customHeight="1" thickBot="1">
      <c r="C577" s="299" t="s">
        <v>1221</v>
      </c>
      <c r="D577" s="300" t="s">
        <v>1222</v>
      </c>
      <c r="E577" s="301"/>
      <c r="F577" s="301"/>
      <c r="G577" s="302"/>
      <c r="H577" s="303">
        <f>SUM(H575:H576)</f>
        <v>373482.95600000001</v>
      </c>
    </row>
    <row r="578" spans="3:9" ht="14.4" thickTop="1">
      <c r="C578" s="289"/>
      <c r="D578" s="297"/>
      <c r="E578" s="297"/>
      <c r="F578" s="297"/>
      <c r="G578" s="297"/>
      <c r="H578" s="139"/>
    </row>
    <row r="579" spans="3:9" ht="15.75" customHeight="1" thickBot="1">
      <c r="C579" s="47" t="s">
        <v>2891</v>
      </c>
      <c r="D579" s="483" t="s">
        <v>2892</v>
      </c>
      <c r="E579" s="483"/>
      <c r="F579" s="483"/>
      <c r="G579" s="483"/>
      <c r="H579" s="483"/>
      <c r="I579" s="120">
        <f>ROUNDDOWN(H597,-2)</f>
        <v>283200</v>
      </c>
    </row>
    <row r="580" spans="3:9" ht="28.2" thickTop="1">
      <c r="C580" s="51" t="s">
        <v>1195</v>
      </c>
      <c r="D580" s="52" t="s">
        <v>1196</v>
      </c>
      <c r="E580" s="52" t="s">
        <v>1197</v>
      </c>
      <c r="F580" s="52" t="s">
        <v>1198</v>
      </c>
      <c r="G580" s="52" t="s">
        <v>1199</v>
      </c>
      <c r="H580" s="53" t="s">
        <v>1200</v>
      </c>
    </row>
    <row r="581" spans="3:9" ht="23.4" customHeight="1">
      <c r="C581" s="290" t="s">
        <v>1201</v>
      </c>
      <c r="D581" s="182" t="s">
        <v>1202</v>
      </c>
      <c r="E581" s="70"/>
      <c r="F581" s="70"/>
      <c r="G581" s="70"/>
      <c r="H581" s="71"/>
    </row>
    <row r="582" spans="3:9" ht="23.4" customHeight="1">
      <c r="C582" s="281">
        <v>1</v>
      </c>
      <c r="D582" s="182" t="s">
        <v>5</v>
      </c>
      <c r="E582" s="176" t="s">
        <v>6</v>
      </c>
      <c r="F582" s="315">
        <v>0.25</v>
      </c>
      <c r="G582" s="283">
        <f>VLOOKUP(D582,upahbahan,3,FALSE)</f>
        <v>100000</v>
      </c>
      <c r="H582" s="284">
        <f t="shared" ref="H582:H585" si="57">F582*G582</f>
        <v>25000</v>
      </c>
    </row>
    <row r="583" spans="3:9" ht="23.4" customHeight="1">
      <c r="C583" s="281">
        <v>2</v>
      </c>
      <c r="D583" s="182" t="s">
        <v>7</v>
      </c>
      <c r="E583" s="176" t="s">
        <v>6</v>
      </c>
      <c r="F583" s="309">
        <v>8.3299999999999999E-2</v>
      </c>
      <c r="G583" s="283">
        <f>VLOOKUP(D583,upahbahan,3,FALSE)</f>
        <v>135000</v>
      </c>
      <c r="H583" s="284">
        <f t="shared" si="57"/>
        <v>11245.5</v>
      </c>
    </row>
    <row r="584" spans="3:9" ht="23.4" customHeight="1">
      <c r="C584" s="281">
        <v>3</v>
      </c>
      <c r="D584" s="182" t="s">
        <v>18</v>
      </c>
      <c r="E584" s="176" t="s">
        <v>6</v>
      </c>
      <c r="F584" s="309">
        <v>8.3000000000000001E-3</v>
      </c>
      <c r="G584" s="283">
        <f>VLOOKUP(D584,upahbahan,3,FALSE)</f>
        <v>150000</v>
      </c>
      <c r="H584" s="284">
        <f t="shared" si="57"/>
        <v>1245</v>
      </c>
    </row>
    <row r="585" spans="3:9" ht="23.4" customHeight="1">
      <c r="C585" s="281">
        <v>4</v>
      </c>
      <c r="D585" s="182" t="s">
        <v>19</v>
      </c>
      <c r="E585" s="176" t="s">
        <v>6</v>
      </c>
      <c r="F585" s="309">
        <v>2.8E-3</v>
      </c>
      <c r="G585" s="283">
        <f>VLOOKUP(D585,upahbahan,3,FALSE)</f>
        <v>160000</v>
      </c>
      <c r="H585" s="284">
        <f t="shared" si="57"/>
        <v>448</v>
      </c>
    </row>
    <row r="586" spans="3:9" ht="23.4" customHeight="1">
      <c r="C586" s="66" t="s">
        <v>1208</v>
      </c>
      <c r="D586" s="67"/>
      <c r="E586" s="67"/>
      <c r="F586" s="142"/>
      <c r="G586" s="153"/>
      <c r="H586" s="284">
        <f>SUM(H582:H585)</f>
        <v>37938.5</v>
      </c>
      <c r="I586" s="320"/>
    </row>
    <row r="587" spans="3:9" ht="23.4" customHeight="1">
      <c r="C587" s="290" t="s">
        <v>1209</v>
      </c>
      <c r="D587" s="182" t="s">
        <v>1210</v>
      </c>
      <c r="E587" s="70"/>
      <c r="F587" s="70"/>
      <c r="G587" s="70"/>
      <c r="H587" s="71"/>
    </row>
    <row r="588" spans="3:9" ht="23.4" customHeight="1">
      <c r="C588" s="310" t="s">
        <v>1203</v>
      </c>
      <c r="D588" s="285" t="s">
        <v>2888</v>
      </c>
      <c r="E588" s="176" t="s">
        <v>44</v>
      </c>
      <c r="F588" s="282">
        <v>2.9169999999999998</v>
      </c>
      <c r="G588" s="283">
        <f>VLOOKUP(D588,upahbahan,3,FALSE)</f>
        <v>56000</v>
      </c>
      <c r="H588" s="284">
        <f t="shared" ref="H588:H591" si="58">F588*G588</f>
        <v>163352</v>
      </c>
    </row>
    <row r="589" spans="3:9" ht="23.4" customHeight="1">
      <c r="C589" s="310" t="s">
        <v>1204</v>
      </c>
      <c r="D589" s="182" t="s">
        <v>2334</v>
      </c>
      <c r="E589" s="176" t="s">
        <v>65</v>
      </c>
      <c r="F589" s="282">
        <v>13.632</v>
      </c>
      <c r="G589" s="283">
        <f>VLOOKUP(D589,upahbahan,3,FALSE)</f>
        <v>1530</v>
      </c>
      <c r="H589" s="284">
        <f t="shared" si="58"/>
        <v>20856.96</v>
      </c>
    </row>
    <row r="590" spans="3:9" ht="23.4" customHeight="1">
      <c r="C590" s="310" t="s">
        <v>1205</v>
      </c>
      <c r="D590" s="182" t="s">
        <v>562</v>
      </c>
      <c r="E590" s="176" t="s">
        <v>65</v>
      </c>
      <c r="F590" s="282">
        <v>1.5</v>
      </c>
      <c r="G590" s="283">
        <f>VLOOKUP(D590,upahbahan,3,FALSE)</f>
        <v>18000</v>
      </c>
      <c r="H590" s="284">
        <f t="shared" si="58"/>
        <v>27000</v>
      </c>
    </row>
    <row r="591" spans="3:9" ht="23.4" customHeight="1">
      <c r="C591" s="310" t="s">
        <v>1206</v>
      </c>
      <c r="D591" s="285" t="s">
        <v>85</v>
      </c>
      <c r="E591" s="176" t="s">
        <v>42</v>
      </c>
      <c r="F591" s="282">
        <v>2.7E-2</v>
      </c>
      <c r="G591" s="283">
        <f>VLOOKUP(D591,upahbahan,3,FALSE)</f>
        <v>310500</v>
      </c>
      <c r="H591" s="284">
        <f t="shared" si="58"/>
        <v>8383.5</v>
      </c>
    </row>
    <row r="592" spans="3:9" ht="23.4" customHeight="1">
      <c r="C592" s="66" t="s">
        <v>1214</v>
      </c>
      <c r="D592" s="67"/>
      <c r="E592" s="67"/>
      <c r="F592" s="67"/>
      <c r="G592" s="69"/>
      <c r="H592" s="284">
        <f>SUM(H588:H591)</f>
        <v>219592.46</v>
      </c>
    </row>
    <row r="593" spans="3:9" ht="23.4" customHeight="1">
      <c r="C593" s="321" t="s">
        <v>1215</v>
      </c>
      <c r="D593" s="182" t="s">
        <v>1216</v>
      </c>
      <c r="E593" s="70"/>
      <c r="F593" s="70"/>
      <c r="G593" s="70"/>
      <c r="H593" s="71"/>
    </row>
    <row r="594" spans="3:9" ht="23.4" customHeight="1">
      <c r="C594" s="66" t="s">
        <v>1217</v>
      </c>
      <c r="D594" s="67"/>
      <c r="E594" s="67"/>
      <c r="F594" s="67"/>
      <c r="G594" s="69"/>
      <c r="H594" s="292">
        <v>0</v>
      </c>
    </row>
    <row r="595" spans="3:9" ht="23.4" customHeight="1">
      <c r="C595" s="293" t="s">
        <v>1218</v>
      </c>
      <c r="D595" s="294" t="s">
        <v>1219</v>
      </c>
      <c r="E595" s="295"/>
      <c r="F595" s="295"/>
      <c r="G595" s="296"/>
      <c r="H595" s="284">
        <f>H594+H592+H586</f>
        <v>257530.96</v>
      </c>
    </row>
    <row r="596" spans="3:9" ht="23.4" customHeight="1">
      <c r="C596" s="293" t="s">
        <v>1220</v>
      </c>
      <c r="D596" s="294" t="s">
        <v>1321</v>
      </c>
      <c r="E596" s="295"/>
      <c r="F596" s="296"/>
      <c r="G596" s="298">
        <f>$M$8</f>
        <v>0.1</v>
      </c>
      <c r="H596" s="284">
        <f>H595*G596</f>
        <v>25753.096000000001</v>
      </c>
    </row>
    <row r="597" spans="3:9" ht="23.4" customHeight="1" thickBot="1">
      <c r="C597" s="299" t="s">
        <v>1221</v>
      </c>
      <c r="D597" s="300" t="s">
        <v>1222</v>
      </c>
      <c r="E597" s="301"/>
      <c r="F597" s="301"/>
      <c r="G597" s="302"/>
      <c r="H597" s="303">
        <f>SUM(H595:H596)</f>
        <v>283284.05599999998</v>
      </c>
    </row>
    <row r="598" spans="3:9" ht="14.4" thickTop="1">
      <c r="C598" s="289"/>
      <c r="D598" s="297"/>
      <c r="E598" s="297"/>
      <c r="F598" s="297"/>
      <c r="G598" s="297"/>
      <c r="H598" s="139"/>
    </row>
    <row r="599" spans="3:9" ht="15.75" customHeight="1" thickBot="1">
      <c r="C599" s="47" t="s">
        <v>2893</v>
      </c>
      <c r="D599" s="483" t="s">
        <v>2895</v>
      </c>
      <c r="E599" s="483"/>
      <c r="F599" s="483"/>
      <c r="G599" s="483"/>
      <c r="H599" s="483"/>
      <c r="I599" s="120">
        <f>ROUNDDOWN(H617,-2)</f>
        <v>46700</v>
      </c>
    </row>
    <row r="600" spans="3:9" ht="28.2" thickTop="1">
      <c r="C600" s="51" t="s">
        <v>1195</v>
      </c>
      <c r="D600" s="52" t="s">
        <v>1196</v>
      </c>
      <c r="E600" s="52" t="s">
        <v>1197</v>
      </c>
      <c r="F600" s="52" t="s">
        <v>1198</v>
      </c>
      <c r="G600" s="52" t="s">
        <v>1199</v>
      </c>
      <c r="H600" s="53" t="s">
        <v>1200</v>
      </c>
    </row>
    <row r="601" spans="3:9" ht="23.4" customHeight="1">
      <c r="C601" s="290" t="s">
        <v>1201</v>
      </c>
      <c r="D601" s="182" t="s">
        <v>1202</v>
      </c>
      <c r="E601" s="70"/>
      <c r="F601" s="70"/>
      <c r="G601" s="70"/>
      <c r="H601" s="71"/>
    </row>
    <row r="602" spans="3:9" ht="23.4" customHeight="1">
      <c r="C602" s="281">
        <v>1</v>
      </c>
      <c r="D602" s="182" t="s">
        <v>5</v>
      </c>
      <c r="E602" s="176" t="s">
        <v>6</v>
      </c>
      <c r="F602" s="309">
        <v>6.25E-2</v>
      </c>
      <c r="G602" s="283">
        <f>VLOOKUP(D602,upahbahan,3,FALSE)</f>
        <v>100000</v>
      </c>
      <c r="H602" s="284">
        <f t="shared" ref="H602:H605" si="59">F602*G602</f>
        <v>6250</v>
      </c>
    </row>
    <row r="603" spans="3:9" ht="23.4" customHeight="1">
      <c r="C603" s="281">
        <v>2</v>
      </c>
      <c r="D603" s="182" t="s">
        <v>7</v>
      </c>
      <c r="E603" s="176" t="s">
        <v>6</v>
      </c>
      <c r="F603" s="309">
        <v>3.1300000000000001E-2</v>
      </c>
      <c r="G603" s="283">
        <f>VLOOKUP(D603,upahbahan,3,FALSE)</f>
        <v>135000</v>
      </c>
      <c r="H603" s="284">
        <f t="shared" si="59"/>
        <v>4225.5</v>
      </c>
    </row>
    <row r="604" spans="3:9" ht="23.4" customHeight="1">
      <c r="C604" s="281">
        <v>3</v>
      </c>
      <c r="D604" s="182" t="s">
        <v>18</v>
      </c>
      <c r="E604" s="176" t="s">
        <v>6</v>
      </c>
      <c r="F604" s="309">
        <v>3.0999999999999999E-3</v>
      </c>
      <c r="G604" s="283">
        <f>VLOOKUP(D604,upahbahan,3,FALSE)</f>
        <v>150000</v>
      </c>
      <c r="H604" s="284">
        <f t="shared" si="59"/>
        <v>465</v>
      </c>
    </row>
    <row r="605" spans="3:9" ht="23.4" customHeight="1">
      <c r="C605" s="281">
        <v>4</v>
      </c>
      <c r="D605" s="182" t="s">
        <v>19</v>
      </c>
      <c r="E605" s="176" t="s">
        <v>6</v>
      </c>
      <c r="F605" s="309">
        <v>1E-3</v>
      </c>
      <c r="G605" s="283">
        <f>VLOOKUP(D605,upahbahan,3,FALSE)</f>
        <v>160000</v>
      </c>
      <c r="H605" s="284">
        <f t="shared" si="59"/>
        <v>160</v>
      </c>
    </row>
    <row r="606" spans="3:9" ht="23.4" customHeight="1">
      <c r="C606" s="66" t="s">
        <v>1208</v>
      </c>
      <c r="D606" s="67"/>
      <c r="E606" s="67"/>
      <c r="F606" s="142"/>
      <c r="G606" s="153"/>
      <c r="H606" s="284">
        <f>SUM(H602:H605)</f>
        <v>11100.5</v>
      </c>
      <c r="I606" s="320"/>
    </row>
    <row r="607" spans="3:9" ht="23.4" customHeight="1">
      <c r="C607" s="290" t="s">
        <v>1209</v>
      </c>
      <c r="D607" s="182" t="s">
        <v>1210</v>
      </c>
      <c r="E607" s="70"/>
      <c r="F607" s="70"/>
      <c r="G607" s="70"/>
      <c r="H607" s="71"/>
    </row>
    <row r="608" spans="3:9" ht="23.4" customHeight="1">
      <c r="C608" s="310" t="s">
        <v>1203</v>
      </c>
      <c r="D608" s="285" t="s">
        <v>2896</v>
      </c>
      <c r="E608" s="176" t="s">
        <v>44</v>
      </c>
      <c r="F608" s="282">
        <v>3.5</v>
      </c>
      <c r="G608" s="283">
        <f>VLOOKUP(D608,upahbahan,3,FALSE)</f>
        <v>7000</v>
      </c>
      <c r="H608" s="284">
        <f t="shared" ref="H608:H611" si="60">F608*G608</f>
        <v>24500</v>
      </c>
    </row>
    <row r="609" spans="3:9" ht="23.4" customHeight="1">
      <c r="C609" s="310" t="s">
        <v>1204</v>
      </c>
      <c r="D609" s="182" t="s">
        <v>2334</v>
      </c>
      <c r="E609" s="176" t="s">
        <v>65</v>
      </c>
      <c r="F609" s="282">
        <v>1.704</v>
      </c>
      <c r="G609" s="283">
        <f>VLOOKUP(D609,upahbahan,3,FALSE)</f>
        <v>1530</v>
      </c>
      <c r="H609" s="284">
        <f t="shared" si="60"/>
        <v>2607.12</v>
      </c>
    </row>
    <row r="610" spans="3:9" ht="23.4" customHeight="1">
      <c r="C610" s="310" t="s">
        <v>1205</v>
      </c>
      <c r="D610" s="182" t="s">
        <v>562</v>
      </c>
      <c r="E610" s="176" t="s">
        <v>65</v>
      </c>
      <c r="F610" s="282">
        <v>0.188</v>
      </c>
      <c r="G610" s="283">
        <f>VLOOKUP(D610,upahbahan,3,FALSE)</f>
        <v>18000</v>
      </c>
      <c r="H610" s="284">
        <f t="shared" si="60"/>
        <v>3384</v>
      </c>
    </row>
    <row r="611" spans="3:9" ht="23.4" customHeight="1">
      <c r="C611" s="310" t="s">
        <v>1206</v>
      </c>
      <c r="D611" s="285" t="s">
        <v>85</v>
      </c>
      <c r="E611" s="176" t="s">
        <v>42</v>
      </c>
      <c r="F611" s="282">
        <v>3.0000000000000001E-3</v>
      </c>
      <c r="G611" s="283">
        <f>VLOOKUP(D611,upahbahan,3,FALSE)</f>
        <v>310500</v>
      </c>
      <c r="H611" s="284">
        <f t="shared" si="60"/>
        <v>931.5</v>
      </c>
    </row>
    <row r="612" spans="3:9" ht="23.4" customHeight="1">
      <c r="C612" s="66" t="s">
        <v>1214</v>
      </c>
      <c r="D612" s="67"/>
      <c r="E612" s="67"/>
      <c r="F612" s="67"/>
      <c r="G612" s="69"/>
      <c r="H612" s="284">
        <f>SUM(H608:H611)</f>
        <v>31422.62</v>
      </c>
    </row>
    <row r="613" spans="3:9" ht="23.4" customHeight="1">
      <c r="C613" s="321" t="s">
        <v>1215</v>
      </c>
      <c r="D613" s="182" t="s">
        <v>1216</v>
      </c>
      <c r="E613" s="70"/>
      <c r="F613" s="70"/>
      <c r="G613" s="70"/>
      <c r="H613" s="71"/>
    </row>
    <row r="614" spans="3:9" ht="23.4" customHeight="1">
      <c r="C614" s="66" t="s">
        <v>1217</v>
      </c>
      <c r="D614" s="67"/>
      <c r="E614" s="67"/>
      <c r="F614" s="67"/>
      <c r="G614" s="69"/>
      <c r="H614" s="292">
        <v>0</v>
      </c>
    </row>
    <row r="615" spans="3:9" ht="23.4" customHeight="1">
      <c r="C615" s="293" t="s">
        <v>1218</v>
      </c>
      <c r="D615" s="294" t="s">
        <v>1219</v>
      </c>
      <c r="E615" s="295"/>
      <c r="F615" s="295"/>
      <c r="G615" s="296"/>
      <c r="H615" s="284">
        <f>H614+H612+H606</f>
        <v>42523.119999999995</v>
      </c>
    </row>
    <row r="616" spans="3:9" ht="23.4" customHeight="1">
      <c r="C616" s="293" t="s">
        <v>1220</v>
      </c>
      <c r="D616" s="294" t="s">
        <v>1321</v>
      </c>
      <c r="E616" s="295"/>
      <c r="F616" s="296"/>
      <c r="G616" s="298">
        <f>$M$8</f>
        <v>0.1</v>
      </c>
      <c r="H616" s="284">
        <f>H615*G616</f>
        <v>4252.3119999999999</v>
      </c>
    </row>
    <row r="617" spans="3:9" ht="23.4" customHeight="1" thickBot="1">
      <c r="C617" s="299" t="s">
        <v>1221</v>
      </c>
      <c r="D617" s="300" t="s">
        <v>1222</v>
      </c>
      <c r="E617" s="301"/>
      <c r="F617" s="301"/>
      <c r="G617" s="302"/>
      <c r="H617" s="303">
        <f>SUM(H615:H616)</f>
        <v>46775.431999999993</v>
      </c>
    </row>
    <row r="618" spans="3:9" ht="14.4" thickTop="1">
      <c r="C618" s="289"/>
      <c r="D618" s="297"/>
      <c r="E618" s="297"/>
      <c r="F618" s="297"/>
      <c r="G618" s="297"/>
      <c r="H618" s="139"/>
    </row>
    <row r="619" spans="3:9">
      <c r="C619" s="289"/>
      <c r="D619" s="297"/>
      <c r="E619" s="297"/>
      <c r="F619" s="297"/>
      <c r="G619" s="297"/>
      <c r="H619" s="139"/>
    </row>
    <row r="620" spans="3:9" ht="15.75" customHeight="1" thickBot="1">
      <c r="C620" s="47" t="s">
        <v>2899</v>
      </c>
      <c r="D620" s="483" t="s">
        <v>2900</v>
      </c>
      <c r="E620" s="483"/>
      <c r="F620" s="483"/>
      <c r="G620" s="483"/>
      <c r="H620" s="483"/>
      <c r="I620" s="120">
        <f>ROUNDDOWN(H638,-2)</f>
        <v>46600</v>
      </c>
    </row>
    <row r="621" spans="3:9" ht="28.2" thickTop="1">
      <c r="C621" s="51" t="s">
        <v>1195</v>
      </c>
      <c r="D621" s="52" t="s">
        <v>1196</v>
      </c>
      <c r="E621" s="52" t="s">
        <v>1197</v>
      </c>
      <c r="F621" s="52" t="s">
        <v>1198</v>
      </c>
      <c r="G621" s="52" t="s">
        <v>1199</v>
      </c>
      <c r="H621" s="53" t="s">
        <v>1200</v>
      </c>
    </row>
    <row r="622" spans="3:9" ht="23.4" customHeight="1">
      <c r="C622" s="290" t="s">
        <v>1201</v>
      </c>
      <c r="D622" s="182" t="s">
        <v>1202</v>
      </c>
      <c r="E622" s="70"/>
      <c r="F622" s="70"/>
      <c r="G622" s="70"/>
      <c r="H622" s="71"/>
    </row>
    <row r="623" spans="3:9" ht="23.4" customHeight="1">
      <c r="C623" s="281">
        <v>1</v>
      </c>
      <c r="D623" s="182" t="s">
        <v>5</v>
      </c>
      <c r="E623" s="176" t="s">
        <v>6</v>
      </c>
      <c r="F623" s="309">
        <v>6.6699999999999995E-2</v>
      </c>
      <c r="G623" s="283">
        <f>VLOOKUP(D623,upahbahan,3,FALSE)</f>
        <v>100000</v>
      </c>
      <c r="H623" s="284">
        <f t="shared" ref="H623:H626" si="61">F623*G623</f>
        <v>6669.9999999999991</v>
      </c>
    </row>
    <row r="624" spans="3:9" ht="23.4" customHeight="1">
      <c r="C624" s="281">
        <v>2</v>
      </c>
      <c r="D624" s="182" t="s">
        <v>7</v>
      </c>
      <c r="E624" s="176" t="s">
        <v>6</v>
      </c>
      <c r="F624" s="309">
        <v>3.3300000000000003E-2</v>
      </c>
      <c r="G624" s="283">
        <f>VLOOKUP(D624,upahbahan,3,FALSE)</f>
        <v>135000</v>
      </c>
      <c r="H624" s="284">
        <f t="shared" si="61"/>
        <v>4495.5</v>
      </c>
    </row>
    <row r="625" spans="3:9" ht="23.4" customHeight="1">
      <c r="C625" s="281">
        <v>3</v>
      </c>
      <c r="D625" s="182" t="s">
        <v>18</v>
      </c>
      <c r="E625" s="176" t="s">
        <v>6</v>
      </c>
      <c r="F625" s="309">
        <v>3.3E-3</v>
      </c>
      <c r="G625" s="283">
        <f>VLOOKUP(D625,upahbahan,3,FALSE)</f>
        <v>150000</v>
      </c>
      <c r="H625" s="284">
        <f t="shared" si="61"/>
        <v>495</v>
      </c>
    </row>
    <row r="626" spans="3:9" ht="23.4" customHeight="1">
      <c r="C626" s="281">
        <v>4</v>
      </c>
      <c r="D626" s="182" t="s">
        <v>19</v>
      </c>
      <c r="E626" s="176" t="s">
        <v>6</v>
      </c>
      <c r="F626" s="309">
        <v>1.1000000000000001E-3</v>
      </c>
      <c r="G626" s="283">
        <f>VLOOKUP(D626,upahbahan,3,FALSE)</f>
        <v>160000</v>
      </c>
      <c r="H626" s="284">
        <f t="shared" si="61"/>
        <v>176</v>
      </c>
    </row>
    <row r="627" spans="3:9" ht="23.4" customHeight="1">
      <c r="C627" s="66" t="s">
        <v>1208</v>
      </c>
      <c r="D627" s="67"/>
      <c r="E627" s="67"/>
      <c r="F627" s="142"/>
      <c r="G627" s="153"/>
      <c r="H627" s="284">
        <f>SUM(H623:H626)</f>
        <v>11836.5</v>
      </c>
      <c r="I627" s="320"/>
    </row>
    <row r="628" spans="3:9" ht="23.4" customHeight="1">
      <c r="C628" s="290" t="s">
        <v>1209</v>
      </c>
      <c r="D628" s="182" t="s">
        <v>1210</v>
      </c>
      <c r="E628" s="70"/>
      <c r="F628" s="70"/>
      <c r="G628" s="70"/>
      <c r="H628" s="71"/>
    </row>
    <row r="629" spans="3:9" ht="23.4" customHeight="1">
      <c r="C629" s="310" t="s">
        <v>1203</v>
      </c>
      <c r="D629" s="285" t="s">
        <v>2897</v>
      </c>
      <c r="E629" s="176" t="s">
        <v>44</v>
      </c>
      <c r="F629" s="282">
        <v>2.625</v>
      </c>
      <c r="G629" s="283">
        <f>VLOOKUP(D629,upahbahan,3,FALSE)</f>
        <v>9000</v>
      </c>
      <c r="H629" s="284">
        <f t="shared" ref="H629:H632" si="62">F629*G629</f>
        <v>23625</v>
      </c>
    </row>
    <row r="630" spans="3:9" ht="23.4" customHeight="1">
      <c r="C630" s="310" t="s">
        <v>1204</v>
      </c>
      <c r="D630" s="182" t="s">
        <v>2334</v>
      </c>
      <c r="E630" s="176" t="s">
        <v>65</v>
      </c>
      <c r="F630" s="282">
        <v>1.704</v>
      </c>
      <c r="G630" s="283">
        <f>VLOOKUP(D630,upahbahan,3,FALSE)</f>
        <v>1530</v>
      </c>
      <c r="H630" s="284">
        <f t="shared" si="62"/>
        <v>2607.12</v>
      </c>
    </row>
    <row r="631" spans="3:9" ht="23.4" customHeight="1">
      <c r="C631" s="310" t="s">
        <v>1205</v>
      </c>
      <c r="D631" s="182" t="s">
        <v>562</v>
      </c>
      <c r="E631" s="176" t="s">
        <v>65</v>
      </c>
      <c r="F631" s="282">
        <v>0.188</v>
      </c>
      <c r="G631" s="283">
        <f>VLOOKUP(D631,upahbahan,3,FALSE)</f>
        <v>18000</v>
      </c>
      <c r="H631" s="284">
        <f t="shared" si="62"/>
        <v>3384</v>
      </c>
    </row>
    <row r="632" spans="3:9" ht="23.4" customHeight="1">
      <c r="C632" s="310" t="s">
        <v>1206</v>
      </c>
      <c r="D632" s="285" t="s">
        <v>85</v>
      </c>
      <c r="E632" s="176" t="s">
        <v>42</v>
      </c>
      <c r="F632" s="282">
        <v>3.0000000000000001E-3</v>
      </c>
      <c r="G632" s="283">
        <f>VLOOKUP(D632,upahbahan,3,FALSE)</f>
        <v>310500</v>
      </c>
      <c r="H632" s="284">
        <f t="shared" si="62"/>
        <v>931.5</v>
      </c>
    </row>
    <row r="633" spans="3:9" ht="23.4" customHeight="1">
      <c r="C633" s="66" t="s">
        <v>1214</v>
      </c>
      <c r="D633" s="67"/>
      <c r="E633" s="67"/>
      <c r="F633" s="67"/>
      <c r="G633" s="69"/>
      <c r="H633" s="284">
        <f>SUM(H629:H632)</f>
        <v>30547.62</v>
      </c>
    </row>
    <row r="634" spans="3:9" ht="23.4" customHeight="1">
      <c r="C634" s="321" t="s">
        <v>1215</v>
      </c>
      <c r="D634" s="182" t="s">
        <v>1216</v>
      </c>
      <c r="E634" s="70"/>
      <c r="F634" s="70"/>
      <c r="G634" s="70"/>
      <c r="H634" s="71"/>
    </row>
    <row r="635" spans="3:9" ht="23.4" customHeight="1">
      <c r="C635" s="66" t="s">
        <v>1217</v>
      </c>
      <c r="D635" s="67"/>
      <c r="E635" s="67"/>
      <c r="F635" s="67"/>
      <c r="G635" s="69"/>
      <c r="H635" s="292">
        <v>0</v>
      </c>
    </row>
    <row r="636" spans="3:9" ht="23.4" customHeight="1">
      <c r="C636" s="293" t="s">
        <v>1218</v>
      </c>
      <c r="D636" s="294" t="s">
        <v>1219</v>
      </c>
      <c r="E636" s="295"/>
      <c r="F636" s="295"/>
      <c r="G636" s="296"/>
      <c r="H636" s="284">
        <f>H635+H633+H627</f>
        <v>42384.119999999995</v>
      </c>
    </row>
    <row r="637" spans="3:9" ht="23.4" customHeight="1">
      <c r="C637" s="293" t="s">
        <v>1220</v>
      </c>
      <c r="D637" s="294" t="s">
        <v>1321</v>
      </c>
      <c r="E637" s="295"/>
      <c r="F637" s="296"/>
      <c r="G637" s="298">
        <f>$M$8</f>
        <v>0.1</v>
      </c>
      <c r="H637" s="284">
        <f>H636*G637</f>
        <v>4238.4119999999994</v>
      </c>
    </row>
    <row r="638" spans="3:9" ht="23.4" customHeight="1" thickBot="1">
      <c r="C638" s="299" t="s">
        <v>1221</v>
      </c>
      <c r="D638" s="300" t="s">
        <v>1222</v>
      </c>
      <c r="E638" s="301"/>
      <c r="F638" s="301"/>
      <c r="G638" s="302"/>
      <c r="H638" s="303">
        <f>SUM(H636:H637)</f>
        <v>46622.531999999992</v>
      </c>
    </row>
    <row r="639" spans="3:9" ht="14.4" thickTop="1">
      <c r="C639" s="289"/>
      <c r="D639" s="297"/>
      <c r="E639" s="297"/>
      <c r="F639" s="297"/>
      <c r="G639" s="297"/>
      <c r="H639" s="139"/>
    </row>
    <row r="640" spans="3:9" ht="15.75" customHeight="1" thickBot="1">
      <c r="C640" s="47" t="s">
        <v>2901</v>
      </c>
      <c r="D640" s="483" t="s">
        <v>2894</v>
      </c>
      <c r="E640" s="483"/>
      <c r="F640" s="483"/>
      <c r="G640" s="483"/>
      <c r="H640" s="483"/>
      <c r="I640" s="120">
        <f>ROUNDDOWN(H658,-2)</f>
        <v>46600</v>
      </c>
    </row>
    <row r="641" spans="3:9" ht="28.2" thickTop="1">
      <c r="C641" s="51" t="s">
        <v>1195</v>
      </c>
      <c r="D641" s="52" t="s">
        <v>1196</v>
      </c>
      <c r="E641" s="52" t="s">
        <v>1197</v>
      </c>
      <c r="F641" s="52" t="s">
        <v>1198</v>
      </c>
      <c r="G641" s="52" t="s">
        <v>1199</v>
      </c>
      <c r="H641" s="53" t="s">
        <v>1200</v>
      </c>
    </row>
    <row r="642" spans="3:9" ht="23.4" customHeight="1">
      <c r="C642" s="290" t="s">
        <v>1201</v>
      </c>
      <c r="D642" s="182" t="s">
        <v>1202</v>
      </c>
      <c r="E642" s="70"/>
      <c r="F642" s="70"/>
      <c r="G642" s="70"/>
      <c r="H642" s="71"/>
    </row>
    <row r="643" spans="3:9" ht="23.4" customHeight="1">
      <c r="C643" s="281">
        <v>1</v>
      </c>
      <c r="D643" s="182" t="s">
        <v>5</v>
      </c>
      <c r="E643" s="176" t="s">
        <v>6</v>
      </c>
      <c r="F643" s="309">
        <v>7.1400000000000005E-2</v>
      </c>
      <c r="G643" s="283">
        <f>VLOOKUP(D643,upahbahan,3,FALSE)</f>
        <v>100000</v>
      </c>
      <c r="H643" s="284">
        <f t="shared" ref="H643:H646" si="63">F643*G643</f>
        <v>7140.0000000000009</v>
      </c>
    </row>
    <row r="644" spans="3:9" ht="23.4" customHeight="1">
      <c r="C644" s="281">
        <v>2</v>
      </c>
      <c r="D644" s="182" t="s">
        <v>7</v>
      </c>
      <c r="E644" s="176" t="s">
        <v>6</v>
      </c>
      <c r="F644" s="309">
        <v>3.5700000000000003E-2</v>
      </c>
      <c r="G644" s="283">
        <f>VLOOKUP(D644,upahbahan,3,FALSE)</f>
        <v>135000</v>
      </c>
      <c r="H644" s="284">
        <f t="shared" si="63"/>
        <v>4819.5</v>
      </c>
    </row>
    <row r="645" spans="3:9" ht="23.4" customHeight="1">
      <c r="C645" s="281">
        <v>3</v>
      </c>
      <c r="D645" s="182" t="s">
        <v>18</v>
      </c>
      <c r="E645" s="176" t="s">
        <v>6</v>
      </c>
      <c r="F645" s="309">
        <v>3.5999999999999999E-3</v>
      </c>
      <c r="G645" s="283">
        <f>VLOOKUP(D645,upahbahan,3,FALSE)</f>
        <v>150000</v>
      </c>
      <c r="H645" s="284">
        <f t="shared" si="63"/>
        <v>540</v>
      </c>
    </row>
    <row r="646" spans="3:9" ht="23.4" customHeight="1">
      <c r="C646" s="281">
        <v>4</v>
      </c>
      <c r="D646" s="182" t="s">
        <v>19</v>
      </c>
      <c r="E646" s="176" t="s">
        <v>6</v>
      </c>
      <c r="F646" s="309">
        <v>1.1999999999999999E-3</v>
      </c>
      <c r="G646" s="283">
        <f>VLOOKUP(D646,upahbahan,3,FALSE)</f>
        <v>160000</v>
      </c>
      <c r="H646" s="284">
        <f t="shared" si="63"/>
        <v>191.99999999999997</v>
      </c>
    </row>
    <row r="647" spans="3:9" ht="23.4" customHeight="1">
      <c r="C647" s="66" t="s">
        <v>1208</v>
      </c>
      <c r="D647" s="67"/>
      <c r="E647" s="67"/>
      <c r="F647" s="142"/>
      <c r="G647" s="153"/>
      <c r="H647" s="284">
        <f>SUM(H643:H646)</f>
        <v>12691.5</v>
      </c>
      <c r="I647" s="320"/>
    </row>
    <row r="648" spans="3:9" ht="23.4" customHeight="1">
      <c r="C648" s="290" t="s">
        <v>1209</v>
      </c>
      <c r="D648" s="182" t="s">
        <v>1210</v>
      </c>
      <c r="E648" s="70"/>
      <c r="F648" s="70"/>
      <c r="G648" s="70"/>
      <c r="H648" s="71"/>
    </row>
    <row r="649" spans="3:9" ht="23.4" customHeight="1">
      <c r="C649" s="310" t="s">
        <v>1203</v>
      </c>
      <c r="D649" s="285" t="s">
        <v>2898</v>
      </c>
      <c r="E649" s="176" t="s">
        <v>44</v>
      </c>
      <c r="F649" s="282">
        <v>1.75</v>
      </c>
      <c r="G649" s="283">
        <f>VLOOKUP(D649,upahbahan,3,FALSE)</f>
        <v>13000</v>
      </c>
      <c r="H649" s="284">
        <f t="shared" ref="H649:H652" si="64">F649*G649</f>
        <v>22750</v>
      </c>
    </row>
    <row r="650" spans="3:9" ht="23.4" customHeight="1">
      <c r="C650" s="310" t="s">
        <v>1204</v>
      </c>
      <c r="D650" s="182" t="s">
        <v>2334</v>
      </c>
      <c r="E650" s="176" t="s">
        <v>65</v>
      </c>
      <c r="F650" s="282">
        <v>1.704</v>
      </c>
      <c r="G650" s="283">
        <f>VLOOKUP(D650,upahbahan,3,FALSE)</f>
        <v>1530</v>
      </c>
      <c r="H650" s="284">
        <f t="shared" si="64"/>
        <v>2607.12</v>
      </c>
    </row>
    <row r="651" spans="3:9" ht="23.4" customHeight="1">
      <c r="C651" s="310" t="s">
        <v>1205</v>
      </c>
      <c r="D651" s="182" t="s">
        <v>562</v>
      </c>
      <c r="E651" s="176" t="s">
        <v>65</v>
      </c>
      <c r="F651" s="282">
        <v>0.188</v>
      </c>
      <c r="G651" s="283">
        <f>VLOOKUP(D651,upahbahan,3,FALSE)</f>
        <v>18000</v>
      </c>
      <c r="H651" s="284">
        <f t="shared" si="64"/>
        <v>3384</v>
      </c>
    </row>
    <row r="652" spans="3:9" ht="23.4" customHeight="1">
      <c r="C652" s="310" t="s">
        <v>1206</v>
      </c>
      <c r="D652" s="285" t="s">
        <v>85</v>
      </c>
      <c r="E652" s="176" t="s">
        <v>42</v>
      </c>
      <c r="F652" s="282">
        <v>3.0000000000000001E-3</v>
      </c>
      <c r="G652" s="283">
        <f>VLOOKUP(D652,upahbahan,3,FALSE)</f>
        <v>310500</v>
      </c>
      <c r="H652" s="284">
        <f t="shared" si="64"/>
        <v>931.5</v>
      </c>
    </row>
    <row r="653" spans="3:9" ht="23.4" customHeight="1">
      <c r="C653" s="66" t="s">
        <v>1214</v>
      </c>
      <c r="D653" s="67"/>
      <c r="E653" s="67"/>
      <c r="F653" s="67"/>
      <c r="G653" s="69"/>
      <c r="H653" s="284">
        <f>SUM(H649:H652)</f>
        <v>29672.62</v>
      </c>
    </row>
    <row r="654" spans="3:9" ht="23.4" customHeight="1">
      <c r="C654" s="321" t="s">
        <v>1215</v>
      </c>
      <c r="D654" s="182" t="s">
        <v>1216</v>
      </c>
      <c r="E654" s="70"/>
      <c r="F654" s="70"/>
      <c r="G654" s="70"/>
      <c r="H654" s="71"/>
    </row>
    <row r="655" spans="3:9" ht="23.4" customHeight="1">
      <c r="C655" s="66" t="s">
        <v>1217</v>
      </c>
      <c r="D655" s="67"/>
      <c r="E655" s="67"/>
      <c r="F655" s="67"/>
      <c r="G655" s="69"/>
      <c r="H655" s="292">
        <v>0</v>
      </c>
    </row>
    <row r="656" spans="3:9" ht="23.4" customHeight="1">
      <c r="C656" s="293" t="s">
        <v>1218</v>
      </c>
      <c r="D656" s="294" t="s">
        <v>1219</v>
      </c>
      <c r="E656" s="295"/>
      <c r="F656" s="295"/>
      <c r="G656" s="296"/>
      <c r="H656" s="284">
        <f>H655+H653+H647</f>
        <v>42364.119999999995</v>
      </c>
    </row>
    <row r="657" spans="3:9" ht="23.4" customHeight="1">
      <c r="C657" s="293" t="s">
        <v>1220</v>
      </c>
      <c r="D657" s="294" t="s">
        <v>1321</v>
      </c>
      <c r="E657" s="295"/>
      <c r="F657" s="296"/>
      <c r="G657" s="298">
        <f>$M$8</f>
        <v>0.1</v>
      </c>
      <c r="H657" s="284">
        <f>H656*G657</f>
        <v>4236.4119999999994</v>
      </c>
    </row>
    <row r="658" spans="3:9" ht="23.4" customHeight="1" thickBot="1">
      <c r="C658" s="299" t="s">
        <v>1221</v>
      </c>
      <c r="D658" s="300" t="s">
        <v>1222</v>
      </c>
      <c r="E658" s="301"/>
      <c r="F658" s="301"/>
      <c r="G658" s="302"/>
      <c r="H658" s="303">
        <f>SUM(H656:H657)</f>
        <v>46600.531999999992</v>
      </c>
    </row>
    <row r="659" spans="3:9" ht="14.4" thickTop="1">
      <c r="C659" s="289"/>
      <c r="D659" s="297"/>
      <c r="E659" s="297"/>
      <c r="F659" s="297"/>
      <c r="G659" s="297"/>
      <c r="H659" s="139"/>
    </row>
    <row r="660" spans="3:9">
      <c r="C660" s="289"/>
      <c r="D660" s="297"/>
      <c r="E660" s="297"/>
      <c r="F660" s="297"/>
      <c r="G660" s="297"/>
      <c r="H660" s="139"/>
    </row>
    <row r="661" spans="3:9" ht="14.25" customHeight="1">
      <c r="C661" s="126" t="s">
        <v>2902</v>
      </c>
      <c r="D661" s="138" t="s">
        <v>2903</v>
      </c>
      <c r="E661" s="297"/>
      <c r="F661" s="297"/>
      <c r="G661" s="297"/>
      <c r="H661" s="139"/>
    </row>
    <row r="662" spans="3:9" ht="14.25" customHeight="1" thickBot="1">
      <c r="C662" s="119" t="s">
        <v>2904</v>
      </c>
      <c r="D662" s="483" t="s">
        <v>1425</v>
      </c>
      <c r="E662" s="483"/>
      <c r="F662" s="483"/>
      <c r="G662" s="483"/>
      <c r="H662" s="483"/>
      <c r="I662" s="120">
        <f>ROUNDDOWN(H680,-2)</f>
        <v>272000</v>
      </c>
    </row>
    <row r="663" spans="3:9" ht="28.2" thickTop="1">
      <c r="C663" s="51" t="s">
        <v>1195</v>
      </c>
      <c r="D663" s="52" t="s">
        <v>1196</v>
      </c>
      <c r="E663" s="52" t="s">
        <v>1197</v>
      </c>
      <c r="F663" s="52" t="s">
        <v>1198</v>
      </c>
      <c r="G663" s="52" t="s">
        <v>1199</v>
      </c>
      <c r="H663" s="53" t="s">
        <v>1200</v>
      </c>
    </row>
    <row r="664" spans="3:9" ht="23.4" customHeight="1">
      <c r="C664" s="290" t="s">
        <v>1201</v>
      </c>
      <c r="D664" s="182" t="s">
        <v>1202</v>
      </c>
      <c r="E664" s="70"/>
      <c r="F664" s="70"/>
      <c r="G664" s="70"/>
      <c r="H664" s="71"/>
    </row>
    <row r="665" spans="3:9" ht="23.4" customHeight="1">
      <c r="C665" s="281">
        <v>1</v>
      </c>
      <c r="D665" s="182" t="s">
        <v>5</v>
      </c>
      <c r="E665" s="176" t="s">
        <v>6</v>
      </c>
      <c r="F665" s="309">
        <v>0.1429</v>
      </c>
      <c r="G665" s="283">
        <f>VLOOKUP(D665,upahbahan,3,FALSE)</f>
        <v>100000</v>
      </c>
      <c r="H665" s="284">
        <f t="shared" ref="H665:H668" si="65">F665*G665</f>
        <v>14290</v>
      </c>
    </row>
    <row r="666" spans="3:9" ht="23.4" customHeight="1">
      <c r="C666" s="281">
        <v>2</v>
      </c>
      <c r="D666" s="182" t="s">
        <v>7</v>
      </c>
      <c r="E666" s="176" t="s">
        <v>6</v>
      </c>
      <c r="F666" s="309">
        <v>7.1400000000000005E-2</v>
      </c>
      <c r="G666" s="283">
        <f>VLOOKUP(D666,upahbahan,3,FALSE)</f>
        <v>135000</v>
      </c>
      <c r="H666" s="284">
        <f t="shared" si="65"/>
        <v>9639</v>
      </c>
    </row>
    <row r="667" spans="3:9" ht="23.4" customHeight="1">
      <c r="C667" s="281">
        <v>3</v>
      </c>
      <c r="D667" s="182" t="s">
        <v>18</v>
      </c>
      <c r="E667" s="176" t="s">
        <v>6</v>
      </c>
      <c r="F667" s="309">
        <v>7.1000000000000004E-3</v>
      </c>
      <c r="G667" s="283">
        <f>VLOOKUP(D667,upahbahan,3,FALSE)</f>
        <v>150000</v>
      </c>
      <c r="H667" s="284">
        <f t="shared" si="65"/>
        <v>1065</v>
      </c>
    </row>
    <row r="668" spans="3:9" ht="23.4" customHeight="1">
      <c r="C668" s="281">
        <v>4</v>
      </c>
      <c r="D668" s="182" t="s">
        <v>19</v>
      </c>
      <c r="E668" s="176" t="s">
        <v>6</v>
      </c>
      <c r="F668" s="309">
        <v>2.3999999999999998E-3</v>
      </c>
      <c r="G668" s="283">
        <f>VLOOKUP(D668,upahbahan,3,FALSE)</f>
        <v>160000</v>
      </c>
      <c r="H668" s="284">
        <f t="shared" si="65"/>
        <v>383.99999999999994</v>
      </c>
    </row>
    <row r="669" spans="3:9" ht="23.4" customHeight="1">
      <c r="C669" s="66" t="s">
        <v>1208</v>
      </c>
      <c r="D669" s="67"/>
      <c r="E669" s="67"/>
      <c r="F669" s="142"/>
      <c r="G669" s="153"/>
      <c r="H669" s="284">
        <f>SUM(H665:H668)</f>
        <v>25378</v>
      </c>
      <c r="I669" s="320"/>
    </row>
    <row r="670" spans="3:9" ht="23.4" customHeight="1">
      <c r="C670" s="290" t="s">
        <v>1209</v>
      </c>
      <c r="D670" s="182" t="s">
        <v>1210</v>
      </c>
      <c r="E670" s="70"/>
      <c r="F670" s="70"/>
      <c r="G670" s="70"/>
      <c r="H670" s="71"/>
    </row>
    <row r="671" spans="3:9" ht="23.4" customHeight="1">
      <c r="C671" s="310" t="s">
        <v>1203</v>
      </c>
      <c r="D671" s="285" t="s">
        <v>503</v>
      </c>
      <c r="E671" s="176" t="s">
        <v>44</v>
      </c>
      <c r="F671" s="282">
        <v>11.667</v>
      </c>
      <c r="G671" s="283">
        <f>VLOOKUP(D671,upahbahan,3,FALSE)</f>
        <v>14200</v>
      </c>
      <c r="H671" s="284">
        <f t="shared" ref="H671:H674" si="66">F671*G671</f>
        <v>165671.4</v>
      </c>
    </row>
    <row r="672" spans="3:9" ht="23.4" customHeight="1">
      <c r="C672" s="310" t="s">
        <v>1204</v>
      </c>
      <c r="D672" s="182" t="s">
        <v>2332</v>
      </c>
      <c r="E672" s="176" t="s">
        <v>65</v>
      </c>
      <c r="F672" s="282">
        <v>13.632</v>
      </c>
      <c r="G672" s="283">
        <f>VLOOKUP(D672,upahbahan,3,FALSE)</f>
        <v>1530</v>
      </c>
      <c r="H672" s="284">
        <f t="shared" si="66"/>
        <v>20856.96</v>
      </c>
    </row>
    <row r="673" spans="3:9" ht="23.4" customHeight="1">
      <c r="C673" s="310" t="s">
        <v>1205</v>
      </c>
      <c r="D673" s="182" t="s">
        <v>562</v>
      </c>
      <c r="E673" s="176" t="s">
        <v>65</v>
      </c>
      <c r="F673" s="282">
        <v>1.5</v>
      </c>
      <c r="G673" s="283">
        <f>VLOOKUP(D673,upahbahan,3,FALSE)</f>
        <v>18000</v>
      </c>
      <c r="H673" s="284">
        <f t="shared" si="66"/>
        <v>27000</v>
      </c>
    </row>
    <row r="674" spans="3:9" ht="23.4" customHeight="1">
      <c r="C674" s="310" t="s">
        <v>1206</v>
      </c>
      <c r="D674" s="285" t="s">
        <v>85</v>
      </c>
      <c r="E674" s="176" t="s">
        <v>42</v>
      </c>
      <c r="F674" s="282">
        <v>2.7E-2</v>
      </c>
      <c r="G674" s="283">
        <f>VLOOKUP(D674,upahbahan,3,FALSE)</f>
        <v>310500</v>
      </c>
      <c r="H674" s="284">
        <f t="shared" si="66"/>
        <v>8383.5</v>
      </c>
    </row>
    <row r="675" spans="3:9" ht="23.4" customHeight="1">
      <c r="C675" s="66" t="s">
        <v>1214</v>
      </c>
      <c r="D675" s="67"/>
      <c r="E675" s="67"/>
      <c r="F675" s="67"/>
      <c r="G675" s="69"/>
      <c r="H675" s="284">
        <f>SUM(H671:H674)</f>
        <v>221911.86</v>
      </c>
    </row>
    <row r="676" spans="3:9" ht="23.4" customHeight="1">
      <c r="C676" s="321" t="s">
        <v>1215</v>
      </c>
      <c r="D676" s="182" t="s">
        <v>1216</v>
      </c>
      <c r="E676" s="70"/>
      <c r="F676" s="70"/>
      <c r="G676" s="70"/>
      <c r="H676" s="71"/>
    </row>
    <row r="677" spans="3:9" ht="23.4" customHeight="1">
      <c r="C677" s="66" t="s">
        <v>1217</v>
      </c>
      <c r="D677" s="67"/>
      <c r="E677" s="67"/>
      <c r="F677" s="67"/>
      <c r="G677" s="69"/>
      <c r="H677" s="292">
        <v>0</v>
      </c>
    </row>
    <row r="678" spans="3:9" ht="23.4" customHeight="1">
      <c r="C678" s="293" t="s">
        <v>1218</v>
      </c>
      <c r="D678" s="294" t="s">
        <v>1219</v>
      </c>
      <c r="E678" s="295"/>
      <c r="F678" s="295"/>
      <c r="G678" s="296"/>
      <c r="H678" s="284">
        <f>H677+H675+H669</f>
        <v>247289.86</v>
      </c>
    </row>
    <row r="679" spans="3:9" ht="23.4" customHeight="1">
      <c r="C679" s="293" t="s">
        <v>1220</v>
      </c>
      <c r="D679" s="294" t="s">
        <v>1321</v>
      </c>
      <c r="E679" s="295"/>
      <c r="F679" s="296"/>
      <c r="G679" s="298">
        <f>$M$8</f>
        <v>0.1</v>
      </c>
      <c r="H679" s="284">
        <f>H678*G679</f>
        <v>24728.986000000001</v>
      </c>
    </row>
    <row r="680" spans="3:9" ht="23.4" customHeight="1" thickBot="1">
      <c r="C680" s="299" t="s">
        <v>1221</v>
      </c>
      <c r="D680" s="300" t="s">
        <v>1222</v>
      </c>
      <c r="E680" s="301"/>
      <c r="F680" s="301"/>
      <c r="G680" s="302"/>
      <c r="H680" s="303">
        <f>SUM(H678:H679)</f>
        <v>272018.84599999996</v>
      </c>
    </row>
    <row r="681" spans="3:9" ht="14.4" thickTop="1">
      <c r="C681" s="289"/>
      <c r="D681" s="297"/>
      <c r="E681" s="297"/>
      <c r="F681" s="297"/>
      <c r="G681" s="297"/>
      <c r="H681" s="139"/>
    </row>
    <row r="682" spans="3:9" ht="15.75" customHeight="1" thickBot="1">
      <c r="C682" s="47" t="s">
        <v>2905</v>
      </c>
      <c r="D682" s="483" t="s">
        <v>1426</v>
      </c>
      <c r="E682" s="483"/>
      <c r="F682" s="483"/>
      <c r="G682" s="483"/>
      <c r="H682" s="483"/>
      <c r="I682" s="120">
        <f>ROUNDDOWN(H700,-2)</f>
        <v>236300</v>
      </c>
    </row>
    <row r="683" spans="3:9" ht="28.2" thickTop="1">
      <c r="C683" s="51" t="s">
        <v>1195</v>
      </c>
      <c r="D683" s="52" t="s">
        <v>1196</v>
      </c>
      <c r="E683" s="52" t="s">
        <v>1197</v>
      </c>
      <c r="F683" s="52" t="s">
        <v>1198</v>
      </c>
      <c r="G683" s="52" t="s">
        <v>1199</v>
      </c>
      <c r="H683" s="53" t="s">
        <v>1200</v>
      </c>
    </row>
    <row r="684" spans="3:9" ht="23.4" customHeight="1">
      <c r="C684" s="290" t="s">
        <v>1201</v>
      </c>
      <c r="D684" s="182" t="s">
        <v>1202</v>
      </c>
      <c r="E684" s="70"/>
      <c r="F684" s="70"/>
      <c r="G684" s="70"/>
      <c r="H684" s="71"/>
    </row>
    <row r="685" spans="3:9" ht="23.4" customHeight="1">
      <c r="C685" s="281">
        <v>1</v>
      </c>
      <c r="D685" s="182" t="s">
        <v>5</v>
      </c>
      <c r="E685" s="176" t="s">
        <v>6</v>
      </c>
      <c r="F685" s="309">
        <v>0.15379999999999999</v>
      </c>
      <c r="G685" s="283">
        <f>VLOOKUP(D685,upahbahan,3,FALSE)</f>
        <v>100000</v>
      </c>
      <c r="H685" s="284">
        <f t="shared" ref="H685:H688" si="67">F685*G685</f>
        <v>15380</v>
      </c>
    </row>
    <row r="686" spans="3:9" ht="23.4" customHeight="1">
      <c r="C686" s="281">
        <v>2</v>
      </c>
      <c r="D686" s="182" t="s">
        <v>7</v>
      </c>
      <c r="E686" s="176" t="s">
        <v>6</v>
      </c>
      <c r="F686" s="309">
        <v>7.6899999999999996E-2</v>
      </c>
      <c r="G686" s="283">
        <f>VLOOKUP(D686,upahbahan,3,FALSE)</f>
        <v>135000</v>
      </c>
      <c r="H686" s="284">
        <f t="shared" si="67"/>
        <v>10381.5</v>
      </c>
    </row>
    <row r="687" spans="3:9" ht="23.4" customHeight="1">
      <c r="C687" s="281">
        <v>3</v>
      </c>
      <c r="D687" s="182" t="s">
        <v>18</v>
      </c>
      <c r="E687" s="176" t="s">
        <v>6</v>
      </c>
      <c r="F687" s="309">
        <v>7.7000000000000002E-3</v>
      </c>
      <c r="G687" s="283">
        <f>VLOOKUP(D687,upahbahan,3,FALSE)</f>
        <v>150000</v>
      </c>
      <c r="H687" s="284">
        <f t="shared" si="67"/>
        <v>1155</v>
      </c>
    </row>
    <row r="688" spans="3:9" ht="23.4" customHeight="1">
      <c r="C688" s="281">
        <v>4</v>
      </c>
      <c r="D688" s="182" t="s">
        <v>19</v>
      </c>
      <c r="E688" s="176" t="s">
        <v>6</v>
      </c>
      <c r="F688" s="309">
        <v>2.5999999999999999E-3</v>
      </c>
      <c r="G688" s="283">
        <f>VLOOKUP(D688,upahbahan,3,FALSE)</f>
        <v>160000</v>
      </c>
      <c r="H688" s="284">
        <f t="shared" si="67"/>
        <v>416</v>
      </c>
    </row>
    <row r="689" spans="3:9" ht="23.4" customHeight="1">
      <c r="C689" s="66" t="s">
        <v>1208</v>
      </c>
      <c r="D689" s="67"/>
      <c r="E689" s="67"/>
      <c r="F689" s="142"/>
      <c r="G689" s="153"/>
      <c r="H689" s="284">
        <f>SUM(H685:H688)</f>
        <v>27332.5</v>
      </c>
      <c r="I689" s="320"/>
    </row>
    <row r="690" spans="3:9" ht="23.4" customHeight="1">
      <c r="C690" s="290" t="s">
        <v>1209</v>
      </c>
      <c r="D690" s="182" t="s">
        <v>1210</v>
      </c>
      <c r="E690" s="70"/>
      <c r="F690" s="70"/>
      <c r="G690" s="70"/>
      <c r="H690" s="71"/>
    </row>
    <row r="691" spans="3:9" ht="23.4" customHeight="1">
      <c r="C691" s="310" t="s">
        <v>1203</v>
      </c>
      <c r="D691" s="285" t="s">
        <v>504</v>
      </c>
      <c r="E691" s="176" t="s">
        <v>44</v>
      </c>
      <c r="F691" s="282">
        <v>6.5629999999999997</v>
      </c>
      <c r="G691" s="283">
        <f>VLOOKUP(D691,upahbahan,3,FALSE)</f>
        <v>20000</v>
      </c>
      <c r="H691" s="284">
        <f t="shared" ref="H691:H694" si="68">F691*G691</f>
        <v>131260</v>
      </c>
    </row>
    <row r="692" spans="3:9" ht="23.4" customHeight="1">
      <c r="C692" s="310" t="s">
        <v>1204</v>
      </c>
      <c r="D692" s="182" t="s">
        <v>2332</v>
      </c>
      <c r="E692" s="176" t="s">
        <v>65</v>
      </c>
      <c r="F692" s="282">
        <v>13.632</v>
      </c>
      <c r="G692" s="283">
        <f>VLOOKUP(D692,upahbahan,3,FALSE)</f>
        <v>1530</v>
      </c>
      <c r="H692" s="284">
        <f t="shared" si="68"/>
        <v>20856.96</v>
      </c>
    </row>
    <row r="693" spans="3:9" ht="23.4" customHeight="1">
      <c r="C693" s="310" t="s">
        <v>1205</v>
      </c>
      <c r="D693" s="182" t="s">
        <v>562</v>
      </c>
      <c r="E693" s="176" t="s">
        <v>65</v>
      </c>
      <c r="F693" s="282">
        <v>1.5</v>
      </c>
      <c r="G693" s="283">
        <f>VLOOKUP(D693,upahbahan,3,FALSE)</f>
        <v>18000</v>
      </c>
      <c r="H693" s="284">
        <f t="shared" si="68"/>
        <v>27000</v>
      </c>
    </row>
    <row r="694" spans="3:9" ht="23.4" customHeight="1">
      <c r="C694" s="310" t="s">
        <v>1206</v>
      </c>
      <c r="D694" s="285" t="s">
        <v>85</v>
      </c>
      <c r="E694" s="176" t="s">
        <v>42</v>
      </c>
      <c r="F694" s="282">
        <v>2.7E-2</v>
      </c>
      <c r="G694" s="283">
        <f>VLOOKUP(D694,upahbahan,3,FALSE)</f>
        <v>310500</v>
      </c>
      <c r="H694" s="284">
        <f t="shared" si="68"/>
        <v>8383.5</v>
      </c>
    </row>
    <row r="695" spans="3:9" ht="23.4" customHeight="1">
      <c r="C695" s="66" t="s">
        <v>1214</v>
      </c>
      <c r="D695" s="67"/>
      <c r="E695" s="67"/>
      <c r="F695" s="67"/>
      <c r="G695" s="69"/>
      <c r="H695" s="284">
        <f>SUM(H691:H694)</f>
        <v>187500.46</v>
      </c>
    </row>
    <row r="696" spans="3:9" ht="23.4" customHeight="1">
      <c r="C696" s="321" t="s">
        <v>1215</v>
      </c>
      <c r="D696" s="182" t="s">
        <v>1216</v>
      </c>
      <c r="E696" s="70"/>
      <c r="F696" s="70"/>
      <c r="G696" s="70"/>
      <c r="H696" s="71"/>
    </row>
    <row r="697" spans="3:9" ht="23.4" customHeight="1">
      <c r="C697" s="66" t="s">
        <v>1217</v>
      </c>
      <c r="D697" s="67"/>
      <c r="E697" s="67"/>
      <c r="F697" s="67"/>
      <c r="G697" s="69"/>
      <c r="H697" s="292">
        <v>0</v>
      </c>
    </row>
    <row r="698" spans="3:9" ht="23.4" customHeight="1">
      <c r="C698" s="293" t="s">
        <v>1218</v>
      </c>
      <c r="D698" s="294" t="s">
        <v>1219</v>
      </c>
      <c r="E698" s="295"/>
      <c r="F698" s="295"/>
      <c r="G698" s="296"/>
      <c r="H698" s="284">
        <f>H697+H695+H689</f>
        <v>214832.96</v>
      </c>
    </row>
    <row r="699" spans="3:9" ht="23.4" customHeight="1">
      <c r="C699" s="293" t="s">
        <v>1220</v>
      </c>
      <c r="D699" s="294" t="s">
        <v>1321</v>
      </c>
      <c r="E699" s="295"/>
      <c r="F699" s="296"/>
      <c r="G699" s="298">
        <f>$M$8</f>
        <v>0.1</v>
      </c>
      <c r="H699" s="284">
        <f>H698*G699</f>
        <v>21483.296000000002</v>
      </c>
    </row>
    <row r="700" spans="3:9" ht="23.4" customHeight="1" thickBot="1">
      <c r="C700" s="299" t="s">
        <v>1221</v>
      </c>
      <c r="D700" s="300" t="s">
        <v>1222</v>
      </c>
      <c r="E700" s="301"/>
      <c r="F700" s="301"/>
      <c r="G700" s="302"/>
      <c r="H700" s="303">
        <f>SUM(H698:H699)</f>
        <v>236316.25599999999</v>
      </c>
    </row>
    <row r="701" spans="3:9" ht="23.4" customHeight="1" thickTop="1">
      <c r="C701" s="289"/>
      <c r="D701" s="297"/>
      <c r="E701" s="297"/>
      <c r="F701" s="297"/>
      <c r="G701" s="297"/>
      <c r="H701" s="139"/>
    </row>
    <row r="702" spans="3:9" ht="15.75" customHeight="1" thickBot="1">
      <c r="C702" s="47" t="s">
        <v>2906</v>
      </c>
      <c r="D702" s="483" t="s">
        <v>1427</v>
      </c>
      <c r="E702" s="483"/>
      <c r="F702" s="483"/>
      <c r="G702" s="483"/>
      <c r="H702" s="483"/>
      <c r="I702" s="120">
        <f>ROUNDDOWN(H720,-2)</f>
        <v>199800</v>
      </c>
    </row>
    <row r="703" spans="3:9" ht="28.2" thickTop="1">
      <c r="C703" s="51" t="s">
        <v>1195</v>
      </c>
      <c r="D703" s="52" t="s">
        <v>1196</v>
      </c>
      <c r="E703" s="52" t="s">
        <v>1197</v>
      </c>
      <c r="F703" s="52" t="s">
        <v>1198</v>
      </c>
      <c r="G703" s="52" t="s">
        <v>1199</v>
      </c>
      <c r="H703" s="53" t="s">
        <v>1200</v>
      </c>
    </row>
    <row r="704" spans="3:9" ht="23.4" customHeight="1">
      <c r="C704" s="290" t="s">
        <v>1201</v>
      </c>
      <c r="D704" s="182" t="s">
        <v>1202</v>
      </c>
      <c r="E704" s="70"/>
      <c r="F704" s="70"/>
      <c r="G704" s="70"/>
      <c r="H704" s="71"/>
    </row>
    <row r="705" spans="3:9" ht="23.4" customHeight="1">
      <c r="C705" s="281">
        <v>1</v>
      </c>
      <c r="D705" s="182" t="s">
        <v>5</v>
      </c>
      <c r="E705" s="176" t="s">
        <v>6</v>
      </c>
      <c r="F705" s="315">
        <v>0.25</v>
      </c>
      <c r="G705" s="283">
        <f>VLOOKUP(D705,upahbahan,3,FALSE)</f>
        <v>100000</v>
      </c>
      <c r="H705" s="284">
        <f t="shared" ref="H705:H708" si="69">F705*G705</f>
        <v>25000</v>
      </c>
    </row>
    <row r="706" spans="3:9" ht="23.4" customHeight="1">
      <c r="C706" s="281">
        <v>2</v>
      </c>
      <c r="D706" s="182" t="s">
        <v>7</v>
      </c>
      <c r="E706" s="176" t="s">
        <v>6</v>
      </c>
      <c r="F706" s="315">
        <v>8.3299999999999999E-2</v>
      </c>
      <c r="G706" s="283">
        <f>VLOOKUP(D706,upahbahan,3,FALSE)</f>
        <v>135000</v>
      </c>
      <c r="H706" s="284">
        <f t="shared" si="69"/>
        <v>11245.5</v>
      </c>
    </row>
    <row r="707" spans="3:9" ht="23.4" customHeight="1">
      <c r="C707" s="281">
        <v>3</v>
      </c>
      <c r="D707" s="182" t="s">
        <v>18</v>
      </c>
      <c r="E707" s="176" t="s">
        <v>6</v>
      </c>
      <c r="F707" s="315">
        <v>8.3000000000000001E-3</v>
      </c>
      <c r="G707" s="283">
        <f>VLOOKUP(D707,upahbahan,3,FALSE)</f>
        <v>150000</v>
      </c>
      <c r="H707" s="284">
        <f t="shared" si="69"/>
        <v>1245</v>
      </c>
    </row>
    <row r="708" spans="3:9" ht="23.4" customHeight="1">
      <c r="C708" s="281">
        <v>4</v>
      </c>
      <c r="D708" s="182" t="s">
        <v>19</v>
      </c>
      <c r="E708" s="176" t="s">
        <v>6</v>
      </c>
      <c r="F708" s="315">
        <v>2.8E-3</v>
      </c>
      <c r="G708" s="283">
        <f>VLOOKUP(D708,upahbahan,3,FALSE)</f>
        <v>160000</v>
      </c>
      <c r="H708" s="284">
        <f t="shared" si="69"/>
        <v>448</v>
      </c>
    </row>
    <row r="709" spans="3:9" ht="23.4" customHeight="1">
      <c r="C709" s="66" t="s">
        <v>1208</v>
      </c>
      <c r="D709" s="67"/>
      <c r="E709" s="67"/>
      <c r="F709" s="142"/>
      <c r="G709" s="153"/>
      <c r="H709" s="284">
        <f>SUM(H705:H708)</f>
        <v>37938.5</v>
      </c>
      <c r="I709" s="320"/>
    </row>
    <row r="710" spans="3:9" ht="23.4" customHeight="1">
      <c r="C710" s="290" t="s">
        <v>1209</v>
      </c>
      <c r="D710" s="182" t="s">
        <v>1210</v>
      </c>
      <c r="E710" s="70"/>
      <c r="F710" s="70"/>
      <c r="G710" s="70"/>
      <c r="H710" s="71"/>
    </row>
    <row r="711" spans="3:9" ht="23.4" customHeight="1">
      <c r="C711" s="310" t="s">
        <v>1203</v>
      </c>
      <c r="D711" s="285" t="s">
        <v>505</v>
      </c>
      <c r="E711" s="176" t="s">
        <v>44</v>
      </c>
      <c r="F711" s="309">
        <v>2.9169999999999998</v>
      </c>
      <c r="G711" s="283">
        <f>VLOOKUP(D711,upahbahan,3,FALSE)</f>
        <v>30000</v>
      </c>
      <c r="H711" s="284">
        <f t="shared" ref="H711:H714" si="70">F711*G711</f>
        <v>87510</v>
      </c>
    </row>
    <row r="712" spans="3:9" ht="23.4" customHeight="1">
      <c r="C712" s="310" t="s">
        <v>1204</v>
      </c>
      <c r="D712" s="182" t="s">
        <v>2332</v>
      </c>
      <c r="E712" s="176" t="s">
        <v>65</v>
      </c>
      <c r="F712" s="282">
        <v>13.632</v>
      </c>
      <c r="G712" s="283">
        <f>VLOOKUP(D712,upahbahan,3,FALSE)</f>
        <v>1530</v>
      </c>
      <c r="H712" s="284">
        <f t="shared" si="70"/>
        <v>20856.96</v>
      </c>
    </row>
    <row r="713" spans="3:9" ht="23.4" customHeight="1">
      <c r="C713" s="310" t="s">
        <v>1205</v>
      </c>
      <c r="D713" s="182" t="s">
        <v>562</v>
      </c>
      <c r="E713" s="176" t="s">
        <v>65</v>
      </c>
      <c r="F713" s="282">
        <v>1.5</v>
      </c>
      <c r="G713" s="283">
        <f>VLOOKUP(D713,upahbahan,3,FALSE)</f>
        <v>18000</v>
      </c>
      <c r="H713" s="284">
        <f t="shared" si="70"/>
        <v>27000</v>
      </c>
    </row>
    <row r="714" spans="3:9" ht="23.4" customHeight="1">
      <c r="C714" s="310" t="s">
        <v>1206</v>
      </c>
      <c r="D714" s="285" t="s">
        <v>85</v>
      </c>
      <c r="E714" s="176" t="s">
        <v>42</v>
      </c>
      <c r="F714" s="282">
        <v>2.7E-2</v>
      </c>
      <c r="G714" s="283">
        <f>VLOOKUP(D714,upahbahan,3,FALSE)</f>
        <v>310500</v>
      </c>
      <c r="H714" s="284">
        <f t="shared" si="70"/>
        <v>8383.5</v>
      </c>
    </row>
    <row r="715" spans="3:9" ht="23.4" customHeight="1">
      <c r="C715" s="66" t="s">
        <v>1214</v>
      </c>
      <c r="D715" s="67"/>
      <c r="E715" s="67"/>
      <c r="F715" s="67"/>
      <c r="G715" s="69"/>
      <c r="H715" s="284">
        <f>SUM(H711:H714)</f>
        <v>143750.46</v>
      </c>
    </row>
    <row r="716" spans="3:9" ht="23.4" customHeight="1">
      <c r="C716" s="321" t="s">
        <v>1215</v>
      </c>
      <c r="D716" s="182" t="s">
        <v>1216</v>
      </c>
      <c r="E716" s="70"/>
      <c r="F716" s="70"/>
      <c r="G716" s="70"/>
      <c r="H716" s="71"/>
    </row>
    <row r="717" spans="3:9" ht="23.4" customHeight="1">
      <c r="C717" s="66" t="s">
        <v>1217</v>
      </c>
      <c r="D717" s="67"/>
      <c r="E717" s="67"/>
      <c r="F717" s="67"/>
      <c r="G717" s="69"/>
      <c r="H717" s="292">
        <v>0</v>
      </c>
    </row>
    <row r="718" spans="3:9" ht="23.4" customHeight="1">
      <c r="C718" s="293" t="s">
        <v>1218</v>
      </c>
      <c r="D718" s="294" t="s">
        <v>1219</v>
      </c>
      <c r="E718" s="295"/>
      <c r="F718" s="295"/>
      <c r="G718" s="296"/>
      <c r="H718" s="284">
        <f>H717+H715+H709</f>
        <v>181688.95999999999</v>
      </c>
    </row>
    <row r="719" spans="3:9" ht="23.4" customHeight="1">
      <c r="C719" s="293" t="s">
        <v>1220</v>
      </c>
      <c r="D719" s="294" t="s">
        <v>1321</v>
      </c>
      <c r="E719" s="295"/>
      <c r="F719" s="296"/>
      <c r="G719" s="298">
        <f>$M$8</f>
        <v>0.1</v>
      </c>
      <c r="H719" s="284">
        <f>H718*G719</f>
        <v>18168.896000000001</v>
      </c>
    </row>
    <row r="720" spans="3:9" ht="23.4" customHeight="1" thickBot="1">
      <c r="C720" s="299" t="s">
        <v>1221</v>
      </c>
      <c r="D720" s="300" t="s">
        <v>1222</v>
      </c>
      <c r="E720" s="301"/>
      <c r="F720" s="301"/>
      <c r="G720" s="302"/>
      <c r="H720" s="303">
        <f>SUM(H718:H719)</f>
        <v>199857.856</v>
      </c>
    </row>
    <row r="721" spans="3:9" ht="14.4" thickTop="1">
      <c r="C721" s="485"/>
      <c r="D721" s="297"/>
      <c r="E721" s="297"/>
      <c r="F721" s="297"/>
      <c r="G721" s="297"/>
      <c r="H721" s="139"/>
    </row>
    <row r="722" spans="3:9" ht="14.4" thickBot="1">
      <c r="C722" s="47" t="s">
        <v>2907</v>
      </c>
      <c r="D722" s="485" t="s">
        <v>1428</v>
      </c>
      <c r="E722" s="275"/>
      <c r="F722" s="275"/>
      <c r="G722" s="275"/>
      <c r="H722" s="275"/>
      <c r="I722" s="120">
        <f>ROUNDDOWN(H740,-2)</f>
        <v>42900</v>
      </c>
    </row>
    <row r="723" spans="3:9" ht="28.2" thickTop="1">
      <c r="C723" s="51" t="s">
        <v>1195</v>
      </c>
      <c r="D723" s="52" t="s">
        <v>1196</v>
      </c>
      <c r="E723" s="52" t="s">
        <v>1197</v>
      </c>
      <c r="F723" s="52" t="s">
        <v>1198</v>
      </c>
      <c r="G723" s="52" t="s">
        <v>1199</v>
      </c>
      <c r="H723" s="53" t="s">
        <v>1200</v>
      </c>
    </row>
    <row r="724" spans="3:9" ht="23.4" customHeight="1">
      <c r="C724" s="290" t="s">
        <v>1201</v>
      </c>
      <c r="D724" s="182" t="s">
        <v>1202</v>
      </c>
      <c r="E724" s="70"/>
      <c r="F724" s="70"/>
      <c r="G724" s="70"/>
      <c r="H724" s="71"/>
    </row>
    <row r="725" spans="3:9" ht="23.4" customHeight="1">
      <c r="C725" s="281">
        <v>1</v>
      </c>
      <c r="D725" s="182" t="s">
        <v>5</v>
      </c>
      <c r="E725" s="176" t="s">
        <v>6</v>
      </c>
      <c r="F725" s="315">
        <v>6.25E-2</v>
      </c>
      <c r="G725" s="283">
        <f>VLOOKUP(D725,upahbahan,3,FALSE)</f>
        <v>100000</v>
      </c>
      <c r="H725" s="284">
        <f t="shared" ref="H725:H728" si="71">F725*G725</f>
        <v>6250</v>
      </c>
    </row>
    <row r="726" spans="3:9" ht="23.4" customHeight="1">
      <c r="C726" s="281">
        <v>2</v>
      </c>
      <c r="D726" s="182" t="s">
        <v>7</v>
      </c>
      <c r="E726" s="176" t="s">
        <v>6</v>
      </c>
      <c r="F726" s="315">
        <v>3.1300000000000001E-2</v>
      </c>
      <c r="G726" s="283">
        <f>VLOOKUP(D726,upahbahan,3,FALSE)</f>
        <v>135000</v>
      </c>
      <c r="H726" s="284">
        <f t="shared" si="71"/>
        <v>4225.5</v>
      </c>
    </row>
    <row r="727" spans="3:9" ht="23.4" customHeight="1">
      <c r="C727" s="281">
        <v>3</v>
      </c>
      <c r="D727" s="182" t="s">
        <v>18</v>
      </c>
      <c r="E727" s="176" t="s">
        <v>6</v>
      </c>
      <c r="F727" s="315">
        <v>3.0999999999999999E-3</v>
      </c>
      <c r="G727" s="283">
        <f>VLOOKUP(D727,upahbahan,3,FALSE)</f>
        <v>150000</v>
      </c>
      <c r="H727" s="284">
        <f t="shared" si="71"/>
        <v>465</v>
      </c>
    </row>
    <row r="728" spans="3:9" ht="23.4" customHeight="1">
      <c r="C728" s="281">
        <v>4</v>
      </c>
      <c r="D728" s="182" t="s">
        <v>19</v>
      </c>
      <c r="E728" s="176" t="s">
        <v>6</v>
      </c>
      <c r="F728" s="315">
        <v>1E-3</v>
      </c>
      <c r="G728" s="283">
        <f>VLOOKUP(D728,upahbahan,3,FALSE)</f>
        <v>160000</v>
      </c>
      <c r="H728" s="284">
        <f t="shared" si="71"/>
        <v>160</v>
      </c>
    </row>
    <row r="729" spans="3:9" ht="23.4" customHeight="1">
      <c r="C729" s="66" t="s">
        <v>1208</v>
      </c>
      <c r="D729" s="67"/>
      <c r="E729" s="67"/>
      <c r="F729" s="142"/>
      <c r="G729" s="153"/>
      <c r="H729" s="284">
        <f>SUM(H725:H728)</f>
        <v>11100.5</v>
      </c>
      <c r="I729" s="320"/>
    </row>
    <row r="730" spans="3:9" ht="23.4" customHeight="1">
      <c r="C730" s="290" t="s">
        <v>1209</v>
      </c>
      <c r="D730" s="182" t="s">
        <v>1210</v>
      </c>
      <c r="E730" s="70"/>
      <c r="F730" s="70"/>
      <c r="G730" s="70"/>
      <c r="H730" s="71"/>
    </row>
    <row r="731" spans="3:9" ht="23.4" customHeight="1">
      <c r="C731" s="310" t="s">
        <v>1203</v>
      </c>
      <c r="D731" s="285" t="s">
        <v>481</v>
      </c>
      <c r="E731" s="176" t="s">
        <v>44</v>
      </c>
      <c r="F731" s="282">
        <v>3.5</v>
      </c>
      <c r="G731" s="283">
        <f>VLOOKUP(D731,upahbahan,3,FALSE)</f>
        <v>6000</v>
      </c>
      <c r="H731" s="284">
        <f t="shared" ref="H731:H734" si="72">F731*G731</f>
        <v>21000</v>
      </c>
    </row>
    <row r="732" spans="3:9" ht="23.4" customHeight="1">
      <c r="C732" s="310" t="s">
        <v>1204</v>
      </c>
      <c r="D732" s="182" t="s">
        <v>2332</v>
      </c>
      <c r="E732" s="176" t="s">
        <v>65</v>
      </c>
      <c r="F732" s="282">
        <v>1.704</v>
      </c>
      <c r="G732" s="283">
        <f>VLOOKUP(D732,upahbahan,3,FALSE)</f>
        <v>1530</v>
      </c>
      <c r="H732" s="284">
        <f t="shared" si="72"/>
        <v>2607.12</v>
      </c>
    </row>
    <row r="733" spans="3:9" ht="23.4" customHeight="1">
      <c r="C733" s="310" t="s">
        <v>1205</v>
      </c>
      <c r="D733" s="182" t="s">
        <v>562</v>
      </c>
      <c r="E733" s="176" t="s">
        <v>65</v>
      </c>
      <c r="F733" s="282">
        <v>0.188</v>
      </c>
      <c r="G733" s="283">
        <f>VLOOKUP(D733,upahbahan,3,FALSE)</f>
        <v>18000</v>
      </c>
      <c r="H733" s="284">
        <f t="shared" si="72"/>
        <v>3384</v>
      </c>
    </row>
    <row r="734" spans="3:9" ht="23.4" customHeight="1">
      <c r="C734" s="310" t="s">
        <v>1206</v>
      </c>
      <c r="D734" s="285" t="s">
        <v>85</v>
      </c>
      <c r="E734" s="176" t="s">
        <v>42</v>
      </c>
      <c r="F734" s="282">
        <v>3.0000000000000001E-3</v>
      </c>
      <c r="G734" s="283">
        <f>VLOOKUP(D734,upahbahan,3,FALSE)</f>
        <v>310500</v>
      </c>
      <c r="H734" s="284">
        <f t="shared" si="72"/>
        <v>931.5</v>
      </c>
    </row>
    <row r="735" spans="3:9" ht="23.4" customHeight="1">
      <c r="C735" s="66" t="s">
        <v>1214</v>
      </c>
      <c r="D735" s="67"/>
      <c r="E735" s="67"/>
      <c r="F735" s="67"/>
      <c r="G735" s="69"/>
      <c r="H735" s="284">
        <f>SUM(H731:H734)</f>
        <v>27922.62</v>
      </c>
    </row>
    <row r="736" spans="3:9" ht="23.4" customHeight="1">
      <c r="C736" s="321" t="s">
        <v>1215</v>
      </c>
      <c r="D736" s="182" t="s">
        <v>1216</v>
      </c>
      <c r="E736" s="70"/>
      <c r="F736" s="70"/>
      <c r="G736" s="70"/>
      <c r="H736" s="71"/>
    </row>
    <row r="737" spans="3:9" ht="23.4" customHeight="1">
      <c r="C737" s="66" t="s">
        <v>1217</v>
      </c>
      <c r="D737" s="67"/>
      <c r="E737" s="67"/>
      <c r="F737" s="67"/>
      <c r="G737" s="69"/>
      <c r="H737" s="292">
        <v>0</v>
      </c>
    </row>
    <row r="738" spans="3:9" ht="23.4" customHeight="1">
      <c r="C738" s="293" t="s">
        <v>1218</v>
      </c>
      <c r="D738" s="294" t="s">
        <v>1219</v>
      </c>
      <c r="E738" s="295"/>
      <c r="F738" s="295"/>
      <c r="G738" s="296"/>
      <c r="H738" s="284">
        <f>H737+H735+H729</f>
        <v>39023.119999999995</v>
      </c>
    </row>
    <row r="739" spans="3:9" ht="23.4" customHeight="1">
      <c r="C739" s="293" t="s">
        <v>1220</v>
      </c>
      <c r="D739" s="294" t="s">
        <v>1321</v>
      </c>
      <c r="E739" s="295"/>
      <c r="F739" s="296"/>
      <c r="G739" s="298">
        <f>$M$8</f>
        <v>0.1</v>
      </c>
      <c r="H739" s="284">
        <f>H738*G739</f>
        <v>3902.3119999999999</v>
      </c>
    </row>
    <row r="740" spans="3:9" ht="23.4" customHeight="1" thickBot="1">
      <c r="C740" s="299" t="s">
        <v>1221</v>
      </c>
      <c r="D740" s="300" t="s">
        <v>1222</v>
      </c>
      <c r="E740" s="301"/>
      <c r="F740" s="301"/>
      <c r="G740" s="302"/>
      <c r="H740" s="303">
        <f>SUM(H738:H739)</f>
        <v>42925.431999999993</v>
      </c>
    </row>
    <row r="741" spans="3:9" ht="14.4" thickTop="1">
      <c r="C741" s="289"/>
      <c r="D741" s="297"/>
      <c r="E741" s="297"/>
      <c r="F741" s="297"/>
      <c r="G741" s="297"/>
      <c r="H741" s="139"/>
    </row>
    <row r="742" spans="3:9" ht="14.4" thickBot="1">
      <c r="C742" s="47" t="s">
        <v>2908</v>
      </c>
      <c r="D742" s="485" t="s">
        <v>1429</v>
      </c>
      <c r="E742" s="485"/>
      <c r="F742" s="485"/>
      <c r="G742" s="485"/>
      <c r="H742" s="485"/>
      <c r="I742" s="120">
        <f>ROUNDDOWN(H760,-2)</f>
        <v>43700</v>
      </c>
    </row>
    <row r="743" spans="3:9" ht="28.2" thickTop="1">
      <c r="C743" s="51" t="s">
        <v>1195</v>
      </c>
      <c r="D743" s="52" t="s">
        <v>1196</v>
      </c>
      <c r="E743" s="52" t="s">
        <v>1197</v>
      </c>
      <c r="F743" s="52" t="s">
        <v>1198</v>
      </c>
      <c r="G743" s="52" t="s">
        <v>1199</v>
      </c>
      <c r="H743" s="53" t="s">
        <v>1200</v>
      </c>
    </row>
    <row r="744" spans="3:9" ht="23.4" customHeight="1">
      <c r="C744" s="290" t="s">
        <v>1201</v>
      </c>
      <c r="D744" s="182" t="s">
        <v>1202</v>
      </c>
      <c r="E744" s="70"/>
      <c r="F744" s="70"/>
      <c r="G744" s="70"/>
      <c r="H744" s="71"/>
    </row>
    <row r="745" spans="3:9" ht="23.4" customHeight="1">
      <c r="C745" s="281">
        <v>1</v>
      </c>
      <c r="D745" s="182" t="s">
        <v>5</v>
      </c>
      <c r="E745" s="176" t="s">
        <v>6</v>
      </c>
      <c r="F745" s="309">
        <v>6.6699999999999995E-2</v>
      </c>
      <c r="G745" s="283">
        <f>VLOOKUP(D745,upahbahan,3,FALSE)</f>
        <v>100000</v>
      </c>
      <c r="H745" s="284">
        <f t="shared" ref="H745:H748" si="73">F745*G745</f>
        <v>6669.9999999999991</v>
      </c>
    </row>
    <row r="746" spans="3:9" ht="23.4" customHeight="1">
      <c r="C746" s="281">
        <v>2</v>
      </c>
      <c r="D746" s="182" t="s">
        <v>7</v>
      </c>
      <c r="E746" s="176" t="s">
        <v>6</v>
      </c>
      <c r="F746" s="309">
        <v>3.3300000000000003E-2</v>
      </c>
      <c r="G746" s="283">
        <f>VLOOKUP(D746,upahbahan,3,FALSE)</f>
        <v>135000</v>
      </c>
      <c r="H746" s="284">
        <f t="shared" si="73"/>
        <v>4495.5</v>
      </c>
    </row>
    <row r="747" spans="3:9" ht="23.4" customHeight="1">
      <c r="C747" s="281">
        <v>3</v>
      </c>
      <c r="D747" s="182" t="s">
        <v>18</v>
      </c>
      <c r="E747" s="176" t="s">
        <v>6</v>
      </c>
      <c r="F747" s="309">
        <v>3.3E-3</v>
      </c>
      <c r="G747" s="283">
        <f>VLOOKUP(D747,upahbahan,3,FALSE)</f>
        <v>150000</v>
      </c>
      <c r="H747" s="284">
        <f t="shared" si="73"/>
        <v>495</v>
      </c>
    </row>
    <row r="748" spans="3:9" ht="23.4" customHeight="1">
      <c r="C748" s="281">
        <v>4</v>
      </c>
      <c r="D748" s="182" t="s">
        <v>19</v>
      </c>
      <c r="E748" s="176" t="s">
        <v>6</v>
      </c>
      <c r="F748" s="309">
        <v>1.1000000000000001E-3</v>
      </c>
      <c r="G748" s="283">
        <f>VLOOKUP(D748,upahbahan,3,FALSE)</f>
        <v>160000</v>
      </c>
      <c r="H748" s="284">
        <f t="shared" si="73"/>
        <v>176</v>
      </c>
    </row>
    <row r="749" spans="3:9" ht="23.4" customHeight="1">
      <c r="C749" s="66" t="s">
        <v>1208</v>
      </c>
      <c r="D749" s="67"/>
      <c r="E749" s="67"/>
      <c r="F749" s="142"/>
      <c r="G749" s="153"/>
      <c r="H749" s="284">
        <f>SUM(H745:H748)</f>
        <v>11836.5</v>
      </c>
      <c r="I749" s="320"/>
    </row>
    <row r="750" spans="3:9" ht="23.4" customHeight="1">
      <c r="C750" s="290" t="s">
        <v>1209</v>
      </c>
      <c r="D750" s="182" t="s">
        <v>1210</v>
      </c>
      <c r="E750" s="70"/>
      <c r="F750" s="70"/>
      <c r="G750" s="70"/>
      <c r="H750" s="71"/>
    </row>
    <row r="751" spans="3:9" ht="23.4" customHeight="1">
      <c r="C751" s="310" t="s">
        <v>1203</v>
      </c>
      <c r="D751" s="285" t="s">
        <v>482</v>
      </c>
      <c r="E751" s="176" t="s">
        <v>44</v>
      </c>
      <c r="F751" s="309">
        <v>2.625</v>
      </c>
      <c r="G751" s="283">
        <f>VLOOKUP(D751,upahbahan,3,FALSE)</f>
        <v>8000</v>
      </c>
      <c r="H751" s="284">
        <f t="shared" ref="H751:H754" si="74">F751*G751</f>
        <v>21000</v>
      </c>
    </row>
    <row r="752" spans="3:9" ht="23.4" customHeight="1">
      <c r="C752" s="310" t="s">
        <v>1204</v>
      </c>
      <c r="D752" s="182" t="s">
        <v>2332</v>
      </c>
      <c r="E752" s="176" t="s">
        <v>65</v>
      </c>
      <c r="F752" s="282">
        <v>1.704</v>
      </c>
      <c r="G752" s="283">
        <f>VLOOKUP(D752,upahbahan,3,FALSE)</f>
        <v>1530</v>
      </c>
      <c r="H752" s="284">
        <f t="shared" si="74"/>
        <v>2607.12</v>
      </c>
    </row>
    <row r="753" spans="3:9" ht="23.4" customHeight="1">
      <c r="C753" s="310" t="s">
        <v>1205</v>
      </c>
      <c r="D753" s="182" t="s">
        <v>562</v>
      </c>
      <c r="E753" s="176" t="s">
        <v>65</v>
      </c>
      <c r="F753" s="282">
        <v>0.188</v>
      </c>
      <c r="G753" s="283">
        <f>VLOOKUP(D753,upahbahan,3,FALSE)</f>
        <v>18000</v>
      </c>
      <c r="H753" s="284">
        <f t="shared" si="74"/>
        <v>3384</v>
      </c>
    </row>
    <row r="754" spans="3:9" ht="23.4" customHeight="1">
      <c r="C754" s="310" t="s">
        <v>1206</v>
      </c>
      <c r="D754" s="285" t="s">
        <v>85</v>
      </c>
      <c r="E754" s="176" t="s">
        <v>42</v>
      </c>
      <c r="F754" s="282">
        <v>3.0000000000000001E-3</v>
      </c>
      <c r="G754" s="283">
        <f>VLOOKUP(D754,upahbahan,3,FALSE)</f>
        <v>310500</v>
      </c>
      <c r="H754" s="284">
        <f t="shared" si="74"/>
        <v>931.5</v>
      </c>
    </row>
    <row r="755" spans="3:9" ht="23.4" customHeight="1">
      <c r="C755" s="66" t="s">
        <v>1214</v>
      </c>
      <c r="D755" s="67"/>
      <c r="E755" s="67"/>
      <c r="F755" s="67"/>
      <c r="G755" s="69"/>
      <c r="H755" s="284">
        <f>SUM(H751:H754)</f>
        <v>27922.62</v>
      </c>
    </row>
    <row r="756" spans="3:9" ht="23.4" customHeight="1">
      <c r="C756" s="321" t="s">
        <v>1215</v>
      </c>
      <c r="D756" s="182" t="s">
        <v>1216</v>
      </c>
      <c r="E756" s="70"/>
      <c r="F756" s="70"/>
      <c r="G756" s="70"/>
      <c r="H756" s="71"/>
    </row>
    <row r="757" spans="3:9" ht="23.4" customHeight="1">
      <c r="C757" s="66" t="s">
        <v>1217</v>
      </c>
      <c r="D757" s="67"/>
      <c r="E757" s="67"/>
      <c r="F757" s="67"/>
      <c r="G757" s="69"/>
      <c r="H757" s="292">
        <v>0</v>
      </c>
    </row>
    <row r="758" spans="3:9" ht="23.4" customHeight="1">
      <c r="C758" s="293" t="s">
        <v>1218</v>
      </c>
      <c r="D758" s="294" t="s">
        <v>1219</v>
      </c>
      <c r="E758" s="295"/>
      <c r="F758" s="295"/>
      <c r="G758" s="296"/>
      <c r="H758" s="284">
        <f>H757+H755+H749</f>
        <v>39759.119999999995</v>
      </c>
    </row>
    <row r="759" spans="3:9" ht="23.4" customHeight="1">
      <c r="C759" s="293" t="s">
        <v>1220</v>
      </c>
      <c r="D759" s="294" t="s">
        <v>1321</v>
      </c>
      <c r="E759" s="295"/>
      <c r="F759" s="296"/>
      <c r="G759" s="298">
        <f>$M$8</f>
        <v>0.1</v>
      </c>
      <c r="H759" s="284">
        <f>H758*G759</f>
        <v>3975.9119999999998</v>
      </c>
    </row>
    <row r="760" spans="3:9" ht="23.4" customHeight="1" thickBot="1">
      <c r="C760" s="299" t="s">
        <v>1221</v>
      </c>
      <c r="D760" s="300" t="s">
        <v>1222</v>
      </c>
      <c r="E760" s="301"/>
      <c r="F760" s="301"/>
      <c r="G760" s="302"/>
      <c r="H760" s="303">
        <f>SUM(H758:H759)</f>
        <v>43735.031999999992</v>
      </c>
    </row>
    <row r="761" spans="3:9" ht="14.4" thickTop="1">
      <c r="C761" s="289"/>
      <c r="D761" s="297"/>
      <c r="E761" s="297"/>
      <c r="F761" s="297"/>
      <c r="G761" s="297"/>
      <c r="H761" s="139"/>
    </row>
    <row r="762" spans="3:9" ht="14.4" thickBot="1">
      <c r="C762" s="47" t="s">
        <v>2909</v>
      </c>
      <c r="D762" s="485" t="s">
        <v>1430</v>
      </c>
      <c r="E762" s="485"/>
      <c r="F762" s="485"/>
      <c r="G762" s="485"/>
      <c r="H762" s="485"/>
      <c r="I762" s="120">
        <f>ROUNDDOWN(H780,-2)</f>
        <v>40800</v>
      </c>
    </row>
    <row r="763" spans="3:9" ht="28.2" thickTop="1">
      <c r="C763" s="51" t="s">
        <v>1195</v>
      </c>
      <c r="D763" s="52" t="s">
        <v>1196</v>
      </c>
      <c r="E763" s="52" t="s">
        <v>1197</v>
      </c>
      <c r="F763" s="52" t="s">
        <v>1198</v>
      </c>
      <c r="G763" s="52" t="s">
        <v>1199</v>
      </c>
      <c r="H763" s="53" t="s">
        <v>1200</v>
      </c>
    </row>
    <row r="764" spans="3:9" ht="23.4" customHeight="1">
      <c r="C764" s="290" t="s">
        <v>1201</v>
      </c>
      <c r="D764" s="182" t="s">
        <v>1202</v>
      </c>
      <c r="E764" s="70"/>
      <c r="F764" s="70"/>
      <c r="G764" s="70"/>
      <c r="H764" s="71"/>
    </row>
    <row r="765" spans="3:9" ht="23.4" customHeight="1">
      <c r="C765" s="281">
        <v>1</v>
      </c>
      <c r="D765" s="182" t="s">
        <v>5</v>
      </c>
      <c r="E765" s="176" t="s">
        <v>6</v>
      </c>
      <c r="F765" s="309">
        <v>7.1400000000000005E-2</v>
      </c>
      <c r="G765" s="283">
        <f>VLOOKUP(D765,upahbahan,3,FALSE)</f>
        <v>100000</v>
      </c>
      <c r="H765" s="284">
        <f t="shared" ref="H765:H768" si="75">F765*G765</f>
        <v>7140.0000000000009</v>
      </c>
    </row>
    <row r="766" spans="3:9" ht="23.4" customHeight="1">
      <c r="C766" s="281">
        <v>2</v>
      </c>
      <c r="D766" s="182" t="s">
        <v>7</v>
      </c>
      <c r="E766" s="176" t="s">
        <v>6</v>
      </c>
      <c r="F766" s="309">
        <v>3.5700000000000003E-2</v>
      </c>
      <c r="G766" s="283">
        <f>VLOOKUP(D766,upahbahan,3,FALSE)</f>
        <v>135000</v>
      </c>
      <c r="H766" s="284">
        <f t="shared" si="75"/>
        <v>4819.5</v>
      </c>
    </row>
    <row r="767" spans="3:9" ht="23.4" customHeight="1">
      <c r="C767" s="281">
        <v>3</v>
      </c>
      <c r="D767" s="182" t="s">
        <v>18</v>
      </c>
      <c r="E767" s="176" t="s">
        <v>6</v>
      </c>
      <c r="F767" s="309">
        <v>3.5999999999999999E-3</v>
      </c>
      <c r="G767" s="283">
        <f>VLOOKUP(D767,upahbahan,3,FALSE)</f>
        <v>150000</v>
      </c>
      <c r="H767" s="284">
        <f t="shared" si="75"/>
        <v>540</v>
      </c>
    </row>
    <row r="768" spans="3:9" ht="23.4" customHeight="1">
      <c r="C768" s="281">
        <v>4</v>
      </c>
      <c r="D768" s="182" t="s">
        <v>19</v>
      </c>
      <c r="E768" s="176" t="s">
        <v>6</v>
      </c>
      <c r="F768" s="309">
        <v>1.1999999999999999E-3</v>
      </c>
      <c r="G768" s="283">
        <f>VLOOKUP(D768,upahbahan,3,FALSE)</f>
        <v>160000</v>
      </c>
      <c r="H768" s="284">
        <f t="shared" si="75"/>
        <v>191.99999999999997</v>
      </c>
    </row>
    <row r="769" spans="3:9" ht="23.4" customHeight="1">
      <c r="C769" s="66" t="s">
        <v>1208</v>
      </c>
      <c r="D769" s="67"/>
      <c r="E769" s="67"/>
      <c r="F769" s="142"/>
      <c r="G769" s="153"/>
      <c r="H769" s="284">
        <f>SUM(H765:H768)</f>
        <v>12691.5</v>
      </c>
      <c r="I769" s="320"/>
    </row>
    <row r="770" spans="3:9" ht="23.4" customHeight="1">
      <c r="C770" s="290" t="s">
        <v>1209</v>
      </c>
      <c r="D770" s="182" t="s">
        <v>1210</v>
      </c>
      <c r="E770" s="70"/>
      <c r="F770" s="70"/>
      <c r="G770" s="70"/>
      <c r="H770" s="71"/>
    </row>
    <row r="771" spans="3:9" ht="23.4" customHeight="1">
      <c r="C771" s="310" t="s">
        <v>1203</v>
      </c>
      <c r="D771" s="285" t="s">
        <v>483</v>
      </c>
      <c r="E771" s="176" t="s">
        <v>44</v>
      </c>
      <c r="F771" s="282">
        <v>1.75</v>
      </c>
      <c r="G771" s="283">
        <f>VLOOKUP(D771,upahbahan,3,FALSE)</f>
        <v>10000</v>
      </c>
      <c r="H771" s="284">
        <f t="shared" ref="H771:H774" si="76">F771*G771</f>
        <v>17500</v>
      </c>
    </row>
    <row r="772" spans="3:9" ht="23.4" customHeight="1">
      <c r="C772" s="310" t="s">
        <v>1204</v>
      </c>
      <c r="D772" s="182" t="s">
        <v>2332</v>
      </c>
      <c r="E772" s="176" t="s">
        <v>65</v>
      </c>
      <c r="F772" s="282">
        <v>1.704</v>
      </c>
      <c r="G772" s="283">
        <f>VLOOKUP(D772,upahbahan,3,FALSE)</f>
        <v>1530</v>
      </c>
      <c r="H772" s="284">
        <f t="shared" si="76"/>
        <v>2607.12</v>
      </c>
    </row>
    <row r="773" spans="3:9" ht="23.4" customHeight="1">
      <c r="C773" s="310" t="s">
        <v>1205</v>
      </c>
      <c r="D773" s="182" t="s">
        <v>562</v>
      </c>
      <c r="E773" s="176" t="s">
        <v>65</v>
      </c>
      <c r="F773" s="282">
        <v>0.188</v>
      </c>
      <c r="G773" s="283">
        <f>VLOOKUP(D773,upahbahan,3,FALSE)</f>
        <v>18000</v>
      </c>
      <c r="H773" s="284">
        <f t="shared" si="76"/>
        <v>3384</v>
      </c>
    </row>
    <row r="774" spans="3:9" ht="23.4" customHeight="1">
      <c r="C774" s="310" t="s">
        <v>1206</v>
      </c>
      <c r="D774" s="285" t="s">
        <v>85</v>
      </c>
      <c r="E774" s="176" t="s">
        <v>42</v>
      </c>
      <c r="F774" s="282">
        <v>3.0000000000000001E-3</v>
      </c>
      <c r="G774" s="283">
        <f>VLOOKUP(D774,upahbahan,3,FALSE)</f>
        <v>310500</v>
      </c>
      <c r="H774" s="284">
        <f t="shared" si="76"/>
        <v>931.5</v>
      </c>
    </row>
    <row r="775" spans="3:9" ht="23.4" customHeight="1">
      <c r="C775" s="66" t="s">
        <v>1214</v>
      </c>
      <c r="D775" s="67"/>
      <c r="E775" s="67"/>
      <c r="F775" s="67"/>
      <c r="G775" s="69"/>
      <c r="H775" s="284">
        <f>SUM(H771:H774)</f>
        <v>24422.62</v>
      </c>
    </row>
    <row r="776" spans="3:9" ht="23.4" customHeight="1">
      <c r="C776" s="321" t="s">
        <v>1215</v>
      </c>
      <c r="D776" s="182" t="s">
        <v>1216</v>
      </c>
      <c r="E776" s="70"/>
      <c r="F776" s="70"/>
      <c r="G776" s="70"/>
      <c r="H776" s="71"/>
    </row>
    <row r="777" spans="3:9" ht="23.4" customHeight="1">
      <c r="C777" s="66" t="s">
        <v>1217</v>
      </c>
      <c r="D777" s="67"/>
      <c r="E777" s="67"/>
      <c r="F777" s="67"/>
      <c r="G777" s="69"/>
      <c r="H777" s="292">
        <v>0</v>
      </c>
    </row>
    <row r="778" spans="3:9" ht="23.4" customHeight="1">
      <c r="C778" s="293" t="s">
        <v>1218</v>
      </c>
      <c r="D778" s="294" t="s">
        <v>1219</v>
      </c>
      <c r="E778" s="295"/>
      <c r="F778" s="295"/>
      <c r="G778" s="296"/>
      <c r="H778" s="284">
        <f>H777+H775+H769</f>
        <v>37114.119999999995</v>
      </c>
    </row>
    <row r="779" spans="3:9" ht="23.4" customHeight="1">
      <c r="C779" s="293" t="s">
        <v>1220</v>
      </c>
      <c r="D779" s="294" t="s">
        <v>1321</v>
      </c>
      <c r="E779" s="295"/>
      <c r="F779" s="296"/>
      <c r="G779" s="298">
        <f>$M$8</f>
        <v>0.1</v>
      </c>
      <c r="H779" s="284">
        <f>H778*G779</f>
        <v>3711.4119999999998</v>
      </c>
    </row>
    <row r="780" spans="3:9" ht="23.4" customHeight="1" thickBot="1">
      <c r="C780" s="299" t="s">
        <v>1221</v>
      </c>
      <c r="D780" s="300" t="s">
        <v>1222</v>
      </c>
      <c r="E780" s="301"/>
      <c r="F780" s="301"/>
      <c r="G780" s="302"/>
      <c r="H780" s="303">
        <f>SUM(H778:H779)</f>
        <v>40825.531999999992</v>
      </c>
    </row>
    <row r="781" spans="3:9" ht="14.4" thickTop="1">
      <c r="C781" s="289"/>
      <c r="D781" s="297"/>
      <c r="E781" s="297"/>
      <c r="F781" s="297"/>
      <c r="G781" s="297"/>
      <c r="H781" s="139"/>
    </row>
    <row r="782" spans="3:9">
      <c r="C782" s="126" t="s">
        <v>2910</v>
      </c>
      <c r="D782" s="138" t="s">
        <v>2911</v>
      </c>
      <c r="E782" s="297"/>
      <c r="F782" s="297"/>
      <c r="G782" s="297"/>
      <c r="H782" s="139"/>
    </row>
    <row r="783" spans="3:9" ht="14.4" thickBot="1">
      <c r="C783" s="119" t="s">
        <v>2912</v>
      </c>
      <c r="D783" s="485" t="s">
        <v>1431</v>
      </c>
      <c r="E783" s="485"/>
      <c r="F783" s="485"/>
      <c r="G783" s="485"/>
      <c r="H783" s="485"/>
      <c r="I783" s="120">
        <f>ROUNDDOWN(H801,-2)</f>
        <v>667200</v>
      </c>
    </row>
    <row r="784" spans="3:9" ht="28.2" thickTop="1">
      <c r="C784" s="51" t="s">
        <v>1195</v>
      </c>
      <c r="D784" s="52" t="s">
        <v>1196</v>
      </c>
      <c r="E784" s="52" t="s">
        <v>1197</v>
      </c>
      <c r="F784" s="52" t="s">
        <v>1198</v>
      </c>
      <c r="G784" s="52" t="s">
        <v>1199</v>
      </c>
      <c r="H784" s="53" t="s">
        <v>1200</v>
      </c>
    </row>
    <row r="785" spans="3:9" ht="23.4" customHeight="1">
      <c r="C785" s="290" t="s">
        <v>1201</v>
      </c>
      <c r="D785" s="182" t="s">
        <v>1202</v>
      </c>
      <c r="E785" s="70"/>
      <c r="F785" s="70"/>
      <c r="G785" s="70"/>
      <c r="H785" s="71"/>
    </row>
    <row r="786" spans="3:9" ht="23.4" customHeight="1">
      <c r="C786" s="281">
        <v>1</v>
      </c>
      <c r="D786" s="182" t="s">
        <v>5</v>
      </c>
      <c r="E786" s="176" t="s">
        <v>6</v>
      </c>
      <c r="F786" s="309">
        <v>0.1429</v>
      </c>
      <c r="G786" s="283">
        <f>VLOOKUP(D786,upahbahan,3,FALSE)</f>
        <v>100000</v>
      </c>
      <c r="H786" s="284">
        <f>F786*G786</f>
        <v>14290</v>
      </c>
    </row>
    <row r="787" spans="3:9" ht="23.4" customHeight="1">
      <c r="C787" s="281">
        <v>2</v>
      </c>
      <c r="D787" s="182" t="s">
        <v>7</v>
      </c>
      <c r="E787" s="176" t="s">
        <v>6</v>
      </c>
      <c r="F787" s="309">
        <v>7.1400000000000005E-2</v>
      </c>
      <c r="G787" s="283">
        <f>VLOOKUP(D787,upahbahan,3,FALSE)</f>
        <v>135000</v>
      </c>
      <c r="H787" s="284">
        <f>F787*G787</f>
        <v>9639</v>
      </c>
    </row>
    <row r="788" spans="3:9" ht="23.4" customHeight="1">
      <c r="C788" s="281">
        <v>3</v>
      </c>
      <c r="D788" s="182" t="s">
        <v>18</v>
      </c>
      <c r="E788" s="176" t="s">
        <v>6</v>
      </c>
      <c r="F788" s="309">
        <v>7.1000000000000004E-3</v>
      </c>
      <c r="G788" s="283">
        <f>VLOOKUP(D788,upahbahan,3,FALSE)</f>
        <v>150000</v>
      </c>
      <c r="H788" s="284">
        <f t="shared" ref="H788:H789" si="77">F788*G788</f>
        <v>1065</v>
      </c>
    </row>
    <row r="789" spans="3:9" ht="23.4" customHeight="1">
      <c r="C789" s="281">
        <v>4</v>
      </c>
      <c r="D789" s="182" t="s">
        <v>19</v>
      </c>
      <c r="E789" s="176" t="s">
        <v>6</v>
      </c>
      <c r="F789" s="309">
        <v>2.3999999999999998E-3</v>
      </c>
      <c r="G789" s="283">
        <f>VLOOKUP(D789,upahbahan,3,FALSE)</f>
        <v>160000</v>
      </c>
      <c r="H789" s="284">
        <f t="shared" si="77"/>
        <v>383.99999999999994</v>
      </c>
    </row>
    <row r="790" spans="3:9" ht="23.4" customHeight="1">
      <c r="C790" s="66" t="s">
        <v>1208</v>
      </c>
      <c r="D790" s="67"/>
      <c r="E790" s="67"/>
      <c r="F790" s="142"/>
      <c r="G790" s="153"/>
      <c r="H790" s="284">
        <f>SUM(H786:H789)</f>
        <v>25378</v>
      </c>
      <c r="I790" s="320"/>
    </row>
    <row r="791" spans="3:9" ht="23.4" customHeight="1">
      <c r="C791" s="290" t="s">
        <v>1209</v>
      </c>
      <c r="D791" s="182" t="s">
        <v>1210</v>
      </c>
      <c r="E791" s="70"/>
      <c r="F791" s="70"/>
      <c r="G791" s="70"/>
      <c r="H791" s="71"/>
    </row>
    <row r="792" spans="3:9" ht="23.4" customHeight="1">
      <c r="C792" s="310" t="s">
        <v>1203</v>
      </c>
      <c r="D792" s="182" t="s">
        <v>515</v>
      </c>
      <c r="E792" s="176" t="s">
        <v>44</v>
      </c>
      <c r="F792" s="309">
        <v>11.667</v>
      </c>
      <c r="G792" s="283">
        <f>VLOOKUP(D792,upahbahan,3,FALSE)</f>
        <v>45000</v>
      </c>
      <c r="H792" s="284">
        <f>F792*G792</f>
        <v>525015</v>
      </c>
    </row>
    <row r="793" spans="3:9" ht="23.4" customHeight="1">
      <c r="C793" s="310" t="s">
        <v>1204</v>
      </c>
      <c r="D793" s="182" t="s">
        <v>2332</v>
      </c>
      <c r="E793" s="176" t="s">
        <v>65</v>
      </c>
      <c r="F793" s="309">
        <v>13.632</v>
      </c>
      <c r="G793" s="283">
        <f>VLOOKUP(D793,upahbahan,3,FALSE)</f>
        <v>1530</v>
      </c>
      <c r="H793" s="284">
        <f t="shared" ref="H793:H795" si="78">F793*G793</f>
        <v>20856.96</v>
      </c>
    </row>
    <row r="794" spans="3:9" ht="23.4" customHeight="1">
      <c r="C794" s="310" t="s">
        <v>1205</v>
      </c>
      <c r="D794" s="182" t="s">
        <v>562</v>
      </c>
      <c r="E794" s="176" t="s">
        <v>65</v>
      </c>
      <c r="F794" s="282">
        <v>1.5</v>
      </c>
      <c r="G794" s="283">
        <f>VLOOKUP(D794,upahbahan,3,FALSE)</f>
        <v>18000</v>
      </c>
      <c r="H794" s="284">
        <f>F794*G794</f>
        <v>27000</v>
      </c>
    </row>
    <row r="795" spans="3:9" ht="23.4" customHeight="1">
      <c r="C795" s="310" t="s">
        <v>1206</v>
      </c>
      <c r="D795" s="285" t="s">
        <v>85</v>
      </c>
      <c r="E795" s="176" t="s">
        <v>42</v>
      </c>
      <c r="F795" s="282">
        <v>2.7E-2</v>
      </c>
      <c r="G795" s="283">
        <f>VLOOKUP(D795,upahbahan,3,FALSE)</f>
        <v>310500</v>
      </c>
      <c r="H795" s="284">
        <f t="shared" si="78"/>
        <v>8383.5</v>
      </c>
    </row>
    <row r="796" spans="3:9" ht="23.4" customHeight="1">
      <c r="C796" s="66" t="s">
        <v>1214</v>
      </c>
      <c r="D796" s="67"/>
      <c r="E796" s="67"/>
      <c r="F796" s="67"/>
      <c r="G796" s="69"/>
      <c r="H796" s="284">
        <f>SUM(H792:H795)</f>
        <v>581255.46</v>
      </c>
    </row>
    <row r="797" spans="3:9" ht="23.4" customHeight="1">
      <c r="C797" s="321" t="s">
        <v>1215</v>
      </c>
      <c r="D797" s="182" t="s">
        <v>1216</v>
      </c>
      <c r="E797" s="70"/>
      <c r="F797" s="70"/>
      <c r="G797" s="70"/>
      <c r="H797" s="71"/>
    </row>
    <row r="798" spans="3:9" ht="23.4" customHeight="1">
      <c r="C798" s="66" t="s">
        <v>1217</v>
      </c>
      <c r="D798" s="67"/>
      <c r="E798" s="67"/>
      <c r="F798" s="67"/>
      <c r="G798" s="69"/>
      <c r="H798" s="292">
        <v>0</v>
      </c>
    </row>
    <row r="799" spans="3:9" ht="23.4" customHeight="1">
      <c r="C799" s="293" t="s">
        <v>1218</v>
      </c>
      <c r="D799" s="294" t="s">
        <v>1219</v>
      </c>
      <c r="E799" s="295"/>
      <c r="F799" s="295"/>
      <c r="G799" s="296"/>
      <c r="H799" s="284">
        <f>H798+H796+H790</f>
        <v>606633.46</v>
      </c>
    </row>
    <row r="800" spans="3:9" ht="23.4" customHeight="1">
      <c r="C800" s="293" t="s">
        <v>1220</v>
      </c>
      <c r="D800" s="294" t="s">
        <v>1321</v>
      </c>
      <c r="E800" s="295"/>
      <c r="F800" s="296"/>
      <c r="G800" s="298">
        <f>$M$8</f>
        <v>0.1</v>
      </c>
      <c r="H800" s="284">
        <f>H799*G800</f>
        <v>60663.345999999998</v>
      </c>
    </row>
    <row r="801" spans="3:9" ht="23.4" customHeight="1" thickBot="1">
      <c r="C801" s="299" t="s">
        <v>1221</v>
      </c>
      <c r="D801" s="300" t="s">
        <v>1222</v>
      </c>
      <c r="E801" s="301"/>
      <c r="F801" s="301"/>
      <c r="G801" s="302"/>
      <c r="H801" s="303">
        <f>SUM(H799:H800)</f>
        <v>667296.80599999998</v>
      </c>
    </row>
    <row r="802" spans="3:9" ht="14.4" thickTop="1">
      <c r="C802" s="289"/>
      <c r="D802" s="297"/>
      <c r="E802" s="297"/>
      <c r="F802" s="297"/>
      <c r="G802" s="297"/>
      <c r="H802" s="139"/>
    </row>
    <row r="803" spans="3:9" ht="14.4" thickBot="1">
      <c r="C803" s="47" t="s">
        <v>2913</v>
      </c>
      <c r="D803" s="485" t="s">
        <v>1432</v>
      </c>
      <c r="E803" s="485"/>
      <c r="F803" s="485"/>
      <c r="G803" s="485"/>
      <c r="H803" s="485"/>
      <c r="I803" s="120">
        <f>ROUNDDOWN(H821,-2)</f>
        <v>525000</v>
      </c>
    </row>
    <row r="804" spans="3:9" ht="28.2" thickTop="1">
      <c r="C804" s="51" t="s">
        <v>1195</v>
      </c>
      <c r="D804" s="52" t="s">
        <v>1196</v>
      </c>
      <c r="E804" s="52" t="s">
        <v>1197</v>
      </c>
      <c r="F804" s="52" t="s">
        <v>1198</v>
      </c>
      <c r="G804" s="52" t="s">
        <v>1199</v>
      </c>
      <c r="H804" s="53" t="s">
        <v>1200</v>
      </c>
    </row>
    <row r="805" spans="3:9" ht="23.4" customHeight="1">
      <c r="C805" s="290" t="s">
        <v>1201</v>
      </c>
      <c r="D805" s="182" t="s">
        <v>1202</v>
      </c>
      <c r="E805" s="70"/>
      <c r="F805" s="70"/>
      <c r="G805" s="70"/>
      <c r="H805" s="71"/>
    </row>
    <row r="806" spans="3:9" ht="23.4" customHeight="1">
      <c r="C806" s="281">
        <v>1</v>
      </c>
      <c r="D806" s="182" t="s">
        <v>5</v>
      </c>
      <c r="E806" s="176" t="s">
        <v>6</v>
      </c>
      <c r="F806" s="315">
        <v>0.15379999999999999</v>
      </c>
      <c r="G806" s="283">
        <f>VLOOKUP(D806,upahbahan,3,FALSE)</f>
        <v>100000</v>
      </c>
      <c r="H806" s="284">
        <f t="shared" ref="H806:H809" si="79">F806*G806</f>
        <v>15380</v>
      </c>
    </row>
    <row r="807" spans="3:9" ht="23.4" customHeight="1">
      <c r="C807" s="281">
        <v>2</v>
      </c>
      <c r="D807" s="182" t="s">
        <v>7</v>
      </c>
      <c r="E807" s="176" t="s">
        <v>6</v>
      </c>
      <c r="F807" s="315">
        <v>7.6899999999999996E-2</v>
      </c>
      <c r="G807" s="283">
        <f>VLOOKUP(D807,upahbahan,3,FALSE)</f>
        <v>135000</v>
      </c>
      <c r="H807" s="284">
        <f t="shared" si="79"/>
        <v>10381.5</v>
      </c>
    </row>
    <row r="808" spans="3:9" ht="23.4" customHeight="1">
      <c r="C808" s="281">
        <v>3</v>
      </c>
      <c r="D808" s="182" t="s">
        <v>18</v>
      </c>
      <c r="E808" s="176" t="s">
        <v>6</v>
      </c>
      <c r="F808" s="315">
        <v>7.7000000000000002E-3</v>
      </c>
      <c r="G808" s="283">
        <f>VLOOKUP(D808,upahbahan,3,FALSE)</f>
        <v>150000</v>
      </c>
      <c r="H808" s="284">
        <f t="shared" si="79"/>
        <v>1155</v>
      </c>
    </row>
    <row r="809" spans="3:9" ht="23.4" customHeight="1">
      <c r="C809" s="281">
        <v>4</v>
      </c>
      <c r="D809" s="182" t="s">
        <v>19</v>
      </c>
      <c r="E809" s="176" t="s">
        <v>6</v>
      </c>
      <c r="F809" s="315">
        <v>2.5999999999999999E-3</v>
      </c>
      <c r="G809" s="283">
        <f>VLOOKUP(D809,upahbahan,3,FALSE)</f>
        <v>160000</v>
      </c>
      <c r="H809" s="284">
        <f t="shared" si="79"/>
        <v>416</v>
      </c>
    </row>
    <row r="810" spans="3:9" ht="23.4" customHeight="1">
      <c r="C810" s="66" t="s">
        <v>1208</v>
      </c>
      <c r="D810" s="67"/>
      <c r="E810" s="67"/>
      <c r="F810" s="142"/>
      <c r="G810" s="153"/>
      <c r="H810" s="284">
        <f>SUM(H806:H809)</f>
        <v>27332.5</v>
      </c>
      <c r="I810" s="320"/>
    </row>
    <row r="811" spans="3:9" ht="23.4" customHeight="1">
      <c r="C811" s="290" t="s">
        <v>1209</v>
      </c>
      <c r="D811" s="182" t="s">
        <v>1210</v>
      </c>
      <c r="E811" s="70"/>
      <c r="F811" s="70"/>
      <c r="G811" s="70"/>
      <c r="H811" s="71"/>
    </row>
    <row r="812" spans="3:9" ht="23.4" customHeight="1">
      <c r="C812" s="310" t="s">
        <v>1203</v>
      </c>
      <c r="D812" s="182" t="s">
        <v>516</v>
      </c>
      <c r="E812" s="176" t="s">
        <v>44</v>
      </c>
      <c r="F812" s="309">
        <v>6.5629999999999997</v>
      </c>
      <c r="G812" s="283">
        <f>VLOOKUP(D812,upahbahan,3,FALSE)</f>
        <v>60000</v>
      </c>
      <c r="H812" s="284">
        <f t="shared" ref="H812:H815" si="80">F812*G812</f>
        <v>393780</v>
      </c>
    </row>
    <row r="813" spans="3:9" ht="23.4" customHeight="1">
      <c r="C813" s="310" t="s">
        <v>1204</v>
      </c>
      <c r="D813" s="182" t="s">
        <v>2332</v>
      </c>
      <c r="E813" s="176" t="s">
        <v>65</v>
      </c>
      <c r="F813" s="309">
        <v>13.632</v>
      </c>
      <c r="G813" s="283">
        <f>VLOOKUP(D813,upahbahan,3,FALSE)</f>
        <v>1530</v>
      </c>
      <c r="H813" s="284">
        <f t="shared" si="80"/>
        <v>20856.96</v>
      </c>
    </row>
    <row r="814" spans="3:9" ht="23.4" customHeight="1">
      <c r="C814" s="310" t="s">
        <v>1205</v>
      </c>
      <c r="D814" s="182" t="s">
        <v>562</v>
      </c>
      <c r="E814" s="176" t="s">
        <v>65</v>
      </c>
      <c r="F814" s="282">
        <v>1.5</v>
      </c>
      <c r="G814" s="283">
        <f>VLOOKUP(D814,upahbahan,3,FALSE)</f>
        <v>18000</v>
      </c>
      <c r="H814" s="284">
        <f t="shared" si="80"/>
        <v>27000</v>
      </c>
    </row>
    <row r="815" spans="3:9" ht="23.4" customHeight="1">
      <c r="C815" s="310" t="s">
        <v>1206</v>
      </c>
      <c r="D815" s="285" t="s">
        <v>85</v>
      </c>
      <c r="E815" s="176" t="s">
        <v>42</v>
      </c>
      <c r="F815" s="282">
        <v>2.7E-2</v>
      </c>
      <c r="G815" s="283">
        <f>VLOOKUP(D815,upahbahan,3,FALSE)</f>
        <v>310500</v>
      </c>
      <c r="H815" s="284">
        <f t="shared" si="80"/>
        <v>8383.5</v>
      </c>
    </row>
    <row r="816" spans="3:9" ht="23.4" customHeight="1">
      <c r="C816" s="66" t="s">
        <v>1214</v>
      </c>
      <c r="D816" s="67"/>
      <c r="E816" s="67"/>
      <c r="F816" s="67"/>
      <c r="G816" s="69"/>
      <c r="H816" s="284">
        <f>SUM(H812:H815)</f>
        <v>450020.46</v>
      </c>
    </row>
    <row r="817" spans="3:9" ht="23.4" customHeight="1">
      <c r="C817" s="321" t="s">
        <v>1215</v>
      </c>
      <c r="D817" s="182" t="s">
        <v>1216</v>
      </c>
      <c r="E817" s="70"/>
      <c r="F817" s="70"/>
      <c r="G817" s="70"/>
      <c r="H817" s="71"/>
    </row>
    <row r="818" spans="3:9" ht="23.4" customHeight="1">
      <c r="C818" s="66" t="s">
        <v>1217</v>
      </c>
      <c r="D818" s="67"/>
      <c r="E818" s="67"/>
      <c r="F818" s="67"/>
      <c r="G818" s="69"/>
      <c r="H818" s="292">
        <v>0</v>
      </c>
    </row>
    <row r="819" spans="3:9" ht="23.4" customHeight="1">
      <c r="C819" s="293" t="s">
        <v>1218</v>
      </c>
      <c r="D819" s="294" t="s">
        <v>1219</v>
      </c>
      <c r="E819" s="295"/>
      <c r="F819" s="295"/>
      <c r="G819" s="296"/>
      <c r="H819" s="284">
        <f>H818+H816+H810</f>
        <v>477352.96000000002</v>
      </c>
    </row>
    <row r="820" spans="3:9" ht="23.4" customHeight="1">
      <c r="C820" s="293" t="s">
        <v>1220</v>
      </c>
      <c r="D820" s="294" t="s">
        <v>1321</v>
      </c>
      <c r="E820" s="295"/>
      <c r="F820" s="296"/>
      <c r="G820" s="298">
        <f>$M$8</f>
        <v>0.1</v>
      </c>
      <c r="H820" s="284">
        <f>H819*G820</f>
        <v>47735.296000000002</v>
      </c>
    </row>
    <row r="821" spans="3:9" ht="23.4" customHeight="1" thickBot="1">
      <c r="C821" s="299" t="s">
        <v>1221</v>
      </c>
      <c r="D821" s="300" t="s">
        <v>1222</v>
      </c>
      <c r="E821" s="301"/>
      <c r="F821" s="301"/>
      <c r="G821" s="302"/>
      <c r="H821" s="303">
        <f>SUM(H819:H820)</f>
        <v>525088.25600000005</v>
      </c>
    </row>
    <row r="822" spans="3:9" ht="14.4" thickTop="1">
      <c r="C822" s="289"/>
      <c r="D822" s="297"/>
      <c r="E822" s="297"/>
      <c r="F822" s="297"/>
      <c r="G822" s="297"/>
      <c r="H822" s="139"/>
    </row>
    <row r="823" spans="3:9" ht="14.4" thickBot="1">
      <c r="C823" s="47" t="s">
        <v>2914</v>
      </c>
      <c r="D823" s="485" t="s">
        <v>1433</v>
      </c>
      <c r="E823" s="485"/>
      <c r="F823" s="485"/>
      <c r="G823" s="485"/>
      <c r="H823" s="485"/>
      <c r="I823" s="120">
        <f>ROUNDDOWN(H841,-2)</f>
        <v>328200</v>
      </c>
    </row>
    <row r="824" spans="3:9" ht="28.2" thickTop="1">
      <c r="C824" s="51" t="s">
        <v>1195</v>
      </c>
      <c r="D824" s="52" t="s">
        <v>1196</v>
      </c>
      <c r="E824" s="52" t="s">
        <v>1197</v>
      </c>
      <c r="F824" s="52" t="s">
        <v>1198</v>
      </c>
      <c r="G824" s="52" t="s">
        <v>1199</v>
      </c>
      <c r="H824" s="53" t="s">
        <v>1200</v>
      </c>
    </row>
    <row r="825" spans="3:9" ht="23.4" customHeight="1">
      <c r="C825" s="290" t="s">
        <v>1201</v>
      </c>
      <c r="D825" s="182" t="s">
        <v>1202</v>
      </c>
      <c r="E825" s="70"/>
      <c r="F825" s="70"/>
      <c r="G825" s="70"/>
      <c r="H825" s="71"/>
    </row>
    <row r="826" spans="3:9" ht="23.4" customHeight="1">
      <c r="C826" s="281">
        <v>1</v>
      </c>
      <c r="D826" s="182" t="s">
        <v>5</v>
      </c>
      <c r="E826" s="176" t="s">
        <v>6</v>
      </c>
      <c r="F826" s="315">
        <v>0.25</v>
      </c>
      <c r="G826" s="283">
        <f>VLOOKUP(D826,upahbahan,3,FALSE)</f>
        <v>100000</v>
      </c>
      <c r="H826" s="284">
        <f t="shared" ref="H826:H829" si="81">F826*G826</f>
        <v>25000</v>
      </c>
    </row>
    <row r="827" spans="3:9" ht="23.4" customHeight="1">
      <c r="C827" s="281">
        <v>2</v>
      </c>
      <c r="D827" s="182" t="s">
        <v>7</v>
      </c>
      <c r="E827" s="176" t="s">
        <v>6</v>
      </c>
      <c r="F827" s="315">
        <v>8.3299999999999999E-2</v>
      </c>
      <c r="G827" s="283">
        <f>VLOOKUP(D827,upahbahan,3,FALSE)</f>
        <v>135000</v>
      </c>
      <c r="H827" s="284">
        <f t="shared" si="81"/>
        <v>11245.5</v>
      </c>
    </row>
    <row r="828" spans="3:9" ht="23.4" customHeight="1">
      <c r="C828" s="281">
        <v>3</v>
      </c>
      <c r="D828" s="182" t="s">
        <v>18</v>
      </c>
      <c r="E828" s="176" t="s">
        <v>6</v>
      </c>
      <c r="F828" s="315">
        <v>8.3000000000000001E-3</v>
      </c>
      <c r="G828" s="283">
        <f>VLOOKUP(D828,upahbahan,3,FALSE)</f>
        <v>150000</v>
      </c>
      <c r="H828" s="284">
        <f t="shared" si="81"/>
        <v>1245</v>
      </c>
    </row>
    <row r="829" spans="3:9" ht="23.4" customHeight="1">
      <c r="C829" s="281">
        <v>4</v>
      </c>
      <c r="D829" s="182" t="s">
        <v>19</v>
      </c>
      <c r="E829" s="176" t="s">
        <v>6</v>
      </c>
      <c r="F829" s="315">
        <v>2.8E-3</v>
      </c>
      <c r="G829" s="283">
        <f>VLOOKUP(D829,upahbahan,3,FALSE)</f>
        <v>160000</v>
      </c>
      <c r="H829" s="284">
        <f t="shared" si="81"/>
        <v>448</v>
      </c>
    </row>
    <row r="830" spans="3:9" ht="23.4" customHeight="1">
      <c r="C830" s="66" t="s">
        <v>1208</v>
      </c>
      <c r="D830" s="67"/>
      <c r="E830" s="67"/>
      <c r="F830" s="142"/>
      <c r="G830" s="153"/>
      <c r="H830" s="284">
        <f>SUM(H826:H829)</f>
        <v>37938.5</v>
      </c>
      <c r="I830" s="320"/>
    </row>
    <row r="831" spans="3:9" ht="23.4" customHeight="1">
      <c r="C831" s="290" t="s">
        <v>1209</v>
      </c>
      <c r="D831" s="182" t="s">
        <v>1210</v>
      </c>
      <c r="E831" s="70"/>
      <c r="F831" s="70"/>
      <c r="G831" s="70"/>
      <c r="H831" s="71"/>
    </row>
    <row r="832" spans="3:9" ht="23.4" customHeight="1">
      <c r="C832" s="310" t="s">
        <v>1203</v>
      </c>
      <c r="D832" s="182" t="s">
        <v>517</v>
      </c>
      <c r="E832" s="176" t="s">
        <v>44</v>
      </c>
      <c r="F832" s="309">
        <v>2.9169999999999998</v>
      </c>
      <c r="G832" s="283">
        <f>VLOOKUP(D832,upahbahan,3,FALSE)</f>
        <v>70000</v>
      </c>
      <c r="H832" s="284">
        <f t="shared" ref="H832:H835" si="82">F832*G832</f>
        <v>204190</v>
      </c>
    </row>
    <row r="833" spans="3:9" ht="23.4" customHeight="1">
      <c r="C833" s="310" t="s">
        <v>1204</v>
      </c>
      <c r="D833" s="182" t="s">
        <v>2332</v>
      </c>
      <c r="E833" s="176" t="s">
        <v>65</v>
      </c>
      <c r="F833" s="309">
        <v>13.632</v>
      </c>
      <c r="G833" s="283">
        <f>VLOOKUP(D833,upahbahan,3,FALSE)</f>
        <v>1530</v>
      </c>
      <c r="H833" s="284">
        <f t="shared" si="82"/>
        <v>20856.96</v>
      </c>
    </row>
    <row r="834" spans="3:9" ht="23.4" customHeight="1">
      <c r="C834" s="310" t="s">
        <v>1205</v>
      </c>
      <c r="D834" s="182" t="s">
        <v>562</v>
      </c>
      <c r="E834" s="176" t="s">
        <v>65</v>
      </c>
      <c r="F834" s="282">
        <v>1.5</v>
      </c>
      <c r="G834" s="283">
        <f>VLOOKUP(D834,upahbahan,3,FALSE)</f>
        <v>18000</v>
      </c>
      <c r="H834" s="284">
        <f t="shared" si="82"/>
        <v>27000</v>
      </c>
    </row>
    <row r="835" spans="3:9" ht="23.4" customHeight="1">
      <c r="C835" s="310" t="s">
        <v>1206</v>
      </c>
      <c r="D835" s="285" t="s">
        <v>85</v>
      </c>
      <c r="E835" s="176" t="s">
        <v>42</v>
      </c>
      <c r="F835" s="282">
        <v>2.7E-2</v>
      </c>
      <c r="G835" s="283">
        <f>VLOOKUP(D835,upahbahan,3,FALSE)</f>
        <v>310500</v>
      </c>
      <c r="H835" s="284">
        <f t="shared" si="82"/>
        <v>8383.5</v>
      </c>
    </row>
    <row r="836" spans="3:9" ht="23.4" customHeight="1">
      <c r="C836" s="66" t="s">
        <v>1214</v>
      </c>
      <c r="D836" s="67"/>
      <c r="E836" s="67"/>
      <c r="F836" s="67"/>
      <c r="G836" s="69"/>
      <c r="H836" s="284">
        <f>SUM(H832:H835)</f>
        <v>260430.46</v>
      </c>
    </row>
    <row r="837" spans="3:9" ht="23.4" customHeight="1">
      <c r="C837" s="321" t="s">
        <v>1215</v>
      </c>
      <c r="D837" s="182" t="s">
        <v>1216</v>
      </c>
      <c r="E837" s="70"/>
      <c r="F837" s="70"/>
      <c r="G837" s="70"/>
      <c r="H837" s="71"/>
    </row>
    <row r="838" spans="3:9" ht="23.4" customHeight="1">
      <c r="C838" s="66" t="s">
        <v>1217</v>
      </c>
      <c r="D838" s="67"/>
      <c r="E838" s="67"/>
      <c r="F838" s="67"/>
      <c r="G838" s="69"/>
      <c r="H838" s="292">
        <v>0</v>
      </c>
    </row>
    <row r="839" spans="3:9" ht="23.4" customHeight="1">
      <c r="C839" s="293" t="s">
        <v>1218</v>
      </c>
      <c r="D839" s="294" t="s">
        <v>1219</v>
      </c>
      <c r="E839" s="295"/>
      <c r="F839" s="295"/>
      <c r="G839" s="296"/>
      <c r="H839" s="284">
        <f>H838+H836+H830</f>
        <v>298368.95999999996</v>
      </c>
    </row>
    <row r="840" spans="3:9" ht="23.4" customHeight="1">
      <c r="C840" s="293" t="s">
        <v>1220</v>
      </c>
      <c r="D840" s="294" t="s">
        <v>1321</v>
      </c>
      <c r="E840" s="295"/>
      <c r="F840" s="296"/>
      <c r="G840" s="298">
        <f>$M$8</f>
        <v>0.1</v>
      </c>
      <c r="H840" s="284">
        <f>H839*G840</f>
        <v>29836.895999999997</v>
      </c>
    </row>
    <row r="841" spans="3:9" ht="23.4" customHeight="1" thickBot="1">
      <c r="C841" s="299" t="s">
        <v>1221</v>
      </c>
      <c r="D841" s="300" t="s">
        <v>1222</v>
      </c>
      <c r="E841" s="301"/>
      <c r="F841" s="301"/>
      <c r="G841" s="302"/>
      <c r="H841" s="303">
        <f>SUM(H839:H840)</f>
        <v>328205.85599999997</v>
      </c>
    </row>
    <row r="842" spans="3:9" ht="23.4" customHeight="1" thickTop="1">
      <c r="C842" s="289"/>
      <c r="D842" s="297"/>
      <c r="E842" s="297"/>
      <c r="F842" s="297"/>
      <c r="G842" s="297"/>
      <c r="H842" s="139"/>
    </row>
    <row r="843" spans="3:9" ht="23.4" customHeight="1" thickBot="1">
      <c r="C843" s="47" t="s">
        <v>2915</v>
      </c>
      <c r="D843" s="485" t="s">
        <v>1434</v>
      </c>
      <c r="E843" s="275"/>
      <c r="F843" s="275"/>
      <c r="G843" s="275"/>
      <c r="H843" s="275"/>
      <c r="I843" s="120">
        <f>ROUNDDOWN(H861,-2)</f>
        <v>27500</v>
      </c>
    </row>
    <row r="844" spans="3:9" ht="23.4" customHeight="1" thickTop="1">
      <c r="C844" s="51" t="s">
        <v>1195</v>
      </c>
      <c r="D844" s="52" t="s">
        <v>1196</v>
      </c>
      <c r="E844" s="52" t="s">
        <v>1197</v>
      </c>
      <c r="F844" s="52" t="s">
        <v>1198</v>
      </c>
      <c r="G844" s="52" t="s">
        <v>1199</v>
      </c>
      <c r="H844" s="53" t="s">
        <v>1200</v>
      </c>
    </row>
    <row r="845" spans="3:9" ht="23.4" customHeight="1">
      <c r="C845" s="290" t="s">
        <v>1201</v>
      </c>
      <c r="D845" s="182" t="s">
        <v>1202</v>
      </c>
      <c r="E845" s="70"/>
      <c r="F845" s="70"/>
      <c r="G845" s="70"/>
      <c r="H845" s="71"/>
    </row>
    <row r="846" spans="3:9" ht="23.4" customHeight="1">
      <c r="C846" s="281">
        <v>1</v>
      </c>
      <c r="D846" s="182" t="s">
        <v>5</v>
      </c>
      <c r="E846" s="176" t="s">
        <v>6</v>
      </c>
      <c r="F846" s="315">
        <v>6.25E-2</v>
      </c>
      <c r="G846" s="283">
        <f>VLOOKUP(D846,upahbahan,3,FALSE)</f>
        <v>100000</v>
      </c>
      <c r="H846" s="284">
        <f t="shared" ref="H846:H849" si="83">F846*G846</f>
        <v>6250</v>
      </c>
    </row>
    <row r="847" spans="3:9" ht="23.4" customHeight="1">
      <c r="C847" s="281">
        <v>2</v>
      </c>
      <c r="D847" s="182" t="s">
        <v>7</v>
      </c>
      <c r="E847" s="176" t="s">
        <v>6</v>
      </c>
      <c r="F847" s="315">
        <v>3.1300000000000001E-2</v>
      </c>
      <c r="G847" s="283">
        <f>VLOOKUP(D847,upahbahan,3,FALSE)</f>
        <v>135000</v>
      </c>
      <c r="H847" s="284">
        <f t="shared" si="83"/>
        <v>4225.5</v>
      </c>
    </row>
    <row r="848" spans="3:9" ht="23.4" customHeight="1">
      <c r="C848" s="281">
        <v>3</v>
      </c>
      <c r="D848" s="182" t="s">
        <v>18</v>
      </c>
      <c r="E848" s="176" t="s">
        <v>6</v>
      </c>
      <c r="F848" s="315">
        <v>3.0999999999999999E-3</v>
      </c>
      <c r="G848" s="283">
        <f>VLOOKUP(D848,upahbahan,3,FALSE)</f>
        <v>150000</v>
      </c>
      <c r="H848" s="284">
        <f t="shared" si="83"/>
        <v>465</v>
      </c>
    </row>
    <row r="849" spans="3:9" ht="23.4" customHeight="1">
      <c r="C849" s="281">
        <v>4</v>
      </c>
      <c r="D849" s="182" t="s">
        <v>19</v>
      </c>
      <c r="E849" s="176" t="s">
        <v>6</v>
      </c>
      <c r="F849" s="315">
        <v>1E-3</v>
      </c>
      <c r="G849" s="283">
        <f>VLOOKUP(D849,upahbahan,3,FALSE)</f>
        <v>160000</v>
      </c>
      <c r="H849" s="284">
        <f t="shared" si="83"/>
        <v>160</v>
      </c>
    </row>
    <row r="850" spans="3:9" ht="23.4" customHeight="1">
      <c r="C850" s="66" t="s">
        <v>1208</v>
      </c>
      <c r="D850" s="67"/>
      <c r="E850" s="67"/>
      <c r="F850" s="142"/>
      <c r="G850" s="153"/>
      <c r="H850" s="284">
        <f>SUM(H846:H849)</f>
        <v>11100.5</v>
      </c>
      <c r="I850" s="320"/>
    </row>
    <row r="851" spans="3:9" ht="23.4" customHeight="1">
      <c r="C851" s="290" t="s">
        <v>1209</v>
      </c>
      <c r="D851" s="182" t="s">
        <v>1210</v>
      </c>
      <c r="E851" s="70"/>
      <c r="F851" s="70"/>
      <c r="G851" s="70"/>
      <c r="H851" s="71"/>
    </row>
    <row r="852" spans="3:9" ht="23.4" customHeight="1">
      <c r="C852" s="310" t="s">
        <v>1203</v>
      </c>
      <c r="D852" s="285" t="s">
        <v>475</v>
      </c>
      <c r="E852" s="176" t="s">
        <v>44</v>
      </c>
      <c r="F852" s="282">
        <v>3.5</v>
      </c>
      <c r="G852" s="283">
        <f>VLOOKUP(D852,upahbahan,3,FALSE)</f>
        <v>2000</v>
      </c>
      <c r="H852" s="284">
        <f t="shared" ref="H852:H855" si="84">F852*G852</f>
        <v>7000</v>
      </c>
    </row>
    <row r="853" spans="3:9" ht="23.4" customHeight="1">
      <c r="C853" s="310" t="s">
        <v>1204</v>
      </c>
      <c r="D853" s="182" t="s">
        <v>2332</v>
      </c>
      <c r="E853" s="176" t="s">
        <v>65</v>
      </c>
      <c r="F853" s="282">
        <v>1.704</v>
      </c>
      <c r="G853" s="283">
        <f>VLOOKUP(D853,upahbahan,3,FALSE)</f>
        <v>1530</v>
      </c>
      <c r="H853" s="284">
        <f t="shared" si="84"/>
        <v>2607.12</v>
      </c>
    </row>
    <row r="854" spans="3:9" ht="23.4" customHeight="1">
      <c r="C854" s="310" t="s">
        <v>1205</v>
      </c>
      <c r="D854" s="182" t="s">
        <v>562</v>
      </c>
      <c r="E854" s="176" t="s">
        <v>65</v>
      </c>
      <c r="F854" s="282">
        <v>0.188</v>
      </c>
      <c r="G854" s="283">
        <f>VLOOKUP(D854,upahbahan,3,FALSE)</f>
        <v>18000</v>
      </c>
      <c r="H854" s="284">
        <f t="shared" si="84"/>
        <v>3384</v>
      </c>
    </row>
    <row r="855" spans="3:9" ht="23.4" customHeight="1">
      <c r="C855" s="310" t="s">
        <v>1206</v>
      </c>
      <c r="D855" s="285" t="s">
        <v>85</v>
      </c>
      <c r="E855" s="176" t="s">
        <v>42</v>
      </c>
      <c r="F855" s="282">
        <v>3.0000000000000001E-3</v>
      </c>
      <c r="G855" s="283">
        <f>VLOOKUP(D855,upahbahan,3,FALSE)</f>
        <v>310500</v>
      </c>
      <c r="H855" s="284">
        <f t="shared" si="84"/>
        <v>931.5</v>
      </c>
    </row>
    <row r="856" spans="3:9" ht="23.4" customHeight="1">
      <c r="C856" s="66" t="s">
        <v>1214</v>
      </c>
      <c r="D856" s="67"/>
      <c r="E856" s="67"/>
      <c r="F856" s="67"/>
      <c r="G856" s="69"/>
      <c r="H856" s="284">
        <f>SUM(H852:H855)</f>
        <v>13922.619999999999</v>
      </c>
    </row>
    <row r="857" spans="3:9" ht="23.4" customHeight="1">
      <c r="C857" s="321" t="s">
        <v>1215</v>
      </c>
      <c r="D857" s="182" t="s">
        <v>1216</v>
      </c>
      <c r="E857" s="70"/>
      <c r="F857" s="70"/>
      <c r="G857" s="70"/>
      <c r="H857" s="71"/>
    </row>
    <row r="858" spans="3:9" ht="23.4" customHeight="1">
      <c r="C858" s="66" t="s">
        <v>1217</v>
      </c>
      <c r="D858" s="67"/>
      <c r="E858" s="67"/>
      <c r="F858" s="67"/>
      <c r="G858" s="69"/>
      <c r="H858" s="292">
        <v>0</v>
      </c>
    </row>
    <row r="859" spans="3:9" ht="23.4" customHeight="1">
      <c r="C859" s="293" t="s">
        <v>1218</v>
      </c>
      <c r="D859" s="294" t="s">
        <v>1219</v>
      </c>
      <c r="E859" s="295"/>
      <c r="F859" s="295"/>
      <c r="G859" s="296"/>
      <c r="H859" s="284">
        <f>H858+H856+H850</f>
        <v>25023.119999999999</v>
      </c>
    </row>
    <row r="860" spans="3:9" ht="23.4" customHeight="1">
      <c r="C860" s="293" t="s">
        <v>1220</v>
      </c>
      <c r="D860" s="294" t="s">
        <v>1321</v>
      </c>
      <c r="E860" s="295"/>
      <c r="F860" s="296"/>
      <c r="G860" s="298">
        <f>$M$8</f>
        <v>0.1</v>
      </c>
      <c r="H860" s="284">
        <f>H859*G860</f>
        <v>2502.3119999999999</v>
      </c>
    </row>
    <row r="861" spans="3:9" ht="23.4" customHeight="1" thickBot="1">
      <c r="C861" s="299" t="s">
        <v>1221</v>
      </c>
      <c r="D861" s="300" t="s">
        <v>1222</v>
      </c>
      <c r="E861" s="301"/>
      <c r="F861" s="301"/>
      <c r="G861" s="302"/>
      <c r="H861" s="303">
        <f>SUM(H859:H860)</f>
        <v>27525.432000000001</v>
      </c>
    </row>
    <row r="862" spans="3:9" ht="23.4" customHeight="1" thickTop="1">
      <c r="C862" s="289"/>
      <c r="D862" s="297"/>
      <c r="E862" s="297"/>
      <c r="F862" s="297"/>
      <c r="G862" s="297"/>
      <c r="H862" s="139"/>
    </row>
    <row r="863" spans="3:9" ht="23.4" customHeight="1" thickBot="1">
      <c r="C863" s="47" t="s">
        <v>2916</v>
      </c>
      <c r="D863" s="485" t="s">
        <v>1435</v>
      </c>
      <c r="E863" s="485"/>
      <c r="F863" s="485"/>
      <c r="G863" s="485"/>
      <c r="H863" s="485"/>
      <c r="I863" s="120">
        <f>ROUNDDOWN(H881,-2)</f>
        <v>29200</v>
      </c>
    </row>
    <row r="864" spans="3:9" ht="23.4" customHeight="1" thickTop="1">
      <c r="C864" s="51" t="s">
        <v>1195</v>
      </c>
      <c r="D864" s="52" t="s">
        <v>1196</v>
      </c>
      <c r="E864" s="52" t="s">
        <v>1197</v>
      </c>
      <c r="F864" s="52" t="s">
        <v>1198</v>
      </c>
      <c r="G864" s="52" t="s">
        <v>1199</v>
      </c>
      <c r="H864" s="53" t="s">
        <v>1200</v>
      </c>
    </row>
    <row r="865" spans="3:9" ht="23.4" customHeight="1">
      <c r="C865" s="290" t="s">
        <v>1201</v>
      </c>
      <c r="D865" s="182" t="s">
        <v>1202</v>
      </c>
      <c r="E865" s="70"/>
      <c r="F865" s="70"/>
      <c r="G865" s="70"/>
      <c r="H865" s="71"/>
    </row>
    <row r="866" spans="3:9" ht="23.4" customHeight="1">
      <c r="C866" s="281">
        <v>1</v>
      </c>
      <c r="D866" s="182" t="s">
        <v>5</v>
      </c>
      <c r="E866" s="176" t="s">
        <v>6</v>
      </c>
      <c r="F866" s="309">
        <v>6.6699999999999995E-2</v>
      </c>
      <c r="G866" s="283">
        <f>VLOOKUP(D866,upahbahan,3,FALSE)</f>
        <v>100000</v>
      </c>
      <c r="H866" s="284">
        <f t="shared" ref="H866:H869" si="85">F866*G866</f>
        <v>6669.9999999999991</v>
      </c>
    </row>
    <row r="867" spans="3:9" ht="23.4" customHeight="1">
      <c r="C867" s="281">
        <v>2</v>
      </c>
      <c r="D867" s="182" t="s">
        <v>7</v>
      </c>
      <c r="E867" s="176" t="s">
        <v>6</v>
      </c>
      <c r="F867" s="309">
        <v>3.3300000000000003E-2</v>
      </c>
      <c r="G867" s="283">
        <f>VLOOKUP(D867,upahbahan,3,FALSE)</f>
        <v>135000</v>
      </c>
      <c r="H867" s="284">
        <f t="shared" si="85"/>
        <v>4495.5</v>
      </c>
    </row>
    <row r="868" spans="3:9" ht="23.4" customHeight="1">
      <c r="C868" s="281">
        <v>3</v>
      </c>
      <c r="D868" s="182" t="s">
        <v>18</v>
      </c>
      <c r="E868" s="176" t="s">
        <v>6</v>
      </c>
      <c r="F868" s="309">
        <v>3.3E-3</v>
      </c>
      <c r="G868" s="283">
        <f>VLOOKUP(D868,upahbahan,3,FALSE)</f>
        <v>150000</v>
      </c>
      <c r="H868" s="284">
        <f t="shared" si="85"/>
        <v>495</v>
      </c>
    </row>
    <row r="869" spans="3:9" ht="23.4" customHeight="1">
      <c r="C869" s="281">
        <v>4</v>
      </c>
      <c r="D869" s="182" t="s">
        <v>19</v>
      </c>
      <c r="E869" s="176" t="s">
        <v>6</v>
      </c>
      <c r="F869" s="309">
        <v>1.1000000000000001E-3</v>
      </c>
      <c r="G869" s="283">
        <f>VLOOKUP(D869,upahbahan,3,FALSE)</f>
        <v>160000</v>
      </c>
      <c r="H869" s="284">
        <f t="shared" si="85"/>
        <v>176</v>
      </c>
    </row>
    <row r="870" spans="3:9" ht="23.4" customHeight="1">
      <c r="C870" s="66" t="s">
        <v>1208</v>
      </c>
      <c r="D870" s="67"/>
      <c r="E870" s="67"/>
      <c r="F870" s="142"/>
      <c r="G870" s="153"/>
      <c r="H870" s="284">
        <f>SUM(H866:H869)</f>
        <v>11836.5</v>
      </c>
      <c r="I870" s="320"/>
    </row>
    <row r="871" spans="3:9" ht="23.4" customHeight="1">
      <c r="C871" s="290" t="s">
        <v>1209</v>
      </c>
      <c r="D871" s="182" t="s">
        <v>1210</v>
      </c>
      <c r="E871" s="70"/>
      <c r="F871" s="70"/>
      <c r="G871" s="70"/>
      <c r="H871" s="71"/>
    </row>
    <row r="872" spans="3:9" ht="23.4" customHeight="1">
      <c r="C872" s="310" t="s">
        <v>1203</v>
      </c>
      <c r="D872" s="285" t="s">
        <v>476</v>
      </c>
      <c r="E872" s="176" t="s">
        <v>44</v>
      </c>
      <c r="F872" s="309">
        <v>2.625</v>
      </c>
      <c r="G872" s="283">
        <f>VLOOKUP(D872,upahbahan,3,FALSE)</f>
        <v>3000</v>
      </c>
      <c r="H872" s="284">
        <f t="shared" ref="H872:H875" si="86">F872*G872</f>
        <v>7875</v>
      </c>
    </row>
    <row r="873" spans="3:9" ht="23.4" customHeight="1">
      <c r="C873" s="310" t="s">
        <v>1204</v>
      </c>
      <c r="D873" s="182" t="s">
        <v>2332</v>
      </c>
      <c r="E873" s="176" t="s">
        <v>65</v>
      </c>
      <c r="F873" s="282">
        <v>1.704</v>
      </c>
      <c r="G873" s="283">
        <f>VLOOKUP(D873,upahbahan,3,FALSE)</f>
        <v>1530</v>
      </c>
      <c r="H873" s="284">
        <f t="shared" si="86"/>
        <v>2607.12</v>
      </c>
    </row>
    <row r="874" spans="3:9" ht="23.4" customHeight="1">
      <c r="C874" s="310" t="s">
        <v>1205</v>
      </c>
      <c r="D874" s="182" t="s">
        <v>562</v>
      </c>
      <c r="E874" s="176" t="s">
        <v>65</v>
      </c>
      <c r="F874" s="282">
        <v>0.188</v>
      </c>
      <c r="G874" s="283">
        <f>VLOOKUP(D874,upahbahan,3,FALSE)</f>
        <v>18000</v>
      </c>
      <c r="H874" s="284">
        <f t="shared" si="86"/>
        <v>3384</v>
      </c>
    </row>
    <row r="875" spans="3:9" ht="23.4" customHeight="1">
      <c r="C875" s="310" t="s">
        <v>1206</v>
      </c>
      <c r="D875" s="285" t="s">
        <v>85</v>
      </c>
      <c r="E875" s="176" t="s">
        <v>42</v>
      </c>
      <c r="F875" s="282">
        <v>3.0000000000000001E-3</v>
      </c>
      <c r="G875" s="283">
        <f>VLOOKUP(D875,upahbahan,3,FALSE)</f>
        <v>310500</v>
      </c>
      <c r="H875" s="284">
        <f t="shared" si="86"/>
        <v>931.5</v>
      </c>
    </row>
    <row r="876" spans="3:9" ht="23.4" customHeight="1">
      <c r="C876" s="66" t="s">
        <v>1214</v>
      </c>
      <c r="D876" s="67"/>
      <c r="E876" s="67"/>
      <c r="F876" s="67"/>
      <c r="G876" s="69"/>
      <c r="H876" s="284">
        <f>SUM(H872:H875)</f>
        <v>14797.619999999999</v>
      </c>
    </row>
    <row r="877" spans="3:9" ht="23.4" customHeight="1">
      <c r="C877" s="321" t="s">
        <v>1215</v>
      </c>
      <c r="D877" s="182" t="s">
        <v>1216</v>
      </c>
      <c r="E877" s="70"/>
      <c r="F877" s="70"/>
      <c r="G877" s="70"/>
      <c r="H877" s="71"/>
    </row>
    <row r="878" spans="3:9" ht="23.4" customHeight="1">
      <c r="C878" s="66" t="s">
        <v>1217</v>
      </c>
      <c r="D878" s="67"/>
      <c r="E878" s="67"/>
      <c r="F878" s="67"/>
      <c r="G878" s="69"/>
      <c r="H878" s="292">
        <v>0</v>
      </c>
    </row>
    <row r="879" spans="3:9" ht="23.4" customHeight="1">
      <c r="C879" s="293" t="s">
        <v>1218</v>
      </c>
      <c r="D879" s="294" t="s">
        <v>1219</v>
      </c>
      <c r="E879" s="295"/>
      <c r="F879" s="295"/>
      <c r="G879" s="296"/>
      <c r="H879" s="284">
        <f>H878+H876+H870</f>
        <v>26634.12</v>
      </c>
    </row>
    <row r="880" spans="3:9" ht="23.4" customHeight="1">
      <c r="C880" s="293" t="s">
        <v>1220</v>
      </c>
      <c r="D880" s="294" t="s">
        <v>1321</v>
      </c>
      <c r="E880" s="295"/>
      <c r="F880" s="296"/>
      <c r="G880" s="298">
        <f>$M$8</f>
        <v>0.1</v>
      </c>
      <c r="H880" s="284">
        <f>H879*G880</f>
        <v>2663.4120000000003</v>
      </c>
    </row>
    <row r="881" spans="3:9" ht="23.4" customHeight="1" thickBot="1">
      <c r="C881" s="299" t="s">
        <v>1221</v>
      </c>
      <c r="D881" s="300" t="s">
        <v>1222</v>
      </c>
      <c r="E881" s="301"/>
      <c r="F881" s="301"/>
      <c r="G881" s="302"/>
      <c r="H881" s="303">
        <f>SUM(H879:H880)</f>
        <v>29297.531999999999</v>
      </c>
    </row>
    <row r="882" spans="3:9" ht="23.4" customHeight="1" thickTop="1">
      <c r="C882" s="289"/>
      <c r="D882" s="297"/>
      <c r="E882" s="297"/>
      <c r="F882" s="297"/>
      <c r="G882" s="297"/>
      <c r="H882" s="139"/>
    </row>
    <row r="883" spans="3:9" ht="23.4" customHeight="1" thickBot="1">
      <c r="C883" s="47" t="s">
        <v>2917</v>
      </c>
      <c r="D883" s="485" t="s">
        <v>1436</v>
      </c>
      <c r="E883" s="485"/>
      <c r="F883" s="485"/>
      <c r="G883" s="485"/>
      <c r="H883" s="485"/>
      <c r="I883" s="120">
        <f>ROUNDDOWN(H901,-2)</f>
        <v>29200</v>
      </c>
    </row>
    <row r="884" spans="3:9" ht="23.4" customHeight="1" thickTop="1">
      <c r="C884" s="51" t="s">
        <v>1195</v>
      </c>
      <c r="D884" s="52" t="s">
        <v>1196</v>
      </c>
      <c r="E884" s="52" t="s">
        <v>1197</v>
      </c>
      <c r="F884" s="52" t="s">
        <v>1198</v>
      </c>
      <c r="G884" s="52" t="s">
        <v>1199</v>
      </c>
      <c r="H884" s="53" t="s">
        <v>1200</v>
      </c>
    </row>
    <row r="885" spans="3:9" ht="23.4" customHeight="1">
      <c r="C885" s="290" t="s">
        <v>1201</v>
      </c>
      <c r="D885" s="182" t="s">
        <v>1202</v>
      </c>
      <c r="E885" s="70"/>
      <c r="F885" s="70"/>
      <c r="G885" s="70"/>
      <c r="H885" s="71"/>
    </row>
    <row r="886" spans="3:9" ht="23.4" customHeight="1">
      <c r="C886" s="281">
        <v>1</v>
      </c>
      <c r="D886" s="182" t="s">
        <v>5</v>
      </c>
      <c r="E886" s="176" t="s">
        <v>6</v>
      </c>
      <c r="F886" s="309">
        <v>7.1400000000000005E-2</v>
      </c>
      <c r="G886" s="283">
        <f>VLOOKUP(D886,upahbahan,3,FALSE)</f>
        <v>100000</v>
      </c>
      <c r="H886" s="284">
        <f t="shared" ref="H886:H889" si="87">F886*G886</f>
        <v>7140.0000000000009</v>
      </c>
    </row>
    <row r="887" spans="3:9" ht="23.4" customHeight="1">
      <c r="C887" s="281">
        <v>2</v>
      </c>
      <c r="D887" s="182" t="s">
        <v>7</v>
      </c>
      <c r="E887" s="176" t="s">
        <v>6</v>
      </c>
      <c r="F887" s="309">
        <v>3.5700000000000003E-2</v>
      </c>
      <c r="G887" s="283">
        <f>VLOOKUP(D887,upahbahan,3,FALSE)</f>
        <v>135000</v>
      </c>
      <c r="H887" s="284">
        <f t="shared" si="87"/>
        <v>4819.5</v>
      </c>
    </row>
    <row r="888" spans="3:9" ht="23.4" customHeight="1">
      <c r="C888" s="281">
        <v>3</v>
      </c>
      <c r="D888" s="182" t="s">
        <v>18</v>
      </c>
      <c r="E888" s="176" t="s">
        <v>6</v>
      </c>
      <c r="F888" s="309">
        <v>3.5999999999999999E-3</v>
      </c>
      <c r="G888" s="283">
        <f>VLOOKUP(D888,upahbahan,3,FALSE)</f>
        <v>150000</v>
      </c>
      <c r="H888" s="284">
        <f t="shared" si="87"/>
        <v>540</v>
      </c>
    </row>
    <row r="889" spans="3:9" ht="23.4" customHeight="1">
      <c r="C889" s="281">
        <v>4</v>
      </c>
      <c r="D889" s="182" t="s">
        <v>19</v>
      </c>
      <c r="E889" s="176" t="s">
        <v>6</v>
      </c>
      <c r="F889" s="309">
        <v>1.1999999999999999E-3</v>
      </c>
      <c r="G889" s="283">
        <f>VLOOKUP(D889,upahbahan,3,FALSE)</f>
        <v>160000</v>
      </c>
      <c r="H889" s="284">
        <f t="shared" si="87"/>
        <v>191.99999999999997</v>
      </c>
    </row>
    <row r="890" spans="3:9" ht="23.4" customHeight="1">
      <c r="C890" s="66" t="s">
        <v>1208</v>
      </c>
      <c r="D890" s="67"/>
      <c r="E890" s="67"/>
      <c r="F890" s="142"/>
      <c r="G890" s="153"/>
      <c r="H890" s="284">
        <f>SUM(H886:H889)</f>
        <v>12691.5</v>
      </c>
      <c r="I890" s="320"/>
    </row>
    <row r="891" spans="3:9" ht="23.4" customHeight="1">
      <c r="C891" s="290" t="s">
        <v>1209</v>
      </c>
      <c r="D891" s="182" t="s">
        <v>1210</v>
      </c>
      <c r="E891" s="70"/>
      <c r="F891" s="70"/>
      <c r="G891" s="70"/>
      <c r="H891" s="71"/>
    </row>
    <row r="892" spans="3:9" ht="23.4" customHeight="1">
      <c r="C892" s="310" t="s">
        <v>1203</v>
      </c>
      <c r="D892" s="285" t="s">
        <v>477</v>
      </c>
      <c r="E892" s="176" t="s">
        <v>44</v>
      </c>
      <c r="F892" s="282">
        <v>1.75</v>
      </c>
      <c r="G892" s="283">
        <f>VLOOKUP(D892,upahbahan,3,FALSE)</f>
        <v>4000</v>
      </c>
      <c r="H892" s="284">
        <f t="shared" ref="H892:H895" si="88">F892*G892</f>
        <v>7000</v>
      </c>
    </row>
    <row r="893" spans="3:9" ht="23.4" customHeight="1">
      <c r="C893" s="310" t="s">
        <v>1204</v>
      </c>
      <c r="D893" s="182" t="s">
        <v>2332</v>
      </c>
      <c r="E893" s="176" t="s">
        <v>65</v>
      </c>
      <c r="F893" s="282">
        <v>1.704</v>
      </c>
      <c r="G893" s="283">
        <f>VLOOKUP(D893,upahbahan,3,FALSE)</f>
        <v>1530</v>
      </c>
      <c r="H893" s="284">
        <f t="shared" si="88"/>
        <v>2607.12</v>
      </c>
    </row>
    <row r="894" spans="3:9" ht="23.4" customHeight="1">
      <c r="C894" s="310" t="s">
        <v>1205</v>
      </c>
      <c r="D894" s="182" t="s">
        <v>562</v>
      </c>
      <c r="E894" s="176" t="s">
        <v>65</v>
      </c>
      <c r="F894" s="282">
        <v>0.188</v>
      </c>
      <c r="G894" s="283">
        <f>VLOOKUP(D894,upahbahan,3,FALSE)</f>
        <v>18000</v>
      </c>
      <c r="H894" s="284">
        <f t="shared" si="88"/>
        <v>3384</v>
      </c>
    </row>
    <row r="895" spans="3:9" ht="23.4" customHeight="1">
      <c r="C895" s="310" t="s">
        <v>1206</v>
      </c>
      <c r="D895" s="285" t="s">
        <v>85</v>
      </c>
      <c r="E895" s="176" t="s">
        <v>42</v>
      </c>
      <c r="F895" s="282">
        <v>3.0000000000000001E-3</v>
      </c>
      <c r="G895" s="283">
        <f>VLOOKUP(D895,upahbahan,3,FALSE)</f>
        <v>310500</v>
      </c>
      <c r="H895" s="284">
        <f t="shared" si="88"/>
        <v>931.5</v>
      </c>
    </row>
    <row r="896" spans="3:9" ht="23.4" customHeight="1">
      <c r="C896" s="66" t="s">
        <v>1214</v>
      </c>
      <c r="D896" s="67"/>
      <c r="E896" s="67"/>
      <c r="F896" s="67"/>
      <c r="G896" s="69"/>
      <c r="H896" s="284">
        <f>SUM(H892:H895)</f>
        <v>13922.619999999999</v>
      </c>
    </row>
    <row r="897" spans="3:9" ht="23.4" customHeight="1">
      <c r="C897" s="321" t="s">
        <v>1215</v>
      </c>
      <c r="D897" s="182" t="s">
        <v>1216</v>
      </c>
      <c r="E897" s="70"/>
      <c r="F897" s="70"/>
      <c r="G897" s="70"/>
      <c r="H897" s="71"/>
    </row>
    <row r="898" spans="3:9" ht="23.4" customHeight="1">
      <c r="C898" s="66" t="s">
        <v>1217</v>
      </c>
      <c r="D898" s="67"/>
      <c r="E898" s="67"/>
      <c r="F898" s="67"/>
      <c r="G898" s="69"/>
      <c r="H898" s="292">
        <v>0</v>
      </c>
    </row>
    <row r="899" spans="3:9" ht="23.4" customHeight="1">
      <c r="C899" s="293" t="s">
        <v>1218</v>
      </c>
      <c r="D899" s="294" t="s">
        <v>1219</v>
      </c>
      <c r="E899" s="295"/>
      <c r="F899" s="295"/>
      <c r="G899" s="296"/>
      <c r="H899" s="284">
        <f>H898+H896+H890</f>
        <v>26614.12</v>
      </c>
    </row>
    <row r="900" spans="3:9" ht="23.4" customHeight="1">
      <c r="C900" s="293" t="s">
        <v>1220</v>
      </c>
      <c r="D900" s="294" t="s">
        <v>1321</v>
      </c>
      <c r="E900" s="295"/>
      <c r="F900" s="296"/>
      <c r="G900" s="298">
        <f>$M$8</f>
        <v>0.1</v>
      </c>
      <c r="H900" s="284">
        <f>H899*G900</f>
        <v>2661.4120000000003</v>
      </c>
    </row>
    <row r="901" spans="3:9" ht="23.4" customHeight="1" thickBot="1">
      <c r="C901" s="299" t="s">
        <v>1221</v>
      </c>
      <c r="D901" s="300" t="s">
        <v>1222</v>
      </c>
      <c r="E901" s="301"/>
      <c r="F901" s="301"/>
      <c r="G901" s="302"/>
      <c r="H901" s="303">
        <f>SUM(H899:H900)</f>
        <v>29275.531999999999</v>
      </c>
    </row>
    <row r="902" spans="3:9" ht="14.4" thickTop="1">
      <c r="C902" s="289"/>
      <c r="D902" s="297"/>
      <c r="E902" s="297"/>
      <c r="F902" s="297"/>
      <c r="G902" s="297"/>
      <c r="H902" s="139"/>
    </row>
    <row r="903" spans="3:9" ht="14.4" thickBot="1">
      <c r="C903" s="47" t="s">
        <v>2918</v>
      </c>
      <c r="D903" s="485" t="s">
        <v>1437</v>
      </c>
      <c r="E903" s="275"/>
      <c r="F903" s="275"/>
      <c r="G903" s="275"/>
      <c r="H903" s="275"/>
      <c r="I903" s="120">
        <f>ROUNDDOWN(H921,-2)</f>
        <v>29400</v>
      </c>
    </row>
    <row r="904" spans="3:9" ht="28.2" thickTop="1">
      <c r="C904" s="51" t="s">
        <v>1195</v>
      </c>
      <c r="D904" s="52" t="s">
        <v>1196</v>
      </c>
      <c r="E904" s="52" t="s">
        <v>1197</v>
      </c>
      <c r="F904" s="52" t="s">
        <v>1198</v>
      </c>
      <c r="G904" s="52" t="s">
        <v>1199</v>
      </c>
      <c r="H904" s="53" t="s">
        <v>1200</v>
      </c>
    </row>
    <row r="905" spans="3:9" ht="21" customHeight="1">
      <c r="C905" s="290" t="s">
        <v>1201</v>
      </c>
      <c r="D905" s="182" t="s">
        <v>1202</v>
      </c>
      <c r="E905" s="70"/>
      <c r="F905" s="70"/>
      <c r="G905" s="70"/>
      <c r="H905" s="71"/>
    </row>
    <row r="906" spans="3:9" ht="21" customHeight="1">
      <c r="C906" s="281">
        <v>1</v>
      </c>
      <c r="D906" s="182" t="s">
        <v>5</v>
      </c>
      <c r="E906" s="176" t="s">
        <v>6</v>
      </c>
      <c r="F906" s="315">
        <v>6.25E-2</v>
      </c>
      <c r="G906" s="283">
        <f>VLOOKUP(D906,upahbahan,3,FALSE)</f>
        <v>100000</v>
      </c>
      <c r="H906" s="284">
        <f t="shared" ref="H906:H909" si="89">F906*G906</f>
        <v>6250</v>
      </c>
    </row>
    <row r="907" spans="3:9" ht="21" customHeight="1">
      <c r="C907" s="281">
        <v>2</v>
      </c>
      <c r="D907" s="182" t="s">
        <v>7</v>
      </c>
      <c r="E907" s="176" t="s">
        <v>6</v>
      </c>
      <c r="F907" s="315">
        <v>3.1300000000000001E-2</v>
      </c>
      <c r="G907" s="283">
        <f>VLOOKUP(D907,upahbahan,3,FALSE)</f>
        <v>135000</v>
      </c>
      <c r="H907" s="284">
        <f t="shared" si="89"/>
        <v>4225.5</v>
      </c>
    </row>
    <row r="908" spans="3:9" ht="21" customHeight="1">
      <c r="C908" s="281">
        <v>3</v>
      </c>
      <c r="D908" s="182" t="s">
        <v>18</v>
      </c>
      <c r="E908" s="176" t="s">
        <v>6</v>
      </c>
      <c r="F908" s="315">
        <v>3.0999999999999999E-3</v>
      </c>
      <c r="G908" s="283">
        <f>VLOOKUP(D908,upahbahan,3,FALSE)</f>
        <v>150000</v>
      </c>
      <c r="H908" s="284">
        <f t="shared" si="89"/>
        <v>465</v>
      </c>
    </row>
    <row r="909" spans="3:9" ht="21" customHeight="1">
      <c r="C909" s="281">
        <v>4</v>
      </c>
      <c r="D909" s="182" t="s">
        <v>19</v>
      </c>
      <c r="E909" s="176" t="s">
        <v>6</v>
      </c>
      <c r="F909" s="315">
        <v>1E-3</v>
      </c>
      <c r="G909" s="283">
        <f>VLOOKUP(D909,upahbahan,3,FALSE)</f>
        <v>160000</v>
      </c>
      <c r="H909" s="284">
        <f t="shared" si="89"/>
        <v>160</v>
      </c>
    </row>
    <row r="910" spans="3:9" ht="21" customHeight="1">
      <c r="C910" s="66" t="s">
        <v>1208</v>
      </c>
      <c r="D910" s="67"/>
      <c r="E910" s="67"/>
      <c r="F910" s="142"/>
      <c r="G910" s="153"/>
      <c r="H910" s="284">
        <f>SUM(H906:H909)</f>
        <v>11100.5</v>
      </c>
      <c r="I910" s="320"/>
    </row>
    <row r="911" spans="3:9" ht="21" customHeight="1">
      <c r="C911" s="290" t="s">
        <v>1209</v>
      </c>
      <c r="D911" s="182" t="s">
        <v>1210</v>
      </c>
      <c r="E911" s="70"/>
      <c r="F911" s="70"/>
      <c r="G911" s="70"/>
      <c r="H911" s="71"/>
    </row>
    <row r="912" spans="3:9" ht="21" customHeight="1">
      <c r="C912" s="310" t="s">
        <v>1203</v>
      </c>
      <c r="D912" s="285" t="s">
        <v>478</v>
      </c>
      <c r="E912" s="176" t="s">
        <v>44</v>
      </c>
      <c r="F912" s="282">
        <v>3.5</v>
      </c>
      <c r="G912" s="283">
        <f>VLOOKUP(D912,upahbahan,3,FALSE)</f>
        <v>2500</v>
      </c>
      <c r="H912" s="284">
        <f t="shared" ref="H912:H915" si="90">F912*G912</f>
        <v>8750</v>
      </c>
    </row>
    <row r="913" spans="3:9" ht="21" customHeight="1">
      <c r="C913" s="310" t="s">
        <v>1204</v>
      </c>
      <c r="D913" s="182" t="s">
        <v>2332</v>
      </c>
      <c r="E913" s="176" t="s">
        <v>65</v>
      </c>
      <c r="F913" s="282">
        <v>1.704</v>
      </c>
      <c r="G913" s="283">
        <f>VLOOKUP(D913,upahbahan,3,FALSE)</f>
        <v>1530</v>
      </c>
      <c r="H913" s="284">
        <f t="shared" si="90"/>
        <v>2607.12</v>
      </c>
    </row>
    <row r="914" spans="3:9" ht="21" customHeight="1">
      <c r="C914" s="310" t="s">
        <v>1205</v>
      </c>
      <c r="D914" s="182" t="s">
        <v>562</v>
      </c>
      <c r="E914" s="176" t="s">
        <v>65</v>
      </c>
      <c r="F914" s="282">
        <v>0.188</v>
      </c>
      <c r="G914" s="283">
        <f>VLOOKUP(D914,upahbahan,3,FALSE)</f>
        <v>18000</v>
      </c>
      <c r="H914" s="284">
        <f t="shared" si="90"/>
        <v>3384</v>
      </c>
    </row>
    <row r="915" spans="3:9" ht="21" customHeight="1">
      <c r="C915" s="310" t="s">
        <v>1206</v>
      </c>
      <c r="D915" s="285" t="s">
        <v>85</v>
      </c>
      <c r="E915" s="176" t="s">
        <v>42</v>
      </c>
      <c r="F915" s="282">
        <v>3.0000000000000001E-3</v>
      </c>
      <c r="G915" s="283">
        <f>VLOOKUP(D915,upahbahan,3,FALSE)</f>
        <v>310500</v>
      </c>
      <c r="H915" s="284">
        <f t="shared" si="90"/>
        <v>931.5</v>
      </c>
    </row>
    <row r="916" spans="3:9" ht="21" customHeight="1">
      <c r="C916" s="66" t="s">
        <v>1214</v>
      </c>
      <c r="D916" s="67"/>
      <c r="E916" s="67"/>
      <c r="F916" s="67"/>
      <c r="G916" s="69"/>
      <c r="H916" s="284">
        <f>SUM(H912:H915)</f>
        <v>15672.619999999999</v>
      </c>
    </row>
    <row r="917" spans="3:9" ht="21" customHeight="1">
      <c r="C917" s="321" t="s">
        <v>1215</v>
      </c>
      <c r="D917" s="182" t="s">
        <v>1216</v>
      </c>
      <c r="E917" s="70"/>
      <c r="F917" s="70"/>
      <c r="G917" s="70"/>
      <c r="H917" s="71"/>
    </row>
    <row r="918" spans="3:9" ht="21" customHeight="1">
      <c r="C918" s="66" t="s">
        <v>1217</v>
      </c>
      <c r="D918" s="67"/>
      <c r="E918" s="67"/>
      <c r="F918" s="67"/>
      <c r="G918" s="69"/>
      <c r="H918" s="292">
        <v>0</v>
      </c>
    </row>
    <row r="919" spans="3:9" ht="21" customHeight="1">
      <c r="C919" s="293" t="s">
        <v>1218</v>
      </c>
      <c r="D919" s="294" t="s">
        <v>1219</v>
      </c>
      <c r="E919" s="295"/>
      <c r="F919" s="295"/>
      <c r="G919" s="296"/>
      <c r="H919" s="284">
        <f>H918+H916+H910</f>
        <v>26773.119999999999</v>
      </c>
    </row>
    <row r="920" spans="3:9" ht="21" customHeight="1">
      <c r="C920" s="293" t="s">
        <v>1220</v>
      </c>
      <c r="D920" s="294" t="s">
        <v>1321</v>
      </c>
      <c r="E920" s="295"/>
      <c r="F920" s="296"/>
      <c r="G920" s="298">
        <f>$M$8</f>
        <v>0.1</v>
      </c>
      <c r="H920" s="284">
        <f>H919*G920</f>
        <v>2677.3119999999999</v>
      </c>
    </row>
    <row r="921" spans="3:9" ht="21" customHeight="1" thickBot="1">
      <c r="C921" s="299" t="s">
        <v>1221</v>
      </c>
      <c r="D921" s="300" t="s">
        <v>1222</v>
      </c>
      <c r="E921" s="301"/>
      <c r="F921" s="301"/>
      <c r="G921" s="302"/>
      <c r="H921" s="303">
        <f>SUM(H919:H920)</f>
        <v>29450.432000000001</v>
      </c>
    </row>
    <row r="922" spans="3:9" ht="14.4" thickTop="1">
      <c r="C922" s="289"/>
      <c r="D922" s="297"/>
      <c r="E922" s="297"/>
      <c r="F922" s="297"/>
      <c r="G922" s="297"/>
      <c r="H922" s="139"/>
    </row>
    <row r="923" spans="3:9" ht="14.4" thickBot="1">
      <c r="C923" s="47" t="s">
        <v>2919</v>
      </c>
      <c r="D923" s="485" t="s">
        <v>1438</v>
      </c>
      <c r="E923" s="485"/>
      <c r="F923" s="485"/>
      <c r="G923" s="485"/>
      <c r="H923" s="485"/>
      <c r="I923" s="120">
        <f>ROUNDDOWN(H941,-2)</f>
        <v>29200</v>
      </c>
    </row>
    <row r="924" spans="3:9" ht="28.2" thickTop="1">
      <c r="C924" s="51" t="s">
        <v>1195</v>
      </c>
      <c r="D924" s="52" t="s">
        <v>1196</v>
      </c>
      <c r="E924" s="52" t="s">
        <v>1197</v>
      </c>
      <c r="F924" s="52" t="s">
        <v>1198</v>
      </c>
      <c r="G924" s="52" t="s">
        <v>1199</v>
      </c>
      <c r="H924" s="53" t="s">
        <v>1200</v>
      </c>
    </row>
    <row r="925" spans="3:9" ht="21" customHeight="1">
      <c r="C925" s="290" t="s">
        <v>1201</v>
      </c>
      <c r="D925" s="182" t="s">
        <v>1202</v>
      </c>
      <c r="E925" s="70"/>
      <c r="F925" s="70"/>
      <c r="G925" s="70"/>
      <c r="H925" s="71"/>
    </row>
    <row r="926" spans="3:9" ht="21" customHeight="1">
      <c r="C926" s="281">
        <v>1</v>
      </c>
      <c r="D926" s="182" t="s">
        <v>5</v>
      </c>
      <c r="E926" s="176" t="s">
        <v>6</v>
      </c>
      <c r="F926" s="309">
        <v>6.6699999999999995E-2</v>
      </c>
      <c r="G926" s="283">
        <f>VLOOKUP(D926,upahbahan,3,FALSE)</f>
        <v>100000</v>
      </c>
      <c r="H926" s="284">
        <f t="shared" ref="H926:H929" si="91">F926*G926</f>
        <v>6669.9999999999991</v>
      </c>
    </row>
    <row r="927" spans="3:9" ht="21" customHeight="1">
      <c r="C927" s="281">
        <v>2</v>
      </c>
      <c r="D927" s="182" t="s">
        <v>7</v>
      </c>
      <c r="E927" s="176" t="s">
        <v>6</v>
      </c>
      <c r="F927" s="309">
        <v>3.3300000000000003E-2</v>
      </c>
      <c r="G927" s="283">
        <f>VLOOKUP(D927,upahbahan,3,FALSE)</f>
        <v>135000</v>
      </c>
      <c r="H927" s="284">
        <f t="shared" si="91"/>
        <v>4495.5</v>
      </c>
    </row>
    <row r="928" spans="3:9" ht="21" customHeight="1">
      <c r="C928" s="281">
        <v>3</v>
      </c>
      <c r="D928" s="182" t="s">
        <v>18</v>
      </c>
      <c r="E928" s="176" t="s">
        <v>6</v>
      </c>
      <c r="F928" s="309">
        <v>3.3E-3</v>
      </c>
      <c r="G928" s="283">
        <f>VLOOKUP(D928,upahbahan,3,FALSE)</f>
        <v>150000</v>
      </c>
      <c r="H928" s="284">
        <f t="shared" si="91"/>
        <v>495</v>
      </c>
    </row>
    <row r="929" spans="3:9" ht="21" customHeight="1">
      <c r="C929" s="281">
        <v>4</v>
      </c>
      <c r="D929" s="182" t="s">
        <v>19</v>
      </c>
      <c r="E929" s="176" t="s">
        <v>6</v>
      </c>
      <c r="F929" s="309">
        <v>1.1000000000000001E-3</v>
      </c>
      <c r="G929" s="283">
        <f>VLOOKUP(D929,upahbahan,3,FALSE)</f>
        <v>160000</v>
      </c>
      <c r="H929" s="284">
        <f t="shared" si="91"/>
        <v>176</v>
      </c>
    </row>
    <row r="930" spans="3:9" ht="21" customHeight="1">
      <c r="C930" s="66" t="s">
        <v>1208</v>
      </c>
      <c r="D930" s="67"/>
      <c r="E930" s="67"/>
      <c r="F930" s="142"/>
      <c r="G930" s="153"/>
      <c r="H930" s="284">
        <f>SUM(H926:H929)</f>
        <v>11836.5</v>
      </c>
      <c r="I930" s="320"/>
    </row>
    <row r="931" spans="3:9" ht="21" customHeight="1">
      <c r="C931" s="290" t="s">
        <v>1209</v>
      </c>
      <c r="D931" s="182" t="s">
        <v>1210</v>
      </c>
      <c r="E931" s="70"/>
      <c r="F931" s="70"/>
      <c r="G931" s="70"/>
      <c r="H931" s="71"/>
    </row>
    <row r="932" spans="3:9" ht="21" customHeight="1">
      <c r="C932" s="310" t="s">
        <v>1203</v>
      </c>
      <c r="D932" s="285" t="s">
        <v>479</v>
      </c>
      <c r="E932" s="176" t="s">
        <v>44</v>
      </c>
      <c r="F932" s="309">
        <v>2.625</v>
      </c>
      <c r="G932" s="283">
        <f>VLOOKUP(D932,upahbahan,3,FALSE)</f>
        <v>3000</v>
      </c>
      <c r="H932" s="284">
        <f t="shared" ref="H932:H935" si="92">F932*G932</f>
        <v>7875</v>
      </c>
    </row>
    <row r="933" spans="3:9" ht="21" customHeight="1">
      <c r="C933" s="310" t="s">
        <v>1204</v>
      </c>
      <c r="D933" s="182" t="s">
        <v>2332</v>
      </c>
      <c r="E933" s="176" t="s">
        <v>65</v>
      </c>
      <c r="F933" s="282">
        <v>1.704</v>
      </c>
      <c r="G933" s="283">
        <f>VLOOKUP(D933,upahbahan,3,FALSE)</f>
        <v>1530</v>
      </c>
      <c r="H933" s="284">
        <f t="shared" si="92"/>
        <v>2607.12</v>
      </c>
    </row>
    <row r="934" spans="3:9" ht="21" customHeight="1">
      <c r="C934" s="310" t="s">
        <v>1205</v>
      </c>
      <c r="D934" s="182" t="s">
        <v>562</v>
      </c>
      <c r="E934" s="176" t="s">
        <v>65</v>
      </c>
      <c r="F934" s="282">
        <v>0.188</v>
      </c>
      <c r="G934" s="283">
        <f>VLOOKUP(D934,upahbahan,3,FALSE)</f>
        <v>18000</v>
      </c>
      <c r="H934" s="284">
        <f t="shared" si="92"/>
        <v>3384</v>
      </c>
    </row>
    <row r="935" spans="3:9" ht="21" customHeight="1">
      <c r="C935" s="310" t="s">
        <v>1206</v>
      </c>
      <c r="D935" s="285" t="s">
        <v>85</v>
      </c>
      <c r="E935" s="176" t="s">
        <v>42</v>
      </c>
      <c r="F935" s="282">
        <v>3.0000000000000001E-3</v>
      </c>
      <c r="G935" s="283">
        <f>VLOOKUP(D935,upahbahan,3,FALSE)</f>
        <v>310500</v>
      </c>
      <c r="H935" s="284">
        <f t="shared" si="92"/>
        <v>931.5</v>
      </c>
    </row>
    <row r="936" spans="3:9" ht="21" customHeight="1">
      <c r="C936" s="66" t="s">
        <v>1214</v>
      </c>
      <c r="D936" s="67"/>
      <c r="E936" s="67"/>
      <c r="F936" s="67"/>
      <c r="G936" s="69"/>
      <c r="H936" s="284">
        <f>SUM(H932:H935)</f>
        <v>14797.619999999999</v>
      </c>
    </row>
    <row r="937" spans="3:9" ht="21" customHeight="1">
      <c r="C937" s="321" t="s">
        <v>1215</v>
      </c>
      <c r="D937" s="182" t="s">
        <v>1216</v>
      </c>
      <c r="E937" s="70"/>
      <c r="F937" s="70"/>
      <c r="G937" s="70"/>
      <c r="H937" s="71"/>
    </row>
    <row r="938" spans="3:9" ht="21" customHeight="1">
      <c r="C938" s="66" t="s">
        <v>1217</v>
      </c>
      <c r="D938" s="67"/>
      <c r="E938" s="67"/>
      <c r="F938" s="67"/>
      <c r="G938" s="69"/>
      <c r="H938" s="292">
        <v>0</v>
      </c>
    </row>
    <row r="939" spans="3:9" ht="21" customHeight="1">
      <c r="C939" s="293" t="s">
        <v>1218</v>
      </c>
      <c r="D939" s="294" t="s">
        <v>1219</v>
      </c>
      <c r="E939" s="295"/>
      <c r="F939" s="295"/>
      <c r="G939" s="296"/>
      <c r="H939" s="284">
        <f>H938+H936+H930</f>
        <v>26634.12</v>
      </c>
    </row>
    <row r="940" spans="3:9" ht="21" customHeight="1">
      <c r="C940" s="293" t="s">
        <v>1220</v>
      </c>
      <c r="D940" s="294" t="s">
        <v>1321</v>
      </c>
      <c r="E940" s="295"/>
      <c r="F940" s="296"/>
      <c r="G940" s="298">
        <f>$M$8</f>
        <v>0.1</v>
      </c>
      <c r="H940" s="284">
        <f>H939*G940</f>
        <v>2663.4120000000003</v>
      </c>
    </row>
    <row r="941" spans="3:9" ht="21" customHeight="1" thickBot="1">
      <c r="C941" s="299" t="s">
        <v>1221</v>
      </c>
      <c r="D941" s="300" t="s">
        <v>1222</v>
      </c>
      <c r="E941" s="301"/>
      <c r="F941" s="301"/>
      <c r="G941" s="302"/>
      <c r="H941" s="303">
        <f>SUM(H939:H940)</f>
        <v>29297.531999999999</v>
      </c>
    </row>
    <row r="942" spans="3:9" ht="14.4" thickTop="1">
      <c r="C942" s="289"/>
      <c r="D942" s="297"/>
      <c r="E942" s="297"/>
      <c r="F942" s="297"/>
      <c r="G942" s="297"/>
      <c r="H942" s="139"/>
    </row>
    <row r="943" spans="3:9" ht="14.4" thickBot="1">
      <c r="C943" s="47" t="s">
        <v>2920</v>
      </c>
      <c r="D943" s="485" t="s">
        <v>1439</v>
      </c>
      <c r="E943" s="485"/>
      <c r="F943" s="485"/>
      <c r="G943" s="485"/>
      <c r="H943" s="485"/>
      <c r="I943" s="120">
        <f>ROUNDDOWN(H961,-2)</f>
        <v>29200</v>
      </c>
    </row>
    <row r="944" spans="3:9" ht="28.2" thickTop="1">
      <c r="C944" s="51" t="s">
        <v>1195</v>
      </c>
      <c r="D944" s="52" t="s">
        <v>1196</v>
      </c>
      <c r="E944" s="52" t="s">
        <v>1197</v>
      </c>
      <c r="F944" s="52" t="s">
        <v>1198</v>
      </c>
      <c r="G944" s="52" t="s">
        <v>1199</v>
      </c>
      <c r="H944" s="53" t="s">
        <v>1200</v>
      </c>
    </row>
    <row r="945" spans="3:9" ht="21" customHeight="1">
      <c r="C945" s="290" t="s">
        <v>1201</v>
      </c>
      <c r="D945" s="182" t="s">
        <v>1202</v>
      </c>
      <c r="E945" s="70"/>
      <c r="F945" s="70"/>
      <c r="G945" s="70"/>
      <c r="H945" s="71"/>
    </row>
    <row r="946" spans="3:9" ht="21" customHeight="1">
      <c r="C946" s="281">
        <v>1</v>
      </c>
      <c r="D946" s="182" t="s">
        <v>5</v>
      </c>
      <c r="E946" s="176" t="s">
        <v>6</v>
      </c>
      <c r="F946" s="309">
        <v>7.1400000000000005E-2</v>
      </c>
      <c r="G946" s="283">
        <f>VLOOKUP(D946,upahbahan,3,FALSE)</f>
        <v>100000</v>
      </c>
      <c r="H946" s="284">
        <f t="shared" ref="H946:H949" si="93">F946*G946</f>
        <v>7140.0000000000009</v>
      </c>
    </row>
    <row r="947" spans="3:9" ht="21" customHeight="1">
      <c r="C947" s="281">
        <v>2</v>
      </c>
      <c r="D947" s="182" t="s">
        <v>7</v>
      </c>
      <c r="E947" s="176" t="s">
        <v>6</v>
      </c>
      <c r="F947" s="309">
        <v>3.5700000000000003E-2</v>
      </c>
      <c r="G947" s="283">
        <f>VLOOKUP(D947,upahbahan,3,FALSE)</f>
        <v>135000</v>
      </c>
      <c r="H947" s="284">
        <f t="shared" si="93"/>
        <v>4819.5</v>
      </c>
    </row>
    <row r="948" spans="3:9" ht="21" customHeight="1">
      <c r="C948" s="281">
        <v>3</v>
      </c>
      <c r="D948" s="182" t="s">
        <v>18</v>
      </c>
      <c r="E948" s="176" t="s">
        <v>6</v>
      </c>
      <c r="F948" s="309">
        <v>3.5999999999999999E-3</v>
      </c>
      <c r="G948" s="283">
        <f>VLOOKUP(D948,upahbahan,3,FALSE)</f>
        <v>150000</v>
      </c>
      <c r="H948" s="284">
        <f t="shared" si="93"/>
        <v>540</v>
      </c>
    </row>
    <row r="949" spans="3:9" ht="21" customHeight="1">
      <c r="C949" s="281">
        <v>4</v>
      </c>
      <c r="D949" s="182" t="s">
        <v>19</v>
      </c>
      <c r="E949" s="176" t="s">
        <v>6</v>
      </c>
      <c r="F949" s="309">
        <v>1.1999999999999999E-3</v>
      </c>
      <c r="G949" s="283">
        <f>VLOOKUP(D949,upahbahan,3,FALSE)</f>
        <v>160000</v>
      </c>
      <c r="H949" s="284">
        <f t="shared" si="93"/>
        <v>191.99999999999997</v>
      </c>
    </row>
    <row r="950" spans="3:9" ht="21" customHeight="1">
      <c r="C950" s="66" t="s">
        <v>1208</v>
      </c>
      <c r="D950" s="67"/>
      <c r="E950" s="67"/>
      <c r="F950" s="142"/>
      <c r="G950" s="153"/>
      <c r="H950" s="284">
        <f>SUM(H946:H949)</f>
        <v>12691.5</v>
      </c>
      <c r="I950" s="320"/>
    </row>
    <row r="951" spans="3:9" ht="21" customHeight="1">
      <c r="C951" s="290" t="s">
        <v>1209</v>
      </c>
      <c r="D951" s="182" t="s">
        <v>1210</v>
      </c>
      <c r="E951" s="70"/>
      <c r="F951" s="70"/>
      <c r="G951" s="70"/>
      <c r="H951" s="71"/>
    </row>
    <row r="952" spans="3:9" ht="21" customHeight="1">
      <c r="C952" s="310" t="s">
        <v>1203</v>
      </c>
      <c r="D952" s="285" t="s">
        <v>480</v>
      </c>
      <c r="E952" s="176" t="s">
        <v>44</v>
      </c>
      <c r="F952" s="282">
        <v>1.75</v>
      </c>
      <c r="G952" s="283">
        <f>VLOOKUP(D952,upahbahan,3,FALSE)</f>
        <v>4000</v>
      </c>
      <c r="H952" s="284">
        <f t="shared" ref="H952:H955" si="94">F952*G952</f>
        <v>7000</v>
      </c>
    </row>
    <row r="953" spans="3:9" ht="21" customHeight="1">
      <c r="C953" s="310" t="s">
        <v>1204</v>
      </c>
      <c r="D953" s="182" t="s">
        <v>2332</v>
      </c>
      <c r="E953" s="176" t="s">
        <v>65</v>
      </c>
      <c r="F953" s="282">
        <v>1.704</v>
      </c>
      <c r="G953" s="283">
        <f>VLOOKUP(D953,upahbahan,3,FALSE)</f>
        <v>1530</v>
      </c>
      <c r="H953" s="284">
        <f t="shared" si="94"/>
        <v>2607.12</v>
      </c>
    </row>
    <row r="954" spans="3:9" ht="21" customHeight="1">
      <c r="C954" s="310" t="s">
        <v>1205</v>
      </c>
      <c r="D954" s="182" t="s">
        <v>562</v>
      </c>
      <c r="E954" s="176" t="s">
        <v>65</v>
      </c>
      <c r="F954" s="282">
        <v>0.188</v>
      </c>
      <c r="G954" s="283">
        <f>VLOOKUP(D954,upahbahan,3,FALSE)</f>
        <v>18000</v>
      </c>
      <c r="H954" s="284">
        <f t="shared" si="94"/>
        <v>3384</v>
      </c>
    </row>
    <row r="955" spans="3:9" ht="21" customHeight="1">
      <c r="C955" s="310" t="s">
        <v>1206</v>
      </c>
      <c r="D955" s="285" t="s">
        <v>85</v>
      </c>
      <c r="E955" s="176" t="s">
        <v>42</v>
      </c>
      <c r="F955" s="282">
        <v>3.0000000000000001E-3</v>
      </c>
      <c r="G955" s="283">
        <f>VLOOKUP(D955,upahbahan,3,FALSE)</f>
        <v>310500</v>
      </c>
      <c r="H955" s="284">
        <f t="shared" si="94"/>
        <v>931.5</v>
      </c>
    </row>
    <row r="956" spans="3:9" ht="21" customHeight="1">
      <c r="C956" s="66" t="s">
        <v>1214</v>
      </c>
      <c r="D956" s="67"/>
      <c r="E956" s="67"/>
      <c r="F956" s="67"/>
      <c r="G956" s="69"/>
      <c r="H956" s="284">
        <f>SUM(H952:H955)</f>
        <v>13922.619999999999</v>
      </c>
    </row>
    <row r="957" spans="3:9" ht="21" customHeight="1">
      <c r="C957" s="321" t="s">
        <v>1215</v>
      </c>
      <c r="D957" s="182" t="s">
        <v>1216</v>
      </c>
      <c r="E957" s="70"/>
      <c r="F957" s="70"/>
      <c r="G957" s="70"/>
      <c r="H957" s="71"/>
    </row>
    <row r="958" spans="3:9" ht="21" customHeight="1">
      <c r="C958" s="66" t="s">
        <v>1217</v>
      </c>
      <c r="D958" s="67"/>
      <c r="E958" s="67"/>
      <c r="F958" s="67"/>
      <c r="G958" s="69"/>
      <c r="H958" s="292">
        <v>0</v>
      </c>
    </row>
    <row r="959" spans="3:9" ht="21" customHeight="1">
      <c r="C959" s="293" t="s">
        <v>1218</v>
      </c>
      <c r="D959" s="294" t="s">
        <v>1219</v>
      </c>
      <c r="E959" s="295"/>
      <c r="F959" s="295"/>
      <c r="G959" s="296"/>
      <c r="H959" s="284">
        <f>H958+H956+H950</f>
        <v>26614.12</v>
      </c>
    </row>
    <row r="960" spans="3:9" ht="21" customHeight="1">
      <c r="C960" s="293" t="s">
        <v>1220</v>
      </c>
      <c r="D960" s="294" t="s">
        <v>1321</v>
      </c>
      <c r="E960" s="295"/>
      <c r="F960" s="296"/>
      <c r="G960" s="298">
        <f>$M$8</f>
        <v>0.1</v>
      </c>
      <c r="H960" s="284">
        <f>H959*G960</f>
        <v>2661.4120000000003</v>
      </c>
    </row>
    <row r="961" spans="3:9" ht="21" customHeight="1" thickBot="1">
      <c r="C961" s="299" t="s">
        <v>1221</v>
      </c>
      <c r="D961" s="300" t="s">
        <v>1222</v>
      </c>
      <c r="E961" s="301"/>
      <c r="F961" s="301"/>
      <c r="G961" s="302"/>
      <c r="H961" s="303">
        <f>SUM(H959:H960)</f>
        <v>29275.531999999999</v>
      </c>
    </row>
    <row r="962" spans="3:9" ht="14.4" thickTop="1">
      <c r="C962" s="289"/>
      <c r="D962" s="297"/>
      <c r="E962" s="297"/>
      <c r="F962" s="297"/>
      <c r="G962" s="297"/>
      <c r="H962" s="139"/>
    </row>
    <row r="963" spans="3:9">
      <c r="C963" s="289"/>
      <c r="D963" s="297"/>
      <c r="E963" s="297"/>
      <c r="F963" s="297"/>
      <c r="G963" s="297"/>
      <c r="H963" s="139"/>
    </row>
    <row r="964" spans="3:9">
      <c r="C964" s="126" t="s">
        <v>2921</v>
      </c>
      <c r="D964" s="138" t="s">
        <v>2922</v>
      </c>
      <c r="E964" s="297"/>
      <c r="F964" s="297"/>
      <c r="G964" s="297"/>
      <c r="H964" s="139"/>
    </row>
    <row r="965" spans="3:9" ht="14.4" thickBot="1">
      <c r="C965" s="47" t="s">
        <v>2923</v>
      </c>
      <c r="D965" s="485" t="s">
        <v>1440</v>
      </c>
      <c r="E965" s="485"/>
      <c r="F965" s="485"/>
      <c r="G965" s="485"/>
      <c r="H965" s="485"/>
      <c r="I965" s="120">
        <f>ROUNDDOWN(H983,-2)</f>
        <v>307400</v>
      </c>
    </row>
    <row r="966" spans="3:9" ht="28.2" thickTop="1">
      <c r="C966" s="51" t="s">
        <v>1195</v>
      </c>
      <c r="D966" s="52" t="s">
        <v>1196</v>
      </c>
      <c r="E966" s="52" t="s">
        <v>1197</v>
      </c>
      <c r="F966" s="52" t="s">
        <v>1198</v>
      </c>
      <c r="G966" s="52" t="s">
        <v>1199</v>
      </c>
      <c r="H966" s="53" t="s">
        <v>1200</v>
      </c>
    </row>
    <row r="967" spans="3:9" ht="21" customHeight="1">
      <c r="C967" s="290" t="s">
        <v>1201</v>
      </c>
      <c r="D967" s="182" t="s">
        <v>1202</v>
      </c>
      <c r="E967" s="70"/>
      <c r="F967" s="70"/>
      <c r="G967" s="70"/>
      <c r="H967" s="71"/>
    </row>
    <row r="968" spans="3:9" ht="21" customHeight="1">
      <c r="C968" s="281">
        <v>1</v>
      </c>
      <c r="D968" s="182" t="s">
        <v>5</v>
      </c>
      <c r="E968" s="176" t="s">
        <v>6</v>
      </c>
      <c r="F968" s="309">
        <v>0.33329999999999999</v>
      </c>
      <c r="G968" s="283">
        <f>VLOOKUP(D968,upahbahan,3,FALSE)</f>
        <v>100000</v>
      </c>
      <c r="H968" s="284">
        <f t="shared" ref="H968:H971" si="95">F968*G968</f>
        <v>33330</v>
      </c>
    </row>
    <row r="969" spans="3:9" ht="21" customHeight="1">
      <c r="C969" s="281">
        <v>2</v>
      </c>
      <c r="D969" s="182" t="s">
        <v>7</v>
      </c>
      <c r="E969" s="176" t="s">
        <v>6</v>
      </c>
      <c r="F969" s="309">
        <v>0.16669999999999999</v>
      </c>
      <c r="G969" s="283">
        <f>VLOOKUP(D969,upahbahan,3,FALSE)</f>
        <v>135000</v>
      </c>
      <c r="H969" s="284">
        <f t="shared" si="95"/>
        <v>22504.5</v>
      </c>
    </row>
    <row r="970" spans="3:9" ht="21" customHeight="1">
      <c r="C970" s="281">
        <v>3</v>
      </c>
      <c r="D970" s="182" t="s">
        <v>18</v>
      </c>
      <c r="E970" s="176" t="s">
        <v>6</v>
      </c>
      <c r="F970" s="309">
        <v>1.67E-2</v>
      </c>
      <c r="G970" s="283">
        <f>VLOOKUP(D970,upahbahan,3,FALSE)</f>
        <v>150000</v>
      </c>
      <c r="H970" s="284">
        <f t="shared" si="95"/>
        <v>2505</v>
      </c>
    </row>
    <row r="971" spans="3:9" ht="21" customHeight="1">
      <c r="C971" s="281">
        <v>4</v>
      </c>
      <c r="D971" s="182" t="s">
        <v>19</v>
      </c>
      <c r="E971" s="176" t="s">
        <v>6</v>
      </c>
      <c r="F971" s="309">
        <v>5.5999999999999999E-3</v>
      </c>
      <c r="G971" s="283">
        <f>VLOOKUP(D971,upahbahan,3,FALSE)</f>
        <v>160000</v>
      </c>
      <c r="H971" s="284">
        <f t="shared" si="95"/>
        <v>896</v>
      </c>
    </row>
    <row r="972" spans="3:9" ht="21" customHeight="1">
      <c r="C972" s="66" t="s">
        <v>1208</v>
      </c>
      <c r="D972" s="67"/>
      <c r="E972" s="67"/>
      <c r="F972" s="142"/>
      <c r="G972" s="153"/>
      <c r="H972" s="284">
        <f>SUM(H968:H971)</f>
        <v>59235.5</v>
      </c>
      <c r="I972" s="320"/>
    </row>
    <row r="973" spans="3:9" ht="21" customHeight="1">
      <c r="C973" s="290" t="s">
        <v>1209</v>
      </c>
      <c r="D973" s="182" t="s">
        <v>1210</v>
      </c>
      <c r="E973" s="70"/>
      <c r="F973" s="70"/>
      <c r="G973" s="70"/>
      <c r="H973" s="71"/>
    </row>
    <row r="974" spans="3:9" ht="21" customHeight="1">
      <c r="C974" s="310" t="s">
        <v>1203</v>
      </c>
      <c r="D974" s="285" t="s">
        <v>434</v>
      </c>
      <c r="E974" s="176" t="s">
        <v>44</v>
      </c>
      <c r="F974" s="309">
        <v>164.06299999999999</v>
      </c>
      <c r="G974" s="283">
        <f>VLOOKUP(D974,upahbahan,3,FALSE)</f>
        <v>1000</v>
      </c>
      <c r="H974" s="284">
        <f t="shared" ref="H974:H977" si="96">F974*G974</f>
        <v>164063</v>
      </c>
    </row>
    <row r="975" spans="3:9" ht="21" customHeight="1">
      <c r="C975" s="310" t="s">
        <v>1204</v>
      </c>
      <c r="D975" s="182" t="s">
        <v>2332</v>
      </c>
      <c r="E975" s="176" t="s">
        <v>65</v>
      </c>
      <c r="F975" s="282">
        <v>13.632</v>
      </c>
      <c r="G975" s="283">
        <f>VLOOKUP(D975,upahbahan,3,FALSE)</f>
        <v>1530</v>
      </c>
      <c r="H975" s="284">
        <f t="shared" si="96"/>
        <v>20856.96</v>
      </c>
    </row>
    <row r="976" spans="3:9" ht="21" customHeight="1">
      <c r="C976" s="310" t="s">
        <v>1205</v>
      </c>
      <c r="D976" s="182" t="s">
        <v>562</v>
      </c>
      <c r="E976" s="176" t="s">
        <v>65</v>
      </c>
      <c r="F976" s="282">
        <v>1.5</v>
      </c>
      <c r="G976" s="283">
        <f>VLOOKUP(D976,upahbahan,3,FALSE)</f>
        <v>18000</v>
      </c>
      <c r="H976" s="284">
        <f t="shared" si="96"/>
        <v>27000</v>
      </c>
    </row>
    <row r="977" spans="3:9" ht="21" customHeight="1">
      <c r="C977" s="310" t="s">
        <v>1206</v>
      </c>
      <c r="D977" s="285" t="s">
        <v>85</v>
      </c>
      <c r="E977" s="176" t="s">
        <v>42</v>
      </c>
      <c r="F977" s="282">
        <v>2.7E-2</v>
      </c>
      <c r="G977" s="283">
        <f>VLOOKUP(D977,upahbahan,3,FALSE)</f>
        <v>310500</v>
      </c>
      <c r="H977" s="284">
        <f t="shared" si="96"/>
        <v>8383.5</v>
      </c>
    </row>
    <row r="978" spans="3:9" ht="21" customHeight="1">
      <c r="C978" s="66" t="s">
        <v>1214</v>
      </c>
      <c r="D978" s="67"/>
      <c r="E978" s="67"/>
      <c r="F978" s="67"/>
      <c r="G978" s="69"/>
      <c r="H978" s="284">
        <f>SUM(H974:H977)</f>
        <v>220303.46</v>
      </c>
    </row>
    <row r="979" spans="3:9" ht="21" customHeight="1">
      <c r="C979" s="321" t="s">
        <v>1215</v>
      </c>
      <c r="D979" s="182" t="s">
        <v>1216</v>
      </c>
      <c r="E979" s="70"/>
      <c r="F979" s="70"/>
      <c r="G979" s="70"/>
      <c r="H979" s="71"/>
    </row>
    <row r="980" spans="3:9" ht="21" customHeight="1">
      <c r="C980" s="66" t="s">
        <v>1217</v>
      </c>
      <c r="D980" s="67"/>
      <c r="E980" s="67"/>
      <c r="F980" s="67"/>
      <c r="G980" s="69"/>
      <c r="H980" s="292">
        <v>0</v>
      </c>
    </row>
    <row r="981" spans="3:9" ht="21" customHeight="1">
      <c r="C981" s="293" t="s">
        <v>1218</v>
      </c>
      <c r="D981" s="294" t="s">
        <v>1219</v>
      </c>
      <c r="E981" s="295"/>
      <c r="F981" s="295"/>
      <c r="G981" s="296"/>
      <c r="H981" s="284">
        <f>H980+H978+H972</f>
        <v>279538.95999999996</v>
      </c>
    </row>
    <row r="982" spans="3:9" ht="21" customHeight="1">
      <c r="C982" s="293" t="s">
        <v>1220</v>
      </c>
      <c r="D982" s="294" t="s">
        <v>1321</v>
      </c>
      <c r="E982" s="295"/>
      <c r="F982" s="296"/>
      <c r="G982" s="298">
        <f>$M$8</f>
        <v>0.1</v>
      </c>
      <c r="H982" s="284">
        <f>H981*G982</f>
        <v>27953.895999999997</v>
      </c>
    </row>
    <row r="983" spans="3:9" ht="21" customHeight="1" thickBot="1">
      <c r="C983" s="299" t="s">
        <v>1221</v>
      </c>
      <c r="D983" s="300" t="s">
        <v>1222</v>
      </c>
      <c r="E983" s="301"/>
      <c r="F983" s="301"/>
      <c r="G983" s="302"/>
      <c r="H983" s="303">
        <f>SUM(H981:H982)</f>
        <v>307492.85599999997</v>
      </c>
    </row>
    <row r="984" spans="3:9" ht="14.4" thickTop="1">
      <c r="C984" s="289"/>
      <c r="D984" s="297"/>
      <c r="E984" s="297"/>
      <c r="F984" s="297"/>
      <c r="G984" s="297"/>
      <c r="H984" s="139"/>
    </row>
    <row r="985" spans="3:9" ht="14.4" thickBot="1">
      <c r="C985" s="47" t="s">
        <v>2924</v>
      </c>
      <c r="D985" s="485" t="s">
        <v>1441</v>
      </c>
      <c r="E985" s="485"/>
      <c r="F985" s="485"/>
      <c r="G985" s="485"/>
      <c r="H985" s="485"/>
      <c r="I985" s="120">
        <f>ROUNDDOWN(H1003,-2)</f>
        <v>300200</v>
      </c>
    </row>
    <row r="986" spans="3:9" ht="28.2" thickTop="1">
      <c r="C986" s="51" t="s">
        <v>1195</v>
      </c>
      <c r="D986" s="52" t="s">
        <v>1196</v>
      </c>
      <c r="E986" s="52" t="s">
        <v>1197</v>
      </c>
      <c r="F986" s="52" t="s">
        <v>1198</v>
      </c>
      <c r="G986" s="52" t="s">
        <v>1199</v>
      </c>
      <c r="H986" s="53" t="s">
        <v>1200</v>
      </c>
    </row>
    <row r="987" spans="3:9" ht="21" customHeight="1">
      <c r="C987" s="290" t="s">
        <v>1201</v>
      </c>
      <c r="D987" s="182" t="s">
        <v>1202</v>
      </c>
      <c r="E987" s="70"/>
      <c r="F987" s="70"/>
      <c r="G987" s="70"/>
      <c r="H987" s="71"/>
    </row>
    <row r="988" spans="3:9" ht="21" customHeight="1">
      <c r="C988" s="281">
        <v>1</v>
      </c>
      <c r="D988" s="182" t="s">
        <v>5</v>
      </c>
      <c r="E988" s="176" t="s">
        <v>6</v>
      </c>
      <c r="F988" s="309">
        <v>0.33329999999999999</v>
      </c>
      <c r="G988" s="283">
        <f>VLOOKUP(D988,upahbahan,3,FALSE)</f>
        <v>100000</v>
      </c>
      <c r="H988" s="284">
        <f t="shared" ref="H988:H991" si="97">F988*G988</f>
        <v>33330</v>
      </c>
    </row>
    <row r="989" spans="3:9" ht="21" customHeight="1">
      <c r="C989" s="281">
        <v>2</v>
      </c>
      <c r="D989" s="182" t="s">
        <v>7</v>
      </c>
      <c r="E989" s="176" t="s">
        <v>6</v>
      </c>
      <c r="F989" s="309">
        <v>0.16669999999999999</v>
      </c>
      <c r="G989" s="283">
        <f>VLOOKUP(D989,upahbahan,3,FALSE)</f>
        <v>135000</v>
      </c>
      <c r="H989" s="284">
        <f t="shared" si="97"/>
        <v>22504.5</v>
      </c>
    </row>
    <row r="990" spans="3:9" ht="21" customHeight="1">
      <c r="C990" s="281">
        <v>3</v>
      </c>
      <c r="D990" s="182" t="s">
        <v>18</v>
      </c>
      <c r="E990" s="176" t="s">
        <v>6</v>
      </c>
      <c r="F990" s="309">
        <v>1.67E-2</v>
      </c>
      <c r="G990" s="283">
        <f>VLOOKUP(D990,upahbahan,3,FALSE)</f>
        <v>150000</v>
      </c>
      <c r="H990" s="284">
        <f t="shared" si="97"/>
        <v>2505</v>
      </c>
    </row>
    <row r="991" spans="3:9" ht="21" customHeight="1">
      <c r="C991" s="281">
        <v>4</v>
      </c>
      <c r="D991" s="182" t="s">
        <v>19</v>
      </c>
      <c r="E991" s="176" t="s">
        <v>6</v>
      </c>
      <c r="F991" s="309">
        <v>5.5999999999999999E-3</v>
      </c>
      <c r="G991" s="283">
        <f>VLOOKUP(D991,upahbahan,3,FALSE)</f>
        <v>160000</v>
      </c>
      <c r="H991" s="284">
        <f t="shared" si="97"/>
        <v>896</v>
      </c>
    </row>
    <row r="992" spans="3:9" ht="21" customHeight="1">
      <c r="C992" s="66" t="s">
        <v>1208</v>
      </c>
      <c r="D992" s="67"/>
      <c r="E992" s="67"/>
      <c r="F992" s="142"/>
      <c r="G992" s="153"/>
      <c r="H992" s="284">
        <f>SUM(H988:H991)</f>
        <v>59235.5</v>
      </c>
      <c r="I992" s="320"/>
    </row>
    <row r="993" spans="3:9" ht="21" customHeight="1">
      <c r="C993" s="290" t="s">
        <v>1209</v>
      </c>
      <c r="D993" s="182" t="s">
        <v>1210</v>
      </c>
      <c r="E993" s="70"/>
      <c r="F993" s="70"/>
      <c r="G993" s="70"/>
      <c r="H993" s="71"/>
    </row>
    <row r="994" spans="3:9" ht="21" customHeight="1">
      <c r="C994" s="310" t="s">
        <v>1203</v>
      </c>
      <c r="D994" s="285" t="s">
        <v>430</v>
      </c>
      <c r="E994" s="176" t="s">
        <v>44</v>
      </c>
      <c r="F994" s="327">
        <v>105</v>
      </c>
      <c r="G994" s="283">
        <f>VLOOKUP(D994,upahbahan,3,FALSE)</f>
        <v>1500</v>
      </c>
      <c r="H994" s="284">
        <f t="shared" ref="H994:H997" si="98">F994*G994</f>
        <v>157500</v>
      </c>
    </row>
    <row r="995" spans="3:9" ht="21" customHeight="1">
      <c r="C995" s="310" t="s">
        <v>1204</v>
      </c>
      <c r="D995" s="182" t="s">
        <v>2332</v>
      </c>
      <c r="E995" s="176" t="s">
        <v>65</v>
      </c>
      <c r="F995" s="282">
        <v>13.632</v>
      </c>
      <c r="G995" s="283">
        <f>VLOOKUP(D995,upahbahan,3,FALSE)</f>
        <v>1530</v>
      </c>
      <c r="H995" s="284">
        <f t="shared" si="98"/>
        <v>20856.96</v>
      </c>
    </row>
    <row r="996" spans="3:9" ht="21" customHeight="1">
      <c r="C996" s="310" t="s">
        <v>1205</v>
      </c>
      <c r="D996" s="182" t="s">
        <v>562</v>
      </c>
      <c r="E996" s="176" t="s">
        <v>65</v>
      </c>
      <c r="F996" s="282">
        <v>1.5</v>
      </c>
      <c r="G996" s="283">
        <f>VLOOKUP(D996,upahbahan,3,FALSE)</f>
        <v>18000</v>
      </c>
      <c r="H996" s="284">
        <f t="shared" si="98"/>
        <v>27000</v>
      </c>
    </row>
    <row r="997" spans="3:9" ht="21" customHeight="1">
      <c r="C997" s="310" t="s">
        <v>1206</v>
      </c>
      <c r="D997" s="285" t="s">
        <v>85</v>
      </c>
      <c r="E997" s="176" t="s">
        <v>42</v>
      </c>
      <c r="F997" s="282">
        <v>2.7E-2</v>
      </c>
      <c r="G997" s="283">
        <f>VLOOKUP(D997,upahbahan,3,FALSE)</f>
        <v>310500</v>
      </c>
      <c r="H997" s="284">
        <f t="shared" si="98"/>
        <v>8383.5</v>
      </c>
    </row>
    <row r="998" spans="3:9" ht="21" customHeight="1">
      <c r="C998" s="66" t="s">
        <v>1214</v>
      </c>
      <c r="D998" s="67"/>
      <c r="E998" s="67"/>
      <c r="F998" s="67"/>
      <c r="G998" s="69"/>
      <c r="H998" s="284">
        <f>SUM(H994:H997)</f>
        <v>213740.46</v>
      </c>
    </row>
    <row r="999" spans="3:9" ht="21" customHeight="1">
      <c r="C999" s="321" t="s">
        <v>1215</v>
      </c>
      <c r="D999" s="182" t="s">
        <v>1216</v>
      </c>
      <c r="E999" s="70"/>
      <c r="F999" s="70"/>
      <c r="G999" s="70"/>
      <c r="H999" s="71"/>
    </row>
    <row r="1000" spans="3:9" ht="21" customHeight="1">
      <c r="C1000" s="66" t="s">
        <v>1217</v>
      </c>
      <c r="D1000" s="67"/>
      <c r="E1000" s="67"/>
      <c r="F1000" s="67"/>
      <c r="G1000" s="69"/>
      <c r="H1000" s="292">
        <v>0</v>
      </c>
    </row>
    <row r="1001" spans="3:9" ht="21" customHeight="1">
      <c r="C1001" s="293" t="s">
        <v>1218</v>
      </c>
      <c r="D1001" s="294" t="s">
        <v>1219</v>
      </c>
      <c r="E1001" s="295"/>
      <c r="F1001" s="295"/>
      <c r="G1001" s="296"/>
      <c r="H1001" s="284">
        <f>H1000+H998+H992</f>
        <v>272975.95999999996</v>
      </c>
    </row>
    <row r="1002" spans="3:9" ht="21" customHeight="1">
      <c r="C1002" s="293" t="s">
        <v>1220</v>
      </c>
      <c r="D1002" s="294" t="s">
        <v>1321</v>
      </c>
      <c r="E1002" s="295"/>
      <c r="F1002" s="296"/>
      <c r="G1002" s="298">
        <f>$M$8</f>
        <v>0.1</v>
      </c>
      <c r="H1002" s="284">
        <f>H1001*G1002</f>
        <v>27297.595999999998</v>
      </c>
    </row>
    <row r="1003" spans="3:9" ht="21" customHeight="1" thickBot="1">
      <c r="C1003" s="299" t="s">
        <v>1221</v>
      </c>
      <c r="D1003" s="300" t="s">
        <v>1222</v>
      </c>
      <c r="E1003" s="301"/>
      <c r="F1003" s="301"/>
      <c r="G1003" s="302"/>
      <c r="H1003" s="303">
        <f>SUM(H1001:H1002)</f>
        <v>300273.55599999998</v>
      </c>
    </row>
    <row r="1004" spans="3:9" ht="14.4" thickTop="1">
      <c r="C1004" s="289"/>
      <c r="D1004" s="297"/>
      <c r="E1004" s="297"/>
      <c r="F1004" s="297"/>
      <c r="G1004" s="297"/>
      <c r="H1004" s="139"/>
    </row>
    <row r="1005" spans="3:9" ht="14.4" thickBot="1">
      <c r="C1005" s="47" t="s">
        <v>2925</v>
      </c>
      <c r="D1005" s="485" t="s">
        <v>1442</v>
      </c>
      <c r="E1005" s="485"/>
      <c r="F1005" s="485"/>
      <c r="G1005" s="485"/>
      <c r="H1005" s="485"/>
      <c r="I1005" s="120">
        <f>ROUNDDOWN(H1023,-2)</f>
        <v>267900</v>
      </c>
    </row>
    <row r="1006" spans="3:9" ht="28.2" thickTop="1">
      <c r="C1006" s="51" t="s">
        <v>1195</v>
      </c>
      <c r="D1006" s="52" t="s">
        <v>1196</v>
      </c>
      <c r="E1006" s="52" t="s">
        <v>1197</v>
      </c>
      <c r="F1006" s="52" t="s">
        <v>1198</v>
      </c>
      <c r="G1006" s="52" t="s">
        <v>1199</v>
      </c>
      <c r="H1006" s="53" t="s">
        <v>1200</v>
      </c>
    </row>
    <row r="1007" spans="3:9" ht="21" customHeight="1">
      <c r="C1007" s="290" t="s">
        <v>1201</v>
      </c>
      <c r="D1007" s="182" t="s">
        <v>1202</v>
      </c>
      <c r="E1007" s="70"/>
      <c r="F1007" s="70"/>
      <c r="G1007" s="70"/>
      <c r="H1007" s="71"/>
    </row>
    <row r="1008" spans="3:9" ht="21" customHeight="1">
      <c r="C1008" s="281">
        <v>1</v>
      </c>
      <c r="D1008" s="182" t="s">
        <v>5</v>
      </c>
      <c r="E1008" s="176" t="s">
        <v>6</v>
      </c>
      <c r="F1008" s="315">
        <v>0.7</v>
      </c>
      <c r="G1008" s="283">
        <f>VLOOKUP(D1008,upahbahan,3,FALSE)</f>
        <v>100000</v>
      </c>
      <c r="H1008" s="284">
        <f t="shared" ref="H1008:H1011" si="99">F1008*G1008</f>
        <v>70000</v>
      </c>
    </row>
    <row r="1009" spans="3:9" ht="21" customHeight="1">
      <c r="C1009" s="281">
        <v>2</v>
      </c>
      <c r="D1009" s="182" t="s">
        <v>7</v>
      </c>
      <c r="E1009" s="176" t="s">
        <v>6</v>
      </c>
      <c r="F1009" s="315">
        <v>0.35</v>
      </c>
      <c r="G1009" s="283">
        <f>VLOOKUP(D1009,upahbahan,3,FALSE)</f>
        <v>135000</v>
      </c>
      <c r="H1009" s="284">
        <f t="shared" si="99"/>
        <v>47250</v>
      </c>
    </row>
    <row r="1010" spans="3:9" ht="21" customHeight="1">
      <c r="C1010" s="281">
        <v>3</v>
      </c>
      <c r="D1010" s="182" t="s">
        <v>18</v>
      </c>
      <c r="E1010" s="176" t="s">
        <v>6</v>
      </c>
      <c r="F1010" s="315">
        <v>3.5000000000000003E-2</v>
      </c>
      <c r="G1010" s="283">
        <f>VLOOKUP(D1010,upahbahan,3,FALSE)</f>
        <v>150000</v>
      </c>
      <c r="H1010" s="284">
        <f t="shared" si="99"/>
        <v>5250.0000000000009</v>
      </c>
    </row>
    <row r="1011" spans="3:9" ht="21" customHeight="1">
      <c r="C1011" s="281">
        <v>4</v>
      </c>
      <c r="D1011" s="182" t="s">
        <v>19</v>
      </c>
      <c r="E1011" s="176" t="s">
        <v>6</v>
      </c>
      <c r="F1011" s="315">
        <v>1.17E-2</v>
      </c>
      <c r="G1011" s="283">
        <f>VLOOKUP(D1011,upahbahan,3,FALSE)</f>
        <v>160000</v>
      </c>
      <c r="H1011" s="284">
        <f t="shared" si="99"/>
        <v>1872</v>
      </c>
    </row>
    <row r="1012" spans="3:9" ht="21" customHeight="1">
      <c r="C1012" s="66" t="s">
        <v>1208</v>
      </c>
      <c r="D1012" s="67"/>
      <c r="E1012" s="67"/>
      <c r="F1012" s="142"/>
      <c r="G1012" s="153"/>
      <c r="H1012" s="284">
        <f>SUM(H1008:H1011)</f>
        <v>124372</v>
      </c>
      <c r="I1012" s="320"/>
    </row>
    <row r="1013" spans="3:9" ht="21" customHeight="1">
      <c r="C1013" s="290" t="s">
        <v>1209</v>
      </c>
      <c r="D1013" s="182" t="s">
        <v>1210</v>
      </c>
      <c r="E1013" s="70"/>
      <c r="F1013" s="70"/>
      <c r="G1013" s="70"/>
      <c r="H1013" s="71"/>
    </row>
    <row r="1014" spans="3:9" ht="21" customHeight="1">
      <c r="C1014" s="310" t="s">
        <v>1203</v>
      </c>
      <c r="D1014" s="285" t="s">
        <v>431</v>
      </c>
      <c r="E1014" s="176" t="s">
        <v>44</v>
      </c>
      <c r="F1014" s="282">
        <v>26.25</v>
      </c>
      <c r="G1014" s="283">
        <f>VLOOKUP(D1014,upahbahan,3,FALSE)</f>
        <v>2400</v>
      </c>
      <c r="H1014" s="284">
        <f t="shared" ref="H1014:H1017" si="100">F1014*G1014</f>
        <v>63000</v>
      </c>
    </row>
    <row r="1015" spans="3:9" ht="21" customHeight="1">
      <c r="C1015" s="310" t="s">
        <v>1204</v>
      </c>
      <c r="D1015" s="182" t="s">
        <v>2334</v>
      </c>
      <c r="E1015" s="176" t="s">
        <v>65</v>
      </c>
      <c r="F1015" s="282">
        <v>13.632</v>
      </c>
      <c r="G1015" s="283">
        <f>VLOOKUP(D1015,upahbahan,3,FALSE)</f>
        <v>1530</v>
      </c>
      <c r="H1015" s="284">
        <f t="shared" si="100"/>
        <v>20856.96</v>
      </c>
    </row>
    <row r="1016" spans="3:9" ht="21" customHeight="1">
      <c r="C1016" s="310" t="s">
        <v>1205</v>
      </c>
      <c r="D1016" s="182" t="s">
        <v>562</v>
      </c>
      <c r="E1016" s="176" t="s">
        <v>65</v>
      </c>
      <c r="F1016" s="282">
        <v>1.5</v>
      </c>
      <c r="G1016" s="283">
        <f>VLOOKUP(D1016,upahbahan,3,FALSE)</f>
        <v>18000</v>
      </c>
      <c r="H1016" s="284">
        <f t="shared" si="100"/>
        <v>27000</v>
      </c>
    </row>
    <row r="1017" spans="3:9" ht="21" customHeight="1">
      <c r="C1017" s="310" t="s">
        <v>1206</v>
      </c>
      <c r="D1017" s="285" t="s">
        <v>85</v>
      </c>
      <c r="E1017" s="176" t="s">
        <v>42</v>
      </c>
      <c r="F1017" s="282">
        <v>2.7E-2</v>
      </c>
      <c r="G1017" s="283">
        <f>VLOOKUP(D1017,upahbahan,3,FALSE)</f>
        <v>310500</v>
      </c>
      <c r="H1017" s="284">
        <f t="shared" si="100"/>
        <v>8383.5</v>
      </c>
    </row>
    <row r="1018" spans="3:9" ht="21" customHeight="1">
      <c r="C1018" s="66" t="s">
        <v>1214</v>
      </c>
      <c r="D1018" s="67"/>
      <c r="E1018" s="67"/>
      <c r="F1018" s="67"/>
      <c r="G1018" s="69"/>
      <c r="H1018" s="284">
        <f>SUM(H1014:H1017)</f>
        <v>119240.45999999999</v>
      </c>
    </row>
    <row r="1019" spans="3:9" ht="21" customHeight="1">
      <c r="C1019" s="321" t="s">
        <v>1215</v>
      </c>
      <c r="D1019" s="182" t="s">
        <v>1216</v>
      </c>
      <c r="E1019" s="70"/>
      <c r="F1019" s="70"/>
      <c r="G1019" s="70"/>
      <c r="H1019" s="71"/>
    </row>
    <row r="1020" spans="3:9" ht="21" customHeight="1">
      <c r="C1020" s="66" t="s">
        <v>1217</v>
      </c>
      <c r="D1020" s="67"/>
      <c r="E1020" s="67"/>
      <c r="F1020" s="67"/>
      <c r="G1020" s="69"/>
      <c r="H1020" s="292">
        <v>0</v>
      </c>
    </row>
    <row r="1021" spans="3:9" ht="21" customHeight="1">
      <c r="C1021" s="293" t="s">
        <v>1218</v>
      </c>
      <c r="D1021" s="294" t="s">
        <v>1219</v>
      </c>
      <c r="E1021" s="295"/>
      <c r="F1021" s="295"/>
      <c r="G1021" s="296"/>
      <c r="H1021" s="284">
        <f>H1020+H1018+H1012</f>
        <v>243612.46</v>
      </c>
    </row>
    <row r="1022" spans="3:9" ht="21" customHeight="1">
      <c r="C1022" s="293" t="s">
        <v>1220</v>
      </c>
      <c r="D1022" s="294" t="s">
        <v>1321</v>
      </c>
      <c r="E1022" s="295"/>
      <c r="F1022" s="296"/>
      <c r="G1022" s="298">
        <f>$M$8</f>
        <v>0.1</v>
      </c>
      <c r="H1022" s="284">
        <f>H1021*G1022</f>
        <v>24361.245999999999</v>
      </c>
    </row>
    <row r="1023" spans="3:9" ht="21" customHeight="1" thickBot="1">
      <c r="C1023" s="299" t="s">
        <v>1221</v>
      </c>
      <c r="D1023" s="300" t="s">
        <v>1222</v>
      </c>
      <c r="E1023" s="301"/>
      <c r="F1023" s="301"/>
      <c r="G1023" s="302"/>
      <c r="H1023" s="303">
        <f>SUM(H1021:H1022)</f>
        <v>267973.70600000001</v>
      </c>
    </row>
    <row r="1024" spans="3:9" ht="14.4" thickTop="1">
      <c r="C1024" s="289"/>
      <c r="D1024" s="297"/>
      <c r="E1024" s="297"/>
      <c r="F1024" s="297"/>
      <c r="G1024" s="297"/>
      <c r="H1024" s="139"/>
    </row>
    <row r="1025" spans="3:9" ht="14.4" thickBot="1">
      <c r="C1025" s="47" t="s">
        <v>2926</v>
      </c>
      <c r="D1025" s="485" t="s">
        <v>1443</v>
      </c>
      <c r="E1025" s="485"/>
      <c r="F1025" s="485"/>
      <c r="G1025" s="485"/>
      <c r="H1025" s="485"/>
      <c r="I1025" s="120">
        <f>ROUNDDOWN(H1043,-2)</f>
        <v>237100</v>
      </c>
    </row>
    <row r="1026" spans="3:9" ht="28.2" thickTop="1">
      <c r="C1026" s="51" t="s">
        <v>1195</v>
      </c>
      <c r="D1026" s="52" t="s">
        <v>1196</v>
      </c>
      <c r="E1026" s="52" t="s">
        <v>1197</v>
      </c>
      <c r="F1026" s="52" t="s">
        <v>1198</v>
      </c>
      <c r="G1026" s="52" t="s">
        <v>1199</v>
      </c>
      <c r="H1026" s="53" t="s">
        <v>1200</v>
      </c>
    </row>
    <row r="1027" spans="3:9" ht="21" customHeight="1">
      <c r="C1027" s="290" t="s">
        <v>1201</v>
      </c>
      <c r="D1027" s="182" t="s">
        <v>1202</v>
      </c>
      <c r="E1027" s="70"/>
      <c r="F1027" s="70"/>
      <c r="G1027" s="70"/>
      <c r="H1027" s="71"/>
    </row>
    <row r="1028" spans="3:9" ht="21" customHeight="1">
      <c r="C1028" s="281">
        <v>1</v>
      </c>
      <c r="D1028" s="182" t="s">
        <v>5</v>
      </c>
      <c r="E1028" s="176" t="s">
        <v>6</v>
      </c>
      <c r="F1028" s="315">
        <v>0.7</v>
      </c>
      <c r="G1028" s="283">
        <f>VLOOKUP(D1028,upahbahan,3,FALSE)</f>
        <v>100000</v>
      </c>
      <c r="H1028" s="284">
        <f t="shared" ref="H1028:H1031" si="101">F1028*G1028</f>
        <v>70000</v>
      </c>
    </row>
    <row r="1029" spans="3:9" ht="21" customHeight="1">
      <c r="C1029" s="281">
        <v>2</v>
      </c>
      <c r="D1029" s="182" t="s">
        <v>7</v>
      </c>
      <c r="E1029" s="176" t="s">
        <v>6</v>
      </c>
      <c r="F1029" s="315">
        <v>0.35</v>
      </c>
      <c r="G1029" s="283">
        <f>VLOOKUP(D1029,upahbahan,3,FALSE)</f>
        <v>135000</v>
      </c>
      <c r="H1029" s="284">
        <f t="shared" si="101"/>
        <v>47250</v>
      </c>
    </row>
    <row r="1030" spans="3:9" ht="21" customHeight="1">
      <c r="C1030" s="281">
        <v>3</v>
      </c>
      <c r="D1030" s="182" t="s">
        <v>18</v>
      </c>
      <c r="E1030" s="176" t="s">
        <v>6</v>
      </c>
      <c r="F1030" s="315">
        <v>3.5000000000000003E-2</v>
      </c>
      <c r="G1030" s="283">
        <f>VLOOKUP(D1030,upahbahan,3,FALSE)</f>
        <v>150000</v>
      </c>
      <c r="H1030" s="284">
        <f t="shared" si="101"/>
        <v>5250.0000000000009</v>
      </c>
    </row>
    <row r="1031" spans="3:9" ht="21" customHeight="1">
      <c r="C1031" s="281">
        <v>4</v>
      </c>
      <c r="D1031" s="182" t="s">
        <v>19</v>
      </c>
      <c r="E1031" s="176" t="s">
        <v>6</v>
      </c>
      <c r="F1031" s="315">
        <v>1.17E-2</v>
      </c>
      <c r="G1031" s="283">
        <f>VLOOKUP(D1031,upahbahan,3,FALSE)</f>
        <v>160000</v>
      </c>
      <c r="H1031" s="284">
        <f t="shared" si="101"/>
        <v>1872</v>
      </c>
    </row>
    <row r="1032" spans="3:9" ht="21" customHeight="1">
      <c r="C1032" s="66" t="s">
        <v>1208</v>
      </c>
      <c r="D1032" s="67"/>
      <c r="E1032" s="67"/>
      <c r="F1032" s="142"/>
      <c r="G1032" s="153"/>
      <c r="H1032" s="284">
        <f>SUM(H1028:H1031)</f>
        <v>124372</v>
      </c>
      <c r="I1032" s="320"/>
    </row>
    <row r="1033" spans="3:9" ht="21" customHeight="1">
      <c r="C1033" s="290" t="s">
        <v>1209</v>
      </c>
      <c r="D1033" s="182" t="s">
        <v>1210</v>
      </c>
      <c r="E1033" s="70"/>
      <c r="F1033" s="70"/>
      <c r="G1033" s="70"/>
      <c r="H1033" s="71"/>
    </row>
    <row r="1034" spans="3:9" ht="21" customHeight="1">
      <c r="C1034" s="310" t="s">
        <v>1203</v>
      </c>
      <c r="D1034" s="285" t="s">
        <v>432</v>
      </c>
      <c r="E1034" s="176" t="s">
        <v>44</v>
      </c>
      <c r="F1034" s="282">
        <v>11.667</v>
      </c>
      <c r="G1034" s="283">
        <f>VLOOKUP(D1034,upahbahan,3,FALSE)</f>
        <v>3000</v>
      </c>
      <c r="H1034" s="284">
        <f t="shared" ref="H1034:H1037" si="102">F1034*G1034</f>
        <v>35001</v>
      </c>
    </row>
    <row r="1035" spans="3:9" ht="21" customHeight="1">
      <c r="C1035" s="310" t="s">
        <v>1204</v>
      </c>
      <c r="D1035" s="182" t="s">
        <v>2334</v>
      </c>
      <c r="E1035" s="176" t="s">
        <v>65</v>
      </c>
      <c r="F1035" s="282">
        <v>13.632</v>
      </c>
      <c r="G1035" s="283">
        <f>VLOOKUP(D1035,upahbahan,3,FALSE)</f>
        <v>1530</v>
      </c>
      <c r="H1035" s="284">
        <f t="shared" si="102"/>
        <v>20856.96</v>
      </c>
    </row>
    <row r="1036" spans="3:9" ht="21" customHeight="1">
      <c r="C1036" s="310" t="s">
        <v>1205</v>
      </c>
      <c r="D1036" s="182" t="s">
        <v>562</v>
      </c>
      <c r="E1036" s="176" t="s">
        <v>65</v>
      </c>
      <c r="F1036" s="282">
        <v>1.5</v>
      </c>
      <c r="G1036" s="283">
        <f>VLOOKUP(D1036,upahbahan,3,FALSE)</f>
        <v>18000</v>
      </c>
      <c r="H1036" s="284">
        <f t="shared" si="102"/>
        <v>27000</v>
      </c>
    </row>
    <row r="1037" spans="3:9" ht="21" customHeight="1">
      <c r="C1037" s="310" t="s">
        <v>1206</v>
      </c>
      <c r="D1037" s="285" t="s">
        <v>85</v>
      </c>
      <c r="E1037" s="176" t="s">
        <v>42</v>
      </c>
      <c r="F1037" s="282">
        <v>2.7E-2</v>
      </c>
      <c r="G1037" s="283">
        <f>VLOOKUP(D1037,upahbahan,3,FALSE)</f>
        <v>310500</v>
      </c>
      <c r="H1037" s="284">
        <f t="shared" si="102"/>
        <v>8383.5</v>
      </c>
    </row>
    <row r="1038" spans="3:9" ht="21" customHeight="1">
      <c r="C1038" s="66" t="s">
        <v>1214</v>
      </c>
      <c r="D1038" s="67"/>
      <c r="E1038" s="67"/>
      <c r="F1038" s="67"/>
      <c r="G1038" s="69"/>
      <c r="H1038" s="284">
        <f>SUM(H1034:H1037)</f>
        <v>91241.459999999992</v>
      </c>
    </row>
    <row r="1039" spans="3:9" ht="21" customHeight="1">
      <c r="C1039" s="321" t="s">
        <v>1215</v>
      </c>
      <c r="D1039" s="182" t="s">
        <v>1216</v>
      </c>
      <c r="E1039" s="70"/>
      <c r="F1039" s="70"/>
      <c r="G1039" s="70"/>
      <c r="H1039" s="71"/>
    </row>
    <row r="1040" spans="3:9" ht="21" customHeight="1">
      <c r="C1040" s="66" t="s">
        <v>1217</v>
      </c>
      <c r="D1040" s="67"/>
      <c r="E1040" s="67"/>
      <c r="F1040" s="67"/>
      <c r="G1040" s="69"/>
      <c r="H1040" s="292">
        <v>0</v>
      </c>
    </row>
    <row r="1041" spans="3:9" ht="21" customHeight="1">
      <c r="C1041" s="293" t="s">
        <v>1218</v>
      </c>
      <c r="D1041" s="294" t="s">
        <v>1219</v>
      </c>
      <c r="E1041" s="295"/>
      <c r="F1041" s="295"/>
      <c r="G1041" s="296"/>
      <c r="H1041" s="284">
        <f>H1040+H1038+H1032</f>
        <v>215613.46</v>
      </c>
    </row>
    <row r="1042" spans="3:9" ht="21" customHeight="1">
      <c r="C1042" s="293" t="s">
        <v>1220</v>
      </c>
      <c r="D1042" s="294" t="s">
        <v>1321</v>
      </c>
      <c r="E1042" s="295"/>
      <c r="F1042" s="296"/>
      <c r="G1042" s="298">
        <f>$M$8</f>
        <v>0.1</v>
      </c>
      <c r="H1042" s="284">
        <f>H1041*G1042</f>
        <v>21561.346000000001</v>
      </c>
    </row>
    <row r="1043" spans="3:9" ht="21" customHeight="1" thickBot="1">
      <c r="C1043" s="299" t="s">
        <v>1221</v>
      </c>
      <c r="D1043" s="300" t="s">
        <v>1222</v>
      </c>
      <c r="E1043" s="301"/>
      <c r="F1043" s="301"/>
      <c r="G1043" s="302"/>
      <c r="H1043" s="303">
        <f>SUM(H1041:H1042)</f>
        <v>237174.80599999998</v>
      </c>
    </row>
    <row r="1044" spans="3:9" ht="14.4" thickTop="1">
      <c r="C1044" s="289"/>
      <c r="D1044" s="297"/>
      <c r="E1044" s="297"/>
      <c r="F1044" s="297"/>
      <c r="G1044" s="297"/>
      <c r="H1044" s="139"/>
    </row>
    <row r="1045" spans="3:9" ht="14.4" thickBot="1">
      <c r="C1045" s="47" t="s">
        <v>2927</v>
      </c>
      <c r="D1045" s="485" t="s">
        <v>1444</v>
      </c>
      <c r="E1045" s="485"/>
      <c r="F1045" s="485"/>
      <c r="G1045" s="485"/>
      <c r="H1045" s="485"/>
      <c r="I1045" s="120">
        <f>ROUNDDOWN(H1063,-2)</f>
        <v>227500</v>
      </c>
    </row>
    <row r="1046" spans="3:9" ht="28.2" thickTop="1">
      <c r="C1046" s="51" t="s">
        <v>1195</v>
      </c>
      <c r="D1046" s="52" t="s">
        <v>1196</v>
      </c>
      <c r="E1046" s="52" t="s">
        <v>1197</v>
      </c>
      <c r="F1046" s="52" t="s">
        <v>1198</v>
      </c>
      <c r="G1046" s="52" t="s">
        <v>1199</v>
      </c>
      <c r="H1046" s="53" t="s">
        <v>1200</v>
      </c>
    </row>
    <row r="1047" spans="3:9" ht="21" customHeight="1">
      <c r="C1047" s="290" t="s">
        <v>1201</v>
      </c>
      <c r="D1047" s="182" t="s">
        <v>1202</v>
      </c>
      <c r="E1047" s="70"/>
      <c r="F1047" s="70"/>
      <c r="G1047" s="70"/>
      <c r="H1047" s="71"/>
    </row>
    <row r="1048" spans="3:9" ht="21" customHeight="1">
      <c r="C1048" s="281">
        <v>1</v>
      </c>
      <c r="D1048" s="182" t="s">
        <v>5</v>
      </c>
      <c r="E1048" s="176" t="s">
        <v>6</v>
      </c>
      <c r="F1048" s="315">
        <v>0.7</v>
      </c>
      <c r="G1048" s="283">
        <f>VLOOKUP(D1048,upahbahan,3,FALSE)</f>
        <v>100000</v>
      </c>
      <c r="H1048" s="284">
        <f t="shared" ref="H1048:H1051" si="103">F1048*G1048</f>
        <v>70000</v>
      </c>
    </row>
    <row r="1049" spans="3:9" ht="21" customHeight="1">
      <c r="C1049" s="281">
        <v>2</v>
      </c>
      <c r="D1049" s="182" t="s">
        <v>7</v>
      </c>
      <c r="E1049" s="176" t="s">
        <v>6</v>
      </c>
      <c r="F1049" s="315">
        <v>0.35</v>
      </c>
      <c r="G1049" s="283">
        <f>VLOOKUP(D1049,upahbahan,3,FALSE)</f>
        <v>135000</v>
      </c>
      <c r="H1049" s="284">
        <f t="shared" si="103"/>
        <v>47250</v>
      </c>
    </row>
    <row r="1050" spans="3:9" ht="21" customHeight="1">
      <c r="C1050" s="281">
        <v>3</v>
      </c>
      <c r="D1050" s="182" t="s">
        <v>18</v>
      </c>
      <c r="E1050" s="176" t="s">
        <v>6</v>
      </c>
      <c r="F1050" s="315">
        <v>3.5000000000000003E-2</v>
      </c>
      <c r="G1050" s="283">
        <f>VLOOKUP(D1050,upahbahan,3,FALSE)</f>
        <v>150000</v>
      </c>
      <c r="H1050" s="284">
        <f t="shared" si="103"/>
        <v>5250.0000000000009</v>
      </c>
    </row>
    <row r="1051" spans="3:9" ht="21" customHeight="1">
      <c r="C1051" s="281">
        <v>4</v>
      </c>
      <c r="D1051" s="182" t="s">
        <v>19</v>
      </c>
      <c r="E1051" s="176" t="s">
        <v>6</v>
      </c>
      <c r="F1051" s="315">
        <v>1.17E-2</v>
      </c>
      <c r="G1051" s="283">
        <f>VLOOKUP(D1051,upahbahan,3,FALSE)</f>
        <v>160000</v>
      </c>
      <c r="H1051" s="284">
        <f t="shared" si="103"/>
        <v>1872</v>
      </c>
    </row>
    <row r="1052" spans="3:9" ht="21" customHeight="1">
      <c r="C1052" s="66" t="s">
        <v>1208</v>
      </c>
      <c r="D1052" s="67"/>
      <c r="E1052" s="67"/>
      <c r="F1052" s="142"/>
      <c r="G1052" s="153"/>
      <c r="H1052" s="284">
        <f>SUM(H1048:H1051)</f>
        <v>124372</v>
      </c>
      <c r="I1052" s="320"/>
    </row>
    <row r="1053" spans="3:9" ht="21" customHeight="1">
      <c r="C1053" s="290" t="s">
        <v>1209</v>
      </c>
      <c r="D1053" s="182" t="s">
        <v>1210</v>
      </c>
      <c r="E1053" s="70"/>
      <c r="F1053" s="70"/>
      <c r="G1053" s="70"/>
      <c r="H1053" s="71"/>
    </row>
    <row r="1054" spans="3:9" ht="21" customHeight="1">
      <c r="C1054" s="310" t="s">
        <v>1203</v>
      </c>
      <c r="D1054" s="285" t="s">
        <v>433</v>
      </c>
      <c r="E1054" s="176" t="s">
        <v>44</v>
      </c>
      <c r="F1054" s="282">
        <v>6.5629999999999997</v>
      </c>
      <c r="G1054" s="283">
        <f>VLOOKUP(D1054,upahbahan,3,FALSE)</f>
        <v>4000</v>
      </c>
      <c r="H1054" s="284">
        <f t="shared" ref="H1054:H1057" si="104">F1054*G1054</f>
        <v>26252</v>
      </c>
    </row>
    <row r="1055" spans="3:9" ht="21" customHeight="1">
      <c r="C1055" s="310" t="s">
        <v>1204</v>
      </c>
      <c r="D1055" s="182" t="s">
        <v>2334</v>
      </c>
      <c r="E1055" s="176" t="s">
        <v>65</v>
      </c>
      <c r="F1055" s="282">
        <v>13.632</v>
      </c>
      <c r="G1055" s="283">
        <f>VLOOKUP(D1055,upahbahan,3,FALSE)</f>
        <v>1530</v>
      </c>
      <c r="H1055" s="284">
        <f t="shared" si="104"/>
        <v>20856.96</v>
      </c>
    </row>
    <row r="1056" spans="3:9" ht="21" customHeight="1">
      <c r="C1056" s="310" t="s">
        <v>1205</v>
      </c>
      <c r="D1056" s="182" t="s">
        <v>562</v>
      </c>
      <c r="E1056" s="176" t="s">
        <v>65</v>
      </c>
      <c r="F1056" s="282">
        <v>1.5</v>
      </c>
      <c r="G1056" s="283">
        <f>VLOOKUP(D1056,upahbahan,3,FALSE)</f>
        <v>18000</v>
      </c>
      <c r="H1056" s="284">
        <f t="shared" si="104"/>
        <v>27000</v>
      </c>
    </row>
    <row r="1057" spans="3:9" ht="21" customHeight="1">
      <c r="C1057" s="310" t="s">
        <v>1206</v>
      </c>
      <c r="D1057" s="285" t="s">
        <v>85</v>
      </c>
      <c r="E1057" s="176" t="s">
        <v>42</v>
      </c>
      <c r="F1057" s="282">
        <v>2.7E-2</v>
      </c>
      <c r="G1057" s="283">
        <f>VLOOKUP(D1057,upahbahan,3,FALSE)</f>
        <v>310500</v>
      </c>
      <c r="H1057" s="284">
        <f t="shared" si="104"/>
        <v>8383.5</v>
      </c>
    </row>
    <row r="1058" spans="3:9" ht="21" customHeight="1">
      <c r="C1058" s="66" t="s">
        <v>1214</v>
      </c>
      <c r="D1058" s="67"/>
      <c r="E1058" s="67"/>
      <c r="F1058" s="67"/>
      <c r="G1058" s="69"/>
      <c r="H1058" s="284">
        <f>SUM(H1054:H1057)</f>
        <v>82492.459999999992</v>
      </c>
    </row>
    <row r="1059" spans="3:9" ht="21" customHeight="1">
      <c r="C1059" s="321" t="s">
        <v>1215</v>
      </c>
      <c r="D1059" s="182" t="s">
        <v>1216</v>
      </c>
      <c r="E1059" s="70"/>
      <c r="F1059" s="70"/>
      <c r="G1059" s="70"/>
      <c r="H1059" s="71"/>
    </row>
    <row r="1060" spans="3:9" ht="21" customHeight="1">
      <c r="C1060" s="66" t="s">
        <v>1217</v>
      </c>
      <c r="D1060" s="67"/>
      <c r="E1060" s="67"/>
      <c r="F1060" s="67"/>
      <c r="G1060" s="69"/>
      <c r="H1060" s="292">
        <v>0</v>
      </c>
    </row>
    <row r="1061" spans="3:9" ht="21" customHeight="1">
      <c r="C1061" s="293" t="s">
        <v>1218</v>
      </c>
      <c r="D1061" s="294" t="s">
        <v>1219</v>
      </c>
      <c r="E1061" s="295"/>
      <c r="F1061" s="295"/>
      <c r="G1061" s="296"/>
      <c r="H1061" s="284">
        <f>H1060+H1058+H1052</f>
        <v>206864.46</v>
      </c>
    </row>
    <row r="1062" spans="3:9" ht="21" customHeight="1">
      <c r="C1062" s="293" t="s">
        <v>1220</v>
      </c>
      <c r="D1062" s="294" t="s">
        <v>1321</v>
      </c>
      <c r="E1062" s="295"/>
      <c r="F1062" s="296"/>
      <c r="G1062" s="298">
        <f>$M$8</f>
        <v>0.1</v>
      </c>
      <c r="H1062" s="284">
        <f>H1061*G1062</f>
        <v>20686.446</v>
      </c>
    </row>
    <row r="1063" spans="3:9" ht="21" customHeight="1" thickBot="1">
      <c r="C1063" s="299" t="s">
        <v>1221</v>
      </c>
      <c r="D1063" s="300" t="s">
        <v>1222</v>
      </c>
      <c r="E1063" s="301"/>
      <c r="F1063" s="301"/>
      <c r="G1063" s="302"/>
      <c r="H1063" s="303">
        <f>SUM(H1061:H1062)</f>
        <v>227550.90599999999</v>
      </c>
    </row>
    <row r="1064" spans="3:9" ht="14.4" thickTop="1">
      <c r="C1064" s="289"/>
      <c r="D1064" s="297"/>
      <c r="E1064" s="297"/>
      <c r="F1064" s="297"/>
      <c r="G1064" s="297"/>
      <c r="H1064" s="139"/>
    </row>
    <row r="1065" spans="3:9" ht="14.4" thickBot="1">
      <c r="C1065" s="47" t="s">
        <v>2928</v>
      </c>
      <c r="D1065" s="485" t="s">
        <v>1445</v>
      </c>
      <c r="E1065" s="485"/>
      <c r="F1065" s="485"/>
      <c r="G1065" s="485"/>
      <c r="H1065" s="485"/>
      <c r="I1065" s="120">
        <f>ROUNDDOWN(H1083,-2)</f>
        <v>247400</v>
      </c>
    </row>
    <row r="1066" spans="3:9" ht="28.2" thickTop="1">
      <c r="C1066" s="51" t="s">
        <v>1195</v>
      </c>
      <c r="D1066" s="52" t="s">
        <v>1196</v>
      </c>
      <c r="E1066" s="52" t="s">
        <v>1197</v>
      </c>
      <c r="F1066" s="52" t="s">
        <v>1198</v>
      </c>
      <c r="G1066" s="52" t="s">
        <v>1199</v>
      </c>
      <c r="H1066" s="53" t="s">
        <v>1200</v>
      </c>
    </row>
    <row r="1067" spans="3:9" ht="21" customHeight="1">
      <c r="C1067" s="290" t="s">
        <v>1201</v>
      </c>
      <c r="D1067" s="182" t="s">
        <v>1202</v>
      </c>
      <c r="E1067" s="70"/>
      <c r="F1067" s="70"/>
      <c r="G1067" s="70"/>
      <c r="H1067" s="71"/>
    </row>
    <row r="1068" spans="3:9" ht="21" customHeight="1">
      <c r="C1068" s="281">
        <v>1</v>
      </c>
      <c r="D1068" s="182" t="s">
        <v>5</v>
      </c>
      <c r="E1068" s="176" t="s">
        <v>6</v>
      </c>
      <c r="F1068" s="282">
        <v>0.75</v>
      </c>
      <c r="G1068" s="283">
        <f>VLOOKUP(D1068,upahbahan,3,FALSE)</f>
        <v>100000</v>
      </c>
      <c r="H1068" s="284">
        <f t="shared" ref="H1068:H1071" si="105">F1068*G1068</f>
        <v>75000</v>
      </c>
    </row>
    <row r="1069" spans="3:9" ht="21" customHeight="1">
      <c r="C1069" s="281">
        <v>2</v>
      </c>
      <c r="D1069" s="182" t="s">
        <v>7</v>
      </c>
      <c r="E1069" s="176" t="s">
        <v>6</v>
      </c>
      <c r="F1069" s="282">
        <v>0.75</v>
      </c>
      <c r="G1069" s="283">
        <f>VLOOKUP(D1069,upahbahan,3,FALSE)</f>
        <v>135000</v>
      </c>
      <c r="H1069" s="284">
        <f t="shared" si="105"/>
        <v>101250</v>
      </c>
    </row>
    <row r="1070" spans="3:9" ht="21" customHeight="1">
      <c r="C1070" s="281">
        <v>3</v>
      </c>
      <c r="D1070" s="182" t="s">
        <v>18</v>
      </c>
      <c r="E1070" s="176" t="s">
        <v>6</v>
      </c>
      <c r="F1070" s="282">
        <v>7.4999999999999997E-2</v>
      </c>
      <c r="G1070" s="283">
        <f>VLOOKUP(D1070,upahbahan,3,FALSE)</f>
        <v>150000</v>
      </c>
      <c r="H1070" s="284">
        <f t="shared" si="105"/>
        <v>11250</v>
      </c>
    </row>
    <row r="1071" spans="3:9" ht="21" customHeight="1">
      <c r="C1071" s="281">
        <v>4</v>
      </c>
      <c r="D1071" s="182" t="s">
        <v>19</v>
      </c>
      <c r="E1071" s="176" t="s">
        <v>6</v>
      </c>
      <c r="F1071" s="282">
        <v>2.5000000000000001E-2</v>
      </c>
      <c r="G1071" s="283">
        <f>VLOOKUP(D1071,upahbahan,3,FALSE)</f>
        <v>160000</v>
      </c>
      <c r="H1071" s="284">
        <f t="shared" si="105"/>
        <v>4000</v>
      </c>
    </row>
    <row r="1072" spans="3:9" ht="21" customHeight="1">
      <c r="C1072" s="66" t="s">
        <v>1208</v>
      </c>
      <c r="D1072" s="67"/>
      <c r="E1072" s="67"/>
      <c r="F1072" s="142"/>
      <c r="G1072" s="153"/>
      <c r="H1072" s="284">
        <f>SUM(H1068:H1071)</f>
        <v>191500</v>
      </c>
      <c r="I1072" s="320"/>
    </row>
    <row r="1073" spans="3:9" ht="21" customHeight="1">
      <c r="C1073" s="290" t="s">
        <v>1209</v>
      </c>
      <c r="D1073" s="182" t="s">
        <v>1210</v>
      </c>
      <c r="E1073" s="70"/>
      <c r="F1073" s="70"/>
      <c r="G1073" s="70"/>
      <c r="H1073" s="71"/>
    </row>
    <row r="1074" spans="3:9" ht="21" customHeight="1">
      <c r="C1074" s="310" t="s">
        <v>1203</v>
      </c>
      <c r="D1074" s="285" t="s">
        <v>469</v>
      </c>
      <c r="E1074" s="176" t="s">
        <v>44</v>
      </c>
      <c r="F1074" s="282">
        <v>5.3</v>
      </c>
      <c r="G1074" s="283">
        <f>VLOOKUP(D1074,upahbahan,3,FALSE)</f>
        <v>5000</v>
      </c>
      <c r="H1074" s="284">
        <f t="shared" ref="H1074:H1077" si="106">F1074*G1074</f>
        <v>26500</v>
      </c>
    </row>
    <row r="1075" spans="3:9" ht="21" customHeight="1">
      <c r="C1075" s="310" t="s">
        <v>1204</v>
      </c>
      <c r="D1075" s="182" t="s">
        <v>2334</v>
      </c>
      <c r="E1075" s="176" t="s">
        <v>65</v>
      </c>
      <c r="F1075" s="282">
        <v>1.704</v>
      </c>
      <c r="G1075" s="283">
        <f>VLOOKUP(D1075,upahbahan,3,FALSE)</f>
        <v>1530</v>
      </c>
      <c r="H1075" s="284">
        <f t="shared" si="106"/>
        <v>2607.12</v>
      </c>
    </row>
    <row r="1076" spans="3:9" ht="21" customHeight="1">
      <c r="C1076" s="310" t="s">
        <v>1205</v>
      </c>
      <c r="D1076" s="182" t="s">
        <v>562</v>
      </c>
      <c r="E1076" s="176" t="s">
        <v>65</v>
      </c>
      <c r="F1076" s="282">
        <v>0.188</v>
      </c>
      <c r="G1076" s="283">
        <f>VLOOKUP(D1076,upahbahan,3,FALSE)</f>
        <v>18000</v>
      </c>
      <c r="H1076" s="284">
        <f t="shared" si="106"/>
        <v>3384</v>
      </c>
    </row>
    <row r="1077" spans="3:9" ht="21" customHeight="1">
      <c r="C1077" s="310" t="s">
        <v>1206</v>
      </c>
      <c r="D1077" s="285" t="s">
        <v>85</v>
      </c>
      <c r="E1077" s="176" t="s">
        <v>42</v>
      </c>
      <c r="F1077" s="282">
        <v>3.0000000000000001E-3</v>
      </c>
      <c r="G1077" s="283">
        <f>VLOOKUP(D1077,upahbahan,3,FALSE)</f>
        <v>310500</v>
      </c>
      <c r="H1077" s="284">
        <f t="shared" si="106"/>
        <v>931.5</v>
      </c>
    </row>
    <row r="1078" spans="3:9" ht="21" customHeight="1">
      <c r="C1078" s="66" t="s">
        <v>1214</v>
      </c>
      <c r="D1078" s="67"/>
      <c r="E1078" s="67"/>
      <c r="F1078" s="67"/>
      <c r="G1078" s="69"/>
      <c r="H1078" s="284">
        <f>SUM(H1074:H1077)</f>
        <v>33422.619999999995</v>
      </c>
    </row>
    <row r="1079" spans="3:9" ht="21" customHeight="1">
      <c r="C1079" s="321" t="s">
        <v>1215</v>
      </c>
      <c r="D1079" s="182" t="s">
        <v>1216</v>
      </c>
      <c r="E1079" s="70"/>
      <c r="F1079" s="70"/>
      <c r="G1079" s="70"/>
      <c r="H1079" s="71"/>
    </row>
    <row r="1080" spans="3:9" ht="21" customHeight="1">
      <c r="C1080" s="66" t="s">
        <v>1217</v>
      </c>
      <c r="D1080" s="67"/>
      <c r="E1080" s="67"/>
      <c r="F1080" s="67"/>
      <c r="G1080" s="69"/>
      <c r="H1080" s="292">
        <v>0</v>
      </c>
    </row>
    <row r="1081" spans="3:9" ht="21" customHeight="1">
      <c r="C1081" s="293" t="s">
        <v>1218</v>
      </c>
      <c r="D1081" s="294" t="s">
        <v>1219</v>
      </c>
      <c r="E1081" s="295"/>
      <c r="F1081" s="295"/>
      <c r="G1081" s="296"/>
      <c r="H1081" s="284">
        <f>H1080+H1078+H1072</f>
        <v>224922.62</v>
      </c>
    </row>
    <row r="1082" spans="3:9" ht="21" customHeight="1">
      <c r="C1082" s="293" t="s">
        <v>1220</v>
      </c>
      <c r="D1082" s="294" t="s">
        <v>1321</v>
      </c>
      <c r="E1082" s="295"/>
      <c r="F1082" s="296"/>
      <c r="G1082" s="298">
        <f>$M$8</f>
        <v>0.1</v>
      </c>
      <c r="H1082" s="284">
        <f>H1081*G1082</f>
        <v>22492.262000000002</v>
      </c>
    </row>
    <row r="1083" spans="3:9" ht="21" customHeight="1" thickBot="1">
      <c r="C1083" s="299" t="s">
        <v>1221</v>
      </c>
      <c r="D1083" s="300" t="s">
        <v>1222</v>
      </c>
      <c r="E1083" s="301"/>
      <c r="F1083" s="301"/>
      <c r="G1083" s="302"/>
      <c r="H1083" s="303">
        <f>SUM(H1081:H1082)</f>
        <v>247414.88199999998</v>
      </c>
    </row>
    <row r="1084" spans="3:9" ht="14.4" thickTop="1">
      <c r="C1084" s="289"/>
      <c r="D1084" s="297"/>
      <c r="E1084" s="297"/>
      <c r="F1084" s="297"/>
      <c r="G1084" s="297"/>
      <c r="H1084" s="139"/>
    </row>
    <row r="1085" spans="3:9">
      <c r="C1085" s="289"/>
      <c r="D1085" s="297"/>
      <c r="E1085" s="297"/>
      <c r="F1085" s="297"/>
      <c r="G1085" s="297"/>
      <c r="H1085" s="139"/>
    </row>
    <row r="1086" spans="3:9">
      <c r="C1086" s="126" t="s">
        <v>2929</v>
      </c>
      <c r="D1086" s="138" t="s">
        <v>2930</v>
      </c>
      <c r="E1086" s="297"/>
      <c r="F1086" s="297"/>
      <c r="G1086" s="297"/>
      <c r="H1086" s="139"/>
    </row>
    <row r="1087" spans="3:9" ht="14.4" thickBot="1">
      <c r="C1087" s="47" t="s">
        <v>2931</v>
      </c>
      <c r="D1087" s="485" t="s">
        <v>1446</v>
      </c>
      <c r="E1087" s="485"/>
      <c r="F1087" s="485"/>
      <c r="G1087" s="485"/>
      <c r="H1087" s="485"/>
      <c r="I1087" s="120">
        <f>ROUNDDOWN(H1105,-2)</f>
        <v>151400</v>
      </c>
    </row>
    <row r="1088" spans="3:9" ht="28.2" thickTop="1">
      <c r="C1088" s="51" t="s">
        <v>1195</v>
      </c>
      <c r="D1088" s="52" t="s">
        <v>1196</v>
      </c>
      <c r="E1088" s="52" t="s">
        <v>1197</v>
      </c>
      <c r="F1088" s="52" t="s">
        <v>1198</v>
      </c>
      <c r="G1088" s="52" t="s">
        <v>1199</v>
      </c>
      <c r="H1088" s="53" t="s">
        <v>1200</v>
      </c>
    </row>
    <row r="1089" spans="3:9" ht="21" customHeight="1">
      <c r="C1089" s="290" t="s">
        <v>1201</v>
      </c>
      <c r="D1089" s="182" t="s">
        <v>1202</v>
      </c>
      <c r="E1089" s="70"/>
      <c r="F1089" s="70"/>
      <c r="G1089" s="70"/>
      <c r="H1089" s="71"/>
    </row>
    <row r="1090" spans="3:9" ht="21" customHeight="1">
      <c r="C1090" s="281">
        <v>1</v>
      </c>
      <c r="D1090" s="182" t="s">
        <v>5</v>
      </c>
      <c r="E1090" s="176" t="s">
        <v>6</v>
      </c>
      <c r="F1090" s="309">
        <v>0.1333</v>
      </c>
      <c r="G1090" s="283">
        <f>VLOOKUP(D1090,upahbahan,3,FALSE)</f>
        <v>100000</v>
      </c>
      <c r="H1090" s="284">
        <f t="shared" ref="H1090:H1093" si="107">F1090*G1090</f>
        <v>13330</v>
      </c>
    </row>
    <row r="1091" spans="3:9" ht="21" customHeight="1">
      <c r="C1091" s="281">
        <v>2</v>
      </c>
      <c r="D1091" s="182" t="s">
        <v>7</v>
      </c>
      <c r="E1091" s="176" t="s">
        <v>6</v>
      </c>
      <c r="F1091" s="309">
        <v>6.6699999999999995E-2</v>
      </c>
      <c r="G1091" s="283">
        <f>VLOOKUP(D1091,upahbahan,3,FALSE)</f>
        <v>135000</v>
      </c>
      <c r="H1091" s="284">
        <f t="shared" si="107"/>
        <v>9004.5</v>
      </c>
    </row>
    <row r="1092" spans="3:9" ht="21" customHeight="1">
      <c r="C1092" s="281">
        <v>3</v>
      </c>
      <c r="D1092" s="182" t="s">
        <v>18</v>
      </c>
      <c r="E1092" s="176" t="s">
        <v>6</v>
      </c>
      <c r="F1092" s="309">
        <v>6.7000000000000002E-3</v>
      </c>
      <c r="G1092" s="283">
        <f>VLOOKUP(D1092,upahbahan,3,FALSE)</f>
        <v>150000</v>
      </c>
      <c r="H1092" s="284">
        <f t="shared" si="107"/>
        <v>1005</v>
      </c>
    </row>
    <row r="1093" spans="3:9" ht="21" customHeight="1">
      <c r="C1093" s="281">
        <v>4</v>
      </c>
      <c r="D1093" s="182" t="s">
        <v>19</v>
      </c>
      <c r="E1093" s="176" t="s">
        <v>6</v>
      </c>
      <c r="F1093" s="309">
        <v>2.2000000000000001E-3</v>
      </c>
      <c r="G1093" s="283">
        <f>VLOOKUP(D1093,upahbahan,3,FALSE)</f>
        <v>160000</v>
      </c>
      <c r="H1093" s="284">
        <f t="shared" si="107"/>
        <v>352</v>
      </c>
    </row>
    <row r="1094" spans="3:9" ht="21" customHeight="1">
      <c r="C1094" s="66" t="s">
        <v>1208</v>
      </c>
      <c r="D1094" s="67"/>
      <c r="E1094" s="67"/>
      <c r="F1094" s="142"/>
      <c r="G1094" s="153"/>
      <c r="H1094" s="284">
        <f>SUM(H1090:H1093)</f>
        <v>23691.5</v>
      </c>
      <c r="I1094" s="320"/>
    </row>
    <row r="1095" spans="3:9" ht="21" customHeight="1">
      <c r="C1095" s="290" t="s">
        <v>1209</v>
      </c>
      <c r="D1095" s="182" t="s">
        <v>1210</v>
      </c>
      <c r="E1095" s="70"/>
      <c r="F1095" s="70"/>
      <c r="G1095" s="70"/>
      <c r="H1095" s="71"/>
    </row>
    <row r="1096" spans="3:9" ht="21" customHeight="1">
      <c r="C1096" s="310" t="s">
        <v>1203</v>
      </c>
      <c r="D1096" s="285" t="s">
        <v>425</v>
      </c>
      <c r="E1096" s="176" t="s">
        <v>44</v>
      </c>
      <c r="F1096" s="282">
        <v>26.25</v>
      </c>
      <c r="G1096" s="283">
        <f>VLOOKUP(D1096,upahbahan,3,FALSE)</f>
        <v>2200</v>
      </c>
      <c r="H1096" s="284">
        <f t="shared" ref="H1096:H1099" si="108">F1096*G1096</f>
        <v>57750</v>
      </c>
    </row>
    <row r="1097" spans="3:9" ht="21" customHeight="1">
      <c r="C1097" s="310" t="s">
        <v>1204</v>
      </c>
      <c r="D1097" s="182" t="s">
        <v>2332</v>
      </c>
      <c r="E1097" s="176" t="s">
        <v>65</v>
      </c>
      <c r="F1097" s="282">
        <v>13.632</v>
      </c>
      <c r="G1097" s="283">
        <f>VLOOKUP(D1097,upahbahan,3,FALSE)</f>
        <v>1530</v>
      </c>
      <c r="H1097" s="284">
        <f t="shared" si="108"/>
        <v>20856.96</v>
      </c>
    </row>
    <row r="1098" spans="3:9" ht="21" customHeight="1">
      <c r="C1098" s="310" t="s">
        <v>1205</v>
      </c>
      <c r="D1098" s="182" t="s">
        <v>562</v>
      </c>
      <c r="E1098" s="176" t="s">
        <v>65</v>
      </c>
      <c r="F1098" s="282">
        <v>1.5</v>
      </c>
      <c r="G1098" s="283">
        <f>VLOOKUP(D1098,upahbahan,3,FALSE)</f>
        <v>18000</v>
      </c>
      <c r="H1098" s="284">
        <f t="shared" si="108"/>
        <v>27000</v>
      </c>
    </row>
    <row r="1099" spans="3:9" ht="21" customHeight="1">
      <c r="C1099" s="310" t="s">
        <v>1206</v>
      </c>
      <c r="D1099" s="285" t="s">
        <v>85</v>
      </c>
      <c r="E1099" s="176" t="s">
        <v>42</v>
      </c>
      <c r="F1099" s="282">
        <v>2.7E-2</v>
      </c>
      <c r="G1099" s="283">
        <f>VLOOKUP(D1099,upahbahan,3,FALSE)</f>
        <v>310500</v>
      </c>
      <c r="H1099" s="284">
        <f t="shared" si="108"/>
        <v>8383.5</v>
      </c>
    </row>
    <row r="1100" spans="3:9" ht="21" customHeight="1">
      <c r="C1100" s="66" t="s">
        <v>1214</v>
      </c>
      <c r="D1100" s="67"/>
      <c r="E1100" s="67"/>
      <c r="F1100" s="67"/>
      <c r="G1100" s="69"/>
      <c r="H1100" s="284">
        <f>SUM(H1096:H1099)</f>
        <v>113990.45999999999</v>
      </c>
    </row>
    <row r="1101" spans="3:9" ht="21" customHeight="1">
      <c r="C1101" s="321" t="s">
        <v>1215</v>
      </c>
      <c r="D1101" s="182" t="s">
        <v>1216</v>
      </c>
      <c r="E1101" s="70"/>
      <c r="F1101" s="70"/>
      <c r="G1101" s="70"/>
      <c r="H1101" s="71"/>
    </row>
    <row r="1102" spans="3:9" ht="21" customHeight="1">
      <c r="C1102" s="66" t="s">
        <v>1217</v>
      </c>
      <c r="D1102" s="67"/>
      <c r="E1102" s="67"/>
      <c r="F1102" s="67"/>
      <c r="G1102" s="69"/>
      <c r="H1102" s="292">
        <v>0</v>
      </c>
    </row>
    <row r="1103" spans="3:9" ht="21" customHeight="1">
      <c r="C1103" s="293" t="s">
        <v>1218</v>
      </c>
      <c r="D1103" s="294" t="s">
        <v>1219</v>
      </c>
      <c r="E1103" s="295"/>
      <c r="F1103" s="295"/>
      <c r="G1103" s="296"/>
      <c r="H1103" s="284">
        <f>H1102+H1100+H1094</f>
        <v>137681.96</v>
      </c>
    </row>
    <row r="1104" spans="3:9" ht="21" customHeight="1">
      <c r="C1104" s="293" t="s">
        <v>1220</v>
      </c>
      <c r="D1104" s="294" t="s">
        <v>1321</v>
      </c>
      <c r="E1104" s="295"/>
      <c r="F1104" s="296"/>
      <c r="G1104" s="298">
        <f>$M$8</f>
        <v>0.1</v>
      </c>
      <c r="H1104" s="284">
        <f>H1103*G1104</f>
        <v>13768.196</v>
      </c>
    </row>
    <row r="1105" spans="3:9" ht="21" customHeight="1" thickBot="1">
      <c r="C1105" s="299" t="s">
        <v>1221</v>
      </c>
      <c r="D1105" s="300" t="s">
        <v>1222</v>
      </c>
      <c r="E1105" s="301"/>
      <c r="F1105" s="301"/>
      <c r="G1105" s="302"/>
      <c r="H1105" s="303">
        <f>SUM(H1103:H1104)</f>
        <v>151450.15599999999</v>
      </c>
    </row>
    <row r="1106" spans="3:9" ht="14.4" thickTop="1">
      <c r="C1106" s="304"/>
      <c r="D1106" s="304"/>
      <c r="E1106" s="304"/>
      <c r="F1106" s="304"/>
      <c r="G1106" s="304"/>
      <c r="H1106" s="305"/>
    </row>
    <row r="1107" spans="3:9" ht="14.4" thickBot="1">
      <c r="C1107" s="47" t="s">
        <v>2932</v>
      </c>
      <c r="D1107" s="485" t="s">
        <v>1447</v>
      </c>
      <c r="E1107" s="485"/>
      <c r="F1107" s="485"/>
      <c r="G1107" s="485"/>
      <c r="H1107" s="485"/>
      <c r="I1107" s="120">
        <f>ROUNDDOWN(H1125,-2)</f>
        <v>141100</v>
      </c>
    </row>
    <row r="1108" spans="3:9" ht="28.2" thickTop="1">
      <c r="C1108" s="51" t="s">
        <v>1195</v>
      </c>
      <c r="D1108" s="52" t="s">
        <v>1196</v>
      </c>
      <c r="E1108" s="52" t="s">
        <v>1197</v>
      </c>
      <c r="F1108" s="52" t="s">
        <v>1198</v>
      </c>
      <c r="G1108" s="52" t="s">
        <v>1199</v>
      </c>
      <c r="H1108" s="53" t="s">
        <v>1200</v>
      </c>
      <c r="I1108" s="120"/>
    </row>
    <row r="1109" spans="3:9" ht="21" customHeight="1">
      <c r="C1109" s="290" t="s">
        <v>1201</v>
      </c>
      <c r="D1109" s="182" t="s">
        <v>1202</v>
      </c>
      <c r="E1109" s="70"/>
      <c r="F1109" s="70"/>
      <c r="G1109" s="70"/>
      <c r="H1109" s="71"/>
    </row>
    <row r="1110" spans="3:9" ht="21" customHeight="1">
      <c r="C1110" s="281">
        <v>1</v>
      </c>
      <c r="D1110" s="182" t="s">
        <v>5</v>
      </c>
      <c r="E1110" s="176" t="s">
        <v>6</v>
      </c>
      <c r="F1110" s="309">
        <v>0.1429</v>
      </c>
      <c r="G1110" s="283">
        <f>VLOOKUP(D1110,upahbahan,3,FALSE)</f>
        <v>100000</v>
      </c>
      <c r="H1110" s="284">
        <f t="shared" ref="H1110:H1113" si="109">F1110*G1110</f>
        <v>14290</v>
      </c>
    </row>
    <row r="1111" spans="3:9" ht="21" customHeight="1">
      <c r="C1111" s="281">
        <v>2</v>
      </c>
      <c r="D1111" s="182" t="s">
        <v>7</v>
      </c>
      <c r="E1111" s="176" t="s">
        <v>6</v>
      </c>
      <c r="F1111" s="309">
        <v>7.1400000000000005E-2</v>
      </c>
      <c r="G1111" s="283">
        <f>VLOOKUP(D1111,upahbahan,3,FALSE)</f>
        <v>135000</v>
      </c>
      <c r="H1111" s="284">
        <f t="shared" si="109"/>
        <v>9639</v>
      </c>
    </row>
    <row r="1112" spans="3:9" ht="21" customHeight="1">
      <c r="C1112" s="281">
        <v>3</v>
      </c>
      <c r="D1112" s="182" t="s">
        <v>18</v>
      </c>
      <c r="E1112" s="176" t="s">
        <v>6</v>
      </c>
      <c r="F1112" s="309">
        <v>7.1000000000000004E-3</v>
      </c>
      <c r="G1112" s="283">
        <f>VLOOKUP(D1112,upahbahan,3,FALSE)</f>
        <v>150000</v>
      </c>
      <c r="H1112" s="284">
        <f t="shared" si="109"/>
        <v>1065</v>
      </c>
    </row>
    <row r="1113" spans="3:9" ht="21" customHeight="1">
      <c r="C1113" s="281">
        <v>4</v>
      </c>
      <c r="D1113" s="182" t="s">
        <v>19</v>
      </c>
      <c r="E1113" s="176" t="s">
        <v>6</v>
      </c>
      <c r="F1113" s="309">
        <v>2.3999999999999998E-3</v>
      </c>
      <c r="G1113" s="283">
        <f>VLOOKUP(D1113,upahbahan,3,FALSE)</f>
        <v>160000</v>
      </c>
      <c r="H1113" s="284">
        <f t="shared" si="109"/>
        <v>383.99999999999994</v>
      </c>
    </row>
    <row r="1114" spans="3:9" ht="21" customHeight="1">
      <c r="C1114" s="66" t="s">
        <v>1208</v>
      </c>
      <c r="D1114" s="67"/>
      <c r="E1114" s="67"/>
      <c r="F1114" s="142"/>
      <c r="G1114" s="153"/>
      <c r="H1114" s="284">
        <f>SUM(H1110:H1113)</f>
        <v>25378</v>
      </c>
      <c r="I1114" s="320"/>
    </row>
    <row r="1115" spans="3:9" ht="21" customHeight="1">
      <c r="C1115" s="290" t="s">
        <v>1209</v>
      </c>
      <c r="D1115" s="182" t="s">
        <v>1210</v>
      </c>
      <c r="E1115" s="70"/>
      <c r="F1115" s="70"/>
      <c r="G1115" s="70"/>
      <c r="H1115" s="71"/>
    </row>
    <row r="1116" spans="3:9" ht="21" customHeight="1">
      <c r="C1116" s="310" t="s">
        <v>1203</v>
      </c>
      <c r="D1116" s="285" t="s">
        <v>427</v>
      </c>
      <c r="E1116" s="176" t="s">
        <v>44</v>
      </c>
      <c r="F1116" s="282">
        <v>11.667</v>
      </c>
      <c r="G1116" s="283">
        <f>VLOOKUP(D1116,upahbahan,3,FALSE)</f>
        <v>4000</v>
      </c>
      <c r="H1116" s="284">
        <f t="shared" ref="H1116:H1119" si="110">F1116*G1116</f>
        <v>46668</v>
      </c>
    </row>
    <row r="1117" spans="3:9" ht="21" customHeight="1">
      <c r="C1117" s="310" t="s">
        <v>1204</v>
      </c>
      <c r="D1117" s="182" t="s">
        <v>2332</v>
      </c>
      <c r="E1117" s="176" t="s">
        <v>65</v>
      </c>
      <c r="F1117" s="282">
        <v>13.632</v>
      </c>
      <c r="G1117" s="283">
        <f>VLOOKUP(D1117,upahbahan,3,FALSE)</f>
        <v>1530</v>
      </c>
      <c r="H1117" s="284">
        <f t="shared" si="110"/>
        <v>20856.96</v>
      </c>
    </row>
    <row r="1118" spans="3:9" ht="21" customHeight="1">
      <c r="C1118" s="310" t="s">
        <v>1205</v>
      </c>
      <c r="D1118" s="182" t="s">
        <v>562</v>
      </c>
      <c r="E1118" s="176" t="s">
        <v>65</v>
      </c>
      <c r="F1118" s="282">
        <v>1.5</v>
      </c>
      <c r="G1118" s="283">
        <f>VLOOKUP(D1118,upahbahan,3,FALSE)</f>
        <v>18000</v>
      </c>
      <c r="H1118" s="284">
        <f t="shared" si="110"/>
        <v>27000</v>
      </c>
    </row>
    <row r="1119" spans="3:9" ht="21" customHeight="1">
      <c r="C1119" s="310" t="s">
        <v>1206</v>
      </c>
      <c r="D1119" s="285" t="s">
        <v>85</v>
      </c>
      <c r="E1119" s="176" t="s">
        <v>42</v>
      </c>
      <c r="F1119" s="282">
        <v>2.7E-2</v>
      </c>
      <c r="G1119" s="283">
        <f>VLOOKUP(D1119,upahbahan,3,FALSE)</f>
        <v>310500</v>
      </c>
      <c r="H1119" s="284">
        <f t="shared" si="110"/>
        <v>8383.5</v>
      </c>
    </row>
    <row r="1120" spans="3:9" ht="21" customHeight="1">
      <c r="C1120" s="66" t="s">
        <v>1214</v>
      </c>
      <c r="D1120" s="67"/>
      <c r="E1120" s="67"/>
      <c r="F1120" s="67"/>
      <c r="G1120" s="69"/>
      <c r="H1120" s="284">
        <f>SUM(H1116:H1119)</f>
        <v>102908.45999999999</v>
      </c>
    </row>
    <row r="1121" spans="3:9" ht="21" customHeight="1">
      <c r="C1121" s="321" t="s">
        <v>1215</v>
      </c>
      <c r="D1121" s="182" t="s">
        <v>1216</v>
      </c>
      <c r="E1121" s="70"/>
      <c r="F1121" s="70"/>
      <c r="G1121" s="70"/>
      <c r="H1121" s="71"/>
    </row>
    <row r="1122" spans="3:9" ht="21" customHeight="1">
      <c r="C1122" s="66" t="s">
        <v>1217</v>
      </c>
      <c r="D1122" s="67"/>
      <c r="E1122" s="67"/>
      <c r="F1122" s="67"/>
      <c r="G1122" s="69"/>
      <c r="H1122" s="292">
        <v>0</v>
      </c>
    </row>
    <row r="1123" spans="3:9" ht="21" customHeight="1">
      <c r="C1123" s="293" t="s">
        <v>1218</v>
      </c>
      <c r="D1123" s="294" t="s">
        <v>1219</v>
      </c>
      <c r="E1123" s="295"/>
      <c r="F1123" s="295"/>
      <c r="G1123" s="296"/>
      <c r="H1123" s="284">
        <f>H1122+H1120+H1114</f>
        <v>128286.45999999999</v>
      </c>
    </row>
    <row r="1124" spans="3:9" ht="21" customHeight="1">
      <c r="C1124" s="293" t="s">
        <v>1220</v>
      </c>
      <c r="D1124" s="294" t="s">
        <v>1321</v>
      </c>
      <c r="E1124" s="295"/>
      <c r="F1124" s="296"/>
      <c r="G1124" s="298">
        <f>$M$8</f>
        <v>0.1</v>
      </c>
      <c r="H1124" s="284">
        <f>H1123*G1124</f>
        <v>12828.646000000001</v>
      </c>
    </row>
    <row r="1125" spans="3:9" ht="21" customHeight="1" thickBot="1">
      <c r="C1125" s="299" t="s">
        <v>1221</v>
      </c>
      <c r="D1125" s="300" t="s">
        <v>1222</v>
      </c>
      <c r="E1125" s="301"/>
      <c r="F1125" s="301"/>
      <c r="G1125" s="302"/>
      <c r="H1125" s="303">
        <f>SUM(H1123:H1124)</f>
        <v>141115.106</v>
      </c>
    </row>
    <row r="1126" spans="3:9" ht="14.4" thickTop="1">
      <c r="C1126" s="304"/>
      <c r="D1126" s="304"/>
      <c r="E1126" s="304"/>
      <c r="F1126" s="304"/>
      <c r="G1126" s="304"/>
      <c r="H1126" s="305"/>
    </row>
    <row r="1127" spans="3:9" ht="14.4" thickBot="1">
      <c r="C1127" s="47" t="s">
        <v>2933</v>
      </c>
      <c r="D1127" s="485" t="s">
        <v>1448</v>
      </c>
      <c r="E1127" s="485"/>
      <c r="F1127" s="485"/>
      <c r="G1127" s="485"/>
      <c r="H1127" s="485"/>
      <c r="I1127" s="120">
        <f>ROUNDDOWN(H1145,-2)</f>
        <v>150400</v>
      </c>
    </row>
    <row r="1128" spans="3:9" ht="28.2" thickTop="1">
      <c r="C1128" s="51" t="s">
        <v>1195</v>
      </c>
      <c r="D1128" s="52" t="s">
        <v>1196</v>
      </c>
      <c r="E1128" s="52" t="s">
        <v>1197</v>
      </c>
      <c r="F1128" s="52" t="s">
        <v>1198</v>
      </c>
      <c r="G1128" s="52" t="s">
        <v>1199</v>
      </c>
      <c r="H1128" s="53" t="s">
        <v>1200</v>
      </c>
    </row>
    <row r="1129" spans="3:9" ht="21" customHeight="1">
      <c r="C1129" s="290" t="s">
        <v>1201</v>
      </c>
      <c r="D1129" s="182" t="s">
        <v>1202</v>
      </c>
      <c r="E1129" s="70"/>
      <c r="F1129" s="70"/>
      <c r="G1129" s="70"/>
      <c r="H1129" s="71"/>
    </row>
    <row r="1130" spans="3:9" ht="21" customHeight="1">
      <c r="C1130" s="281">
        <v>1</v>
      </c>
      <c r="D1130" s="182" t="s">
        <v>5</v>
      </c>
      <c r="E1130" s="176" t="s">
        <v>6</v>
      </c>
      <c r="F1130" s="309">
        <v>0.15379999999999999</v>
      </c>
      <c r="G1130" s="283">
        <f>VLOOKUP(D1130,upahbahan,3,FALSE)</f>
        <v>100000</v>
      </c>
      <c r="H1130" s="284">
        <f t="shared" ref="H1130:H1133" si="111">F1130*G1130</f>
        <v>15380</v>
      </c>
    </row>
    <row r="1131" spans="3:9" ht="21" customHeight="1">
      <c r="C1131" s="281">
        <v>2</v>
      </c>
      <c r="D1131" s="182" t="s">
        <v>7</v>
      </c>
      <c r="E1131" s="176" t="s">
        <v>6</v>
      </c>
      <c r="F1131" s="309">
        <v>7.6899999999999996E-2</v>
      </c>
      <c r="G1131" s="283">
        <f>VLOOKUP(D1131,upahbahan,3,FALSE)</f>
        <v>135000</v>
      </c>
      <c r="H1131" s="284">
        <f t="shared" si="111"/>
        <v>10381.5</v>
      </c>
    </row>
    <row r="1132" spans="3:9" ht="21" customHeight="1">
      <c r="C1132" s="281">
        <v>3</v>
      </c>
      <c r="D1132" s="182" t="s">
        <v>18</v>
      </c>
      <c r="E1132" s="176" t="s">
        <v>6</v>
      </c>
      <c r="F1132" s="309">
        <v>7.7000000000000002E-3</v>
      </c>
      <c r="G1132" s="283">
        <f>VLOOKUP(D1132,upahbahan,3,FALSE)</f>
        <v>150000</v>
      </c>
      <c r="H1132" s="284">
        <f t="shared" si="111"/>
        <v>1155</v>
      </c>
    </row>
    <row r="1133" spans="3:9" ht="21" customHeight="1">
      <c r="C1133" s="281">
        <v>4</v>
      </c>
      <c r="D1133" s="182" t="s">
        <v>19</v>
      </c>
      <c r="E1133" s="176" t="s">
        <v>6</v>
      </c>
      <c r="F1133" s="309">
        <v>2.5999999999999999E-3</v>
      </c>
      <c r="G1133" s="283">
        <f>VLOOKUP(D1133,upahbahan,3,FALSE)</f>
        <v>160000</v>
      </c>
      <c r="H1133" s="284">
        <f t="shared" si="111"/>
        <v>416</v>
      </c>
    </row>
    <row r="1134" spans="3:9" ht="21" customHeight="1">
      <c r="C1134" s="66" t="s">
        <v>1208</v>
      </c>
      <c r="D1134" s="67"/>
      <c r="E1134" s="67"/>
      <c r="F1134" s="142"/>
      <c r="G1134" s="153"/>
      <c r="H1134" s="284">
        <f>SUM(H1130:H1133)</f>
        <v>27332.5</v>
      </c>
      <c r="I1134" s="320"/>
    </row>
    <row r="1135" spans="3:9" ht="21" customHeight="1">
      <c r="C1135" s="290" t="s">
        <v>1209</v>
      </c>
      <c r="D1135" s="182" t="s">
        <v>1210</v>
      </c>
      <c r="E1135" s="70"/>
      <c r="F1135" s="70"/>
      <c r="G1135" s="70"/>
      <c r="H1135" s="71"/>
    </row>
    <row r="1136" spans="3:9" ht="21" customHeight="1">
      <c r="C1136" s="310" t="s">
        <v>1203</v>
      </c>
      <c r="D1136" s="285" t="s">
        <v>428</v>
      </c>
      <c r="E1136" s="176" t="s">
        <v>44</v>
      </c>
      <c r="F1136" s="309">
        <v>6.5629999999999997</v>
      </c>
      <c r="G1136" s="283">
        <f>VLOOKUP(D1136,upahbahan,3,FALSE)</f>
        <v>8100</v>
      </c>
      <c r="H1136" s="284">
        <f t="shared" ref="H1136:H1139" si="112">F1136*G1136</f>
        <v>53160.299999999996</v>
      </c>
    </row>
    <row r="1137" spans="3:9" ht="21" customHeight="1">
      <c r="C1137" s="310" t="s">
        <v>1204</v>
      </c>
      <c r="D1137" s="182" t="s">
        <v>2332</v>
      </c>
      <c r="E1137" s="176" t="s">
        <v>65</v>
      </c>
      <c r="F1137" s="282">
        <v>13.632</v>
      </c>
      <c r="G1137" s="283">
        <f>VLOOKUP(D1137,upahbahan,3,FALSE)</f>
        <v>1530</v>
      </c>
      <c r="H1137" s="284">
        <f t="shared" si="112"/>
        <v>20856.96</v>
      </c>
    </row>
    <row r="1138" spans="3:9" ht="21" customHeight="1">
      <c r="C1138" s="310" t="s">
        <v>1205</v>
      </c>
      <c r="D1138" s="182" t="s">
        <v>562</v>
      </c>
      <c r="E1138" s="176" t="s">
        <v>65</v>
      </c>
      <c r="F1138" s="282">
        <v>1.5</v>
      </c>
      <c r="G1138" s="283">
        <f>VLOOKUP(D1138,upahbahan,3,FALSE)</f>
        <v>18000</v>
      </c>
      <c r="H1138" s="284">
        <f t="shared" si="112"/>
        <v>27000</v>
      </c>
    </row>
    <row r="1139" spans="3:9" ht="21" customHeight="1">
      <c r="C1139" s="310" t="s">
        <v>1206</v>
      </c>
      <c r="D1139" s="285" t="s">
        <v>85</v>
      </c>
      <c r="E1139" s="176" t="s">
        <v>42</v>
      </c>
      <c r="F1139" s="282">
        <v>2.7E-2</v>
      </c>
      <c r="G1139" s="283">
        <f>VLOOKUP(D1139,upahbahan,3,FALSE)</f>
        <v>310500</v>
      </c>
      <c r="H1139" s="284">
        <f t="shared" si="112"/>
        <v>8383.5</v>
      </c>
    </row>
    <row r="1140" spans="3:9" ht="21" customHeight="1">
      <c r="C1140" s="66" t="s">
        <v>1214</v>
      </c>
      <c r="D1140" s="67"/>
      <c r="E1140" s="67"/>
      <c r="F1140" s="67"/>
      <c r="G1140" s="69"/>
      <c r="H1140" s="284">
        <f>SUM(H1136:H1139)</f>
        <v>109400.76</v>
      </c>
    </row>
    <row r="1141" spans="3:9" ht="21" customHeight="1">
      <c r="C1141" s="321" t="s">
        <v>1215</v>
      </c>
      <c r="D1141" s="182" t="s">
        <v>1216</v>
      </c>
      <c r="E1141" s="70"/>
      <c r="F1141" s="70"/>
      <c r="G1141" s="70"/>
      <c r="H1141" s="71"/>
    </row>
    <row r="1142" spans="3:9" ht="21" customHeight="1">
      <c r="C1142" s="66" t="s">
        <v>1217</v>
      </c>
      <c r="D1142" s="67"/>
      <c r="E1142" s="67"/>
      <c r="F1142" s="67"/>
      <c r="G1142" s="69"/>
      <c r="H1142" s="292">
        <v>0</v>
      </c>
    </row>
    <row r="1143" spans="3:9" ht="21" customHeight="1">
      <c r="C1143" s="293" t="s">
        <v>1218</v>
      </c>
      <c r="D1143" s="294" t="s">
        <v>1219</v>
      </c>
      <c r="E1143" s="295"/>
      <c r="F1143" s="295"/>
      <c r="G1143" s="296"/>
      <c r="H1143" s="284">
        <f>H1142+H1140+H1134</f>
        <v>136733.26</v>
      </c>
    </row>
    <row r="1144" spans="3:9" ht="21" customHeight="1">
      <c r="C1144" s="293" t="s">
        <v>1220</v>
      </c>
      <c r="D1144" s="294" t="s">
        <v>1321</v>
      </c>
      <c r="E1144" s="295"/>
      <c r="F1144" s="296"/>
      <c r="G1144" s="298">
        <f>$M$8</f>
        <v>0.1</v>
      </c>
      <c r="H1144" s="284">
        <f>H1143*G1144</f>
        <v>13673.326000000001</v>
      </c>
    </row>
    <row r="1145" spans="3:9" ht="21" customHeight="1" thickBot="1">
      <c r="C1145" s="299" t="s">
        <v>1221</v>
      </c>
      <c r="D1145" s="300" t="s">
        <v>1222</v>
      </c>
      <c r="E1145" s="301"/>
      <c r="F1145" s="301"/>
      <c r="G1145" s="302"/>
      <c r="H1145" s="303">
        <f>SUM(H1143:H1144)</f>
        <v>150406.58600000001</v>
      </c>
    </row>
    <row r="1146" spans="3:9" ht="14.4" thickTop="1">
      <c r="C1146" s="289"/>
      <c r="D1146" s="297"/>
      <c r="E1146" s="297"/>
      <c r="F1146" s="297"/>
      <c r="G1146" s="297"/>
      <c r="H1146" s="139"/>
    </row>
    <row r="1147" spans="3:9">
      <c r="C1147" s="126" t="s">
        <v>2934</v>
      </c>
      <c r="D1147" s="138" t="s">
        <v>2935</v>
      </c>
      <c r="E1147" s="297"/>
      <c r="F1147" s="297"/>
      <c r="G1147" s="297"/>
      <c r="H1147" s="139"/>
    </row>
    <row r="1148" spans="3:9" ht="31.65" customHeight="1" thickBot="1">
      <c r="C1148" s="47" t="s">
        <v>2936</v>
      </c>
      <c r="D1148" s="487" t="s">
        <v>2937</v>
      </c>
      <c r="E1148" s="487"/>
      <c r="F1148" s="487"/>
      <c r="G1148" s="487"/>
      <c r="H1148" s="487"/>
      <c r="I1148" s="120">
        <f>ROUNDDOWN(H1166,-2)</f>
        <v>308600</v>
      </c>
    </row>
    <row r="1149" spans="3:9" ht="28.2" thickTop="1">
      <c r="C1149" s="51" t="s">
        <v>1195</v>
      </c>
      <c r="D1149" s="52" t="s">
        <v>1196</v>
      </c>
      <c r="E1149" s="52" t="s">
        <v>1197</v>
      </c>
      <c r="F1149" s="52" t="s">
        <v>1198</v>
      </c>
      <c r="G1149" s="52" t="s">
        <v>1199</v>
      </c>
      <c r="H1149" s="53" t="s">
        <v>1200</v>
      </c>
    </row>
    <row r="1150" spans="3:9" ht="21" customHeight="1">
      <c r="C1150" s="290" t="s">
        <v>1201</v>
      </c>
      <c r="D1150" s="182" t="s">
        <v>1202</v>
      </c>
      <c r="E1150" s="70"/>
      <c r="F1150" s="70"/>
      <c r="G1150" s="70"/>
      <c r="H1150" s="71"/>
    </row>
    <row r="1151" spans="3:9" ht="21" customHeight="1">
      <c r="C1151" s="281">
        <v>1</v>
      </c>
      <c r="D1151" s="182" t="s">
        <v>5</v>
      </c>
      <c r="E1151" s="176" t="s">
        <v>6</v>
      </c>
      <c r="F1151" s="315">
        <v>1</v>
      </c>
      <c r="G1151" s="283">
        <f>VLOOKUP(D1151,upahbahan,3,FALSE)</f>
        <v>100000</v>
      </c>
      <c r="H1151" s="284">
        <f t="shared" ref="H1151:H1154" si="113">F1151*G1151</f>
        <v>100000</v>
      </c>
    </row>
    <row r="1152" spans="3:9" ht="21" customHeight="1">
      <c r="C1152" s="281">
        <v>2</v>
      </c>
      <c r="D1152" s="182" t="s">
        <v>7</v>
      </c>
      <c r="E1152" s="176" t="s">
        <v>6</v>
      </c>
      <c r="F1152" s="315">
        <v>0.5</v>
      </c>
      <c r="G1152" s="283">
        <f>VLOOKUP(D1152,upahbahan,3,FALSE)</f>
        <v>135000</v>
      </c>
      <c r="H1152" s="284">
        <f t="shared" si="113"/>
        <v>67500</v>
      </c>
    </row>
    <row r="1153" spans="3:9" ht="21" customHeight="1">
      <c r="C1153" s="281">
        <v>3</v>
      </c>
      <c r="D1153" s="182" t="s">
        <v>18</v>
      </c>
      <c r="E1153" s="176" t="s">
        <v>6</v>
      </c>
      <c r="F1153" s="315">
        <v>0.05</v>
      </c>
      <c r="G1153" s="283">
        <f>VLOOKUP(D1153,upahbahan,3,FALSE)</f>
        <v>150000</v>
      </c>
      <c r="H1153" s="284">
        <f t="shared" si="113"/>
        <v>7500</v>
      </c>
    </row>
    <row r="1154" spans="3:9" ht="21" customHeight="1">
      <c r="C1154" s="281">
        <v>4</v>
      </c>
      <c r="D1154" s="182" t="s">
        <v>19</v>
      </c>
      <c r="E1154" s="176" t="s">
        <v>6</v>
      </c>
      <c r="F1154" s="315">
        <v>1.67E-2</v>
      </c>
      <c r="G1154" s="283">
        <f>VLOOKUP(D1154,upahbahan,3,FALSE)</f>
        <v>160000</v>
      </c>
      <c r="H1154" s="284">
        <f t="shared" si="113"/>
        <v>2672</v>
      </c>
    </row>
    <row r="1155" spans="3:9" ht="21" customHeight="1">
      <c r="C1155" s="66" t="s">
        <v>1208</v>
      </c>
      <c r="D1155" s="67"/>
      <c r="E1155" s="67"/>
      <c r="F1155" s="142"/>
      <c r="G1155" s="153"/>
      <c r="H1155" s="284">
        <f>SUM(H1151:H1154)</f>
        <v>177672</v>
      </c>
      <c r="I1155" s="320"/>
    </row>
    <row r="1156" spans="3:9" ht="21" customHeight="1">
      <c r="C1156" s="290" t="s">
        <v>1209</v>
      </c>
      <c r="D1156" s="182" t="s">
        <v>1210</v>
      </c>
      <c r="E1156" s="70"/>
      <c r="F1156" s="70"/>
      <c r="G1156" s="70"/>
      <c r="H1156" s="71"/>
    </row>
    <row r="1157" spans="3:9" ht="21" customHeight="1">
      <c r="C1157" s="310" t="s">
        <v>1203</v>
      </c>
      <c r="D1157" s="285" t="s">
        <v>2938</v>
      </c>
      <c r="E1157" s="176" t="s">
        <v>44</v>
      </c>
      <c r="F1157" s="309">
        <v>11.667</v>
      </c>
      <c r="G1157" s="283">
        <f>VLOOKUP(D1157,upahbahan,3,FALSE)</f>
        <v>4000</v>
      </c>
      <c r="H1157" s="284">
        <f t="shared" ref="H1157:H1160" si="114">F1157*G1157</f>
        <v>46668</v>
      </c>
    </row>
    <row r="1158" spans="3:9" ht="21" customHeight="1">
      <c r="C1158" s="310" t="s">
        <v>1204</v>
      </c>
      <c r="D1158" s="182" t="s">
        <v>2332</v>
      </c>
      <c r="E1158" s="176" t="s">
        <v>65</v>
      </c>
      <c r="F1158" s="282">
        <v>13.632</v>
      </c>
      <c r="G1158" s="283">
        <f>VLOOKUP(D1158,upahbahan,3,FALSE)</f>
        <v>1530</v>
      </c>
      <c r="H1158" s="284">
        <f t="shared" si="114"/>
        <v>20856.96</v>
      </c>
    </row>
    <row r="1159" spans="3:9" ht="21" customHeight="1">
      <c r="C1159" s="310" t="s">
        <v>1205</v>
      </c>
      <c r="D1159" s="182" t="s">
        <v>562</v>
      </c>
      <c r="E1159" s="176" t="s">
        <v>65</v>
      </c>
      <c r="F1159" s="282">
        <v>1.5</v>
      </c>
      <c r="G1159" s="283">
        <f>VLOOKUP(D1159,upahbahan,3,FALSE)</f>
        <v>18000</v>
      </c>
      <c r="H1159" s="284">
        <f t="shared" si="114"/>
        <v>27000</v>
      </c>
    </row>
    <row r="1160" spans="3:9" ht="21" customHeight="1">
      <c r="C1160" s="310" t="s">
        <v>1206</v>
      </c>
      <c r="D1160" s="285" t="s">
        <v>85</v>
      </c>
      <c r="E1160" s="176" t="s">
        <v>42</v>
      </c>
      <c r="F1160" s="282">
        <v>2.7E-2</v>
      </c>
      <c r="G1160" s="283">
        <f>VLOOKUP(D1160,upahbahan,3,FALSE)</f>
        <v>310500</v>
      </c>
      <c r="H1160" s="284">
        <f t="shared" si="114"/>
        <v>8383.5</v>
      </c>
    </row>
    <row r="1161" spans="3:9" ht="21" customHeight="1">
      <c r="C1161" s="66" t="s">
        <v>1214</v>
      </c>
      <c r="D1161" s="67"/>
      <c r="E1161" s="67"/>
      <c r="F1161" s="67"/>
      <c r="G1161" s="69"/>
      <c r="H1161" s="284">
        <f>SUM(H1157:H1160)</f>
        <v>102908.45999999999</v>
      </c>
    </row>
    <row r="1162" spans="3:9" ht="21" customHeight="1">
      <c r="C1162" s="321" t="s">
        <v>1215</v>
      </c>
      <c r="D1162" s="182" t="s">
        <v>1216</v>
      </c>
      <c r="E1162" s="70"/>
      <c r="F1162" s="70"/>
      <c r="G1162" s="70"/>
      <c r="H1162" s="71"/>
    </row>
    <row r="1163" spans="3:9" ht="21" customHeight="1">
      <c r="C1163" s="66" t="s">
        <v>1217</v>
      </c>
      <c r="D1163" s="67"/>
      <c r="E1163" s="67"/>
      <c r="F1163" s="67"/>
      <c r="G1163" s="69"/>
      <c r="H1163" s="292">
        <v>0</v>
      </c>
    </row>
    <row r="1164" spans="3:9" ht="21" customHeight="1">
      <c r="C1164" s="293" t="s">
        <v>1218</v>
      </c>
      <c r="D1164" s="294" t="s">
        <v>1219</v>
      </c>
      <c r="E1164" s="295"/>
      <c r="F1164" s="295"/>
      <c r="G1164" s="296"/>
      <c r="H1164" s="284">
        <f>H1163+H1161+H1155</f>
        <v>280580.45999999996</v>
      </c>
    </row>
    <row r="1165" spans="3:9" ht="21" customHeight="1">
      <c r="C1165" s="293" t="s">
        <v>1220</v>
      </c>
      <c r="D1165" s="294" t="s">
        <v>1321</v>
      </c>
      <c r="E1165" s="295"/>
      <c r="F1165" s="296"/>
      <c r="G1165" s="298">
        <f>$M$8</f>
        <v>0.1</v>
      </c>
      <c r="H1165" s="284">
        <f>H1164*G1165</f>
        <v>28058.045999999998</v>
      </c>
    </row>
    <row r="1166" spans="3:9" ht="21" customHeight="1" thickBot="1">
      <c r="C1166" s="299" t="s">
        <v>1221</v>
      </c>
      <c r="D1166" s="300" t="s">
        <v>1222</v>
      </c>
      <c r="E1166" s="301"/>
      <c r="F1166" s="301"/>
      <c r="G1166" s="302"/>
      <c r="H1166" s="303">
        <f>SUM(H1164:H1165)</f>
        <v>308638.50599999994</v>
      </c>
    </row>
    <row r="1167" spans="3:9" ht="14.4" thickTop="1">
      <c r="C1167" s="126"/>
      <c r="D1167" s="138"/>
      <c r="E1167" s="297"/>
      <c r="F1167" s="297"/>
      <c r="G1167" s="297"/>
      <c r="H1167" s="139"/>
    </row>
    <row r="1168" spans="3:9" ht="32.25" customHeight="1" thickBot="1">
      <c r="C1168" s="47" t="s">
        <v>2942</v>
      </c>
      <c r="D1168" s="487" t="s">
        <v>2943</v>
      </c>
      <c r="E1168" s="487"/>
      <c r="F1168" s="487"/>
      <c r="G1168" s="487"/>
      <c r="H1168" s="487"/>
      <c r="I1168" s="120">
        <f>ROUNDDOWN(H1186,-2)</f>
        <v>315700</v>
      </c>
    </row>
    <row r="1169" spans="3:9" ht="28.2" thickTop="1">
      <c r="C1169" s="51" t="s">
        <v>1195</v>
      </c>
      <c r="D1169" s="52" t="s">
        <v>1196</v>
      </c>
      <c r="E1169" s="52" t="s">
        <v>1197</v>
      </c>
      <c r="F1169" s="52" t="s">
        <v>1198</v>
      </c>
      <c r="G1169" s="52" t="s">
        <v>1199</v>
      </c>
      <c r="H1169" s="53" t="s">
        <v>1200</v>
      </c>
    </row>
    <row r="1170" spans="3:9" ht="21" customHeight="1">
      <c r="C1170" s="290" t="s">
        <v>1201</v>
      </c>
      <c r="D1170" s="182" t="s">
        <v>1202</v>
      </c>
      <c r="E1170" s="70"/>
      <c r="F1170" s="70"/>
      <c r="G1170" s="70"/>
      <c r="H1170" s="71"/>
    </row>
    <row r="1171" spans="3:9" ht="21" customHeight="1">
      <c r="C1171" s="281">
        <v>1</v>
      </c>
      <c r="D1171" s="182" t="s">
        <v>5</v>
      </c>
      <c r="E1171" s="176" t="s">
        <v>6</v>
      </c>
      <c r="F1171" s="315">
        <v>1</v>
      </c>
      <c r="G1171" s="283">
        <f>VLOOKUP(D1171,upahbahan,3,FALSE)</f>
        <v>100000</v>
      </c>
      <c r="H1171" s="284">
        <f t="shared" ref="H1171:H1174" si="115">F1171*G1171</f>
        <v>100000</v>
      </c>
    </row>
    <row r="1172" spans="3:9" ht="21" customHeight="1">
      <c r="C1172" s="281">
        <v>2</v>
      </c>
      <c r="D1172" s="182" t="s">
        <v>7</v>
      </c>
      <c r="E1172" s="176" t="s">
        <v>6</v>
      </c>
      <c r="F1172" s="315">
        <v>0.5</v>
      </c>
      <c r="G1172" s="283">
        <f>VLOOKUP(D1172,upahbahan,3,FALSE)</f>
        <v>135000</v>
      </c>
      <c r="H1172" s="284">
        <f t="shared" si="115"/>
        <v>67500</v>
      </c>
    </row>
    <row r="1173" spans="3:9" ht="21" customHeight="1">
      <c r="C1173" s="281">
        <v>3</v>
      </c>
      <c r="D1173" s="182" t="s">
        <v>18</v>
      </c>
      <c r="E1173" s="176" t="s">
        <v>6</v>
      </c>
      <c r="F1173" s="315">
        <v>0.05</v>
      </c>
      <c r="G1173" s="283">
        <f>VLOOKUP(D1173,upahbahan,3,FALSE)</f>
        <v>150000</v>
      </c>
      <c r="H1173" s="284">
        <f t="shared" si="115"/>
        <v>7500</v>
      </c>
    </row>
    <row r="1174" spans="3:9" ht="21" customHeight="1">
      <c r="C1174" s="281">
        <v>4</v>
      </c>
      <c r="D1174" s="182" t="s">
        <v>19</v>
      </c>
      <c r="E1174" s="176" t="s">
        <v>6</v>
      </c>
      <c r="F1174" s="315">
        <v>1.67E-2</v>
      </c>
      <c r="G1174" s="283">
        <f>VLOOKUP(D1174,upahbahan,3,FALSE)</f>
        <v>160000</v>
      </c>
      <c r="H1174" s="284">
        <f t="shared" si="115"/>
        <v>2672</v>
      </c>
    </row>
    <row r="1175" spans="3:9" ht="21" customHeight="1">
      <c r="C1175" s="66" t="s">
        <v>1208</v>
      </c>
      <c r="D1175" s="67"/>
      <c r="E1175" s="67"/>
      <c r="F1175" s="142"/>
      <c r="G1175" s="153"/>
      <c r="H1175" s="284">
        <f>SUM(H1171:H1174)</f>
        <v>177672</v>
      </c>
      <c r="I1175" s="320"/>
    </row>
    <row r="1176" spans="3:9" ht="21" customHeight="1">
      <c r="C1176" s="290" t="s">
        <v>1209</v>
      </c>
      <c r="D1176" s="182" t="s">
        <v>1210</v>
      </c>
      <c r="E1176" s="70"/>
      <c r="F1176" s="70"/>
      <c r="G1176" s="70"/>
      <c r="H1176" s="71"/>
    </row>
    <row r="1177" spans="3:9" ht="21" customHeight="1">
      <c r="C1177" s="310" t="s">
        <v>1203</v>
      </c>
      <c r="D1177" s="285" t="s">
        <v>2944</v>
      </c>
      <c r="E1177" s="176" t="s">
        <v>44</v>
      </c>
      <c r="F1177" s="309">
        <v>6.5629999999999997</v>
      </c>
      <c r="G1177" s="283">
        <f>VLOOKUP(D1177,upahbahan,3,FALSE)</f>
        <v>8100</v>
      </c>
      <c r="H1177" s="284">
        <f t="shared" ref="H1177:H1180" si="116">F1177*G1177</f>
        <v>53160.299999999996</v>
      </c>
    </row>
    <row r="1178" spans="3:9" ht="21" customHeight="1">
      <c r="C1178" s="310" t="s">
        <v>1204</v>
      </c>
      <c r="D1178" s="182" t="s">
        <v>2334</v>
      </c>
      <c r="E1178" s="176" t="s">
        <v>65</v>
      </c>
      <c r="F1178" s="282">
        <v>13.632</v>
      </c>
      <c r="G1178" s="283">
        <f>VLOOKUP(D1178,upahbahan,3,FALSE)</f>
        <v>1530</v>
      </c>
      <c r="H1178" s="284">
        <f t="shared" si="116"/>
        <v>20856.96</v>
      </c>
    </row>
    <row r="1179" spans="3:9" ht="21" customHeight="1">
      <c r="C1179" s="310" t="s">
        <v>1205</v>
      </c>
      <c r="D1179" s="182" t="s">
        <v>562</v>
      </c>
      <c r="E1179" s="176" t="s">
        <v>65</v>
      </c>
      <c r="F1179" s="282">
        <v>1.5</v>
      </c>
      <c r="G1179" s="283">
        <f>VLOOKUP(D1179,upahbahan,3,FALSE)</f>
        <v>18000</v>
      </c>
      <c r="H1179" s="284">
        <f t="shared" si="116"/>
        <v>27000</v>
      </c>
    </row>
    <row r="1180" spans="3:9" ht="21" customHeight="1">
      <c r="C1180" s="310" t="s">
        <v>1206</v>
      </c>
      <c r="D1180" s="285" t="s">
        <v>85</v>
      </c>
      <c r="E1180" s="176" t="s">
        <v>42</v>
      </c>
      <c r="F1180" s="282">
        <v>2.7E-2</v>
      </c>
      <c r="G1180" s="283">
        <f>VLOOKUP(D1180,upahbahan,3,FALSE)</f>
        <v>310500</v>
      </c>
      <c r="H1180" s="284">
        <f t="shared" si="116"/>
        <v>8383.5</v>
      </c>
    </row>
    <row r="1181" spans="3:9" ht="21" customHeight="1">
      <c r="C1181" s="66" t="s">
        <v>1214</v>
      </c>
      <c r="D1181" s="67"/>
      <c r="E1181" s="67"/>
      <c r="F1181" s="67"/>
      <c r="G1181" s="69"/>
      <c r="H1181" s="284">
        <f>SUM(H1177:H1180)</f>
        <v>109400.76</v>
      </c>
    </row>
    <row r="1182" spans="3:9" ht="21" customHeight="1">
      <c r="C1182" s="321" t="s">
        <v>1215</v>
      </c>
      <c r="D1182" s="182" t="s">
        <v>1216</v>
      </c>
      <c r="E1182" s="70"/>
      <c r="F1182" s="70"/>
      <c r="G1182" s="70"/>
      <c r="H1182" s="71"/>
    </row>
    <row r="1183" spans="3:9" ht="21" customHeight="1">
      <c r="C1183" s="66" t="s">
        <v>1217</v>
      </c>
      <c r="D1183" s="67"/>
      <c r="E1183" s="67"/>
      <c r="F1183" s="67"/>
      <c r="G1183" s="69"/>
      <c r="H1183" s="292">
        <v>0</v>
      </c>
    </row>
    <row r="1184" spans="3:9" ht="21" customHeight="1">
      <c r="C1184" s="293" t="s">
        <v>1218</v>
      </c>
      <c r="D1184" s="294" t="s">
        <v>1219</v>
      </c>
      <c r="E1184" s="295"/>
      <c r="F1184" s="295"/>
      <c r="G1184" s="296"/>
      <c r="H1184" s="284">
        <f>H1183+H1181+H1175</f>
        <v>287072.76</v>
      </c>
    </row>
    <row r="1185" spans="3:9" ht="21" customHeight="1">
      <c r="C1185" s="293" t="s">
        <v>1220</v>
      </c>
      <c r="D1185" s="294" t="s">
        <v>1321</v>
      </c>
      <c r="E1185" s="295"/>
      <c r="F1185" s="296"/>
      <c r="G1185" s="298">
        <f>$M$8</f>
        <v>0.1</v>
      </c>
      <c r="H1185" s="284">
        <f>H1184*G1185</f>
        <v>28707.276000000002</v>
      </c>
    </row>
    <row r="1186" spans="3:9" ht="21" customHeight="1" thickBot="1">
      <c r="C1186" s="299" t="s">
        <v>1221</v>
      </c>
      <c r="D1186" s="300" t="s">
        <v>1222</v>
      </c>
      <c r="E1186" s="301"/>
      <c r="F1186" s="301"/>
      <c r="G1186" s="302"/>
      <c r="H1186" s="303">
        <f>SUM(H1184:H1185)</f>
        <v>315780.03600000002</v>
      </c>
    </row>
    <row r="1187" spans="3:9" ht="14.4" thickTop="1">
      <c r="C1187" s="289"/>
      <c r="D1187" s="297"/>
      <c r="E1187" s="297"/>
      <c r="F1187" s="297"/>
      <c r="G1187" s="297"/>
      <c r="H1187" s="139"/>
    </row>
    <row r="1188" spans="3:9">
      <c r="C1188" s="289"/>
      <c r="D1188" s="297"/>
      <c r="E1188" s="297"/>
      <c r="F1188" s="297"/>
      <c r="G1188" s="297"/>
      <c r="H1188" s="139"/>
    </row>
    <row r="1189" spans="3:9" ht="14.4" thickBot="1">
      <c r="C1189" s="47" t="s">
        <v>2945</v>
      </c>
      <c r="D1189" s="485" t="s">
        <v>1449</v>
      </c>
      <c r="E1189" s="485"/>
      <c r="F1189" s="485"/>
      <c r="G1189" s="485"/>
      <c r="H1189" s="485"/>
      <c r="I1189" s="120">
        <f>ROUNDDOWN(H1207,-2)</f>
        <v>30300</v>
      </c>
    </row>
    <row r="1190" spans="3:9" ht="28.2" thickTop="1">
      <c r="C1190" s="51" t="s">
        <v>1195</v>
      </c>
      <c r="D1190" s="52" t="s">
        <v>1196</v>
      </c>
      <c r="E1190" s="52" t="s">
        <v>1197</v>
      </c>
      <c r="F1190" s="52" t="s">
        <v>1198</v>
      </c>
      <c r="G1190" s="52" t="s">
        <v>1199</v>
      </c>
      <c r="H1190" s="53" t="s">
        <v>1200</v>
      </c>
    </row>
    <row r="1191" spans="3:9" ht="21" customHeight="1">
      <c r="C1191" s="290" t="s">
        <v>1201</v>
      </c>
      <c r="D1191" s="182" t="s">
        <v>1202</v>
      </c>
      <c r="E1191" s="70"/>
      <c r="F1191" s="70"/>
      <c r="G1191" s="70"/>
      <c r="H1191" s="71"/>
    </row>
    <row r="1192" spans="3:9" ht="21" customHeight="1">
      <c r="C1192" s="281">
        <v>1</v>
      </c>
      <c r="D1192" s="182" t="s">
        <v>5</v>
      </c>
      <c r="E1192" s="176" t="s">
        <v>6</v>
      </c>
      <c r="F1192" s="315">
        <v>5.7099999999999998E-2</v>
      </c>
      <c r="G1192" s="283">
        <f>VLOOKUP(D1192,upahbahan,3,FALSE)</f>
        <v>100000</v>
      </c>
      <c r="H1192" s="284">
        <f t="shared" ref="H1192:H1195" si="117">F1192*G1192</f>
        <v>5710</v>
      </c>
    </row>
    <row r="1193" spans="3:9" ht="21" customHeight="1">
      <c r="C1193" s="281">
        <v>2</v>
      </c>
      <c r="D1193" s="182" t="s">
        <v>7</v>
      </c>
      <c r="E1193" s="176" t="s">
        <v>6</v>
      </c>
      <c r="F1193" s="315">
        <v>2.86E-2</v>
      </c>
      <c r="G1193" s="283">
        <f>VLOOKUP(D1193,upahbahan,3,FALSE)</f>
        <v>135000</v>
      </c>
      <c r="H1193" s="284">
        <f t="shared" si="117"/>
        <v>3861</v>
      </c>
    </row>
    <row r="1194" spans="3:9" ht="21" customHeight="1">
      <c r="C1194" s="281">
        <v>3</v>
      </c>
      <c r="D1194" s="182" t="s">
        <v>18</v>
      </c>
      <c r="E1194" s="176" t="s">
        <v>6</v>
      </c>
      <c r="F1194" s="315">
        <v>2.8999999999999998E-3</v>
      </c>
      <c r="G1194" s="283">
        <f>VLOOKUP(D1194,upahbahan,3,FALSE)</f>
        <v>150000</v>
      </c>
      <c r="H1194" s="284">
        <f t="shared" si="117"/>
        <v>434.99999999999994</v>
      </c>
    </row>
    <row r="1195" spans="3:9" ht="21" customHeight="1">
      <c r="C1195" s="281">
        <v>4</v>
      </c>
      <c r="D1195" s="182" t="s">
        <v>19</v>
      </c>
      <c r="E1195" s="176" t="s">
        <v>6</v>
      </c>
      <c r="F1195" s="315">
        <v>1E-3</v>
      </c>
      <c r="G1195" s="283">
        <f>VLOOKUP(D1195,upahbahan,3,FALSE)</f>
        <v>160000</v>
      </c>
      <c r="H1195" s="284">
        <f t="shared" si="117"/>
        <v>160</v>
      </c>
    </row>
    <row r="1196" spans="3:9" ht="21" customHeight="1">
      <c r="C1196" s="66" t="s">
        <v>1208</v>
      </c>
      <c r="D1196" s="67"/>
      <c r="E1196" s="67"/>
      <c r="F1196" s="142"/>
      <c r="G1196" s="153"/>
      <c r="H1196" s="284">
        <f>SUM(H1192:H1195)</f>
        <v>10166</v>
      </c>
      <c r="I1196" s="320"/>
    </row>
    <row r="1197" spans="3:9" ht="21" customHeight="1">
      <c r="C1197" s="290" t="s">
        <v>1209</v>
      </c>
      <c r="D1197" s="182" t="s">
        <v>1210</v>
      </c>
      <c r="E1197" s="70"/>
      <c r="F1197" s="70"/>
      <c r="G1197" s="70"/>
      <c r="H1197" s="71"/>
    </row>
    <row r="1198" spans="3:9" ht="21" customHeight="1">
      <c r="C1198" s="310" t="s">
        <v>1203</v>
      </c>
      <c r="D1198" s="285" t="s">
        <v>471</v>
      </c>
      <c r="E1198" s="176" t="s">
        <v>44</v>
      </c>
      <c r="F1198" s="282">
        <v>5.25</v>
      </c>
      <c r="G1198" s="283">
        <f>VLOOKUP(D1198,upahbahan,3,FALSE)</f>
        <v>2000</v>
      </c>
      <c r="H1198" s="284">
        <f t="shared" ref="H1198:H1201" si="118">F1198*G1198</f>
        <v>10500</v>
      </c>
    </row>
    <row r="1199" spans="3:9" ht="21" customHeight="1">
      <c r="C1199" s="310" t="s">
        <v>1204</v>
      </c>
      <c r="D1199" s="182" t="s">
        <v>2332</v>
      </c>
      <c r="E1199" s="176" t="s">
        <v>65</v>
      </c>
      <c r="F1199" s="282">
        <v>1.704</v>
      </c>
      <c r="G1199" s="283">
        <f>VLOOKUP(D1199,upahbahan,3,FALSE)</f>
        <v>1530</v>
      </c>
      <c r="H1199" s="284">
        <f t="shared" si="118"/>
        <v>2607.12</v>
      </c>
    </row>
    <row r="1200" spans="3:9" ht="21" customHeight="1">
      <c r="C1200" s="310" t="s">
        <v>1205</v>
      </c>
      <c r="D1200" s="182" t="s">
        <v>562</v>
      </c>
      <c r="E1200" s="176" t="s">
        <v>65</v>
      </c>
      <c r="F1200" s="282">
        <v>0.188</v>
      </c>
      <c r="G1200" s="283">
        <f>VLOOKUP(D1200,upahbahan,3,FALSE)</f>
        <v>18000</v>
      </c>
      <c r="H1200" s="284">
        <f t="shared" si="118"/>
        <v>3384</v>
      </c>
    </row>
    <row r="1201" spans="3:9" ht="21" customHeight="1">
      <c r="C1201" s="310" t="s">
        <v>1206</v>
      </c>
      <c r="D1201" s="285" t="s">
        <v>85</v>
      </c>
      <c r="E1201" s="176" t="s">
        <v>42</v>
      </c>
      <c r="F1201" s="282">
        <v>3.0000000000000001E-3</v>
      </c>
      <c r="G1201" s="283">
        <f>VLOOKUP(D1201,upahbahan,3,FALSE)</f>
        <v>310500</v>
      </c>
      <c r="H1201" s="284">
        <f t="shared" si="118"/>
        <v>931.5</v>
      </c>
    </row>
    <row r="1202" spans="3:9" ht="21" customHeight="1">
      <c r="C1202" s="66" t="s">
        <v>1214</v>
      </c>
      <c r="D1202" s="67"/>
      <c r="E1202" s="67"/>
      <c r="F1202" s="67"/>
      <c r="G1202" s="69"/>
      <c r="H1202" s="284">
        <f>SUM(H1198:H1201)</f>
        <v>17422.62</v>
      </c>
    </row>
    <row r="1203" spans="3:9" ht="21" customHeight="1">
      <c r="C1203" s="321" t="s">
        <v>1215</v>
      </c>
      <c r="D1203" s="182" t="s">
        <v>1216</v>
      </c>
      <c r="E1203" s="70"/>
      <c r="F1203" s="70"/>
      <c r="G1203" s="70"/>
      <c r="H1203" s="71"/>
    </row>
    <row r="1204" spans="3:9" ht="21" customHeight="1">
      <c r="C1204" s="66" t="s">
        <v>1217</v>
      </c>
      <c r="D1204" s="67"/>
      <c r="E1204" s="67"/>
      <c r="F1204" s="67"/>
      <c r="G1204" s="69"/>
      <c r="H1204" s="292">
        <v>0</v>
      </c>
    </row>
    <row r="1205" spans="3:9" ht="21" customHeight="1">
      <c r="C1205" s="293" t="s">
        <v>1218</v>
      </c>
      <c r="D1205" s="294" t="s">
        <v>1219</v>
      </c>
      <c r="E1205" s="295"/>
      <c r="F1205" s="295"/>
      <c r="G1205" s="296"/>
      <c r="H1205" s="284">
        <f>H1204+H1202+H1196</f>
        <v>27588.62</v>
      </c>
    </row>
    <row r="1206" spans="3:9" ht="21" customHeight="1">
      <c r="C1206" s="293" t="s">
        <v>1220</v>
      </c>
      <c r="D1206" s="294" t="s">
        <v>1321</v>
      </c>
      <c r="E1206" s="295"/>
      <c r="F1206" s="296"/>
      <c r="G1206" s="298">
        <f>$M$8</f>
        <v>0.1</v>
      </c>
      <c r="H1206" s="284">
        <f>H1205*G1206</f>
        <v>2758.8620000000001</v>
      </c>
    </row>
    <row r="1207" spans="3:9" ht="21" customHeight="1" thickBot="1">
      <c r="C1207" s="299" t="s">
        <v>1221</v>
      </c>
      <c r="D1207" s="300" t="s">
        <v>1222</v>
      </c>
      <c r="E1207" s="301"/>
      <c r="F1207" s="301"/>
      <c r="G1207" s="302"/>
      <c r="H1207" s="303">
        <f>SUM(H1205:H1206)</f>
        <v>30347.482</v>
      </c>
    </row>
    <row r="1208" spans="3:9" ht="14.4" thickTop="1">
      <c r="C1208" s="289"/>
      <c r="D1208" s="297"/>
      <c r="E1208" s="297"/>
      <c r="F1208" s="297"/>
      <c r="G1208" s="297"/>
      <c r="H1208" s="139"/>
    </row>
    <row r="1209" spans="3:9" ht="14.4" thickBot="1">
      <c r="C1209" s="47" t="s">
        <v>2946</v>
      </c>
      <c r="D1209" s="485" t="s">
        <v>1450</v>
      </c>
      <c r="E1209" s="485"/>
      <c r="F1209" s="485"/>
      <c r="G1209" s="485"/>
      <c r="H1209" s="485"/>
      <c r="I1209" s="120">
        <f>ROUNDDOWN(H1227,-2)</f>
        <v>31300</v>
      </c>
    </row>
    <row r="1210" spans="3:9" ht="28.2" thickTop="1">
      <c r="C1210" s="51" t="s">
        <v>1195</v>
      </c>
      <c r="D1210" s="52" t="s">
        <v>1196</v>
      </c>
      <c r="E1210" s="52" t="s">
        <v>1197</v>
      </c>
      <c r="F1210" s="52" t="s">
        <v>1198</v>
      </c>
      <c r="G1210" s="52" t="s">
        <v>1199</v>
      </c>
      <c r="H1210" s="53" t="s">
        <v>1200</v>
      </c>
    </row>
    <row r="1211" spans="3:9" ht="21" customHeight="1">
      <c r="C1211" s="290" t="s">
        <v>1201</v>
      </c>
      <c r="D1211" s="182" t="s">
        <v>1202</v>
      </c>
      <c r="E1211" s="70"/>
      <c r="F1211" s="70"/>
      <c r="G1211" s="70"/>
      <c r="H1211" s="71"/>
    </row>
    <row r="1212" spans="3:9" ht="21" customHeight="1">
      <c r="C1212" s="281">
        <v>1</v>
      </c>
      <c r="D1212" s="182" t="s">
        <v>5</v>
      </c>
      <c r="E1212" s="176" t="s">
        <v>6</v>
      </c>
      <c r="F1212" s="315">
        <v>6.25E-2</v>
      </c>
      <c r="G1212" s="283">
        <f>VLOOKUP(D1212,upahbahan,3,FALSE)</f>
        <v>100000</v>
      </c>
      <c r="H1212" s="284">
        <f t="shared" ref="H1212:H1215" si="119">F1212*G1212</f>
        <v>6250</v>
      </c>
    </row>
    <row r="1213" spans="3:9" ht="21" customHeight="1">
      <c r="C1213" s="281">
        <v>2</v>
      </c>
      <c r="D1213" s="182" t="s">
        <v>7</v>
      </c>
      <c r="E1213" s="176" t="s">
        <v>6</v>
      </c>
      <c r="F1213" s="315">
        <v>3.1300000000000001E-2</v>
      </c>
      <c r="G1213" s="283">
        <f>VLOOKUP(D1213,upahbahan,3,FALSE)</f>
        <v>135000</v>
      </c>
      <c r="H1213" s="284">
        <f t="shared" si="119"/>
        <v>4225.5</v>
      </c>
    </row>
    <row r="1214" spans="3:9" ht="21" customHeight="1">
      <c r="C1214" s="281">
        <v>3</v>
      </c>
      <c r="D1214" s="182" t="s">
        <v>18</v>
      </c>
      <c r="E1214" s="176" t="s">
        <v>6</v>
      </c>
      <c r="F1214" s="315">
        <v>3.0999999999999999E-3</v>
      </c>
      <c r="G1214" s="283">
        <f>VLOOKUP(D1214,upahbahan,3,FALSE)</f>
        <v>150000</v>
      </c>
      <c r="H1214" s="284">
        <f t="shared" si="119"/>
        <v>465</v>
      </c>
    </row>
    <row r="1215" spans="3:9" ht="21" customHeight="1">
      <c r="C1215" s="281">
        <v>4</v>
      </c>
      <c r="D1215" s="182" t="s">
        <v>19</v>
      </c>
      <c r="E1215" s="176" t="s">
        <v>6</v>
      </c>
      <c r="F1215" s="315">
        <v>1E-3</v>
      </c>
      <c r="G1215" s="283">
        <f>VLOOKUP(D1215,upahbahan,3,FALSE)</f>
        <v>160000</v>
      </c>
      <c r="H1215" s="284">
        <f t="shared" si="119"/>
        <v>160</v>
      </c>
    </row>
    <row r="1216" spans="3:9" ht="21" customHeight="1">
      <c r="C1216" s="66" t="s">
        <v>1208</v>
      </c>
      <c r="D1216" s="67"/>
      <c r="E1216" s="67"/>
      <c r="F1216" s="142"/>
      <c r="G1216" s="153"/>
      <c r="H1216" s="284">
        <f>SUM(H1212:H1215)</f>
        <v>11100.5</v>
      </c>
      <c r="I1216" s="320"/>
    </row>
    <row r="1217" spans="3:9" ht="21" customHeight="1">
      <c r="C1217" s="290" t="s">
        <v>1209</v>
      </c>
      <c r="D1217" s="182" t="s">
        <v>1210</v>
      </c>
      <c r="E1217" s="70"/>
      <c r="F1217" s="70"/>
      <c r="G1217" s="70"/>
      <c r="H1217" s="71"/>
    </row>
    <row r="1218" spans="3:9" ht="21" customHeight="1">
      <c r="C1218" s="310" t="s">
        <v>1203</v>
      </c>
      <c r="D1218" s="285" t="s">
        <v>472</v>
      </c>
      <c r="E1218" s="176" t="s">
        <v>44</v>
      </c>
      <c r="F1218" s="282">
        <v>3.5</v>
      </c>
      <c r="G1218" s="283">
        <f>VLOOKUP(D1218,upahbahan,3,FALSE)</f>
        <v>3000</v>
      </c>
      <c r="H1218" s="284">
        <f t="shared" ref="H1218:H1221" si="120">F1218*G1218</f>
        <v>10500</v>
      </c>
    </row>
    <row r="1219" spans="3:9" ht="21" customHeight="1">
      <c r="C1219" s="310" t="s">
        <v>1204</v>
      </c>
      <c r="D1219" s="182" t="s">
        <v>2332</v>
      </c>
      <c r="E1219" s="176" t="s">
        <v>65</v>
      </c>
      <c r="F1219" s="282">
        <v>1.704</v>
      </c>
      <c r="G1219" s="283">
        <f>VLOOKUP(D1219,upahbahan,3,FALSE)</f>
        <v>1530</v>
      </c>
      <c r="H1219" s="284">
        <f t="shared" si="120"/>
        <v>2607.12</v>
      </c>
    </row>
    <row r="1220" spans="3:9" ht="21" customHeight="1">
      <c r="C1220" s="310" t="s">
        <v>1205</v>
      </c>
      <c r="D1220" s="182" t="s">
        <v>562</v>
      </c>
      <c r="E1220" s="176" t="s">
        <v>65</v>
      </c>
      <c r="F1220" s="282">
        <v>0.188</v>
      </c>
      <c r="G1220" s="283">
        <f>VLOOKUP(D1220,upahbahan,3,FALSE)</f>
        <v>18000</v>
      </c>
      <c r="H1220" s="284">
        <f t="shared" si="120"/>
        <v>3384</v>
      </c>
    </row>
    <row r="1221" spans="3:9" ht="21" customHeight="1">
      <c r="C1221" s="310" t="s">
        <v>1206</v>
      </c>
      <c r="D1221" s="285" t="s">
        <v>85</v>
      </c>
      <c r="E1221" s="176" t="s">
        <v>42</v>
      </c>
      <c r="F1221" s="282">
        <v>3.0000000000000001E-3</v>
      </c>
      <c r="G1221" s="283">
        <f>VLOOKUP(D1221,upahbahan,3,FALSE)</f>
        <v>310500</v>
      </c>
      <c r="H1221" s="284">
        <f t="shared" si="120"/>
        <v>931.5</v>
      </c>
    </row>
    <row r="1222" spans="3:9" ht="21" customHeight="1">
      <c r="C1222" s="66" t="s">
        <v>1214</v>
      </c>
      <c r="D1222" s="67"/>
      <c r="E1222" s="67"/>
      <c r="F1222" s="67"/>
      <c r="G1222" s="69"/>
      <c r="H1222" s="284">
        <f>SUM(H1218:H1221)</f>
        <v>17422.62</v>
      </c>
    </row>
    <row r="1223" spans="3:9" ht="21" customHeight="1">
      <c r="C1223" s="321" t="s">
        <v>1215</v>
      </c>
      <c r="D1223" s="182" t="s">
        <v>1216</v>
      </c>
      <c r="E1223" s="70"/>
      <c r="F1223" s="70"/>
      <c r="G1223" s="70"/>
      <c r="H1223" s="71"/>
    </row>
    <row r="1224" spans="3:9" ht="21" customHeight="1">
      <c r="C1224" s="66" t="s">
        <v>1217</v>
      </c>
      <c r="D1224" s="67"/>
      <c r="E1224" s="67"/>
      <c r="F1224" s="67"/>
      <c r="G1224" s="69"/>
      <c r="H1224" s="292">
        <v>0</v>
      </c>
    </row>
    <row r="1225" spans="3:9" ht="21" customHeight="1">
      <c r="C1225" s="293" t="s">
        <v>1218</v>
      </c>
      <c r="D1225" s="294" t="s">
        <v>1219</v>
      </c>
      <c r="E1225" s="295"/>
      <c r="F1225" s="295"/>
      <c r="G1225" s="296"/>
      <c r="H1225" s="284">
        <f>H1224+H1222+H1216</f>
        <v>28523.119999999999</v>
      </c>
    </row>
    <row r="1226" spans="3:9" ht="21" customHeight="1">
      <c r="C1226" s="293" t="s">
        <v>1220</v>
      </c>
      <c r="D1226" s="294" t="s">
        <v>1321</v>
      </c>
      <c r="E1226" s="295"/>
      <c r="F1226" s="296"/>
      <c r="G1226" s="298">
        <f>$M$8</f>
        <v>0.1</v>
      </c>
      <c r="H1226" s="284">
        <f>H1225*G1226</f>
        <v>2852.3119999999999</v>
      </c>
    </row>
    <row r="1227" spans="3:9" ht="21" customHeight="1" thickBot="1">
      <c r="C1227" s="299" t="s">
        <v>1221</v>
      </c>
      <c r="D1227" s="300" t="s">
        <v>1222</v>
      </c>
      <c r="E1227" s="301"/>
      <c r="F1227" s="301"/>
      <c r="G1227" s="302"/>
      <c r="H1227" s="303">
        <f>SUM(H1225:H1226)</f>
        <v>31375.432000000001</v>
      </c>
    </row>
    <row r="1228" spans="3:9" ht="14.4" thickTop="1">
      <c r="C1228" s="304"/>
      <c r="D1228" s="304"/>
      <c r="E1228" s="304"/>
      <c r="F1228" s="304"/>
      <c r="G1228" s="304"/>
      <c r="H1228" s="305"/>
    </row>
    <row r="1229" spans="3:9" ht="14.4" thickBot="1">
      <c r="C1229" s="47" t="s">
        <v>2947</v>
      </c>
      <c r="D1229" s="485" t="s">
        <v>1451</v>
      </c>
      <c r="E1229" s="485"/>
      <c r="F1229" s="485"/>
      <c r="G1229" s="485"/>
      <c r="H1229" s="485"/>
      <c r="I1229" s="120">
        <f>ROUNDDOWN(H1247,-2)</f>
        <v>32100</v>
      </c>
    </row>
    <row r="1230" spans="3:9" ht="28.2" thickTop="1">
      <c r="C1230" s="51" t="s">
        <v>1195</v>
      </c>
      <c r="D1230" s="52" t="s">
        <v>1196</v>
      </c>
      <c r="E1230" s="52" t="s">
        <v>1197</v>
      </c>
      <c r="F1230" s="52" t="s">
        <v>1198</v>
      </c>
      <c r="G1230" s="52" t="s">
        <v>1199</v>
      </c>
      <c r="H1230" s="53" t="s">
        <v>1200</v>
      </c>
    </row>
    <row r="1231" spans="3:9" ht="21" customHeight="1">
      <c r="C1231" s="290" t="s">
        <v>1201</v>
      </c>
      <c r="D1231" s="182" t="s">
        <v>1202</v>
      </c>
      <c r="E1231" s="70"/>
      <c r="F1231" s="70"/>
      <c r="G1231" s="70"/>
      <c r="H1231" s="71"/>
    </row>
    <row r="1232" spans="3:9" ht="21" customHeight="1">
      <c r="C1232" s="281">
        <v>1</v>
      </c>
      <c r="D1232" s="182" t="s">
        <v>5</v>
      </c>
      <c r="E1232" s="176" t="s">
        <v>6</v>
      </c>
      <c r="F1232" s="309">
        <v>6.6699999999999995E-2</v>
      </c>
      <c r="G1232" s="283">
        <f>VLOOKUP(D1232,upahbahan,3,FALSE)</f>
        <v>100000</v>
      </c>
      <c r="H1232" s="284">
        <f t="shared" ref="H1232:H1235" si="121">F1232*G1232</f>
        <v>6669.9999999999991</v>
      </c>
    </row>
    <row r="1233" spans="3:9" ht="21" customHeight="1">
      <c r="C1233" s="281">
        <v>2</v>
      </c>
      <c r="D1233" s="182" t="s">
        <v>7</v>
      </c>
      <c r="E1233" s="176" t="s">
        <v>6</v>
      </c>
      <c r="F1233" s="309">
        <v>3.3300000000000003E-2</v>
      </c>
      <c r="G1233" s="283">
        <f>VLOOKUP(D1233,upahbahan,3,FALSE)</f>
        <v>135000</v>
      </c>
      <c r="H1233" s="284">
        <f t="shared" si="121"/>
        <v>4495.5</v>
      </c>
    </row>
    <row r="1234" spans="3:9" ht="21" customHeight="1">
      <c r="C1234" s="281">
        <v>3</v>
      </c>
      <c r="D1234" s="182" t="s">
        <v>18</v>
      </c>
      <c r="E1234" s="176" t="s">
        <v>6</v>
      </c>
      <c r="F1234" s="309">
        <v>3.3E-3</v>
      </c>
      <c r="G1234" s="283">
        <f>VLOOKUP(D1234,upahbahan,3,FALSE)</f>
        <v>150000</v>
      </c>
      <c r="H1234" s="284">
        <f t="shared" si="121"/>
        <v>495</v>
      </c>
    </row>
    <row r="1235" spans="3:9" ht="21" customHeight="1">
      <c r="C1235" s="281">
        <v>4</v>
      </c>
      <c r="D1235" s="182" t="s">
        <v>19</v>
      </c>
      <c r="E1235" s="176" t="s">
        <v>6</v>
      </c>
      <c r="F1235" s="309">
        <v>1.1000000000000001E-3</v>
      </c>
      <c r="G1235" s="283">
        <f>VLOOKUP(D1235,upahbahan,3,FALSE)</f>
        <v>160000</v>
      </c>
      <c r="H1235" s="284">
        <f t="shared" si="121"/>
        <v>176</v>
      </c>
    </row>
    <row r="1236" spans="3:9" ht="21" customHeight="1">
      <c r="C1236" s="66" t="s">
        <v>1208</v>
      </c>
      <c r="D1236" s="67"/>
      <c r="E1236" s="67"/>
      <c r="F1236" s="142"/>
      <c r="G1236" s="153"/>
      <c r="H1236" s="284">
        <f>SUM(H1232:H1235)</f>
        <v>11836.5</v>
      </c>
      <c r="I1236" s="320"/>
    </row>
    <row r="1237" spans="3:9" ht="21" customHeight="1">
      <c r="C1237" s="290" t="s">
        <v>1209</v>
      </c>
      <c r="D1237" s="182" t="s">
        <v>1210</v>
      </c>
      <c r="E1237" s="70"/>
      <c r="F1237" s="70"/>
      <c r="G1237" s="70"/>
      <c r="H1237" s="71"/>
    </row>
    <row r="1238" spans="3:9" ht="21" customHeight="1">
      <c r="C1238" s="310" t="s">
        <v>1203</v>
      </c>
      <c r="D1238" s="285" t="s">
        <v>473</v>
      </c>
      <c r="E1238" s="176" t="s">
        <v>44</v>
      </c>
      <c r="F1238" s="309">
        <v>2.625</v>
      </c>
      <c r="G1238" s="283">
        <f>VLOOKUP(D1238,upahbahan,3,FALSE)</f>
        <v>4000</v>
      </c>
      <c r="H1238" s="284">
        <f t="shared" ref="H1238:H1241" si="122">F1238*G1238</f>
        <v>10500</v>
      </c>
    </row>
    <row r="1239" spans="3:9" ht="21" customHeight="1">
      <c r="C1239" s="310" t="s">
        <v>1204</v>
      </c>
      <c r="D1239" s="182" t="s">
        <v>2332</v>
      </c>
      <c r="E1239" s="176" t="s">
        <v>65</v>
      </c>
      <c r="F1239" s="282">
        <v>1.704</v>
      </c>
      <c r="G1239" s="283">
        <f>VLOOKUP(D1239,upahbahan,3,FALSE)</f>
        <v>1530</v>
      </c>
      <c r="H1239" s="284">
        <f t="shared" si="122"/>
        <v>2607.12</v>
      </c>
    </row>
    <row r="1240" spans="3:9" ht="21" customHeight="1">
      <c r="C1240" s="310" t="s">
        <v>1205</v>
      </c>
      <c r="D1240" s="182" t="s">
        <v>562</v>
      </c>
      <c r="E1240" s="176" t="s">
        <v>65</v>
      </c>
      <c r="F1240" s="282">
        <v>0.188</v>
      </c>
      <c r="G1240" s="283">
        <f>VLOOKUP(D1240,upahbahan,3,FALSE)</f>
        <v>18000</v>
      </c>
      <c r="H1240" s="284">
        <f t="shared" si="122"/>
        <v>3384</v>
      </c>
    </row>
    <row r="1241" spans="3:9" ht="21" customHeight="1">
      <c r="C1241" s="310" t="s">
        <v>1206</v>
      </c>
      <c r="D1241" s="285" t="s">
        <v>85</v>
      </c>
      <c r="E1241" s="176" t="s">
        <v>42</v>
      </c>
      <c r="F1241" s="282">
        <v>3.0000000000000001E-3</v>
      </c>
      <c r="G1241" s="283">
        <f>VLOOKUP(D1241,upahbahan,3,FALSE)</f>
        <v>310500</v>
      </c>
      <c r="H1241" s="284">
        <f t="shared" si="122"/>
        <v>931.5</v>
      </c>
    </row>
    <row r="1242" spans="3:9" ht="21" customHeight="1">
      <c r="C1242" s="66" t="s">
        <v>1214</v>
      </c>
      <c r="D1242" s="67"/>
      <c r="E1242" s="67"/>
      <c r="F1242" s="67"/>
      <c r="G1242" s="69"/>
      <c r="H1242" s="284">
        <f>SUM(H1238:H1241)</f>
        <v>17422.62</v>
      </c>
    </row>
    <row r="1243" spans="3:9" ht="21" customHeight="1">
      <c r="C1243" s="321" t="s">
        <v>1215</v>
      </c>
      <c r="D1243" s="182" t="s">
        <v>1216</v>
      </c>
      <c r="E1243" s="70"/>
      <c r="F1243" s="70"/>
      <c r="G1243" s="70"/>
      <c r="H1243" s="71"/>
    </row>
    <row r="1244" spans="3:9" ht="21" customHeight="1">
      <c r="C1244" s="66" t="s">
        <v>1217</v>
      </c>
      <c r="D1244" s="67"/>
      <c r="E1244" s="67"/>
      <c r="F1244" s="67"/>
      <c r="G1244" s="69"/>
      <c r="H1244" s="292">
        <v>0</v>
      </c>
    </row>
    <row r="1245" spans="3:9" ht="21" customHeight="1">
      <c r="C1245" s="293" t="s">
        <v>1218</v>
      </c>
      <c r="D1245" s="294" t="s">
        <v>1219</v>
      </c>
      <c r="E1245" s="295"/>
      <c r="F1245" s="295"/>
      <c r="G1245" s="296"/>
      <c r="H1245" s="284">
        <f>H1244+H1242+H1236</f>
        <v>29259.119999999999</v>
      </c>
    </row>
    <row r="1246" spans="3:9" ht="21" customHeight="1">
      <c r="C1246" s="293" t="s">
        <v>1220</v>
      </c>
      <c r="D1246" s="294" t="s">
        <v>1321</v>
      </c>
      <c r="E1246" s="295"/>
      <c r="F1246" s="296"/>
      <c r="G1246" s="298">
        <f>$M$8</f>
        <v>0.1</v>
      </c>
      <c r="H1246" s="284">
        <f>H1245*G1246</f>
        <v>2925.9120000000003</v>
      </c>
    </row>
    <row r="1247" spans="3:9" ht="21" customHeight="1" thickBot="1">
      <c r="C1247" s="299" t="s">
        <v>1221</v>
      </c>
      <c r="D1247" s="300" t="s">
        <v>1222</v>
      </c>
      <c r="E1247" s="301"/>
      <c r="F1247" s="301"/>
      <c r="G1247" s="302"/>
      <c r="H1247" s="303">
        <f>SUM(H1245:H1246)</f>
        <v>32185.031999999999</v>
      </c>
    </row>
    <row r="1248" spans="3:9" ht="14.4" thickTop="1">
      <c r="C1248" s="304"/>
      <c r="D1248" s="304"/>
      <c r="E1248" s="304"/>
      <c r="F1248" s="304"/>
      <c r="G1248" s="304"/>
      <c r="H1248" s="305"/>
    </row>
    <row r="1249" spans="3:9" ht="14.4" thickBot="1">
      <c r="C1249" s="47" t="s">
        <v>2948</v>
      </c>
      <c r="D1249" s="485" t="s">
        <v>1452</v>
      </c>
      <c r="E1249" s="485"/>
      <c r="F1249" s="485"/>
      <c r="G1249" s="485"/>
      <c r="H1249" s="485"/>
      <c r="I1249" s="120">
        <f>ROUNDDOWN(H1267,-2)</f>
        <v>31200</v>
      </c>
    </row>
    <row r="1250" spans="3:9" ht="28.2" thickTop="1">
      <c r="C1250" s="51" t="s">
        <v>1195</v>
      </c>
      <c r="D1250" s="52" t="s">
        <v>1196</v>
      </c>
      <c r="E1250" s="52" t="s">
        <v>1197</v>
      </c>
      <c r="F1250" s="52" t="s">
        <v>1198</v>
      </c>
      <c r="G1250" s="52" t="s">
        <v>1199</v>
      </c>
      <c r="H1250" s="53" t="s">
        <v>1200</v>
      </c>
    </row>
    <row r="1251" spans="3:9" ht="21" customHeight="1">
      <c r="C1251" s="290" t="s">
        <v>1201</v>
      </c>
      <c r="D1251" s="182" t="s">
        <v>1202</v>
      </c>
      <c r="E1251" s="70"/>
      <c r="F1251" s="70"/>
      <c r="G1251" s="70"/>
      <c r="H1251" s="71"/>
    </row>
    <row r="1252" spans="3:9" ht="21" customHeight="1">
      <c r="C1252" s="281">
        <v>1</v>
      </c>
      <c r="D1252" s="182" t="s">
        <v>5</v>
      </c>
      <c r="E1252" s="176" t="s">
        <v>6</v>
      </c>
      <c r="F1252" s="309">
        <v>7.1400000000000005E-2</v>
      </c>
      <c r="G1252" s="283">
        <f>VLOOKUP(D1252,upahbahan,3,FALSE)</f>
        <v>100000</v>
      </c>
      <c r="H1252" s="284">
        <f t="shared" ref="H1252:H1255" si="123">F1252*G1252</f>
        <v>7140.0000000000009</v>
      </c>
    </row>
    <row r="1253" spans="3:9" ht="21" customHeight="1">
      <c r="C1253" s="281">
        <v>2</v>
      </c>
      <c r="D1253" s="182" t="s">
        <v>7</v>
      </c>
      <c r="E1253" s="176" t="s">
        <v>6</v>
      </c>
      <c r="F1253" s="309">
        <v>3.5700000000000003E-2</v>
      </c>
      <c r="G1253" s="283">
        <f>VLOOKUP(D1253,upahbahan,3,FALSE)</f>
        <v>135000</v>
      </c>
      <c r="H1253" s="284">
        <f t="shared" si="123"/>
        <v>4819.5</v>
      </c>
    </row>
    <row r="1254" spans="3:9" ht="21" customHeight="1">
      <c r="C1254" s="281">
        <v>3</v>
      </c>
      <c r="D1254" s="182" t="s">
        <v>18</v>
      </c>
      <c r="E1254" s="176" t="s">
        <v>6</v>
      </c>
      <c r="F1254" s="309">
        <v>3.5999999999999999E-3</v>
      </c>
      <c r="G1254" s="283">
        <f>VLOOKUP(D1254,upahbahan,3,FALSE)</f>
        <v>150000</v>
      </c>
      <c r="H1254" s="284">
        <f t="shared" si="123"/>
        <v>540</v>
      </c>
    </row>
    <row r="1255" spans="3:9" ht="21" customHeight="1">
      <c r="C1255" s="281">
        <v>4</v>
      </c>
      <c r="D1255" s="182" t="s">
        <v>19</v>
      </c>
      <c r="E1255" s="176" t="s">
        <v>6</v>
      </c>
      <c r="F1255" s="309">
        <v>1.1999999999999999E-3</v>
      </c>
      <c r="G1255" s="283">
        <f>VLOOKUP(D1255,upahbahan,3,FALSE)</f>
        <v>160000</v>
      </c>
      <c r="H1255" s="284">
        <f t="shared" si="123"/>
        <v>191.99999999999997</v>
      </c>
    </row>
    <row r="1256" spans="3:9" ht="21" customHeight="1">
      <c r="C1256" s="66" t="s">
        <v>1208</v>
      </c>
      <c r="D1256" s="67"/>
      <c r="E1256" s="67"/>
      <c r="F1256" s="142"/>
      <c r="G1256" s="153"/>
      <c r="H1256" s="284">
        <f>SUM(H1252:H1255)</f>
        <v>12691.5</v>
      </c>
      <c r="I1256" s="320"/>
    </row>
    <row r="1257" spans="3:9" ht="21" customHeight="1">
      <c r="C1257" s="290" t="s">
        <v>1209</v>
      </c>
      <c r="D1257" s="182" t="s">
        <v>1210</v>
      </c>
      <c r="E1257" s="70"/>
      <c r="F1257" s="70"/>
      <c r="G1257" s="70"/>
      <c r="H1257" s="71"/>
    </row>
    <row r="1258" spans="3:9" ht="21" customHeight="1">
      <c r="C1258" s="310" t="s">
        <v>1203</v>
      </c>
      <c r="D1258" s="182" t="s">
        <v>474</v>
      </c>
      <c r="E1258" s="176" t="s">
        <v>44</v>
      </c>
      <c r="F1258" s="282">
        <v>1.75</v>
      </c>
      <c r="G1258" s="283">
        <f>VLOOKUP(D1258,upahbahan,3,FALSE)</f>
        <v>5000</v>
      </c>
      <c r="H1258" s="284">
        <f t="shared" ref="H1258:H1261" si="124">F1258*G1258</f>
        <v>8750</v>
      </c>
    </row>
    <row r="1259" spans="3:9" ht="21" customHeight="1">
      <c r="C1259" s="310" t="s">
        <v>1204</v>
      </c>
      <c r="D1259" s="182" t="s">
        <v>2332</v>
      </c>
      <c r="E1259" s="176" t="s">
        <v>65</v>
      </c>
      <c r="F1259" s="282">
        <v>1.704</v>
      </c>
      <c r="G1259" s="283">
        <f>VLOOKUP(D1259,upahbahan,3,FALSE)</f>
        <v>1530</v>
      </c>
      <c r="H1259" s="284">
        <f t="shared" si="124"/>
        <v>2607.12</v>
      </c>
    </row>
    <row r="1260" spans="3:9" ht="21" customHeight="1">
      <c r="C1260" s="310" t="s">
        <v>1205</v>
      </c>
      <c r="D1260" s="182" t="s">
        <v>562</v>
      </c>
      <c r="E1260" s="176" t="s">
        <v>65</v>
      </c>
      <c r="F1260" s="282">
        <v>0.188</v>
      </c>
      <c r="G1260" s="283">
        <f>VLOOKUP(D1260,upahbahan,3,FALSE)</f>
        <v>18000</v>
      </c>
      <c r="H1260" s="284">
        <f t="shared" si="124"/>
        <v>3384</v>
      </c>
    </row>
    <row r="1261" spans="3:9" ht="21" customHeight="1">
      <c r="C1261" s="310" t="s">
        <v>1206</v>
      </c>
      <c r="D1261" s="285" t="s">
        <v>85</v>
      </c>
      <c r="E1261" s="176" t="s">
        <v>42</v>
      </c>
      <c r="F1261" s="282">
        <v>3.0000000000000001E-3</v>
      </c>
      <c r="G1261" s="283">
        <f>VLOOKUP(D1261,upahbahan,3,FALSE)</f>
        <v>310500</v>
      </c>
      <c r="H1261" s="284">
        <f t="shared" si="124"/>
        <v>931.5</v>
      </c>
    </row>
    <row r="1262" spans="3:9" ht="21" customHeight="1">
      <c r="C1262" s="66" t="s">
        <v>1214</v>
      </c>
      <c r="D1262" s="67"/>
      <c r="E1262" s="67"/>
      <c r="F1262" s="67"/>
      <c r="G1262" s="69"/>
      <c r="H1262" s="284">
        <f>SUM(H1258:H1261)</f>
        <v>15672.619999999999</v>
      </c>
    </row>
    <row r="1263" spans="3:9" ht="21" customHeight="1">
      <c r="C1263" s="321" t="s">
        <v>1215</v>
      </c>
      <c r="D1263" s="182" t="s">
        <v>1216</v>
      </c>
      <c r="E1263" s="70"/>
      <c r="F1263" s="70"/>
      <c r="G1263" s="70"/>
      <c r="H1263" s="71"/>
    </row>
    <row r="1264" spans="3:9" ht="21" customHeight="1">
      <c r="C1264" s="66" t="s">
        <v>1217</v>
      </c>
      <c r="D1264" s="67"/>
      <c r="E1264" s="67"/>
      <c r="F1264" s="67"/>
      <c r="G1264" s="69"/>
      <c r="H1264" s="292">
        <v>0</v>
      </c>
    </row>
    <row r="1265" spans="3:9" ht="21" customHeight="1">
      <c r="C1265" s="293" t="s">
        <v>1218</v>
      </c>
      <c r="D1265" s="294" t="s">
        <v>1219</v>
      </c>
      <c r="E1265" s="295"/>
      <c r="F1265" s="295"/>
      <c r="G1265" s="296"/>
      <c r="H1265" s="284">
        <f>H1264+H1262+H1256</f>
        <v>28364.12</v>
      </c>
    </row>
    <row r="1266" spans="3:9" ht="21" customHeight="1">
      <c r="C1266" s="293" t="s">
        <v>1220</v>
      </c>
      <c r="D1266" s="294" t="s">
        <v>1321</v>
      </c>
      <c r="E1266" s="295"/>
      <c r="F1266" s="296"/>
      <c r="G1266" s="298">
        <f>$M$8</f>
        <v>0.1</v>
      </c>
      <c r="H1266" s="284">
        <f>H1265*G1266</f>
        <v>2836.4120000000003</v>
      </c>
    </row>
    <row r="1267" spans="3:9" ht="21" customHeight="1" thickBot="1">
      <c r="C1267" s="299" t="s">
        <v>1221</v>
      </c>
      <c r="D1267" s="300" t="s">
        <v>1222</v>
      </c>
      <c r="E1267" s="301"/>
      <c r="F1267" s="301"/>
      <c r="G1267" s="302"/>
      <c r="H1267" s="303">
        <f>SUM(H1265:H1266)</f>
        <v>31200.531999999999</v>
      </c>
    </row>
    <row r="1268" spans="3:9" ht="14.4" thickTop="1">
      <c r="C1268" s="289"/>
      <c r="D1268" s="297"/>
      <c r="E1268" s="297"/>
      <c r="F1268" s="297"/>
      <c r="G1268" s="297"/>
      <c r="H1268" s="139"/>
    </row>
    <row r="1269" spans="3:9" ht="14.4" thickBot="1">
      <c r="C1269" s="47" t="s">
        <v>2949</v>
      </c>
      <c r="D1269" s="488" t="s">
        <v>2950</v>
      </c>
      <c r="E1269" s="488"/>
      <c r="F1269" s="488"/>
      <c r="G1269" s="488"/>
      <c r="H1269" s="485"/>
      <c r="I1269" s="120">
        <f>ROUNDDOWN(H1287,-2)</f>
        <v>75400</v>
      </c>
    </row>
    <row r="1270" spans="3:9" ht="28.2" thickTop="1">
      <c r="C1270" s="51" t="s">
        <v>1195</v>
      </c>
      <c r="D1270" s="52" t="s">
        <v>1196</v>
      </c>
      <c r="E1270" s="52" t="s">
        <v>1197</v>
      </c>
      <c r="F1270" s="52" t="s">
        <v>1198</v>
      </c>
      <c r="G1270" s="52" t="s">
        <v>1199</v>
      </c>
      <c r="H1270" s="53" t="s">
        <v>1200</v>
      </c>
    </row>
    <row r="1271" spans="3:9" ht="21" customHeight="1">
      <c r="C1271" s="290" t="s">
        <v>1201</v>
      </c>
      <c r="D1271" s="182" t="s">
        <v>1202</v>
      </c>
      <c r="E1271" s="70"/>
      <c r="F1271" s="70"/>
      <c r="G1271" s="70"/>
      <c r="H1271" s="71"/>
    </row>
    <row r="1272" spans="3:9" ht="21" customHeight="1">
      <c r="C1272" s="281">
        <v>1</v>
      </c>
      <c r="D1272" s="182" t="s">
        <v>5</v>
      </c>
      <c r="E1272" s="176" t="s">
        <v>6</v>
      </c>
      <c r="F1272" s="309">
        <v>7.1400000000000005E-2</v>
      </c>
      <c r="G1272" s="283">
        <f>VLOOKUP(D1272,upahbahan,3,FALSE)</f>
        <v>100000</v>
      </c>
      <c r="H1272" s="284">
        <f t="shared" ref="H1272:H1275" si="125">F1272*G1272</f>
        <v>7140.0000000000009</v>
      </c>
    </row>
    <row r="1273" spans="3:9" ht="21" customHeight="1">
      <c r="C1273" s="281">
        <v>2</v>
      </c>
      <c r="D1273" s="182" t="s">
        <v>7</v>
      </c>
      <c r="E1273" s="176" t="s">
        <v>6</v>
      </c>
      <c r="F1273" s="309">
        <v>3.5700000000000003E-2</v>
      </c>
      <c r="G1273" s="283">
        <f>VLOOKUP(D1273,upahbahan,3,FALSE)</f>
        <v>135000</v>
      </c>
      <c r="H1273" s="284">
        <f t="shared" si="125"/>
        <v>4819.5</v>
      </c>
    </row>
    <row r="1274" spans="3:9" ht="21" customHeight="1">
      <c r="C1274" s="281">
        <v>3</v>
      </c>
      <c r="D1274" s="182" t="s">
        <v>18</v>
      </c>
      <c r="E1274" s="176" t="s">
        <v>6</v>
      </c>
      <c r="F1274" s="309">
        <v>3.5999999999999999E-3</v>
      </c>
      <c r="G1274" s="283">
        <f>VLOOKUP(D1274,upahbahan,3,FALSE)</f>
        <v>150000</v>
      </c>
      <c r="H1274" s="284">
        <f t="shared" si="125"/>
        <v>540</v>
      </c>
    </row>
    <row r="1275" spans="3:9" ht="21" customHeight="1">
      <c r="C1275" s="281">
        <v>4</v>
      </c>
      <c r="D1275" s="182" t="s">
        <v>19</v>
      </c>
      <c r="E1275" s="176" t="s">
        <v>6</v>
      </c>
      <c r="F1275" s="309">
        <v>1.1999999999999999E-3</v>
      </c>
      <c r="G1275" s="283">
        <f>VLOOKUP(D1275,upahbahan,3,FALSE)</f>
        <v>160000</v>
      </c>
      <c r="H1275" s="284">
        <f t="shared" si="125"/>
        <v>191.99999999999997</v>
      </c>
    </row>
    <row r="1276" spans="3:9" ht="21" customHeight="1">
      <c r="C1276" s="66" t="s">
        <v>1208</v>
      </c>
      <c r="D1276" s="67"/>
      <c r="E1276" s="67"/>
      <c r="F1276" s="142"/>
      <c r="G1276" s="153"/>
      <c r="H1276" s="284">
        <f>SUM(H1272:H1275)</f>
        <v>12691.5</v>
      </c>
      <c r="I1276" s="320"/>
    </row>
    <row r="1277" spans="3:9" ht="21" customHeight="1">
      <c r="C1277" s="290" t="s">
        <v>1209</v>
      </c>
      <c r="D1277" s="182" t="s">
        <v>1210</v>
      </c>
      <c r="E1277" s="70"/>
      <c r="F1277" s="70"/>
      <c r="G1277" s="70"/>
      <c r="H1277" s="71"/>
    </row>
    <row r="1278" spans="3:9" ht="21" customHeight="1">
      <c r="C1278" s="310" t="s">
        <v>1203</v>
      </c>
      <c r="D1278" s="182" t="s">
        <v>2951</v>
      </c>
      <c r="E1278" s="176" t="s">
        <v>44</v>
      </c>
      <c r="F1278" s="282">
        <v>1.75</v>
      </c>
      <c r="G1278" s="283">
        <f>VLOOKUP(D1278,upahbahan,3,FALSE)</f>
        <v>28000</v>
      </c>
      <c r="H1278" s="284">
        <f>F1278*G1278</f>
        <v>49000</v>
      </c>
    </row>
    <row r="1279" spans="3:9" ht="21" customHeight="1">
      <c r="C1279" s="310" t="s">
        <v>1204</v>
      </c>
      <c r="D1279" s="182" t="s">
        <v>2332</v>
      </c>
      <c r="E1279" s="176" t="s">
        <v>65</v>
      </c>
      <c r="F1279" s="282">
        <v>1.704</v>
      </c>
      <c r="G1279" s="283">
        <f>VLOOKUP(D1279,upahbahan,3,FALSE)</f>
        <v>1530</v>
      </c>
      <c r="H1279" s="284">
        <f t="shared" ref="H1279:H1281" si="126">F1279*G1279</f>
        <v>2607.12</v>
      </c>
    </row>
    <row r="1280" spans="3:9" ht="21" customHeight="1">
      <c r="C1280" s="310" t="s">
        <v>1205</v>
      </c>
      <c r="D1280" s="182" t="s">
        <v>562</v>
      </c>
      <c r="E1280" s="176" t="s">
        <v>65</v>
      </c>
      <c r="F1280" s="282">
        <v>0.188</v>
      </c>
      <c r="G1280" s="283">
        <f>VLOOKUP(D1280,upahbahan,3,FALSE)</f>
        <v>18000</v>
      </c>
      <c r="H1280" s="284">
        <f t="shared" si="126"/>
        <v>3384</v>
      </c>
    </row>
    <row r="1281" spans="3:9" ht="21" customHeight="1">
      <c r="C1281" s="310" t="s">
        <v>1206</v>
      </c>
      <c r="D1281" s="285" t="s">
        <v>85</v>
      </c>
      <c r="E1281" s="176" t="s">
        <v>42</v>
      </c>
      <c r="F1281" s="282">
        <v>3.0000000000000001E-3</v>
      </c>
      <c r="G1281" s="283">
        <f>VLOOKUP(D1281,upahbahan,3,FALSE)</f>
        <v>310500</v>
      </c>
      <c r="H1281" s="284">
        <f t="shared" si="126"/>
        <v>931.5</v>
      </c>
    </row>
    <row r="1282" spans="3:9" ht="21" customHeight="1">
      <c r="C1282" s="66" t="s">
        <v>1214</v>
      </c>
      <c r="D1282" s="67"/>
      <c r="E1282" s="67"/>
      <c r="F1282" s="67"/>
      <c r="G1282" s="69"/>
      <c r="H1282" s="284">
        <f>SUM(H1278:H1281)</f>
        <v>55922.62</v>
      </c>
    </row>
    <row r="1283" spans="3:9" ht="21" customHeight="1">
      <c r="C1283" s="321" t="s">
        <v>1215</v>
      </c>
      <c r="D1283" s="182" t="s">
        <v>1216</v>
      </c>
      <c r="E1283" s="70"/>
      <c r="F1283" s="70"/>
      <c r="G1283" s="70"/>
      <c r="H1283" s="71"/>
    </row>
    <row r="1284" spans="3:9" ht="21" customHeight="1">
      <c r="C1284" s="66" t="s">
        <v>1217</v>
      </c>
      <c r="D1284" s="67"/>
      <c r="E1284" s="67"/>
      <c r="F1284" s="67"/>
      <c r="G1284" s="69"/>
      <c r="H1284" s="292">
        <v>0</v>
      </c>
    </row>
    <row r="1285" spans="3:9" ht="21" customHeight="1">
      <c r="C1285" s="293" t="s">
        <v>1218</v>
      </c>
      <c r="D1285" s="294" t="s">
        <v>1219</v>
      </c>
      <c r="E1285" s="295"/>
      <c r="F1285" s="295"/>
      <c r="G1285" s="296"/>
      <c r="H1285" s="284">
        <f>H1284+H1282+H1276</f>
        <v>68614.12</v>
      </c>
    </row>
    <row r="1286" spans="3:9" ht="21" customHeight="1">
      <c r="C1286" s="293" t="s">
        <v>1220</v>
      </c>
      <c r="D1286" s="294" t="s">
        <v>1321</v>
      </c>
      <c r="E1286" s="295"/>
      <c r="F1286" s="296"/>
      <c r="G1286" s="298">
        <f>$M$8</f>
        <v>0.1</v>
      </c>
      <c r="H1286" s="284">
        <f>H1285*G1286</f>
        <v>6861.4120000000003</v>
      </c>
    </row>
    <row r="1287" spans="3:9" ht="21" customHeight="1" thickBot="1">
      <c r="C1287" s="299" t="s">
        <v>1221</v>
      </c>
      <c r="D1287" s="300" t="s">
        <v>1222</v>
      </c>
      <c r="E1287" s="301"/>
      <c r="F1287" s="301"/>
      <c r="G1287" s="302"/>
      <c r="H1287" s="303">
        <f>SUM(H1285:H1286)</f>
        <v>75475.531999999992</v>
      </c>
    </row>
    <row r="1288" spans="3:9" ht="21" customHeight="1" thickTop="1">
      <c r="C1288" s="289"/>
      <c r="D1288" s="297"/>
      <c r="E1288" s="297"/>
      <c r="F1288" s="297"/>
      <c r="G1288" s="297"/>
      <c r="H1288" s="139"/>
    </row>
    <row r="1289" spans="3:9">
      <c r="C1289" s="289"/>
      <c r="D1289" s="297"/>
      <c r="E1289" s="297"/>
      <c r="F1289" s="297"/>
      <c r="G1289" s="297"/>
      <c r="H1289" s="139"/>
    </row>
    <row r="1290" spans="3:9">
      <c r="C1290" s="126" t="s">
        <v>2952</v>
      </c>
      <c r="D1290" s="138" t="s">
        <v>2953</v>
      </c>
      <c r="E1290" s="297"/>
      <c r="F1290" s="297"/>
      <c r="G1290" s="297"/>
      <c r="H1290" s="139"/>
    </row>
    <row r="1291" spans="3:9" ht="14.4" thickBot="1">
      <c r="C1291" s="47" t="s">
        <v>2954</v>
      </c>
      <c r="D1291" s="485" t="s">
        <v>1453</v>
      </c>
      <c r="E1291" s="485"/>
      <c r="F1291" s="485"/>
      <c r="G1291" s="485"/>
      <c r="H1291" s="485"/>
      <c r="I1291" s="120">
        <f>ROUNDDOWN(H1309,-2)</f>
        <v>1101400</v>
      </c>
    </row>
    <row r="1292" spans="3:9" ht="28.2" thickTop="1">
      <c r="C1292" s="51" t="s">
        <v>1195</v>
      </c>
      <c r="D1292" s="52" t="s">
        <v>1196</v>
      </c>
      <c r="E1292" s="52" t="s">
        <v>1197</v>
      </c>
      <c r="F1292" s="52" t="s">
        <v>1198</v>
      </c>
      <c r="G1292" s="52" t="s">
        <v>1199</v>
      </c>
      <c r="H1292" s="53" t="s">
        <v>1200</v>
      </c>
    </row>
    <row r="1293" spans="3:9" ht="21" customHeight="1">
      <c r="C1293" s="290" t="s">
        <v>1201</v>
      </c>
      <c r="D1293" s="182" t="s">
        <v>1202</v>
      </c>
      <c r="E1293" s="70"/>
      <c r="F1293" s="70"/>
      <c r="G1293" s="70"/>
      <c r="H1293" s="71"/>
    </row>
    <row r="1294" spans="3:9" ht="21" customHeight="1">
      <c r="C1294" s="281">
        <v>1</v>
      </c>
      <c r="D1294" s="182" t="s">
        <v>5</v>
      </c>
      <c r="E1294" s="176" t="s">
        <v>6</v>
      </c>
      <c r="F1294" s="315">
        <v>0.7</v>
      </c>
      <c r="G1294" s="283">
        <f>VLOOKUP(D1294,upahbahan,3,FALSE)</f>
        <v>100000</v>
      </c>
      <c r="H1294" s="284">
        <f>F1294*G1294</f>
        <v>70000</v>
      </c>
    </row>
    <row r="1295" spans="3:9" ht="21" customHeight="1">
      <c r="C1295" s="281">
        <v>2</v>
      </c>
      <c r="D1295" s="182" t="s">
        <v>7</v>
      </c>
      <c r="E1295" s="176" t="s">
        <v>6</v>
      </c>
      <c r="F1295" s="315">
        <v>0.35</v>
      </c>
      <c r="G1295" s="283">
        <f>VLOOKUP(D1295,upahbahan,3,FALSE)</f>
        <v>135000</v>
      </c>
      <c r="H1295" s="284">
        <f>F1295*G1295</f>
        <v>47250</v>
      </c>
    </row>
    <row r="1296" spans="3:9" ht="21" customHeight="1">
      <c r="C1296" s="281">
        <v>3</v>
      </c>
      <c r="D1296" s="182" t="s">
        <v>18</v>
      </c>
      <c r="E1296" s="176" t="s">
        <v>6</v>
      </c>
      <c r="F1296" s="315">
        <v>3.5000000000000003E-2</v>
      </c>
      <c r="G1296" s="283">
        <f>VLOOKUP(D1296,upahbahan,3,FALSE)</f>
        <v>150000</v>
      </c>
      <c r="H1296" s="284">
        <f>F1296*G1296</f>
        <v>5250.0000000000009</v>
      </c>
    </row>
    <row r="1297" spans="3:9" ht="21" customHeight="1">
      <c r="C1297" s="281">
        <v>4</v>
      </c>
      <c r="D1297" s="182" t="s">
        <v>19</v>
      </c>
      <c r="E1297" s="176" t="s">
        <v>6</v>
      </c>
      <c r="F1297" s="315">
        <v>1.17E-2</v>
      </c>
      <c r="G1297" s="283">
        <f>VLOOKUP(D1297,upahbahan,3,FALSE)</f>
        <v>160000</v>
      </c>
      <c r="H1297" s="284">
        <f>F1297*G1297</f>
        <v>1872</v>
      </c>
    </row>
    <row r="1298" spans="3:9" ht="21" customHeight="1">
      <c r="C1298" s="66" t="s">
        <v>1208</v>
      </c>
      <c r="D1298" s="67"/>
      <c r="E1298" s="67"/>
      <c r="F1298" s="142"/>
      <c r="G1298" s="153"/>
      <c r="H1298" s="284">
        <f>SUM(H1294:H1297)</f>
        <v>124372</v>
      </c>
      <c r="I1298" s="320"/>
    </row>
    <row r="1299" spans="3:9" ht="21" customHeight="1">
      <c r="C1299" s="290" t="s">
        <v>1209</v>
      </c>
      <c r="D1299" s="182" t="s">
        <v>1210</v>
      </c>
      <c r="E1299" s="70"/>
      <c r="F1299" s="70"/>
      <c r="G1299" s="70"/>
      <c r="H1299" s="71"/>
    </row>
    <row r="1300" spans="3:9" ht="21" customHeight="1">
      <c r="C1300" s="310" t="s">
        <v>1203</v>
      </c>
      <c r="D1300" s="182" t="s">
        <v>455</v>
      </c>
      <c r="E1300" s="176" t="s">
        <v>44</v>
      </c>
      <c r="F1300" s="282">
        <v>1.06</v>
      </c>
      <c r="G1300" s="283">
        <f>VLOOKUP(D1300,upahbahan,3,FALSE)</f>
        <v>800000</v>
      </c>
      <c r="H1300" s="284">
        <f t="shared" ref="H1300:H1303" si="127">F1300*G1300</f>
        <v>848000</v>
      </c>
    </row>
    <row r="1301" spans="3:9" ht="21" customHeight="1">
      <c r="C1301" s="310" t="s">
        <v>1204</v>
      </c>
      <c r="D1301" s="182" t="s">
        <v>2332</v>
      </c>
      <c r="E1301" s="176" t="s">
        <v>65</v>
      </c>
      <c r="F1301" s="282">
        <v>8.19</v>
      </c>
      <c r="G1301" s="283">
        <f>VLOOKUP(D1301,upahbahan,3,FALSE)</f>
        <v>1530</v>
      </c>
      <c r="H1301" s="284">
        <f t="shared" si="127"/>
        <v>12530.699999999999</v>
      </c>
    </row>
    <row r="1302" spans="3:9" ht="21" customHeight="1">
      <c r="C1302" s="310" t="s">
        <v>1205</v>
      </c>
      <c r="D1302" s="182" t="s">
        <v>562</v>
      </c>
      <c r="E1302" s="176" t="s">
        <v>65</v>
      </c>
      <c r="F1302" s="282">
        <v>0.13400000000000001</v>
      </c>
      <c r="G1302" s="283">
        <f>VLOOKUP(D1302,upahbahan,3,FALSE)</f>
        <v>18000</v>
      </c>
      <c r="H1302" s="284">
        <f t="shared" si="127"/>
        <v>2412</v>
      </c>
    </row>
    <row r="1303" spans="3:9" ht="21" customHeight="1">
      <c r="C1303" s="310" t="s">
        <v>1206</v>
      </c>
      <c r="D1303" s="285" t="s">
        <v>85</v>
      </c>
      <c r="E1303" s="176" t="s">
        <v>42</v>
      </c>
      <c r="F1303" s="282">
        <v>4.4999999999999998E-2</v>
      </c>
      <c r="G1303" s="283">
        <f>VLOOKUP(D1303,upahbahan,3,FALSE)</f>
        <v>310500</v>
      </c>
      <c r="H1303" s="284">
        <f t="shared" si="127"/>
        <v>13972.5</v>
      </c>
    </row>
    <row r="1304" spans="3:9" ht="21" customHeight="1">
      <c r="C1304" s="66" t="s">
        <v>1214</v>
      </c>
      <c r="D1304" s="67"/>
      <c r="E1304" s="67"/>
      <c r="F1304" s="67"/>
      <c r="G1304" s="69"/>
      <c r="H1304" s="284">
        <f>SUM(H1300:H1303)</f>
        <v>876915.19999999995</v>
      </c>
    </row>
    <row r="1305" spans="3:9" ht="21" customHeight="1">
      <c r="C1305" s="321" t="s">
        <v>1215</v>
      </c>
      <c r="D1305" s="182" t="s">
        <v>1216</v>
      </c>
      <c r="E1305" s="70"/>
      <c r="F1305" s="70"/>
      <c r="G1305" s="70"/>
      <c r="H1305" s="71"/>
    </row>
    <row r="1306" spans="3:9" ht="21" customHeight="1">
      <c r="C1306" s="66" t="s">
        <v>1217</v>
      </c>
      <c r="D1306" s="67"/>
      <c r="E1306" s="67"/>
      <c r="F1306" s="67"/>
      <c r="G1306" s="69"/>
      <c r="H1306" s="292">
        <v>0</v>
      </c>
    </row>
    <row r="1307" spans="3:9" ht="21" customHeight="1">
      <c r="C1307" s="293" t="s">
        <v>1218</v>
      </c>
      <c r="D1307" s="294" t="s">
        <v>1219</v>
      </c>
      <c r="E1307" s="295"/>
      <c r="F1307" s="295"/>
      <c r="G1307" s="296"/>
      <c r="H1307" s="284">
        <f>H1306+H1304+H1298</f>
        <v>1001287.2</v>
      </c>
    </row>
    <row r="1308" spans="3:9" ht="21" customHeight="1">
      <c r="C1308" s="293" t="s">
        <v>1220</v>
      </c>
      <c r="D1308" s="294" t="s">
        <v>1321</v>
      </c>
      <c r="E1308" s="295"/>
      <c r="F1308" s="296"/>
      <c r="G1308" s="298">
        <f>$M$8</f>
        <v>0.1</v>
      </c>
      <c r="H1308" s="284">
        <f>H1307*G1308</f>
        <v>100128.72</v>
      </c>
    </row>
    <row r="1309" spans="3:9" ht="21" customHeight="1" thickBot="1">
      <c r="C1309" s="299" t="s">
        <v>1221</v>
      </c>
      <c r="D1309" s="300" t="s">
        <v>1222</v>
      </c>
      <c r="E1309" s="301"/>
      <c r="F1309" s="301"/>
      <c r="G1309" s="302"/>
      <c r="H1309" s="303">
        <f>SUM(H1307:H1308)</f>
        <v>1101415.92</v>
      </c>
    </row>
    <row r="1310" spans="3:9" ht="14.4" thickTop="1">
      <c r="C1310" s="289"/>
      <c r="D1310" s="297"/>
      <c r="E1310" s="297"/>
      <c r="F1310" s="297"/>
      <c r="G1310" s="297"/>
      <c r="H1310" s="139"/>
    </row>
    <row r="1311" spans="3:9" ht="14.4" thickBot="1">
      <c r="C1311" s="47" t="s">
        <v>2955</v>
      </c>
      <c r="D1311" s="485" t="s">
        <v>1454</v>
      </c>
      <c r="E1311" s="485"/>
      <c r="F1311" s="485"/>
      <c r="G1311" s="485"/>
      <c r="H1311" s="485"/>
      <c r="I1311" s="120">
        <f>ROUNDDOWN(H1327,-2)</f>
        <v>99700</v>
      </c>
    </row>
    <row r="1312" spans="3:9" ht="28.2" thickTop="1">
      <c r="C1312" s="51" t="s">
        <v>1195</v>
      </c>
      <c r="D1312" s="52" t="s">
        <v>1196</v>
      </c>
      <c r="E1312" s="52" t="s">
        <v>1197</v>
      </c>
      <c r="F1312" s="52" t="s">
        <v>1198</v>
      </c>
      <c r="G1312" s="52" t="s">
        <v>1199</v>
      </c>
      <c r="H1312" s="53" t="s">
        <v>1200</v>
      </c>
    </row>
    <row r="1313" spans="3:9" ht="21" customHeight="1">
      <c r="C1313" s="290" t="s">
        <v>1201</v>
      </c>
      <c r="D1313" s="182" t="s">
        <v>1202</v>
      </c>
      <c r="E1313" s="70"/>
      <c r="F1313" s="70"/>
      <c r="G1313" s="70"/>
      <c r="H1313" s="71"/>
    </row>
    <row r="1314" spans="3:9" ht="21" customHeight="1">
      <c r="C1314" s="281">
        <v>1</v>
      </c>
      <c r="D1314" s="182" t="s">
        <v>5</v>
      </c>
      <c r="E1314" s="176" t="s">
        <v>6</v>
      </c>
      <c r="F1314" s="315">
        <v>0.17</v>
      </c>
      <c r="G1314" s="283">
        <f>VLOOKUP(D1314,upahbahan,3,FALSE)</f>
        <v>100000</v>
      </c>
      <c r="H1314" s="284">
        <f t="shared" ref="H1314:H1317" si="128">F1314*G1314</f>
        <v>17000</v>
      </c>
    </row>
    <row r="1315" spans="3:9" ht="21" customHeight="1">
      <c r="C1315" s="281">
        <v>2</v>
      </c>
      <c r="D1315" s="182" t="s">
        <v>7</v>
      </c>
      <c r="E1315" s="176" t="s">
        <v>6</v>
      </c>
      <c r="F1315" s="315">
        <v>0.17</v>
      </c>
      <c r="G1315" s="283">
        <f>VLOOKUP(D1315,upahbahan,3,FALSE)</f>
        <v>135000</v>
      </c>
      <c r="H1315" s="284">
        <f t="shared" si="128"/>
        <v>22950</v>
      </c>
    </row>
    <row r="1316" spans="3:9" ht="21" customHeight="1">
      <c r="C1316" s="281">
        <v>3</v>
      </c>
      <c r="D1316" s="182" t="s">
        <v>18</v>
      </c>
      <c r="E1316" s="176" t="s">
        <v>6</v>
      </c>
      <c r="F1316" s="315">
        <v>1.7000000000000001E-2</v>
      </c>
      <c r="G1316" s="283">
        <f>VLOOKUP(D1316,upahbahan,3,FALSE)</f>
        <v>150000</v>
      </c>
      <c r="H1316" s="284">
        <f t="shared" si="128"/>
        <v>2550</v>
      </c>
    </row>
    <row r="1317" spans="3:9" ht="21" customHeight="1">
      <c r="C1317" s="281">
        <v>4</v>
      </c>
      <c r="D1317" s="182" t="s">
        <v>19</v>
      </c>
      <c r="E1317" s="176" t="s">
        <v>6</v>
      </c>
      <c r="F1317" s="315">
        <v>5.7000000000000002E-3</v>
      </c>
      <c r="G1317" s="283">
        <f>VLOOKUP(D1317,upahbahan,3,FALSE)</f>
        <v>160000</v>
      </c>
      <c r="H1317" s="284">
        <f t="shared" si="128"/>
        <v>912</v>
      </c>
    </row>
    <row r="1318" spans="3:9" ht="21" customHeight="1">
      <c r="C1318" s="66" t="s">
        <v>1208</v>
      </c>
      <c r="D1318" s="67"/>
      <c r="E1318" s="67"/>
      <c r="F1318" s="142"/>
      <c r="G1318" s="153"/>
      <c r="H1318" s="284">
        <f>SUM(H1314:H1317)</f>
        <v>43412</v>
      </c>
      <c r="I1318" s="320"/>
    </row>
    <row r="1319" spans="3:9" ht="21" customHeight="1">
      <c r="C1319" s="290" t="s">
        <v>1209</v>
      </c>
      <c r="D1319" s="182" t="s">
        <v>1210</v>
      </c>
      <c r="E1319" s="70"/>
      <c r="F1319" s="70"/>
      <c r="G1319" s="70"/>
      <c r="H1319" s="71"/>
    </row>
    <row r="1320" spans="3:9" ht="21" customHeight="1">
      <c r="C1320" s="310" t="s">
        <v>1203</v>
      </c>
      <c r="D1320" s="182" t="s">
        <v>422</v>
      </c>
      <c r="E1320" s="176" t="s">
        <v>62</v>
      </c>
      <c r="F1320" s="282">
        <v>1.05</v>
      </c>
      <c r="G1320" s="283">
        <f>VLOOKUP(D1320,upahbahan,3,FALSE)</f>
        <v>45000</v>
      </c>
      <c r="H1320" s="284">
        <f t="shared" ref="H1320:H1321" si="129">F1320*G1320</f>
        <v>47250</v>
      </c>
    </row>
    <row r="1321" spans="3:9" ht="21" customHeight="1">
      <c r="C1321" s="310" t="s">
        <v>1204</v>
      </c>
      <c r="D1321" s="182" t="s">
        <v>2956</v>
      </c>
      <c r="E1321" s="176" t="s">
        <v>65</v>
      </c>
      <c r="F1321" s="282">
        <v>0.35</v>
      </c>
      <c r="G1321" s="283">
        <f>VLOOKUP(D1321,upahbahan,3,FALSE)</f>
        <v>0</v>
      </c>
      <c r="H1321" s="284">
        <f t="shared" si="129"/>
        <v>0</v>
      </c>
    </row>
    <row r="1322" spans="3:9" ht="21" customHeight="1">
      <c r="C1322" s="66" t="s">
        <v>1214</v>
      </c>
      <c r="D1322" s="67"/>
      <c r="E1322" s="67"/>
      <c r="F1322" s="67"/>
      <c r="G1322" s="69"/>
      <c r="H1322" s="284">
        <f>SUM(H1320:H1321)</f>
        <v>47250</v>
      </c>
    </row>
    <row r="1323" spans="3:9" ht="21" customHeight="1">
      <c r="C1323" s="321" t="s">
        <v>1215</v>
      </c>
      <c r="D1323" s="182" t="s">
        <v>1216</v>
      </c>
      <c r="E1323" s="70"/>
      <c r="F1323" s="70"/>
      <c r="G1323" s="70"/>
      <c r="H1323" s="71"/>
    </row>
    <row r="1324" spans="3:9" ht="21" customHeight="1">
      <c r="C1324" s="66" t="s">
        <v>1217</v>
      </c>
      <c r="D1324" s="67"/>
      <c r="E1324" s="67"/>
      <c r="F1324" s="67"/>
      <c r="G1324" s="69"/>
      <c r="H1324" s="292">
        <v>0</v>
      </c>
    </row>
    <row r="1325" spans="3:9" ht="21" customHeight="1">
      <c r="C1325" s="293" t="s">
        <v>1218</v>
      </c>
      <c r="D1325" s="294" t="s">
        <v>1219</v>
      </c>
      <c r="E1325" s="295"/>
      <c r="F1325" s="295"/>
      <c r="G1325" s="296"/>
      <c r="H1325" s="284">
        <f>H1324+H1322+H1318</f>
        <v>90662</v>
      </c>
    </row>
    <row r="1326" spans="3:9" ht="21" customHeight="1">
      <c r="C1326" s="293" t="s">
        <v>1220</v>
      </c>
      <c r="D1326" s="294" t="s">
        <v>1321</v>
      </c>
      <c r="E1326" s="295"/>
      <c r="F1326" s="296"/>
      <c r="G1326" s="298">
        <f>$M$8</f>
        <v>0.1</v>
      </c>
      <c r="H1326" s="284">
        <f>H1325*G1326</f>
        <v>9066.2000000000007</v>
      </c>
    </row>
    <row r="1327" spans="3:9" ht="21" customHeight="1" thickBot="1">
      <c r="C1327" s="299" t="s">
        <v>1221</v>
      </c>
      <c r="D1327" s="300" t="s">
        <v>1222</v>
      </c>
      <c r="E1327" s="301"/>
      <c r="F1327" s="301"/>
      <c r="G1327" s="302"/>
      <c r="H1327" s="303">
        <f>SUM(H1325:H1326)</f>
        <v>99728.2</v>
      </c>
    </row>
    <row r="1328" spans="3:9" ht="14.4" thickTop="1">
      <c r="C1328" s="289"/>
      <c r="D1328" s="297"/>
      <c r="E1328" s="297"/>
      <c r="F1328" s="297"/>
      <c r="G1328" s="297"/>
      <c r="H1328" s="139"/>
    </row>
    <row r="1329" spans="3:9" ht="14.4" thickBot="1">
      <c r="C1329" s="119" t="s">
        <v>2957</v>
      </c>
      <c r="D1329" s="485" t="s">
        <v>1455</v>
      </c>
      <c r="E1329" s="485"/>
      <c r="F1329" s="485"/>
      <c r="G1329" s="485"/>
      <c r="H1329" s="485"/>
      <c r="I1329" s="120">
        <f>ROUNDDOWN(H1345,-2)</f>
        <v>45200</v>
      </c>
    </row>
    <row r="1330" spans="3:9" ht="28.2" thickTop="1">
      <c r="C1330" s="51" t="s">
        <v>1195</v>
      </c>
      <c r="D1330" s="52" t="s">
        <v>1196</v>
      </c>
      <c r="E1330" s="52" t="s">
        <v>1197</v>
      </c>
      <c r="F1330" s="52" t="s">
        <v>1198</v>
      </c>
      <c r="G1330" s="52" t="s">
        <v>1199</v>
      </c>
      <c r="H1330" s="53" t="s">
        <v>1200</v>
      </c>
    </row>
    <row r="1331" spans="3:9" ht="21" customHeight="1">
      <c r="C1331" s="290" t="s">
        <v>1201</v>
      </c>
      <c r="D1331" s="182" t="s">
        <v>1202</v>
      </c>
      <c r="E1331" s="70"/>
      <c r="F1331" s="70"/>
      <c r="G1331" s="70"/>
      <c r="H1331" s="71"/>
    </row>
    <row r="1332" spans="3:9" ht="21" customHeight="1">
      <c r="C1332" s="281">
        <v>1</v>
      </c>
      <c r="D1332" s="182" t="s">
        <v>5</v>
      </c>
      <c r="E1332" s="176" t="s">
        <v>6</v>
      </c>
      <c r="F1332" s="315">
        <v>0.12</v>
      </c>
      <c r="G1332" s="283">
        <f>VLOOKUP(D1332,upahbahan,3,FALSE)</f>
        <v>100000</v>
      </c>
      <c r="H1332" s="284">
        <f>F1332*G1332</f>
        <v>12000</v>
      </c>
    </row>
    <row r="1333" spans="3:9" ht="21" customHeight="1">
      <c r="C1333" s="281">
        <v>2</v>
      </c>
      <c r="D1333" s="182" t="s">
        <v>7</v>
      </c>
      <c r="E1333" s="176" t="s">
        <v>6</v>
      </c>
      <c r="F1333" s="315">
        <v>0.12</v>
      </c>
      <c r="G1333" s="283">
        <f>VLOOKUP(D1333,upahbahan,3,FALSE)</f>
        <v>135000</v>
      </c>
      <c r="H1333" s="284">
        <f t="shared" ref="H1333:H1335" si="130">F1333*G1333</f>
        <v>16200</v>
      </c>
    </row>
    <row r="1334" spans="3:9" ht="21" customHeight="1">
      <c r="C1334" s="281">
        <v>3</v>
      </c>
      <c r="D1334" s="182" t="s">
        <v>18</v>
      </c>
      <c r="E1334" s="176" t="s">
        <v>6</v>
      </c>
      <c r="F1334" s="315">
        <v>1.2E-2</v>
      </c>
      <c r="G1334" s="283">
        <f>VLOOKUP(D1334,upahbahan,3,FALSE)</f>
        <v>150000</v>
      </c>
      <c r="H1334" s="284">
        <f t="shared" si="130"/>
        <v>1800</v>
      </c>
    </row>
    <row r="1335" spans="3:9" ht="21" customHeight="1">
      <c r="C1335" s="281">
        <v>4</v>
      </c>
      <c r="D1335" s="182" t="s">
        <v>19</v>
      </c>
      <c r="E1335" s="176" t="s">
        <v>6</v>
      </c>
      <c r="F1335" s="315">
        <v>4.0000000000000001E-3</v>
      </c>
      <c r="G1335" s="283">
        <f>VLOOKUP(D1335,upahbahan,3,FALSE)</f>
        <v>160000</v>
      </c>
      <c r="H1335" s="284">
        <f t="shared" si="130"/>
        <v>640</v>
      </c>
    </row>
    <row r="1336" spans="3:9" ht="21" customHeight="1">
      <c r="C1336" s="66" t="s">
        <v>1208</v>
      </c>
      <c r="D1336" s="67"/>
      <c r="E1336" s="67"/>
      <c r="F1336" s="142"/>
      <c r="G1336" s="153"/>
      <c r="H1336" s="284">
        <f>SUM(H1332:H1335)</f>
        <v>30640</v>
      </c>
      <c r="I1336" s="320"/>
    </row>
    <row r="1337" spans="3:9" ht="21" customHeight="1">
      <c r="C1337" s="290" t="s">
        <v>1209</v>
      </c>
      <c r="D1337" s="182" t="s">
        <v>1210</v>
      </c>
      <c r="E1337" s="70"/>
      <c r="F1337" s="70"/>
      <c r="G1337" s="70"/>
      <c r="H1337" s="71"/>
    </row>
    <row r="1338" spans="3:9" ht="21" customHeight="1">
      <c r="C1338" s="310" t="s">
        <v>1203</v>
      </c>
      <c r="D1338" s="182" t="s">
        <v>524</v>
      </c>
      <c r="E1338" s="176" t="s">
        <v>62</v>
      </c>
      <c r="F1338" s="282">
        <v>1.05</v>
      </c>
      <c r="G1338" s="283">
        <f>VLOOKUP(D1338,upahbahan,3,FALSE)</f>
        <v>10000</v>
      </c>
      <c r="H1338" s="284">
        <f>F1338*G1338</f>
        <v>10500</v>
      </c>
    </row>
    <row r="1339" spans="3:9" ht="21" customHeight="1">
      <c r="C1339" s="310" t="s">
        <v>1204</v>
      </c>
      <c r="D1339" s="182" t="s">
        <v>2956</v>
      </c>
      <c r="E1339" s="176" t="s">
        <v>65</v>
      </c>
      <c r="F1339" s="282">
        <v>0.35</v>
      </c>
      <c r="G1339" s="283">
        <f>VLOOKUP(D1339,upahbahan,3,FALSE)</f>
        <v>0</v>
      </c>
      <c r="H1339" s="284">
        <f>F1339*G1339</f>
        <v>0</v>
      </c>
    </row>
    <row r="1340" spans="3:9" ht="21" customHeight="1">
      <c r="C1340" s="66" t="s">
        <v>1214</v>
      </c>
      <c r="D1340" s="67"/>
      <c r="E1340" s="67"/>
      <c r="F1340" s="67"/>
      <c r="G1340" s="69"/>
      <c r="H1340" s="284">
        <f>SUM(H1338:H1339)</f>
        <v>10500</v>
      </c>
    </row>
    <row r="1341" spans="3:9" ht="21" customHeight="1">
      <c r="C1341" s="321" t="s">
        <v>1215</v>
      </c>
      <c r="D1341" s="182" t="s">
        <v>1216</v>
      </c>
      <c r="E1341" s="70"/>
      <c r="F1341" s="70"/>
      <c r="G1341" s="70"/>
      <c r="H1341" s="71"/>
    </row>
    <row r="1342" spans="3:9" ht="21" customHeight="1">
      <c r="C1342" s="66" t="s">
        <v>1217</v>
      </c>
      <c r="D1342" s="67"/>
      <c r="E1342" s="67"/>
      <c r="F1342" s="67"/>
      <c r="G1342" s="69"/>
      <c r="H1342" s="292">
        <v>0</v>
      </c>
    </row>
    <row r="1343" spans="3:9" ht="21" customHeight="1">
      <c r="C1343" s="293" t="s">
        <v>1218</v>
      </c>
      <c r="D1343" s="294" t="s">
        <v>1219</v>
      </c>
      <c r="E1343" s="295"/>
      <c r="F1343" s="295"/>
      <c r="G1343" s="296"/>
      <c r="H1343" s="284">
        <f>H1342+H1340+H1336</f>
        <v>41140</v>
      </c>
    </row>
    <row r="1344" spans="3:9" ht="21" customHeight="1">
      <c r="C1344" s="293" t="s">
        <v>1220</v>
      </c>
      <c r="D1344" s="294" t="s">
        <v>1321</v>
      </c>
      <c r="E1344" s="295"/>
      <c r="F1344" s="296"/>
      <c r="G1344" s="298">
        <f>$M$8</f>
        <v>0.1</v>
      </c>
      <c r="H1344" s="284">
        <f>H1343*G1344</f>
        <v>4114</v>
      </c>
    </row>
    <row r="1345" spans="3:9" ht="21" customHeight="1" thickBot="1">
      <c r="C1345" s="299" t="s">
        <v>1221</v>
      </c>
      <c r="D1345" s="300" t="s">
        <v>1222</v>
      </c>
      <c r="E1345" s="301"/>
      <c r="F1345" s="301"/>
      <c r="G1345" s="302"/>
      <c r="H1345" s="303">
        <f>SUM(H1343:H1344)</f>
        <v>45254</v>
      </c>
    </row>
    <row r="1346" spans="3:9" ht="14.4" thickTop="1">
      <c r="C1346" s="289"/>
      <c r="D1346" s="297"/>
      <c r="E1346" s="297"/>
      <c r="F1346" s="297"/>
      <c r="G1346" s="297"/>
      <c r="H1346" s="139"/>
    </row>
    <row r="1347" spans="3:9" ht="14.4" thickBot="1">
      <c r="C1347" s="485" t="s">
        <v>2958</v>
      </c>
      <c r="D1347" s="485" t="s">
        <v>1456</v>
      </c>
      <c r="E1347" s="485"/>
      <c r="F1347" s="485"/>
      <c r="G1347" s="485"/>
      <c r="H1347" s="485"/>
      <c r="I1347" s="120">
        <f>ROUNDDOWN(H1363,-2)</f>
        <v>490900</v>
      </c>
    </row>
    <row r="1348" spans="3:9" ht="28.2" thickTop="1">
      <c r="C1348" s="51" t="s">
        <v>1195</v>
      </c>
      <c r="D1348" s="52" t="s">
        <v>1196</v>
      </c>
      <c r="E1348" s="52" t="s">
        <v>1197</v>
      </c>
      <c r="F1348" s="52" t="s">
        <v>1198</v>
      </c>
      <c r="G1348" s="52" t="s">
        <v>1199</v>
      </c>
      <c r="H1348" s="53" t="s">
        <v>1200</v>
      </c>
    </row>
    <row r="1349" spans="3:9" ht="21" customHeight="1">
      <c r="C1349" s="290" t="s">
        <v>1201</v>
      </c>
      <c r="D1349" s="182" t="s">
        <v>1202</v>
      </c>
      <c r="E1349" s="70"/>
      <c r="F1349" s="70"/>
      <c r="G1349" s="70"/>
      <c r="H1349" s="71"/>
    </row>
    <row r="1350" spans="3:9" ht="21" customHeight="1">
      <c r="C1350" s="281">
        <v>1</v>
      </c>
      <c r="D1350" s="182" t="s">
        <v>5</v>
      </c>
      <c r="E1350" s="176" t="s">
        <v>6</v>
      </c>
      <c r="F1350" s="315">
        <v>0.7</v>
      </c>
      <c r="G1350" s="283">
        <f>VLOOKUP(D1350,upahbahan,3,FALSE)</f>
        <v>100000</v>
      </c>
      <c r="H1350" s="284">
        <f>F1350*G1350</f>
        <v>70000</v>
      </c>
    </row>
    <row r="1351" spans="3:9" ht="21" customHeight="1">
      <c r="C1351" s="281">
        <v>2</v>
      </c>
      <c r="D1351" s="182" t="s">
        <v>7</v>
      </c>
      <c r="E1351" s="176" t="s">
        <v>6</v>
      </c>
      <c r="F1351" s="315">
        <v>0.35</v>
      </c>
      <c r="G1351" s="283">
        <f>VLOOKUP(D1351,upahbahan,3,FALSE)</f>
        <v>135000</v>
      </c>
      <c r="H1351" s="284">
        <f t="shared" ref="H1351:H1353" si="131">F1351*G1351</f>
        <v>47250</v>
      </c>
    </row>
    <row r="1352" spans="3:9" ht="21" customHeight="1">
      <c r="C1352" s="281">
        <v>3</v>
      </c>
      <c r="D1352" s="182" t="s">
        <v>18</v>
      </c>
      <c r="E1352" s="176" t="s">
        <v>6</v>
      </c>
      <c r="F1352" s="315">
        <v>3.5000000000000003E-2</v>
      </c>
      <c r="G1352" s="283">
        <f>VLOOKUP(D1352,upahbahan,3,FALSE)</f>
        <v>150000</v>
      </c>
      <c r="H1352" s="284">
        <f t="shared" si="131"/>
        <v>5250.0000000000009</v>
      </c>
    </row>
    <row r="1353" spans="3:9" ht="21" customHeight="1">
      <c r="C1353" s="281">
        <v>4</v>
      </c>
      <c r="D1353" s="182" t="s">
        <v>19</v>
      </c>
      <c r="E1353" s="176" t="s">
        <v>6</v>
      </c>
      <c r="F1353" s="315">
        <v>1.17E-2</v>
      </c>
      <c r="G1353" s="283">
        <f>VLOOKUP(D1353,upahbahan,3,FALSE)</f>
        <v>160000</v>
      </c>
      <c r="H1353" s="284">
        <f t="shared" si="131"/>
        <v>1872</v>
      </c>
    </row>
    <row r="1354" spans="3:9" ht="21" customHeight="1">
      <c r="C1354" s="66" t="s">
        <v>1208</v>
      </c>
      <c r="D1354" s="67"/>
      <c r="E1354" s="67"/>
      <c r="F1354" s="142"/>
      <c r="G1354" s="153"/>
      <c r="H1354" s="284">
        <f>SUM(H1350:H1353)</f>
        <v>124372</v>
      </c>
      <c r="I1354" s="320"/>
    </row>
    <row r="1355" spans="3:9" ht="21" customHeight="1">
      <c r="C1355" s="290" t="s">
        <v>1209</v>
      </c>
      <c r="D1355" s="182" t="s">
        <v>1210</v>
      </c>
      <c r="E1355" s="70"/>
      <c r="F1355" s="70"/>
      <c r="G1355" s="70"/>
      <c r="H1355" s="71"/>
    </row>
    <row r="1356" spans="3:9" ht="21" customHeight="1">
      <c r="C1356" s="310" t="s">
        <v>1203</v>
      </c>
      <c r="D1356" s="182" t="s">
        <v>460</v>
      </c>
      <c r="E1356" s="176" t="s">
        <v>62</v>
      </c>
      <c r="F1356" s="282">
        <v>1.05</v>
      </c>
      <c r="G1356" s="283">
        <f>VLOOKUP(D1356,upahbahan,3,FALSE)</f>
        <v>306600</v>
      </c>
      <c r="H1356" s="284">
        <f t="shared" ref="H1356:H1357" si="132">F1356*G1356</f>
        <v>321930</v>
      </c>
    </row>
    <row r="1357" spans="3:9" ht="21" customHeight="1">
      <c r="C1357" s="310" t="s">
        <v>1204</v>
      </c>
      <c r="D1357" s="182" t="s">
        <v>1004</v>
      </c>
      <c r="E1357" s="176" t="s">
        <v>65</v>
      </c>
      <c r="F1357" s="282">
        <v>0.6</v>
      </c>
      <c r="G1357" s="283">
        <f>VLOOKUP(D1357,upahbahan,3,FALSE)</f>
        <v>0</v>
      </c>
      <c r="H1357" s="284">
        <f t="shared" si="132"/>
        <v>0</v>
      </c>
    </row>
    <row r="1358" spans="3:9" ht="21" customHeight="1">
      <c r="C1358" s="66" t="s">
        <v>1214</v>
      </c>
      <c r="D1358" s="67"/>
      <c r="E1358" s="67"/>
      <c r="F1358" s="67"/>
      <c r="G1358" s="69"/>
      <c r="H1358" s="284">
        <f>SUM(H1356:H1357)</f>
        <v>321930</v>
      </c>
    </row>
    <row r="1359" spans="3:9" ht="21" customHeight="1">
      <c r="C1359" s="321" t="s">
        <v>1215</v>
      </c>
      <c r="D1359" s="182" t="s">
        <v>1216</v>
      </c>
      <c r="E1359" s="70"/>
      <c r="F1359" s="70"/>
      <c r="G1359" s="70"/>
      <c r="H1359" s="71"/>
    </row>
    <row r="1360" spans="3:9" ht="21" customHeight="1">
      <c r="C1360" s="66" t="s">
        <v>1217</v>
      </c>
      <c r="D1360" s="67"/>
      <c r="E1360" s="67"/>
      <c r="F1360" s="67"/>
      <c r="G1360" s="69"/>
      <c r="H1360" s="292">
        <v>0</v>
      </c>
    </row>
    <row r="1361" spans="3:9" ht="21" customHeight="1">
      <c r="C1361" s="293" t="s">
        <v>1218</v>
      </c>
      <c r="D1361" s="294" t="s">
        <v>1219</v>
      </c>
      <c r="E1361" s="295"/>
      <c r="F1361" s="295"/>
      <c r="G1361" s="296"/>
      <c r="H1361" s="284">
        <f>H1360+H1358+H1354</f>
        <v>446302</v>
      </c>
    </row>
    <row r="1362" spans="3:9" ht="21" customHeight="1">
      <c r="C1362" s="293" t="s">
        <v>1220</v>
      </c>
      <c r="D1362" s="294" t="s">
        <v>1321</v>
      </c>
      <c r="E1362" s="295"/>
      <c r="F1362" s="296"/>
      <c r="G1362" s="298">
        <f>$M$8</f>
        <v>0.1</v>
      </c>
      <c r="H1362" s="284">
        <f>H1361*G1362</f>
        <v>44630.200000000004</v>
      </c>
    </row>
    <row r="1363" spans="3:9" ht="21" customHeight="1" thickBot="1">
      <c r="C1363" s="299" t="s">
        <v>1221</v>
      </c>
      <c r="D1363" s="300" t="s">
        <v>1222</v>
      </c>
      <c r="E1363" s="301"/>
      <c r="F1363" s="301"/>
      <c r="G1363" s="302"/>
      <c r="H1363" s="303">
        <f>SUM(H1361:H1362)</f>
        <v>490932.2</v>
      </c>
    </row>
    <row r="1364" spans="3:9" ht="21" customHeight="1" thickTop="1">
      <c r="C1364" s="289"/>
      <c r="D1364" s="297"/>
      <c r="E1364" s="297"/>
      <c r="F1364" s="297"/>
      <c r="G1364" s="297"/>
      <c r="H1364" s="139"/>
    </row>
    <row r="1365" spans="3:9" ht="14.4" thickBot="1">
      <c r="C1365" s="119" t="s">
        <v>2959</v>
      </c>
      <c r="D1365" s="485" t="s">
        <v>1457</v>
      </c>
      <c r="E1365" s="485"/>
      <c r="F1365" s="485"/>
      <c r="G1365" s="485"/>
      <c r="H1365" s="485"/>
      <c r="I1365" s="120">
        <f>ROUNDDOWN(H1381,-2)</f>
        <v>367800</v>
      </c>
    </row>
    <row r="1366" spans="3:9" ht="28.2" thickTop="1">
      <c r="C1366" s="51" t="s">
        <v>1195</v>
      </c>
      <c r="D1366" s="52" t="s">
        <v>1196</v>
      </c>
      <c r="E1366" s="52" t="s">
        <v>1197</v>
      </c>
      <c r="F1366" s="52" t="s">
        <v>1198</v>
      </c>
      <c r="G1366" s="52" t="s">
        <v>1199</v>
      </c>
      <c r="H1366" s="53" t="s">
        <v>1200</v>
      </c>
    </row>
    <row r="1367" spans="3:9" ht="21" customHeight="1">
      <c r="C1367" s="290" t="s">
        <v>1201</v>
      </c>
      <c r="D1367" s="182" t="s">
        <v>1202</v>
      </c>
      <c r="E1367" s="70"/>
      <c r="F1367" s="70"/>
      <c r="G1367" s="70"/>
      <c r="H1367" s="71"/>
    </row>
    <row r="1368" spans="3:9" ht="21" customHeight="1">
      <c r="C1368" s="281">
        <v>1</v>
      </c>
      <c r="D1368" s="182" t="s">
        <v>5</v>
      </c>
      <c r="E1368" s="176" t="s">
        <v>6</v>
      </c>
      <c r="F1368" s="315">
        <v>0.7</v>
      </c>
      <c r="G1368" s="283">
        <f>VLOOKUP(D1368,upahbahan,3,FALSE)</f>
        <v>100000</v>
      </c>
      <c r="H1368" s="284">
        <f>F1368*G1368</f>
        <v>70000</v>
      </c>
    </row>
    <row r="1369" spans="3:9" ht="21" customHeight="1">
      <c r="C1369" s="281">
        <v>2</v>
      </c>
      <c r="D1369" s="182" t="s">
        <v>7</v>
      </c>
      <c r="E1369" s="176" t="s">
        <v>6</v>
      </c>
      <c r="F1369" s="315">
        <v>0.35</v>
      </c>
      <c r="G1369" s="283">
        <f>VLOOKUP(D1369,upahbahan,3,FALSE)</f>
        <v>135000</v>
      </c>
      <c r="H1369" s="284">
        <f t="shared" ref="H1369:H1371" si="133">F1369*G1369</f>
        <v>47250</v>
      </c>
    </row>
    <row r="1370" spans="3:9" ht="21" customHeight="1">
      <c r="C1370" s="281">
        <v>3</v>
      </c>
      <c r="D1370" s="182" t="s">
        <v>18</v>
      </c>
      <c r="E1370" s="176" t="s">
        <v>6</v>
      </c>
      <c r="F1370" s="315">
        <v>3.5000000000000003E-2</v>
      </c>
      <c r="G1370" s="283">
        <f>VLOOKUP(D1370,upahbahan,3,FALSE)</f>
        <v>150000</v>
      </c>
      <c r="H1370" s="284">
        <f t="shared" si="133"/>
        <v>5250.0000000000009</v>
      </c>
    </row>
    <row r="1371" spans="3:9" ht="21" customHeight="1">
      <c r="C1371" s="281">
        <v>4</v>
      </c>
      <c r="D1371" s="182" t="s">
        <v>19</v>
      </c>
      <c r="E1371" s="176" t="s">
        <v>6</v>
      </c>
      <c r="F1371" s="315">
        <v>1.17E-2</v>
      </c>
      <c r="G1371" s="283">
        <f>VLOOKUP(D1371,upahbahan,3,FALSE)</f>
        <v>160000</v>
      </c>
      <c r="H1371" s="284">
        <f t="shared" si="133"/>
        <v>1872</v>
      </c>
    </row>
    <row r="1372" spans="3:9" ht="21" customHeight="1">
      <c r="C1372" s="66" t="s">
        <v>1208</v>
      </c>
      <c r="D1372" s="67"/>
      <c r="E1372" s="67"/>
      <c r="F1372" s="142"/>
      <c r="G1372" s="153"/>
      <c r="H1372" s="284">
        <f>SUM(H1368:H1371)</f>
        <v>124372</v>
      </c>
      <c r="I1372" s="320"/>
    </row>
    <row r="1373" spans="3:9" ht="21" customHeight="1">
      <c r="C1373" s="290" t="s">
        <v>1209</v>
      </c>
      <c r="D1373" s="182" t="s">
        <v>1210</v>
      </c>
      <c r="E1373" s="70"/>
      <c r="F1373" s="70"/>
      <c r="G1373" s="70"/>
      <c r="H1373" s="71"/>
    </row>
    <row r="1374" spans="3:9" ht="21" customHeight="1">
      <c r="C1374" s="310" t="s">
        <v>1203</v>
      </c>
      <c r="D1374" s="182" t="s">
        <v>442</v>
      </c>
      <c r="E1374" s="176" t="s">
        <v>62</v>
      </c>
      <c r="F1374" s="282">
        <v>1.05</v>
      </c>
      <c r="G1374" s="283">
        <f>VLOOKUP(D1374,upahbahan,3,FALSE)</f>
        <v>200000</v>
      </c>
      <c r="H1374" s="284">
        <f t="shared" ref="H1374:H1375" si="134">F1374*G1374</f>
        <v>210000</v>
      </c>
    </row>
    <row r="1375" spans="3:9" ht="21" customHeight="1">
      <c r="C1375" s="310" t="s">
        <v>1204</v>
      </c>
      <c r="D1375" s="182" t="s">
        <v>1004</v>
      </c>
      <c r="E1375" s="176" t="s">
        <v>65</v>
      </c>
      <c r="F1375" s="282">
        <v>0.6</v>
      </c>
      <c r="G1375" s="283">
        <f>VLOOKUP(D1375,upahbahan,3,FALSE)</f>
        <v>0</v>
      </c>
      <c r="H1375" s="284">
        <f t="shared" si="134"/>
        <v>0</v>
      </c>
    </row>
    <row r="1376" spans="3:9" ht="21" customHeight="1">
      <c r="C1376" s="66" t="s">
        <v>1214</v>
      </c>
      <c r="D1376" s="67"/>
      <c r="E1376" s="67"/>
      <c r="F1376" s="67"/>
      <c r="G1376" s="69"/>
      <c r="H1376" s="284">
        <f>SUM(H1374:H1375)</f>
        <v>210000</v>
      </c>
    </row>
    <row r="1377" spans="3:9" ht="21" customHeight="1">
      <c r="C1377" s="321" t="s">
        <v>1215</v>
      </c>
      <c r="D1377" s="182" t="s">
        <v>1216</v>
      </c>
      <c r="E1377" s="70"/>
      <c r="F1377" s="70"/>
      <c r="G1377" s="70"/>
      <c r="H1377" s="71"/>
    </row>
    <row r="1378" spans="3:9" ht="21" customHeight="1">
      <c r="C1378" s="66" t="s">
        <v>1217</v>
      </c>
      <c r="D1378" s="67"/>
      <c r="E1378" s="67"/>
      <c r="F1378" s="67"/>
      <c r="G1378" s="69"/>
      <c r="H1378" s="292">
        <v>0</v>
      </c>
    </row>
    <row r="1379" spans="3:9" ht="21" customHeight="1">
      <c r="C1379" s="293" t="s">
        <v>1218</v>
      </c>
      <c r="D1379" s="294" t="s">
        <v>1219</v>
      </c>
      <c r="E1379" s="295"/>
      <c r="F1379" s="295"/>
      <c r="G1379" s="296"/>
      <c r="H1379" s="284">
        <f>H1378+H1376+H1372</f>
        <v>334372</v>
      </c>
    </row>
    <row r="1380" spans="3:9" ht="21" customHeight="1">
      <c r="C1380" s="293" t="s">
        <v>1220</v>
      </c>
      <c r="D1380" s="294" t="s">
        <v>1321</v>
      </c>
      <c r="E1380" s="295"/>
      <c r="F1380" s="296"/>
      <c r="G1380" s="298">
        <f>$M$8</f>
        <v>0.1</v>
      </c>
      <c r="H1380" s="284">
        <f>H1379*G1380</f>
        <v>33437.200000000004</v>
      </c>
    </row>
    <row r="1381" spans="3:9" ht="21" customHeight="1" thickBot="1">
      <c r="C1381" s="299" t="s">
        <v>1221</v>
      </c>
      <c r="D1381" s="300" t="s">
        <v>1222</v>
      </c>
      <c r="E1381" s="301"/>
      <c r="F1381" s="301"/>
      <c r="G1381" s="302"/>
      <c r="H1381" s="303">
        <f>SUM(H1379:H1380)</f>
        <v>367809.2</v>
      </c>
    </row>
    <row r="1382" spans="3:9" ht="14.4" thickTop="1">
      <c r="C1382" s="289"/>
      <c r="D1382" s="297"/>
      <c r="E1382" s="297"/>
      <c r="F1382" s="297"/>
      <c r="G1382" s="297"/>
      <c r="H1382" s="139"/>
    </row>
    <row r="1383" spans="3:9" ht="14.4" thickBot="1">
      <c r="C1383" s="119" t="s">
        <v>2960</v>
      </c>
      <c r="D1383" s="485" t="s">
        <v>1458</v>
      </c>
      <c r="E1383" s="485"/>
      <c r="F1383" s="485"/>
      <c r="G1383" s="485"/>
      <c r="H1383" s="485"/>
      <c r="I1383" s="120" t="e">
        <f>ROUNDDOWN(H1399,-2)</f>
        <v>#VALUE!</v>
      </c>
    </row>
    <row r="1384" spans="3:9" ht="28.2" thickTop="1">
      <c r="C1384" s="51" t="s">
        <v>1195</v>
      </c>
      <c r="D1384" s="52" t="s">
        <v>1196</v>
      </c>
      <c r="E1384" s="52" t="s">
        <v>1197</v>
      </c>
      <c r="F1384" s="52" t="s">
        <v>1198</v>
      </c>
      <c r="G1384" s="52" t="s">
        <v>1199</v>
      </c>
      <c r="H1384" s="53" t="s">
        <v>1200</v>
      </c>
    </row>
    <row r="1385" spans="3:9" ht="21" customHeight="1">
      <c r="C1385" s="290" t="s">
        <v>1201</v>
      </c>
      <c r="D1385" s="182" t="s">
        <v>1202</v>
      </c>
      <c r="E1385" s="70"/>
      <c r="F1385" s="70"/>
      <c r="G1385" s="70"/>
      <c r="H1385" s="71"/>
    </row>
    <row r="1386" spans="3:9" ht="21" customHeight="1">
      <c r="C1386" s="281">
        <v>1</v>
      </c>
      <c r="D1386" s="182" t="s">
        <v>5</v>
      </c>
      <c r="E1386" s="176" t="s">
        <v>6</v>
      </c>
      <c r="F1386" s="282">
        <v>0.12</v>
      </c>
      <c r="G1386" s="283">
        <f>VLOOKUP(D1386,upahbahan,3,FALSE)</f>
        <v>100000</v>
      </c>
      <c r="H1386" s="284">
        <f t="shared" ref="H1386:H1389" si="135">F1386*G1386</f>
        <v>12000</v>
      </c>
    </row>
    <row r="1387" spans="3:9" ht="21" customHeight="1">
      <c r="C1387" s="281">
        <v>2</v>
      </c>
      <c r="D1387" s="182" t="s">
        <v>7</v>
      </c>
      <c r="E1387" s="176" t="s">
        <v>6</v>
      </c>
      <c r="F1387" s="282">
        <v>0.12</v>
      </c>
      <c r="G1387" s="283">
        <f>VLOOKUP(D1387,upahbahan,3,FALSE)</f>
        <v>135000</v>
      </c>
      <c r="H1387" s="284">
        <f t="shared" si="135"/>
        <v>16200</v>
      </c>
    </row>
    <row r="1388" spans="3:9" ht="21" customHeight="1">
      <c r="C1388" s="281">
        <v>3</v>
      </c>
      <c r="D1388" s="182" t="s">
        <v>18</v>
      </c>
      <c r="E1388" s="176" t="s">
        <v>6</v>
      </c>
      <c r="F1388" s="282">
        <v>1.2E-2</v>
      </c>
      <c r="G1388" s="283">
        <f>VLOOKUP(D1388,upahbahan,3,FALSE)</f>
        <v>150000</v>
      </c>
      <c r="H1388" s="284">
        <f t="shared" si="135"/>
        <v>1800</v>
      </c>
    </row>
    <row r="1389" spans="3:9" ht="21" customHeight="1">
      <c r="C1389" s="281">
        <v>4</v>
      </c>
      <c r="D1389" s="182" t="s">
        <v>19</v>
      </c>
      <c r="E1389" s="176" t="s">
        <v>6</v>
      </c>
      <c r="F1389" s="282">
        <v>4.0000000000000001E-3</v>
      </c>
      <c r="G1389" s="283">
        <f>VLOOKUP(D1389,upahbahan,3,FALSE)</f>
        <v>160000</v>
      </c>
      <c r="H1389" s="284">
        <f t="shared" si="135"/>
        <v>640</v>
      </c>
    </row>
    <row r="1390" spans="3:9" ht="21" customHeight="1">
      <c r="C1390" s="66" t="s">
        <v>1208</v>
      </c>
      <c r="D1390" s="67"/>
      <c r="E1390" s="67"/>
      <c r="F1390" s="142"/>
      <c r="G1390" s="153"/>
      <c r="H1390" s="284">
        <f>SUM(H1386:H1389)</f>
        <v>30640</v>
      </c>
      <c r="I1390" s="320"/>
    </row>
    <row r="1391" spans="3:9" ht="21" customHeight="1">
      <c r="C1391" s="290" t="s">
        <v>1209</v>
      </c>
      <c r="D1391" s="182" t="s">
        <v>1210</v>
      </c>
      <c r="E1391" s="70"/>
      <c r="F1391" s="70"/>
      <c r="G1391" s="70"/>
      <c r="H1391" s="71"/>
    </row>
    <row r="1392" spans="3:9" ht="21" customHeight="1">
      <c r="C1392" s="310" t="s">
        <v>1203</v>
      </c>
      <c r="D1392" s="182" t="s">
        <v>122</v>
      </c>
      <c r="E1392" s="176" t="s">
        <v>42</v>
      </c>
      <c r="F1392" s="282">
        <v>3.0000000000000001E-3</v>
      </c>
      <c r="G1392" s="283" t="e">
        <f>VLOOKUP(D1392,upahbahan,3,FALSE)</f>
        <v>#VALUE!</v>
      </c>
      <c r="H1392" s="284" t="e">
        <f t="shared" ref="H1392:H1393" si="136">F1392*G1392</f>
        <v>#VALUE!</v>
      </c>
    </row>
    <row r="1393" spans="3:9" ht="21" customHeight="1">
      <c r="C1393" s="310" t="s">
        <v>1204</v>
      </c>
      <c r="D1393" s="182" t="s">
        <v>268</v>
      </c>
      <c r="E1393" s="176" t="s">
        <v>65</v>
      </c>
      <c r="F1393" s="282">
        <v>0.05</v>
      </c>
      <c r="G1393" s="283">
        <f>VLOOKUP(D1393,upahbahan,3,FALSE)</f>
        <v>216000</v>
      </c>
      <c r="H1393" s="284">
        <f t="shared" si="136"/>
        <v>10800</v>
      </c>
    </row>
    <row r="1394" spans="3:9" ht="21" customHeight="1">
      <c r="C1394" s="66" t="s">
        <v>1214</v>
      </c>
      <c r="D1394" s="67"/>
      <c r="E1394" s="67"/>
      <c r="F1394" s="67"/>
      <c r="G1394" s="69"/>
      <c r="H1394" s="284" t="e">
        <f>SUM(H1392:H1393)</f>
        <v>#VALUE!</v>
      </c>
    </row>
    <row r="1395" spans="3:9" ht="21" customHeight="1">
      <c r="C1395" s="321" t="s">
        <v>1215</v>
      </c>
      <c r="D1395" s="182" t="s">
        <v>1216</v>
      </c>
      <c r="E1395" s="70"/>
      <c r="F1395" s="70"/>
      <c r="G1395" s="70"/>
      <c r="H1395" s="71"/>
    </row>
    <row r="1396" spans="3:9" ht="21" customHeight="1">
      <c r="C1396" s="66" t="s">
        <v>1217</v>
      </c>
      <c r="D1396" s="67"/>
      <c r="E1396" s="67"/>
      <c r="F1396" s="67"/>
      <c r="G1396" s="69"/>
      <c r="H1396" s="292">
        <v>0</v>
      </c>
    </row>
    <row r="1397" spans="3:9" ht="21" customHeight="1">
      <c r="C1397" s="293" t="s">
        <v>1218</v>
      </c>
      <c r="D1397" s="294" t="s">
        <v>1219</v>
      </c>
      <c r="E1397" s="295"/>
      <c r="F1397" s="295"/>
      <c r="G1397" s="296"/>
      <c r="H1397" s="284" t="e">
        <f>H1396+H1394+H1390</f>
        <v>#VALUE!</v>
      </c>
    </row>
    <row r="1398" spans="3:9" ht="21" customHeight="1">
      <c r="C1398" s="293" t="s">
        <v>1220</v>
      </c>
      <c r="D1398" s="294" t="s">
        <v>1321</v>
      </c>
      <c r="E1398" s="295"/>
      <c r="F1398" s="296"/>
      <c r="G1398" s="298">
        <f>$M$8</f>
        <v>0.1</v>
      </c>
      <c r="H1398" s="284" t="e">
        <f>H1397*G1398</f>
        <v>#VALUE!</v>
      </c>
    </row>
    <row r="1399" spans="3:9" ht="21" customHeight="1" thickBot="1">
      <c r="C1399" s="299" t="s">
        <v>1221</v>
      </c>
      <c r="D1399" s="300" t="s">
        <v>1222</v>
      </c>
      <c r="E1399" s="301"/>
      <c r="F1399" s="301"/>
      <c r="G1399" s="302"/>
      <c r="H1399" s="303" t="e">
        <f>SUM(H1397:H1398)</f>
        <v>#VALUE!</v>
      </c>
    </row>
    <row r="1400" spans="3:9" ht="14.4" thickTop="1">
      <c r="C1400" s="289"/>
      <c r="D1400" s="297"/>
      <c r="E1400" s="297"/>
      <c r="F1400" s="297"/>
      <c r="G1400" s="297"/>
      <c r="H1400" s="139"/>
    </row>
    <row r="1401" spans="3:9" ht="14.4" thickBot="1">
      <c r="C1401" s="119" t="s">
        <v>2961</v>
      </c>
      <c r="D1401" s="485" t="s">
        <v>1459</v>
      </c>
      <c r="E1401" s="485"/>
      <c r="F1401" s="485"/>
      <c r="G1401" s="485"/>
      <c r="H1401" s="485"/>
      <c r="I1401" s="120">
        <f>ROUNDDOWN(H1417,-2)</f>
        <v>156600</v>
      </c>
    </row>
    <row r="1402" spans="3:9" ht="28.2" thickTop="1">
      <c r="C1402" s="51" t="s">
        <v>1195</v>
      </c>
      <c r="D1402" s="52" t="s">
        <v>1196</v>
      </c>
      <c r="E1402" s="52" t="s">
        <v>1197</v>
      </c>
      <c r="F1402" s="52" t="s">
        <v>1198</v>
      </c>
      <c r="G1402" s="52" t="s">
        <v>1199</v>
      </c>
      <c r="H1402" s="53" t="s">
        <v>1200</v>
      </c>
    </row>
    <row r="1403" spans="3:9" ht="20.399999999999999" customHeight="1">
      <c r="C1403" s="290" t="s">
        <v>1201</v>
      </c>
      <c r="D1403" s="182" t="s">
        <v>1202</v>
      </c>
      <c r="E1403" s="70"/>
      <c r="F1403" s="70"/>
      <c r="G1403" s="70"/>
      <c r="H1403" s="71"/>
    </row>
    <row r="1404" spans="3:9" ht="20.399999999999999" customHeight="1">
      <c r="C1404" s="281">
        <v>1</v>
      </c>
      <c r="D1404" s="182" t="s">
        <v>5</v>
      </c>
      <c r="E1404" s="176" t="s">
        <v>6</v>
      </c>
      <c r="F1404" s="282">
        <v>0.15</v>
      </c>
      <c r="G1404" s="283">
        <f>VLOOKUP(D1404,upahbahan,3,FALSE)</f>
        <v>100000</v>
      </c>
      <c r="H1404" s="284">
        <f>F1404*G1404</f>
        <v>15000</v>
      </c>
    </row>
    <row r="1405" spans="3:9" ht="20.399999999999999" customHeight="1">
      <c r="C1405" s="281">
        <v>2</v>
      </c>
      <c r="D1405" s="182" t="s">
        <v>7</v>
      </c>
      <c r="E1405" s="176" t="s">
        <v>6</v>
      </c>
      <c r="F1405" s="282">
        <v>0.15</v>
      </c>
      <c r="G1405" s="283">
        <f>VLOOKUP(D1405,upahbahan,3,FALSE)</f>
        <v>135000</v>
      </c>
      <c r="H1405" s="284">
        <f t="shared" ref="H1405:H1407" si="137">F1405*G1405</f>
        <v>20250</v>
      </c>
    </row>
    <row r="1406" spans="3:9" ht="20.399999999999999" customHeight="1">
      <c r="C1406" s="281">
        <v>3</v>
      </c>
      <c r="D1406" s="182" t="s">
        <v>18</v>
      </c>
      <c r="E1406" s="176" t="s">
        <v>6</v>
      </c>
      <c r="F1406" s="282">
        <v>1.4999999999999999E-2</v>
      </c>
      <c r="G1406" s="283">
        <f>VLOOKUP(D1406,upahbahan,3,FALSE)</f>
        <v>150000</v>
      </c>
      <c r="H1406" s="284">
        <f t="shared" si="137"/>
        <v>2250</v>
      </c>
    </row>
    <row r="1407" spans="3:9" ht="20.399999999999999" customHeight="1">
      <c r="C1407" s="281">
        <v>4</v>
      </c>
      <c r="D1407" s="182" t="s">
        <v>19</v>
      </c>
      <c r="E1407" s="176" t="s">
        <v>6</v>
      </c>
      <c r="F1407" s="282">
        <v>5.0000000000000001E-3</v>
      </c>
      <c r="G1407" s="283">
        <f>VLOOKUP(D1407,upahbahan,3,FALSE)</f>
        <v>160000</v>
      </c>
      <c r="H1407" s="284">
        <f t="shared" si="137"/>
        <v>800</v>
      </c>
    </row>
    <row r="1408" spans="3:9" ht="20.399999999999999" customHeight="1">
      <c r="C1408" s="66" t="s">
        <v>1208</v>
      </c>
      <c r="D1408" s="67"/>
      <c r="E1408" s="67"/>
      <c r="F1408" s="142"/>
      <c r="G1408" s="153"/>
      <c r="H1408" s="284">
        <f>SUM(H1404:H1407)</f>
        <v>38300</v>
      </c>
      <c r="I1408" s="320"/>
    </row>
    <row r="1409" spans="3:9" ht="20.399999999999999" customHeight="1">
      <c r="C1409" s="290" t="s">
        <v>1209</v>
      </c>
      <c r="D1409" s="182" t="s">
        <v>1210</v>
      </c>
      <c r="E1409" s="70"/>
      <c r="F1409" s="70"/>
      <c r="G1409" s="70"/>
      <c r="H1409" s="71"/>
    </row>
    <row r="1410" spans="3:9" ht="20.399999999999999" customHeight="1">
      <c r="C1410" s="310" t="s">
        <v>1203</v>
      </c>
      <c r="D1410" s="182" t="s">
        <v>526</v>
      </c>
      <c r="E1410" s="176" t="s">
        <v>44</v>
      </c>
      <c r="F1410" s="282">
        <v>11.87</v>
      </c>
      <c r="G1410" s="283">
        <f>VLOOKUP(D1410,upahbahan,3,FALSE)</f>
        <v>7000</v>
      </c>
      <c r="H1410" s="284">
        <f t="shared" ref="H1410:H1411" si="138">F1410*G1410</f>
        <v>83090</v>
      </c>
    </row>
    <row r="1411" spans="3:9" ht="20.399999999999999" customHeight="1">
      <c r="C1411" s="310" t="s">
        <v>1204</v>
      </c>
      <c r="D1411" s="182" t="s">
        <v>454</v>
      </c>
      <c r="E1411" s="176" t="s">
        <v>65</v>
      </c>
      <c r="F1411" s="282">
        <v>0.35</v>
      </c>
      <c r="G1411" s="283">
        <f>VLOOKUP(D1411,upahbahan,3,FALSE)</f>
        <v>60000</v>
      </c>
      <c r="H1411" s="284">
        <f t="shared" si="138"/>
        <v>21000</v>
      </c>
    </row>
    <row r="1412" spans="3:9" ht="20.399999999999999" customHeight="1">
      <c r="C1412" s="66" t="s">
        <v>1214</v>
      </c>
      <c r="D1412" s="67"/>
      <c r="E1412" s="67"/>
      <c r="F1412" s="67"/>
      <c r="G1412" s="69"/>
      <c r="H1412" s="284">
        <f>SUM(H1410:H1411)</f>
        <v>104090</v>
      </c>
    </row>
    <row r="1413" spans="3:9" ht="20.399999999999999" customHeight="1">
      <c r="C1413" s="321" t="s">
        <v>1215</v>
      </c>
      <c r="D1413" s="182" t="s">
        <v>1216</v>
      </c>
      <c r="E1413" s="70"/>
      <c r="F1413" s="70"/>
      <c r="G1413" s="70"/>
      <c r="H1413" s="71"/>
    </row>
    <row r="1414" spans="3:9" ht="20.399999999999999" customHeight="1">
      <c r="C1414" s="66" t="s">
        <v>1217</v>
      </c>
      <c r="D1414" s="67"/>
      <c r="E1414" s="67"/>
      <c r="F1414" s="67"/>
      <c r="G1414" s="69"/>
      <c r="H1414" s="292">
        <v>0</v>
      </c>
    </row>
    <row r="1415" spans="3:9" ht="20.399999999999999" customHeight="1">
      <c r="C1415" s="293" t="s">
        <v>1218</v>
      </c>
      <c r="D1415" s="294" t="s">
        <v>1219</v>
      </c>
      <c r="E1415" s="295"/>
      <c r="F1415" s="295"/>
      <c r="G1415" s="296"/>
      <c r="H1415" s="284">
        <f>H1414+H1412+H1408</f>
        <v>142390</v>
      </c>
    </row>
    <row r="1416" spans="3:9" ht="20.399999999999999" customHeight="1">
      <c r="C1416" s="293" t="s">
        <v>1220</v>
      </c>
      <c r="D1416" s="294" t="s">
        <v>1321</v>
      </c>
      <c r="E1416" s="295"/>
      <c r="F1416" s="296"/>
      <c r="G1416" s="298">
        <f>$M$8</f>
        <v>0.1</v>
      </c>
      <c r="H1416" s="284">
        <f>H1415*G1416</f>
        <v>14239</v>
      </c>
    </row>
    <row r="1417" spans="3:9" ht="20.399999999999999" customHeight="1" thickBot="1">
      <c r="C1417" s="299" t="s">
        <v>1221</v>
      </c>
      <c r="D1417" s="300" t="s">
        <v>1222</v>
      </c>
      <c r="E1417" s="301"/>
      <c r="F1417" s="301"/>
      <c r="G1417" s="302"/>
      <c r="H1417" s="303">
        <f>SUM(H1415:H1416)</f>
        <v>156629</v>
      </c>
    </row>
    <row r="1418" spans="3:9" ht="14.4" thickTop="1">
      <c r="C1418" s="289"/>
      <c r="D1418" s="297"/>
      <c r="E1418" s="297"/>
      <c r="F1418" s="297"/>
      <c r="G1418" s="297"/>
      <c r="H1418" s="139"/>
    </row>
    <row r="1419" spans="3:9" ht="14.4" thickBot="1">
      <c r="C1419" s="119" t="s">
        <v>2962</v>
      </c>
      <c r="D1419" s="485" t="s">
        <v>1460</v>
      </c>
      <c r="E1419" s="485"/>
      <c r="F1419" s="485"/>
      <c r="G1419" s="485"/>
      <c r="H1419" s="485"/>
      <c r="I1419" s="120">
        <f>ROUNDDOWN(H1435,-2)</f>
        <v>51600</v>
      </c>
    </row>
    <row r="1420" spans="3:9" ht="28.2" thickTop="1">
      <c r="C1420" s="51" t="s">
        <v>1195</v>
      </c>
      <c r="D1420" s="52" t="s">
        <v>1196</v>
      </c>
      <c r="E1420" s="52" t="s">
        <v>1197</v>
      </c>
      <c r="F1420" s="52" t="s">
        <v>1198</v>
      </c>
      <c r="G1420" s="52" t="s">
        <v>1199</v>
      </c>
      <c r="H1420" s="53" t="s">
        <v>1200</v>
      </c>
    </row>
    <row r="1421" spans="3:9" ht="20.399999999999999" customHeight="1">
      <c r="C1421" s="290" t="s">
        <v>1201</v>
      </c>
      <c r="D1421" s="182" t="s">
        <v>1202</v>
      </c>
      <c r="E1421" s="70"/>
      <c r="F1421" s="70"/>
      <c r="G1421" s="70"/>
      <c r="H1421" s="71"/>
    </row>
    <row r="1422" spans="3:9" ht="20.399999999999999" customHeight="1">
      <c r="C1422" s="281">
        <v>1</v>
      </c>
      <c r="D1422" s="182" t="s">
        <v>5</v>
      </c>
      <c r="E1422" s="176" t="s">
        <v>6</v>
      </c>
      <c r="F1422" s="315">
        <v>0.08</v>
      </c>
      <c r="G1422" s="283">
        <f>VLOOKUP(D1422,upahbahan,3,FALSE)</f>
        <v>100000</v>
      </c>
      <c r="H1422" s="284">
        <f t="shared" ref="H1422:H1425" si="139">F1422*G1422</f>
        <v>8000</v>
      </c>
    </row>
    <row r="1423" spans="3:9" ht="20.399999999999999" customHeight="1">
      <c r="C1423" s="281">
        <v>2</v>
      </c>
      <c r="D1423" s="182" t="s">
        <v>7</v>
      </c>
      <c r="E1423" s="176" t="s">
        <v>6</v>
      </c>
      <c r="F1423" s="315">
        <v>0.08</v>
      </c>
      <c r="G1423" s="283">
        <f>VLOOKUP(D1423,upahbahan,3,FALSE)</f>
        <v>135000</v>
      </c>
      <c r="H1423" s="284">
        <f t="shared" si="139"/>
        <v>10800</v>
      </c>
    </row>
    <row r="1424" spans="3:9" ht="20.399999999999999" customHeight="1">
      <c r="C1424" s="281">
        <v>3</v>
      </c>
      <c r="D1424" s="182" t="s">
        <v>18</v>
      </c>
      <c r="E1424" s="176" t="s">
        <v>6</v>
      </c>
      <c r="F1424" s="315">
        <v>8.0000000000000002E-3</v>
      </c>
      <c r="G1424" s="283">
        <f>VLOOKUP(D1424,upahbahan,3,FALSE)</f>
        <v>150000</v>
      </c>
      <c r="H1424" s="284">
        <f t="shared" si="139"/>
        <v>1200</v>
      </c>
    </row>
    <row r="1425" spans="3:9" ht="20.399999999999999" customHeight="1">
      <c r="C1425" s="281">
        <v>4</v>
      </c>
      <c r="D1425" s="182" t="s">
        <v>19</v>
      </c>
      <c r="E1425" s="176" t="s">
        <v>6</v>
      </c>
      <c r="F1425" s="315">
        <v>2.7000000000000001E-3</v>
      </c>
      <c r="G1425" s="283">
        <f>VLOOKUP(D1425,upahbahan,3,FALSE)</f>
        <v>160000</v>
      </c>
      <c r="H1425" s="284">
        <f t="shared" si="139"/>
        <v>432</v>
      </c>
    </row>
    <row r="1426" spans="3:9" ht="20.399999999999999" customHeight="1">
      <c r="C1426" s="66" t="s">
        <v>1208</v>
      </c>
      <c r="D1426" s="67"/>
      <c r="E1426" s="67"/>
      <c r="F1426" s="142"/>
      <c r="G1426" s="153"/>
      <c r="H1426" s="284">
        <f>SUM(H1422:H1425)</f>
        <v>20432</v>
      </c>
      <c r="I1426" s="320"/>
    </row>
    <row r="1427" spans="3:9" ht="20.399999999999999" customHeight="1">
      <c r="C1427" s="290" t="s">
        <v>1209</v>
      </c>
      <c r="D1427" s="182" t="s">
        <v>1210</v>
      </c>
      <c r="E1427" s="70"/>
      <c r="F1427" s="70"/>
      <c r="G1427" s="70"/>
      <c r="H1427" s="71"/>
    </row>
    <row r="1428" spans="3:9" ht="20.399999999999999" customHeight="1">
      <c r="C1428" s="310" t="s">
        <v>1203</v>
      </c>
      <c r="D1428" s="182" t="s">
        <v>526</v>
      </c>
      <c r="E1428" s="176" t="s">
        <v>44</v>
      </c>
      <c r="F1428" s="282">
        <v>3.1</v>
      </c>
      <c r="G1428" s="283">
        <f>VLOOKUP(D1428,upahbahan,3,FALSE)</f>
        <v>7000</v>
      </c>
      <c r="H1428" s="284">
        <f t="shared" ref="H1428:H1429" si="140">F1428*G1428</f>
        <v>21700</v>
      </c>
    </row>
    <row r="1429" spans="3:9" ht="20.399999999999999" customHeight="1">
      <c r="C1429" s="310" t="s">
        <v>1204</v>
      </c>
      <c r="D1429" s="182" t="s">
        <v>454</v>
      </c>
      <c r="E1429" s="176" t="s">
        <v>65</v>
      </c>
      <c r="F1429" s="282">
        <v>0.08</v>
      </c>
      <c r="G1429" s="283">
        <f>VLOOKUP(D1429,upahbahan,3,FALSE)</f>
        <v>60000</v>
      </c>
      <c r="H1429" s="284">
        <f t="shared" si="140"/>
        <v>4800</v>
      </c>
    </row>
    <row r="1430" spans="3:9" ht="20.399999999999999" customHeight="1">
      <c r="C1430" s="66" t="s">
        <v>1214</v>
      </c>
      <c r="D1430" s="67"/>
      <c r="E1430" s="67"/>
      <c r="F1430" s="67"/>
      <c r="G1430" s="69"/>
      <c r="H1430" s="284">
        <f>SUM(H1428:H1429)</f>
        <v>26500</v>
      </c>
    </row>
    <row r="1431" spans="3:9" ht="20.399999999999999" customHeight="1">
      <c r="C1431" s="321" t="s">
        <v>1215</v>
      </c>
      <c r="D1431" s="182" t="s">
        <v>1216</v>
      </c>
      <c r="E1431" s="70"/>
      <c r="F1431" s="70"/>
      <c r="G1431" s="70"/>
      <c r="H1431" s="71"/>
    </row>
    <row r="1432" spans="3:9" ht="20.399999999999999" customHeight="1">
      <c r="C1432" s="66" t="s">
        <v>1217</v>
      </c>
      <c r="D1432" s="67"/>
      <c r="E1432" s="67"/>
      <c r="F1432" s="67"/>
      <c r="G1432" s="69"/>
      <c r="H1432" s="292">
        <v>0</v>
      </c>
    </row>
    <row r="1433" spans="3:9" ht="20.399999999999999" customHeight="1">
      <c r="C1433" s="293" t="s">
        <v>1218</v>
      </c>
      <c r="D1433" s="294" t="s">
        <v>1219</v>
      </c>
      <c r="E1433" s="295"/>
      <c r="F1433" s="295"/>
      <c r="G1433" s="296"/>
      <c r="H1433" s="284">
        <f>H1432+H1430+H1426</f>
        <v>46932</v>
      </c>
    </row>
    <row r="1434" spans="3:9" ht="20.399999999999999" customHeight="1">
      <c r="C1434" s="293" t="s">
        <v>1220</v>
      </c>
      <c r="D1434" s="294" t="s">
        <v>1321</v>
      </c>
      <c r="E1434" s="295"/>
      <c r="F1434" s="296"/>
      <c r="G1434" s="298">
        <f>$M$8</f>
        <v>0.1</v>
      </c>
      <c r="H1434" s="284">
        <f>H1433*G1434</f>
        <v>4693.2</v>
      </c>
    </row>
    <row r="1435" spans="3:9" ht="20.399999999999999" customHeight="1" thickBot="1">
      <c r="C1435" s="299" t="s">
        <v>1221</v>
      </c>
      <c r="D1435" s="300" t="s">
        <v>1222</v>
      </c>
      <c r="E1435" s="301"/>
      <c r="F1435" s="301"/>
      <c r="G1435" s="302"/>
      <c r="H1435" s="303">
        <f>SUM(H1433:H1434)</f>
        <v>51625.2</v>
      </c>
    </row>
    <row r="1436" spans="3:9" ht="14.4" thickTop="1">
      <c r="C1436" s="289"/>
      <c r="D1436" s="297"/>
      <c r="E1436" s="297"/>
      <c r="F1436" s="297"/>
      <c r="G1436" s="297"/>
      <c r="H1436" s="139"/>
    </row>
    <row r="1437" spans="3:9" ht="14.4" thickBot="1">
      <c r="C1437" s="119" t="s">
        <v>2963</v>
      </c>
      <c r="D1437" s="485" t="s">
        <v>1461</v>
      </c>
      <c r="E1437" s="485"/>
      <c r="F1437" s="485"/>
      <c r="G1437" s="485"/>
      <c r="H1437" s="485"/>
      <c r="I1437" s="120">
        <f>ROUNDDOWN(H1452,-2)</f>
        <v>61200</v>
      </c>
    </row>
    <row r="1438" spans="3:9" ht="28.2" thickTop="1">
      <c r="C1438" s="51" t="s">
        <v>1195</v>
      </c>
      <c r="D1438" s="52" t="s">
        <v>1196</v>
      </c>
      <c r="E1438" s="52" t="s">
        <v>1197</v>
      </c>
      <c r="F1438" s="52" t="s">
        <v>1198</v>
      </c>
      <c r="G1438" s="52" t="s">
        <v>1199</v>
      </c>
      <c r="H1438" s="53" t="s">
        <v>1200</v>
      </c>
    </row>
    <row r="1439" spans="3:9" ht="20.399999999999999" customHeight="1">
      <c r="C1439" s="290" t="s">
        <v>1201</v>
      </c>
      <c r="D1439" s="182" t="s">
        <v>1202</v>
      </c>
      <c r="E1439" s="70"/>
      <c r="F1439" s="70"/>
      <c r="G1439" s="70"/>
      <c r="H1439" s="71"/>
    </row>
    <row r="1440" spans="3:9" ht="20.399999999999999" customHeight="1">
      <c r="C1440" s="281">
        <v>1</v>
      </c>
      <c r="D1440" s="182" t="s">
        <v>5</v>
      </c>
      <c r="E1440" s="176" t="s">
        <v>6</v>
      </c>
      <c r="F1440" s="315">
        <v>0.12</v>
      </c>
      <c r="G1440" s="283">
        <f>VLOOKUP(D1440,upahbahan,3,FALSE)</f>
        <v>100000</v>
      </c>
      <c r="H1440" s="284">
        <f>F1440*G1440</f>
        <v>12000</v>
      </c>
    </row>
    <row r="1441" spans="3:9" ht="20.399999999999999" customHeight="1">
      <c r="C1441" s="281">
        <v>2</v>
      </c>
      <c r="D1441" s="182" t="s">
        <v>7</v>
      </c>
      <c r="E1441" s="176" t="s">
        <v>6</v>
      </c>
      <c r="F1441" s="315">
        <v>0.12</v>
      </c>
      <c r="G1441" s="283">
        <f>VLOOKUP(D1441,upahbahan,3,FALSE)</f>
        <v>135000</v>
      </c>
      <c r="H1441" s="284">
        <f t="shared" ref="H1441" si="141">F1441*G1441</f>
        <v>16200</v>
      </c>
    </row>
    <row r="1442" spans="3:9" ht="20.399999999999999" customHeight="1">
      <c r="C1442" s="281">
        <v>3</v>
      </c>
      <c r="D1442" s="182" t="s">
        <v>18</v>
      </c>
      <c r="E1442" s="176" t="s">
        <v>6</v>
      </c>
      <c r="F1442" s="315">
        <v>1.2E-2</v>
      </c>
      <c r="G1442" s="283">
        <f>VLOOKUP(D1442,upahbahan,3,FALSE)</f>
        <v>150000</v>
      </c>
      <c r="H1442" s="284">
        <f>F1442*G1442</f>
        <v>1800</v>
      </c>
    </row>
    <row r="1443" spans="3:9" ht="20.399999999999999" customHeight="1">
      <c r="C1443" s="281">
        <v>4</v>
      </c>
      <c r="D1443" s="182" t="s">
        <v>19</v>
      </c>
      <c r="E1443" s="176" t="s">
        <v>6</v>
      </c>
      <c r="F1443" s="315">
        <v>4.0000000000000001E-3</v>
      </c>
      <c r="G1443" s="283">
        <f>VLOOKUP(D1443,upahbahan,3,FALSE)</f>
        <v>160000</v>
      </c>
      <c r="H1443" s="284">
        <f>F1443*G1443</f>
        <v>640</v>
      </c>
    </row>
    <row r="1444" spans="3:9" ht="20.399999999999999" customHeight="1">
      <c r="C1444" s="66" t="s">
        <v>1208</v>
      </c>
      <c r="D1444" s="67"/>
      <c r="E1444" s="67"/>
      <c r="F1444" s="142"/>
      <c r="G1444" s="153"/>
      <c r="H1444" s="284">
        <f>SUM(H1440:H1443)</f>
        <v>30640</v>
      </c>
      <c r="I1444" s="320"/>
    </row>
    <row r="1445" spans="3:9" ht="20.399999999999999" customHeight="1">
      <c r="C1445" s="290" t="s">
        <v>1209</v>
      </c>
      <c r="D1445" s="182" t="s">
        <v>1210</v>
      </c>
      <c r="E1445" s="70"/>
      <c r="F1445" s="70"/>
      <c r="G1445" s="70"/>
      <c r="H1445" s="71"/>
    </row>
    <row r="1446" spans="3:9" ht="20.399999999999999" customHeight="1">
      <c r="C1446" s="310" t="s">
        <v>1203</v>
      </c>
      <c r="D1446" s="182" t="s">
        <v>403</v>
      </c>
      <c r="E1446" s="176" t="s">
        <v>65</v>
      </c>
      <c r="F1446" s="282">
        <v>5</v>
      </c>
      <c r="G1446" s="283">
        <f>VLOOKUP(D1446,upahbahan,3,FALSE)</f>
        <v>5000</v>
      </c>
      <c r="H1446" s="284">
        <f>F1446*G1446</f>
        <v>25000</v>
      </c>
    </row>
    <row r="1447" spans="3:9" ht="20.399999999999999" customHeight="1">
      <c r="C1447" s="66" t="s">
        <v>1214</v>
      </c>
      <c r="D1447" s="67"/>
      <c r="E1447" s="67"/>
      <c r="F1447" s="67"/>
      <c r="G1447" s="69"/>
      <c r="H1447" s="284">
        <f>SUM(H1446:H1446)</f>
        <v>25000</v>
      </c>
    </row>
    <row r="1448" spans="3:9" ht="20.399999999999999" customHeight="1">
      <c r="C1448" s="321" t="s">
        <v>1215</v>
      </c>
      <c r="D1448" s="182" t="s">
        <v>1216</v>
      </c>
      <c r="E1448" s="70"/>
      <c r="F1448" s="70"/>
      <c r="G1448" s="70"/>
      <c r="H1448" s="71"/>
    </row>
    <row r="1449" spans="3:9" ht="20.399999999999999" customHeight="1">
      <c r="C1449" s="66" t="s">
        <v>1217</v>
      </c>
      <c r="D1449" s="67"/>
      <c r="E1449" s="67"/>
      <c r="F1449" s="67"/>
      <c r="G1449" s="69"/>
      <c r="H1449" s="292">
        <v>0</v>
      </c>
    </row>
    <row r="1450" spans="3:9" ht="20.399999999999999" customHeight="1">
      <c r="C1450" s="293" t="s">
        <v>1218</v>
      </c>
      <c r="D1450" s="294" t="s">
        <v>1219</v>
      </c>
      <c r="E1450" s="295"/>
      <c r="F1450" s="295"/>
      <c r="G1450" s="296"/>
      <c r="H1450" s="284">
        <f>H1449+H1447+H1444</f>
        <v>55640</v>
      </c>
    </row>
    <row r="1451" spans="3:9" ht="20.399999999999999" customHeight="1">
      <c r="C1451" s="293" t="s">
        <v>1220</v>
      </c>
      <c r="D1451" s="294" t="s">
        <v>1321</v>
      </c>
      <c r="E1451" s="295"/>
      <c r="F1451" s="296"/>
      <c r="G1451" s="298">
        <f>$M$8</f>
        <v>0.1</v>
      </c>
      <c r="H1451" s="284">
        <f>H1450*G1451</f>
        <v>5564</v>
      </c>
    </row>
    <row r="1452" spans="3:9" ht="20.399999999999999" customHeight="1" thickBot="1">
      <c r="C1452" s="299" t="s">
        <v>1221</v>
      </c>
      <c r="D1452" s="300" t="s">
        <v>1222</v>
      </c>
      <c r="E1452" s="301"/>
      <c r="F1452" s="301"/>
      <c r="G1452" s="302"/>
      <c r="H1452" s="303">
        <f>SUM(H1450:H1451)</f>
        <v>61204</v>
      </c>
    </row>
    <row r="1453" spans="3:9" ht="14.4" thickTop="1">
      <c r="C1453" s="289"/>
      <c r="D1453" s="297"/>
      <c r="E1453" s="297"/>
      <c r="F1453" s="297"/>
      <c r="G1453" s="297"/>
      <c r="H1453" s="139"/>
    </row>
    <row r="1454" spans="3:9" ht="14.4" thickBot="1">
      <c r="C1454" s="119" t="s">
        <v>2964</v>
      </c>
      <c r="D1454" s="485" t="s">
        <v>1462</v>
      </c>
      <c r="E1454" s="485"/>
      <c r="F1454" s="485"/>
      <c r="G1454" s="485"/>
      <c r="H1454" s="485"/>
      <c r="I1454" s="120">
        <f>ROUNDDOWN(H1469,-2)</f>
        <v>1529500</v>
      </c>
    </row>
    <row r="1455" spans="3:9" ht="28.2" thickTop="1">
      <c r="C1455" s="51" t="s">
        <v>1195</v>
      </c>
      <c r="D1455" s="52" t="s">
        <v>1196</v>
      </c>
      <c r="E1455" s="52" t="s">
        <v>1197</v>
      </c>
      <c r="F1455" s="52" t="s">
        <v>1198</v>
      </c>
      <c r="G1455" s="52" t="s">
        <v>1199</v>
      </c>
      <c r="H1455" s="53" t="s">
        <v>1200</v>
      </c>
    </row>
    <row r="1456" spans="3:9" ht="20.399999999999999" customHeight="1">
      <c r="C1456" s="290" t="s">
        <v>1201</v>
      </c>
      <c r="D1456" s="182" t="s">
        <v>1202</v>
      </c>
      <c r="E1456" s="70"/>
      <c r="F1456" s="70"/>
      <c r="G1456" s="70"/>
      <c r="H1456" s="71"/>
    </row>
    <row r="1457" spans="3:9" ht="20.399999999999999" customHeight="1">
      <c r="C1457" s="281">
        <v>1</v>
      </c>
      <c r="D1457" s="182" t="s">
        <v>5</v>
      </c>
      <c r="E1457" s="176" t="s">
        <v>6</v>
      </c>
      <c r="F1457" s="315">
        <v>0.2</v>
      </c>
      <c r="G1457" s="283">
        <f>VLOOKUP(D1457,upahbahan,3,FALSE)</f>
        <v>100000</v>
      </c>
      <c r="H1457" s="284">
        <f>F1457*G1457</f>
        <v>20000</v>
      </c>
    </row>
    <row r="1458" spans="3:9" ht="20.399999999999999" customHeight="1">
      <c r="C1458" s="281">
        <v>2</v>
      </c>
      <c r="D1458" s="182" t="s">
        <v>7</v>
      </c>
      <c r="E1458" s="176" t="s">
        <v>6</v>
      </c>
      <c r="F1458" s="315">
        <v>0.1</v>
      </c>
      <c r="G1458" s="283">
        <f>VLOOKUP(D1458,upahbahan,3,FALSE)</f>
        <v>135000</v>
      </c>
      <c r="H1458" s="284">
        <f t="shared" ref="H1458:H1460" si="142">F1458*G1458</f>
        <v>13500</v>
      </c>
    </row>
    <row r="1459" spans="3:9" ht="20.399999999999999" customHeight="1">
      <c r="C1459" s="281">
        <v>3</v>
      </c>
      <c r="D1459" s="182" t="s">
        <v>18</v>
      </c>
      <c r="E1459" s="176" t="s">
        <v>6</v>
      </c>
      <c r="F1459" s="315">
        <v>0.01</v>
      </c>
      <c r="G1459" s="283">
        <f>VLOOKUP(D1459,upahbahan,3,FALSE)</f>
        <v>150000</v>
      </c>
      <c r="H1459" s="284">
        <f t="shared" si="142"/>
        <v>1500</v>
      </c>
    </row>
    <row r="1460" spans="3:9" ht="20.399999999999999" customHeight="1">
      <c r="C1460" s="281">
        <v>4</v>
      </c>
      <c r="D1460" s="182" t="s">
        <v>19</v>
      </c>
      <c r="E1460" s="176" t="s">
        <v>6</v>
      </c>
      <c r="F1460" s="315">
        <v>3.3E-3</v>
      </c>
      <c r="G1460" s="283">
        <f>VLOOKUP(D1460,upahbahan,3,FALSE)</f>
        <v>160000</v>
      </c>
      <c r="H1460" s="284">
        <f t="shared" si="142"/>
        <v>528</v>
      </c>
    </row>
    <row r="1461" spans="3:9" ht="20.399999999999999" customHeight="1">
      <c r="C1461" s="66" t="s">
        <v>1208</v>
      </c>
      <c r="D1461" s="67"/>
      <c r="E1461" s="67"/>
      <c r="F1461" s="142"/>
      <c r="G1461" s="153"/>
      <c r="H1461" s="284">
        <f>SUM(H1457:H1460)</f>
        <v>35528</v>
      </c>
      <c r="I1461" s="320"/>
    </row>
    <row r="1462" spans="3:9" ht="20.399999999999999" customHeight="1">
      <c r="C1462" s="290" t="s">
        <v>1209</v>
      </c>
      <c r="D1462" s="182" t="s">
        <v>1210</v>
      </c>
      <c r="E1462" s="70"/>
      <c r="F1462" s="70"/>
      <c r="G1462" s="70"/>
      <c r="H1462" s="71"/>
    </row>
    <row r="1463" spans="3:9" ht="20.399999999999999" customHeight="1">
      <c r="C1463" s="310" t="s">
        <v>1203</v>
      </c>
      <c r="D1463" s="182" t="s">
        <v>525</v>
      </c>
      <c r="E1463" s="176" t="s">
        <v>62</v>
      </c>
      <c r="F1463" s="282">
        <v>2.71</v>
      </c>
      <c r="G1463" s="283">
        <f>VLOOKUP(D1463,upahbahan,3,FALSE)</f>
        <v>500000</v>
      </c>
      <c r="H1463" s="284">
        <f>F1463*G1463</f>
        <v>1355000</v>
      </c>
    </row>
    <row r="1464" spans="3:9" ht="20.399999999999999" customHeight="1">
      <c r="C1464" s="66" t="s">
        <v>1214</v>
      </c>
      <c r="D1464" s="67"/>
      <c r="E1464" s="67"/>
      <c r="F1464" s="67"/>
      <c r="G1464" s="69"/>
      <c r="H1464" s="284">
        <f>SUM(H1463:H1463)</f>
        <v>1355000</v>
      </c>
    </row>
    <row r="1465" spans="3:9" ht="20.399999999999999" customHeight="1">
      <c r="C1465" s="321" t="s">
        <v>1215</v>
      </c>
      <c r="D1465" s="182" t="s">
        <v>1216</v>
      </c>
      <c r="E1465" s="70"/>
      <c r="F1465" s="70"/>
      <c r="G1465" s="70"/>
      <c r="H1465" s="71"/>
    </row>
    <row r="1466" spans="3:9" ht="20.399999999999999" customHeight="1">
      <c r="C1466" s="66" t="s">
        <v>1217</v>
      </c>
      <c r="D1466" s="67"/>
      <c r="E1466" s="67"/>
      <c r="F1466" s="67"/>
      <c r="G1466" s="69"/>
      <c r="H1466" s="292">
        <v>0</v>
      </c>
    </row>
    <row r="1467" spans="3:9" ht="20.399999999999999" customHeight="1">
      <c r="C1467" s="293" t="s">
        <v>1218</v>
      </c>
      <c r="D1467" s="294" t="s">
        <v>1219</v>
      </c>
      <c r="E1467" s="295"/>
      <c r="F1467" s="295"/>
      <c r="G1467" s="296"/>
      <c r="H1467" s="284">
        <f>H1466+H1464+H1461</f>
        <v>1390528</v>
      </c>
    </row>
    <row r="1468" spans="3:9" ht="20.399999999999999" customHeight="1">
      <c r="C1468" s="293" t="s">
        <v>1220</v>
      </c>
      <c r="D1468" s="294" t="s">
        <v>1321</v>
      </c>
      <c r="E1468" s="295"/>
      <c r="F1468" s="296"/>
      <c r="G1468" s="298">
        <f>$M$8</f>
        <v>0.1</v>
      </c>
      <c r="H1468" s="284">
        <f>H1467*G1468</f>
        <v>139052.80000000002</v>
      </c>
    </row>
    <row r="1469" spans="3:9" ht="20.399999999999999" customHeight="1" thickBot="1">
      <c r="C1469" s="299" t="s">
        <v>1221</v>
      </c>
      <c r="D1469" s="300" t="s">
        <v>1222</v>
      </c>
      <c r="E1469" s="301"/>
      <c r="F1469" s="301"/>
      <c r="G1469" s="302"/>
      <c r="H1469" s="303">
        <f>SUM(H1467:H1468)</f>
        <v>1529580.8</v>
      </c>
    </row>
    <row r="1470" spans="3:9" ht="14.4" thickTop="1">
      <c r="C1470" s="289"/>
      <c r="D1470" s="297"/>
      <c r="E1470" s="297"/>
      <c r="F1470" s="297"/>
      <c r="G1470" s="297"/>
      <c r="H1470" s="139"/>
    </row>
    <row r="1471" spans="3:9" ht="14.4" thickBot="1">
      <c r="C1471" s="119" t="s">
        <v>2965</v>
      </c>
      <c r="D1471" s="485" t="s">
        <v>1463</v>
      </c>
      <c r="E1471" s="485"/>
      <c r="F1471" s="485"/>
      <c r="G1471" s="485"/>
      <c r="H1471" s="485"/>
      <c r="I1471" s="120">
        <f>ROUNDDOWN(H1488,-2)</f>
        <v>59900</v>
      </c>
    </row>
    <row r="1472" spans="3:9" ht="28.2" thickTop="1">
      <c r="C1472" s="51" t="s">
        <v>1195</v>
      </c>
      <c r="D1472" s="52" t="s">
        <v>1196</v>
      </c>
      <c r="E1472" s="52" t="s">
        <v>1197</v>
      </c>
      <c r="F1472" s="52" t="s">
        <v>1198</v>
      </c>
      <c r="G1472" s="52" t="s">
        <v>1199</v>
      </c>
      <c r="H1472" s="53" t="s">
        <v>1200</v>
      </c>
    </row>
    <row r="1473" spans="3:9" ht="20.399999999999999" customHeight="1">
      <c r="C1473" s="290" t="s">
        <v>1201</v>
      </c>
      <c r="D1473" s="182" t="s">
        <v>1202</v>
      </c>
      <c r="E1473" s="70"/>
      <c r="F1473" s="70"/>
      <c r="G1473" s="70"/>
      <c r="H1473" s="71"/>
    </row>
    <row r="1474" spans="3:9" ht="20.399999999999999" customHeight="1">
      <c r="C1474" s="281">
        <v>1</v>
      </c>
      <c r="D1474" s="182" t="s">
        <v>5</v>
      </c>
      <c r="E1474" s="176" t="s">
        <v>6</v>
      </c>
      <c r="F1474" s="309">
        <v>0.22220000000000001</v>
      </c>
      <c r="G1474" s="283">
        <f>VLOOKUP(D1474,upahbahan,3,FALSE)</f>
        <v>100000</v>
      </c>
      <c r="H1474" s="284">
        <f t="shared" ref="H1474:H1477" si="143">F1474*G1474</f>
        <v>22220</v>
      </c>
    </row>
    <row r="1475" spans="3:9" ht="20.399999999999999" customHeight="1">
      <c r="C1475" s="281">
        <v>2</v>
      </c>
      <c r="D1475" s="182" t="s">
        <v>7</v>
      </c>
      <c r="E1475" s="176" t="s">
        <v>6</v>
      </c>
      <c r="F1475" s="309">
        <v>0.1111</v>
      </c>
      <c r="G1475" s="283">
        <f>VLOOKUP(D1475,upahbahan,3,FALSE)</f>
        <v>135000</v>
      </c>
      <c r="H1475" s="284">
        <f t="shared" si="143"/>
        <v>14998.5</v>
      </c>
    </row>
    <row r="1476" spans="3:9" ht="20.399999999999999" customHeight="1">
      <c r="C1476" s="281">
        <v>3</v>
      </c>
      <c r="D1476" s="182" t="s">
        <v>18</v>
      </c>
      <c r="E1476" s="176" t="s">
        <v>6</v>
      </c>
      <c r="F1476" s="309">
        <v>1.11E-2</v>
      </c>
      <c r="G1476" s="283">
        <f>VLOOKUP(D1476,upahbahan,3,FALSE)</f>
        <v>150000</v>
      </c>
      <c r="H1476" s="284">
        <f t="shared" si="143"/>
        <v>1665</v>
      </c>
    </row>
    <row r="1477" spans="3:9" ht="20.399999999999999" customHeight="1">
      <c r="C1477" s="281">
        <v>4</v>
      </c>
      <c r="D1477" s="182" t="s">
        <v>19</v>
      </c>
      <c r="E1477" s="176" t="s">
        <v>6</v>
      </c>
      <c r="F1477" s="309">
        <v>3.7000000000000002E-3</v>
      </c>
      <c r="G1477" s="283">
        <f>VLOOKUP(D1477,upahbahan,3,FALSE)</f>
        <v>160000</v>
      </c>
      <c r="H1477" s="284">
        <f t="shared" si="143"/>
        <v>592</v>
      </c>
    </row>
    <row r="1478" spans="3:9" ht="20.399999999999999" customHeight="1">
      <c r="C1478" s="66" t="s">
        <v>1208</v>
      </c>
      <c r="D1478" s="67"/>
      <c r="E1478" s="67"/>
      <c r="F1478" s="142"/>
      <c r="G1478" s="153"/>
      <c r="H1478" s="284">
        <f>SUM(H1474:H1477)</f>
        <v>39475.5</v>
      </c>
      <c r="I1478" s="320"/>
    </row>
    <row r="1479" spans="3:9" ht="20.399999999999999" customHeight="1">
      <c r="C1479" s="290" t="s">
        <v>1209</v>
      </c>
      <c r="D1479" s="182" t="s">
        <v>1210</v>
      </c>
      <c r="E1479" s="70"/>
      <c r="F1479" s="70"/>
      <c r="G1479" s="70"/>
      <c r="H1479" s="71"/>
    </row>
    <row r="1480" spans="3:9" ht="20.399999999999999" customHeight="1">
      <c r="C1480" s="306" t="s">
        <v>1203</v>
      </c>
      <c r="D1480" s="182" t="s">
        <v>979</v>
      </c>
      <c r="E1480" s="124" t="s">
        <v>65</v>
      </c>
      <c r="F1480" s="118">
        <v>6.6699999999999995E-2</v>
      </c>
      <c r="G1480" s="283">
        <f>VLOOKUP(D1480,upahbahan,3,FALSE)</f>
        <v>0</v>
      </c>
      <c r="H1480" s="284">
        <f>F1480*G1480</f>
        <v>0</v>
      </c>
    </row>
    <row r="1481" spans="3:9" ht="20.399999999999999" customHeight="1">
      <c r="C1481" s="310">
        <v>2</v>
      </c>
      <c r="D1481" s="182" t="s">
        <v>1070</v>
      </c>
      <c r="E1481" s="176" t="s">
        <v>65</v>
      </c>
      <c r="F1481" s="309">
        <v>6.6699999999999995E-2</v>
      </c>
      <c r="G1481" s="283">
        <f>VLOOKUP(D1481,upahbahan,3,FALSE)</f>
        <v>0</v>
      </c>
      <c r="H1481" s="284">
        <f t="shared" ref="H1481" si="144">F1481*G1481</f>
        <v>0</v>
      </c>
    </row>
    <row r="1482" spans="3:9" ht="20.399999999999999" customHeight="1">
      <c r="C1482" s="66" t="s">
        <v>1214</v>
      </c>
      <c r="D1482" s="67"/>
      <c r="E1482" s="67"/>
      <c r="F1482" s="67"/>
      <c r="G1482" s="69"/>
      <c r="H1482" s="284">
        <f>SUM(H1480:H1481)</f>
        <v>0</v>
      </c>
    </row>
    <row r="1483" spans="3:9" ht="20.399999999999999" customHeight="1">
      <c r="C1483" s="321" t="s">
        <v>1215</v>
      </c>
      <c r="D1483" s="182" t="s">
        <v>1216</v>
      </c>
      <c r="E1483" s="70"/>
      <c r="F1483" s="70"/>
      <c r="G1483" s="70"/>
      <c r="H1483" s="71"/>
    </row>
    <row r="1484" spans="3:9" ht="20.399999999999999" customHeight="1">
      <c r="C1484" s="321">
        <v>1</v>
      </c>
      <c r="D1484" s="182" t="s">
        <v>1123</v>
      </c>
      <c r="E1484" s="489" t="s">
        <v>2966</v>
      </c>
      <c r="F1484" s="127">
        <v>0.1</v>
      </c>
      <c r="G1484" s="283">
        <f>VLOOKUP(D1484,upahbahan,3,FALSE)</f>
        <v>150000</v>
      </c>
      <c r="H1484" s="284">
        <f>F1484*G1484</f>
        <v>15000</v>
      </c>
    </row>
    <row r="1485" spans="3:9" ht="20.399999999999999" customHeight="1">
      <c r="C1485" s="66" t="s">
        <v>1217</v>
      </c>
      <c r="D1485" s="67"/>
      <c r="E1485" s="67"/>
      <c r="F1485" s="67"/>
      <c r="G1485" s="69"/>
      <c r="H1485" s="284">
        <f>SUM(H1484)</f>
        <v>15000</v>
      </c>
    </row>
    <row r="1486" spans="3:9" ht="20.399999999999999" customHeight="1">
      <c r="C1486" s="293" t="s">
        <v>1218</v>
      </c>
      <c r="D1486" s="294" t="s">
        <v>1219</v>
      </c>
      <c r="E1486" s="295"/>
      <c r="F1486" s="295"/>
      <c r="G1486" s="296"/>
      <c r="H1486" s="284">
        <f>H1485+H1482+H1478</f>
        <v>54475.5</v>
      </c>
    </row>
    <row r="1487" spans="3:9" ht="20.399999999999999" customHeight="1">
      <c r="C1487" s="293" t="s">
        <v>1220</v>
      </c>
      <c r="D1487" s="294" t="s">
        <v>1321</v>
      </c>
      <c r="E1487" s="295"/>
      <c r="F1487" s="296"/>
      <c r="G1487" s="298">
        <f>$M$8</f>
        <v>0.1</v>
      </c>
      <c r="H1487" s="284">
        <f>H1486*G1487</f>
        <v>5447.55</v>
      </c>
    </row>
    <row r="1488" spans="3:9" ht="20.399999999999999" customHeight="1" thickBot="1">
      <c r="C1488" s="299" t="s">
        <v>1221</v>
      </c>
      <c r="D1488" s="300" t="s">
        <v>1222</v>
      </c>
      <c r="E1488" s="301"/>
      <c r="F1488" s="301"/>
      <c r="G1488" s="302"/>
      <c r="H1488" s="303">
        <f>SUM(H1486:H1487)</f>
        <v>59923.05</v>
      </c>
    </row>
    <row r="1489" spans="3:11" ht="14.4" thickTop="1">
      <c r="C1489" s="289"/>
      <c r="D1489" s="297"/>
      <c r="E1489" s="297"/>
      <c r="F1489" s="297"/>
      <c r="G1489" s="297"/>
      <c r="H1489" s="139"/>
    </row>
    <row r="1490" spans="3:11" ht="14.4" thickBot="1">
      <c r="C1490" s="119" t="s">
        <v>2967</v>
      </c>
      <c r="D1490" s="485" t="s">
        <v>2968</v>
      </c>
      <c r="E1490" s="485"/>
      <c r="F1490" s="485"/>
      <c r="G1490" s="485"/>
      <c r="H1490" s="485"/>
      <c r="I1490" s="120">
        <f>ROUNDDOWN(H1508,-2)</f>
        <v>555400</v>
      </c>
      <c r="J1490" s="59" t="s">
        <v>6451</v>
      </c>
      <c r="K1490" s="59" t="s">
        <v>6532</v>
      </c>
    </row>
    <row r="1491" spans="3:11" ht="28.2" thickTop="1">
      <c r="C1491" s="51" t="s">
        <v>1195</v>
      </c>
      <c r="D1491" s="52" t="s">
        <v>1196</v>
      </c>
      <c r="E1491" s="52" t="s">
        <v>1197</v>
      </c>
      <c r="F1491" s="52" t="s">
        <v>1198</v>
      </c>
      <c r="G1491" s="52" t="s">
        <v>1199</v>
      </c>
      <c r="H1491" s="53" t="s">
        <v>1200</v>
      </c>
    </row>
    <row r="1492" spans="3:11" ht="20.399999999999999" customHeight="1">
      <c r="C1492" s="290" t="s">
        <v>1201</v>
      </c>
      <c r="D1492" s="182" t="s">
        <v>1202</v>
      </c>
      <c r="E1492" s="70"/>
      <c r="F1492" s="70"/>
      <c r="G1492" s="70"/>
      <c r="H1492" s="71"/>
    </row>
    <row r="1493" spans="3:11" ht="20.399999999999999" customHeight="1">
      <c r="C1493" s="281">
        <v>1</v>
      </c>
      <c r="D1493" s="182" t="s">
        <v>5</v>
      </c>
      <c r="E1493" s="176" t="s">
        <v>6</v>
      </c>
      <c r="F1493" s="309">
        <v>0.1429</v>
      </c>
      <c r="G1493" s="283">
        <f>VLOOKUP(D1493,upahbahan,3,FALSE)</f>
        <v>100000</v>
      </c>
      <c r="H1493" s="284">
        <f t="shared" ref="H1493:H1496" si="145">F1493*G1493</f>
        <v>14290</v>
      </c>
    </row>
    <row r="1494" spans="3:11" ht="20.399999999999999" customHeight="1">
      <c r="C1494" s="281">
        <v>2</v>
      </c>
      <c r="D1494" s="182" t="s">
        <v>7</v>
      </c>
      <c r="E1494" s="176" t="s">
        <v>6</v>
      </c>
      <c r="F1494" s="309">
        <v>7.1400000000000005E-2</v>
      </c>
      <c r="G1494" s="283">
        <f>VLOOKUP(D1494,upahbahan,3,FALSE)</f>
        <v>135000</v>
      </c>
      <c r="H1494" s="284">
        <f t="shared" si="145"/>
        <v>9639</v>
      </c>
    </row>
    <row r="1495" spans="3:11" ht="20.399999999999999" customHeight="1">
      <c r="C1495" s="281">
        <v>3</v>
      </c>
      <c r="D1495" s="182" t="s">
        <v>18</v>
      </c>
      <c r="E1495" s="176" t="s">
        <v>6</v>
      </c>
      <c r="F1495" s="309">
        <v>7.1000000000000004E-3</v>
      </c>
      <c r="G1495" s="283">
        <f>VLOOKUP(D1495,upahbahan,3,FALSE)</f>
        <v>150000</v>
      </c>
      <c r="H1495" s="284">
        <f t="shared" si="145"/>
        <v>1065</v>
      </c>
    </row>
    <row r="1496" spans="3:11" ht="20.399999999999999" customHeight="1">
      <c r="C1496" s="281">
        <v>4</v>
      </c>
      <c r="D1496" s="182" t="s">
        <v>19</v>
      </c>
      <c r="E1496" s="176" t="s">
        <v>6</v>
      </c>
      <c r="F1496" s="309">
        <v>2.3999999999999998E-3</v>
      </c>
      <c r="G1496" s="283">
        <f>VLOOKUP(D1496,upahbahan,3,FALSE)</f>
        <v>160000</v>
      </c>
      <c r="H1496" s="284">
        <f t="shared" si="145"/>
        <v>383.99999999999994</v>
      </c>
    </row>
    <row r="1497" spans="3:11" ht="20.399999999999999" customHeight="1">
      <c r="C1497" s="66" t="s">
        <v>1208</v>
      </c>
      <c r="D1497" s="67"/>
      <c r="E1497" s="67"/>
      <c r="F1497" s="142"/>
      <c r="G1497" s="153"/>
      <c r="H1497" s="284">
        <f>SUM(H1493:H1496)</f>
        <v>25378</v>
      </c>
      <c r="I1497" s="320"/>
    </row>
    <row r="1498" spans="3:11" ht="20.399999999999999" customHeight="1">
      <c r="C1498" s="290" t="s">
        <v>1209</v>
      </c>
      <c r="D1498" s="182" t="s">
        <v>1210</v>
      </c>
      <c r="E1498" s="70"/>
      <c r="F1498" s="70"/>
      <c r="G1498" s="70"/>
      <c r="H1498" s="71"/>
    </row>
    <row r="1499" spans="3:11" ht="20.399999999999999" customHeight="1">
      <c r="C1499" s="306" t="s">
        <v>1203</v>
      </c>
      <c r="D1499" s="182" t="s">
        <v>2969</v>
      </c>
      <c r="E1499" s="124" t="s">
        <v>44</v>
      </c>
      <c r="F1499" s="118">
        <v>11.667</v>
      </c>
      <c r="G1499" s="283">
        <f>VLOOKUP(D1499,upahbahan,3,FALSE)</f>
        <v>37000</v>
      </c>
      <c r="H1499" s="284">
        <f>F1499*G1499</f>
        <v>431679</v>
      </c>
    </row>
    <row r="1500" spans="3:11" ht="20.399999999999999" customHeight="1">
      <c r="C1500" s="306">
        <v>2</v>
      </c>
      <c r="D1500" s="182" t="s">
        <v>1796</v>
      </c>
      <c r="E1500" s="124" t="s">
        <v>2426</v>
      </c>
      <c r="F1500" s="118">
        <v>13.632</v>
      </c>
      <c r="G1500" s="283">
        <f>VLOOKUP(D1500,upahbahan,3,FALSE)</f>
        <v>1530</v>
      </c>
      <c r="H1500" s="284">
        <f t="shared" ref="H1500:H1502" si="146">F1500*G1500</f>
        <v>20856.96</v>
      </c>
    </row>
    <row r="1501" spans="3:11" ht="20.399999999999999" customHeight="1">
      <c r="C1501" s="306">
        <v>3</v>
      </c>
      <c r="D1501" s="182" t="s">
        <v>562</v>
      </c>
      <c r="E1501" s="124" t="s">
        <v>2426</v>
      </c>
      <c r="F1501" s="127">
        <v>1.5</v>
      </c>
      <c r="G1501" s="283">
        <f>VLOOKUP(D1501,upahbahan,3,FALSE)</f>
        <v>18000</v>
      </c>
      <c r="H1501" s="284">
        <f t="shared" si="146"/>
        <v>27000</v>
      </c>
    </row>
    <row r="1502" spans="3:11" ht="20.399999999999999" customHeight="1">
      <c r="C1502" s="310">
        <v>4</v>
      </c>
      <c r="D1502" s="182" t="s">
        <v>1840</v>
      </c>
      <c r="E1502" s="176" t="s">
        <v>42</v>
      </c>
      <c r="F1502" s="309">
        <v>2.7E-2</v>
      </c>
      <c r="G1502" s="283">
        <f>VLOOKUP(D1502,upahbahan,3,FALSE)</f>
        <v>0</v>
      </c>
      <c r="H1502" s="284">
        <f t="shared" si="146"/>
        <v>0</v>
      </c>
    </row>
    <row r="1503" spans="3:11" ht="20.399999999999999" customHeight="1">
      <c r="C1503" s="66" t="s">
        <v>1214</v>
      </c>
      <c r="D1503" s="67"/>
      <c r="E1503" s="67"/>
      <c r="F1503" s="67"/>
      <c r="G1503" s="69"/>
      <c r="H1503" s="284">
        <f>SUM(H1499:H1502)</f>
        <v>479535.96</v>
      </c>
    </row>
    <row r="1504" spans="3:11" ht="20.399999999999999" customHeight="1">
      <c r="C1504" s="321" t="s">
        <v>1215</v>
      </c>
      <c r="D1504" s="182" t="s">
        <v>1216</v>
      </c>
      <c r="E1504" s="70"/>
      <c r="F1504" s="70"/>
      <c r="G1504" s="70"/>
      <c r="H1504" s="71"/>
    </row>
    <row r="1505" spans="3:11" ht="20.399999999999999" customHeight="1">
      <c r="C1505" s="66" t="s">
        <v>1217</v>
      </c>
      <c r="D1505" s="67"/>
      <c r="E1505" s="67"/>
      <c r="F1505" s="67"/>
      <c r="G1505" s="69"/>
      <c r="H1505" s="284">
        <v>0</v>
      </c>
    </row>
    <row r="1506" spans="3:11" ht="20.399999999999999" customHeight="1">
      <c r="C1506" s="293" t="s">
        <v>1218</v>
      </c>
      <c r="D1506" s="294" t="s">
        <v>1219</v>
      </c>
      <c r="E1506" s="295"/>
      <c r="F1506" s="295"/>
      <c r="G1506" s="296"/>
      <c r="H1506" s="284">
        <f>H1505+H1503+H1497</f>
        <v>504913.96</v>
      </c>
    </row>
    <row r="1507" spans="3:11" ht="20.399999999999999" customHeight="1">
      <c r="C1507" s="293" t="s">
        <v>1220</v>
      </c>
      <c r="D1507" s="294" t="s">
        <v>1321</v>
      </c>
      <c r="E1507" s="295"/>
      <c r="F1507" s="296"/>
      <c r="G1507" s="298">
        <f>$M$8</f>
        <v>0.1</v>
      </c>
      <c r="H1507" s="284">
        <f>H1506*G1507</f>
        <v>50491.396000000008</v>
      </c>
    </row>
    <row r="1508" spans="3:11" ht="20.399999999999999" customHeight="1" thickBot="1">
      <c r="C1508" s="299" t="s">
        <v>1221</v>
      </c>
      <c r="D1508" s="300" t="s">
        <v>1222</v>
      </c>
      <c r="E1508" s="301"/>
      <c r="F1508" s="301"/>
      <c r="G1508" s="302"/>
      <c r="H1508" s="303">
        <f>SUM(H1506:H1507)</f>
        <v>555405.35600000003</v>
      </c>
    </row>
    <row r="1509" spans="3:11" ht="14.4" thickTop="1">
      <c r="C1509" s="289"/>
      <c r="D1509" s="297"/>
      <c r="E1509" s="297"/>
      <c r="F1509" s="297"/>
      <c r="G1509" s="297"/>
      <c r="H1509" s="139"/>
    </row>
    <row r="1510" spans="3:11">
      <c r="C1510" s="289"/>
      <c r="D1510" s="297"/>
      <c r="E1510" s="297"/>
      <c r="F1510" s="297"/>
      <c r="G1510" s="297"/>
      <c r="H1510" s="139"/>
    </row>
    <row r="1511" spans="3:11" ht="14.4" thickBot="1">
      <c r="C1511" s="119" t="s">
        <v>2970</v>
      </c>
      <c r="D1511" s="485" t="s">
        <v>2971</v>
      </c>
      <c r="E1511" s="485"/>
      <c r="F1511" s="485"/>
      <c r="G1511" s="485"/>
      <c r="H1511" s="485"/>
      <c r="I1511" s="120">
        <f>ROUNDDOWN(H1529,-2)</f>
        <v>377000</v>
      </c>
      <c r="J1511" s="59" t="s">
        <v>6451</v>
      </c>
      <c r="K1511" s="59" t="s">
        <v>6532</v>
      </c>
    </row>
    <row r="1512" spans="3:11" ht="28.2" thickTop="1">
      <c r="C1512" s="51" t="s">
        <v>1195</v>
      </c>
      <c r="D1512" s="52" t="s">
        <v>1196</v>
      </c>
      <c r="E1512" s="52" t="s">
        <v>1197</v>
      </c>
      <c r="F1512" s="52" t="s">
        <v>1198</v>
      </c>
      <c r="G1512" s="52" t="s">
        <v>1199</v>
      </c>
      <c r="H1512" s="53" t="s">
        <v>1200</v>
      </c>
    </row>
    <row r="1513" spans="3:11" ht="20.399999999999999" customHeight="1">
      <c r="C1513" s="290" t="s">
        <v>1201</v>
      </c>
      <c r="D1513" s="182" t="s">
        <v>1202</v>
      </c>
      <c r="E1513" s="70"/>
      <c r="F1513" s="70"/>
      <c r="G1513" s="70"/>
      <c r="H1513" s="71"/>
    </row>
    <row r="1514" spans="3:11" ht="20.399999999999999" customHeight="1">
      <c r="C1514" s="281">
        <v>1</v>
      </c>
      <c r="D1514" s="182" t="s">
        <v>5</v>
      </c>
      <c r="E1514" s="176" t="s">
        <v>6</v>
      </c>
      <c r="F1514" s="309">
        <v>0.15379999999999999</v>
      </c>
      <c r="G1514" s="283">
        <f>VLOOKUP(D1514,upahbahan,3,FALSE)</f>
        <v>100000</v>
      </c>
      <c r="H1514" s="284">
        <f t="shared" ref="H1514:H1517" si="147">F1514*G1514</f>
        <v>15380</v>
      </c>
    </row>
    <row r="1515" spans="3:11" ht="20.399999999999999" customHeight="1">
      <c r="C1515" s="281">
        <v>2</v>
      </c>
      <c r="D1515" s="182" t="s">
        <v>7</v>
      </c>
      <c r="E1515" s="176" t="s">
        <v>6</v>
      </c>
      <c r="F1515" s="309">
        <v>7.6899999999999996E-2</v>
      </c>
      <c r="G1515" s="283">
        <f>VLOOKUP(D1515,upahbahan,3,FALSE)</f>
        <v>135000</v>
      </c>
      <c r="H1515" s="284">
        <f t="shared" si="147"/>
        <v>10381.5</v>
      </c>
    </row>
    <row r="1516" spans="3:11" ht="20.399999999999999" customHeight="1">
      <c r="C1516" s="281">
        <v>3</v>
      </c>
      <c r="D1516" s="182" t="s">
        <v>18</v>
      </c>
      <c r="E1516" s="176" t="s">
        <v>6</v>
      </c>
      <c r="F1516" s="309">
        <v>7.7000000000000002E-3</v>
      </c>
      <c r="G1516" s="283">
        <f>VLOOKUP(D1516,upahbahan,3,FALSE)</f>
        <v>150000</v>
      </c>
      <c r="H1516" s="284">
        <f t="shared" si="147"/>
        <v>1155</v>
      </c>
    </row>
    <row r="1517" spans="3:11" ht="20.399999999999999" customHeight="1">
      <c r="C1517" s="281">
        <v>4</v>
      </c>
      <c r="D1517" s="182" t="s">
        <v>19</v>
      </c>
      <c r="E1517" s="176" t="s">
        <v>6</v>
      </c>
      <c r="F1517" s="309">
        <v>2.5999999999999999E-3</v>
      </c>
      <c r="G1517" s="283">
        <f>VLOOKUP(D1517,upahbahan,3,FALSE)</f>
        <v>160000</v>
      </c>
      <c r="H1517" s="284">
        <f t="shared" si="147"/>
        <v>416</v>
      </c>
    </row>
    <row r="1518" spans="3:11" ht="20.399999999999999" customHeight="1">
      <c r="C1518" s="66" t="s">
        <v>1208</v>
      </c>
      <c r="D1518" s="67"/>
      <c r="E1518" s="67"/>
      <c r="F1518" s="142"/>
      <c r="G1518" s="153"/>
      <c r="H1518" s="284">
        <f>SUM(H1514:H1517)</f>
        <v>27332.5</v>
      </c>
      <c r="I1518" s="320"/>
    </row>
    <row r="1519" spans="3:11" ht="20.399999999999999" customHeight="1">
      <c r="C1519" s="290" t="s">
        <v>1209</v>
      </c>
      <c r="D1519" s="182" t="s">
        <v>1210</v>
      </c>
      <c r="E1519" s="70"/>
      <c r="F1519" s="70"/>
      <c r="G1519" s="70"/>
      <c r="H1519" s="71"/>
    </row>
    <row r="1520" spans="3:11" ht="20.399999999999999" customHeight="1">
      <c r="C1520" s="306" t="s">
        <v>1203</v>
      </c>
      <c r="D1520" s="182" t="s">
        <v>2972</v>
      </c>
      <c r="E1520" s="124" t="s">
        <v>44</v>
      </c>
      <c r="F1520" s="118">
        <v>6.5629999999999997</v>
      </c>
      <c r="G1520" s="283">
        <f>VLOOKUP(D1520,upahbahan,3,FALSE)</f>
        <v>39500</v>
      </c>
      <c r="H1520" s="284">
        <f>F1520*G1520</f>
        <v>259238.5</v>
      </c>
    </row>
    <row r="1521" spans="3:9" ht="20.399999999999999" customHeight="1">
      <c r="C1521" s="306">
        <v>2</v>
      </c>
      <c r="D1521" s="182" t="s">
        <v>1796</v>
      </c>
      <c r="E1521" s="124" t="s">
        <v>2426</v>
      </c>
      <c r="F1521" s="118">
        <v>13.632</v>
      </c>
      <c r="G1521" s="283">
        <f>VLOOKUP(D1521,upahbahan,3,FALSE)</f>
        <v>1530</v>
      </c>
      <c r="H1521" s="284">
        <f t="shared" ref="H1521:H1523" si="148">F1521*G1521</f>
        <v>20856.96</v>
      </c>
    </row>
    <row r="1522" spans="3:9" ht="20.399999999999999" customHeight="1">
      <c r="C1522" s="306">
        <v>3</v>
      </c>
      <c r="D1522" s="182" t="s">
        <v>562</v>
      </c>
      <c r="E1522" s="124" t="s">
        <v>2426</v>
      </c>
      <c r="F1522" s="127">
        <v>1.5</v>
      </c>
      <c r="G1522" s="283">
        <f>VLOOKUP(D1522,upahbahan,3,FALSE)</f>
        <v>18000</v>
      </c>
      <c r="H1522" s="284">
        <f t="shared" si="148"/>
        <v>27000</v>
      </c>
    </row>
    <row r="1523" spans="3:9" ht="20.399999999999999" customHeight="1">
      <c r="C1523" s="310">
        <v>4</v>
      </c>
      <c r="D1523" s="182" t="s">
        <v>85</v>
      </c>
      <c r="E1523" s="176" t="s">
        <v>42</v>
      </c>
      <c r="F1523" s="309">
        <v>2.7E-2</v>
      </c>
      <c r="G1523" s="283">
        <f>VLOOKUP(D1523,upahbahan,3,FALSE)</f>
        <v>310500</v>
      </c>
      <c r="H1523" s="284">
        <f t="shared" si="148"/>
        <v>8383.5</v>
      </c>
    </row>
    <row r="1524" spans="3:9" ht="20.399999999999999" customHeight="1">
      <c r="C1524" s="66" t="s">
        <v>1214</v>
      </c>
      <c r="D1524" s="67"/>
      <c r="E1524" s="67"/>
      <c r="F1524" s="67"/>
      <c r="G1524" s="69"/>
      <c r="H1524" s="284">
        <f>SUM(H1520:H1523)</f>
        <v>315478.96000000002</v>
      </c>
    </row>
    <row r="1525" spans="3:9" ht="20.399999999999999" customHeight="1">
      <c r="C1525" s="290" t="s">
        <v>1215</v>
      </c>
      <c r="D1525" s="182" t="s">
        <v>1216</v>
      </c>
      <c r="E1525" s="70"/>
      <c r="F1525" s="70"/>
      <c r="G1525" s="70"/>
      <c r="H1525" s="71"/>
    </row>
    <row r="1526" spans="3:9" ht="20.399999999999999" customHeight="1">
      <c r="C1526" s="66" t="s">
        <v>1217</v>
      </c>
      <c r="D1526" s="67"/>
      <c r="E1526" s="67"/>
      <c r="F1526" s="67"/>
      <c r="G1526" s="69"/>
      <c r="H1526" s="284">
        <v>0</v>
      </c>
    </row>
    <row r="1527" spans="3:9" ht="20.399999999999999" customHeight="1">
      <c r="C1527" s="293" t="s">
        <v>1218</v>
      </c>
      <c r="D1527" s="294" t="s">
        <v>1219</v>
      </c>
      <c r="E1527" s="295"/>
      <c r="F1527" s="295"/>
      <c r="G1527" s="296"/>
      <c r="H1527" s="284">
        <f>H1526+H1524+H1518</f>
        <v>342811.46</v>
      </c>
    </row>
    <row r="1528" spans="3:9" ht="20.399999999999999" customHeight="1">
      <c r="C1528" s="293" t="s">
        <v>1220</v>
      </c>
      <c r="D1528" s="294" t="s">
        <v>1321</v>
      </c>
      <c r="E1528" s="295"/>
      <c r="F1528" s="296"/>
      <c r="G1528" s="298">
        <f>$M$8</f>
        <v>0.1</v>
      </c>
      <c r="H1528" s="284">
        <f>H1527*G1528</f>
        <v>34281.146000000001</v>
      </c>
    </row>
    <row r="1529" spans="3:9" ht="20.399999999999999" customHeight="1" thickBot="1">
      <c r="C1529" s="299" t="s">
        <v>1221</v>
      </c>
      <c r="D1529" s="300" t="s">
        <v>1222</v>
      </c>
      <c r="E1529" s="301"/>
      <c r="F1529" s="301"/>
      <c r="G1529" s="302"/>
      <c r="H1529" s="303">
        <f>SUM(H1527:H1528)</f>
        <v>377092.60600000003</v>
      </c>
    </row>
    <row r="1530" spans="3:9" ht="14.4" thickTop="1">
      <c r="C1530" s="289"/>
      <c r="D1530" s="297"/>
      <c r="E1530" s="297"/>
      <c r="F1530" s="297"/>
      <c r="G1530" s="297"/>
      <c r="H1530" s="139"/>
    </row>
    <row r="1531" spans="3:9">
      <c r="C1531" s="289"/>
      <c r="D1531" s="297"/>
      <c r="E1531" s="297"/>
      <c r="F1531" s="297"/>
      <c r="G1531" s="297"/>
      <c r="H1531" s="139"/>
    </row>
    <row r="1532" spans="3:9">
      <c r="C1532" s="490" t="s">
        <v>5278</v>
      </c>
      <c r="D1532" s="138" t="s">
        <v>2973</v>
      </c>
      <c r="E1532" s="297"/>
      <c r="F1532" s="297"/>
      <c r="G1532" s="297"/>
      <c r="H1532" s="139"/>
    </row>
    <row r="1533" spans="3:9">
      <c r="C1533" s="490" t="s">
        <v>2974</v>
      </c>
      <c r="D1533" s="138" t="s">
        <v>2975</v>
      </c>
      <c r="E1533" s="297"/>
      <c r="F1533" s="297"/>
      <c r="G1533" s="297"/>
      <c r="H1533" s="139"/>
    </row>
    <row r="1534" spans="3:9" ht="14.4" thickBot="1">
      <c r="C1534" s="119" t="s">
        <v>2976</v>
      </c>
      <c r="D1534" s="485" t="s">
        <v>1464</v>
      </c>
      <c r="E1534" s="485"/>
      <c r="F1534" s="485"/>
      <c r="G1534" s="485"/>
      <c r="H1534" s="485"/>
      <c r="I1534" s="120">
        <f>ROUNDDOWN(H1552,-2)</f>
        <v>350900</v>
      </c>
    </row>
    <row r="1535" spans="3:9" ht="28.2" thickTop="1">
      <c r="C1535" s="51" t="s">
        <v>1195</v>
      </c>
      <c r="D1535" s="52" t="s">
        <v>1196</v>
      </c>
      <c r="E1535" s="52" t="s">
        <v>1197</v>
      </c>
      <c r="F1535" s="52" t="s">
        <v>1198</v>
      </c>
      <c r="G1535" s="52" t="s">
        <v>1199</v>
      </c>
      <c r="H1535" s="53" t="s">
        <v>1200</v>
      </c>
    </row>
    <row r="1536" spans="3:9" ht="20.399999999999999" customHeight="1">
      <c r="C1536" s="290" t="s">
        <v>1201</v>
      </c>
      <c r="D1536" s="182" t="s">
        <v>1202</v>
      </c>
      <c r="E1536" s="70"/>
      <c r="F1536" s="70"/>
      <c r="G1536" s="70"/>
      <c r="H1536" s="71"/>
    </row>
    <row r="1537" spans="3:9" ht="20.399999999999999" customHeight="1">
      <c r="C1537" s="281">
        <v>1</v>
      </c>
      <c r="D1537" s="182" t="s">
        <v>5</v>
      </c>
      <c r="E1537" s="176" t="s">
        <v>6</v>
      </c>
      <c r="F1537" s="309">
        <v>0.66669999999999996</v>
      </c>
      <c r="G1537" s="283">
        <f>VLOOKUP(D1537,upahbahan,3,FALSE)</f>
        <v>100000</v>
      </c>
      <c r="H1537" s="284">
        <f>F1537*G1537</f>
        <v>66670</v>
      </c>
    </row>
    <row r="1538" spans="3:9" ht="20.399999999999999" customHeight="1">
      <c r="C1538" s="281">
        <v>2</v>
      </c>
      <c r="D1538" s="182" t="s">
        <v>7</v>
      </c>
      <c r="E1538" s="176" t="s">
        <v>6</v>
      </c>
      <c r="F1538" s="309">
        <v>0.33329999999999999</v>
      </c>
      <c r="G1538" s="283">
        <f>VLOOKUP(D1538,upahbahan,3,FALSE)</f>
        <v>135000</v>
      </c>
      <c r="H1538" s="284">
        <f>F1538*G1538</f>
        <v>44995.5</v>
      </c>
    </row>
    <row r="1539" spans="3:9" ht="20.399999999999999" customHeight="1">
      <c r="C1539" s="281">
        <v>3</v>
      </c>
      <c r="D1539" s="182" t="s">
        <v>18</v>
      </c>
      <c r="E1539" s="176" t="s">
        <v>6</v>
      </c>
      <c r="F1539" s="309">
        <v>3.3300000000000003E-2</v>
      </c>
      <c r="G1539" s="283">
        <f>VLOOKUP(D1539,upahbahan,3,FALSE)</f>
        <v>150000</v>
      </c>
      <c r="H1539" s="284">
        <f t="shared" ref="H1539:H1540" si="149">F1539*G1539</f>
        <v>4995.0000000000009</v>
      </c>
    </row>
    <row r="1540" spans="3:9" ht="20.399999999999999" customHeight="1">
      <c r="C1540" s="281">
        <v>4</v>
      </c>
      <c r="D1540" s="182" t="s">
        <v>19</v>
      </c>
      <c r="E1540" s="176" t="s">
        <v>6</v>
      </c>
      <c r="F1540" s="309">
        <v>1.11E-2</v>
      </c>
      <c r="G1540" s="283">
        <f>VLOOKUP(D1540,upahbahan,3,FALSE)</f>
        <v>160000</v>
      </c>
      <c r="H1540" s="284">
        <f t="shared" si="149"/>
        <v>1776</v>
      </c>
    </row>
    <row r="1541" spans="3:9" ht="20.399999999999999" customHeight="1">
      <c r="C1541" s="66" t="s">
        <v>1208</v>
      </c>
      <c r="D1541" s="67"/>
      <c r="E1541" s="67"/>
      <c r="F1541" s="142"/>
      <c r="G1541" s="153"/>
      <c r="H1541" s="284">
        <f>SUM(H1537:H1540)</f>
        <v>118436.5</v>
      </c>
      <c r="I1541" s="320"/>
    </row>
    <row r="1542" spans="3:9" ht="20.399999999999999" customHeight="1">
      <c r="C1542" s="290" t="s">
        <v>1209</v>
      </c>
      <c r="D1542" s="182" t="s">
        <v>1210</v>
      </c>
      <c r="E1542" s="70"/>
      <c r="F1542" s="70"/>
      <c r="G1542" s="70"/>
      <c r="H1542" s="71"/>
    </row>
    <row r="1543" spans="3:9" ht="20.399999999999999" customHeight="1">
      <c r="C1543" s="310" t="s">
        <v>1203</v>
      </c>
      <c r="D1543" s="182" t="s">
        <v>438</v>
      </c>
      <c r="E1543" s="176" t="s">
        <v>44</v>
      </c>
      <c r="F1543" s="282">
        <v>52.5</v>
      </c>
      <c r="G1543" s="283">
        <f>VLOOKUP(D1543,upahbahan,3,FALSE)</f>
        <v>2500</v>
      </c>
      <c r="H1543" s="284">
        <f t="shared" ref="H1543:H1546" si="150">F1543*G1543</f>
        <v>131250</v>
      </c>
    </row>
    <row r="1544" spans="3:9" ht="20.399999999999999" customHeight="1">
      <c r="C1544" s="310" t="s">
        <v>1204</v>
      </c>
      <c r="D1544" s="182" t="s">
        <v>2332</v>
      </c>
      <c r="E1544" s="176" t="s">
        <v>65</v>
      </c>
      <c r="F1544" s="282">
        <v>9.3000000000000007</v>
      </c>
      <c r="G1544" s="283">
        <f>VLOOKUP(D1544,upahbahan,3,FALSE)</f>
        <v>1530</v>
      </c>
      <c r="H1544" s="284">
        <f t="shared" si="150"/>
        <v>14229.000000000002</v>
      </c>
    </row>
    <row r="1545" spans="3:9" ht="20.399999999999999" customHeight="1">
      <c r="C1545" s="310" t="s">
        <v>1205</v>
      </c>
      <c r="D1545" s="182" t="s">
        <v>562</v>
      </c>
      <c r="E1545" s="176" t="s">
        <v>65</v>
      </c>
      <c r="F1545" s="282">
        <v>2.75</v>
      </c>
      <c r="G1545" s="283">
        <f>VLOOKUP(D1545,upahbahan,3,FALSE)</f>
        <v>18000</v>
      </c>
      <c r="H1545" s="284">
        <f t="shared" si="150"/>
        <v>49500</v>
      </c>
    </row>
    <row r="1546" spans="3:9" ht="20.399999999999999" customHeight="1">
      <c r="C1546" s="310" t="s">
        <v>1206</v>
      </c>
      <c r="D1546" s="285" t="s">
        <v>85</v>
      </c>
      <c r="E1546" s="176" t="s">
        <v>42</v>
      </c>
      <c r="F1546" s="282">
        <v>1.7999999999999999E-2</v>
      </c>
      <c r="G1546" s="283">
        <f>VLOOKUP(D1546,upahbahan,3,FALSE)</f>
        <v>310500</v>
      </c>
      <c r="H1546" s="284">
        <f t="shared" si="150"/>
        <v>5589</v>
      </c>
    </row>
    <row r="1547" spans="3:9" ht="20.399999999999999" customHeight="1">
      <c r="C1547" s="66" t="s">
        <v>1214</v>
      </c>
      <c r="D1547" s="67"/>
      <c r="E1547" s="67"/>
      <c r="F1547" s="67"/>
      <c r="G1547" s="69"/>
      <c r="H1547" s="284">
        <f>SUM(H1543:H1546)</f>
        <v>200568</v>
      </c>
    </row>
    <row r="1548" spans="3:9" ht="20.399999999999999" customHeight="1">
      <c r="C1548" s="321" t="s">
        <v>1215</v>
      </c>
      <c r="D1548" s="182" t="s">
        <v>1216</v>
      </c>
      <c r="E1548" s="70"/>
      <c r="F1548" s="70"/>
      <c r="G1548" s="70"/>
      <c r="H1548" s="71"/>
    </row>
    <row r="1549" spans="3:9" ht="20.399999999999999" customHeight="1">
      <c r="C1549" s="66" t="s">
        <v>1217</v>
      </c>
      <c r="D1549" s="67"/>
      <c r="E1549" s="67"/>
      <c r="F1549" s="67"/>
      <c r="G1549" s="69"/>
      <c r="H1549" s="292">
        <v>0</v>
      </c>
    </row>
    <row r="1550" spans="3:9" ht="20.399999999999999" customHeight="1">
      <c r="C1550" s="293" t="s">
        <v>1218</v>
      </c>
      <c r="D1550" s="294" t="s">
        <v>1219</v>
      </c>
      <c r="E1550" s="295"/>
      <c r="F1550" s="295"/>
      <c r="G1550" s="296"/>
      <c r="H1550" s="284">
        <f>H1549+H1547+H1541</f>
        <v>319004.5</v>
      </c>
    </row>
    <row r="1551" spans="3:9" ht="20.399999999999999" customHeight="1">
      <c r="C1551" s="293" t="s">
        <v>1220</v>
      </c>
      <c r="D1551" s="294" t="s">
        <v>1321</v>
      </c>
      <c r="E1551" s="295"/>
      <c r="F1551" s="296"/>
      <c r="G1551" s="298">
        <f>$M$8</f>
        <v>0.1</v>
      </c>
      <c r="H1551" s="284">
        <f>H1550*G1551</f>
        <v>31900.45</v>
      </c>
    </row>
    <row r="1552" spans="3:9" ht="20.399999999999999" customHeight="1" thickBot="1">
      <c r="C1552" s="299" t="s">
        <v>1221</v>
      </c>
      <c r="D1552" s="300" t="s">
        <v>1222</v>
      </c>
      <c r="E1552" s="301"/>
      <c r="F1552" s="301"/>
      <c r="G1552" s="302"/>
      <c r="H1552" s="303">
        <f>SUM(H1550:H1551)</f>
        <v>350904.95</v>
      </c>
    </row>
    <row r="1553" spans="3:9" ht="14.4" thickTop="1">
      <c r="C1553" s="289"/>
      <c r="D1553" s="297"/>
      <c r="E1553" s="297"/>
      <c r="F1553" s="297"/>
      <c r="G1553" s="297"/>
      <c r="H1553" s="139"/>
    </row>
    <row r="1554" spans="3:9" ht="14.4" thickBot="1">
      <c r="C1554" s="47" t="s">
        <v>2977</v>
      </c>
      <c r="D1554" s="485" t="s">
        <v>1465</v>
      </c>
      <c r="E1554" s="485"/>
      <c r="F1554" s="485"/>
      <c r="G1554" s="485"/>
      <c r="H1554" s="485"/>
      <c r="I1554" s="120">
        <f>ROUNDDOWN(H1572,-2)</f>
        <v>487800</v>
      </c>
    </row>
    <row r="1555" spans="3:9" ht="28.2" thickTop="1">
      <c r="C1555" s="51" t="s">
        <v>1195</v>
      </c>
      <c r="D1555" s="52" t="s">
        <v>1196</v>
      </c>
      <c r="E1555" s="52" t="s">
        <v>1197</v>
      </c>
      <c r="F1555" s="52" t="s">
        <v>1198</v>
      </c>
      <c r="G1555" s="52" t="s">
        <v>1199</v>
      </c>
      <c r="H1555" s="53" t="s">
        <v>1200</v>
      </c>
    </row>
    <row r="1556" spans="3:9" ht="20.399999999999999" customHeight="1">
      <c r="C1556" s="290" t="s">
        <v>1201</v>
      </c>
      <c r="D1556" s="182" t="s">
        <v>1202</v>
      </c>
      <c r="E1556" s="70"/>
      <c r="F1556" s="70"/>
      <c r="G1556" s="70"/>
      <c r="H1556" s="71"/>
    </row>
    <row r="1557" spans="3:9" ht="20.399999999999999" customHeight="1">
      <c r="C1557" s="281">
        <v>1</v>
      </c>
      <c r="D1557" s="182" t="s">
        <v>5</v>
      </c>
      <c r="E1557" s="176" t="s">
        <v>6</v>
      </c>
      <c r="F1557" s="309">
        <v>0.90900000000000003</v>
      </c>
      <c r="G1557" s="283">
        <f>VLOOKUP(D1557,upahbahan,3,FALSE)</f>
        <v>100000</v>
      </c>
      <c r="H1557" s="284">
        <f t="shared" ref="H1557:H1560" si="151">F1557*G1557</f>
        <v>90900</v>
      </c>
    </row>
    <row r="1558" spans="3:9" ht="20.399999999999999" customHeight="1">
      <c r="C1558" s="281">
        <v>2</v>
      </c>
      <c r="D1558" s="182" t="s">
        <v>7</v>
      </c>
      <c r="E1558" s="176" t="s">
        <v>6</v>
      </c>
      <c r="F1558" s="309">
        <v>0.45500000000000002</v>
      </c>
      <c r="G1558" s="283">
        <f>VLOOKUP(D1558,upahbahan,3,FALSE)</f>
        <v>135000</v>
      </c>
      <c r="H1558" s="284">
        <f t="shared" si="151"/>
        <v>61425</v>
      </c>
    </row>
    <row r="1559" spans="3:9" ht="20.399999999999999" customHeight="1">
      <c r="C1559" s="281">
        <v>3</v>
      </c>
      <c r="D1559" s="182" t="s">
        <v>18</v>
      </c>
      <c r="E1559" s="176" t="s">
        <v>6</v>
      </c>
      <c r="F1559" s="309">
        <v>4.4999999999999998E-2</v>
      </c>
      <c r="G1559" s="283">
        <f>VLOOKUP(D1559,upahbahan,3,FALSE)</f>
        <v>150000</v>
      </c>
      <c r="H1559" s="284">
        <f t="shared" si="151"/>
        <v>6750</v>
      </c>
    </row>
    <row r="1560" spans="3:9" ht="20.399999999999999" customHeight="1">
      <c r="C1560" s="281">
        <v>4</v>
      </c>
      <c r="D1560" s="182" t="s">
        <v>19</v>
      </c>
      <c r="E1560" s="176" t="s">
        <v>6</v>
      </c>
      <c r="F1560" s="309">
        <v>1.4999999999999999E-2</v>
      </c>
      <c r="G1560" s="283">
        <f>VLOOKUP(D1560,upahbahan,3,FALSE)</f>
        <v>160000</v>
      </c>
      <c r="H1560" s="284">
        <f t="shared" si="151"/>
        <v>2400</v>
      </c>
    </row>
    <row r="1561" spans="3:9" ht="20.399999999999999" customHeight="1">
      <c r="C1561" s="66" t="s">
        <v>1208</v>
      </c>
      <c r="D1561" s="67"/>
      <c r="E1561" s="67"/>
      <c r="F1561" s="142"/>
      <c r="G1561" s="153"/>
      <c r="H1561" s="284">
        <f>SUM(H1557:H1560)</f>
        <v>161475</v>
      </c>
      <c r="I1561" s="320"/>
    </row>
    <row r="1562" spans="3:9" ht="20.399999999999999" customHeight="1">
      <c r="C1562" s="290" t="s">
        <v>1209</v>
      </c>
      <c r="D1562" s="182" t="s">
        <v>1210</v>
      </c>
      <c r="E1562" s="70"/>
      <c r="F1562" s="70"/>
      <c r="G1562" s="70"/>
      <c r="H1562" s="71"/>
    </row>
    <row r="1563" spans="3:9" ht="20.399999999999999" customHeight="1">
      <c r="C1563" s="310" t="s">
        <v>1203</v>
      </c>
      <c r="D1563" s="182" t="s">
        <v>439</v>
      </c>
      <c r="E1563" s="176" t="s">
        <v>44</v>
      </c>
      <c r="F1563" s="282">
        <v>105</v>
      </c>
      <c r="G1563" s="283">
        <f>VLOOKUP(D1563,upahbahan,3,FALSE)</f>
        <v>2000</v>
      </c>
      <c r="H1563" s="284">
        <f t="shared" ref="H1563:H1566" si="152">F1563*G1563</f>
        <v>210000</v>
      </c>
    </row>
    <row r="1564" spans="3:9" ht="20.399999999999999" customHeight="1">
      <c r="C1564" s="310" t="s">
        <v>1204</v>
      </c>
      <c r="D1564" s="182" t="s">
        <v>2332</v>
      </c>
      <c r="E1564" s="176" t="s">
        <v>65</v>
      </c>
      <c r="F1564" s="282">
        <v>9.3000000000000007</v>
      </c>
      <c r="G1564" s="283">
        <f>VLOOKUP(D1564,upahbahan,3,FALSE)</f>
        <v>1530</v>
      </c>
      <c r="H1564" s="284">
        <f t="shared" si="152"/>
        <v>14229.000000000002</v>
      </c>
    </row>
    <row r="1565" spans="3:9" ht="20.399999999999999" customHeight="1">
      <c r="C1565" s="310" t="s">
        <v>1205</v>
      </c>
      <c r="D1565" s="182" t="s">
        <v>562</v>
      </c>
      <c r="E1565" s="176" t="s">
        <v>65</v>
      </c>
      <c r="F1565" s="282">
        <v>2.9</v>
      </c>
      <c r="G1565" s="283">
        <f>VLOOKUP(D1565,upahbahan,3,FALSE)</f>
        <v>18000</v>
      </c>
      <c r="H1565" s="284">
        <f t="shared" si="152"/>
        <v>52200</v>
      </c>
    </row>
    <row r="1566" spans="3:9" ht="20.399999999999999" customHeight="1">
      <c r="C1566" s="310" t="s">
        <v>1206</v>
      </c>
      <c r="D1566" s="285" t="s">
        <v>85</v>
      </c>
      <c r="E1566" s="176" t="s">
        <v>42</v>
      </c>
      <c r="F1566" s="282">
        <v>1.7999999999999999E-2</v>
      </c>
      <c r="G1566" s="283">
        <f>VLOOKUP(D1566,upahbahan,3,FALSE)</f>
        <v>310500</v>
      </c>
      <c r="H1566" s="284">
        <f t="shared" si="152"/>
        <v>5589</v>
      </c>
    </row>
    <row r="1567" spans="3:9" ht="20.399999999999999" customHeight="1">
      <c r="C1567" s="66" t="s">
        <v>1214</v>
      </c>
      <c r="D1567" s="67"/>
      <c r="E1567" s="67"/>
      <c r="F1567" s="67"/>
      <c r="G1567" s="69"/>
      <c r="H1567" s="284">
        <f>SUM(H1563:H1566)</f>
        <v>282018</v>
      </c>
    </row>
    <row r="1568" spans="3:9" ht="20.399999999999999" customHeight="1">
      <c r="C1568" s="321" t="s">
        <v>1215</v>
      </c>
      <c r="D1568" s="182" t="s">
        <v>1216</v>
      </c>
      <c r="E1568" s="70"/>
      <c r="F1568" s="70"/>
      <c r="G1568" s="70"/>
      <c r="H1568" s="71"/>
    </row>
    <row r="1569" spans="3:9" ht="20.399999999999999" customHeight="1">
      <c r="C1569" s="66" t="s">
        <v>1217</v>
      </c>
      <c r="D1569" s="67"/>
      <c r="E1569" s="67"/>
      <c r="F1569" s="67"/>
      <c r="G1569" s="69"/>
      <c r="H1569" s="292">
        <v>0</v>
      </c>
    </row>
    <row r="1570" spans="3:9" ht="20.399999999999999" customHeight="1">
      <c r="C1570" s="293" t="s">
        <v>1218</v>
      </c>
      <c r="D1570" s="294" t="s">
        <v>1219</v>
      </c>
      <c r="E1570" s="295"/>
      <c r="F1570" s="295"/>
      <c r="G1570" s="296"/>
      <c r="H1570" s="284">
        <f>H1569+H1567+H1561</f>
        <v>443493</v>
      </c>
    </row>
    <row r="1571" spans="3:9" ht="20.399999999999999" customHeight="1">
      <c r="C1571" s="293" t="s">
        <v>1220</v>
      </c>
      <c r="D1571" s="294" t="s">
        <v>1321</v>
      </c>
      <c r="E1571" s="295"/>
      <c r="F1571" s="296"/>
      <c r="G1571" s="298">
        <f>$M$8</f>
        <v>0.1</v>
      </c>
      <c r="H1571" s="284">
        <f>H1570*G1571</f>
        <v>44349.3</v>
      </c>
    </row>
    <row r="1572" spans="3:9" ht="20.399999999999999" customHeight="1" thickBot="1">
      <c r="C1572" s="299" t="s">
        <v>1221</v>
      </c>
      <c r="D1572" s="300" t="s">
        <v>1222</v>
      </c>
      <c r="E1572" s="301"/>
      <c r="F1572" s="301"/>
      <c r="G1572" s="302"/>
      <c r="H1572" s="303">
        <f>SUM(H1570:H1571)</f>
        <v>487842.3</v>
      </c>
    </row>
    <row r="1573" spans="3:9" ht="14.4" thickTop="1">
      <c r="C1573" s="289"/>
      <c r="D1573" s="297"/>
      <c r="E1573" s="297"/>
      <c r="F1573" s="297"/>
      <c r="G1573" s="297"/>
      <c r="H1573" s="139"/>
    </row>
    <row r="1574" spans="3:9" ht="14.4" thickBot="1">
      <c r="C1574" s="47" t="s">
        <v>2978</v>
      </c>
      <c r="D1574" s="485" t="s">
        <v>1466</v>
      </c>
      <c r="E1574" s="485"/>
      <c r="F1574" s="485"/>
      <c r="G1574" s="485"/>
      <c r="H1574" s="485"/>
      <c r="I1574" s="120">
        <f>ROUNDDOWN(H1592,-2)</f>
        <v>288300</v>
      </c>
    </row>
    <row r="1575" spans="3:9" ht="28.2" thickTop="1">
      <c r="C1575" s="51" t="s">
        <v>1195</v>
      </c>
      <c r="D1575" s="52" t="s">
        <v>1196</v>
      </c>
      <c r="E1575" s="52" t="s">
        <v>1197</v>
      </c>
      <c r="F1575" s="52" t="s">
        <v>1198</v>
      </c>
      <c r="G1575" s="52" t="s">
        <v>1199</v>
      </c>
      <c r="H1575" s="53" t="s">
        <v>1200</v>
      </c>
    </row>
    <row r="1576" spans="3:9" ht="20.399999999999999" customHeight="1">
      <c r="C1576" s="290" t="s">
        <v>1201</v>
      </c>
      <c r="D1576" s="182" t="s">
        <v>1202</v>
      </c>
      <c r="E1576" s="70"/>
      <c r="F1576" s="70"/>
      <c r="G1576" s="70"/>
      <c r="H1576" s="71"/>
    </row>
    <row r="1577" spans="3:9" ht="20.399999999999999" customHeight="1">
      <c r="C1577" s="281">
        <v>1</v>
      </c>
      <c r="D1577" s="182" t="s">
        <v>5</v>
      </c>
      <c r="E1577" s="176" t="s">
        <v>6</v>
      </c>
      <c r="F1577" s="282">
        <v>0.5</v>
      </c>
      <c r="G1577" s="283">
        <f>VLOOKUP(D1577,upahbahan,3,FALSE)</f>
        <v>100000</v>
      </c>
      <c r="H1577" s="284">
        <f>F1577*G1577</f>
        <v>50000</v>
      </c>
    </row>
    <row r="1578" spans="3:9" ht="20.399999999999999" customHeight="1">
      <c r="C1578" s="281">
        <v>2</v>
      </c>
      <c r="D1578" s="182" t="s">
        <v>7</v>
      </c>
      <c r="E1578" s="176" t="s">
        <v>6</v>
      </c>
      <c r="F1578" s="282">
        <v>0.25</v>
      </c>
      <c r="G1578" s="283">
        <f>VLOOKUP(D1578,upahbahan,3,FALSE)</f>
        <v>135000</v>
      </c>
      <c r="H1578" s="284">
        <f t="shared" ref="H1578:H1580" si="153">F1578*G1578</f>
        <v>33750</v>
      </c>
    </row>
    <row r="1579" spans="3:9" ht="20.399999999999999" customHeight="1">
      <c r="C1579" s="281">
        <v>3</v>
      </c>
      <c r="D1579" s="182" t="s">
        <v>18</v>
      </c>
      <c r="E1579" s="176" t="s">
        <v>6</v>
      </c>
      <c r="F1579" s="282">
        <v>2.5000000000000001E-2</v>
      </c>
      <c r="G1579" s="283">
        <f>VLOOKUP(D1579,upahbahan,3,FALSE)</f>
        <v>150000</v>
      </c>
      <c r="H1579" s="284">
        <f t="shared" si="153"/>
        <v>3750</v>
      </c>
    </row>
    <row r="1580" spans="3:9" ht="20.399999999999999" customHeight="1">
      <c r="C1580" s="281">
        <v>4</v>
      </c>
      <c r="D1580" s="182" t="s">
        <v>19</v>
      </c>
      <c r="E1580" s="176" t="s">
        <v>6</v>
      </c>
      <c r="F1580" s="282">
        <v>8.0000000000000002E-3</v>
      </c>
      <c r="G1580" s="283">
        <f>VLOOKUP(D1580,upahbahan,3,FALSE)</f>
        <v>160000</v>
      </c>
      <c r="H1580" s="284">
        <f t="shared" si="153"/>
        <v>1280</v>
      </c>
    </row>
    <row r="1581" spans="3:9" ht="20.399999999999999" customHeight="1">
      <c r="C1581" s="66" t="s">
        <v>1208</v>
      </c>
      <c r="D1581" s="67"/>
      <c r="E1581" s="67"/>
      <c r="F1581" s="142"/>
      <c r="G1581" s="153"/>
      <c r="H1581" s="284">
        <f>SUM(H1577:H1580)</f>
        <v>88780</v>
      </c>
      <c r="I1581" s="320"/>
    </row>
    <row r="1582" spans="3:9" ht="20.399999999999999" customHeight="1">
      <c r="C1582" s="290" t="s">
        <v>1209</v>
      </c>
      <c r="D1582" s="182" t="s">
        <v>1210</v>
      </c>
      <c r="E1582" s="70"/>
      <c r="F1582" s="70"/>
      <c r="G1582" s="70"/>
      <c r="H1582" s="71"/>
    </row>
    <row r="1583" spans="3:9" ht="20.399999999999999" customHeight="1">
      <c r="C1583" s="310" t="s">
        <v>1203</v>
      </c>
      <c r="D1583" s="182" t="s">
        <v>436</v>
      </c>
      <c r="E1583" s="176" t="s">
        <v>44</v>
      </c>
      <c r="F1583" s="282">
        <v>52</v>
      </c>
      <c r="G1583" s="283">
        <f>VLOOKUP(D1583,upahbahan,3,FALSE)</f>
        <v>2000</v>
      </c>
      <c r="H1583" s="284">
        <f>F1583*G1583</f>
        <v>104000</v>
      </c>
    </row>
    <row r="1584" spans="3:9" ht="20.399999999999999" customHeight="1">
      <c r="C1584" s="310" t="s">
        <v>1204</v>
      </c>
      <c r="D1584" s="182" t="s">
        <v>2334</v>
      </c>
      <c r="E1584" s="176" t="s">
        <v>65</v>
      </c>
      <c r="F1584" s="282">
        <v>9.3000000000000007</v>
      </c>
      <c r="G1584" s="283">
        <f>VLOOKUP(D1584,upahbahan,3,FALSE)</f>
        <v>1530</v>
      </c>
      <c r="H1584" s="284">
        <f t="shared" ref="H1584:H1586" si="154">F1584*G1584</f>
        <v>14229.000000000002</v>
      </c>
    </row>
    <row r="1585" spans="3:9" ht="20.399999999999999" customHeight="1">
      <c r="C1585" s="310" t="s">
        <v>1205</v>
      </c>
      <c r="D1585" s="182" t="s">
        <v>562</v>
      </c>
      <c r="E1585" s="176" t="s">
        <v>65</v>
      </c>
      <c r="F1585" s="282">
        <v>2.75</v>
      </c>
      <c r="G1585" s="283">
        <f>VLOOKUP(D1585,upahbahan,3,FALSE)</f>
        <v>18000</v>
      </c>
      <c r="H1585" s="284">
        <f t="shared" si="154"/>
        <v>49500</v>
      </c>
    </row>
    <row r="1586" spans="3:9" ht="20.399999999999999" customHeight="1">
      <c r="C1586" s="310" t="s">
        <v>1206</v>
      </c>
      <c r="D1586" s="285" t="s">
        <v>85</v>
      </c>
      <c r="E1586" s="176" t="s">
        <v>42</v>
      </c>
      <c r="F1586" s="282">
        <v>1.7999999999999999E-2</v>
      </c>
      <c r="G1586" s="283">
        <f>VLOOKUP(D1586,upahbahan,3,FALSE)</f>
        <v>310500</v>
      </c>
      <c r="H1586" s="284">
        <f t="shared" si="154"/>
        <v>5589</v>
      </c>
    </row>
    <row r="1587" spans="3:9" ht="20.399999999999999" customHeight="1">
      <c r="C1587" s="66" t="s">
        <v>1214</v>
      </c>
      <c r="D1587" s="67"/>
      <c r="E1587" s="67"/>
      <c r="F1587" s="67"/>
      <c r="G1587" s="69"/>
      <c r="H1587" s="284">
        <f>SUM(H1583:H1586)</f>
        <v>173318</v>
      </c>
    </row>
    <row r="1588" spans="3:9" ht="20.399999999999999" customHeight="1">
      <c r="C1588" s="321" t="s">
        <v>1215</v>
      </c>
      <c r="D1588" s="182" t="s">
        <v>1216</v>
      </c>
      <c r="E1588" s="70"/>
      <c r="F1588" s="70"/>
      <c r="G1588" s="70"/>
      <c r="H1588" s="71"/>
    </row>
    <row r="1589" spans="3:9" ht="20.399999999999999" customHeight="1">
      <c r="C1589" s="66" t="s">
        <v>1217</v>
      </c>
      <c r="D1589" s="67"/>
      <c r="E1589" s="67"/>
      <c r="F1589" s="67"/>
      <c r="G1589" s="69"/>
      <c r="H1589" s="292">
        <v>0</v>
      </c>
    </row>
    <row r="1590" spans="3:9" ht="20.399999999999999" customHeight="1">
      <c r="C1590" s="293" t="s">
        <v>1218</v>
      </c>
      <c r="D1590" s="294" t="s">
        <v>1219</v>
      </c>
      <c r="E1590" s="295"/>
      <c r="F1590" s="295"/>
      <c r="G1590" s="296"/>
      <c r="H1590" s="284">
        <f>H1589+H1587+H1581</f>
        <v>262098</v>
      </c>
    </row>
    <row r="1591" spans="3:9" ht="20.399999999999999" customHeight="1">
      <c r="C1591" s="293" t="s">
        <v>1220</v>
      </c>
      <c r="D1591" s="294" t="s">
        <v>1321</v>
      </c>
      <c r="E1591" s="295"/>
      <c r="F1591" s="296"/>
      <c r="G1591" s="298">
        <f>$M$8</f>
        <v>0.1</v>
      </c>
      <c r="H1591" s="284">
        <f>H1590*G1591</f>
        <v>26209.800000000003</v>
      </c>
    </row>
    <row r="1592" spans="3:9" ht="20.399999999999999" customHeight="1" thickBot="1">
      <c r="C1592" s="299" t="s">
        <v>1221</v>
      </c>
      <c r="D1592" s="300" t="s">
        <v>1222</v>
      </c>
      <c r="E1592" s="301"/>
      <c r="F1592" s="301"/>
      <c r="G1592" s="302"/>
      <c r="H1592" s="303">
        <f>SUM(H1590:H1591)</f>
        <v>288307.8</v>
      </c>
    </row>
    <row r="1593" spans="3:9" ht="14.4" thickTop="1">
      <c r="C1593" s="289"/>
      <c r="D1593" s="297"/>
      <c r="E1593" s="297"/>
      <c r="F1593" s="297"/>
      <c r="G1593" s="297"/>
      <c r="H1593" s="139"/>
    </row>
    <row r="1594" spans="3:9" ht="14.4" thickBot="1">
      <c r="C1594" s="47" t="s">
        <v>2979</v>
      </c>
      <c r="D1594" s="485" t="s">
        <v>1467</v>
      </c>
      <c r="E1594" s="485"/>
      <c r="F1594" s="485"/>
      <c r="G1594" s="485"/>
      <c r="H1594" s="485"/>
      <c r="I1594" s="120">
        <f>ROUNDDOWN(H1612,-2)</f>
        <v>221300</v>
      </c>
    </row>
    <row r="1595" spans="3:9" ht="28.2" thickTop="1">
      <c r="C1595" s="51" t="s">
        <v>1195</v>
      </c>
      <c r="D1595" s="52" t="s">
        <v>1196</v>
      </c>
      <c r="E1595" s="52" t="s">
        <v>1197</v>
      </c>
      <c r="F1595" s="52" t="s">
        <v>1198</v>
      </c>
      <c r="G1595" s="52" t="s">
        <v>1199</v>
      </c>
      <c r="H1595" s="53" t="s">
        <v>1200</v>
      </c>
    </row>
    <row r="1596" spans="3:9" ht="20.399999999999999" customHeight="1">
      <c r="C1596" s="290" t="s">
        <v>1201</v>
      </c>
      <c r="D1596" s="182" t="s">
        <v>1202</v>
      </c>
      <c r="E1596" s="70"/>
      <c r="F1596" s="70"/>
      <c r="G1596" s="70"/>
      <c r="H1596" s="71"/>
    </row>
    <row r="1597" spans="3:9" ht="20.399999999999999" customHeight="1">
      <c r="C1597" s="281">
        <v>1</v>
      </c>
      <c r="D1597" s="182" t="s">
        <v>5</v>
      </c>
      <c r="E1597" s="176" t="s">
        <v>6</v>
      </c>
      <c r="F1597" s="282">
        <v>0.4</v>
      </c>
      <c r="G1597" s="283">
        <f>VLOOKUP(D1597,upahbahan,3,FALSE)</f>
        <v>100000</v>
      </c>
      <c r="H1597" s="284">
        <f>F1597*G1597</f>
        <v>40000</v>
      </c>
    </row>
    <row r="1598" spans="3:9" ht="20.399999999999999" customHeight="1">
      <c r="C1598" s="281">
        <v>2</v>
      </c>
      <c r="D1598" s="182" t="s">
        <v>7</v>
      </c>
      <c r="E1598" s="176" t="s">
        <v>6</v>
      </c>
      <c r="F1598" s="282">
        <v>0.2</v>
      </c>
      <c r="G1598" s="283">
        <f>VLOOKUP(D1598,upahbahan,3,FALSE)</f>
        <v>135000</v>
      </c>
      <c r="H1598" s="284">
        <f t="shared" ref="H1598:H1600" si="155">F1598*G1598</f>
        <v>27000</v>
      </c>
    </row>
    <row r="1599" spans="3:9" ht="20.399999999999999" customHeight="1">
      <c r="C1599" s="281">
        <v>3</v>
      </c>
      <c r="D1599" s="182" t="s">
        <v>18</v>
      </c>
      <c r="E1599" s="176" t="s">
        <v>6</v>
      </c>
      <c r="F1599" s="282">
        <v>0.02</v>
      </c>
      <c r="G1599" s="283">
        <f>VLOOKUP(D1599,upahbahan,3,FALSE)</f>
        <v>150000</v>
      </c>
      <c r="H1599" s="284">
        <f t="shared" si="155"/>
        <v>3000</v>
      </c>
    </row>
    <row r="1600" spans="3:9" ht="20.399999999999999" customHeight="1">
      <c r="C1600" s="281">
        <v>4</v>
      </c>
      <c r="D1600" s="182" t="s">
        <v>19</v>
      </c>
      <c r="E1600" s="176" t="s">
        <v>6</v>
      </c>
      <c r="F1600" s="282">
        <v>7.0000000000000001E-3</v>
      </c>
      <c r="G1600" s="283">
        <f>VLOOKUP(D1600,upahbahan,3,FALSE)</f>
        <v>160000</v>
      </c>
      <c r="H1600" s="284">
        <f t="shared" si="155"/>
        <v>1120</v>
      </c>
    </row>
    <row r="1601" spans="3:9" ht="20.399999999999999" customHeight="1">
      <c r="C1601" s="66" t="s">
        <v>1208</v>
      </c>
      <c r="D1601" s="67"/>
      <c r="E1601" s="67"/>
      <c r="F1601" s="142"/>
      <c r="G1601" s="153"/>
      <c r="H1601" s="284">
        <f>SUM(H1597:H1600)</f>
        <v>71120</v>
      </c>
      <c r="I1601" s="320"/>
    </row>
    <row r="1602" spans="3:9" ht="20.399999999999999" customHeight="1">
      <c r="C1602" s="290" t="s">
        <v>1209</v>
      </c>
      <c r="D1602" s="182" t="s">
        <v>1210</v>
      </c>
      <c r="E1602" s="70"/>
      <c r="F1602" s="70"/>
      <c r="G1602" s="70"/>
      <c r="H1602" s="71"/>
    </row>
    <row r="1603" spans="3:9" ht="20.399999999999999" customHeight="1">
      <c r="C1603" s="310" t="s">
        <v>1203</v>
      </c>
      <c r="D1603" s="182" t="s">
        <v>437</v>
      </c>
      <c r="E1603" s="176" t="s">
        <v>44</v>
      </c>
      <c r="F1603" s="282">
        <v>26</v>
      </c>
      <c r="G1603" s="283">
        <f>VLOOKUP(D1603,upahbahan,3,FALSE)</f>
        <v>2900</v>
      </c>
      <c r="H1603" s="284">
        <f t="shared" ref="H1603:H1606" si="156">F1603*G1603</f>
        <v>75400</v>
      </c>
    </row>
    <row r="1604" spans="3:9" ht="20.399999999999999" customHeight="1">
      <c r="C1604" s="310" t="s">
        <v>1204</v>
      </c>
      <c r="D1604" s="182" t="s">
        <v>2332</v>
      </c>
      <c r="E1604" s="176" t="s">
        <v>65</v>
      </c>
      <c r="F1604" s="282">
        <v>9.3000000000000007</v>
      </c>
      <c r="G1604" s="283">
        <f>VLOOKUP(D1604,upahbahan,3,FALSE)</f>
        <v>1530</v>
      </c>
      <c r="H1604" s="284">
        <f t="shared" si="156"/>
        <v>14229.000000000002</v>
      </c>
    </row>
    <row r="1605" spans="3:9" ht="20.399999999999999" customHeight="1">
      <c r="C1605" s="310" t="s">
        <v>1205</v>
      </c>
      <c r="D1605" s="182" t="s">
        <v>562</v>
      </c>
      <c r="E1605" s="176" t="s">
        <v>65</v>
      </c>
      <c r="F1605" s="282">
        <v>1.94</v>
      </c>
      <c r="G1605" s="283">
        <f>VLOOKUP(D1605,upahbahan,3,FALSE)</f>
        <v>18000</v>
      </c>
      <c r="H1605" s="284">
        <f t="shared" si="156"/>
        <v>34920</v>
      </c>
    </row>
    <row r="1606" spans="3:9" ht="20.399999999999999" customHeight="1">
      <c r="C1606" s="310" t="s">
        <v>1206</v>
      </c>
      <c r="D1606" s="285" t="s">
        <v>85</v>
      </c>
      <c r="E1606" s="176" t="s">
        <v>42</v>
      </c>
      <c r="F1606" s="282">
        <v>1.7999999999999999E-2</v>
      </c>
      <c r="G1606" s="283">
        <f>VLOOKUP(D1606,upahbahan,3,FALSE)</f>
        <v>310500</v>
      </c>
      <c r="H1606" s="284">
        <f t="shared" si="156"/>
        <v>5589</v>
      </c>
    </row>
    <row r="1607" spans="3:9" ht="20.399999999999999" customHeight="1">
      <c r="C1607" s="66" t="s">
        <v>1214</v>
      </c>
      <c r="D1607" s="67"/>
      <c r="E1607" s="67"/>
      <c r="F1607" s="67"/>
      <c r="G1607" s="69"/>
      <c r="H1607" s="284">
        <f>SUM(H1603:H1606)</f>
        <v>130138</v>
      </c>
    </row>
    <row r="1608" spans="3:9" ht="20.399999999999999" customHeight="1">
      <c r="C1608" s="321" t="s">
        <v>1215</v>
      </c>
      <c r="D1608" s="182" t="s">
        <v>1216</v>
      </c>
      <c r="E1608" s="70"/>
      <c r="F1608" s="70"/>
      <c r="G1608" s="70"/>
      <c r="H1608" s="71"/>
    </row>
    <row r="1609" spans="3:9" ht="20.399999999999999" customHeight="1">
      <c r="C1609" s="66" t="s">
        <v>1217</v>
      </c>
      <c r="D1609" s="67"/>
      <c r="E1609" s="67"/>
      <c r="F1609" s="67"/>
      <c r="G1609" s="69"/>
      <c r="H1609" s="292">
        <v>0</v>
      </c>
    </row>
    <row r="1610" spans="3:9" ht="20.399999999999999" customHeight="1">
      <c r="C1610" s="293" t="s">
        <v>1218</v>
      </c>
      <c r="D1610" s="294" t="s">
        <v>1219</v>
      </c>
      <c r="E1610" s="295"/>
      <c r="F1610" s="295"/>
      <c r="G1610" s="296"/>
      <c r="H1610" s="284">
        <f>H1609+H1607+H1601</f>
        <v>201258</v>
      </c>
    </row>
    <row r="1611" spans="3:9" ht="20.399999999999999" customHeight="1">
      <c r="C1611" s="293" t="s">
        <v>1220</v>
      </c>
      <c r="D1611" s="294" t="s">
        <v>1321</v>
      </c>
      <c r="E1611" s="295"/>
      <c r="F1611" s="296"/>
      <c r="G1611" s="298">
        <f>$M$8</f>
        <v>0.1</v>
      </c>
      <c r="H1611" s="284">
        <f>H1610*G1611</f>
        <v>20125.800000000003</v>
      </c>
    </row>
    <row r="1612" spans="3:9" ht="20.399999999999999" customHeight="1" thickBot="1">
      <c r="C1612" s="299" t="s">
        <v>1221</v>
      </c>
      <c r="D1612" s="300" t="s">
        <v>1222</v>
      </c>
      <c r="E1612" s="301"/>
      <c r="F1612" s="301"/>
      <c r="G1612" s="302"/>
      <c r="H1612" s="303">
        <f>SUM(H1610:H1611)</f>
        <v>221383.8</v>
      </c>
    </row>
    <row r="1613" spans="3:9" ht="14.4" thickTop="1">
      <c r="C1613" s="289"/>
      <c r="D1613" s="297"/>
      <c r="E1613" s="297"/>
      <c r="F1613" s="297"/>
      <c r="G1613" s="297"/>
      <c r="H1613" s="139"/>
    </row>
    <row r="1614" spans="3:9">
      <c r="C1614" s="289"/>
      <c r="D1614" s="297"/>
      <c r="E1614" s="297"/>
      <c r="F1614" s="297"/>
      <c r="G1614" s="297"/>
      <c r="H1614" s="139"/>
    </row>
    <row r="1615" spans="3:9">
      <c r="C1615" s="126" t="s">
        <v>2980</v>
      </c>
      <c r="D1615" s="138" t="s">
        <v>2981</v>
      </c>
      <c r="E1615" s="297"/>
      <c r="F1615" s="297"/>
      <c r="G1615" s="297"/>
      <c r="H1615" s="139"/>
    </row>
    <row r="1616" spans="3:9" ht="14.4" thickBot="1">
      <c r="C1616" s="47" t="s">
        <v>2982</v>
      </c>
      <c r="D1616" s="485" t="s">
        <v>2983</v>
      </c>
      <c r="E1616" s="485"/>
      <c r="F1616" s="485"/>
      <c r="G1616" s="485"/>
      <c r="H1616" s="485"/>
      <c r="I1616" s="120">
        <f>ROUNDDOWN(H1633,-2)</f>
        <v>499600</v>
      </c>
    </row>
    <row r="1617" spans="3:9" ht="28.2" thickTop="1">
      <c r="C1617" s="51" t="s">
        <v>1195</v>
      </c>
      <c r="D1617" s="52" t="s">
        <v>1196</v>
      </c>
      <c r="E1617" s="52" t="s">
        <v>1197</v>
      </c>
      <c r="F1617" s="52" t="s">
        <v>1198</v>
      </c>
      <c r="G1617" s="52" t="s">
        <v>1199</v>
      </c>
      <c r="H1617" s="53" t="s">
        <v>1200</v>
      </c>
    </row>
    <row r="1618" spans="3:9" ht="20.399999999999999" customHeight="1">
      <c r="C1618" s="290" t="s">
        <v>1201</v>
      </c>
      <c r="D1618" s="182" t="s">
        <v>1202</v>
      </c>
      <c r="E1618" s="70"/>
      <c r="F1618" s="70"/>
      <c r="G1618" s="70"/>
      <c r="H1618" s="71"/>
    </row>
    <row r="1619" spans="3:9" ht="20.399999999999999" customHeight="1">
      <c r="C1619" s="281">
        <v>1</v>
      </c>
      <c r="D1619" s="182" t="s">
        <v>5</v>
      </c>
      <c r="E1619" s="176" t="s">
        <v>6</v>
      </c>
      <c r="F1619" s="315">
        <v>1</v>
      </c>
      <c r="G1619" s="283">
        <f>VLOOKUP(D1619,upahbahan,3,FALSE)</f>
        <v>100000</v>
      </c>
      <c r="H1619" s="284">
        <f t="shared" ref="H1619:H1622" si="157">F1619*G1619</f>
        <v>100000</v>
      </c>
    </row>
    <row r="1620" spans="3:9" ht="20.399999999999999" customHeight="1">
      <c r="C1620" s="281">
        <v>2</v>
      </c>
      <c r="D1620" s="182" t="s">
        <v>7</v>
      </c>
      <c r="E1620" s="176" t="s">
        <v>6</v>
      </c>
      <c r="F1620" s="315">
        <v>0.5</v>
      </c>
      <c r="G1620" s="283">
        <f>VLOOKUP(D1620,upahbahan,3,FALSE)</f>
        <v>135000</v>
      </c>
      <c r="H1620" s="284">
        <f t="shared" si="157"/>
        <v>67500</v>
      </c>
    </row>
    <row r="1621" spans="3:9" ht="20.399999999999999" customHeight="1">
      <c r="C1621" s="281">
        <v>3</v>
      </c>
      <c r="D1621" s="182" t="s">
        <v>18</v>
      </c>
      <c r="E1621" s="176" t="s">
        <v>6</v>
      </c>
      <c r="F1621" s="315">
        <v>0.05</v>
      </c>
      <c r="G1621" s="283">
        <f>VLOOKUP(D1621,upahbahan,3,FALSE)</f>
        <v>150000</v>
      </c>
      <c r="H1621" s="284">
        <f t="shared" si="157"/>
        <v>7500</v>
      </c>
    </row>
    <row r="1622" spans="3:9" ht="20.399999999999999" customHeight="1">
      <c r="C1622" s="281">
        <v>4</v>
      </c>
      <c r="D1622" s="182" t="s">
        <v>19</v>
      </c>
      <c r="E1622" s="176" t="s">
        <v>6</v>
      </c>
      <c r="F1622" s="315">
        <v>1.67E-2</v>
      </c>
      <c r="G1622" s="283">
        <f>VLOOKUP(D1622,upahbahan,3,FALSE)</f>
        <v>160000</v>
      </c>
      <c r="H1622" s="284">
        <f t="shared" si="157"/>
        <v>2672</v>
      </c>
    </row>
    <row r="1623" spans="3:9" ht="20.399999999999999" customHeight="1">
      <c r="C1623" s="66" t="s">
        <v>1208</v>
      </c>
      <c r="D1623" s="67"/>
      <c r="E1623" s="67"/>
      <c r="F1623" s="142"/>
      <c r="G1623" s="153"/>
      <c r="H1623" s="284">
        <f>SUM(H1619:H1622)</f>
        <v>177672</v>
      </c>
      <c r="I1623" s="320"/>
    </row>
    <row r="1624" spans="3:9" ht="20.399999999999999" customHeight="1">
      <c r="C1624" s="290" t="s">
        <v>1209</v>
      </c>
      <c r="D1624" s="182" t="s">
        <v>1210</v>
      </c>
      <c r="E1624" s="70"/>
      <c r="F1624" s="70"/>
      <c r="G1624" s="70"/>
      <c r="H1624" s="71"/>
    </row>
    <row r="1625" spans="3:9" ht="20.399999999999999" customHeight="1">
      <c r="C1625" s="310" t="s">
        <v>1203</v>
      </c>
      <c r="D1625" s="182" t="s">
        <v>419</v>
      </c>
      <c r="E1625" s="176" t="s">
        <v>44</v>
      </c>
      <c r="F1625" s="282">
        <v>11.67</v>
      </c>
      <c r="G1625" s="283">
        <f>VLOOKUP(D1625,upahbahan,3,FALSE)</f>
        <v>22000</v>
      </c>
      <c r="H1625" s="284">
        <f t="shared" ref="H1625:H1627" si="158">F1625*G1625</f>
        <v>256740</v>
      </c>
    </row>
    <row r="1626" spans="3:9" ht="20.399999999999999" customHeight="1">
      <c r="C1626" s="310" t="s">
        <v>1204</v>
      </c>
      <c r="D1626" s="182" t="s">
        <v>2332</v>
      </c>
      <c r="E1626" s="176" t="s">
        <v>65</v>
      </c>
      <c r="F1626" s="282">
        <v>9.3000000000000007</v>
      </c>
      <c r="G1626" s="283">
        <f>VLOOKUP(D1626,upahbahan,3,FALSE)</f>
        <v>1530</v>
      </c>
      <c r="H1626" s="284">
        <f t="shared" si="158"/>
        <v>14229.000000000002</v>
      </c>
    </row>
    <row r="1627" spans="3:9" ht="20.399999999999999" customHeight="1">
      <c r="C1627" s="310" t="s">
        <v>1206</v>
      </c>
      <c r="D1627" s="285" t="s">
        <v>85</v>
      </c>
      <c r="E1627" s="176" t="s">
        <v>42</v>
      </c>
      <c r="F1627" s="282">
        <v>1.7999999999999999E-2</v>
      </c>
      <c r="G1627" s="283">
        <f>VLOOKUP(D1627,upahbahan,3,FALSE)</f>
        <v>310500</v>
      </c>
      <c r="H1627" s="284">
        <f t="shared" si="158"/>
        <v>5589</v>
      </c>
    </row>
    <row r="1628" spans="3:9" ht="20.399999999999999" customHeight="1">
      <c r="C1628" s="66" t="s">
        <v>1214</v>
      </c>
      <c r="D1628" s="67"/>
      <c r="E1628" s="67"/>
      <c r="F1628" s="67"/>
      <c r="G1628" s="69"/>
      <c r="H1628" s="284">
        <f>SUM(H1625:H1627)</f>
        <v>276558</v>
      </c>
    </row>
    <row r="1629" spans="3:9" ht="20.399999999999999" customHeight="1">
      <c r="C1629" s="321" t="s">
        <v>1215</v>
      </c>
      <c r="D1629" s="182" t="s">
        <v>1216</v>
      </c>
      <c r="E1629" s="70"/>
      <c r="F1629" s="70"/>
      <c r="G1629" s="70"/>
      <c r="H1629" s="71"/>
    </row>
    <row r="1630" spans="3:9" ht="20.399999999999999" customHeight="1">
      <c r="C1630" s="66" t="s">
        <v>1217</v>
      </c>
      <c r="D1630" s="67"/>
      <c r="E1630" s="67"/>
      <c r="F1630" s="67"/>
      <c r="G1630" s="69"/>
      <c r="H1630" s="292">
        <v>0</v>
      </c>
    </row>
    <row r="1631" spans="3:9" ht="20.399999999999999" customHeight="1">
      <c r="C1631" s="293" t="s">
        <v>1218</v>
      </c>
      <c r="D1631" s="294" t="s">
        <v>1219</v>
      </c>
      <c r="E1631" s="295"/>
      <c r="F1631" s="295"/>
      <c r="G1631" s="296"/>
      <c r="H1631" s="284">
        <f>H1630+H1628+H1623</f>
        <v>454230</v>
      </c>
    </row>
    <row r="1632" spans="3:9" ht="20.399999999999999" customHeight="1">
      <c r="C1632" s="293" t="s">
        <v>1220</v>
      </c>
      <c r="D1632" s="294" t="s">
        <v>1321</v>
      </c>
      <c r="E1632" s="295"/>
      <c r="F1632" s="296"/>
      <c r="G1632" s="298">
        <f>$M$8</f>
        <v>0.1</v>
      </c>
      <c r="H1632" s="284">
        <f>H1631*G1632</f>
        <v>45423</v>
      </c>
    </row>
    <row r="1633" spans="3:9" ht="20.399999999999999" customHeight="1" thickBot="1">
      <c r="C1633" s="299" t="s">
        <v>1221</v>
      </c>
      <c r="D1633" s="300" t="s">
        <v>1222</v>
      </c>
      <c r="E1633" s="301"/>
      <c r="F1633" s="301"/>
      <c r="G1633" s="302"/>
      <c r="H1633" s="303">
        <f>SUM(H1631:H1632)</f>
        <v>499653</v>
      </c>
    </row>
    <row r="1634" spans="3:9" ht="14.4" thickTop="1">
      <c r="C1634" s="289"/>
      <c r="D1634" s="297"/>
      <c r="E1634" s="297"/>
      <c r="F1634" s="297"/>
      <c r="G1634" s="297"/>
      <c r="H1634" s="139"/>
    </row>
    <row r="1635" spans="3:9" ht="14.4" thickBot="1">
      <c r="C1635" s="47" t="s">
        <v>2984</v>
      </c>
      <c r="D1635" s="485" t="s">
        <v>2985</v>
      </c>
      <c r="E1635" s="485"/>
      <c r="F1635" s="485"/>
      <c r="G1635" s="485"/>
      <c r="H1635" s="485"/>
      <c r="I1635" s="120">
        <f>ROUNDDOWN(H1652,-2)</f>
        <v>414100</v>
      </c>
    </row>
    <row r="1636" spans="3:9" ht="28.2" thickTop="1">
      <c r="C1636" s="51" t="s">
        <v>1195</v>
      </c>
      <c r="D1636" s="52" t="s">
        <v>1196</v>
      </c>
      <c r="E1636" s="52" t="s">
        <v>1197</v>
      </c>
      <c r="F1636" s="52" t="s">
        <v>1198</v>
      </c>
      <c r="G1636" s="52" t="s">
        <v>1199</v>
      </c>
      <c r="H1636" s="53" t="s">
        <v>1200</v>
      </c>
    </row>
    <row r="1637" spans="3:9" ht="20.399999999999999" customHeight="1">
      <c r="C1637" s="290" t="s">
        <v>1201</v>
      </c>
      <c r="D1637" s="182" t="s">
        <v>1202</v>
      </c>
      <c r="E1637" s="70"/>
      <c r="F1637" s="70"/>
      <c r="G1637" s="70"/>
      <c r="H1637" s="71"/>
    </row>
    <row r="1638" spans="3:9" ht="20.399999999999999" customHeight="1">
      <c r="C1638" s="281">
        <v>1</v>
      </c>
      <c r="D1638" s="182" t="s">
        <v>5</v>
      </c>
      <c r="E1638" s="176" t="s">
        <v>6</v>
      </c>
      <c r="F1638" s="282">
        <v>0.9</v>
      </c>
      <c r="G1638" s="283">
        <f>VLOOKUP(D1638,upahbahan,3,FALSE)</f>
        <v>100000</v>
      </c>
      <c r="H1638" s="284">
        <f>F1638*G1638</f>
        <v>90000</v>
      </c>
    </row>
    <row r="1639" spans="3:9" ht="20.399999999999999" customHeight="1">
      <c r="C1639" s="281">
        <v>2</v>
      </c>
      <c r="D1639" s="182" t="s">
        <v>7</v>
      </c>
      <c r="E1639" s="176" t="s">
        <v>6</v>
      </c>
      <c r="F1639" s="282">
        <v>0.45</v>
      </c>
      <c r="G1639" s="283">
        <f>VLOOKUP(D1639,upahbahan,3,FALSE)</f>
        <v>135000</v>
      </c>
      <c r="H1639" s="284">
        <f>F1639*G1639</f>
        <v>60750</v>
      </c>
    </row>
    <row r="1640" spans="3:9" ht="20.399999999999999" customHeight="1">
      <c r="C1640" s="281">
        <v>3</v>
      </c>
      <c r="D1640" s="182" t="s">
        <v>18</v>
      </c>
      <c r="E1640" s="176" t="s">
        <v>6</v>
      </c>
      <c r="F1640" s="282">
        <v>4.4999999999999998E-2</v>
      </c>
      <c r="G1640" s="283">
        <f>VLOOKUP(D1640,upahbahan,3,FALSE)</f>
        <v>150000</v>
      </c>
      <c r="H1640" s="284">
        <f>F1640*G1640</f>
        <v>6750</v>
      </c>
    </row>
    <row r="1641" spans="3:9" ht="20.399999999999999" customHeight="1">
      <c r="C1641" s="281">
        <v>4</v>
      </c>
      <c r="D1641" s="182" t="s">
        <v>19</v>
      </c>
      <c r="E1641" s="176" t="s">
        <v>6</v>
      </c>
      <c r="F1641" s="282">
        <v>1.4999999999999999E-2</v>
      </c>
      <c r="G1641" s="283">
        <f>VLOOKUP(D1641,upahbahan,3,FALSE)</f>
        <v>160000</v>
      </c>
      <c r="H1641" s="284">
        <f>F1641*G1641</f>
        <v>2400</v>
      </c>
    </row>
    <row r="1642" spans="3:9" ht="20.399999999999999" customHeight="1">
      <c r="C1642" s="66" t="s">
        <v>1208</v>
      </c>
      <c r="D1642" s="67"/>
      <c r="E1642" s="67"/>
      <c r="F1642" s="142"/>
      <c r="G1642" s="153"/>
      <c r="H1642" s="284">
        <f>SUM(H1638:H1641)</f>
        <v>159900</v>
      </c>
      <c r="I1642" s="320"/>
    </row>
    <row r="1643" spans="3:9" ht="20.399999999999999" customHeight="1">
      <c r="C1643" s="290" t="s">
        <v>1209</v>
      </c>
      <c r="D1643" s="182" t="s">
        <v>1210</v>
      </c>
      <c r="E1643" s="70"/>
      <c r="F1643" s="70"/>
      <c r="G1643" s="70"/>
      <c r="H1643" s="71"/>
    </row>
    <row r="1644" spans="3:9" ht="20.399999999999999" customHeight="1">
      <c r="C1644" s="310" t="s">
        <v>1203</v>
      </c>
      <c r="D1644" s="182" t="s">
        <v>420</v>
      </c>
      <c r="E1644" s="176" t="s">
        <v>44</v>
      </c>
      <c r="F1644" s="282">
        <v>6.56</v>
      </c>
      <c r="G1644" s="283">
        <f>VLOOKUP(D1644,upahbahan,3,FALSE)</f>
        <v>30000</v>
      </c>
      <c r="H1644" s="284">
        <f t="shared" ref="H1644:H1646" si="159">F1644*G1644</f>
        <v>196800</v>
      </c>
    </row>
    <row r="1645" spans="3:9" ht="20.399999999999999" customHeight="1">
      <c r="C1645" s="310" t="s">
        <v>1204</v>
      </c>
      <c r="D1645" s="182" t="s">
        <v>2334</v>
      </c>
      <c r="E1645" s="176" t="s">
        <v>65</v>
      </c>
      <c r="F1645" s="282">
        <v>9.3000000000000007</v>
      </c>
      <c r="G1645" s="283">
        <f>VLOOKUP(D1645,upahbahan,3,FALSE)</f>
        <v>1530</v>
      </c>
      <c r="H1645" s="284">
        <f t="shared" si="159"/>
        <v>14229.000000000002</v>
      </c>
    </row>
    <row r="1646" spans="3:9" ht="20.399999999999999" customHeight="1">
      <c r="C1646" s="310" t="s">
        <v>1206</v>
      </c>
      <c r="D1646" s="285" t="s">
        <v>85</v>
      </c>
      <c r="E1646" s="176" t="s">
        <v>42</v>
      </c>
      <c r="F1646" s="282">
        <v>1.7999999999999999E-2</v>
      </c>
      <c r="G1646" s="283">
        <f>VLOOKUP(D1646,upahbahan,3,FALSE)</f>
        <v>310500</v>
      </c>
      <c r="H1646" s="284">
        <f t="shared" si="159"/>
        <v>5589</v>
      </c>
    </row>
    <row r="1647" spans="3:9" ht="20.399999999999999" customHeight="1">
      <c r="C1647" s="66" t="s">
        <v>1214</v>
      </c>
      <c r="D1647" s="67"/>
      <c r="E1647" s="67"/>
      <c r="F1647" s="67"/>
      <c r="G1647" s="69"/>
      <c r="H1647" s="284">
        <f>SUM(H1644:H1646)</f>
        <v>216618</v>
      </c>
    </row>
    <row r="1648" spans="3:9" ht="20.399999999999999" customHeight="1">
      <c r="C1648" s="321" t="s">
        <v>1215</v>
      </c>
      <c r="D1648" s="182" t="s">
        <v>1216</v>
      </c>
      <c r="E1648" s="70"/>
      <c r="F1648" s="70"/>
      <c r="G1648" s="70"/>
      <c r="H1648" s="71"/>
    </row>
    <row r="1649" spans="3:9" ht="20.399999999999999" customHeight="1">
      <c r="C1649" s="66" t="s">
        <v>1217</v>
      </c>
      <c r="D1649" s="67"/>
      <c r="E1649" s="67"/>
      <c r="F1649" s="67"/>
      <c r="G1649" s="69"/>
      <c r="H1649" s="292">
        <v>0</v>
      </c>
    </row>
    <row r="1650" spans="3:9" ht="20.399999999999999" customHeight="1">
      <c r="C1650" s="293" t="s">
        <v>1218</v>
      </c>
      <c r="D1650" s="294" t="s">
        <v>1219</v>
      </c>
      <c r="E1650" s="295"/>
      <c r="F1650" s="295"/>
      <c r="G1650" s="296"/>
      <c r="H1650" s="284">
        <f>H1649+H1647+H1642</f>
        <v>376518</v>
      </c>
    </row>
    <row r="1651" spans="3:9" ht="20.399999999999999" customHeight="1">
      <c r="C1651" s="293" t="s">
        <v>1220</v>
      </c>
      <c r="D1651" s="294" t="s">
        <v>1321</v>
      </c>
      <c r="E1651" s="295"/>
      <c r="F1651" s="296"/>
      <c r="G1651" s="298">
        <f>$M$8</f>
        <v>0.1</v>
      </c>
      <c r="H1651" s="284">
        <f>H1650*G1651</f>
        <v>37651.800000000003</v>
      </c>
    </row>
    <row r="1652" spans="3:9" ht="20.399999999999999" customHeight="1" thickBot="1">
      <c r="C1652" s="299" t="s">
        <v>1221</v>
      </c>
      <c r="D1652" s="300" t="s">
        <v>1222</v>
      </c>
      <c r="E1652" s="301"/>
      <c r="F1652" s="301"/>
      <c r="G1652" s="302"/>
      <c r="H1652" s="303">
        <f>SUM(H1650:H1651)</f>
        <v>414169.8</v>
      </c>
    </row>
    <row r="1653" spans="3:9" ht="14.4" thickTop="1">
      <c r="C1653" s="289"/>
      <c r="D1653" s="297"/>
      <c r="E1653" s="297"/>
      <c r="F1653" s="297"/>
      <c r="G1653" s="297"/>
      <c r="H1653" s="139"/>
    </row>
    <row r="1654" spans="3:9" ht="14.4" thickBot="1">
      <c r="C1654" s="47" t="s">
        <v>2986</v>
      </c>
      <c r="D1654" s="485" t="s">
        <v>2987</v>
      </c>
      <c r="E1654" s="485"/>
      <c r="F1654" s="485"/>
      <c r="G1654" s="485"/>
      <c r="H1654" s="485"/>
      <c r="I1654" s="120">
        <f>ROUNDDOWN(H1671,-2)</f>
        <v>212400</v>
      </c>
    </row>
    <row r="1655" spans="3:9" ht="28.2" thickTop="1">
      <c r="C1655" s="51" t="s">
        <v>1195</v>
      </c>
      <c r="D1655" s="52" t="s">
        <v>1196</v>
      </c>
      <c r="E1655" s="52" t="s">
        <v>1197</v>
      </c>
      <c r="F1655" s="52" t="s">
        <v>1198</v>
      </c>
      <c r="G1655" s="52" t="s">
        <v>1199</v>
      </c>
      <c r="H1655" s="53" t="s">
        <v>1200</v>
      </c>
    </row>
    <row r="1656" spans="3:9" ht="20.399999999999999" customHeight="1">
      <c r="C1656" s="290" t="s">
        <v>1201</v>
      </c>
      <c r="D1656" s="182" t="s">
        <v>1202</v>
      </c>
      <c r="E1656" s="70"/>
      <c r="F1656" s="70"/>
      <c r="G1656" s="70"/>
      <c r="H1656" s="71"/>
    </row>
    <row r="1657" spans="3:9" ht="20.399999999999999" customHeight="1">
      <c r="C1657" s="281">
        <v>1</v>
      </c>
      <c r="D1657" s="182" t="s">
        <v>5</v>
      </c>
      <c r="E1657" s="176" t="s">
        <v>6</v>
      </c>
      <c r="F1657" s="282">
        <v>0.4</v>
      </c>
      <c r="G1657" s="283">
        <f>VLOOKUP(D1657,upahbahan,3,FALSE)</f>
        <v>100000</v>
      </c>
      <c r="H1657" s="284">
        <f t="shared" ref="H1657:H1660" si="160">F1657*G1657</f>
        <v>40000</v>
      </c>
    </row>
    <row r="1658" spans="3:9" ht="20.399999999999999" customHeight="1">
      <c r="C1658" s="281">
        <v>2</v>
      </c>
      <c r="D1658" s="182" t="s">
        <v>7</v>
      </c>
      <c r="E1658" s="176" t="s">
        <v>6</v>
      </c>
      <c r="F1658" s="282">
        <v>0.2</v>
      </c>
      <c r="G1658" s="283">
        <f>VLOOKUP(D1658,upahbahan,3,FALSE)</f>
        <v>135000</v>
      </c>
      <c r="H1658" s="284">
        <f t="shared" si="160"/>
        <v>27000</v>
      </c>
    </row>
    <row r="1659" spans="3:9" ht="20.399999999999999" customHeight="1">
      <c r="C1659" s="281">
        <v>3</v>
      </c>
      <c r="D1659" s="182" t="s">
        <v>18</v>
      </c>
      <c r="E1659" s="176" t="s">
        <v>6</v>
      </c>
      <c r="F1659" s="282">
        <v>0.02</v>
      </c>
      <c r="G1659" s="283">
        <f>VLOOKUP(D1659,upahbahan,3,FALSE)</f>
        <v>150000</v>
      </c>
      <c r="H1659" s="284">
        <f t="shared" si="160"/>
        <v>3000</v>
      </c>
    </row>
    <row r="1660" spans="3:9" ht="20.399999999999999" customHeight="1">
      <c r="C1660" s="281">
        <v>4</v>
      </c>
      <c r="D1660" s="182" t="s">
        <v>19</v>
      </c>
      <c r="E1660" s="176" t="s">
        <v>6</v>
      </c>
      <c r="F1660" s="282">
        <v>7.0000000000000001E-3</v>
      </c>
      <c r="G1660" s="283">
        <f>VLOOKUP(D1660,upahbahan,3,FALSE)</f>
        <v>160000</v>
      </c>
      <c r="H1660" s="284">
        <f t="shared" si="160"/>
        <v>1120</v>
      </c>
    </row>
    <row r="1661" spans="3:9" ht="20.399999999999999" customHeight="1">
      <c r="C1661" s="66" t="s">
        <v>1208</v>
      </c>
      <c r="D1661" s="67"/>
      <c r="E1661" s="67"/>
      <c r="F1661" s="142"/>
      <c r="G1661" s="153"/>
      <c r="H1661" s="284">
        <f>SUM(H1657:H1660)</f>
        <v>71120</v>
      </c>
      <c r="I1661" s="320"/>
    </row>
    <row r="1662" spans="3:9" ht="20.399999999999999" customHeight="1">
      <c r="C1662" s="290" t="s">
        <v>1209</v>
      </c>
      <c r="D1662" s="182" t="s">
        <v>1210</v>
      </c>
      <c r="E1662" s="70"/>
      <c r="F1662" s="70"/>
      <c r="G1662" s="70"/>
      <c r="H1662" s="71"/>
    </row>
    <row r="1663" spans="3:9" ht="20.399999999999999" customHeight="1">
      <c r="C1663" s="310" t="s">
        <v>1203</v>
      </c>
      <c r="D1663" s="182" t="s">
        <v>421</v>
      </c>
      <c r="E1663" s="176" t="s">
        <v>44</v>
      </c>
      <c r="F1663" s="282">
        <v>2.92</v>
      </c>
      <c r="G1663" s="283">
        <f>VLOOKUP(D1663,upahbahan,3,FALSE)</f>
        <v>35000</v>
      </c>
      <c r="H1663" s="284">
        <f t="shared" ref="H1663:H1665" si="161">F1663*G1663</f>
        <v>102200</v>
      </c>
    </row>
    <row r="1664" spans="3:9" ht="20.399999999999999" customHeight="1">
      <c r="C1664" s="310" t="s">
        <v>1204</v>
      </c>
      <c r="D1664" s="182" t="s">
        <v>2332</v>
      </c>
      <c r="E1664" s="176" t="s">
        <v>65</v>
      </c>
      <c r="F1664" s="282">
        <v>9.3000000000000007</v>
      </c>
      <c r="G1664" s="283">
        <f>VLOOKUP(D1664,upahbahan,3,FALSE)</f>
        <v>1530</v>
      </c>
      <c r="H1664" s="284">
        <f t="shared" si="161"/>
        <v>14229.000000000002</v>
      </c>
    </row>
    <row r="1665" spans="3:9" ht="20.399999999999999" customHeight="1">
      <c r="C1665" s="310" t="s">
        <v>1206</v>
      </c>
      <c r="D1665" s="285" t="s">
        <v>85</v>
      </c>
      <c r="E1665" s="176" t="s">
        <v>42</v>
      </c>
      <c r="F1665" s="282">
        <v>1.7999999999999999E-2</v>
      </c>
      <c r="G1665" s="283">
        <f>VLOOKUP(D1665,upahbahan,3,FALSE)</f>
        <v>310500</v>
      </c>
      <c r="H1665" s="284">
        <f t="shared" si="161"/>
        <v>5589</v>
      </c>
    </row>
    <row r="1666" spans="3:9" ht="20.399999999999999" customHeight="1">
      <c r="C1666" s="66" t="s">
        <v>1214</v>
      </c>
      <c r="D1666" s="67"/>
      <c r="E1666" s="67"/>
      <c r="F1666" s="67"/>
      <c r="G1666" s="69"/>
      <c r="H1666" s="284">
        <f>SUM(H1663:H1665)</f>
        <v>122018</v>
      </c>
    </row>
    <row r="1667" spans="3:9" ht="20.399999999999999" customHeight="1">
      <c r="C1667" s="321" t="s">
        <v>1215</v>
      </c>
      <c r="D1667" s="182" t="s">
        <v>1216</v>
      </c>
      <c r="E1667" s="70"/>
      <c r="F1667" s="70"/>
      <c r="G1667" s="70"/>
      <c r="H1667" s="71"/>
    </row>
    <row r="1668" spans="3:9" ht="20.399999999999999" customHeight="1">
      <c r="C1668" s="66" t="s">
        <v>1217</v>
      </c>
      <c r="D1668" s="67"/>
      <c r="E1668" s="67"/>
      <c r="F1668" s="67"/>
      <c r="G1668" s="69"/>
      <c r="H1668" s="292">
        <v>0</v>
      </c>
    </row>
    <row r="1669" spans="3:9" ht="20.399999999999999" customHeight="1">
      <c r="C1669" s="293" t="s">
        <v>1218</v>
      </c>
      <c r="D1669" s="294" t="s">
        <v>1219</v>
      </c>
      <c r="E1669" s="295"/>
      <c r="F1669" s="295"/>
      <c r="G1669" s="296"/>
      <c r="H1669" s="284">
        <f>H1668+H1666+H1661</f>
        <v>193138</v>
      </c>
    </row>
    <row r="1670" spans="3:9" ht="20.399999999999999" customHeight="1">
      <c r="C1670" s="293" t="s">
        <v>1220</v>
      </c>
      <c r="D1670" s="294" t="s">
        <v>1321</v>
      </c>
      <c r="E1670" s="295"/>
      <c r="F1670" s="296"/>
      <c r="G1670" s="298">
        <f>$M$8</f>
        <v>0.1</v>
      </c>
      <c r="H1670" s="284">
        <f>H1669*G1670</f>
        <v>19313.8</v>
      </c>
    </row>
    <row r="1671" spans="3:9" ht="20.399999999999999" customHeight="1" thickBot="1">
      <c r="C1671" s="299" t="s">
        <v>1221</v>
      </c>
      <c r="D1671" s="300" t="s">
        <v>1222</v>
      </c>
      <c r="E1671" s="301"/>
      <c r="F1671" s="301"/>
      <c r="G1671" s="302"/>
      <c r="H1671" s="303">
        <f>SUM(H1669:H1670)</f>
        <v>212451.8</v>
      </c>
    </row>
    <row r="1672" spans="3:9" ht="14.4" thickTop="1">
      <c r="C1672" s="289"/>
      <c r="D1672" s="297"/>
      <c r="E1672" s="297"/>
      <c r="F1672" s="297"/>
      <c r="G1672" s="297"/>
      <c r="H1672" s="139"/>
    </row>
    <row r="1673" spans="3:9" ht="14.4" thickBot="1">
      <c r="C1673" s="47" t="s">
        <v>2988</v>
      </c>
      <c r="D1673" s="485" t="s">
        <v>2989</v>
      </c>
      <c r="E1673" s="485"/>
      <c r="F1673" s="485"/>
      <c r="G1673" s="485"/>
      <c r="H1673" s="485"/>
      <c r="I1673" s="120">
        <f>ROUNDDOWN(H1690,-2)</f>
        <v>499600</v>
      </c>
    </row>
    <row r="1674" spans="3:9" ht="28.2" thickTop="1">
      <c r="C1674" s="51" t="s">
        <v>1195</v>
      </c>
      <c r="D1674" s="52" t="s">
        <v>1196</v>
      </c>
      <c r="E1674" s="52" t="s">
        <v>1197</v>
      </c>
      <c r="F1674" s="52" t="s">
        <v>1198</v>
      </c>
      <c r="G1674" s="52" t="s">
        <v>1199</v>
      </c>
      <c r="H1674" s="53" t="s">
        <v>1200</v>
      </c>
    </row>
    <row r="1675" spans="3:9" ht="20.399999999999999" customHeight="1">
      <c r="C1675" s="290" t="s">
        <v>1201</v>
      </c>
      <c r="D1675" s="182" t="s">
        <v>1202</v>
      </c>
      <c r="E1675" s="70"/>
      <c r="F1675" s="70"/>
      <c r="G1675" s="70"/>
      <c r="H1675" s="71"/>
    </row>
    <row r="1676" spans="3:9" ht="20.399999999999999" customHeight="1">
      <c r="C1676" s="281">
        <v>1</v>
      </c>
      <c r="D1676" s="182" t="s">
        <v>5</v>
      </c>
      <c r="E1676" s="176" t="s">
        <v>6</v>
      </c>
      <c r="F1676" s="315">
        <v>1</v>
      </c>
      <c r="G1676" s="283">
        <f>VLOOKUP(D1676,upahbahan,3,FALSE)</f>
        <v>100000</v>
      </c>
      <c r="H1676" s="284">
        <f t="shared" ref="H1676:H1679" si="162">F1676*G1676</f>
        <v>100000</v>
      </c>
    </row>
    <row r="1677" spans="3:9" ht="20.399999999999999" customHeight="1">
      <c r="C1677" s="281">
        <v>2</v>
      </c>
      <c r="D1677" s="182" t="s">
        <v>7</v>
      </c>
      <c r="E1677" s="176" t="s">
        <v>6</v>
      </c>
      <c r="F1677" s="315">
        <v>0.5</v>
      </c>
      <c r="G1677" s="283">
        <f>VLOOKUP(D1677,upahbahan,3,FALSE)</f>
        <v>135000</v>
      </c>
      <c r="H1677" s="284">
        <f t="shared" si="162"/>
        <v>67500</v>
      </c>
    </row>
    <row r="1678" spans="3:9" ht="20.399999999999999" customHeight="1">
      <c r="C1678" s="281">
        <v>3</v>
      </c>
      <c r="D1678" s="182" t="s">
        <v>18</v>
      </c>
      <c r="E1678" s="176" t="s">
        <v>6</v>
      </c>
      <c r="F1678" s="315">
        <v>0.05</v>
      </c>
      <c r="G1678" s="283">
        <f>VLOOKUP(D1678,upahbahan,3,FALSE)</f>
        <v>150000</v>
      </c>
      <c r="H1678" s="284">
        <f t="shared" si="162"/>
        <v>7500</v>
      </c>
    </row>
    <row r="1679" spans="3:9" ht="20.399999999999999" customHeight="1">
      <c r="C1679" s="281">
        <v>4</v>
      </c>
      <c r="D1679" s="182" t="s">
        <v>19</v>
      </c>
      <c r="E1679" s="176" t="s">
        <v>6</v>
      </c>
      <c r="F1679" s="315">
        <v>1.67E-2</v>
      </c>
      <c r="G1679" s="283">
        <f>VLOOKUP(D1679,upahbahan,3,FALSE)</f>
        <v>160000</v>
      </c>
      <c r="H1679" s="284">
        <f t="shared" si="162"/>
        <v>2672</v>
      </c>
    </row>
    <row r="1680" spans="3:9" ht="20.399999999999999" customHeight="1">
      <c r="C1680" s="66" t="s">
        <v>1208</v>
      </c>
      <c r="D1680" s="67"/>
      <c r="E1680" s="67"/>
      <c r="F1680" s="142"/>
      <c r="G1680" s="153"/>
      <c r="H1680" s="284">
        <f>SUM(H1676:H1679)</f>
        <v>177672</v>
      </c>
      <c r="I1680" s="320"/>
    </row>
    <row r="1681" spans="3:9" ht="20.399999999999999" customHeight="1">
      <c r="C1681" s="290" t="s">
        <v>1209</v>
      </c>
      <c r="D1681" s="182" t="s">
        <v>1210</v>
      </c>
      <c r="E1681" s="70"/>
      <c r="F1681" s="70"/>
      <c r="G1681" s="70"/>
      <c r="H1681" s="71"/>
    </row>
    <row r="1682" spans="3:9" ht="20.399999999999999" customHeight="1">
      <c r="C1682" s="310" t="s">
        <v>1203</v>
      </c>
      <c r="D1682" s="182" t="s">
        <v>419</v>
      </c>
      <c r="E1682" s="176" t="s">
        <v>44</v>
      </c>
      <c r="F1682" s="282">
        <v>11.67</v>
      </c>
      <c r="G1682" s="283">
        <f>VLOOKUP(D1682,upahbahan,3,FALSE)</f>
        <v>22000</v>
      </c>
      <c r="H1682" s="284">
        <f t="shared" ref="H1682:H1684" si="163">F1682*G1682</f>
        <v>256740</v>
      </c>
    </row>
    <row r="1683" spans="3:9" ht="20.399999999999999" customHeight="1">
      <c r="C1683" s="310" t="s">
        <v>1204</v>
      </c>
      <c r="D1683" s="182" t="s">
        <v>2332</v>
      </c>
      <c r="E1683" s="176" t="s">
        <v>65</v>
      </c>
      <c r="F1683" s="282">
        <v>9.3000000000000007</v>
      </c>
      <c r="G1683" s="283">
        <f>VLOOKUP(D1683,upahbahan,3,FALSE)</f>
        <v>1530</v>
      </c>
      <c r="H1683" s="284">
        <f t="shared" si="163"/>
        <v>14229.000000000002</v>
      </c>
    </row>
    <row r="1684" spans="3:9" ht="20.399999999999999" customHeight="1">
      <c r="C1684" s="310" t="s">
        <v>1206</v>
      </c>
      <c r="D1684" s="285" t="s">
        <v>85</v>
      </c>
      <c r="E1684" s="176" t="s">
        <v>42</v>
      </c>
      <c r="F1684" s="282">
        <v>1.7999999999999999E-2</v>
      </c>
      <c r="G1684" s="283">
        <f>VLOOKUP(D1684,upahbahan,3,FALSE)</f>
        <v>310500</v>
      </c>
      <c r="H1684" s="284">
        <f t="shared" si="163"/>
        <v>5589</v>
      </c>
    </row>
    <row r="1685" spans="3:9" ht="20.399999999999999" customHeight="1">
      <c r="C1685" s="66" t="s">
        <v>1214</v>
      </c>
      <c r="D1685" s="67"/>
      <c r="E1685" s="67"/>
      <c r="F1685" s="67"/>
      <c r="G1685" s="69"/>
      <c r="H1685" s="284">
        <f>SUM(H1682:H1684)</f>
        <v>276558</v>
      </c>
    </row>
    <row r="1686" spans="3:9" ht="20.399999999999999" customHeight="1">
      <c r="C1686" s="321" t="s">
        <v>1215</v>
      </c>
      <c r="D1686" s="182" t="s">
        <v>1216</v>
      </c>
      <c r="E1686" s="70"/>
      <c r="F1686" s="70"/>
      <c r="G1686" s="70"/>
      <c r="H1686" s="71"/>
    </row>
    <row r="1687" spans="3:9" ht="20.399999999999999" customHeight="1">
      <c r="C1687" s="66" t="s">
        <v>1217</v>
      </c>
      <c r="D1687" s="67"/>
      <c r="E1687" s="67"/>
      <c r="F1687" s="67"/>
      <c r="G1687" s="69"/>
      <c r="H1687" s="292">
        <v>0</v>
      </c>
    </row>
    <row r="1688" spans="3:9" ht="20.399999999999999" customHeight="1">
      <c r="C1688" s="293" t="s">
        <v>1218</v>
      </c>
      <c r="D1688" s="294" t="s">
        <v>1219</v>
      </c>
      <c r="E1688" s="295"/>
      <c r="F1688" s="295"/>
      <c r="G1688" s="296"/>
      <c r="H1688" s="284">
        <f>H1687+H1685+H1680</f>
        <v>454230</v>
      </c>
    </row>
    <row r="1689" spans="3:9" ht="20.399999999999999" customHeight="1">
      <c r="C1689" s="293" t="s">
        <v>1220</v>
      </c>
      <c r="D1689" s="294" t="s">
        <v>1321</v>
      </c>
      <c r="E1689" s="295"/>
      <c r="F1689" s="296"/>
      <c r="G1689" s="298">
        <f>$M$8</f>
        <v>0.1</v>
      </c>
      <c r="H1689" s="284">
        <f>H1688*G1689</f>
        <v>45423</v>
      </c>
    </row>
    <row r="1690" spans="3:9" ht="20.399999999999999" customHeight="1" thickBot="1">
      <c r="C1690" s="299" t="s">
        <v>1221</v>
      </c>
      <c r="D1690" s="300" t="s">
        <v>1222</v>
      </c>
      <c r="E1690" s="301"/>
      <c r="F1690" s="301"/>
      <c r="G1690" s="302"/>
      <c r="H1690" s="303">
        <f>SUM(H1688:H1689)</f>
        <v>499653</v>
      </c>
    </row>
    <row r="1691" spans="3:9" ht="14.4" thickTop="1">
      <c r="C1691" s="289"/>
      <c r="D1691" s="297"/>
      <c r="E1691" s="297"/>
      <c r="F1691" s="297"/>
      <c r="G1691" s="297"/>
      <c r="H1691" s="139"/>
    </row>
    <row r="1692" spans="3:9" ht="14.4" thickBot="1">
      <c r="C1692" s="47" t="s">
        <v>2990</v>
      </c>
      <c r="D1692" s="485" t="s">
        <v>2991</v>
      </c>
      <c r="E1692" s="485"/>
      <c r="F1692" s="485"/>
      <c r="G1692" s="485"/>
      <c r="H1692" s="485"/>
      <c r="I1692" s="120">
        <f>ROUNDDOWN(H1709,-2)</f>
        <v>414100</v>
      </c>
    </row>
    <row r="1693" spans="3:9" ht="28.2" thickTop="1">
      <c r="C1693" s="51" t="s">
        <v>1195</v>
      </c>
      <c r="D1693" s="52" t="s">
        <v>1196</v>
      </c>
      <c r="E1693" s="52" t="s">
        <v>1197</v>
      </c>
      <c r="F1693" s="52" t="s">
        <v>1198</v>
      </c>
      <c r="G1693" s="52" t="s">
        <v>1199</v>
      </c>
      <c r="H1693" s="53" t="s">
        <v>1200</v>
      </c>
    </row>
    <row r="1694" spans="3:9" ht="20.399999999999999" customHeight="1">
      <c r="C1694" s="290" t="s">
        <v>1201</v>
      </c>
      <c r="D1694" s="182" t="s">
        <v>1202</v>
      </c>
      <c r="E1694" s="70"/>
      <c r="F1694" s="70"/>
      <c r="G1694" s="70"/>
      <c r="H1694" s="71"/>
    </row>
    <row r="1695" spans="3:9" ht="20.399999999999999" customHeight="1">
      <c r="C1695" s="281">
        <v>1</v>
      </c>
      <c r="D1695" s="182" t="s">
        <v>5</v>
      </c>
      <c r="E1695" s="176" t="s">
        <v>6</v>
      </c>
      <c r="F1695" s="282">
        <v>0.9</v>
      </c>
      <c r="G1695" s="283">
        <f>VLOOKUP(D1695,upahbahan,3,FALSE)</f>
        <v>100000</v>
      </c>
      <c r="H1695" s="284">
        <f>F1695*G1695</f>
        <v>90000</v>
      </c>
    </row>
    <row r="1696" spans="3:9" ht="20.399999999999999" customHeight="1">
      <c r="C1696" s="281">
        <v>2</v>
      </c>
      <c r="D1696" s="182" t="s">
        <v>7</v>
      </c>
      <c r="E1696" s="176" t="s">
        <v>6</v>
      </c>
      <c r="F1696" s="282">
        <v>0.45</v>
      </c>
      <c r="G1696" s="283">
        <f>VLOOKUP(D1696,upahbahan,3,FALSE)</f>
        <v>135000</v>
      </c>
      <c r="H1696" s="284">
        <f>F1696*G1696</f>
        <v>60750</v>
      </c>
    </row>
    <row r="1697" spans="3:9" ht="20.399999999999999" customHeight="1">
      <c r="C1697" s="281">
        <v>3</v>
      </c>
      <c r="D1697" s="182" t="s">
        <v>18</v>
      </c>
      <c r="E1697" s="176" t="s">
        <v>6</v>
      </c>
      <c r="F1697" s="282">
        <v>4.4999999999999998E-2</v>
      </c>
      <c r="G1697" s="283">
        <f>VLOOKUP(D1697,upahbahan,3,FALSE)</f>
        <v>150000</v>
      </c>
      <c r="H1697" s="284">
        <f>F1697*G1697</f>
        <v>6750</v>
      </c>
    </row>
    <row r="1698" spans="3:9" ht="20.399999999999999" customHeight="1">
      <c r="C1698" s="281">
        <v>4</v>
      </c>
      <c r="D1698" s="182" t="s">
        <v>19</v>
      </c>
      <c r="E1698" s="176" t="s">
        <v>6</v>
      </c>
      <c r="F1698" s="282">
        <v>1.4999999999999999E-2</v>
      </c>
      <c r="G1698" s="283">
        <f>VLOOKUP(D1698,upahbahan,3,FALSE)</f>
        <v>160000</v>
      </c>
      <c r="H1698" s="284">
        <f>F1698*G1698</f>
        <v>2400</v>
      </c>
    </row>
    <row r="1699" spans="3:9" ht="20.399999999999999" customHeight="1">
      <c r="C1699" s="66" t="s">
        <v>1208</v>
      </c>
      <c r="D1699" s="67"/>
      <c r="E1699" s="67"/>
      <c r="F1699" s="142"/>
      <c r="G1699" s="153"/>
      <c r="H1699" s="284">
        <f>SUM(H1695:H1698)</f>
        <v>159900</v>
      </c>
      <c r="I1699" s="320"/>
    </row>
    <row r="1700" spans="3:9" ht="20.399999999999999" customHeight="1">
      <c r="C1700" s="290" t="s">
        <v>1209</v>
      </c>
      <c r="D1700" s="182" t="s">
        <v>1210</v>
      </c>
      <c r="E1700" s="70"/>
      <c r="F1700" s="70"/>
      <c r="G1700" s="70"/>
      <c r="H1700" s="71"/>
    </row>
    <row r="1701" spans="3:9" ht="20.399999999999999" customHeight="1">
      <c r="C1701" s="310" t="s">
        <v>1203</v>
      </c>
      <c r="D1701" s="182" t="s">
        <v>420</v>
      </c>
      <c r="E1701" s="176" t="s">
        <v>44</v>
      </c>
      <c r="F1701" s="282">
        <v>6.56</v>
      </c>
      <c r="G1701" s="283">
        <f>VLOOKUP(D1701,upahbahan,3,FALSE)</f>
        <v>30000</v>
      </c>
      <c r="H1701" s="284">
        <f t="shared" ref="H1701:H1703" si="164">F1701*G1701</f>
        <v>196800</v>
      </c>
    </row>
    <row r="1702" spans="3:9" ht="20.399999999999999" customHeight="1">
      <c r="C1702" s="310" t="s">
        <v>1204</v>
      </c>
      <c r="D1702" s="182" t="s">
        <v>2334</v>
      </c>
      <c r="E1702" s="176" t="s">
        <v>65</v>
      </c>
      <c r="F1702" s="282">
        <v>9.3000000000000007</v>
      </c>
      <c r="G1702" s="283">
        <f>VLOOKUP(D1702,upahbahan,3,FALSE)</f>
        <v>1530</v>
      </c>
      <c r="H1702" s="284">
        <f t="shared" si="164"/>
        <v>14229.000000000002</v>
      </c>
    </row>
    <row r="1703" spans="3:9" ht="20.399999999999999" customHeight="1">
      <c r="C1703" s="310" t="s">
        <v>1206</v>
      </c>
      <c r="D1703" s="285" t="s">
        <v>85</v>
      </c>
      <c r="E1703" s="176" t="s">
        <v>42</v>
      </c>
      <c r="F1703" s="282">
        <v>1.7999999999999999E-2</v>
      </c>
      <c r="G1703" s="283">
        <f>VLOOKUP(D1703,upahbahan,3,FALSE)</f>
        <v>310500</v>
      </c>
      <c r="H1703" s="284">
        <f t="shared" si="164"/>
        <v>5589</v>
      </c>
    </row>
    <row r="1704" spans="3:9" ht="20.399999999999999" customHeight="1">
      <c r="C1704" s="66" t="s">
        <v>1214</v>
      </c>
      <c r="D1704" s="67"/>
      <c r="E1704" s="67"/>
      <c r="F1704" s="67"/>
      <c r="G1704" s="69"/>
      <c r="H1704" s="284">
        <f>SUM(H1701:H1703)</f>
        <v>216618</v>
      </c>
    </row>
    <row r="1705" spans="3:9" ht="20.399999999999999" customHeight="1">
      <c r="C1705" s="321" t="s">
        <v>1215</v>
      </c>
      <c r="D1705" s="182" t="s">
        <v>1216</v>
      </c>
      <c r="E1705" s="70"/>
      <c r="F1705" s="70"/>
      <c r="G1705" s="70"/>
      <c r="H1705" s="71"/>
    </row>
    <row r="1706" spans="3:9" ht="20.399999999999999" customHeight="1">
      <c r="C1706" s="66" t="s">
        <v>1217</v>
      </c>
      <c r="D1706" s="67"/>
      <c r="E1706" s="67"/>
      <c r="F1706" s="67"/>
      <c r="G1706" s="69"/>
      <c r="H1706" s="292">
        <v>0</v>
      </c>
    </row>
    <row r="1707" spans="3:9" ht="20.399999999999999" customHeight="1">
      <c r="C1707" s="293" t="s">
        <v>1218</v>
      </c>
      <c r="D1707" s="294" t="s">
        <v>1219</v>
      </c>
      <c r="E1707" s="295"/>
      <c r="F1707" s="295"/>
      <c r="G1707" s="296"/>
      <c r="H1707" s="284">
        <f>H1706+H1704+H1699</f>
        <v>376518</v>
      </c>
    </row>
    <row r="1708" spans="3:9" ht="20.399999999999999" customHeight="1">
      <c r="C1708" s="293" t="s">
        <v>1220</v>
      </c>
      <c r="D1708" s="294" t="s">
        <v>1321</v>
      </c>
      <c r="E1708" s="295"/>
      <c r="F1708" s="296"/>
      <c r="G1708" s="298">
        <f>$M$8</f>
        <v>0.1</v>
      </c>
      <c r="H1708" s="284">
        <f>H1707*G1708</f>
        <v>37651.800000000003</v>
      </c>
    </row>
    <row r="1709" spans="3:9" ht="20.399999999999999" customHeight="1" thickBot="1">
      <c r="C1709" s="299" t="s">
        <v>1221</v>
      </c>
      <c r="D1709" s="300" t="s">
        <v>1222</v>
      </c>
      <c r="E1709" s="301"/>
      <c r="F1709" s="301"/>
      <c r="G1709" s="302"/>
      <c r="H1709" s="303">
        <f>SUM(H1707:H1708)</f>
        <v>414169.8</v>
      </c>
    </row>
    <row r="1710" spans="3:9" ht="14.4" thickTop="1">
      <c r="C1710" s="289"/>
      <c r="D1710" s="297"/>
      <c r="E1710" s="297"/>
      <c r="F1710" s="297"/>
      <c r="G1710" s="297"/>
      <c r="H1710" s="139"/>
    </row>
    <row r="1711" spans="3:9" ht="14.4" thickBot="1">
      <c r="C1711" s="47" t="s">
        <v>2992</v>
      </c>
      <c r="D1711" s="485" t="s">
        <v>2993</v>
      </c>
      <c r="E1711" s="485"/>
      <c r="F1711" s="485"/>
      <c r="G1711" s="485"/>
      <c r="H1711" s="485"/>
      <c r="I1711" s="120">
        <f>ROUNDDOWN(H1728,-2)</f>
        <v>212400</v>
      </c>
    </row>
    <row r="1712" spans="3:9" ht="28.2" thickTop="1">
      <c r="C1712" s="51" t="s">
        <v>1195</v>
      </c>
      <c r="D1712" s="52" t="s">
        <v>1196</v>
      </c>
      <c r="E1712" s="52" t="s">
        <v>1197</v>
      </c>
      <c r="F1712" s="52" t="s">
        <v>1198</v>
      </c>
      <c r="G1712" s="52" t="s">
        <v>1199</v>
      </c>
      <c r="H1712" s="53" t="s">
        <v>1200</v>
      </c>
    </row>
    <row r="1713" spans="3:9" ht="20.399999999999999" customHeight="1">
      <c r="C1713" s="290" t="s">
        <v>1201</v>
      </c>
      <c r="D1713" s="182" t="s">
        <v>1202</v>
      </c>
      <c r="E1713" s="70"/>
      <c r="F1713" s="70"/>
      <c r="G1713" s="70"/>
      <c r="H1713" s="71"/>
    </row>
    <row r="1714" spans="3:9" ht="20.399999999999999" customHeight="1">
      <c r="C1714" s="281">
        <v>1</v>
      </c>
      <c r="D1714" s="182" t="s">
        <v>5</v>
      </c>
      <c r="E1714" s="176" t="s">
        <v>6</v>
      </c>
      <c r="F1714" s="282">
        <v>0.4</v>
      </c>
      <c r="G1714" s="283">
        <f>VLOOKUP(D1714,upahbahan,3,FALSE)</f>
        <v>100000</v>
      </c>
      <c r="H1714" s="284">
        <f>F1714*G1714</f>
        <v>40000</v>
      </c>
    </row>
    <row r="1715" spans="3:9" ht="20.399999999999999" customHeight="1">
      <c r="C1715" s="281">
        <v>2</v>
      </c>
      <c r="D1715" s="182" t="s">
        <v>7</v>
      </c>
      <c r="E1715" s="176" t="s">
        <v>6</v>
      </c>
      <c r="F1715" s="282">
        <v>0.2</v>
      </c>
      <c r="G1715" s="283">
        <f>VLOOKUP(D1715,upahbahan,3,FALSE)</f>
        <v>135000</v>
      </c>
      <c r="H1715" s="284">
        <f t="shared" ref="H1715:H1717" si="165">F1715*G1715</f>
        <v>27000</v>
      </c>
    </row>
    <row r="1716" spans="3:9" ht="20.399999999999999" customHeight="1">
      <c r="C1716" s="281">
        <v>3</v>
      </c>
      <c r="D1716" s="182" t="s">
        <v>18</v>
      </c>
      <c r="E1716" s="176" t="s">
        <v>6</v>
      </c>
      <c r="F1716" s="282">
        <v>0.02</v>
      </c>
      <c r="G1716" s="283">
        <f>VLOOKUP(D1716,upahbahan,3,FALSE)</f>
        <v>150000</v>
      </c>
      <c r="H1716" s="284">
        <f t="shared" si="165"/>
        <v>3000</v>
      </c>
    </row>
    <row r="1717" spans="3:9" ht="20.399999999999999" customHeight="1">
      <c r="C1717" s="281">
        <v>4</v>
      </c>
      <c r="D1717" s="182" t="s">
        <v>19</v>
      </c>
      <c r="E1717" s="176" t="s">
        <v>6</v>
      </c>
      <c r="F1717" s="282">
        <v>7.0000000000000001E-3</v>
      </c>
      <c r="G1717" s="283">
        <f>VLOOKUP(D1717,upahbahan,3,FALSE)</f>
        <v>160000</v>
      </c>
      <c r="H1717" s="284">
        <f t="shared" si="165"/>
        <v>1120</v>
      </c>
    </row>
    <row r="1718" spans="3:9" ht="20.399999999999999" customHeight="1">
      <c r="C1718" s="66" t="s">
        <v>1208</v>
      </c>
      <c r="D1718" s="67"/>
      <c r="E1718" s="67"/>
      <c r="F1718" s="142"/>
      <c r="G1718" s="153"/>
      <c r="H1718" s="284">
        <f>SUM(H1714:H1717)</f>
        <v>71120</v>
      </c>
      <c r="I1718" s="320"/>
    </row>
    <row r="1719" spans="3:9" ht="20.399999999999999" customHeight="1">
      <c r="C1719" s="290" t="s">
        <v>1209</v>
      </c>
      <c r="D1719" s="182" t="s">
        <v>1210</v>
      </c>
      <c r="E1719" s="70"/>
      <c r="F1719" s="70"/>
      <c r="G1719" s="70"/>
      <c r="H1719" s="71"/>
    </row>
    <row r="1720" spans="3:9" ht="20.399999999999999" customHeight="1">
      <c r="C1720" s="310" t="s">
        <v>1203</v>
      </c>
      <c r="D1720" s="182" t="s">
        <v>421</v>
      </c>
      <c r="E1720" s="176" t="s">
        <v>44</v>
      </c>
      <c r="F1720" s="282">
        <v>2.92</v>
      </c>
      <c r="G1720" s="283">
        <f>VLOOKUP(D1720,upahbahan,3,FALSE)</f>
        <v>35000</v>
      </c>
      <c r="H1720" s="284">
        <f t="shared" ref="H1720:H1722" si="166">F1720*G1720</f>
        <v>102200</v>
      </c>
    </row>
    <row r="1721" spans="3:9" ht="20.399999999999999" customHeight="1">
      <c r="C1721" s="310" t="s">
        <v>1204</v>
      </c>
      <c r="D1721" s="182" t="s">
        <v>2332</v>
      </c>
      <c r="E1721" s="176" t="s">
        <v>65</v>
      </c>
      <c r="F1721" s="282">
        <v>9.3000000000000007</v>
      </c>
      <c r="G1721" s="283">
        <f>VLOOKUP(D1721,upahbahan,3,FALSE)</f>
        <v>1530</v>
      </c>
      <c r="H1721" s="284">
        <f t="shared" si="166"/>
        <v>14229.000000000002</v>
      </c>
    </row>
    <row r="1722" spans="3:9" ht="20.399999999999999" customHeight="1">
      <c r="C1722" s="310" t="s">
        <v>1206</v>
      </c>
      <c r="D1722" s="285" t="s">
        <v>85</v>
      </c>
      <c r="E1722" s="176" t="s">
        <v>42</v>
      </c>
      <c r="F1722" s="282">
        <v>1.7999999999999999E-2</v>
      </c>
      <c r="G1722" s="283">
        <f>VLOOKUP(D1722,upahbahan,3,FALSE)</f>
        <v>310500</v>
      </c>
      <c r="H1722" s="284">
        <f t="shared" si="166"/>
        <v>5589</v>
      </c>
    </row>
    <row r="1723" spans="3:9" ht="20.399999999999999" customHeight="1">
      <c r="C1723" s="66" t="s">
        <v>1214</v>
      </c>
      <c r="D1723" s="67"/>
      <c r="E1723" s="67"/>
      <c r="F1723" s="67"/>
      <c r="G1723" s="69"/>
      <c r="H1723" s="284">
        <f>SUM(H1720:H1722)</f>
        <v>122018</v>
      </c>
    </row>
    <row r="1724" spans="3:9" ht="20.399999999999999" customHeight="1">
      <c r="C1724" s="321" t="s">
        <v>1215</v>
      </c>
      <c r="D1724" s="182" t="s">
        <v>1216</v>
      </c>
      <c r="E1724" s="70"/>
      <c r="F1724" s="70"/>
      <c r="G1724" s="70"/>
      <c r="H1724" s="71"/>
    </row>
    <row r="1725" spans="3:9" ht="20.399999999999999" customHeight="1">
      <c r="C1725" s="66" t="s">
        <v>1217</v>
      </c>
      <c r="D1725" s="67"/>
      <c r="E1725" s="67"/>
      <c r="F1725" s="67"/>
      <c r="G1725" s="69"/>
      <c r="H1725" s="292">
        <v>0</v>
      </c>
    </row>
    <row r="1726" spans="3:9" ht="20.399999999999999" customHeight="1">
      <c r="C1726" s="293" t="s">
        <v>1218</v>
      </c>
      <c r="D1726" s="294" t="s">
        <v>1219</v>
      </c>
      <c r="E1726" s="295"/>
      <c r="F1726" s="295"/>
      <c r="G1726" s="296"/>
      <c r="H1726" s="284">
        <f>H1725+H1723+H1718</f>
        <v>193138</v>
      </c>
    </row>
    <row r="1727" spans="3:9" ht="20.399999999999999" customHeight="1">
      <c r="C1727" s="293" t="s">
        <v>1220</v>
      </c>
      <c r="D1727" s="294" t="s">
        <v>1321</v>
      </c>
      <c r="E1727" s="295"/>
      <c r="F1727" s="296"/>
      <c r="G1727" s="298">
        <f>$M$8</f>
        <v>0.1</v>
      </c>
      <c r="H1727" s="284">
        <f>H1726*G1727</f>
        <v>19313.8</v>
      </c>
    </row>
    <row r="1728" spans="3:9" ht="20.399999999999999" customHeight="1" thickBot="1">
      <c r="C1728" s="299" t="s">
        <v>1221</v>
      </c>
      <c r="D1728" s="300" t="s">
        <v>1222</v>
      </c>
      <c r="E1728" s="301"/>
      <c r="F1728" s="301"/>
      <c r="G1728" s="302"/>
      <c r="H1728" s="303">
        <f>SUM(H1726:H1727)</f>
        <v>212451.8</v>
      </c>
    </row>
    <row r="1729" spans="3:9" ht="14.4" thickTop="1">
      <c r="C1729" s="289"/>
      <c r="D1729" s="297"/>
      <c r="E1729" s="297"/>
      <c r="F1729" s="297"/>
      <c r="G1729" s="297"/>
      <c r="H1729" s="139"/>
    </row>
    <row r="1730" spans="3:9">
      <c r="C1730" s="126" t="s">
        <v>2994</v>
      </c>
      <c r="D1730" s="138" t="s">
        <v>2995</v>
      </c>
      <c r="E1730" s="297"/>
      <c r="F1730" s="297"/>
      <c r="G1730" s="297"/>
      <c r="H1730" s="139"/>
    </row>
    <row r="1731" spans="3:9" ht="14.4" thickBot="1">
      <c r="C1731" s="47" t="s">
        <v>2996</v>
      </c>
      <c r="D1731" s="485" t="s">
        <v>1468</v>
      </c>
      <c r="E1731" s="485"/>
      <c r="F1731" s="485"/>
      <c r="G1731" s="485"/>
      <c r="H1731" s="485"/>
      <c r="I1731" s="120">
        <f>ROUNDDOWN(H1749,-2)</f>
        <v>323000</v>
      </c>
    </row>
    <row r="1732" spans="3:9" ht="28.2" thickTop="1">
      <c r="C1732" s="51" t="s">
        <v>1195</v>
      </c>
      <c r="D1732" s="52" t="s">
        <v>1196</v>
      </c>
      <c r="E1732" s="52" t="s">
        <v>1197</v>
      </c>
      <c r="F1732" s="52" t="s">
        <v>1198</v>
      </c>
      <c r="G1732" s="52" t="s">
        <v>1199</v>
      </c>
      <c r="H1732" s="53" t="s">
        <v>1200</v>
      </c>
    </row>
    <row r="1733" spans="3:9" ht="20.399999999999999" customHeight="1">
      <c r="C1733" s="290" t="s">
        <v>1201</v>
      </c>
      <c r="D1733" s="182" t="s">
        <v>1202</v>
      </c>
      <c r="E1733" s="70"/>
      <c r="F1733" s="70"/>
      <c r="G1733" s="70"/>
      <c r="H1733" s="71"/>
    </row>
    <row r="1734" spans="3:9" ht="20.399999999999999" customHeight="1">
      <c r="C1734" s="281">
        <v>1</v>
      </c>
      <c r="D1734" s="182" t="s">
        <v>5</v>
      </c>
      <c r="E1734" s="176" t="s">
        <v>6</v>
      </c>
      <c r="F1734" s="315">
        <v>1</v>
      </c>
      <c r="G1734" s="283">
        <f>VLOOKUP(D1734,upahbahan,3,FALSE)</f>
        <v>100000</v>
      </c>
      <c r="H1734" s="284">
        <f>F1734*G1734</f>
        <v>100000</v>
      </c>
    </row>
    <row r="1735" spans="3:9" ht="20.399999999999999" customHeight="1">
      <c r="C1735" s="281">
        <v>2</v>
      </c>
      <c r="D1735" s="182" t="s">
        <v>7</v>
      </c>
      <c r="E1735" s="176" t="s">
        <v>6</v>
      </c>
      <c r="F1735" s="315">
        <v>0.5</v>
      </c>
      <c r="G1735" s="283">
        <f>VLOOKUP(D1735,upahbahan,3,FALSE)</f>
        <v>135000</v>
      </c>
      <c r="H1735" s="284">
        <f t="shared" ref="H1735:H1737" si="167">F1735*G1735</f>
        <v>67500</v>
      </c>
    </row>
    <row r="1736" spans="3:9" ht="20.399999999999999" customHeight="1">
      <c r="C1736" s="281">
        <v>3</v>
      </c>
      <c r="D1736" s="182" t="s">
        <v>18</v>
      </c>
      <c r="E1736" s="176" t="s">
        <v>6</v>
      </c>
      <c r="F1736" s="315">
        <v>0.05</v>
      </c>
      <c r="G1736" s="283">
        <f>VLOOKUP(D1736,upahbahan,3,FALSE)</f>
        <v>150000</v>
      </c>
      <c r="H1736" s="284">
        <f t="shared" si="167"/>
        <v>7500</v>
      </c>
    </row>
    <row r="1737" spans="3:9" ht="20.399999999999999" customHeight="1">
      <c r="C1737" s="281">
        <v>4</v>
      </c>
      <c r="D1737" s="182" t="s">
        <v>19</v>
      </c>
      <c r="E1737" s="176" t="s">
        <v>6</v>
      </c>
      <c r="F1737" s="315">
        <v>1.67E-2</v>
      </c>
      <c r="G1737" s="283">
        <f>VLOOKUP(D1737,upahbahan,3,FALSE)</f>
        <v>160000</v>
      </c>
      <c r="H1737" s="284">
        <f t="shared" si="167"/>
        <v>2672</v>
      </c>
    </row>
    <row r="1738" spans="3:9" ht="20.399999999999999" customHeight="1">
      <c r="C1738" s="66" t="s">
        <v>1208</v>
      </c>
      <c r="D1738" s="67"/>
      <c r="E1738" s="67"/>
      <c r="F1738" s="142"/>
      <c r="G1738" s="153"/>
      <c r="H1738" s="284">
        <f>SUM(H1734:H1737)</f>
        <v>177672</v>
      </c>
      <c r="I1738" s="320"/>
    </row>
    <row r="1739" spans="3:9" ht="20.399999999999999" customHeight="1">
      <c r="C1739" s="290" t="s">
        <v>1209</v>
      </c>
      <c r="D1739" s="182" t="s">
        <v>1210</v>
      </c>
      <c r="E1739" s="70"/>
      <c r="F1739" s="70"/>
      <c r="G1739" s="70"/>
      <c r="H1739" s="71"/>
    </row>
    <row r="1740" spans="3:9" ht="20.399999999999999" customHeight="1">
      <c r="C1740" s="310" t="s">
        <v>1203</v>
      </c>
      <c r="D1740" s="182" t="s">
        <v>1770</v>
      </c>
      <c r="E1740" s="176" t="s">
        <v>496</v>
      </c>
      <c r="F1740" s="282">
        <v>1.05</v>
      </c>
      <c r="G1740" s="283">
        <f>VLOOKUP(D1740,upahbahan,3,FALSE)</f>
        <v>83000</v>
      </c>
      <c r="H1740" s="284">
        <f>F1740*G1740</f>
        <v>87150</v>
      </c>
    </row>
    <row r="1741" spans="3:9" ht="20.399999999999999" customHeight="1">
      <c r="C1741" s="310" t="s">
        <v>1204</v>
      </c>
      <c r="D1741" s="182" t="s">
        <v>2332</v>
      </c>
      <c r="E1741" s="176" t="s">
        <v>65</v>
      </c>
      <c r="F1741" s="282">
        <v>9.3000000000000007</v>
      </c>
      <c r="G1741" s="283">
        <f>VLOOKUP(D1741,upahbahan,3,FALSE)</f>
        <v>1530</v>
      </c>
      <c r="H1741" s="284">
        <f t="shared" ref="H1741:H1743" si="168">F1741*G1741</f>
        <v>14229.000000000002</v>
      </c>
    </row>
    <row r="1742" spans="3:9" ht="20.399999999999999" customHeight="1">
      <c r="C1742" s="310" t="s">
        <v>1205</v>
      </c>
      <c r="D1742" s="182" t="s">
        <v>562</v>
      </c>
      <c r="E1742" s="176" t="s">
        <v>65</v>
      </c>
      <c r="F1742" s="282">
        <v>0.5</v>
      </c>
      <c r="G1742" s="283">
        <f>VLOOKUP(D1742,upahbahan,3,FALSE)</f>
        <v>18000</v>
      </c>
      <c r="H1742" s="284">
        <f t="shared" si="168"/>
        <v>9000</v>
      </c>
    </row>
    <row r="1743" spans="3:9" ht="20.399999999999999" customHeight="1">
      <c r="C1743" s="310" t="s">
        <v>1206</v>
      </c>
      <c r="D1743" s="285" t="s">
        <v>85</v>
      </c>
      <c r="E1743" s="176" t="s">
        <v>42</v>
      </c>
      <c r="F1743" s="282">
        <v>1.7999999999999999E-2</v>
      </c>
      <c r="G1743" s="283">
        <f>VLOOKUP(D1743,upahbahan,3,FALSE)</f>
        <v>310500</v>
      </c>
      <c r="H1743" s="284">
        <f t="shared" si="168"/>
        <v>5589</v>
      </c>
    </row>
    <row r="1744" spans="3:9" ht="20.399999999999999" customHeight="1">
      <c r="C1744" s="66" t="s">
        <v>1214</v>
      </c>
      <c r="D1744" s="67"/>
      <c r="E1744" s="67"/>
      <c r="F1744" s="67"/>
      <c r="G1744" s="69"/>
      <c r="H1744" s="284">
        <f>SUM(H1740:H1743)</f>
        <v>115968</v>
      </c>
    </row>
    <row r="1745" spans="3:9" ht="20.399999999999999" customHeight="1">
      <c r="C1745" s="290" t="s">
        <v>1215</v>
      </c>
      <c r="D1745" s="182" t="s">
        <v>1216</v>
      </c>
      <c r="E1745" s="70"/>
      <c r="F1745" s="70"/>
      <c r="G1745" s="70"/>
      <c r="H1745" s="71"/>
    </row>
    <row r="1746" spans="3:9" ht="20.399999999999999" customHeight="1">
      <c r="C1746" s="66" t="s">
        <v>1217</v>
      </c>
      <c r="D1746" s="67"/>
      <c r="E1746" s="67"/>
      <c r="F1746" s="67"/>
      <c r="G1746" s="69"/>
      <c r="H1746" s="292">
        <v>0</v>
      </c>
    </row>
    <row r="1747" spans="3:9" ht="20.399999999999999" customHeight="1">
      <c r="C1747" s="293" t="s">
        <v>1218</v>
      </c>
      <c r="D1747" s="294" t="s">
        <v>1219</v>
      </c>
      <c r="E1747" s="295"/>
      <c r="F1747" s="295"/>
      <c r="G1747" s="296"/>
      <c r="H1747" s="284">
        <f>H1746+H1744+H1738</f>
        <v>293640</v>
      </c>
    </row>
    <row r="1748" spans="3:9" ht="20.399999999999999" customHeight="1">
      <c r="C1748" s="293" t="s">
        <v>1220</v>
      </c>
      <c r="D1748" s="294" t="s">
        <v>1321</v>
      </c>
      <c r="E1748" s="295"/>
      <c r="F1748" s="296"/>
      <c r="G1748" s="298">
        <f>$M$8</f>
        <v>0.1</v>
      </c>
      <c r="H1748" s="284">
        <f>H1747*G1748</f>
        <v>29364</v>
      </c>
    </row>
    <row r="1749" spans="3:9" ht="20.399999999999999" customHeight="1" thickBot="1">
      <c r="C1749" s="299" t="s">
        <v>1221</v>
      </c>
      <c r="D1749" s="300" t="s">
        <v>1222</v>
      </c>
      <c r="E1749" s="301"/>
      <c r="F1749" s="301"/>
      <c r="G1749" s="302"/>
      <c r="H1749" s="303">
        <f>SUM(H1747:H1748)</f>
        <v>323004</v>
      </c>
    </row>
    <row r="1750" spans="3:9" ht="20.399999999999999" customHeight="1" thickTop="1">
      <c r="C1750" s="289"/>
      <c r="D1750" s="297"/>
      <c r="E1750" s="297"/>
      <c r="F1750" s="297"/>
      <c r="G1750" s="297"/>
      <c r="H1750" s="139"/>
    </row>
    <row r="1751" spans="3:9" ht="14.4" thickBot="1">
      <c r="C1751" s="47" t="s">
        <v>2997</v>
      </c>
      <c r="D1751" s="485" t="s">
        <v>1469</v>
      </c>
      <c r="E1751" s="485"/>
      <c r="F1751" s="485"/>
      <c r="G1751" s="485"/>
      <c r="H1751" s="485"/>
      <c r="I1751" s="120">
        <f>ROUNDDOWN(H1769,-2)</f>
        <v>368700</v>
      </c>
    </row>
    <row r="1752" spans="3:9" ht="28.2" thickTop="1">
      <c r="C1752" s="51" t="s">
        <v>1195</v>
      </c>
      <c r="D1752" s="52" t="s">
        <v>1196</v>
      </c>
      <c r="E1752" s="52" t="s">
        <v>1197</v>
      </c>
      <c r="F1752" s="52" t="s">
        <v>1198</v>
      </c>
      <c r="G1752" s="52" t="s">
        <v>1199</v>
      </c>
      <c r="H1752" s="53" t="s">
        <v>1200</v>
      </c>
    </row>
    <row r="1753" spans="3:9" ht="20.399999999999999" customHeight="1">
      <c r="C1753" s="290" t="s">
        <v>1201</v>
      </c>
      <c r="D1753" s="182" t="s">
        <v>1202</v>
      </c>
      <c r="E1753" s="70"/>
      <c r="F1753" s="70"/>
      <c r="G1753" s="70"/>
      <c r="H1753" s="71"/>
    </row>
    <row r="1754" spans="3:9" ht="20.399999999999999" customHeight="1">
      <c r="C1754" s="281">
        <v>1</v>
      </c>
      <c r="D1754" s="182" t="s">
        <v>5</v>
      </c>
      <c r="E1754" s="176" t="s">
        <v>6</v>
      </c>
      <c r="F1754" s="315">
        <v>0.9</v>
      </c>
      <c r="G1754" s="283">
        <f>VLOOKUP(D1754,upahbahan,3,FALSE)</f>
        <v>100000</v>
      </c>
      <c r="H1754" s="284">
        <f>F1754*G1754</f>
        <v>90000</v>
      </c>
    </row>
    <row r="1755" spans="3:9" ht="20.399999999999999" customHeight="1">
      <c r="C1755" s="281">
        <v>2</v>
      </c>
      <c r="D1755" s="182" t="s">
        <v>7</v>
      </c>
      <c r="E1755" s="176" t="s">
        <v>6</v>
      </c>
      <c r="F1755" s="315">
        <v>0.45</v>
      </c>
      <c r="G1755" s="283">
        <f>VLOOKUP(D1755,upahbahan,3,FALSE)</f>
        <v>135000</v>
      </c>
      <c r="H1755" s="284">
        <f>F1755*G1755</f>
        <v>60750</v>
      </c>
    </row>
    <row r="1756" spans="3:9" ht="20.399999999999999" customHeight="1">
      <c r="C1756" s="281">
        <v>3</v>
      </c>
      <c r="D1756" s="182" t="s">
        <v>18</v>
      </c>
      <c r="E1756" s="176" t="s">
        <v>6</v>
      </c>
      <c r="F1756" s="315">
        <v>4.4999999999999998E-2</v>
      </c>
      <c r="G1756" s="283">
        <f>VLOOKUP(D1756,upahbahan,3,FALSE)</f>
        <v>150000</v>
      </c>
      <c r="H1756" s="284">
        <f t="shared" ref="H1756:H1757" si="169">F1756*G1756</f>
        <v>6750</v>
      </c>
    </row>
    <row r="1757" spans="3:9" ht="20.399999999999999" customHeight="1">
      <c r="C1757" s="281">
        <v>4</v>
      </c>
      <c r="D1757" s="182" t="s">
        <v>19</v>
      </c>
      <c r="E1757" s="176" t="s">
        <v>6</v>
      </c>
      <c r="F1757" s="315">
        <v>1.4999999999999999E-2</v>
      </c>
      <c r="G1757" s="283">
        <f>VLOOKUP(D1757,upahbahan,3,FALSE)</f>
        <v>160000</v>
      </c>
      <c r="H1757" s="284">
        <f t="shared" si="169"/>
        <v>2400</v>
      </c>
    </row>
    <row r="1758" spans="3:9" ht="20.399999999999999" customHeight="1">
      <c r="C1758" s="66" t="s">
        <v>1208</v>
      </c>
      <c r="D1758" s="67"/>
      <c r="E1758" s="67"/>
      <c r="F1758" s="142"/>
      <c r="G1758" s="153"/>
      <c r="H1758" s="284">
        <f>SUM(H1754:H1757)</f>
        <v>159900</v>
      </c>
      <c r="I1758" s="320"/>
    </row>
    <row r="1759" spans="3:9" ht="20.399999999999999" customHeight="1">
      <c r="C1759" s="290" t="s">
        <v>1209</v>
      </c>
      <c r="D1759" s="182" t="s">
        <v>1210</v>
      </c>
      <c r="E1759" s="70"/>
      <c r="F1759" s="70"/>
      <c r="G1759" s="70"/>
      <c r="H1759" s="71"/>
    </row>
    <row r="1760" spans="3:9" ht="20.399999999999999" customHeight="1">
      <c r="C1760" s="310" t="s">
        <v>1203</v>
      </c>
      <c r="D1760" s="182" t="s">
        <v>494</v>
      </c>
      <c r="E1760" s="176" t="s">
        <v>44</v>
      </c>
      <c r="F1760" s="282">
        <v>53</v>
      </c>
      <c r="G1760" s="283">
        <f>VLOOKUP(D1760,upahbahan,3,FALSE)</f>
        <v>2000</v>
      </c>
      <c r="H1760" s="284">
        <f t="shared" ref="H1760:H1763" si="170">F1760*G1760</f>
        <v>106000</v>
      </c>
    </row>
    <row r="1761" spans="3:9" ht="20.399999999999999" customHeight="1">
      <c r="C1761" s="310" t="s">
        <v>1204</v>
      </c>
      <c r="D1761" s="182" t="s">
        <v>2332</v>
      </c>
      <c r="E1761" s="176" t="s">
        <v>65</v>
      </c>
      <c r="F1761" s="282">
        <v>9.3000000000000007</v>
      </c>
      <c r="G1761" s="283">
        <f>VLOOKUP(D1761,upahbahan,3,FALSE)</f>
        <v>1530</v>
      </c>
      <c r="H1761" s="284">
        <f t="shared" si="170"/>
        <v>14229.000000000002</v>
      </c>
    </row>
    <row r="1762" spans="3:9" ht="20.399999999999999" customHeight="1">
      <c r="C1762" s="310" t="s">
        <v>1205</v>
      </c>
      <c r="D1762" s="182" t="s">
        <v>562</v>
      </c>
      <c r="E1762" s="176" t="s">
        <v>65</v>
      </c>
      <c r="F1762" s="282">
        <v>2.75</v>
      </c>
      <c r="G1762" s="283">
        <f>VLOOKUP(D1762,upahbahan,3,FALSE)</f>
        <v>18000</v>
      </c>
      <c r="H1762" s="284">
        <f t="shared" si="170"/>
        <v>49500</v>
      </c>
    </row>
    <row r="1763" spans="3:9" ht="20.399999999999999" customHeight="1">
      <c r="C1763" s="310" t="s">
        <v>1206</v>
      </c>
      <c r="D1763" s="285" t="s">
        <v>85</v>
      </c>
      <c r="E1763" s="176" t="s">
        <v>42</v>
      </c>
      <c r="F1763" s="282">
        <v>1.7999999999999999E-2</v>
      </c>
      <c r="G1763" s="283">
        <f>VLOOKUP(D1763,upahbahan,3,FALSE)</f>
        <v>310500</v>
      </c>
      <c r="H1763" s="284">
        <f t="shared" si="170"/>
        <v>5589</v>
      </c>
    </row>
    <row r="1764" spans="3:9" ht="20.399999999999999" customHeight="1">
      <c r="C1764" s="66" t="s">
        <v>1214</v>
      </c>
      <c r="D1764" s="67"/>
      <c r="E1764" s="67"/>
      <c r="F1764" s="67"/>
      <c r="G1764" s="69"/>
      <c r="H1764" s="284">
        <f>SUM(H1760:H1763)</f>
        <v>175318</v>
      </c>
    </row>
    <row r="1765" spans="3:9" ht="20.399999999999999" customHeight="1">
      <c r="C1765" s="321" t="s">
        <v>1215</v>
      </c>
      <c r="D1765" s="182" t="s">
        <v>1216</v>
      </c>
      <c r="E1765" s="70"/>
      <c r="F1765" s="70"/>
      <c r="G1765" s="70"/>
      <c r="H1765" s="71"/>
    </row>
    <row r="1766" spans="3:9" ht="20.399999999999999" customHeight="1">
      <c r="C1766" s="66" t="s">
        <v>1217</v>
      </c>
      <c r="D1766" s="67"/>
      <c r="E1766" s="67"/>
      <c r="F1766" s="67"/>
      <c r="G1766" s="69"/>
      <c r="H1766" s="292">
        <v>0</v>
      </c>
    </row>
    <row r="1767" spans="3:9" ht="20.399999999999999" customHeight="1">
      <c r="C1767" s="293" t="s">
        <v>1218</v>
      </c>
      <c r="D1767" s="294" t="s">
        <v>1219</v>
      </c>
      <c r="E1767" s="295"/>
      <c r="F1767" s="295"/>
      <c r="G1767" s="296"/>
      <c r="H1767" s="284">
        <f>H1766+H1764+H1758</f>
        <v>335218</v>
      </c>
    </row>
    <row r="1768" spans="3:9" ht="20.399999999999999" customHeight="1">
      <c r="C1768" s="293" t="s">
        <v>1220</v>
      </c>
      <c r="D1768" s="294" t="s">
        <v>1321</v>
      </c>
      <c r="E1768" s="295"/>
      <c r="F1768" s="296"/>
      <c r="G1768" s="298">
        <f>$M$8</f>
        <v>0.1</v>
      </c>
      <c r="H1768" s="284">
        <f>H1767*G1768</f>
        <v>33521.800000000003</v>
      </c>
    </row>
    <row r="1769" spans="3:9" ht="20.399999999999999" customHeight="1" thickBot="1">
      <c r="C1769" s="299" t="s">
        <v>1221</v>
      </c>
      <c r="D1769" s="300" t="s">
        <v>1222</v>
      </c>
      <c r="E1769" s="301"/>
      <c r="F1769" s="301"/>
      <c r="G1769" s="302"/>
      <c r="H1769" s="303">
        <f>SUM(H1767:H1768)</f>
        <v>368739.8</v>
      </c>
    </row>
    <row r="1770" spans="3:9" ht="14.4" thickTop="1">
      <c r="C1770" s="289"/>
      <c r="D1770" s="297"/>
      <c r="E1770" s="297"/>
      <c r="F1770" s="297"/>
      <c r="G1770" s="297"/>
      <c r="H1770" s="139"/>
    </row>
    <row r="1771" spans="3:9" ht="14.4" thickBot="1">
      <c r="C1771" s="47" t="s">
        <v>2998</v>
      </c>
      <c r="D1771" s="485" t="s">
        <v>1470</v>
      </c>
      <c r="E1771" s="485"/>
      <c r="F1771" s="485"/>
      <c r="G1771" s="485"/>
      <c r="H1771" s="485"/>
      <c r="I1771" s="120">
        <f>ROUNDDOWN(H1789,-2)</f>
        <v>224500</v>
      </c>
    </row>
    <row r="1772" spans="3:9" ht="28.2" thickTop="1">
      <c r="C1772" s="51" t="s">
        <v>1195</v>
      </c>
      <c r="D1772" s="52" t="s">
        <v>1196</v>
      </c>
      <c r="E1772" s="52" t="s">
        <v>1197</v>
      </c>
      <c r="F1772" s="52" t="s">
        <v>1198</v>
      </c>
      <c r="G1772" s="52" t="s">
        <v>1199</v>
      </c>
      <c r="H1772" s="53" t="s">
        <v>1200</v>
      </c>
    </row>
    <row r="1773" spans="3:9" ht="20.399999999999999" customHeight="1">
      <c r="C1773" s="290" t="s">
        <v>1201</v>
      </c>
      <c r="D1773" s="182" t="s">
        <v>1202</v>
      </c>
      <c r="E1773" s="70"/>
      <c r="F1773" s="70"/>
      <c r="G1773" s="70"/>
      <c r="H1773" s="71"/>
    </row>
    <row r="1774" spans="3:9" ht="20.399999999999999" customHeight="1">
      <c r="C1774" s="281">
        <v>1</v>
      </c>
      <c r="D1774" s="182" t="s">
        <v>5</v>
      </c>
      <c r="E1774" s="176" t="s">
        <v>6</v>
      </c>
      <c r="F1774" s="315">
        <v>0.25</v>
      </c>
      <c r="G1774" s="283">
        <f>VLOOKUP(D1774,upahbahan,3,FALSE)</f>
        <v>100000</v>
      </c>
      <c r="H1774" s="284">
        <f t="shared" ref="H1774:H1777" si="171">F1774*G1774</f>
        <v>25000</v>
      </c>
    </row>
    <row r="1775" spans="3:9" ht="20.399999999999999" customHeight="1">
      <c r="C1775" s="281">
        <v>2</v>
      </c>
      <c r="D1775" s="182" t="s">
        <v>7</v>
      </c>
      <c r="E1775" s="176" t="s">
        <v>6</v>
      </c>
      <c r="F1775" s="315">
        <v>0.125</v>
      </c>
      <c r="G1775" s="283">
        <f>VLOOKUP(D1775,upahbahan,3,FALSE)</f>
        <v>135000</v>
      </c>
      <c r="H1775" s="284">
        <f t="shared" si="171"/>
        <v>16875</v>
      </c>
    </row>
    <row r="1776" spans="3:9" ht="20.399999999999999" customHeight="1">
      <c r="C1776" s="281">
        <v>3</v>
      </c>
      <c r="D1776" s="182" t="s">
        <v>18</v>
      </c>
      <c r="E1776" s="176" t="s">
        <v>6</v>
      </c>
      <c r="F1776" s="315">
        <v>1.2500000000000001E-2</v>
      </c>
      <c r="G1776" s="283">
        <f>VLOOKUP(D1776,upahbahan,3,FALSE)</f>
        <v>150000</v>
      </c>
      <c r="H1776" s="284">
        <f t="shared" si="171"/>
        <v>1875</v>
      </c>
    </row>
    <row r="1777" spans="3:9" ht="20.399999999999999" customHeight="1">
      <c r="C1777" s="281">
        <v>4</v>
      </c>
      <c r="D1777" s="182" t="s">
        <v>19</v>
      </c>
      <c r="E1777" s="176" t="s">
        <v>6</v>
      </c>
      <c r="F1777" s="315">
        <v>4.1999999999999997E-3</v>
      </c>
      <c r="G1777" s="283">
        <f>VLOOKUP(D1777,upahbahan,3,FALSE)</f>
        <v>160000</v>
      </c>
      <c r="H1777" s="284">
        <f t="shared" si="171"/>
        <v>672</v>
      </c>
    </row>
    <row r="1778" spans="3:9" ht="20.399999999999999" customHeight="1">
      <c r="C1778" s="66" t="s">
        <v>1208</v>
      </c>
      <c r="D1778" s="67"/>
      <c r="E1778" s="67"/>
      <c r="F1778" s="142"/>
      <c r="G1778" s="153"/>
      <c r="H1778" s="284">
        <f>SUM(H1774:H1777)</f>
        <v>44422</v>
      </c>
      <c r="I1778" s="320"/>
    </row>
    <row r="1779" spans="3:9" ht="20.399999999999999" customHeight="1">
      <c r="C1779" s="290" t="s">
        <v>1209</v>
      </c>
      <c r="D1779" s="182" t="s">
        <v>1210</v>
      </c>
      <c r="E1779" s="70"/>
      <c r="F1779" s="70"/>
      <c r="G1779" s="70"/>
      <c r="H1779" s="71"/>
    </row>
    <row r="1780" spans="3:9" ht="20.399999999999999" customHeight="1">
      <c r="C1780" s="310" t="s">
        <v>1203</v>
      </c>
      <c r="D1780" s="182" t="s">
        <v>497</v>
      </c>
      <c r="E1780" s="176" t="s">
        <v>44</v>
      </c>
      <c r="F1780" s="282">
        <v>26.25</v>
      </c>
      <c r="G1780" s="283">
        <f>VLOOKUP(D1780,upahbahan,3,FALSE)</f>
        <v>4000</v>
      </c>
      <c r="H1780" s="284">
        <f t="shared" ref="H1780:H1783" si="172">F1780*G1780</f>
        <v>105000</v>
      </c>
    </row>
    <row r="1781" spans="3:9" ht="20.399999999999999" customHeight="1">
      <c r="C1781" s="310" t="s">
        <v>1204</v>
      </c>
      <c r="D1781" s="182" t="s">
        <v>2332</v>
      </c>
      <c r="E1781" s="176" t="s">
        <v>65</v>
      </c>
      <c r="F1781" s="282">
        <v>9.3000000000000007</v>
      </c>
      <c r="G1781" s="283">
        <f>VLOOKUP(D1781,upahbahan,3,FALSE)</f>
        <v>1530</v>
      </c>
      <c r="H1781" s="284">
        <f t="shared" si="172"/>
        <v>14229.000000000002</v>
      </c>
    </row>
    <row r="1782" spans="3:9" ht="20.399999999999999" customHeight="1">
      <c r="C1782" s="310" t="s">
        <v>1205</v>
      </c>
      <c r="D1782" s="182" t="s">
        <v>562</v>
      </c>
      <c r="E1782" s="176" t="s">
        <v>65</v>
      </c>
      <c r="F1782" s="282">
        <v>1.94</v>
      </c>
      <c r="G1782" s="283">
        <f>VLOOKUP(D1782,upahbahan,3,FALSE)</f>
        <v>18000</v>
      </c>
      <c r="H1782" s="284">
        <f t="shared" si="172"/>
        <v>34920</v>
      </c>
    </row>
    <row r="1783" spans="3:9" ht="20.399999999999999" customHeight="1">
      <c r="C1783" s="310" t="s">
        <v>1206</v>
      </c>
      <c r="D1783" s="285" t="s">
        <v>85</v>
      </c>
      <c r="E1783" s="176" t="s">
        <v>42</v>
      </c>
      <c r="F1783" s="282">
        <v>1.7999999999999999E-2</v>
      </c>
      <c r="G1783" s="283">
        <f>VLOOKUP(D1783,upahbahan,3,FALSE)</f>
        <v>310500</v>
      </c>
      <c r="H1783" s="284">
        <f t="shared" si="172"/>
        <v>5589</v>
      </c>
    </row>
    <row r="1784" spans="3:9" ht="20.399999999999999" customHeight="1">
      <c r="C1784" s="66" t="s">
        <v>1214</v>
      </c>
      <c r="D1784" s="67"/>
      <c r="E1784" s="67"/>
      <c r="F1784" s="67"/>
      <c r="G1784" s="69"/>
      <c r="H1784" s="284">
        <f>SUM(H1780:H1783)</f>
        <v>159738</v>
      </c>
    </row>
    <row r="1785" spans="3:9" ht="20.399999999999999" customHeight="1">
      <c r="C1785" s="321" t="s">
        <v>1215</v>
      </c>
      <c r="D1785" s="182" t="s">
        <v>1216</v>
      </c>
      <c r="E1785" s="70"/>
      <c r="F1785" s="70"/>
      <c r="G1785" s="70"/>
      <c r="H1785" s="71"/>
    </row>
    <row r="1786" spans="3:9" ht="20.399999999999999" customHeight="1">
      <c r="C1786" s="66" t="s">
        <v>1217</v>
      </c>
      <c r="D1786" s="67"/>
      <c r="E1786" s="67"/>
      <c r="F1786" s="67"/>
      <c r="G1786" s="69"/>
      <c r="H1786" s="292">
        <v>0</v>
      </c>
    </row>
    <row r="1787" spans="3:9" ht="20.399999999999999" customHeight="1">
      <c r="C1787" s="293" t="s">
        <v>1218</v>
      </c>
      <c r="D1787" s="294" t="s">
        <v>1219</v>
      </c>
      <c r="E1787" s="295"/>
      <c r="F1787" s="295"/>
      <c r="G1787" s="296"/>
      <c r="H1787" s="284">
        <f>H1786+H1784+H1778</f>
        <v>204160</v>
      </c>
    </row>
    <row r="1788" spans="3:9" ht="20.399999999999999" customHeight="1">
      <c r="C1788" s="293" t="s">
        <v>1220</v>
      </c>
      <c r="D1788" s="294" t="s">
        <v>1321</v>
      </c>
      <c r="E1788" s="295"/>
      <c r="F1788" s="296"/>
      <c r="G1788" s="298">
        <f>$M$8</f>
        <v>0.1</v>
      </c>
      <c r="H1788" s="284">
        <f>H1787*G1788</f>
        <v>20416</v>
      </c>
    </row>
    <row r="1789" spans="3:9" ht="20.399999999999999" customHeight="1" thickBot="1">
      <c r="C1789" s="299" t="s">
        <v>1221</v>
      </c>
      <c r="D1789" s="300" t="s">
        <v>1222</v>
      </c>
      <c r="E1789" s="301"/>
      <c r="F1789" s="301"/>
      <c r="G1789" s="302"/>
      <c r="H1789" s="303">
        <f>SUM(H1787:H1788)</f>
        <v>224576</v>
      </c>
    </row>
    <row r="1790" spans="3:9" ht="14.4" thickTop="1">
      <c r="C1790" s="289"/>
      <c r="D1790" s="297"/>
      <c r="E1790" s="297"/>
      <c r="F1790" s="297"/>
      <c r="G1790" s="297"/>
      <c r="H1790" s="139"/>
    </row>
    <row r="1791" spans="3:9">
      <c r="C1791" s="126" t="s">
        <v>2999</v>
      </c>
      <c r="D1791" s="138" t="s">
        <v>3000</v>
      </c>
      <c r="E1791" s="297"/>
      <c r="F1791" s="297"/>
      <c r="G1791" s="297"/>
      <c r="H1791" s="139"/>
    </row>
    <row r="1792" spans="3:9" ht="14.4" thickBot="1">
      <c r="C1792" s="47" t="s">
        <v>3001</v>
      </c>
      <c r="D1792" s="485" t="s">
        <v>1471</v>
      </c>
      <c r="E1792" s="485"/>
      <c r="F1792" s="485"/>
      <c r="G1792" s="485"/>
      <c r="H1792" s="485"/>
      <c r="I1792" s="120">
        <f>ROUNDDOWN(H1810,-2)</f>
        <v>452600</v>
      </c>
    </row>
    <row r="1793" spans="3:9" ht="28.2" thickTop="1">
      <c r="C1793" s="51" t="s">
        <v>1195</v>
      </c>
      <c r="D1793" s="52" t="s">
        <v>1196</v>
      </c>
      <c r="E1793" s="52" t="s">
        <v>1197</v>
      </c>
      <c r="F1793" s="52" t="s">
        <v>1198</v>
      </c>
      <c r="G1793" s="52" t="s">
        <v>1199</v>
      </c>
      <c r="H1793" s="53" t="s">
        <v>1200</v>
      </c>
    </row>
    <row r="1794" spans="3:9" ht="20.399999999999999" customHeight="1">
      <c r="C1794" s="290" t="s">
        <v>1201</v>
      </c>
      <c r="D1794" s="182" t="s">
        <v>1202</v>
      </c>
      <c r="E1794" s="70"/>
      <c r="F1794" s="70"/>
      <c r="G1794" s="70"/>
      <c r="H1794" s="71"/>
    </row>
    <row r="1795" spans="3:9" ht="20.399999999999999" customHeight="1">
      <c r="C1795" s="281">
        <v>1</v>
      </c>
      <c r="D1795" s="182" t="s">
        <v>5</v>
      </c>
      <c r="E1795" s="176" t="s">
        <v>6</v>
      </c>
      <c r="F1795" s="282">
        <v>1</v>
      </c>
      <c r="G1795" s="283">
        <f>VLOOKUP(D1795,upahbahan,3,FALSE)</f>
        <v>100000</v>
      </c>
      <c r="H1795" s="284">
        <f>F1795*G1795</f>
        <v>100000</v>
      </c>
    </row>
    <row r="1796" spans="3:9" ht="20.399999999999999" customHeight="1">
      <c r="C1796" s="281">
        <v>2</v>
      </c>
      <c r="D1796" s="182" t="s">
        <v>7</v>
      </c>
      <c r="E1796" s="176" t="s">
        <v>6</v>
      </c>
      <c r="F1796" s="282">
        <v>0.5</v>
      </c>
      <c r="G1796" s="283">
        <f>VLOOKUP(D1796,upahbahan,3,FALSE)</f>
        <v>135000</v>
      </c>
      <c r="H1796" s="284">
        <f>F1796*G1796</f>
        <v>67500</v>
      </c>
    </row>
    <row r="1797" spans="3:9" ht="20.399999999999999" customHeight="1">
      <c r="C1797" s="281">
        <v>3</v>
      </c>
      <c r="D1797" s="182" t="s">
        <v>18</v>
      </c>
      <c r="E1797" s="176" t="s">
        <v>6</v>
      </c>
      <c r="F1797" s="282">
        <v>0.05</v>
      </c>
      <c r="G1797" s="283">
        <f>VLOOKUP(D1797,upahbahan,3,FALSE)</f>
        <v>150000</v>
      </c>
      <c r="H1797" s="284">
        <f t="shared" ref="H1797:H1798" si="173">F1797*G1797</f>
        <v>7500</v>
      </c>
    </row>
    <row r="1798" spans="3:9" ht="20.399999999999999" customHeight="1">
      <c r="C1798" s="281">
        <v>4</v>
      </c>
      <c r="D1798" s="182" t="s">
        <v>19</v>
      </c>
      <c r="E1798" s="176" t="s">
        <v>6</v>
      </c>
      <c r="F1798" s="282">
        <v>1.7000000000000001E-2</v>
      </c>
      <c r="G1798" s="283">
        <f>VLOOKUP(D1798,upahbahan,3,FALSE)</f>
        <v>160000</v>
      </c>
      <c r="H1798" s="284">
        <f t="shared" si="173"/>
        <v>2720</v>
      </c>
    </row>
    <row r="1799" spans="3:9" ht="20.399999999999999" customHeight="1">
      <c r="C1799" s="66" t="s">
        <v>1208</v>
      </c>
      <c r="D1799" s="67"/>
      <c r="E1799" s="67"/>
      <c r="F1799" s="142"/>
      <c r="G1799" s="153"/>
      <c r="H1799" s="284">
        <f>SUM(H1795:H1798)</f>
        <v>177720</v>
      </c>
      <c r="I1799" s="320"/>
    </row>
    <row r="1800" spans="3:9" ht="20.399999999999999" customHeight="1">
      <c r="C1800" s="290" t="s">
        <v>1209</v>
      </c>
      <c r="D1800" s="182" t="s">
        <v>1210</v>
      </c>
      <c r="E1800" s="70"/>
      <c r="F1800" s="70"/>
      <c r="G1800" s="70"/>
      <c r="H1800" s="71"/>
    </row>
    <row r="1801" spans="3:9" ht="20.399999999999999" customHeight="1">
      <c r="C1801" s="310" t="s">
        <v>1203</v>
      </c>
      <c r="D1801" s="182" t="s">
        <v>398</v>
      </c>
      <c r="E1801" s="176" t="s">
        <v>44</v>
      </c>
      <c r="F1801" s="282">
        <v>63</v>
      </c>
      <c r="G1801" s="283">
        <f>VLOOKUP(D1801,upahbahan,3,FALSE)</f>
        <v>2500</v>
      </c>
      <c r="H1801" s="284">
        <f t="shared" ref="H1801:H1804" si="174">F1801*G1801</f>
        <v>157500</v>
      </c>
    </row>
    <row r="1802" spans="3:9" ht="20.399999999999999" customHeight="1">
      <c r="C1802" s="310" t="s">
        <v>1204</v>
      </c>
      <c r="D1802" s="182" t="s">
        <v>2332</v>
      </c>
      <c r="E1802" s="176" t="s">
        <v>65</v>
      </c>
      <c r="F1802" s="282">
        <v>12.44</v>
      </c>
      <c r="G1802" s="283">
        <f>VLOOKUP(D1802,upahbahan,3,FALSE)</f>
        <v>1530</v>
      </c>
      <c r="H1802" s="284">
        <f t="shared" si="174"/>
        <v>19033.2</v>
      </c>
    </row>
    <row r="1803" spans="3:9" ht="20.399999999999999" customHeight="1">
      <c r="C1803" s="310" t="s">
        <v>1205</v>
      </c>
      <c r="D1803" s="182" t="s">
        <v>562</v>
      </c>
      <c r="E1803" s="176" t="s">
        <v>65</v>
      </c>
      <c r="F1803" s="282">
        <v>2.75</v>
      </c>
      <c r="G1803" s="283">
        <f>VLOOKUP(D1803,upahbahan,3,FALSE)</f>
        <v>18000</v>
      </c>
      <c r="H1803" s="284">
        <f t="shared" si="174"/>
        <v>49500</v>
      </c>
    </row>
    <row r="1804" spans="3:9" ht="20.399999999999999" customHeight="1">
      <c r="C1804" s="310" t="s">
        <v>1206</v>
      </c>
      <c r="D1804" s="285" t="s">
        <v>85</v>
      </c>
      <c r="E1804" s="176" t="s">
        <v>42</v>
      </c>
      <c r="F1804" s="282">
        <v>2.5000000000000001E-2</v>
      </c>
      <c r="G1804" s="283">
        <f>VLOOKUP(D1804,upahbahan,3,FALSE)</f>
        <v>310500</v>
      </c>
      <c r="H1804" s="284">
        <f t="shared" si="174"/>
        <v>7762.5</v>
      </c>
    </row>
    <row r="1805" spans="3:9" ht="20.399999999999999" customHeight="1">
      <c r="C1805" s="66" t="s">
        <v>1214</v>
      </c>
      <c r="D1805" s="67"/>
      <c r="E1805" s="67"/>
      <c r="F1805" s="67"/>
      <c r="G1805" s="69"/>
      <c r="H1805" s="284">
        <f>SUM(H1801:H1804)</f>
        <v>233795.7</v>
      </c>
    </row>
    <row r="1806" spans="3:9" ht="20.399999999999999" customHeight="1">
      <c r="C1806" s="321" t="s">
        <v>1215</v>
      </c>
      <c r="D1806" s="182" t="s">
        <v>1216</v>
      </c>
      <c r="E1806" s="70"/>
      <c r="F1806" s="70"/>
      <c r="G1806" s="70"/>
      <c r="H1806" s="71"/>
    </row>
    <row r="1807" spans="3:9" ht="20.399999999999999" customHeight="1">
      <c r="C1807" s="66" t="s">
        <v>1217</v>
      </c>
      <c r="D1807" s="67"/>
      <c r="E1807" s="67"/>
      <c r="F1807" s="67"/>
      <c r="G1807" s="69"/>
      <c r="H1807" s="292">
        <v>0</v>
      </c>
    </row>
    <row r="1808" spans="3:9" ht="20.399999999999999" customHeight="1">
      <c r="C1808" s="293" t="s">
        <v>1218</v>
      </c>
      <c r="D1808" s="294" t="s">
        <v>1219</v>
      </c>
      <c r="E1808" s="295"/>
      <c r="F1808" s="295"/>
      <c r="G1808" s="296"/>
      <c r="H1808" s="284">
        <f>H1807+H1805+H1799</f>
        <v>411515.7</v>
      </c>
    </row>
    <row r="1809" spans="3:9" ht="20.399999999999999" customHeight="1">
      <c r="C1809" s="293" t="s">
        <v>1220</v>
      </c>
      <c r="D1809" s="294" t="s">
        <v>1321</v>
      </c>
      <c r="E1809" s="295"/>
      <c r="F1809" s="296"/>
      <c r="G1809" s="298">
        <f>$M$8</f>
        <v>0.1</v>
      </c>
      <c r="H1809" s="284">
        <f>H1808*G1809</f>
        <v>41151.570000000007</v>
      </c>
    </row>
    <row r="1810" spans="3:9" ht="20.399999999999999" customHeight="1" thickBot="1">
      <c r="C1810" s="299" t="s">
        <v>1221</v>
      </c>
      <c r="D1810" s="300" t="s">
        <v>1222</v>
      </c>
      <c r="E1810" s="301"/>
      <c r="F1810" s="301"/>
      <c r="G1810" s="302"/>
      <c r="H1810" s="303">
        <f>SUM(H1808:H1809)</f>
        <v>452667.27</v>
      </c>
    </row>
    <row r="1811" spans="3:9" ht="14.4" thickTop="1">
      <c r="C1811" s="289"/>
      <c r="D1811" s="297"/>
      <c r="E1811" s="297"/>
      <c r="F1811" s="297"/>
      <c r="G1811" s="297"/>
      <c r="H1811" s="139"/>
    </row>
    <row r="1812" spans="3:9" ht="14.4" thickBot="1">
      <c r="C1812" s="47" t="s">
        <v>3002</v>
      </c>
      <c r="D1812" s="485" t="s">
        <v>1472</v>
      </c>
      <c r="E1812" s="485"/>
      <c r="F1812" s="485"/>
      <c r="G1812" s="485"/>
      <c r="H1812" s="485"/>
      <c r="I1812" s="120">
        <f>ROUNDDOWN(H1829,-2)</f>
        <v>168500</v>
      </c>
    </row>
    <row r="1813" spans="3:9" ht="28.2" thickTop="1">
      <c r="C1813" s="51" t="s">
        <v>1195</v>
      </c>
      <c r="D1813" s="52" t="s">
        <v>1196</v>
      </c>
      <c r="E1813" s="52" t="s">
        <v>1197</v>
      </c>
      <c r="F1813" s="52" t="s">
        <v>1198</v>
      </c>
      <c r="G1813" s="52" t="s">
        <v>1199</v>
      </c>
      <c r="H1813" s="53" t="s">
        <v>1200</v>
      </c>
    </row>
    <row r="1814" spans="3:9" ht="20.399999999999999" customHeight="1">
      <c r="C1814" s="290" t="s">
        <v>1201</v>
      </c>
      <c r="D1814" s="182" t="s">
        <v>1202</v>
      </c>
      <c r="E1814" s="70"/>
      <c r="F1814" s="70"/>
      <c r="G1814" s="70"/>
      <c r="H1814" s="71"/>
    </row>
    <row r="1815" spans="3:9" ht="20.399999999999999" customHeight="1">
      <c r="C1815" s="281">
        <v>1</v>
      </c>
      <c r="D1815" s="182" t="s">
        <v>5</v>
      </c>
      <c r="E1815" s="176" t="s">
        <v>6</v>
      </c>
      <c r="F1815" s="282">
        <v>0.7</v>
      </c>
      <c r="G1815" s="283">
        <f>VLOOKUP(D1815,upahbahan,3,FALSE)</f>
        <v>100000</v>
      </c>
      <c r="H1815" s="284">
        <f t="shared" ref="H1815:H1818" si="175">F1815*G1815</f>
        <v>70000</v>
      </c>
    </row>
    <row r="1816" spans="3:9" ht="20.399999999999999" customHeight="1">
      <c r="C1816" s="281">
        <v>2</v>
      </c>
      <c r="D1816" s="182" t="s">
        <v>7</v>
      </c>
      <c r="E1816" s="176" t="s">
        <v>6</v>
      </c>
      <c r="F1816" s="282">
        <v>0.35</v>
      </c>
      <c r="G1816" s="283">
        <f>VLOOKUP(D1816,upahbahan,3,FALSE)</f>
        <v>135000</v>
      </c>
      <c r="H1816" s="284">
        <f t="shared" si="175"/>
        <v>47250</v>
      </c>
    </row>
    <row r="1817" spans="3:9" ht="20.399999999999999" customHeight="1">
      <c r="C1817" s="281">
        <v>3</v>
      </c>
      <c r="D1817" s="182" t="s">
        <v>18</v>
      </c>
      <c r="E1817" s="176" t="s">
        <v>6</v>
      </c>
      <c r="F1817" s="282">
        <v>3.5000000000000003E-2</v>
      </c>
      <c r="G1817" s="283">
        <f>VLOOKUP(D1817,upahbahan,3,FALSE)</f>
        <v>150000</v>
      </c>
      <c r="H1817" s="284">
        <f t="shared" si="175"/>
        <v>5250.0000000000009</v>
      </c>
    </row>
    <row r="1818" spans="3:9" ht="20.399999999999999" customHeight="1">
      <c r="C1818" s="281">
        <v>4</v>
      </c>
      <c r="D1818" s="182" t="s">
        <v>19</v>
      </c>
      <c r="E1818" s="176" t="s">
        <v>6</v>
      </c>
      <c r="F1818" s="282">
        <v>1.2E-2</v>
      </c>
      <c r="G1818" s="283">
        <f>VLOOKUP(D1818,upahbahan,3,FALSE)</f>
        <v>160000</v>
      </c>
      <c r="H1818" s="284">
        <f t="shared" si="175"/>
        <v>1920</v>
      </c>
    </row>
    <row r="1819" spans="3:9" ht="20.399999999999999" customHeight="1">
      <c r="C1819" s="66" t="s">
        <v>1208</v>
      </c>
      <c r="D1819" s="67"/>
      <c r="E1819" s="67"/>
      <c r="F1819" s="142"/>
      <c r="G1819" s="153"/>
      <c r="H1819" s="284">
        <f>SUM(H1815:H1818)</f>
        <v>124420</v>
      </c>
      <c r="I1819" s="320"/>
    </row>
    <row r="1820" spans="3:9" ht="20.399999999999999" customHeight="1">
      <c r="C1820" s="290" t="s">
        <v>1209</v>
      </c>
      <c r="D1820" s="182" t="s">
        <v>1210</v>
      </c>
      <c r="E1820" s="70"/>
      <c r="F1820" s="70"/>
      <c r="G1820" s="70"/>
      <c r="H1820" s="71"/>
    </row>
    <row r="1821" spans="3:9" ht="20.399999999999999" customHeight="1">
      <c r="C1821" s="310" t="s">
        <v>1203</v>
      </c>
      <c r="D1821" s="182" t="s">
        <v>63</v>
      </c>
      <c r="E1821" s="176" t="s">
        <v>62</v>
      </c>
      <c r="F1821" s="282">
        <v>1.1000000000000001</v>
      </c>
      <c r="G1821" s="283">
        <f>VLOOKUP(D1821,upahbahan,3,FALSE)</f>
        <v>0</v>
      </c>
      <c r="H1821" s="284">
        <f>F1821*G1821</f>
        <v>0</v>
      </c>
    </row>
    <row r="1822" spans="3:9" ht="20.399999999999999" customHeight="1">
      <c r="C1822" s="310" t="s">
        <v>1204</v>
      </c>
      <c r="D1822" s="182" t="s">
        <v>2332</v>
      </c>
      <c r="E1822" s="176" t="s">
        <v>65</v>
      </c>
      <c r="F1822" s="282">
        <v>11.75</v>
      </c>
      <c r="G1822" s="283">
        <f>VLOOKUP(D1822,upahbahan,3,FALSE)</f>
        <v>1530</v>
      </c>
      <c r="H1822" s="284">
        <f t="shared" ref="H1822:H1823" si="176">F1822*G1822</f>
        <v>17977.5</v>
      </c>
    </row>
    <row r="1823" spans="3:9" ht="20.399999999999999" customHeight="1">
      <c r="C1823" s="310" t="s">
        <v>1205</v>
      </c>
      <c r="D1823" s="285" t="s">
        <v>85</v>
      </c>
      <c r="E1823" s="176" t="s">
        <v>42</v>
      </c>
      <c r="F1823" s="282">
        <v>3.5000000000000003E-2</v>
      </c>
      <c r="G1823" s="283">
        <f>VLOOKUP(D1823,upahbahan,3,FALSE)</f>
        <v>310500</v>
      </c>
      <c r="H1823" s="284">
        <f t="shared" si="176"/>
        <v>10867.500000000002</v>
      </c>
    </row>
    <row r="1824" spans="3:9" ht="20.399999999999999" customHeight="1">
      <c r="C1824" s="66" t="s">
        <v>1214</v>
      </c>
      <c r="D1824" s="67"/>
      <c r="E1824" s="67"/>
      <c r="F1824" s="67"/>
      <c r="G1824" s="69"/>
      <c r="H1824" s="284">
        <f>SUM(H1821:H1823)</f>
        <v>28845</v>
      </c>
    </row>
    <row r="1825" spans="3:9" ht="20.399999999999999" customHeight="1">
      <c r="C1825" s="321" t="s">
        <v>1215</v>
      </c>
      <c r="D1825" s="182" t="s">
        <v>1216</v>
      </c>
      <c r="E1825" s="70"/>
      <c r="F1825" s="70"/>
      <c r="G1825" s="70"/>
      <c r="H1825" s="71"/>
    </row>
    <row r="1826" spans="3:9" ht="20.399999999999999" customHeight="1">
      <c r="C1826" s="66" t="s">
        <v>1217</v>
      </c>
      <c r="D1826" s="67"/>
      <c r="E1826" s="67"/>
      <c r="F1826" s="67"/>
      <c r="G1826" s="69"/>
      <c r="H1826" s="292">
        <v>0</v>
      </c>
    </row>
    <row r="1827" spans="3:9" ht="20.399999999999999" customHeight="1">
      <c r="C1827" s="293" t="s">
        <v>1218</v>
      </c>
      <c r="D1827" s="294" t="s">
        <v>1219</v>
      </c>
      <c r="E1827" s="295"/>
      <c r="F1827" s="295"/>
      <c r="G1827" s="296"/>
      <c r="H1827" s="284">
        <f>H1826+H1824+H1819</f>
        <v>153265</v>
      </c>
    </row>
    <row r="1828" spans="3:9" ht="20.399999999999999" customHeight="1">
      <c r="C1828" s="293" t="s">
        <v>1220</v>
      </c>
      <c r="D1828" s="294" t="s">
        <v>1321</v>
      </c>
      <c r="E1828" s="295"/>
      <c r="F1828" s="296"/>
      <c r="G1828" s="298">
        <f>$M$8</f>
        <v>0.1</v>
      </c>
      <c r="H1828" s="284">
        <f>H1827*G1828</f>
        <v>15326.5</v>
      </c>
    </row>
    <row r="1829" spans="3:9" ht="20.399999999999999" customHeight="1" thickBot="1">
      <c r="C1829" s="299" t="s">
        <v>1221</v>
      </c>
      <c r="D1829" s="300" t="s">
        <v>1222</v>
      </c>
      <c r="E1829" s="301"/>
      <c r="F1829" s="301"/>
      <c r="G1829" s="302"/>
      <c r="H1829" s="303">
        <f>SUM(H1827:H1828)</f>
        <v>168591.5</v>
      </c>
    </row>
    <row r="1830" spans="3:9" ht="14.4" thickTop="1">
      <c r="C1830" s="289"/>
      <c r="D1830" s="297"/>
      <c r="E1830" s="297"/>
      <c r="F1830" s="297"/>
      <c r="G1830" s="297"/>
      <c r="H1830" s="139"/>
    </row>
    <row r="1831" spans="3:9" ht="14.4" thickBot="1">
      <c r="C1831" s="47" t="s">
        <v>3003</v>
      </c>
      <c r="D1831" s="485" t="s">
        <v>1473</v>
      </c>
      <c r="E1831" s="485"/>
      <c r="F1831" s="485"/>
      <c r="G1831" s="485"/>
      <c r="H1831" s="485"/>
      <c r="I1831" s="120">
        <f>ROUNDDOWN(H1848,-2)</f>
        <v>168500</v>
      </c>
    </row>
    <row r="1832" spans="3:9" ht="28.2" thickTop="1">
      <c r="C1832" s="51" t="s">
        <v>1195</v>
      </c>
      <c r="D1832" s="52" t="s">
        <v>1196</v>
      </c>
      <c r="E1832" s="52" t="s">
        <v>1197</v>
      </c>
      <c r="F1832" s="52" t="s">
        <v>1198</v>
      </c>
      <c r="G1832" s="52" t="s">
        <v>1199</v>
      </c>
      <c r="H1832" s="53" t="s">
        <v>1200</v>
      </c>
    </row>
    <row r="1833" spans="3:9" ht="20.399999999999999" customHeight="1">
      <c r="C1833" s="290" t="s">
        <v>1201</v>
      </c>
      <c r="D1833" s="182" t="s">
        <v>1202</v>
      </c>
      <c r="E1833" s="70"/>
      <c r="F1833" s="70"/>
      <c r="G1833" s="70"/>
      <c r="H1833" s="71"/>
    </row>
    <row r="1834" spans="3:9" ht="20.399999999999999" customHeight="1">
      <c r="C1834" s="281">
        <v>1</v>
      </c>
      <c r="D1834" s="182" t="s">
        <v>5</v>
      </c>
      <c r="E1834" s="176" t="s">
        <v>6</v>
      </c>
      <c r="F1834" s="282">
        <v>0.7</v>
      </c>
      <c r="G1834" s="283">
        <f>VLOOKUP(D1834,upahbahan,3,FALSE)</f>
        <v>100000</v>
      </c>
      <c r="H1834" s="284">
        <f t="shared" ref="H1834:H1837" si="177">F1834*G1834</f>
        <v>70000</v>
      </c>
    </row>
    <row r="1835" spans="3:9" ht="20.399999999999999" customHeight="1">
      <c r="C1835" s="281">
        <v>2</v>
      </c>
      <c r="D1835" s="182" t="s">
        <v>7</v>
      </c>
      <c r="E1835" s="176" t="s">
        <v>6</v>
      </c>
      <c r="F1835" s="282">
        <v>0.35</v>
      </c>
      <c r="G1835" s="283">
        <f>VLOOKUP(D1835,upahbahan,3,FALSE)</f>
        <v>135000</v>
      </c>
      <c r="H1835" s="284">
        <f t="shared" si="177"/>
        <v>47250</v>
      </c>
    </row>
    <row r="1836" spans="3:9" ht="20.399999999999999" customHeight="1">
      <c r="C1836" s="281">
        <v>3</v>
      </c>
      <c r="D1836" s="182" t="s">
        <v>18</v>
      </c>
      <c r="E1836" s="176" t="s">
        <v>6</v>
      </c>
      <c r="F1836" s="282">
        <v>3.5000000000000003E-2</v>
      </c>
      <c r="G1836" s="283">
        <f>VLOOKUP(D1836,upahbahan,3,FALSE)</f>
        <v>150000</v>
      </c>
      <c r="H1836" s="284">
        <f t="shared" si="177"/>
        <v>5250.0000000000009</v>
      </c>
    </row>
    <row r="1837" spans="3:9" ht="20.399999999999999" customHeight="1">
      <c r="C1837" s="281">
        <v>4</v>
      </c>
      <c r="D1837" s="182" t="s">
        <v>19</v>
      </c>
      <c r="E1837" s="176" t="s">
        <v>6</v>
      </c>
      <c r="F1837" s="282">
        <v>1.2E-2</v>
      </c>
      <c r="G1837" s="283">
        <f>VLOOKUP(D1837,upahbahan,3,FALSE)</f>
        <v>160000</v>
      </c>
      <c r="H1837" s="284">
        <f t="shared" si="177"/>
        <v>1920</v>
      </c>
    </row>
    <row r="1838" spans="3:9" ht="20.399999999999999" customHeight="1">
      <c r="C1838" s="66" t="s">
        <v>1208</v>
      </c>
      <c r="D1838" s="67"/>
      <c r="E1838" s="67"/>
      <c r="F1838" s="142"/>
      <c r="G1838" s="153"/>
      <c r="H1838" s="284">
        <f>SUM(H1834:H1837)</f>
        <v>124420</v>
      </c>
      <c r="I1838" s="320"/>
    </row>
    <row r="1839" spans="3:9" ht="20.399999999999999" customHeight="1">
      <c r="C1839" s="290" t="s">
        <v>1209</v>
      </c>
      <c r="D1839" s="182" t="s">
        <v>1210</v>
      </c>
      <c r="E1839" s="70"/>
      <c r="F1839" s="70"/>
      <c r="G1839" s="70"/>
      <c r="H1839" s="71"/>
    </row>
    <row r="1840" spans="3:9" ht="20.399999999999999" customHeight="1">
      <c r="C1840" s="310" t="s">
        <v>1203</v>
      </c>
      <c r="D1840" s="182" t="s">
        <v>73</v>
      </c>
      <c r="E1840" s="176" t="s">
        <v>62</v>
      </c>
      <c r="F1840" s="282">
        <v>1.1000000000000001</v>
      </c>
      <c r="G1840" s="283">
        <f>VLOOKUP(D1840,upahbahan,3,FALSE)</f>
        <v>0</v>
      </c>
      <c r="H1840" s="284">
        <f t="shared" ref="H1840:H1842" si="178">F1840*G1840</f>
        <v>0</v>
      </c>
    </row>
    <row r="1841" spans="3:9" ht="20.399999999999999" customHeight="1">
      <c r="C1841" s="310" t="s">
        <v>1204</v>
      </c>
      <c r="D1841" s="182" t="s">
        <v>2332</v>
      </c>
      <c r="E1841" s="176" t="s">
        <v>65</v>
      </c>
      <c r="F1841" s="282">
        <v>11.75</v>
      </c>
      <c r="G1841" s="283">
        <f>VLOOKUP(D1841,upahbahan,3,FALSE)</f>
        <v>1530</v>
      </c>
      <c r="H1841" s="284">
        <f t="shared" si="178"/>
        <v>17977.5</v>
      </c>
    </row>
    <row r="1842" spans="3:9" ht="20.399999999999999" customHeight="1">
      <c r="C1842" s="310" t="s">
        <v>1205</v>
      </c>
      <c r="D1842" s="285" t="s">
        <v>85</v>
      </c>
      <c r="E1842" s="176" t="s">
        <v>42</v>
      </c>
      <c r="F1842" s="282">
        <v>3.5000000000000003E-2</v>
      </c>
      <c r="G1842" s="283">
        <f>VLOOKUP(D1842,upahbahan,3,FALSE)</f>
        <v>310500</v>
      </c>
      <c r="H1842" s="284">
        <f t="shared" si="178"/>
        <v>10867.500000000002</v>
      </c>
    </row>
    <row r="1843" spans="3:9" ht="20.399999999999999" customHeight="1">
      <c r="C1843" s="66" t="s">
        <v>1214</v>
      </c>
      <c r="D1843" s="67"/>
      <c r="E1843" s="67"/>
      <c r="F1843" s="67"/>
      <c r="G1843" s="69"/>
      <c r="H1843" s="284">
        <f>SUM(H1840:H1842)</f>
        <v>28845</v>
      </c>
    </row>
    <row r="1844" spans="3:9" ht="20.399999999999999" customHeight="1">
      <c r="C1844" s="321" t="s">
        <v>1215</v>
      </c>
      <c r="D1844" s="182" t="s">
        <v>1216</v>
      </c>
      <c r="E1844" s="70"/>
      <c r="F1844" s="70"/>
      <c r="G1844" s="70"/>
      <c r="H1844" s="71"/>
    </row>
    <row r="1845" spans="3:9" ht="20.399999999999999" customHeight="1">
      <c r="C1845" s="66" t="s">
        <v>1217</v>
      </c>
      <c r="D1845" s="67"/>
      <c r="E1845" s="67"/>
      <c r="F1845" s="67"/>
      <c r="G1845" s="69"/>
      <c r="H1845" s="292">
        <v>0</v>
      </c>
    </row>
    <row r="1846" spans="3:9" ht="20.399999999999999" customHeight="1">
      <c r="C1846" s="293" t="s">
        <v>1218</v>
      </c>
      <c r="D1846" s="294" t="s">
        <v>1219</v>
      </c>
      <c r="E1846" s="295"/>
      <c r="F1846" s="295"/>
      <c r="G1846" s="296"/>
      <c r="H1846" s="284">
        <f>H1845+H1843+H1838</f>
        <v>153265</v>
      </c>
    </row>
    <row r="1847" spans="3:9" ht="20.399999999999999" customHeight="1">
      <c r="C1847" s="293" t="s">
        <v>1220</v>
      </c>
      <c r="D1847" s="294" t="s">
        <v>1321</v>
      </c>
      <c r="E1847" s="295"/>
      <c r="F1847" s="296"/>
      <c r="G1847" s="298">
        <f>$M$8</f>
        <v>0.1</v>
      </c>
      <c r="H1847" s="284">
        <f>H1846*G1847</f>
        <v>15326.5</v>
      </c>
    </row>
    <row r="1848" spans="3:9" ht="20.399999999999999" customHeight="1" thickBot="1">
      <c r="C1848" s="299" t="s">
        <v>1221</v>
      </c>
      <c r="D1848" s="300" t="s">
        <v>1222</v>
      </c>
      <c r="E1848" s="301"/>
      <c r="F1848" s="301"/>
      <c r="G1848" s="302"/>
      <c r="H1848" s="303">
        <f>SUM(H1846:H1847)</f>
        <v>168591.5</v>
      </c>
    </row>
    <row r="1849" spans="3:9" ht="14.4" thickTop="1">
      <c r="C1849" s="289"/>
      <c r="D1849" s="297"/>
      <c r="E1849" s="297"/>
      <c r="F1849" s="297"/>
      <c r="G1849" s="297"/>
      <c r="H1849" s="139"/>
    </row>
    <row r="1850" spans="3:9">
      <c r="C1850" s="126" t="s">
        <v>3004</v>
      </c>
      <c r="D1850" s="138" t="s">
        <v>3005</v>
      </c>
      <c r="E1850" s="297"/>
      <c r="F1850" s="297"/>
      <c r="G1850" s="297"/>
      <c r="H1850" s="139"/>
    </row>
    <row r="1851" spans="3:9" ht="14.4" thickBot="1">
      <c r="C1851" s="47" t="s">
        <v>3006</v>
      </c>
      <c r="D1851" s="485" t="s">
        <v>1474</v>
      </c>
      <c r="E1851" s="485"/>
      <c r="F1851" s="485"/>
      <c r="G1851" s="485"/>
      <c r="H1851" s="485"/>
      <c r="I1851" s="120">
        <f>ROUNDDOWN(H1867,-2)</f>
        <v>85000</v>
      </c>
    </row>
    <row r="1852" spans="3:9" ht="28.2" thickTop="1">
      <c r="C1852" s="51" t="s">
        <v>1195</v>
      </c>
      <c r="D1852" s="52" t="s">
        <v>1196</v>
      </c>
      <c r="E1852" s="52" t="s">
        <v>1197</v>
      </c>
      <c r="F1852" s="52" t="s">
        <v>1198</v>
      </c>
      <c r="G1852" s="52" t="s">
        <v>1199</v>
      </c>
      <c r="H1852" s="53" t="s">
        <v>1200</v>
      </c>
    </row>
    <row r="1853" spans="3:9" ht="20.399999999999999" customHeight="1">
      <c r="C1853" s="290" t="s">
        <v>1201</v>
      </c>
      <c r="D1853" s="182" t="s">
        <v>1202</v>
      </c>
      <c r="E1853" s="70"/>
      <c r="F1853" s="70"/>
      <c r="G1853" s="70"/>
      <c r="H1853" s="71"/>
    </row>
    <row r="1854" spans="3:9" ht="20.399999999999999" customHeight="1">
      <c r="C1854" s="281">
        <v>1</v>
      </c>
      <c r="D1854" s="182" t="s">
        <v>5</v>
      </c>
      <c r="E1854" s="176" t="s">
        <v>6</v>
      </c>
      <c r="F1854" s="282">
        <v>0.35</v>
      </c>
      <c r="G1854" s="283">
        <f>VLOOKUP(D1854,upahbahan,3,FALSE)</f>
        <v>100000</v>
      </c>
      <c r="H1854" s="284">
        <f>F1854*G1854</f>
        <v>35000</v>
      </c>
    </row>
    <row r="1855" spans="3:9" ht="20.399999999999999" customHeight="1">
      <c r="C1855" s="281">
        <v>2</v>
      </c>
      <c r="D1855" s="182" t="s">
        <v>7</v>
      </c>
      <c r="E1855" s="176" t="s">
        <v>6</v>
      </c>
      <c r="F1855" s="282">
        <v>0.17499999999999999</v>
      </c>
      <c r="G1855" s="283">
        <f>VLOOKUP(D1855,upahbahan,3,FALSE)</f>
        <v>135000</v>
      </c>
      <c r="H1855" s="284">
        <f t="shared" ref="H1855:H1857" si="179">F1855*G1855</f>
        <v>23625</v>
      </c>
    </row>
    <row r="1856" spans="3:9" ht="20.399999999999999" customHeight="1">
      <c r="C1856" s="281">
        <v>3</v>
      </c>
      <c r="D1856" s="182" t="s">
        <v>18</v>
      </c>
      <c r="E1856" s="176" t="s">
        <v>6</v>
      </c>
      <c r="F1856" s="282">
        <v>1.7999999999999999E-2</v>
      </c>
      <c r="G1856" s="283">
        <f>VLOOKUP(D1856,upahbahan,3,FALSE)</f>
        <v>150000</v>
      </c>
      <c r="H1856" s="284">
        <f t="shared" si="179"/>
        <v>2700</v>
      </c>
    </row>
    <row r="1857" spans="3:11" ht="20.399999999999999" customHeight="1">
      <c r="C1857" s="281">
        <v>4</v>
      </c>
      <c r="D1857" s="182" t="s">
        <v>19</v>
      </c>
      <c r="E1857" s="176" t="s">
        <v>6</v>
      </c>
      <c r="F1857" s="282">
        <v>6.0000000000000001E-3</v>
      </c>
      <c r="G1857" s="283">
        <f>VLOOKUP(D1857,upahbahan,3,FALSE)</f>
        <v>160000</v>
      </c>
      <c r="H1857" s="284">
        <f t="shared" si="179"/>
        <v>960</v>
      </c>
    </row>
    <row r="1858" spans="3:11" ht="20.399999999999999" customHeight="1">
      <c r="C1858" s="66" t="s">
        <v>1208</v>
      </c>
      <c r="D1858" s="67"/>
      <c r="E1858" s="67"/>
      <c r="F1858" s="142"/>
      <c r="G1858" s="153"/>
      <c r="H1858" s="284">
        <f>SUM(H1854:H1857)</f>
        <v>62285</v>
      </c>
      <c r="I1858" s="320"/>
    </row>
    <row r="1859" spans="3:11" ht="20.399999999999999" customHeight="1">
      <c r="C1859" s="290" t="s">
        <v>1209</v>
      </c>
      <c r="D1859" s="182" t="s">
        <v>1210</v>
      </c>
      <c r="E1859" s="70"/>
      <c r="F1859" s="70"/>
      <c r="G1859" s="70"/>
      <c r="H1859" s="71"/>
    </row>
    <row r="1860" spans="3:11" ht="20.399999999999999" customHeight="1">
      <c r="C1860" s="310" t="s">
        <v>1203</v>
      </c>
      <c r="D1860" s="182" t="s">
        <v>1066</v>
      </c>
      <c r="E1860" s="176" t="s">
        <v>113</v>
      </c>
      <c r="F1860" s="327">
        <v>2.2000000000000002</v>
      </c>
      <c r="G1860" s="283">
        <f>VLOOKUP(D1860,upahbahan,3,FALSE)</f>
        <v>0</v>
      </c>
      <c r="H1860" s="284">
        <f>F1860*G1860</f>
        <v>0</v>
      </c>
    </row>
    <row r="1861" spans="3:11" ht="20.399999999999999" customHeight="1">
      <c r="C1861" s="310" t="s">
        <v>1204</v>
      </c>
      <c r="D1861" s="182" t="s">
        <v>454</v>
      </c>
      <c r="E1861" s="176" t="s">
        <v>65</v>
      </c>
      <c r="F1861" s="327">
        <v>0.25</v>
      </c>
      <c r="G1861" s="283">
        <f>VLOOKUP(D1861,upahbahan,3,FALSE)</f>
        <v>60000</v>
      </c>
      <c r="H1861" s="284">
        <f t="shared" ref="H1861" si="180">F1861*G1861</f>
        <v>15000</v>
      </c>
    </row>
    <row r="1862" spans="3:11" ht="20.399999999999999" customHeight="1">
      <c r="C1862" s="66" t="s">
        <v>1214</v>
      </c>
      <c r="D1862" s="67"/>
      <c r="E1862" s="67"/>
      <c r="F1862" s="67"/>
      <c r="G1862" s="69"/>
      <c r="H1862" s="284">
        <f>SUM(H1860:H1861)</f>
        <v>15000</v>
      </c>
    </row>
    <row r="1863" spans="3:11" ht="20.399999999999999" customHeight="1">
      <c r="C1863" s="321" t="s">
        <v>1215</v>
      </c>
      <c r="D1863" s="182" t="s">
        <v>1216</v>
      </c>
      <c r="E1863" s="70"/>
      <c r="F1863" s="70"/>
      <c r="G1863" s="70"/>
      <c r="H1863" s="71"/>
    </row>
    <row r="1864" spans="3:11" ht="20.399999999999999" customHeight="1">
      <c r="C1864" s="66" t="s">
        <v>1217</v>
      </c>
      <c r="D1864" s="67"/>
      <c r="E1864" s="67"/>
      <c r="F1864" s="67"/>
      <c r="G1864" s="69"/>
      <c r="H1864" s="292">
        <v>0</v>
      </c>
    </row>
    <row r="1865" spans="3:11" ht="20.399999999999999" customHeight="1">
      <c r="C1865" s="293" t="s">
        <v>1218</v>
      </c>
      <c r="D1865" s="294" t="s">
        <v>1219</v>
      </c>
      <c r="E1865" s="295"/>
      <c r="F1865" s="295"/>
      <c r="G1865" s="296"/>
      <c r="H1865" s="284">
        <f>H1864+H1862+H1858</f>
        <v>77285</v>
      </c>
    </row>
    <row r="1866" spans="3:11" ht="20.399999999999999" customHeight="1">
      <c r="C1866" s="293" t="s">
        <v>1220</v>
      </c>
      <c r="D1866" s="294" t="s">
        <v>1321</v>
      </c>
      <c r="E1866" s="295"/>
      <c r="F1866" s="296"/>
      <c r="G1866" s="298">
        <f>$M$8</f>
        <v>0.1</v>
      </c>
      <c r="H1866" s="284">
        <f>H1865*G1866</f>
        <v>7728.5</v>
      </c>
    </row>
    <row r="1867" spans="3:11" ht="20.399999999999999" customHeight="1" thickBot="1">
      <c r="C1867" s="299" t="s">
        <v>1221</v>
      </c>
      <c r="D1867" s="300" t="s">
        <v>1222</v>
      </c>
      <c r="E1867" s="301"/>
      <c r="F1867" s="301"/>
      <c r="G1867" s="302"/>
      <c r="H1867" s="303">
        <f>SUM(H1865:H1866)</f>
        <v>85013.5</v>
      </c>
    </row>
    <row r="1868" spans="3:11" ht="14.4" thickTop="1">
      <c r="C1868" s="289"/>
      <c r="D1868" s="297"/>
      <c r="E1868" s="297"/>
      <c r="F1868" s="297"/>
      <c r="G1868" s="297"/>
      <c r="H1868" s="139"/>
    </row>
    <row r="1869" spans="3:11" ht="14.4" thickBot="1">
      <c r="C1869" s="47" t="s">
        <v>3007</v>
      </c>
      <c r="D1869" s="485" t="s">
        <v>1475</v>
      </c>
      <c r="E1869" s="485"/>
      <c r="F1869" s="485"/>
      <c r="G1869" s="485"/>
      <c r="H1869" s="485"/>
      <c r="I1869" s="120">
        <f>ROUNDDOWN(H1887,-2)</f>
        <v>349400</v>
      </c>
      <c r="J1869" s="59" t="s">
        <v>6451</v>
      </c>
      <c r="K1869" s="59" t="s">
        <v>6533</v>
      </c>
    </row>
    <row r="1870" spans="3:11" ht="28.2" thickTop="1">
      <c r="C1870" s="51" t="s">
        <v>1195</v>
      </c>
      <c r="D1870" s="52" t="s">
        <v>1196</v>
      </c>
      <c r="E1870" s="52" t="s">
        <v>1197</v>
      </c>
      <c r="F1870" s="52" t="s">
        <v>1198</v>
      </c>
      <c r="G1870" s="52" t="s">
        <v>1199</v>
      </c>
      <c r="H1870" s="53" t="s">
        <v>1200</v>
      </c>
    </row>
    <row r="1871" spans="3:11" ht="20.399999999999999" customHeight="1">
      <c r="C1871" s="290" t="s">
        <v>1201</v>
      </c>
      <c r="D1871" s="182" t="s">
        <v>1202</v>
      </c>
      <c r="E1871" s="70"/>
      <c r="F1871" s="70"/>
      <c r="G1871" s="70"/>
      <c r="H1871" s="71"/>
    </row>
    <row r="1872" spans="3:11" ht="20.399999999999999" customHeight="1">
      <c r="C1872" s="281">
        <v>1</v>
      </c>
      <c r="D1872" s="182" t="s">
        <v>5</v>
      </c>
      <c r="E1872" s="176" t="s">
        <v>6</v>
      </c>
      <c r="F1872" s="282">
        <v>0.15</v>
      </c>
      <c r="G1872" s="283">
        <f>VLOOKUP(D1872,upahbahan,3,FALSE)</f>
        <v>100000</v>
      </c>
      <c r="H1872" s="284">
        <f>F1872*G1872</f>
        <v>15000</v>
      </c>
    </row>
    <row r="1873" spans="3:9" ht="20.399999999999999" customHeight="1">
      <c r="C1873" s="281">
        <v>2</v>
      </c>
      <c r="D1873" s="182" t="s">
        <v>8</v>
      </c>
      <c r="E1873" s="176" t="s">
        <v>6</v>
      </c>
      <c r="F1873" s="282">
        <v>0.45</v>
      </c>
      <c r="G1873" s="283">
        <f>VLOOKUP(D1873,upahbahan,3,FALSE)</f>
        <v>135000</v>
      </c>
      <c r="H1873" s="284">
        <f t="shared" ref="H1873:H1875" si="181">F1873*G1873</f>
        <v>60750</v>
      </c>
    </row>
    <row r="1874" spans="3:9" ht="20.399999999999999" customHeight="1">
      <c r="C1874" s="281">
        <v>3</v>
      </c>
      <c r="D1874" s="182" t="s">
        <v>18</v>
      </c>
      <c r="E1874" s="176" t="s">
        <v>6</v>
      </c>
      <c r="F1874" s="282">
        <v>4.4999999999999998E-2</v>
      </c>
      <c r="G1874" s="283">
        <f>VLOOKUP(D1874,upahbahan,3,FALSE)</f>
        <v>150000</v>
      </c>
      <c r="H1874" s="284">
        <f t="shared" si="181"/>
        <v>6750</v>
      </c>
    </row>
    <row r="1875" spans="3:9" ht="20.399999999999999" customHeight="1">
      <c r="C1875" s="281">
        <v>4</v>
      </c>
      <c r="D1875" s="182" t="s">
        <v>19</v>
      </c>
      <c r="E1875" s="176" t="s">
        <v>6</v>
      </c>
      <c r="F1875" s="282">
        <v>1.4999999999999999E-2</v>
      </c>
      <c r="G1875" s="283">
        <f>VLOOKUP(D1875,upahbahan,3,FALSE)</f>
        <v>160000</v>
      </c>
      <c r="H1875" s="284">
        <f t="shared" si="181"/>
        <v>2400</v>
      </c>
    </row>
    <row r="1876" spans="3:9" ht="20.399999999999999" customHeight="1">
      <c r="C1876" s="66" t="s">
        <v>1208</v>
      </c>
      <c r="D1876" s="67"/>
      <c r="E1876" s="67"/>
      <c r="F1876" s="142"/>
      <c r="G1876" s="153"/>
      <c r="H1876" s="284">
        <f>SUM(H1872:H1875)</f>
        <v>84900</v>
      </c>
      <c r="I1876" s="320"/>
    </row>
    <row r="1877" spans="3:9" ht="20.399999999999999" customHeight="1">
      <c r="C1877" s="290" t="s">
        <v>1209</v>
      </c>
      <c r="D1877" s="182" t="s">
        <v>1210</v>
      </c>
      <c r="E1877" s="70"/>
      <c r="F1877" s="70"/>
      <c r="G1877" s="70"/>
      <c r="H1877" s="71"/>
    </row>
    <row r="1878" spans="3:9" ht="20.399999999999999" customHeight="1">
      <c r="C1878" s="310" t="s">
        <v>1203</v>
      </c>
      <c r="D1878" s="285" t="s">
        <v>115</v>
      </c>
      <c r="E1878" s="291" t="s">
        <v>42</v>
      </c>
      <c r="F1878" s="282">
        <v>2.8000000000000001E-2</v>
      </c>
      <c r="G1878" s="283">
        <f>VLOOKUP(D1878,upahbahan,3,FALSE)</f>
        <v>5904000</v>
      </c>
      <c r="H1878" s="284">
        <f t="shared" ref="H1878:H1881" si="182">F1878*G1878</f>
        <v>165312</v>
      </c>
    </row>
    <row r="1879" spans="3:9" ht="20.399999999999999" customHeight="1">
      <c r="C1879" s="310" t="s">
        <v>1204</v>
      </c>
      <c r="D1879" s="285" t="s">
        <v>6467</v>
      </c>
      <c r="E1879" s="291" t="s">
        <v>65</v>
      </c>
      <c r="F1879" s="282">
        <v>0.15</v>
      </c>
      <c r="G1879" s="283">
        <f>VLOOKUP(D1879,upahbahan,3,FALSE)</f>
        <v>20000</v>
      </c>
      <c r="H1879" s="284">
        <f t="shared" si="182"/>
        <v>3000</v>
      </c>
    </row>
    <row r="1880" spans="3:9" ht="20.399999999999999" customHeight="1">
      <c r="C1880" s="310" t="s">
        <v>1205</v>
      </c>
      <c r="D1880" s="285" t="s">
        <v>1845</v>
      </c>
      <c r="E1880" s="291" t="s">
        <v>129</v>
      </c>
      <c r="F1880" s="282">
        <v>0.86</v>
      </c>
      <c r="G1880" s="283">
        <f>VLOOKUP(D1880,upahbahan,3,FALSE)</f>
        <v>75000</v>
      </c>
      <c r="H1880" s="284">
        <f t="shared" si="182"/>
        <v>64500</v>
      </c>
    </row>
    <row r="1881" spans="3:9" ht="20.399999999999999" customHeight="1">
      <c r="C1881" s="310" t="s">
        <v>1206</v>
      </c>
      <c r="D1881" s="285" t="s">
        <v>1476</v>
      </c>
      <c r="E1881" s="291" t="s">
        <v>65</v>
      </c>
      <c r="F1881" s="282">
        <v>0.56000000000000005</v>
      </c>
      <c r="G1881" s="283">
        <f>VLOOKUP(D1881,upahbahan,3,FALSE)</f>
        <v>0</v>
      </c>
      <c r="H1881" s="284">
        <f t="shared" si="182"/>
        <v>0</v>
      </c>
    </row>
    <row r="1882" spans="3:9" ht="20.399999999999999" customHeight="1">
      <c r="C1882" s="66" t="s">
        <v>1214</v>
      </c>
      <c r="D1882" s="67"/>
      <c r="E1882" s="67"/>
      <c r="F1882" s="67"/>
      <c r="G1882" s="69"/>
      <c r="H1882" s="284">
        <f>SUM(H1878:H1881)</f>
        <v>232812</v>
      </c>
    </row>
    <row r="1883" spans="3:9" ht="20.399999999999999" customHeight="1">
      <c r="C1883" s="321" t="s">
        <v>1215</v>
      </c>
      <c r="D1883" s="182" t="s">
        <v>1216</v>
      </c>
      <c r="E1883" s="70"/>
      <c r="F1883" s="70"/>
      <c r="G1883" s="70"/>
      <c r="H1883" s="71"/>
    </row>
    <row r="1884" spans="3:9" ht="20.399999999999999" customHeight="1">
      <c r="C1884" s="66" t="s">
        <v>1217</v>
      </c>
      <c r="D1884" s="67"/>
      <c r="E1884" s="67"/>
      <c r="F1884" s="67"/>
      <c r="G1884" s="69"/>
      <c r="H1884" s="292">
        <v>0</v>
      </c>
    </row>
    <row r="1885" spans="3:9" ht="20.399999999999999" customHeight="1">
      <c r="C1885" s="293" t="s">
        <v>1218</v>
      </c>
      <c r="D1885" s="294" t="s">
        <v>1219</v>
      </c>
      <c r="E1885" s="295"/>
      <c r="F1885" s="295"/>
      <c r="G1885" s="296"/>
      <c r="H1885" s="284">
        <f>H1884+H1882+H1876</f>
        <v>317712</v>
      </c>
    </row>
    <row r="1886" spans="3:9" ht="20.399999999999999" customHeight="1">
      <c r="C1886" s="293" t="s">
        <v>1220</v>
      </c>
      <c r="D1886" s="294" t="s">
        <v>1321</v>
      </c>
      <c r="E1886" s="295"/>
      <c r="F1886" s="296"/>
      <c r="G1886" s="298">
        <f>$M$8</f>
        <v>0.1</v>
      </c>
      <c r="H1886" s="284">
        <f>H1885*G1886</f>
        <v>31771.200000000001</v>
      </c>
    </row>
    <row r="1887" spans="3:9" ht="20.399999999999999" customHeight="1" thickBot="1">
      <c r="C1887" s="299" t="s">
        <v>1221</v>
      </c>
      <c r="D1887" s="300" t="s">
        <v>1222</v>
      </c>
      <c r="E1887" s="301"/>
      <c r="F1887" s="301"/>
      <c r="G1887" s="302"/>
      <c r="H1887" s="303">
        <f>SUM(H1885:H1886)</f>
        <v>349483.2</v>
      </c>
    </row>
    <row r="1888" spans="3:9" ht="14.4" thickTop="1">
      <c r="C1888" s="289"/>
      <c r="D1888" s="297"/>
      <c r="E1888" s="297"/>
      <c r="F1888" s="297"/>
      <c r="G1888" s="297"/>
      <c r="H1888" s="139"/>
    </row>
    <row r="1889" spans="3:9" ht="14.4" thickBot="1">
      <c r="C1889" s="47" t="s">
        <v>3008</v>
      </c>
      <c r="D1889" s="485" t="s">
        <v>1477</v>
      </c>
      <c r="E1889" s="485"/>
      <c r="F1889" s="485"/>
      <c r="G1889" s="485"/>
      <c r="H1889" s="485"/>
      <c r="I1889" s="120" t="e">
        <f>ROUNDDOWN(H1906,-2)</f>
        <v>#VALUE!</v>
      </c>
    </row>
    <row r="1890" spans="3:9" ht="28.2" thickTop="1">
      <c r="C1890" s="51" t="s">
        <v>1195</v>
      </c>
      <c r="D1890" s="52" t="s">
        <v>1196</v>
      </c>
      <c r="E1890" s="52" t="s">
        <v>1197</v>
      </c>
      <c r="F1890" s="52" t="s">
        <v>1198</v>
      </c>
      <c r="G1890" s="52" t="s">
        <v>1199</v>
      </c>
      <c r="H1890" s="53" t="s">
        <v>1200</v>
      </c>
    </row>
    <row r="1891" spans="3:9" ht="20.399999999999999" customHeight="1">
      <c r="C1891" s="290" t="s">
        <v>1201</v>
      </c>
      <c r="D1891" s="182" t="s">
        <v>1202</v>
      </c>
      <c r="E1891" s="70"/>
      <c r="F1891" s="70"/>
      <c r="G1891" s="70"/>
      <c r="H1891" s="71"/>
    </row>
    <row r="1892" spans="3:9" ht="20.399999999999999" customHeight="1">
      <c r="C1892" s="281">
        <v>1</v>
      </c>
      <c r="D1892" s="182" t="s">
        <v>5</v>
      </c>
      <c r="E1892" s="176" t="s">
        <v>6</v>
      </c>
      <c r="F1892" s="282">
        <v>0.6</v>
      </c>
      <c r="G1892" s="283">
        <f>VLOOKUP(D1892,upahbahan,3,FALSE)</f>
        <v>100000</v>
      </c>
      <c r="H1892" s="284">
        <f t="shared" ref="H1892:H1895" si="183">F1892*G1892</f>
        <v>60000</v>
      </c>
    </row>
    <row r="1893" spans="3:9" ht="20.399999999999999" customHeight="1">
      <c r="C1893" s="281">
        <v>2</v>
      </c>
      <c r="D1893" s="182" t="s">
        <v>8</v>
      </c>
      <c r="E1893" s="176" t="s">
        <v>6</v>
      </c>
      <c r="F1893" s="282">
        <v>1.8</v>
      </c>
      <c r="G1893" s="283">
        <f>VLOOKUP(D1893,upahbahan,3,FALSE)</f>
        <v>135000</v>
      </c>
      <c r="H1893" s="284">
        <f t="shared" si="183"/>
        <v>243000</v>
      </c>
    </row>
    <row r="1894" spans="3:9" ht="20.399999999999999" customHeight="1">
      <c r="C1894" s="281">
        <v>3</v>
      </c>
      <c r="D1894" s="182" t="s">
        <v>18</v>
      </c>
      <c r="E1894" s="176" t="s">
        <v>6</v>
      </c>
      <c r="F1894" s="282">
        <v>0.18</v>
      </c>
      <c r="G1894" s="283">
        <f>VLOOKUP(D1894,upahbahan,3,FALSE)</f>
        <v>150000</v>
      </c>
      <c r="H1894" s="284">
        <f t="shared" si="183"/>
        <v>27000</v>
      </c>
    </row>
    <row r="1895" spans="3:9" ht="20.399999999999999" customHeight="1">
      <c r="C1895" s="281">
        <v>4</v>
      </c>
      <c r="D1895" s="182" t="s">
        <v>19</v>
      </c>
      <c r="E1895" s="176" t="s">
        <v>6</v>
      </c>
      <c r="F1895" s="282">
        <v>0.06</v>
      </c>
      <c r="G1895" s="283">
        <f>VLOOKUP(D1895,upahbahan,3,FALSE)</f>
        <v>160000</v>
      </c>
      <c r="H1895" s="284">
        <f t="shared" si="183"/>
        <v>9600</v>
      </c>
    </row>
    <row r="1896" spans="3:9" ht="20.399999999999999" customHeight="1">
      <c r="C1896" s="66" t="s">
        <v>1208</v>
      </c>
      <c r="D1896" s="67"/>
      <c r="E1896" s="67"/>
      <c r="F1896" s="142"/>
      <c r="G1896" s="153"/>
      <c r="H1896" s="284">
        <f>SUM(H1892:H1895)</f>
        <v>339600</v>
      </c>
      <c r="I1896" s="320"/>
    </row>
    <row r="1897" spans="3:9" ht="20.399999999999999" customHeight="1">
      <c r="C1897" s="290" t="s">
        <v>1209</v>
      </c>
      <c r="D1897" s="182" t="s">
        <v>1210</v>
      </c>
      <c r="E1897" s="70"/>
      <c r="F1897" s="70"/>
      <c r="G1897" s="70"/>
      <c r="H1897" s="71"/>
    </row>
    <row r="1898" spans="3:9" ht="20.399999999999999" customHeight="1">
      <c r="C1898" s="310" t="s">
        <v>1203</v>
      </c>
      <c r="D1898" s="285" t="s">
        <v>122</v>
      </c>
      <c r="E1898" s="291" t="s">
        <v>42</v>
      </c>
      <c r="F1898" s="282">
        <v>7.0000000000000001E-3</v>
      </c>
      <c r="G1898" s="283" t="e">
        <f>VLOOKUP(D1898,upahbahan,3,FALSE)</f>
        <v>#VALUE!</v>
      </c>
      <c r="H1898" s="284" t="e">
        <f t="shared" ref="H1898:H1900" si="184">F1898*G1898</f>
        <v>#VALUE!</v>
      </c>
    </row>
    <row r="1899" spans="3:9" ht="20.399999999999999" customHeight="1">
      <c r="C1899" s="310" t="s">
        <v>1204</v>
      </c>
      <c r="D1899" s="285" t="s">
        <v>262</v>
      </c>
      <c r="E1899" s="291" t="s">
        <v>65</v>
      </c>
      <c r="F1899" s="282">
        <v>0.1</v>
      </c>
      <c r="G1899" s="283">
        <f>VLOOKUP(D1899,upahbahan,3,FALSE)</f>
        <v>33901.875</v>
      </c>
      <c r="H1899" s="284">
        <f t="shared" si="184"/>
        <v>3390.1875</v>
      </c>
    </row>
    <row r="1900" spans="3:9" ht="20.399999999999999" customHeight="1">
      <c r="C1900" s="310" t="s">
        <v>1205</v>
      </c>
      <c r="D1900" s="285" t="s">
        <v>268</v>
      </c>
      <c r="E1900" s="291" t="s">
        <v>65</v>
      </c>
      <c r="F1900" s="282">
        <v>0.15</v>
      </c>
      <c r="G1900" s="283">
        <f>VLOOKUP(D1900,upahbahan,3,FALSE)</f>
        <v>216000</v>
      </c>
      <c r="H1900" s="284">
        <f t="shared" si="184"/>
        <v>32400</v>
      </c>
    </row>
    <row r="1901" spans="3:9" ht="20.399999999999999" customHeight="1">
      <c r="C1901" s="66" t="s">
        <v>1214</v>
      </c>
      <c r="D1901" s="67"/>
      <c r="E1901" s="67"/>
      <c r="F1901" s="67"/>
      <c r="G1901" s="69"/>
      <c r="H1901" s="284" t="e">
        <f>SUM(H1898:H1900)</f>
        <v>#VALUE!</v>
      </c>
    </row>
    <row r="1902" spans="3:9" ht="20.399999999999999" customHeight="1">
      <c r="C1902" s="321" t="s">
        <v>1215</v>
      </c>
      <c r="D1902" s="182" t="s">
        <v>1216</v>
      </c>
      <c r="E1902" s="70"/>
      <c r="F1902" s="70"/>
      <c r="G1902" s="70"/>
      <c r="H1902" s="71"/>
    </row>
    <row r="1903" spans="3:9" ht="20.399999999999999" customHeight="1">
      <c r="C1903" s="66" t="s">
        <v>1217</v>
      </c>
      <c r="D1903" s="67"/>
      <c r="E1903" s="67"/>
      <c r="F1903" s="67"/>
      <c r="G1903" s="69"/>
      <c r="H1903" s="292">
        <v>0</v>
      </c>
    </row>
    <row r="1904" spans="3:9" ht="20.399999999999999" customHeight="1">
      <c r="C1904" s="293" t="s">
        <v>1218</v>
      </c>
      <c r="D1904" s="294" t="s">
        <v>1219</v>
      </c>
      <c r="E1904" s="295"/>
      <c r="F1904" s="295"/>
      <c r="G1904" s="296"/>
      <c r="H1904" s="284" t="e">
        <f>H1903+H1901+H1896</f>
        <v>#VALUE!</v>
      </c>
    </row>
    <row r="1905" spans="3:9" ht="20.399999999999999" customHeight="1">
      <c r="C1905" s="293" t="s">
        <v>1220</v>
      </c>
      <c r="D1905" s="294" t="s">
        <v>1321</v>
      </c>
      <c r="E1905" s="295"/>
      <c r="F1905" s="296"/>
      <c r="G1905" s="298">
        <f>$M$8</f>
        <v>0.1</v>
      </c>
      <c r="H1905" s="284" t="e">
        <f>H1904*G1905</f>
        <v>#VALUE!</v>
      </c>
    </row>
    <row r="1906" spans="3:9" ht="20.399999999999999" customHeight="1" thickBot="1">
      <c r="C1906" s="299" t="s">
        <v>1221</v>
      </c>
      <c r="D1906" s="300" t="s">
        <v>1222</v>
      </c>
      <c r="E1906" s="301"/>
      <c r="F1906" s="301"/>
      <c r="G1906" s="302"/>
      <c r="H1906" s="303" t="e">
        <f>SUM(H1904:H1905)</f>
        <v>#VALUE!</v>
      </c>
    </row>
    <row r="1907" spans="3:9" ht="14.4" thickTop="1">
      <c r="C1907" s="289"/>
      <c r="D1907" s="297"/>
      <c r="E1907" s="297"/>
      <c r="F1907" s="297"/>
      <c r="G1907" s="297"/>
      <c r="H1907" s="139"/>
    </row>
    <row r="1908" spans="3:9" ht="14.4" thickBot="1">
      <c r="C1908" s="119" t="s">
        <v>3009</v>
      </c>
      <c r="D1908" s="485" t="s">
        <v>3010</v>
      </c>
      <c r="E1908" s="485"/>
      <c r="F1908" s="485"/>
      <c r="G1908" s="485"/>
      <c r="H1908" s="485"/>
      <c r="I1908" s="120">
        <f>ROUNDDOWN(H1924,-2)</f>
        <v>2813700</v>
      </c>
    </row>
    <row r="1909" spans="3:9" ht="28.2" thickTop="1">
      <c r="C1909" s="51" t="s">
        <v>1195</v>
      </c>
      <c r="D1909" s="52" t="s">
        <v>1196</v>
      </c>
      <c r="E1909" s="52" t="s">
        <v>1197</v>
      </c>
      <c r="F1909" s="52" t="s">
        <v>1198</v>
      </c>
      <c r="G1909" s="52" t="s">
        <v>1199</v>
      </c>
      <c r="H1909" s="53" t="s">
        <v>1200</v>
      </c>
    </row>
    <row r="1910" spans="3:9" ht="20.399999999999999" customHeight="1">
      <c r="C1910" s="290" t="s">
        <v>1201</v>
      </c>
      <c r="D1910" s="182" t="s">
        <v>1202</v>
      </c>
      <c r="E1910" s="70"/>
      <c r="F1910" s="70"/>
      <c r="G1910" s="70"/>
      <c r="H1910" s="71"/>
    </row>
    <row r="1911" spans="3:9" ht="20.399999999999999" customHeight="1">
      <c r="C1911" s="281">
        <v>1</v>
      </c>
      <c r="D1911" s="182" t="s">
        <v>5</v>
      </c>
      <c r="E1911" s="176" t="s">
        <v>6</v>
      </c>
      <c r="F1911" s="282">
        <v>0.25</v>
      </c>
      <c r="G1911" s="283">
        <f>VLOOKUP(D1911,upahbahan,3,FALSE)</f>
        <v>100000</v>
      </c>
      <c r="H1911" s="284">
        <f t="shared" ref="H1911:H1914" si="185">F1911*G1911</f>
        <v>25000</v>
      </c>
    </row>
    <row r="1912" spans="3:9" ht="20.399999999999999" customHeight="1">
      <c r="C1912" s="281">
        <v>2</v>
      </c>
      <c r="D1912" s="182" t="s">
        <v>8</v>
      </c>
      <c r="E1912" s="176" t="s">
        <v>6</v>
      </c>
      <c r="F1912" s="282">
        <v>7.4999999999999997E-2</v>
      </c>
      <c r="G1912" s="283">
        <f>VLOOKUP(D1912,upahbahan,3,FALSE)</f>
        <v>135000</v>
      </c>
      <c r="H1912" s="284">
        <f t="shared" si="185"/>
        <v>10125</v>
      </c>
    </row>
    <row r="1913" spans="3:9" ht="20.399999999999999" customHeight="1">
      <c r="C1913" s="281">
        <v>3</v>
      </c>
      <c r="D1913" s="182" t="s">
        <v>18</v>
      </c>
      <c r="E1913" s="176" t="s">
        <v>6</v>
      </c>
      <c r="F1913" s="282">
        <v>8.0000000000000002E-3</v>
      </c>
      <c r="G1913" s="283">
        <f>VLOOKUP(D1913,upahbahan,3,FALSE)</f>
        <v>150000</v>
      </c>
      <c r="H1913" s="284">
        <f t="shared" si="185"/>
        <v>1200</v>
      </c>
    </row>
    <row r="1914" spans="3:9" ht="20.399999999999999" customHeight="1">
      <c r="C1914" s="281">
        <v>4</v>
      </c>
      <c r="D1914" s="182" t="s">
        <v>19</v>
      </c>
      <c r="E1914" s="176" t="s">
        <v>6</v>
      </c>
      <c r="F1914" s="282">
        <v>3.0000000000000001E-3</v>
      </c>
      <c r="G1914" s="283">
        <f>VLOOKUP(D1914,upahbahan,3,FALSE)</f>
        <v>160000</v>
      </c>
      <c r="H1914" s="284">
        <f t="shared" si="185"/>
        <v>480</v>
      </c>
    </row>
    <row r="1915" spans="3:9" ht="20.399999999999999" customHeight="1">
      <c r="C1915" s="66" t="s">
        <v>1208</v>
      </c>
      <c r="D1915" s="67"/>
      <c r="E1915" s="67"/>
      <c r="F1915" s="142"/>
      <c r="G1915" s="153"/>
      <c r="H1915" s="284">
        <f>SUM(H1911:H1914)</f>
        <v>36805</v>
      </c>
      <c r="I1915" s="320"/>
    </row>
    <row r="1916" spans="3:9" ht="20.399999999999999" customHeight="1">
      <c r="C1916" s="290" t="s">
        <v>1209</v>
      </c>
      <c r="D1916" s="182" t="s">
        <v>1210</v>
      </c>
      <c r="E1916" s="70"/>
      <c r="F1916" s="70"/>
      <c r="G1916" s="70"/>
      <c r="H1916" s="71"/>
    </row>
    <row r="1917" spans="3:9" ht="20.399999999999999" customHeight="1">
      <c r="C1917" s="310" t="s">
        <v>1203</v>
      </c>
      <c r="D1917" s="285" t="s">
        <v>1250</v>
      </c>
      <c r="E1917" s="291" t="s">
        <v>42</v>
      </c>
      <c r="F1917" s="315">
        <v>0.4</v>
      </c>
      <c r="G1917" s="283">
        <f>VLOOKUP(D1917,upahbahan,3,FALSE)</f>
        <v>6298700</v>
      </c>
      <c r="H1917" s="284">
        <f t="shared" ref="H1917:H1918" si="186">F1917*G1917</f>
        <v>2519480</v>
      </c>
    </row>
    <row r="1918" spans="3:9" ht="20.399999999999999" customHeight="1">
      <c r="C1918" s="310" t="s">
        <v>1204</v>
      </c>
      <c r="D1918" s="285" t="s">
        <v>261</v>
      </c>
      <c r="E1918" s="291" t="s">
        <v>65</v>
      </c>
      <c r="F1918" s="315">
        <v>0.05</v>
      </c>
      <c r="G1918" s="283">
        <f>VLOOKUP(D1918,upahbahan,3,FALSE)</f>
        <v>33901.875</v>
      </c>
      <c r="H1918" s="284">
        <f t="shared" si="186"/>
        <v>1695.09375</v>
      </c>
    </row>
    <row r="1919" spans="3:9" ht="20.399999999999999" customHeight="1">
      <c r="C1919" s="66" t="s">
        <v>1214</v>
      </c>
      <c r="D1919" s="67"/>
      <c r="E1919" s="67"/>
      <c r="F1919" s="67"/>
      <c r="G1919" s="69"/>
      <c r="H1919" s="284">
        <f>SUM(H1917:H1918)</f>
        <v>2521175.09375</v>
      </c>
    </row>
    <row r="1920" spans="3:9" ht="20.399999999999999" customHeight="1">
      <c r="C1920" s="321" t="s">
        <v>1215</v>
      </c>
      <c r="D1920" s="182" t="s">
        <v>1216</v>
      </c>
      <c r="E1920" s="70"/>
      <c r="F1920" s="70"/>
      <c r="G1920" s="70"/>
      <c r="H1920" s="71"/>
    </row>
    <row r="1921" spans="3:11" ht="20.399999999999999" customHeight="1">
      <c r="C1921" s="66" t="s">
        <v>1217</v>
      </c>
      <c r="D1921" s="67"/>
      <c r="E1921" s="67"/>
      <c r="F1921" s="67"/>
      <c r="G1921" s="69"/>
      <c r="H1921" s="292">
        <v>0</v>
      </c>
    </row>
    <row r="1922" spans="3:11" ht="20.399999999999999" customHeight="1">
      <c r="C1922" s="293" t="s">
        <v>1218</v>
      </c>
      <c r="D1922" s="294" t="s">
        <v>1219</v>
      </c>
      <c r="E1922" s="295"/>
      <c r="F1922" s="295"/>
      <c r="G1922" s="296"/>
      <c r="H1922" s="284">
        <f>H1921+H1919+H1915</f>
        <v>2557980.09375</v>
      </c>
    </row>
    <row r="1923" spans="3:11" ht="20.399999999999999" customHeight="1">
      <c r="C1923" s="293" t="s">
        <v>1220</v>
      </c>
      <c r="D1923" s="294" t="s">
        <v>1321</v>
      </c>
      <c r="E1923" s="295"/>
      <c r="F1923" s="296"/>
      <c r="G1923" s="298">
        <f>$M$8</f>
        <v>0.1</v>
      </c>
      <c r="H1923" s="284">
        <f>H1922*G1923</f>
        <v>255798.00937500002</v>
      </c>
    </row>
    <row r="1924" spans="3:11" ht="20.399999999999999" customHeight="1" thickBot="1">
      <c r="C1924" s="299" t="s">
        <v>1221</v>
      </c>
      <c r="D1924" s="300" t="s">
        <v>1222</v>
      </c>
      <c r="E1924" s="301"/>
      <c r="F1924" s="301"/>
      <c r="G1924" s="302"/>
      <c r="H1924" s="303">
        <f>SUM(H1922:H1923)</f>
        <v>2813778.1031249999</v>
      </c>
    </row>
    <row r="1925" spans="3:11" ht="14.4" thickTop="1">
      <c r="C1925" s="289"/>
      <c r="D1925" s="297"/>
      <c r="E1925" s="297"/>
      <c r="F1925" s="297"/>
      <c r="G1925" s="297"/>
      <c r="H1925" s="139"/>
    </row>
    <row r="1926" spans="3:11" ht="14.4" thickBot="1">
      <c r="C1926" s="119" t="s">
        <v>3011</v>
      </c>
      <c r="D1926" s="485" t="s">
        <v>1478</v>
      </c>
      <c r="E1926" s="485"/>
      <c r="F1926" s="485"/>
      <c r="G1926" s="485"/>
      <c r="H1926" s="485"/>
      <c r="I1926" s="120">
        <f>ROUNDDOWN(H1944,-2)</f>
        <v>20000</v>
      </c>
      <c r="J1926" s="59" t="s">
        <v>6451</v>
      </c>
      <c r="K1926" s="59" t="s">
        <v>6534</v>
      </c>
    </row>
    <row r="1927" spans="3:11" ht="28.2" thickTop="1">
      <c r="C1927" s="51" t="s">
        <v>1195</v>
      </c>
      <c r="D1927" s="52" t="s">
        <v>1196</v>
      </c>
      <c r="E1927" s="52" t="s">
        <v>1197</v>
      </c>
      <c r="F1927" s="52" t="s">
        <v>1198</v>
      </c>
      <c r="G1927" s="52" t="s">
        <v>1199</v>
      </c>
      <c r="H1927" s="53" t="s">
        <v>1200</v>
      </c>
    </row>
    <row r="1928" spans="3:11" ht="20.399999999999999" customHeight="1">
      <c r="C1928" s="290" t="s">
        <v>1201</v>
      </c>
      <c r="D1928" s="182" t="s">
        <v>1202</v>
      </c>
      <c r="E1928" s="70"/>
      <c r="F1928" s="70"/>
      <c r="G1928" s="70"/>
      <c r="H1928" s="71"/>
    </row>
    <row r="1929" spans="3:11" ht="20.399999999999999" customHeight="1">
      <c r="C1929" s="281">
        <v>1</v>
      </c>
      <c r="D1929" s="182" t="s">
        <v>5</v>
      </c>
      <c r="E1929" s="176" t="s">
        <v>6</v>
      </c>
      <c r="F1929" s="282">
        <v>0.1</v>
      </c>
      <c r="G1929" s="283">
        <f>VLOOKUP(D1929,upahbahan,3,FALSE)</f>
        <v>100000</v>
      </c>
      <c r="H1929" s="284">
        <f t="shared" ref="H1929:H1932" si="187">F1929*G1929</f>
        <v>10000</v>
      </c>
    </row>
    <row r="1930" spans="3:11" ht="20.399999999999999" customHeight="1">
      <c r="C1930" s="281">
        <v>2</v>
      </c>
      <c r="D1930" s="182" t="s">
        <v>8</v>
      </c>
      <c r="E1930" s="176" t="s">
        <v>6</v>
      </c>
      <c r="F1930" s="282">
        <v>0.05</v>
      </c>
      <c r="G1930" s="283">
        <f>VLOOKUP(D1930,upahbahan,3,FALSE)</f>
        <v>135000</v>
      </c>
      <c r="H1930" s="284">
        <f t="shared" si="187"/>
        <v>6750</v>
      </c>
    </row>
    <row r="1931" spans="3:11" ht="20.399999999999999" customHeight="1">
      <c r="C1931" s="281">
        <v>3</v>
      </c>
      <c r="D1931" s="182" t="s">
        <v>18</v>
      </c>
      <c r="E1931" s="176" t="s">
        <v>6</v>
      </c>
      <c r="F1931" s="282">
        <v>5.0000000000000001E-3</v>
      </c>
      <c r="G1931" s="283">
        <f>VLOOKUP(D1931,upahbahan,3,FALSE)</f>
        <v>150000</v>
      </c>
      <c r="H1931" s="284">
        <f t="shared" si="187"/>
        <v>750</v>
      </c>
    </row>
    <row r="1932" spans="3:11" ht="20.399999999999999" customHeight="1">
      <c r="C1932" s="281">
        <v>4</v>
      </c>
      <c r="D1932" s="182" t="s">
        <v>19</v>
      </c>
      <c r="E1932" s="176" t="s">
        <v>6</v>
      </c>
      <c r="F1932" s="282">
        <v>2E-3</v>
      </c>
      <c r="G1932" s="283">
        <f>VLOOKUP(D1932,upahbahan,3,FALSE)</f>
        <v>160000</v>
      </c>
      <c r="H1932" s="284">
        <f t="shared" si="187"/>
        <v>320</v>
      </c>
    </row>
    <row r="1933" spans="3:11" ht="20.399999999999999" customHeight="1">
      <c r="C1933" s="66" t="s">
        <v>1208</v>
      </c>
      <c r="D1933" s="67"/>
      <c r="E1933" s="67"/>
      <c r="F1933" s="142"/>
      <c r="G1933" s="153"/>
      <c r="H1933" s="284">
        <f>SUM(H1929:H1932)</f>
        <v>17820</v>
      </c>
      <c r="I1933" s="320"/>
    </row>
    <row r="1934" spans="3:11" ht="20.399999999999999" customHeight="1">
      <c r="C1934" s="290" t="s">
        <v>1209</v>
      </c>
      <c r="D1934" s="182" t="s">
        <v>1210</v>
      </c>
      <c r="E1934" s="70"/>
      <c r="F1934" s="70"/>
      <c r="G1934" s="70"/>
      <c r="H1934" s="71"/>
    </row>
    <row r="1935" spans="3:11" ht="20.399999999999999" customHeight="1">
      <c r="C1935" s="310" t="s">
        <v>1203</v>
      </c>
      <c r="D1935" s="285" t="s">
        <v>1479</v>
      </c>
      <c r="E1935" s="291" t="s">
        <v>62</v>
      </c>
      <c r="F1935" s="282">
        <v>1.5</v>
      </c>
      <c r="G1935" s="283">
        <f>VLOOKUP(D1935,upahbahan,3,FALSE)</f>
        <v>0</v>
      </c>
      <c r="H1935" s="284">
        <f t="shared" ref="H1935:H1938" si="188">F1935*G1935</f>
        <v>0</v>
      </c>
    </row>
    <row r="1936" spans="3:11" ht="20.399999999999999" customHeight="1">
      <c r="C1936" s="310" t="s">
        <v>1204</v>
      </c>
      <c r="D1936" s="285" t="s">
        <v>118</v>
      </c>
      <c r="E1936" s="291" t="s">
        <v>42</v>
      </c>
      <c r="F1936" s="282">
        <v>1.4E-2</v>
      </c>
      <c r="G1936" s="283">
        <f>VLOOKUP(D1936,upahbahan,3,FALSE)</f>
        <v>0</v>
      </c>
      <c r="H1936" s="284">
        <f t="shared" si="188"/>
        <v>0</v>
      </c>
    </row>
    <row r="1937" spans="3:9" ht="20.399999999999999" customHeight="1">
      <c r="C1937" s="310" t="s">
        <v>1205</v>
      </c>
      <c r="D1937" s="285" t="s">
        <v>1823</v>
      </c>
      <c r="E1937" s="291" t="s">
        <v>65</v>
      </c>
      <c r="F1937" s="282">
        <v>1.2E-2</v>
      </c>
      <c r="G1937" s="283">
        <f>VLOOKUP(D1937,upahbahan,3,FALSE)</f>
        <v>33075</v>
      </c>
      <c r="H1937" s="284">
        <f t="shared" si="188"/>
        <v>396.90000000000003</v>
      </c>
    </row>
    <row r="1938" spans="3:9" ht="20.399999999999999" customHeight="1">
      <c r="C1938" s="310" t="s">
        <v>1206</v>
      </c>
      <c r="D1938" s="285" t="s">
        <v>127</v>
      </c>
      <c r="E1938" s="291" t="s">
        <v>42</v>
      </c>
      <c r="F1938" s="282">
        <v>3.0000000000000001E-3</v>
      </c>
      <c r="G1938" s="283">
        <f>VLOOKUP(D1938,upahbahan,3,FALSE)</f>
        <v>0</v>
      </c>
      <c r="H1938" s="284">
        <f t="shared" si="188"/>
        <v>0</v>
      </c>
    </row>
    <row r="1939" spans="3:9" ht="20.399999999999999" customHeight="1">
      <c r="C1939" s="66" t="s">
        <v>1214</v>
      </c>
      <c r="D1939" s="67"/>
      <c r="E1939" s="67"/>
      <c r="F1939" s="67"/>
      <c r="G1939" s="69"/>
      <c r="H1939" s="284">
        <f>SUM(H1935:H1938)</f>
        <v>396.90000000000003</v>
      </c>
    </row>
    <row r="1940" spans="3:9" ht="20.399999999999999" customHeight="1">
      <c r="C1940" s="321" t="s">
        <v>1215</v>
      </c>
      <c r="D1940" s="182" t="s">
        <v>1216</v>
      </c>
      <c r="E1940" s="70"/>
      <c r="F1940" s="70"/>
      <c r="G1940" s="70"/>
      <c r="H1940" s="71"/>
    </row>
    <row r="1941" spans="3:9" ht="20.399999999999999" customHeight="1">
      <c r="C1941" s="66" t="s">
        <v>1217</v>
      </c>
      <c r="D1941" s="67"/>
      <c r="E1941" s="67"/>
      <c r="F1941" s="67"/>
      <c r="G1941" s="69"/>
      <c r="H1941" s="292">
        <v>0</v>
      </c>
    </row>
    <row r="1942" spans="3:9" ht="20.399999999999999" customHeight="1">
      <c r="C1942" s="293" t="s">
        <v>1218</v>
      </c>
      <c r="D1942" s="294" t="s">
        <v>1219</v>
      </c>
      <c r="E1942" s="295"/>
      <c r="F1942" s="295"/>
      <c r="G1942" s="296"/>
      <c r="H1942" s="284">
        <f>H1941+H1939+H1933</f>
        <v>18216.900000000001</v>
      </c>
    </row>
    <row r="1943" spans="3:9" ht="20.399999999999999" customHeight="1">
      <c r="C1943" s="293" t="s">
        <v>1220</v>
      </c>
      <c r="D1943" s="294" t="s">
        <v>1321</v>
      </c>
      <c r="E1943" s="295"/>
      <c r="F1943" s="296"/>
      <c r="G1943" s="298">
        <f>$M$8</f>
        <v>0.1</v>
      </c>
      <c r="H1943" s="284">
        <f>H1942*G1943</f>
        <v>1821.6900000000003</v>
      </c>
    </row>
    <row r="1944" spans="3:9" ht="20.399999999999999" customHeight="1" thickBot="1">
      <c r="C1944" s="299" t="s">
        <v>1221</v>
      </c>
      <c r="D1944" s="300" t="s">
        <v>1222</v>
      </c>
      <c r="E1944" s="301"/>
      <c r="F1944" s="301"/>
      <c r="G1944" s="302"/>
      <c r="H1944" s="303">
        <f>SUM(H1942:H1943)</f>
        <v>20038.59</v>
      </c>
    </row>
    <row r="1945" spans="3:9" ht="14.4" thickTop="1">
      <c r="C1945" s="289"/>
      <c r="D1945" s="297"/>
      <c r="E1945" s="297"/>
      <c r="F1945" s="297"/>
      <c r="G1945" s="297"/>
      <c r="H1945" s="139"/>
    </row>
    <row r="1946" spans="3:9" ht="14.4" thickBot="1">
      <c r="C1946" s="119" t="s">
        <v>3012</v>
      </c>
      <c r="D1946" s="485" t="s">
        <v>1480</v>
      </c>
      <c r="E1946" s="485"/>
      <c r="F1946" s="485"/>
      <c r="G1946" s="485"/>
      <c r="H1946" s="485"/>
      <c r="I1946" s="120">
        <f>ROUNDDOWN(H1964,-2)</f>
        <v>1273400</v>
      </c>
    </row>
    <row r="1947" spans="3:9" ht="28.2" thickTop="1">
      <c r="C1947" s="51" t="s">
        <v>1195</v>
      </c>
      <c r="D1947" s="52" t="s">
        <v>1196</v>
      </c>
      <c r="E1947" s="52" t="s">
        <v>1197</v>
      </c>
      <c r="F1947" s="52" t="s">
        <v>1198</v>
      </c>
      <c r="G1947" s="52" t="s">
        <v>1199</v>
      </c>
      <c r="H1947" s="53" t="s">
        <v>1200</v>
      </c>
    </row>
    <row r="1948" spans="3:9" ht="20.399999999999999" customHeight="1">
      <c r="C1948" s="290" t="s">
        <v>1201</v>
      </c>
      <c r="D1948" s="182" t="s">
        <v>1202</v>
      </c>
      <c r="E1948" s="70"/>
      <c r="F1948" s="70"/>
      <c r="G1948" s="70"/>
      <c r="H1948" s="71"/>
    </row>
    <row r="1949" spans="3:9" ht="20.399999999999999" customHeight="1">
      <c r="C1949" s="281">
        <v>1</v>
      </c>
      <c r="D1949" s="182" t="s">
        <v>5</v>
      </c>
      <c r="E1949" s="176" t="s">
        <v>6</v>
      </c>
      <c r="F1949" s="282">
        <v>2</v>
      </c>
      <c r="G1949" s="283">
        <f>VLOOKUP(D1949,upahbahan,3,FALSE)</f>
        <v>100000</v>
      </c>
      <c r="H1949" s="284">
        <f t="shared" ref="H1949:H1952" si="189">F1949*G1949</f>
        <v>200000</v>
      </c>
    </row>
    <row r="1950" spans="3:9" ht="20.399999999999999" customHeight="1">
      <c r="C1950" s="281">
        <v>2</v>
      </c>
      <c r="D1950" s="182" t="s">
        <v>7</v>
      </c>
      <c r="E1950" s="176" t="s">
        <v>6</v>
      </c>
      <c r="F1950" s="282">
        <v>0.5</v>
      </c>
      <c r="G1950" s="283">
        <f>VLOOKUP(D1950,upahbahan,3,FALSE)</f>
        <v>135000</v>
      </c>
      <c r="H1950" s="284">
        <f t="shared" si="189"/>
        <v>67500</v>
      </c>
    </row>
    <row r="1951" spans="3:9" ht="20.399999999999999" customHeight="1">
      <c r="C1951" s="281">
        <v>3</v>
      </c>
      <c r="D1951" s="182" t="s">
        <v>18</v>
      </c>
      <c r="E1951" s="176" t="s">
        <v>6</v>
      </c>
      <c r="F1951" s="282">
        <v>0.05</v>
      </c>
      <c r="G1951" s="283">
        <f>VLOOKUP(D1951,upahbahan,3,FALSE)</f>
        <v>150000</v>
      </c>
      <c r="H1951" s="284">
        <f t="shared" si="189"/>
        <v>7500</v>
      </c>
    </row>
    <row r="1952" spans="3:9" ht="20.399999999999999" customHeight="1">
      <c r="C1952" s="281">
        <v>4</v>
      </c>
      <c r="D1952" s="182" t="s">
        <v>19</v>
      </c>
      <c r="E1952" s="176" t="s">
        <v>6</v>
      </c>
      <c r="F1952" s="282">
        <v>1.7000000000000001E-2</v>
      </c>
      <c r="G1952" s="283">
        <f>VLOOKUP(D1952,upahbahan,3,FALSE)</f>
        <v>160000</v>
      </c>
      <c r="H1952" s="284">
        <f t="shared" si="189"/>
        <v>2720</v>
      </c>
    </row>
    <row r="1953" spans="3:9" ht="20.399999999999999" customHeight="1">
      <c r="C1953" s="66" t="s">
        <v>1208</v>
      </c>
      <c r="D1953" s="67"/>
      <c r="E1953" s="67"/>
      <c r="F1953" s="142"/>
      <c r="G1953" s="153"/>
      <c r="H1953" s="284">
        <f>SUM(H1949:H1952)</f>
        <v>277720</v>
      </c>
      <c r="I1953" s="320"/>
    </row>
    <row r="1954" spans="3:9" ht="20.399999999999999" customHeight="1">
      <c r="C1954" s="290" t="s">
        <v>1209</v>
      </c>
      <c r="D1954" s="182" t="s">
        <v>1210</v>
      </c>
      <c r="E1954" s="70"/>
      <c r="F1954" s="70"/>
      <c r="G1954" s="70"/>
      <c r="H1954" s="71"/>
    </row>
    <row r="1955" spans="3:9" ht="20.399999999999999" customHeight="1">
      <c r="C1955" s="310" t="s">
        <v>1203</v>
      </c>
      <c r="D1955" s="285" t="s">
        <v>455</v>
      </c>
      <c r="E1955" s="291" t="s">
        <v>44</v>
      </c>
      <c r="F1955" s="282">
        <v>1.1000000000000001</v>
      </c>
      <c r="G1955" s="283">
        <f>VLOOKUP(D1955,upahbahan,3,FALSE)</f>
        <v>800000</v>
      </c>
      <c r="H1955" s="284">
        <f>F1955*G1955</f>
        <v>880000.00000000012</v>
      </c>
    </row>
    <row r="1956" spans="3:9" ht="20.399999999999999" customHeight="1">
      <c r="C1956" s="310" t="s">
        <v>1204</v>
      </c>
      <c r="D1956" s="285" t="s">
        <v>228</v>
      </c>
      <c r="E1956" s="291" t="s">
        <v>65</v>
      </c>
      <c r="F1956" s="282">
        <v>9.6669999999999998</v>
      </c>
      <c r="G1956" s="283">
        <f>VLOOKUP(D1956,upahbahan,3,FALSE)</f>
        <v>0</v>
      </c>
      <c r="H1956" s="284">
        <f t="shared" ref="H1956:H1958" si="190">F1956*G1956</f>
        <v>0</v>
      </c>
    </row>
    <row r="1957" spans="3:9" ht="20.399999999999999" customHeight="1">
      <c r="C1957" s="310" t="s">
        <v>1205</v>
      </c>
      <c r="D1957" s="285" t="s">
        <v>239</v>
      </c>
      <c r="E1957" s="291" t="s">
        <v>44</v>
      </c>
      <c r="F1957" s="282">
        <v>8</v>
      </c>
      <c r="G1957" s="283">
        <f>VLOOKUP(D1957,upahbahan,3,FALSE)</f>
        <v>0</v>
      </c>
      <c r="H1957" s="284">
        <f t="shared" si="190"/>
        <v>0</v>
      </c>
    </row>
    <row r="1958" spans="3:9" ht="20.399999999999999" customHeight="1">
      <c r="C1958" s="310" t="s">
        <v>1206</v>
      </c>
      <c r="D1958" s="285" t="s">
        <v>1003</v>
      </c>
      <c r="E1958" s="291" t="s">
        <v>65</v>
      </c>
      <c r="F1958" s="282">
        <v>0.38</v>
      </c>
      <c r="G1958" s="283">
        <f>VLOOKUP(D1958,upahbahan,3,FALSE)</f>
        <v>0</v>
      </c>
      <c r="H1958" s="284">
        <f t="shared" si="190"/>
        <v>0</v>
      </c>
    </row>
    <row r="1959" spans="3:9" ht="20.399999999999999" customHeight="1">
      <c r="C1959" s="66" t="s">
        <v>1214</v>
      </c>
      <c r="D1959" s="67"/>
      <c r="E1959" s="67"/>
      <c r="F1959" s="67"/>
      <c r="G1959" s="69"/>
      <c r="H1959" s="284">
        <f>SUM(H1955:H1958)</f>
        <v>880000.00000000012</v>
      </c>
    </row>
    <row r="1960" spans="3:9" ht="20.399999999999999" customHeight="1">
      <c r="C1960" s="321" t="s">
        <v>1215</v>
      </c>
      <c r="D1960" s="182" t="s">
        <v>1216</v>
      </c>
      <c r="E1960" s="70"/>
      <c r="F1960" s="70"/>
      <c r="G1960" s="70"/>
      <c r="H1960" s="71"/>
    </row>
    <row r="1961" spans="3:9" ht="20.399999999999999" customHeight="1">
      <c r="C1961" s="66" t="s">
        <v>1217</v>
      </c>
      <c r="D1961" s="67"/>
      <c r="E1961" s="67"/>
      <c r="F1961" s="67"/>
      <c r="G1961" s="69"/>
      <c r="H1961" s="292">
        <v>0</v>
      </c>
    </row>
    <row r="1962" spans="3:9" ht="20.399999999999999" customHeight="1">
      <c r="C1962" s="293" t="s">
        <v>1218</v>
      </c>
      <c r="D1962" s="294" t="s">
        <v>1219</v>
      </c>
      <c r="E1962" s="295"/>
      <c r="F1962" s="295"/>
      <c r="G1962" s="296"/>
      <c r="H1962" s="284">
        <f>H1961+H1959+H1953</f>
        <v>1157720</v>
      </c>
    </row>
    <row r="1963" spans="3:9" ht="20.399999999999999" customHeight="1">
      <c r="C1963" s="293" t="s">
        <v>1220</v>
      </c>
      <c r="D1963" s="294" t="s">
        <v>1321</v>
      </c>
      <c r="E1963" s="295"/>
      <c r="F1963" s="296"/>
      <c r="G1963" s="298">
        <f>$M$8</f>
        <v>0.1</v>
      </c>
      <c r="H1963" s="284">
        <f>H1962*G1963</f>
        <v>115772</v>
      </c>
    </row>
    <row r="1964" spans="3:9" ht="20.399999999999999" customHeight="1" thickBot="1">
      <c r="C1964" s="299" t="s">
        <v>1221</v>
      </c>
      <c r="D1964" s="300" t="s">
        <v>1222</v>
      </c>
      <c r="E1964" s="301"/>
      <c r="F1964" s="301"/>
      <c r="G1964" s="302"/>
      <c r="H1964" s="303">
        <f>SUM(H1962:H1963)</f>
        <v>1273492</v>
      </c>
    </row>
    <row r="1965" spans="3:9" ht="14.4" thickTop="1">
      <c r="C1965" s="289"/>
      <c r="D1965" s="297"/>
      <c r="E1965" s="297"/>
      <c r="F1965" s="297"/>
      <c r="G1965" s="297"/>
      <c r="H1965" s="139"/>
    </row>
    <row r="1966" spans="3:9" ht="14.4" thickBot="1">
      <c r="C1966" s="485" t="s">
        <v>3013</v>
      </c>
      <c r="D1966" s="485" t="s">
        <v>1481</v>
      </c>
      <c r="E1966" s="485"/>
      <c r="F1966" s="485"/>
      <c r="G1966" s="485"/>
      <c r="H1966" s="485"/>
      <c r="I1966" s="120">
        <f>ROUNDDOWN(H1985,-2)</f>
        <v>1465000</v>
      </c>
    </row>
    <row r="1967" spans="3:9" ht="28.2" thickTop="1">
      <c r="C1967" s="51" t="s">
        <v>1195</v>
      </c>
      <c r="D1967" s="52" t="s">
        <v>1196</v>
      </c>
      <c r="E1967" s="52" t="s">
        <v>1197</v>
      </c>
      <c r="F1967" s="52" t="s">
        <v>1198</v>
      </c>
      <c r="G1967" s="52" t="s">
        <v>1199</v>
      </c>
      <c r="H1967" s="53" t="s">
        <v>1200</v>
      </c>
    </row>
    <row r="1968" spans="3:9" ht="20.399999999999999" customHeight="1">
      <c r="C1968" s="290" t="s">
        <v>1201</v>
      </c>
      <c r="D1968" s="182" t="s">
        <v>1202</v>
      </c>
      <c r="E1968" s="70"/>
      <c r="F1968" s="70"/>
      <c r="G1968" s="70"/>
      <c r="H1968" s="71"/>
    </row>
    <row r="1969" spans="3:9" ht="20.399999999999999" customHeight="1">
      <c r="C1969" s="281">
        <v>1</v>
      </c>
      <c r="D1969" s="182" t="s">
        <v>5</v>
      </c>
      <c r="E1969" s="176" t="s">
        <v>6</v>
      </c>
      <c r="F1969" s="282">
        <v>2</v>
      </c>
      <c r="G1969" s="283">
        <f>VLOOKUP(D1969,upahbahan,3,FALSE)</f>
        <v>100000</v>
      </c>
      <c r="H1969" s="284">
        <f t="shared" ref="H1969:H1972" si="191">F1969*G1969</f>
        <v>200000</v>
      </c>
    </row>
    <row r="1970" spans="3:9" ht="20.399999999999999" customHeight="1">
      <c r="C1970" s="281">
        <v>2</v>
      </c>
      <c r="D1970" s="182" t="s">
        <v>7</v>
      </c>
      <c r="E1970" s="176" t="s">
        <v>6</v>
      </c>
      <c r="F1970" s="282">
        <v>0.5</v>
      </c>
      <c r="G1970" s="283">
        <f>VLOOKUP(D1970,upahbahan,3,FALSE)</f>
        <v>135000</v>
      </c>
      <c r="H1970" s="284">
        <f t="shared" si="191"/>
        <v>67500</v>
      </c>
    </row>
    <row r="1971" spans="3:9" ht="20.399999999999999" customHeight="1">
      <c r="C1971" s="281">
        <v>3</v>
      </c>
      <c r="D1971" s="182" t="s">
        <v>18</v>
      </c>
      <c r="E1971" s="176" t="s">
        <v>6</v>
      </c>
      <c r="F1971" s="282">
        <v>0.05</v>
      </c>
      <c r="G1971" s="283">
        <f>VLOOKUP(D1971,upahbahan,3,FALSE)</f>
        <v>150000</v>
      </c>
      <c r="H1971" s="284">
        <f t="shared" si="191"/>
        <v>7500</v>
      </c>
    </row>
    <row r="1972" spans="3:9" ht="20.399999999999999" customHeight="1">
      <c r="C1972" s="281">
        <v>4</v>
      </c>
      <c r="D1972" s="182" t="s">
        <v>19</v>
      </c>
      <c r="E1972" s="176" t="s">
        <v>6</v>
      </c>
      <c r="F1972" s="282">
        <v>1.7000000000000001E-2</v>
      </c>
      <c r="G1972" s="283">
        <f>VLOOKUP(D1972,upahbahan,3,FALSE)</f>
        <v>160000</v>
      </c>
      <c r="H1972" s="284">
        <f t="shared" si="191"/>
        <v>2720</v>
      </c>
    </row>
    <row r="1973" spans="3:9" ht="20.399999999999999" customHeight="1">
      <c r="C1973" s="66" t="s">
        <v>1208</v>
      </c>
      <c r="D1973" s="67"/>
      <c r="E1973" s="67"/>
      <c r="F1973" s="142"/>
      <c r="G1973" s="153"/>
      <c r="H1973" s="284">
        <f>SUM(H1969:H1972)</f>
        <v>277720</v>
      </c>
      <c r="I1973" s="320"/>
    </row>
    <row r="1974" spans="3:9" ht="20.399999999999999" customHeight="1">
      <c r="C1974" s="290" t="s">
        <v>1209</v>
      </c>
      <c r="D1974" s="182" t="s">
        <v>1210</v>
      </c>
      <c r="E1974" s="70"/>
      <c r="F1974" s="70"/>
      <c r="G1974" s="70"/>
      <c r="H1974" s="71"/>
    </row>
    <row r="1975" spans="3:9" ht="20.399999999999999" customHeight="1">
      <c r="C1975" s="310" t="s">
        <v>1203</v>
      </c>
      <c r="D1975" s="285" t="s">
        <v>455</v>
      </c>
      <c r="E1975" s="291" t="s">
        <v>44</v>
      </c>
      <c r="F1975" s="282">
        <v>1.1000000000000001</v>
      </c>
      <c r="G1975" s="283">
        <f>VLOOKUP(D1975,upahbahan,3,FALSE)</f>
        <v>800000</v>
      </c>
      <c r="H1975" s="284">
        <f t="shared" ref="H1975:H1979" si="192">F1975*G1975</f>
        <v>880000.00000000012</v>
      </c>
    </row>
    <row r="1976" spans="3:9" ht="20.399999999999999" customHeight="1">
      <c r="C1976" s="310" t="s">
        <v>1204</v>
      </c>
      <c r="D1976" s="285" t="s">
        <v>2334</v>
      </c>
      <c r="E1976" s="291" t="s">
        <v>65</v>
      </c>
      <c r="F1976" s="282">
        <v>12.44</v>
      </c>
      <c r="G1976" s="283">
        <f>VLOOKUP(D1976,upahbahan,3,FALSE)</f>
        <v>1530</v>
      </c>
      <c r="H1976" s="284">
        <f t="shared" si="192"/>
        <v>19033.2</v>
      </c>
    </row>
    <row r="1977" spans="3:9" ht="20.399999999999999" customHeight="1">
      <c r="C1977" s="310" t="s">
        <v>1205</v>
      </c>
      <c r="D1977" s="285" t="s">
        <v>85</v>
      </c>
      <c r="E1977" s="291" t="s">
        <v>42</v>
      </c>
      <c r="F1977" s="282">
        <v>2.5000000000000001E-2</v>
      </c>
      <c r="G1977" s="283">
        <f>VLOOKUP(D1977,upahbahan,3,FALSE)</f>
        <v>310500</v>
      </c>
      <c r="H1977" s="284">
        <f t="shared" si="192"/>
        <v>7762.5</v>
      </c>
    </row>
    <row r="1978" spans="3:9" ht="20.399999999999999" customHeight="1">
      <c r="C1978" s="310" t="s">
        <v>1206</v>
      </c>
      <c r="D1978" s="285" t="s">
        <v>562</v>
      </c>
      <c r="E1978" s="291" t="s">
        <v>65</v>
      </c>
      <c r="F1978" s="282">
        <v>0.65</v>
      </c>
      <c r="G1978" s="283">
        <f>VLOOKUP(D1978,upahbahan,3,FALSE)</f>
        <v>18000</v>
      </c>
      <c r="H1978" s="284">
        <f t="shared" si="192"/>
        <v>11700</v>
      </c>
    </row>
    <row r="1979" spans="3:9" ht="20.399999999999999" customHeight="1">
      <c r="C1979" s="310" t="s">
        <v>1207</v>
      </c>
      <c r="D1979" s="285" t="s">
        <v>260</v>
      </c>
      <c r="E1979" s="291" t="s">
        <v>44</v>
      </c>
      <c r="F1979" s="282">
        <v>4</v>
      </c>
      <c r="G1979" s="283">
        <f>VLOOKUP(D1979,upahbahan,3,FALSE)</f>
        <v>33901.875</v>
      </c>
      <c r="H1979" s="284">
        <f t="shared" si="192"/>
        <v>135607.5</v>
      </c>
    </row>
    <row r="1980" spans="3:9" ht="20.399999999999999" customHeight="1">
      <c r="C1980" s="66" t="s">
        <v>1214</v>
      </c>
      <c r="D1980" s="67"/>
      <c r="E1980" s="67"/>
      <c r="F1980" s="67"/>
      <c r="G1980" s="69"/>
      <c r="H1980" s="284">
        <f>SUM(H1975:H1979)</f>
        <v>1054103.2000000002</v>
      </c>
    </row>
    <row r="1981" spans="3:9" ht="20.399999999999999" customHeight="1">
      <c r="C1981" s="321" t="s">
        <v>1215</v>
      </c>
      <c r="D1981" s="182" t="s">
        <v>1216</v>
      </c>
      <c r="E1981" s="70"/>
      <c r="F1981" s="70"/>
      <c r="G1981" s="70"/>
      <c r="H1981" s="71"/>
    </row>
    <row r="1982" spans="3:9" ht="20.399999999999999" customHeight="1">
      <c r="C1982" s="66" t="s">
        <v>1217</v>
      </c>
      <c r="D1982" s="67"/>
      <c r="E1982" s="67"/>
      <c r="F1982" s="67"/>
      <c r="G1982" s="69"/>
      <c r="H1982" s="292">
        <v>0</v>
      </c>
    </row>
    <row r="1983" spans="3:9" ht="20.399999999999999" customHeight="1">
      <c r="C1983" s="293" t="s">
        <v>1218</v>
      </c>
      <c r="D1983" s="294" t="s">
        <v>1219</v>
      </c>
      <c r="E1983" s="295"/>
      <c r="F1983" s="295"/>
      <c r="G1983" s="296"/>
      <c r="H1983" s="284">
        <f>H1982+H1980+H1973</f>
        <v>1331823.2000000002</v>
      </c>
    </row>
    <row r="1984" spans="3:9" ht="20.399999999999999" customHeight="1">
      <c r="C1984" s="293" t="s">
        <v>1220</v>
      </c>
      <c r="D1984" s="294" t="s">
        <v>1321</v>
      </c>
      <c r="E1984" s="295"/>
      <c r="F1984" s="296"/>
      <c r="G1984" s="298">
        <f>$M$8</f>
        <v>0.1</v>
      </c>
      <c r="H1984" s="284">
        <f>H1983*G1984</f>
        <v>133182.32000000004</v>
      </c>
    </row>
    <row r="1985" spans="3:9" ht="20.399999999999999" customHeight="1" thickBot="1">
      <c r="C1985" s="299" t="s">
        <v>1221</v>
      </c>
      <c r="D1985" s="300" t="s">
        <v>1222</v>
      </c>
      <c r="E1985" s="301"/>
      <c r="F1985" s="301"/>
      <c r="G1985" s="302"/>
      <c r="H1985" s="303">
        <f>SUM(H1983:H1984)</f>
        <v>1465005.5200000003</v>
      </c>
    </row>
    <row r="1986" spans="3:9" ht="14.4" thickTop="1">
      <c r="C1986" s="289"/>
      <c r="D1986" s="297"/>
      <c r="E1986" s="297"/>
      <c r="F1986" s="297"/>
      <c r="G1986" s="297"/>
      <c r="H1986" s="139"/>
    </row>
    <row r="1987" spans="3:9">
      <c r="C1987" s="126" t="s">
        <v>3014</v>
      </c>
      <c r="D1987" s="138" t="s">
        <v>3015</v>
      </c>
      <c r="E1987" s="297"/>
      <c r="F1987" s="297"/>
      <c r="G1987" s="297"/>
      <c r="H1987" s="139"/>
    </row>
    <row r="1988" spans="3:9" ht="15.75" customHeight="1" thickBot="1">
      <c r="C1988" s="47" t="s">
        <v>3016</v>
      </c>
      <c r="D1988" s="170" t="s">
        <v>1482</v>
      </c>
      <c r="E1988" s="279"/>
      <c r="F1988" s="279"/>
      <c r="G1988" s="279"/>
      <c r="H1988" s="279"/>
      <c r="I1988" s="120">
        <f>ROUNDDOWN(H2005,-2)</f>
        <v>58100</v>
      </c>
    </row>
    <row r="1989" spans="3:9" ht="28.2" thickTop="1">
      <c r="C1989" s="51" t="s">
        <v>1195</v>
      </c>
      <c r="D1989" s="52" t="s">
        <v>1196</v>
      </c>
      <c r="E1989" s="52" t="s">
        <v>1197</v>
      </c>
      <c r="F1989" s="52" t="s">
        <v>1198</v>
      </c>
      <c r="G1989" s="52" t="s">
        <v>1199</v>
      </c>
      <c r="H1989" s="53" t="s">
        <v>1200</v>
      </c>
    </row>
    <row r="1990" spans="3:9" ht="23.4" customHeight="1">
      <c r="C1990" s="290" t="s">
        <v>1201</v>
      </c>
      <c r="D1990" s="182" t="s">
        <v>1202</v>
      </c>
      <c r="E1990" s="70"/>
      <c r="F1990" s="70"/>
      <c r="G1990" s="70"/>
      <c r="H1990" s="71"/>
    </row>
    <row r="1991" spans="3:9" ht="23.4" customHeight="1">
      <c r="C1991" s="281">
        <v>1</v>
      </c>
      <c r="D1991" s="182" t="s">
        <v>5</v>
      </c>
      <c r="E1991" s="176" t="s">
        <v>6</v>
      </c>
      <c r="F1991" s="282">
        <v>0.125</v>
      </c>
      <c r="G1991" s="283">
        <f>VLOOKUP(D1991,upahbahan,3,FALSE)</f>
        <v>100000</v>
      </c>
      <c r="H1991" s="284">
        <f>F1991*G1991</f>
        <v>12500</v>
      </c>
    </row>
    <row r="1992" spans="3:9" ht="23.4" customHeight="1">
      <c r="C1992" s="281">
        <v>2</v>
      </c>
      <c r="D1992" s="182" t="s">
        <v>9</v>
      </c>
      <c r="E1992" s="176" t="s">
        <v>6</v>
      </c>
      <c r="F1992" s="282">
        <v>0.125</v>
      </c>
      <c r="G1992" s="283">
        <f>VLOOKUP(D1992,upahbahan,3,FALSE)</f>
        <v>135000</v>
      </c>
      <c r="H1992" s="284">
        <f t="shared" ref="H1992:H1994" si="193">F1992*G1992</f>
        <v>16875</v>
      </c>
    </row>
    <row r="1993" spans="3:9" ht="23.4" customHeight="1">
      <c r="C1993" s="281">
        <v>3</v>
      </c>
      <c r="D1993" s="182" t="s">
        <v>18</v>
      </c>
      <c r="E1993" s="176" t="s">
        <v>6</v>
      </c>
      <c r="F1993" s="282">
        <v>1.2999999999999999E-2</v>
      </c>
      <c r="G1993" s="283">
        <f>VLOOKUP(D1993,upahbahan,3,FALSE)</f>
        <v>150000</v>
      </c>
      <c r="H1993" s="284">
        <f t="shared" si="193"/>
        <v>1950</v>
      </c>
    </row>
    <row r="1994" spans="3:9" ht="23.4" customHeight="1">
      <c r="C1994" s="281">
        <v>4</v>
      </c>
      <c r="D1994" s="182" t="s">
        <v>19</v>
      </c>
      <c r="E1994" s="176" t="s">
        <v>6</v>
      </c>
      <c r="F1994" s="282">
        <v>4.0000000000000001E-3</v>
      </c>
      <c r="G1994" s="283">
        <f>VLOOKUP(D1994,upahbahan,3,FALSE)</f>
        <v>160000</v>
      </c>
      <c r="H1994" s="284">
        <f t="shared" si="193"/>
        <v>640</v>
      </c>
    </row>
    <row r="1995" spans="3:9" ht="23.4" customHeight="1">
      <c r="C1995" s="66" t="s">
        <v>1208</v>
      </c>
      <c r="D1995" s="67"/>
      <c r="E1995" s="67"/>
      <c r="F1995" s="142"/>
      <c r="G1995" s="153"/>
      <c r="H1995" s="284">
        <f>SUM(H1991:H1994)</f>
        <v>31965</v>
      </c>
      <c r="I1995" s="320"/>
    </row>
    <row r="1996" spans="3:9" ht="23.4" customHeight="1">
      <c r="C1996" s="290" t="s">
        <v>1209</v>
      </c>
      <c r="D1996" s="182" t="s">
        <v>1210</v>
      </c>
      <c r="E1996" s="70"/>
      <c r="F1996" s="70"/>
      <c r="G1996" s="70"/>
      <c r="H1996" s="71"/>
    </row>
    <row r="1997" spans="3:9" ht="23.4" customHeight="1">
      <c r="C1997" s="310" t="s">
        <v>1203</v>
      </c>
      <c r="D1997" s="285" t="s">
        <v>222</v>
      </c>
      <c r="E1997" s="291" t="s">
        <v>113</v>
      </c>
      <c r="F1997" s="282">
        <v>4</v>
      </c>
      <c r="G1997" s="283">
        <f>VLOOKUP(D1997,upahbahan,3,FALSE)</f>
        <v>4200</v>
      </c>
      <c r="H1997" s="284">
        <f t="shared" ref="H1997:H1999" si="194">F1997*G1997</f>
        <v>16800</v>
      </c>
    </row>
    <row r="1998" spans="3:9" ht="23.4" customHeight="1">
      <c r="C1998" s="310" t="s">
        <v>1204</v>
      </c>
      <c r="D1998" s="285" t="s">
        <v>254</v>
      </c>
      <c r="E1998" s="291" t="s">
        <v>65</v>
      </c>
      <c r="F1998" s="282">
        <v>0.05</v>
      </c>
      <c r="G1998" s="283">
        <f>VLOOKUP(D1998,upahbahan,3,FALSE)</f>
        <v>66600</v>
      </c>
      <c r="H1998" s="284">
        <f t="shared" si="194"/>
        <v>3330</v>
      </c>
    </row>
    <row r="1999" spans="3:9" ht="23.4" customHeight="1">
      <c r="C1999" s="310" t="s">
        <v>1205</v>
      </c>
      <c r="D1999" s="285" t="s">
        <v>267</v>
      </c>
      <c r="E1999" s="291" t="s">
        <v>44</v>
      </c>
      <c r="F1999" s="282">
        <v>4</v>
      </c>
      <c r="G1999" s="283">
        <f>VLOOKUP(D1999,upahbahan,3,FALSE)</f>
        <v>200</v>
      </c>
      <c r="H1999" s="284">
        <f t="shared" si="194"/>
        <v>800</v>
      </c>
    </row>
    <row r="2000" spans="3:9" ht="23.4" customHeight="1">
      <c r="C2000" s="66" t="s">
        <v>1214</v>
      </c>
      <c r="D2000" s="67"/>
      <c r="E2000" s="67"/>
      <c r="F2000" s="67"/>
      <c r="G2000" s="69"/>
      <c r="H2000" s="284">
        <f>SUM(H1997:H1999)</f>
        <v>20930</v>
      </c>
    </row>
    <row r="2001" spans="3:11" ht="23.4" customHeight="1">
      <c r="C2001" s="321" t="s">
        <v>1215</v>
      </c>
      <c r="D2001" s="182" t="s">
        <v>1216</v>
      </c>
      <c r="E2001" s="70"/>
      <c r="F2001" s="70"/>
      <c r="G2001" s="70"/>
      <c r="H2001" s="71"/>
    </row>
    <row r="2002" spans="3:11" ht="23.4" customHeight="1">
      <c r="C2002" s="66" t="s">
        <v>1217</v>
      </c>
      <c r="D2002" s="67"/>
      <c r="E2002" s="67"/>
      <c r="F2002" s="67"/>
      <c r="G2002" s="69"/>
      <c r="H2002" s="292">
        <v>0</v>
      </c>
    </row>
    <row r="2003" spans="3:11" ht="23.4" customHeight="1">
      <c r="C2003" s="293" t="s">
        <v>1218</v>
      </c>
      <c r="D2003" s="294" t="s">
        <v>1219</v>
      </c>
      <c r="E2003" s="295"/>
      <c r="F2003" s="295"/>
      <c r="G2003" s="296"/>
      <c r="H2003" s="284">
        <f>H2002+H2000+H1995</f>
        <v>52895</v>
      </c>
    </row>
    <row r="2004" spans="3:11" ht="23.4" customHeight="1">
      <c r="C2004" s="293" t="s">
        <v>1220</v>
      </c>
      <c r="D2004" s="294" t="s">
        <v>1321</v>
      </c>
      <c r="E2004" s="295"/>
      <c r="F2004" s="296"/>
      <c r="G2004" s="298">
        <f>$M$8</f>
        <v>0.1</v>
      </c>
      <c r="H2004" s="284">
        <f>H2003*G2004</f>
        <v>5289.5</v>
      </c>
    </row>
    <row r="2005" spans="3:11" ht="23.4" customHeight="1" thickBot="1">
      <c r="C2005" s="299" t="s">
        <v>1221</v>
      </c>
      <c r="D2005" s="300" t="s">
        <v>1222</v>
      </c>
      <c r="E2005" s="301"/>
      <c r="F2005" s="301"/>
      <c r="G2005" s="302"/>
      <c r="H2005" s="303">
        <f>SUM(H2003:H2004)</f>
        <v>58184.5</v>
      </c>
    </row>
    <row r="2006" spans="3:11" ht="14.4" thickTop="1">
      <c r="C2006" s="289"/>
      <c r="D2006" s="297"/>
      <c r="E2006" s="297"/>
      <c r="F2006" s="297"/>
      <c r="G2006" s="297"/>
      <c r="H2006" s="139"/>
    </row>
    <row r="2007" spans="3:11" ht="14.4" thickBot="1">
      <c r="C2007" s="47" t="s">
        <v>3017</v>
      </c>
      <c r="D2007" s="485" t="s">
        <v>1483</v>
      </c>
      <c r="E2007" s="485"/>
      <c r="F2007" s="485"/>
      <c r="G2007" s="485"/>
      <c r="H2007" s="485"/>
      <c r="I2007" s="120">
        <f>ROUNDDOWN(H2023,-2)</f>
        <v>91100</v>
      </c>
      <c r="J2007" s="59" t="s">
        <v>6451</v>
      </c>
      <c r="K2007" s="59" t="s">
        <v>6537</v>
      </c>
    </row>
    <row r="2008" spans="3:11" ht="28.2" thickTop="1">
      <c r="C2008" s="51" t="s">
        <v>1195</v>
      </c>
      <c r="D2008" s="52" t="s">
        <v>1196</v>
      </c>
      <c r="E2008" s="52" t="s">
        <v>1197</v>
      </c>
      <c r="F2008" s="52" t="s">
        <v>1198</v>
      </c>
      <c r="G2008" s="52" t="s">
        <v>1199</v>
      </c>
      <c r="H2008" s="53" t="s">
        <v>1200</v>
      </c>
    </row>
    <row r="2009" spans="3:11" ht="23.4" customHeight="1">
      <c r="C2009" s="290" t="s">
        <v>1201</v>
      </c>
      <c r="D2009" s="182" t="s">
        <v>1202</v>
      </c>
      <c r="E2009" s="70"/>
      <c r="F2009" s="70"/>
      <c r="G2009" s="70"/>
      <c r="H2009" s="71"/>
    </row>
    <row r="2010" spans="3:11" ht="23.4" customHeight="1">
      <c r="C2010" s="281">
        <v>1</v>
      </c>
      <c r="D2010" s="182" t="s">
        <v>5</v>
      </c>
      <c r="E2010" s="176" t="s">
        <v>6</v>
      </c>
      <c r="F2010" s="282">
        <v>0.1</v>
      </c>
      <c r="G2010" s="283">
        <f>VLOOKUP(D2010,upahbahan,3,FALSE)</f>
        <v>100000</v>
      </c>
      <c r="H2010" s="284">
        <f t="shared" ref="H2010:H2013" si="195">F2010*G2010</f>
        <v>10000</v>
      </c>
    </row>
    <row r="2011" spans="3:11" ht="23.4" customHeight="1">
      <c r="C2011" s="281">
        <v>2</v>
      </c>
      <c r="D2011" s="182" t="s">
        <v>8</v>
      </c>
      <c r="E2011" s="176" t="s">
        <v>6</v>
      </c>
      <c r="F2011" s="282">
        <v>0.45</v>
      </c>
      <c r="G2011" s="283">
        <f>VLOOKUP(D2011,upahbahan,3,FALSE)</f>
        <v>135000</v>
      </c>
      <c r="H2011" s="284">
        <f t="shared" si="195"/>
        <v>60750</v>
      </c>
    </row>
    <row r="2012" spans="3:11" ht="23.4" customHeight="1">
      <c r="C2012" s="281">
        <v>3</v>
      </c>
      <c r="D2012" s="182" t="s">
        <v>18</v>
      </c>
      <c r="E2012" s="176" t="s">
        <v>6</v>
      </c>
      <c r="F2012" s="282">
        <v>4.4999999999999998E-2</v>
      </c>
      <c r="G2012" s="283">
        <f>VLOOKUP(D2012,upahbahan,3,FALSE)</f>
        <v>150000</v>
      </c>
      <c r="H2012" s="284">
        <f t="shared" si="195"/>
        <v>6750</v>
      </c>
    </row>
    <row r="2013" spans="3:11" ht="23.4" customHeight="1">
      <c r="C2013" s="281">
        <v>4</v>
      </c>
      <c r="D2013" s="182" t="s">
        <v>19</v>
      </c>
      <c r="E2013" s="176" t="s">
        <v>6</v>
      </c>
      <c r="F2013" s="282">
        <v>1.4999999999999999E-2</v>
      </c>
      <c r="G2013" s="283">
        <f>VLOOKUP(D2013,upahbahan,3,FALSE)</f>
        <v>160000</v>
      </c>
      <c r="H2013" s="284">
        <f t="shared" si="195"/>
        <v>2400</v>
      </c>
    </row>
    <row r="2014" spans="3:11" ht="23.4" customHeight="1">
      <c r="C2014" s="66" t="s">
        <v>1208</v>
      </c>
      <c r="D2014" s="67"/>
      <c r="E2014" s="67"/>
      <c r="F2014" s="142"/>
      <c r="G2014" s="153"/>
      <c r="H2014" s="284">
        <f>SUM(H2010:H2013)</f>
        <v>79900</v>
      </c>
      <c r="I2014" s="320"/>
    </row>
    <row r="2015" spans="3:11" ht="23.4" customHeight="1">
      <c r="C2015" s="290" t="s">
        <v>1209</v>
      </c>
      <c r="D2015" s="182" t="s">
        <v>1210</v>
      </c>
      <c r="E2015" s="70"/>
      <c r="F2015" s="70"/>
      <c r="G2015" s="70"/>
      <c r="H2015" s="71"/>
    </row>
    <row r="2016" spans="3:11" ht="23.4" customHeight="1">
      <c r="C2016" s="310" t="s">
        <v>1203</v>
      </c>
      <c r="D2016" s="285" t="s">
        <v>6535</v>
      </c>
      <c r="E2016" s="291" t="s">
        <v>42</v>
      </c>
      <c r="F2016" s="309">
        <v>2.8000000000000001E-2</v>
      </c>
      <c r="G2016" s="283">
        <f>VLOOKUP(D2016,upahbahan,3,FALSE)</f>
        <v>0</v>
      </c>
      <c r="H2016" s="284">
        <f t="shared" ref="H2016:H2017" si="196">F2016*G2016</f>
        <v>0</v>
      </c>
    </row>
    <row r="2017" spans="3:9" ht="23.4" customHeight="1">
      <c r="C2017" s="310">
        <v>2</v>
      </c>
      <c r="D2017" s="285" t="s">
        <v>6536</v>
      </c>
      <c r="E2017" s="291" t="s">
        <v>65</v>
      </c>
      <c r="F2017" s="309">
        <v>0.15</v>
      </c>
      <c r="G2017" s="283">
        <f>VLOOKUP(D2017,upahbahan,3,FALSE)</f>
        <v>20000</v>
      </c>
      <c r="H2017" s="284">
        <f t="shared" si="196"/>
        <v>3000</v>
      </c>
    </row>
    <row r="2018" spans="3:9" ht="23.4" customHeight="1">
      <c r="C2018" s="66" t="s">
        <v>1214</v>
      </c>
      <c r="D2018" s="67"/>
      <c r="E2018" s="67"/>
      <c r="F2018" s="67"/>
      <c r="G2018" s="69"/>
      <c r="H2018" s="284">
        <f>SUM(H2016:H2017)</f>
        <v>3000</v>
      </c>
    </row>
    <row r="2019" spans="3:9" ht="23.4" customHeight="1">
      <c r="C2019" s="321" t="s">
        <v>1215</v>
      </c>
      <c r="D2019" s="182" t="s">
        <v>1216</v>
      </c>
      <c r="E2019" s="70"/>
      <c r="F2019" s="70"/>
      <c r="G2019" s="70"/>
      <c r="H2019" s="71"/>
    </row>
    <row r="2020" spans="3:9" ht="23.4" customHeight="1">
      <c r="C2020" s="66" t="s">
        <v>1217</v>
      </c>
      <c r="D2020" s="67"/>
      <c r="E2020" s="67"/>
      <c r="F2020" s="67"/>
      <c r="G2020" s="69"/>
      <c r="H2020" s="292">
        <v>0</v>
      </c>
    </row>
    <row r="2021" spans="3:9" ht="23.4" customHeight="1">
      <c r="C2021" s="293" t="s">
        <v>1218</v>
      </c>
      <c r="D2021" s="294" t="s">
        <v>1219</v>
      </c>
      <c r="E2021" s="295"/>
      <c r="F2021" s="295"/>
      <c r="G2021" s="296"/>
      <c r="H2021" s="284">
        <f>H2020+H2018+H2014</f>
        <v>82900</v>
      </c>
    </row>
    <row r="2022" spans="3:9" ht="23.4" customHeight="1">
      <c r="C2022" s="293" t="s">
        <v>1220</v>
      </c>
      <c r="D2022" s="294" t="s">
        <v>1321</v>
      </c>
      <c r="E2022" s="295"/>
      <c r="F2022" s="296"/>
      <c r="G2022" s="298">
        <f>$M$8</f>
        <v>0.1</v>
      </c>
      <c r="H2022" s="284">
        <f>H2021*G2022</f>
        <v>8290</v>
      </c>
    </row>
    <row r="2023" spans="3:9" ht="23.4" customHeight="1" thickBot="1">
      <c r="C2023" s="299" t="s">
        <v>1221</v>
      </c>
      <c r="D2023" s="300" t="s">
        <v>1222</v>
      </c>
      <c r="E2023" s="301"/>
      <c r="F2023" s="301"/>
      <c r="G2023" s="302"/>
      <c r="H2023" s="303">
        <f>SUM(H2021:H2022)</f>
        <v>91190</v>
      </c>
    </row>
    <row r="2024" spans="3:9" ht="14.4" thickTop="1">
      <c r="C2024" s="289"/>
      <c r="D2024" s="297"/>
      <c r="E2024" s="297"/>
      <c r="F2024" s="297"/>
      <c r="G2024" s="297"/>
      <c r="H2024" s="139"/>
    </row>
    <row r="2026" spans="3:9" ht="14.4" thickBot="1">
      <c r="C2026" s="47" t="s">
        <v>3018</v>
      </c>
      <c r="D2026" s="485" t="s">
        <v>3019</v>
      </c>
      <c r="E2026" s="485"/>
      <c r="F2026" s="485"/>
      <c r="G2026" s="485"/>
      <c r="H2026" s="485"/>
      <c r="I2026" s="120">
        <f>ROUNDDOWN(H2043,-2)</f>
        <v>44900</v>
      </c>
    </row>
    <row r="2027" spans="3:9" ht="28.2" thickTop="1">
      <c r="C2027" s="51" t="s">
        <v>1195</v>
      </c>
      <c r="D2027" s="52" t="s">
        <v>1196</v>
      </c>
      <c r="E2027" s="52" t="s">
        <v>1197</v>
      </c>
      <c r="F2027" s="52" t="s">
        <v>1198</v>
      </c>
      <c r="G2027" s="52" t="s">
        <v>1199</v>
      </c>
      <c r="H2027" s="53" t="s">
        <v>1200</v>
      </c>
    </row>
    <row r="2028" spans="3:9" ht="23.4" customHeight="1">
      <c r="C2028" s="290" t="s">
        <v>1201</v>
      </c>
      <c r="D2028" s="182" t="s">
        <v>1202</v>
      </c>
      <c r="E2028" s="70"/>
      <c r="F2028" s="70"/>
      <c r="G2028" s="70"/>
      <c r="H2028" s="71"/>
    </row>
    <row r="2029" spans="3:9" ht="23.4" customHeight="1">
      <c r="C2029" s="281">
        <v>1</v>
      </c>
      <c r="D2029" s="182" t="s">
        <v>5</v>
      </c>
      <c r="E2029" s="176" t="s">
        <v>6</v>
      </c>
      <c r="F2029" s="282">
        <v>0.13900000000000001</v>
      </c>
      <c r="G2029" s="283">
        <f>VLOOKUP(D2029,upahbahan,3,FALSE)</f>
        <v>100000</v>
      </c>
      <c r="H2029" s="284">
        <f t="shared" ref="H2029:H2032" si="197">F2029*G2029</f>
        <v>13900.000000000002</v>
      </c>
    </row>
    <row r="2030" spans="3:9" ht="23.4" customHeight="1">
      <c r="C2030" s="281">
        <v>2</v>
      </c>
      <c r="D2030" s="182" t="s">
        <v>9</v>
      </c>
      <c r="E2030" s="176" t="s">
        <v>6</v>
      </c>
      <c r="F2030" s="282">
        <v>0.13900000000000001</v>
      </c>
      <c r="G2030" s="283">
        <f>VLOOKUP(D2030,upahbahan,3,FALSE)</f>
        <v>135000</v>
      </c>
      <c r="H2030" s="284">
        <f t="shared" si="197"/>
        <v>18765</v>
      </c>
    </row>
    <row r="2031" spans="3:9" ht="23.4" customHeight="1">
      <c r="C2031" s="281">
        <v>3</v>
      </c>
      <c r="D2031" s="182" t="s">
        <v>18</v>
      </c>
      <c r="E2031" s="176" t="s">
        <v>6</v>
      </c>
      <c r="F2031" s="282">
        <v>1.4E-2</v>
      </c>
      <c r="G2031" s="283">
        <f>VLOOKUP(D2031,upahbahan,3,FALSE)</f>
        <v>150000</v>
      </c>
      <c r="H2031" s="284">
        <f t="shared" si="197"/>
        <v>2100</v>
      </c>
    </row>
    <row r="2032" spans="3:9" ht="23.4" customHeight="1">
      <c r="C2032" s="281">
        <v>4</v>
      </c>
      <c r="D2032" s="182" t="s">
        <v>19</v>
      </c>
      <c r="E2032" s="176" t="s">
        <v>6</v>
      </c>
      <c r="F2032" s="282">
        <v>5.0000000000000001E-3</v>
      </c>
      <c r="G2032" s="283">
        <f>VLOOKUP(D2032,upahbahan,3,FALSE)</f>
        <v>160000</v>
      </c>
      <c r="H2032" s="284">
        <f t="shared" si="197"/>
        <v>800</v>
      </c>
    </row>
    <row r="2033" spans="3:9" ht="23.4" customHeight="1">
      <c r="C2033" s="66" t="s">
        <v>1208</v>
      </c>
      <c r="D2033" s="67"/>
      <c r="E2033" s="67"/>
      <c r="F2033" s="142"/>
      <c r="G2033" s="153"/>
      <c r="H2033" s="284">
        <f>SUM(H2029:H2032)</f>
        <v>35565</v>
      </c>
      <c r="I2033" s="320"/>
    </row>
    <row r="2034" spans="3:9" ht="23.4" customHeight="1">
      <c r="C2034" s="290" t="s">
        <v>1209</v>
      </c>
      <c r="D2034" s="182" t="s">
        <v>1210</v>
      </c>
      <c r="E2034" s="70"/>
      <c r="F2034" s="70"/>
      <c r="G2034" s="70"/>
      <c r="H2034" s="71"/>
    </row>
    <row r="2035" spans="3:9" ht="23.4" customHeight="1">
      <c r="C2035" s="310" t="s">
        <v>1203</v>
      </c>
      <c r="D2035" s="285" t="s">
        <v>3020</v>
      </c>
      <c r="E2035" s="291" t="s">
        <v>113</v>
      </c>
      <c r="F2035" s="282">
        <v>5.37</v>
      </c>
      <c r="G2035" s="283">
        <f>VLOOKUP(D2035,upahbahan,3,FALSE)</f>
        <v>0</v>
      </c>
      <c r="H2035" s="284">
        <f t="shared" ref="H2035:H2037" si="198">F2035*G2035</f>
        <v>0</v>
      </c>
    </row>
    <row r="2036" spans="3:9" ht="23.4" customHeight="1">
      <c r="C2036" s="310">
        <v>2</v>
      </c>
      <c r="D2036" s="285" t="s">
        <v>254</v>
      </c>
      <c r="E2036" s="291" t="s">
        <v>65</v>
      </c>
      <c r="F2036" s="282">
        <v>0.05</v>
      </c>
      <c r="G2036" s="283">
        <f>VLOOKUP(D2036,upahbahan,3,FALSE)</f>
        <v>66600</v>
      </c>
      <c r="H2036" s="284">
        <f t="shared" si="198"/>
        <v>3330</v>
      </c>
    </row>
    <row r="2037" spans="3:9" ht="23.4" customHeight="1">
      <c r="C2037" s="310">
        <v>2</v>
      </c>
      <c r="D2037" s="285" t="s">
        <v>267</v>
      </c>
      <c r="E2037" s="291" t="s">
        <v>2167</v>
      </c>
      <c r="F2037" s="282">
        <v>10</v>
      </c>
      <c r="G2037" s="283">
        <f>VLOOKUP(D2037,upahbahan,3,FALSE)</f>
        <v>200</v>
      </c>
      <c r="H2037" s="284">
        <f t="shared" si="198"/>
        <v>2000</v>
      </c>
    </row>
    <row r="2038" spans="3:9" ht="23.4" customHeight="1">
      <c r="C2038" s="66" t="s">
        <v>1214</v>
      </c>
      <c r="D2038" s="67"/>
      <c r="E2038" s="67"/>
      <c r="F2038" s="67"/>
      <c r="G2038" s="69"/>
      <c r="H2038" s="284">
        <f>SUM(H2035:H2037)</f>
        <v>5330</v>
      </c>
    </row>
    <row r="2039" spans="3:9" ht="23.4" customHeight="1">
      <c r="C2039" s="321" t="s">
        <v>1215</v>
      </c>
      <c r="D2039" s="182" t="s">
        <v>1216</v>
      </c>
      <c r="E2039" s="70"/>
      <c r="F2039" s="70"/>
      <c r="G2039" s="70"/>
      <c r="H2039" s="71"/>
    </row>
    <row r="2040" spans="3:9" ht="23.4" customHeight="1">
      <c r="C2040" s="66" t="s">
        <v>1217</v>
      </c>
      <c r="D2040" s="67"/>
      <c r="E2040" s="67"/>
      <c r="F2040" s="67"/>
      <c r="G2040" s="69"/>
      <c r="H2040" s="292">
        <v>0</v>
      </c>
    </row>
    <row r="2041" spans="3:9" ht="23.4" customHeight="1">
      <c r="C2041" s="293" t="s">
        <v>1218</v>
      </c>
      <c r="D2041" s="294" t="s">
        <v>1219</v>
      </c>
      <c r="E2041" s="295"/>
      <c r="F2041" s="295"/>
      <c r="G2041" s="296"/>
      <c r="H2041" s="284">
        <f>H2040+H2038+H2033</f>
        <v>40895</v>
      </c>
    </row>
    <row r="2042" spans="3:9" ht="23.4" customHeight="1">
      <c r="C2042" s="293" t="s">
        <v>1220</v>
      </c>
      <c r="D2042" s="294" t="s">
        <v>1321</v>
      </c>
      <c r="E2042" s="295"/>
      <c r="F2042" s="296"/>
      <c r="G2042" s="298">
        <f>$M$8</f>
        <v>0.1</v>
      </c>
      <c r="H2042" s="284">
        <f>H2041*G2042</f>
        <v>4089.5</v>
      </c>
    </row>
    <row r="2043" spans="3:9" ht="23.4" customHeight="1" thickBot="1">
      <c r="C2043" s="299" t="s">
        <v>1221</v>
      </c>
      <c r="D2043" s="300" t="s">
        <v>1222</v>
      </c>
      <c r="E2043" s="301"/>
      <c r="F2043" s="301"/>
      <c r="G2043" s="302"/>
      <c r="H2043" s="303">
        <f>SUM(H2041:H2042)</f>
        <v>44984.5</v>
      </c>
    </row>
    <row r="2044" spans="3:9" ht="14.4" thickTop="1">
      <c r="C2044" s="289"/>
      <c r="D2044" s="297"/>
      <c r="E2044" s="297"/>
      <c r="F2044" s="297"/>
      <c r="G2044" s="297"/>
      <c r="H2044" s="139"/>
    </row>
  </sheetData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3:O982"/>
  <sheetViews>
    <sheetView topLeftCell="A219" zoomScale="89" zoomScaleNormal="89" workbookViewId="0">
      <selection activeCell="D1168" sqref="D1168"/>
    </sheetView>
  </sheetViews>
  <sheetFormatPr defaultColWidth="8.88671875" defaultRowHeight="13.8"/>
  <cols>
    <col min="1" max="1" width="2.109375" style="59" customWidth="1"/>
    <col min="2" max="2" width="1.6640625" style="59" customWidth="1"/>
    <col min="3" max="3" width="11.109375" style="45" customWidth="1"/>
    <col min="4" max="4" width="37.33203125" style="45" customWidth="1"/>
    <col min="5" max="5" width="8.44140625" style="45" customWidth="1"/>
    <col min="6" max="6" width="11.44140625" style="45" customWidth="1"/>
    <col min="7" max="7" width="16.21875" style="45" customWidth="1"/>
    <col min="8" max="8" width="18.6640625" style="45" customWidth="1"/>
    <col min="9" max="11" width="14.33203125" style="44" customWidth="1"/>
    <col min="12" max="12" width="15" style="152" bestFit="1" customWidth="1"/>
    <col min="13" max="13" width="12.44140625" style="59" bestFit="1" customWidth="1"/>
    <col min="14" max="16384" width="8.88671875" style="59"/>
  </cols>
  <sheetData>
    <row r="3" spans="3:15">
      <c r="C3" s="491" t="s">
        <v>3021</v>
      </c>
      <c r="D3" s="492" t="s">
        <v>6440</v>
      </c>
      <c r="E3" s="148"/>
      <c r="F3" s="148"/>
      <c r="G3" s="148"/>
      <c r="H3" s="148"/>
    </row>
    <row r="4" spans="3:15">
      <c r="C4" s="491" t="s">
        <v>3022</v>
      </c>
      <c r="D4" s="492" t="s">
        <v>3023</v>
      </c>
      <c r="E4" s="148"/>
      <c r="F4" s="148"/>
      <c r="G4" s="148"/>
      <c r="H4" s="148"/>
    </row>
    <row r="5" spans="3:15" ht="14.4" thickBot="1">
      <c r="C5" s="46" t="s">
        <v>3024</v>
      </c>
      <c r="D5" s="455" t="s">
        <v>1484</v>
      </c>
      <c r="E5" s="151"/>
      <c r="F5" s="151"/>
      <c r="G5" s="151"/>
      <c r="H5" s="151"/>
      <c r="I5" s="50">
        <f>ROUNDDOWN(H21,-2)</f>
        <v>586200</v>
      </c>
      <c r="J5" s="50" t="s">
        <v>6451</v>
      </c>
      <c r="K5" s="50" t="s">
        <v>6540</v>
      </c>
      <c r="L5" s="493"/>
      <c r="M5" s="494"/>
    </row>
    <row r="6" spans="3:15" ht="28.2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L6" s="493"/>
    </row>
    <row r="7" spans="3:15" ht="19.2" customHeight="1">
      <c r="C7" s="55" t="s">
        <v>1201</v>
      </c>
      <c r="D7" s="56" t="s">
        <v>1202</v>
      </c>
      <c r="E7" s="57"/>
      <c r="F7" s="57"/>
      <c r="G7" s="57"/>
      <c r="H7" s="58"/>
      <c r="L7" s="152" t="s">
        <v>1247</v>
      </c>
    </row>
    <row r="8" spans="3:15" ht="19.2" customHeight="1">
      <c r="C8" s="60">
        <v>1</v>
      </c>
      <c r="D8" s="56" t="s">
        <v>5</v>
      </c>
      <c r="E8" s="61" t="s">
        <v>6</v>
      </c>
      <c r="F8" s="101">
        <v>0.1333</v>
      </c>
      <c r="G8" s="63">
        <f>VLOOKUP(D8,upahbahan,3,FALSE)</f>
        <v>100000</v>
      </c>
      <c r="H8" s="64">
        <f>F8*G8</f>
        <v>13330</v>
      </c>
      <c r="K8" s="62">
        <v>1.2</v>
      </c>
      <c r="L8" s="152" t="s">
        <v>1248</v>
      </c>
      <c r="O8" s="65">
        <v>0.1</v>
      </c>
    </row>
    <row r="9" spans="3:15" ht="19.2" customHeight="1">
      <c r="C9" s="60">
        <v>2</v>
      </c>
      <c r="D9" s="56" t="s">
        <v>9</v>
      </c>
      <c r="E9" s="61" t="s">
        <v>6</v>
      </c>
      <c r="F9" s="101">
        <v>6.6699999999999995E-2</v>
      </c>
      <c r="G9" s="63">
        <f>VLOOKUP(D9,upahbahan,3,FALSE)</f>
        <v>135000</v>
      </c>
      <c r="H9" s="64">
        <f>F9*G9</f>
        <v>9004.5</v>
      </c>
      <c r="K9" s="62">
        <v>1.2</v>
      </c>
    </row>
    <row r="10" spans="3:15" ht="19.2" customHeight="1">
      <c r="C10" s="60">
        <v>3</v>
      </c>
      <c r="D10" s="56" t="s">
        <v>18</v>
      </c>
      <c r="E10" s="61" t="s">
        <v>6</v>
      </c>
      <c r="F10" s="101">
        <v>6.7000000000000002E-3</v>
      </c>
      <c r="G10" s="63">
        <f>VLOOKUP(D10,upahbahan,3,FALSE)</f>
        <v>150000</v>
      </c>
      <c r="H10" s="64">
        <f t="shared" ref="H10:H11" si="0">F10*G10</f>
        <v>1005</v>
      </c>
      <c r="K10" s="62">
        <v>0.12</v>
      </c>
    </row>
    <row r="11" spans="3:15" ht="19.2" customHeight="1">
      <c r="C11" s="60">
        <v>4</v>
      </c>
      <c r="D11" s="56" t="s">
        <v>19</v>
      </c>
      <c r="E11" s="61" t="s">
        <v>6</v>
      </c>
      <c r="F11" s="101">
        <v>2.2000000000000001E-3</v>
      </c>
      <c r="G11" s="63">
        <f>VLOOKUP(D11,upahbahan,3,FALSE)</f>
        <v>160000</v>
      </c>
      <c r="H11" s="64">
        <f t="shared" si="0"/>
        <v>352</v>
      </c>
      <c r="K11" s="62">
        <v>0.04</v>
      </c>
    </row>
    <row r="12" spans="3:15" ht="19.2" customHeight="1">
      <c r="C12" s="66" t="s">
        <v>1208</v>
      </c>
      <c r="D12" s="67"/>
      <c r="E12" s="67"/>
      <c r="F12" s="142"/>
      <c r="G12" s="153"/>
      <c r="H12" s="64">
        <f>SUM(H8:H11)</f>
        <v>23691.5</v>
      </c>
      <c r="I12" s="154"/>
      <c r="J12" s="154"/>
      <c r="K12" s="154"/>
    </row>
    <row r="13" spans="3:15" ht="19.2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5" ht="19.2" customHeight="1">
      <c r="C14" s="60">
        <v>1</v>
      </c>
      <c r="D14" s="56" t="s">
        <v>815</v>
      </c>
      <c r="E14" s="61" t="s">
        <v>62</v>
      </c>
      <c r="F14" s="62">
        <v>1</v>
      </c>
      <c r="G14" s="63">
        <f>VLOOKUP(D14,upahbahan,3,FALSE)</f>
        <v>509100</v>
      </c>
      <c r="H14" s="64">
        <f>F14*G14</f>
        <v>509100</v>
      </c>
    </row>
    <row r="15" spans="3:15" ht="19.2" customHeight="1">
      <c r="C15" s="66" t="s">
        <v>1214</v>
      </c>
      <c r="D15" s="67"/>
      <c r="E15" s="67"/>
      <c r="F15" s="67"/>
      <c r="G15" s="69"/>
      <c r="H15" s="64">
        <f>SUM(H14:H14)</f>
        <v>509100</v>
      </c>
    </row>
    <row r="16" spans="3:15" ht="19.2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13" ht="19.2" customHeight="1">
      <c r="C17" s="60">
        <v>1</v>
      </c>
      <c r="D17" s="56" t="s">
        <v>2452</v>
      </c>
      <c r="E17" s="61" t="s">
        <v>1974</v>
      </c>
      <c r="F17" s="101">
        <v>6.6699999999999995E-2</v>
      </c>
      <c r="G17" s="63">
        <f>VLOOKUP(D17,upahbahan,3,FALSE)</f>
        <v>3125</v>
      </c>
      <c r="H17" s="64">
        <f>F17*G17</f>
        <v>208.43749999999997</v>
      </c>
    </row>
    <row r="18" spans="3:13" ht="19.2" customHeight="1">
      <c r="C18" s="66" t="s">
        <v>1217</v>
      </c>
      <c r="D18" s="67"/>
      <c r="E18" s="67"/>
      <c r="F18" s="67"/>
      <c r="G18" s="69"/>
      <c r="H18" s="74">
        <f>SUM(H17)</f>
        <v>208.43749999999997</v>
      </c>
    </row>
    <row r="19" spans="3:13" ht="19.2" customHeight="1">
      <c r="C19" s="75" t="s">
        <v>1218</v>
      </c>
      <c r="D19" s="76" t="s">
        <v>1219</v>
      </c>
      <c r="E19" s="77"/>
      <c r="F19" s="77"/>
      <c r="G19" s="78"/>
      <c r="H19" s="64">
        <f>H18+H15+H12</f>
        <v>532999.9375</v>
      </c>
    </row>
    <row r="20" spans="3:13" ht="19.2" customHeight="1">
      <c r="C20" s="75" t="s">
        <v>1220</v>
      </c>
      <c r="D20" s="76" t="s">
        <v>1321</v>
      </c>
      <c r="E20" s="77"/>
      <c r="F20" s="78"/>
      <c r="G20" s="80">
        <f>$O$8</f>
        <v>0.1</v>
      </c>
      <c r="H20" s="64">
        <f>H19*G20</f>
        <v>53299.993750000001</v>
      </c>
    </row>
    <row r="21" spans="3:13" ht="19.2" customHeight="1" thickBot="1">
      <c r="C21" s="81" t="s">
        <v>1221</v>
      </c>
      <c r="D21" s="82" t="s">
        <v>1222</v>
      </c>
      <c r="E21" s="83"/>
      <c r="F21" s="83"/>
      <c r="G21" s="84"/>
      <c r="H21" s="85">
        <f>SUM(H19:H20)</f>
        <v>586299.93125000002</v>
      </c>
    </row>
    <row r="22" spans="3:13" ht="14.4" thickTop="1"/>
    <row r="23" spans="3:13" ht="14.4" thickBot="1">
      <c r="C23" s="47" t="s">
        <v>3025</v>
      </c>
      <c r="D23" s="455" t="s">
        <v>1485</v>
      </c>
      <c r="E23" s="151"/>
      <c r="F23" s="151"/>
      <c r="G23" s="151"/>
      <c r="H23" s="151"/>
      <c r="I23" s="50">
        <f>ROUNDDOWN(H38,-2)</f>
        <v>680700</v>
      </c>
      <c r="J23" s="50" t="s">
        <v>6451</v>
      </c>
      <c r="K23" s="50" t="s">
        <v>6541</v>
      </c>
      <c r="M23" s="494"/>
    </row>
    <row r="24" spans="3:13" ht="28.2" thickTop="1">
      <c r="C24" s="51" t="s">
        <v>1195</v>
      </c>
      <c r="D24" s="52" t="s">
        <v>1196</v>
      </c>
      <c r="E24" s="52" t="s">
        <v>1197</v>
      </c>
      <c r="F24" s="52" t="s">
        <v>1198</v>
      </c>
      <c r="G24" s="52" t="s">
        <v>1199</v>
      </c>
      <c r="H24" s="53" t="s">
        <v>1200</v>
      </c>
      <c r="M24" s="494"/>
    </row>
    <row r="25" spans="3:13" ht="20.399999999999999" customHeight="1">
      <c r="C25" s="55" t="s">
        <v>1201</v>
      </c>
      <c r="D25" s="56" t="s">
        <v>1202</v>
      </c>
      <c r="E25" s="57"/>
      <c r="F25" s="57"/>
      <c r="G25" s="57"/>
      <c r="H25" s="58"/>
      <c r="M25" s="494"/>
    </row>
    <row r="26" spans="3:13" ht="20.399999999999999" customHeight="1">
      <c r="C26" s="60">
        <v>1</v>
      </c>
      <c r="D26" s="56" t="s">
        <v>5</v>
      </c>
      <c r="E26" s="61" t="s">
        <v>6</v>
      </c>
      <c r="F26" s="101">
        <v>0.1</v>
      </c>
      <c r="G26" s="63">
        <f>VLOOKUP(D26,upahbahan,3,FALSE)</f>
        <v>100000</v>
      </c>
      <c r="H26" s="64">
        <f t="shared" ref="H26:H29" si="1">F26*G26</f>
        <v>10000</v>
      </c>
      <c r="K26" s="62">
        <v>1</v>
      </c>
      <c r="M26" s="494"/>
    </row>
    <row r="27" spans="3:13" ht="20.399999999999999" customHeight="1">
      <c r="C27" s="60">
        <v>2</v>
      </c>
      <c r="D27" s="56" t="s">
        <v>14</v>
      </c>
      <c r="E27" s="61" t="s">
        <v>6</v>
      </c>
      <c r="F27" s="101">
        <v>0.05</v>
      </c>
      <c r="G27" s="63">
        <f>VLOOKUP(D27,upahbahan,3,FALSE)</f>
        <v>145000</v>
      </c>
      <c r="H27" s="64">
        <f t="shared" si="1"/>
        <v>7250</v>
      </c>
      <c r="K27" s="62">
        <v>1</v>
      </c>
      <c r="M27" s="494"/>
    </row>
    <row r="28" spans="3:13" ht="20.399999999999999" customHeight="1">
      <c r="C28" s="60">
        <v>3</v>
      </c>
      <c r="D28" s="56" t="s">
        <v>18</v>
      </c>
      <c r="E28" s="61" t="s">
        <v>6</v>
      </c>
      <c r="F28" s="101">
        <v>5.0000000000000001E-3</v>
      </c>
      <c r="G28" s="63">
        <f>VLOOKUP(D28,upahbahan,3,FALSE)</f>
        <v>150000</v>
      </c>
      <c r="H28" s="64">
        <f t="shared" si="1"/>
        <v>750</v>
      </c>
      <c r="K28" s="62">
        <v>0.1</v>
      </c>
      <c r="M28" s="494"/>
    </row>
    <row r="29" spans="3:13" ht="20.399999999999999" customHeight="1">
      <c r="C29" s="60">
        <v>4</v>
      </c>
      <c r="D29" s="56" t="s">
        <v>19</v>
      </c>
      <c r="E29" s="61" t="s">
        <v>6</v>
      </c>
      <c r="F29" s="101">
        <v>1.6999999999999999E-3</v>
      </c>
      <c r="G29" s="63">
        <f>VLOOKUP(D29,upahbahan,3,FALSE)</f>
        <v>160000</v>
      </c>
      <c r="H29" s="64">
        <f t="shared" si="1"/>
        <v>272</v>
      </c>
      <c r="K29" s="62">
        <v>3.3000000000000002E-2</v>
      </c>
      <c r="M29" s="494"/>
    </row>
    <row r="30" spans="3:13" ht="20.399999999999999" customHeight="1">
      <c r="C30" s="66" t="s">
        <v>1208</v>
      </c>
      <c r="D30" s="67"/>
      <c r="E30" s="67"/>
      <c r="F30" s="142"/>
      <c r="G30" s="153"/>
      <c r="H30" s="64">
        <f>SUM(H26:H29)</f>
        <v>18272</v>
      </c>
      <c r="I30" s="154"/>
      <c r="J30" s="154"/>
      <c r="K30" s="154"/>
      <c r="M30" s="494"/>
    </row>
    <row r="31" spans="3:13" ht="20.399999999999999" customHeight="1">
      <c r="C31" s="55" t="s">
        <v>1209</v>
      </c>
      <c r="D31" s="56" t="s">
        <v>1210</v>
      </c>
      <c r="E31" s="57"/>
      <c r="F31" s="57"/>
      <c r="G31" s="57"/>
      <c r="H31" s="58"/>
      <c r="M31" s="494"/>
    </row>
    <row r="32" spans="3:13" ht="20.399999999999999" customHeight="1">
      <c r="C32" s="60">
        <v>1</v>
      </c>
      <c r="D32" s="56" t="s">
        <v>814</v>
      </c>
      <c r="E32" s="61" t="s">
        <v>62</v>
      </c>
      <c r="F32" s="62">
        <v>1</v>
      </c>
      <c r="G32" s="63">
        <f>VLOOKUP(D32,upahbahan,3,FALSE)</f>
        <v>600600</v>
      </c>
      <c r="H32" s="64">
        <f>F32*G32</f>
        <v>600600</v>
      </c>
      <c r="M32" s="494"/>
    </row>
    <row r="33" spans="3:13" ht="20.399999999999999" customHeight="1">
      <c r="C33" s="66" t="s">
        <v>1214</v>
      </c>
      <c r="D33" s="67"/>
      <c r="E33" s="67"/>
      <c r="F33" s="67"/>
      <c r="G33" s="69"/>
      <c r="H33" s="64">
        <f>SUM(H32:H32)</f>
        <v>600600</v>
      </c>
      <c r="M33" s="494"/>
    </row>
    <row r="34" spans="3:13" ht="20.399999999999999" customHeight="1">
      <c r="C34" s="167" t="s">
        <v>1215</v>
      </c>
      <c r="D34" s="56" t="s">
        <v>1216</v>
      </c>
      <c r="E34" s="57"/>
      <c r="F34" s="57"/>
      <c r="G34" s="57"/>
      <c r="H34" s="58"/>
      <c r="M34" s="494"/>
    </row>
    <row r="35" spans="3:13" ht="20.399999999999999" customHeight="1">
      <c r="C35" s="66" t="s">
        <v>1217</v>
      </c>
      <c r="D35" s="67"/>
      <c r="E35" s="67"/>
      <c r="F35" s="67"/>
      <c r="G35" s="69"/>
      <c r="H35" s="74">
        <v>0</v>
      </c>
      <c r="M35" s="494"/>
    </row>
    <row r="36" spans="3:13" ht="20.399999999999999" customHeight="1">
      <c r="C36" s="75" t="s">
        <v>1218</v>
      </c>
      <c r="D36" s="76" t="s">
        <v>1219</v>
      </c>
      <c r="E36" s="77"/>
      <c r="F36" s="77"/>
      <c r="G36" s="78"/>
      <c r="H36" s="64">
        <f>H35+H33+H30</f>
        <v>618872</v>
      </c>
      <c r="M36" s="494"/>
    </row>
    <row r="37" spans="3:13" ht="20.399999999999999" customHeight="1">
      <c r="C37" s="75" t="s">
        <v>1220</v>
      </c>
      <c r="D37" s="76" t="s">
        <v>1321</v>
      </c>
      <c r="E37" s="77"/>
      <c r="F37" s="78"/>
      <c r="G37" s="80">
        <f>$O$8</f>
        <v>0.1</v>
      </c>
      <c r="H37" s="64">
        <f>H36*G37</f>
        <v>61887.200000000004</v>
      </c>
      <c r="M37" s="494"/>
    </row>
    <row r="38" spans="3:13" ht="20.399999999999999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680759.2</v>
      </c>
      <c r="M38" s="494"/>
    </row>
    <row r="39" spans="3:13" ht="14.4" thickTop="1">
      <c r="C39" s="89"/>
      <c r="D39" s="90"/>
      <c r="E39" s="90"/>
      <c r="F39" s="90"/>
      <c r="G39" s="90"/>
      <c r="H39" s="91"/>
      <c r="M39" s="494"/>
    </row>
    <row r="40" spans="3:13" ht="14.4" thickBot="1">
      <c r="C40" s="47" t="s">
        <v>3026</v>
      </c>
      <c r="D40" s="455" t="s">
        <v>1486</v>
      </c>
      <c r="E40" s="151"/>
      <c r="F40" s="151"/>
      <c r="G40" s="151"/>
      <c r="H40" s="151"/>
      <c r="I40" s="50">
        <f>ROUNDDOWN(H55,-2)</f>
        <v>16000</v>
      </c>
      <c r="J40" s="50" t="s">
        <v>6451</v>
      </c>
      <c r="K40" s="50" t="s">
        <v>6541</v>
      </c>
      <c r="M40" s="494"/>
    </row>
    <row r="41" spans="3:13" ht="28.2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  <c r="M41" s="494"/>
    </row>
    <row r="42" spans="3:13" ht="22.8" customHeight="1">
      <c r="C42" s="55" t="s">
        <v>1201</v>
      </c>
      <c r="D42" s="56" t="s">
        <v>1202</v>
      </c>
      <c r="E42" s="57"/>
      <c r="F42" s="57"/>
      <c r="G42" s="57"/>
      <c r="H42" s="58"/>
      <c r="M42" s="494"/>
    </row>
    <row r="43" spans="3:13" ht="22.8" customHeight="1">
      <c r="C43" s="60">
        <v>1</v>
      </c>
      <c r="D43" s="56" t="s">
        <v>5</v>
      </c>
      <c r="E43" s="61" t="s">
        <v>6</v>
      </c>
      <c r="F43" s="62">
        <v>0.08</v>
      </c>
      <c r="G43" s="63">
        <f>VLOOKUP(D43,upahbahan,3,FALSE)</f>
        <v>100000</v>
      </c>
      <c r="H43" s="64">
        <f t="shared" ref="H43:H46" si="2">F43*G43</f>
        <v>8000</v>
      </c>
      <c r="K43" s="62">
        <v>0.44</v>
      </c>
      <c r="M43" s="494"/>
    </row>
    <row r="44" spans="3:13" ht="22.8" customHeight="1">
      <c r="C44" s="60">
        <v>2</v>
      </c>
      <c r="D44" s="56" t="s">
        <v>14</v>
      </c>
      <c r="E44" s="61" t="s">
        <v>6</v>
      </c>
      <c r="F44" s="62">
        <v>0.04</v>
      </c>
      <c r="G44" s="63">
        <f>VLOOKUP(D44,upahbahan,3,FALSE)</f>
        <v>145000</v>
      </c>
      <c r="H44" s="64">
        <f t="shared" si="2"/>
        <v>5800</v>
      </c>
      <c r="K44" s="62">
        <v>0.44</v>
      </c>
      <c r="M44" s="494"/>
    </row>
    <row r="45" spans="3:13" ht="22.8" customHeight="1">
      <c r="C45" s="60">
        <v>3</v>
      </c>
      <c r="D45" s="56" t="s">
        <v>18</v>
      </c>
      <c r="E45" s="61" t="s">
        <v>6</v>
      </c>
      <c r="F45" s="62">
        <v>4.0000000000000001E-3</v>
      </c>
      <c r="G45" s="63">
        <f>VLOOKUP(D45,upahbahan,3,FALSE)</f>
        <v>150000</v>
      </c>
      <c r="H45" s="64">
        <f t="shared" si="2"/>
        <v>600</v>
      </c>
      <c r="K45" s="62">
        <v>4.3999999999999997E-2</v>
      </c>
      <c r="M45" s="494"/>
    </row>
    <row r="46" spans="3:13" ht="22.8" customHeight="1">
      <c r="C46" s="60">
        <v>4</v>
      </c>
      <c r="D46" s="56" t="s">
        <v>19</v>
      </c>
      <c r="E46" s="61" t="s">
        <v>6</v>
      </c>
      <c r="F46" s="62">
        <v>1E-3</v>
      </c>
      <c r="G46" s="63">
        <f>VLOOKUP(D46,upahbahan,3,FALSE)</f>
        <v>160000</v>
      </c>
      <c r="H46" s="64">
        <f t="shared" si="2"/>
        <v>160</v>
      </c>
      <c r="K46" s="62">
        <v>1.4999999999999999E-2</v>
      </c>
      <c r="M46" s="494"/>
    </row>
    <row r="47" spans="3:13" ht="22.8" customHeight="1">
      <c r="C47" s="66" t="s">
        <v>1208</v>
      </c>
      <c r="D47" s="67"/>
      <c r="E47" s="67"/>
      <c r="F47" s="142"/>
      <c r="G47" s="153"/>
      <c r="H47" s="64">
        <f>SUM(H43:H46)</f>
        <v>14560</v>
      </c>
      <c r="I47" s="154"/>
      <c r="J47" s="154"/>
      <c r="K47" s="154"/>
      <c r="M47" s="494"/>
    </row>
    <row r="48" spans="3:13" ht="22.8" customHeight="1">
      <c r="C48" s="55" t="s">
        <v>1209</v>
      </c>
      <c r="D48" s="56" t="s">
        <v>1210</v>
      </c>
      <c r="E48" s="57"/>
      <c r="F48" s="57"/>
      <c r="G48" s="57"/>
      <c r="H48" s="58"/>
      <c r="M48" s="494"/>
    </row>
    <row r="49" spans="3:13" ht="22.8" customHeight="1">
      <c r="C49" s="60">
        <v>1</v>
      </c>
      <c r="D49" s="56" t="s">
        <v>804</v>
      </c>
      <c r="E49" s="61" t="s">
        <v>62</v>
      </c>
      <c r="F49" s="62">
        <v>1</v>
      </c>
      <c r="G49" s="63">
        <f>VLOOKUP(D49,upahbahan,3,FALSE)</f>
        <v>0</v>
      </c>
      <c r="H49" s="64">
        <f t="shared" ref="H49" si="3">F49*G49</f>
        <v>0</v>
      </c>
      <c r="M49" s="494"/>
    </row>
    <row r="50" spans="3:13" ht="22.8" customHeight="1">
      <c r="C50" s="66" t="s">
        <v>1214</v>
      </c>
      <c r="D50" s="67"/>
      <c r="E50" s="67"/>
      <c r="F50" s="67"/>
      <c r="G50" s="69"/>
      <c r="H50" s="64">
        <f>SUM(H49:H49)</f>
        <v>0</v>
      </c>
      <c r="M50" s="494"/>
    </row>
    <row r="51" spans="3:13" ht="22.8" customHeight="1">
      <c r="C51" s="167" t="s">
        <v>1215</v>
      </c>
      <c r="D51" s="56" t="s">
        <v>1216</v>
      </c>
      <c r="E51" s="57"/>
      <c r="F51" s="57"/>
      <c r="G51" s="57"/>
      <c r="H51" s="58"/>
      <c r="M51" s="494"/>
    </row>
    <row r="52" spans="3:13" ht="22.8" customHeight="1">
      <c r="C52" s="66" t="s">
        <v>1217</v>
      </c>
      <c r="D52" s="67"/>
      <c r="E52" s="67"/>
      <c r="F52" s="67"/>
      <c r="G52" s="69"/>
      <c r="H52" s="74">
        <v>0</v>
      </c>
      <c r="M52" s="494"/>
    </row>
    <row r="53" spans="3:13" ht="22.8" customHeight="1">
      <c r="C53" s="75" t="s">
        <v>1218</v>
      </c>
      <c r="D53" s="76" t="s">
        <v>1219</v>
      </c>
      <c r="E53" s="77"/>
      <c r="F53" s="77"/>
      <c r="G53" s="78"/>
      <c r="H53" s="64">
        <f>H52+H50+H47</f>
        <v>14560</v>
      </c>
      <c r="M53" s="494"/>
    </row>
    <row r="54" spans="3:13" ht="22.8" customHeight="1">
      <c r="C54" s="75" t="s">
        <v>1220</v>
      </c>
      <c r="D54" s="76" t="s">
        <v>1321</v>
      </c>
      <c r="E54" s="77"/>
      <c r="F54" s="78"/>
      <c r="G54" s="80">
        <f>$O$8</f>
        <v>0.1</v>
      </c>
      <c r="H54" s="64">
        <f>H53*G54</f>
        <v>1456</v>
      </c>
      <c r="M54" s="494"/>
    </row>
    <row r="55" spans="3:13" ht="22.8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16016</v>
      </c>
      <c r="M55" s="494"/>
    </row>
    <row r="56" spans="3:13" ht="14.4" thickTop="1">
      <c r="C56" s="89"/>
      <c r="D56" s="90"/>
      <c r="E56" s="90"/>
      <c r="F56" s="90"/>
      <c r="G56" s="90"/>
      <c r="H56" s="91"/>
      <c r="M56" s="494"/>
    </row>
    <row r="57" spans="3:13" ht="14.4" thickBot="1">
      <c r="C57" s="59" t="s">
        <v>3027</v>
      </c>
      <c r="D57" s="455" t="s">
        <v>1487</v>
      </c>
      <c r="E57" s="151"/>
      <c r="F57" s="151"/>
      <c r="G57" s="151"/>
      <c r="H57" s="151"/>
      <c r="I57" s="50">
        <f>ROUNDDOWN(H73,-2)</f>
        <v>1200600</v>
      </c>
      <c r="J57" s="50"/>
      <c r="K57" s="50"/>
      <c r="M57" s="494"/>
    </row>
    <row r="58" spans="3:13" ht="28.2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M58" s="494"/>
    </row>
    <row r="59" spans="3:13" ht="21.6" customHeight="1">
      <c r="C59" s="55" t="s">
        <v>1201</v>
      </c>
      <c r="D59" s="56" t="s">
        <v>1202</v>
      </c>
      <c r="E59" s="57"/>
      <c r="F59" s="57"/>
      <c r="G59" s="57"/>
      <c r="H59" s="58"/>
      <c r="M59" s="494"/>
    </row>
    <row r="60" spans="3:13" ht="21.6" customHeight="1">
      <c r="C60" s="60">
        <v>1</v>
      </c>
      <c r="D60" s="56" t="s">
        <v>5</v>
      </c>
      <c r="E60" s="61" t="s">
        <v>6</v>
      </c>
      <c r="F60" s="98">
        <v>8.5000000000000006E-2</v>
      </c>
      <c r="G60" s="63">
        <f>VLOOKUP(D60,upahbahan,3,FALSE)</f>
        <v>100000</v>
      </c>
      <c r="H60" s="64">
        <f t="shared" ref="H60:H63" si="4">F60*G60</f>
        <v>8500</v>
      </c>
      <c r="M60" s="494"/>
    </row>
    <row r="61" spans="3:13" ht="21.6" customHeight="1">
      <c r="C61" s="60">
        <v>2</v>
      </c>
      <c r="D61" s="56" t="s">
        <v>14</v>
      </c>
      <c r="E61" s="61" t="s">
        <v>6</v>
      </c>
      <c r="F61" s="98">
        <v>8.5000000000000006E-2</v>
      </c>
      <c r="G61" s="63">
        <f>VLOOKUP(D61,upahbahan,3,FALSE)</f>
        <v>145000</v>
      </c>
      <c r="H61" s="64">
        <f t="shared" si="4"/>
        <v>12325</v>
      </c>
      <c r="M61" s="494"/>
    </row>
    <row r="62" spans="3:13" ht="21.6" customHeight="1">
      <c r="C62" s="60">
        <v>3</v>
      </c>
      <c r="D62" s="56" t="s">
        <v>18</v>
      </c>
      <c r="E62" s="61" t="s">
        <v>6</v>
      </c>
      <c r="F62" s="98">
        <v>8.9999999999999993E-3</v>
      </c>
      <c r="G62" s="63">
        <f>VLOOKUP(D62,upahbahan,3,FALSE)</f>
        <v>150000</v>
      </c>
      <c r="H62" s="64">
        <f t="shared" si="4"/>
        <v>1350</v>
      </c>
      <c r="M62" s="494"/>
    </row>
    <row r="63" spans="3:13" ht="21.6" customHeight="1">
      <c r="C63" s="60">
        <v>4</v>
      </c>
      <c r="D63" s="56" t="s">
        <v>19</v>
      </c>
      <c r="E63" s="61" t="s">
        <v>6</v>
      </c>
      <c r="F63" s="98">
        <v>3.0000000000000001E-3</v>
      </c>
      <c r="G63" s="63">
        <f>VLOOKUP(D63,upahbahan,3,FALSE)</f>
        <v>160000</v>
      </c>
      <c r="H63" s="64">
        <f t="shared" si="4"/>
        <v>480</v>
      </c>
      <c r="M63" s="494"/>
    </row>
    <row r="64" spans="3:13" ht="21.6" customHeight="1">
      <c r="C64" s="66" t="s">
        <v>1208</v>
      </c>
      <c r="D64" s="67"/>
      <c r="E64" s="67"/>
      <c r="F64" s="142"/>
      <c r="G64" s="153"/>
      <c r="H64" s="64">
        <f>SUM(H60:H63)</f>
        <v>22655</v>
      </c>
      <c r="I64" s="154"/>
      <c r="J64" s="154"/>
      <c r="K64" s="154"/>
      <c r="M64" s="494"/>
    </row>
    <row r="65" spans="3:13" ht="21.6" customHeight="1">
      <c r="C65" s="55" t="s">
        <v>1209</v>
      </c>
      <c r="D65" s="56" t="s">
        <v>1210</v>
      </c>
      <c r="E65" s="57"/>
      <c r="F65" s="57"/>
      <c r="G65" s="57"/>
      <c r="H65" s="58"/>
      <c r="M65" s="494"/>
    </row>
    <row r="66" spans="3:13" ht="21.6" customHeight="1">
      <c r="C66" s="92" t="s">
        <v>1203</v>
      </c>
      <c r="D66" s="56" t="s">
        <v>1488</v>
      </c>
      <c r="E66" s="93" t="s">
        <v>113</v>
      </c>
      <c r="F66" s="104">
        <v>4.4000000000000004</v>
      </c>
      <c r="G66" s="63">
        <f>VLOOKUP(D66,upahbahan,3,FALSE)</f>
        <v>93600</v>
      </c>
      <c r="H66" s="64">
        <f t="shared" ref="H66:H67" si="5">F66*G66</f>
        <v>411840.00000000006</v>
      </c>
      <c r="M66" s="494"/>
    </row>
    <row r="67" spans="3:13" ht="21.6" customHeight="1">
      <c r="C67" s="92" t="s">
        <v>1204</v>
      </c>
      <c r="D67" s="56" t="s">
        <v>1489</v>
      </c>
      <c r="E67" s="61" t="s">
        <v>113</v>
      </c>
      <c r="F67" s="62">
        <v>14.6</v>
      </c>
      <c r="G67" s="63">
        <f>VLOOKUP(D67,upahbahan,3,FALSE)</f>
        <v>45000</v>
      </c>
      <c r="H67" s="64">
        <f t="shared" si="5"/>
        <v>657000</v>
      </c>
      <c r="M67" s="494"/>
    </row>
    <row r="68" spans="3:13" ht="21.6" customHeight="1">
      <c r="C68" s="66" t="s">
        <v>1214</v>
      </c>
      <c r="D68" s="67"/>
      <c r="E68" s="67"/>
      <c r="F68" s="67"/>
      <c r="G68" s="69"/>
      <c r="H68" s="64">
        <f>SUM(H66:H67)</f>
        <v>1068840</v>
      </c>
      <c r="M68" s="494"/>
    </row>
    <row r="69" spans="3:13" ht="21.6" customHeight="1">
      <c r="C69" s="167" t="s">
        <v>1215</v>
      </c>
      <c r="D69" s="56" t="s">
        <v>1216</v>
      </c>
      <c r="E69" s="57"/>
      <c r="F69" s="57"/>
      <c r="G69" s="57"/>
      <c r="H69" s="58"/>
      <c r="M69" s="494"/>
    </row>
    <row r="70" spans="3:13" ht="21.6" customHeight="1">
      <c r="C70" s="66" t="s">
        <v>1217</v>
      </c>
      <c r="D70" s="67"/>
      <c r="E70" s="67"/>
      <c r="F70" s="67"/>
      <c r="G70" s="69"/>
      <c r="H70" s="74">
        <v>0</v>
      </c>
      <c r="M70" s="494"/>
    </row>
    <row r="71" spans="3:13" ht="21.6" customHeight="1">
      <c r="C71" s="75" t="s">
        <v>1218</v>
      </c>
      <c r="D71" s="76" t="s">
        <v>1219</v>
      </c>
      <c r="E71" s="77"/>
      <c r="F71" s="77"/>
      <c r="G71" s="78"/>
      <c r="H71" s="64">
        <f>H70+H68+H64</f>
        <v>1091495</v>
      </c>
      <c r="M71" s="494"/>
    </row>
    <row r="72" spans="3:13" ht="21.6" customHeight="1">
      <c r="C72" s="75" t="s">
        <v>1220</v>
      </c>
      <c r="D72" s="76" t="s">
        <v>1321</v>
      </c>
      <c r="E72" s="77"/>
      <c r="F72" s="78"/>
      <c r="G72" s="80">
        <f>$O$8</f>
        <v>0.1</v>
      </c>
      <c r="H72" s="64">
        <f>H71*G72</f>
        <v>109149.5</v>
      </c>
      <c r="M72" s="494"/>
    </row>
    <row r="73" spans="3:13" ht="21.6" customHeight="1" thickBot="1">
      <c r="C73" s="81" t="s">
        <v>1221</v>
      </c>
      <c r="D73" s="82" t="s">
        <v>1222</v>
      </c>
      <c r="E73" s="83"/>
      <c r="F73" s="83"/>
      <c r="G73" s="84"/>
      <c r="H73" s="85">
        <f>SUM(H71:H72)</f>
        <v>1200644.5</v>
      </c>
      <c r="M73" s="494"/>
    </row>
    <row r="74" spans="3:13" ht="14.4" thickTop="1">
      <c r="C74" s="89"/>
      <c r="D74" s="90"/>
      <c r="E74" s="90"/>
      <c r="F74" s="90"/>
      <c r="G74" s="90"/>
      <c r="H74" s="91"/>
      <c r="M74" s="494"/>
    </row>
    <row r="75" spans="3:13" ht="14.4" thickBot="1">
      <c r="C75" s="47" t="s">
        <v>3028</v>
      </c>
      <c r="D75" s="455" t="s">
        <v>6545</v>
      </c>
      <c r="E75" s="151"/>
      <c r="F75" s="151"/>
      <c r="G75" s="151"/>
      <c r="H75" s="151"/>
      <c r="I75" s="50">
        <f>ROUNDDOWN(H92,-2)</f>
        <v>43000</v>
      </c>
      <c r="J75" s="50" t="s">
        <v>6451</v>
      </c>
      <c r="K75" s="50" t="s">
        <v>6546</v>
      </c>
      <c r="M75" s="494"/>
    </row>
    <row r="76" spans="3:13" ht="28.2" thickTop="1">
      <c r="C76" s="51" t="s">
        <v>1195</v>
      </c>
      <c r="D76" s="52" t="s">
        <v>1196</v>
      </c>
      <c r="E76" s="52" t="s">
        <v>1197</v>
      </c>
      <c r="F76" s="52" t="s">
        <v>1198</v>
      </c>
      <c r="G76" s="52" t="s">
        <v>1199</v>
      </c>
      <c r="H76" s="53" t="s">
        <v>1200</v>
      </c>
      <c r="M76" s="494"/>
    </row>
    <row r="77" spans="3:13" ht="19.8" customHeight="1">
      <c r="C77" s="55" t="s">
        <v>1201</v>
      </c>
      <c r="D77" s="56" t="s">
        <v>1202</v>
      </c>
      <c r="E77" s="57"/>
      <c r="F77" s="57"/>
      <c r="G77" s="57"/>
      <c r="H77" s="58"/>
      <c r="M77" s="494"/>
    </row>
    <row r="78" spans="3:13" ht="19.8" customHeight="1">
      <c r="C78" s="60">
        <v>1</v>
      </c>
      <c r="D78" s="56" t="s">
        <v>5</v>
      </c>
      <c r="E78" s="61" t="s">
        <v>6</v>
      </c>
      <c r="F78" s="98">
        <v>8.5000000000000006E-2</v>
      </c>
      <c r="G78" s="63">
        <f>VLOOKUP(D78,upahbahan,3,FALSE)</f>
        <v>100000</v>
      </c>
      <c r="H78" s="64">
        <f t="shared" ref="H78:H81" si="6">F78*G78</f>
        <v>8500</v>
      </c>
      <c r="M78" s="494"/>
    </row>
    <row r="79" spans="3:13" ht="19.8" customHeight="1">
      <c r="C79" s="60">
        <v>2</v>
      </c>
      <c r="D79" s="56" t="s">
        <v>14</v>
      </c>
      <c r="E79" s="61" t="s">
        <v>6</v>
      </c>
      <c r="F79" s="98">
        <v>8.5000000000000006E-2</v>
      </c>
      <c r="G79" s="63">
        <f>VLOOKUP(D79,upahbahan,3,FALSE)</f>
        <v>145000</v>
      </c>
      <c r="H79" s="64">
        <f t="shared" si="6"/>
        <v>12325</v>
      </c>
      <c r="M79" s="494"/>
    </row>
    <row r="80" spans="3:13" ht="19.8" customHeight="1">
      <c r="C80" s="60">
        <v>3</v>
      </c>
      <c r="D80" s="56" t="s">
        <v>18</v>
      </c>
      <c r="E80" s="61" t="s">
        <v>6</v>
      </c>
      <c r="F80" s="98">
        <v>8.9999999999999993E-3</v>
      </c>
      <c r="G80" s="63">
        <f>VLOOKUP(D80,upahbahan,3,FALSE)</f>
        <v>150000</v>
      </c>
      <c r="H80" s="64">
        <f t="shared" si="6"/>
        <v>1350</v>
      </c>
      <c r="M80" s="494"/>
    </row>
    <row r="81" spans="3:13" ht="19.8" customHeight="1">
      <c r="C81" s="60">
        <v>4</v>
      </c>
      <c r="D81" s="56" t="s">
        <v>19</v>
      </c>
      <c r="E81" s="61" t="s">
        <v>6</v>
      </c>
      <c r="F81" s="98">
        <v>3.0000000000000001E-3</v>
      </c>
      <c r="G81" s="63">
        <f>VLOOKUP(D81,upahbahan,3,FALSE)</f>
        <v>160000</v>
      </c>
      <c r="H81" s="64">
        <f t="shared" si="6"/>
        <v>480</v>
      </c>
      <c r="M81" s="494"/>
    </row>
    <row r="82" spans="3:13" ht="19.8" customHeight="1">
      <c r="C82" s="66" t="s">
        <v>1208</v>
      </c>
      <c r="D82" s="67"/>
      <c r="E82" s="67"/>
      <c r="F82" s="142"/>
      <c r="G82" s="153"/>
      <c r="H82" s="64">
        <f>SUM(H78:H81)</f>
        <v>22655</v>
      </c>
      <c r="I82" s="154"/>
      <c r="J82" s="154"/>
      <c r="K82" s="154"/>
      <c r="M82" s="494"/>
    </row>
    <row r="83" spans="3:13" ht="19.8" customHeight="1">
      <c r="C83" s="55" t="s">
        <v>1209</v>
      </c>
      <c r="D83" s="56" t="s">
        <v>1210</v>
      </c>
      <c r="E83" s="57"/>
      <c r="F83" s="57"/>
      <c r="G83" s="57"/>
      <c r="H83" s="58"/>
      <c r="M83" s="494"/>
    </row>
    <row r="84" spans="3:13" ht="19.8" customHeight="1">
      <c r="C84" s="92" t="s">
        <v>1203</v>
      </c>
      <c r="D84" s="72" t="s">
        <v>6542</v>
      </c>
      <c r="E84" s="265" t="s">
        <v>113</v>
      </c>
      <c r="F84" s="104">
        <v>4.4000000000000004</v>
      </c>
      <c r="G84" s="63">
        <f>VLOOKUP(D84,upahbahan,3,FALSE)</f>
        <v>0</v>
      </c>
      <c r="H84" s="64">
        <f t="shared" ref="H84:H86" si="7">F84*G84</f>
        <v>0</v>
      </c>
      <c r="M84" s="494"/>
    </row>
    <row r="85" spans="3:13" ht="19.8" customHeight="1">
      <c r="C85" s="92">
        <v>2</v>
      </c>
      <c r="D85" s="72" t="s">
        <v>6544</v>
      </c>
      <c r="E85" s="265" t="s">
        <v>62</v>
      </c>
      <c r="F85" s="104">
        <v>1.1000000000000001</v>
      </c>
      <c r="G85" s="63">
        <f>VLOOKUP(D85,upahbahan,3,FALSE)</f>
        <v>15000</v>
      </c>
      <c r="H85" s="64">
        <f t="shared" si="7"/>
        <v>16500</v>
      </c>
      <c r="M85" s="494"/>
    </row>
    <row r="86" spans="3:13" ht="19.8" customHeight="1">
      <c r="C86" s="92">
        <v>3</v>
      </c>
      <c r="D86" s="72" t="s">
        <v>1047</v>
      </c>
      <c r="E86" s="73" t="s">
        <v>1048</v>
      </c>
      <c r="F86" s="62">
        <v>0.27</v>
      </c>
      <c r="G86" s="63">
        <f>VLOOKUP(D86,upahbahan,3,FALSE)</f>
        <v>0</v>
      </c>
      <c r="H86" s="64">
        <f t="shared" si="7"/>
        <v>0</v>
      </c>
      <c r="M86" s="494"/>
    </row>
    <row r="87" spans="3:13" ht="19.8" customHeight="1">
      <c r="C87" s="66" t="s">
        <v>1214</v>
      </c>
      <c r="D87" s="67"/>
      <c r="E87" s="67"/>
      <c r="F87" s="67"/>
      <c r="G87" s="69"/>
      <c r="H87" s="64">
        <f>SUM(H84:H86)</f>
        <v>16500</v>
      </c>
      <c r="M87" s="494"/>
    </row>
    <row r="88" spans="3:13" ht="19.8" customHeight="1">
      <c r="C88" s="167" t="s">
        <v>1215</v>
      </c>
      <c r="D88" s="56" t="s">
        <v>1216</v>
      </c>
      <c r="E88" s="57"/>
      <c r="F88" s="57"/>
      <c r="G88" s="57"/>
      <c r="H88" s="58"/>
      <c r="M88" s="494"/>
    </row>
    <row r="89" spans="3:13" ht="19.8" customHeight="1">
      <c r="C89" s="66" t="s">
        <v>1217</v>
      </c>
      <c r="D89" s="67"/>
      <c r="E89" s="67"/>
      <c r="F89" s="67"/>
      <c r="G89" s="69"/>
      <c r="H89" s="74">
        <v>0</v>
      </c>
      <c r="M89" s="494"/>
    </row>
    <row r="90" spans="3:13" ht="19.8" customHeight="1">
      <c r="C90" s="75" t="s">
        <v>1218</v>
      </c>
      <c r="D90" s="76" t="s">
        <v>1219</v>
      </c>
      <c r="E90" s="77"/>
      <c r="F90" s="77"/>
      <c r="G90" s="78"/>
      <c r="H90" s="64">
        <f>H89+H87+H82</f>
        <v>39155</v>
      </c>
      <c r="M90" s="494"/>
    </row>
    <row r="91" spans="3:13" ht="19.8" customHeight="1">
      <c r="C91" s="75" t="s">
        <v>1220</v>
      </c>
      <c r="D91" s="76" t="s">
        <v>1321</v>
      </c>
      <c r="E91" s="77"/>
      <c r="F91" s="78"/>
      <c r="G91" s="80">
        <f>$O$8</f>
        <v>0.1</v>
      </c>
      <c r="H91" s="64">
        <f>H90*G91</f>
        <v>3915.5</v>
      </c>
      <c r="M91" s="494"/>
    </row>
    <row r="92" spans="3:13" ht="19.8" customHeight="1" thickBot="1">
      <c r="C92" s="81" t="s">
        <v>1221</v>
      </c>
      <c r="D92" s="82" t="s">
        <v>1222</v>
      </c>
      <c r="E92" s="83"/>
      <c r="F92" s="83"/>
      <c r="G92" s="84"/>
      <c r="H92" s="85">
        <f>SUM(H90:H91)</f>
        <v>43070.5</v>
      </c>
      <c r="M92" s="494"/>
    </row>
    <row r="93" spans="3:13" ht="14.4" thickTop="1">
      <c r="C93" s="89"/>
      <c r="D93" s="90"/>
      <c r="E93" s="90"/>
      <c r="F93" s="90"/>
      <c r="G93" s="90"/>
      <c r="H93" s="91"/>
      <c r="M93" s="494"/>
    </row>
    <row r="94" spans="3:13" ht="14.4" thickBot="1">
      <c r="C94" s="47" t="s">
        <v>3029</v>
      </c>
      <c r="D94" s="455" t="s">
        <v>6547</v>
      </c>
      <c r="E94" s="151"/>
      <c r="F94" s="151"/>
      <c r="G94" s="151"/>
      <c r="H94" s="151"/>
      <c r="I94" s="50">
        <f>ROUNDDOWN(H111,-2)</f>
        <v>43000</v>
      </c>
      <c r="J94" s="50" t="s">
        <v>6451</v>
      </c>
      <c r="K94" s="50" t="s">
        <v>6546</v>
      </c>
      <c r="M94" s="494"/>
    </row>
    <row r="95" spans="3:13" ht="28.2" thickTop="1">
      <c r="C95" s="51" t="s">
        <v>1195</v>
      </c>
      <c r="D95" s="52" t="s">
        <v>1196</v>
      </c>
      <c r="E95" s="52" t="s">
        <v>1197</v>
      </c>
      <c r="F95" s="52" t="s">
        <v>1198</v>
      </c>
      <c r="G95" s="52" t="s">
        <v>1199</v>
      </c>
      <c r="H95" s="53" t="s">
        <v>1200</v>
      </c>
      <c r="M95" s="494"/>
    </row>
    <row r="96" spans="3:13" ht="21" customHeight="1">
      <c r="C96" s="55" t="s">
        <v>1201</v>
      </c>
      <c r="D96" s="56" t="s">
        <v>1202</v>
      </c>
      <c r="E96" s="57"/>
      <c r="F96" s="57"/>
      <c r="G96" s="57"/>
      <c r="H96" s="58"/>
      <c r="M96" s="494"/>
    </row>
    <row r="97" spans="3:13" ht="21" customHeight="1">
      <c r="C97" s="60">
        <v>1</v>
      </c>
      <c r="D97" s="56" t="s">
        <v>5</v>
      </c>
      <c r="E97" s="61" t="s">
        <v>6</v>
      </c>
      <c r="F97" s="98">
        <v>8.5000000000000006E-2</v>
      </c>
      <c r="G97" s="63">
        <f>VLOOKUP(D97,upahbahan,3,FALSE)</f>
        <v>100000</v>
      </c>
      <c r="H97" s="64">
        <f t="shared" ref="H97:H100" si="8">F97*G97</f>
        <v>8500</v>
      </c>
      <c r="M97" s="494"/>
    </row>
    <row r="98" spans="3:13" ht="21" customHeight="1">
      <c r="C98" s="60">
        <v>2</v>
      </c>
      <c r="D98" s="56" t="s">
        <v>14</v>
      </c>
      <c r="E98" s="61" t="s">
        <v>6</v>
      </c>
      <c r="F98" s="98">
        <v>8.5000000000000006E-2</v>
      </c>
      <c r="G98" s="63">
        <f>VLOOKUP(D98,upahbahan,3,FALSE)</f>
        <v>145000</v>
      </c>
      <c r="H98" s="64">
        <f t="shared" si="8"/>
        <v>12325</v>
      </c>
      <c r="M98" s="494"/>
    </row>
    <row r="99" spans="3:13" ht="21" customHeight="1">
      <c r="C99" s="60">
        <v>3</v>
      </c>
      <c r="D99" s="56" t="s">
        <v>18</v>
      </c>
      <c r="E99" s="61" t="s">
        <v>6</v>
      </c>
      <c r="F99" s="98">
        <v>8.9999999999999993E-3</v>
      </c>
      <c r="G99" s="63">
        <f>VLOOKUP(D99,upahbahan,3,FALSE)</f>
        <v>150000</v>
      </c>
      <c r="H99" s="64">
        <f t="shared" si="8"/>
        <v>1350</v>
      </c>
      <c r="M99" s="494"/>
    </row>
    <row r="100" spans="3:13" ht="21" customHeight="1">
      <c r="C100" s="60">
        <v>4</v>
      </c>
      <c r="D100" s="56" t="s">
        <v>19</v>
      </c>
      <c r="E100" s="61" t="s">
        <v>6</v>
      </c>
      <c r="F100" s="98">
        <v>3.0000000000000001E-3</v>
      </c>
      <c r="G100" s="63">
        <f>VLOOKUP(D100,upahbahan,3,FALSE)</f>
        <v>160000</v>
      </c>
      <c r="H100" s="64">
        <f t="shared" si="8"/>
        <v>480</v>
      </c>
      <c r="M100" s="494"/>
    </row>
    <row r="101" spans="3:13" ht="21" customHeight="1">
      <c r="C101" s="66" t="s">
        <v>1208</v>
      </c>
      <c r="D101" s="67"/>
      <c r="E101" s="67"/>
      <c r="F101" s="142"/>
      <c r="G101" s="153"/>
      <c r="H101" s="64">
        <f>SUM(H97:H100)</f>
        <v>22655</v>
      </c>
      <c r="I101" s="154"/>
      <c r="J101" s="154"/>
      <c r="K101" s="154"/>
      <c r="M101" s="494"/>
    </row>
    <row r="102" spans="3:13" ht="21" customHeight="1">
      <c r="C102" s="55" t="s">
        <v>1209</v>
      </c>
      <c r="D102" s="56" t="s">
        <v>1210</v>
      </c>
      <c r="E102" s="57"/>
      <c r="F102" s="57"/>
      <c r="G102" s="57"/>
      <c r="H102" s="58"/>
      <c r="M102" s="494"/>
    </row>
    <row r="103" spans="3:13" ht="21" customHeight="1">
      <c r="C103" s="92" t="s">
        <v>1203</v>
      </c>
      <c r="D103" s="72" t="s">
        <v>6542</v>
      </c>
      <c r="E103" s="265" t="s">
        <v>113</v>
      </c>
      <c r="F103" s="104">
        <v>4.4000000000000004</v>
      </c>
      <c r="G103" s="63">
        <f>VLOOKUP(D103,upahbahan,3,FALSE)</f>
        <v>0</v>
      </c>
      <c r="H103" s="64">
        <f t="shared" ref="H103:H105" si="9">F103*G103</f>
        <v>0</v>
      </c>
      <c r="M103" s="494"/>
    </row>
    <row r="104" spans="3:13" ht="21" customHeight="1">
      <c r="C104" s="92">
        <v>2</v>
      </c>
      <c r="D104" s="72" t="s">
        <v>6543</v>
      </c>
      <c r="E104" s="265" t="s">
        <v>62</v>
      </c>
      <c r="F104" s="104">
        <v>1.1000000000000001</v>
      </c>
      <c r="G104" s="63">
        <f>VLOOKUP(D104,upahbahan,3,FALSE)</f>
        <v>15000</v>
      </c>
      <c r="H104" s="64">
        <f t="shared" si="9"/>
        <v>16500</v>
      </c>
      <c r="M104" s="494"/>
    </row>
    <row r="105" spans="3:13" ht="21" customHeight="1">
      <c r="C105" s="92">
        <v>3</v>
      </c>
      <c r="D105" s="72" t="s">
        <v>1047</v>
      </c>
      <c r="E105" s="73" t="s">
        <v>1048</v>
      </c>
      <c r="F105" s="62">
        <v>0.27</v>
      </c>
      <c r="G105" s="63">
        <f>VLOOKUP(D105,upahbahan,3,FALSE)</f>
        <v>0</v>
      </c>
      <c r="H105" s="64">
        <f t="shared" si="9"/>
        <v>0</v>
      </c>
      <c r="M105" s="494"/>
    </row>
    <row r="106" spans="3:13" ht="21" customHeight="1">
      <c r="C106" s="66" t="s">
        <v>1214</v>
      </c>
      <c r="D106" s="67"/>
      <c r="E106" s="67"/>
      <c r="F106" s="67"/>
      <c r="G106" s="69"/>
      <c r="H106" s="64">
        <f>SUM(H103:H105)</f>
        <v>16500</v>
      </c>
      <c r="M106" s="494"/>
    </row>
    <row r="107" spans="3:13" ht="21" customHeight="1">
      <c r="C107" s="167" t="s">
        <v>1215</v>
      </c>
      <c r="D107" s="56" t="s">
        <v>1216</v>
      </c>
      <c r="E107" s="57"/>
      <c r="F107" s="57"/>
      <c r="G107" s="57"/>
      <c r="H107" s="58"/>
      <c r="M107" s="494"/>
    </row>
    <row r="108" spans="3:13" ht="21" customHeight="1">
      <c r="C108" s="66" t="s">
        <v>1217</v>
      </c>
      <c r="D108" s="67"/>
      <c r="E108" s="67"/>
      <c r="F108" s="67"/>
      <c r="G108" s="69"/>
      <c r="H108" s="74">
        <v>0</v>
      </c>
      <c r="M108" s="494"/>
    </row>
    <row r="109" spans="3:13" ht="21" customHeight="1">
      <c r="C109" s="75" t="s">
        <v>1218</v>
      </c>
      <c r="D109" s="76" t="s">
        <v>1219</v>
      </c>
      <c r="E109" s="77"/>
      <c r="F109" s="77"/>
      <c r="G109" s="78"/>
      <c r="H109" s="64">
        <f>H108+H106+H101</f>
        <v>39155</v>
      </c>
      <c r="M109" s="494"/>
    </row>
    <row r="110" spans="3:13" ht="21" customHeight="1">
      <c r="C110" s="75" t="s">
        <v>1220</v>
      </c>
      <c r="D110" s="76" t="s">
        <v>1321</v>
      </c>
      <c r="E110" s="77"/>
      <c r="F110" s="78"/>
      <c r="G110" s="80">
        <f>$O$8</f>
        <v>0.1</v>
      </c>
      <c r="H110" s="64">
        <f>H109*G110</f>
        <v>3915.5</v>
      </c>
      <c r="M110" s="494"/>
    </row>
    <row r="111" spans="3:13" ht="21" customHeight="1" thickBot="1">
      <c r="C111" s="81" t="s">
        <v>1221</v>
      </c>
      <c r="D111" s="82" t="s">
        <v>1222</v>
      </c>
      <c r="E111" s="83"/>
      <c r="F111" s="83"/>
      <c r="G111" s="84"/>
      <c r="H111" s="85">
        <f>SUM(H109:H110)</f>
        <v>43070.5</v>
      </c>
      <c r="M111" s="494"/>
    </row>
    <row r="112" spans="3:13" ht="14.4" thickTop="1">
      <c r="C112" s="89"/>
      <c r="D112" s="90"/>
      <c r="E112" s="90"/>
      <c r="F112" s="90"/>
      <c r="G112" s="90"/>
      <c r="H112" s="91"/>
      <c r="M112" s="494"/>
    </row>
    <row r="113" spans="3:13" ht="14.4" thickBot="1">
      <c r="C113" s="44" t="s">
        <v>3030</v>
      </c>
      <c r="D113" s="455" t="s">
        <v>1490</v>
      </c>
      <c r="E113" s="151"/>
      <c r="F113" s="151"/>
      <c r="G113" s="151"/>
      <c r="H113" s="151"/>
      <c r="I113" s="50" t="e">
        <f>ROUNDDOWN(H129,-2)</f>
        <v>#VALUE!</v>
      </c>
      <c r="J113" s="50"/>
      <c r="K113" s="50"/>
      <c r="M113" s="494"/>
    </row>
    <row r="114" spans="3:13" ht="28.2" thickTop="1">
      <c r="C114" s="51" t="s">
        <v>1195</v>
      </c>
      <c r="D114" s="52" t="s">
        <v>1196</v>
      </c>
      <c r="E114" s="52" t="s">
        <v>1197</v>
      </c>
      <c r="F114" s="52" t="s">
        <v>1198</v>
      </c>
      <c r="G114" s="52" t="s">
        <v>1199</v>
      </c>
      <c r="H114" s="53" t="s">
        <v>1200</v>
      </c>
      <c r="M114" s="494"/>
    </row>
    <row r="115" spans="3:13" ht="21.6" customHeight="1">
      <c r="C115" s="55" t="s">
        <v>1201</v>
      </c>
      <c r="D115" s="56" t="s">
        <v>1202</v>
      </c>
      <c r="E115" s="57"/>
      <c r="F115" s="57"/>
      <c r="G115" s="57"/>
      <c r="H115" s="58"/>
      <c r="M115" s="494"/>
    </row>
    <row r="116" spans="3:13" ht="21.6" customHeight="1">
      <c r="C116" s="60">
        <v>1</v>
      </c>
      <c r="D116" s="56" t="s">
        <v>5</v>
      </c>
      <c r="E116" s="61" t="s">
        <v>6</v>
      </c>
      <c r="F116" s="101">
        <v>0.59519999999999995</v>
      </c>
      <c r="G116" s="63">
        <f>VLOOKUP(D116,upahbahan,3,FALSE)</f>
        <v>100000</v>
      </c>
      <c r="H116" s="64">
        <f t="shared" ref="H116:H119" si="10">F116*G116</f>
        <v>59519.999999999993</v>
      </c>
      <c r="M116" s="494"/>
    </row>
    <row r="117" spans="3:13" ht="21.6" customHeight="1">
      <c r="C117" s="60">
        <v>2</v>
      </c>
      <c r="D117" s="56" t="s">
        <v>8</v>
      </c>
      <c r="E117" s="61" t="s">
        <v>6</v>
      </c>
      <c r="F117" s="101">
        <v>0.29759999999999998</v>
      </c>
      <c r="G117" s="63">
        <f>VLOOKUP(D117,upahbahan,3,FALSE)</f>
        <v>135000</v>
      </c>
      <c r="H117" s="64">
        <f t="shared" si="10"/>
        <v>40176</v>
      </c>
      <c r="M117" s="494"/>
    </row>
    <row r="118" spans="3:13" ht="21.6" customHeight="1">
      <c r="C118" s="60">
        <v>3</v>
      </c>
      <c r="D118" s="56" t="s">
        <v>18</v>
      </c>
      <c r="E118" s="61" t="s">
        <v>6</v>
      </c>
      <c r="F118" s="101">
        <v>2.98E-2</v>
      </c>
      <c r="G118" s="63">
        <f>VLOOKUP(D118,upahbahan,3,FALSE)</f>
        <v>150000</v>
      </c>
      <c r="H118" s="64">
        <f t="shared" si="10"/>
        <v>4470</v>
      </c>
      <c r="M118" s="494"/>
    </row>
    <row r="119" spans="3:13" ht="21.6" customHeight="1">
      <c r="C119" s="60">
        <v>4</v>
      </c>
      <c r="D119" s="56" t="s">
        <v>19</v>
      </c>
      <c r="E119" s="61" t="s">
        <v>6</v>
      </c>
      <c r="F119" s="101">
        <v>9.9000000000000008E-3</v>
      </c>
      <c r="G119" s="63">
        <f>VLOOKUP(D119,upahbahan,3,FALSE)</f>
        <v>160000</v>
      </c>
      <c r="H119" s="64">
        <f t="shared" si="10"/>
        <v>1584.0000000000002</v>
      </c>
      <c r="M119" s="494"/>
    </row>
    <row r="120" spans="3:13" ht="21.6" customHeight="1">
      <c r="C120" s="66" t="s">
        <v>1208</v>
      </c>
      <c r="D120" s="67"/>
      <c r="E120" s="67"/>
      <c r="F120" s="142"/>
      <c r="G120" s="153"/>
      <c r="H120" s="64">
        <f>SUM(H116:H119)</f>
        <v>105750</v>
      </c>
      <c r="I120" s="154"/>
      <c r="J120" s="154"/>
      <c r="K120" s="154"/>
      <c r="M120" s="494"/>
    </row>
    <row r="121" spans="3:13" ht="21.6" customHeight="1">
      <c r="C121" s="55" t="s">
        <v>1209</v>
      </c>
      <c r="D121" s="56" t="s">
        <v>1210</v>
      </c>
      <c r="E121" s="57"/>
      <c r="F121" s="57"/>
      <c r="G121" s="57"/>
      <c r="H121" s="58"/>
      <c r="M121" s="494"/>
    </row>
    <row r="122" spans="3:13" ht="21.6" customHeight="1">
      <c r="C122" s="92" t="s">
        <v>1203</v>
      </c>
      <c r="D122" s="72" t="s">
        <v>123</v>
      </c>
      <c r="E122" s="265" t="s">
        <v>42</v>
      </c>
      <c r="F122" s="104">
        <v>0.04</v>
      </c>
      <c r="G122" s="63" t="e">
        <f>VLOOKUP(D122,upahbahan,3,FALSE)</f>
        <v>#VALUE!</v>
      </c>
      <c r="H122" s="64" t="e">
        <f t="shared" ref="H122:H123" si="11">F122*G122</f>
        <v>#VALUE!</v>
      </c>
      <c r="M122" s="494"/>
    </row>
    <row r="123" spans="3:13" ht="21.6" customHeight="1">
      <c r="C123" s="92">
        <v>2</v>
      </c>
      <c r="D123" s="72" t="s">
        <v>261</v>
      </c>
      <c r="E123" s="265" t="s">
        <v>65</v>
      </c>
      <c r="F123" s="104">
        <v>0.05</v>
      </c>
      <c r="G123" s="63">
        <f>VLOOKUP(D123,upahbahan,3,FALSE)</f>
        <v>33901.875</v>
      </c>
      <c r="H123" s="64">
        <f t="shared" si="11"/>
        <v>1695.09375</v>
      </c>
      <c r="M123" s="494"/>
    </row>
    <row r="124" spans="3:13" ht="21.6" customHeight="1">
      <c r="C124" s="66" t="s">
        <v>1214</v>
      </c>
      <c r="D124" s="67"/>
      <c r="E124" s="67"/>
      <c r="F124" s="67"/>
      <c r="G124" s="69"/>
      <c r="H124" s="64" t="e">
        <f>SUM(H122:H123)</f>
        <v>#VALUE!</v>
      </c>
      <c r="M124" s="494"/>
    </row>
    <row r="125" spans="3:13" ht="21.6" customHeight="1">
      <c r="C125" s="167" t="s">
        <v>1215</v>
      </c>
      <c r="D125" s="56" t="s">
        <v>1216</v>
      </c>
      <c r="E125" s="57"/>
      <c r="F125" s="57"/>
      <c r="G125" s="57"/>
      <c r="H125" s="58"/>
      <c r="M125" s="494"/>
    </row>
    <row r="126" spans="3:13" ht="21.6" customHeight="1">
      <c r="C126" s="66" t="s">
        <v>1217</v>
      </c>
      <c r="D126" s="67"/>
      <c r="E126" s="67"/>
      <c r="F126" s="67"/>
      <c r="G126" s="69"/>
      <c r="H126" s="74">
        <v>0</v>
      </c>
      <c r="M126" s="494"/>
    </row>
    <row r="127" spans="3:13" ht="21.6" customHeight="1">
      <c r="C127" s="75" t="s">
        <v>1218</v>
      </c>
      <c r="D127" s="76" t="s">
        <v>1219</v>
      </c>
      <c r="E127" s="77"/>
      <c r="F127" s="77"/>
      <c r="G127" s="78"/>
      <c r="H127" s="64" t="e">
        <f>H126+H124+H120</f>
        <v>#VALUE!</v>
      </c>
      <c r="M127" s="494"/>
    </row>
    <row r="128" spans="3:13" ht="21.6" customHeight="1">
      <c r="C128" s="75" t="s">
        <v>1220</v>
      </c>
      <c r="D128" s="76" t="s">
        <v>1321</v>
      </c>
      <c r="E128" s="77"/>
      <c r="F128" s="78"/>
      <c r="G128" s="80">
        <f>$O$8</f>
        <v>0.1</v>
      </c>
      <c r="H128" s="64" t="e">
        <f>H127*G128</f>
        <v>#VALUE!</v>
      </c>
      <c r="M128" s="494"/>
    </row>
    <row r="129" spans="3:13" ht="21.6" customHeight="1" thickBot="1">
      <c r="C129" s="81" t="s">
        <v>1221</v>
      </c>
      <c r="D129" s="82" t="s">
        <v>1222</v>
      </c>
      <c r="E129" s="83"/>
      <c r="F129" s="83"/>
      <c r="G129" s="84"/>
      <c r="H129" s="85" t="e">
        <f>SUM(H127:H128)</f>
        <v>#VALUE!</v>
      </c>
      <c r="M129" s="494"/>
    </row>
    <row r="130" spans="3:13" ht="14.4" thickTop="1">
      <c r="C130" s="54"/>
      <c r="D130" s="86"/>
      <c r="E130" s="86"/>
      <c r="F130" s="86"/>
      <c r="G130" s="86"/>
      <c r="H130" s="87"/>
      <c r="M130" s="494"/>
    </row>
    <row r="131" spans="3:13" ht="14.4" thickBot="1">
      <c r="C131" s="44" t="s">
        <v>3031</v>
      </c>
      <c r="D131" s="455" t="s">
        <v>1491</v>
      </c>
      <c r="E131" s="151"/>
      <c r="F131" s="151"/>
      <c r="G131" s="151"/>
      <c r="H131" s="151"/>
      <c r="I131" s="50">
        <f>ROUNDDOWN(H147,-2)</f>
        <v>357600</v>
      </c>
      <c r="J131" s="50" t="s">
        <v>6456</v>
      </c>
      <c r="K131" s="50" t="s">
        <v>6548</v>
      </c>
      <c r="M131" s="494"/>
    </row>
    <row r="132" spans="3:13" ht="28.2" thickTop="1">
      <c r="C132" s="51" t="s">
        <v>1195</v>
      </c>
      <c r="D132" s="52" t="s">
        <v>1196</v>
      </c>
      <c r="E132" s="52" t="s">
        <v>1197</v>
      </c>
      <c r="F132" s="52" t="s">
        <v>1198</v>
      </c>
      <c r="G132" s="52" t="s">
        <v>1199</v>
      </c>
      <c r="H132" s="53" t="s">
        <v>1200</v>
      </c>
      <c r="M132" s="494"/>
    </row>
    <row r="133" spans="3:13" ht="19.8" customHeight="1">
      <c r="C133" s="55" t="s">
        <v>1201</v>
      </c>
      <c r="D133" s="56" t="s">
        <v>1202</v>
      </c>
      <c r="E133" s="57"/>
      <c r="F133" s="57"/>
      <c r="G133" s="57"/>
      <c r="H133" s="58"/>
      <c r="M133" s="494"/>
    </row>
    <row r="134" spans="3:13" ht="19.8" customHeight="1">
      <c r="C134" s="60">
        <v>1</v>
      </c>
      <c r="D134" s="56" t="s">
        <v>5</v>
      </c>
      <c r="E134" s="61" t="s">
        <v>6</v>
      </c>
      <c r="F134" s="62">
        <v>0.35</v>
      </c>
      <c r="G134" s="63">
        <f>VLOOKUP(D134,upahbahan,3,FALSE)</f>
        <v>100000</v>
      </c>
      <c r="H134" s="64">
        <f t="shared" ref="H134:H137" si="12">F134*G134</f>
        <v>35000</v>
      </c>
      <c r="M134" s="494"/>
    </row>
    <row r="135" spans="3:13" ht="19.8" customHeight="1">
      <c r="C135" s="60">
        <v>2</v>
      </c>
      <c r="D135" s="56" t="s">
        <v>8</v>
      </c>
      <c r="E135" s="61" t="s">
        <v>6</v>
      </c>
      <c r="F135" s="62">
        <v>1.05</v>
      </c>
      <c r="G135" s="63">
        <f>VLOOKUP(D135,upahbahan,3,FALSE)</f>
        <v>135000</v>
      </c>
      <c r="H135" s="64">
        <f t="shared" si="12"/>
        <v>141750</v>
      </c>
      <c r="M135" s="494"/>
    </row>
    <row r="136" spans="3:13" ht="19.8" customHeight="1">
      <c r="C136" s="60">
        <v>3</v>
      </c>
      <c r="D136" s="56" t="s">
        <v>18</v>
      </c>
      <c r="E136" s="61" t="s">
        <v>6</v>
      </c>
      <c r="F136" s="62">
        <v>0.105</v>
      </c>
      <c r="G136" s="63">
        <f>VLOOKUP(D136,upahbahan,3,FALSE)</f>
        <v>150000</v>
      </c>
      <c r="H136" s="64">
        <f t="shared" si="12"/>
        <v>15750</v>
      </c>
      <c r="M136" s="494"/>
    </row>
    <row r="137" spans="3:13" ht="19.8" customHeight="1">
      <c r="C137" s="60">
        <v>4</v>
      </c>
      <c r="D137" s="56" t="s">
        <v>19</v>
      </c>
      <c r="E137" s="61" t="s">
        <v>6</v>
      </c>
      <c r="F137" s="62">
        <v>3.5000000000000003E-2</v>
      </c>
      <c r="G137" s="63">
        <f>VLOOKUP(D137,upahbahan,3,FALSE)</f>
        <v>160000</v>
      </c>
      <c r="H137" s="64">
        <f t="shared" si="12"/>
        <v>5600.0000000000009</v>
      </c>
      <c r="M137" s="494"/>
    </row>
    <row r="138" spans="3:13" ht="19.8" customHeight="1">
      <c r="C138" s="66" t="s">
        <v>1208</v>
      </c>
      <c r="D138" s="67"/>
      <c r="E138" s="67"/>
      <c r="F138" s="142"/>
      <c r="G138" s="153"/>
      <c r="H138" s="64">
        <f>SUM(H134:H137)</f>
        <v>198100</v>
      </c>
      <c r="I138" s="154"/>
      <c r="J138" s="154"/>
      <c r="K138" s="154"/>
      <c r="M138" s="494"/>
    </row>
    <row r="139" spans="3:13" ht="19.8" customHeight="1">
      <c r="C139" s="55" t="s">
        <v>1209</v>
      </c>
      <c r="D139" s="56" t="s">
        <v>1210</v>
      </c>
      <c r="E139" s="57"/>
      <c r="F139" s="57"/>
      <c r="G139" s="57"/>
      <c r="H139" s="58"/>
      <c r="M139" s="494"/>
    </row>
    <row r="140" spans="3:13" ht="19.8" customHeight="1">
      <c r="C140" s="92" t="s">
        <v>1203</v>
      </c>
      <c r="D140" s="72" t="s">
        <v>124</v>
      </c>
      <c r="E140" s="265" t="s">
        <v>42</v>
      </c>
      <c r="F140" s="104">
        <v>0.04</v>
      </c>
      <c r="G140" s="63">
        <f>VLOOKUP(D140,upahbahan,3,FALSE)</f>
        <v>3150000</v>
      </c>
      <c r="H140" s="64">
        <f>F140*G140</f>
        <v>126000</v>
      </c>
      <c r="M140" s="494"/>
    </row>
    <row r="141" spans="3:13" ht="19.8" customHeight="1">
      <c r="C141" s="92">
        <v>2</v>
      </c>
      <c r="D141" s="72" t="s">
        <v>6536</v>
      </c>
      <c r="E141" s="265" t="s">
        <v>65</v>
      </c>
      <c r="F141" s="104">
        <v>0.05</v>
      </c>
      <c r="G141" s="63">
        <f>VLOOKUP(D141,upahbahan,3,FALSE)</f>
        <v>20000</v>
      </c>
      <c r="H141" s="64">
        <f>F141*G141</f>
        <v>1000</v>
      </c>
      <c r="M141" s="494"/>
    </row>
    <row r="142" spans="3:13" ht="19.8" customHeight="1">
      <c r="C142" s="66" t="s">
        <v>1214</v>
      </c>
      <c r="D142" s="67"/>
      <c r="E142" s="67"/>
      <c r="F142" s="67"/>
      <c r="G142" s="69"/>
      <c r="H142" s="64">
        <f>SUM(H140:H141)</f>
        <v>127000</v>
      </c>
      <c r="M142" s="494"/>
    </row>
    <row r="143" spans="3:13" ht="19.8" customHeight="1">
      <c r="C143" s="167" t="s">
        <v>1215</v>
      </c>
      <c r="D143" s="56" t="s">
        <v>1216</v>
      </c>
      <c r="E143" s="57"/>
      <c r="F143" s="57"/>
      <c r="G143" s="57"/>
      <c r="H143" s="58"/>
      <c r="M143" s="494"/>
    </row>
    <row r="144" spans="3:13" ht="19.8" customHeight="1">
      <c r="C144" s="66" t="s">
        <v>1217</v>
      </c>
      <c r="D144" s="67"/>
      <c r="E144" s="67"/>
      <c r="F144" s="67"/>
      <c r="G144" s="69"/>
      <c r="H144" s="74">
        <v>0</v>
      </c>
      <c r="M144" s="494"/>
    </row>
    <row r="145" spans="3:13" ht="19.8" customHeight="1">
      <c r="C145" s="75" t="s">
        <v>1218</v>
      </c>
      <c r="D145" s="76" t="s">
        <v>1219</v>
      </c>
      <c r="E145" s="77"/>
      <c r="F145" s="77"/>
      <c r="G145" s="78"/>
      <c r="H145" s="64">
        <f>H144+H142+H138</f>
        <v>325100</v>
      </c>
      <c r="M145" s="494"/>
    </row>
    <row r="146" spans="3:13" ht="19.8" customHeight="1">
      <c r="C146" s="75" t="s">
        <v>1220</v>
      </c>
      <c r="D146" s="76" t="s">
        <v>1321</v>
      </c>
      <c r="E146" s="77"/>
      <c r="F146" s="78"/>
      <c r="G146" s="80">
        <f>$O$8</f>
        <v>0.1</v>
      </c>
      <c r="H146" s="64">
        <f>H145*G146</f>
        <v>32510</v>
      </c>
      <c r="M146" s="494"/>
    </row>
    <row r="147" spans="3:13" ht="19.8" customHeight="1" thickBot="1">
      <c r="C147" s="81" t="s">
        <v>1221</v>
      </c>
      <c r="D147" s="82" t="s">
        <v>1222</v>
      </c>
      <c r="E147" s="83"/>
      <c r="F147" s="83"/>
      <c r="G147" s="84"/>
      <c r="H147" s="85">
        <f>SUM(H145:H146)</f>
        <v>357610</v>
      </c>
      <c r="M147" s="494"/>
    </row>
    <row r="148" spans="3:13" ht="14.4" thickTop="1">
      <c r="C148" s="54"/>
      <c r="D148" s="86"/>
      <c r="E148" s="86"/>
      <c r="F148" s="86"/>
      <c r="G148" s="86"/>
      <c r="H148" s="87"/>
      <c r="M148" s="494"/>
    </row>
    <row r="149" spans="3:13" ht="14.4" thickBot="1">
      <c r="C149" s="44" t="s">
        <v>3032</v>
      </c>
      <c r="D149" s="455" t="s">
        <v>1492</v>
      </c>
      <c r="E149" s="151"/>
      <c r="F149" s="151"/>
      <c r="G149" s="151"/>
      <c r="H149" s="151"/>
      <c r="I149" s="50" t="e">
        <f>ROUNDDOWN(H165,-2)</f>
        <v>#VALUE!</v>
      </c>
      <c r="J149" s="50" t="s">
        <v>6451</v>
      </c>
      <c r="K149" s="50" t="s">
        <v>6549</v>
      </c>
      <c r="M149" s="494"/>
    </row>
    <row r="150" spans="3:13" ht="28.2" thickTop="1">
      <c r="C150" s="51" t="s">
        <v>1195</v>
      </c>
      <c r="D150" s="52" t="s">
        <v>1196</v>
      </c>
      <c r="E150" s="52" t="s">
        <v>1197</v>
      </c>
      <c r="F150" s="52" t="s">
        <v>1198</v>
      </c>
      <c r="G150" s="52" t="s">
        <v>1199</v>
      </c>
      <c r="H150" s="53" t="s">
        <v>1200</v>
      </c>
      <c r="M150" s="494"/>
    </row>
    <row r="151" spans="3:13" ht="19.8" customHeight="1">
      <c r="C151" s="55" t="s">
        <v>1201</v>
      </c>
      <c r="D151" s="56" t="s">
        <v>1202</v>
      </c>
      <c r="E151" s="57"/>
      <c r="F151" s="57"/>
      <c r="G151" s="57"/>
      <c r="H151" s="58"/>
      <c r="M151" s="494"/>
    </row>
    <row r="152" spans="3:13" ht="19.8" customHeight="1">
      <c r="C152" s="60">
        <v>1</v>
      </c>
      <c r="D152" s="56" t="s">
        <v>5</v>
      </c>
      <c r="E152" s="61" t="s">
        <v>6</v>
      </c>
      <c r="F152" s="98">
        <v>0.59519999999999995</v>
      </c>
      <c r="G152" s="63">
        <f>VLOOKUP(D152,upahbahan,3,FALSE)</f>
        <v>100000</v>
      </c>
      <c r="H152" s="64">
        <f>F152*G152</f>
        <v>59519.999999999993</v>
      </c>
      <c r="M152" s="494"/>
    </row>
    <row r="153" spans="3:13" ht="19.8" customHeight="1">
      <c r="C153" s="60">
        <v>2</v>
      </c>
      <c r="D153" s="56" t="s">
        <v>8</v>
      </c>
      <c r="E153" s="61" t="s">
        <v>6</v>
      </c>
      <c r="F153" s="98">
        <v>0.29759999999999998</v>
      </c>
      <c r="G153" s="63">
        <f>VLOOKUP(D153,upahbahan,3,FALSE)</f>
        <v>135000</v>
      </c>
      <c r="H153" s="64">
        <f t="shared" ref="H153:H155" si="13">F153*G153</f>
        <v>40176</v>
      </c>
      <c r="M153" s="494"/>
    </row>
    <row r="154" spans="3:13" ht="19.8" customHeight="1">
      <c r="C154" s="60">
        <v>3</v>
      </c>
      <c r="D154" s="56" t="s">
        <v>18</v>
      </c>
      <c r="E154" s="61" t="s">
        <v>6</v>
      </c>
      <c r="F154" s="98">
        <v>2.98E-2</v>
      </c>
      <c r="G154" s="63">
        <f>VLOOKUP(D154,upahbahan,3,FALSE)</f>
        <v>150000</v>
      </c>
      <c r="H154" s="64">
        <f t="shared" si="13"/>
        <v>4470</v>
      </c>
      <c r="M154" s="494"/>
    </row>
    <row r="155" spans="3:13" ht="19.8" customHeight="1">
      <c r="C155" s="60">
        <v>4</v>
      </c>
      <c r="D155" s="56" t="s">
        <v>19</v>
      </c>
      <c r="E155" s="61" t="s">
        <v>6</v>
      </c>
      <c r="F155" s="98">
        <v>9.9000000000000008E-3</v>
      </c>
      <c r="G155" s="63">
        <f>VLOOKUP(D155,upahbahan,3,FALSE)</f>
        <v>160000</v>
      </c>
      <c r="H155" s="64">
        <f t="shared" si="13"/>
        <v>1584.0000000000002</v>
      </c>
      <c r="M155" s="494"/>
    </row>
    <row r="156" spans="3:13" ht="19.8" customHeight="1">
      <c r="C156" s="66" t="s">
        <v>1208</v>
      </c>
      <c r="D156" s="67"/>
      <c r="E156" s="67"/>
      <c r="F156" s="142"/>
      <c r="G156" s="153"/>
      <c r="H156" s="64">
        <f>SUM(H152:H155)</f>
        <v>105750</v>
      </c>
      <c r="I156" s="154"/>
      <c r="J156" s="154"/>
      <c r="K156" s="154"/>
      <c r="M156" s="494"/>
    </row>
    <row r="157" spans="3:13" ht="19.8" customHeight="1">
      <c r="C157" s="55" t="s">
        <v>1209</v>
      </c>
      <c r="D157" s="56" t="s">
        <v>1210</v>
      </c>
      <c r="E157" s="57"/>
      <c r="F157" s="57"/>
      <c r="G157" s="57"/>
      <c r="H157" s="58"/>
      <c r="M157" s="494"/>
    </row>
    <row r="158" spans="3:13" ht="19.8" customHeight="1">
      <c r="C158" s="92" t="s">
        <v>1203</v>
      </c>
      <c r="D158" s="72" t="s">
        <v>123</v>
      </c>
      <c r="E158" s="265" t="s">
        <v>42</v>
      </c>
      <c r="F158" s="104">
        <v>2.4E-2</v>
      </c>
      <c r="G158" s="63" t="e">
        <f>VLOOKUP(D158,upahbahan,3,FALSE)</f>
        <v>#VALUE!</v>
      </c>
      <c r="H158" s="64" t="e">
        <f t="shared" ref="H158:H159" si="14">F158*G158</f>
        <v>#VALUE!</v>
      </c>
      <c r="M158" s="494"/>
    </row>
    <row r="159" spans="3:13" ht="19.8" customHeight="1">
      <c r="C159" s="92">
        <v>2</v>
      </c>
      <c r="D159" s="72" t="s">
        <v>1476</v>
      </c>
      <c r="E159" s="265" t="s">
        <v>65</v>
      </c>
      <c r="F159" s="104">
        <v>0.3</v>
      </c>
      <c r="G159" s="63">
        <f>VLOOKUP(D159,upahbahan,3,FALSE)</f>
        <v>0</v>
      </c>
      <c r="H159" s="64">
        <f t="shared" si="14"/>
        <v>0</v>
      </c>
      <c r="M159" s="494"/>
    </row>
    <row r="160" spans="3:13" ht="19.8" customHeight="1">
      <c r="C160" s="66" t="s">
        <v>1214</v>
      </c>
      <c r="D160" s="67"/>
      <c r="E160" s="67"/>
      <c r="F160" s="67"/>
      <c r="G160" s="69"/>
      <c r="H160" s="64" t="e">
        <f>SUM(H158:H159)</f>
        <v>#VALUE!</v>
      </c>
      <c r="M160" s="494"/>
    </row>
    <row r="161" spans="3:13" ht="19.8" customHeight="1">
      <c r="C161" s="167" t="s">
        <v>1215</v>
      </c>
      <c r="D161" s="56" t="s">
        <v>1216</v>
      </c>
      <c r="E161" s="57"/>
      <c r="F161" s="57"/>
      <c r="G161" s="57"/>
      <c r="H161" s="58"/>
      <c r="M161" s="494"/>
    </row>
    <row r="162" spans="3:13" ht="19.8" customHeight="1">
      <c r="C162" s="66" t="s">
        <v>1217</v>
      </c>
      <c r="D162" s="67"/>
      <c r="E162" s="67"/>
      <c r="F162" s="67"/>
      <c r="G162" s="69"/>
      <c r="H162" s="74">
        <v>0</v>
      </c>
      <c r="M162" s="494"/>
    </row>
    <row r="163" spans="3:13" ht="19.8" customHeight="1">
      <c r="C163" s="75" t="s">
        <v>1218</v>
      </c>
      <c r="D163" s="76" t="s">
        <v>1219</v>
      </c>
      <c r="E163" s="77"/>
      <c r="F163" s="77"/>
      <c r="G163" s="78"/>
      <c r="H163" s="64" t="e">
        <f>H162+H160+H156</f>
        <v>#VALUE!</v>
      </c>
      <c r="M163" s="494"/>
    </row>
    <row r="164" spans="3:13" ht="19.8" customHeight="1">
      <c r="C164" s="75" t="s">
        <v>1220</v>
      </c>
      <c r="D164" s="76" t="s">
        <v>1321</v>
      </c>
      <c r="E164" s="77"/>
      <c r="F164" s="78"/>
      <c r="G164" s="80">
        <f>$O$8</f>
        <v>0.1</v>
      </c>
      <c r="H164" s="64" t="e">
        <f>H163*G164</f>
        <v>#VALUE!</v>
      </c>
      <c r="M164" s="494"/>
    </row>
    <row r="165" spans="3:13" ht="19.8" customHeight="1" thickBot="1">
      <c r="C165" s="81" t="s">
        <v>1221</v>
      </c>
      <c r="D165" s="82" t="s">
        <v>1222</v>
      </c>
      <c r="E165" s="83"/>
      <c r="F165" s="83"/>
      <c r="G165" s="84"/>
      <c r="H165" s="85" t="e">
        <f>SUM(H163:H164)</f>
        <v>#VALUE!</v>
      </c>
      <c r="M165" s="494"/>
    </row>
    <row r="166" spans="3:13" ht="14.4" thickTop="1">
      <c r="C166" s="54"/>
      <c r="D166" s="86"/>
      <c r="E166" s="86"/>
      <c r="F166" s="86"/>
      <c r="G166" s="86"/>
      <c r="H166" s="87"/>
      <c r="M166" s="494"/>
    </row>
    <row r="167" spans="3:13" ht="14.4" thickBot="1">
      <c r="C167" s="44" t="s">
        <v>3033</v>
      </c>
      <c r="D167" s="455" t="s">
        <v>1493</v>
      </c>
      <c r="E167" s="151"/>
      <c r="F167" s="151"/>
      <c r="G167" s="151"/>
      <c r="H167" s="151"/>
      <c r="I167" s="50" t="e">
        <f>ROUNDDOWN(H183,-2)</f>
        <v>#VALUE!</v>
      </c>
      <c r="J167" s="50"/>
      <c r="K167" s="50"/>
      <c r="M167" s="494"/>
    </row>
    <row r="168" spans="3:13" ht="28.2" thickTop="1">
      <c r="C168" s="51" t="s">
        <v>1195</v>
      </c>
      <c r="D168" s="52" t="s">
        <v>1196</v>
      </c>
      <c r="E168" s="52" t="s">
        <v>1197</v>
      </c>
      <c r="F168" s="52" t="s">
        <v>1198</v>
      </c>
      <c r="G168" s="52" t="s">
        <v>1199</v>
      </c>
      <c r="H168" s="53" t="s">
        <v>1200</v>
      </c>
      <c r="M168" s="494"/>
    </row>
    <row r="169" spans="3:13" ht="22.8" customHeight="1">
      <c r="C169" s="55" t="s">
        <v>1201</v>
      </c>
      <c r="D169" s="56" t="s">
        <v>1202</v>
      </c>
      <c r="E169" s="57"/>
      <c r="F169" s="57"/>
      <c r="G169" s="57"/>
      <c r="H169" s="58"/>
      <c r="M169" s="494"/>
    </row>
    <row r="170" spans="3:13" ht="22.8" customHeight="1">
      <c r="C170" s="60">
        <v>1</v>
      </c>
      <c r="D170" s="56" t="s">
        <v>5</v>
      </c>
      <c r="E170" s="61" t="s">
        <v>6</v>
      </c>
      <c r="F170" s="62">
        <v>1</v>
      </c>
      <c r="G170" s="63">
        <f>VLOOKUP(D170,upahbahan,3,FALSE)</f>
        <v>100000</v>
      </c>
      <c r="H170" s="64">
        <f>F170*G170</f>
        <v>100000</v>
      </c>
      <c r="M170" s="494"/>
    </row>
    <row r="171" spans="3:13" ht="22.8" customHeight="1">
      <c r="C171" s="60">
        <v>2</v>
      </c>
      <c r="D171" s="56" t="s">
        <v>8</v>
      </c>
      <c r="E171" s="61" t="s">
        <v>6</v>
      </c>
      <c r="F171" s="62">
        <v>3</v>
      </c>
      <c r="G171" s="63">
        <f>VLOOKUP(D171,upahbahan,3,FALSE)</f>
        <v>135000</v>
      </c>
      <c r="H171" s="64">
        <f t="shared" ref="H171:H173" si="15">F171*G171</f>
        <v>405000</v>
      </c>
      <c r="M171" s="494"/>
    </row>
    <row r="172" spans="3:13" ht="22.8" customHeight="1">
      <c r="C172" s="60">
        <v>3</v>
      </c>
      <c r="D172" s="56" t="s">
        <v>18</v>
      </c>
      <c r="E172" s="61" t="s">
        <v>6</v>
      </c>
      <c r="F172" s="62">
        <v>0.3</v>
      </c>
      <c r="G172" s="63">
        <f>VLOOKUP(D172,upahbahan,3,FALSE)</f>
        <v>150000</v>
      </c>
      <c r="H172" s="64">
        <f t="shared" si="15"/>
        <v>45000</v>
      </c>
      <c r="M172" s="494"/>
    </row>
    <row r="173" spans="3:13" ht="22.8" customHeight="1">
      <c r="C173" s="60">
        <v>4</v>
      </c>
      <c r="D173" s="56" t="s">
        <v>19</v>
      </c>
      <c r="E173" s="61" t="s">
        <v>6</v>
      </c>
      <c r="F173" s="62">
        <v>0.1</v>
      </c>
      <c r="G173" s="63">
        <f>VLOOKUP(D173,upahbahan,3,FALSE)</f>
        <v>160000</v>
      </c>
      <c r="H173" s="64">
        <f t="shared" si="15"/>
        <v>16000</v>
      </c>
      <c r="M173" s="494"/>
    </row>
    <row r="174" spans="3:13" ht="22.8" customHeight="1">
      <c r="C174" s="66" t="s">
        <v>1208</v>
      </c>
      <c r="D174" s="67"/>
      <c r="E174" s="67"/>
      <c r="F174" s="142"/>
      <c r="G174" s="153"/>
      <c r="H174" s="64">
        <f>SUM(H170:H173)</f>
        <v>566000</v>
      </c>
      <c r="I174" s="154"/>
      <c r="J174" s="154"/>
      <c r="K174" s="154"/>
      <c r="M174" s="494"/>
    </row>
    <row r="175" spans="3:13" ht="22.8" customHeight="1">
      <c r="C175" s="55" t="s">
        <v>1209</v>
      </c>
      <c r="D175" s="56" t="s">
        <v>1210</v>
      </c>
      <c r="E175" s="57"/>
      <c r="F175" s="57"/>
      <c r="G175" s="57"/>
      <c r="H175" s="58"/>
      <c r="M175" s="494"/>
    </row>
    <row r="176" spans="3:13" ht="22.8" customHeight="1">
      <c r="C176" s="92" t="s">
        <v>1203</v>
      </c>
      <c r="D176" s="72" t="s">
        <v>123</v>
      </c>
      <c r="E176" s="265" t="s">
        <v>42</v>
      </c>
      <c r="F176" s="104">
        <v>6.4000000000000001E-2</v>
      </c>
      <c r="G176" s="63" t="e">
        <f>VLOOKUP(D176,upahbahan,3,FALSE)</f>
        <v>#VALUE!</v>
      </c>
      <c r="H176" s="64" t="e">
        <f t="shared" ref="H176:H177" si="16">F176*G176</f>
        <v>#VALUE!</v>
      </c>
      <c r="M176" s="494"/>
    </row>
    <row r="177" spans="3:13" ht="22.8" customHeight="1">
      <c r="C177" s="92">
        <v>2</v>
      </c>
      <c r="D177" s="72" t="s">
        <v>1476</v>
      </c>
      <c r="E177" s="265" t="s">
        <v>65</v>
      </c>
      <c r="F177" s="104">
        <v>0.5</v>
      </c>
      <c r="G177" s="63">
        <f>VLOOKUP(D177,upahbahan,3,FALSE)</f>
        <v>0</v>
      </c>
      <c r="H177" s="64">
        <f t="shared" si="16"/>
        <v>0</v>
      </c>
      <c r="M177" s="494"/>
    </row>
    <row r="178" spans="3:13" ht="22.8" customHeight="1">
      <c r="C178" s="66" t="s">
        <v>1214</v>
      </c>
      <c r="D178" s="67"/>
      <c r="E178" s="67"/>
      <c r="F178" s="67"/>
      <c r="G178" s="69"/>
      <c r="H178" s="64" t="e">
        <f>SUM(H176:H177)</f>
        <v>#VALUE!</v>
      </c>
      <c r="M178" s="494"/>
    </row>
    <row r="179" spans="3:13" ht="22.8" customHeight="1">
      <c r="C179" s="167" t="s">
        <v>1215</v>
      </c>
      <c r="D179" s="56" t="s">
        <v>1216</v>
      </c>
      <c r="E179" s="57"/>
      <c r="F179" s="57"/>
      <c r="G179" s="57"/>
      <c r="H179" s="58"/>
      <c r="M179" s="494"/>
    </row>
    <row r="180" spans="3:13" ht="22.8" customHeight="1">
      <c r="C180" s="66" t="s">
        <v>1217</v>
      </c>
      <c r="D180" s="67"/>
      <c r="E180" s="67"/>
      <c r="F180" s="67"/>
      <c r="G180" s="69"/>
      <c r="H180" s="74">
        <v>0</v>
      </c>
      <c r="M180" s="494"/>
    </row>
    <row r="181" spans="3:13" ht="22.8" customHeight="1">
      <c r="C181" s="75" t="s">
        <v>1218</v>
      </c>
      <c r="D181" s="76" t="s">
        <v>1219</v>
      </c>
      <c r="E181" s="77"/>
      <c r="F181" s="77"/>
      <c r="G181" s="78"/>
      <c r="H181" s="64" t="e">
        <f>H180+H178+H174</f>
        <v>#VALUE!</v>
      </c>
      <c r="M181" s="494"/>
    </row>
    <row r="182" spans="3:13" ht="22.8" customHeight="1">
      <c r="C182" s="75" t="s">
        <v>1220</v>
      </c>
      <c r="D182" s="76" t="s">
        <v>1321</v>
      </c>
      <c r="E182" s="77"/>
      <c r="F182" s="78"/>
      <c r="G182" s="80">
        <f>$O$8</f>
        <v>0.1</v>
      </c>
      <c r="H182" s="64" t="e">
        <f>H181*G182</f>
        <v>#VALUE!</v>
      </c>
      <c r="M182" s="494"/>
    </row>
    <row r="183" spans="3:13" ht="22.8" customHeight="1" thickBot="1">
      <c r="C183" s="81" t="s">
        <v>1221</v>
      </c>
      <c r="D183" s="82" t="s">
        <v>1222</v>
      </c>
      <c r="E183" s="83"/>
      <c r="F183" s="83"/>
      <c r="G183" s="84"/>
      <c r="H183" s="85" t="e">
        <f>SUM(H181:H182)</f>
        <v>#VALUE!</v>
      </c>
      <c r="M183" s="494"/>
    </row>
    <row r="184" spans="3:13" ht="14.4" thickTop="1">
      <c r="C184" s="54"/>
      <c r="D184" s="86"/>
      <c r="E184" s="86"/>
      <c r="F184" s="86"/>
      <c r="G184" s="86"/>
      <c r="H184" s="87"/>
      <c r="M184" s="494"/>
    </row>
    <row r="185" spans="3:13" ht="14.4" thickBot="1">
      <c r="C185" s="44" t="s">
        <v>3034</v>
      </c>
      <c r="D185" s="455" t="s">
        <v>1494</v>
      </c>
      <c r="E185" s="151"/>
      <c r="F185" s="151"/>
      <c r="G185" s="151"/>
      <c r="H185" s="151"/>
      <c r="I185" s="50" t="e">
        <f>ROUNDDOWN(H201,-2)</f>
        <v>#VALUE!</v>
      </c>
      <c r="J185" s="50"/>
      <c r="K185" s="50"/>
      <c r="M185" s="494"/>
    </row>
    <row r="186" spans="3:13" ht="28.2" thickTop="1">
      <c r="C186" s="51" t="s">
        <v>1195</v>
      </c>
      <c r="D186" s="52" t="s">
        <v>1196</v>
      </c>
      <c r="E186" s="52" t="s">
        <v>1197</v>
      </c>
      <c r="F186" s="52" t="s">
        <v>1198</v>
      </c>
      <c r="G186" s="52" t="s">
        <v>1199</v>
      </c>
      <c r="H186" s="53" t="s">
        <v>1200</v>
      </c>
      <c r="M186" s="494"/>
    </row>
    <row r="187" spans="3:13" ht="22.2" customHeight="1">
      <c r="C187" s="55" t="s">
        <v>1201</v>
      </c>
      <c r="D187" s="56" t="s">
        <v>1202</v>
      </c>
      <c r="E187" s="57"/>
      <c r="F187" s="57"/>
      <c r="G187" s="57"/>
      <c r="H187" s="58"/>
      <c r="M187" s="494"/>
    </row>
    <row r="188" spans="3:13" ht="22.2" customHeight="1">
      <c r="C188" s="60">
        <v>1</v>
      </c>
      <c r="D188" s="56" t="s">
        <v>5</v>
      </c>
      <c r="E188" s="61" t="s">
        <v>6</v>
      </c>
      <c r="F188" s="62">
        <v>1</v>
      </c>
      <c r="G188" s="63">
        <f>VLOOKUP(D188,upahbahan,3,FALSE)</f>
        <v>100000</v>
      </c>
      <c r="H188" s="64">
        <f>F188*G188</f>
        <v>100000</v>
      </c>
      <c r="M188" s="494"/>
    </row>
    <row r="189" spans="3:13" ht="22.2" customHeight="1">
      <c r="C189" s="60">
        <v>2</v>
      </c>
      <c r="D189" s="56" t="s">
        <v>8</v>
      </c>
      <c r="E189" s="61" t="s">
        <v>6</v>
      </c>
      <c r="F189" s="62">
        <v>3</v>
      </c>
      <c r="G189" s="63">
        <f>VLOOKUP(D189,upahbahan,3,FALSE)</f>
        <v>135000</v>
      </c>
      <c r="H189" s="64">
        <f t="shared" ref="H189:H191" si="17">F189*G189</f>
        <v>405000</v>
      </c>
      <c r="M189" s="494"/>
    </row>
    <row r="190" spans="3:13" ht="22.2" customHeight="1">
      <c r="C190" s="60">
        <v>3</v>
      </c>
      <c r="D190" s="56" t="s">
        <v>18</v>
      </c>
      <c r="E190" s="61" t="s">
        <v>6</v>
      </c>
      <c r="F190" s="62">
        <v>0.3</v>
      </c>
      <c r="G190" s="63">
        <f>VLOOKUP(D190,upahbahan,3,FALSE)</f>
        <v>150000</v>
      </c>
      <c r="H190" s="64">
        <f t="shared" si="17"/>
        <v>45000</v>
      </c>
      <c r="M190" s="494"/>
    </row>
    <row r="191" spans="3:13" ht="22.2" customHeight="1">
      <c r="C191" s="60">
        <v>4</v>
      </c>
      <c r="D191" s="56" t="s">
        <v>19</v>
      </c>
      <c r="E191" s="61" t="s">
        <v>6</v>
      </c>
      <c r="F191" s="62">
        <v>0.1</v>
      </c>
      <c r="G191" s="63">
        <f>VLOOKUP(D191,upahbahan,3,FALSE)</f>
        <v>160000</v>
      </c>
      <c r="H191" s="64">
        <f t="shared" si="17"/>
        <v>16000</v>
      </c>
      <c r="M191" s="494"/>
    </row>
    <row r="192" spans="3:13" ht="22.2" customHeight="1">
      <c r="C192" s="66" t="s">
        <v>1208</v>
      </c>
      <c r="D192" s="67"/>
      <c r="E192" s="67"/>
      <c r="F192" s="142"/>
      <c r="G192" s="153"/>
      <c r="H192" s="64">
        <f>SUM(H188:H191)</f>
        <v>566000</v>
      </c>
      <c r="I192" s="154"/>
      <c r="J192" s="154"/>
      <c r="K192" s="154"/>
      <c r="M192" s="494"/>
    </row>
    <row r="193" spans="3:13" ht="22.2" customHeight="1">
      <c r="C193" s="55" t="s">
        <v>1209</v>
      </c>
      <c r="D193" s="56" t="s">
        <v>1210</v>
      </c>
      <c r="E193" s="57"/>
      <c r="F193" s="57"/>
      <c r="G193" s="57"/>
      <c r="H193" s="58"/>
      <c r="M193" s="494"/>
    </row>
    <row r="194" spans="3:13" ht="22.2" customHeight="1">
      <c r="C194" s="92" t="s">
        <v>1203</v>
      </c>
      <c r="D194" s="72" t="s">
        <v>123</v>
      </c>
      <c r="E194" s="265" t="s">
        <v>42</v>
      </c>
      <c r="F194" s="104">
        <v>0.04</v>
      </c>
      <c r="G194" s="63" t="e">
        <f>VLOOKUP(D194,upahbahan,3,FALSE)</f>
        <v>#VALUE!</v>
      </c>
      <c r="H194" s="64" t="e">
        <f>F194*G194</f>
        <v>#VALUE!</v>
      </c>
      <c r="M194" s="494"/>
    </row>
    <row r="195" spans="3:13" ht="22.2" customHeight="1">
      <c r="C195" s="92">
        <v>2</v>
      </c>
      <c r="D195" s="72" t="s">
        <v>1476</v>
      </c>
      <c r="E195" s="265" t="s">
        <v>65</v>
      </c>
      <c r="F195" s="104">
        <v>0.5</v>
      </c>
      <c r="G195" s="63">
        <f>VLOOKUP(D195,upahbahan,3,FALSE)</f>
        <v>0</v>
      </c>
      <c r="H195" s="64">
        <f t="shared" ref="H195" si="18">F195*G195</f>
        <v>0</v>
      </c>
      <c r="M195" s="494"/>
    </row>
    <row r="196" spans="3:13" ht="22.2" customHeight="1">
      <c r="C196" s="66" t="s">
        <v>1214</v>
      </c>
      <c r="D196" s="67"/>
      <c r="E196" s="67"/>
      <c r="F196" s="67"/>
      <c r="G196" s="69"/>
      <c r="H196" s="64" t="e">
        <f>SUM(H194:H195)</f>
        <v>#VALUE!</v>
      </c>
      <c r="M196" s="494"/>
    </row>
    <row r="197" spans="3:13" ht="22.2" customHeight="1">
      <c r="C197" s="167" t="s">
        <v>1215</v>
      </c>
      <c r="D197" s="56" t="s">
        <v>1216</v>
      </c>
      <c r="E197" s="57"/>
      <c r="F197" s="57"/>
      <c r="G197" s="57"/>
      <c r="H197" s="58"/>
      <c r="M197" s="494"/>
    </row>
    <row r="198" spans="3:13" ht="22.2" customHeight="1">
      <c r="C198" s="66" t="s">
        <v>1217</v>
      </c>
      <c r="D198" s="67"/>
      <c r="E198" s="67"/>
      <c r="F198" s="67"/>
      <c r="G198" s="69"/>
      <c r="H198" s="74">
        <v>0</v>
      </c>
      <c r="M198" s="494"/>
    </row>
    <row r="199" spans="3:13" ht="22.2" customHeight="1">
      <c r="C199" s="75" t="s">
        <v>1218</v>
      </c>
      <c r="D199" s="76" t="s">
        <v>1219</v>
      </c>
      <c r="E199" s="77"/>
      <c r="F199" s="77"/>
      <c r="G199" s="78"/>
      <c r="H199" s="64" t="e">
        <f>H198+H196+H192</f>
        <v>#VALUE!</v>
      </c>
      <c r="M199" s="494"/>
    </row>
    <row r="200" spans="3:13" ht="22.2" customHeight="1">
      <c r="C200" s="75" t="s">
        <v>1220</v>
      </c>
      <c r="D200" s="76" t="s">
        <v>1321</v>
      </c>
      <c r="E200" s="77"/>
      <c r="F200" s="78"/>
      <c r="G200" s="80">
        <f>$O$8</f>
        <v>0.1</v>
      </c>
      <c r="H200" s="64" t="e">
        <f>H199*G200</f>
        <v>#VALUE!</v>
      </c>
      <c r="M200" s="494"/>
    </row>
    <row r="201" spans="3:13" ht="22.2" customHeight="1" thickBot="1">
      <c r="C201" s="81" t="s">
        <v>1221</v>
      </c>
      <c r="D201" s="82" t="s">
        <v>1222</v>
      </c>
      <c r="E201" s="83"/>
      <c r="F201" s="83"/>
      <c r="G201" s="84"/>
      <c r="H201" s="85" t="e">
        <f>SUM(H199:H200)</f>
        <v>#VALUE!</v>
      </c>
      <c r="M201" s="494"/>
    </row>
    <row r="202" spans="3:13" ht="22.2" customHeight="1" thickTop="1">
      <c r="C202" s="54"/>
      <c r="D202" s="86"/>
      <c r="E202" s="86"/>
      <c r="F202" s="86"/>
      <c r="G202" s="86"/>
      <c r="H202" s="87"/>
      <c r="M202" s="494"/>
    </row>
    <row r="203" spans="3:13" ht="14.4" thickBot="1">
      <c r="C203" s="44" t="s">
        <v>3035</v>
      </c>
      <c r="D203" s="455" t="s">
        <v>1495</v>
      </c>
      <c r="E203" s="151"/>
      <c r="F203" s="151"/>
      <c r="G203" s="151"/>
      <c r="H203" s="151"/>
      <c r="I203" s="50" t="e">
        <f>ROUNDDOWN(H221,-2)</f>
        <v>#VALUE!</v>
      </c>
      <c r="J203" s="50"/>
      <c r="K203" s="50"/>
      <c r="M203" s="494"/>
    </row>
    <row r="204" spans="3:13" ht="28.2" thickTop="1">
      <c r="C204" s="51" t="s">
        <v>1195</v>
      </c>
      <c r="D204" s="52" t="s">
        <v>1196</v>
      </c>
      <c r="E204" s="52" t="s">
        <v>1197</v>
      </c>
      <c r="F204" s="52" t="s">
        <v>1198</v>
      </c>
      <c r="G204" s="52" t="s">
        <v>1199</v>
      </c>
      <c r="H204" s="53" t="s">
        <v>1200</v>
      </c>
      <c r="M204" s="494"/>
    </row>
    <row r="205" spans="3:13" ht="23.4" customHeight="1">
      <c r="C205" s="55" t="s">
        <v>1201</v>
      </c>
      <c r="D205" s="56" t="s">
        <v>1202</v>
      </c>
      <c r="E205" s="57"/>
      <c r="F205" s="57"/>
      <c r="G205" s="57"/>
      <c r="H205" s="58"/>
      <c r="M205" s="494"/>
    </row>
    <row r="206" spans="3:13" ht="23.4" customHeight="1">
      <c r="C206" s="60">
        <v>1</v>
      </c>
      <c r="D206" s="56" t="s">
        <v>5</v>
      </c>
      <c r="E206" s="61" t="s">
        <v>6</v>
      </c>
      <c r="F206" s="62">
        <v>0.7</v>
      </c>
      <c r="G206" s="63">
        <f>VLOOKUP(D206,upahbahan,3,FALSE)</f>
        <v>100000</v>
      </c>
      <c r="H206" s="64">
        <f>F206*G206</f>
        <v>70000</v>
      </c>
      <c r="M206" s="494"/>
    </row>
    <row r="207" spans="3:13" ht="23.4" customHeight="1">
      <c r="C207" s="60">
        <v>2</v>
      </c>
      <c r="D207" s="56" t="s">
        <v>8</v>
      </c>
      <c r="E207" s="61" t="s">
        <v>6</v>
      </c>
      <c r="F207" s="62">
        <v>2.1</v>
      </c>
      <c r="G207" s="63">
        <f>VLOOKUP(D207,upahbahan,3,FALSE)</f>
        <v>135000</v>
      </c>
      <c r="H207" s="64">
        <f>F207*G207</f>
        <v>283500</v>
      </c>
      <c r="M207" s="494"/>
    </row>
    <row r="208" spans="3:13" ht="23.4" customHeight="1">
      <c r="C208" s="60">
        <v>3</v>
      </c>
      <c r="D208" s="56" t="s">
        <v>18</v>
      </c>
      <c r="E208" s="61" t="s">
        <v>6</v>
      </c>
      <c r="F208" s="62">
        <v>0.21</v>
      </c>
      <c r="G208" s="63">
        <f>VLOOKUP(D208,upahbahan,3,FALSE)</f>
        <v>150000</v>
      </c>
      <c r="H208" s="64">
        <f t="shared" ref="H208:H209" si="19">F208*G208</f>
        <v>31500</v>
      </c>
      <c r="M208" s="494"/>
    </row>
    <row r="209" spans="3:13" ht="23.4" customHeight="1">
      <c r="C209" s="60">
        <v>4</v>
      </c>
      <c r="D209" s="56" t="s">
        <v>19</v>
      </c>
      <c r="E209" s="61" t="s">
        <v>6</v>
      </c>
      <c r="F209" s="62">
        <v>7.0000000000000007E-2</v>
      </c>
      <c r="G209" s="63">
        <f>VLOOKUP(D209,upahbahan,3,FALSE)</f>
        <v>160000</v>
      </c>
      <c r="H209" s="64">
        <f t="shared" si="19"/>
        <v>11200.000000000002</v>
      </c>
      <c r="M209" s="494"/>
    </row>
    <row r="210" spans="3:13" ht="23.4" customHeight="1">
      <c r="C210" s="66" t="s">
        <v>1208</v>
      </c>
      <c r="D210" s="67"/>
      <c r="E210" s="67"/>
      <c r="F210" s="142"/>
      <c r="G210" s="153"/>
      <c r="H210" s="64">
        <f>SUM(H206:H209)</f>
        <v>396200</v>
      </c>
      <c r="I210" s="154"/>
      <c r="J210" s="154"/>
      <c r="K210" s="154"/>
      <c r="M210" s="494"/>
    </row>
    <row r="211" spans="3:13" ht="23.4" customHeight="1">
      <c r="C211" s="55" t="s">
        <v>1209</v>
      </c>
      <c r="D211" s="56" t="s">
        <v>1210</v>
      </c>
      <c r="E211" s="57"/>
      <c r="F211" s="57"/>
      <c r="G211" s="57"/>
      <c r="H211" s="58"/>
      <c r="M211" s="494"/>
    </row>
    <row r="212" spans="3:13" ht="23.4" customHeight="1">
      <c r="C212" s="92" t="s">
        <v>1203</v>
      </c>
      <c r="D212" s="72" t="s">
        <v>123</v>
      </c>
      <c r="E212" s="265" t="s">
        <v>42</v>
      </c>
      <c r="F212" s="104">
        <v>2.5000000000000001E-2</v>
      </c>
      <c r="G212" s="63" t="e">
        <f>VLOOKUP(D212,upahbahan,3,FALSE)</f>
        <v>#VALUE!</v>
      </c>
      <c r="H212" s="64" t="e">
        <f t="shared" ref="H212:H215" si="20">F212*G212</f>
        <v>#VALUE!</v>
      </c>
      <c r="M212" s="494"/>
    </row>
    <row r="213" spans="3:13" ht="23.4" customHeight="1">
      <c r="C213" s="92" t="s">
        <v>1204</v>
      </c>
      <c r="D213" s="72" t="s">
        <v>259</v>
      </c>
      <c r="E213" s="265" t="s">
        <v>65</v>
      </c>
      <c r="F213" s="104">
        <v>0.03</v>
      </c>
      <c r="G213" s="63">
        <f>VLOOKUP(D213,upahbahan,3,FALSE)</f>
        <v>33075</v>
      </c>
      <c r="H213" s="64">
        <f t="shared" si="20"/>
        <v>992.25</v>
      </c>
      <c r="M213" s="494"/>
    </row>
    <row r="214" spans="3:13" ht="23.4" customHeight="1">
      <c r="C214" s="92" t="s">
        <v>1205</v>
      </c>
      <c r="D214" s="72" t="s">
        <v>1476</v>
      </c>
      <c r="E214" s="265" t="s">
        <v>65</v>
      </c>
      <c r="F214" s="104">
        <v>0.5</v>
      </c>
      <c r="G214" s="63">
        <f>VLOOKUP(D214,upahbahan,3,FALSE)</f>
        <v>0</v>
      </c>
      <c r="H214" s="64">
        <f t="shared" si="20"/>
        <v>0</v>
      </c>
      <c r="M214" s="494"/>
    </row>
    <row r="215" spans="3:13" ht="23.4" customHeight="1">
      <c r="C215" s="92" t="s">
        <v>1206</v>
      </c>
      <c r="D215" s="72" t="s">
        <v>1845</v>
      </c>
      <c r="E215" s="265" t="s">
        <v>129</v>
      </c>
      <c r="F215" s="104">
        <v>1</v>
      </c>
      <c r="G215" s="63">
        <f>VLOOKUP(D215,upahbahan,3,FALSE)</f>
        <v>75000</v>
      </c>
      <c r="H215" s="64">
        <f t="shared" si="20"/>
        <v>75000</v>
      </c>
      <c r="M215" s="494"/>
    </row>
    <row r="216" spans="3:13" ht="23.4" customHeight="1">
      <c r="C216" s="66" t="s">
        <v>1214</v>
      </c>
      <c r="D216" s="67"/>
      <c r="E216" s="67"/>
      <c r="F216" s="67"/>
      <c r="G216" s="69"/>
      <c r="H216" s="64" t="e">
        <f>SUM(H212:H215)</f>
        <v>#VALUE!</v>
      </c>
      <c r="M216" s="494"/>
    </row>
    <row r="217" spans="3:13" ht="23.4" customHeight="1">
      <c r="C217" s="167" t="s">
        <v>1215</v>
      </c>
      <c r="D217" s="56" t="s">
        <v>1216</v>
      </c>
      <c r="E217" s="57"/>
      <c r="F217" s="57"/>
      <c r="G217" s="57"/>
      <c r="H217" s="58"/>
      <c r="M217" s="494"/>
    </row>
    <row r="218" spans="3:13" ht="23.4" customHeight="1">
      <c r="C218" s="66" t="s">
        <v>1217</v>
      </c>
      <c r="D218" s="67"/>
      <c r="E218" s="67"/>
      <c r="F218" s="67"/>
      <c r="G218" s="69"/>
      <c r="H218" s="74">
        <v>0</v>
      </c>
      <c r="M218" s="494"/>
    </row>
    <row r="219" spans="3:13" ht="23.4" customHeight="1">
      <c r="C219" s="75" t="s">
        <v>1218</v>
      </c>
      <c r="D219" s="76" t="s">
        <v>1219</v>
      </c>
      <c r="E219" s="77"/>
      <c r="F219" s="77"/>
      <c r="G219" s="78"/>
      <c r="H219" s="64" t="e">
        <f>H218+H216+H210</f>
        <v>#VALUE!</v>
      </c>
      <c r="M219" s="494"/>
    </row>
    <row r="220" spans="3:13" ht="23.4" customHeight="1">
      <c r="C220" s="75" t="s">
        <v>1220</v>
      </c>
      <c r="D220" s="76" t="s">
        <v>1321</v>
      </c>
      <c r="E220" s="77"/>
      <c r="F220" s="78"/>
      <c r="G220" s="80">
        <f>$O$8</f>
        <v>0.1</v>
      </c>
      <c r="H220" s="64" t="e">
        <f>H219*G220</f>
        <v>#VALUE!</v>
      </c>
      <c r="M220" s="494"/>
    </row>
    <row r="221" spans="3:13" ht="23.4" customHeight="1" thickBot="1">
      <c r="C221" s="81" t="s">
        <v>1221</v>
      </c>
      <c r="D221" s="82" t="s">
        <v>1222</v>
      </c>
      <c r="E221" s="83"/>
      <c r="F221" s="83"/>
      <c r="G221" s="84"/>
      <c r="H221" s="85" t="e">
        <f>SUM(H219:H220)</f>
        <v>#VALUE!</v>
      </c>
      <c r="M221" s="494"/>
    </row>
    <row r="222" spans="3:13" ht="14.4" thickTop="1">
      <c r="C222" s="54"/>
      <c r="D222" s="86"/>
      <c r="E222" s="86"/>
      <c r="F222" s="86"/>
      <c r="G222" s="86"/>
      <c r="H222" s="87"/>
      <c r="M222" s="494"/>
    </row>
    <row r="223" spans="3:13" ht="14.4" thickBot="1">
      <c r="C223" s="44" t="s">
        <v>3036</v>
      </c>
      <c r="D223" s="455" t="s">
        <v>1496</v>
      </c>
      <c r="E223" s="151"/>
      <c r="F223" s="151"/>
      <c r="G223" s="151"/>
      <c r="H223" s="151"/>
      <c r="I223" s="50" t="e">
        <f>ROUNDDOWN(H241,-2)</f>
        <v>#VALUE!</v>
      </c>
      <c r="J223" s="50"/>
      <c r="K223" s="50"/>
      <c r="M223" s="494"/>
    </row>
    <row r="224" spans="3:13" ht="28.2" thickTop="1">
      <c r="C224" s="51" t="s">
        <v>1195</v>
      </c>
      <c r="D224" s="52" t="s">
        <v>1196</v>
      </c>
      <c r="E224" s="52" t="s">
        <v>1197</v>
      </c>
      <c r="F224" s="52" t="s">
        <v>1198</v>
      </c>
      <c r="G224" s="52" t="s">
        <v>1199</v>
      </c>
      <c r="H224" s="53" t="s">
        <v>1200</v>
      </c>
      <c r="M224" s="494"/>
    </row>
    <row r="225" spans="3:13" ht="20.399999999999999" customHeight="1">
      <c r="C225" s="55" t="s">
        <v>1201</v>
      </c>
      <c r="D225" s="56" t="s">
        <v>1202</v>
      </c>
      <c r="E225" s="57"/>
      <c r="F225" s="57"/>
      <c r="G225" s="57"/>
      <c r="H225" s="58"/>
      <c r="M225" s="494"/>
    </row>
    <row r="226" spans="3:13" ht="20.399999999999999" customHeight="1">
      <c r="C226" s="60">
        <v>1</v>
      </c>
      <c r="D226" s="56" t="s">
        <v>5</v>
      </c>
      <c r="E226" s="61" t="s">
        <v>6</v>
      </c>
      <c r="F226" s="62">
        <v>0.8</v>
      </c>
      <c r="G226" s="63">
        <f>VLOOKUP(D226,upahbahan,3,FALSE)</f>
        <v>100000</v>
      </c>
      <c r="H226" s="64">
        <f>F226*G226</f>
        <v>80000</v>
      </c>
      <c r="M226" s="494"/>
    </row>
    <row r="227" spans="3:13" ht="20.399999999999999" customHeight="1">
      <c r="C227" s="60">
        <v>2</v>
      </c>
      <c r="D227" s="56" t="s">
        <v>8</v>
      </c>
      <c r="E227" s="61" t="s">
        <v>6</v>
      </c>
      <c r="F227" s="62">
        <v>2.4</v>
      </c>
      <c r="G227" s="63">
        <f>VLOOKUP(D227,upahbahan,3,FALSE)</f>
        <v>135000</v>
      </c>
      <c r="H227" s="64">
        <f>F227*G227</f>
        <v>324000</v>
      </c>
      <c r="M227" s="494"/>
    </row>
    <row r="228" spans="3:13" ht="20.399999999999999" customHeight="1">
      <c r="C228" s="60">
        <v>3</v>
      </c>
      <c r="D228" s="56" t="s">
        <v>18</v>
      </c>
      <c r="E228" s="61" t="s">
        <v>6</v>
      </c>
      <c r="F228" s="62">
        <v>0.24</v>
      </c>
      <c r="G228" s="63">
        <f>VLOOKUP(D228,upahbahan,3,FALSE)</f>
        <v>150000</v>
      </c>
      <c r="H228" s="64">
        <f>F228*G228</f>
        <v>36000</v>
      </c>
      <c r="M228" s="494"/>
    </row>
    <row r="229" spans="3:13" ht="20.399999999999999" customHeight="1">
      <c r="C229" s="60">
        <v>4</v>
      </c>
      <c r="D229" s="56" t="s">
        <v>19</v>
      </c>
      <c r="E229" s="61" t="s">
        <v>6</v>
      </c>
      <c r="F229" s="62">
        <v>0.04</v>
      </c>
      <c r="G229" s="63">
        <f>VLOOKUP(D229,upahbahan,3,FALSE)</f>
        <v>160000</v>
      </c>
      <c r="H229" s="64">
        <f>F229*G229</f>
        <v>6400</v>
      </c>
      <c r="M229" s="494"/>
    </row>
    <row r="230" spans="3:13" ht="20.399999999999999" customHeight="1">
      <c r="C230" s="66" t="s">
        <v>1208</v>
      </c>
      <c r="D230" s="67"/>
      <c r="E230" s="67"/>
      <c r="F230" s="142"/>
      <c r="G230" s="153"/>
      <c r="H230" s="64">
        <f>SUM(H226:H229)</f>
        <v>446400</v>
      </c>
      <c r="I230" s="154"/>
      <c r="J230" s="154"/>
      <c r="K230" s="154"/>
      <c r="M230" s="494"/>
    </row>
    <row r="231" spans="3:13" ht="20.399999999999999" customHeight="1">
      <c r="C231" s="55" t="s">
        <v>1209</v>
      </c>
      <c r="D231" s="56" t="s">
        <v>1210</v>
      </c>
      <c r="E231" s="57"/>
      <c r="F231" s="57"/>
      <c r="G231" s="57"/>
      <c r="H231" s="58"/>
      <c r="M231" s="494"/>
    </row>
    <row r="232" spans="3:13" ht="20.399999999999999" customHeight="1">
      <c r="C232" s="92" t="s">
        <v>1203</v>
      </c>
      <c r="D232" s="72" t="s">
        <v>123</v>
      </c>
      <c r="E232" s="265" t="s">
        <v>42</v>
      </c>
      <c r="F232" s="103">
        <v>2.5600000000000001E-2</v>
      </c>
      <c r="G232" s="63" t="e">
        <f>VLOOKUP(D232,upahbahan,3,FALSE)</f>
        <v>#VALUE!</v>
      </c>
      <c r="H232" s="64" t="e">
        <f t="shared" ref="H232:H235" si="21">F232*G232</f>
        <v>#VALUE!</v>
      </c>
      <c r="M232" s="494"/>
    </row>
    <row r="233" spans="3:13" ht="20.399999999999999" customHeight="1">
      <c r="C233" s="92" t="s">
        <v>1204</v>
      </c>
      <c r="D233" s="72" t="s">
        <v>259</v>
      </c>
      <c r="E233" s="265" t="s">
        <v>65</v>
      </c>
      <c r="F233" s="103">
        <v>0.03</v>
      </c>
      <c r="G233" s="63">
        <f>VLOOKUP(D233,upahbahan,3,FALSE)</f>
        <v>33075</v>
      </c>
      <c r="H233" s="64">
        <f t="shared" si="21"/>
        <v>992.25</v>
      </c>
      <c r="M233" s="494"/>
    </row>
    <row r="234" spans="3:13" ht="20.399999999999999" customHeight="1">
      <c r="C234" s="92" t="s">
        <v>1205</v>
      </c>
      <c r="D234" s="72" t="s">
        <v>1476</v>
      </c>
      <c r="E234" s="265" t="s">
        <v>65</v>
      </c>
      <c r="F234" s="103">
        <v>0.5</v>
      </c>
      <c r="G234" s="63">
        <f>VLOOKUP(D234,upahbahan,3,FALSE)</f>
        <v>0</v>
      </c>
      <c r="H234" s="64">
        <f t="shared" si="21"/>
        <v>0</v>
      </c>
      <c r="M234" s="494"/>
    </row>
    <row r="235" spans="3:13" ht="20.399999999999999" customHeight="1">
      <c r="C235" s="92" t="s">
        <v>1206</v>
      </c>
      <c r="D235" s="72" t="s">
        <v>1845</v>
      </c>
      <c r="E235" s="265" t="s">
        <v>129</v>
      </c>
      <c r="F235" s="103">
        <v>1</v>
      </c>
      <c r="G235" s="63">
        <f>VLOOKUP(D235,upahbahan,3,FALSE)</f>
        <v>75000</v>
      </c>
      <c r="H235" s="64">
        <f t="shared" si="21"/>
        <v>75000</v>
      </c>
      <c r="M235" s="494"/>
    </row>
    <row r="236" spans="3:13" ht="20.399999999999999" customHeight="1">
      <c r="C236" s="66" t="s">
        <v>1214</v>
      </c>
      <c r="D236" s="67"/>
      <c r="E236" s="67"/>
      <c r="F236" s="67"/>
      <c r="G236" s="69"/>
      <c r="H236" s="64" t="e">
        <f>SUM(H232:H235)</f>
        <v>#VALUE!</v>
      </c>
      <c r="M236" s="494"/>
    </row>
    <row r="237" spans="3:13" ht="20.399999999999999" customHeight="1">
      <c r="C237" s="167" t="s">
        <v>1215</v>
      </c>
      <c r="D237" s="56" t="s">
        <v>1216</v>
      </c>
      <c r="E237" s="57"/>
      <c r="F237" s="57"/>
      <c r="G237" s="57"/>
      <c r="H237" s="58"/>
      <c r="M237" s="494"/>
    </row>
    <row r="238" spans="3:13" ht="20.399999999999999" customHeight="1">
      <c r="C238" s="66" t="s">
        <v>1217</v>
      </c>
      <c r="D238" s="67"/>
      <c r="E238" s="67"/>
      <c r="F238" s="67"/>
      <c r="G238" s="69"/>
      <c r="H238" s="74">
        <v>0</v>
      </c>
      <c r="M238" s="494"/>
    </row>
    <row r="239" spans="3:13" ht="20.399999999999999" customHeight="1">
      <c r="C239" s="75" t="s">
        <v>1218</v>
      </c>
      <c r="D239" s="76" t="s">
        <v>1219</v>
      </c>
      <c r="E239" s="77"/>
      <c r="F239" s="77"/>
      <c r="G239" s="78"/>
      <c r="H239" s="64" t="e">
        <f>H238+H236+H230</f>
        <v>#VALUE!</v>
      </c>
      <c r="M239" s="494"/>
    </row>
    <row r="240" spans="3:13" ht="20.399999999999999" customHeight="1">
      <c r="C240" s="75" t="s">
        <v>1220</v>
      </c>
      <c r="D240" s="76" t="s">
        <v>1321</v>
      </c>
      <c r="E240" s="77"/>
      <c r="F240" s="78"/>
      <c r="G240" s="80">
        <f>$O$8</f>
        <v>0.1</v>
      </c>
      <c r="H240" s="64" t="e">
        <f>H239*G240</f>
        <v>#VALUE!</v>
      </c>
      <c r="M240" s="494"/>
    </row>
    <row r="241" spans="3:13" ht="20.399999999999999" customHeight="1" thickBot="1">
      <c r="C241" s="81" t="s">
        <v>1221</v>
      </c>
      <c r="D241" s="82" t="s">
        <v>1222</v>
      </c>
      <c r="E241" s="83"/>
      <c r="F241" s="83"/>
      <c r="G241" s="84"/>
      <c r="H241" s="85" t="e">
        <f>SUM(H239:H240)</f>
        <v>#VALUE!</v>
      </c>
      <c r="M241" s="494"/>
    </row>
    <row r="242" spans="3:13" ht="14.4" thickTop="1">
      <c r="C242" s="54"/>
      <c r="D242" s="86"/>
      <c r="E242" s="86"/>
      <c r="F242" s="86"/>
      <c r="G242" s="86"/>
      <c r="H242" s="87"/>
      <c r="M242" s="494"/>
    </row>
    <row r="243" spans="3:13" ht="15.75" customHeight="1" thickBot="1">
      <c r="C243" s="44" t="s">
        <v>3037</v>
      </c>
      <c r="D243" s="458" t="s">
        <v>1497</v>
      </c>
      <c r="E243" s="458"/>
      <c r="F243" s="458"/>
      <c r="G243" s="458"/>
      <c r="H243" s="458"/>
      <c r="I243" s="50">
        <f>ROUNDDOWN(H258,-2)</f>
        <v>781700</v>
      </c>
      <c r="J243" s="50"/>
      <c r="K243" s="50"/>
      <c r="M243" s="494"/>
    </row>
    <row r="244" spans="3:13" ht="28.2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  <c r="M244" s="494"/>
    </row>
    <row r="245" spans="3:13" ht="20.399999999999999" customHeight="1">
      <c r="C245" s="55" t="s">
        <v>1201</v>
      </c>
      <c r="D245" s="56" t="s">
        <v>1202</v>
      </c>
      <c r="E245" s="57"/>
      <c r="F245" s="57"/>
      <c r="G245" s="57"/>
      <c r="H245" s="58"/>
      <c r="M245" s="494"/>
    </row>
    <row r="246" spans="3:13" ht="20.399999999999999" customHeight="1">
      <c r="C246" s="60">
        <v>1</v>
      </c>
      <c r="D246" s="56" t="s">
        <v>5</v>
      </c>
      <c r="E246" s="61" t="s">
        <v>6</v>
      </c>
      <c r="F246" s="62">
        <v>4</v>
      </c>
      <c r="G246" s="63">
        <f>VLOOKUP(D246,upahbahan,3,FALSE)</f>
        <v>100000</v>
      </c>
      <c r="H246" s="64">
        <f>F246*G246</f>
        <v>400000</v>
      </c>
      <c r="M246" s="494"/>
    </row>
    <row r="247" spans="3:13" ht="20.399999999999999" customHeight="1">
      <c r="C247" s="60">
        <v>2</v>
      </c>
      <c r="D247" s="56" t="s">
        <v>8</v>
      </c>
      <c r="E247" s="61" t="s">
        <v>6</v>
      </c>
      <c r="F247" s="62">
        <v>2</v>
      </c>
      <c r="G247" s="63">
        <f>VLOOKUP(D247,upahbahan,3,FALSE)</f>
        <v>135000</v>
      </c>
      <c r="H247" s="64">
        <f>F247*G247</f>
        <v>270000</v>
      </c>
      <c r="M247" s="494"/>
    </row>
    <row r="248" spans="3:13" ht="20.399999999999999" customHeight="1">
      <c r="C248" s="60">
        <v>3</v>
      </c>
      <c r="D248" s="56" t="s">
        <v>18</v>
      </c>
      <c r="E248" s="61" t="s">
        <v>6</v>
      </c>
      <c r="F248" s="62">
        <v>0.2</v>
      </c>
      <c r="G248" s="63">
        <f>VLOOKUP(D248,upahbahan,3,FALSE)</f>
        <v>150000</v>
      </c>
      <c r="H248" s="64">
        <f>F248*G248</f>
        <v>30000</v>
      </c>
      <c r="M248" s="494"/>
    </row>
    <row r="249" spans="3:13" ht="20.399999999999999" customHeight="1">
      <c r="C249" s="60">
        <v>4</v>
      </c>
      <c r="D249" s="56" t="s">
        <v>19</v>
      </c>
      <c r="E249" s="61" t="s">
        <v>6</v>
      </c>
      <c r="F249" s="62">
        <v>6.6699999999999995E-2</v>
      </c>
      <c r="G249" s="63">
        <f>VLOOKUP(D249,upahbahan,3,FALSE)</f>
        <v>160000</v>
      </c>
      <c r="H249" s="64">
        <f>F249*G249</f>
        <v>10672</v>
      </c>
      <c r="M249" s="494"/>
    </row>
    <row r="250" spans="3:13" ht="20.399999999999999" customHeight="1">
      <c r="C250" s="66" t="s">
        <v>1208</v>
      </c>
      <c r="D250" s="67"/>
      <c r="E250" s="67"/>
      <c r="F250" s="142"/>
      <c r="G250" s="153"/>
      <c r="H250" s="64">
        <f>SUM(H246:H249)</f>
        <v>710672</v>
      </c>
      <c r="I250" s="154"/>
      <c r="J250" s="154"/>
      <c r="K250" s="154"/>
      <c r="M250" s="494"/>
    </row>
    <row r="251" spans="3:13" ht="20.399999999999999" customHeight="1">
      <c r="C251" s="55" t="s">
        <v>1209</v>
      </c>
      <c r="D251" s="56" t="s">
        <v>1210</v>
      </c>
      <c r="E251" s="57"/>
      <c r="F251" s="57"/>
      <c r="G251" s="57"/>
      <c r="H251" s="58"/>
      <c r="M251" s="494"/>
    </row>
    <row r="252" spans="3:13" ht="20.399999999999999" customHeight="1">
      <c r="C252" s="92" t="s">
        <v>1203</v>
      </c>
      <c r="D252" s="72" t="s">
        <v>134</v>
      </c>
      <c r="E252" s="265" t="s">
        <v>135</v>
      </c>
      <c r="F252" s="103">
        <v>1</v>
      </c>
      <c r="G252" s="63">
        <f>VLOOKUP(D252,upahbahan,3,FALSE)</f>
        <v>0</v>
      </c>
      <c r="H252" s="64">
        <f>F252*G252</f>
        <v>0</v>
      </c>
      <c r="M252" s="494"/>
    </row>
    <row r="253" spans="3:13" ht="20.399999999999999" customHeight="1">
      <c r="C253" s="66" t="s">
        <v>1214</v>
      </c>
      <c r="D253" s="67"/>
      <c r="E253" s="67"/>
      <c r="F253" s="67"/>
      <c r="G253" s="69"/>
      <c r="H253" s="64">
        <f>SUM(H252:H252)</f>
        <v>0</v>
      </c>
      <c r="M253" s="494"/>
    </row>
    <row r="254" spans="3:13" ht="20.399999999999999" customHeight="1">
      <c r="C254" s="167" t="s">
        <v>1215</v>
      </c>
      <c r="D254" s="56" t="s">
        <v>1216</v>
      </c>
      <c r="E254" s="57"/>
      <c r="F254" s="57"/>
      <c r="G254" s="57"/>
      <c r="H254" s="58"/>
      <c r="M254" s="494"/>
    </row>
    <row r="255" spans="3:13" ht="20.399999999999999" customHeight="1">
      <c r="C255" s="66" t="s">
        <v>1217</v>
      </c>
      <c r="D255" s="67"/>
      <c r="E255" s="67"/>
      <c r="F255" s="67"/>
      <c r="G255" s="69"/>
      <c r="H255" s="74">
        <v>0</v>
      </c>
      <c r="M255" s="494"/>
    </row>
    <row r="256" spans="3:13" ht="20.399999999999999" customHeight="1">
      <c r="C256" s="75" t="s">
        <v>1218</v>
      </c>
      <c r="D256" s="76" t="s">
        <v>1219</v>
      </c>
      <c r="E256" s="77"/>
      <c r="F256" s="77"/>
      <c r="G256" s="78"/>
      <c r="H256" s="64">
        <f>H255+H253+H250</f>
        <v>710672</v>
      </c>
      <c r="M256" s="494"/>
    </row>
    <row r="257" spans="3:13" ht="20.399999999999999" customHeight="1">
      <c r="C257" s="75" t="s">
        <v>1220</v>
      </c>
      <c r="D257" s="76" t="s">
        <v>1321</v>
      </c>
      <c r="E257" s="77"/>
      <c r="F257" s="78"/>
      <c r="G257" s="80">
        <f>$O$8</f>
        <v>0.1</v>
      </c>
      <c r="H257" s="64">
        <f>H256*G257</f>
        <v>71067.199999999997</v>
      </c>
      <c r="M257" s="494"/>
    </row>
    <row r="258" spans="3:13" ht="20.399999999999999" customHeight="1" thickBot="1">
      <c r="C258" s="81" t="s">
        <v>1221</v>
      </c>
      <c r="D258" s="82" t="s">
        <v>1222</v>
      </c>
      <c r="E258" s="83"/>
      <c r="F258" s="83"/>
      <c r="G258" s="84"/>
      <c r="H258" s="85">
        <f>SUM(H256:H257)</f>
        <v>781739.2</v>
      </c>
      <c r="M258" s="494"/>
    </row>
    <row r="259" spans="3:13" ht="14.4" thickTop="1">
      <c r="C259" s="54"/>
      <c r="D259" s="86"/>
      <c r="E259" s="86"/>
      <c r="F259" s="86"/>
      <c r="G259" s="86"/>
      <c r="H259" s="87"/>
      <c r="M259" s="494"/>
    </row>
    <row r="260" spans="3:13" ht="15.75" customHeight="1" thickBot="1">
      <c r="C260" s="44" t="s">
        <v>3038</v>
      </c>
      <c r="D260" s="149" t="s">
        <v>1498</v>
      </c>
      <c r="E260" s="479"/>
      <c r="F260" s="479"/>
      <c r="G260" s="479"/>
      <c r="H260" s="479"/>
      <c r="I260" s="50">
        <f>ROUNDDOWN(H277,-2)</f>
        <v>298500</v>
      </c>
      <c r="J260" s="50"/>
      <c r="K260" s="50"/>
      <c r="M260" s="494"/>
    </row>
    <row r="261" spans="3:13" ht="28.2" thickTop="1">
      <c r="C261" s="51" t="s">
        <v>1195</v>
      </c>
      <c r="D261" s="52" t="s">
        <v>1196</v>
      </c>
      <c r="E261" s="52" t="s">
        <v>1197</v>
      </c>
      <c r="F261" s="52" t="s">
        <v>1198</v>
      </c>
      <c r="G261" s="52" t="s">
        <v>1199</v>
      </c>
      <c r="H261" s="53" t="s">
        <v>1200</v>
      </c>
      <c r="M261" s="494"/>
    </row>
    <row r="262" spans="3:13" ht="19.8" customHeight="1">
      <c r="C262" s="55" t="s">
        <v>1201</v>
      </c>
      <c r="D262" s="56" t="s">
        <v>1202</v>
      </c>
      <c r="E262" s="57"/>
      <c r="F262" s="57"/>
      <c r="G262" s="57"/>
      <c r="H262" s="58"/>
      <c r="M262" s="494"/>
    </row>
    <row r="263" spans="3:13" ht="19.8" customHeight="1">
      <c r="C263" s="60">
        <v>1</v>
      </c>
      <c r="D263" s="56" t="s">
        <v>5</v>
      </c>
      <c r="E263" s="61" t="s">
        <v>6</v>
      </c>
      <c r="F263" s="62">
        <v>1.05</v>
      </c>
      <c r="G263" s="63">
        <f>VLOOKUP(D263,upahbahan,3,FALSE)</f>
        <v>100000</v>
      </c>
      <c r="H263" s="64">
        <f>F263*G263</f>
        <v>105000</v>
      </c>
      <c r="M263" s="494"/>
    </row>
    <row r="264" spans="3:13" ht="19.8" customHeight="1">
      <c r="C264" s="60">
        <v>2</v>
      </c>
      <c r="D264" s="56" t="s">
        <v>9</v>
      </c>
      <c r="E264" s="61" t="s">
        <v>6</v>
      </c>
      <c r="F264" s="62">
        <v>1.05</v>
      </c>
      <c r="G264" s="63">
        <f>VLOOKUP(D264,upahbahan,3,FALSE)</f>
        <v>135000</v>
      </c>
      <c r="H264" s="64">
        <f t="shared" ref="H264:H266" si="22">F264*G264</f>
        <v>141750</v>
      </c>
      <c r="M264" s="494"/>
    </row>
    <row r="265" spans="3:13" ht="19.8" customHeight="1">
      <c r="C265" s="60">
        <v>3</v>
      </c>
      <c r="D265" s="56" t="s">
        <v>18</v>
      </c>
      <c r="E265" s="61" t="s">
        <v>6</v>
      </c>
      <c r="F265" s="62">
        <v>0.105</v>
      </c>
      <c r="G265" s="63">
        <f>VLOOKUP(D265,upahbahan,3,FALSE)</f>
        <v>150000</v>
      </c>
      <c r="H265" s="64">
        <f t="shared" si="22"/>
        <v>15750</v>
      </c>
      <c r="M265" s="494"/>
    </row>
    <row r="266" spans="3:13" ht="19.8" customHeight="1">
      <c r="C266" s="60">
        <v>4</v>
      </c>
      <c r="D266" s="56" t="s">
        <v>19</v>
      </c>
      <c r="E266" s="61" t="s">
        <v>6</v>
      </c>
      <c r="F266" s="62">
        <v>3.5000000000000003E-2</v>
      </c>
      <c r="G266" s="63">
        <f>VLOOKUP(D266,upahbahan,3,FALSE)</f>
        <v>160000</v>
      </c>
      <c r="H266" s="64">
        <f t="shared" si="22"/>
        <v>5600.0000000000009</v>
      </c>
      <c r="M266" s="494"/>
    </row>
    <row r="267" spans="3:13" ht="19.8" customHeight="1">
      <c r="C267" s="66" t="s">
        <v>1208</v>
      </c>
      <c r="D267" s="67"/>
      <c r="E267" s="67"/>
      <c r="F267" s="142"/>
      <c r="G267" s="153"/>
      <c r="H267" s="64">
        <f>SUM(H263:H266)</f>
        <v>268100</v>
      </c>
      <c r="I267" s="154"/>
      <c r="J267" s="154"/>
      <c r="K267" s="154"/>
      <c r="M267" s="494"/>
    </row>
    <row r="268" spans="3:13" ht="19.8" customHeight="1">
      <c r="C268" s="55" t="s">
        <v>1209</v>
      </c>
      <c r="D268" s="56" t="s">
        <v>1210</v>
      </c>
      <c r="E268" s="57"/>
      <c r="F268" s="57"/>
      <c r="G268" s="57"/>
      <c r="H268" s="58"/>
      <c r="M268" s="494"/>
    </row>
    <row r="269" spans="3:13" ht="19.8" customHeight="1">
      <c r="C269" s="92" t="s">
        <v>1203</v>
      </c>
      <c r="D269" s="72" t="s">
        <v>227</v>
      </c>
      <c r="E269" s="265" t="s">
        <v>65</v>
      </c>
      <c r="F269" s="104">
        <v>15</v>
      </c>
      <c r="G269" s="63">
        <f>VLOOKUP(D269,upahbahan,3,FALSE)</f>
        <v>0</v>
      </c>
      <c r="H269" s="64">
        <f>F269*G269</f>
        <v>0</v>
      </c>
      <c r="M269" s="494"/>
    </row>
    <row r="270" spans="3:13" ht="19.8" customHeight="1">
      <c r="C270" s="92" t="s">
        <v>1204</v>
      </c>
      <c r="D270" s="72" t="s">
        <v>224</v>
      </c>
      <c r="E270" s="265" t="s">
        <v>65</v>
      </c>
      <c r="F270" s="104">
        <v>32</v>
      </c>
      <c r="G270" s="63">
        <f>VLOOKUP(D270,upahbahan,3,FALSE)</f>
        <v>0</v>
      </c>
      <c r="H270" s="64">
        <f>F270*G270</f>
        <v>0</v>
      </c>
      <c r="M270" s="494"/>
    </row>
    <row r="271" spans="3:13" ht="19.8" customHeight="1">
      <c r="C271" s="92" t="s">
        <v>1205</v>
      </c>
      <c r="D271" s="72" t="s">
        <v>1499</v>
      </c>
      <c r="E271" s="265" t="s">
        <v>65</v>
      </c>
      <c r="F271" s="104">
        <v>0.05</v>
      </c>
      <c r="G271" s="63">
        <f>VLOOKUP(D271,upahbahan,3,FALSE)</f>
        <v>66600</v>
      </c>
      <c r="H271" s="64">
        <f>F271*G271</f>
        <v>3330</v>
      </c>
      <c r="M271" s="494"/>
    </row>
    <row r="272" spans="3:13" ht="19.8" customHeight="1">
      <c r="C272" s="66" t="s">
        <v>1214</v>
      </c>
      <c r="D272" s="67"/>
      <c r="E272" s="67"/>
      <c r="F272" s="67"/>
      <c r="G272" s="69"/>
      <c r="H272" s="64">
        <f>SUM(H269:H271)</f>
        <v>3330</v>
      </c>
      <c r="M272" s="494"/>
    </row>
    <row r="273" spans="3:13" ht="19.8" customHeight="1">
      <c r="C273" s="167" t="s">
        <v>1215</v>
      </c>
      <c r="D273" s="56" t="s">
        <v>1216</v>
      </c>
      <c r="E273" s="57"/>
      <c r="F273" s="57"/>
      <c r="G273" s="57"/>
      <c r="H273" s="58"/>
      <c r="M273" s="494"/>
    </row>
    <row r="274" spans="3:13" ht="19.8" customHeight="1">
      <c r="C274" s="66" t="s">
        <v>1217</v>
      </c>
      <c r="D274" s="67"/>
      <c r="E274" s="67"/>
      <c r="F274" s="67"/>
      <c r="G274" s="69"/>
      <c r="H274" s="74">
        <v>0</v>
      </c>
      <c r="M274" s="494"/>
    </row>
    <row r="275" spans="3:13" ht="19.8" customHeight="1">
      <c r="C275" s="75" t="s">
        <v>1218</v>
      </c>
      <c r="D275" s="76" t="s">
        <v>1219</v>
      </c>
      <c r="E275" s="77"/>
      <c r="F275" s="77"/>
      <c r="G275" s="78"/>
      <c r="H275" s="64">
        <f>H274+H272+H267</f>
        <v>271430</v>
      </c>
      <c r="M275" s="494"/>
    </row>
    <row r="276" spans="3:13" ht="19.8" customHeight="1">
      <c r="C276" s="75" t="s">
        <v>1220</v>
      </c>
      <c r="D276" s="76" t="s">
        <v>1321</v>
      </c>
      <c r="E276" s="77"/>
      <c r="F276" s="78"/>
      <c r="G276" s="80">
        <f>$O$8</f>
        <v>0.1</v>
      </c>
      <c r="H276" s="64">
        <f>H275*G276</f>
        <v>27143</v>
      </c>
      <c r="M276" s="494"/>
    </row>
    <row r="277" spans="3:13" ht="19.8" customHeight="1" thickBot="1">
      <c r="C277" s="81" t="s">
        <v>1221</v>
      </c>
      <c r="D277" s="82" t="s">
        <v>1222</v>
      </c>
      <c r="E277" s="83"/>
      <c r="F277" s="83"/>
      <c r="G277" s="84"/>
      <c r="H277" s="85">
        <f>SUM(H275:H276)</f>
        <v>298573</v>
      </c>
      <c r="M277" s="494"/>
    </row>
    <row r="278" spans="3:13" ht="14.4" thickTop="1">
      <c r="C278" s="54"/>
      <c r="D278" s="86"/>
      <c r="E278" s="86"/>
      <c r="F278" s="86"/>
      <c r="G278" s="86"/>
      <c r="H278" s="87"/>
      <c r="M278" s="494"/>
    </row>
    <row r="279" spans="3:13" ht="14.4" thickBot="1">
      <c r="C279" s="44" t="s">
        <v>3039</v>
      </c>
      <c r="D279" s="149" t="s">
        <v>1500</v>
      </c>
      <c r="E279" s="149"/>
      <c r="F279" s="149"/>
      <c r="G279" s="149"/>
      <c r="H279" s="149"/>
      <c r="I279" s="50">
        <f>ROUNDDOWN(H294,-2)</f>
        <v>9242300</v>
      </c>
      <c r="J279" s="50"/>
      <c r="K279" s="50"/>
      <c r="M279" s="494"/>
    </row>
    <row r="280" spans="3:13" ht="28.2" thickTop="1">
      <c r="C280" s="51" t="s">
        <v>1195</v>
      </c>
      <c r="D280" s="52" t="s">
        <v>1196</v>
      </c>
      <c r="E280" s="52" t="s">
        <v>1197</v>
      </c>
      <c r="F280" s="52" t="s">
        <v>1198</v>
      </c>
      <c r="G280" s="52" t="s">
        <v>1199</v>
      </c>
      <c r="H280" s="53" t="s">
        <v>1200</v>
      </c>
      <c r="M280" s="494"/>
    </row>
    <row r="281" spans="3:13" ht="19.8" customHeight="1">
      <c r="C281" s="55" t="s">
        <v>1201</v>
      </c>
      <c r="D281" s="56" t="s">
        <v>1202</v>
      </c>
      <c r="E281" s="57"/>
      <c r="F281" s="57"/>
      <c r="G281" s="57"/>
      <c r="H281" s="58"/>
      <c r="M281" s="494"/>
    </row>
    <row r="282" spans="3:13" ht="19.8" customHeight="1">
      <c r="C282" s="60">
        <v>1</v>
      </c>
      <c r="D282" s="56" t="s">
        <v>5</v>
      </c>
      <c r="E282" s="61" t="s">
        <v>6</v>
      </c>
      <c r="F282" s="101">
        <v>1.575</v>
      </c>
      <c r="G282" s="63">
        <f>VLOOKUP(D282,upahbahan,3,FALSE)</f>
        <v>100000</v>
      </c>
      <c r="H282" s="64">
        <f>F282*G282</f>
        <v>157500</v>
      </c>
      <c r="M282" s="494"/>
    </row>
    <row r="283" spans="3:13" ht="19.8" customHeight="1">
      <c r="C283" s="60">
        <v>2</v>
      </c>
      <c r="D283" s="56" t="s">
        <v>9</v>
      </c>
      <c r="E283" s="61" t="s">
        <v>6</v>
      </c>
      <c r="F283" s="101">
        <v>1.575</v>
      </c>
      <c r="G283" s="63">
        <f>VLOOKUP(D283,upahbahan,3,FALSE)</f>
        <v>135000</v>
      </c>
      <c r="H283" s="64">
        <f t="shared" ref="H283:H285" si="23">F283*G283</f>
        <v>212625</v>
      </c>
      <c r="M283" s="494"/>
    </row>
    <row r="284" spans="3:13" ht="19.8" customHeight="1">
      <c r="C284" s="60">
        <v>3</v>
      </c>
      <c r="D284" s="56" t="s">
        <v>18</v>
      </c>
      <c r="E284" s="61" t="s">
        <v>6</v>
      </c>
      <c r="F284" s="101">
        <v>0.1575</v>
      </c>
      <c r="G284" s="63">
        <f>VLOOKUP(D284,upahbahan,3,FALSE)</f>
        <v>150000</v>
      </c>
      <c r="H284" s="64">
        <f t="shared" si="23"/>
        <v>23625</v>
      </c>
      <c r="M284" s="494"/>
    </row>
    <row r="285" spans="3:13" ht="19.8" customHeight="1">
      <c r="C285" s="60">
        <v>4</v>
      </c>
      <c r="D285" s="56" t="s">
        <v>19</v>
      </c>
      <c r="E285" s="61" t="s">
        <v>6</v>
      </c>
      <c r="F285" s="101">
        <v>5.2499999999999998E-2</v>
      </c>
      <c r="G285" s="63">
        <f>VLOOKUP(D285,upahbahan,3,FALSE)</f>
        <v>160000</v>
      </c>
      <c r="H285" s="64">
        <f t="shared" si="23"/>
        <v>8400</v>
      </c>
      <c r="M285" s="494"/>
    </row>
    <row r="286" spans="3:13" ht="19.8" customHeight="1">
      <c r="C286" s="66" t="s">
        <v>1208</v>
      </c>
      <c r="D286" s="67"/>
      <c r="E286" s="67"/>
      <c r="F286" s="142"/>
      <c r="G286" s="153"/>
      <c r="H286" s="64">
        <f>SUM(H282:H285)</f>
        <v>402150</v>
      </c>
      <c r="I286" s="154"/>
      <c r="J286" s="154"/>
      <c r="K286" s="154"/>
      <c r="M286" s="494"/>
    </row>
    <row r="287" spans="3:13" ht="19.8" customHeight="1">
      <c r="C287" s="55" t="s">
        <v>1209</v>
      </c>
      <c r="D287" s="56" t="s">
        <v>1210</v>
      </c>
      <c r="E287" s="57"/>
      <c r="F287" s="57"/>
      <c r="G287" s="57"/>
      <c r="H287" s="58"/>
      <c r="M287" s="494"/>
    </row>
    <row r="288" spans="3:13" ht="19.8" customHeight="1">
      <c r="C288" s="92" t="s">
        <v>1203</v>
      </c>
      <c r="D288" s="72" t="s">
        <v>269</v>
      </c>
      <c r="E288" s="265" t="s">
        <v>135</v>
      </c>
      <c r="F288" s="104">
        <v>1</v>
      </c>
      <c r="G288" s="63">
        <f>VLOOKUP(D288,upahbahan,3,FALSE)</f>
        <v>8000000</v>
      </c>
      <c r="H288" s="64">
        <f>F288*G288</f>
        <v>8000000</v>
      </c>
      <c r="M288" s="494"/>
    </row>
    <row r="289" spans="3:13" ht="19.8" customHeight="1">
      <c r="C289" s="66" t="s">
        <v>1214</v>
      </c>
      <c r="D289" s="67"/>
      <c r="E289" s="67"/>
      <c r="F289" s="67"/>
      <c r="G289" s="69"/>
      <c r="H289" s="64">
        <f>SUM(H288:H288)</f>
        <v>8000000</v>
      </c>
      <c r="M289" s="494"/>
    </row>
    <row r="290" spans="3:13" ht="19.8" customHeight="1">
      <c r="C290" s="167" t="s">
        <v>1215</v>
      </c>
      <c r="D290" s="56" t="s">
        <v>1216</v>
      </c>
      <c r="E290" s="57"/>
      <c r="F290" s="57"/>
      <c r="G290" s="57"/>
      <c r="H290" s="58"/>
      <c r="M290" s="494"/>
    </row>
    <row r="291" spans="3:13" ht="19.8" customHeight="1">
      <c r="C291" s="66" t="s">
        <v>1217</v>
      </c>
      <c r="D291" s="67"/>
      <c r="E291" s="67"/>
      <c r="F291" s="67"/>
      <c r="G291" s="69"/>
      <c r="H291" s="74">
        <v>0</v>
      </c>
      <c r="M291" s="494"/>
    </row>
    <row r="292" spans="3:13" ht="19.8" customHeight="1">
      <c r="C292" s="75" t="s">
        <v>1218</v>
      </c>
      <c r="D292" s="76" t="s">
        <v>1219</v>
      </c>
      <c r="E292" s="77"/>
      <c r="F292" s="77"/>
      <c r="G292" s="78"/>
      <c r="H292" s="64">
        <f>H291+H289+H286</f>
        <v>8402150</v>
      </c>
      <c r="M292" s="494"/>
    </row>
    <row r="293" spans="3:13" ht="19.8" customHeight="1">
      <c r="C293" s="75" t="s">
        <v>1220</v>
      </c>
      <c r="D293" s="76" t="s">
        <v>1321</v>
      </c>
      <c r="E293" s="77"/>
      <c r="F293" s="78"/>
      <c r="G293" s="80">
        <f>$O$8</f>
        <v>0.1</v>
      </c>
      <c r="H293" s="64">
        <f>H292*G293</f>
        <v>840215</v>
      </c>
      <c r="M293" s="494"/>
    </row>
    <row r="294" spans="3:13" ht="19.8" customHeight="1" thickBot="1">
      <c r="C294" s="81" t="s">
        <v>1221</v>
      </c>
      <c r="D294" s="82" t="s">
        <v>1222</v>
      </c>
      <c r="E294" s="83"/>
      <c r="F294" s="83"/>
      <c r="G294" s="84"/>
      <c r="H294" s="85">
        <f>SUM(H292:H293)</f>
        <v>9242365</v>
      </c>
      <c r="M294" s="494"/>
    </row>
    <row r="295" spans="3:13" ht="14.4" thickTop="1">
      <c r="C295" s="54"/>
      <c r="D295" s="86"/>
      <c r="E295" s="86"/>
      <c r="F295" s="86"/>
      <c r="G295" s="86"/>
      <c r="H295" s="87"/>
      <c r="M295" s="494"/>
    </row>
    <row r="296" spans="3:13" ht="14.4" thickBot="1">
      <c r="C296" s="44" t="s">
        <v>3040</v>
      </c>
      <c r="D296" s="149" t="s">
        <v>1501</v>
      </c>
      <c r="E296" s="149"/>
      <c r="F296" s="149"/>
      <c r="G296" s="149"/>
      <c r="H296" s="149"/>
      <c r="I296" s="50">
        <f>ROUNDDOWN(H313,-2)</f>
        <v>952600</v>
      </c>
      <c r="J296" s="50"/>
      <c r="K296" s="50"/>
      <c r="M296" s="494"/>
    </row>
    <row r="297" spans="3:13" ht="28.2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  <c r="M297" s="494"/>
    </row>
    <row r="298" spans="3:13" ht="20.399999999999999" customHeight="1">
      <c r="C298" s="55" t="s">
        <v>1201</v>
      </c>
      <c r="D298" s="56" t="s">
        <v>1202</v>
      </c>
      <c r="E298" s="57"/>
      <c r="F298" s="57"/>
      <c r="G298" s="57"/>
      <c r="H298" s="58"/>
      <c r="M298" s="494"/>
    </row>
    <row r="299" spans="3:13" ht="20.399999999999999" customHeight="1">
      <c r="C299" s="60">
        <v>1</v>
      </c>
      <c r="D299" s="56" t="s">
        <v>5</v>
      </c>
      <c r="E299" s="61" t="s">
        <v>6</v>
      </c>
      <c r="F299" s="62">
        <v>1</v>
      </c>
      <c r="G299" s="63">
        <f>VLOOKUP(D299,upahbahan,3,FALSE)</f>
        <v>100000</v>
      </c>
      <c r="H299" s="64">
        <f>F299*G299</f>
        <v>100000</v>
      </c>
      <c r="M299" s="494"/>
    </row>
    <row r="300" spans="3:13" ht="20.399999999999999" customHeight="1">
      <c r="C300" s="60">
        <v>2</v>
      </c>
      <c r="D300" s="56" t="s">
        <v>9</v>
      </c>
      <c r="E300" s="61" t="s">
        <v>6</v>
      </c>
      <c r="F300" s="62">
        <v>3</v>
      </c>
      <c r="G300" s="63">
        <f>VLOOKUP(D300,upahbahan,3,FALSE)</f>
        <v>135000</v>
      </c>
      <c r="H300" s="64">
        <f t="shared" ref="H300:H302" si="24">F300*G300</f>
        <v>405000</v>
      </c>
      <c r="M300" s="494"/>
    </row>
    <row r="301" spans="3:13" ht="20.399999999999999" customHeight="1">
      <c r="C301" s="60">
        <v>3</v>
      </c>
      <c r="D301" s="56" t="s">
        <v>18</v>
      </c>
      <c r="E301" s="61" t="s">
        <v>6</v>
      </c>
      <c r="F301" s="62">
        <v>0.3</v>
      </c>
      <c r="G301" s="63">
        <f>VLOOKUP(D301,upahbahan,3,FALSE)</f>
        <v>150000</v>
      </c>
      <c r="H301" s="64">
        <f t="shared" si="24"/>
        <v>45000</v>
      </c>
      <c r="M301" s="494"/>
    </row>
    <row r="302" spans="3:13" ht="20.399999999999999" customHeight="1">
      <c r="C302" s="60">
        <v>4</v>
      </c>
      <c r="D302" s="56" t="s">
        <v>19</v>
      </c>
      <c r="E302" s="61" t="s">
        <v>6</v>
      </c>
      <c r="F302" s="62">
        <v>0.1</v>
      </c>
      <c r="G302" s="63">
        <f>VLOOKUP(D302,upahbahan,3,FALSE)</f>
        <v>160000</v>
      </c>
      <c r="H302" s="64">
        <f t="shared" si="24"/>
        <v>16000</v>
      </c>
      <c r="M302" s="494"/>
    </row>
    <row r="303" spans="3:13" ht="20.399999999999999" customHeight="1">
      <c r="C303" s="66" t="s">
        <v>1208</v>
      </c>
      <c r="D303" s="67"/>
      <c r="E303" s="67"/>
      <c r="F303" s="142"/>
      <c r="G303" s="153"/>
      <c r="H303" s="64">
        <f>SUM(H299:H302)</f>
        <v>566000</v>
      </c>
      <c r="I303" s="154"/>
      <c r="J303" s="154"/>
      <c r="K303" s="154"/>
      <c r="M303" s="494"/>
    </row>
    <row r="304" spans="3:13" ht="20.399999999999999" customHeight="1">
      <c r="C304" s="55" t="s">
        <v>1209</v>
      </c>
      <c r="D304" s="56" t="s">
        <v>1210</v>
      </c>
      <c r="E304" s="57"/>
      <c r="F304" s="57"/>
      <c r="G304" s="57"/>
      <c r="H304" s="58"/>
      <c r="M304" s="494"/>
    </row>
    <row r="305" spans="3:13" ht="20.399999999999999" customHeight="1">
      <c r="C305" s="92" t="s">
        <v>1203</v>
      </c>
      <c r="D305" s="72" t="s">
        <v>111</v>
      </c>
      <c r="E305" s="265" t="s">
        <v>62</v>
      </c>
      <c r="F305" s="104">
        <v>1</v>
      </c>
      <c r="G305" s="63">
        <f>VLOOKUP(D305,upahbahan,3,FALSE)</f>
        <v>0</v>
      </c>
      <c r="H305" s="64">
        <f>F305*G305</f>
        <v>0</v>
      </c>
      <c r="M305" s="494"/>
    </row>
    <row r="306" spans="3:13" ht="20.399999999999999" customHeight="1">
      <c r="C306" s="92" t="s">
        <v>1204</v>
      </c>
      <c r="D306" s="72" t="s">
        <v>1004</v>
      </c>
      <c r="E306" s="265" t="s">
        <v>65</v>
      </c>
      <c r="F306" s="104">
        <v>0.5</v>
      </c>
      <c r="G306" s="63">
        <f>VLOOKUP(D306,upahbahan,3,FALSE)</f>
        <v>0</v>
      </c>
      <c r="H306" s="64">
        <f t="shared" ref="H306:H307" si="25">F306*G306</f>
        <v>0</v>
      </c>
      <c r="M306" s="494"/>
    </row>
    <row r="307" spans="3:13" ht="20.399999999999999" customHeight="1">
      <c r="C307" s="92" t="s">
        <v>1205</v>
      </c>
      <c r="D307" s="72" t="s">
        <v>145</v>
      </c>
      <c r="E307" s="265" t="s">
        <v>62</v>
      </c>
      <c r="F307" s="104">
        <v>2</v>
      </c>
      <c r="G307" s="63">
        <f>VLOOKUP(D307,upahbahan,3,FALSE)</f>
        <v>150000</v>
      </c>
      <c r="H307" s="64">
        <f t="shared" si="25"/>
        <v>300000</v>
      </c>
      <c r="M307" s="494"/>
    </row>
    <row r="308" spans="3:13" ht="20.399999999999999" customHeight="1">
      <c r="C308" s="66" t="s">
        <v>1214</v>
      </c>
      <c r="D308" s="67"/>
      <c r="E308" s="67"/>
      <c r="F308" s="67"/>
      <c r="G308" s="69"/>
      <c r="H308" s="64">
        <f>SUM(H305:H307)</f>
        <v>300000</v>
      </c>
      <c r="M308" s="494"/>
    </row>
    <row r="309" spans="3:13" ht="20.399999999999999" customHeight="1">
      <c r="C309" s="167" t="s">
        <v>1215</v>
      </c>
      <c r="D309" s="56" t="s">
        <v>1216</v>
      </c>
      <c r="E309" s="57"/>
      <c r="F309" s="57"/>
      <c r="G309" s="57"/>
      <c r="H309" s="58"/>
      <c r="M309" s="494"/>
    </row>
    <row r="310" spans="3:13" ht="20.399999999999999" customHeight="1">
      <c r="C310" s="66" t="s">
        <v>1217</v>
      </c>
      <c r="D310" s="67"/>
      <c r="E310" s="67"/>
      <c r="F310" s="67"/>
      <c r="G310" s="69"/>
      <c r="H310" s="74">
        <v>0</v>
      </c>
      <c r="M310" s="494"/>
    </row>
    <row r="311" spans="3:13" ht="20.399999999999999" customHeight="1">
      <c r="C311" s="75" t="s">
        <v>1218</v>
      </c>
      <c r="D311" s="76" t="s">
        <v>1219</v>
      </c>
      <c r="E311" s="77"/>
      <c r="F311" s="77"/>
      <c r="G311" s="78"/>
      <c r="H311" s="64">
        <f>H310+H308+H303</f>
        <v>866000</v>
      </c>
      <c r="M311" s="494"/>
    </row>
    <row r="312" spans="3:13" ht="20.399999999999999" customHeight="1">
      <c r="C312" s="75" t="s">
        <v>1220</v>
      </c>
      <c r="D312" s="76" t="s">
        <v>1321</v>
      </c>
      <c r="E312" s="77"/>
      <c r="F312" s="78"/>
      <c r="G312" s="80">
        <f>$O$8</f>
        <v>0.1</v>
      </c>
      <c r="H312" s="64">
        <f>H311*G312</f>
        <v>86600</v>
      </c>
      <c r="M312" s="494"/>
    </row>
    <row r="313" spans="3:13" ht="20.399999999999999" customHeight="1" thickBot="1">
      <c r="C313" s="81" t="s">
        <v>1221</v>
      </c>
      <c r="D313" s="82" t="s">
        <v>1222</v>
      </c>
      <c r="E313" s="83"/>
      <c r="F313" s="83"/>
      <c r="G313" s="84"/>
      <c r="H313" s="85">
        <f>SUM(H311:H312)</f>
        <v>952600</v>
      </c>
      <c r="M313" s="494"/>
    </row>
    <row r="314" spans="3:13" ht="14.4" thickTop="1">
      <c r="C314" s="54"/>
      <c r="D314" s="86"/>
      <c r="E314" s="86"/>
      <c r="F314" s="86"/>
      <c r="G314" s="86"/>
      <c r="H314" s="87"/>
      <c r="M314" s="494"/>
    </row>
    <row r="315" spans="3:13">
      <c r="C315" s="54"/>
      <c r="D315" s="86"/>
      <c r="E315" s="86"/>
      <c r="F315" s="86"/>
      <c r="G315" s="86"/>
      <c r="H315" s="87"/>
      <c r="M315" s="494"/>
    </row>
    <row r="316" spans="3:13" ht="14.4" thickBot="1">
      <c r="C316" s="44" t="s">
        <v>3041</v>
      </c>
      <c r="D316" s="149" t="s">
        <v>3042</v>
      </c>
      <c r="E316" s="149"/>
      <c r="F316" s="149"/>
      <c r="G316" s="149"/>
      <c r="H316" s="149"/>
      <c r="I316" s="50">
        <f>ROUNDDOWN(H331,-2)</f>
        <v>46900</v>
      </c>
      <c r="J316" s="50"/>
      <c r="K316" s="50"/>
      <c r="M316" s="494"/>
    </row>
    <row r="317" spans="3:13" ht="28.2" thickTop="1">
      <c r="C317" s="51" t="s">
        <v>1195</v>
      </c>
      <c r="D317" s="52" t="s">
        <v>1196</v>
      </c>
      <c r="E317" s="52" t="s">
        <v>1197</v>
      </c>
      <c r="F317" s="52" t="s">
        <v>1198</v>
      </c>
      <c r="G317" s="52" t="s">
        <v>1199</v>
      </c>
      <c r="H317" s="53" t="s">
        <v>1200</v>
      </c>
      <c r="M317" s="494"/>
    </row>
    <row r="318" spans="3:13" ht="19.8" customHeight="1">
      <c r="C318" s="55" t="s">
        <v>1201</v>
      </c>
      <c r="D318" s="56" t="s">
        <v>1202</v>
      </c>
      <c r="E318" s="57"/>
      <c r="F318" s="57"/>
      <c r="G318" s="57"/>
      <c r="H318" s="58"/>
      <c r="M318" s="494"/>
    </row>
    <row r="319" spans="3:13" ht="19.8" customHeight="1">
      <c r="C319" s="60">
        <v>1</v>
      </c>
      <c r="D319" s="56" t="s">
        <v>5</v>
      </c>
      <c r="E319" s="61" t="s">
        <v>6</v>
      </c>
      <c r="F319" s="101">
        <v>0.16669999999999999</v>
      </c>
      <c r="G319" s="63">
        <f>VLOOKUP(D319,upahbahan,3,FALSE)</f>
        <v>100000</v>
      </c>
      <c r="H319" s="64">
        <f>F319*G319</f>
        <v>16670</v>
      </c>
      <c r="M319" s="494"/>
    </row>
    <row r="320" spans="3:13" ht="19.8" customHeight="1">
      <c r="C320" s="60">
        <v>2</v>
      </c>
      <c r="D320" s="56" t="s">
        <v>9</v>
      </c>
      <c r="E320" s="61" t="s">
        <v>6</v>
      </c>
      <c r="F320" s="101">
        <v>0.16669999999999999</v>
      </c>
      <c r="G320" s="63">
        <f>VLOOKUP(D320,upahbahan,3,FALSE)</f>
        <v>135000</v>
      </c>
      <c r="H320" s="64">
        <f t="shared" ref="H320:H322" si="26">F320*G320</f>
        <v>22504.5</v>
      </c>
      <c r="M320" s="494"/>
    </row>
    <row r="321" spans="3:13" ht="19.8" customHeight="1">
      <c r="C321" s="60">
        <v>3</v>
      </c>
      <c r="D321" s="56" t="s">
        <v>18</v>
      </c>
      <c r="E321" s="61" t="s">
        <v>6</v>
      </c>
      <c r="F321" s="101">
        <v>1.7000000000000001E-2</v>
      </c>
      <c r="G321" s="63">
        <f>VLOOKUP(D321,upahbahan,3,FALSE)</f>
        <v>150000</v>
      </c>
      <c r="H321" s="64">
        <f t="shared" si="26"/>
        <v>2550</v>
      </c>
      <c r="M321" s="494"/>
    </row>
    <row r="322" spans="3:13" ht="19.8" customHeight="1">
      <c r="C322" s="60">
        <v>4</v>
      </c>
      <c r="D322" s="56" t="s">
        <v>19</v>
      </c>
      <c r="E322" s="61" t="s">
        <v>6</v>
      </c>
      <c r="F322" s="101">
        <v>6.0000000000000001E-3</v>
      </c>
      <c r="G322" s="63">
        <f>VLOOKUP(D322,upahbahan,3,FALSE)</f>
        <v>160000</v>
      </c>
      <c r="H322" s="64">
        <f t="shared" si="26"/>
        <v>960</v>
      </c>
      <c r="M322" s="494"/>
    </row>
    <row r="323" spans="3:13" ht="19.8" customHeight="1">
      <c r="C323" s="66" t="s">
        <v>1208</v>
      </c>
      <c r="D323" s="67"/>
      <c r="E323" s="67"/>
      <c r="F323" s="142"/>
      <c r="G323" s="153"/>
      <c r="H323" s="64">
        <f>SUM(H319:H322)</f>
        <v>42684.5</v>
      </c>
      <c r="I323" s="154"/>
      <c r="J323" s="154"/>
      <c r="K323" s="154"/>
      <c r="M323" s="494"/>
    </row>
    <row r="324" spans="3:13" ht="19.8" customHeight="1">
      <c r="C324" s="55" t="s">
        <v>1209</v>
      </c>
      <c r="D324" s="56" t="s">
        <v>1210</v>
      </c>
      <c r="E324" s="57"/>
      <c r="F324" s="57"/>
      <c r="G324" s="57"/>
      <c r="H324" s="58"/>
      <c r="M324" s="494"/>
    </row>
    <row r="325" spans="3:13" ht="19.8" customHeight="1">
      <c r="C325" s="92" t="s">
        <v>1203</v>
      </c>
      <c r="D325" s="72" t="s">
        <v>3043</v>
      </c>
      <c r="E325" s="265" t="s">
        <v>2167</v>
      </c>
      <c r="F325" s="104">
        <v>1</v>
      </c>
      <c r="G325" s="63">
        <f>VLOOKUP(D325,upahbahan,3,FALSE)</f>
        <v>0</v>
      </c>
      <c r="H325" s="64">
        <f>F325*G325</f>
        <v>0</v>
      </c>
      <c r="M325" s="494"/>
    </row>
    <row r="326" spans="3:13" ht="19.8" customHeight="1">
      <c r="C326" s="66" t="s">
        <v>1214</v>
      </c>
      <c r="D326" s="67"/>
      <c r="E326" s="67"/>
      <c r="F326" s="67"/>
      <c r="G326" s="69"/>
      <c r="H326" s="64">
        <f>SUM(H325:H325)</f>
        <v>0</v>
      </c>
      <c r="M326" s="494"/>
    </row>
    <row r="327" spans="3:13" ht="19.8" customHeight="1">
      <c r="C327" s="167" t="s">
        <v>1215</v>
      </c>
      <c r="D327" s="56" t="s">
        <v>1216</v>
      </c>
      <c r="E327" s="57"/>
      <c r="F327" s="57"/>
      <c r="G327" s="57"/>
      <c r="H327" s="58"/>
      <c r="M327" s="494"/>
    </row>
    <row r="328" spans="3:13" ht="19.8" customHeight="1">
      <c r="C328" s="66" t="s">
        <v>1217</v>
      </c>
      <c r="D328" s="67"/>
      <c r="E328" s="67"/>
      <c r="F328" s="67"/>
      <c r="G328" s="69"/>
      <c r="H328" s="74">
        <v>0</v>
      </c>
      <c r="M328" s="494"/>
    </row>
    <row r="329" spans="3:13" ht="19.8" customHeight="1">
      <c r="C329" s="75" t="s">
        <v>1218</v>
      </c>
      <c r="D329" s="76" t="s">
        <v>1219</v>
      </c>
      <c r="E329" s="77"/>
      <c r="F329" s="77"/>
      <c r="G329" s="78"/>
      <c r="H329" s="64">
        <f>H328+H326+H323</f>
        <v>42684.5</v>
      </c>
      <c r="M329" s="494"/>
    </row>
    <row r="330" spans="3:13" ht="19.8" customHeight="1">
      <c r="C330" s="75" t="s">
        <v>1220</v>
      </c>
      <c r="D330" s="76" t="s">
        <v>1321</v>
      </c>
      <c r="E330" s="77"/>
      <c r="F330" s="78"/>
      <c r="G330" s="80">
        <f>$O$8</f>
        <v>0.1</v>
      </c>
      <c r="H330" s="64">
        <f>H329*G330</f>
        <v>4268.45</v>
      </c>
      <c r="M330" s="494"/>
    </row>
    <row r="331" spans="3:13" ht="19.8" customHeight="1" thickBot="1">
      <c r="C331" s="81" t="s">
        <v>1221</v>
      </c>
      <c r="D331" s="82" t="s">
        <v>1222</v>
      </c>
      <c r="E331" s="83"/>
      <c r="F331" s="83"/>
      <c r="G331" s="84"/>
      <c r="H331" s="85">
        <f>SUM(H329:H330)</f>
        <v>46952.95</v>
      </c>
      <c r="M331" s="494"/>
    </row>
    <row r="332" spans="3:13" ht="14.4" thickTop="1">
      <c r="C332" s="54"/>
      <c r="D332" s="86"/>
      <c r="E332" s="86"/>
      <c r="F332" s="86"/>
      <c r="G332" s="86"/>
      <c r="H332" s="87"/>
      <c r="M332" s="494"/>
    </row>
    <row r="333" spans="3:13" ht="14.4" thickBot="1">
      <c r="C333" s="44" t="s">
        <v>3044</v>
      </c>
      <c r="D333" s="149" t="s">
        <v>3045</v>
      </c>
      <c r="E333" s="149"/>
      <c r="F333" s="149"/>
      <c r="G333" s="149"/>
      <c r="H333" s="149"/>
      <c r="I333" s="50">
        <f>ROUNDDOWN(H348,-2)</f>
        <v>46900</v>
      </c>
      <c r="J333" s="50"/>
      <c r="K333" s="50"/>
      <c r="M333" s="494"/>
    </row>
    <row r="334" spans="3:13" ht="28.2" thickTop="1">
      <c r="C334" s="51" t="s">
        <v>1195</v>
      </c>
      <c r="D334" s="52" t="s">
        <v>1196</v>
      </c>
      <c r="E334" s="52" t="s">
        <v>1197</v>
      </c>
      <c r="F334" s="52" t="s">
        <v>1198</v>
      </c>
      <c r="G334" s="52" t="s">
        <v>1199</v>
      </c>
      <c r="H334" s="53" t="s">
        <v>1200</v>
      </c>
      <c r="M334" s="494"/>
    </row>
    <row r="335" spans="3:13" ht="18.600000000000001" customHeight="1">
      <c r="C335" s="55" t="s">
        <v>1201</v>
      </c>
      <c r="D335" s="56" t="s">
        <v>1202</v>
      </c>
      <c r="E335" s="57"/>
      <c r="F335" s="57"/>
      <c r="G335" s="57"/>
      <c r="H335" s="58"/>
      <c r="M335" s="494"/>
    </row>
    <row r="336" spans="3:13" ht="18.600000000000001" customHeight="1">
      <c r="C336" s="60">
        <v>1</v>
      </c>
      <c r="D336" s="56" t="s">
        <v>5</v>
      </c>
      <c r="E336" s="61" t="s">
        <v>6</v>
      </c>
      <c r="F336" s="101">
        <v>0.16669999999999999</v>
      </c>
      <c r="G336" s="63">
        <f>VLOOKUP(D336,upahbahan,3,FALSE)</f>
        <v>100000</v>
      </c>
      <c r="H336" s="64">
        <f>F336*G336</f>
        <v>16670</v>
      </c>
      <c r="M336" s="494"/>
    </row>
    <row r="337" spans="3:13" ht="18.600000000000001" customHeight="1">
      <c r="C337" s="60">
        <v>2</v>
      </c>
      <c r="D337" s="56" t="s">
        <v>9</v>
      </c>
      <c r="E337" s="61" t="s">
        <v>6</v>
      </c>
      <c r="F337" s="101">
        <v>0.16669999999999999</v>
      </c>
      <c r="G337" s="63">
        <f>VLOOKUP(D337,upahbahan,3,FALSE)</f>
        <v>135000</v>
      </c>
      <c r="H337" s="64">
        <f t="shared" ref="H337:H339" si="27">F337*G337</f>
        <v>22504.5</v>
      </c>
      <c r="M337" s="494"/>
    </row>
    <row r="338" spans="3:13" ht="18.600000000000001" customHeight="1">
      <c r="C338" s="60">
        <v>3</v>
      </c>
      <c r="D338" s="56" t="s">
        <v>18</v>
      </c>
      <c r="E338" s="61" t="s">
        <v>6</v>
      </c>
      <c r="F338" s="101">
        <v>1.7000000000000001E-2</v>
      </c>
      <c r="G338" s="63">
        <f>VLOOKUP(D338,upahbahan,3,FALSE)</f>
        <v>150000</v>
      </c>
      <c r="H338" s="64">
        <f t="shared" si="27"/>
        <v>2550</v>
      </c>
      <c r="M338" s="494"/>
    </row>
    <row r="339" spans="3:13" ht="18.600000000000001" customHeight="1">
      <c r="C339" s="60">
        <v>4</v>
      </c>
      <c r="D339" s="56" t="s">
        <v>19</v>
      </c>
      <c r="E339" s="61" t="s">
        <v>6</v>
      </c>
      <c r="F339" s="101">
        <v>6.0000000000000001E-3</v>
      </c>
      <c r="G339" s="63">
        <f>VLOOKUP(D339,upahbahan,3,FALSE)</f>
        <v>160000</v>
      </c>
      <c r="H339" s="64">
        <f t="shared" si="27"/>
        <v>960</v>
      </c>
      <c r="M339" s="494"/>
    </row>
    <row r="340" spans="3:13" ht="18.600000000000001" customHeight="1">
      <c r="C340" s="66" t="s">
        <v>1208</v>
      </c>
      <c r="D340" s="67"/>
      <c r="E340" s="67"/>
      <c r="F340" s="142"/>
      <c r="G340" s="153"/>
      <c r="H340" s="64">
        <f>SUM(H336:H339)</f>
        <v>42684.5</v>
      </c>
      <c r="I340" s="154"/>
      <c r="J340" s="154"/>
      <c r="K340" s="154"/>
      <c r="M340" s="494"/>
    </row>
    <row r="341" spans="3:13" ht="18.600000000000001" customHeight="1">
      <c r="C341" s="55" t="s">
        <v>1209</v>
      </c>
      <c r="D341" s="56" t="s">
        <v>1210</v>
      </c>
      <c r="E341" s="57"/>
      <c r="F341" s="57"/>
      <c r="G341" s="57"/>
      <c r="H341" s="58"/>
      <c r="M341" s="494"/>
    </row>
    <row r="342" spans="3:13" ht="18.600000000000001" customHeight="1">
      <c r="C342" s="92" t="s">
        <v>1203</v>
      </c>
      <c r="D342" s="72" t="s">
        <v>3046</v>
      </c>
      <c r="E342" s="265" t="s">
        <v>2167</v>
      </c>
      <c r="F342" s="104">
        <v>1</v>
      </c>
      <c r="G342" s="63">
        <f>VLOOKUP(D342,upahbahan,3,FALSE)</f>
        <v>0</v>
      </c>
      <c r="H342" s="64">
        <f>F342*G342</f>
        <v>0</v>
      </c>
      <c r="M342" s="494"/>
    </row>
    <row r="343" spans="3:13" ht="18.600000000000001" customHeight="1">
      <c r="C343" s="66" t="s">
        <v>1214</v>
      </c>
      <c r="D343" s="67"/>
      <c r="E343" s="67"/>
      <c r="F343" s="67"/>
      <c r="G343" s="69"/>
      <c r="H343" s="64">
        <f>SUM(H342:H342)</f>
        <v>0</v>
      </c>
      <c r="M343" s="494"/>
    </row>
    <row r="344" spans="3:13" ht="18.600000000000001" customHeight="1">
      <c r="C344" s="167" t="s">
        <v>1215</v>
      </c>
      <c r="D344" s="56" t="s">
        <v>1216</v>
      </c>
      <c r="E344" s="57"/>
      <c r="F344" s="57"/>
      <c r="G344" s="57"/>
      <c r="H344" s="58"/>
      <c r="M344" s="494"/>
    </row>
    <row r="345" spans="3:13" ht="18.600000000000001" customHeight="1">
      <c r="C345" s="66" t="s">
        <v>1217</v>
      </c>
      <c r="D345" s="67"/>
      <c r="E345" s="67"/>
      <c r="F345" s="67"/>
      <c r="G345" s="69"/>
      <c r="H345" s="74">
        <v>0</v>
      </c>
      <c r="M345" s="494"/>
    </row>
    <row r="346" spans="3:13" ht="18.600000000000001" customHeight="1">
      <c r="C346" s="75" t="s">
        <v>1218</v>
      </c>
      <c r="D346" s="76" t="s">
        <v>1219</v>
      </c>
      <c r="E346" s="77"/>
      <c r="F346" s="77"/>
      <c r="G346" s="78"/>
      <c r="H346" s="64">
        <f>H345+H343+H340</f>
        <v>42684.5</v>
      </c>
      <c r="M346" s="494"/>
    </row>
    <row r="347" spans="3:13" ht="18.600000000000001" customHeight="1">
      <c r="C347" s="75" t="s">
        <v>1220</v>
      </c>
      <c r="D347" s="76" t="s">
        <v>1321</v>
      </c>
      <c r="E347" s="77"/>
      <c r="F347" s="78"/>
      <c r="G347" s="80">
        <f>$O$8</f>
        <v>0.1</v>
      </c>
      <c r="H347" s="64">
        <f>H346*G347</f>
        <v>4268.45</v>
      </c>
      <c r="M347" s="494"/>
    </row>
    <row r="348" spans="3:13" ht="18.600000000000001" customHeight="1" thickBot="1">
      <c r="C348" s="81" t="s">
        <v>1221</v>
      </c>
      <c r="D348" s="82" t="s">
        <v>1222</v>
      </c>
      <c r="E348" s="83"/>
      <c r="F348" s="83"/>
      <c r="G348" s="84"/>
      <c r="H348" s="85">
        <f>SUM(H346:H347)</f>
        <v>46952.95</v>
      </c>
      <c r="M348" s="494"/>
    </row>
    <row r="349" spans="3:13" ht="14.4" thickTop="1">
      <c r="C349" s="54"/>
      <c r="D349" s="86"/>
      <c r="E349" s="86"/>
      <c r="F349" s="86"/>
      <c r="G349" s="86"/>
      <c r="H349" s="87"/>
      <c r="M349" s="494"/>
    </row>
    <row r="350" spans="3:13">
      <c r="C350" s="43" t="s">
        <v>3047</v>
      </c>
      <c r="D350" s="128" t="s">
        <v>3048</v>
      </c>
      <c r="E350" s="86"/>
      <c r="F350" s="86"/>
      <c r="G350" s="86"/>
      <c r="H350" s="87"/>
      <c r="M350" s="494"/>
    </row>
    <row r="351" spans="3:13" ht="14.4" thickBot="1">
      <c r="C351" s="43" t="s">
        <v>3049</v>
      </c>
      <c r="D351" s="128" t="s">
        <v>6550</v>
      </c>
      <c r="E351" s="86"/>
      <c r="F351" s="86"/>
      <c r="G351" s="86"/>
      <c r="H351" s="87"/>
      <c r="I351" s="50">
        <f>ROUNDDOWN(H367,-2)</f>
        <v>366600</v>
      </c>
      <c r="J351" s="50" t="s">
        <v>6451</v>
      </c>
      <c r="K351" s="50" t="s">
        <v>6551</v>
      </c>
      <c r="M351" s="494"/>
    </row>
    <row r="352" spans="3:13" ht="28.2" thickTop="1">
      <c r="C352" s="51" t="s">
        <v>1195</v>
      </c>
      <c r="D352" s="52" t="s">
        <v>1196</v>
      </c>
      <c r="E352" s="52" t="s">
        <v>1197</v>
      </c>
      <c r="F352" s="52" t="s">
        <v>1198</v>
      </c>
      <c r="G352" s="52" t="s">
        <v>1199</v>
      </c>
      <c r="H352" s="53" t="s">
        <v>1200</v>
      </c>
      <c r="M352" s="494"/>
    </row>
    <row r="353" spans="3:13" ht="19.8" customHeight="1">
      <c r="C353" s="55" t="s">
        <v>1201</v>
      </c>
      <c r="D353" s="56" t="s">
        <v>1202</v>
      </c>
      <c r="E353" s="57"/>
      <c r="F353" s="57"/>
      <c r="G353" s="57"/>
      <c r="H353" s="58"/>
      <c r="M353" s="494"/>
    </row>
    <row r="354" spans="3:13" ht="19.8" customHeight="1">
      <c r="C354" s="60">
        <v>1</v>
      </c>
      <c r="D354" s="56" t="s">
        <v>5</v>
      </c>
      <c r="E354" s="61" t="s">
        <v>6</v>
      </c>
      <c r="F354" s="62">
        <v>0.2</v>
      </c>
      <c r="G354" s="63">
        <f>VLOOKUP(D354,upahbahan,3,FALSE)</f>
        <v>100000</v>
      </c>
      <c r="H354" s="64">
        <f>F354*G354</f>
        <v>20000</v>
      </c>
      <c r="M354" s="494"/>
    </row>
    <row r="355" spans="3:13" ht="19.8" customHeight="1">
      <c r="C355" s="60">
        <v>2</v>
      </c>
      <c r="D355" s="56" t="s">
        <v>9</v>
      </c>
      <c r="E355" s="61" t="s">
        <v>6</v>
      </c>
      <c r="F355" s="62">
        <v>0.2</v>
      </c>
      <c r="G355" s="63">
        <f>VLOOKUP(D355,upahbahan,3,FALSE)</f>
        <v>135000</v>
      </c>
      <c r="H355" s="64">
        <f t="shared" ref="H355:H357" si="28">F355*G355</f>
        <v>27000</v>
      </c>
      <c r="M355" s="494"/>
    </row>
    <row r="356" spans="3:13" ht="19.8" customHeight="1">
      <c r="C356" s="60">
        <v>3</v>
      </c>
      <c r="D356" s="56" t="s">
        <v>18</v>
      </c>
      <c r="E356" s="61" t="s">
        <v>6</v>
      </c>
      <c r="F356" s="62">
        <v>0.02</v>
      </c>
      <c r="G356" s="63">
        <f>VLOOKUP(D356,upahbahan,3,FALSE)</f>
        <v>150000</v>
      </c>
      <c r="H356" s="64">
        <f t="shared" si="28"/>
        <v>3000</v>
      </c>
      <c r="M356" s="494"/>
    </row>
    <row r="357" spans="3:13" ht="19.8" customHeight="1">
      <c r="C357" s="60">
        <v>4</v>
      </c>
      <c r="D357" s="56" t="s">
        <v>19</v>
      </c>
      <c r="E357" s="61" t="s">
        <v>6</v>
      </c>
      <c r="F357" s="62">
        <v>7.0000000000000001E-3</v>
      </c>
      <c r="G357" s="63">
        <f>VLOOKUP(D357,upahbahan,3,FALSE)</f>
        <v>160000</v>
      </c>
      <c r="H357" s="64">
        <f t="shared" si="28"/>
        <v>1120</v>
      </c>
      <c r="M357" s="494"/>
    </row>
    <row r="358" spans="3:13" ht="19.8" customHeight="1">
      <c r="C358" s="66" t="s">
        <v>1208</v>
      </c>
      <c r="D358" s="67"/>
      <c r="E358" s="67"/>
      <c r="F358" s="142"/>
      <c r="G358" s="153"/>
      <c r="H358" s="64">
        <f>SUM(H354:H357)</f>
        <v>51120</v>
      </c>
      <c r="I358" s="154"/>
      <c r="J358" s="154"/>
      <c r="K358" s="154"/>
      <c r="M358" s="494"/>
    </row>
    <row r="359" spans="3:13" ht="19.8" customHeight="1">
      <c r="C359" s="55" t="s">
        <v>1209</v>
      </c>
      <c r="D359" s="56" t="s">
        <v>1210</v>
      </c>
      <c r="E359" s="57"/>
      <c r="F359" s="57"/>
      <c r="G359" s="57"/>
      <c r="H359" s="58"/>
      <c r="M359" s="494"/>
    </row>
    <row r="360" spans="3:13" ht="19.8" customHeight="1">
      <c r="C360" s="92" t="s">
        <v>1203</v>
      </c>
      <c r="D360" s="72" t="s">
        <v>6552</v>
      </c>
      <c r="E360" s="265" t="s">
        <v>62</v>
      </c>
      <c r="F360" s="104">
        <v>1.1000000000000001</v>
      </c>
      <c r="G360" s="63">
        <f>VLOOKUP(D360,upahbahan,3,FALSE)</f>
        <v>242000</v>
      </c>
      <c r="H360" s="64">
        <f>F360*G360</f>
        <v>266200</v>
      </c>
      <c r="M360" s="494"/>
    </row>
    <row r="361" spans="3:13" ht="19.8" customHeight="1">
      <c r="C361" s="92" t="s">
        <v>1204</v>
      </c>
      <c r="D361" s="72" t="s">
        <v>6553</v>
      </c>
      <c r="E361" s="265" t="s">
        <v>44</v>
      </c>
      <c r="F361" s="104">
        <v>10</v>
      </c>
      <c r="G361" s="63">
        <f>VLOOKUP(D361,upahbahan,3,FALSE)</f>
        <v>1600</v>
      </c>
      <c r="H361" s="64">
        <f t="shared" ref="H361" si="29">F361*G361</f>
        <v>16000</v>
      </c>
      <c r="M361" s="494"/>
    </row>
    <row r="362" spans="3:13" ht="19.8" customHeight="1">
      <c r="C362" s="66" t="s">
        <v>1214</v>
      </c>
      <c r="D362" s="67"/>
      <c r="E362" s="67"/>
      <c r="F362" s="67"/>
      <c r="G362" s="69"/>
      <c r="H362" s="64">
        <f>SUM(H360:H361)</f>
        <v>282200</v>
      </c>
      <c r="M362" s="494"/>
    </row>
    <row r="363" spans="3:13" ht="19.8" customHeight="1">
      <c r="C363" s="167" t="s">
        <v>1215</v>
      </c>
      <c r="D363" s="56" t="s">
        <v>1216</v>
      </c>
      <c r="E363" s="57"/>
      <c r="F363" s="57"/>
      <c r="G363" s="57"/>
      <c r="H363" s="58"/>
      <c r="M363" s="494"/>
    </row>
    <row r="364" spans="3:13" ht="19.8" customHeight="1">
      <c r="C364" s="66" t="s">
        <v>1217</v>
      </c>
      <c r="D364" s="67"/>
      <c r="E364" s="67"/>
      <c r="F364" s="67"/>
      <c r="G364" s="69"/>
      <c r="H364" s="74">
        <v>0</v>
      </c>
      <c r="M364" s="494"/>
    </row>
    <row r="365" spans="3:13" ht="19.8" customHeight="1">
      <c r="C365" s="75" t="s">
        <v>1218</v>
      </c>
      <c r="D365" s="76" t="s">
        <v>1219</v>
      </c>
      <c r="E365" s="77"/>
      <c r="F365" s="77"/>
      <c r="G365" s="78"/>
      <c r="H365" s="64">
        <f>H364+H362+H358</f>
        <v>333320</v>
      </c>
      <c r="M365" s="494"/>
    </row>
    <row r="366" spans="3:13" ht="19.8" customHeight="1">
      <c r="C366" s="75" t="s">
        <v>1220</v>
      </c>
      <c r="D366" s="76" t="s">
        <v>1321</v>
      </c>
      <c r="E366" s="77"/>
      <c r="F366" s="78"/>
      <c r="G366" s="80">
        <f>$O$8</f>
        <v>0.1</v>
      </c>
      <c r="H366" s="64">
        <f>H365*G366</f>
        <v>33332</v>
      </c>
      <c r="M366" s="494"/>
    </row>
    <row r="367" spans="3:13" ht="19.8" customHeight="1" thickBot="1">
      <c r="C367" s="81" t="s">
        <v>1221</v>
      </c>
      <c r="D367" s="82" t="s">
        <v>1222</v>
      </c>
      <c r="E367" s="83"/>
      <c r="F367" s="83"/>
      <c r="G367" s="84"/>
      <c r="H367" s="85">
        <f>SUM(H365:H366)</f>
        <v>366652</v>
      </c>
      <c r="M367" s="494"/>
    </row>
    <row r="368" spans="3:13" ht="14.4" thickTop="1">
      <c r="C368" s="54"/>
      <c r="D368" s="86"/>
      <c r="E368" s="86"/>
      <c r="F368" s="86"/>
      <c r="G368" s="86"/>
      <c r="H368" s="87"/>
      <c r="M368" s="494"/>
    </row>
    <row r="369" spans="3:13" ht="14.4" thickBot="1">
      <c r="C369" s="47" t="s">
        <v>3050</v>
      </c>
      <c r="D369" s="149" t="s">
        <v>6554</v>
      </c>
      <c r="E369" s="149"/>
      <c r="F369" s="149"/>
      <c r="G369" s="149"/>
      <c r="H369" s="149"/>
      <c r="I369" s="50">
        <f>ROUNDDOWN(H386,-2)</f>
        <v>366600</v>
      </c>
      <c r="J369" s="50" t="s">
        <v>6451</v>
      </c>
      <c r="K369" s="50" t="s">
        <v>6551</v>
      </c>
      <c r="M369" s="494"/>
    </row>
    <row r="370" spans="3:13" ht="28.2" thickTop="1">
      <c r="C370" s="51" t="s">
        <v>1195</v>
      </c>
      <c r="D370" s="52" t="s">
        <v>1196</v>
      </c>
      <c r="E370" s="52" t="s">
        <v>1197</v>
      </c>
      <c r="F370" s="52" t="s">
        <v>1198</v>
      </c>
      <c r="G370" s="52" t="s">
        <v>1199</v>
      </c>
      <c r="H370" s="53" t="s">
        <v>1200</v>
      </c>
      <c r="M370" s="494"/>
    </row>
    <row r="371" spans="3:13" ht="19.8" customHeight="1">
      <c r="C371" s="55" t="s">
        <v>1201</v>
      </c>
      <c r="D371" s="56" t="s">
        <v>1202</v>
      </c>
      <c r="E371" s="57"/>
      <c r="F371" s="57"/>
      <c r="G371" s="57"/>
      <c r="H371" s="58"/>
      <c r="M371" s="494"/>
    </row>
    <row r="372" spans="3:13" ht="19.8" customHeight="1">
      <c r="C372" s="60">
        <v>1</v>
      </c>
      <c r="D372" s="56" t="s">
        <v>5</v>
      </c>
      <c r="E372" s="61" t="s">
        <v>6</v>
      </c>
      <c r="F372" s="62">
        <v>0.2</v>
      </c>
      <c r="G372" s="63">
        <f>VLOOKUP(D372,upahbahan,3,FALSE)</f>
        <v>100000</v>
      </c>
      <c r="H372" s="64">
        <f>F372*G372</f>
        <v>20000</v>
      </c>
      <c r="M372" s="494"/>
    </row>
    <row r="373" spans="3:13" ht="19.8" customHeight="1">
      <c r="C373" s="60">
        <v>2</v>
      </c>
      <c r="D373" s="56" t="s">
        <v>9</v>
      </c>
      <c r="E373" s="61" t="s">
        <v>6</v>
      </c>
      <c r="F373" s="62">
        <v>0.2</v>
      </c>
      <c r="G373" s="63">
        <f>VLOOKUP(D373,upahbahan,3,FALSE)</f>
        <v>135000</v>
      </c>
      <c r="H373" s="64">
        <f>F373*G373</f>
        <v>27000</v>
      </c>
      <c r="M373" s="494"/>
    </row>
    <row r="374" spans="3:13" ht="19.8" customHeight="1">
      <c r="C374" s="60">
        <v>3</v>
      </c>
      <c r="D374" s="56" t="s">
        <v>18</v>
      </c>
      <c r="E374" s="61" t="s">
        <v>6</v>
      </c>
      <c r="F374" s="62">
        <v>0.02</v>
      </c>
      <c r="G374" s="63">
        <f>VLOOKUP(D374,upahbahan,3,FALSE)</f>
        <v>150000</v>
      </c>
      <c r="H374" s="64">
        <f>F374*G374</f>
        <v>3000</v>
      </c>
      <c r="M374" s="494"/>
    </row>
    <row r="375" spans="3:13" ht="19.8" customHeight="1">
      <c r="C375" s="60">
        <v>4</v>
      </c>
      <c r="D375" s="56" t="s">
        <v>19</v>
      </c>
      <c r="E375" s="61" t="s">
        <v>6</v>
      </c>
      <c r="F375" s="62">
        <v>7.0000000000000001E-3</v>
      </c>
      <c r="G375" s="63">
        <f>VLOOKUP(D375,upahbahan,3,FALSE)</f>
        <v>160000</v>
      </c>
      <c r="H375" s="64">
        <f>F375*G375</f>
        <v>1120</v>
      </c>
      <c r="M375" s="494"/>
    </row>
    <row r="376" spans="3:13" ht="19.8" customHeight="1">
      <c r="C376" s="66" t="s">
        <v>1208</v>
      </c>
      <c r="D376" s="67"/>
      <c r="E376" s="67"/>
      <c r="F376" s="142"/>
      <c r="G376" s="153"/>
      <c r="H376" s="64">
        <f>SUM(H372:H375)</f>
        <v>51120</v>
      </c>
      <c r="I376" s="154"/>
      <c r="J376" s="154"/>
      <c r="K376" s="154"/>
      <c r="M376" s="494"/>
    </row>
    <row r="377" spans="3:13" ht="19.8" customHeight="1">
      <c r="C377" s="55" t="s">
        <v>1209</v>
      </c>
      <c r="D377" s="56" t="s">
        <v>1210</v>
      </c>
      <c r="E377" s="57"/>
      <c r="F377" s="57"/>
      <c r="G377" s="57"/>
      <c r="H377" s="58"/>
      <c r="M377" s="494"/>
    </row>
    <row r="378" spans="3:13" ht="19.8" customHeight="1">
      <c r="C378" s="92" t="s">
        <v>1203</v>
      </c>
      <c r="D378" s="72" t="s">
        <v>6552</v>
      </c>
      <c r="E378" s="265" t="s">
        <v>62</v>
      </c>
      <c r="F378" s="104">
        <v>1.1000000000000001</v>
      </c>
      <c r="G378" s="63">
        <f>VLOOKUP(D378,upahbahan,3,FALSE)</f>
        <v>242000</v>
      </c>
      <c r="H378" s="64">
        <f t="shared" ref="H378:H380" si="30">F378*G378</f>
        <v>266200</v>
      </c>
      <c r="M378" s="494"/>
    </row>
    <row r="379" spans="3:13" ht="19.8" customHeight="1">
      <c r="C379" s="92" t="s">
        <v>1204</v>
      </c>
      <c r="D379" s="72" t="s">
        <v>6553</v>
      </c>
      <c r="E379" s="265" t="s">
        <v>44</v>
      </c>
      <c r="F379" s="104">
        <v>10</v>
      </c>
      <c r="G379" s="63">
        <f>VLOOKUP(D379,upahbahan,3,FALSE)</f>
        <v>1600</v>
      </c>
      <c r="H379" s="64">
        <f t="shared" si="30"/>
        <v>16000</v>
      </c>
      <c r="M379" s="494"/>
    </row>
    <row r="380" spans="3:13" ht="19.8" customHeight="1">
      <c r="C380" s="92" t="s">
        <v>1205</v>
      </c>
      <c r="D380" s="72" t="s">
        <v>229</v>
      </c>
      <c r="E380" s="265" t="s">
        <v>113</v>
      </c>
      <c r="F380" s="104">
        <v>7</v>
      </c>
      <c r="G380" s="63">
        <f>VLOOKUP(D380,upahbahan,3,FALSE)</f>
        <v>0</v>
      </c>
      <c r="H380" s="64">
        <f t="shared" si="30"/>
        <v>0</v>
      </c>
      <c r="M380" s="494"/>
    </row>
    <row r="381" spans="3:13" ht="19.8" customHeight="1">
      <c r="C381" s="66" t="s">
        <v>1214</v>
      </c>
      <c r="D381" s="67"/>
      <c r="E381" s="67"/>
      <c r="F381" s="67"/>
      <c r="G381" s="69"/>
      <c r="H381" s="64">
        <f>SUM(H378:H380)</f>
        <v>282200</v>
      </c>
      <c r="M381" s="494"/>
    </row>
    <row r="382" spans="3:13" ht="19.8" customHeight="1">
      <c r="C382" s="167" t="s">
        <v>1215</v>
      </c>
      <c r="D382" s="56" t="s">
        <v>1216</v>
      </c>
      <c r="E382" s="57"/>
      <c r="F382" s="57"/>
      <c r="G382" s="57"/>
      <c r="H382" s="58"/>
      <c r="M382" s="494"/>
    </row>
    <row r="383" spans="3:13" ht="19.8" customHeight="1">
      <c r="C383" s="66" t="s">
        <v>1217</v>
      </c>
      <c r="D383" s="67"/>
      <c r="E383" s="67"/>
      <c r="F383" s="67"/>
      <c r="G383" s="69"/>
      <c r="H383" s="74">
        <v>0</v>
      </c>
      <c r="M383" s="494"/>
    </row>
    <row r="384" spans="3:13" ht="19.8" customHeight="1">
      <c r="C384" s="75" t="s">
        <v>1218</v>
      </c>
      <c r="D384" s="76" t="s">
        <v>1219</v>
      </c>
      <c r="E384" s="77"/>
      <c r="F384" s="77"/>
      <c r="G384" s="78"/>
      <c r="H384" s="64">
        <f>H383+H381+H376</f>
        <v>333320</v>
      </c>
      <c r="M384" s="494"/>
    </row>
    <row r="385" spans="3:13" ht="19.8" customHeight="1">
      <c r="C385" s="75" t="s">
        <v>1220</v>
      </c>
      <c r="D385" s="76" t="s">
        <v>1321</v>
      </c>
      <c r="E385" s="77"/>
      <c r="F385" s="78"/>
      <c r="G385" s="80">
        <f>$O$8</f>
        <v>0.1</v>
      </c>
      <c r="H385" s="64">
        <f>H384*G385</f>
        <v>33332</v>
      </c>
      <c r="M385" s="494"/>
    </row>
    <row r="386" spans="3:13" ht="19.8" customHeight="1" thickBot="1">
      <c r="C386" s="81" t="s">
        <v>1221</v>
      </c>
      <c r="D386" s="82" t="s">
        <v>1222</v>
      </c>
      <c r="E386" s="83"/>
      <c r="F386" s="83"/>
      <c r="G386" s="84"/>
      <c r="H386" s="85">
        <f>SUM(H384:H385)</f>
        <v>366652</v>
      </c>
      <c r="M386" s="494"/>
    </row>
    <row r="387" spans="3:13" ht="14.4" thickTop="1">
      <c r="C387" s="54"/>
      <c r="D387" s="86"/>
      <c r="E387" s="86"/>
      <c r="F387" s="86"/>
      <c r="G387" s="86"/>
      <c r="H387" s="87"/>
      <c r="M387" s="494"/>
    </row>
    <row r="388" spans="3:13">
      <c r="C388" s="54"/>
      <c r="D388" s="86"/>
      <c r="E388" s="86"/>
      <c r="F388" s="86"/>
      <c r="G388" s="86"/>
      <c r="H388" s="87"/>
      <c r="M388" s="494"/>
    </row>
    <row r="389" spans="3:13" ht="14.4" thickBot="1">
      <c r="C389" s="47" t="s">
        <v>3051</v>
      </c>
      <c r="D389" s="149" t="s">
        <v>3052</v>
      </c>
      <c r="E389" s="149"/>
      <c r="F389" s="149"/>
      <c r="G389" s="149"/>
      <c r="H389" s="149"/>
      <c r="I389" s="50">
        <f>ROUNDDOWN(H404,-2)</f>
        <v>2492200</v>
      </c>
      <c r="J389" s="50"/>
      <c r="K389" s="50"/>
      <c r="M389" s="494"/>
    </row>
    <row r="390" spans="3:13" ht="28.2" thickTop="1">
      <c r="C390" s="51" t="s">
        <v>1195</v>
      </c>
      <c r="D390" s="52" t="s">
        <v>1196</v>
      </c>
      <c r="E390" s="52" t="s">
        <v>1197</v>
      </c>
      <c r="F390" s="52" t="s">
        <v>1198</v>
      </c>
      <c r="G390" s="52" t="s">
        <v>1199</v>
      </c>
      <c r="H390" s="53" t="s">
        <v>1200</v>
      </c>
      <c r="M390" s="494"/>
    </row>
    <row r="391" spans="3:13" ht="19.8" customHeight="1">
      <c r="C391" s="55" t="s">
        <v>1201</v>
      </c>
      <c r="D391" s="56" t="s">
        <v>1202</v>
      </c>
      <c r="E391" s="57"/>
      <c r="F391" s="57"/>
      <c r="G391" s="57"/>
      <c r="H391" s="58"/>
      <c r="M391" s="494"/>
    </row>
    <row r="392" spans="3:13" ht="19.8" customHeight="1">
      <c r="C392" s="60">
        <v>1</v>
      </c>
      <c r="D392" s="56" t="s">
        <v>5</v>
      </c>
      <c r="E392" s="61" t="s">
        <v>6</v>
      </c>
      <c r="F392" s="62">
        <v>0.16700000000000001</v>
      </c>
      <c r="G392" s="63">
        <f>VLOOKUP(D392,upahbahan,3,FALSE)</f>
        <v>100000</v>
      </c>
      <c r="H392" s="64">
        <f>F392*G392</f>
        <v>16700</v>
      </c>
      <c r="M392" s="494"/>
    </row>
    <row r="393" spans="3:13" ht="19.8" customHeight="1">
      <c r="C393" s="60">
        <v>2</v>
      </c>
      <c r="D393" s="56" t="s">
        <v>9</v>
      </c>
      <c r="E393" s="61" t="s">
        <v>6</v>
      </c>
      <c r="F393" s="62">
        <v>0.16700000000000001</v>
      </c>
      <c r="G393" s="63">
        <f>VLOOKUP(D393,upahbahan,3,FALSE)</f>
        <v>135000</v>
      </c>
      <c r="H393" s="64">
        <f>F393*G393</f>
        <v>22545</v>
      </c>
      <c r="M393" s="494"/>
    </row>
    <row r="394" spans="3:13" ht="19.8" customHeight="1">
      <c r="C394" s="60">
        <v>3</v>
      </c>
      <c r="D394" s="56" t="s">
        <v>18</v>
      </c>
      <c r="E394" s="61" t="s">
        <v>6</v>
      </c>
      <c r="F394" s="62">
        <v>0.17</v>
      </c>
      <c r="G394" s="63">
        <f>VLOOKUP(D394,upahbahan,3,FALSE)</f>
        <v>150000</v>
      </c>
      <c r="H394" s="64">
        <f>F394*G394</f>
        <v>25500.000000000004</v>
      </c>
      <c r="M394" s="494"/>
    </row>
    <row r="395" spans="3:13" ht="19.8" customHeight="1">
      <c r="C395" s="60">
        <v>4</v>
      </c>
      <c r="D395" s="56" t="s">
        <v>19</v>
      </c>
      <c r="E395" s="61" t="s">
        <v>6</v>
      </c>
      <c r="F395" s="62">
        <v>6.0000000000000001E-3</v>
      </c>
      <c r="G395" s="63">
        <f>VLOOKUP(D395,upahbahan,3,FALSE)</f>
        <v>160000</v>
      </c>
      <c r="H395" s="64">
        <f>F395*G395</f>
        <v>960</v>
      </c>
      <c r="M395" s="494"/>
    </row>
    <row r="396" spans="3:13" ht="19.8" customHeight="1">
      <c r="C396" s="66" t="s">
        <v>1208</v>
      </c>
      <c r="D396" s="67"/>
      <c r="E396" s="67"/>
      <c r="F396" s="142"/>
      <c r="G396" s="153"/>
      <c r="H396" s="64">
        <f>SUM(H392:H395)</f>
        <v>65705</v>
      </c>
      <c r="I396" s="154"/>
      <c r="J396" s="154"/>
      <c r="K396" s="154"/>
      <c r="M396" s="494"/>
    </row>
    <row r="397" spans="3:13" ht="19.8" customHeight="1">
      <c r="C397" s="55" t="s">
        <v>1209</v>
      </c>
      <c r="D397" s="56" t="s">
        <v>1210</v>
      </c>
      <c r="E397" s="57"/>
      <c r="F397" s="57"/>
      <c r="G397" s="57"/>
      <c r="H397" s="58"/>
      <c r="M397" s="494"/>
    </row>
    <row r="398" spans="3:13" ht="19.8" customHeight="1">
      <c r="C398" s="92" t="s">
        <v>1203</v>
      </c>
      <c r="D398" s="72" t="s">
        <v>3053</v>
      </c>
      <c r="E398" s="265" t="s">
        <v>44</v>
      </c>
      <c r="F398" s="104">
        <v>1.1000000000000001</v>
      </c>
      <c r="G398" s="63">
        <f>VLOOKUP(D398,upahbahan,3,FALSE)</f>
        <v>2000000</v>
      </c>
      <c r="H398" s="64">
        <f t="shared" ref="H398" si="31">F398*G398</f>
        <v>2200000</v>
      </c>
      <c r="M398" s="494"/>
    </row>
    <row r="399" spans="3:13" ht="19.8" customHeight="1">
      <c r="C399" s="66" t="s">
        <v>1214</v>
      </c>
      <c r="D399" s="67"/>
      <c r="E399" s="67"/>
      <c r="F399" s="67"/>
      <c r="G399" s="69"/>
      <c r="H399" s="64">
        <f>SUM(H398:H398)</f>
        <v>2200000</v>
      </c>
      <c r="M399" s="494"/>
    </row>
    <row r="400" spans="3:13" ht="19.8" customHeight="1">
      <c r="C400" s="167" t="s">
        <v>1215</v>
      </c>
      <c r="D400" s="56" t="s">
        <v>1216</v>
      </c>
      <c r="E400" s="57"/>
      <c r="F400" s="57"/>
      <c r="G400" s="57"/>
      <c r="H400" s="58"/>
      <c r="M400" s="494"/>
    </row>
    <row r="401" spans="3:13" ht="19.8" customHeight="1">
      <c r="C401" s="66" t="s">
        <v>1217</v>
      </c>
      <c r="D401" s="67"/>
      <c r="E401" s="67"/>
      <c r="F401" s="67"/>
      <c r="G401" s="69"/>
      <c r="H401" s="74">
        <v>0</v>
      </c>
      <c r="M401" s="494"/>
    </row>
    <row r="402" spans="3:13" ht="19.8" customHeight="1">
      <c r="C402" s="75" t="s">
        <v>1218</v>
      </c>
      <c r="D402" s="76" t="s">
        <v>1219</v>
      </c>
      <c r="E402" s="77"/>
      <c r="F402" s="77"/>
      <c r="G402" s="78"/>
      <c r="H402" s="64">
        <f>H401+H399+H396</f>
        <v>2265705</v>
      </c>
      <c r="M402" s="494"/>
    </row>
    <row r="403" spans="3:13" ht="19.8" customHeight="1">
      <c r="C403" s="75" t="s">
        <v>1220</v>
      </c>
      <c r="D403" s="76" t="s">
        <v>1321</v>
      </c>
      <c r="E403" s="77"/>
      <c r="F403" s="78"/>
      <c r="G403" s="80">
        <f>$O$8</f>
        <v>0.1</v>
      </c>
      <c r="H403" s="64">
        <f>H402*G403</f>
        <v>226570.5</v>
      </c>
      <c r="M403" s="494"/>
    </row>
    <row r="404" spans="3:13" ht="19.8" customHeight="1" thickBot="1">
      <c r="C404" s="81" t="s">
        <v>1221</v>
      </c>
      <c r="D404" s="82" t="s">
        <v>1222</v>
      </c>
      <c r="E404" s="83"/>
      <c r="F404" s="83"/>
      <c r="G404" s="84"/>
      <c r="H404" s="85">
        <f>SUM(H402:H403)</f>
        <v>2492275.5</v>
      </c>
      <c r="M404" s="494"/>
    </row>
    <row r="405" spans="3:13" ht="14.4" thickTop="1">
      <c r="C405" s="54"/>
      <c r="D405" s="86"/>
      <c r="E405" s="86"/>
      <c r="F405" s="86"/>
      <c r="G405" s="86"/>
      <c r="H405" s="87"/>
      <c r="M405" s="494"/>
    </row>
    <row r="406" spans="3:13" ht="14.4" thickBot="1">
      <c r="C406" s="47" t="s">
        <v>3054</v>
      </c>
      <c r="D406" s="149" t="s">
        <v>3055</v>
      </c>
      <c r="E406" s="149"/>
      <c r="F406" s="149"/>
      <c r="G406" s="149"/>
      <c r="H406" s="149"/>
      <c r="I406" s="50">
        <f>ROUNDDOWN(H421,-2)</f>
        <v>2223300</v>
      </c>
      <c r="J406" s="50"/>
      <c r="K406" s="50"/>
      <c r="M406" s="494"/>
    </row>
    <row r="407" spans="3:13" ht="28.2" thickTop="1">
      <c r="C407" s="51" t="s">
        <v>1195</v>
      </c>
      <c r="D407" s="52" t="s">
        <v>1196</v>
      </c>
      <c r="E407" s="52" t="s">
        <v>1197</v>
      </c>
      <c r="F407" s="52" t="s">
        <v>1198</v>
      </c>
      <c r="G407" s="52" t="s">
        <v>1199</v>
      </c>
      <c r="H407" s="53" t="s">
        <v>1200</v>
      </c>
      <c r="M407" s="494"/>
    </row>
    <row r="408" spans="3:13" ht="19.8" customHeight="1">
      <c r="C408" s="55" t="s">
        <v>1201</v>
      </c>
      <c r="D408" s="56" t="s">
        <v>1202</v>
      </c>
      <c r="E408" s="57"/>
      <c r="F408" s="57"/>
      <c r="G408" s="57"/>
      <c r="H408" s="58"/>
      <c r="M408" s="494"/>
    </row>
    <row r="409" spans="3:13" ht="19.8" customHeight="1">
      <c r="C409" s="60">
        <v>1</v>
      </c>
      <c r="D409" s="56" t="s">
        <v>5</v>
      </c>
      <c r="E409" s="61" t="s">
        <v>6</v>
      </c>
      <c r="F409" s="62">
        <v>8.3000000000000004E-2</v>
      </c>
      <c r="G409" s="63">
        <f>VLOOKUP(D409,upahbahan,3,FALSE)</f>
        <v>100000</v>
      </c>
      <c r="H409" s="64">
        <f>F409*G409</f>
        <v>8300</v>
      </c>
      <c r="M409" s="494"/>
    </row>
    <row r="410" spans="3:13" ht="19.8" customHeight="1">
      <c r="C410" s="60">
        <v>2</v>
      </c>
      <c r="D410" s="56" t="s">
        <v>9</v>
      </c>
      <c r="E410" s="61" t="s">
        <v>6</v>
      </c>
      <c r="F410" s="62">
        <v>8.3000000000000004E-2</v>
      </c>
      <c r="G410" s="63">
        <f>VLOOKUP(D410,upahbahan,3,FALSE)</f>
        <v>135000</v>
      </c>
      <c r="H410" s="64">
        <f>F410*G410</f>
        <v>11205</v>
      </c>
      <c r="M410" s="494"/>
    </row>
    <row r="411" spans="3:13" ht="19.8" customHeight="1">
      <c r="C411" s="60">
        <v>3</v>
      </c>
      <c r="D411" s="56" t="s">
        <v>18</v>
      </c>
      <c r="E411" s="61" t="s">
        <v>6</v>
      </c>
      <c r="F411" s="62">
        <v>8.0000000000000002E-3</v>
      </c>
      <c r="G411" s="63">
        <f>VLOOKUP(D411,upahbahan,3,FALSE)</f>
        <v>150000</v>
      </c>
      <c r="H411" s="64">
        <f>F411*G411</f>
        <v>1200</v>
      </c>
      <c r="M411" s="494"/>
    </row>
    <row r="412" spans="3:13" ht="19.8" customHeight="1">
      <c r="C412" s="60">
        <v>4</v>
      </c>
      <c r="D412" s="56" t="s">
        <v>19</v>
      </c>
      <c r="E412" s="61" t="s">
        <v>6</v>
      </c>
      <c r="F412" s="62">
        <v>3.0000000000000001E-3</v>
      </c>
      <c r="G412" s="63">
        <f>VLOOKUP(D412,upahbahan,3,FALSE)</f>
        <v>160000</v>
      </c>
      <c r="H412" s="64">
        <f>F412*G412</f>
        <v>480</v>
      </c>
      <c r="M412" s="494"/>
    </row>
    <row r="413" spans="3:13" ht="19.8" customHeight="1">
      <c r="C413" s="66" t="s">
        <v>1208</v>
      </c>
      <c r="D413" s="67"/>
      <c r="E413" s="67"/>
      <c r="F413" s="142"/>
      <c r="G413" s="153"/>
      <c r="H413" s="64">
        <f>SUM(H409:H412)</f>
        <v>21185</v>
      </c>
      <c r="I413" s="154"/>
      <c r="J413" s="154"/>
      <c r="K413" s="154"/>
      <c r="M413" s="494"/>
    </row>
    <row r="414" spans="3:13" ht="19.8" customHeight="1">
      <c r="C414" s="55" t="s">
        <v>1209</v>
      </c>
      <c r="D414" s="56" t="s">
        <v>1210</v>
      </c>
      <c r="E414" s="57"/>
      <c r="F414" s="57"/>
      <c r="G414" s="57"/>
      <c r="H414" s="58"/>
      <c r="M414" s="494"/>
    </row>
    <row r="415" spans="3:13" ht="19.8" customHeight="1">
      <c r="C415" s="92" t="s">
        <v>1203</v>
      </c>
      <c r="D415" s="72" t="s">
        <v>3053</v>
      </c>
      <c r="E415" s="265" t="s">
        <v>44</v>
      </c>
      <c r="F415" s="104">
        <v>1</v>
      </c>
      <c r="G415" s="63">
        <f>VLOOKUP(D415,upahbahan,3,FALSE)</f>
        <v>2000000</v>
      </c>
      <c r="H415" s="64">
        <f t="shared" ref="H415" si="32">F415*G415</f>
        <v>2000000</v>
      </c>
      <c r="M415" s="494"/>
    </row>
    <row r="416" spans="3:13" ht="19.8" customHeight="1">
      <c r="C416" s="66" t="s">
        <v>1214</v>
      </c>
      <c r="D416" s="67"/>
      <c r="E416" s="67"/>
      <c r="F416" s="67"/>
      <c r="G416" s="69"/>
      <c r="H416" s="64">
        <f>SUM(H415:H415)</f>
        <v>2000000</v>
      </c>
      <c r="M416" s="494"/>
    </row>
    <row r="417" spans="3:13" ht="19.8" customHeight="1">
      <c r="C417" s="167" t="s">
        <v>1215</v>
      </c>
      <c r="D417" s="56" t="s">
        <v>1216</v>
      </c>
      <c r="E417" s="57"/>
      <c r="F417" s="57"/>
      <c r="G417" s="57"/>
      <c r="H417" s="58"/>
      <c r="M417" s="494"/>
    </row>
    <row r="418" spans="3:13" ht="19.8" customHeight="1">
      <c r="C418" s="66" t="s">
        <v>1217</v>
      </c>
      <c r="D418" s="67"/>
      <c r="E418" s="67"/>
      <c r="F418" s="67"/>
      <c r="G418" s="69"/>
      <c r="H418" s="74">
        <v>0</v>
      </c>
      <c r="M418" s="494"/>
    </row>
    <row r="419" spans="3:13" ht="19.8" customHeight="1">
      <c r="C419" s="75" t="s">
        <v>1218</v>
      </c>
      <c r="D419" s="76" t="s">
        <v>1219</v>
      </c>
      <c r="E419" s="77"/>
      <c r="F419" s="77"/>
      <c r="G419" s="78"/>
      <c r="H419" s="64">
        <f>H418+H416+H413</f>
        <v>2021185</v>
      </c>
      <c r="M419" s="494"/>
    </row>
    <row r="420" spans="3:13" ht="19.8" customHeight="1">
      <c r="C420" s="75" t="s">
        <v>1220</v>
      </c>
      <c r="D420" s="76" t="s">
        <v>1321</v>
      </c>
      <c r="E420" s="77"/>
      <c r="F420" s="78"/>
      <c r="G420" s="80">
        <f>$O$8</f>
        <v>0.1</v>
      </c>
      <c r="H420" s="64">
        <f>H419*G420</f>
        <v>202118.5</v>
      </c>
      <c r="M420" s="494"/>
    </row>
    <row r="421" spans="3:13" ht="19.8" customHeight="1" thickBot="1">
      <c r="C421" s="81" t="s">
        <v>1221</v>
      </c>
      <c r="D421" s="82" t="s">
        <v>1222</v>
      </c>
      <c r="E421" s="83"/>
      <c r="F421" s="83"/>
      <c r="G421" s="84"/>
      <c r="H421" s="85">
        <f>SUM(H419:H420)</f>
        <v>2223303.5</v>
      </c>
      <c r="M421" s="494"/>
    </row>
    <row r="422" spans="3:13" ht="14.4" thickTop="1">
      <c r="C422" s="54"/>
      <c r="D422" s="86"/>
      <c r="E422" s="86"/>
      <c r="F422" s="86"/>
      <c r="G422" s="86"/>
      <c r="H422" s="87"/>
      <c r="M422" s="494"/>
    </row>
    <row r="423" spans="3:13">
      <c r="C423" s="54"/>
      <c r="D423" s="86"/>
      <c r="E423" s="86"/>
      <c r="F423" s="86"/>
      <c r="G423" s="86"/>
      <c r="H423" s="87"/>
      <c r="M423" s="494"/>
    </row>
    <row r="424" spans="3:13">
      <c r="C424" s="43" t="s">
        <v>3056</v>
      </c>
      <c r="D424" s="128" t="s">
        <v>3057</v>
      </c>
      <c r="E424" s="86"/>
      <c r="F424" s="86"/>
      <c r="G424" s="86"/>
      <c r="H424" s="87"/>
      <c r="M424" s="494"/>
    </row>
    <row r="425" spans="3:13" ht="14.4" thickBot="1">
      <c r="C425" s="47" t="s">
        <v>3058</v>
      </c>
      <c r="D425" s="149" t="s">
        <v>1502</v>
      </c>
      <c r="E425" s="149"/>
      <c r="F425" s="149"/>
      <c r="G425" s="149"/>
      <c r="H425" s="149"/>
      <c r="I425" s="50">
        <f>ROUNDDOWN(H442,-2)</f>
        <v>125600</v>
      </c>
      <c r="J425" s="50"/>
      <c r="K425" s="50"/>
      <c r="M425" s="494"/>
    </row>
    <row r="426" spans="3:13" ht="28.2" thickTop="1">
      <c r="C426" s="51" t="s">
        <v>1195</v>
      </c>
      <c r="D426" s="52" t="s">
        <v>1196</v>
      </c>
      <c r="E426" s="52" t="s">
        <v>1197</v>
      </c>
      <c r="F426" s="52" t="s">
        <v>1198</v>
      </c>
      <c r="G426" s="52" t="s">
        <v>1199</v>
      </c>
      <c r="H426" s="53" t="s">
        <v>1200</v>
      </c>
      <c r="M426" s="494"/>
    </row>
    <row r="427" spans="3:13" ht="19.8" customHeight="1">
      <c r="C427" s="55" t="s">
        <v>1201</v>
      </c>
      <c r="D427" s="56" t="s">
        <v>1202</v>
      </c>
      <c r="E427" s="57"/>
      <c r="F427" s="57"/>
      <c r="G427" s="57"/>
      <c r="H427" s="58"/>
      <c r="M427" s="494"/>
    </row>
    <row r="428" spans="3:13" ht="19.8" customHeight="1">
      <c r="C428" s="60">
        <v>1</v>
      </c>
      <c r="D428" s="56" t="s">
        <v>5</v>
      </c>
      <c r="E428" s="61" t="s">
        <v>6</v>
      </c>
      <c r="F428" s="98">
        <v>4.2999999999999997E-2</v>
      </c>
      <c r="G428" s="63">
        <f>VLOOKUP(D428,upahbahan,3,FALSE)</f>
        <v>100000</v>
      </c>
      <c r="H428" s="64">
        <f>F428*G428</f>
        <v>4300</v>
      </c>
      <c r="M428" s="494"/>
    </row>
    <row r="429" spans="3:13" ht="19.8" customHeight="1">
      <c r="C429" s="60">
        <v>2</v>
      </c>
      <c r="D429" s="56" t="s">
        <v>14</v>
      </c>
      <c r="E429" s="61" t="s">
        <v>6</v>
      </c>
      <c r="F429" s="98">
        <v>4.2999999999999997E-2</v>
      </c>
      <c r="G429" s="63">
        <f>VLOOKUP(D429,upahbahan,3,FALSE)</f>
        <v>145000</v>
      </c>
      <c r="H429" s="64">
        <f>F429*G429</f>
        <v>6234.9999999999991</v>
      </c>
      <c r="M429" s="494"/>
    </row>
    <row r="430" spans="3:13" ht="19.8" customHeight="1">
      <c r="C430" s="60">
        <v>3</v>
      </c>
      <c r="D430" s="56" t="s">
        <v>18</v>
      </c>
      <c r="E430" s="61" t="s">
        <v>6</v>
      </c>
      <c r="F430" s="98">
        <v>4.0000000000000001E-3</v>
      </c>
      <c r="G430" s="63">
        <f>VLOOKUP(D430,upahbahan,3,FALSE)</f>
        <v>150000</v>
      </c>
      <c r="H430" s="64">
        <f t="shared" ref="H430:H431" si="33">F430*G430</f>
        <v>600</v>
      </c>
      <c r="M430" s="494"/>
    </row>
    <row r="431" spans="3:13" ht="19.8" customHeight="1">
      <c r="C431" s="60">
        <v>4</v>
      </c>
      <c r="D431" s="56" t="s">
        <v>19</v>
      </c>
      <c r="E431" s="61" t="s">
        <v>6</v>
      </c>
      <c r="F431" s="98">
        <v>1E-3</v>
      </c>
      <c r="G431" s="63">
        <f>VLOOKUP(D431,upahbahan,3,FALSE)</f>
        <v>160000</v>
      </c>
      <c r="H431" s="64">
        <f t="shared" si="33"/>
        <v>160</v>
      </c>
      <c r="M431" s="494"/>
    </row>
    <row r="432" spans="3:13" ht="19.8" customHeight="1">
      <c r="C432" s="66" t="s">
        <v>1208</v>
      </c>
      <c r="D432" s="67"/>
      <c r="E432" s="67"/>
      <c r="F432" s="142"/>
      <c r="G432" s="63"/>
      <c r="H432" s="64">
        <f>SUM(H428:H431)</f>
        <v>11295</v>
      </c>
      <c r="I432" s="154"/>
      <c r="J432" s="154"/>
      <c r="K432" s="154"/>
      <c r="M432" s="494"/>
    </row>
    <row r="433" spans="3:13" ht="19.8" customHeight="1">
      <c r="C433" s="55" t="s">
        <v>1209</v>
      </c>
      <c r="D433" s="56" t="s">
        <v>1210</v>
      </c>
      <c r="E433" s="57"/>
      <c r="F433" s="57"/>
      <c r="G433" s="57"/>
      <c r="H433" s="58"/>
      <c r="M433" s="494"/>
    </row>
    <row r="434" spans="3:13" ht="19.8" customHeight="1">
      <c r="C434" s="92" t="s">
        <v>1203</v>
      </c>
      <c r="D434" s="72" t="s">
        <v>807</v>
      </c>
      <c r="E434" s="265" t="s">
        <v>113</v>
      </c>
      <c r="F434" s="104">
        <v>1.1000000000000001</v>
      </c>
      <c r="G434" s="63">
        <f>VLOOKUP(D434,upahbahan,3,FALSE)</f>
        <v>93600</v>
      </c>
      <c r="H434" s="64">
        <f>F434*G434</f>
        <v>102960.00000000001</v>
      </c>
      <c r="M434" s="494"/>
    </row>
    <row r="435" spans="3:13" ht="19.8" customHeight="1">
      <c r="C435" s="92" t="s">
        <v>1204</v>
      </c>
      <c r="D435" s="72" t="s">
        <v>1059</v>
      </c>
      <c r="E435" s="265" t="s">
        <v>44</v>
      </c>
      <c r="F435" s="104">
        <v>2</v>
      </c>
      <c r="G435" s="63">
        <f>VLOOKUP(D435,upahbahan,3,FALSE)</f>
        <v>0</v>
      </c>
      <c r="H435" s="64">
        <f t="shared" ref="H435:H436" si="34">F435*G435</f>
        <v>0</v>
      </c>
      <c r="M435" s="494"/>
    </row>
    <row r="436" spans="3:13" ht="19.8" customHeight="1">
      <c r="C436" s="92" t="s">
        <v>1205</v>
      </c>
      <c r="D436" s="72" t="s">
        <v>1047</v>
      </c>
      <c r="E436" s="265" t="s">
        <v>1048</v>
      </c>
      <c r="F436" s="104">
        <v>0.06</v>
      </c>
      <c r="G436" s="63">
        <f>VLOOKUP(D436,upahbahan,3,FALSE)</f>
        <v>0</v>
      </c>
      <c r="H436" s="64">
        <f t="shared" si="34"/>
        <v>0</v>
      </c>
      <c r="M436" s="494"/>
    </row>
    <row r="437" spans="3:13" ht="19.8" customHeight="1">
      <c r="C437" s="66" t="s">
        <v>1214</v>
      </c>
      <c r="D437" s="67"/>
      <c r="E437" s="67"/>
      <c r="F437" s="67"/>
      <c r="G437" s="69"/>
      <c r="H437" s="64">
        <f>SUM(H434:H436)</f>
        <v>102960.00000000001</v>
      </c>
      <c r="M437" s="494"/>
    </row>
    <row r="438" spans="3:13" ht="19.8" customHeight="1">
      <c r="C438" s="167" t="s">
        <v>1215</v>
      </c>
      <c r="D438" s="56" t="s">
        <v>1216</v>
      </c>
      <c r="E438" s="57"/>
      <c r="F438" s="57"/>
      <c r="G438" s="57"/>
      <c r="H438" s="58"/>
      <c r="M438" s="494"/>
    </row>
    <row r="439" spans="3:13" ht="19.8" customHeight="1">
      <c r="C439" s="66" t="s">
        <v>1217</v>
      </c>
      <c r="D439" s="67"/>
      <c r="E439" s="67"/>
      <c r="F439" s="67"/>
      <c r="G439" s="69"/>
      <c r="H439" s="74">
        <v>0</v>
      </c>
      <c r="M439" s="494"/>
    </row>
    <row r="440" spans="3:13" ht="19.8" customHeight="1">
      <c r="C440" s="75" t="s">
        <v>1218</v>
      </c>
      <c r="D440" s="76" t="s">
        <v>1219</v>
      </c>
      <c r="E440" s="77"/>
      <c r="F440" s="77"/>
      <c r="G440" s="78"/>
      <c r="H440" s="64">
        <f>H439+H437+H432</f>
        <v>114255.00000000001</v>
      </c>
      <c r="M440" s="494"/>
    </row>
    <row r="441" spans="3:13" ht="19.8" customHeight="1">
      <c r="C441" s="75" t="s">
        <v>1220</v>
      </c>
      <c r="D441" s="76" t="s">
        <v>1321</v>
      </c>
      <c r="E441" s="77"/>
      <c r="F441" s="78"/>
      <c r="G441" s="80">
        <f>$O$8</f>
        <v>0.1</v>
      </c>
      <c r="H441" s="64">
        <f>H440*G441</f>
        <v>11425.500000000002</v>
      </c>
      <c r="M441" s="494"/>
    </row>
    <row r="442" spans="3:13" ht="19.8" customHeight="1" thickBot="1">
      <c r="C442" s="81" t="s">
        <v>1221</v>
      </c>
      <c r="D442" s="82" t="s">
        <v>1222</v>
      </c>
      <c r="E442" s="83"/>
      <c r="F442" s="83"/>
      <c r="G442" s="84"/>
      <c r="H442" s="85">
        <f>SUM(H440:H441)</f>
        <v>125680.50000000001</v>
      </c>
      <c r="M442" s="494"/>
    </row>
    <row r="443" spans="3:13" ht="14.4" thickTop="1">
      <c r="C443" s="54"/>
      <c r="D443" s="86"/>
      <c r="E443" s="86"/>
      <c r="F443" s="86"/>
      <c r="G443" s="86"/>
      <c r="H443" s="87"/>
      <c r="M443" s="494"/>
    </row>
    <row r="444" spans="3:13" ht="15.75" customHeight="1" thickBot="1">
      <c r="C444" s="44" t="s">
        <v>3059</v>
      </c>
      <c r="D444" s="455" t="s">
        <v>1503</v>
      </c>
      <c r="E444" s="479"/>
      <c r="F444" s="479"/>
      <c r="G444" s="479"/>
      <c r="H444" s="479"/>
      <c r="I444" s="50" t="e">
        <f>ROUNDDOWN(H461,-2)</f>
        <v>#VALUE!</v>
      </c>
      <c r="J444" s="50"/>
      <c r="K444" s="50"/>
      <c r="M444" s="494"/>
    </row>
    <row r="445" spans="3:13" ht="28.2" thickTop="1">
      <c r="C445" s="51" t="s">
        <v>1195</v>
      </c>
      <c r="D445" s="52" t="s">
        <v>1196</v>
      </c>
      <c r="E445" s="52" t="s">
        <v>1197</v>
      </c>
      <c r="F445" s="52" t="s">
        <v>1198</v>
      </c>
      <c r="G445" s="52" t="s">
        <v>1199</v>
      </c>
      <c r="H445" s="53" t="s">
        <v>1200</v>
      </c>
      <c r="M445" s="494"/>
    </row>
    <row r="446" spans="3:13" ht="19.8" customHeight="1">
      <c r="C446" s="55" t="s">
        <v>1201</v>
      </c>
      <c r="D446" s="56" t="s">
        <v>1202</v>
      </c>
      <c r="E446" s="57"/>
      <c r="F446" s="57"/>
      <c r="G446" s="57"/>
      <c r="H446" s="58"/>
      <c r="M446" s="494"/>
    </row>
    <row r="447" spans="3:13" ht="19.8" customHeight="1">
      <c r="C447" s="60">
        <v>1</v>
      </c>
      <c r="D447" s="56" t="s">
        <v>5</v>
      </c>
      <c r="E447" s="61" t="s">
        <v>6</v>
      </c>
      <c r="F447" s="98">
        <v>0.28570000000000001</v>
      </c>
      <c r="G447" s="63">
        <f>VLOOKUP(D447,upahbahan,3,FALSE)</f>
        <v>100000</v>
      </c>
      <c r="H447" s="64">
        <f>F447*G447</f>
        <v>28570</v>
      </c>
      <c r="M447" s="494"/>
    </row>
    <row r="448" spans="3:13" ht="19.8" customHeight="1">
      <c r="C448" s="60">
        <v>2</v>
      </c>
      <c r="D448" s="56" t="s">
        <v>8</v>
      </c>
      <c r="E448" s="61" t="s">
        <v>6</v>
      </c>
      <c r="F448" s="98">
        <v>0.1429</v>
      </c>
      <c r="G448" s="63">
        <f>VLOOKUP(D448,upahbahan,3,FALSE)</f>
        <v>135000</v>
      </c>
      <c r="H448" s="64">
        <f t="shared" ref="H448:H450" si="35">F448*G448</f>
        <v>19291.5</v>
      </c>
      <c r="M448" s="494"/>
    </row>
    <row r="449" spans="3:13" ht="19.8" customHeight="1">
      <c r="C449" s="60">
        <v>3</v>
      </c>
      <c r="D449" s="56" t="s">
        <v>18</v>
      </c>
      <c r="E449" s="61" t="s">
        <v>6</v>
      </c>
      <c r="F449" s="98">
        <v>1.43E-2</v>
      </c>
      <c r="G449" s="63">
        <f>VLOOKUP(D449,upahbahan,3,FALSE)</f>
        <v>150000</v>
      </c>
      <c r="H449" s="64">
        <f t="shared" si="35"/>
        <v>2145</v>
      </c>
      <c r="M449" s="494"/>
    </row>
    <row r="450" spans="3:13" ht="19.8" customHeight="1">
      <c r="C450" s="60">
        <v>4</v>
      </c>
      <c r="D450" s="56" t="s">
        <v>19</v>
      </c>
      <c r="E450" s="61" t="s">
        <v>6</v>
      </c>
      <c r="F450" s="98">
        <v>4.7999999999999996E-3</v>
      </c>
      <c r="G450" s="63">
        <f>VLOOKUP(D450,upahbahan,3,FALSE)</f>
        <v>160000</v>
      </c>
      <c r="H450" s="64">
        <f t="shared" si="35"/>
        <v>767.99999999999989</v>
      </c>
      <c r="M450" s="494"/>
    </row>
    <row r="451" spans="3:13" ht="19.8" customHeight="1">
      <c r="C451" s="66" t="s">
        <v>1208</v>
      </c>
      <c r="D451" s="67"/>
      <c r="E451" s="67"/>
      <c r="F451" s="142"/>
      <c r="G451" s="153"/>
      <c r="H451" s="64">
        <f>SUM(H447:H450)</f>
        <v>50774.5</v>
      </c>
      <c r="I451" s="154"/>
      <c r="J451" s="154"/>
      <c r="K451" s="154"/>
      <c r="M451" s="494"/>
    </row>
    <row r="452" spans="3:13" ht="19.8" customHeight="1">
      <c r="C452" s="55" t="s">
        <v>1209</v>
      </c>
      <c r="D452" s="56" t="s">
        <v>1210</v>
      </c>
      <c r="E452" s="57"/>
      <c r="F452" s="57"/>
      <c r="G452" s="57"/>
      <c r="H452" s="58"/>
      <c r="M452" s="494"/>
    </row>
    <row r="453" spans="3:13" ht="19.8" customHeight="1">
      <c r="C453" s="92" t="s">
        <v>1203</v>
      </c>
      <c r="D453" s="72" t="s">
        <v>114</v>
      </c>
      <c r="E453" s="265" t="s">
        <v>42</v>
      </c>
      <c r="F453" s="103">
        <v>8.6E-3</v>
      </c>
      <c r="G453" s="63" t="e">
        <f>VLOOKUP(D453,upahbahan,3,FALSE)</f>
        <v>#VALUE!</v>
      </c>
      <c r="H453" s="64" t="e">
        <f>F453*G453</f>
        <v>#VALUE!</v>
      </c>
      <c r="M453" s="494"/>
    </row>
    <row r="454" spans="3:13" ht="19.8" customHeight="1">
      <c r="C454" s="92" t="s">
        <v>1204</v>
      </c>
      <c r="D454" s="72" t="s">
        <v>260</v>
      </c>
      <c r="E454" s="265" t="s">
        <v>65</v>
      </c>
      <c r="F454" s="103">
        <v>0.12759999999999999</v>
      </c>
      <c r="G454" s="63">
        <f>VLOOKUP(D454,upahbahan,3,FALSE)</f>
        <v>33901.875</v>
      </c>
      <c r="H454" s="64">
        <f t="shared" ref="H454:H455" si="36">F454*G454</f>
        <v>4325.87925</v>
      </c>
      <c r="M454" s="494"/>
    </row>
    <row r="455" spans="3:13" ht="19.8" customHeight="1">
      <c r="C455" s="92" t="s">
        <v>1205</v>
      </c>
      <c r="D455" s="72" t="s">
        <v>1476</v>
      </c>
      <c r="E455" s="265" t="s">
        <v>65</v>
      </c>
      <c r="F455" s="103">
        <v>1</v>
      </c>
      <c r="G455" s="63">
        <f>VLOOKUP(D455,upahbahan,3,FALSE)</f>
        <v>0</v>
      </c>
      <c r="H455" s="64">
        <f t="shared" si="36"/>
        <v>0</v>
      </c>
      <c r="M455" s="494"/>
    </row>
    <row r="456" spans="3:13" ht="19.8" customHeight="1">
      <c r="C456" s="66" t="s">
        <v>1214</v>
      </c>
      <c r="D456" s="67"/>
      <c r="E456" s="67"/>
      <c r="F456" s="67"/>
      <c r="G456" s="69"/>
      <c r="H456" s="64" t="e">
        <f>SUM(H453:H455)</f>
        <v>#VALUE!</v>
      </c>
      <c r="M456" s="494"/>
    </row>
    <row r="457" spans="3:13" ht="19.8" customHeight="1">
      <c r="C457" s="167" t="s">
        <v>1215</v>
      </c>
      <c r="D457" s="56" t="s">
        <v>1216</v>
      </c>
      <c r="E457" s="57"/>
      <c r="F457" s="57"/>
      <c r="G457" s="57"/>
      <c r="H457" s="58"/>
      <c r="M457" s="494"/>
    </row>
    <row r="458" spans="3:13" ht="19.8" customHeight="1">
      <c r="C458" s="66" t="s">
        <v>1217</v>
      </c>
      <c r="D458" s="67"/>
      <c r="E458" s="67"/>
      <c r="F458" s="67"/>
      <c r="G458" s="69"/>
      <c r="H458" s="74">
        <v>0</v>
      </c>
      <c r="M458" s="494"/>
    </row>
    <row r="459" spans="3:13" ht="19.8" customHeight="1">
      <c r="C459" s="75" t="s">
        <v>1218</v>
      </c>
      <c r="D459" s="76" t="s">
        <v>1219</v>
      </c>
      <c r="E459" s="77"/>
      <c r="F459" s="77"/>
      <c r="G459" s="78"/>
      <c r="H459" s="64" t="e">
        <f>H458+H456+H451</f>
        <v>#VALUE!</v>
      </c>
      <c r="M459" s="494"/>
    </row>
    <row r="460" spans="3:13" ht="19.8" customHeight="1">
      <c r="C460" s="75" t="s">
        <v>1220</v>
      </c>
      <c r="D460" s="76" t="s">
        <v>1321</v>
      </c>
      <c r="E460" s="77"/>
      <c r="F460" s="78"/>
      <c r="G460" s="80">
        <f>$O$8</f>
        <v>0.1</v>
      </c>
      <c r="H460" s="64" t="e">
        <f>H459*G460</f>
        <v>#VALUE!</v>
      </c>
      <c r="M460" s="494"/>
    </row>
    <row r="461" spans="3:13" ht="19.8" customHeight="1" thickBot="1">
      <c r="C461" s="81" t="s">
        <v>1221</v>
      </c>
      <c r="D461" s="82" t="s">
        <v>1222</v>
      </c>
      <c r="E461" s="83"/>
      <c r="F461" s="83"/>
      <c r="G461" s="84"/>
      <c r="H461" s="85" t="e">
        <f>SUM(H459:H460)</f>
        <v>#VALUE!</v>
      </c>
      <c r="M461" s="494"/>
    </row>
    <row r="462" spans="3:13" ht="14.4" thickTop="1">
      <c r="C462" s="54"/>
      <c r="D462" s="86"/>
      <c r="E462" s="86"/>
      <c r="F462" s="86"/>
      <c r="G462" s="86"/>
      <c r="H462" s="87"/>
      <c r="M462" s="494"/>
    </row>
    <row r="463" spans="3:13" ht="15.75" customHeight="1" thickBot="1">
      <c r="C463" s="44" t="s">
        <v>3060</v>
      </c>
      <c r="D463" s="149" t="s">
        <v>1504</v>
      </c>
      <c r="E463" s="479"/>
      <c r="F463" s="479"/>
      <c r="G463" s="479"/>
      <c r="H463" s="479"/>
      <c r="I463" s="50">
        <f>ROUNDDOWN(H480,-2)</f>
        <v>60600</v>
      </c>
      <c r="J463" s="50"/>
      <c r="K463" s="50"/>
      <c r="M463" s="494"/>
    </row>
    <row r="464" spans="3:13" ht="28.2" thickTop="1">
      <c r="C464" s="51" t="s">
        <v>1195</v>
      </c>
      <c r="D464" s="52" t="s">
        <v>1196</v>
      </c>
      <c r="E464" s="52" t="s">
        <v>1197</v>
      </c>
      <c r="F464" s="52" t="s">
        <v>1198</v>
      </c>
      <c r="G464" s="52" t="s">
        <v>1199</v>
      </c>
      <c r="H464" s="53" t="s">
        <v>1200</v>
      </c>
      <c r="M464" s="494"/>
    </row>
    <row r="465" spans="3:13" ht="19.8" customHeight="1">
      <c r="C465" s="55" t="s">
        <v>1201</v>
      </c>
      <c r="D465" s="56" t="s">
        <v>1202</v>
      </c>
      <c r="E465" s="57"/>
      <c r="F465" s="57"/>
      <c r="G465" s="57"/>
      <c r="H465" s="58"/>
      <c r="M465" s="494"/>
    </row>
    <row r="466" spans="3:13" ht="19.8" customHeight="1">
      <c r="C466" s="60">
        <v>1</v>
      </c>
      <c r="D466" s="56" t="s">
        <v>5</v>
      </c>
      <c r="E466" s="61" t="s">
        <v>6</v>
      </c>
      <c r="F466" s="98">
        <v>0.28570000000000001</v>
      </c>
      <c r="G466" s="63">
        <f>VLOOKUP(D466,upahbahan,3,FALSE)</f>
        <v>100000</v>
      </c>
      <c r="H466" s="64">
        <f t="shared" ref="H466:H469" si="37">F466*G466</f>
        <v>28570</v>
      </c>
      <c r="M466" s="494"/>
    </row>
    <row r="467" spans="3:13" ht="19.8" customHeight="1">
      <c r="C467" s="60">
        <v>2</v>
      </c>
      <c r="D467" s="56" t="s">
        <v>8</v>
      </c>
      <c r="E467" s="61" t="s">
        <v>6</v>
      </c>
      <c r="F467" s="98">
        <v>0.1429</v>
      </c>
      <c r="G467" s="63">
        <f>VLOOKUP(D467,upahbahan,3,FALSE)</f>
        <v>135000</v>
      </c>
      <c r="H467" s="64">
        <f t="shared" si="37"/>
        <v>19291.5</v>
      </c>
      <c r="M467" s="494"/>
    </row>
    <row r="468" spans="3:13" ht="19.8" customHeight="1">
      <c r="C468" s="60">
        <v>3</v>
      </c>
      <c r="D468" s="56" t="s">
        <v>18</v>
      </c>
      <c r="E468" s="61" t="s">
        <v>6</v>
      </c>
      <c r="F468" s="98">
        <v>1.43E-2</v>
      </c>
      <c r="G468" s="63">
        <f>VLOOKUP(D468,upahbahan,3,FALSE)</f>
        <v>150000</v>
      </c>
      <c r="H468" s="64">
        <f t="shared" si="37"/>
        <v>2145</v>
      </c>
      <c r="M468" s="494"/>
    </row>
    <row r="469" spans="3:13" ht="19.8" customHeight="1">
      <c r="C469" s="60">
        <v>4</v>
      </c>
      <c r="D469" s="56" t="s">
        <v>19</v>
      </c>
      <c r="E469" s="61" t="s">
        <v>6</v>
      </c>
      <c r="F469" s="98">
        <v>4.7999999999999996E-3</v>
      </c>
      <c r="G469" s="63">
        <f>VLOOKUP(D469,upahbahan,3,FALSE)</f>
        <v>160000</v>
      </c>
      <c r="H469" s="64">
        <f t="shared" si="37"/>
        <v>767.99999999999989</v>
      </c>
      <c r="M469" s="494"/>
    </row>
    <row r="470" spans="3:13" ht="19.8" customHeight="1">
      <c r="C470" s="66" t="s">
        <v>1208</v>
      </c>
      <c r="D470" s="67"/>
      <c r="E470" s="67"/>
      <c r="F470" s="142"/>
      <c r="G470" s="153"/>
      <c r="H470" s="64">
        <f>SUM(H466:H469)</f>
        <v>50774.5</v>
      </c>
      <c r="I470" s="154"/>
      <c r="J470" s="154"/>
      <c r="K470" s="154"/>
      <c r="M470" s="494"/>
    </row>
    <row r="471" spans="3:13" ht="19.8" customHeight="1">
      <c r="C471" s="55" t="s">
        <v>1209</v>
      </c>
      <c r="D471" s="56" t="s">
        <v>1210</v>
      </c>
      <c r="E471" s="57"/>
      <c r="F471" s="57"/>
      <c r="G471" s="57"/>
      <c r="H471" s="58"/>
      <c r="M471" s="494"/>
    </row>
    <row r="472" spans="3:13" ht="19.8" customHeight="1">
      <c r="C472" s="92" t="s">
        <v>1203</v>
      </c>
      <c r="D472" s="72" t="s">
        <v>116</v>
      </c>
      <c r="E472" s="265" t="s">
        <v>42</v>
      </c>
      <c r="F472" s="103">
        <v>1.0800000000000001E-2</v>
      </c>
      <c r="G472" s="63">
        <f>VLOOKUP(D472,upahbahan,3,FALSE)</f>
        <v>0</v>
      </c>
      <c r="H472" s="64">
        <f t="shared" ref="H472:H474" si="38">F472*G472</f>
        <v>0</v>
      </c>
      <c r="M472" s="494"/>
    </row>
    <row r="473" spans="3:13" ht="19.8" customHeight="1">
      <c r="C473" s="92" t="s">
        <v>1204</v>
      </c>
      <c r="D473" s="72" t="s">
        <v>260</v>
      </c>
      <c r="E473" s="265" t="s">
        <v>65</v>
      </c>
      <c r="F473" s="103">
        <v>0.12759999999999999</v>
      </c>
      <c r="G473" s="63">
        <f>VLOOKUP(D473,upahbahan,3,FALSE)</f>
        <v>33901.875</v>
      </c>
      <c r="H473" s="64">
        <f t="shared" si="38"/>
        <v>4325.87925</v>
      </c>
      <c r="M473" s="494"/>
    </row>
    <row r="474" spans="3:13" ht="19.8" customHeight="1">
      <c r="C474" s="92" t="s">
        <v>1205</v>
      </c>
      <c r="D474" s="72" t="s">
        <v>1476</v>
      </c>
      <c r="E474" s="265" t="s">
        <v>65</v>
      </c>
      <c r="F474" s="103">
        <v>1</v>
      </c>
      <c r="G474" s="63">
        <f>VLOOKUP(D474,upahbahan,3,FALSE)</f>
        <v>0</v>
      </c>
      <c r="H474" s="64">
        <f t="shared" si="38"/>
        <v>0</v>
      </c>
      <c r="M474" s="494"/>
    </row>
    <row r="475" spans="3:13" ht="19.8" customHeight="1">
      <c r="C475" s="66" t="s">
        <v>1214</v>
      </c>
      <c r="D475" s="67"/>
      <c r="E475" s="67"/>
      <c r="F475" s="67"/>
      <c r="G475" s="69"/>
      <c r="H475" s="64">
        <f>SUM(H472:H474)</f>
        <v>4325.87925</v>
      </c>
      <c r="M475" s="494"/>
    </row>
    <row r="476" spans="3:13" ht="19.8" customHeight="1">
      <c r="C476" s="167" t="s">
        <v>1215</v>
      </c>
      <c r="D476" s="56" t="s">
        <v>1216</v>
      </c>
      <c r="E476" s="57"/>
      <c r="F476" s="57"/>
      <c r="G476" s="57"/>
      <c r="H476" s="58"/>
      <c r="M476" s="494"/>
    </row>
    <row r="477" spans="3:13" ht="19.8" customHeight="1">
      <c r="C477" s="66" t="s">
        <v>1217</v>
      </c>
      <c r="D477" s="67"/>
      <c r="E477" s="67"/>
      <c r="F477" s="67"/>
      <c r="G477" s="69"/>
      <c r="H477" s="74">
        <v>0</v>
      </c>
      <c r="M477" s="494"/>
    </row>
    <row r="478" spans="3:13" ht="19.8" customHeight="1">
      <c r="C478" s="75" t="s">
        <v>1218</v>
      </c>
      <c r="D478" s="76" t="s">
        <v>1219</v>
      </c>
      <c r="E478" s="77"/>
      <c r="F478" s="77"/>
      <c r="G478" s="78"/>
      <c r="H478" s="64">
        <f>H477+H475+H470</f>
        <v>55100.379249999998</v>
      </c>
      <c r="M478" s="494"/>
    </row>
    <row r="479" spans="3:13" ht="19.8" customHeight="1">
      <c r="C479" s="75" t="s">
        <v>1220</v>
      </c>
      <c r="D479" s="76" t="s">
        <v>1321</v>
      </c>
      <c r="E479" s="77"/>
      <c r="F479" s="78"/>
      <c r="G479" s="80">
        <f>$O$8</f>
        <v>0.1</v>
      </c>
      <c r="H479" s="64">
        <f>H478*G479</f>
        <v>5510.0379250000005</v>
      </c>
      <c r="M479" s="494"/>
    </row>
    <row r="480" spans="3:13" ht="19.8" customHeight="1" thickBot="1">
      <c r="C480" s="81" t="s">
        <v>1221</v>
      </c>
      <c r="D480" s="82" t="s">
        <v>1222</v>
      </c>
      <c r="E480" s="83"/>
      <c r="F480" s="83"/>
      <c r="G480" s="84"/>
      <c r="H480" s="85">
        <f>SUM(H478:H479)</f>
        <v>60610.417174999995</v>
      </c>
      <c r="M480" s="494"/>
    </row>
    <row r="481" spans="3:13" ht="14.4" thickTop="1">
      <c r="C481" s="54"/>
      <c r="D481" s="86"/>
      <c r="E481" s="86"/>
      <c r="F481" s="86"/>
      <c r="G481" s="86"/>
      <c r="H481" s="87"/>
      <c r="M481" s="494"/>
    </row>
    <row r="482" spans="3:13" ht="15.75" customHeight="1" thickBot="1">
      <c r="C482" s="44" t="s">
        <v>3061</v>
      </c>
      <c r="D482" s="455" t="s">
        <v>1505</v>
      </c>
      <c r="E482" s="479"/>
      <c r="F482" s="479"/>
      <c r="G482" s="479"/>
      <c r="H482" s="479"/>
      <c r="I482" s="50">
        <f>ROUNDDOWN(H499,-2)</f>
        <v>116400</v>
      </c>
      <c r="J482" s="50"/>
      <c r="K482" s="50"/>
      <c r="M482" s="494"/>
    </row>
    <row r="483" spans="3:13" ht="28.2" thickTop="1">
      <c r="C483" s="51" t="s">
        <v>1195</v>
      </c>
      <c r="D483" s="52" t="s">
        <v>1196</v>
      </c>
      <c r="E483" s="52" t="s">
        <v>1197</v>
      </c>
      <c r="F483" s="52" t="s">
        <v>1198</v>
      </c>
      <c r="G483" s="52" t="s">
        <v>1199</v>
      </c>
      <c r="H483" s="53" t="s">
        <v>1200</v>
      </c>
      <c r="M483" s="494"/>
    </row>
    <row r="484" spans="3:13" ht="19.8" customHeight="1">
      <c r="C484" s="55" t="s">
        <v>1201</v>
      </c>
      <c r="D484" s="56" t="s">
        <v>1202</v>
      </c>
      <c r="E484" s="57"/>
      <c r="F484" s="57"/>
      <c r="G484" s="57"/>
      <c r="H484" s="58"/>
      <c r="M484" s="494"/>
    </row>
    <row r="485" spans="3:13" ht="19.8" customHeight="1">
      <c r="C485" s="60">
        <v>1</v>
      </c>
      <c r="D485" s="56" t="s">
        <v>5</v>
      </c>
      <c r="E485" s="61" t="s">
        <v>6</v>
      </c>
      <c r="F485" s="98">
        <v>0.28570000000000001</v>
      </c>
      <c r="G485" s="63">
        <f>VLOOKUP(D485,upahbahan,3,FALSE)</f>
        <v>100000</v>
      </c>
      <c r="H485" s="64">
        <f>F485*G485</f>
        <v>28570</v>
      </c>
      <c r="M485" s="494"/>
    </row>
    <row r="486" spans="3:13" ht="19.8" customHeight="1">
      <c r="C486" s="60">
        <v>2</v>
      </c>
      <c r="D486" s="56" t="s">
        <v>8</v>
      </c>
      <c r="E486" s="61" t="s">
        <v>6</v>
      </c>
      <c r="F486" s="98">
        <v>0.1429</v>
      </c>
      <c r="G486" s="63">
        <f>VLOOKUP(D486,upahbahan,3,FALSE)</f>
        <v>135000</v>
      </c>
      <c r="H486" s="64">
        <f t="shared" ref="H486:H488" si="39">F486*G486</f>
        <v>19291.5</v>
      </c>
      <c r="M486" s="494"/>
    </row>
    <row r="487" spans="3:13" ht="19.8" customHeight="1">
      <c r="C487" s="60">
        <v>3</v>
      </c>
      <c r="D487" s="56" t="s">
        <v>18</v>
      </c>
      <c r="E487" s="61" t="s">
        <v>6</v>
      </c>
      <c r="F487" s="98">
        <v>1.43E-2</v>
      </c>
      <c r="G487" s="63">
        <f>VLOOKUP(D487,upahbahan,3,FALSE)</f>
        <v>150000</v>
      </c>
      <c r="H487" s="64">
        <f t="shared" si="39"/>
        <v>2145</v>
      </c>
      <c r="M487" s="494"/>
    </row>
    <row r="488" spans="3:13" ht="19.8" customHeight="1">
      <c r="C488" s="60">
        <v>4</v>
      </c>
      <c r="D488" s="56" t="s">
        <v>19</v>
      </c>
      <c r="E488" s="61" t="s">
        <v>6</v>
      </c>
      <c r="F488" s="98">
        <v>4.7999999999999996E-3</v>
      </c>
      <c r="G488" s="63">
        <f>VLOOKUP(D488,upahbahan,3,FALSE)</f>
        <v>160000</v>
      </c>
      <c r="H488" s="64">
        <f t="shared" si="39"/>
        <v>767.99999999999989</v>
      </c>
      <c r="M488" s="494"/>
    </row>
    <row r="489" spans="3:13" ht="19.8" customHeight="1">
      <c r="C489" s="66" t="s">
        <v>1208</v>
      </c>
      <c r="D489" s="67"/>
      <c r="E489" s="67"/>
      <c r="F489" s="142"/>
      <c r="G489" s="153"/>
      <c r="H489" s="64">
        <f>SUM(H485:H488)</f>
        <v>50774.5</v>
      </c>
      <c r="I489" s="154"/>
      <c r="J489" s="154"/>
      <c r="K489" s="154"/>
      <c r="M489" s="494"/>
    </row>
    <row r="490" spans="3:13" ht="19.8" customHeight="1">
      <c r="C490" s="55" t="s">
        <v>1209</v>
      </c>
      <c r="D490" s="56" t="s">
        <v>1210</v>
      </c>
      <c r="E490" s="57"/>
      <c r="F490" s="57"/>
      <c r="G490" s="57"/>
      <c r="H490" s="58"/>
      <c r="M490" s="494"/>
    </row>
    <row r="491" spans="3:13" ht="19.8" customHeight="1">
      <c r="C491" s="92" t="s">
        <v>1203</v>
      </c>
      <c r="D491" s="72" t="s">
        <v>115</v>
      </c>
      <c r="E491" s="265" t="s">
        <v>42</v>
      </c>
      <c r="F491" s="103">
        <v>8.6E-3</v>
      </c>
      <c r="G491" s="63">
        <f>VLOOKUP(D491,upahbahan,3,FALSE)</f>
        <v>5904000</v>
      </c>
      <c r="H491" s="64">
        <f>F491*G491</f>
        <v>50774.400000000001</v>
      </c>
      <c r="M491" s="494"/>
    </row>
    <row r="492" spans="3:13" ht="19.8" customHeight="1">
      <c r="C492" s="92" t="s">
        <v>1204</v>
      </c>
      <c r="D492" s="72" t="s">
        <v>260</v>
      </c>
      <c r="E492" s="265" t="s">
        <v>65</v>
      </c>
      <c r="F492" s="103">
        <v>0.12759999999999999</v>
      </c>
      <c r="G492" s="63">
        <f>VLOOKUP(D492,upahbahan,3,FALSE)</f>
        <v>33901.875</v>
      </c>
      <c r="H492" s="64">
        <f>F492*G492</f>
        <v>4325.87925</v>
      </c>
      <c r="M492" s="494"/>
    </row>
    <row r="493" spans="3:13" ht="19.8" customHeight="1">
      <c r="C493" s="92" t="s">
        <v>1205</v>
      </c>
      <c r="D493" s="72" t="s">
        <v>1476</v>
      </c>
      <c r="E493" s="265" t="s">
        <v>65</v>
      </c>
      <c r="F493" s="103">
        <v>1</v>
      </c>
      <c r="G493" s="63">
        <f>VLOOKUP(D493,upahbahan,3,FALSE)</f>
        <v>0</v>
      </c>
      <c r="H493" s="64">
        <f>F493*G493</f>
        <v>0</v>
      </c>
      <c r="M493" s="494"/>
    </row>
    <row r="494" spans="3:13" ht="19.8" customHeight="1">
      <c r="C494" s="66" t="s">
        <v>1214</v>
      </c>
      <c r="D494" s="67"/>
      <c r="E494" s="67"/>
      <c r="F494" s="67"/>
      <c r="G494" s="69"/>
      <c r="H494" s="64">
        <f>SUM(H491:H493)</f>
        <v>55100.27925</v>
      </c>
      <c r="M494" s="494"/>
    </row>
    <row r="495" spans="3:13" ht="19.8" customHeight="1">
      <c r="C495" s="167" t="s">
        <v>1215</v>
      </c>
      <c r="D495" s="56" t="s">
        <v>1216</v>
      </c>
      <c r="E495" s="57"/>
      <c r="F495" s="57"/>
      <c r="G495" s="57"/>
      <c r="H495" s="58"/>
      <c r="M495" s="494"/>
    </row>
    <row r="496" spans="3:13" ht="19.8" customHeight="1">
      <c r="C496" s="66" t="s">
        <v>1217</v>
      </c>
      <c r="D496" s="67"/>
      <c r="E496" s="67"/>
      <c r="F496" s="67"/>
      <c r="G496" s="69"/>
      <c r="H496" s="74">
        <v>0</v>
      </c>
      <c r="M496" s="494"/>
    </row>
    <row r="497" spans="3:13" ht="19.8" customHeight="1">
      <c r="C497" s="75" t="s">
        <v>1218</v>
      </c>
      <c r="D497" s="76" t="s">
        <v>1219</v>
      </c>
      <c r="E497" s="77"/>
      <c r="F497" s="77"/>
      <c r="G497" s="78"/>
      <c r="H497" s="64">
        <f>H496+H494+H489</f>
        <v>105874.77924999999</v>
      </c>
      <c r="M497" s="494"/>
    </row>
    <row r="498" spans="3:13" ht="19.8" customHeight="1">
      <c r="C498" s="75" t="s">
        <v>1220</v>
      </c>
      <c r="D498" s="76" t="s">
        <v>1321</v>
      </c>
      <c r="E498" s="77"/>
      <c r="F498" s="78"/>
      <c r="G498" s="80">
        <f>$O$8</f>
        <v>0.1</v>
      </c>
      <c r="H498" s="64">
        <f>H497*G498</f>
        <v>10587.477924999999</v>
      </c>
      <c r="M498" s="494"/>
    </row>
    <row r="499" spans="3:13" ht="19.8" customHeight="1" thickBot="1">
      <c r="C499" s="81" t="s">
        <v>1221</v>
      </c>
      <c r="D499" s="82" t="s">
        <v>1222</v>
      </c>
      <c r="E499" s="83"/>
      <c r="F499" s="83"/>
      <c r="G499" s="84"/>
      <c r="H499" s="85">
        <f>SUM(H497:H498)</f>
        <v>116462.25717499999</v>
      </c>
      <c r="M499" s="494"/>
    </row>
    <row r="500" spans="3:13" ht="14.4" thickTop="1">
      <c r="C500" s="54"/>
      <c r="D500" s="86"/>
      <c r="E500" s="86"/>
      <c r="F500" s="86"/>
      <c r="G500" s="86"/>
      <c r="H500" s="87"/>
      <c r="M500" s="494"/>
    </row>
    <row r="501" spans="3:13" ht="15.75" customHeight="1" thickBot="1">
      <c r="C501" s="44" t="s">
        <v>3062</v>
      </c>
      <c r="D501" s="149" t="s">
        <v>1506</v>
      </c>
      <c r="E501" s="479"/>
      <c r="F501" s="479"/>
      <c r="G501" s="479"/>
      <c r="H501" s="479"/>
      <c r="I501" s="50">
        <f>ROUNDDOWN(H518,-2)</f>
        <v>60600</v>
      </c>
      <c r="J501" s="50"/>
      <c r="K501" s="50"/>
      <c r="M501" s="494"/>
    </row>
    <row r="502" spans="3:13" ht="28.2" thickTop="1">
      <c r="C502" s="51" t="s">
        <v>1195</v>
      </c>
      <c r="D502" s="52" t="s">
        <v>1196</v>
      </c>
      <c r="E502" s="52" t="s">
        <v>1197</v>
      </c>
      <c r="F502" s="52" t="s">
        <v>1198</v>
      </c>
      <c r="G502" s="52" t="s">
        <v>1199</v>
      </c>
      <c r="H502" s="53" t="s">
        <v>1200</v>
      </c>
      <c r="M502" s="494"/>
    </row>
    <row r="503" spans="3:13" ht="19.8" customHeight="1">
      <c r="C503" s="55" t="s">
        <v>1201</v>
      </c>
      <c r="D503" s="56" t="s">
        <v>1202</v>
      </c>
      <c r="E503" s="57"/>
      <c r="F503" s="57"/>
      <c r="G503" s="57"/>
      <c r="H503" s="58"/>
      <c r="M503" s="494"/>
    </row>
    <row r="504" spans="3:13" ht="19.8" customHeight="1">
      <c r="C504" s="60">
        <v>1</v>
      </c>
      <c r="D504" s="56" t="s">
        <v>5</v>
      </c>
      <c r="E504" s="61" t="s">
        <v>6</v>
      </c>
      <c r="F504" s="98">
        <v>0.28570000000000001</v>
      </c>
      <c r="G504" s="63">
        <f>VLOOKUP(D504,upahbahan,3,FALSE)</f>
        <v>100000</v>
      </c>
      <c r="H504" s="64">
        <f>F504*G504</f>
        <v>28570</v>
      </c>
      <c r="M504" s="494"/>
    </row>
    <row r="505" spans="3:13" ht="19.8" customHeight="1">
      <c r="C505" s="60">
        <v>2</v>
      </c>
      <c r="D505" s="56" t="s">
        <v>8</v>
      </c>
      <c r="E505" s="61" t="s">
        <v>6</v>
      </c>
      <c r="F505" s="98">
        <v>0.1429</v>
      </c>
      <c r="G505" s="63">
        <f>VLOOKUP(D505,upahbahan,3,FALSE)</f>
        <v>135000</v>
      </c>
      <c r="H505" s="64">
        <f>F505*G505</f>
        <v>19291.5</v>
      </c>
      <c r="M505" s="494"/>
    </row>
    <row r="506" spans="3:13" ht="19.8" customHeight="1">
      <c r="C506" s="60">
        <v>3</v>
      </c>
      <c r="D506" s="56" t="s">
        <v>18</v>
      </c>
      <c r="E506" s="61" t="s">
        <v>6</v>
      </c>
      <c r="F506" s="98">
        <v>1.43E-2</v>
      </c>
      <c r="G506" s="63">
        <f>VLOOKUP(D506,upahbahan,3,FALSE)</f>
        <v>150000</v>
      </c>
      <c r="H506" s="64">
        <f>F506*G506</f>
        <v>2145</v>
      </c>
      <c r="M506" s="494"/>
    </row>
    <row r="507" spans="3:13" ht="19.8" customHeight="1">
      <c r="C507" s="60">
        <v>4</v>
      </c>
      <c r="D507" s="56" t="s">
        <v>19</v>
      </c>
      <c r="E507" s="61" t="s">
        <v>6</v>
      </c>
      <c r="F507" s="98">
        <v>4.7999999999999996E-3</v>
      </c>
      <c r="G507" s="63">
        <f>VLOOKUP(D507,upahbahan,3,FALSE)</f>
        <v>160000</v>
      </c>
      <c r="H507" s="64">
        <f>F507*G507</f>
        <v>767.99999999999989</v>
      </c>
      <c r="M507" s="494"/>
    </row>
    <row r="508" spans="3:13" ht="19.8" customHeight="1">
      <c r="C508" s="66" t="s">
        <v>1208</v>
      </c>
      <c r="D508" s="67"/>
      <c r="E508" s="67"/>
      <c r="F508" s="142"/>
      <c r="G508" s="153"/>
      <c r="H508" s="64">
        <f>SUM(H504:H507)</f>
        <v>50774.5</v>
      </c>
      <c r="I508" s="154"/>
      <c r="J508" s="154"/>
      <c r="K508" s="154"/>
      <c r="M508" s="494"/>
    </row>
    <row r="509" spans="3:13" ht="19.8" customHeight="1">
      <c r="C509" s="55" t="s">
        <v>1209</v>
      </c>
      <c r="D509" s="56" t="s">
        <v>1210</v>
      </c>
      <c r="E509" s="57"/>
      <c r="F509" s="57"/>
      <c r="G509" s="57"/>
      <c r="H509" s="58"/>
      <c r="M509" s="494"/>
    </row>
    <row r="510" spans="3:13" ht="19.8" customHeight="1">
      <c r="C510" s="92" t="s">
        <v>1203</v>
      </c>
      <c r="D510" s="72" t="s">
        <v>117</v>
      </c>
      <c r="E510" s="265" t="s">
        <v>42</v>
      </c>
      <c r="F510" s="103">
        <v>1.0800000000000001E-2</v>
      </c>
      <c r="G510" s="63">
        <f>VLOOKUP(D510,upahbahan,3,FALSE)</f>
        <v>0</v>
      </c>
      <c r="H510" s="64">
        <f t="shared" ref="H510:H512" si="40">F510*G510</f>
        <v>0</v>
      </c>
      <c r="M510" s="494"/>
    </row>
    <row r="511" spans="3:13" ht="19.8" customHeight="1">
      <c r="C511" s="92" t="s">
        <v>1204</v>
      </c>
      <c r="D511" s="72" t="s">
        <v>260</v>
      </c>
      <c r="E511" s="265" t="s">
        <v>65</v>
      </c>
      <c r="F511" s="103">
        <v>0.12759999999999999</v>
      </c>
      <c r="G511" s="63">
        <f>VLOOKUP(D511,upahbahan,3,FALSE)</f>
        <v>33901.875</v>
      </c>
      <c r="H511" s="64">
        <f t="shared" si="40"/>
        <v>4325.87925</v>
      </c>
      <c r="M511" s="494"/>
    </row>
    <row r="512" spans="3:13" ht="19.8" customHeight="1">
      <c r="C512" s="92" t="s">
        <v>1205</v>
      </c>
      <c r="D512" s="72" t="s">
        <v>1476</v>
      </c>
      <c r="E512" s="265" t="s">
        <v>65</v>
      </c>
      <c r="F512" s="103">
        <v>1</v>
      </c>
      <c r="G512" s="63">
        <f>VLOOKUP(D512,upahbahan,3,FALSE)</f>
        <v>0</v>
      </c>
      <c r="H512" s="64">
        <f t="shared" si="40"/>
        <v>0</v>
      </c>
      <c r="M512" s="494"/>
    </row>
    <row r="513" spans="3:13" ht="19.8" customHeight="1">
      <c r="C513" s="66" t="s">
        <v>1214</v>
      </c>
      <c r="D513" s="67"/>
      <c r="E513" s="67"/>
      <c r="F513" s="67"/>
      <c r="G513" s="69"/>
      <c r="H513" s="64">
        <f>SUM(H510:H512)</f>
        <v>4325.87925</v>
      </c>
      <c r="M513" s="494"/>
    </row>
    <row r="514" spans="3:13" ht="19.8" customHeight="1">
      <c r="C514" s="167" t="s">
        <v>1215</v>
      </c>
      <c r="D514" s="56" t="s">
        <v>1216</v>
      </c>
      <c r="E514" s="57"/>
      <c r="F514" s="57"/>
      <c r="G514" s="57"/>
      <c r="H514" s="58"/>
      <c r="M514" s="494"/>
    </row>
    <row r="515" spans="3:13" ht="19.8" customHeight="1">
      <c r="C515" s="66" t="s">
        <v>1217</v>
      </c>
      <c r="D515" s="67"/>
      <c r="E515" s="67"/>
      <c r="F515" s="67"/>
      <c r="G515" s="69"/>
      <c r="H515" s="74">
        <v>0</v>
      </c>
      <c r="M515" s="494"/>
    </row>
    <row r="516" spans="3:13" ht="19.8" customHeight="1">
      <c r="C516" s="75" t="s">
        <v>1218</v>
      </c>
      <c r="D516" s="76" t="s">
        <v>1219</v>
      </c>
      <c r="E516" s="77"/>
      <c r="F516" s="77"/>
      <c r="G516" s="78"/>
      <c r="H516" s="64">
        <f>H515+H513+H508</f>
        <v>55100.379249999998</v>
      </c>
      <c r="M516" s="494"/>
    </row>
    <row r="517" spans="3:13" ht="19.8" customHeight="1">
      <c r="C517" s="75" t="s">
        <v>1220</v>
      </c>
      <c r="D517" s="76" t="s">
        <v>1321</v>
      </c>
      <c r="E517" s="77"/>
      <c r="F517" s="78"/>
      <c r="G517" s="80">
        <f>$O$8</f>
        <v>0.1</v>
      </c>
      <c r="H517" s="64">
        <f>H516*G517</f>
        <v>5510.0379250000005</v>
      </c>
      <c r="M517" s="494"/>
    </row>
    <row r="518" spans="3:13" ht="19.8" customHeight="1" thickBot="1">
      <c r="C518" s="81" t="s">
        <v>1221</v>
      </c>
      <c r="D518" s="82" t="s">
        <v>1222</v>
      </c>
      <c r="E518" s="83"/>
      <c r="F518" s="83"/>
      <c r="G518" s="84"/>
      <c r="H518" s="85">
        <f>SUM(H516:H517)</f>
        <v>60610.417174999995</v>
      </c>
      <c r="M518" s="494"/>
    </row>
    <row r="519" spans="3:13" ht="14.4" thickTop="1">
      <c r="C519" s="54"/>
      <c r="D519" s="86"/>
      <c r="E519" s="86"/>
      <c r="F519" s="86"/>
      <c r="G519" s="86"/>
      <c r="H519" s="87"/>
      <c r="M519" s="494"/>
    </row>
    <row r="520" spans="3:13" ht="14.4" thickBot="1">
      <c r="C520" s="44" t="s">
        <v>3063</v>
      </c>
      <c r="D520" s="149" t="s">
        <v>1507</v>
      </c>
      <c r="E520" s="149"/>
      <c r="F520" s="149"/>
      <c r="G520" s="149"/>
      <c r="H520" s="149"/>
      <c r="I520" s="50" t="e">
        <f>ROUNDDOWN(H536,-2)</f>
        <v>#VALUE!</v>
      </c>
      <c r="J520" s="50"/>
      <c r="K520" s="50"/>
      <c r="M520" s="494"/>
    </row>
    <row r="521" spans="3:13" ht="28.2" thickTop="1">
      <c r="C521" s="51" t="s">
        <v>1195</v>
      </c>
      <c r="D521" s="52" t="s">
        <v>1196</v>
      </c>
      <c r="E521" s="52" t="s">
        <v>1197</v>
      </c>
      <c r="F521" s="52" t="s">
        <v>1198</v>
      </c>
      <c r="G521" s="52" t="s">
        <v>1199</v>
      </c>
      <c r="H521" s="53" t="s">
        <v>1200</v>
      </c>
      <c r="M521" s="494"/>
    </row>
    <row r="522" spans="3:13" ht="19.8" customHeight="1">
      <c r="C522" s="55" t="s">
        <v>1201</v>
      </c>
      <c r="D522" s="56" t="s">
        <v>1202</v>
      </c>
      <c r="E522" s="57"/>
      <c r="F522" s="57"/>
      <c r="G522" s="57"/>
      <c r="H522" s="58"/>
      <c r="M522" s="494"/>
    </row>
    <row r="523" spans="3:13" ht="19.8" customHeight="1">
      <c r="C523" s="60">
        <v>1</v>
      </c>
      <c r="D523" s="56" t="s">
        <v>5</v>
      </c>
      <c r="E523" s="61" t="s">
        <v>6</v>
      </c>
      <c r="F523" s="101">
        <v>0.67</v>
      </c>
      <c r="G523" s="63">
        <f>VLOOKUP(D523,upahbahan,3,FALSE)</f>
        <v>100000</v>
      </c>
      <c r="H523" s="64">
        <f>F523*G523</f>
        <v>67000</v>
      </c>
      <c r="M523" s="494"/>
    </row>
    <row r="524" spans="3:13" ht="19.8" customHeight="1">
      <c r="C524" s="60">
        <v>2</v>
      </c>
      <c r="D524" s="56" t="s">
        <v>8</v>
      </c>
      <c r="E524" s="61" t="s">
        <v>6</v>
      </c>
      <c r="F524" s="101">
        <v>2</v>
      </c>
      <c r="G524" s="63">
        <f>VLOOKUP(D524,upahbahan,3,FALSE)</f>
        <v>135000</v>
      </c>
      <c r="H524" s="64">
        <f t="shared" ref="H524:H526" si="41">F524*G524</f>
        <v>270000</v>
      </c>
      <c r="M524" s="494"/>
    </row>
    <row r="525" spans="3:13" ht="19.8" customHeight="1">
      <c r="C525" s="60">
        <v>3</v>
      </c>
      <c r="D525" s="56" t="s">
        <v>18</v>
      </c>
      <c r="E525" s="61" t="s">
        <v>6</v>
      </c>
      <c r="F525" s="101">
        <v>0.2</v>
      </c>
      <c r="G525" s="63">
        <f>VLOOKUP(D525,upahbahan,3,FALSE)</f>
        <v>150000</v>
      </c>
      <c r="H525" s="64">
        <f t="shared" si="41"/>
        <v>30000</v>
      </c>
      <c r="M525" s="494"/>
    </row>
    <row r="526" spans="3:13" ht="19.8" customHeight="1">
      <c r="C526" s="60">
        <v>4</v>
      </c>
      <c r="D526" s="56" t="s">
        <v>19</v>
      </c>
      <c r="E526" s="61" t="s">
        <v>6</v>
      </c>
      <c r="F526" s="101">
        <v>6.6699999999999995E-2</v>
      </c>
      <c r="G526" s="63">
        <f>VLOOKUP(D526,upahbahan,3,FALSE)</f>
        <v>160000</v>
      </c>
      <c r="H526" s="64">
        <f t="shared" si="41"/>
        <v>10672</v>
      </c>
      <c r="M526" s="494"/>
    </row>
    <row r="527" spans="3:13" ht="19.8" customHeight="1">
      <c r="C527" s="66" t="s">
        <v>1208</v>
      </c>
      <c r="D527" s="67"/>
      <c r="E527" s="67"/>
      <c r="F527" s="142"/>
      <c r="G527" s="153"/>
      <c r="H527" s="64">
        <f>SUM(H523:H526)</f>
        <v>377672</v>
      </c>
      <c r="I527" s="154"/>
      <c r="J527" s="154"/>
      <c r="K527" s="154"/>
      <c r="M527" s="494"/>
    </row>
    <row r="528" spans="3:13" ht="19.8" customHeight="1">
      <c r="C528" s="55" t="s">
        <v>1209</v>
      </c>
      <c r="D528" s="56" t="s">
        <v>1210</v>
      </c>
      <c r="E528" s="57"/>
      <c r="F528" s="57"/>
      <c r="G528" s="63"/>
      <c r="H528" s="58"/>
      <c r="M528" s="494"/>
    </row>
    <row r="529" spans="3:13" ht="19.8" customHeight="1">
      <c r="C529" s="92" t="s">
        <v>1203</v>
      </c>
      <c r="D529" s="72" t="s">
        <v>123</v>
      </c>
      <c r="E529" s="265" t="s">
        <v>42</v>
      </c>
      <c r="F529" s="104">
        <v>0.06</v>
      </c>
      <c r="G529" s="63" t="e">
        <f>VLOOKUP(D529,upahbahan,3,FALSE)</f>
        <v>#VALUE!</v>
      </c>
      <c r="H529" s="64" t="e">
        <f t="shared" ref="H529:H530" si="42">F529*G529</f>
        <v>#VALUE!</v>
      </c>
      <c r="M529" s="494"/>
    </row>
    <row r="530" spans="3:13" ht="19.8" customHeight="1">
      <c r="C530" s="92" t="s">
        <v>1204</v>
      </c>
      <c r="D530" s="72" t="s">
        <v>259</v>
      </c>
      <c r="E530" s="265" t="s">
        <v>65</v>
      </c>
      <c r="F530" s="104">
        <v>0.15</v>
      </c>
      <c r="G530" s="63">
        <f>VLOOKUP(D530,upahbahan,3,FALSE)</f>
        <v>33075</v>
      </c>
      <c r="H530" s="64">
        <f t="shared" si="42"/>
        <v>4961.25</v>
      </c>
      <c r="M530" s="494"/>
    </row>
    <row r="531" spans="3:13" ht="19.8" customHeight="1">
      <c r="C531" s="66" t="s">
        <v>1214</v>
      </c>
      <c r="D531" s="67"/>
      <c r="E531" s="67"/>
      <c r="F531" s="67"/>
      <c r="G531" s="69"/>
      <c r="H531" s="64" t="e">
        <f>SUM(H529:H530)</f>
        <v>#VALUE!</v>
      </c>
      <c r="M531" s="494"/>
    </row>
    <row r="532" spans="3:13" ht="19.8" customHeight="1">
      <c r="C532" s="167" t="s">
        <v>1215</v>
      </c>
      <c r="D532" s="56" t="s">
        <v>1216</v>
      </c>
      <c r="E532" s="57"/>
      <c r="F532" s="57"/>
      <c r="G532" s="57"/>
      <c r="H532" s="58"/>
      <c r="M532" s="494"/>
    </row>
    <row r="533" spans="3:13" ht="19.8" customHeight="1">
      <c r="C533" s="66" t="s">
        <v>1217</v>
      </c>
      <c r="D533" s="67"/>
      <c r="E533" s="67"/>
      <c r="F533" s="67"/>
      <c r="G533" s="69"/>
      <c r="H533" s="74">
        <v>0</v>
      </c>
      <c r="M533" s="494"/>
    </row>
    <row r="534" spans="3:13" ht="19.8" customHeight="1">
      <c r="C534" s="75" t="s">
        <v>1218</v>
      </c>
      <c r="D534" s="76" t="s">
        <v>1219</v>
      </c>
      <c r="E534" s="77"/>
      <c r="F534" s="77"/>
      <c r="G534" s="78"/>
      <c r="H534" s="64" t="e">
        <f>H533+H531+H527</f>
        <v>#VALUE!</v>
      </c>
      <c r="M534" s="494"/>
    </row>
    <row r="535" spans="3:13" ht="19.8" customHeight="1">
      <c r="C535" s="75" t="s">
        <v>1220</v>
      </c>
      <c r="D535" s="76" t="s">
        <v>1321</v>
      </c>
      <c r="E535" s="77"/>
      <c r="F535" s="78"/>
      <c r="G535" s="80">
        <f>$O$8</f>
        <v>0.1</v>
      </c>
      <c r="H535" s="64" t="e">
        <f>H534*G535</f>
        <v>#VALUE!</v>
      </c>
      <c r="M535" s="494"/>
    </row>
    <row r="536" spans="3:13" ht="19.8" customHeight="1" thickBot="1">
      <c r="C536" s="81" t="s">
        <v>1221</v>
      </c>
      <c r="D536" s="82" t="s">
        <v>1222</v>
      </c>
      <c r="E536" s="83"/>
      <c r="F536" s="83"/>
      <c r="G536" s="84"/>
      <c r="H536" s="85" t="e">
        <f>SUM(H534:H535)</f>
        <v>#VALUE!</v>
      </c>
      <c r="M536" s="494"/>
    </row>
    <row r="537" spans="3:13" ht="14.4" thickTop="1">
      <c r="C537" s="54"/>
      <c r="D537" s="86"/>
      <c r="E537" s="86"/>
      <c r="F537" s="86"/>
      <c r="G537" s="86"/>
      <c r="H537" s="87"/>
      <c r="M537" s="494"/>
    </row>
    <row r="538" spans="3:13">
      <c r="C538" s="54"/>
      <c r="D538" s="86"/>
      <c r="E538" s="86"/>
      <c r="F538" s="86"/>
      <c r="G538" s="86"/>
      <c r="H538" s="87"/>
      <c r="M538" s="494"/>
    </row>
    <row r="539" spans="3:13" ht="14.4" thickBot="1">
      <c r="C539" s="44" t="s">
        <v>3064</v>
      </c>
      <c r="D539" s="149" t="s">
        <v>3065</v>
      </c>
      <c r="E539" s="149"/>
      <c r="F539" s="149"/>
      <c r="G539" s="149"/>
      <c r="H539" s="149"/>
      <c r="I539" s="50">
        <f>ROUNDDOWN(H554,-2)</f>
        <v>15800</v>
      </c>
      <c r="J539" s="50"/>
      <c r="K539" s="50"/>
      <c r="M539" s="494"/>
    </row>
    <row r="540" spans="3:13" ht="28.2" thickTop="1">
      <c r="C540" s="51" t="s">
        <v>1195</v>
      </c>
      <c r="D540" s="52" t="s">
        <v>1196</v>
      </c>
      <c r="E540" s="52" t="s">
        <v>1197</v>
      </c>
      <c r="F540" s="52" t="s">
        <v>1198</v>
      </c>
      <c r="G540" s="52" t="s">
        <v>1199</v>
      </c>
      <c r="H540" s="53" t="s">
        <v>1200</v>
      </c>
      <c r="M540" s="494"/>
    </row>
    <row r="541" spans="3:13" ht="19.8" customHeight="1">
      <c r="C541" s="55" t="s">
        <v>1201</v>
      </c>
      <c r="D541" s="56" t="s">
        <v>1202</v>
      </c>
      <c r="E541" s="57"/>
      <c r="F541" s="57"/>
      <c r="G541" s="57"/>
      <c r="H541" s="58"/>
      <c r="M541" s="494"/>
    </row>
    <row r="542" spans="3:13" ht="19.8" customHeight="1">
      <c r="C542" s="60">
        <v>1</v>
      </c>
      <c r="D542" s="56" t="s">
        <v>5</v>
      </c>
      <c r="E542" s="61" t="s">
        <v>6</v>
      </c>
      <c r="F542" s="101">
        <v>5.6000000000000001E-2</v>
      </c>
      <c r="G542" s="63">
        <f>VLOOKUP(D542,upahbahan,3,FALSE)</f>
        <v>100000</v>
      </c>
      <c r="H542" s="64">
        <f>F542*G542</f>
        <v>5600</v>
      </c>
      <c r="M542" s="494"/>
    </row>
    <row r="543" spans="3:13" ht="19.8" customHeight="1">
      <c r="C543" s="60">
        <v>2</v>
      </c>
      <c r="D543" s="56" t="s">
        <v>9</v>
      </c>
      <c r="E543" s="61" t="s">
        <v>6</v>
      </c>
      <c r="F543" s="101">
        <v>5.6000000000000001E-2</v>
      </c>
      <c r="G543" s="63">
        <f>VLOOKUP(D543,upahbahan,3,FALSE)</f>
        <v>135000</v>
      </c>
      <c r="H543" s="64">
        <f t="shared" ref="H543:H545" si="43">F543*G543</f>
        <v>7560</v>
      </c>
      <c r="M543" s="494"/>
    </row>
    <row r="544" spans="3:13" ht="19.8" customHeight="1">
      <c r="C544" s="60">
        <v>3</v>
      </c>
      <c r="D544" s="56" t="s">
        <v>18</v>
      </c>
      <c r="E544" s="61" t="s">
        <v>6</v>
      </c>
      <c r="F544" s="101">
        <v>6.0000000000000001E-3</v>
      </c>
      <c r="G544" s="63">
        <f>VLOOKUP(D544,upahbahan,3,FALSE)</f>
        <v>150000</v>
      </c>
      <c r="H544" s="64">
        <f t="shared" si="43"/>
        <v>900</v>
      </c>
      <c r="M544" s="494"/>
    </row>
    <row r="545" spans="3:13" ht="19.8" customHeight="1">
      <c r="C545" s="60">
        <v>4</v>
      </c>
      <c r="D545" s="56" t="s">
        <v>19</v>
      </c>
      <c r="E545" s="61" t="s">
        <v>6</v>
      </c>
      <c r="F545" s="101">
        <v>2E-3</v>
      </c>
      <c r="G545" s="63">
        <f>VLOOKUP(D545,upahbahan,3,FALSE)</f>
        <v>160000</v>
      </c>
      <c r="H545" s="64">
        <f t="shared" si="43"/>
        <v>320</v>
      </c>
      <c r="M545" s="494"/>
    </row>
    <row r="546" spans="3:13" ht="19.8" customHeight="1">
      <c r="C546" s="66" t="s">
        <v>1208</v>
      </c>
      <c r="D546" s="67"/>
      <c r="E546" s="67"/>
      <c r="F546" s="142"/>
      <c r="G546" s="153"/>
      <c r="H546" s="64">
        <f>SUM(H542:H545)</f>
        <v>14380</v>
      </c>
      <c r="I546" s="154"/>
      <c r="J546" s="154"/>
      <c r="K546" s="154"/>
      <c r="M546" s="494"/>
    </row>
    <row r="547" spans="3:13" ht="19.8" customHeight="1">
      <c r="C547" s="55" t="s">
        <v>1209</v>
      </c>
      <c r="D547" s="56" t="s">
        <v>1210</v>
      </c>
      <c r="E547" s="57"/>
      <c r="F547" s="57"/>
      <c r="G547" s="63"/>
      <c r="H547" s="58"/>
      <c r="M547" s="494"/>
    </row>
    <row r="548" spans="3:13" ht="19.8" customHeight="1">
      <c r="C548" s="92" t="s">
        <v>1203</v>
      </c>
      <c r="D548" s="72" t="s">
        <v>3066</v>
      </c>
      <c r="E548" s="265" t="s">
        <v>42</v>
      </c>
      <c r="F548" s="104">
        <v>1</v>
      </c>
      <c r="G548" s="63">
        <f>VLOOKUP(D548,upahbahan,3,FALSE)</f>
        <v>0</v>
      </c>
      <c r="H548" s="64">
        <f t="shared" ref="H548" si="44">F548*G548</f>
        <v>0</v>
      </c>
      <c r="M548" s="494"/>
    </row>
    <row r="549" spans="3:13" ht="19.8" customHeight="1">
      <c r="C549" s="66" t="s">
        <v>1214</v>
      </c>
      <c r="D549" s="67"/>
      <c r="E549" s="67"/>
      <c r="F549" s="67"/>
      <c r="G549" s="69"/>
      <c r="H549" s="64">
        <f>SUM(H548:H548)</f>
        <v>0</v>
      </c>
      <c r="M549" s="494"/>
    </row>
    <row r="550" spans="3:13" ht="19.8" customHeight="1">
      <c r="C550" s="167" t="s">
        <v>1215</v>
      </c>
      <c r="D550" s="56" t="s">
        <v>1216</v>
      </c>
      <c r="E550" s="57"/>
      <c r="F550" s="57"/>
      <c r="G550" s="57"/>
      <c r="H550" s="58"/>
      <c r="M550" s="494"/>
    </row>
    <row r="551" spans="3:13" ht="19.8" customHeight="1">
      <c r="C551" s="66" t="s">
        <v>1217</v>
      </c>
      <c r="D551" s="67"/>
      <c r="E551" s="67"/>
      <c r="F551" s="67"/>
      <c r="G551" s="69"/>
      <c r="H551" s="74">
        <v>0</v>
      </c>
      <c r="M551" s="494"/>
    </row>
    <row r="552" spans="3:13" ht="19.8" customHeight="1">
      <c r="C552" s="75" t="s">
        <v>1218</v>
      </c>
      <c r="D552" s="76" t="s">
        <v>1219</v>
      </c>
      <c r="E552" s="77"/>
      <c r="F552" s="77"/>
      <c r="G552" s="78"/>
      <c r="H552" s="64">
        <f>H551+H549+H546</f>
        <v>14380</v>
      </c>
      <c r="M552" s="494"/>
    </row>
    <row r="553" spans="3:13" ht="19.8" customHeight="1">
      <c r="C553" s="75" t="s">
        <v>1220</v>
      </c>
      <c r="D553" s="76" t="s">
        <v>1321</v>
      </c>
      <c r="E553" s="77"/>
      <c r="F553" s="78"/>
      <c r="G553" s="80">
        <f>$O$8</f>
        <v>0.1</v>
      </c>
      <c r="H553" s="64">
        <f>H552*G553</f>
        <v>1438</v>
      </c>
      <c r="M553" s="494"/>
    </row>
    <row r="554" spans="3:13" ht="19.8" customHeight="1" thickBot="1">
      <c r="C554" s="81" t="s">
        <v>1221</v>
      </c>
      <c r="D554" s="82" t="s">
        <v>1222</v>
      </c>
      <c r="E554" s="83"/>
      <c r="F554" s="83"/>
      <c r="G554" s="84"/>
      <c r="H554" s="85">
        <f>SUM(H552:H553)</f>
        <v>15818</v>
      </c>
      <c r="M554" s="494"/>
    </row>
    <row r="555" spans="3:13" ht="14.4" thickTop="1">
      <c r="C555" s="54"/>
      <c r="D555" s="86"/>
      <c r="E555" s="86"/>
      <c r="F555" s="86"/>
      <c r="G555" s="86"/>
      <c r="H555" s="87"/>
      <c r="M555" s="494"/>
    </row>
    <row r="556" spans="3:13">
      <c r="C556" s="54"/>
      <c r="D556" s="86"/>
      <c r="E556" s="86"/>
      <c r="F556" s="86"/>
      <c r="G556" s="86"/>
      <c r="H556" s="87"/>
      <c r="M556" s="494"/>
    </row>
    <row r="557" spans="3:13" ht="14.4" thickBot="1">
      <c r="C557" s="44" t="s">
        <v>3067</v>
      </c>
      <c r="D557" s="149" t="s">
        <v>3068</v>
      </c>
      <c r="E557" s="149"/>
      <c r="F557" s="149"/>
      <c r="G557" s="149"/>
      <c r="H557" s="149"/>
      <c r="I557" s="50">
        <f>ROUNDDOWN(H572,-2)</f>
        <v>15800</v>
      </c>
      <c r="J557" s="50"/>
      <c r="K557" s="50"/>
      <c r="M557" s="494"/>
    </row>
    <row r="558" spans="3:13" ht="28.2" thickTop="1">
      <c r="C558" s="51" t="s">
        <v>1195</v>
      </c>
      <c r="D558" s="52" t="s">
        <v>1196</v>
      </c>
      <c r="E558" s="52" t="s">
        <v>1197</v>
      </c>
      <c r="F558" s="52" t="s">
        <v>1198</v>
      </c>
      <c r="G558" s="52" t="s">
        <v>1199</v>
      </c>
      <c r="H558" s="53" t="s">
        <v>1200</v>
      </c>
      <c r="M558" s="494"/>
    </row>
    <row r="559" spans="3:13" ht="19.8" customHeight="1">
      <c r="C559" s="55" t="s">
        <v>1201</v>
      </c>
      <c r="D559" s="56" t="s">
        <v>1202</v>
      </c>
      <c r="E559" s="57"/>
      <c r="F559" s="57"/>
      <c r="G559" s="57"/>
      <c r="H559" s="58"/>
      <c r="M559" s="494"/>
    </row>
    <row r="560" spans="3:13" ht="19.8" customHeight="1">
      <c r="C560" s="60">
        <v>1</v>
      </c>
      <c r="D560" s="56" t="s">
        <v>5</v>
      </c>
      <c r="E560" s="61" t="s">
        <v>6</v>
      </c>
      <c r="F560" s="101">
        <v>5.6000000000000001E-2</v>
      </c>
      <c r="G560" s="63">
        <f>VLOOKUP(D560,upahbahan,3,FALSE)</f>
        <v>100000</v>
      </c>
      <c r="H560" s="64">
        <f>F560*G560</f>
        <v>5600</v>
      </c>
      <c r="M560" s="494"/>
    </row>
    <row r="561" spans="3:13" ht="19.8" customHeight="1">
      <c r="C561" s="60">
        <v>2</v>
      </c>
      <c r="D561" s="56" t="s">
        <v>9</v>
      </c>
      <c r="E561" s="61" t="s">
        <v>6</v>
      </c>
      <c r="F561" s="101">
        <v>5.6000000000000001E-2</v>
      </c>
      <c r="G561" s="63">
        <f>VLOOKUP(D561,upahbahan,3,FALSE)</f>
        <v>135000</v>
      </c>
      <c r="H561" s="64">
        <f>F561*G561</f>
        <v>7560</v>
      </c>
      <c r="M561" s="494"/>
    </row>
    <row r="562" spans="3:13" ht="19.8" customHeight="1">
      <c r="C562" s="60">
        <v>3</v>
      </c>
      <c r="D562" s="56" t="s">
        <v>18</v>
      </c>
      <c r="E562" s="61" t="s">
        <v>6</v>
      </c>
      <c r="F562" s="101">
        <v>6.0000000000000001E-3</v>
      </c>
      <c r="G562" s="63">
        <f>VLOOKUP(D562,upahbahan,3,FALSE)</f>
        <v>150000</v>
      </c>
      <c r="H562" s="64">
        <f>F562*G562</f>
        <v>900</v>
      </c>
      <c r="M562" s="494"/>
    </row>
    <row r="563" spans="3:13" ht="19.8" customHeight="1">
      <c r="C563" s="60">
        <v>4</v>
      </c>
      <c r="D563" s="56" t="s">
        <v>19</v>
      </c>
      <c r="E563" s="61" t="s">
        <v>6</v>
      </c>
      <c r="F563" s="101">
        <v>2E-3</v>
      </c>
      <c r="G563" s="63">
        <f>VLOOKUP(D563,upahbahan,3,FALSE)</f>
        <v>160000</v>
      </c>
      <c r="H563" s="64">
        <f>F563*G563</f>
        <v>320</v>
      </c>
      <c r="M563" s="494"/>
    </row>
    <row r="564" spans="3:13" ht="19.8" customHeight="1">
      <c r="C564" s="66" t="s">
        <v>1208</v>
      </c>
      <c r="D564" s="67"/>
      <c r="E564" s="67"/>
      <c r="F564" s="142"/>
      <c r="G564" s="153"/>
      <c r="H564" s="64">
        <f>SUM(H560:H563)</f>
        <v>14380</v>
      </c>
      <c r="I564" s="154"/>
      <c r="J564" s="154"/>
      <c r="K564" s="154"/>
      <c r="M564" s="494"/>
    </row>
    <row r="565" spans="3:13" ht="19.8" customHeight="1">
      <c r="C565" s="55" t="s">
        <v>1209</v>
      </c>
      <c r="D565" s="56" t="s">
        <v>1210</v>
      </c>
      <c r="E565" s="57"/>
      <c r="F565" s="57"/>
      <c r="G565" s="63"/>
      <c r="H565" s="58"/>
      <c r="M565" s="494"/>
    </row>
    <row r="566" spans="3:13" ht="19.8" customHeight="1">
      <c r="C566" s="92" t="s">
        <v>1203</v>
      </c>
      <c r="D566" s="72" t="s">
        <v>3069</v>
      </c>
      <c r="E566" s="265" t="s">
        <v>2167</v>
      </c>
      <c r="F566" s="104">
        <v>1</v>
      </c>
      <c r="G566" s="63">
        <f>VLOOKUP(D566,upahbahan,3,FALSE)</f>
        <v>0</v>
      </c>
      <c r="H566" s="64">
        <f t="shared" ref="H566" si="45">F566*G566</f>
        <v>0</v>
      </c>
      <c r="M566" s="494"/>
    </row>
    <row r="567" spans="3:13" ht="19.8" customHeight="1">
      <c r="C567" s="66" t="s">
        <v>1214</v>
      </c>
      <c r="D567" s="67"/>
      <c r="E567" s="67"/>
      <c r="F567" s="67"/>
      <c r="G567" s="69"/>
      <c r="H567" s="64">
        <f>SUM(H566:H566)</f>
        <v>0</v>
      </c>
      <c r="M567" s="494"/>
    </row>
    <row r="568" spans="3:13" ht="19.8" customHeight="1">
      <c r="C568" s="167" t="s">
        <v>1215</v>
      </c>
      <c r="D568" s="56" t="s">
        <v>1216</v>
      </c>
      <c r="E568" s="57"/>
      <c r="F568" s="57"/>
      <c r="G568" s="57"/>
      <c r="H568" s="58"/>
      <c r="M568" s="494"/>
    </row>
    <row r="569" spans="3:13" ht="19.8" customHeight="1">
      <c r="C569" s="66" t="s">
        <v>1217</v>
      </c>
      <c r="D569" s="67"/>
      <c r="E569" s="67"/>
      <c r="F569" s="67"/>
      <c r="G569" s="69"/>
      <c r="H569" s="74">
        <v>0</v>
      </c>
      <c r="M569" s="494"/>
    </row>
    <row r="570" spans="3:13" ht="19.8" customHeight="1">
      <c r="C570" s="75" t="s">
        <v>1218</v>
      </c>
      <c r="D570" s="76" t="s">
        <v>1219</v>
      </c>
      <c r="E570" s="77"/>
      <c r="F570" s="77"/>
      <c r="G570" s="78"/>
      <c r="H570" s="64">
        <f>H569+H567+H564</f>
        <v>14380</v>
      </c>
      <c r="M570" s="494"/>
    </row>
    <row r="571" spans="3:13" ht="19.8" customHeight="1">
      <c r="C571" s="75" t="s">
        <v>1220</v>
      </c>
      <c r="D571" s="76" t="s">
        <v>1321</v>
      </c>
      <c r="E571" s="77"/>
      <c r="F571" s="78"/>
      <c r="G571" s="80">
        <f>$O$8</f>
        <v>0.1</v>
      </c>
      <c r="H571" s="64">
        <f>H570*G571</f>
        <v>1438</v>
      </c>
      <c r="M571" s="494"/>
    </row>
    <row r="572" spans="3:13" ht="19.8" customHeight="1" thickBot="1">
      <c r="C572" s="81" t="s">
        <v>1221</v>
      </c>
      <c r="D572" s="82" t="s">
        <v>1222</v>
      </c>
      <c r="E572" s="83"/>
      <c r="F572" s="83"/>
      <c r="G572" s="84"/>
      <c r="H572" s="85">
        <f>SUM(H570:H571)</f>
        <v>15818</v>
      </c>
      <c r="M572" s="494"/>
    </row>
    <row r="573" spans="3:13" ht="14.4" thickTop="1">
      <c r="C573" s="54"/>
      <c r="D573" s="86"/>
      <c r="E573" s="86"/>
      <c r="F573" s="86"/>
      <c r="G573" s="86"/>
      <c r="H573" s="87"/>
      <c r="M573" s="494"/>
    </row>
    <row r="574" spans="3:13">
      <c r="C574" s="54"/>
      <c r="D574" s="86"/>
      <c r="E574" s="86"/>
      <c r="F574" s="86"/>
      <c r="G574" s="86"/>
      <c r="H574" s="87"/>
      <c r="M574" s="494"/>
    </row>
    <row r="575" spans="3:13">
      <c r="C575" s="43" t="s">
        <v>3071</v>
      </c>
      <c r="D575" s="128" t="s">
        <v>3072</v>
      </c>
      <c r="E575" s="86"/>
      <c r="F575" s="86"/>
      <c r="G575" s="86"/>
      <c r="H575" s="87"/>
      <c r="M575" s="494"/>
    </row>
    <row r="576" spans="3:13" ht="14.4" thickBot="1">
      <c r="C576" s="44" t="s">
        <v>3073</v>
      </c>
      <c r="D576" s="149" t="s">
        <v>1508</v>
      </c>
      <c r="E576" s="151"/>
      <c r="F576" s="151"/>
      <c r="G576" s="151"/>
      <c r="H576" s="151"/>
      <c r="I576" s="50">
        <f>ROUNDDOWN(H591,-2)</f>
        <v>267800</v>
      </c>
      <c r="J576" s="50"/>
      <c r="K576" s="50"/>
      <c r="M576" s="494"/>
    </row>
    <row r="577" spans="3:13" ht="28.2" thickTop="1">
      <c r="C577" s="51" t="s">
        <v>1195</v>
      </c>
      <c r="D577" s="52" t="s">
        <v>1196</v>
      </c>
      <c r="E577" s="52" t="s">
        <v>1197</v>
      </c>
      <c r="F577" s="52" t="s">
        <v>1198</v>
      </c>
      <c r="G577" s="52" t="s">
        <v>1199</v>
      </c>
      <c r="H577" s="53" t="s">
        <v>1200</v>
      </c>
      <c r="M577" s="494"/>
    </row>
    <row r="578" spans="3:13" ht="19.8" customHeight="1">
      <c r="C578" s="55" t="s">
        <v>1201</v>
      </c>
      <c r="D578" s="56" t="s">
        <v>1202</v>
      </c>
      <c r="E578" s="57"/>
      <c r="F578" s="57"/>
      <c r="G578" s="57"/>
      <c r="H578" s="58"/>
      <c r="M578" s="494"/>
    </row>
    <row r="579" spans="3:13" ht="19.8" customHeight="1">
      <c r="C579" s="60">
        <v>1</v>
      </c>
      <c r="D579" s="56" t="s">
        <v>5</v>
      </c>
      <c r="E579" s="61" t="s">
        <v>6</v>
      </c>
      <c r="F579" s="62">
        <v>0.06</v>
      </c>
      <c r="G579" s="63">
        <f>VLOOKUP(D579,upahbahan,3,FALSE)</f>
        <v>100000</v>
      </c>
      <c r="H579" s="64">
        <f t="shared" ref="H579:H582" si="46">F579*G579</f>
        <v>6000</v>
      </c>
      <c r="M579" s="494"/>
    </row>
    <row r="580" spans="3:13" ht="19.8" customHeight="1">
      <c r="C580" s="60">
        <v>2</v>
      </c>
      <c r="D580" s="56" t="s">
        <v>8</v>
      </c>
      <c r="E580" s="61" t="s">
        <v>6</v>
      </c>
      <c r="F580" s="62">
        <v>0.6</v>
      </c>
      <c r="G580" s="63">
        <f>VLOOKUP(D580,upahbahan,3,FALSE)</f>
        <v>135000</v>
      </c>
      <c r="H580" s="64">
        <f t="shared" si="46"/>
        <v>81000</v>
      </c>
      <c r="M580" s="494"/>
    </row>
    <row r="581" spans="3:13" ht="19.8" customHeight="1">
      <c r="C581" s="60">
        <v>3</v>
      </c>
      <c r="D581" s="56" t="s">
        <v>18</v>
      </c>
      <c r="E581" s="61" t="s">
        <v>6</v>
      </c>
      <c r="F581" s="62">
        <v>0.06</v>
      </c>
      <c r="G581" s="63">
        <f>VLOOKUP(D581,upahbahan,3,FALSE)</f>
        <v>150000</v>
      </c>
      <c r="H581" s="64">
        <f t="shared" si="46"/>
        <v>9000</v>
      </c>
      <c r="M581" s="494"/>
    </row>
    <row r="582" spans="3:13" ht="19.8" customHeight="1">
      <c r="C582" s="60">
        <v>4</v>
      </c>
      <c r="D582" s="56" t="s">
        <v>19</v>
      </c>
      <c r="E582" s="61" t="s">
        <v>6</v>
      </c>
      <c r="F582" s="62">
        <v>0.02</v>
      </c>
      <c r="G582" s="63">
        <f>VLOOKUP(D582,upahbahan,3,FALSE)</f>
        <v>160000</v>
      </c>
      <c r="H582" s="64">
        <f t="shared" si="46"/>
        <v>3200</v>
      </c>
      <c r="M582" s="494"/>
    </row>
    <row r="583" spans="3:13" ht="19.8" customHeight="1">
      <c r="C583" s="66" t="s">
        <v>1208</v>
      </c>
      <c r="D583" s="67"/>
      <c r="E583" s="67"/>
      <c r="F583" s="142"/>
      <c r="G583" s="153"/>
      <c r="H583" s="64">
        <f>SUM(H579:H582)</f>
        <v>99200</v>
      </c>
      <c r="I583" s="154"/>
      <c r="J583" s="154"/>
      <c r="K583" s="154"/>
      <c r="M583" s="494"/>
    </row>
    <row r="584" spans="3:13" ht="19.8" customHeight="1">
      <c r="C584" s="55" t="s">
        <v>1209</v>
      </c>
      <c r="D584" s="56" t="s">
        <v>1210</v>
      </c>
      <c r="E584" s="57"/>
      <c r="F584" s="57"/>
      <c r="G584" s="57"/>
      <c r="H584" s="58"/>
      <c r="M584" s="494"/>
    </row>
    <row r="585" spans="3:13" ht="19.8" customHeight="1">
      <c r="C585" s="60">
        <v>1</v>
      </c>
      <c r="D585" s="56" t="s">
        <v>623</v>
      </c>
      <c r="E585" s="61" t="s">
        <v>44</v>
      </c>
      <c r="F585" s="62">
        <v>1</v>
      </c>
      <c r="G585" s="63">
        <f>VLOOKUP(D585,upahbahan,3,FALSE)</f>
        <v>144300</v>
      </c>
      <c r="H585" s="64">
        <f>F585*G585</f>
        <v>144300</v>
      </c>
      <c r="M585" s="494"/>
    </row>
    <row r="586" spans="3:13" ht="19.8" customHeight="1">
      <c r="C586" s="66" t="s">
        <v>1214</v>
      </c>
      <c r="D586" s="67"/>
      <c r="E586" s="67"/>
      <c r="F586" s="67"/>
      <c r="G586" s="69"/>
      <c r="H586" s="64">
        <f>SUM(H585)</f>
        <v>144300</v>
      </c>
      <c r="M586" s="494"/>
    </row>
    <row r="587" spans="3:13" ht="19.8" customHeight="1">
      <c r="C587" s="167" t="s">
        <v>1215</v>
      </c>
      <c r="D587" s="56" t="s">
        <v>1216</v>
      </c>
      <c r="E587" s="57"/>
      <c r="F587" s="57"/>
      <c r="G587" s="57"/>
      <c r="H587" s="58"/>
      <c r="M587" s="494"/>
    </row>
    <row r="588" spans="3:13" ht="19.8" customHeight="1">
      <c r="C588" s="66" t="s">
        <v>1217</v>
      </c>
      <c r="D588" s="67"/>
      <c r="E588" s="67"/>
      <c r="F588" s="67"/>
      <c r="G588" s="69"/>
      <c r="H588" s="74">
        <v>0</v>
      </c>
      <c r="M588" s="494"/>
    </row>
    <row r="589" spans="3:13" ht="19.8" customHeight="1">
      <c r="C589" s="75" t="s">
        <v>1218</v>
      </c>
      <c r="D589" s="76" t="s">
        <v>1219</v>
      </c>
      <c r="E589" s="77"/>
      <c r="F589" s="77"/>
      <c r="G589" s="78"/>
      <c r="H589" s="64">
        <f>H588+H586+H583</f>
        <v>243500</v>
      </c>
      <c r="M589" s="494"/>
    </row>
    <row r="590" spans="3:13" ht="19.8" customHeight="1">
      <c r="C590" s="75" t="s">
        <v>1220</v>
      </c>
      <c r="D590" s="76" t="s">
        <v>1321</v>
      </c>
      <c r="E590" s="77"/>
      <c r="F590" s="78"/>
      <c r="G590" s="80">
        <f>$O$8</f>
        <v>0.1</v>
      </c>
      <c r="H590" s="64">
        <f>H589*G590</f>
        <v>24350</v>
      </c>
      <c r="M590" s="494"/>
    </row>
    <row r="591" spans="3:13" ht="19.8" customHeight="1" thickBot="1">
      <c r="C591" s="81" t="s">
        <v>1221</v>
      </c>
      <c r="D591" s="82" t="s">
        <v>1222</v>
      </c>
      <c r="E591" s="83"/>
      <c r="F591" s="83"/>
      <c r="G591" s="84"/>
      <c r="H591" s="85">
        <f>SUM(H589:H590)</f>
        <v>267850</v>
      </c>
      <c r="M591" s="494"/>
    </row>
    <row r="592" spans="3:13" ht="14.4" thickTop="1">
      <c r="C592" s="89"/>
      <c r="D592" s="90"/>
      <c r="E592" s="90"/>
      <c r="F592" s="90"/>
      <c r="G592" s="90"/>
      <c r="H592" s="91"/>
      <c r="M592" s="494"/>
    </row>
    <row r="593" spans="3:13" ht="14.4" thickBot="1">
      <c r="C593" s="47" t="s">
        <v>3074</v>
      </c>
      <c r="D593" s="149" t="s">
        <v>1509</v>
      </c>
      <c r="E593" s="275"/>
      <c r="F593" s="275"/>
      <c r="G593" s="275"/>
      <c r="H593" s="275"/>
      <c r="I593" s="50">
        <f>ROUNDDOWN(H608,-2)</f>
        <v>158900</v>
      </c>
      <c r="J593" s="50"/>
      <c r="K593" s="50"/>
      <c r="M593" s="494"/>
    </row>
    <row r="594" spans="3:13" ht="28.2" thickTop="1">
      <c r="C594" s="51" t="s">
        <v>1195</v>
      </c>
      <c r="D594" s="52" t="s">
        <v>1196</v>
      </c>
      <c r="E594" s="52" t="s">
        <v>1197</v>
      </c>
      <c r="F594" s="52" t="s">
        <v>1198</v>
      </c>
      <c r="G594" s="52" t="s">
        <v>1199</v>
      </c>
      <c r="H594" s="53" t="s">
        <v>1200</v>
      </c>
      <c r="M594" s="494"/>
    </row>
    <row r="595" spans="3:13" ht="19.8" customHeight="1">
      <c r="C595" s="55" t="s">
        <v>1201</v>
      </c>
      <c r="D595" s="56" t="s">
        <v>1202</v>
      </c>
      <c r="E595" s="57"/>
      <c r="F595" s="57"/>
      <c r="G595" s="57"/>
      <c r="H595" s="58"/>
      <c r="M595" s="494"/>
    </row>
    <row r="596" spans="3:13" ht="19.8" customHeight="1">
      <c r="C596" s="60">
        <v>1</v>
      </c>
      <c r="D596" s="56" t="s">
        <v>5</v>
      </c>
      <c r="E596" s="61" t="s">
        <v>6</v>
      </c>
      <c r="F596" s="62">
        <v>0.01</v>
      </c>
      <c r="G596" s="63">
        <f>VLOOKUP(D596,upahbahan,3,FALSE)</f>
        <v>100000</v>
      </c>
      <c r="H596" s="64">
        <f>F596*G596</f>
        <v>1000</v>
      </c>
      <c r="M596" s="494"/>
    </row>
    <row r="597" spans="3:13" ht="19.8" customHeight="1">
      <c r="C597" s="60">
        <v>2</v>
      </c>
      <c r="D597" s="56" t="s">
        <v>8</v>
      </c>
      <c r="E597" s="61" t="s">
        <v>6</v>
      </c>
      <c r="F597" s="62">
        <v>0.5</v>
      </c>
      <c r="G597" s="63">
        <f>VLOOKUP(D597,upahbahan,3,FALSE)</f>
        <v>135000</v>
      </c>
      <c r="H597" s="64">
        <f t="shared" ref="H597:H599" si="47">F597*G597</f>
        <v>67500</v>
      </c>
      <c r="M597" s="494"/>
    </row>
    <row r="598" spans="3:13" ht="19.8" customHeight="1">
      <c r="C598" s="60">
        <v>3</v>
      </c>
      <c r="D598" s="56" t="s">
        <v>18</v>
      </c>
      <c r="E598" s="61" t="s">
        <v>6</v>
      </c>
      <c r="F598" s="62">
        <v>0.05</v>
      </c>
      <c r="G598" s="63">
        <f>VLOOKUP(D598,upahbahan,3,FALSE)</f>
        <v>150000</v>
      </c>
      <c r="H598" s="64">
        <f t="shared" si="47"/>
        <v>7500</v>
      </c>
      <c r="M598" s="494"/>
    </row>
    <row r="599" spans="3:13" ht="19.8" customHeight="1">
      <c r="C599" s="60">
        <v>4</v>
      </c>
      <c r="D599" s="56" t="s">
        <v>19</v>
      </c>
      <c r="E599" s="61" t="s">
        <v>6</v>
      </c>
      <c r="F599" s="62">
        <v>1.7000000000000001E-2</v>
      </c>
      <c r="G599" s="63">
        <f>VLOOKUP(D599,upahbahan,3,FALSE)</f>
        <v>160000</v>
      </c>
      <c r="H599" s="64">
        <f t="shared" si="47"/>
        <v>2720</v>
      </c>
      <c r="M599" s="494"/>
    </row>
    <row r="600" spans="3:13" ht="19.8" customHeight="1">
      <c r="C600" s="66" t="s">
        <v>1208</v>
      </c>
      <c r="D600" s="67"/>
      <c r="E600" s="67"/>
      <c r="F600" s="142"/>
      <c r="G600" s="153"/>
      <c r="H600" s="64">
        <f>SUM(H596:H599)</f>
        <v>78720</v>
      </c>
      <c r="I600" s="154"/>
      <c r="J600" s="154"/>
      <c r="K600" s="154"/>
      <c r="M600" s="494"/>
    </row>
    <row r="601" spans="3:13" ht="19.8" customHeight="1">
      <c r="C601" s="55" t="s">
        <v>1209</v>
      </c>
      <c r="D601" s="56" t="s">
        <v>1210</v>
      </c>
      <c r="E601" s="57"/>
      <c r="F601" s="57"/>
      <c r="G601" s="57"/>
      <c r="H601" s="58"/>
      <c r="M601" s="494"/>
    </row>
    <row r="602" spans="3:13" ht="19.8" customHeight="1">
      <c r="C602" s="60">
        <v>1</v>
      </c>
      <c r="D602" s="56" t="s">
        <v>624</v>
      </c>
      <c r="E602" s="61" t="s">
        <v>44</v>
      </c>
      <c r="F602" s="62">
        <v>1</v>
      </c>
      <c r="G602" s="63">
        <f>VLOOKUP(D602,upahbahan,3,FALSE)</f>
        <v>65800</v>
      </c>
      <c r="H602" s="64">
        <f>F602*G602</f>
        <v>65800</v>
      </c>
      <c r="M602" s="494"/>
    </row>
    <row r="603" spans="3:13" ht="19.8" customHeight="1">
      <c r="C603" s="66" t="s">
        <v>1214</v>
      </c>
      <c r="D603" s="67"/>
      <c r="E603" s="67"/>
      <c r="F603" s="67"/>
      <c r="G603" s="69"/>
      <c r="H603" s="64">
        <f>SUM(H602)</f>
        <v>65800</v>
      </c>
      <c r="M603" s="494"/>
    </row>
    <row r="604" spans="3:13" ht="19.8" customHeight="1">
      <c r="C604" s="167" t="s">
        <v>1215</v>
      </c>
      <c r="D604" s="56" t="s">
        <v>1216</v>
      </c>
      <c r="E604" s="57"/>
      <c r="F604" s="57"/>
      <c r="G604" s="57"/>
      <c r="H604" s="58"/>
      <c r="M604" s="494"/>
    </row>
    <row r="605" spans="3:13" ht="19.8" customHeight="1">
      <c r="C605" s="66" t="s">
        <v>1217</v>
      </c>
      <c r="D605" s="67"/>
      <c r="E605" s="67"/>
      <c r="F605" s="67"/>
      <c r="G605" s="69"/>
      <c r="H605" s="74">
        <v>0</v>
      </c>
      <c r="M605" s="494"/>
    </row>
    <row r="606" spans="3:13" ht="19.8" customHeight="1">
      <c r="C606" s="75" t="s">
        <v>1218</v>
      </c>
      <c r="D606" s="76" t="s">
        <v>1219</v>
      </c>
      <c r="E606" s="77"/>
      <c r="F606" s="77"/>
      <c r="G606" s="78"/>
      <c r="H606" s="64">
        <f>H605+H603+H600</f>
        <v>144520</v>
      </c>
      <c r="M606" s="494"/>
    </row>
    <row r="607" spans="3:13" ht="19.8" customHeight="1">
      <c r="C607" s="75" t="s">
        <v>1220</v>
      </c>
      <c r="D607" s="76" t="s">
        <v>1321</v>
      </c>
      <c r="E607" s="77"/>
      <c r="F607" s="78"/>
      <c r="G607" s="80">
        <f>$O$8</f>
        <v>0.1</v>
      </c>
      <c r="H607" s="64">
        <f>H606*G607</f>
        <v>14452</v>
      </c>
      <c r="M607" s="494"/>
    </row>
    <row r="608" spans="3:13" ht="19.8" customHeight="1" thickBot="1">
      <c r="C608" s="81" t="s">
        <v>1221</v>
      </c>
      <c r="D608" s="82" t="s">
        <v>1222</v>
      </c>
      <c r="E608" s="83"/>
      <c r="F608" s="83"/>
      <c r="G608" s="84"/>
      <c r="H608" s="85">
        <f>SUM(H606:H607)</f>
        <v>158972</v>
      </c>
      <c r="M608" s="494"/>
    </row>
    <row r="609" spans="3:13" ht="14.4" thickTop="1">
      <c r="C609" s="89"/>
      <c r="D609" s="90"/>
      <c r="E609" s="90"/>
      <c r="F609" s="90"/>
      <c r="G609" s="90"/>
      <c r="H609" s="91"/>
      <c r="M609" s="494"/>
    </row>
    <row r="610" spans="3:13" ht="14.4" thickBot="1">
      <c r="C610" s="47" t="s">
        <v>3075</v>
      </c>
      <c r="D610" s="149" t="s">
        <v>1510</v>
      </c>
      <c r="E610" s="275"/>
      <c r="F610" s="275"/>
      <c r="G610" s="275"/>
      <c r="H610" s="275"/>
      <c r="I610" s="50">
        <f>ROUNDDOWN(H625,-2)</f>
        <v>137600</v>
      </c>
      <c r="J610" s="50"/>
      <c r="K610" s="50"/>
      <c r="M610" s="494"/>
    </row>
    <row r="611" spans="3:13" ht="28.2" thickTop="1">
      <c r="C611" s="51" t="s">
        <v>1195</v>
      </c>
      <c r="D611" s="52" t="s">
        <v>1196</v>
      </c>
      <c r="E611" s="52" t="s">
        <v>1197</v>
      </c>
      <c r="F611" s="52" t="s">
        <v>1198</v>
      </c>
      <c r="G611" s="52" t="s">
        <v>1199</v>
      </c>
      <c r="H611" s="53" t="s">
        <v>1200</v>
      </c>
      <c r="M611" s="494"/>
    </row>
    <row r="612" spans="3:13" ht="19.8" customHeight="1">
      <c r="C612" s="55" t="s">
        <v>1201</v>
      </c>
      <c r="D612" s="56" t="s">
        <v>1202</v>
      </c>
      <c r="E612" s="57"/>
      <c r="F612" s="57"/>
      <c r="G612" s="57"/>
      <c r="H612" s="58"/>
      <c r="M612" s="494"/>
    </row>
    <row r="613" spans="3:13" ht="19.8" customHeight="1">
      <c r="C613" s="60">
        <v>1</v>
      </c>
      <c r="D613" s="56" t="s">
        <v>5</v>
      </c>
      <c r="E613" s="61" t="s">
        <v>6</v>
      </c>
      <c r="F613" s="62">
        <v>5.0000000000000001E-3</v>
      </c>
      <c r="G613" s="63">
        <f>VLOOKUP(D613,upahbahan,3,FALSE)</f>
        <v>100000</v>
      </c>
      <c r="H613" s="64">
        <f>F613*G613</f>
        <v>500</v>
      </c>
      <c r="M613" s="494"/>
    </row>
    <row r="614" spans="3:13" ht="19.8" customHeight="1">
      <c r="C614" s="60">
        <v>2</v>
      </c>
      <c r="D614" s="56" t="s">
        <v>8</v>
      </c>
      <c r="E614" s="61" t="s">
        <v>6</v>
      </c>
      <c r="F614" s="62">
        <v>0.5</v>
      </c>
      <c r="G614" s="63">
        <f>VLOOKUP(D614,upahbahan,3,FALSE)</f>
        <v>135000</v>
      </c>
      <c r="H614" s="64">
        <f t="shared" ref="H614:H616" si="48">F614*G614</f>
        <v>67500</v>
      </c>
      <c r="M614" s="494"/>
    </row>
    <row r="615" spans="3:13" ht="19.8" customHeight="1">
      <c r="C615" s="60">
        <v>3</v>
      </c>
      <c r="D615" s="56" t="s">
        <v>18</v>
      </c>
      <c r="E615" s="61" t="s">
        <v>6</v>
      </c>
      <c r="F615" s="62">
        <v>0.05</v>
      </c>
      <c r="G615" s="63">
        <f>VLOOKUP(D615,upahbahan,3,FALSE)</f>
        <v>150000</v>
      </c>
      <c r="H615" s="64">
        <f t="shared" si="48"/>
        <v>7500</v>
      </c>
      <c r="M615" s="494"/>
    </row>
    <row r="616" spans="3:13" ht="19.8" customHeight="1">
      <c r="C616" s="60">
        <v>4</v>
      </c>
      <c r="D616" s="56" t="s">
        <v>19</v>
      </c>
      <c r="E616" s="61" t="s">
        <v>6</v>
      </c>
      <c r="F616" s="62">
        <v>1.7000000000000001E-2</v>
      </c>
      <c r="G616" s="63">
        <f>VLOOKUP(D616,upahbahan,3,FALSE)</f>
        <v>160000</v>
      </c>
      <c r="H616" s="64">
        <f t="shared" si="48"/>
        <v>2720</v>
      </c>
      <c r="M616" s="494"/>
    </row>
    <row r="617" spans="3:13" ht="19.8" customHeight="1">
      <c r="C617" s="66" t="s">
        <v>1208</v>
      </c>
      <c r="D617" s="67"/>
      <c r="E617" s="67"/>
      <c r="F617" s="142"/>
      <c r="G617" s="153"/>
      <c r="H617" s="64">
        <f>SUM(H613:H616)</f>
        <v>78220</v>
      </c>
      <c r="I617" s="154"/>
      <c r="J617" s="154"/>
      <c r="K617" s="154"/>
      <c r="M617" s="494"/>
    </row>
    <row r="618" spans="3:13" ht="19.8" customHeight="1">
      <c r="C618" s="55" t="s">
        <v>1209</v>
      </c>
      <c r="D618" s="56" t="s">
        <v>1210</v>
      </c>
      <c r="E618" s="57"/>
      <c r="F618" s="57"/>
      <c r="G618" s="57"/>
      <c r="H618" s="58"/>
      <c r="M618" s="494"/>
    </row>
    <row r="619" spans="3:13" ht="19.8" customHeight="1">
      <c r="C619" s="60">
        <v>1</v>
      </c>
      <c r="D619" s="56" t="s">
        <v>626</v>
      </c>
      <c r="E619" s="61" t="s">
        <v>44</v>
      </c>
      <c r="F619" s="276">
        <v>1</v>
      </c>
      <c r="G619" s="63">
        <f>VLOOKUP(D619,upahbahan,3,FALSE)</f>
        <v>46900</v>
      </c>
      <c r="H619" s="64">
        <f>F619*G619</f>
        <v>46900</v>
      </c>
      <c r="M619" s="494"/>
    </row>
    <row r="620" spans="3:13" ht="19.8" customHeight="1">
      <c r="C620" s="66" t="s">
        <v>1214</v>
      </c>
      <c r="D620" s="67"/>
      <c r="E620" s="67"/>
      <c r="F620" s="67"/>
      <c r="G620" s="69"/>
      <c r="H620" s="64">
        <f>SUM(H619)</f>
        <v>46900</v>
      </c>
      <c r="M620" s="494"/>
    </row>
    <row r="621" spans="3:13" ht="19.8" customHeight="1">
      <c r="C621" s="167" t="s">
        <v>1215</v>
      </c>
      <c r="D621" s="56" t="s">
        <v>1216</v>
      </c>
      <c r="E621" s="57"/>
      <c r="F621" s="57"/>
      <c r="G621" s="57"/>
      <c r="H621" s="58"/>
      <c r="M621" s="494"/>
    </row>
    <row r="622" spans="3:13" ht="19.8" customHeight="1">
      <c r="C622" s="66" t="s">
        <v>1217</v>
      </c>
      <c r="D622" s="67"/>
      <c r="E622" s="67"/>
      <c r="F622" s="67"/>
      <c r="G622" s="69"/>
      <c r="H622" s="74">
        <v>0</v>
      </c>
      <c r="M622" s="494"/>
    </row>
    <row r="623" spans="3:13" ht="19.8" customHeight="1">
      <c r="C623" s="75" t="s">
        <v>1218</v>
      </c>
      <c r="D623" s="76" t="s">
        <v>1219</v>
      </c>
      <c r="E623" s="77"/>
      <c r="F623" s="77"/>
      <c r="G623" s="78"/>
      <c r="H623" s="64">
        <f>H622+H620+H617</f>
        <v>125120</v>
      </c>
      <c r="M623" s="494"/>
    </row>
    <row r="624" spans="3:13" ht="19.8" customHeight="1">
      <c r="C624" s="75" t="s">
        <v>1220</v>
      </c>
      <c r="D624" s="76" t="s">
        <v>1321</v>
      </c>
      <c r="E624" s="77"/>
      <c r="F624" s="78"/>
      <c r="G624" s="80">
        <f>$O$8</f>
        <v>0.1</v>
      </c>
      <c r="H624" s="64">
        <f>H623*G624</f>
        <v>12512</v>
      </c>
      <c r="M624" s="494"/>
    </row>
    <row r="625" spans="3:13" ht="19.8" customHeight="1" thickBot="1">
      <c r="C625" s="81" t="s">
        <v>1221</v>
      </c>
      <c r="D625" s="82" t="s">
        <v>1222</v>
      </c>
      <c r="E625" s="83"/>
      <c r="F625" s="83"/>
      <c r="G625" s="84"/>
      <c r="H625" s="85">
        <f>SUM(H623:H624)</f>
        <v>137632</v>
      </c>
      <c r="M625" s="494"/>
    </row>
    <row r="626" spans="3:13" ht="14.4" thickTop="1">
      <c r="C626" s="89"/>
      <c r="D626" s="90"/>
      <c r="E626" s="90"/>
      <c r="F626" s="90"/>
      <c r="G626" s="90"/>
      <c r="H626" s="91"/>
      <c r="M626" s="494"/>
    </row>
    <row r="627" spans="3:13" ht="14.4" thickBot="1">
      <c r="C627" s="47" t="s">
        <v>3076</v>
      </c>
      <c r="D627" s="149" t="s">
        <v>1511</v>
      </c>
      <c r="E627" s="275"/>
      <c r="F627" s="275"/>
      <c r="G627" s="275"/>
      <c r="H627" s="275"/>
      <c r="I627" s="50">
        <f>ROUNDDOWN(H642,-2)</f>
        <v>163000</v>
      </c>
      <c r="J627" s="50"/>
      <c r="K627" s="50"/>
      <c r="M627" s="494"/>
    </row>
    <row r="628" spans="3:13" ht="28.2" thickTop="1">
      <c r="C628" s="51" t="s">
        <v>1195</v>
      </c>
      <c r="D628" s="52" t="s">
        <v>1196</v>
      </c>
      <c r="E628" s="52" t="s">
        <v>1197</v>
      </c>
      <c r="F628" s="52" t="s">
        <v>1198</v>
      </c>
      <c r="G628" s="52" t="s">
        <v>1199</v>
      </c>
      <c r="H628" s="53" t="s">
        <v>1200</v>
      </c>
      <c r="M628" s="494"/>
    </row>
    <row r="629" spans="3:13" ht="19.8" customHeight="1">
      <c r="C629" s="55" t="s">
        <v>1201</v>
      </c>
      <c r="D629" s="56" t="s">
        <v>1202</v>
      </c>
      <c r="E629" s="57"/>
      <c r="F629" s="57"/>
      <c r="G629" s="57"/>
      <c r="H629" s="58"/>
      <c r="M629" s="494"/>
    </row>
    <row r="630" spans="3:13" ht="19.8" customHeight="1">
      <c r="C630" s="60">
        <v>1</v>
      </c>
      <c r="D630" s="56" t="s">
        <v>5</v>
      </c>
      <c r="E630" s="61" t="s">
        <v>6</v>
      </c>
      <c r="F630" s="62">
        <v>5.0000000000000001E-3</v>
      </c>
      <c r="G630" s="63">
        <f>VLOOKUP(D630,upahbahan,3,FALSE)</f>
        <v>100000</v>
      </c>
      <c r="H630" s="64">
        <f>F630*G630</f>
        <v>500</v>
      </c>
      <c r="M630" s="494"/>
    </row>
    <row r="631" spans="3:13" ht="19.8" customHeight="1">
      <c r="C631" s="60">
        <v>2</v>
      </c>
      <c r="D631" s="56" t="s">
        <v>8</v>
      </c>
      <c r="E631" s="61" t="s">
        <v>6</v>
      </c>
      <c r="F631" s="62">
        <v>0.5</v>
      </c>
      <c r="G631" s="63">
        <f>VLOOKUP(D631,upahbahan,3,FALSE)</f>
        <v>135000</v>
      </c>
      <c r="H631" s="64">
        <f t="shared" ref="H631:H633" si="49">F631*G631</f>
        <v>67500</v>
      </c>
      <c r="M631" s="494"/>
    </row>
    <row r="632" spans="3:13" ht="19.8" customHeight="1">
      <c r="C632" s="60">
        <v>3</v>
      </c>
      <c r="D632" s="56" t="s">
        <v>18</v>
      </c>
      <c r="E632" s="61" t="s">
        <v>6</v>
      </c>
      <c r="F632" s="62">
        <v>0.05</v>
      </c>
      <c r="G632" s="63">
        <f>VLOOKUP(D632,upahbahan,3,FALSE)</f>
        <v>150000</v>
      </c>
      <c r="H632" s="64">
        <f t="shared" si="49"/>
        <v>7500</v>
      </c>
      <c r="M632" s="494"/>
    </row>
    <row r="633" spans="3:13" ht="19.8" customHeight="1">
      <c r="C633" s="60">
        <v>4</v>
      </c>
      <c r="D633" s="56" t="s">
        <v>19</v>
      </c>
      <c r="E633" s="61" t="s">
        <v>6</v>
      </c>
      <c r="F633" s="62">
        <v>1.7000000000000001E-2</v>
      </c>
      <c r="G633" s="63">
        <f>VLOOKUP(D633,upahbahan,3,FALSE)</f>
        <v>160000</v>
      </c>
      <c r="H633" s="64">
        <f t="shared" si="49"/>
        <v>2720</v>
      </c>
      <c r="M633" s="494"/>
    </row>
    <row r="634" spans="3:13" ht="19.8" customHeight="1">
      <c r="C634" s="66" t="s">
        <v>1208</v>
      </c>
      <c r="D634" s="67"/>
      <c r="E634" s="67"/>
      <c r="F634" s="142"/>
      <c r="G634" s="153"/>
      <c r="H634" s="64">
        <f>SUM(H630:H633)</f>
        <v>78220</v>
      </c>
      <c r="I634" s="154"/>
      <c r="J634" s="154"/>
      <c r="K634" s="154"/>
      <c r="M634" s="494"/>
    </row>
    <row r="635" spans="3:13" ht="19.8" customHeight="1">
      <c r="C635" s="55" t="s">
        <v>1209</v>
      </c>
      <c r="D635" s="56" t="s">
        <v>1210</v>
      </c>
      <c r="E635" s="57"/>
      <c r="F635" s="57"/>
      <c r="G635" s="57"/>
      <c r="H635" s="58"/>
      <c r="M635" s="494"/>
    </row>
    <row r="636" spans="3:13" ht="19.8" customHeight="1">
      <c r="C636" s="60">
        <v>1</v>
      </c>
      <c r="D636" s="56" t="s">
        <v>621</v>
      </c>
      <c r="E636" s="61" t="s">
        <v>44</v>
      </c>
      <c r="F636" s="276">
        <v>1</v>
      </c>
      <c r="G636" s="63">
        <f>VLOOKUP(D636,upahbahan,3,FALSE)</f>
        <v>70000</v>
      </c>
      <c r="H636" s="64">
        <f>F636*G636</f>
        <v>70000</v>
      </c>
      <c r="M636" s="494"/>
    </row>
    <row r="637" spans="3:13" ht="19.8" customHeight="1">
      <c r="C637" s="66" t="s">
        <v>1214</v>
      </c>
      <c r="D637" s="67"/>
      <c r="E637" s="67"/>
      <c r="F637" s="67"/>
      <c r="G637" s="69"/>
      <c r="H637" s="64">
        <f>SUM(H636)</f>
        <v>70000</v>
      </c>
      <c r="M637" s="494"/>
    </row>
    <row r="638" spans="3:13" ht="19.8" customHeight="1">
      <c r="C638" s="167" t="s">
        <v>1215</v>
      </c>
      <c r="D638" s="56" t="s">
        <v>1216</v>
      </c>
      <c r="E638" s="57"/>
      <c r="F638" s="57"/>
      <c r="G638" s="57"/>
      <c r="H638" s="58"/>
      <c r="M638" s="494"/>
    </row>
    <row r="639" spans="3:13" ht="19.8" customHeight="1">
      <c r="C639" s="66" t="s">
        <v>1217</v>
      </c>
      <c r="D639" s="67"/>
      <c r="E639" s="67"/>
      <c r="F639" s="67"/>
      <c r="G639" s="69"/>
      <c r="H639" s="74">
        <v>0</v>
      </c>
      <c r="M639" s="494"/>
    </row>
    <row r="640" spans="3:13" ht="19.8" customHeight="1">
      <c r="C640" s="75" t="s">
        <v>1218</v>
      </c>
      <c r="D640" s="76" t="s">
        <v>1219</v>
      </c>
      <c r="E640" s="77"/>
      <c r="F640" s="77"/>
      <c r="G640" s="78"/>
      <c r="H640" s="64">
        <f>H639+H637+H634</f>
        <v>148220</v>
      </c>
      <c r="M640" s="494"/>
    </row>
    <row r="641" spans="3:13" ht="19.8" customHeight="1">
      <c r="C641" s="75" t="s">
        <v>1220</v>
      </c>
      <c r="D641" s="76" t="s">
        <v>1321</v>
      </c>
      <c r="E641" s="77"/>
      <c r="F641" s="78"/>
      <c r="G641" s="80">
        <f>$O$8</f>
        <v>0.1</v>
      </c>
      <c r="H641" s="64">
        <f>H640*G641</f>
        <v>14822</v>
      </c>
      <c r="M641" s="494"/>
    </row>
    <row r="642" spans="3:13" ht="19.8" customHeight="1" thickBot="1">
      <c r="C642" s="81" t="s">
        <v>1221</v>
      </c>
      <c r="D642" s="82" t="s">
        <v>1222</v>
      </c>
      <c r="E642" s="83"/>
      <c r="F642" s="83"/>
      <c r="G642" s="84"/>
      <c r="H642" s="85">
        <f>SUM(H640:H641)</f>
        <v>163042</v>
      </c>
      <c r="M642" s="494"/>
    </row>
    <row r="643" spans="3:13" ht="14.4" thickTop="1">
      <c r="M643" s="494"/>
    </row>
    <row r="644" spans="3:13" ht="14.4" thickBot="1">
      <c r="C644" s="47" t="s">
        <v>3077</v>
      </c>
      <c r="D644" s="149" t="s">
        <v>1512</v>
      </c>
      <c r="E644" s="151"/>
      <c r="F644" s="151"/>
      <c r="G644" s="151"/>
      <c r="H644" s="151"/>
      <c r="I644" s="50">
        <f>ROUNDDOWN(H659,-2)</f>
        <v>61900</v>
      </c>
      <c r="J644" s="50"/>
      <c r="K644" s="50"/>
      <c r="M644" s="494"/>
    </row>
    <row r="645" spans="3:13" ht="28.2" thickTop="1">
      <c r="C645" s="51" t="s">
        <v>1195</v>
      </c>
      <c r="D645" s="52" t="s">
        <v>1196</v>
      </c>
      <c r="E645" s="52" t="s">
        <v>1197</v>
      </c>
      <c r="F645" s="52" t="s">
        <v>1198</v>
      </c>
      <c r="G645" s="52" t="s">
        <v>1199</v>
      </c>
      <c r="H645" s="53" t="s">
        <v>1200</v>
      </c>
      <c r="M645" s="494"/>
    </row>
    <row r="646" spans="3:13" ht="19.8" customHeight="1">
      <c r="C646" s="55" t="s">
        <v>1201</v>
      </c>
      <c r="D646" s="56" t="s">
        <v>1202</v>
      </c>
      <c r="E646" s="57"/>
      <c r="F646" s="57"/>
      <c r="G646" s="57"/>
      <c r="H646" s="58"/>
      <c r="M646" s="494"/>
    </row>
    <row r="647" spans="3:13" ht="19.8" customHeight="1">
      <c r="C647" s="60">
        <v>1</v>
      </c>
      <c r="D647" s="56" t="s">
        <v>5</v>
      </c>
      <c r="E647" s="61" t="s">
        <v>6</v>
      </c>
      <c r="F647" s="62">
        <v>1.4999999999999999E-2</v>
      </c>
      <c r="G647" s="63">
        <f>VLOOKUP(D647,upahbahan,3,FALSE)</f>
        <v>100000</v>
      </c>
      <c r="H647" s="64">
        <f t="shared" ref="H647:H650" si="50">F647*G647</f>
        <v>1500</v>
      </c>
      <c r="M647" s="494"/>
    </row>
    <row r="648" spans="3:13" ht="19.8" customHeight="1">
      <c r="C648" s="60">
        <v>2</v>
      </c>
      <c r="D648" s="56" t="s">
        <v>8</v>
      </c>
      <c r="E648" s="61" t="s">
        <v>6</v>
      </c>
      <c r="F648" s="62">
        <v>0.15</v>
      </c>
      <c r="G648" s="63">
        <f>VLOOKUP(D648,upahbahan,3,FALSE)</f>
        <v>135000</v>
      </c>
      <c r="H648" s="64">
        <f t="shared" si="50"/>
        <v>20250</v>
      </c>
      <c r="M648" s="494"/>
    </row>
    <row r="649" spans="3:13" ht="19.8" customHeight="1">
      <c r="C649" s="60">
        <v>3</v>
      </c>
      <c r="D649" s="56" t="s">
        <v>18</v>
      </c>
      <c r="E649" s="61" t="s">
        <v>6</v>
      </c>
      <c r="F649" s="62">
        <v>1.4999999999999999E-2</v>
      </c>
      <c r="G649" s="63">
        <f>VLOOKUP(D649,upahbahan,3,FALSE)</f>
        <v>150000</v>
      </c>
      <c r="H649" s="64">
        <f t="shared" si="50"/>
        <v>2250</v>
      </c>
      <c r="M649" s="494"/>
    </row>
    <row r="650" spans="3:13" ht="19.8" customHeight="1">
      <c r="C650" s="60">
        <v>4</v>
      </c>
      <c r="D650" s="56" t="s">
        <v>19</v>
      </c>
      <c r="E650" s="61" t="s">
        <v>6</v>
      </c>
      <c r="F650" s="62">
        <v>5.0000000000000001E-3</v>
      </c>
      <c r="G650" s="63">
        <f>VLOOKUP(D650,upahbahan,3,FALSE)</f>
        <v>160000</v>
      </c>
      <c r="H650" s="64">
        <f t="shared" si="50"/>
        <v>800</v>
      </c>
      <c r="M650" s="494"/>
    </row>
    <row r="651" spans="3:13" ht="19.8" customHeight="1">
      <c r="C651" s="66" t="s">
        <v>1208</v>
      </c>
      <c r="D651" s="67"/>
      <c r="E651" s="67"/>
      <c r="F651" s="142"/>
      <c r="G651" s="153"/>
      <c r="H651" s="64">
        <f>SUM(H647:H650)</f>
        <v>24800</v>
      </c>
      <c r="I651" s="154"/>
      <c r="J651" s="154"/>
      <c r="K651" s="154"/>
      <c r="M651" s="494"/>
    </row>
    <row r="652" spans="3:13" ht="19.8" customHeight="1">
      <c r="C652" s="55" t="s">
        <v>1209</v>
      </c>
      <c r="D652" s="56" t="s">
        <v>1210</v>
      </c>
      <c r="E652" s="57"/>
      <c r="F652" s="57"/>
      <c r="G652" s="57"/>
      <c r="H652" s="58"/>
      <c r="M652" s="494"/>
    </row>
    <row r="653" spans="3:13" ht="19.8" customHeight="1">
      <c r="C653" s="60">
        <v>1</v>
      </c>
      <c r="D653" s="56" t="s">
        <v>612</v>
      </c>
      <c r="E653" s="61" t="s">
        <v>44</v>
      </c>
      <c r="F653" s="276">
        <v>1</v>
      </c>
      <c r="G653" s="63">
        <f>VLOOKUP(D653,upahbahan,3,FALSE)</f>
        <v>31500</v>
      </c>
      <c r="H653" s="64">
        <f>F653*G653</f>
        <v>31500</v>
      </c>
      <c r="M653" s="494"/>
    </row>
    <row r="654" spans="3:13" ht="19.8" customHeight="1">
      <c r="C654" s="66" t="s">
        <v>1214</v>
      </c>
      <c r="D654" s="67"/>
      <c r="E654" s="67"/>
      <c r="F654" s="67"/>
      <c r="G654" s="69"/>
      <c r="H654" s="64">
        <f>SUM(H653)</f>
        <v>31500</v>
      </c>
      <c r="M654" s="494"/>
    </row>
    <row r="655" spans="3:13" ht="19.8" customHeight="1">
      <c r="C655" s="167" t="s">
        <v>1215</v>
      </c>
      <c r="D655" s="56" t="s">
        <v>1216</v>
      </c>
      <c r="E655" s="57"/>
      <c r="F655" s="57"/>
      <c r="G655" s="57"/>
      <c r="H655" s="58"/>
      <c r="M655" s="494"/>
    </row>
    <row r="656" spans="3:13" ht="19.8" customHeight="1">
      <c r="C656" s="66" t="s">
        <v>1217</v>
      </c>
      <c r="D656" s="67"/>
      <c r="E656" s="67"/>
      <c r="F656" s="67"/>
      <c r="G656" s="69"/>
      <c r="H656" s="74">
        <v>0</v>
      </c>
      <c r="M656" s="494"/>
    </row>
    <row r="657" spans="3:13" ht="19.8" customHeight="1">
      <c r="C657" s="75" t="s">
        <v>1218</v>
      </c>
      <c r="D657" s="76" t="s">
        <v>1219</v>
      </c>
      <c r="E657" s="77"/>
      <c r="F657" s="77"/>
      <c r="G657" s="78"/>
      <c r="H657" s="64">
        <f>H656+H654+H651</f>
        <v>56300</v>
      </c>
      <c r="M657" s="494"/>
    </row>
    <row r="658" spans="3:13" ht="19.8" customHeight="1">
      <c r="C658" s="75" t="s">
        <v>1220</v>
      </c>
      <c r="D658" s="76" t="s">
        <v>1321</v>
      </c>
      <c r="E658" s="77"/>
      <c r="F658" s="78"/>
      <c r="G658" s="80">
        <f>$O$8</f>
        <v>0.1</v>
      </c>
      <c r="H658" s="64">
        <f>H657*G658</f>
        <v>5630</v>
      </c>
      <c r="M658" s="494"/>
    </row>
    <row r="659" spans="3:13" ht="19.8" customHeight="1" thickBot="1">
      <c r="C659" s="81" t="s">
        <v>1221</v>
      </c>
      <c r="D659" s="82" t="s">
        <v>1222</v>
      </c>
      <c r="E659" s="83"/>
      <c r="F659" s="83"/>
      <c r="G659" s="84"/>
      <c r="H659" s="85">
        <f>SUM(H657:H658)</f>
        <v>61930</v>
      </c>
      <c r="M659" s="494"/>
    </row>
    <row r="660" spans="3:13" ht="14.4" thickTop="1">
      <c r="C660" s="89"/>
      <c r="D660" s="90"/>
      <c r="E660" s="90"/>
      <c r="F660" s="90"/>
      <c r="G660" s="90"/>
      <c r="H660" s="91"/>
      <c r="M660" s="494"/>
    </row>
    <row r="661" spans="3:13" ht="14.4" thickBot="1">
      <c r="C661" s="47" t="s">
        <v>3078</v>
      </c>
      <c r="D661" s="149" t="s">
        <v>1513</v>
      </c>
      <c r="E661" s="151"/>
      <c r="F661" s="151"/>
      <c r="G661" s="151"/>
      <c r="H661" s="151"/>
      <c r="I661" s="50">
        <f>ROUNDDOWN(H676,-2)</f>
        <v>640300</v>
      </c>
      <c r="J661" s="50" t="s">
        <v>6451</v>
      </c>
      <c r="K661" s="50" t="s">
        <v>6466</v>
      </c>
      <c r="M661" s="494"/>
    </row>
    <row r="662" spans="3:13" ht="28.2" thickTop="1">
      <c r="C662" s="51" t="s">
        <v>1195</v>
      </c>
      <c r="D662" s="52" t="s">
        <v>1196</v>
      </c>
      <c r="E662" s="52" t="s">
        <v>1197</v>
      </c>
      <c r="F662" s="52" t="s">
        <v>1198</v>
      </c>
      <c r="G662" s="52" t="s">
        <v>1199</v>
      </c>
      <c r="H662" s="53" t="s">
        <v>1200</v>
      </c>
      <c r="M662" s="494"/>
    </row>
    <row r="663" spans="3:13" ht="19.8" customHeight="1">
      <c r="C663" s="55" t="s">
        <v>1201</v>
      </c>
      <c r="D663" s="56" t="s">
        <v>1202</v>
      </c>
      <c r="E663" s="57"/>
      <c r="F663" s="57"/>
      <c r="G663" s="57"/>
      <c r="H663" s="58"/>
      <c r="M663" s="494"/>
    </row>
    <row r="664" spans="3:13" ht="19.8" customHeight="1">
      <c r="C664" s="60">
        <v>1</v>
      </c>
      <c r="D664" s="56" t="s">
        <v>5</v>
      </c>
      <c r="E664" s="61" t="s">
        <v>6</v>
      </c>
      <c r="F664" s="101">
        <v>0.2</v>
      </c>
      <c r="G664" s="63">
        <f>VLOOKUP(D664,upahbahan,3,FALSE)</f>
        <v>100000</v>
      </c>
      <c r="H664" s="64">
        <f>F664*G664</f>
        <v>20000</v>
      </c>
      <c r="M664" s="494"/>
    </row>
    <row r="665" spans="3:13" ht="19.8" customHeight="1">
      <c r="C665" s="60">
        <v>2</v>
      </c>
      <c r="D665" s="56" t="s">
        <v>8</v>
      </c>
      <c r="E665" s="61" t="s">
        <v>6</v>
      </c>
      <c r="F665" s="101">
        <v>0.4</v>
      </c>
      <c r="G665" s="63">
        <f>VLOOKUP(D665,upahbahan,3,FALSE)</f>
        <v>135000</v>
      </c>
      <c r="H665" s="64">
        <f t="shared" ref="H665:H667" si="51">F665*G665</f>
        <v>54000</v>
      </c>
      <c r="M665" s="494"/>
    </row>
    <row r="666" spans="3:13" ht="19.8" customHeight="1">
      <c r="C666" s="60">
        <v>3</v>
      </c>
      <c r="D666" s="56" t="s">
        <v>18</v>
      </c>
      <c r="E666" s="61" t="s">
        <v>6</v>
      </c>
      <c r="F666" s="101">
        <v>0.04</v>
      </c>
      <c r="G666" s="63">
        <f>VLOOKUP(D666,upahbahan,3,FALSE)</f>
        <v>150000</v>
      </c>
      <c r="H666" s="64">
        <f t="shared" si="51"/>
        <v>6000</v>
      </c>
      <c r="M666" s="494"/>
    </row>
    <row r="667" spans="3:13" ht="19.8" customHeight="1">
      <c r="C667" s="60">
        <v>4</v>
      </c>
      <c r="D667" s="56" t="s">
        <v>19</v>
      </c>
      <c r="E667" s="61" t="s">
        <v>6</v>
      </c>
      <c r="F667" s="101">
        <v>1.3299999999999999E-2</v>
      </c>
      <c r="G667" s="63">
        <f>VLOOKUP(D667,upahbahan,3,FALSE)</f>
        <v>160000</v>
      </c>
      <c r="H667" s="64">
        <f t="shared" si="51"/>
        <v>2128</v>
      </c>
      <c r="M667" s="494"/>
    </row>
    <row r="668" spans="3:13" ht="19.8" customHeight="1">
      <c r="C668" s="66" t="s">
        <v>1208</v>
      </c>
      <c r="D668" s="67"/>
      <c r="E668" s="67"/>
      <c r="F668" s="142"/>
      <c r="G668" s="153"/>
      <c r="H668" s="64">
        <f>SUM(H664:H667)</f>
        <v>82128</v>
      </c>
      <c r="I668" s="154"/>
      <c r="J668" s="154"/>
      <c r="K668" s="154"/>
      <c r="M668" s="494"/>
    </row>
    <row r="669" spans="3:13" ht="19.8" customHeight="1">
      <c r="C669" s="55" t="s">
        <v>1209</v>
      </c>
      <c r="D669" s="56" t="s">
        <v>1210</v>
      </c>
      <c r="E669" s="57"/>
      <c r="F669" s="57"/>
      <c r="G669" s="57"/>
      <c r="H669" s="58"/>
      <c r="M669" s="494"/>
    </row>
    <row r="670" spans="3:13" ht="19.8" customHeight="1">
      <c r="C670" s="60">
        <v>1</v>
      </c>
      <c r="D670" s="56" t="s">
        <v>614</v>
      </c>
      <c r="E670" s="61" t="s">
        <v>44</v>
      </c>
      <c r="F670" s="276">
        <v>1</v>
      </c>
      <c r="G670" s="63">
        <f>VLOOKUP(D670,upahbahan,3,FALSE)</f>
        <v>500000</v>
      </c>
      <c r="H670" s="64">
        <f>F670*G670</f>
        <v>500000</v>
      </c>
      <c r="M670" s="494"/>
    </row>
    <row r="671" spans="3:13" ht="19.8" customHeight="1">
      <c r="C671" s="66" t="s">
        <v>1214</v>
      </c>
      <c r="D671" s="67"/>
      <c r="E671" s="67"/>
      <c r="F671" s="67"/>
      <c r="G671" s="69"/>
      <c r="H671" s="64">
        <f>SUM(H670)</f>
        <v>500000</v>
      </c>
      <c r="M671" s="494"/>
    </row>
    <row r="672" spans="3:13" ht="19.8" customHeight="1">
      <c r="C672" s="167" t="s">
        <v>1215</v>
      </c>
      <c r="D672" s="56" t="s">
        <v>1216</v>
      </c>
      <c r="E672" s="57"/>
      <c r="F672" s="57"/>
      <c r="G672" s="57"/>
      <c r="H672" s="58"/>
      <c r="M672" s="494"/>
    </row>
    <row r="673" spans="3:13" ht="19.8" customHeight="1">
      <c r="C673" s="66" t="s">
        <v>1217</v>
      </c>
      <c r="D673" s="67"/>
      <c r="E673" s="67"/>
      <c r="F673" s="67"/>
      <c r="G673" s="69"/>
      <c r="H673" s="74">
        <v>0</v>
      </c>
      <c r="M673" s="494"/>
    </row>
    <row r="674" spans="3:13" ht="19.8" customHeight="1">
      <c r="C674" s="75" t="s">
        <v>1218</v>
      </c>
      <c r="D674" s="76" t="s">
        <v>1219</v>
      </c>
      <c r="E674" s="77"/>
      <c r="F674" s="77"/>
      <c r="G674" s="78"/>
      <c r="H674" s="64">
        <f>H673+H671+H668</f>
        <v>582128</v>
      </c>
      <c r="M674" s="494"/>
    </row>
    <row r="675" spans="3:13" ht="19.8" customHeight="1">
      <c r="C675" s="75" t="s">
        <v>1220</v>
      </c>
      <c r="D675" s="76" t="s">
        <v>1321</v>
      </c>
      <c r="E675" s="77"/>
      <c r="F675" s="78"/>
      <c r="G675" s="80">
        <f>$O$8</f>
        <v>0.1</v>
      </c>
      <c r="H675" s="64">
        <f>H674*G675</f>
        <v>58212.800000000003</v>
      </c>
      <c r="M675" s="494"/>
    </row>
    <row r="676" spans="3:13" ht="19.8" customHeight="1" thickBot="1">
      <c r="C676" s="81" t="s">
        <v>1221</v>
      </c>
      <c r="D676" s="82" t="s">
        <v>1222</v>
      </c>
      <c r="E676" s="83"/>
      <c r="F676" s="83"/>
      <c r="G676" s="84"/>
      <c r="H676" s="85">
        <f>SUM(H674:H675)</f>
        <v>640340.80000000005</v>
      </c>
      <c r="M676" s="494"/>
    </row>
    <row r="677" spans="3:13" ht="14.4" thickTop="1">
      <c r="C677" s="89"/>
      <c r="D677" s="90"/>
      <c r="E677" s="90"/>
      <c r="F677" s="90"/>
      <c r="G677" s="90"/>
      <c r="H677" s="91"/>
      <c r="M677" s="494"/>
    </row>
    <row r="678" spans="3:13">
      <c r="C678" s="89"/>
      <c r="D678" s="90"/>
      <c r="E678" s="90"/>
      <c r="F678" s="90"/>
      <c r="G678" s="90"/>
      <c r="H678" s="91"/>
      <c r="M678" s="494"/>
    </row>
    <row r="679" spans="3:13" ht="14.4" thickBot="1">
      <c r="C679" s="47" t="s">
        <v>3079</v>
      </c>
      <c r="D679" s="149" t="s">
        <v>3080</v>
      </c>
      <c r="E679" s="151"/>
      <c r="F679" s="151"/>
      <c r="G679" s="151"/>
      <c r="H679" s="151"/>
      <c r="I679" s="50">
        <f>ROUNDDOWN(H694,-2)</f>
        <v>275200</v>
      </c>
      <c r="J679" s="50"/>
      <c r="K679" s="50"/>
      <c r="M679" s="494"/>
    </row>
    <row r="680" spans="3:13" ht="28.2" thickTop="1">
      <c r="C680" s="51" t="s">
        <v>1195</v>
      </c>
      <c r="D680" s="52" t="s">
        <v>1196</v>
      </c>
      <c r="E680" s="52" t="s">
        <v>1197</v>
      </c>
      <c r="F680" s="52" t="s">
        <v>1198</v>
      </c>
      <c r="G680" s="52" t="s">
        <v>1199</v>
      </c>
      <c r="H680" s="53" t="s">
        <v>1200</v>
      </c>
      <c r="M680" s="494"/>
    </row>
    <row r="681" spans="3:13" ht="19.8" customHeight="1">
      <c r="C681" s="55" t="s">
        <v>1201</v>
      </c>
      <c r="D681" s="56" t="s">
        <v>1202</v>
      </c>
      <c r="E681" s="57"/>
      <c r="F681" s="57"/>
      <c r="G681" s="57"/>
      <c r="H681" s="58"/>
      <c r="M681" s="494"/>
    </row>
    <row r="682" spans="3:13" ht="19.8" customHeight="1">
      <c r="C682" s="60">
        <v>1</v>
      </c>
      <c r="D682" s="56" t="s">
        <v>5</v>
      </c>
      <c r="E682" s="61" t="s">
        <v>6</v>
      </c>
      <c r="F682" s="101">
        <v>0.05</v>
      </c>
      <c r="G682" s="63">
        <f>VLOOKUP(D682,upahbahan,3,FALSE)</f>
        <v>100000</v>
      </c>
      <c r="H682" s="64">
        <f>F682*G682</f>
        <v>5000</v>
      </c>
      <c r="M682" s="494"/>
    </row>
    <row r="683" spans="3:13" ht="19.8" customHeight="1">
      <c r="C683" s="60">
        <v>2</v>
      </c>
      <c r="D683" s="56" t="s">
        <v>8</v>
      </c>
      <c r="E683" s="61" t="s">
        <v>6</v>
      </c>
      <c r="F683" s="101">
        <v>0.5</v>
      </c>
      <c r="G683" s="63">
        <f>VLOOKUP(D683,upahbahan,3,FALSE)</f>
        <v>135000</v>
      </c>
      <c r="H683" s="64">
        <f>F683*G683</f>
        <v>67500</v>
      </c>
      <c r="M683" s="494"/>
    </row>
    <row r="684" spans="3:13" ht="19.8" customHeight="1">
      <c r="C684" s="60">
        <v>3</v>
      </c>
      <c r="D684" s="56" t="s">
        <v>18</v>
      </c>
      <c r="E684" s="61" t="s">
        <v>6</v>
      </c>
      <c r="F684" s="101">
        <v>0.05</v>
      </c>
      <c r="G684" s="63">
        <f>VLOOKUP(D684,upahbahan,3,FALSE)</f>
        <v>150000</v>
      </c>
      <c r="H684" s="64">
        <f>F684*G684</f>
        <v>7500</v>
      </c>
      <c r="M684" s="494"/>
    </row>
    <row r="685" spans="3:13" ht="19.8" customHeight="1">
      <c r="C685" s="60">
        <v>4</v>
      </c>
      <c r="D685" s="56" t="s">
        <v>19</v>
      </c>
      <c r="E685" s="61" t="s">
        <v>6</v>
      </c>
      <c r="F685" s="101">
        <v>1.7000000000000001E-2</v>
      </c>
      <c r="G685" s="63">
        <f>VLOOKUP(D685,upahbahan,3,FALSE)</f>
        <v>160000</v>
      </c>
      <c r="H685" s="64">
        <f>F685*G685</f>
        <v>2720</v>
      </c>
      <c r="M685" s="494"/>
    </row>
    <row r="686" spans="3:13" ht="19.8" customHeight="1">
      <c r="C686" s="66" t="s">
        <v>1208</v>
      </c>
      <c r="D686" s="67"/>
      <c r="E686" s="67"/>
      <c r="F686" s="142"/>
      <c r="G686" s="153"/>
      <c r="H686" s="64">
        <f>SUM(H682:H685)</f>
        <v>82720</v>
      </c>
      <c r="I686" s="154"/>
      <c r="J686" s="154"/>
      <c r="K686" s="154"/>
      <c r="M686" s="494"/>
    </row>
    <row r="687" spans="3:13" ht="19.8" customHeight="1">
      <c r="C687" s="55" t="s">
        <v>1209</v>
      </c>
      <c r="D687" s="56" t="s">
        <v>1210</v>
      </c>
      <c r="E687" s="57"/>
      <c r="F687" s="57"/>
      <c r="G687" s="57"/>
      <c r="H687" s="58"/>
      <c r="M687" s="494"/>
    </row>
    <row r="688" spans="3:13" ht="19.8" customHeight="1">
      <c r="C688" s="60">
        <v>1</v>
      </c>
      <c r="D688" s="56" t="s">
        <v>605</v>
      </c>
      <c r="E688" s="61" t="s">
        <v>44</v>
      </c>
      <c r="F688" s="276">
        <v>1</v>
      </c>
      <c r="G688" s="63">
        <f>VLOOKUP(D688,upahbahan,3,FALSE)</f>
        <v>167500</v>
      </c>
      <c r="H688" s="64">
        <f>F688*G688</f>
        <v>167500</v>
      </c>
      <c r="M688" s="494"/>
    </row>
    <row r="689" spans="3:13" ht="19.8" customHeight="1">
      <c r="C689" s="66" t="s">
        <v>1214</v>
      </c>
      <c r="D689" s="67"/>
      <c r="E689" s="67"/>
      <c r="F689" s="67"/>
      <c r="G689" s="69"/>
      <c r="H689" s="64">
        <f>SUM(H688)</f>
        <v>167500</v>
      </c>
      <c r="M689" s="494"/>
    </row>
    <row r="690" spans="3:13" ht="19.8" customHeight="1">
      <c r="C690" s="167" t="s">
        <v>1215</v>
      </c>
      <c r="D690" s="56" t="s">
        <v>1216</v>
      </c>
      <c r="E690" s="57"/>
      <c r="F690" s="57"/>
      <c r="G690" s="57"/>
      <c r="H690" s="58"/>
      <c r="M690" s="494"/>
    </row>
    <row r="691" spans="3:13" ht="19.8" customHeight="1">
      <c r="C691" s="66" t="s">
        <v>1217</v>
      </c>
      <c r="D691" s="67"/>
      <c r="E691" s="67"/>
      <c r="F691" s="67"/>
      <c r="G691" s="69"/>
      <c r="H691" s="74">
        <v>0</v>
      </c>
      <c r="M691" s="494"/>
    </row>
    <row r="692" spans="3:13" ht="19.8" customHeight="1">
      <c r="C692" s="75" t="s">
        <v>1218</v>
      </c>
      <c r="D692" s="76" t="s">
        <v>1219</v>
      </c>
      <c r="E692" s="77"/>
      <c r="F692" s="77"/>
      <c r="G692" s="78"/>
      <c r="H692" s="64">
        <f>H691+H689+H686</f>
        <v>250220</v>
      </c>
      <c r="M692" s="494"/>
    </row>
    <row r="693" spans="3:13" ht="19.8" customHeight="1">
      <c r="C693" s="75" t="s">
        <v>1220</v>
      </c>
      <c r="D693" s="76" t="s">
        <v>1321</v>
      </c>
      <c r="E693" s="77"/>
      <c r="F693" s="78"/>
      <c r="G693" s="80">
        <f>$O$8</f>
        <v>0.1</v>
      </c>
      <c r="H693" s="64">
        <f>H692*G693</f>
        <v>25022</v>
      </c>
      <c r="M693" s="494"/>
    </row>
    <row r="694" spans="3:13" ht="19.8" customHeight="1" thickBot="1">
      <c r="C694" s="81" t="s">
        <v>1221</v>
      </c>
      <c r="D694" s="82" t="s">
        <v>1222</v>
      </c>
      <c r="E694" s="83"/>
      <c r="F694" s="83"/>
      <c r="G694" s="84"/>
      <c r="H694" s="85">
        <f>SUM(H692:H693)</f>
        <v>275242</v>
      </c>
      <c r="M694" s="494"/>
    </row>
    <row r="695" spans="3:13" ht="14.4" thickTop="1">
      <c r="C695" s="89"/>
      <c r="D695" s="90"/>
      <c r="E695" s="90"/>
      <c r="F695" s="90"/>
      <c r="G695" s="90"/>
      <c r="H695" s="91"/>
      <c r="M695" s="494"/>
    </row>
    <row r="696" spans="3:13">
      <c r="C696" s="89"/>
      <c r="D696" s="90"/>
      <c r="E696" s="90"/>
      <c r="F696" s="90"/>
      <c r="G696" s="90"/>
      <c r="H696" s="91"/>
      <c r="M696" s="494"/>
    </row>
    <row r="697" spans="3:13" ht="14.4" thickBot="1">
      <c r="C697" s="47" t="s">
        <v>3081</v>
      </c>
      <c r="D697" s="149" t="s">
        <v>3082</v>
      </c>
      <c r="E697" s="151"/>
      <c r="F697" s="151"/>
      <c r="G697" s="151"/>
      <c r="H697" s="151"/>
      <c r="I697" s="50">
        <f>ROUNDDOWN(H712,-2)</f>
        <v>180000</v>
      </c>
      <c r="J697" s="50"/>
      <c r="K697" s="50"/>
      <c r="M697" s="494"/>
    </row>
    <row r="698" spans="3:13" ht="28.2" thickTop="1">
      <c r="C698" s="51" t="s">
        <v>1195</v>
      </c>
      <c r="D698" s="52" t="s">
        <v>1196</v>
      </c>
      <c r="E698" s="52" t="s">
        <v>1197</v>
      </c>
      <c r="F698" s="52" t="s">
        <v>1198</v>
      </c>
      <c r="G698" s="52" t="s">
        <v>1199</v>
      </c>
      <c r="H698" s="53" t="s">
        <v>1200</v>
      </c>
      <c r="M698" s="494"/>
    </row>
    <row r="699" spans="3:13" ht="19.8" customHeight="1">
      <c r="C699" s="55" t="s">
        <v>1201</v>
      </c>
      <c r="D699" s="56" t="s">
        <v>1202</v>
      </c>
      <c r="E699" s="57"/>
      <c r="F699" s="57"/>
      <c r="G699" s="57"/>
      <c r="H699" s="58"/>
      <c r="M699" s="494"/>
    </row>
    <row r="700" spans="3:13" ht="19.8" customHeight="1">
      <c r="C700" s="60">
        <v>1</v>
      </c>
      <c r="D700" s="56" t="s">
        <v>5</v>
      </c>
      <c r="E700" s="61" t="s">
        <v>6</v>
      </c>
      <c r="F700" s="101">
        <v>0.05</v>
      </c>
      <c r="G700" s="63">
        <f>VLOOKUP(D700,upahbahan,3,FALSE)</f>
        <v>100000</v>
      </c>
      <c r="H700" s="64">
        <f>F700*G700</f>
        <v>5000</v>
      </c>
      <c r="M700" s="494"/>
    </row>
    <row r="701" spans="3:13" ht="19.8" customHeight="1">
      <c r="C701" s="60">
        <v>2</v>
      </c>
      <c r="D701" s="56" t="s">
        <v>8</v>
      </c>
      <c r="E701" s="61" t="s">
        <v>6</v>
      </c>
      <c r="F701" s="101">
        <v>0.5</v>
      </c>
      <c r="G701" s="63">
        <f>VLOOKUP(D701,upahbahan,3,FALSE)</f>
        <v>135000</v>
      </c>
      <c r="H701" s="64">
        <f>F701*G701</f>
        <v>67500</v>
      </c>
      <c r="M701" s="494"/>
    </row>
    <row r="702" spans="3:13" ht="19.8" customHeight="1">
      <c r="C702" s="60">
        <v>3</v>
      </c>
      <c r="D702" s="56" t="s">
        <v>18</v>
      </c>
      <c r="E702" s="61" t="s">
        <v>6</v>
      </c>
      <c r="F702" s="101">
        <v>0.05</v>
      </c>
      <c r="G702" s="63">
        <f>VLOOKUP(D702,upahbahan,3,FALSE)</f>
        <v>150000</v>
      </c>
      <c r="H702" s="64">
        <f>F702*G702</f>
        <v>7500</v>
      </c>
      <c r="M702" s="494"/>
    </row>
    <row r="703" spans="3:13" ht="19.8" customHeight="1">
      <c r="C703" s="60">
        <v>4</v>
      </c>
      <c r="D703" s="56" t="s">
        <v>19</v>
      </c>
      <c r="E703" s="61" t="s">
        <v>6</v>
      </c>
      <c r="F703" s="101">
        <v>1.7000000000000001E-2</v>
      </c>
      <c r="G703" s="63">
        <f>VLOOKUP(D703,upahbahan,3,FALSE)</f>
        <v>160000</v>
      </c>
      <c r="H703" s="64">
        <f>F703*G703</f>
        <v>2720</v>
      </c>
      <c r="M703" s="494"/>
    </row>
    <row r="704" spans="3:13" ht="19.8" customHeight="1">
      <c r="C704" s="66" t="s">
        <v>1208</v>
      </c>
      <c r="D704" s="67"/>
      <c r="E704" s="67"/>
      <c r="F704" s="142"/>
      <c r="G704" s="153"/>
      <c r="H704" s="64">
        <f>SUM(H700:H703)</f>
        <v>82720</v>
      </c>
      <c r="I704" s="154"/>
      <c r="J704" s="154"/>
      <c r="K704" s="154"/>
      <c r="M704" s="494"/>
    </row>
    <row r="705" spans="3:13" ht="19.8" customHeight="1">
      <c r="C705" s="55" t="s">
        <v>1209</v>
      </c>
      <c r="D705" s="56" t="s">
        <v>1210</v>
      </c>
      <c r="E705" s="57"/>
      <c r="F705" s="57"/>
      <c r="G705" s="57"/>
      <c r="H705" s="58"/>
      <c r="M705" s="494"/>
    </row>
    <row r="706" spans="3:13" ht="19.8" customHeight="1">
      <c r="C706" s="60">
        <v>1</v>
      </c>
      <c r="D706" s="56" t="s">
        <v>606</v>
      </c>
      <c r="E706" s="61" t="s">
        <v>44</v>
      </c>
      <c r="F706" s="276">
        <v>1</v>
      </c>
      <c r="G706" s="63">
        <f>VLOOKUP(D706,upahbahan,3,FALSE)</f>
        <v>81000</v>
      </c>
      <c r="H706" s="64">
        <f>F706*G706</f>
        <v>81000</v>
      </c>
      <c r="M706" s="494"/>
    </row>
    <row r="707" spans="3:13" ht="19.8" customHeight="1">
      <c r="C707" s="66" t="s">
        <v>1214</v>
      </c>
      <c r="D707" s="67"/>
      <c r="E707" s="67"/>
      <c r="F707" s="67"/>
      <c r="G707" s="69"/>
      <c r="H707" s="64">
        <f>SUM(H706)</f>
        <v>81000</v>
      </c>
      <c r="M707" s="494"/>
    </row>
    <row r="708" spans="3:13" ht="19.8" customHeight="1">
      <c r="C708" s="167" t="s">
        <v>1215</v>
      </c>
      <c r="D708" s="56" t="s">
        <v>1216</v>
      </c>
      <c r="E708" s="57"/>
      <c r="F708" s="57"/>
      <c r="G708" s="57"/>
      <c r="H708" s="58"/>
      <c r="M708" s="494"/>
    </row>
    <row r="709" spans="3:13" ht="19.8" customHeight="1">
      <c r="C709" s="66" t="s">
        <v>1217</v>
      </c>
      <c r="D709" s="67"/>
      <c r="E709" s="67"/>
      <c r="F709" s="67"/>
      <c r="G709" s="69"/>
      <c r="H709" s="74">
        <v>0</v>
      </c>
      <c r="M709" s="494"/>
    </row>
    <row r="710" spans="3:13" ht="19.8" customHeight="1">
      <c r="C710" s="75" t="s">
        <v>1218</v>
      </c>
      <c r="D710" s="76" t="s">
        <v>1219</v>
      </c>
      <c r="E710" s="77"/>
      <c r="F710" s="77"/>
      <c r="G710" s="78"/>
      <c r="H710" s="64">
        <f>H709+H707+H704</f>
        <v>163720</v>
      </c>
      <c r="M710" s="494"/>
    </row>
    <row r="711" spans="3:13" ht="19.8" customHeight="1">
      <c r="C711" s="75" t="s">
        <v>1220</v>
      </c>
      <c r="D711" s="76" t="s">
        <v>1321</v>
      </c>
      <c r="E711" s="77"/>
      <c r="F711" s="78"/>
      <c r="G711" s="80">
        <f>$O$8</f>
        <v>0.1</v>
      </c>
      <c r="H711" s="64">
        <f>H710*G711</f>
        <v>16372</v>
      </c>
      <c r="M711" s="494"/>
    </row>
    <row r="712" spans="3:13" ht="19.8" customHeight="1" thickBot="1">
      <c r="C712" s="81" t="s">
        <v>1221</v>
      </c>
      <c r="D712" s="82" t="s">
        <v>1222</v>
      </c>
      <c r="E712" s="83"/>
      <c r="F712" s="83"/>
      <c r="G712" s="84"/>
      <c r="H712" s="85">
        <f>SUM(H710:H711)</f>
        <v>180092</v>
      </c>
      <c r="M712" s="494"/>
    </row>
    <row r="713" spans="3:13" ht="14.4" thickTop="1">
      <c r="C713" s="89"/>
      <c r="D713" s="90"/>
      <c r="E713" s="90"/>
      <c r="F713" s="90"/>
      <c r="G713" s="90"/>
      <c r="H713" s="91"/>
      <c r="M713" s="494"/>
    </row>
    <row r="714" spans="3:13">
      <c r="C714" s="89"/>
      <c r="D714" s="90"/>
      <c r="E714" s="90"/>
      <c r="F714" s="90"/>
      <c r="G714" s="90"/>
      <c r="H714" s="91"/>
      <c r="M714" s="494"/>
    </row>
    <row r="715" spans="3:13" ht="14.4" thickBot="1">
      <c r="C715" s="47" t="s">
        <v>3083</v>
      </c>
      <c r="D715" s="149" t="s">
        <v>3084</v>
      </c>
      <c r="E715" s="151"/>
      <c r="F715" s="151"/>
      <c r="G715" s="151"/>
      <c r="H715" s="151"/>
      <c r="I715" s="50">
        <f>ROUNDDOWN(H730,-2)</f>
        <v>82400</v>
      </c>
      <c r="J715" s="50"/>
      <c r="K715" s="50"/>
      <c r="M715" s="494"/>
    </row>
    <row r="716" spans="3:13" ht="28.2" thickTop="1">
      <c r="C716" s="51" t="s">
        <v>1195</v>
      </c>
      <c r="D716" s="52" t="s">
        <v>1196</v>
      </c>
      <c r="E716" s="52" t="s">
        <v>1197</v>
      </c>
      <c r="F716" s="52" t="s">
        <v>1198</v>
      </c>
      <c r="G716" s="52" t="s">
        <v>1199</v>
      </c>
      <c r="H716" s="53" t="s">
        <v>1200</v>
      </c>
      <c r="M716" s="494"/>
    </row>
    <row r="717" spans="3:13" ht="21" customHeight="1">
      <c r="C717" s="55" t="s">
        <v>1201</v>
      </c>
      <c r="D717" s="56" t="s">
        <v>1202</v>
      </c>
      <c r="E717" s="57"/>
      <c r="F717" s="57"/>
      <c r="G717" s="57"/>
      <c r="H717" s="58"/>
      <c r="M717" s="494"/>
    </row>
    <row r="718" spans="3:13" ht="21" customHeight="1">
      <c r="C718" s="60">
        <v>1</v>
      </c>
      <c r="D718" s="56" t="s">
        <v>5</v>
      </c>
      <c r="E718" s="61" t="s">
        <v>6</v>
      </c>
      <c r="F718" s="101">
        <v>0.01</v>
      </c>
      <c r="G718" s="63">
        <f>VLOOKUP(D718,upahbahan,3,FALSE)</f>
        <v>100000</v>
      </c>
      <c r="H718" s="64">
        <f>F718*G718</f>
        <v>1000</v>
      </c>
      <c r="M718" s="494"/>
    </row>
    <row r="719" spans="3:13" ht="21" customHeight="1">
      <c r="C719" s="60">
        <v>2</v>
      </c>
      <c r="D719" s="56" t="s">
        <v>8</v>
      </c>
      <c r="E719" s="61" t="s">
        <v>6</v>
      </c>
      <c r="F719" s="101">
        <v>0.1</v>
      </c>
      <c r="G719" s="63">
        <f>VLOOKUP(D719,upahbahan,3,FALSE)</f>
        <v>135000</v>
      </c>
      <c r="H719" s="64">
        <f>F719*G719</f>
        <v>13500</v>
      </c>
      <c r="M719" s="494"/>
    </row>
    <row r="720" spans="3:13" ht="21" customHeight="1">
      <c r="C720" s="60">
        <v>3</v>
      </c>
      <c r="D720" s="56" t="s">
        <v>18</v>
      </c>
      <c r="E720" s="61" t="s">
        <v>6</v>
      </c>
      <c r="F720" s="101">
        <v>0.01</v>
      </c>
      <c r="G720" s="63">
        <f>VLOOKUP(D720,upahbahan,3,FALSE)</f>
        <v>150000</v>
      </c>
      <c r="H720" s="64">
        <f>F720*G720</f>
        <v>1500</v>
      </c>
      <c r="M720" s="494"/>
    </row>
    <row r="721" spans="3:13" ht="21" customHeight="1">
      <c r="C721" s="60">
        <v>4</v>
      </c>
      <c r="D721" s="56" t="s">
        <v>19</v>
      </c>
      <c r="E721" s="61" t="s">
        <v>6</v>
      </c>
      <c r="F721" s="101">
        <v>3.0000000000000001E-3</v>
      </c>
      <c r="G721" s="63">
        <f>VLOOKUP(D721,upahbahan,3,FALSE)</f>
        <v>160000</v>
      </c>
      <c r="H721" s="64">
        <f>F721*G721</f>
        <v>480</v>
      </c>
      <c r="M721" s="494"/>
    </row>
    <row r="722" spans="3:13" ht="21" customHeight="1">
      <c r="C722" s="66" t="s">
        <v>1208</v>
      </c>
      <c r="D722" s="67"/>
      <c r="E722" s="67"/>
      <c r="F722" s="142"/>
      <c r="G722" s="153"/>
      <c r="H722" s="64">
        <f>SUM(H718:H721)</f>
        <v>16480</v>
      </c>
      <c r="I722" s="154"/>
      <c r="J722" s="154"/>
      <c r="K722" s="154"/>
      <c r="M722" s="494"/>
    </row>
    <row r="723" spans="3:13" ht="21" customHeight="1">
      <c r="C723" s="55" t="s">
        <v>1209</v>
      </c>
      <c r="D723" s="56" t="s">
        <v>1210</v>
      </c>
      <c r="E723" s="57"/>
      <c r="F723" s="57"/>
      <c r="G723" s="57"/>
      <c r="H723" s="58"/>
      <c r="M723" s="494"/>
    </row>
    <row r="724" spans="3:13" ht="21" customHeight="1">
      <c r="C724" s="60">
        <v>1</v>
      </c>
      <c r="D724" s="56" t="s">
        <v>607</v>
      </c>
      <c r="E724" s="61" t="s">
        <v>44</v>
      </c>
      <c r="F724" s="276">
        <v>1</v>
      </c>
      <c r="G724" s="63">
        <f>VLOOKUP(D724,upahbahan,3,FALSE)</f>
        <v>58500</v>
      </c>
      <c r="H724" s="64">
        <f>F724*G724</f>
        <v>58500</v>
      </c>
      <c r="M724" s="494"/>
    </row>
    <row r="725" spans="3:13" ht="21" customHeight="1">
      <c r="C725" s="66" t="s">
        <v>1214</v>
      </c>
      <c r="D725" s="67"/>
      <c r="E725" s="67"/>
      <c r="F725" s="67"/>
      <c r="G725" s="69"/>
      <c r="H725" s="64">
        <f>SUM(H724)</f>
        <v>58500</v>
      </c>
      <c r="M725" s="494"/>
    </row>
    <row r="726" spans="3:13" ht="21" customHeight="1">
      <c r="C726" s="167" t="s">
        <v>1215</v>
      </c>
      <c r="D726" s="56" t="s">
        <v>1216</v>
      </c>
      <c r="E726" s="57"/>
      <c r="F726" s="57"/>
      <c r="G726" s="57"/>
      <c r="H726" s="58"/>
      <c r="M726" s="494"/>
    </row>
    <row r="727" spans="3:13" ht="21" customHeight="1">
      <c r="C727" s="66" t="s">
        <v>1217</v>
      </c>
      <c r="D727" s="67"/>
      <c r="E727" s="67"/>
      <c r="F727" s="67"/>
      <c r="G727" s="69"/>
      <c r="H727" s="74">
        <v>0</v>
      </c>
      <c r="M727" s="494"/>
    </row>
    <row r="728" spans="3:13" ht="21" customHeight="1">
      <c r="C728" s="75" t="s">
        <v>1218</v>
      </c>
      <c r="D728" s="76" t="s">
        <v>1219</v>
      </c>
      <c r="E728" s="77"/>
      <c r="F728" s="77"/>
      <c r="G728" s="78"/>
      <c r="H728" s="64">
        <f>H727+H725+H722</f>
        <v>74980</v>
      </c>
      <c r="M728" s="494"/>
    </row>
    <row r="729" spans="3:13" ht="21" customHeight="1">
      <c r="C729" s="75" t="s">
        <v>1220</v>
      </c>
      <c r="D729" s="76" t="s">
        <v>1321</v>
      </c>
      <c r="E729" s="77"/>
      <c r="F729" s="78"/>
      <c r="G729" s="80">
        <f>$O$8</f>
        <v>0.1</v>
      </c>
      <c r="H729" s="64">
        <f>H728*G729</f>
        <v>7498</v>
      </c>
      <c r="M729" s="494"/>
    </row>
    <row r="730" spans="3:13" ht="21" customHeight="1" thickBot="1">
      <c r="C730" s="81" t="s">
        <v>1221</v>
      </c>
      <c r="D730" s="82" t="s">
        <v>1222</v>
      </c>
      <c r="E730" s="83"/>
      <c r="F730" s="83"/>
      <c r="G730" s="84"/>
      <c r="H730" s="85">
        <f>SUM(H728:H729)</f>
        <v>82478</v>
      </c>
      <c r="M730" s="494"/>
    </row>
    <row r="731" spans="3:13" ht="14.4" thickTop="1">
      <c r="C731" s="89"/>
      <c r="D731" s="90"/>
      <c r="E731" s="90"/>
      <c r="F731" s="90"/>
      <c r="G731" s="90"/>
      <c r="H731" s="91"/>
      <c r="M731" s="494"/>
    </row>
    <row r="732" spans="3:13">
      <c r="C732" s="89"/>
      <c r="D732" s="90"/>
      <c r="E732" s="90"/>
      <c r="F732" s="90"/>
      <c r="G732" s="90"/>
      <c r="H732" s="91"/>
      <c r="M732" s="494"/>
    </row>
    <row r="733" spans="3:13" ht="14.4" thickBot="1">
      <c r="C733" s="47" t="s">
        <v>3085</v>
      </c>
      <c r="D733" s="149" t="s">
        <v>3086</v>
      </c>
      <c r="E733" s="151"/>
      <c r="F733" s="151"/>
      <c r="G733" s="151"/>
      <c r="H733" s="151"/>
      <c r="I733" s="50">
        <f>ROUNDDOWN(H748,-2)</f>
        <v>376500</v>
      </c>
      <c r="J733" s="50"/>
      <c r="K733" s="50"/>
      <c r="M733" s="494"/>
    </row>
    <row r="734" spans="3:13" ht="28.2" thickTop="1">
      <c r="C734" s="51" t="s">
        <v>1195</v>
      </c>
      <c r="D734" s="52" t="s">
        <v>1196</v>
      </c>
      <c r="E734" s="52" t="s">
        <v>1197</v>
      </c>
      <c r="F734" s="52" t="s">
        <v>1198</v>
      </c>
      <c r="G734" s="52" t="s">
        <v>1199</v>
      </c>
      <c r="H734" s="53" t="s">
        <v>1200</v>
      </c>
      <c r="M734" s="494"/>
    </row>
    <row r="735" spans="3:13" ht="21" customHeight="1">
      <c r="C735" s="55" t="s">
        <v>1201</v>
      </c>
      <c r="D735" s="56" t="s">
        <v>1202</v>
      </c>
      <c r="E735" s="57"/>
      <c r="F735" s="57"/>
      <c r="G735" s="57"/>
      <c r="H735" s="58"/>
      <c r="M735" s="494"/>
    </row>
    <row r="736" spans="3:13" ht="21" customHeight="1">
      <c r="C736" s="60">
        <v>1</v>
      </c>
      <c r="D736" s="56" t="s">
        <v>5</v>
      </c>
      <c r="E736" s="61" t="s">
        <v>6</v>
      </c>
      <c r="F736" s="101">
        <v>0.06</v>
      </c>
      <c r="G736" s="63">
        <f>VLOOKUP(D736,upahbahan,3,FALSE)</f>
        <v>100000</v>
      </c>
      <c r="H736" s="64">
        <f>F736*G736</f>
        <v>6000</v>
      </c>
      <c r="M736" s="494"/>
    </row>
    <row r="737" spans="3:13" ht="21" customHeight="1">
      <c r="C737" s="60">
        <v>2</v>
      </c>
      <c r="D737" s="56" t="s">
        <v>8</v>
      </c>
      <c r="E737" s="61" t="s">
        <v>6</v>
      </c>
      <c r="F737" s="101">
        <v>0.6</v>
      </c>
      <c r="G737" s="63">
        <f>VLOOKUP(D737,upahbahan,3,FALSE)</f>
        <v>135000</v>
      </c>
      <c r="H737" s="64">
        <f>F737*G737</f>
        <v>81000</v>
      </c>
      <c r="M737" s="494"/>
    </row>
    <row r="738" spans="3:13" ht="21" customHeight="1">
      <c r="C738" s="60">
        <v>3</v>
      </c>
      <c r="D738" s="56" t="s">
        <v>18</v>
      </c>
      <c r="E738" s="61" t="s">
        <v>6</v>
      </c>
      <c r="F738" s="101">
        <v>0.06</v>
      </c>
      <c r="G738" s="63">
        <f>VLOOKUP(D738,upahbahan,3,FALSE)</f>
        <v>150000</v>
      </c>
      <c r="H738" s="64">
        <f>F738*G738</f>
        <v>9000</v>
      </c>
      <c r="M738" s="494"/>
    </row>
    <row r="739" spans="3:13" ht="21" customHeight="1">
      <c r="C739" s="60">
        <v>4</v>
      </c>
      <c r="D739" s="56" t="s">
        <v>19</v>
      </c>
      <c r="E739" s="61" t="s">
        <v>6</v>
      </c>
      <c r="F739" s="101">
        <v>0.02</v>
      </c>
      <c r="G739" s="63">
        <f>VLOOKUP(D739,upahbahan,3,FALSE)</f>
        <v>160000</v>
      </c>
      <c r="H739" s="64">
        <f>F739*G739</f>
        <v>3200</v>
      </c>
      <c r="M739" s="494"/>
    </row>
    <row r="740" spans="3:13" ht="21" customHeight="1">
      <c r="C740" s="66" t="s">
        <v>1208</v>
      </c>
      <c r="D740" s="67"/>
      <c r="E740" s="67"/>
      <c r="F740" s="142"/>
      <c r="G740" s="153"/>
      <c r="H740" s="64">
        <f>SUM(H736:H739)</f>
        <v>99200</v>
      </c>
      <c r="I740" s="154"/>
      <c r="J740" s="154"/>
      <c r="K740" s="154"/>
      <c r="M740" s="494"/>
    </row>
    <row r="741" spans="3:13" ht="21" customHeight="1">
      <c r="C741" s="55" t="s">
        <v>1209</v>
      </c>
      <c r="D741" s="56" t="s">
        <v>1210</v>
      </c>
      <c r="E741" s="57"/>
      <c r="F741" s="57"/>
      <c r="G741" s="57"/>
      <c r="H741" s="58"/>
      <c r="M741" s="494"/>
    </row>
    <row r="742" spans="3:13" ht="21" customHeight="1">
      <c r="C742" s="60">
        <v>1</v>
      </c>
      <c r="D742" s="56" t="s">
        <v>629</v>
      </c>
      <c r="E742" s="61" t="s">
        <v>44</v>
      </c>
      <c r="F742" s="276">
        <v>1</v>
      </c>
      <c r="G742" s="63">
        <f>VLOOKUP(D742,upahbahan,3,FALSE)</f>
        <v>243100</v>
      </c>
      <c r="H742" s="64">
        <f>F742*G742</f>
        <v>243100</v>
      </c>
      <c r="M742" s="494"/>
    </row>
    <row r="743" spans="3:13" ht="21" customHeight="1">
      <c r="C743" s="66" t="s">
        <v>1214</v>
      </c>
      <c r="D743" s="67"/>
      <c r="E743" s="67"/>
      <c r="F743" s="67"/>
      <c r="G743" s="69"/>
      <c r="H743" s="64">
        <f>SUM(H742)</f>
        <v>243100</v>
      </c>
      <c r="M743" s="494"/>
    </row>
    <row r="744" spans="3:13" ht="21" customHeight="1">
      <c r="C744" s="167" t="s">
        <v>1215</v>
      </c>
      <c r="D744" s="56" t="s">
        <v>1216</v>
      </c>
      <c r="E744" s="57"/>
      <c r="F744" s="57"/>
      <c r="G744" s="57"/>
      <c r="H744" s="58"/>
      <c r="M744" s="494"/>
    </row>
    <row r="745" spans="3:13" ht="21" customHeight="1">
      <c r="C745" s="66" t="s">
        <v>1217</v>
      </c>
      <c r="D745" s="67"/>
      <c r="E745" s="67"/>
      <c r="F745" s="67"/>
      <c r="G745" s="69"/>
      <c r="H745" s="74">
        <v>0</v>
      </c>
      <c r="M745" s="494"/>
    </row>
    <row r="746" spans="3:13" ht="21" customHeight="1">
      <c r="C746" s="75" t="s">
        <v>1218</v>
      </c>
      <c r="D746" s="76" t="s">
        <v>1219</v>
      </c>
      <c r="E746" s="77"/>
      <c r="F746" s="77"/>
      <c r="G746" s="78"/>
      <c r="H746" s="64">
        <f>H745+H743+H740</f>
        <v>342300</v>
      </c>
      <c r="M746" s="494"/>
    </row>
    <row r="747" spans="3:13" ht="21" customHeight="1">
      <c r="C747" s="75" t="s">
        <v>1220</v>
      </c>
      <c r="D747" s="76" t="s">
        <v>1321</v>
      </c>
      <c r="E747" s="77"/>
      <c r="F747" s="78"/>
      <c r="G747" s="80">
        <f>$O$8</f>
        <v>0.1</v>
      </c>
      <c r="H747" s="64">
        <f>H746*G747</f>
        <v>34230</v>
      </c>
      <c r="M747" s="494"/>
    </row>
    <row r="748" spans="3:13" ht="21" customHeight="1" thickBot="1">
      <c r="C748" s="81" t="s">
        <v>1221</v>
      </c>
      <c r="D748" s="82" t="s">
        <v>1222</v>
      </c>
      <c r="E748" s="83"/>
      <c r="F748" s="83"/>
      <c r="G748" s="84"/>
      <c r="H748" s="85">
        <f>SUM(H746:H747)</f>
        <v>376530</v>
      </c>
      <c r="M748" s="494"/>
    </row>
    <row r="749" spans="3:13" ht="14.4" thickTop="1">
      <c r="C749" s="89"/>
      <c r="D749" s="90"/>
      <c r="E749" s="90"/>
      <c r="F749" s="90"/>
      <c r="G749" s="90"/>
      <c r="H749" s="91"/>
      <c r="M749" s="494"/>
    </row>
    <row r="750" spans="3:13">
      <c r="C750" s="89"/>
      <c r="D750" s="90"/>
      <c r="E750" s="90"/>
      <c r="F750" s="90"/>
      <c r="G750" s="90"/>
      <c r="H750" s="91"/>
      <c r="M750" s="494"/>
    </row>
    <row r="751" spans="3:13" ht="14.4" thickBot="1">
      <c r="C751" s="47" t="s">
        <v>3087</v>
      </c>
      <c r="D751" s="149" t="s">
        <v>3088</v>
      </c>
      <c r="E751" s="151"/>
      <c r="F751" s="151"/>
      <c r="G751" s="151"/>
      <c r="H751" s="151"/>
      <c r="I751" s="50">
        <f>ROUNDDOWN(H766,-2)</f>
        <v>252300</v>
      </c>
      <c r="J751" s="50"/>
      <c r="K751" s="50"/>
      <c r="M751" s="494"/>
    </row>
    <row r="752" spans="3:13" ht="28.2" thickTop="1">
      <c r="C752" s="51" t="s">
        <v>1195</v>
      </c>
      <c r="D752" s="52" t="s">
        <v>1196</v>
      </c>
      <c r="E752" s="52" t="s">
        <v>1197</v>
      </c>
      <c r="F752" s="52" t="s">
        <v>1198</v>
      </c>
      <c r="G752" s="52" t="s">
        <v>1199</v>
      </c>
      <c r="H752" s="53" t="s">
        <v>1200</v>
      </c>
      <c r="M752" s="494"/>
    </row>
    <row r="753" spans="3:13" ht="21" customHeight="1">
      <c r="C753" s="55" t="s">
        <v>1201</v>
      </c>
      <c r="D753" s="56" t="s">
        <v>1202</v>
      </c>
      <c r="E753" s="57"/>
      <c r="F753" s="57"/>
      <c r="G753" s="57"/>
      <c r="H753" s="58"/>
      <c r="M753" s="494"/>
    </row>
    <row r="754" spans="3:13" ht="21" customHeight="1">
      <c r="C754" s="60">
        <v>1</v>
      </c>
      <c r="D754" s="56" t="s">
        <v>5</v>
      </c>
      <c r="E754" s="61" t="s">
        <v>6</v>
      </c>
      <c r="F754" s="101">
        <v>0.35</v>
      </c>
      <c r="G754" s="63">
        <f>VLOOKUP(D754,upahbahan,3,FALSE)</f>
        <v>100000</v>
      </c>
      <c r="H754" s="64">
        <f>F754*G754</f>
        <v>35000</v>
      </c>
      <c r="M754" s="494"/>
    </row>
    <row r="755" spans="3:13" ht="21" customHeight="1">
      <c r="C755" s="60">
        <v>2</v>
      </c>
      <c r="D755" s="56" t="s">
        <v>8</v>
      </c>
      <c r="E755" s="61" t="s">
        <v>6</v>
      </c>
      <c r="F755" s="101">
        <v>0.35</v>
      </c>
      <c r="G755" s="63">
        <f>VLOOKUP(D755,upahbahan,3,FALSE)</f>
        <v>135000</v>
      </c>
      <c r="H755" s="64">
        <f>F755*G755</f>
        <v>47250</v>
      </c>
      <c r="M755" s="494"/>
    </row>
    <row r="756" spans="3:13" ht="21" customHeight="1">
      <c r="C756" s="60">
        <v>3</v>
      </c>
      <c r="D756" s="56" t="s">
        <v>18</v>
      </c>
      <c r="E756" s="61" t="s">
        <v>6</v>
      </c>
      <c r="F756" s="101">
        <v>3.5000000000000003E-2</v>
      </c>
      <c r="G756" s="63">
        <f>VLOOKUP(D756,upahbahan,3,FALSE)</f>
        <v>150000</v>
      </c>
      <c r="H756" s="64">
        <f>F756*G756</f>
        <v>5250.0000000000009</v>
      </c>
      <c r="M756" s="494"/>
    </row>
    <row r="757" spans="3:13" ht="21" customHeight="1">
      <c r="C757" s="60">
        <v>4</v>
      </c>
      <c r="D757" s="56" t="s">
        <v>19</v>
      </c>
      <c r="E757" s="61" t="s">
        <v>6</v>
      </c>
      <c r="F757" s="101">
        <v>1.17E-2</v>
      </c>
      <c r="G757" s="63">
        <f>VLOOKUP(D757,upahbahan,3,FALSE)</f>
        <v>160000</v>
      </c>
      <c r="H757" s="64">
        <f>F757*G757</f>
        <v>1872</v>
      </c>
      <c r="M757" s="494"/>
    </row>
    <row r="758" spans="3:13" ht="21" customHeight="1">
      <c r="C758" s="66" t="s">
        <v>1208</v>
      </c>
      <c r="D758" s="67"/>
      <c r="E758" s="67"/>
      <c r="F758" s="142"/>
      <c r="G758" s="153"/>
      <c r="H758" s="64">
        <f>SUM(H754:H757)</f>
        <v>89372</v>
      </c>
      <c r="I758" s="154"/>
      <c r="J758" s="154"/>
      <c r="K758" s="154"/>
      <c r="M758" s="494"/>
    </row>
    <row r="759" spans="3:13" ht="21" customHeight="1">
      <c r="C759" s="55" t="s">
        <v>1209</v>
      </c>
      <c r="D759" s="56" t="s">
        <v>1210</v>
      </c>
      <c r="E759" s="57"/>
      <c r="F759" s="57"/>
      <c r="G759" s="57"/>
      <c r="H759" s="58"/>
      <c r="M759" s="494"/>
    </row>
    <row r="760" spans="3:13" ht="21" customHeight="1">
      <c r="C760" s="60">
        <v>1</v>
      </c>
      <c r="D760" s="56" t="s">
        <v>3089</v>
      </c>
      <c r="E760" s="61" t="s">
        <v>44</v>
      </c>
      <c r="F760" s="276">
        <v>1</v>
      </c>
      <c r="G760" s="63">
        <f>VLOOKUP(D760,upahbahan,3,FALSE)</f>
        <v>140000</v>
      </c>
      <c r="H760" s="64">
        <f>F760*G760</f>
        <v>140000</v>
      </c>
      <c r="M760" s="494"/>
    </row>
    <row r="761" spans="3:13" ht="21" customHeight="1">
      <c r="C761" s="66" t="s">
        <v>1214</v>
      </c>
      <c r="D761" s="67"/>
      <c r="E761" s="67"/>
      <c r="F761" s="67"/>
      <c r="G761" s="69"/>
      <c r="H761" s="64">
        <f>SUM(H760)</f>
        <v>140000</v>
      </c>
      <c r="M761" s="494"/>
    </row>
    <row r="762" spans="3:13" ht="21" customHeight="1">
      <c r="C762" s="167" t="s">
        <v>1215</v>
      </c>
      <c r="D762" s="56" t="s">
        <v>1216</v>
      </c>
      <c r="E762" s="57"/>
      <c r="F762" s="57"/>
      <c r="G762" s="57"/>
      <c r="H762" s="58"/>
      <c r="M762" s="494"/>
    </row>
    <row r="763" spans="3:13" ht="21" customHeight="1">
      <c r="C763" s="66" t="s">
        <v>1217</v>
      </c>
      <c r="D763" s="67"/>
      <c r="E763" s="67"/>
      <c r="F763" s="67"/>
      <c r="G763" s="69"/>
      <c r="H763" s="74">
        <v>0</v>
      </c>
      <c r="M763" s="494"/>
    </row>
    <row r="764" spans="3:13" ht="21" customHeight="1">
      <c r="C764" s="75" t="s">
        <v>1218</v>
      </c>
      <c r="D764" s="76" t="s">
        <v>1219</v>
      </c>
      <c r="E764" s="77"/>
      <c r="F764" s="77"/>
      <c r="G764" s="78"/>
      <c r="H764" s="64">
        <f>H763+H761+H758</f>
        <v>229372</v>
      </c>
      <c r="M764" s="494"/>
    </row>
    <row r="765" spans="3:13" ht="21" customHeight="1">
      <c r="C765" s="75" t="s">
        <v>1220</v>
      </c>
      <c r="D765" s="76" t="s">
        <v>1321</v>
      </c>
      <c r="E765" s="77"/>
      <c r="F765" s="78"/>
      <c r="G765" s="80">
        <f>$O$8</f>
        <v>0.1</v>
      </c>
      <c r="H765" s="64">
        <f>H764*G765</f>
        <v>22937.200000000001</v>
      </c>
      <c r="M765" s="494"/>
    </row>
    <row r="766" spans="3:13" ht="21" customHeight="1" thickBot="1">
      <c r="C766" s="81" t="s">
        <v>1221</v>
      </c>
      <c r="D766" s="82" t="s">
        <v>1222</v>
      </c>
      <c r="E766" s="83"/>
      <c r="F766" s="83"/>
      <c r="G766" s="84"/>
      <c r="H766" s="85">
        <f>SUM(H764:H765)</f>
        <v>252309.2</v>
      </c>
      <c r="M766" s="494"/>
    </row>
    <row r="767" spans="3:13" ht="14.4" thickTop="1">
      <c r="C767" s="89"/>
      <c r="D767" s="90"/>
      <c r="E767" s="90"/>
      <c r="F767" s="90"/>
      <c r="G767" s="90"/>
      <c r="H767" s="91"/>
      <c r="M767" s="494"/>
    </row>
    <row r="768" spans="3:13">
      <c r="C768" s="89"/>
      <c r="D768" s="90"/>
      <c r="E768" s="90"/>
      <c r="F768" s="90"/>
      <c r="G768" s="90"/>
      <c r="H768" s="91"/>
      <c r="M768" s="494"/>
    </row>
    <row r="769" spans="3:13" ht="14.4" thickBot="1">
      <c r="C769" s="47" t="s">
        <v>3090</v>
      </c>
      <c r="D769" s="149" t="s">
        <v>6555</v>
      </c>
      <c r="E769" s="151"/>
      <c r="F769" s="151"/>
      <c r="G769" s="151"/>
      <c r="H769" s="151"/>
      <c r="I769" s="50">
        <f>ROUNDDOWN(H784,-2)</f>
        <v>31200</v>
      </c>
      <c r="J769" s="50" t="s">
        <v>6451</v>
      </c>
      <c r="K769" s="50" t="s">
        <v>6556</v>
      </c>
      <c r="M769" s="494"/>
    </row>
    <row r="770" spans="3:13" ht="28.2" thickTop="1">
      <c r="C770" s="51" t="s">
        <v>1195</v>
      </c>
      <c r="D770" s="52" t="s">
        <v>1196</v>
      </c>
      <c r="E770" s="52" t="s">
        <v>1197</v>
      </c>
      <c r="F770" s="52" t="s">
        <v>1198</v>
      </c>
      <c r="G770" s="52" t="s">
        <v>1199</v>
      </c>
      <c r="H770" s="53" t="s">
        <v>1200</v>
      </c>
      <c r="M770" s="494"/>
    </row>
    <row r="771" spans="3:13" ht="21" customHeight="1">
      <c r="C771" s="55" t="s">
        <v>1201</v>
      </c>
      <c r="D771" s="56" t="s">
        <v>1202</v>
      </c>
      <c r="E771" s="57"/>
      <c r="F771" s="57"/>
      <c r="G771" s="57"/>
      <c r="H771" s="58"/>
      <c r="M771" s="494"/>
    </row>
    <row r="772" spans="3:13" ht="21" customHeight="1">
      <c r="C772" s="60">
        <v>1</v>
      </c>
      <c r="D772" s="56" t="s">
        <v>5</v>
      </c>
      <c r="E772" s="61" t="s">
        <v>6</v>
      </c>
      <c r="F772" s="101">
        <v>0.1111</v>
      </c>
      <c r="G772" s="63">
        <f>VLOOKUP(D772,upahbahan,3,FALSE)</f>
        <v>100000</v>
      </c>
      <c r="H772" s="64">
        <f>F772*G772</f>
        <v>11110</v>
      </c>
      <c r="K772" s="101">
        <v>1.67</v>
      </c>
      <c r="M772" s="494"/>
    </row>
    <row r="773" spans="3:13" ht="21" customHeight="1">
      <c r="C773" s="60">
        <v>2</v>
      </c>
      <c r="D773" s="56" t="s">
        <v>8</v>
      </c>
      <c r="E773" s="61" t="s">
        <v>6</v>
      </c>
      <c r="F773" s="101">
        <v>0.1111</v>
      </c>
      <c r="G773" s="63">
        <f>VLOOKUP(D773,upahbahan,3,FALSE)</f>
        <v>135000</v>
      </c>
      <c r="H773" s="64">
        <f>F773*G773</f>
        <v>14998.5</v>
      </c>
      <c r="K773" s="101">
        <v>1.67</v>
      </c>
      <c r="M773" s="494"/>
    </row>
    <row r="774" spans="3:13" ht="21" customHeight="1">
      <c r="C774" s="60">
        <v>3</v>
      </c>
      <c r="D774" s="56" t="s">
        <v>18</v>
      </c>
      <c r="E774" s="61" t="s">
        <v>6</v>
      </c>
      <c r="F774" s="101">
        <v>1.11E-2</v>
      </c>
      <c r="G774" s="63">
        <f>VLOOKUP(D774,upahbahan,3,FALSE)</f>
        <v>150000</v>
      </c>
      <c r="H774" s="64">
        <f>F774*G774</f>
        <v>1665</v>
      </c>
      <c r="K774" s="101">
        <v>0.16700000000000001</v>
      </c>
      <c r="M774" s="494"/>
    </row>
    <row r="775" spans="3:13" ht="21" customHeight="1">
      <c r="C775" s="60">
        <v>4</v>
      </c>
      <c r="D775" s="56" t="s">
        <v>19</v>
      </c>
      <c r="E775" s="61" t="s">
        <v>6</v>
      </c>
      <c r="F775" s="101">
        <v>3.7000000000000002E-3</v>
      </c>
      <c r="G775" s="63">
        <f>VLOOKUP(D775,upahbahan,3,FALSE)</f>
        <v>160000</v>
      </c>
      <c r="H775" s="64">
        <f>F775*G775</f>
        <v>592</v>
      </c>
      <c r="K775" s="101">
        <v>5.57E-2</v>
      </c>
      <c r="M775" s="494"/>
    </row>
    <row r="776" spans="3:13" ht="21" customHeight="1">
      <c r="C776" s="66" t="s">
        <v>1208</v>
      </c>
      <c r="D776" s="67"/>
      <c r="E776" s="67"/>
      <c r="F776" s="142"/>
      <c r="G776" s="153"/>
      <c r="H776" s="64">
        <f>SUM(H772:H775)</f>
        <v>28365.5</v>
      </c>
      <c r="I776" s="154"/>
      <c r="J776" s="154"/>
      <c r="K776" s="154"/>
      <c r="M776" s="494"/>
    </row>
    <row r="777" spans="3:13" ht="21" customHeight="1">
      <c r="C777" s="55" t="s">
        <v>1209</v>
      </c>
      <c r="D777" s="56" t="s">
        <v>1210</v>
      </c>
      <c r="E777" s="57"/>
      <c r="F777" s="57"/>
      <c r="G777" s="57"/>
      <c r="H777" s="58"/>
      <c r="M777" s="494"/>
    </row>
    <row r="778" spans="3:13" ht="21" customHeight="1">
      <c r="C778" s="55"/>
      <c r="D778" s="56" t="s">
        <v>6557</v>
      </c>
      <c r="E778" s="57" t="s">
        <v>62</v>
      </c>
      <c r="F778" s="57">
        <v>1</v>
      </c>
      <c r="G778" s="63">
        <f>VLOOKUP(D778,upahbahan,3,FALSE)</f>
        <v>0</v>
      </c>
      <c r="H778" s="64">
        <f>F778*G778</f>
        <v>0</v>
      </c>
      <c r="K778" s="57">
        <v>6.1769999999999996</v>
      </c>
      <c r="M778" s="494"/>
    </row>
    <row r="779" spans="3:13" ht="21" customHeight="1">
      <c r="C779" s="66" t="s">
        <v>1214</v>
      </c>
      <c r="D779" s="67"/>
      <c r="E779" s="67"/>
      <c r="F779" s="67"/>
      <c r="G779" s="69"/>
      <c r="H779" s="64">
        <f>SUM(H778:H778)</f>
        <v>0</v>
      </c>
      <c r="M779" s="494"/>
    </row>
    <row r="780" spans="3:13" ht="21" customHeight="1">
      <c r="C780" s="167" t="s">
        <v>1215</v>
      </c>
      <c r="D780" s="56" t="s">
        <v>1216</v>
      </c>
      <c r="E780" s="57"/>
      <c r="F780" s="57"/>
      <c r="G780" s="57"/>
      <c r="H780" s="58"/>
      <c r="M780" s="494"/>
    </row>
    <row r="781" spans="3:13" ht="21" customHeight="1">
      <c r="C781" s="66" t="s">
        <v>1217</v>
      </c>
      <c r="D781" s="67"/>
      <c r="E781" s="67"/>
      <c r="F781" s="67"/>
      <c r="G781" s="69"/>
      <c r="H781" s="74">
        <v>0</v>
      </c>
      <c r="M781" s="494"/>
    </row>
    <row r="782" spans="3:13" ht="21" customHeight="1">
      <c r="C782" s="75" t="s">
        <v>1218</v>
      </c>
      <c r="D782" s="76" t="s">
        <v>1219</v>
      </c>
      <c r="E782" s="77"/>
      <c r="F782" s="77"/>
      <c r="G782" s="78"/>
      <c r="H782" s="64">
        <f>H781+H779+H776</f>
        <v>28365.5</v>
      </c>
      <c r="M782" s="494"/>
    </row>
    <row r="783" spans="3:13" ht="21" customHeight="1">
      <c r="C783" s="75" t="s">
        <v>1220</v>
      </c>
      <c r="D783" s="76" t="s">
        <v>1321</v>
      </c>
      <c r="E783" s="77"/>
      <c r="F783" s="78"/>
      <c r="G783" s="80">
        <f>$O$8</f>
        <v>0.1</v>
      </c>
      <c r="H783" s="64">
        <f>H782*G783</f>
        <v>2836.55</v>
      </c>
      <c r="M783" s="494"/>
    </row>
    <row r="784" spans="3:13" ht="21" customHeight="1" thickBot="1">
      <c r="C784" s="81" t="s">
        <v>1221</v>
      </c>
      <c r="D784" s="82" t="s">
        <v>1222</v>
      </c>
      <c r="E784" s="83"/>
      <c r="F784" s="83"/>
      <c r="G784" s="84"/>
      <c r="H784" s="85">
        <f>SUM(H782:H783)</f>
        <v>31202.05</v>
      </c>
      <c r="M784" s="494"/>
    </row>
    <row r="785" spans="3:13" ht="14.4" thickTop="1">
      <c r="C785" s="89"/>
      <c r="D785" s="90"/>
      <c r="E785" s="90"/>
      <c r="F785" s="90"/>
      <c r="G785" s="90"/>
      <c r="H785" s="91"/>
      <c r="M785" s="494"/>
    </row>
    <row r="786" spans="3:13">
      <c r="C786" s="89"/>
      <c r="D786" s="90"/>
      <c r="E786" s="90"/>
      <c r="F786" s="90"/>
      <c r="G786" s="90"/>
      <c r="H786" s="91"/>
      <c r="M786" s="494"/>
    </row>
    <row r="787" spans="3:13">
      <c r="C787" s="89"/>
      <c r="D787" s="90"/>
      <c r="E787" s="90"/>
      <c r="F787" s="90"/>
      <c r="G787" s="90"/>
      <c r="H787" s="91"/>
      <c r="M787" s="494"/>
    </row>
    <row r="788" spans="3:13" ht="14.4" thickBot="1">
      <c r="C788" s="47" t="s">
        <v>3091</v>
      </c>
      <c r="D788" s="149" t="s">
        <v>6564</v>
      </c>
      <c r="E788" s="151"/>
      <c r="F788" s="151"/>
      <c r="G788" s="151"/>
      <c r="H788" s="151"/>
      <c r="I788" s="50">
        <f>ROUNDDOWN(H806,-2)</f>
        <v>65900</v>
      </c>
      <c r="J788" s="50" t="s">
        <v>6451</v>
      </c>
      <c r="K788" s="50" t="s">
        <v>6562</v>
      </c>
      <c r="M788" s="494"/>
    </row>
    <row r="789" spans="3:13" ht="28.2" thickTop="1">
      <c r="C789" s="51" t="s">
        <v>1195</v>
      </c>
      <c r="D789" s="52" t="s">
        <v>1196</v>
      </c>
      <c r="E789" s="52" t="s">
        <v>1197</v>
      </c>
      <c r="F789" s="52" t="s">
        <v>1198</v>
      </c>
      <c r="G789" s="52" t="s">
        <v>1199</v>
      </c>
      <c r="H789" s="53" t="s">
        <v>1200</v>
      </c>
      <c r="M789" s="494"/>
    </row>
    <row r="790" spans="3:13" ht="21" customHeight="1">
      <c r="C790" s="55" t="s">
        <v>1201</v>
      </c>
      <c r="D790" s="56" t="s">
        <v>1202</v>
      </c>
      <c r="E790" s="57"/>
      <c r="F790" s="57"/>
      <c r="G790" s="57"/>
      <c r="H790" s="58"/>
      <c r="M790" s="494"/>
    </row>
    <row r="791" spans="3:13" ht="21" customHeight="1">
      <c r="C791" s="60">
        <v>1</v>
      </c>
      <c r="D791" s="56" t="s">
        <v>5</v>
      </c>
      <c r="E791" s="61" t="s">
        <v>6</v>
      </c>
      <c r="F791" s="101">
        <v>0.22220000000000001</v>
      </c>
      <c r="G791" s="63">
        <f>VLOOKUP(D791,upahbahan,3,FALSE)</f>
        <v>100000</v>
      </c>
      <c r="H791" s="64">
        <f>F791*G791</f>
        <v>22220</v>
      </c>
      <c r="K791" s="101">
        <v>0.1</v>
      </c>
      <c r="M791" s="494"/>
    </row>
    <row r="792" spans="3:13" ht="21" customHeight="1">
      <c r="C792" s="60">
        <v>2</v>
      </c>
      <c r="D792" s="56" t="s">
        <v>8</v>
      </c>
      <c r="E792" s="61" t="s">
        <v>6</v>
      </c>
      <c r="F792" s="101">
        <v>0.22220000000000001</v>
      </c>
      <c r="G792" s="63">
        <f>VLOOKUP(D792,upahbahan,3,FALSE)</f>
        <v>135000</v>
      </c>
      <c r="H792" s="64">
        <f>F792*G792</f>
        <v>29997</v>
      </c>
      <c r="K792" s="101">
        <v>0.1</v>
      </c>
      <c r="M792" s="494"/>
    </row>
    <row r="793" spans="3:13" ht="21" customHeight="1">
      <c r="C793" s="60">
        <v>3</v>
      </c>
      <c r="D793" s="56" t="s">
        <v>18</v>
      </c>
      <c r="E793" s="61" t="s">
        <v>6</v>
      </c>
      <c r="F793" s="101">
        <v>2.2200000000000001E-2</v>
      </c>
      <c r="G793" s="63">
        <f>VLOOKUP(D793,upahbahan,3,FALSE)</f>
        <v>150000</v>
      </c>
      <c r="H793" s="64">
        <f>F793*G793</f>
        <v>3330</v>
      </c>
      <c r="K793" s="101">
        <v>0.01</v>
      </c>
      <c r="M793" s="494"/>
    </row>
    <row r="794" spans="3:13" ht="21" customHeight="1">
      <c r="C794" s="60">
        <v>4</v>
      </c>
      <c r="D794" s="56" t="s">
        <v>19</v>
      </c>
      <c r="E794" s="61" t="s">
        <v>6</v>
      </c>
      <c r="F794" s="101">
        <v>7.4000000000000003E-3</v>
      </c>
      <c r="G794" s="63">
        <f>VLOOKUP(D794,upahbahan,3,FALSE)</f>
        <v>160000</v>
      </c>
      <c r="H794" s="64">
        <f>F794*G794</f>
        <v>1184</v>
      </c>
      <c r="K794" s="101">
        <v>3.0000000000000001E-3</v>
      </c>
      <c r="M794" s="494"/>
    </row>
    <row r="795" spans="3:13" ht="21" customHeight="1">
      <c r="C795" s="66" t="s">
        <v>1208</v>
      </c>
      <c r="D795" s="67"/>
      <c r="E795" s="67"/>
      <c r="F795" s="142"/>
      <c r="G795" s="153"/>
      <c r="H795" s="64">
        <f>SUM(H791:H794)</f>
        <v>56731</v>
      </c>
      <c r="I795" s="154"/>
      <c r="J795" s="154"/>
      <c r="K795" s="154"/>
      <c r="M795" s="494"/>
    </row>
    <row r="796" spans="3:13" ht="21" customHeight="1">
      <c r="C796" s="55" t="s">
        <v>1209</v>
      </c>
      <c r="D796" s="56" t="s">
        <v>1210</v>
      </c>
      <c r="E796" s="57"/>
      <c r="F796" s="57"/>
      <c r="G796" s="57"/>
      <c r="H796" s="58"/>
      <c r="M796" s="494"/>
    </row>
    <row r="797" spans="3:13" ht="21" customHeight="1">
      <c r="C797" s="55">
        <v>1</v>
      </c>
      <c r="D797" s="56" t="s">
        <v>3092</v>
      </c>
      <c r="E797" s="93" t="s">
        <v>62</v>
      </c>
      <c r="F797" s="104">
        <v>1.1000000000000001</v>
      </c>
      <c r="G797" s="63">
        <f>VLOOKUP(D797,upahbahan,3,FALSE)</f>
        <v>0</v>
      </c>
      <c r="H797" s="64">
        <f>F797*G797</f>
        <v>0</v>
      </c>
      <c r="M797" s="494"/>
    </row>
    <row r="798" spans="3:13" ht="21" customHeight="1">
      <c r="C798" s="55">
        <v>2</v>
      </c>
      <c r="D798" s="56" t="s">
        <v>254</v>
      </c>
      <c r="E798" s="93" t="s">
        <v>65</v>
      </c>
      <c r="F798" s="104">
        <v>3.7999999999999999E-2</v>
      </c>
      <c r="G798" s="63">
        <f>VLOOKUP(D798,upahbahan,3,FALSE)</f>
        <v>66600</v>
      </c>
      <c r="H798" s="64">
        <f t="shared" ref="H798:H799" si="52">F798*G798</f>
        <v>2530.7999999999997</v>
      </c>
      <c r="K798" s="45" t="s">
        <v>6561</v>
      </c>
      <c r="M798" s="494"/>
    </row>
    <row r="799" spans="3:13" ht="21" customHeight="1">
      <c r="C799" s="60">
        <v>3</v>
      </c>
      <c r="D799" s="56" t="s">
        <v>6563</v>
      </c>
      <c r="E799" s="61" t="s">
        <v>65</v>
      </c>
      <c r="F799" s="62">
        <v>4.6669999999999998</v>
      </c>
      <c r="G799" s="63">
        <f>VLOOKUP(D799,upahbahan,3,FALSE)</f>
        <v>0</v>
      </c>
      <c r="H799" s="64">
        <f t="shared" si="52"/>
        <v>0</v>
      </c>
      <c r="K799" s="45" t="s">
        <v>1839</v>
      </c>
      <c r="M799" s="494"/>
    </row>
    <row r="800" spans="3:13" ht="21" customHeight="1">
      <c r="C800" s="66" t="s">
        <v>1214</v>
      </c>
      <c r="D800" s="67"/>
      <c r="E800" s="67"/>
      <c r="F800" s="67"/>
      <c r="G800" s="69"/>
      <c r="H800" s="64">
        <f>SUM(H797:H799)</f>
        <v>2530.7999999999997</v>
      </c>
      <c r="M800" s="494"/>
    </row>
    <row r="801" spans="3:13" ht="21" customHeight="1">
      <c r="C801" s="167" t="s">
        <v>1215</v>
      </c>
      <c r="D801" s="56" t="s">
        <v>1216</v>
      </c>
      <c r="E801" s="57"/>
      <c r="F801" s="57"/>
      <c r="G801" s="57"/>
      <c r="H801" s="58"/>
      <c r="M801" s="494"/>
    </row>
    <row r="802" spans="3:13" ht="21" customHeight="1">
      <c r="C802" s="60">
        <v>1</v>
      </c>
      <c r="D802" s="56" t="s">
        <v>3125</v>
      </c>
      <c r="E802" s="61" t="s">
        <v>1080</v>
      </c>
      <c r="F802" s="62">
        <v>0.22220000000000001</v>
      </c>
      <c r="G802" s="63">
        <f>VLOOKUP(D802,upahbahan,3,FALSE)</f>
        <v>3125</v>
      </c>
      <c r="H802" s="64">
        <f t="shared" ref="H802" si="53">F802*G802</f>
        <v>694.375</v>
      </c>
      <c r="K802" s="45" t="s">
        <v>1839</v>
      </c>
      <c r="M802" s="494"/>
    </row>
    <row r="803" spans="3:13" ht="21" customHeight="1">
      <c r="C803" s="66" t="s">
        <v>1217</v>
      </c>
      <c r="D803" s="67"/>
      <c r="E803" s="67"/>
      <c r="F803" s="67"/>
      <c r="G803" s="69"/>
      <c r="H803" s="74">
        <f>SUM(H802)</f>
        <v>694.375</v>
      </c>
      <c r="M803" s="494"/>
    </row>
    <row r="804" spans="3:13" ht="21" customHeight="1">
      <c r="C804" s="75" t="s">
        <v>1218</v>
      </c>
      <c r="D804" s="76" t="s">
        <v>1219</v>
      </c>
      <c r="E804" s="77"/>
      <c r="F804" s="77"/>
      <c r="G804" s="78"/>
      <c r="H804" s="64">
        <f>H803+H800+H795</f>
        <v>59956.175000000003</v>
      </c>
      <c r="M804" s="494"/>
    </row>
    <row r="805" spans="3:13" ht="21" customHeight="1">
      <c r="C805" s="75" t="s">
        <v>1220</v>
      </c>
      <c r="D805" s="76" t="s">
        <v>1321</v>
      </c>
      <c r="E805" s="77"/>
      <c r="F805" s="78"/>
      <c r="G805" s="80">
        <f>$O$8</f>
        <v>0.1</v>
      </c>
      <c r="H805" s="64">
        <f>H804*G805</f>
        <v>5995.6175000000003</v>
      </c>
      <c r="M805" s="494"/>
    </row>
    <row r="806" spans="3:13" ht="21" customHeight="1" thickBot="1">
      <c r="C806" s="81" t="s">
        <v>1221</v>
      </c>
      <c r="D806" s="82" t="s">
        <v>1222</v>
      </c>
      <c r="E806" s="83"/>
      <c r="F806" s="83"/>
      <c r="G806" s="84"/>
      <c r="H806" s="85">
        <f>SUM(H804:H805)</f>
        <v>65951.79250000001</v>
      </c>
      <c r="M806" s="494"/>
    </row>
    <row r="807" spans="3:13" ht="14.4" thickTop="1">
      <c r="C807" s="89"/>
      <c r="D807" s="90"/>
      <c r="E807" s="90"/>
      <c r="F807" s="90"/>
      <c r="G807" s="90"/>
      <c r="H807" s="91"/>
      <c r="M807" s="494"/>
    </row>
    <row r="808" spans="3:13" ht="14.4" thickBot="1">
      <c r="C808" s="47" t="s">
        <v>6559</v>
      </c>
      <c r="D808" s="149" t="s">
        <v>6560</v>
      </c>
      <c r="E808" s="151"/>
      <c r="F808" s="151"/>
      <c r="G808" s="151"/>
      <c r="H808" s="151"/>
      <c r="I808" s="50">
        <f>ROUNDDOWN(H825,-2)</f>
        <v>44600</v>
      </c>
      <c r="J808" s="50" t="s">
        <v>6456</v>
      </c>
      <c r="K808" s="50" t="s">
        <v>6568</v>
      </c>
      <c r="M808" s="494"/>
    </row>
    <row r="809" spans="3:13" ht="28.2" thickTop="1">
      <c r="C809" s="51" t="s">
        <v>1195</v>
      </c>
      <c r="D809" s="52" t="s">
        <v>1196</v>
      </c>
      <c r="E809" s="52" t="s">
        <v>1197</v>
      </c>
      <c r="F809" s="52" t="s">
        <v>1198</v>
      </c>
      <c r="G809" s="52" t="s">
        <v>1199</v>
      </c>
      <c r="H809" s="53" t="s">
        <v>1200</v>
      </c>
      <c r="M809" s="494"/>
    </row>
    <row r="810" spans="3:13" ht="21" customHeight="1">
      <c r="C810" s="55" t="s">
        <v>1201</v>
      </c>
      <c r="D810" s="56" t="s">
        <v>1202</v>
      </c>
      <c r="E810" s="57"/>
      <c r="F810" s="57"/>
      <c r="G810" s="57"/>
      <c r="H810" s="58"/>
      <c r="M810" s="494"/>
    </row>
    <row r="811" spans="3:13" ht="21" customHeight="1">
      <c r="C811" s="60">
        <v>1</v>
      </c>
      <c r="D811" s="56" t="s">
        <v>5</v>
      </c>
      <c r="E811" s="61" t="s">
        <v>6</v>
      </c>
      <c r="F811" s="101">
        <v>0.15870000000000001</v>
      </c>
      <c r="G811" s="63">
        <f>VLOOKUP(D811,upahbahan,3,FALSE)</f>
        <v>100000</v>
      </c>
      <c r="H811" s="64">
        <f>F811*G811</f>
        <v>15870</v>
      </c>
      <c r="M811" s="494"/>
    </row>
    <row r="812" spans="3:13" ht="21" customHeight="1">
      <c r="C812" s="60">
        <v>2</v>
      </c>
      <c r="D812" s="56" t="s">
        <v>8</v>
      </c>
      <c r="E812" s="61" t="s">
        <v>6</v>
      </c>
      <c r="F812" s="101">
        <v>0.15870000000000001</v>
      </c>
      <c r="G812" s="63">
        <f>VLOOKUP(D812,upahbahan,3,FALSE)</f>
        <v>135000</v>
      </c>
      <c r="H812" s="64">
        <f>F812*G812</f>
        <v>21424.5</v>
      </c>
      <c r="M812" s="494"/>
    </row>
    <row r="813" spans="3:13" ht="21" customHeight="1">
      <c r="C813" s="60">
        <v>3</v>
      </c>
      <c r="D813" s="56" t="s">
        <v>18</v>
      </c>
      <c r="E813" s="61" t="s">
        <v>6</v>
      </c>
      <c r="F813" s="101">
        <v>1.5900000000000001E-2</v>
      </c>
      <c r="G813" s="63">
        <f>VLOOKUP(D813,upahbahan,3,FALSE)</f>
        <v>150000</v>
      </c>
      <c r="H813" s="64">
        <f>F813*G813</f>
        <v>2385</v>
      </c>
      <c r="M813" s="494"/>
    </row>
    <row r="814" spans="3:13" ht="21" customHeight="1">
      <c r="C814" s="60">
        <v>4</v>
      </c>
      <c r="D814" s="56" t="s">
        <v>19</v>
      </c>
      <c r="E814" s="61" t="s">
        <v>6</v>
      </c>
      <c r="F814" s="101">
        <v>5.3E-3</v>
      </c>
      <c r="G814" s="63">
        <f>VLOOKUP(D814,upahbahan,3,FALSE)</f>
        <v>160000</v>
      </c>
      <c r="H814" s="64">
        <f>F814*G814</f>
        <v>848</v>
      </c>
      <c r="M814" s="494"/>
    </row>
    <row r="815" spans="3:13" ht="21" customHeight="1">
      <c r="C815" s="66" t="s">
        <v>1208</v>
      </c>
      <c r="D815" s="67"/>
      <c r="E815" s="67"/>
      <c r="F815" s="142"/>
      <c r="G815" s="153"/>
      <c r="H815" s="64">
        <f>SUM(H811:H814)</f>
        <v>40527.5</v>
      </c>
      <c r="I815" s="154"/>
      <c r="J815" s="154"/>
      <c r="K815" s="154"/>
      <c r="M815" s="494"/>
    </row>
    <row r="816" spans="3:13" ht="21" customHeight="1">
      <c r="C816" s="55" t="s">
        <v>1209</v>
      </c>
      <c r="D816" s="56" t="s">
        <v>1210</v>
      </c>
      <c r="E816" s="57"/>
      <c r="F816" s="57"/>
      <c r="G816" s="57"/>
      <c r="H816" s="58"/>
      <c r="M816" s="494"/>
    </row>
    <row r="817" spans="3:13" ht="21" customHeight="1">
      <c r="C817" s="55">
        <v>2</v>
      </c>
      <c r="D817" s="56" t="s">
        <v>3092</v>
      </c>
      <c r="E817" s="93" t="s">
        <v>62</v>
      </c>
      <c r="F817" s="104">
        <v>1.1000000000000001</v>
      </c>
      <c r="G817" s="63">
        <f>VLOOKUP(D817,upahbahan,3,FALSE)</f>
        <v>0</v>
      </c>
      <c r="H817" s="64">
        <f>F817*G817</f>
        <v>0</v>
      </c>
      <c r="M817" s="494"/>
    </row>
    <row r="818" spans="3:13" ht="21" customHeight="1">
      <c r="C818" s="55">
        <v>2</v>
      </c>
      <c r="D818" s="56" t="s">
        <v>6566</v>
      </c>
      <c r="E818" s="93" t="s">
        <v>1518</v>
      </c>
      <c r="F818" s="104">
        <v>5.0000000000000001E-3</v>
      </c>
      <c r="G818" s="63">
        <f>VLOOKUP(D818,upahbahan,3,FALSE)</f>
        <v>15000</v>
      </c>
      <c r="H818" s="64">
        <f t="shared" ref="H818:H819" si="54">F818*G818</f>
        <v>75</v>
      </c>
      <c r="M818" s="494"/>
    </row>
    <row r="819" spans="3:13" ht="21" customHeight="1">
      <c r="C819" s="60">
        <v>3</v>
      </c>
      <c r="D819" s="56" t="s">
        <v>6567</v>
      </c>
      <c r="E819" s="61" t="s">
        <v>65</v>
      </c>
      <c r="F819" s="62">
        <v>4.6669999999999998</v>
      </c>
      <c r="G819" s="63">
        <f>VLOOKUP(D819,upahbahan,3,FALSE)</f>
        <v>0</v>
      </c>
      <c r="H819" s="64">
        <f t="shared" si="54"/>
        <v>0</v>
      </c>
      <c r="M819" s="494"/>
    </row>
    <row r="820" spans="3:13" ht="21" customHeight="1">
      <c r="C820" s="66" t="s">
        <v>1214</v>
      </c>
      <c r="D820" s="67"/>
      <c r="E820" s="67"/>
      <c r="F820" s="67"/>
      <c r="G820" s="69"/>
      <c r="H820" s="64">
        <f>SUM(H817:H819)</f>
        <v>75</v>
      </c>
      <c r="M820" s="494"/>
    </row>
    <row r="821" spans="3:13" ht="21" customHeight="1">
      <c r="C821" s="167" t="s">
        <v>1215</v>
      </c>
      <c r="D821" s="56" t="s">
        <v>1216</v>
      </c>
      <c r="E821" s="57"/>
      <c r="F821" s="57"/>
      <c r="G821" s="57"/>
      <c r="H821" s="58"/>
      <c r="M821" s="494"/>
    </row>
    <row r="822" spans="3:13" ht="21" customHeight="1">
      <c r="C822" s="66" t="s">
        <v>1217</v>
      </c>
      <c r="D822" s="67"/>
      <c r="E822" s="67"/>
      <c r="F822" s="67"/>
      <c r="G822" s="69"/>
      <c r="H822" s="74">
        <v>0</v>
      </c>
      <c r="M822" s="494"/>
    </row>
    <row r="823" spans="3:13" ht="21" customHeight="1">
      <c r="C823" s="75" t="s">
        <v>1218</v>
      </c>
      <c r="D823" s="76" t="s">
        <v>1219</v>
      </c>
      <c r="E823" s="77"/>
      <c r="F823" s="77"/>
      <c r="G823" s="78"/>
      <c r="H823" s="64">
        <f>H822+H820+H815</f>
        <v>40602.5</v>
      </c>
      <c r="M823" s="494"/>
    </row>
    <row r="824" spans="3:13" ht="21" customHeight="1">
      <c r="C824" s="75" t="s">
        <v>1220</v>
      </c>
      <c r="D824" s="76" t="s">
        <v>1321</v>
      </c>
      <c r="E824" s="77"/>
      <c r="F824" s="78"/>
      <c r="G824" s="80">
        <f>$O$8</f>
        <v>0.1</v>
      </c>
      <c r="H824" s="64">
        <f>H823*G824</f>
        <v>4060.25</v>
      </c>
      <c r="M824" s="494"/>
    </row>
    <row r="825" spans="3:13" ht="21" customHeight="1" thickBot="1">
      <c r="C825" s="81" t="s">
        <v>1221</v>
      </c>
      <c r="D825" s="82" t="s">
        <v>1222</v>
      </c>
      <c r="E825" s="83"/>
      <c r="F825" s="83"/>
      <c r="G825" s="84"/>
      <c r="H825" s="85">
        <f>SUM(H823:H824)</f>
        <v>44662.75</v>
      </c>
      <c r="M825" s="494"/>
    </row>
    <row r="826" spans="3:13" ht="14.4" thickTop="1">
      <c r="C826" s="89"/>
      <c r="D826" s="90"/>
      <c r="E826" s="90"/>
      <c r="F826" s="90"/>
      <c r="G826" s="90"/>
      <c r="H826" s="91"/>
      <c r="M826" s="494"/>
    </row>
    <row r="827" spans="3:13" ht="14.4" thickBot="1">
      <c r="C827" s="47" t="s">
        <v>3094</v>
      </c>
      <c r="D827" s="149" t="s">
        <v>3095</v>
      </c>
      <c r="E827" s="151"/>
      <c r="F827" s="151"/>
      <c r="G827" s="151"/>
      <c r="H827" s="151"/>
      <c r="I827" s="50">
        <f>ROUNDDOWN(H842,-2)</f>
        <v>52800</v>
      </c>
      <c r="J827" s="50" t="s">
        <v>6451</v>
      </c>
      <c r="K827" s="50" t="s">
        <v>6569</v>
      </c>
      <c r="M827" s="494"/>
    </row>
    <row r="828" spans="3:13" ht="28.2" thickTop="1">
      <c r="C828" s="51" t="s">
        <v>1195</v>
      </c>
      <c r="D828" s="52" t="s">
        <v>1196</v>
      </c>
      <c r="E828" s="52" t="s">
        <v>1197</v>
      </c>
      <c r="F828" s="52" t="s">
        <v>1198</v>
      </c>
      <c r="G828" s="52" t="s">
        <v>1199</v>
      </c>
      <c r="H828" s="53" t="s">
        <v>1200</v>
      </c>
      <c r="M828" s="494"/>
    </row>
    <row r="829" spans="3:13" ht="21" customHeight="1">
      <c r="C829" s="55" t="s">
        <v>1201</v>
      </c>
      <c r="D829" s="56" t="s">
        <v>1202</v>
      </c>
      <c r="E829" s="57"/>
      <c r="F829" s="57"/>
      <c r="G829" s="57"/>
      <c r="H829" s="58"/>
      <c r="M829" s="494"/>
    </row>
    <row r="830" spans="3:13" ht="21" customHeight="1">
      <c r="C830" s="60">
        <v>1</v>
      </c>
      <c r="D830" s="56" t="s">
        <v>5</v>
      </c>
      <c r="E830" s="61" t="s">
        <v>6</v>
      </c>
      <c r="F830" s="101">
        <v>0.02</v>
      </c>
      <c r="G830" s="63">
        <f>VLOOKUP(D830,upahbahan,3,FALSE)</f>
        <v>100000</v>
      </c>
      <c r="H830" s="64">
        <f>F830*G830</f>
        <v>2000</v>
      </c>
      <c r="M830" s="494"/>
    </row>
    <row r="831" spans="3:13" ht="21" customHeight="1">
      <c r="C831" s="60">
        <v>2</v>
      </c>
      <c r="D831" s="56" t="s">
        <v>8</v>
      </c>
      <c r="E831" s="61" t="s">
        <v>6</v>
      </c>
      <c r="F831" s="101">
        <v>0.2</v>
      </c>
      <c r="G831" s="63">
        <f>VLOOKUP(D831,upahbahan,3,FALSE)</f>
        <v>135000</v>
      </c>
      <c r="H831" s="64">
        <f>F831*G831</f>
        <v>27000</v>
      </c>
      <c r="M831" s="494"/>
    </row>
    <row r="832" spans="3:13" ht="21" customHeight="1">
      <c r="C832" s="60">
        <v>3</v>
      </c>
      <c r="D832" s="56" t="s">
        <v>18</v>
      </c>
      <c r="E832" s="61" t="s">
        <v>6</v>
      </c>
      <c r="F832" s="101">
        <v>0.02</v>
      </c>
      <c r="G832" s="63">
        <f>VLOOKUP(D832,upahbahan,3,FALSE)</f>
        <v>150000</v>
      </c>
      <c r="H832" s="64">
        <f>F832*G832</f>
        <v>3000</v>
      </c>
      <c r="M832" s="494"/>
    </row>
    <row r="833" spans="3:13" ht="21" customHeight="1">
      <c r="C833" s="60">
        <v>4</v>
      </c>
      <c r="D833" s="56" t="s">
        <v>19</v>
      </c>
      <c r="E833" s="61" t="s">
        <v>6</v>
      </c>
      <c r="F833" s="101">
        <v>6.7000000000000002E-3</v>
      </c>
      <c r="G833" s="63">
        <f>VLOOKUP(D833,upahbahan,3,FALSE)</f>
        <v>160000</v>
      </c>
      <c r="H833" s="64">
        <f>F833*G833</f>
        <v>1072</v>
      </c>
      <c r="M833" s="494"/>
    </row>
    <row r="834" spans="3:13" ht="21" customHeight="1">
      <c r="C834" s="66" t="s">
        <v>1208</v>
      </c>
      <c r="D834" s="67"/>
      <c r="E834" s="67"/>
      <c r="F834" s="142"/>
      <c r="G834" s="153"/>
      <c r="H834" s="64">
        <f>SUM(H830:H833)</f>
        <v>33072</v>
      </c>
      <c r="I834" s="154"/>
      <c r="J834" s="154"/>
      <c r="K834" s="154"/>
      <c r="M834" s="494"/>
    </row>
    <row r="835" spans="3:13" ht="21" customHeight="1">
      <c r="C835" s="55" t="s">
        <v>1209</v>
      </c>
      <c r="D835" s="56" t="s">
        <v>1210</v>
      </c>
      <c r="E835" s="57"/>
      <c r="F835" s="57"/>
      <c r="G835" s="57"/>
      <c r="H835" s="58"/>
      <c r="M835" s="494"/>
    </row>
    <row r="836" spans="3:13" ht="21" customHeight="1">
      <c r="C836" s="60">
        <v>1</v>
      </c>
      <c r="D836" s="56" t="s">
        <v>616</v>
      </c>
      <c r="E836" s="61" t="s">
        <v>1940</v>
      </c>
      <c r="F836" s="62">
        <v>1</v>
      </c>
      <c r="G836" s="63">
        <f>VLOOKUP(D836,upahbahan,3,FALSE)</f>
        <v>15000</v>
      </c>
      <c r="H836" s="64">
        <f>F836*G836</f>
        <v>15000</v>
      </c>
      <c r="M836" s="494"/>
    </row>
    <row r="837" spans="3:13" ht="21" customHeight="1">
      <c r="C837" s="66" t="s">
        <v>1214</v>
      </c>
      <c r="D837" s="67"/>
      <c r="E837" s="67"/>
      <c r="F837" s="67"/>
      <c r="G837" s="69"/>
      <c r="H837" s="64">
        <f>SUM(H836:H836)</f>
        <v>15000</v>
      </c>
      <c r="M837" s="494"/>
    </row>
    <row r="838" spans="3:13" ht="21" customHeight="1">
      <c r="C838" s="167" t="s">
        <v>1215</v>
      </c>
      <c r="D838" s="56" t="s">
        <v>1216</v>
      </c>
      <c r="E838" s="57"/>
      <c r="F838" s="57"/>
      <c r="G838" s="57"/>
      <c r="H838" s="58"/>
      <c r="M838" s="494"/>
    </row>
    <row r="839" spans="3:13" ht="21" customHeight="1">
      <c r="C839" s="66" t="s">
        <v>1217</v>
      </c>
      <c r="D839" s="67"/>
      <c r="E839" s="67"/>
      <c r="F839" s="67"/>
      <c r="G839" s="69"/>
      <c r="H839" s="74">
        <v>0</v>
      </c>
      <c r="M839" s="494"/>
    </row>
    <row r="840" spans="3:13" ht="21" customHeight="1">
      <c r="C840" s="75" t="s">
        <v>1218</v>
      </c>
      <c r="D840" s="76" t="s">
        <v>1219</v>
      </c>
      <c r="E840" s="77"/>
      <c r="F840" s="77"/>
      <c r="G840" s="78"/>
      <c r="H840" s="64">
        <f>H839+H837+H834</f>
        <v>48072</v>
      </c>
      <c r="M840" s="494"/>
    </row>
    <row r="841" spans="3:13" ht="21" customHeight="1">
      <c r="C841" s="75" t="s">
        <v>1220</v>
      </c>
      <c r="D841" s="76" t="s">
        <v>1321</v>
      </c>
      <c r="E841" s="77"/>
      <c r="F841" s="78"/>
      <c r="G841" s="80">
        <f>$O$8</f>
        <v>0.1</v>
      </c>
      <c r="H841" s="64">
        <f>H840*G841</f>
        <v>4807.2</v>
      </c>
      <c r="M841" s="494"/>
    </row>
    <row r="842" spans="3:13" ht="21" customHeight="1" thickBot="1">
      <c r="C842" s="81" t="s">
        <v>1221</v>
      </c>
      <c r="D842" s="82" t="s">
        <v>1222</v>
      </c>
      <c r="E842" s="83"/>
      <c r="F842" s="83"/>
      <c r="G842" s="84"/>
      <c r="H842" s="85">
        <f>SUM(H840:H841)</f>
        <v>52879.199999999997</v>
      </c>
      <c r="M842" s="494"/>
    </row>
    <row r="843" spans="3:13" ht="14.4" thickTop="1">
      <c r="C843" s="89"/>
      <c r="D843" s="90"/>
      <c r="E843" s="90"/>
      <c r="F843" s="90"/>
      <c r="G843" s="90"/>
      <c r="H843" s="91"/>
      <c r="M843" s="494"/>
    </row>
    <row r="844" spans="3:13">
      <c r="C844" s="89"/>
      <c r="D844" s="90"/>
      <c r="E844" s="90"/>
      <c r="F844" s="90"/>
      <c r="G844" s="90"/>
      <c r="H844" s="91"/>
      <c r="M844" s="494"/>
    </row>
    <row r="845" spans="3:13" ht="14.4" thickBot="1">
      <c r="C845" s="47" t="s">
        <v>3096</v>
      </c>
      <c r="D845" s="149" t="s">
        <v>1514</v>
      </c>
      <c r="E845" s="275"/>
      <c r="F845" s="275"/>
      <c r="G845" s="275"/>
      <c r="H845" s="275"/>
      <c r="I845" s="50">
        <f>ROUNDDOWN(H860,-2)</f>
        <v>64000</v>
      </c>
      <c r="J845" s="50"/>
      <c r="K845" s="50"/>
      <c r="M845" s="494"/>
    </row>
    <row r="846" spans="3:13" ht="28.2" thickTop="1">
      <c r="C846" s="51" t="s">
        <v>1195</v>
      </c>
      <c r="D846" s="52" t="s">
        <v>1196</v>
      </c>
      <c r="E846" s="52" t="s">
        <v>1197</v>
      </c>
      <c r="F846" s="52" t="s">
        <v>1198</v>
      </c>
      <c r="G846" s="52" t="s">
        <v>1199</v>
      </c>
      <c r="H846" s="53" t="s">
        <v>1200</v>
      </c>
      <c r="M846" s="494"/>
    </row>
    <row r="847" spans="3:13" ht="21" customHeight="1">
      <c r="C847" s="55" t="s">
        <v>1201</v>
      </c>
      <c r="D847" s="56" t="s">
        <v>1202</v>
      </c>
      <c r="E847" s="57"/>
      <c r="F847" s="57"/>
      <c r="G847" s="57"/>
      <c r="H847" s="58"/>
      <c r="M847" s="494"/>
    </row>
    <row r="848" spans="3:13" ht="21" customHeight="1">
      <c r="C848" s="60">
        <v>1</v>
      </c>
      <c r="D848" s="56" t="s">
        <v>5</v>
      </c>
      <c r="E848" s="61" t="s">
        <v>6</v>
      </c>
      <c r="F848" s="101">
        <v>0.01</v>
      </c>
      <c r="G848" s="63">
        <f>VLOOKUP(D848,upahbahan,3,FALSE)</f>
        <v>100000</v>
      </c>
      <c r="H848" s="64">
        <f t="shared" ref="H848:H851" si="55">F848*G848</f>
        <v>1000</v>
      </c>
      <c r="M848" s="494"/>
    </row>
    <row r="849" spans="3:13" ht="21" customHeight="1">
      <c r="C849" s="60">
        <v>2</v>
      </c>
      <c r="D849" s="56" t="s">
        <v>8</v>
      </c>
      <c r="E849" s="61" t="s">
        <v>6</v>
      </c>
      <c r="F849" s="101">
        <v>0.1</v>
      </c>
      <c r="G849" s="63">
        <f>VLOOKUP(D849,upahbahan,3,FALSE)</f>
        <v>135000</v>
      </c>
      <c r="H849" s="64">
        <f t="shared" si="55"/>
        <v>13500</v>
      </c>
      <c r="M849" s="494"/>
    </row>
    <row r="850" spans="3:13" ht="21" customHeight="1">
      <c r="C850" s="60">
        <v>3</v>
      </c>
      <c r="D850" s="56" t="s">
        <v>18</v>
      </c>
      <c r="E850" s="61" t="s">
        <v>6</v>
      </c>
      <c r="F850" s="101">
        <v>0.01</v>
      </c>
      <c r="G850" s="63">
        <f>VLOOKUP(D850,upahbahan,3,FALSE)</f>
        <v>150000</v>
      </c>
      <c r="H850" s="64">
        <f t="shared" si="55"/>
        <v>1500</v>
      </c>
      <c r="M850" s="494"/>
    </row>
    <row r="851" spans="3:13" ht="21" customHeight="1">
      <c r="C851" s="60">
        <v>4</v>
      </c>
      <c r="D851" s="56" t="s">
        <v>19</v>
      </c>
      <c r="E851" s="61" t="s">
        <v>6</v>
      </c>
      <c r="F851" s="101">
        <v>3.3E-3</v>
      </c>
      <c r="G851" s="63">
        <f>VLOOKUP(D851,upahbahan,3,FALSE)</f>
        <v>160000</v>
      </c>
      <c r="H851" s="64">
        <f t="shared" si="55"/>
        <v>528</v>
      </c>
      <c r="M851" s="494"/>
    </row>
    <row r="852" spans="3:13" ht="21" customHeight="1">
      <c r="C852" s="66" t="s">
        <v>1208</v>
      </c>
      <c r="D852" s="67"/>
      <c r="E852" s="67"/>
      <c r="F852" s="142"/>
      <c r="G852" s="153"/>
      <c r="H852" s="64">
        <f>SUM(H848:H851)</f>
        <v>16528</v>
      </c>
      <c r="I852" s="154"/>
      <c r="J852" s="154"/>
      <c r="K852" s="154"/>
      <c r="M852" s="494"/>
    </row>
    <row r="853" spans="3:13" ht="21" customHeight="1">
      <c r="C853" s="55" t="s">
        <v>1209</v>
      </c>
      <c r="D853" s="56" t="s">
        <v>1210</v>
      </c>
      <c r="E853" s="57"/>
      <c r="F853" s="57"/>
      <c r="G853" s="57"/>
      <c r="H853" s="58"/>
      <c r="M853" s="494"/>
    </row>
    <row r="854" spans="3:13" ht="21" customHeight="1">
      <c r="C854" s="60">
        <v>1</v>
      </c>
      <c r="D854" s="56" t="s">
        <v>610</v>
      </c>
      <c r="E854" s="61" t="s">
        <v>44</v>
      </c>
      <c r="F854" s="276">
        <v>1</v>
      </c>
      <c r="G854" s="63">
        <f>VLOOKUP(D854,upahbahan,3,FALSE)</f>
        <v>41700</v>
      </c>
      <c r="H854" s="64">
        <f>F854*G854</f>
        <v>41700</v>
      </c>
      <c r="M854" s="494"/>
    </row>
    <row r="855" spans="3:13" ht="21" customHeight="1">
      <c r="C855" s="66" t="s">
        <v>1214</v>
      </c>
      <c r="D855" s="67"/>
      <c r="E855" s="67"/>
      <c r="F855" s="67"/>
      <c r="G855" s="69"/>
      <c r="H855" s="64">
        <f>SUM(H854)</f>
        <v>41700</v>
      </c>
      <c r="M855" s="494"/>
    </row>
    <row r="856" spans="3:13" ht="21" customHeight="1">
      <c r="C856" s="167" t="s">
        <v>1215</v>
      </c>
      <c r="D856" s="56" t="s">
        <v>1216</v>
      </c>
      <c r="E856" s="57"/>
      <c r="F856" s="57"/>
      <c r="G856" s="57"/>
      <c r="H856" s="58"/>
      <c r="M856" s="494"/>
    </row>
    <row r="857" spans="3:13" ht="21" customHeight="1">
      <c r="C857" s="66" t="s">
        <v>1217</v>
      </c>
      <c r="D857" s="67"/>
      <c r="E857" s="67"/>
      <c r="F857" s="67"/>
      <c r="G857" s="69"/>
      <c r="H857" s="74">
        <v>0</v>
      </c>
      <c r="M857" s="494"/>
    </row>
    <row r="858" spans="3:13" ht="21" customHeight="1">
      <c r="C858" s="75" t="s">
        <v>1218</v>
      </c>
      <c r="D858" s="76" t="s">
        <v>1219</v>
      </c>
      <c r="E858" s="77"/>
      <c r="F858" s="77"/>
      <c r="G858" s="78"/>
      <c r="H858" s="64">
        <f>H857+H855+H852</f>
        <v>58228</v>
      </c>
      <c r="M858" s="494"/>
    </row>
    <row r="859" spans="3:13" ht="21" customHeight="1">
      <c r="C859" s="75" t="s">
        <v>1220</v>
      </c>
      <c r="D859" s="76" t="s">
        <v>1321</v>
      </c>
      <c r="E859" s="77"/>
      <c r="F859" s="78"/>
      <c r="G859" s="80">
        <f>$O$8</f>
        <v>0.1</v>
      </c>
      <c r="H859" s="64">
        <f>H858*G859</f>
        <v>5822.8</v>
      </c>
      <c r="M859" s="494"/>
    </row>
    <row r="860" spans="3:13" ht="21" customHeight="1" thickBot="1">
      <c r="C860" s="81" t="s">
        <v>1221</v>
      </c>
      <c r="D860" s="82" t="s">
        <v>1222</v>
      </c>
      <c r="E860" s="83"/>
      <c r="F860" s="83"/>
      <c r="G860" s="84"/>
      <c r="H860" s="85">
        <f>SUM(H858:H859)</f>
        <v>64050.8</v>
      </c>
      <c r="M860" s="494"/>
    </row>
    <row r="861" spans="3:13" ht="14.4" thickTop="1">
      <c r="C861" s="89"/>
      <c r="D861" s="90"/>
      <c r="E861" s="90"/>
      <c r="F861" s="90"/>
      <c r="G861" s="90"/>
      <c r="H861" s="91"/>
      <c r="M861" s="494"/>
    </row>
    <row r="862" spans="3:13" ht="14.4" thickBot="1">
      <c r="C862" s="47" t="s">
        <v>3097</v>
      </c>
      <c r="D862" s="149" t="s">
        <v>1515</v>
      </c>
      <c r="E862" s="275"/>
      <c r="F862" s="275"/>
      <c r="G862" s="275"/>
      <c r="H862" s="275"/>
      <c r="I862" s="50">
        <f>ROUNDDOWN(H877,-2)</f>
        <v>75300</v>
      </c>
      <c r="J862" s="50"/>
      <c r="K862" s="50"/>
      <c r="M862" s="494"/>
    </row>
    <row r="863" spans="3:13" ht="28.2" thickTop="1">
      <c r="C863" s="51" t="s">
        <v>1195</v>
      </c>
      <c r="D863" s="52" t="s">
        <v>1196</v>
      </c>
      <c r="E863" s="52" t="s">
        <v>1197</v>
      </c>
      <c r="F863" s="52" t="s">
        <v>1198</v>
      </c>
      <c r="G863" s="52" t="s">
        <v>1199</v>
      </c>
      <c r="H863" s="53" t="s">
        <v>1200</v>
      </c>
      <c r="M863" s="494"/>
    </row>
    <row r="864" spans="3:13" ht="21" customHeight="1">
      <c r="C864" s="55" t="s">
        <v>1201</v>
      </c>
      <c r="D864" s="56" t="s">
        <v>1202</v>
      </c>
      <c r="E864" s="57"/>
      <c r="F864" s="57"/>
      <c r="G864" s="57"/>
      <c r="H864" s="58"/>
      <c r="M864" s="494"/>
    </row>
    <row r="865" spans="3:13" ht="21" customHeight="1">
      <c r="C865" s="60">
        <v>1</v>
      </c>
      <c r="D865" s="56" t="s">
        <v>5</v>
      </c>
      <c r="E865" s="61" t="s">
        <v>6</v>
      </c>
      <c r="F865" s="101">
        <v>0.1</v>
      </c>
      <c r="G865" s="63">
        <f>VLOOKUP(D865,upahbahan,3,FALSE)</f>
        <v>100000</v>
      </c>
      <c r="H865" s="64">
        <f t="shared" ref="H865:H868" si="56">F865*G865</f>
        <v>10000</v>
      </c>
      <c r="M865" s="494"/>
    </row>
    <row r="866" spans="3:13" ht="21" customHeight="1">
      <c r="C866" s="60">
        <v>2</v>
      </c>
      <c r="D866" s="56" t="s">
        <v>8</v>
      </c>
      <c r="E866" s="61" t="s">
        <v>6</v>
      </c>
      <c r="F866" s="101">
        <v>0.2</v>
      </c>
      <c r="G866" s="63">
        <f>VLOOKUP(D866,upahbahan,3,FALSE)</f>
        <v>135000</v>
      </c>
      <c r="H866" s="64">
        <f t="shared" si="56"/>
        <v>27000</v>
      </c>
      <c r="M866" s="494"/>
    </row>
    <row r="867" spans="3:13" ht="21" customHeight="1">
      <c r="C867" s="60">
        <v>3</v>
      </c>
      <c r="D867" s="56" t="s">
        <v>18</v>
      </c>
      <c r="E867" s="61" t="s">
        <v>6</v>
      </c>
      <c r="F867" s="101">
        <v>0.02</v>
      </c>
      <c r="G867" s="63">
        <f>VLOOKUP(D867,upahbahan,3,FALSE)</f>
        <v>150000</v>
      </c>
      <c r="H867" s="64">
        <f t="shared" si="56"/>
        <v>3000</v>
      </c>
      <c r="M867" s="494"/>
    </row>
    <row r="868" spans="3:13" ht="21" customHeight="1">
      <c r="C868" s="60">
        <v>4</v>
      </c>
      <c r="D868" s="56" t="s">
        <v>19</v>
      </c>
      <c r="E868" s="61" t="s">
        <v>6</v>
      </c>
      <c r="F868" s="101">
        <v>6.7000000000000002E-3</v>
      </c>
      <c r="G868" s="63">
        <f>VLOOKUP(D868,upahbahan,3,FALSE)</f>
        <v>160000</v>
      </c>
      <c r="H868" s="64">
        <f t="shared" si="56"/>
        <v>1072</v>
      </c>
      <c r="M868" s="494"/>
    </row>
    <row r="869" spans="3:13" ht="21" customHeight="1">
      <c r="C869" s="66" t="s">
        <v>1208</v>
      </c>
      <c r="D869" s="67"/>
      <c r="E869" s="67"/>
      <c r="F869" s="142"/>
      <c r="G869" s="153"/>
      <c r="H869" s="64">
        <f>SUM(H865:H868)</f>
        <v>41072</v>
      </c>
      <c r="I869" s="154"/>
      <c r="J869" s="154"/>
      <c r="K869" s="154"/>
      <c r="M869" s="494"/>
    </row>
    <row r="870" spans="3:13" ht="21" customHeight="1">
      <c r="C870" s="55" t="s">
        <v>1209</v>
      </c>
      <c r="D870" s="56" t="s">
        <v>1210</v>
      </c>
      <c r="E870" s="57"/>
      <c r="F870" s="57"/>
      <c r="G870" s="57"/>
      <c r="H870" s="58"/>
      <c r="M870" s="494"/>
    </row>
    <row r="871" spans="3:13" ht="21" customHeight="1">
      <c r="C871" s="60">
        <v>1</v>
      </c>
      <c r="D871" s="56" t="s">
        <v>608</v>
      </c>
      <c r="E871" s="61" t="s">
        <v>44</v>
      </c>
      <c r="F871" s="62">
        <v>1</v>
      </c>
      <c r="G871" s="63">
        <f>VLOOKUP(D871,upahbahan,3,FALSE)</f>
        <v>27400</v>
      </c>
      <c r="H871" s="64">
        <f t="shared" ref="H871" si="57">F871*G871</f>
        <v>27400</v>
      </c>
      <c r="M871" s="494"/>
    </row>
    <row r="872" spans="3:13" ht="21" customHeight="1">
      <c r="C872" s="66" t="s">
        <v>1214</v>
      </c>
      <c r="D872" s="67"/>
      <c r="E872" s="67"/>
      <c r="F872" s="67"/>
      <c r="G872" s="69"/>
      <c r="H872" s="64">
        <f>SUM(H871)</f>
        <v>27400</v>
      </c>
      <c r="M872" s="494"/>
    </row>
    <row r="873" spans="3:13" ht="21" customHeight="1">
      <c r="C873" s="167" t="s">
        <v>1215</v>
      </c>
      <c r="D873" s="56" t="s">
        <v>1216</v>
      </c>
      <c r="E873" s="57"/>
      <c r="F873" s="57"/>
      <c r="G873" s="57"/>
      <c r="H873" s="58"/>
      <c r="M873" s="494"/>
    </row>
    <row r="874" spans="3:13" ht="21" customHeight="1">
      <c r="C874" s="66" t="s">
        <v>1217</v>
      </c>
      <c r="D874" s="67"/>
      <c r="E874" s="67"/>
      <c r="F874" s="67"/>
      <c r="G874" s="69"/>
      <c r="H874" s="74">
        <v>0</v>
      </c>
      <c r="M874" s="494"/>
    </row>
    <row r="875" spans="3:13" ht="21" customHeight="1">
      <c r="C875" s="75" t="s">
        <v>1218</v>
      </c>
      <c r="D875" s="76" t="s">
        <v>1219</v>
      </c>
      <c r="E875" s="77"/>
      <c r="F875" s="77"/>
      <c r="G875" s="78"/>
      <c r="H875" s="64">
        <f>H874+H872+H869</f>
        <v>68472</v>
      </c>
      <c r="M875" s="494"/>
    </row>
    <row r="876" spans="3:13" ht="21" customHeight="1">
      <c r="C876" s="75" t="s">
        <v>1220</v>
      </c>
      <c r="D876" s="76" t="s">
        <v>1321</v>
      </c>
      <c r="E876" s="77"/>
      <c r="F876" s="78"/>
      <c r="G876" s="80">
        <f>$O$8</f>
        <v>0.1</v>
      </c>
      <c r="H876" s="64">
        <f>H875*G876</f>
        <v>6847.2000000000007</v>
      </c>
      <c r="M876" s="494"/>
    </row>
    <row r="877" spans="3:13" ht="21" customHeight="1" thickBot="1">
      <c r="C877" s="81" t="s">
        <v>1221</v>
      </c>
      <c r="D877" s="82" t="s">
        <v>1222</v>
      </c>
      <c r="E877" s="83"/>
      <c r="F877" s="83"/>
      <c r="G877" s="84"/>
      <c r="H877" s="85">
        <f>SUM(H875:H876)</f>
        <v>75319.199999999997</v>
      </c>
      <c r="M877" s="494"/>
    </row>
    <row r="878" spans="3:13" ht="14.4" thickTop="1">
      <c r="C878" s="89"/>
      <c r="D878" s="90"/>
      <c r="E878" s="90"/>
      <c r="F878" s="90"/>
      <c r="G878" s="90"/>
      <c r="H878" s="91"/>
      <c r="M878" s="494"/>
    </row>
    <row r="879" spans="3:13" ht="14.4" thickBot="1">
      <c r="C879" s="44" t="s">
        <v>3098</v>
      </c>
      <c r="D879" s="149" t="s">
        <v>6570</v>
      </c>
      <c r="E879" s="275"/>
      <c r="F879" s="275"/>
      <c r="G879" s="275"/>
      <c r="H879" s="275"/>
      <c r="I879" s="50">
        <f>ROUNDDOWN(H894,-2)</f>
        <v>51000</v>
      </c>
      <c r="J879" s="50" t="s">
        <v>6451</v>
      </c>
      <c r="K879" s="50" t="s">
        <v>6450</v>
      </c>
      <c r="M879" s="494"/>
    </row>
    <row r="880" spans="3:13" ht="28.2" thickTop="1">
      <c r="C880" s="51" t="s">
        <v>1195</v>
      </c>
      <c r="D880" s="52" t="s">
        <v>1196</v>
      </c>
      <c r="E880" s="52" t="s">
        <v>1197</v>
      </c>
      <c r="F880" s="52" t="s">
        <v>1198</v>
      </c>
      <c r="G880" s="52" t="s">
        <v>1199</v>
      </c>
      <c r="H880" s="53" t="s">
        <v>1200</v>
      </c>
      <c r="M880" s="494"/>
    </row>
    <row r="881" spans="3:13" ht="21" customHeight="1">
      <c r="C881" s="55" t="s">
        <v>1201</v>
      </c>
      <c r="D881" s="56" t="s">
        <v>1202</v>
      </c>
      <c r="E881" s="57"/>
      <c r="F881" s="57"/>
      <c r="G881" s="57"/>
      <c r="H881" s="58"/>
      <c r="M881" s="494"/>
    </row>
    <row r="882" spans="3:13" ht="21" customHeight="1">
      <c r="C882" s="60">
        <v>1</v>
      </c>
      <c r="D882" s="56" t="s">
        <v>5</v>
      </c>
      <c r="E882" s="61" t="s">
        <v>6</v>
      </c>
      <c r="F882" s="62">
        <v>1.4999999999999999E-2</v>
      </c>
      <c r="G882" s="63">
        <f>VLOOKUP(D882,upahbahan,3,FALSE)</f>
        <v>100000</v>
      </c>
      <c r="H882" s="64">
        <f>F882*G882</f>
        <v>1500</v>
      </c>
      <c r="M882" s="494"/>
    </row>
    <row r="883" spans="3:13" ht="21" customHeight="1">
      <c r="C883" s="60">
        <v>2</v>
      </c>
      <c r="D883" s="56" t="s">
        <v>8</v>
      </c>
      <c r="E883" s="61" t="s">
        <v>6</v>
      </c>
      <c r="F883" s="62">
        <v>0.15</v>
      </c>
      <c r="G883" s="63">
        <f>VLOOKUP(D883,upahbahan,3,FALSE)</f>
        <v>135000</v>
      </c>
      <c r="H883" s="64">
        <f t="shared" ref="H883:H885" si="58">F883*G883</f>
        <v>20250</v>
      </c>
      <c r="M883" s="494"/>
    </row>
    <row r="884" spans="3:13" ht="21" customHeight="1">
      <c r="C884" s="60">
        <v>3</v>
      </c>
      <c r="D884" s="56" t="s">
        <v>18</v>
      </c>
      <c r="E884" s="61" t="s">
        <v>6</v>
      </c>
      <c r="F884" s="62">
        <v>1.4999999999999999E-2</v>
      </c>
      <c r="G884" s="63">
        <f>VLOOKUP(D884,upahbahan,3,FALSE)</f>
        <v>150000</v>
      </c>
      <c r="H884" s="64">
        <f t="shared" si="58"/>
        <v>2250</v>
      </c>
      <c r="M884" s="494"/>
    </row>
    <row r="885" spans="3:13" ht="21" customHeight="1">
      <c r="C885" s="60">
        <v>4</v>
      </c>
      <c r="D885" s="56" t="s">
        <v>19</v>
      </c>
      <c r="E885" s="61" t="s">
        <v>6</v>
      </c>
      <c r="F885" s="62">
        <v>5.0000000000000001E-3</v>
      </c>
      <c r="G885" s="63">
        <f>VLOOKUP(D885,upahbahan,3,FALSE)</f>
        <v>160000</v>
      </c>
      <c r="H885" s="64">
        <f t="shared" si="58"/>
        <v>800</v>
      </c>
      <c r="M885" s="494"/>
    </row>
    <row r="886" spans="3:13" ht="21" customHeight="1">
      <c r="C886" s="66" t="s">
        <v>1208</v>
      </c>
      <c r="D886" s="67"/>
      <c r="E886" s="67"/>
      <c r="F886" s="142"/>
      <c r="G886" s="153"/>
      <c r="H886" s="64">
        <f>SUM(H882:H885)</f>
        <v>24800</v>
      </c>
      <c r="I886" s="154"/>
      <c r="J886" s="154"/>
      <c r="K886" s="154"/>
      <c r="M886" s="494"/>
    </row>
    <row r="887" spans="3:13" ht="21" customHeight="1">
      <c r="C887" s="55" t="s">
        <v>1209</v>
      </c>
      <c r="D887" s="56" t="s">
        <v>1210</v>
      </c>
      <c r="E887" s="57"/>
      <c r="F887" s="57"/>
      <c r="G887" s="57"/>
      <c r="H887" s="58"/>
      <c r="M887" s="494"/>
    </row>
    <row r="888" spans="3:13" ht="21" customHeight="1">
      <c r="C888" s="60">
        <v>1</v>
      </c>
      <c r="D888" s="56" t="s">
        <v>631</v>
      </c>
      <c r="E888" s="61" t="s">
        <v>44</v>
      </c>
      <c r="F888" s="276">
        <v>1</v>
      </c>
      <c r="G888" s="63">
        <f>VLOOKUP(D888,upahbahan,3,FALSE)</f>
        <v>21600</v>
      </c>
      <c r="H888" s="64">
        <f>F888*G888</f>
        <v>21600</v>
      </c>
      <c r="M888" s="494"/>
    </row>
    <row r="889" spans="3:13" ht="21" customHeight="1">
      <c r="C889" s="66" t="s">
        <v>1214</v>
      </c>
      <c r="D889" s="67"/>
      <c r="E889" s="67"/>
      <c r="F889" s="67"/>
      <c r="G889" s="69"/>
      <c r="H889" s="64">
        <f>SUM(H888)</f>
        <v>21600</v>
      </c>
      <c r="M889" s="494"/>
    </row>
    <row r="890" spans="3:13" ht="21" customHeight="1">
      <c r="C890" s="167" t="s">
        <v>1215</v>
      </c>
      <c r="D890" s="56" t="s">
        <v>1216</v>
      </c>
      <c r="E890" s="57"/>
      <c r="F890" s="57"/>
      <c r="G890" s="57"/>
      <c r="H890" s="58"/>
      <c r="M890" s="494"/>
    </row>
    <row r="891" spans="3:13" ht="21" customHeight="1">
      <c r="C891" s="66" t="s">
        <v>1217</v>
      </c>
      <c r="D891" s="67"/>
      <c r="E891" s="67"/>
      <c r="F891" s="67"/>
      <c r="G891" s="69"/>
      <c r="H891" s="74">
        <v>0</v>
      </c>
      <c r="M891" s="494"/>
    </row>
    <row r="892" spans="3:13" ht="21" customHeight="1">
      <c r="C892" s="75" t="s">
        <v>1218</v>
      </c>
      <c r="D892" s="76" t="s">
        <v>1219</v>
      </c>
      <c r="E892" s="77"/>
      <c r="F892" s="77"/>
      <c r="G892" s="78"/>
      <c r="H892" s="64">
        <f>H891+H889+H886</f>
        <v>46400</v>
      </c>
      <c r="M892" s="494"/>
    </row>
    <row r="893" spans="3:13" ht="21" customHeight="1">
      <c r="C893" s="75" t="s">
        <v>1220</v>
      </c>
      <c r="D893" s="76" t="s">
        <v>1321</v>
      </c>
      <c r="E893" s="77"/>
      <c r="F893" s="78"/>
      <c r="G893" s="80">
        <f>$O$8</f>
        <v>0.1</v>
      </c>
      <c r="H893" s="64">
        <f>H892*G893</f>
        <v>4640</v>
      </c>
      <c r="M893" s="494"/>
    </row>
    <row r="894" spans="3:13" ht="21" customHeight="1" thickBot="1">
      <c r="C894" s="81" t="s">
        <v>1221</v>
      </c>
      <c r="D894" s="82" t="s">
        <v>1222</v>
      </c>
      <c r="E894" s="83"/>
      <c r="F894" s="83"/>
      <c r="G894" s="84"/>
      <c r="H894" s="85">
        <f>SUM(H892:H893)</f>
        <v>51040</v>
      </c>
      <c r="M894" s="494"/>
    </row>
    <row r="895" spans="3:13" ht="14.4" thickTop="1">
      <c r="C895" s="277"/>
      <c r="D895" s="278"/>
      <c r="E895" s="278"/>
      <c r="F895" s="278"/>
      <c r="G895" s="278"/>
      <c r="H895" s="91"/>
      <c r="M895" s="494"/>
    </row>
    <row r="896" spans="3:13" ht="14.4" thickBot="1">
      <c r="C896" s="44" t="s">
        <v>3099</v>
      </c>
      <c r="D896" s="149" t="s">
        <v>1516</v>
      </c>
      <c r="E896" s="275"/>
      <c r="F896" s="275"/>
      <c r="G896" s="275"/>
      <c r="H896" s="275"/>
      <c r="I896" s="50">
        <f>ROUNDDOWN(H911,-2)</f>
        <v>40400</v>
      </c>
      <c r="J896" s="50"/>
      <c r="K896" s="50"/>
      <c r="M896" s="494"/>
    </row>
    <row r="897" spans="3:13" ht="28.2" thickTop="1">
      <c r="C897" s="51" t="s">
        <v>1195</v>
      </c>
      <c r="D897" s="52" t="s">
        <v>1196</v>
      </c>
      <c r="E897" s="52" t="s">
        <v>1197</v>
      </c>
      <c r="F897" s="52" t="s">
        <v>1198</v>
      </c>
      <c r="G897" s="52" t="s">
        <v>1199</v>
      </c>
      <c r="H897" s="53" t="s">
        <v>1200</v>
      </c>
      <c r="M897" s="494"/>
    </row>
    <row r="898" spans="3:13" ht="21" customHeight="1">
      <c r="C898" s="55" t="s">
        <v>1201</v>
      </c>
      <c r="D898" s="56" t="s">
        <v>1202</v>
      </c>
      <c r="E898" s="57"/>
      <c r="F898" s="57"/>
      <c r="G898" s="57"/>
      <c r="H898" s="58"/>
      <c r="M898" s="494"/>
    </row>
    <row r="899" spans="3:13" ht="21" customHeight="1">
      <c r="C899" s="60">
        <v>1</v>
      </c>
      <c r="D899" s="56" t="s">
        <v>5</v>
      </c>
      <c r="E899" s="61" t="s">
        <v>6</v>
      </c>
      <c r="F899" s="62">
        <v>1.4999999999999999E-2</v>
      </c>
      <c r="G899" s="63">
        <f>VLOOKUP(D899,upahbahan,3,FALSE)</f>
        <v>100000</v>
      </c>
      <c r="H899" s="64">
        <f t="shared" ref="H899:H902" si="59">F899*G899</f>
        <v>1500</v>
      </c>
      <c r="M899" s="494"/>
    </row>
    <row r="900" spans="3:13" ht="21" customHeight="1">
      <c r="C900" s="60">
        <v>2</v>
      </c>
      <c r="D900" s="56" t="s">
        <v>8</v>
      </c>
      <c r="E900" s="61" t="s">
        <v>6</v>
      </c>
      <c r="F900" s="62">
        <v>0.15</v>
      </c>
      <c r="G900" s="63">
        <f>VLOOKUP(D900,upahbahan,3,FALSE)</f>
        <v>135000</v>
      </c>
      <c r="H900" s="64">
        <f t="shared" si="59"/>
        <v>20250</v>
      </c>
      <c r="M900" s="494"/>
    </row>
    <row r="901" spans="3:13" ht="21" customHeight="1">
      <c r="C901" s="60">
        <v>3</v>
      </c>
      <c r="D901" s="56" t="s">
        <v>18</v>
      </c>
      <c r="E901" s="61" t="s">
        <v>6</v>
      </c>
      <c r="F901" s="62">
        <v>1.4999999999999999E-2</v>
      </c>
      <c r="G901" s="63">
        <f>VLOOKUP(D901,upahbahan,3,FALSE)</f>
        <v>150000</v>
      </c>
      <c r="H901" s="64">
        <f t="shared" si="59"/>
        <v>2250</v>
      </c>
      <c r="M901" s="494"/>
    </row>
    <row r="902" spans="3:13" ht="21" customHeight="1">
      <c r="C902" s="60">
        <v>4</v>
      </c>
      <c r="D902" s="56" t="s">
        <v>19</v>
      </c>
      <c r="E902" s="61" t="s">
        <v>6</v>
      </c>
      <c r="F902" s="62">
        <v>5.0000000000000001E-3</v>
      </c>
      <c r="G902" s="63">
        <f>VLOOKUP(D902,upahbahan,3,FALSE)</f>
        <v>160000</v>
      </c>
      <c r="H902" s="64">
        <f t="shared" si="59"/>
        <v>800</v>
      </c>
      <c r="M902" s="494"/>
    </row>
    <row r="903" spans="3:13" ht="21" customHeight="1">
      <c r="C903" s="66" t="s">
        <v>1208</v>
      </c>
      <c r="D903" s="67"/>
      <c r="E903" s="67"/>
      <c r="F903" s="142"/>
      <c r="G903" s="153"/>
      <c r="H903" s="64">
        <f>SUM(H899:H902)</f>
        <v>24800</v>
      </c>
      <c r="I903" s="154"/>
      <c r="J903" s="154"/>
      <c r="K903" s="154"/>
      <c r="M903" s="494"/>
    </row>
    <row r="904" spans="3:13" ht="21" customHeight="1">
      <c r="C904" s="55" t="s">
        <v>1209</v>
      </c>
      <c r="D904" s="56" t="s">
        <v>1210</v>
      </c>
      <c r="E904" s="57"/>
      <c r="F904" s="57"/>
      <c r="G904" s="57"/>
      <c r="H904" s="58"/>
      <c r="M904" s="494"/>
    </row>
    <row r="905" spans="3:13" ht="21" customHeight="1">
      <c r="C905" s="60">
        <v>1</v>
      </c>
      <c r="D905" s="56" t="s">
        <v>619</v>
      </c>
      <c r="E905" s="61" t="s">
        <v>44</v>
      </c>
      <c r="F905" s="495">
        <v>1</v>
      </c>
      <c r="G905" s="63">
        <f>VLOOKUP(D905,upahbahan,3,FALSE)</f>
        <v>12000</v>
      </c>
      <c r="H905" s="64">
        <f t="shared" ref="H905" si="60">F905*G905</f>
        <v>12000</v>
      </c>
      <c r="M905" s="494"/>
    </row>
    <row r="906" spans="3:13" ht="21" customHeight="1">
      <c r="C906" s="66" t="s">
        <v>1214</v>
      </c>
      <c r="D906" s="67"/>
      <c r="E906" s="67"/>
      <c r="F906" s="67"/>
      <c r="G906" s="69"/>
      <c r="H906" s="64">
        <f>SUM(H905)</f>
        <v>12000</v>
      </c>
      <c r="M906" s="494"/>
    </row>
    <row r="907" spans="3:13" ht="21" customHeight="1">
      <c r="C907" s="167" t="s">
        <v>1215</v>
      </c>
      <c r="D907" s="56" t="s">
        <v>1216</v>
      </c>
      <c r="E907" s="57"/>
      <c r="F907" s="57"/>
      <c r="G907" s="57"/>
      <c r="H907" s="58"/>
      <c r="M907" s="494"/>
    </row>
    <row r="908" spans="3:13" ht="21" customHeight="1">
      <c r="C908" s="66" t="s">
        <v>1217</v>
      </c>
      <c r="D908" s="67"/>
      <c r="E908" s="67"/>
      <c r="F908" s="67"/>
      <c r="G908" s="69"/>
      <c r="H908" s="74">
        <v>0</v>
      </c>
      <c r="M908" s="494"/>
    </row>
    <row r="909" spans="3:13" ht="21" customHeight="1">
      <c r="C909" s="75" t="s">
        <v>1218</v>
      </c>
      <c r="D909" s="76" t="s">
        <v>1219</v>
      </c>
      <c r="E909" s="77"/>
      <c r="F909" s="77"/>
      <c r="G909" s="78"/>
      <c r="H909" s="64">
        <f>H908+H906+H903</f>
        <v>36800</v>
      </c>
      <c r="M909" s="494"/>
    </row>
    <row r="910" spans="3:13" ht="21" customHeight="1">
      <c r="C910" s="75" t="s">
        <v>1220</v>
      </c>
      <c r="D910" s="76" t="s">
        <v>1321</v>
      </c>
      <c r="E910" s="77"/>
      <c r="F910" s="78"/>
      <c r="G910" s="80">
        <f>$O$8</f>
        <v>0.1</v>
      </c>
      <c r="H910" s="64">
        <f>H909*G910</f>
        <v>3680</v>
      </c>
      <c r="M910" s="494"/>
    </row>
    <row r="911" spans="3:13" ht="21" customHeight="1" thickBot="1">
      <c r="C911" s="81" t="s">
        <v>1221</v>
      </c>
      <c r="D911" s="82" t="s">
        <v>1222</v>
      </c>
      <c r="E911" s="83"/>
      <c r="F911" s="83"/>
      <c r="G911" s="84"/>
      <c r="H911" s="85">
        <f>SUM(H909:H910)</f>
        <v>40480</v>
      </c>
      <c r="M911" s="494"/>
    </row>
    <row r="912" spans="3:13" ht="14.4" thickTop="1">
      <c r="M912" s="494"/>
    </row>
    <row r="913" spans="3:13">
      <c r="C913" s="89"/>
      <c r="D913" s="90"/>
      <c r="E913" s="90"/>
      <c r="F913" s="90"/>
      <c r="G913" s="90"/>
      <c r="H913" s="91"/>
      <c r="M913" s="494"/>
    </row>
    <row r="914" spans="3:13" ht="14.4" thickBot="1">
      <c r="C914" s="47" t="s">
        <v>3100</v>
      </c>
      <c r="D914" s="149" t="s">
        <v>1519</v>
      </c>
      <c r="E914" s="484"/>
      <c r="F914" s="484"/>
      <c r="G914" s="484"/>
      <c r="H914" s="484"/>
      <c r="I914" s="50">
        <f>ROUNDDOWN(H929,-2)</f>
        <v>59700</v>
      </c>
      <c r="J914" s="50"/>
      <c r="K914" s="50"/>
      <c r="M914" s="494"/>
    </row>
    <row r="915" spans="3:13" ht="28.2" thickTop="1">
      <c r="C915" s="51" t="s">
        <v>1195</v>
      </c>
      <c r="D915" s="52" t="s">
        <v>1196</v>
      </c>
      <c r="E915" s="52" t="s">
        <v>1197</v>
      </c>
      <c r="F915" s="52" t="s">
        <v>1198</v>
      </c>
      <c r="G915" s="52" t="s">
        <v>1199</v>
      </c>
      <c r="H915" s="53" t="s">
        <v>1200</v>
      </c>
      <c r="M915" s="494"/>
    </row>
    <row r="916" spans="3:13" ht="21" customHeight="1">
      <c r="C916" s="55" t="s">
        <v>1201</v>
      </c>
      <c r="D916" s="56" t="s">
        <v>1202</v>
      </c>
      <c r="E916" s="57"/>
      <c r="F916" s="57"/>
      <c r="G916" s="57"/>
      <c r="H916" s="58"/>
      <c r="M916" s="494"/>
    </row>
    <row r="917" spans="3:13" ht="21" customHeight="1">
      <c r="C917" s="60">
        <v>1</v>
      </c>
      <c r="D917" s="56" t="s">
        <v>5</v>
      </c>
      <c r="E917" s="61" t="s">
        <v>6</v>
      </c>
      <c r="F917" s="101">
        <v>2.5000000000000001E-2</v>
      </c>
      <c r="G917" s="63">
        <f>VLOOKUP(D917,upahbahan,3,FALSE)</f>
        <v>100000</v>
      </c>
      <c r="H917" s="64">
        <f t="shared" ref="H917:H920" si="61">F917*G917</f>
        <v>2500</v>
      </c>
      <c r="M917" s="494"/>
    </row>
    <row r="918" spans="3:13" ht="21" customHeight="1">
      <c r="C918" s="60">
        <v>2</v>
      </c>
      <c r="D918" s="56" t="s">
        <v>8</v>
      </c>
      <c r="E918" s="61" t="s">
        <v>6</v>
      </c>
      <c r="F918" s="101">
        <v>0.25</v>
      </c>
      <c r="G918" s="63">
        <f>VLOOKUP(D918,upahbahan,3,FALSE)</f>
        <v>135000</v>
      </c>
      <c r="H918" s="64">
        <f t="shared" si="61"/>
        <v>33750</v>
      </c>
      <c r="M918" s="494"/>
    </row>
    <row r="919" spans="3:13" ht="21" customHeight="1">
      <c r="C919" s="60">
        <v>3</v>
      </c>
      <c r="D919" s="56" t="s">
        <v>18</v>
      </c>
      <c r="E919" s="61" t="s">
        <v>6</v>
      </c>
      <c r="F919" s="101">
        <v>2.5000000000000001E-2</v>
      </c>
      <c r="G919" s="63">
        <f>VLOOKUP(D919,upahbahan,3,FALSE)</f>
        <v>150000</v>
      </c>
      <c r="H919" s="64">
        <f t="shared" si="61"/>
        <v>3750</v>
      </c>
      <c r="M919" s="494"/>
    </row>
    <row r="920" spans="3:13" ht="21" customHeight="1">
      <c r="C920" s="60">
        <v>4</v>
      </c>
      <c r="D920" s="56" t="s">
        <v>19</v>
      </c>
      <c r="E920" s="61" t="s">
        <v>6</v>
      </c>
      <c r="F920" s="101">
        <v>1.2999999999999999E-3</v>
      </c>
      <c r="G920" s="63">
        <f>VLOOKUP(D920,upahbahan,3,FALSE)</f>
        <v>160000</v>
      </c>
      <c r="H920" s="64">
        <f t="shared" si="61"/>
        <v>208</v>
      </c>
      <c r="M920" s="494"/>
    </row>
    <row r="921" spans="3:13" ht="21" customHeight="1">
      <c r="C921" s="66" t="s">
        <v>1208</v>
      </c>
      <c r="D921" s="67"/>
      <c r="E921" s="67"/>
      <c r="F921" s="142"/>
      <c r="G921" s="153"/>
      <c r="H921" s="64">
        <f>SUM(H917:H920)</f>
        <v>40208</v>
      </c>
      <c r="I921" s="154"/>
      <c r="J921" s="154"/>
      <c r="K921" s="154"/>
      <c r="M921" s="494"/>
    </row>
    <row r="922" spans="3:13" ht="21" customHeight="1">
      <c r="C922" s="55" t="s">
        <v>1209</v>
      </c>
      <c r="D922" s="56" t="s">
        <v>1210</v>
      </c>
      <c r="E922" s="57"/>
      <c r="F922" s="57"/>
      <c r="G922" s="57"/>
      <c r="H922" s="58"/>
      <c r="M922" s="494"/>
    </row>
    <row r="923" spans="3:13" ht="21" customHeight="1">
      <c r="C923" s="60">
        <v>1</v>
      </c>
      <c r="D923" s="56" t="s">
        <v>620</v>
      </c>
      <c r="E923" s="61" t="s">
        <v>630</v>
      </c>
      <c r="F923" s="62">
        <v>1</v>
      </c>
      <c r="G923" s="63">
        <f>VLOOKUP(D923,upahbahan,3,FALSE)</f>
        <v>14100</v>
      </c>
      <c r="H923" s="64">
        <f t="shared" ref="H923" si="62">F923*G923</f>
        <v>14100</v>
      </c>
      <c r="M923" s="494"/>
    </row>
    <row r="924" spans="3:13" ht="21" customHeight="1">
      <c r="C924" s="66" t="s">
        <v>1214</v>
      </c>
      <c r="D924" s="67"/>
      <c r="E924" s="67"/>
      <c r="F924" s="67"/>
      <c r="G924" s="69"/>
      <c r="H924" s="64">
        <f>SUM(H923)</f>
        <v>14100</v>
      </c>
      <c r="M924" s="494"/>
    </row>
    <row r="925" spans="3:13" ht="21" customHeight="1">
      <c r="C925" s="167" t="s">
        <v>1215</v>
      </c>
      <c r="D925" s="56" t="s">
        <v>1216</v>
      </c>
      <c r="E925" s="57"/>
      <c r="F925" s="57"/>
      <c r="G925" s="57"/>
      <c r="H925" s="58"/>
      <c r="M925" s="494"/>
    </row>
    <row r="926" spans="3:13" ht="21" customHeight="1">
      <c r="C926" s="66" t="s">
        <v>1217</v>
      </c>
      <c r="D926" s="67"/>
      <c r="E926" s="67"/>
      <c r="F926" s="67"/>
      <c r="G926" s="69"/>
      <c r="H926" s="74">
        <v>0</v>
      </c>
      <c r="M926" s="494"/>
    </row>
    <row r="927" spans="3:13" ht="21" customHeight="1">
      <c r="C927" s="75" t="s">
        <v>1218</v>
      </c>
      <c r="D927" s="76" t="s">
        <v>1219</v>
      </c>
      <c r="E927" s="77"/>
      <c r="F927" s="77"/>
      <c r="G927" s="78"/>
      <c r="H927" s="64">
        <f>H926+H924+H921</f>
        <v>54308</v>
      </c>
      <c r="M927" s="494"/>
    </row>
    <row r="928" spans="3:13" ht="21" customHeight="1">
      <c r="C928" s="75" t="s">
        <v>1220</v>
      </c>
      <c r="D928" s="76" t="s">
        <v>1321</v>
      </c>
      <c r="E928" s="77"/>
      <c r="F928" s="78"/>
      <c r="G928" s="80">
        <f>$O$8</f>
        <v>0.1</v>
      </c>
      <c r="H928" s="64">
        <f>H927*G928</f>
        <v>5430.8</v>
      </c>
      <c r="M928" s="494"/>
    </row>
    <row r="929" spans="3:13" ht="21" customHeight="1" thickBot="1">
      <c r="C929" s="81" t="s">
        <v>1221</v>
      </c>
      <c r="D929" s="82" t="s">
        <v>1222</v>
      </c>
      <c r="E929" s="83"/>
      <c r="F929" s="83"/>
      <c r="G929" s="84"/>
      <c r="H929" s="85">
        <f>SUM(H927:H928)</f>
        <v>59738.8</v>
      </c>
      <c r="M929" s="494"/>
    </row>
    <row r="930" spans="3:13" ht="14.4" thickTop="1">
      <c r="C930" s="89"/>
      <c r="D930" s="90"/>
      <c r="E930" s="90"/>
      <c r="F930" s="90"/>
      <c r="G930" s="90"/>
      <c r="H930" s="91"/>
      <c r="M930" s="494"/>
    </row>
    <row r="931" spans="3:13" ht="14.4" thickBot="1">
      <c r="C931" s="47" t="s">
        <v>3101</v>
      </c>
      <c r="D931" s="149" t="s">
        <v>1520</v>
      </c>
      <c r="E931" s="275"/>
      <c r="F931" s="275"/>
      <c r="G931" s="275"/>
      <c r="H931" s="275"/>
      <c r="I931" s="50">
        <f>ROUNDDOWN(H946,-2)</f>
        <v>43700</v>
      </c>
      <c r="J931" s="50"/>
      <c r="K931" s="50"/>
      <c r="M931" s="494"/>
    </row>
    <row r="932" spans="3:13" ht="28.2" thickTop="1">
      <c r="C932" s="51" t="s">
        <v>1195</v>
      </c>
      <c r="D932" s="52" t="s">
        <v>1196</v>
      </c>
      <c r="E932" s="52" t="s">
        <v>1197</v>
      </c>
      <c r="F932" s="52" t="s">
        <v>1198</v>
      </c>
      <c r="G932" s="52" t="s">
        <v>1199</v>
      </c>
      <c r="H932" s="53" t="s">
        <v>1200</v>
      </c>
      <c r="M932" s="494"/>
    </row>
    <row r="933" spans="3:13" ht="21" customHeight="1">
      <c r="C933" s="55" t="s">
        <v>1201</v>
      </c>
      <c r="D933" s="56" t="s">
        <v>1202</v>
      </c>
      <c r="E933" s="57"/>
      <c r="F933" s="57"/>
      <c r="G933" s="57"/>
      <c r="H933" s="58"/>
      <c r="M933" s="494"/>
    </row>
    <row r="934" spans="3:13" ht="21" customHeight="1">
      <c r="C934" s="60">
        <v>1</v>
      </c>
      <c r="D934" s="56" t="s">
        <v>5</v>
      </c>
      <c r="E934" s="61" t="s">
        <v>6</v>
      </c>
      <c r="F934" s="62">
        <v>1.4999999999999999E-2</v>
      </c>
      <c r="G934" s="63">
        <f>VLOOKUP(D934,upahbahan,3,FALSE)</f>
        <v>100000</v>
      </c>
      <c r="H934" s="64">
        <f t="shared" ref="H934:H937" si="63">F934*G934</f>
        <v>1500</v>
      </c>
      <c r="M934" s="494"/>
    </row>
    <row r="935" spans="3:13" ht="21" customHeight="1">
      <c r="C935" s="60">
        <v>2</v>
      </c>
      <c r="D935" s="56" t="s">
        <v>8</v>
      </c>
      <c r="E935" s="61" t="s">
        <v>6</v>
      </c>
      <c r="F935" s="62">
        <v>0.15</v>
      </c>
      <c r="G935" s="63">
        <f>VLOOKUP(D935,upahbahan,3,FALSE)</f>
        <v>135000</v>
      </c>
      <c r="H935" s="64">
        <f>F935*G935</f>
        <v>20250</v>
      </c>
      <c r="M935" s="494"/>
    </row>
    <row r="936" spans="3:13" ht="21" customHeight="1">
      <c r="C936" s="60">
        <v>3</v>
      </c>
      <c r="D936" s="56" t="s">
        <v>18</v>
      </c>
      <c r="E936" s="61" t="s">
        <v>6</v>
      </c>
      <c r="F936" s="62">
        <v>1.4999999999999999E-2</v>
      </c>
      <c r="G936" s="63">
        <f>VLOOKUP(D936,upahbahan,3,FALSE)</f>
        <v>150000</v>
      </c>
      <c r="H936" s="64">
        <f t="shared" si="63"/>
        <v>2250</v>
      </c>
      <c r="M936" s="494"/>
    </row>
    <row r="937" spans="3:13" ht="21" customHeight="1">
      <c r="C937" s="60">
        <v>4</v>
      </c>
      <c r="D937" s="56" t="s">
        <v>19</v>
      </c>
      <c r="E937" s="61" t="s">
        <v>6</v>
      </c>
      <c r="F937" s="62">
        <v>5.0000000000000001E-3</v>
      </c>
      <c r="G937" s="63">
        <f>VLOOKUP(D937,upahbahan,3,FALSE)</f>
        <v>160000</v>
      </c>
      <c r="H937" s="64">
        <f t="shared" si="63"/>
        <v>800</v>
      </c>
      <c r="M937" s="494"/>
    </row>
    <row r="938" spans="3:13" ht="21" customHeight="1">
      <c r="C938" s="66" t="s">
        <v>1208</v>
      </c>
      <c r="D938" s="67"/>
      <c r="E938" s="67"/>
      <c r="F938" s="142"/>
      <c r="G938" s="153"/>
      <c r="H938" s="64">
        <f>SUM(H934:H937)</f>
        <v>24800</v>
      </c>
      <c r="I938" s="154"/>
      <c r="J938" s="154"/>
      <c r="K938" s="154"/>
      <c r="M938" s="494"/>
    </row>
    <row r="939" spans="3:13" ht="21" customHeight="1">
      <c r="C939" s="55" t="s">
        <v>1209</v>
      </c>
      <c r="D939" s="56" t="s">
        <v>1210</v>
      </c>
      <c r="E939" s="57"/>
      <c r="F939" s="57"/>
      <c r="G939" s="57"/>
      <c r="H939" s="58"/>
      <c r="M939" s="494"/>
    </row>
    <row r="940" spans="3:13" ht="21" customHeight="1">
      <c r="C940" s="60">
        <v>1</v>
      </c>
      <c r="D940" s="56" t="s">
        <v>616</v>
      </c>
      <c r="E940" s="61" t="s">
        <v>44</v>
      </c>
      <c r="F940" s="62">
        <v>1</v>
      </c>
      <c r="G940" s="63">
        <f>VLOOKUP(D940,upahbahan,3,FALSE)</f>
        <v>15000</v>
      </c>
      <c r="H940" s="64">
        <f t="shared" ref="H940" si="64">F940*G940</f>
        <v>15000</v>
      </c>
      <c r="M940" s="494"/>
    </row>
    <row r="941" spans="3:13" ht="21" customHeight="1">
      <c r="C941" s="66" t="s">
        <v>1214</v>
      </c>
      <c r="D941" s="67"/>
      <c r="E941" s="67"/>
      <c r="F941" s="67"/>
      <c r="G941" s="69"/>
      <c r="H941" s="64">
        <f>SUM(H940)</f>
        <v>15000</v>
      </c>
      <c r="M941" s="494"/>
    </row>
    <row r="942" spans="3:13" ht="21" customHeight="1">
      <c r="C942" s="167" t="s">
        <v>1215</v>
      </c>
      <c r="D942" s="56" t="s">
        <v>1216</v>
      </c>
      <c r="E942" s="57"/>
      <c r="F942" s="57"/>
      <c r="G942" s="57"/>
      <c r="H942" s="58"/>
      <c r="M942" s="494"/>
    </row>
    <row r="943" spans="3:13" ht="21" customHeight="1">
      <c r="C943" s="66" t="s">
        <v>1217</v>
      </c>
      <c r="D943" s="67"/>
      <c r="E943" s="67"/>
      <c r="F943" s="67"/>
      <c r="G943" s="69"/>
      <c r="H943" s="74">
        <v>0</v>
      </c>
      <c r="M943" s="494"/>
    </row>
    <row r="944" spans="3:13" ht="21" customHeight="1">
      <c r="C944" s="75" t="s">
        <v>1218</v>
      </c>
      <c r="D944" s="76" t="s">
        <v>1219</v>
      </c>
      <c r="E944" s="77"/>
      <c r="F944" s="77"/>
      <c r="G944" s="78"/>
      <c r="H944" s="64">
        <f>H943+H941+H938</f>
        <v>39800</v>
      </c>
      <c r="M944" s="494"/>
    </row>
    <row r="945" spans="3:13" ht="21" customHeight="1">
      <c r="C945" s="75" t="s">
        <v>1220</v>
      </c>
      <c r="D945" s="76" t="s">
        <v>1321</v>
      </c>
      <c r="E945" s="77"/>
      <c r="F945" s="78"/>
      <c r="G945" s="80">
        <f>$O$8</f>
        <v>0.1</v>
      </c>
      <c r="H945" s="64">
        <f>H944*G945</f>
        <v>3980</v>
      </c>
      <c r="M945" s="494"/>
    </row>
    <row r="946" spans="3:13" ht="21" customHeight="1" thickBot="1">
      <c r="C946" s="81" t="s">
        <v>1221</v>
      </c>
      <c r="D946" s="82" t="s">
        <v>1222</v>
      </c>
      <c r="E946" s="83"/>
      <c r="F946" s="83"/>
      <c r="G946" s="84"/>
      <c r="H946" s="85">
        <f>SUM(H944:H945)</f>
        <v>43780</v>
      </c>
      <c r="M946" s="494"/>
    </row>
    <row r="947" spans="3:13" ht="14.4" thickTop="1">
      <c r="C947" s="468"/>
      <c r="D947" s="468"/>
      <c r="E947" s="468"/>
      <c r="F947" s="468"/>
      <c r="G947" s="468"/>
      <c r="H947" s="468"/>
      <c r="M947" s="494"/>
    </row>
    <row r="948" spans="3:13" ht="14.4" thickBot="1">
      <c r="C948" s="47" t="s">
        <v>3102</v>
      </c>
      <c r="D948" s="149" t="s">
        <v>1521</v>
      </c>
      <c r="E948" s="275"/>
      <c r="F948" s="275"/>
      <c r="G948" s="275"/>
      <c r="H948" s="275"/>
      <c r="I948" s="50">
        <f>ROUNDDOWN(H963,-2)</f>
        <v>205900</v>
      </c>
      <c r="J948" s="50"/>
      <c r="K948" s="50"/>
      <c r="M948" s="494"/>
    </row>
    <row r="949" spans="3:13" ht="28.2" thickTop="1">
      <c r="C949" s="51" t="s">
        <v>1195</v>
      </c>
      <c r="D949" s="52" t="s">
        <v>1196</v>
      </c>
      <c r="E949" s="52" t="s">
        <v>1197</v>
      </c>
      <c r="F949" s="52" t="s">
        <v>1198</v>
      </c>
      <c r="G949" s="52" t="s">
        <v>1199</v>
      </c>
      <c r="H949" s="53" t="s">
        <v>1200</v>
      </c>
      <c r="M949" s="494"/>
    </row>
    <row r="950" spans="3:13" ht="21" customHeight="1">
      <c r="C950" s="55" t="s">
        <v>1201</v>
      </c>
      <c r="D950" s="56" t="s">
        <v>1202</v>
      </c>
      <c r="E950" s="57"/>
      <c r="F950" s="57"/>
      <c r="G950" s="57"/>
      <c r="H950" s="58"/>
      <c r="M950" s="494"/>
    </row>
    <row r="951" spans="3:13" ht="21" customHeight="1">
      <c r="C951" s="60">
        <v>1</v>
      </c>
      <c r="D951" s="56" t="s">
        <v>5</v>
      </c>
      <c r="E951" s="61" t="s">
        <v>6</v>
      </c>
      <c r="F951" s="101">
        <v>2.2499999999999999E-2</v>
      </c>
      <c r="G951" s="63">
        <f>VLOOKUP(D951,upahbahan,3,FALSE)</f>
        <v>100000</v>
      </c>
      <c r="H951" s="64">
        <f t="shared" ref="H951:H954" si="65">F951*G951</f>
        <v>2250</v>
      </c>
      <c r="M951" s="494"/>
    </row>
    <row r="952" spans="3:13" ht="21" customHeight="1">
      <c r="C952" s="60">
        <v>2</v>
      </c>
      <c r="D952" s="56" t="s">
        <v>8</v>
      </c>
      <c r="E952" s="61" t="s">
        <v>6</v>
      </c>
      <c r="F952" s="101">
        <v>0.22500000000000001</v>
      </c>
      <c r="G952" s="63">
        <f>VLOOKUP(D952,upahbahan,3,FALSE)</f>
        <v>135000</v>
      </c>
      <c r="H952" s="64">
        <f>F952*G952</f>
        <v>30375</v>
      </c>
      <c r="M952" s="494"/>
    </row>
    <row r="953" spans="3:13" ht="21" customHeight="1">
      <c r="C953" s="60">
        <v>3</v>
      </c>
      <c r="D953" s="56" t="s">
        <v>18</v>
      </c>
      <c r="E953" s="61" t="s">
        <v>6</v>
      </c>
      <c r="F953" s="101">
        <v>2.2499999999999999E-2</v>
      </c>
      <c r="G953" s="63">
        <f>VLOOKUP(D953,upahbahan,3,FALSE)</f>
        <v>150000</v>
      </c>
      <c r="H953" s="64">
        <f t="shared" si="65"/>
        <v>3375</v>
      </c>
      <c r="M953" s="494"/>
    </row>
    <row r="954" spans="3:13" ht="21" customHeight="1">
      <c r="C954" s="60">
        <v>4</v>
      </c>
      <c r="D954" s="56" t="s">
        <v>19</v>
      </c>
      <c r="E954" s="61" t="s">
        <v>6</v>
      </c>
      <c r="F954" s="101">
        <v>7.4999999999999997E-3</v>
      </c>
      <c r="G954" s="63">
        <f>VLOOKUP(D954,upahbahan,3,FALSE)</f>
        <v>160000</v>
      </c>
      <c r="H954" s="64">
        <f t="shared" si="65"/>
        <v>1200</v>
      </c>
      <c r="M954" s="494"/>
    </row>
    <row r="955" spans="3:13" ht="21" customHeight="1">
      <c r="C955" s="66" t="s">
        <v>1208</v>
      </c>
      <c r="D955" s="67"/>
      <c r="E955" s="67"/>
      <c r="F955" s="142"/>
      <c r="G955" s="153"/>
      <c r="H955" s="64">
        <f>SUM(H951:H954)</f>
        <v>37200</v>
      </c>
      <c r="I955" s="154"/>
      <c r="J955" s="154"/>
      <c r="K955" s="154"/>
      <c r="M955" s="494"/>
    </row>
    <row r="956" spans="3:13" ht="21" customHeight="1">
      <c r="C956" s="55" t="s">
        <v>1209</v>
      </c>
      <c r="D956" s="56" t="s">
        <v>1210</v>
      </c>
      <c r="E956" s="57"/>
      <c r="F956" s="57"/>
      <c r="G956" s="57"/>
      <c r="H956" s="58"/>
      <c r="M956" s="494"/>
    </row>
    <row r="957" spans="3:13" ht="21" customHeight="1">
      <c r="C957" s="60">
        <v>1</v>
      </c>
      <c r="D957" s="56" t="s">
        <v>617</v>
      </c>
      <c r="E957" s="61" t="s">
        <v>44</v>
      </c>
      <c r="F957" s="62">
        <v>1</v>
      </c>
      <c r="G957" s="63">
        <f>VLOOKUP(D957,upahbahan,3,FALSE)</f>
        <v>150000</v>
      </c>
      <c r="H957" s="64">
        <f>F957*G957</f>
        <v>150000</v>
      </c>
      <c r="M957" s="494"/>
    </row>
    <row r="958" spans="3:13" ht="21" customHeight="1">
      <c r="C958" s="66" t="s">
        <v>1214</v>
      </c>
      <c r="D958" s="67"/>
      <c r="E958" s="67"/>
      <c r="F958" s="67"/>
      <c r="G958" s="69"/>
      <c r="H958" s="64">
        <f>SUM(H957)</f>
        <v>150000</v>
      </c>
      <c r="M958" s="494"/>
    </row>
    <row r="959" spans="3:13" ht="21" customHeight="1">
      <c r="C959" s="167" t="s">
        <v>1215</v>
      </c>
      <c r="D959" s="56" t="s">
        <v>1216</v>
      </c>
      <c r="E959" s="57"/>
      <c r="F959" s="57"/>
      <c r="G959" s="57"/>
      <c r="H959" s="58"/>
      <c r="M959" s="494"/>
    </row>
    <row r="960" spans="3:13" ht="21" customHeight="1">
      <c r="C960" s="66" t="s">
        <v>1217</v>
      </c>
      <c r="D960" s="67"/>
      <c r="E960" s="67"/>
      <c r="F960" s="67"/>
      <c r="G960" s="69"/>
      <c r="H960" s="74">
        <v>0</v>
      </c>
      <c r="M960" s="494"/>
    </row>
    <row r="961" spans="3:13" ht="21" customHeight="1">
      <c r="C961" s="75" t="s">
        <v>1218</v>
      </c>
      <c r="D961" s="76" t="s">
        <v>1219</v>
      </c>
      <c r="E961" s="77"/>
      <c r="F961" s="77"/>
      <c r="G961" s="78"/>
      <c r="H961" s="64">
        <f>H960+H958+H955</f>
        <v>187200</v>
      </c>
      <c r="M961" s="494"/>
    </row>
    <row r="962" spans="3:13" ht="21" customHeight="1">
      <c r="C962" s="75" t="s">
        <v>1220</v>
      </c>
      <c r="D962" s="76" t="s">
        <v>1321</v>
      </c>
      <c r="E962" s="77"/>
      <c r="F962" s="78"/>
      <c r="G962" s="80">
        <f>$O$8</f>
        <v>0.1</v>
      </c>
      <c r="H962" s="64">
        <f>H961*G962</f>
        <v>18720</v>
      </c>
      <c r="M962" s="494"/>
    </row>
    <row r="963" spans="3:13" ht="21" customHeight="1" thickBot="1">
      <c r="C963" s="81" t="s">
        <v>1221</v>
      </c>
      <c r="D963" s="82" t="s">
        <v>1222</v>
      </c>
      <c r="E963" s="83"/>
      <c r="F963" s="83"/>
      <c r="G963" s="84"/>
      <c r="H963" s="85">
        <f>SUM(H961:H962)</f>
        <v>205920</v>
      </c>
      <c r="M963" s="494"/>
    </row>
    <row r="964" spans="3:13" ht="14.4" thickTop="1">
      <c r="C964" s="468"/>
      <c r="D964" s="468"/>
      <c r="E964" s="468"/>
      <c r="F964" s="468"/>
      <c r="G964" s="468"/>
      <c r="H964" s="468"/>
    </row>
    <row r="966" spans="3:13" ht="14.4" thickBot="1">
      <c r="C966" s="47" t="s">
        <v>3103</v>
      </c>
      <c r="D966" s="149" t="s">
        <v>3104</v>
      </c>
      <c r="E966" s="275"/>
      <c r="F966" s="275"/>
      <c r="G966" s="275"/>
      <c r="H966" s="275"/>
      <c r="I966" s="50">
        <f>ROUNDDOWN(H981,-2)</f>
        <v>74400</v>
      </c>
      <c r="J966" s="50"/>
      <c r="K966" s="50"/>
      <c r="M966" s="494"/>
    </row>
    <row r="967" spans="3:13" ht="28.2" thickTop="1">
      <c r="C967" s="51" t="s">
        <v>1195</v>
      </c>
      <c r="D967" s="52" t="s">
        <v>1196</v>
      </c>
      <c r="E967" s="52" t="s">
        <v>1197</v>
      </c>
      <c r="F967" s="52" t="s">
        <v>1198</v>
      </c>
      <c r="G967" s="52" t="s">
        <v>1199</v>
      </c>
      <c r="H967" s="53" t="s">
        <v>1200</v>
      </c>
      <c r="M967" s="494"/>
    </row>
    <row r="968" spans="3:13" ht="21" customHeight="1">
      <c r="C968" s="55" t="s">
        <v>1201</v>
      </c>
      <c r="D968" s="56" t="s">
        <v>1202</v>
      </c>
      <c r="E968" s="57"/>
      <c r="F968" s="57"/>
      <c r="G968" s="57"/>
      <c r="H968" s="58"/>
      <c r="M968" s="494"/>
    </row>
    <row r="969" spans="3:13" ht="21" customHeight="1">
      <c r="C969" s="60">
        <v>1</v>
      </c>
      <c r="D969" s="56" t="s">
        <v>5</v>
      </c>
      <c r="E969" s="61" t="s">
        <v>6</v>
      </c>
      <c r="F969" s="101">
        <v>3.5999999999999997E-2</v>
      </c>
      <c r="G969" s="63">
        <f>VLOOKUP(D969,upahbahan,3,FALSE)</f>
        <v>100000</v>
      </c>
      <c r="H969" s="64">
        <f t="shared" ref="H969" si="66">F969*G969</f>
        <v>3599.9999999999995</v>
      </c>
      <c r="M969" s="494"/>
    </row>
    <row r="970" spans="3:13" ht="21" customHeight="1">
      <c r="C970" s="60">
        <v>2</v>
      </c>
      <c r="D970" s="56" t="s">
        <v>8</v>
      </c>
      <c r="E970" s="61" t="s">
        <v>6</v>
      </c>
      <c r="F970" s="101">
        <v>3.5999999999999997E-2</v>
      </c>
      <c r="G970" s="63">
        <f>VLOOKUP(D970,upahbahan,3,FALSE)</f>
        <v>135000</v>
      </c>
      <c r="H970" s="64">
        <f>F970*G970</f>
        <v>4860</v>
      </c>
      <c r="M970" s="494"/>
    </row>
    <row r="971" spans="3:13" ht="21" customHeight="1">
      <c r="C971" s="60">
        <v>3</v>
      </c>
      <c r="D971" s="56" t="s">
        <v>18</v>
      </c>
      <c r="E971" s="61" t="s">
        <v>6</v>
      </c>
      <c r="F971" s="101">
        <v>4.0000000000000001E-3</v>
      </c>
      <c r="G971" s="63">
        <f>VLOOKUP(D971,upahbahan,3,FALSE)</f>
        <v>150000</v>
      </c>
      <c r="H971" s="64">
        <f t="shared" ref="H971:H972" si="67">F971*G971</f>
        <v>600</v>
      </c>
      <c r="M971" s="494"/>
    </row>
    <row r="972" spans="3:13" ht="21" customHeight="1">
      <c r="C972" s="60">
        <v>4</v>
      </c>
      <c r="D972" s="56" t="s">
        <v>19</v>
      </c>
      <c r="E972" s="61" t="s">
        <v>6</v>
      </c>
      <c r="F972" s="101">
        <v>1E-3</v>
      </c>
      <c r="G972" s="63">
        <f>VLOOKUP(D972,upahbahan,3,FALSE)</f>
        <v>160000</v>
      </c>
      <c r="H972" s="64">
        <f t="shared" si="67"/>
        <v>160</v>
      </c>
      <c r="M972" s="494"/>
    </row>
    <row r="973" spans="3:13" ht="21" customHeight="1">
      <c r="C973" s="66" t="s">
        <v>1208</v>
      </c>
      <c r="D973" s="67"/>
      <c r="E973" s="67"/>
      <c r="F973" s="142"/>
      <c r="G973" s="153"/>
      <c r="H973" s="64">
        <f>SUM(H969:H972)</f>
        <v>9220</v>
      </c>
      <c r="I973" s="154"/>
      <c r="J973" s="154"/>
      <c r="K973" s="154"/>
      <c r="M973" s="494"/>
    </row>
    <row r="974" spans="3:13" ht="21" customHeight="1">
      <c r="C974" s="55" t="s">
        <v>1209</v>
      </c>
      <c r="D974" s="56" t="s">
        <v>1210</v>
      </c>
      <c r="E974" s="57"/>
      <c r="F974" s="57"/>
      <c r="G974" s="57"/>
      <c r="H974" s="58"/>
      <c r="M974" s="494"/>
    </row>
    <row r="975" spans="3:13" ht="21" customHeight="1">
      <c r="C975" s="60">
        <v>1</v>
      </c>
      <c r="D975" s="56" t="s">
        <v>3105</v>
      </c>
      <c r="E975" s="61" t="s">
        <v>44</v>
      </c>
      <c r="F975" s="62">
        <v>1</v>
      </c>
      <c r="G975" s="63">
        <f>VLOOKUP(D975,upahbahan,3,FALSE)</f>
        <v>58500</v>
      </c>
      <c r="H975" s="64">
        <f>F975*G975</f>
        <v>58500</v>
      </c>
      <c r="M975" s="494"/>
    </row>
    <row r="976" spans="3:13" ht="21" customHeight="1">
      <c r="C976" s="66" t="s">
        <v>1214</v>
      </c>
      <c r="D976" s="67"/>
      <c r="E976" s="67"/>
      <c r="F976" s="67"/>
      <c r="G976" s="69"/>
      <c r="H976" s="64">
        <f>SUM(H975)</f>
        <v>58500</v>
      </c>
      <c r="M976" s="494"/>
    </row>
    <row r="977" spans="3:13" ht="21" customHeight="1">
      <c r="C977" s="167" t="s">
        <v>1215</v>
      </c>
      <c r="D977" s="56" t="s">
        <v>1216</v>
      </c>
      <c r="E977" s="57"/>
      <c r="F977" s="57"/>
      <c r="G977" s="57"/>
      <c r="H977" s="58"/>
      <c r="M977" s="494"/>
    </row>
    <row r="978" spans="3:13" ht="21" customHeight="1">
      <c r="C978" s="66" t="s">
        <v>1217</v>
      </c>
      <c r="D978" s="67"/>
      <c r="E978" s="67"/>
      <c r="F978" s="67"/>
      <c r="G978" s="69"/>
      <c r="H978" s="74">
        <v>0</v>
      </c>
      <c r="M978" s="494"/>
    </row>
    <row r="979" spans="3:13" ht="21" customHeight="1">
      <c r="C979" s="75" t="s">
        <v>1218</v>
      </c>
      <c r="D979" s="76" t="s">
        <v>1219</v>
      </c>
      <c r="E979" s="77"/>
      <c r="F979" s="77"/>
      <c r="G979" s="78"/>
      <c r="H979" s="64">
        <f>H978+H976+H973</f>
        <v>67720</v>
      </c>
      <c r="M979" s="494"/>
    </row>
    <row r="980" spans="3:13" ht="21" customHeight="1">
      <c r="C980" s="75" t="s">
        <v>1220</v>
      </c>
      <c r="D980" s="76" t="s">
        <v>1321</v>
      </c>
      <c r="E980" s="77"/>
      <c r="F980" s="78"/>
      <c r="G980" s="80">
        <f>$O$8</f>
        <v>0.1</v>
      </c>
      <c r="H980" s="64">
        <f>H979*G980</f>
        <v>6772</v>
      </c>
      <c r="M980" s="494"/>
    </row>
    <row r="981" spans="3:13" ht="21" customHeight="1" thickBot="1">
      <c r="C981" s="81" t="s">
        <v>1221</v>
      </c>
      <c r="D981" s="82" t="s">
        <v>1222</v>
      </c>
      <c r="E981" s="83"/>
      <c r="F981" s="83"/>
      <c r="G981" s="84"/>
      <c r="H981" s="85">
        <f>SUM(H979:H980)</f>
        <v>74492</v>
      </c>
      <c r="M981" s="494"/>
    </row>
    <row r="982" spans="3:13" ht="14.4" thickTop="1">
      <c r="C982" s="468"/>
      <c r="D982" s="468"/>
      <c r="E982" s="468"/>
      <c r="F982" s="468"/>
      <c r="G982" s="468"/>
      <c r="H982" s="46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1:M255"/>
  <sheetViews>
    <sheetView topLeftCell="A175" zoomScale="89" zoomScaleNormal="89" workbookViewId="0">
      <selection activeCell="D1168" sqref="D1168"/>
    </sheetView>
  </sheetViews>
  <sheetFormatPr defaultColWidth="8.88671875" defaultRowHeight="13.8"/>
  <cols>
    <col min="1" max="2" width="3.44140625" style="59" customWidth="1"/>
    <col min="3" max="3" width="8.21875" style="45" customWidth="1"/>
    <col min="4" max="4" width="36.5546875" style="45" customWidth="1"/>
    <col min="5" max="5" width="6.77734375" style="45" customWidth="1"/>
    <col min="6" max="6" width="11.33203125" style="45" customWidth="1"/>
    <col min="7" max="7" width="15.33203125" style="45" customWidth="1"/>
    <col min="8" max="8" width="16.88671875" style="45" customWidth="1"/>
    <col min="9" max="9" width="16.5546875" style="44" customWidth="1"/>
    <col min="10" max="10" width="13.88671875" style="152" bestFit="1" customWidth="1"/>
    <col min="11" max="11" width="14.109375" style="59" bestFit="1" customWidth="1"/>
    <col min="12" max="16384" width="8.88671875" style="59"/>
  </cols>
  <sheetData>
    <row r="1" spans="3:13" ht="10.95" customHeight="1"/>
    <row r="2" spans="3:13" ht="10.95" customHeight="1"/>
    <row r="3" spans="3:13">
      <c r="C3" s="496" t="s">
        <v>3106</v>
      </c>
      <c r="D3" s="456" t="s">
        <v>6441</v>
      </c>
      <c r="E3" s="448"/>
      <c r="F3" s="448"/>
      <c r="G3" s="448"/>
      <c r="H3" s="448"/>
    </row>
    <row r="4" spans="3:13" ht="14.4" thickBot="1">
      <c r="C4" s="44" t="s">
        <v>3107</v>
      </c>
      <c r="D4" s="149" t="s">
        <v>1522</v>
      </c>
      <c r="E4" s="275"/>
      <c r="F4" s="275"/>
      <c r="G4" s="275"/>
      <c r="H4" s="275"/>
      <c r="I4" s="50">
        <f>ROUNDDOWN(H19,-2)</f>
        <v>574300</v>
      </c>
      <c r="K4" s="494"/>
    </row>
    <row r="5" spans="3:13" ht="28.2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18" customHeight="1">
      <c r="C6" s="290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18" customHeight="1">
      <c r="C7" s="281">
        <v>1</v>
      </c>
      <c r="D7" s="56" t="s">
        <v>5</v>
      </c>
      <c r="E7" s="61" t="s">
        <v>6</v>
      </c>
      <c r="F7" s="101">
        <v>0.08</v>
      </c>
      <c r="G7" s="63">
        <f>VLOOKUP(D7,upahbahan,3,FALSE)</f>
        <v>100000</v>
      </c>
      <c r="H7" s="64">
        <f>F7*G7</f>
        <v>8000</v>
      </c>
      <c r="J7" s="152" t="s">
        <v>1248</v>
      </c>
      <c r="M7" s="65">
        <v>0.1</v>
      </c>
    </row>
    <row r="8" spans="3:13" ht="18" customHeight="1">
      <c r="C8" s="281">
        <v>2</v>
      </c>
      <c r="D8" s="56" t="s">
        <v>14</v>
      </c>
      <c r="E8" s="61" t="s">
        <v>6</v>
      </c>
      <c r="F8" s="101">
        <v>0.8</v>
      </c>
      <c r="G8" s="63">
        <f>VLOOKUP(D8,upahbahan,3,FALSE)</f>
        <v>145000</v>
      </c>
      <c r="H8" s="64">
        <f t="shared" ref="H8:H10" si="0">F8*G8</f>
        <v>116000</v>
      </c>
    </row>
    <row r="9" spans="3:13" ht="18" customHeight="1">
      <c r="C9" s="281">
        <v>3</v>
      </c>
      <c r="D9" s="56" t="s">
        <v>18</v>
      </c>
      <c r="E9" s="61" t="s">
        <v>6</v>
      </c>
      <c r="F9" s="101">
        <v>0.08</v>
      </c>
      <c r="G9" s="63">
        <f>VLOOKUP(D9,upahbahan,3,FALSE)</f>
        <v>150000</v>
      </c>
      <c r="H9" s="64">
        <f t="shared" si="0"/>
        <v>12000</v>
      </c>
    </row>
    <row r="10" spans="3:13" ht="18" customHeight="1">
      <c r="C10" s="281">
        <v>4</v>
      </c>
      <c r="D10" s="56" t="s">
        <v>19</v>
      </c>
      <c r="E10" s="61" t="s">
        <v>6</v>
      </c>
      <c r="F10" s="101">
        <v>2.6700000000000002E-2</v>
      </c>
      <c r="G10" s="63">
        <f>VLOOKUP(D10,upahbahan,3,FALSE)</f>
        <v>160000</v>
      </c>
      <c r="H10" s="64">
        <f t="shared" si="0"/>
        <v>4272</v>
      </c>
    </row>
    <row r="11" spans="3:13" ht="18" customHeight="1">
      <c r="C11" s="66" t="s">
        <v>1208</v>
      </c>
      <c r="D11" s="67"/>
      <c r="E11" s="67"/>
      <c r="F11" s="142"/>
      <c r="G11" s="153"/>
      <c r="H11" s="64">
        <f>SUM(H7:H10)</f>
        <v>140272</v>
      </c>
      <c r="I11" s="154"/>
    </row>
    <row r="12" spans="3:13" ht="18" customHeight="1">
      <c r="C12" s="290" t="s">
        <v>1209</v>
      </c>
      <c r="D12" s="56" t="s">
        <v>1210</v>
      </c>
      <c r="E12" s="57"/>
      <c r="F12" s="57"/>
      <c r="G12" s="57"/>
      <c r="H12" s="58"/>
    </row>
    <row r="13" spans="3:13" ht="18" customHeight="1">
      <c r="C13" s="281">
        <v>1</v>
      </c>
      <c r="D13" s="56" t="s">
        <v>825</v>
      </c>
      <c r="E13" s="61" t="s">
        <v>62</v>
      </c>
      <c r="F13" s="62">
        <v>1</v>
      </c>
      <c r="G13" s="63">
        <f>VLOOKUP(D13,upahbahan,3,FALSE)</f>
        <v>381900</v>
      </c>
      <c r="H13" s="64">
        <f>F13*G13</f>
        <v>381900</v>
      </c>
    </row>
    <row r="14" spans="3:13" ht="18" customHeight="1">
      <c r="C14" s="66" t="s">
        <v>1214</v>
      </c>
      <c r="D14" s="67"/>
      <c r="E14" s="67"/>
      <c r="F14" s="67"/>
      <c r="G14" s="69"/>
      <c r="H14" s="64">
        <f>SUM(H12:H13)</f>
        <v>381900</v>
      </c>
    </row>
    <row r="15" spans="3:13" ht="18" customHeight="1">
      <c r="C15" s="167" t="s">
        <v>1215</v>
      </c>
      <c r="D15" s="56" t="s">
        <v>1216</v>
      </c>
      <c r="E15" s="57"/>
      <c r="F15" s="57"/>
      <c r="G15" s="57"/>
      <c r="H15" s="58"/>
    </row>
    <row r="16" spans="3:13" ht="18" customHeight="1">
      <c r="C16" s="66" t="s">
        <v>1217</v>
      </c>
      <c r="D16" s="67"/>
      <c r="E16" s="67"/>
      <c r="F16" s="67"/>
      <c r="G16" s="69"/>
      <c r="H16" s="74">
        <v>0</v>
      </c>
    </row>
    <row r="17" spans="3:11" ht="18" customHeight="1">
      <c r="C17" s="75" t="s">
        <v>1218</v>
      </c>
      <c r="D17" s="76" t="s">
        <v>1219</v>
      </c>
      <c r="E17" s="77"/>
      <c r="F17" s="77"/>
      <c r="G17" s="78"/>
      <c r="H17" s="64">
        <f>H16+H14+H11</f>
        <v>522172</v>
      </c>
    </row>
    <row r="18" spans="3:11" ht="18" customHeight="1">
      <c r="C18" s="75" t="s">
        <v>1220</v>
      </c>
      <c r="D18" s="76" t="s">
        <v>1321</v>
      </c>
      <c r="E18" s="77"/>
      <c r="F18" s="78"/>
      <c r="G18" s="80">
        <f>$M$7</f>
        <v>0.1</v>
      </c>
      <c r="H18" s="64">
        <f>H17*G18</f>
        <v>52217.200000000004</v>
      </c>
    </row>
    <row r="19" spans="3:11" ht="18" customHeight="1" thickBot="1">
      <c r="C19" s="81" t="s">
        <v>1221</v>
      </c>
      <c r="D19" s="82" t="s">
        <v>1222</v>
      </c>
      <c r="E19" s="83"/>
      <c r="F19" s="83"/>
      <c r="G19" s="84"/>
      <c r="H19" s="85">
        <f>SUM(H17:H18)</f>
        <v>574389.19999999995</v>
      </c>
    </row>
    <row r="20" spans="3:11" ht="14.4" thickTop="1"/>
    <row r="21" spans="3:11" ht="14.4" thickBot="1">
      <c r="C21" s="44" t="s">
        <v>3108</v>
      </c>
      <c r="D21" s="149" t="s">
        <v>1523</v>
      </c>
      <c r="E21" s="151"/>
      <c r="F21" s="151"/>
      <c r="G21" s="151"/>
      <c r="H21" s="151"/>
      <c r="I21" s="50">
        <f>ROUNDDOWN(H37,-2)</f>
        <v>172400</v>
      </c>
      <c r="K21" s="494"/>
    </row>
    <row r="22" spans="3:11" ht="28.2" thickTop="1">
      <c r="C22" s="51" t="s">
        <v>1195</v>
      </c>
      <c r="D22" s="52" t="s">
        <v>1196</v>
      </c>
      <c r="E22" s="52" t="s">
        <v>1197</v>
      </c>
      <c r="F22" s="52" t="s">
        <v>1198</v>
      </c>
      <c r="G22" s="52" t="s">
        <v>1199</v>
      </c>
      <c r="H22" s="53" t="s">
        <v>1200</v>
      </c>
      <c r="K22" s="494"/>
    </row>
    <row r="23" spans="3:11" ht="18" customHeight="1">
      <c r="C23" s="55" t="s">
        <v>1201</v>
      </c>
      <c r="D23" s="56" t="s">
        <v>1202</v>
      </c>
      <c r="E23" s="57"/>
      <c r="F23" s="57"/>
      <c r="G23" s="57"/>
      <c r="H23" s="58"/>
      <c r="K23" s="494"/>
    </row>
    <row r="24" spans="3:11" ht="18" customHeight="1">
      <c r="C24" s="60">
        <v>1</v>
      </c>
      <c r="D24" s="56" t="s">
        <v>5</v>
      </c>
      <c r="E24" s="61" t="s">
        <v>6</v>
      </c>
      <c r="F24" s="62">
        <v>1.4999999999999999E-2</v>
      </c>
      <c r="G24" s="63">
        <f>VLOOKUP(D24,upahbahan,3,FALSE)</f>
        <v>100000</v>
      </c>
      <c r="H24" s="64">
        <f>F24*G24</f>
        <v>1500</v>
      </c>
      <c r="K24" s="494"/>
    </row>
    <row r="25" spans="3:11" ht="18" customHeight="1">
      <c r="C25" s="60">
        <v>2</v>
      </c>
      <c r="D25" s="56" t="s">
        <v>8</v>
      </c>
      <c r="E25" s="61" t="s">
        <v>6</v>
      </c>
      <c r="F25" s="62">
        <v>0.15</v>
      </c>
      <c r="G25" s="63">
        <f>VLOOKUP(D25,upahbahan,3,FALSE)</f>
        <v>135000</v>
      </c>
      <c r="H25" s="64">
        <f t="shared" ref="H25:H27" si="1">F25*G25</f>
        <v>20250</v>
      </c>
      <c r="K25" s="494"/>
    </row>
    <row r="26" spans="3:11" ht="18" customHeight="1">
      <c r="C26" s="60">
        <v>3</v>
      </c>
      <c r="D26" s="56" t="s">
        <v>18</v>
      </c>
      <c r="E26" s="61" t="s">
        <v>6</v>
      </c>
      <c r="F26" s="62">
        <v>1.4999999999999999E-2</v>
      </c>
      <c r="G26" s="63">
        <f>VLOOKUP(D26,upahbahan,3,FALSE)</f>
        <v>150000</v>
      </c>
      <c r="H26" s="64">
        <f t="shared" si="1"/>
        <v>2250</v>
      </c>
      <c r="K26" s="494"/>
    </row>
    <row r="27" spans="3:11" ht="18" customHeight="1">
      <c r="C27" s="60">
        <v>4</v>
      </c>
      <c r="D27" s="56" t="s">
        <v>19</v>
      </c>
      <c r="E27" s="61" t="s">
        <v>6</v>
      </c>
      <c r="F27" s="62">
        <v>5.0000000000000001E-3</v>
      </c>
      <c r="G27" s="63">
        <f>VLOOKUP(D27,upahbahan,3,FALSE)</f>
        <v>160000</v>
      </c>
      <c r="H27" s="64">
        <f t="shared" si="1"/>
        <v>800</v>
      </c>
      <c r="K27" s="494"/>
    </row>
    <row r="28" spans="3:11" ht="18" customHeight="1">
      <c r="C28" s="66" t="s">
        <v>1208</v>
      </c>
      <c r="D28" s="67"/>
      <c r="E28" s="67"/>
      <c r="F28" s="142"/>
      <c r="G28" s="153"/>
      <c r="H28" s="64">
        <f>SUM(H24:H27)</f>
        <v>24800</v>
      </c>
      <c r="I28" s="154"/>
      <c r="K28" s="494"/>
    </row>
    <row r="29" spans="3:11" ht="18" customHeight="1">
      <c r="C29" s="55" t="s">
        <v>1209</v>
      </c>
      <c r="D29" s="56" t="s">
        <v>1210</v>
      </c>
      <c r="E29" s="57"/>
      <c r="F29" s="57"/>
      <c r="G29" s="57"/>
      <c r="H29" s="58"/>
      <c r="K29" s="494"/>
    </row>
    <row r="30" spans="3:11" ht="18" customHeight="1">
      <c r="C30" s="60">
        <v>1</v>
      </c>
      <c r="D30" s="56" t="s">
        <v>649</v>
      </c>
      <c r="E30" s="61" t="s">
        <v>62</v>
      </c>
      <c r="F30" s="276">
        <v>1.1000000000000001</v>
      </c>
      <c r="G30" s="63">
        <f>VLOOKUP(D30,upahbahan,3,FALSE)</f>
        <v>120000</v>
      </c>
      <c r="H30" s="64">
        <f>F30*G30</f>
        <v>132000</v>
      </c>
      <c r="K30" s="494"/>
    </row>
    <row r="31" spans="3:11" ht="18" customHeight="1">
      <c r="C31" s="60">
        <v>2</v>
      </c>
      <c r="D31" s="56" t="s">
        <v>1047</v>
      </c>
      <c r="E31" s="61" t="s">
        <v>1048</v>
      </c>
      <c r="F31" s="276">
        <v>0.05</v>
      </c>
      <c r="G31" s="63">
        <f>VLOOKUP(D31,upahbahan,3,FALSE)</f>
        <v>0</v>
      </c>
      <c r="H31" s="64">
        <f t="shared" ref="H31" si="2">F31*G31</f>
        <v>0</v>
      </c>
      <c r="K31" s="494"/>
    </row>
    <row r="32" spans="3:11" ht="18" customHeight="1">
      <c r="C32" s="66" t="s">
        <v>1214</v>
      </c>
      <c r="D32" s="67"/>
      <c r="E32" s="67"/>
      <c r="F32" s="67"/>
      <c r="G32" s="69"/>
      <c r="H32" s="64">
        <f>SUM(H30:H31)</f>
        <v>132000</v>
      </c>
      <c r="K32" s="494"/>
    </row>
    <row r="33" spans="3:11" ht="18" customHeight="1">
      <c r="C33" s="167" t="s">
        <v>1215</v>
      </c>
      <c r="D33" s="56" t="s">
        <v>1216</v>
      </c>
      <c r="E33" s="57"/>
      <c r="F33" s="57"/>
      <c r="G33" s="57"/>
      <c r="H33" s="58"/>
      <c r="K33" s="494"/>
    </row>
    <row r="34" spans="3:11" ht="18" customHeight="1">
      <c r="C34" s="66" t="s">
        <v>1217</v>
      </c>
      <c r="D34" s="67"/>
      <c r="E34" s="67"/>
      <c r="F34" s="67"/>
      <c r="G34" s="69"/>
      <c r="H34" s="74">
        <v>0</v>
      </c>
      <c r="K34" s="494"/>
    </row>
    <row r="35" spans="3:11" ht="18" customHeight="1">
      <c r="C35" s="75" t="s">
        <v>1218</v>
      </c>
      <c r="D35" s="76" t="s">
        <v>1219</v>
      </c>
      <c r="E35" s="77"/>
      <c r="F35" s="77"/>
      <c r="G35" s="78"/>
      <c r="H35" s="64">
        <f>H34+H32+H28</f>
        <v>156800</v>
      </c>
      <c r="K35" s="494"/>
    </row>
    <row r="36" spans="3:11" ht="18" customHeight="1">
      <c r="C36" s="75" t="s">
        <v>1220</v>
      </c>
      <c r="D36" s="76" t="s">
        <v>1321</v>
      </c>
      <c r="E36" s="77"/>
      <c r="F36" s="78"/>
      <c r="G36" s="80">
        <f>$M$7</f>
        <v>0.1</v>
      </c>
      <c r="H36" s="64">
        <f>H35*G36</f>
        <v>15680</v>
      </c>
      <c r="K36" s="494"/>
    </row>
    <row r="37" spans="3:11" ht="18" customHeight="1" thickBot="1">
      <c r="C37" s="81" t="s">
        <v>1221</v>
      </c>
      <c r="D37" s="82" t="s">
        <v>1222</v>
      </c>
      <c r="E37" s="83"/>
      <c r="F37" s="83"/>
      <c r="G37" s="84"/>
      <c r="H37" s="85">
        <f>SUM(H35:H36)</f>
        <v>172480</v>
      </c>
      <c r="K37" s="494"/>
    </row>
    <row r="38" spans="3:11" ht="14.4" thickTop="1">
      <c r="K38" s="494"/>
    </row>
    <row r="39" spans="3:11" ht="14.4" thickBot="1">
      <c r="C39" s="44" t="s">
        <v>3109</v>
      </c>
      <c r="D39" s="149" t="s">
        <v>1524</v>
      </c>
      <c r="E39" s="151"/>
      <c r="F39" s="151"/>
      <c r="G39" s="151"/>
      <c r="H39" s="151"/>
      <c r="I39" s="50">
        <f>ROUNDDOWN(H55,-2)</f>
        <v>266800</v>
      </c>
      <c r="K39" s="494"/>
    </row>
    <row r="40" spans="3:11" ht="28.2" thickTop="1">
      <c r="C40" s="51" t="s">
        <v>1195</v>
      </c>
      <c r="D40" s="52" t="s">
        <v>1196</v>
      </c>
      <c r="E40" s="52" t="s">
        <v>1197</v>
      </c>
      <c r="F40" s="52" t="s">
        <v>1198</v>
      </c>
      <c r="G40" s="52" t="s">
        <v>1199</v>
      </c>
      <c r="H40" s="53" t="s">
        <v>1200</v>
      </c>
      <c r="K40" s="494"/>
    </row>
    <row r="41" spans="3:11" ht="18" customHeight="1">
      <c r="C41" s="55" t="s">
        <v>1201</v>
      </c>
      <c r="D41" s="56" t="s">
        <v>1202</v>
      </c>
      <c r="E41" s="57"/>
      <c r="F41" s="57"/>
      <c r="G41" s="57"/>
      <c r="H41" s="58"/>
      <c r="K41" s="494"/>
    </row>
    <row r="42" spans="3:11" ht="18" customHeight="1">
      <c r="C42" s="60">
        <v>1</v>
      </c>
      <c r="D42" s="56" t="s">
        <v>5</v>
      </c>
      <c r="E42" s="61" t="s">
        <v>6</v>
      </c>
      <c r="F42" s="62">
        <v>1.4999999999999999E-2</v>
      </c>
      <c r="G42" s="63">
        <f>VLOOKUP(D42,upahbahan,3,FALSE)</f>
        <v>100000</v>
      </c>
      <c r="H42" s="64">
        <f>F42*G42</f>
        <v>1500</v>
      </c>
      <c r="K42" s="494"/>
    </row>
    <row r="43" spans="3:11" ht="18" customHeight="1">
      <c r="C43" s="60">
        <v>2</v>
      </c>
      <c r="D43" s="56" t="s">
        <v>8</v>
      </c>
      <c r="E43" s="61" t="s">
        <v>6</v>
      </c>
      <c r="F43" s="62">
        <v>0.15</v>
      </c>
      <c r="G43" s="63">
        <f>VLOOKUP(D43,upahbahan,3,FALSE)</f>
        <v>135000</v>
      </c>
      <c r="H43" s="64">
        <f t="shared" ref="H43:H45" si="3">F43*G43</f>
        <v>20250</v>
      </c>
      <c r="K43" s="494"/>
    </row>
    <row r="44" spans="3:11" ht="18" customHeight="1">
      <c r="C44" s="60">
        <v>3</v>
      </c>
      <c r="D44" s="56" t="s">
        <v>18</v>
      </c>
      <c r="E44" s="61" t="s">
        <v>6</v>
      </c>
      <c r="F44" s="62">
        <v>1.4999999999999999E-2</v>
      </c>
      <c r="G44" s="63">
        <f>VLOOKUP(D44,upahbahan,3,FALSE)</f>
        <v>150000</v>
      </c>
      <c r="H44" s="64">
        <f t="shared" si="3"/>
        <v>2250</v>
      </c>
      <c r="K44" s="494"/>
    </row>
    <row r="45" spans="3:11" ht="18" customHeight="1">
      <c r="C45" s="60">
        <v>4</v>
      </c>
      <c r="D45" s="56" t="s">
        <v>19</v>
      </c>
      <c r="E45" s="61" t="s">
        <v>6</v>
      </c>
      <c r="F45" s="62">
        <v>5.0000000000000001E-3</v>
      </c>
      <c r="G45" s="63">
        <f>VLOOKUP(D45,upahbahan,3,FALSE)</f>
        <v>160000</v>
      </c>
      <c r="H45" s="64">
        <f t="shared" si="3"/>
        <v>800</v>
      </c>
      <c r="K45" s="494"/>
    </row>
    <row r="46" spans="3:11" ht="18" customHeight="1">
      <c r="C46" s="66" t="s">
        <v>1208</v>
      </c>
      <c r="D46" s="67"/>
      <c r="E46" s="67"/>
      <c r="F46" s="142"/>
      <c r="G46" s="153"/>
      <c r="H46" s="64">
        <f>SUM(H42:H45)</f>
        <v>24800</v>
      </c>
      <c r="I46" s="154"/>
      <c r="K46" s="494"/>
    </row>
    <row r="47" spans="3:11" ht="18" customHeight="1">
      <c r="C47" s="55" t="s">
        <v>1209</v>
      </c>
      <c r="D47" s="56" t="s">
        <v>1210</v>
      </c>
      <c r="E47" s="57"/>
      <c r="F47" s="57"/>
      <c r="G47" s="57"/>
      <c r="H47" s="58"/>
      <c r="K47" s="494"/>
    </row>
    <row r="48" spans="3:11" ht="18" customHeight="1">
      <c r="C48" s="60">
        <v>1</v>
      </c>
      <c r="D48" s="56" t="s">
        <v>650</v>
      </c>
      <c r="E48" s="61" t="s">
        <v>62</v>
      </c>
      <c r="F48" s="276">
        <v>1.1000000000000001</v>
      </c>
      <c r="G48" s="63">
        <f>VLOOKUP(D48,upahbahan,3,FALSE)</f>
        <v>198000</v>
      </c>
      <c r="H48" s="64">
        <f>F48*G48</f>
        <v>217800.00000000003</v>
      </c>
      <c r="K48" s="494"/>
    </row>
    <row r="49" spans="3:11" ht="18" customHeight="1">
      <c r="C49" s="60">
        <v>2</v>
      </c>
      <c r="D49" s="56" t="s">
        <v>1047</v>
      </c>
      <c r="E49" s="61" t="s">
        <v>1048</v>
      </c>
      <c r="F49" s="276">
        <v>0.05</v>
      </c>
      <c r="G49" s="63">
        <f>VLOOKUP(D49,upahbahan,3,FALSE)</f>
        <v>0</v>
      </c>
      <c r="H49" s="64">
        <f t="shared" ref="H49" si="4">F49*G49</f>
        <v>0</v>
      </c>
      <c r="K49" s="494"/>
    </row>
    <row r="50" spans="3:11" ht="18" customHeight="1">
      <c r="C50" s="66" t="s">
        <v>1214</v>
      </c>
      <c r="D50" s="67"/>
      <c r="E50" s="67"/>
      <c r="F50" s="67"/>
      <c r="G50" s="69"/>
      <c r="H50" s="64">
        <f>SUM(H48:H49)</f>
        <v>217800.00000000003</v>
      </c>
      <c r="K50" s="494"/>
    </row>
    <row r="51" spans="3:11" ht="18" customHeight="1">
      <c r="C51" s="167" t="s">
        <v>1215</v>
      </c>
      <c r="D51" s="56" t="s">
        <v>1216</v>
      </c>
      <c r="E51" s="57"/>
      <c r="F51" s="57"/>
      <c r="G51" s="57"/>
      <c r="H51" s="58"/>
      <c r="K51" s="494"/>
    </row>
    <row r="52" spans="3:11" ht="18" customHeight="1">
      <c r="C52" s="66" t="s">
        <v>1217</v>
      </c>
      <c r="D52" s="67"/>
      <c r="E52" s="67"/>
      <c r="F52" s="67"/>
      <c r="G52" s="69"/>
      <c r="H52" s="74">
        <v>0</v>
      </c>
      <c r="K52" s="494"/>
    </row>
    <row r="53" spans="3:11" ht="18" customHeight="1">
      <c r="C53" s="75" t="s">
        <v>1218</v>
      </c>
      <c r="D53" s="76" t="s">
        <v>1219</v>
      </c>
      <c r="E53" s="77"/>
      <c r="F53" s="77"/>
      <c r="G53" s="78"/>
      <c r="H53" s="64">
        <f>H52+H50+H46</f>
        <v>242600.00000000003</v>
      </c>
      <c r="K53" s="494"/>
    </row>
    <row r="54" spans="3:11" ht="18" customHeight="1">
      <c r="C54" s="75" t="s">
        <v>1220</v>
      </c>
      <c r="D54" s="76" t="s">
        <v>1321</v>
      </c>
      <c r="E54" s="77"/>
      <c r="F54" s="78"/>
      <c r="G54" s="80">
        <f>$M$7</f>
        <v>0.1</v>
      </c>
      <c r="H54" s="64">
        <f>H53*G54</f>
        <v>24260.000000000004</v>
      </c>
      <c r="K54" s="494"/>
    </row>
    <row r="55" spans="3:11" ht="18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266860.00000000006</v>
      </c>
      <c r="K55" s="494"/>
    </row>
    <row r="56" spans="3:11" ht="14.4" thickTop="1">
      <c r="C56" s="89"/>
      <c r="D56" s="90"/>
      <c r="E56" s="90"/>
      <c r="F56" s="90"/>
      <c r="G56" s="90"/>
      <c r="H56" s="91"/>
      <c r="K56" s="494"/>
    </row>
    <row r="57" spans="3:11" ht="14.4" thickBot="1">
      <c r="C57" s="44" t="s">
        <v>3110</v>
      </c>
      <c r="D57" s="149" t="s">
        <v>1525</v>
      </c>
      <c r="E57" s="151"/>
      <c r="F57" s="151"/>
      <c r="G57" s="151"/>
      <c r="H57" s="151"/>
      <c r="I57" s="50">
        <f>ROUNDDOWN(H73,-2)</f>
        <v>315800</v>
      </c>
      <c r="K57" s="494"/>
    </row>
    <row r="58" spans="3:11" ht="28.2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K58" s="494"/>
    </row>
    <row r="59" spans="3:11" ht="18" customHeight="1">
      <c r="C59" s="55" t="s">
        <v>1201</v>
      </c>
      <c r="D59" s="56" t="s">
        <v>1202</v>
      </c>
      <c r="E59" s="57"/>
      <c r="F59" s="57"/>
      <c r="G59" s="57"/>
      <c r="H59" s="58"/>
      <c r="K59" s="494"/>
    </row>
    <row r="60" spans="3:11" ht="18" customHeight="1">
      <c r="C60" s="60">
        <v>1</v>
      </c>
      <c r="D60" s="56" t="s">
        <v>5</v>
      </c>
      <c r="E60" s="61" t="s">
        <v>6</v>
      </c>
      <c r="F60" s="101">
        <v>1.6E-2</v>
      </c>
      <c r="G60" s="63">
        <f>VLOOKUP(D60,upahbahan,3,FALSE)</f>
        <v>100000</v>
      </c>
      <c r="H60" s="64">
        <f>F60*G60</f>
        <v>1600</v>
      </c>
      <c r="K60" s="494"/>
    </row>
    <row r="61" spans="3:11" ht="18" customHeight="1">
      <c r="C61" s="60">
        <v>2</v>
      </c>
      <c r="D61" s="56" t="s">
        <v>8</v>
      </c>
      <c r="E61" s="61" t="s">
        <v>6</v>
      </c>
      <c r="F61" s="101">
        <v>0.16</v>
      </c>
      <c r="G61" s="63">
        <f>VLOOKUP(D61,upahbahan,3,FALSE)</f>
        <v>135000</v>
      </c>
      <c r="H61" s="64">
        <f t="shared" ref="H61:H63" si="5">F61*G61</f>
        <v>21600</v>
      </c>
      <c r="K61" s="494"/>
    </row>
    <row r="62" spans="3:11" ht="18" customHeight="1">
      <c r="C62" s="60">
        <v>3</v>
      </c>
      <c r="D62" s="56" t="s">
        <v>18</v>
      </c>
      <c r="E62" s="61" t="s">
        <v>6</v>
      </c>
      <c r="F62" s="101">
        <v>1.6E-2</v>
      </c>
      <c r="G62" s="63">
        <f>VLOOKUP(D62,upahbahan,3,FALSE)</f>
        <v>150000</v>
      </c>
      <c r="H62" s="64">
        <f t="shared" si="5"/>
        <v>2400</v>
      </c>
      <c r="K62" s="494"/>
    </row>
    <row r="63" spans="3:11" ht="18" customHeight="1">
      <c r="C63" s="60">
        <v>4</v>
      </c>
      <c r="D63" s="56" t="s">
        <v>19</v>
      </c>
      <c r="E63" s="61" t="s">
        <v>6</v>
      </c>
      <c r="F63" s="101">
        <v>5.3E-3</v>
      </c>
      <c r="G63" s="63">
        <f>VLOOKUP(D63,upahbahan,3,FALSE)</f>
        <v>160000</v>
      </c>
      <c r="H63" s="64">
        <f t="shared" si="5"/>
        <v>848</v>
      </c>
      <c r="K63" s="494"/>
    </row>
    <row r="64" spans="3:11" ht="18" customHeight="1">
      <c r="C64" s="66" t="s">
        <v>1208</v>
      </c>
      <c r="D64" s="67"/>
      <c r="E64" s="67"/>
      <c r="F64" s="142"/>
      <c r="G64" s="153"/>
      <c r="H64" s="64">
        <f>SUM(H60:H63)</f>
        <v>26448</v>
      </c>
      <c r="I64" s="154"/>
      <c r="K64" s="494"/>
    </row>
    <row r="65" spans="3:11" ht="18" customHeight="1">
      <c r="C65" s="55" t="s">
        <v>1209</v>
      </c>
      <c r="D65" s="56" t="s">
        <v>1210</v>
      </c>
      <c r="E65" s="57"/>
      <c r="F65" s="57"/>
      <c r="G65" s="57"/>
      <c r="H65" s="58"/>
      <c r="K65" s="494"/>
    </row>
    <row r="66" spans="3:11" ht="18" customHeight="1">
      <c r="C66" s="60">
        <v>1</v>
      </c>
      <c r="D66" s="56" t="s">
        <v>651</v>
      </c>
      <c r="E66" s="61" t="s">
        <v>62</v>
      </c>
      <c r="F66" s="276">
        <v>1.1000000000000001</v>
      </c>
      <c r="G66" s="63">
        <f>VLOOKUP(D66,upahbahan,3,FALSE)</f>
        <v>237000</v>
      </c>
      <c r="H66" s="64">
        <f>F66*G66</f>
        <v>260700.00000000003</v>
      </c>
      <c r="K66" s="494"/>
    </row>
    <row r="67" spans="3:11" ht="18" customHeight="1">
      <c r="C67" s="60">
        <v>2</v>
      </c>
      <c r="D67" s="56" t="s">
        <v>1047</v>
      </c>
      <c r="E67" s="61" t="s">
        <v>1048</v>
      </c>
      <c r="F67" s="276">
        <v>0.05</v>
      </c>
      <c r="G67" s="63">
        <f>VLOOKUP(D67,upahbahan,3,FALSE)</f>
        <v>0</v>
      </c>
      <c r="H67" s="64">
        <f t="shared" ref="H67" si="6">F67*G67</f>
        <v>0</v>
      </c>
      <c r="K67" s="494"/>
    </row>
    <row r="68" spans="3:11" ht="18" customHeight="1">
      <c r="C68" s="66" t="s">
        <v>1214</v>
      </c>
      <c r="D68" s="67"/>
      <c r="E68" s="67"/>
      <c r="F68" s="67"/>
      <c r="G68" s="69"/>
      <c r="H68" s="64">
        <f>SUM(H66:H67)</f>
        <v>260700.00000000003</v>
      </c>
      <c r="K68" s="494"/>
    </row>
    <row r="69" spans="3:11" ht="18" customHeight="1">
      <c r="C69" s="167" t="s">
        <v>1215</v>
      </c>
      <c r="D69" s="56" t="s">
        <v>1216</v>
      </c>
      <c r="E69" s="57"/>
      <c r="F69" s="57"/>
      <c r="G69" s="57"/>
      <c r="H69" s="58"/>
      <c r="K69" s="494"/>
    </row>
    <row r="70" spans="3:11" ht="18" customHeight="1">
      <c r="C70" s="66" t="s">
        <v>1217</v>
      </c>
      <c r="D70" s="67"/>
      <c r="E70" s="67"/>
      <c r="F70" s="67"/>
      <c r="G70" s="69"/>
      <c r="H70" s="74">
        <v>0</v>
      </c>
      <c r="K70" s="494"/>
    </row>
    <row r="71" spans="3:11" ht="18" customHeight="1">
      <c r="C71" s="75" t="s">
        <v>1218</v>
      </c>
      <c r="D71" s="76" t="s">
        <v>1219</v>
      </c>
      <c r="E71" s="77"/>
      <c r="F71" s="77"/>
      <c r="G71" s="78"/>
      <c r="H71" s="64">
        <f>H70+H68+H64</f>
        <v>287148</v>
      </c>
      <c r="K71" s="494"/>
    </row>
    <row r="72" spans="3:11" ht="18" customHeight="1">
      <c r="C72" s="75" t="s">
        <v>1220</v>
      </c>
      <c r="D72" s="76" t="s">
        <v>1321</v>
      </c>
      <c r="E72" s="77"/>
      <c r="F72" s="78"/>
      <c r="G72" s="80">
        <f>$M$7</f>
        <v>0.1</v>
      </c>
      <c r="H72" s="64">
        <f>H71*G72</f>
        <v>28714.800000000003</v>
      </c>
      <c r="K72" s="494"/>
    </row>
    <row r="73" spans="3:11" ht="18" customHeight="1" thickBot="1">
      <c r="C73" s="81" t="s">
        <v>1221</v>
      </c>
      <c r="D73" s="82" t="s">
        <v>1222</v>
      </c>
      <c r="E73" s="83"/>
      <c r="F73" s="83"/>
      <c r="G73" s="84"/>
      <c r="H73" s="85">
        <f>SUM(H71:H72)</f>
        <v>315862.8</v>
      </c>
      <c r="K73" s="494"/>
    </row>
    <row r="74" spans="3:11" ht="14.4" thickTop="1">
      <c r="C74" s="89"/>
      <c r="D74" s="90"/>
      <c r="E74" s="90"/>
      <c r="F74" s="90"/>
      <c r="G74" s="90"/>
      <c r="H74" s="91"/>
      <c r="K74" s="494"/>
    </row>
    <row r="75" spans="3:11" ht="14.4" thickBot="1">
      <c r="C75" s="44" t="s">
        <v>3111</v>
      </c>
      <c r="D75" s="149" t="s">
        <v>1526</v>
      </c>
      <c r="E75" s="275"/>
      <c r="F75" s="275"/>
      <c r="G75" s="275"/>
      <c r="H75" s="275"/>
      <c r="I75" s="50">
        <f>ROUNDDOWN(H91,-2)</f>
        <v>304800</v>
      </c>
      <c r="K75" s="494"/>
    </row>
    <row r="76" spans="3:11" ht="28.2" thickTop="1">
      <c r="C76" s="51" t="s">
        <v>1195</v>
      </c>
      <c r="D76" s="52" t="s">
        <v>1196</v>
      </c>
      <c r="E76" s="52" t="s">
        <v>1197</v>
      </c>
      <c r="F76" s="52" t="s">
        <v>1198</v>
      </c>
      <c r="G76" s="52" t="s">
        <v>1199</v>
      </c>
      <c r="H76" s="53" t="s">
        <v>1200</v>
      </c>
      <c r="K76" s="494"/>
    </row>
    <row r="77" spans="3:11" ht="18" customHeight="1">
      <c r="C77" s="55" t="s">
        <v>1201</v>
      </c>
      <c r="D77" s="56" t="s">
        <v>1202</v>
      </c>
      <c r="E77" s="57"/>
      <c r="F77" s="57"/>
      <c r="G77" s="57"/>
      <c r="H77" s="58"/>
      <c r="K77" s="494"/>
    </row>
    <row r="78" spans="3:11" ht="18" customHeight="1">
      <c r="C78" s="60">
        <v>1</v>
      </c>
      <c r="D78" s="56" t="s">
        <v>5</v>
      </c>
      <c r="E78" s="61" t="s">
        <v>6</v>
      </c>
      <c r="F78" s="101">
        <v>1.7000000000000001E-2</v>
      </c>
      <c r="G78" s="63">
        <f>VLOOKUP(D78,upahbahan,3,FALSE)</f>
        <v>100000</v>
      </c>
      <c r="H78" s="64">
        <f>F78*G78</f>
        <v>1700.0000000000002</v>
      </c>
      <c r="K78" s="494"/>
    </row>
    <row r="79" spans="3:11" ht="18" customHeight="1">
      <c r="C79" s="60">
        <v>2</v>
      </c>
      <c r="D79" s="56" t="s">
        <v>8</v>
      </c>
      <c r="E79" s="61" t="s">
        <v>6</v>
      </c>
      <c r="F79" s="101">
        <v>0.17</v>
      </c>
      <c r="G79" s="63">
        <f>VLOOKUP(D79,upahbahan,3,FALSE)</f>
        <v>135000</v>
      </c>
      <c r="H79" s="64">
        <f t="shared" ref="H79:H81" si="7">F79*G79</f>
        <v>22950</v>
      </c>
      <c r="K79" s="494"/>
    </row>
    <row r="80" spans="3:11" ht="18" customHeight="1">
      <c r="C80" s="60">
        <v>3</v>
      </c>
      <c r="D80" s="56" t="s">
        <v>18</v>
      </c>
      <c r="E80" s="61" t="s">
        <v>6</v>
      </c>
      <c r="F80" s="101">
        <v>1.7000000000000001E-2</v>
      </c>
      <c r="G80" s="63">
        <f>VLOOKUP(D80,upahbahan,3,FALSE)</f>
        <v>150000</v>
      </c>
      <c r="H80" s="64">
        <f t="shared" si="7"/>
        <v>2550</v>
      </c>
      <c r="K80" s="494"/>
    </row>
    <row r="81" spans="3:11" ht="18" customHeight="1">
      <c r="C81" s="60">
        <v>4</v>
      </c>
      <c r="D81" s="56" t="s">
        <v>19</v>
      </c>
      <c r="E81" s="61" t="s">
        <v>6</v>
      </c>
      <c r="F81" s="101">
        <v>5.7000000000000002E-3</v>
      </c>
      <c r="G81" s="63">
        <f>VLOOKUP(D81,upahbahan,3,FALSE)</f>
        <v>160000</v>
      </c>
      <c r="H81" s="64">
        <f t="shared" si="7"/>
        <v>912</v>
      </c>
      <c r="K81" s="494"/>
    </row>
    <row r="82" spans="3:11" ht="18" customHeight="1">
      <c r="C82" s="66" t="s">
        <v>1208</v>
      </c>
      <c r="D82" s="67"/>
      <c r="E82" s="67"/>
      <c r="F82" s="142"/>
      <c r="G82" s="153"/>
      <c r="H82" s="64">
        <f>SUM(H78:H81)</f>
        <v>28112</v>
      </c>
      <c r="I82" s="154"/>
      <c r="K82" s="494"/>
    </row>
    <row r="83" spans="3:11" ht="18" customHeight="1">
      <c r="C83" s="55" t="s">
        <v>1209</v>
      </c>
      <c r="D83" s="56" t="s">
        <v>1210</v>
      </c>
      <c r="E83" s="57"/>
      <c r="F83" s="57"/>
      <c r="G83" s="57"/>
      <c r="H83" s="58"/>
      <c r="K83" s="494"/>
    </row>
    <row r="84" spans="3:11" ht="18" customHeight="1">
      <c r="C84" s="60">
        <v>1</v>
      </c>
      <c r="D84" s="56" t="s">
        <v>652</v>
      </c>
      <c r="E84" s="61" t="s">
        <v>62</v>
      </c>
      <c r="F84" s="276">
        <v>1.1000000000000001</v>
      </c>
      <c r="G84" s="63">
        <f>VLOOKUP(D84,upahbahan,3,FALSE)</f>
        <v>226400</v>
      </c>
      <c r="H84" s="64">
        <f t="shared" ref="H84:H85" si="8">F84*G84</f>
        <v>249040.00000000003</v>
      </c>
      <c r="K84" s="494"/>
    </row>
    <row r="85" spans="3:11" ht="18" customHeight="1">
      <c r="C85" s="60">
        <v>2</v>
      </c>
      <c r="D85" s="56" t="s">
        <v>1047</v>
      </c>
      <c r="E85" s="61" t="s">
        <v>1048</v>
      </c>
      <c r="F85" s="276">
        <v>7.0000000000000007E-2</v>
      </c>
      <c r="G85" s="63">
        <f>VLOOKUP(D85,upahbahan,3,FALSE)</f>
        <v>0</v>
      </c>
      <c r="H85" s="64">
        <f t="shared" si="8"/>
        <v>0</v>
      </c>
      <c r="K85" s="494"/>
    </row>
    <row r="86" spans="3:11" ht="18" customHeight="1">
      <c r="C86" s="66" t="s">
        <v>1214</v>
      </c>
      <c r="D86" s="67"/>
      <c r="E86" s="67"/>
      <c r="F86" s="67"/>
      <c r="G86" s="69"/>
      <c r="H86" s="64">
        <f>SUM(H84:H85)</f>
        <v>249040.00000000003</v>
      </c>
      <c r="K86" s="494"/>
    </row>
    <row r="87" spans="3:11" ht="18" customHeight="1">
      <c r="C87" s="167" t="s">
        <v>1215</v>
      </c>
      <c r="D87" s="56" t="s">
        <v>1216</v>
      </c>
      <c r="E87" s="57"/>
      <c r="F87" s="57"/>
      <c r="G87" s="57"/>
      <c r="H87" s="58"/>
      <c r="K87" s="494"/>
    </row>
    <row r="88" spans="3:11" ht="18" customHeight="1">
      <c r="C88" s="66" t="s">
        <v>1217</v>
      </c>
      <c r="D88" s="67"/>
      <c r="E88" s="67"/>
      <c r="F88" s="67"/>
      <c r="G88" s="69"/>
      <c r="H88" s="74">
        <v>0</v>
      </c>
      <c r="K88" s="494"/>
    </row>
    <row r="89" spans="3:11" ht="18" customHeight="1">
      <c r="C89" s="75" t="s">
        <v>1218</v>
      </c>
      <c r="D89" s="76" t="s">
        <v>1219</v>
      </c>
      <c r="E89" s="77"/>
      <c r="F89" s="77"/>
      <c r="G89" s="78"/>
      <c r="H89" s="64">
        <f>H88+H86+H82</f>
        <v>277152</v>
      </c>
      <c r="K89" s="494"/>
    </row>
    <row r="90" spans="3:11" ht="18" customHeight="1">
      <c r="C90" s="75" t="s">
        <v>1220</v>
      </c>
      <c r="D90" s="76" t="s">
        <v>1321</v>
      </c>
      <c r="E90" s="77"/>
      <c r="F90" s="78"/>
      <c r="G90" s="80">
        <f>$M$7</f>
        <v>0.1</v>
      </c>
      <c r="H90" s="64">
        <f>H89*G90</f>
        <v>27715.200000000001</v>
      </c>
      <c r="K90" s="494"/>
    </row>
    <row r="91" spans="3:11" ht="18" customHeight="1" thickBot="1">
      <c r="C91" s="81" t="s">
        <v>1221</v>
      </c>
      <c r="D91" s="82" t="s">
        <v>1222</v>
      </c>
      <c r="E91" s="83"/>
      <c r="F91" s="83"/>
      <c r="G91" s="84"/>
      <c r="H91" s="85">
        <f>SUM(H89:H90)</f>
        <v>304867.20000000001</v>
      </c>
      <c r="K91" s="494"/>
    </row>
    <row r="92" spans="3:11" ht="14.4" thickTop="1">
      <c r="C92" s="89"/>
      <c r="D92" s="90"/>
      <c r="E92" s="90"/>
      <c r="F92" s="90"/>
      <c r="G92" s="90"/>
      <c r="H92" s="91"/>
      <c r="K92" s="494"/>
    </row>
    <row r="93" spans="3:11" ht="14.4" thickBot="1">
      <c r="C93" s="44" t="s">
        <v>3112</v>
      </c>
      <c r="D93" s="149" t="s">
        <v>1527</v>
      </c>
      <c r="E93" s="275"/>
      <c r="F93" s="275"/>
      <c r="G93" s="275"/>
      <c r="H93" s="275"/>
      <c r="I93" s="50">
        <f>ROUNDDOWN(H109,-2)</f>
        <v>429000</v>
      </c>
      <c r="J93" s="152" t="s">
        <v>6451</v>
      </c>
      <c r="K93" s="494" t="s">
        <v>6466</v>
      </c>
    </row>
    <row r="94" spans="3:11" ht="28.2" thickTop="1">
      <c r="C94" s="51" t="s">
        <v>1195</v>
      </c>
      <c r="D94" s="52" t="s">
        <v>1196</v>
      </c>
      <c r="E94" s="52" t="s">
        <v>1197</v>
      </c>
      <c r="F94" s="52" t="s">
        <v>1198</v>
      </c>
      <c r="G94" s="52" t="s">
        <v>1199</v>
      </c>
      <c r="H94" s="53" t="s">
        <v>1200</v>
      </c>
      <c r="K94" s="494"/>
    </row>
    <row r="95" spans="3:11" ht="18" customHeight="1">
      <c r="C95" s="55" t="s">
        <v>1201</v>
      </c>
      <c r="D95" s="56" t="s">
        <v>1202</v>
      </c>
      <c r="E95" s="57"/>
      <c r="F95" s="57"/>
      <c r="G95" s="57"/>
      <c r="H95" s="58"/>
      <c r="K95" s="494"/>
    </row>
    <row r="96" spans="3:11" ht="18" customHeight="1">
      <c r="C96" s="60">
        <v>1</v>
      </c>
      <c r="D96" s="56" t="s">
        <v>5</v>
      </c>
      <c r="E96" s="61" t="s">
        <v>6</v>
      </c>
      <c r="F96" s="101">
        <v>2.5000000000000001E-2</v>
      </c>
      <c r="G96" s="63">
        <f>VLOOKUP(D96,upahbahan,3,FALSE)</f>
        <v>100000</v>
      </c>
      <c r="H96" s="64">
        <f>F96*G96</f>
        <v>2500</v>
      </c>
      <c r="K96" s="494"/>
    </row>
    <row r="97" spans="3:11" ht="18" customHeight="1">
      <c r="C97" s="60">
        <v>2</v>
      </c>
      <c r="D97" s="56" t="s">
        <v>8</v>
      </c>
      <c r="E97" s="61" t="s">
        <v>6</v>
      </c>
      <c r="F97" s="101">
        <v>0.25</v>
      </c>
      <c r="G97" s="63">
        <f>VLOOKUP(D97,upahbahan,3,FALSE)</f>
        <v>135000</v>
      </c>
      <c r="H97" s="64">
        <f t="shared" ref="H97:H99" si="9">F97*G97</f>
        <v>33750</v>
      </c>
      <c r="K97" s="494"/>
    </row>
    <row r="98" spans="3:11" ht="18" customHeight="1">
      <c r="C98" s="60">
        <v>3</v>
      </c>
      <c r="D98" s="56" t="s">
        <v>18</v>
      </c>
      <c r="E98" s="61" t="s">
        <v>6</v>
      </c>
      <c r="F98" s="101">
        <v>2.5000000000000001E-2</v>
      </c>
      <c r="G98" s="63">
        <f>VLOOKUP(D98,upahbahan,3,FALSE)</f>
        <v>150000</v>
      </c>
      <c r="H98" s="64">
        <f t="shared" si="9"/>
        <v>3750</v>
      </c>
      <c r="K98" s="494"/>
    </row>
    <row r="99" spans="3:11" ht="18" customHeight="1">
      <c r="C99" s="60">
        <v>4</v>
      </c>
      <c r="D99" s="56" t="s">
        <v>19</v>
      </c>
      <c r="E99" s="61" t="s">
        <v>6</v>
      </c>
      <c r="F99" s="101">
        <v>8.3000000000000001E-3</v>
      </c>
      <c r="G99" s="63">
        <f>VLOOKUP(D99,upahbahan,3,FALSE)</f>
        <v>160000</v>
      </c>
      <c r="H99" s="64">
        <f t="shared" si="9"/>
        <v>1328</v>
      </c>
      <c r="K99" s="494"/>
    </row>
    <row r="100" spans="3:11" ht="18" customHeight="1">
      <c r="C100" s="66" t="s">
        <v>1208</v>
      </c>
      <c r="D100" s="67"/>
      <c r="E100" s="67"/>
      <c r="F100" s="142"/>
      <c r="G100" s="153"/>
      <c r="H100" s="64">
        <f>SUM(H96:H99)</f>
        <v>41328</v>
      </c>
      <c r="I100" s="154"/>
      <c r="K100" s="494"/>
    </row>
    <row r="101" spans="3:11" ht="18" customHeight="1">
      <c r="C101" s="55" t="s">
        <v>1209</v>
      </c>
      <c r="D101" s="56" t="s">
        <v>1210</v>
      </c>
      <c r="E101" s="57"/>
      <c r="F101" s="57"/>
      <c r="G101" s="57"/>
      <c r="H101" s="58"/>
      <c r="K101" s="494"/>
    </row>
    <row r="102" spans="3:11" ht="18" customHeight="1">
      <c r="C102" s="60">
        <v>1</v>
      </c>
      <c r="D102" s="56" t="s">
        <v>637</v>
      </c>
      <c r="E102" s="61" t="s">
        <v>62</v>
      </c>
      <c r="F102" s="276">
        <v>1.1000000000000001</v>
      </c>
      <c r="G102" s="63">
        <f>VLOOKUP(D102,upahbahan,3,FALSE)</f>
        <v>317000</v>
      </c>
      <c r="H102" s="64">
        <f t="shared" ref="H102:H103" si="10">F102*G102</f>
        <v>348700</v>
      </c>
      <c r="K102" s="494"/>
    </row>
    <row r="103" spans="3:11" ht="18" customHeight="1">
      <c r="C103" s="60">
        <v>2</v>
      </c>
      <c r="D103" s="56" t="s">
        <v>1047</v>
      </c>
      <c r="E103" s="61" t="s">
        <v>1048</v>
      </c>
      <c r="F103" s="276">
        <v>7.0000000000000007E-2</v>
      </c>
      <c r="G103" s="63">
        <f>VLOOKUP(D103,upahbahan,3,FALSE)</f>
        <v>0</v>
      </c>
      <c r="H103" s="64">
        <f t="shared" si="10"/>
        <v>0</v>
      </c>
      <c r="K103" s="494"/>
    </row>
    <row r="104" spans="3:11" ht="18" customHeight="1">
      <c r="C104" s="66" t="s">
        <v>1214</v>
      </c>
      <c r="D104" s="67"/>
      <c r="E104" s="67"/>
      <c r="F104" s="67"/>
      <c r="G104" s="69"/>
      <c r="H104" s="64">
        <f>SUM(H102:H103)</f>
        <v>348700</v>
      </c>
      <c r="K104" s="494"/>
    </row>
    <row r="105" spans="3:11" ht="18" customHeight="1">
      <c r="C105" s="167" t="s">
        <v>1215</v>
      </c>
      <c r="D105" s="56" t="s">
        <v>1216</v>
      </c>
      <c r="E105" s="57"/>
      <c r="F105" s="57"/>
      <c r="G105" s="57"/>
      <c r="H105" s="58"/>
      <c r="K105" s="494"/>
    </row>
    <row r="106" spans="3:11" ht="18" customHeight="1">
      <c r="C106" s="66" t="s">
        <v>1217</v>
      </c>
      <c r="D106" s="67"/>
      <c r="E106" s="67"/>
      <c r="F106" s="67"/>
      <c r="G106" s="69"/>
      <c r="H106" s="74">
        <v>0</v>
      </c>
      <c r="K106" s="494"/>
    </row>
    <row r="107" spans="3:11" ht="18" customHeight="1">
      <c r="C107" s="75" t="s">
        <v>1218</v>
      </c>
      <c r="D107" s="76" t="s">
        <v>1219</v>
      </c>
      <c r="E107" s="77"/>
      <c r="F107" s="77"/>
      <c r="G107" s="78"/>
      <c r="H107" s="64">
        <f>H106+H104+H100</f>
        <v>390028</v>
      </c>
      <c r="K107" s="494"/>
    </row>
    <row r="108" spans="3:11" ht="18" customHeight="1">
      <c r="C108" s="75" t="s">
        <v>1220</v>
      </c>
      <c r="D108" s="76" t="s">
        <v>1321</v>
      </c>
      <c r="E108" s="77"/>
      <c r="F108" s="78"/>
      <c r="G108" s="80">
        <f>$M$7</f>
        <v>0.1</v>
      </c>
      <c r="H108" s="64">
        <f>H107*G108</f>
        <v>39002.800000000003</v>
      </c>
      <c r="K108" s="494"/>
    </row>
    <row r="109" spans="3:11" ht="18" customHeight="1" thickBot="1">
      <c r="C109" s="81" t="s">
        <v>1221</v>
      </c>
      <c r="D109" s="82" t="s">
        <v>1222</v>
      </c>
      <c r="E109" s="83"/>
      <c r="F109" s="83"/>
      <c r="G109" s="84"/>
      <c r="H109" s="85">
        <f>SUM(H107:H108)</f>
        <v>429030.8</v>
      </c>
      <c r="K109" s="494"/>
    </row>
    <row r="110" spans="3:11" ht="14.4" thickTop="1">
      <c r="C110" s="89"/>
      <c r="D110" s="90"/>
      <c r="E110" s="90"/>
      <c r="F110" s="90"/>
      <c r="G110" s="90"/>
      <c r="H110" s="91"/>
      <c r="K110" s="494"/>
    </row>
    <row r="111" spans="3:11" ht="14.4" thickBot="1">
      <c r="C111" s="44" t="s">
        <v>3113</v>
      </c>
      <c r="D111" s="149" t="s">
        <v>1528</v>
      </c>
      <c r="E111" s="275"/>
      <c r="F111" s="275"/>
      <c r="G111" s="275"/>
      <c r="H111" s="275"/>
      <c r="I111" s="50">
        <f>ROUNDDOWN(H126,-2)</f>
        <v>268700</v>
      </c>
      <c r="K111" s="494"/>
    </row>
    <row r="112" spans="3:11" ht="28.2" thickTop="1">
      <c r="C112" s="51" t="s">
        <v>1195</v>
      </c>
      <c r="D112" s="52" t="s">
        <v>1196</v>
      </c>
      <c r="E112" s="52" t="s">
        <v>1197</v>
      </c>
      <c r="F112" s="52" t="s">
        <v>1198</v>
      </c>
      <c r="G112" s="52" t="s">
        <v>1199</v>
      </c>
      <c r="H112" s="53" t="s">
        <v>1200</v>
      </c>
      <c r="K112" s="494"/>
    </row>
    <row r="113" spans="3:11" ht="18" customHeight="1">
      <c r="C113" s="55" t="s">
        <v>1201</v>
      </c>
      <c r="D113" s="56" t="s">
        <v>1202</v>
      </c>
      <c r="E113" s="57"/>
      <c r="F113" s="57"/>
      <c r="G113" s="57"/>
      <c r="H113" s="58"/>
      <c r="K113" s="494"/>
    </row>
    <row r="114" spans="3:11" ht="18" customHeight="1">
      <c r="C114" s="60">
        <v>1</v>
      </c>
      <c r="D114" s="56" t="s">
        <v>5</v>
      </c>
      <c r="E114" s="61" t="s">
        <v>6</v>
      </c>
      <c r="F114" s="62">
        <v>1.4999999999999999E-2</v>
      </c>
      <c r="G114" s="63">
        <f>VLOOKUP(D114,upahbahan,3,FALSE)</f>
        <v>100000</v>
      </c>
      <c r="H114" s="64">
        <f t="shared" ref="H114:H117" si="11">F114*G114</f>
        <v>1500</v>
      </c>
      <c r="K114" s="494"/>
    </row>
    <row r="115" spans="3:11" ht="18" customHeight="1">
      <c r="C115" s="60">
        <v>2</v>
      </c>
      <c r="D115" s="56" t="s">
        <v>8</v>
      </c>
      <c r="E115" s="61" t="s">
        <v>6</v>
      </c>
      <c r="F115" s="62">
        <v>0.15</v>
      </c>
      <c r="G115" s="63">
        <f>VLOOKUP(D115,upahbahan,3,FALSE)</f>
        <v>135000</v>
      </c>
      <c r="H115" s="64">
        <f t="shared" si="11"/>
        <v>20250</v>
      </c>
      <c r="K115" s="494"/>
    </row>
    <row r="116" spans="3:11" ht="18" customHeight="1">
      <c r="C116" s="60">
        <v>3</v>
      </c>
      <c r="D116" s="56" t="s">
        <v>18</v>
      </c>
      <c r="E116" s="61" t="s">
        <v>6</v>
      </c>
      <c r="F116" s="62">
        <v>1.4999999999999999E-2</v>
      </c>
      <c r="G116" s="63">
        <f>VLOOKUP(D116,upahbahan,3,FALSE)</f>
        <v>150000</v>
      </c>
      <c r="H116" s="64">
        <f t="shared" si="11"/>
        <v>2250</v>
      </c>
      <c r="K116" s="494"/>
    </row>
    <row r="117" spans="3:11" ht="18" customHeight="1">
      <c r="C117" s="60">
        <v>4</v>
      </c>
      <c r="D117" s="56" t="s">
        <v>19</v>
      </c>
      <c r="E117" s="61" t="s">
        <v>6</v>
      </c>
      <c r="F117" s="62">
        <v>5.0000000000000001E-3</v>
      </c>
      <c r="G117" s="63">
        <f>VLOOKUP(D117,upahbahan,3,FALSE)</f>
        <v>160000</v>
      </c>
      <c r="H117" s="64">
        <f t="shared" si="11"/>
        <v>800</v>
      </c>
      <c r="K117" s="494"/>
    </row>
    <row r="118" spans="3:11" ht="18" customHeight="1">
      <c r="C118" s="66" t="s">
        <v>1208</v>
      </c>
      <c r="D118" s="67"/>
      <c r="E118" s="67"/>
      <c r="F118" s="142"/>
      <c r="G118" s="153"/>
      <c r="H118" s="64">
        <f>SUM(H114:H117)</f>
        <v>24800</v>
      </c>
      <c r="I118" s="154"/>
      <c r="K118" s="494"/>
    </row>
    <row r="119" spans="3:11" ht="18" customHeight="1">
      <c r="C119" s="55" t="s">
        <v>1209</v>
      </c>
      <c r="D119" s="56" t="s">
        <v>1210</v>
      </c>
      <c r="E119" s="57"/>
      <c r="F119" s="57"/>
      <c r="G119" s="57"/>
      <c r="H119" s="58"/>
      <c r="K119" s="494"/>
    </row>
    <row r="120" spans="3:11" ht="18" customHeight="1">
      <c r="C120" s="60">
        <v>1</v>
      </c>
      <c r="D120" s="56" t="s">
        <v>638</v>
      </c>
      <c r="E120" s="61" t="s">
        <v>62</v>
      </c>
      <c r="F120" s="276">
        <v>1.1000000000000001</v>
      </c>
      <c r="G120" s="63">
        <f>VLOOKUP(D120,upahbahan,3,FALSE)</f>
        <v>221400</v>
      </c>
      <c r="H120" s="64">
        <f>F120*G120</f>
        <v>243540.00000000003</v>
      </c>
      <c r="K120" s="494"/>
    </row>
    <row r="121" spans="3:11" ht="18" customHeight="1">
      <c r="C121" s="66" t="s">
        <v>1214</v>
      </c>
      <c r="D121" s="67"/>
      <c r="E121" s="67"/>
      <c r="F121" s="67"/>
      <c r="G121" s="69"/>
      <c r="H121" s="64">
        <f>SUM(H119:H120)</f>
        <v>243540.00000000003</v>
      </c>
      <c r="K121" s="494"/>
    </row>
    <row r="122" spans="3:11" ht="18" customHeight="1">
      <c r="C122" s="167" t="s">
        <v>1215</v>
      </c>
      <c r="D122" s="56" t="s">
        <v>1216</v>
      </c>
      <c r="E122" s="57"/>
      <c r="F122" s="57"/>
      <c r="G122" s="57"/>
      <c r="H122" s="58"/>
      <c r="K122" s="494"/>
    </row>
    <row r="123" spans="3:11" ht="18" customHeight="1">
      <c r="C123" s="66" t="s">
        <v>1217</v>
      </c>
      <c r="D123" s="67"/>
      <c r="E123" s="67"/>
      <c r="F123" s="67"/>
      <c r="G123" s="69"/>
      <c r="H123" s="74">
        <v>0</v>
      </c>
      <c r="K123" s="494"/>
    </row>
    <row r="124" spans="3:11" ht="18" customHeight="1">
      <c r="C124" s="75" t="s">
        <v>1218</v>
      </c>
      <c r="D124" s="76" t="s">
        <v>1219</v>
      </c>
      <c r="E124" s="77"/>
      <c r="F124" s="77"/>
      <c r="G124" s="78"/>
      <c r="H124" s="64">
        <f>H123+H121+H117</f>
        <v>244340.00000000003</v>
      </c>
      <c r="K124" s="494"/>
    </row>
    <row r="125" spans="3:11" ht="18" customHeight="1">
      <c r="C125" s="75" t="s">
        <v>1220</v>
      </c>
      <c r="D125" s="76" t="s">
        <v>1321</v>
      </c>
      <c r="E125" s="77"/>
      <c r="F125" s="78"/>
      <c r="G125" s="80">
        <f>$M$7</f>
        <v>0.1</v>
      </c>
      <c r="H125" s="64">
        <f>H124*G125</f>
        <v>24434.000000000004</v>
      </c>
      <c r="K125" s="494"/>
    </row>
    <row r="126" spans="3:11" ht="18" customHeight="1" thickBot="1">
      <c r="C126" s="81" t="s">
        <v>1221</v>
      </c>
      <c r="D126" s="82" t="s">
        <v>1222</v>
      </c>
      <c r="E126" s="83"/>
      <c r="F126" s="83"/>
      <c r="G126" s="84"/>
      <c r="H126" s="85">
        <f>SUM(H124:H125)</f>
        <v>268774.00000000006</v>
      </c>
      <c r="K126" s="494"/>
    </row>
    <row r="127" spans="3:11" ht="14.4" thickTop="1">
      <c r="K127" s="494"/>
    </row>
    <row r="128" spans="3:11" ht="14.4" thickBot="1">
      <c r="C128" s="44" t="s">
        <v>3114</v>
      </c>
      <c r="D128" s="149" t="s">
        <v>1529</v>
      </c>
      <c r="E128" s="275"/>
      <c r="F128" s="275"/>
      <c r="G128" s="275"/>
      <c r="H128" s="275"/>
      <c r="I128" s="50">
        <f>ROUNDDOWN(H143,-2)</f>
        <v>994200</v>
      </c>
      <c r="K128" s="494"/>
    </row>
    <row r="129" spans="3:11" ht="28.2" thickTop="1">
      <c r="C129" s="51" t="s">
        <v>1195</v>
      </c>
      <c r="D129" s="52" t="s">
        <v>1196</v>
      </c>
      <c r="E129" s="52" t="s">
        <v>1197</v>
      </c>
      <c r="F129" s="52" t="s">
        <v>1198</v>
      </c>
      <c r="G129" s="52" t="s">
        <v>1199</v>
      </c>
      <c r="H129" s="53" t="s">
        <v>1200</v>
      </c>
      <c r="K129" s="494"/>
    </row>
    <row r="130" spans="3:11" ht="18" customHeight="1">
      <c r="C130" s="55" t="s">
        <v>1201</v>
      </c>
      <c r="D130" s="56" t="s">
        <v>1202</v>
      </c>
      <c r="E130" s="57"/>
      <c r="F130" s="57"/>
      <c r="G130" s="57"/>
      <c r="H130" s="58"/>
      <c r="K130" s="494"/>
    </row>
    <row r="131" spans="3:11" ht="18" customHeight="1">
      <c r="C131" s="60">
        <v>1</v>
      </c>
      <c r="D131" s="56" t="s">
        <v>5</v>
      </c>
      <c r="E131" s="61" t="s">
        <v>6</v>
      </c>
      <c r="F131" s="101">
        <v>1.7000000000000001E-2</v>
      </c>
      <c r="G131" s="63">
        <f>VLOOKUP(D131,upahbahan,3,FALSE)</f>
        <v>100000</v>
      </c>
      <c r="H131" s="64">
        <f t="shared" ref="H131:H134" si="12">F131*G131</f>
        <v>1700.0000000000002</v>
      </c>
      <c r="K131" s="494"/>
    </row>
    <row r="132" spans="3:11" ht="18" customHeight="1">
      <c r="C132" s="60">
        <v>2</v>
      </c>
      <c r="D132" s="56" t="s">
        <v>8</v>
      </c>
      <c r="E132" s="61" t="s">
        <v>6</v>
      </c>
      <c r="F132" s="101">
        <v>0.17</v>
      </c>
      <c r="G132" s="63">
        <f>VLOOKUP(D132,upahbahan,3,FALSE)</f>
        <v>135000</v>
      </c>
      <c r="H132" s="64">
        <f t="shared" si="12"/>
        <v>22950</v>
      </c>
      <c r="K132" s="494"/>
    </row>
    <row r="133" spans="3:11" ht="18" customHeight="1">
      <c r="C133" s="60">
        <v>3</v>
      </c>
      <c r="D133" s="56" t="s">
        <v>18</v>
      </c>
      <c r="E133" s="61" t="s">
        <v>6</v>
      </c>
      <c r="F133" s="101">
        <v>1.7000000000000001E-2</v>
      </c>
      <c r="G133" s="63">
        <f>VLOOKUP(D133,upahbahan,3,FALSE)</f>
        <v>150000</v>
      </c>
      <c r="H133" s="64">
        <f t="shared" si="12"/>
        <v>2550</v>
      </c>
      <c r="K133" s="494"/>
    </row>
    <row r="134" spans="3:11" ht="18" customHeight="1">
      <c r="C134" s="60">
        <v>4</v>
      </c>
      <c r="D134" s="56" t="s">
        <v>19</v>
      </c>
      <c r="E134" s="61" t="s">
        <v>6</v>
      </c>
      <c r="F134" s="101">
        <v>5.7000000000000002E-3</v>
      </c>
      <c r="G134" s="63">
        <f>VLOOKUP(D134,upahbahan,3,FALSE)</f>
        <v>160000</v>
      </c>
      <c r="H134" s="64">
        <f t="shared" si="12"/>
        <v>912</v>
      </c>
      <c r="K134" s="494"/>
    </row>
    <row r="135" spans="3:11" ht="18" customHeight="1">
      <c r="C135" s="66" t="s">
        <v>1208</v>
      </c>
      <c r="D135" s="67"/>
      <c r="E135" s="67"/>
      <c r="F135" s="142"/>
      <c r="G135" s="153"/>
      <c r="H135" s="64">
        <f>SUM(H131:H134)</f>
        <v>28112</v>
      </c>
      <c r="I135" s="154"/>
      <c r="K135" s="494"/>
    </row>
    <row r="136" spans="3:11" ht="18" customHeight="1">
      <c r="C136" s="55" t="s">
        <v>1209</v>
      </c>
      <c r="D136" s="56" t="s">
        <v>1210</v>
      </c>
      <c r="E136" s="57"/>
      <c r="F136" s="57"/>
      <c r="G136" s="57"/>
      <c r="H136" s="58"/>
      <c r="K136" s="494"/>
    </row>
    <row r="137" spans="3:11" ht="18" customHeight="1">
      <c r="C137" s="60">
        <v>1</v>
      </c>
      <c r="D137" s="56" t="s">
        <v>640</v>
      </c>
      <c r="E137" s="61" t="s">
        <v>62</v>
      </c>
      <c r="F137" s="276">
        <v>1.1000000000000001</v>
      </c>
      <c r="G137" s="63">
        <f>VLOOKUP(D137,upahbahan,3,FALSE)</f>
        <v>796100</v>
      </c>
      <c r="H137" s="64">
        <f t="shared" ref="H137" si="13">F137*G137</f>
        <v>875710.00000000012</v>
      </c>
      <c r="K137" s="494"/>
    </row>
    <row r="138" spans="3:11" ht="18" customHeight="1">
      <c r="C138" s="66" t="s">
        <v>1214</v>
      </c>
      <c r="D138" s="67"/>
      <c r="E138" s="67"/>
      <c r="F138" s="67"/>
      <c r="G138" s="69"/>
      <c r="H138" s="64">
        <f>SUM(H137)</f>
        <v>875710.00000000012</v>
      </c>
      <c r="K138" s="494"/>
    </row>
    <row r="139" spans="3:11" ht="18" customHeight="1">
      <c r="C139" s="167" t="s">
        <v>1215</v>
      </c>
      <c r="D139" s="56" t="s">
        <v>1216</v>
      </c>
      <c r="E139" s="57"/>
      <c r="F139" s="57"/>
      <c r="G139" s="57"/>
      <c r="H139" s="58"/>
      <c r="K139" s="494"/>
    </row>
    <row r="140" spans="3:11" ht="18" customHeight="1">
      <c r="C140" s="66" t="s">
        <v>1217</v>
      </c>
      <c r="D140" s="67"/>
      <c r="E140" s="67"/>
      <c r="F140" s="67"/>
      <c r="G140" s="69"/>
      <c r="H140" s="74">
        <v>0</v>
      </c>
      <c r="K140" s="494"/>
    </row>
    <row r="141" spans="3:11" ht="18" customHeight="1">
      <c r="C141" s="75" t="s">
        <v>1218</v>
      </c>
      <c r="D141" s="76" t="s">
        <v>1219</v>
      </c>
      <c r="E141" s="77"/>
      <c r="F141" s="77"/>
      <c r="G141" s="78"/>
      <c r="H141" s="64">
        <f>H140+H138+H135</f>
        <v>903822.00000000012</v>
      </c>
      <c r="K141" s="494"/>
    </row>
    <row r="142" spans="3:11" ht="18" customHeight="1">
      <c r="C142" s="75" t="s">
        <v>1220</v>
      </c>
      <c r="D142" s="76" t="s">
        <v>1321</v>
      </c>
      <c r="E142" s="77"/>
      <c r="F142" s="78"/>
      <c r="G142" s="80">
        <f>$M$7</f>
        <v>0.1</v>
      </c>
      <c r="H142" s="64">
        <f>H141*G142</f>
        <v>90382.200000000012</v>
      </c>
      <c r="K142" s="494"/>
    </row>
    <row r="143" spans="3:11" ht="18" customHeight="1" thickBot="1">
      <c r="C143" s="81" t="s">
        <v>1221</v>
      </c>
      <c r="D143" s="82" t="s">
        <v>1222</v>
      </c>
      <c r="E143" s="83"/>
      <c r="F143" s="83"/>
      <c r="G143" s="84"/>
      <c r="H143" s="85">
        <f>SUM(H141:H142)</f>
        <v>994204.20000000019</v>
      </c>
      <c r="K143" s="494"/>
    </row>
    <row r="144" spans="3:11" ht="14.4" thickTop="1">
      <c r="K144" s="494"/>
    </row>
    <row r="145" spans="3:11" ht="14.4" thickBot="1">
      <c r="C145" s="44" t="s">
        <v>3115</v>
      </c>
      <c r="D145" s="149" t="s">
        <v>1530</v>
      </c>
      <c r="E145" s="275"/>
      <c r="F145" s="275"/>
      <c r="G145" s="275"/>
      <c r="H145" s="275"/>
      <c r="I145" s="50">
        <f>ROUNDDOWN(H160,-2)</f>
        <v>202400</v>
      </c>
      <c r="K145" s="494"/>
    </row>
    <row r="146" spans="3:11" ht="28.2" thickTop="1">
      <c r="C146" s="51" t="s">
        <v>1195</v>
      </c>
      <c r="D146" s="52" t="s">
        <v>1196</v>
      </c>
      <c r="E146" s="52" t="s">
        <v>1197</v>
      </c>
      <c r="F146" s="52" t="s">
        <v>1198</v>
      </c>
      <c r="G146" s="52" t="s">
        <v>1199</v>
      </c>
      <c r="H146" s="53" t="s">
        <v>1200</v>
      </c>
      <c r="K146" s="494"/>
    </row>
    <row r="147" spans="3:11" ht="18" customHeight="1">
      <c r="C147" s="55" t="s">
        <v>1201</v>
      </c>
      <c r="D147" s="56" t="s">
        <v>1202</v>
      </c>
      <c r="E147" s="57"/>
      <c r="F147" s="57"/>
      <c r="G147" s="57"/>
      <c r="H147" s="58"/>
      <c r="K147" s="494"/>
    </row>
    <row r="148" spans="3:11" ht="18" customHeight="1">
      <c r="C148" s="60">
        <v>1</v>
      </c>
      <c r="D148" s="56" t="s">
        <v>5</v>
      </c>
      <c r="E148" s="61" t="s">
        <v>6</v>
      </c>
      <c r="F148" s="62">
        <v>1.4999999999999999E-2</v>
      </c>
      <c r="G148" s="63">
        <f>VLOOKUP(D148,upahbahan,3,FALSE)</f>
        <v>100000</v>
      </c>
      <c r="H148" s="64">
        <f t="shared" ref="H148:H151" si="14">F148*G148</f>
        <v>1500</v>
      </c>
      <c r="K148" s="494"/>
    </row>
    <row r="149" spans="3:11" ht="18" customHeight="1">
      <c r="C149" s="60">
        <v>2</v>
      </c>
      <c r="D149" s="56" t="s">
        <v>8</v>
      </c>
      <c r="E149" s="61" t="s">
        <v>6</v>
      </c>
      <c r="F149" s="62">
        <v>0.15</v>
      </c>
      <c r="G149" s="63">
        <f>VLOOKUP(D149,upahbahan,3,FALSE)</f>
        <v>135000</v>
      </c>
      <c r="H149" s="64">
        <f t="shared" si="14"/>
        <v>20250</v>
      </c>
      <c r="K149" s="494"/>
    </row>
    <row r="150" spans="3:11" ht="18" customHeight="1">
      <c r="C150" s="60">
        <v>3</v>
      </c>
      <c r="D150" s="56" t="s">
        <v>18</v>
      </c>
      <c r="E150" s="61" t="s">
        <v>6</v>
      </c>
      <c r="F150" s="62">
        <v>1.4999999999999999E-2</v>
      </c>
      <c r="G150" s="63">
        <f>VLOOKUP(D150,upahbahan,3,FALSE)</f>
        <v>150000</v>
      </c>
      <c r="H150" s="64">
        <f t="shared" si="14"/>
        <v>2250</v>
      </c>
      <c r="K150" s="494"/>
    </row>
    <row r="151" spans="3:11" ht="18" customHeight="1">
      <c r="C151" s="60">
        <v>4</v>
      </c>
      <c r="D151" s="56" t="s">
        <v>19</v>
      </c>
      <c r="E151" s="61" t="s">
        <v>6</v>
      </c>
      <c r="F151" s="62">
        <v>5.0000000000000001E-3</v>
      </c>
      <c r="G151" s="63">
        <f>VLOOKUP(D151,upahbahan,3,FALSE)</f>
        <v>160000</v>
      </c>
      <c r="H151" s="64">
        <f t="shared" si="14"/>
        <v>800</v>
      </c>
      <c r="K151" s="494"/>
    </row>
    <row r="152" spans="3:11" ht="18" customHeight="1">
      <c r="C152" s="66" t="s">
        <v>1208</v>
      </c>
      <c r="D152" s="67"/>
      <c r="E152" s="67"/>
      <c r="F152" s="142"/>
      <c r="G152" s="153"/>
      <c r="H152" s="64">
        <f>SUM(H148:H151)</f>
        <v>24800</v>
      </c>
      <c r="I152" s="154"/>
      <c r="K152" s="494"/>
    </row>
    <row r="153" spans="3:11" ht="18" customHeight="1">
      <c r="C153" s="55" t="s">
        <v>1209</v>
      </c>
      <c r="D153" s="56" t="s">
        <v>1210</v>
      </c>
      <c r="E153" s="57"/>
      <c r="F153" s="57"/>
      <c r="G153" s="57"/>
      <c r="H153" s="58"/>
      <c r="K153" s="494"/>
    </row>
    <row r="154" spans="3:11" ht="18" customHeight="1">
      <c r="C154" s="60">
        <v>1</v>
      </c>
      <c r="D154" s="56" t="s">
        <v>657</v>
      </c>
      <c r="E154" s="61" t="s">
        <v>62</v>
      </c>
      <c r="F154" s="276">
        <v>1.1000000000000001</v>
      </c>
      <c r="G154" s="63">
        <f>VLOOKUP(D154,upahbahan,3,FALSE)</f>
        <v>144800</v>
      </c>
      <c r="H154" s="64">
        <f t="shared" ref="H154" si="15">F154*G154</f>
        <v>159280</v>
      </c>
      <c r="K154" s="494"/>
    </row>
    <row r="155" spans="3:11" ht="18" customHeight="1">
      <c r="C155" s="66" t="s">
        <v>1214</v>
      </c>
      <c r="D155" s="67"/>
      <c r="E155" s="67"/>
      <c r="F155" s="67"/>
      <c r="G155" s="69"/>
      <c r="H155" s="64">
        <f>SUM(H154)</f>
        <v>159280</v>
      </c>
      <c r="K155" s="494"/>
    </row>
    <row r="156" spans="3:11" ht="18" customHeight="1">
      <c r="C156" s="167" t="s">
        <v>1215</v>
      </c>
      <c r="D156" s="56" t="s">
        <v>1216</v>
      </c>
      <c r="E156" s="57"/>
      <c r="F156" s="57"/>
      <c r="G156" s="57"/>
      <c r="H156" s="58"/>
      <c r="K156" s="494"/>
    </row>
    <row r="157" spans="3:11" ht="18" customHeight="1">
      <c r="C157" s="66" t="s">
        <v>1217</v>
      </c>
      <c r="D157" s="67"/>
      <c r="E157" s="67"/>
      <c r="F157" s="67"/>
      <c r="G157" s="69"/>
      <c r="H157" s="74">
        <v>0</v>
      </c>
      <c r="K157" s="494"/>
    </row>
    <row r="158" spans="3:11" ht="18" customHeight="1">
      <c r="C158" s="75" t="s">
        <v>1218</v>
      </c>
      <c r="D158" s="76" t="s">
        <v>1219</v>
      </c>
      <c r="E158" s="77"/>
      <c r="F158" s="77"/>
      <c r="G158" s="78"/>
      <c r="H158" s="64">
        <f>H157+H155+H152</f>
        <v>184080</v>
      </c>
      <c r="K158" s="494"/>
    </row>
    <row r="159" spans="3:11" ht="18" customHeight="1">
      <c r="C159" s="75" t="s">
        <v>1220</v>
      </c>
      <c r="D159" s="76" t="s">
        <v>1321</v>
      </c>
      <c r="E159" s="77"/>
      <c r="F159" s="78"/>
      <c r="G159" s="80">
        <f>$M$7</f>
        <v>0.1</v>
      </c>
      <c r="H159" s="64">
        <f>H158*G159</f>
        <v>18408</v>
      </c>
      <c r="K159" s="494"/>
    </row>
    <row r="160" spans="3:11" ht="18" customHeight="1" thickBot="1">
      <c r="C160" s="81" t="s">
        <v>1221</v>
      </c>
      <c r="D160" s="82" t="s">
        <v>1222</v>
      </c>
      <c r="E160" s="83"/>
      <c r="F160" s="83"/>
      <c r="G160" s="84"/>
      <c r="H160" s="85">
        <f>SUM(H158:H159)</f>
        <v>202488</v>
      </c>
      <c r="K160" s="494"/>
    </row>
    <row r="161" spans="3:11" ht="18" customHeight="1" thickTop="1">
      <c r="K161" s="494"/>
    </row>
    <row r="162" spans="3:11" ht="14.4" thickBot="1">
      <c r="C162" s="44" t="s">
        <v>3116</v>
      </c>
      <c r="D162" s="149" t="s">
        <v>1531</v>
      </c>
      <c r="E162" s="275"/>
      <c r="F162" s="275"/>
      <c r="G162" s="275"/>
      <c r="H162" s="275"/>
      <c r="I162" s="50">
        <f>ROUNDDOWN(H178,-2)</f>
        <v>1868600</v>
      </c>
      <c r="K162" s="494"/>
    </row>
    <row r="163" spans="3:11" ht="28.2" thickTop="1">
      <c r="C163" s="51" t="s">
        <v>1195</v>
      </c>
      <c r="D163" s="52" t="s">
        <v>1196</v>
      </c>
      <c r="E163" s="52" t="s">
        <v>1197</v>
      </c>
      <c r="F163" s="52" t="s">
        <v>1198</v>
      </c>
      <c r="G163" s="52" t="s">
        <v>1199</v>
      </c>
      <c r="H163" s="53" t="s">
        <v>1200</v>
      </c>
      <c r="K163" s="494"/>
    </row>
    <row r="164" spans="3:11" ht="21.6" customHeight="1">
      <c r="C164" s="55" t="s">
        <v>1201</v>
      </c>
      <c r="D164" s="56" t="s">
        <v>1202</v>
      </c>
      <c r="E164" s="57"/>
      <c r="F164" s="57"/>
      <c r="G164" s="57"/>
      <c r="H164" s="58"/>
      <c r="K164" s="494"/>
    </row>
    <row r="165" spans="3:11" ht="21.6" customHeight="1">
      <c r="C165" s="60">
        <v>1</v>
      </c>
      <c r="D165" s="56" t="s">
        <v>5</v>
      </c>
      <c r="E165" s="61" t="s">
        <v>6</v>
      </c>
      <c r="F165" s="62">
        <v>7.4999999999999997E-2</v>
      </c>
      <c r="G165" s="63">
        <f>VLOOKUP(D165,upahbahan,3,FALSE)</f>
        <v>100000</v>
      </c>
      <c r="H165" s="64">
        <f>F165*G165</f>
        <v>7500</v>
      </c>
      <c r="K165" s="494"/>
    </row>
    <row r="166" spans="3:11" ht="21.6" customHeight="1">
      <c r="C166" s="60">
        <v>2</v>
      </c>
      <c r="D166" s="56" t="s">
        <v>8</v>
      </c>
      <c r="E166" s="61" t="s">
        <v>6</v>
      </c>
      <c r="F166" s="62">
        <v>0.15</v>
      </c>
      <c r="G166" s="63">
        <f>VLOOKUP(D166,upahbahan,3,FALSE)</f>
        <v>135000</v>
      </c>
      <c r="H166" s="64">
        <f t="shared" ref="H166:H168" si="16">F166*G166</f>
        <v>20250</v>
      </c>
      <c r="K166" s="494"/>
    </row>
    <row r="167" spans="3:11" ht="21.6" customHeight="1">
      <c r="C167" s="60">
        <v>3</v>
      </c>
      <c r="D167" s="56" t="s">
        <v>18</v>
      </c>
      <c r="E167" s="61" t="s">
        <v>6</v>
      </c>
      <c r="F167" s="62">
        <v>1.4999999999999999E-2</v>
      </c>
      <c r="G167" s="63">
        <f>VLOOKUP(D167,upahbahan,3,FALSE)</f>
        <v>150000</v>
      </c>
      <c r="H167" s="64">
        <f t="shared" si="16"/>
        <v>2250</v>
      </c>
      <c r="K167" s="494"/>
    </row>
    <row r="168" spans="3:11" ht="21.6" customHeight="1">
      <c r="C168" s="60">
        <v>4</v>
      </c>
      <c r="D168" s="56" t="s">
        <v>19</v>
      </c>
      <c r="E168" s="61" t="s">
        <v>6</v>
      </c>
      <c r="F168" s="62">
        <v>5.0000000000000001E-3</v>
      </c>
      <c r="G168" s="63">
        <f>VLOOKUP(D168,upahbahan,3,FALSE)</f>
        <v>160000</v>
      </c>
      <c r="H168" s="64">
        <f t="shared" si="16"/>
        <v>800</v>
      </c>
      <c r="K168" s="494"/>
    </row>
    <row r="169" spans="3:11" ht="21.6" customHeight="1">
      <c r="C169" s="66" t="s">
        <v>1208</v>
      </c>
      <c r="D169" s="67"/>
      <c r="E169" s="67"/>
      <c r="F169" s="142"/>
      <c r="G169" s="153"/>
      <c r="H169" s="64">
        <f>SUM(H165:H168)</f>
        <v>30800</v>
      </c>
      <c r="I169" s="154"/>
      <c r="K169" s="494"/>
    </row>
    <row r="170" spans="3:11" ht="21.6" customHeight="1">
      <c r="C170" s="55" t="s">
        <v>1209</v>
      </c>
      <c r="D170" s="56" t="s">
        <v>1210</v>
      </c>
      <c r="E170" s="57"/>
      <c r="F170" s="57"/>
      <c r="G170" s="57"/>
      <c r="H170" s="58"/>
      <c r="K170" s="494"/>
    </row>
    <row r="171" spans="3:11" ht="21.6" customHeight="1">
      <c r="C171" s="92" t="s">
        <v>1203</v>
      </c>
      <c r="D171" s="72" t="s">
        <v>648</v>
      </c>
      <c r="E171" s="93" t="s">
        <v>62</v>
      </c>
      <c r="F171" s="104">
        <v>1.1000000000000001</v>
      </c>
      <c r="G171" s="63">
        <f>VLOOKUP(D171,upahbahan,3,FALSE)</f>
        <v>1516300</v>
      </c>
      <c r="H171" s="64">
        <f t="shared" ref="H171:H172" si="17">F171*G171</f>
        <v>1667930.0000000002</v>
      </c>
      <c r="K171" s="494"/>
    </row>
    <row r="172" spans="3:11" ht="21.6" customHeight="1">
      <c r="C172" s="92" t="s">
        <v>1204</v>
      </c>
      <c r="D172" s="72" t="s">
        <v>1047</v>
      </c>
      <c r="E172" s="61" t="s">
        <v>1048</v>
      </c>
      <c r="F172" s="62">
        <v>0.05</v>
      </c>
      <c r="G172" s="63">
        <f>VLOOKUP(D172,upahbahan,3,FALSE)</f>
        <v>0</v>
      </c>
      <c r="H172" s="64">
        <f t="shared" si="17"/>
        <v>0</v>
      </c>
      <c r="K172" s="494"/>
    </row>
    <row r="173" spans="3:11" ht="21.6" customHeight="1">
      <c r="C173" s="66" t="s">
        <v>1214</v>
      </c>
      <c r="D173" s="67"/>
      <c r="E173" s="67"/>
      <c r="F173" s="67"/>
      <c r="G173" s="69"/>
      <c r="H173" s="64">
        <f>SUM(H171:H172)</f>
        <v>1667930.0000000002</v>
      </c>
      <c r="K173" s="494"/>
    </row>
    <row r="174" spans="3:11" ht="21.6" customHeight="1">
      <c r="C174" s="167" t="s">
        <v>1215</v>
      </c>
      <c r="D174" s="56" t="s">
        <v>1216</v>
      </c>
      <c r="E174" s="57"/>
      <c r="F174" s="57"/>
      <c r="G174" s="57"/>
      <c r="H174" s="58"/>
      <c r="K174" s="494"/>
    </row>
    <row r="175" spans="3:11" ht="21.6" customHeight="1">
      <c r="C175" s="66" t="s">
        <v>1217</v>
      </c>
      <c r="D175" s="67"/>
      <c r="E175" s="67"/>
      <c r="F175" s="67"/>
      <c r="G175" s="69"/>
      <c r="H175" s="74">
        <v>0</v>
      </c>
      <c r="K175" s="494"/>
    </row>
    <row r="176" spans="3:11" ht="21.6" customHeight="1">
      <c r="C176" s="75" t="s">
        <v>1218</v>
      </c>
      <c r="D176" s="76" t="s">
        <v>1219</v>
      </c>
      <c r="E176" s="77"/>
      <c r="F176" s="77"/>
      <c r="G176" s="78"/>
      <c r="H176" s="64">
        <f>H175+H173+H169</f>
        <v>1698730.0000000002</v>
      </c>
      <c r="K176" s="494"/>
    </row>
    <row r="177" spans="3:11" ht="21.6" customHeight="1">
      <c r="C177" s="75" t="s">
        <v>1220</v>
      </c>
      <c r="D177" s="76" t="s">
        <v>1321</v>
      </c>
      <c r="E177" s="77"/>
      <c r="F177" s="78"/>
      <c r="G177" s="80">
        <f>$M$7</f>
        <v>0.1</v>
      </c>
      <c r="H177" s="64">
        <f>H176*G177</f>
        <v>169873.00000000003</v>
      </c>
      <c r="K177" s="494"/>
    </row>
    <row r="178" spans="3:11" ht="21.6" customHeight="1" thickBot="1">
      <c r="C178" s="81" t="s">
        <v>1221</v>
      </c>
      <c r="D178" s="82" t="s">
        <v>1222</v>
      </c>
      <c r="E178" s="83"/>
      <c r="F178" s="83"/>
      <c r="G178" s="84"/>
      <c r="H178" s="85">
        <f>SUM(H176:H177)</f>
        <v>1868603.0000000002</v>
      </c>
      <c r="K178" s="494"/>
    </row>
    <row r="179" spans="3:11" ht="14.4" thickTop="1">
      <c r="K179" s="494"/>
    </row>
    <row r="180" spans="3:11" ht="14.4" thickBot="1">
      <c r="C180" s="44" t="s">
        <v>3117</v>
      </c>
      <c r="D180" s="149" t="s">
        <v>1532</v>
      </c>
      <c r="E180" s="275"/>
      <c r="F180" s="275"/>
      <c r="G180" s="275"/>
      <c r="H180" s="275"/>
      <c r="I180" s="50">
        <f>ROUNDDOWN(H196,-2)</f>
        <v>1665900</v>
      </c>
      <c r="K180" s="494"/>
    </row>
    <row r="181" spans="3:11" ht="28.2" thickTop="1">
      <c r="C181" s="51" t="s">
        <v>1195</v>
      </c>
      <c r="D181" s="52" t="s">
        <v>1196</v>
      </c>
      <c r="E181" s="52" t="s">
        <v>1197</v>
      </c>
      <c r="F181" s="52" t="s">
        <v>1198</v>
      </c>
      <c r="G181" s="52" t="s">
        <v>1199</v>
      </c>
      <c r="H181" s="53" t="s">
        <v>1200</v>
      </c>
      <c r="K181" s="494"/>
    </row>
    <row r="182" spans="3:11" ht="21.6" customHeight="1">
      <c r="C182" s="55" t="s">
        <v>1201</v>
      </c>
      <c r="D182" s="56" t="s">
        <v>1202</v>
      </c>
      <c r="E182" s="57"/>
      <c r="F182" s="57"/>
      <c r="G182" s="57"/>
      <c r="H182" s="58"/>
      <c r="K182" s="494"/>
    </row>
    <row r="183" spans="3:11" ht="21.6" customHeight="1">
      <c r="C183" s="60">
        <v>1</v>
      </c>
      <c r="D183" s="56" t="s">
        <v>5</v>
      </c>
      <c r="E183" s="61" t="s">
        <v>6</v>
      </c>
      <c r="F183" s="62">
        <v>0.25</v>
      </c>
      <c r="G183" s="63">
        <f>VLOOKUP(D183,upahbahan,3,FALSE)</f>
        <v>100000</v>
      </c>
      <c r="H183" s="64">
        <f t="shared" ref="H183:H186" si="18">F183*G183</f>
        <v>25000</v>
      </c>
      <c r="K183" s="494"/>
    </row>
    <row r="184" spans="3:11" ht="21.6" customHeight="1">
      <c r="C184" s="60">
        <v>2</v>
      </c>
      <c r="D184" s="56" t="s">
        <v>8</v>
      </c>
      <c r="E184" s="61" t="s">
        <v>6</v>
      </c>
      <c r="F184" s="62">
        <v>0.125</v>
      </c>
      <c r="G184" s="63">
        <f>VLOOKUP(D184,upahbahan,3,FALSE)</f>
        <v>135000</v>
      </c>
      <c r="H184" s="64">
        <f t="shared" si="18"/>
        <v>16875</v>
      </c>
      <c r="K184" s="494"/>
    </row>
    <row r="185" spans="3:11" ht="21.6" customHeight="1">
      <c r="C185" s="60">
        <v>3</v>
      </c>
      <c r="D185" s="56" t="s">
        <v>18</v>
      </c>
      <c r="E185" s="61" t="s">
        <v>6</v>
      </c>
      <c r="F185" s="62">
        <v>1.2999999999999999E-2</v>
      </c>
      <c r="G185" s="63">
        <f>VLOOKUP(D185,upahbahan,3,FALSE)</f>
        <v>150000</v>
      </c>
      <c r="H185" s="64">
        <f t="shared" si="18"/>
        <v>1950</v>
      </c>
      <c r="K185" s="494"/>
    </row>
    <row r="186" spans="3:11" ht="21.6" customHeight="1">
      <c r="C186" s="60">
        <v>4</v>
      </c>
      <c r="D186" s="56" t="s">
        <v>19</v>
      </c>
      <c r="E186" s="61" t="s">
        <v>6</v>
      </c>
      <c r="F186" s="62">
        <v>4.0000000000000001E-3</v>
      </c>
      <c r="G186" s="63">
        <f>VLOOKUP(D186,upahbahan,3,FALSE)</f>
        <v>160000</v>
      </c>
      <c r="H186" s="64">
        <f t="shared" si="18"/>
        <v>640</v>
      </c>
      <c r="K186" s="494"/>
    </row>
    <row r="187" spans="3:11" ht="21.6" customHeight="1">
      <c r="C187" s="66" t="s">
        <v>1208</v>
      </c>
      <c r="D187" s="67"/>
      <c r="E187" s="67"/>
      <c r="F187" s="142"/>
      <c r="G187" s="153"/>
      <c r="H187" s="64">
        <f>SUM(H183:H186)</f>
        <v>44465</v>
      </c>
      <c r="I187" s="154"/>
      <c r="K187" s="494"/>
    </row>
    <row r="188" spans="3:11" ht="21.6" customHeight="1">
      <c r="C188" s="55" t="s">
        <v>1209</v>
      </c>
      <c r="D188" s="56" t="s">
        <v>1210</v>
      </c>
      <c r="E188" s="57"/>
      <c r="F188" s="57"/>
      <c r="G188" s="57"/>
      <c r="H188" s="58"/>
      <c r="K188" s="494"/>
    </row>
    <row r="189" spans="3:11" ht="21.6" customHeight="1">
      <c r="C189" s="92" t="s">
        <v>1203</v>
      </c>
      <c r="D189" s="72" t="s">
        <v>646</v>
      </c>
      <c r="E189" s="93" t="s">
        <v>62</v>
      </c>
      <c r="F189" s="104">
        <v>2.1</v>
      </c>
      <c r="G189" s="63">
        <f>VLOOKUP(D189,upahbahan,3,FALSE)</f>
        <v>700000</v>
      </c>
      <c r="H189" s="64">
        <f t="shared" ref="H189:H190" si="19">F189*G189</f>
        <v>1470000</v>
      </c>
      <c r="K189" s="494"/>
    </row>
    <row r="190" spans="3:11" ht="21.6" customHeight="1">
      <c r="C190" s="92" t="s">
        <v>1204</v>
      </c>
      <c r="D190" s="72" t="s">
        <v>1047</v>
      </c>
      <c r="E190" s="61" t="s">
        <v>1048</v>
      </c>
      <c r="F190" s="62">
        <v>0.14299999999999999</v>
      </c>
      <c r="G190" s="63">
        <f>VLOOKUP(D190,upahbahan,3,FALSE)</f>
        <v>0</v>
      </c>
      <c r="H190" s="64">
        <f t="shared" si="19"/>
        <v>0</v>
      </c>
      <c r="K190" s="494"/>
    </row>
    <row r="191" spans="3:11" ht="21.6" customHeight="1">
      <c r="C191" s="66" t="s">
        <v>1214</v>
      </c>
      <c r="D191" s="67"/>
      <c r="E191" s="67"/>
      <c r="F191" s="67"/>
      <c r="G191" s="69"/>
      <c r="H191" s="64">
        <f>SUM(H189:H190)</f>
        <v>1470000</v>
      </c>
      <c r="K191" s="494"/>
    </row>
    <row r="192" spans="3:11" ht="21.6" customHeight="1">
      <c r="C192" s="167" t="s">
        <v>1215</v>
      </c>
      <c r="D192" s="56" t="s">
        <v>1216</v>
      </c>
      <c r="E192" s="57"/>
      <c r="F192" s="57"/>
      <c r="G192" s="57"/>
      <c r="H192" s="58"/>
      <c r="K192" s="494"/>
    </row>
    <row r="193" spans="3:11" ht="21.6" customHeight="1">
      <c r="C193" s="66" t="s">
        <v>1217</v>
      </c>
      <c r="D193" s="67"/>
      <c r="E193" s="67"/>
      <c r="F193" s="67"/>
      <c r="G193" s="69"/>
      <c r="H193" s="74">
        <v>0</v>
      </c>
      <c r="K193" s="494"/>
    </row>
    <row r="194" spans="3:11" ht="21.6" customHeight="1">
      <c r="C194" s="75" t="s">
        <v>1218</v>
      </c>
      <c r="D194" s="76" t="s">
        <v>1219</v>
      </c>
      <c r="E194" s="77"/>
      <c r="F194" s="77"/>
      <c r="G194" s="78"/>
      <c r="H194" s="64">
        <f>H193+H191+H187</f>
        <v>1514465</v>
      </c>
      <c r="K194" s="494"/>
    </row>
    <row r="195" spans="3:11" ht="21.6" customHeight="1">
      <c r="C195" s="75" t="s">
        <v>1220</v>
      </c>
      <c r="D195" s="76" t="s">
        <v>1321</v>
      </c>
      <c r="E195" s="77"/>
      <c r="F195" s="78"/>
      <c r="G195" s="80">
        <f>$M$7</f>
        <v>0.1</v>
      </c>
      <c r="H195" s="64">
        <f>H194*G195</f>
        <v>151446.5</v>
      </c>
      <c r="K195" s="494"/>
    </row>
    <row r="196" spans="3:11" ht="21.6" customHeight="1" thickBot="1">
      <c r="C196" s="81" t="s">
        <v>1221</v>
      </c>
      <c r="D196" s="82" t="s">
        <v>1222</v>
      </c>
      <c r="E196" s="83"/>
      <c r="F196" s="83"/>
      <c r="G196" s="84"/>
      <c r="H196" s="85">
        <f>SUM(H194:H195)</f>
        <v>1665911.5</v>
      </c>
      <c r="K196" s="494"/>
    </row>
    <row r="197" spans="3:11" ht="14.4" thickTop="1">
      <c r="K197" s="494"/>
    </row>
    <row r="198" spans="3:11" ht="15.75" customHeight="1" thickBot="1">
      <c r="C198" s="44" t="s">
        <v>3118</v>
      </c>
      <c r="D198" s="149" t="s">
        <v>1533</v>
      </c>
      <c r="E198" s="479"/>
      <c r="F198" s="479"/>
      <c r="G198" s="479"/>
      <c r="H198" s="479"/>
      <c r="I198" s="50">
        <f>ROUNDDOWN(H216,-2)</f>
        <v>1681800</v>
      </c>
      <c r="K198" s="494"/>
    </row>
    <row r="199" spans="3:11" ht="28.2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  <c r="K199" s="494"/>
    </row>
    <row r="200" spans="3:11" ht="21.6" customHeight="1">
      <c r="C200" s="55" t="s">
        <v>1201</v>
      </c>
      <c r="D200" s="56" t="s">
        <v>1202</v>
      </c>
      <c r="E200" s="57"/>
      <c r="F200" s="57"/>
      <c r="G200" s="57"/>
      <c r="H200" s="58"/>
      <c r="K200" s="494"/>
    </row>
    <row r="201" spans="3:11" ht="21.6" customHeight="1">
      <c r="C201" s="99" t="s">
        <v>1203</v>
      </c>
      <c r="D201" s="56" t="s">
        <v>5</v>
      </c>
      <c r="E201" s="61" t="s">
        <v>6</v>
      </c>
      <c r="F201" s="62">
        <v>0.25</v>
      </c>
      <c r="G201" s="63">
        <f>VLOOKUP(D201,upahbahan,3,FALSE)</f>
        <v>100000</v>
      </c>
      <c r="H201" s="64">
        <f t="shared" ref="H201:H205" si="20">F201*G201</f>
        <v>25000</v>
      </c>
      <c r="K201" s="494"/>
    </row>
    <row r="202" spans="3:11" ht="21.6" customHeight="1">
      <c r="C202" s="99" t="s">
        <v>1204</v>
      </c>
      <c r="D202" s="56" t="s">
        <v>8</v>
      </c>
      <c r="E202" s="61" t="s">
        <v>6</v>
      </c>
      <c r="F202" s="62">
        <v>0.125</v>
      </c>
      <c r="G202" s="63">
        <f>VLOOKUP(D202,upahbahan,3,FALSE)</f>
        <v>135000</v>
      </c>
      <c r="H202" s="64">
        <f t="shared" si="20"/>
        <v>16875</v>
      </c>
      <c r="K202" s="494"/>
    </row>
    <row r="203" spans="3:11" ht="21.6" customHeight="1">
      <c r="C203" s="99" t="s">
        <v>1205</v>
      </c>
      <c r="D203" s="56" t="s">
        <v>14</v>
      </c>
      <c r="E203" s="61" t="s">
        <v>6</v>
      </c>
      <c r="F203" s="62">
        <v>0.1</v>
      </c>
      <c r="G203" s="63">
        <f>VLOOKUP(D203,upahbahan,3,FALSE)</f>
        <v>145000</v>
      </c>
      <c r="H203" s="64">
        <f t="shared" si="20"/>
        <v>14500</v>
      </c>
      <c r="K203" s="494"/>
    </row>
    <row r="204" spans="3:11" ht="21.6" customHeight="1">
      <c r="C204" s="99" t="s">
        <v>1206</v>
      </c>
      <c r="D204" s="56" t="s">
        <v>18</v>
      </c>
      <c r="E204" s="61" t="s">
        <v>6</v>
      </c>
      <c r="F204" s="62">
        <v>1.2999999999999999E-2</v>
      </c>
      <c r="G204" s="63">
        <f>VLOOKUP(D204,upahbahan,3,FALSE)</f>
        <v>150000</v>
      </c>
      <c r="H204" s="64">
        <f t="shared" si="20"/>
        <v>1950</v>
      </c>
      <c r="K204" s="494"/>
    </row>
    <row r="205" spans="3:11" ht="21.6" customHeight="1">
      <c r="C205" s="99" t="s">
        <v>1207</v>
      </c>
      <c r="D205" s="56" t="s">
        <v>19</v>
      </c>
      <c r="E205" s="61" t="s">
        <v>6</v>
      </c>
      <c r="F205" s="62">
        <v>4.0000000000000001E-3</v>
      </c>
      <c r="G205" s="63">
        <f>VLOOKUP(D205,upahbahan,3,FALSE)</f>
        <v>160000</v>
      </c>
      <c r="H205" s="64">
        <f t="shared" si="20"/>
        <v>640</v>
      </c>
      <c r="K205" s="494"/>
    </row>
    <row r="206" spans="3:11" ht="21.6" customHeight="1">
      <c r="C206" s="66" t="s">
        <v>1208</v>
      </c>
      <c r="D206" s="67"/>
      <c r="E206" s="67"/>
      <c r="F206" s="142"/>
      <c r="G206" s="153"/>
      <c r="H206" s="64">
        <f>SUM(H201:H205)</f>
        <v>58965</v>
      </c>
      <c r="I206" s="154"/>
      <c r="K206" s="494"/>
    </row>
    <row r="207" spans="3:11" ht="21.6" customHeight="1">
      <c r="C207" s="55" t="s">
        <v>1209</v>
      </c>
      <c r="D207" s="56" t="s">
        <v>1210</v>
      </c>
      <c r="E207" s="57"/>
      <c r="F207" s="57"/>
      <c r="G207" s="57"/>
      <c r="H207" s="58"/>
      <c r="K207" s="494"/>
    </row>
    <row r="208" spans="3:11" ht="21.6" customHeight="1">
      <c r="C208" s="92" t="s">
        <v>1203</v>
      </c>
      <c r="D208" s="72" t="s">
        <v>646</v>
      </c>
      <c r="E208" s="93" t="s">
        <v>62</v>
      </c>
      <c r="F208" s="104">
        <v>2.1</v>
      </c>
      <c r="G208" s="63">
        <f>VLOOKUP(D208,upahbahan,3,FALSE)</f>
        <v>700000</v>
      </c>
      <c r="H208" s="64">
        <f t="shared" ref="H208:H210" si="21">F208*G208</f>
        <v>1470000</v>
      </c>
      <c r="K208" s="494"/>
    </row>
    <row r="209" spans="3:11" ht="21.6" customHeight="1">
      <c r="C209" s="92" t="s">
        <v>1204</v>
      </c>
      <c r="D209" s="72" t="s">
        <v>1047</v>
      </c>
      <c r="E209" s="61" t="s">
        <v>1048</v>
      </c>
      <c r="F209" s="62">
        <v>0.14299999999999999</v>
      </c>
      <c r="G209" s="63">
        <f>VLOOKUP(D209,upahbahan,3,FALSE)</f>
        <v>0</v>
      </c>
      <c r="H209" s="64">
        <f t="shared" si="21"/>
        <v>0</v>
      </c>
      <c r="K209" s="494"/>
    </row>
    <row r="210" spans="3:11" ht="21.6" customHeight="1">
      <c r="C210" s="92" t="s">
        <v>1205</v>
      </c>
      <c r="D210" s="72" t="s">
        <v>782</v>
      </c>
      <c r="E210" s="61" t="s">
        <v>113</v>
      </c>
      <c r="F210" s="62">
        <v>4</v>
      </c>
      <c r="G210" s="63">
        <f>VLOOKUP(D210,upahbahan,3,FALSE)</f>
        <v>0</v>
      </c>
      <c r="H210" s="64">
        <f t="shared" si="21"/>
        <v>0</v>
      </c>
      <c r="K210" s="494"/>
    </row>
    <row r="211" spans="3:11" ht="21.6" customHeight="1">
      <c r="C211" s="66" t="s">
        <v>1214</v>
      </c>
      <c r="D211" s="67"/>
      <c r="E211" s="67"/>
      <c r="F211" s="67"/>
      <c r="G211" s="69"/>
      <c r="H211" s="64">
        <f>SUM(H208:H210)</f>
        <v>1470000</v>
      </c>
      <c r="K211" s="494"/>
    </row>
    <row r="212" spans="3:11" ht="21.6" customHeight="1">
      <c r="C212" s="167" t="s">
        <v>1215</v>
      </c>
      <c r="D212" s="56" t="s">
        <v>1216</v>
      </c>
      <c r="E212" s="57"/>
      <c r="F212" s="57"/>
      <c r="G212" s="57"/>
      <c r="H212" s="58"/>
      <c r="K212" s="494"/>
    </row>
    <row r="213" spans="3:11" ht="21.6" customHeight="1">
      <c r="C213" s="66" t="s">
        <v>1217</v>
      </c>
      <c r="D213" s="67"/>
      <c r="E213" s="67"/>
      <c r="F213" s="67"/>
      <c r="G213" s="69"/>
      <c r="H213" s="74">
        <v>0</v>
      </c>
      <c r="K213" s="494"/>
    </row>
    <row r="214" spans="3:11" ht="21.6" customHeight="1">
      <c r="C214" s="75" t="s">
        <v>1218</v>
      </c>
      <c r="D214" s="76" t="s">
        <v>1219</v>
      </c>
      <c r="E214" s="77"/>
      <c r="F214" s="77"/>
      <c r="G214" s="78"/>
      <c r="H214" s="64">
        <f>H213+H211+H206</f>
        <v>1528965</v>
      </c>
      <c r="K214" s="494"/>
    </row>
    <row r="215" spans="3:11" ht="21.6" customHeight="1">
      <c r="C215" s="75" t="s">
        <v>1220</v>
      </c>
      <c r="D215" s="76" t="s">
        <v>1321</v>
      </c>
      <c r="E215" s="77"/>
      <c r="F215" s="78"/>
      <c r="G215" s="80">
        <f>$M$7</f>
        <v>0.1</v>
      </c>
      <c r="H215" s="64">
        <f>H214*G215</f>
        <v>152896.5</v>
      </c>
      <c r="K215" s="494"/>
    </row>
    <row r="216" spans="3:11" ht="21.6" customHeight="1" thickBot="1">
      <c r="C216" s="81" t="s">
        <v>1221</v>
      </c>
      <c r="D216" s="82" t="s">
        <v>1222</v>
      </c>
      <c r="E216" s="83"/>
      <c r="F216" s="83"/>
      <c r="G216" s="84"/>
      <c r="H216" s="85">
        <f>SUM(H214:H215)</f>
        <v>1681861.5</v>
      </c>
      <c r="K216" s="494"/>
    </row>
    <row r="217" spans="3:11" ht="14.4" thickTop="1">
      <c r="K217" s="494"/>
    </row>
    <row r="218" spans="3:11" ht="14.4" thickBot="1">
      <c r="C218" s="44" t="s">
        <v>3119</v>
      </c>
      <c r="D218" s="149" t="s">
        <v>1534</v>
      </c>
      <c r="E218" s="149"/>
      <c r="F218" s="149"/>
      <c r="G218" s="149"/>
      <c r="H218" s="149"/>
      <c r="I218" s="50">
        <f>ROUNDDOWN(H234,-2)</f>
        <v>766100</v>
      </c>
      <c r="K218" s="494"/>
    </row>
    <row r="219" spans="3:11" ht="28.2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  <c r="K219" s="494"/>
    </row>
    <row r="220" spans="3:11" ht="21.6" customHeight="1">
      <c r="C220" s="55" t="s">
        <v>1201</v>
      </c>
      <c r="D220" s="56" t="s">
        <v>1202</v>
      </c>
      <c r="E220" s="57"/>
      <c r="F220" s="57"/>
      <c r="G220" s="57"/>
      <c r="H220" s="58"/>
      <c r="K220" s="494"/>
    </row>
    <row r="221" spans="3:11" ht="21.6" customHeight="1">
      <c r="C221" s="99" t="s">
        <v>1203</v>
      </c>
      <c r="D221" s="56" t="s">
        <v>5</v>
      </c>
      <c r="E221" s="61" t="s">
        <v>6</v>
      </c>
      <c r="F221" s="101">
        <v>0.2</v>
      </c>
      <c r="G221" s="63">
        <f>VLOOKUP(D221,upahbahan,3,FALSE)</f>
        <v>100000</v>
      </c>
      <c r="H221" s="64">
        <f>F221*G221</f>
        <v>20000</v>
      </c>
      <c r="K221" s="494"/>
    </row>
    <row r="222" spans="3:11" ht="21.6" customHeight="1">
      <c r="C222" s="99" t="s">
        <v>1204</v>
      </c>
      <c r="D222" s="56" t="s">
        <v>14</v>
      </c>
      <c r="E222" s="61" t="s">
        <v>6</v>
      </c>
      <c r="F222" s="101">
        <v>0.1</v>
      </c>
      <c r="G222" s="63">
        <f>VLOOKUP(D222,upahbahan,3,FALSE)</f>
        <v>145000</v>
      </c>
      <c r="H222" s="64">
        <f t="shared" ref="H222:H224" si="22">F222*G222</f>
        <v>14500</v>
      </c>
      <c r="K222" s="494"/>
    </row>
    <row r="223" spans="3:11" ht="21.6" customHeight="1">
      <c r="C223" s="99" t="s">
        <v>1205</v>
      </c>
      <c r="D223" s="56" t="s">
        <v>18</v>
      </c>
      <c r="E223" s="61" t="s">
        <v>6</v>
      </c>
      <c r="F223" s="101">
        <v>0.01</v>
      </c>
      <c r="G223" s="63">
        <f>VLOOKUP(D223,upahbahan,3,FALSE)</f>
        <v>150000</v>
      </c>
      <c r="H223" s="64">
        <f t="shared" si="22"/>
        <v>1500</v>
      </c>
      <c r="K223" s="494"/>
    </row>
    <row r="224" spans="3:11" ht="21.6" customHeight="1">
      <c r="C224" s="99" t="s">
        <v>1206</v>
      </c>
      <c r="D224" s="56" t="s">
        <v>19</v>
      </c>
      <c r="E224" s="61" t="s">
        <v>6</v>
      </c>
      <c r="F224" s="101">
        <v>3.3E-3</v>
      </c>
      <c r="G224" s="63">
        <f>VLOOKUP(D224,upahbahan,3,FALSE)</f>
        <v>160000</v>
      </c>
      <c r="H224" s="64">
        <f t="shared" si="22"/>
        <v>528</v>
      </c>
      <c r="K224" s="494"/>
    </row>
    <row r="225" spans="3:11" ht="21.6" customHeight="1">
      <c r="C225" s="66" t="s">
        <v>1208</v>
      </c>
      <c r="D225" s="67"/>
      <c r="E225" s="67"/>
      <c r="F225" s="142"/>
      <c r="G225" s="153"/>
      <c r="H225" s="64">
        <f>SUM(H221:H224)</f>
        <v>36528</v>
      </c>
      <c r="I225" s="154"/>
      <c r="K225" s="494"/>
    </row>
    <row r="226" spans="3:11" ht="21.6" customHeight="1">
      <c r="C226" s="55" t="s">
        <v>1209</v>
      </c>
      <c r="D226" s="56" t="s">
        <v>1210</v>
      </c>
      <c r="E226" s="57"/>
      <c r="F226" s="57"/>
      <c r="G226" s="57"/>
      <c r="H226" s="58"/>
      <c r="K226" s="494"/>
    </row>
    <row r="227" spans="3:11" ht="21.6" customHeight="1">
      <c r="C227" s="92" t="s">
        <v>1203</v>
      </c>
      <c r="D227" s="72" t="s">
        <v>654</v>
      </c>
      <c r="E227" s="93" t="s">
        <v>62</v>
      </c>
      <c r="F227" s="104">
        <v>1.1000000000000001</v>
      </c>
      <c r="G227" s="63">
        <f>VLOOKUP(D227,upahbahan,3,FALSE)</f>
        <v>600000</v>
      </c>
      <c r="H227" s="64">
        <f t="shared" ref="H227:H228" si="23">F227*G227</f>
        <v>660000</v>
      </c>
      <c r="K227" s="494"/>
    </row>
    <row r="228" spans="3:11" ht="21.6" customHeight="1">
      <c r="C228" s="92" t="s">
        <v>1204</v>
      </c>
      <c r="D228" s="72" t="s">
        <v>1047</v>
      </c>
      <c r="E228" s="61" t="s">
        <v>1048</v>
      </c>
      <c r="F228" s="62">
        <v>0.14299999999999999</v>
      </c>
      <c r="G228" s="63">
        <f>VLOOKUP(D228,upahbahan,3,FALSE)</f>
        <v>0</v>
      </c>
      <c r="H228" s="64">
        <f t="shared" si="23"/>
        <v>0</v>
      </c>
      <c r="K228" s="494"/>
    </row>
    <row r="229" spans="3:11" ht="21.6" customHeight="1">
      <c r="C229" s="66" t="s">
        <v>1214</v>
      </c>
      <c r="D229" s="67"/>
      <c r="E229" s="67"/>
      <c r="F229" s="67"/>
      <c r="G229" s="69"/>
      <c r="H229" s="64">
        <f>SUM(H227:H228)</f>
        <v>660000</v>
      </c>
      <c r="K229" s="494"/>
    </row>
    <row r="230" spans="3:11" ht="21.6" customHeight="1">
      <c r="C230" s="167" t="s">
        <v>1215</v>
      </c>
      <c r="D230" s="56" t="s">
        <v>1216</v>
      </c>
      <c r="E230" s="57"/>
      <c r="F230" s="57"/>
      <c r="G230" s="57"/>
      <c r="H230" s="58"/>
      <c r="K230" s="494"/>
    </row>
    <row r="231" spans="3:11" ht="21.6" customHeight="1">
      <c r="C231" s="66" t="s">
        <v>1217</v>
      </c>
      <c r="D231" s="67"/>
      <c r="E231" s="67"/>
      <c r="F231" s="67"/>
      <c r="G231" s="69"/>
      <c r="H231" s="74">
        <v>0</v>
      </c>
      <c r="K231" s="494"/>
    </row>
    <row r="232" spans="3:11" ht="21.6" customHeight="1">
      <c r="C232" s="75" t="s">
        <v>1218</v>
      </c>
      <c r="D232" s="76" t="s">
        <v>1219</v>
      </c>
      <c r="E232" s="77"/>
      <c r="F232" s="77"/>
      <c r="G232" s="78"/>
      <c r="H232" s="64">
        <f>H231+H229+H225</f>
        <v>696528</v>
      </c>
      <c r="K232" s="494"/>
    </row>
    <row r="233" spans="3:11" ht="21.6" customHeight="1">
      <c r="C233" s="75" t="s">
        <v>1220</v>
      </c>
      <c r="D233" s="76" t="s">
        <v>1321</v>
      </c>
      <c r="E233" s="77"/>
      <c r="F233" s="78"/>
      <c r="G233" s="80">
        <f>$M$7</f>
        <v>0.1</v>
      </c>
      <c r="H233" s="64">
        <f>H232*G233</f>
        <v>69652.800000000003</v>
      </c>
      <c r="K233" s="494"/>
    </row>
    <row r="234" spans="3:11" ht="21.6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766180.8</v>
      </c>
      <c r="K234" s="494"/>
    </row>
    <row r="235" spans="3:11" ht="14.4" thickTop="1">
      <c r="K235" s="494"/>
    </row>
    <row r="236" spans="3:11" ht="14.4" thickBot="1">
      <c r="C236" s="44" t="s">
        <v>3120</v>
      </c>
      <c r="D236" s="149" t="s">
        <v>1535</v>
      </c>
      <c r="E236" s="149"/>
      <c r="F236" s="149"/>
      <c r="G236" s="149"/>
      <c r="H236" s="149"/>
      <c r="I236" s="50">
        <f>ROUNDDOWN(H254,-2)</f>
        <v>1153800</v>
      </c>
      <c r="K236" s="494"/>
    </row>
    <row r="237" spans="3:11" ht="28.2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21.6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21.6" customHeight="1">
      <c r="C239" s="99" t="s">
        <v>1203</v>
      </c>
      <c r="D239" s="56" t="s">
        <v>5</v>
      </c>
      <c r="E239" s="61" t="s">
        <v>6</v>
      </c>
      <c r="F239" s="62">
        <v>0.25</v>
      </c>
      <c r="G239" s="63">
        <f>VLOOKUP(D239,upahbahan,3,FALSE)</f>
        <v>100000</v>
      </c>
      <c r="H239" s="64">
        <f t="shared" ref="H239:H243" si="24">F239*G239</f>
        <v>25000</v>
      </c>
    </row>
    <row r="240" spans="3:11" ht="21.6" customHeight="1">
      <c r="C240" s="99" t="s">
        <v>1204</v>
      </c>
      <c r="D240" s="56" t="s">
        <v>8</v>
      </c>
      <c r="E240" s="61" t="s">
        <v>6</v>
      </c>
      <c r="F240" s="62">
        <v>0.125</v>
      </c>
      <c r="G240" s="63">
        <f>VLOOKUP(D240,upahbahan,3,FALSE)</f>
        <v>135000</v>
      </c>
      <c r="H240" s="64">
        <f t="shared" si="24"/>
        <v>16875</v>
      </c>
    </row>
    <row r="241" spans="3:9" ht="21.6" customHeight="1">
      <c r="C241" s="99" t="s">
        <v>1205</v>
      </c>
      <c r="D241" s="56" t="s">
        <v>14</v>
      </c>
      <c r="E241" s="61" t="s">
        <v>6</v>
      </c>
      <c r="F241" s="62">
        <v>0.1</v>
      </c>
      <c r="G241" s="63">
        <f>VLOOKUP(D241,upahbahan,3,FALSE)</f>
        <v>145000</v>
      </c>
      <c r="H241" s="64">
        <f t="shared" si="24"/>
        <v>14500</v>
      </c>
    </row>
    <row r="242" spans="3:9" ht="21.6" customHeight="1">
      <c r="C242" s="99" t="s">
        <v>1206</v>
      </c>
      <c r="D242" s="56" t="s">
        <v>18</v>
      </c>
      <c r="E242" s="61" t="s">
        <v>6</v>
      </c>
      <c r="F242" s="62">
        <v>1.2999999999999999E-2</v>
      </c>
      <c r="G242" s="63">
        <f>VLOOKUP(D242,upahbahan,3,FALSE)</f>
        <v>150000</v>
      </c>
      <c r="H242" s="64">
        <f t="shared" si="24"/>
        <v>1950</v>
      </c>
    </row>
    <row r="243" spans="3:9" ht="21.6" customHeight="1">
      <c r="C243" s="99" t="s">
        <v>1207</v>
      </c>
      <c r="D243" s="56" t="s">
        <v>19</v>
      </c>
      <c r="E243" s="61" t="s">
        <v>6</v>
      </c>
      <c r="F243" s="62">
        <v>4.0000000000000001E-3</v>
      </c>
      <c r="G243" s="63">
        <f>VLOOKUP(D243,upahbahan,3,FALSE)</f>
        <v>160000</v>
      </c>
      <c r="H243" s="64">
        <f t="shared" si="24"/>
        <v>640</v>
      </c>
    </row>
    <row r="244" spans="3:9" ht="21.6" customHeight="1">
      <c r="C244" s="66" t="s">
        <v>1208</v>
      </c>
      <c r="D244" s="67"/>
      <c r="E244" s="67"/>
      <c r="F244" s="142"/>
      <c r="G244" s="153"/>
      <c r="H244" s="64">
        <f>SUM(H239:H243)</f>
        <v>58965</v>
      </c>
      <c r="I244" s="154"/>
    </row>
    <row r="245" spans="3:9" ht="21.6" customHeight="1">
      <c r="C245" s="55" t="s">
        <v>1209</v>
      </c>
      <c r="D245" s="56" t="s">
        <v>1210</v>
      </c>
      <c r="E245" s="57"/>
      <c r="F245" s="57"/>
      <c r="G245" s="57"/>
      <c r="H245" s="58"/>
    </row>
    <row r="246" spans="3:9" ht="21.6" customHeight="1">
      <c r="C246" s="92" t="s">
        <v>1203</v>
      </c>
      <c r="D246" s="72" t="s">
        <v>645</v>
      </c>
      <c r="E246" s="93" t="s">
        <v>62</v>
      </c>
      <c r="F246" s="104">
        <v>1.1000000000000001</v>
      </c>
      <c r="G246" s="63">
        <f>VLOOKUP(D246,upahbahan,3,FALSE)</f>
        <v>900000</v>
      </c>
      <c r="H246" s="64">
        <f t="shared" ref="H246:H248" si="25">F246*G246</f>
        <v>990000.00000000012</v>
      </c>
    </row>
    <row r="247" spans="3:9" ht="21.6" customHeight="1">
      <c r="C247" s="92" t="s">
        <v>1204</v>
      </c>
      <c r="D247" s="72" t="s">
        <v>1047</v>
      </c>
      <c r="E247" s="61" t="s">
        <v>1048</v>
      </c>
      <c r="F247" s="62">
        <v>0.14299999999999999</v>
      </c>
      <c r="G247" s="63">
        <f>VLOOKUP(D247,upahbahan,3,FALSE)</f>
        <v>0</v>
      </c>
      <c r="H247" s="64">
        <f t="shared" si="25"/>
        <v>0</v>
      </c>
    </row>
    <row r="248" spans="3:9" ht="21.6" customHeight="1">
      <c r="C248" s="92" t="s">
        <v>1205</v>
      </c>
      <c r="D248" s="72" t="s">
        <v>782</v>
      </c>
      <c r="E248" s="61" t="s">
        <v>113</v>
      </c>
      <c r="F248" s="62">
        <v>4</v>
      </c>
      <c r="G248" s="63">
        <f>VLOOKUP(D248,upahbahan,3,FALSE)</f>
        <v>0</v>
      </c>
      <c r="H248" s="64">
        <f t="shared" si="25"/>
        <v>0</v>
      </c>
    </row>
    <row r="249" spans="3:9" ht="21.6" customHeight="1">
      <c r="C249" s="66" t="s">
        <v>1214</v>
      </c>
      <c r="D249" s="67"/>
      <c r="E249" s="67"/>
      <c r="F249" s="67"/>
      <c r="G249" s="69"/>
      <c r="H249" s="64">
        <f>SUM(H246:H248)</f>
        <v>990000.00000000012</v>
      </c>
    </row>
    <row r="250" spans="3:9" ht="21.6" customHeight="1">
      <c r="C250" s="167" t="s">
        <v>1215</v>
      </c>
      <c r="D250" s="56" t="s">
        <v>1216</v>
      </c>
      <c r="E250" s="57"/>
      <c r="F250" s="57"/>
      <c r="G250" s="57"/>
      <c r="H250" s="58"/>
    </row>
    <row r="251" spans="3:9" ht="21.6" customHeight="1">
      <c r="C251" s="66" t="s">
        <v>1217</v>
      </c>
      <c r="D251" s="67"/>
      <c r="E251" s="67"/>
      <c r="F251" s="67"/>
      <c r="G251" s="69"/>
      <c r="H251" s="74">
        <v>0</v>
      </c>
    </row>
    <row r="252" spans="3:9" ht="21.6" customHeight="1">
      <c r="C252" s="75" t="s">
        <v>1218</v>
      </c>
      <c r="D252" s="76" t="s">
        <v>1219</v>
      </c>
      <c r="E252" s="77"/>
      <c r="F252" s="77"/>
      <c r="G252" s="78"/>
      <c r="H252" s="64">
        <f>H251+H249+H244</f>
        <v>1048965</v>
      </c>
    </row>
    <row r="253" spans="3:9" ht="21.6" customHeight="1">
      <c r="C253" s="75" t="s">
        <v>1220</v>
      </c>
      <c r="D253" s="76" t="s">
        <v>1321</v>
      </c>
      <c r="E253" s="77"/>
      <c r="F253" s="78"/>
      <c r="G253" s="80">
        <f>$M$7</f>
        <v>0.1</v>
      </c>
      <c r="H253" s="64">
        <f>H252*G253</f>
        <v>104896.5</v>
      </c>
    </row>
    <row r="254" spans="3:9" ht="21.6" customHeight="1" thickBot="1">
      <c r="C254" s="81" t="s">
        <v>1221</v>
      </c>
      <c r="D254" s="82" t="s">
        <v>1222</v>
      </c>
      <c r="E254" s="83"/>
      <c r="F254" s="83"/>
      <c r="G254" s="84"/>
      <c r="H254" s="85">
        <f>SUM(H252:H253)</f>
        <v>1153861.5</v>
      </c>
    </row>
    <row r="255" spans="3:9" ht="14.4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1:M118"/>
  <sheetViews>
    <sheetView topLeftCell="A7" zoomScale="90" zoomScaleNormal="90" workbookViewId="0">
      <selection activeCell="D1168" sqref="D1168"/>
    </sheetView>
  </sheetViews>
  <sheetFormatPr defaultColWidth="8.88671875" defaultRowHeight="13.8"/>
  <cols>
    <col min="1" max="2" width="4" style="59" customWidth="1"/>
    <col min="3" max="3" width="8" style="289" customWidth="1"/>
    <col min="4" max="4" width="37" style="45" customWidth="1"/>
    <col min="5" max="5" width="7.33203125" style="45" customWidth="1"/>
    <col min="6" max="6" width="11.44140625" style="45" customWidth="1"/>
    <col min="7" max="7" width="14.44140625" style="45" customWidth="1"/>
    <col min="8" max="8" width="16.44140625" style="45" customWidth="1"/>
    <col min="9" max="9" width="14.6640625" style="45" customWidth="1"/>
    <col min="10" max="10" width="16.109375" style="152" customWidth="1"/>
    <col min="11" max="11" width="11.5546875" style="59" bestFit="1" customWidth="1"/>
    <col min="12" max="16384" width="8.88671875" style="59"/>
  </cols>
  <sheetData>
    <row r="1" spans="3:13" ht="8.1" customHeight="1"/>
    <row r="2" spans="3:13" ht="8.1" customHeight="1"/>
    <row r="3" spans="3:13" ht="21" customHeight="1">
      <c r="C3" s="259" t="s">
        <v>3121</v>
      </c>
      <c r="D3" s="260" t="s">
        <v>6442</v>
      </c>
      <c r="E3" s="47"/>
      <c r="F3" s="47"/>
      <c r="G3" s="47"/>
      <c r="H3" s="47"/>
    </row>
    <row r="4" spans="3:13" ht="18.600000000000001" customHeight="1" thickBot="1">
      <c r="C4" s="126" t="s">
        <v>3122</v>
      </c>
      <c r="D4" s="149" t="s">
        <v>8781</v>
      </c>
      <c r="E4" s="497"/>
      <c r="F4" s="497"/>
      <c r="G4" s="497"/>
      <c r="H4" s="497"/>
      <c r="I4" s="50">
        <f>ROUNDDOWN(H20,-2)</f>
        <v>85100</v>
      </c>
      <c r="K4" s="475"/>
    </row>
    <row r="5" spans="3:13" ht="28.2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19.2" customHeight="1">
      <c r="C6" s="290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19.2" customHeight="1">
      <c r="C7" s="281">
        <v>1</v>
      </c>
      <c r="D7" s="56" t="s">
        <v>5</v>
      </c>
      <c r="E7" s="61" t="s">
        <v>6</v>
      </c>
      <c r="F7" s="101">
        <v>4.2999999999999997E-2</v>
      </c>
      <c r="G7" s="63">
        <f>VLOOKUP(D7,upahbahan,3,FALSE)</f>
        <v>100000</v>
      </c>
      <c r="H7" s="64">
        <f t="shared" ref="H7:H10" si="0">F7*G7</f>
        <v>4300</v>
      </c>
      <c r="J7" s="152" t="s">
        <v>1248</v>
      </c>
      <c r="M7" s="65">
        <v>0.1</v>
      </c>
    </row>
    <row r="8" spans="3:13" ht="19.2" customHeight="1">
      <c r="C8" s="281">
        <v>2</v>
      </c>
      <c r="D8" s="56" t="s">
        <v>14</v>
      </c>
      <c r="E8" s="61" t="s">
        <v>6</v>
      </c>
      <c r="F8" s="101">
        <v>4.2999999999999997E-2</v>
      </c>
      <c r="G8" s="63">
        <f>VLOOKUP(D8,upahbahan,3,FALSE)</f>
        <v>145000</v>
      </c>
      <c r="H8" s="64">
        <f t="shared" si="0"/>
        <v>6234.9999999999991</v>
      </c>
    </row>
    <row r="9" spans="3:13" ht="19.2" customHeight="1">
      <c r="C9" s="281">
        <v>3</v>
      </c>
      <c r="D9" s="56" t="s">
        <v>18</v>
      </c>
      <c r="E9" s="61" t="s">
        <v>6</v>
      </c>
      <c r="F9" s="101">
        <v>4.3E-3</v>
      </c>
      <c r="G9" s="63">
        <f>VLOOKUP(D9,upahbahan,3,FALSE)</f>
        <v>150000</v>
      </c>
      <c r="H9" s="64">
        <f t="shared" si="0"/>
        <v>645</v>
      </c>
    </row>
    <row r="10" spans="3:13" ht="19.2" customHeight="1">
      <c r="C10" s="281">
        <v>4</v>
      </c>
      <c r="D10" s="56" t="s">
        <v>19</v>
      </c>
      <c r="E10" s="61" t="s">
        <v>6</v>
      </c>
      <c r="F10" s="101">
        <v>1.4E-3</v>
      </c>
      <c r="G10" s="63">
        <f>VLOOKUP(D10,upahbahan,3,FALSE)</f>
        <v>160000</v>
      </c>
      <c r="H10" s="64">
        <f t="shared" si="0"/>
        <v>224</v>
      </c>
    </row>
    <row r="11" spans="3:13" ht="19.2" customHeight="1">
      <c r="C11" s="66" t="s">
        <v>1208</v>
      </c>
      <c r="D11" s="67"/>
      <c r="E11" s="67"/>
      <c r="F11" s="142"/>
      <c r="G11" s="153"/>
      <c r="H11" s="64">
        <f>SUM(H7:H10)</f>
        <v>11404</v>
      </c>
      <c r="I11" s="274"/>
    </row>
    <row r="12" spans="3:13" ht="19.2" customHeight="1">
      <c r="C12" s="498" t="s">
        <v>1209</v>
      </c>
      <c r="D12" s="499" t="s">
        <v>1210</v>
      </c>
      <c r="E12" s="57"/>
      <c r="G12" s="57"/>
      <c r="H12" s="500"/>
    </row>
    <row r="13" spans="3:13" ht="19.2" customHeight="1">
      <c r="C13" s="498">
        <v>1</v>
      </c>
      <c r="D13" s="499" t="s">
        <v>809</v>
      </c>
      <c r="E13" s="93" t="s">
        <v>113</v>
      </c>
      <c r="F13" s="501">
        <v>1.1000000000000001</v>
      </c>
      <c r="G13" s="63">
        <f>VLOOKUP(D13,upahbahan,3,FALSE)</f>
        <v>60000</v>
      </c>
      <c r="H13" s="64">
        <f>F13*G13</f>
        <v>66000</v>
      </c>
    </row>
    <row r="14" spans="3:13" ht="19.2" customHeight="1">
      <c r="C14" s="281">
        <v>2</v>
      </c>
      <c r="D14" s="56" t="s">
        <v>1059</v>
      </c>
      <c r="E14" s="61" t="s">
        <v>44</v>
      </c>
      <c r="F14" s="502">
        <v>2</v>
      </c>
      <c r="G14" s="63">
        <f>VLOOKUP(D14,upahbahan,3,FALSE)</f>
        <v>0</v>
      </c>
      <c r="H14" s="64">
        <f t="shared" ref="H14" si="1">F14*G14</f>
        <v>0</v>
      </c>
    </row>
    <row r="15" spans="3:13" ht="19.2" customHeight="1">
      <c r="C15" s="66" t="s">
        <v>1214</v>
      </c>
      <c r="D15" s="67"/>
      <c r="E15" s="67"/>
      <c r="F15" s="67"/>
      <c r="G15" s="69"/>
      <c r="H15" s="64">
        <f>SUM(H13:H14)</f>
        <v>66000</v>
      </c>
    </row>
    <row r="16" spans="3:13" ht="19.2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11" ht="19.2" customHeight="1">
      <c r="C17" s="66" t="s">
        <v>1217</v>
      </c>
      <c r="D17" s="67"/>
      <c r="E17" s="67"/>
      <c r="F17" s="67"/>
      <c r="G17" s="69"/>
      <c r="H17" s="74">
        <v>0</v>
      </c>
    </row>
    <row r="18" spans="3:11" ht="19.2" customHeight="1">
      <c r="C18" s="75" t="s">
        <v>1218</v>
      </c>
      <c r="D18" s="76" t="s">
        <v>1219</v>
      </c>
      <c r="E18" s="77"/>
      <c r="F18" s="77"/>
      <c r="G18" s="78"/>
      <c r="H18" s="64">
        <f>H17+H15+H11</f>
        <v>77404</v>
      </c>
    </row>
    <row r="19" spans="3:11" ht="19.2" customHeight="1">
      <c r="C19" s="75" t="s">
        <v>1220</v>
      </c>
      <c r="D19" s="76" t="s">
        <v>1321</v>
      </c>
      <c r="E19" s="77"/>
      <c r="F19" s="78"/>
      <c r="G19" s="80">
        <f>$M$7</f>
        <v>0.1</v>
      </c>
      <c r="H19" s="64">
        <f>H18*G19</f>
        <v>7740.4000000000005</v>
      </c>
    </row>
    <row r="20" spans="3:11" ht="19.2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85144.4</v>
      </c>
    </row>
    <row r="21" spans="3:11" ht="14.4" thickTop="1">
      <c r="C21" s="307"/>
      <c r="D21" s="90"/>
      <c r="E21" s="90"/>
      <c r="F21" s="90"/>
      <c r="G21" s="90"/>
      <c r="H21" s="91"/>
    </row>
    <row r="22" spans="3:11" ht="14.4" thickBot="1">
      <c r="C22" s="126" t="s">
        <v>3123</v>
      </c>
      <c r="D22" s="149" t="s">
        <v>1536</v>
      </c>
      <c r="E22" s="497"/>
      <c r="F22" s="497"/>
      <c r="G22" s="497"/>
      <c r="H22" s="497"/>
      <c r="I22" s="50">
        <f>ROUNDDOWN(H38,-2)</f>
        <v>12500</v>
      </c>
      <c r="K22" s="475"/>
    </row>
    <row r="23" spans="3:11" ht="28.2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  <c r="K23" s="475"/>
    </row>
    <row r="24" spans="3:11" ht="19.2" customHeight="1">
      <c r="C24" s="290" t="s">
        <v>1201</v>
      </c>
      <c r="D24" s="56" t="s">
        <v>1202</v>
      </c>
      <c r="E24" s="57"/>
      <c r="F24" s="57"/>
      <c r="G24" s="57"/>
      <c r="H24" s="58"/>
      <c r="K24" s="475"/>
    </row>
    <row r="25" spans="3:11" ht="19.2" customHeight="1">
      <c r="C25" s="281">
        <v>1</v>
      </c>
      <c r="D25" s="56" t="s">
        <v>5</v>
      </c>
      <c r="E25" s="61" t="s">
        <v>6</v>
      </c>
      <c r="F25" s="101">
        <v>4.2999999999999997E-2</v>
      </c>
      <c r="G25" s="63">
        <f>VLOOKUP(D25,upahbahan,3,FALSE)</f>
        <v>100000</v>
      </c>
      <c r="H25" s="64">
        <f t="shared" ref="H25:H28" si="2">F25*G25</f>
        <v>4300</v>
      </c>
      <c r="K25" s="475"/>
    </row>
    <row r="26" spans="3:11" ht="19.2" customHeight="1">
      <c r="C26" s="281">
        <v>2</v>
      </c>
      <c r="D26" s="56" t="s">
        <v>14</v>
      </c>
      <c r="E26" s="61" t="s">
        <v>6</v>
      </c>
      <c r="F26" s="101">
        <v>4.2999999999999997E-2</v>
      </c>
      <c r="G26" s="63">
        <f>VLOOKUP(D26,upahbahan,3,FALSE)</f>
        <v>145000</v>
      </c>
      <c r="H26" s="64">
        <f t="shared" si="2"/>
        <v>6234.9999999999991</v>
      </c>
      <c r="K26" s="475"/>
    </row>
    <row r="27" spans="3:11" ht="19.2" customHeight="1">
      <c r="C27" s="281">
        <v>3</v>
      </c>
      <c r="D27" s="56" t="s">
        <v>18</v>
      </c>
      <c r="E27" s="61" t="s">
        <v>6</v>
      </c>
      <c r="F27" s="101">
        <v>4.3E-3</v>
      </c>
      <c r="G27" s="63">
        <f>VLOOKUP(D27,upahbahan,3,FALSE)</f>
        <v>150000</v>
      </c>
      <c r="H27" s="64">
        <f t="shared" si="2"/>
        <v>645</v>
      </c>
      <c r="K27" s="475"/>
    </row>
    <row r="28" spans="3:11" ht="19.2" customHeight="1">
      <c r="C28" s="281">
        <v>4</v>
      </c>
      <c r="D28" s="56" t="s">
        <v>19</v>
      </c>
      <c r="E28" s="61" t="s">
        <v>6</v>
      </c>
      <c r="F28" s="101">
        <v>1.4E-3</v>
      </c>
      <c r="G28" s="63">
        <f>VLOOKUP(D28,upahbahan,3,FALSE)</f>
        <v>160000</v>
      </c>
      <c r="H28" s="64">
        <f t="shared" si="2"/>
        <v>224</v>
      </c>
      <c r="K28" s="475"/>
    </row>
    <row r="29" spans="3:11" ht="19.2" customHeight="1">
      <c r="C29" s="66" t="s">
        <v>1208</v>
      </c>
      <c r="D29" s="67"/>
      <c r="E29" s="67"/>
      <c r="F29" s="142"/>
      <c r="G29" s="153"/>
      <c r="H29" s="64">
        <f>SUM(H25:H28)</f>
        <v>11404</v>
      </c>
      <c r="I29" s="274"/>
      <c r="K29" s="475"/>
    </row>
    <row r="30" spans="3:11" ht="19.2" customHeight="1">
      <c r="C30" s="498" t="s">
        <v>1209</v>
      </c>
      <c r="D30" s="499" t="s">
        <v>1210</v>
      </c>
      <c r="E30" s="57"/>
      <c r="G30" s="57"/>
      <c r="H30" s="500"/>
      <c r="K30" s="475"/>
    </row>
    <row r="31" spans="3:11" ht="19.2" customHeight="1">
      <c r="C31" s="498">
        <v>1</v>
      </c>
      <c r="D31" s="499" t="s">
        <v>787</v>
      </c>
      <c r="E31" s="93" t="s">
        <v>62</v>
      </c>
      <c r="F31" s="501">
        <v>1.1000000000000001</v>
      </c>
      <c r="G31" s="63">
        <f>VLOOKUP(D31,upahbahan,3,FALSE)</f>
        <v>0</v>
      </c>
      <c r="H31" s="64">
        <f t="shared" ref="H31:H32" si="3">F31*G31</f>
        <v>0</v>
      </c>
      <c r="K31" s="475"/>
    </row>
    <row r="32" spans="3:11" ht="19.2" customHeight="1">
      <c r="C32" s="281">
        <v>2</v>
      </c>
      <c r="D32" s="56" t="s">
        <v>1047</v>
      </c>
      <c r="E32" s="61" t="s">
        <v>1048</v>
      </c>
      <c r="F32" s="502">
        <v>0.05</v>
      </c>
      <c r="G32" s="63">
        <f>VLOOKUP(D32,upahbahan,3,FALSE)</f>
        <v>0</v>
      </c>
      <c r="H32" s="64">
        <f t="shared" si="3"/>
        <v>0</v>
      </c>
      <c r="K32" s="475"/>
    </row>
    <row r="33" spans="3:11" ht="19.2" customHeight="1">
      <c r="C33" s="66" t="s">
        <v>1214</v>
      </c>
      <c r="D33" s="67"/>
      <c r="E33" s="67"/>
      <c r="F33" s="67"/>
      <c r="G33" s="69"/>
      <c r="H33" s="64">
        <f>SUM(H31:H32)</f>
        <v>0</v>
      </c>
      <c r="K33" s="475"/>
    </row>
    <row r="34" spans="3:11" ht="19.2" customHeight="1">
      <c r="C34" s="167" t="s">
        <v>1215</v>
      </c>
      <c r="D34" s="56" t="s">
        <v>1216</v>
      </c>
      <c r="E34" s="57"/>
      <c r="F34" s="57"/>
      <c r="G34" s="57"/>
      <c r="H34" s="58"/>
      <c r="K34" s="475"/>
    </row>
    <row r="35" spans="3:11" ht="19.2" customHeight="1">
      <c r="C35" s="66" t="s">
        <v>1217</v>
      </c>
      <c r="D35" s="67"/>
      <c r="E35" s="67"/>
      <c r="F35" s="67"/>
      <c r="G35" s="69"/>
      <c r="H35" s="74">
        <v>0</v>
      </c>
      <c r="K35" s="475"/>
    </row>
    <row r="36" spans="3:11" ht="19.2" customHeight="1">
      <c r="C36" s="75" t="s">
        <v>1218</v>
      </c>
      <c r="D36" s="76" t="s">
        <v>1219</v>
      </c>
      <c r="E36" s="77"/>
      <c r="F36" s="77"/>
      <c r="G36" s="78"/>
      <c r="H36" s="64">
        <f>H35+H33+H29</f>
        <v>11404</v>
      </c>
      <c r="K36" s="475"/>
    </row>
    <row r="37" spans="3:11" ht="19.2" customHeight="1">
      <c r="C37" s="75" t="s">
        <v>1220</v>
      </c>
      <c r="D37" s="76" t="s">
        <v>1321</v>
      </c>
      <c r="E37" s="77"/>
      <c r="F37" s="78"/>
      <c r="G37" s="80">
        <f>$M$7</f>
        <v>0.1</v>
      </c>
      <c r="H37" s="64">
        <f>H36*G37</f>
        <v>1140.4000000000001</v>
      </c>
      <c r="K37" s="475"/>
    </row>
    <row r="38" spans="3:11" ht="19.2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12544.4</v>
      </c>
      <c r="K38" s="475"/>
    </row>
    <row r="39" spans="3:11" ht="14.4" thickTop="1">
      <c r="C39" s="307"/>
      <c r="D39" s="90"/>
      <c r="E39" s="90"/>
      <c r="F39" s="90"/>
      <c r="G39" s="90"/>
      <c r="H39" s="91"/>
      <c r="K39" s="475"/>
    </row>
    <row r="40" spans="3:11" ht="14.4" thickBot="1">
      <c r="C40" s="126" t="s">
        <v>3124</v>
      </c>
      <c r="D40" s="48" t="s">
        <v>1537</v>
      </c>
      <c r="E40" s="49"/>
      <c r="F40" s="49"/>
      <c r="G40" s="49"/>
      <c r="H40" s="49"/>
      <c r="I40" s="50">
        <f>ROUNDDOWN(H55,-2)</f>
        <v>22100</v>
      </c>
      <c r="J40" s="152" t="s">
        <v>6451</v>
      </c>
      <c r="K40" s="475" t="s">
        <v>6571</v>
      </c>
    </row>
    <row r="41" spans="3:11" ht="28.2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  <c r="K41" s="475"/>
    </row>
    <row r="42" spans="3:11" ht="19.8" customHeight="1">
      <c r="C42" s="290" t="s">
        <v>1201</v>
      </c>
      <c r="D42" s="56" t="s">
        <v>1202</v>
      </c>
      <c r="E42" s="57"/>
      <c r="F42" s="57"/>
      <c r="G42" s="57"/>
      <c r="H42" s="58"/>
      <c r="K42" s="101">
        <v>0.04</v>
      </c>
    </row>
    <row r="43" spans="3:11" ht="19.8" customHeight="1">
      <c r="C43" s="281">
        <v>1</v>
      </c>
      <c r="D43" s="56" t="s">
        <v>5</v>
      </c>
      <c r="E43" s="61" t="s">
        <v>6</v>
      </c>
      <c r="F43" s="101">
        <v>1.6400000000000001E-2</v>
      </c>
      <c r="G43" s="63">
        <f>VLOOKUP(D43,upahbahan,3,FALSE)</f>
        <v>100000</v>
      </c>
      <c r="H43" s="64">
        <f t="shared" ref="H43:H45" si="4">F43*G43</f>
        <v>1640.0000000000002</v>
      </c>
      <c r="K43" s="101">
        <v>0.02</v>
      </c>
    </row>
    <row r="44" spans="3:11" ht="19.8" customHeight="1">
      <c r="C44" s="281">
        <v>2</v>
      </c>
      <c r="D44" s="56" t="s">
        <v>9</v>
      </c>
      <c r="E44" s="61" t="s">
        <v>6</v>
      </c>
      <c r="F44" s="101">
        <v>1.6400000000000001E-2</v>
      </c>
      <c r="G44" s="63">
        <f>VLOOKUP(D44,upahbahan,3,FALSE)</f>
        <v>135000</v>
      </c>
      <c r="H44" s="64">
        <f t="shared" si="4"/>
        <v>2214</v>
      </c>
      <c r="K44" s="101">
        <v>2E-3</v>
      </c>
    </row>
    <row r="45" spans="3:11" ht="19.8" customHeight="1">
      <c r="C45" s="281">
        <v>4</v>
      </c>
      <c r="D45" s="56" t="s">
        <v>19</v>
      </c>
      <c r="E45" s="61" t="s">
        <v>6</v>
      </c>
      <c r="F45" s="101">
        <v>1.6000000000000001E-3</v>
      </c>
      <c r="G45" s="63">
        <f>VLOOKUP(D45,upahbahan,3,FALSE)</f>
        <v>160000</v>
      </c>
      <c r="H45" s="64">
        <f t="shared" si="4"/>
        <v>256</v>
      </c>
      <c r="K45" s="475"/>
    </row>
    <row r="46" spans="3:11" ht="19.8" customHeight="1">
      <c r="C46" s="66" t="s">
        <v>1208</v>
      </c>
      <c r="D46" s="67"/>
      <c r="E46" s="67"/>
      <c r="F46" s="142"/>
      <c r="G46" s="153"/>
      <c r="H46" s="64">
        <f>SUM(H43:H45)</f>
        <v>4110</v>
      </c>
      <c r="I46" s="274"/>
      <c r="K46" s="475"/>
    </row>
    <row r="47" spans="3:11" ht="19.8" customHeight="1">
      <c r="C47" s="290" t="s">
        <v>1209</v>
      </c>
      <c r="D47" s="56" t="s">
        <v>1210</v>
      </c>
      <c r="E47" s="57"/>
      <c r="F47" s="57"/>
      <c r="G47" s="57"/>
      <c r="H47" s="58"/>
      <c r="K47" s="475"/>
    </row>
    <row r="48" spans="3:11" ht="19.8" customHeight="1">
      <c r="C48" s="281">
        <v>1</v>
      </c>
      <c r="D48" s="56" t="s">
        <v>254</v>
      </c>
      <c r="E48" s="61" t="s">
        <v>65</v>
      </c>
      <c r="F48" s="62">
        <v>0.24</v>
      </c>
      <c r="G48" s="63">
        <f>VLOOKUP(D48,upahbahan,3,FALSE)</f>
        <v>66600</v>
      </c>
      <c r="H48" s="64">
        <f t="shared" ref="H48" si="5">F48*G48</f>
        <v>15984</v>
      </c>
      <c r="K48" s="62">
        <v>0.4</v>
      </c>
    </row>
    <row r="49" spans="3:11" ht="19.8" customHeight="1">
      <c r="C49" s="66" t="s">
        <v>1214</v>
      </c>
      <c r="D49" s="67"/>
      <c r="E49" s="67"/>
      <c r="F49" s="67"/>
      <c r="G49" s="69"/>
      <c r="H49" s="64">
        <f>SUM(H48)</f>
        <v>15984</v>
      </c>
      <c r="K49" s="475"/>
    </row>
    <row r="50" spans="3:11" ht="19.8" customHeight="1">
      <c r="C50" s="290" t="s">
        <v>1215</v>
      </c>
      <c r="D50" s="56" t="s">
        <v>1216</v>
      </c>
      <c r="E50" s="57"/>
      <c r="F50" s="57"/>
      <c r="G50" s="57"/>
      <c r="H50" s="58"/>
      <c r="K50" s="475"/>
    </row>
    <row r="51" spans="3:11" ht="19.8" customHeight="1">
      <c r="C51" s="281">
        <v>1</v>
      </c>
      <c r="D51" s="56" t="s">
        <v>3125</v>
      </c>
      <c r="E51" s="61" t="s">
        <v>2396</v>
      </c>
      <c r="F51" s="62">
        <v>1.6400000000000001E-2</v>
      </c>
      <c r="G51" s="63">
        <f>VLOOKUP(D51,upahbahan,3,FALSE)</f>
        <v>3125</v>
      </c>
      <c r="H51" s="64">
        <f t="shared" ref="H51" si="6">F51*G51</f>
        <v>51.250000000000007</v>
      </c>
      <c r="K51" s="62">
        <v>0.17</v>
      </c>
    </row>
    <row r="52" spans="3:11" ht="19.8" customHeight="1">
      <c r="C52" s="503" t="s">
        <v>1217</v>
      </c>
      <c r="D52" s="504"/>
      <c r="E52" s="504"/>
      <c r="F52" s="504"/>
      <c r="G52" s="505"/>
      <c r="H52" s="64">
        <f>SUM(H51)</f>
        <v>51.250000000000007</v>
      </c>
      <c r="K52" s="475"/>
    </row>
    <row r="53" spans="3:11" ht="19.8" customHeight="1">
      <c r="C53" s="506" t="s">
        <v>1218</v>
      </c>
      <c r="D53" s="507" t="s">
        <v>1538</v>
      </c>
      <c r="E53" s="508"/>
      <c r="F53" s="508"/>
      <c r="G53" s="509"/>
      <c r="H53" s="510">
        <f>H46+H49+H52</f>
        <v>20145.25</v>
      </c>
      <c r="K53" s="475"/>
    </row>
    <row r="54" spans="3:11" ht="19.8" customHeight="1">
      <c r="C54" s="75" t="s">
        <v>1220</v>
      </c>
      <c r="D54" s="76" t="s">
        <v>1321</v>
      </c>
      <c r="E54" s="77"/>
      <c r="F54" s="78"/>
      <c r="G54" s="80">
        <f>$M$7</f>
        <v>0.1</v>
      </c>
      <c r="H54" s="64">
        <f>H53*G54</f>
        <v>2014.5250000000001</v>
      </c>
      <c r="K54" s="475"/>
    </row>
    <row r="55" spans="3:11" ht="19.8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22159.775000000001</v>
      </c>
      <c r="K55" s="475"/>
    </row>
    <row r="56" spans="3:11" ht="14.4" thickTop="1">
      <c r="C56" s="307"/>
      <c r="D56" s="90"/>
      <c r="E56" s="90"/>
      <c r="F56" s="90"/>
      <c r="G56" s="90"/>
      <c r="H56" s="91"/>
      <c r="K56" s="475"/>
    </row>
    <row r="57" spans="3:11" ht="14.4" thickBot="1">
      <c r="C57" s="126" t="s">
        <v>3126</v>
      </c>
      <c r="D57" s="48" t="s">
        <v>1539</v>
      </c>
      <c r="E57" s="49"/>
      <c r="F57" s="49"/>
      <c r="G57" s="49"/>
      <c r="H57" s="49"/>
      <c r="I57" s="50">
        <f>ROUNDDOWN(H76,-2)</f>
        <v>488600</v>
      </c>
      <c r="J57" s="152" t="s">
        <v>6451</v>
      </c>
      <c r="K57" s="475" t="s">
        <v>6572</v>
      </c>
    </row>
    <row r="58" spans="3:11" ht="28.2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K58" s="475"/>
    </row>
    <row r="59" spans="3:11" ht="19.2" customHeight="1">
      <c r="C59" s="290" t="s">
        <v>1201</v>
      </c>
      <c r="D59" s="56" t="s">
        <v>1202</v>
      </c>
      <c r="E59" s="57"/>
      <c r="F59" s="57"/>
      <c r="G59" s="57"/>
      <c r="H59" s="58"/>
      <c r="K59" s="475"/>
    </row>
    <row r="60" spans="3:11" ht="19.2" customHeight="1">
      <c r="C60" s="281">
        <v>1</v>
      </c>
      <c r="D60" s="56" t="s">
        <v>5</v>
      </c>
      <c r="E60" s="61" t="s">
        <v>6</v>
      </c>
      <c r="F60" s="101">
        <v>0.4551</v>
      </c>
      <c r="G60" s="63">
        <f>VLOOKUP(D60,upahbahan,3,FALSE)</f>
        <v>100000</v>
      </c>
      <c r="H60" s="64">
        <f t="shared" ref="H60:H63" si="7">F60*G60</f>
        <v>45510</v>
      </c>
      <c r="K60" s="101">
        <v>0.3</v>
      </c>
    </row>
    <row r="61" spans="3:11" ht="19.2" customHeight="1">
      <c r="C61" s="281">
        <v>2</v>
      </c>
      <c r="D61" s="56" t="s">
        <v>11</v>
      </c>
      <c r="E61" s="61" t="s">
        <v>6</v>
      </c>
      <c r="F61" s="101">
        <v>0.22750000000000001</v>
      </c>
      <c r="G61" s="63">
        <f>VLOOKUP(D61,upahbahan,3,FALSE)</f>
        <v>145000</v>
      </c>
      <c r="H61" s="64">
        <f t="shared" si="7"/>
        <v>32987.5</v>
      </c>
      <c r="K61" s="101">
        <v>0.6</v>
      </c>
    </row>
    <row r="62" spans="3:11" ht="19.2" customHeight="1">
      <c r="C62" s="281">
        <v>3</v>
      </c>
      <c r="D62" s="56" t="s">
        <v>18</v>
      </c>
      <c r="E62" s="61" t="s">
        <v>6</v>
      </c>
      <c r="F62" s="101">
        <v>2.2800000000000001E-2</v>
      </c>
      <c r="G62" s="63">
        <f>VLOOKUP(D62,upahbahan,3,FALSE)</f>
        <v>150000</v>
      </c>
      <c r="H62" s="64">
        <f t="shared" si="7"/>
        <v>3420</v>
      </c>
      <c r="K62" s="101">
        <v>0.06</v>
      </c>
    </row>
    <row r="63" spans="3:11" ht="19.2" customHeight="1">
      <c r="C63" s="281">
        <v>4</v>
      </c>
      <c r="D63" s="56" t="s">
        <v>19</v>
      </c>
      <c r="E63" s="61" t="s">
        <v>6</v>
      </c>
      <c r="F63" s="101">
        <v>7.6E-3</v>
      </c>
      <c r="G63" s="63">
        <f>VLOOKUP(D63,upahbahan,3,FALSE)</f>
        <v>160000</v>
      </c>
      <c r="H63" s="64">
        <f t="shared" si="7"/>
        <v>1216</v>
      </c>
      <c r="K63" s="101">
        <v>0.02</v>
      </c>
    </row>
    <row r="64" spans="3:11" ht="19.2" customHeight="1">
      <c r="C64" s="66" t="s">
        <v>1208</v>
      </c>
      <c r="D64" s="67"/>
      <c r="E64" s="67"/>
      <c r="F64" s="142"/>
      <c r="G64" s="153"/>
      <c r="H64" s="64">
        <f>SUM(H60:H63)</f>
        <v>83133.5</v>
      </c>
      <c r="I64" s="274"/>
      <c r="K64" s="475"/>
    </row>
    <row r="65" spans="3:11" ht="19.2" customHeight="1">
      <c r="C65" s="290" t="s">
        <v>1209</v>
      </c>
      <c r="D65" s="56" t="s">
        <v>1210</v>
      </c>
      <c r="E65" s="57"/>
      <c r="F65" s="57"/>
      <c r="G65" s="57"/>
      <c r="H65" s="58"/>
      <c r="K65" s="475"/>
    </row>
    <row r="66" spans="3:11" ht="19.2" customHeight="1">
      <c r="C66" s="306" t="s">
        <v>1203</v>
      </c>
      <c r="D66" s="56" t="s">
        <v>276</v>
      </c>
      <c r="E66" s="93" t="s">
        <v>113</v>
      </c>
      <c r="F66" s="104">
        <v>4.8</v>
      </c>
      <c r="G66" s="63">
        <f>VLOOKUP(D66,upahbahan,3,FALSE)</f>
        <v>42000</v>
      </c>
      <c r="H66" s="64">
        <f t="shared" ref="H66:H69" si="8">F66*G66</f>
        <v>201600</v>
      </c>
      <c r="K66" s="475"/>
    </row>
    <row r="67" spans="3:11" ht="19.2" customHeight="1">
      <c r="C67" s="306" t="s">
        <v>1204</v>
      </c>
      <c r="D67" s="56" t="s">
        <v>273</v>
      </c>
      <c r="E67" s="93" t="s">
        <v>113</v>
      </c>
      <c r="F67" s="104">
        <v>9.9</v>
      </c>
      <c r="G67" s="63">
        <f>VLOOKUP(D67,upahbahan,3,FALSE)</f>
        <v>15500</v>
      </c>
      <c r="H67" s="64">
        <f t="shared" si="8"/>
        <v>153450</v>
      </c>
      <c r="K67" s="475"/>
    </row>
    <row r="68" spans="3:11" ht="19.2" customHeight="1">
      <c r="C68" s="306" t="s">
        <v>1205</v>
      </c>
      <c r="D68" s="56" t="s">
        <v>581</v>
      </c>
      <c r="E68" s="93" t="s">
        <v>65</v>
      </c>
      <c r="F68" s="104">
        <v>0.1</v>
      </c>
      <c r="G68" s="63">
        <f>VLOOKUP(D68,upahbahan,3,FALSE)</f>
        <v>26000</v>
      </c>
      <c r="H68" s="64">
        <f t="shared" si="8"/>
        <v>2600</v>
      </c>
      <c r="K68" s="475"/>
    </row>
    <row r="69" spans="3:11" ht="19.2" customHeight="1">
      <c r="C69" s="306" t="s">
        <v>1206</v>
      </c>
      <c r="D69" s="56" t="s">
        <v>254</v>
      </c>
      <c r="E69" s="61" t="s">
        <v>65</v>
      </c>
      <c r="F69" s="62">
        <v>0.05</v>
      </c>
      <c r="G69" s="63">
        <f>VLOOKUP(D69,upahbahan,3,FALSE)</f>
        <v>66600</v>
      </c>
      <c r="H69" s="64">
        <f t="shared" si="8"/>
        <v>3330</v>
      </c>
      <c r="K69" s="475"/>
    </row>
    <row r="70" spans="3:11" ht="19.2" customHeight="1">
      <c r="C70" s="66" t="s">
        <v>1214</v>
      </c>
      <c r="D70" s="67"/>
      <c r="E70" s="67"/>
      <c r="F70" s="67"/>
      <c r="G70" s="69"/>
      <c r="H70" s="64">
        <f>SUM(H66:H69)</f>
        <v>360980</v>
      </c>
      <c r="K70" s="475"/>
    </row>
    <row r="71" spans="3:11" ht="19.2" customHeight="1">
      <c r="C71" s="290" t="s">
        <v>1215</v>
      </c>
      <c r="D71" s="56" t="s">
        <v>1216</v>
      </c>
      <c r="E71" s="57"/>
      <c r="F71" s="57"/>
      <c r="G71" s="57"/>
      <c r="H71" s="58"/>
      <c r="K71" s="475"/>
    </row>
    <row r="72" spans="3:11" ht="19.2" customHeight="1">
      <c r="C72" s="306">
        <v>1</v>
      </c>
      <c r="D72" s="56" t="s">
        <v>2452</v>
      </c>
      <c r="E72" s="61" t="s">
        <v>65</v>
      </c>
      <c r="F72" s="62">
        <v>0.05</v>
      </c>
      <c r="G72" s="63">
        <f>VLOOKUP(D72,upahbahan,3,FALSE)</f>
        <v>3125</v>
      </c>
      <c r="H72" s="64">
        <f t="shared" ref="H72" si="9">F72*G72</f>
        <v>156.25</v>
      </c>
      <c r="K72" s="475"/>
    </row>
    <row r="73" spans="3:11" ht="19.2" customHeight="1">
      <c r="C73" s="66" t="s">
        <v>1217</v>
      </c>
      <c r="D73" s="67"/>
      <c r="E73" s="67"/>
      <c r="F73" s="67"/>
      <c r="G73" s="69"/>
      <c r="H73" s="74">
        <f>SUM(H72)</f>
        <v>156.25</v>
      </c>
      <c r="K73" s="475"/>
    </row>
    <row r="74" spans="3:11" ht="19.2" customHeight="1">
      <c r="C74" s="75" t="s">
        <v>1218</v>
      </c>
      <c r="D74" s="76" t="s">
        <v>1219</v>
      </c>
      <c r="E74" s="77"/>
      <c r="F74" s="77"/>
      <c r="G74" s="78"/>
      <c r="H74" s="64">
        <f>H73+H70+H64</f>
        <v>444269.75</v>
      </c>
      <c r="K74" s="475"/>
    </row>
    <row r="75" spans="3:11" ht="19.2" customHeight="1">
      <c r="C75" s="75" t="s">
        <v>1220</v>
      </c>
      <c r="D75" s="76" t="s">
        <v>1321</v>
      </c>
      <c r="E75" s="77"/>
      <c r="F75" s="78"/>
      <c r="G75" s="80">
        <f>$M$7</f>
        <v>0.1</v>
      </c>
      <c r="H75" s="64">
        <f>H74*G75</f>
        <v>44426.975000000006</v>
      </c>
      <c r="K75" s="475"/>
    </row>
    <row r="76" spans="3:11" ht="19.2" customHeight="1" thickBot="1">
      <c r="C76" s="81" t="s">
        <v>1221</v>
      </c>
      <c r="D76" s="82" t="s">
        <v>1222</v>
      </c>
      <c r="E76" s="83"/>
      <c r="F76" s="83"/>
      <c r="G76" s="84"/>
      <c r="H76" s="85">
        <f>SUM(H74:H75)</f>
        <v>488696.72499999998</v>
      </c>
      <c r="K76" s="475"/>
    </row>
    <row r="77" spans="3:11" ht="14.4" thickTop="1">
      <c r="C77" s="307"/>
      <c r="D77" s="90"/>
      <c r="E77" s="90"/>
      <c r="F77" s="90"/>
      <c r="G77" s="90"/>
      <c r="H77" s="91"/>
      <c r="K77" s="475"/>
    </row>
    <row r="78" spans="3:11" ht="15.75" customHeight="1" thickBot="1">
      <c r="C78" s="126" t="s">
        <v>3127</v>
      </c>
      <c r="D78" s="47" t="s">
        <v>1540</v>
      </c>
      <c r="E78" s="88"/>
      <c r="F78" s="88"/>
      <c r="G78" s="88"/>
      <c r="H78" s="88"/>
      <c r="I78" s="50">
        <f>ROUNDDOWN(H98,-2)</f>
        <v>302000</v>
      </c>
      <c r="J78" s="152" t="s">
        <v>6451</v>
      </c>
      <c r="K78" s="475" t="s">
        <v>6573</v>
      </c>
    </row>
    <row r="79" spans="3:11" ht="28.2" thickTop="1">
      <c r="C79" s="51" t="s">
        <v>1195</v>
      </c>
      <c r="D79" s="52" t="s">
        <v>1196</v>
      </c>
      <c r="E79" s="52" t="s">
        <v>1197</v>
      </c>
      <c r="F79" s="52" t="s">
        <v>1198</v>
      </c>
      <c r="G79" s="52" t="s">
        <v>1199</v>
      </c>
      <c r="H79" s="53" t="s">
        <v>1200</v>
      </c>
    </row>
    <row r="80" spans="3:11" ht="21" customHeight="1">
      <c r="C80" s="290" t="s">
        <v>1201</v>
      </c>
      <c r="D80" s="56" t="s">
        <v>1202</v>
      </c>
      <c r="E80" s="57"/>
      <c r="F80" s="57"/>
      <c r="G80" s="57"/>
      <c r="H80" s="58"/>
    </row>
    <row r="81" spans="3:11" ht="21" customHeight="1">
      <c r="C81" s="281">
        <v>1</v>
      </c>
      <c r="D81" s="56" t="s">
        <v>5</v>
      </c>
      <c r="E81" s="61" t="s">
        <v>6</v>
      </c>
      <c r="F81" s="101">
        <v>0.2</v>
      </c>
      <c r="G81" s="63">
        <f>VLOOKUP(D81,upahbahan,3,FALSE)</f>
        <v>100000</v>
      </c>
      <c r="H81" s="64">
        <f>F81*G81</f>
        <v>20000</v>
      </c>
      <c r="K81" s="101">
        <v>0.1</v>
      </c>
    </row>
    <row r="82" spans="3:11" ht="21" customHeight="1">
      <c r="C82" s="281">
        <v>2</v>
      </c>
      <c r="D82" s="56" t="s">
        <v>11</v>
      </c>
      <c r="E82" s="61" t="s">
        <v>6</v>
      </c>
      <c r="F82" s="101">
        <v>0.1</v>
      </c>
      <c r="G82" s="63">
        <f>VLOOKUP(D82,upahbahan,3,FALSE)</f>
        <v>145000</v>
      </c>
      <c r="H82" s="64">
        <f t="shared" ref="H82:H84" si="10">F82*G82</f>
        <v>14500</v>
      </c>
      <c r="K82" s="101">
        <v>0.2</v>
      </c>
    </row>
    <row r="83" spans="3:11" ht="21" customHeight="1">
      <c r="C83" s="281">
        <v>3</v>
      </c>
      <c r="D83" s="56" t="s">
        <v>18</v>
      </c>
      <c r="E83" s="61" t="s">
        <v>6</v>
      </c>
      <c r="F83" s="101">
        <v>0.01</v>
      </c>
      <c r="G83" s="63">
        <f>VLOOKUP(D83,upahbahan,3,FALSE)</f>
        <v>150000</v>
      </c>
      <c r="H83" s="64">
        <f t="shared" si="10"/>
        <v>1500</v>
      </c>
      <c r="K83" s="101">
        <v>0.02</v>
      </c>
    </row>
    <row r="84" spans="3:11" ht="21" customHeight="1">
      <c r="C84" s="281">
        <v>4</v>
      </c>
      <c r="D84" s="56" t="s">
        <v>19</v>
      </c>
      <c r="E84" s="61" t="s">
        <v>6</v>
      </c>
      <c r="F84" s="101">
        <v>3.3E-3</v>
      </c>
      <c r="G84" s="63">
        <f>VLOOKUP(D84,upahbahan,3,FALSE)</f>
        <v>160000</v>
      </c>
      <c r="H84" s="64">
        <f t="shared" si="10"/>
        <v>528</v>
      </c>
      <c r="K84" s="101">
        <v>6.7000000000000002E-3</v>
      </c>
    </row>
    <row r="85" spans="3:11" ht="21" customHeight="1">
      <c r="C85" s="66" t="s">
        <v>1208</v>
      </c>
      <c r="D85" s="67"/>
      <c r="E85" s="67"/>
      <c r="F85" s="142"/>
      <c r="G85" s="153"/>
      <c r="H85" s="64">
        <f>SUM(H81:H84)</f>
        <v>36528</v>
      </c>
      <c r="I85" s="274"/>
    </row>
    <row r="86" spans="3:11" ht="21" customHeight="1">
      <c r="C86" s="290" t="s">
        <v>1209</v>
      </c>
      <c r="D86" s="56" t="s">
        <v>1210</v>
      </c>
      <c r="E86" s="57"/>
      <c r="F86" s="57"/>
      <c r="G86" s="57"/>
      <c r="H86" s="58"/>
    </row>
    <row r="87" spans="3:11" ht="21" customHeight="1">
      <c r="C87" s="306" t="s">
        <v>1203</v>
      </c>
      <c r="D87" s="56" t="s">
        <v>276</v>
      </c>
      <c r="E87" s="93" t="s">
        <v>113</v>
      </c>
      <c r="F87" s="104">
        <v>3</v>
      </c>
      <c r="G87" s="63">
        <f>VLOOKUP(D87,upahbahan,3,FALSE)</f>
        <v>42000</v>
      </c>
      <c r="H87" s="64">
        <f t="shared" ref="H87:H91" si="11">F87*G87</f>
        <v>126000</v>
      </c>
    </row>
    <row r="88" spans="3:11" ht="21" customHeight="1">
      <c r="C88" s="306" t="s">
        <v>1204</v>
      </c>
      <c r="D88" s="56" t="s">
        <v>275</v>
      </c>
      <c r="E88" s="93" t="s">
        <v>113</v>
      </c>
      <c r="F88" s="104">
        <v>2</v>
      </c>
      <c r="G88" s="63">
        <f>VLOOKUP(D88,upahbahan,3,FALSE)</f>
        <v>31000</v>
      </c>
      <c r="H88" s="64">
        <f t="shared" si="11"/>
        <v>62000</v>
      </c>
    </row>
    <row r="89" spans="3:11" ht="21" customHeight="1">
      <c r="C89" s="306" t="s">
        <v>1205</v>
      </c>
      <c r="D89" s="56" t="s">
        <v>274</v>
      </c>
      <c r="E89" s="93" t="s">
        <v>113</v>
      </c>
      <c r="F89" s="104">
        <v>2</v>
      </c>
      <c r="G89" s="63">
        <f>VLOOKUP(D89,upahbahan,3,FALSE)</f>
        <v>22000</v>
      </c>
      <c r="H89" s="64">
        <f t="shared" si="11"/>
        <v>44000</v>
      </c>
    </row>
    <row r="90" spans="3:11" ht="21" customHeight="1">
      <c r="C90" s="306" t="s">
        <v>1206</v>
      </c>
      <c r="D90" s="56" t="s">
        <v>581</v>
      </c>
      <c r="E90" s="93" t="s">
        <v>65</v>
      </c>
      <c r="F90" s="104">
        <v>0.1</v>
      </c>
      <c r="G90" s="63">
        <f>VLOOKUP(D90,upahbahan,3,FALSE)</f>
        <v>26000</v>
      </c>
      <c r="H90" s="64">
        <f t="shared" si="11"/>
        <v>2600</v>
      </c>
    </row>
    <row r="91" spans="3:11" ht="21" customHeight="1">
      <c r="C91" s="306" t="s">
        <v>1207</v>
      </c>
      <c r="D91" s="56" t="s">
        <v>254</v>
      </c>
      <c r="E91" s="61" t="s">
        <v>65</v>
      </c>
      <c r="F91" s="62">
        <v>0.05</v>
      </c>
      <c r="G91" s="63">
        <f>VLOOKUP(D91,upahbahan,3,FALSE)</f>
        <v>66600</v>
      </c>
      <c r="H91" s="64">
        <f t="shared" si="11"/>
        <v>3330</v>
      </c>
    </row>
    <row r="92" spans="3:11" ht="21" customHeight="1">
      <c r="C92" s="66" t="s">
        <v>1214</v>
      </c>
      <c r="D92" s="67"/>
      <c r="E92" s="67"/>
      <c r="F92" s="67"/>
      <c r="G92" s="69"/>
      <c r="H92" s="64">
        <f>SUM(H87:H91)</f>
        <v>237930</v>
      </c>
    </row>
    <row r="93" spans="3:11" ht="21" customHeight="1">
      <c r="C93" s="290" t="s">
        <v>1215</v>
      </c>
      <c r="D93" s="56" t="s">
        <v>1216</v>
      </c>
      <c r="E93" s="57"/>
      <c r="F93" s="57"/>
      <c r="G93" s="57"/>
      <c r="H93" s="58"/>
    </row>
    <row r="94" spans="3:11" ht="21" customHeight="1">
      <c r="C94" s="306">
        <v>1</v>
      </c>
      <c r="D94" s="56" t="s">
        <v>2452</v>
      </c>
      <c r="E94" s="61" t="s">
        <v>65</v>
      </c>
      <c r="F94" s="62">
        <v>0.05</v>
      </c>
      <c r="G94" s="63">
        <f>VLOOKUP(D94,upahbahan,3,FALSE)</f>
        <v>3125</v>
      </c>
      <c r="H94" s="64">
        <f t="shared" ref="H94" si="12">F94*G94</f>
        <v>156.25</v>
      </c>
    </row>
    <row r="95" spans="3:11" ht="21" customHeight="1">
      <c r="C95" s="66" t="s">
        <v>1217</v>
      </c>
      <c r="D95" s="67"/>
      <c r="E95" s="67"/>
      <c r="F95" s="67"/>
      <c r="G95" s="69"/>
      <c r="H95" s="74">
        <f>SUM(H94)</f>
        <v>156.25</v>
      </c>
    </row>
    <row r="96" spans="3:11" ht="21" customHeight="1">
      <c r="C96" s="75" t="s">
        <v>1218</v>
      </c>
      <c r="D96" s="76" t="s">
        <v>1219</v>
      </c>
      <c r="E96" s="77"/>
      <c r="F96" s="77"/>
      <c r="G96" s="78"/>
      <c r="H96" s="64">
        <f>H95+H92+H85</f>
        <v>274614.25</v>
      </c>
    </row>
    <row r="97" spans="3:11" ht="21" customHeight="1">
      <c r="C97" s="75" t="s">
        <v>1220</v>
      </c>
      <c r="D97" s="76" t="s">
        <v>1321</v>
      </c>
      <c r="E97" s="77"/>
      <c r="F97" s="78"/>
      <c r="G97" s="80">
        <f>$M$7</f>
        <v>0.1</v>
      </c>
      <c r="H97" s="64">
        <f>H96*G97</f>
        <v>27461.425000000003</v>
      </c>
    </row>
    <row r="98" spans="3:11" ht="21" customHeight="1" thickBot="1">
      <c r="C98" s="81" t="s">
        <v>1221</v>
      </c>
      <c r="D98" s="82" t="s">
        <v>1222</v>
      </c>
      <c r="E98" s="83"/>
      <c r="F98" s="83"/>
      <c r="G98" s="84"/>
      <c r="H98" s="85">
        <f>SUM(H96:H97)</f>
        <v>302075.67499999999</v>
      </c>
    </row>
    <row r="99" spans="3:11" ht="14.4" thickTop="1">
      <c r="C99" s="307"/>
      <c r="D99" s="90"/>
      <c r="E99" s="90"/>
      <c r="F99" s="90"/>
      <c r="G99" s="90"/>
      <c r="H99" s="91"/>
    </row>
    <row r="101" spans="3:11" ht="15.75" customHeight="1" thickBot="1">
      <c r="C101" s="126" t="s">
        <v>3128</v>
      </c>
      <c r="D101" s="47" t="s">
        <v>3129</v>
      </c>
      <c r="E101" s="88"/>
      <c r="F101" s="88"/>
      <c r="G101" s="88"/>
      <c r="H101" s="88"/>
      <c r="I101" s="50">
        <f>ROUNDDOWN(H117,-2)</f>
        <v>1459300</v>
      </c>
      <c r="J101" s="152" t="s">
        <v>6574</v>
      </c>
      <c r="K101" s="475" t="s">
        <v>6575</v>
      </c>
    </row>
    <row r="102" spans="3:11" ht="28.2" thickTop="1">
      <c r="C102" s="51" t="s">
        <v>1195</v>
      </c>
      <c r="D102" s="52" t="s">
        <v>1196</v>
      </c>
      <c r="E102" s="52" t="s">
        <v>1197</v>
      </c>
      <c r="F102" s="52" t="s">
        <v>1198</v>
      </c>
      <c r="G102" s="52" t="s">
        <v>1199</v>
      </c>
      <c r="H102" s="53" t="s">
        <v>1200</v>
      </c>
    </row>
    <row r="103" spans="3:11" ht="20.399999999999999" customHeight="1">
      <c r="C103" s="290" t="s">
        <v>1201</v>
      </c>
      <c r="D103" s="56" t="s">
        <v>1202</v>
      </c>
      <c r="E103" s="57"/>
      <c r="F103" s="57"/>
      <c r="G103" s="57"/>
      <c r="H103" s="58"/>
    </row>
    <row r="104" spans="3:11" ht="20.399999999999999" customHeight="1">
      <c r="C104" s="281">
        <v>1</v>
      </c>
      <c r="D104" s="56" t="s">
        <v>5</v>
      </c>
      <c r="E104" s="61" t="s">
        <v>6</v>
      </c>
      <c r="F104" s="101">
        <v>1</v>
      </c>
      <c r="G104" s="63">
        <f>VLOOKUP(D104,upahbahan,3,FALSE)</f>
        <v>100000</v>
      </c>
      <c r="H104" s="64">
        <f>F104*G104</f>
        <v>100000</v>
      </c>
    </row>
    <row r="105" spans="3:11" ht="20.399999999999999" customHeight="1">
      <c r="C105" s="281">
        <v>2</v>
      </c>
      <c r="D105" s="56" t="s">
        <v>14</v>
      </c>
      <c r="E105" s="61" t="s">
        <v>6</v>
      </c>
      <c r="F105" s="101">
        <v>0.5</v>
      </c>
      <c r="G105" s="63">
        <f>VLOOKUP(D105,upahbahan,3,FALSE)</f>
        <v>145000</v>
      </c>
      <c r="H105" s="64">
        <f t="shared" ref="H105:H107" si="13">F105*G105</f>
        <v>72500</v>
      </c>
    </row>
    <row r="106" spans="3:11" ht="20.399999999999999" customHeight="1">
      <c r="C106" s="281">
        <v>3</v>
      </c>
      <c r="D106" s="56" t="s">
        <v>18</v>
      </c>
      <c r="E106" s="61" t="s">
        <v>6</v>
      </c>
      <c r="F106" s="101">
        <v>0.05</v>
      </c>
      <c r="G106" s="63">
        <f>VLOOKUP(D106,upahbahan,3,FALSE)</f>
        <v>150000</v>
      </c>
      <c r="H106" s="64">
        <f t="shared" si="13"/>
        <v>7500</v>
      </c>
    </row>
    <row r="107" spans="3:11" ht="20.399999999999999" customHeight="1">
      <c r="C107" s="281">
        <v>4</v>
      </c>
      <c r="D107" s="56" t="s">
        <v>19</v>
      </c>
      <c r="E107" s="61" t="s">
        <v>6</v>
      </c>
      <c r="F107" s="101">
        <v>1.67E-2</v>
      </c>
      <c r="G107" s="63">
        <f>VLOOKUP(D107,upahbahan,3,FALSE)</f>
        <v>160000</v>
      </c>
      <c r="H107" s="64">
        <f t="shared" si="13"/>
        <v>2672</v>
      </c>
    </row>
    <row r="108" spans="3:11" ht="20.399999999999999" customHeight="1">
      <c r="C108" s="66" t="s">
        <v>1208</v>
      </c>
      <c r="D108" s="67"/>
      <c r="E108" s="67"/>
      <c r="F108" s="142"/>
      <c r="G108" s="153"/>
      <c r="H108" s="64">
        <f>SUM(H104:H107)</f>
        <v>182672</v>
      </c>
      <c r="I108" s="274"/>
    </row>
    <row r="109" spans="3:11" ht="20.399999999999999" customHeight="1">
      <c r="C109" s="290" t="s">
        <v>1209</v>
      </c>
      <c r="D109" s="56" t="s">
        <v>1210</v>
      </c>
      <c r="E109" s="57"/>
      <c r="F109" s="57"/>
      <c r="G109" s="57"/>
      <c r="H109" s="58"/>
    </row>
    <row r="110" spans="3:11" ht="20.399999999999999" customHeight="1">
      <c r="C110" s="306" t="s">
        <v>1203</v>
      </c>
      <c r="D110" s="56" t="s">
        <v>3131</v>
      </c>
      <c r="E110" s="93" t="s">
        <v>44</v>
      </c>
      <c r="F110" s="104">
        <v>1</v>
      </c>
      <c r="G110" s="63">
        <f>VLOOKUP(D110,upahbahan,3,FALSE)</f>
        <v>1144000</v>
      </c>
      <c r="H110" s="64">
        <f t="shared" ref="H110:H111" si="14">F110*G110</f>
        <v>1144000</v>
      </c>
      <c r="K110" s="104">
        <v>3</v>
      </c>
    </row>
    <row r="111" spans="3:11" ht="20.399999999999999" customHeight="1">
      <c r="C111" s="306" t="s">
        <v>1204</v>
      </c>
      <c r="D111" s="56" t="s">
        <v>3132</v>
      </c>
      <c r="E111" s="93" t="s">
        <v>44</v>
      </c>
      <c r="F111" s="104">
        <v>16</v>
      </c>
      <c r="G111" s="63">
        <f>VLOOKUP(D111,upahbahan,3,FALSE)</f>
        <v>0</v>
      </c>
      <c r="H111" s="64">
        <f t="shared" si="14"/>
        <v>0</v>
      </c>
      <c r="K111" s="104">
        <v>2</v>
      </c>
    </row>
    <row r="112" spans="3:11" ht="20.399999999999999" customHeight="1">
      <c r="C112" s="66" t="s">
        <v>1214</v>
      </c>
      <c r="D112" s="67"/>
      <c r="E112" s="67"/>
      <c r="F112" s="67"/>
      <c r="G112" s="69"/>
      <c r="H112" s="64">
        <f>SUM(H110:H111)</f>
        <v>1144000</v>
      </c>
    </row>
    <row r="113" spans="3:8" ht="20.399999999999999" customHeight="1">
      <c r="C113" s="290" t="s">
        <v>1215</v>
      </c>
      <c r="D113" s="56" t="s">
        <v>1216</v>
      </c>
      <c r="E113" s="57"/>
      <c r="F113" s="57"/>
      <c r="G113" s="57"/>
      <c r="H113" s="58"/>
    </row>
    <row r="114" spans="3:8" ht="20.399999999999999" customHeight="1">
      <c r="C114" s="66" t="s">
        <v>1217</v>
      </c>
      <c r="D114" s="67"/>
      <c r="E114" s="67"/>
      <c r="F114" s="67"/>
      <c r="G114" s="69"/>
      <c r="H114" s="74">
        <v>0</v>
      </c>
    </row>
    <row r="115" spans="3:8" ht="20.399999999999999" customHeight="1">
      <c r="C115" s="75" t="s">
        <v>1218</v>
      </c>
      <c r="D115" s="76" t="s">
        <v>1219</v>
      </c>
      <c r="E115" s="77"/>
      <c r="F115" s="77"/>
      <c r="G115" s="78"/>
      <c r="H115" s="64">
        <f>H114+H112+H108</f>
        <v>1326672</v>
      </c>
    </row>
    <row r="116" spans="3:8" ht="20.399999999999999" customHeight="1">
      <c r="C116" s="75" t="s">
        <v>1220</v>
      </c>
      <c r="D116" s="76" t="s">
        <v>1321</v>
      </c>
      <c r="E116" s="77"/>
      <c r="F116" s="78"/>
      <c r="G116" s="80">
        <f>$M$7</f>
        <v>0.1</v>
      </c>
      <c r="H116" s="64">
        <f>H115*G116</f>
        <v>132667.20000000001</v>
      </c>
    </row>
    <row r="117" spans="3:8" ht="20.399999999999999" customHeight="1" thickBot="1">
      <c r="C117" s="81" t="s">
        <v>1221</v>
      </c>
      <c r="D117" s="82" t="s">
        <v>1222</v>
      </c>
      <c r="E117" s="83"/>
      <c r="F117" s="83"/>
      <c r="G117" s="84"/>
      <c r="H117" s="85">
        <f>SUM(H115:H116)</f>
        <v>1459339.2</v>
      </c>
    </row>
    <row r="118" spans="3:8" ht="14.4" thickTop="1">
      <c r="C118" s="307"/>
      <c r="D118" s="90"/>
      <c r="E118" s="90"/>
      <c r="F118" s="90"/>
      <c r="G118" s="90"/>
      <c r="H118" s="9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2:K43"/>
  <sheetViews>
    <sheetView topLeftCell="A25" zoomScale="90" zoomScaleNormal="90" workbookViewId="0">
      <selection activeCell="D1168" sqref="D1168"/>
    </sheetView>
  </sheetViews>
  <sheetFormatPr defaultRowHeight="13.2"/>
  <cols>
    <col min="1" max="1" width="4.88671875" style="122" customWidth="1"/>
    <col min="2" max="2" width="3.5546875" style="122" customWidth="1"/>
    <col min="3" max="3" width="8.88671875" style="122"/>
    <col min="4" max="4" width="26" style="122" customWidth="1"/>
    <col min="5" max="5" width="10.88671875" style="122" customWidth="1"/>
    <col min="6" max="6" width="10.33203125" style="122" customWidth="1"/>
    <col min="7" max="7" width="16.5546875" style="122" customWidth="1"/>
    <col min="8" max="8" width="15.44140625" style="122" customWidth="1"/>
    <col min="9" max="9" width="16" style="122" customWidth="1"/>
    <col min="10" max="16384" width="8.88671875" style="122"/>
  </cols>
  <sheetData>
    <row r="2" spans="3:11">
      <c r="C2" s="121" t="s">
        <v>3133</v>
      </c>
      <c r="D2" s="121" t="s">
        <v>1768</v>
      </c>
    </row>
    <row r="3" spans="3:11" s="59" customFormat="1" ht="15.75" customHeight="1" thickBot="1">
      <c r="C3" s="126" t="s">
        <v>3134</v>
      </c>
      <c r="D3" s="47" t="s">
        <v>3135</v>
      </c>
      <c r="E3" s="88"/>
      <c r="F3" s="88"/>
      <c r="G3" s="88"/>
      <c r="H3" s="88"/>
      <c r="I3" s="50" t="e">
        <f>ROUNDDOWN(H21,-2)</f>
        <v>#VALUE!</v>
      </c>
      <c r="J3" s="152"/>
      <c r="K3" s="475"/>
    </row>
    <row r="4" spans="3:11" s="59" customFormat="1" ht="24.75" customHeight="1" thickTop="1">
      <c r="C4" s="51" t="s">
        <v>1195</v>
      </c>
      <c r="D4" s="52" t="s">
        <v>1196</v>
      </c>
      <c r="E4" s="52" t="s">
        <v>1197</v>
      </c>
      <c r="F4" s="52" t="s">
        <v>1198</v>
      </c>
      <c r="G4" s="52" t="s">
        <v>1199</v>
      </c>
      <c r="H4" s="53" t="s">
        <v>1200</v>
      </c>
      <c r="I4" s="45"/>
      <c r="J4" s="152"/>
    </row>
    <row r="5" spans="3:11" s="59" customFormat="1" ht="19.8" customHeight="1">
      <c r="C5" s="290" t="s">
        <v>1201</v>
      </c>
      <c r="D5" s="56" t="s">
        <v>1202</v>
      </c>
      <c r="E5" s="57"/>
      <c r="F5" s="57"/>
      <c r="G5" s="57"/>
      <c r="H5" s="58"/>
      <c r="I5" s="45"/>
      <c r="J5" s="152"/>
    </row>
    <row r="6" spans="3:11" s="59" customFormat="1" ht="19.8" customHeight="1">
      <c r="C6" s="281">
        <v>1</v>
      </c>
      <c r="D6" s="56" t="s">
        <v>5</v>
      </c>
      <c r="E6" s="61" t="s">
        <v>6</v>
      </c>
      <c r="F6" s="101">
        <v>0.59519999999999995</v>
      </c>
      <c r="G6" s="63">
        <f>VLOOKUP(D6,upahbahan,3,FALSE)</f>
        <v>100000</v>
      </c>
      <c r="H6" s="64">
        <f>F6*G6</f>
        <v>59519.999999999993</v>
      </c>
      <c r="I6" s="45"/>
      <c r="J6" s="152"/>
    </row>
    <row r="7" spans="3:11" s="59" customFormat="1" ht="19.8" customHeight="1">
      <c r="C7" s="281">
        <v>2</v>
      </c>
      <c r="D7" s="56" t="s">
        <v>8</v>
      </c>
      <c r="E7" s="61" t="s">
        <v>6</v>
      </c>
      <c r="F7" s="101">
        <v>0.29759999999999998</v>
      </c>
      <c r="G7" s="63">
        <f>VLOOKUP(D7,upahbahan,3,FALSE)</f>
        <v>135000</v>
      </c>
      <c r="H7" s="64">
        <f t="shared" ref="H7:H9" si="0">F7*G7</f>
        <v>40176</v>
      </c>
      <c r="I7" s="45"/>
      <c r="J7" s="152"/>
    </row>
    <row r="8" spans="3:11" s="59" customFormat="1" ht="19.8" customHeight="1">
      <c r="C8" s="281">
        <v>3</v>
      </c>
      <c r="D8" s="56" t="s">
        <v>18</v>
      </c>
      <c r="E8" s="61" t="s">
        <v>6</v>
      </c>
      <c r="F8" s="101">
        <v>2.98E-2</v>
      </c>
      <c r="G8" s="63">
        <f>VLOOKUP(D8,upahbahan,3,FALSE)</f>
        <v>150000</v>
      </c>
      <c r="H8" s="64">
        <f t="shared" si="0"/>
        <v>4470</v>
      </c>
      <c r="I8" s="45"/>
      <c r="J8" s="152"/>
    </row>
    <row r="9" spans="3:11" s="59" customFormat="1" ht="19.8" customHeight="1">
      <c r="C9" s="281">
        <v>4</v>
      </c>
      <c r="D9" s="56" t="s">
        <v>19</v>
      </c>
      <c r="E9" s="61" t="s">
        <v>6</v>
      </c>
      <c r="F9" s="101">
        <v>9.9000000000000008E-3</v>
      </c>
      <c r="G9" s="63">
        <f>VLOOKUP(D9,upahbahan,3,FALSE)</f>
        <v>160000</v>
      </c>
      <c r="H9" s="64">
        <f t="shared" si="0"/>
        <v>1584.0000000000002</v>
      </c>
      <c r="I9" s="45"/>
      <c r="J9" s="152"/>
    </row>
    <row r="10" spans="3:11" s="59" customFormat="1" ht="19.8" customHeight="1">
      <c r="C10" s="66" t="s">
        <v>1208</v>
      </c>
      <c r="D10" s="67"/>
      <c r="E10" s="67"/>
      <c r="F10" s="142"/>
      <c r="G10" s="153"/>
      <c r="H10" s="64">
        <f>SUM(H6:H9)</f>
        <v>105750</v>
      </c>
      <c r="I10" s="274"/>
      <c r="J10" s="152"/>
    </row>
    <row r="11" spans="3:11" s="59" customFormat="1" ht="19.8" customHeight="1">
      <c r="C11" s="290" t="s">
        <v>1209</v>
      </c>
      <c r="D11" s="56" t="s">
        <v>1210</v>
      </c>
      <c r="E11" s="57"/>
      <c r="F11" s="57"/>
      <c r="G11" s="57"/>
      <c r="H11" s="58"/>
      <c r="I11" s="45"/>
      <c r="J11" s="152"/>
    </row>
    <row r="12" spans="3:11" s="59" customFormat="1" ht="19.8" customHeight="1">
      <c r="C12" s="306" t="s">
        <v>1203</v>
      </c>
      <c r="D12" s="56" t="s">
        <v>122</v>
      </c>
      <c r="E12" s="93" t="s">
        <v>42</v>
      </c>
      <c r="F12" s="104">
        <v>2.5000000000000001E-2</v>
      </c>
      <c r="G12" s="63" t="e">
        <f>VLOOKUP(D12,upahbahan,3,FALSE)</f>
        <v>#VALUE!</v>
      </c>
      <c r="H12" s="64" t="e">
        <f t="shared" ref="H12:H15" si="1">F12*G12</f>
        <v>#VALUE!</v>
      </c>
      <c r="I12" s="45"/>
      <c r="J12" s="152"/>
    </row>
    <row r="13" spans="3:11" s="59" customFormat="1" ht="19.8" customHeight="1">
      <c r="C13" s="306">
        <v>2</v>
      </c>
      <c r="D13" s="56" t="s">
        <v>259</v>
      </c>
      <c r="E13" s="93" t="s">
        <v>2426</v>
      </c>
      <c r="F13" s="104">
        <v>0.03</v>
      </c>
      <c r="G13" s="63">
        <f>VLOOKUP(D13,upahbahan,3,FALSE)</f>
        <v>33075</v>
      </c>
      <c r="H13" s="64">
        <f t="shared" si="1"/>
        <v>992.25</v>
      </c>
      <c r="I13" s="45"/>
      <c r="J13" s="152"/>
    </row>
    <row r="14" spans="3:11" s="59" customFormat="1" ht="19.8" customHeight="1">
      <c r="C14" s="306">
        <v>3</v>
      </c>
      <c r="D14" s="56" t="s">
        <v>1004</v>
      </c>
      <c r="E14" s="93" t="s">
        <v>2426</v>
      </c>
      <c r="F14" s="104">
        <v>0.3</v>
      </c>
      <c r="G14" s="63">
        <f>VLOOKUP(D14,upahbahan,3,FALSE)</f>
        <v>0</v>
      </c>
      <c r="H14" s="64">
        <f t="shared" si="1"/>
        <v>0</v>
      </c>
      <c r="I14" s="45"/>
      <c r="J14" s="152"/>
    </row>
    <row r="15" spans="3:11" s="59" customFormat="1" ht="19.8" customHeight="1">
      <c r="C15" s="306">
        <v>4</v>
      </c>
      <c r="D15" s="56" t="s">
        <v>1845</v>
      </c>
      <c r="E15" s="93" t="s">
        <v>129</v>
      </c>
      <c r="F15" s="104">
        <v>1</v>
      </c>
      <c r="G15" s="63">
        <f>VLOOKUP(D15,upahbahan,3,FALSE)</f>
        <v>75000</v>
      </c>
      <c r="H15" s="64">
        <f t="shared" si="1"/>
        <v>75000</v>
      </c>
      <c r="I15" s="45"/>
      <c r="J15" s="152"/>
    </row>
    <row r="16" spans="3:11" s="59" customFormat="1" ht="19.8" customHeight="1">
      <c r="C16" s="66" t="s">
        <v>1214</v>
      </c>
      <c r="D16" s="67"/>
      <c r="E16" s="67"/>
      <c r="F16" s="67"/>
      <c r="G16" s="69"/>
      <c r="H16" s="64" t="e">
        <f>SUM(H12:H15)</f>
        <v>#VALUE!</v>
      </c>
      <c r="I16" s="45"/>
      <c r="J16" s="152"/>
    </row>
    <row r="17" spans="3:11" s="59" customFormat="1" ht="19.8" customHeight="1">
      <c r="C17" s="290" t="s">
        <v>1215</v>
      </c>
      <c r="D17" s="56" t="s">
        <v>1216</v>
      </c>
      <c r="E17" s="57"/>
      <c r="F17" s="57"/>
      <c r="G17" s="57"/>
      <c r="H17" s="58"/>
      <c r="I17" s="45"/>
      <c r="J17" s="152"/>
    </row>
    <row r="18" spans="3:11" s="59" customFormat="1" ht="19.8" customHeight="1">
      <c r="C18" s="66" t="s">
        <v>1217</v>
      </c>
      <c r="D18" s="67"/>
      <c r="E18" s="67"/>
      <c r="F18" s="67"/>
      <c r="G18" s="69"/>
      <c r="H18" s="74">
        <v>0</v>
      </c>
      <c r="I18" s="45"/>
      <c r="J18" s="152"/>
    </row>
    <row r="19" spans="3:11" s="59" customFormat="1" ht="19.8" customHeight="1">
      <c r="C19" s="75" t="s">
        <v>1218</v>
      </c>
      <c r="D19" s="76" t="s">
        <v>1219</v>
      </c>
      <c r="E19" s="77"/>
      <c r="F19" s="77"/>
      <c r="G19" s="78"/>
      <c r="H19" s="64" t="e">
        <f>H18+H16+H10</f>
        <v>#VALUE!</v>
      </c>
      <c r="I19" s="45"/>
      <c r="J19" s="152"/>
    </row>
    <row r="20" spans="3:11" s="59" customFormat="1" ht="19.8" customHeight="1">
      <c r="C20" s="75" t="s">
        <v>1220</v>
      </c>
      <c r="D20" s="76" t="s">
        <v>1321</v>
      </c>
      <c r="E20" s="77"/>
      <c r="F20" s="78"/>
      <c r="G20" s="80">
        <v>0.1</v>
      </c>
      <c r="H20" s="64" t="e">
        <f>H19*G20</f>
        <v>#VALUE!</v>
      </c>
      <c r="I20" s="45"/>
      <c r="J20" s="152"/>
    </row>
    <row r="21" spans="3:11" s="59" customFormat="1" ht="19.8" customHeight="1" thickBot="1">
      <c r="C21" s="81" t="s">
        <v>1221</v>
      </c>
      <c r="D21" s="82" t="s">
        <v>1222</v>
      </c>
      <c r="E21" s="83"/>
      <c r="F21" s="83"/>
      <c r="G21" s="84"/>
      <c r="H21" s="85" t="e">
        <f>SUM(H19:H20)</f>
        <v>#VALUE!</v>
      </c>
      <c r="I21" s="45"/>
      <c r="J21" s="152"/>
    </row>
    <row r="22" spans="3:11" ht="13.8" thickTop="1"/>
    <row r="23" spans="3:11" s="59" customFormat="1" ht="15.75" customHeight="1" thickBot="1">
      <c r="C23" s="126" t="s">
        <v>3136</v>
      </c>
      <c r="D23" s="47" t="s">
        <v>3137</v>
      </c>
      <c r="E23" s="88"/>
      <c r="F23" s="88"/>
      <c r="G23" s="88"/>
      <c r="H23" s="88"/>
      <c r="I23" s="50" t="e">
        <f>ROUNDDOWN(H42,-2)</f>
        <v>#VALUE!</v>
      </c>
      <c r="J23" s="152"/>
      <c r="K23" s="475"/>
    </row>
    <row r="24" spans="3:11" s="59" customFormat="1" ht="24.75" customHeight="1" thickTop="1">
      <c r="C24" s="51" t="s">
        <v>1195</v>
      </c>
      <c r="D24" s="52" t="s">
        <v>1196</v>
      </c>
      <c r="E24" s="52" t="s">
        <v>1197</v>
      </c>
      <c r="F24" s="52" t="s">
        <v>1198</v>
      </c>
      <c r="G24" s="52" t="s">
        <v>1199</v>
      </c>
      <c r="H24" s="53" t="s">
        <v>1200</v>
      </c>
      <c r="I24" s="45"/>
      <c r="J24" s="152"/>
    </row>
    <row r="25" spans="3:11" s="59" customFormat="1" ht="19.2" customHeight="1">
      <c r="C25" s="290" t="s">
        <v>1201</v>
      </c>
      <c r="D25" s="56" t="s">
        <v>1202</v>
      </c>
      <c r="E25" s="57"/>
      <c r="F25" s="57"/>
      <c r="G25" s="57"/>
      <c r="H25" s="58"/>
      <c r="I25" s="45"/>
      <c r="J25" s="152"/>
    </row>
    <row r="26" spans="3:11" s="59" customFormat="1" ht="19.2" customHeight="1">
      <c r="C26" s="281">
        <v>1</v>
      </c>
      <c r="D26" s="56" t="s">
        <v>5</v>
      </c>
      <c r="E26" s="61" t="s">
        <v>6</v>
      </c>
      <c r="F26" s="101">
        <v>0.59519999999999995</v>
      </c>
      <c r="G26" s="63">
        <f>VLOOKUP(D26,upahbahan,3,FALSE)</f>
        <v>100000</v>
      </c>
      <c r="H26" s="64">
        <f>F26*G26</f>
        <v>59519.999999999993</v>
      </c>
      <c r="I26" s="45"/>
      <c r="J26" s="152"/>
    </row>
    <row r="27" spans="3:11" s="59" customFormat="1" ht="19.2" customHeight="1">
      <c r="C27" s="281">
        <v>2</v>
      </c>
      <c r="D27" s="56" t="s">
        <v>8</v>
      </c>
      <c r="E27" s="61" t="s">
        <v>6</v>
      </c>
      <c r="F27" s="101">
        <v>0.29759999999999998</v>
      </c>
      <c r="G27" s="63">
        <f>VLOOKUP(D27,upahbahan,3,FALSE)</f>
        <v>135000</v>
      </c>
      <c r="H27" s="64">
        <f t="shared" ref="H27:H29" si="2">F27*G27</f>
        <v>40176</v>
      </c>
      <c r="I27" s="45"/>
      <c r="J27" s="152"/>
    </row>
    <row r="28" spans="3:11" s="59" customFormat="1" ht="19.2" customHeight="1">
      <c r="C28" s="281">
        <v>3</v>
      </c>
      <c r="D28" s="56" t="s">
        <v>18</v>
      </c>
      <c r="E28" s="61" t="s">
        <v>6</v>
      </c>
      <c r="F28" s="101">
        <v>2.98E-2</v>
      </c>
      <c r="G28" s="63">
        <f>VLOOKUP(D28,upahbahan,3,FALSE)</f>
        <v>150000</v>
      </c>
      <c r="H28" s="64">
        <f t="shared" si="2"/>
        <v>4470</v>
      </c>
      <c r="I28" s="45"/>
      <c r="J28" s="152"/>
    </row>
    <row r="29" spans="3:11" s="59" customFormat="1" ht="19.2" customHeight="1">
      <c r="C29" s="281">
        <v>4</v>
      </c>
      <c r="D29" s="56" t="s">
        <v>19</v>
      </c>
      <c r="E29" s="61" t="s">
        <v>6</v>
      </c>
      <c r="F29" s="101">
        <v>9.9000000000000008E-3</v>
      </c>
      <c r="G29" s="63">
        <f>VLOOKUP(D29,upahbahan,3,FALSE)</f>
        <v>160000</v>
      </c>
      <c r="H29" s="64">
        <f t="shared" si="2"/>
        <v>1584.0000000000002</v>
      </c>
      <c r="I29" s="45"/>
      <c r="J29" s="152"/>
    </row>
    <row r="30" spans="3:11" s="59" customFormat="1" ht="19.2" customHeight="1">
      <c r="C30" s="66" t="s">
        <v>1208</v>
      </c>
      <c r="D30" s="67"/>
      <c r="E30" s="67"/>
      <c r="F30" s="142"/>
      <c r="G30" s="153"/>
      <c r="H30" s="64">
        <f>SUM(H26:H29)</f>
        <v>105750</v>
      </c>
      <c r="I30" s="274"/>
      <c r="J30" s="152"/>
    </row>
    <row r="31" spans="3:11" s="59" customFormat="1" ht="19.2" customHeight="1">
      <c r="C31" s="290" t="s">
        <v>1209</v>
      </c>
      <c r="D31" s="56" t="s">
        <v>1210</v>
      </c>
      <c r="E31" s="57"/>
      <c r="F31" s="57"/>
      <c r="G31" s="57"/>
      <c r="H31" s="58"/>
      <c r="I31" s="45"/>
      <c r="J31" s="152"/>
    </row>
    <row r="32" spans="3:11" s="59" customFormat="1" ht="19.2" customHeight="1">
      <c r="C32" s="306" t="s">
        <v>1203</v>
      </c>
      <c r="D32" s="56" t="s">
        <v>123</v>
      </c>
      <c r="E32" s="93" t="s">
        <v>2676</v>
      </c>
      <c r="F32" s="104">
        <v>2.5000000000000001E-2</v>
      </c>
      <c r="G32" s="63" t="e">
        <f>VLOOKUP(D32,upahbahan,3,FALSE)</f>
        <v>#VALUE!</v>
      </c>
      <c r="H32" s="64" t="e">
        <f t="shared" ref="H32:H36" si="3">F32*G32</f>
        <v>#VALUE!</v>
      </c>
      <c r="I32" s="45"/>
      <c r="J32" s="152"/>
    </row>
    <row r="33" spans="3:10" s="59" customFormat="1" ht="19.2" customHeight="1">
      <c r="C33" s="306">
        <v>2</v>
      </c>
      <c r="D33" s="56" t="s">
        <v>259</v>
      </c>
      <c r="E33" s="93" t="s">
        <v>2426</v>
      </c>
      <c r="F33" s="104">
        <v>0.03</v>
      </c>
      <c r="G33" s="63">
        <f>VLOOKUP(D33,upahbahan,3,FALSE)</f>
        <v>33075</v>
      </c>
      <c r="H33" s="64">
        <f t="shared" si="3"/>
        <v>992.25</v>
      </c>
      <c r="I33" s="45"/>
      <c r="J33" s="152"/>
    </row>
    <row r="34" spans="3:10" s="59" customFormat="1" ht="19.2" customHeight="1">
      <c r="C34" s="306">
        <v>3</v>
      </c>
      <c r="D34" s="56" t="s">
        <v>1004</v>
      </c>
      <c r="E34" s="93" t="s">
        <v>2426</v>
      </c>
      <c r="F34" s="104">
        <v>0.8</v>
      </c>
      <c r="G34" s="63">
        <f>VLOOKUP(D34,upahbahan,3,FALSE)</f>
        <v>0</v>
      </c>
      <c r="H34" s="64">
        <f t="shared" si="3"/>
        <v>0</v>
      </c>
      <c r="I34" s="45"/>
      <c r="J34" s="152"/>
    </row>
    <row r="35" spans="3:10" s="59" customFormat="1" ht="19.2" customHeight="1">
      <c r="C35" s="306">
        <v>4</v>
      </c>
      <c r="D35" s="56" t="s">
        <v>1845</v>
      </c>
      <c r="E35" s="93" t="s">
        <v>129</v>
      </c>
      <c r="F35" s="104">
        <v>1</v>
      </c>
      <c r="G35" s="63">
        <f>VLOOKUP(D35,upahbahan,3,FALSE)</f>
        <v>75000</v>
      </c>
      <c r="H35" s="64">
        <f t="shared" ref="H35" si="4">F35*G35</f>
        <v>75000</v>
      </c>
      <c r="I35" s="45"/>
      <c r="J35" s="152"/>
    </row>
    <row r="36" spans="3:10" s="59" customFormat="1" ht="19.2" customHeight="1">
      <c r="C36" s="306">
        <v>4</v>
      </c>
      <c r="D36" s="56" t="s">
        <v>985</v>
      </c>
      <c r="E36" s="93" t="s">
        <v>129</v>
      </c>
      <c r="F36" s="104">
        <v>0.5</v>
      </c>
      <c r="G36" s="63">
        <f>VLOOKUP(D36,upahbahan,3,FALSE)</f>
        <v>0</v>
      </c>
      <c r="H36" s="64">
        <f t="shared" si="3"/>
        <v>0</v>
      </c>
      <c r="I36" s="45"/>
      <c r="J36" s="152"/>
    </row>
    <row r="37" spans="3:10" s="59" customFormat="1" ht="19.2" customHeight="1">
      <c r="C37" s="66" t="s">
        <v>1214</v>
      </c>
      <c r="D37" s="67"/>
      <c r="E37" s="67"/>
      <c r="F37" s="67"/>
      <c r="G37" s="69"/>
      <c r="H37" s="64" t="e">
        <f>SUM(H32:H36)</f>
        <v>#VALUE!</v>
      </c>
      <c r="I37" s="45"/>
      <c r="J37" s="152"/>
    </row>
    <row r="38" spans="3:10" s="59" customFormat="1" ht="19.2" customHeight="1">
      <c r="C38" s="290" t="s">
        <v>1215</v>
      </c>
      <c r="D38" s="56" t="s">
        <v>1216</v>
      </c>
      <c r="E38" s="57"/>
      <c r="F38" s="57"/>
      <c r="G38" s="57"/>
      <c r="H38" s="58"/>
      <c r="I38" s="45"/>
      <c r="J38" s="152"/>
    </row>
    <row r="39" spans="3:10" s="59" customFormat="1" ht="19.2" customHeight="1">
      <c r="C39" s="66" t="s">
        <v>1217</v>
      </c>
      <c r="D39" s="67"/>
      <c r="E39" s="67"/>
      <c r="F39" s="67"/>
      <c r="G39" s="69"/>
      <c r="H39" s="74">
        <v>0</v>
      </c>
      <c r="I39" s="45"/>
      <c r="J39" s="152"/>
    </row>
    <row r="40" spans="3:10" s="59" customFormat="1" ht="19.2" customHeight="1">
      <c r="C40" s="75" t="s">
        <v>1218</v>
      </c>
      <c r="D40" s="76" t="s">
        <v>1219</v>
      </c>
      <c r="E40" s="77"/>
      <c r="F40" s="77"/>
      <c r="G40" s="78"/>
      <c r="H40" s="64" t="e">
        <f>H39+H37+H30</f>
        <v>#VALUE!</v>
      </c>
      <c r="I40" s="45"/>
      <c r="J40" s="152"/>
    </row>
    <row r="41" spans="3:10" s="59" customFormat="1" ht="19.2" customHeight="1">
      <c r="C41" s="75" t="s">
        <v>1220</v>
      </c>
      <c r="D41" s="76" t="s">
        <v>1321</v>
      </c>
      <c r="E41" s="77"/>
      <c r="F41" s="78"/>
      <c r="G41" s="80">
        <v>0.1</v>
      </c>
      <c r="H41" s="64" t="e">
        <f>H40*G41</f>
        <v>#VALUE!</v>
      </c>
      <c r="I41" s="45"/>
      <c r="J41" s="152"/>
    </row>
    <row r="42" spans="3:10" s="59" customFormat="1" ht="19.2" customHeight="1" thickBot="1">
      <c r="C42" s="81" t="s">
        <v>1221</v>
      </c>
      <c r="D42" s="82" t="s">
        <v>1222</v>
      </c>
      <c r="E42" s="83"/>
      <c r="F42" s="83"/>
      <c r="G42" s="84"/>
      <c r="H42" s="85" t="e">
        <f>SUM(H40:H41)</f>
        <v>#VALUE!</v>
      </c>
      <c r="I42" s="45"/>
      <c r="J42" s="152"/>
    </row>
    <row r="43" spans="3:10" ht="13.8" thickTop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2:K20"/>
  <sheetViews>
    <sheetView topLeftCell="B10" workbookViewId="0">
      <selection activeCell="D1168" sqref="D1168"/>
    </sheetView>
  </sheetViews>
  <sheetFormatPr defaultRowHeight="13.2"/>
  <cols>
    <col min="1" max="1" width="3.33203125" style="188" customWidth="1"/>
    <col min="2" max="2" width="4.6640625" style="188" customWidth="1"/>
    <col min="3" max="3" width="8.88671875" style="188"/>
    <col min="4" max="4" width="22.6640625" style="188" customWidth="1"/>
    <col min="5" max="5" width="8.88671875" style="188"/>
    <col min="6" max="6" width="12" style="188" customWidth="1"/>
    <col min="7" max="7" width="14.21875" style="188" customWidth="1"/>
    <col min="8" max="8" width="16.5546875" style="188" customWidth="1"/>
    <col min="9" max="9" width="11" style="188" customWidth="1"/>
    <col min="10" max="11" width="9.109375" style="188"/>
    <col min="12" max="16384" width="8.88671875" style="188"/>
  </cols>
  <sheetData>
    <row r="2" spans="3:11" ht="19.8" customHeight="1">
      <c r="C2" s="511" t="s">
        <v>3138</v>
      </c>
      <c r="D2" s="187" t="s">
        <v>3139</v>
      </c>
    </row>
    <row r="3" spans="3:11" s="517" customFormat="1" ht="19.8" customHeight="1" thickBot="1">
      <c r="C3" s="512" t="s">
        <v>3140</v>
      </c>
      <c r="D3" s="513" t="s">
        <v>3141</v>
      </c>
      <c r="E3" s="514"/>
      <c r="F3" s="514"/>
      <c r="G3" s="514"/>
      <c r="H3" s="514"/>
      <c r="I3" s="189">
        <f>ROUNDDOWN(H19,-2)</f>
        <v>725800</v>
      </c>
      <c r="J3" s="515" t="s">
        <v>6451</v>
      </c>
      <c r="K3" s="516" t="s">
        <v>6576</v>
      </c>
    </row>
    <row r="4" spans="3:11" s="517" customFormat="1" ht="29.4" customHeight="1" thickTop="1">
      <c r="C4" s="190" t="s">
        <v>1195</v>
      </c>
      <c r="D4" s="191" t="s">
        <v>1196</v>
      </c>
      <c r="E4" s="191" t="s">
        <v>1197</v>
      </c>
      <c r="F4" s="191" t="s">
        <v>1198</v>
      </c>
      <c r="G4" s="191" t="s">
        <v>1199</v>
      </c>
      <c r="H4" s="192" t="s">
        <v>1200</v>
      </c>
      <c r="I4" s="200"/>
      <c r="J4" s="515"/>
    </row>
    <row r="5" spans="3:11" s="517" customFormat="1" ht="16.8" customHeight="1">
      <c r="C5" s="518" t="s">
        <v>1201</v>
      </c>
      <c r="D5" s="196" t="s">
        <v>1202</v>
      </c>
      <c r="E5" s="197"/>
      <c r="F5" s="197"/>
      <c r="G5" s="197"/>
      <c r="H5" s="198"/>
      <c r="I5" s="200"/>
      <c r="J5" s="515"/>
    </row>
    <row r="6" spans="3:11" s="517" customFormat="1" ht="16.8" customHeight="1">
      <c r="C6" s="519">
        <v>1</v>
      </c>
      <c r="D6" s="196" t="s">
        <v>5</v>
      </c>
      <c r="E6" s="202" t="s">
        <v>6</v>
      </c>
      <c r="F6" s="520">
        <v>0.33300000000000002</v>
      </c>
      <c r="G6" s="205">
        <f>VLOOKUP(D6,upahbahan,3,FALSE)</f>
        <v>100000</v>
      </c>
      <c r="H6" s="210">
        <f>F6*G6</f>
        <v>33300</v>
      </c>
      <c r="I6" s="200"/>
      <c r="J6" s="515"/>
    </row>
    <row r="7" spans="3:11" s="517" customFormat="1" ht="16.8" customHeight="1">
      <c r="C7" s="519">
        <v>2</v>
      </c>
      <c r="D7" s="196" t="s">
        <v>8</v>
      </c>
      <c r="E7" s="202" t="s">
        <v>6</v>
      </c>
      <c r="F7" s="520">
        <v>0.16700000000000001</v>
      </c>
      <c r="G7" s="205">
        <f>VLOOKUP(D7,upahbahan,3,FALSE)</f>
        <v>135000</v>
      </c>
      <c r="H7" s="210">
        <f t="shared" ref="H7:H9" si="0">F7*G7</f>
        <v>22545</v>
      </c>
      <c r="I7" s="200"/>
      <c r="J7" s="515"/>
    </row>
    <row r="8" spans="3:11" s="517" customFormat="1" ht="16.8" customHeight="1">
      <c r="C8" s="519">
        <v>3</v>
      </c>
      <c r="D8" s="196" t="s">
        <v>18</v>
      </c>
      <c r="E8" s="202" t="s">
        <v>6</v>
      </c>
      <c r="F8" s="520">
        <v>1.67E-2</v>
      </c>
      <c r="G8" s="205">
        <f>VLOOKUP(D8,upahbahan,3,FALSE)</f>
        <v>150000</v>
      </c>
      <c r="H8" s="210">
        <f t="shared" si="0"/>
        <v>2505</v>
      </c>
      <c r="I8" s="200"/>
      <c r="J8" s="515"/>
    </row>
    <row r="9" spans="3:11" s="517" customFormat="1" ht="16.8" customHeight="1">
      <c r="C9" s="519">
        <v>4</v>
      </c>
      <c r="D9" s="196" t="s">
        <v>19</v>
      </c>
      <c r="E9" s="202" t="s">
        <v>6</v>
      </c>
      <c r="F9" s="520">
        <v>5.5999999999999999E-3</v>
      </c>
      <c r="G9" s="205">
        <f>VLOOKUP(D9,upahbahan,3,FALSE)</f>
        <v>160000</v>
      </c>
      <c r="H9" s="210">
        <f t="shared" si="0"/>
        <v>896</v>
      </c>
      <c r="I9" s="200"/>
      <c r="J9" s="515"/>
    </row>
    <row r="10" spans="3:11" s="517" customFormat="1" ht="16.8" customHeight="1">
      <c r="C10" s="207" t="s">
        <v>1208</v>
      </c>
      <c r="D10" s="208"/>
      <c r="E10" s="208"/>
      <c r="F10" s="521"/>
      <c r="G10" s="522"/>
      <c r="H10" s="210">
        <f>SUM(H6:H9)</f>
        <v>59246</v>
      </c>
      <c r="I10" s="523"/>
      <c r="J10" s="515"/>
    </row>
    <row r="11" spans="3:11" s="517" customFormat="1" ht="16.8" customHeight="1">
      <c r="C11" s="518" t="s">
        <v>1209</v>
      </c>
      <c r="D11" s="196" t="s">
        <v>1210</v>
      </c>
      <c r="E11" s="197"/>
      <c r="F11" s="197"/>
      <c r="G11" s="197"/>
      <c r="H11" s="198"/>
      <c r="I11" s="200"/>
      <c r="J11" s="515"/>
    </row>
    <row r="12" spans="3:11" s="517" customFormat="1" ht="16.8" customHeight="1">
      <c r="C12" s="524" t="s">
        <v>1203</v>
      </c>
      <c r="D12" s="196" t="s">
        <v>3145</v>
      </c>
      <c r="E12" s="203" t="s">
        <v>42</v>
      </c>
      <c r="F12" s="525">
        <v>1</v>
      </c>
      <c r="G12" s="205">
        <f>VLOOKUP(D12,upahbahan,3,FALSE)</f>
        <v>596000</v>
      </c>
      <c r="H12" s="210">
        <f t="shared" ref="H12:H13" si="1">F12*G12</f>
        <v>596000</v>
      </c>
      <c r="I12" s="200"/>
      <c r="J12" s="515"/>
    </row>
    <row r="13" spans="3:11" s="517" customFormat="1" ht="16.8" customHeight="1">
      <c r="C13" s="524">
        <v>2</v>
      </c>
      <c r="D13" s="196" t="s">
        <v>3142</v>
      </c>
      <c r="E13" s="203" t="s">
        <v>44</v>
      </c>
      <c r="F13" s="525">
        <v>8</v>
      </c>
      <c r="G13" s="205">
        <f>VLOOKUP(D13,upahbahan,3,FALSE)</f>
        <v>580</v>
      </c>
      <c r="H13" s="210">
        <f t="shared" si="1"/>
        <v>4640</v>
      </c>
      <c r="I13" s="200"/>
      <c r="J13" s="515"/>
    </row>
    <row r="14" spans="3:11" s="517" customFormat="1" ht="16.8" customHeight="1">
      <c r="C14" s="207" t="s">
        <v>1214</v>
      </c>
      <c r="D14" s="208"/>
      <c r="E14" s="208"/>
      <c r="F14" s="208"/>
      <c r="G14" s="209"/>
      <c r="H14" s="210">
        <f>SUM(H12:H13)</f>
        <v>600640</v>
      </c>
      <c r="I14" s="200"/>
      <c r="J14" s="515"/>
    </row>
    <row r="15" spans="3:11" s="517" customFormat="1" ht="16.8" customHeight="1">
      <c r="C15" s="518" t="s">
        <v>1215</v>
      </c>
      <c r="D15" s="196" t="s">
        <v>1216</v>
      </c>
      <c r="E15" s="197"/>
      <c r="F15" s="197"/>
      <c r="G15" s="197"/>
      <c r="H15" s="198"/>
      <c r="I15" s="200"/>
      <c r="J15" s="515"/>
    </row>
    <row r="16" spans="3:11" s="517" customFormat="1" ht="16.8" customHeight="1">
      <c r="C16" s="207" t="s">
        <v>1217</v>
      </c>
      <c r="D16" s="208"/>
      <c r="E16" s="208"/>
      <c r="F16" s="208"/>
      <c r="G16" s="209"/>
      <c r="H16" s="222">
        <v>0</v>
      </c>
      <c r="I16" s="200"/>
      <c r="J16" s="515"/>
    </row>
    <row r="17" spans="3:10" s="517" customFormat="1" ht="16.8" customHeight="1">
      <c r="C17" s="223" t="s">
        <v>1218</v>
      </c>
      <c r="D17" s="224" t="s">
        <v>1219</v>
      </c>
      <c r="E17" s="225"/>
      <c r="F17" s="225"/>
      <c r="G17" s="226"/>
      <c r="H17" s="210">
        <f>H16+H14+H10</f>
        <v>659886</v>
      </c>
      <c r="I17" s="200"/>
      <c r="J17" s="515"/>
    </row>
    <row r="18" spans="3:10" s="517" customFormat="1" ht="16.8" customHeight="1">
      <c r="C18" s="223" t="s">
        <v>1220</v>
      </c>
      <c r="D18" s="224" t="s">
        <v>1321</v>
      </c>
      <c r="E18" s="225"/>
      <c r="F18" s="226"/>
      <c r="G18" s="228">
        <v>0.1</v>
      </c>
      <c r="H18" s="210">
        <f>H17*G18</f>
        <v>65988.600000000006</v>
      </c>
      <c r="I18" s="200"/>
      <c r="J18" s="515"/>
    </row>
    <row r="19" spans="3:10" s="517" customFormat="1" ht="16.8" customHeight="1" thickBot="1">
      <c r="C19" s="229" t="s">
        <v>1221</v>
      </c>
      <c r="D19" s="230" t="s">
        <v>1222</v>
      </c>
      <c r="E19" s="231"/>
      <c r="F19" s="231"/>
      <c r="G19" s="232"/>
      <c r="H19" s="233">
        <f>SUM(H17:H18)</f>
        <v>725874.6</v>
      </c>
      <c r="I19" s="200"/>
      <c r="J19" s="515"/>
    </row>
    <row r="20" spans="3:10" ht="13.8" thickTop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C3:O171"/>
  <sheetViews>
    <sheetView topLeftCell="A159" zoomScale="89" zoomScaleNormal="77" workbookViewId="0">
      <selection activeCell="D1168" sqref="D1168"/>
    </sheetView>
  </sheetViews>
  <sheetFormatPr defaultColWidth="8.88671875" defaultRowHeight="14.4"/>
  <cols>
    <col min="1" max="2" width="4.44140625" style="517" customWidth="1"/>
    <col min="3" max="3" width="9" style="572" customWidth="1"/>
    <col min="4" max="4" width="37" style="530" customWidth="1"/>
    <col min="5" max="5" width="7.44140625" style="530" customWidth="1"/>
    <col min="6" max="6" width="11.33203125" style="530" customWidth="1"/>
    <col min="7" max="7" width="14.44140625" style="530" customWidth="1"/>
    <col min="8" max="8" width="16.44140625" style="530" customWidth="1"/>
    <col min="9" max="10" width="17" style="530" customWidth="1"/>
    <col min="11" max="11" width="136.88671875" style="530" bestFit="1" customWidth="1"/>
    <col min="12" max="16384" width="8.88671875" style="517"/>
  </cols>
  <sheetData>
    <row r="3" spans="3:15" ht="19.2" customHeight="1">
      <c r="C3" s="528" t="s">
        <v>3146</v>
      </c>
      <c r="D3" s="529" t="s">
        <v>6443</v>
      </c>
      <c r="E3" s="513"/>
      <c r="F3" s="513"/>
      <c r="G3" s="513"/>
      <c r="H3" s="513"/>
    </row>
    <row r="4" spans="3:15" ht="19.2" customHeight="1">
      <c r="C4" s="528" t="s">
        <v>3147</v>
      </c>
      <c r="D4" s="529" t="s">
        <v>3148</v>
      </c>
      <c r="E4" s="513"/>
      <c r="F4" s="513"/>
      <c r="G4" s="513"/>
      <c r="H4" s="513"/>
    </row>
    <row r="5" spans="3:15" ht="19.2" customHeight="1" thickBot="1">
      <c r="C5" s="512" t="s">
        <v>3149</v>
      </c>
      <c r="D5" s="531" t="s">
        <v>3150</v>
      </c>
      <c r="E5" s="532"/>
      <c r="F5" s="532"/>
      <c r="G5" s="532"/>
      <c r="H5" s="532"/>
      <c r="I5" s="533">
        <f>ROUNDDOWN(H22,-2)</f>
        <v>886400</v>
      </c>
      <c r="J5" s="533" t="s">
        <v>6451</v>
      </c>
      <c r="K5" s="533" t="s">
        <v>6577</v>
      </c>
    </row>
    <row r="6" spans="3:15" ht="29.4" thickTop="1">
      <c r="C6" s="190" t="s">
        <v>1195</v>
      </c>
      <c r="D6" s="191" t="s">
        <v>1196</v>
      </c>
      <c r="E6" s="191" t="s">
        <v>1197</v>
      </c>
      <c r="F6" s="191" t="s">
        <v>1198</v>
      </c>
      <c r="G6" s="191" t="s">
        <v>1199</v>
      </c>
      <c r="H6" s="192" t="s">
        <v>1200</v>
      </c>
    </row>
    <row r="7" spans="3:15" ht="21.6" customHeight="1">
      <c r="C7" s="518" t="s">
        <v>1201</v>
      </c>
      <c r="D7" s="212" t="s">
        <v>1202</v>
      </c>
      <c r="E7" s="534"/>
      <c r="F7" s="534"/>
      <c r="G7" s="534"/>
      <c r="H7" s="535"/>
      <c r="L7" s="536" t="s">
        <v>1247</v>
      </c>
    </row>
    <row r="8" spans="3:15" ht="21.6" customHeight="1">
      <c r="C8" s="537" t="s">
        <v>1203</v>
      </c>
      <c r="D8" s="212" t="s">
        <v>5</v>
      </c>
      <c r="E8" s="213" t="s">
        <v>6</v>
      </c>
      <c r="F8" s="538">
        <v>2</v>
      </c>
      <c r="G8" s="539">
        <f>VLOOKUP(D8,upahbahan,3,FALSE)</f>
        <v>100000</v>
      </c>
      <c r="H8" s="540">
        <f>F8*G8</f>
        <v>200000</v>
      </c>
      <c r="K8" s="538">
        <v>2.11</v>
      </c>
      <c r="L8" s="536" t="s">
        <v>1248</v>
      </c>
      <c r="O8" s="541">
        <v>0.1</v>
      </c>
    </row>
    <row r="9" spans="3:15" ht="21.6" customHeight="1">
      <c r="C9" s="537" t="s">
        <v>1204</v>
      </c>
      <c r="D9" s="212" t="s">
        <v>9</v>
      </c>
      <c r="E9" s="213" t="s">
        <v>6</v>
      </c>
      <c r="F9" s="538">
        <v>1</v>
      </c>
      <c r="G9" s="539">
        <f>VLOOKUP(D9,upahbahan,3,FALSE)</f>
        <v>135000</v>
      </c>
      <c r="H9" s="540">
        <f t="shared" ref="H9:H11" si="0">F9*G9</f>
        <v>135000</v>
      </c>
      <c r="K9" s="538">
        <v>4</v>
      </c>
    </row>
    <row r="10" spans="3:15" ht="21.6" customHeight="1">
      <c r="C10" s="537" t="s">
        <v>1206</v>
      </c>
      <c r="D10" s="212" t="s">
        <v>18</v>
      </c>
      <c r="E10" s="213" t="s">
        <v>6</v>
      </c>
      <c r="F10" s="538">
        <v>0.1</v>
      </c>
      <c r="G10" s="539">
        <f>VLOOKUP(D10,upahbahan,3,FALSE)</f>
        <v>150000</v>
      </c>
      <c r="H10" s="540">
        <f t="shared" si="0"/>
        <v>15000</v>
      </c>
    </row>
    <row r="11" spans="3:15" ht="21.6" customHeight="1">
      <c r="C11" s="537" t="s">
        <v>1207</v>
      </c>
      <c r="D11" s="212" t="s">
        <v>19</v>
      </c>
      <c r="E11" s="213" t="s">
        <v>6</v>
      </c>
      <c r="F11" s="538">
        <v>3.3000000000000002E-2</v>
      </c>
      <c r="G11" s="539">
        <f>VLOOKUP(D11,upahbahan,3,FALSE)</f>
        <v>160000</v>
      </c>
      <c r="H11" s="540">
        <f t="shared" si="0"/>
        <v>5280</v>
      </c>
    </row>
    <row r="12" spans="3:15" ht="21.6" customHeight="1">
      <c r="C12" s="207" t="s">
        <v>1208</v>
      </c>
      <c r="D12" s="208"/>
      <c r="E12" s="208"/>
      <c r="F12" s="521"/>
      <c r="G12" s="522"/>
      <c r="H12" s="540">
        <f>SUM(H8:H11)</f>
        <v>355280</v>
      </c>
      <c r="I12" s="542"/>
      <c r="J12" s="542"/>
      <c r="K12" s="542"/>
    </row>
    <row r="13" spans="3:15" ht="21.6" customHeight="1">
      <c r="C13" s="543" t="s">
        <v>1209</v>
      </c>
      <c r="D13" s="544" t="s">
        <v>1210</v>
      </c>
      <c r="E13" s="534"/>
      <c r="G13" s="534"/>
      <c r="H13" s="545"/>
    </row>
    <row r="14" spans="3:15" ht="21.6" customHeight="1">
      <c r="C14" s="546" t="s">
        <v>1203</v>
      </c>
      <c r="D14" s="544" t="s">
        <v>6578</v>
      </c>
      <c r="E14" s="234" t="s">
        <v>4490</v>
      </c>
      <c r="F14" s="547">
        <v>1</v>
      </c>
      <c r="G14" s="539">
        <f>VLOOKUP(D14,upahbahan,3,FALSE)</f>
        <v>450000</v>
      </c>
      <c r="H14" s="540">
        <f t="shared" ref="H14:H15" si="1">F14*G14</f>
        <v>450000</v>
      </c>
      <c r="J14" s="544" t="s">
        <v>806</v>
      </c>
      <c r="K14" s="547">
        <v>43.71</v>
      </c>
    </row>
    <row r="15" spans="3:15" ht="21.6" customHeight="1">
      <c r="C15" s="546">
        <v>2</v>
      </c>
      <c r="D15" s="544" t="s">
        <v>239</v>
      </c>
      <c r="E15" s="234" t="s">
        <v>44</v>
      </c>
      <c r="F15" s="548">
        <v>6</v>
      </c>
      <c r="G15" s="539">
        <f>VLOOKUP(D15,upahbahan,3,FALSE)</f>
        <v>0</v>
      </c>
      <c r="H15" s="540">
        <f t="shared" si="1"/>
        <v>0</v>
      </c>
      <c r="J15" s="544" t="s">
        <v>254</v>
      </c>
      <c r="K15" s="548"/>
    </row>
    <row r="16" spans="3:15" ht="21.6" customHeight="1">
      <c r="C16" s="207" t="s">
        <v>1214</v>
      </c>
      <c r="D16" s="208"/>
      <c r="E16" s="208"/>
      <c r="F16" s="208"/>
      <c r="G16" s="209"/>
      <c r="H16" s="540">
        <f>SUM(H14:H15)</f>
        <v>450000</v>
      </c>
      <c r="J16" s="544" t="s">
        <v>577</v>
      </c>
    </row>
    <row r="17" spans="3:15" ht="21.6" customHeight="1">
      <c r="C17" s="549" t="s">
        <v>1215</v>
      </c>
      <c r="D17" s="212" t="s">
        <v>1216</v>
      </c>
      <c r="E17" s="534"/>
      <c r="F17" s="534"/>
      <c r="G17" s="534"/>
      <c r="H17" s="535"/>
      <c r="J17" s="544" t="s">
        <v>239</v>
      </c>
    </row>
    <row r="18" spans="3:15" ht="21.6" customHeight="1">
      <c r="C18" s="549">
        <v>1</v>
      </c>
      <c r="D18" s="212" t="s">
        <v>3153</v>
      </c>
      <c r="E18" s="213" t="s">
        <v>1080</v>
      </c>
      <c r="F18" s="550">
        <v>1</v>
      </c>
      <c r="G18" s="539">
        <f>VLOOKUP(D18,upahbahan,3,FALSE)</f>
        <v>586.66666666666663</v>
      </c>
      <c r="H18" s="540">
        <f t="shared" ref="H18" si="2">F18*G18</f>
        <v>586.66666666666663</v>
      </c>
    </row>
    <row r="19" spans="3:15" ht="21.6" customHeight="1">
      <c r="C19" s="207" t="s">
        <v>1217</v>
      </c>
      <c r="D19" s="208"/>
      <c r="E19" s="208"/>
      <c r="F19" s="208"/>
      <c r="G19" s="209"/>
      <c r="H19" s="540">
        <f>SUM(H18)</f>
        <v>586.66666666666663</v>
      </c>
    </row>
    <row r="20" spans="3:15" ht="21.6" customHeight="1">
      <c r="C20" s="551" t="s">
        <v>1218</v>
      </c>
      <c r="D20" s="552" t="s">
        <v>1219</v>
      </c>
      <c r="E20" s="553"/>
      <c r="F20" s="553"/>
      <c r="G20" s="554"/>
      <c r="H20" s="540">
        <f>H19+H16+H12</f>
        <v>805866.66666666674</v>
      </c>
    </row>
    <row r="21" spans="3:15" ht="21.6" customHeight="1">
      <c r="C21" s="551" t="s">
        <v>1220</v>
      </c>
      <c r="D21" s="552" t="s">
        <v>1321</v>
      </c>
      <c r="E21" s="553"/>
      <c r="F21" s="554"/>
      <c r="G21" s="555">
        <f>$O$8</f>
        <v>0.1</v>
      </c>
      <c r="H21" s="540">
        <f>H20*G21</f>
        <v>80586.666666666686</v>
      </c>
    </row>
    <row r="22" spans="3:15" ht="21.6" customHeight="1" thickBot="1">
      <c r="C22" s="556" t="s">
        <v>1221</v>
      </c>
      <c r="D22" s="557" t="s">
        <v>1222</v>
      </c>
      <c r="E22" s="558"/>
      <c r="F22" s="558"/>
      <c r="G22" s="559"/>
      <c r="H22" s="560">
        <f>SUM(H20:H21)</f>
        <v>886453.33333333349</v>
      </c>
    </row>
    <row r="23" spans="3:15" ht="15" thickTop="1">
      <c r="C23" s="561"/>
      <c r="D23" s="562"/>
      <c r="E23" s="562"/>
      <c r="F23" s="562"/>
      <c r="G23" s="562"/>
      <c r="H23" s="563"/>
    </row>
    <row r="24" spans="3:15">
      <c r="C24" s="561"/>
      <c r="D24" s="562"/>
      <c r="E24" s="562"/>
      <c r="F24" s="562"/>
      <c r="G24" s="562"/>
      <c r="H24" s="563"/>
    </row>
    <row r="25" spans="3:15" ht="15" thickBot="1">
      <c r="C25" s="512" t="s">
        <v>3151</v>
      </c>
      <c r="D25" s="531" t="s">
        <v>3152</v>
      </c>
      <c r="E25" s="532"/>
      <c r="F25" s="532"/>
      <c r="G25" s="532"/>
      <c r="H25" s="532"/>
      <c r="I25" s="533">
        <f>ROUNDDOWN(H42,-2)</f>
        <v>22381400</v>
      </c>
      <c r="J25" s="533" t="s">
        <v>6451</v>
      </c>
      <c r="K25" s="533" t="s">
        <v>6577</v>
      </c>
    </row>
    <row r="26" spans="3:15" ht="29.4" thickTop="1">
      <c r="C26" s="190" t="s">
        <v>1195</v>
      </c>
      <c r="D26" s="191" t="s">
        <v>1196</v>
      </c>
      <c r="E26" s="191" t="s">
        <v>1197</v>
      </c>
      <c r="F26" s="191" t="s">
        <v>1198</v>
      </c>
      <c r="G26" s="191" t="s">
        <v>1199</v>
      </c>
      <c r="H26" s="192" t="s">
        <v>1200</v>
      </c>
    </row>
    <row r="27" spans="3:15" ht="21.6" customHeight="1">
      <c r="C27" s="518" t="s">
        <v>1201</v>
      </c>
      <c r="D27" s="212" t="s">
        <v>1202</v>
      </c>
      <c r="E27" s="534"/>
      <c r="F27" s="534"/>
      <c r="G27" s="534"/>
      <c r="H27" s="535"/>
      <c r="L27" s="536" t="s">
        <v>1247</v>
      </c>
    </row>
    <row r="28" spans="3:15" ht="21.6" customHeight="1">
      <c r="C28" s="537" t="s">
        <v>1203</v>
      </c>
      <c r="D28" s="212" t="s">
        <v>5</v>
      </c>
      <c r="E28" s="213" t="s">
        <v>6</v>
      </c>
      <c r="F28" s="538">
        <v>2</v>
      </c>
      <c r="G28" s="539">
        <f>VLOOKUP(D28,upahbahan,3,FALSE)</f>
        <v>100000</v>
      </c>
      <c r="H28" s="540">
        <f>F28*G28</f>
        <v>200000</v>
      </c>
      <c r="K28" s="538">
        <v>2.11</v>
      </c>
      <c r="L28" s="536" t="s">
        <v>1248</v>
      </c>
      <c r="O28" s="541">
        <v>0.1</v>
      </c>
    </row>
    <row r="29" spans="3:15" ht="21.6" customHeight="1">
      <c r="C29" s="537" t="s">
        <v>1204</v>
      </c>
      <c r="D29" s="212" t="s">
        <v>9</v>
      </c>
      <c r="E29" s="213" t="s">
        <v>6</v>
      </c>
      <c r="F29" s="538">
        <v>1</v>
      </c>
      <c r="G29" s="539">
        <f>VLOOKUP(D29,upahbahan,3,FALSE)</f>
        <v>135000</v>
      </c>
      <c r="H29" s="540">
        <f t="shared" ref="H29:H31" si="3">F29*G29</f>
        <v>135000</v>
      </c>
      <c r="K29" s="538">
        <v>4</v>
      </c>
    </row>
    <row r="30" spans="3:15" ht="21.6" customHeight="1">
      <c r="C30" s="537" t="s">
        <v>1206</v>
      </c>
      <c r="D30" s="212" t="s">
        <v>18</v>
      </c>
      <c r="E30" s="213" t="s">
        <v>6</v>
      </c>
      <c r="F30" s="538">
        <v>0.1</v>
      </c>
      <c r="G30" s="539">
        <f>VLOOKUP(D30,upahbahan,3,FALSE)</f>
        <v>150000</v>
      </c>
      <c r="H30" s="540">
        <f t="shared" si="3"/>
        <v>15000</v>
      </c>
    </row>
    <row r="31" spans="3:15" ht="21.6" customHeight="1">
      <c r="C31" s="537" t="s">
        <v>1207</v>
      </c>
      <c r="D31" s="212" t="s">
        <v>19</v>
      </c>
      <c r="E31" s="213" t="s">
        <v>6</v>
      </c>
      <c r="F31" s="538">
        <v>3.3000000000000002E-2</v>
      </c>
      <c r="G31" s="539">
        <f>VLOOKUP(D31,upahbahan,3,FALSE)</f>
        <v>160000</v>
      </c>
      <c r="H31" s="540">
        <f t="shared" si="3"/>
        <v>5280</v>
      </c>
    </row>
    <row r="32" spans="3:15" ht="21.6" customHeight="1">
      <c r="C32" s="207" t="s">
        <v>1208</v>
      </c>
      <c r="D32" s="208"/>
      <c r="E32" s="208"/>
      <c r="F32" s="521"/>
      <c r="G32" s="522"/>
      <c r="H32" s="540">
        <f>SUM(H28:H31)</f>
        <v>355280</v>
      </c>
      <c r="I32" s="542"/>
      <c r="J32" s="542"/>
      <c r="K32" s="542"/>
    </row>
    <row r="33" spans="3:11" ht="21.6" customHeight="1">
      <c r="C33" s="543" t="s">
        <v>1209</v>
      </c>
      <c r="D33" s="544" t="s">
        <v>1210</v>
      </c>
      <c r="E33" s="534"/>
      <c r="G33" s="534"/>
      <c r="H33" s="545"/>
    </row>
    <row r="34" spans="3:11" ht="21.6" customHeight="1">
      <c r="C34" s="546" t="s">
        <v>1203</v>
      </c>
      <c r="D34" s="544" t="s">
        <v>6578</v>
      </c>
      <c r="E34" s="234" t="s">
        <v>44</v>
      </c>
      <c r="F34" s="547">
        <v>43.71</v>
      </c>
      <c r="G34" s="539">
        <f>VLOOKUP(D34,upahbahan,3,FALSE)</f>
        <v>450000</v>
      </c>
      <c r="H34" s="540">
        <f t="shared" ref="H34:H35" si="4">F34*G34</f>
        <v>19669500</v>
      </c>
      <c r="J34" s="544" t="s">
        <v>806</v>
      </c>
      <c r="K34" s="547">
        <v>43.71</v>
      </c>
    </row>
    <row r="35" spans="3:11" ht="21.6" customHeight="1">
      <c r="C35" s="546">
        <v>2</v>
      </c>
      <c r="D35" s="544" t="s">
        <v>239</v>
      </c>
      <c r="E35" s="234" t="s">
        <v>44</v>
      </c>
      <c r="F35" s="548">
        <v>6</v>
      </c>
      <c r="G35" s="539">
        <f>VLOOKUP(D35,upahbahan,3,FALSE)</f>
        <v>0</v>
      </c>
      <c r="H35" s="540">
        <f t="shared" si="4"/>
        <v>0</v>
      </c>
      <c r="J35" s="544" t="s">
        <v>254</v>
      </c>
    </row>
    <row r="36" spans="3:11" ht="21.6" customHeight="1">
      <c r="C36" s="207" t="s">
        <v>1214</v>
      </c>
      <c r="D36" s="208"/>
      <c r="E36" s="208"/>
      <c r="F36" s="208"/>
      <c r="G36" s="209"/>
      <c r="H36" s="540">
        <f>SUM(H34:H35)</f>
        <v>19669500</v>
      </c>
      <c r="J36" s="544" t="s">
        <v>577</v>
      </c>
    </row>
    <row r="37" spans="3:11" ht="21.6" customHeight="1">
      <c r="C37" s="549" t="s">
        <v>1215</v>
      </c>
      <c r="D37" s="212" t="s">
        <v>1216</v>
      </c>
      <c r="E37" s="534"/>
      <c r="F37" s="534"/>
      <c r="G37" s="534"/>
      <c r="H37" s="535"/>
      <c r="J37" s="544" t="s">
        <v>239</v>
      </c>
    </row>
    <row r="38" spans="3:11" ht="21.6" customHeight="1">
      <c r="C38" s="549">
        <v>1</v>
      </c>
      <c r="D38" s="212" t="s">
        <v>3154</v>
      </c>
      <c r="E38" s="213" t="s">
        <v>1080</v>
      </c>
      <c r="F38" s="550">
        <v>1</v>
      </c>
      <c r="G38" s="539">
        <f>VLOOKUP(D38,upahbahan,3,FALSE)</f>
        <v>322000</v>
      </c>
      <c r="H38" s="540">
        <f t="shared" ref="H38" si="5">F38*G38</f>
        <v>322000</v>
      </c>
    </row>
    <row r="39" spans="3:11" ht="21.6" customHeight="1">
      <c r="C39" s="207" t="s">
        <v>1217</v>
      </c>
      <c r="D39" s="208"/>
      <c r="E39" s="208"/>
      <c r="F39" s="208"/>
      <c r="G39" s="209"/>
      <c r="H39" s="540">
        <f>SUM(H38)</f>
        <v>322000</v>
      </c>
    </row>
    <row r="40" spans="3:11" ht="21.6" customHeight="1">
      <c r="C40" s="551" t="s">
        <v>1218</v>
      </c>
      <c r="D40" s="552" t="s">
        <v>1219</v>
      </c>
      <c r="E40" s="553"/>
      <c r="F40" s="553"/>
      <c r="G40" s="554"/>
      <c r="H40" s="540">
        <f>H39+H36+H32</f>
        <v>20346780</v>
      </c>
    </row>
    <row r="41" spans="3:11" ht="21.6" customHeight="1">
      <c r="C41" s="551" t="s">
        <v>1220</v>
      </c>
      <c r="D41" s="552" t="s">
        <v>1321</v>
      </c>
      <c r="E41" s="553"/>
      <c r="F41" s="554"/>
      <c r="G41" s="555">
        <f>$O$8</f>
        <v>0.1</v>
      </c>
      <c r="H41" s="540">
        <f>H40*G41</f>
        <v>2034678</v>
      </c>
    </row>
    <row r="42" spans="3:11" ht="21.6" customHeight="1" thickBot="1">
      <c r="C42" s="556" t="s">
        <v>1221</v>
      </c>
      <c r="D42" s="557" t="s">
        <v>1222</v>
      </c>
      <c r="E42" s="558"/>
      <c r="F42" s="558"/>
      <c r="G42" s="559"/>
      <c r="H42" s="560">
        <f>SUM(H40:H41)</f>
        <v>22381458</v>
      </c>
    </row>
    <row r="43" spans="3:11" ht="15" thickTop="1">
      <c r="C43" s="561"/>
      <c r="D43" s="562"/>
      <c r="E43" s="562"/>
      <c r="F43" s="562"/>
      <c r="G43" s="562"/>
      <c r="H43" s="563"/>
    </row>
    <row r="44" spans="3:11" ht="15" thickBot="1">
      <c r="C44" s="513" t="s">
        <v>3155</v>
      </c>
      <c r="D44" s="531" t="s">
        <v>6579</v>
      </c>
      <c r="E44" s="532"/>
      <c r="F44" s="532"/>
      <c r="G44" s="532"/>
      <c r="H44" s="532"/>
      <c r="I44" s="533">
        <f>ROUNDDOWN(H59,-2)</f>
        <v>80300</v>
      </c>
      <c r="J44" s="533" t="s">
        <v>6451</v>
      </c>
      <c r="K44" s="533" t="s">
        <v>6580</v>
      </c>
    </row>
    <row r="45" spans="3:11" ht="29.4" thickTop="1">
      <c r="C45" s="190" t="s">
        <v>1195</v>
      </c>
      <c r="D45" s="191" t="s">
        <v>1196</v>
      </c>
      <c r="E45" s="191" t="s">
        <v>1197</v>
      </c>
      <c r="F45" s="191" t="s">
        <v>1198</v>
      </c>
      <c r="G45" s="191" t="s">
        <v>1199</v>
      </c>
      <c r="H45" s="192" t="s">
        <v>1200</v>
      </c>
    </row>
    <row r="46" spans="3:11" ht="21.6" customHeight="1">
      <c r="C46" s="518" t="s">
        <v>1201</v>
      </c>
      <c r="D46" s="212" t="s">
        <v>1202</v>
      </c>
      <c r="E46" s="534"/>
      <c r="F46" s="534"/>
      <c r="G46" s="534"/>
      <c r="H46" s="535"/>
      <c r="K46" s="564">
        <v>0.1</v>
      </c>
    </row>
    <row r="47" spans="3:11" ht="21.6" customHeight="1">
      <c r="C47" s="537" t="s">
        <v>1203</v>
      </c>
      <c r="D47" s="212" t="s">
        <v>5</v>
      </c>
      <c r="E47" s="213" t="s">
        <v>6</v>
      </c>
      <c r="F47" s="564">
        <v>0.4</v>
      </c>
      <c r="G47" s="539">
        <f>VLOOKUP(D47,upahbahan,3,FALSE)</f>
        <v>100000</v>
      </c>
      <c r="H47" s="540">
        <f t="shared" ref="H47:H50" si="6">F47*G47</f>
        <v>40000</v>
      </c>
      <c r="K47" s="564">
        <v>1.7999999999999999E-2</v>
      </c>
    </row>
    <row r="48" spans="3:11" ht="21.6" customHeight="1">
      <c r="C48" s="537" t="s">
        <v>1204</v>
      </c>
      <c r="D48" s="212" t="s">
        <v>11</v>
      </c>
      <c r="E48" s="213" t="s">
        <v>6</v>
      </c>
      <c r="F48" s="564">
        <v>0.2</v>
      </c>
      <c r="G48" s="539">
        <f>VLOOKUP(D48,upahbahan,3,FALSE)</f>
        <v>145000</v>
      </c>
      <c r="H48" s="540">
        <f t="shared" si="6"/>
        <v>29000</v>
      </c>
      <c r="K48" s="564">
        <v>1.8E-3</v>
      </c>
    </row>
    <row r="49" spans="3:11" ht="21.6" customHeight="1">
      <c r="C49" s="537" t="s">
        <v>1205</v>
      </c>
      <c r="D49" s="212" t="s">
        <v>18</v>
      </c>
      <c r="E49" s="213" t="s">
        <v>6</v>
      </c>
      <c r="F49" s="564">
        <v>0.02</v>
      </c>
      <c r="G49" s="539">
        <f>VLOOKUP(D49,upahbahan,3,FALSE)</f>
        <v>150000</v>
      </c>
      <c r="H49" s="540">
        <f t="shared" si="6"/>
        <v>3000</v>
      </c>
      <c r="K49" s="564">
        <v>5.9999999999999995E-4</v>
      </c>
    </row>
    <row r="50" spans="3:11" ht="21.6" customHeight="1">
      <c r="C50" s="537" t="s">
        <v>1206</v>
      </c>
      <c r="D50" s="212" t="s">
        <v>19</v>
      </c>
      <c r="E50" s="213" t="s">
        <v>6</v>
      </c>
      <c r="F50" s="564">
        <v>6.7000000000000002E-3</v>
      </c>
      <c r="G50" s="539">
        <f>VLOOKUP(D50,upahbahan,3,FALSE)</f>
        <v>160000</v>
      </c>
      <c r="H50" s="540">
        <f t="shared" si="6"/>
        <v>1072</v>
      </c>
    </row>
    <row r="51" spans="3:11" ht="21.6" customHeight="1">
      <c r="C51" s="207" t="s">
        <v>1208</v>
      </c>
      <c r="D51" s="208"/>
      <c r="E51" s="208"/>
      <c r="F51" s="521"/>
      <c r="G51" s="522"/>
      <c r="H51" s="540">
        <f>SUM(H47:H50)</f>
        <v>73072</v>
      </c>
      <c r="I51" s="542"/>
      <c r="J51" s="542"/>
      <c r="K51" s="542"/>
    </row>
    <row r="52" spans="3:11" ht="21.6" customHeight="1">
      <c r="C52" s="543" t="s">
        <v>1209</v>
      </c>
      <c r="D52" s="544" t="s">
        <v>1210</v>
      </c>
      <c r="E52" s="534"/>
      <c r="G52" s="534"/>
      <c r="H52" s="545"/>
    </row>
    <row r="53" spans="3:11" ht="21.6" customHeight="1">
      <c r="C53" s="537">
        <v>1</v>
      </c>
      <c r="D53" s="212" t="s">
        <v>6581</v>
      </c>
      <c r="E53" s="213" t="s">
        <v>2167</v>
      </c>
      <c r="F53" s="564">
        <v>1</v>
      </c>
      <c r="G53" s="539">
        <f>VLOOKUP(D53,upahbahan,3,FALSE)</f>
        <v>0</v>
      </c>
      <c r="H53" s="540">
        <f t="shared" ref="H53" si="7">F53*G53</f>
        <v>0</v>
      </c>
    </row>
    <row r="54" spans="3:11" ht="21.6" customHeight="1">
      <c r="C54" s="207" t="s">
        <v>1214</v>
      </c>
      <c r="D54" s="208"/>
      <c r="E54" s="208"/>
      <c r="F54" s="208"/>
      <c r="G54" s="209"/>
      <c r="H54" s="540">
        <f>SUM(H53)</f>
        <v>0</v>
      </c>
    </row>
    <row r="55" spans="3:11" ht="21.6" customHeight="1">
      <c r="C55" s="549" t="s">
        <v>1215</v>
      </c>
      <c r="D55" s="212" t="s">
        <v>1216</v>
      </c>
      <c r="E55" s="534"/>
      <c r="F55" s="534"/>
      <c r="G55" s="534"/>
      <c r="H55" s="535"/>
    </row>
    <row r="56" spans="3:11" ht="21.6" customHeight="1">
      <c r="C56" s="207" t="s">
        <v>1217</v>
      </c>
      <c r="D56" s="208"/>
      <c r="E56" s="208"/>
      <c r="F56" s="208"/>
      <c r="G56" s="209"/>
      <c r="H56" s="565">
        <v>0</v>
      </c>
    </row>
    <row r="57" spans="3:11" ht="21.6" customHeight="1">
      <c r="C57" s="551" t="s">
        <v>1218</v>
      </c>
      <c r="D57" s="552" t="s">
        <v>1219</v>
      </c>
      <c r="E57" s="553"/>
      <c r="F57" s="553"/>
      <c r="G57" s="554"/>
      <c r="H57" s="540">
        <f>H56+H54+H51</f>
        <v>73072</v>
      </c>
    </row>
    <row r="58" spans="3:11" ht="21.6" customHeight="1">
      <c r="C58" s="551" t="s">
        <v>1220</v>
      </c>
      <c r="D58" s="552" t="s">
        <v>1321</v>
      </c>
      <c r="E58" s="553"/>
      <c r="F58" s="554"/>
      <c r="G58" s="555">
        <f>$O$8</f>
        <v>0.1</v>
      </c>
      <c r="H58" s="540">
        <f>H57*G58</f>
        <v>7307.2000000000007</v>
      </c>
    </row>
    <row r="59" spans="3:11" ht="21.6" customHeight="1" thickBot="1">
      <c r="C59" s="556" t="s">
        <v>1221</v>
      </c>
      <c r="D59" s="557" t="s">
        <v>1222</v>
      </c>
      <c r="E59" s="558"/>
      <c r="F59" s="558"/>
      <c r="G59" s="559"/>
      <c r="H59" s="560">
        <f>SUM(H57:H58)</f>
        <v>80379.199999999997</v>
      </c>
    </row>
    <row r="60" spans="3:11" ht="15" thickTop="1">
      <c r="C60" s="561"/>
      <c r="D60" s="562"/>
      <c r="E60" s="562"/>
      <c r="F60" s="562"/>
      <c r="G60" s="562"/>
      <c r="H60" s="563"/>
    </row>
    <row r="61" spans="3:11" ht="15" thickBot="1">
      <c r="C61" s="513" t="s">
        <v>6582</v>
      </c>
      <c r="D61" s="531" t="s">
        <v>6583</v>
      </c>
      <c r="E61" s="532"/>
      <c r="F61" s="532"/>
      <c r="G61" s="532"/>
      <c r="H61" s="532"/>
      <c r="I61" s="533">
        <f>ROUNDDOWN(H76,-2)</f>
        <v>29100</v>
      </c>
      <c r="J61" s="533" t="s">
        <v>6451</v>
      </c>
      <c r="K61" s="533" t="s">
        <v>6584</v>
      </c>
    </row>
    <row r="62" spans="3:11" ht="29.4" thickTop="1">
      <c r="C62" s="190" t="s">
        <v>1195</v>
      </c>
      <c r="D62" s="191" t="s">
        <v>1196</v>
      </c>
      <c r="E62" s="191" t="s">
        <v>1197</v>
      </c>
      <c r="F62" s="191" t="s">
        <v>1198</v>
      </c>
      <c r="G62" s="191" t="s">
        <v>1199</v>
      </c>
      <c r="H62" s="192" t="s">
        <v>1200</v>
      </c>
    </row>
    <row r="63" spans="3:11" ht="21.6" customHeight="1">
      <c r="C63" s="518" t="s">
        <v>1201</v>
      </c>
      <c r="D63" s="212" t="s">
        <v>1202</v>
      </c>
      <c r="E63" s="534"/>
      <c r="F63" s="534"/>
      <c r="G63" s="534"/>
      <c r="H63" s="535"/>
      <c r="K63" s="564"/>
    </row>
    <row r="64" spans="3:11" ht="21.6" customHeight="1">
      <c r="C64" s="537" t="s">
        <v>1203</v>
      </c>
      <c r="D64" s="212" t="s">
        <v>5</v>
      </c>
      <c r="E64" s="213" t="s">
        <v>6</v>
      </c>
      <c r="F64" s="564">
        <v>0.1</v>
      </c>
      <c r="G64" s="539">
        <f>VLOOKUP(D64,upahbahan,3,FALSE)</f>
        <v>100000</v>
      </c>
      <c r="H64" s="540">
        <f t="shared" ref="H64:H67" si="8">F64*G64</f>
        <v>10000</v>
      </c>
      <c r="K64" s="564"/>
    </row>
    <row r="65" spans="3:11" ht="21.6" customHeight="1">
      <c r="C65" s="537" t="s">
        <v>1204</v>
      </c>
      <c r="D65" s="212" t="s">
        <v>11</v>
      </c>
      <c r="E65" s="213" t="s">
        <v>6</v>
      </c>
      <c r="F65" s="564">
        <v>0.1</v>
      </c>
      <c r="G65" s="539">
        <f>VLOOKUP(D65,upahbahan,3,FALSE)</f>
        <v>145000</v>
      </c>
      <c r="H65" s="540">
        <f t="shared" si="8"/>
        <v>14500</v>
      </c>
      <c r="K65" s="564"/>
    </row>
    <row r="66" spans="3:11" ht="21.6" customHeight="1">
      <c r="C66" s="537" t="s">
        <v>1205</v>
      </c>
      <c r="D66" s="212" t="s">
        <v>18</v>
      </c>
      <c r="E66" s="213" t="s">
        <v>6</v>
      </c>
      <c r="F66" s="564">
        <v>0.01</v>
      </c>
      <c r="G66" s="539">
        <f>VLOOKUP(D66,upahbahan,3,FALSE)</f>
        <v>150000</v>
      </c>
      <c r="H66" s="540">
        <f t="shared" si="8"/>
        <v>1500</v>
      </c>
      <c r="K66" s="564"/>
    </row>
    <row r="67" spans="3:11" ht="21.6" customHeight="1">
      <c r="C67" s="537" t="s">
        <v>1206</v>
      </c>
      <c r="D67" s="212" t="s">
        <v>19</v>
      </c>
      <c r="E67" s="213" t="s">
        <v>6</v>
      </c>
      <c r="F67" s="564">
        <v>3.3E-3</v>
      </c>
      <c r="G67" s="539">
        <f>VLOOKUP(D67,upahbahan,3,FALSE)</f>
        <v>160000</v>
      </c>
      <c r="H67" s="540">
        <f t="shared" si="8"/>
        <v>528</v>
      </c>
    </row>
    <row r="68" spans="3:11" ht="21.6" customHeight="1">
      <c r="C68" s="207" t="s">
        <v>1208</v>
      </c>
      <c r="D68" s="208"/>
      <c r="E68" s="208"/>
      <c r="F68" s="521"/>
      <c r="G68" s="522"/>
      <c r="H68" s="540">
        <f>SUM(H64:H67)</f>
        <v>26528</v>
      </c>
      <c r="I68" s="542"/>
      <c r="J68" s="542"/>
      <c r="K68" s="542"/>
    </row>
    <row r="69" spans="3:11" ht="21.6" customHeight="1">
      <c r="C69" s="543" t="s">
        <v>1209</v>
      </c>
      <c r="D69" s="544" t="s">
        <v>1210</v>
      </c>
      <c r="E69" s="534"/>
      <c r="G69" s="534"/>
      <c r="H69" s="545"/>
    </row>
    <row r="70" spans="3:11" ht="33" customHeight="1">
      <c r="C70" s="537">
        <v>1</v>
      </c>
      <c r="D70" s="212" t="s">
        <v>6581</v>
      </c>
      <c r="E70" s="213" t="s">
        <v>2167</v>
      </c>
      <c r="F70" s="564">
        <v>1</v>
      </c>
      <c r="G70" s="539">
        <f>VLOOKUP(D70,upahbahan,3,FALSE)</f>
        <v>0</v>
      </c>
      <c r="H70" s="540">
        <f t="shared" ref="H70" si="9">F70*G70</f>
        <v>0</v>
      </c>
    </row>
    <row r="71" spans="3:11" ht="21.6" customHeight="1">
      <c r="C71" s="207" t="s">
        <v>1214</v>
      </c>
      <c r="D71" s="208"/>
      <c r="E71" s="208"/>
      <c r="F71" s="208"/>
      <c r="G71" s="209"/>
      <c r="H71" s="540">
        <f>SUM(H70)</f>
        <v>0</v>
      </c>
    </row>
    <row r="72" spans="3:11" ht="21.6" customHeight="1">
      <c r="C72" s="549" t="s">
        <v>1215</v>
      </c>
      <c r="D72" s="212" t="s">
        <v>1216</v>
      </c>
      <c r="E72" s="534"/>
      <c r="F72" s="534"/>
      <c r="G72" s="534"/>
      <c r="H72" s="535"/>
    </row>
    <row r="73" spans="3:11" ht="21.6" customHeight="1">
      <c r="C73" s="207" t="s">
        <v>1217</v>
      </c>
      <c r="D73" s="208"/>
      <c r="E73" s="208"/>
      <c r="F73" s="208"/>
      <c r="G73" s="209"/>
      <c r="H73" s="565">
        <v>0</v>
      </c>
    </row>
    <row r="74" spans="3:11" ht="21.6" customHeight="1">
      <c r="C74" s="551" t="s">
        <v>1218</v>
      </c>
      <c r="D74" s="552" t="s">
        <v>1219</v>
      </c>
      <c r="E74" s="553"/>
      <c r="F74" s="553"/>
      <c r="G74" s="554"/>
      <c r="H74" s="540">
        <f>H73+H71+H68</f>
        <v>26528</v>
      </c>
    </row>
    <row r="75" spans="3:11" ht="21.6" customHeight="1">
      <c r="C75" s="551" t="s">
        <v>1220</v>
      </c>
      <c r="D75" s="552" t="s">
        <v>1321</v>
      </c>
      <c r="E75" s="553"/>
      <c r="F75" s="554"/>
      <c r="G75" s="555">
        <f>$O$8</f>
        <v>0.1</v>
      </c>
      <c r="H75" s="540">
        <f>H74*G75</f>
        <v>2652.8</v>
      </c>
    </row>
    <row r="76" spans="3:11" ht="21.6" customHeight="1" thickBot="1">
      <c r="C76" s="556" t="s">
        <v>1221</v>
      </c>
      <c r="D76" s="557" t="s">
        <v>1222</v>
      </c>
      <c r="E76" s="558"/>
      <c r="F76" s="558"/>
      <c r="G76" s="559"/>
      <c r="H76" s="560">
        <f>SUM(H74:H75)</f>
        <v>29180.799999999999</v>
      </c>
    </row>
    <row r="77" spans="3:11" ht="15" thickTop="1">
      <c r="C77" s="561"/>
      <c r="D77" s="562"/>
      <c r="E77" s="562"/>
      <c r="F77" s="562"/>
      <c r="G77" s="562"/>
      <c r="H77" s="563"/>
    </row>
    <row r="78" spans="3:11" ht="15" thickBot="1">
      <c r="C78" s="513" t="s">
        <v>3156</v>
      </c>
      <c r="D78" s="531" t="s">
        <v>3157</v>
      </c>
      <c r="E78" s="532"/>
      <c r="F78" s="532"/>
      <c r="G78" s="532"/>
      <c r="H78" s="532"/>
      <c r="I78" s="533">
        <f>ROUNDDOWN(H95,-2)</f>
        <v>27800</v>
      </c>
      <c r="J78" s="533"/>
      <c r="K78" s="533"/>
    </row>
    <row r="79" spans="3:11" ht="29.4" thickTop="1">
      <c r="C79" s="190" t="s">
        <v>1195</v>
      </c>
      <c r="D79" s="191" t="s">
        <v>1196</v>
      </c>
      <c r="E79" s="191" t="s">
        <v>1197</v>
      </c>
      <c r="F79" s="191" t="s">
        <v>1198</v>
      </c>
      <c r="G79" s="191" t="s">
        <v>1199</v>
      </c>
      <c r="H79" s="192" t="s">
        <v>1200</v>
      </c>
    </row>
    <row r="80" spans="3:11" ht="21.6" customHeight="1">
      <c r="C80" s="518" t="s">
        <v>1201</v>
      </c>
      <c r="D80" s="212" t="s">
        <v>1202</v>
      </c>
      <c r="E80" s="534"/>
      <c r="F80" s="534"/>
      <c r="G80" s="534"/>
      <c r="H80" s="535"/>
    </row>
    <row r="81" spans="3:11" ht="21.6" customHeight="1">
      <c r="C81" s="537" t="s">
        <v>1203</v>
      </c>
      <c r="D81" s="212" t="s">
        <v>5</v>
      </c>
      <c r="E81" s="213" t="s">
        <v>6</v>
      </c>
      <c r="F81" s="564">
        <v>3.5999999999999997E-2</v>
      </c>
      <c r="G81" s="539">
        <f>VLOOKUP(D81,upahbahan,3,FALSE)</f>
        <v>100000</v>
      </c>
      <c r="H81" s="540">
        <f t="shared" ref="H81:H84" si="10">F81*G81</f>
        <v>3599.9999999999995</v>
      </c>
    </row>
    <row r="82" spans="3:11" ht="21.6" customHeight="1">
      <c r="C82" s="537" t="s">
        <v>1204</v>
      </c>
      <c r="D82" s="212" t="s">
        <v>9</v>
      </c>
      <c r="E82" s="213" t="s">
        <v>6</v>
      </c>
      <c r="F82" s="564">
        <v>3.5999999999999997E-2</v>
      </c>
      <c r="G82" s="539">
        <f>VLOOKUP(D82,upahbahan,3,FALSE)</f>
        <v>135000</v>
      </c>
      <c r="H82" s="540">
        <f t="shared" si="10"/>
        <v>4860</v>
      </c>
    </row>
    <row r="83" spans="3:11" ht="21.6" customHeight="1">
      <c r="C83" s="537" t="s">
        <v>1205</v>
      </c>
      <c r="D83" s="212" t="s">
        <v>18</v>
      </c>
      <c r="E83" s="213" t="s">
        <v>6</v>
      </c>
      <c r="F83" s="564">
        <v>3.5999999999999999E-3</v>
      </c>
      <c r="G83" s="539">
        <f>VLOOKUP(D83,upahbahan,3,FALSE)</f>
        <v>150000</v>
      </c>
      <c r="H83" s="540">
        <f t="shared" si="10"/>
        <v>540</v>
      </c>
    </row>
    <row r="84" spans="3:11" ht="21.6" customHeight="1">
      <c r="C84" s="537" t="s">
        <v>1206</v>
      </c>
      <c r="D84" s="212" t="s">
        <v>19</v>
      </c>
      <c r="E84" s="213" t="s">
        <v>6</v>
      </c>
      <c r="F84" s="564">
        <v>1.1999999999999999E-3</v>
      </c>
      <c r="G84" s="539">
        <f>VLOOKUP(D84,upahbahan,3,FALSE)</f>
        <v>160000</v>
      </c>
      <c r="H84" s="540">
        <f t="shared" si="10"/>
        <v>191.99999999999997</v>
      </c>
    </row>
    <row r="85" spans="3:11" ht="21.6" customHeight="1">
      <c r="C85" s="207" t="s">
        <v>1208</v>
      </c>
      <c r="D85" s="208"/>
      <c r="E85" s="208"/>
      <c r="F85" s="521"/>
      <c r="G85" s="522"/>
      <c r="H85" s="540">
        <f>SUM(H81:H84)</f>
        <v>9192</v>
      </c>
      <c r="I85" s="542"/>
      <c r="J85" s="542"/>
      <c r="K85" s="542"/>
    </row>
    <row r="86" spans="3:11" ht="21.6" customHeight="1">
      <c r="C86" s="543" t="s">
        <v>1209</v>
      </c>
      <c r="D86" s="544" t="s">
        <v>1210</v>
      </c>
      <c r="E86" s="534"/>
      <c r="G86" s="534"/>
      <c r="H86" s="545"/>
    </row>
    <row r="87" spans="3:11" ht="21" customHeight="1">
      <c r="C87" s="546" t="s">
        <v>1203</v>
      </c>
      <c r="D87" s="544" t="s">
        <v>961</v>
      </c>
      <c r="E87" s="234" t="s">
        <v>62</v>
      </c>
      <c r="F87" s="547">
        <v>0.09</v>
      </c>
      <c r="G87" s="539">
        <f>VLOOKUP(D87,upahbahan,3,FALSE)</f>
        <v>179000</v>
      </c>
      <c r="H87" s="540">
        <f t="shared" ref="H87:H89" si="11">F87*G87</f>
        <v>16110</v>
      </c>
    </row>
    <row r="88" spans="3:11" ht="21.6" customHeight="1">
      <c r="C88" s="546" t="s">
        <v>1204</v>
      </c>
      <c r="D88" s="544" t="s">
        <v>1018</v>
      </c>
      <c r="E88" s="234" t="s">
        <v>44</v>
      </c>
      <c r="F88" s="548">
        <v>4</v>
      </c>
      <c r="G88" s="539">
        <f>VLOOKUP(D88,upahbahan,3,FALSE)</f>
        <v>0</v>
      </c>
      <c r="H88" s="540">
        <f t="shared" si="11"/>
        <v>0</v>
      </c>
    </row>
    <row r="89" spans="3:11" ht="21.6" customHeight="1">
      <c r="C89" s="546" t="s">
        <v>1205</v>
      </c>
      <c r="D89" s="544" t="s">
        <v>982</v>
      </c>
      <c r="E89" s="234" t="s">
        <v>62</v>
      </c>
      <c r="F89" s="548">
        <v>1</v>
      </c>
      <c r="G89" s="539">
        <f>VLOOKUP(D89,upahbahan,3,FALSE)</f>
        <v>0</v>
      </c>
      <c r="H89" s="540">
        <f t="shared" si="11"/>
        <v>0</v>
      </c>
    </row>
    <row r="90" spans="3:11" ht="21.6" customHeight="1">
      <c r="C90" s="207" t="s">
        <v>1214</v>
      </c>
      <c r="D90" s="208"/>
      <c r="E90" s="208"/>
      <c r="F90" s="208"/>
      <c r="G90" s="209"/>
      <c r="H90" s="540">
        <f>SUM(H87:H89)</f>
        <v>16110</v>
      </c>
    </row>
    <row r="91" spans="3:11" ht="21.6" customHeight="1">
      <c r="C91" s="549" t="s">
        <v>1215</v>
      </c>
      <c r="D91" s="212" t="s">
        <v>1216</v>
      </c>
      <c r="E91" s="534"/>
      <c r="F91" s="534"/>
      <c r="G91" s="534"/>
      <c r="H91" s="535"/>
    </row>
    <row r="92" spans="3:11" ht="21.6" customHeight="1">
      <c r="C92" s="207" t="s">
        <v>1217</v>
      </c>
      <c r="D92" s="208"/>
      <c r="E92" s="208"/>
      <c r="F92" s="208"/>
      <c r="G92" s="209"/>
      <c r="H92" s="565">
        <v>0</v>
      </c>
    </row>
    <row r="93" spans="3:11" ht="21.6" customHeight="1">
      <c r="C93" s="551" t="s">
        <v>1218</v>
      </c>
      <c r="D93" s="552" t="s">
        <v>1219</v>
      </c>
      <c r="E93" s="553"/>
      <c r="F93" s="553"/>
      <c r="G93" s="554"/>
      <c r="H93" s="540">
        <f>H92+H90+H85</f>
        <v>25302</v>
      </c>
    </row>
    <row r="94" spans="3:11" ht="21.6" customHeight="1">
      <c r="C94" s="551" t="s">
        <v>1220</v>
      </c>
      <c r="D94" s="552" t="s">
        <v>1321</v>
      </c>
      <c r="E94" s="553"/>
      <c r="F94" s="554"/>
      <c r="G94" s="555">
        <f>$O$8</f>
        <v>0.1</v>
      </c>
      <c r="H94" s="540">
        <f>H93*G94</f>
        <v>2530.2000000000003</v>
      </c>
    </row>
    <row r="95" spans="3:11" ht="21.6" customHeight="1" thickBot="1">
      <c r="C95" s="556" t="s">
        <v>1221</v>
      </c>
      <c r="D95" s="557" t="s">
        <v>1222</v>
      </c>
      <c r="E95" s="558"/>
      <c r="F95" s="558"/>
      <c r="G95" s="559"/>
      <c r="H95" s="560">
        <f>SUM(H93:H94)</f>
        <v>27832.2</v>
      </c>
    </row>
    <row r="96" spans="3:11" ht="15" thickTop="1">
      <c r="C96" s="561"/>
      <c r="D96" s="562"/>
      <c r="E96" s="562"/>
      <c r="F96" s="562"/>
      <c r="G96" s="562"/>
      <c r="H96" s="563"/>
    </row>
    <row r="97" spans="3:11" ht="15" thickBot="1">
      <c r="C97" s="513" t="s">
        <v>3159</v>
      </c>
      <c r="D97" s="531" t="s">
        <v>3158</v>
      </c>
      <c r="E97" s="532"/>
      <c r="F97" s="532"/>
      <c r="G97" s="532"/>
      <c r="H97" s="532"/>
      <c r="I97" s="533">
        <f>ROUNDDOWN(H112,-2)</f>
        <v>12900</v>
      </c>
      <c r="J97" s="533"/>
      <c r="K97" s="533"/>
    </row>
    <row r="98" spans="3:11" ht="29.4" thickTop="1">
      <c r="C98" s="190" t="s">
        <v>1195</v>
      </c>
      <c r="D98" s="191" t="s">
        <v>1196</v>
      </c>
      <c r="E98" s="191" t="s">
        <v>1197</v>
      </c>
      <c r="F98" s="191" t="s">
        <v>1198</v>
      </c>
      <c r="G98" s="191" t="s">
        <v>1199</v>
      </c>
      <c r="H98" s="192" t="s">
        <v>1200</v>
      </c>
    </row>
    <row r="99" spans="3:11" ht="21.6" customHeight="1">
      <c r="C99" s="518" t="s">
        <v>1201</v>
      </c>
      <c r="D99" s="212" t="s">
        <v>1202</v>
      </c>
      <c r="E99" s="534"/>
      <c r="F99" s="534"/>
      <c r="G99" s="534"/>
      <c r="H99" s="535"/>
    </row>
    <row r="100" spans="3:11" ht="21.6" customHeight="1">
      <c r="C100" s="537" t="s">
        <v>1203</v>
      </c>
      <c r="D100" s="212" t="s">
        <v>5</v>
      </c>
      <c r="E100" s="213" t="s">
        <v>6</v>
      </c>
      <c r="F100" s="564">
        <v>0.09</v>
      </c>
      <c r="G100" s="539">
        <f>VLOOKUP(D100,upahbahan,3,FALSE)</f>
        <v>100000</v>
      </c>
      <c r="H100" s="540">
        <f t="shared" ref="H100:H103" si="12">F100*G100</f>
        <v>9000</v>
      </c>
    </row>
    <row r="101" spans="3:11" ht="21.6" customHeight="1">
      <c r="C101" s="537" t="s">
        <v>1204</v>
      </c>
      <c r="D101" s="212" t="s">
        <v>9</v>
      </c>
      <c r="E101" s="213" t="s">
        <v>6</v>
      </c>
      <c r="F101" s="564">
        <v>1.7999999999999999E-2</v>
      </c>
      <c r="G101" s="539">
        <f>VLOOKUP(D101,upahbahan,3,FALSE)</f>
        <v>135000</v>
      </c>
      <c r="H101" s="540">
        <f t="shared" si="12"/>
        <v>2430</v>
      </c>
    </row>
    <row r="102" spans="3:11" ht="21.6" customHeight="1">
      <c r="C102" s="537" t="s">
        <v>1205</v>
      </c>
      <c r="D102" s="212" t="s">
        <v>18</v>
      </c>
      <c r="E102" s="213" t="s">
        <v>6</v>
      </c>
      <c r="F102" s="564">
        <v>1.8E-3</v>
      </c>
      <c r="G102" s="539">
        <f>VLOOKUP(D102,upahbahan,3,FALSE)</f>
        <v>150000</v>
      </c>
      <c r="H102" s="540">
        <f t="shared" si="12"/>
        <v>270</v>
      </c>
    </row>
    <row r="103" spans="3:11" ht="21.6" customHeight="1">
      <c r="C103" s="537" t="s">
        <v>1206</v>
      </c>
      <c r="D103" s="212" t="s">
        <v>19</v>
      </c>
      <c r="E103" s="213" t="s">
        <v>6</v>
      </c>
      <c r="F103" s="564">
        <v>5.9999999999999995E-4</v>
      </c>
      <c r="G103" s="539">
        <f>VLOOKUP(D103,upahbahan,3,FALSE)</f>
        <v>160000</v>
      </c>
      <c r="H103" s="540">
        <f t="shared" si="12"/>
        <v>95.999999999999986</v>
      </c>
    </row>
    <row r="104" spans="3:11" ht="21.6" customHeight="1">
      <c r="C104" s="207" t="s">
        <v>1208</v>
      </c>
      <c r="D104" s="208"/>
      <c r="E104" s="208"/>
      <c r="F104" s="521"/>
      <c r="G104" s="522"/>
      <c r="H104" s="540">
        <f>SUM(H100:H103)</f>
        <v>11796</v>
      </c>
      <c r="I104" s="542"/>
      <c r="J104" s="542"/>
      <c r="K104" s="542"/>
    </row>
    <row r="105" spans="3:11" ht="21.6" customHeight="1">
      <c r="C105" s="543" t="s">
        <v>1209</v>
      </c>
      <c r="D105" s="544" t="s">
        <v>1210</v>
      </c>
      <c r="E105" s="534"/>
      <c r="G105" s="534"/>
      <c r="H105" s="545"/>
    </row>
    <row r="106" spans="3:11" ht="21.6" customHeight="1">
      <c r="C106" s="546">
        <v>1</v>
      </c>
      <c r="D106" s="544" t="s">
        <v>982</v>
      </c>
      <c r="E106" s="234" t="s">
        <v>62</v>
      </c>
      <c r="F106" s="548">
        <v>1</v>
      </c>
      <c r="G106" s="539">
        <f>VLOOKUP(D106,upahbahan,3,FALSE)</f>
        <v>0</v>
      </c>
      <c r="H106" s="540">
        <f t="shared" ref="H106" si="13">F106*G106</f>
        <v>0</v>
      </c>
    </row>
    <row r="107" spans="3:11" ht="21.6" customHeight="1">
      <c r="C107" s="207" t="s">
        <v>1214</v>
      </c>
      <c r="D107" s="208"/>
      <c r="E107" s="208"/>
      <c r="F107" s="208"/>
      <c r="G107" s="209"/>
      <c r="H107" s="540">
        <f>SUM(H106:H106)</f>
        <v>0</v>
      </c>
    </row>
    <row r="108" spans="3:11" ht="21.6" customHeight="1">
      <c r="C108" s="549" t="s">
        <v>1215</v>
      </c>
      <c r="D108" s="212" t="s">
        <v>1216</v>
      </c>
      <c r="E108" s="534"/>
      <c r="F108" s="534"/>
      <c r="G108" s="534"/>
      <c r="H108" s="535"/>
    </row>
    <row r="109" spans="3:11" ht="21.6" customHeight="1">
      <c r="C109" s="207" t="s">
        <v>1217</v>
      </c>
      <c r="D109" s="208"/>
      <c r="E109" s="208"/>
      <c r="F109" s="208"/>
      <c r="G109" s="209"/>
      <c r="H109" s="565">
        <v>0</v>
      </c>
    </row>
    <row r="110" spans="3:11" ht="21.6" customHeight="1">
      <c r="C110" s="551" t="s">
        <v>1218</v>
      </c>
      <c r="D110" s="552" t="s">
        <v>1219</v>
      </c>
      <c r="E110" s="553"/>
      <c r="F110" s="553"/>
      <c r="G110" s="554"/>
      <c r="H110" s="540">
        <f>H109+H107+H104</f>
        <v>11796</v>
      </c>
    </row>
    <row r="111" spans="3:11" ht="21.6" customHeight="1">
      <c r="C111" s="551" t="s">
        <v>1220</v>
      </c>
      <c r="D111" s="552" t="s">
        <v>1321</v>
      </c>
      <c r="E111" s="553"/>
      <c r="F111" s="554"/>
      <c r="G111" s="555">
        <f>$O$8</f>
        <v>0.1</v>
      </c>
      <c r="H111" s="540">
        <f>H110*G111</f>
        <v>1179.6000000000001</v>
      </c>
    </row>
    <row r="112" spans="3:11" ht="21.6" customHeight="1" thickBot="1">
      <c r="C112" s="556" t="s">
        <v>1221</v>
      </c>
      <c r="D112" s="557" t="s">
        <v>1222</v>
      </c>
      <c r="E112" s="558"/>
      <c r="F112" s="558"/>
      <c r="G112" s="559"/>
      <c r="H112" s="560">
        <f>SUM(H110:H111)</f>
        <v>12975.6</v>
      </c>
    </row>
    <row r="113" spans="3:11" ht="15" thickTop="1">
      <c r="C113" s="561"/>
      <c r="D113" s="562"/>
      <c r="E113" s="562"/>
      <c r="F113" s="562"/>
      <c r="G113" s="562"/>
      <c r="H113" s="563"/>
    </row>
    <row r="115" spans="3:11" ht="15" thickBot="1">
      <c r="C115" s="573" t="s">
        <v>3160</v>
      </c>
      <c r="D115" s="531" t="s">
        <v>3161</v>
      </c>
      <c r="E115" s="532"/>
      <c r="F115" s="532"/>
      <c r="G115" s="532"/>
      <c r="H115" s="532"/>
      <c r="I115" s="533">
        <f>ROUNDDOWN(H132,-2)</f>
        <v>137200</v>
      </c>
      <c r="J115" s="533"/>
      <c r="K115" s="533"/>
    </row>
    <row r="116" spans="3:11" ht="29.4" thickTop="1">
      <c r="C116" s="190" t="s">
        <v>1195</v>
      </c>
      <c r="D116" s="191" t="s">
        <v>1196</v>
      </c>
      <c r="E116" s="191" t="s">
        <v>1197</v>
      </c>
      <c r="F116" s="191" t="s">
        <v>1198</v>
      </c>
      <c r="G116" s="191" t="s">
        <v>1199</v>
      </c>
      <c r="H116" s="192" t="s">
        <v>1200</v>
      </c>
    </row>
    <row r="117" spans="3:11" ht="21.6" customHeight="1">
      <c r="C117" s="518" t="s">
        <v>1201</v>
      </c>
      <c r="D117" s="212" t="s">
        <v>1202</v>
      </c>
      <c r="E117" s="534"/>
      <c r="F117" s="534"/>
      <c r="G117" s="534"/>
      <c r="H117" s="535"/>
    </row>
    <row r="118" spans="3:11" ht="21.6" customHeight="1">
      <c r="C118" s="537" t="s">
        <v>1203</v>
      </c>
      <c r="D118" s="212" t="s">
        <v>5</v>
      </c>
      <c r="E118" s="213" t="s">
        <v>6</v>
      </c>
      <c r="F118" s="564">
        <v>0.04</v>
      </c>
      <c r="G118" s="539">
        <f>VLOOKUP(D118,upahbahan,3,FALSE)</f>
        <v>100000</v>
      </c>
      <c r="H118" s="540">
        <f t="shared" ref="H118:H121" si="14">F118*G118</f>
        <v>4000</v>
      </c>
    </row>
    <row r="119" spans="3:11" ht="21.6" customHeight="1">
      <c r="C119" s="537" t="s">
        <v>1204</v>
      </c>
      <c r="D119" s="212" t="s">
        <v>12</v>
      </c>
      <c r="E119" s="213" t="s">
        <v>6</v>
      </c>
      <c r="F119" s="564">
        <v>0.08</v>
      </c>
      <c r="G119" s="539">
        <f>VLOOKUP(D119,upahbahan,3,FALSE)</f>
        <v>135000</v>
      </c>
      <c r="H119" s="540">
        <f t="shared" si="14"/>
        <v>10800</v>
      </c>
    </row>
    <row r="120" spans="3:11" ht="21.6" customHeight="1">
      <c r="C120" s="537" t="s">
        <v>1205</v>
      </c>
      <c r="D120" s="212" t="s">
        <v>18</v>
      </c>
      <c r="E120" s="213" t="s">
        <v>6</v>
      </c>
      <c r="F120" s="564">
        <v>4.0000000000000001E-3</v>
      </c>
      <c r="G120" s="539">
        <f>VLOOKUP(D120,upahbahan,3,FALSE)</f>
        <v>150000</v>
      </c>
      <c r="H120" s="540">
        <f t="shared" si="14"/>
        <v>600</v>
      </c>
    </row>
    <row r="121" spans="3:11" ht="21.6" customHeight="1">
      <c r="C121" s="537" t="s">
        <v>1206</v>
      </c>
      <c r="D121" s="212" t="s">
        <v>19</v>
      </c>
      <c r="E121" s="213" t="s">
        <v>6</v>
      </c>
      <c r="F121" s="564">
        <v>1.2999999999999999E-3</v>
      </c>
      <c r="G121" s="539">
        <f>VLOOKUP(D121,upahbahan,3,FALSE)</f>
        <v>160000</v>
      </c>
      <c r="H121" s="540">
        <f t="shared" si="14"/>
        <v>208</v>
      </c>
    </row>
    <row r="122" spans="3:11" ht="21.6" customHeight="1">
      <c r="C122" s="207" t="s">
        <v>1208</v>
      </c>
      <c r="D122" s="208"/>
      <c r="E122" s="208"/>
      <c r="F122" s="521"/>
      <c r="G122" s="522"/>
      <c r="H122" s="540">
        <f>SUM(H118:H121)</f>
        <v>15608</v>
      </c>
      <c r="I122" s="542"/>
      <c r="J122" s="542"/>
      <c r="K122" s="542"/>
    </row>
    <row r="123" spans="3:11" ht="21.6" customHeight="1">
      <c r="C123" s="543" t="s">
        <v>1209</v>
      </c>
      <c r="D123" s="544" t="s">
        <v>1210</v>
      </c>
      <c r="E123" s="534"/>
      <c r="G123" s="534"/>
      <c r="H123" s="545"/>
    </row>
    <row r="124" spans="3:11" ht="21.6" customHeight="1">
      <c r="C124" s="543">
        <v>1</v>
      </c>
      <c r="D124" s="544" t="s">
        <v>3162</v>
      </c>
      <c r="E124" s="234" t="s">
        <v>65</v>
      </c>
      <c r="F124" s="566">
        <v>3.29</v>
      </c>
      <c r="G124" s="539">
        <f>VLOOKUP(D124,upahbahan,3,FALSE)</f>
        <v>29120</v>
      </c>
      <c r="H124" s="540">
        <f t="shared" ref="H124" si="15">F124*G124</f>
        <v>95804.800000000003</v>
      </c>
    </row>
    <row r="125" spans="3:11" ht="21.6" customHeight="1">
      <c r="C125" s="546">
        <v>2</v>
      </c>
      <c r="D125" s="544" t="s">
        <v>3163</v>
      </c>
      <c r="E125" s="234" t="s">
        <v>65</v>
      </c>
      <c r="F125" s="567">
        <v>0.45900000000000002</v>
      </c>
      <c r="G125" s="539">
        <f>VLOOKUP(D125,upahbahan,3,FALSE)</f>
        <v>18000</v>
      </c>
      <c r="H125" s="540">
        <f t="shared" ref="H125" si="16">F125*G125</f>
        <v>8262</v>
      </c>
    </row>
    <row r="126" spans="3:11" ht="21.6" customHeight="1">
      <c r="C126" s="207" t="s">
        <v>1214</v>
      </c>
      <c r="D126" s="208"/>
      <c r="E126" s="568"/>
      <c r="F126" s="208"/>
      <c r="G126" s="209"/>
      <c r="H126" s="540">
        <f>SUM(H124:H125)</f>
        <v>104066.8</v>
      </c>
    </row>
    <row r="127" spans="3:11" ht="21.6" customHeight="1">
      <c r="C127" s="518" t="s">
        <v>1215</v>
      </c>
      <c r="D127" s="212" t="s">
        <v>1216</v>
      </c>
      <c r="E127" s="234"/>
      <c r="F127" s="534"/>
      <c r="G127" s="534"/>
      <c r="H127" s="535"/>
    </row>
    <row r="128" spans="3:11" ht="21.6" customHeight="1">
      <c r="C128" s="211">
        <v>1</v>
      </c>
      <c r="D128" s="212" t="s">
        <v>3164</v>
      </c>
      <c r="E128" s="234" t="s">
        <v>2396</v>
      </c>
      <c r="F128" s="234">
        <v>5.4899999999999997E-2</v>
      </c>
      <c r="G128" s="539">
        <f>VLOOKUP(D128,upahbahan,3,FALSE)</f>
        <v>92500</v>
      </c>
      <c r="H128" s="540">
        <f>F128*G128</f>
        <v>5078.25</v>
      </c>
    </row>
    <row r="129" spans="3:11" ht="21.6" customHeight="1">
      <c r="C129" s="207" t="s">
        <v>1217</v>
      </c>
      <c r="D129" s="208"/>
      <c r="E129" s="208"/>
      <c r="F129" s="208"/>
      <c r="G129" s="209"/>
      <c r="H129" s="569">
        <f>SUM(H128)</f>
        <v>5078.25</v>
      </c>
    </row>
    <row r="130" spans="3:11" ht="21.6" customHeight="1">
      <c r="C130" s="551" t="s">
        <v>1218</v>
      </c>
      <c r="D130" s="552" t="s">
        <v>1219</v>
      </c>
      <c r="E130" s="553"/>
      <c r="F130" s="553"/>
      <c r="G130" s="554"/>
      <c r="H130" s="540">
        <f>H129+H126+H122</f>
        <v>124753.05</v>
      </c>
    </row>
    <row r="131" spans="3:11" ht="21.6" customHeight="1">
      <c r="C131" s="551" t="s">
        <v>1220</v>
      </c>
      <c r="D131" s="552" t="s">
        <v>1321</v>
      </c>
      <c r="E131" s="553"/>
      <c r="F131" s="554"/>
      <c r="G131" s="555">
        <f>$O$8</f>
        <v>0.1</v>
      </c>
      <c r="H131" s="540">
        <f>H130*G131</f>
        <v>12475.305</v>
      </c>
    </row>
    <row r="132" spans="3:11" ht="21.6" customHeight="1" thickBot="1">
      <c r="C132" s="556" t="s">
        <v>1221</v>
      </c>
      <c r="D132" s="557" t="s">
        <v>1222</v>
      </c>
      <c r="E132" s="558"/>
      <c r="F132" s="558"/>
      <c r="G132" s="559"/>
      <c r="H132" s="560">
        <f>SUM(H130:H131)</f>
        <v>137228.35500000001</v>
      </c>
    </row>
    <row r="133" spans="3:11" ht="15" thickTop="1">
      <c r="C133" s="561"/>
      <c r="D133" s="562"/>
      <c r="E133" s="562"/>
      <c r="F133" s="562"/>
      <c r="G133" s="562"/>
      <c r="H133" s="563"/>
    </row>
    <row r="135" spans="3:11" ht="15" thickBot="1">
      <c r="C135" s="513" t="s">
        <v>3165</v>
      </c>
      <c r="D135" s="531" t="s">
        <v>3166</v>
      </c>
      <c r="E135" s="532"/>
      <c r="F135" s="532"/>
      <c r="G135" s="532"/>
      <c r="H135" s="532"/>
      <c r="I135" s="533">
        <f>ROUNDDOWN(H151,-2)</f>
        <v>454900</v>
      </c>
      <c r="J135" s="533" t="s">
        <v>6451</v>
      </c>
      <c r="K135" s="533" t="s">
        <v>6586</v>
      </c>
    </row>
    <row r="136" spans="3:11" ht="29.4" thickTop="1">
      <c r="C136" s="190" t="s">
        <v>1195</v>
      </c>
      <c r="D136" s="191" t="s">
        <v>1196</v>
      </c>
      <c r="E136" s="191" t="s">
        <v>1197</v>
      </c>
      <c r="F136" s="191" t="s">
        <v>1198</v>
      </c>
      <c r="G136" s="191" t="s">
        <v>1199</v>
      </c>
      <c r="H136" s="192" t="s">
        <v>1200</v>
      </c>
    </row>
    <row r="137" spans="3:11" ht="21.6" customHeight="1">
      <c r="C137" s="518" t="s">
        <v>1201</v>
      </c>
      <c r="D137" s="212" t="s">
        <v>1202</v>
      </c>
      <c r="E137" s="534"/>
      <c r="F137" s="534"/>
      <c r="G137" s="534"/>
      <c r="H137" s="535"/>
    </row>
    <row r="138" spans="3:11" ht="21.6" customHeight="1">
      <c r="C138" s="537" t="s">
        <v>1203</v>
      </c>
      <c r="D138" s="212" t="s">
        <v>5</v>
      </c>
      <c r="E138" s="213" t="s">
        <v>6</v>
      </c>
      <c r="F138" s="564">
        <v>0.05</v>
      </c>
      <c r="G138" s="539">
        <f>VLOOKUP(D138,upahbahan,3,FALSE)</f>
        <v>100000</v>
      </c>
      <c r="H138" s="540">
        <f>F138*G138</f>
        <v>5000</v>
      </c>
    </row>
    <row r="139" spans="3:11" ht="21.6" customHeight="1">
      <c r="C139" s="537" t="s">
        <v>1204</v>
      </c>
      <c r="D139" s="212" t="s">
        <v>9</v>
      </c>
      <c r="E139" s="213" t="s">
        <v>6</v>
      </c>
      <c r="F139" s="564">
        <v>0.05</v>
      </c>
      <c r="G139" s="539">
        <f>VLOOKUP(D139,upahbahan,3,FALSE)</f>
        <v>135000</v>
      </c>
      <c r="H139" s="540">
        <f t="shared" ref="H139:H141" si="17">F139*G139</f>
        <v>6750</v>
      </c>
    </row>
    <row r="140" spans="3:11" ht="21.6" customHeight="1">
      <c r="C140" s="537" t="s">
        <v>1205</v>
      </c>
      <c r="D140" s="212" t="s">
        <v>18</v>
      </c>
      <c r="E140" s="213" t="s">
        <v>6</v>
      </c>
      <c r="F140" s="564">
        <v>5.0000000000000001E-3</v>
      </c>
      <c r="G140" s="539">
        <f>VLOOKUP(D140,upahbahan,3,FALSE)</f>
        <v>150000</v>
      </c>
      <c r="H140" s="540">
        <f t="shared" si="17"/>
        <v>750</v>
      </c>
    </row>
    <row r="141" spans="3:11" ht="21.6" customHeight="1">
      <c r="C141" s="537" t="s">
        <v>1206</v>
      </c>
      <c r="D141" s="212" t="s">
        <v>19</v>
      </c>
      <c r="E141" s="213" t="s">
        <v>6</v>
      </c>
      <c r="F141" s="564">
        <v>2E-3</v>
      </c>
      <c r="G141" s="539">
        <f>VLOOKUP(D141,upahbahan,3,FALSE)</f>
        <v>160000</v>
      </c>
      <c r="H141" s="540">
        <f t="shared" si="17"/>
        <v>320</v>
      </c>
    </row>
    <row r="142" spans="3:11" ht="21.6" customHeight="1">
      <c r="C142" s="207" t="s">
        <v>1208</v>
      </c>
      <c r="D142" s="208"/>
      <c r="E142" s="208"/>
      <c r="F142" s="521"/>
      <c r="G142" s="522"/>
      <c r="H142" s="540">
        <f>SUM(H138:H141)</f>
        <v>12820</v>
      </c>
      <c r="I142" s="542"/>
      <c r="J142" s="542"/>
      <c r="K142" s="542"/>
    </row>
    <row r="143" spans="3:11" ht="21.6" customHeight="1">
      <c r="C143" s="543" t="s">
        <v>1209</v>
      </c>
      <c r="D143" s="544" t="s">
        <v>1210</v>
      </c>
      <c r="E143" s="534"/>
      <c r="G143" s="534"/>
      <c r="H143" s="545"/>
    </row>
    <row r="144" spans="3:11" ht="21.6" customHeight="1">
      <c r="C144" s="543">
        <v>1</v>
      </c>
      <c r="D144" s="544" t="s">
        <v>3167</v>
      </c>
      <c r="E144" s="234" t="s">
        <v>65</v>
      </c>
      <c r="F144" s="570">
        <v>1</v>
      </c>
      <c r="G144" s="539">
        <f>VLOOKUP(D144,upahbahan,3,FALSE)</f>
        <v>400000</v>
      </c>
      <c r="H144" s="540">
        <f t="shared" ref="H144:H145" si="18">F144*G144</f>
        <v>400000</v>
      </c>
    </row>
    <row r="145" spans="3:11" ht="21.6" customHeight="1">
      <c r="C145" s="546">
        <v>2</v>
      </c>
      <c r="D145" s="544" t="s">
        <v>6585</v>
      </c>
      <c r="E145" s="234" t="s">
        <v>65</v>
      </c>
      <c r="F145" s="567">
        <v>4</v>
      </c>
      <c r="G145" s="539">
        <f>VLOOKUP(D145,upahbahan,3,FALSE)</f>
        <v>200</v>
      </c>
      <c r="H145" s="540">
        <f t="shared" si="18"/>
        <v>800</v>
      </c>
      <c r="J145" s="544" t="s">
        <v>3163</v>
      </c>
      <c r="K145" s="517"/>
    </row>
    <row r="146" spans="3:11" ht="21.6" customHeight="1">
      <c r="C146" s="207" t="s">
        <v>1214</v>
      </c>
      <c r="D146" s="208"/>
      <c r="E146" s="568"/>
      <c r="F146" s="208"/>
      <c r="G146" s="209"/>
      <c r="H146" s="540">
        <f>SUM(H144:H145)</f>
        <v>400800</v>
      </c>
    </row>
    <row r="147" spans="3:11" ht="21.6" customHeight="1">
      <c r="C147" s="518" t="s">
        <v>1215</v>
      </c>
      <c r="D147" s="212" t="s">
        <v>1216</v>
      </c>
      <c r="E147" s="234"/>
      <c r="F147" s="534"/>
      <c r="G147" s="534"/>
      <c r="H147" s="535"/>
    </row>
    <row r="148" spans="3:11" ht="21.6" customHeight="1">
      <c r="C148" s="207" t="s">
        <v>1217</v>
      </c>
      <c r="D148" s="208"/>
      <c r="E148" s="208"/>
      <c r="F148" s="208"/>
      <c r="G148" s="209"/>
      <c r="H148" s="569">
        <f>SUM(H147)</f>
        <v>0</v>
      </c>
    </row>
    <row r="149" spans="3:11" ht="21.6" customHeight="1">
      <c r="C149" s="551" t="s">
        <v>1218</v>
      </c>
      <c r="D149" s="552" t="s">
        <v>1219</v>
      </c>
      <c r="E149" s="553"/>
      <c r="F149" s="553"/>
      <c r="G149" s="554"/>
      <c r="H149" s="540">
        <f>H148+H146+H142</f>
        <v>413620</v>
      </c>
    </row>
    <row r="150" spans="3:11" ht="21.6" customHeight="1">
      <c r="C150" s="551" t="s">
        <v>1220</v>
      </c>
      <c r="D150" s="552" t="s">
        <v>1321</v>
      </c>
      <c r="E150" s="553"/>
      <c r="F150" s="554"/>
      <c r="G150" s="555">
        <f>$O$8</f>
        <v>0.1</v>
      </c>
      <c r="H150" s="540">
        <f>H149*G150</f>
        <v>41362</v>
      </c>
    </row>
    <row r="151" spans="3:11" ht="21.6" customHeight="1" thickBot="1">
      <c r="C151" s="556" t="s">
        <v>1221</v>
      </c>
      <c r="D151" s="557" t="s">
        <v>1222</v>
      </c>
      <c r="E151" s="558"/>
      <c r="F151" s="558"/>
      <c r="G151" s="559"/>
      <c r="H151" s="560">
        <f>SUM(H149:H150)</f>
        <v>454982</v>
      </c>
    </row>
    <row r="152" spans="3:11" ht="15" thickTop="1">
      <c r="C152" s="561"/>
      <c r="D152" s="562"/>
      <c r="E152" s="562"/>
      <c r="F152" s="562"/>
      <c r="G152" s="562"/>
      <c r="H152" s="563"/>
    </row>
    <row r="154" spans="3:11" ht="15" thickBot="1">
      <c r="C154" s="513" t="s">
        <v>3168</v>
      </c>
      <c r="D154" s="531" t="s">
        <v>6587</v>
      </c>
      <c r="E154" s="532"/>
      <c r="F154" s="532"/>
      <c r="G154" s="532"/>
      <c r="H154" s="532"/>
      <c r="I154" s="533">
        <f>ROUNDDOWN(H170,-2)</f>
        <v>75400</v>
      </c>
      <c r="J154" s="533" t="s">
        <v>6451</v>
      </c>
      <c r="K154" s="571" t="s">
        <v>6589</v>
      </c>
    </row>
    <row r="155" spans="3:11" ht="29.4" thickTop="1">
      <c r="C155" s="190" t="s">
        <v>1195</v>
      </c>
      <c r="D155" s="191" t="s">
        <v>1196</v>
      </c>
      <c r="E155" s="191" t="s">
        <v>1197</v>
      </c>
      <c r="F155" s="191" t="s">
        <v>1198</v>
      </c>
      <c r="G155" s="191" t="s">
        <v>1199</v>
      </c>
      <c r="H155" s="192" t="s">
        <v>1200</v>
      </c>
    </row>
    <row r="156" spans="3:11" ht="21.6" customHeight="1">
      <c r="C156" s="518" t="s">
        <v>1201</v>
      </c>
      <c r="D156" s="212" t="s">
        <v>1202</v>
      </c>
      <c r="E156" s="534"/>
      <c r="F156" s="534"/>
      <c r="G156" s="534"/>
      <c r="H156" s="535"/>
    </row>
    <row r="157" spans="3:11" ht="21.6" customHeight="1">
      <c r="C157" s="537" t="s">
        <v>1203</v>
      </c>
      <c r="D157" s="212" t="s">
        <v>5</v>
      </c>
      <c r="E157" s="213" t="s">
        <v>6</v>
      </c>
      <c r="F157" s="564">
        <v>0.05</v>
      </c>
      <c r="G157" s="539">
        <f>VLOOKUP(D157,upahbahan,3,FALSE)</f>
        <v>100000</v>
      </c>
      <c r="H157" s="540">
        <f>F157*G157</f>
        <v>5000</v>
      </c>
    </row>
    <row r="158" spans="3:11" ht="21.6" customHeight="1">
      <c r="C158" s="537" t="s">
        <v>1204</v>
      </c>
      <c r="D158" s="212" t="s">
        <v>9</v>
      </c>
      <c r="E158" s="213" t="s">
        <v>6</v>
      </c>
      <c r="F158" s="564">
        <v>0.05</v>
      </c>
      <c r="G158" s="539">
        <f>VLOOKUP(D158,upahbahan,3,FALSE)</f>
        <v>135000</v>
      </c>
      <c r="H158" s="540">
        <f t="shared" ref="H158:H160" si="19">F158*G158</f>
        <v>6750</v>
      </c>
    </row>
    <row r="159" spans="3:11" ht="21.6" customHeight="1">
      <c r="C159" s="537" t="s">
        <v>1205</v>
      </c>
      <c r="D159" s="212" t="s">
        <v>18</v>
      </c>
      <c r="E159" s="213" t="s">
        <v>6</v>
      </c>
      <c r="F159" s="564">
        <v>5.0000000000000001E-3</v>
      </c>
      <c r="G159" s="539">
        <f>VLOOKUP(D159,upahbahan,3,FALSE)</f>
        <v>150000</v>
      </c>
      <c r="H159" s="540">
        <f t="shared" si="19"/>
        <v>750</v>
      </c>
    </row>
    <row r="160" spans="3:11" ht="21.6" customHeight="1">
      <c r="C160" s="537" t="s">
        <v>1206</v>
      </c>
      <c r="D160" s="212" t="s">
        <v>19</v>
      </c>
      <c r="E160" s="213" t="s">
        <v>6</v>
      </c>
      <c r="F160" s="564">
        <v>2E-3</v>
      </c>
      <c r="G160" s="539">
        <f>VLOOKUP(D160,upahbahan,3,FALSE)</f>
        <v>160000</v>
      </c>
      <c r="H160" s="540">
        <f t="shared" si="19"/>
        <v>320</v>
      </c>
    </row>
    <row r="161" spans="3:11" ht="21.6" customHeight="1">
      <c r="C161" s="207" t="s">
        <v>1208</v>
      </c>
      <c r="D161" s="208"/>
      <c r="E161" s="208"/>
      <c r="F161" s="521"/>
      <c r="G161" s="522"/>
      <c r="H161" s="540">
        <f>SUM(H157:H160)</f>
        <v>12820</v>
      </c>
      <c r="I161" s="542"/>
      <c r="J161" s="542"/>
      <c r="K161" s="542"/>
    </row>
    <row r="162" spans="3:11" ht="21.6" customHeight="1">
      <c r="C162" s="543" t="s">
        <v>1209</v>
      </c>
      <c r="D162" s="544" t="s">
        <v>1210</v>
      </c>
      <c r="E162" s="534"/>
      <c r="G162" s="534"/>
      <c r="H162" s="545"/>
    </row>
    <row r="163" spans="3:11" ht="21.6" customHeight="1">
      <c r="C163" s="543">
        <v>1</v>
      </c>
      <c r="D163" s="544" t="s">
        <v>3169</v>
      </c>
      <c r="E163" s="234" t="s">
        <v>65</v>
      </c>
      <c r="F163" s="570">
        <v>1</v>
      </c>
      <c r="G163" s="539">
        <f>VLOOKUP(D163,upahbahan,3,FALSE)</f>
        <v>55000</v>
      </c>
      <c r="H163" s="540">
        <f t="shared" ref="H163:H164" si="20">F163*G163</f>
        <v>55000</v>
      </c>
    </row>
    <row r="164" spans="3:11" ht="21.6" customHeight="1">
      <c r="C164" s="546">
        <v>2</v>
      </c>
      <c r="D164" s="544" t="s">
        <v>6588</v>
      </c>
      <c r="E164" s="234" t="s">
        <v>2167</v>
      </c>
      <c r="F164" s="567">
        <v>4</v>
      </c>
      <c r="G164" s="539">
        <f>VLOOKUP(D164,upahbahan,3,FALSE)</f>
        <v>200</v>
      </c>
      <c r="H164" s="540">
        <f t="shared" si="20"/>
        <v>800</v>
      </c>
    </row>
    <row r="165" spans="3:11" ht="21.6" customHeight="1">
      <c r="C165" s="207" t="s">
        <v>1214</v>
      </c>
      <c r="D165" s="208"/>
      <c r="E165" s="568"/>
      <c r="F165" s="208"/>
      <c r="G165" s="209"/>
      <c r="H165" s="540">
        <f>SUM(H163:H164)</f>
        <v>55800</v>
      </c>
    </row>
    <row r="166" spans="3:11" ht="21.6" customHeight="1">
      <c r="C166" s="518" t="s">
        <v>1215</v>
      </c>
      <c r="D166" s="212" t="s">
        <v>1216</v>
      </c>
      <c r="E166" s="234"/>
      <c r="F166" s="534"/>
      <c r="G166" s="534"/>
      <c r="H166" s="535"/>
    </row>
    <row r="167" spans="3:11" ht="21.6" customHeight="1">
      <c r="C167" s="207" t="s">
        <v>1217</v>
      </c>
      <c r="D167" s="208"/>
      <c r="E167" s="208"/>
      <c r="F167" s="208"/>
      <c r="G167" s="209"/>
      <c r="H167" s="569">
        <f>SUM(H166)</f>
        <v>0</v>
      </c>
    </row>
    <row r="168" spans="3:11" ht="21.6" customHeight="1">
      <c r="C168" s="551" t="s">
        <v>1218</v>
      </c>
      <c r="D168" s="552" t="s">
        <v>1219</v>
      </c>
      <c r="E168" s="553"/>
      <c r="F168" s="553"/>
      <c r="G168" s="554"/>
      <c r="H168" s="540">
        <f>H167+H165+H161</f>
        <v>68620</v>
      </c>
    </row>
    <row r="169" spans="3:11" ht="21.6" customHeight="1">
      <c r="C169" s="551" t="s">
        <v>1220</v>
      </c>
      <c r="D169" s="552" t="s">
        <v>1321</v>
      </c>
      <c r="E169" s="553"/>
      <c r="F169" s="554"/>
      <c r="G169" s="555">
        <f>$O$8</f>
        <v>0.1</v>
      </c>
      <c r="H169" s="540">
        <f>H168*G169</f>
        <v>6862</v>
      </c>
    </row>
    <row r="170" spans="3:11" ht="21.6" customHeight="1" thickBot="1">
      <c r="C170" s="556" t="s">
        <v>1221</v>
      </c>
      <c r="D170" s="557" t="s">
        <v>1222</v>
      </c>
      <c r="E170" s="558"/>
      <c r="F170" s="558"/>
      <c r="G170" s="559"/>
      <c r="H170" s="560">
        <f>SUM(H168:H169)</f>
        <v>75482</v>
      </c>
    </row>
    <row r="171" spans="3:11" ht="15" thickTop="1">
      <c r="C171" s="561"/>
      <c r="D171" s="562"/>
      <c r="E171" s="562"/>
      <c r="F171" s="562"/>
      <c r="G171" s="562"/>
      <c r="H171" s="563"/>
    </row>
  </sheetData>
  <dataValidations count="1">
    <dataValidation type="list" allowBlank="1" showInputMessage="1" showErrorMessage="1" sqref="D100:D103 D81:D84 D47:D50 D118:D121 D138:D141 D157:D160 D8:D11 D28:D31 D53 D64:D67 D70" xr:uid="{00000000-0002-0000-1900-000000000000}">
      <formula1>TENAGA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C1:M432"/>
  <sheetViews>
    <sheetView topLeftCell="A392" zoomScale="69" zoomScaleNormal="69" workbookViewId="0">
      <selection activeCell="C183" sqref="C183"/>
    </sheetView>
  </sheetViews>
  <sheetFormatPr defaultColWidth="8.88671875" defaultRowHeight="13.8"/>
  <cols>
    <col min="1" max="2" width="3.5546875" style="59" customWidth="1"/>
    <col min="3" max="3" width="11.6640625" style="280" customWidth="1"/>
    <col min="4" max="4" width="36.5546875" style="280" customWidth="1"/>
    <col min="5" max="5" width="7.44140625" style="280" customWidth="1"/>
    <col min="6" max="6" width="10.5546875" style="280" customWidth="1"/>
    <col min="7" max="7" width="17.33203125" style="280" customWidth="1"/>
    <col min="8" max="8" width="16.44140625" style="280" customWidth="1"/>
    <col min="9" max="9" width="17.5546875" style="119" customWidth="1"/>
    <col min="10" max="11" width="12.33203125" style="59" customWidth="1"/>
    <col min="12" max="16384" width="8.88671875" style="59"/>
  </cols>
  <sheetData>
    <row r="1" spans="3:11" ht="10.95" customHeight="1"/>
    <row r="2" spans="3:11" ht="20.399999999999999" customHeight="1"/>
    <row r="3" spans="3:11" ht="20.399999999999999" customHeight="1">
      <c r="C3" s="46" t="s">
        <v>3170</v>
      </c>
      <c r="D3" s="47" t="s">
        <v>6444</v>
      </c>
      <c r="E3" s="47"/>
      <c r="F3" s="47"/>
      <c r="G3" s="47"/>
      <c r="H3" s="47"/>
    </row>
    <row r="4" spans="3:11" ht="20.399999999999999" customHeight="1">
      <c r="C4" s="46" t="s">
        <v>3171</v>
      </c>
      <c r="D4" s="47" t="s">
        <v>3172</v>
      </c>
      <c r="E4" s="47"/>
      <c r="F4" s="47"/>
      <c r="G4" s="47"/>
      <c r="H4" s="47"/>
    </row>
    <row r="5" spans="3:11" ht="20.399999999999999" customHeight="1" thickBot="1">
      <c r="C5" s="46" t="s">
        <v>3173</v>
      </c>
      <c r="D5" s="170" t="s">
        <v>1565</v>
      </c>
      <c r="E5" s="576"/>
      <c r="F5" s="576"/>
      <c r="G5" s="576"/>
      <c r="H5" s="576"/>
      <c r="I5" s="120">
        <f>ROUNDDOWN(H22,-2)</f>
        <v>1303500</v>
      </c>
      <c r="K5" s="475"/>
    </row>
    <row r="6" spans="3:11" ht="28.2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K6" s="475"/>
    </row>
    <row r="7" spans="3:11" ht="22.2" customHeight="1">
      <c r="C7" s="290" t="s">
        <v>1201</v>
      </c>
      <c r="D7" s="182" t="s">
        <v>1202</v>
      </c>
      <c r="E7" s="70"/>
      <c r="F7" s="70"/>
      <c r="G7" s="70"/>
      <c r="H7" s="71"/>
      <c r="K7" s="475"/>
    </row>
    <row r="8" spans="3:11" ht="22.2" customHeight="1">
      <c r="C8" s="281">
        <v>1</v>
      </c>
      <c r="D8" s="182" t="s">
        <v>5</v>
      </c>
      <c r="E8" s="176" t="s">
        <v>6</v>
      </c>
      <c r="F8" s="315">
        <v>1</v>
      </c>
      <c r="G8" s="283">
        <f>VLOOKUP(D8,upahbahan,3,FALSE)</f>
        <v>100000</v>
      </c>
      <c r="H8" s="284">
        <f t="shared" ref="H8:H11" si="0">F8*G8</f>
        <v>100000</v>
      </c>
      <c r="K8" s="475"/>
    </row>
    <row r="9" spans="3:11" ht="22.2" customHeight="1">
      <c r="C9" s="281">
        <v>2</v>
      </c>
      <c r="D9" s="182" t="s">
        <v>7</v>
      </c>
      <c r="E9" s="176" t="s">
        <v>6</v>
      </c>
      <c r="F9" s="315">
        <v>0.5</v>
      </c>
      <c r="G9" s="283">
        <f>VLOOKUP(D9,upahbahan,3,FALSE)</f>
        <v>135000</v>
      </c>
      <c r="H9" s="284">
        <f t="shared" si="0"/>
        <v>67500</v>
      </c>
      <c r="K9" s="475"/>
    </row>
    <row r="10" spans="3:11" ht="22.2" customHeight="1">
      <c r="C10" s="281">
        <v>3</v>
      </c>
      <c r="D10" s="182" t="s">
        <v>18</v>
      </c>
      <c r="E10" s="176" t="s">
        <v>6</v>
      </c>
      <c r="F10" s="315">
        <v>0.05</v>
      </c>
      <c r="G10" s="283">
        <f>VLOOKUP(D10,upahbahan,3,FALSE)</f>
        <v>150000</v>
      </c>
      <c r="H10" s="284">
        <f t="shared" si="0"/>
        <v>7500</v>
      </c>
      <c r="K10" s="475"/>
    </row>
    <row r="11" spans="3:11" ht="22.2" customHeight="1">
      <c r="C11" s="281">
        <v>4</v>
      </c>
      <c r="D11" s="182" t="s">
        <v>19</v>
      </c>
      <c r="E11" s="176" t="s">
        <v>6</v>
      </c>
      <c r="F11" s="315">
        <v>1.67E-2</v>
      </c>
      <c r="G11" s="283">
        <f>VLOOKUP(D11,upahbahan,3,FALSE)</f>
        <v>160000</v>
      </c>
      <c r="H11" s="284">
        <f t="shared" si="0"/>
        <v>2672</v>
      </c>
      <c r="K11" s="475"/>
    </row>
    <row r="12" spans="3:11" ht="22.2" customHeight="1">
      <c r="C12" s="66" t="s">
        <v>1208</v>
      </c>
      <c r="D12" s="67"/>
      <c r="E12" s="67"/>
      <c r="F12" s="142"/>
      <c r="G12" s="153"/>
      <c r="H12" s="284">
        <f>SUM(H8:H11)</f>
        <v>177672</v>
      </c>
      <c r="I12" s="319"/>
      <c r="K12" s="475"/>
    </row>
    <row r="13" spans="3:11" ht="22.2" customHeight="1">
      <c r="C13" s="290" t="s">
        <v>1209</v>
      </c>
      <c r="D13" s="182" t="s">
        <v>1210</v>
      </c>
      <c r="E13" s="70"/>
      <c r="F13" s="70"/>
      <c r="G13" s="70"/>
      <c r="H13" s="71"/>
      <c r="K13" s="475"/>
    </row>
    <row r="14" spans="3:11" ht="22.2" customHeight="1">
      <c r="C14" s="281">
        <v>1</v>
      </c>
      <c r="D14" s="182" t="s">
        <v>747</v>
      </c>
      <c r="E14" s="176" t="s">
        <v>44</v>
      </c>
      <c r="F14" s="327">
        <v>1.2</v>
      </c>
      <c r="G14" s="283">
        <f>VLOOKUP(D14,upahbahan,3,FALSE)</f>
        <v>829260</v>
      </c>
      <c r="H14" s="284">
        <f t="shared" ref="H14:H16" si="1">F14*G14</f>
        <v>995112</v>
      </c>
      <c r="K14" s="475"/>
    </row>
    <row r="15" spans="3:11" ht="22.2" customHeight="1">
      <c r="C15" s="281">
        <v>2</v>
      </c>
      <c r="D15" s="182" t="s">
        <v>2332</v>
      </c>
      <c r="E15" s="176" t="s">
        <v>65</v>
      </c>
      <c r="F15" s="327">
        <v>6</v>
      </c>
      <c r="G15" s="283">
        <f>VLOOKUP(D15,upahbahan,3,FALSE)</f>
        <v>1530</v>
      </c>
      <c r="H15" s="284">
        <f t="shared" si="1"/>
        <v>9180</v>
      </c>
      <c r="K15" s="475"/>
    </row>
    <row r="16" spans="3:11" ht="22.2" customHeight="1">
      <c r="C16" s="281">
        <v>3</v>
      </c>
      <c r="D16" s="285" t="s">
        <v>85</v>
      </c>
      <c r="E16" s="176" t="s">
        <v>42</v>
      </c>
      <c r="F16" s="327">
        <v>0.01</v>
      </c>
      <c r="G16" s="283">
        <f>VLOOKUP(D16,upahbahan,3,FALSE)</f>
        <v>310500</v>
      </c>
      <c r="H16" s="284">
        <f t="shared" si="1"/>
        <v>3105</v>
      </c>
      <c r="K16" s="475"/>
    </row>
    <row r="17" spans="3:11" ht="22.2" customHeight="1">
      <c r="C17" s="66" t="s">
        <v>1214</v>
      </c>
      <c r="D17" s="67"/>
      <c r="E17" s="67"/>
      <c r="F17" s="67"/>
      <c r="G17" s="69"/>
      <c r="H17" s="284">
        <f>SUM(H14:H16)</f>
        <v>1007397</v>
      </c>
      <c r="K17" s="475"/>
    </row>
    <row r="18" spans="3:11" ht="22.2" customHeight="1">
      <c r="C18" s="321" t="s">
        <v>1215</v>
      </c>
      <c r="D18" s="182" t="s">
        <v>1216</v>
      </c>
      <c r="E18" s="70"/>
      <c r="F18" s="70"/>
      <c r="G18" s="70"/>
      <c r="H18" s="71"/>
      <c r="K18" s="475"/>
    </row>
    <row r="19" spans="3:11" ht="22.2" customHeight="1">
      <c r="C19" s="66" t="s">
        <v>1217</v>
      </c>
      <c r="D19" s="67"/>
      <c r="E19" s="67"/>
      <c r="F19" s="67"/>
      <c r="G19" s="69"/>
      <c r="H19" s="292">
        <v>0</v>
      </c>
      <c r="K19" s="475"/>
    </row>
    <row r="20" spans="3:11" ht="22.2" customHeight="1">
      <c r="C20" s="293" t="s">
        <v>1218</v>
      </c>
      <c r="D20" s="294" t="s">
        <v>1219</v>
      </c>
      <c r="E20" s="295"/>
      <c r="F20" s="295"/>
      <c r="G20" s="296"/>
      <c r="H20" s="284">
        <f>H19+H17+H12</f>
        <v>1185069</v>
      </c>
      <c r="K20" s="475"/>
    </row>
    <row r="21" spans="3:11" ht="22.2" customHeight="1">
      <c r="C21" s="293" t="s">
        <v>1220</v>
      </c>
      <c r="D21" s="294" t="s">
        <v>1321</v>
      </c>
      <c r="E21" s="295"/>
      <c r="F21" s="296"/>
      <c r="G21" s="298">
        <f>$M$67</f>
        <v>0.1</v>
      </c>
      <c r="H21" s="284">
        <f>H20*G21</f>
        <v>118506.90000000001</v>
      </c>
      <c r="K21" s="475"/>
    </row>
    <row r="22" spans="3:11" ht="22.2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1303575.8999999999</v>
      </c>
      <c r="K22" s="475"/>
    </row>
    <row r="23" spans="3:11" ht="14.4" thickTop="1">
      <c r="C23" s="46"/>
      <c r="D23" s="47"/>
      <c r="E23" s="47"/>
      <c r="F23" s="47"/>
      <c r="G23" s="47"/>
      <c r="H23" s="47"/>
    </row>
    <row r="24" spans="3:11">
      <c r="C24" s="46" t="s">
        <v>3174</v>
      </c>
      <c r="D24" s="47" t="s">
        <v>3175</v>
      </c>
      <c r="E24" s="47"/>
      <c r="F24" s="47"/>
      <c r="G24" s="47"/>
      <c r="H24" s="47"/>
    </row>
    <row r="25" spans="3:11" ht="14.4" thickBot="1">
      <c r="C25" s="46" t="s">
        <v>3176</v>
      </c>
      <c r="D25" s="47" t="s">
        <v>3177</v>
      </c>
      <c r="E25" s="47"/>
      <c r="F25" s="47"/>
      <c r="G25" s="47"/>
      <c r="H25" s="47"/>
      <c r="I25" s="120">
        <f>ROUNDDOWN(H41,-2)</f>
        <v>662300</v>
      </c>
    </row>
    <row r="26" spans="3:11" ht="28.2" thickTop="1">
      <c r="C26" s="51" t="s">
        <v>1195</v>
      </c>
      <c r="D26" s="52" t="s">
        <v>1196</v>
      </c>
      <c r="E26" s="52" t="s">
        <v>1197</v>
      </c>
      <c r="F26" s="52" t="s">
        <v>1198</v>
      </c>
      <c r="G26" s="52" t="s">
        <v>1199</v>
      </c>
      <c r="H26" s="53" t="s">
        <v>1200</v>
      </c>
      <c r="K26" s="475"/>
    </row>
    <row r="27" spans="3:11" ht="21.6" customHeight="1">
      <c r="C27" s="290" t="s">
        <v>1201</v>
      </c>
      <c r="D27" s="182" t="s">
        <v>1202</v>
      </c>
      <c r="E27" s="70"/>
      <c r="F27" s="70"/>
      <c r="G27" s="70"/>
      <c r="H27" s="71"/>
      <c r="K27" s="475"/>
    </row>
    <row r="28" spans="3:11" ht="21.6" customHeight="1">
      <c r="C28" s="281">
        <v>1</v>
      </c>
      <c r="D28" s="182" t="s">
        <v>5</v>
      </c>
      <c r="E28" s="176" t="s">
        <v>6</v>
      </c>
      <c r="F28" s="282">
        <v>0.03</v>
      </c>
      <c r="G28" s="283">
        <f>VLOOKUP(D28,upahbahan,3,FALSE)</f>
        <v>100000</v>
      </c>
      <c r="H28" s="284">
        <f>F28*G28</f>
        <v>3000</v>
      </c>
      <c r="K28" s="475"/>
    </row>
    <row r="29" spans="3:11" ht="21.6" customHeight="1">
      <c r="C29" s="281">
        <v>2</v>
      </c>
      <c r="D29" s="182" t="s">
        <v>7</v>
      </c>
      <c r="E29" s="176" t="s">
        <v>6</v>
      </c>
      <c r="F29" s="282">
        <v>0.3</v>
      </c>
      <c r="G29" s="283">
        <f>VLOOKUP(D29,upahbahan,3,FALSE)</f>
        <v>135000</v>
      </c>
      <c r="H29" s="284">
        <f t="shared" ref="H29:H31" si="2">F29*G29</f>
        <v>40500</v>
      </c>
      <c r="K29" s="475"/>
    </row>
    <row r="30" spans="3:11" ht="21.6" customHeight="1">
      <c r="C30" s="281">
        <v>3</v>
      </c>
      <c r="D30" s="182" t="s">
        <v>18</v>
      </c>
      <c r="E30" s="176" t="s">
        <v>6</v>
      </c>
      <c r="F30" s="282">
        <v>0.03</v>
      </c>
      <c r="G30" s="283">
        <f>VLOOKUP(D30,upahbahan,3,FALSE)</f>
        <v>150000</v>
      </c>
      <c r="H30" s="284">
        <f t="shared" si="2"/>
        <v>4500</v>
      </c>
      <c r="K30" s="475"/>
    </row>
    <row r="31" spans="3:11" ht="21.6" customHeight="1">
      <c r="C31" s="281">
        <v>4</v>
      </c>
      <c r="D31" s="182" t="s">
        <v>19</v>
      </c>
      <c r="E31" s="176" t="s">
        <v>6</v>
      </c>
      <c r="F31" s="282">
        <v>0.01</v>
      </c>
      <c r="G31" s="283">
        <f>VLOOKUP(D31,upahbahan,3,FALSE)</f>
        <v>160000</v>
      </c>
      <c r="H31" s="284">
        <f t="shared" si="2"/>
        <v>1600</v>
      </c>
      <c r="K31" s="475"/>
    </row>
    <row r="32" spans="3:11" ht="21.6" customHeight="1">
      <c r="C32" s="66" t="s">
        <v>1208</v>
      </c>
      <c r="D32" s="67"/>
      <c r="E32" s="67"/>
      <c r="F32" s="142"/>
      <c r="G32" s="153"/>
      <c r="H32" s="284">
        <f>SUM(H28:H31)</f>
        <v>49600</v>
      </c>
      <c r="I32" s="319"/>
      <c r="K32" s="475"/>
    </row>
    <row r="33" spans="3:11" ht="21.6" customHeight="1">
      <c r="C33" s="290" t="s">
        <v>1209</v>
      </c>
      <c r="D33" s="182" t="s">
        <v>1210</v>
      </c>
      <c r="E33" s="70"/>
      <c r="F33" s="70"/>
      <c r="G33" s="283"/>
      <c r="H33" s="71"/>
      <c r="K33" s="475"/>
    </row>
    <row r="34" spans="3:11" ht="21.6" customHeight="1">
      <c r="C34" s="281">
        <v>1</v>
      </c>
      <c r="D34" s="182" t="s">
        <v>668</v>
      </c>
      <c r="E34" s="176" t="s">
        <v>135</v>
      </c>
      <c r="F34" s="327">
        <v>1</v>
      </c>
      <c r="G34" s="283">
        <f>VLOOKUP(D34,upahbahan,3,FALSE)</f>
        <v>230600</v>
      </c>
      <c r="H34" s="284">
        <f t="shared" ref="H34:H35" si="3">F34*G34</f>
        <v>230600</v>
      </c>
      <c r="K34" s="475"/>
    </row>
    <row r="35" spans="3:11" ht="21.6" customHeight="1">
      <c r="C35" s="281">
        <v>2</v>
      </c>
      <c r="D35" s="182" t="s">
        <v>748</v>
      </c>
      <c r="E35" s="176" t="s">
        <v>2167</v>
      </c>
      <c r="F35" s="327">
        <v>1</v>
      </c>
      <c r="G35" s="283">
        <f>VLOOKUP(D35,upahbahan,3,FALSE)</f>
        <v>321900</v>
      </c>
      <c r="H35" s="284">
        <f t="shared" si="3"/>
        <v>321900</v>
      </c>
      <c r="K35" s="475"/>
    </row>
    <row r="36" spans="3:11" ht="21.6" customHeight="1">
      <c r="C36" s="66" t="s">
        <v>1214</v>
      </c>
      <c r="D36" s="67"/>
      <c r="E36" s="67"/>
      <c r="F36" s="67"/>
      <c r="G36" s="69"/>
      <c r="H36" s="284">
        <f>SUM(H34:H35)</f>
        <v>552500</v>
      </c>
      <c r="K36" s="475"/>
    </row>
    <row r="37" spans="3:11" ht="21.6" customHeight="1">
      <c r="C37" s="321" t="s">
        <v>1215</v>
      </c>
      <c r="D37" s="182" t="s">
        <v>1216</v>
      </c>
      <c r="E37" s="70"/>
      <c r="F37" s="70"/>
      <c r="G37" s="70"/>
      <c r="H37" s="71"/>
      <c r="K37" s="475"/>
    </row>
    <row r="38" spans="3:11" ht="21.6" customHeight="1">
      <c r="C38" s="66" t="s">
        <v>1217</v>
      </c>
      <c r="D38" s="67"/>
      <c r="E38" s="67"/>
      <c r="F38" s="67"/>
      <c r="G38" s="69"/>
      <c r="H38" s="292">
        <v>0</v>
      </c>
      <c r="K38" s="475"/>
    </row>
    <row r="39" spans="3:11" ht="21.6" customHeight="1">
      <c r="C39" s="293" t="s">
        <v>1218</v>
      </c>
      <c r="D39" s="294" t="s">
        <v>1219</v>
      </c>
      <c r="E39" s="295"/>
      <c r="F39" s="295"/>
      <c r="G39" s="296"/>
      <c r="H39" s="284">
        <f>H38+H36+H32</f>
        <v>602100</v>
      </c>
      <c r="K39" s="475"/>
    </row>
    <row r="40" spans="3:11" ht="21.6" customHeight="1">
      <c r="C40" s="293" t="s">
        <v>1220</v>
      </c>
      <c r="D40" s="294" t="s">
        <v>1321</v>
      </c>
      <c r="E40" s="295"/>
      <c r="F40" s="296"/>
      <c r="G40" s="298">
        <f>$M$67</f>
        <v>0.1</v>
      </c>
      <c r="H40" s="284">
        <f>H39*G40</f>
        <v>60210</v>
      </c>
      <c r="K40" s="475"/>
    </row>
    <row r="41" spans="3:11" ht="21.6" customHeight="1" thickBot="1">
      <c r="C41" s="299" t="s">
        <v>1221</v>
      </c>
      <c r="D41" s="300" t="s">
        <v>1222</v>
      </c>
      <c r="E41" s="301"/>
      <c r="F41" s="301"/>
      <c r="G41" s="302"/>
      <c r="H41" s="303">
        <f>SUM(H39:H40)</f>
        <v>662310</v>
      </c>
      <c r="K41" s="475"/>
    </row>
    <row r="42" spans="3:11" ht="14.4" thickTop="1">
      <c r="C42" s="304"/>
      <c r="D42" s="304"/>
      <c r="E42" s="304"/>
      <c r="F42" s="304"/>
      <c r="G42" s="304"/>
      <c r="H42" s="305"/>
      <c r="K42" s="475"/>
    </row>
    <row r="43" spans="3:11" ht="14.4" thickBot="1">
      <c r="C43" s="46" t="s">
        <v>3178</v>
      </c>
      <c r="D43" s="47" t="s">
        <v>3179</v>
      </c>
      <c r="E43" s="47"/>
      <c r="F43" s="47"/>
      <c r="G43" s="47"/>
      <c r="H43" s="47"/>
      <c r="I43" s="120">
        <f>ROUNDDOWN(H61,-2)</f>
        <v>1138600</v>
      </c>
    </row>
    <row r="44" spans="3:11" ht="28.2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1199</v>
      </c>
      <c r="H44" s="53" t="s">
        <v>1200</v>
      </c>
      <c r="K44" s="475"/>
    </row>
    <row r="45" spans="3:11" ht="22.2" customHeight="1">
      <c r="C45" s="290" t="s">
        <v>1201</v>
      </c>
      <c r="D45" s="182" t="s">
        <v>1202</v>
      </c>
      <c r="E45" s="70"/>
      <c r="F45" s="70"/>
      <c r="G45" s="70"/>
      <c r="H45" s="71"/>
      <c r="K45" s="475"/>
    </row>
    <row r="46" spans="3:11" ht="22.2" customHeight="1">
      <c r="C46" s="281">
        <v>1</v>
      </c>
      <c r="D46" s="182" t="s">
        <v>5</v>
      </c>
      <c r="E46" s="176" t="s">
        <v>6</v>
      </c>
      <c r="F46" s="315">
        <v>0.05</v>
      </c>
      <c r="G46" s="283">
        <f>VLOOKUP(D46,upahbahan,3,FALSE)</f>
        <v>100000</v>
      </c>
      <c r="H46" s="284">
        <f>F46*G46</f>
        <v>5000</v>
      </c>
      <c r="K46" s="475"/>
    </row>
    <row r="47" spans="3:11" ht="22.2" customHeight="1">
      <c r="C47" s="281">
        <v>2</v>
      </c>
      <c r="D47" s="182" t="s">
        <v>7</v>
      </c>
      <c r="E47" s="176" t="s">
        <v>6</v>
      </c>
      <c r="F47" s="315">
        <v>0.5</v>
      </c>
      <c r="G47" s="283">
        <f>VLOOKUP(D47,upahbahan,3,FALSE)</f>
        <v>135000</v>
      </c>
      <c r="H47" s="284">
        <f t="shared" ref="H47:H49" si="4">F47*G47</f>
        <v>67500</v>
      </c>
      <c r="K47" s="475"/>
    </row>
    <row r="48" spans="3:11" ht="22.2" customHeight="1">
      <c r="C48" s="281">
        <v>3</v>
      </c>
      <c r="D48" s="182" t="s">
        <v>18</v>
      </c>
      <c r="E48" s="176" t="s">
        <v>6</v>
      </c>
      <c r="F48" s="315">
        <v>0.05</v>
      </c>
      <c r="G48" s="283">
        <f>VLOOKUP(D48,upahbahan,3,FALSE)</f>
        <v>150000</v>
      </c>
      <c r="H48" s="284">
        <f t="shared" si="4"/>
        <v>7500</v>
      </c>
      <c r="K48" s="475"/>
    </row>
    <row r="49" spans="3:11" ht="22.2" customHeight="1">
      <c r="C49" s="281">
        <v>4</v>
      </c>
      <c r="D49" s="182" t="s">
        <v>19</v>
      </c>
      <c r="E49" s="176" t="s">
        <v>6</v>
      </c>
      <c r="F49" s="315">
        <v>1.67E-2</v>
      </c>
      <c r="G49" s="283">
        <f>VLOOKUP(D49,upahbahan,3,FALSE)</f>
        <v>160000</v>
      </c>
      <c r="H49" s="284">
        <f t="shared" si="4"/>
        <v>2672</v>
      </c>
      <c r="K49" s="475"/>
    </row>
    <row r="50" spans="3:11" ht="22.2" customHeight="1">
      <c r="C50" s="66" t="s">
        <v>1208</v>
      </c>
      <c r="D50" s="67"/>
      <c r="E50" s="67"/>
      <c r="F50" s="142"/>
      <c r="G50" s="153"/>
      <c r="H50" s="284">
        <f>SUM(H46:H49)</f>
        <v>82672</v>
      </c>
      <c r="I50" s="319"/>
      <c r="K50" s="475"/>
    </row>
    <row r="51" spans="3:11" ht="22.2" customHeight="1">
      <c r="C51" s="290" t="s">
        <v>1209</v>
      </c>
      <c r="D51" s="182" t="s">
        <v>1210</v>
      </c>
      <c r="E51" s="70"/>
      <c r="F51" s="70"/>
      <c r="G51" s="283"/>
      <c r="H51" s="71"/>
      <c r="K51" s="475"/>
    </row>
    <row r="52" spans="3:11" ht="22.2" customHeight="1">
      <c r="C52" s="281">
        <v>1</v>
      </c>
      <c r="D52" s="182" t="s">
        <v>669</v>
      </c>
      <c r="E52" s="176" t="s">
        <v>135</v>
      </c>
      <c r="F52" s="327">
        <v>1</v>
      </c>
      <c r="G52" s="283">
        <f>VLOOKUP(D52,upahbahan,3,FALSE)</f>
        <v>600000</v>
      </c>
      <c r="H52" s="284">
        <f t="shared" ref="H52:H55" si="5">F52*G52</f>
        <v>600000</v>
      </c>
      <c r="K52" s="475"/>
    </row>
    <row r="53" spans="3:11" ht="22.2" customHeight="1">
      <c r="C53" s="281">
        <v>2</v>
      </c>
      <c r="D53" s="182" t="s">
        <v>3180</v>
      </c>
      <c r="E53" s="176" t="s">
        <v>2167</v>
      </c>
      <c r="F53" s="327">
        <v>1</v>
      </c>
      <c r="G53" s="283">
        <f>VLOOKUP(D53,upahbahan,3,FALSE)</f>
        <v>321900</v>
      </c>
      <c r="H53" s="284">
        <f t="shared" si="5"/>
        <v>321900</v>
      </c>
      <c r="K53" s="475"/>
    </row>
    <row r="54" spans="3:11" ht="22.2" customHeight="1">
      <c r="C54" s="281">
        <v>3</v>
      </c>
      <c r="D54" s="182" t="s">
        <v>1796</v>
      </c>
      <c r="E54" s="176" t="s">
        <v>65</v>
      </c>
      <c r="F54" s="327">
        <v>20</v>
      </c>
      <c r="G54" s="283">
        <f>VLOOKUP(D54,upahbahan,3,FALSE)</f>
        <v>1530</v>
      </c>
      <c r="H54" s="284">
        <f t="shared" si="5"/>
        <v>30600</v>
      </c>
      <c r="K54" s="475"/>
    </row>
    <row r="55" spans="3:11" ht="22.2" customHeight="1">
      <c r="C55" s="281">
        <v>4</v>
      </c>
      <c r="D55" s="182" t="s">
        <v>2325</v>
      </c>
      <c r="E55" s="176" t="s">
        <v>42</v>
      </c>
      <c r="F55" s="327">
        <v>0.05</v>
      </c>
      <c r="G55" s="283">
        <f>VLOOKUP(D55,upahbahan,3,FALSE)</f>
        <v>0</v>
      </c>
      <c r="H55" s="284">
        <f t="shared" si="5"/>
        <v>0</v>
      </c>
      <c r="K55" s="475"/>
    </row>
    <row r="56" spans="3:11" ht="22.2" customHeight="1">
      <c r="C56" s="66" t="s">
        <v>1214</v>
      </c>
      <c r="D56" s="67"/>
      <c r="E56" s="67"/>
      <c r="F56" s="67"/>
      <c r="G56" s="69"/>
      <c r="H56" s="284">
        <f>SUM(H52:H55)</f>
        <v>952500</v>
      </c>
      <c r="K56" s="475"/>
    </row>
    <row r="57" spans="3:11" ht="22.2" customHeight="1">
      <c r="C57" s="321" t="s">
        <v>1215</v>
      </c>
      <c r="D57" s="182" t="s">
        <v>1216</v>
      </c>
      <c r="E57" s="70"/>
      <c r="F57" s="70"/>
      <c r="G57" s="70"/>
      <c r="H57" s="71"/>
      <c r="K57" s="475"/>
    </row>
    <row r="58" spans="3:11" ht="22.2" customHeight="1">
      <c r="C58" s="66" t="s">
        <v>1217</v>
      </c>
      <c r="D58" s="67"/>
      <c r="E58" s="67"/>
      <c r="F58" s="67"/>
      <c r="G58" s="69"/>
      <c r="H58" s="292">
        <v>0</v>
      </c>
      <c r="K58" s="475"/>
    </row>
    <row r="59" spans="3:11" ht="22.2" customHeight="1">
      <c r="C59" s="293" t="s">
        <v>1218</v>
      </c>
      <c r="D59" s="294" t="s">
        <v>1219</v>
      </c>
      <c r="E59" s="295"/>
      <c r="F59" s="295"/>
      <c r="G59" s="296"/>
      <c r="H59" s="284">
        <f>H58+H56+H50</f>
        <v>1035172</v>
      </c>
      <c r="K59" s="475"/>
    </row>
    <row r="60" spans="3:11" ht="22.2" customHeight="1">
      <c r="C60" s="293" t="s">
        <v>1220</v>
      </c>
      <c r="D60" s="294" t="s">
        <v>1321</v>
      </c>
      <c r="E60" s="295"/>
      <c r="F60" s="296"/>
      <c r="G60" s="298">
        <f>$M$67</f>
        <v>0.1</v>
      </c>
      <c r="H60" s="284">
        <f>H59*G60</f>
        <v>103517.20000000001</v>
      </c>
      <c r="K60" s="475"/>
    </row>
    <row r="61" spans="3:11" ht="22.2" customHeight="1" thickBot="1">
      <c r="C61" s="299" t="s">
        <v>1221</v>
      </c>
      <c r="D61" s="300" t="s">
        <v>1222</v>
      </c>
      <c r="E61" s="301"/>
      <c r="F61" s="301"/>
      <c r="G61" s="302"/>
      <c r="H61" s="303">
        <f>SUM(H59:H60)</f>
        <v>1138689.2</v>
      </c>
      <c r="K61" s="475"/>
    </row>
    <row r="62" spans="3:11" ht="14.4" thickTop="1">
      <c r="C62" s="304"/>
      <c r="D62" s="304"/>
      <c r="E62" s="304"/>
      <c r="F62" s="304"/>
      <c r="G62" s="304"/>
      <c r="H62" s="305"/>
      <c r="K62" s="475"/>
    </row>
    <row r="63" spans="3:11">
      <c r="C63" s="46" t="s">
        <v>3183</v>
      </c>
      <c r="D63" s="47" t="s">
        <v>3184</v>
      </c>
      <c r="E63" s="47"/>
      <c r="F63" s="47"/>
      <c r="G63" s="47"/>
      <c r="H63" s="47"/>
    </row>
    <row r="64" spans="3:11" ht="14.4" thickBot="1">
      <c r="C64" s="47" t="s">
        <v>3185</v>
      </c>
      <c r="D64" s="170" t="s">
        <v>1559</v>
      </c>
      <c r="E64" s="275"/>
      <c r="F64" s="275"/>
      <c r="G64" s="275"/>
      <c r="H64" s="275"/>
      <c r="I64" s="120">
        <f>ROUNDDOWN(H80,-2)</f>
        <v>1997300</v>
      </c>
      <c r="K64" s="475"/>
    </row>
    <row r="65" spans="3:13" ht="28.2" thickTop="1">
      <c r="C65" s="51" t="s">
        <v>1195</v>
      </c>
      <c r="D65" s="52" t="s">
        <v>1196</v>
      </c>
      <c r="E65" s="52" t="s">
        <v>1197</v>
      </c>
      <c r="F65" s="52" t="s">
        <v>1198</v>
      </c>
      <c r="G65" s="52" t="s">
        <v>1199</v>
      </c>
      <c r="H65" s="53" t="s">
        <v>1200</v>
      </c>
    </row>
    <row r="66" spans="3:13" ht="21.6" customHeight="1">
      <c r="C66" s="290" t="s">
        <v>1201</v>
      </c>
      <c r="D66" s="182" t="s">
        <v>1202</v>
      </c>
      <c r="E66" s="70"/>
      <c r="F66" s="70"/>
      <c r="G66" s="70"/>
      <c r="H66" s="71"/>
      <c r="J66" s="374" t="s">
        <v>1247</v>
      </c>
    </row>
    <row r="67" spans="3:13" ht="21.6" customHeight="1">
      <c r="C67" s="281">
        <v>1</v>
      </c>
      <c r="D67" s="182" t="s">
        <v>5</v>
      </c>
      <c r="E67" s="176" t="s">
        <v>6</v>
      </c>
      <c r="F67" s="282">
        <v>0.5</v>
      </c>
      <c r="G67" s="283">
        <f>VLOOKUP(D67,upahbahan,3,FALSE)</f>
        <v>100000</v>
      </c>
      <c r="H67" s="284">
        <f>F67*G67</f>
        <v>50000</v>
      </c>
      <c r="J67" s="374" t="s">
        <v>1248</v>
      </c>
      <c r="M67" s="65">
        <v>0.1</v>
      </c>
    </row>
    <row r="68" spans="3:13" ht="21.6" customHeight="1">
      <c r="C68" s="281">
        <v>2</v>
      </c>
      <c r="D68" s="182" t="s">
        <v>7</v>
      </c>
      <c r="E68" s="176" t="s">
        <v>6</v>
      </c>
      <c r="F68" s="282">
        <v>1.2</v>
      </c>
      <c r="G68" s="283">
        <f>VLOOKUP(D68,upahbahan,3,FALSE)</f>
        <v>135000</v>
      </c>
      <c r="H68" s="284">
        <f t="shared" ref="H68:H70" si="6">F68*G68</f>
        <v>162000</v>
      </c>
    </row>
    <row r="69" spans="3:13" ht="21.6" customHeight="1">
      <c r="C69" s="281">
        <v>3</v>
      </c>
      <c r="D69" s="182" t="s">
        <v>18</v>
      </c>
      <c r="E69" s="176" t="s">
        <v>6</v>
      </c>
      <c r="F69" s="282">
        <v>0.12</v>
      </c>
      <c r="G69" s="283">
        <f>VLOOKUP(D69,upahbahan,3,FALSE)</f>
        <v>150000</v>
      </c>
      <c r="H69" s="284">
        <f t="shared" si="6"/>
        <v>18000</v>
      </c>
    </row>
    <row r="70" spans="3:13" ht="21.6" customHeight="1">
      <c r="C70" s="281">
        <v>4</v>
      </c>
      <c r="D70" s="182" t="s">
        <v>19</v>
      </c>
      <c r="E70" s="176" t="s">
        <v>6</v>
      </c>
      <c r="F70" s="282">
        <v>0.04</v>
      </c>
      <c r="G70" s="283">
        <f>VLOOKUP(D70,upahbahan,3,FALSE)</f>
        <v>160000</v>
      </c>
      <c r="H70" s="284">
        <f t="shared" si="6"/>
        <v>6400</v>
      </c>
    </row>
    <row r="71" spans="3:13" ht="21.6" customHeight="1">
      <c r="C71" s="66" t="s">
        <v>1208</v>
      </c>
      <c r="D71" s="67"/>
      <c r="E71" s="67"/>
      <c r="F71" s="142"/>
      <c r="G71" s="153"/>
      <c r="H71" s="284">
        <f>SUM(H67:H70)</f>
        <v>236400</v>
      </c>
      <c r="I71" s="319"/>
    </row>
    <row r="72" spans="3:13" ht="21.6" customHeight="1">
      <c r="C72" s="290" t="s">
        <v>1209</v>
      </c>
      <c r="D72" s="182" t="s">
        <v>1210</v>
      </c>
      <c r="E72" s="70"/>
      <c r="F72" s="70"/>
      <c r="G72" s="70"/>
      <c r="H72" s="71"/>
    </row>
    <row r="73" spans="3:13" ht="21.6" customHeight="1">
      <c r="C73" s="281">
        <v>1</v>
      </c>
      <c r="D73" s="182" t="s">
        <v>684</v>
      </c>
      <c r="E73" s="176" t="s">
        <v>44</v>
      </c>
      <c r="F73" s="327">
        <v>1</v>
      </c>
      <c r="G73" s="283">
        <f>VLOOKUP(D73,upahbahan,3,FALSE)</f>
        <v>1490000</v>
      </c>
      <c r="H73" s="284">
        <f t="shared" ref="H73" si="7">F73*G73</f>
        <v>1490000</v>
      </c>
    </row>
    <row r="74" spans="3:13" ht="21.6" customHeight="1">
      <c r="C74" s="281">
        <v>2</v>
      </c>
      <c r="D74" s="285" t="s">
        <v>677</v>
      </c>
      <c r="E74" s="176" t="s">
        <v>44</v>
      </c>
      <c r="F74" s="578">
        <v>1</v>
      </c>
      <c r="G74" s="283">
        <f>VLOOKUP(D74,upahbahan,3,FALSE)</f>
        <v>55000</v>
      </c>
      <c r="H74" s="284">
        <f>H73*6%</f>
        <v>89400</v>
      </c>
    </row>
    <row r="75" spans="3:13" ht="21.6" customHeight="1">
      <c r="C75" s="66" t="s">
        <v>1214</v>
      </c>
      <c r="D75" s="67"/>
      <c r="E75" s="67"/>
      <c r="F75" s="67"/>
      <c r="G75" s="69"/>
      <c r="H75" s="284">
        <f>SUM(H73:H74)</f>
        <v>1579400</v>
      </c>
    </row>
    <row r="76" spans="3:13" ht="21.6" customHeight="1">
      <c r="C76" s="321" t="s">
        <v>1215</v>
      </c>
      <c r="D76" s="182" t="s">
        <v>1216</v>
      </c>
      <c r="E76" s="70"/>
      <c r="F76" s="70"/>
      <c r="G76" s="70"/>
      <c r="H76" s="71"/>
    </row>
    <row r="77" spans="3:13" ht="21.6" customHeight="1">
      <c r="C77" s="66" t="s">
        <v>1217</v>
      </c>
      <c r="D77" s="67"/>
      <c r="E77" s="67"/>
      <c r="F77" s="67"/>
      <c r="G77" s="69"/>
      <c r="H77" s="292">
        <v>0</v>
      </c>
    </row>
    <row r="78" spans="3:13" ht="21.6" customHeight="1">
      <c r="C78" s="293" t="s">
        <v>1218</v>
      </c>
      <c r="D78" s="294" t="s">
        <v>1219</v>
      </c>
      <c r="E78" s="295"/>
      <c r="F78" s="295"/>
      <c r="G78" s="296"/>
      <c r="H78" s="284">
        <f>H77+H75+H71</f>
        <v>1815800</v>
      </c>
    </row>
    <row r="79" spans="3:13" ht="21.6" customHeight="1">
      <c r="C79" s="293" t="s">
        <v>1220</v>
      </c>
      <c r="D79" s="294" t="s">
        <v>1321</v>
      </c>
      <c r="E79" s="295"/>
      <c r="F79" s="296"/>
      <c r="G79" s="298">
        <f>$M$67</f>
        <v>0.1</v>
      </c>
      <c r="H79" s="284">
        <f>H78*G79</f>
        <v>181580</v>
      </c>
    </row>
    <row r="80" spans="3:13" ht="21.6" customHeight="1" thickBot="1">
      <c r="C80" s="299" t="s">
        <v>1221</v>
      </c>
      <c r="D80" s="300" t="s">
        <v>1222</v>
      </c>
      <c r="E80" s="301"/>
      <c r="F80" s="301"/>
      <c r="G80" s="302"/>
      <c r="H80" s="303">
        <f>SUM(H78:H79)</f>
        <v>1997380</v>
      </c>
    </row>
    <row r="81" spans="3:11" ht="14.4" thickTop="1">
      <c r="C81" s="304"/>
      <c r="D81" s="304"/>
      <c r="E81" s="304"/>
      <c r="F81" s="304"/>
      <c r="G81" s="304"/>
      <c r="H81" s="305"/>
    </row>
    <row r="82" spans="3:11" ht="14.4" thickBot="1">
      <c r="C82" s="47" t="s">
        <v>3186</v>
      </c>
      <c r="D82" s="170" t="s">
        <v>1560</v>
      </c>
      <c r="E82" s="275"/>
      <c r="F82" s="275"/>
      <c r="G82" s="275"/>
      <c r="H82" s="275"/>
      <c r="I82" s="120">
        <f>ROUNDDOWN(H98,-2)</f>
        <v>570800</v>
      </c>
      <c r="K82" s="475"/>
    </row>
    <row r="83" spans="3:11" ht="28.2" thickTop="1">
      <c r="C83" s="51" t="s">
        <v>1195</v>
      </c>
      <c r="D83" s="52" t="s">
        <v>1196</v>
      </c>
      <c r="E83" s="52" t="s">
        <v>1197</v>
      </c>
      <c r="F83" s="52" t="s">
        <v>1198</v>
      </c>
      <c r="G83" s="52" t="s">
        <v>1199</v>
      </c>
      <c r="H83" s="53" t="s">
        <v>1200</v>
      </c>
      <c r="K83" s="475"/>
    </row>
    <row r="84" spans="3:11" ht="19.8" customHeight="1">
      <c r="C84" s="290" t="s">
        <v>1201</v>
      </c>
      <c r="D84" s="182" t="s">
        <v>1202</v>
      </c>
      <c r="E84" s="70"/>
      <c r="F84" s="70"/>
      <c r="G84" s="70"/>
      <c r="H84" s="71"/>
      <c r="K84" s="475"/>
    </row>
    <row r="85" spans="3:11" ht="19.8" customHeight="1">
      <c r="C85" s="281">
        <v>1</v>
      </c>
      <c r="D85" s="182" t="s">
        <v>5</v>
      </c>
      <c r="E85" s="176" t="s">
        <v>6</v>
      </c>
      <c r="F85" s="315">
        <v>0.5</v>
      </c>
      <c r="G85" s="283">
        <f>VLOOKUP(D85,upahbahan,3,FALSE)</f>
        <v>100000</v>
      </c>
      <c r="H85" s="284">
        <f>F85*G85</f>
        <v>50000</v>
      </c>
      <c r="K85" s="475"/>
    </row>
    <row r="86" spans="3:11" ht="19.8" customHeight="1">
      <c r="C86" s="281">
        <v>2</v>
      </c>
      <c r="D86" s="182" t="s">
        <v>7</v>
      </c>
      <c r="E86" s="176" t="s">
        <v>6</v>
      </c>
      <c r="F86" s="315">
        <v>0.5</v>
      </c>
      <c r="G86" s="283">
        <f>VLOOKUP(D86,upahbahan,3,FALSE)</f>
        <v>135000</v>
      </c>
      <c r="H86" s="284">
        <f t="shared" ref="H86:H88" si="8">F86*G86</f>
        <v>67500</v>
      </c>
      <c r="K86" s="475"/>
    </row>
    <row r="87" spans="3:11" ht="19.8" customHeight="1">
      <c r="C87" s="281">
        <v>3</v>
      </c>
      <c r="D87" s="182" t="s">
        <v>18</v>
      </c>
      <c r="E87" s="176" t="s">
        <v>6</v>
      </c>
      <c r="F87" s="315">
        <v>0.05</v>
      </c>
      <c r="G87" s="283">
        <f>VLOOKUP(D87,upahbahan,3,FALSE)</f>
        <v>150000</v>
      </c>
      <c r="H87" s="284">
        <f t="shared" si="8"/>
        <v>7500</v>
      </c>
      <c r="K87" s="475"/>
    </row>
    <row r="88" spans="3:11" ht="19.8" customHeight="1">
      <c r="C88" s="281">
        <v>4</v>
      </c>
      <c r="D88" s="182" t="s">
        <v>19</v>
      </c>
      <c r="E88" s="176" t="s">
        <v>6</v>
      </c>
      <c r="F88" s="315">
        <v>1.67E-2</v>
      </c>
      <c r="G88" s="283">
        <f>VLOOKUP(D88,upahbahan,3,FALSE)</f>
        <v>160000</v>
      </c>
      <c r="H88" s="284">
        <f t="shared" si="8"/>
        <v>2672</v>
      </c>
      <c r="K88" s="475"/>
    </row>
    <row r="89" spans="3:11" ht="19.8" customHeight="1">
      <c r="C89" s="66" t="s">
        <v>1208</v>
      </c>
      <c r="D89" s="67"/>
      <c r="E89" s="67"/>
      <c r="F89" s="142"/>
      <c r="G89" s="153"/>
      <c r="H89" s="284">
        <f>SUM(H85:H88)</f>
        <v>127672</v>
      </c>
      <c r="I89" s="319"/>
      <c r="K89" s="475"/>
    </row>
    <row r="90" spans="3:11" ht="19.8" customHeight="1">
      <c r="C90" s="290" t="s">
        <v>1209</v>
      </c>
      <c r="D90" s="182" t="s">
        <v>1210</v>
      </c>
      <c r="E90" s="70"/>
      <c r="F90" s="70"/>
      <c r="G90" s="70"/>
      <c r="H90" s="71"/>
      <c r="K90" s="475"/>
    </row>
    <row r="91" spans="3:11" ht="19.8" customHeight="1">
      <c r="C91" s="281">
        <v>1</v>
      </c>
      <c r="D91" s="182" t="s">
        <v>685</v>
      </c>
      <c r="E91" s="176" t="s">
        <v>44</v>
      </c>
      <c r="F91" s="282">
        <v>1</v>
      </c>
      <c r="G91" s="283">
        <f>VLOOKUP(D91,upahbahan,3,FALSE)</f>
        <v>386550</v>
      </c>
      <c r="H91" s="284">
        <f t="shared" ref="H91:H92" si="9">F91*G91</f>
        <v>386550</v>
      </c>
      <c r="K91" s="475"/>
    </row>
    <row r="92" spans="3:11" ht="19.8" customHeight="1">
      <c r="C92" s="281">
        <v>2</v>
      </c>
      <c r="D92" s="579" t="s">
        <v>1561</v>
      </c>
      <c r="E92" s="176" t="s">
        <v>62</v>
      </c>
      <c r="F92" s="282">
        <v>3.5999999999999997E-2</v>
      </c>
      <c r="G92" s="185">
        <f>'Harga Satuan'!E489</f>
        <v>132200</v>
      </c>
      <c r="H92" s="284">
        <f t="shared" si="9"/>
        <v>4759.2</v>
      </c>
      <c r="K92" s="475"/>
    </row>
    <row r="93" spans="3:11" ht="19.8" customHeight="1">
      <c r="C93" s="66" t="s">
        <v>1214</v>
      </c>
      <c r="D93" s="67"/>
      <c r="E93" s="67"/>
      <c r="F93" s="67"/>
      <c r="G93" s="69"/>
      <c r="H93" s="284">
        <f>SUM(H91:H92)</f>
        <v>391309.2</v>
      </c>
      <c r="K93" s="475"/>
    </row>
    <row r="94" spans="3:11" ht="19.8" customHeight="1">
      <c r="C94" s="321" t="s">
        <v>1215</v>
      </c>
      <c r="D94" s="182" t="s">
        <v>1216</v>
      </c>
      <c r="E94" s="70"/>
      <c r="F94" s="70"/>
      <c r="G94" s="70"/>
      <c r="H94" s="71"/>
      <c r="K94" s="475"/>
    </row>
    <row r="95" spans="3:11" ht="19.8" customHeight="1">
      <c r="C95" s="66" t="s">
        <v>1217</v>
      </c>
      <c r="D95" s="67"/>
      <c r="E95" s="67"/>
      <c r="F95" s="67"/>
      <c r="G95" s="69"/>
      <c r="H95" s="292">
        <v>0</v>
      </c>
      <c r="K95" s="475"/>
    </row>
    <row r="96" spans="3:11" ht="19.8" customHeight="1">
      <c r="C96" s="293" t="s">
        <v>1218</v>
      </c>
      <c r="D96" s="294" t="s">
        <v>1219</v>
      </c>
      <c r="E96" s="295"/>
      <c r="F96" s="295"/>
      <c r="G96" s="296"/>
      <c r="H96" s="284">
        <f>H95+H93+H89</f>
        <v>518981.2</v>
      </c>
      <c r="K96" s="475"/>
    </row>
    <row r="97" spans="3:11" ht="19.8" customHeight="1">
      <c r="C97" s="293" t="s">
        <v>1220</v>
      </c>
      <c r="D97" s="294" t="s">
        <v>1321</v>
      </c>
      <c r="E97" s="295"/>
      <c r="F97" s="296"/>
      <c r="G97" s="298">
        <f>$M$67</f>
        <v>0.1</v>
      </c>
      <c r="H97" s="284">
        <f>H96*G97</f>
        <v>51898.12</v>
      </c>
      <c r="K97" s="475"/>
    </row>
    <row r="98" spans="3:11" ht="19.8" customHeight="1" thickBot="1">
      <c r="C98" s="299" t="s">
        <v>1221</v>
      </c>
      <c r="D98" s="300" t="s">
        <v>1222</v>
      </c>
      <c r="E98" s="301"/>
      <c r="F98" s="301"/>
      <c r="G98" s="302"/>
      <c r="H98" s="303">
        <f>SUM(H96:H97)</f>
        <v>570879.32000000007</v>
      </c>
      <c r="K98" s="475"/>
    </row>
    <row r="99" spans="3:11" ht="14.4" thickTop="1">
      <c r="C99" s="304"/>
      <c r="D99" s="304"/>
      <c r="E99" s="304"/>
      <c r="F99" s="304"/>
      <c r="G99" s="304"/>
      <c r="H99" s="305"/>
      <c r="K99" s="475"/>
    </row>
    <row r="100" spans="3:11" ht="14.4" thickBot="1">
      <c r="C100" s="47" t="s">
        <v>3187</v>
      </c>
      <c r="D100" s="170" t="s">
        <v>1562</v>
      </c>
      <c r="E100" s="275"/>
      <c r="F100" s="275"/>
      <c r="G100" s="275"/>
      <c r="H100" s="275"/>
      <c r="I100" s="120">
        <f>ROUNDDOWN(H116,-2)</f>
        <v>19500</v>
      </c>
      <c r="K100" s="475"/>
    </row>
    <row r="101" spans="3:11" ht="28.2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  <c r="K101" s="475"/>
    </row>
    <row r="102" spans="3:11" ht="20.399999999999999" customHeight="1">
      <c r="C102" s="290" t="s">
        <v>1201</v>
      </c>
      <c r="D102" s="182" t="s">
        <v>1202</v>
      </c>
      <c r="E102" s="70"/>
      <c r="F102" s="70"/>
      <c r="G102" s="70"/>
      <c r="H102" s="71"/>
      <c r="K102" s="475"/>
    </row>
    <row r="103" spans="3:11" ht="20.399999999999999" customHeight="1">
      <c r="C103" s="281">
        <v>1</v>
      </c>
      <c r="D103" s="182" t="s">
        <v>5</v>
      </c>
      <c r="E103" s="176" t="s">
        <v>6</v>
      </c>
      <c r="F103" s="315">
        <v>0.1</v>
      </c>
      <c r="G103" s="283">
        <f>VLOOKUP(D103,upahbahan,3,FALSE)</f>
        <v>100000</v>
      </c>
      <c r="H103" s="284">
        <f>F103*G103</f>
        <v>10000</v>
      </c>
      <c r="K103" s="475"/>
    </row>
    <row r="104" spans="3:11" ht="20.399999999999999" customHeight="1">
      <c r="C104" s="281">
        <v>2</v>
      </c>
      <c r="D104" s="182" t="s">
        <v>7</v>
      </c>
      <c r="E104" s="176" t="s">
        <v>6</v>
      </c>
      <c r="F104" s="315">
        <v>0.05</v>
      </c>
      <c r="G104" s="283">
        <f>VLOOKUP(D104,upahbahan,3,FALSE)</f>
        <v>135000</v>
      </c>
      <c r="H104" s="284">
        <f t="shared" ref="H104:H106" si="10">F104*G104</f>
        <v>6750</v>
      </c>
      <c r="K104" s="475"/>
    </row>
    <row r="105" spans="3:11" ht="20.399999999999999" customHeight="1">
      <c r="C105" s="281">
        <v>3</v>
      </c>
      <c r="D105" s="182" t="s">
        <v>18</v>
      </c>
      <c r="E105" s="176" t="s">
        <v>6</v>
      </c>
      <c r="F105" s="315">
        <v>5.0000000000000001E-3</v>
      </c>
      <c r="G105" s="283">
        <f>VLOOKUP(D105,upahbahan,3,FALSE)</f>
        <v>150000</v>
      </c>
      <c r="H105" s="284">
        <f t="shared" si="10"/>
        <v>750</v>
      </c>
      <c r="K105" s="475"/>
    </row>
    <row r="106" spans="3:11" ht="20.399999999999999" customHeight="1">
      <c r="C106" s="281">
        <v>4</v>
      </c>
      <c r="D106" s="182" t="s">
        <v>19</v>
      </c>
      <c r="E106" s="176" t="s">
        <v>6</v>
      </c>
      <c r="F106" s="315">
        <v>1.6999999999999999E-3</v>
      </c>
      <c r="G106" s="283">
        <f>VLOOKUP(D106,upahbahan,3,FALSE)</f>
        <v>160000</v>
      </c>
      <c r="H106" s="284">
        <f t="shared" si="10"/>
        <v>272</v>
      </c>
      <c r="K106" s="475"/>
    </row>
    <row r="107" spans="3:11" ht="20.399999999999999" customHeight="1">
      <c r="C107" s="66" t="s">
        <v>1208</v>
      </c>
      <c r="D107" s="67"/>
      <c r="E107" s="67"/>
      <c r="F107" s="142"/>
      <c r="G107" s="153"/>
      <c r="H107" s="284">
        <f>SUM(H103:H106)</f>
        <v>17772</v>
      </c>
      <c r="I107" s="319"/>
      <c r="K107" s="475"/>
    </row>
    <row r="108" spans="3:11" ht="20.399999999999999" customHeight="1">
      <c r="C108" s="290" t="s">
        <v>1209</v>
      </c>
      <c r="D108" s="182" t="s">
        <v>1210</v>
      </c>
      <c r="E108" s="70"/>
      <c r="F108" s="70"/>
      <c r="G108" s="70"/>
      <c r="H108" s="71"/>
      <c r="K108" s="475"/>
    </row>
    <row r="109" spans="3:11" ht="20.399999999999999" customHeight="1">
      <c r="C109" s="281">
        <v>1</v>
      </c>
      <c r="D109" s="182" t="s">
        <v>718</v>
      </c>
      <c r="E109" s="176" t="s">
        <v>62</v>
      </c>
      <c r="F109" s="282">
        <v>1.05</v>
      </c>
      <c r="G109" s="283">
        <f>VLOOKUP(D109,upahbahan,3,FALSE)</f>
        <v>0</v>
      </c>
      <c r="H109" s="284">
        <f>F109*G109</f>
        <v>0</v>
      </c>
      <c r="K109" s="475"/>
    </row>
    <row r="110" spans="3:11" ht="20.399999999999999" customHeight="1">
      <c r="C110" s="281">
        <v>2</v>
      </c>
      <c r="D110" s="580" t="s">
        <v>695</v>
      </c>
      <c r="E110" s="176" t="s">
        <v>630</v>
      </c>
      <c r="F110" s="282">
        <v>0.79400000000000004</v>
      </c>
      <c r="G110" s="283">
        <f>VLOOKUP(D110,upahbahan,3,FALSE)</f>
        <v>0</v>
      </c>
      <c r="H110" s="284">
        <f t="shared" ref="H110" si="11">F110*G110</f>
        <v>0</v>
      </c>
      <c r="K110" s="475"/>
    </row>
    <row r="111" spans="3:11" ht="20.399999999999999" customHeight="1">
      <c r="C111" s="66" t="s">
        <v>1214</v>
      </c>
      <c r="D111" s="67"/>
      <c r="E111" s="67"/>
      <c r="F111" s="67"/>
      <c r="G111" s="69"/>
      <c r="H111" s="284">
        <f>SUM(H109:H110)</f>
        <v>0</v>
      </c>
      <c r="K111" s="475"/>
    </row>
    <row r="112" spans="3:11" ht="20.399999999999999" customHeight="1">
      <c r="C112" s="321" t="s">
        <v>1215</v>
      </c>
      <c r="D112" s="182" t="s">
        <v>1216</v>
      </c>
      <c r="E112" s="70"/>
      <c r="F112" s="70"/>
      <c r="G112" s="70"/>
      <c r="H112" s="71"/>
      <c r="K112" s="475"/>
    </row>
    <row r="113" spans="3:11" ht="20.399999999999999" customHeight="1">
      <c r="C113" s="66" t="s">
        <v>1217</v>
      </c>
      <c r="D113" s="67"/>
      <c r="E113" s="67"/>
      <c r="F113" s="67"/>
      <c r="G113" s="69"/>
      <c r="H113" s="292">
        <v>0</v>
      </c>
      <c r="K113" s="475"/>
    </row>
    <row r="114" spans="3:11" ht="20.399999999999999" customHeight="1">
      <c r="C114" s="293" t="s">
        <v>1218</v>
      </c>
      <c r="D114" s="294" t="s">
        <v>1219</v>
      </c>
      <c r="E114" s="295"/>
      <c r="F114" s="295"/>
      <c r="G114" s="296"/>
      <c r="H114" s="284">
        <f>H113+H111+H107</f>
        <v>17772</v>
      </c>
      <c r="K114" s="475"/>
    </row>
    <row r="115" spans="3:11" ht="20.399999999999999" customHeight="1">
      <c r="C115" s="293" t="s">
        <v>1220</v>
      </c>
      <c r="D115" s="294" t="s">
        <v>1321</v>
      </c>
      <c r="E115" s="295"/>
      <c r="F115" s="296"/>
      <c r="G115" s="298">
        <f>$M$67</f>
        <v>0.1</v>
      </c>
      <c r="H115" s="284">
        <f>H114*G115</f>
        <v>1777.2</v>
      </c>
      <c r="K115" s="475"/>
    </row>
    <row r="116" spans="3:11" ht="20.399999999999999" customHeight="1" thickBot="1">
      <c r="C116" s="299" t="s">
        <v>1221</v>
      </c>
      <c r="D116" s="300" t="s">
        <v>1222</v>
      </c>
      <c r="E116" s="301"/>
      <c r="F116" s="301"/>
      <c r="G116" s="302"/>
      <c r="H116" s="303">
        <f>SUM(H114:H115)</f>
        <v>19549.2</v>
      </c>
      <c r="K116" s="475"/>
    </row>
    <row r="117" spans="3:11" ht="14.4" thickTop="1">
      <c r="C117" s="304"/>
      <c r="D117" s="304"/>
      <c r="E117" s="304"/>
      <c r="F117" s="304"/>
      <c r="G117" s="304"/>
      <c r="H117" s="305"/>
      <c r="K117" s="475"/>
    </row>
    <row r="118" spans="3:11">
      <c r="C118" s="328" t="s">
        <v>3188</v>
      </c>
      <c r="D118" s="328" t="s">
        <v>3189</v>
      </c>
      <c r="E118" s="304"/>
      <c r="F118" s="304"/>
      <c r="G118" s="304"/>
      <c r="H118" s="305"/>
      <c r="K118" s="475"/>
    </row>
    <row r="119" spans="3:11" ht="14.4" thickBot="1">
      <c r="C119" s="170" t="s">
        <v>3190</v>
      </c>
      <c r="D119" s="170" t="s">
        <v>1563</v>
      </c>
      <c r="E119" s="275"/>
      <c r="F119" s="275"/>
      <c r="G119" s="275"/>
      <c r="H119" s="275"/>
      <c r="I119" s="120">
        <f>ROUNDDOWN(H136,-2)</f>
        <v>294300</v>
      </c>
      <c r="K119" s="475"/>
    </row>
    <row r="120" spans="3:11" ht="28.2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  <c r="K120" s="475"/>
    </row>
    <row r="121" spans="3:11" ht="21" customHeight="1">
      <c r="C121" s="290" t="s">
        <v>1201</v>
      </c>
      <c r="D121" s="182" t="s">
        <v>1202</v>
      </c>
      <c r="E121" s="70"/>
      <c r="F121" s="70"/>
      <c r="G121" s="70"/>
      <c r="H121" s="71"/>
      <c r="K121" s="475"/>
    </row>
    <row r="122" spans="3:11" ht="21" customHeight="1">
      <c r="C122" s="281">
        <v>1</v>
      </c>
      <c r="D122" s="182" t="s">
        <v>5</v>
      </c>
      <c r="E122" s="176" t="s">
        <v>6</v>
      </c>
      <c r="F122" s="315">
        <v>1</v>
      </c>
      <c r="G122" s="283">
        <f>VLOOKUP(D122,upahbahan,3,FALSE)</f>
        <v>100000</v>
      </c>
      <c r="H122" s="284">
        <f>F122*G122</f>
        <v>100000</v>
      </c>
      <c r="K122" s="475"/>
    </row>
    <row r="123" spans="3:11" ht="21" customHeight="1">
      <c r="C123" s="281">
        <v>2</v>
      </c>
      <c r="D123" s="182" t="s">
        <v>7</v>
      </c>
      <c r="E123" s="176" t="s">
        <v>6</v>
      </c>
      <c r="F123" s="315">
        <v>1</v>
      </c>
      <c r="G123" s="283">
        <f>VLOOKUP(D123,upahbahan,3,FALSE)</f>
        <v>135000</v>
      </c>
      <c r="H123" s="284">
        <f t="shared" ref="H123:H125" si="12">F123*G123</f>
        <v>135000</v>
      </c>
      <c r="K123" s="475"/>
    </row>
    <row r="124" spans="3:11" ht="21" customHeight="1">
      <c r="C124" s="281">
        <v>3</v>
      </c>
      <c r="D124" s="182" t="s">
        <v>18</v>
      </c>
      <c r="E124" s="176" t="s">
        <v>6</v>
      </c>
      <c r="F124" s="315">
        <v>0.1</v>
      </c>
      <c r="G124" s="283">
        <f>VLOOKUP(D124,upahbahan,3,FALSE)</f>
        <v>150000</v>
      </c>
      <c r="H124" s="284">
        <f t="shared" si="12"/>
        <v>15000</v>
      </c>
      <c r="K124" s="475"/>
    </row>
    <row r="125" spans="3:11" ht="21" customHeight="1">
      <c r="C125" s="281">
        <v>4</v>
      </c>
      <c r="D125" s="182" t="s">
        <v>19</v>
      </c>
      <c r="E125" s="176" t="s">
        <v>6</v>
      </c>
      <c r="F125" s="315">
        <v>3.3300000000000003E-2</v>
      </c>
      <c r="G125" s="283">
        <f>VLOOKUP(D125,upahbahan,3,FALSE)</f>
        <v>160000</v>
      </c>
      <c r="H125" s="284">
        <f t="shared" si="12"/>
        <v>5328.0000000000009</v>
      </c>
      <c r="K125" s="475"/>
    </row>
    <row r="126" spans="3:11" ht="21" customHeight="1">
      <c r="C126" s="66" t="s">
        <v>1208</v>
      </c>
      <c r="D126" s="67"/>
      <c r="E126" s="67"/>
      <c r="F126" s="142"/>
      <c r="G126" s="153"/>
      <c r="H126" s="284">
        <f>SUM(H122:H125)</f>
        <v>255328</v>
      </c>
      <c r="I126" s="319"/>
      <c r="K126" s="475"/>
    </row>
    <row r="127" spans="3:11" ht="21" customHeight="1">
      <c r="C127" s="290" t="s">
        <v>1209</v>
      </c>
      <c r="D127" s="182" t="s">
        <v>1210</v>
      </c>
      <c r="E127" s="70"/>
      <c r="F127" s="70"/>
      <c r="G127" s="70"/>
      <c r="H127" s="71"/>
      <c r="K127" s="475"/>
    </row>
    <row r="128" spans="3:11" ht="21" customHeight="1">
      <c r="C128" s="281">
        <v>1</v>
      </c>
      <c r="D128" s="182" t="s">
        <v>746</v>
      </c>
      <c r="E128" s="176" t="s">
        <v>44</v>
      </c>
      <c r="F128" s="327">
        <v>1</v>
      </c>
      <c r="G128" s="283">
        <f>VLOOKUP(D128,upahbahan,3,FALSE)</f>
        <v>0</v>
      </c>
      <c r="H128" s="284">
        <f t="shared" ref="H128:H130" si="13">F128*G128</f>
        <v>0</v>
      </c>
      <c r="K128" s="475"/>
    </row>
    <row r="129" spans="3:11" ht="21" customHeight="1">
      <c r="C129" s="281">
        <v>2</v>
      </c>
      <c r="D129" s="182" t="s">
        <v>2332</v>
      </c>
      <c r="E129" s="176" t="s">
        <v>65</v>
      </c>
      <c r="F129" s="327">
        <v>6</v>
      </c>
      <c r="G129" s="283">
        <f>VLOOKUP(D129,upahbahan,3,FALSE)</f>
        <v>1530</v>
      </c>
      <c r="H129" s="284">
        <f t="shared" si="13"/>
        <v>9180</v>
      </c>
      <c r="K129" s="475"/>
    </row>
    <row r="130" spans="3:11" ht="21" customHeight="1">
      <c r="C130" s="281">
        <v>3</v>
      </c>
      <c r="D130" s="285" t="s">
        <v>85</v>
      </c>
      <c r="E130" s="176" t="s">
        <v>42</v>
      </c>
      <c r="F130" s="327">
        <v>0.01</v>
      </c>
      <c r="G130" s="283">
        <f>VLOOKUP(D130,upahbahan,3,FALSE)</f>
        <v>310500</v>
      </c>
      <c r="H130" s="284">
        <f t="shared" si="13"/>
        <v>3105</v>
      </c>
      <c r="K130" s="475"/>
    </row>
    <row r="131" spans="3:11" ht="21" customHeight="1">
      <c r="C131" s="66" t="s">
        <v>1214</v>
      </c>
      <c r="D131" s="67"/>
      <c r="E131" s="67"/>
      <c r="F131" s="67"/>
      <c r="G131" s="69"/>
      <c r="H131" s="284">
        <f>SUM(H128:H130)</f>
        <v>12285</v>
      </c>
      <c r="K131" s="475"/>
    </row>
    <row r="132" spans="3:11" ht="21" customHeight="1">
      <c r="C132" s="321" t="s">
        <v>1215</v>
      </c>
      <c r="D132" s="182" t="s">
        <v>1216</v>
      </c>
      <c r="E132" s="70"/>
      <c r="F132" s="70"/>
      <c r="G132" s="70"/>
      <c r="H132" s="71"/>
      <c r="K132" s="475"/>
    </row>
    <row r="133" spans="3:11" ht="21" customHeight="1">
      <c r="C133" s="66" t="s">
        <v>1217</v>
      </c>
      <c r="D133" s="67"/>
      <c r="E133" s="67"/>
      <c r="F133" s="67"/>
      <c r="G133" s="69"/>
      <c r="H133" s="292">
        <v>0</v>
      </c>
      <c r="K133" s="475"/>
    </row>
    <row r="134" spans="3:11" ht="21" customHeight="1">
      <c r="C134" s="293" t="s">
        <v>1218</v>
      </c>
      <c r="D134" s="294" t="s">
        <v>1219</v>
      </c>
      <c r="E134" s="295"/>
      <c r="F134" s="295"/>
      <c r="G134" s="296"/>
      <c r="H134" s="284">
        <f>H133+H131+H126</f>
        <v>267613</v>
      </c>
      <c r="K134" s="475"/>
    </row>
    <row r="135" spans="3:11" ht="21" customHeight="1">
      <c r="C135" s="293" t="s">
        <v>1220</v>
      </c>
      <c r="D135" s="294" t="s">
        <v>1321</v>
      </c>
      <c r="E135" s="295"/>
      <c r="F135" s="296"/>
      <c r="G135" s="298">
        <f>$M$67</f>
        <v>0.1</v>
      </c>
      <c r="H135" s="284">
        <f>H134*G135</f>
        <v>26761.300000000003</v>
      </c>
      <c r="K135" s="475"/>
    </row>
    <row r="136" spans="3:11" ht="21" customHeight="1" thickBot="1">
      <c r="C136" s="299" t="s">
        <v>1221</v>
      </c>
      <c r="D136" s="300" t="s">
        <v>1222</v>
      </c>
      <c r="E136" s="301"/>
      <c r="F136" s="301"/>
      <c r="G136" s="302"/>
      <c r="H136" s="303">
        <f>SUM(H134:H135)</f>
        <v>294374.3</v>
      </c>
      <c r="K136" s="475"/>
    </row>
    <row r="137" spans="3:11" ht="14.4" thickTop="1">
      <c r="C137" s="304"/>
      <c r="D137" s="304"/>
      <c r="E137" s="304"/>
      <c r="F137" s="304"/>
      <c r="G137" s="304"/>
      <c r="H137" s="305"/>
      <c r="K137" s="475"/>
    </row>
    <row r="138" spans="3:11" ht="14.4" thickBot="1">
      <c r="C138" s="47" t="s">
        <v>3191</v>
      </c>
      <c r="D138" s="170" t="s">
        <v>1564</v>
      </c>
      <c r="E138" s="275"/>
      <c r="F138" s="275"/>
      <c r="G138" s="275"/>
      <c r="H138" s="275"/>
      <c r="I138" s="120">
        <f>ROUNDDOWN(H154,-2)</f>
        <v>226100</v>
      </c>
      <c r="K138" s="475"/>
    </row>
    <row r="139" spans="3:11" ht="28.2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  <c r="K139" s="475"/>
    </row>
    <row r="140" spans="3:11" ht="23.4" customHeight="1">
      <c r="C140" s="290" t="s">
        <v>1201</v>
      </c>
      <c r="D140" s="182" t="s">
        <v>1202</v>
      </c>
      <c r="E140" s="70"/>
      <c r="F140" s="70"/>
      <c r="G140" s="70"/>
      <c r="H140" s="71"/>
      <c r="K140" s="475"/>
    </row>
    <row r="141" spans="3:11" ht="23.4" customHeight="1">
      <c r="C141" s="281">
        <v>1</v>
      </c>
      <c r="D141" s="182" t="s">
        <v>5</v>
      </c>
      <c r="E141" s="176" t="s">
        <v>6</v>
      </c>
      <c r="F141" s="315">
        <v>0.5</v>
      </c>
      <c r="G141" s="283">
        <f>VLOOKUP(D141,upahbahan,3,FALSE)</f>
        <v>100000</v>
      </c>
      <c r="H141" s="284">
        <f>F141*G141</f>
        <v>50000</v>
      </c>
      <c r="K141" s="475"/>
    </row>
    <row r="142" spans="3:11" ht="23.4" customHeight="1">
      <c r="C142" s="281">
        <v>2</v>
      </c>
      <c r="D142" s="182" t="s">
        <v>7</v>
      </c>
      <c r="E142" s="176" t="s">
        <v>6</v>
      </c>
      <c r="F142" s="315">
        <v>1</v>
      </c>
      <c r="G142" s="283">
        <f>VLOOKUP(D142,upahbahan,3,FALSE)</f>
        <v>135000</v>
      </c>
      <c r="H142" s="284">
        <f t="shared" ref="H142:H144" si="14">F142*G142</f>
        <v>135000</v>
      </c>
      <c r="K142" s="475"/>
    </row>
    <row r="143" spans="3:11" ht="23.4" customHeight="1">
      <c r="C143" s="281">
        <v>3</v>
      </c>
      <c r="D143" s="182" t="s">
        <v>18</v>
      </c>
      <c r="E143" s="176" t="s">
        <v>6</v>
      </c>
      <c r="F143" s="315">
        <v>0.1</v>
      </c>
      <c r="G143" s="283">
        <f>VLOOKUP(D143,upahbahan,3,FALSE)</f>
        <v>150000</v>
      </c>
      <c r="H143" s="284">
        <f t="shared" si="14"/>
        <v>15000</v>
      </c>
      <c r="K143" s="475"/>
    </row>
    <row r="144" spans="3:11" ht="23.4" customHeight="1">
      <c r="C144" s="281">
        <v>4</v>
      </c>
      <c r="D144" s="182" t="s">
        <v>19</v>
      </c>
      <c r="E144" s="176" t="s">
        <v>6</v>
      </c>
      <c r="F144" s="315">
        <v>3.3300000000000003E-2</v>
      </c>
      <c r="G144" s="283">
        <f>VLOOKUP(D144,upahbahan,3,FALSE)</f>
        <v>160000</v>
      </c>
      <c r="H144" s="284">
        <f t="shared" si="14"/>
        <v>5328.0000000000009</v>
      </c>
      <c r="K144" s="475"/>
    </row>
    <row r="145" spans="3:11" ht="23.4" customHeight="1">
      <c r="C145" s="66" t="s">
        <v>1208</v>
      </c>
      <c r="D145" s="67"/>
      <c r="E145" s="67"/>
      <c r="F145" s="142"/>
      <c r="G145" s="153"/>
      <c r="H145" s="284">
        <f>SUM(H141:H144)</f>
        <v>205328</v>
      </c>
      <c r="I145" s="319"/>
      <c r="K145" s="475"/>
    </row>
    <row r="146" spans="3:11" ht="23.4" customHeight="1">
      <c r="C146" s="290" t="s">
        <v>1209</v>
      </c>
      <c r="D146" s="182" t="s">
        <v>1210</v>
      </c>
      <c r="E146" s="70"/>
      <c r="F146" s="70"/>
      <c r="G146" s="70"/>
      <c r="H146" s="71"/>
      <c r="K146" s="475"/>
    </row>
    <row r="147" spans="3:11" ht="23.4" customHeight="1">
      <c r="C147" s="281">
        <v>1</v>
      </c>
      <c r="D147" s="182" t="s">
        <v>694</v>
      </c>
      <c r="E147" s="176" t="s">
        <v>44</v>
      </c>
      <c r="F147" s="282">
        <v>1</v>
      </c>
      <c r="G147" s="283">
        <f>VLOOKUP(D147,upahbahan,3,FALSE)</f>
        <v>0</v>
      </c>
      <c r="H147" s="284">
        <f t="shared" ref="H147:H148" si="15">F147*G147</f>
        <v>0</v>
      </c>
      <c r="K147" s="475"/>
    </row>
    <row r="148" spans="3:11" ht="23.4" customHeight="1">
      <c r="C148" s="281">
        <v>2</v>
      </c>
      <c r="D148" s="182" t="s">
        <v>1050</v>
      </c>
      <c r="E148" s="176" t="s">
        <v>44</v>
      </c>
      <c r="F148" s="282">
        <v>2.5000000000000001E-2</v>
      </c>
      <c r="G148" s="283">
        <f>VLOOKUP(D148,upahbahan,3,FALSE)</f>
        <v>9000</v>
      </c>
      <c r="H148" s="284">
        <f t="shared" si="15"/>
        <v>225</v>
      </c>
      <c r="K148" s="475"/>
    </row>
    <row r="149" spans="3:11" ht="23.4" customHeight="1">
      <c r="C149" s="66" t="s">
        <v>1214</v>
      </c>
      <c r="D149" s="67"/>
      <c r="E149" s="67"/>
      <c r="F149" s="67"/>
      <c r="G149" s="69"/>
      <c r="H149" s="284">
        <f>SUM(H147:H148)</f>
        <v>225</v>
      </c>
      <c r="K149" s="475"/>
    </row>
    <row r="150" spans="3:11" ht="23.4" customHeight="1">
      <c r="C150" s="321" t="s">
        <v>1215</v>
      </c>
      <c r="D150" s="182" t="s">
        <v>1216</v>
      </c>
      <c r="E150" s="70"/>
      <c r="F150" s="70"/>
      <c r="G150" s="70"/>
      <c r="H150" s="71"/>
      <c r="K150" s="475"/>
    </row>
    <row r="151" spans="3:11" ht="23.4" customHeight="1">
      <c r="C151" s="66" t="s">
        <v>1217</v>
      </c>
      <c r="D151" s="67"/>
      <c r="E151" s="67"/>
      <c r="F151" s="67"/>
      <c r="G151" s="69"/>
      <c r="H151" s="292">
        <v>0</v>
      </c>
      <c r="K151" s="475"/>
    </row>
    <row r="152" spans="3:11" ht="23.4" customHeight="1">
      <c r="C152" s="293" t="s">
        <v>1218</v>
      </c>
      <c r="D152" s="294" t="s">
        <v>1219</v>
      </c>
      <c r="E152" s="295"/>
      <c r="F152" s="295"/>
      <c r="G152" s="296"/>
      <c r="H152" s="284">
        <f>H151+H149+H145</f>
        <v>205553</v>
      </c>
      <c r="K152" s="475"/>
    </row>
    <row r="153" spans="3:11" ht="23.4" customHeight="1">
      <c r="C153" s="293" t="s">
        <v>1220</v>
      </c>
      <c r="D153" s="294" t="s">
        <v>1321</v>
      </c>
      <c r="E153" s="295"/>
      <c r="F153" s="296"/>
      <c r="G153" s="298">
        <f>$M$67</f>
        <v>0.1</v>
      </c>
      <c r="H153" s="284">
        <f>H152*G153</f>
        <v>20555.300000000003</v>
      </c>
      <c r="K153" s="475"/>
    </row>
    <row r="154" spans="3:11" ht="23.4" customHeight="1" thickBot="1">
      <c r="C154" s="299" t="s">
        <v>1221</v>
      </c>
      <c r="D154" s="300" t="s">
        <v>1222</v>
      </c>
      <c r="E154" s="301"/>
      <c r="F154" s="301"/>
      <c r="G154" s="302"/>
      <c r="H154" s="303">
        <f>SUM(H152:H153)</f>
        <v>226108.3</v>
      </c>
      <c r="K154" s="475"/>
    </row>
    <row r="155" spans="3:11" ht="14.4" thickTop="1">
      <c r="C155" s="304"/>
      <c r="D155" s="304"/>
      <c r="E155" s="304"/>
      <c r="F155" s="304"/>
      <c r="G155" s="304"/>
      <c r="H155" s="305"/>
      <c r="K155" s="475"/>
    </row>
    <row r="156" spans="3:11">
      <c r="C156" s="328" t="s">
        <v>3192</v>
      </c>
      <c r="D156" s="328" t="s">
        <v>3193</v>
      </c>
      <c r="E156" s="304"/>
      <c r="F156" s="304"/>
      <c r="G156" s="304"/>
      <c r="H156" s="305"/>
      <c r="K156" s="475"/>
    </row>
    <row r="157" spans="3:11" ht="16.8" thickBot="1">
      <c r="C157" s="47" t="s">
        <v>3194</v>
      </c>
      <c r="D157" s="170" t="s">
        <v>1607</v>
      </c>
      <c r="E157" s="576"/>
      <c r="F157" s="576"/>
      <c r="G157" s="576"/>
      <c r="H157" s="576"/>
      <c r="I157" s="120">
        <f>ROUNDDOWN(H173,-2)</f>
        <v>1654400</v>
      </c>
      <c r="K157" s="475"/>
    </row>
    <row r="158" spans="3:11" ht="28.2" thickTop="1">
      <c r="C158" s="51" t="s">
        <v>1195</v>
      </c>
      <c r="D158" s="52" t="s">
        <v>1196</v>
      </c>
      <c r="E158" s="52" t="s">
        <v>1197</v>
      </c>
      <c r="F158" s="52" t="s">
        <v>1198</v>
      </c>
      <c r="G158" s="52" t="s">
        <v>1199</v>
      </c>
      <c r="H158" s="53" t="s">
        <v>1200</v>
      </c>
      <c r="K158" s="475"/>
    </row>
    <row r="159" spans="3:11" ht="21" customHeight="1">
      <c r="C159" s="290" t="s">
        <v>1201</v>
      </c>
      <c r="D159" s="182" t="s">
        <v>1202</v>
      </c>
      <c r="E159" s="70"/>
      <c r="F159" s="70"/>
      <c r="G159" s="70"/>
      <c r="H159" s="71"/>
      <c r="K159" s="475"/>
    </row>
    <row r="160" spans="3:11" ht="21" customHeight="1">
      <c r="C160" s="281">
        <v>1</v>
      </c>
      <c r="D160" s="182" t="s">
        <v>5</v>
      </c>
      <c r="E160" s="176" t="s">
        <v>6</v>
      </c>
      <c r="F160" s="282">
        <v>3</v>
      </c>
      <c r="G160" s="283">
        <f>VLOOKUP(D160,upahbahan,3,FALSE)</f>
        <v>100000</v>
      </c>
      <c r="H160" s="284">
        <f>F160*G160</f>
        <v>300000</v>
      </c>
      <c r="K160" s="475"/>
    </row>
    <row r="161" spans="3:11" ht="21" customHeight="1">
      <c r="C161" s="281">
        <v>2</v>
      </c>
      <c r="D161" s="182" t="s">
        <v>7</v>
      </c>
      <c r="E161" s="176" t="s">
        <v>6</v>
      </c>
      <c r="F161" s="282">
        <v>4.5</v>
      </c>
      <c r="G161" s="283">
        <f>VLOOKUP(D161,upahbahan,3,FALSE)</f>
        <v>135000</v>
      </c>
      <c r="H161" s="284">
        <f t="shared" ref="H161:H163" si="16">F161*G161</f>
        <v>607500</v>
      </c>
      <c r="K161" s="475"/>
    </row>
    <row r="162" spans="3:11" ht="21" customHeight="1">
      <c r="C162" s="281">
        <v>3</v>
      </c>
      <c r="D162" s="182" t="s">
        <v>18</v>
      </c>
      <c r="E162" s="176" t="s">
        <v>6</v>
      </c>
      <c r="F162" s="282">
        <v>0.45</v>
      </c>
      <c r="G162" s="283">
        <f>VLOOKUP(D162,upahbahan,3,FALSE)</f>
        <v>150000</v>
      </c>
      <c r="H162" s="284">
        <f t="shared" si="16"/>
        <v>67500</v>
      </c>
      <c r="K162" s="475"/>
    </row>
    <row r="163" spans="3:11" ht="21" customHeight="1">
      <c r="C163" s="281">
        <v>4</v>
      </c>
      <c r="D163" s="182" t="s">
        <v>19</v>
      </c>
      <c r="E163" s="176" t="s">
        <v>6</v>
      </c>
      <c r="F163" s="282">
        <v>0.15</v>
      </c>
      <c r="G163" s="283">
        <f>VLOOKUP(D163,upahbahan,3,FALSE)</f>
        <v>160000</v>
      </c>
      <c r="H163" s="284">
        <f t="shared" si="16"/>
        <v>24000</v>
      </c>
      <c r="K163" s="475"/>
    </row>
    <row r="164" spans="3:11" ht="21" customHeight="1">
      <c r="C164" s="66" t="s">
        <v>1208</v>
      </c>
      <c r="D164" s="67"/>
      <c r="E164" s="67"/>
      <c r="F164" s="142"/>
      <c r="G164" s="153"/>
      <c r="H164" s="284">
        <f>SUM(H160:H163)</f>
        <v>999000</v>
      </c>
      <c r="I164" s="319"/>
      <c r="K164" s="475"/>
    </row>
    <row r="165" spans="3:11" ht="21" customHeight="1">
      <c r="C165" s="290" t="s">
        <v>1209</v>
      </c>
      <c r="D165" s="182" t="s">
        <v>1210</v>
      </c>
      <c r="E165" s="70"/>
      <c r="F165" s="70"/>
      <c r="G165" s="70"/>
      <c r="H165" s="71"/>
      <c r="K165" s="475"/>
    </row>
    <row r="166" spans="3:11" ht="21" customHeight="1">
      <c r="C166" s="281">
        <v>1</v>
      </c>
      <c r="D166" s="182" t="s">
        <v>672</v>
      </c>
      <c r="E166" s="176" t="s">
        <v>3182</v>
      </c>
      <c r="F166" s="327">
        <v>1</v>
      </c>
      <c r="G166" s="283">
        <f>VLOOKUP(D166,upahbahan,3,FALSE)</f>
        <v>450000</v>
      </c>
      <c r="H166" s="284">
        <f>F166*G166</f>
        <v>450000</v>
      </c>
      <c r="K166" s="475"/>
    </row>
    <row r="167" spans="3:11" ht="21" customHeight="1">
      <c r="C167" s="281">
        <v>2</v>
      </c>
      <c r="D167" s="182" t="s">
        <v>677</v>
      </c>
      <c r="E167" s="176" t="s">
        <v>3182</v>
      </c>
      <c r="F167" s="327">
        <v>1</v>
      </c>
      <c r="G167" s="283">
        <f>VLOOKUP(D167,upahbahan,3,FALSE)</f>
        <v>55000</v>
      </c>
      <c r="H167" s="284">
        <f>F167*G167</f>
        <v>55000</v>
      </c>
      <c r="K167" s="475"/>
    </row>
    <row r="168" spans="3:11" ht="21" customHeight="1">
      <c r="C168" s="66" t="s">
        <v>1214</v>
      </c>
      <c r="D168" s="67"/>
      <c r="E168" s="67"/>
      <c r="F168" s="67"/>
      <c r="G168" s="69"/>
      <c r="H168" s="284">
        <f>SUM(H166:H167)</f>
        <v>505000</v>
      </c>
      <c r="K168" s="475"/>
    </row>
    <row r="169" spans="3:11" ht="21" customHeight="1">
      <c r="C169" s="321" t="s">
        <v>1215</v>
      </c>
      <c r="D169" s="182" t="s">
        <v>1216</v>
      </c>
      <c r="E169" s="70"/>
      <c r="F169" s="70"/>
      <c r="G169" s="70"/>
      <c r="H169" s="71"/>
      <c r="K169" s="475"/>
    </row>
    <row r="170" spans="3:11" ht="21" customHeight="1">
      <c r="C170" s="66" t="s">
        <v>1217</v>
      </c>
      <c r="D170" s="67"/>
      <c r="E170" s="67"/>
      <c r="F170" s="67"/>
      <c r="G170" s="69"/>
      <c r="H170" s="292">
        <v>0</v>
      </c>
      <c r="K170" s="475"/>
    </row>
    <row r="171" spans="3:11" ht="21" customHeight="1">
      <c r="C171" s="293" t="s">
        <v>1218</v>
      </c>
      <c r="D171" s="294" t="s">
        <v>1219</v>
      </c>
      <c r="E171" s="295"/>
      <c r="F171" s="295"/>
      <c r="G171" s="296"/>
      <c r="H171" s="284">
        <f>H170+H168+H164</f>
        <v>1504000</v>
      </c>
      <c r="K171" s="475"/>
    </row>
    <row r="172" spans="3:11" ht="21" customHeight="1">
      <c r="C172" s="293" t="s">
        <v>1220</v>
      </c>
      <c r="D172" s="294" t="s">
        <v>1321</v>
      </c>
      <c r="E172" s="295"/>
      <c r="F172" s="296"/>
      <c r="G172" s="298">
        <f>$M$67</f>
        <v>0.1</v>
      </c>
      <c r="H172" s="284">
        <f>H171*G172</f>
        <v>150400</v>
      </c>
      <c r="K172" s="475"/>
    </row>
    <row r="173" spans="3:11" ht="21" customHeight="1" thickBot="1">
      <c r="C173" s="299" t="s">
        <v>1221</v>
      </c>
      <c r="D173" s="300" t="s">
        <v>1222</v>
      </c>
      <c r="E173" s="301"/>
      <c r="F173" s="301"/>
      <c r="G173" s="302"/>
      <c r="H173" s="303">
        <f>SUM(H171:H172)</f>
        <v>1654400</v>
      </c>
      <c r="K173" s="475"/>
    </row>
    <row r="174" spans="3:11" ht="14.4" thickTop="1">
      <c r="C174" s="304"/>
      <c r="D174" s="304"/>
      <c r="E174" s="304"/>
      <c r="F174" s="304"/>
      <c r="G174" s="304"/>
      <c r="H174" s="305"/>
      <c r="K174" s="475"/>
    </row>
    <row r="175" spans="3:11" ht="16.8" thickBot="1">
      <c r="C175" s="47" t="s">
        <v>3195</v>
      </c>
      <c r="D175" s="170" t="s">
        <v>1608</v>
      </c>
      <c r="E175" s="576"/>
      <c r="F175" s="576"/>
      <c r="G175" s="576"/>
      <c r="H175" s="576"/>
      <c r="I175" s="120">
        <f>ROUNDDOWN(H193,-2)</f>
        <v>1988500</v>
      </c>
      <c r="K175" s="475"/>
    </row>
    <row r="176" spans="3:11" ht="28.2" thickTop="1">
      <c r="C176" s="51" t="s">
        <v>1195</v>
      </c>
      <c r="D176" s="52" t="s">
        <v>1196</v>
      </c>
      <c r="E176" s="52" t="s">
        <v>1197</v>
      </c>
      <c r="F176" s="52" t="s">
        <v>1198</v>
      </c>
      <c r="G176" s="52" t="s">
        <v>1199</v>
      </c>
      <c r="H176" s="53" t="s">
        <v>1200</v>
      </c>
      <c r="K176" s="475"/>
    </row>
    <row r="177" spans="3:11" ht="20.399999999999999" customHeight="1">
      <c r="C177" s="290" t="s">
        <v>1201</v>
      </c>
      <c r="D177" s="182" t="s">
        <v>1202</v>
      </c>
      <c r="E177" s="70"/>
      <c r="F177" s="70"/>
      <c r="G177" s="70"/>
      <c r="H177" s="71"/>
      <c r="K177" s="475"/>
    </row>
    <row r="178" spans="3:11" ht="20.399999999999999" customHeight="1">
      <c r="C178" s="281">
        <v>1</v>
      </c>
      <c r="D178" s="182" t="s">
        <v>5</v>
      </c>
      <c r="E178" s="176" t="s">
        <v>6</v>
      </c>
      <c r="F178" s="282">
        <v>6</v>
      </c>
      <c r="G178" s="283">
        <f>VLOOKUP(D178,upahbahan,3,FALSE)</f>
        <v>100000</v>
      </c>
      <c r="H178" s="284">
        <f>F178*G178</f>
        <v>600000</v>
      </c>
      <c r="K178" s="475"/>
    </row>
    <row r="179" spans="3:11" ht="20.399999999999999" customHeight="1">
      <c r="C179" s="281">
        <v>2</v>
      </c>
      <c r="D179" s="182" t="s">
        <v>7</v>
      </c>
      <c r="E179" s="176" t="s">
        <v>6</v>
      </c>
      <c r="F179" s="282">
        <v>3</v>
      </c>
      <c r="G179" s="283">
        <f>VLOOKUP(D179,upahbahan,3,FALSE)</f>
        <v>135000</v>
      </c>
      <c r="H179" s="284">
        <f t="shared" ref="H179:H181" si="17">F179*G179</f>
        <v>405000</v>
      </c>
      <c r="K179" s="475"/>
    </row>
    <row r="180" spans="3:11" ht="20.399999999999999" customHeight="1">
      <c r="C180" s="281">
        <v>3</v>
      </c>
      <c r="D180" s="182" t="s">
        <v>18</v>
      </c>
      <c r="E180" s="176" t="s">
        <v>6</v>
      </c>
      <c r="F180" s="282">
        <v>0.3</v>
      </c>
      <c r="G180" s="283">
        <f>VLOOKUP(D180,upahbahan,3,FALSE)</f>
        <v>150000</v>
      </c>
      <c r="H180" s="284">
        <f t="shared" si="17"/>
        <v>45000</v>
      </c>
      <c r="K180" s="475"/>
    </row>
    <row r="181" spans="3:11" ht="20.399999999999999" customHeight="1">
      <c r="C181" s="281">
        <v>4</v>
      </c>
      <c r="D181" s="182" t="s">
        <v>19</v>
      </c>
      <c r="E181" s="176" t="s">
        <v>6</v>
      </c>
      <c r="F181" s="282">
        <v>0.1</v>
      </c>
      <c r="G181" s="283">
        <f>VLOOKUP(D181,upahbahan,3,FALSE)</f>
        <v>160000</v>
      </c>
      <c r="H181" s="284">
        <f t="shared" si="17"/>
        <v>16000</v>
      </c>
      <c r="K181" s="475"/>
    </row>
    <row r="182" spans="3:11" ht="20.399999999999999" customHeight="1">
      <c r="C182" s="66" t="s">
        <v>1208</v>
      </c>
      <c r="D182" s="67"/>
      <c r="E182" s="67"/>
      <c r="F182" s="142"/>
      <c r="G182" s="153"/>
      <c r="H182" s="284">
        <f>SUM(H178:H181)</f>
        <v>1066000</v>
      </c>
      <c r="I182" s="319"/>
      <c r="K182" s="475"/>
    </row>
    <row r="183" spans="3:11" ht="20.399999999999999" customHeight="1">
      <c r="C183" s="290" t="s">
        <v>1209</v>
      </c>
      <c r="D183" s="182" t="s">
        <v>1210</v>
      </c>
      <c r="E183" s="70"/>
      <c r="F183" s="70"/>
      <c r="G183" s="70"/>
      <c r="H183" s="71"/>
      <c r="K183" s="475"/>
    </row>
    <row r="184" spans="3:11" ht="20.399999999999999" customHeight="1">
      <c r="C184" s="310" t="s">
        <v>1203</v>
      </c>
      <c r="D184" s="182" t="s">
        <v>43</v>
      </c>
      <c r="E184" s="176" t="s">
        <v>44</v>
      </c>
      <c r="F184" s="327">
        <v>150</v>
      </c>
      <c r="G184" s="283">
        <f>VLOOKUP(D184,upahbahan,3,FALSE)</f>
        <v>700</v>
      </c>
      <c r="H184" s="284">
        <f t="shared" ref="H184:H187" si="18">F184*G184</f>
        <v>105000</v>
      </c>
      <c r="K184" s="475"/>
    </row>
    <row r="185" spans="3:11" ht="20.399999999999999" customHeight="1">
      <c r="C185" s="310" t="s">
        <v>1204</v>
      </c>
      <c r="D185" s="182" t="s">
        <v>2334</v>
      </c>
      <c r="E185" s="176" t="s">
        <v>65</v>
      </c>
      <c r="F185" s="327">
        <v>120</v>
      </c>
      <c r="G185" s="283">
        <f>VLOOKUP(D185,upahbahan,3,FALSE)</f>
        <v>1530</v>
      </c>
      <c r="H185" s="284">
        <f t="shared" si="18"/>
        <v>183600</v>
      </c>
      <c r="K185" s="475"/>
    </row>
    <row r="186" spans="3:11" ht="20.399999999999999" customHeight="1">
      <c r="C186" s="310" t="s">
        <v>1205</v>
      </c>
      <c r="D186" s="285" t="s">
        <v>85</v>
      </c>
      <c r="E186" s="176" t="s">
        <v>42</v>
      </c>
      <c r="F186" s="327">
        <v>0.3</v>
      </c>
      <c r="G186" s="283">
        <f>VLOOKUP(D186,upahbahan,3,FALSE)</f>
        <v>310500</v>
      </c>
      <c r="H186" s="284">
        <f t="shared" si="18"/>
        <v>93150</v>
      </c>
      <c r="K186" s="475"/>
    </row>
    <row r="187" spans="3:11" ht="20.399999999999999" customHeight="1">
      <c r="C187" s="310" t="s">
        <v>1206</v>
      </c>
      <c r="D187" s="182" t="s">
        <v>495</v>
      </c>
      <c r="E187" s="176" t="s">
        <v>44</v>
      </c>
      <c r="F187" s="327">
        <v>360</v>
      </c>
      <c r="G187" s="283">
        <f>VLOOKUP(D187,upahbahan,3,FALSE)</f>
        <v>1000</v>
      </c>
      <c r="H187" s="284">
        <f t="shared" si="18"/>
        <v>360000</v>
      </c>
      <c r="K187" s="475"/>
    </row>
    <row r="188" spans="3:11" ht="20.399999999999999" customHeight="1">
      <c r="C188" s="66" t="s">
        <v>1214</v>
      </c>
      <c r="D188" s="67"/>
      <c r="E188" s="67"/>
      <c r="F188" s="67"/>
      <c r="G188" s="69"/>
      <c r="H188" s="284">
        <f>SUM(H184:H187)</f>
        <v>741750</v>
      </c>
      <c r="K188" s="475"/>
    </row>
    <row r="189" spans="3:11" ht="20.399999999999999" customHeight="1">
      <c r="C189" s="321" t="s">
        <v>1215</v>
      </c>
      <c r="D189" s="182" t="s">
        <v>1216</v>
      </c>
      <c r="E189" s="70"/>
      <c r="F189" s="70"/>
      <c r="G189" s="70"/>
      <c r="H189" s="71"/>
      <c r="K189" s="475"/>
    </row>
    <row r="190" spans="3:11" ht="20.399999999999999" customHeight="1">
      <c r="C190" s="66" t="s">
        <v>1217</v>
      </c>
      <c r="D190" s="67"/>
      <c r="E190" s="67"/>
      <c r="F190" s="67"/>
      <c r="G190" s="69"/>
      <c r="H190" s="292">
        <v>0</v>
      </c>
      <c r="K190" s="475"/>
    </row>
    <row r="191" spans="3:11" ht="20.399999999999999" customHeight="1">
      <c r="C191" s="293" t="s">
        <v>1218</v>
      </c>
      <c r="D191" s="294" t="s">
        <v>1219</v>
      </c>
      <c r="E191" s="295"/>
      <c r="F191" s="295"/>
      <c r="G191" s="296"/>
      <c r="H191" s="284">
        <f>H190+H188+H182</f>
        <v>1807750</v>
      </c>
      <c r="K191" s="475"/>
    </row>
    <row r="192" spans="3:11" ht="20.399999999999999" customHeight="1">
      <c r="C192" s="293" t="s">
        <v>1220</v>
      </c>
      <c r="D192" s="294" t="s">
        <v>1321</v>
      </c>
      <c r="E192" s="295"/>
      <c r="F192" s="296"/>
      <c r="G192" s="298">
        <f>$M$67</f>
        <v>0.1</v>
      </c>
      <c r="H192" s="284">
        <f>H191*G192</f>
        <v>180775</v>
      </c>
      <c r="K192" s="475"/>
    </row>
    <row r="193" spans="3:11" ht="20.399999999999999" customHeight="1" thickBot="1">
      <c r="C193" s="299" t="s">
        <v>1221</v>
      </c>
      <c r="D193" s="300" t="s">
        <v>1222</v>
      </c>
      <c r="E193" s="301"/>
      <c r="F193" s="301"/>
      <c r="G193" s="302"/>
      <c r="H193" s="303">
        <f>SUM(H191:H192)</f>
        <v>1988525</v>
      </c>
      <c r="K193" s="475"/>
    </row>
    <row r="194" spans="3:11" ht="14.4" thickTop="1">
      <c r="C194" s="304"/>
      <c r="D194" s="304"/>
      <c r="E194" s="304"/>
      <c r="F194" s="304"/>
      <c r="G194" s="304"/>
      <c r="H194" s="305"/>
      <c r="K194" s="475"/>
    </row>
    <row r="195" spans="3:11" ht="16.8" thickBot="1">
      <c r="C195" s="47" t="s">
        <v>3196</v>
      </c>
      <c r="D195" s="170" t="s">
        <v>1609</v>
      </c>
      <c r="E195" s="275"/>
      <c r="F195" s="275"/>
      <c r="G195" s="275"/>
      <c r="H195" s="275"/>
      <c r="I195" s="120">
        <f>ROUNDDOWN(H212,-2)</f>
        <v>580500</v>
      </c>
      <c r="K195" s="475"/>
    </row>
    <row r="196" spans="3:11" ht="28.2" thickTop="1">
      <c r="C196" s="51" t="s">
        <v>1195</v>
      </c>
      <c r="D196" s="52" t="s">
        <v>1196</v>
      </c>
      <c r="E196" s="52" t="s">
        <v>1197</v>
      </c>
      <c r="F196" s="52" t="s">
        <v>1198</v>
      </c>
      <c r="G196" s="52" t="s">
        <v>1199</v>
      </c>
      <c r="H196" s="53" t="s">
        <v>1200</v>
      </c>
      <c r="K196" s="475"/>
    </row>
    <row r="197" spans="3:11" ht="21.6" customHeight="1">
      <c r="C197" s="290" t="s">
        <v>1201</v>
      </c>
      <c r="D197" s="182" t="s">
        <v>1202</v>
      </c>
      <c r="E197" s="70"/>
      <c r="F197" s="70"/>
      <c r="G197" s="70"/>
      <c r="H197" s="71"/>
      <c r="K197" s="475"/>
    </row>
    <row r="198" spans="3:11" ht="21.6" customHeight="1">
      <c r="C198" s="281">
        <v>1</v>
      </c>
      <c r="D198" s="182" t="s">
        <v>5</v>
      </c>
      <c r="E198" s="176" t="s">
        <v>6</v>
      </c>
      <c r="F198" s="315">
        <v>0.28570000000000001</v>
      </c>
      <c r="G198" s="283">
        <f>VLOOKUP(D198,upahbahan,3,FALSE)</f>
        <v>100000</v>
      </c>
      <c r="H198" s="284">
        <f t="shared" ref="H198:H201" si="19">F198*G198</f>
        <v>28570</v>
      </c>
      <c r="K198" s="475"/>
    </row>
    <row r="199" spans="3:11" ht="21.6" customHeight="1">
      <c r="C199" s="281">
        <v>2</v>
      </c>
      <c r="D199" s="182" t="s">
        <v>7</v>
      </c>
      <c r="E199" s="176" t="s">
        <v>6</v>
      </c>
      <c r="F199" s="315">
        <v>0.1429</v>
      </c>
      <c r="G199" s="283">
        <f>VLOOKUP(D199,upahbahan,3,FALSE)</f>
        <v>135000</v>
      </c>
      <c r="H199" s="284">
        <f t="shared" si="19"/>
        <v>19291.5</v>
      </c>
      <c r="K199" s="475"/>
    </row>
    <row r="200" spans="3:11" ht="21.6" customHeight="1">
      <c r="C200" s="281">
        <v>3</v>
      </c>
      <c r="D200" s="182" t="s">
        <v>18</v>
      </c>
      <c r="E200" s="176" t="s">
        <v>6</v>
      </c>
      <c r="F200" s="315">
        <v>0.05</v>
      </c>
      <c r="G200" s="283">
        <f>VLOOKUP(D200,upahbahan,3,FALSE)</f>
        <v>150000</v>
      </c>
      <c r="H200" s="284">
        <f t="shared" si="19"/>
        <v>7500</v>
      </c>
      <c r="K200" s="475"/>
    </row>
    <row r="201" spans="3:11" ht="21.6" customHeight="1">
      <c r="C201" s="281">
        <v>4</v>
      </c>
      <c r="D201" s="182" t="s">
        <v>19</v>
      </c>
      <c r="E201" s="176" t="s">
        <v>6</v>
      </c>
      <c r="F201" s="315">
        <v>0.9</v>
      </c>
      <c r="G201" s="283">
        <f>VLOOKUP(D201,upahbahan,3,FALSE)</f>
        <v>160000</v>
      </c>
      <c r="H201" s="284">
        <f t="shared" si="19"/>
        <v>144000</v>
      </c>
      <c r="K201" s="475"/>
    </row>
    <row r="202" spans="3:11" ht="21.6" customHeight="1">
      <c r="C202" s="66" t="s">
        <v>1208</v>
      </c>
      <c r="D202" s="67"/>
      <c r="E202" s="67"/>
      <c r="F202" s="142"/>
      <c r="G202" s="153"/>
      <c r="H202" s="284">
        <f>SUM(H198:H201)</f>
        <v>199361.5</v>
      </c>
      <c r="I202" s="319"/>
      <c r="K202" s="475"/>
    </row>
    <row r="203" spans="3:11" ht="21.6" customHeight="1">
      <c r="C203" s="290" t="s">
        <v>1209</v>
      </c>
      <c r="D203" s="182" t="s">
        <v>1210</v>
      </c>
      <c r="E203" s="70"/>
      <c r="F203" s="70"/>
      <c r="G203" s="70"/>
      <c r="H203" s="71"/>
      <c r="K203" s="475"/>
    </row>
    <row r="204" spans="3:11" ht="21.6" customHeight="1">
      <c r="C204" s="310" t="s">
        <v>1203</v>
      </c>
      <c r="D204" s="285" t="s">
        <v>671</v>
      </c>
      <c r="E204" s="176" t="s">
        <v>135</v>
      </c>
      <c r="F204" s="282">
        <v>1</v>
      </c>
      <c r="G204" s="283">
        <f>VLOOKUP(D204,upahbahan,3,FALSE)</f>
        <v>328400</v>
      </c>
      <c r="H204" s="284">
        <f t="shared" ref="H204:H206" si="20">F204*G204</f>
        <v>328400</v>
      </c>
      <c r="K204" s="475"/>
    </row>
    <row r="205" spans="3:11" ht="21.6" customHeight="1">
      <c r="C205" s="310" t="s">
        <v>1204</v>
      </c>
      <c r="D205" s="182" t="s">
        <v>1612</v>
      </c>
      <c r="E205" s="176" t="s">
        <v>113</v>
      </c>
      <c r="F205" s="282">
        <v>2</v>
      </c>
      <c r="G205" s="283">
        <f>VLOOKUP(D205,upahbahan,3,FALSE)</f>
        <v>0</v>
      </c>
      <c r="H205" s="284">
        <f t="shared" si="20"/>
        <v>0</v>
      </c>
      <c r="K205" s="475"/>
    </row>
    <row r="206" spans="3:11" ht="21.6" customHeight="1">
      <c r="C206" s="310" t="s">
        <v>1205</v>
      </c>
      <c r="D206" s="182" t="s">
        <v>732</v>
      </c>
      <c r="E206" s="176" t="s">
        <v>44</v>
      </c>
      <c r="F206" s="282">
        <v>1</v>
      </c>
      <c r="G206" s="283">
        <f>VLOOKUP(D206,upahbahan,3,FALSE)</f>
        <v>0</v>
      </c>
      <c r="H206" s="284">
        <f t="shared" si="20"/>
        <v>0</v>
      </c>
      <c r="K206" s="475"/>
    </row>
    <row r="207" spans="3:11" ht="21.6" customHeight="1">
      <c r="C207" s="66" t="s">
        <v>1214</v>
      </c>
      <c r="D207" s="67"/>
      <c r="E207" s="67"/>
      <c r="F207" s="67"/>
      <c r="G207" s="69"/>
      <c r="H207" s="284">
        <f>SUM(H204:H206)</f>
        <v>328400</v>
      </c>
      <c r="K207" s="475"/>
    </row>
    <row r="208" spans="3:11" ht="21.6" customHeight="1">
      <c r="C208" s="321" t="s">
        <v>1215</v>
      </c>
      <c r="D208" s="182" t="s">
        <v>1216</v>
      </c>
      <c r="E208" s="70"/>
      <c r="F208" s="70"/>
      <c r="G208" s="70"/>
      <c r="H208" s="71"/>
      <c r="K208" s="475"/>
    </row>
    <row r="209" spans="3:11" ht="21.6" customHeight="1">
      <c r="C209" s="66" t="s">
        <v>1217</v>
      </c>
      <c r="D209" s="67"/>
      <c r="E209" s="67"/>
      <c r="F209" s="67"/>
      <c r="G209" s="69"/>
      <c r="H209" s="292">
        <v>0</v>
      </c>
      <c r="K209" s="475"/>
    </row>
    <row r="210" spans="3:11" ht="21.6" customHeight="1">
      <c r="C210" s="293" t="s">
        <v>1218</v>
      </c>
      <c r="D210" s="294" t="s">
        <v>1219</v>
      </c>
      <c r="E210" s="295"/>
      <c r="F210" s="295"/>
      <c r="G210" s="296"/>
      <c r="H210" s="284">
        <f>H209+H207+H202</f>
        <v>527761.5</v>
      </c>
      <c r="K210" s="475"/>
    </row>
    <row r="211" spans="3:11" ht="21.6" customHeight="1">
      <c r="C211" s="293" t="s">
        <v>1220</v>
      </c>
      <c r="D211" s="294" t="s">
        <v>1321</v>
      </c>
      <c r="E211" s="295"/>
      <c r="F211" s="296"/>
      <c r="G211" s="298">
        <f>$M$67</f>
        <v>0.1</v>
      </c>
      <c r="H211" s="284">
        <f>H210*G211</f>
        <v>52776.15</v>
      </c>
      <c r="K211" s="475"/>
    </row>
    <row r="212" spans="3:11" ht="21.6" customHeight="1" thickBot="1">
      <c r="C212" s="299" t="s">
        <v>1221</v>
      </c>
      <c r="D212" s="300" t="s">
        <v>1222</v>
      </c>
      <c r="E212" s="301"/>
      <c r="F212" s="301"/>
      <c r="G212" s="302"/>
      <c r="H212" s="303">
        <f>SUM(H210:H211)</f>
        <v>580537.65</v>
      </c>
      <c r="K212" s="475"/>
    </row>
    <row r="213" spans="3:11" ht="14.4" thickTop="1">
      <c r="C213" s="304"/>
      <c r="D213" s="304"/>
      <c r="E213" s="304"/>
      <c r="F213" s="304"/>
      <c r="G213" s="304"/>
      <c r="H213" s="308"/>
      <c r="K213" s="475"/>
    </row>
    <row r="214" spans="3:11" ht="16.8" thickBot="1">
      <c r="C214" s="47" t="s">
        <v>3197</v>
      </c>
      <c r="D214" s="170" t="s">
        <v>1610</v>
      </c>
      <c r="E214" s="275"/>
      <c r="F214" s="275"/>
      <c r="G214" s="275"/>
      <c r="H214" s="275"/>
      <c r="I214" s="120">
        <f>ROUNDDOWN(H231,-2)</f>
        <v>659300</v>
      </c>
      <c r="K214" s="475"/>
    </row>
    <row r="215" spans="3:11" ht="28.2" thickTop="1">
      <c r="C215" s="51" t="s">
        <v>1195</v>
      </c>
      <c r="D215" s="52" t="s">
        <v>1196</v>
      </c>
      <c r="E215" s="52" t="s">
        <v>1197</v>
      </c>
      <c r="F215" s="52" t="s">
        <v>1198</v>
      </c>
      <c r="G215" s="52" t="s">
        <v>1199</v>
      </c>
      <c r="H215" s="53" t="s">
        <v>1200</v>
      </c>
      <c r="K215" s="475"/>
    </row>
    <row r="216" spans="3:11" ht="19.8" customHeight="1">
      <c r="C216" s="290" t="s">
        <v>1201</v>
      </c>
      <c r="D216" s="182" t="s">
        <v>1202</v>
      </c>
      <c r="E216" s="70"/>
      <c r="F216" s="70"/>
      <c r="G216" s="70"/>
      <c r="H216" s="71"/>
      <c r="K216" s="475"/>
    </row>
    <row r="217" spans="3:11" ht="19.8" customHeight="1">
      <c r="C217" s="281">
        <v>1</v>
      </c>
      <c r="D217" s="182" t="s">
        <v>5</v>
      </c>
      <c r="E217" s="176" t="s">
        <v>6</v>
      </c>
      <c r="F217" s="315">
        <v>0.28599999999999998</v>
      </c>
      <c r="G217" s="283">
        <f>VLOOKUP(D217,upahbahan,3,FALSE)</f>
        <v>100000</v>
      </c>
      <c r="H217" s="284">
        <f>F217*G217</f>
        <v>28599.999999999996</v>
      </c>
      <c r="K217" s="475"/>
    </row>
    <row r="218" spans="3:11" ht="19.8" customHeight="1">
      <c r="C218" s="281">
        <v>2</v>
      </c>
      <c r="D218" s="182" t="s">
        <v>7</v>
      </c>
      <c r="E218" s="176" t="s">
        <v>6</v>
      </c>
      <c r="F218" s="315">
        <v>0.14299999999999999</v>
      </c>
      <c r="G218" s="283">
        <f>VLOOKUP(D218,upahbahan,3,FALSE)</f>
        <v>135000</v>
      </c>
      <c r="H218" s="284">
        <f t="shared" ref="H218:H220" si="21">F218*G218</f>
        <v>19305</v>
      </c>
      <c r="K218" s="475"/>
    </row>
    <row r="219" spans="3:11" ht="19.8" customHeight="1">
      <c r="C219" s="281">
        <v>3</v>
      </c>
      <c r="D219" s="182" t="s">
        <v>18</v>
      </c>
      <c r="E219" s="176" t="s">
        <v>6</v>
      </c>
      <c r="F219" s="315">
        <v>0.05</v>
      </c>
      <c r="G219" s="283">
        <f>VLOOKUP(D219,upahbahan,3,FALSE)</f>
        <v>150000</v>
      </c>
      <c r="H219" s="284">
        <f t="shared" si="21"/>
        <v>7500</v>
      </c>
      <c r="K219" s="475"/>
    </row>
    <row r="220" spans="3:11" ht="19.8" customHeight="1">
      <c r="C220" s="281">
        <v>4</v>
      </c>
      <c r="D220" s="182" t="s">
        <v>19</v>
      </c>
      <c r="E220" s="176" t="s">
        <v>6</v>
      </c>
      <c r="F220" s="315">
        <v>0.9</v>
      </c>
      <c r="G220" s="283">
        <f>VLOOKUP(D220,upahbahan,3,FALSE)</f>
        <v>160000</v>
      </c>
      <c r="H220" s="284">
        <f t="shared" si="21"/>
        <v>144000</v>
      </c>
      <c r="K220" s="475"/>
    </row>
    <row r="221" spans="3:11" ht="19.8" customHeight="1">
      <c r="C221" s="66" t="s">
        <v>1208</v>
      </c>
      <c r="D221" s="67"/>
      <c r="E221" s="67"/>
      <c r="F221" s="142"/>
      <c r="G221" s="153"/>
      <c r="H221" s="284">
        <f>SUM(H217:H220)</f>
        <v>199405</v>
      </c>
      <c r="I221" s="319"/>
      <c r="K221" s="475"/>
    </row>
    <row r="222" spans="3:11" ht="19.8" customHeight="1">
      <c r="C222" s="290" t="s">
        <v>1209</v>
      </c>
      <c r="D222" s="182" t="s">
        <v>1210</v>
      </c>
      <c r="E222" s="70"/>
      <c r="F222" s="70"/>
      <c r="G222" s="70"/>
      <c r="H222" s="71"/>
      <c r="K222" s="475"/>
    </row>
    <row r="223" spans="3:11" ht="19.8" customHeight="1">
      <c r="C223" s="310" t="s">
        <v>1203</v>
      </c>
      <c r="D223" s="285" t="s">
        <v>670</v>
      </c>
      <c r="E223" s="176" t="s">
        <v>135</v>
      </c>
      <c r="F223" s="282">
        <v>1</v>
      </c>
      <c r="G223" s="283">
        <f>VLOOKUP(D223,upahbahan,3,FALSE)</f>
        <v>400000</v>
      </c>
      <c r="H223" s="284">
        <f>F223*G223</f>
        <v>400000</v>
      </c>
      <c r="K223" s="475"/>
    </row>
    <row r="224" spans="3:11" ht="19.8" customHeight="1">
      <c r="C224" s="310" t="s">
        <v>1204</v>
      </c>
      <c r="D224" s="182" t="s">
        <v>1612</v>
      </c>
      <c r="E224" s="176" t="s">
        <v>113</v>
      </c>
      <c r="F224" s="282">
        <v>2</v>
      </c>
      <c r="G224" s="283">
        <f>VLOOKUP(D224,upahbahan,3,FALSE)</f>
        <v>0</v>
      </c>
      <c r="H224" s="284">
        <f t="shared" ref="H224:H225" si="22">F224*G224</f>
        <v>0</v>
      </c>
      <c r="K224" s="475"/>
    </row>
    <row r="225" spans="3:11" ht="19.8" customHeight="1">
      <c r="C225" s="310" t="s">
        <v>1205</v>
      </c>
      <c r="D225" s="182" t="s">
        <v>732</v>
      </c>
      <c r="E225" s="176" t="s">
        <v>44</v>
      </c>
      <c r="F225" s="282">
        <v>1</v>
      </c>
      <c r="G225" s="283">
        <f>VLOOKUP(D225,upahbahan,3,FALSE)</f>
        <v>0</v>
      </c>
      <c r="H225" s="284">
        <f t="shared" si="22"/>
        <v>0</v>
      </c>
      <c r="K225" s="475"/>
    </row>
    <row r="226" spans="3:11" ht="19.8" customHeight="1">
      <c r="C226" s="66" t="s">
        <v>1214</v>
      </c>
      <c r="D226" s="67"/>
      <c r="E226" s="67"/>
      <c r="F226" s="67"/>
      <c r="G226" s="69"/>
      <c r="H226" s="284">
        <f>SUM(H223:H225)</f>
        <v>400000</v>
      </c>
      <c r="K226" s="475"/>
    </row>
    <row r="227" spans="3:11" ht="19.8" customHeight="1">
      <c r="C227" s="321" t="s">
        <v>1215</v>
      </c>
      <c r="D227" s="182" t="s">
        <v>1216</v>
      </c>
      <c r="E227" s="70"/>
      <c r="F227" s="70"/>
      <c r="G227" s="70"/>
      <c r="H227" s="71"/>
      <c r="K227" s="475"/>
    </row>
    <row r="228" spans="3:11" ht="19.8" customHeight="1">
      <c r="C228" s="66" t="s">
        <v>1217</v>
      </c>
      <c r="D228" s="67"/>
      <c r="E228" s="67"/>
      <c r="F228" s="67"/>
      <c r="G228" s="69"/>
      <c r="H228" s="292">
        <v>0</v>
      </c>
      <c r="K228" s="475"/>
    </row>
    <row r="229" spans="3:11" ht="19.8" customHeight="1">
      <c r="C229" s="293" t="s">
        <v>1218</v>
      </c>
      <c r="D229" s="294" t="s">
        <v>1219</v>
      </c>
      <c r="E229" s="295"/>
      <c r="F229" s="295"/>
      <c r="G229" s="296"/>
      <c r="H229" s="284">
        <f>H228+H226+H221</f>
        <v>599405</v>
      </c>
      <c r="K229" s="475"/>
    </row>
    <row r="230" spans="3:11" ht="19.8" customHeight="1">
      <c r="C230" s="293" t="s">
        <v>1220</v>
      </c>
      <c r="D230" s="294" t="s">
        <v>1321</v>
      </c>
      <c r="E230" s="295"/>
      <c r="F230" s="296"/>
      <c r="G230" s="298">
        <f>$M$67</f>
        <v>0.1</v>
      </c>
      <c r="H230" s="284">
        <f>H229*G230</f>
        <v>59940.5</v>
      </c>
      <c r="K230" s="475"/>
    </row>
    <row r="231" spans="3:11" ht="19.8" customHeight="1" thickBot="1">
      <c r="C231" s="299" t="s">
        <v>1221</v>
      </c>
      <c r="D231" s="300" t="s">
        <v>1222</v>
      </c>
      <c r="E231" s="301"/>
      <c r="F231" s="301"/>
      <c r="G231" s="302"/>
      <c r="H231" s="303">
        <f>SUM(H229:H230)</f>
        <v>659345.5</v>
      </c>
      <c r="K231" s="475"/>
    </row>
    <row r="232" spans="3:11" ht="14.4" thickTop="1">
      <c r="C232" s="304"/>
      <c r="D232" s="304"/>
      <c r="E232" s="304"/>
      <c r="F232" s="304"/>
      <c r="G232" s="304"/>
      <c r="H232" s="308"/>
      <c r="K232" s="475"/>
    </row>
    <row r="233" spans="3:11" ht="16.8" thickBot="1">
      <c r="C233" s="47" t="s">
        <v>3198</v>
      </c>
      <c r="D233" s="260" t="s">
        <v>1611</v>
      </c>
      <c r="E233" s="275"/>
      <c r="F233" s="275"/>
      <c r="G233" s="275"/>
      <c r="H233" s="275"/>
      <c r="I233" s="120" t="e">
        <f>ROUNDDOWN(H253,-2)</f>
        <v>#VALUE!</v>
      </c>
      <c r="K233" s="475"/>
    </row>
    <row r="234" spans="3:11" ht="28.2" thickTop="1">
      <c r="C234" s="51" t="s">
        <v>1195</v>
      </c>
      <c r="D234" s="52" t="s">
        <v>1196</v>
      </c>
      <c r="E234" s="52" t="s">
        <v>1197</v>
      </c>
      <c r="F234" s="52" t="s">
        <v>1198</v>
      </c>
      <c r="G234" s="52" t="s">
        <v>1199</v>
      </c>
      <c r="H234" s="53" t="s">
        <v>1200</v>
      </c>
      <c r="K234" s="475"/>
    </row>
    <row r="235" spans="3:11" ht="21.6" customHeight="1">
      <c r="C235" s="290" t="s">
        <v>1201</v>
      </c>
      <c r="D235" s="182" t="s">
        <v>1202</v>
      </c>
      <c r="E235" s="70"/>
      <c r="F235" s="70"/>
      <c r="G235" s="70"/>
      <c r="H235" s="71"/>
      <c r="K235" s="475"/>
    </row>
    <row r="236" spans="3:11" ht="21.6" customHeight="1">
      <c r="C236" s="281">
        <v>1</v>
      </c>
      <c r="D236" s="182" t="s">
        <v>5</v>
      </c>
      <c r="E236" s="176" t="s">
        <v>6</v>
      </c>
      <c r="F236" s="282">
        <v>3.5</v>
      </c>
      <c r="G236" s="283">
        <f>VLOOKUP(D236,upahbahan,3,FALSE)</f>
        <v>100000</v>
      </c>
      <c r="H236" s="284">
        <f>F236*G236</f>
        <v>350000</v>
      </c>
      <c r="K236" s="475"/>
    </row>
    <row r="237" spans="3:11" ht="21.6" customHeight="1">
      <c r="C237" s="281">
        <v>2</v>
      </c>
      <c r="D237" s="182" t="s">
        <v>7</v>
      </c>
      <c r="E237" s="176" t="s">
        <v>6</v>
      </c>
      <c r="F237" s="282">
        <v>4.5</v>
      </c>
      <c r="G237" s="283">
        <f>VLOOKUP(D237,upahbahan,3,FALSE)</f>
        <v>135000</v>
      </c>
      <c r="H237" s="284">
        <f t="shared" ref="H237:H239" si="23">F237*G237</f>
        <v>607500</v>
      </c>
      <c r="K237" s="475"/>
    </row>
    <row r="238" spans="3:11" ht="21.6" customHeight="1">
      <c r="C238" s="281">
        <v>3</v>
      </c>
      <c r="D238" s="182" t="s">
        <v>18</v>
      </c>
      <c r="E238" s="176" t="s">
        <v>6</v>
      </c>
      <c r="F238" s="282">
        <v>0.45</v>
      </c>
      <c r="G238" s="283">
        <f>VLOOKUP(D238,upahbahan,3,FALSE)</f>
        <v>150000</v>
      </c>
      <c r="H238" s="284">
        <f t="shared" si="23"/>
        <v>67500</v>
      </c>
      <c r="K238" s="475"/>
    </row>
    <row r="239" spans="3:11" ht="21.6" customHeight="1">
      <c r="C239" s="281">
        <v>4</v>
      </c>
      <c r="D239" s="182" t="s">
        <v>19</v>
      </c>
      <c r="E239" s="176" t="s">
        <v>6</v>
      </c>
      <c r="F239" s="282">
        <v>0.15</v>
      </c>
      <c r="G239" s="283">
        <f>VLOOKUP(D239,upahbahan,3,FALSE)</f>
        <v>160000</v>
      </c>
      <c r="H239" s="284">
        <f t="shared" si="23"/>
        <v>24000</v>
      </c>
      <c r="K239" s="475"/>
    </row>
    <row r="240" spans="3:11" ht="21.6" customHeight="1">
      <c r="C240" s="66" t="s">
        <v>1208</v>
      </c>
      <c r="D240" s="67"/>
      <c r="E240" s="67"/>
      <c r="F240" s="142"/>
      <c r="G240" s="153"/>
      <c r="H240" s="284">
        <f>SUM(H236:H239)</f>
        <v>1049000</v>
      </c>
      <c r="I240" s="319"/>
      <c r="K240" s="475"/>
    </row>
    <row r="241" spans="3:11" ht="21.6" customHeight="1">
      <c r="C241" s="290" t="s">
        <v>1209</v>
      </c>
      <c r="D241" s="182" t="s">
        <v>1210</v>
      </c>
      <c r="E241" s="70"/>
      <c r="F241" s="70"/>
      <c r="G241" s="70"/>
      <c r="H241" s="71"/>
      <c r="K241" s="475"/>
    </row>
    <row r="242" spans="3:11" ht="21.6" customHeight="1">
      <c r="C242" s="310" t="s">
        <v>1203</v>
      </c>
      <c r="D242" s="285" t="s">
        <v>1566</v>
      </c>
      <c r="E242" s="176" t="s">
        <v>42</v>
      </c>
      <c r="F242" s="282">
        <v>0.9</v>
      </c>
      <c r="G242" s="283">
        <f>'Harga Satuan'!E225</f>
        <v>1291800</v>
      </c>
      <c r="H242" s="284">
        <f t="shared" ref="H242:H247" si="24">F242*G242</f>
        <v>1162620</v>
      </c>
      <c r="K242" s="475"/>
    </row>
    <row r="243" spans="3:11" ht="21.6" customHeight="1">
      <c r="C243" s="310" t="s">
        <v>1204</v>
      </c>
      <c r="D243" s="182" t="s">
        <v>232</v>
      </c>
      <c r="E243" s="176" t="s">
        <v>65</v>
      </c>
      <c r="F243" s="282">
        <v>180</v>
      </c>
      <c r="G243" s="283">
        <f>VLOOKUP(D243,upahbahan,3,FALSE)</f>
        <v>13050</v>
      </c>
      <c r="H243" s="284">
        <f t="shared" si="24"/>
        <v>2349000</v>
      </c>
      <c r="K243" s="475"/>
    </row>
    <row r="244" spans="3:11" ht="21.6" customHeight="1">
      <c r="C244" s="310" t="s">
        <v>1205</v>
      </c>
      <c r="D244" s="182" t="s">
        <v>1613</v>
      </c>
      <c r="E244" s="176" t="s">
        <v>62</v>
      </c>
      <c r="F244" s="282">
        <v>8</v>
      </c>
      <c r="G244" s="283" t="e">
        <f>VLOOKUP(D244,upahbahan,3,FALSE)</f>
        <v>#VALUE!</v>
      </c>
      <c r="H244" s="284" t="e">
        <f t="shared" si="24"/>
        <v>#VALUE!</v>
      </c>
      <c r="K244" s="475"/>
    </row>
    <row r="245" spans="3:11" ht="21.6" customHeight="1">
      <c r="C245" s="310" t="s">
        <v>1206</v>
      </c>
      <c r="D245" s="182" t="s">
        <v>497</v>
      </c>
      <c r="E245" s="176" t="s">
        <v>44</v>
      </c>
      <c r="F245" s="282">
        <v>270</v>
      </c>
      <c r="G245" s="283">
        <f>VLOOKUP(D245,upahbahan,3,FALSE)</f>
        <v>4000</v>
      </c>
      <c r="H245" s="284">
        <f t="shared" si="24"/>
        <v>1080000</v>
      </c>
      <c r="K245" s="475"/>
    </row>
    <row r="246" spans="3:11" ht="21.6" customHeight="1">
      <c r="C246" s="310" t="s">
        <v>1207</v>
      </c>
      <c r="D246" s="182" t="s">
        <v>1612</v>
      </c>
      <c r="E246" s="176" t="s">
        <v>113</v>
      </c>
      <c r="F246" s="282">
        <v>2</v>
      </c>
      <c r="G246" s="283">
        <f>VLOOKUP(D246,upahbahan,3,FALSE)</f>
        <v>0</v>
      </c>
      <c r="H246" s="284">
        <f t="shared" si="24"/>
        <v>0</v>
      </c>
      <c r="K246" s="475"/>
    </row>
    <row r="247" spans="3:11" ht="21.6" customHeight="1">
      <c r="C247" s="310" t="s">
        <v>1211</v>
      </c>
      <c r="D247" s="182" t="s">
        <v>732</v>
      </c>
      <c r="E247" s="176" t="s">
        <v>44</v>
      </c>
      <c r="F247" s="282">
        <v>1</v>
      </c>
      <c r="G247" s="283">
        <f>VLOOKUP(D247,upahbahan,3,FALSE)</f>
        <v>0</v>
      </c>
      <c r="H247" s="284">
        <f t="shared" si="24"/>
        <v>0</v>
      </c>
      <c r="K247" s="475"/>
    </row>
    <row r="248" spans="3:11" ht="21.6" customHeight="1">
      <c r="C248" s="66" t="s">
        <v>1214</v>
      </c>
      <c r="D248" s="67"/>
      <c r="E248" s="67"/>
      <c r="F248" s="67"/>
      <c r="G248" s="69"/>
      <c r="H248" s="284" t="e">
        <f>SUM(H242:H247)</f>
        <v>#VALUE!</v>
      </c>
      <c r="K248" s="475"/>
    </row>
    <row r="249" spans="3:11" ht="21.6" customHeight="1">
      <c r="C249" s="321" t="s">
        <v>1215</v>
      </c>
      <c r="D249" s="182" t="s">
        <v>1216</v>
      </c>
      <c r="E249" s="70"/>
      <c r="F249" s="70"/>
      <c r="G249" s="70"/>
      <c r="H249" s="71"/>
      <c r="K249" s="475"/>
    </row>
    <row r="250" spans="3:11" ht="21.6" customHeight="1">
      <c r="C250" s="66" t="s">
        <v>1217</v>
      </c>
      <c r="D250" s="67"/>
      <c r="E250" s="67"/>
      <c r="F250" s="67"/>
      <c r="G250" s="69"/>
      <c r="H250" s="292">
        <v>0</v>
      </c>
      <c r="K250" s="475"/>
    </row>
    <row r="251" spans="3:11" ht="21.6" customHeight="1">
      <c r="C251" s="293" t="s">
        <v>1218</v>
      </c>
      <c r="D251" s="294" t="s">
        <v>1219</v>
      </c>
      <c r="E251" s="295"/>
      <c r="F251" s="295"/>
      <c r="G251" s="296"/>
      <c r="H251" s="284" t="e">
        <f>H250+H248+H240</f>
        <v>#VALUE!</v>
      </c>
      <c r="K251" s="475"/>
    </row>
    <row r="252" spans="3:11" ht="21.6" customHeight="1">
      <c r="C252" s="293" t="s">
        <v>1220</v>
      </c>
      <c r="D252" s="294" t="s">
        <v>1321</v>
      </c>
      <c r="E252" s="295"/>
      <c r="F252" s="296"/>
      <c r="G252" s="298">
        <f>$M$67</f>
        <v>0.1</v>
      </c>
      <c r="H252" s="284" t="e">
        <f>H251*G252</f>
        <v>#VALUE!</v>
      </c>
      <c r="K252" s="475"/>
    </row>
    <row r="253" spans="3:11" ht="21.6" customHeight="1" thickBot="1">
      <c r="C253" s="299" t="s">
        <v>1221</v>
      </c>
      <c r="D253" s="300" t="s">
        <v>1222</v>
      </c>
      <c r="E253" s="301"/>
      <c r="F253" s="301"/>
      <c r="G253" s="302"/>
      <c r="H253" s="303" t="e">
        <f>SUM(H251:H252)</f>
        <v>#VALUE!</v>
      </c>
      <c r="K253" s="475"/>
    </row>
    <row r="254" spans="3:11" ht="14.4" thickTop="1">
      <c r="C254" s="304"/>
      <c r="D254" s="304"/>
      <c r="E254" s="304"/>
      <c r="F254" s="304"/>
      <c r="G254" s="304"/>
      <c r="H254" s="308"/>
      <c r="K254" s="475"/>
    </row>
    <row r="255" spans="3:11" ht="14.4" thickBot="1">
      <c r="C255" s="47" t="s">
        <v>3199</v>
      </c>
      <c r="D255" s="260" t="s">
        <v>1567</v>
      </c>
      <c r="E255" s="275"/>
      <c r="F255" s="275"/>
      <c r="G255" s="275"/>
      <c r="H255" s="275"/>
      <c r="I255" s="120">
        <f>ROUNDDOWN(H272,-2)</f>
        <v>2946900</v>
      </c>
      <c r="K255" s="475"/>
    </row>
    <row r="256" spans="3:11" ht="28.2" thickTop="1">
      <c r="C256" s="51" t="s">
        <v>1195</v>
      </c>
      <c r="D256" s="52" t="s">
        <v>1196</v>
      </c>
      <c r="E256" s="52" t="s">
        <v>1197</v>
      </c>
      <c r="F256" s="52" t="s">
        <v>1198</v>
      </c>
      <c r="G256" s="52" t="s">
        <v>1199</v>
      </c>
      <c r="H256" s="53" t="s">
        <v>1200</v>
      </c>
      <c r="K256" s="475"/>
    </row>
    <row r="257" spans="3:11" ht="19.8" customHeight="1">
      <c r="C257" s="290" t="s">
        <v>1201</v>
      </c>
      <c r="D257" s="182" t="s">
        <v>1202</v>
      </c>
      <c r="E257" s="70"/>
      <c r="F257" s="70"/>
      <c r="G257" s="70"/>
      <c r="H257" s="71"/>
      <c r="K257" s="475"/>
    </row>
    <row r="258" spans="3:11" ht="19.8" customHeight="1">
      <c r="C258" s="281">
        <v>1</v>
      </c>
      <c r="D258" s="182" t="s">
        <v>5</v>
      </c>
      <c r="E258" s="176" t="s">
        <v>6</v>
      </c>
      <c r="F258" s="282">
        <v>7.4999999999999997E-2</v>
      </c>
      <c r="G258" s="283">
        <f>VLOOKUP(D258,upahbahan,3,FALSE)</f>
        <v>100000</v>
      </c>
      <c r="H258" s="284">
        <f>F258*G258</f>
        <v>7500</v>
      </c>
      <c r="K258" s="475"/>
    </row>
    <row r="259" spans="3:11" ht="19.8" customHeight="1">
      <c r="C259" s="281">
        <v>2</v>
      </c>
      <c r="D259" s="182" t="s">
        <v>7</v>
      </c>
      <c r="E259" s="176" t="s">
        <v>6</v>
      </c>
      <c r="F259" s="282">
        <v>0.75</v>
      </c>
      <c r="G259" s="283">
        <f>VLOOKUP(D259,upahbahan,3,FALSE)</f>
        <v>135000</v>
      </c>
      <c r="H259" s="284">
        <f t="shared" ref="H259:H261" si="25">F259*G259</f>
        <v>101250</v>
      </c>
      <c r="K259" s="475"/>
    </row>
    <row r="260" spans="3:11" ht="19.8" customHeight="1">
      <c r="C260" s="281">
        <v>3</v>
      </c>
      <c r="D260" s="182" t="s">
        <v>18</v>
      </c>
      <c r="E260" s="176" t="s">
        <v>6</v>
      </c>
      <c r="F260" s="282">
        <v>7.4999999999999997E-2</v>
      </c>
      <c r="G260" s="283">
        <f>VLOOKUP(D260,upahbahan,3,FALSE)</f>
        <v>150000</v>
      </c>
      <c r="H260" s="284">
        <f t="shared" si="25"/>
        <v>11250</v>
      </c>
      <c r="K260" s="475"/>
    </row>
    <row r="261" spans="3:11" ht="19.8" customHeight="1">
      <c r="C261" s="281">
        <v>4</v>
      </c>
      <c r="D261" s="182" t="s">
        <v>19</v>
      </c>
      <c r="E261" s="176" t="s">
        <v>6</v>
      </c>
      <c r="F261" s="282">
        <v>2.5000000000000001E-2</v>
      </c>
      <c r="G261" s="283">
        <f>VLOOKUP(D261,upahbahan,3,FALSE)</f>
        <v>160000</v>
      </c>
      <c r="H261" s="284">
        <f t="shared" si="25"/>
        <v>4000</v>
      </c>
      <c r="K261" s="475"/>
    </row>
    <row r="262" spans="3:11" ht="19.8" customHeight="1">
      <c r="C262" s="66" t="s">
        <v>1208</v>
      </c>
      <c r="D262" s="67"/>
      <c r="E262" s="67"/>
      <c r="F262" s="142"/>
      <c r="G262" s="153"/>
      <c r="H262" s="284">
        <f>SUM(H258:H261)</f>
        <v>124000</v>
      </c>
      <c r="I262" s="319"/>
      <c r="K262" s="475"/>
    </row>
    <row r="263" spans="3:11" ht="19.8" customHeight="1">
      <c r="C263" s="290" t="s">
        <v>1209</v>
      </c>
      <c r="D263" s="182" t="s">
        <v>1210</v>
      </c>
      <c r="E263" s="70"/>
      <c r="F263" s="70"/>
      <c r="G263" s="70"/>
      <c r="H263" s="71"/>
      <c r="K263" s="475"/>
    </row>
    <row r="264" spans="3:11" ht="19.8" customHeight="1">
      <c r="C264" s="310" t="s">
        <v>1203</v>
      </c>
      <c r="D264" s="285" t="s">
        <v>673</v>
      </c>
      <c r="E264" s="176" t="s">
        <v>135</v>
      </c>
      <c r="F264" s="282">
        <v>1</v>
      </c>
      <c r="G264" s="283">
        <f>VLOOKUP(D264,upahbahan,3,FALSE)</f>
        <v>2500000</v>
      </c>
      <c r="H264" s="284">
        <f>F264*G264</f>
        <v>2500000</v>
      </c>
      <c r="K264" s="475"/>
    </row>
    <row r="265" spans="3:11" ht="19.8" customHeight="1">
      <c r="C265" s="310" t="s">
        <v>1204</v>
      </c>
      <c r="D265" s="182" t="s">
        <v>677</v>
      </c>
      <c r="E265" s="176" t="s">
        <v>113</v>
      </c>
      <c r="F265" s="282">
        <v>1</v>
      </c>
      <c r="G265" s="283">
        <f>VLOOKUP(D265,upahbahan,3,FALSE)</f>
        <v>55000</v>
      </c>
      <c r="H265" s="284">
        <f t="shared" ref="H265:H266" si="26">F265*G265</f>
        <v>55000</v>
      </c>
      <c r="K265" s="475"/>
    </row>
    <row r="266" spans="3:11" ht="19.8" customHeight="1">
      <c r="C266" s="310" t="s">
        <v>1205</v>
      </c>
      <c r="D266" s="182" t="s">
        <v>731</v>
      </c>
      <c r="E266" s="176" t="s">
        <v>44</v>
      </c>
      <c r="F266" s="282">
        <v>1</v>
      </c>
      <c r="G266" s="283">
        <f>VLOOKUP(D266,upahbahan,3,FALSE)</f>
        <v>0</v>
      </c>
      <c r="H266" s="284">
        <f t="shared" si="26"/>
        <v>0</v>
      </c>
      <c r="K266" s="475"/>
    </row>
    <row r="267" spans="3:11" ht="19.8" customHeight="1">
      <c r="C267" s="66" t="s">
        <v>1214</v>
      </c>
      <c r="D267" s="67"/>
      <c r="E267" s="67"/>
      <c r="F267" s="67"/>
      <c r="G267" s="69"/>
      <c r="H267" s="284">
        <f>SUM(H264:H266)</f>
        <v>2555000</v>
      </c>
      <c r="K267" s="475"/>
    </row>
    <row r="268" spans="3:11" ht="19.8" customHeight="1">
      <c r="C268" s="321" t="s">
        <v>1215</v>
      </c>
      <c r="D268" s="182" t="s">
        <v>1216</v>
      </c>
      <c r="E268" s="70"/>
      <c r="F268" s="70"/>
      <c r="G268" s="70"/>
      <c r="H268" s="71"/>
      <c r="K268" s="475"/>
    </row>
    <row r="269" spans="3:11" ht="19.8" customHeight="1">
      <c r="C269" s="66" t="s">
        <v>1217</v>
      </c>
      <c r="D269" s="67"/>
      <c r="E269" s="67"/>
      <c r="F269" s="67"/>
      <c r="G269" s="69"/>
      <c r="H269" s="292">
        <v>0</v>
      </c>
      <c r="K269" s="475"/>
    </row>
    <row r="270" spans="3:11" ht="19.8" customHeight="1">
      <c r="C270" s="293" t="s">
        <v>1218</v>
      </c>
      <c r="D270" s="294" t="s">
        <v>1219</v>
      </c>
      <c r="E270" s="295"/>
      <c r="F270" s="295"/>
      <c r="G270" s="296"/>
      <c r="H270" s="284">
        <f>H269+H267+H262</f>
        <v>2679000</v>
      </c>
      <c r="K270" s="475"/>
    </row>
    <row r="271" spans="3:11" ht="19.8" customHeight="1">
      <c r="C271" s="293" t="s">
        <v>1220</v>
      </c>
      <c r="D271" s="294" t="s">
        <v>1321</v>
      </c>
      <c r="E271" s="295"/>
      <c r="F271" s="296"/>
      <c r="G271" s="298">
        <f>$M$67</f>
        <v>0.1</v>
      </c>
      <c r="H271" s="284">
        <f>H270*G271</f>
        <v>267900</v>
      </c>
      <c r="K271" s="475"/>
    </row>
    <row r="272" spans="3:11" ht="19.8" customHeight="1" thickBot="1">
      <c r="C272" s="299" t="s">
        <v>1221</v>
      </c>
      <c r="D272" s="300" t="s">
        <v>1222</v>
      </c>
      <c r="E272" s="301"/>
      <c r="F272" s="301"/>
      <c r="G272" s="302"/>
      <c r="H272" s="303">
        <f>SUM(H270:H271)</f>
        <v>2946900</v>
      </c>
      <c r="K272" s="475"/>
    </row>
    <row r="273" spans="3:11" ht="14.4" thickTop="1">
      <c r="C273" s="304"/>
      <c r="D273" s="304"/>
      <c r="E273" s="304"/>
      <c r="F273" s="304"/>
      <c r="G273" s="304"/>
      <c r="H273" s="308"/>
      <c r="K273" s="475"/>
    </row>
    <row r="274" spans="3:11">
      <c r="C274" s="328" t="s">
        <v>3200</v>
      </c>
      <c r="D274" s="328" t="s">
        <v>3201</v>
      </c>
      <c r="E274" s="304"/>
      <c r="F274" s="304"/>
      <c r="G274" s="304"/>
      <c r="H274" s="308"/>
      <c r="K274" s="475"/>
    </row>
    <row r="275" spans="3:11" ht="14.4" thickBot="1">
      <c r="C275" s="47" t="s">
        <v>3202</v>
      </c>
      <c r="D275" s="170" t="s">
        <v>1568</v>
      </c>
      <c r="E275" s="275"/>
      <c r="F275" s="275"/>
      <c r="G275" s="275"/>
      <c r="H275" s="275"/>
      <c r="I275" s="120">
        <f>ROUNDDOWN(H290,-2)</f>
        <v>45600</v>
      </c>
      <c r="K275" s="475"/>
    </row>
    <row r="276" spans="3:11" ht="28.2" thickTop="1">
      <c r="C276" s="51" t="s">
        <v>1195</v>
      </c>
      <c r="D276" s="52" t="s">
        <v>1196</v>
      </c>
      <c r="E276" s="52" t="s">
        <v>1197</v>
      </c>
      <c r="F276" s="52" t="s">
        <v>1198</v>
      </c>
      <c r="G276" s="52" t="s">
        <v>1199</v>
      </c>
      <c r="H276" s="53" t="s">
        <v>1200</v>
      </c>
      <c r="K276" s="475"/>
    </row>
    <row r="277" spans="3:11" ht="19.8" customHeight="1">
      <c r="C277" s="290" t="s">
        <v>1201</v>
      </c>
      <c r="D277" s="182" t="s">
        <v>1202</v>
      </c>
      <c r="E277" s="70"/>
      <c r="F277" s="70"/>
      <c r="G277" s="70"/>
      <c r="H277" s="71"/>
      <c r="K277" s="475"/>
    </row>
    <row r="278" spans="3:11" ht="19.8" customHeight="1">
      <c r="C278" s="281">
        <v>1</v>
      </c>
      <c r="D278" s="182" t="s">
        <v>5</v>
      </c>
      <c r="E278" s="176" t="s">
        <v>6</v>
      </c>
      <c r="F278" s="315">
        <v>0.01</v>
      </c>
      <c r="G278" s="283">
        <f>VLOOKUP(D278,upahbahan,3,FALSE)</f>
        <v>100000</v>
      </c>
      <c r="H278" s="284">
        <f t="shared" ref="H278:H281" si="27">F278*G278</f>
        <v>1000</v>
      </c>
      <c r="K278" s="475"/>
    </row>
    <row r="279" spans="3:11" ht="19.8" customHeight="1">
      <c r="C279" s="281">
        <v>2</v>
      </c>
      <c r="D279" s="182" t="s">
        <v>7</v>
      </c>
      <c r="E279" s="176" t="s">
        <v>6</v>
      </c>
      <c r="F279" s="315">
        <v>0.1</v>
      </c>
      <c r="G279" s="283">
        <f>VLOOKUP(D279,upahbahan,3,FALSE)</f>
        <v>135000</v>
      </c>
      <c r="H279" s="284">
        <f t="shared" si="27"/>
        <v>13500</v>
      </c>
      <c r="K279" s="475"/>
    </row>
    <row r="280" spans="3:11" ht="19.8" customHeight="1">
      <c r="C280" s="281">
        <v>3</v>
      </c>
      <c r="D280" s="182" t="s">
        <v>18</v>
      </c>
      <c r="E280" s="176" t="s">
        <v>6</v>
      </c>
      <c r="F280" s="315">
        <v>0.01</v>
      </c>
      <c r="G280" s="283">
        <f>VLOOKUP(D280,upahbahan,3,FALSE)</f>
        <v>150000</v>
      </c>
      <c r="H280" s="284">
        <f t="shared" si="27"/>
        <v>1500</v>
      </c>
      <c r="K280" s="475"/>
    </row>
    <row r="281" spans="3:11" ht="19.8" customHeight="1">
      <c r="C281" s="281">
        <v>4</v>
      </c>
      <c r="D281" s="182" t="s">
        <v>19</v>
      </c>
      <c r="E281" s="176" t="s">
        <v>6</v>
      </c>
      <c r="F281" s="315">
        <v>3.3E-3</v>
      </c>
      <c r="G281" s="283">
        <f>VLOOKUP(D281,upahbahan,3,FALSE)</f>
        <v>160000</v>
      </c>
      <c r="H281" s="284">
        <f t="shared" si="27"/>
        <v>528</v>
      </c>
      <c r="K281" s="475"/>
    </row>
    <row r="282" spans="3:11" ht="19.8" customHeight="1">
      <c r="C282" s="66" t="s">
        <v>1208</v>
      </c>
      <c r="D282" s="67"/>
      <c r="E282" s="67"/>
      <c r="F282" s="142"/>
      <c r="G282" s="153"/>
      <c r="H282" s="284">
        <f>SUM(H278:H281)</f>
        <v>16528</v>
      </c>
      <c r="I282" s="319"/>
      <c r="K282" s="475"/>
    </row>
    <row r="283" spans="3:11" ht="19.8" customHeight="1">
      <c r="C283" s="290" t="s">
        <v>1209</v>
      </c>
      <c r="D283" s="182" t="s">
        <v>1210</v>
      </c>
      <c r="E283" s="70"/>
      <c r="F283" s="70"/>
      <c r="G283" s="70"/>
      <c r="H283" s="71"/>
      <c r="K283" s="475"/>
    </row>
    <row r="284" spans="3:11" ht="19.8" customHeight="1">
      <c r="C284" s="281">
        <v>1</v>
      </c>
      <c r="D284" s="182" t="s">
        <v>678</v>
      </c>
      <c r="E284" s="176" t="s">
        <v>44</v>
      </c>
      <c r="F284" s="327">
        <v>1</v>
      </c>
      <c r="G284" s="283">
        <f>VLOOKUP(D284,upahbahan,3,FALSE)</f>
        <v>25000</v>
      </c>
      <c r="H284" s="284">
        <f t="shared" ref="H284" si="28">F284*G284</f>
        <v>25000</v>
      </c>
      <c r="K284" s="475"/>
    </row>
    <row r="285" spans="3:11" ht="19.8" customHeight="1">
      <c r="C285" s="66" t="s">
        <v>1214</v>
      </c>
      <c r="D285" s="67"/>
      <c r="E285" s="67"/>
      <c r="F285" s="67"/>
      <c r="G285" s="69"/>
      <c r="H285" s="284">
        <f>SUM(H284)</f>
        <v>25000</v>
      </c>
      <c r="K285" s="475"/>
    </row>
    <row r="286" spans="3:11" ht="19.8" customHeight="1">
      <c r="C286" s="321" t="s">
        <v>1215</v>
      </c>
      <c r="D286" s="182" t="s">
        <v>1216</v>
      </c>
      <c r="E286" s="70"/>
      <c r="F286" s="70"/>
      <c r="G286" s="70"/>
      <c r="H286" s="71"/>
      <c r="K286" s="475"/>
    </row>
    <row r="287" spans="3:11" ht="19.8" customHeight="1">
      <c r="C287" s="66" t="s">
        <v>1217</v>
      </c>
      <c r="D287" s="67"/>
      <c r="E287" s="67"/>
      <c r="F287" s="67"/>
      <c r="G287" s="69"/>
      <c r="H287" s="292">
        <v>0</v>
      </c>
      <c r="K287" s="475"/>
    </row>
    <row r="288" spans="3:11" ht="19.8" customHeight="1">
      <c r="C288" s="293" t="s">
        <v>1218</v>
      </c>
      <c r="D288" s="294" t="s">
        <v>1219</v>
      </c>
      <c r="E288" s="295"/>
      <c r="F288" s="295"/>
      <c r="G288" s="296"/>
      <c r="H288" s="284">
        <f>H287+H285+H282</f>
        <v>41528</v>
      </c>
      <c r="K288" s="475"/>
    </row>
    <row r="289" spans="3:11" ht="19.8" customHeight="1">
      <c r="C289" s="293" t="s">
        <v>1220</v>
      </c>
      <c r="D289" s="294" t="s">
        <v>1321</v>
      </c>
      <c r="E289" s="295"/>
      <c r="F289" s="296"/>
      <c r="G289" s="298">
        <f>$M$67</f>
        <v>0.1</v>
      </c>
      <c r="H289" s="284">
        <f>H288*G289</f>
        <v>4152.8</v>
      </c>
      <c r="K289" s="475"/>
    </row>
    <row r="290" spans="3:11" ht="19.8" customHeight="1" thickBot="1">
      <c r="C290" s="299" t="s">
        <v>1221</v>
      </c>
      <c r="D290" s="300" t="s">
        <v>1222</v>
      </c>
      <c r="E290" s="301"/>
      <c r="F290" s="301"/>
      <c r="G290" s="302"/>
      <c r="H290" s="303">
        <f>SUM(H288:H289)</f>
        <v>45680.800000000003</v>
      </c>
      <c r="K290" s="475"/>
    </row>
    <row r="291" spans="3:11" ht="19.8" customHeight="1" thickTop="1">
      <c r="C291" s="304"/>
      <c r="D291" s="304"/>
      <c r="E291" s="304"/>
      <c r="F291" s="304"/>
      <c r="G291" s="304"/>
      <c r="H291" s="305"/>
      <c r="K291" s="475"/>
    </row>
    <row r="292" spans="3:11" ht="18.75" customHeight="1">
      <c r="C292" s="328" t="s">
        <v>3203</v>
      </c>
      <c r="D292" s="328" t="s">
        <v>3204</v>
      </c>
      <c r="E292" s="304"/>
      <c r="F292" s="304"/>
      <c r="G292" s="304"/>
      <c r="H292" s="305"/>
      <c r="K292" s="475"/>
    </row>
    <row r="293" spans="3:11" ht="14.4" thickBot="1">
      <c r="C293" s="47" t="s">
        <v>3205</v>
      </c>
      <c r="D293" s="170" t="s">
        <v>1569</v>
      </c>
      <c r="E293" s="275"/>
      <c r="F293" s="275"/>
      <c r="G293" s="275"/>
      <c r="H293" s="275"/>
      <c r="I293" s="120">
        <f>ROUNDDOWN(H309,-2)</f>
        <v>98500</v>
      </c>
      <c r="K293" s="475"/>
    </row>
    <row r="294" spans="3:11" ht="28.2" thickTop="1">
      <c r="C294" s="51" t="s">
        <v>1195</v>
      </c>
      <c r="D294" s="52" t="s">
        <v>1196</v>
      </c>
      <c r="E294" s="52" t="s">
        <v>1197</v>
      </c>
      <c r="F294" s="52" t="s">
        <v>1198</v>
      </c>
      <c r="G294" s="52" t="s">
        <v>1199</v>
      </c>
      <c r="H294" s="53" t="s">
        <v>1200</v>
      </c>
      <c r="K294" s="475"/>
    </row>
    <row r="295" spans="3:11" ht="20.399999999999999" customHeight="1">
      <c r="C295" s="290" t="s">
        <v>1201</v>
      </c>
      <c r="D295" s="182" t="s">
        <v>1202</v>
      </c>
      <c r="E295" s="70"/>
      <c r="F295" s="70"/>
      <c r="G295" s="70"/>
      <c r="H295" s="71"/>
      <c r="K295" s="475"/>
    </row>
    <row r="296" spans="3:11" ht="20.399999999999999" customHeight="1">
      <c r="C296" s="281">
        <v>1</v>
      </c>
      <c r="D296" s="182" t="s">
        <v>5</v>
      </c>
      <c r="E296" s="182" t="s">
        <v>6</v>
      </c>
      <c r="F296" s="315">
        <v>0.01</v>
      </c>
      <c r="G296" s="283">
        <f>VLOOKUP(D296,upahbahan,3,FALSE)</f>
        <v>100000</v>
      </c>
      <c r="H296" s="284">
        <f t="shared" ref="H296:H299" si="29">F296*G296</f>
        <v>1000</v>
      </c>
      <c r="K296" s="475"/>
    </row>
    <row r="297" spans="3:11" ht="20.399999999999999" customHeight="1">
      <c r="C297" s="281">
        <v>2</v>
      </c>
      <c r="D297" s="182" t="s">
        <v>7</v>
      </c>
      <c r="E297" s="182" t="s">
        <v>6</v>
      </c>
      <c r="F297" s="315">
        <v>0.4</v>
      </c>
      <c r="G297" s="283">
        <f>VLOOKUP(D297,upahbahan,3,FALSE)</f>
        <v>135000</v>
      </c>
      <c r="H297" s="284">
        <f t="shared" si="29"/>
        <v>54000</v>
      </c>
      <c r="K297" s="475"/>
    </row>
    <row r="298" spans="3:11" ht="20.399999999999999" customHeight="1">
      <c r="C298" s="281">
        <v>3</v>
      </c>
      <c r="D298" s="182" t="s">
        <v>18</v>
      </c>
      <c r="E298" s="182" t="s">
        <v>6</v>
      </c>
      <c r="F298" s="315">
        <v>0.04</v>
      </c>
      <c r="G298" s="283">
        <f>VLOOKUP(D298,upahbahan,3,FALSE)</f>
        <v>150000</v>
      </c>
      <c r="H298" s="284">
        <f t="shared" si="29"/>
        <v>6000</v>
      </c>
      <c r="K298" s="475"/>
    </row>
    <row r="299" spans="3:11" ht="20.399999999999999" customHeight="1">
      <c r="C299" s="281">
        <v>4</v>
      </c>
      <c r="D299" s="182" t="s">
        <v>19</v>
      </c>
      <c r="E299" s="182" t="s">
        <v>6</v>
      </c>
      <c r="F299" s="315">
        <v>1.3299999999999999E-2</v>
      </c>
      <c r="G299" s="283">
        <f>VLOOKUP(D299,upahbahan,3,FALSE)</f>
        <v>160000</v>
      </c>
      <c r="H299" s="284">
        <f t="shared" si="29"/>
        <v>2128</v>
      </c>
      <c r="K299" s="475"/>
    </row>
    <row r="300" spans="3:11" ht="20.399999999999999" customHeight="1">
      <c r="C300" s="66" t="s">
        <v>1208</v>
      </c>
      <c r="D300" s="67"/>
      <c r="E300" s="67"/>
      <c r="F300" s="142"/>
      <c r="G300" s="153"/>
      <c r="H300" s="284">
        <f>SUM(H296:H299)</f>
        <v>63128</v>
      </c>
      <c r="I300" s="319"/>
      <c r="K300" s="475"/>
    </row>
    <row r="301" spans="3:11" ht="20.399999999999999" customHeight="1">
      <c r="C301" s="290" t="s">
        <v>1209</v>
      </c>
      <c r="D301" s="182" t="s">
        <v>1210</v>
      </c>
      <c r="E301" s="70"/>
      <c r="F301" s="70"/>
      <c r="G301" s="70"/>
      <c r="H301" s="71"/>
      <c r="K301" s="475"/>
    </row>
    <row r="302" spans="3:11" ht="20.399999999999999" customHeight="1">
      <c r="C302" s="281">
        <v>1</v>
      </c>
      <c r="D302" s="182" t="s">
        <v>693</v>
      </c>
      <c r="E302" s="285" t="s">
        <v>44</v>
      </c>
      <c r="F302" s="282">
        <v>1</v>
      </c>
      <c r="G302" s="283">
        <f>VLOOKUP(D302,upahbahan,3,FALSE)</f>
        <v>26280</v>
      </c>
      <c r="H302" s="284">
        <f>F302*G302</f>
        <v>26280</v>
      </c>
      <c r="K302" s="475"/>
    </row>
    <row r="303" spans="3:11" ht="20.399999999999999" customHeight="1">
      <c r="C303" s="281">
        <v>2</v>
      </c>
      <c r="D303" s="182" t="s">
        <v>1050</v>
      </c>
      <c r="E303" s="285" t="s">
        <v>44</v>
      </c>
      <c r="F303" s="282">
        <v>2.5000000000000001E-2</v>
      </c>
      <c r="G303" s="283">
        <f>VLOOKUP(D303,upahbahan,3,FALSE)</f>
        <v>9000</v>
      </c>
      <c r="H303" s="284">
        <f>F303*G303</f>
        <v>225</v>
      </c>
      <c r="K303" s="475"/>
    </row>
    <row r="304" spans="3:11" ht="20.399999999999999" customHeight="1">
      <c r="C304" s="66" t="s">
        <v>1214</v>
      </c>
      <c r="D304" s="67"/>
      <c r="E304" s="67"/>
      <c r="F304" s="67"/>
      <c r="G304" s="69"/>
      <c r="H304" s="284">
        <f>SUM(H302:H303)</f>
        <v>26505</v>
      </c>
      <c r="K304" s="475"/>
    </row>
    <row r="305" spans="3:11" ht="20.399999999999999" customHeight="1">
      <c r="C305" s="321" t="s">
        <v>1215</v>
      </c>
      <c r="D305" s="182" t="s">
        <v>1216</v>
      </c>
      <c r="E305" s="70"/>
      <c r="F305" s="70"/>
      <c r="G305" s="70"/>
      <c r="H305" s="71"/>
      <c r="K305" s="475"/>
    </row>
    <row r="306" spans="3:11" ht="20.399999999999999" customHeight="1">
      <c r="C306" s="66" t="s">
        <v>1217</v>
      </c>
      <c r="D306" s="67"/>
      <c r="E306" s="67"/>
      <c r="F306" s="67"/>
      <c r="G306" s="69"/>
      <c r="H306" s="292">
        <v>0</v>
      </c>
      <c r="K306" s="475"/>
    </row>
    <row r="307" spans="3:11" ht="20.399999999999999" customHeight="1">
      <c r="C307" s="293" t="s">
        <v>1218</v>
      </c>
      <c r="D307" s="294" t="s">
        <v>1219</v>
      </c>
      <c r="E307" s="295"/>
      <c r="F307" s="295"/>
      <c r="G307" s="296"/>
      <c r="H307" s="284">
        <f>H306+H304+H300</f>
        <v>89633</v>
      </c>
      <c r="K307" s="475"/>
    </row>
    <row r="308" spans="3:11" ht="20.399999999999999" customHeight="1">
      <c r="C308" s="293" t="s">
        <v>1220</v>
      </c>
      <c r="D308" s="294" t="s">
        <v>1321</v>
      </c>
      <c r="E308" s="295"/>
      <c r="F308" s="296"/>
      <c r="G308" s="298">
        <f>$M$67</f>
        <v>0.1</v>
      </c>
      <c r="H308" s="284">
        <f>H307*G308</f>
        <v>8963.3000000000011</v>
      </c>
      <c r="K308" s="475"/>
    </row>
    <row r="309" spans="3:11" ht="20.399999999999999" customHeight="1" thickBot="1">
      <c r="C309" s="299" t="s">
        <v>1221</v>
      </c>
      <c r="D309" s="300" t="s">
        <v>1222</v>
      </c>
      <c r="E309" s="301"/>
      <c r="F309" s="301"/>
      <c r="G309" s="302"/>
      <c r="H309" s="303">
        <f>SUM(H307:H308)</f>
        <v>98596.3</v>
      </c>
      <c r="K309" s="475"/>
    </row>
    <row r="310" spans="3:11" ht="14.4" thickTop="1">
      <c r="C310" s="304"/>
      <c r="D310" s="304"/>
      <c r="E310" s="304"/>
      <c r="F310" s="304"/>
      <c r="G310" s="304"/>
      <c r="H310" s="305"/>
      <c r="K310" s="475"/>
    </row>
    <row r="311" spans="3:11" ht="14.4" thickBot="1">
      <c r="C311" s="47" t="s">
        <v>3206</v>
      </c>
      <c r="D311" s="170" t="s">
        <v>1570</v>
      </c>
      <c r="E311" s="275"/>
      <c r="F311" s="275"/>
      <c r="G311" s="275"/>
      <c r="H311" s="275"/>
      <c r="I311" s="120">
        <f>ROUNDDOWN(H327,-2)</f>
        <v>179600</v>
      </c>
      <c r="K311" s="475"/>
    </row>
    <row r="312" spans="3:11" ht="28.2" thickTop="1">
      <c r="C312" s="51" t="s">
        <v>1195</v>
      </c>
      <c r="D312" s="52" t="s">
        <v>1196</v>
      </c>
      <c r="E312" s="52" t="s">
        <v>1197</v>
      </c>
      <c r="F312" s="52" t="s">
        <v>1198</v>
      </c>
      <c r="G312" s="52" t="s">
        <v>1199</v>
      </c>
      <c r="H312" s="53" t="s">
        <v>1200</v>
      </c>
      <c r="K312" s="475"/>
    </row>
    <row r="313" spans="3:11" ht="20.399999999999999" customHeight="1">
      <c r="C313" s="290" t="s">
        <v>1201</v>
      </c>
      <c r="D313" s="182" t="s">
        <v>1202</v>
      </c>
      <c r="E313" s="70"/>
      <c r="F313" s="70"/>
      <c r="G313" s="70"/>
      <c r="H313" s="71"/>
      <c r="K313" s="475"/>
    </row>
    <row r="314" spans="3:11" ht="20.399999999999999" customHeight="1">
      <c r="C314" s="281">
        <v>1</v>
      </c>
      <c r="D314" s="182" t="s">
        <v>5</v>
      </c>
      <c r="E314" s="182" t="s">
        <v>6</v>
      </c>
      <c r="F314" s="315">
        <v>0.01</v>
      </c>
      <c r="G314" s="283">
        <f>VLOOKUP(D314,upahbahan,3,FALSE)</f>
        <v>100000</v>
      </c>
      <c r="H314" s="284">
        <f t="shared" ref="H314:H317" si="30">F314*G314</f>
        <v>1000</v>
      </c>
      <c r="K314" s="475"/>
    </row>
    <row r="315" spans="3:11" ht="20.399999999999999" customHeight="1">
      <c r="C315" s="281">
        <v>2</v>
      </c>
      <c r="D315" s="182" t="s">
        <v>7</v>
      </c>
      <c r="E315" s="182" t="s">
        <v>6</v>
      </c>
      <c r="F315" s="315">
        <v>0.4</v>
      </c>
      <c r="G315" s="283">
        <f>VLOOKUP(D315,upahbahan,3,FALSE)</f>
        <v>135000</v>
      </c>
      <c r="H315" s="284">
        <f t="shared" si="30"/>
        <v>54000</v>
      </c>
      <c r="K315" s="475"/>
    </row>
    <row r="316" spans="3:11" ht="20.399999999999999" customHeight="1">
      <c r="C316" s="281">
        <v>3</v>
      </c>
      <c r="D316" s="182" t="s">
        <v>18</v>
      </c>
      <c r="E316" s="182" t="s">
        <v>6</v>
      </c>
      <c r="F316" s="315">
        <v>0.04</v>
      </c>
      <c r="G316" s="283">
        <f>VLOOKUP(D316,upahbahan,3,FALSE)</f>
        <v>150000</v>
      </c>
      <c r="H316" s="284">
        <f t="shared" si="30"/>
        <v>6000</v>
      </c>
      <c r="K316" s="475"/>
    </row>
    <row r="317" spans="3:11" ht="20.399999999999999" customHeight="1">
      <c r="C317" s="281">
        <v>4</v>
      </c>
      <c r="D317" s="182" t="s">
        <v>19</v>
      </c>
      <c r="E317" s="182" t="s">
        <v>6</v>
      </c>
      <c r="F317" s="315">
        <v>1.3299999999999999E-2</v>
      </c>
      <c r="G317" s="283">
        <f>VLOOKUP(D317,upahbahan,3,FALSE)</f>
        <v>160000</v>
      </c>
      <c r="H317" s="284">
        <f t="shared" si="30"/>
        <v>2128</v>
      </c>
      <c r="K317" s="475"/>
    </row>
    <row r="318" spans="3:11" ht="20.399999999999999" customHeight="1">
      <c r="C318" s="66" t="s">
        <v>1208</v>
      </c>
      <c r="D318" s="67"/>
      <c r="E318" s="67"/>
      <c r="F318" s="142"/>
      <c r="G318" s="153"/>
      <c r="H318" s="284">
        <f>SUM(H314:H317)</f>
        <v>63128</v>
      </c>
      <c r="I318" s="319"/>
      <c r="K318" s="475"/>
    </row>
    <row r="319" spans="3:11" ht="20.399999999999999" customHeight="1">
      <c r="C319" s="290" t="s">
        <v>1209</v>
      </c>
      <c r="D319" s="182" t="s">
        <v>1210</v>
      </c>
      <c r="E319" s="70"/>
      <c r="F319" s="70"/>
      <c r="G319" s="70"/>
      <c r="H319" s="71"/>
      <c r="K319" s="475"/>
    </row>
    <row r="320" spans="3:11" ht="20.399999999999999" customHeight="1">
      <c r="C320" s="281">
        <v>1</v>
      </c>
      <c r="D320" s="182" t="s">
        <v>683</v>
      </c>
      <c r="E320" s="285" t="s">
        <v>44</v>
      </c>
      <c r="F320" s="282">
        <v>1</v>
      </c>
      <c r="G320" s="283">
        <f>VLOOKUP(D320,upahbahan,3,FALSE)</f>
        <v>100000</v>
      </c>
      <c r="H320" s="284">
        <f>F320*G320</f>
        <v>100000</v>
      </c>
      <c r="K320" s="475"/>
    </row>
    <row r="321" spans="3:11" ht="20.399999999999999" customHeight="1">
      <c r="C321" s="281">
        <v>2</v>
      </c>
      <c r="D321" s="182" t="s">
        <v>1050</v>
      </c>
      <c r="E321" s="285" t="s">
        <v>44</v>
      </c>
      <c r="F321" s="282">
        <v>2.5000000000000001E-2</v>
      </c>
      <c r="G321" s="283">
        <f>VLOOKUP(D321,upahbahan,3,FALSE)</f>
        <v>9000</v>
      </c>
      <c r="H321" s="284">
        <f t="shared" ref="H321" si="31">F321*G321</f>
        <v>225</v>
      </c>
      <c r="K321" s="475"/>
    </row>
    <row r="322" spans="3:11" ht="20.399999999999999" customHeight="1">
      <c r="C322" s="66" t="s">
        <v>1214</v>
      </c>
      <c r="D322" s="67"/>
      <c r="E322" s="67"/>
      <c r="F322" s="67"/>
      <c r="G322" s="69"/>
      <c r="H322" s="284">
        <f>SUM(H320:H321)</f>
        <v>100225</v>
      </c>
      <c r="K322" s="475"/>
    </row>
    <row r="323" spans="3:11" ht="20.399999999999999" customHeight="1">
      <c r="C323" s="321" t="s">
        <v>1215</v>
      </c>
      <c r="D323" s="182" t="s">
        <v>1216</v>
      </c>
      <c r="E323" s="70"/>
      <c r="F323" s="70"/>
      <c r="G323" s="70"/>
      <c r="H323" s="71"/>
      <c r="K323" s="475"/>
    </row>
    <row r="324" spans="3:11" ht="20.399999999999999" customHeight="1">
      <c r="C324" s="66" t="s">
        <v>1217</v>
      </c>
      <c r="D324" s="67"/>
      <c r="E324" s="67"/>
      <c r="F324" s="67"/>
      <c r="G324" s="69"/>
      <c r="H324" s="292">
        <v>0</v>
      </c>
      <c r="K324" s="475"/>
    </row>
    <row r="325" spans="3:11" ht="20.399999999999999" customHeight="1">
      <c r="C325" s="293" t="s">
        <v>1218</v>
      </c>
      <c r="D325" s="294" t="s">
        <v>1219</v>
      </c>
      <c r="E325" s="295"/>
      <c r="F325" s="295"/>
      <c r="G325" s="296"/>
      <c r="H325" s="284">
        <f>H324+H322+H318</f>
        <v>163353</v>
      </c>
      <c r="K325" s="475"/>
    </row>
    <row r="326" spans="3:11" ht="20.399999999999999" customHeight="1">
      <c r="C326" s="293" t="s">
        <v>1220</v>
      </c>
      <c r="D326" s="294" t="s">
        <v>1321</v>
      </c>
      <c r="E326" s="295"/>
      <c r="F326" s="296"/>
      <c r="G326" s="298">
        <f>$M$67</f>
        <v>0.1</v>
      </c>
      <c r="H326" s="284">
        <f>H325*G326</f>
        <v>16335.300000000001</v>
      </c>
      <c r="K326" s="475"/>
    </row>
    <row r="327" spans="3:11" ht="20.399999999999999" customHeight="1" thickBot="1">
      <c r="C327" s="299" t="s">
        <v>1221</v>
      </c>
      <c r="D327" s="300" t="s">
        <v>1222</v>
      </c>
      <c r="E327" s="301"/>
      <c r="F327" s="301"/>
      <c r="G327" s="302"/>
      <c r="H327" s="303">
        <f>SUM(H325:H326)</f>
        <v>179688.3</v>
      </c>
      <c r="K327" s="475"/>
    </row>
    <row r="328" spans="3:11" ht="14.4" thickTop="1">
      <c r="C328" s="304"/>
      <c r="D328" s="304"/>
      <c r="E328" s="304"/>
      <c r="F328" s="304"/>
      <c r="G328" s="304"/>
      <c r="H328" s="305"/>
      <c r="K328" s="475"/>
    </row>
    <row r="329" spans="3:11" ht="14.4" thickBot="1">
      <c r="C329" s="47" t="s">
        <v>3207</v>
      </c>
      <c r="D329" s="170" t="s">
        <v>1571</v>
      </c>
      <c r="E329" s="275"/>
      <c r="F329" s="275"/>
      <c r="G329" s="275"/>
      <c r="H329" s="275"/>
      <c r="I329" s="120">
        <f>ROUNDDOWN(H344,-2)</f>
        <v>18100</v>
      </c>
      <c r="K329" s="475"/>
    </row>
    <row r="330" spans="3:11" ht="28.2" thickTop="1">
      <c r="C330" s="51" t="s">
        <v>1195</v>
      </c>
      <c r="D330" s="52" t="s">
        <v>1196</v>
      </c>
      <c r="E330" s="52" t="s">
        <v>1197</v>
      </c>
      <c r="F330" s="52" t="s">
        <v>1198</v>
      </c>
      <c r="G330" s="52" t="s">
        <v>1199</v>
      </c>
      <c r="H330" s="53" t="s">
        <v>1200</v>
      </c>
      <c r="K330" s="475"/>
    </row>
    <row r="331" spans="3:11" ht="22.2" customHeight="1">
      <c r="C331" s="290" t="s">
        <v>1201</v>
      </c>
      <c r="D331" s="182" t="s">
        <v>1202</v>
      </c>
      <c r="E331" s="70"/>
      <c r="F331" s="70"/>
      <c r="G331" s="70"/>
      <c r="H331" s="71"/>
      <c r="K331" s="475"/>
    </row>
    <row r="332" spans="3:11" ht="22.2" customHeight="1">
      <c r="C332" s="281">
        <v>1</v>
      </c>
      <c r="D332" s="182" t="s">
        <v>5</v>
      </c>
      <c r="E332" s="182" t="s">
        <v>6</v>
      </c>
      <c r="F332" s="315">
        <v>0.01</v>
      </c>
      <c r="G332" s="283">
        <f>VLOOKUP(D332,upahbahan,3,FALSE)</f>
        <v>100000</v>
      </c>
      <c r="H332" s="284">
        <f>F332*G332</f>
        <v>1000</v>
      </c>
      <c r="K332" s="475"/>
    </row>
    <row r="333" spans="3:11" ht="22.2" customHeight="1">
      <c r="C333" s="281">
        <v>2</v>
      </c>
      <c r="D333" s="182" t="s">
        <v>7</v>
      </c>
      <c r="E333" s="182" t="s">
        <v>6</v>
      </c>
      <c r="F333" s="315">
        <v>0.1</v>
      </c>
      <c r="G333" s="283">
        <f>VLOOKUP(D333,upahbahan,3,FALSE)</f>
        <v>135000</v>
      </c>
      <c r="H333" s="284">
        <f t="shared" ref="H333:H335" si="32">F333*G333</f>
        <v>13500</v>
      </c>
      <c r="K333" s="475"/>
    </row>
    <row r="334" spans="3:11" ht="22.2" customHeight="1">
      <c r="C334" s="281">
        <v>3</v>
      </c>
      <c r="D334" s="182" t="s">
        <v>18</v>
      </c>
      <c r="E334" s="182" t="s">
        <v>6</v>
      </c>
      <c r="F334" s="315">
        <v>0.01</v>
      </c>
      <c r="G334" s="283">
        <f>VLOOKUP(D334,upahbahan,3,FALSE)</f>
        <v>150000</v>
      </c>
      <c r="H334" s="284">
        <f t="shared" si="32"/>
        <v>1500</v>
      </c>
      <c r="K334" s="475"/>
    </row>
    <row r="335" spans="3:11" ht="22.2" customHeight="1">
      <c r="C335" s="281">
        <v>4</v>
      </c>
      <c r="D335" s="182" t="s">
        <v>19</v>
      </c>
      <c r="E335" s="182" t="s">
        <v>6</v>
      </c>
      <c r="F335" s="315">
        <v>3.3E-3</v>
      </c>
      <c r="G335" s="283">
        <f>VLOOKUP(D335,upahbahan,3,FALSE)</f>
        <v>160000</v>
      </c>
      <c r="H335" s="284">
        <f t="shared" si="32"/>
        <v>528</v>
      </c>
      <c r="K335" s="475"/>
    </row>
    <row r="336" spans="3:11" ht="22.2" customHeight="1">
      <c r="C336" s="66" t="s">
        <v>1208</v>
      </c>
      <c r="D336" s="67"/>
      <c r="E336" s="67"/>
      <c r="F336" s="142"/>
      <c r="G336" s="153"/>
      <c r="H336" s="284">
        <f>SUM(H332:H335)</f>
        <v>16528</v>
      </c>
      <c r="I336" s="319"/>
      <c r="K336" s="475"/>
    </row>
    <row r="337" spans="3:11" ht="22.2" customHeight="1">
      <c r="C337" s="290" t="s">
        <v>1209</v>
      </c>
      <c r="D337" s="182" t="s">
        <v>1210</v>
      </c>
      <c r="E337" s="70"/>
      <c r="F337" s="70"/>
      <c r="G337" s="70"/>
      <c r="H337" s="71"/>
      <c r="K337" s="475"/>
    </row>
    <row r="338" spans="3:11" ht="22.2" customHeight="1">
      <c r="C338" s="281">
        <v>1</v>
      </c>
      <c r="D338" s="182" t="s">
        <v>709</v>
      </c>
      <c r="E338" s="285" t="s">
        <v>135</v>
      </c>
      <c r="F338" s="282">
        <v>1</v>
      </c>
      <c r="G338" s="283">
        <f>VLOOKUP(D338,upahbahan,3,FALSE)</f>
        <v>0</v>
      </c>
      <c r="H338" s="284">
        <f t="shared" ref="H338" si="33">F338*G338</f>
        <v>0</v>
      </c>
      <c r="K338" s="475"/>
    </row>
    <row r="339" spans="3:11" ht="22.2" customHeight="1">
      <c r="C339" s="66" t="s">
        <v>1214</v>
      </c>
      <c r="D339" s="67"/>
      <c r="E339" s="67"/>
      <c r="F339" s="67"/>
      <c r="G339" s="69"/>
      <c r="H339" s="284">
        <f>SUM(H338:H338)</f>
        <v>0</v>
      </c>
      <c r="K339" s="475"/>
    </row>
    <row r="340" spans="3:11" ht="22.2" customHeight="1">
      <c r="C340" s="321" t="s">
        <v>1215</v>
      </c>
      <c r="D340" s="182" t="s">
        <v>1216</v>
      </c>
      <c r="E340" s="70"/>
      <c r="F340" s="70"/>
      <c r="G340" s="70"/>
      <c r="H340" s="71"/>
      <c r="K340" s="475"/>
    </row>
    <row r="341" spans="3:11" ht="22.2" customHeight="1">
      <c r="C341" s="66" t="s">
        <v>1217</v>
      </c>
      <c r="D341" s="67"/>
      <c r="E341" s="67"/>
      <c r="F341" s="67"/>
      <c r="G341" s="69"/>
      <c r="H341" s="292">
        <v>0</v>
      </c>
      <c r="K341" s="475"/>
    </row>
    <row r="342" spans="3:11" ht="22.2" customHeight="1">
      <c r="C342" s="293" t="s">
        <v>1218</v>
      </c>
      <c r="D342" s="294" t="s">
        <v>1219</v>
      </c>
      <c r="E342" s="295"/>
      <c r="F342" s="295"/>
      <c r="G342" s="296"/>
      <c r="H342" s="284">
        <f>H341+H339+H336</f>
        <v>16528</v>
      </c>
      <c r="K342" s="475"/>
    </row>
    <row r="343" spans="3:11" ht="22.2" customHeight="1">
      <c r="C343" s="293" t="s">
        <v>1220</v>
      </c>
      <c r="D343" s="294" t="s">
        <v>1321</v>
      </c>
      <c r="E343" s="295"/>
      <c r="F343" s="296"/>
      <c r="G343" s="298">
        <f>$M$67</f>
        <v>0.1</v>
      </c>
      <c r="H343" s="284">
        <f>H342*G343</f>
        <v>1652.8000000000002</v>
      </c>
      <c r="K343" s="475"/>
    </row>
    <row r="344" spans="3:11" ht="22.2" customHeight="1" thickBot="1">
      <c r="C344" s="299" t="s">
        <v>1221</v>
      </c>
      <c r="D344" s="300" t="s">
        <v>1222</v>
      </c>
      <c r="E344" s="301"/>
      <c r="F344" s="301"/>
      <c r="G344" s="302"/>
      <c r="H344" s="303">
        <f>SUM(H342:H343)</f>
        <v>18180.8</v>
      </c>
      <c r="K344" s="475"/>
    </row>
    <row r="345" spans="3:11" ht="14.4" thickTop="1">
      <c r="C345" s="304"/>
      <c r="D345" s="304"/>
      <c r="E345" s="304"/>
      <c r="F345" s="304"/>
      <c r="G345" s="304"/>
      <c r="H345" s="305"/>
      <c r="K345" s="475"/>
    </row>
    <row r="346" spans="3:11" ht="14.4" thickBot="1">
      <c r="C346" s="47" t="s">
        <v>3208</v>
      </c>
      <c r="D346" s="170" t="s">
        <v>1572</v>
      </c>
      <c r="E346" s="275"/>
      <c r="F346" s="275"/>
      <c r="G346" s="275"/>
      <c r="H346" s="275"/>
      <c r="I346" s="120">
        <f>ROUNDDOWN(H361,-2)</f>
        <v>18100</v>
      </c>
      <c r="K346" s="475"/>
    </row>
    <row r="347" spans="3:11" ht="28.2" thickTop="1">
      <c r="C347" s="51" t="s">
        <v>1195</v>
      </c>
      <c r="D347" s="52" t="s">
        <v>1196</v>
      </c>
      <c r="E347" s="52" t="s">
        <v>1197</v>
      </c>
      <c r="F347" s="52" t="s">
        <v>1198</v>
      </c>
      <c r="G347" s="52" t="s">
        <v>1199</v>
      </c>
      <c r="H347" s="53" t="s">
        <v>1200</v>
      </c>
      <c r="K347" s="475"/>
    </row>
    <row r="348" spans="3:11" ht="24" customHeight="1">
      <c r="C348" s="290" t="s">
        <v>1201</v>
      </c>
      <c r="D348" s="182" t="s">
        <v>1202</v>
      </c>
      <c r="E348" s="70"/>
      <c r="F348" s="70"/>
      <c r="G348" s="70"/>
      <c r="H348" s="71"/>
      <c r="K348" s="475"/>
    </row>
    <row r="349" spans="3:11" ht="24" customHeight="1">
      <c r="C349" s="281">
        <v>1</v>
      </c>
      <c r="D349" s="182" t="s">
        <v>5</v>
      </c>
      <c r="E349" s="182" t="s">
        <v>6</v>
      </c>
      <c r="F349" s="315">
        <v>0.01</v>
      </c>
      <c r="G349" s="283">
        <f>VLOOKUP(D349,upahbahan,3,FALSE)</f>
        <v>100000</v>
      </c>
      <c r="H349" s="284">
        <f>F349*G349</f>
        <v>1000</v>
      </c>
      <c r="K349" s="475"/>
    </row>
    <row r="350" spans="3:11" ht="24" customHeight="1">
      <c r="C350" s="281">
        <v>2</v>
      </c>
      <c r="D350" s="182" t="s">
        <v>7</v>
      </c>
      <c r="E350" s="182" t="s">
        <v>6</v>
      </c>
      <c r="F350" s="315">
        <v>0.1</v>
      </c>
      <c r="G350" s="283">
        <f>VLOOKUP(D350,upahbahan,3,FALSE)</f>
        <v>135000</v>
      </c>
      <c r="H350" s="284">
        <f t="shared" ref="H350:H352" si="34">F350*G350</f>
        <v>13500</v>
      </c>
      <c r="K350" s="475"/>
    </row>
    <row r="351" spans="3:11" ht="24" customHeight="1">
      <c r="C351" s="281">
        <v>3</v>
      </c>
      <c r="D351" s="182" t="s">
        <v>18</v>
      </c>
      <c r="E351" s="182" t="s">
        <v>6</v>
      </c>
      <c r="F351" s="315">
        <v>0.01</v>
      </c>
      <c r="G351" s="283">
        <f>VLOOKUP(D351,upahbahan,3,FALSE)</f>
        <v>150000</v>
      </c>
      <c r="H351" s="284">
        <f t="shared" si="34"/>
        <v>1500</v>
      </c>
      <c r="K351" s="475"/>
    </row>
    <row r="352" spans="3:11" ht="24" customHeight="1">
      <c r="C352" s="281">
        <v>4</v>
      </c>
      <c r="D352" s="182" t="s">
        <v>19</v>
      </c>
      <c r="E352" s="182" t="s">
        <v>6</v>
      </c>
      <c r="F352" s="315">
        <v>3.3E-3</v>
      </c>
      <c r="G352" s="283">
        <f>VLOOKUP(D352,upahbahan,3,FALSE)</f>
        <v>160000</v>
      </c>
      <c r="H352" s="284">
        <f t="shared" si="34"/>
        <v>528</v>
      </c>
      <c r="K352" s="475"/>
    </row>
    <row r="353" spans="3:11" ht="24" customHeight="1">
      <c r="C353" s="66" t="s">
        <v>1208</v>
      </c>
      <c r="D353" s="67"/>
      <c r="E353" s="67"/>
      <c r="F353" s="142"/>
      <c r="G353" s="153"/>
      <c r="H353" s="284">
        <f>SUM(H349:H352)</f>
        <v>16528</v>
      </c>
      <c r="I353" s="319"/>
      <c r="K353" s="475"/>
    </row>
    <row r="354" spans="3:11" ht="24" customHeight="1">
      <c r="C354" s="290" t="s">
        <v>1209</v>
      </c>
      <c r="D354" s="182" t="s">
        <v>1210</v>
      </c>
      <c r="E354" s="70"/>
      <c r="F354" s="70"/>
      <c r="G354" s="70"/>
      <c r="H354" s="71"/>
      <c r="K354" s="475"/>
    </row>
    <row r="355" spans="3:11" ht="24" customHeight="1">
      <c r="C355" s="281">
        <v>1</v>
      </c>
      <c r="D355" s="182" t="s">
        <v>745</v>
      </c>
      <c r="E355" s="285" t="s">
        <v>135</v>
      </c>
      <c r="F355" s="282">
        <v>1</v>
      </c>
      <c r="G355" s="283">
        <f>VLOOKUP(D355,upahbahan,3,FALSE)</f>
        <v>0</v>
      </c>
      <c r="H355" s="284">
        <f>F355*G355</f>
        <v>0</v>
      </c>
      <c r="K355" s="475"/>
    </row>
    <row r="356" spans="3:11" ht="24" customHeight="1">
      <c r="C356" s="66" t="s">
        <v>1214</v>
      </c>
      <c r="D356" s="67"/>
      <c r="E356" s="67"/>
      <c r="F356" s="67"/>
      <c r="G356" s="69"/>
      <c r="H356" s="284">
        <f>SUM(H355:H355)</f>
        <v>0</v>
      </c>
      <c r="K356" s="475"/>
    </row>
    <row r="357" spans="3:11" ht="24" customHeight="1">
      <c r="C357" s="321" t="s">
        <v>1215</v>
      </c>
      <c r="D357" s="182" t="s">
        <v>1216</v>
      </c>
      <c r="E357" s="70"/>
      <c r="F357" s="70"/>
      <c r="G357" s="70"/>
      <c r="H357" s="71"/>
      <c r="K357" s="475"/>
    </row>
    <row r="358" spans="3:11" ht="24" customHeight="1">
      <c r="C358" s="66" t="s">
        <v>1217</v>
      </c>
      <c r="D358" s="67"/>
      <c r="E358" s="67"/>
      <c r="F358" s="67"/>
      <c r="G358" s="69"/>
      <c r="H358" s="292">
        <v>0</v>
      </c>
      <c r="K358" s="475"/>
    </row>
    <row r="359" spans="3:11" ht="24" customHeight="1">
      <c r="C359" s="293" t="s">
        <v>1218</v>
      </c>
      <c r="D359" s="294" t="s">
        <v>1219</v>
      </c>
      <c r="E359" s="295"/>
      <c r="F359" s="295"/>
      <c r="G359" s="296"/>
      <c r="H359" s="284">
        <f>H358+H356+H353</f>
        <v>16528</v>
      </c>
      <c r="K359" s="475"/>
    </row>
    <row r="360" spans="3:11" ht="24" customHeight="1">
      <c r="C360" s="293" t="s">
        <v>1220</v>
      </c>
      <c r="D360" s="294" t="s">
        <v>1321</v>
      </c>
      <c r="E360" s="295"/>
      <c r="F360" s="296"/>
      <c r="G360" s="298">
        <f>$M$67</f>
        <v>0.1</v>
      </c>
      <c r="H360" s="284">
        <f>H359*G360</f>
        <v>1652.8000000000002</v>
      </c>
      <c r="K360" s="475"/>
    </row>
    <row r="361" spans="3:11" ht="24" customHeight="1" thickBot="1">
      <c r="C361" s="299" t="s">
        <v>1221</v>
      </c>
      <c r="D361" s="300" t="s">
        <v>1222</v>
      </c>
      <c r="E361" s="301"/>
      <c r="F361" s="301"/>
      <c r="G361" s="302"/>
      <c r="H361" s="303">
        <f>SUM(H359:H360)</f>
        <v>18180.8</v>
      </c>
      <c r="K361" s="475"/>
    </row>
    <row r="362" spans="3:11" ht="14.4" thickTop="1">
      <c r="C362" s="304"/>
      <c r="D362" s="304"/>
      <c r="E362" s="304"/>
      <c r="F362" s="304"/>
      <c r="G362" s="304"/>
      <c r="H362" s="305"/>
      <c r="K362" s="475"/>
    </row>
    <row r="363" spans="3:11" ht="14.4" thickBot="1">
      <c r="C363" s="47" t="s">
        <v>3209</v>
      </c>
      <c r="D363" s="170" t="s">
        <v>1573</v>
      </c>
      <c r="E363" s="275"/>
      <c r="F363" s="275"/>
      <c r="G363" s="275"/>
      <c r="H363" s="275"/>
      <c r="I363" s="120">
        <f>ROUNDDOWN(H378,-2)</f>
        <v>150100</v>
      </c>
      <c r="K363" s="475"/>
    </row>
    <row r="364" spans="3:11" ht="28.2" thickTop="1">
      <c r="C364" s="51" t="s">
        <v>1195</v>
      </c>
      <c r="D364" s="52" t="s">
        <v>1196</v>
      </c>
      <c r="E364" s="52" t="s">
        <v>1197</v>
      </c>
      <c r="F364" s="52" t="s">
        <v>1198</v>
      </c>
      <c r="G364" s="52" t="s">
        <v>1199</v>
      </c>
      <c r="H364" s="53" t="s">
        <v>1200</v>
      </c>
      <c r="K364" s="475"/>
    </row>
    <row r="365" spans="3:11" ht="20.399999999999999" customHeight="1">
      <c r="C365" s="290" t="s">
        <v>1201</v>
      </c>
      <c r="D365" s="182" t="s">
        <v>1202</v>
      </c>
      <c r="E365" s="70"/>
      <c r="F365" s="70"/>
      <c r="G365" s="70"/>
      <c r="H365" s="71"/>
      <c r="K365" s="475"/>
    </row>
    <row r="366" spans="3:11" ht="20.399999999999999" customHeight="1">
      <c r="C366" s="281">
        <v>1</v>
      </c>
      <c r="D366" s="182" t="s">
        <v>5</v>
      </c>
      <c r="E366" s="182" t="s">
        <v>6</v>
      </c>
      <c r="F366" s="315">
        <v>0.01</v>
      </c>
      <c r="G366" s="283">
        <f>VLOOKUP(D366,upahbahan,3,FALSE)</f>
        <v>100000</v>
      </c>
      <c r="H366" s="284">
        <f t="shared" ref="H366:H369" si="35">F366*G366</f>
        <v>1000</v>
      </c>
      <c r="K366" s="475"/>
    </row>
    <row r="367" spans="3:11" ht="20.399999999999999" customHeight="1">
      <c r="C367" s="281">
        <v>2</v>
      </c>
      <c r="D367" s="182" t="s">
        <v>7</v>
      </c>
      <c r="E367" s="182" t="s">
        <v>6</v>
      </c>
      <c r="F367" s="315">
        <v>0.1</v>
      </c>
      <c r="G367" s="283">
        <f>VLOOKUP(D367,upahbahan,3,FALSE)</f>
        <v>135000</v>
      </c>
      <c r="H367" s="284">
        <f t="shared" si="35"/>
        <v>13500</v>
      </c>
      <c r="K367" s="475"/>
    </row>
    <row r="368" spans="3:11" ht="20.399999999999999" customHeight="1">
      <c r="C368" s="281">
        <v>3</v>
      </c>
      <c r="D368" s="182" t="s">
        <v>18</v>
      </c>
      <c r="E368" s="182" t="s">
        <v>6</v>
      </c>
      <c r="F368" s="315">
        <v>0.01</v>
      </c>
      <c r="G368" s="283">
        <f>VLOOKUP(D368,upahbahan,3,FALSE)</f>
        <v>150000</v>
      </c>
      <c r="H368" s="284">
        <f t="shared" si="35"/>
        <v>1500</v>
      </c>
      <c r="K368" s="475"/>
    </row>
    <row r="369" spans="3:11" ht="20.399999999999999" customHeight="1">
      <c r="C369" s="281">
        <v>4</v>
      </c>
      <c r="D369" s="182" t="s">
        <v>19</v>
      </c>
      <c r="E369" s="182" t="s">
        <v>6</v>
      </c>
      <c r="F369" s="315">
        <v>3.3E-3</v>
      </c>
      <c r="G369" s="283">
        <f>VLOOKUP(D369,upahbahan,3,FALSE)</f>
        <v>160000</v>
      </c>
      <c r="H369" s="284">
        <f t="shared" si="35"/>
        <v>528</v>
      </c>
      <c r="K369" s="475"/>
    </row>
    <row r="370" spans="3:11" ht="20.399999999999999" customHeight="1">
      <c r="C370" s="66" t="s">
        <v>1208</v>
      </c>
      <c r="D370" s="67"/>
      <c r="E370" s="67"/>
      <c r="F370" s="142"/>
      <c r="G370" s="153"/>
      <c r="H370" s="284">
        <f>SUM(H366:H369)</f>
        <v>16528</v>
      </c>
      <c r="I370" s="319"/>
      <c r="K370" s="475"/>
    </row>
    <row r="371" spans="3:11" ht="20.399999999999999" customHeight="1">
      <c r="C371" s="290" t="s">
        <v>1209</v>
      </c>
      <c r="D371" s="182" t="s">
        <v>1210</v>
      </c>
      <c r="E371" s="70"/>
      <c r="F371" s="70"/>
      <c r="G371" s="70"/>
      <c r="H371" s="71"/>
      <c r="K371" s="475"/>
    </row>
    <row r="372" spans="3:11" ht="20.399999999999999" customHeight="1">
      <c r="C372" s="281">
        <v>1</v>
      </c>
      <c r="D372" s="182" t="s">
        <v>679</v>
      </c>
      <c r="E372" s="285" t="s">
        <v>44</v>
      </c>
      <c r="F372" s="282">
        <v>1</v>
      </c>
      <c r="G372" s="283">
        <f>VLOOKUP(D372,upahbahan,3,FALSE)</f>
        <v>120000</v>
      </c>
      <c r="H372" s="284">
        <f t="shared" ref="H372" si="36">F372*G372</f>
        <v>120000</v>
      </c>
      <c r="K372" s="475"/>
    </row>
    <row r="373" spans="3:11" ht="20.399999999999999" customHeight="1">
      <c r="C373" s="66" t="s">
        <v>1214</v>
      </c>
      <c r="D373" s="67"/>
      <c r="E373" s="67"/>
      <c r="F373" s="67"/>
      <c r="G373" s="69"/>
      <c r="H373" s="284">
        <f>SUM(H372:H372)</f>
        <v>120000</v>
      </c>
      <c r="K373" s="475"/>
    </row>
    <row r="374" spans="3:11" ht="20.399999999999999" customHeight="1">
      <c r="C374" s="321" t="s">
        <v>1215</v>
      </c>
      <c r="D374" s="182" t="s">
        <v>1216</v>
      </c>
      <c r="E374" s="70"/>
      <c r="F374" s="70"/>
      <c r="G374" s="70"/>
      <c r="H374" s="71"/>
      <c r="K374" s="475"/>
    </row>
    <row r="375" spans="3:11" ht="20.399999999999999" customHeight="1">
      <c r="C375" s="66" t="s">
        <v>1217</v>
      </c>
      <c r="D375" s="67"/>
      <c r="E375" s="67"/>
      <c r="F375" s="67"/>
      <c r="G375" s="69"/>
      <c r="H375" s="292">
        <v>0</v>
      </c>
      <c r="K375" s="475"/>
    </row>
    <row r="376" spans="3:11" ht="20.399999999999999" customHeight="1">
      <c r="C376" s="293" t="s">
        <v>1218</v>
      </c>
      <c r="D376" s="294" t="s">
        <v>1219</v>
      </c>
      <c r="E376" s="295"/>
      <c r="F376" s="295"/>
      <c r="G376" s="296"/>
      <c r="H376" s="284">
        <f>H375+H373+H370</f>
        <v>136528</v>
      </c>
      <c r="K376" s="475"/>
    </row>
    <row r="377" spans="3:11" ht="20.399999999999999" customHeight="1">
      <c r="C377" s="293" t="s">
        <v>1220</v>
      </c>
      <c r="D377" s="294" t="s">
        <v>1321</v>
      </c>
      <c r="E377" s="295"/>
      <c r="F377" s="296"/>
      <c r="G377" s="298">
        <f>$M$67</f>
        <v>0.1</v>
      </c>
      <c r="H377" s="284">
        <f>H376*G377</f>
        <v>13652.800000000001</v>
      </c>
      <c r="K377" s="475"/>
    </row>
    <row r="378" spans="3:11" ht="20.399999999999999" customHeight="1" thickBot="1">
      <c r="C378" s="299" t="s">
        <v>1221</v>
      </c>
      <c r="D378" s="300" t="s">
        <v>1222</v>
      </c>
      <c r="E378" s="301"/>
      <c r="F378" s="301"/>
      <c r="G378" s="302"/>
      <c r="H378" s="303">
        <f>SUM(H376:H377)</f>
        <v>150180.79999999999</v>
      </c>
      <c r="K378" s="475"/>
    </row>
    <row r="379" spans="3:11" ht="20.399999999999999" customHeight="1" thickTop="1">
      <c r="C379" s="304"/>
      <c r="D379" s="304"/>
      <c r="E379" s="304"/>
      <c r="F379" s="304"/>
      <c r="G379" s="304"/>
      <c r="H379" s="305"/>
      <c r="K379" s="475"/>
    </row>
    <row r="380" spans="3:11">
      <c r="C380" s="304"/>
      <c r="D380" s="304"/>
      <c r="E380" s="304"/>
      <c r="F380" s="304"/>
      <c r="G380" s="304"/>
      <c r="H380" s="305"/>
      <c r="K380" s="475"/>
    </row>
    <row r="381" spans="3:11" ht="14.4" thickBot="1">
      <c r="C381" s="47" t="s">
        <v>3210</v>
      </c>
      <c r="D381" s="170" t="s">
        <v>1574</v>
      </c>
      <c r="E381" s="275"/>
      <c r="F381" s="275"/>
      <c r="G381" s="275"/>
      <c r="H381" s="275"/>
      <c r="I381" s="120">
        <f>ROUNDDOWN(H396,-2)</f>
        <v>18100</v>
      </c>
      <c r="K381" s="475"/>
    </row>
    <row r="382" spans="3:11" ht="28.2" thickTop="1">
      <c r="C382" s="51" t="s">
        <v>1195</v>
      </c>
      <c r="D382" s="52" t="s">
        <v>1196</v>
      </c>
      <c r="E382" s="52" t="s">
        <v>1197</v>
      </c>
      <c r="F382" s="52" t="s">
        <v>1198</v>
      </c>
      <c r="G382" s="52" t="s">
        <v>1199</v>
      </c>
      <c r="H382" s="53" t="s">
        <v>1200</v>
      </c>
      <c r="K382" s="475"/>
    </row>
    <row r="383" spans="3:11" ht="21.6" customHeight="1">
      <c r="C383" s="290" t="s">
        <v>1201</v>
      </c>
      <c r="D383" s="182" t="s">
        <v>1202</v>
      </c>
      <c r="E383" s="70"/>
      <c r="F383" s="70"/>
      <c r="G383" s="70"/>
      <c r="H383" s="71"/>
      <c r="K383" s="475"/>
    </row>
    <row r="384" spans="3:11" ht="21.6" customHeight="1">
      <c r="C384" s="281">
        <v>1</v>
      </c>
      <c r="D384" s="182" t="s">
        <v>5</v>
      </c>
      <c r="E384" s="182" t="s">
        <v>6</v>
      </c>
      <c r="F384" s="315">
        <v>0.01</v>
      </c>
      <c r="G384" s="283">
        <f>VLOOKUP(D384,upahbahan,3,FALSE)</f>
        <v>100000</v>
      </c>
      <c r="H384" s="284">
        <f t="shared" ref="H384:H387" si="37">F384*G384</f>
        <v>1000</v>
      </c>
      <c r="K384" s="475"/>
    </row>
    <row r="385" spans="3:11" ht="21.6" customHeight="1">
      <c r="C385" s="281">
        <v>2</v>
      </c>
      <c r="D385" s="182" t="s">
        <v>7</v>
      </c>
      <c r="E385" s="182" t="s">
        <v>6</v>
      </c>
      <c r="F385" s="315">
        <v>0.1</v>
      </c>
      <c r="G385" s="283">
        <f>VLOOKUP(D385,upahbahan,3,FALSE)</f>
        <v>135000</v>
      </c>
      <c r="H385" s="284">
        <f t="shared" si="37"/>
        <v>13500</v>
      </c>
      <c r="K385" s="475"/>
    </row>
    <row r="386" spans="3:11" ht="21.6" customHeight="1">
      <c r="C386" s="281">
        <v>3</v>
      </c>
      <c r="D386" s="182" t="s">
        <v>18</v>
      </c>
      <c r="E386" s="182" t="s">
        <v>6</v>
      </c>
      <c r="F386" s="315">
        <v>0.01</v>
      </c>
      <c r="G386" s="283">
        <f>VLOOKUP(D386,upahbahan,3,FALSE)</f>
        <v>150000</v>
      </c>
      <c r="H386" s="284">
        <f t="shared" si="37"/>
        <v>1500</v>
      </c>
      <c r="K386" s="475"/>
    </row>
    <row r="387" spans="3:11" ht="21.6" customHeight="1">
      <c r="C387" s="281">
        <v>4</v>
      </c>
      <c r="D387" s="182" t="s">
        <v>19</v>
      </c>
      <c r="E387" s="182" t="s">
        <v>6</v>
      </c>
      <c r="F387" s="315">
        <v>3.3E-3</v>
      </c>
      <c r="G387" s="283">
        <f>VLOOKUP(D387,upahbahan,3,FALSE)</f>
        <v>160000</v>
      </c>
      <c r="H387" s="284">
        <f t="shared" si="37"/>
        <v>528</v>
      </c>
      <c r="K387" s="475"/>
    </row>
    <row r="388" spans="3:11" ht="21.6" customHeight="1">
      <c r="C388" s="66" t="s">
        <v>1208</v>
      </c>
      <c r="D388" s="67"/>
      <c r="E388" s="67"/>
      <c r="F388" s="142"/>
      <c r="G388" s="153"/>
      <c r="H388" s="284">
        <f>SUM(H384:H387)</f>
        <v>16528</v>
      </c>
      <c r="I388" s="319"/>
      <c r="K388" s="475"/>
    </row>
    <row r="389" spans="3:11" ht="21.6" customHeight="1">
      <c r="C389" s="290" t="s">
        <v>1209</v>
      </c>
      <c r="D389" s="182" t="s">
        <v>1210</v>
      </c>
      <c r="E389" s="70"/>
      <c r="F389" s="70"/>
      <c r="G389" s="70"/>
      <c r="H389" s="71"/>
      <c r="K389" s="475"/>
    </row>
    <row r="390" spans="3:11" ht="21.6" customHeight="1">
      <c r="C390" s="281">
        <v>1</v>
      </c>
      <c r="D390" s="182" t="s">
        <v>730</v>
      </c>
      <c r="E390" s="285" t="s">
        <v>44</v>
      </c>
      <c r="F390" s="282">
        <v>1</v>
      </c>
      <c r="G390" s="283">
        <f>VLOOKUP(D390,upahbahan,3,FALSE)</f>
        <v>0</v>
      </c>
      <c r="H390" s="284">
        <f t="shared" ref="H390" si="38">F390*G390</f>
        <v>0</v>
      </c>
      <c r="K390" s="475"/>
    </row>
    <row r="391" spans="3:11" ht="21.6" customHeight="1">
      <c r="C391" s="66" t="s">
        <v>1214</v>
      </c>
      <c r="D391" s="67"/>
      <c r="E391" s="67"/>
      <c r="F391" s="67"/>
      <c r="G391" s="69"/>
      <c r="H391" s="284">
        <f>SUM(H390:H390)</f>
        <v>0</v>
      </c>
      <c r="K391" s="475"/>
    </row>
    <row r="392" spans="3:11" ht="21.6" customHeight="1">
      <c r="C392" s="321" t="s">
        <v>1215</v>
      </c>
      <c r="D392" s="182" t="s">
        <v>1216</v>
      </c>
      <c r="E392" s="70"/>
      <c r="F392" s="70"/>
      <c r="G392" s="70"/>
      <c r="H392" s="71"/>
      <c r="K392" s="475"/>
    </row>
    <row r="393" spans="3:11" ht="21.6" customHeight="1">
      <c r="C393" s="66" t="s">
        <v>1217</v>
      </c>
      <c r="D393" s="67"/>
      <c r="E393" s="67"/>
      <c r="F393" s="67"/>
      <c r="G393" s="69"/>
      <c r="H393" s="292">
        <v>0</v>
      </c>
      <c r="K393" s="475"/>
    </row>
    <row r="394" spans="3:11" ht="21.6" customHeight="1">
      <c r="C394" s="293" t="s">
        <v>1218</v>
      </c>
      <c r="D394" s="294" t="s">
        <v>1219</v>
      </c>
      <c r="E394" s="295"/>
      <c r="F394" s="295"/>
      <c r="G394" s="296"/>
      <c r="H394" s="284">
        <f>H393+H391+H388</f>
        <v>16528</v>
      </c>
      <c r="K394" s="475"/>
    </row>
    <row r="395" spans="3:11" ht="21.6" customHeight="1">
      <c r="C395" s="293" t="s">
        <v>1220</v>
      </c>
      <c r="D395" s="294" t="s">
        <v>1321</v>
      </c>
      <c r="E395" s="295"/>
      <c r="F395" s="296"/>
      <c r="G395" s="298">
        <f>$M$67</f>
        <v>0.1</v>
      </c>
      <c r="H395" s="284">
        <f>H394*G395</f>
        <v>1652.8000000000002</v>
      </c>
      <c r="K395" s="475"/>
    </row>
    <row r="396" spans="3:11" ht="21.6" customHeight="1" thickBot="1">
      <c r="C396" s="299" t="s">
        <v>1221</v>
      </c>
      <c r="D396" s="300" t="s">
        <v>1222</v>
      </c>
      <c r="E396" s="301"/>
      <c r="F396" s="301"/>
      <c r="G396" s="302"/>
      <c r="H396" s="303">
        <f>SUM(H394:H395)</f>
        <v>18180.8</v>
      </c>
      <c r="K396" s="475"/>
    </row>
    <row r="397" spans="3:11" ht="14.4" thickTop="1">
      <c r="C397" s="289"/>
      <c r="D397" s="297"/>
      <c r="E397" s="297"/>
      <c r="F397" s="297"/>
      <c r="G397" s="297"/>
      <c r="H397" s="139"/>
      <c r="K397" s="475"/>
    </row>
    <row r="398" spans="3:11" ht="14.4" thickBot="1">
      <c r="C398" s="47" t="s">
        <v>3211</v>
      </c>
      <c r="D398" s="170" t="s">
        <v>1575</v>
      </c>
      <c r="E398" s="275"/>
      <c r="F398" s="275"/>
      <c r="G398" s="275"/>
      <c r="H398" s="275"/>
      <c r="I398" s="120">
        <f>ROUNDDOWN(H413,-2)</f>
        <v>18100</v>
      </c>
      <c r="K398" s="475"/>
    </row>
    <row r="399" spans="3:11" ht="28.2" thickTop="1">
      <c r="C399" s="51" t="s">
        <v>1195</v>
      </c>
      <c r="D399" s="52" t="s">
        <v>1196</v>
      </c>
      <c r="E399" s="52" t="s">
        <v>1197</v>
      </c>
      <c r="F399" s="52" t="s">
        <v>1198</v>
      </c>
      <c r="G399" s="52" t="s">
        <v>1199</v>
      </c>
      <c r="H399" s="53" t="s">
        <v>1200</v>
      </c>
      <c r="K399" s="475"/>
    </row>
    <row r="400" spans="3:11" ht="19.8" customHeight="1">
      <c r="C400" s="290" t="s">
        <v>1201</v>
      </c>
      <c r="D400" s="182" t="s">
        <v>1202</v>
      </c>
      <c r="E400" s="70"/>
      <c r="F400" s="70"/>
      <c r="G400" s="70"/>
      <c r="H400" s="71"/>
      <c r="K400" s="475"/>
    </row>
    <row r="401" spans="3:11" ht="19.8" customHeight="1">
      <c r="C401" s="281">
        <v>1</v>
      </c>
      <c r="D401" s="182" t="s">
        <v>5</v>
      </c>
      <c r="E401" s="182" t="s">
        <v>6</v>
      </c>
      <c r="F401" s="315">
        <v>0.01</v>
      </c>
      <c r="G401" s="283">
        <f>VLOOKUP(D401,upahbahan,3,FALSE)</f>
        <v>100000</v>
      </c>
      <c r="H401" s="284">
        <f t="shared" ref="H401:H404" si="39">F401*G401</f>
        <v>1000</v>
      </c>
      <c r="K401" s="475"/>
    </row>
    <row r="402" spans="3:11" ht="19.8" customHeight="1">
      <c r="C402" s="281">
        <v>2</v>
      </c>
      <c r="D402" s="182" t="s">
        <v>7</v>
      </c>
      <c r="E402" s="182" t="s">
        <v>6</v>
      </c>
      <c r="F402" s="315">
        <v>0.1</v>
      </c>
      <c r="G402" s="283">
        <f>VLOOKUP(D402,upahbahan,3,FALSE)</f>
        <v>135000</v>
      </c>
      <c r="H402" s="284">
        <f t="shared" si="39"/>
        <v>13500</v>
      </c>
      <c r="K402" s="475"/>
    </row>
    <row r="403" spans="3:11" ht="19.8" customHeight="1">
      <c r="C403" s="281">
        <v>3</v>
      </c>
      <c r="D403" s="182" t="s">
        <v>18</v>
      </c>
      <c r="E403" s="182" t="s">
        <v>6</v>
      </c>
      <c r="F403" s="315">
        <v>0.01</v>
      </c>
      <c r="G403" s="283">
        <f>VLOOKUP(D403,upahbahan,3,FALSE)</f>
        <v>150000</v>
      </c>
      <c r="H403" s="284">
        <f t="shared" si="39"/>
        <v>1500</v>
      </c>
      <c r="K403" s="475"/>
    </row>
    <row r="404" spans="3:11" ht="19.8" customHeight="1">
      <c r="C404" s="281">
        <v>4</v>
      </c>
      <c r="D404" s="182" t="s">
        <v>19</v>
      </c>
      <c r="E404" s="182" t="s">
        <v>6</v>
      </c>
      <c r="F404" s="315">
        <v>3.3E-3</v>
      </c>
      <c r="G404" s="283">
        <f>VLOOKUP(D404,upahbahan,3,FALSE)</f>
        <v>160000</v>
      </c>
      <c r="H404" s="284">
        <f t="shared" si="39"/>
        <v>528</v>
      </c>
      <c r="K404" s="475"/>
    </row>
    <row r="405" spans="3:11" ht="19.8" customHeight="1">
      <c r="C405" s="66" t="s">
        <v>1208</v>
      </c>
      <c r="D405" s="67"/>
      <c r="E405" s="67"/>
      <c r="F405" s="142"/>
      <c r="G405" s="153"/>
      <c r="H405" s="284">
        <f>SUM(H401:H404)</f>
        <v>16528</v>
      </c>
      <c r="I405" s="319"/>
      <c r="K405" s="475"/>
    </row>
    <row r="406" spans="3:11" ht="19.8" customHeight="1">
      <c r="C406" s="290" t="s">
        <v>1209</v>
      </c>
      <c r="D406" s="182" t="s">
        <v>1210</v>
      </c>
      <c r="E406" s="70"/>
      <c r="F406" s="70"/>
      <c r="G406" s="70"/>
      <c r="H406" s="71"/>
      <c r="K406" s="475"/>
    </row>
    <row r="407" spans="3:11" ht="19.8" customHeight="1">
      <c r="C407" s="281">
        <v>1</v>
      </c>
      <c r="D407" s="182" t="s">
        <v>744</v>
      </c>
      <c r="E407" s="285" t="s">
        <v>44</v>
      </c>
      <c r="F407" s="282">
        <v>1</v>
      </c>
      <c r="G407" s="283">
        <f>VLOOKUP(D407,upahbahan,3,FALSE)</f>
        <v>0</v>
      </c>
      <c r="H407" s="284">
        <f t="shared" ref="H407" si="40">F407*G407</f>
        <v>0</v>
      </c>
    </row>
    <row r="408" spans="3:11" ht="19.8" customHeight="1">
      <c r="C408" s="66" t="s">
        <v>1214</v>
      </c>
      <c r="D408" s="67"/>
      <c r="E408" s="67"/>
      <c r="F408" s="67"/>
      <c r="G408" s="69"/>
      <c r="H408" s="284">
        <f>SUM(H407:H407)</f>
        <v>0</v>
      </c>
    </row>
    <row r="409" spans="3:11" ht="19.8" customHeight="1">
      <c r="C409" s="321" t="s">
        <v>1215</v>
      </c>
      <c r="D409" s="182" t="s">
        <v>1216</v>
      </c>
      <c r="E409" s="70"/>
      <c r="F409" s="70"/>
      <c r="G409" s="70"/>
      <c r="H409" s="71"/>
    </row>
    <row r="410" spans="3:11" ht="19.8" customHeight="1">
      <c r="C410" s="66" t="s">
        <v>1217</v>
      </c>
      <c r="D410" s="67"/>
      <c r="E410" s="67"/>
      <c r="F410" s="67"/>
      <c r="G410" s="69"/>
      <c r="H410" s="292">
        <v>0</v>
      </c>
    </row>
    <row r="411" spans="3:11" ht="19.8" customHeight="1">
      <c r="C411" s="293" t="s">
        <v>1218</v>
      </c>
      <c r="D411" s="294" t="s">
        <v>1219</v>
      </c>
      <c r="E411" s="295"/>
      <c r="F411" s="295"/>
      <c r="G411" s="296"/>
      <c r="H411" s="284">
        <f>H410+H408+H405</f>
        <v>16528</v>
      </c>
    </row>
    <row r="412" spans="3:11" ht="19.8" customHeight="1">
      <c r="C412" s="293" t="s">
        <v>1220</v>
      </c>
      <c r="D412" s="294" t="s">
        <v>1321</v>
      </c>
      <c r="E412" s="295"/>
      <c r="F412" s="296"/>
      <c r="G412" s="298">
        <f>$M$67</f>
        <v>0.1</v>
      </c>
      <c r="H412" s="284">
        <f>H411*G412</f>
        <v>1652.8000000000002</v>
      </c>
    </row>
    <row r="413" spans="3:11" ht="19.8" customHeight="1" thickBot="1">
      <c r="C413" s="299" t="s">
        <v>1221</v>
      </c>
      <c r="D413" s="300" t="s">
        <v>1222</v>
      </c>
      <c r="E413" s="301"/>
      <c r="F413" s="301"/>
      <c r="G413" s="302"/>
      <c r="H413" s="303">
        <f>SUM(H411:H412)</f>
        <v>18180.8</v>
      </c>
    </row>
    <row r="414" spans="3:11" ht="14.4" thickTop="1">
      <c r="C414" s="289"/>
      <c r="D414" s="297"/>
      <c r="E414" s="297"/>
      <c r="F414" s="297"/>
      <c r="G414" s="297"/>
      <c r="H414" s="139"/>
    </row>
    <row r="415" spans="3:11" ht="14.4" thickBot="1">
      <c r="C415" s="47" t="s">
        <v>3212</v>
      </c>
      <c r="D415" s="170" t="s">
        <v>3213</v>
      </c>
      <c r="E415" s="275"/>
      <c r="F415" s="275"/>
      <c r="G415" s="275"/>
      <c r="H415" s="275"/>
      <c r="I415" s="120">
        <f>ROUNDDOWN(H431,-2)</f>
        <v>69600</v>
      </c>
      <c r="K415" s="475"/>
    </row>
    <row r="416" spans="3:11" ht="28.2" thickTop="1">
      <c r="C416" s="51" t="s">
        <v>1195</v>
      </c>
      <c r="D416" s="52" t="s">
        <v>1196</v>
      </c>
      <c r="E416" s="52" t="s">
        <v>1197</v>
      </c>
      <c r="F416" s="52" t="s">
        <v>1198</v>
      </c>
      <c r="G416" s="52" t="s">
        <v>1199</v>
      </c>
      <c r="H416" s="53" t="s">
        <v>1200</v>
      </c>
      <c r="K416" s="475"/>
    </row>
    <row r="417" spans="3:11" ht="24" customHeight="1">
      <c r="C417" s="290" t="s">
        <v>1201</v>
      </c>
      <c r="D417" s="182" t="s">
        <v>1202</v>
      </c>
      <c r="E417" s="70"/>
      <c r="F417" s="70"/>
      <c r="G417" s="70"/>
      <c r="H417" s="71"/>
      <c r="K417" s="475"/>
    </row>
    <row r="418" spans="3:11" ht="24" customHeight="1">
      <c r="C418" s="281">
        <v>1</v>
      </c>
      <c r="D418" s="182" t="s">
        <v>5</v>
      </c>
      <c r="E418" s="182" t="s">
        <v>6</v>
      </c>
      <c r="F418" s="315">
        <v>0.01</v>
      </c>
      <c r="G418" s="283">
        <f>VLOOKUP(D418,upahbahan,3,FALSE)</f>
        <v>100000</v>
      </c>
      <c r="H418" s="284">
        <f t="shared" ref="H418:H421" si="41">F418*G418</f>
        <v>1000</v>
      </c>
      <c r="K418" s="475"/>
    </row>
    <row r="419" spans="3:11" ht="24" customHeight="1">
      <c r="C419" s="281">
        <v>2</v>
      </c>
      <c r="D419" s="182" t="s">
        <v>7</v>
      </c>
      <c r="E419" s="182" t="s">
        <v>6</v>
      </c>
      <c r="F419" s="315">
        <v>0.4</v>
      </c>
      <c r="G419" s="283">
        <f>VLOOKUP(D419,upahbahan,3,FALSE)</f>
        <v>135000</v>
      </c>
      <c r="H419" s="284">
        <f t="shared" si="41"/>
        <v>54000</v>
      </c>
      <c r="K419" s="475"/>
    </row>
    <row r="420" spans="3:11" ht="24" customHeight="1">
      <c r="C420" s="281">
        <v>3</v>
      </c>
      <c r="D420" s="182" t="s">
        <v>18</v>
      </c>
      <c r="E420" s="182" t="s">
        <v>6</v>
      </c>
      <c r="F420" s="315">
        <v>0.04</v>
      </c>
      <c r="G420" s="283">
        <f>VLOOKUP(D420,upahbahan,3,FALSE)</f>
        <v>150000</v>
      </c>
      <c r="H420" s="284">
        <f t="shared" si="41"/>
        <v>6000</v>
      </c>
      <c r="K420" s="475"/>
    </row>
    <row r="421" spans="3:11" ht="24" customHeight="1">
      <c r="C421" s="281">
        <v>4</v>
      </c>
      <c r="D421" s="182" t="s">
        <v>19</v>
      </c>
      <c r="E421" s="182" t="s">
        <v>6</v>
      </c>
      <c r="F421" s="315">
        <v>1.3299999999999999E-2</v>
      </c>
      <c r="G421" s="283">
        <f>VLOOKUP(D421,upahbahan,3,FALSE)</f>
        <v>160000</v>
      </c>
      <c r="H421" s="284">
        <f t="shared" si="41"/>
        <v>2128</v>
      </c>
      <c r="K421" s="475"/>
    </row>
    <row r="422" spans="3:11" ht="24" customHeight="1">
      <c r="C422" s="66" t="s">
        <v>1208</v>
      </c>
      <c r="D422" s="67"/>
      <c r="E422" s="67"/>
      <c r="F422" s="142"/>
      <c r="G422" s="153"/>
      <c r="H422" s="284">
        <f>SUM(H418:H421)</f>
        <v>63128</v>
      </c>
      <c r="I422" s="319"/>
      <c r="K422" s="475"/>
    </row>
    <row r="423" spans="3:11" ht="24" customHeight="1">
      <c r="C423" s="290" t="s">
        <v>1209</v>
      </c>
      <c r="D423" s="182" t="s">
        <v>1210</v>
      </c>
      <c r="E423" s="70"/>
      <c r="F423" s="70"/>
      <c r="G423" s="70"/>
      <c r="H423" s="71"/>
      <c r="K423" s="475"/>
    </row>
    <row r="424" spans="3:11" ht="24" customHeight="1">
      <c r="C424" s="290">
        <v>1</v>
      </c>
      <c r="D424" s="182" t="s">
        <v>3214</v>
      </c>
      <c r="E424" s="70" t="s">
        <v>3182</v>
      </c>
      <c r="F424" s="581">
        <v>1</v>
      </c>
      <c r="G424" s="283">
        <f>VLOOKUP(D424,upahbahan,3,FALSE)</f>
        <v>666000</v>
      </c>
      <c r="H424" s="284">
        <f t="shared" ref="H424:H425" si="42">F424*G424</f>
        <v>666000</v>
      </c>
      <c r="K424" s="475"/>
    </row>
    <row r="425" spans="3:11" ht="24" customHeight="1">
      <c r="C425" s="281">
        <v>2</v>
      </c>
      <c r="D425" s="182" t="s">
        <v>1050</v>
      </c>
      <c r="E425" s="285" t="s">
        <v>44</v>
      </c>
      <c r="F425" s="282">
        <v>2.5000000000000001E-2</v>
      </c>
      <c r="G425" s="283">
        <f>VLOOKUP(D425,upahbahan,3,FALSE)</f>
        <v>9000</v>
      </c>
      <c r="H425" s="284">
        <f t="shared" si="42"/>
        <v>225</v>
      </c>
      <c r="K425" s="475"/>
    </row>
    <row r="426" spans="3:11" ht="24" customHeight="1">
      <c r="C426" s="66" t="s">
        <v>1214</v>
      </c>
      <c r="D426" s="67"/>
      <c r="E426" s="67"/>
      <c r="F426" s="67"/>
      <c r="G426" s="69"/>
      <c r="H426" s="284">
        <f>SUM(H425:H425)</f>
        <v>225</v>
      </c>
      <c r="K426" s="475"/>
    </row>
    <row r="427" spans="3:11" ht="24" customHeight="1">
      <c r="C427" s="321" t="s">
        <v>1215</v>
      </c>
      <c r="D427" s="182" t="s">
        <v>1216</v>
      </c>
      <c r="E427" s="70"/>
      <c r="F427" s="70"/>
      <c r="G427" s="70"/>
      <c r="H427" s="71"/>
      <c r="K427" s="475"/>
    </row>
    <row r="428" spans="3:11" ht="24" customHeight="1">
      <c r="C428" s="66" t="s">
        <v>1217</v>
      </c>
      <c r="D428" s="67"/>
      <c r="E428" s="67"/>
      <c r="F428" s="67"/>
      <c r="G428" s="69"/>
      <c r="H428" s="292">
        <v>0</v>
      </c>
      <c r="K428" s="475"/>
    </row>
    <row r="429" spans="3:11" ht="24" customHeight="1">
      <c r="C429" s="293" t="s">
        <v>1218</v>
      </c>
      <c r="D429" s="294" t="s">
        <v>1219</v>
      </c>
      <c r="E429" s="295"/>
      <c r="F429" s="295"/>
      <c r="G429" s="296"/>
      <c r="H429" s="284">
        <f>H428+H426+H422</f>
        <v>63353</v>
      </c>
      <c r="K429" s="475"/>
    </row>
    <row r="430" spans="3:11" ht="24" customHeight="1">
      <c r="C430" s="293" t="s">
        <v>1220</v>
      </c>
      <c r="D430" s="294" t="s">
        <v>1321</v>
      </c>
      <c r="E430" s="295"/>
      <c r="F430" s="296"/>
      <c r="G430" s="298">
        <f>$M$67</f>
        <v>0.1</v>
      </c>
      <c r="H430" s="284">
        <f>H429*G430</f>
        <v>6335.3</v>
      </c>
      <c r="K430" s="475"/>
    </row>
    <row r="431" spans="3:11" ht="24" customHeight="1" thickBot="1">
      <c r="C431" s="299" t="s">
        <v>1221</v>
      </c>
      <c r="D431" s="300" t="s">
        <v>1222</v>
      </c>
      <c r="E431" s="301"/>
      <c r="F431" s="301"/>
      <c r="G431" s="302"/>
      <c r="H431" s="303">
        <f>SUM(H429:H430)</f>
        <v>69688.3</v>
      </c>
      <c r="K431" s="475"/>
    </row>
    <row r="432" spans="3:11" ht="14.4" thickTop="1"/>
  </sheetData>
  <dataValidations count="1">
    <dataValidation type="list" allowBlank="1" showInputMessage="1" showErrorMessage="1" sqref="D67:D70 D103:D106 D85:D88" xr:uid="{00000000-0002-0000-1A00-000000000000}">
      <formula1>TENAGA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2:T7746"/>
  <sheetViews>
    <sheetView zoomScale="68" zoomScaleNormal="68" workbookViewId="0">
      <selection activeCell="D1168" sqref="D1168"/>
    </sheetView>
  </sheetViews>
  <sheetFormatPr defaultRowHeight="13.2"/>
  <cols>
    <col min="1" max="1" width="2.33203125" style="188" customWidth="1"/>
    <col min="2" max="2" width="3.33203125" style="188" customWidth="1"/>
    <col min="3" max="3" width="15.6640625" style="188" customWidth="1"/>
    <col min="4" max="4" width="37.109375" style="188" customWidth="1"/>
    <col min="5" max="5" width="9.88671875" style="698" customWidth="1"/>
    <col min="6" max="6" width="16" style="188" customWidth="1"/>
    <col min="7" max="7" width="39.88671875" style="188" customWidth="1"/>
    <col min="8" max="8" width="23.109375" style="593" customWidth="1"/>
    <col min="9" max="9" width="11.77734375" style="188" customWidth="1"/>
    <col min="10" max="10" width="7" style="188" customWidth="1"/>
    <col min="11" max="11" width="22.33203125" style="188" customWidth="1"/>
    <col min="12" max="12" width="27" style="188" customWidth="1"/>
    <col min="13" max="16" width="18.44140625" style="188" customWidth="1"/>
    <col min="17" max="17" width="27.109375" style="188" customWidth="1"/>
    <col min="18" max="18" width="15.33203125" style="188" customWidth="1"/>
    <col min="19" max="20" width="9.109375" style="188"/>
    <col min="21" max="16384" width="8.88671875" style="188"/>
  </cols>
  <sheetData>
    <row r="2" spans="3:20" ht="14.4">
      <c r="C2" s="511">
        <v>4</v>
      </c>
      <c r="D2" s="513" t="s">
        <v>5281</v>
      </c>
      <c r="E2" s="592"/>
      <c r="F2" s="187"/>
      <c r="G2" s="187"/>
    </row>
    <row r="3" spans="3:20" s="517" customFormat="1" ht="15.75" customHeight="1">
      <c r="C3" s="512" t="s">
        <v>5282</v>
      </c>
      <c r="D3" s="513" t="s">
        <v>5283</v>
      </c>
      <c r="E3" s="594"/>
      <c r="F3" s="513"/>
      <c r="G3" s="513"/>
      <c r="H3" s="595"/>
      <c r="I3" s="514"/>
      <c r="J3" s="514"/>
      <c r="K3" s="514"/>
      <c r="L3" s="514"/>
      <c r="M3" s="514"/>
      <c r="N3" s="514"/>
      <c r="O3" s="514"/>
      <c r="P3" s="514"/>
      <c r="Q3" s="514"/>
      <c r="R3" s="189"/>
      <c r="S3" s="515"/>
      <c r="T3" s="516"/>
    </row>
    <row r="4" spans="3:20" s="517" customFormat="1" ht="25.5" customHeight="1">
      <c r="C4" s="512" t="s">
        <v>5284</v>
      </c>
      <c r="D4" s="513" t="s">
        <v>6591</v>
      </c>
      <c r="E4" s="594"/>
      <c r="F4" s="513"/>
      <c r="G4" s="513"/>
      <c r="H4" s="595"/>
      <c r="I4" s="514"/>
      <c r="J4" s="514"/>
      <c r="K4" s="514"/>
      <c r="L4" s="514"/>
      <c r="M4" s="514"/>
      <c r="N4" s="514"/>
      <c r="O4" s="514"/>
      <c r="P4" s="514"/>
      <c r="Q4" s="514"/>
      <c r="R4" s="189"/>
      <c r="S4" s="515"/>
      <c r="T4" s="516"/>
    </row>
    <row r="5" spans="3:20" s="517" customFormat="1" ht="15.75" customHeight="1">
      <c r="C5" s="512" t="s">
        <v>5285</v>
      </c>
      <c r="D5" s="513" t="s">
        <v>6592</v>
      </c>
      <c r="E5" s="594"/>
      <c r="F5" s="513"/>
      <c r="G5" s="513"/>
      <c r="H5" s="595"/>
      <c r="I5" s="514"/>
      <c r="J5" s="514"/>
      <c r="K5" s="514"/>
      <c r="L5" s="514"/>
      <c r="M5" s="514"/>
      <c r="N5" s="514"/>
      <c r="O5" s="514"/>
      <c r="P5" s="514"/>
      <c r="Q5" s="514"/>
      <c r="R5" s="189" t="s">
        <v>5296</v>
      </c>
      <c r="S5" s="515" t="s">
        <v>6451</v>
      </c>
      <c r="T5" s="516" t="s">
        <v>6590</v>
      </c>
    </row>
    <row r="6" spans="3:20" s="517" customFormat="1" ht="15.75" customHeight="1">
      <c r="C6" s="512"/>
      <c r="D6" s="513"/>
      <c r="E6" s="594"/>
      <c r="F6" s="513"/>
      <c r="G6" s="513"/>
      <c r="H6" s="595"/>
      <c r="I6" s="514"/>
      <c r="J6" s="514"/>
      <c r="K6" s="514"/>
      <c r="L6" s="514"/>
      <c r="M6" s="514"/>
      <c r="N6" s="514"/>
      <c r="O6" s="514"/>
      <c r="P6" s="514"/>
      <c r="Q6" s="514"/>
      <c r="R6" s="189"/>
      <c r="S6" s="515"/>
      <c r="T6" s="516"/>
    </row>
    <row r="7" spans="3:20" s="517" customFormat="1" ht="15.75" customHeight="1">
      <c r="C7" s="512" t="s">
        <v>6593</v>
      </c>
      <c r="D7" s="513" t="s">
        <v>6594</v>
      </c>
      <c r="E7" s="594"/>
      <c r="F7" s="513"/>
      <c r="G7" s="513"/>
      <c r="H7" s="595"/>
      <c r="I7" s="514"/>
      <c r="J7" s="514"/>
      <c r="K7" s="514"/>
      <c r="L7" s="514"/>
      <c r="M7" s="514"/>
      <c r="N7" s="514"/>
      <c r="O7" s="514"/>
      <c r="P7" s="514"/>
      <c r="Q7" s="514"/>
      <c r="R7" s="189"/>
      <c r="S7" s="515"/>
      <c r="T7" s="516"/>
    </row>
    <row r="8" spans="3:20" s="517" customFormat="1" ht="15.75" customHeight="1" thickBot="1">
      <c r="C8" s="571" t="s">
        <v>7698</v>
      </c>
      <c r="D8" s="513"/>
      <c r="E8" s="594"/>
      <c r="F8" s="513"/>
      <c r="G8" s="513"/>
      <c r="H8" s="595"/>
      <c r="I8" s="514"/>
      <c r="J8" s="514"/>
      <c r="K8" s="514"/>
      <c r="L8" s="514"/>
      <c r="M8" s="514"/>
      <c r="N8" s="514"/>
      <c r="O8" s="1883" t="s">
        <v>6669</v>
      </c>
      <c r="P8" s="1883"/>
      <c r="Q8" s="1883"/>
      <c r="R8" s="189"/>
      <c r="S8" s="515"/>
      <c r="T8" s="516"/>
    </row>
    <row r="9" spans="3:20" s="517" customFormat="1" ht="24.75" customHeight="1" thickTop="1">
      <c r="C9" s="190" t="s">
        <v>1195</v>
      </c>
      <c r="D9" s="596" t="s">
        <v>1196</v>
      </c>
      <c r="E9" s="597"/>
      <c r="F9" s="598"/>
      <c r="G9" s="599"/>
      <c r="H9" s="600" t="s">
        <v>1906</v>
      </c>
      <c r="I9" s="596" t="s">
        <v>6595</v>
      </c>
      <c r="J9" s="1923" t="s">
        <v>6596</v>
      </c>
      <c r="K9" s="1923"/>
      <c r="L9" s="1923"/>
      <c r="M9" s="1923"/>
      <c r="N9" s="1923"/>
      <c r="O9" s="1923"/>
      <c r="P9" s="1924"/>
      <c r="Q9" s="192" t="s">
        <v>5287</v>
      </c>
      <c r="R9" s="200"/>
      <c r="S9" s="515"/>
    </row>
    <row r="10" spans="3:20" s="517" customFormat="1" ht="23.4" customHeight="1">
      <c r="C10" s="601" t="s">
        <v>1201</v>
      </c>
      <c r="D10" s="602" t="s">
        <v>6629</v>
      </c>
      <c r="E10" s="603"/>
      <c r="F10" s="604"/>
      <c r="G10" s="604"/>
      <c r="H10" s="604"/>
      <c r="I10" s="604"/>
      <c r="J10" s="604"/>
      <c r="K10" s="1927" t="s">
        <v>6597</v>
      </c>
      <c r="L10" s="1925" t="s">
        <v>6656</v>
      </c>
      <c r="M10" s="1925" t="s">
        <v>6658</v>
      </c>
      <c r="N10" s="1925" t="s">
        <v>6660</v>
      </c>
      <c r="O10" s="1925" t="s">
        <v>6662</v>
      </c>
      <c r="P10" s="1925" t="s">
        <v>6664</v>
      </c>
      <c r="Q10" s="605"/>
      <c r="R10" s="200"/>
      <c r="S10" s="515"/>
    </row>
    <row r="11" spans="3:20" s="517" customFormat="1" ht="23.4" customHeight="1">
      <c r="C11" s="518">
        <v>1</v>
      </c>
      <c r="D11" s="606" t="s">
        <v>6599</v>
      </c>
      <c r="E11" s="607"/>
      <c r="F11" s="608"/>
      <c r="G11" s="608"/>
      <c r="H11" s="609"/>
      <c r="I11" s="1927"/>
      <c r="J11" s="1929"/>
      <c r="K11" s="1928"/>
      <c r="L11" s="1926"/>
      <c r="M11" s="1926"/>
      <c r="N11" s="1926"/>
      <c r="O11" s="1926"/>
      <c r="P11" s="1926"/>
      <c r="Q11" s="605"/>
      <c r="R11" s="200"/>
      <c r="S11" s="515"/>
    </row>
    <row r="12" spans="3:20" s="517" customFormat="1" ht="23.4" customHeight="1">
      <c r="C12" s="518">
        <v>2</v>
      </c>
      <c r="D12" s="606" t="s">
        <v>6600</v>
      </c>
      <c r="E12" s="607"/>
      <c r="F12" s="608"/>
      <c r="G12" s="608"/>
      <c r="H12" s="609"/>
      <c r="I12" s="1928"/>
      <c r="J12" s="1930"/>
      <c r="K12" s="791" t="s">
        <v>6598</v>
      </c>
      <c r="L12" s="792" t="s">
        <v>6657</v>
      </c>
      <c r="M12" s="792" t="s">
        <v>6659</v>
      </c>
      <c r="N12" s="792" t="s">
        <v>6661</v>
      </c>
      <c r="O12" s="792" t="s">
        <v>6663</v>
      </c>
      <c r="P12" s="792" t="s">
        <v>6665</v>
      </c>
      <c r="Q12" s="605"/>
      <c r="R12" s="200"/>
      <c r="S12" s="515"/>
    </row>
    <row r="13" spans="3:20" s="517" customFormat="1" ht="23.4" customHeight="1">
      <c r="C13" s="519">
        <v>3</v>
      </c>
      <c r="D13" s="610" t="s">
        <v>6601</v>
      </c>
      <c r="E13" s="607"/>
      <c r="F13" s="611"/>
      <c r="G13" s="611"/>
      <c r="H13" s="213" t="s">
        <v>6606</v>
      </c>
      <c r="I13" s="612" t="s">
        <v>6609</v>
      </c>
      <c r="J13" s="613"/>
      <c r="K13" s="614">
        <v>80</v>
      </c>
      <c r="L13" s="205">
        <v>100</v>
      </c>
      <c r="M13" s="205">
        <v>130</v>
      </c>
      <c r="N13" s="205">
        <v>130</v>
      </c>
      <c r="O13" s="205">
        <v>115</v>
      </c>
      <c r="P13" s="205">
        <v>100</v>
      </c>
      <c r="Q13" s="615"/>
      <c r="R13" s="200"/>
      <c r="S13" s="515"/>
    </row>
    <row r="14" spans="3:20" s="517" customFormat="1" ht="23.4" customHeight="1">
      <c r="C14" s="519">
        <v>2</v>
      </c>
      <c r="D14" s="610" t="s">
        <v>6602</v>
      </c>
      <c r="E14" s="607"/>
      <c r="F14" s="611"/>
      <c r="G14" s="616"/>
      <c r="H14" s="213" t="s">
        <v>6607</v>
      </c>
      <c r="I14" s="612" t="s">
        <v>6610</v>
      </c>
      <c r="J14" s="613"/>
      <c r="K14" s="617">
        <v>2.5</v>
      </c>
      <c r="L14" s="205">
        <v>4</v>
      </c>
      <c r="M14" s="618">
        <v>7</v>
      </c>
      <c r="N14" s="618">
        <v>10</v>
      </c>
      <c r="O14" s="618">
        <v>3</v>
      </c>
      <c r="P14" s="618">
        <v>0</v>
      </c>
      <c r="Q14" s="210"/>
      <c r="R14" s="200"/>
      <c r="S14" s="515"/>
    </row>
    <row r="15" spans="3:20" s="517" customFormat="1" ht="23.4" customHeight="1">
      <c r="C15" s="519">
        <v>3</v>
      </c>
      <c r="D15" s="610" t="s">
        <v>6603</v>
      </c>
      <c r="E15" s="607"/>
      <c r="F15" s="611"/>
      <c r="G15" s="616"/>
      <c r="H15" s="213" t="s">
        <v>1201</v>
      </c>
      <c r="I15" s="619" t="s">
        <v>6611</v>
      </c>
      <c r="J15" s="620"/>
      <c r="K15" s="617">
        <v>5</v>
      </c>
      <c r="L15" s="205">
        <v>5</v>
      </c>
      <c r="M15" s="618">
        <v>5</v>
      </c>
      <c r="N15" s="618">
        <v>5</v>
      </c>
      <c r="O15" s="618">
        <v>5</v>
      </c>
      <c r="P15" s="618">
        <v>5</v>
      </c>
      <c r="Q15" s="210"/>
      <c r="R15" s="200"/>
      <c r="S15" s="515"/>
    </row>
    <row r="16" spans="3:20" s="517" customFormat="1" ht="23.4" customHeight="1">
      <c r="C16" s="519">
        <v>4</v>
      </c>
      <c r="D16" s="610" t="s">
        <v>6604</v>
      </c>
      <c r="E16" s="607"/>
      <c r="F16" s="611"/>
      <c r="G16" s="616"/>
      <c r="H16" s="213" t="s">
        <v>6608</v>
      </c>
      <c r="I16" s="619" t="s">
        <v>2139</v>
      </c>
      <c r="J16" s="620"/>
      <c r="K16" s="621">
        <v>2000</v>
      </c>
      <c r="L16" s="622">
        <v>2000</v>
      </c>
      <c r="M16" s="623">
        <v>2000</v>
      </c>
      <c r="N16" s="623">
        <v>2000</v>
      </c>
      <c r="O16" s="623">
        <v>2000</v>
      </c>
      <c r="P16" s="623">
        <v>2000</v>
      </c>
      <c r="Q16" s="210"/>
      <c r="R16" s="200"/>
      <c r="S16" s="515"/>
    </row>
    <row r="17" spans="3:19" s="517" customFormat="1" ht="23.4" customHeight="1">
      <c r="C17" s="624">
        <v>5</v>
      </c>
      <c r="D17" s="610" t="s">
        <v>6605</v>
      </c>
      <c r="E17" s="607"/>
      <c r="F17" s="611"/>
      <c r="G17" s="616"/>
      <c r="H17" s="213" t="s">
        <v>1209</v>
      </c>
      <c r="I17" s="619" t="s">
        <v>6612</v>
      </c>
      <c r="J17" s="620"/>
      <c r="K17" s="621">
        <v>415000000</v>
      </c>
      <c r="L17" s="622">
        <v>490000000</v>
      </c>
      <c r="M17" s="623">
        <v>640000000</v>
      </c>
      <c r="N17" s="623">
        <v>790000000</v>
      </c>
      <c r="O17" s="623">
        <v>1000000000</v>
      </c>
      <c r="P17" s="623">
        <v>235000000</v>
      </c>
      <c r="Q17" s="210"/>
      <c r="R17" s="200"/>
      <c r="S17" s="515"/>
    </row>
    <row r="18" spans="3:19" s="517" customFormat="1" ht="23.4" customHeight="1">
      <c r="C18" s="601" t="s">
        <v>1209</v>
      </c>
      <c r="D18" s="602" t="s">
        <v>6628</v>
      </c>
      <c r="E18" s="603"/>
      <c r="F18" s="604"/>
      <c r="G18" s="604"/>
      <c r="H18" s="609"/>
      <c r="I18" s="602"/>
      <c r="J18" s="625"/>
      <c r="K18" s="609"/>
      <c r="L18" s="609"/>
      <c r="M18" s="602"/>
      <c r="N18" s="602"/>
      <c r="O18" s="602"/>
      <c r="P18" s="602"/>
      <c r="Q18" s="626"/>
      <c r="R18" s="200"/>
      <c r="S18" s="515"/>
    </row>
    <row r="19" spans="3:19" s="517" customFormat="1" ht="23.4" customHeight="1">
      <c r="C19" s="524" t="s">
        <v>1203</v>
      </c>
      <c r="D19" s="627" t="s">
        <v>6613</v>
      </c>
      <c r="E19" s="607"/>
      <c r="F19" s="611"/>
      <c r="G19" s="616"/>
      <c r="H19" s="234" t="s">
        <v>1215</v>
      </c>
      <c r="I19" s="628" t="s">
        <v>6612</v>
      </c>
      <c r="J19" s="629"/>
      <c r="K19" s="630">
        <f>K17*10%</f>
        <v>41500000</v>
      </c>
      <c r="L19" s="630">
        <f t="shared" ref="L19:P19" si="0">L17*10%</f>
        <v>49000000</v>
      </c>
      <c r="M19" s="630">
        <f t="shared" si="0"/>
        <v>64000000</v>
      </c>
      <c r="N19" s="630">
        <f t="shared" si="0"/>
        <v>79000000</v>
      </c>
      <c r="O19" s="630">
        <f t="shared" si="0"/>
        <v>100000000</v>
      </c>
      <c r="P19" s="630">
        <f t="shared" si="0"/>
        <v>23500000</v>
      </c>
      <c r="Q19" s="210" t="s">
        <v>6666</v>
      </c>
      <c r="R19" s="200"/>
      <c r="S19" s="515"/>
    </row>
    <row r="20" spans="3:19" s="517" customFormat="1" ht="23.4" customHeight="1">
      <c r="C20" s="1901">
        <v>2</v>
      </c>
      <c r="D20" s="1903" t="s">
        <v>6614</v>
      </c>
      <c r="E20" s="1918" t="s">
        <v>6616</v>
      </c>
      <c r="F20" s="631" t="s">
        <v>8783</v>
      </c>
      <c r="G20" s="632"/>
      <c r="H20" s="1908" t="s">
        <v>1218</v>
      </c>
      <c r="I20" s="1910" t="s">
        <v>5296</v>
      </c>
      <c r="J20" s="1911"/>
      <c r="K20" s="1920">
        <v>0.26379999999999998</v>
      </c>
      <c r="L20" s="1920">
        <v>0.26379999999999998</v>
      </c>
      <c r="M20" s="1920">
        <v>0.26379999999999998</v>
      </c>
      <c r="N20" s="1920">
        <v>0.26379999999999998</v>
      </c>
      <c r="O20" s="1920">
        <v>0.26379999999999998</v>
      </c>
      <c r="P20" s="1920">
        <v>0.26379999999999998</v>
      </c>
      <c r="Q20" s="210"/>
      <c r="R20" s="200"/>
      <c r="S20" s="515"/>
    </row>
    <row r="21" spans="3:19" s="517" customFormat="1" ht="23.4" customHeight="1">
      <c r="C21" s="1902"/>
      <c r="D21" s="1904"/>
      <c r="E21" s="1919"/>
      <c r="F21" s="611" t="s">
        <v>6615</v>
      </c>
      <c r="G21" s="633"/>
      <c r="H21" s="1909"/>
      <c r="I21" s="1912"/>
      <c r="J21" s="1913"/>
      <c r="K21" s="1921"/>
      <c r="L21" s="1921"/>
      <c r="M21" s="1921"/>
      <c r="N21" s="1921"/>
      <c r="O21" s="1921"/>
      <c r="P21" s="1921"/>
      <c r="Q21" s="210"/>
      <c r="R21" s="200"/>
      <c r="S21" s="515"/>
    </row>
    <row r="22" spans="3:19" s="517" customFormat="1" ht="23.4" customHeight="1">
      <c r="C22" s="1905">
        <v>3</v>
      </c>
      <c r="D22" s="627" t="s">
        <v>6617</v>
      </c>
      <c r="E22" s="634"/>
      <c r="F22" s="635"/>
      <c r="G22" s="636"/>
      <c r="H22" s="234"/>
      <c r="I22" s="628"/>
      <c r="J22" s="629"/>
      <c r="K22" s="525"/>
      <c r="L22" s="205"/>
      <c r="M22" s="618"/>
      <c r="N22" s="618"/>
      <c r="O22" s="618"/>
      <c r="P22" s="618"/>
      <c r="Q22" s="210"/>
      <c r="R22" s="200"/>
      <c r="S22" s="515"/>
    </row>
    <row r="23" spans="3:19" s="517" customFormat="1" ht="23.4" customHeight="1">
      <c r="C23" s="1906"/>
      <c r="D23" s="637" t="s">
        <v>6618</v>
      </c>
      <c r="E23" s="638" t="s">
        <v>6619</v>
      </c>
      <c r="F23" s="631" t="s">
        <v>6620</v>
      </c>
      <c r="G23" s="632"/>
      <c r="H23" s="1908" t="s">
        <v>1220</v>
      </c>
      <c r="I23" s="1910" t="s">
        <v>6624</v>
      </c>
      <c r="J23" s="1911"/>
      <c r="K23" s="1914">
        <f>((K17-K19)*K20)/K16</f>
        <v>49264.649999999994</v>
      </c>
      <c r="L23" s="1914">
        <f t="shared" ref="L23:M23" si="1">((L17-L19)*L20)/L16</f>
        <v>58167.899999999994</v>
      </c>
      <c r="M23" s="1914">
        <f t="shared" si="1"/>
        <v>75974.399999999994</v>
      </c>
      <c r="N23" s="1914">
        <f t="shared" ref="N23:P23" si="2">((N17-N19)*N20)/N16</f>
        <v>93780.89999999998</v>
      </c>
      <c r="O23" s="1914">
        <f t="shared" si="2"/>
        <v>118709.99999999999</v>
      </c>
      <c r="P23" s="1914">
        <f t="shared" si="2"/>
        <v>27896.849999999995</v>
      </c>
      <c r="Q23" s="210"/>
      <c r="R23" s="200"/>
      <c r="S23" s="515"/>
    </row>
    <row r="24" spans="3:19" s="517" customFormat="1" ht="23.4" customHeight="1">
      <c r="C24" s="1906"/>
      <c r="D24" s="639"/>
      <c r="E24" s="640"/>
      <c r="F24" s="611" t="s">
        <v>6621</v>
      </c>
      <c r="G24" s="633"/>
      <c r="H24" s="1909"/>
      <c r="I24" s="1912"/>
      <c r="J24" s="1913"/>
      <c r="K24" s="1915"/>
      <c r="L24" s="1915"/>
      <c r="M24" s="1915"/>
      <c r="N24" s="1915"/>
      <c r="O24" s="1915"/>
      <c r="P24" s="1915"/>
      <c r="Q24" s="210"/>
      <c r="R24" s="200"/>
      <c r="S24" s="515"/>
    </row>
    <row r="25" spans="3:19" s="517" customFormat="1" ht="23.4" customHeight="1">
      <c r="C25" s="1907"/>
      <c r="D25" s="610" t="s">
        <v>6622</v>
      </c>
      <c r="E25" s="607" t="s">
        <v>6619</v>
      </c>
      <c r="F25" s="642" t="s">
        <v>6623</v>
      </c>
      <c r="G25" s="616"/>
      <c r="H25" s="234" t="s">
        <v>1221</v>
      </c>
      <c r="I25" s="628" t="s">
        <v>6624</v>
      </c>
      <c r="J25" s="629"/>
      <c r="K25" s="618">
        <f t="shared" ref="K25:M25" si="3">0.2%*K17/K16</f>
        <v>415</v>
      </c>
      <c r="L25" s="618">
        <f t="shared" si="3"/>
        <v>490</v>
      </c>
      <c r="M25" s="618">
        <f t="shared" si="3"/>
        <v>640</v>
      </c>
      <c r="N25" s="618">
        <f>0.2%*N17/N16</f>
        <v>790</v>
      </c>
      <c r="O25" s="618">
        <f t="shared" ref="O25:P25" si="4">0.2%*O17/O16</f>
        <v>1000</v>
      </c>
      <c r="P25" s="618">
        <f t="shared" si="4"/>
        <v>235</v>
      </c>
      <c r="Q25" s="643" t="s">
        <v>6667</v>
      </c>
      <c r="R25" s="200"/>
      <c r="S25" s="515"/>
    </row>
    <row r="26" spans="3:19" s="517" customFormat="1" ht="23.4" customHeight="1">
      <c r="C26" s="641"/>
      <c r="D26" s="1916" t="s">
        <v>6625</v>
      </c>
      <c r="E26" s="1917"/>
      <c r="F26" s="1917"/>
      <c r="G26" s="611"/>
      <c r="H26" s="646" t="s">
        <v>6626</v>
      </c>
      <c r="I26" s="647" t="s">
        <v>6624</v>
      </c>
      <c r="J26" s="648"/>
      <c r="K26" s="649">
        <f>K23+K25</f>
        <v>49679.649999999994</v>
      </c>
      <c r="L26" s="649">
        <f t="shared" ref="L26:N26" si="5">L23+L25</f>
        <v>58657.899999999994</v>
      </c>
      <c r="M26" s="649">
        <f t="shared" si="5"/>
        <v>76614.399999999994</v>
      </c>
      <c r="N26" s="649">
        <f t="shared" si="5"/>
        <v>94570.89999999998</v>
      </c>
      <c r="O26" s="649">
        <f t="shared" ref="O26" si="6">O23+O25</f>
        <v>119709.99999999999</v>
      </c>
      <c r="P26" s="649">
        <f t="shared" ref="P26" si="7">P23+P25</f>
        <v>28131.849999999995</v>
      </c>
      <c r="Q26" s="650"/>
      <c r="R26" s="200"/>
      <c r="S26" s="515"/>
    </row>
    <row r="27" spans="3:19" s="517" customFormat="1" ht="23.4" customHeight="1">
      <c r="C27" s="601" t="s">
        <v>1215</v>
      </c>
      <c r="D27" s="651" t="s">
        <v>6627</v>
      </c>
      <c r="E27" s="652"/>
      <c r="F27" s="653"/>
      <c r="G27" s="653"/>
      <c r="H27" s="609"/>
      <c r="I27" s="602"/>
      <c r="J27" s="625"/>
      <c r="K27" s="609"/>
      <c r="L27" s="609"/>
      <c r="M27" s="604"/>
      <c r="N27" s="604"/>
      <c r="O27" s="604"/>
      <c r="P27" s="604"/>
      <c r="Q27" s="605" t="s">
        <v>6668</v>
      </c>
      <c r="R27" s="200"/>
      <c r="S27" s="515"/>
    </row>
    <row r="28" spans="3:19" s="517" customFormat="1" ht="23.4" customHeight="1">
      <c r="C28" s="654">
        <v>1</v>
      </c>
      <c r="D28" s="610" t="s">
        <v>6630</v>
      </c>
      <c r="E28" s="607" t="s">
        <v>6619</v>
      </c>
      <c r="F28" s="655" t="s">
        <v>6636</v>
      </c>
      <c r="G28" s="616"/>
      <c r="H28" s="656" t="s">
        <v>6637</v>
      </c>
      <c r="I28" s="644" t="s">
        <v>6624</v>
      </c>
      <c r="J28" s="657"/>
      <c r="K28" s="658">
        <f>12%*K13*K37</f>
        <v>124320</v>
      </c>
      <c r="L28" s="658">
        <f>12%*L13*L37</f>
        <v>155400</v>
      </c>
      <c r="M28" s="658">
        <f t="shared" ref="M28:O28" si="8">12%*M13*M37</f>
        <v>202020</v>
      </c>
      <c r="N28" s="658">
        <f t="shared" si="8"/>
        <v>202020</v>
      </c>
      <c r="O28" s="658">
        <f t="shared" si="8"/>
        <v>178710</v>
      </c>
      <c r="P28" s="658">
        <f>12%*P13*P37</f>
        <v>155400</v>
      </c>
      <c r="Q28" s="659">
        <v>0.12</v>
      </c>
      <c r="R28" s="200"/>
      <c r="S28" s="515"/>
    </row>
    <row r="29" spans="3:19" s="517" customFormat="1" ht="23.4" customHeight="1">
      <c r="C29" s="660">
        <v>2</v>
      </c>
      <c r="D29" s="610" t="s">
        <v>6631</v>
      </c>
      <c r="E29" s="607" t="s">
        <v>6619</v>
      </c>
      <c r="F29" s="655" t="s">
        <v>6640</v>
      </c>
      <c r="G29" s="616"/>
      <c r="H29" s="213" t="s">
        <v>1766</v>
      </c>
      <c r="I29" s="644" t="s">
        <v>6624</v>
      </c>
      <c r="J29" s="616"/>
      <c r="K29" s="661">
        <f>0.35%*K13*K39</f>
        <v>11199.999999999998</v>
      </c>
      <c r="L29" s="661">
        <f>0.35%*L13*L39</f>
        <v>14000</v>
      </c>
      <c r="M29" s="661">
        <f>0.35%*M13*$K$39</f>
        <v>18200</v>
      </c>
      <c r="N29" s="661">
        <f t="shared" ref="N29:P29" si="9">0.35%*N13*$K$39</f>
        <v>18200</v>
      </c>
      <c r="O29" s="661">
        <f t="shared" si="9"/>
        <v>16099.999999999998</v>
      </c>
      <c r="P29" s="661">
        <f t="shared" si="9"/>
        <v>14000</v>
      </c>
      <c r="Q29" s="662">
        <v>3.5000000000000001E-3</v>
      </c>
      <c r="R29" s="200"/>
      <c r="S29" s="515"/>
    </row>
    <row r="30" spans="3:19" s="517" customFormat="1" ht="23.4" customHeight="1">
      <c r="C30" s="654">
        <v>3</v>
      </c>
      <c r="D30" s="610" t="s">
        <v>6632</v>
      </c>
      <c r="E30" s="607" t="s">
        <v>6619</v>
      </c>
      <c r="F30" s="655" t="s">
        <v>6641</v>
      </c>
      <c r="G30" s="616"/>
      <c r="H30" s="213" t="s">
        <v>6638</v>
      </c>
      <c r="I30" s="644" t="s">
        <v>6624</v>
      </c>
      <c r="J30" s="616"/>
      <c r="K30" s="663">
        <f>2.8%*K17/K16</f>
        <v>5809.9999999999991</v>
      </c>
      <c r="L30" s="663">
        <f t="shared" ref="L30:P30" si="10">2.8%*L17/L16</f>
        <v>6859.9999999999991</v>
      </c>
      <c r="M30" s="663">
        <f t="shared" si="10"/>
        <v>8960</v>
      </c>
      <c r="N30" s="663">
        <f>2.8%*N17/N16</f>
        <v>11059.999999999998</v>
      </c>
      <c r="O30" s="663">
        <f t="shared" si="10"/>
        <v>13999.999999999998</v>
      </c>
      <c r="P30" s="663">
        <f t="shared" si="10"/>
        <v>3289.9999999999995</v>
      </c>
      <c r="Q30" s="662">
        <v>2.8000000000000001E-2</v>
      </c>
      <c r="R30" s="200"/>
      <c r="S30" s="515"/>
    </row>
    <row r="31" spans="3:19" s="517" customFormat="1" ht="23.4" customHeight="1">
      <c r="C31" s="660">
        <v>4</v>
      </c>
      <c r="D31" s="610" t="s">
        <v>6633</v>
      </c>
      <c r="E31" s="607" t="s">
        <v>6619</v>
      </c>
      <c r="F31" s="611" t="s">
        <v>6643</v>
      </c>
      <c r="G31" s="616"/>
      <c r="H31" s="213" t="s">
        <v>6639</v>
      </c>
      <c r="I31" s="644" t="s">
        <v>6624</v>
      </c>
      <c r="J31" s="616"/>
      <c r="K31" s="663">
        <f>9%*K17/K16</f>
        <v>18675</v>
      </c>
      <c r="L31" s="663">
        <f>9%*L17/L16</f>
        <v>22050</v>
      </c>
      <c r="M31" s="663">
        <f>9%*M17/M16</f>
        <v>28800</v>
      </c>
      <c r="N31" s="663">
        <f t="shared" ref="N31:P31" si="11">9%*N17/N16</f>
        <v>35550</v>
      </c>
      <c r="O31" s="663">
        <f t="shared" si="11"/>
        <v>45000</v>
      </c>
      <c r="P31" s="663">
        <f t="shared" si="11"/>
        <v>10575</v>
      </c>
      <c r="Q31" s="664">
        <v>0.09</v>
      </c>
      <c r="R31" s="200"/>
      <c r="S31" s="515"/>
    </row>
    <row r="32" spans="3:19" s="517" customFormat="1" ht="23.4" customHeight="1">
      <c r="C32" s="654">
        <v>5</v>
      </c>
      <c r="D32" s="610" t="s">
        <v>6634</v>
      </c>
      <c r="E32" s="607" t="s">
        <v>6619</v>
      </c>
      <c r="F32" s="655" t="s">
        <v>6642</v>
      </c>
      <c r="G32" s="616"/>
      <c r="H32" s="213" t="s">
        <v>6565</v>
      </c>
      <c r="I32" s="644" t="s">
        <v>6624</v>
      </c>
      <c r="J32" s="616"/>
      <c r="K32" s="665">
        <v>35714.29</v>
      </c>
      <c r="L32" s="666">
        <f>K32</f>
        <v>35714.29</v>
      </c>
      <c r="M32" s="667">
        <f>L32</f>
        <v>35714.29</v>
      </c>
      <c r="N32" s="666">
        <f t="shared" ref="N32:P32" si="12">M32</f>
        <v>35714.29</v>
      </c>
      <c r="O32" s="667">
        <f t="shared" si="12"/>
        <v>35714.29</v>
      </c>
      <c r="P32" s="666">
        <f t="shared" si="12"/>
        <v>35714.29</v>
      </c>
      <c r="Q32" s="668"/>
      <c r="R32" s="200"/>
      <c r="S32" s="515"/>
    </row>
    <row r="33" spans="3:20" s="517" customFormat="1" ht="23.4" customHeight="1">
      <c r="C33" s="660">
        <v>6</v>
      </c>
      <c r="D33" s="610" t="s">
        <v>6635</v>
      </c>
      <c r="E33" s="607" t="s">
        <v>6619</v>
      </c>
      <c r="F33" s="655" t="s">
        <v>6644</v>
      </c>
      <c r="G33" s="616"/>
      <c r="H33" s="213" t="s">
        <v>1767</v>
      </c>
      <c r="I33" s="644" t="s">
        <v>6624</v>
      </c>
      <c r="J33" s="616"/>
      <c r="K33" s="665">
        <v>21428.57</v>
      </c>
      <c r="L33" s="666">
        <f>K33</f>
        <v>21428.57</v>
      </c>
      <c r="M33" s="667">
        <f>L33</f>
        <v>21428.57</v>
      </c>
      <c r="N33" s="666">
        <f t="shared" ref="N33:P33" si="13">M33</f>
        <v>21428.57</v>
      </c>
      <c r="O33" s="667">
        <f t="shared" si="13"/>
        <v>21428.57</v>
      </c>
      <c r="P33" s="666">
        <f t="shared" si="13"/>
        <v>21428.57</v>
      </c>
      <c r="Q33" s="668"/>
      <c r="R33" s="200"/>
      <c r="S33" s="515"/>
    </row>
    <row r="34" spans="3:20" s="517" customFormat="1" ht="23.4" customHeight="1">
      <c r="C34" s="518"/>
      <c r="D34" s="644" t="s">
        <v>6645</v>
      </c>
      <c r="E34" s="607" t="s">
        <v>6619</v>
      </c>
      <c r="F34" s="655"/>
      <c r="G34" s="616"/>
      <c r="H34" s="656" t="s">
        <v>6646</v>
      </c>
      <c r="I34" s="644" t="s">
        <v>6624</v>
      </c>
      <c r="J34" s="616"/>
      <c r="K34" s="669">
        <f>SUM(K28:K33)</f>
        <v>217147.86000000002</v>
      </c>
      <c r="L34" s="669">
        <f>SUM(L28:L33)</f>
        <v>255452.86000000002</v>
      </c>
      <c r="M34" s="669">
        <f>SUM(M28:M33)</f>
        <v>315122.86</v>
      </c>
      <c r="N34" s="669">
        <f t="shared" ref="N34:P34" si="14">SUM(N28:N33)</f>
        <v>323972.86</v>
      </c>
      <c r="O34" s="669">
        <f t="shared" si="14"/>
        <v>310952.86</v>
      </c>
      <c r="P34" s="669">
        <f t="shared" si="14"/>
        <v>240407.86000000002</v>
      </c>
      <c r="Q34" s="668"/>
      <c r="R34" s="200"/>
      <c r="S34" s="515"/>
    </row>
    <row r="35" spans="3:20" s="517" customFormat="1" ht="23.4" customHeight="1">
      <c r="C35" s="601" t="s">
        <v>1218</v>
      </c>
      <c r="D35" s="670" t="s">
        <v>6647</v>
      </c>
      <c r="E35" s="607"/>
      <c r="F35" s="655"/>
      <c r="G35" s="616"/>
      <c r="H35" s="656" t="s">
        <v>6648</v>
      </c>
      <c r="I35" s="644" t="s">
        <v>6624</v>
      </c>
      <c r="J35" s="616"/>
      <c r="K35" s="669">
        <f>K26+K34</f>
        <v>266827.51</v>
      </c>
      <c r="L35" s="669">
        <f>L26+L34</f>
        <v>314110.76</v>
      </c>
      <c r="M35" s="669">
        <f>M26+M34</f>
        <v>391737.26</v>
      </c>
      <c r="N35" s="669">
        <f>N26+N34</f>
        <v>418543.75999999995</v>
      </c>
      <c r="O35" s="669">
        <f t="shared" ref="O35:P35" si="15">O26+O34</f>
        <v>430662.86</v>
      </c>
      <c r="P35" s="669">
        <f t="shared" si="15"/>
        <v>268539.71000000002</v>
      </c>
      <c r="Q35" s="668"/>
      <c r="R35" s="200"/>
      <c r="S35" s="515"/>
    </row>
    <row r="36" spans="3:20" s="517" customFormat="1" ht="23.4" customHeight="1">
      <c r="C36" s="601" t="s">
        <v>1220</v>
      </c>
      <c r="D36" s="644" t="s">
        <v>1888</v>
      </c>
      <c r="E36" s="603" t="s">
        <v>6045</v>
      </c>
      <c r="F36" s="645"/>
      <c r="G36" s="657"/>
      <c r="H36" s="213"/>
      <c r="I36" s="610"/>
      <c r="J36" s="616"/>
      <c r="K36" s="671"/>
      <c r="L36" s="196"/>
      <c r="M36" s="611"/>
      <c r="N36" s="611"/>
      <c r="O36" s="611"/>
      <c r="P36" s="611"/>
      <c r="Q36" s="668"/>
      <c r="R36" s="200"/>
      <c r="S36" s="515"/>
    </row>
    <row r="37" spans="3:20" s="517" customFormat="1" ht="23.4" customHeight="1">
      <c r="C37" s="543"/>
      <c r="D37" s="610" t="s">
        <v>6649</v>
      </c>
      <c r="E37" s="607"/>
      <c r="F37" s="611"/>
      <c r="G37" s="616"/>
      <c r="H37" s="213" t="s">
        <v>6655</v>
      </c>
      <c r="I37" s="610" t="s">
        <v>6653</v>
      </c>
      <c r="J37" s="616"/>
      <c r="K37" s="663">
        <v>12950</v>
      </c>
      <c r="L37" s="672">
        <f t="shared" ref="L37:M39" si="16">K37</f>
        <v>12950</v>
      </c>
      <c r="M37" s="673">
        <f t="shared" si="16"/>
        <v>12950</v>
      </c>
      <c r="N37" s="663">
        <v>12950</v>
      </c>
      <c r="O37" s="663">
        <v>12950</v>
      </c>
      <c r="P37" s="672">
        <f>O37</f>
        <v>12950</v>
      </c>
      <c r="Q37" s="668"/>
      <c r="R37" s="200"/>
      <c r="S37" s="515"/>
    </row>
    <row r="38" spans="3:20" s="517" customFormat="1" ht="23.4" customHeight="1">
      <c r="C38" s="674"/>
      <c r="D38" s="610" t="s">
        <v>6654</v>
      </c>
      <c r="E38" s="607"/>
      <c r="F38" s="611"/>
      <c r="G38" s="616"/>
      <c r="H38" s="213" t="s">
        <v>6651</v>
      </c>
      <c r="I38" s="610" t="s">
        <v>6653</v>
      </c>
      <c r="J38" s="616"/>
      <c r="K38" s="663">
        <v>12950</v>
      </c>
      <c r="L38" s="672">
        <f t="shared" si="16"/>
        <v>12950</v>
      </c>
      <c r="M38" s="673">
        <f t="shared" si="16"/>
        <v>12950</v>
      </c>
      <c r="N38" s="663">
        <v>12950</v>
      </c>
      <c r="O38" s="663">
        <v>12950</v>
      </c>
      <c r="P38" s="672">
        <f>O38</f>
        <v>12950</v>
      </c>
      <c r="Q38" s="668"/>
      <c r="R38" s="200"/>
      <c r="S38" s="515"/>
    </row>
    <row r="39" spans="3:20" s="517" customFormat="1" ht="23.4" customHeight="1" thickBot="1">
      <c r="C39" s="675"/>
      <c r="D39" s="610" t="s">
        <v>6650</v>
      </c>
      <c r="E39" s="607"/>
      <c r="F39" s="611"/>
      <c r="G39" s="616"/>
      <c r="H39" s="213" t="s">
        <v>6652</v>
      </c>
      <c r="I39" s="676" t="s">
        <v>6653</v>
      </c>
      <c r="J39" s="677"/>
      <c r="K39" s="678">
        <v>40000</v>
      </c>
      <c r="L39" s="672">
        <f t="shared" si="16"/>
        <v>40000</v>
      </c>
      <c r="M39" s="673">
        <f t="shared" si="16"/>
        <v>40000</v>
      </c>
      <c r="N39" s="678">
        <v>40000</v>
      </c>
      <c r="O39" s="678">
        <v>40000</v>
      </c>
      <c r="P39" s="672">
        <f>O39</f>
        <v>40000</v>
      </c>
      <c r="Q39" s="668"/>
      <c r="R39" s="200"/>
      <c r="S39" s="515"/>
    </row>
    <row r="42" spans="3:20" s="517" customFormat="1" ht="23.4" customHeight="1">
      <c r="C42" s="512" t="s">
        <v>5300</v>
      </c>
      <c r="D42" s="513" t="s">
        <v>6671</v>
      </c>
      <c r="E42" s="594"/>
      <c r="F42" s="513"/>
      <c r="G42" s="513"/>
      <c r="H42" s="595"/>
      <c r="I42" s="514"/>
      <c r="J42" s="514"/>
      <c r="K42" s="514"/>
      <c r="L42" s="514"/>
      <c r="M42" s="514"/>
      <c r="N42" s="514"/>
      <c r="O42" s="514"/>
      <c r="P42" s="514"/>
      <c r="Q42" s="514"/>
      <c r="R42" s="189" t="s">
        <v>5296</v>
      </c>
      <c r="S42" s="515" t="s">
        <v>6451</v>
      </c>
      <c r="T42" s="516" t="s">
        <v>6670</v>
      </c>
    </row>
    <row r="43" spans="3:20" s="517" customFormat="1" ht="23.4" customHeight="1">
      <c r="C43" s="512"/>
      <c r="D43" s="513" t="s">
        <v>6672</v>
      </c>
      <c r="E43" s="594" t="s">
        <v>6677</v>
      </c>
      <c r="F43" s="513" t="s">
        <v>6678</v>
      </c>
      <c r="G43" s="513"/>
      <c r="H43" s="595"/>
      <c r="I43" s="514"/>
      <c r="J43" s="514"/>
      <c r="K43" s="514"/>
      <c r="L43" s="514"/>
      <c r="M43" s="514"/>
      <c r="N43" s="514"/>
      <c r="O43" s="514"/>
      <c r="P43" s="514"/>
      <c r="Q43" s="514"/>
      <c r="R43" s="189"/>
      <c r="S43" s="515"/>
      <c r="T43" s="516"/>
    </row>
    <row r="44" spans="3:20" s="517" customFormat="1" ht="23.4" customHeight="1">
      <c r="C44" s="512"/>
      <c r="D44" s="513" t="s">
        <v>6673</v>
      </c>
      <c r="E44" s="594" t="s">
        <v>6677</v>
      </c>
      <c r="F44" s="513" t="s">
        <v>6679</v>
      </c>
      <c r="G44" s="513"/>
      <c r="H44" s="595"/>
      <c r="I44" s="514"/>
      <c r="J44" s="514"/>
      <c r="K44" s="514"/>
      <c r="L44" s="514"/>
      <c r="M44" s="514"/>
      <c r="N44" s="514"/>
      <c r="O44" s="514"/>
      <c r="P44" s="514"/>
      <c r="Q44" s="514"/>
      <c r="R44" s="189"/>
      <c r="S44" s="515"/>
      <c r="T44" s="516"/>
    </row>
    <row r="45" spans="3:20" s="517" customFormat="1" ht="23.4" customHeight="1">
      <c r="C45" s="512"/>
      <c r="D45" s="513" t="s">
        <v>6674</v>
      </c>
      <c r="E45" s="594" t="s">
        <v>6677</v>
      </c>
      <c r="F45" s="513" t="s">
        <v>6680</v>
      </c>
      <c r="G45" s="513"/>
      <c r="H45" s="595"/>
      <c r="I45" s="514"/>
      <c r="J45" s="514"/>
      <c r="K45" s="514"/>
      <c r="L45" s="514"/>
      <c r="M45" s="514"/>
      <c r="N45" s="514"/>
      <c r="O45" s="514"/>
      <c r="P45" s="514"/>
      <c r="Q45" s="514"/>
      <c r="R45" s="189"/>
      <c r="S45" s="515"/>
      <c r="T45" s="516"/>
    </row>
    <row r="46" spans="3:20" s="517" customFormat="1" ht="23.4" customHeight="1">
      <c r="C46" s="512"/>
      <c r="D46" s="513" t="s">
        <v>6675</v>
      </c>
      <c r="E46" s="594" t="s">
        <v>6677</v>
      </c>
      <c r="F46" s="513" t="s">
        <v>6681</v>
      </c>
      <c r="G46" s="513"/>
      <c r="H46" s="595"/>
      <c r="I46" s="514"/>
      <c r="J46" s="514"/>
      <c r="K46" s="514"/>
      <c r="L46" s="514"/>
      <c r="M46" s="514"/>
      <c r="N46" s="514"/>
      <c r="O46" s="514"/>
      <c r="P46" s="514"/>
      <c r="Q46" s="514"/>
      <c r="R46" s="189"/>
      <c r="S46" s="515"/>
      <c r="T46" s="516"/>
    </row>
    <row r="47" spans="3:20" s="517" customFormat="1" ht="23.4" customHeight="1" thickBot="1">
      <c r="C47" s="512"/>
      <c r="D47" s="513" t="s">
        <v>6676</v>
      </c>
      <c r="E47" s="594" t="s">
        <v>6677</v>
      </c>
      <c r="F47" s="513" t="s">
        <v>6682</v>
      </c>
      <c r="G47" s="513"/>
      <c r="H47" s="595"/>
      <c r="I47" s="514"/>
      <c r="J47" s="514"/>
      <c r="K47" s="514"/>
      <c r="L47" s="514"/>
      <c r="M47" s="514"/>
      <c r="N47" s="514"/>
      <c r="O47" s="514"/>
      <c r="P47" s="514"/>
      <c r="Q47" s="514"/>
      <c r="R47" s="189"/>
      <c r="S47" s="515"/>
      <c r="T47" s="516"/>
    </row>
    <row r="48" spans="3:20" s="517" customFormat="1" ht="43.8" customHeight="1" thickTop="1">
      <c r="C48" s="190" t="s">
        <v>1195</v>
      </c>
      <c r="D48" s="1922" t="s">
        <v>1196</v>
      </c>
      <c r="E48" s="1923"/>
      <c r="F48" s="1923"/>
      <c r="G48" s="1924"/>
      <c r="H48" s="191" t="s">
        <v>1906</v>
      </c>
      <c r="I48" s="596" t="s">
        <v>1198</v>
      </c>
      <c r="J48" s="600"/>
      <c r="K48" s="191" t="s">
        <v>5286</v>
      </c>
      <c r="L48" s="596" t="s">
        <v>6733</v>
      </c>
      <c r="M48" s="679"/>
      <c r="N48" s="561"/>
      <c r="O48" s="561"/>
      <c r="P48" s="561"/>
      <c r="Q48" s="561"/>
      <c r="R48" s="200"/>
      <c r="S48" s="515"/>
    </row>
    <row r="49" spans="3:19" s="517" customFormat="1" ht="23.4" customHeight="1">
      <c r="C49" s="601" t="s">
        <v>1766</v>
      </c>
      <c r="D49" s="602" t="s">
        <v>5288</v>
      </c>
      <c r="E49" s="604"/>
      <c r="F49" s="604"/>
      <c r="G49" s="604"/>
      <c r="H49" s="604"/>
      <c r="I49" s="604"/>
      <c r="J49" s="604"/>
      <c r="K49" s="604"/>
      <c r="L49" s="604"/>
      <c r="M49" s="680"/>
      <c r="N49" s="681"/>
      <c r="O49" s="681"/>
      <c r="P49" s="681"/>
      <c r="Q49" s="681"/>
      <c r="R49" s="200"/>
      <c r="S49" s="515"/>
    </row>
    <row r="50" spans="3:19" s="517" customFormat="1" ht="23.4" customHeight="1">
      <c r="C50" s="519">
        <v>1</v>
      </c>
      <c r="D50" s="682" t="s">
        <v>6683</v>
      </c>
      <c r="E50" s="607"/>
      <c r="F50" s="611"/>
      <c r="G50" s="616"/>
      <c r="H50" s="213" t="s">
        <v>6687</v>
      </c>
      <c r="I50" s="619">
        <v>7</v>
      </c>
      <c r="J50" s="613"/>
      <c r="K50" s="520" t="s">
        <v>2139</v>
      </c>
      <c r="L50" s="618"/>
      <c r="M50" s="683"/>
      <c r="N50" s="684"/>
      <c r="O50" s="684"/>
      <c r="P50" s="684"/>
      <c r="Q50" s="684"/>
      <c r="R50" s="200"/>
      <c r="S50" s="515"/>
    </row>
    <row r="51" spans="3:19" s="517" customFormat="1" ht="23.4" customHeight="1">
      <c r="C51" s="519">
        <v>2</v>
      </c>
      <c r="D51" s="682" t="s">
        <v>6684</v>
      </c>
      <c r="E51" s="607"/>
      <c r="F51" s="611"/>
      <c r="G51" s="616"/>
      <c r="H51" s="213" t="s">
        <v>6688</v>
      </c>
      <c r="I51" s="619">
        <v>1.25</v>
      </c>
      <c r="J51" s="613"/>
      <c r="K51" s="520" t="s">
        <v>5296</v>
      </c>
      <c r="L51" s="618" t="s">
        <v>6734</v>
      </c>
      <c r="M51" s="683"/>
      <c r="N51" s="684"/>
      <c r="O51" s="684"/>
      <c r="P51" s="684"/>
      <c r="Q51" s="684"/>
      <c r="R51" s="200"/>
      <c r="S51" s="515"/>
    </row>
    <row r="52" spans="3:19" s="517" customFormat="1" ht="23.4" customHeight="1">
      <c r="C52" s="519">
        <v>3</v>
      </c>
      <c r="D52" s="682" t="s">
        <v>6685</v>
      </c>
      <c r="E52" s="607"/>
      <c r="F52" s="611"/>
      <c r="G52" s="616"/>
      <c r="H52" s="213" t="s">
        <v>1767</v>
      </c>
      <c r="I52" s="619">
        <v>100</v>
      </c>
      <c r="J52" s="620"/>
      <c r="K52" s="520" t="s">
        <v>5289</v>
      </c>
      <c r="L52" s="618"/>
      <c r="M52" s="683"/>
      <c r="N52" s="684"/>
      <c r="O52" s="684"/>
      <c r="P52" s="684"/>
      <c r="Q52" s="684"/>
      <c r="R52" s="200"/>
      <c r="S52" s="515"/>
    </row>
    <row r="53" spans="3:19" s="517" customFormat="1" ht="23.4" customHeight="1">
      <c r="C53" s="519">
        <v>4</v>
      </c>
      <c r="D53" s="682" t="s">
        <v>6686</v>
      </c>
      <c r="E53" s="607"/>
      <c r="F53" s="611"/>
      <c r="G53" s="616"/>
      <c r="H53" s="213"/>
      <c r="I53" s="619"/>
      <c r="J53" s="620"/>
      <c r="K53" s="520"/>
      <c r="L53" s="618"/>
      <c r="M53" s="683"/>
      <c r="N53" s="684"/>
      <c r="O53" s="684"/>
      <c r="P53" s="684"/>
      <c r="Q53" s="684"/>
      <c r="R53" s="200"/>
      <c r="S53" s="515"/>
    </row>
    <row r="54" spans="3:19" s="517" customFormat="1" ht="23.4" customHeight="1">
      <c r="C54" s="518" t="s">
        <v>5291</v>
      </c>
      <c r="D54" s="602" t="s">
        <v>5292</v>
      </c>
      <c r="E54" s="604"/>
      <c r="F54" s="604"/>
      <c r="G54" s="604"/>
      <c r="H54" s="604"/>
      <c r="I54" s="604"/>
      <c r="J54" s="604"/>
      <c r="K54" s="604"/>
      <c r="L54" s="604"/>
      <c r="M54" s="680"/>
      <c r="N54" s="681"/>
      <c r="O54" s="681"/>
      <c r="P54" s="681"/>
      <c r="Q54" s="681"/>
      <c r="R54" s="200"/>
      <c r="S54" s="515"/>
    </row>
    <row r="55" spans="3:19" s="517" customFormat="1" ht="23.4" customHeight="1">
      <c r="C55" s="524" t="s">
        <v>1203</v>
      </c>
      <c r="D55" s="610" t="s">
        <v>6753</v>
      </c>
      <c r="E55" s="607"/>
      <c r="F55" s="611"/>
      <c r="G55" s="616"/>
      <c r="H55" s="234"/>
      <c r="I55" s="628"/>
      <c r="J55" s="629"/>
      <c r="K55" s="525"/>
      <c r="L55" s="618"/>
      <c r="M55" s="683"/>
      <c r="N55" s="684"/>
      <c r="O55" s="684"/>
      <c r="P55" s="684"/>
      <c r="Q55" s="684"/>
      <c r="R55" s="200"/>
      <c r="S55" s="515"/>
    </row>
    <row r="56" spans="3:19" s="517" customFormat="1" ht="23.4" customHeight="1">
      <c r="C56" s="524">
        <v>2</v>
      </c>
      <c r="D56" s="610" t="s">
        <v>6689</v>
      </c>
      <c r="E56" s="607"/>
      <c r="F56" s="611"/>
      <c r="G56" s="616"/>
      <c r="H56" s="234"/>
      <c r="I56" s="628"/>
      <c r="J56" s="629"/>
      <c r="K56" s="525"/>
      <c r="L56" s="618"/>
      <c r="M56" s="683"/>
      <c r="N56" s="684"/>
      <c r="O56" s="684"/>
      <c r="P56" s="684"/>
      <c r="Q56" s="684"/>
      <c r="R56" s="200"/>
      <c r="S56" s="515"/>
    </row>
    <row r="57" spans="3:19" s="517" customFormat="1" ht="23.4" customHeight="1">
      <c r="C57" s="524">
        <v>3</v>
      </c>
      <c r="D57" s="610" t="s">
        <v>6690</v>
      </c>
      <c r="E57" s="607"/>
      <c r="F57" s="611"/>
      <c r="G57" s="616"/>
      <c r="H57" s="234"/>
      <c r="I57" s="628"/>
      <c r="J57" s="629"/>
      <c r="K57" s="525"/>
      <c r="L57" s="618"/>
      <c r="M57" s="683"/>
      <c r="N57" s="684"/>
      <c r="O57" s="684"/>
      <c r="P57" s="684"/>
      <c r="Q57" s="684"/>
      <c r="R57" s="200"/>
      <c r="S57" s="515"/>
    </row>
    <row r="58" spans="3:19" s="517" customFormat="1" ht="23.4" customHeight="1">
      <c r="C58" s="601" t="s">
        <v>1071</v>
      </c>
      <c r="D58" s="602" t="s">
        <v>6691</v>
      </c>
      <c r="E58" s="604"/>
      <c r="F58" s="604"/>
      <c r="G58" s="604"/>
      <c r="H58" s="604"/>
      <c r="I58" s="604"/>
      <c r="J58" s="604"/>
      <c r="K58" s="604"/>
      <c r="L58" s="604"/>
      <c r="M58" s="680"/>
      <c r="N58" s="681"/>
      <c r="O58" s="681"/>
      <c r="P58" s="681"/>
      <c r="Q58" s="681"/>
      <c r="R58" s="200"/>
      <c r="S58" s="515"/>
    </row>
    <row r="59" spans="3:19" s="517" customFormat="1" ht="23.4" customHeight="1">
      <c r="C59" s="601" t="s">
        <v>5265</v>
      </c>
      <c r="D59" s="644" t="s">
        <v>6692</v>
      </c>
      <c r="E59" s="603"/>
      <c r="F59" s="645" t="s">
        <v>6657</v>
      </c>
      <c r="G59" s="645"/>
      <c r="H59" s="656"/>
      <c r="I59" s="644"/>
      <c r="J59" s="657"/>
      <c r="K59" s="685"/>
      <c r="L59" s="644"/>
      <c r="M59" s="686"/>
      <c r="N59" s="687"/>
      <c r="O59" s="687"/>
      <c r="P59" s="687"/>
      <c r="Q59" s="687"/>
      <c r="R59" s="200"/>
      <c r="S59" s="515"/>
    </row>
    <row r="60" spans="3:19" s="517" customFormat="1" ht="23.4" customHeight="1">
      <c r="C60" s="543"/>
      <c r="D60" s="688" t="s">
        <v>6693</v>
      </c>
      <c r="E60" s="688"/>
      <c r="F60" s="645"/>
      <c r="G60" s="645"/>
      <c r="H60" s="213" t="s">
        <v>1769</v>
      </c>
      <c r="I60" s="610">
        <v>250</v>
      </c>
      <c r="J60" s="616"/>
      <c r="K60" s="196" t="s">
        <v>5297</v>
      </c>
      <c r="L60" s="610"/>
      <c r="M60" s="637"/>
      <c r="N60" s="689"/>
      <c r="O60" s="689"/>
      <c r="P60" s="689"/>
      <c r="Q60" s="689" t="s">
        <v>5290</v>
      </c>
      <c r="R60" s="200"/>
      <c r="S60" s="515"/>
    </row>
    <row r="61" spans="3:19" s="517" customFormat="1" ht="23.4" customHeight="1">
      <c r="C61" s="674"/>
      <c r="D61" s="690" t="s">
        <v>6694</v>
      </c>
      <c r="E61" s="690"/>
      <c r="F61" s="611"/>
      <c r="G61" s="611"/>
      <c r="H61" s="213" t="s">
        <v>5295</v>
      </c>
      <c r="I61" s="610">
        <v>0.83</v>
      </c>
      <c r="J61" s="616"/>
      <c r="K61" s="196" t="s">
        <v>5296</v>
      </c>
      <c r="L61" s="610" t="s">
        <v>6735</v>
      </c>
      <c r="M61" s="637"/>
      <c r="N61" s="689"/>
      <c r="O61" s="689"/>
      <c r="P61" s="689"/>
      <c r="Q61" s="689"/>
      <c r="R61" s="200"/>
      <c r="S61" s="515"/>
    </row>
    <row r="62" spans="3:19" s="517" customFormat="1" ht="23.4" customHeight="1">
      <c r="C62" s="674"/>
      <c r="D62" s="644" t="s">
        <v>6695</v>
      </c>
      <c r="E62" s="607"/>
      <c r="F62" s="611"/>
      <c r="G62" s="611"/>
      <c r="H62" s="656" t="s">
        <v>1767</v>
      </c>
      <c r="I62" s="610">
        <v>100</v>
      </c>
      <c r="J62" s="616"/>
      <c r="K62" s="196" t="s">
        <v>6728</v>
      </c>
      <c r="L62" s="610"/>
      <c r="M62" s="637"/>
      <c r="N62" s="689"/>
      <c r="O62" s="689"/>
      <c r="P62" s="689"/>
      <c r="Q62" s="689"/>
      <c r="R62" s="200"/>
      <c r="S62" s="515"/>
    </row>
    <row r="63" spans="3:19" s="517" customFormat="1" ht="23.4" customHeight="1">
      <c r="C63" s="674"/>
      <c r="D63" s="682" t="s">
        <v>6696</v>
      </c>
      <c r="E63" s="607"/>
      <c r="F63" s="611"/>
      <c r="G63" s="611"/>
      <c r="H63" s="213" t="s">
        <v>6703</v>
      </c>
      <c r="I63" s="610">
        <v>40</v>
      </c>
      <c r="J63" s="616"/>
      <c r="K63" s="196" t="s">
        <v>6729</v>
      </c>
      <c r="L63" s="1897" t="s">
        <v>6736</v>
      </c>
      <c r="M63" s="637"/>
      <c r="N63" s="689"/>
      <c r="O63" s="689"/>
      <c r="P63" s="689"/>
      <c r="Q63" s="689"/>
      <c r="R63" s="200"/>
      <c r="S63" s="515"/>
    </row>
    <row r="64" spans="3:19" s="517" customFormat="1" ht="23.4" customHeight="1">
      <c r="C64" s="674"/>
      <c r="D64" s="682" t="s">
        <v>6697</v>
      </c>
      <c r="E64" s="607"/>
      <c r="F64" s="611"/>
      <c r="G64" s="611"/>
      <c r="H64" s="213" t="s">
        <v>6704</v>
      </c>
      <c r="I64" s="610">
        <v>60</v>
      </c>
      <c r="J64" s="616"/>
      <c r="K64" s="196" t="s">
        <v>6729</v>
      </c>
      <c r="L64" s="1898"/>
      <c r="M64" s="637"/>
      <c r="N64" s="689"/>
      <c r="O64" s="689"/>
      <c r="P64" s="689"/>
      <c r="Q64" s="689" t="s">
        <v>5290</v>
      </c>
      <c r="R64" s="200"/>
      <c r="S64" s="515"/>
    </row>
    <row r="65" spans="3:19" s="517" customFormat="1" ht="23.4" customHeight="1">
      <c r="C65" s="674"/>
      <c r="D65" s="644" t="s">
        <v>5294</v>
      </c>
      <c r="E65" s="603"/>
      <c r="F65" s="645"/>
      <c r="G65" s="645"/>
      <c r="H65" s="213"/>
      <c r="I65" s="610"/>
      <c r="J65" s="616"/>
      <c r="K65" s="196"/>
      <c r="L65" s="610"/>
      <c r="M65" s="637"/>
      <c r="N65" s="689"/>
      <c r="O65" s="689"/>
      <c r="P65" s="689"/>
      <c r="Q65" s="689"/>
      <c r="R65" s="200"/>
      <c r="S65" s="515"/>
    </row>
    <row r="66" spans="3:19" s="517" customFormat="1" ht="23.4" customHeight="1">
      <c r="C66" s="674"/>
      <c r="D66" s="610" t="s">
        <v>6698</v>
      </c>
      <c r="E66" s="607" t="s">
        <v>6619</v>
      </c>
      <c r="F66" s="611" t="s">
        <v>6700</v>
      </c>
      <c r="G66" s="611"/>
      <c r="H66" s="213" t="s">
        <v>6701</v>
      </c>
      <c r="I66" s="610">
        <f>(I52/I63)*60</f>
        <v>150</v>
      </c>
      <c r="J66" s="616"/>
      <c r="K66" s="196" t="s">
        <v>5298</v>
      </c>
      <c r="L66" s="610"/>
      <c r="M66" s="637"/>
      <c r="N66" s="689"/>
      <c r="O66" s="689"/>
      <c r="P66" s="689"/>
      <c r="Q66" s="689"/>
      <c r="R66" s="200"/>
      <c r="S66" s="515"/>
    </row>
    <row r="67" spans="3:19" s="517" customFormat="1" ht="23.4" customHeight="1">
      <c r="C67" s="674"/>
      <c r="D67" s="610" t="s">
        <v>6699</v>
      </c>
      <c r="E67" s="607" t="s">
        <v>6619</v>
      </c>
      <c r="F67" s="611" t="s">
        <v>6700</v>
      </c>
      <c r="G67" s="611"/>
      <c r="H67" s="716" t="s">
        <v>6702</v>
      </c>
      <c r="I67" s="627">
        <v>164.77</v>
      </c>
      <c r="J67" s="616"/>
      <c r="K67" s="196" t="s">
        <v>5298</v>
      </c>
      <c r="L67" s="610"/>
      <c r="M67" s="637"/>
      <c r="N67" s="689"/>
      <c r="O67" s="689"/>
      <c r="P67" s="689"/>
      <c r="Q67" s="689"/>
      <c r="R67" s="200"/>
      <c r="S67" s="515"/>
    </row>
    <row r="68" spans="3:19" s="517" customFormat="1" ht="23.4" customHeight="1">
      <c r="C68" s="674"/>
      <c r="D68" s="610"/>
      <c r="E68" s="607"/>
      <c r="F68" s="611"/>
      <c r="G68" s="611"/>
      <c r="H68" s="717" t="s">
        <v>6705</v>
      </c>
      <c r="I68" s="793">
        <f>SUM(I66:I67)</f>
        <v>314.77</v>
      </c>
      <c r="J68" s="633"/>
      <c r="K68" s="693" t="s">
        <v>5298</v>
      </c>
      <c r="L68" s="610"/>
      <c r="M68" s="637"/>
      <c r="N68" s="689"/>
      <c r="O68" s="689"/>
      <c r="P68" s="689"/>
      <c r="Q68" s="689"/>
      <c r="R68" s="200"/>
      <c r="S68" s="515"/>
    </row>
    <row r="69" spans="3:19" s="517" customFormat="1" ht="23.4" customHeight="1">
      <c r="C69" s="674"/>
      <c r="D69" s="610" t="s">
        <v>6706</v>
      </c>
      <c r="E69" s="607" t="s">
        <v>6619</v>
      </c>
      <c r="F69" s="655" t="s">
        <v>6708</v>
      </c>
      <c r="G69" s="611"/>
      <c r="H69" s="692" t="s">
        <v>6710</v>
      </c>
      <c r="I69" s="639">
        <f>(I60*I61*60)/I68</f>
        <v>39.552689265177754</v>
      </c>
      <c r="J69" s="633"/>
      <c r="K69" s="693" t="s">
        <v>6730</v>
      </c>
      <c r="L69" s="610"/>
      <c r="M69" s="637"/>
      <c r="N69" s="689"/>
      <c r="O69" s="689"/>
      <c r="P69" s="689"/>
      <c r="Q69" s="689"/>
      <c r="R69" s="200"/>
      <c r="S69" s="515"/>
    </row>
    <row r="70" spans="3:19" s="517" customFormat="1" ht="23.4" customHeight="1">
      <c r="C70" s="674"/>
      <c r="D70" s="610" t="s">
        <v>6707</v>
      </c>
      <c r="E70" s="607" t="s">
        <v>6619</v>
      </c>
      <c r="F70" s="611" t="s">
        <v>6709</v>
      </c>
      <c r="G70" s="611"/>
      <c r="H70" s="692"/>
      <c r="I70" s="639">
        <f>1/I69</f>
        <v>2.5282730923694777E-2</v>
      </c>
      <c r="J70" s="633"/>
      <c r="K70" s="693" t="s">
        <v>2139</v>
      </c>
      <c r="L70" s="610"/>
      <c r="M70" s="637"/>
      <c r="N70" s="689"/>
      <c r="O70" s="689"/>
      <c r="P70" s="689"/>
      <c r="Q70" s="689"/>
      <c r="R70" s="200"/>
      <c r="S70" s="515"/>
    </row>
    <row r="71" spans="3:19" s="517" customFormat="1" ht="23.4" customHeight="1">
      <c r="C71" s="675"/>
      <c r="D71" s="610"/>
      <c r="E71" s="607"/>
      <c r="F71" s="611"/>
      <c r="G71" s="611"/>
      <c r="H71" s="692"/>
      <c r="I71" s="639"/>
      <c r="J71" s="633"/>
      <c r="K71" s="693"/>
      <c r="L71" s="610"/>
      <c r="M71" s="637"/>
      <c r="N71" s="689"/>
      <c r="O71" s="689"/>
      <c r="P71" s="689"/>
      <c r="Q71" s="689"/>
      <c r="R71" s="200"/>
      <c r="S71" s="515"/>
    </row>
    <row r="72" spans="3:19" s="517" customFormat="1" ht="23.4" customHeight="1">
      <c r="C72" s="601" t="s">
        <v>2679</v>
      </c>
      <c r="D72" s="670" t="s">
        <v>6711</v>
      </c>
      <c r="E72" s="607"/>
      <c r="F72" s="611"/>
      <c r="G72" s="611"/>
      <c r="H72" s="213"/>
      <c r="I72" s="610"/>
      <c r="J72" s="616"/>
      <c r="K72" s="196"/>
      <c r="L72" s="694"/>
      <c r="M72" s="695"/>
      <c r="N72" s="696"/>
      <c r="O72" s="696"/>
      <c r="P72" s="696"/>
      <c r="Q72" s="689"/>
      <c r="R72" s="200"/>
      <c r="S72" s="515"/>
    </row>
    <row r="73" spans="3:19" s="517" customFormat="1" ht="23.4" customHeight="1">
      <c r="C73" s="543"/>
      <c r="D73" s="682" t="s">
        <v>6712</v>
      </c>
      <c r="E73" s="607"/>
      <c r="F73" s="611"/>
      <c r="G73" s="611"/>
      <c r="H73" s="213" t="s">
        <v>6716</v>
      </c>
      <c r="I73" s="610">
        <v>0.01</v>
      </c>
      <c r="J73" s="616"/>
      <c r="K73" s="196" t="s">
        <v>6728</v>
      </c>
      <c r="L73" s="694"/>
      <c r="M73" s="695"/>
      <c r="N73" s="696"/>
      <c r="O73" s="696"/>
      <c r="P73" s="696"/>
      <c r="Q73" s="689"/>
      <c r="R73" s="200"/>
      <c r="S73" s="515"/>
    </row>
    <row r="74" spans="3:19" s="517" customFormat="1" ht="23.4" customHeight="1">
      <c r="C74" s="674"/>
      <c r="D74" s="682" t="s">
        <v>6713</v>
      </c>
      <c r="E74" s="607"/>
      <c r="F74" s="611"/>
      <c r="G74" s="611"/>
      <c r="H74" s="213" t="s">
        <v>1769</v>
      </c>
      <c r="I74" s="697">
        <v>1</v>
      </c>
      <c r="J74" s="616"/>
      <c r="K74" s="196" t="s">
        <v>6675</v>
      </c>
      <c r="L74" s="694"/>
      <c r="M74" s="695"/>
      <c r="N74" s="696"/>
      <c r="O74" s="696"/>
      <c r="P74" s="696"/>
      <c r="Q74" s="689"/>
      <c r="R74" s="200"/>
      <c r="S74" s="515"/>
    </row>
    <row r="75" spans="3:19" s="517" customFormat="1" ht="23.4" customHeight="1">
      <c r="C75" s="674"/>
      <c r="D75" s="682" t="s">
        <v>6714</v>
      </c>
      <c r="E75" s="607"/>
      <c r="F75" s="611"/>
      <c r="G75" s="611"/>
      <c r="H75" s="213" t="s">
        <v>6717</v>
      </c>
      <c r="I75" s="610">
        <v>0.86</v>
      </c>
      <c r="J75" s="616"/>
      <c r="K75" s="196" t="s">
        <v>5296</v>
      </c>
      <c r="L75" s="694" t="s">
        <v>6735</v>
      </c>
      <c r="M75" s="695"/>
      <c r="N75" s="696"/>
      <c r="O75" s="696"/>
      <c r="P75" s="696"/>
      <c r="Q75" s="689"/>
      <c r="R75" s="200"/>
      <c r="S75" s="515"/>
    </row>
    <row r="76" spans="3:19" s="517" customFormat="1" ht="23.4" customHeight="1">
      <c r="C76" s="674"/>
      <c r="D76" s="670" t="s">
        <v>6715</v>
      </c>
      <c r="E76" s="607"/>
      <c r="F76" s="611"/>
      <c r="G76" s="611"/>
      <c r="H76" s="213"/>
      <c r="I76" s="610"/>
      <c r="J76" s="616"/>
      <c r="K76" s="196"/>
      <c r="L76" s="694"/>
      <c r="M76" s="695"/>
      <c r="N76" s="696"/>
      <c r="O76" s="696"/>
      <c r="P76" s="696"/>
      <c r="Q76" s="689"/>
      <c r="R76" s="200"/>
      <c r="S76" s="515"/>
    </row>
    <row r="77" spans="3:19" s="517" customFormat="1" ht="23.4" customHeight="1">
      <c r="C77" s="674"/>
      <c r="D77" s="682" t="s">
        <v>6718</v>
      </c>
      <c r="E77" s="607"/>
      <c r="F77" s="611"/>
      <c r="G77" s="611"/>
      <c r="H77" s="213" t="s">
        <v>6701</v>
      </c>
      <c r="I77" s="610">
        <v>0.34</v>
      </c>
      <c r="J77" s="616"/>
      <c r="K77" s="196" t="s">
        <v>6731</v>
      </c>
      <c r="L77" s="1899" t="s">
        <v>6737</v>
      </c>
      <c r="M77" s="695"/>
      <c r="N77" s="696"/>
      <c r="O77" s="696"/>
      <c r="P77" s="696"/>
      <c r="Q77" s="689"/>
      <c r="R77" s="200"/>
      <c r="S77" s="515"/>
    </row>
    <row r="78" spans="3:19" s="517" customFormat="1" ht="23.4" customHeight="1">
      <c r="C78" s="674"/>
      <c r="D78" s="682" t="s">
        <v>6752</v>
      </c>
      <c r="E78" s="607"/>
      <c r="F78" s="611"/>
      <c r="G78" s="611"/>
      <c r="H78" s="716" t="s">
        <v>6702</v>
      </c>
      <c r="I78" s="712">
        <v>0.32</v>
      </c>
      <c r="J78" s="616"/>
      <c r="K78" s="196" t="s">
        <v>6731</v>
      </c>
      <c r="L78" s="1900"/>
      <c r="M78" s="695"/>
      <c r="N78" s="696"/>
      <c r="O78" s="696"/>
      <c r="P78" s="696"/>
      <c r="Q78" s="689"/>
      <c r="R78" s="200"/>
      <c r="S78" s="515"/>
    </row>
    <row r="79" spans="3:19" s="517" customFormat="1" ht="23.4" customHeight="1">
      <c r="C79" s="674"/>
      <c r="D79" s="682"/>
      <c r="E79" s="607"/>
      <c r="F79" s="611"/>
      <c r="G79" s="611"/>
      <c r="H79" s="717" t="s">
        <v>6719</v>
      </c>
      <c r="I79" s="639">
        <f>SUM(I77:I78)</f>
        <v>0.66</v>
      </c>
      <c r="J79" s="616"/>
      <c r="K79" s="196" t="s">
        <v>6731</v>
      </c>
      <c r="L79" s="694"/>
      <c r="M79" s="695"/>
      <c r="N79" s="696"/>
      <c r="O79" s="696"/>
      <c r="P79" s="696"/>
      <c r="Q79" s="689"/>
      <c r="R79" s="200"/>
      <c r="S79" s="515"/>
    </row>
    <row r="80" spans="3:19" s="517" customFormat="1" ht="23.4" customHeight="1">
      <c r="C80" s="674"/>
      <c r="D80" s="682" t="s">
        <v>6720</v>
      </c>
      <c r="E80" s="607" t="s">
        <v>6619</v>
      </c>
      <c r="F80" s="655" t="s">
        <v>6727</v>
      </c>
      <c r="G80" s="611"/>
      <c r="H80" s="213" t="s">
        <v>6726</v>
      </c>
      <c r="I80" s="610">
        <f>(I75*60)/I79</f>
        <v>78.181818181818187</v>
      </c>
      <c r="J80" s="616"/>
      <c r="K80" s="196" t="s">
        <v>6732</v>
      </c>
      <c r="L80" s="694"/>
      <c r="M80" s="695"/>
      <c r="N80" s="696"/>
      <c r="O80" s="696"/>
      <c r="P80" s="696"/>
      <c r="Q80" s="689"/>
      <c r="R80" s="200"/>
      <c r="S80" s="515"/>
    </row>
    <row r="81" spans="3:20" s="517" customFormat="1" ht="23.4" customHeight="1">
      <c r="C81" s="674"/>
      <c r="D81" s="670" t="s">
        <v>6721</v>
      </c>
      <c r="E81" s="607"/>
      <c r="F81" s="611"/>
      <c r="G81" s="611"/>
      <c r="H81" s="213"/>
      <c r="I81" s="610"/>
      <c r="J81" s="616"/>
      <c r="K81" s="196"/>
      <c r="L81" s="694"/>
      <c r="M81" s="695"/>
      <c r="N81" s="696"/>
      <c r="O81" s="696"/>
      <c r="P81" s="696"/>
      <c r="Q81" s="689"/>
      <c r="R81" s="200"/>
      <c r="S81" s="515"/>
    </row>
    <row r="82" spans="3:20" s="517" customFormat="1" ht="23.4" customHeight="1">
      <c r="C82" s="674"/>
      <c r="D82" s="682" t="s">
        <v>6722</v>
      </c>
      <c r="E82" s="607" t="s">
        <v>6619</v>
      </c>
      <c r="F82" s="611" t="s">
        <v>6724</v>
      </c>
      <c r="G82" s="611"/>
      <c r="H82" s="213" t="s">
        <v>1774</v>
      </c>
      <c r="I82" s="610">
        <v>2.5600000000000001E-2</v>
      </c>
      <c r="J82" s="616"/>
      <c r="K82" s="196" t="s">
        <v>1863</v>
      </c>
      <c r="L82" s="694" t="s">
        <v>6738</v>
      </c>
      <c r="M82" s="695"/>
      <c r="N82" s="696"/>
      <c r="O82" s="696"/>
      <c r="P82" s="696"/>
      <c r="Q82" s="689"/>
      <c r="R82" s="200"/>
      <c r="S82" s="515"/>
    </row>
    <row r="83" spans="3:20" s="517" customFormat="1" ht="23.4" customHeight="1">
      <c r="C83" s="675"/>
      <c r="D83" s="610" t="s">
        <v>6723</v>
      </c>
      <c r="E83" s="607" t="s">
        <v>6619</v>
      </c>
      <c r="F83" s="611" t="s">
        <v>6725</v>
      </c>
      <c r="G83" s="611"/>
      <c r="H83" s="213" t="s">
        <v>1777</v>
      </c>
      <c r="I83" s="610">
        <v>2.5999999999999999E-3</v>
      </c>
      <c r="J83" s="616"/>
      <c r="K83" s="196" t="s">
        <v>2138</v>
      </c>
      <c r="L83" s="694"/>
      <c r="M83" s="695"/>
      <c r="N83" s="696"/>
      <c r="O83" s="696"/>
      <c r="P83" s="696"/>
      <c r="Q83" s="689"/>
      <c r="R83" s="200"/>
      <c r="S83" s="515"/>
    </row>
    <row r="84" spans="3:20" ht="23.4" customHeight="1"/>
    <row r="85" spans="3:20" ht="23.4" customHeight="1"/>
    <row r="86" spans="3:20" s="517" customFormat="1" ht="23.4" customHeight="1">
      <c r="C86" s="512" t="s">
        <v>5301</v>
      </c>
      <c r="D86" s="513" t="s">
        <v>6740</v>
      </c>
      <c r="E86" s="594"/>
      <c r="F86" s="513"/>
      <c r="G86" s="513"/>
      <c r="H86" s="595"/>
      <c r="I86" s="514"/>
      <c r="J86" s="514"/>
      <c r="K86" s="514"/>
      <c r="L86" s="514"/>
      <c r="M86" s="514"/>
      <c r="N86" s="514"/>
      <c r="O86" s="514"/>
      <c r="P86" s="514"/>
      <c r="Q86" s="514"/>
      <c r="R86" s="189">
        <f>ROUNDDOWN(H100,-2)</f>
        <v>9100</v>
      </c>
      <c r="S86" s="515" t="s">
        <v>6456</v>
      </c>
      <c r="T86" s="516" t="s">
        <v>6739</v>
      </c>
    </row>
    <row r="87" spans="3:20" s="517" customFormat="1" ht="23.4" customHeight="1">
      <c r="C87" s="699" t="s">
        <v>1195</v>
      </c>
      <c r="D87" s="699" t="s">
        <v>1196</v>
      </c>
      <c r="E87" s="699" t="s">
        <v>1197</v>
      </c>
      <c r="F87" s="699" t="s">
        <v>1198</v>
      </c>
      <c r="G87" s="699" t="s">
        <v>1199</v>
      </c>
      <c r="H87" s="699" t="s">
        <v>1200</v>
      </c>
      <c r="I87" s="514"/>
      <c r="J87" s="514"/>
      <c r="K87" s="514"/>
      <c r="L87" s="514"/>
      <c r="M87" s="514"/>
      <c r="N87" s="514"/>
      <c r="O87" s="514"/>
      <c r="P87" s="514"/>
      <c r="Q87" s="514"/>
      <c r="R87" s="189"/>
      <c r="S87" s="515"/>
      <c r="T87" s="516"/>
    </row>
    <row r="88" spans="3:20" s="517" customFormat="1" ht="23.4" customHeight="1">
      <c r="C88" s="202" t="s">
        <v>1201</v>
      </c>
      <c r="D88" s="196" t="s">
        <v>1202</v>
      </c>
      <c r="E88" s="197"/>
      <c r="F88" s="197"/>
      <c r="G88" s="197"/>
      <c r="H88" s="197"/>
      <c r="I88" s="514"/>
      <c r="J88" s="514"/>
      <c r="K88" s="514"/>
      <c r="L88" s="514"/>
      <c r="M88" s="514"/>
      <c r="N88" s="514"/>
      <c r="O88" s="514"/>
      <c r="P88" s="514"/>
      <c r="Q88" s="514"/>
      <c r="R88" s="189"/>
      <c r="S88" s="515"/>
      <c r="T88" s="516"/>
    </row>
    <row r="89" spans="3:20" s="517" customFormat="1" ht="23.4" customHeight="1">
      <c r="C89" s="700">
        <v>1</v>
      </c>
      <c r="D89" s="196" t="s">
        <v>5</v>
      </c>
      <c r="E89" s="701" t="s">
        <v>1863</v>
      </c>
      <c r="F89" s="520">
        <v>2.5600000000000001E-2</v>
      </c>
      <c r="G89" s="205">
        <f>VLOOKUP(D89,upahbahan,3,FALSE)/8</f>
        <v>12500</v>
      </c>
      <c r="H89" s="205">
        <f t="shared" ref="H89:H90" si="17">F89*G89</f>
        <v>320</v>
      </c>
      <c r="I89" s="514"/>
      <c r="J89" s="514"/>
      <c r="K89" s="514"/>
      <c r="L89" s="514"/>
      <c r="M89" s="514"/>
      <c r="N89" s="514"/>
      <c r="O89" s="514"/>
      <c r="P89" s="514"/>
      <c r="Q89" s="514"/>
      <c r="R89" s="189"/>
      <c r="S89" s="515"/>
      <c r="T89" s="516"/>
    </row>
    <row r="90" spans="3:20" s="517" customFormat="1" ht="23.4" customHeight="1">
      <c r="C90" s="700">
        <v>2</v>
      </c>
      <c r="D90" s="196" t="s">
        <v>19</v>
      </c>
      <c r="E90" s="701" t="s">
        <v>1863</v>
      </c>
      <c r="F90" s="520">
        <v>2.5999999999999999E-3</v>
      </c>
      <c r="G90" s="205">
        <f>VLOOKUP(D90,upahbahan,3,FALSE)/8</f>
        <v>20000</v>
      </c>
      <c r="H90" s="205">
        <f t="shared" si="17"/>
        <v>52</v>
      </c>
      <c r="I90" s="514"/>
      <c r="J90" s="514"/>
      <c r="K90" s="514"/>
      <c r="L90" s="514"/>
      <c r="M90" s="514"/>
      <c r="N90" s="514"/>
      <c r="O90" s="514"/>
      <c r="P90" s="514"/>
      <c r="Q90" s="514"/>
      <c r="R90" s="189"/>
      <c r="S90" s="515"/>
      <c r="T90" s="516"/>
    </row>
    <row r="91" spans="3:20" s="517" customFormat="1" ht="23.4" customHeight="1">
      <c r="C91" s="702" t="s">
        <v>1208</v>
      </c>
      <c r="D91" s="208"/>
      <c r="E91" s="208"/>
      <c r="F91" s="521"/>
      <c r="G91" s="522"/>
      <c r="H91" s="205">
        <f>SUM(H89:H90)</f>
        <v>372</v>
      </c>
      <c r="I91" s="514"/>
      <c r="J91" s="514"/>
      <c r="K91" s="514"/>
      <c r="L91" s="514"/>
      <c r="M91" s="514"/>
      <c r="N91" s="514"/>
      <c r="O91" s="514"/>
      <c r="P91" s="514"/>
      <c r="Q91" s="514"/>
      <c r="R91" s="189"/>
      <c r="S91" s="515"/>
      <c r="T91" s="516"/>
    </row>
    <row r="92" spans="3:20" s="517" customFormat="1" ht="23.4" customHeight="1">
      <c r="C92" s="202" t="s">
        <v>1209</v>
      </c>
      <c r="D92" s="196" t="s">
        <v>1210</v>
      </c>
      <c r="E92" s="197"/>
      <c r="F92" s="197"/>
      <c r="G92" s="197"/>
      <c r="H92" s="197"/>
      <c r="I92" s="514"/>
      <c r="J92" s="514"/>
      <c r="K92" s="514"/>
      <c r="L92" s="514"/>
      <c r="M92" s="514"/>
      <c r="N92" s="514"/>
      <c r="O92" s="514"/>
      <c r="P92" s="514"/>
      <c r="Q92" s="514"/>
      <c r="R92" s="189"/>
      <c r="S92" s="515"/>
      <c r="T92" s="516"/>
    </row>
    <row r="93" spans="3:20" s="517" customFormat="1" ht="23.4" customHeight="1">
      <c r="C93" s="700">
        <v>1</v>
      </c>
      <c r="D93" s="703" t="s">
        <v>6741</v>
      </c>
      <c r="E93" s="704" t="s">
        <v>6742</v>
      </c>
      <c r="F93" s="705">
        <v>1</v>
      </c>
      <c r="G93" s="205">
        <f>VLOOKUP(D93,upahbahan,3,FALSE)</f>
        <v>0</v>
      </c>
      <c r="H93" s="205">
        <f t="shared" ref="H93" si="18">F93*G93</f>
        <v>0</v>
      </c>
      <c r="I93" s="514"/>
      <c r="J93" s="514"/>
      <c r="K93" s="514"/>
      <c r="L93" s="514"/>
      <c r="M93" s="514"/>
      <c r="N93" s="514"/>
      <c r="O93" s="514"/>
      <c r="P93" s="514"/>
      <c r="Q93" s="514"/>
      <c r="R93" s="189"/>
      <c r="S93" s="515"/>
      <c r="T93" s="516"/>
    </row>
    <row r="94" spans="3:20" s="517" customFormat="1" ht="23.4" customHeight="1">
      <c r="C94" s="702" t="s">
        <v>1214</v>
      </c>
      <c r="D94" s="208"/>
      <c r="E94" s="208"/>
      <c r="F94" s="208"/>
      <c r="G94" s="209"/>
      <c r="H94" s="205">
        <f>SUM(H93:H93)</f>
        <v>0</v>
      </c>
      <c r="I94" s="514"/>
      <c r="J94" s="514"/>
      <c r="K94" s="514"/>
      <c r="L94" s="514"/>
      <c r="M94" s="514"/>
      <c r="N94" s="514"/>
      <c r="O94" s="514"/>
      <c r="P94" s="514"/>
      <c r="Q94" s="514"/>
      <c r="R94" s="189"/>
      <c r="S94" s="515"/>
      <c r="T94" s="516"/>
    </row>
    <row r="95" spans="3:20" s="517" customFormat="1" ht="23.4" customHeight="1">
      <c r="C95" s="202" t="s">
        <v>1215</v>
      </c>
      <c r="D95" s="196" t="s">
        <v>1216</v>
      </c>
      <c r="E95" s="197"/>
      <c r="F95" s="197"/>
      <c r="G95" s="197"/>
      <c r="H95" s="197"/>
      <c r="I95" s="514"/>
      <c r="J95" s="514"/>
      <c r="K95" s="514"/>
      <c r="L95" s="514"/>
      <c r="M95" s="514"/>
      <c r="N95" s="514"/>
      <c r="O95" s="514"/>
      <c r="P95" s="514"/>
      <c r="Q95" s="514"/>
      <c r="R95" s="189"/>
      <c r="S95" s="515"/>
      <c r="T95" s="516"/>
    </row>
    <row r="96" spans="3:20" s="517" customFormat="1" ht="23.4" customHeight="1">
      <c r="C96" s="700">
        <v>1</v>
      </c>
      <c r="D96" s="703" t="s">
        <v>6743</v>
      </c>
      <c r="E96" s="704" t="s">
        <v>2139</v>
      </c>
      <c r="F96" s="520">
        <v>2.53E-2</v>
      </c>
      <c r="G96" s="205">
        <f>VLOOKUP(D96,upahbahan,3,FALSE)</f>
        <v>314110.76</v>
      </c>
      <c r="H96" s="205">
        <f t="shared" ref="H96" si="19">F96*G96</f>
        <v>7947.0022280000003</v>
      </c>
      <c r="I96" s="514"/>
      <c r="J96" s="514"/>
      <c r="K96" s="514"/>
      <c r="L96" s="514"/>
      <c r="M96" s="514"/>
      <c r="N96" s="514"/>
      <c r="O96" s="514"/>
      <c r="P96" s="514"/>
      <c r="Q96" s="514"/>
      <c r="R96" s="189"/>
      <c r="S96" s="515"/>
      <c r="T96" s="516"/>
    </row>
    <row r="97" spans="3:20" s="517" customFormat="1" ht="23.4" customHeight="1">
      <c r="C97" s="702" t="s">
        <v>1217</v>
      </c>
      <c r="D97" s="208"/>
      <c r="E97" s="208"/>
      <c r="F97" s="208"/>
      <c r="G97" s="209"/>
      <c r="H97" s="706">
        <f>SUM(H96)</f>
        <v>7947.0022280000003</v>
      </c>
      <c r="I97" s="514"/>
      <c r="J97" s="514"/>
      <c r="K97" s="514"/>
      <c r="L97" s="514"/>
      <c r="M97" s="514"/>
      <c r="N97" s="514"/>
      <c r="O97" s="514"/>
      <c r="P97" s="514"/>
      <c r="Q97" s="514"/>
      <c r="R97" s="189"/>
      <c r="S97" s="515"/>
      <c r="T97" s="516"/>
    </row>
    <row r="98" spans="3:20" s="517" customFormat="1" ht="23.4" customHeight="1">
      <c r="C98" s="707" t="s">
        <v>1218</v>
      </c>
      <c r="D98" s="224" t="s">
        <v>1219</v>
      </c>
      <c r="E98" s="225"/>
      <c r="F98" s="225"/>
      <c r="G98" s="226"/>
      <c r="H98" s="205">
        <f>H97+H94+H91</f>
        <v>8319.0022280000012</v>
      </c>
      <c r="I98" s="514"/>
      <c r="J98" s="514"/>
      <c r="K98" s="514"/>
      <c r="L98" s="514"/>
      <c r="M98" s="514"/>
      <c r="N98" s="514"/>
      <c r="O98" s="514"/>
      <c r="P98" s="514"/>
      <c r="Q98" s="514"/>
      <c r="R98" s="189"/>
      <c r="S98" s="515"/>
      <c r="T98" s="516"/>
    </row>
    <row r="99" spans="3:20" s="517" customFormat="1" ht="23.4" customHeight="1">
      <c r="C99" s="707" t="s">
        <v>1220</v>
      </c>
      <c r="D99" s="224" t="s">
        <v>1321</v>
      </c>
      <c r="E99" s="225"/>
      <c r="F99" s="226"/>
      <c r="G99" s="228">
        <v>0.1</v>
      </c>
      <c r="H99" s="205">
        <f>H98*G99</f>
        <v>831.90022280000017</v>
      </c>
      <c r="I99" s="514"/>
      <c r="J99" s="514"/>
      <c r="K99" s="514"/>
      <c r="L99" s="514"/>
      <c r="M99" s="514"/>
      <c r="N99" s="514"/>
      <c r="O99" s="514"/>
      <c r="P99" s="514"/>
      <c r="Q99" s="514"/>
      <c r="R99" s="189"/>
      <c r="S99" s="515"/>
      <c r="T99" s="516"/>
    </row>
    <row r="100" spans="3:20" s="517" customFormat="1" ht="23.4" customHeight="1">
      <c r="C100" s="707" t="s">
        <v>1221</v>
      </c>
      <c r="D100" s="224" t="s">
        <v>1222</v>
      </c>
      <c r="E100" s="225"/>
      <c r="F100" s="225"/>
      <c r="G100" s="226"/>
      <c r="H100" s="708">
        <f>SUM(H98:H99)</f>
        <v>9150.902450800002</v>
      </c>
      <c r="I100" s="514"/>
      <c r="J100" s="514"/>
      <c r="K100" s="514"/>
      <c r="L100" s="514"/>
      <c r="M100" s="514"/>
      <c r="N100" s="514"/>
      <c r="O100" s="514"/>
      <c r="P100" s="514"/>
      <c r="Q100" s="514"/>
      <c r="R100" s="189"/>
      <c r="S100" s="515"/>
      <c r="T100" s="516"/>
    </row>
    <row r="101" spans="3:20" s="517" customFormat="1" ht="23.4" customHeight="1">
      <c r="C101" s="512"/>
      <c r="D101" s="513"/>
      <c r="E101" s="594"/>
      <c r="F101" s="513"/>
      <c r="G101" s="513"/>
      <c r="H101" s="595"/>
      <c r="I101" s="514"/>
      <c r="J101" s="514"/>
      <c r="K101" s="514"/>
      <c r="L101" s="514"/>
      <c r="M101" s="514"/>
      <c r="N101" s="514"/>
      <c r="O101" s="514"/>
      <c r="P101" s="514"/>
      <c r="Q101" s="514"/>
      <c r="R101" s="189"/>
      <c r="S101" s="515"/>
      <c r="T101" s="516"/>
    </row>
    <row r="102" spans="3:20" ht="23.4" customHeight="1"/>
    <row r="103" spans="3:20" s="517" customFormat="1" ht="23.4" customHeight="1">
      <c r="C103" s="512" t="s">
        <v>5541</v>
      </c>
      <c r="D103" s="513" t="s">
        <v>6746</v>
      </c>
      <c r="E103" s="594"/>
      <c r="F103" s="513"/>
      <c r="G103" s="513"/>
      <c r="H103" s="595"/>
      <c r="I103" s="514"/>
      <c r="J103" s="514"/>
      <c r="K103" s="514"/>
      <c r="L103" s="514"/>
      <c r="M103" s="514"/>
      <c r="N103" s="514"/>
      <c r="O103" s="514"/>
      <c r="P103" s="514"/>
      <c r="Q103" s="514"/>
      <c r="R103" s="189" t="s">
        <v>5296</v>
      </c>
      <c r="S103" s="709" t="s">
        <v>6451</v>
      </c>
      <c r="T103" s="516" t="s">
        <v>6745</v>
      </c>
    </row>
    <row r="104" spans="3:20" s="517" customFormat="1" ht="23.4" customHeight="1">
      <c r="C104" s="512" t="s">
        <v>6672</v>
      </c>
      <c r="D104" s="513"/>
      <c r="E104" s="710" t="s">
        <v>6747</v>
      </c>
      <c r="F104" s="513"/>
      <c r="G104" s="513"/>
      <c r="H104" s="595"/>
      <c r="I104" s="514"/>
      <c r="J104" s="514"/>
      <c r="K104" s="514"/>
      <c r="L104" s="514"/>
      <c r="M104" s="514"/>
      <c r="N104" s="514"/>
      <c r="O104" s="514"/>
      <c r="P104" s="514"/>
      <c r="Q104" s="514"/>
      <c r="R104" s="189"/>
      <c r="S104" s="709"/>
      <c r="T104" s="516"/>
    </row>
    <row r="105" spans="3:20" s="517" customFormat="1" ht="23.4" customHeight="1">
      <c r="C105" s="512" t="s">
        <v>6673</v>
      </c>
      <c r="D105" s="513"/>
      <c r="E105" s="710" t="s">
        <v>6748</v>
      </c>
      <c r="F105" s="513"/>
      <c r="G105" s="513"/>
      <c r="H105" s="595"/>
      <c r="I105" s="514"/>
      <c r="J105" s="514"/>
      <c r="K105" s="514"/>
      <c r="L105" s="514"/>
      <c r="M105" s="514"/>
      <c r="N105" s="514"/>
      <c r="O105" s="514"/>
      <c r="P105" s="514"/>
      <c r="Q105" s="514"/>
      <c r="R105" s="189"/>
      <c r="S105" s="709"/>
      <c r="T105" s="516"/>
    </row>
    <row r="106" spans="3:20" s="517" customFormat="1" ht="23.4" customHeight="1">
      <c r="C106" s="512" t="s">
        <v>6674</v>
      </c>
      <c r="D106" s="513"/>
      <c r="E106" s="710" t="s">
        <v>6749</v>
      </c>
      <c r="F106" s="513"/>
      <c r="G106" s="513"/>
      <c r="H106" s="595"/>
      <c r="I106" s="514"/>
      <c r="J106" s="514"/>
      <c r="K106" s="514"/>
      <c r="L106" s="514"/>
      <c r="M106" s="514"/>
      <c r="N106" s="514"/>
      <c r="O106" s="514"/>
      <c r="P106" s="514"/>
      <c r="Q106" s="514"/>
      <c r="R106" s="189"/>
      <c r="S106" s="709"/>
      <c r="T106" s="516"/>
    </row>
    <row r="107" spans="3:20" s="517" customFormat="1" ht="23.4" customHeight="1">
      <c r="C107" s="512" t="s">
        <v>6675</v>
      </c>
      <c r="D107" s="513"/>
      <c r="E107" s="710" t="s">
        <v>6750</v>
      </c>
      <c r="F107" s="513"/>
      <c r="G107" s="513"/>
      <c r="H107" s="595"/>
      <c r="I107" s="514"/>
      <c r="J107" s="514"/>
      <c r="K107" s="514"/>
      <c r="L107" s="514"/>
      <c r="M107" s="514"/>
      <c r="N107" s="514"/>
      <c r="O107" s="514"/>
      <c r="P107" s="514"/>
      <c r="Q107" s="514"/>
      <c r="R107" s="189"/>
      <c r="S107" s="709"/>
      <c r="T107" s="516"/>
    </row>
    <row r="108" spans="3:20" s="517" customFormat="1" ht="23.4" customHeight="1" thickBot="1">
      <c r="C108" s="571" t="s">
        <v>6676</v>
      </c>
      <c r="D108" s="513"/>
      <c r="E108" s="710" t="s">
        <v>6751</v>
      </c>
      <c r="F108" s="513"/>
      <c r="G108" s="513"/>
      <c r="H108" s="595"/>
      <c r="I108" s="514"/>
      <c r="J108" s="514"/>
      <c r="K108" s="514"/>
      <c r="L108" s="514"/>
      <c r="M108" s="514"/>
      <c r="N108" s="514"/>
      <c r="O108" s="514"/>
      <c r="P108" s="514"/>
      <c r="Q108" s="514"/>
      <c r="R108" s="189"/>
      <c r="S108" s="709"/>
      <c r="T108" s="516"/>
    </row>
    <row r="109" spans="3:20" s="517" customFormat="1" ht="23.4" customHeight="1" thickTop="1">
      <c r="C109" s="190" t="s">
        <v>1195</v>
      </c>
      <c r="D109" s="1922" t="s">
        <v>1196</v>
      </c>
      <c r="E109" s="1923"/>
      <c r="F109" s="1923"/>
      <c r="G109" s="1924"/>
      <c r="H109" s="191" t="s">
        <v>1906</v>
      </c>
      <c r="I109" s="596" t="s">
        <v>1198</v>
      </c>
      <c r="J109" s="600"/>
      <c r="K109" s="191" t="s">
        <v>5286</v>
      </c>
      <c r="L109" s="596" t="s">
        <v>6733</v>
      </c>
      <c r="M109" s="679"/>
      <c r="N109" s="561"/>
      <c r="O109" s="561"/>
      <c r="P109" s="561"/>
      <c r="Q109" s="561"/>
      <c r="R109" s="200"/>
      <c r="S109" s="515"/>
    </row>
    <row r="110" spans="3:20" s="517" customFormat="1" ht="23.4" customHeight="1">
      <c r="C110" s="601" t="s">
        <v>1766</v>
      </c>
      <c r="D110" s="602" t="s">
        <v>5288</v>
      </c>
      <c r="E110" s="604"/>
      <c r="F110" s="604"/>
      <c r="G110" s="604"/>
      <c r="H110" s="604"/>
      <c r="I110" s="604"/>
      <c r="J110" s="604"/>
      <c r="K110" s="604"/>
      <c r="L110" s="604"/>
      <c r="M110" s="680"/>
      <c r="N110" s="681"/>
      <c r="O110" s="681"/>
      <c r="P110" s="681"/>
      <c r="Q110" s="681"/>
      <c r="R110" s="200"/>
      <c r="S110" s="515"/>
    </row>
    <row r="111" spans="3:20" s="517" customFormat="1" ht="23.4" customHeight="1">
      <c r="C111" s="519">
        <v>1</v>
      </c>
      <c r="D111" s="682" t="s">
        <v>6683</v>
      </c>
      <c r="E111" s="607"/>
      <c r="F111" s="611"/>
      <c r="G111" s="616"/>
      <c r="H111" s="213" t="s">
        <v>6687</v>
      </c>
      <c r="I111" s="619">
        <v>7</v>
      </c>
      <c r="J111" s="613"/>
      <c r="K111" s="520" t="s">
        <v>2139</v>
      </c>
      <c r="L111" s="618"/>
      <c r="M111" s="683"/>
      <c r="N111" s="684"/>
      <c r="O111" s="684"/>
      <c r="P111" s="684"/>
      <c r="Q111" s="684"/>
      <c r="R111" s="200"/>
      <c r="S111" s="515"/>
    </row>
    <row r="112" spans="3:20" s="517" customFormat="1" ht="23.4" customHeight="1">
      <c r="C112" s="519">
        <v>2</v>
      </c>
      <c r="D112" s="682" t="s">
        <v>6684</v>
      </c>
      <c r="E112" s="607"/>
      <c r="F112" s="611"/>
      <c r="G112" s="616"/>
      <c r="H112" s="213" t="s">
        <v>6688</v>
      </c>
      <c r="I112" s="619">
        <v>1.25</v>
      </c>
      <c r="J112" s="613"/>
      <c r="K112" s="520" t="s">
        <v>5296</v>
      </c>
      <c r="L112" s="618" t="s">
        <v>6734</v>
      </c>
      <c r="M112" s="683"/>
      <c r="N112" s="684"/>
      <c r="O112" s="684"/>
      <c r="P112" s="684"/>
      <c r="Q112" s="684"/>
      <c r="R112" s="200"/>
      <c r="S112" s="515"/>
    </row>
    <row r="113" spans="3:19" s="517" customFormat="1" ht="23.4" customHeight="1">
      <c r="C113" s="519">
        <v>3</v>
      </c>
      <c r="D113" s="682" t="s">
        <v>6685</v>
      </c>
      <c r="E113" s="607"/>
      <c r="F113" s="611"/>
      <c r="G113" s="616"/>
      <c r="H113" s="213" t="s">
        <v>1767</v>
      </c>
      <c r="I113" s="619">
        <v>100</v>
      </c>
      <c r="J113" s="620"/>
      <c r="K113" s="520" t="s">
        <v>5289</v>
      </c>
      <c r="L113" s="618"/>
      <c r="M113" s="683"/>
      <c r="N113" s="684"/>
      <c r="O113" s="684"/>
      <c r="P113" s="684"/>
      <c r="Q113" s="684"/>
      <c r="R113" s="200"/>
      <c r="S113" s="515"/>
    </row>
    <row r="114" spans="3:19" s="517" customFormat="1" ht="23.4" customHeight="1">
      <c r="C114" s="519">
        <v>4</v>
      </c>
      <c r="D114" s="682" t="s">
        <v>6686</v>
      </c>
      <c r="E114" s="607"/>
      <c r="F114" s="611"/>
      <c r="G114" s="616"/>
      <c r="H114" s="213"/>
      <c r="I114" s="619"/>
      <c r="J114" s="620"/>
      <c r="K114" s="520"/>
      <c r="L114" s="618"/>
      <c r="M114" s="683"/>
      <c r="N114" s="684"/>
      <c r="O114" s="684"/>
      <c r="P114" s="684"/>
      <c r="Q114" s="684"/>
      <c r="R114" s="200"/>
      <c r="S114" s="515"/>
    </row>
    <row r="115" spans="3:19" s="517" customFormat="1" ht="23.4" customHeight="1">
      <c r="C115" s="518" t="s">
        <v>5291</v>
      </c>
      <c r="D115" s="602" t="s">
        <v>5292</v>
      </c>
      <c r="E115" s="604"/>
      <c r="F115" s="604"/>
      <c r="G115" s="604"/>
      <c r="H115" s="604"/>
      <c r="I115" s="604"/>
      <c r="J115" s="604"/>
      <c r="K115" s="604"/>
      <c r="L115" s="604"/>
      <c r="M115" s="680"/>
      <c r="N115" s="681"/>
      <c r="O115" s="681"/>
      <c r="P115" s="681"/>
      <c r="Q115" s="681"/>
      <c r="R115" s="200"/>
      <c r="S115" s="515"/>
    </row>
    <row r="116" spans="3:19" s="517" customFormat="1" ht="23.4" customHeight="1">
      <c r="C116" s="524" t="s">
        <v>1203</v>
      </c>
      <c r="D116" s="610" t="s">
        <v>6754</v>
      </c>
      <c r="E116" s="607"/>
      <c r="F116" s="611"/>
      <c r="G116" s="616"/>
      <c r="H116" s="234"/>
      <c r="I116" s="628"/>
      <c r="J116" s="629"/>
      <c r="K116" s="525"/>
      <c r="L116" s="618"/>
      <c r="M116" s="683"/>
      <c r="N116" s="684"/>
      <c r="O116" s="684"/>
      <c r="P116" s="684"/>
      <c r="Q116" s="684"/>
      <c r="R116" s="200"/>
      <c r="S116" s="515"/>
    </row>
    <row r="117" spans="3:19" s="517" customFormat="1" ht="23.4" customHeight="1">
      <c r="C117" s="524">
        <v>2</v>
      </c>
      <c r="D117" s="610" t="s">
        <v>6689</v>
      </c>
      <c r="E117" s="607"/>
      <c r="F117" s="611"/>
      <c r="G117" s="616"/>
      <c r="H117" s="234"/>
      <c r="I117" s="628"/>
      <c r="J117" s="629"/>
      <c r="K117" s="525"/>
      <c r="L117" s="618"/>
      <c r="M117" s="683"/>
      <c r="N117" s="684"/>
      <c r="O117" s="684"/>
      <c r="P117" s="684"/>
      <c r="Q117" s="684"/>
      <c r="R117" s="200"/>
      <c r="S117" s="515"/>
    </row>
    <row r="118" spans="3:19" s="517" customFormat="1" ht="23.4" customHeight="1">
      <c r="C118" s="524">
        <v>3</v>
      </c>
      <c r="D118" s="610" t="s">
        <v>6690</v>
      </c>
      <c r="E118" s="607"/>
      <c r="F118" s="611"/>
      <c r="G118" s="616"/>
      <c r="H118" s="234"/>
      <c r="I118" s="628"/>
      <c r="J118" s="629"/>
      <c r="K118" s="525"/>
      <c r="L118" s="618"/>
      <c r="M118" s="683"/>
      <c r="N118" s="684"/>
      <c r="O118" s="684"/>
      <c r="P118" s="684"/>
      <c r="Q118" s="684"/>
      <c r="R118" s="200"/>
      <c r="S118" s="515"/>
    </row>
    <row r="119" spans="3:19" s="517" customFormat="1" ht="23.4" customHeight="1">
      <c r="C119" s="601" t="s">
        <v>1071</v>
      </c>
      <c r="D119" s="602" t="s">
        <v>6691</v>
      </c>
      <c r="E119" s="604"/>
      <c r="F119" s="604"/>
      <c r="G119" s="604"/>
      <c r="H119" s="604"/>
      <c r="I119" s="604"/>
      <c r="J119" s="604"/>
      <c r="K119" s="604"/>
      <c r="L119" s="604"/>
      <c r="M119" s="680"/>
      <c r="N119" s="681"/>
      <c r="O119" s="681"/>
      <c r="P119" s="681"/>
      <c r="Q119" s="681"/>
      <c r="R119" s="200"/>
      <c r="S119" s="515"/>
    </row>
    <row r="120" spans="3:19" s="517" customFormat="1" ht="23.4" customHeight="1">
      <c r="C120" s="601" t="s">
        <v>5265</v>
      </c>
      <c r="D120" s="644" t="s">
        <v>6692</v>
      </c>
      <c r="E120" s="603"/>
      <c r="F120" s="645" t="s">
        <v>6657</v>
      </c>
      <c r="G120" s="645"/>
      <c r="H120" s="656"/>
      <c r="I120" s="644"/>
      <c r="J120" s="657"/>
      <c r="K120" s="685"/>
      <c r="L120" s="644"/>
      <c r="M120" s="686"/>
      <c r="N120" s="687"/>
      <c r="O120" s="687"/>
      <c r="P120" s="687"/>
      <c r="Q120" s="687"/>
      <c r="R120" s="200"/>
      <c r="S120" s="515"/>
    </row>
    <row r="121" spans="3:19" s="517" customFormat="1" ht="23.4" customHeight="1">
      <c r="C121" s="543"/>
      <c r="D121" s="688" t="s">
        <v>6693</v>
      </c>
      <c r="E121" s="688"/>
      <c r="F121" s="645"/>
      <c r="G121" s="645"/>
      <c r="H121" s="213" t="s">
        <v>1769</v>
      </c>
      <c r="I121" s="610">
        <v>150</v>
      </c>
      <c r="J121" s="616"/>
      <c r="K121" s="196" t="s">
        <v>5297</v>
      </c>
      <c r="L121" s="610"/>
      <c r="M121" s="637"/>
      <c r="N121" s="689"/>
      <c r="O121" s="689"/>
      <c r="P121" s="689"/>
      <c r="Q121" s="689"/>
      <c r="R121" s="200"/>
      <c r="S121" s="515"/>
    </row>
    <row r="122" spans="3:19" s="517" customFormat="1" ht="23.4" customHeight="1">
      <c r="C122" s="674"/>
      <c r="D122" s="690" t="s">
        <v>6694</v>
      </c>
      <c r="E122" s="690"/>
      <c r="F122" s="611"/>
      <c r="G122" s="611"/>
      <c r="H122" s="213" t="s">
        <v>5295</v>
      </c>
      <c r="I122" s="610">
        <v>0.83</v>
      </c>
      <c r="J122" s="616"/>
      <c r="K122" s="196" t="s">
        <v>5296</v>
      </c>
      <c r="L122" s="610" t="s">
        <v>6735</v>
      </c>
      <c r="M122" s="637"/>
      <c r="N122" s="689"/>
      <c r="O122" s="689"/>
      <c r="P122" s="689"/>
      <c r="Q122" s="689"/>
      <c r="R122" s="200"/>
      <c r="S122" s="515"/>
    </row>
    <row r="123" spans="3:19" s="517" customFormat="1" ht="23.4" customHeight="1">
      <c r="C123" s="674"/>
      <c r="D123" s="644" t="s">
        <v>6695</v>
      </c>
      <c r="E123" s="607"/>
      <c r="F123" s="611"/>
      <c r="G123" s="611"/>
      <c r="H123" s="656" t="s">
        <v>1767</v>
      </c>
      <c r="I123" s="610">
        <v>100</v>
      </c>
      <c r="J123" s="616"/>
      <c r="K123" s="196" t="s">
        <v>6728</v>
      </c>
      <c r="L123" s="610"/>
      <c r="M123" s="637"/>
      <c r="N123" s="689"/>
      <c r="O123" s="689"/>
      <c r="P123" s="689"/>
      <c r="Q123" s="689"/>
      <c r="R123" s="200"/>
      <c r="S123" s="515"/>
    </row>
    <row r="124" spans="3:19" s="517" customFormat="1" ht="23.4" customHeight="1">
      <c r="C124" s="674"/>
      <c r="D124" s="682" t="s">
        <v>6696</v>
      </c>
      <c r="E124" s="607"/>
      <c r="F124" s="611"/>
      <c r="G124" s="611"/>
      <c r="H124" s="213" t="s">
        <v>6703</v>
      </c>
      <c r="I124" s="610">
        <v>40</v>
      </c>
      <c r="J124" s="616"/>
      <c r="K124" s="196" t="s">
        <v>6729</v>
      </c>
      <c r="L124" s="1897" t="s">
        <v>6736</v>
      </c>
      <c r="M124" s="637"/>
      <c r="N124" s="689"/>
      <c r="O124" s="689"/>
      <c r="P124" s="689"/>
      <c r="Q124" s="689"/>
      <c r="R124" s="200"/>
      <c r="S124" s="515"/>
    </row>
    <row r="125" spans="3:19" s="517" customFormat="1" ht="23.4" customHeight="1">
      <c r="C125" s="674"/>
      <c r="D125" s="682" t="s">
        <v>6697</v>
      </c>
      <c r="E125" s="607"/>
      <c r="F125" s="611"/>
      <c r="G125" s="611"/>
      <c r="H125" s="213" t="s">
        <v>6704</v>
      </c>
      <c r="I125" s="610">
        <v>60</v>
      </c>
      <c r="J125" s="616"/>
      <c r="K125" s="196" t="s">
        <v>6729</v>
      </c>
      <c r="L125" s="1898"/>
      <c r="M125" s="637"/>
      <c r="N125" s="689"/>
      <c r="O125" s="689"/>
      <c r="P125" s="689"/>
      <c r="Q125" s="689"/>
      <c r="R125" s="200"/>
      <c r="S125" s="515"/>
    </row>
    <row r="126" spans="3:19" s="517" customFormat="1" ht="23.4" customHeight="1">
      <c r="C126" s="674"/>
      <c r="D126" s="644" t="s">
        <v>5294</v>
      </c>
      <c r="E126" s="603"/>
      <c r="F126" s="645"/>
      <c r="G126" s="645"/>
      <c r="H126" s="213"/>
      <c r="I126" s="610"/>
      <c r="J126" s="616"/>
      <c r="K126" s="196"/>
      <c r="L126" s="610"/>
      <c r="M126" s="637"/>
      <c r="N126" s="689"/>
      <c r="O126" s="689"/>
      <c r="P126" s="689"/>
      <c r="Q126" s="689"/>
      <c r="R126" s="200"/>
      <c r="S126" s="515"/>
    </row>
    <row r="127" spans="3:19" s="517" customFormat="1" ht="23.4" customHeight="1">
      <c r="C127" s="674"/>
      <c r="D127" s="610" t="s">
        <v>6698</v>
      </c>
      <c r="E127" s="607" t="s">
        <v>6619</v>
      </c>
      <c r="F127" s="611" t="s">
        <v>6700</v>
      </c>
      <c r="G127" s="611"/>
      <c r="H127" s="213" t="s">
        <v>6701</v>
      </c>
      <c r="I127" s="610">
        <f>(I113/I124)*60</f>
        <v>150</v>
      </c>
      <c r="J127" s="616"/>
      <c r="K127" s="196" t="s">
        <v>5298</v>
      </c>
      <c r="L127" s="610"/>
      <c r="M127" s="637"/>
      <c r="N127" s="689"/>
      <c r="O127" s="689"/>
      <c r="P127" s="689"/>
      <c r="Q127" s="689"/>
      <c r="R127" s="200"/>
      <c r="S127" s="515"/>
    </row>
    <row r="128" spans="3:19" s="517" customFormat="1" ht="23.4" customHeight="1" thickBot="1">
      <c r="C128" s="674"/>
      <c r="D128" s="610" t="s">
        <v>6699</v>
      </c>
      <c r="E128" s="607" t="s">
        <v>6619</v>
      </c>
      <c r="F128" s="611" t="s">
        <v>6700</v>
      </c>
      <c r="G128" s="611"/>
      <c r="H128" s="691" t="s">
        <v>6702</v>
      </c>
      <c r="I128" s="610">
        <v>115.31</v>
      </c>
      <c r="J128" s="616"/>
      <c r="K128" s="196" t="s">
        <v>5298</v>
      </c>
      <c r="L128" s="610"/>
      <c r="M128" s="637"/>
      <c r="N128" s="689"/>
      <c r="O128" s="689"/>
      <c r="P128" s="689"/>
      <c r="Q128" s="689"/>
      <c r="R128" s="200"/>
      <c r="S128" s="515"/>
    </row>
    <row r="129" spans="3:19" s="517" customFormat="1" ht="23.4" customHeight="1">
      <c r="C129" s="674"/>
      <c r="D129" s="610"/>
      <c r="E129" s="607"/>
      <c r="F129" s="611"/>
      <c r="G129" s="611"/>
      <c r="H129" s="692" t="s">
        <v>6705</v>
      </c>
      <c r="I129" s="639">
        <f>SUM(I127:I128)</f>
        <v>265.31</v>
      </c>
      <c r="J129" s="633"/>
      <c r="K129" s="693" t="s">
        <v>5298</v>
      </c>
      <c r="L129" s="610"/>
      <c r="M129" s="637"/>
      <c r="N129" s="689"/>
      <c r="O129" s="689"/>
      <c r="P129" s="689"/>
      <c r="Q129" s="689"/>
      <c r="R129" s="200"/>
      <c r="S129" s="515"/>
    </row>
    <row r="130" spans="3:19" s="517" customFormat="1" ht="23.4" customHeight="1">
      <c r="C130" s="674"/>
      <c r="D130" s="610" t="s">
        <v>6706</v>
      </c>
      <c r="E130" s="607" t="s">
        <v>6619</v>
      </c>
      <c r="F130" s="655" t="s">
        <v>6708</v>
      </c>
      <c r="G130" s="611"/>
      <c r="H130" s="692" t="s">
        <v>6710</v>
      </c>
      <c r="I130" s="639">
        <f>(I121*I122*60)/I129</f>
        <v>28.155742339150429</v>
      </c>
      <c r="J130" s="633"/>
      <c r="K130" s="693" t="s">
        <v>6730</v>
      </c>
      <c r="L130" s="610"/>
      <c r="M130" s="637"/>
      <c r="N130" s="689"/>
      <c r="O130" s="689"/>
      <c r="P130" s="689"/>
      <c r="Q130" s="689"/>
      <c r="R130" s="200"/>
      <c r="S130" s="515"/>
    </row>
    <row r="131" spans="3:19" s="517" customFormat="1" ht="23.4" customHeight="1">
      <c r="C131" s="674"/>
      <c r="D131" s="610" t="s">
        <v>6707</v>
      </c>
      <c r="E131" s="607" t="s">
        <v>6619</v>
      </c>
      <c r="F131" s="611" t="s">
        <v>6709</v>
      </c>
      <c r="G131" s="611"/>
      <c r="H131" s="692"/>
      <c r="I131" s="639">
        <f>1/I130</f>
        <v>3.5516733601070952E-2</v>
      </c>
      <c r="J131" s="633"/>
      <c r="K131" s="693" t="s">
        <v>2139</v>
      </c>
      <c r="L131" s="610"/>
      <c r="M131" s="637"/>
      <c r="N131" s="689"/>
      <c r="O131" s="689"/>
      <c r="P131" s="689"/>
      <c r="Q131" s="689"/>
      <c r="R131" s="200"/>
      <c r="S131" s="515"/>
    </row>
    <row r="132" spans="3:19" s="517" customFormat="1" ht="23.4" customHeight="1">
      <c r="C132" s="675"/>
      <c r="D132" s="610"/>
      <c r="E132" s="607"/>
      <c r="F132" s="611"/>
      <c r="G132" s="611"/>
      <c r="H132" s="692"/>
      <c r="I132" s="639"/>
      <c r="J132" s="633"/>
      <c r="K132" s="693"/>
      <c r="L132" s="610"/>
      <c r="M132" s="637"/>
      <c r="N132" s="689"/>
      <c r="O132" s="689"/>
      <c r="P132" s="689"/>
      <c r="Q132" s="689"/>
      <c r="R132" s="200"/>
      <c r="S132" s="515"/>
    </row>
    <row r="133" spans="3:19" s="517" customFormat="1" ht="23.4" customHeight="1">
      <c r="C133" s="601" t="s">
        <v>2679</v>
      </c>
      <c r="D133" s="670" t="s">
        <v>6711</v>
      </c>
      <c r="E133" s="607"/>
      <c r="F133" s="611"/>
      <c r="G133" s="611"/>
      <c r="H133" s="213"/>
      <c r="I133" s="610"/>
      <c r="J133" s="616"/>
      <c r="K133" s="196"/>
      <c r="L133" s="694"/>
      <c r="M133" s="695"/>
      <c r="N133" s="696"/>
      <c r="O133" s="696"/>
      <c r="P133" s="696"/>
      <c r="Q133" s="689"/>
      <c r="R133" s="200"/>
      <c r="S133" s="515"/>
    </row>
    <row r="134" spans="3:19" s="517" customFormat="1" ht="23.4" customHeight="1">
      <c r="C134" s="543"/>
      <c r="D134" s="682" t="s">
        <v>6712</v>
      </c>
      <c r="E134" s="607"/>
      <c r="F134" s="611"/>
      <c r="G134" s="611"/>
      <c r="H134" s="213" t="s">
        <v>6716</v>
      </c>
      <c r="I134" s="610">
        <v>0.01</v>
      </c>
      <c r="J134" s="616"/>
      <c r="K134" s="196" t="s">
        <v>6728</v>
      </c>
      <c r="L134" s="694"/>
      <c r="M134" s="695"/>
      <c r="N134" s="696"/>
      <c r="O134" s="696"/>
      <c r="P134" s="696"/>
      <c r="Q134" s="689"/>
      <c r="R134" s="200"/>
      <c r="S134" s="515"/>
    </row>
    <row r="135" spans="3:19" s="517" customFormat="1" ht="23.4" customHeight="1">
      <c r="C135" s="674"/>
      <c r="D135" s="682" t="s">
        <v>6713</v>
      </c>
      <c r="E135" s="607"/>
      <c r="F135" s="611"/>
      <c r="G135" s="611"/>
      <c r="H135" s="213" t="s">
        <v>1769</v>
      </c>
      <c r="I135" s="697">
        <v>1</v>
      </c>
      <c r="J135" s="616"/>
      <c r="K135" s="196" t="s">
        <v>6675</v>
      </c>
      <c r="L135" s="694"/>
      <c r="M135" s="695"/>
      <c r="N135" s="696"/>
      <c r="O135" s="696"/>
      <c r="P135" s="696"/>
      <c r="Q135" s="689"/>
      <c r="R135" s="200"/>
      <c r="S135" s="515"/>
    </row>
    <row r="136" spans="3:19" s="517" customFormat="1" ht="23.4" customHeight="1">
      <c r="C136" s="674"/>
      <c r="D136" s="682" t="s">
        <v>6714</v>
      </c>
      <c r="E136" s="607"/>
      <c r="F136" s="611"/>
      <c r="G136" s="611"/>
      <c r="H136" s="213" t="s">
        <v>6717</v>
      </c>
      <c r="I136" s="610">
        <v>0.86</v>
      </c>
      <c r="J136" s="616"/>
      <c r="K136" s="196" t="s">
        <v>5296</v>
      </c>
      <c r="L136" s="694" t="s">
        <v>6735</v>
      </c>
      <c r="M136" s="695"/>
      <c r="N136" s="696"/>
      <c r="O136" s="696"/>
      <c r="P136" s="696"/>
      <c r="Q136" s="689"/>
      <c r="R136" s="200"/>
      <c r="S136" s="515"/>
    </row>
    <row r="137" spans="3:19" s="517" customFormat="1" ht="23.4" customHeight="1">
      <c r="C137" s="674"/>
      <c r="D137" s="670" t="s">
        <v>6715</v>
      </c>
      <c r="E137" s="607"/>
      <c r="F137" s="611"/>
      <c r="G137" s="611"/>
      <c r="H137" s="213"/>
      <c r="I137" s="610"/>
      <c r="J137" s="616"/>
      <c r="K137" s="196"/>
      <c r="L137" s="694"/>
      <c r="M137" s="695"/>
      <c r="N137" s="696"/>
      <c r="O137" s="696"/>
      <c r="P137" s="696"/>
      <c r="Q137" s="689"/>
      <c r="R137" s="200"/>
      <c r="S137" s="515"/>
    </row>
    <row r="138" spans="3:19" s="517" customFormat="1" ht="23.4" customHeight="1">
      <c r="C138" s="674"/>
      <c r="D138" s="682" t="s">
        <v>6718</v>
      </c>
      <c r="E138" s="607"/>
      <c r="F138" s="611"/>
      <c r="G138" s="611"/>
      <c r="H138" s="213" t="s">
        <v>6701</v>
      </c>
      <c r="I138" s="610">
        <v>0.5</v>
      </c>
      <c r="J138" s="616"/>
      <c r="K138" s="196" t="s">
        <v>6731</v>
      </c>
      <c r="L138" s="1899" t="s">
        <v>6737</v>
      </c>
      <c r="M138" s="695"/>
      <c r="N138" s="696"/>
      <c r="O138" s="696"/>
      <c r="P138" s="696"/>
      <c r="Q138" s="689"/>
      <c r="R138" s="200"/>
      <c r="S138" s="515"/>
    </row>
    <row r="139" spans="3:19" s="517" customFormat="1" ht="23.4" customHeight="1" thickBot="1">
      <c r="C139" s="674"/>
      <c r="D139" s="682" t="s">
        <v>6752</v>
      </c>
      <c r="E139" s="607"/>
      <c r="F139" s="611"/>
      <c r="G139" s="611"/>
      <c r="H139" s="691" t="s">
        <v>6702</v>
      </c>
      <c r="I139" s="676">
        <v>0.27</v>
      </c>
      <c r="J139" s="616"/>
      <c r="K139" s="196" t="s">
        <v>6731</v>
      </c>
      <c r="L139" s="1900"/>
      <c r="M139" s="695"/>
      <c r="N139" s="696"/>
      <c r="O139" s="696"/>
      <c r="P139" s="696"/>
      <c r="Q139" s="689"/>
      <c r="R139" s="200"/>
      <c r="S139" s="515"/>
    </row>
    <row r="140" spans="3:19" s="517" customFormat="1" ht="23.4" customHeight="1">
      <c r="C140" s="674"/>
      <c r="D140" s="682"/>
      <c r="E140" s="607"/>
      <c r="F140" s="611"/>
      <c r="G140" s="611"/>
      <c r="H140" s="692" t="s">
        <v>6719</v>
      </c>
      <c r="I140" s="639">
        <f>SUM(I138:I139)</f>
        <v>0.77</v>
      </c>
      <c r="J140" s="616"/>
      <c r="K140" s="196" t="s">
        <v>6731</v>
      </c>
      <c r="L140" s="694"/>
      <c r="M140" s="695"/>
      <c r="N140" s="696"/>
      <c r="O140" s="696"/>
      <c r="P140" s="696"/>
      <c r="Q140" s="689"/>
      <c r="R140" s="200"/>
      <c r="S140" s="515"/>
    </row>
    <row r="141" spans="3:19" s="517" customFormat="1" ht="23.4" customHeight="1">
      <c r="C141" s="674"/>
      <c r="D141" s="682" t="s">
        <v>6720</v>
      </c>
      <c r="E141" s="607" t="s">
        <v>6619</v>
      </c>
      <c r="F141" s="655" t="s">
        <v>6727</v>
      </c>
      <c r="G141" s="611"/>
      <c r="H141" s="213" t="s">
        <v>6726</v>
      </c>
      <c r="I141" s="610">
        <f>(I136*60)/I140</f>
        <v>67.012987012987011</v>
      </c>
      <c r="J141" s="616"/>
      <c r="K141" s="196" t="s">
        <v>6732</v>
      </c>
      <c r="L141" s="694"/>
      <c r="M141" s="695"/>
      <c r="N141" s="696"/>
      <c r="O141" s="696"/>
      <c r="P141" s="696"/>
      <c r="Q141" s="689"/>
      <c r="R141" s="200"/>
      <c r="S141" s="515"/>
    </row>
    <row r="142" spans="3:19" s="517" customFormat="1" ht="23.4" customHeight="1">
      <c r="C142" s="674"/>
      <c r="D142" s="670" t="s">
        <v>6721</v>
      </c>
      <c r="E142" s="607"/>
      <c r="F142" s="611"/>
      <c r="G142" s="611"/>
      <c r="H142" s="213"/>
      <c r="I142" s="610"/>
      <c r="J142" s="616"/>
      <c r="K142" s="196"/>
      <c r="L142" s="694"/>
      <c r="M142" s="695"/>
      <c r="N142" s="696"/>
      <c r="O142" s="696"/>
      <c r="P142" s="696"/>
      <c r="Q142" s="689"/>
      <c r="R142" s="200"/>
      <c r="S142" s="515"/>
    </row>
    <row r="143" spans="3:19" s="517" customFormat="1" ht="23.4" customHeight="1">
      <c r="C143" s="674"/>
      <c r="D143" s="682" t="s">
        <v>6722</v>
      </c>
      <c r="E143" s="607" t="s">
        <v>6619</v>
      </c>
      <c r="F143" s="611" t="s">
        <v>6724</v>
      </c>
      <c r="G143" s="611"/>
      <c r="H143" s="213" t="s">
        <v>1774</v>
      </c>
      <c r="I143" s="610">
        <v>2.9899999999999999E-2</v>
      </c>
      <c r="J143" s="616"/>
      <c r="K143" s="196" t="s">
        <v>1863</v>
      </c>
      <c r="L143" s="694" t="s">
        <v>6738</v>
      </c>
      <c r="M143" s="695"/>
      <c r="N143" s="696"/>
      <c r="O143" s="696"/>
      <c r="P143" s="696"/>
      <c r="Q143" s="689"/>
      <c r="R143" s="200"/>
      <c r="S143" s="515"/>
    </row>
    <row r="144" spans="3:19" s="517" customFormat="1" ht="23.4" customHeight="1">
      <c r="C144" s="675"/>
      <c r="D144" s="610" t="s">
        <v>6723</v>
      </c>
      <c r="E144" s="607" t="s">
        <v>6619</v>
      </c>
      <c r="F144" s="611" t="s">
        <v>6725</v>
      </c>
      <c r="G144" s="611"/>
      <c r="H144" s="213" t="s">
        <v>1777</v>
      </c>
      <c r="I144" s="610">
        <v>3.0000000000000001E-3</v>
      </c>
      <c r="J144" s="616"/>
      <c r="K144" s="196" t="s">
        <v>2138</v>
      </c>
      <c r="L144" s="694"/>
      <c r="M144" s="695"/>
      <c r="N144" s="696"/>
      <c r="O144" s="696"/>
      <c r="P144" s="696"/>
      <c r="Q144" s="689"/>
      <c r="R144" s="200"/>
      <c r="S144" s="515"/>
    </row>
    <row r="145" spans="3:20" ht="23.4" customHeight="1"/>
    <row r="146" spans="3:20" ht="23.4" customHeight="1"/>
    <row r="147" spans="3:20" s="517" customFormat="1" ht="23.4" customHeight="1">
      <c r="C147" s="512" t="s">
        <v>5542</v>
      </c>
      <c r="D147" s="513" t="s">
        <v>6756</v>
      </c>
      <c r="E147" s="594"/>
      <c r="F147" s="513"/>
      <c r="G147" s="513"/>
      <c r="H147" s="595"/>
      <c r="I147" s="514"/>
      <c r="J147" s="514"/>
      <c r="K147" s="514"/>
      <c r="L147" s="514"/>
      <c r="M147" s="514"/>
      <c r="N147" s="514"/>
      <c r="O147" s="514"/>
      <c r="P147" s="514"/>
      <c r="Q147" s="514"/>
      <c r="R147" s="189">
        <f>ROUNDDOWN(H161,-2)</f>
        <v>12700</v>
      </c>
      <c r="S147" s="515" t="s">
        <v>6456</v>
      </c>
      <c r="T147" s="516" t="s">
        <v>6755</v>
      </c>
    </row>
    <row r="148" spans="3:20" s="517" customFormat="1" ht="23.4" customHeight="1">
      <c r="C148" s="699" t="s">
        <v>1195</v>
      </c>
      <c r="D148" s="699" t="s">
        <v>1196</v>
      </c>
      <c r="E148" s="699" t="s">
        <v>1197</v>
      </c>
      <c r="F148" s="699" t="s">
        <v>1198</v>
      </c>
      <c r="G148" s="699" t="s">
        <v>1199</v>
      </c>
      <c r="H148" s="699" t="s">
        <v>1200</v>
      </c>
      <c r="I148" s="514"/>
      <c r="J148" s="514"/>
      <c r="K148" s="514"/>
      <c r="L148" s="514"/>
      <c r="M148" s="514"/>
      <c r="N148" s="514"/>
      <c r="O148" s="514"/>
      <c r="P148" s="514"/>
      <c r="Q148" s="514"/>
      <c r="R148" s="189"/>
      <c r="S148" s="515"/>
      <c r="T148" s="516"/>
    </row>
    <row r="149" spans="3:20" s="517" customFormat="1" ht="23.4" customHeight="1">
      <c r="C149" s="202" t="s">
        <v>1201</v>
      </c>
      <c r="D149" s="196" t="s">
        <v>1202</v>
      </c>
      <c r="E149" s="197"/>
      <c r="F149" s="197"/>
      <c r="G149" s="197"/>
      <c r="H149" s="197"/>
      <c r="I149" s="514"/>
      <c r="J149" s="514"/>
      <c r="K149" s="514"/>
      <c r="L149" s="514"/>
      <c r="M149" s="514"/>
      <c r="N149" s="514"/>
      <c r="O149" s="514"/>
      <c r="P149" s="514"/>
      <c r="Q149" s="514"/>
      <c r="R149" s="189"/>
      <c r="S149" s="515"/>
      <c r="T149" s="516"/>
    </row>
    <row r="150" spans="3:20" s="517" customFormat="1" ht="23.4" customHeight="1">
      <c r="C150" s="700">
        <v>1</v>
      </c>
      <c r="D150" s="196" t="s">
        <v>5</v>
      </c>
      <c r="E150" s="701" t="s">
        <v>1863</v>
      </c>
      <c r="F150" s="520">
        <v>2.9899999999999999E-2</v>
      </c>
      <c r="G150" s="205">
        <f>VLOOKUP(D150,upahbahan,3,FALSE)/8</f>
        <v>12500</v>
      </c>
      <c r="H150" s="205">
        <f t="shared" ref="H150:H151" si="20">F150*G150</f>
        <v>373.75</v>
      </c>
      <c r="I150" s="514"/>
      <c r="J150" s="514"/>
      <c r="K150" s="514"/>
      <c r="L150" s="514"/>
      <c r="M150" s="514"/>
      <c r="N150" s="514"/>
      <c r="O150" s="514"/>
      <c r="P150" s="514"/>
      <c r="Q150" s="514"/>
      <c r="R150" s="189"/>
      <c r="S150" s="515"/>
      <c r="T150" s="516"/>
    </row>
    <row r="151" spans="3:20" s="517" customFormat="1" ht="23.4" customHeight="1">
      <c r="C151" s="700">
        <v>2</v>
      </c>
      <c r="D151" s="196" t="s">
        <v>19</v>
      </c>
      <c r="E151" s="701" t="s">
        <v>1863</v>
      </c>
      <c r="F151" s="520">
        <v>3.0000000000000001E-3</v>
      </c>
      <c r="G151" s="205">
        <f>VLOOKUP(D151,upahbahan,3,FALSE)/8</f>
        <v>20000</v>
      </c>
      <c r="H151" s="205">
        <f t="shared" si="20"/>
        <v>60</v>
      </c>
      <c r="I151" s="514"/>
      <c r="J151" s="514"/>
      <c r="K151" s="514"/>
      <c r="L151" s="514"/>
      <c r="M151" s="514"/>
      <c r="N151" s="514"/>
      <c r="O151" s="514"/>
      <c r="P151" s="514"/>
      <c r="Q151" s="514"/>
      <c r="R151" s="189"/>
      <c r="S151" s="515"/>
      <c r="T151" s="516"/>
    </row>
    <row r="152" spans="3:20" s="517" customFormat="1" ht="23.4" customHeight="1">
      <c r="C152" s="702" t="s">
        <v>1208</v>
      </c>
      <c r="D152" s="208"/>
      <c r="E152" s="208"/>
      <c r="F152" s="521"/>
      <c r="G152" s="522"/>
      <c r="H152" s="205">
        <f>SUM(H150:H151)</f>
        <v>433.75</v>
      </c>
      <c r="I152" s="514"/>
      <c r="J152" s="514"/>
      <c r="K152" s="514"/>
      <c r="L152" s="514"/>
      <c r="M152" s="514"/>
      <c r="N152" s="514"/>
      <c r="O152" s="514"/>
      <c r="P152" s="514"/>
      <c r="Q152" s="514"/>
      <c r="R152" s="189"/>
      <c r="S152" s="515"/>
      <c r="T152" s="516"/>
    </row>
    <row r="153" spans="3:20" s="517" customFormat="1" ht="23.4" customHeight="1">
      <c r="C153" s="202" t="s">
        <v>1209</v>
      </c>
      <c r="D153" s="196" t="s">
        <v>1210</v>
      </c>
      <c r="E153" s="197"/>
      <c r="F153" s="197"/>
      <c r="G153" s="197"/>
      <c r="H153" s="197"/>
      <c r="I153" s="514"/>
      <c r="J153" s="514"/>
      <c r="K153" s="514"/>
      <c r="L153" s="514"/>
      <c r="M153" s="514"/>
      <c r="N153" s="514"/>
      <c r="O153" s="514"/>
      <c r="P153" s="514"/>
      <c r="Q153" s="514"/>
      <c r="R153" s="189"/>
      <c r="S153" s="515"/>
      <c r="T153" s="516"/>
    </row>
    <row r="154" spans="3:20" s="517" customFormat="1" ht="23.4" customHeight="1">
      <c r="C154" s="700">
        <v>1</v>
      </c>
      <c r="D154" s="703" t="s">
        <v>6757</v>
      </c>
      <c r="E154" s="704" t="s">
        <v>6742</v>
      </c>
      <c r="F154" s="705">
        <v>1</v>
      </c>
      <c r="G154" s="205">
        <f>VLOOKUP(D154,upahbahan,3,FALSE)</f>
        <v>0</v>
      </c>
      <c r="H154" s="205">
        <f t="shared" ref="H154" si="21">F154*G154</f>
        <v>0</v>
      </c>
      <c r="I154" s="514"/>
      <c r="J154" s="514"/>
      <c r="K154" s="514"/>
      <c r="L154" s="514"/>
      <c r="M154" s="514"/>
      <c r="N154" s="514"/>
      <c r="O154" s="514"/>
      <c r="P154" s="514"/>
      <c r="Q154" s="514"/>
      <c r="R154" s="189"/>
      <c r="S154" s="515"/>
      <c r="T154" s="516"/>
    </row>
    <row r="155" spans="3:20" s="517" customFormat="1" ht="23.4" customHeight="1">
      <c r="C155" s="702" t="s">
        <v>1214</v>
      </c>
      <c r="D155" s="208"/>
      <c r="E155" s="208"/>
      <c r="F155" s="208"/>
      <c r="G155" s="209"/>
      <c r="H155" s="205">
        <f>SUM(H154:H154)</f>
        <v>0</v>
      </c>
      <c r="I155" s="514"/>
      <c r="J155" s="514"/>
      <c r="K155" s="514"/>
      <c r="L155" s="514"/>
      <c r="M155" s="514"/>
      <c r="N155" s="514"/>
      <c r="O155" s="514"/>
      <c r="P155" s="514"/>
      <c r="Q155" s="514"/>
      <c r="R155" s="189"/>
      <c r="S155" s="515"/>
      <c r="T155" s="516"/>
    </row>
    <row r="156" spans="3:20" s="517" customFormat="1" ht="23.4" customHeight="1">
      <c r="C156" s="202" t="s">
        <v>1215</v>
      </c>
      <c r="D156" s="196" t="s">
        <v>1216</v>
      </c>
      <c r="E156" s="197"/>
      <c r="F156" s="197"/>
      <c r="G156" s="197"/>
      <c r="H156" s="197"/>
      <c r="I156" s="514"/>
      <c r="J156" s="514"/>
      <c r="K156" s="514"/>
      <c r="L156" s="514"/>
      <c r="M156" s="514"/>
      <c r="N156" s="514"/>
      <c r="O156" s="514"/>
      <c r="P156" s="514"/>
      <c r="Q156" s="514"/>
      <c r="R156" s="189"/>
      <c r="S156" s="515"/>
      <c r="T156" s="516"/>
    </row>
    <row r="157" spans="3:20" s="517" customFormat="1" ht="23.4" customHeight="1">
      <c r="C157" s="700">
        <v>1</v>
      </c>
      <c r="D157" s="703" t="s">
        <v>6743</v>
      </c>
      <c r="E157" s="704" t="s">
        <v>2139</v>
      </c>
      <c r="F157" s="520">
        <v>3.5520000000000003E-2</v>
      </c>
      <c r="G157" s="205">
        <f>VLOOKUP(D157,upahbahan,3,FALSE)</f>
        <v>314110.76</v>
      </c>
      <c r="H157" s="205">
        <f t="shared" ref="H157" si="22">F157*G157</f>
        <v>11157.214195200002</v>
      </c>
      <c r="I157" s="514"/>
      <c r="J157" s="514"/>
      <c r="K157" s="514"/>
      <c r="L157" s="514"/>
      <c r="M157" s="514"/>
      <c r="N157" s="514"/>
      <c r="O157" s="514"/>
      <c r="P157" s="514"/>
      <c r="Q157" s="514"/>
      <c r="R157" s="189"/>
      <c r="S157" s="515"/>
      <c r="T157" s="516"/>
    </row>
    <row r="158" spans="3:20" s="517" customFormat="1" ht="23.4" customHeight="1">
      <c r="C158" s="702" t="s">
        <v>1217</v>
      </c>
      <c r="D158" s="208"/>
      <c r="E158" s="208"/>
      <c r="F158" s="208"/>
      <c r="G158" s="209"/>
      <c r="H158" s="706">
        <f>SUM(H157)</f>
        <v>11157.214195200002</v>
      </c>
      <c r="I158" s="514"/>
      <c r="J158" s="514"/>
      <c r="K158" s="514"/>
      <c r="L158" s="514"/>
      <c r="M158" s="514"/>
      <c r="N158" s="514"/>
      <c r="O158" s="514"/>
      <c r="P158" s="514"/>
      <c r="Q158" s="514"/>
      <c r="R158" s="189"/>
      <c r="S158" s="515"/>
      <c r="T158" s="516"/>
    </row>
    <row r="159" spans="3:20" s="517" customFormat="1" ht="23.4" customHeight="1">
      <c r="C159" s="707" t="s">
        <v>1218</v>
      </c>
      <c r="D159" s="224" t="s">
        <v>1219</v>
      </c>
      <c r="E159" s="225"/>
      <c r="F159" s="225"/>
      <c r="G159" s="226"/>
      <c r="H159" s="205">
        <f>H158+H155+H152</f>
        <v>11590.964195200002</v>
      </c>
      <c r="I159" s="514"/>
      <c r="J159" s="514"/>
      <c r="K159" s="514"/>
      <c r="L159" s="514"/>
      <c r="M159" s="514"/>
      <c r="N159" s="514"/>
      <c r="O159" s="514"/>
      <c r="P159" s="514"/>
      <c r="Q159" s="514"/>
      <c r="R159" s="189"/>
      <c r="S159" s="515"/>
      <c r="T159" s="516"/>
    </row>
    <row r="160" spans="3:20" s="517" customFormat="1" ht="23.4" customHeight="1">
      <c r="C160" s="707" t="s">
        <v>1220</v>
      </c>
      <c r="D160" s="224" t="s">
        <v>1321</v>
      </c>
      <c r="E160" s="225"/>
      <c r="F160" s="226"/>
      <c r="G160" s="228">
        <v>0.1</v>
      </c>
      <c r="H160" s="205">
        <f>H159*G160</f>
        <v>1159.0964195200002</v>
      </c>
      <c r="I160" s="514"/>
      <c r="J160" s="514"/>
      <c r="K160" s="514"/>
      <c r="L160" s="514"/>
      <c r="M160" s="514"/>
      <c r="N160" s="514"/>
      <c r="O160" s="514"/>
      <c r="P160" s="514"/>
      <c r="Q160" s="514"/>
      <c r="R160" s="189"/>
      <c r="S160" s="515"/>
      <c r="T160" s="516"/>
    </row>
    <row r="161" spans="3:20" s="517" customFormat="1" ht="23.4" customHeight="1">
      <c r="C161" s="707" t="s">
        <v>1221</v>
      </c>
      <c r="D161" s="224" t="s">
        <v>1222</v>
      </c>
      <c r="E161" s="225"/>
      <c r="F161" s="225"/>
      <c r="G161" s="226"/>
      <c r="H161" s="708">
        <f>SUM(H159:H160)</f>
        <v>12750.060614720001</v>
      </c>
      <c r="I161" s="514"/>
      <c r="J161" s="514"/>
      <c r="K161" s="514"/>
      <c r="L161" s="514"/>
      <c r="M161" s="514"/>
      <c r="N161" s="514"/>
      <c r="O161" s="514"/>
      <c r="P161" s="514"/>
      <c r="Q161" s="514"/>
      <c r="R161" s="189"/>
      <c r="S161" s="515"/>
      <c r="T161" s="516"/>
    </row>
    <row r="162" spans="3:20" s="517" customFormat="1" ht="23.4" customHeight="1">
      <c r="C162" s="512"/>
      <c r="D162" s="513"/>
      <c r="E162" s="594"/>
      <c r="F162" s="513"/>
      <c r="G162" s="513"/>
      <c r="H162" s="595"/>
      <c r="I162" s="514"/>
      <c r="J162" s="514"/>
      <c r="K162" s="514"/>
      <c r="L162" s="514"/>
      <c r="M162" s="514"/>
      <c r="N162" s="514"/>
      <c r="O162" s="514"/>
      <c r="P162" s="514"/>
      <c r="Q162" s="514"/>
      <c r="R162" s="189"/>
      <c r="S162" s="515"/>
      <c r="T162" s="516"/>
    </row>
    <row r="163" spans="3:20" s="517" customFormat="1" ht="23.4" customHeight="1">
      <c r="C163" s="512"/>
      <c r="D163" s="513"/>
      <c r="E163" s="594"/>
      <c r="F163" s="513"/>
      <c r="G163" s="513"/>
      <c r="H163" s="595"/>
      <c r="I163" s="514"/>
      <c r="J163" s="514"/>
      <c r="K163" s="514"/>
      <c r="L163" s="514"/>
      <c r="M163" s="514"/>
      <c r="N163" s="514"/>
      <c r="O163" s="514"/>
      <c r="P163" s="514"/>
      <c r="Q163" s="514"/>
      <c r="R163" s="189"/>
      <c r="S163" s="515"/>
      <c r="T163" s="516"/>
    </row>
    <row r="164" spans="3:20" s="517" customFormat="1" ht="23.4" customHeight="1">
      <c r="C164" s="512" t="s">
        <v>6758</v>
      </c>
      <c r="D164" s="513" t="s">
        <v>6759</v>
      </c>
      <c r="E164" s="594"/>
      <c r="F164" s="513"/>
      <c r="G164" s="513"/>
      <c r="H164" s="595"/>
      <c r="I164" s="514"/>
      <c r="J164" s="514"/>
      <c r="K164" s="514"/>
      <c r="L164" s="514"/>
      <c r="M164" s="514"/>
      <c r="N164" s="514"/>
      <c r="O164" s="514"/>
      <c r="P164" s="514"/>
      <c r="Q164" s="514"/>
      <c r="R164" s="189"/>
      <c r="S164" s="515" t="s">
        <v>6760</v>
      </c>
      <c r="T164" s="516" t="s">
        <v>6761</v>
      </c>
    </row>
    <row r="165" spans="3:20" s="517" customFormat="1" ht="23.4" customHeight="1">
      <c r="C165" s="512" t="s">
        <v>6672</v>
      </c>
      <c r="D165" s="513"/>
      <c r="E165" s="594" t="s">
        <v>6762</v>
      </c>
      <c r="F165" s="513"/>
      <c r="G165" s="513"/>
      <c r="H165" s="595"/>
      <c r="I165" s="514"/>
      <c r="J165" s="514"/>
      <c r="K165" s="514"/>
      <c r="L165" s="514"/>
      <c r="M165" s="514"/>
      <c r="N165" s="514"/>
      <c r="O165" s="514"/>
      <c r="P165" s="514"/>
      <c r="Q165" s="514"/>
      <c r="R165" s="189"/>
      <c r="S165" s="515"/>
      <c r="T165" s="516"/>
    </row>
    <row r="166" spans="3:20" s="517" customFormat="1" ht="23.4" customHeight="1">
      <c r="C166" s="512" t="s">
        <v>6673</v>
      </c>
      <c r="D166" s="513"/>
      <c r="E166" s="710" t="s">
        <v>6748</v>
      </c>
      <c r="F166" s="513"/>
      <c r="G166" s="513"/>
      <c r="H166" s="595"/>
      <c r="I166" s="514"/>
      <c r="J166" s="514"/>
      <c r="K166" s="514"/>
      <c r="L166" s="514"/>
      <c r="M166" s="514"/>
      <c r="N166" s="514"/>
      <c r="O166" s="514"/>
      <c r="P166" s="514"/>
      <c r="Q166" s="514"/>
      <c r="R166" s="189"/>
      <c r="S166" s="515"/>
      <c r="T166" s="516"/>
    </row>
    <row r="167" spans="3:20" s="517" customFormat="1" ht="23.4" customHeight="1">
      <c r="C167" s="512" t="s">
        <v>6674</v>
      </c>
      <c r="D167" s="513"/>
      <c r="E167" s="710" t="s">
        <v>6749</v>
      </c>
      <c r="F167" s="513"/>
      <c r="G167" s="513"/>
      <c r="H167" s="595"/>
      <c r="I167" s="514"/>
      <c r="J167" s="514"/>
      <c r="K167" s="514"/>
      <c r="L167" s="514"/>
      <c r="M167" s="514"/>
      <c r="N167" s="514"/>
      <c r="O167" s="514"/>
      <c r="P167" s="514"/>
      <c r="Q167" s="514"/>
      <c r="R167" s="189"/>
      <c r="S167" s="515"/>
      <c r="T167" s="516"/>
    </row>
    <row r="168" spans="3:20" s="517" customFormat="1" ht="23.4" customHeight="1">
      <c r="C168" s="512" t="s">
        <v>6675</v>
      </c>
      <c r="D168" s="513"/>
      <c r="E168" s="710" t="s">
        <v>6763</v>
      </c>
      <c r="F168" s="513"/>
      <c r="G168" s="513"/>
      <c r="H168" s="595"/>
      <c r="I168" s="514"/>
      <c r="J168" s="514"/>
      <c r="K168" s="514"/>
      <c r="L168" s="514"/>
      <c r="M168" s="514"/>
      <c r="N168" s="514"/>
      <c r="O168" s="514"/>
      <c r="P168" s="514"/>
      <c r="Q168" s="514"/>
      <c r="R168" s="189"/>
      <c r="S168" s="515"/>
      <c r="T168" s="516"/>
    </row>
    <row r="169" spans="3:20" s="517" customFormat="1" ht="23.4" customHeight="1" thickBot="1">
      <c r="C169" s="571" t="s">
        <v>6676</v>
      </c>
      <c r="D169" s="513"/>
      <c r="E169" s="710" t="s">
        <v>6764</v>
      </c>
      <c r="F169" s="513"/>
      <c r="G169" s="513"/>
      <c r="H169" s="595"/>
      <c r="I169" s="514"/>
      <c r="J169" s="514"/>
      <c r="K169" s="514"/>
      <c r="L169" s="514"/>
      <c r="M169" s="514"/>
      <c r="N169" s="514"/>
      <c r="O169" s="514"/>
      <c r="P169" s="514"/>
      <c r="Q169" s="514"/>
      <c r="R169" s="189"/>
      <c r="S169" s="515"/>
      <c r="T169" s="516"/>
    </row>
    <row r="170" spans="3:20" s="517" customFormat="1" ht="23.4" customHeight="1" thickTop="1">
      <c r="C170" s="190" t="s">
        <v>1195</v>
      </c>
      <c r="D170" s="1922" t="s">
        <v>1196</v>
      </c>
      <c r="E170" s="1923"/>
      <c r="F170" s="1923"/>
      <c r="G170" s="1924"/>
      <c r="H170" s="191" t="s">
        <v>1906</v>
      </c>
      <c r="I170" s="596" t="s">
        <v>1198</v>
      </c>
      <c r="J170" s="600"/>
      <c r="K170" s="191" t="s">
        <v>5286</v>
      </c>
      <c r="L170" s="596" t="s">
        <v>6733</v>
      </c>
      <c r="M170" s="679"/>
      <c r="N170" s="561"/>
      <c r="O170" s="561"/>
      <c r="P170" s="561"/>
      <c r="Q170" s="561"/>
      <c r="R170" s="200"/>
      <c r="S170" s="515"/>
    </row>
    <row r="171" spans="3:20" s="517" customFormat="1" ht="23.4" customHeight="1">
      <c r="C171" s="601" t="s">
        <v>1766</v>
      </c>
      <c r="D171" s="602" t="s">
        <v>5288</v>
      </c>
      <c r="E171" s="604"/>
      <c r="F171" s="604"/>
      <c r="G171" s="604"/>
      <c r="H171" s="604"/>
      <c r="I171" s="604"/>
      <c r="J171" s="604"/>
      <c r="K171" s="604"/>
      <c r="L171" s="604"/>
      <c r="M171" s="680"/>
      <c r="N171" s="681"/>
      <c r="O171" s="681"/>
      <c r="P171" s="681"/>
      <c r="Q171" s="681"/>
      <c r="R171" s="200"/>
      <c r="S171" s="515"/>
    </row>
    <row r="172" spans="3:20" s="517" customFormat="1" ht="23.4" customHeight="1">
      <c r="C172" s="519">
        <v>1</v>
      </c>
      <c r="D172" s="682" t="s">
        <v>6683</v>
      </c>
      <c r="E172" s="607"/>
      <c r="F172" s="611"/>
      <c r="G172" s="616"/>
      <c r="H172" s="213" t="s">
        <v>6687</v>
      </c>
      <c r="I172" s="619">
        <v>7</v>
      </c>
      <c r="J172" s="613"/>
      <c r="K172" s="520" t="s">
        <v>2139</v>
      </c>
      <c r="L172" s="618"/>
      <c r="M172" s="683"/>
      <c r="N172" s="684"/>
      <c r="O172" s="684"/>
      <c r="P172" s="684"/>
      <c r="Q172" s="684"/>
      <c r="R172" s="200"/>
      <c r="S172" s="515"/>
    </row>
    <row r="173" spans="3:20" s="517" customFormat="1" ht="23.4" customHeight="1">
      <c r="C173" s="519">
        <v>2</v>
      </c>
      <c r="D173" s="682" t="s">
        <v>6684</v>
      </c>
      <c r="E173" s="607"/>
      <c r="F173" s="611"/>
      <c r="G173" s="616"/>
      <c r="H173" s="213" t="s">
        <v>6688</v>
      </c>
      <c r="I173" s="619">
        <v>1.25</v>
      </c>
      <c r="J173" s="613"/>
      <c r="K173" s="520" t="s">
        <v>5296</v>
      </c>
      <c r="L173" s="618" t="s">
        <v>6734</v>
      </c>
      <c r="M173" s="683"/>
      <c r="N173" s="684"/>
      <c r="O173" s="684"/>
      <c r="P173" s="684"/>
      <c r="Q173" s="684"/>
      <c r="R173" s="200"/>
      <c r="S173" s="515"/>
    </row>
    <row r="174" spans="3:20" s="517" customFormat="1" ht="23.4" customHeight="1">
      <c r="C174" s="519">
        <v>3</v>
      </c>
      <c r="D174" s="682" t="s">
        <v>6685</v>
      </c>
      <c r="E174" s="607"/>
      <c r="F174" s="611"/>
      <c r="G174" s="616"/>
      <c r="H174" s="213" t="s">
        <v>1767</v>
      </c>
      <c r="I174" s="619">
        <v>100</v>
      </c>
      <c r="J174" s="620"/>
      <c r="K174" s="520" t="s">
        <v>5289</v>
      </c>
      <c r="L174" s="618"/>
      <c r="M174" s="683"/>
      <c r="N174" s="684"/>
      <c r="O174" s="684"/>
      <c r="P174" s="684"/>
      <c r="Q174" s="684"/>
      <c r="R174" s="200"/>
      <c r="S174" s="515"/>
    </row>
    <row r="175" spans="3:20" s="517" customFormat="1" ht="23.4" customHeight="1">
      <c r="C175" s="519">
        <v>4</v>
      </c>
      <c r="D175" s="682" t="s">
        <v>6686</v>
      </c>
      <c r="E175" s="607"/>
      <c r="F175" s="611"/>
      <c r="G175" s="616"/>
      <c r="H175" s="213"/>
      <c r="I175" s="619"/>
      <c r="J175" s="620"/>
      <c r="K175" s="520"/>
      <c r="L175" s="618" t="s">
        <v>6772</v>
      </c>
      <c r="M175" s="683"/>
      <c r="N175" s="684"/>
      <c r="O175" s="684"/>
      <c r="P175" s="684"/>
      <c r="Q175" s="684"/>
      <c r="R175" s="200"/>
      <c r="S175" s="515"/>
    </row>
    <row r="176" spans="3:20" s="517" customFormat="1" ht="23.4" customHeight="1">
      <c r="C176" s="518" t="s">
        <v>5291</v>
      </c>
      <c r="D176" s="602" t="s">
        <v>5292</v>
      </c>
      <c r="E176" s="604"/>
      <c r="F176" s="604"/>
      <c r="G176" s="604"/>
      <c r="H176" s="604"/>
      <c r="I176" s="604"/>
      <c r="J176" s="604"/>
      <c r="K176" s="604"/>
      <c r="L176" s="604"/>
      <c r="M176" s="680"/>
      <c r="N176" s="681"/>
      <c r="O176" s="681"/>
      <c r="P176" s="681"/>
      <c r="Q176" s="681"/>
      <c r="R176" s="200"/>
      <c r="S176" s="515"/>
    </row>
    <row r="177" spans="3:19" s="517" customFormat="1" ht="23.4" customHeight="1">
      <c r="C177" s="524" t="s">
        <v>1203</v>
      </c>
      <c r="D177" s="610" t="s">
        <v>6753</v>
      </c>
      <c r="E177" s="607"/>
      <c r="F177" s="611"/>
      <c r="G177" s="616"/>
      <c r="H177" s="234"/>
      <c r="I177" s="628"/>
      <c r="J177" s="629"/>
      <c r="K177" s="525"/>
      <c r="L177" s="618"/>
      <c r="M177" s="683"/>
      <c r="N177" s="684"/>
      <c r="O177" s="684"/>
      <c r="P177" s="684"/>
      <c r="Q177" s="684"/>
      <c r="R177" s="200"/>
      <c r="S177" s="515"/>
    </row>
    <row r="178" spans="3:19" s="517" customFormat="1" ht="23.4" customHeight="1">
      <c r="C178" s="524">
        <v>2</v>
      </c>
      <c r="D178" s="610" t="s">
        <v>6689</v>
      </c>
      <c r="E178" s="607"/>
      <c r="F178" s="611"/>
      <c r="G178" s="616"/>
      <c r="H178" s="234"/>
      <c r="I178" s="628"/>
      <c r="J178" s="629"/>
      <c r="K178" s="525"/>
      <c r="L178" s="618"/>
      <c r="M178" s="683"/>
      <c r="N178" s="684"/>
      <c r="O178" s="684"/>
      <c r="P178" s="684"/>
      <c r="Q178" s="684"/>
      <c r="R178" s="200"/>
      <c r="S178" s="515"/>
    </row>
    <row r="179" spans="3:19" s="517" customFormat="1" ht="23.4" customHeight="1">
      <c r="C179" s="524">
        <v>3</v>
      </c>
      <c r="D179" s="610" t="s">
        <v>6690</v>
      </c>
      <c r="E179" s="607"/>
      <c r="F179" s="611"/>
      <c r="G179" s="616"/>
      <c r="H179" s="234"/>
      <c r="I179" s="628"/>
      <c r="J179" s="629"/>
      <c r="K179" s="525"/>
      <c r="L179" s="618"/>
      <c r="M179" s="683"/>
      <c r="N179" s="684"/>
      <c r="O179" s="684"/>
      <c r="P179" s="684"/>
      <c r="Q179" s="684"/>
      <c r="R179" s="200"/>
      <c r="S179" s="515"/>
    </row>
    <row r="180" spans="3:19" s="517" customFormat="1" ht="23.4" customHeight="1">
      <c r="C180" s="601" t="s">
        <v>1071</v>
      </c>
      <c r="D180" s="602" t="s">
        <v>6691</v>
      </c>
      <c r="E180" s="604"/>
      <c r="F180" s="604"/>
      <c r="G180" s="604"/>
      <c r="H180" s="604"/>
      <c r="I180" s="604"/>
      <c r="J180" s="604"/>
      <c r="K180" s="604"/>
      <c r="L180" s="604"/>
      <c r="M180" s="680"/>
      <c r="N180" s="681"/>
      <c r="O180" s="681"/>
      <c r="P180" s="681"/>
      <c r="Q180" s="681"/>
      <c r="R180" s="200"/>
      <c r="S180" s="515"/>
    </row>
    <row r="181" spans="3:19" s="517" customFormat="1" ht="23.4" customHeight="1">
      <c r="C181" s="601" t="s">
        <v>5265</v>
      </c>
      <c r="D181" s="644" t="s">
        <v>6765</v>
      </c>
      <c r="E181" s="603"/>
      <c r="F181" s="645" t="s">
        <v>6766</v>
      </c>
      <c r="G181" s="645"/>
      <c r="H181" s="656"/>
      <c r="I181" s="644"/>
      <c r="J181" s="657"/>
      <c r="K181" s="685"/>
      <c r="L181" s="644"/>
      <c r="M181" s="686"/>
      <c r="N181" s="687"/>
      <c r="O181" s="687"/>
      <c r="P181" s="687"/>
      <c r="Q181" s="687"/>
      <c r="R181" s="200"/>
      <c r="S181" s="515"/>
    </row>
    <row r="182" spans="3:19" s="517" customFormat="1" ht="23.4" customHeight="1">
      <c r="C182" s="543"/>
      <c r="D182" s="688" t="s">
        <v>6693</v>
      </c>
      <c r="E182" s="688"/>
      <c r="F182" s="645"/>
      <c r="G182" s="645"/>
      <c r="H182" s="213" t="s">
        <v>1769</v>
      </c>
      <c r="I182" s="610">
        <v>400</v>
      </c>
      <c r="J182" s="616"/>
      <c r="K182" s="196" t="s">
        <v>5297</v>
      </c>
      <c r="L182" s="610"/>
      <c r="M182" s="637"/>
      <c r="N182" s="689"/>
      <c r="O182" s="689"/>
      <c r="P182" s="689"/>
      <c r="Q182" s="689"/>
      <c r="R182" s="200"/>
      <c r="S182" s="515"/>
    </row>
    <row r="183" spans="3:19" s="517" customFormat="1" ht="23.4" customHeight="1">
      <c r="C183" s="674"/>
      <c r="D183" s="690" t="s">
        <v>6694</v>
      </c>
      <c r="E183" s="690"/>
      <c r="F183" s="611"/>
      <c r="G183" s="611"/>
      <c r="H183" s="213" t="s">
        <v>5295</v>
      </c>
      <c r="I183" s="610">
        <v>0.83</v>
      </c>
      <c r="J183" s="616"/>
      <c r="K183" s="196" t="s">
        <v>5296</v>
      </c>
      <c r="L183" s="610" t="s">
        <v>6735</v>
      </c>
      <c r="M183" s="637"/>
      <c r="N183" s="689"/>
      <c r="O183" s="689"/>
      <c r="P183" s="689"/>
      <c r="Q183" s="689"/>
      <c r="R183" s="200"/>
      <c r="S183" s="515"/>
    </row>
    <row r="184" spans="3:19" s="517" customFormat="1" ht="23.4" customHeight="1">
      <c r="C184" s="674"/>
      <c r="D184" s="644" t="s">
        <v>6695</v>
      </c>
      <c r="E184" s="607"/>
      <c r="F184" s="611"/>
      <c r="G184" s="611"/>
      <c r="H184" s="656" t="s">
        <v>1767</v>
      </c>
      <c r="I184" s="610">
        <v>100</v>
      </c>
      <c r="J184" s="616"/>
      <c r="K184" s="196" t="s">
        <v>6728</v>
      </c>
      <c r="L184" s="610"/>
      <c r="M184" s="637"/>
      <c r="N184" s="689"/>
      <c r="O184" s="689"/>
      <c r="P184" s="689"/>
      <c r="Q184" s="689"/>
      <c r="R184" s="200"/>
      <c r="S184" s="515"/>
    </row>
    <row r="185" spans="3:19" s="517" customFormat="1" ht="23.4" customHeight="1">
      <c r="C185" s="674"/>
      <c r="D185" s="682" t="s">
        <v>6696</v>
      </c>
      <c r="E185" s="607"/>
      <c r="F185" s="611"/>
      <c r="G185" s="611"/>
      <c r="H185" s="213" t="s">
        <v>6703</v>
      </c>
      <c r="I185" s="610">
        <v>40</v>
      </c>
      <c r="J185" s="616"/>
      <c r="K185" s="196" t="s">
        <v>6729</v>
      </c>
      <c r="L185" s="1897" t="s">
        <v>6736</v>
      </c>
      <c r="M185" s="637"/>
      <c r="N185" s="689"/>
      <c r="O185" s="689"/>
      <c r="P185" s="689"/>
      <c r="Q185" s="689"/>
      <c r="R185" s="200"/>
      <c r="S185" s="515"/>
    </row>
    <row r="186" spans="3:19" s="517" customFormat="1" ht="23.4" customHeight="1">
      <c r="C186" s="674"/>
      <c r="D186" s="682" t="s">
        <v>6697</v>
      </c>
      <c r="E186" s="607"/>
      <c r="F186" s="611"/>
      <c r="G186" s="611"/>
      <c r="H186" s="213" t="s">
        <v>6704</v>
      </c>
      <c r="I186" s="610">
        <v>60</v>
      </c>
      <c r="J186" s="616"/>
      <c r="K186" s="196" t="s">
        <v>6729</v>
      </c>
      <c r="L186" s="1898"/>
      <c r="M186" s="637"/>
      <c r="N186" s="689"/>
      <c r="O186" s="689"/>
      <c r="P186" s="689"/>
      <c r="Q186" s="689"/>
      <c r="R186" s="200"/>
      <c r="S186" s="515"/>
    </row>
    <row r="187" spans="3:19" s="517" customFormat="1" ht="23.4" customHeight="1">
      <c r="C187" s="674"/>
      <c r="D187" s="644" t="s">
        <v>5294</v>
      </c>
      <c r="E187" s="603"/>
      <c r="F187" s="645"/>
      <c r="G187" s="645"/>
      <c r="H187" s="213"/>
      <c r="I187" s="610"/>
      <c r="J187" s="616"/>
      <c r="K187" s="196"/>
      <c r="L187" s="610"/>
      <c r="M187" s="637"/>
      <c r="N187" s="689"/>
      <c r="O187" s="689"/>
      <c r="P187" s="689"/>
      <c r="Q187" s="689"/>
      <c r="R187" s="200"/>
      <c r="S187" s="515"/>
    </row>
    <row r="188" spans="3:19" s="517" customFormat="1" ht="23.4" customHeight="1">
      <c r="C188" s="674"/>
      <c r="D188" s="610" t="s">
        <v>6698</v>
      </c>
      <c r="E188" s="607" t="s">
        <v>6619</v>
      </c>
      <c r="F188" s="611" t="s">
        <v>6700</v>
      </c>
      <c r="G188" s="611"/>
      <c r="H188" s="213" t="s">
        <v>6701</v>
      </c>
      <c r="I188" s="610">
        <f>(I174/I185)*60</f>
        <v>150</v>
      </c>
      <c r="J188" s="616"/>
      <c r="K188" s="196" t="s">
        <v>5298</v>
      </c>
      <c r="L188" s="610"/>
      <c r="M188" s="637"/>
      <c r="N188" s="689"/>
      <c r="O188" s="689"/>
      <c r="P188" s="689"/>
      <c r="Q188" s="689"/>
      <c r="R188" s="200"/>
      <c r="S188" s="515"/>
    </row>
    <row r="189" spans="3:19" s="517" customFormat="1" ht="23.4" customHeight="1" thickBot="1">
      <c r="C189" s="674"/>
      <c r="D189" s="610" t="s">
        <v>6699</v>
      </c>
      <c r="E189" s="607" t="s">
        <v>6619</v>
      </c>
      <c r="F189" s="611" t="s">
        <v>6700</v>
      </c>
      <c r="G189" s="611"/>
      <c r="H189" s="691" t="s">
        <v>6702</v>
      </c>
      <c r="I189" s="610">
        <v>385.71</v>
      </c>
      <c r="J189" s="616"/>
      <c r="K189" s="196" t="s">
        <v>5298</v>
      </c>
      <c r="L189" s="610"/>
      <c r="M189" s="637"/>
      <c r="N189" s="689"/>
      <c r="O189" s="689"/>
      <c r="P189" s="689"/>
      <c r="Q189" s="689"/>
      <c r="R189" s="200"/>
      <c r="S189" s="515"/>
    </row>
    <row r="190" spans="3:19" s="517" customFormat="1" ht="23.4" customHeight="1">
      <c r="C190" s="674"/>
      <c r="D190" s="610"/>
      <c r="E190" s="607"/>
      <c r="F190" s="611"/>
      <c r="G190" s="611"/>
      <c r="H190" s="692" t="s">
        <v>6705</v>
      </c>
      <c r="I190" s="639">
        <f>SUM(I188:I189)</f>
        <v>535.71</v>
      </c>
      <c r="J190" s="633"/>
      <c r="K190" s="693" t="s">
        <v>5298</v>
      </c>
      <c r="L190" s="610"/>
      <c r="M190" s="637"/>
      <c r="N190" s="689"/>
      <c r="O190" s="689"/>
      <c r="P190" s="689"/>
      <c r="Q190" s="689"/>
      <c r="R190" s="200"/>
      <c r="S190" s="515"/>
    </row>
    <row r="191" spans="3:19" s="517" customFormat="1" ht="23.4" customHeight="1">
      <c r="C191" s="674"/>
      <c r="D191" s="610" t="s">
        <v>6706</v>
      </c>
      <c r="E191" s="607" t="s">
        <v>6619</v>
      </c>
      <c r="F191" s="655" t="s">
        <v>6767</v>
      </c>
      <c r="G191" s="611"/>
      <c r="H191" s="692" t="s">
        <v>6710</v>
      </c>
      <c r="I191" s="639">
        <f>(I182*I183*60)/I190</f>
        <v>37.18429747437979</v>
      </c>
      <c r="J191" s="633"/>
      <c r="K191" s="693" t="s">
        <v>6730</v>
      </c>
      <c r="L191" s="610"/>
      <c r="M191" s="637"/>
      <c r="N191" s="689"/>
      <c r="O191" s="689"/>
      <c r="P191" s="689"/>
      <c r="Q191" s="689"/>
      <c r="R191" s="200"/>
      <c r="S191" s="515"/>
    </row>
    <row r="192" spans="3:19" s="517" customFormat="1" ht="23.4" customHeight="1">
      <c r="C192" s="674"/>
      <c r="D192" s="610" t="s">
        <v>6707</v>
      </c>
      <c r="E192" s="607" t="s">
        <v>6619</v>
      </c>
      <c r="F192" s="611" t="s">
        <v>6768</v>
      </c>
      <c r="G192" s="611"/>
      <c r="H192" s="692"/>
      <c r="I192" s="639">
        <f>1/I191</f>
        <v>2.689307228915663E-2</v>
      </c>
      <c r="J192" s="633"/>
      <c r="K192" s="693" t="s">
        <v>2139</v>
      </c>
      <c r="L192" s="610"/>
      <c r="M192" s="637"/>
      <c r="N192" s="689"/>
      <c r="O192" s="689"/>
      <c r="P192" s="689"/>
      <c r="Q192" s="689"/>
      <c r="R192" s="200"/>
      <c r="S192" s="515"/>
    </row>
    <row r="193" spans="3:20" s="517" customFormat="1" ht="23.4" customHeight="1">
      <c r="C193" s="675"/>
      <c r="D193" s="610"/>
      <c r="E193" s="607"/>
      <c r="F193" s="611"/>
      <c r="G193" s="611"/>
      <c r="H193" s="692"/>
      <c r="I193" s="639"/>
      <c r="J193" s="633"/>
      <c r="K193" s="693"/>
      <c r="L193" s="610"/>
      <c r="M193" s="637"/>
      <c r="N193" s="689"/>
      <c r="O193" s="689"/>
      <c r="P193" s="689"/>
      <c r="Q193" s="689"/>
      <c r="R193" s="200"/>
      <c r="S193" s="515"/>
    </row>
    <row r="194" spans="3:20" s="517" customFormat="1" ht="23.4" customHeight="1">
      <c r="C194" s="601" t="s">
        <v>2679</v>
      </c>
      <c r="D194" s="670" t="s">
        <v>6769</v>
      </c>
      <c r="E194" s="607"/>
      <c r="F194" s="611"/>
      <c r="G194" s="611"/>
      <c r="H194" s="213"/>
      <c r="I194" s="610"/>
      <c r="J194" s="616"/>
      <c r="K194" s="196"/>
      <c r="L194" s="694"/>
      <c r="M194" s="695"/>
      <c r="N194" s="696"/>
      <c r="O194" s="696"/>
      <c r="P194" s="696"/>
      <c r="Q194" s="689"/>
      <c r="R194" s="200"/>
      <c r="S194" s="515"/>
    </row>
    <row r="195" spans="3:20" s="517" customFormat="1" ht="23.4" customHeight="1">
      <c r="C195" s="543"/>
      <c r="D195" s="682" t="s">
        <v>6712</v>
      </c>
      <c r="E195" s="607"/>
      <c r="F195" s="611"/>
      <c r="G195" s="611"/>
      <c r="H195" s="213" t="s">
        <v>6716</v>
      </c>
      <c r="I195" s="610">
        <v>0.01</v>
      </c>
      <c r="J195" s="616"/>
      <c r="K195" s="196" t="s">
        <v>6728</v>
      </c>
      <c r="L195" s="694"/>
      <c r="M195" s="695"/>
      <c r="N195" s="696"/>
      <c r="O195" s="696"/>
      <c r="P195" s="696"/>
      <c r="Q195" s="689"/>
      <c r="R195" s="200"/>
      <c r="S195" s="515"/>
    </row>
    <row r="196" spans="3:20" s="517" customFormat="1" ht="23.4" customHeight="1">
      <c r="C196" s="674"/>
      <c r="D196" s="682" t="s">
        <v>6713</v>
      </c>
      <c r="E196" s="607"/>
      <c r="F196" s="611"/>
      <c r="G196" s="611"/>
      <c r="H196" s="213" t="s">
        <v>1769</v>
      </c>
      <c r="I196" s="697">
        <v>1</v>
      </c>
      <c r="J196" s="616"/>
      <c r="K196" s="196" t="s">
        <v>6675</v>
      </c>
      <c r="L196" s="694"/>
      <c r="M196" s="695"/>
      <c r="N196" s="696"/>
      <c r="O196" s="696"/>
      <c r="P196" s="696"/>
      <c r="Q196" s="689"/>
      <c r="R196" s="200"/>
      <c r="S196" s="515"/>
    </row>
    <row r="197" spans="3:20" s="517" customFormat="1" ht="23.4" customHeight="1">
      <c r="C197" s="674"/>
      <c r="D197" s="682" t="s">
        <v>6770</v>
      </c>
      <c r="E197" s="607"/>
      <c r="F197" s="611"/>
      <c r="G197" s="611"/>
      <c r="H197" s="213" t="s">
        <v>6717</v>
      </c>
      <c r="I197" s="610">
        <v>0.86</v>
      </c>
      <c r="J197" s="616"/>
      <c r="K197" s="196" t="s">
        <v>5296</v>
      </c>
      <c r="L197" s="694" t="s">
        <v>6735</v>
      </c>
      <c r="M197" s="695"/>
      <c r="N197" s="696"/>
      <c r="O197" s="696"/>
      <c r="P197" s="696"/>
      <c r="Q197" s="689"/>
      <c r="R197" s="200"/>
      <c r="S197" s="515"/>
    </row>
    <row r="198" spans="3:20" s="517" customFormat="1" ht="23.4" customHeight="1">
      <c r="C198" s="674"/>
      <c r="D198" s="670" t="s">
        <v>6715</v>
      </c>
      <c r="E198" s="607"/>
      <c r="F198" s="611"/>
      <c r="G198" s="611"/>
      <c r="H198" s="213"/>
      <c r="I198" s="610"/>
      <c r="J198" s="616"/>
      <c r="K198" s="196"/>
      <c r="L198" s="694"/>
      <c r="M198" s="695"/>
      <c r="N198" s="696"/>
      <c r="O198" s="696"/>
      <c r="P198" s="696"/>
      <c r="Q198" s="689"/>
      <c r="R198" s="200"/>
      <c r="S198" s="515"/>
    </row>
    <row r="199" spans="3:20" s="517" customFormat="1" ht="23.4" customHeight="1">
      <c r="C199" s="674"/>
      <c r="D199" s="682" t="s">
        <v>6718</v>
      </c>
      <c r="E199" s="607"/>
      <c r="F199" s="611"/>
      <c r="G199" s="611"/>
      <c r="H199" s="213" t="s">
        <v>6701</v>
      </c>
      <c r="I199" s="610">
        <v>0.5</v>
      </c>
      <c r="J199" s="616"/>
      <c r="K199" s="196" t="s">
        <v>6731</v>
      </c>
      <c r="L199" s="1899" t="s">
        <v>6773</v>
      </c>
      <c r="M199" s="695"/>
      <c r="N199" s="696"/>
      <c r="O199" s="696"/>
      <c r="P199" s="696"/>
      <c r="Q199" s="689"/>
      <c r="R199" s="200"/>
      <c r="S199" s="515"/>
    </row>
    <row r="200" spans="3:20" s="517" customFormat="1" ht="23.4" customHeight="1" thickBot="1">
      <c r="C200" s="674"/>
      <c r="D200" s="682" t="s">
        <v>6752</v>
      </c>
      <c r="E200" s="607"/>
      <c r="F200" s="611"/>
      <c r="G200" s="611"/>
      <c r="H200" s="691" t="s">
        <v>6702</v>
      </c>
      <c r="I200" s="676">
        <v>0.46</v>
      </c>
      <c r="J200" s="616"/>
      <c r="K200" s="196" t="s">
        <v>6731</v>
      </c>
      <c r="L200" s="1900"/>
      <c r="M200" s="695"/>
      <c r="N200" s="696"/>
      <c r="O200" s="696"/>
      <c r="P200" s="696"/>
      <c r="Q200" s="689"/>
      <c r="R200" s="200"/>
      <c r="S200" s="515"/>
    </row>
    <row r="201" spans="3:20" s="517" customFormat="1" ht="23.4" customHeight="1">
      <c r="C201" s="674"/>
      <c r="D201" s="682"/>
      <c r="E201" s="607"/>
      <c r="F201" s="611"/>
      <c r="G201" s="611"/>
      <c r="H201" s="692" t="s">
        <v>6719</v>
      </c>
      <c r="I201" s="639">
        <f>SUM(I199:I200)</f>
        <v>0.96</v>
      </c>
      <c r="J201" s="616"/>
      <c r="K201" s="196" t="s">
        <v>6731</v>
      </c>
      <c r="L201" s="694"/>
      <c r="M201" s="695"/>
      <c r="N201" s="696"/>
      <c r="O201" s="696"/>
      <c r="P201" s="696"/>
      <c r="Q201" s="689"/>
      <c r="R201" s="200"/>
      <c r="S201" s="515"/>
    </row>
    <row r="202" spans="3:20" s="517" customFormat="1" ht="23.4" customHeight="1">
      <c r="C202" s="674"/>
      <c r="D202" s="682" t="s">
        <v>6720</v>
      </c>
      <c r="E202" s="607" t="s">
        <v>6619</v>
      </c>
      <c r="F202" s="655" t="s">
        <v>6727</v>
      </c>
      <c r="G202" s="611"/>
      <c r="H202" s="213" t="s">
        <v>6726</v>
      </c>
      <c r="I202" s="610">
        <f>(I197*60)/I201</f>
        <v>53.75</v>
      </c>
      <c r="J202" s="616"/>
      <c r="K202" s="196" t="s">
        <v>6732</v>
      </c>
      <c r="L202" s="694"/>
      <c r="M202" s="695"/>
      <c r="N202" s="696"/>
      <c r="O202" s="696"/>
      <c r="P202" s="696"/>
      <c r="Q202" s="689"/>
      <c r="R202" s="200"/>
      <c r="S202" s="515"/>
    </row>
    <row r="203" spans="3:20" s="517" customFormat="1" ht="23.4" customHeight="1">
      <c r="C203" s="674"/>
      <c r="D203" s="670" t="s">
        <v>6721</v>
      </c>
      <c r="E203" s="607"/>
      <c r="F203" s="611"/>
      <c r="G203" s="611"/>
      <c r="H203" s="213"/>
      <c r="I203" s="610"/>
      <c r="J203" s="616"/>
      <c r="K203" s="196"/>
      <c r="L203" s="694"/>
      <c r="M203" s="695"/>
      <c r="N203" s="696"/>
      <c r="O203" s="696"/>
      <c r="P203" s="696"/>
      <c r="Q203" s="689"/>
      <c r="R203" s="200"/>
      <c r="S203" s="515"/>
    </row>
    <row r="204" spans="3:20" s="517" customFormat="1" ht="23.4" customHeight="1">
      <c r="C204" s="674"/>
      <c r="D204" s="682" t="s">
        <v>6722</v>
      </c>
      <c r="E204" s="607" t="s">
        <v>6619</v>
      </c>
      <c r="F204" s="611" t="s">
        <v>6724</v>
      </c>
      <c r="G204" s="611"/>
      <c r="H204" s="213" t="s">
        <v>1774</v>
      </c>
      <c r="I204" s="610">
        <v>5.6300000000000003E-2</v>
      </c>
      <c r="J204" s="616"/>
      <c r="K204" s="196" t="s">
        <v>2139</v>
      </c>
      <c r="L204" s="694" t="s">
        <v>6771</v>
      </c>
      <c r="M204" s="695"/>
      <c r="N204" s="696"/>
      <c r="O204" s="696"/>
      <c r="P204" s="696"/>
      <c r="Q204" s="689"/>
      <c r="R204" s="200"/>
      <c r="S204" s="515"/>
    </row>
    <row r="205" spans="3:20" s="517" customFormat="1" ht="23.4" customHeight="1">
      <c r="C205" s="675"/>
      <c r="D205" s="610" t="s">
        <v>6723</v>
      </c>
      <c r="E205" s="607" t="s">
        <v>6619</v>
      </c>
      <c r="F205" s="611" t="s">
        <v>6725</v>
      </c>
      <c r="G205" s="611"/>
      <c r="H205" s="213" t="s">
        <v>1777</v>
      </c>
      <c r="I205" s="610">
        <v>5.5999999999999999E-3</v>
      </c>
      <c r="J205" s="616"/>
      <c r="K205" s="196" t="s">
        <v>2139</v>
      </c>
      <c r="L205" s="694"/>
      <c r="M205" s="695"/>
      <c r="N205" s="696"/>
      <c r="O205" s="696"/>
      <c r="P205" s="696"/>
      <c r="Q205" s="689"/>
      <c r="R205" s="200"/>
      <c r="S205" s="515"/>
    </row>
    <row r="206" spans="3:20" s="517" customFormat="1" ht="23.4" customHeight="1">
      <c r="C206" s="571"/>
      <c r="D206" s="513"/>
      <c r="E206" s="710"/>
      <c r="F206" s="513"/>
      <c r="G206" s="513"/>
      <c r="H206" s="595"/>
      <c r="I206" s="514"/>
      <c r="J206" s="514"/>
      <c r="K206" s="514"/>
      <c r="L206" s="514"/>
      <c r="M206" s="514"/>
      <c r="N206" s="514"/>
      <c r="O206" s="514"/>
      <c r="P206" s="514"/>
      <c r="Q206" s="514"/>
      <c r="R206" s="189"/>
      <c r="S206" s="515"/>
      <c r="T206" s="516"/>
    </row>
    <row r="207" spans="3:20" s="517" customFormat="1" ht="23.4" customHeight="1">
      <c r="C207" s="571" t="s">
        <v>6774</v>
      </c>
      <c r="D207" s="513" t="s">
        <v>6775</v>
      </c>
      <c r="E207" s="710"/>
      <c r="F207" s="513"/>
      <c r="G207" s="513"/>
      <c r="H207" s="595"/>
      <c r="I207" s="514"/>
      <c r="J207" s="514"/>
      <c r="K207" s="514"/>
      <c r="L207" s="514"/>
      <c r="M207" s="514"/>
      <c r="N207" s="514"/>
      <c r="O207" s="514"/>
      <c r="P207" s="514"/>
      <c r="Q207" s="514"/>
      <c r="R207" s="189">
        <f>ROUNDDOWN(H221,-2)</f>
        <v>13200</v>
      </c>
      <c r="S207" s="515" t="s">
        <v>6760</v>
      </c>
      <c r="T207" s="516" t="s">
        <v>6778</v>
      </c>
    </row>
    <row r="208" spans="3:20" s="517" customFormat="1" ht="23.4" customHeight="1">
      <c r="C208" s="699" t="s">
        <v>1195</v>
      </c>
      <c r="D208" s="699" t="s">
        <v>1196</v>
      </c>
      <c r="E208" s="699" t="s">
        <v>1197</v>
      </c>
      <c r="F208" s="699" t="s">
        <v>1198</v>
      </c>
      <c r="G208" s="699" t="s">
        <v>1199</v>
      </c>
      <c r="H208" s="699" t="s">
        <v>1200</v>
      </c>
      <c r="I208" s="514"/>
      <c r="J208" s="514"/>
      <c r="K208" s="514"/>
      <c r="L208" s="514"/>
      <c r="M208" s="514"/>
      <c r="N208" s="514"/>
      <c r="O208" s="514"/>
      <c r="P208" s="514"/>
      <c r="Q208" s="514"/>
      <c r="R208" s="189"/>
      <c r="S208" s="515"/>
      <c r="T208" s="516"/>
    </row>
    <row r="209" spans="3:20" s="517" customFormat="1" ht="23.4" customHeight="1">
      <c r="C209" s="202" t="s">
        <v>1201</v>
      </c>
      <c r="D209" s="196" t="s">
        <v>1202</v>
      </c>
      <c r="E209" s="197"/>
      <c r="F209" s="197"/>
      <c r="G209" s="197"/>
      <c r="H209" s="197"/>
      <c r="I209" s="514"/>
      <c r="J209" s="514"/>
      <c r="K209" s="514"/>
      <c r="L209" s="514"/>
      <c r="M209" s="514"/>
      <c r="N209" s="514"/>
      <c r="O209" s="514"/>
      <c r="P209" s="514"/>
      <c r="Q209" s="514"/>
      <c r="R209" s="189"/>
      <c r="S209" s="515"/>
      <c r="T209" s="516"/>
    </row>
    <row r="210" spans="3:20" s="517" customFormat="1" ht="23.4" customHeight="1">
      <c r="C210" s="700">
        <v>1</v>
      </c>
      <c r="D210" s="196" t="s">
        <v>5</v>
      </c>
      <c r="E210" s="701" t="s">
        <v>1863</v>
      </c>
      <c r="F210" s="520">
        <f>I204</f>
        <v>5.6300000000000003E-2</v>
      </c>
      <c r="G210" s="205">
        <f>VLOOKUP(D210,upahbahan,3,FALSE)/8</f>
        <v>12500</v>
      </c>
      <c r="H210" s="205">
        <f t="shared" ref="H210:H211" si="23">F210*G210</f>
        <v>703.75</v>
      </c>
      <c r="I210" s="514"/>
      <c r="J210" s="514"/>
      <c r="K210" s="514"/>
      <c r="L210" s="514"/>
      <c r="M210" s="514"/>
      <c r="N210" s="514"/>
      <c r="O210" s="514"/>
      <c r="P210" s="514"/>
      <c r="Q210" s="514"/>
      <c r="R210" s="189"/>
      <c r="S210" s="515"/>
      <c r="T210" s="516"/>
    </row>
    <row r="211" spans="3:20" s="517" customFormat="1" ht="23.4" customHeight="1">
      <c r="C211" s="700">
        <v>2</v>
      </c>
      <c r="D211" s="196" t="s">
        <v>19</v>
      </c>
      <c r="E211" s="701" t="s">
        <v>1863</v>
      </c>
      <c r="F211" s="520">
        <f>I205</f>
        <v>5.5999999999999999E-3</v>
      </c>
      <c r="G211" s="205">
        <f>VLOOKUP(D211,upahbahan,3,FALSE)/8</f>
        <v>20000</v>
      </c>
      <c r="H211" s="205">
        <f t="shared" si="23"/>
        <v>112</v>
      </c>
      <c r="I211" s="514"/>
      <c r="J211" s="514"/>
      <c r="K211" s="514"/>
      <c r="L211" s="514"/>
      <c r="M211" s="514"/>
      <c r="N211" s="514"/>
      <c r="O211" s="514"/>
      <c r="P211" s="514"/>
      <c r="Q211" s="514"/>
      <c r="R211" s="189"/>
      <c r="S211" s="515"/>
      <c r="T211" s="516"/>
    </row>
    <row r="212" spans="3:20" s="517" customFormat="1" ht="23.4" customHeight="1">
      <c r="C212" s="702" t="s">
        <v>1208</v>
      </c>
      <c r="D212" s="208"/>
      <c r="E212" s="208"/>
      <c r="F212" s="521"/>
      <c r="G212" s="522"/>
      <c r="H212" s="205">
        <f>SUM(H210:H211)</f>
        <v>815.75</v>
      </c>
      <c r="I212" s="514"/>
      <c r="J212" s="514"/>
      <c r="K212" s="514"/>
      <c r="L212" s="514"/>
      <c r="M212" s="514"/>
      <c r="N212" s="514"/>
      <c r="O212" s="514"/>
      <c r="P212" s="514"/>
      <c r="Q212" s="514"/>
      <c r="R212" s="189"/>
      <c r="S212" s="515"/>
      <c r="T212" s="516"/>
    </row>
    <row r="213" spans="3:20" s="517" customFormat="1" ht="23.4" customHeight="1">
      <c r="C213" s="202" t="s">
        <v>1209</v>
      </c>
      <c r="D213" s="196" t="s">
        <v>1210</v>
      </c>
      <c r="E213" s="197"/>
      <c r="F213" s="197"/>
      <c r="G213" s="197"/>
      <c r="H213" s="197"/>
      <c r="I213" s="514"/>
      <c r="J213" s="514"/>
      <c r="K213" s="514"/>
      <c r="L213" s="514"/>
      <c r="M213" s="514"/>
      <c r="N213" s="514"/>
      <c r="O213" s="514"/>
      <c r="P213" s="514"/>
      <c r="Q213" s="514"/>
      <c r="R213" s="189"/>
      <c r="S213" s="515"/>
      <c r="T213" s="516"/>
    </row>
    <row r="214" spans="3:20" s="517" customFormat="1" ht="23.4" customHeight="1">
      <c r="C214" s="700">
        <v>1</v>
      </c>
      <c r="D214" s="703" t="s">
        <v>6777</v>
      </c>
      <c r="E214" s="704" t="s">
        <v>6742</v>
      </c>
      <c r="F214" s="705">
        <v>1</v>
      </c>
      <c r="G214" s="205">
        <f>VLOOKUP(D214,upahbahan,3,FALSE)</f>
        <v>0</v>
      </c>
      <c r="H214" s="205">
        <f t="shared" ref="H214" si="24">F214*G214</f>
        <v>0</v>
      </c>
      <c r="I214" s="514"/>
      <c r="J214" s="514"/>
      <c r="K214" s="514"/>
      <c r="L214" s="514"/>
      <c r="M214" s="514"/>
      <c r="N214" s="514"/>
      <c r="O214" s="514"/>
      <c r="P214" s="514"/>
      <c r="Q214" s="514"/>
      <c r="R214" s="189"/>
      <c r="S214" s="515"/>
      <c r="T214" s="516"/>
    </row>
    <row r="215" spans="3:20" s="517" customFormat="1" ht="23.4" customHeight="1">
      <c r="C215" s="702" t="s">
        <v>1214</v>
      </c>
      <c r="D215" s="208"/>
      <c r="E215" s="208"/>
      <c r="F215" s="208"/>
      <c r="G215" s="209"/>
      <c r="H215" s="205">
        <f>SUM(H214:H214)</f>
        <v>0</v>
      </c>
      <c r="I215" s="514"/>
      <c r="J215" s="514"/>
      <c r="K215" s="514"/>
      <c r="L215" s="514"/>
      <c r="M215" s="514"/>
      <c r="N215" s="514"/>
      <c r="O215" s="514"/>
      <c r="P215" s="514"/>
      <c r="Q215" s="514"/>
      <c r="R215" s="189"/>
      <c r="S215" s="515"/>
      <c r="T215" s="516"/>
    </row>
    <row r="216" spans="3:20" s="517" customFormat="1" ht="23.4" customHeight="1">
      <c r="C216" s="202" t="s">
        <v>1215</v>
      </c>
      <c r="D216" s="196" t="s">
        <v>1216</v>
      </c>
      <c r="E216" s="197"/>
      <c r="F216" s="197"/>
      <c r="G216" s="197"/>
      <c r="H216" s="197"/>
      <c r="I216" s="514"/>
      <c r="J216" s="514"/>
      <c r="K216" s="514"/>
      <c r="L216" s="514"/>
      <c r="M216" s="514"/>
      <c r="N216" s="514"/>
      <c r="O216" s="514"/>
      <c r="P216" s="514"/>
      <c r="Q216" s="514"/>
      <c r="R216" s="189"/>
      <c r="S216" s="515"/>
      <c r="T216" s="516"/>
    </row>
    <row r="217" spans="3:20" s="517" customFormat="1" ht="23.4" customHeight="1">
      <c r="C217" s="700">
        <v>1</v>
      </c>
      <c r="D217" s="703" t="s">
        <v>6776</v>
      </c>
      <c r="E217" s="704" t="s">
        <v>2139</v>
      </c>
      <c r="F217" s="520">
        <f>I192</f>
        <v>2.689307228915663E-2</v>
      </c>
      <c r="G217" s="205">
        <f>VLOOKUP(D217,upahbahan,3,FALSE)</f>
        <v>418543.76</v>
      </c>
      <c r="H217" s="205">
        <f t="shared" ref="H217" si="25">F217*G217</f>
        <v>11255.927593855424</v>
      </c>
      <c r="I217" s="514"/>
      <c r="J217" s="514"/>
      <c r="K217" s="514"/>
      <c r="L217" s="514"/>
      <c r="M217" s="514"/>
      <c r="N217" s="514"/>
      <c r="O217" s="514"/>
      <c r="P217" s="514"/>
      <c r="Q217" s="514"/>
      <c r="R217" s="189"/>
      <c r="S217" s="515"/>
      <c r="T217" s="516"/>
    </row>
    <row r="218" spans="3:20" s="517" customFormat="1" ht="23.4" customHeight="1">
      <c r="C218" s="702" t="s">
        <v>1217</v>
      </c>
      <c r="D218" s="208"/>
      <c r="E218" s="208"/>
      <c r="F218" s="208"/>
      <c r="G218" s="209"/>
      <c r="H218" s="706">
        <f>SUM(H217)</f>
        <v>11255.927593855424</v>
      </c>
      <c r="I218" s="514"/>
      <c r="J218" s="514"/>
      <c r="K218" s="514"/>
      <c r="L218" s="514"/>
      <c r="M218" s="514"/>
      <c r="N218" s="514"/>
      <c r="O218" s="514"/>
      <c r="P218" s="514"/>
      <c r="Q218" s="514"/>
      <c r="R218" s="189"/>
      <c r="S218" s="515"/>
      <c r="T218" s="516"/>
    </row>
    <row r="219" spans="3:20" s="517" customFormat="1" ht="23.4" customHeight="1">
      <c r="C219" s="707" t="s">
        <v>1218</v>
      </c>
      <c r="D219" s="224" t="s">
        <v>1219</v>
      </c>
      <c r="E219" s="225"/>
      <c r="F219" s="225"/>
      <c r="G219" s="226"/>
      <c r="H219" s="205">
        <f>H218+H215+H212</f>
        <v>12071.677593855424</v>
      </c>
      <c r="I219" s="514"/>
      <c r="J219" s="514"/>
      <c r="K219" s="514"/>
      <c r="L219" s="514"/>
      <c r="M219" s="514"/>
      <c r="N219" s="514"/>
      <c r="O219" s="514"/>
      <c r="P219" s="514"/>
      <c r="Q219" s="514"/>
      <c r="R219" s="189"/>
      <c r="S219" s="515"/>
      <c r="T219" s="516"/>
    </row>
    <row r="220" spans="3:20" s="517" customFormat="1" ht="23.4" customHeight="1">
      <c r="C220" s="707" t="s">
        <v>1220</v>
      </c>
      <c r="D220" s="224" t="s">
        <v>1321</v>
      </c>
      <c r="E220" s="225"/>
      <c r="F220" s="226"/>
      <c r="G220" s="228">
        <v>0.1</v>
      </c>
      <c r="H220" s="205">
        <f>H219*G220</f>
        <v>1207.1677593855425</v>
      </c>
      <c r="I220" s="514"/>
      <c r="J220" s="514"/>
      <c r="K220" s="514"/>
      <c r="L220" s="514"/>
      <c r="M220" s="514"/>
      <c r="N220" s="514"/>
      <c r="O220" s="514"/>
      <c r="P220" s="514"/>
      <c r="Q220" s="514"/>
      <c r="R220" s="189"/>
      <c r="S220" s="515"/>
      <c r="T220" s="516"/>
    </row>
    <row r="221" spans="3:20" s="517" customFormat="1" ht="23.4" customHeight="1">
      <c r="C221" s="707" t="s">
        <v>1221</v>
      </c>
      <c r="D221" s="224" t="s">
        <v>1222</v>
      </c>
      <c r="E221" s="225"/>
      <c r="F221" s="225"/>
      <c r="G221" s="226"/>
      <c r="H221" s="708">
        <f>SUM(H219:H220)</f>
        <v>13278.845353240966</v>
      </c>
      <c r="I221" s="514"/>
      <c r="J221" s="514"/>
      <c r="K221" s="514"/>
      <c r="L221" s="514"/>
      <c r="M221" s="514"/>
      <c r="N221" s="514"/>
      <c r="O221" s="514"/>
      <c r="P221" s="514"/>
      <c r="Q221" s="514"/>
      <c r="R221" s="189"/>
      <c r="S221" s="515"/>
      <c r="T221" s="516"/>
    </row>
    <row r="222" spans="3:20" s="517" customFormat="1" ht="23.4" customHeight="1">
      <c r="C222" s="571"/>
      <c r="D222" s="513"/>
      <c r="E222" s="710"/>
      <c r="F222" s="513"/>
      <c r="G222" s="513"/>
      <c r="H222" s="595"/>
      <c r="I222" s="514"/>
      <c r="J222" s="514"/>
      <c r="K222" s="514"/>
      <c r="L222" s="514"/>
      <c r="M222" s="514"/>
      <c r="N222" s="514"/>
      <c r="O222" s="514"/>
      <c r="P222" s="514"/>
      <c r="Q222" s="514"/>
      <c r="R222" s="189"/>
      <c r="S222" s="515"/>
      <c r="T222" s="516"/>
    </row>
    <row r="223" spans="3:20" s="517" customFormat="1" ht="23.4" customHeight="1">
      <c r="C223" s="512" t="s">
        <v>6779</v>
      </c>
      <c r="D223" s="513" t="s">
        <v>6780</v>
      </c>
      <c r="E223" s="594"/>
      <c r="F223" s="513"/>
      <c r="G223" s="513"/>
      <c r="H223" s="595"/>
      <c r="I223" s="514"/>
      <c r="J223" s="514"/>
      <c r="K223" s="514"/>
      <c r="L223" s="514"/>
      <c r="M223" s="514"/>
      <c r="N223" s="514"/>
      <c r="O223" s="514"/>
      <c r="P223" s="514"/>
      <c r="Q223" s="514"/>
      <c r="R223" s="189"/>
      <c r="S223" s="515" t="s">
        <v>6760</v>
      </c>
      <c r="T223" s="516" t="s">
        <v>6761</v>
      </c>
    </row>
    <row r="224" spans="3:20" s="517" customFormat="1" ht="23.4" customHeight="1">
      <c r="C224" s="512" t="s">
        <v>6672</v>
      </c>
      <c r="D224" s="513"/>
      <c r="E224" s="710" t="s">
        <v>6762</v>
      </c>
      <c r="F224" s="513"/>
      <c r="G224" s="513"/>
      <c r="H224" s="595"/>
      <c r="I224" s="514"/>
      <c r="J224" s="514"/>
      <c r="K224" s="514"/>
      <c r="L224" s="514"/>
      <c r="M224" s="514"/>
      <c r="N224" s="514"/>
      <c r="O224" s="514"/>
      <c r="P224" s="514"/>
      <c r="Q224" s="514"/>
      <c r="R224" s="189"/>
      <c r="S224" s="515"/>
      <c r="T224" s="516"/>
    </row>
    <row r="225" spans="3:20" s="517" customFormat="1" ht="23.4" customHeight="1">
      <c r="C225" s="512" t="s">
        <v>6673</v>
      </c>
      <c r="D225" s="513"/>
      <c r="E225" s="710" t="s">
        <v>6748</v>
      </c>
      <c r="F225" s="513"/>
      <c r="G225" s="513"/>
      <c r="H225" s="595"/>
      <c r="I225" s="514"/>
      <c r="J225" s="514"/>
      <c r="K225" s="514"/>
      <c r="L225" s="514"/>
      <c r="M225" s="514"/>
      <c r="N225" s="514"/>
      <c r="O225" s="514"/>
      <c r="P225" s="514"/>
      <c r="Q225" s="514"/>
      <c r="R225" s="189"/>
      <c r="S225" s="515"/>
      <c r="T225" s="516"/>
    </row>
    <row r="226" spans="3:20" s="517" customFormat="1" ht="23.4" customHeight="1">
      <c r="C226" s="512" t="s">
        <v>6674</v>
      </c>
      <c r="D226" s="513"/>
      <c r="E226" s="710" t="s">
        <v>6749</v>
      </c>
      <c r="F226" s="513"/>
      <c r="G226" s="513"/>
      <c r="H226" s="595"/>
      <c r="I226" s="514"/>
      <c r="J226" s="514"/>
      <c r="K226" s="514"/>
      <c r="L226" s="514"/>
      <c r="M226" s="514"/>
      <c r="N226" s="514"/>
      <c r="O226" s="514"/>
      <c r="P226" s="514"/>
      <c r="Q226" s="514"/>
      <c r="R226" s="189"/>
      <c r="S226" s="515"/>
      <c r="T226" s="516"/>
    </row>
    <row r="227" spans="3:20" s="517" customFormat="1" ht="23.4" customHeight="1">
      <c r="C227" s="512" t="s">
        <v>6675</v>
      </c>
      <c r="D227" s="513"/>
      <c r="E227" s="710" t="s">
        <v>6781</v>
      </c>
      <c r="F227" s="513"/>
      <c r="G227" s="513"/>
      <c r="H227" s="595"/>
      <c r="I227" s="514"/>
      <c r="J227" s="514"/>
      <c r="K227" s="514"/>
      <c r="L227" s="514"/>
      <c r="M227" s="514"/>
      <c r="N227" s="514"/>
      <c r="O227" s="514"/>
      <c r="P227" s="514"/>
      <c r="Q227" s="514"/>
      <c r="R227" s="189"/>
      <c r="S227" s="515"/>
      <c r="T227" s="516"/>
    </row>
    <row r="228" spans="3:20" s="517" customFormat="1" ht="23.4" customHeight="1" thickBot="1">
      <c r="C228" s="571" t="s">
        <v>6676</v>
      </c>
      <c r="D228" s="513"/>
      <c r="E228" s="710" t="s">
        <v>6764</v>
      </c>
      <c r="F228" s="513"/>
      <c r="G228" s="513"/>
      <c r="H228" s="595"/>
      <c r="I228" s="514"/>
      <c r="J228" s="514"/>
      <c r="K228" s="514"/>
      <c r="L228" s="514"/>
      <c r="M228" s="514"/>
      <c r="N228" s="514"/>
      <c r="O228" s="514"/>
      <c r="P228" s="514"/>
      <c r="Q228" s="514"/>
      <c r="R228" s="189"/>
      <c r="S228" s="515"/>
      <c r="T228" s="516"/>
    </row>
    <row r="229" spans="3:20" s="517" customFormat="1" ht="23.4" customHeight="1" thickTop="1">
      <c r="C229" s="190" t="s">
        <v>1195</v>
      </c>
      <c r="D229" s="1922" t="s">
        <v>1196</v>
      </c>
      <c r="E229" s="1923"/>
      <c r="F229" s="1923"/>
      <c r="G229" s="1924"/>
      <c r="H229" s="191" t="s">
        <v>1906</v>
      </c>
      <c r="I229" s="596" t="s">
        <v>1198</v>
      </c>
      <c r="J229" s="600"/>
      <c r="K229" s="191" t="s">
        <v>5286</v>
      </c>
      <c r="L229" s="596" t="s">
        <v>6733</v>
      </c>
      <c r="M229" s="679"/>
      <c r="N229" s="561"/>
      <c r="O229" s="561"/>
      <c r="P229" s="561"/>
      <c r="Q229" s="561"/>
      <c r="R229" s="200"/>
      <c r="S229" s="515"/>
    </row>
    <row r="230" spans="3:20" s="517" customFormat="1" ht="23.4" customHeight="1">
      <c r="C230" s="601" t="s">
        <v>1766</v>
      </c>
      <c r="D230" s="602" t="s">
        <v>5288</v>
      </c>
      <c r="E230" s="604"/>
      <c r="F230" s="604"/>
      <c r="G230" s="604"/>
      <c r="H230" s="604"/>
      <c r="I230" s="604"/>
      <c r="J230" s="604"/>
      <c r="K230" s="604"/>
      <c r="L230" s="604"/>
      <c r="M230" s="680"/>
      <c r="N230" s="681"/>
      <c r="O230" s="681"/>
      <c r="P230" s="681"/>
      <c r="Q230" s="681"/>
      <c r="R230" s="200"/>
      <c r="S230" s="515"/>
    </row>
    <row r="231" spans="3:20" s="517" customFormat="1" ht="23.4" customHeight="1">
      <c r="C231" s="519">
        <v>1</v>
      </c>
      <c r="D231" s="682" t="s">
        <v>6683</v>
      </c>
      <c r="E231" s="607"/>
      <c r="F231" s="611"/>
      <c r="G231" s="616"/>
      <c r="H231" s="213" t="s">
        <v>6687</v>
      </c>
      <c r="I231" s="619">
        <v>7</v>
      </c>
      <c r="J231" s="613"/>
      <c r="K231" s="520" t="s">
        <v>2139</v>
      </c>
      <c r="L231" s="618"/>
      <c r="M231" s="683"/>
      <c r="N231" s="684"/>
      <c r="O231" s="684"/>
      <c r="P231" s="684"/>
      <c r="Q231" s="684"/>
      <c r="R231" s="200"/>
      <c r="S231" s="515"/>
    </row>
    <row r="232" spans="3:20" s="517" customFormat="1" ht="23.4" customHeight="1">
      <c r="C232" s="519">
        <v>2</v>
      </c>
      <c r="D232" s="682" t="s">
        <v>6684</v>
      </c>
      <c r="E232" s="607"/>
      <c r="F232" s="611"/>
      <c r="G232" s="616"/>
      <c r="H232" s="213" t="s">
        <v>6688</v>
      </c>
      <c r="I232" s="619">
        <v>1.25</v>
      </c>
      <c r="J232" s="613"/>
      <c r="K232" s="520" t="s">
        <v>5296</v>
      </c>
      <c r="L232" s="618" t="s">
        <v>6734</v>
      </c>
      <c r="M232" s="683"/>
      <c r="N232" s="684"/>
      <c r="O232" s="684"/>
      <c r="P232" s="684"/>
      <c r="Q232" s="684"/>
      <c r="R232" s="200"/>
      <c r="S232" s="515"/>
    </row>
    <row r="233" spans="3:20" s="517" customFormat="1" ht="23.4" customHeight="1">
      <c r="C233" s="519">
        <v>3</v>
      </c>
      <c r="D233" s="682" t="s">
        <v>6685</v>
      </c>
      <c r="E233" s="607"/>
      <c r="F233" s="611"/>
      <c r="G233" s="616"/>
      <c r="H233" s="213" t="s">
        <v>1767</v>
      </c>
      <c r="I233" s="619">
        <v>100</v>
      </c>
      <c r="J233" s="620"/>
      <c r="K233" s="520" t="s">
        <v>5289</v>
      </c>
      <c r="L233" s="618"/>
      <c r="M233" s="683"/>
      <c r="N233" s="684"/>
      <c r="O233" s="684"/>
      <c r="P233" s="684"/>
      <c r="Q233" s="684"/>
      <c r="R233" s="200"/>
      <c r="S233" s="515"/>
    </row>
    <row r="234" spans="3:20" s="517" customFormat="1" ht="23.4" customHeight="1">
      <c r="C234" s="519">
        <v>4</v>
      </c>
      <c r="D234" s="682" t="s">
        <v>6686</v>
      </c>
      <c r="E234" s="607"/>
      <c r="F234" s="611"/>
      <c r="G234" s="616"/>
      <c r="H234" s="213"/>
      <c r="I234" s="619"/>
      <c r="J234" s="620"/>
      <c r="K234" s="520"/>
      <c r="L234" s="618" t="s">
        <v>6772</v>
      </c>
      <c r="M234" s="683"/>
      <c r="N234" s="684"/>
      <c r="O234" s="684"/>
      <c r="P234" s="684"/>
      <c r="Q234" s="684"/>
      <c r="R234" s="200"/>
      <c r="S234" s="515"/>
    </row>
    <row r="235" spans="3:20" s="517" customFormat="1" ht="23.4" customHeight="1">
      <c r="C235" s="518" t="s">
        <v>5291</v>
      </c>
      <c r="D235" s="602" t="s">
        <v>5292</v>
      </c>
      <c r="E235" s="604"/>
      <c r="F235" s="604"/>
      <c r="G235" s="604"/>
      <c r="H235" s="604"/>
      <c r="I235" s="604"/>
      <c r="J235" s="604"/>
      <c r="K235" s="604"/>
      <c r="L235" s="604"/>
      <c r="M235" s="680"/>
      <c r="N235" s="681"/>
      <c r="O235" s="681"/>
      <c r="P235" s="681"/>
      <c r="Q235" s="681"/>
      <c r="R235" s="200"/>
      <c r="S235" s="515"/>
    </row>
    <row r="236" spans="3:20" s="517" customFormat="1" ht="23.4" customHeight="1">
      <c r="C236" s="524" t="s">
        <v>1203</v>
      </c>
      <c r="D236" s="610" t="s">
        <v>6753</v>
      </c>
      <c r="E236" s="607"/>
      <c r="F236" s="611"/>
      <c r="G236" s="616"/>
      <c r="H236" s="234"/>
      <c r="I236" s="628"/>
      <c r="J236" s="629"/>
      <c r="K236" s="525"/>
      <c r="L236" s="618"/>
      <c r="M236" s="683"/>
      <c r="N236" s="684"/>
      <c r="O236" s="684"/>
      <c r="P236" s="684"/>
      <c r="Q236" s="684"/>
      <c r="R236" s="200"/>
      <c r="S236" s="515"/>
    </row>
    <row r="237" spans="3:20" s="517" customFormat="1" ht="23.4" customHeight="1">
      <c r="C237" s="524">
        <v>2</v>
      </c>
      <c r="D237" s="610" t="s">
        <v>6689</v>
      </c>
      <c r="E237" s="607"/>
      <c r="F237" s="611"/>
      <c r="G237" s="616"/>
      <c r="H237" s="234"/>
      <c r="I237" s="628"/>
      <c r="J237" s="629"/>
      <c r="K237" s="525"/>
      <c r="L237" s="618"/>
      <c r="M237" s="683"/>
      <c r="N237" s="684"/>
      <c r="O237" s="684"/>
      <c r="P237" s="684"/>
      <c r="Q237" s="684"/>
      <c r="R237" s="200"/>
      <c r="S237" s="515"/>
    </row>
    <row r="238" spans="3:20" s="517" customFormat="1" ht="23.4" customHeight="1">
      <c r="C238" s="524">
        <v>3</v>
      </c>
      <c r="D238" s="610" t="s">
        <v>6690</v>
      </c>
      <c r="E238" s="607"/>
      <c r="F238" s="611"/>
      <c r="G238" s="616"/>
      <c r="H238" s="234"/>
      <c r="I238" s="628"/>
      <c r="J238" s="629"/>
      <c r="K238" s="525"/>
      <c r="L238" s="618"/>
      <c r="M238" s="683"/>
      <c r="N238" s="684"/>
      <c r="O238" s="684"/>
      <c r="P238" s="684"/>
      <c r="Q238" s="684"/>
      <c r="R238" s="200"/>
      <c r="S238" s="515"/>
    </row>
    <row r="239" spans="3:20" s="517" customFormat="1" ht="23.4" customHeight="1">
      <c r="C239" s="601" t="s">
        <v>1071</v>
      </c>
      <c r="D239" s="602" t="s">
        <v>6691</v>
      </c>
      <c r="E239" s="604"/>
      <c r="F239" s="604"/>
      <c r="G239" s="604"/>
      <c r="H239" s="604"/>
      <c r="I239" s="604"/>
      <c r="J239" s="604"/>
      <c r="K239" s="604"/>
      <c r="L239" s="604"/>
      <c r="M239" s="680"/>
      <c r="N239" s="681"/>
      <c r="O239" s="681"/>
      <c r="P239" s="681"/>
      <c r="Q239" s="681"/>
      <c r="R239" s="200"/>
      <c r="S239" s="515"/>
    </row>
    <row r="240" spans="3:20" s="517" customFormat="1" ht="23.4" customHeight="1">
      <c r="C240" s="601" t="s">
        <v>5265</v>
      </c>
      <c r="D240" s="644" t="s">
        <v>6765</v>
      </c>
      <c r="E240" s="603"/>
      <c r="F240" s="645" t="s">
        <v>6766</v>
      </c>
      <c r="G240" s="645"/>
      <c r="H240" s="656"/>
      <c r="I240" s="644"/>
      <c r="J240" s="657"/>
      <c r="K240" s="685"/>
      <c r="L240" s="644"/>
      <c r="M240" s="686"/>
      <c r="N240" s="687"/>
      <c r="O240" s="687"/>
      <c r="P240" s="687"/>
      <c r="Q240" s="687"/>
      <c r="R240" s="200"/>
      <c r="S240" s="515"/>
    </row>
    <row r="241" spans="3:19" s="517" customFormat="1" ht="23.4" customHeight="1">
      <c r="C241" s="543"/>
      <c r="D241" s="688" t="s">
        <v>6693</v>
      </c>
      <c r="E241" s="688"/>
      <c r="F241" s="645"/>
      <c r="G241" s="645"/>
      <c r="H241" s="213" t="s">
        <v>1769</v>
      </c>
      <c r="I241" s="610">
        <v>300</v>
      </c>
      <c r="J241" s="616"/>
      <c r="K241" s="196" t="s">
        <v>5297</v>
      </c>
      <c r="L241" s="610"/>
      <c r="M241" s="637"/>
      <c r="N241" s="689"/>
      <c r="O241" s="689"/>
      <c r="P241" s="689"/>
      <c r="Q241" s="689"/>
      <c r="R241" s="200"/>
      <c r="S241" s="515"/>
    </row>
    <row r="242" spans="3:19" s="517" customFormat="1" ht="23.4" customHeight="1">
      <c r="C242" s="674"/>
      <c r="D242" s="690" t="s">
        <v>6694</v>
      </c>
      <c r="E242" s="690"/>
      <c r="F242" s="611"/>
      <c r="G242" s="611"/>
      <c r="H242" s="213" t="s">
        <v>5295</v>
      </c>
      <c r="I242" s="610">
        <v>0.83</v>
      </c>
      <c r="J242" s="616"/>
      <c r="K242" s="196" t="s">
        <v>5296</v>
      </c>
      <c r="L242" s="610" t="s">
        <v>6735</v>
      </c>
      <c r="M242" s="637"/>
      <c r="N242" s="689"/>
      <c r="O242" s="689"/>
      <c r="P242" s="689"/>
      <c r="Q242" s="689"/>
      <c r="R242" s="200"/>
      <c r="S242" s="515"/>
    </row>
    <row r="243" spans="3:19" s="517" customFormat="1" ht="23.4" customHeight="1">
      <c r="C243" s="674"/>
      <c r="D243" s="644" t="s">
        <v>6695</v>
      </c>
      <c r="E243" s="607"/>
      <c r="F243" s="611"/>
      <c r="G243" s="611"/>
      <c r="H243" s="656" t="s">
        <v>1767</v>
      </c>
      <c r="I243" s="610">
        <v>100</v>
      </c>
      <c r="J243" s="616"/>
      <c r="K243" s="196" t="s">
        <v>6728</v>
      </c>
      <c r="L243" s="610"/>
      <c r="M243" s="637"/>
      <c r="N243" s="689"/>
      <c r="O243" s="689"/>
      <c r="P243" s="689"/>
      <c r="Q243" s="689"/>
      <c r="R243" s="200"/>
      <c r="S243" s="515"/>
    </row>
    <row r="244" spans="3:19" s="517" customFormat="1" ht="23.4" customHeight="1">
      <c r="C244" s="674"/>
      <c r="D244" s="682" t="s">
        <v>6696</v>
      </c>
      <c r="E244" s="607"/>
      <c r="F244" s="611"/>
      <c r="G244" s="611"/>
      <c r="H244" s="213" t="s">
        <v>6703</v>
      </c>
      <c r="I244" s="610">
        <v>40</v>
      </c>
      <c r="J244" s="616"/>
      <c r="K244" s="196" t="s">
        <v>6729</v>
      </c>
      <c r="L244" s="1897" t="s">
        <v>6736</v>
      </c>
      <c r="M244" s="637"/>
      <c r="N244" s="689"/>
      <c r="O244" s="689"/>
      <c r="P244" s="689"/>
      <c r="Q244" s="689"/>
      <c r="R244" s="200"/>
      <c r="S244" s="515"/>
    </row>
    <row r="245" spans="3:19" s="517" customFormat="1" ht="23.4" customHeight="1">
      <c r="C245" s="674"/>
      <c r="D245" s="682" t="s">
        <v>6697</v>
      </c>
      <c r="E245" s="607"/>
      <c r="F245" s="611"/>
      <c r="G245" s="611"/>
      <c r="H245" s="213" t="s">
        <v>6704</v>
      </c>
      <c r="I245" s="610">
        <v>60</v>
      </c>
      <c r="J245" s="616"/>
      <c r="K245" s="196" t="s">
        <v>6729</v>
      </c>
      <c r="L245" s="1898"/>
      <c r="M245" s="637"/>
      <c r="N245" s="689"/>
      <c r="O245" s="689"/>
      <c r="P245" s="689"/>
      <c r="Q245" s="689"/>
      <c r="R245" s="200"/>
      <c r="S245" s="515"/>
    </row>
    <row r="246" spans="3:19" s="517" customFormat="1" ht="23.4" customHeight="1">
      <c r="C246" s="674"/>
      <c r="D246" s="644" t="s">
        <v>5294</v>
      </c>
      <c r="E246" s="603"/>
      <c r="F246" s="645"/>
      <c r="G246" s="645"/>
      <c r="H246" s="213"/>
      <c r="I246" s="610"/>
      <c r="J246" s="616"/>
      <c r="K246" s="196"/>
      <c r="L246" s="610"/>
      <c r="M246" s="637"/>
      <c r="N246" s="689"/>
      <c r="O246" s="689"/>
      <c r="P246" s="689"/>
      <c r="Q246" s="689"/>
      <c r="R246" s="200"/>
      <c r="S246" s="515"/>
    </row>
    <row r="247" spans="3:19" s="517" customFormat="1" ht="23.4" customHeight="1">
      <c r="C247" s="674"/>
      <c r="D247" s="610" t="s">
        <v>6698</v>
      </c>
      <c r="E247" s="607" t="s">
        <v>6619</v>
      </c>
      <c r="F247" s="611" t="s">
        <v>6700</v>
      </c>
      <c r="G247" s="611"/>
      <c r="H247" s="213" t="s">
        <v>6701</v>
      </c>
      <c r="I247" s="610">
        <f>(I233/I244)*60</f>
        <v>150</v>
      </c>
      <c r="J247" s="616"/>
      <c r="K247" s="196" t="s">
        <v>5298</v>
      </c>
      <c r="L247" s="610"/>
      <c r="M247" s="637"/>
      <c r="N247" s="689"/>
      <c r="O247" s="689"/>
      <c r="P247" s="689"/>
      <c r="Q247" s="689"/>
      <c r="R247" s="200"/>
      <c r="S247" s="515"/>
    </row>
    <row r="248" spans="3:19" s="517" customFormat="1" ht="23.4" customHeight="1" thickBot="1">
      <c r="C248" s="674"/>
      <c r="D248" s="610" t="s">
        <v>6699</v>
      </c>
      <c r="E248" s="607" t="s">
        <v>6619</v>
      </c>
      <c r="F248" s="611" t="s">
        <v>6700</v>
      </c>
      <c r="G248" s="611"/>
      <c r="H248" s="691" t="s">
        <v>6702</v>
      </c>
      <c r="I248" s="610">
        <v>345</v>
      </c>
      <c r="J248" s="616"/>
      <c r="K248" s="196" t="s">
        <v>5298</v>
      </c>
      <c r="L248" s="610"/>
      <c r="M248" s="637"/>
      <c r="N248" s="689"/>
      <c r="O248" s="689"/>
      <c r="P248" s="689"/>
      <c r="Q248" s="689"/>
      <c r="R248" s="200"/>
      <c r="S248" s="515"/>
    </row>
    <row r="249" spans="3:19" s="517" customFormat="1" ht="23.4" customHeight="1">
      <c r="C249" s="674"/>
      <c r="D249" s="610"/>
      <c r="E249" s="607"/>
      <c r="F249" s="611"/>
      <c r="G249" s="611"/>
      <c r="H249" s="692" t="s">
        <v>6705</v>
      </c>
      <c r="I249" s="639">
        <f>SUM(I247:I248)</f>
        <v>495</v>
      </c>
      <c r="J249" s="633"/>
      <c r="K249" s="693" t="s">
        <v>5298</v>
      </c>
      <c r="L249" s="610"/>
      <c r="M249" s="637"/>
      <c r="N249" s="689"/>
      <c r="O249" s="689"/>
      <c r="P249" s="689"/>
      <c r="Q249" s="689"/>
      <c r="R249" s="200"/>
      <c r="S249" s="515"/>
    </row>
    <row r="250" spans="3:19" s="517" customFormat="1" ht="23.4" customHeight="1">
      <c r="C250" s="674"/>
      <c r="D250" s="610" t="s">
        <v>6706</v>
      </c>
      <c r="E250" s="607" t="s">
        <v>6619</v>
      </c>
      <c r="F250" s="655" t="s">
        <v>6767</v>
      </c>
      <c r="G250" s="611"/>
      <c r="H250" s="692" t="s">
        <v>6710</v>
      </c>
      <c r="I250" s="639">
        <f>(I241*I242*60)/I249</f>
        <v>30.181818181818183</v>
      </c>
      <c r="J250" s="633"/>
      <c r="K250" s="693" t="s">
        <v>6730</v>
      </c>
      <c r="L250" s="610"/>
      <c r="M250" s="637"/>
      <c r="N250" s="689"/>
      <c r="O250" s="689"/>
      <c r="P250" s="689"/>
      <c r="Q250" s="689"/>
      <c r="R250" s="200"/>
      <c r="S250" s="515"/>
    </row>
    <row r="251" spans="3:19" s="517" customFormat="1" ht="23.4" customHeight="1">
      <c r="C251" s="674"/>
      <c r="D251" s="610" t="s">
        <v>6707</v>
      </c>
      <c r="E251" s="607" t="s">
        <v>6619</v>
      </c>
      <c r="F251" s="611" t="s">
        <v>6768</v>
      </c>
      <c r="G251" s="611"/>
      <c r="H251" s="692"/>
      <c r="I251" s="639">
        <f>1/I250</f>
        <v>3.3132530120481923E-2</v>
      </c>
      <c r="J251" s="633"/>
      <c r="K251" s="693" t="s">
        <v>2139</v>
      </c>
      <c r="L251" s="610"/>
      <c r="M251" s="637"/>
      <c r="N251" s="689"/>
      <c r="O251" s="689"/>
      <c r="P251" s="689"/>
      <c r="Q251" s="689"/>
      <c r="R251" s="200"/>
      <c r="S251" s="515"/>
    </row>
    <row r="252" spans="3:19" s="517" customFormat="1" ht="23.4" customHeight="1">
      <c r="C252" s="675"/>
      <c r="D252" s="610"/>
      <c r="E252" s="607"/>
      <c r="F252" s="611"/>
      <c r="G252" s="611"/>
      <c r="H252" s="692"/>
      <c r="I252" s="639"/>
      <c r="J252" s="633"/>
      <c r="K252" s="693"/>
      <c r="L252" s="610"/>
      <c r="M252" s="637"/>
      <c r="N252" s="689"/>
      <c r="O252" s="689"/>
      <c r="P252" s="689"/>
      <c r="Q252" s="689"/>
      <c r="R252" s="200"/>
      <c r="S252" s="515"/>
    </row>
    <row r="253" spans="3:19" s="517" customFormat="1" ht="23.4" customHeight="1">
      <c r="C253" s="601" t="s">
        <v>2679</v>
      </c>
      <c r="D253" s="670" t="s">
        <v>6769</v>
      </c>
      <c r="E253" s="607"/>
      <c r="F253" s="611"/>
      <c r="G253" s="611"/>
      <c r="H253" s="213"/>
      <c r="I253" s="610"/>
      <c r="J253" s="616"/>
      <c r="K253" s="196"/>
      <c r="L253" s="694"/>
      <c r="M253" s="695"/>
      <c r="N253" s="696"/>
      <c r="O253" s="696"/>
      <c r="P253" s="696"/>
      <c r="Q253" s="689"/>
      <c r="R253" s="200"/>
      <c r="S253" s="515"/>
    </row>
    <row r="254" spans="3:19" s="517" customFormat="1" ht="23.4" customHeight="1">
      <c r="C254" s="543"/>
      <c r="D254" s="682" t="s">
        <v>6712</v>
      </c>
      <c r="E254" s="607"/>
      <c r="F254" s="611"/>
      <c r="G254" s="611"/>
      <c r="H254" s="213" t="s">
        <v>6716</v>
      </c>
      <c r="I254" s="610">
        <v>0.01</v>
      </c>
      <c r="J254" s="616"/>
      <c r="K254" s="196" t="s">
        <v>6728</v>
      </c>
      <c r="L254" s="694"/>
      <c r="M254" s="695"/>
      <c r="N254" s="696"/>
      <c r="O254" s="696"/>
      <c r="P254" s="696"/>
      <c r="Q254" s="689"/>
      <c r="R254" s="200"/>
      <c r="S254" s="515"/>
    </row>
    <row r="255" spans="3:19" s="517" customFormat="1" ht="23.4" customHeight="1">
      <c r="C255" s="674"/>
      <c r="D255" s="682" t="s">
        <v>6713</v>
      </c>
      <c r="E255" s="607"/>
      <c r="F255" s="611"/>
      <c r="G255" s="611"/>
      <c r="H255" s="213" t="s">
        <v>1769</v>
      </c>
      <c r="I255" s="697">
        <v>1</v>
      </c>
      <c r="J255" s="616"/>
      <c r="K255" s="196" t="s">
        <v>6675</v>
      </c>
      <c r="L255" s="694"/>
      <c r="M255" s="695"/>
      <c r="N255" s="696"/>
      <c r="O255" s="696"/>
      <c r="P255" s="696"/>
      <c r="Q255" s="689"/>
      <c r="R255" s="200"/>
      <c r="S255" s="515"/>
    </row>
    <row r="256" spans="3:19" s="517" customFormat="1" ht="23.4" customHeight="1">
      <c r="C256" s="674"/>
      <c r="D256" s="682" t="s">
        <v>6770</v>
      </c>
      <c r="E256" s="607"/>
      <c r="F256" s="611"/>
      <c r="G256" s="611"/>
      <c r="H256" s="213" t="s">
        <v>6717</v>
      </c>
      <c r="I256" s="610">
        <v>0.86</v>
      </c>
      <c r="J256" s="616"/>
      <c r="K256" s="196" t="s">
        <v>5296</v>
      </c>
      <c r="L256" s="694" t="s">
        <v>6735</v>
      </c>
      <c r="M256" s="695"/>
      <c r="N256" s="696"/>
      <c r="O256" s="696"/>
      <c r="P256" s="696"/>
      <c r="Q256" s="689"/>
      <c r="R256" s="200"/>
      <c r="S256" s="515"/>
    </row>
    <row r="257" spans="3:20" s="517" customFormat="1" ht="23.4" customHeight="1">
      <c r="C257" s="674"/>
      <c r="D257" s="670" t="s">
        <v>6715</v>
      </c>
      <c r="E257" s="607"/>
      <c r="F257" s="611"/>
      <c r="G257" s="611"/>
      <c r="H257" s="213"/>
      <c r="I257" s="610"/>
      <c r="J257" s="616"/>
      <c r="K257" s="196"/>
      <c r="L257" s="694"/>
      <c r="M257" s="695"/>
      <c r="N257" s="696"/>
      <c r="O257" s="696"/>
      <c r="P257" s="696"/>
      <c r="Q257" s="689"/>
      <c r="R257" s="200"/>
      <c r="S257" s="515"/>
    </row>
    <row r="258" spans="3:20" s="517" customFormat="1" ht="23.4" customHeight="1">
      <c r="C258" s="674"/>
      <c r="D258" s="682" t="s">
        <v>6718</v>
      </c>
      <c r="E258" s="607"/>
      <c r="F258" s="611"/>
      <c r="G258" s="611"/>
      <c r="H258" s="213" t="s">
        <v>6701</v>
      </c>
      <c r="I258" s="610">
        <v>0.63</v>
      </c>
      <c r="J258" s="616"/>
      <c r="K258" s="196" t="s">
        <v>6731</v>
      </c>
      <c r="L258" s="1899" t="s">
        <v>6773</v>
      </c>
      <c r="M258" s="695"/>
      <c r="N258" s="696"/>
      <c r="O258" s="696"/>
      <c r="P258" s="696"/>
      <c r="Q258" s="689"/>
      <c r="R258" s="200"/>
      <c r="S258" s="515"/>
    </row>
    <row r="259" spans="3:20" s="517" customFormat="1" ht="23.4" customHeight="1">
      <c r="C259" s="674"/>
      <c r="D259" s="682" t="s">
        <v>6752</v>
      </c>
      <c r="E259" s="607"/>
      <c r="F259" s="611"/>
      <c r="G259" s="611"/>
      <c r="H259" s="711" t="s">
        <v>6702</v>
      </c>
      <c r="I259" s="712">
        <v>0.53</v>
      </c>
      <c r="J259" s="616"/>
      <c r="K259" s="196" t="s">
        <v>6731</v>
      </c>
      <c r="L259" s="1900"/>
      <c r="M259" s="695"/>
      <c r="N259" s="696"/>
      <c r="O259" s="696"/>
      <c r="P259" s="696"/>
      <c r="Q259" s="689"/>
      <c r="R259" s="200"/>
      <c r="S259" s="515"/>
    </row>
    <row r="260" spans="3:20" s="517" customFormat="1" ht="23.4" customHeight="1">
      <c r="C260" s="674"/>
      <c r="D260" s="682"/>
      <c r="E260" s="607"/>
      <c r="F260" s="611"/>
      <c r="G260" s="611"/>
      <c r="H260" s="692" t="s">
        <v>6719</v>
      </c>
      <c r="I260" s="639">
        <f>SUM(I258:I259)</f>
        <v>1.1600000000000001</v>
      </c>
      <c r="J260" s="616"/>
      <c r="K260" s="196" t="s">
        <v>6731</v>
      </c>
      <c r="L260" s="694"/>
      <c r="M260" s="695"/>
      <c r="N260" s="696"/>
      <c r="O260" s="696"/>
      <c r="P260" s="696"/>
      <c r="Q260" s="689"/>
      <c r="R260" s="200"/>
      <c r="S260" s="515"/>
    </row>
    <row r="261" spans="3:20" s="517" customFormat="1" ht="23.4" customHeight="1">
      <c r="C261" s="674"/>
      <c r="D261" s="682" t="s">
        <v>6720</v>
      </c>
      <c r="E261" s="607" t="s">
        <v>6619</v>
      </c>
      <c r="F261" s="655" t="s">
        <v>6727</v>
      </c>
      <c r="G261" s="611"/>
      <c r="H261" s="213" t="s">
        <v>6726</v>
      </c>
      <c r="I261" s="610">
        <f>(I256*60)/I260</f>
        <v>44.482758620689651</v>
      </c>
      <c r="J261" s="616"/>
      <c r="K261" s="196" t="s">
        <v>6732</v>
      </c>
      <c r="L261" s="694"/>
      <c r="M261" s="695"/>
      <c r="N261" s="696"/>
      <c r="O261" s="696"/>
      <c r="P261" s="696"/>
      <c r="Q261" s="689"/>
      <c r="R261" s="200"/>
      <c r="S261" s="515"/>
    </row>
    <row r="262" spans="3:20" s="517" customFormat="1" ht="23.4" customHeight="1">
      <c r="C262" s="674"/>
      <c r="D262" s="670" t="s">
        <v>6721</v>
      </c>
      <c r="E262" s="607"/>
      <c r="F262" s="611"/>
      <c r="G262" s="611"/>
      <c r="H262" s="213"/>
      <c r="I262" s="610"/>
      <c r="J262" s="616"/>
      <c r="K262" s="196"/>
      <c r="L262" s="694"/>
      <c r="M262" s="695"/>
      <c r="N262" s="696"/>
      <c r="O262" s="696"/>
      <c r="P262" s="696"/>
      <c r="Q262" s="689"/>
      <c r="R262" s="200"/>
      <c r="S262" s="515"/>
    </row>
    <row r="263" spans="3:20" s="517" customFormat="1" ht="23.4" customHeight="1">
      <c r="C263" s="674"/>
      <c r="D263" s="682" t="s">
        <v>6722</v>
      </c>
      <c r="E263" s="607" t="s">
        <v>6619</v>
      </c>
      <c r="F263" s="611" t="s">
        <v>6724</v>
      </c>
      <c r="G263" s="611"/>
      <c r="H263" s="213" t="s">
        <v>1774</v>
      </c>
      <c r="I263" s="610">
        <v>0.1118</v>
      </c>
      <c r="J263" s="616"/>
      <c r="K263" s="196" t="s">
        <v>2139</v>
      </c>
      <c r="L263" s="694" t="s">
        <v>6782</v>
      </c>
      <c r="M263" s="695"/>
      <c r="N263" s="696"/>
      <c r="O263" s="696"/>
      <c r="P263" s="696"/>
      <c r="Q263" s="689"/>
      <c r="R263" s="200"/>
      <c r="S263" s="515"/>
    </row>
    <row r="264" spans="3:20" s="517" customFormat="1" ht="23.4" customHeight="1">
      <c r="C264" s="675"/>
      <c r="D264" s="610" t="s">
        <v>6723</v>
      </c>
      <c r="E264" s="607" t="s">
        <v>6619</v>
      </c>
      <c r="F264" s="611" t="s">
        <v>6725</v>
      </c>
      <c r="G264" s="611"/>
      <c r="H264" s="213" t="s">
        <v>1777</v>
      </c>
      <c r="I264" s="610">
        <v>1.12E-2</v>
      </c>
      <c r="J264" s="616"/>
      <c r="K264" s="196" t="s">
        <v>2139</v>
      </c>
      <c r="L264" s="694"/>
      <c r="M264" s="695"/>
      <c r="N264" s="696"/>
      <c r="O264" s="696"/>
      <c r="P264" s="696"/>
      <c r="Q264" s="689"/>
      <c r="R264" s="200"/>
      <c r="S264" s="515"/>
    </row>
    <row r="265" spans="3:20" s="517" customFormat="1" ht="23.4" customHeight="1">
      <c r="C265" s="571"/>
      <c r="D265" s="513"/>
      <c r="E265" s="710"/>
      <c r="F265" s="513"/>
      <c r="G265" s="513"/>
      <c r="H265" s="595"/>
      <c r="I265" s="514"/>
      <c r="J265" s="514"/>
      <c r="K265" s="514"/>
      <c r="L265" s="514"/>
      <c r="M265" s="514"/>
      <c r="N265" s="514"/>
      <c r="O265" s="514"/>
      <c r="P265" s="514"/>
      <c r="Q265" s="514"/>
      <c r="R265" s="189"/>
      <c r="S265" s="515"/>
      <c r="T265" s="516"/>
    </row>
    <row r="266" spans="3:20" s="517" customFormat="1" ht="23.4" customHeight="1">
      <c r="C266" s="571" t="s">
        <v>6783</v>
      </c>
      <c r="D266" s="513" t="s">
        <v>6784</v>
      </c>
      <c r="E266" s="710"/>
      <c r="F266" s="513"/>
      <c r="G266" s="513"/>
      <c r="H266" s="595"/>
      <c r="I266" s="514"/>
      <c r="J266" s="514"/>
      <c r="K266" s="514"/>
      <c r="L266" s="514"/>
      <c r="M266" s="514"/>
      <c r="N266" s="514"/>
      <c r="O266" s="514"/>
      <c r="P266" s="514"/>
      <c r="Q266" s="514"/>
      <c r="R266" s="189">
        <f>ROUNDDOWN(H280,-2)</f>
        <v>17000</v>
      </c>
      <c r="S266" s="515" t="s">
        <v>6760</v>
      </c>
      <c r="T266" s="516" t="s">
        <v>6778</v>
      </c>
    </row>
    <row r="267" spans="3:20" s="517" customFormat="1" ht="23.4" customHeight="1">
      <c r="C267" s="699" t="s">
        <v>1195</v>
      </c>
      <c r="D267" s="699" t="s">
        <v>1196</v>
      </c>
      <c r="E267" s="699" t="s">
        <v>1197</v>
      </c>
      <c r="F267" s="699" t="s">
        <v>1198</v>
      </c>
      <c r="G267" s="699" t="s">
        <v>1199</v>
      </c>
      <c r="H267" s="699" t="s">
        <v>1200</v>
      </c>
      <c r="I267" s="514"/>
      <c r="J267" s="514"/>
      <c r="K267" s="514"/>
      <c r="L267" s="514"/>
      <c r="M267" s="514"/>
      <c r="N267" s="514"/>
      <c r="O267" s="514"/>
      <c r="P267" s="514"/>
      <c r="Q267" s="514"/>
      <c r="R267" s="189"/>
      <c r="S267" s="515"/>
      <c r="T267" s="516"/>
    </row>
    <row r="268" spans="3:20" s="517" customFormat="1" ht="23.4" customHeight="1">
      <c r="C268" s="202" t="s">
        <v>1201</v>
      </c>
      <c r="D268" s="196" t="s">
        <v>1202</v>
      </c>
      <c r="E268" s="197"/>
      <c r="F268" s="197"/>
      <c r="G268" s="197"/>
      <c r="H268" s="197"/>
      <c r="I268" s="514"/>
      <c r="J268" s="514"/>
      <c r="K268" s="514"/>
      <c r="L268" s="514"/>
      <c r="M268" s="514"/>
      <c r="N268" s="514"/>
      <c r="O268" s="514"/>
      <c r="P268" s="514"/>
      <c r="Q268" s="514"/>
      <c r="R268" s="189"/>
      <c r="S268" s="515"/>
      <c r="T268" s="516"/>
    </row>
    <row r="269" spans="3:20" s="517" customFormat="1" ht="23.4" customHeight="1">
      <c r="C269" s="700">
        <v>1</v>
      </c>
      <c r="D269" s="196" t="s">
        <v>5</v>
      </c>
      <c r="E269" s="701" t="s">
        <v>1863</v>
      </c>
      <c r="F269" s="520">
        <f>I263</f>
        <v>0.1118</v>
      </c>
      <c r="G269" s="205">
        <f>VLOOKUP(D269,upahbahan,3,FALSE)/8</f>
        <v>12500</v>
      </c>
      <c r="H269" s="205">
        <f t="shared" ref="H269:H270" si="26">F269*G269</f>
        <v>1397.5</v>
      </c>
      <c r="I269" s="514"/>
      <c r="J269" s="514"/>
      <c r="K269" s="514"/>
      <c r="L269" s="514"/>
      <c r="M269" s="514"/>
      <c r="N269" s="514"/>
      <c r="O269" s="514"/>
      <c r="P269" s="514"/>
      <c r="Q269" s="514"/>
      <c r="R269" s="189"/>
      <c r="S269" s="515"/>
      <c r="T269" s="516"/>
    </row>
    <row r="270" spans="3:20" s="517" customFormat="1" ht="23.4" customHeight="1">
      <c r="C270" s="700">
        <v>2</v>
      </c>
      <c r="D270" s="196" t="s">
        <v>19</v>
      </c>
      <c r="E270" s="701" t="s">
        <v>1863</v>
      </c>
      <c r="F270" s="520">
        <f>I264</f>
        <v>1.12E-2</v>
      </c>
      <c r="G270" s="205">
        <f>VLOOKUP(D270,upahbahan,3,FALSE)/8</f>
        <v>20000</v>
      </c>
      <c r="H270" s="205">
        <f t="shared" si="26"/>
        <v>224</v>
      </c>
      <c r="I270" s="514"/>
      <c r="J270" s="514"/>
      <c r="K270" s="514"/>
      <c r="L270" s="514"/>
      <c r="M270" s="514"/>
      <c r="N270" s="514"/>
      <c r="O270" s="514"/>
      <c r="P270" s="514"/>
      <c r="Q270" s="514"/>
      <c r="R270" s="189"/>
      <c r="S270" s="515"/>
      <c r="T270" s="516"/>
    </row>
    <row r="271" spans="3:20" s="517" customFormat="1" ht="23.4" customHeight="1">
      <c r="C271" s="702" t="s">
        <v>1208</v>
      </c>
      <c r="D271" s="208"/>
      <c r="E271" s="208"/>
      <c r="F271" s="521"/>
      <c r="G271" s="522"/>
      <c r="H271" s="205">
        <f>SUM(H269:H270)</f>
        <v>1621.5</v>
      </c>
      <c r="I271" s="514"/>
      <c r="J271" s="514"/>
      <c r="K271" s="514"/>
      <c r="L271" s="514"/>
      <c r="M271" s="514"/>
      <c r="N271" s="514"/>
      <c r="O271" s="514"/>
      <c r="P271" s="514"/>
      <c r="Q271" s="514"/>
      <c r="R271" s="189"/>
      <c r="S271" s="515"/>
      <c r="T271" s="516"/>
    </row>
    <row r="272" spans="3:20" s="517" customFormat="1" ht="23.4" customHeight="1">
      <c r="C272" s="202" t="s">
        <v>1209</v>
      </c>
      <c r="D272" s="196" t="s">
        <v>1210</v>
      </c>
      <c r="E272" s="197"/>
      <c r="F272" s="197"/>
      <c r="G272" s="197"/>
      <c r="H272" s="197"/>
      <c r="I272" s="514"/>
      <c r="J272" s="514"/>
      <c r="K272" s="514"/>
      <c r="L272" s="514"/>
      <c r="M272" s="514"/>
      <c r="N272" s="514"/>
      <c r="O272" s="514"/>
      <c r="P272" s="514"/>
      <c r="Q272" s="514"/>
      <c r="R272" s="189"/>
      <c r="S272" s="515"/>
      <c r="T272" s="516"/>
    </row>
    <row r="273" spans="3:20" s="517" customFormat="1" ht="23.4" customHeight="1">
      <c r="C273" s="700">
        <v>1</v>
      </c>
      <c r="D273" s="703" t="s">
        <v>6785</v>
      </c>
      <c r="E273" s="704" t="s">
        <v>6742</v>
      </c>
      <c r="F273" s="705">
        <v>1</v>
      </c>
      <c r="G273" s="205">
        <f>VLOOKUP(D273,upahbahan,3,FALSE)</f>
        <v>0</v>
      </c>
      <c r="H273" s="205">
        <f t="shared" ref="H273" si="27">F273*G273</f>
        <v>0</v>
      </c>
      <c r="I273" s="514"/>
      <c r="J273" s="514"/>
      <c r="K273" s="514"/>
      <c r="L273" s="514"/>
      <c r="M273" s="514"/>
      <c r="N273" s="514"/>
      <c r="O273" s="514"/>
      <c r="P273" s="514"/>
      <c r="Q273" s="514"/>
      <c r="R273" s="189"/>
      <c r="S273" s="515"/>
      <c r="T273" s="516"/>
    </row>
    <row r="274" spans="3:20" s="517" customFormat="1" ht="23.4" customHeight="1">
      <c r="C274" s="702" t="s">
        <v>1214</v>
      </c>
      <c r="D274" s="208"/>
      <c r="E274" s="208"/>
      <c r="F274" s="208"/>
      <c r="G274" s="209"/>
      <c r="H274" s="205">
        <f>SUM(H273:H273)</f>
        <v>0</v>
      </c>
      <c r="I274" s="514"/>
      <c r="J274" s="514"/>
      <c r="K274" s="514"/>
      <c r="L274" s="514"/>
      <c r="M274" s="514"/>
      <c r="N274" s="514"/>
      <c r="O274" s="514"/>
      <c r="P274" s="514"/>
      <c r="Q274" s="514"/>
      <c r="R274" s="189"/>
      <c r="S274" s="515"/>
      <c r="T274" s="516"/>
    </row>
    <row r="275" spans="3:20" s="517" customFormat="1" ht="23.4" customHeight="1">
      <c r="C275" s="202" t="s">
        <v>1215</v>
      </c>
      <c r="D275" s="196" t="s">
        <v>1216</v>
      </c>
      <c r="E275" s="197"/>
      <c r="F275" s="197"/>
      <c r="G275" s="197"/>
      <c r="H275" s="197"/>
      <c r="I275" s="514"/>
      <c r="J275" s="514"/>
      <c r="K275" s="514"/>
      <c r="L275" s="514"/>
      <c r="M275" s="514"/>
      <c r="N275" s="514"/>
      <c r="O275" s="514"/>
      <c r="P275" s="514"/>
      <c r="Q275" s="514"/>
      <c r="R275" s="189"/>
      <c r="S275" s="515"/>
      <c r="T275" s="516"/>
    </row>
    <row r="276" spans="3:20" s="517" customFormat="1" ht="23.4" customHeight="1">
      <c r="C276" s="700">
        <v>1</v>
      </c>
      <c r="D276" s="703" t="s">
        <v>6776</v>
      </c>
      <c r="E276" s="704" t="s">
        <v>2139</v>
      </c>
      <c r="F276" s="520">
        <f>I251</f>
        <v>3.3132530120481923E-2</v>
      </c>
      <c r="G276" s="205">
        <f>VLOOKUP(D276,upahbahan,3,FALSE)</f>
        <v>418543.76</v>
      </c>
      <c r="H276" s="205">
        <f t="shared" ref="H276" si="28">F276*G276</f>
        <v>13867.413734939757</v>
      </c>
      <c r="I276" s="514"/>
      <c r="J276" s="514"/>
      <c r="K276" s="514"/>
      <c r="L276" s="514"/>
      <c r="M276" s="514"/>
      <c r="N276" s="514"/>
      <c r="O276" s="514"/>
      <c r="P276" s="514"/>
      <c r="Q276" s="514"/>
      <c r="R276" s="189"/>
      <c r="S276" s="515"/>
      <c r="T276" s="516"/>
    </row>
    <row r="277" spans="3:20" s="517" customFormat="1" ht="23.4" customHeight="1">
      <c r="C277" s="702" t="s">
        <v>1217</v>
      </c>
      <c r="D277" s="208"/>
      <c r="E277" s="208"/>
      <c r="F277" s="208"/>
      <c r="G277" s="209"/>
      <c r="H277" s="706">
        <f>SUM(H276)</f>
        <v>13867.413734939757</v>
      </c>
      <c r="I277" s="514"/>
      <c r="J277" s="514"/>
      <c r="K277" s="514"/>
      <c r="L277" s="514"/>
      <c r="M277" s="514"/>
      <c r="N277" s="514"/>
      <c r="O277" s="514"/>
      <c r="P277" s="514"/>
      <c r="Q277" s="514"/>
      <c r="R277" s="189"/>
      <c r="S277" s="515"/>
      <c r="T277" s="516"/>
    </row>
    <row r="278" spans="3:20" s="517" customFormat="1" ht="23.4" customHeight="1">
      <c r="C278" s="707" t="s">
        <v>1218</v>
      </c>
      <c r="D278" s="224" t="s">
        <v>1219</v>
      </c>
      <c r="E278" s="225"/>
      <c r="F278" s="225"/>
      <c r="G278" s="226"/>
      <c r="H278" s="205">
        <f>H277+H274+H271</f>
        <v>15488.913734939757</v>
      </c>
      <c r="I278" s="514"/>
      <c r="J278" s="514"/>
      <c r="K278" s="514"/>
      <c r="L278" s="514"/>
      <c r="M278" s="514"/>
      <c r="N278" s="514"/>
      <c r="O278" s="514"/>
      <c r="P278" s="514"/>
      <c r="Q278" s="514"/>
      <c r="R278" s="189"/>
      <c r="S278" s="515"/>
      <c r="T278" s="516"/>
    </row>
    <row r="279" spans="3:20" s="517" customFormat="1" ht="23.4" customHeight="1">
      <c r="C279" s="707" t="s">
        <v>1220</v>
      </c>
      <c r="D279" s="224" t="s">
        <v>1321</v>
      </c>
      <c r="E279" s="225"/>
      <c r="F279" s="226"/>
      <c r="G279" s="228">
        <v>0.1</v>
      </c>
      <c r="H279" s="205">
        <f>H278*G279</f>
        <v>1548.8913734939758</v>
      </c>
      <c r="I279" s="514"/>
      <c r="J279" s="514"/>
      <c r="K279" s="514"/>
      <c r="L279" s="514"/>
      <c r="M279" s="514"/>
      <c r="N279" s="514"/>
      <c r="O279" s="514"/>
      <c r="P279" s="514"/>
      <c r="Q279" s="514"/>
      <c r="R279" s="189"/>
      <c r="S279" s="515"/>
      <c r="T279" s="516"/>
    </row>
    <row r="280" spans="3:20" s="517" customFormat="1" ht="23.4" customHeight="1">
      <c r="C280" s="707" t="s">
        <v>1221</v>
      </c>
      <c r="D280" s="224" t="s">
        <v>1222</v>
      </c>
      <c r="E280" s="225"/>
      <c r="F280" s="225"/>
      <c r="G280" s="226"/>
      <c r="H280" s="708">
        <f>SUM(H278:H279)</f>
        <v>17037.805108433731</v>
      </c>
      <c r="I280" s="514"/>
      <c r="J280" s="514"/>
      <c r="K280" s="514"/>
      <c r="L280" s="514"/>
      <c r="M280" s="514"/>
      <c r="N280" s="514"/>
      <c r="O280" s="514"/>
      <c r="P280" s="514"/>
      <c r="Q280" s="514"/>
      <c r="R280" s="189"/>
      <c r="S280" s="515"/>
      <c r="T280" s="516"/>
    </row>
    <row r="281" spans="3:20" s="517" customFormat="1" ht="21.75" customHeight="1">
      <c r="C281" s="571"/>
      <c r="D281" s="513"/>
      <c r="E281" s="710"/>
      <c r="F281" s="513"/>
      <c r="G281" s="513"/>
      <c r="H281" s="595"/>
      <c r="I281" s="514"/>
      <c r="J281" s="514"/>
      <c r="K281" s="514"/>
      <c r="L281" s="514"/>
      <c r="M281" s="514"/>
      <c r="N281" s="514"/>
      <c r="O281" s="514"/>
      <c r="P281" s="514"/>
      <c r="Q281" s="514"/>
      <c r="R281" s="189"/>
      <c r="S281" s="515"/>
      <c r="T281" s="516"/>
    </row>
    <row r="282" spans="3:20" s="517" customFormat="1" ht="21.75" customHeight="1">
      <c r="C282" s="512" t="s">
        <v>6786</v>
      </c>
      <c r="D282" s="513" t="s">
        <v>6787</v>
      </c>
      <c r="E282" s="594"/>
      <c r="F282" s="513"/>
      <c r="G282" s="513"/>
      <c r="H282" s="595"/>
      <c r="I282" s="514"/>
      <c r="J282" s="514"/>
      <c r="K282" s="514"/>
      <c r="L282" s="514"/>
      <c r="M282" s="514"/>
      <c r="N282" s="514"/>
      <c r="O282" s="514"/>
      <c r="P282" s="514"/>
      <c r="Q282" s="514"/>
      <c r="R282" s="189"/>
      <c r="S282" s="515" t="s">
        <v>6760</v>
      </c>
      <c r="T282" s="516" t="s">
        <v>6811</v>
      </c>
    </row>
    <row r="283" spans="3:20" s="517" customFormat="1" ht="21.75" customHeight="1">
      <c r="C283" s="512" t="s">
        <v>6672</v>
      </c>
      <c r="D283" s="513"/>
      <c r="E283" s="710" t="s">
        <v>6788</v>
      </c>
      <c r="F283" s="513"/>
      <c r="G283" s="513"/>
      <c r="H283" s="595"/>
      <c r="I283" s="514"/>
      <c r="J283" s="514"/>
      <c r="K283" s="514"/>
      <c r="L283" s="514"/>
      <c r="M283" s="514"/>
      <c r="N283" s="514"/>
      <c r="O283" s="514"/>
      <c r="P283" s="514"/>
      <c r="Q283" s="514"/>
      <c r="R283" s="189"/>
      <c r="S283" s="515"/>
      <c r="T283" s="516"/>
    </row>
    <row r="284" spans="3:20" s="517" customFormat="1" ht="21.75" customHeight="1">
      <c r="C284" s="512" t="s">
        <v>6673</v>
      </c>
      <c r="D284" s="513"/>
      <c r="E284" s="710" t="s">
        <v>6748</v>
      </c>
      <c r="F284" s="513"/>
      <c r="G284" s="513"/>
      <c r="H284" s="595"/>
      <c r="I284" s="514"/>
      <c r="J284" s="514"/>
      <c r="K284" s="514"/>
      <c r="L284" s="514"/>
      <c r="M284" s="514"/>
      <c r="N284" s="514"/>
      <c r="O284" s="514"/>
      <c r="P284" s="514"/>
      <c r="Q284" s="514"/>
      <c r="R284" s="189"/>
      <c r="S284" s="515"/>
      <c r="T284" s="516"/>
    </row>
    <row r="285" spans="3:20" s="517" customFormat="1" ht="21.75" customHeight="1">
      <c r="C285" s="512" t="s">
        <v>6674</v>
      </c>
      <c r="D285" s="513"/>
      <c r="E285" s="710" t="s">
        <v>6749</v>
      </c>
      <c r="F285" s="513"/>
      <c r="G285" s="513"/>
      <c r="H285" s="595"/>
      <c r="I285" s="514"/>
      <c r="J285" s="514"/>
      <c r="K285" s="514"/>
      <c r="L285" s="514"/>
      <c r="M285" s="514"/>
      <c r="N285" s="514"/>
      <c r="O285" s="514"/>
      <c r="P285" s="514"/>
      <c r="Q285" s="514"/>
      <c r="R285" s="189"/>
      <c r="S285" s="515"/>
      <c r="T285" s="516"/>
    </row>
    <row r="286" spans="3:20" s="517" customFormat="1" ht="21.75" customHeight="1">
      <c r="C286" s="512" t="s">
        <v>6675</v>
      </c>
      <c r="D286" s="513"/>
      <c r="E286" s="710" t="s">
        <v>6789</v>
      </c>
      <c r="F286" s="513"/>
      <c r="G286" s="513"/>
      <c r="H286" s="595"/>
      <c r="I286" s="514"/>
      <c r="J286" s="514"/>
      <c r="K286" s="514"/>
      <c r="L286" s="514"/>
      <c r="M286" s="514"/>
      <c r="N286" s="514"/>
      <c r="O286" s="514"/>
      <c r="P286" s="514"/>
      <c r="Q286" s="514"/>
      <c r="R286" s="189"/>
      <c r="S286" s="515"/>
      <c r="T286" s="516"/>
    </row>
    <row r="287" spans="3:20" s="517" customFormat="1" ht="21.75" customHeight="1" thickBot="1">
      <c r="C287" s="571" t="s">
        <v>6676</v>
      </c>
      <c r="D287" s="513"/>
      <c r="E287" s="710" t="s">
        <v>6790</v>
      </c>
      <c r="F287" s="513"/>
      <c r="G287" s="513"/>
      <c r="H287" s="595"/>
      <c r="I287" s="514"/>
      <c r="J287" s="514"/>
      <c r="K287" s="514"/>
      <c r="L287" s="514"/>
      <c r="M287" s="514"/>
      <c r="N287" s="514"/>
      <c r="O287" s="514"/>
      <c r="P287" s="514"/>
      <c r="Q287" s="514"/>
      <c r="R287" s="189"/>
      <c r="S287" s="515"/>
      <c r="T287" s="516"/>
    </row>
    <row r="288" spans="3:20" s="517" customFormat="1" ht="25.8" customHeight="1" thickTop="1">
      <c r="C288" s="190" t="s">
        <v>1195</v>
      </c>
      <c r="D288" s="1922" t="s">
        <v>1196</v>
      </c>
      <c r="E288" s="1923"/>
      <c r="F288" s="1923"/>
      <c r="G288" s="1924"/>
      <c r="H288" s="191" t="s">
        <v>1906</v>
      </c>
      <c r="I288" s="596" t="s">
        <v>1198</v>
      </c>
      <c r="J288" s="600"/>
      <c r="K288" s="191" t="s">
        <v>5286</v>
      </c>
      <c r="L288" s="596" t="s">
        <v>6733</v>
      </c>
      <c r="M288" s="679"/>
      <c r="N288" s="561"/>
      <c r="O288" s="561"/>
      <c r="P288" s="561"/>
      <c r="Q288" s="561"/>
      <c r="R288" s="200"/>
      <c r="S288" s="515"/>
    </row>
    <row r="289" spans="3:19" s="517" customFormat="1" ht="25.8" customHeight="1">
      <c r="C289" s="601" t="s">
        <v>1766</v>
      </c>
      <c r="D289" s="602" t="s">
        <v>5288</v>
      </c>
      <c r="E289" s="604"/>
      <c r="F289" s="604"/>
      <c r="G289" s="604"/>
      <c r="H289" s="604"/>
      <c r="I289" s="604"/>
      <c r="J289" s="604"/>
      <c r="K289" s="604"/>
      <c r="L289" s="604"/>
      <c r="M289" s="680"/>
      <c r="N289" s="681"/>
      <c r="O289" s="681"/>
      <c r="P289" s="681"/>
      <c r="Q289" s="681"/>
      <c r="R289" s="200"/>
      <c r="S289" s="515"/>
    </row>
    <row r="290" spans="3:19" s="517" customFormat="1" ht="25.8" customHeight="1">
      <c r="C290" s="519">
        <v>1</v>
      </c>
      <c r="D290" s="682" t="s">
        <v>6683</v>
      </c>
      <c r="E290" s="607"/>
      <c r="F290" s="611"/>
      <c r="G290" s="616"/>
      <c r="H290" s="213" t="s">
        <v>6687</v>
      </c>
      <c r="I290" s="619">
        <v>7</v>
      </c>
      <c r="J290" s="613"/>
      <c r="K290" s="520" t="s">
        <v>2139</v>
      </c>
      <c r="L290" s="618"/>
      <c r="M290" s="683"/>
      <c r="N290" s="684"/>
      <c r="O290" s="684"/>
      <c r="P290" s="684"/>
      <c r="Q290" s="684"/>
      <c r="R290" s="200"/>
      <c r="S290" s="515"/>
    </row>
    <row r="291" spans="3:19" s="517" customFormat="1" ht="25.8" customHeight="1">
      <c r="C291" s="519">
        <v>2</v>
      </c>
      <c r="D291" s="682" t="s">
        <v>6684</v>
      </c>
      <c r="E291" s="607"/>
      <c r="F291" s="611"/>
      <c r="G291" s="616"/>
      <c r="H291" s="213" t="s">
        <v>6688</v>
      </c>
      <c r="I291" s="619">
        <v>1.25</v>
      </c>
      <c r="J291" s="613"/>
      <c r="K291" s="520" t="s">
        <v>5296</v>
      </c>
      <c r="L291" s="618" t="s">
        <v>6734</v>
      </c>
      <c r="M291" s="683"/>
      <c r="N291" s="684"/>
      <c r="O291" s="684"/>
      <c r="P291" s="684"/>
      <c r="Q291" s="684"/>
      <c r="R291" s="200"/>
      <c r="S291" s="515"/>
    </row>
    <row r="292" spans="3:19" s="517" customFormat="1" ht="25.8" customHeight="1">
      <c r="C292" s="519">
        <v>3</v>
      </c>
      <c r="D292" s="682" t="s">
        <v>6685</v>
      </c>
      <c r="E292" s="607"/>
      <c r="F292" s="611"/>
      <c r="G292" s="616"/>
      <c r="H292" s="213" t="s">
        <v>1767</v>
      </c>
      <c r="I292" s="619">
        <v>100</v>
      </c>
      <c r="J292" s="620"/>
      <c r="K292" s="520" t="s">
        <v>5289</v>
      </c>
      <c r="L292" s="618"/>
      <c r="M292" s="683"/>
      <c r="N292" s="684"/>
      <c r="O292" s="684"/>
      <c r="P292" s="684"/>
      <c r="Q292" s="684"/>
      <c r="R292" s="200"/>
      <c r="S292" s="515"/>
    </row>
    <row r="293" spans="3:19" s="517" customFormat="1" ht="25.8" customHeight="1">
      <c r="C293" s="519">
        <v>4</v>
      </c>
      <c r="D293" s="682" t="s">
        <v>6686</v>
      </c>
      <c r="E293" s="607"/>
      <c r="F293" s="611"/>
      <c r="G293" s="616"/>
      <c r="H293" s="213"/>
      <c r="I293" s="619"/>
      <c r="J293" s="620"/>
      <c r="K293" s="520"/>
      <c r="L293" s="618" t="s">
        <v>6772</v>
      </c>
      <c r="M293" s="683"/>
      <c r="N293" s="684"/>
      <c r="O293" s="684"/>
      <c r="P293" s="684"/>
      <c r="Q293" s="684"/>
      <c r="R293" s="200"/>
      <c r="S293" s="515"/>
    </row>
    <row r="294" spans="3:19" s="517" customFormat="1" ht="25.8" customHeight="1">
      <c r="C294" s="518" t="s">
        <v>5291</v>
      </c>
      <c r="D294" s="602" t="s">
        <v>5292</v>
      </c>
      <c r="E294" s="604"/>
      <c r="F294" s="604"/>
      <c r="G294" s="604"/>
      <c r="H294" s="604"/>
      <c r="I294" s="604"/>
      <c r="J294" s="604"/>
      <c r="K294" s="604"/>
      <c r="L294" s="604"/>
      <c r="M294" s="680"/>
      <c r="N294" s="681"/>
      <c r="O294" s="681"/>
      <c r="P294" s="681"/>
      <c r="Q294" s="681"/>
      <c r="R294" s="200"/>
      <c r="S294" s="515"/>
    </row>
    <row r="295" spans="3:19" s="517" customFormat="1" ht="25.8" customHeight="1">
      <c r="C295" s="524" t="s">
        <v>1203</v>
      </c>
      <c r="D295" s="610" t="s">
        <v>6791</v>
      </c>
      <c r="E295" s="607"/>
      <c r="F295" s="611"/>
      <c r="G295" s="616"/>
      <c r="H295" s="234"/>
      <c r="I295" s="628"/>
      <c r="J295" s="629"/>
      <c r="K295" s="525"/>
      <c r="L295" s="618"/>
      <c r="M295" s="683"/>
      <c r="N295" s="684"/>
      <c r="O295" s="684"/>
      <c r="P295" s="684"/>
      <c r="Q295" s="684"/>
      <c r="R295" s="200"/>
      <c r="S295" s="515"/>
    </row>
    <row r="296" spans="3:19" s="517" customFormat="1" ht="25.8" customHeight="1">
      <c r="C296" s="524">
        <v>2</v>
      </c>
      <c r="D296" s="610" t="s">
        <v>6689</v>
      </c>
      <c r="E296" s="607"/>
      <c r="F296" s="611"/>
      <c r="G296" s="616"/>
      <c r="H296" s="234"/>
      <c r="I296" s="628"/>
      <c r="J296" s="629"/>
      <c r="K296" s="525"/>
      <c r="L296" s="618"/>
      <c r="M296" s="683"/>
      <c r="N296" s="684"/>
      <c r="O296" s="684"/>
      <c r="P296" s="684"/>
      <c r="Q296" s="684"/>
      <c r="R296" s="200"/>
      <c r="S296" s="515"/>
    </row>
    <row r="297" spans="3:19" s="517" customFormat="1" ht="25.8" customHeight="1">
      <c r="C297" s="524">
        <v>3</v>
      </c>
      <c r="D297" s="610" t="s">
        <v>6792</v>
      </c>
      <c r="E297" s="607"/>
      <c r="F297" s="611"/>
      <c r="G297" s="616"/>
      <c r="H297" s="234"/>
      <c r="I297" s="628"/>
      <c r="J297" s="629"/>
      <c r="K297" s="525"/>
      <c r="L297" s="618"/>
      <c r="M297" s="683"/>
      <c r="N297" s="684"/>
      <c r="O297" s="684"/>
      <c r="P297" s="684"/>
      <c r="Q297" s="684"/>
      <c r="R297" s="200"/>
      <c r="S297" s="515"/>
    </row>
    <row r="298" spans="3:19" s="517" customFormat="1" ht="25.8" customHeight="1">
      <c r="C298" s="601" t="s">
        <v>1071</v>
      </c>
      <c r="D298" s="651" t="s">
        <v>6793</v>
      </c>
      <c r="E298" s="604"/>
      <c r="F298" s="604"/>
      <c r="G298" s="604"/>
      <c r="H298" s="604"/>
      <c r="I298" s="604"/>
      <c r="J298" s="604"/>
      <c r="K298" s="604"/>
      <c r="L298" s="604"/>
      <c r="M298" s="680"/>
      <c r="N298" s="681"/>
      <c r="O298" s="681"/>
      <c r="P298" s="681"/>
      <c r="Q298" s="681"/>
      <c r="R298" s="200"/>
      <c r="S298" s="515"/>
    </row>
    <row r="299" spans="3:19" s="517" customFormat="1" ht="25.8" customHeight="1">
      <c r="C299" s="601" t="s">
        <v>5265</v>
      </c>
      <c r="D299" s="644" t="s">
        <v>6765</v>
      </c>
      <c r="E299" s="603"/>
      <c r="F299" s="645" t="s">
        <v>6766</v>
      </c>
      <c r="G299" s="645"/>
      <c r="H299" s="656"/>
      <c r="I299" s="644"/>
      <c r="J299" s="657"/>
      <c r="K299" s="685"/>
      <c r="L299" s="644"/>
      <c r="M299" s="686"/>
      <c r="N299" s="687"/>
      <c r="O299" s="687"/>
      <c r="P299" s="687"/>
      <c r="Q299" s="687"/>
      <c r="R299" s="200"/>
      <c r="S299" s="515"/>
    </row>
    <row r="300" spans="3:19" s="517" customFormat="1" ht="25.8" customHeight="1">
      <c r="C300" s="543"/>
      <c r="D300" s="688" t="s">
        <v>6693</v>
      </c>
      <c r="E300" s="688"/>
      <c r="F300" s="645"/>
      <c r="G300" s="645"/>
      <c r="H300" s="213" t="s">
        <v>1769</v>
      </c>
      <c r="I300" s="610">
        <v>60</v>
      </c>
      <c r="J300" s="616"/>
      <c r="K300" s="196" t="s">
        <v>5297</v>
      </c>
      <c r="L300" s="610"/>
      <c r="M300" s="637"/>
      <c r="N300" s="689"/>
      <c r="O300" s="689"/>
      <c r="P300" s="689"/>
      <c r="Q300" s="689"/>
      <c r="R300" s="200"/>
      <c r="S300" s="515"/>
    </row>
    <row r="301" spans="3:19" s="517" customFormat="1" ht="25.8" customHeight="1">
      <c r="C301" s="674"/>
      <c r="D301" s="690" t="s">
        <v>6694</v>
      </c>
      <c r="E301" s="690"/>
      <c r="F301" s="611"/>
      <c r="G301" s="611"/>
      <c r="H301" s="213" t="s">
        <v>5295</v>
      </c>
      <c r="I301" s="610">
        <v>0.83</v>
      </c>
      <c r="J301" s="616"/>
      <c r="K301" s="196" t="s">
        <v>5296</v>
      </c>
      <c r="L301" s="610" t="s">
        <v>6735</v>
      </c>
      <c r="M301" s="637"/>
      <c r="N301" s="689"/>
      <c r="O301" s="689"/>
      <c r="P301" s="689"/>
      <c r="Q301" s="689"/>
      <c r="R301" s="200"/>
      <c r="S301" s="515"/>
    </row>
    <row r="302" spans="3:19" s="517" customFormat="1" ht="25.8" customHeight="1">
      <c r="C302" s="674"/>
      <c r="D302" s="644" t="s">
        <v>6695</v>
      </c>
      <c r="E302" s="607"/>
      <c r="F302" s="611"/>
      <c r="G302" s="611"/>
      <c r="H302" s="656" t="s">
        <v>1767</v>
      </c>
      <c r="I302" s="610">
        <v>100</v>
      </c>
      <c r="J302" s="616"/>
      <c r="K302" s="196" t="s">
        <v>6728</v>
      </c>
      <c r="L302" s="610"/>
      <c r="M302" s="637"/>
      <c r="N302" s="689"/>
      <c r="O302" s="689"/>
      <c r="P302" s="689"/>
      <c r="Q302" s="689"/>
      <c r="R302" s="200"/>
      <c r="S302" s="515"/>
    </row>
    <row r="303" spans="3:19" s="517" customFormat="1" ht="25.8" customHeight="1">
      <c r="C303" s="674"/>
      <c r="D303" s="682" t="s">
        <v>6696</v>
      </c>
      <c r="E303" s="607"/>
      <c r="F303" s="611"/>
      <c r="G303" s="611"/>
      <c r="H303" s="213" t="s">
        <v>6703</v>
      </c>
      <c r="I303" s="610">
        <v>40</v>
      </c>
      <c r="J303" s="616"/>
      <c r="K303" s="196" t="s">
        <v>6729</v>
      </c>
      <c r="L303" s="1897" t="s">
        <v>6736</v>
      </c>
      <c r="M303" s="637"/>
      <c r="N303" s="689"/>
      <c r="O303" s="689"/>
      <c r="P303" s="689"/>
      <c r="Q303" s="689"/>
      <c r="R303" s="200"/>
      <c r="S303" s="515"/>
    </row>
    <row r="304" spans="3:19" s="517" customFormat="1" ht="25.8" customHeight="1">
      <c r="C304" s="674"/>
      <c r="D304" s="682" t="s">
        <v>6697</v>
      </c>
      <c r="E304" s="607"/>
      <c r="F304" s="611"/>
      <c r="G304" s="611"/>
      <c r="H304" s="213" t="s">
        <v>6704</v>
      </c>
      <c r="I304" s="610">
        <v>60</v>
      </c>
      <c r="J304" s="616"/>
      <c r="K304" s="196" t="s">
        <v>6729</v>
      </c>
      <c r="L304" s="1898"/>
      <c r="M304" s="637"/>
      <c r="N304" s="689"/>
      <c r="O304" s="689"/>
      <c r="P304" s="689"/>
      <c r="Q304" s="689"/>
      <c r="R304" s="200"/>
      <c r="S304" s="515"/>
    </row>
    <row r="305" spans="3:19" s="517" customFormat="1" ht="25.8" customHeight="1">
      <c r="C305" s="674"/>
      <c r="D305" s="644" t="s">
        <v>5294</v>
      </c>
      <c r="E305" s="603"/>
      <c r="F305" s="645"/>
      <c r="G305" s="645"/>
      <c r="H305" s="213"/>
      <c r="I305" s="610"/>
      <c r="J305" s="616"/>
      <c r="K305" s="196"/>
      <c r="L305" s="610"/>
      <c r="M305" s="637"/>
      <c r="N305" s="689"/>
      <c r="O305" s="689"/>
      <c r="P305" s="689"/>
      <c r="Q305" s="689"/>
      <c r="R305" s="200"/>
      <c r="S305" s="515"/>
    </row>
    <row r="306" spans="3:19" s="517" customFormat="1" ht="25.8" customHeight="1">
      <c r="C306" s="674"/>
      <c r="D306" s="610" t="s">
        <v>6698</v>
      </c>
      <c r="E306" s="607" t="s">
        <v>6619</v>
      </c>
      <c r="F306" s="611" t="s">
        <v>6700</v>
      </c>
      <c r="G306" s="611"/>
      <c r="H306" s="213" t="s">
        <v>6701</v>
      </c>
      <c r="I306" s="610">
        <f>(I292/I303)*60</f>
        <v>150</v>
      </c>
      <c r="J306" s="616"/>
      <c r="K306" s="196" t="s">
        <v>5298</v>
      </c>
      <c r="L306" s="610"/>
      <c r="M306" s="637"/>
      <c r="N306" s="689"/>
      <c r="O306" s="689"/>
      <c r="P306" s="689"/>
      <c r="Q306" s="689"/>
      <c r="R306" s="200"/>
      <c r="S306" s="515"/>
    </row>
    <row r="307" spans="3:19" s="517" customFormat="1" ht="25.8" customHeight="1" thickBot="1">
      <c r="C307" s="674"/>
      <c r="D307" s="610" t="s">
        <v>6699</v>
      </c>
      <c r="E307" s="607" t="s">
        <v>6619</v>
      </c>
      <c r="F307" s="611" t="s">
        <v>6700</v>
      </c>
      <c r="G307" s="611"/>
      <c r="H307" s="691" t="s">
        <v>6702</v>
      </c>
      <c r="I307" s="610">
        <v>393.6</v>
      </c>
      <c r="J307" s="616"/>
      <c r="K307" s="196" t="s">
        <v>5298</v>
      </c>
      <c r="L307" s="610"/>
      <c r="M307" s="637"/>
      <c r="N307" s="689"/>
      <c r="O307" s="689"/>
      <c r="P307" s="689"/>
      <c r="Q307" s="689"/>
      <c r="R307" s="200"/>
      <c r="S307" s="515"/>
    </row>
    <row r="308" spans="3:19" s="517" customFormat="1" ht="25.8" customHeight="1">
      <c r="C308" s="674"/>
      <c r="D308" s="610"/>
      <c r="E308" s="607"/>
      <c r="F308" s="611"/>
      <c r="G308" s="611"/>
      <c r="H308" s="692" t="s">
        <v>6705</v>
      </c>
      <c r="I308" s="639">
        <f>SUM(I306:I307)</f>
        <v>543.6</v>
      </c>
      <c r="J308" s="633"/>
      <c r="K308" s="693" t="s">
        <v>5298</v>
      </c>
      <c r="L308" s="610"/>
      <c r="M308" s="637"/>
      <c r="N308" s="689"/>
      <c r="O308" s="689"/>
      <c r="P308" s="689"/>
      <c r="Q308" s="689"/>
      <c r="R308" s="200"/>
      <c r="S308" s="515"/>
    </row>
    <row r="309" spans="3:19" s="517" customFormat="1" ht="25.8" customHeight="1">
      <c r="C309" s="674"/>
      <c r="D309" s="610" t="s">
        <v>6706</v>
      </c>
      <c r="E309" s="607" t="s">
        <v>6619</v>
      </c>
      <c r="F309" s="655" t="s">
        <v>6767</v>
      </c>
      <c r="G309" s="611"/>
      <c r="H309" s="692" t="s">
        <v>6710</v>
      </c>
      <c r="I309" s="639">
        <f>(I300*I301*60)/I308</f>
        <v>5.4966887417218544</v>
      </c>
      <c r="J309" s="633"/>
      <c r="K309" s="693" t="s">
        <v>6730</v>
      </c>
      <c r="L309" s="610"/>
      <c r="M309" s="637"/>
      <c r="N309" s="689"/>
      <c r="O309" s="689"/>
      <c r="P309" s="689"/>
      <c r="Q309" s="689"/>
      <c r="R309" s="200"/>
      <c r="S309" s="515"/>
    </row>
    <row r="310" spans="3:19" s="517" customFormat="1" ht="25.8" customHeight="1">
      <c r="C310" s="674"/>
      <c r="D310" s="610" t="s">
        <v>6707</v>
      </c>
      <c r="E310" s="607" t="s">
        <v>6619</v>
      </c>
      <c r="F310" s="611" t="s">
        <v>6709</v>
      </c>
      <c r="G310" s="611"/>
      <c r="H310" s="692"/>
      <c r="I310" s="639">
        <f>1/I309</f>
        <v>0.1819277108433735</v>
      </c>
      <c r="J310" s="633"/>
      <c r="K310" s="693" t="s">
        <v>2139</v>
      </c>
      <c r="L310" s="610"/>
      <c r="M310" s="637"/>
      <c r="N310" s="689"/>
      <c r="O310" s="689"/>
      <c r="P310" s="689"/>
      <c r="Q310" s="689"/>
      <c r="R310" s="200"/>
      <c r="S310" s="515"/>
    </row>
    <row r="311" spans="3:19" s="517" customFormat="1" ht="25.8" customHeight="1">
      <c r="C311" s="675"/>
      <c r="D311" s="610"/>
      <c r="E311" s="607"/>
      <c r="F311" s="611"/>
      <c r="G311" s="611"/>
      <c r="H311" s="692"/>
      <c r="I311" s="639"/>
      <c r="J311" s="633"/>
      <c r="K311" s="693"/>
      <c r="L311" s="610"/>
      <c r="M311" s="637"/>
      <c r="N311" s="689"/>
      <c r="O311" s="689"/>
      <c r="P311" s="689"/>
      <c r="Q311" s="689"/>
      <c r="R311" s="200"/>
      <c r="S311" s="515"/>
    </row>
    <row r="312" spans="3:19" s="517" customFormat="1" ht="25.8" customHeight="1">
      <c r="C312" s="601" t="s">
        <v>2679</v>
      </c>
      <c r="D312" s="670" t="s">
        <v>6794</v>
      </c>
      <c r="E312" s="607"/>
      <c r="F312" s="611"/>
      <c r="G312" s="611"/>
      <c r="H312" s="213"/>
      <c r="I312" s="610"/>
      <c r="J312" s="616"/>
      <c r="K312" s="196"/>
      <c r="L312" s="713" t="s">
        <v>6810</v>
      </c>
      <c r="M312" s="695"/>
      <c r="N312" s="696"/>
      <c r="O312" s="696"/>
      <c r="P312" s="696"/>
      <c r="Q312" s="689"/>
      <c r="R312" s="200"/>
      <c r="S312" s="515"/>
    </row>
    <row r="313" spans="3:19" s="517" customFormat="1" ht="25.8" customHeight="1">
      <c r="C313" s="674"/>
      <c r="D313" s="682" t="s">
        <v>6795</v>
      </c>
      <c r="E313" s="607"/>
      <c r="F313" s="611"/>
      <c r="G313" s="611"/>
      <c r="H313" s="213" t="s">
        <v>1769</v>
      </c>
      <c r="I313" s="697">
        <v>1</v>
      </c>
      <c r="J313" s="616"/>
      <c r="K313" s="196" t="s">
        <v>6675</v>
      </c>
      <c r="L313" s="694"/>
      <c r="M313" s="695"/>
      <c r="N313" s="696"/>
      <c r="O313" s="696"/>
      <c r="P313" s="696"/>
      <c r="Q313" s="689"/>
      <c r="R313" s="200"/>
      <c r="S313" s="515"/>
    </row>
    <row r="314" spans="3:19" s="517" customFormat="1" ht="25.8" customHeight="1">
      <c r="C314" s="674"/>
      <c r="D314" s="682" t="s">
        <v>6796</v>
      </c>
      <c r="E314" s="607"/>
      <c r="F314" s="611"/>
      <c r="G314" s="611"/>
      <c r="H314" s="213" t="s">
        <v>5295</v>
      </c>
      <c r="I314" s="610">
        <v>0.83</v>
      </c>
      <c r="J314" s="616"/>
      <c r="K314" s="196" t="s">
        <v>5296</v>
      </c>
      <c r="L314" s="694" t="s">
        <v>6809</v>
      </c>
      <c r="M314" s="695"/>
      <c r="N314" s="696"/>
      <c r="O314" s="696"/>
      <c r="P314" s="696"/>
      <c r="Q314" s="689"/>
      <c r="R314" s="200"/>
      <c r="S314" s="515"/>
    </row>
    <row r="315" spans="3:19" s="517" customFormat="1" ht="25.8" customHeight="1">
      <c r="C315" s="674"/>
      <c r="D315" s="670" t="s">
        <v>6797</v>
      </c>
      <c r="E315" s="607"/>
      <c r="F315" s="611"/>
      <c r="G315" s="611"/>
      <c r="H315" s="213"/>
      <c r="I315" s="610"/>
      <c r="J315" s="616"/>
      <c r="K315" s="196"/>
      <c r="L315" s="694"/>
      <c r="M315" s="695"/>
      <c r="N315" s="696"/>
      <c r="O315" s="696"/>
      <c r="P315" s="696"/>
      <c r="Q315" s="689"/>
      <c r="R315" s="200"/>
      <c r="S315" s="515"/>
    </row>
    <row r="316" spans="3:19" s="517" customFormat="1" ht="25.8" customHeight="1">
      <c r="C316" s="674"/>
      <c r="D316" s="682" t="s">
        <v>6798</v>
      </c>
      <c r="E316" s="607"/>
      <c r="F316" s="611"/>
      <c r="G316" s="611"/>
      <c r="H316" s="213" t="s">
        <v>6701</v>
      </c>
      <c r="I316" s="610">
        <v>2.0299999999999998</v>
      </c>
      <c r="J316" s="616"/>
      <c r="K316" s="196" t="s">
        <v>6731</v>
      </c>
      <c r="L316" s="1899" t="s">
        <v>6808</v>
      </c>
      <c r="M316" s="695"/>
      <c r="N316" s="696"/>
      <c r="O316" s="696"/>
      <c r="P316" s="696"/>
      <c r="Q316" s="689"/>
      <c r="R316" s="200"/>
      <c r="S316" s="515"/>
    </row>
    <row r="317" spans="3:19" s="517" customFormat="1" ht="25.8" customHeight="1">
      <c r="C317" s="674"/>
      <c r="D317" s="682" t="s">
        <v>6799</v>
      </c>
      <c r="E317" s="607"/>
      <c r="F317" s="611"/>
      <c r="G317" s="611"/>
      <c r="H317" s="213" t="s">
        <v>6702</v>
      </c>
      <c r="I317" s="610">
        <v>1.35</v>
      </c>
      <c r="J317" s="616"/>
      <c r="K317" s="196" t="s">
        <v>6731</v>
      </c>
      <c r="L317" s="1900"/>
      <c r="M317" s="695"/>
      <c r="N317" s="696"/>
      <c r="O317" s="696"/>
      <c r="P317" s="696"/>
      <c r="Q317" s="689"/>
      <c r="R317" s="200"/>
      <c r="S317" s="515"/>
    </row>
    <row r="318" spans="3:19" s="517" customFormat="1" ht="25.8" customHeight="1">
      <c r="C318" s="674"/>
      <c r="D318" s="682" t="s">
        <v>6800</v>
      </c>
      <c r="E318" s="607"/>
      <c r="F318" s="611"/>
      <c r="G318" s="611"/>
      <c r="H318" s="213" t="s">
        <v>6805</v>
      </c>
      <c r="I318" s="610">
        <v>1.91</v>
      </c>
      <c r="J318" s="616"/>
      <c r="K318" s="196" t="s">
        <v>6731</v>
      </c>
      <c r="L318" s="714"/>
      <c r="M318" s="695"/>
      <c r="N318" s="696"/>
      <c r="O318" s="696"/>
      <c r="P318" s="696"/>
      <c r="Q318" s="689"/>
      <c r="R318" s="200"/>
      <c r="S318" s="515"/>
    </row>
    <row r="319" spans="3:19" s="517" customFormat="1" ht="25.8" customHeight="1" thickBot="1">
      <c r="C319" s="674"/>
      <c r="D319" s="682" t="s">
        <v>6801</v>
      </c>
      <c r="E319" s="607"/>
      <c r="F319" s="611"/>
      <c r="G319" s="611"/>
      <c r="H319" s="691" t="s">
        <v>6806</v>
      </c>
      <c r="I319" s="676">
        <v>1.27</v>
      </c>
      <c r="J319" s="616"/>
      <c r="K319" s="196" t="s">
        <v>6731</v>
      </c>
      <c r="L319" s="714"/>
      <c r="M319" s="695"/>
      <c r="N319" s="696"/>
      <c r="O319" s="696"/>
      <c r="P319" s="696"/>
      <c r="Q319" s="689"/>
      <c r="R319" s="200"/>
      <c r="S319" s="515"/>
    </row>
    <row r="320" spans="3:19" s="517" customFormat="1" ht="25.8" customHeight="1">
      <c r="C320" s="674"/>
      <c r="D320" s="682"/>
      <c r="E320" s="607"/>
      <c r="F320" s="611"/>
      <c r="G320" s="611"/>
      <c r="H320" s="692" t="s">
        <v>6719</v>
      </c>
      <c r="I320" s="639">
        <f>SUM(I316:I319)</f>
        <v>6.5600000000000005</v>
      </c>
      <c r="J320" s="633"/>
      <c r="K320" s="196" t="s">
        <v>6731</v>
      </c>
      <c r="L320" s="694"/>
      <c r="M320" s="695"/>
      <c r="N320" s="696"/>
      <c r="O320" s="696"/>
      <c r="P320" s="696"/>
      <c r="Q320" s="689"/>
      <c r="R320" s="200"/>
      <c r="S320" s="515"/>
    </row>
    <row r="321" spans="3:20" s="517" customFormat="1" ht="25.8" customHeight="1">
      <c r="C321" s="674"/>
      <c r="D321" s="682" t="s">
        <v>6706</v>
      </c>
      <c r="E321" s="607" t="s">
        <v>6619</v>
      </c>
      <c r="F321" s="655" t="s">
        <v>6802</v>
      </c>
      <c r="G321" s="611"/>
      <c r="H321" s="213" t="s">
        <v>6726</v>
      </c>
      <c r="I321" s="610">
        <f>(I313*I314*60)/I320</f>
        <v>7.5914634146341458</v>
      </c>
      <c r="J321" s="616"/>
      <c r="K321" s="196" t="s">
        <v>6732</v>
      </c>
      <c r="L321" s="694"/>
      <c r="M321" s="695"/>
      <c r="N321" s="696"/>
      <c r="O321" s="696"/>
      <c r="P321" s="696"/>
      <c r="Q321" s="689"/>
      <c r="R321" s="200"/>
      <c r="S321" s="515"/>
    </row>
    <row r="322" spans="3:20" s="517" customFormat="1" ht="25.8" customHeight="1">
      <c r="C322" s="674"/>
      <c r="D322" s="670" t="s">
        <v>6803</v>
      </c>
      <c r="E322" s="607"/>
      <c r="F322" s="611"/>
      <c r="G322" s="611"/>
      <c r="H322" s="213"/>
      <c r="I322" s="610">
        <f>1/I321</f>
        <v>0.13172690763052211</v>
      </c>
      <c r="J322" s="616"/>
      <c r="K322" s="196" t="s">
        <v>2396</v>
      </c>
      <c r="L322" s="694"/>
      <c r="M322" s="695"/>
      <c r="N322" s="696"/>
      <c r="O322" s="696"/>
      <c r="P322" s="696"/>
      <c r="Q322" s="689"/>
      <c r="R322" s="200"/>
      <c r="S322" s="515"/>
    </row>
    <row r="323" spans="3:20" s="517" customFormat="1" ht="25.8" customHeight="1">
      <c r="C323" s="674"/>
      <c r="D323" s="670" t="s">
        <v>6804</v>
      </c>
      <c r="E323" s="607"/>
      <c r="F323" s="611"/>
      <c r="G323" s="611"/>
      <c r="H323" s="213"/>
      <c r="I323" s="610"/>
      <c r="J323" s="616"/>
      <c r="K323" s="196"/>
      <c r="L323" s="694"/>
      <c r="M323" s="695"/>
      <c r="N323" s="696"/>
      <c r="O323" s="696"/>
      <c r="P323" s="696"/>
      <c r="Q323" s="689"/>
      <c r="R323" s="200"/>
      <c r="S323" s="515"/>
    </row>
    <row r="324" spans="3:20" s="517" customFormat="1" ht="25.8" customHeight="1">
      <c r="C324" s="674"/>
      <c r="D324" s="682" t="s">
        <v>6722</v>
      </c>
      <c r="E324" s="607" t="s">
        <v>6619</v>
      </c>
      <c r="F324" s="611" t="s">
        <v>6724</v>
      </c>
      <c r="G324" s="611"/>
      <c r="H324" s="213" t="s">
        <v>1774</v>
      </c>
      <c r="I324" s="610">
        <v>0.52690000000000003</v>
      </c>
      <c r="J324" s="616"/>
      <c r="K324" s="196" t="s">
        <v>1863</v>
      </c>
      <c r="L324" s="694" t="s">
        <v>6807</v>
      </c>
      <c r="M324" s="695"/>
      <c r="N324" s="696"/>
      <c r="O324" s="696"/>
      <c r="P324" s="696"/>
      <c r="Q324" s="689"/>
      <c r="R324" s="200"/>
      <c r="S324" s="515"/>
    </row>
    <row r="325" spans="3:20" s="517" customFormat="1" ht="25.8" customHeight="1">
      <c r="C325" s="675"/>
      <c r="D325" s="610" t="s">
        <v>6723</v>
      </c>
      <c r="E325" s="607" t="s">
        <v>6619</v>
      </c>
      <c r="F325" s="611" t="s">
        <v>6725</v>
      </c>
      <c r="G325" s="611"/>
      <c r="H325" s="213" t="s">
        <v>1777</v>
      </c>
      <c r="I325" s="610">
        <v>5.2699999999999997E-2</v>
      </c>
      <c r="J325" s="616"/>
      <c r="K325" s="196" t="s">
        <v>1863</v>
      </c>
      <c r="L325" s="694"/>
      <c r="M325" s="695"/>
      <c r="N325" s="696"/>
      <c r="O325" s="696"/>
      <c r="P325" s="696"/>
      <c r="Q325" s="689"/>
      <c r="R325" s="200"/>
      <c r="S325" s="515"/>
    </row>
    <row r="326" spans="3:20" s="517" customFormat="1" ht="25.8" customHeight="1">
      <c r="C326" s="571"/>
      <c r="D326" s="513"/>
      <c r="E326" s="710"/>
      <c r="F326" s="513"/>
      <c r="G326" s="513"/>
      <c r="H326" s="595"/>
      <c r="I326" s="514"/>
      <c r="J326" s="514"/>
      <c r="K326" s="514"/>
      <c r="L326" s="514"/>
      <c r="M326" s="514"/>
      <c r="N326" s="514"/>
      <c r="O326" s="514"/>
      <c r="P326" s="514"/>
      <c r="Q326" s="514"/>
      <c r="R326" s="189"/>
      <c r="S326" s="515"/>
      <c r="T326" s="516"/>
    </row>
    <row r="327" spans="3:20" s="517" customFormat="1" ht="25.8" customHeight="1">
      <c r="C327" s="571" t="s">
        <v>6812</v>
      </c>
      <c r="D327" s="513" t="s">
        <v>6813</v>
      </c>
      <c r="E327" s="710"/>
      <c r="F327" s="513"/>
      <c r="G327" s="513"/>
      <c r="H327" s="595"/>
      <c r="I327" s="514"/>
      <c r="J327" s="514"/>
      <c r="K327" s="514"/>
      <c r="L327" s="514"/>
      <c r="M327" s="514"/>
      <c r="N327" s="514"/>
      <c r="O327" s="514"/>
      <c r="P327" s="514"/>
      <c r="Q327" s="514"/>
      <c r="R327" s="189">
        <f>ROUNDDOWN(H342,-2)</f>
        <v>154500</v>
      </c>
      <c r="S327" s="515" t="s">
        <v>6760</v>
      </c>
      <c r="T327" s="516" t="s">
        <v>6778</v>
      </c>
    </row>
    <row r="328" spans="3:20" s="517" customFormat="1" ht="25.8" customHeight="1">
      <c r="C328" s="699" t="s">
        <v>1195</v>
      </c>
      <c r="D328" s="699" t="s">
        <v>1196</v>
      </c>
      <c r="E328" s="699" t="s">
        <v>1197</v>
      </c>
      <c r="F328" s="699" t="s">
        <v>1198</v>
      </c>
      <c r="G328" s="699" t="s">
        <v>1199</v>
      </c>
      <c r="H328" s="699" t="s">
        <v>1200</v>
      </c>
      <c r="I328" s="514"/>
      <c r="J328" s="514"/>
      <c r="K328" s="514"/>
      <c r="L328" s="514"/>
      <c r="M328" s="514"/>
      <c r="N328" s="514"/>
      <c r="O328" s="514"/>
      <c r="P328" s="514"/>
      <c r="Q328" s="514"/>
      <c r="R328" s="189"/>
      <c r="S328" s="515"/>
      <c r="T328" s="516"/>
    </row>
    <row r="329" spans="3:20" s="517" customFormat="1" ht="25.8" customHeight="1">
      <c r="C329" s="202" t="s">
        <v>1201</v>
      </c>
      <c r="D329" s="196" t="s">
        <v>1202</v>
      </c>
      <c r="E329" s="197"/>
      <c r="F329" s="197"/>
      <c r="G329" s="197"/>
      <c r="H329" s="197"/>
      <c r="I329" s="514"/>
      <c r="J329" s="514"/>
      <c r="K329" s="514"/>
      <c r="L329" s="514"/>
      <c r="M329" s="514"/>
      <c r="N329" s="514"/>
      <c r="O329" s="514"/>
      <c r="P329" s="514"/>
      <c r="Q329" s="514"/>
      <c r="R329" s="189"/>
      <c r="S329" s="515"/>
      <c r="T329" s="516"/>
    </row>
    <row r="330" spans="3:20" s="517" customFormat="1" ht="25.8" customHeight="1">
      <c r="C330" s="700">
        <v>1</v>
      </c>
      <c r="D330" s="196" t="s">
        <v>5</v>
      </c>
      <c r="E330" s="701" t="s">
        <v>1863</v>
      </c>
      <c r="F330" s="520">
        <f>I324</f>
        <v>0.52690000000000003</v>
      </c>
      <c r="G330" s="205">
        <f>VLOOKUP(D330,upahbahan,3,FALSE)/8</f>
        <v>12500</v>
      </c>
      <c r="H330" s="205">
        <f t="shared" ref="H330:H331" si="29">F330*G330</f>
        <v>6586.25</v>
      </c>
      <c r="I330" s="514"/>
      <c r="J330" s="514"/>
      <c r="K330" s="514"/>
      <c r="L330" s="514"/>
      <c r="M330" s="514"/>
      <c r="N330" s="514"/>
      <c r="O330" s="514"/>
      <c r="P330" s="514"/>
      <c r="Q330" s="514"/>
      <c r="R330" s="189"/>
      <c r="S330" s="515"/>
      <c r="T330" s="516"/>
    </row>
    <row r="331" spans="3:20" s="517" customFormat="1" ht="25.8" customHeight="1">
      <c r="C331" s="700">
        <v>2</v>
      </c>
      <c r="D331" s="196" t="s">
        <v>19</v>
      </c>
      <c r="E331" s="701" t="s">
        <v>1863</v>
      </c>
      <c r="F331" s="520">
        <f>I325</f>
        <v>5.2699999999999997E-2</v>
      </c>
      <c r="G331" s="205">
        <f>VLOOKUP(D331,upahbahan,3,FALSE)/8</f>
        <v>20000</v>
      </c>
      <c r="H331" s="205">
        <f t="shared" si="29"/>
        <v>1054</v>
      </c>
      <c r="I331" s="514"/>
      <c r="J331" s="514"/>
      <c r="K331" s="514"/>
      <c r="L331" s="514"/>
      <c r="M331" s="514"/>
      <c r="N331" s="514"/>
      <c r="O331" s="514"/>
      <c r="P331" s="514"/>
      <c r="Q331" s="514"/>
      <c r="R331" s="189"/>
      <c r="S331" s="515"/>
      <c r="T331" s="516"/>
    </row>
    <row r="332" spans="3:20" s="517" customFormat="1" ht="25.8" customHeight="1">
      <c r="C332" s="702" t="s">
        <v>1208</v>
      </c>
      <c r="D332" s="208"/>
      <c r="E332" s="208"/>
      <c r="F332" s="521"/>
      <c r="G332" s="522"/>
      <c r="H332" s="205">
        <f>SUM(H330:H331)</f>
        <v>7640.25</v>
      </c>
      <c r="I332" s="514"/>
      <c r="J332" s="514"/>
      <c r="K332" s="514"/>
      <c r="L332" s="514"/>
      <c r="M332" s="514"/>
      <c r="N332" s="514"/>
      <c r="O332" s="514"/>
      <c r="P332" s="514"/>
      <c r="Q332" s="514"/>
      <c r="R332" s="189"/>
      <c r="S332" s="515"/>
      <c r="T332" s="516"/>
    </row>
    <row r="333" spans="3:20" s="517" customFormat="1" ht="25.8" customHeight="1">
      <c r="C333" s="202" t="s">
        <v>1209</v>
      </c>
      <c r="D333" s="196" t="s">
        <v>1210</v>
      </c>
      <c r="E333" s="197"/>
      <c r="F333" s="197"/>
      <c r="G333" s="197"/>
      <c r="H333" s="197"/>
      <c r="I333" s="514"/>
      <c r="J333" s="514"/>
      <c r="K333" s="514"/>
      <c r="L333" s="514"/>
      <c r="M333" s="514"/>
      <c r="N333" s="514"/>
      <c r="O333" s="514"/>
      <c r="P333" s="514"/>
      <c r="Q333" s="514"/>
      <c r="R333" s="189"/>
      <c r="S333" s="515"/>
      <c r="T333" s="516"/>
    </row>
    <row r="334" spans="3:20" s="517" customFormat="1" ht="25.8" customHeight="1">
      <c r="C334" s="700">
        <v>1</v>
      </c>
      <c r="D334" s="703" t="s">
        <v>6814</v>
      </c>
      <c r="E334" s="704" t="s">
        <v>6742</v>
      </c>
      <c r="F334" s="705">
        <v>1</v>
      </c>
      <c r="G334" s="205">
        <f>VLOOKUP(D334,upahbahan,3,FALSE)</f>
        <v>0</v>
      </c>
      <c r="H334" s="205">
        <f t="shared" ref="H334" si="30">F334*G334</f>
        <v>0</v>
      </c>
      <c r="I334" s="514"/>
      <c r="J334" s="514"/>
      <c r="K334" s="514"/>
      <c r="L334" s="514"/>
      <c r="M334" s="514"/>
      <c r="N334" s="514"/>
      <c r="O334" s="514"/>
      <c r="P334" s="514"/>
      <c r="Q334" s="514"/>
      <c r="R334" s="189"/>
      <c r="S334" s="515"/>
      <c r="T334" s="516"/>
    </row>
    <row r="335" spans="3:20" s="517" customFormat="1" ht="25.8" customHeight="1">
      <c r="C335" s="702" t="s">
        <v>1214</v>
      </c>
      <c r="D335" s="208"/>
      <c r="E335" s="208"/>
      <c r="F335" s="208"/>
      <c r="G335" s="209"/>
      <c r="H335" s="205">
        <f>SUM(H334:H334)</f>
        <v>0</v>
      </c>
      <c r="I335" s="514"/>
      <c r="J335" s="514"/>
      <c r="K335" s="514"/>
      <c r="L335" s="514"/>
      <c r="M335" s="514"/>
      <c r="N335" s="514"/>
      <c r="O335" s="514"/>
      <c r="P335" s="514"/>
      <c r="Q335" s="514"/>
      <c r="R335" s="189"/>
      <c r="S335" s="515"/>
      <c r="T335" s="516"/>
    </row>
    <row r="336" spans="3:20" s="517" customFormat="1" ht="25.8" customHeight="1">
      <c r="C336" s="202" t="s">
        <v>1215</v>
      </c>
      <c r="D336" s="196" t="s">
        <v>1216</v>
      </c>
      <c r="E336" s="197"/>
      <c r="F336" s="197"/>
      <c r="G336" s="197"/>
      <c r="H336" s="197"/>
      <c r="I336" s="514"/>
      <c r="J336" s="514"/>
      <c r="K336" s="514"/>
      <c r="L336" s="514"/>
      <c r="M336" s="514"/>
      <c r="N336" s="514"/>
      <c r="O336" s="514"/>
      <c r="P336" s="514"/>
      <c r="Q336" s="514"/>
      <c r="R336" s="189"/>
      <c r="S336" s="515"/>
      <c r="T336" s="516"/>
    </row>
    <row r="337" spans="3:20" s="517" customFormat="1" ht="25.8" customHeight="1">
      <c r="C337" s="700">
        <v>1</v>
      </c>
      <c r="D337" s="703" t="s">
        <v>6776</v>
      </c>
      <c r="E337" s="704" t="s">
        <v>2139</v>
      </c>
      <c r="F337" s="520">
        <f>I310</f>
        <v>0.1819277108433735</v>
      </c>
      <c r="G337" s="205">
        <f>VLOOKUP(D337,upahbahan,3,FALSE)</f>
        <v>418543.76</v>
      </c>
      <c r="H337" s="205">
        <f t="shared" ref="H337" si="31">F337*G337</f>
        <v>76144.708144578311</v>
      </c>
      <c r="I337" s="514"/>
      <c r="J337" s="514"/>
      <c r="K337" s="514"/>
      <c r="L337" s="514"/>
      <c r="M337" s="514"/>
      <c r="N337" s="514"/>
      <c r="O337" s="514"/>
      <c r="P337" s="514"/>
      <c r="Q337" s="514"/>
      <c r="R337" s="189"/>
      <c r="S337" s="515"/>
      <c r="T337" s="516"/>
    </row>
    <row r="338" spans="3:20" s="517" customFormat="1" ht="25.8" customHeight="1">
      <c r="C338" s="700">
        <v>2</v>
      </c>
      <c r="D338" s="703" t="s">
        <v>6815</v>
      </c>
      <c r="E338" s="704" t="s">
        <v>2139</v>
      </c>
      <c r="F338" s="520">
        <f>I322</f>
        <v>0.13172690763052211</v>
      </c>
      <c r="G338" s="205">
        <f>VLOOKUP(D338,upahbahan,3,FALSE)</f>
        <v>430662.86</v>
      </c>
      <c r="H338" s="205">
        <f t="shared" ref="H338" si="32">F338*G338</f>
        <v>56729.886779116474</v>
      </c>
      <c r="I338" s="514"/>
      <c r="J338" s="514"/>
      <c r="K338" s="514"/>
      <c r="L338" s="514"/>
      <c r="M338" s="514"/>
      <c r="N338" s="514"/>
      <c r="O338" s="514"/>
      <c r="P338" s="514"/>
      <c r="Q338" s="514"/>
      <c r="R338" s="189"/>
      <c r="S338" s="515"/>
      <c r="T338" s="516"/>
    </row>
    <row r="339" spans="3:20" s="517" customFormat="1" ht="25.8" customHeight="1">
      <c r="C339" s="702" t="s">
        <v>1217</v>
      </c>
      <c r="D339" s="208"/>
      <c r="E339" s="208"/>
      <c r="F339" s="208"/>
      <c r="G339" s="209"/>
      <c r="H339" s="706">
        <f>SUM(H337:H338)</f>
        <v>132874.59492369479</v>
      </c>
      <c r="I339" s="514"/>
      <c r="J339" s="514"/>
      <c r="K339" s="514"/>
      <c r="L339" s="514"/>
      <c r="M339" s="514"/>
      <c r="N339" s="514"/>
      <c r="O339" s="514"/>
      <c r="P339" s="514"/>
      <c r="Q339" s="514"/>
      <c r="R339" s="189"/>
      <c r="S339" s="515"/>
      <c r="T339" s="516"/>
    </row>
    <row r="340" spans="3:20" s="517" customFormat="1" ht="25.8" customHeight="1">
      <c r="C340" s="707" t="s">
        <v>1218</v>
      </c>
      <c r="D340" s="224" t="s">
        <v>1219</v>
      </c>
      <c r="E340" s="225"/>
      <c r="F340" s="225"/>
      <c r="G340" s="226"/>
      <c r="H340" s="205">
        <f>H339+H335+H332</f>
        <v>140514.84492369479</v>
      </c>
      <c r="I340" s="514"/>
      <c r="J340" s="514"/>
      <c r="K340" s="514"/>
      <c r="L340" s="514"/>
      <c r="M340" s="514"/>
      <c r="N340" s="514"/>
      <c r="O340" s="514"/>
      <c r="P340" s="514"/>
      <c r="Q340" s="514"/>
      <c r="R340" s="189"/>
      <c r="S340" s="515"/>
      <c r="T340" s="516"/>
    </row>
    <row r="341" spans="3:20" s="517" customFormat="1" ht="25.8" customHeight="1">
      <c r="C341" s="707" t="s">
        <v>1220</v>
      </c>
      <c r="D341" s="224" t="s">
        <v>1321</v>
      </c>
      <c r="E341" s="225"/>
      <c r="F341" s="226"/>
      <c r="G341" s="228">
        <v>0.1</v>
      </c>
      <c r="H341" s="205">
        <f>H340*G341</f>
        <v>14051.48449236948</v>
      </c>
      <c r="I341" s="514"/>
      <c r="J341" s="514"/>
      <c r="K341" s="514"/>
      <c r="L341" s="514"/>
      <c r="M341" s="514"/>
      <c r="N341" s="514"/>
      <c r="O341" s="514"/>
      <c r="P341" s="514"/>
      <c r="Q341" s="514"/>
      <c r="R341" s="189"/>
      <c r="S341" s="515"/>
      <c r="T341" s="516"/>
    </row>
    <row r="342" spans="3:20" s="517" customFormat="1" ht="25.8" customHeight="1">
      <c r="C342" s="707" t="s">
        <v>1221</v>
      </c>
      <c r="D342" s="224" t="s">
        <v>1222</v>
      </c>
      <c r="E342" s="225"/>
      <c r="F342" s="225"/>
      <c r="G342" s="226"/>
      <c r="H342" s="708">
        <f>SUM(H340:H341)</f>
        <v>154566.32941606428</v>
      </c>
      <c r="I342" s="514"/>
      <c r="J342" s="514"/>
      <c r="K342" s="514"/>
      <c r="L342" s="514"/>
      <c r="M342" s="514"/>
      <c r="N342" s="514"/>
      <c r="O342" s="514"/>
      <c r="P342" s="514"/>
      <c r="Q342" s="514"/>
      <c r="R342" s="189"/>
      <c r="S342" s="515"/>
      <c r="T342" s="516"/>
    </row>
    <row r="343" spans="3:20" s="517" customFormat="1" ht="25.8" customHeight="1">
      <c r="C343" s="571"/>
      <c r="D343" s="513"/>
      <c r="E343" s="710"/>
      <c r="F343" s="513"/>
      <c r="G343" s="513"/>
      <c r="H343" s="595"/>
      <c r="I343" s="514"/>
      <c r="J343" s="514"/>
      <c r="K343" s="514"/>
      <c r="L343" s="514"/>
      <c r="M343" s="514"/>
      <c r="N343" s="514"/>
      <c r="O343" s="514"/>
      <c r="P343" s="514"/>
      <c r="Q343" s="514"/>
      <c r="R343" s="189"/>
      <c r="S343" s="515"/>
      <c r="T343" s="516"/>
    </row>
    <row r="344" spans="3:20" s="517" customFormat="1" ht="25.8" customHeight="1">
      <c r="C344" s="512" t="s">
        <v>6816</v>
      </c>
      <c r="D344" s="513" t="s">
        <v>6817</v>
      </c>
      <c r="E344" s="594"/>
      <c r="F344" s="513"/>
      <c r="G344" s="513"/>
      <c r="H344" s="595"/>
      <c r="I344" s="514"/>
      <c r="J344" s="514"/>
      <c r="K344" s="514"/>
      <c r="L344" s="514"/>
      <c r="M344" s="514"/>
      <c r="N344" s="514"/>
      <c r="O344" s="514"/>
      <c r="P344" s="514"/>
      <c r="Q344" s="514"/>
      <c r="R344" s="189"/>
      <c r="S344" s="515" t="s">
        <v>6760</v>
      </c>
      <c r="T344" s="516" t="s">
        <v>6811</v>
      </c>
    </row>
    <row r="345" spans="3:20" s="517" customFormat="1" ht="25.8" customHeight="1">
      <c r="C345" s="512" t="s">
        <v>6672</v>
      </c>
      <c r="D345" s="513"/>
      <c r="E345" s="710" t="s">
        <v>6788</v>
      </c>
      <c r="F345" s="513"/>
      <c r="G345" s="513"/>
      <c r="H345" s="595"/>
      <c r="I345" s="514"/>
      <c r="J345" s="514"/>
      <c r="K345" s="514"/>
      <c r="L345" s="514"/>
      <c r="M345" s="514"/>
      <c r="N345" s="514"/>
      <c r="O345" s="514"/>
      <c r="P345" s="514"/>
      <c r="Q345" s="514"/>
      <c r="R345" s="189"/>
      <c r="S345" s="515"/>
      <c r="T345" s="516"/>
    </row>
    <row r="346" spans="3:20" s="517" customFormat="1" ht="25.8" customHeight="1">
      <c r="C346" s="512" t="s">
        <v>6673</v>
      </c>
      <c r="D346" s="513"/>
      <c r="E346" s="710" t="s">
        <v>6748</v>
      </c>
      <c r="F346" s="513"/>
      <c r="G346" s="513"/>
      <c r="H346" s="595"/>
      <c r="I346" s="514"/>
      <c r="J346" s="514"/>
      <c r="K346" s="514"/>
      <c r="L346" s="514"/>
      <c r="M346" s="514"/>
      <c r="N346" s="514"/>
      <c r="O346" s="514"/>
      <c r="P346" s="514"/>
      <c r="Q346" s="514"/>
      <c r="R346" s="189"/>
      <c r="S346" s="515"/>
      <c r="T346" s="516"/>
    </row>
    <row r="347" spans="3:20" s="517" customFormat="1" ht="25.8" customHeight="1">
      <c r="C347" s="512" t="s">
        <v>6674</v>
      </c>
      <c r="D347" s="513"/>
      <c r="E347" s="710" t="s">
        <v>6749</v>
      </c>
      <c r="F347" s="513"/>
      <c r="G347" s="513"/>
      <c r="H347" s="595"/>
      <c r="I347" s="514"/>
      <c r="J347" s="514"/>
      <c r="K347" s="514"/>
      <c r="L347" s="514"/>
      <c r="M347" s="514"/>
      <c r="N347" s="514"/>
      <c r="O347" s="514"/>
      <c r="P347" s="514"/>
      <c r="Q347" s="514"/>
      <c r="R347" s="189"/>
      <c r="S347" s="515"/>
      <c r="T347" s="516"/>
    </row>
    <row r="348" spans="3:20" s="517" customFormat="1" ht="25.8" customHeight="1">
      <c r="C348" s="512" t="s">
        <v>6675</v>
      </c>
      <c r="D348" s="513"/>
      <c r="E348" s="710" t="s">
        <v>6818</v>
      </c>
      <c r="F348" s="513"/>
      <c r="G348" s="513"/>
      <c r="H348" s="595"/>
      <c r="I348" s="514"/>
      <c r="J348" s="514"/>
      <c r="K348" s="514"/>
      <c r="L348" s="514"/>
      <c r="M348" s="514"/>
      <c r="N348" s="514"/>
      <c r="O348" s="514"/>
      <c r="P348" s="514"/>
      <c r="Q348" s="514"/>
      <c r="R348" s="189"/>
      <c r="S348" s="515"/>
      <c r="T348" s="516"/>
    </row>
    <row r="349" spans="3:20" s="517" customFormat="1" ht="25.8" customHeight="1" thickBot="1">
      <c r="C349" s="571" t="s">
        <v>6676</v>
      </c>
      <c r="D349" s="513"/>
      <c r="E349" s="710" t="s">
        <v>6790</v>
      </c>
      <c r="F349" s="513"/>
      <c r="G349" s="513"/>
      <c r="H349" s="595"/>
      <c r="I349" s="514"/>
      <c r="J349" s="514"/>
      <c r="K349" s="514"/>
      <c r="L349" s="514"/>
      <c r="M349" s="514"/>
      <c r="N349" s="514"/>
      <c r="O349" s="514"/>
      <c r="P349" s="514"/>
      <c r="Q349" s="514"/>
      <c r="R349" s="189"/>
      <c r="S349" s="515"/>
      <c r="T349" s="516"/>
    </row>
    <row r="350" spans="3:20" s="517" customFormat="1" ht="25.8" customHeight="1" thickTop="1">
      <c r="C350" s="190" t="s">
        <v>1195</v>
      </c>
      <c r="D350" s="1922" t="s">
        <v>1196</v>
      </c>
      <c r="E350" s="1923"/>
      <c r="F350" s="1923"/>
      <c r="G350" s="1924"/>
      <c r="H350" s="191" t="s">
        <v>1906</v>
      </c>
      <c r="I350" s="596" t="s">
        <v>1198</v>
      </c>
      <c r="J350" s="600"/>
      <c r="K350" s="191" t="s">
        <v>5286</v>
      </c>
      <c r="L350" s="596" t="s">
        <v>6733</v>
      </c>
      <c r="M350" s="679"/>
      <c r="N350" s="561"/>
      <c r="O350" s="561"/>
      <c r="P350" s="561"/>
      <c r="Q350" s="561"/>
      <c r="R350" s="200"/>
      <c r="S350" s="515"/>
    </row>
    <row r="351" spans="3:20" s="517" customFormat="1" ht="25.8" customHeight="1">
      <c r="C351" s="601" t="s">
        <v>1766</v>
      </c>
      <c r="D351" s="602" t="s">
        <v>5288</v>
      </c>
      <c r="E351" s="604"/>
      <c r="F351" s="604"/>
      <c r="G351" s="604"/>
      <c r="H351" s="604"/>
      <c r="I351" s="604"/>
      <c r="J351" s="604"/>
      <c r="K351" s="604"/>
      <c r="L351" s="604"/>
      <c r="M351" s="680"/>
      <c r="N351" s="681"/>
      <c r="O351" s="681"/>
      <c r="P351" s="681"/>
      <c r="Q351" s="681"/>
      <c r="R351" s="200"/>
      <c r="S351" s="515"/>
    </row>
    <row r="352" spans="3:20" s="517" customFormat="1" ht="25.8" customHeight="1">
      <c r="C352" s="519">
        <v>1</v>
      </c>
      <c r="D352" s="682" t="s">
        <v>6683</v>
      </c>
      <c r="E352" s="607"/>
      <c r="F352" s="611"/>
      <c r="G352" s="616"/>
      <c r="H352" s="213" t="s">
        <v>6687</v>
      </c>
      <c r="I352" s="619">
        <v>7</v>
      </c>
      <c r="J352" s="613"/>
      <c r="K352" s="520" t="s">
        <v>2139</v>
      </c>
      <c r="L352" s="618"/>
      <c r="M352" s="683"/>
      <c r="N352" s="684"/>
      <c r="O352" s="684"/>
      <c r="P352" s="684"/>
      <c r="Q352" s="684"/>
      <c r="R352" s="200"/>
      <c r="S352" s="515"/>
    </row>
    <row r="353" spans="3:19" s="517" customFormat="1" ht="25.8" customHeight="1">
      <c r="C353" s="519">
        <v>2</v>
      </c>
      <c r="D353" s="682" t="s">
        <v>6684</v>
      </c>
      <c r="E353" s="607"/>
      <c r="F353" s="611"/>
      <c r="G353" s="616"/>
      <c r="H353" s="213" t="s">
        <v>6688</v>
      </c>
      <c r="I353" s="619">
        <v>1.25</v>
      </c>
      <c r="J353" s="613"/>
      <c r="K353" s="520" t="s">
        <v>5296</v>
      </c>
      <c r="L353" s="618" t="s">
        <v>6734</v>
      </c>
      <c r="M353" s="683"/>
      <c r="N353" s="684"/>
      <c r="O353" s="684"/>
      <c r="P353" s="684"/>
      <c r="Q353" s="684"/>
      <c r="R353" s="200"/>
      <c r="S353" s="515"/>
    </row>
    <row r="354" spans="3:19" s="517" customFormat="1" ht="25.8" customHeight="1">
      <c r="C354" s="519">
        <v>3</v>
      </c>
      <c r="D354" s="682" t="s">
        <v>6685</v>
      </c>
      <c r="E354" s="607"/>
      <c r="F354" s="611"/>
      <c r="G354" s="616"/>
      <c r="H354" s="213" t="s">
        <v>1767</v>
      </c>
      <c r="I354" s="619">
        <v>100</v>
      </c>
      <c r="J354" s="620"/>
      <c r="K354" s="520" t="s">
        <v>5289</v>
      </c>
      <c r="L354" s="618"/>
      <c r="M354" s="683"/>
      <c r="N354" s="684"/>
      <c r="O354" s="684"/>
      <c r="P354" s="684"/>
      <c r="Q354" s="684"/>
      <c r="R354" s="200"/>
      <c r="S354" s="515"/>
    </row>
    <row r="355" spans="3:19" s="517" customFormat="1" ht="25.8" customHeight="1">
      <c r="C355" s="519">
        <v>4</v>
      </c>
      <c r="D355" s="682" t="s">
        <v>6686</v>
      </c>
      <c r="E355" s="607"/>
      <c r="F355" s="611"/>
      <c r="G355" s="616"/>
      <c r="H355" s="213"/>
      <c r="I355" s="619"/>
      <c r="J355" s="620"/>
      <c r="K355" s="520"/>
      <c r="L355" s="618" t="s">
        <v>6772</v>
      </c>
      <c r="M355" s="683"/>
      <c r="N355" s="684"/>
      <c r="O355" s="684"/>
      <c r="P355" s="684"/>
      <c r="Q355" s="684"/>
      <c r="R355" s="200"/>
      <c r="S355" s="515"/>
    </row>
    <row r="356" spans="3:19" s="517" customFormat="1" ht="25.8" customHeight="1">
      <c r="C356" s="518" t="s">
        <v>5291</v>
      </c>
      <c r="D356" s="602" t="s">
        <v>5292</v>
      </c>
      <c r="E356" s="604"/>
      <c r="F356" s="604"/>
      <c r="G356" s="604"/>
      <c r="H356" s="604"/>
      <c r="I356" s="604"/>
      <c r="J356" s="604"/>
      <c r="K356" s="604"/>
      <c r="L356" s="604"/>
      <c r="M356" s="680"/>
      <c r="N356" s="681"/>
      <c r="O356" s="681"/>
      <c r="P356" s="681"/>
      <c r="Q356" s="681"/>
      <c r="R356" s="200"/>
      <c r="S356" s="515"/>
    </row>
    <row r="357" spans="3:19" s="517" customFormat="1" ht="25.8" customHeight="1">
      <c r="C357" s="524" t="s">
        <v>1203</v>
      </c>
      <c r="D357" s="610" t="s">
        <v>6791</v>
      </c>
      <c r="E357" s="607"/>
      <c r="F357" s="611"/>
      <c r="G357" s="616"/>
      <c r="H357" s="234"/>
      <c r="I357" s="628"/>
      <c r="J357" s="629"/>
      <c r="K357" s="525"/>
      <c r="L357" s="618"/>
      <c r="M357" s="683"/>
      <c r="N357" s="684"/>
      <c r="O357" s="684"/>
      <c r="P357" s="684"/>
      <c r="Q357" s="684"/>
      <c r="R357" s="200"/>
      <c r="S357" s="515"/>
    </row>
    <row r="358" spans="3:19" s="517" customFormat="1" ht="25.8" customHeight="1">
      <c r="C358" s="524">
        <v>2</v>
      </c>
      <c r="D358" s="610" t="s">
        <v>6689</v>
      </c>
      <c r="E358" s="607"/>
      <c r="F358" s="611"/>
      <c r="G358" s="616"/>
      <c r="H358" s="234"/>
      <c r="I358" s="628"/>
      <c r="J358" s="629"/>
      <c r="K358" s="525"/>
      <c r="L358" s="618"/>
      <c r="M358" s="683"/>
      <c r="N358" s="684"/>
      <c r="O358" s="684"/>
      <c r="P358" s="684"/>
      <c r="Q358" s="684"/>
      <c r="R358" s="200"/>
      <c r="S358" s="515"/>
    </row>
    <row r="359" spans="3:19" s="517" customFormat="1" ht="25.8" customHeight="1">
      <c r="C359" s="524">
        <v>3</v>
      </c>
      <c r="D359" s="610" t="s">
        <v>6792</v>
      </c>
      <c r="E359" s="607"/>
      <c r="F359" s="611"/>
      <c r="G359" s="616"/>
      <c r="H359" s="234"/>
      <c r="I359" s="628"/>
      <c r="J359" s="629"/>
      <c r="K359" s="525"/>
      <c r="L359" s="618"/>
      <c r="M359" s="683"/>
      <c r="N359" s="684"/>
      <c r="O359" s="684"/>
      <c r="P359" s="684"/>
      <c r="Q359" s="684"/>
      <c r="R359" s="200"/>
      <c r="S359" s="515"/>
    </row>
    <row r="360" spans="3:19" s="517" customFormat="1" ht="25.8" customHeight="1">
      <c r="C360" s="601" t="s">
        <v>1071</v>
      </c>
      <c r="D360" s="651" t="s">
        <v>6819</v>
      </c>
      <c r="E360" s="604"/>
      <c r="F360" s="604"/>
      <c r="G360" s="604"/>
      <c r="H360" s="604"/>
      <c r="I360" s="604"/>
      <c r="J360" s="604"/>
      <c r="K360" s="604"/>
      <c r="L360" s="604"/>
      <c r="M360" s="680"/>
      <c r="N360" s="681"/>
      <c r="O360" s="681"/>
      <c r="P360" s="681"/>
      <c r="Q360" s="681"/>
      <c r="R360" s="200"/>
      <c r="S360" s="515"/>
    </row>
    <row r="361" spans="3:19" s="517" customFormat="1" ht="25.8" customHeight="1">
      <c r="C361" s="601" t="s">
        <v>5265</v>
      </c>
      <c r="D361" s="644" t="s">
        <v>6765</v>
      </c>
      <c r="E361" s="603"/>
      <c r="F361" s="645" t="s">
        <v>6766</v>
      </c>
      <c r="G361" s="645"/>
      <c r="H361" s="656"/>
      <c r="I361" s="644"/>
      <c r="J361" s="657"/>
      <c r="K361" s="685"/>
      <c r="L361" s="644"/>
      <c r="M361" s="686"/>
      <c r="N361" s="687"/>
      <c r="O361" s="687"/>
      <c r="P361" s="687"/>
      <c r="Q361" s="687"/>
      <c r="R361" s="200"/>
      <c r="S361" s="515"/>
    </row>
    <row r="362" spans="3:19" s="517" customFormat="1" ht="25.8" customHeight="1">
      <c r="C362" s="543"/>
      <c r="D362" s="688" t="s">
        <v>6693</v>
      </c>
      <c r="E362" s="688"/>
      <c r="F362" s="645"/>
      <c r="G362" s="645"/>
      <c r="H362" s="213" t="s">
        <v>1769</v>
      </c>
      <c r="I362" s="610">
        <v>50</v>
      </c>
      <c r="J362" s="616"/>
      <c r="K362" s="196" t="s">
        <v>5297</v>
      </c>
      <c r="L362" s="610"/>
      <c r="M362" s="637"/>
      <c r="N362" s="689"/>
      <c r="O362" s="689"/>
      <c r="P362" s="689"/>
      <c r="Q362" s="689"/>
      <c r="R362" s="200"/>
      <c r="S362" s="515"/>
    </row>
    <row r="363" spans="3:19" s="517" customFormat="1" ht="25.8" customHeight="1">
      <c r="C363" s="674"/>
      <c r="D363" s="690" t="s">
        <v>6694</v>
      </c>
      <c r="E363" s="690"/>
      <c r="F363" s="611"/>
      <c r="G363" s="611"/>
      <c r="H363" s="213" t="s">
        <v>5295</v>
      </c>
      <c r="I363" s="610">
        <v>0.83</v>
      </c>
      <c r="J363" s="616"/>
      <c r="K363" s="196" t="s">
        <v>5296</v>
      </c>
      <c r="L363" s="610" t="s">
        <v>6735</v>
      </c>
      <c r="M363" s="637"/>
      <c r="N363" s="689"/>
      <c r="O363" s="689"/>
      <c r="P363" s="689"/>
      <c r="Q363" s="689"/>
      <c r="R363" s="200"/>
      <c r="S363" s="515"/>
    </row>
    <row r="364" spans="3:19" s="517" customFormat="1" ht="25.8" customHeight="1">
      <c r="C364" s="674"/>
      <c r="D364" s="644" t="s">
        <v>6695</v>
      </c>
      <c r="E364" s="607"/>
      <c r="F364" s="611"/>
      <c r="G364" s="611"/>
      <c r="H364" s="656" t="s">
        <v>1767</v>
      </c>
      <c r="I364" s="610">
        <v>100</v>
      </c>
      <c r="J364" s="616"/>
      <c r="K364" s="196" t="s">
        <v>6728</v>
      </c>
      <c r="L364" s="610"/>
      <c r="M364" s="637"/>
      <c r="N364" s="689"/>
      <c r="O364" s="689"/>
      <c r="P364" s="689"/>
      <c r="Q364" s="689"/>
      <c r="R364" s="200"/>
      <c r="S364" s="515"/>
    </row>
    <row r="365" spans="3:19" s="517" customFormat="1" ht="25.8" customHeight="1">
      <c r="C365" s="674"/>
      <c r="D365" s="682" t="s">
        <v>6696</v>
      </c>
      <c r="E365" s="607"/>
      <c r="F365" s="611"/>
      <c r="G365" s="611"/>
      <c r="H365" s="213" t="s">
        <v>6703</v>
      </c>
      <c r="I365" s="610">
        <v>40</v>
      </c>
      <c r="J365" s="616"/>
      <c r="K365" s="196" t="s">
        <v>6729</v>
      </c>
      <c r="L365" s="1897" t="s">
        <v>6736</v>
      </c>
      <c r="M365" s="637"/>
      <c r="N365" s="689"/>
      <c r="O365" s="689"/>
      <c r="P365" s="689"/>
      <c r="Q365" s="689"/>
      <c r="R365" s="200"/>
      <c r="S365" s="515"/>
    </row>
    <row r="366" spans="3:19" s="517" customFormat="1" ht="25.8" customHeight="1">
      <c r="C366" s="674"/>
      <c r="D366" s="682" t="s">
        <v>6697</v>
      </c>
      <c r="E366" s="607"/>
      <c r="F366" s="611"/>
      <c r="G366" s="611"/>
      <c r="H366" s="213" t="s">
        <v>6704</v>
      </c>
      <c r="I366" s="610">
        <v>60</v>
      </c>
      <c r="J366" s="616"/>
      <c r="K366" s="196" t="s">
        <v>6729</v>
      </c>
      <c r="L366" s="1898"/>
      <c r="M366" s="637"/>
      <c r="N366" s="689"/>
      <c r="O366" s="689"/>
      <c r="P366" s="689"/>
      <c r="Q366" s="689"/>
      <c r="R366" s="200"/>
      <c r="S366" s="515"/>
    </row>
    <row r="367" spans="3:19" s="517" customFormat="1" ht="25.8" customHeight="1">
      <c r="C367" s="674"/>
      <c r="D367" s="644" t="s">
        <v>5294</v>
      </c>
      <c r="E367" s="603"/>
      <c r="F367" s="645"/>
      <c r="G367" s="645"/>
      <c r="H367" s="213"/>
      <c r="I367" s="610"/>
      <c r="J367" s="616"/>
      <c r="K367" s="196"/>
      <c r="L367" s="610"/>
      <c r="M367" s="637"/>
      <c r="N367" s="689"/>
      <c r="O367" s="689"/>
      <c r="P367" s="689"/>
      <c r="Q367" s="689"/>
      <c r="R367" s="200"/>
      <c r="S367" s="515"/>
    </row>
    <row r="368" spans="3:19" s="517" customFormat="1" ht="25.8" customHeight="1">
      <c r="C368" s="674"/>
      <c r="D368" s="610" t="s">
        <v>6698</v>
      </c>
      <c r="E368" s="607" t="s">
        <v>6619</v>
      </c>
      <c r="F368" s="611" t="s">
        <v>6700</v>
      </c>
      <c r="G368" s="611"/>
      <c r="H368" s="213" t="s">
        <v>6701</v>
      </c>
      <c r="I368" s="610">
        <f>(I354/I365)*60</f>
        <v>150</v>
      </c>
      <c r="J368" s="616"/>
      <c r="K368" s="196" t="s">
        <v>5298</v>
      </c>
      <c r="L368" s="610"/>
      <c r="M368" s="637"/>
      <c r="N368" s="689"/>
      <c r="O368" s="689"/>
      <c r="P368" s="689"/>
      <c r="Q368" s="689"/>
      <c r="R368" s="200"/>
      <c r="S368" s="515"/>
    </row>
    <row r="369" spans="3:19" s="517" customFormat="1" ht="25.8" customHeight="1" thickBot="1">
      <c r="C369" s="674"/>
      <c r="D369" s="610" t="s">
        <v>6699</v>
      </c>
      <c r="E369" s="607" t="s">
        <v>6619</v>
      </c>
      <c r="F369" s="611" t="s">
        <v>6700</v>
      </c>
      <c r="G369" s="611"/>
      <c r="H369" s="691" t="s">
        <v>6702</v>
      </c>
      <c r="I369" s="610">
        <v>338.25</v>
      </c>
      <c r="J369" s="616"/>
      <c r="K369" s="196" t="s">
        <v>5298</v>
      </c>
      <c r="L369" s="610"/>
      <c r="M369" s="637"/>
      <c r="N369" s="689"/>
      <c r="O369" s="689"/>
      <c r="P369" s="689"/>
      <c r="Q369" s="689"/>
      <c r="R369" s="200"/>
      <c r="S369" s="515"/>
    </row>
    <row r="370" spans="3:19" s="517" customFormat="1" ht="25.8" customHeight="1">
      <c r="C370" s="674"/>
      <c r="D370" s="610"/>
      <c r="E370" s="607"/>
      <c r="F370" s="611"/>
      <c r="G370" s="611"/>
      <c r="H370" s="692" t="s">
        <v>6705</v>
      </c>
      <c r="I370" s="639">
        <f>SUM(I368:I369)</f>
        <v>488.25</v>
      </c>
      <c r="J370" s="633"/>
      <c r="K370" s="693" t="s">
        <v>5298</v>
      </c>
      <c r="L370" s="610"/>
      <c r="M370" s="637"/>
      <c r="N370" s="689"/>
      <c r="O370" s="689"/>
      <c r="P370" s="689"/>
      <c r="Q370" s="689"/>
      <c r="R370" s="200"/>
      <c r="S370" s="515"/>
    </row>
    <row r="371" spans="3:19" s="517" customFormat="1" ht="25.8" customHeight="1">
      <c r="C371" s="674"/>
      <c r="D371" s="610" t="s">
        <v>6706</v>
      </c>
      <c r="E371" s="607" t="s">
        <v>6619</v>
      </c>
      <c r="F371" s="655" t="s">
        <v>6767</v>
      </c>
      <c r="G371" s="611"/>
      <c r="H371" s="692" t="s">
        <v>6710</v>
      </c>
      <c r="I371" s="639">
        <f>(I362*I363*60)/I370</f>
        <v>5.0998463901689712</v>
      </c>
      <c r="J371" s="633"/>
      <c r="K371" s="693" t="s">
        <v>6730</v>
      </c>
      <c r="L371" s="610"/>
      <c r="M371" s="637"/>
      <c r="N371" s="689"/>
      <c r="O371" s="689"/>
      <c r="P371" s="689"/>
      <c r="Q371" s="689"/>
      <c r="R371" s="200"/>
      <c r="S371" s="515"/>
    </row>
    <row r="372" spans="3:19" s="517" customFormat="1" ht="25.8" customHeight="1">
      <c r="C372" s="674"/>
      <c r="D372" s="610" t="s">
        <v>6707</v>
      </c>
      <c r="E372" s="607" t="s">
        <v>6619</v>
      </c>
      <c r="F372" s="611" t="s">
        <v>6709</v>
      </c>
      <c r="G372" s="611"/>
      <c r="H372" s="692"/>
      <c r="I372" s="639">
        <f>1/I371</f>
        <v>0.19608433734939756</v>
      </c>
      <c r="J372" s="633"/>
      <c r="K372" s="693" t="s">
        <v>2139</v>
      </c>
      <c r="L372" s="610"/>
      <c r="M372" s="637"/>
      <c r="N372" s="689"/>
      <c r="O372" s="689"/>
      <c r="P372" s="689"/>
      <c r="Q372" s="689"/>
      <c r="R372" s="200"/>
      <c r="S372" s="515"/>
    </row>
    <row r="373" spans="3:19" s="517" customFormat="1" ht="25.8" customHeight="1">
      <c r="C373" s="675"/>
      <c r="D373" s="610"/>
      <c r="E373" s="607"/>
      <c r="F373" s="611"/>
      <c r="G373" s="611"/>
      <c r="H373" s="692"/>
      <c r="I373" s="639"/>
      <c r="J373" s="633"/>
      <c r="K373" s="693"/>
      <c r="L373" s="610"/>
      <c r="M373" s="637"/>
      <c r="N373" s="689"/>
      <c r="O373" s="689"/>
      <c r="P373" s="689"/>
      <c r="Q373" s="689"/>
      <c r="R373" s="200"/>
      <c r="S373" s="515"/>
    </row>
    <row r="374" spans="3:19" s="517" customFormat="1" ht="25.8" customHeight="1">
      <c r="C374" s="601" t="s">
        <v>2679</v>
      </c>
      <c r="D374" s="670" t="s">
        <v>6794</v>
      </c>
      <c r="E374" s="607"/>
      <c r="F374" s="611"/>
      <c r="G374" s="611"/>
      <c r="H374" s="213"/>
      <c r="I374" s="610"/>
      <c r="J374" s="616"/>
      <c r="K374" s="196"/>
      <c r="L374" s="713" t="s">
        <v>6810</v>
      </c>
      <c r="M374" s="695"/>
      <c r="N374" s="696"/>
      <c r="O374" s="696"/>
      <c r="P374" s="696"/>
      <c r="Q374" s="689"/>
      <c r="R374" s="200"/>
      <c r="S374" s="515"/>
    </row>
    <row r="375" spans="3:19" s="517" customFormat="1" ht="25.8" customHeight="1">
      <c r="C375" s="674"/>
      <c r="D375" s="682" t="s">
        <v>6795</v>
      </c>
      <c r="E375" s="607"/>
      <c r="F375" s="611"/>
      <c r="G375" s="611"/>
      <c r="H375" s="213" t="s">
        <v>1769</v>
      </c>
      <c r="I375" s="697">
        <v>1</v>
      </c>
      <c r="J375" s="616"/>
      <c r="K375" s="196" t="s">
        <v>6675</v>
      </c>
      <c r="L375" s="694"/>
      <c r="M375" s="695"/>
      <c r="N375" s="696"/>
      <c r="O375" s="696"/>
      <c r="P375" s="696"/>
      <c r="Q375" s="689"/>
      <c r="R375" s="200"/>
      <c r="S375" s="515"/>
    </row>
    <row r="376" spans="3:19" s="517" customFormat="1" ht="25.8" customHeight="1">
      <c r="C376" s="674"/>
      <c r="D376" s="682" t="s">
        <v>6796</v>
      </c>
      <c r="E376" s="607"/>
      <c r="F376" s="611"/>
      <c r="G376" s="611"/>
      <c r="H376" s="213" t="s">
        <v>5295</v>
      </c>
      <c r="I376" s="610">
        <v>0.83</v>
      </c>
      <c r="J376" s="616"/>
      <c r="K376" s="196" t="s">
        <v>5296</v>
      </c>
      <c r="L376" s="694" t="s">
        <v>6809</v>
      </c>
      <c r="M376" s="695"/>
      <c r="N376" s="696"/>
      <c r="O376" s="696"/>
      <c r="P376" s="696"/>
      <c r="Q376" s="689"/>
      <c r="R376" s="200"/>
      <c r="S376" s="515"/>
    </row>
    <row r="377" spans="3:19" s="517" customFormat="1" ht="25.8" customHeight="1">
      <c r="C377" s="674"/>
      <c r="D377" s="670" t="s">
        <v>6820</v>
      </c>
      <c r="E377" s="607"/>
      <c r="F377" s="611"/>
      <c r="G377" s="611"/>
      <c r="H377" s="213"/>
      <c r="I377" s="610"/>
      <c r="J377" s="616"/>
      <c r="K377" s="196"/>
      <c r="L377" s="694"/>
      <c r="M377" s="695"/>
      <c r="N377" s="696"/>
      <c r="O377" s="696"/>
      <c r="P377" s="696"/>
      <c r="Q377" s="689"/>
      <c r="R377" s="200"/>
      <c r="S377" s="515"/>
    </row>
    <row r="378" spans="3:19" s="517" customFormat="1" ht="25.8" customHeight="1">
      <c r="C378" s="674"/>
      <c r="D378" s="682" t="s">
        <v>6798</v>
      </c>
      <c r="E378" s="607"/>
      <c r="F378" s="611"/>
      <c r="G378" s="611"/>
      <c r="H378" s="213" t="s">
        <v>6701</v>
      </c>
      <c r="I378" s="610">
        <v>2.12</v>
      </c>
      <c r="J378" s="616"/>
      <c r="K378" s="196" t="s">
        <v>6731</v>
      </c>
      <c r="L378" s="1899" t="s">
        <v>6808</v>
      </c>
      <c r="M378" s="695"/>
      <c r="N378" s="696"/>
      <c r="O378" s="696"/>
      <c r="P378" s="696"/>
      <c r="Q378" s="689"/>
      <c r="R378" s="200"/>
      <c r="S378" s="515"/>
    </row>
    <row r="379" spans="3:19" s="517" customFormat="1" ht="25.8" customHeight="1">
      <c r="C379" s="674"/>
      <c r="D379" s="682" t="s">
        <v>6821</v>
      </c>
      <c r="E379" s="607"/>
      <c r="F379" s="611"/>
      <c r="G379" s="611"/>
      <c r="H379" s="213" t="s">
        <v>6702</v>
      </c>
      <c r="I379" s="610">
        <v>1.41</v>
      </c>
      <c r="J379" s="616"/>
      <c r="K379" s="196" t="s">
        <v>6731</v>
      </c>
      <c r="L379" s="1900"/>
      <c r="M379" s="695"/>
      <c r="N379" s="696"/>
      <c r="O379" s="696"/>
      <c r="P379" s="696"/>
      <c r="Q379" s="689"/>
      <c r="R379" s="200"/>
      <c r="S379" s="515"/>
    </row>
    <row r="380" spans="3:19" s="517" customFormat="1" ht="25.8" customHeight="1">
      <c r="C380" s="674"/>
      <c r="D380" s="682" t="s">
        <v>6800</v>
      </c>
      <c r="E380" s="607"/>
      <c r="F380" s="611"/>
      <c r="G380" s="611"/>
      <c r="H380" s="213" t="s">
        <v>6805</v>
      </c>
      <c r="I380" s="610">
        <v>1.94</v>
      </c>
      <c r="J380" s="616"/>
      <c r="K380" s="196" t="s">
        <v>6731</v>
      </c>
      <c r="L380" s="714"/>
      <c r="M380" s="695"/>
      <c r="N380" s="696"/>
      <c r="O380" s="696"/>
      <c r="P380" s="696"/>
      <c r="Q380" s="689"/>
      <c r="R380" s="200"/>
      <c r="S380" s="515"/>
    </row>
    <row r="381" spans="3:19" s="517" customFormat="1" ht="25.8" customHeight="1">
      <c r="C381" s="674"/>
      <c r="D381" s="682" t="s">
        <v>6801</v>
      </c>
      <c r="E381" s="607"/>
      <c r="F381" s="611"/>
      <c r="G381" s="611"/>
      <c r="H381" s="711" t="s">
        <v>6806</v>
      </c>
      <c r="I381" s="712">
        <v>1.29</v>
      </c>
      <c r="J381" s="715"/>
      <c r="K381" s="196" t="s">
        <v>6731</v>
      </c>
      <c r="L381" s="714"/>
      <c r="M381" s="695"/>
      <c r="N381" s="696"/>
      <c r="O381" s="696"/>
      <c r="P381" s="696"/>
      <c r="Q381" s="689"/>
      <c r="R381" s="200"/>
      <c r="S381" s="515"/>
    </row>
    <row r="382" spans="3:19" s="517" customFormat="1" ht="25.8" customHeight="1">
      <c r="C382" s="674"/>
      <c r="D382" s="682"/>
      <c r="E382" s="607"/>
      <c r="F382" s="611"/>
      <c r="G382" s="611"/>
      <c r="H382" s="692" t="s">
        <v>6719</v>
      </c>
      <c r="I382" s="639">
        <f>SUM(I378:I381)</f>
        <v>6.7600000000000007</v>
      </c>
      <c r="J382" s="633"/>
      <c r="K382" s="196" t="s">
        <v>6731</v>
      </c>
      <c r="L382" s="694"/>
      <c r="M382" s="695"/>
      <c r="N382" s="696"/>
      <c r="O382" s="696"/>
      <c r="P382" s="696"/>
      <c r="Q382" s="689"/>
      <c r="R382" s="200"/>
      <c r="S382" s="515"/>
    </row>
    <row r="383" spans="3:19" s="517" customFormat="1" ht="25.8" customHeight="1">
      <c r="C383" s="674"/>
      <c r="D383" s="682" t="s">
        <v>6706</v>
      </c>
      <c r="E383" s="607" t="s">
        <v>6619</v>
      </c>
      <c r="F383" s="655" t="s">
        <v>6802</v>
      </c>
      <c r="G383" s="611"/>
      <c r="H383" s="213" t="s">
        <v>6726</v>
      </c>
      <c r="I383" s="610">
        <f>(I375*I376*60)/I382</f>
        <v>7.3668639053254426</v>
      </c>
      <c r="J383" s="616"/>
      <c r="K383" s="196" t="s">
        <v>6732</v>
      </c>
      <c r="L383" s="694"/>
      <c r="M383" s="695"/>
      <c r="N383" s="696"/>
      <c r="O383" s="696"/>
      <c r="P383" s="696"/>
      <c r="Q383" s="689"/>
      <c r="R383" s="200"/>
      <c r="S383" s="515"/>
    </row>
    <row r="384" spans="3:19" s="517" customFormat="1" ht="25.8" customHeight="1">
      <c r="C384" s="674"/>
      <c r="D384" s="670" t="s">
        <v>6822</v>
      </c>
      <c r="E384" s="607"/>
      <c r="F384" s="611"/>
      <c r="G384" s="611"/>
      <c r="H384" s="213"/>
      <c r="I384" s="610">
        <f>1/I383</f>
        <v>0.13574297188755022</v>
      </c>
      <c r="J384" s="616"/>
      <c r="K384" s="196" t="s">
        <v>2396</v>
      </c>
      <c r="L384" s="694"/>
      <c r="M384" s="695"/>
      <c r="N384" s="696"/>
      <c r="O384" s="696"/>
      <c r="P384" s="696"/>
      <c r="Q384" s="689"/>
      <c r="R384" s="200"/>
      <c r="S384" s="515"/>
    </row>
    <row r="385" spans="3:20" s="517" customFormat="1" ht="25.8" customHeight="1">
      <c r="C385" s="674"/>
      <c r="D385" s="670" t="s">
        <v>6823</v>
      </c>
      <c r="E385" s="607"/>
      <c r="F385" s="611"/>
      <c r="G385" s="611"/>
      <c r="H385" s="213"/>
      <c r="I385" s="610"/>
      <c r="J385" s="616"/>
      <c r="K385" s="196"/>
      <c r="L385" s="694"/>
      <c r="M385" s="695"/>
      <c r="N385" s="696"/>
      <c r="O385" s="696"/>
      <c r="P385" s="696"/>
      <c r="Q385" s="689"/>
      <c r="R385" s="200"/>
      <c r="S385" s="515"/>
    </row>
    <row r="386" spans="3:20" s="517" customFormat="1" ht="25.8" customHeight="1">
      <c r="C386" s="674"/>
      <c r="D386" s="682" t="s">
        <v>6722</v>
      </c>
      <c r="E386" s="607" t="s">
        <v>6619</v>
      </c>
      <c r="F386" s="611" t="s">
        <v>6724</v>
      </c>
      <c r="G386" s="611"/>
      <c r="H386" s="213" t="s">
        <v>1774</v>
      </c>
      <c r="I386" s="610">
        <v>0.54339999999999999</v>
      </c>
      <c r="J386" s="616"/>
      <c r="K386" s="196" t="s">
        <v>1863</v>
      </c>
      <c r="L386" s="694" t="s">
        <v>6807</v>
      </c>
      <c r="M386" s="695"/>
      <c r="N386" s="696"/>
      <c r="O386" s="696"/>
      <c r="P386" s="696"/>
      <c r="Q386" s="689"/>
      <c r="R386" s="200"/>
      <c r="S386" s="515"/>
    </row>
    <row r="387" spans="3:20" s="517" customFormat="1" ht="25.8" customHeight="1">
      <c r="C387" s="675"/>
      <c r="D387" s="610" t="s">
        <v>6723</v>
      </c>
      <c r="E387" s="607" t="s">
        <v>6619</v>
      </c>
      <c r="F387" s="611" t="s">
        <v>6725</v>
      </c>
      <c r="G387" s="611"/>
      <c r="H387" s="213" t="s">
        <v>1777</v>
      </c>
      <c r="I387" s="610">
        <v>5.4300000000000001E-2</v>
      </c>
      <c r="J387" s="616"/>
      <c r="K387" s="196" t="s">
        <v>1863</v>
      </c>
      <c r="L387" s="694"/>
      <c r="M387" s="695"/>
      <c r="N387" s="696"/>
      <c r="O387" s="696"/>
      <c r="P387" s="696"/>
      <c r="Q387" s="689"/>
      <c r="R387" s="200"/>
      <c r="S387" s="515"/>
    </row>
    <row r="388" spans="3:20" s="517" customFormat="1" ht="21.75" customHeight="1">
      <c r="C388" s="571"/>
      <c r="D388" s="513"/>
      <c r="E388" s="710"/>
      <c r="F388" s="513"/>
      <c r="G388" s="513"/>
      <c r="H388" s="595"/>
      <c r="I388" s="514"/>
      <c r="J388" s="514"/>
      <c r="K388" s="514"/>
      <c r="L388" s="514"/>
      <c r="M388" s="514"/>
      <c r="N388" s="514"/>
      <c r="O388" s="514"/>
      <c r="P388" s="514"/>
      <c r="Q388" s="514"/>
      <c r="R388" s="189"/>
      <c r="S388" s="515"/>
      <c r="T388" s="516"/>
    </row>
    <row r="389" spans="3:20" s="517" customFormat="1" ht="21.75" customHeight="1">
      <c r="C389" s="571" t="s">
        <v>6825</v>
      </c>
      <c r="D389" s="513" t="s">
        <v>6826</v>
      </c>
      <c r="E389" s="710"/>
      <c r="F389" s="513"/>
      <c r="G389" s="513"/>
      <c r="H389" s="595"/>
      <c r="I389" s="514"/>
      <c r="J389" s="514"/>
      <c r="K389" s="514"/>
      <c r="L389" s="514"/>
      <c r="M389" s="514"/>
      <c r="N389" s="514"/>
      <c r="O389" s="514"/>
      <c r="P389" s="514"/>
      <c r="Q389" s="514"/>
      <c r="R389" s="189">
        <f>ROUNDDOWN(H404,-2)</f>
        <v>163200</v>
      </c>
      <c r="S389" s="515" t="s">
        <v>6760</v>
      </c>
      <c r="T389" s="516" t="s">
        <v>6778</v>
      </c>
    </row>
    <row r="390" spans="3:20" s="517" customFormat="1" ht="26.4" customHeight="1">
      <c r="C390" s="699" t="s">
        <v>1195</v>
      </c>
      <c r="D390" s="699" t="s">
        <v>1196</v>
      </c>
      <c r="E390" s="699" t="s">
        <v>1197</v>
      </c>
      <c r="F390" s="699" t="s">
        <v>1198</v>
      </c>
      <c r="G390" s="699" t="s">
        <v>1199</v>
      </c>
      <c r="H390" s="699" t="s">
        <v>1200</v>
      </c>
      <c r="I390" s="514"/>
      <c r="J390" s="514"/>
      <c r="K390" s="514"/>
      <c r="L390" s="514"/>
      <c r="M390" s="514"/>
      <c r="N390" s="514"/>
      <c r="O390" s="514"/>
      <c r="P390" s="514"/>
      <c r="Q390" s="514"/>
      <c r="R390" s="189"/>
      <c r="S390" s="515"/>
      <c r="T390" s="516"/>
    </row>
    <row r="391" spans="3:20" s="517" customFormat="1" ht="26.4" customHeight="1">
      <c r="C391" s="202" t="s">
        <v>1201</v>
      </c>
      <c r="D391" s="196" t="s">
        <v>1202</v>
      </c>
      <c r="E391" s="197"/>
      <c r="F391" s="197"/>
      <c r="G391" s="197"/>
      <c r="H391" s="197"/>
      <c r="I391" s="514"/>
      <c r="J391" s="514"/>
      <c r="K391" s="514"/>
      <c r="L391" s="514"/>
      <c r="M391" s="514"/>
      <c r="N391" s="514"/>
      <c r="O391" s="514"/>
      <c r="P391" s="514"/>
      <c r="Q391" s="514"/>
      <c r="R391" s="189"/>
      <c r="S391" s="515"/>
      <c r="T391" s="516"/>
    </row>
    <row r="392" spans="3:20" s="517" customFormat="1" ht="26.4" customHeight="1">
      <c r="C392" s="700">
        <v>1</v>
      </c>
      <c r="D392" s="196" t="s">
        <v>5</v>
      </c>
      <c r="E392" s="701" t="s">
        <v>1863</v>
      </c>
      <c r="F392" s="520">
        <f>I386</f>
        <v>0.54339999999999999</v>
      </c>
      <c r="G392" s="205">
        <f>VLOOKUP(D392,upahbahan,3,FALSE)/8</f>
        <v>12500</v>
      </c>
      <c r="H392" s="205">
        <f t="shared" ref="H392:H393" si="33">F392*G392</f>
        <v>6792.5</v>
      </c>
      <c r="I392" s="514"/>
      <c r="J392" s="514"/>
      <c r="K392" s="514"/>
      <c r="L392" s="514"/>
      <c r="M392" s="514"/>
      <c r="N392" s="514"/>
      <c r="O392" s="514"/>
      <c r="P392" s="514"/>
      <c r="Q392" s="514"/>
      <c r="R392" s="189"/>
      <c r="S392" s="515"/>
      <c r="T392" s="516"/>
    </row>
    <row r="393" spans="3:20" s="517" customFormat="1" ht="26.4" customHeight="1">
      <c r="C393" s="700">
        <v>2</v>
      </c>
      <c r="D393" s="196" t="s">
        <v>19</v>
      </c>
      <c r="E393" s="701" t="s">
        <v>1863</v>
      </c>
      <c r="F393" s="520">
        <f>I387</f>
        <v>5.4300000000000001E-2</v>
      </c>
      <c r="G393" s="205">
        <f>VLOOKUP(D393,upahbahan,3,FALSE)/8</f>
        <v>20000</v>
      </c>
      <c r="H393" s="205">
        <f t="shared" si="33"/>
        <v>1086</v>
      </c>
      <c r="I393" s="514"/>
      <c r="J393" s="514"/>
      <c r="K393" s="514"/>
      <c r="L393" s="514"/>
      <c r="M393" s="514"/>
      <c r="N393" s="514"/>
      <c r="O393" s="514"/>
      <c r="P393" s="514"/>
      <c r="Q393" s="514"/>
      <c r="R393" s="189"/>
      <c r="S393" s="515"/>
      <c r="T393" s="516"/>
    </row>
    <row r="394" spans="3:20" s="517" customFormat="1" ht="26.4" customHeight="1">
      <c r="C394" s="702" t="s">
        <v>1208</v>
      </c>
      <c r="D394" s="208"/>
      <c r="E394" s="208"/>
      <c r="F394" s="521"/>
      <c r="G394" s="522"/>
      <c r="H394" s="205">
        <f>SUM(H392:H393)</f>
        <v>7878.5</v>
      </c>
      <c r="I394" s="514"/>
      <c r="J394" s="514"/>
      <c r="K394" s="514"/>
      <c r="L394" s="514"/>
      <c r="M394" s="514"/>
      <c r="N394" s="514"/>
      <c r="O394" s="514"/>
      <c r="P394" s="514"/>
      <c r="Q394" s="514"/>
      <c r="R394" s="189"/>
      <c r="S394" s="515"/>
      <c r="T394" s="516"/>
    </row>
    <row r="395" spans="3:20" s="517" customFormat="1" ht="26.4" customHeight="1">
      <c r="C395" s="202" t="s">
        <v>1209</v>
      </c>
      <c r="D395" s="196" t="s">
        <v>1210</v>
      </c>
      <c r="E395" s="197"/>
      <c r="F395" s="197"/>
      <c r="G395" s="197"/>
      <c r="H395" s="197"/>
      <c r="I395" s="514"/>
      <c r="J395" s="514"/>
      <c r="K395" s="514"/>
      <c r="L395" s="514"/>
      <c r="M395" s="514"/>
      <c r="N395" s="514"/>
      <c r="O395" s="514"/>
      <c r="P395" s="514"/>
      <c r="Q395" s="514"/>
      <c r="R395" s="189"/>
      <c r="S395" s="515"/>
      <c r="T395" s="516"/>
    </row>
    <row r="396" spans="3:20" s="517" customFormat="1" ht="26.4" customHeight="1">
      <c r="C396" s="700">
        <v>1</v>
      </c>
      <c r="D396" s="703" t="s">
        <v>6827</v>
      </c>
      <c r="E396" s="704" t="s">
        <v>6742</v>
      </c>
      <c r="F396" s="705">
        <v>1</v>
      </c>
      <c r="G396" s="205">
        <f>VLOOKUP(D396,upahbahan,3,FALSE)</f>
        <v>0</v>
      </c>
      <c r="H396" s="205">
        <f t="shared" ref="H396" si="34">F396*G396</f>
        <v>0</v>
      </c>
      <c r="I396" s="514"/>
      <c r="J396" s="514"/>
      <c r="K396" s="514"/>
      <c r="L396" s="514"/>
      <c r="M396" s="514"/>
      <c r="N396" s="514"/>
      <c r="O396" s="514"/>
      <c r="P396" s="514"/>
      <c r="Q396" s="514"/>
      <c r="R396" s="189"/>
      <c r="S396" s="515"/>
      <c r="T396" s="516"/>
    </row>
    <row r="397" spans="3:20" s="517" customFormat="1" ht="26.4" customHeight="1">
      <c r="C397" s="702" t="s">
        <v>1214</v>
      </c>
      <c r="D397" s="208"/>
      <c r="E397" s="208"/>
      <c r="F397" s="208"/>
      <c r="G397" s="209"/>
      <c r="H397" s="205">
        <f>SUM(H396:H396)</f>
        <v>0</v>
      </c>
      <c r="I397" s="514"/>
      <c r="J397" s="514"/>
      <c r="K397" s="514"/>
      <c r="L397" s="514"/>
      <c r="M397" s="514"/>
      <c r="N397" s="514"/>
      <c r="O397" s="514"/>
      <c r="P397" s="514"/>
      <c r="Q397" s="514"/>
      <c r="R397" s="189"/>
      <c r="S397" s="515"/>
      <c r="T397" s="516"/>
    </row>
    <row r="398" spans="3:20" s="517" customFormat="1" ht="26.4" customHeight="1">
      <c r="C398" s="202" t="s">
        <v>1215</v>
      </c>
      <c r="D398" s="196" t="s">
        <v>1216</v>
      </c>
      <c r="E398" s="197"/>
      <c r="F398" s="197"/>
      <c r="G398" s="197"/>
      <c r="H398" s="197"/>
      <c r="I398" s="514"/>
      <c r="J398" s="514"/>
      <c r="K398" s="514"/>
      <c r="L398" s="514"/>
      <c r="M398" s="514"/>
      <c r="N398" s="514"/>
      <c r="O398" s="514"/>
      <c r="P398" s="514"/>
      <c r="Q398" s="514"/>
      <c r="R398" s="189"/>
      <c r="S398" s="515"/>
      <c r="T398" s="516"/>
    </row>
    <row r="399" spans="3:20" s="517" customFormat="1" ht="26.4" customHeight="1">
      <c r="C399" s="700">
        <v>1</v>
      </c>
      <c r="D399" s="703" t="s">
        <v>6776</v>
      </c>
      <c r="E399" s="704" t="s">
        <v>2139</v>
      </c>
      <c r="F399" s="520">
        <f>I372</f>
        <v>0.19608433734939756</v>
      </c>
      <c r="G399" s="205">
        <f>VLOOKUP(D399,upahbahan,3,FALSE)</f>
        <v>418543.76</v>
      </c>
      <c r="H399" s="205">
        <f t="shared" ref="H399:H400" si="35">F399*G399</f>
        <v>82069.875831325291</v>
      </c>
      <c r="I399" s="514"/>
      <c r="J399" s="514"/>
      <c r="K399" s="514"/>
      <c r="L399" s="514"/>
      <c r="M399" s="514"/>
      <c r="N399" s="514"/>
      <c r="O399" s="514"/>
      <c r="P399" s="514"/>
      <c r="Q399" s="514"/>
      <c r="R399" s="189"/>
      <c r="S399" s="515"/>
      <c r="T399" s="516"/>
    </row>
    <row r="400" spans="3:20" s="517" customFormat="1" ht="26.4" customHeight="1">
      <c r="C400" s="700">
        <v>2</v>
      </c>
      <c r="D400" s="703" t="s">
        <v>6815</v>
      </c>
      <c r="E400" s="704" t="s">
        <v>2139</v>
      </c>
      <c r="F400" s="520">
        <f>I384</f>
        <v>0.13574297188755022</v>
      </c>
      <c r="G400" s="205">
        <f>VLOOKUP(D400,upahbahan,3,FALSE)</f>
        <v>430662.86</v>
      </c>
      <c r="H400" s="205">
        <f t="shared" si="35"/>
        <v>58459.456497991974</v>
      </c>
      <c r="I400" s="514"/>
      <c r="J400" s="514"/>
      <c r="K400" s="514"/>
      <c r="L400" s="514"/>
      <c r="M400" s="514"/>
      <c r="N400" s="514"/>
      <c r="O400" s="514"/>
      <c r="P400" s="514"/>
      <c r="Q400" s="514"/>
      <c r="R400" s="189"/>
      <c r="S400" s="515"/>
      <c r="T400" s="516"/>
    </row>
    <row r="401" spans="3:20" s="517" customFormat="1" ht="26.4" customHeight="1">
      <c r="C401" s="702" t="s">
        <v>1217</v>
      </c>
      <c r="D401" s="208"/>
      <c r="E401" s="208"/>
      <c r="F401" s="208"/>
      <c r="G401" s="209"/>
      <c r="H401" s="706">
        <f>SUM(H399:H400)</f>
        <v>140529.33232931726</v>
      </c>
      <c r="I401" s="514"/>
      <c r="J401" s="514"/>
      <c r="K401" s="514"/>
      <c r="L401" s="514"/>
      <c r="M401" s="514"/>
      <c r="N401" s="514"/>
      <c r="O401" s="514"/>
      <c r="P401" s="514"/>
      <c r="Q401" s="514"/>
      <c r="R401" s="189"/>
      <c r="S401" s="515"/>
      <c r="T401" s="516"/>
    </row>
    <row r="402" spans="3:20" s="517" customFormat="1" ht="26.4" customHeight="1">
      <c r="C402" s="707" t="s">
        <v>1218</v>
      </c>
      <c r="D402" s="224" t="s">
        <v>1219</v>
      </c>
      <c r="E402" s="225"/>
      <c r="F402" s="225"/>
      <c r="G402" s="226"/>
      <c r="H402" s="205">
        <f>H401+H397+H394</f>
        <v>148407.83232931726</v>
      </c>
      <c r="I402" s="514"/>
      <c r="J402" s="514"/>
      <c r="K402" s="514"/>
      <c r="L402" s="514"/>
      <c r="M402" s="514"/>
      <c r="N402" s="514"/>
      <c r="O402" s="514"/>
      <c r="P402" s="514"/>
      <c r="Q402" s="514"/>
      <c r="R402" s="189"/>
      <c r="S402" s="515"/>
      <c r="T402" s="516"/>
    </row>
    <row r="403" spans="3:20" s="517" customFormat="1" ht="26.4" customHeight="1">
      <c r="C403" s="707" t="s">
        <v>1220</v>
      </c>
      <c r="D403" s="224" t="s">
        <v>1321</v>
      </c>
      <c r="E403" s="225"/>
      <c r="F403" s="226"/>
      <c r="G403" s="228">
        <v>0.1</v>
      </c>
      <c r="H403" s="205">
        <f>H402*G403</f>
        <v>14840.783232931726</v>
      </c>
      <c r="I403" s="514"/>
      <c r="J403" s="514"/>
      <c r="K403" s="514"/>
      <c r="L403" s="514"/>
      <c r="M403" s="514"/>
      <c r="N403" s="514"/>
      <c r="O403" s="514"/>
      <c r="P403" s="514"/>
      <c r="Q403" s="514"/>
      <c r="R403" s="189"/>
      <c r="S403" s="515"/>
      <c r="T403" s="516"/>
    </row>
    <row r="404" spans="3:20" s="517" customFormat="1" ht="26.4" customHeight="1">
      <c r="C404" s="707" t="s">
        <v>1221</v>
      </c>
      <c r="D404" s="224" t="s">
        <v>1222</v>
      </c>
      <c r="E404" s="225"/>
      <c r="F404" s="225"/>
      <c r="G404" s="226"/>
      <c r="H404" s="708">
        <f>SUM(H402:H403)</f>
        <v>163248.61556224898</v>
      </c>
      <c r="I404" s="514"/>
      <c r="J404" s="514"/>
      <c r="K404" s="514"/>
      <c r="L404" s="514"/>
      <c r="M404" s="514"/>
      <c r="N404" s="514"/>
      <c r="O404" s="514"/>
      <c r="P404" s="514"/>
      <c r="Q404" s="514"/>
      <c r="R404" s="189"/>
      <c r="S404" s="515"/>
      <c r="T404" s="516"/>
    </row>
    <row r="405" spans="3:20" s="517" customFormat="1" ht="21.75" customHeight="1">
      <c r="C405" s="571"/>
      <c r="D405" s="513"/>
      <c r="E405" s="710"/>
      <c r="F405" s="513"/>
      <c r="G405" s="513"/>
      <c r="H405" s="595"/>
      <c r="I405" s="514"/>
      <c r="J405" s="514"/>
      <c r="K405" s="514"/>
      <c r="L405" s="514"/>
      <c r="M405" s="514"/>
      <c r="N405" s="514"/>
      <c r="O405" s="514"/>
      <c r="P405" s="514"/>
      <c r="Q405" s="514"/>
      <c r="R405" s="189"/>
      <c r="S405" s="515"/>
      <c r="T405" s="516"/>
    </row>
    <row r="406" spans="3:20" s="517" customFormat="1" ht="27" customHeight="1">
      <c r="C406" s="512" t="s">
        <v>6824</v>
      </c>
      <c r="D406" s="513" t="s">
        <v>6828</v>
      </c>
      <c r="E406" s="594"/>
      <c r="F406" s="513"/>
      <c r="G406" s="513"/>
      <c r="H406" s="595"/>
      <c r="I406" s="514"/>
      <c r="J406" s="514"/>
      <c r="K406" s="514"/>
      <c r="L406" s="514"/>
      <c r="M406" s="514"/>
      <c r="N406" s="514"/>
      <c r="O406" s="514"/>
      <c r="P406" s="514"/>
      <c r="Q406" s="514"/>
      <c r="R406" s="189"/>
      <c r="S406" s="515" t="s">
        <v>6760</v>
      </c>
      <c r="T406" s="516" t="s">
        <v>6811</v>
      </c>
    </row>
    <row r="407" spans="3:20" s="517" customFormat="1" ht="27" customHeight="1">
      <c r="C407" s="512" t="s">
        <v>6672</v>
      </c>
      <c r="D407" s="513"/>
      <c r="E407" s="710" t="s">
        <v>6788</v>
      </c>
      <c r="F407" s="513"/>
      <c r="G407" s="513"/>
      <c r="H407" s="595"/>
      <c r="I407" s="514"/>
      <c r="J407" s="514"/>
      <c r="K407" s="514"/>
      <c r="L407" s="514"/>
      <c r="M407" s="514"/>
      <c r="N407" s="514"/>
      <c r="O407" s="514"/>
      <c r="P407" s="514"/>
      <c r="Q407" s="514"/>
      <c r="R407" s="189"/>
      <c r="S407" s="515"/>
      <c r="T407" s="516"/>
    </row>
    <row r="408" spans="3:20" s="517" customFormat="1" ht="27" customHeight="1">
      <c r="C408" s="512" t="s">
        <v>6673</v>
      </c>
      <c r="D408" s="513"/>
      <c r="E408" s="710" t="s">
        <v>6748</v>
      </c>
      <c r="F408" s="513"/>
      <c r="G408" s="513"/>
      <c r="H408" s="595"/>
      <c r="I408" s="514"/>
      <c r="J408" s="514"/>
      <c r="K408" s="514"/>
      <c r="L408" s="514"/>
      <c r="M408" s="514"/>
      <c r="N408" s="514"/>
      <c r="O408" s="514"/>
      <c r="P408" s="514"/>
      <c r="Q408" s="514"/>
      <c r="R408" s="189"/>
      <c r="S408" s="515"/>
      <c r="T408" s="516"/>
    </row>
    <row r="409" spans="3:20" s="517" customFormat="1" ht="27" customHeight="1">
      <c r="C409" s="512" t="s">
        <v>6674</v>
      </c>
      <c r="D409" s="513"/>
      <c r="E409" s="710" t="s">
        <v>6749</v>
      </c>
      <c r="F409" s="513"/>
      <c r="G409" s="513"/>
      <c r="H409" s="595"/>
      <c r="I409" s="514"/>
      <c r="J409" s="514"/>
      <c r="K409" s="514"/>
      <c r="L409" s="514"/>
      <c r="M409" s="514"/>
      <c r="N409" s="514"/>
      <c r="O409" s="514"/>
      <c r="P409" s="514"/>
      <c r="Q409" s="514"/>
      <c r="R409" s="189"/>
      <c r="S409" s="515"/>
      <c r="T409" s="516"/>
    </row>
    <row r="410" spans="3:20" s="517" customFormat="1" ht="27" customHeight="1">
      <c r="C410" s="512" t="s">
        <v>6675</v>
      </c>
      <c r="D410" s="513"/>
      <c r="E410" s="710" t="s">
        <v>6829</v>
      </c>
      <c r="F410" s="513"/>
      <c r="G410" s="513"/>
      <c r="H410" s="595"/>
      <c r="I410" s="514"/>
      <c r="J410" s="514"/>
      <c r="K410" s="514"/>
      <c r="L410" s="514"/>
      <c r="M410" s="514"/>
      <c r="N410" s="514"/>
      <c r="O410" s="514"/>
      <c r="P410" s="514"/>
      <c r="Q410" s="514"/>
      <c r="R410" s="189"/>
      <c r="S410" s="515"/>
      <c r="T410" s="516"/>
    </row>
    <row r="411" spans="3:20" s="517" customFormat="1" ht="27" customHeight="1" thickBot="1">
      <c r="C411" s="571" t="s">
        <v>6676</v>
      </c>
      <c r="D411" s="513"/>
      <c r="E411" s="710" t="s">
        <v>6790</v>
      </c>
      <c r="F411" s="513"/>
      <c r="G411" s="513"/>
      <c r="H411" s="595"/>
      <c r="I411" s="514"/>
      <c r="J411" s="514"/>
      <c r="K411" s="514"/>
      <c r="L411" s="514"/>
      <c r="M411" s="514"/>
      <c r="N411" s="514"/>
      <c r="O411" s="514"/>
      <c r="P411" s="514"/>
      <c r="Q411" s="514"/>
      <c r="R411" s="189"/>
      <c r="S411" s="515"/>
      <c r="T411" s="516"/>
    </row>
    <row r="412" spans="3:20" s="517" customFormat="1" ht="27" customHeight="1" thickTop="1">
      <c r="C412" s="190" t="s">
        <v>1195</v>
      </c>
      <c r="D412" s="1922" t="s">
        <v>1196</v>
      </c>
      <c r="E412" s="1923"/>
      <c r="F412" s="1923"/>
      <c r="G412" s="1924"/>
      <c r="H412" s="191" t="s">
        <v>1906</v>
      </c>
      <c r="I412" s="596" t="s">
        <v>1198</v>
      </c>
      <c r="J412" s="600"/>
      <c r="K412" s="191" t="s">
        <v>5286</v>
      </c>
      <c r="L412" s="596" t="s">
        <v>6733</v>
      </c>
      <c r="M412" s="679"/>
      <c r="N412" s="561"/>
      <c r="O412" s="561"/>
      <c r="P412" s="561"/>
      <c r="Q412" s="561"/>
      <c r="R412" s="200"/>
      <c r="S412" s="515"/>
    </row>
    <row r="413" spans="3:20" s="517" customFormat="1" ht="27" customHeight="1">
      <c r="C413" s="601" t="s">
        <v>1766</v>
      </c>
      <c r="D413" s="602" t="s">
        <v>5288</v>
      </c>
      <c r="E413" s="604"/>
      <c r="F413" s="604"/>
      <c r="G413" s="604"/>
      <c r="H413" s="604"/>
      <c r="I413" s="604"/>
      <c r="J413" s="604"/>
      <c r="K413" s="604"/>
      <c r="L413" s="604"/>
      <c r="M413" s="680"/>
      <c r="N413" s="681"/>
      <c r="O413" s="681"/>
      <c r="P413" s="681"/>
      <c r="Q413" s="681"/>
      <c r="R413" s="200"/>
      <c r="S413" s="515"/>
    </row>
    <row r="414" spans="3:20" s="517" customFormat="1" ht="27" customHeight="1">
      <c r="C414" s="519">
        <v>1</v>
      </c>
      <c r="D414" s="682" t="s">
        <v>6683</v>
      </c>
      <c r="E414" s="607"/>
      <c r="F414" s="611"/>
      <c r="G414" s="616"/>
      <c r="H414" s="213" t="s">
        <v>6687</v>
      </c>
      <c r="I414" s="619">
        <v>7</v>
      </c>
      <c r="J414" s="613"/>
      <c r="K414" s="520" t="s">
        <v>2139</v>
      </c>
      <c r="L414" s="618"/>
      <c r="M414" s="683"/>
      <c r="N414" s="684"/>
      <c r="O414" s="684"/>
      <c r="P414" s="684"/>
      <c r="Q414" s="684"/>
      <c r="R414" s="200"/>
      <c r="S414" s="515"/>
    </row>
    <row r="415" spans="3:20" s="517" customFormat="1" ht="27" customHeight="1">
      <c r="C415" s="519">
        <v>2</v>
      </c>
      <c r="D415" s="682" t="s">
        <v>6684</v>
      </c>
      <c r="E415" s="607"/>
      <c r="F415" s="611"/>
      <c r="G415" s="616"/>
      <c r="H415" s="213" t="s">
        <v>6688</v>
      </c>
      <c r="I415" s="619">
        <v>1.25</v>
      </c>
      <c r="J415" s="613"/>
      <c r="K415" s="520" t="s">
        <v>5296</v>
      </c>
      <c r="L415" s="618" t="s">
        <v>6734</v>
      </c>
      <c r="M415" s="683"/>
      <c r="N415" s="684"/>
      <c r="O415" s="684"/>
      <c r="P415" s="684"/>
      <c r="Q415" s="684"/>
      <c r="R415" s="200"/>
      <c r="S415" s="515"/>
    </row>
    <row r="416" spans="3:20" s="517" customFormat="1" ht="27" customHeight="1">
      <c r="C416" s="519">
        <v>3</v>
      </c>
      <c r="D416" s="682" t="s">
        <v>6685</v>
      </c>
      <c r="E416" s="607"/>
      <c r="F416" s="611"/>
      <c r="G416" s="616"/>
      <c r="H416" s="213" t="s">
        <v>1767</v>
      </c>
      <c r="I416" s="619">
        <v>100</v>
      </c>
      <c r="J416" s="620"/>
      <c r="K416" s="520" t="s">
        <v>5289</v>
      </c>
      <c r="L416" s="618"/>
      <c r="M416" s="683"/>
      <c r="N416" s="684"/>
      <c r="O416" s="684"/>
      <c r="P416" s="684"/>
      <c r="Q416" s="684"/>
      <c r="R416" s="200"/>
      <c r="S416" s="515"/>
    </row>
    <row r="417" spans="3:19" s="517" customFormat="1" ht="27" customHeight="1">
      <c r="C417" s="519">
        <v>4</v>
      </c>
      <c r="D417" s="682" t="s">
        <v>6686</v>
      </c>
      <c r="E417" s="607"/>
      <c r="F417" s="611"/>
      <c r="G417" s="616"/>
      <c r="H417" s="213"/>
      <c r="I417" s="619"/>
      <c r="J417" s="620"/>
      <c r="K417" s="520"/>
      <c r="L417" s="618" t="s">
        <v>6772</v>
      </c>
      <c r="M417" s="683"/>
      <c r="N417" s="684"/>
      <c r="O417" s="684"/>
      <c r="P417" s="684"/>
      <c r="Q417" s="684"/>
      <c r="R417" s="200"/>
      <c r="S417" s="515"/>
    </row>
    <row r="418" spans="3:19" s="517" customFormat="1" ht="27" customHeight="1">
      <c r="C418" s="518" t="s">
        <v>5291</v>
      </c>
      <c r="D418" s="602" t="s">
        <v>5292</v>
      </c>
      <c r="E418" s="604"/>
      <c r="F418" s="604"/>
      <c r="G418" s="604"/>
      <c r="H418" s="604"/>
      <c r="I418" s="604"/>
      <c r="J418" s="604"/>
      <c r="K418" s="604"/>
      <c r="L418" s="604"/>
      <c r="M418" s="680"/>
      <c r="N418" s="681"/>
      <c r="O418" s="681"/>
      <c r="P418" s="681"/>
      <c r="Q418" s="681"/>
      <c r="R418" s="200"/>
      <c r="S418" s="515"/>
    </row>
    <row r="419" spans="3:19" s="517" customFormat="1" ht="27" customHeight="1">
      <c r="C419" s="524" t="s">
        <v>1203</v>
      </c>
      <c r="D419" s="610" t="s">
        <v>6791</v>
      </c>
      <c r="E419" s="607"/>
      <c r="F419" s="611"/>
      <c r="G419" s="616"/>
      <c r="H419" s="234"/>
      <c r="I419" s="628"/>
      <c r="J419" s="629"/>
      <c r="K419" s="525"/>
      <c r="L419" s="618"/>
      <c r="M419" s="683"/>
      <c r="N419" s="684"/>
      <c r="O419" s="684"/>
      <c r="P419" s="684"/>
      <c r="Q419" s="684"/>
      <c r="R419" s="200"/>
      <c r="S419" s="515"/>
    </row>
    <row r="420" spans="3:19" s="517" customFormat="1" ht="27" customHeight="1">
      <c r="C420" s="524">
        <v>2</v>
      </c>
      <c r="D420" s="610" t="s">
        <v>6689</v>
      </c>
      <c r="E420" s="607"/>
      <c r="F420" s="611"/>
      <c r="G420" s="616"/>
      <c r="H420" s="234"/>
      <c r="I420" s="628"/>
      <c r="J420" s="629"/>
      <c r="K420" s="525"/>
      <c r="L420" s="618"/>
      <c r="M420" s="683"/>
      <c r="N420" s="684"/>
      <c r="O420" s="684"/>
      <c r="P420" s="684"/>
      <c r="Q420" s="684"/>
      <c r="R420" s="200"/>
      <c r="S420" s="515"/>
    </row>
    <row r="421" spans="3:19" s="517" customFormat="1" ht="27" customHeight="1">
      <c r="C421" s="524">
        <v>3</v>
      </c>
      <c r="D421" s="610" t="s">
        <v>6792</v>
      </c>
      <c r="E421" s="607"/>
      <c r="F421" s="611"/>
      <c r="G421" s="616"/>
      <c r="H421" s="234"/>
      <c r="I421" s="628"/>
      <c r="J421" s="629"/>
      <c r="K421" s="525"/>
      <c r="L421" s="618"/>
      <c r="M421" s="683"/>
      <c r="N421" s="684"/>
      <c r="O421" s="684"/>
      <c r="P421" s="684"/>
      <c r="Q421" s="684"/>
      <c r="R421" s="200"/>
      <c r="S421" s="515"/>
    </row>
    <row r="422" spans="3:19" s="517" customFormat="1" ht="27" customHeight="1">
      <c r="C422" s="601" t="s">
        <v>1071</v>
      </c>
      <c r="D422" s="651" t="s">
        <v>6819</v>
      </c>
      <c r="E422" s="604"/>
      <c r="F422" s="604"/>
      <c r="G422" s="604"/>
      <c r="H422" s="604"/>
      <c r="I422" s="604"/>
      <c r="J422" s="604"/>
      <c r="K422" s="604"/>
      <c r="L422" s="604"/>
      <c r="M422" s="680"/>
      <c r="N422" s="681"/>
      <c r="O422" s="681"/>
      <c r="P422" s="681"/>
      <c r="Q422" s="681"/>
      <c r="R422" s="200"/>
      <c r="S422" s="515"/>
    </row>
    <row r="423" spans="3:19" s="517" customFormat="1" ht="27" customHeight="1">
      <c r="C423" s="601" t="s">
        <v>5265</v>
      </c>
      <c r="D423" s="644" t="s">
        <v>6765</v>
      </c>
      <c r="E423" s="603"/>
      <c r="F423" s="645" t="s">
        <v>6766</v>
      </c>
      <c r="G423" s="645"/>
      <c r="H423" s="656"/>
      <c r="I423" s="644"/>
      <c r="J423" s="657"/>
      <c r="K423" s="685"/>
      <c r="L423" s="644"/>
      <c r="M423" s="686"/>
      <c r="N423" s="687"/>
      <c r="O423" s="687"/>
      <c r="P423" s="687"/>
      <c r="Q423" s="687"/>
      <c r="R423" s="200"/>
      <c r="S423" s="515"/>
    </row>
    <row r="424" spans="3:19" s="517" customFormat="1" ht="27" customHeight="1">
      <c r="C424" s="543"/>
      <c r="D424" s="688" t="s">
        <v>6693</v>
      </c>
      <c r="E424" s="688"/>
      <c r="F424" s="645"/>
      <c r="G424" s="645"/>
      <c r="H424" s="213" t="s">
        <v>1769</v>
      </c>
      <c r="I424" s="610">
        <v>30</v>
      </c>
      <c r="J424" s="616"/>
      <c r="K424" s="196" t="s">
        <v>5297</v>
      </c>
      <c r="L424" s="610"/>
      <c r="M424" s="637"/>
      <c r="N424" s="689"/>
      <c r="O424" s="689"/>
      <c r="P424" s="689"/>
      <c r="Q424" s="689"/>
      <c r="R424" s="200"/>
      <c r="S424" s="515"/>
    </row>
    <row r="425" spans="3:19" s="517" customFormat="1" ht="27" customHeight="1">
      <c r="C425" s="674"/>
      <c r="D425" s="690" t="s">
        <v>6694</v>
      </c>
      <c r="E425" s="690"/>
      <c r="F425" s="611"/>
      <c r="G425" s="611"/>
      <c r="H425" s="213" t="s">
        <v>5295</v>
      </c>
      <c r="I425" s="610">
        <v>0.83</v>
      </c>
      <c r="J425" s="616"/>
      <c r="K425" s="196" t="s">
        <v>5296</v>
      </c>
      <c r="L425" s="610" t="s">
        <v>6735</v>
      </c>
      <c r="M425" s="637"/>
      <c r="N425" s="689"/>
      <c r="O425" s="689"/>
      <c r="P425" s="689"/>
      <c r="Q425" s="689"/>
      <c r="R425" s="200"/>
      <c r="S425" s="515"/>
    </row>
    <row r="426" spans="3:19" s="517" customFormat="1" ht="27" customHeight="1">
      <c r="C426" s="674"/>
      <c r="D426" s="644" t="s">
        <v>6695</v>
      </c>
      <c r="E426" s="607"/>
      <c r="F426" s="611"/>
      <c r="G426" s="611"/>
      <c r="H426" s="656" t="s">
        <v>1767</v>
      </c>
      <c r="I426" s="610">
        <v>100</v>
      </c>
      <c r="J426" s="616"/>
      <c r="K426" s="196" t="s">
        <v>6728</v>
      </c>
      <c r="L426" s="610"/>
      <c r="M426" s="637"/>
      <c r="N426" s="689"/>
      <c r="O426" s="689"/>
      <c r="P426" s="689"/>
      <c r="Q426" s="689"/>
      <c r="R426" s="200"/>
      <c r="S426" s="515"/>
    </row>
    <row r="427" spans="3:19" s="517" customFormat="1" ht="27" customHeight="1">
      <c r="C427" s="674"/>
      <c r="D427" s="682" t="s">
        <v>6696</v>
      </c>
      <c r="E427" s="607"/>
      <c r="F427" s="611"/>
      <c r="G427" s="611"/>
      <c r="H427" s="213" t="s">
        <v>6703</v>
      </c>
      <c r="I427" s="610">
        <v>40</v>
      </c>
      <c r="J427" s="616"/>
      <c r="K427" s="196" t="s">
        <v>6729</v>
      </c>
      <c r="L427" s="1897" t="s">
        <v>6736</v>
      </c>
      <c r="M427" s="637"/>
      <c r="N427" s="689"/>
      <c r="O427" s="689"/>
      <c r="P427" s="689"/>
      <c r="Q427" s="689"/>
      <c r="R427" s="200"/>
      <c r="S427" s="515"/>
    </row>
    <row r="428" spans="3:19" s="517" customFormat="1" ht="27" customHeight="1">
      <c r="C428" s="674"/>
      <c r="D428" s="682" t="s">
        <v>6697</v>
      </c>
      <c r="E428" s="607"/>
      <c r="F428" s="611"/>
      <c r="G428" s="611"/>
      <c r="H428" s="213" t="s">
        <v>6704</v>
      </c>
      <c r="I428" s="610">
        <v>60</v>
      </c>
      <c r="J428" s="616"/>
      <c r="K428" s="196" t="s">
        <v>6729</v>
      </c>
      <c r="L428" s="1898"/>
      <c r="M428" s="637"/>
      <c r="N428" s="689"/>
      <c r="O428" s="689"/>
      <c r="P428" s="689"/>
      <c r="Q428" s="689"/>
      <c r="R428" s="200"/>
      <c r="S428" s="515"/>
    </row>
    <row r="429" spans="3:19" s="517" customFormat="1" ht="27" customHeight="1">
      <c r="C429" s="674"/>
      <c r="D429" s="644" t="s">
        <v>5294</v>
      </c>
      <c r="E429" s="603"/>
      <c r="F429" s="645"/>
      <c r="G429" s="645"/>
      <c r="H429" s="213"/>
      <c r="I429" s="610"/>
      <c r="J429" s="616"/>
      <c r="K429" s="196"/>
      <c r="L429" s="610"/>
      <c r="M429" s="637"/>
      <c r="N429" s="689"/>
      <c r="O429" s="689"/>
      <c r="P429" s="689"/>
      <c r="Q429" s="689"/>
      <c r="R429" s="200"/>
      <c r="S429" s="515"/>
    </row>
    <row r="430" spans="3:19" s="517" customFormat="1" ht="27" customHeight="1">
      <c r="C430" s="674"/>
      <c r="D430" s="610" t="s">
        <v>6698</v>
      </c>
      <c r="E430" s="607" t="s">
        <v>6619</v>
      </c>
      <c r="F430" s="611" t="s">
        <v>6700</v>
      </c>
      <c r="G430" s="611"/>
      <c r="H430" s="213" t="s">
        <v>6701</v>
      </c>
      <c r="I430" s="610">
        <f>(I416/I427)*60</f>
        <v>150</v>
      </c>
      <c r="J430" s="616"/>
      <c r="K430" s="196" t="s">
        <v>5298</v>
      </c>
      <c r="L430" s="610"/>
      <c r="M430" s="637"/>
      <c r="N430" s="689"/>
      <c r="O430" s="689"/>
      <c r="P430" s="689"/>
      <c r="Q430" s="689"/>
      <c r="R430" s="200"/>
      <c r="S430" s="515"/>
    </row>
    <row r="431" spans="3:19" s="517" customFormat="1" ht="27" customHeight="1">
      <c r="C431" s="674"/>
      <c r="D431" s="610" t="s">
        <v>6699</v>
      </c>
      <c r="E431" s="607" t="s">
        <v>6619</v>
      </c>
      <c r="F431" s="611" t="s">
        <v>6700</v>
      </c>
      <c r="G431" s="611"/>
      <c r="H431" s="716" t="s">
        <v>6702</v>
      </c>
      <c r="I431" s="610">
        <v>277.98</v>
      </c>
      <c r="J431" s="616"/>
      <c r="K431" s="196" t="s">
        <v>5298</v>
      </c>
      <c r="L431" s="610"/>
      <c r="M431" s="637"/>
      <c r="N431" s="689"/>
      <c r="O431" s="689"/>
      <c r="P431" s="689"/>
      <c r="Q431" s="689"/>
      <c r="R431" s="200"/>
      <c r="S431" s="515"/>
    </row>
    <row r="432" spans="3:19" s="517" customFormat="1" ht="27" customHeight="1">
      <c r="C432" s="674"/>
      <c r="D432" s="610"/>
      <c r="E432" s="607"/>
      <c r="F432" s="611"/>
      <c r="G432" s="611"/>
      <c r="H432" s="717" t="s">
        <v>6705</v>
      </c>
      <c r="I432" s="639">
        <f>SUM(I430:I431)</f>
        <v>427.98</v>
      </c>
      <c r="J432" s="633"/>
      <c r="K432" s="693" t="s">
        <v>5298</v>
      </c>
      <c r="L432" s="610"/>
      <c r="M432" s="637"/>
      <c r="N432" s="689"/>
      <c r="O432" s="689"/>
      <c r="P432" s="689"/>
      <c r="Q432" s="689"/>
      <c r="R432" s="200"/>
      <c r="S432" s="515"/>
    </row>
    <row r="433" spans="3:19" s="517" customFormat="1" ht="27" customHeight="1">
      <c r="C433" s="674"/>
      <c r="D433" s="610" t="s">
        <v>6706</v>
      </c>
      <c r="E433" s="607" t="s">
        <v>6619</v>
      </c>
      <c r="F433" s="655" t="s">
        <v>6767</v>
      </c>
      <c r="G433" s="611"/>
      <c r="H433" s="692" t="s">
        <v>6710</v>
      </c>
      <c r="I433" s="639">
        <f>(I424*I425*60)/I432</f>
        <v>3.4908173279125192</v>
      </c>
      <c r="J433" s="633"/>
      <c r="K433" s="693" t="s">
        <v>6730</v>
      </c>
      <c r="L433" s="610"/>
      <c r="M433" s="637"/>
      <c r="N433" s="689"/>
      <c r="O433" s="689"/>
      <c r="P433" s="689"/>
      <c r="Q433" s="689"/>
      <c r="R433" s="200"/>
      <c r="S433" s="515"/>
    </row>
    <row r="434" spans="3:19" s="517" customFormat="1" ht="27" customHeight="1">
      <c r="C434" s="674"/>
      <c r="D434" s="610" t="s">
        <v>6707</v>
      </c>
      <c r="E434" s="607" t="s">
        <v>6619</v>
      </c>
      <c r="F434" s="611" t="s">
        <v>6709</v>
      </c>
      <c r="G434" s="611"/>
      <c r="H434" s="692"/>
      <c r="I434" s="639">
        <f>1/I433</f>
        <v>0.28646586345381525</v>
      </c>
      <c r="J434" s="633"/>
      <c r="K434" s="693" t="s">
        <v>2139</v>
      </c>
      <c r="L434" s="610"/>
      <c r="M434" s="637"/>
      <c r="N434" s="689"/>
      <c r="O434" s="689"/>
      <c r="P434" s="689"/>
      <c r="Q434" s="689"/>
      <c r="R434" s="200"/>
      <c r="S434" s="515"/>
    </row>
    <row r="435" spans="3:19" s="517" customFormat="1" ht="27" customHeight="1">
      <c r="C435" s="675"/>
      <c r="D435" s="610"/>
      <c r="E435" s="607"/>
      <c r="F435" s="611"/>
      <c r="G435" s="611"/>
      <c r="H435" s="692"/>
      <c r="I435" s="639"/>
      <c r="J435" s="633"/>
      <c r="K435" s="693"/>
      <c r="L435" s="610"/>
      <c r="M435" s="637"/>
      <c r="N435" s="689"/>
      <c r="O435" s="689"/>
      <c r="P435" s="689"/>
      <c r="Q435" s="689"/>
      <c r="R435" s="200"/>
      <c r="S435" s="515"/>
    </row>
    <row r="436" spans="3:19" s="517" customFormat="1" ht="27" customHeight="1">
      <c r="C436" s="601" t="s">
        <v>2679</v>
      </c>
      <c r="D436" s="670" t="s">
        <v>6794</v>
      </c>
      <c r="E436" s="607"/>
      <c r="F436" s="611"/>
      <c r="G436" s="611"/>
      <c r="H436" s="213"/>
      <c r="I436" s="610"/>
      <c r="J436" s="616"/>
      <c r="K436" s="196"/>
      <c r="L436" s="713" t="s">
        <v>6810</v>
      </c>
      <c r="M436" s="695"/>
      <c r="N436" s="696"/>
      <c r="O436" s="696"/>
      <c r="P436" s="696"/>
      <c r="Q436" s="689"/>
      <c r="R436" s="200"/>
      <c r="S436" s="515"/>
    </row>
    <row r="437" spans="3:19" s="517" customFormat="1" ht="27" customHeight="1">
      <c r="C437" s="674"/>
      <c r="D437" s="682" t="s">
        <v>6795</v>
      </c>
      <c r="E437" s="607"/>
      <c r="F437" s="611"/>
      <c r="G437" s="611"/>
      <c r="H437" s="213" t="s">
        <v>1769</v>
      </c>
      <c r="I437" s="697">
        <v>1</v>
      </c>
      <c r="J437" s="616"/>
      <c r="K437" s="196" t="s">
        <v>6675</v>
      </c>
      <c r="L437" s="694"/>
      <c r="M437" s="695"/>
      <c r="N437" s="696"/>
      <c r="O437" s="696"/>
      <c r="P437" s="696"/>
      <c r="Q437" s="689"/>
      <c r="R437" s="200"/>
      <c r="S437" s="515"/>
    </row>
    <row r="438" spans="3:19" s="517" customFormat="1" ht="27" customHeight="1">
      <c r="C438" s="674"/>
      <c r="D438" s="682" t="s">
        <v>6796</v>
      </c>
      <c r="E438" s="607"/>
      <c r="F438" s="611"/>
      <c r="G438" s="611"/>
      <c r="H438" s="213" t="s">
        <v>5295</v>
      </c>
      <c r="I438" s="610">
        <v>0.83</v>
      </c>
      <c r="J438" s="616"/>
      <c r="K438" s="196" t="s">
        <v>5296</v>
      </c>
      <c r="L438" s="694" t="s">
        <v>6809</v>
      </c>
      <c r="M438" s="695"/>
      <c r="N438" s="696"/>
      <c r="O438" s="696"/>
      <c r="P438" s="696"/>
      <c r="Q438" s="689"/>
      <c r="R438" s="200"/>
      <c r="S438" s="515"/>
    </row>
    <row r="439" spans="3:19" s="517" customFormat="1" ht="27" customHeight="1">
      <c r="C439" s="674"/>
      <c r="D439" s="670" t="s">
        <v>6837</v>
      </c>
      <c r="E439" s="607"/>
      <c r="F439" s="611"/>
      <c r="G439" s="611"/>
      <c r="H439" s="213"/>
      <c r="I439" s="610"/>
      <c r="J439" s="616"/>
      <c r="K439" s="196"/>
      <c r="L439" s="694"/>
      <c r="M439" s="695"/>
      <c r="N439" s="696"/>
      <c r="O439" s="696"/>
      <c r="P439" s="696"/>
      <c r="Q439" s="689"/>
      <c r="R439" s="200"/>
      <c r="S439" s="515"/>
    </row>
    <row r="440" spans="3:19" s="517" customFormat="1" ht="27" customHeight="1">
      <c r="C440" s="674"/>
      <c r="D440" s="682" t="s">
        <v>6798</v>
      </c>
      <c r="E440" s="607"/>
      <c r="F440" s="611"/>
      <c r="G440" s="611"/>
      <c r="H440" s="213" t="s">
        <v>6701</v>
      </c>
      <c r="I440" s="610">
        <v>3.22</v>
      </c>
      <c r="J440" s="616"/>
      <c r="K440" s="196" t="s">
        <v>6731</v>
      </c>
      <c r="L440" s="1899" t="s">
        <v>6808</v>
      </c>
      <c r="M440" s="695"/>
      <c r="N440" s="696"/>
      <c r="O440" s="696"/>
      <c r="P440" s="696"/>
      <c r="Q440" s="689"/>
      <c r="R440" s="200"/>
      <c r="S440" s="515"/>
    </row>
    <row r="441" spans="3:19" s="517" customFormat="1" ht="27" customHeight="1">
      <c r="C441" s="674"/>
      <c r="D441" s="682" t="s">
        <v>6821</v>
      </c>
      <c r="E441" s="607"/>
      <c r="F441" s="611"/>
      <c r="G441" s="611"/>
      <c r="H441" s="213" t="s">
        <v>6702</v>
      </c>
      <c r="I441" s="610">
        <v>2.15</v>
      </c>
      <c r="J441" s="616"/>
      <c r="K441" s="196" t="s">
        <v>6731</v>
      </c>
      <c r="L441" s="1900"/>
      <c r="M441" s="695"/>
      <c r="N441" s="696"/>
      <c r="O441" s="696"/>
      <c r="P441" s="696"/>
      <c r="Q441" s="689"/>
      <c r="R441" s="200"/>
      <c r="S441" s="515"/>
    </row>
    <row r="442" spans="3:19" s="517" customFormat="1" ht="27" customHeight="1">
      <c r="C442" s="674"/>
      <c r="D442" s="682" t="s">
        <v>6800</v>
      </c>
      <c r="E442" s="607"/>
      <c r="F442" s="611"/>
      <c r="G442" s="611"/>
      <c r="H442" s="213" t="s">
        <v>6805</v>
      </c>
      <c r="I442" s="610">
        <v>2.34</v>
      </c>
      <c r="J442" s="616"/>
      <c r="K442" s="196" t="s">
        <v>6731</v>
      </c>
      <c r="L442" s="714"/>
      <c r="M442" s="695"/>
      <c r="N442" s="696"/>
      <c r="O442" s="696"/>
      <c r="P442" s="696"/>
      <c r="Q442" s="689"/>
      <c r="R442" s="200"/>
      <c r="S442" s="515"/>
    </row>
    <row r="443" spans="3:19" s="517" customFormat="1" ht="27" customHeight="1">
      <c r="C443" s="674"/>
      <c r="D443" s="682" t="s">
        <v>6801</v>
      </c>
      <c r="E443" s="607"/>
      <c r="F443" s="611"/>
      <c r="G443" s="611"/>
      <c r="H443" s="711" t="s">
        <v>6806</v>
      </c>
      <c r="I443" s="712">
        <v>1.56</v>
      </c>
      <c r="J443" s="616"/>
      <c r="K443" s="196" t="s">
        <v>6731</v>
      </c>
      <c r="L443" s="714"/>
      <c r="M443" s="695"/>
      <c r="N443" s="696"/>
      <c r="O443" s="696"/>
      <c r="P443" s="696"/>
      <c r="Q443" s="689"/>
      <c r="R443" s="200"/>
      <c r="S443" s="515"/>
    </row>
    <row r="444" spans="3:19" s="517" customFormat="1" ht="27" customHeight="1">
      <c r="C444" s="674"/>
      <c r="D444" s="682"/>
      <c r="E444" s="607"/>
      <c r="F444" s="611"/>
      <c r="G444" s="611"/>
      <c r="H444" s="692" t="s">
        <v>6719</v>
      </c>
      <c r="I444" s="639">
        <f>SUM(I440:I443)</f>
        <v>9.27</v>
      </c>
      <c r="J444" s="633"/>
      <c r="K444" s="196" t="s">
        <v>6731</v>
      </c>
      <c r="L444" s="694"/>
      <c r="M444" s="695"/>
      <c r="N444" s="696"/>
      <c r="O444" s="696"/>
      <c r="P444" s="696"/>
      <c r="Q444" s="689"/>
      <c r="R444" s="200"/>
      <c r="S444" s="515"/>
    </row>
    <row r="445" spans="3:19" s="517" customFormat="1" ht="27" customHeight="1">
      <c r="C445" s="674"/>
      <c r="D445" s="682" t="s">
        <v>6706</v>
      </c>
      <c r="E445" s="607" t="s">
        <v>6619</v>
      </c>
      <c r="F445" s="655" t="s">
        <v>6802</v>
      </c>
      <c r="G445" s="611"/>
      <c r="H445" s="213" t="s">
        <v>6726</v>
      </c>
      <c r="I445" s="610">
        <f>(I437*I438*60)/I444</f>
        <v>5.3721682847896437</v>
      </c>
      <c r="J445" s="616"/>
      <c r="K445" s="196" t="s">
        <v>6732</v>
      </c>
      <c r="L445" s="694"/>
      <c r="M445" s="695"/>
      <c r="N445" s="696"/>
      <c r="O445" s="696"/>
      <c r="P445" s="696"/>
      <c r="Q445" s="689"/>
      <c r="R445" s="200"/>
      <c r="S445" s="515"/>
    </row>
    <row r="446" spans="3:19" s="517" customFormat="1" ht="27" customHeight="1">
      <c r="C446" s="674"/>
      <c r="D446" s="670" t="s">
        <v>6822</v>
      </c>
      <c r="E446" s="607"/>
      <c r="F446" s="611"/>
      <c r="G446" s="611"/>
      <c r="H446" s="213"/>
      <c r="I446" s="610">
        <f>1/I445</f>
        <v>0.18614457831325301</v>
      </c>
      <c r="J446" s="616"/>
      <c r="K446" s="196" t="s">
        <v>2396</v>
      </c>
      <c r="L446" s="694"/>
      <c r="M446" s="695"/>
      <c r="N446" s="696"/>
      <c r="O446" s="696"/>
      <c r="P446" s="696"/>
      <c r="Q446" s="689"/>
      <c r="R446" s="200"/>
      <c r="S446" s="515"/>
    </row>
    <row r="447" spans="3:19" s="517" customFormat="1" ht="27" customHeight="1">
      <c r="C447" s="674"/>
      <c r="D447" s="670" t="s">
        <v>6823</v>
      </c>
      <c r="E447" s="607"/>
      <c r="F447" s="611"/>
      <c r="G447" s="611"/>
      <c r="H447" s="213"/>
      <c r="I447" s="610"/>
      <c r="J447" s="616"/>
      <c r="K447" s="196"/>
      <c r="L447" s="694"/>
      <c r="M447" s="695"/>
      <c r="N447" s="696"/>
      <c r="O447" s="696"/>
      <c r="P447" s="696"/>
      <c r="Q447" s="689"/>
      <c r="R447" s="200"/>
      <c r="S447" s="515"/>
    </row>
    <row r="448" spans="3:19" s="517" customFormat="1" ht="27" customHeight="1">
      <c r="C448" s="674"/>
      <c r="D448" s="682" t="s">
        <v>6722</v>
      </c>
      <c r="E448" s="607" t="s">
        <v>6619</v>
      </c>
      <c r="F448" s="611" t="s">
        <v>6724</v>
      </c>
      <c r="G448" s="611"/>
      <c r="H448" s="213" t="s">
        <v>1774</v>
      </c>
      <c r="I448" s="610">
        <v>0.74429999999999996</v>
      </c>
      <c r="J448" s="616"/>
      <c r="K448" s="196" t="s">
        <v>1863</v>
      </c>
      <c r="L448" s="694" t="s">
        <v>6807</v>
      </c>
      <c r="M448" s="695"/>
      <c r="N448" s="696"/>
      <c r="O448" s="696"/>
      <c r="P448" s="696"/>
      <c r="Q448" s="689"/>
      <c r="R448" s="200"/>
      <c r="S448" s="515"/>
    </row>
    <row r="449" spans="3:20" s="517" customFormat="1" ht="27" customHeight="1">
      <c r="C449" s="675"/>
      <c r="D449" s="610" t="s">
        <v>6723</v>
      </c>
      <c r="E449" s="607" t="s">
        <v>6619</v>
      </c>
      <c r="F449" s="611" t="s">
        <v>6725</v>
      </c>
      <c r="G449" s="611"/>
      <c r="H449" s="213" t="s">
        <v>1777</v>
      </c>
      <c r="I449" s="610">
        <v>7.4399999999999994E-2</v>
      </c>
      <c r="J449" s="616"/>
      <c r="K449" s="196" t="s">
        <v>1863</v>
      </c>
      <c r="L449" s="694"/>
      <c r="M449" s="695"/>
      <c r="N449" s="696"/>
      <c r="O449" s="696"/>
      <c r="P449" s="696"/>
      <c r="Q449" s="689"/>
      <c r="R449" s="200"/>
      <c r="S449" s="515"/>
    </row>
    <row r="450" spans="3:20" s="517" customFormat="1" ht="21.75" customHeight="1">
      <c r="C450" s="571"/>
      <c r="D450" s="513"/>
      <c r="E450" s="710"/>
      <c r="F450" s="513"/>
      <c r="G450" s="513"/>
      <c r="H450" s="595"/>
      <c r="I450" s="514"/>
      <c r="J450" s="514"/>
      <c r="K450" s="514"/>
      <c r="L450" s="514"/>
      <c r="M450" s="514"/>
      <c r="N450" s="514"/>
      <c r="O450" s="514"/>
      <c r="P450" s="514"/>
      <c r="Q450" s="514"/>
      <c r="R450" s="189"/>
      <c r="S450" s="515"/>
      <c r="T450" s="516"/>
    </row>
    <row r="451" spans="3:20" s="517" customFormat="1" ht="21.75" customHeight="1">
      <c r="C451" s="571" t="s">
        <v>6830</v>
      </c>
      <c r="D451" s="513" t="s">
        <v>6831</v>
      </c>
      <c r="E451" s="710"/>
      <c r="F451" s="513"/>
      <c r="G451" s="513"/>
      <c r="H451" s="595"/>
      <c r="I451" s="514"/>
      <c r="J451" s="514"/>
      <c r="K451" s="514"/>
      <c r="L451" s="514"/>
      <c r="M451" s="514"/>
      <c r="N451" s="514"/>
      <c r="O451" s="514"/>
      <c r="P451" s="514"/>
      <c r="Q451" s="514"/>
      <c r="R451" s="189">
        <f>ROUNDDOWN(H466,-2)</f>
        <v>231900</v>
      </c>
      <c r="S451" s="515" t="s">
        <v>6760</v>
      </c>
      <c r="T451" s="516" t="s">
        <v>6778</v>
      </c>
    </row>
    <row r="452" spans="3:20" s="517" customFormat="1" ht="25.2" customHeight="1">
      <c r="C452" s="699" t="s">
        <v>1195</v>
      </c>
      <c r="D452" s="699" t="s">
        <v>1196</v>
      </c>
      <c r="E452" s="699" t="s">
        <v>1197</v>
      </c>
      <c r="F452" s="699" t="s">
        <v>1198</v>
      </c>
      <c r="G452" s="699" t="s">
        <v>1199</v>
      </c>
      <c r="H452" s="699" t="s">
        <v>1200</v>
      </c>
      <c r="I452" s="514"/>
      <c r="J452" s="514"/>
      <c r="K452" s="514"/>
      <c r="L452" s="514"/>
      <c r="M452" s="514"/>
      <c r="N452" s="514"/>
      <c r="O452" s="514"/>
      <c r="P452" s="514"/>
      <c r="Q452" s="514"/>
      <c r="R452" s="189"/>
      <c r="S452" s="515"/>
      <c r="T452" s="516"/>
    </row>
    <row r="453" spans="3:20" s="517" customFormat="1" ht="25.2" customHeight="1">
      <c r="C453" s="202" t="s">
        <v>1201</v>
      </c>
      <c r="D453" s="196" t="s">
        <v>1202</v>
      </c>
      <c r="E453" s="197"/>
      <c r="F453" s="197"/>
      <c r="G453" s="197"/>
      <c r="H453" s="197"/>
      <c r="I453" s="514"/>
      <c r="J453" s="514"/>
      <c r="K453" s="514"/>
      <c r="L453" s="514"/>
      <c r="M453" s="514"/>
      <c r="N453" s="514"/>
      <c r="O453" s="514"/>
      <c r="P453" s="514"/>
      <c r="Q453" s="514"/>
      <c r="R453" s="189"/>
      <c r="S453" s="515"/>
      <c r="T453" s="516"/>
    </row>
    <row r="454" spans="3:20" s="517" customFormat="1" ht="25.2" customHeight="1">
      <c r="C454" s="700">
        <v>1</v>
      </c>
      <c r="D454" s="196" t="s">
        <v>5</v>
      </c>
      <c r="E454" s="701" t="s">
        <v>1863</v>
      </c>
      <c r="F454" s="520">
        <f>I448</f>
        <v>0.74429999999999996</v>
      </c>
      <c r="G454" s="205">
        <f>VLOOKUP(D454,upahbahan,3,FALSE)/8</f>
        <v>12500</v>
      </c>
      <c r="H454" s="205">
        <f t="shared" ref="H454:H455" si="36">F454*G454</f>
        <v>9303.75</v>
      </c>
      <c r="I454" s="514"/>
      <c r="J454" s="514"/>
      <c r="K454" s="514"/>
      <c r="L454" s="514"/>
      <c r="M454" s="514"/>
      <c r="N454" s="514"/>
      <c r="O454" s="514"/>
      <c r="P454" s="514"/>
      <c r="Q454" s="514"/>
      <c r="R454" s="189"/>
      <c r="S454" s="515"/>
      <c r="T454" s="516"/>
    </row>
    <row r="455" spans="3:20" s="517" customFormat="1" ht="25.2" customHeight="1">
      <c r="C455" s="700">
        <v>2</v>
      </c>
      <c r="D455" s="196" t="s">
        <v>19</v>
      </c>
      <c r="E455" s="701" t="s">
        <v>1863</v>
      </c>
      <c r="F455" s="520">
        <f>I449</f>
        <v>7.4399999999999994E-2</v>
      </c>
      <c r="G455" s="205">
        <f>VLOOKUP(D455,upahbahan,3,FALSE)/8</f>
        <v>20000</v>
      </c>
      <c r="H455" s="205">
        <f t="shared" si="36"/>
        <v>1487.9999999999998</v>
      </c>
      <c r="I455" s="514"/>
      <c r="J455" s="514"/>
      <c r="K455" s="514"/>
      <c r="L455" s="514"/>
      <c r="M455" s="514"/>
      <c r="N455" s="514"/>
      <c r="O455" s="514"/>
      <c r="P455" s="514"/>
      <c r="Q455" s="514"/>
      <c r="R455" s="189"/>
      <c r="S455" s="515"/>
      <c r="T455" s="516"/>
    </row>
    <row r="456" spans="3:20" s="517" customFormat="1" ht="25.2" customHeight="1">
      <c r="C456" s="702" t="s">
        <v>1208</v>
      </c>
      <c r="D456" s="208"/>
      <c r="E456" s="208"/>
      <c r="F456" s="521"/>
      <c r="G456" s="522"/>
      <c r="H456" s="205">
        <f>SUM(H454:H455)</f>
        <v>10791.75</v>
      </c>
      <c r="I456" s="514"/>
      <c r="J456" s="514"/>
      <c r="K456" s="514"/>
      <c r="L456" s="514"/>
      <c r="M456" s="514"/>
      <c r="N456" s="514"/>
      <c r="O456" s="514"/>
      <c r="P456" s="514"/>
      <c r="Q456" s="514"/>
      <c r="R456" s="189"/>
      <c r="S456" s="515"/>
      <c r="T456" s="516"/>
    </row>
    <row r="457" spans="3:20" s="517" customFormat="1" ht="25.2" customHeight="1">
      <c r="C457" s="202" t="s">
        <v>1209</v>
      </c>
      <c r="D457" s="196" t="s">
        <v>1210</v>
      </c>
      <c r="E457" s="197"/>
      <c r="F457" s="197"/>
      <c r="G457" s="197"/>
      <c r="H457" s="197"/>
      <c r="I457" s="514"/>
      <c r="J457" s="514"/>
      <c r="K457" s="514"/>
      <c r="L457" s="514"/>
      <c r="M457" s="514"/>
      <c r="N457" s="514"/>
      <c r="O457" s="514"/>
      <c r="P457" s="514"/>
      <c r="Q457" s="514"/>
      <c r="R457" s="189"/>
      <c r="S457" s="515"/>
      <c r="T457" s="516"/>
    </row>
    <row r="458" spans="3:20" s="517" customFormat="1" ht="25.2" customHeight="1">
      <c r="C458" s="700">
        <v>1</v>
      </c>
      <c r="D458" s="703" t="s">
        <v>6832</v>
      </c>
      <c r="E458" s="704" t="s">
        <v>6742</v>
      </c>
      <c r="F458" s="705">
        <v>1</v>
      </c>
      <c r="G458" s="205">
        <f>VLOOKUP(D458,upahbahan,3,FALSE)</f>
        <v>0</v>
      </c>
      <c r="H458" s="205">
        <f t="shared" ref="H458" si="37">F458*G458</f>
        <v>0</v>
      </c>
      <c r="I458" s="514"/>
      <c r="J458" s="514"/>
      <c r="K458" s="514"/>
      <c r="L458" s="514"/>
      <c r="M458" s="514"/>
      <c r="N458" s="514"/>
      <c r="O458" s="514"/>
      <c r="P458" s="514"/>
      <c r="Q458" s="514"/>
      <c r="R458" s="189"/>
      <c r="S458" s="515"/>
      <c r="T458" s="516"/>
    </row>
    <row r="459" spans="3:20" s="517" customFormat="1" ht="25.2" customHeight="1">
      <c r="C459" s="702" t="s">
        <v>1214</v>
      </c>
      <c r="D459" s="208"/>
      <c r="E459" s="208"/>
      <c r="F459" s="208"/>
      <c r="G459" s="209"/>
      <c r="H459" s="205">
        <f>SUM(H458:H458)</f>
        <v>0</v>
      </c>
      <c r="I459" s="514"/>
      <c r="J459" s="514"/>
      <c r="K459" s="514"/>
      <c r="L459" s="514"/>
      <c r="M459" s="514"/>
      <c r="N459" s="514"/>
      <c r="O459" s="514"/>
      <c r="P459" s="514"/>
      <c r="Q459" s="514"/>
      <c r="R459" s="189"/>
      <c r="S459" s="515"/>
      <c r="T459" s="516"/>
    </row>
    <row r="460" spans="3:20" s="517" customFormat="1" ht="25.2" customHeight="1">
      <c r="C460" s="202" t="s">
        <v>1215</v>
      </c>
      <c r="D460" s="196" t="s">
        <v>1216</v>
      </c>
      <c r="E460" s="197"/>
      <c r="F460" s="197"/>
      <c r="G460" s="197"/>
      <c r="H460" s="197"/>
      <c r="I460" s="514"/>
      <c r="J460" s="514"/>
      <c r="K460" s="514"/>
      <c r="L460" s="514"/>
      <c r="M460" s="514"/>
      <c r="N460" s="514"/>
      <c r="O460" s="514"/>
      <c r="P460" s="514"/>
      <c r="Q460" s="514"/>
      <c r="R460" s="189"/>
      <c r="S460" s="515"/>
      <c r="T460" s="516"/>
    </row>
    <row r="461" spans="3:20" s="517" customFormat="1" ht="25.2" customHeight="1">
      <c r="C461" s="700">
        <v>1</v>
      </c>
      <c r="D461" s="703" t="s">
        <v>6776</v>
      </c>
      <c r="E461" s="704" t="s">
        <v>2139</v>
      </c>
      <c r="F461" s="520">
        <f>I434</f>
        <v>0.28646586345381525</v>
      </c>
      <c r="G461" s="205">
        <f>VLOOKUP(D461,upahbahan,3,FALSE)</f>
        <v>418543.76</v>
      </c>
      <c r="H461" s="205">
        <f t="shared" ref="H461:H462" si="38">F461*G461</f>
        <v>119898.49960160643</v>
      </c>
      <c r="I461" s="514"/>
      <c r="J461" s="514"/>
      <c r="K461" s="514"/>
      <c r="L461" s="514"/>
      <c r="M461" s="514"/>
      <c r="N461" s="514"/>
      <c r="O461" s="514"/>
      <c r="P461" s="514"/>
      <c r="Q461" s="514"/>
      <c r="R461" s="189"/>
      <c r="S461" s="515"/>
      <c r="T461" s="516"/>
    </row>
    <row r="462" spans="3:20" s="517" customFormat="1" ht="25.2" customHeight="1">
      <c r="C462" s="700">
        <v>2</v>
      </c>
      <c r="D462" s="703" t="s">
        <v>6815</v>
      </c>
      <c r="E462" s="704" t="s">
        <v>2139</v>
      </c>
      <c r="F462" s="520">
        <f>I446</f>
        <v>0.18614457831325301</v>
      </c>
      <c r="G462" s="205">
        <f>VLOOKUP(D462,upahbahan,3,FALSE)</f>
        <v>430662.86</v>
      </c>
      <c r="H462" s="205">
        <f t="shared" si="38"/>
        <v>80165.556469879521</v>
      </c>
      <c r="I462" s="514"/>
      <c r="J462" s="514"/>
      <c r="K462" s="514"/>
      <c r="L462" s="514"/>
      <c r="M462" s="514"/>
      <c r="N462" s="514"/>
      <c r="O462" s="514"/>
      <c r="P462" s="514"/>
      <c r="Q462" s="514"/>
      <c r="R462" s="189"/>
      <c r="S462" s="515"/>
      <c r="T462" s="516"/>
    </row>
    <row r="463" spans="3:20" s="517" customFormat="1" ht="25.2" customHeight="1">
      <c r="C463" s="702" t="s">
        <v>1217</v>
      </c>
      <c r="D463" s="208"/>
      <c r="E463" s="208"/>
      <c r="F463" s="208"/>
      <c r="G463" s="209"/>
      <c r="H463" s="706">
        <f>SUM(H461:H462)</f>
        <v>200064.05607148595</v>
      </c>
      <c r="I463" s="514"/>
      <c r="J463" s="514"/>
      <c r="K463" s="514"/>
      <c r="L463" s="514"/>
      <c r="M463" s="514"/>
      <c r="N463" s="514"/>
      <c r="O463" s="514"/>
      <c r="P463" s="514"/>
      <c r="Q463" s="514"/>
      <c r="R463" s="189"/>
      <c r="S463" s="515"/>
      <c r="T463" s="516"/>
    </row>
    <row r="464" spans="3:20" s="517" customFormat="1" ht="25.2" customHeight="1">
      <c r="C464" s="707" t="s">
        <v>1218</v>
      </c>
      <c r="D464" s="224" t="s">
        <v>1219</v>
      </c>
      <c r="E464" s="225"/>
      <c r="F464" s="225"/>
      <c r="G464" s="226"/>
      <c r="H464" s="205">
        <f>H463+H459+H456</f>
        <v>210855.80607148595</v>
      </c>
      <c r="I464" s="514"/>
      <c r="J464" s="514"/>
      <c r="K464" s="514"/>
      <c r="L464" s="514"/>
      <c r="M464" s="514"/>
      <c r="N464" s="514"/>
      <c r="O464" s="514"/>
      <c r="P464" s="514"/>
      <c r="Q464" s="514"/>
      <c r="R464" s="189"/>
      <c r="S464" s="515"/>
      <c r="T464" s="516"/>
    </row>
    <row r="465" spans="3:20" s="517" customFormat="1" ht="25.2" customHeight="1">
      <c r="C465" s="707" t="s">
        <v>1220</v>
      </c>
      <c r="D465" s="224" t="s">
        <v>1321</v>
      </c>
      <c r="E465" s="225"/>
      <c r="F465" s="226"/>
      <c r="G465" s="228">
        <v>0.1</v>
      </c>
      <c r="H465" s="205">
        <f>H464*G465</f>
        <v>21085.580607148597</v>
      </c>
      <c r="I465" s="514"/>
      <c r="J465" s="514"/>
      <c r="K465" s="514"/>
      <c r="L465" s="514"/>
      <c r="M465" s="514"/>
      <c r="N465" s="514"/>
      <c r="O465" s="514"/>
      <c r="P465" s="514"/>
      <c r="Q465" s="514"/>
      <c r="R465" s="189"/>
      <c r="S465" s="515"/>
      <c r="T465" s="516"/>
    </row>
    <row r="466" spans="3:20" s="517" customFormat="1" ht="25.2" customHeight="1">
      <c r="C466" s="707" t="s">
        <v>1221</v>
      </c>
      <c r="D466" s="224" t="s">
        <v>1222</v>
      </c>
      <c r="E466" s="225"/>
      <c r="F466" s="225"/>
      <c r="G466" s="226"/>
      <c r="H466" s="708">
        <f>SUM(H464:H465)</f>
        <v>231941.38667863453</v>
      </c>
      <c r="I466" s="514"/>
      <c r="J466" s="514"/>
      <c r="K466" s="514"/>
      <c r="L466" s="514"/>
      <c r="M466" s="514"/>
      <c r="N466" s="514"/>
      <c r="O466" s="514"/>
      <c r="P466" s="514"/>
      <c r="Q466" s="514"/>
      <c r="R466" s="189"/>
      <c r="S466" s="515"/>
      <c r="T466" s="516"/>
    </row>
    <row r="467" spans="3:20" s="517" customFormat="1" ht="21.75" customHeight="1">
      <c r="C467" s="571"/>
      <c r="D467" s="513"/>
      <c r="E467" s="710"/>
      <c r="F467" s="513"/>
      <c r="G467" s="513"/>
      <c r="H467" s="595"/>
      <c r="I467" s="514"/>
      <c r="J467" s="514"/>
      <c r="K467" s="514"/>
      <c r="L467" s="514"/>
      <c r="M467" s="514"/>
      <c r="N467" s="514"/>
      <c r="O467" s="514"/>
      <c r="P467" s="514"/>
      <c r="Q467" s="514"/>
      <c r="R467" s="189"/>
      <c r="S467" s="515"/>
      <c r="T467" s="516"/>
    </row>
    <row r="468" spans="3:20" s="517" customFormat="1" ht="34.200000000000003" customHeight="1">
      <c r="C468" s="512" t="s">
        <v>6833</v>
      </c>
      <c r="D468" s="513" t="s">
        <v>6834</v>
      </c>
      <c r="E468" s="594"/>
      <c r="F468" s="513"/>
      <c r="G468" s="513"/>
      <c r="H468" s="595"/>
      <c r="I468" s="514"/>
      <c r="J468" s="514"/>
      <c r="K468" s="514"/>
      <c r="L468" s="514"/>
      <c r="M468" s="514"/>
      <c r="N468" s="514"/>
      <c r="O468" s="514"/>
      <c r="P468" s="514"/>
      <c r="Q468" s="514"/>
      <c r="R468" s="189"/>
      <c r="S468" s="515" t="s">
        <v>6760</v>
      </c>
      <c r="T468" s="516" t="s">
        <v>6811</v>
      </c>
    </row>
    <row r="469" spans="3:20" s="517" customFormat="1" ht="21.75" customHeight="1">
      <c r="C469" s="512" t="s">
        <v>6672</v>
      </c>
      <c r="D469" s="513"/>
      <c r="E469" s="710" t="s">
        <v>6788</v>
      </c>
      <c r="F469" s="513"/>
      <c r="G469" s="513"/>
      <c r="H469" s="595"/>
      <c r="I469" s="514"/>
      <c r="J469" s="514"/>
      <c r="K469" s="514"/>
      <c r="L469" s="514"/>
      <c r="M469" s="514"/>
      <c r="N469" s="514"/>
      <c r="O469" s="514"/>
      <c r="P469" s="514"/>
      <c r="Q469" s="514"/>
      <c r="R469" s="189"/>
      <c r="S469" s="515"/>
      <c r="T469" s="516"/>
    </row>
    <row r="470" spans="3:20" s="517" customFormat="1" ht="21.75" customHeight="1">
      <c r="C470" s="512" t="s">
        <v>6673</v>
      </c>
      <c r="D470" s="513"/>
      <c r="E470" s="710" t="s">
        <v>6748</v>
      </c>
      <c r="F470" s="513"/>
      <c r="G470" s="513"/>
      <c r="H470" s="595"/>
      <c r="I470" s="514"/>
      <c r="J470" s="514"/>
      <c r="K470" s="514"/>
      <c r="L470" s="514"/>
      <c r="M470" s="514"/>
      <c r="N470" s="514"/>
      <c r="O470" s="514"/>
      <c r="P470" s="514"/>
      <c r="Q470" s="514"/>
      <c r="R470" s="189"/>
      <c r="S470" s="515"/>
      <c r="T470" s="516"/>
    </row>
    <row r="471" spans="3:20" s="517" customFormat="1" ht="21.75" customHeight="1">
      <c r="C471" s="512" t="s">
        <v>6674</v>
      </c>
      <c r="D471" s="513"/>
      <c r="E471" s="710" t="s">
        <v>6749</v>
      </c>
      <c r="F471" s="513"/>
      <c r="G471" s="513"/>
      <c r="H471" s="595"/>
      <c r="I471" s="514"/>
      <c r="J471" s="514"/>
      <c r="K471" s="514"/>
      <c r="L471" s="514"/>
      <c r="M471" s="514"/>
      <c r="N471" s="514"/>
      <c r="O471" s="514"/>
      <c r="P471" s="514"/>
      <c r="Q471" s="514"/>
      <c r="R471" s="189"/>
      <c r="S471" s="515"/>
      <c r="T471" s="516"/>
    </row>
    <row r="472" spans="3:20" s="517" customFormat="1" ht="21.75" customHeight="1">
      <c r="C472" s="512" t="s">
        <v>6675</v>
      </c>
      <c r="D472" s="513"/>
      <c r="E472" s="710" t="s">
        <v>6835</v>
      </c>
      <c r="F472" s="513"/>
      <c r="G472" s="513"/>
      <c r="H472" s="595"/>
      <c r="I472" s="514"/>
      <c r="J472" s="514"/>
      <c r="K472" s="514"/>
      <c r="L472" s="514"/>
      <c r="M472" s="514"/>
      <c r="N472" s="514"/>
      <c r="O472" s="514"/>
      <c r="P472" s="514"/>
      <c r="Q472" s="514"/>
      <c r="R472" s="189"/>
      <c r="S472" s="515"/>
      <c r="T472" s="516"/>
    </row>
    <row r="473" spans="3:20" s="517" customFormat="1" ht="21.75" customHeight="1" thickBot="1">
      <c r="C473" s="571" t="s">
        <v>6676</v>
      </c>
      <c r="D473" s="513"/>
      <c r="E473" s="710" t="s">
        <v>6790</v>
      </c>
      <c r="F473" s="513"/>
      <c r="G473" s="513"/>
      <c r="H473" s="595"/>
      <c r="I473" s="514"/>
      <c r="J473" s="514"/>
      <c r="K473" s="514"/>
      <c r="L473" s="514"/>
      <c r="M473" s="514"/>
      <c r="N473" s="514"/>
      <c r="O473" s="514"/>
      <c r="P473" s="514"/>
      <c r="Q473" s="514"/>
      <c r="R473" s="189"/>
      <c r="S473" s="515"/>
      <c r="T473" s="516"/>
    </row>
    <row r="474" spans="3:20" s="517" customFormat="1" ht="24.6" customHeight="1" thickTop="1">
      <c r="C474" s="190" t="s">
        <v>1195</v>
      </c>
      <c r="D474" s="1922" t="s">
        <v>1196</v>
      </c>
      <c r="E474" s="1923"/>
      <c r="F474" s="1923"/>
      <c r="G474" s="1924"/>
      <c r="H474" s="191" t="s">
        <v>1906</v>
      </c>
      <c r="I474" s="596" t="s">
        <v>1198</v>
      </c>
      <c r="J474" s="600"/>
      <c r="K474" s="191" t="s">
        <v>5286</v>
      </c>
      <c r="L474" s="596" t="s">
        <v>6733</v>
      </c>
      <c r="M474" s="679"/>
      <c r="N474" s="561"/>
      <c r="O474" s="561"/>
      <c r="P474" s="561"/>
      <c r="Q474" s="561"/>
      <c r="R474" s="200"/>
      <c r="S474" s="515"/>
    </row>
    <row r="475" spans="3:20" s="517" customFormat="1" ht="24.6" customHeight="1">
      <c r="C475" s="601" t="s">
        <v>1766</v>
      </c>
      <c r="D475" s="602" t="s">
        <v>5288</v>
      </c>
      <c r="E475" s="604"/>
      <c r="F475" s="604"/>
      <c r="G475" s="604"/>
      <c r="H475" s="604"/>
      <c r="I475" s="604"/>
      <c r="J475" s="604"/>
      <c r="K475" s="604"/>
      <c r="L475" s="604"/>
      <c r="M475" s="680"/>
      <c r="N475" s="681"/>
      <c r="O475" s="681"/>
      <c r="P475" s="681"/>
      <c r="Q475" s="681"/>
      <c r="R475" s="200"/>
      <c r="S475" s="515"/>
    </row>
    <row r="476" spans="3:20" s="517" customFormat="1" ht="24.6" customHeight="1">
      <c r="C476" s="519">
        <v>1</v>
      </c>
      <c r="D476" s="682" t="s">
        <v>6683</v>
      </c>
      <c r="E476" s="607"/>
      <c r="F476" s="611"/>
      <c r="G476" s="616"/>
      <c r="H476" s="213" t="s">
        <v>6687</v>
      </c>
      <c r="I476" s="619">
        <v>7</v>
      </c>
      <c r="J476" s="613"/>
      <c r="K476" s="520" t="s">
        <v>2139</v>
      </c>
      <c r="L476" s="618"/>
      <c r="M476" s="683"/>
      <c r="N476" s="684"/>
      <c r="O476" s="684"/>
      <c r="P476" s="684"/>
      <c r="Q476" s="684"/>
      <c r="R476" s="200"/>
      <c r="S476" s="515"/>
    </row>
    <row r="477" spans="3:20" s="517" customFormat="1" ht="24.6" customHeight="1">
      <c r="C477" s="519">
        <v>2</v>
      </c>
      <c r="D477" s="682" t="s">
        <v>6684</v>
      </c>
      <c r="E477" s="607"/>
      <c r="F477" s="611"/>
      <c r="G477" s="616"/>
      <c r="H477" s="213" t="s">
        <v>6688</v>
      </c>
      <c r="I477" s="619">
        <v>1.25</v>
      </c>
      <c r="J477" s="613"/>
      <c r="K477" s="520" t="s">
        <v>5296</v>
      </c>
      <c r="L477" s="618" t="s">
        <v>6734</v>
      </c>
      <c r="M477" s="683"/>
      <c r="N477" s="684"/>
      <c r="O477" s="684"/>
      <c r="P477" s="684"/>
      <c r="Q477" s="684"/>
      <c r="R477" s="200"/>
      <c r="S477" s="515"/>
    </row>
    <row r="478" spans="3:20" s="517" customFormat="1" ht="24.6" customHeight="1">
      <c r="C478" s="519">
        <v>3</v>
      </c>
      <c r="D478" s="682" t="s">
        <v>6685</v>
      </c>
      <c r="E478" s="607"/>
      <c r="F478" s="611"/>
      <c r="G478" s="616"/>
      <c r="H478" s="213" t="s">
        <v>1767</v>
      </c>
      <c r="I478" s="619">
        <v>100</v>
      </c>
      <c r="J478" s="620"/>
      <c r="K478" s="520" t="s">
        <v>5289</v>
      </c>
      <c r="L478" s="618"/>
      <c r="M478" s="683"/>
      <c r="N478" s="684"/>
      <c r="O478" s="684"/>
      <c r="P478" s="684"/>
      <c r="Q478" s="684"/>
      <c r="R478" s="200"/>
      <c r="S478" s="515"/>
    </row>
    <row r="479" spans="3:20" s="517" customFormat="1" ht="24.6" customHeight="1">
      <c r="C479" s="519">
        <v>4</v>
      </c>
      <c r="D479" s="682" t="s">
        <v>6686</v>
      </c>
      <c r="E479" s="607"/>
      <c r="F479" s="611"/>
      <c r="G479" s="616"/>
      <c r="H479" s="213"/>
      <c r="I479" s="619"/>
      <c r="J479" s="620"/>
      <c r="K479" s="520"/>
      <c r="L479" s="618" t="s">
        <v>6772</v>
      </c>
      <c r="M479" s="683"/>
      <c r="N479" s="684"/>
      <c r="O479" s="684"/>
      <c r="P479" s="684"/>
      <c r="Q479" s="684"/>
      <c r="R479" s="200"/>
      <c r="S479" s="515"/>
    </row>
    <row r="480" spans="3:20" s="517" customFormat="1" ht="24.6" customHeight="1">
      <c r="C480" s="518" t="s">
        <v>5291</v>
      </c>
      <c r="D480" s="602" t="s">
        <v>5292</v>
      </c>
      <c r="E480" s="604"/>
      <c r="F480" s="604"/>
      <c r="G480" s="604"/>
      <c r="H480" s="604"/>
      <c r="I480" s="604"/>
      <c r="J480" s="604"/>
      <c r="K480" s="604"/>
      <c r="L480" s="604"/>
      <c r="M480" s="680"/>
      <c r="N480" s="681"/>
      <c r="O480" s="681"/>
      <c r="P480" s="681"/>
      <c r="Q480" s="681"/>
      <c r="R480" s="200"/>
      <c r="S480" s="515"/>
    </row>
    <row r="481" spans="3:19" s="517" customFormat="1" ht="24.6" customHeight="1">
      <c r="C481" s="524" t="s">
        <v>1203</v>
      </c>
      <c r="D481" s="610" t="s">
        <v>6791</v>
      </c>
      <c r="E481" s="607"/>
      <c r="F481" s="611"/>
      <c r="G481" s="616"/>
      <c r="H481" s="234"/>
      <c r="I481" s="628"/>
      <c r="J481" s="629"/>
      <c r="K481" s="525"/>
      <c r="L481" s="618"/>
      <c r="M481" s="683"/>
      <c r="N481" s="684"/>
      <c r="O481" s="684"/>
      <c r="P481" s="684"/>
      <c r="Q481" s="684"/>
      <c r="R481" s="200"/>
      <c r="S481" s="515"/>
    </row>
    <row r="482" spans="3:19" s="517" customFormat="1" ht="24.6" customHeight="1">
      <c r="C482" s="524">
        <v>2</v>
      </c>
      <c r="D482" s="610" t="s">
        <v>6689</v>
      </c>
      <c r="E482" s="607"/>
      <c r="F482" s="611"/>
      <c r="G482" s="616"/>
      <c r="H482" s="234"/>
      <c r="I482" s="628"/>
      <c r="J482" s="629"/>
      <c r="K482" s="525"/>
      <c r="L482" s="618"/>
      <c r="M482" s="683"/>
      <c r="N482" s="684"/>
      <c r="O482" s="684"/>
      <c r="P482" s="684"/>
      <c r="Q482" s="684"/>
      <c r="R482" s="200"/>
      <c r="S482" s="515"/>
    </row>
    <row r="483" spans="3:19" s="517" customFormat="1" ht="24.6" customHeight="1">
      <c r="C483" s="524">
        <v>3</v>
      </c>
      <c r="D483" s="610" t="s">
        <v>6792</v>
      </c>
      <c r="E483" s="607"/>
      <c r="F483" s="611"/>
      <c r="G483" s="616"/>
      <c r="H483" s="234"/>
      <c r="I483" s="628"/>
      <c r="J483" s="629"/>
      <c r="K483" s="525"/>
      <c r="L483" s="618"/>
      <c r="M483" s="683"/>
      <c r="N483" s="684"/>
      <c r="O483" s="684"/>
      <c r="P483" s="684"/>
      <c r="Q483" s="684"/>
      <c r="R483" s="200"/>
      <c r="S483" s="515"/>
    </row>
    <row r="484" spans="3:19" s="517" customFormat="1" ht="24.6" customHeight="1">
      <c r="C484" s="601" t="s">
        <v>1071</v>
      </c>
      <c r="D484" s="651" t="s">
        <v>6819</v>
      </c>
      <c r="E484" s="604"/>
      <c r="F484" s="604"/>
      <c r="G484" s="604"/>
      <c r="H484" s="604"/>
      <c r="I484" s="604"/>
      <c r="J484" s="604"/>
      <c r="K484" s="604"/>
      <c r="L484" s="604"/>
      <c r="M484" s="680"/>
      <c r="N484" s="681"/>
      <c r="O484" s="681"/>
      <c r="P484" s="681"/>
      <c r="Q484" s="681"/>
      <c r="R484" s="200"/>
      <c r="S484" s="515"/>
    </row>
    <row r="485" spans="3:19" s="517" customFormat="1" ht="24.6" customHeight="1">
      <c r="C485" s="601" t="s">
        <v>5265</v>
      </c>
      <c r="D485" s="644" t="s">
        <v>6765</v>
      </c>
      <c r="E485" s="603"/>
      <c r="F485" s="645" t="s">
        <v>6766</v>
      </c>
      <c r="G485" s="645"/>
      <c r="H485" s="656"/>
      <c r="I485" s="644"/>
      <c r="J485" s="657"/>
      <c r="K485" s="685"/>
      <c r="L485" s="644"/>
      <c r="M485" s="686"/>
      <c r="N485" s="687"/>
      <c r="O485" s="687"/>
      <c r="P485" s="687"/>
      <c r="Q485" s="687"/>
      <c r="R485" s="200"/>
      <c r="S485" s="515"/>
    </row>
    <row r="486" spans="3:19" s="517" customFormat="1" ht="24.6" customHeight="1">
      <c r="C486" s="543"/>
      <c r="D486" s="688" t="s">
        <v>6693</v>
      </c>
      <c r="E486" s="688"/>
      <c r="F486" s="645"/>
      <c r="G486" s="645"/>
      <c r="H486" s="213" t="s">
        <v>1769</v>
      </c>
      <c r="I486" s="610">
        <v>20</v>
      </c>
      <c r="J486" s="616"/>
      <c r="K486" s="196" t="s">
        <v>5297</v>
      </c>
      <c r="L486" s="610"/>
      <c r="M486" s="637"/>
      <c r="N486" s="689"/>
      <c r="O486" s="689"/>
      <c r="P486" s="689"/>
      <c r="Q486" s="689"/>
      <c r="R486" s="200"/>
      <c r="S486" s="515"/>
    </row>
    <row r="487" spans="3:19" s="517" customFormat="1" ht="24.6" customHeight="1">
      <c r="C487" s="674"/>
      <c r="D487" s="690" t="s">
        <v>6694</v>
      </c>
      <c r="E487" s="690"/>
      <c r="F487" s="611"/>
      <c r="G487" s="611"/>
      <c r="H487" s="213" t="s">
        <v>5295</v>
      </c>
      <c r="I487" s="610">
        <v>0.83</v>
      </c>
      <c r="J487" s="616"/>
      <c r="K487" s="196" t="s">
        <v>5296</v>
      </c>
      <c r="L487" s="610" t="s">
        <v>6735</v>
      </c>
      <c r="M487" s="637"/>
      <c r="N487" s="689"/>
      <c r="O487" s="689"/>
      <c r="P487" s="689"/>
      <c r="Q487" s="689"/>
      <c r="R487" s="200"/>
      <c r="S487" s="515"/>
    </row>
    <row r="488" spans="3:19" s="517" customFormat="1" ht="24.6" customHeight="1">
      <c r="C488" s="674"/>
      <c r="D488" s="644" t="s">
        <v>6695</v>
      </c>
      <c r="E488" s="607"/>
      <c r="F488" s="611"/>
      <c r="G488" s="611"/>
      <c r="H488" s="656" t="s">
        <v>1767</v>
      </c>
      <c r="I488" s="610">
        <v>100</v>
      </c>
      <c r="J488" s="616"/>
      <c r="K488" s="196" t="s">
        <v>6728</v>
      </c>
      <c r="L488" s="610"/>
      <c r="M488" s="637"/>
      <c r="N488" s="689"/>
      <c r="O488" s="689"/>
      <c r="P488" s="689"/>
      <c r="Q488" s="689"/>
      <c r="R488" s="200"/>
      <c r="S488" s="515"/>
    </row>
    <row r="489" spans="3:19" s="517" customFormat="1" ht="24.6" customHeight="1">
      <c r="C489" s="674"/>
      <c r="D489" s="682" t="s">
        <v>6696</v>
      </c>
      <c r="E489" s="607"/>
      <c r="F489" s="611"/>
      <c r="G489" s="611"/>
      <c r="H489" s="213" t="s">
        <v>6703</v>
      </c>
      <c r="I489" s="610">
        <v>40</v>
      </c>
      <c r="J489" s="616"/>
      <c r="K489" s="196" t="s">
        <v>6729</v>
      </c>
      <c r="L489" s="1897" t="s">
        <v>6736</v>
      </c>
      <c r="M489" s="637"/>
      <c r="N489" s="689"/>
      <c r="O489" s="689"/>
      <c r="P489" s="689"/>
      <c r="Q489" s="689"/>
      <c r="R489" s="200"/>
      <c r="S489" s="515"/>
    </row>
    <row r="490" spans="3:19" s="517" customFormat="1" ht="24.6" customHeight="1">
      <c r="C490" s="674"/>
      <c r="D490" s="682" t="s">
        <v>6697</v>
      </c>
      <c r="E490" s="607"/>
      <c r="F490" s="611"/>
      <c r="G490" s="611"/>
      <c r="H490" s="213" t="s">
        <v>6704</v>
      </c>
      <c r="I490" s="610">
        <v>60</v>
      </c>
      <c r="J490" s="616"/>
      <c r="K490" s="196" t="s">
        <v>6729</v>
      </c>
      <c r="L490" s="1898"/>
      <c r="M490" s="637"/>
      <c r="N490" s="689"/>
      <c r="O490" s="689"/>
      <c r="P490" s="689"/>
      <c r="Q490" s="689"/>
      <c r="R490" s="200"/>
      <c r="S490" s="515"/>
    </row>
    <row r="491" spans="3:19" s="517" customFormat="1" ht="24.6" customHeight="1">
      <c r="C491" s="674"/>
      <c r="D491" s="644" t="s">
        <v>5294</v>
      </c>
      <c r="E491" s="603"/>
      <c r="F491" s="645"/>
      <c r="G491" s="645"/>
      <c r="H491" s="213"/>
      <c r="I491" s="610"/>
      <c r="J491" s="616"/>
      <c r="K491" s="196"/>
      <c r="L491" s="610"/>
      <c r="M491" s="637"/>
      <c r="N491" s="689"/>
      <c r="O491" s="689"/>
      <c r="P491" s="689"/>
      <c r="Q491" s="689"/>
      <c r="R491" s="200"/>
      <c r="S491" s="515"/>
    </row>
    <row r="492" spans="3:19" s="517" customFormat="1" ht="24.6" customHeight="1">
      <c r="C492" s="674"/>
      <c r="D492" s="610" t="s">
        <v>6698</v>
      </c>
      <c r="E492" s="607" t="s">
        <v>6619</v>
      </c>
      <c r="F492" s="611" t="s">
        <v>6700</v>
      </c>
      <c r="G492" s="611"/>
      <c r="H492" s="213" t="s">
        <v>6701</v>
      </c>
      <c r="I492" s="610">
        <f>(I478/I489)*60</f>
        <v>150</v>
      </c>
      <c r="J492" s="616"/>
      <c r="K492" s="196" t="s">
        <v>5298</v>
      </c>
      <c r="L492" s="610"/>
      <c r="M492" s="637"/>
      <c r="N492" s="689"/>
      <c r="O492" s="689"/>
      <c r="P492" s="689"/>
      <c r="Q492" s="689"/>
      <c r="R492" s="200"/>
      <c r="S492" s="515"/>
    </row>
    <row r="493" spans="3:19" s="517" customFormat="1" ht="24.6" customHeight="1" thickBot="1">
      <c r="C493" s="674"/>
      <c r="D493" s="610" t="s">
        <v>6699</v>
      </c>
      <c r="E493" s="607" t="s">
        <v>6619</v>
      </c>
      <c r="F493" s="611" t="s">
        <v>6700</v>
      </c>
      <c r="G493" s="611"/>
      <c r="H493" s="691" t="s">
        <v>6702</v>
      </c>
      <c r="I493" s="610">
        <v>246</v>
      </c>
      <c r="J493" s="616"/>
      <c r="K493" s="196" t="s">
        <v>5298</v>
      </c>
      <c r="L493" s="610"/>
      <c r="M493" s="637"/>
      <c r="N493" s="689"/>
      <c r="O493" s="689"/>
      <c r="P493" s="689"/>
      <c r="Q493" s="689"/>
      <c r="R493" s="200"/>
      <c r="S493" s="515"/>
    </row>
    <row r="494" spans="3:19" s="517" customFormat="1" ht="24.6" customHeight="1">
      <c r="C494" s="674"/>
      <c r="D494" s="610"/>
      <c r="E494" s="607"/>
      <c r="F494" s="611"/>
      <c r="G494" s="611"/>
      <c r="H494" s="692" t="s">
        <v>6705</v>
      </c>
      <c r="I494" s="639">
        <f>SUM(I492:I493)</f>
        <v>396</v>
      </c>
      <c r="J494" s="633"/>
      <c r="K494" s="693" t="s">
        <v>5298</v>
      </c>
      <c r="L494" s="610"/>
      <c r="M494" s="637"/>
      <c r="N494" s="689"/>
      <c r="O494" s="689"/>
      <c r="P494" s="689"/>
      <c r="Q494" s="689"/>
      <c r="R494" s="200"/>
      <c r="S494" s="515"/>
    </row>
    <row r="495" spans="3:19" s="517" customFormat="1" ht="24.6" customHeight="1">
      <c r="C495" s="674"/>
      <c r="D495" s="610" t="s">
        <v>6706</v>
      </c>
      <c r="E495" s="607" t="s">
        <v>6619</v>
      </c>
      <c r="F495" s="655" t="s">
        <v>6767</v>
      </c>
      <c r="G495" s="611"/>
      <c r="H495" s="692" t="s">
        <v>6710</v>
      </c>
      <c r="I495" s="639">
        <f>(I486*I487*60)/I494</f>
        <v>2.5151515151515147</v>
      </c>
      <c r="J495" s="633"/>
      <c r="K495" s="693" t="s">
        <v>6730</v>
      </c>
      <c r="L495" s="610"/>
      <c r="M495" s="637"/>
      <c r="N495" s="689"/>
      <c r="O495" s="689"/>
      <c r="P495" s="689"/>
      <c r="Q495" s="689"/>
      <c r="R495" s="200"/>
      <c r="S495" s="515"/>
    </row>
    <row r="496" spans="3:19" s="517" customFormat="1" ht="24.6" customHeight="1">
      <c r="C496" s="674"/>
      <c r="D496" s="644" t="s">
        <v>6707</v>
      </c>
      <c r="E496" s="607" t="s">
        <v>6619</v>
      </c>
      <c r="F496" s="611" t="s">
        <v>6709</v>
      </c>
      <c r="G496" s="611"/>
      <c r="H496" s="692"/>
      <c r="I496" s="718">
        <f>1/I495</f>
        <v>0.39759036144578319</v>
      </c>
      <c r="J496" s="633"/>
      <c r="K496" s="693" t="s">
        <v>2139</v>
      </c>
      <c r="L496" s="610"/>
      <c r="M496" s="637"/>
      <c r="N496" s="689"/>
      <c r="O496" s="689"/>
      <c r="P496" s="689"/>
      <c r="Q496" s="689"/>
      <c r="R496" s="200"/>
      <c r="S496" s="515"/>
    </row>
    <row r="497" spans="3:20" s="517" customFormat="1" ht="24.6" customHeight="1">
      <c r="C497" s="675"/>
      <c r="D497" s="610"/>
      <c r="E497" s="607"/>
      <c r="F497" s="611"/>
      <c r="G497" s="611"/>
      <c r="H497" s="692"/>
      <c r="I497" s="639"/>
      <c r="J497" s="633"/>
      <c r="K497" s="693"/>
      <c r="L497" s="610"/>
      <c r="M497" s="637"/>
      <c r="N497" s="689"/>
      <c r="O497" s="689"/>
      <c r="P497" s="689"/>
      <c r="Q497" s="689"/>
      <c r="R497" s="200"/>
      <c r="S497" s="515"/>
    </row>
    <row r="498" spans="3:20" s="517" customFormat="1" ht="24.6" customHeight="1">
      <c r="C498" s="601" t="s">
        <v>2679</v>
      </c>
      <c r="D498" s="670" t="s">
        <v>6794</v>
      </c>
      <c r="E498" s="607"/>
      <c r="F498" s="611"/>
      <c r="G498" s="611"/>
      <c r="H498" s="213"/>
      <c r="I498" s="610"/>
      <c r="J498" s="616"/>
      <c r="K498" s="196"/>
      <c r="L498" s="713" t="s">
        <v>6810</v>
      </c>
      <c r="M498" s="695"/>
      <c r="N498" s="696"/>
      <c r="O498" s="696"/>
      <c r="P498" s="696"/>
      <c r="Q498" s="689"/>
      <c r="R498" s="200"/>
      <c r="S498" s="515"/>
    </row>
    <row r="499" spans="3:20" s="517" customFormat="1" ht="24.6" customHeight="1">
      <c r="C499" s="674"/>
      <c r="D499" s="682" t="s">
        <v>6795</v>
      </c>
      <c r="E499" s="607"/>
      <c r="F499" s="611"/>
      <c r="G499" s="611"/>
      <c r="H499" s="213" t="s">
        <v>1769</v>
      </c>
      <c r="I499" s="697">
        <v>1</v>
      </c>
      <c r="J499" s="616"/>
      <c r="K499" s="196" t="s">
        <v>6675</v>
      </c>
      <c r="L499" s="694"/>
      <c r="M499" s="695"/>
      <c r="N499" s="696"/>
      <c r="O499" s="696"/>
      <c r="P499" s="696"/>
      <c r="Q499" s="689"/>
      <c r="R499" s="200"/>
      <c r="S499" s="515"/>
    </row>
    <row r="500" spans="3:20" s="517" customFormat="1" ht="24.6" customHeight="1">
      <c r="C500" s="674"/>
      <c r="D500" s="682" t="s">
        <v>6796</v>
      </c>
      <c r="E500" s="607"/>
      <c r="F500" s="611"/>
      <c r="G500" s="611"/>
      <c r="H500" s="213" t="s">
        <v>5295</v>
      </c>
      <c r="I500" s="610">
        <v>0.83</v>
      </c>
      <c r="J500" s="616"/>
      <c r="K500" s="196" t="s">
        <v>5296</v>
      </c>
      <c r="L500" s="694" t="s">
        <v>6809</v>
      </c>
      <c r="M500" s="695"/>
      <c r="N500" s="696"/>
      <c r="O500" s="696"/>
      <c r="P500" s="696"/>
      <c r="Q500" s="689"/>
      <c r="R500" s="200"/>
      <c r="S500" s="515"/>
    </row>
    <row r="501" spans="3:20" s="517" customFormat="1" ht="24.6" customHeight="1">
      <c r="C501" s="674"/>
      <c r="D501" s="670" t="s">
        <v>6836</v>
      </c>
      <c r="E501" s="607"/>
      <c r="F501" s="611"/>
      <c r="G501" s="611"/>
      <c r="H501" s="213"/>
      <c r="I501" s="610"/>
      <c r="J501" s="616"/>
      <c r="K501" s="196"/>
      <c r="L501" s="694"/>
      <c r="M501" s="695"/>
      <c r="N501" s="696"/>
      <c r="O501" s="696"/>
      <c r="P501" s="696"/>
      <c r="Q501" s="689"/>
      <c r="R501" s="200"/>
      <c r="S501" s="515"/>
    </row>
    <row r="502" spans="3:20" s="517" customFormat="1" ht="24.6" customHeight="1">
      <c r="C502" s="674"/>
      <c r="D502" s="682" t="s">
        <v>6798</v>
      </c>
      <c r="E502" s="607"/>
      <c r="F502" s="611"/>
      <c r="G502" s="611"/>
      <c r="H502" s="213" t="s">
        <v>6701</v>
      </c>
      <c r="I502" s="610">
        <v>5</v>
      </c>
      <c r="J502" s="616"/>
      <c r="K502" s="196" t="s">
        <v>6731</v>
      </c>
      <c r="L502" s="1899" t="s">
        <v>6808</v>
      </c>
      <c r="M502" s="695"/>
      <c r="N502" s="696"/>
      <c r="O502" s="696"/>
      <c r="P502" s="696"/>
      <c r="Q502" s="689"/>
      <c r="R502" s="200"/>
      <c r="S502" s="515"/>
    </row>
    <row r="503" spans="3:20" s="517" customFormat="1" ht="24.6" customHeight="1">
      <c r="C503" s="674"/>
      <c r="D503" s="682" t="s">
        <v>6821</v>
      </c>
      <c r="E503" s="607"/>
      <c r="F503" s="611"/>
      <c r="G503" s="611"/>
      <c r="H503" s="213" t="s">
        <v>6702</v>
      </c>
      <c r="I503" s="610">
        <v>3.33</v>
      </c>
      <c r="J503" s="616"/>
      <c r="K503" s="196" t="s">
        <v>6731</v>
      </c>
      <c r="L503" s="1900"/>
      <c r="M503" s="695"/>
      <c r="N503" s="696"/>
      <c r="O503" s="696"/>
      <c r="P503" s="696"/>
      <c r="Q503" s="689"/>
      <c r="R503" s="200"/>
      <c r="S503" s="515"/>
    </row>
    <row r="504" spans="3:20" s="517" customFormat="1" ht="24.6" customHeight="1">
      <c r="C504" s="674"/>
      <c r="D504" s="682" t="s">
        <v>6800</v>
      </c>
      <c r="E504" s="607"/>
      <c r="F504" s="611"/>
      <c r="G504" s="611"/>
      <c r="H504" s="213" t="s">
        <v>6805</v>
      </c>
      <c r="I504" s="610">
        <v>2.38</v>
      </c>
      <c r="J504" s="616"/>
      <c r="K504" s="196" t="s">
        <v>6731</v>
      </c>
      <c r="L504" s="714"/>
      <c r="M504" s="695"/>
      <c r="N504" s="696"/>
      <c r="O504" s="696"/>
      <c r="P504" s="696"/>
      <c r="Q504" s="689"/>
      <c r="R504" s="200"/>
      <c r="S504" s="515"/>
    </row>
    <row r="505" spans="3:20" s="517" customFormat="1" ht="24.6" customHeight="1">
      <c r="C505" s="674"/>
      <c r="D505" s="682" t="s">
        <v>6801</v>
      </c>
      <c r="E505" s="607"/>
      <c r="F505" s="611"/>
      <c r="G505" s="611"/>
      <c r="H505" s="711" t="s">
        <v>6806</v>
      </c>
      <c r="I505" s="712">
        <v>1.59</v>
      </c>
      <c r="J505" s="616"/>
      <c r="K505" s="196" t="s">
        <v>6731</v>
      </c>
      <c r="L505" s="714"/>
      <c r="M505" s="695"/>
      <c r="N505" s="696"/>
      <c r="O505" s="696"/>
      <c r="P505" s="696"/>
      <c r="Q505" s="689"/>
      <c r="R505" s="200"/>
      <c r="S505" s="515"/>
    </row>
    <row r="506" spans="3:20" s="517" customFormat="1" ht="24.6" customHeight="1">
      <c r="C506" s="674"/>
      <c r="D506" s="682"/>
      <c r="E506" s="607"/>
      <c r="F506" s="611"/>
      <c r="G506" s="611"/>
      <c r="H506" s="692" t="s">
        <v>6719</v>
      </c>
      <c r="I506" s="639">
        <f>SUM(I502:I505)</f>
        <v>12.3</v>
      </c>
      <c r="J506" s="633"/>
      <c r="K506" s="196" t="s">
        <v>6731</v>
      </c>
      <c r="L506" s="694"/>
      <c r="M506" s="695"/>
      <c r="N506" s="696"/>
      <c r="O506" s="696"/>
      <c r="P506" s="696"/>
      <c r="Q506" s="689"/>
      <c r="R506" s="200"/>
      <c r="S506" s="515"/>
    </row>
    <row r="507" spans="3:20" s="517" customFormat="1" ht="24.6" customHeight="1">
      <c r="C507" s="674"/>
      <c r="D507" s="682" t="s">
        <v>6706</v>
      </c>
      <c r="E507" s="607" t="s">
        <v>6619</v>
      </c>
      <c r="F507" s="655" t="s">
        <v>6802</v>
      </c>
      <c r="G507" s="611"/>
      <c r="H507" s="213" t="s">
        <v>6726</v>
      </c>
      <c r="I507" s="610">
        <f>(I499*I500*60)/I506</f>
        <v>4.0487804878048772</v>
      </c>
      <c r="J507" s="616"/>
      <c r="K507" s="196" t="s">
        <v>6732</v>
      </c>
      <c r="L507" s="694"/>
      <c r="M507" s="695"/>
      <c r="N507" s="696"/>
      <c r="O507" s="696"/>
      <c r="P507" s="696"/>
      <c r="Q507" s="689"/>
      <c r="R507" s="200"/>
      <c r="S507" s="515"/>
    </row>
    <row r="508" spans="3:20" s="517" customFormat="1" ht="24.6" customHeight="1">
      <c r="C508" s="674"/>
      <c r="D508" s="670" t="s">
        <v>6822</v>
      </c>
      <c r="E508" s="607"/>
      <c r="F508" s="611"/>
      <c r="G508" s="611"/>
      <c r="H508" s="213"/>
      <c r="I508" s="644">
        <f>1/I507</f>
        <v>0.24698795180722896</v>
      </c>
      <c r="J508" s="616"/>
      <c r="K508" s="196" t="s">
        <v>2396</v>
      </c>
      <c r="L508" s="694"/>
      <c r="M508" s="695"/>
      <c r="N508" s="696"/>
      <c r="O508" s="696"/>
      <c r="P508" s="696"/>
      <c r="Q508" s="689"/>
      <c r="R508" s="200"/>
      <c r="S508" s="515"/>
    </row>
    <row r="509" spans="3:20" s="517" customFormat="1" ht="24.6" customHeight="1">
      <c r="C509" s="674"/>
      <c r="D509" s="670" t="s">
        <v>6823</v>
      </c>
      <c r="E509" s="607"/>
      <c r="F509" s="611"/>
      <c r="G509" s="611"/>
      <c r="H509" s="213"/>
      <c r="I509" s="610"/>
      <c r="J509" s="616"/>
      <c r="K509" s="196"/>
      <c r="L509" s="694"/>
      <c r="M509" s="695"/>
      <c r="N509" s="696"/>
      <c r="O509" s="696"/>
      <c r="P509" s="696"/>
      <c r="Q509" s="689"/>
      <c r="R509" s="200"/>
      <c r="S509" s="515"/>
    </row>
    <row r="510" spans="3:20" s="517" customFormat="1" ht="24.6" customHeight="1">
      <c r="C510" s="674"/>
      <c r="D510" s="682" t="s">
        <v>6722</v>
      </c>
      <c r="E510" s="607" t="s">
        <v>6619</v>
      </c>
      <c r="F510" s="611" t="s">
        <v>6724</v>
      </c>
      <c r="G510" s="611"/>
      <c r="H510" s="213" t="s">
        <v>1774</v>
      </c>
      <c r="I510" s="610">
        <v>0.98799999999999999</v>
      </c>
      <c r="J510" s="616"/>
      <c r="K510" s="196" t="s">
        <v>1863</v>
      </c>
      <c r="L510" s="694" t="s">
        <v>6807</v>
      </c>
      <c r="M510" s="695"/>
      <c r="N510" s="696"/>
      <c r="O510" s="696"/>
      <c r="P510" s="696"/>
      <c r="Q510" s="689"/>
      <c r="R510" s="200"/>
      <c r="S510" s="515"/>
    </row>
    <row r="511" spans="3:20" s="517" customFormat="1" ht="24.6" customHeight="1">
      <c r="C511" s="675"/>
      <c r="D511" s="610" t="s">
        <v>6723</v>
      </c>
      <c r="E511" s="607" t="s">
        <v>6619</v>
      </c>
      <c r="F511" s="611" t="s">
        <v>6725</v>
      </c>
      <c r="G511" s="611"/>
      <c r="H511" s="213" t="s">
        <v>1777</v>
      </c>
      <c r="I511" s="610">
        <v>9.8799999999999999E-2</v>
      </c>
      <c r="J511" s="616"/>
      <c r="K511" s="196" t="s">
        <v>1863</v>
      </c>
      <c r="L511" s="694"/>
      <c r="M511" s="695"/>
      <c r="N511" s="696"/>
      <c r="O511" s="696"/>
      <c r="P511" s="696"/>
      <c r="Q511" s="689"/>
      <c r="R511" s="200"/>
      <c r="S511" s="515"/>
    </row>
    <row r="512" spans="3:20" s="517" customFormat="1" ht="21.75" customHeight="1">
      <c r="C512" s="571"/>
      <c r="D512" s="513"/>
      <c r="E512" s="710"/>
      <c r="F512" s="513"/>
      <c r="G512" s="513"/>
      <c r="H512" s="595"/>
      <c r="I512" s="514"/>
      <c r="J512" s="514"/>
      <c r="K512" s="514"/>
      <c r="L512" s="514"/>
      <c r="M512" s="514"/>
      <c r="N512" s="514"/>
      <c r="O512" s="514"/>
      <c r="P512" s="514"/>
      <c r="Q512" s="514"/>
      <c r="R512" s="189"/>
      <c r="S512" s="515"/>
      <c r="T512" s="516"/>
    </row>
    <row r="513" spans="3:20" s="517" customFormat="1" ht="21.75" customHeight="1">
      <c r="C513" s="571" t="s">
        <v>6838</v>
      </c>
      <c r="D513" s="513" t="s">
        <v>6839</v>
      </c>
      <c r="E513" s="710"/>
      <c r="F513" s="513"/>
      <c r="G513" s="513"/>
      <c r="H513" s="595"/>
      <c r="I513" s="514"/>
      <c r="J513" s="514"/>
      <c r="K513" s="514"/>
      <c r="L513" s="514"/>
      <c r="M513" s="514"/>
      <c r="N513" s="514"/>
      <c r="O513" s="514"/>
      <c r="P513" s="514"/>
      <c r="Q513" s="514"/>
      <c r="R513" s="189">
        <f>ROUNDDOWN(H528,-2)</f>
        <v>315800</v>
      </c>
      <c r="S513" s="515" t="s">
        <v>6760</v>
      </c>
      <c r="T513" s="516" t="s">
        <v>6778</v>
      </c>
    </row>
    <row r="514" spans="3:20" s="517" customFormat="1" ht="27" customHeight="1">
      <c r="C514" s="699" t="s">
        <v>1195</v>
      </c>
      <c r="D514" s="699" t="s">
        <v>1196</v>
      </c>
      <c r="E514" s="699" t="s">
        <v>1197</v>
      </c>
      <c r="F514" s="699" t="s">
        <v>1198</v>
      </c>
      <c r="G514" s="699" t="s">
        <v>1199</v>
      </c>
      <c r="H514" s="699" t="s">
        <v>1200</v>
      </c>
      <c r="I514" s="514"/>
      <c r="J514" s="514"/>
      <c r="K514" s="514"/>
      <c r="L514" s="514"/>
      <c r="M514" s="514"/>
      <c r="N514" s="514"/>
      <c r="O514" s="514"/>
      <c r="P514" s="514"/>
      <c r="Q514" s="514"/>
      <c r="R514" s="189"/>
      <c r="S514" s="515"/>
      <c r="T514" s="516"/>
    </row>
    <row r="515" spans="3:20" s="517" customFormat="1" ht="27" customHeight="1">
      <c r="C515" s="202" t="s">
        <v>1201</v>
      </c>
      <c r="D515" s="196" t="s">
        <v>1202</v>
      </c>
      <c r="E515" s="197"/>
      <c r="F515" s="197"/>
      <c r="G515" s="197"/>
      <c r="H515" s="197"/>
      <c r="I515" s="514"/>
      <c r="J515" s="514"/>
      <c r="K515" s="514"/>
      <c r="L515" s="514"/>
      <c r="M515" s="514"/>
      <c r="N515" s="514"/>
      <c r="O515" s="514"/>
      <c r="P515" s="514"/>
      <c r="Q515" s="514"/>
      <c r="R515" s="189"/>
      <c r="S515" s="515"/>
      <c r="T515" s="516"/>
    </row>
    <row r="516" spans="3:20" s="517" customFormat="1" ht="27" customHeight="1">
      <c r="C516" s="700">
        <v>1</v>
      </c>
      <c r="D516" s="196" t="s">
        <v>5</v>
      </c>
      <c r="E516" s="701" t="s">
        <v>1863</v>
      </c>
      <c r="F516" s="520">
        <f>I510</f>
        <v>0.98799999999999999</v>
      </c>
      <c r="G516" s="205">
        <f>VLOOKUP(D516,upahbahan,3,FALSE)/8</f>
        <v>12500</v>
      </c>
      <c r="H516" s="205">
        <f t="shared" ref="H516:H517" si="39">F516*G516</f>
        <v>12350</v>
      </c>
      <c r="I516" s="514"/>
      <c r="J516" s="514"/>
      <c r="K516" s="514"/>
      <c r="L516" s="514"/>
      <c r="M516" s="514"/>
      <c r="N516" s="514"/>
      <c r="O516" s="514"/>
      <c r="P516" s="514"/>
      <c r="Q516" s="514"/>
      <c r="R516" s="189"/>
      <c r="S516" s="515"/>
      <c r="T516" s="516"/>
    </row>
    <row r="517" spans="3:20" s="517" customFormat="1" ht="27" customHeight="1">
      <c r="C517" s="700">
        <v>2</v>
      </c>
      <c r="D517" s="196" t="s">
        <v>19</v>
      </c>
      <c r="E517" s="701" t="s">
        <v>1863</v>
      </c>
      <c r="F517" s="520">
        <f>I511</f>
        <v>9.8799999999999999E-2</v>
      </c>
      <c r="G517" s="205">
        <f>VLOOKUP(D517,upahbahan,3,FALSE)/8</f>
        <v>20000</v>
      </c>
      <c r="H517" s="205">
        <f t="shared" si="39"/>
        <v>1976</v>
      </c>
      <c r="I517" s="514"/>
      <c r="J517" s="514"/>
      <c r="K517" s="514"/>
      <c r="L517" s="514"/>
      <c r="M517" s="514"/>
      <c r="N517" s="514"/>
      <c r="O517" s="514"/>
      <c r="P517" s="514"/>
      <c r="Q517" s="514"/>
      <c r="R517" s="189"/>
      <c r="S517" s="515"/>
      <c r="T517" s="516"/>
    </row>
    <row r="518" spans="3:20" s="517" customFormat="1" ht="27" customHeight="1">
      <c r="C518" s="702" t="s">
        <v>1208</v>
      </c>
      <c r="D518" s="208"/>
      <c r="E518" s="208"/>
      <c r="F518" s="521"/>
      <c r="G518" s="522"/>
      <c r="H518" s="205">
        <f>SUM(H516:H517)</f>
        <v>14326</v>
      </c>
      <c r="I518" s="514"/>
      <c r="J518" s="514"/>
      <c r="K518" s="514"/>
      <c r="L518" s="514"/>
      <c r="M518" s="514"/>
      <c r="N518" s="514"/>
      <c r="O518" s="514"/>
      <c r="P518" s="514"/>
      <c r="Q518" s="514"/>
      <c r="R518" s="189"/>
      <c r="S518" s="515"/>
      <c r="T518" s="516"/>
    </row>
    <row r="519" spans="3:20" s="517" customFormat="1" ht="27" customHeight="1">
      <c r="C519" s="202" t="s">
        <v>1209</v>
      </c>
      <c r="D519" s="196" t="s">
        <v>1210</v>
      </c>
      <c r="E519" s="197"/>
      <c r="F519" s="197"/>
      <c r="G519" s="197"/>
      <c r="H519" s="197"/>
      <c r="I519" s="514"/>
      <c r="J519" s="514"/>
      <c r="K519" s="514"/>
      <c r="L519" s="514"/>
      <c r="M519" s="514"/>
      <c r="N519" s="514"/>
      <c r="O519" s="514"/>
      <c r="P519" s="514"/>
      <c r="Q519" s="514"/>
      <c r="R519" s="189"/>
      <c r="S519" s="515"/>
      <c r="T519" s="516"/>
    </row>
    <row r="520" spans="3:20" s="517" customFormat="1" ht="27" customHeight="1">
      <c r="C520" s="700">
        <v>1</v>
      </c>
      <c r="D520" s="703" t="s">
        <v>6840</v>
      </c>
      <c r="E520" s="704" t="s">
        <v>6742</v>
      </c>
      <c r="F520" s="705">
        <v>1</v>
      </c>
      <c r="G520" s="205">
        <f>VLOOKUP(D520,upahbahan,3,FALSE)</f>
        <v>0</v>
      </c>
      <c r="H520" s="205">
        <f t="shared" ref="H520" si="40">F520*G520</f>
        <v>0</v>
      </c>
      <c r="I520" s="514"/>
      <c r="J520" s="514"/>
      <c r="K520" s="514"/>
      <c r="L520" s="514"/>
      <c r="M520" s="514"/>
      <c r="N520" s="514"/>
      <c r="O520" s="514"/>
      <c r="P520" s="514"/>
      <c r="Q520" s="514"/>
      <c r="R520" s="189"/>
      <c r="S520" s="515"/>
      <c r="T520" s="516"/>
    </row>
    <row r="521" spans="3:20" s="517" customFormat="1" ht="27" customHeight="1">
      <c r="C521" s="702" t="s">
        <v>1214</v>
      </c>
      <c r="D521" s="208"/>
      <c r="E521" s="208"/>
      <c r="F521" s="208"/>
      <c r="G521" s="209"/>
      <c r="H521" s="205">
        <f>SUM(H520:H520)</f>
        <v>0</v>
      </c>
      <c r="I521" s="514"/>
      <c r="J521" s="514"/>
      <c r="K521" s="514"/>
      <c r="L521" s="514"/>
      <c r="M521" s="514"/>
      <c r="N521" s="514"/>
      <c r="O521" s="514"/>
      <c r="P521" s="514"/>
      <c r="Q521" s="514"/>
      <c r="R521" s="189"/>
      <c r="S521" s="515"/>
      <c r="T521" s="516"/>
    </row>
    <row r="522" spans="3:20" s="517" customFormat="1" ht="27" customHeight="1">
      <c r="C522" s="202" t="s">
        <v>1215</v>
      </c>
      <c r="D522" s="196" t="s">
        <v>1216</v>
      </c>
      <c r="E522" s="197"/>
      <c r="F522" s="197"/>
      <c r="G522" s="197"/>
      <c r="H522" s="197"/>
      <c r="I522" s="514"/>
      <c r="J522" s="514"/>
      <c r="K522" s="514"/>
      <c r="L522" s="514"/>
      <c r="M522" s="514"/>
      <c r="N522" s="514"/>
      <c r="O522" s="514"/>
      <c r="P522" s="514"/>
      <c r="Q522" s="514"/>
      <c r="R522" s="189"/>
      <c r="S522" s="515"/>
      <c r="T522" s="516"/>
    </row>
    <row r="523" spans="3:20" s="517" customFormat="1" ht="27" customHeight="1">
      <c r="C523" s="700">
        <v>1</v>
      </c>
      <c r="D523" s="703" t="s">
        <v>6776</v>
      </c>
      <c r="E523" s="704" t="s">
        <v>2139</v>
      </c>
      <c r="F523" s="520">
        <f>I496</f>
        <v>0.39759036144578319</v>
      </c>
      <c r="G523" s="205">
        <f>VLOOKUP(D523,upahbahan,3,FALSE)</f>
        <v>418543.76</v>
      </c>
      <c r="H523" s="205">
        <f t="shared" ref="H523:H524" si="41">F523*G523</f>
        <v>166408.96481927714</v>
      </c>
      <c r="I523" s="514"/>
      <c r="J523" s="514"/>
      <c r="K523" s="514"/>
      <c r="L523" s="514"/>
      <c r="M523" s="514"/>
      <c r="N523" s="514"/>
      <c r="O523" s="514"/>
      <c r="P523" s="514"/>
      <c r="Q523" s="514"/>
      <c r="R523" s="189"/>
      <c r="S523" s="515"/>
      <c r="T523" s="516"/>
    </row>
    <row r="524" spans="3:20" s="517" customFormat="1" ht="27" customHeight="1">
      <c r="C524" s="700">
        <v>2</v>
      </c>
      <c r="D524" s="703" t="s">
        <v>6815</v>
      </c>
      <c r="E524" s="704" t="s">
        <v>2139</v>
      </c>
      <c r="F524" s="520">
        <f>I508</f>
        <v>0.24698795180722896</v>
      </c>
      <c r="G524" s="205">
        <f>VLOOKUP(D524,upahbahan,3,FALSE)</f>
        <v>430662.86</v>
      </c>
      <c r="H524" s="205">
        <f t="shared" si="41"/>
        <v>106368.53771084339</v>
      </c>
      <c r="I524" s="514"/>
      <c r="J524" s="514"/>
      <c r="K524" s="514"/>
      <c r="L524" s="514"/>
      <c r="M524" s="514"/>
      <c r="N524" s="514"/>
      <c r="O524" s="514"/>
      <c r="P524" s="514"/>
      <c r="Q524" s="514"/>
      <c r="R524" s="189"/>
      <c r="S524" s="515"/>
      <c r="T524" s="516"/>
    </row>
    <row r="525" spans="3:20" s="517" customFormat="1" ht="27" customHeight="1">
      <c r="C525" s="702" t="s">
        <v>1217</v>
      </c>
      <c r="D525" s="208"/>
      <c r="E525" s="208"/>
      <c r="F525" s="208"/>
      <c r="G525" s="209"/>
      <c r="H525" s="706">
        <f>SUM(H523:H524)</f>
        <v>272777.50253012055</v>
      </c>
      <c r="I525" s="514"/>
      <c r="J525" s="514"/>
      <c r="K525" s="514"/>
      <c r="L525" s="514"/>
      <c r="M525" s="514"/>
      <c r="N525" s="514"/>
      <c r="O525" s="514"/>
      <c r="P525" s="514"/>
      <c r="Q525" s="514"/>
      <c r="R525" s="189"/>
      <c r="S525" s="515"/>
      <c r="T525" s="516"/>
    </row>
    <row r="526" spans="3:20" s="517" customFormat="1" ht="27" customHeight="1">
      <c r="C526" s="707" t="s">
        <v>1218</v>
      </c>
      <c r="D526" s="224" t="s">
        <v>1219</v>
      </c>
      <c r="E526" s="225"/>
      <c r="F526" s="225"/>
      <c r="G526" s="226"/>
      <c r="H526" s="205">
        <f>H525+H521+H518</f>
        <v>287103.50253012055</v>
      </c>
      <c r="I526" s="514"/>
      <c r="J526" s="514"/>
      <c r="K526" s="514"/>
      <c r="L526" s="514"/>
      <c r="M526" s="514"/>
      <c r="N526" s="514"/>
      <c r="O526" s="514"/>
      <c r="P526" s="514"/>
      <c r="Q526" s="514"/>
      <c r="R526" s="189"/>
      <c r="S526" s="515"/>
      <c r="T526" s="516"/>
    </row>
    <row r="527" spans="3:20" s="517" customFormat="1" ht="27" customHeight="1">
      <c r="C527" s="707" t="s">
        <v>1220</v>
      </c>
      <c r="D527" s="224" t="s">
        <v>1321</v>
      </c>
      <c r="E527" s="225"/>
      <c r="F527" s="226"/>
      <c r="G527" s="228">
        <v>0.1</v>
      </c>
      <c r="H527" s="205">
        <f>H526*G527</f>
        <v>28710.350253012057</v>
      </c>
      <c r="I527" s="514"/>
      <c r="J527" s="514"/>
      <c r="K527" s="514"/>
      <c r="L527" s="514"/>
      <c r="M527" s="514"/>
      <c r="N527" s="514"/>
      <c r="O527" s="514"/>
      <c r="P527" s="514"/>
      <c r="Q527" s="514"/>
      <c r="R527" s="189"/>
      <c r="S527" s="515"/>
      <c r="T527" s="516"/>
    </row>
    <row r="528" spans="3:20" s="517" customFormat="1" ht="27" customHeight="1">
      <c r="C528" s="707" t="s">
        <v>1221</v>
      </c>
      <c r="D528" s="224" t="s">
        <v>1222</v>
      </c>
      <c r="E528" s="225"/>
      <c r="F528" s="225"/>
      <c r="G528" s="226"/>
      <c r="H528" s="708">
        <f>SUM(H526:H527)</f>
        <v>315813.85278313258</v>
      </c>
      <c r="I528" s="514"/>
      <c r="J528" s="514"/>
      <c r="K528" s="514"/>
      <c r="L528" s="514"/>
      <c r="M528" s="514"/>
      <c r="N528" s="514"/>
      <c r="O528" s="514"/>
      <c r="P528" s="514"/>
      <c r="Q528" s="514"/>
      <c r="R528" s="189"/>
      <c r="S528" s="515"/>
      <c r="T528" s="516"/>
    </row>
    <row r="529" spans="3:20" s="517" customFormat="1" ht="21.75" customHeight="1">
      <c r="C529" s="571"/>
      <c r="D529" s="513"/>
      <c r="E529" s="710"/>
      <c r="F529" s="513"/>
      <c r="G529" s="513"/>
      <c r="H529" s="595"/>
      <c r="I529" s="514"/>
      <c r="J529" s="514"/>
      <c r="K529" s="514"/>
      <c r="L529" s="514"/>
      <c r="M529" s="514"/>
      <c r="N529" s="514"/>
      <c r="O529" s="514"/>
      <c r="P529" s="514"/>
      <c r="Q529" s="514"/>
      <c r="R529" s="189"/>
      <c r="S529" s="515"/>
      <c r="T529" s="516"/>
    </row>
    <row r="530" spans="3:20" s="517" customFormat="1" ht="21.75" customHeight="1">
      <c r="C530" s="512" t="s">
        <v>6841</v>
      </c>
      <c r="D530" s="513" t="s">
        <v>6842</v>
      </c>
      <c r="E530" s="594"/>
      <c r="F530" s="513"/>
      <c r="G530" s="513"/>
      <c r="H530" s="595"/>
      <c r="I530" s="514"/>
      <c r="J530" s="514"/>
      <c r="K530" s="514"/>
      <c r="L530" s="514"/>
      <c r="M530" s="514"/>
      <c r="N530" s="514"/>
      <c r="O530" s="514"/>
      <c r="P530" s="514"/>
      <c r="Q530" s="514"/>
      <c r="R530" s="189"/>
      <c r="S530" s="515" t="s">
        <v>6760</v>
      </c>
      <c r="T530" s="516" t="s">
        <v>6811</v>
      </c>
    </row>
    <row r="531" spans="3:20" s="517" customFormat="1" ht="21.75" customHeight="1">
      <c r="C531" s="512" t="s">
        <v>6672</v>
      </c>
      <c r="D531" s="513"/>
      <c r="E531" s="710" t="s">
        <v>6843</v>
      </c>
      <c r="F531" s="513"/>
      <c r="G531" s="513"/>
      <c r="H531" s="595"/>
      <c r="I531" s="514"/>
      <c r="J531" s="514"/>
      <c r="K531" s="514"/>
      <c r="L531" s="514"/>
      <c r="M531" s="514"/>
      <c r="N531" s="514"/>
      <c r="O531" s="514"/>
      <c r="P531" s="514"/>
      <c r="Q531" s="514"/>
      <c r="R531" s="189"/>
      <c r="S531" s="515"/>
      <c r="T531" s="516"/>
    </row>
    <row r="532" spans="3:20" s="517" customFormat="1" ht="21.75" customHeight="1">
      <c r="C532" s="512" t="s">
        <v>6673</v>
      </c>
      <c r="D532" s="513"/>
      <c r="E532" s="710" t="s">
        <v>6748</v>
      </c>
      <c r="F532" s="513"/>
      <c r="G532" s="513"/>
      <c r="H532" s="595"/>
      <c r="I532" s="514"/>
      <c r="J532" s="514"/>
      <c r="K532" s="514"/>
      <c r="L532" s="514"/>
      <c r="M532" s="514"/>
      <c r="N532" s="514"/>
      <c r="O532" s="514"/>
      <c r="P532" s="514"/>
      <c r="Q532" s="514"/>
      <c r="R532" s="189"/>
      <c r="S532" s="515"/>
      <c r="T532" s="516"/>
    </row>
    <row r="533" spans="3:20" s="517" customFormat="1" ht="21.75" customHeight="1">
      <c r="C533" s="512" t="s">
        <v>6674</v>
      </c>
      <c r="D533" s="513"/>
      <c r="E533" s="710" t="s">
        <v>6749</v>
      </c>
      <c r="F533" s="513"/>
      <c r="G533" s="513"/>
      <c r="H533" s="595"/>
      <c r="I533" s="514"/>
      <c r="J533" s="514"/>
      <c r="K533" s="514"/>
      <c r="L533" s="514"/>
      <c r="M533" s="514"/>
      <c r="N533" s="514"/>
      <c r="O533" s="514"/>
      <c r="P533" s="514"/>
      <c r="Q533" s="514"/>
      <c r="R533" s="189"/>
      <c r="S533" s="515"/>
      <c r="T533" s="516"/>
    </row>
    <row r="534" spans="3:20" s="517" customFormat="1" ht="21.75" customHeight="1">
      <c r="C534" s="512" t="s">
        <v>6675</v>
      </c>
      <c r="D534" s="513"/>
      <c r="E534" s="710" t="s">
        <v>6844</v>
      </c>
      <c r="F534" s="513"/>
      <c r="G534" s="513"/>
      <c r="H534" s="595"/>
      <c r="I534" s="514"/>
      <c r="J534" s="514"/>
      <c r="K534" s="514"/>
      <c r="L534" s="514"/>
      <c r="M534" s="514"/>
      <c r="N534" s="514"/>
      <c r="O534" s="514"/>
      <c r="P534" s="514"/>
      <c r="Q534" s="514"/>
      <c r="R534" s="189"/>
      <c r="S534" s="515"/>
      <c r="T534" s="516"/>
    </row>
    <row r="535" spans="3:20" s="517" customFormat="1" ht="21.75" customHeight="1" thickBot="1">
      <c r="C535" s="571" t="s">
        <v>6676</v>
      </c>
      <c r="D535" s="513"/>
      <c r="E535" s="710" t="s">
        <v>6845</v>
      </c>
      <c r="F535" s="513"/>
      <c r="G535" s="513"/>
      <c r="H535" s="595"/>
      <c r="I535" s="514"/>
      <c r="J535" s="514"/>
      <c r="K535" s="514"/>
      <c r="L535" s="514"/>
      <c r="M535" s="514"/>
      <c r="N535" s="514"/>
      <c r="O535" s="514"/>
      <c r="P535" s="514"/>
      <c r="Q535" s="514"/>
      <c r="R535" s="189"/>
      <c r="S535" s="515"/>
      <c r="T535" s="516"/>
    </row>
    <row r="536" spans="3:20" s="517" customFormat="1" ht="24.75" customHeight="1" thickTop="1">
      <c r="C536" s="190" t="s">
        <v>1195</v>
      </c>
      <c r="D536" s="1922" t="s">
        <v>1196</v>
      </c>
      <c r="E536" s="1923"/>
      <c r="F536" s="1923"/>
      <c r="G536" s="1924"/>
      <c r="H536" s="191" t="s">
        <v>1906</v>
      </c>
      <c r="I536" s="596" t="s">
        <v>1198</v>
      </c>
      <c r="J536" s="600"/>
      <c r="K536" s="191" t="s">
        <v>5286</v>
      </c>
      <c r="L536" s="596" t="s">
        <v>6733</v>
      </c>
      <c r="M536" s="679"/>
      <c r="N536" s="561"/>
      <c r="O536" s="561"/>
      <c r="P536" s="561"/>
      <c r="Q536" s="561"/>
      <c r="R536" s="200"/>
      <c r="S536" s="515"/>
    </row>
    <row r="537" spans="3:20" s="517" customFormat="1" ht="25.2" customHeight="1">
      <c r="C537" s="601" t="s">
        <v>1766</v>
      </c>
      <c r="D537" s="602" t="s">
        <v>5288</v>
      </c>
      <c r="E537" s="604"/>
      <c r="F537" s="604"/>
      <c r="G537" s="604"/>
      <c r="H537" s="604"/>
      <c r="I537" s="604"/>
      <c r="J537" s="604"/>
      <c r="K537" s="604"/>
      <c r="L537" s="604"/>
      <c r="M537" s="680"/>
      <c r="N537" s="681"/>
      <c r="O537" s="681"/>
      <c r="P537" s="681"/>
      <c r="Q537" s="681"/>
      <c r="R537" s="200"/>
      <c r="S537" s="515"/>
    </row>
    <row r="538" spans="3:20" s="517" customFormat="1" ht="25.2" customHeight="1">
      <c r="C538" s="519">
        <v>1</v>
      </c>
      <c r="D538" s="682" t="s">
        <v>6683</v>
      </c>
      <c r="E538" s="607"/>
      <c r="F538" s="611"/>
      <c r="G538" s="616"/>
      <c r="H538" s="213" t="s">
        <v>6687</v>
      </c>
      <c r="I538" s="619">
        <v>7</v>
      </c>
      <c r="J538" s="613"/>
      <c r="K538" s="520" t="s">
        <v>2139</v>
      </c>
      <c r="L538" s="618"/>
      <c r="M538" s="683"/>
      <c r="N538" s="684"/>
      <c r="O538" s="684"/>
      <c r="P538" s="684"/>
      <c r="Q538" s="684"/>
      <c r="R538" s="200"/>
      <c r="S538" s="515"/>
    </row>
    <row r="539" spans="3:20" s="517" customFormat="1" ht="25.2" customHeight="1">
      <c r="C539" s="519">
        <v>2</v>
      </c>
      <c r="D539" s="682" t="s">
        <v>6684</v>
      </c>
      <c r="E539" s="607"/>
      <c r="F539" s="611"/>
      <c r="G539" s="616"/>
      <c r="H539" s="213" t="s">
        <v>6688</v>
      </c>
      <c r="I539" s="619">
        <v>1.25</v>
      </c>
      <c r="J539" s="613"/>
      <c r="K539" s="520" t="s">
        <v>5296</v>
      </c>
      <c r="L539" s="618" t="s">
        <v>6734</v>
      </c>
      <c r="M539" s="683"/>
      <c r="N539" s="684"/>
      <c r="O539" s="684"/>
      <c r="P539" s="684"/>
      <c r="Q539" s="684"/>
      <c r="R539" s="200"/>
      <c r="S539" s="515"/>
    </row>
    <row r="540" spans="3:20" s="517" customFormat="1" ht="25.2" customHeight="1">
      <c r="C540" s="519">
        <v>3</v>
      </c>
      <c r="D540" s="682" t="s">
        <v>6685</v>
      </c>
      <c r="E540" s="607"/>
      <c r="F540" s="611"/>
      <c r="G540" s="616"/>
      <c r="H540" s="213" t="s">
        <v>1767</v>
      </c>
      <c r="I540" s="619">
        <v>100</v>
      </c>
      <c r="J540" s="620"/>
      <c r="K540" s="520" t="s">
        <v>5289</v>
      </c>
      <c r="L540" s="618"/>
      <c r="M540" s="683"/>
      <c r="N540" s="684"/>
      <c r="O540" s="684"/>
      <c r="P540" s="684"/>
      <c r="Q540" s="684"/>
      <c r="R540" s="200"/>
      <c r="S540" s="515"/>
    </row>
    <row r="541" spans="3:20" s="517" customFormat="1" ht="25.2" customHeight="1">
      <c r="C541" s="519">
        <v>4</v>
      </c>
      <c r="D541" s="682" t="s">
        <v>6686</v>
      </c>
      <c r="E541" s="607"/>
      <c r="F541" s="611"/>
      <c r="G541" s="616"/>
      <c r="H541" s="213"/>
      <c r="I541" s="619"/>
      <c r="J541" s="620"/>
      <c r="K541" s="520"/>
      <c r="L541" s="618" t="s">
        <v>6772</v>
      </c>
      <c r="M541" s="683"/>
      <c r="N541" s="684"/>
      <c r="O541" s="684"/>
      <c r="P541" s="684"/>
      <c r="Q541" s="684"/>
      <c r="R541" s="200"/>
      <c r="S541" s="515"/>
    </row>
    <row r="542" spans="3:20" s="517" customFormat="1" ht="25.2" customHeight="1">
      <c r="C542" s="518" t="s">
        <v>5291</v>
      </c>
      <c r="D542" s="602" t="s">
        <v>5292</v>
      </c>
      <c r="E542" s="604"/>
      <c r="F542" s="604"/>
      <c r="G542" s="604"/>
      <c r="H542" s="604"/>
      <c r="I542" s="604"/>
      <c r="J542" s="604"/>
      <c r="K542" s="604"/>
      <c r="L542" s="604"/>
      <c r="M542" s="680"/>
      <c r="N542" s="681"/>
      <c r="O542" s="681"/>
      <c r="P542" s="681"/>
      <c r="Q542" s="681"/>
      <c r="R542" s="200"/>
      <c r="S542" s="515"/>
    </row>
    <row r="543" spans="3:20" s="517" customFormat="1" ht="25.2" customHeight="1">
      <c r="C543" s="524" t="s">
        <v>1203</v>
      </c>
      <c r="D543" s="610" t="s">
        <v>6846</v>
      </c>
      <c r="E543" s="607"/>
      <c r="F543" s="611"/>
      <c r="G543" s="616"/>
      <c r="H543" s="234"/>
      <c r="I543" s="628"/>
      <c r="J543" s="629"/>
      <c r="K543" s="525"/>
      <c r="L543" s="618"/>
      <c r="M543" s="683"/>
      <c r="N543" s="684"/>
      <c r="O543" s="684"/>
      <c r="P543" s="684"/>
      <c r="Q543" s="684"/>
      <c r="R543" s="200"/>
      <c r="S543" s="515"/>
    </row>
    <row r="544" spans="3:20" s="517" customFormat="1" ht="25.2" customHeight="1">
      <c r="C544" s="524">
        <v>2</v>
      </c>
      <c r="D544" s="610" t="s">
        <v>6847</v>
      </c>
      <c r="E544" s="607"/>
      <c r="F544" s="611"/>
      <c r="G544" s="616"/>
      <c r="H544" s="234"/>
      <c r="I544" s="628"/>
      <c r="J544" s="629"/>
      <c r="K544" s="525"/>
      <c r="L544" s="618"/>
      <c r="M544" s="683"/>
      <c r="N544" s="684"/>
      <c r="O544" s="684"/>
      <c r="P544" s="684"/>
      <c r="Q544" s="684"/>
      <c r="R544" s="200"/>
      <c r="S544" s="515"/>
    </row>
    <row r="545" spans="3:19" s="517" customFormat="1" ht="25.2" customHeight="1">
      <c r="C545" s="524">
        <v>3</v>
      </c>
      <c r="D545" s="610" t="s">
        <v>6848</v>
      </c>
      <c r="E545" s="607"/>
      <c r="F545" s="611"/>
      <c r="G545" s="616"/>
      <c r="H545" s="234"/>
      <c r="I545" s="628"/>
      <c r="J545" s="629"/>
      <c r="K545" s="525"/>
      <c r="L545" s="618"/>
      <c r="M545" s="683"/>
      <c r="N545" s="684"/>
      <c r="O545" s="684"/>
      <c r="P545" s="684"/>
      <c r="Q545" s="684"/>
      <c r="R545" s="200"/>
      <c r="S545" s="515"/>
    </row>
    <row r="546" spans="3:19" s="517" customFormat="1" ht="25.2" customHeight="1">
      <c r="C546" s="601" t="s">
        <v>1071</v>
      </c>
      <c r="D546" s="651" t="s">
        <v>6819</v>
      </c>
      <c r="E546" s="604"/>
      <c r="F546" s="604"/>
      <c r="G546" s="604"/>
      <c r="H546" s="604"/>
      <c r="I546" s="604"/>
      <c r="J546" s="604"/>
      <c r="K546" s="604"/>
      <c r="L546" s="604"/>
      <c r="M546" s="680"/>
      <c r="N546" s="681"/>
      <c r="O546" s="681"/>
      <c r="P546" s="681"/>
      <c r="Q546" s="681"/>
      <c r="R546" s="200"/>
      <c r="S546" s="515"/>
    </row>
    <row r="547" spans="3:19" s="517" customFormat="1" ht="25.2" customHeight="1">
      <c r="C547" s="601" t="s">
        <v>5265</v>
      </c>
      <c r="D547" s="644" t="s">
        <v>6849</v>
      </c>
      <c r="E547" s="603"/>
      <c r="F547" s="645" t="s">
        <v>6850</v>
      </c>
      <c r="G547" s="645"/>
      <c r="H547" s="656"/>
      <c r="I547" s="644"/>
      <c r="J547" s="657"/>
      <c r="K547" s="685"/>
      <c r="L547" s="644"/>
      <c r="M547" s="686"/>
      <c r="N547" s="687"/>
      <c r="O547" s="687"/>
      <c r="P547" s="687"/>
      <c r="Q547" s="687"/>
      <c r="R547" s="200"/>
      <c r="S547" s="515"/>
    </row>
    <row r="548" spans="3:19" s="517" customFormat="1" ht="25.2" customHeight="1">
      <c r="C548" s="543"/>
      <c r="D548" s="688" t="s">
        <v>6693</v>
      </c>
      <c r="E548" s="688"/>
      <c r="F548" s="645"/>
      <c r="G548" s="645"/>
      <c r="H548" s="213" t="s">
        <v>1769</v>
      </c>
      <c r="I548" s="610">
        <v>300</v>
      </c>
      <c r="J548" s="616"/>
      <c r="K548" s="196" t="s">
        <v>5297</v>
      </c>
      <c r="L548" s="610"/>
      <c r="M548" s="637"/>
      <c r="N548" s="689"/>
      <c r="O548" s="689"/>
      <c r="P548" s="689"/>
      <c r="Q548" s="689"/>
      <c r="R548" s="200"/>
      <c r="S548" s="515"/>
    </row>
    <row r="549" spans="3:19" s="517" customFormat="1" ht="25.2" customHeight="1">
      <c r="C549" s="674"/>
      <c r="D549" s="690" t="s">
        <v>6694</v>
      </c>
      <c r="E549" s="690"/>
      <c r="F549" s="611"/>
      <c r="G549" s="611"/>
      <c r="H549" s="213" t="s">
        <v>5295</v>
      </c>
      <c r="I549" s="610">
        <v>0.83</v>
      </c>
      <c r="J549" s="616"/>
      <c r="K549" s="196" t="s">
        <v>5296</v>
      </c>
      <c r="L549" s="610" t="s">
        <v>6735</v>
      </c>
      <c r="M549" s="637"/>
      <c r="N549" s="689"/>
      <c r="O549" s="689"/>
      <c r="P549" s="689"/>
      <c r="Q549" s="689"/>
      <c r="R549" s="200"/>
      <c r="S549" s="515"/>
    </row>
    <row r="550" spans="3:19" s="517" customFormat="1" ht="25.2" customHeight="1">
      <c r="C550" s="674"/>
      <c r="D550" s="644" t="s">
        <v>6695</v>
      </c>
      <c r="E550" s="607"/>
      <c r="F550" s="611"/>
      <c r="G550" s="611"/>
      <c r="H550" s="656" t="s">
        <v>1767</v>
      </c>
      <c r="I550" s="610">
        <v>100</v>
      </c>
      <c r="J550" s="616"/>
      <c r="K550" s="196" t="s">
        <v>6728</v>
      </c>
      <c r="L550" s="610"/>
      <c r="M550" s="637"/>
      <c r="N550" s="689"/>
      <c r="O550" s="689"/>
      <c r="P550" s="689"/>
      <c r="Q550" s="689"/>
      <c r="R550" s="200"/>
      <c r="S550" s="515"/>
    </row>
    <row r="551" spans="3:19" s="517" customFormat="1" ht="25.2" customHeight="1">
      <c r="C551" s="674"/>
      <c r="D551" s="682" t="s">
        <v>6696</v>
      </c>
      <c r="E551" s="607"/>
      <c r="F551" s="611"/>
      <c r="G551" s="611"/>
      <c r="H551" s="213" t="s">
        <v>6703</v>
      </c>
      <c r="I551" s="610">
        <v>40</v>
      </c>
      <c r="J551" s="616"/>
      <c r="K551" s="196" t="s">
        <v>6729</v>
      </c>
      <c r="L551" s="1897" t="s">
        <v>6736</v>
      </c>
      <c r="M551" s="637"/>
      <c r="N551" s="689"/>
      <c r="O551" s="689"/>
      <c r="P551" s="689"/>
      <c r="Q551" s="689"/>
      <c r="R551" s="200"/>
      <c r="S551" s="515"/>
    </row>
    <row r="552" spans="3:19" s="517" customFormat="1" ht="25.2" customHeight="1">
      <c r="C552" s="674"/>
      <c r="D552" s="682" t="s">
        <v>6697</v>
      </c>
      <c r="E552" s="607"/>
      <c r="F552" s="611"/>
      <c r="G552" s="611"/>
      <c r="H552" s="213" t="s">
        <v>6704</v>
      </c>
      <c r="I552" s="610">
        <v>60</v>
      </c>
      <c r="J552" s="616"/>
      <c r="K552" s="196" t="s">
        <v>6729</v>
      </c>
      <c r="L552" s="1898"/>
      <c r="M552" s="637"/>
      <c r="N552" s="689"/>
      <c r="O552" s="689"/>
      <c r="P552" s="689"/>
      <c r="Q552" s="689"/>
      <c r="R552" s="200"/>
      <c r="S552" s="515"/>
    </row>
    <row r="553" spans="3:19" s="517" customFormat="1" ht="25.2" customHeight="1">
      <c r="C553" s="674"/>
      <c r="D553" s="644" t="s">
        <v>5294</v>
      </c>
      <c r="E553" s="603"/>
      <c r="F553" s="645"/>
      <c r="G553" s="645"/>
      <c r="H553" s="213"/>
      <c r="I553" s="610"/>
      <c r="J553" s="616"/>
      <c r="K553" s="196"/>
      <c r="L553" s="610"/>
      <c r="M553" s="637"/>
      <c r="N553" s="689"/>
      <c r="O553" s="689"/>
      <c r="P553" s="689"/>
      <c r="Q553" s="689"/>
      <c r="R553" s="200"/>
      <c r="S553" s="515"/>
    </row>
    <row r="554" spans="3:19" s="517" customFormat="1" ht="25.2" customHeight="1">
      <c r="C554" s="674"/>
      <c r="D554" s="610" t="s">
        <v>6698</v>
      </c>
      <c r="E554" s="607" t="s">
        <v>6619</v>
      </c>
      <c r="F554" s="611" t="s">
        <v>6700</v>
      </c>
      <c r="G554" s="611"/>
      <c r="H554" s="213" t="s">
        <v>6701</v>
      </c>
      <c r="I554" s="610">
        <f>(I540/I551)*60</f>
        <v>150</v>
      </c>
      <c r="J554" s="616"/>
      <c r="K554" s="196" t="s">
        <v>5298</v>
      </c>
      <c r="L554" s="610"/>
      <c r="M554" s="637"/>
      <c r="N554" s="689"/>
      <c r="O554" s="689"/>
      <c r="P554" s="689"/>
      <c r="Q554" s="689"/>
      <c r="R554" s="200"/>
      <c r="S554" s="515"/>
    </row>
    <row r="555" spans="3:19" s="517" customFormat="1" ht="25.2" customHeight="1" thickBot="1">
      <c r="C555" s="674"/>
      <c r="D555" s="610" t="s">
        <v>6699</v>
      </c>
      <c r="E555" s="607" t="s">
        <v>6619</v>
      </c>
      <c r="F555" s="611" t="s">
        <v>6700</v>
      </c>
      <c r="G555" s="611"/>
      <c r="H555" s="691" t="s">
        <v>6702</v>
      </c>
      <c r="I555" s="610">
        <v>30</v>
      </c>
      <c r="J555" s="616"/>
      <c r="K555" s="196" t="s">
        <v>5298</v>
      </c>
      <c r="L555" s="610"/>
      <c r="M555" s="637"/>
      <c r="N555" s="689"/>
      <c r="O555" s="689"/>
      <c r="P555" s="689"/>
      <c r="Q555" s="689"/>
      <c r="R555" s="200"/>
      <c r="S555" s="515"/>
    </row>
    <row r="556" spans="3:19" s="517" customFormat="1" ht="25.2" customHeight="1">
      <c r="C556" s="674"/>
      <c r="D556" s="610"/>
      <c r="E556" s="607"/>
      <c r="F556" s="611"/>
      <c r="G556" s="611"/>
      <c r="H556" s="692" t="s">
        <v>6705</v>
      </c>
      <c r="I556" s="639">
        <f>SUM(I554:I555)</f>
        <v>180</v>
      </c>
      <c r="J556" s="633"/>
      <c r="K556" s="693" t="s">
        <v>5298</v>
      </c>
      <c r="L556" s="610"/>
      <c r="M556" s="637"/>
      <c r="N556" s="689"/>
      <c r="O556" s="689"/>
      <c r="P556" s="689"/>
      <c r="Q556" s="689"/>
      <c r="R556" s="200"/>
      <c r="S556" s="515"/>
    </row>
    <row r="557" spans="3:19" s="517" customFormat="1" ht="25.2" customHeight="1">
      <c r="C557" s="674"/>
      <c r="D557" s="610" t="s">
        <v>6706</v>
      </c>
      <c r="E557" s="607" t="s">
        <v>6619</v>
      </c>
      <c r="F557" s="655" t="s">
        <v>6767</v>
      </c>
      <c r="G557" s="611"/>
      <c r="H557" s="692" t="s">
        <v>6710</v>
      </c>
      <c r="I557" s="639">
        <f>(I548*I549*60)/I556</f>
        <v>83</v>
      </c>
      <c r="J557" s="633"/>
      <c r="K557" s="693" t="s">
        <v>6730</v>
      </c>
      <c r="L557" s="610"/>
      <c r="M557" s="637"/>
      <c r="N557" s="689"/>
      <c r="O557" s="689"/>
      <c r="P557" s="689"/>
      <c r="Q557" s="689"/>
      <c r="R557" s="200"/>
      <c r="S557" s="515"/>
    </row>
    <row r="558" spans="3:19" s="517" customFormat="1" ht="25.2" customHeight="1">
      <c r="C558" s="674"/>
      <c r="D558" s="644" t="s">
        <v>6707</v>
      </c>
      <c r="E558" s="607" t="s">
        <v>6619</v>
      </c>
      <c r="F558" s="611" t="s">
        <v>6709</v>
      </c>
      <c r="G558" s="611"/>
      <c r="H558" s="692"/>
      <c r="I558" s="718">
        <f>1/I557</f>
        <v>1.2048192771084338E-2</v>
      </c>
      <c r="J558" s="633"/>
      <c r="K558" s="693" t="s">
        <v>2139</v>
      </c>
      <c r="L558" s="610"/>
      <c r="M558" s="637"/>
      <c r="N558" s="689"/>
      <c r="O558" s="689"/>
      <c r="P558" s="689"/>
      <c r="Q558" s="689"/>
      <c r="R558" s="200"/>
      <c r="S558" s="515"/>
    </row>
    <row r="559" spans="3:19" s="517" customFormat="1" ht="25.2" customHeight="1">
      <c r="C559" s="675"/>
      <c r="D559" s="610"/>
      <c r="E559" s="607"/>
      <c r="F559" s="611"/>
      <c r="G559" s="611"/>
      <c r="H559" s="692"/>
      <c r="I559" s="639"/>
      <c r="J559" s="633"/>
      <c r="K559" s="693"/>
      <c r="L559" s="610"/>
      <c r="M559" s="637"/>
      <c r="N559" s="689"/>
      <c r="O559" s="689"/>
      <c r="P559" s="689"/>
      <c r="Q559" s="689"/>
      <c r="R559" s="200"/>
      <c r="S559" s="515"/>
    </row>
    <row r="560" spans="3:19" s="517" customFormat="1" ht="25.2" customHeight="1">
      <c r="C560" s="601" t="s">
        <v>2679</v>
      </c>
      <c r="D560" s="670" t="s">
        <v>6851</v>
      </c>
      <c r="E560" s="607"/>
      <c r="F560" s="611"/>
      <c r="G560" s="611"/>
      <c r="H560" s="213"/>
      <c r="I560" s="610"/>
      <c r="J560" s="616"/>
      <c r="K560" s="196"/>
      <c r="L560" s="713"/>
      <c r="M560" s="695"/>
      <c r="N560" s="696"/>
      <c r="O560" s="696"/>
      <c r="P560" s="696"/>
      <c r="Q560" s="689"/>
      <c r="R560" s="200"/>
      <c r="S560" s="515"/>
    </row>
    <row r="561" spans="3:20" s="517" customFormat="1" ht="25.2" customHeight="1">
      <c r="C561" s="719"/>
      <c r="D561" s="670" t="s">
        <v>6852</v>
      </c>
      <c r="E561" s="607"/>
      <c r="F561" s="611"/>
      <c r="G561" s="611"/>
      <c r="H561" s="213" t="s">
        <v>6716</v>
      </c>
      <c r="I561" s="610">
        <v>0.01</v>
      </c>
      <c r="J561" s="616"/>
      <c r="K561" s="196" t="s">
        <v>6728</v>
      </c>
      <c r="L561" s="713"/>
      <c r="M561" s="695"/>
      <c r="N561" s="696"/>
      <c r="O561" s="696"/>
      <c r="P561" s="696"/>
      <c r="Q561" s="689"/>
      <c r="R561" s="200"/>
      <c r="S561" s="515"/>
    </row>
    <row r="562" spans="3:20" s="517" customFormat="1" ht="25.2" customHeight="1">
      <c r="C562" s="674"/>
      <c r="D562" s="682" t="s">
        <v>6853</v>
      </c>
      <c r="E562" s="607"/>
      <c r="F562" s="611"/>
      <c r="G562" s="611"/>
      <c r="H562" s="213" t="s">
        <v>1769</v>
      </c>
      <c r="I562" s="697">
        <v>1</v>
      </c>
      <c r="J562" s="616"/>
      <c r="K562" s="196" t="s">
        <v>6675</v>
      </c>
      <c r="L562" s="694"/>
      <c r="M562" s="695"/>
      <c r="N562" s="696"/>
      <c r="O562" s="696"/>
      <c r="P562" s="696"/>
      <c r="Q562" s="689"/>
      <c r="R562" s="200"/>
      <c r="S562" s="515"/>
    </row>
    <row r="563" spans="3:20" s="517" customFormat="1" ht="25.2" customHeight="1">
      <c r="C563" s="674"/>
      <c r="D563" s="682" t="s">
        <v>6854</v>
      </c>
      <c r="E563" s="607"/>
      <c r="F563" s="611"/>
      <c r="G563" s="611"/>
      <c r="H563" s="213" t="s">
        <v>6717</v>
      </c>
      <c r="I563" s="610">
        <v>0.86</v>
      </c>
      <c r="J563" s="616"/>
      <c r="K563" s="196" t="s">
        <v>5296</v>
      </c>
      <c r="L563" s="694" t="s">
        <v>6856</v>
      </c>
      <c r="M563" s="695"/>
      <c r="N563" s="696"/>
      <c r="O563" s="696"/>
      <c r="P563" s="696"/>
      <c r="Q563" s="689"/>
      <c r="R563" s="200"/>
      <c r="S563" s="515"/>
    </row>
    <row r="564" spans="3:20" s="517" customFormat="1" ht="25.2" customHeight="1">
      <c r="C564" s="674"/>
      <c r="D564" s="670" t="s">
        <v>5294</v>
      </c>
      <c r="E564" s="607"/>
      <c r="F564" s="611"/>
      <c r="G564" s="611"/>
      <c r="H564" s="213"/>
      <c r="I564" s="610"/>
      <c r="J564" s="616"/>
      <c r="K564" s="196"/>
      <c r="L564" s="694"/>
      <c r="M564" s="695"/>
      <c r="N564" s="696"/>
      <c r="O564" s="696"/>
      <c r="P564" s="696"/>
      <c r="Q564" s="689"/>
      <c r="R564" s="200"/>
      <c r="S564" s="515"/>
    </row>
    <row r="565" spans="3:20" s="517" customFormat="1" ht="25.2" customHeight="1">
      <c r="C565" s="674"/>
      <c r="D565" s="682" t="s">
        <v>6718</v>
      </c>
      <c r="E565" s="607"/>
      <c r="F565" s="611"/>
      <c r="G565" s="611"/>
      <c r="H565" s="213" t="s">
        <v>6701</v>
      </c>
      <c r="I565" s="610">
        <v>0.06</v>
      </c>
      <c r="J565" s="616"/>
      <c r="K565" s="196" t="s">
        <v>6731</v>
      </c>
      <c r="L565" s="1899" t="s">
        <v>6737</v>
      </c>
      <c r="M565" s="695"/>
      <c r="N565" s="696"/>
      <c r="O565" s="696"/>
      <c r="P565" s="696"/>
      <c r="Q565" s="689"/>
      <c r="R565" s="200"/>
      <c r="S565" s="515"/>
    </row>
    <row r="566" spans="3:20" s="517" customFormat="1" ht="25.2" customHeight="1">
      <c r="C566" s="674"/>
      <c r="D566" s="682" t="s">
        <v>6752</v>
      </c>
      <c r="E566" s="607"/>
      <c r="F566" s="611"/>
      <c r="G566" s="611"/>
      <c r="H566" s="213" t="s">
        <v>6702</v>
      </c>
      <c r="I566" s="610">
        <v>0.04</v>
      </c>
      <c r="J566" s="616"/>
      <c r="K566" s="196" t="s">
        <v>6731</v>
      </c>
      <c r="L566" s="1900"/>
      <c r="M566" s="695"/>
      <c r="N566" s="696"/>
      <c r="O566" s="696"/>
      <c r="P566" s="696"/>
      <c r="Q566" s="689"/>
      <c r="R566" s="200"/>
      <c r="S566" s="515"/>
    </row>
    <row r="567" spans="3:20" s="517" customFormat="1" ht="25.2" customHeight="1">
      <c r="C567" s="674"/>
      <c r="D567" s="682"/>
      <c r="E567" s="607"/>
      <c r="F567" s="611"/>
      <c r="G567" s="611"/>
      <c r="H567" s="692" t="s">
        <v>6719</v>
      </c>
      <c r="I567" s="639">
        <f>SUM(I565:I566)</f>
        <v>0.1</v>
      </c>
      <c r="J567" s="633"/>
      <c r="K567" s="196" t="s">
        <v>6731</v>
      </c>
      <c r="L567" s="694"/>
      <c r="M567" s="695"/>
      <c r="N567" s="696"/>
      <c r="O567" s="696"/>
      <c r="P567" s="696"/>
      <c r="Q567" s="689"/>
      <c r="R567" s="200"/>
      <c r="S567" s="515"/>
    </row>
    <row r="568" spans="3:20" s="517" customFormat="1" ht="25.2" customHeight="1">
      <c r="C568" s="674"/>
      <c r="D568" s="682" t="s">
        <v>6855</v>
      </c>
      <c r="E568" s="607" t="s">
        <v>6619</v>
      </c>
      <c r="F568" s="655" t="s">
        <v>6727</v>
      </c>
      <c r="G568" s="611"/>
      <c r="H568" s="213" t="s">
        <v>6726</v>
      </c>
      <c r="I568" s="610">
        <f>(I562*I563*60)/I567</f>
        <v>516</v>
      </c>
      <c r="J568" s="616"/>
      <c r="K568" s="196" t="s">
        <v>6732</v>
      </c>
      <c r="L568" s="694"/>
      <c r="M568" s="695"/>
      <c r="N568" s="696"/>
      <c r="O568" s="696"/>
      <c r="P568" s="696"/>
      <c r="Q568" s="689"/>
      <c r="R568" s="200"/>
      <c r="S568" s="515"/>
    </row>
    <row r="569" spans="3:20" s="517" customFormat="1" ht="25.2" customHeight="1">
      <c r="C569" s="674"/>
      <c r="D569" s="670" t="s">
        <v>6804</v>
      </c>
      <c r="E569" s="607"/>
      <c r="F569" s="611"/>
      <c r="G569" s="611"/>
      <c r="H569" s="213"/>
      <c r="I569" s="610"/>
      <c r="J569" s="616"/>
      <c r="K569" s="196"/>
      <c r="L569" s="694"/>
      <c r="M569" s="695"/>
      <c r="N569" s="696"/>
      <c r="O569" s="696"/>
      <c r="P569" s="696"/>
      <c r="Q569" s="689"/>
      <c r="R569" s="200"/>
      <c r="S569" s="515"/>
    </row>
    <row r="570" spans="3:20" s="517" customFormat="1" ht="25.2" customHeight="1">
      <c r="C570" s="674"/>
      <c r="D570" s="682" t="s">
        <v>6722</v>
      </c>
      <c r="E570" s="607" t="s">
        <v>6619</v>
      </c>
      <c r="F570" s="611" t="s">
        <v>6724</v>
      </c>
      <c r="G570" s="611"/>
      <c r="H570" s="213" t="s">
        <v>1774</v>
      </c>
      <c r="I570" s="610">
        <v>3.8999999999999998E-3</v>
      </c>
      <c r="J570" s="616"/>
      <c r="K570" s="196" t="s">
        <v>1863</v>
      </c>
      <c r="L570" s="694" t="s">
        <v>6738</v>
      </c>
      <c r="M570" s="695"/>
      <c r="N570" s="696"/>
      <c r="O570" s="696"/>
      <c r="P570" s="696"/>
      <c r="Q570" s="689"/>
      <c r="R570" s="200"/>
      <c r="S570" s="515"/>
    </row>
    <row r="571" spans="3:20" s="517" customFormat="1" ht="25.2" customHeight="1">
      <c r="C571" s="675"/>
      <c r="D571" s="610" t="s">
        <v>6723</v>
      </c>
      <c r="E571" s="607" t="s">
        <v>6619</v>
      </c>
      <c r="F571" s="611" t="s">
        <v>6725</v>
      </c>
      <c r="G571" s="611"/>
      <c r="H571" s="213" t="s">
        <v>1777</v>
      </c>
      <c r="I571" s="610">
        <v>4.0000000000000002E-4</v>
      </c>
      <c r="J571" s="616"/>
      <c r="K571" s="196" t="s">
        <v>1863</v>
      </c>
      <c r="L571" s="694"/>
      <c r="M571" s="695"/>
      <c r="N571" s="696"/>
      <c r="O571" s="696"/>
      <c r="P571" s="696"/>
      <c r="Q571" s="689"/>
      <c r="R571" s="200"/>
      <c r="S571" s="515"/>
    </row>
    <row r="573" spans="3:20" s="517" customFormat="1" ht="21.75" customHeight="1">
      <c r="C573" s="571" t="s">
        <v>6857</v>
      </c>
      <c r="D573" s="513" t="s">
        <v>6858</v>
      </c>
      <c r="E573" s="710"/>
      <c r="F573" s="513"/>
      <c r="G573" s="513"/>
      <c r="H573" s="595"/>
      <c r="I573" s="514"/>
      <c r="J573" s="514"/>
      <c r="K573" s="514"/>
      <c r="L573" s="514"/>
      <c r="M573" s="514"/>
      <c r="N573" s="514"/>
      <c r="O573" s="514"/>
      <c r="P573" s="514"/>
      <c r="Q573" s="514"/>
      <c r="R573" s="189">
        <f>ROUNDDOWN(H587,-2)</f>
        <v>3600</v>
      </c>
      <c r="S573" s="515" t="s">
        <v>6760</v>
      </c>
      <c r="T573" s="516" t="s">
        <v>6778</v>
      </c>
    </row>
    <row r="574" spans="3:20" s="517" customFormat="1" ht="27" customHeight="1">
      <c r="C574" s="699" t="s">
        <v>1195</v>
      </c>
      <c r="D574" s="699" t="s">
        <v>1196</v>
      </c>
      <c r="E574" s="699" t="s">
        <v>1197</v>
      </c>
      <c r="F574" s="699" t="s">
        <v>1198</v>
      </c>
      <c r="G574" s="699" t="s">
        <v>1199</v>
      </c>
      <c r="H574" s="699" t="s">
        <v>1200</v>
      </c>
      <c r="I574" s="514"/>
      <c r="J574" s="514"/>
      <c r="K574" s="514"/>
      <c r="L574" s="514"/>
      <c r="M574" s="514"/>
      <c r="N574" s="514"/>
      <c r="O574" s="514"/>
      <c r="P574" s="514"/>
      <c r="Q574" s="514"/>
      <c r="R574" s="189"/>
      <c r="S574" s="515"/>
      <c r="T574" s="516"/>
    </row>
    <row r="575" spans="3:20" s="517" customFormat="1" ht="27" customHeight="1">
      <c r="C575" s="202" t="s">
        <v>1201</v>
      </c>
      <c r="D575" s="196" t="s">
        <v>1202</v>
      </c>
      <c r="E575" s="197"/>
      <c r="F575" s="197"/>
      <c r="G575" s="197"/>
      <c r="H575" s="197"/>
      <c r="I575" s="514"/>
      <c r="J575" s="514"/>
      <c r="K575" s="514"/>
      <c r="L575" s="514"/>
      <c r="M575" s="514"/>
      <c r="N575" s="514"/>
      <c r="O575" s="514"/>
      <c r="P575" s="514"/>
      <c r="Q575" s="514"/>
      <c r="R575" s="189"/>
      <c r="S575" s="515"/>
      <c r="T575" s="516"/>
    </row>
    <row r="576" spans="3:20" s="517" customFormat="1" ht="27" customHeight="1">
      <c r="C576" s="700">
        <v>1</v>
      </c>
      <c r="D576" s="196" t="s">
        <v>5</v>
      </c>
      <c r="E576" s="701" t="s">
        <v>1863</v>
      </c>
      <c r="F576" s="520">
        <f>I570</f>
        <v>3.8999999999999998E-3</v>
      </c>
      <c r="G576" s="205">
        <f>VLOOKUP(D576,upahbahan,3,FALSE)/8</f>
        <v>12500</v>
      </c>
      <c r="H576" s="205">
        <f t="shared" ref="H576:H577" si="42">F576*G576</f>
        <v>48.75</v>
      </c>
      <c r="I576" s="514"/>
      <c r="J576" s="514"/>
      <c r="K576" s="514"/>
      <c r="L576" s="514"/>
      <c r="M576" s="514"/>
      <c r="N576" s="514"/>
      <c r="O576" s="514"/>
      <c r="P576" s="514"/>
      <c r="Q576" s="514"/>
      <c r="R576" s="189"/>
      <c r="S576" s="515"/>
      <c r="T576" s="516"/>
    </row>
    <row r="577" spans="3:20" s="517" customFormat="1" ht="27" customHeight="1">
      <c r="C577" s="700">
        <v>2</v>
      </c>
      <c r="D577" s="196" t="s">
        <v>19</v>
      </c>
      <c r="E577" s="701" t="s">
        <v>1863</v>
      </c>
      <c r="F577" s="520">
        <f>I571</f>
        <v>4.0000000000000002E-4</v>
      </c>
      <c r="G577" s="205">
        <f>VLOOKUP(D577,upahbahan,3,FALSE)/8</f>
        <v>20000</v>
      </c>
      <c r="H577" s="205">
        <f t="shared" si="42"/>
        <v>8</v>
      </c>
      <c r="I577" s="514"/>
      <c r="J577" s="514"/>
      <c r="K577" s="514"/>
      <c r="L577" s="514"/>
      <c r="M577" s="514"/>
      <c r="N577" s="514"/>
      <c r="O577" s="514"/>
      <c r="P577" s="514"/>
      <c r="Q577" s="514"/>
      <c r="R577" s="189"/>
      <c r="S577" s="515"/>
      <c r="T577" s="516"/>
    </row>
    <row r="578" spans="3:20" s="517" customFormat="1" ht="27" customHeight="1">
      <c r="C578" s="702" t="s">
        <v>1208</v>
      </c>
      <c r="D578" s="208"/>
      <c r="E578" s="208"/>
      <c r="F578" s="521"/>
      <c r="G578" s="522"/>
      <c r="H578" s="205">
        <f>SUM(H576:H577)</f>
        <v>56.75</v>
      </c>
      <c r="I578" s="514"/>
      <c r="J578" s="514"/>
      <c r="K578" s="514"/>
      <c r="L578" s="514"/>
      <c r="M578" s="514"/>
      <c r="N578" s="514"/>
      <c r="O578" s="514"/>
      <c r="P578" s="514"/>
      <c r="Q578" s="514"/>
      <c r="R578" s="189"/>
      <c r="S578" s="515"/>
      <c r="T578" s="516"/>
    </row>
    <row r="579" spans="3:20" s="517" customFormat="1" ht="27" customHeight="1">
      <c r="C579" s="202" t="s">
        <v>1209</v>
      </c>
      <c r="D579" s="196" t="s">
        <v>1210</v>
      </c>
      <c r="E579" s="197"/>
      <c r="F579" s="197"/>
      <c r="G579" s="197"/>
      <c r="H579" s="197"/>
      <c r="I579" s="514"/>
      <c r="J579" s="514"/>
      <c r="K579" s="514"/>
      <c r="L579" s="514"/>
      <c r="M579" s="514"/>
      <c r="N579" s="514"/>
      <c r="O579" s="514"/>
      <c r="P579" s="514"/>
      <c r="Q579" s="514"/>
      <c r="R579" s="189"/>
      <c r="S579" s="515"/>
      <c r="T579" s="516"/>
    </row>
    <row r="580" spans="3:20" s="517" customFormat="1" ht="27" customHeight="1">
      <c r="C580" s="700">
        <v>1</v>
      </c>
      <c r="D580" s="703" t="s">
        <v>6859</v>
      </c>
      <c r="E580" s="704" t="s">
        <v>6742</v>
      </c>
      <c r="F580" s="705">
        <v>1</v>
      </c>
      <c r="G580" s="205">
        <f>VLOOKUP(D580,upahbahan,3,FALSE)</f>
        <v>0</v>
      </c>
      <c r="H580" s="205">
        <f t="shared" ref="H580" si="43">F580*G580</f>
        <v>0</v>
      </c>
      <c r="I580" s="514"/>
      <c r="J580" s="514"/>
      <c r="K580" s="514"/>
      <c r="L580" s="514"/>
      <c r="M580" s="514"/>
      <c r="N580" s="514"/>
      <c r="O580" s="514"/>
      <c r="P580" s="514"/>
      <c r="Q580" s="514"/>
      <c r="R580" s="189"/>
      <c r="S580" s="515"/>
      <c r="T580" s="516"/>
    </row>
    <row r="581" spans="3:20" s="517" customFormat="1" ht="27" customHeight="1">
      <c r="C581" s="702" t="s">
        <v>1214</v>
      </c>
      <c r="D581" s="208"/>
      <c r="E581" s="208"/>
      <c r="F581" s="208"/>
      <c r="G581" s="209"/>
      <c r="H581" s="205">
        <f>SUM(H580:H580)</f>
        <v>0</v>
      </c>
      <c r="I581" s="514"/>
      <c r="J581" s="514"/>
      <c r="K581" s="514"/>
      <c r="L581" s="514"/>
      <c r="M581" s="514"/>
      <c r="N581" s="514"/>
      <c r="O581" s="514"/>
      <c r="P581" s="514"/>
      <c r="Q581" s="514"/>
      <c r="R581" s="189"/>
      <c r="S581" s="515"/>
      <c r="T581" s="516"/>
    </row>
    <row r="582" spans="3:20" s="517" customFormat="1" ht="27" customHeight="1">
      <c r="C582" s="202" t="s">
        <v>1215</v>
      </c>
      <c r="D582" s="196" t="s">
        <v>1216</v>
      </c>
      <c r="E582" s="197"/>
      <c r="F582" s="197"/>
      <c r="G582" s="197"/>
      <c r="H582" s="197"/>
      <c r="I582" s="514"/>
      <c r="J582" s="514"/>
      <c r="K582" s="514"/>
      <c r="L582" s="514"/>
      <c r="M582" s="514"/>
      <c r="N582" s="514"/>
      <c r="O582" s="514"/>
      <c r="P582" s="514"/>
      <c r="Q582" s="514"/>
      <c r="R582" s="189"/>
      <c r="S582" s="515"/>
      <c r="T582" s="516"/>
    </row>
    <row r="583" spans="3:20" s="517" customFormat="1" ht="27" customHeight="1">
      <c r="C583" s="700">
        <v>1</v>
      </c>
      <c r="D583" s="703" t="s">
        <v>6849</v>
      </c>
      <c r="E583" s="704" t="s">
        <v>2139</v>
      </c>
      <c r="F583" s="520">
        <f>I558</f>
        <v>1.2048192771084338E-2</v>
      </c>
      <c r="G583" s="205">
        <f>VLOOKUP(D583,upahbahan,3,FALSE)</f>
        <v>268539.71000000002</v>
      </c>
      <c r="H583" s="205">
        <f t="shared" ref="H583" si="44">F583*G583</f>
        <v>3235.4181927710847</v>
      </c>
      <c r="I583" s="514"/>
      <c r="J583" s="514"/>
      <c r="K583" s="514"/>
      <c r="L583" s="514"/>
      <c r="M583" s="514"/>
      <c r="N583" s="514"/>
      <c r="O583" s="514"/>
      <c r="P583" s="514"/>
      <c r="Q583" s="514"/>
      <c r="R583" s="189"/>
      <c r="S583" s="515"/>
      <c r="T583" s="516"/>
    </row>
    <row r="584" spans="3:20" s="517" customFormat="1" ht="27" customHeight="1">
      <c r="C584" s="702" t="s">
        <v>1217</v>
      </c>
      <c r="D584" s="208"/>
      <c r="E584" s="208"/>
      <c r="F584" s="208"/>
      <c r="G584" s="209"/>
      <c r="H584" s="706">
        <f>SUM(H583)</f>
        <v>3235.4181927710847</v>
      </c>
      <c r="I584" s="514"/>
      <c r="J584" s="514"/>
      <c r="K584" s="514"/>
      <c r="L584" s="514"/>
      <c r="M584" s="514"/>
      <c r="N584" s="514"/>
      <c r="O584" s="514"/>
      <c r="P584" s="514"/>
      <c r="Q584" s="514"/>
      <c r="R584" s="189"/>
      <c r="S584" s="515"/>
      <c r="T584" s="516"/>
    </row>
    <row r="585" spans="3:20" s="517" customFormat="1" ht="27" customHeight="1">
      <c r="C585" s="707" t="s">
        <v>1218</v>
      </c>
      <c r="D585" s="224" t="s">
        <v>1219</v>
      </c>
      <c r="E585" s="225"/>
      <c r="F585" s="225"/>
      <c r="G585" s="226"/>
      <c r="H585" s="205">
        <f>H584+H581+H578</f>
        <v>3292.1681927710847</v>
      </c>
      <c r="I585" s="514"/>
      <c r="J585" s="514"/>
      <c r="K585" s="514"/>
      <c r="L585" s="514"/>
      <c r="M585" s="514"/>
      <c r="N585" s="514"/>
      <c r="O585" s="514"/>
      <c r="P585" s="514"/>
      <c r="Q585" s="514"/>
      <c r="R585" s="189"/>
      <c r="S585" s="515"/>
      <c r="T585" s="516"/>
    </row>
    <row r="586" spans="3:20" s="517" customFormat="1" ht="27" customHeight="1">
      <c r="C586" s="707" t="s">
        <v>1220</v>
      </c>
      <c r="D586" s="224" t="s">
        <v>1321</v>
      </c>
      <c r="E586" s="225"/>
      <c r="F586" s="226"/>
      <c r="G586" s="228">
        <v>0.1</v>
      </c>
      <c r="H586" s="205">
        <f>H585*G586</f>
        <v>329.21681927710847</v>
      </c>
      <c r="I586" s="514"/>
      <c r="J586" s="514"/>
      <c r="K586" s="514"/>
      <c r="L586" s="514"/>
      <c r="M586" s="514"/>
      <c r="N586" s="514"/>
      <c r="O586" s="514"/>
      <c r="P586" s="514"/>
      <c r="Q586" s="514"/>
      <c r="R586" s="189"/>
      <c r="S586" s="515"/>
      <c r="T586" s="516"/>
    </row>
    <row r="587" spans="3:20" s="517" customFormat="1" ht="27" customHeight="1">
      <c r="C587" s="707" t="s">
        <v>1221</v>
      </c>
      <c r="D587" s="224" t="s">
        <v>1222</v>
      </c>
      <c r="E587" s="225"/>
      <c r="F587" s="225"/>
      <c r="G587" s="226"/>
      <c r="H587" s="708">
        <f>SUM(H585:H586)</f>
        <v>3621.3850120481929</v>
      </c>
      <c r="I587" s="514"/>
      <c r="J587" s="514"/>
      <c r="K587" s="514"/>
      <c r="L587" s="514"/>
      <c r="M587" s="514"/>
      <c r="N587" s="514"/>
      <c r="O587" s="514"/>
      <c r="P587" s="514"/>
      <c r="Q587" s="514"/>
      <c r="R587" s="189"/>
      <c r="S587" s="515"/>
      <c r="T587" s="516"/>
    </row>
    <row r="588" spans="3:20" s="517" customFormat="1" ht="21.75" customHeight="1">
      <c r="C588" s="571"/>
      <c r="D588" s="513"/>
      <c r="E588" s="710"/>
      <c r="F588" s="513"/>
      <c r="G588" s="513"/>
      <c r="H588" s="595"/>
      <c r="I588" s="514"/>
      <c r="J588" s="514"/>
      <c r="K588" s="514"/>
      <c r="L588" s="514"/>
      <c r="M588" s="514"/>
      <c r="N588" s="514"/>
      <c r="O588" s="514"/>
      <c r="P588" s="514"/>
      <c r="Q588" s="514"/>
      <c r="R588" s="189"/>
      <c r="S588" s="515"/>
      <c r="T588" s="516"/>
    </row>
    <row r="589" spans="3:20" s="517" customFormat="1" ht="24" customHeight="1">
      <c r="C589" s="512" t="s">
        <v>6861</v>
      </c>
      <c r="D589" s="513" t="s">
        <v>6862</v>
      </c>
      <c r="E589" s="594"/>
      <c r="F589" s="513"/>
      <c r="G589" s="513"/>
      <c r="H589" s="595"/>
      <c r="I589" s="514"/>
      <c r="J589" s="514"/>
      <c r="K589" s="514"/>
      <c r="L589" s="514"/>
      <c r="M589" s="514"/>
      <c r="N589" s="514"/>
      <c r="O589" s="514"/>
      <c r="P589" s="514"/>
      <c r="Q589" s="514"/>
      <c r="R589" s="189"/>
      <c r="S589" s="515" t="s">
        <v>6760</v>
      </c>
      <c r="T589" s="516" t="s">
        <v>6811</v>
      </c>
    </row>
    <row r="590" spans="3:20" s="517" customFormat="1" ht="24" customHeight="1">
      <c r="C590" s="512" t="s">
        <v>6672</v>
      </c>
      <c r="D590" s="513"/>
      <c r="E590" s="710" t="s">
        <v>6843</v>
      </c>
      <c r="F590" s="513"/>
      <c r="G590" s="513"/>
      <c r="H590" s="595"/>
      <c r="I590" s="514"/>
      <c r="J590" s="514"/>
      <c r="K590" s="514"/>
      <c r="L590" s="514"/>
      <c r="M590" s="514"/>
      <c r="N590" s="514"/>
      <c r="O590" s="514"/>
      <c r="P590" s="514"/>
      <c r="Q590" s="514"/>
      <c r="R590" s="189"/>
      <c r="S590" s="515"/>
      <c r="T590" s="516"/>
    </row>
    <row r="591" spans="3:20" s="517" customFormat="1" ht="24" customHeight="1">
      <c r="C591" s="512" t="s">
        <v>6673</v>
      </c>
      <c r="D591" s="513"/>
      <c r="E591" s="710" t="s">
        <v>6748</v>
      </c>
      <c r="F591" s="513"/>
      <c r="G591" s="513"/>
      <c r="H591" s="595"/>
      <c r="I591" s="514"/>
      <c r="J591" s="514"/>
      <c r="K591" s="514"/>
      <c r="L591" s="514"/>
      <c r="M591" s="514"/>
      <c r="N591" s="514"/>
      <c r="O591" s="514"/>
      <c r="P591" s="514"/>
      <c r="Q591" s="514"/>
      <c r="R591" s="189"/>
      <c r="S591" s="515"/>
      <c r="T591" s="516"/>
    </row>
    <row r="592" spans="3:20" s="517" customFormat="1" ht="24" customHeight="1">
      <c r="C592" s="512" t="s">
        <v>6674</v>
      </c>
      <c r="D592" s="513"/>
      <c r="E592" s="710" t="s">
        <v>6749</v>
      </c>
      <c r="F592" s="513"/>
      <c r="G592" s="513"/>
      <c r="H592" s="595"/>
      <c r="I592" s="514"/>
      <c r="J592" s="514"/>
      <c r="K592" s="514"/>
      <c r="L592" s="514"/>
      <c r="M592" s="514"/>
      <c r="N592" s="514"/>
      <c r="O592" s="514"/>
      <c r="P592" s="514"/>
      <c r="Q592" s="514"/>
      <c r="R592" s="189"/>
      <c r="S592" s="515"/>
      <c r="T592" s="516"/>
    </row>
    <row r="593" spans="3:20" s="517" customFormat="1" ht="24" customHeight="1">
      <c r="C593" s="512" t="s">
        <v>6675</v>
      </c>
      <c r="D593" s="513"/>
      <c r="E593" s="710" t="s">
        <v>6863</v>
      </c>
      <c r="F593" s="513"/>
      <c r="G593" s="513"/>
      <c r="H593" s="595"/>
      <c r="I593" s="514"/>
      <c r="J593" s="514"/>
      <c r="K593" s="514"/>
      <c r="L593" s="514"/>
      <c r="M593" s="514"/>
      <c r="N593" s="514"/>
      <c r="O593" s="514"/>
      <c r="P593" s="514"/>
      <c r="Q593" s="514"/>
      <c r="R593" s="189"/>
      <c r="S593" s="515"/>
      <c r="T593" s="516"/>
    </row>
    <row r="594" spans="3:20" s="517" customFormat="1" ht="24" customHeight="1" thickBot="1">
      <c r="C594" s="571" t="s">
        <v>6676</v>
      </c>
      <c r="D594" s="513"/>
      <c r="E594" s="710" t="s">
        <v>6845</v>
      </c>
      <c r="F594" s="513"/>
      <c r="G594" s="513"/>
      <c r="H594" s="595"/>
      <c r="I594" s="514"/>
      <c r="J594" s="514"/>
      <c r="K594" s="514"/>
      <c r="L594" s="514"/>
      <c r="M594" s="514"/>
      <c r="N594" s="514"/>
      <c r="O594" s="514"/>
      <c r="P594" s="514"/>
      <c r="Q594" s="514"/>
      <c r="R594" s="189"/>
      <c r="S594" s="515"/>
      <c r="T594" s="516"/>
    </row>
    <row r="595" spans="3:20" s="517" customFormat="1" ht="24" customHeight="1" thickTop="1">
      <c r="C595" s="190" t="s">
        <v>1195</v>
      </c>
      <c r="D595" s="1922" t="s">
        <v>1196</v>
      </c>
      <c r="E595" s="1923"/>
      <c r="F595" s="1923"/>
      <c r="G595" s="1924"/>
      <c r="H595" s="191" t="s">
        <v>1906</v>
      </c>
      <c r="I595" s="596" t="s">
        <v>1198</v>
      </c>
      <c r="J595" s="600"/>
      <c r="K595" s="191" t="s">
        <v>5286</v>
      </c>
      <c r="L595" s="596" t="s">
        <v>6733</v>
      </c>
      <c r="M595" s="679"/>
      <c r="N595" s="561"/>
      <c r="O595" s="561"/>
      <c r="P595" s="561"/>
      <c r="Q595" s="561"/>
      <c r="R595" s="200"/>
      <c r="S595" s="515"/>
    </row>
    <row r="596" spans="3:20" s="517" customFormat="1" ht="24" customHeight="1">
      <c r="C596" s="601" t="s">
        <v>1766</v>
      </c>
      <c r="D596" s="602" t="s">
        <v>5288</v>
      </c>
      <c r="E596" s="604"/>
      <c r="F596" s="604"/>
      <c r="G596" s="604"/>
      <c r="H596" s="604"/>
      <c r="I596" s="604"/>
      <c r="J596" s="604"/>
      <c r="K596" s="604"/>
      <c r="L596" s="604"/>
      <c r="M596" s="680"/>
      <c r="N596" s="681"/>
      <c r="O596" s="681"/>
      <c r="P596" s="681"/>
      <c r="Q596" s="681"/>
      <c r="R596" s="200"/>
      <c r="S596" s="515"/>
    </row>
    <row r="597" spans="3:20" s="517" customFormat="1" ht="24" customHeight="1">
      <c r="C597" s="519">
        <v>1</v>
      </c>
      <c r="D597" s="682" t="s">
        <v>6683</v>
      </c>
      <c r="E597" s="607"/>
      <c r="F597" s="611"/>
      <c r="G597" s="616"/>
      <c r="H597" s="213" t="s">
        <v>6687</v>
      </c>
      <c r="I597" s="619">
        <v>7</v>
      </c>
      <c r="J597" s="613"/>
      <c r="K597" s="520" t="s">
        <v>2139</v>
      </c>
      <c r="L597" s="618"/>
      <c r="M597" s="683"/>
      <c r="N597" s="684"/>
      <c r="O597" s="684"/>
      <c r="P597" s="684"/>
      <c r="Q597" s="684"/>
      <c r="R597" s="200"/>
      <c r="S597" s="515"/>
    </row>
    <row r="598" spans="3:20" s="517" customFormat="1" ht="24" customHeight="1">
      <c r="C598" s="519">
        <v>2</v>
      </c>
      <c r="D598" s="682" t="s">
        <v>6684</v>
      </c>
      <c r="E598" s="607"/>
      <c r="F598" s="611"/>
      <c r="G598" s="616"/>
      <c r="H598" s="213" t="s">
        <v>6688</v>
      </c>
      <c r="I598" s="619">
        <v>1.25</v>
      </c>
      <c r="J598" s="613"/>
      <c r="K598" s="520" t="s">
        <v>5296</v>
      </c>
      <c r="L598" s="618" t="s">
        <v>6734</v>
      </c>
      <c r="M598" s="683"/>
      <c r="N598" s="684"/>
      <c r="O598" s="684"/>
      <c r="P598" s="684"/>
      <c r="Q598" s="684"/>
      <c r="R598" s="200"/>
      <c r="S598" s="515"/>
    </row>
    <row r="599" spans="3:20" s="517" customFormat="1" ht="24" customHeight="1">
      <c r="C599" s="519">
        <v>3</v>
      </c>
      <c r="D599" s="682" t="s">
        <v>6685</v>
      </c>
      <c r="E599" s="607"/>
      <c r="F599" s="611"/>
      <c r="G599" s="616"/>
      <c r="H599" s="213" t="s">
        <v>1767</v>
      </c>
      <c r="I599" s="619">
        <v>100</v>
      </c>
      <c r="J599" s="620"/>
      <c r="K599" s="520" t="s">
        <v>5289</v>
      </c>
      <c r="L599" s="618"/>
      <c r="M599" s="683"/>
      <c r="N599" s="684"/>
      <c r="O599" s="684"/>
      <c r="P599" s="684"/>
      <c r="Q599" s="684"/>
      <c r="R599" s="200"/>
      <c r="S599" s="515"/>
    </row>
    <row r="600" spans="3:20" s="517" customFormat="1" ht="24" customHeight="1">
      <c r="C600" s="519">
        <v>4</v>
      </c>
      <c r="D600" s="682" t="s">
        <v>6686</v>
      </c>
      <c r="E600" s="607"/>
      <c r="F600" s="611"/>
      <c r="G600" s="616"/>
      <c r="H600" s="213"/>
      <c r="I600" s="619"/>
      <c r="J600" s="620"/>
      <c r="K600" s="520"/>
      <c r="L600" s="618" t="s">
        <v>6772</v>
      </c>
      <c r="M600" s="683"/>
      <c r="N600" s="684"/>
      <c r="O600" s="684"/>
      <c r="P600" s="684"/>
      <c r="Q600" s="684"/>
      <c r="R600" s="200"/>
      <c r="S600" s="515"/>
    </row>
    <row r="601" spans="3:20" s="517" customFormat="1" ht="24" customHeight="1">
      <c r="C601" s="518" t="s">
        <v>5291</v>
      </c>
      <c r="D601" s="602" t="s">
        <v>5292</v>
      </c>
      <c r="E601" s="604"/>
      <c r="F601" s="604"/>
      <c r="G601" s="604"/>
      <c r="H601" s="604"/>
      <c r="I601" s="604"/>
      <c r="J601" s="604"/>
      <c r="K601" s="604"/>
      <c r="L601" s="604"/>
      <c r="M601" s="680"/>
      <c r="N601" s="681"/>
      <c r="O601" s="681"/>
      <c r="P601" s="681"/>
      <c r="Q601" s="681"/>
      <c r="R601" s="200"/>
      <c r="S601" s="515"/>
    </row>
    <row r="602" spans="3:20" s="517" customFormat="1" ht="24" customHeight="1">
      <c r="C602" s="524" t="s">
        <v>1203</v>
      </c>
      <c r="D602" s="610" t="s">
        <v>6846</v>
      </c>
      <c r="E602" s="607"/>
      <c r="F602" s="611"/>
      <c r="G602" s="616"/>
      <c r="H602" s="234"/>
      <c r="I602" s="628"/>
      <c r="J602" s="629"/>
      <c r="K602" s="525"/>
      <c r="L602" s="618"/>
      <c r="M602" s="683"/>
      <c r="N602" s="684"/>
      <c r="O602" s="684"/>
      <c r="P602" s="684"/>
      <c r="Q602" s="684"/>
      <c r="R602" s="200"/>
      <c r="S602" s="515"/>
    </row>
    <row r="603" spans="3:20" s="517" customFormat="1" ht="24" customHeight="1">
      <c r="C603" s="524">
        <v>2</v>
      </c>
      <c r="D603" s="610" t="s">
        <v>6847</v>
      </c>
      <c r="E603" s="607"/>
      <c r="F603" s="611"/>
      <c r="G603" s="616"/>
      <c r="H603" s="234"/>
      <c r="I603" s="628"/>
      <c r="J603" s="629"/>
      <c r="K603" s="525"/>
      <c r="L603" s="618"/>
      <c r="M603" s="683"/>
      <c r="N603" s="684"/>
      <c r="O603" s="684"/>
      <c r="P603" s="684"/>
      <c r="Q603" s="684"/>
      <c r="R603" s="200"/>
      <c r="S603" s="515"/>
    </row>
    <row r="604" spans="3:20" s="517" customFormat="1" ht="24" customHeight="1">
      <c r="C604" s="524">
        <v>3</v>
      </c>
      <c r="D604" s="610" t="s">
        <v>6848</v>
      </c>
      <c r="E604" s="607"/>
      <c r="F604" s="611"/>
      <c r="G604" s="616"/>
      <c r="H604" s="234"/>
      <c r="I604" s="628"/>
      <c r="J604" s="629"/>
      <c r="K604" s="525"/>
      <c r="L604" s="618"/>
      <c r="M604" s="683"/>
      <c r="N604" s="684"/>
      <c r="O604" s="684"/>
      <c r="P604" s="684"/>
      <c r="Q604" s="684"/>
      <c r="R604" s="200"/>
      <c r="S604" s="515"/>
    </row>
    <row r="605" spans="3:20" s="517" customFormat="1" ht="24" customHeight="1">
      <c r="C605" s="601" t="s">
        <v>1071</v>
      </c>
      <c r="D605" s="651" t="s">
        <v>6819</v>
      </c>
      <c r="E605" s="604"/>
      <c r="F605" s="604"/>
      <c r="G605" s="604"/>
      <c r="H605" s="604"/>
      <c r="I605" s="604"/>
      <c r="J605" s="604"/>
      <c r="K605" s="604"/>
      <c r="L605" s="604"/>
      <c r="M605" s="680"/>
      <c r="N605" s="681"/>
      <c r="O605" s="681"/>
      <c r="P605" s="681"/>
      <c r="Q605" s="681"/>
      <c r="R605" s="200"/>
      <c r="S605" s="515"/>
    </row>
    <row r="606" spans="3:20" s="517" customFormat="1" ht="24" customHeight="1">
      <c r="C606" s="601" t="s">
        <v>5265</v>
      </c>
      <c r="D606" s="644" t="s">
        <v>6849</v>
      </c>
      <c r="E606" s="603"/>
      <c r="F606" s="645" t="s">
        <v>6850</v>
      </c>
      <c r="G606" s="645"/>
      <c r="H606" s="656"/>
      <c r="I606" s="644"/>
      <c r="J606" s="657"/>
      <c r="K606" s="685"/>
      <c r="L606" s="644"/>
      <c r="M606" s="686"/>
      <c r="N606" s="687"/>
      <c r="O606" s="687"/>
      <c r="P606" s="687"/>
      <c r="Q606" s="687"/>
      <c r="R606" s="200"/>
      <c r="S606" s="515"/>
    </row>
    <row r="607" spans="3:20" s="517" customFormat="1" ht="24" customHeight="1">
      <c r="C607" s="543"/>
      <c r="D607" s="688" t="s">
        <v>6693</v>
      </c>
      <c r="E607" s="688"/>
      <c r="F607" s="645"/>
      <c r="G607" s="645"/>
      <c r="H607" s="213" t="s">
        <v>1769</v>
      </c>
      <c r="I607" s="610">
        <v>224</v>
      </c>
      <c r="J607" s="616"/>
      <c r="K607" s="196" t="s">
        <v>5297</v>
      </c>
      <c r="L607" s="610"/>
      <c r="M607" s="637"/>
      <c r="N607" s="689"/>
      <c r="O607" s="689"/>
      <c r="P607" s="689"/>
      <c r="Q607" s="689"/>
      <c r="R607" s="200"/>
      <c r="S607" s="515"/>
    </row>
    <row r="608" spans="3:20" s="517" customFormat="1" ht="24" customHeight="1">
      <c r="C608" s="674"/>
      <c r="D608" s="690" t="s">
        <v>6694</v>
      </c>
      <c r="E608" s="690"/>
      <c r="F608" s="611"/>
      <c r="G608" s="611"/>
      <c r="H608" s="213" t="s">
        <v>5295</v>
      </c>
      <c r="I608" s="610">
        <v>0.83</v>
      </c>
      <c r="J608" s="616"/>
      <c r="K608" s="196" t="s">
        <v>5296</v>
      </c>
      <c r="L608" s="610" t="s">
        <v>6735</v>
      </c>
      <c r="M608" s="637"/>
      <c r="N608" s="689"/>
      <c r="O608" s="689"/>
      <c r="P608" s="689"/>
      <c r="Q608" s="689"/>
      <c r="R608" s="200"/>
      <c r="S608" s="515"/>
    </row>
    <row r="609" spans="3:19" s="517" customFormat="1" ht="24" customHeight="1">
      <c r="C609" s="674"/>
      <c r="D609" s="644" t="s">
        <v>6695</v>
      </c>
      <c r="E609" s="607"/>
      <c r="F609" s="611"/>
      <c r="G609" s="611"/>
      <c r="H609" s="656" t="s">
        <v>1767</v>
      </c>
      <c r="I609" s="610">
        <v>100</v>
      </c>
      <c r="J609" s="616"/>
      <c r="K609" s="196" t="s">
        <v>6728</v>
      </c>
      <c r="L609" s="610"/>
      <c r="M609" s="637"/>
      <c r="N609" s="689"/>
      <c r="O609" s="689"/>
      <c r="P609" s="689"/>
      <c r="Q609" s="689"/>
      <c r="R609" s="200"/>
      <c r="S609" s="515"/>
    </row>
    <row r="610" spans="3:19" s="517" customFormat="1" ht="24" customHeight="1">
      <c r="C610" s="674"/>
      <c r="D610" s="682" t="s">
        <v>6696</v>
      </c>
      <c r="E610" s="607"/>
      <c r="F610" s="611"/>
      <c r="G610" s="611"/>
      <c r="H610" s="213" t="s">
        <v>6703</v>
      </c>
      <c r="I610" s="610">
        <v>40</v>
      </c>
      <c r="J610" s="616"/>
      <c r="K610" s="196" t="s">
        <v>6729</v>
      </c>
      <c r="L610" s="1897" t="s">
        <v>6736</v>
      </c>
      <c r="M610" s="637"/>
      <c r="N610" s="689"/>
      <c r="O610" s="689"/>
      <c r="P610" s="689"/>
      <c r="Q610" s="689"/>
      <c r="R610" s="200"/>
      <c r="S610" s="515"/>
    </row>
    <row r="611" spans="3:19" s="517" customFormat="1" ht="24" customHeight="1">
      <c r="C611" s="674"/>
      <c r="D611" s="682" t="s">
        <v>6697</v>
      </c>
      <c r="E611" s="607"/>
      <c r="F611" s="611"/>
      <c r="G611" s="611"/>
      <c r="H611" s="213" t="s">
        <v>6704</v>
      </c>
      <c r="I611" s="610">
        <v>60</v>
      </c>
      <c r="J611" s="616"/>
      <c r="K611" s="196" t="s">
        <v>6729</v>
      </c>
      <c r="L611" s="1898"/>
      <c r="M611" s="637"/>
      <c r="N611" s="689"/>
      <c r="O611" s="689"/>
      <c r="P611" s="689"/>
      <c r="Q611" s="689"/>
      <c r="R611" s="200"/>
      <c r="S611" s="515"/>
    </row>
    <row r="612" spans="3:19" s="517" customFormat="1" ht="24" customHeight="1">
      <c r="C612" s="674"/>
      <c r="D612" s="644" t="s">
        <v>5294</v>
      </c>
      <c r="E612" s="603"/>
      <c r="F612" s="645"/>
      <c r="G612" s="645"/>
      <c r="H612" s="213"/>
      <c r="I612" s="610"/>
      <c r="J612" s="616"/>
      <c r="K612" s="196"/>
      <c r="L612" s="610"/>
      <c r="M612" s="637"/>
      <c r="N612" s="689"/>
      <c r="O612" s="689"/>
      <c r="P612" s="689"/>
      <c r="Q612" s="689"/>
      <c r="R612" s="200"/>
      <c r="S612" s="515"/>
    </row>
    <row r="613" spans="3:19" s="517" customFormat="1" ht="24" customHeight="1">
      <c r="C613" s="674"/>
      <c r="D613" s="610" t="s">
        <v>6698</v>
      </c>
      <c r="E613" s="607" t="s">
        <v>6619</v>
      </c>
      <c r="F613" s="611" t="s">
        <v>6700</v>
      </c>
      <c r="G613" s="611"/>
      <c r="H613" s="213" t="s">
        <v>6701</v>
      </c>
      <c r="I613" s="610">
        <f>(I599/I610)*60</f>
        <v>150</v>
      </c>
      <c r="J613" s="616"/>
      <c r="K613" s="196" t="s">
        <v>5298</v>
      </c>
      <c r="L613" s="610"/>
      <c r="M613" s="637"/>
      <c r="N613" s="689"/>
      <c r="O613" s="689"/>
      <c r="P613" s="689"/>
      <c r="Q613" s="689"/>
      <c r="R613" s="200"/>
      <c r="S613" s="515"/>
    </row>
    <row r="614" spans="3:19" s="517" customFormat="1" ht="24" customHeight="1" thickBot="1">
      <c r="C614" s="674"/>
      <c r="D614" s="610" t="s">
        <v>6699</v>
      </c>
      <c r="E614" s="607" t="s">
        <v>6619</v>
      </c>
      <c r="F614" s="611" t="s">
        <v>6700</v>
      </c>
      <c r="G614" s="611"/>
      <c r="H614" s="691" t="s">
        <v>6702</v>
      </c>
      <c r="I614" s="610">
        <v>31.36</v>
      </c>
      <c r="J614" s="616"/>
      <c r="K614" s="196" t="s">
        <v>5298</v>
      </c>
      <c r="L614" s="610"/>
      <c r="M614" s="637"/>
      <c r="N614" s="689"/>
      <c r="O614" s="689"/>
      <c r="P614" s="689"/>
      <c r="Q614" s="689"/>
      <c r="R614" s="200"/>
      <c r="S614" s="515"/>
    </row>
    <row r="615" spans="3:19" s="517" customFormat="1" ht="24" customHeight="1">
      <c r="C615" s="674"/>
      <c r="D615" s="610"/>
      <c r="E615" s="607"/>
      <c r="F615" s="611"/>
      <c r="G615" s="611"/>
      <c r="H615" s="692" t="s">
        <v>6705</v>
      </c>
      <c r="I615" s="639">
        <f>SUM(I613:I614)</f>
        <v>181.36</v>
      </c>
      <c r="J615" s="633"/>
      <c r="K615" s="693" t="s">
        <v>5298</v>
      </c>
      <c r="L615" s="610"/>
      <c r="M615" s="637"/>
      <c r="N615" s="689"/>
      <c r="O615" s="689"/>
      <c r="P615" s="689"/>
      <c r="Q615" s="689"/>
      <c r="R615" s="200"/>
      <c r="S615" s="515"/>
    </row>
    <row r="616" spans="3:19" s="517" customFormat="1" ht="24" customHeight="1">
      <c r="C616" s="674"/>
      <c r="D616" s="610" t="s">
        <v>6706</v>
      </c>
      <c r="E616" s="607" t="s">
        <v>6619</v>
      </c>
      <c r="F616" s="655" t="s">
        <v>6767</v>
      </c>
      <c r="G616" s="611"/>
      <c r="H616" s="692" t="s">
        <v>6710</v>
      </c>
      <c r="I616" s="639">
        <f>(I607*I608*60)/I615</f>
        <v>61.508601676224075</v>
      </c>
      <c r="J616" s="633"/>
      <c r="K616" s="693" t="s">
        <v>6730</v>
      </c>
      <c r="L616" s="610"/>
      <c r="M616" s="637"/>
      <c r="N616" s="689"/>
      <c r="O616" s="689"/>
      <c r="P616" s="689"/>
      <c r="Q616" s="689"/>
      <c r="R616" s="200"/>
      <c r="S616" s="515"/>
    </row>
    <row r="617" spans="3:19" s="517" customFormat="1" ht="24" customHeight="1">
      <c r="C617" s="674"/>
      <c r="D617" s="644" t="s">
        <v>6707</v>
      </c>
      <c r="E617" s="607" t="s">
        <v>6619</v>
      </c>
      <c r="F617" s="611" t="s">
        <v>6709</v>
      </c>
      <c r="G617" s="611"/>
      <c r="H617" s="692"/>
      <c r="I617" s="718">
        <f>1/I616</f>
        <v>1.6257888697647736E-2</v>
      </c>
      <c r="J617" s="633"/>
      <c r="K617" s="693" t="s">
        <v>2139</v>
      </c>
      <c r="L617" s="610"/>
      <c r="M617" s="637"/>
      <c r="N617" s="689"/>
      <c r="O617" s="689"/>
      <c r="P617" s="689"/>
      <c r="Q617" s="689"/>
      <c r="R617" s="200"/>
      <c r="S617" s="515"/>
    </row>
    <row r="618" spans="3:19" s="517" customFormat="1" ht="24" customHeight="1">
      <c r="C618" s="675"/>
      <c r="D618" s="610"/>
      <c r="E618" s="607"/>
      <c r="F618" s="611"/>
      <c r="G618" s="611"/>
      <c r="H618" s="692"/>
      <c r="I618" s="639"/>
      <c r="J618" s="633"/>
      <c r="K618" s="693"/>
      <c r="L618" s="610"/>
      <c r="M618" s="637"/>
      <c r="N618" s="689"/>
      <c r="O618" s="689"/>
      <c r="P618" s="689"/>
      <c r="Q618" s="689"/>
      <c r="R618" s="200"/>
      <c r="S618" s="515"/>
    </row>
    <row r="619" spans="3:19" s="517" customFormat="1" ht="24" customHeight="1">
      <c r="C619" s="601" t="s">
        <v>2679</v>
      </c>
      <c r="D619" s="670" t="s">
        <v>6864</v>
      </c>
      <c r="E619" s="607"/>
      <c r="F619" s="611"/>
      <c r="G619" s="611"/>
      <c r="H619" s="213"/>
      <c r="I619" s="610"/>
      <c r="J619" s="616"/>
      <c r="K619" s="196"/>
      <c r="L619" s="713"/>
      <c r="M619" s="695"/>
      <c r="N619" s="696"/>
      <c r="O619" s="696"/>
      <c r="P619" s="696"/>
      <c r="Q619" s="689"/>
      <c r="R619" s="200"/>
      <c r="S619" s="515"/>
    </row>
    <row r="620" spans="3:19" s="517" customFormat="1" ht="24" customHeight="1">
      <c r="C620" s="719"/>
      <c r="D620" s="670" t="s">
        <v>6852</v>
      </c>
      <c r="E620" s="607"/>
      <c r="F620" s="611"/>
      <c r="G620" s="611"/>
      <c r="H620" s="213" t="s">
        <v>6716</v>
      </c>
      <c r="I620" s="610">
        <v>0.01</v>
      </c>
      <c r="J620" s="616"/>
      <c r="K620" s="196" t="s">
        <v>6728</v>
      </c>
      <c r="L620" s="713"/>
      <c r="M620" s="695"/>
      <c r="N620" s="696"/>
      <c r="O620" s="696"/>
      <c r="P620" s="696"/>
      <c r="Q620" s="689"/>
      <c r="R620" s="200"/>
      <c r="S620" s="515"/>
    </row>
    <row r="621" spans="3:19" s="517" customFormat="1" ht="24" customHeight="1">
      <c r="C621" s="674"/>
      <c r="D621" s="682" t="s">
        <v>6853</v>
      </c>
      <c r="E621" s="607"/>
      <c r="F621" s="611"/>
      <c r="G621" s="611"/>
      <c r="H621" s="213" t="s">
        <v>1769</v>
      </c>
      <c r="I621" s="697">
        <v>1</v>
      </c>
      <c r="J621" s="616"/>
      <c r="K621" s="196" t="s">
        <v>6675</v>
      </c>
      <c r="L621" s="694"/>
      <c r="M621" s="695"/>
      <c r="N621" s="696"/>
      <c r="O621" s="696"/>
      <c r="P621" s="696"/>
      <c r="Q621" s="689"/>
      <c r="R621" s="200"/>
      <c r="S621" s="515"/>
    </row>
    <row r="622" spans="3:19" s="517" customFormat="1" ht="24" customHeight="1">
      <c r="C622" s="674"/>
      <c r="D622" s="682" t="s">
        <v>6854</v>
      </c>
      <c r="E622" s="607"/>
      <c r="F622" s="611"/>
      <c r="G622" s="611"/>
      <c r="H622" s="213" t="s">
        <v>6717</v>
      </c>
      <c r="I622" s="610">
        <v>0.86</v>
      </c>
      <c r="J622" s="616"/>
      <c r="K622" s="196" t="s">
        <v>5296</v>
      </c>
      <c r="L622" s="694" t="s">
        <v>6856</v>
      </c>
      <c r="M622" s="695"/>
      <c r="N622" s="696"/>
      <c r="O622" s="696"/>
      <c r="P622" s="696"/>
      <c r="Q622" s="689"/>
      <c r="R622" s="200"/>
      <c r="S622" s="515"/>
    </row>
    <row r="623" spans="3:19" s="517" customFormat="1" ht="24" customHeight="1">
      <c r="C623" s="674"/>
      <c r="D623" s="670" t="s">
        <v>5294</v>
      </c>
      <c r="E623" s="607"/>
      <c r="F623" s="611"/>
      <c r="G623" s="611"/>
      <c r="H623" s="213"/>
      <c r="I623" s="610"/>
      <c r="J623" s="616"/>
      <c r="K623" s="196"/>
      <c r="L623" s="694"/>
      <c r="M623" s="695"/>
      <c r="N623" s="696"/>
      <c r="O623" s="696"/>
      <c r="P623" s="696"/>
      <c r="Q623" s="689"/>
      <c r="R623" s="200"/>
      <c r="S623" s="515"/>
    </row>
    <row r="624" spans="3:19" s="517" customFormat="1" ht="24" customHeight="1">
      <c r="C624" s="674"/>
      <c r="D624" s="682" t="s">
        <v>6718</v>
      </c>
      <c r="E624" s="607"/>
      <c r="F624" s="611"/>
      <c r="G624" s="611"/>
      <c r="H624" s="213" t="s">
        <v>6701</v>
      </c>
      <c r="I624" s="610">
        <v>8.5000000000000006E-2</v>
      </c>
      <c r="J624" s="616"/>
      <c r="K624" s="196" t="s">
        <v>6731</v>
      </c>
      <c r="L624" s="1899" t="s">
        <v>6737</v>
      </c>
      <c r="M624" s="695"/>
      <c r="N624" s="696"/>
      <c r="O624" s="696"/>
      <c r="P624" s="696"/>
      <c r="Q624" s="689"/>
      <c r="R624" s="200"/>
      <c r="S624" s="515"/>
    </row>
    <row r="625" spans="3:20" s="517" customFormat="1" ht="24" customHeight="1">
      <c r="C625" s="674"/>
      <c r="D625" s="682" t="s">
        <v>6752</v>
      </c>
      <c r="E625" s="607"/>
      <c r="F625" s="611"/>
      <c r="G625" s="611"/>
      <c r="H625" s="213" t="s">
        <v>6702</v>
      </c>
      <c r="I625" s="610">
        <v>5.5E-2</v>
      </c>
      <c r="J625" s="616"/>
      <c r="K625" s="196" t="s">
        <v>6731</v>
      </c>
      <c r="L625" s="1900"/>
      <c r="M625" s="695"/>
      <c r="N625" s="696"/>
      <c r="O625" s="696"/>
      <c r="P625" s="696"/>
      <c r="Q625" s="689"/>
      <c r="R625" s="200"/>
      <c r="S625" s="515"/>
    </row>
    <row r="626" spans="3:20" s="517" customFormat="1" ht="24" customHeight="1">
      <c r="C626" s="674"/>
      <c r="D626" s="682"/>
      <c r="E626" s="607"/>
      <c r="F626" s="611"/>
      <c r="G626" s="611"/>
      <c r="H626" s="692" t="s">
        <v>6719</v>
      </c>
      <c r="I626" s="639">
        <f>SUM(I624:I625)</f>
        <v>0.14000000000000001</v>
      </c>
      <c r="J626" s="633"/>
      <c r="K626" s="196" t="s">
        <v>6731</v>
      </c>
      <c r="L626" s="694"/>
      <c r="M626" s="695"/>
      <c r="N626" s="696"/>
      <c r="O626" s="696"/>
      <c r="P626" s="696"/>
      <c r="Q626" s="689"/>
      <c r="R626" s="200"/>
      <c r="S626" s="515"/>
    </row>
    <row r="627" spans="3:20" s="517" customFormat="1" ht="24" customHeight="1">
      <c r="C627" s="674"/>
      <c r="D627" s="682" t="s">
        <v>6855</v>
      </c>
      <c r="E627" s="607" t="s">
        <v>6619</v>
      </c>
      <c r="F627" s="655" t="s">
        <v>6727</v>
      </c>
      <c r="G627" s="611"/>
      <c r="H627" s="213" t="s">
        <v>6726</v>
      </c>
      <c r="I627" s="610">
        <f>(I621*I622*60)/I626</f>
        <v>368.57142857142856</v>
      </c>
      <c r="J627" s="616"/>
      <c r="K627" s="196" t="s">
        <v>6732</v>
      </c>
      <c r="L627" s="694"/>
      <c r="M627" s="695"/>
      <c r="N627" s="696"/>
      <c r="O627" s="696"/>
      <c r="P627" s="696"/>
      <c r="Q627" s="689"/>
      <c r="R627" s="200"/>
      <c r="S627" s="515"/>
    </row>
    <row r="628" spans="3:20" s="517" customFormat="1" ht="24" customHeight="1">
      <c r="C628" s="674"/>
      <c r="D628" s="670" t="s">
        <v>6804</v>
      </c>
      <c r="E628" s="607"/>
      <c r="F628" s="611"/>
      <c r="G628" s="611"/>
      <c r="H628" s="213"/>
      <c r="I628" s="610"/>
      <c r="J628" s="616"/>
      <c r="K628" s="196"/>
      <c r="L628" s="694"/>
      <c r="M628" s="695"/>
      <c r="N628" s="696"/>
      <c r="O628" s="696"/>
      <c r="P628" s="696"/>
      <c r="Q628" s="689"/>
      <c r="R628" s="200"/>
      <c r="S628" s="515"/>
    </row>
    <row r="629" spans="3:20" s="517" customFormat="1" ht="24" customHeight="1">
      <c r="C629" s="674"/>
      <c r="D629" s="682" t="s">
        <v>6722</v>
      </c>
      <c r="E629" s="607" t="s">
        <v>6619</v>
      </c>
      <c r="F629" s="611" t="s">
        <v>6724</v>
      </c>
      <c r="G629" s="611"/>
      <c r="H629" s="213" t="s">
        <v>1774</v>
      </c>
      <c r="I629" s="610">
        <v>5.4000000000000003E-3</v>
      </c>
      <c r="J629" s="616"/>
      <c r="K629" s="196" t="s">
        <v>1863</v>
      </c>
      <c r="L629" s="694" t="s">
        <v>6738</v>
      </c>
      <c r="M629" s="695"/>
      <c r="N629" s="696"/>
      <c r="O629" s="696"/>
      <c r="P629" s="696"/>
      <c r="Q629" s="689"/>
      <c r="R629" s="200"/>
      <c r="S629" s="515"/>
    </row>
    <row r="630" spans="3:20" s="517" customFormat="1" ht="24" customHeight="1">
      <c r="C630" s="675"/>
      <c r="D630" s="610" t="s">
        <v>6723</v>
      </c>
      <c r="E630" s="607" t="s">
        <v>6619</v>
      </c>
      <c r="F630" s="611" t="s">
        <v>6725</v>
      </c>
      <c r="G630" s="611"/>
      <c r="H630" s="213" t="s">
        <v>1777</v>
      </c>
      <c r="I630" s="610">
        <v>5.0000000000000001E-4</v>
      </c>
      <c r="J630" s="616"/>
      <c r="K630" s="196" t="s">
        <v>1863</v>
      </c>
      <c r="L630" s="694"/>
      <c r="M630" s="695"/>
      <c r="N630" s="696"/>
      <c r="O630" s="696"/>
      <c r="P630" s="696"/>
      <c r="Q630" s="689"/>
      <c r="R630" s="200"/>
      <c r="S630" s="515"/>
    </row>
    <row r="631" spans="3:20" s="517" customFormat="1" ht="24" customHeight="1">
      <c r="C631" s="571"/>
      <c r="D631" s="513"/>
      <c r="E631" s="710"/>
      <c r="F631" s="513"/>
      <c r="G631" s="513"/>
      <c r="H631" s="595"/>
      <c r="I631" s="514"/>
      <c r="J631" s="514"/>
      <c r="K631" s="514"/>
      <c r="L631" s="514"/>
      <c r="M631" s="514"/>
      <c r="N631" s="514"/>
      <c r="O631" s="514"/>
      <c r="P631" s="514"/>
      <c r="Q631" s="514"/>
      <c r="R631" s="189"/>
      <c r="S631" s="515"/>
      <c r="T631" s="516"/>
    </row>
    <row r="632" spans="3:20" s="517" customFormat="1" ht="24" customHeight="1">
      <c r="C632" s="571" t="s">
        <v>6865</v>
      </c>
      <c r="D632" s="513" t="s">
        <v>6866</v>
      </c>
      <c r="E632" s="710"/>
      <c r="F632" s="513"/>
      <c r="G632" s="513"/>
      <c r="H632" s="595"/>
      <c r="I632" s="514"/>
      <c r="J632" s="514"/>
      <c r="K632" s="514"/>
      <c r="L632" s="514"/>
      <c r="M632" s="514"/>
      <c r="N632" s="514"/>
      <c r="O632" s="514"/>
      <c r="P632" s="514"/>
      <c r="Q632" s="514"/>
      <c r="R632" s="189">
        <f>ROUNDDOWN(H646,-2)</f>
        <v>4800</v>
      </c>
      <c r="S632" s="515" t="s">
        <v>6760</v>
      </c>
      <c r="T632" s="516" t="s">
        <v>6778</v>
      </c>
    </row>
    <row r="633" spans="3:20" s="517" customFormat="1" ht="24" customHeight="1">
      <c r="C633" s="699" t="s">
        <v>1195</v>
      </c>
      <c r="D633" s="699" t="s">
        <v>1196</v>
      </c>
      <c r="E633" s="699" t="s">
        <v>1197</v>
      </c>
      <c r="F633" s="699" t="s">
        <v>1198</v>
      </c>
      <c r="G633" s="699" t="s">
        <v>1199</v>
      </c>
      <c r="H633" s="699" t="s">
        <v>1200</v>
      </c>
      <c r="I633" s="514"/>
      <c r="J633" s="514"/>
      <c r="K633" s="514"/>
      <c r="L633" s="514"/>
      <c r="M633" s="514"/>
      <c r="N633" s="514"/>
      <c r="O633" s="514"/>
      <c r="P633" s="514"/>
      <c r="Q633" s="514"/>
      <c r="R633" s="189"/>
      <c r="S633" s="515"/>
      <c r="T633" s="516"/>
    </row>
    <row r="634" spans="3:20" s="517" customFormat="1" ht="24" customHeight="1">
      <c r="C634" s="202" t="s">
        <v>1201</v>
      </c>
      <c r="D634" s="196" t="s">
        <v>1202</v>
      </c>
      <c r="E634" s="197"/>
      <c r="F634" s="197"/>
      <c r="G634" s="197"/>
      <c r="H634" s="197"/>
      <c r="I634" s="514"/>
      <c r="J634" s="514"/>
      <c r="K634" s="514"/>
      <c r="L634" s="514"/>
      <c r="M634" s="514"/>
      <c r="N634" s="514"/>
      <c r="O634" s="514"/>
      <c r="P634" s="514"/>
      <c r="Q634" s="514"/>
      <c r="R634" s="189"/>
      <c r="S634" s="515"/>
      <c r="T634" s="516"/>
    </row>
    <row r="635" spans="3:20" s="517" customFormat="1" ht="24" customHeight="1">
      <c r="C635" s="700">
        <v>1</v>
      </c>
      <c r="D635" s="196" t="s">
        <v>5</v>
      </c>
      <c r="E635" s="701" t="s">
        <v>1863</v>
      </c>
      <c r="F635" s="520">
        <f>I629</f>
        <v>5.4000000000000003E-3</v>
      </c>
      <c r="G635" s="205">
        <f>VLOOKUP(D635,upahbahan,3,FALSE)/8</f>
        <v>12500</v>
      </c>
      <c r="H635" s="205">
        <f t="shared" ref="H635:H636" si="45">F635*G635</f>
        <v>67.5</v>
      </c>
      <c r="I635" s="514"/>
      <c r="J635" s="514"/>
      <c r="K635" s="514"/>
      <c r="L635" s="514"/>
      <c r="M635" s="514"/>
      <c r="N635" s="514"/>
      <c r="O635" s="514"/>
      <c r="P635" s="514"/>
      <c r="Q635" s="514"/>
      <c r="R635" s="189"/>
      <c r="S635" s="515"/>
      <c r="T635" s="516"/>
    </row>
    <row r="636" spans="3:20" s="517" customFormat="1" ht="24" customHeight="1">
      <c r="C636" s="700">
        <v>2</v>
      </c>
      <c r="D636" s="196" t="s">
        <v>19</v>
      </c>
      <c r="E636" s="701" t="s">
        <v>1863</v>
      </c>
      <c r="F636" s="520">
        <f>I630</f>
        <v>5.0000000000000001E-4</v>
      </c>
      <c r="G636" s="205">
        <f>VLOOKUP(D636,upahbahan,3,FALSE)/8</f>
        <v>20000</v>
      </c>
      <c r="H636" s="205">
        <f t="shared" si="45"/>
        <v>10</v>
      </c>
      <c r="I636" s="514"/>
      <c r="J636" s="514"/>
      <c r="K636" s="514"/>
      <c r="L636" s="514"/>
      <c r="M636" s="514"/>
      <c r="N636" s="514"/>
      <c r="O636" s="514"/>
      <c r="P636" s="514"/>
      <c r="Q636" s="514"/>
      <c r="R636" s="189"/>
      <c r="S636" s="515"/>
      <c r="T636" s="516"/>
    </row>
    <row r="637" spans="3:20" s="517" customFormat="1" ht="24" customHeight="1">
      <c r="C637" s="702" t="s">
        <v>1208</v>
      </c>
      <c r="D637" s="208"/>
      <c r="E637" s="208"/>
      <c r="F637" s="521"/>
      <c r="G637" s="522"/>
      <c r="H637" s="205">
        <f>SUM(H635:H636)</f>
        <v>77.5</v>
      </c>
      <c r="I637" s="514"/>
      <c r="J637" s="514"/>
      <c r="K637" s="514"/>
      <c r="L637" s="514"/>
      <c r="M637" s="514"/>
      <c r="N637" s="514"/>
      <c r="O637" s="514"/>
      <c r="P637" s="514"/>
      <c r="Q637" s="514"/>
      <c r="R637" s="189"/>
      <c r="S637" s="515"/>
      <c r="T637" s="516"/>
    </row>
    <row r="638" spans="3:20" s="517" customFormat="1" ht="24" customHeight="1">
      <c r="C638" s="202" t="s">
        <v>1209</v>
      </c>
      <c r="D638" s="196" t="s">
        <v>1210</v>
      </c>
      <c r="E638" s="197"/>
      <c r="F638" s="197"/>
      <c r="G638" s="197"/>
      <c r="H638" s="197"/>
      <c r="I638" s="514"/>
      <c r="J638" s="514"/>
      <c r="K638" s="514"/>
      <c r="L638" s="514"/>
      <c r="M638" s="514"/>
      <c r="N638" s="514"/>
      <c r="O638" s="514"/>
      <c r="P638" s="514"/>
      <c r="Q638" s="514"/>
      <c r="R638" s="189"/>
      <c r="S638" s="515"/>
      <c r="T638" s="516"/>
    </row>
    <row r="639" spans="3:20" s="517" customFormat="1" ht="24" customHeight="1">
      <c r="C639" s="700">
        <v>1</v>
      </c>
      <c r="D639" s="703" t="s">
        <v>6867</v>
      </c>
      <c r="E639" s="704" t="s">
        <v>6742</v>
      </c>
      <c r="F639" s="705">
        <v>1</v>
      </c>
      <c r="G639" s="205">
        <f>VLOOKUP(D639,upahbahan,3,FALSE)</f>
        <v>0</v>
      </c>
      <c r="H639" s="205">
        <f t="shared" ref="H639" si="46">F639*G639</f>
        <v>0</v>
      </c>
      <c r="I639" s="514"/>
      <c r="J639" s="514"/>
      <c r="K639" s="514"/>
      <c r="L639" s="514"/>
      <c r="M639" s="514"/>
      <c r="N639" s="514"/>
      <c r="O639" s="514"/>
      <c r="P639" s="514"/>
      <c r="Q639" s="514"/>
      <c r="R639" s="189"/>
      <c r="S639" s="515"/>
      <c r="T639" s="516"/>
    </row>
    <row r="640" spans="3:20" s="517" customFormat="1" ht="24" customHeight="1">
      <c r="C640" s="702" t="s">
        <v>1214</v>
      </c>
      <c r="D640" s="208"/>
      <c r="E640" s="208"/>
      <c r="F640" s="208"/>
      <c r="G640" s="209"/>
      <c r="H640" s="205">
        <f>SUM(H639:H639)</f>
        <v>0</v>
      </c>
      <c r="I640" s="514"/>
      <c r="J640" s="514"/>
      <c r="K640" s="514"/>
      <c r="L640" s="514"/>
      <c r="M640" s="514"/>
      <c r="N640" s="514"/>
      <c r="O640" s="514"/>
      <c r="P640" s="514"/>
      <c r="Q640" s="514"/>
      <c r="R640" s="189"/>
      <c r="S640" s="515"/>
      <c r="T640" s="516"/>
    </row>
    <row r="641" spans="3:20" s="517" customFormat="1" ht="24" customHeight="1">
      <c r="C641" s="202" t="s">
        <v>1215</v>
      </c>
      <c r="D641" s="196" t="s">
        <v>1216</v>
      </c>
      <c r="E641" s="197"/>
      <c r="F641" s="197"/>
      <c r="G641" s="197"/>
      <c r="H641" s="197"/>
      <c r="I641" s="514"/>
      <c r="J641" s="514"/>
      <c r="K641" s="514"/>
      <c r="L641" s="514"/>
      <c r="M641" s="514"/>
      <c r="N641" s="514"/>
      <c r="O641" s="514"/>
      <c r="P641" s="514"/>
      <c r="Q641" s="514"/>
      <c r="R641" s="189"/>
      <c r="S641" s="515"/>
      <c r="T641" s="516"/>
    </row>
    <row r="642" spans="3:20" s="517" customFormat="1" ht="24" customHeight="1">
      <c r="C642" s="700">
        <v>1</v>
      </c>
      <c r="D642" s="703" t="s">
        <v>6849</v>
      </c>
      <c r="E642" s="704" t="s">
        <v>2139</v>
      </c>
      <c r="F642" s="520">
        <f>I617</f>
        <v>1.6257888697647736E-2</v>
      </c>
      <c r="G642" s="205">
        <f>VLOOKUP(D642,upahbahan,3,FALSE)</f>
        <v>268539.71000000002</v>
      </c>
      <c r="H642" s="205">
        <f t="shared" ref="H642" si="47">F642*G642</f>
        <v>4365.8887160786007</v>
      </c>
      <c r="I642" s="514"/>
      <c r="J642" s="514"/>
      <c r="K642" s="514"/>
      <c r="L642" s="514"/>
      <c r="M642" s="514"/>
      <c r="N642" s="514"/>
      <c r="O642" s="514"/>
      <c r="P642" s="514"/>
      <c r="Q642" s="514"/>
      <c r="R642" s="189"/>
      <c r="S642" s="515"/>
      <c r="T642" s="516"/>
    </row>
    <row r="643" spans="3:20" s="517" customFormat="1" ht="24" customHeight="1">
      <c r="C643" s="702" t="s">
        <v>1217</v>
      </c>
      <c r="D643" s="208"/>
      <c r="E643" s="208"/>
      <c r="F643" s="208"/>
      <c r="G643" s="209"/>
      <c r="H643" s="706">
        <f>SUM(H642)</f>
        <v>4365.8887160786007</v>
      </c>
      <c r="I643" s="514"/>
      <c r="J643" s="514"/>
      <c r="K643" s="514"/>
      <c r="L643" s="514"/>
      <c r="M643" s="514"/>
      <c r="N643" s="514"/>
      <c r="O643" s="514"/>
      <c r="P643" s="514"/>
      <c r="Q643" s="514"/>
      <c r="R643" s="189"/>
      <c r="S643" s="515"/>
      <c r="T643" s="516"/>
    </row>
    <row r="644" spans="3:20" s="517" customFormat="1" ht="24" customHeight="1">
      <c r="C644" s="707" t="s">
        <v>1218</v>
      </c>
      <c r="D644" s="224" t="s">
        <v>1219</v>
      </c>
      <c r="E644" s="225"/>
      <c r="F644" s="225"/>
      <c r="G644" s="226"/>
      <c r="H644" s="205">
        <f>H643+H640+H637</f>
        <v>4443.3887160786007</v>
      </c>
      <c r="I644" s="514"/>
      <c r="J644" s="514"/>
      <c r="K644" s="514"/>
      <c r="L644" s="514"/>
      <c r="M644" s="514"/>
      <c r="N644" s="514"/>
      <c r="O644" s="514"/>
      <c r="P644" s="514"/>
      <c r="Q644" s="514"/>
      <c r="R644" s="189"/>
      <c r="S644" s="515"/>
      <c r="T644" s="516"/>
    </row>
    <row r="645" spans="3:20" s="517" customFormat="1" ht="24" customHeight="1">
      <c r="C645" s="707" t="s">
        <v>1220</v>
      </c>
      <c r="D645" s="224" t="s">
        <v>1321</v>
      </c>
      <c r="E645" s="225"/>
      <c r="F645" s="226"/>
      <c r="G645" s="228">
        <v>0.1</v>
      </c>
      <c r="H645" s="205">
        <f>H644*G645</f>
        <v>444.33887160786009</v>
      </c>
      <c r="I645" s="514"/>
      <c r="J645" s="514"/>
      <c r="K645" s="514"/>
      <c r="L645" s="514"/>
      <c r="M645" s="514"/>
      <c r="N645" s="514"/>
      <c r="O645" s="514"/>
      <c r="P645" s="514"/>
      <c r="Q645" s="514"/>
      <c r="R645" s="189"/>
      <c r="S645" s="515"/>
      <c r="T645" s="516"/>
    </row>
    <row r="646" spans="3:20" s="517" customFormat="1" ht="24" customHeight="1">
      <c r="C646" s="707" t="s">
        <v>1221</v>
      </c>
      <c r="D646" s="224" t="s">
        <v>1222</v>
      </c>
      <c r="E646" s="225"/>
      <c r="F646" s="225"/>
      <c r="G646" s="226"/>
      <c r="H646" s="708">
        <f>SUM(H644:H645)</f>
        <v>4887.7275876864605</v>
      </c>
      <c r="I646" s="514"/>
      <c r="J646" s="514"/>
      <c r="K646" s="514"/>
      <c r="L646" s="514"/>
      <c r="M646" s="514"/>
      <c r="N646" s="514"/>
      <c r="O646" s="514"/>
      <c r="P646" s="514"/>
      <c r="Q646" s="514"/>
      <c r="R646" s="189"/>
      <c r="S646" s="515"/>
      <c r="T646" s="516"/>
    </row>
    <row r="647" spans="3:20" s="517" customFormat="1" ht="24" customHeight="1">
      <c r="C647" s="571"/>
      <c r="D647" s="513"/>
      <c r="E647" s="710"/>
      <c r="F647" s="513"/>
      <c r="G647" s="513"/>
      <c r="H647" s="595"/>
      <c r="I647" s="514"/>
      <c r="J647" s="514"/>
      <c r="K647" s="514"/>
      <c r="L647" s="514"/>
      <c r="M647" s="514"/>
      <c r="N647" s="514"/>
      <c r="O647" s="514"/>
      <c r="P647" s="514"/>
      <c r="Q647" s="514"/>
      <c r="R647" s="189"/>
      <c r="S647" s="515"/>
      <c r="T647" s="516"/>
    </row>
    <row r="648" spans="3:20" s="517" customFormat="1" ht="24" customHeight="1">
      <c r="C648" s="512" t="s">
        <v>6868</v>
      </c>
      <c r="D648" s="513" t="s">
        <v>6869</v>
      </c>
      <c r="E648" s="594"/>
      <c r="F648" s="513"/>
      <c r="G648" s="513"/>
      <c r="H648" s="595"/>
      <c r="I648" s="514"/>
      <c r="J648" s="514"/>
      <c r="K648" s="514"/>
      <c r="L648" s="514"/>
      <c r="M648" s="514"/>
      <c r="N648" s="514"/>
      <c r="O648" s="514"/>
      <c r="P648" s="514"/>
      <c r="Q648" s="514"/>
      <c r="R648" s="189"/>
      <c r="S648" s="515" t="s">
        <v>6760</v>
      </c>
      <c r="T648" s="516" t="s">
        <v>6811</v>
      </c>
    </row>
    <row r="649" spans="3:20" s="517" customFormat="1" ht="24" customHeight="1">
      <c r="C649" s="512" t="s">
        <v>6672</v>
      </c>
      <c r="D649" s="513"/>
      <c r="E649" s="710" t="s">
        <v>6843</v>
      </c>
      <c r="F649" s="513"/>
      <c r="G649" s="513"/>
      <c r="H649" s="595"/>
      <c r="I649" s="514"/>
      <c r="J649" s="514"/>
      <c r="K649" s="514"/>
      <c r="L649" s="514"/>
      <c r="M649" s="514"/>
      <c r="N649" s="514"/>
      <c r="O649" s="514"/>
      <c r="P649" s="514"/>
      <c r="Q649" s="514"/>
      <c r="R649" s="189"/>
      <c r="S649" s="515"/>
      <c r="T649" s="516"/>
    </row>
    <row r="650" spans="3:20" s="517" customFormat="1" ht="24" customHeight="1">
      <c r="C650" s="512" t="s">
        <v>6673</v>
      </c>
      <c r="D650" s="513"/>
      <c r="E650" s="710" t="s">
        <v>6748</v>
      </c>
      <c r="F650" s="513"/>
      <c r="G650" s="513"/>
      <c r="H650" s="595"/>
      <c r="I650" s="514"/>
      <c r="J650" s="514"/>
      <c r="K650" s="514"/>
      <c r="L650" s="514"/>
      <c r="M650" s="514"/>
      <c r="N650" s="514"/>
      <c r="O650" s="514"/>
      <c r="P650" s="514"/>
      <c r="Q650" s="514"/>
      <c r="R650" s="189"/>
      <c r="S650" s="515"/>
      <c r="T650" s="516"/>
    </row>
    <row r="651" spans="3:20" s="517" customFormat="1" ht="24" customHeight="1">
      <c r="C651" s="512" t="s">
        <v>6674</v>
      </c>
      <c r="D651" s="513"/>
      <c r="E651" s="710" t="s">
        <v>6749</v>
      </c>
      <c r="F651" s="513"/>
      <c r="G651" s="513"/>
      <c r="H651" s="595"/>
      <c r="I651" s="514"/>
      <c r="J651" s="514"/>
      <c r="K651" s="514"/>
      <c r="L651" s="514"/>
      <c r="M651" s="514"/>
      <c r="N651" s="514"/>
      <c r="O651" s="514"/>
      <c r="P651" s="514"/>
      <c r="Q651" s="514"/>
      <c r="R651" s="189"/>
      <c r="S651" s="515"/>
      <c r="T651" s="516"/>
    </row>
    <row r="652" spans="3:20" s="517" customFormat="1" ht="24" customHeight="1">
      <c r="C652" s="512" t="s">
        <v>6675</v>
      </c>
      <c r="D652" s="513"/>
      <c r="E652" s="710" t="s">
        <v>6870</v>
      </c>
      <c r="F652" s="513"/>
      <c r="G652" s="513"/>
      <c r="H652" s="595"/>
      <c r="I652" s="514"/>
      <c r="J652" s="514"/>
      <c r="K652" s="514"/>
      <c r="L652" s="514"/>
      <c r="M652" s="514"/>
      <c r="N652" s="514"/>
      <c r="O652" s="514"/>
      <c r="P652" s="514"/>
      <c r="Q652" s="514"/>
      <c r="R652" s="189"/>
      <c r="S652" s="515"/>
      <c r="T652" s="516"/>
    </row>
    <row r="653" spans="3:20" s="517" customFormat="1" ht="24" customHeight="1" thickBot="1">
      <c r="C653" s="571" t="s">
        <v>6676</v>
      </c>
      <c r="D653" s="513"/>
      <c r="E653" s="710" t="s">
        <v>6845</v>
      </c>
      <c r="F653" s="513"/>
      <c r="G653" s="513"/>
      <c r="H653" s="595"/>
      <c r="I653" s="514"/>
      <c r="J653" s="514"/>
      <c r="K653" s="514"/>
      <c r="L653" s="514"/>
      <c r="M653" s="514"/>
      <c r="N653" s="514"/>
      <c r="O653" s="514"/>
      <c r="P653" s="514"/>
      <c r="Q653" s="514"/>
      <c r="R653" s="189"/>
      <c r="S653" s="515"/>
      <c r="T653" s="516"/>
    </row>
    <row r="654" spans="3:20" s="517" customFormat="1" ht="24" customHeight="1" thickTop="1">
      <c r="C654" s="190" t="s">
        <v>1195</v>
      </c>
      <c r="D654" s="1922" t="s">
        <v>1196</v>
      </c>
      <c r="E654" s="1923"/>
      <c r="F654" s="1923"/>
      <c r="G654" s="1924"/>
      <c r="H654" s="191" t="s">
        <v>1906</v>
      </c>
      <c r="I654" s="596" t="s">
        <v>1198</v>
      </c>
      <c r="J654" s="600"/>
      <c r="K654" s="191" t="s">
        <v>5286</v>
      </c>
      <c r="L654" s="596" t="s">
        <v>6733</v>
      </c>
      <c r="M654" s="679"/>
      <c r="N654" s="561"/>
      <c r="O654" s="561"/>
      <c r="P654" s="561"/>
      <c r="Q654" s="561"/>
      <c r="R654" s="200"/>
      <c r="S654" s="515"/>
    </row>
    <row r="655" spans="3:20" s="517" customFormat="1" ht="24" customHeight="1">
      <c r="C655" s="601" t="s">
        <v>1766</v>
      </c>
      <c r="D655" s="602" t="s">
        <v>5288</v>
      </c>
      <c r="E655" s="604"/>
      <c r="F655" s="604"/>
      <c r="G655" s="604"/>
      <c r="H655" s="604"/>
      <c r="I655" s="604"/>
      <c r="J655" s="604"/>
      <c r="K655" s="604"/>
      <c r="L655" s="604"/>
      <c r="M655" s="680"/>
      <c r="N655" s="681"/>
      <c r="O655" s="681"/>
      <c r="P655" s="681"/>
      <c r="Q655" s="681"/>
      <c r="R655" s="200"/>
      <c r="S655" s="515"/>
    </row>
    <row r="656" spans="3:20" s="517" customFormat="1" ht="24" customHeight="1">
      <c r="C656" s="519">
        <v>1</v>
      </c>
      <c r="D656" s="682" t="s">
        <v>6683</v>
      </c>
      <c r="E656" s="607"/>
      <c r="F656" s="611"/>
      <c r="G656" s="616"/>
      <c r="H656" s="213" t="s">
        <v>6687</v>
      </c>
      <c r="I656" s="619">
        <v>7</v>
      </c>
      <c r="J656" s="613"/>
      <c r="K656" s="520" t="s">
        <v>2139</v>
      </c>
      <c r="L656" s="618"/>
      <c r="M656" s="683"/>
      <c r="N656" s="684"/>
      <c r="O656" s="684"/>
      <c r="P656" s="684"/>
      <c r="Q656" s="684"/>
      <c r="R656" s="200"/>
      <c r="S656" s="515"/>
    </row>
    <row r="657" spans="3:19" s="517" customFormat="1" ht="24" customHeight="1">
      <c r="C657" s="519">
        <v>2</v>
      </c>
      <c r="D657" s="682" t="s">
        <v>6684</v>
      </c>
      <c r="E657" s="607"/>
      <c r="F657" s="611"/>
      <c r="G657" s="616"/>
      <c r="H657" s="213" t="s">
        <v>6688</v>
      </c>
      <c r="I657" s="619">
        <v>1.25</v>
      </c>
      <c r="J657" s="613"/>
      <c r="K657" s="520" t="s">
        <v>5296</v>
      </c>
      <c r="L657" s="618" t="s">
        <v>6734</v>
      </c>
      <c r="M657" s="683"/>
      <c r="N657" s="684"/>
      <c r="O657" s="684"/>
      <c r="P657" s="684"/>
      <c r="Q657" s="684"/>
      <c r="R657" s="200"/>
      <c r="S657" s="515"/>
    </row>
    <row r="658" spans="3:19" s="517" customFormat="1" ht="24" customHeight="1">
      <c r="C658" s="519">
        <v>3</v>
      </c>
      <c r="D658" s="682" t="s">
        <v>6685</v>
      </c>
      <c r="E658" s="607"/>
      <c r="F658" s="611"/>
      <c r="G658" s="616"/>
      <c r="H658" s="213" t="s">
        <v>1767</v>
      </c>
      <c r="I658" s="619">
        <v>100</v>
      </c>
      <c r="J658" s="620"/>
      <c r="K658" s="520" t="s">
        <v>5289</v>
      </c>
      <c r="L658" s="618"/>
      <c r="M658" s="683"/>
      <c r="N658" s="684"/>
      <c r="O658" s="684"/>
      <c r="P658" s="684"/>
      <c r="Q658" s="684"/>
      <c r="R658" s="200"/>
      <c r="S658" s="515"/>
    </row>
    <row r="659" spans="3:19" s="517" customFormat="1" ht="24" customHeight="1">
      <c r="C659" s="519">
        <v>4</v>
      </c>
      <c r="D659" s="682" t="s">
        <v>6686</v>
      </c>
      <c r="E659" s="607"/>
      <c r="F659" s="611"/>
      <c r="G659" s="616"/>
      <c r="H659" s="213"/>
      <c r="I659" s="619"/>
      <c r="J659" s="620"/>
      <c r="K659" s="520"/>
      <c r="L659" s="618" t="s">
        <v>6772</v>
      </c>
      <c r="M659" s="683"/>
      <c r="N659" s="684"/>
      <c r="O659" s="684"/>
      <c r="P659" s="684"/>
      <c r="Q659" s="684"/>
      <c r="R659" s="200"/>
      <c r="S659" s="515"/>
    </row>
    <row r="660" spans="3:19" s="517" customFormat="1" ht="24" customHeight="1">
      <c r="C660" s="518" t="s">
        <v>5291</v>
      </c>
      <c r="D660" s="602" t="s">
        <v>5292</v>
      </c>
      <c r="E660" s="604"/>
      <c r="F660" s="604"/>
      <c r="G660" s="604"/>
      <c r="H660" s="604"/>
      <c r="I660" s="604"/>
      <c r="J660" s="604"/>
      <c r="K660" s="604"/>
      <c r="L660" s="604"/>
      <c r="M660" s="680"/>
      <c r="N660" s="681"/>
      <c r="O660" s="681"/>
      <c r="P660" s="681"/>
      <c r="Q660" s="681"/>
      <c r="R660" s="200"/>
      <c r="S660" s="515"/>
    </row>
    <row r="661" spans="3:19" s="517" customFormat="1" ht="24" customHeight="1">
      <c r="C661" s="524" t="s">
        <v>1203</v>
      </c>
      <c r="D661" s="610" t="s">
        <v>6846</v>
      </c>
      <c r="E661" s="607"/>
      <c r="F661" s="611"/>
      <c r="G661" s="616"/>
      <c r="H661" s="234"/>
      <c r="I661" s="628"/>
      <c r="J661" s="629"/>
      <c r="K661" s="525"/>
      <c r="L661" s="618"/>
      <c r="M661" s="683"/>
      <c r="N661" s="684"/>
      <c r="O661" s="684"/>
      <c r="P661" s="684"/>
      <c r="Q661" s="684"/>
      <c r="R661" s="200"/>
      <c r="S661" s="515"/>
    </row>
    <row r="662" spans="3:19" s="517" customFormat="1" ht="24" customHeight="1">
      <c r="C662" s="524">
        <v>2</v>
      </c>
      <c r="D662" s="610" t="s">
        <v>6847</v>
      </c>
      <c r="E662" s="607"/>
      <c r="F662" s="611"/>
      <c r="G662" s="616"/>
      <c r="H662" s="234"/>
      <c r="I662" s="628"/>
      <c r="J662" s="629"/>
      <c r="K662" s="525"/>
      <c r="L662" s="618"/>
      <c r="M662" s="683"/>
      <c r="N662" s="684"/>
      <c r="O662" s="684"/>
      <c r="P662" s="684"/>
      <c r="Q662" s="684"/>
      <c r="R662" s="200"/>
      <c r="S662" s="515"/>
    </row>
    <row r="663" spans="3:19" s="517" customFormat="1" ht="24" customHeight="1">
      <c r="C663" s="524">
        <v>3</v>
      </c>
      <c r="D663" s="610" t="s">
        <v>6848</v>
      </c>
      <c r="E663" s="607"/>
      <c r="F663" s="611"/>
      <c r="G663" s="616"/>
      <c r="H663" s="234"/>
      <c r="I663" s="628"/>
      <c r="J663" s="629"/>
      <c r="K663" s="525"/>
      <c r="L663" s="618"/>
      <c r="M663" s="683"/>
      <c r="N663" s="684"/>
      <c r="O663" s="684"/>
      <c r="P663" s="684"/>
      <c r="Q663" s="684"/>
      <c r="R663" s="200"/>
      <c r="S663" s="515"/>
    </row>
    <row r="664" spans="3:19" s="517" customFormat="1" ht="24" customHeight="1">
      <c r="C664" s="601" t="s">
        <v>1071</v>
      </c>
      <c r="D664" s="651" t="s">
        <v>6819</v>
      </c>
      <c r="E664" s="604"/>
      <c r="F664" s="604"/>
      <c r="G664" s="604"/>
      <c r="H664" s="604"/>
      <c r="I664" s="604"/>
      <c r="J664" s="604"/>
      <c r="K664" s="604"/>
      <c r="L664" s="604"/>
      <c r="M664" s="680"/>
      <c r="N664" s="681"/>
      <c r="O664" s="681"/>
      <c r="P664" s="681"/>
      <c r="Q664" s="681"/>
      <c r="R664" s="200"/>
      <c r="S664" s="515"/>
    </row>
    <row r="665" spans="3:19" s="517" customFormat="1" ht="24" customHeight="1">
      <c r="C665" s="601" t="s">
        <v>5265</v>
      </c>
      <c r="D665" s="644" t="s">
        <v>6849</v>
      </c>
      <c r="E665" s="603"/>
      <c r="F665" s="645" t="s">
        <v>6850</v>
      </c>
      <c r="G665" s="645"/>
      <c r="H665" s="656"/>
      <c r="I665" s="644"/>
      <c r="J665" s="657"/>
      <c r="K665" s="685"/>
      <c r="L665" s="644"/>
      <c r="M665" s="686"/>
      <c r="N665" s="687"/>
      <c r="O665" s="687"/>
      <c r="P665" s="687"/>
      <c r="Q665" s="687"/>
      <c r="R665" s="200"/>
      <c r="S665" s="515"/>
    </row>
    <row r="666" spans="3:19" s="517" customFormat="1" ht="24" customHeight="1">
      <c r="C666" s="543"/>
      <c r="D666" s="688" t="s">
        <v>6693</v>
      </c>
      <c r="E666" s="688"/>
      <c r="F666" s="645"/>
      <c r="G666" s="645"/>
      <c r="H666" s="213" t="s">
        <v>1769</v>
      </c>
      <c r="I666" s="610">
        <v>80</v>
      </c>
      <c r="J666" s="616"/>
      <c r="K666" s="196" t="s">
        <v>5297</v>
      </c>
      <c r="L666" s="610"/>
      <c r="M666" s="637"/>
      <c r="N666" s="689"/>
      <c r="O666" s="689"/>
      <c r="P666" s="689"/>
      <c r="Q666" s="689"/>
      <c r="R666" s="200"/>
      <c r="S666" s="515"/>
    </row>
    <row r="667" spans="3:19" s="517" customFormat="1" ht="24" customHeight="1">
      <c r="C667" s="674"/>
      <c r="D667" s="690" t="s">
        <v>6694</v>
      </c>
      <c r="E667" s="690"/>
      <c r="F667" s="611"/>
      <c r="G667" s="611"/>
      <c r="H667" s="213" t="s">
        <v>5295</v>
      </c>
      <c r="I667" s="610">
        <v>0.83</v>
      </c>
      <c r="J667" s="616"/>
      <c r="K667" s="196" t="s">
        <v>5296</v>
      </c>
      <c r="L667" s="610" t="s">
        <v>6735</v>
      </c>
      <c r="M667" s="637"/>
      <c r="N667" s="689"/>
      <c r="O667" s="689"/>
      <c r="P667" s="689"/>
      <c r="Q667" s="689"/>
      <c r="R667" s="200"/>
      <c r="S667" s="515"/>
    </row>
    <row r="668" spans="3:19" s="517" customFormat="1" ht="24" customHeight="1">
      <c r="C668" s="674"/>
      <c r="D668" s="644" t="s">
        <v>6695</v>
      </c>
      <c r="E668" s="607"/>
      <c r="F668" s="611"/>
      <c r="G668" s="611"/>
      <c r="H668" s="656" t="s">
        <v>1767</v>
      </c>
      <c r="I668" s="610">
        <v>100</v>
      </c>
      <c r="J668" s="616"/>
      <c r="K668" s="196" t="s">
        <v>6728</v>
      </c>
      <c r="L668" s="610"/>
      <c r="M668" s="637"/>
      <c r="N668" s="689"/>
      <c r="O668" s="689"/>
      <c r="P668" s="689"/>
      <c r="Q668" s="689"/>
      <c r="R668" s="200"/>
      <c r="S668" s="515"/>
    </row>
    <row r="669" spans="3:19" s="517" customFormat="1" ht="24" customHeight="1">
      <c r="C669" s="674"/>
      <c r="D669" s="682" t="s">
        <v>6696</v>
      </c>
      <c r="E669" s="607"/>
      <c r="F669" s="611"/>
      <c r="G669" s="611"/>
      <c r="H669" s="213" t="s">
        <v>6703</v>
      </c>
      <c r="I669" s="610">
        <v>40</v>
      </c>
      <c r="J669" s="616"/>
      <c r="K669" s="196" t="s">
        <v>6729</v>
      </c>
      <c r="L669" s="1897" t="s">
        <v>6736</v>
      </c>
      <c r="M669" s="637"/>
      <c r="N669" s="689"/>
      <c r="O669" s="689"/>
      <c r="P669" s="689"/>
      <c r="Q669" s="689"/>
      <c r="R669" s="200"/>
      <c r="S669" s="515"/>
    </row>
    <row r="670" spans="3:19" s="517" customFormat="1" ht="24" customHeight="1">
      <c r="C670" s="674"/>
      <c r="D670" s="682" t="s">
        <v>6697</v>
      </c>
      <c r="E670" s="607"/>
      <c r="F670" s="611"/>
      <c r="G670" s="611"/>
      <c r="H670" s="213" t="s">
        <v>6704</v>
      </c>
      <c r="I670" s="610">
        <v>60</v>
      </c>
      <c r="J670" s="616"/>
      <c r="K670" s="196" t="s">
        <v>6729</v>
      </c>
      <c r="L670" s="1898"/>
      <c r="M670" s="637"/>
      <c r="N670" s="689"/>
      <c r="O670" s="689"/>
      <c r="P670" s="689"/>
      <c r="Q670" s="689"/>
      <c r="R670" s="200"/>
      <c r="S670" s="515"/>
    </row>
    <row r="671" spans="3:19" s="517" customFormat="1" ht="24" customHeight="1">
      <c r="C671" s="674"/>
      <c r="D671" s="644" t="s">
        <v>5294</v>
      </c>
      <c r="E671" s="603"/>
      <c r="F671" s="645"/>
      <c r="G671" s="645"/>
      <c r="H671" s="213"/>
      <c r="I671" s="610"/>
      <c r="J671" s="616"/>
      <c r="K671" s="196"/>
      <c r="L671" s="610"/>
      <c r="M671" s="637"/>
      <c r="N671" s="689"/>
      <c r="O671" s="689"/>
      <c r="P671" s="689"/>
      <c r="Q671" s="689"/>
      <c r="R671" s="200"/>
      <c r="S671" s="515"/>
    </row>
    <row r="672" spans="3:19" s="517" customFormat="1" ht="24" customHeight="1">
      <c r="C672" s="674"/>
      <c r="D672" s="610" t="s">
        <v>6698</v>
      </c>
      <c r="E672" s="607" t="s">
        <v>6619</v>
      </c>
      <c r="F672" s="611" t="s">
        <v>6700</v>
      </c>
      <c r="G672" s="611"/>
      <c r="H672" s="213" t="s">
        <v>6701</v>
      </c>
      <c r="I672" s="610">
        <f>(I658/I669)*60</f>
        <v>150</v>
      </c>
      <c r="J672" s="616"/>
      <c r="K672" s="196" t="s">
        <v>5298</v>
      </c>
      <c r="L672" s="610"/>
      <c r="M672" s="637"/>
      <c r="N672" s="689"/>
      <c r="O672" s="689"/>
      <c r="P672" s="689"/>
      <c r="Q672" s="689"/>
      <c r="R672" s="200"/>
      <c r="S672" s="515"/>
    </row>
    <row r="673" spans="3:19" s="517" customFormat="1" ht="24" customHeight="1" thickBot="1">
      <c r="C673" s="674"/>
      <c r="D673" s="610" t="s">
        <v>6699</v>
      </c>
      <c r="E673" s="607" t="s">
        <v>6619</v>
      </c>
      <c r="F673" s="611" t="s">
        <v>6700</v>
      </c>
      <c r="G673" s="611"/>
      <c r="H673" s="691" t="s">
        <v>6702</v>
      </c>
      <c r="I673" s="610">
        <v>35.29</v>
      </c>
      <c r="J673" s="616"/>
      <c r="K673" s="196" t="s">
        <v>5298</v>
      </c>
      <c r="L673" s="610"/>
      <c r="M673" s="637"/>
      <c r="N673" s="689"/>
      <c r="O673" s="689"/>
      <c r="P673" s="689"/>
      <c r="Q673" s="689"/>
      <c r="R673" s="200"/>
      <c r="S673" s="515"/>
    </row>
    <row r="674" spans="3:19" s="517" customFormat="1" ht="24" customHeight="1">
      <c r="C674" s="674"/>
      <c r="D674" s="610"/>
      <c r="E674" s="607"/>
      <c r="F674" s="611"/>
      <c r="G674" s="611"/>
      <c r="H674" s="692" t="s">
        <v>6705</v>
      </c>
      <c r="I674" s="639">
        <f>SUM(I672:I673)</f>
        <v>185.29</v>
      </c>
      <c r="J674" s="633"/>
      <c r="K674" s="693" t="s">
        <v>5298</v>
      </c>
      <c r="L674" s="610"/>
      <c r="M674" s="637"/>
      <c r="N674" s="689"/>
      <c r="O674" s="689"/>
      <c r="P674" s="689"/>
      <c r="Q674" s="689"/>
      <c r="R674" s="200"/>
      <c r="S674" s="515"/>
    </row>
    <row r="675" spans="3:19" s="517" customFormat="1" ht="24" customHeight="1">
      <c r="C675" s="674"/>
      <c r="D675" s="610" t="s">
        <v>6706</v>
      </c>
      <c r="E675" s="607" t="s">
        <v>6619</v>
      </c>
      <c r="F675" s="655" t="s">
        <v>6767</v>
      </c>
      <c r="G675" s="611"/>
      <c r="H675" s="692" t="s">
        <v>6710</v>
      </c>
      <c r="I675" s="639">
        <f>(I666*I667*60)/I674</f>
        <v>21.501430190512167</v>
      </c>
      <c r="J675" s="633"/>
      <c r="K675" s="693" t="s">
        <v>6730</v>
      </c>
      <c r="L675" s="610"/>
      <c r="M675" s="637"/>
      <c r="N675" s="689"/>
      <c r="O675" s="689"/>
      <c r="P675" s="689"/>
      <c r="Q675" s="689"/>
      <c r="R675" s="200"/>
      <c r="S675" s="515"/>
    </row>
    <row r="676" spans="3:19" s="517" customFormat="1" ht="24" customHeight="1">
      <c r="C676" s="674"/>
      <c r="D676" s="644" t="s">
        <v>6707</v>
      </c>
      <c r="E676" s="607" t="s">
        <v>6619</v>
      </c>
      <c r="F676" s="611" t="s">
        <v>6709</v>
      </c>
      <c r="G676" s="611"/>
      <c r="H676" s="692"/>
      <c r="I676" s="718">
        <f>1/I675</f>
        <v>4.6508534136546188E-2</v>
      </c>
      <c r="J676" s="633"/>
      <c r="K676" s="693" t="s">
        <v>2139</v>
      </c>
      <c r="L676" s="610"/>
      <c r="M676" s="637"/>
      <c r="N676" s="689"/>
      <c r="O676" s="689"/>
      <c r="P676" s="689"/>
      <c r="Q676" s="689"/>
      <c r="R676" s="200"/>
      <c r="S676" s="515"/>
    </row>
    <row r="677" spans="3:19" s="517" customFormat="1" ht="24" customHeight="1">
      <c r="C677" s="675"/>
      <c r="D677" s="610"/>
      <c r="E677" s="607"/>
      <c r="F677" s="611"/>
      <c r="G677" s="611"/>
      <c r="H677" s="692"/>
      <c r="I677" s="639"/>
      <c r="J677" s="633"/>
      <c r="K677" s="693"/>
      <c r="L677" s="610"/>
      <c r="M677" s="637"/>
      <c r="N677" s="689"/>
      <c r="O677" s="689"/>
      <c r="P677" s="689"/>
      <c r="Q677" s="689"/>
      <c r="R677" s="200"/>
      <c r="S677" s="515"/>
    </row>
    <row r="678" spans="3:19" s="517" customFormat="1" ht="24" customHeight="1">
      <c r="C678" s="601" t="s">
        <v>2679</v>
      </c>
      <c r="D678" s="670" t="s">
        <v>6871</v>
      </c>
      <c r="E678" s="607"/>
      <c r="F678" s="611"/>
      <c r="G678" s="611"/>
      <c r="H678" s="213"/>
      <c r="I678" s="610"/>
      <c r="J678" s="616"/>
      <c r="K678" s="196"/>
      <c r="L678" s="713"/>
      <c r="M678" s="695"/>
      <c r="N678" s="696"/>
      <c r="O678" s="696"/>
      <c r="P678" s="696"/>
      <c r="Q678" s="689"/>
      <c r="R678" s="200"/>
      <c r="S678" s="515"/>
    </row>
    <row r="679" spans="3:19" s="517" customFormat="1" ht="24" customHeight="1">
      <c r="C679" s="719"/>
      <c r="D679" s="670" t="s">
        <v>6852</v>
      </c>
      <c r="E679" s="607"/>
      <c r="F679" s="611"/>
      <c r="G679" s="611"/>
      <c r="H679" s="213" t="s">
        <v>6716</v>
      </c>
      <c r="I679" s="610">
        <v>0.01</v>
      </c>
      <c r="J679" s="616"/>
      <c r="K679" s="196" t="s">
        <v>6728</v>
      </c>
      <c r="L679" s="713"/>
      <c r="M679" s="695"/>
      <c r="N679" s="696"/>
      <c r="O679" s="696"/>
      <c r="P679" s="696"/>
      <c r="Q679" s="689"/>
      <c r="R679" s="200"/>
      <c r="S679" s="515"/>
    </row>
    <row r="680" spans="3:19" s="517" customFormat="1" ht="24" customHeight="1">
      <c r="C680" s="674"/>
      <c r="D680" s="682" t="s">
        <v>6853</v>
      </c>
      <c r="E680" s="607"/>
      <c r="F680" s="611"/>
      <c r="G680" s="611"/>
      <c r="H680" s="213" t="s">
        <v>1769</v>
      </c>
      <c r="I680" s="697">
        <v>1</v>
      </c>
      <c r="J680" s="616"/>
      <c r="K680" s="196" t="s">
        <v>6675</v>
      </c>
      <c r="L680" s="694"/>
      <c r="M680" s="695"/>
      <c r="N680" s="696"/>
      <c r="O680" s="696"/>
      <c r="P680" s="696"/>
      <c r="Q680" s="689"/>
      <c r="R680" s="200"/>
      <c r="S680" s="515"/>
    </row>
    <row r="681" spans="3:19" s="517" customFormat="1" ht="24" customHeight="1">
      <c r="C681" s="674"/>
      <c r="D681" s="682" t="s">
        <v>6854</v>
      </c>
      <c r="E681" s="607"/>
      <c r="F681" s="611"/>
      <c r="G681" s="611"/>
      <c r="H681" s="213" t="s">
        <v>6717</v>
      </c>
      <c r="I681" s="610">
        <v>0.86</v>
      </c>
      <c r="J681" s="616"/>
      <c r="K681" s="196" t="s">
        <v>5296</v>
      </c>
      <c r="L681" s="694" t="s">
        <v>6856</v>
      </c>
      <c r="M681" s="695"/>
      <c r="N681" s="696"/>
      <c r="O681" s="696"/>
      <c r="P681" s="696"/>
      <c r="Q681" s="689"/>
      <c r="R681" s="200"/>
      <c r="S681" s="515"/>
    </row>
    <row r="682" spans="3:19" s="517" customFormat="1" ht="24" customHeight="1">
      <c r="C682" s="674"/>
      <c r="D682" s="670" t="s">
        <v>5294</v>
      </c>
      <c r="E682" s="607"/>
      <c r="F682" s="611"/>
      <c r="G682" s="611"/>
      <c r="H682" s="213"/>
      <c r="I682" s="610"/>
      <c r="J682" s="616"/>
      <c r="K682" s="196"/>
      <c r="L682" s="694"/>
      <c r="M682" s="695"/>
      <c r="N682" s="696"/>
      <c r="O682" s="696"/>
      <c r="P682" s="696"/>
      <c r="Q682" s="689"/>
      <c r="R682" s="200"/>
      <c r="S682" s="515"/>
    </row>
    <row r="683" spans="3:19" s="517" customFormat="1" ht="24" customHeight="1">
      <c r="C683" s="674"/>
      <c r="D683" s="682" t="s">
        <v>6718</v>
      </c>
      <c r="E683" s="607"/>
      <c r="F683" s="611"/>
      <c r="G683" s="611"/>
      <c r="H683" s="213" t="s">
        <v>6701</v>
      </c>
      <c r="I683" s="610">
        <v>0.25</v>
      </c>
      <c r="J683" s="616"/>
      <c r="K683" s="196" t="s">
        <v>6731</v>
      </c>
      <c r="L683" s="1899" t="s">
        <v>6737</v>
      </c>
      <c r="M683" s="695"/>
      <c r="N683" s="696"/>
      <c r="O683" s="696"/>
      <c r="P683" s="696"/>
      <c r="Q683" s="689"/>
      <c r="R683" s="200"/>
      <c r="S683" s="515"/>
    </row>
    <row r="684" spans="3:19" s="517" customFormat="1" ht="24" customHeight="1">
      <c r="C684" s="674"/>
      <c r="D684" s="682" t="s">
        <v>6752</v>
      </c>
      <c r="E684" s="607"/>
      <c r="F684" s="611"/>
      <c r="G684" s="611"/>
      <c r="H684" s="213" t="s">
        <v>6702</v>
      </c>
      <c r="I684" s="610">
        <v>0.191</v>
      </c>
      <c r="J684" s="616"/>
      <c r="K684" s="196" t="s">
        <v>6731</v>
      </c>
      <c r="L684" s="1900"/>
      <c r="M684" s="695"/>
      <c r="N684" s="696"/>
      <c r="O684" s="696"/>
      <c r="P684" s="696"/>
      <c r="Q684" s="689"/>
      <c r="R684" s="200"/>
      <c r="S684" s="515"/>
    </row>
    <row r="685" spans="3:19" s="517" customFormat="1" ht="24" customHeight="1">
      <c r="C685" s="674"/>
      <c r="D685" s="682"/>
      <c r="E685" s="607"/>
      <c r="F685" s="611"/>
      <c r="G685" s="611"/>
      <c r="H685" s="692" t="s">
        <v>6719</v>
      </c>
      <c r="I685" s="639">
        <f>SUM(I683:I684)</f>
        <v>0.441</v>
      </c>
      <c r="J685" s="633"/>
      <c r="K685" s="196" t="s">
        <v>6731</v>
      </c>
      <c r="L685" s="694"/>
      <c r="M685" s="695"/>
      <c r="N685" s="696"/>
      <c r="O685" s="696"/>
      <c r="P685" s="696"/>
      <c r="Q685" s="689"/>
      <c r="R685" s="200"/>
      <c r="S685" s="515"/>
    </row>
    <row r="686" spans="3:19" s="517" customFormat="1" ht="24" customHeight="1">
      <c r="C686" s="674"/>
      <c r="D686" s="682" t="s">
        <v>6855</v>
      </c>
      <c r="E686" s="607" t="s">
        <v>6619</v>
      </c>
      <c r="F686" s="655" t="s">
        <v>6727</v>
      </c>
      <c r="G686" s="611"/>
      <c r="H686" s="213" t="s">
        <v>6726</v>
      </c>
      <c r="I686" s="610">
        <f>(I680*I681*60)/I685</f>
        <v>117.00680272108843</v>
      </c>
      <c r="J686" s="616"/>
      <c r="K686" s="196" t="s">
        <v>6732</v>
      </c>
      <c r="L686" s="694"/>
      <c r="M686" s="695"/>
      <c r="N686" s="696"/>
      <c r="O686" s="696"/>
      <c r="P686" s="696"/>
      <c r="Q686" s="689"/>
      <c r="R686" s="200"/>
      <c r="S686" s="515"/>
    </row>
    <row r="687" spans="3:19" s="517" customFormat="1" ht="24" customHeight="1">
      <c r="C687" s="674"/>
      <c r="D687" s="670" t="s">
        <v>6804</v>
      </c>
      <c r="E687" s="607"/>
      <c r="F687" s="611"/>
      <c r="G687" s="611"/>
      <c r="H687" s="213"/>
      <c r="I687" s="610"/>
      <c r="J687" s="616"/>
      <c r="K687" s="196"/>
      <c r="L687" s="694"/>
      <c r="M687" s="695"/>
      <c r="N687" s="696"/>
      <c r="O687" s="696"/>
      <c r="P687" s="696"/>
      <c r="Q687" s="689"/>
      <c r="R687" s="200"/>
      <c r="S687" s="515"/>
    </row>
    <row r="688" spans="3:19" s="517" customFormat="1" ht="24" customHeight="1">
      <c r="C688" s="674"/>
      <c r="D688" s="682" t="s">
        <v>6722</v>
      </c>
      <c r="E688" s="607" t="s">
        <v>6619</v>
      </c>
      <c r="F688" s="611" t="s">
        <v>6724</v>
      </c>
      <c r="G688" s="611"/>
      <c r="H688" s="213" t="s">
        <v>1774</v>
      </c>
      <c r="I688" s="610">
        <v>1.72E-2</v>
      </c>
      <c r="J688" s="616"/>
      <c r="K688" s="196" t="s">
        <v>1863</v>
      </c>
      <c r="L688" s="694" t="s">
        <v>6738</v>
      </c>
      <c r="M688" s="695"/>
      <c r="N688" s="696"/>
      <c r="O688" s="696"/>
      <c r="P688" s="696"/>
      <c r="Q688" s="689"/>
      <c r="R688" s="200"/>
      <c r="S688" s="515"/>
    </row>
    <row r="689" spans="3:20" s="517" customFormat="1" ht="24" customHeight="1">
      <c r="C689" s="675"/>
      <c r="D689" s="610" t="s">
        <v>6723</v>
      </c>
      <c r="E689" s="607" t="s">
        <v>6619</v>
      </c>
      <c r="F689" s="611" t="s">
        <v>6725</v>
      </c>
      <c r="G689" s="611"/>
      <c r="H689" s="213" t="s">
        <v>1777</v>
      </c>
      <c r="I689" s="610">
        <v>1.6999999999999999E-3</v>
      </c>
      <c r="J689" s="616"/>
      <c r="K689" s="196" t="s">
        <v>1863</v>
      </c>
      <c r="L689" s="694"/>
      <c r="M689" s="695"/>
      <c r="N689" s="696"/>
      <c r="O689" s="696"/>
      <c r="P689" s="696"/>
      <c r="Q689" s="689"/>
      <c r="R689" s="200"/>
      <c r="S689" s="515"/>
    </row>
    <row r="690" spans="3:20" s="517" customFormat="1" ht="21.75" customHeight="1">
      <c r="C690" s="571"/>
      <c r="D690" s="513"/>
      <c r="E690" s="710"/>
      <c r="F690" s="513"/>
      <c r="G690" s="513"/>
      <c r="H690" s="595"/>
      <c r="I690" s="514"/>
      <c r="J690" s="514"/>
      <c r="K690" s="514"/>
      <c r="L690" s="514"/>
      <c r="M690" s="514"/>
      <c r="N690" s="514"/>
      <c r="O690" s="514"/>
      <c r="P690" s="514"/>
      <c r="Q690" s="514"/>
      <c r="R690" s="189"/>
      <c r="S690" s="515"/>
      <c r="T690" s="516"/>
    </row>
    <row r="691" spans="3:20" s="517" customFormat="1" ht="25.2" customHeight="1">
      <c r="C691" s="571" t="s">
        <v>6872</v>
      </c>
      <c r="D691" s="513" t="s">
        <v>6873</v>
      </c>
      <c r="E691" s="710"/>
      <c r="F691" s="513"/>
      <c r="G691" s="513"/>
      <c r="H691" s="595"/>
      <c r="I691" s="514"/>
      <c r="J691" s="514"/>
      <c r="K691" s="514"/>
      <c r="L691" s="514"/>
      <c r="M691" s="514"/>
      <c r="N691" s="514"/>
      <c r="O691" s="514"/>
      <c r="P691" s="514"/>
      <c r="Q691" s="514"/>
      <c r="R691" s="189">
        <f>ROUNDDOWN(H705,-2)</f>
        <v>14000</v>
      </c>
      <c r="S691" s="515" t="s">
        <v>6760</v>
      </c>
      <c r="T691" s="516" t="s">
        <v>6778</v>
      </c>
    </row>
    <row r="692" spans="3:20" s="517" customFormat="1" ht="25.2" customHeight="1">
      <c r="C692" s="699" t="s">
        <v>1195</v>
      </c>
      <c r="D692" s="699" t="s">
        <v>1196</v>
      </c>
      <c r="E692" s="699" t="s">
        <v>1197</v>
      </c>
      <c r="F692" s="699" t="s">
        <v>1198</v>
      </c>
      <c r="G692" s="699" t="s">
        <v>1199</v>
      </c>
      <c r="H692" s="699" t="s">
        <v>1200</v>
      </c>
      <c r="I692" s="514"/>
      <c r="J692" s="514"/>
      <c r="K692" s="514"/>
      <c r="L692" s="514"/>
      <c r="M692" s="514"/>
      <c r="N692" s="514"/>
      <c r="O692" s="514"/>
      <c r="P692" s="514"/>
      <c r="Q692" s="514"/>
      <c r="R692" s="189"/>
      <c r="S692" s="515"/>
      <c r="T692" s="516"/>
    </row>
    <row r="693" spans="3:20" s="517" customFormat="1" ht="25.2" customHeight="1">
      <c r="C693" s="202" t="s">
        <v>1201</v>
      </c>
      <c r="D693" s="196" t="s">
        <v>1202</v>
      </c>
      <c r="E693" s="197"/>
      <c r="F693" s="197"/>
      <c r="G693" s="197"/>
      <c r="H693" s="197"/>
      <c r="I693" s="514"/>
      <c r="J693" s="514"/>
      <c r="K693" s="514"/>
      <c r="L693" s="514"/>
      <c r="M693" s="514"/>
      <c r="N693" s="514"/>
      <c r="O693" s="514"/>
      <c r="P693" s="514"/>
      <c r="Q693" s="514"/>
      <c r="R693" s="189"/>
      <c r="S693" s="515"/>
      <c r="T693" s="516"/>
    </row>
    <row r="694" spans="3:20" s="517" customFormat="1" ht="25.2" customHeight="1">
      <c r="C694" s="700">
        <v>1</v>
      </c>
      <c r="D694" s="196" t="s">
        <v>5</v>
      </c>
      <c r="E694" s="701" t="s">
        <v>1863</v>
      </c>
      <c r="F694" s="520">
        <f>I688</f>
        <v>1.72E-2</v>
      </c>
      <c r="G694" s="205">
        <f>VLOOKUP(D694,upahbahan,3,FALSE)/8</f>
        <v>12500</v>
      </c>
      <c r="H694" s="205">
        <f t="shared" ref="H694:H695" si="48">F694*G694</f>
        <v>215</v>
      </c>
      <c r="I694" s="514"/>
      <c r="J694" s="514"/>
      <c r="K694" s="514"/>
      <c r="L694" s="514"/>
      <c r="M694" s="514"/>
      <c r="N694" s="514"/>
      <c r="O694" s="514"/>
      <c r="P694" s="514"/>
      <c r="Q694" s="514"/>
      <c r="R694" s="189"/>
      <c r="S694" s="515"/>
      <c r="T694" s="516"/>
    </row>
    <row r="695" spans="3:20" s="517" customFormat="1" ht="25.2" customHeight="1">
      <c r="C695" s="700">
        <v>2</v>
      </c>
      <c r="D695" s="196" t="s">
        <v>19</v>
      </c>
      <c r="E695" s="701" t="s">
        <v>1863</v>
      </c>
      <c r="F695" s="520">
        <f>I689</f>
        <v>1.6999999999999999E-3</v>
      </c>
      <c r="G695" s="205">
        <f>VLOOKUP(D695,upahbahan,3,FALSE)/8</f>
        <v>20000</v>
      </c>
      <c r="H695" s="205">
        <f t="shared" si="48"/>
        <v>34</v>
      </c>
      <c r="I695" s="514"/>
      <c r="J695" s="514"/>
      <c r="K695" s="514"/>
      <c r="L695" s="514"/>
      <c r="M695" s="514"/>
      <c r="N695" s="514"/>
      <c r="O695" s="514"/>
      <c r="P695" s="514"/>
      <c r="Q695" s="514"/>
      <c r="R695" s="189"/>
      <c r="S695" s="515"/>
      <c r="T695" s="516"/>
    </row>
    <row r="696" spans="3:20" s="517" customFormat="1" ht="25.2" customHeight="1">
      <c r="C696" s="702" t="s">
        <v>1208</v>
      </c>
      <c r="D696" s="208"/>
      <c r="E696" s="208"/>
      <c r="F696" s="521"/>
      <c r="G696" s="522"/>
      <c r="H696" s="205">
        <f>SUM(H694:H695)</f>
        <v>249</v>
      </c>
      <c r="I696" s="514"/>
      <c r="J696" s="514"/>
      <c r="K696" s="514"/>
      <c r="L696" s="514"/>
      <c r="M696" s="514"/>
      <c r="N696" s="514"/>
      <c r="O696" s="514"/>
      <c r="P696" s="514"/>
      <c r="Q696" s="514"/>
      <c r="R696" s="189"/>
      <c r="S696" s="515"/>
      <c r="T696" s="516"/>
    </row>
    <row r="697" spans="3:20" s="517" customFormat="1" ht="25.2" customHeight="1">
      <c r="C697" s="202" t="s">
        <v>1209</v>
      </c>
      <c r="D697" s="196" t="s">
        <v>1210</v>
      </c>
      <c r="E697" s="197"/>
      <c r="F697" s="197"/>
      <c r="G697" s="197"/>
      <c r="H697" s="197"/>
      <c r="I697" s="514"/>
      <c r="J697" s="514"/>
      <c r="K697" s="514"/>
      <c r="L697" s="514"/>
      <c r="M697" s="514"/>
      <c r="N697" s="514"/>
      <c r="O697" s="514"/>
      <c r="P697" s="514"/>
      <c r="Q697" s="514"/>
      <c r="R697" s="189"/>
      <c r="S697" s="515"/>
      <c r="T697" s="516"/>
    </row>
    <row r="698" spans="3:20" s="517" customFormat="1" ht="25.2" customHeight="1">
      <c r="C698" s="700">
        <v>1</v>
      </c>
      <c r="D698" s="703" t="s">
        <v>6874</v>
      </c>
      <c r="E698" s="704" t="s">
        <v>6742</v>
      </c>
      <c r="F698" s="705">
        <v>1</v>
      </c>
      <c r="G698" s="205">
        <f>VLOOKUP(D698,upahbahan,3,FALSE)</f>
        <v>0</v>
      </c>
      <c r="H698" s="205">
        <f t="shared" ref="H698" si="49">F698*G698</f>
        <v>0</v>
      </c>
      <c r="I698" s="514"/>
      <c r="J698" s="514"/>
      <c r="K698" s="514"/>
      <c r="L698" s="514"/>
      <c r="M698" s="514"/>
      <c r="N698" s="514"/>
      <c r="O698" s="514"/>
      <c r="P698" s="514"/>
      <c r="Q698" s="514"/>
      <c r="R698" s="189"/>
      <c r="S698" s="515"/>
      <c r="T698" s="516"/>
    </row>
    <row r="699" spans="3:20" s="517" customFormat="1" ht="25.2" customHeight="1">
      <c r="C699" s="702" t="s">
        <v>1214</v>
      </c>
      <c r="D699" s="208"/>
      <c r="E699" s="208"/>
      <c r="F699" s="208"/>
      <c r="G699" s="209"/>
      <c r="H699" s="205">
        <f>SUM(H698:H698)</f>
        <v>0</v>
      </c>
      <c r="I699" s="514"/>
      <c r="J699" s="514"/>
      <c r="K699" s="514"/>
      <c r="L699" s="514"/>
      <c r="M699" s="514"/>
      <c r="N699" s="514"/>
      <c r="O699" s="514"/>
      <c r="P699" s="514"/>
      <c r="Q699" s="514"/>
      <c r="R699" s="189"/>
      <c r="S699" s="515"/>
      <c r="T699" s="516"/>
    </row>
    <row r="700" spans="3:20" s="517" customFormat="1" ht="25.2" customHeight="1">
      <c r="C700" s="202" t="s">
        <v>1215</v>
      </c>
      <c r="D700" s="196" t="s">
        <v>1216</v>
      </c>
      <c r="E700" s="197"/>
      <c r="F700" s="197"/>
      <c r="G700" s="197"/>
      <c r="H700" s="197"/>
      <c r="I700" s="514"/>
      <c r="J700" s="514"/>
      <c r="K700" s="514"/>
      <c r="L700" s="514"/>
      <c r="M700" s="514"/>
      <c r="N700" s="514"/>
      <c r="O700" s="514"/>
      <c r="P700" s="514"/>
      <c r="Q700" s="514"/>
      <c r="R700" s="189"/>
      <c r="S700" s="515"/>
      <c r="T700" s="516"/>
    </row>
    <row r="701" spans="3:20" s="517" customFormat="1" ht="25.2" customHeight="1">
      <c r="C701" s="700">
        <v>1</v>
      </c>
      <c r="D701" s="703" t="s">
        <v>6849</v>
      </c>
      <c r="E701" s="704" t="s">
        <v>2139</v>
      </c>
      <c r="F701" s="520">
        <f>I676</f>
        <v>4.6508534136546188E-2</v>
      </c>
      <c r="G701" s="205">
        <f>VLOOKUP(D701,upahbahan,3,FALSE)</f>
        <v>268539.71000000002</v>
      </c>
      <c r="H701" s="205">
        <f t="shared" ref="H701" si="50">F701*G701</f>
        <v>12489.388269553216</v>
      </c>
      <c r="I701" s="514"/>
      <c r="J701" s="514"/>
      <c r="K701" s="514"/>
      <c r="L701" s="514"/>
      <c r="M701" s="514"/>
      <c r="N701" s="514"/>
      <c r="O701" s="514"/>
      <c r="P701" s="514"/>
      <c r="Q701" s="514"/>
      <c r="R701" s="189"/>
      <c r="S701" s="515"/>
      <c r="T701" s="516"/>
    </row>
    <row r="702" spans="3:20" s="517" customFormat="1" ht="25.2" customHeight="1">
      <c r="C702" s="702" t="s">
        <v>1217</v>
      </c>
      <c r="D702" s="208"/>
      <c r="E702" s="208"/>
      <c r="F702" s="208"/>
      <c r="G702" s="209"/>
      <c r="H702" s="706">
        <f>SUM(H701)</f>
        <v>12489.388269553216</v>
      </c>
      <c r="I702" s="514"/>
      <c r="J702" s="514"/>
      <c r="K702" s="514"/>
      <c r="L702" s="514"/>
      <c r="M702" s="514"/>
      <c r="N702" s="514"/>
      <c r="O702" s="514"/>
      <c r="P702" s="514"/>
      <c r="Q702" s="514"/>
      <c r="R702" s="189"/>
      <c r="S702" s="515"/>
      <c r="T702" s="516"/>
    </row>
    <row r="703" spans="3:20" s="517" customFormat="1" ht="25.2" customHeight="1">
      <c r="C703" s="707" t="s">
        <v>1218</v>
      </c>
      <c r="D703" s="224" t="s">
        <v>1219</v>
      </c>
      <c r="E703" s="225"/>
      <c r="F703" s="225"/>
      <c r="G703" s="226"/>
      <c r="H703" s="205">
        <f>H702+H699+H696</f>
        <v>12738.388269553216</v>
      </c>
      <c r="I703" s="514"/>
      <c r="J703" s="514"/>
      <c r="K703" s="514"/>
      <c r="L703" s="514"/>
      <c r="M703" s="514"/>
      <c r="N703" s="514"/>
      <c r="O703" s="514"/>
      <c r="P703" s="514"/>
      <c r="Q703" s="514"/>
      <c r="R703" s="189"/>
      <c r="S703" s="515"/>
      <c r="T703" s="516"/>
    </row>
    <row r="704" spans="3:20" s="517" customFormat="1" ht="25.2" customHeight="1">
      <c r="C704" s="707" t="s">
        <v>1220</v>
      </c>
      <c r="D704" s="224" t="s">
        <v>1321</v>
      </c>
      <c r="E704" s="225"/>
      <c r="F704" s="226"/>
      <c r="G704" s="228">
        <v>0.1</v>
      </c>
      <c r="H704" s="205">
        <f>H703*G704</f>
        <v>1273.8388269553216</v>
      </c>
      <c r="I704" s="514"/>
      <c r="J704" s="514"/>
      <c r="K704" s="514"/>
      <c r="L704" s="514"/>
      <c r="M704" s="514"/>
      <c r="N704" s="514"/>
      <c r="O704" s="514"/>
      <c r="P704" s="514"/>
      <c r="Q704" s="514"/>
      <c r="R704" s="189"/>
      <c r="S704" s="515"/>
      <c r="T704" s="516"/>
    </row>
    <row r="705" spans="3:20" s="517" customFormat="1" ht="25.2" customHeight="1">
      <c r="C705" s="707" t="s">
        <v>1221</v>
      </c>
      <c r="D705" s="224" t="s">
        <v>1222</v>
      </c>
      <c r="E705" s="225"/>
      <c r="F705" s="225"/>
      <c r="G705" s="226"/>
      <c r="H705" s="708">
        <f>SUM(H703:H704)</f>
        <v>14012.227096508537</v>
      </c>
      <c r="I705" s="514"/>
      <c r="J705" s="514"/>
      <c r="K705" s="514"/>
      <c r="L705" s="514"/>
      <c r="M705" s="514"/>
      <c r="N705" s="514"/>
      <c r="O705" s="514"/>
      <c r="P705" s="514"/>
      <c r="Q705" s="514"/>
      <c r="R705" s="189"/>
      <c r="S705" s="515"/>
      <c r="T705" s="516"/>
    </row>
    <row r="706" spans="3:20" s="517" customFormat="1" ht="21.75" customHeight="1">
      <c r="C706" s="571"/>
      <c r="D706" s="513"/>
      <c r="E706" s="710"/>
      <c r="F706" s="513"/>
      <c r="G706" s="513"/>
      <c r="H706" s="595"/>
      <c r="I706" s="514"/>
      <c r="J706" s="514"/>
      <c r="K706" s="514"/>
      <c r="L706" s="514"/>
      <c r="M706" s="514"/>
      <c r="N706" s="514"/>
      <c r="O706" s="514"/>
      <c r="P706" s="514"/>
      <c r="Q706" s="514"/>
      <c r="R706" s="189"/>
      <c r="S706" s="515"/>
      <c r="T706" s="516"/>
    </row>
    <row r="707" spans="3:20" s="517" customFormat="1" ht="27" customHeight="1">
      <c r="C707" s="512" t="s">
        <v>6875</v>
      </c>
      <c r="D707" s="513" t="s">
        <v>6876</v>
      </c>
      <c r="E707" s="594"/>
      <c r="F707" s="513"/>
      <c r="G707" s="513"/>
      <c r="H707" s="595"/>
      <c r="I707" s="514"/>
      <c r="J707" s="514"/>
      <c r="K707" s="514"/>
      <c r="L707" s="514"/>
      <c r="M707" s="514"/>
      <c r="N707" s="514"/>
      <c r="O707" s="514"/>
      <c r="P707" s="514"/>
      <c r="Q707" s="514"/>
      <c r="R707" s="189"/>
      <c r="S707" s="515" t="s">
        <v>6760</v>
      </c>
      <c r="T707" s="516" t="s">
        <v>6811</v>
      </c>
    </row>
    <row r="708" spans="3:20" s="517" customFormat="1" ht="27" customHeight="1">
      <c r="C708" s="512" t="s">
        <v>6672</v>
      </c>
      <c r="D708" s="513"/>
      <c r="E708" s="710" t="s">
        <v>6877</v>
      </c>
      <c r="F708" s="513"/>
      <c r="G708" s="513"/>
      <c r="H708" s="595"/>
      <c r="I708" s="514"/>
      <c r="J708" s="514"/>
      <c r="K708" s="514"/>
      <c r="L708" s="514"/>
      <c r="M708" s="514"/>
      <c r="N708" s="514"/>
      <c r="O708" s="514"/>
      <c r="P708" s="514"/>
      <c r="Q708" s="514"/>
      <c r="R708" s="189"/>
      <c r="S708" s="515"/>
      <c r="T708" s="516"/>
    </row>
    <row r="709" spans="3:20" s="517" customFormat="1" ht="27" customHeight="1">
      <c r="C709" s="512" t="s">
        <v>6673</v>
      </c>
      <c r="D709" s="513"/>
      <c r="E709" s="710" t="s">
        <v>6748</v>
      </c>
      <c r="F709" s="513"/>
      <c r="G709" s="513"/>
      <c r="H709" s="595"/>
      <c r="I709" s="514"/>
      <c r="J709" s="514"/>
      <c r="K709" s="514"/>
      <c r="L709" s="514"/>
      <c r="M709" s="514"/>
      <c r="N709" s="514"/>
      <c r="O709" s="514"/>
      <c r="P709" s="514"/>
      <c r="Q709" s="514"/>
      <c r="R709" s="189"/>
      <c r="S709" s="515"/>
      <c r="T709" s="516"/>
    </row>
    <row r="710" spans="3:20" s="517" customFormat="1" ht="27" customHeight="1">
      <c r="C710" s="512" t="s">
        <v>6674</v>
      </c>
      <c r="D710" s="513"/>
      <c r="E710" s="710" t="s">
        <v>6749</v>
      </c>
      <c r="F710" s="513"/>
      <c r="G710" s="513"/>
      <c r="H710" s="595"/>
      <c r="I710" s="514"/>
      <c r="J710" s="514"/>
      <c r="K710" s="514"/>
      <c r="L710" s="514"/>
      <c r="M710" s="514"/>
      <c r="N710" s="514"/>
      <c r="O710" s="514"/>
      <c r="P710" s="514"/>
      <c r="Q710" s="514"/>
      <c r="R710" s="189"/>
      <c r="S710" s="515"/>
      <c r="T710" s="516"/>
    </row>
    <row r="711" spans="3:20" s="517" customFormat="1" ht="27" customHeight="1" thickBot="1">
      <c r="C711" s="571" t="s">
        <v>6676</v>
      </c>
      <c r="D711" s="513"/>
      <c r="E711" s="710" t="s">
        <v>6878</v>
      </c>
      <c r="F711" s="513"/>
      <c r="G711" s="513"/>
      <c r="H711" s="595"/>
      <c r="I711" s="514"/>
      <c r="J711" s="514"/>
      <c r="K711" s="514"/>
      <c r="L711" s="514"/>
      <c r="M711" s="514"/>
      <c r="N711" s="514"/>
      <c r="O711" s="514"/>
      <c r="P711" s="514"/>
      <c r="Q711" s="514"/>
      <c r="R711" s="189"/>
      <c r="S711" s="515"/>
      <c r="T711" s="516"/>
    </row>
    <row r="712" spans="3:20" s="517" customFormat="1" ht="27" customHeight="1" thickTop="1">
      <c r="C712" s="190" t="s">
        <v>1195</v>
      </c>
      <c r="D712" s="1922" t="s">
        <v>1196</v>
      </c>
      <c r="E712" s="1923"/>
      <c r="F712" s="1923"/>
      <c r="G712" s="1924"/>
      <c r="H712" s="191" t="s">
        <v>1906</v>
      </c>
      <c r="I712" s="596" t="s">
        <v>1198</v>
      </c>
      <c r="J712" s="600"/>
      <c r="K712" s="191" t="s">
        <v>5286</v>
      </c>
      <c r="L712" s="596" t="s">
        <v>6733</v>
      </c>
      <c r="M712" s="679"/>
      <c r="N712" s="561"/>
      <c r="O712" s="561"/>
      <c r="P712" s="561"/>
      <c r="Q712" s="561"/>
      <c r="R712" s="200"/>
      <c r="S712" s="515"/>
    </row>
    <row r="713" spans="3:20" s="517" customFormat="1" ht="27" customHeight="1">
      <c r="C713" s="601" t="s">
        <v>1766</v>
      </c>
      <c r="D713" s="602" t="s">
        <v>5288</v>
      </c>
      <c r="E713" s="604"/>
      <c r="F713" s="604"/>
      <c r="G713" s="604"/>
      <c r="H713" s="604"/>
      <c r="I713" s="604"/>
      <c r="J713" s="604"/>
      <c r="K713" s="604"/>
      <c r="L713" s="604"/>
      <c r="M713" s="680"/>
      <c r="N713" s="681"/>
      <c r="O713" s="681"/>
      <c r="P713" s="681"/>
      <c r="Q713" s="681"/>
      <c r="R713" s="200"/>
      <c r="S713" s="515"/>
    </row>
    <row r="714" spans="3:20" s="517" customFormat="1" ht="27" customHeight="1">
      <c r="C714" s="519">
        <v>1</v>
      </c>
      <c r="D714" s="682" t="s">
        <v>6683</v>
      </c>
      <c r="E714" s="607"/>
      <c r="F714" s="611"/>
      <c r="G714" s="616"/>
      <c r="H714" s="213" t="s">
        <v>6687</v>
      </c>
      <c r="I714" s="619">
        <v>7</v>
      </c>
      <c r="J714" s="613"/>
      <c r="K714" s="520" t="s">
        <v>2139</v>
      </c>
      <c r="L714" s="618"/>
      <c r="M714" s="683"/>
      <c r="N714" s="684"/>
      <c r="O714" s="684"/>
      <c r="P714" s="684"/>
      <c r="Q714" s="684"/>
      <c r="R714" s="200"/>
      <c r="S714" s="515"/>
    </row>
    <row r="715" spans="3:20" s="517" customFormat="1" ht="27" customHeight="1">
      <c r="C715" s="519">
        <v>2</v>
      </c>
      <c r="D715" s="682" t="s">
        <v>6684</v>
      </c>
      <c r="E715" s="607"/>
      <c r="F715" s="611"/>
      <c r="G715" s="616"/>
      <c r="H715" s="213" t="s">
        <v>6688</v>
      </c>
      <c r="I715" s="619">
        <v>1.25</v>
      </c>
      <c r="J715" s="613"/>
      <c r="K715" s="520" t="s">
        <v>5296</v>
      </c>
      <c r="L715" s="618" t="s">
        <v>6734</v>
      </c>
      <c r="M715" s="683"/>
      <c r="N715" s="684"/>
      <c r="O715" s="684"/>
      <c r="P715" s="684"/>
      <c r="Q715" s="684"/>
      <c r="R715" s="200"/>
      <c r="S715" s="515"/>
    </row>
    <row r="716" spans="3:20" s="517" customFormat="1" ht="27" customHeight="1">
      <c r="C716" s="519">
        <v>3</v>
      </c>
      <c r="D716" s="682" t="s">
        <v>6685</v>
      </c>
      <c r="E716" s="607"/>
      <c r="F716" s="611"/>
      <c r="G716" s="616"/>
      <c r="H716" s="213" t="s">
        <v>1767</v>
      </c>
      <c r="I716" s="619">
        <v>100</v>
      </c>
      <c r="J716" s="620"/>
      <c r="K716" s="520" t="s">
        <v>5289</v>
      </c>
      <c r="L716" s="618"/>
      <c r="M716" s="683"/>
      <c r="N716" s="684"/>
      <c r="O716" s="684"/>
      <c r="P716" s="684"/>
      <c r="Q716" s="684"/>
      <c r="R716" s="200"/>
      <c r="S716" s="515"/>
    </row>
    <row r="717" spans="3:20" s="517" customFormat="1" ht="27" customHeight="1">
      <c r="C717" s="519">
        <v>4</v>
      </c>
      <c r="D717" s="682" t="s">
        <v>6686</v>
      </c>
      <c r="E717" s="607"/>
      <c r="F717" s="611"/>
      <c r="G717" s="616"/>
      <c r="H717" s="213"/>
      <c r="I717" s="619"/>
      <c r="J717" s="620"/>
      <c r="K717" s="520"/>
      <c r="L717" s="618" t="s">
        <v>6772</v>
      </c>
      <c r="M717" s="683"/>
      <c r="N717" s="684"/>
      <c r="O717" s="684"/>
      <c r="P717" s="684"/>
      <c r="Q717" s="684"/>
      <c r="R717" s="200"/>
      <c r="S717" s="515"/>
    </row>
    <row r="718" spans="3:20" s="517" customFormat="1" ht="27" customHeight="1">
      <c r="C718" s="518" t="s">
        <v>5291</v>
      </c>
      <c r="D718" s="602" t="s">
        <v>5292</v>
      </c>
      <c r="E718" s="604"/>
      <c r="F718" s="604"/>
      <c r="G718" s="604"/>
      <c r="H718" s="604"/>
      <c r="I718" s="604"/>
      <c r="J718" s="604"/>
      <c r="K718" s="604"/>
      <c r="L718" s="604"/>
      <c r="M718" s="680"/>
      <c r="N718" s="681"/>
      <c r="O718" s="681"/>
      <c r="P718" s="681"/>
      <c r="Q718" s="681"/>
      <c r="R718" s="200"/>
      <c r="S718" s="515"/>
    </row>
    <row r="719" spans="3:20" s="517" customFormat="1" ht="27" customHeight="1">
      <c r="C719" s="524" t="s">
        <v>1203</v>
      </c>
      <c r="D719" s="610" t="s">
        <v>6879</v>
      </c>
      <c r="E719" s="607"/>
      <c r="F719" s="611"/>
      <c r="G719" s="616"/>
      <c r="H719" s="234"/>
      <c r="I719" s="628"/>
      <c r="J719" s="629"/>
      <c r="K719" s="525"/>
      <c r="L719" s="618"/>
      <c r="M719" s="683"/>
      <c r="N719" s="684"/>
      <c r="O719" s="684"/>
      <c r="P719" s="684"/>
      <c r="Q719" s="684"/>
      <c r="R719" s="200"/>
      <c r="S719" s="515"/>
    </row>
    <row r="720" spans="3:20" s="517" customFormat="1" ht="27" customHeight="1">
      <c r="C720" s="524">
        <v>2</v>
      </c>
      <c r="D720" s="610" t="s">
        <v>6880</v>
      </c>
      <c r="E720" s="607"/>
      <c r="F720" s="611"/>
      <c r="G720" s="616"/>
      <c r="H720" s="234"/>
      <c r="I720" s="628"/>
      <c r="J720" s="629"/>
      <c r="K720" s="525"/>
      <c r="L720" s="618"/>
      <c r="M720" s="683"/>
      <c r="N720" s="684"/>
      <c r="O720" s="684"/>
      <c r="P720" s="684"/>
      <c r="Q720" s="684"/>
      <c r="R720" s="200"/>
      <c r="S720" s="515"/>
    </row>
    <row r="721" spans="3:19" s="517" customFormat="1" ht="27" customHeight="1">
      <c r="C721" s="524">
        <v>3</v>
      </c>
      <c r="D721" s="610" t="s">
        <v>6881</v>
      </c>
      <c r="E721" s="607"/>
      <c r="F721" s="611"/>
      <c r="G721" s="616"/>
      <c r="H721" s="234"/>
      <c r="I721" s="628"/>
      <c r="J721" s="629"/>
      <c r="K721" s="525"/>
      <c r="L721" s="618"/>
      <c r="M721" s="683"/>
      <c r="N721" s="684"/>
      <c r="O721" s="684"/>
      <c r="P721" s="684"/>
      <c r="Q721" s="684"/>
      <c r="R721" s="200"/>
      <c r="S721" s="515"/>
    </row>
    <row r="722" spans="3:19" s="517" customFormat="1" ht="27" customHeight="1">
      <c r="C722" s="601" t="s">
        <v>1071</v>
      </c>
      <c r="D722" s="651" t="s">
        <v>6819</v>
      </c>
      <c r="E722" s="604"/>
      <c r="F722" s="604"/>
      <c r="G722" s="604"/>
      <c r="H722" s="604"/>
      <c r="I722" s="604"/>
      <c r="J722" s="604"/>
      <c r="K722" s="604"/>
      <c r="L722" s="604"/>
      <c r="M722" s="680"/>
      <c r="N722" s="681"/>
      <c r="O722" s="681"/>
      <c r="P722" s="681"/>
      <c r="Q722" s="681"/>
      <c r="R722" s="200"/>
      <c r="S722" s="515"/>
    </row>
    <row r="723" spans="3:19" s="517" customFormat="1" ht="27" customHeight="1">
      <c r="C723" s="601" t="s">
        <v>5265</v>
      </c>
      <c r="D723" s="644" t="s">
        <v>6849</v>
      </c>
      <c r="E723" s="603"/>
      <c r="F723" s="645" t="s">
        <v>6850</v>
      </c>
      <c r="G723" s="645"/>
      <c r="H723" s="656"/>
      <c r="I723" s="644"/>
      <c r="J723" s="657"/>
      <c r="K723" s="685"/>
      <c r="L723" s="644"/>
      <c r="M723" s="686"/>
      <c r="N723" s="687"/>
      <c r="O723" s="687"/>
      <c r="P723" s="687"/>
      <c r="Q723" s="687"/>
      <c r="R723" s="200"/>
      <c r="S723" s="515"/>
    </row>
    <row r="724" spans="3:19" s="517" customFormat="1" ht="27" customHeight="1">
      <c r="C724" s="543"/>
      <c r="D724" s="688" t="s">
        <v>6693</v>
      </c>
      <c r="E724" s="688"/>
      <c r="F724" s="645"/>
      <c r="G724" s="645"/>
      <c r="H724" s="213" t="s">
        <v>1769</v>
      </c>
      <c r="I724" s="610">
        <v>200</v>
      </c>
      <c r="J724" s="616"/>
      <c r="K724" s="196" t="s">
        <v>62</v>
      </c>
      <c r="L724" s="610"/>
      <c r="M724" s="637"/>
      <c r="N724" s="689"/>
      <c r="O724" s="689"/>
      <c r="P724" s="689"/>
      <c r="Q724" s="689"/>
      <c r="R724" s="200"/>
      <c r="S724" s="515"/>
    </row>
    <row r="725" spans="3:19" s="517" customFormat="1" ht="27" customHeight="1">
      <c r="C725" s="674"/>
      <c r="D725" s="690" t="s">
        <v>6694</v>
      </c>
      <c r="E725" s="690"/>
      <c r="F725" s="611"/>
      <c r="G725" s="611"/>
      <c r="H725" s="213" t="s">
        <v>5295</v>
      </c>
      <c r="I725" s="610">
        <v>0.83</v>
      </c>
      <c r="J725" s="616"/>
      <c r="K725" s="196" t="s">
        <v>5296</v>
      </c>
      <c r="L725" s="610" t="s">
        <v>6735</v>
      </c>
      <c r="M725" s="637"/>
      <c r="N725" s="689"/>
      <c r="O725" s="689"/>
      <c r="P725" s="689"/>
      <c r="Q725" s="689"/>
      <c r="R725" s="200"/>
      <c r="S725" s="515"/>
    </row>
    <row r="726" spans="3:19" s="517" customFormat="1" ht="27" customHeight="1">
      <c r="C726" s="674"/>
      <c r="D726" s="644" t="s">
        <v>6695</v>
      </c>
      <c r="E726" s="607"/>
      <c r="F726" s="611"/>
      <c r="G726" s="611"/>
      <c r="H726" s="656" t="s">
        <v>1767</v>
      </c>
      <c r="I726" s="610">
        <v>100</v>
      </c>
      <c r="J726" s="616"/>
      <c r="K726" s="196" t="s">
        <v>6728</v>
      </c>
      <c r="L726" s="610"/>
      <c r="M726" s="637"/>
      <c r="N726" s="689"/>
      <c r="O726" s="689"/>
      <c r="P726" s="689"/>
      <c r="Q726" s="689"/>
      <c r="R726" s="200"/>
      <c r="S726" s="515"/>
    </row>
    <row r="727" spans="3:19" s="517" customFormat="1" ht="27" customHeight="1">
      <c r="C727" s="674"/>
      <c r="D727" s="682" t="s">
        <v>6696</v>
      </c>
      <c r="E727" s="607"/>
      <c r="F727" s="611"/>
      <c r="G727" s="611"/>
      <c r="H727" s="213" t="s">
        <v>6703</v>
      </c>
      <c r="I727" s="610">
        <v>40</v>
      </c>
      <c r="J727" s="616"/>
      <c r="K727" s="196" t="s">
        <v>6729</v>
      </c>
      <c r="L727" s="1897" t="s">
        <v>6736</v>
      </c>
      <c r="M727" s="637"/>
      <c r="N727" s="689"/>
      <c r="O727" s="689"/>
      <c r="P727" s="689"/>
      <c r="Q727" s="689"/>
      <c r="R727" s="200"/>
      <c r="S727" s="515"/>
    </row>
    <row r="728" spans="3:19" s="517" customFormat="1" ht="27" customHeight="1">
      <c r="C728" s="674"/>
      <c r="D728" s="682" t="s">
        <v>6697</v>
      </c>
      <c r="E728" s="607"/>
      <c r="F728" s="611"/>
      <c r="G728" s="611"/>
      <c r="H728" s="213" t="s">
        <v>6704</v>
      </c>
      <c r="I728" s="610">
        <v>60</v>
      </c>
      <c r="J728" s="616"/>
      <c r="K728" s="196" t="s">
        <v>6729</v>
      </c>
      <c r="L728" s="1898"/>
      <c r="M728" s="637"/>
      <c r="N728" s="689"/>
      <c r="O728" s="689"/>
      <c r="P728" s="689"/>
      <c r="Q728" s="689"/>
      <c r="R728" s="200"/>
      <c r="S728" s="515"/>
    </row>
    <row r="729" spans="3:19" s="517" customFormat="1" ht="27" customHeight="1">
      <c r="C729" s="674"/>
      <c r="D729" s="644" t="s">
        <v>5294</v>
      </c>
      <c r="E729" s="603"/>
      <c r="F729" s="645"/>
      <c r="G729" s="645"/>
      <c r="H729" s="213"/>
      <c r="I729" s="610"/>
      <c r="J729" s="616"/>
      <c r="K729" s="196"/>
      <c r="L729" s="610"/>
      <c r="M729" s="637"/>
      <c r="N729" s="689"/>
      <c r="O729" s="689"/>
      <c r="P729" s="689"/>
      <c r="Q729" s="689"/>
      <c r="R729" s="200"/>
      <c r="S729" s="515"/>
    </row>
    <row r="730" spans="3:19" s="517" customFormat="1" ht="27" customHeight="1">
      <c r="C730" s="674"/>
      <c r="D730" s="610" t="s">
        <v>6698</v>
      </c>
      <c r="E730" s="607" t="s">
        <v>6619</v>
      </c>
      <c r="F730" s="611" t="s">
        <v>6700</v>
      </c>
      <c r="G730" s="611"/>
      <c r="H730" s="213" t="s">
        <v>6701</v>
      </c>
      <c r="I730" s="610">
        <f>(I716/I727)*60</f>
        <v>150</v>
      </c>
      <c r="J730" s="616"/>
      <c r="K730" s="196" t="s">
        <v>5298</v>
      </c>
      <c r="L730" s="610"/>
      <c r="M730" s="637"/>
      <c r="N730" s="689"/>
      <c r="O730" s="689"/>
      <c r="P730" s="689"/>
      <c r="Q730" s="689"/>
      <c r="R730" s="200"/>
      <c r="S730" s="515"/>
    </row>
    <row r="731" spans="3:19" s="517" customFormat="1" ht="27" customHeight="1" thickBot="1">
      <c r="C731" s="674"/>
      <c r="D731" s="610" t="s">
        <v>6699</v>
      </c>
      <c r="E731" s="607" t="s">
        <v>6619</v>
      </c>
      <c r="F731" s="611" t="s">
        <v>6700</v>
      </c>
      <c r="G731" s="611"/>
      <c r="H731" s="691" t="s">
        <v>6702</v>
      </c>
      <c r="I731" s="610">
        <v>48.4</v>
      </c>
      <c r="J731" s="616"/>
      <c r="K731" s="196" t="s">
        <v>5298</v>
      </c>
      <c r="L731" s="610"/>
      <c r="M731" s="637"/>
      <c r="N731" s="689"/>
      <c r="O731" s="689"/>
      <c r="P731" s="689"/>
      <c r="Q731" s="689"/>
      <c r="R731" s="200"/>
      <c r="S731" s="515"/>
    </row>
    <row r="732" spans="3:19" s="517" customFormat="1" ht="27" customHeight="1">
      <c r="C732" s="674"/>
      <c r="D732" s="610"/>
      <c r="E732" s="607"/>
      <c r="F732" s="611"/>
      <c r="G732" s="611"/>
      <c r="H732" s="692" t="s">
        <v>6705</v>
      </c>
      <c r="I732" s="639">
        <f>SUM(I730:I731)</f>
        <v>198.4</v>
      </c>
      <c r="J732" s="633"/>
      <c r="K732" s="693" t="s">
        <v>5298</v>
      </c>
      <c r="L732" s="610"/>
      <c r="M732" s="637"/>
      <c r="N732" s="689"/>
      <c r="O732" s="689"/>
      <c r="P732" s="689"/>
      <c r="Q732" s="689"/>
      <c r="R732" s="200"/>
      <c r="S732" s="515"/>
    </row>
    <row r="733" spans="3:19" s="517" customFormat="1" ht="27" customHeight="1">
      <c r="C733" s="674"/>
      <c r="D733" s="610" t="s">
        <v>6706</v>
      </c>
      <c r="E733" s="607" t="s">
        <v>6619</v>
      </c>
      <c r="F733" s="655" t="s">
        <v>6767</v>
      </c>
      <c r="G733" s="611"/>
      <c r="H733" s="692" t="s">
        <v>6710</v>
      </c>
      <c r="I733" s="639">
        <f>(I724*I725*60)/I732</f>
        <v>50.201612903225808</v>
      </c>
      <c r="J733" s="633"/>
      <c r="K733" s="693" t="s">
        <v>6730</v>
      </c>
      <c r="L733" s="610"/>
      <c r="M733" s="637"/>
      <c r="N733" s="689"/>
      <c r="O733" s="689"/>
      <c r="P733" s="689"/>
      <c r="Q733" s="689"/>
      <c r="R733" s="200"/>
      <c r="S733" s="515"/>
    </row>
    <row r="734" spans="3:19" s="517" customFormat="1" ht="27" customHeight="1">
      <c r="C734" s="674"/>
      <c r="D734" s="644" t="s">
        <v>6882</v>
      </c>
      <c r="E734" s="607" t="s">
        <v>6619</v>
      </c>
      <c r="F734" s="611" t="s">
        <v>6709</v>
      </c>
      <c r="G734" s="611"/>
      <c r="H734" s="692"/>
      <c r="I734" s="718">
        <f>1/I733</f>
        <v>1.9919678714859439E-2</v>
      </c>
      <c r="J734" s="633"/>
      <c r="K734" s="693" t="s">
        <v>2139</v>
      </c>
      <c r="L734" s="610"/>
      <c r="M734" s="637"/>
      <c r="N734" s="689"/>
      <c r="O734" s="689"/>
      <c r="P734" s="689"/>
      <c r="Q734" s="689"/>
      <c r="R734" s="200"/>
      <c r="S734" s="515"/>
    </row>
    <row r="735" spans="3:19" s="517" customFormat="1" ht="27" customHeight="1">
      <c r="C735" s="675"/>
      <c r="D735" s="610"/>
      <c r="E735" s="607"/>
      <c r="F735" s="611"/>
      <c r="G735" s="611"/>
      <c r="H735" s="692"/>
      <c r="I735" s="639"/>
      <c r="J735" s="633"/>
      <c r="K735" s="693"/>
      <c r="L735" s="610"/>
      <c r="M735" s="637"/>
      <c r="N735" s="689"/>
      <c r="O735" s="689"/>
      <c r="P735" s="689"/>
      <c r="Q735" s="689"/>
      <c r="R735" s="200"/>
      <c r="S735" s="515"/>
    </row>
    <row r="736" spans="3:19" s="517" customFormat="1" ht="27" customHeight="1">
      <c r="C736" s="601" t="s">
        <v>2679</v>
      </c>
      <c r="D736" s="670" t="s">
        <v>6883</v>
      </c>
      <c r="E736" s="607"/>
      <c r="F736" s="611"/>
      <c r="G736" s="611"/>
      <c r="H736" s="213"/>
      <c r="I736" s="610"/>
      <c r="J736" s="616"/>
      <c r="K736" s="196"/>
      <c r="L736" s="713"/>
      <c r="M736" s="695"/>
      <c r="N736" s="696"/>
      <c r="O736" s="696"/>
      <c r="P736" s="696"/>
      <c r="Q736" s="689"/>
      <c r="R736" s="200"/>
      <c r="S736" s="515"/>
    </row>
    <row r="737" spans="3:20" s="517" customFormat="1" ht="27" customHeight="1">
      <c r="C737" s="719"/>
      <c r="D737" s="670" t="s">
        <v>6852</v>
      </c>
      <c r="E737" s="607"/>
      <c r="F737" s="611"/>
      <c r="G737" s="611"/>
      <c r="H737" s="213" t="s">
        <v>6716</v>
      </c>
      <c r="I737" s="610">
        <v>0.01</v>
      </c>
      <c r="J737" s="616"/>
      <c r="K737" s="196" t="s">
        <v>6728</v>
      </c>
      <c r="L737" s="713"/>
      <c r="M737" s="695"/>
      <c r="N737" s="696"/>
      <c r="O737" s="696"/>
      <c r="P737" s="696"/>
      <c r="Q737" s="689"/>
      <c r="R737" s="200"/>
      <c r="S737" s="515"/>
    </row>
    <row r="738" spans="3:20" s="517" customFormat="1" ht="27" customHeight="1">
      <c r="C738" s="674"/>
      <c r="D738" s="682" t="s">
        <v>6884</v>
      </c>
      <c r="E738" s="607"/>
      <c r="F738" s="611"/>
      <c r="G738" s="611"/>
      <c r="H738" s="213" t="s">
        <v>1769</v>
      </c>
      <c r="I738" s="697">
        <v>1</v>
      </c>
      <c r="J738" s="616"/>
      <c r="K738" s="196" t="s">
        <v>6675</v>
      </c>
      <c r="L738" s="694"/>
      <c r="M738" s="695"/>
      <c r="N738" s="696"/>
      <c r="O738" s="696"/>
      <c r="P738" s="696"/>
      <c r="Q738" s="689"/>
      <c r="R738" s="200"/>
      <c r="S738" s="515"/>
    </row>
    <row r="739" spans="3:20" s="517" customFormat="1" ht="27" customHeight="1">
      <c r="C739" s="674"/>
      <c r="D739" s="682" t="s">
        <v>6854</v>
      </c>
      <c r="E739" s="607"/>
      <c r="F739" s="611"/>
      <c r="G739" s="611"/>
      <c r="H739" s="213" t="s">
        <v>6717</v>
      </c>
      <c r="I739" s="610">
        <v>0.86</v>
      </c>
      <c r="J739" s="616"/>
      <c r="K739" s="196" t="s">
        <v>5296</v>
      </c>
      <c r="L739" s="694" t="s">
        <v>6856</v>
      </c>
      <c r="M739" s="695"/>
      <c r="N739" s="696"/>
      <c r="O739" s="696"/>
      <c r="P739" s="696"/>
      <c r="Q739" s="689"/>
      <c r="R739" s="200"/>
      <c r="S739" s="515"/>
    </row>
    <row r="740" spans="3:20" s="517" customFormat="1" ht="27" customHeight="1">
      <c r="C740" s="674"/>
      <c r="D740" s="670" t="s">
        <v>5294</v>
      </c>
      <c r="E740" s="607"/>
      <c r="F740" s="611"/>
      <c r="G740" s="611"/>
      <c r="H740" s="213"/>
      <c r="I740" s="610"/>
      <c r="J740" s="616"/>
      <c r="K740" s="196"/>
      <c r="L740" s="694"/>
      <c r="M740" s="695"/>
      <c r="N740" s="696"/>
      <c r="O740" s="696"/>
      <c r="P740" s="696"/>
      <c r="Q740" s="689"/>
      <c r="R740" s="200"/>
      <c r="S740" s="515"/>
    </row>
    <row r="741" spans="3:20" s="517" customFormat="1" ht="27" customHeight="1">
      <c r="C741" s="674"/>
      <c r="D741" s="682" t="s">
        <v>6886</v>
      </c>
      <c r="E741" s="607"/>
      <c r="F741" s="611"/>
      <c r="G741" s="611"/>
      <c r="H741" s="213" t="s">
        <v>6701</v>
      </c>
      <c r="I741" s="610">
        <v>0.14199999999999999</v>
      </c>
      <c r="J741" s="616"/>
      <c r="K741" s="196" t="s">
        <v>6731</v>
      </c>
      <c r="L741" s="1899" t="s">
        <v>6737</v>
      </c>
      <c r="M741" s="695"/>
      <c r="N741" s="696"/>
      <c r="O741" s="696"/>
      <c r="P741" s="696"/>
      <c r="Q741" s="689"/>
      <c r="R741" s="200"/>
      <c r="S741" s="515"/>
    </row>
    <row r="742" spans="3:20" s="517" customFormat="1" ht="27" customHeight="1">
      <c r="C742" s="674"/>
      <c r="D742" s="682" t="s">
        <v>6885</v>
      </c>
      <c r="E742" s="607"/>
      <c r="F742" s="611"/>
      <c r="G742" s="611"/>
      <c r="H742" s="213" t="s">
        <v>6702</v>
      </c>
      <c r="I742" s="610">
        <v>0.10100000000000001</v>
      </c>
      <c r="J742" s="616"/>
      <c r="K742" s="196" t="s">
        <v>6731</v>
      </c>
      <c r="L742" s="1900"/>
      <c r="M742" s="695"/>
      <c r="N742" s="696"/>
      <c r="O742" s="696"/>
      <c r="P742" s="696"/>
      <c r="Q742" s="689"/>
      <c r="R742" s="200"/>
      <c r="S742" s="515"/>
    </row>
    <row r="743" spans="3:20" s="517" customFormat="1" ht="27" customHeight="1">
      <c r="C743" s="674"/>
      <c r="D743" s="682"/>
      <c r="E743" s="607"/>
      <c r="F743" s="611"/>
      <c r="G743" s="611"/>
      <c r="H743" s="692" t="s">
        <v>6719</v>
      </c>
      <c r="I743" s="639">
        <f>SUM(I741:I742)</f>
        <v>0.24299999999999999</v>
      </c>
      <c r="J743" s="633"/>
      <c r="K743" s="196" t="s">
        <v>6731</v>
      </c>
      <c r="L743" s="694"/>
      <c r="M743" s="695"/>
      <c r="N743" s="696"/>
      <c r="O743" s="696"/>
      <c r="P743" s="696"/>
      <c r="Q743" s="689"/>
      <c r="R743" s="200"/>
      <c r="S743" s="515"/>
    </row>
    <row r="744" spans="3:20" s="517" customFormat="1" ht="27" customHeight="1">
      <c r="C744" s="674"/>
      <c r="D744" s="682" t="s">
        <v>6855</v>
      </c>
      <c r="E744" s="607" t="s">
        <v>6619</v>
      </c>
      <c r="F744" s="655" t="s">
        <v>6727</v>
      </c>
      <c r="G744" s="611"/>
      <c r="H744" s="213" t="s">
        <v>6726</v>
      </c>
      <c r="I744" s="610">
        <f>(I738*I739*60)/I743</f>
        <v>212.3456790123457</v>
      </c>
      <c r="J744" s="616"/>
      <c r="K744" s="196" t="s">
        <v>6732</v>
      </c>
      <c r="L744" s="694"/>
      <c r="M744" s="695"/>
      <c r="N744" s="696"/>
      <c r="O744" s="696"/>
      <c r="P744" s="696"/>
      <c r="Q744" s="689"/>
      <c r="R744" s="200"/>
      <c r="S744" s="515"/>
    </row>
    <row r="745" spans="3:20" s="517" customFormat="1" ht="27" customHeight="1">
      <c r="C745" s="674"/>
      <c r="D745" s="670" t="s">
        <v>6887</v>
      </c>
      <c r="E745" s="607"/>
      <c r="F745" s="611"/>
      <c r="G745" s="611"/>
      <c r="H745" s="213"/>
      <c r="I745" s="610"/>
      <c r="J745" s="616"/>
      <c r="K745" s="196"/>
      <c r="L745" s="694"/>
      <c r="M745" s="695"/>
      <c r="N745" s="696"/>
      <c r="O745" s="696"/>
      <c r="P745" s="696"/>
      <c r="Q745" s="689"/>
      <c r="R745" s="200"/>
      <c r="S745" s="515"/>
    </row>
    <row r="746" spans="3:20" s="517" customFormat="1" ht="27" customHeight="1">
      <c r="C746" s="674"/>
      <c r="D746" s="682" t="s">
        <v>6722</v>
      </c>
      <c r="E746" s="607" t="s">
        <v>6619</v>
      </c>
      <c r="F746" s="611" t="s">
        <v>6724</v>
      </c>
      <c r="G746" s="611"/>
      <c r="H746" s="213" t="s">
        <v>1774</v>
      </c>
      <c r="I746" s="610">
        <v>9.4000000000000004E-3</v>
      </c>
      <c r="J746" s="616"/>
      <c r="K746" s="196" t="s">
        <v>1863</v>
      </c>
      <c r="L746" s="694" t="s">
        <v>6738</v>
      </c>
      <c r="M746" s="695"/>
      <c r="N746" s="696"/>
      <c r="O746" s="696"/>
      <c r="P746" s="696"/>
      <c r="Q746" s="689"/>
      <c r="R746" s="200"/>
      <c r="S746" s="515"/>
    </row>
    <row r="747" spans="3:20" s="517" customFormat="1" ht="27" customHeight="1">
      <c r="C747" s="675"/>
      <c r="D747" s="610" t="s">
        <v>6723</v>
      </c>
      <c r="E747" s="607" t="s">
        <v>6619</v>
      </c>
      <c r="F747" s="611" t="s">
        <v>6725</v>
      </c>
      <c r="G747" s="611"/>
      <c r="H747" s="213" t="s">
        <v>1777</v>
      </c>
      <c r="I747" s="610">
        <v>8.9999999999999998E-4</v>
      </c>
      <c r="J747" s="616"/>
      <c r="K747" s="196" t="s">
        <v>1863</v>
      </c>
      <c r="L747" s="694"/>
      <c r="M747" s="695"/>
      <c r="N747" s="696"/>
      <c r="O747" s="696"/>
      <c r="P747" s="696"/>
      <c r="Q747" s="689"/>
      <c r="R747" s="200"/>
      <c r="S747" s="515"/>
    </row>
    <row r="748" spans="3:20" s="517" customFormat="1" ht="27" customHeight="1">
      <c r="C748" s="571"/>
      <c r="D748" s="513"/>
      <c r="E748" s="710"/>
      <c r="F748" s="513"/>
      <c r="G748" s="513"/>
      <c r="H748" s="595"/>
      <c r="I748" s="514"/>
      <c r="J748" s="514"/>
      <c r="K748" s="514"/>
      <c r="L748" s="514"/>
      <c r="M748" s="514"/>
      <c r="N748" s="514"/>
      <c r="O748" s="514"/>
      <c r="P748" s="514"/>
      <c r="Q748" s="514"/>
      <c r="R748" s="189"/>
      <c r="S748" s="515"/>
      <c r="T748" s="516"/>
    </row>
    <row r="749" spans="3:20" s="517" customFormat="1" ht="27" customHeight="1">
      <c r="C749" s="571" t="s">
        <v>6888</v>
      </c>
      <c r="D749" s="513" t="s">
        <v>6889</v>
      </c>
      <c r="E749" s="710"/>
      <c r="F749" s="513"/>
      <c r="G749" s="513"/>
      <c r="H749" s="595"/>
      <c r="I749" s="514"/>
      <c r="J749" s="514"/>
      <c r="K749" s="514"/>
      <c r="L749" s="514"/>
      <c r="M749" s="514"/>
      <c r="N749" s="514"/>
      <c r="O749" s="514"/>
      <c r="P749" s="514"/>
      <c r="Q749" s="514"/>
      <c r="R749" s="189">
        <f>ROUNDDOWN(H763,-2)</f>
        <v>6000</v>
      </c>
      <c r="S749" s="515" t="s">
        <v>6760</v>
      </c>
      <c r="T749" s="516" t="s">
        <v>6778</v>
      </c>
    </row>
    <row r="750" spans="3:20" s="517" customFormat="1" ht="27" customHeight="1">
      <c r="C750" s="699" t="s">
        <v>1195</v>
      </c>
      <c r="D750" s="699" t="s">
        <v>1196</v>
      </c>
      <c r="E750" s="699" t="s">
        <v>1197</v>
      </c>
      <c r="F750" s="699" t="s">
        <v>1198</v>
      </c>
      <c r="G750" s="699" t="s">
        <v>1199</v>
      </c>
      <c r="H750" s="699" t="s">
        <v>1200</v>
      </c>
      <c r="I750" s="514"/>
      <c r="J750" s="514"/>
      <c r="K750" s="514"/>
      <c r="L750" s="514"/>
      <c r="M750" s="514"/>
      <c r="N750" s="514"/>
      <c r="O750" s="514"/>
      <c r="P750" s="514"/>
      <c r="Q750" s="514"/>
      <c r="R750" s="189"/>
      <c r="S750" s="515"/>
      <c r="T750" s="516"/>
    </row>
    <row r="751" spans="3:20" s="517" customFormat="1" ht="27" customHeight="1">
      <c r="C751" s="202" t="s">
        <v>1201</v>
      </c>
      <c r="D751" s="196" t="s">
        <v>1202</v>
      </c>
      <c r="E751" s="197"/>
      <c r="F751" s="197"/>
      <c r="G751" s="197"/>
      <c r="H751" s="197"/>
      <c r="I751" s="514"/>
      <c r="J751" s="514"/>
      <c r="K751" s="514"/>
      <c r="L751" s="514"/>
      <c r="M751" s="514"/>
      <c r="N751" s="514"/>
      <c r="O751" s="514"/>
      <c r="P751" s="514"/>
      <c r="Q751" s="514"/>
      <c r="R751" s="189"/>
      <c r="S751" s="515"/>
      <c r="T751" s="516"/>
    </row>
    <row r="752" spans="3:20" s="517" customFormat="1" ht="27" customHeight="1">
      <c r="C752" s="700">
        <v>1</v>
      </c>
      <c r="D752" s="196" t="s">
        <v>5</v>
      </c>
      <c r="E752" s="701" t="s">
        <v>1863</v>
      </c>
      <c r="F752" s="520">
        <f>I746</f>
        <v>9.4000000000000004E-3</v>
      </c>
      <c r="G752" s="205">
        <f>VLOOKUP(D752,upahbahan,3,FALSE)/8</f>
        <v>12500</v>
      </c>
      <c r="H752" s="205">
        <f t="shared" ref="H752:H753" si="51">F752*G752</f>
        <v>117.5</v>
      </c>
      <c r="I752" s="514"/>
      <c r="J752" s="514"/>
      <c r="K752" s="514"/>
      <c r="L752" s="514"/>
      <c r="M752" s="514"/>
      <c r="N752" s="514"/>
      <c r="O752" s="514"/>
      <c r="P752" s="514"/>
      <c r="Q752" s="514"/>
      <c r="R752" s="189"/>
      <c r="S752" s="515"/>
      <c r="T752" s="516"/>
    </row>
    <row r="753" spans="3:20" s="517" customFormat="1" ht="27" customHeight="1">
      <c r="C753" s="700">
        <v>2</v>
      </c>
      <c r="D753" s="196" t="s">
        <v>19</v>
      </c>
      <c r="E753" s="701" t="s">
        <v>1863</v>
      </c>
      <c r="F753" s="520">
        <f>I747</f>
        <v>8.9999999999999998E-4</v>
      </c>
      <c r="G753" s="205">
        <f>VLOOKUP(D753,upahbahan,3,FALSE)/8</f>
        <v>20000</v>
      </c>
      <c r="H753" s="205">
        <f t="shared" si="51"/>
        <v>18</v>
      </c>
      <c r="I753" s="514"/>
      <c r="J753" s="514"/>
      <c r="K753" s="514"/>
      <c r="L753" s="514"/>
      <c r="M753" s="514"/>
      <c r="N753" s="514"/>
      <c r="O753" s="514"/>
      <c r="P753" s="514"/>
      <c r="Q753" s="514"/>
      <c r="R753" s="189"/>
      <c r="S753" s="515"/>
      <c r="T753" s="516"/>
    </row>
    <row r="754" spans="3:20" s="517" customFormat="1" ht="27" customHeight="1">
      <c r="C754" s="702" t="s">
        <v>1208</v>
      </c>
      <c r="D754" s="208"/>
      <c r="E754" s="208"/>
      <c r="F754" s="521"/>
      <c r="G754" s="522"/>
      <c r="H754" s="205">
        <f>SUM(H752:H753)</f>
        <v>135.5</v>
      </c>
      <c r="I754" s="514"/>
      <c r="J754" s="514"/>
      <c r="K754" s="514"/>
      <c r="L754" s="514"/>
      <c r="M754" s="514"/>
      <c r="N754" s="514"/>
      <c r="O754" s="514"/>
      <c r="P754" s="514"/>
      <c r="Q754" s="514"/>
      <c r="R754" s="189"/>
      <c r="S754" s="515"/>
      <c r="T754" s="516"/>
    </row>
    <row r="755" spans="3:20" s="517" customFormat="1" ht="27" customHeight="1">
      <c r="C755" s="202" t="s">
        <v>1209</v>
      </c>
      <c r="D755" s="196" t="s">
        <v>1210</v>
      </c>
      <c r="E755" s="197"/>
      <c r="F755" s="197"/>
      <c r="G755" s="197"/>
      <c r="H755" s="197"/>
      <c r="I755" s="514"/>
      <c r="J755" s="514"/>
      <c r="K755" s="514"/>
      <c r="L755" s="514"/>
      <c r="M755" s="514"/>
      <c r="N755" s="514"/>
      <c r="O755" s="514"/>
      <c r="P755" s="514"/>
      <c r="Q755" s="514"/>
      <c r="R755" s="189"/>
      <c r="S755" s="515"/>
      <c r="T755" s="516"/>
    </row>
    <row r="756" spans="3:20" s="517" customFormat="1" ht="27" customHeight="1">
      <c r="C756" s="700">
        <v>1</v>
      </c>
      <c r="D756" s="703" t="s">
        <v>5598</v>
      </c>
      <c r="E756" s="704" t="s">
        <v>62</v>
      </c>
      <c r="F756" s="705">
        <v>1</v>
      </c>
      <c r="G756" s="205">
        <f>VLOOKUP(D756,upahbahan,3,FALSE)</f>
        <v>0</v>
      </c>
      <c r="H756" s="205">
        <f t="shared" ref="H756" si="52">F756*G756</f>
        <v>0</v>
      </c>
      <c r="I756" s="514"/>
      <c r="J756" s="514"/>
      <c r="K756" s="514"/>
      <c r="L756" s="514"/>
      <c r="M756" s="514"/>
      <c r="N756" s="514"/>
      <c r="O756" s="514"/>
      <c r="P756" s="514"/>
      <c r="Q756" s="514"/>
      <c r="R756" s="189"/>
      <c r="S756" s="515"/>
      <c r="T756" s="516"/>
    </row>
    <row r="757" spans="3:20" s="517" customFormat="1" ht="27" customHeight="1">
      <c r="C757" s="702" t="s">
        <v>1214</v>
      </c>
      <c r="D757" s="208"/>
      <c r="E757" s="208"/>
      <c r="F757" s="208"/>
      <c r="G757" s="209"/>
      <c r="H757" s="205">
        <f>SUM(H756:H756)</f>
        <v>0</v>
      </c>
      <c r="I757" s="514"/>
      <c r="J757" s="514"/>
      <c r="K757" s="514"/>
      <c r="L757" s="514"/>
      <c r="M757" s="514"/>
      <c r="N757" s="514"/>
      <c r="O757" s="514"/>
      <c r="P757" s="514"/>
      <c r="Q757" s="514"/>
      <c r="R757" s="189"/>
      <c r="S757" s="515"/>
      <c r="T757" s="516"/>
    </row>
    <row r="758" spans="3:20" s="517" customFormat="1" ht="27" customHeight="1">
      <c r="C758" s="202" t="s">
        <v>1215</v>
      </c>
      <c r="D758" s="196" t="s">
        <v>1216</v>
      </c>
      <c r="E758" s="197"/>
      <c r="F758" s="197"/>
      <c r="G758" s="197"/>
      <c r="H758" s="197"/>
      <c r="I758" s="514"/>
      <c r="J758" s="514"/>
      <c r="K758" s="514"/>
      <c r="L758" s="514"/>
      <c r="M758" s="514"/>
      <c r="N758" s="514"/>
      <c r="O758" s="514"/>
      <c r="P758" s="514"/>
      <c r="Q758" s="514"/>
      <c r="R758" s="189"/>
      <c r="S758" s="515"/>
      <c r="T758" s="516"/>
    </row>
    <row r="759" spans="3:20" s="517" customFormat="1" ht="27" customHeight="1">
      <c r="C759" s="700">
        <v>1</v>
      </c>
      <c r="D759" s="703" t="s">
        <v>6849</v>
      </c>
      <c r="E759" s="704" t="s">
        <v>2139</v>
      </c>
      <c r="F759" s="520">
        <f>I734</f>
        <v>1.9919678714859439E-2</v>
      </c>
      <c r="G759" s="205">
        <f>VLOOKUP(D759,upahbahan,3,FALSE)</f>
        <v>268539.71000000002</v>
      </c>
      <c r="H759" s="205">
        <f t="shared" ref="H759" si="53">F759*G759</f>
        <v>5349.2247453815271</v>
      </c>
      <c r="I759" s="514"/>
      <c r="J759" s="514"/>
      <c r="K759" s="514"/>
      <c r="L759" s="514"/>
      <c r="M759" s="514"/>
      <c r="N759" s="514"/>
      <c r="O759" s="514"/>
      <c r="P759" s="514"/>
      <c r="Q759" s="514"/>
      <c r="R759" s="189"/>
      <c r="S759" s="515"/>
      <c r="T759" s="516"/>
    </row>
    <row r="760" spans="3:20" s="517" customFormat="1" ht="27" customHeight="1">
      <c r="C760" s="702" t="s">
        <v>1217</v>
      </c>
      <c r="D760" s="208"/>
      <c r="E760" s="208"/>
      <c r="F760" s="208"/>
      <c r="G760" s="209"/>
      <c r="H760" s="706">
        <f>SUM(H759)</f>
        <v>5349.2247453815271</v>
      </c>
      <c r="I760" s="514"/>
      <c r="J760" s="514"/>
      <c r="K760" s="514"/>
      <c r="L760" s="514"/>
      <c r="M760" s="514"/>
      <c r="N760" s="514"/>
      <c r="O760" s="514"/>
      <c r="P760" s="514"/>
      <c r="Q760" s="514"/>
      <c r="R760" s="189"/>
      <c r="S760" s="515"/>
      <c r="T760" s="516"/>
    </row>
    <row r="761" spans="3:20" s="517" customFormat="1" ht="27" customHeight="1">
      <c r="C761" s="707" t="s">
        <v>1218</v>
      </c>
      <c r="D761" s="224" t="s">
        <v>1219</v>
      </c>
      <c r="E761" s="225"/>
      <c r="F761" s="225"/>
      <c r="G761" s="226"/>
      <c r="H761" s="205">
        <f>H760+H757+H754</f>
        <v>5484.7247453815271</v>
      </c>
      <c r="I761" s="514"/>
      <c r="J761" s="514"/>
      <c r="K761" s="514"/>
      <c r="L761" s="514"/>
      <c r="M761" s="514"/>
      <c r="N761" s="514"/>
      <c r="O761" s="514"/>
      <c r="P761" s="514"/>
      <c r="Q761" s="514"/>
      <c r="R761" s="189"/>
      <c r="S761" s="515"/>
      <c r="T761" s="516"/>
    </row>
    <row r="762" spans="3:20" s="517" customFormat="1" ht="27" customHeight="1">
      <c r="C762" s="707" t="s">
        <v>1220</v>
      </c>
      <c r="D762" s="224" t="s">
        <v>1321</v>
      </c>
      <c r="E762" s="225"/>
      <c r="F762" s="226"/>
      <c r="G762" s="228">
        <v>0.1</v>
      </c>
      <c r="H762" s="205">
        <f>H761*G762</f>
        <v>548.47247453815271</v>
      </c>
      <c r="I762" s="514"/>
      <c r="J762" s="514"/>
      <c r="K762" s="514"/>
      <c r="L762" s="514"/>
      <c r="M762" s="514"/>
      <c r="N762" s="514"/>
      <c r="O762" s="514"/>
      <c r="P762" s="514"/>
      <c r="Q762" s="514"/>
      <c r="R762" s="189"/>
      <c r="S762" s="515"/>
      <c r="T762" s="516"/>
    </row>
    <row r="763" spans="3:20" s="517" customFormat="1" ht="27" customHeight="1">
      <c r="C763" s="707" t="s">
        <v>1221</v>
      </c>
      <c r="D763" s="224" t="s">
        <v>1222</v>
      </c>
      <c r="E763" s="225"/>
      <c r="F763" s="225"/>
      <c r="G763" s="226"/>
      <c r="H763" s="708">
        <f>SUM(H761:H762)</f>
        <v>6033.1972199196798</v>
      </c>
      <c r="I763" s="514"/>
      <c r="J763" s="514"/>
      <c r="K763" s="514"/>
      <c r="L763" s="514"/>
      <c r="M763" s="514"/>
      <c r="N763" s="514"/>
      <c r="O763" s="514"/>
      <c r="P763" s="514"/>
      <c r="Q763" s="514"/>
      <c r="R763" s="189"/>
      <c r="S763" s="515"/>
      <c r="T763" s="516"/>
    </row>
    <row r="764" spans="3:20" s="517" customFormat="1" ht="21.75" customHeight="1">
      <c r="C764" s="571"/>
      <c r="D764" s="513"/>
      <c r="E764" s="710"/>
      <c r="F764" s="513"/>
      <c r="G764" s="513"/>
      <c r="H764" s="595"/>
      <c r="I764" s="514"/>
      <c r="J764" s="514"/>
      <c r="K764" s="514"/>
      <c r="L764" s="514"/>
      <c r="M764" s="514"/>
      <c r="N764" s="514"/>
      <c r="O764" s="514"/>
      <c r="P764" s="514"/>
      <c r="Q764" s="514"/>
      <c r="R764" s="189"/>
      <c r="S764" s="515"/>
      <c r="T764" s="516"/>
    </row>
    <row r="765" spans="3:20" s="517" customFormat="1" ht="24" customHeight="1">
      <c r="C765" s="512" t="s">
        <v>6890</v>
      </c>
      <c r="D765" s="513" t="s">
        <v>6891</v>
      </c>
      <c r="E765" s="594"/>
      <c r="F765" s="513"/>
      <c r="G765" s="513"/>
      <c r="H765" s="595"/>
      <c r="I765" s="514"/>
      <c r="J765" s="514"/>
      <c r="K765" s="514"/>
      <c r="L765" s="514"/>
      <c r="M765" s="514"/>
      <c r="N765" s="514"/>
      <c r="O765" s="514"/>
      <c r="P765" s="514"/>
      <c r="Q765" s="514"/>
      <c r="R765" s="189"/>
      <c r="S765" s="515" t="s">
        <v>6760</v>
      </c>
      <c r="T765" s="516" t="s">
        <v>6811</v>
      </c>
    </row>
    <row r="766" spans="3:20" s="517" customFormat="1" ht="24" customHeight="1">
      <c r="C766" s="512" t="s">
        <v>6672</v>
      </c>
      <c r="D766" s="513"/>
      <c r="E766" s="710" t="s">
        <v>6892</v>
      </c>
      <c r="F766" s="513"/>
      <c r="G766" s="513"/>
      <c r="H766" s="595"/>
      <c r="I766" s="514"/>
      <c r="J766" s="514"/>
      <c r="K766" s="514"/>
      <c r="L766" s="514"/>
      <c r="M766" s="514"/>
      <c r="N766" s="514"/>
      <c r="O766" s="514"/>
      <c r="P766" s="514"/>
      <c r="Q766" s="514"/>
      <c r="R766" s="189"/>
      <c r="S766" s="515"/>
      <c r="T766" s="516"/>
    </row>
    <row r="767" spans="3:20" s="517" customFormat="1" ht="24" customHeight="1">
      <c r="C767" s="512" t="s">
        <v>6673</v>
      </c>
      <c r="D767" s="513"/>
      <c r="E767" s="710" t="s">
        <v>6748</v>
      </c>
      <c r="F767" s="513"/>
      <c r="G767" s="513"/>
      <c r="H767" s="595"/>
      <c r="I767" s="514"/>
      <c r="J767" s="514"/>
      <c r="K767" s="514"/>
      <c r="L767" s="514"/>
      <c r="M767" s="514"/>
      <c r="N767" s="514"/>
      <c r="O767" s="514"/>
      <c r="P767" s="514"/>
      <c r="Q767" s="514"/>
      <c r="R767" s="189"/>
      <c r="S767" s="515"/>
      <c r="T767" s="516"/>
    </row>
    <row r="768" spans="3:20" s="517" customFormat="1" ht="24" customHeight="1">
      <c r="C768" s="512" t="s">
        <v>6674</v>
      </c>
      <c r="D768" s="513"/>
      <c r="E768" s="710" t="s">
        <v>6749</v>
      </c>
      <c r="F768" s="513"/>
      <c r="G768" s="513"/>
      <c r="H768" s="595"/>
      <c r="I768" s="514"/>
      <c r="J768" s="514"/>
      <c r="K768" s="514"/>
      <c r="L768" s="514"/>
      <c r="M768" s="514"/>
      <c r="N768" s="514"/>
      <c r="O768" s="514"/>
      <c r="P768" s="514"/>
      <c r="Q768" s="514"/>
      <c r="R768" s="189"/>
      <c r="S768" s="515"/>
      <c r="T768" s="516"/>
    </row>
    <row r="769" spans="3:20" s="517" customFormat="1" ht="24" customHeight="1" thickBot="1">
      <c r="C769" s="571" t="s">
        <v>6676</v>
      </c>
      <c r="D769" s="513"/>
      <c r="E769" s="710" t="s">
        <v>6893</v>
      </c>
      <c r="F769" s="513"/>
      <c r="G769" s="513"/>
      <c r="H769" s="595"/>
      <c r="I769" s="514"/>
      <c r="J769" s="514"/>
      <c r="K769" s="514"/>
      <c r="L769" s="514"/>
      <c r="M769" s="514"/>
      <c r="N769" s="514"/>
      <c r="O769" s="514"/>
      <c r="P769" s="514"/>
      <c r="Q769" s="514"/>
      <c r="R769" s="189"/>
      <c r="S769" s="515"/>
      <c r="T769" s="516"/>
    </row>
    <row r="770" spans="3:20" s="517" customFormat="1" ht="24" customHeight="1" thickTop="1">
      <c r="C770" s="190" t="s">
        <v>1195</v>
      </c>
      <c r="D770" s="1922" t="s">
        <v>1196</v>
      </c>
      <c r="E770" s="1923"/>
      <c r="F770" s="1923"/>
      <c r="G770" s="1924"/>
      <c r="H770" s="191" t="s">
        <v>1906</v>
      </c>
      <c r="I770" s="596" t="s">
        <v>1198</v>
      </c>
      <c r="J770" s="600"/>
      <c r="K770" s="191" t="s">
        <v>5286</v>
      </c>
      <c r="L770" s="596" t="s">
        <v>6733</v>
      </c>
      <c r="M770" s="679"/>
      <c r="N770" s="561"/>
      <c r="O770" s="561"/>
      <c r="P770" s="561"/>
      <c r="Q770" s="561"/>
      <c r="R770" s="200"/>
      <c r="S770" s="515"/>
    </row>
    <row r="771" spans="3:20" s="517" customFormat="1" ht="24" customHeight="1">
      <c r="C771" s="601" t="s">
        <v>1766</v>
      </c>
      <c r="D771" s="602" t="s">
        <v>5288</v>
      </c>
      <c r="E771" s="604"/>
      <c r="F771" s="604"/>
      <c r="G771" s="604"/>
      <c r="H771" s="604"/>
      <c r="I771" s="604"/>
      <c r="J771" s="604"/>
      <c r="K771" s="604"/>
      <c r="L771" s="604"/>
      <c r="M771" s="680"/>
      <c r="N771" s="681"/>
      <c r="O771" s="681"/>
      <c r="P771" s="681"/>
      <c r="Q771" s="681"/>
      <c r="R771" s="200"/>
      <c r="S771" s="515"/>
    </row>
    <row r="772" spans="3:20" s="517" customFormat="1" ht="24" customHeight="1">
      <c r="C772" s="519">
        <v>1</v>
      </c>
      <c r="D772" s="682" t="s">
        <v>6683</v>
      </c>
      <c r="E772" s="607"/>
      <c r="F772" s="611"/>
      <c r="G772" s="616"/>
      <c r="H772" s="213" t="s">
        <v>6687</v>
      </c>
      <c r="I772" s="619">
        <v>7</v>
      </c>
      <c r="J772" s="613"/>
      <c r="K772" s="520" t="s">
        <v>2139</v>
      </c>
      <c r="L772" s="618"/>
      <c r="M772" s="683"/>
      <c r="N772" s="684"/>
      <c r="O772" s="684"/>
      <c r="P772" s="684"/>
      <c r="Q772" s="684"/>
      <c r="R772" s="200"/>
      <c r="S772" s="515"/>
    </row>
    <row r="773" spans="3:20" s="517" customFormat="1" ht="24" customHeight="1">
      <c r="C773" s="519">
        <v>2</v>
      </c>
      <c r="D773" s="682" t="s">
        <v>6684</v>
      </c>
      <c r="E773" s="607"/>
      <c r="F773" s="611"/>
      <c r="G773" s="616"/>
      <c r="H773" s="213" t="s">
        <v>6688</v>
      </c>
      <c r="I773" s="619">
        <v>1.25</v>
      </c>
      <c r="J773" s="613"/>
      <c r="K773" s="520" t="s">
        <v>5296</v>
      </c>
      <c r="L773" s="618" t="s">
        <v>6734</v>
      </c>
      <c r="M773" s="683"/>
      <c r="N773" s="684"/>
      <c r="O773" s="684"/>
      <c r="P773" s="684"/>
      <c r="Q773" s="684"/>
      <c r="R773" s="200"/>
      <c r="S773" s="515"/>
    </row>
    <row r="774" spans="3:20" s="517" customFormat="1" ht="24" customHeight="1">
      <c r="C774" s="519">
        <v>3</v>
      </c>
      <c r="D774" s="682" t="s">
        <v>6685</v>
      </c>
      <c r="E774" s="607"/>
      <c r="F774" s="611"/>
      <c r="G774" s="616"/>
      <c r="H774" s="213" t="s">
        <v>1767</v>
      </c>
      <c r="I774" s="619">
        <v>100</v>
      </c>
      <c r="J774" s="620"/>
      <c r="K774" s="520" t="s">
        <v>5289</v>
      </c>
      <c r="L774" s="618"/>
      <c r="M774" s="683"/>
      <c r="N774" s="684"/>
      <c r="O774" s="684"/>
      <c r="P774" s="684"/>
      <c r="Q774" s="684"/>
      <c r="R774" s="200"/>
      <c r="S774" s="515"/>
    </row>
    <row r="775" spans="3:20" s="517" customFormat="1" ht="24" customHeight="1">
      <c r="C775" s="519">
        <v>4</v>
      </c>
      <c r="D775" s="682" t="s">
        <v>6686</v>
      </c>
      <c r="E775" s="607"/>
      <c r="F775" s="611"/>
      <c r="G775" s="616"/>
      <c r="H775" s="213"/>
      <c r="I775" s="619"/>
      <c r="J775" s="620"/>
      <c r="K775" s="520"/>
      <c r="L775" s="618" t="s">
        <v>6772</v>
      </c>
      <c r="M775" s="683"/>
      <c r="N775" s="684"/>
      <c r="O775" s="684"/>
      <c r="P775" s="684"/>
      <c r="Q775" s="684"/>
      <c r="R775" s="200"/>
      <c r="S775" s="515"/>
    </row>
    <row r="776" spans="3:20" s="517" customFormat="1" ht="24" customHeight="1">
      <c r="C776" s="518" t="s">
        <v>5291</v>
      </c>
      <c r="D776" s="602" t="s">
        <v>5292</v>
      </c>
      <c r="E776" s="604"/>
      <c r="F776" s="604"/>
      <c r="G776" s="604"/>
      <c r="H776" s="604"/>
      <c r="I776" s="604"/>
      <c r="J776" s="604"/>
      <c r="K776" s="604"/>
      <c r="L776" s="604"/>
      <c r="M776" s="680"/>
      <c r="N776" s="681"/>
      <c r="O776" s="681"/>
      <c r="P776" s="681"/>
      <c r="Q776" s="681"/>
      <c r="R776" s="200"/>
      <c r="S776" s="515"/>
    </row>
    <row r="777" spans="3:20" s="517" customFormat="1" ht="24" customHeight="1">
      <c r="C777" s="524" t="s">
        <v>1203</v>
      </c>
      <c r="D777" s="610" t="s">
        <v>6894</v>
      </c>
      <c r="E777" s="607"/>
      <c r="F777" s="611"/>
      <c r="G777" s="616"/>
      <c r="H777" s="234"/>
      <c r="I777" s="628"/>
      <c r="J777" s="629"/>
      <c r="K777" s="525"/>
      <c r="L777" s="618"/>
      <c r="M777" s="683"/>
      <c r="N777" s="684"/>
      <c r="O777" s="684"/>
      <c r="P777" s="684"/>
      <c r="Q777" s="684"/>
      <c r="R777" s="200"/>
      <c r="S777" s="515"/>
    </row>
    <row r="778" spans="3:20" s="517" customFormat="1" ht="24" customHeight="1">
      <c r="C778" s="524">
        <v>2</v>
      </c>
      <c r="D778" s="610" t="s">
        <v>6895</v>
      </c>
      <c r="E778" s="607"/>
      <c r="F778" s="611"/>
      <c r="G778" s="616"/>
      <c r="H778" s="234"/>
      <c r="I778" s="628"/>
      <c r="J778" s="629"/>
      <c r="K778" s="525"/>
      <c r="L778" s="618"/>
      <c r="M778" s="683"/>
      <c r="N778" s="684"/>
      <c r="O778" s="684"/>
      <c r="P778" s="684"/>
      <c r="Q778" s="684"/>
      <c r="R778" s="200"/>
      <c r="S778" s="515"/>
    </row>
    <row r="779" spans="3:20" s="517" customFormat="1" ht="24" customHeight="1">
      <c r="C779" s="524">
        <v>3</v>
      </c>
      <c r="D779" s="610" t="s">
        <v>6896</v>
      </c>
      <c r="E779" s="607"/>
      <c r="F779" s="611"/>
      <c r="G779" s="616"/>
      <c r="H779" s="234"/>
      <c r="I779" s="628"/>
      <c r="J779" s="629"/>
      <c r="K779" s="525"/>
      <c r="L779" s="618"/>
      <c r="M779" s="683"/>
      <c r="N779" s="684"/>
      <c r="O779" s="684"/>
      <c r="P779" s="684"/>
      <c r="Q779" s="684"/>
      <c r="R779" s="200"/>
      <c r="S779" s="515"/>
    </row>
    <row r="780" spans="3:20" s="517" customFormat="1" ht="24" customHeight="1">
      <c r="C780" s="601" t="s">
        <v>1071</v>
      </c>
      <c r="D780" s="651" t="s">
        <v>6819</v>
      </c>
      <c r="E780" s="604"/>
      <c r="F780" s="604"/>
      <c r="G780" s="604"/>
      <c r="H780" s="604"/>
      <c r="I780" s="604"/>
      <c r="J780" s="604"/>
      <c r="K780" s="604"/>
      <c r="L780" s="604"/>
      <c r="M780" s="680"/>
      <c r="N780" s="681"/>
      <c r="O780" s="681"/>
      <c r="P780" s="681"/>
      <c r="Q780" s="681"/>
      <c r="R780" s="200"/>
      <c r="S780" s="515"/>
    </row>
    <row r="781" spans="3:20" s="517" customFormat="1" ht="24" customHeight="1">
      <c r="C781" s="601" t="s">
        <v>5265</v>
      </c>
      <c r="D781" s="644" t="s">
        <v>6849</v>
      </c>
      <c r="E781" s="603"/>
      <c r="F781" s="645" t="s">
        <v>6850</v>
      </c>
      <c r="G781" s="645"/>
      <c r="H781" s="656"/>
      <c r="I781" s="644"/>
      <c r="J781" s="657"/>
      <c r="K781" s="685"/>
      <c r="L781" s="644"/>
      <c r="M781" s="686"/>
      <c r="N781" s="687"/>
      <c r="O781" s="687"/>
      <c r="P781" s="687"/>
      <c r="Q781" s="687"/>
      <c r="R781" s="200"/>
      <c r="S781" s="515"/>
    </row>
    <row r="782" spans="3:20" s="517" customFormat="1" ht="24" customHeight="1">
      <c r="C782" s="543"/>
      <c r="D782" s="688" t="s">
        <v>6693</v>
      </c>
      <c r="E782" s="688"/>
      <c r="F782" s="645"/>
      <c r="G782" s="645"/>
      <c r="H782" s="213" t="s">
        <v>1769</v>
      </c>
      <c r="I782" s="610">
        <v>100</v>
      </c>
      <c r="J782" s="616"/>
      <c r="K782" s="196" t="s">
        <v>62</v>
      </c>
      <c r="L782" s="610"/>
      <c r="M782" s="637"/>
      <c r="N782" s="689"/>
      <c r="O782" s="689"/>
      <c r="P782" s="689"/>
      <c r="Q782" s="689"/>
      <c r="R782" s="200"/>
      <c r="S782" s="515"/>
    </row>
    <row r="783" spans="3:20" s="517" customFormat="1" ht="24" customHeight="1">
      <c r="C783" s="674"/>
      <c r="D783" s="690" t="s">
        <v>6694</v>
      </c>
      <c r="E783" s="690"/>
      <c r="F783" s="611"/>
      <c r="G783" s="611"/>
      <c r="H783" s="213" t="s">
        <v>5295</v>
      </c>
      <c r="I783" s="610">
        <v>0.83</v>
      </c>
      <c r="J783" s="616"/>
      <c r="K783" s="196" t="s">
        <v>5296</v>
      </c>
      <c r="L783" s="610" t="s">
        <v>6735</v>
      </c>
      <c r="M783" s="637"/>
      <c r="N783" s="689"/>
      <c r="O783" s="689"/>
      <c r="P783" s="689"/>
      <c r="Q783" s="689"/>
      <c r="R783" s="200"/>
      <c r="S783" s="515"/>
    </row>
    <row r="784" spans="3:20" s="517" customFormat="1" ht="24" customHeight="1">
      <c r="C784" s="674"/>
      <c r="D784" s="644" t="s">
        <v>6695</v>
      </c>
      <c r="E784" s="607"/>
      <c r="F784" s="611"/>
      <c r="G784" s="611"/>
      <c r="H784" s="656" t="s">
        <v>1767</v>
      </c>
      <c r="I784" s="610">
        <v>100</v>
      </c>
      <c r="J784" s="616"/>
      <c r="K784" s="196" t="s">
        <v>6728</v>
      </c>
      <c r="L784" s="610"/>
      <c r="M784" s="637"/>
      <c r="N784" s="689"/>
      <c r="O784" s="689"/>
      <c r="P784" s="689"/>
      <c r="Q784" s="689"/>
      <c r="R784" s="200"/>
      <c r="S784" s="515"/>
    </row>
    <row r="785" spans="3:19" s="517" customFormat="1" ht="24" customHeight="1">
      <c r="C785" s="674"/>
      <c r="D785" s="682" t="s">
        <v>6696</v>
      </c>
      <c r="E785" s="607"/>
      <c r="F785" s="611"/>
      <c r="G785" s="611"/>
      <c r="H785" s="213" t="s">
        <v>6703</v>
      </c>
      <c r="I785" s="610">
        <v>40</v>
      </c>
      <c r="J785" s="616"/>
      <c r="K785" s="196" t="s">
        <v>6729</v>
      </c>
      <c r="L785" s="1897" t="s">
        <v>6736</v>
      </c>
      <c r="M785" s="637"/>
      <c r="N785" s="689"/>
      <c r="O785" s="689"/>
      <c r="P785" s="689"/>
      <c r="Q785" s="689"/>
      <c r="R785" s="200"/>
      <c r="S785" s="515"/>
    </row>
    <row r="786" spans="3:19" s="517" customFormat="1" ht="24" customHeight="1">
      <c r="C786" s="674"/>
      <c r="D786" s="682" t="s">
        <v>6697</v>
      </c>
      <c r="E786" s="607"/>
      <c r="F786" s="611"/>
      <c r="G786" s="611"/>
      <c r="H786" s="213" t="s">
        <v>6704</v>
      </c>
      <c r="I786" s="610">
        <v>60</v>
      </c>
      <c r="J786" s="616"/>
      <c r="K786" s="196" t="s">
        <v>6729</v>
      </c>
      <c r="L786" s="1898"/>
      <c r="M786" s="637"/>
      <c r="N786" s="689"/>
      <c r="O786" s="689"/>
      <c r="P786" s="689"/>
      <c r="Q786" s="689"/>
      <c r="R786" s="200"/>
      <c r="S786" s="515"/>
    </row>
    <row r="787" spans="3:19" s="517" customFormat="1" ht="24" customHeight="1">
      <c r="C787" s="674"/>
      <c r="D787" s="644" t="s">
        <v>5294</v>
      </c>
      <c r="E787" s="603"/>
      <c r="F787" s="645"/>
      <c r="G787" s="645"/>
      <c r="H787" s="213"/>
      <c r="I787" s="610"/>
      <c r="J787" s="616"/>
      <c r="K787" s="196"/>
      <c r="L787" s="610"/>
      <c r="M787" s="637"/>
      <c r="N787" s="689"/>
      <c r="O787" s="689"/>
      <c r="P787" s="689"/>
      <c r="Q787" s="689"/>
      <c r="R787" s="200"/>
      <c r="S787" s="515"/>
    </row>
    <row r="788" spans="3:19" s="517" customFormat="1" ht="24" customHeight="1">
      <c r="C788" s="674"/>
      <c r="D788" s="610" t="s">
        <v>6698</v>
      </c>
      <c r="E788" s="607" t="s">
        <v>6619</v>
      </c>
      <c r="F788" s="611" t="s">
        <v>6700</v>
      </c>
      <c r="G788" s="611"/>
      <c r="H788" s="213" t="s">
        <v>6701</v>
      </c>
      <c r="I788" s="610">
        <f>(I774/I785)*60</f>
        <v>150</v>
      </c>
      <c r="J788" s="616"/>
      <c r="K788" s="196" t="s">
        <v>5298</v>
      </c>
      <c r="L788" s="610"/>
      <c r="M788" s="637"/>
      <c r="N788" s="689"/>
      <c r="O788" s="689"/>
      <c r="P788" s="689"/>
      <c r="Q788" s="689"/>
      <c r="R788" s="200"/>
      <c r="S788" s="515"/>
    </row>
    <row r="789" spans="3:19" s="517" customFormat="1" ht="24" customHeight="1" thickBot="1">
      <c r="C789" s="674"/>
      <c r="D789" s="610" t="s">
        <v>6699</v>
      </c>
      <c r="E789" s="607" t="s">
        <v>6619</v>
      </c>
      <c r="F789" s="611" t="s">
        <v>6700</v>
      </c>
      <c r="G789" s="611"/>
      <c r="H789" s="691" t="s">
        <v>6702</v>
      </c>
      <c r="I789" s="610">
        <v>48.4</v>
      </c>
      <c r="J789" s="616"/>
      <c r="K789" s="196" t="s">
        <v>5298</v>
      </c>
      <c r="L789" s="610"/>
      <c r="M789" s="637"/>
      <c r="N789" s="689"/>
      <c r="O789" s="689"/>
      <c r="P789" s="689"/>
      <c r="Q789" s="689"/>
      <c r="R789" s="200"/>
      <c r="S789" s="515"/>
    </row>
    <row r="790" spans="3:19" s="517" customFormat="1" ht="24" customHeight="1">
      <c r="C790" s="674"/>
      <c r="D790" s="610"/>
      <c r="E790" s="607"/>
      <c r="F790" s="611"/>
      <c r="G790" s="611"/>
      <c r="H790" s="692" t="s">
        <v>6705</v>
      </c>
      <c r="I790" s="639">
        <f>SUM(I788:I789)</f>
        <v>198.4</v>
      </c>
      <c r="J790" s="633"/>
      <c r="K790" s="693" t="s">
        <v>5298</v>
      </c>
      <c r="L790" s="610"/>
      <c r="M790" s="637"/>
      <c r="N790" s="689"/>
      <c r="O790" s="689"/>
      <c r="P790" s="689"/>
      <c r="Q790" s="689"/>
      <c r="R790" s="200"/>
      <c r="S790" s="515"/>
    </row>
    <row r="791" spans="3:19" s="517" customFormat="1" ht="24" customHeight="1">
      <c r="C791" s="674"/>
      <c r="D791" s="610" t="s">
        <v>6706</v>
      </c>
      <c r="E791" s="607" t="s">
        <v>6619</v>
      </c>
      <c r="F791" s="655" t="s">
        <v>6767</v>
      </c>
      <c r="G791" s="611"/>
      <c r="H791" s="692" t="s">
        <v>6710</v>
      </c>
      <c r="I791" s="639">
        <f>(I782*I783*60)/I790</f>
        <v>25.100806451612904</v>
      </c>
      <c r="J791" s="633"/>
      <c r="K791" s="693" t="s">
        <v>6730</v>
      </c>
      <c r="L791" s="610"/>
      <c r="M791" s="637"/>
      <c r="N791" s="689"/>
      <c r="O791" s="689"/>
      <c r="P791" s="689"/>
      <c r="Q791" s="689"/>
      <c r="R791" s="200"/>
      <c r="S791" s="515"/>
    </row>
    <row r="792" spans="3:19" s="517" customFormat="1" ht="24" customHeight="1">
      <c r="C792" s="674"/>
      <c r="D792" s="644" t="s">
        <v>6882</v>
      </c>
      <c r="E792" s="607" t="s">
        <v>6619</v>
      </c>
      <c r="F792" s="611" t="s">
        <v>6709</v>
      </c>
      <c r="G792" s="611"/>
      <c r="H792" s="692"/>
      <c r="I792" s="718">
        <f>1/I791</f>
        <v>3.9839357429718877E-2</v>
      </c>
      <c r="J792" s="633"/>
      <c r="K792" s="693" t="s">
        <v>2139</v>
      </c>
      <c r="L792" s="610"/>
      <c r="M792" s="637"/>
      <c r="N792" s="689"/>
      <c r="O792" s="689"/>
      <c r="P792" s="689"/>
      <c r="Q792" s="689"/>
      <c r="R792" s="200"/>
      <c r="S792" s="515"/>
    </row>
    <row r="793" spans="3:19" s="517" customFormat="1" ht="24" customHeight="1">
      <c r="C793" s="675"/>
      <c r="D793" s="610"/>
      <c r="E793" s="607"/>
      <c r="F793" s="611"/>
      <c r="G793" s="611"/>
      <c r="H793" s="692"/>
      <c r="I793" s="639"/>
      <c r="J793" s="633"/>
      <c r="K793" s="693"/>
      <c r="L793" s="610"/>
      <c r="M793" s="637"/>
      <c r="N793" s="689"/>
      <c r="O793" s="689"/>
      <c r="P793" s="689"/>
      <c r="Q793" s="689"/>
      <c r="R793" s="200"/>
      <c r="S793" s="515"/>
    </row>
    <row r="794" spans="3:19" s="517" customFormat="1" ht="24" customHeight="1">
      <c r="C794" s="601" t="s">
        <v>2679</v>
      </c>
      <c r="D794" s="670" t="s">
        <v>6897</v>
      </c>
      <c r="E794" s="607"/>
      <c r="F794" s="611"/>
      <c r="G794" s="611"/>
      <c r="H794" s="213"/>
      <c r="I794" s="610"/>
      <c r="J794" s="616"/>
      <c r="K794" s="196"/>
      <c r="L794" s="713"/>
      <c r="M794" s="695"/>
      <c r="N794" s="696"/>
      <c r="O794" s="696"/>
      <c r="P794" s="696"/>
      <c r="Q794" s="689"/>
      <c r="R794" s="200"/>
      <c r="S794" s="515"/>
    </row>
    <row r="795" spans="3:19" s="517" customFormat="1" ht="24" customHeight="1">
      <c r="C795" s="719"/>
      <c r="D795" s="670" t="s">
        <v>6852</v>
      </c>
      <c r="E795" s="607"/>
      <c r="F795" s="611"/>
      <c r="G795" s="611"/>
      <c r="H795" s="213" t="s">
        <v>6716</v>
      </c>
      <c r="I795" s="610">
        <v>0.01</v>
      </c>
      <c r="J795" s="616"/>
      <c r="K795" s="196" t="s">
        <v>6728</v>
      </c>
      <c r="L795" s="713"/>
      <c r="M795" s="695"/>
      <c r="N795" s="696"/>
      <c r="O795" s="696"/>
      <c r="P795" s="696"/>
      <c r="Q795" s="689"/>
      <c r="R795" s="200"/>
      <c r="S795" s="515"/>
    </row>
    <row r="796" spans="3:19" s="517" customFormat="1" ht="24" customHeight="1">
      <c r="C796" s="674"/>
      <c r="D796" s="682" t="s">
        <v>6884</v>
      </c>
      <c r="E796" s="607"/>
      <c r="F796" s="611"/>
      <c r="G796" s="611"/>
      <c r="H796" s="213" t="s">
        <v>1769</v>
      </c>
      <c r="I796" s="697">
        <v>1</v>
      </c>
      <c r="J796" s="616"/>
      <c r="K796" s="196" t="s">
        <v>6675</v>
      </c>
      <c r="L796" s="694"/>
      <c r="M796" s="695"/>
      <c r="N796" s="696"/>
      <c r="O796" s="696"/>
      <c r="P796" s="696"/>
      <c r="Q796" s="689"/>
      <c r="R796" s="200"/>
      <c r="S796" s="515"/>
    </row>
    <row r="797" spans="3:19" s="517" customFormat="1" ht="24" customHeight="1">
      <c r="C797" s="674"/>
      <c r="D797" s="682" t="s">
        <v>6854</v>
      </c>
      <c r="E797" s="607"/>
      <c r="F797" s="611"/>
      <c r="G797" s="611"/>
      <c r="H797" s="213" t="s">
        <v>6717</v>
      </c>
      <c r="I797" s="610">
        <v>0.86</v>
      </c>
      <c r="J797" s="616"/>
      <c r="K797" s="196" t="s">
        <v>5296</v>
      </c>
      <c r="L797" s="694" t="s">
        <v>6856</v>
      </c>
      <c r="M797" s="695"/>
      <c r="N797" s="696"/>
      <c r="O797" s="696"/>
      <c r="P797" s="696"/>
      <c r="Q797" s="689"/>
      <c r="R797" s="200"/>
      <c r="S797" s="515"/>
    </row>
    <row r="798" spans="3:19" s="517" customFormat="1" ht="24" customHeight="1">
      <c r="C798" s="674"/>
      <c r="D798" s="670" t="s">
        <v>5294</v>
      </c>
      <c r="E798" s="607"/>
      <c r="F798" s="611"/>
      <c r="G798" s="611"/>
      <c r="H798" s="213"/>
      <c r="I798" s="610"/>
      <c r="J798" s="616"/>
      <c r="K798" s="196"/>
      <c r="L798" s="694"/>
      <c r="M798" s="695"/>
      <c r="N798" s="696"/>
      <c r="O798" s="696"/>
      <c r="P798" s="696"/>
      <c r="Q798" s="689"/>
      <c r="R798" s="200"/>
      <c r="S798" s="515"/>
    </row>
    <row r="799" spans="3:19" s="517" customFormat="1" ht="24" customHeight="1">
      <c r="C799" s="674"/>
      <c r="D799" s="682" t="s">
        <v>6886</v>
      </c>
      <c r="E799" s="607"/>
      <c r="F799" s="611"/>
      <c r="G799" s="611"/>
      <c r="H799" s="213" t="s">
        <v>6701</v>
      </c>
      <c r="I799" s="610">
        <v>0.28299999999999997</v>
      </c>
      <c r="J799" s="616"/>
      <c r="K799" s="196" t="s">
        <v>6731</v>
      </c>
      <c r="L799" s="1899" t="s">
        <v>6737</v>
      </c>
      <c r="M799" s="695"/>
      <c r="N799" s="696"/>
      <c r="O799" s="696"/>
      <c r="P799" s="696"/>
      <c r="Q799" s="689"/>
      <c r="R799" s="200"/>
      <c r="S799" s="515"/>
    </row>
    <row r="800" spans="3:19" s="517" customFormat="1" ht="24" customHeight="1">
      <c r="C800" s="674"/>
      <c r="D800" s="682" t="s">
        <v>6885</v>
      </c>
      <c r="E800" s="607"/>
      <c r="F800" s="611"/>
      <c r="G800" s="611"/>
      <c r="H800" s="213" t="s">
        <v>6702</v>
      </c>
      <c r="I800" s="610">
        <v>0.20100000000000001</v>
      </c>
      <c r="J800" s="616"/>
      <c r="K800" s="196" t="s">
        <v>6731</v>
      </c>
      <c r="L800" s="1900"/>
      <c r="M800" s="695"/>
      <c r="N800" s="696"/>
      <c r="O800" s="696"/>
      <c r="P800" s="696"/>
      <c r="Q800" s="689"/>
      <c r="R800" s="200"/>
      <c r="S800" s="515"/>
    </row>
    <row r="801" spans="3:20" s="517" customFormat="1" ht="24" customHeight="1">
      <c r="C801" s="674"/>
      <c r="D801" s="682"/>
      <c r="E801" s="607"/>
      <c r="F801" s="611"/>
      <c r="G801" s="611"/>
      <c r="H801" s="692" t="s">
        <v>6719</v>
      </c>
      <c r="I801" s="639">
        <f>SUM(I799:I800)</f>
        <v>0.48399999999999999</v>
      </c>
      <c r="J801" s="633"/>
      <c r="K801" s="196" t="s">
        <v>6731</v>
      </c>
      <c r="L801" s="694"/>
      <c r="M801" s="695"/>
      <c r="N801" s="696"/>
      <c r="O801" s="696"/>
      <c r="P801" s="696"/>
      <c r="Q801" s="689"/>
      <c r="R801" s="200"/>
      <c r="S801" s="515"/>
    </row>
    <row r="802" spans="3:20" s="517" customFormat="1" ht="24" customHeight="1">
      <c r="C802" s="674"/>
      <c r="D802" s="682" t="s">
        <v>6855</v>
      </c>
      <c r="E802" s="607" t="s">
        <v>6619</v>
      </c>
      <c r="F802" s="655" t="s">
        <v>6727</v>
      </c>
      <c r="G802" s="611"/>
      <c r="H802" s="213" t="s">
        <v>6726</v>
      </c>
      <c r="I802" s="610">
        <f>(I796*I797*60)/I801</f>
        <v>106.61157024793388</v>
      </c>
      <c r="J802" s="616"/>
      <c r="K802" s="196" t="s">
        <v>6732</v>
      </c>
      <c r="L802" s="694"/>
      <c r="M802" s="695"/>
      <c r="N802" s="696"/>
      <c r="O802" s="696"/>
      <c r="P802" s="696"/>
      <c r="Q802" s="689"/>
      <c r="R802" s="200"/>
      <c r="S802" s="515"/>
    </row>
    <row r="803" spans="3:20" s="517" customFormat="1" ht="24" customHeight="1">
      <c r="C803" s="674"/>
      <c r="D803" s="670" t="s">
        <v>6887</v>
      </c>
      <c r="E803" s="607"/>
      <c r="F803" s="611"/>
      <c r="G803" s="611"/>
      <c r="H803" s="213"/>
      <c r="I803" s="610"/>
      <c r="J803" s="616"/>
      <c r="K803" s="196"/>
      <c r="L803" s="694"/>
      <c r="M803" s="695"/>
      <c r="N803" s="696"/>
      <c r="O803" s="696"/>
      <c r="P803" s="696"/>
      <c r="Q803" s="689"/>
      <c r="R803" s="200"/>
      <c r="S803" s="515"/>
    </row>
    <row r="804" spans="3:20" s="517" customFormat="1" ht="24" customHeight="1">
      <c r="C804" s="674"/>
      <c r="D804" s="682" t="s">
        <v>6722</v>
      </c>
      <c r="E804" s="607" t="s">
        <v>6619</v>
      </c>
      <c r="F804" s="611" t="s">
        <v>6724</v>
      </c>
      <c r="G804" s="611"/>
      <c r="H804" s="213" t="s">
        <v>1774</v>
      </c>
      <c r="I804" s="610">
        <v>1.8800000000000001E-2</v>
      </c>
      <c r="J804" s="616"/>
      <c r="K804" s="196" t="s">
        <v>1863</v>
      </c>
      <c r="L804" s="694" t="s">
        <v>6738</v>
      </c>
      <c r="M804" s="695"/>
      <c r="N804" s="696"/>
      <c r="O804" s="696"/>
      <c r="P804" s="696"/>
      <c r="Q804" s="689"/>
      <c r="R804" s="200"/>
      <c r="S804" s="515"/>
    </row>
    <row r="805" spans="3:20" s="517" customFormat="1" ht="24" customHeight="1">
      <c r="C805" s="675"/>
      <c r="D805" s="610" t="s">
        <v>6723</v>
      </c>
      <c r="E805" s="607" t="s">
        <v>6619</v>
      </c>
      <c r="F805" s="611" t="s">
        <v>6725</v>
      </c>
      <c r="G805" s="611"/>
      <c r="H805" s="213" t="s">
        <v>1777</v>
      </c>
      <c r="I805" s="610">
        <v>1.9E-3</v>
      </c>
      <c r="J805" s="616"/>
      <c r="K805" s="196" t="s">
        <v>1863</v>
      </c>
      <c r="L805" s="694"/>
      <c r="M805" s="695"/>
      <c r="N805" s="696"/>
      <c r="O805" s="696"/>
      <c r="P805" s="696"/>
      <c r="Q805" s="689"/>
      <c r="R805" s="200"/>
      <c r="S805" s="515"/>
    </row>
    <row r="806" spans="3:20" ht="24" customHeight="1"/>
    <row r="807" spans="3:20" s="517" customFormat="1" ht="24" customHeight="1">
      <c r="C807" s="571" t="s">
        <v>6898</v>
      </c>
      <c r="D807" s="513" t="s">
        <v>6899</v>
      </c>
      <c r="E807" s="710"/>
      <c r="F807" s="513"/>
      <c r="G807" s="513"/>
      <c r="H807" s="595"/>
      <c r="I807" s="514"/>
      <c r="J807" s="514"/>
      <c r="K807" s="514"/>
      <c r="L807" s="514"/>
      <c r="M807" s="514"/>
      <c r="N807" s="514"/>
      <c r="O807" s="514"/>
      <c r="P807" s="514"/>
      <c r="Q807" s="514"/>
      <c r="R807" s="189">
        <f>ROUNDDOWN(H821,-2)</f>
        <v>12000</v>
      </c>
      <c r="S807" s="515" t="s">
        <v>6760</v>
      </c>
      <c r="T807" s="516" t="s">
        <v>6778</v>
      </c>
    </row>
    <row r="808" spans="3:20" s="517" customFormat="1" ht="24" customHeight="1">
      <c r="C808" s="699" t="s">
        <v>1195</v>
      </c>
      <c r="D808" s="699" t="s">
        <v>1196</v>
      </c>
      <c r="E808" s="699" t="s">
        <v>1197</v>
      </c>
      <c r="F808" s="699" t="s">
        <v>1198</v>
      </c>
      <c r="G808" s="699" t="s">
        <v>1199</v>
      </c>
      <c r="H808" s="699" t="s">
        <v>1200</v>
      </c>
      <c r="I808" s="514"/>
      <c r="J808" s="514"/>
      <c r="K808" s="514"/>
      <c r="L808" s="514"/>
      <c r="M808" s="514"/>
      <c r="N808" s="514"/>
      <c r="O808" s="514"/>
      <c r="P808" s="514"/>
      <c r="Q808" s="514"/>
      <c r="R808" s="189"/>
      <c r="S808" s="515"/>
      <c r="T808" s="516"/>
    </row>
    <row r="809" spans="3:20" s="517" customFormat="1" ht="24" customHeight="1">
      <c r="C809" s="202" t="s">
        <v>1201</v>
      </c>
      <c r="D809" s="196" t="s">
        <v>1202</v>
      </c>
      <c r="E809" s="197"/>
      <c r="F809" s="197"/>
      <c r="G809" s="197"/>
      <c r="H809" s="197"/>
      <c r="I809" s="514"/>
      <c r="J809" s="514"/>
      <c r="K809" s="514"/>
      <c r="L809" s="514"/>
      <c r="M809" s="514"/>
      <c r="N809" s="514"/>
      <c r="O809" s="514"/>
      <c r="P809" s="514"/>
      <c r="Q809" s="514"/>
      <c r="R809" s="189"/>
      <c r="S809" s="515"/>
      <c r="T809" s="516"/>
    </row>
    <row r="810" spans="3:20" s="517" customFormat="1" ht="24" customHeight="1">
      <c r="C810" s="700">
        <v>1</v>
      </c>
      <c r="D810" s="196" t="s">
        <v>5</v>
      </c>
      <c r="E810" s="701" t="s">
        <v>1863</v>
      </c>
      <c r="F810" s="520">
        <f>I804</f>
        <v>1.8800000000000001E-2</v>
      </c>
      <c r="G810" s="205">
        <f>VLOOKUP(D810,upahbahan,3,FALSE)/8</f>
        <v>12500</v>
      </c>
      <c r="H810" s="205">
        <f t="shared" ref="H810:H811" si="54">F810*G810</f>
        <v>235</v>
      </c>
      <c r="I810" s="514"/>
      <c r="J810" s="514"/>
      <c r="K810" s="514"/>
      <c r="L810" s="514"/>
      <c r="M810" s="514"/>
      <c r="N810" s="514"/>
      <c r="O810" s="514"/>
      <c r="P810" s="514"/>
      <c r="Q810" s="514"/>
      <c r="R810" s="189"/>
      <c r="S810" s="515"/>
      <c r="T810" s="516"/>
    </row>
    <row r="811" spans="3:20" s="517" customFormat="1" ht="24" customHeight="1">
      <c r="C811" s="700">
        <v>2</v>
      </c>
      <c r="D811" s="196" t="s">
        <v>19</v>
      </c>
      <c r="E811" s="701" t="s">
        <v>1863</v>
      </c>
      <c r="F811" s="520">
        <f>I805</f>
        <v>1.9E-3</v>
      </c>
      <c r="G811" s="205">
        <f>VLOOKUP(D811,upahbahan,3,FALSE)/8</f>
        <v>20000</v>
      </c>
      <c r="H811" s="205">
        <f t="shared" si="54"/>
        <v>38</v>
      </c>
      <c r="I811" s="514"/>
      <c r="J811" s="514"/>
      <c r="K811" s="514"/>
      <c r="L811" s="514"/>
      <c r="M811" s="514"/>
      <c r="N811" s="514"/>
      <c r="O811" s="514"/>
      <c r="P811" s="514"/>
      <c r="Q811" s="514"/>
      <c r="R811" s="189"/>
      <c r="S811" s="515"/>
      <c r="T811" s="516"/>
    </row>
    <row r="812" spans="3:20" s="517" customFormat="1" ht="24" customHeight="1">
      <c r="C812" s="702" t="s">
        <v>1208</v>
      </c>
      <c r="D812" s="208"/>
      <c r="E812" s="208"/>
      <c r="F812" s="521"/>
      <c r="G812" s="522"/>
      <c r="H812" s="205">
        <f>SUM(H810:H811)</f>
        <v>273</v>
      </c>
      <c r="I812" s="514"/>
      <c r="J812" s="514"/>
      <c r="K812" s="514"/>
      <c r="L812" s="514"/>
      <c r="M812" s="514"/>
      <c r="N812" s="514"/>
      <c r="O812" s="514"/>
      <c r="P812" s="514"/>
      <c r="Q812" s="514"/>
      <c r="R812" s="189"/>
      <c r="S812" s="515"/>
      <c r="T812" s="516"/>
    </row>
    <row r="813" spans="3:20" s="517" customFormat="1" ht="24" customHeight="1">
      <c r="C813" s="202" t="s">
        <v>1209</v>
      </c>
      <c r="D813" s="196" t="s">
        <v>1210</v>
      </c>
      <c r="E813" s="197"/>
      <c r="F813" s="197"/>
      <c r="G813" s="197"/>
      <c r="H813" s="197"/>
      <c r="I813" s="514"/>
      <c r="J813" s="514"/>
      <c r="K813" s="514"/>
      <c r="L813" s="514"/>
      <c r="M813" s="514"/>
      <c r="N813" s="514"/>
      <c r="O813" s="514"/>
      <c r="P813" s="514"/>
      <c r="Q813" s="514"/>
      <c r="R813" s="189"/>
      <c r="S813" s="515"/>
      <c r="T813" s="516"/>
    </row>
    <row r="814" spans="3:20" s="517" customFormat="1" ht="24" customHeight="1">
      <c r="C814" s="700">
        <v>1</v>
      </c>
      <c r="D814" s="703" t="s">
        <v>7564</v>
      </c>
      <c r="E814" s="704" t="s">
        <v>62</v>
      </c>
      <c r="F814" s="705">
        <v>1</v>
      </c>
      <c r="G814" s="205">
        <f>VLOOKUP(D814,upahbahan,3,FALSE)</f>
        <v>0</v>
      </c>
      <c r="H814" s="205">
        <f t="shared" ref="H814" si="55">F814*G814</f>
        <v>0</v>
      </c>
      <c r="I814" s="514"/>
      <c r="J814" s="514"/>
      <c r="K814" s="514"/>
      <c r="L814" s="514"/>
      <c r="M814" s="514"/>
      <c r="N814" s="514"/>
      <c r="O814" s="514"/>
      <c r="P814" s="514"/>
      <c r="Q814" s="514"/>
      <c r="R814" s="189"/>
      <c r="S814" s="515"/>
      <c r="T814" s="516"/>
    </row>
    <row r="815" spans="3:20" s="517" customFormat="1" ht="24" customHeight="1">
      <c r="C815" s="702" t="s">
        <v>1214</v>
      </c>
      <c r="D815" s="208"/>
      <c r="E815" s="208"/>
      <c r="F815" s="208"/>
      <c r="G815" s="209"/>
      <c r="H815" s="205">
        <f>SUM(H814:H814)</f>
        <v>0</v>
      </c>
      <c r="I815" s="514"/>
      <c r="J815" s="514"/>
      <c r="K815" s="514"/>
      <c r="L815" s="514"/>
      <c r="M815" s="514"/>
      <c r="N815" s="514"/>
      <c r="O815" s="514"/>
      <c r="P815" s="514"/>
      <c r="Q815" s="514"/>
      <c r="R815" s="189"/>
      <c r="S815" s="515"/>
      <c r="T815" s="516"/>
    </row>
    <row r="816" spans="3:20" s="517" customFormat="1" ht="24" customHeight="1">
      <c r="C816" s="202" t="s">
        <v>1215</v>
      </c>
      <c r="D816" s="196" t="s">
        <v>1216</v>
      </c>
      <c r="E816" s="197"/>
      <c r="F816" s="197"/>
      <c r="G816" s="197"/>
      <c r="H816" s="197"/>
      <c r="I816" s="514"/>
      <c r="J816" s="514"/>
      <c r="K816" s="514"/>
      <c r="L816" s="514"/>
      <c r="M816" s="514"/>
      <c r="N816" s="514"/>
      <c r="O816" s="514"/>
      <c r="P816" s="514"/>
      <c r="Q816" s="514"/>
      <c r="R816" s="189"/>
      <c r="S816" s="515"/>
      <c r="T816" s="516"/>
    </row>
    <row r="817" spans="3:20" s="517" customFormat="1" ht="24" customHeight="1">
      <c r="C817" s="700">
        <v>1</v>
      </c>
      <c r="D817" s="703" t="s">
        <v>6849</v>
      </c>
      <c r="E817" s="704" t="s">
        <v>2139</v>
      </c>
      <c r="F817" s="520">
        <f>I792</f>
        <v>3.9839357429718877E-2</v>
      </c>
      <c r="G817" s="205">
        <f>VLOOKUP(D817,upahbahan,3,FALSE)</f>
        <v>268539.71000000002</v>
      </c>
      <c r="H817" s="205">
        <f t="shared" ref="H817" si="56">F817*G817</f>
        <v>10698.449490763054</v>
      </c>
      <c r="I817" s="514"/>
      <c r="J817" s="514"/>
      <c r="K817" s="514"/>
      <c r="L817" s="514"/>
      <c r="M817" s="514"/>
      <c r="N817" s="514"/>
      <c r="O817" s="514"/>
      <c r="P817" s="514"/>
      <c r="Q817" s="514"/>
      <c r="R817" s="189"/>
      <c r="S817" s="515"/>
      <c r="T817" s="516"/>
    </row>
    <row r="818" spans="3:20" s="517" customFormat="1" ht="24" customHeight="1">
      <c r="C818" s="702" t="s">
        <v>1217</v>
      </c>
      <c r="D818" s="208"/>
      <c r="E818" s="208"/>
      <c r="F818" s="208"/>
      <c r="G818" s="209"/>
      <c r="H818" s="706">
        <f>SUM(H817)</f>
        <v>10698.449490763054</v>
      </c>
      <c r="I818" s="514"/>
      <c r="J818" s="514"/>
      <c r="K818" s="514"/>
      <c r="L818" s="514"/>
      <c r="M818" s="514"/>
      <c r="N818" s="514"/>
      <c r="O818" s="514"/>
      <c r="P818" s="514"/>
      <c r="Q818" s="514"/>
      <c r="R818" s="189"/>
      <c r="S818" s="515"/>
      <c r="T818" s="516"/>
    </row>
    <row r="819" spans="3:20" s="517" customFormat="1" ht="24" customHeight="1">
      <c r="C819" s="707" t="s">
        <v>1218</v>
      </c>
      <c r="D819" s="224" t="s">
        <v>1219</v>
      </c>
      <c r="E819" s="225"/>
      <c r="F819" s="225"/>
      <c r="G819" s="226"/>
      <c r="H819" s="205">
        <f>H818+H815+H812</f>
        <v>10971.449490763054</v>
      </c>
      <c r="I819" s="514"/>
      <c r="J819" s="514"/>
      <c r="K819" s="514"/>
      <c r="L819" s="514"/>
      <c r="M819" s="514"/>
      <c r="N819" s="514"/>
      <c r="O819" s="514"/>
      <c r="P819" s="514"/>
      <c r="Q819" s="514"/>
      <c r="R819" s="189"/>
      <c r="S819" s="515"/>
      <c r="T819" s="516"/>
    </row>
    <row r="820" spans="3:20" s="517" customFormat="1" ht="24" customHeight="1">
      <c r="C820" s="707" t="s">
        <v>1220</v>
      </c>
      <c r="D820" s="224" t="s">
        <v>1321</v>
      </c>
      <c r="E820" s="225"/>
      <c r="F820" s="226"/>
      <c r="G820" s="228">
        <v>0.1</v>
      </c>
      <c r="H820" s="205">
        <f>H819*G820</f>
        <v>1097.1449490763055</v>
      </c>
      <c r="I820" s="514"/>
      <c r="J820" s="514"/>
      <c r="K820" s="514"/>
      <c r="L820" s="514"/>
      <c r="M820" s="514"/>
      <c r="N820" s="514"/>
      <c r="O820" s="514"/>
      <c r="P820" s="514"/>
      <c r="Q820" s="514"/>
      <c r="R820" s="189"/>
      <c r="S820" s="515"/>
      <c r="T820" s="516"/>
    </row>
    <row r="821" spans="3:20" s="517" customFormat="1" ht="24" customHeight="1">
      <c r="C821" s="707" t="s">
        <v>1221</v>
      </c>
      <c r="D821" s="224" t="s">
        <v>1222</v>
      </c>
      <c r="E821" s="225"/>
      <c r="F821" s="225"/>
      <c r="G821" s="226"/>
      <c r="H821" s="708">
        <f>SUM(H819:H820)</f>
        <v>12068.59443983936</v>
      </c>
      <c r="I821" s="514"/>
      <c r="J821" s="514"/>
      <c r="K821" s="514"/>
      <c r="L821" s="514"/>
      <c r="M821" s="514"/>
      <c r="N821" s="514"/>
      <c r="O821" s="514"/>
      <c r="P821" s="514"/>
      <c r="Q821" s="514"/>
      <c r="R821" s="189"/>
      <c r="S821" s="515"/>
      <c r="T821" s="516"/>
    </row>
    <row r="822" spans="3:20" ht="24" customHeight="1"/>
    <row r="823" spans="3:20" s="517" customFormat="1" ht="24" customHeight="1">
      <c r="C823" s="512" t="s">
        <v>6900</v>
      </c>
      <c r="D823" s="513" t="s">
        <v>6901</v>
      </c>
      <c r="E823" s="594"/>
      <c r="F823" s="513"/>
      <c r="G823" s="513"/>
      <c r="H823" s="595"/>
      <c r="I823" s="514"/>
      <c r="J823" s="514"/>
      <c r="K823" s="514"/>
      <c r="L823" s="514"/>
      <c r="M823" s="514"/>
      <c r="N823" s="514"/>
      <c r="O823" s="514"/>
      <c r="P823" s="514"/>
      <c r="Q823" s="514"/>
      <c r="R823" s="189"/>
      <c r="S823" s="515" t="s">
        <v>6760</v>
      </c>
      <c r="T823" s="516" t="s">
        <v>6811</v>
      </c>
    </row>
    <row r="824" spans="3:20" s="517" customFormat="1" ht="24" customHeight="1">
      <c r="C824" s="571" t="s">
        <v>6902</v>
      </c>
      <c r="D824" s="513"/>
      <c r="E824" s="710" t="s">
        <v>6904</v>
      </c>
      <c r="F824" s="513"/>
      <c r="G824" s="513"/>
      <c r="H824" s="595"/>
      <c r="I824" s="514"/>
      <c r="J824" s="514"/>
      <c r="K824" s="514"/>
      <c r="L824" s="514"/>
      <c r="M824" s="514"/>
      <c r="N824" s="514"/>
      <c r="O824" s="514"/>
      <c r="P824" s="514"/>
      <c r="Q824" s="514"/>
      <c r="R824" s="189"/>
      <c r="S824" s="515"/>
      <c r="T824" s="516"/>
    </row>
    <row r="825" spans="3:20" s="517" customFormat="1" ht="24" customHeight="1" thickBot="1">
      <c r="C825" s="571" t="s">
        <v>6903</v>
      </c>
      <c r="D825" s="513"/>
      <c r="E825" s="710" t="s">
        <v>6905</v>
      </c>
      <c r="F825" s="513"/>
      <c r="G825" s="513"/>
      <c r="H825" s="595"/>
      <c r="I825" s="514"/>
      <c r="J825" s="514"/>
      <c r="K825" s="514"/>
      <c r="L825" s="514"/>
      <c r="M825" s="514"/>
      <c r="N825" s="514"/>
      <c r="O825" s="514"/>
      <c r="P825" s="514"/>
      <c r="Q825" s="514"/>
      <c r="R825" s="189"/>
      <c r="S825" s="515"/>
      <c r="T825" s="516"/>
    </row>
    <row r="826" spans="3:20" s="517" customFormat="1" ht="24" customHeight="1" thickTop="1">
      <c r="C826" s="190" t="s">
        <v>1195</v>
      </c>
      <c r="D826" s="1922" t="s">
        <v>1196</v>
      </c>
      <c r="E826" s="1923"/>
      <c r="F826" s="1923"/>
      <c r="G826" s="1924"/>
      <c r="H826" s="191" t="s">
        <v>6923</v>
      </c>
      <c r="I826" s="596" t="s">
        <v>5286</v>
      </c>
      <c r="J826" s="600"/>
      <c r="K826" s="191" t="s">
        <v>1401</v>
      </c>
      <c r="L826" s="596" t="s">
        <v>6733</v>
      </c>
      <c r="M826" s="679"/>
      <c r="N826" s="561"/>
      <c r="O826" s="561"/>
      <c r="P826" s="561"/>
      <c r="Q826" s="561"/>
      <c r="R826" s="200"/>
      <c r="S826" s="515"/>
    </row>
    <row r="827" spans="3:20" s="517" customFormat="1" ht="24" customHeight="1">
      <c r="C827" s="601" t="s">
        <v>1766</v>
      </c>
      <c r="D827" s="602" t="s">
        <v>5288</v>
      </c>
      <c r="E827" s="604"/>
      <c r="F827" s="604"/>
      <c r="G827" s="604"/>
      <c r="H827" s="604"/>
      <c r="I827" s="604"/>
      <c r="J827" s="604"/>
      <c r="K827" s="604"/>
      <c r="L827" s="604"/>
      <c r="M827" s="680"/>
      <c r="N827" s="681"/>
      <c r="O827" s="681"/>
      <c r="P827" s="681"/>
      <c r="Q827" s="681"/>
      <c r="R827" s="200"/>
      <c r="S827" s="515"/>
    </row>
    <row r="828" spans="3:20" s="517" customFormat="1" ht="24" customHeight="1">
      <c r="C828" s="519">
        <v>1</v>
      </c>
      <c r="D828" s="682" t="s">
        <v>6906</v>
      </c>
      <c r="E828" s="607"/>
      <c r="F828" s="611"/>
      <c r="G828" s="616"/>
      <c r="H828" s="213"/>
      <c r="I828" s="619"/>
      <c r="J828" s="613"/>
      <c r="K828" s="520"/>
      <c r="L828" s="618"/>
      <c r="M828" s="683"/>
      <c r="N828" s="684"/>
      <c r="O828" s="684"/>
      <c r="P828" s="684"/>
      <c r="Q828" s="684"/>
      <c r="R828" s="200"/>
      <c r="S828" s="515"/>
    </row>
    <row r="829" spans="3:20" s="517" customFormat="1" ht="24" customHeight="1">
      <c r="C829" s="519">
        <v>2</v>
      </c>
      <c r="D829" s="682" t="s">
        <v>6907</v>
      </c>
      <c r="E829" s="607"/>
      <c r="F829" s="611"/>
      <c r="G829" s="616"/>
      <c r="H829" s="213"/>
      <c r="I829" s="619"/>
      <c r="J829" s="613"/>
      <c r="K829" s="520"/>
      <c r="L829" s="618"/>
      <c r="M829" s="683"/>
      <c r="N829" s="684"/>
      <c r="O829" s="684"/>
      <c r="P829" s="684"/>
      <c r="Q829" s="684"/>
      <c r="R829" s="200"/>
      <c r="S829" s="515"/>
    </row>
    <row r="830" spans="3:20" s="517" customFormat="1" ht="24" customHeight="1">
      <c r="C830" s="519">
        <v>3</v>
      </c>
      <c r="D830" s="682" t="s">
        <v>5543</v>
      </c>
      <c r="E830" s="607"/>
      <c r="F830" s="611"/>
      <c r="G830" s="616"/>
      <c r="H830" s="235">
        <v>1</v>
      </c>
      <c r="I830" s="619" t="s">
        <v>4414</v>
      </c>
      <c r="J830" s="620"/>
      <c r="K830" s="622">
        <v>90000</v>
      </c>
      <c r="L830" s="618" t="s">
        <v>6924</v>
      </c>
      <c r="M830" s="683"/>
      <c r="N830" s="684"/>
      <c r="O830" s="684"/>
      <c r="P830" s="684"/>
      <c r="Q830" s="684"/>
      <c r="R830" s="200"/>
      <c r="S830" s="515"/>
    </row>
    <row r="831" spans="3:20" s="517" customFormat="1" ht="24" customHeight="1">
      <c r="C831" s="519">
        <v>4</v>
      </c>
      <c r="D831" s="682" t="s">
        <v>6908</v>
      </c>
      <c r="E831" s="607"/>
      <c r="F831" s="611"/>
      <c r="G831" s="616"/>
      <c r="H831" s="235">
        <v>1</v>
      </c>
      <c r="I831" s="619" t="s">
        <v>3409</v>
      </c>
      <c r="J831" s="620"/>
      <c r="K831" s="622">
        <v>440500000</v>
      </c>
      <c r="L831" s="720" t="s">
        <v>6925</v>
      </c>
      <c r="M831" s="683"/>
      <c r="N831" s="684"/>
      <c r="O831" s="684"/>
      <c r="P831" s="684"/>
      <c r="Q831" s="684"/>
      <c r="R831" s="200"/>
      <c r="S831" s="515"/>
    </row>
    <row r="832" spans="3:20" s="517" customFormat="1" ht="24" customHeight="1">
      <c r="C832" s="518" t="s">
        <v>5291</v>
      </c>
      <c r="D832" s="602" t="s">
        <v>5292</v>
      </c>
      <c r="E832" s="604"/>
      <c r="F832" s="604"/>
      <c r="G832" s="604"/>
      <c r="H832" s="721"/>
      <c r="I832" s="604"/>
      <c r="J832" s="604"/>
      <c r="K832" s="604"/>
      <c r="L832" s="604"/>
      <c r="M832" s="680"/>
      <c r="N832" s="681"/>
      <c r="O832" s="681"/>
      <c r="P832" s="681"/>
      <c r="Q832" s="681"/>
      <c r="R832" s="200"/>
      <c r="S832" s="515"/>
    </row>
    <row r="833" spans="3:19" s="517" customFormat="1" ht="24" customHeight="1">
      <c r="C833" s="524" t="s">
        <v>1203</v>
      </c>
      <c r="D833" s="610" t="s">
        <v>6909</v>
      </c>
      <c r="E833" s="607"/>
      <c r="F833" s="611"/>
      <c r="G833" s="616"/>
      <c r="H833" s="722"/>
      <c r="I833" s="628"/>
      <c r="J833" s="629"/>
      <c r="K833" s="525"/>
      <c r="L833" s="618"/>
      <c r="M833" s="683"/>
      <c r="N833" s="684"/>
      <c r="O833" s="684"/>
      <c r="P833" s="684"/>
      <c r="Q833" s="684"/>
      <c r="R833" s="200"/>
      <c r="S833" s="515"/>
    </row>
    <row r="834" spans="3:19" s="517" customFormat="1" ht="24" customHeight="1">
      <c r="C834" s="524">
        <v>2</v>
      </c>
      <c r="D834" s="610" t="s">
        <v>6910</v>
      </c>
      <c r="E834" s="607"/>
      <c r="F834" s="611"/>
      <c r="G834" s="616"/>
      <c r="H834" s="722"/>
      <c r="I834" s="628"/>
      <c r="J834" s="629"/>
      <c r="K834" s="525"/>
      <c r="L834" s="618"/>
      <c r="M834" s="683"/>
      <c r="N834" s="684"/>
      <c r="O834" s="684"/>
      <c r="P834" s="684"/>
      <c r="Q834" s="684"/>
      <c r="R834" s="200"/>
      <c r="S834" s="515"/>
    </row>
    <row r="835" spans="3:19" s="517" customFormat="1" ht="24" customHeight="1">
      <c r="C835" s="524">
        <v>3</v>
      </c>
      <c r="D835" s="610" t="s">
        <v>6911</v>
      </c>
      <c r="E835" s="607"/>
      <c r="F835" s="611"/>
      <c r="G835" s="616"/>
      <c r="H835" s="722"/>
      <c r="I835" s="628"/>
      <c r="J835" s="629"/>
      <c r="K835" s="525"/>
      <c r="L835" s="618"/>
      <c r="M835" s="683"/>
      <c r="N835" s="684"/>
      <c r="O835" s="684"/>
      <c r="P835" s="684"/>
      <c r="Q835" s="684"/>
      <c r="R835" s="200"/>
      <c r="S835" s="515"/>
    </row>
    <row r="836" spans="3:19" s="517" customFormat="1" ht="24" customHeight="1">
      <c r="C836" s="524">
        <v>4</v>
      </c>
      <c r="D836" s="610" t="s">
        <v>5544</v>
      </c>
      <c r="E836" s="607"/>
      <c r="F836" s="611"/>
      <c r="G836" s="611"/>
      <c r="H836" s="723"/>
      <c r="I836" s="724"/>
      <c r="J836" s="724"/>
      <c r="K836" s="724"/>
      <c r="L836" s="725"/>
      <c r="M836" s="683"/>
      <c r="N836" s="684"/>
      <c r="O836" s="684"/>
      <c r="P836" s="684"/>
      <c r="Q836" s="684"/>
      <c r="R836" s="200"/>
      <c r="S836" s="515"/>
    </row>
    <row r="837" spans="3:19" s="517" customFormat="1" ht="24" customHeight="1">
      <c r="C837" s="601" t="s">
        <v>1071</v>
      </c>
      <c r="D837" s="651" t="s">
        <v>6819</v>
      </c>
      <c r="E837" s="604"/>
      <c r="F837" s="604"/>
      <c r="G837" s="604"/>
      <c r="H837" s="721"/>
      <c r="I837" s="604"/>
      <c r="J837" s="604"/>
      <c r="K837" s="604"/>
      <c r="L837" s="604"/>
      <c r="M837" s="680"/>
      <c r="N837" s="681"/>
      <c r="O837" s="681"/>
      <c r="P837" s="681"/>
      <c r="Q837" s="681"/>
      <c r="R837" s="200"/>
      <c r="S837" s="515"/>
    </row>
    <row r="838" spans="3:19" s="517" customFormat="1" ht="24" customHeight="1">
      <c r="C838" s="601" t="s">
        <v>5293</v>
      </c>
      <c r="D838" s="644" t="s">
        <v>6912</v>
      </c>
      <c r="E838" s="603"/>
      <c r="F838" s="645"/>
      <c r="G838" s="645"/>
      <c r="H838" s="726"/>
      <c r="I838" s="644"/>
      <c r="J838" s="657"/>
      <c r="K838" s="685"/>
      <c r="L838" s="644"/>
      <c r="M838" s="686"/>
      <c r="N838" s="687"/>
      <c r="O838" s="687"/>
      <c r="P838" s="687"/>
      <c r="Q838" s="687"/>
      <c r="R838" s="200"/>
      <c r="S838" s="515"/>
    </row>
    <row r="839" spans="3:19" s="517" customFormat="1" ht="24" customHeight="1">
      <c r="C839" s="543"/>
      <c r="D839" s="688" t="s">
        <v>6913</v>
      </c>
      <c r="E839" s="688"/>
      <c r="F839" s="645"/>
      <c r="G839" s="645"/>
      <c r="H839" s="727">
        <v>5</v>
      </c>
      <c r="I839" s="610" t="s">
        <v>6653</v>
      </c>
      <c r="J839" s="616"/>
      <c r="K839" s="196"/>
      <c r="L839" s="610" t="s">
        <v>5545</v>
      </c>
      <c r="M839" s="637"/>
      <c r="N839" s="689"/>
      <c r="O839" s="689"/>
      <c r="P839" s="689"/>
      <c r="Q839" s="689"/>
      <c r="R839" s="200"/>
      <c r="S839" s="515"/>
    </row>
    <row r="840" spans="3:19" s="517" customFormat="1" ht="24" customHeight="1">
      <c r="C840" s="674"/>
      <c r="D840" s="690" t="s">
        <v>6914</v>
      </c>
      <c r="E840" s="690"/>
      <c r="F840" s="611"/>
      <c r="G840" s="611"/>
      <c r="H840" s="728">
        <v>5000</v>
      </c>
      <c r="I840" s="610" t="s">
        <v>529</v>
      </c>
      <c r="J840" s="616"/>
      <c r="K840" s="196"/>
      <c r="L840" s="610"/>
      <c r="M840" s="637"/>
      <c r="N840" s="689"/>
      <c r="O840" s="689"/>
      <c r="P840" s="689"/>
      <c r="Q840" s="689"/>
      <c r="R840" s="200"/>
      <c r="S840" s="515"/>
    </row>
    <row r="841" spans="3:19" s="517" customFormat="1" ht="24" customHeight="1">
      <c r="C841" s="674"/>
      <c r="D841" s="610" t="s">
        <v>6915</v>
      </c>
      <c r="E841" s="607"/>
      <c r="F841" s="611"/>
      <c r="G841" s="611"/>
      <c r="H841" s="729">
        <v>2</v>
      </c>
      <c r="I841" s="610" t="s">
        <v>5546</v>
      </c>
      <c r="J841" s="616"/>
      <c r="K841" s="196"/>
      <c r="L841" s="610" t="s">
        <v>6928</v>
      </c>
      <c r="M841" s="637"/>
      <c r="N841" s="689"/>
      <c r="O841" s="689"/>
      <c r="P841" s="689"/>
      <c r="Q841" s="689"/>
      <c r="R841" s="200"/>
      <c r="S841" s="515"/>
    </row>
    <row r="842" spans="3:19" s="517" customFormat="1" ht="24" customHeight="1">
      <c r="C842" s="674"/>
      <c r="D842" s="682" t="s">
        <v>6916</v>
      </c>
      <c r="E842" s="607"/>
      <c r="F842" s="611"/>
      <c r="G842" s="611"/>
      <c r="H842" s="728">
        <v>2000</v>
      </c>
      <c r="I842" s="610" t="s">
        <v>5547</v>
      </c>
      <c r="J842" s="616"/>
      <c r="K842" s="196"/>
      <c r="L842" s="1897"/>
      <c r="M842" s="637"/>
      <c r="N842" s="689"/>
      <c r="O842" s="689"/>
      <c r="P842" s="689"/>
      <c r="Q842" s="689"/>
      <c r="R842" s="200"/>
      <c r="S842" s="515"/>
    </row>
    <row r="843" spans="3:19" s="517" customFormat="1" ht="24" customHeight="1">
      <c r="C843" s="674"/>
      <c r="D843" s="682"/>
      <c r="E843" s="607"/>
      <c r="F843" s="611"/>
      <c r="G843" s="611"/>
      <c r="H843" s="235"/>
      <c r="I843" s="610"/>
      <c r="J843" s="616"/>
      <c r="K843" s="196"/>
      <c r="L843" s="1898"/>
      <c r="M843" s="637"/>
      <c r="N843" s="689"/>
      <c r="O843" s="689"/>
      <c r="P843" s="689"/>
      <c r="Q843" s="689"/>
      <c r="R843" s="200"/>
      <c r="S843" s="515"/>
    </row>
    <row r="844" spans="3:19" s="517" customFormat="1" ht="24" customHeight="1">
      <c r="C844" s="674"/>
      <c r="D844" s="644" t="s">
        <v>6917</v>
      </c>
      <c r="E844" s="603"/>
      <c r="F844" s="645"/>
      <c r="G844" s="645"/>
      <c r="H844" s="235"/>
      <c r="I844" s="610"/>
      <c r="J844" s="616"/>
      <c r="K844" s="196"/>
      <c r="L844" s="610"/>
      <c r="M844" s="637"/>
      <c r="N844" s="689"/>
      <c r="O844" s="689"/>
      <c r="P844" s="689"/>
      <c r="Q844" s="689"/>
      <c r="R844" s="200"/>
      <c r="S844" s="515"/>
    </row>
    <row r="845" spans="3:19" s="517" customFormat="1" ht="24" customHeight="1">
      <c r="C845" s="674"/>
      <c r="D845" s="610" t="s">
        <v>6918</v>
      </c>
      <c r="E845" s="607"/>
      <c r="F845" s="611"/>
      <c r="G845" s="611"/>
      <c r="H845" s="730">
        <v>7341666.6699999999</v>
      </c>
      <c r="I845" s="610" t="s">
        <v>6926</v>
      </c>
      <c r="J845" s="616"/>
      <c r="K845" s="196"/>
      <c r="L845" s="682" t="s">
        <v>6927</v>
      </c>
      <c r="M845" s="637"/>
      <c r="N845" s="689"/>
      <c r="O845" s="689"/>
      <c r="P845" s="689"/>
      <c r="Q845" s="689"/>
      <c r="R845" s="200"/>
      <c r="S845" s="515"/>
    </row>
    <row r="846" spans="3:19" s="517" customFormat="1" ht="24" customHeight="1" thickBot="1">
      <c r="C846" s="674"/>
      <c r="D846" s="610" t="s">
        <v>6919</v>
      </c>
      <c r="E846" s="607"/>
      <c r="F846" s="611"/>
      <c r="G846" s="611"/>
      <c r="H846" s="731">
        <v>391666.67</v>
      </c>
      <c r="I846" s="610" t="s">
        <v>6926</v>
      </c>
      <c r="J846" s="616"/>
      <c r="K846" s="196"/>
      <c r="L846" s="682" t="s">
        <v>6927</v>
      </c>
      <c r="M846" s="637"/>
      <c r="N846" s="689"/>
      <c r="O846" s="689"/>
      <c r="P846" s="689"/>
      <c r="Q846" s="689"/>
      <c r="R846" s="200"/>
      <c r="S846" s="515"/>
    </row>
    <row r="847" spans="3:19" s="517" customFormat="1" ht="24" customHeight="1">
      <c r="C847" s="674"/>
      <c r="D847" s="610"/>
      <c r="E847" s="607"/>
      <c r="F847" s="611"/>
      <c r="G847" s="611"/>
      <c r="H847" s="732"/>
      <c r="I847" s="639"/>
      <c r="J847" s="633"/>
      <c r="K847" s="693"/>
      <c r="L847" s="682"/>
      <c r="M847" s="637"/>
      <c r="N847" s="689"/>
      <c r="O847" s="689"/>
      <c r="P847" s="689"/>
      <c r="Q847" s="689"/>
      <c r="R847" s="200"/>
      <c r="S847" s="515"/>
    </row>
    <row r="848" spans="3:19" s="517" customFormat="1" ht="24" customHeight="1">
      <c r="C848" s="674"/>
      <c r="D848" s="682" t="s">
        <v>5548</v>
      </c>
      <c r="E848" s="607"/>
      <c r="F848" s="655"/>
      <c r="G848" s="611"/>
      <c r="H848" s="733">
        <v>257777.78</v>
      </c>
      <c r="I848" s="639" t="s">
        <v>1080</v>
      </c>
      <c r="J848" s="633"/>
      <c r="K848" s="693"/>
      <c r="L848" s="682" t="s">
        <v>6927</v>
      </c>
      <c r="M848" s="637"/>
      <c r="N848" s="689"/>
      <c r="O848" s="689"/>
      <c r="P848" s="689"/>
      <c r="Q848" s="689"/>
      <c r="R848" s="200"/>
      <c r="S848" s="515"/>
    </row>
    <row r="849" spans="3:19" s="517" customFormat="1" ht="24" customHeight="1">
      <c r="C849" s="674"/>
      <c r="D849" s="670" t="s">
        <v>6920</v>
      </c>
      <c r="E849" s="607"/>
      <c r="F849" s="611"/>
      <c r="G849" s="611"/>
      <c r="H849" s="733">
        <f>H848*H841</f>
        <v>515555.56</v>
      </c>
      <c r="I849" s="718" t="s">
        <v>1080</v>
      </c>
      <c r="J849" s="633"/>
      <c r="K849" s="693"/>
      <c r="L849" s="610"/>
      <c r="M849" s="637"/>
      <c r="N849" s="689"/>
      <c r="O849" s="689"/>
      <c r="P849" s="689"/>
      <c r="Q849" s="689"/>
      <c r="R849" s="200"/>
      <c r="S849" s="515"/>
    </row>
    <row r="850" spans="3:19" s="517" customFormat="1" ht="24" customHeight="1">
      <c r="C850" s="674"/>
      <c r="D850" s="610"/>
      <c r="E850" s="607"/>
      <c r="F850" s="611"/>
      <c r="G850" s="611"/>
      <c r="H850" s="732"/>
      <c r="I850" s="639"/>
      <c r="J850" s="633"/>
      <c r="K850" s="693"/>
      <c r="L850" s="610"/>
      <c r="M850" s="637"/>
      <c r="N850" s="689"/>
      <c r="O850" s="689"/>
      <c r="P850" s="689"/>
      <c r="Q850" s="689"/>
      <c r="R850" s="200"/>
      <c r="S850" s="515"/>
    </row>
    <row r="851" spans="3:19" s="517" customFormat="1" ht="24" customHeight="1">
      <c r="C851" s="674"/>
      <c r="D851" s="670" t="s">
        <v>6921</v>
      </c>
      <c r="E851" s="607"/>
      <c r="F851" s="611"/>
      <c r="G851" s="611"/>
      <c r="H851" s="235"/>
      <c r="I851" s="610"/>
      <c r="J851" s="616"/>
      <c r="K851" s="196"/>
      <c r="L851" s="694"/>
      <c r="M851" s="695"/>
      <c r="N851" s="696"/>
      <c r="O851" s="696"/>
      <c r="P851" s="696"/>
      <c r="Q851" s="689"/>
      <c r="R851" s="200"/>
      <c r="S851" s="515"/>
    </row>
    <row r="852" spans="3:19" s="517" customFormat="1" ht="24" customHeight="1">
      <c r="C852" s="674"/>
      <c r="D852" s="682" t="s">
        <v>6922</v>
      </c>
      <c r="E852" s="607"/>
      <c r="F852" s="611"/>
      <c r="G852" s="611"/>
      <c r="H852" s="730">
        <v>4700000</v>
      </c>
      <c r="I852" s="610" t="s">
        <v>1140</v>
      </c>
      <c r="J852" s="616"/>
      <c r="K852" s="196"/>
      <c r="L852" s="734" t="s">
        <v>6927</v>
      </c>
      <c r="M852" s="695"/>
      <c r="N852" s="696"/>
      <c r="O852" s="696"/>
      <c r="P852" s="696"/>
      <c r="Q852" s="689"/>
      <c r="R852" s="200"/>
      <c r="S852" s="515"/>
    </row>
    <row r="853" spans="3:19" s="517" customFormat="1" ht="24" customHeight="1">
      <c r="C853" s="674"/>
      <c r="D853" s="610"/>
      <c r="E853" s="607"/>
      <c r="F853" s="611"/>
      <c r="G853" s="611"/>
      <c r="H853" s="732"/>
      <c r="I853" s="639"/>
      <c r="J853" s="633"/>
      <c r="K853" s="693"/>
      <c r="L853" s="610"/>
      <c r="M853" s="637"/>
      <c r="N853" s="689"/>
      <c r="O853" s="689"/>
      <c r="P853" s="689"/>
      <c r="Q853" s="689"/>
      <c r="R853" s="200"/>
      <c r="S853" s="515"/>
    </row>
    <row r="854" spans="3:19" s="517" customFormat="1" ht="24" customHeight="1">
      <c r="C854" s="674"/>
      <c r="D854" s="682" t="s">
        <v>6929</v>
      </c>
      <c r="E854" s="607"/>
      <c r="F854" s="611"/>
      <c r="G854" s="611"/>
      <c r="H854" s="733">
        <v>1900000</v>
      </c>
      <c r="I854" s="639" t="s">
        <v>6926</v>
      </c>
      <c r="J854" s="633"/>
      <c r="K854" s="693"/>
      <c r="L854" s="610" t="s">
        <v>6939</v>
      </c>
      <c r="M854" s="637"/>
      <c r="N854" s="689"/>
      <c r="O854" s="689"/>
      <c r="P854" s="689"/>
      <c r="Q854" s="689"/>
      <c r="R854" s="200"/>
      <c r="S854" s="515"/>
    </row>
    <row r="855" spans="3:19" s="517" customFormat="1" ht="24" customHeight="1">
      <c r="C855" s="674"/>
      <c r="D855" s="682" t="s">
        <v>6930</v>
      </c>
      <c r="E855" s="607"/>
      <c r="F855" s="611"/>
      <c r="G855" s="611"/>
      <c r="H855" s="733">
        <v>6600000</v>
      </c>
      <c r="I855" s="639" t="s">
        <v>6926</v>
      </c>
      <c r="J855" s="633"/>
      <c r="K855" s="693"/>
      <c r="L855" s="610"/>
      <c r="M855" s="637"/>
      <c r="N855" s="689"/>
      <c r="O855" s="689"/>
      <c r="P855" s="689"/>
      <c r="Q855" s="689"/>
      <c r="R855" s="200"/>
      <c r="S855" s="515"/>
    </row>
    <row r="856" spans="3:19" s="517" customFormat="1" ht="24" customHeight="1">
      <c r="C856" s="674"/>
      <c r="D856" s="682" t="s">
        <v>6931</v>
      </c>
      <c r="E856" s="607"/>
      <c r="F856" s="611"/>
      <c r="G856" s="611"/>
      <c r="H856" s="733">
        <f>H855/30</f>
        <v>220000</v>
      </c>
      <c r="I856" s="639" t="s">
        <v>1974</v>
      </c>
      <c r="J856" s="633"/>
      <c r="K856" s="693"/>
      <c r="L856" s="610"/>
      <c r="M856" s="637"/>
      <c r="N856" s="689"/>
      <c r="O856" s="689"/>
      <c r="P856" s="689"/>
      <c r="Q856" s="689"/>
      <c r="R856" s="200"/>
      <c r="S856" s="515"/>
    </row>
    <row r="857" spans="3:19" s="517" customFormat="1" ht="24" customHeight="1">
      <c r="C857" s="674"/>
      <c r="D857" s="670" t="s">
        <v>6938</v>
      </c>
      <c r="E857" s="607"/>
      <c r="F857" s="611"/>
      <c r="G857" s="611"/>
      <c r="H857" s="735">
        <f>H856*H841</f>
        <v>440000</v>
      </c>
      <c r="I857" s="718" t="s">
        <v>1974</v>
      </c>
      <c r="J857" s="633"/>
      <c r="K857" s="693"/>
      <c r="L857" s="610"/>
      <c r="M857" s="637"/>
      <c r="N857" s="689"/>
      <c r="O857" s="689"/>
      <c r="P857" s="689"/>
      <c r="Q857" s="689"/>
      <c r="R857" s="200"/>
      <c r="S857" s="515"/>
    </row>
    <row r="858" spans="3:19" s="517" customFormat="1" ht="24" customHeight="1">
      <c r="C858" s="674"/>
      <c r="D858" s="682"/>
      <c r="E858" s="607"/>
      <c r="F858" s="611"/>
      <c r="G858" s="611"/>
      <c r="H858" s="733"/>
      <c r="I858" s="639"/>
      <c r="J858" s="633"/>
      <c r="K858" s="693"/>
      <c r="L858" s="610"/>
      <c r="M858" s="637"/>
      <c r="N858" s="689"/>
      <c r="O858" s="689"/>
      <c r="P858" s="689"/>
      <c r="Q858" s="689"/>
      <c r="R858" s="200"/>
      <c r="S858" s="515"/>
    </row>
    <row r="859" spans="3:19" s="517" customFormat="1" ht="24" customHeight="1">
      <c r="C859" s="518" t="s">
        <v>5299</v>
      </c>
      <c r="D859" s="670" t="s">
        <v>6932</v>
      </c>
      <c r="E859" s="607"/>
      <c r="F859" s="611"/>
      <c r="G859" s="611"/>
      <c r="H859" s="733"/>
      <c r="I859" s="639"/>
      <c r="J859" s="633"/>
      <c r="K859" s="693"/>
      <c r="L859" s="610"/>
      <c r="M859" s="637"/>
      <c r="N859" s="689"/>
      <c r="O859" s="689"/>
      <c r="P859" s="689"/>
      <c r="Q859" s="689"/>
      <c r="R859" s="200"/>
      <c r="S859" s="515"/>
    </row>
    <row r="860" spans="3:19" s="517" customFormat="1" ht="24" customHeight="1">
      <c r="C860" s="674"/>
      <c r="D860" s="682" t="s">
        <v>6933</v>
      </c>
      <c r="E860" s="607"/>
      <c r="F860" s="611"/>
      <c r="G860" s="611"/>
      <c r="H860" s="733">
        <v>2</v>
      </c>
      <c r="I860" s="639" t="s">
        <v>5549</v>
      </c>
      <c r="J860" s="633"/>
      <c r="K860" s="693"/>
      <c r="L860" s="610" t="s">
        <v>6941</v>
      </c>
      <c r="M860" s="637"/>
      <c r="N860" s="689"/>
      <c r="O860" s="689"/>
      <c r="P860" s="689"/>
      <c r="Q860" s="689"/>
      <c r="R860" s="200"/>
      <c r="S860" s="515"/>
    </row>
    <row r="861" spans="3:19" s="517" customFormat="1" ht="24" customHeight="1">
      <c r="C861" s="674"/>
      <c r="D861" s="682" t="s">
        <v>6940</v>
      </c>
      <c r="E861" s="607"/>
      <c r="F861" s="611"/>
      <c r="G861" s="611"/>
      <c r="H861" s="733">
        <v>4</v>
      </c>
      <c r="I861" s="639" t="s">
        <v>5550</v>
      </c>
      <c r="J861" s="633"/>
      <c r="K861" s="693"/>
      <c r="L861" s="610"/>
      <c r="M861" s="637"/>
      <c r="N861" s="689"/>
      <c r="O861" s="689"/>
      <c r="P861" s="689"/>
      <c r="Q861" s="689"/>
      <c r="R861" s="200"/>
      <c r="S861" s="515"/>
    </row>
    <row r="862" spans="3:19" s="517" customFormat="1" ht="24" customHeight="1">
      <c r="C862" s="674"/>
      <c r="D862" s="682" t="s">
        <v>6934</v>
      </c>
      <c r="E862" s="607"/>
      <c r="F862" s="611"/>
      <c r="G862" s="611"/>
      <c r="H862" s="735">
        <f>H861*K830</f>
        <v>360000</v>
      </c>
      <c r="I862" s="639" t="s">
        <v>1080</v>
      </c>
      <c r="J862" s="633"/>
      <c r="K862" s="693"/>
      <c r="L862" s="610"/>
      <c r="M862" s="637"/>
      <c r="N862" s="689"/>
      <c r="O862" s="689"/>
      <c r="P862" s="689"/>
      <c r="Q862" s="689"/>
      <c r="R862" s="200"/>
      <c r="S862" s="515"/>
    </row>
    <row r="863" spans="3:19" s="517" customFormat="1" ht="24" customHeight="1">
      <c r="C863" s="674"/>
      <c r="D863" s="610"/>
      <c r="E863" s="607"/>
      <c r="F863" s="611"/>
      <c r="G863" s="611"/>
      <c r="H863" s="733"/>
      <c r="I863" s="639"/>
      <c r="J863" s="633"/>
      <c r="K863" s="693"/>
      <c r="L863" s="610"/>
      <c r="M863" s="637"/>
      <c r="N863" s="689"/>
      <c r="O863" s="689"/>
      <c r="P863" s="689"/>
      <c r="Q863" s="689"/>
      <c r="R863" s="200"/>
      <c r="S863" s="515"/>
    </row>
    <row r="864" spans="3:19" s="517" customFormat="1" ht="24" customHeight="1">
      <c r="C864" s="674"/>
      <c r="D864" s="644" t="s">
        <v>6935</v>
      </c>
      <c r="E864" s="607"/>
      <c r="F864" s="611"/>
      <c r="G864" s="611"/>
      <c r="H864" s="735">
        <f>H849+H857+H862</f>
        <v>1315555.56</v>
      </c>
      <c r="I864" s="639" t="s">
        <v>1080</v>
      </c>
      <c r="J864" s="633"/>
      <c r="K864" s="693"/>
      <c r="L864" s="610"/>
      <c r="M864" s="637"/>
      <c r="N864" s="689"/>
      <c r="O864" s="689"/>
      <c r="P864" s="689"/>
      <c r="Q864" s="689"/>
      <c r="R864" s="200"/>
      <c r="S864" s="515"/>
    </row>
    <row r="865" spans="3:20" s="517" customFormat="1" ht="24" customHeight="1">
      <c r="C865" s="674"/>
      <c r="D865" s="610" t="s">
        <v>6936</v>
      </c>
      <c r="E865" s="607"/>
      <c r="F865" s="611"/>
      <c r="G865" s="611"/>
      <c r="H865" s="733"/>
      <c r="I865" s="639"/>
      <c r="J865" s="633"/>
      <c r="K865" s="693"/>
      <c r="L865" s="610"/>
      <c r="M865" s="637"/>
      <c r="N865" s="689"/>
      <c r="O865" s="689"/>
      <c r="P865" s="689"/>
      <c r="Q865" s="689"/>
      <c r="R865" s="200"/>
      <c r="S865" s="515"/>
    </row>
    <row r="866" spans="3:20" s="517" customFormat="1" ht="24" customHeight="1">
      <c r="C866" s="674"/>
      <c r="D866" s="670"/>
      <c r="E866" s="607"/>
      <c r="F866" s="611"/>
      <c r="G866" s="611"/>
      <c r="H866" s="730"/>
      <c r="I866" s="610"/>
      <c r="J866" s="616"/>
      <c r="K866" s="196"/>
      <c r="L866" s="694"/>
      <c r="M866" s="695"/>
      <c r="N866" s="696"/>
      <c r="O866" s="696"/>
      <c r="P866" s="696"/>
      <c r="Q866" s="689"/>
      <c r="R866" s="200"/>
      <c r="S866" s="515"/>
    </row>
    <row r="867" spans="3:20" s="517" customFormat="1" ht="24" customHeight="1">
      <c r="C867" s="674"/>
      <c r="D867" s="670" t="s">
        <v>6937</v>
      </c>
      <c r="E867" s="607"/>
      <c r="F867" s="611"/>
      <c r="G867" s="611"/>
      <c r="H867" s="736">
        <v>5.0000000000000001E-4</v>
      </c>
      <c r="I867" s="610" t="s">
        <v>6942</v>
      </c>
      <c r="J867" s="616"/>
      <c r="K867" s="196"/>
      <c r="L867" s="737"/>
      <c r="M867" s="695"/>
      <c r="N867" s="696"/>
      <c r="O867" s="696"/>
      <c r="P867" s="696"/>
      <c r="Q867" s="689"/>
      <c r="R867" s="200"/>
      <c r="S867" s="515"/>
    </row>
    <row r="868" spans="3:20" s="517" customFormat="1" ht="24" customHeight="1" thickBot="1">
      <c r="C868" s="738"/>
      <c r="D868" s="739"/>
      <c r="E868" s="740"/>
      <c r="F868" s="741"/>
      <c r="G868" s="741"/>
      <c r="H868" s="742"/>
      <c r="I868" s="743"/>
      <c r="J868" s="744"/>
      <c r="K868" s="745"/>
      <c r="L868" s="746"/>
      <c r="M868" s="695"/>
      <c r="N868" s="696"/>
      <c r="O868" s="696"/>
      <c r="P868" s="696"/>
      <c r="Q868" s="689"/>
      <c r="R868" s="200"/>
      <c r="S868" s="515"/>
    </row>
    <row r="869" spans="3:20" ht="24" customHeight="1" thickTop="1"/>
    <row r="870" spans="3:20" ht="24" customHeight="1"/>
    <row r="871" spans="3:20" ht="24" customHeight="1">
      <c r="C871" s="187" t="s">
        <v>5551</v>
      </c>
      <c r="D871" s="687" t="s">
        <v>5552</v>
      </c>
      <c r="E871" s="747"/>
      <c r="F871" s="687"/>
      <c r="G871" s="687"/>
    </row>
    <row r="872" spans="3:20" ht="24" customHeight="1">
      <c r="C872" s="187" t="s">
        <v>5553</v>
      </c>
      <c r="D872" s="687" t="s">
        <v>6943</v>
      </c>
      <c r="E872" s="747"/>
      <c r="F872" s="687"/>
      <c r="G872" s="687"/>
    </row>
    <row r="873" spans="3:20" s="517" customFormat="1" ht="24" customHeight="1" thickBot="1">
      <c r="C873" s="513" t="s">
        <v>6944</v>
      </c>
      <c r="D873" s="748" t="s">
        <v>6945</v>
      </c>
      <c r="E873" s="749"/>
      <c r="F873" s="748"/>
      <c r="G873" s="748"/>
      <c r="H873" s="532"/>
      <c r="I873" s="532"/>
      <c r="J873" s="532"/>
      <c r="K873" s="532"/>
      <c r="L873" s="189">
        <f>ROUNDDOWN(H895,-2)</f>
        <v>4200</v>
      </c>
      <c r="M873" s="189"/>
      <c r="N873" s="189"/>
      <c r="O873" s="189"/>
      <c r="P873" s="189"/>
      <c r="R873" s="189">
        <f>ROUNDDOWN(H895,-2)</f>
        <v>4200</v>
      </c>
      <c r="S873" s="517" t="s">
        <v>6451</v>
      </c>
      <c r="T873" s="517" t="s">
        <v>6946</v>
      </c>
    </row>
    <row r="874" spans="3:20" s="517" customFormat="1" ht="24" customHeight="1" thickTop="1">
      <c r="C874" s="190" t="s">
        <v>1195</v>
      </c>
      <c r="D874" s="191" t="s">
        <v>1196</v>
      </c>
      <c r="E874" s="191" t="s">
        <v>1197</v>
      </c>
      <c r="F874" s="191" t="s">
        <v>1198</v>
      </c>
      <c r="G874" s="191" t="s">
        <v>1199</v>
      </c>
      <c r="H874" s="192" t="s">
        <v>1200</v>
      </c>
      <c r="L874" s="200"/>
      <c r="M874" s="200"/>
      <c r="N874" s="200"/>
      <c r="O874" s="200"/>
      <c r="P874" s="200"/>
    </row>
    <row r="875" spans="3:20" s="517" customFormat="1" ht="24" customHeight="1">
      <c r="C875" s="518" t="s">
        <v>1201</v>
      </c>
      <c r="D875" s="196" t="s">
        <v>1202</v>
      </c>
      <c r="E875" s="197"/>
      <c r="F875" s="197"/>
      <c r="G875" s="197"/>
      <c r="H875" s="198"/>
      <c r="L875" s="200"/>
      <c r="M875" s="200"/>
      <c r="N875" s="200"/>
      <c r="O875" s="200"/>
      <c r="P875" s="200"/>
    </row>
    <row r="876" spans="3:20" s="517" customFormat="1" ht="24" customHeight="1">
      <c r="C876" s="537">
        <v>1</v>
      </c>
      <c r="D876" s="196" t="s">
        <v>6954</v>
      </c>
      <c r="E876" s="202" t="s">
        <v>6</v>
      </c>
      <c r="F876" s="520">
        <v>1.43E-2</v>
      </c>
      <c r="G876" s="205">
        <f>VLOOKUP(D876,upahbahan,3,FALSE)</f>
        <v>181250</v>
      </c>
      <c r="H876" s="210">
        <f t="shared" ref="H876:H878" si="57">F876*G876</f>
        <v>2591.875</v>
      </c>
      <c r="L876" s="200"/>
      <c r="M876" s="200"/>
      <c r="N876" s="200"/>
      <c r="O876" s="200"/>
      <c r="P876" s="200"/>
    </row>
    <row r="877" spans="3:20" s="517" customFormat="1" ht="24" customHeight="1">
      <c r="C877" s="537">
        <v>2</v>
      </c>
      <c r="D877" s="196" t="s">
        <v>6948</v>
      </c>
      <c r="E877" s="202" t="s">
        <v>6</v>
      </c>
      <c r="F877" s="520">
        <v>4.7999999999999996E-3</v>
      </c>
      <c r="G877" s="205">
        <f>VLOOKUP(D877,upahbahan,3,FALSE)</f>
        <v>218750</v>
      </c>
      <c r="H877" s="210">
        <f t="shared" si="57"/>
        <v>1050</v>
      </c>
      <c r="L877" s="200"/>
      <c r="M877" s="200"/>
      <c r="N877" s="200"/>
      <c r="O877" s="200"/>
      <c r="P877" s="200"/>
    </row>
    <row r="878" spans="3:20" s="517" customFormat="1" ht="24" customHeight="1">
      <c r="C878" s="537">
        <v>3</v>
      </c>
      <c r="D878" s="196" t="s">
        <v>19</v>
      </c>
      <c r="E878" s="202" t="s">
        <v>6</v>
      </c>
      <c r="F878" s="520">
        <v>1.6000000000000001E-3</v>
      </c>
      <c r="G878" s="205">
        <f>VLOOKUP(D878,upahbahan,3,FALSE)</f>
        <v>160000</v>
      </c>
      <c r="H878" s="210">
        <f t="shared" si="57"/>
        <v>256</v>
      </c>
      <c r="L878" s="200"/>
      <c r="M878" s="200"/>
      <c r="N878" s="200"/>
      <c r="O878" s="200"/>
      <c r="P878" s="200"/>
    </row>
    <row r="879" spans="3:20" s="517" customFormat="1" ht="24" customHeight="1">
      <c r="C879" s="207" t="s">
        <v>1208</v>
      </c>
      <c r="D879" s="208"/>
      <c r="E879" s="208"/>
      <c r="F879" s="521"/>
      <c r="G879" s="522"/>
      <c r="H879" s="210">
        <f>SUM(H876:H878)</f>
        <v>3897.875</v>
      </c>
      <c r="L879" s="523"/>
      <c r="M879" s="523"/>
      <c r="N879" s="523"/>
      <c r="O879" s="523"/>
      <c r="P879" s="523"/>
    </row>
    <row r="880" spans="3:20" s="517" customFormat="1" ht="24" customHeight="1">
      <c r="C880" s="543" t="s">
        <v>1209</v>
      </c>
      <c r="D880" s="750" t="s">
        <v>1210</v>
      </c>
      <c r="E880" s="197"/>
      <c r="F880" s="751"/>
      <c r="G880" s="197"/>
      <c r="H880" s="752"/>
      <c r="L880" s="200"/>
      <c r="M880" s="200"/>
      <c r="N880" s="200"/>
      <c r="O880" s="200"/>
      <c r="P880" s="200"/>
    </row>
    <row r="881" spans="3:16" s="517" customFormat="1" ht="24" customHeight="1">
      <c r="C881" s="543">
        <v>1</v>
      </c>
      <c r="D881" s="750" t="s">
        <v>6947</v>
      </c>
      <c r="E881" s="203" t="s">
        <v>44</v>
      </c>
      <c r="F881" s="753">
        <v>1.05</v>
      </c>
      <c r="G881" s="205">
        <f>VLOOKUP(D881,upahbahan,3,FALSE)</f>
        <v>0</v>
      </c>
      <c r="H881" s="210">
        <f t="shared" ref="H881:H889" si="58">F881*G881</f>
        <v>0</v>
      </c>
      <c r="L881" s="200"/>
      <c r="M881" s="200"/>
      <c r="N881" s="200"/>
      <c r="O881" s="200"/>
      <c r="P881" s="200"/>
    </row>
    <row r="882" spans="3:16" s="517" customFormat="1" ht="24" customHeight="1">
      <c r="C882" s="543">
        <v>2</v>
      </c>
      <c r="D882" s="750" t="s">
        <v>5563</v>
      </c>
      <c r="E882" s="203" t="s">
        <v>65</v>
      </c>
      <c r="F882" s="753">
        <v>5.0000000000000001E-3</v>
      </c>
      <c r="G882" s="205">
        <f>VLOOKUP(D882,upahbahan,3,FALSE)</f>
        <v>0</v>
      </c>
      <c r="H882" s="210">
        <f t="shared" si="58"/>
        <v>0</v>
      </c>
      <c r="L882" s="200"/>
      <c r="M882" s="200"/>
      <c r="N882" s="200"/>
      <c r="O882" s="200"/>
      <c r="P882" s="200"/>
    </row>
    <row r="883" spans="3:16" s="517" customFormat="1" ht="24" customHeight="1">
      <c r="C883" s="543">
        <v>3</v>
      </c>
      <c r="D883" s="750" t="s">
        <v>5555</v>
      </c>
      <c r="E883" s="203"/>
      <c r="F883" s="753"/>
      <c r="G883" s="197"/>
      <c r="H883" s="210">
        <f t="shared" si="58"/>
        <v>0</v>
      </c>
      <c r="L883" s="200"/>
      <c r="M883" s="200"/>
      <c r="N883" s="200"/>
      <c r="O883" s="200"/>
      <c r="P883" s="200"/>
    </row>
    <row r="884" spans="3:16" s="517" customFormat="1" ht="24" customHeight="1">
      <c r="C884" s="754" t="s">
        <v>5293</v>
      </c>
      <c r="D884" s="750" t="s">
        <v>6957</v>
      </c>
      <c r="E884" s="203" t="s">
        <v>1300</v>
      </c>
      <c r="F884" s="753">
        <v>6</v>
      </c>
      <c r="G884" s="205">
        <f>VLOOKUP(D884,upahbahan,3,FALSE)</f>
        <v>0</v>
      </c>
      <c r="H884" s="210">
        <f t="shared" si="58"/>
        <v>0</v>
      </c>
      <c r="L884" s="200"/>
      <c r="M884" s="200"/>
      <c r="N884" s="200"/>
      <c r="O884" s="200"/>
      <c r="P884" s="200"/>
    </row>
    <row r="885" spans="3:16" s="517" customFormat="1" ht="24" customHeight="1">
      <c r="C885" s="754" t="s">
        <v>5299</v>
      </c>
      <c r="D885" s="750" t="s">
        <v>5560</v>
      </c>
      <c r="E885" s="203" t="s">
        <v>113</v>
      </c>
      <c r="F885" s="753">
        <v>10</v>
      </c>
      <c r="G885" s="205">
        <f>VLOOKUP(D885,upahbahan,3,FALSE)</f>
        <v>0</v>
      </c>
      <c r="H885" s="210">
        <f t="shared" si="58"/>
        <v>0</v>
      </c>
      <c r="L885" s="200"/>
      <c r="M885" s="200"/>
      <c r="N885" s="200"/>
      <c r="O885" s="200"/>
      <c r="P885" s="200"/>
    </row>
    <row r="886" spans="3:16" s="517" customFormat="1" ht="24" customHeight="1">
      <c r="C886" s="543">
        <v>4</v>
      </c>
      <c r="D886" s="750" t="s">
        <v>5556</v>
      </c>
      <c r="E886" s="203"/>
      <c r="F886" s="753"/>
      <c r="G886" s="197"/>
      <c r="H886" s="210">
        <f t="shared" si="58"/>
        <v>0</v>
      </c>
      <c r="L886" s="200"/>
      <c r="M886" s="200"/>
      <c r="N886" s="200"/>
      <c r="O886" s="200"/>
      <c r="P886" s="200"/>
    </row>
    <row r="887" spans="3:16" s="517" customFormat="1" ht="24" customHeight="1">
      <c r="C887" s="754" t="s">
        <v>5293</v>
      </c>
      <c r="D887" s="750" t="s">
        <v>2084</v>
      </c>
      <c r="E887" s="203" t="s">
        <v>42</v>
      </c>
      <c r="F887" s="753">
        <v>1.46E-2</v>
      </c>
      <c r="G887" s="205">
        <f>VLOOKUP(D887,upahbahan,3,FALSE)</f>
        <v>0</v>
      </c>
      <c r="H887" s="210">
        <f t="shared" si="58"/>
        <v>0</v>
      </c>
      <c r="L887" s="200"/>
      <c r="M887" s="200"/>
      <c r="N887" s="200"/>
      <c r="O887" s="200"/>
      <c r="P887" s="200"/>
    </row>
    <row r="888" spans="3:16" s="517" customFormat="1" ht="24" customHeight="1">
      <c r="C888" s="754" t="s">
        <v>5299</v>
      </c>
      <c r="D888" s="750" t="s">
        <v>5557</v>
      </c>
      <c r="E888" s="203" t="s">
        <v>42</v>
      </c>
      <c r="F888" s="753">
        <v>3.8999999999999998E-3</v>
      </c>
      <c r="G888" s="205">
        <f>VLOOKUP(D888,upahbahan,3,FALSE)</f>
        <v>0</v>
      </c>
      <c r="H888" s="210">
        <f t="shared" si="58"/>
        <v>0</v>
      </c>
      <c r="L888" s="200"/>
      <c r="M888" s="200"/>
      <c r="N888" s="200"/>
      <c r="O888" s="200"/>
      <c r="P888" s="200"/>
    </row>
    <row r="889" spans="3:16" s="517" customFormat="1" ht="24" customHeight="1">
      <c r="C889" s="754" t="s">
        <v>5558</v>
      </c>
      <c r="D889" s="750" t="s">
        <v>6958</v>
      </c>
      <c r="E889" s="203" t="s">
        <v>42</v>
      </c>
      <c r="F889" s="755">
        <v>1E-3</v>
      </c>
      <c r="G889" s="205">
        <f>VLOOKUP(D889,upahbahan,3,FALSE)</f>
        <v>0</v>
      </c>
      <c r="H889" s="210">
        <f t="shared" si="58"/>
        <v>0</v>
      </c>
      <c r="L889" s="200"/>
      <c r="M889" s="200"/>
      <c r="N889" s="200"/>
      <c r="O889" s="200"/>
      <c r="P889" s="200"/>
    </row>
    <row r="890" spans="3:16" s="517" customFormat="1" ht="24" customHeight="1">
      <c r="C890" s="207" t="s">
        <v>1214</v>
      </c>
      <c r="D890" s="208"/>
      <c r="E890" s="568"/>
      <c r="F890" s="208"/>
      <c r="G890" s="209"/>
      <c r="H890" s="210">
        <f>SUM(H881:H889)</f>
        <v>0</v>
      </c>
      <c r="L890" s="200"/>
      <c r="M890" s="200"/>
      <c r="N890" s="200"/>
      <c r="O890" s="200"/>
      <c r="P890" s="200"/>
    </row>
    <row r="891" spans="3:16" s="517" customFormat="1" ht="24" customHeight="1">
      <c r="C891" s="756" t="s">
        <v>1215</v>
      </c>
      <c r="D891" s="196" t="s">
        <v>1216</v>
      </c>
      <c r="E891" s="203"/>
      <c r="F891" s="197"/>
      <c r="G891" s="197"/>
      <c r="H891" s="198"/>
      <c r="L891" s="200"/>
      <c r="M891" s="200"/>
      <c r="N891" s="200"/>
      <c r="O891" s="200"/>
      <c r="P891" s="200"/>
    </row>
    <row r="892" spans="3:16" s="517" customFormat="1" ht="24" customHeight="1">
      <c r="C892" s="207" t="s">
        <v>1217</v>
      </c>
      <c r="D892" s="208"/>
      <c r="E892" s="208"/>
      <c r="F892" s="208"/>
      <c r="G892" s="209"/>
      <c r="H892" s="240">
        <f>SUM(H891)</f>
        <v>0</v>
      </c>
      <c r="L892" s="200"/>
      <c r="M892" s="200"/>
      <c r="N892" s="200"/>
      <c r="O892" s="200"/>
      <c r="P892" s="200"/>
    </row>
    <row r="893" spans="3:16" s="517" customFormat="1" ht="24" customHeight="1">
      <c r="C893" s="223" t="s">
        <v>1218</v>
      </c>
      <c r="D893" s="224" t="s">
        <v>1219</v>
      </c>
      <c r="E893" s="225"/>
      <c r="F893" s="225"/>
      <c r="G893" s="226"/>
      <c r="H893" s="210">
        <f>H892+H890+H879</f>
        <v>3897.875</v>
      </c>
      <c r="L893" s="200"/>
      <c r="M893" s="200"/>
      <c r="N893" s="200"/>
      <c r="O893" s="200"/>
      <c r="P893" s="200"/>
    </row>
    <row r="894" spans="3:16" s="517" customFormat="1" ht="24" customHeight="1">
      <c r="C894" s="223" t="s">
        <v>1220</v>
      </c>
      <c r="D894" s="224" t="s">
        <v>1321</v>
      </c>
      <c r="E894" s="225"/>
      <c r="F894" s="226"/>
      <c r="G894" s="228">
        <v>0.1</v>
      </c>
      <c r="H894" s="210">
        <f>H893*G894</f>
        <v>389.78750000000002</v>
      </c>
      <c r="L894" s="200"/>
      <c r="M894" s="200"/>
      <c r="N894" s="200"/>
      <c r="O894" s="200"/>
      <c r="P894" s="200"/>
    </row>
    <row r="895" spans="3:16" s="517" customFormat="1" ht="24" customHeight="1" thickBot="1">
      <c r="C895" s="229" t="s">
        <v>1221</v>
      </c>
      <c r="D895" s="230" t="s">
        <v>1222</v>
      </c>
      <c r="E895" s="231"/>
      <c r="F895" s="231"/>
      <c r="G895" s="232"/>
      <c r="H895" s="233">
        <f>SUM(H893:H894)</f>
        <v>4287.6625000000004</v>
      </c>
      <c r="L895" s="200"/>
      <c r="M895" s="200"/>
      <c r="N895" s="200"/>
      <c r="O895" s="200"/>
      <c r="P895" s="200"/>
    </row>
    <row r="896" spans="3:16" s="517" customFormat="1" ht="21" customHeight="1" thickTop="1">
      <c r="C896" s="757"/>
      <c r="D896" s="758" t="s">
        <v>6949</v>
      </c>
      <c r="E896" s="758"/>
      <c r="F896" s="758"/>
      <c r="G896" s="758"/>
      <c r="H896" s="759"/>
      <c r="L896" s="200"/>
      <c r="M896" s="200"/>
      <c r="N896" s="200"/>
      <c r="O896" s="200"/>
      <c r="P896" s="200"/>
    </row>
    <row r="897" spans="3:20" s="517" customFormat="1" ht="21" customHeight="1">
      <c r="C897" s="757" t="s">
        <v>6950</v>
      </c>
      <c r="D897" s="758"/>
      <c r="E897" s="758"/>
      <c r="F897" s="758"/>
      <c r="G897" s="758" t="s">
        <v>6959</v>
      </c>
      <c r="H897" s="759"/>
      <c r="L897" s="200"/>
      <c r="M897" s="200"/>
      <c r="N897" s="200"/>
      <c r="O897" s="200"/>
      <c r="P897" s="200"/>
    </row>
    <row r="898" spans="3:20" s="517" customFormat="1" ht="21" customHeight="1">
      <c r="C898" s="200" t="s">
        <v>6951</v>
      </c>
      <c r="D898" s="758"/>
      <c r="E898" s="758"/>
      <c r="F898" s="758"/>
      <c r="G898" s="758"/>
      <c r="H898" s="759"/>
      <c r="L898" s="200"/>
      <c r="M898" s="200"/>
      <c r="N898" s="200"/>
      <c r="O898" s="200"/>
      <c r="P898" s="200"/>
    </row>
    <row r="899" spans="3:20" ht="21" customHeight="1">
      <c r="C899" s="200" t="s">
        <v>6952</v>
      </c>
    </row>
    <row r="900" spans="3:20" ht="21" customHeight="1">
      <c r="C900" s="200"/>
    </row>
    <row r="901" spans="3:20" s="517" customFormat="1" ht="21" customHeight="1" thickBot="1">
      <c r="C901" s="513" t="s">
        <v>6961</v>
      </c>
      <c r="D901" s="748" t="s">
        <v>6962</v>
      </c>
      <c r="E901" s="749"/>
      <c r="F901" s="748"/>
      <c r="G901" s="748"/>
      <c r="H901" s="532"/>
      <c r="I901" s="532"/>
      <c r="J901" s="532"/>
      <c r="K901" s="532"/>
      <c r="L901" s="189">
        <f>ROUNDDOWN(H923,-2)</f>
        <v>4200</v>
      </c>
      <c r="M901" s="189"/>
      <c r="N901" s="189"/>
      <c r="O901" s="189"/>
      <c r="P901" s="189"/>
      <c r="R901" s="189">
        <f>ROUNDDOWN(H923,-2)</f>
        <v>4200</v>
      </c>
      <c r="S901" s="517" t="s">
        <v>6451</v>
      </c>
      <c r="T901" s="517" t="s">
        <v>6963</v>
      </c>
    </row>
    <row r="902" spans="3:20" s="517" customFormat="1" ht="21" customHeight="1" thickTop="1">
      <c r="C902" s="190" t="s">
        <v>1195</v>
      </c>
      <c r="D902" s="191" t="s">
        <v>1196</v>
      </c>
      <c r="E902" s="191" t="s">
        <v>1197</v>
      </c>
      <c r="F902" s="191" t="s">
        <v>1198</v>
      </c>
      <c r="G902" s="191" t="s">
        <v>1199</v>
      </c>
      <c r="H902" s="192" t="s">
        <v>1200</v>
      </c>
      <c r="L902" s="200"/>
      <c r="M902" s="200"/>
      <c r="N902" s="200"/>
      <c r="O902" s="200"/>
      <c r="P902" s="200"/>
    </row>
    <row r="903" spans="3:20" s="517" customFormat="1" ht="21" customHeight="1">
      <c r="C903" s="518" t="s">
        <v>1201</v>
      </c>
      <c r="D903" s="196" t="s">
        <v>1202</v>
      </c>
      <c r="E903" s="197"/>
      <c r="F903" s="197"/>
      <c r="G903" s="197"/>
      <c r="H903" s="198"/>
      <c r="L903" s="200"/>
      <c r="M903" s="200"/>
      <c r="N903" s="200"/>
      <c r="O903" s="200"/>
      <c r="P903" s="200"/>
    </row>
    <row r="904" spans="3:20" s="517" customFormat="1" ht="21" customHeight="1">
      <c r="C904" s="537">
        <v>1</v>
      </c>
      <c r="D904" s="196" t="s">
        <v>6954</v>
      </c>
      <c r="E904" s="202" t="s">
        <v>6</v>
      </c>
      <c r="F904" s="520">
        <v>1.43E-2</v>
      </c>
      <c r="G904" s="205">
        <f>VLOOKUP(D904,upahbahan,3,FALSE)</f>
        <v>181250</v>
      </c>
      <c r="H904" s="210">
        <f t="shared" ref="H904:H906" si="59">F904*G904</f>
        <v>2591.875</v>
      </c>
      <c r="L904" s="200"/>
      <c r="M904" s="200"/>
      <c r="N904" s="200"/>
      <c r="O904" s="200"/>
      <c r="P904" s="200"/>
    </row>
    <row r="905" spans="3:20" s="517" customFormat="1" ht="21" customHeight="1">
      <c r="C905" s="537">
        <v>2</v>
      </c>
      <c r="D905" s="196" t="s">
        <v>6948</v>
      </c>
      <c r="E905" s="202" t="s">
        <v>6</v>
      </c>
      <c r="F905" s="520">
        <v>4.7999999999999996E-3</v>
      </c>
      <c r="G905" s="205">
        <f>VLOOKUP(D905,upahbahan,3,FALSE)</f>
        <v>218750</v>
      </c>
      <c r="H905" s="210">
        <f t="shared" si="59"/>
        <v>1050</v>
      </c>
      <c r="L905" s="200"/>
      <c r="M905" s="200"/>
      <c r="N905" s="200"/>
      <c r="O905" s="200"/>
      <c r="P905" s="200"/>
    </row>
    <row r="906" spans="3:20" s="517" customFormat="1" ht="21" customHeight="1">
      <c r="C906" s="537">
        <v>3</v>
      </c>
      <c r="D906" s="196" t="s">
        <v>19</v>
      </c>
      <c r="E906" s="202" t="s">
        <v>6</v>
      </c>
      <c r="F906" s="520">
        <v>1.6000000000000001E-3</v>
      </c>
      <c r="G906" s="205">
        <f>VLOOKUP(D906,upahbahan,3,FALSE)</f>
        <v>160000</v>
      </c>
      <c r="H906" s="210">
        <f t="shared" si="59"/>
        <v>256</v>
      </c>
      <c r="L906" s="200"/>
      <c r="M906" s="200"/>
      <c r="N906" s="200"/>
      <c r="O906" s="200"/>
      <c r="P906" s="200"/>
    </row>
    <row r="907" spans="3:20" s="517" customFormat="1" ht="21" customHeight="1">
      <c r="C907" s="207" t="s">
        <v>1208</v>
      </c>
      <c r="D907" s="208"/>
      <c r="E907" s="208"/>
      <c r="F907" s="521"/>
      <c r="G907" s="522"/>
      <c r="H907" s="210">
        <f>SUM(H904:H906)</f>
        <v>3897.875</v>
      </c>
      <c r="L907" s="523"/>
      <c r="M907" s="523"/>
      <c r="N907" s="523"/>
      <c r="O907" s="523"/>
      <c r="P907" s="523"/>
    </row>
    <row r="908" spans="3:20" s="517" customFormat="1" ht="21" customHeight="1">
      <c r="C908" s="543" t="s">
        <v>1209</v>
      </c>
      <c r="D908" s="750" t="s">
        <v>1210</v>
      </c>
      <c r="E908" s="197"/>
      <c r="F908" s="751"/>
      <c r="G908" s="197"/>
      <c r="H908" s="752"/>
      <c r="L908" s="200"/>
      <c r="M908" s="200"/>
      <c r="N908" s="200"/>
      <c r="O908" s="200"/>
      <c r="P908" s="200"/>
    </row>
    <row r="909" spans="3:20" s="517" customFormat="1" ht="21" customHeight="1">
      <c r="C909" s="543">
        <v>1</v>
      </c>
      <c r="D909" s="750" t="s">
        <v>6965</v>
      </c>
      <c r="E909" s="203" t="s">
        <v>44</v>
      </c>
      <c r="F909" s="753">
        <v>1.05</v>
      </c>
      <c r="G909" s="205">
        <f>VLOOKUP(D909,upahbahan,3,FALSE)</f>
        <v>0</v>
      </c>
      <c r="H909" s="210">
        <f t="shared" ref="H909:H917" si="60">F909*G909</f>
        <v>0</v>
      </c>
      <c r="L909" s="200"/>
      <c r="M909" s="200"/>
      <c r="N909" s="200"/>
      <c r="O909" s="200"/>
      <c r="P909" s="200"/>
    </row>
    <row r="910" spans="3:20" s="517" customFormat="1" ht="21" customHeight="1">
      <c r="C910" s="543">
        <v>2</v>
      </c>
      <c r="D910" s="750" t="s">
        <v>5563</v>
      </c>
      <c r="E910" s="203" t="s">
        <v>65</v>
      </c>
      <c r="F910" s="753">
        <v>5.0000000000000001E-3</v>
      </c>
      <c r="G910" s="205">
        <f>VLOOKUP(D910,upahbahan,3,FALSE)</f>
        <v>0</v>
      </c>
      <c r="H910" s="210">
        <f t="shared" si="60"/>
        <v>0</v>
      </c>
      <c r="L910" s="200"/>
      <c r="M910" s="200"/>
      <c r="N910" s="200"/>
      <c r="O910" s="200"/>
      <c r="P910" s="200"/>
    </row>
    <row r="911" spans="3:20" s="517" customFormat="1" ht="21" customHeight="1">
      <c r="C911" s="543">
        <v>3</v>
      </c>
      <c r="D911" s="750" t="s">
        <v>5555</v>
      </c>
      <c r="E911" s="203"/>
      <c r="F911" s="753"/>
      <c r="G911" s="197"/>
      <c r="H911" s="210">
        <f t="shared" si="60"/>
        <v>0</v>
      </c>
      <c r="L911" s="200"/>
      <c r="M911" s="200"/>
      <c r="N911" s="200"/>
      <c r="O911" s="200"/>
      <c r="P911" s="200"/>
    </row>
    <row r="912" spans="3:20" s="517" customFormat="1" ht="21" customHeight="1">
      <c r="C912" s="754" t="s">
        <v>5293</v>
      </c>
      <c r="D912" s="750" t="s">
        <v>6957</v>
      </c>
      <c r="E912" s="203" t="s">
        <v>1300</v>
      </c>
      <c r="F912" s="753">
        <v>6</v>
      </c>
      <c r="G912" s="205">
        <f>VLOOKUP(D912,upahbahan,3,FALSE)</f>
        <v>0</v>
      </c>
      <c r="H912" s="210">
        <f t="shared" si="60"/>
        <v>0</v>
      </c>
      <c r="L912" s="200"/>
      <c r="M912" s="200"/>
      <c r="N912" s="200"/>
      <c r="O912" s="200"/>
      <c r="P912" s="200"/>
    </row>
    <row r="913" spans="3:16" s="517" customFormat="1" ht="21" customHeight="1">
      <c r="C913" s="754" t="s">
        <v>5299</v>
      </c>
      <c r="D913" s="750" t="s">
        <v>5560</v>
      </c>
      <c r="E913" s="203" t="s">
        <v>113</v>
      </c>
      <c r="F913" s="753">
        <v>10</v>
      </c>
      <c r="G913" s="205">
        <f>VLOOKUP(D913,upahbahan,3,FALSE)</f>
        <v>0</v>
      </c>
      <c r="H913" s="210">
        <f t="shared" si="60"/>
        <v>0</v>
      </c>
      <c r="L913" s="200"/>
      <c r="M913" s="200"/>
      <c r="N913" s="200"/>
      <c r="O913" s="200"/>
      <c r="P913" s="200"/>
    </row>
    <row r="914" spans="3:16" s="517" customFormat="1" ht="21" customHeight="1">
      <c r="C914" s="543">
        <v>4</v>
      </c>
      <c r="D914" s="750" t="s">
        <v>5556</v>
      </c>
      <c r="E914" s="203"/>
      <c r="F914" s="753"/>
      <c r="G914" s="197"/>
      <c r="H914" s="210">
        <f t="shared" si="60"/>
        <v>0</v>
      </c>
      <c r="L914" s="200"/>
      <c r="M914" s="200"/>
      <c r="N914" s="200"/>
      <c r="O914" s="200"/>
      <c r="P914" s="200"/>
    </row>
    <row r="915" spans="3:16" s="517" customFormat="1" ht="21" customHeight="1">
      <c r="C915" s="754" t="s">
        <v>5293</v>
      </c>
      <c r="D915" s="750" t="s">
        <v>2084</v>
      </c>
      <c r="E915" s="203" t="s">
        <v>42</v>
      </c>
      <c r="F915" s="753">
        <v>1.46E-2</v>
      </c>
      <c r="G915" s="205">
        <f>VLOOKUP(D915,upahbahan,3,FALSE)</f>
        <v>0</v>
      </c>
      <c r="H915" s="210">
        <f t="shared" si="60"/>
        <v>0</v>
      </c>
      <c r="L915" s="200"/>
      <c r="M915" s="200"/>
      <c r="N915" s="200"/>
      <c r="O915" s="200"/>
      <c r="P915" s="200"/>
    </row>
    <row r="916" spans="3:16" s="517" customFormat="1" ht="21" customHeight="1">
      <c r="C916" s="754" t="s">
        <v>5299</v>
      </c>
      <c r="D916" s="750" t="s">
        <v>5557</v>
      </c>
      <c r="E916" s="203" t="s">
        <v>42</v>
      </c>
      <c r="F916" s="753">
        <v>3.8999999999999998E-3</v>
      </c>
      <c r="G916" s="205">
        <f>VLOOKUP(D916,upahbahan,3,FALSE)</f>
        <v>0</v>
      </c>
      <c r="H916" s="210">
        <f t="shared" si="60"/>
        <v>0</v>
      </c>
      <c r="L916" s="200"/>
      <c r="M916" s="200"/>
      <c r="N916" s="200"/>
      <c r="O916" s="200"/>
      <c r="P916" s="200"/>
    </row>
    <row r="917" spans="3:16" s="517" customFormat="1" ht="21" customHeight="1">
      <c r="C917" s="754" t="s">
        <v>5558</v>
      </c>
      <c r="D917" s="750" t="s">
        <v>6958</v>
      </c>
      <c r="E917" s="203" t="s">
        <v>42</v>
      </c>
      <c r="F917" s="755">
        <v>1E-3</v>
      </c>
      <c r="G917" s="205">
        <f>VLOOKUP(D917,upahbahan,3,FALSE)</f>
        <v>0</v>
      </c>
      <c r="H917" s="210">
        <f t="shared" si="60"/>
        <v>0</v>
      </c>
      <c r="L917" s="200"/>
      <c r="M917" s="200"/>
      <c r="N917" s="200"/>
      <c r="O917" s="200"/>
      <c r="P917" s="200"/>
    </row>
    <row r="918" spans="3:16" s="517" customFormat="1" ht="21" customHeight="1">
      <c r="C918" s="207" t="s">
        <v>1214</v>
      </c>
      <c r="D918" s="208"/>
      <c r="E918" s="568"/>
      <c r="F918" s="208"/>
      <c r="G918" s="209"/>
      <c r="H918" s="210">
        <f>SUM(H909:H917)</f>
        <v>0</v>
      </c>
      <c r="L918" s="200"/>
      <c r="M918" s="200"/>
      <c r="N918" s="200"/>
      <c r="O918" s="200"/>
      <c r="P918" s="200"/>
    </row>
    <row r="919" spans="3:16" s="517" customFormat="1" ht="21" customHeight="1">
      <c r="C919" s="756" t="s">
        <v>1215</v>
      </c>
      <c r="D919" s="196" t="s">
        <v>1216</v>
      </c>
      <c r="E919" s="203"/>
      <c r="F919" s="197"/>
      <c r="G919" s="197"/>
      <c r="H919" s="198"/>
      <c r="L919" s="200"/>
      <c r="M919" s="200"/>
      <c r="N919" s="200"/>
      <c r="O919" s="200"/>
      <c r="P919" s="200"/>
    </row>
    <row r="920" spans="3:16" s="517" customFormat="1" ht="21" customHeight="1">
      <c r="C920" s="207" t="s">
        <v>1217</v>
      </c>
      <c r="D920" s="208"/>
      <c r="E920" s="208"/>
      <c r="F920" s="208"/>
      <c r="G920" s="209"/>
      <c r="H920" s="240">
        <f>SUM(H919)</f>
        <v>0</v>
      </c>
      <c r="L920" s="200"/>
      <c r="M920" s="200"/>
      <c r="N920" s="200"/>
      <c r="O920" s="200"/>
      <c r="P920" s="200"/>
    </row>
    <row r="921" spans="3:16" s="517" customFormat="1" ht="21" customHeight="1">
      <c r="C921" s="223" t="s">
        <v>1218</v>
      </c>
      <c r="D921" s="224" t="s">
        <v>1219</v>
      </c>
      <c r="E921" s="225"/>
      <c r="F921" s="225"/>
      <c r="G921" s="226"/>
      <c r="H921" s="210">
        <f>H920+H918+H907</f>
        <v>3897.875</v>
      </c>
      <c r="L921" s="200"/>
      <c r="M921" s="200"/>
      <c r="N921" s="200"/>
      <c r="O921" s="200"/>
      <c r="P921" s="200"/>
    </row>
    <row r="922" spans="3:16" s="517" customFormat="1" ht="21" customHeight="1">
      <c r="C922" s="223" t="s">
        <v>1220</v>
      </c>
      <c r="D922" s="224" t="s">
        <v>1321</v>
      </c>
      <c r="E922" s="225"/>
      <c r="F922" s="226"/>
      <c r="G922" s="228">
        <v>0.1</v>
      </c>
      <c r="H922" s="210">
        <f>H921*G922</f>
        <v>389.78750000000002</v>
      </c>
      <c r="L922" s="200"/>
      <c r="M922" s="200"/>
      <c r="N922" s="200"/>
      <c r="O922" s="200"/>
      <c r="P922" s="200"/>
    </row>
    <row r="923" spans="3:16" s="517" customFormat="1" ht="21" customHeight="1" thickBot="1">
      <c r="C923" s="229" t="s">
        <v>1221</v>
      </c>
      <c r="D923" s="230" t="s">
        <v>1222</v>
      </c>
      <c r="E923" s="231"/>
      <c r="F923" s="231"/>
      <c r="G923" s="232"/>
      <c r="H923" s="233">
        <f>SUM(H921:H922)</f>
        <v>4287.6625000000004</v>
      </c>
      <c r="L923" s="200"/>
      <c r="M923" s="200"/>
      <c r="N923" s="200"/>
      <c r="O923" s="200"/>
      <c r="P923" s="200"/>
    </row>
    <row r="924" spans="3:16" s="517" customFormat="1" ht="21" customHeight="1" thickTop="1">
      <c r="C924" s="757"/>
      <c r="D924" s="758" t="s">
        <v>6949</v>
      </c>
      <c r="E924" s="758"/>
      <c r="F924" s="758"/>
      <c r="G924" s="758"/>
      <c r="H924" s="759"/>
      <c r="L924" s="200"/>
      <c r="M924" s="200"/>
      <c r="N924" s="200"/>
      <c r="O924" s="200"/>
      <c r="P924" s="200"/>
    </row>
    <row r="925" spans="3:16" s="517" customFormat="1" ht="21" customHeight="1">
      <c r="C925" s="757" t="s">
        <v>6950</v>
      </c>
      <c r="D925" s="758"/>
      <c r="E925" s="758"/>
      <c r="F925" s="758"/>
      <c r="G925" s="758" t="s">
        <v>6959</v>
      </c>
      <c r="H925" s="759"/>
      <c r="L925" s="200"/>
      <c r="M925" s="200"/>
      <c r="N925" s="200"/>
      <c r="O925" s="200"/>
      <c r="P925" s="200"/>
    </row>
    <row r="926" spans="3:16" s="517" customFormat="1" ht="21" customHeight="1">
      <c r="C926" s="200" t="s">
        <v>6951</v>
      </c>
      <c r="D926" s="758"/>
      <c r="E926" s="758"/>
      <c r="F926" s="758"/>
      <c r="G926" s="758"/>
      <c r="H926" s="759"/>
      <c r="L926" s="200"/>
      <c r="M926" s="200"/>
      <c r="N926" s="200"/>
      <c r="O926" s="200"/>
      <c r="P926" s="200"/>
    </row>
    <row r="927" spans="3:16" ht="21" customHeight="1">
      <c r="C927" s="200" t="s">
        <v>6952</v>
      </c>
    </row>
    <row r="928" spans="3:16" ht="21" customHeight="1">
      <c r="C928" s="200"/>
    </row>
    <row r="929" spans="3:20" s="517" customFormat="1" ht="21" customHeight="1" thickBot="1">
      <c r="C929" s="513" t="s">
        <v>6966</v>
      </c>
      <c r="D929" s="748" t="s">
        <v>6967</v>
      </c>
      <c r="E929" s="749"/>
      <c r="F929" s="748"/>
      <c r="G929" s="748"/>
      <c r="H929" s="532"/>
      <c r="I929" s="532"/>
      <c r="J929" s="532"/>
      <c r="K929" s="532"/>
      <c r="L929" s="189">
        <f>ROUNDDOWN(H951,-2)</f>
        <v>4200</v>
      </c>
      <c r="M929" s="189"/>
      <c r="N929" s="189"/>
      <c r="O929" s="189"/>
      <c r="P929" s="189"/>
      <c r="R929" s="189">
        <f>ROUNDDOWN(H951,-2)</f>
        <v>4200</v>
      </c>
      <c r="S929" s="517" t="s">
        <v>6451</v>
      </c>
      <c r="T929" s="517" t="s">
        <v>6963</v>
      </c>
    </row>
    <row r="930" spans="3:20" s="517" customFormat="1" ht="21" customHeight="1" thickTop="1">
      <c r="C930" s="190" t="s">
        <v>1195</v>
      </c>
      <c r="D930" s="191" t="s">
        <v>1196</v>
      </c>
      <c r="E930" s="191" t="s">
        <v>1197</v>
      </c>
      <c r="F930" s="191" t="s">
        <v>1198</v>
      </c>
      <c r="G930" s="191" t="s">
        <v>1199</v>
      </c>
      <c r="H930" s="192" t="s">
        <v>1200</v>
      </c>
      <c r="L930" s="200"/>
      <c r="M930" s="200"/>
      <c r="N930" s="200"/>
      <c r="O930" s="200"/>
      <c r="P930" s="200"/>
    </row>
    <row r="931" spans="3:20" s="517" customFormat="1" ht="21" customHeight="1">
      <c r="C931" s="518" t="s">
        <v>1201</v>
      </c>
      <c r="D931" s="196" t="s">
        <v>1202</v>
      </c>
      <c r="E931" s="197"/>
      <c r="F931" s="197"/>
      <c r="G931" s="197"/>
      <c r="H931" s="198"/>
      <c r="L931" s="200"/>
      <c r="M931" s="200"/>
      <c r="N931" s="200"/>
      <c r="O931" s="200"/>
      <c r="P931" s="200"/>
    </row>
    <row r="932" spans="3:20" s="517" customFormat="1" ht="21" customHeight="1">
      <c r="C932" s="537">
        <v>1</v>
      </c>
      <c r="D932" s="196" t="s">
        <v>6954</v>
      </c>
      <c r="E932" s="202" t="s">
        <v>6</v>
      </c>
      <c r="F932" s="520">
        <v>1.43E-2</v>
      </c>
      <c r="G932" s="205">
        <f>VLOOKUP(D932,upahbahan,3,FALSE)</f>
        <v>181250</v>
      </c>
      <c r="H932" s="210">
        <f t="shared" ref="H932:H934" si="61">F932*G932</f>
        <v>2591.875</v>
      </c>
      <c r="L932" s="200"/>
      <c r="M932" s="200"/>
      <c r="N932" s="200"/>
      <c r="O932" s="200"/>
      <c r="P932" s="200"/>
    </row>
    <row r="933" spans="3:20" s="517" customFormat="1" ht="21" customHeight="1">
      <c r="C933" s="537">
        <v>2</v>
      </c>
      <c r="D933" s="196" t="s">
        <v>6948</v>
      </c>
      <c r="E933" s="202" t="s">
        <v>6</v>
      </c>
      <c r="F933" s="520">
        <v>4.7999999999999996E-3</v>
      </c>
      <c r="G933" s="205">
        <f>VLOOKUP(D933,upahbahan,3,FALSE)</f>
        <v>218750</v>
      </c>
      <c r="H933" s="210">
        <f t="shared" si="61"/>
        <v>1050</v>
      </c>
      <c r="L933" s="200"/>
      <c r="M933" s="200"/>
      <c r="N933" s="200"/>
      <c r="O933" s="200"/>
      <c r="P933" s="200"/>
    </row>
    <row r="934" spans="3:20" s="517" customFormat="1" ht="21" customHeight="1">
      <c r="C934" s="537">
        <v>3</v>
      </c>
      <c r="D934" s="196" t="s">
        <v>19</v>
      </c>
      <c r="E934" s="202" t="s">
        <v>6</v>
      </c>
      <c r="F934" s="520">
        <v>1.6000000000000001E-3</v>
      </c>
      <c r="G934" s="205">
        <f>VLOOKUP(D934,upahbahan,3,FALSE)</f>
        <v>160000</v>
      </c>
      <c r="H934" s="210">
        <f t="shared" si="61"/>
        <v>256</v>
      </c>
      <c r="L934" s="200"/>
      <c r="M934" s="200"/>
      <c r="N934" s="200"/>
      <c r="O934" s="200"/>
      <c r="P934" s="200"/>
    </row>
    <row r="935" spans="3:20" s="517" customFormat="1" ht="21" customHeight="1">
      <c r="C935" s="207" t="s">
        <v>1208</v>
      </c>
      <c r="D935" s="208"/>
      <c r="E935" s="208"/>
      <c r="F935" s="521"/>
      <c r="G935" s="522"/>
      <c r="H935" s="210">
        <f>SUM(H932:H934)</f>
        <v>3897.875</v>
      </c>
      <c r="L935" s="523"/>
      <c r="M935" s="523"/>
      <c r="N935" s="523"/>
      <c r="O935" s="523"/>
      <c r="P935" s="523"/>
    </row>
    <row r="936" spans="3:20" s="517" customFormat="1" ht="21" customHeight="1">
      <c r="C936" s="543" t="s">
        <v>1209</v>
      </c>
      <c r="D936" s="750" t="s">
        <v>1210</v>
      </c>
      <c r="E936" s="197"/>
      <c r="F936" s="751"/>
      <c r="G936" s="197"/>
      <c r="H936" s="752"/>
      <c r="L936" s="200"/>
      <c r="M936" s="200"/>
      <c r="N936" s="200"/>
      <c r="O936" s="200"/>
      <c r="P936" s="200"/>
    </row>
    <row r="937" spans="3:20" s="517" customFormat="1" ht="21" customHeight="1">
      <c r="C937" s="543">
        <v>1</v>
      </c>
      <c r="D937" s="750" t="s">
        <v>6968</v>
      </c>
      <c r="E937" s="203" t="s">
        <v>44</v>
      </c>
      <c r="F937" s="753">
        <v>1.05</v>
      </c>
      <c r="G937" s="205">
        <f>VLOOKUP(D937,upahbahan,3,FALSE)</f>
        <v>0</v>
      </c>
      <c r="H937" s="210">
        <f t="shared" ref="H937:H945" si="62">F937*G937</f>
        <v>0</v>
      </c>
      <c r="L937" s="200"/>
      <c r="M937" s="200"/>
      <c r="N937" s="200"/>
      <c r="O937" s="200"/>
      <c r="P937" s="200"/>
    </row>
    <row r="938" spans="3:20" s="517" customFormat="1" ht="21" customHeight="1">
      <c r="C938" s="543">
        <v>2</v>
      </c>
      <c r="D938" s="750" t="s">
        <v>5563</v>
      </c>
      <c r="E938" s="203" t="s">
        <v>65</v>
      </c>
      <c r="F938" s="753">
        <v>5.0000000000000001E-3</v>
      </c>
      <c r="G938" s="205">
        <f>VLOOKUP(D938,upahbahan,3,FALSE)</f>
        <v>0</v>
      </c>
      <c r="H938" s="210">
        <f t="shared" si="62"/>
        <v>0</v>
      </c>
      <c r="L938" s="200"/>
      <c r="M938" s="200"/>
      <c r="N938" s="200"/>
      <c r="O938" s="200"/>
      <c r="P938" s="200"/>
    </row>
    <row r="939" spans="3:20" s="517" customFormat="1" ht="21" customHeight="1">
      <c r="C939" s="543">
        <v>3</v>
      </c>
      <c r="D939" s="750" t="s">
        <v>5555</v>
      </c>
      <c r="E939" s="203"/>
      <c r="F939" s="753"/>
      <c r="G939" s="197"/>
      <c r="H939" s="210">
        <f t="shared" si="62"/>
        <v>0</v>
      </c>
      <c r="L939" s="200"/>
      <c r="M939" s="200"/>
      <c r="N939" s="200"/>
      <c r="O939" s="200"/>
      <c r="P939" s="200"/>
    </row>
    <row r="940" spans="3:20" s="517" customFormat="1" ht="21" customHeight="1">
      <c r="C940" s="754" t="s">
        <v>5293</v>
      </c>
      <c r="D940" s="750" t="s">
        <v>6957</v>
      </c>
      <c r="E940" s="203" t="s">
        <v>1300</v>
      </c>
      <c r="F940" s="753">
        <v>6</v>
      </c>
      <c r="G940" s="205">
        <f>VLOOKUP(D940,upahbahan,3,FALSE)</f>
        <v>0</v>
      </c>
      <c r="H940" s="210">
        <f t="shared" si="62"/>
        <v>0</v>
      </c>
      <c r="L940" s="200"/>
      <c r="M940" s="200"/>
      <c r="N940" s="200"/>
      <c r="O940" s="200"/>
      <c r="P940" s="200"/>
    </row>
    <row r="941" spans="3:20" s="517" customFormat="1" ht="21" customHeight="1">
      <c r="C941" s="754" t="s">
        <v>5299</v>
      </c>
      <c r="D941" s="750" t="s">
        <v>5560</v>
      </c>
      <c r="E941" s="203" t="s">
        <v>113</v>
      </c>
      <c r="F941" s="753">
        <v>10</v>
      </c>
      <c r="G941" s="205">
        <f>VLOOKUP(D941,upahbahan,3,FALSE)</f>
        <v>0</v>
      </c>
      <c r="H941" s="210">
        <f t="shared" si="62"/>
        <v>0</v>
      </c>
      <c r="L941" s="200"/>
      <c r="M941" s="200"/>
      <c r="N941" s="200"/>
      <c r="O941" s="200"/>
      <c r="P941" s="200"/>
    </row>
    <row r="942" spans="3:20" s="517" customFormat="1" ht="21" customHeight="1">
      <c r="C942" s="543">
        <v>4</v>
      </c>
      <c r="D942" s="750" t="s">
        <v>5556</v>
      </c>
      <c r="E942" s="203"/>
      <c r="F942" s="753"/>
      <c r="G942" s="197"/>
      <c r="H942" s="210">
        <f t="shared" si="62"/>
        <v>0</v>
      </c>
      <c r="L942" s="200"/>
      <c r="M942" s="200"/>
      <c r="N942" s="200"/>
      <c r="O942" s="200"/>
      <c r="P942" s="200"/>
    </row>
    <row r="943" spans="3:20" s="517" customFormat="1" ht="21" customHeight="1">
      <c r="C943" s="754" t="s">
        <v>5293</v>
      </c>
      <c r="D943" s="750" t="s">
        <v>2084</v>
      </c>
      <c r="E943" s="203" t="s">
        <v>42</v>
      </c>
      <c r="F943" s="753">
        <v>1.46E-2</v>
      </c>
      <c r="G943" s="205">
        <f>VLOOKUP(D943,upahbahan,3,FALSE)</f>
        <v>0</v>
      </c>
      <c r="H943" s="210">
        <f t="shared" si="62"/>
        <v>0</v>
      </c>
      <c r="L943" s="200"/>
      <c r="M943" s="200"/>
      <c r="N943" s="200"/>
      <c r="O943" s="200"/>
      <c r="P943" s="200"/>
    </row>
    <row r="944" spans="3:20" s="517" customFormat="1" ht="21" customHeight="1">
      <c r="C944" s="754" t="s">
        <v>5299</v>
      </c>
      <c r="D944" s="750" t="s">
        <v>5557</v>
      </c>
      <c r="E944" s="203" t="s">
        <v>42</v>
      </c>
      <c r="F944" s="753">
        <v>3.8999999999999998E-3</v>
      </c>
      <c r="G944" s="205">
        <f>VLOOKUP(D944,upahbahan,3,FALSE)</f>
        <v>0</v>
      </c>
      <c r="H944" s="210">
        <f t="shared" si="62"/>
        <v>0</v>
      </c>
      <c r="L944" s="200"/>
      <c r="M944" s="200"/>
      <c r="N944" s="200"/>
      <c r="O944" s="200"/>
      <c r="P944" s="200"/>
    </row>
    <row r="945" spans="3:20" s="517" customFormat="1" ht="21" customHeight="1">
      <c r="C945" s="754" t="s">
        <v>5558</v>
      </c>
      <c r="D945" s="750" t="s">
        <v>6958</v>
      </c>
      <c r="E945" s="203" t="s">
        <v>42</v>
      </c>
      <c r="F945" s="755">
        <v>1E-3</v>
      </c>
      <c r="G945" s="205">
        <f>VLOOKUP(D945,upahbahan,3,FALSE)</f>
        <v>0</v>
      </c>
      <c r="H945" s="210">
        <f t="shared" si="62"/>
        <v>0</v>
      </c>
      <c r="L945" s="200"/>
      <c r="M945" s="200"/>
      <c r="N945" s="200"/>
      <c r="O945" s="200"/>
      <c r="P945" s="200"/>
    </row>
    <row r="946" spans="3:20" s="517" customFormat="1" ht="21" customHeight="1">
      <c r="C946" s="207" t="s">
        <v>1214</v>
      </c>
      <c r="D946" s="208"/>
      <c r="E946" s="568"/>
      <c r="F946" s="208"/>
      <c r="G946" s="209"/>
      <c r="H946" s="210">
        <f>SUM(H937:H945)</f>
        <v>0</v>
      </c>
      <c r="L946" s="200"/>
      <c r="M946" s="200"/>
      <c r="N946" s="200"/>
      <c r="O946" s="200"/>
      <c r="P946" s="200"/>
    </row>
    <row r="947" spans="3:20" s="517" customFormat="1" ht="21" customHeight="1">
      <c r="C947" s="756" t="s">
        <v>1215</v>
      </c>
      <c r="D947" s="196" t="s">
        <v>1216</v>
      </c>
      <c r="E947" s="203"/>
      <c r="F947" s="197"/>
      <c r="G947" s="197"/>
      <c r="H947" s="198"/>
      <c r="L947" s="200"/>
      <c r="M947" s="200"/>
      <c r="N947" s="200"/>
      <c r="O947" s="200"/>
      <c r="P947" s="200"/>
    </row>
    <row r="948" spans="3:20" s="517" customFormat="1" ht="21" customHeight="1">
      <c r="C948" s="207" t="s">
        <v>1217</v>
      </c>
      <c r="D948" s="208"/>
      <c r="E948" s="208"/>
      <c r="F948" s="208"/>
      <c r="G948" s="209"/>
      <c r="H948" s="240">
        <f>SUM(H947)</f>
        <v>0</v>
      </c>
      <c r="L948" s="200"/>
      <c r="M948" s="200"/>
      <c r="N948" s="200"/>
      <c r="O948" s="200"/>
      <c r="P948" s="200"/>
    </row>
    <row r="949" spans="3:20" s="517" customFormat="1" ht="21" customHeight="1">
      <c r="C949" s="223" t="s">
        <v>1218</v>
      </c>
      <c r="D949" s="224" t="s">
        <v>1219</v>
      </c>
      <c r="E949" s="225"/>
      <c r="F949" s="225"/>
      <c r="G949" s="226"/>
      <c r="H949" s="210">
        <f>H948+H946+H935</f>
        <v>3897.875</v>
      </c>
      <c r="L949" s="200"/>
      <c r="M949" s="200"/>
      <c r="N949" s="200"/>
      <c r="O949" s="200"/>
      <c r="P949" s="200"/>
    </row>
    <row r="950" spans="3:20" s="517" customFormat="1" ht="21" customHeight="1">
      <c r="C950" s="223" t="s">
        <v>1220</v>
      </c>
      <c r="D950" s="224" t="s">
        <v>1321</v>
      </c>
      <c r="E950" s="225"/>
      <c r="F950" s="226"/>
      <c r="G950" s="228">
        <v>0.1</v>
      </c>
      <c r="H950" s="210">
        <f>H949*G950</f>
        <v>389.78750000000002</v>
      </c>
      <c r="L950" s="200"/>
      <c r="M950" s="200"/>
      <c r="N950" s="200"/>
      <c r="O950" s="200"/>
      <c r="P950" s="200"/>
    </row>
    <row r="951" spans="3:20" s="517" customFormat="1" ht="21" customHeight="1" thickBot="1">
      <c r="C951" s="229" t="s">
        <v>1221</v>
      </c>
      <c r="D951" s="230" t="s">
        <v>1222</v>
      </c>
      <c r="E951" s="231"/>
      <c r="F951" s="231"/>
      <c r="G951" s="232"/>
      <c r="H951" s="233">
        <f>SUM(H949:H950)</f>
        <v>4287.6625000000004</v>
      </c>
      <c r="L951" s="200"/>
      <c r="M951" s="200"/>
      <c r="N951" s="200"/>
      <c r="O951" s="200"/>
      <c r="P951" s="200"/>
    </row>
    <row r="952" spans="3:20" s="517" customFormat="1" ht="21" customHeight="1" thickTop="1">
      <c r="C952" s="757"/>
      <c r="D952" s="758" t="s">
        <v>6949</v>
      </c>
      <c r="E952" s="758"/>
      <c r="F952" s="758"/>
      <c r="G952" s="758"/>
      <c r="H952" s="759"/>
      <c r="L952" s="200"/>
      <c r="M952" s="200"/>
      <c r="N952" s="200"/>
      <c r="O952" s="200"/>
      <c r="P952" s="200"/>
    </row>
    <row r="953" spans="3:20" s="517" customFormat="1" ht="21" customHeight="1">
      <c r="C953" s="757" t="s">
        <v>6950</v>
      </c>
      <c r="D953" s="758"/>
      <c r="E953" s="758"/>
      <c r="F953" s="758"/>
      <c r="G953" s="758" t="s">
        <v>6959</v>
      </c>
      <c r="H953" s="759"/>
      <c r="L953" s="200"/>
      <c r="M953" s="200"/>
      <c r="N953" s="200"/>
      <c r="O953" s="200"/>
      <c r="P953" s="200"/>
    </row>
    <row r="954" spans="3:20" s="517" customFormat="1" ht="21" customHeight="1">
      <c r="C954" s="200" t="s">
        <v>6951</v>
      </c>
      <c r="D954" s="758"/>
      <c r="E954" s="758"/>
      <c r="F954" s="758"/>
      <c r="G954" s="758"/>
      <c r="H954" s="759"/>
      <c r="L954" s="200"/>
      <c r="M954" s="200"/>
      <c r="N954" s="200"/>
      <c r="O954" s="200"/>
      <c r="P954" s="200"/>
    </row>
    <row r="955" spans="3:20" ht="21" customHeight="1">
      <c r="C955" s="200" t="s">
        <v>6952</v>
      </c>
    </row>
    <row r="956" spans="3:20" ht="21" customHeight="1">
      <c r="C956" s="200"/>
    </row>
    <row r="957" spans="3:20" s="517" customFormat="1" ht="21" customHeight="1" thickBot="1">
      <c r="C957" s="513" t="s">
        <v>6969</v>
      </c>
      <c r="D957" s="748" t="s">
        <v>6970</v>
      </c>
      <c r="E957" s="749"/>
      <c r="F957" s="748"/>
      <c r="G957" s="748"/>
      <c r="H957" s="532"/>
      <c r="I957" s="532"/>
      <c r="J957" s="532"/>
      <c r="K957" s="532"/>
      <c r="L957" s="189">
        <f>ROUNDDOWN(H979,-2)</f>
        <v>4200</v>
      </c>
      <c r="M957" s="189"/>
      <c r="N957" s="189"/>
      <c r="O957" s="189"/>
      <c r="P957" s="189"/>
      <c r="R957" s="189">
        <f>ROUNDDOWN(H979,-2)</f>
        <v>4200</v>
      </c>
      <c r="S957" s="517" t="s">
        <v>6451</v>
      </c>
      <c r="T957" s="517" t="s">
        <v>6963</v>
      </c>
    </row>
    <row r="958" spans="3:20" s="517" customFormat="1" ht="21" customHeight="1" thickTop="1">
      <c r="C958" s="190" t="s">
        <v>1195</v>
      </c>
      <c r="D958" s="191" t="s">
        <v>1196</v>
      </c>
      <c r="E958" s="191" t="s">
        <v>1197</v>
      </c>
      <c r="F958" s="191" t="s">
        <v>1198</v>
      </c>
      <c r="G958" s="191" t="s">
        <v>1199</v>
      </c>
      <c r="H958" s="192" t="s">
        <v>1200</v>
      </c>
      <c r="L958" s="200"/>
      <c r="M958" s="200"/>
      <c r="N958" s="200"/>
      <c r="O958" s="200"/>
      <c r="P958" s="200"/>
    </row>
    <row r="959" spans="3:20" s="517" customFormat="1" ht="21" customHeight="1">
      <c r="C959" s="518" t="s">
        <v>1201</v>
      </c>
      <c r="D959" s="196" t="s">
        <v>1202</v>
      </c>
      <c r="E959" s="197"/>
      <c r="F959" s="197"/>
      <c r="G959" s="197"/>
      <c r="H959" s="198"/>
      <c r="L959" s="200"/>
      <c r="M959" s="200"/>
      <c r="N959" s="200"/>
      <c r="O959" s="200"/>
      <c r="P959" s="200"/>
    </row>
    <row r="960" spans="3:20" s="517" customFormat="1" ht="21" customHeight="1">
      <c r="C960" s="537">
        <v>1</v>
      </c>
      <c r="D960" s="196" t="s">
        <v>6954</v>
      </c>
      <c r="E960" s="202" t="s">
        <v>6</v>
      </c>
      <c r="F960" s="520">
        <v>1.43E-2</v>
      </c>
      <c r="G960" s="205">
        <f>VLOOKUP(D960,upahbahan,3,FALSE)</f>
        <v>181250</v>
      </c>
      <c r="H960" s="210">
        <f t="shared" ref="H960:H962" si="63">F960*G960</f>
        <v>2591.875</v>
      </c>
      <c r="L960" s="200"/>
      <c r="M960" s="200"/>
      <c r="N960" s="200"/>
      <c r="O960" s="200"/>
      <c r="P960" s="200"/>
    </row>
    <row r="961" spans="3:16" s="517" customFormat="1" ht="21" customHeight="1">
      <c r="C961" s="537">
        <v>2</v>
      </c>
      <c r="D961" s="196" t="s">
        <v>6948</v>
      </c>
      <c r="E961" s="202" t="s">
        <v>6</v>
      </c>
      <c r="F961" s="520">
        <v>4.7999999999999996E-3</v>
      </c>
      <c r="G961" s="205">
        <f>VLOOKUP(D961,upahbahan,3,FALSE)</f>
        <v>218750</v>
      </c>
      <c r="H961" s="210">
        <f t="shared" si="63"/>
        <v>1050</v>
      </c>
      <c r="L961" s="200"/>
      <c r="M961" s="200"/>
      <c r="N961" s="200"/>
      <c r="O961" s="200"/>
      <c r="P961" s="200"/>
    </row>
    <row r="962" spans="3:16" s="517" customFormat="1" ht="21" customHeight="1">
      <c r="C962" s="537">
        <v>3</v>
      </c>
      <c r="D962" s="196" t="s">
        <v>19</v>
      </c>
      <c r="E962" s="202" t="s">
        <v>6</v>
      </c>
      <c r="F962" s="520">
        <v>1.6000000000000001E-3</v>
      </c>
      <c r="G962" s="205">
        <f>VLOOKUP(D962,upahbahan,3,FALSE)</f>
        <v>160000</v>
      </c>
      <c r="H962" s="210">
        <f t="shared" si="63"/>
        <v>256</v>
      </c>
      <c r="L962" s="200"/>
      <c r="M962" s="200"/>
      <c r="N962" s="200"/>
      <c r="O962" s="200"/>
      <c r="P962" s="200"/>
    </row>
    <row r="963" spans="3:16" s="517" customFormat="1" ht="21" customHeight="1">
      <c r="C963" s="207" t="s">
        <v>1208</v>
      </c>
      <c r="D963" s="208"/>
      <c r="E963" s="208"/>
      <c r="F963" s="521"/>
      <c r="G963" s="522"/>
      <c r="H963" s="210">
        <f>SUM(H960:H962)</f>
        <v>3897.875</v>
      </c>
      <c r="L963" s="523"/>
      <c r="M963" s="523"/>
      <c r="N963" s="523"/>
      <c r="O963" s="523"/>
      <c r="P963" s="523"/>
    </row>
    <row r="964" spans="3:16" s="517" customFormat="1" ht="21" customHeight="1">
      <c r="C964" s="543" t="s">
        <v>1209</v>
      </c>
      <c r="D964" s="750" t="s">
        <v>1210</v>
      </c>
      <c r="E964" s="197"/>
      <c r="F964" s="751"/>
      <c r="G964" s="197"/>
      <c r="H964" s="752"/>
      <c r="L964" s="200"/>
      <c r="M964" s="200"/>
      <c r="N964" s="200"/>
      <c r="O964" s="200"/>
      <c r="P964" s="200"/>
    </row>
    <row r="965" spans="3:16" s="517" customFormat="1" ht="21" customHeight="1">
      <c r="C965" s="543">
        <v>1</v>
      </c>
      <c r="D965" s="750" t="s">
        <v>6971</v>
      </c>
      <c r="E965" s="203" t="s">
        <v>44</v>
      </c>
      <c r="F965" s="753">
        <v>1.05</v>
      </c>
      <c r="G965" s="205">
        <f>VLOOKUP(D965,upahbahan,3,FALSE)</f>
        <v>0</v>
      </c>
      <c r="H965" s="210">
        <f t="shared" ref="H965:H973" si="64">F965*G965</f>
        <v>0</v>
      </c>
      <c r="L965" s="200"/>
      <c r="M965" s="200"/>
      <c r="N965" s="200"/>
      <c r="O965" s="200"/>
      <c r="P965" s="200"/>
    </row>
    <row r="966" spans="3:16" s="517" customFormat="1" ht="21" customHeight="1">
      <c r="C966" s="543">
        <v>2</v>
      </c>
      <c r="D966" s="750" t="s">
        <v>5563</v>
      </c>
      <c r="E966" s="203" t="s">
        <v>65</v>
      </c>
      <c r="F966" s="753">
        <v>5.0000000000000001E-3</v>
      </c>
      <c r="G966" s="205">
        <f>VLOOKUP(D966,upahbahan,3,FALSE)</f>
        <v>0</v>
      </c>
      <c r="H966" s="210">
        <f t="shared" si="64"/>
        <v>0</v>
      </c>
      <c r="L966" s="200"/>
      <c r="M966" s="200"/>
      <c r="N966" s="200"/>
      <c r="O966" s="200"/>
      <c r="P966" s="200"/>
    </row>
    <row r="967" spans="3:16" s="517" customFormat="1" ht="21" customHeight="1">
      <c r="C967" s="543">
        <v>3</v>
      </c>
      <c r="D967" s="750" t="s">
        <v>5555</v>
      </c>
      <c r="E967" s="203"/>
      <c r="F967" s="753"/>
      <c r="G967" s="197"/>
      <c r="H967" s="210">
        <f t="shared" si="64"/>
        <v>0</v>
      </c>
      <c r="L967" s="200"/>
      <c r="M967" s="200"/>
      <c r="N967" s="200"/>
      <c r="O967" s="200"/>
      <c r="P967" s="200"/>
    </row>
    <row r="968" spans="3:16" s="517" customFormat="1" ht="21" customHeight="1">
      <c r="C968" s="754" t="s">
        <v>5293</v>
      </c>
      <c r="D968" s="750" t="s">
        <v>6957</v>
      </c>
      <c r="E968" s="203" t="s">
        <v>1300</v>
      </c>
      <c r="F968" s="753">
        <v>6</v>
      </c>
      <c r="G968" s="205">
        <f>VLOOKUP(D968,upahbahan,3,FALSE)</f>
        <v>0</v>
      </c>
      <c r="H968" s="210">
        <f t="shared" si="64"/>
        <v>0</v>
      </c>
      <c r="L968" s="200"/>
      <c r="M968" s="200"/>
      <c r="N968" s="200"/>
      <c r="O968" s="200"/>
      <c r="P968" s="200"/>
    </row>
    <row r="969" spans="3:16" s="517" customFormat="1" ht="21" customHeight="1">
      <c r="C969" s="754" t="s">
        <v>5299</v>
      </c>
      <c r="D969" s="750" t="s">
        <v>5560</v>
      </c>
      <c r="E969" s="203" t="s">
        <v>113</v>
      </c>
      <c r="F969" s="753">
        <v>10</v>
      </c>
      <c r="G969" s="205">
        <f>VLOOKUP(D969,upahbahan,3,FALSE)</f>
        <v>0</v>
      </c>
      <c r="H969" s="210">
        <f t="shared" si="64"/>
        <v>0</v>
      </c>
      <c r="L969" s="200"/>
      <c r="M969" s="200"/>
      <c r="N969" s="200"/>
      <c r="O969" s="200"/>
      <c r="P969" s="200"/>
    </row>
    <row r="970" spans="3:16" s="517" customFormat="1" ht="21" customHeight="1">
      <c r="C970" s="543">
        <v>4</v>
      </c>
      <c r="D970" s="750" t="s">
        <v>5556</v>
      </c>
      <c r="E970" s="203"/>
      <c r="F970" s="753"/>
      <c r="G970" s="197"/>
      <c r="H970" s="210">
        <f t="shared" si="64"/>
        <v>0</v>
      </c>
      <c r="L970" s="200"/>
      <c r="M970" s="200"/>
      <c r="N970" s="200"/>
      <c r="O970" s="200"/>
      <c r="P970" s="200"/>
    </row>
    <row r="971" spans="3:16" s="517" customFormat="1" ht="21" customHeight="1">
      <c r="C971" s="754" t="s">
        <v>5293</v>
      </c>
      <c r="D971" s="750" t="s">
        <v>2084</v>
      </c>
      <c r="E971" s="203" t="s">
        <v>42</v>
      </c>
      <c r="F971" s="753">
        <v>1.46E-2</v>
      </c>
      <c r="G971" s="205">
        <f>VLOOKUP(D971,upahbahan,3,FALSE)</f>
        <v>0</v>
      </c>
      <c r="H971" s="210">
        <f t="shared" si="64"/>
        <v>0</v>
      </c>
      <c r="L971" s="200"/>
      <c r="M971" s="200"/>
      <c r="N971" s="200"/>
      <c r="O971" s="200"/>
      <c r="P971" s="200"/>
    </row>
    <row r="972" spans="3:16" s="517" customFormat="1" ht="21" customHeight="1">
      <c r="C972" s="754" t="s">
        <v>5299</v>
      </c>
      <c r="D972" s="750" t="s">
        <v>5557</v>
      </c>
      <c r="E972" s="203" t="s">
        <v>42</v>
      </c>
      <c r="F972" s="753">
        <v>3.8999999999999998E-3</v>
      </c>
      <c r="G972" s="205">
        <f>VLOOKUP(D972,upahbahan,3,FALSE)</f>
        <v>0</v>
      </c>
      <c r="H972" s="210">
        <f t="shared" si="64"/>
        <v>0</v>
      </c>
      <c r="L972" s="200"/>
      <c r="M972" s="200"/>
      <c r="N972" s="200"/>
      <c r="O972" s="200"/>
      <c r="P972" s="200"/>
    </row>
    <row r="973" spans="3:16" s="517" customFormat="1" ht="21" customHeight="1">
      <c r="C973" s="754" t="s">
        <v>5558</v>
      </c>
      <c r="D973" s="750" t="s">
        <v>6958</v>
      </c>
      <c r="E973" s="203" t="s">
        <v>42</v>
      </c>
      <c r="F973" s="755">
        <v>1E-3</v>
      </c>
      <c r="G973" s="205">
        <f>VLOOKUP(D973,upahbahan,3,FALSE)</f>
        <v>0</v>
      </c>
      <c r="H973" s="210">
        <f t="shared" si="64"/>
        <v>0</v>
      </c>
      <c r="L973" s="200"/>
      <c r="M973" s="200"/>
      <c r="N973" s="200"/>
      <c r="O973" s="200"/>
      <c r="P973" s="200"/>
    </row>
    <row r="974" spans="3:16" s="517" customFormat="1" ht="21" customHeight="1">
      <c r="C974" s="207" t="s">
        <v>1214</v>
      </c>
      <c r="D974" s="208"/>
      <c r="E974" s="568"/>
      <c r="F974" s="208"/>
      <c r="G974" s="209"/>
      <c r="H974" s="210">
        <f>SUM(H965:H973)</f>
        <v>0</v>
      </c>
      <c r="L974" s="200"/>
      <c r="M974" s="200"/>
      <c r="N974" s="200"/>
      <c r="O974" s="200"/>
      <c r="P974" s="200"/>
    </row>
    <row r="975" spans="3:16" s="517" customFormat="1" ht="21" customHeight="1">
      <c r="C975" s="756" t="s">
        <v>1215</v>
      </c>
      <c r="D975" s="196" t="s">
        <v>1216</v>
      </c>
      <c r="E975" s="203"/>
      <c r="F975" s="197"/>
      <c r="G975" s="197"/>
      <c r="H975" s="198"/>
      <c r="L975" s="200"/>
      <c r="M975" s="200"/>
      <c r="N975" s="200"/>
      <c r="O975" s="200"/>
      <c r="P975" s="200"/>
    </row>
    <row r="976" spans="3:16" s="517" customFormat="1" ht="21" customHeight="1">
      <c r="C976" s="207" t="s">
        <v>1217</v>
      </c>
      <c r="D976" s="208"/>
      <c r="E976" s="208"/>
      <c r="F976" s="208"/>
      <c r="G976" s="209"/>
      <c r="H976" s="240">
        <f>SUM(H975)</f>
        <v>0</v>
      </c>
      <c r="L976" s="200"/>
      <c r="M976" s="200"/>
      <c r="N976" s="200"/>
      <c r="O976" s="200"/>
      <c r="P976" s="200"/>
    </row>
    <row r="977" spans="3:20" s="517" customFormat="1" ht="21" customHeight="1">
      <c r="C977" s="223" t="s">
        <v>1218</v>
      </c>
      <c r="D977" s="224" t="s">
        <v>1219</v>
      </c>
      <c r="E977" s="225"/>
      <c r="F977" s="225"/>
      <c r="G977" s="226"/>
      <c r="H977" s="210">
        <f>H976+H974+H963</f>
        <v>3897.875</v>
      </c>
      <c r="L977" s="200"/>
      <c r="M977" s="200"/>
      <c r="N977" s="200"/>
      <c r="O977" s="200"/>
      <c r="P977" s="200"/>
    </row>
    <row r="978" spans="3:20" s="517" customFormat="1" ht="21" customHeight="1">
      <c r="C978" s="223" t="s">
        <v>1220</v>
      </c>
      <c r="D978" s="224" t="s">
        <v>1321</v>
      </c>
      <c r="E978" s="225"/>
      <c r="F978" s="226"/>
      <c r="G978" s="228">
        <v>0.1</v>
      </c>
      <c r="H978" s="210">
        <f>H977*G978</f>
        <v>389.78750000000002</v>
      </c>
      <c r="L978" s="200"/>
      <c r="M978" s="200"/>
      <c r="N978" s="200"/>
      <c r="O978" s="200"/>
      <c r="P978" s="200"/>
    </row>
    <row r="979" spans="3:20" s="517" customFormat="1" ht="21" customHeight="1" thickBot="1">
      <c r="C979" s="229" t="s">
        <v>1221</v>
      </c>
      <c r="D979" s="230" t="s">
        <v>1222</v>
      </c>
      <c r="E979" s="231"/>
      <c r="F979" s="231"/>
      <c r="G979" s="232"/>
      <c r="H979" s="233">
        <f>SUM(H977:H978)</f>
        <v>4287.6625000000004</v>
      </c>
      <c r="L979" s="200"/>
      <c r="M979" s="200"/>
      <c r="N979" s="200"/>
      <c r="O979" s="200"/>
      <c r="P979" s="200"/>
    </row>
    <row r="980" spans="3:20" s="517" customFormat="1" ht="21" customHeight="1" thickTop="1">
      <c r="C980" s="757"/>
      <c r="D980" s="758" t="s">
        <v>6949</v>
      </c>
      <c r="E980" s="758"/>
      <c r="F980" s="758"/>
      <c r="G980" s="758"/>
      <c r="H980" s="759"/>
      <c r="L980" s="200"/>
      <c r="M980" s="200"/>
      <c r="N980" s="200"/>
      <c r="O980" s="200"/>
      <c r="P980" s="200"/>
    </row>
    <row r="981" spans="3:20" s="517" customFormat="1" ht="21" customHeight="1">
      <c r="C981" s="757" t="s">
        <v>6950</v>
      </c>
      <c r="D981" s="758"/>
      <c r="E981" s="758"/>
      <c r="F981" s="758"/>
      <c r="G981" s="758" t="s">
        <v>6959</v>
      </c>
      <c r="H981" s="759"/>
      <c r="L981" s="200"/>
      <c r="M981" s="200"/>
      <c r="N981" s="200"/>
      <c r="O981" s="200"/>
      <c r="P981" s="200"/>
    </row>
    <row r="982" spans="3:20" s="517" customFormat="1" ht="21" customHeight="1">
      <c r="C982" s="200" t="s">
        <v>6951</v>
      </c>
      <c r="D982" s="758"/>
      <c r="E982" s="758"/>
      <c r="F982" s="758"/>
      <c r="G982" s="758"/>
      <c r="H982" s="759"/>
      <c r="L982" s="200"/>
      <c r="M982" s="200"/>
      <c r="N982" s="200"/>
      <c r="O982" s="200"/>
      <c r="P982" s="200"/>
    </row>
    <row r="983" spans="3:20" ht="21" customHeight="1">
      <c r="C983" s="200" t="s">
        <v>6952</v>
      </c>
    </row>
    <row r="984" spans="3:20" ht="21" customHeight="1">
      <c r="C984" s="200"/>
    </row>
    <row r="985" spans="3:20" s="517" customFormat="1" ht="21" customHeight="1" thickBot="1">
      <c r="C985" s="513" t="s">
        <v>6972</v>
      </c>
      <c r="D985" s="748" t="s">
        <v>6973</v>
      </c>
      <c r="E985" s="749"/>
      <c r="F985" s="748"/>
      <c r="G985" s="748"/>
      <c r="H985" s="532"/>
      <c r="I985" s="532"/>
      <c r="J985" s="532"/>
      <c r="K985" s="532"/>
      <c r="L985" s="189">
        <f>ROUNDDOWN(H1007,-2)</f>
        <v>4200</v>
      </c>
      <c r="M985" s="189"/>
      <c r="N985" s="189"/>
      <c r="O985" s="189"/>
      <c r="P985" s="189"/>
      <c r="R985" s="189">
        <f>ROUNDDOWN(H1007,-2)</f>
        <v>4200</v>
      </c>
      <c r="S985" s="517" t="s">
        <v>6451</v>
      </c>
      <c r="T985" s="517" t="s">
        <v>6963</v>
      </c>
    </row>
    <row r="986" spans="3:20" s="517" customFormat="1" ht="21" customHeight="1" thickTop="1">
      <c r="C986" s="190" t="s">
        <v>1195</v>
      </c>
      <c r="D986" s="191" t="s">
        <v>1196</v>
      </c>
      <c r="E986" s="191" t="s">
        <v>1197</v>
      </c>
      <c r="F986" s="191" t="s">
        <v>1198</v>
      </c>
      <c r="G986" s="191" t="s">
        <v>1199</v>
      </c>
      <c r="H986" s="192" t="s">
        <v>1200</v>
      </c>
      <c r="L986" s="200"/>
      <c r="M986" s="200"/>
      <c r="N986" s="200"/>
      <c r="O986" s="200"/>
      <c r="P986" s="200"/>
    </row>
    <row r="987" spans="3:20" s="517" customFormat="1" ht="21" customHeight="1">
      <c r="C987" s="518" t="s">
        <v>1201</v>
      </c>
      <c r="D987" s="196" t="s">
        <v>1202</v>
      </c>
      <c r="E987" s="197"/>
      <c r="F987" s="197"/>
      <c r="G987" s="197"/>
      <c r="H987" s="198"/>
      <c r="L987" s="200"/>
      <c r="M987" s="200"/>
      <c r="N987" s="200"/>
      <c r="O987" s="200"/>
      <c r="P987" s="200"/>
    </row>
    <row r="988" spans="3:20" s="517" customFormat="1" ht="21" customHeight="1">
      <c r="C988" s="537">
        <v>1</v>
      </c>
      <c r="D988" s="196" t="s">
        <v>6954</v>
      </c>
      <c r="E988" s="202" t="s">
        <v>6</v>
      </c>
      <c r="F988" s="520">
        <v>1.43E-2</v>
      </c>
      <c r="G988" s="205">
        <f>VLOOKUP(D988,upahbahan,3,FALSE)</f>
        <v>181250</v>
      </c>
      <c r="H988" s="210">
        <f t="shared" ref="H988:H990" si="65">F988*G988</f>
        <v>2591.875</v>
      </c>
      <c r="L988" s="200"/>
      <c r="M988" s="200"/>
      <c r="N988" s="200"/>
      <c r="O988" s="200"/>
      <c r="P988" s="200"/>
    </row>
    <row r="989" spans="3:20" s="517" customFormat="1" ht="21" customHeight="1">
      <c r="C989" s="537">
        <v>2</v>
      </c>
      <c r="D989" s="196" t="s">
        <v>6948</v>
      </c>
      <c r="E989" s="202" t="s">
        <v>6</v>
      </c>
      <c r="F989" s="520">
        <v>4.7999999999999996E-3</v>
      </c>
      <c r="G989" s="205">
        <f>VLOOKUP(D989,upahbahan,3,FALSE)</f>
        <v>218750</v>
      </c>
      <c r="H989" s="210">
        <f t="shared" si="65"/>
        <v>1050</v>
      </c>
      <c r="L989" s="200"/>
      <c r="M989" s="200"/>
      <c r="N989" s="200"/>
      <c r="O989" s="200"/>
      <c r="P989" s="200"/>
    </row>
    <row r="990" spans="3:20" s="517" customFormat="1" ht="21" customHeight="1">
      <c r="C990" s="537">
        <v>3</v>
      </c>
      <c r="D990" s="196" t="s">
        <v>19</v>
      </c>
      <c r="E990" s="202" t="s">
        <v>6</v>
      </c>
      <c r="F990" s="520">
        <v>1.6000000000000001E-3</v>
      </c>
      <c r="G990" s="205">
        <f>VLOOKUP(D990,upahbahan,3,FALSE)</f>
        <v>160000</v>
      </c>
      <c r="H990" s="210">
        <f t="shared" si="65"/>
        <v>256</v>
      </c>
      <c r="L990" s="200"/>
      <c r="M990" s="200"/>
      <c r="N990" s="200"/>
      <c r="O990" s="200"/>
      <c r="P990" s="200"/>
    </row>
    <row r="991" spans="3:20" s="517" customFormat="1" ht="21" customHeight="1">
      <c r="C991" s="207" t="s">
        <v>1208</v>
      </c>
      <c r="D991" s="208"/>
      <c r="E991" s="208"/>
      <c r="F991" s="521"/>
      <c r="G991" s="522"/>
      <c r="H991" s="210">
        <f>SUM(H988:H990)</f>
        <v>3897.875</v>
      </c>
      <c r="L991" s="523"/>
      <c r="M991" s="523"/>
      <c r="N991" s="523"/>
      <c r="O991" s="523"/>
      <c r="P991" s="523"/>
    </row>
    <row r="992" spans="3:20" s="517" customFormat="1" ht="21" customHeight="1">
      <c r="C992" s="543" t="s">
        <v>1209</v>
      </c>
      <c r="D992" s="750" t="s">
        <v>1210</v>
      </c>
      <c r="E992" s="197"/>
      <c r="F992" s="751"/>
      <c r="G992" s="197"/>
      <c r="H992" s="752"/>
      <c r="L992" s="200"/>
      <c r="M992" s="200"/>
      <c r="N992" s="200"/>
      <c r="O992" s="200"/>
      <c r="P992" s="200"/>
    </row>
    <row r="993" spans="3:16" s="517" customFormat="1" ht="21" customHeight="1">
      <c r="C993" s="543">
        <v>1</v>
      </c>
      <c r="D993" s="750" t="s">
        <v>6974</v>
      </c>
      <c r="E993" s="203" t="s">
        <v>44</v>
      </c>
      <c r="F993" s="753">
        <v>1.05</v>
      </c>
      <c r="G993" s="205">
        <f>VLOOKUP(D993,upahbahan,3,FALSE)</f>
        <v>0</v>
      </c>
      <c r="H993" s="210">
        <f t="shared" ref="H993:H1001" si="66">F993*G993</f>
        <v>0</v>
      </c>
      <c r="L993" s="200"/>
      <c r="M993" s="200"/>
      <c r="N993" s="200"/>
      <c r="O993" s="200"/>
      <c r="P993" s="200"/>
    </row>
    <row r="994" spans="3:16" s="517" customFormat="1" ht="21" customHeight="1">
      <c r="C994" s="543">
        <v>2</v>
      </c>
      <c r="D994" s="750" t="s">
        <v>5563</v>
      </c>
      <c r="E994" s="203" t="s">
        <v>65</v>
      </c>
      <c r="F994" s="753">
        <v>5.0000000000000001E-3</v>
      </c>
      <c r="G994" s="205">
        <f>VLOOKUP(D994,upahbahan,3,FALSE)</f>
        <v>0</v>
      </c>
      <c r="H994" s="210">
        <f t="shared" si="66"/>
        <v>0</v>
      </c>
      <c r="L994" s="200"/>
      <c r="M994" s="200"/>
      <c r="N994" s="200"/>
      <c r="O994" s="200"/>
      <c r="P994" s="200"/>
    </row>
    <row r="995" spans="3:16" s="517" customFormat="1" ht="21" customHeight="1">
      <c r="C995" s="543">
        <v>3</v>
      </c>
      <c r="D995" s="750" t="s">
        <v>5555</v>
      </c>
      <c r="E995" s="203"/>
      <c r="F995" s="753"/>
      <c r="G995" s="197"/>
      <c r="H995" s="210">
        <f t="shared" si="66"/>
        <v>0</v>
      </c>
      <c r="L995" s="200"/>
      <c r="M995" s="200"/>
      <c r="N995" s="200"/>
      <c r="O995" s="200"/>
      <c r="P995" s="200"/>
    </row>
    <row r="996" spans="3:16" s="517" customFormat="1" ht="21" customHeight="1">
      <c r="C996" s="754" t="s">
        <v>5293</v>
      </c>
      <c r="D996" s="750" t="s">
        <v>6957</v>
      </c>
      <c r="E996" s="203" t="s">
        <v>1300</v>
      </c>
      <c r="F996" s="753">
        <v>6</v>
      </c>
      <c r="G996" s="205">
        <f>VLOOKUP(D996,upahbahan,3,FALSE)</f>
        <v>0</v>
      </c>
      <c r="H996" s="210">
        <f t="shared" si="66"/>
        <v>0</v>
      </c>
      <c r="L996" s="200"/>
      <c r="M996" s="200"/>
      <c r="N996" s="200"/>
      <c r="O996" s="200"/>
      <c r="P996" s="200"/>
    </row>
    <row r="997" spans="3:16" s="517" customFormat="1" ht="21" customHeight="1">
      <c r="C997" s="754" t="s">
        <v>5299</v>
      </c>
      <c r="D997" s="750" t="s">
        <v>5560</v>
      </c>
      <c r="E997" s="203" t="s">
        <v>113</v>
      </c>
      <c r="F997" s="753">
        <v>10</v>
      </c>
      <c r="G997" s="205">
        <f>VLOOKUP(D997,upahbahan,3,FALSE)</f>
        <v>0</v>
      </c>
      <c r="H997" s="210">
        <f t="shared" si="66"/>
        <v>0</v>
      </c>
      <c r="L997" s="200"/>
      <c r="M997" s="200"/>
      <c r="N997" s="200"/>
      <c r="O997" s="200"/>
      <c r="P997" s="200"/>
    </row>
    <row r="998" spans="3:16" s="517" customFormat="1" ht="21" customHeight="1">
      <c r="C998" s="543">
        <v>4</v>
      </c>
      <c r="D998" s="750" t="s">
        <v>5556</v>
      </c>
      <c r="E998" s="203"/>
      <c r="F998" s="753"/>
      <c r="G998" s="197"/>
      <c r="H998" s="210">
        <f t="shared" si="66"/>
        <v>0</v>
      </c>
      <c r="L998" s="200"/>
      <c r="M998" s="200"/>
      <c r="N998" s="200"/>
      <c r="O998" s="200"/>
      <c r="P998" s="200"/>
    </row>
    <row r="999" spans="3:16" s="517" customFormat="1" ht="21" customHeight="1">
      <c r="C999" s="754" t="s">
        <v>5293</v>
      </c>
      <c r="D999" s="750" t="s">
        <v>2084</v>
      </c>
      <c r="E999" s="203" t="s">
        <v>42</v>
      </c>
      <c r="F999" s="753">
        <v>1.46E-2</v>
      </c>
      <c r="G999" s="205">
        <f>VLOOKUP(D999,upahbahan,3,FALSE)</f>
        <v>0</v>
      </c>
      <c r="H999" s="210">
        <f t="shared" si="66"/>
        <v>0</v>
      </c>
      <c r="L999" s="200"/>
      <c r="M999" s="200"/>
      <c r="N999" s="200"/>
      <c r="O999" s="200"/>
      <c r="P999" s="200"/>
    </row>
    <row r="1000" spans="3:16" s="517" customFormat="1" ht="21" customHeight="1">
      <c r="C1000" s="754" t="s">
        <v>5299</v>
      </c>
      <c r="D1000" s="750" t="s">
        <v>5557</v>
      </c>
      <c r="E1000" s="203" t="s">
        <v>42</v>
      </c>
      <c r="F1000" s="753">
        <v>3.8999999999999998E-3</v>
      </c>
      <c r="G1000" s="205">
        <f>VLOOKUP(D1000,upahbahan,3,FALSE)</f>
        <v>0</v>
      </c>
      <c r="H1000" s="210">
        <f t="shared" si="66"/>
        <v>0</v>
      </c>
      <c r="L1000" s="200"/>
      <c r="M1000" s="200"/>
      <c r="N1000" s="200"/>
      <c r="O1000" s="200"/>
      <c r="P1000" s="200"/>
    </row>
    <row r="1001" spans="3:16" s="517" customFormat="1" ht="21" customHeight="1">
      <c r="C1001" s="754" t="s">
        <v>5558</v>
      </c>
      <c r="D1001" s="750" t="s">
        <v>6958</v>
      </c>
      <c r="E1001" s="203" t="s">
        <v>42</v>
      </c>
      <c r="F1001" s="755">
        <v>1E-3</v>
      </c>
      <c r="G1001" s="205">
        <f>VLOOKUP(D1001,upahbahan,3,FALSE)</f>
        <v>0</v>
      </c>
      <c r="H1001" s="210">
        <f t="shared" si="66"/>
        <v>0</v>
      </c>
      <c r="L1001" s="200"/>
      <c r="M1001" s="200"/>
      <c r="N1001" s="200"/>
      <c r="O1001" s="200"/>
      <c r="P1001" s="200"/>
    </row>
    <row r="1002" spans="3:16" s="517" customFormat="1" ht="21" customHeight="1">
      <c r="C1002" s="207" t="s">
        <v>1214</v>
      </c>
      <c r="D1002" s="208"/>
      <c r="E1002" s="568"/>
      <c r="F1002" s="208"/>
      <c r="G1002" s="209"/>
      <c r="H1002" s="210">
        <f>SUM(H993:H1001)</f>
        <v>0</v>
      </c>
      <c r="L1002" s="200"/>
      <c r="M1002" s="200"/>
      <c r="N1002" s="200"/>
      <c r="O1002" s="200"/>
      <c r="P1002" s="200"/>
    </row>
    <row r="1003" spans="3:16" s="517" customFormat="1" ht="21" customHeight="1">
      <c r="C1003" s="756" t="s">
        <v>1215</v>
      </c>
      <c r="D1003" s="196" t="s">
        <v>1216</v>
      </c>
      <c r="E1003" s="203"/>
      <c r="F1003" s="197"/>
      <c r="G1003" s="197"/>
      <c r="H1003" s="198"/>
      <c r="L1003" s="200"/>
      <c r="M1003" s="200"/>
      <c r="N1003" s="200"/>
      <c r="O1003" s="200"/>
      <c r="P1003" s="200"/>
    </row>
    <row r="1004" spans="3:16" s="517" customFormat="1" ht="21" customHeight="1">
      <c r="C1004" s="207" t="s">
        <v>1217</v>
      </c>
      <c r="D1004" s="208"/>
      <c r="E1004" s="208"/>
      <c r="F1004" s="208"/>
      <c r="G1004" s="209"/>
      <c r="H1004" s="240">
        <f>SUM(H1003)</f>
        <v>0</v>
      </c>
      <c r="L1004" s="200"/>
      <c r="M1004" s="200"/>
      <c r="N1004" s="200"/>
      <c r="O1004" s="200"/>
      <c r="P1004" s="200"/>
    </row>
    <row r="1005" spans="3:16" s="517" customFormat="1" ht="21" customHeight="1">
      <c r="C1005" s="223" t="s">
        <v>1218</v>
      </c>
      <c r="D1005" s="224" t="s">
        <v>1219</v>
      </c>
      <c r="E1005" s="225"/>
      <c r="F1005" s="225"/>
      <c r="G1005" s="226"/>
      <c r="H1005" s="210">
        <f>H1004+H1002+H991</f>
        <v>3897.875</v>
      </c>
      <c r="L1005" s="200"/>
      <c r="M1005" s="200"/>
      <c r="N1005" s="200"/>
      <c r="O1005" s="200"/>
      <c r="P1005" s="200"/>
    </row>
    <row r="1006" spans="3:16" s="517" customFormat="1" ht="21" customHeight="1">
      <c r="C1006" s="223" t="s">
        <v>1220</v>
      </c>
      <c r="D1006" s="224" t="s">
        <v>1321</v>
      </c>
      <c r="E1006" s="225"/>
      <c r="F1006" s="226"/>
      <c r="G1006" s="228">
        <v>0.1</v>
      </c>
      <c r="H1006" s="210">
        <f>H1005*G1006</f>
        <v>389.78750000000002</v>
      </c>
      <c r="L1006" s="200"/>
      <c r="M1006" s="200"/>
      <c r="N1006" s="200"/>
      <c r="O1006" s="200"/>
      <c r="P1006" s="200"/>
    </row>
    <row r="1007" spans="3:16" s="517" customFormat="1" ht="21" customHeight="1" thickBot="1">
      <c r="C1007" s="229" t="s">
        <v>1221</v>
      </c>
      <c r="D1007" s="230" t="s">
        <v>1222</v>
      </c>
      <c r="E1007" s="231"/>
      <c r="F1007" s="231"/>
      <c r="G1007" s="232"/>
      <c r="H1007" s="233">
        <f>SUM(H1005:H1006)</f>
        <v>4287.6625000000004</v>
      </c>
      <c r="L1007" s="200"/>
      <c r="M1007" s="200"/>
      <c r="N1007" s="200"/>
      <c r="O1007" s="200"/>
      <c r="P1007" s="200"/>
    </row>
    <row r="1008" spans="3:16" s="517" customFormat="1" ht="21" customHeight="1" thickTop="1">
      <c r="C1008" s="757"/>
      <c r="D1008" s="758" t="s">
        <v>6949</v>
      </c>
      <c r="E1008" s="758"/>
      <c r="F1008" s="758"/>
      <c r="G1008" s="758"/>
      <c r="H1008" s="759"/>
      <c r="L1008" s="200"/>
      <c r="M1008" s="200"/>
      <c r="N1008" s="200"/>
      <c r="O1008" s="200"/>
      <c r="P1008" s="200"/>
    </row>
    <row r="1009" spans="3:20" s="517" customFormat="1" ht="21" customHeight="1">
      <c r="C1009" s="757" t="s">
        <v>6950</v>
      </c>
      <c r="D1009" s="758"/>
      <c r="E1009" s="758"/>
      <c r="F1009" s="758"/>
      <c r="G1009" s="758" t="s">
        <v>6959</v>
      </c>
      <c r="H1009" s="759"/>
      <c r="L1009" s="200"/>
      <c r="M1009" s="200"/>
      <c r="N1009" s="200"/>
      <c r="O1009" s="200"/>
      <c r="P1009" s="200"/>
    </row>
    <row r="1010" spans="3:20" s="517" customFormat="1" ht="21" customHeight="1">
      <c r="C1010" s="200" t="s">
        <v>6951</v>
      </c>
      <c r="D1010" s="758"/>
      <c r="E1010" s="758"/>
      <c r="F1010" s="758"/>
      <c r="G1010" s="758"/>
      <c r="H1010" s="759"/>
      <c r="L1010" s="200"/>
      <c r="M1010" s="200"/>
      <c r="N1010" s="200"/>
      <c r="O1010" s="200"/>
      <c r="P1010" s="200"/>
    </row>
    <row r="1011" spans="3:20" ht="21" customHeight="1">
      <c r="C1011" s="200" t="s">
        <v>6952</v>
      </c>
    </row>
    <row r="1012" spans="3:20" ht="21" customHeight="1">
      <c r="C1012" s="200"/>
    </row>
    <row r="1013" spans="3:20" s="517" customFormat="1" ht="21" customHeight="1" thickBot="1">
      <c r="C1013" s="513" t="s">
        <v>6975</v>
      </c>
      <c r="D1013" s="748" t="s">
        <v>6976</v>
      </c>
      <c r="E1013" s="749"/>
      <c r="F1013" s="748"/>
      <c r="G1013" s="748"/>
      <c r="H1013" s="532"/>
      <c r="I1013" s="532"/>
      <c r="J1013" s="532"/>
      <c r="K1013" s="532"/>
      <c r="L1013" s="189">
        <f>ROUNDDOWN(H1035,-2)</f>
        <v>4200</v>
      </c>
      <c r="M1013" s="189"/>
      <c r="N1013" s="189"/>
      <c r="O1013" s="189"/>
      <c r="P1013" s="189"/>
      <c r="R1013" s="189">
        <f>ROUNDDOWN(H1035,-2)</f>
        <v>4200</v>
      </c>
      <c r="S1013" s="517" t="s">
        <v>6451</v>
      </c>
      <c r="T1013" s="517" t="s">
        <v>6963</v>
      </c>
    </row>
    <row r="1014" spans="3:20" s="517" customFormat="1" ht="21" customHeight="1" thickTop="1">
      <c r="C1014" s="190" t="s">
        <v>1195</v>
      </c>
      <c r="D1014" s="191" t="s">
        <v>1196</v>
      </c>
      <c r="E1014" s="191" t="s">
        <v>1197</v>
      </c>
      <c r="F1014" s="191" t="s">
        <v>1198</v>
      </c>
      <c r="G1014" s="191" t="s">
        <v>1199</v>
      </c>
      <c r="H1014" s="192" t="s">
        <v>1200</v>
      </c>
      <c r="L1014" s="200"/>
      <c r="M1014" s="200"/>
      <c r="N1014" s="200"/>
      <c r="O1014" s="200"/>
      <c r="P1014" s="200"/>
    </row>
    <row r="1015" spans="3:20" s="517" customFormat="1" ht="21" customHeight="1">
      <c r="C1015" s="518" t="s">
        <v>1201</v>
      </c>
      <c r="D1015" s="196" t="s">
        <v>1202</v>
      </c>
      <c r="E1015" s="197"/>
      <c r="F1015" s="197"/>
      <c r="G1015" s="197"/>
      <c r="H1015" s="198"/>
      <c r="L1015" s="200"/>
      <c r="M1015" s="200"/>
      <c r="N1015" s="200"/>
      <c r="O1015" s="200"/>
      <c r="P1015" s="200"/>
    </row>
    <row r="1016" spans="3:20" s="517" customFormat="1" ht="21" customHeight="1">
      <c r="C1016" s="537">
        <v>1</v>
      </c>
      <c r="D1016" s="196" t="s">
        <v>6954</v>
      </c>
      <c r="E1016" s="202" t="s">
        <v>6</v>
      </c>
      <c r="F1016" s="520">
        <v>1.43E-2</v>
      </c>
      <c r="G1016" s="205">
        <f>VLOOKUP(D1016,upahbahan,3,FALSE)</f>
        <v>181250</v>
      </c>
      <c r="H1016" s="210">
        <f t="shared" ref="H1016:H1018" si="67">F1016*G1016</f>
        <v>2591.875</v>
      </c>
      <c r="L1016" s="200"/>
      <c r="M1016" s="200"/>
      <c r="N1016" s="200"/>
      <c r="O1016" s="200"/>
      <c r="P1016" s="200"/>
    </row>
    <row r="1017" spans="3:20" s="517" customFormat="1" ht="21" customHeight="1">
      <c r="C1017" s="537">
        <v>2</v>
      </c>
      <c r="D1017" s="196" t="s">
        <v>6948</v>
      </c>
      <c r="E1017" s="202" t="s">
        <v>6</v>
      </c>
      <c r="F1017" s="520">
        <v>4.7999999999999996E-3</v>
      </c>
      <c r="G1017" s="205">
        <f>VLOOKUP(D1017,upahbahan,3,FALSE)</f>
        <v>218750</v>
      </c>
      <c r="H1017" s="210">
        <f t="shared" si="67"/>
        <v>1050</v>
      </c>
      <c r="L1017" s="200"/>
      <c r="M1017" s="200"/>
      <c r="N1017" s="200"/>
      <c r="O1017" s="200"/>
      <c r="P1017" s="200"/>
    </row>
    <row r="1018" spans="3:20" s="517" customFormat="1" ht="21" customHeight="1">
      <c r="C1018" s="537">
        <v>3</v>
      </c>
      <c r="D1018" s="196" t="s">
        <v>19</v>
      </c>
      <c r="E1018" s="202" t="s">
        <v>6</v>
      </c>
      <c r="F1018" s="520">
        <v>1.6000000000000001E-3</v>
      </c>
      <c r="G1018" s="205">
        <f>VLOOKUP(D1018,upahbahan,3,FALSE)</f>
        <v>160000</v>
      </c>
      <c r="H1018" s="210">
        <f t="shared" si="67"/>
        <v>256</v>
      </c>
      <c r="L1018" s="200"/>
      <c r="M1018" s="200"/>
      <c r="N1018" s="200"/>
      <c r="O1018" s="200"/>
      <c r="P1018" s="200"/>
    </row>
    <row r="1019" spans="3:20" s="517" customFormat="1" ht="21" customHeight="1">
      <c r="C1019" s="207" t="s">
        <v>1208</v>
      </c>
      <c r="D1019" s="208"/>
      <c r="E1019" s="208"/>
      <c r="F1019" s="521"/>
      <c r="G1019" s="522"/>
      <c r="H1019" s="210">
        <f>SUM(H1016:H1018)</f>
        <v>3897.875</v>
      </c>
      <c r="L1019" s="523"/>
      <c r="M1019" s="523"/>
      <c r="N1019" s="523"/>
      <c r="O1019" s="523"/>
      <c r="P1019" s="523"/>
    </row>
    <row r="1020" spans="3:20" s="517" customFormat="1" ht="21" customHeight="1">
      <c r="C1020" s="543" t="s">
        <v>1209</v>
      </c>
      <c r="D1020" s="750" t="s">
        <v>1210</v>
      </c>
      <c r="E1020" s="197"/>
      <c r="F1020" s="751"/>
      <c r="G1020" s="197"/>
      <c r="H1020" s="752"/>
      <c r="L1020" s="200"/>
      <c r="M1020" s="200"/>
      <c r="N1020" s="200"/>
      <c r="O1020" s="200"/>
      <c r="P1020" s="200"/>
    </row>
    <row r="1021" spans="3:20" s="517" customFormat="1" ht="21" customHeight="1">
      <c r="C1021" s="543">
        <v>1</v>
      </c>
      <c r="D1021" s="750" t="s">
        <v>6977</v>
      </c>
      <c r="E1021" s="203" t="s">
        <v>44</v>
      </c>
      <c r="F1021" s="753">
        <v>1.05</v>
      </c>
      <c r="G1021" s="205">
        <f>VLOOKUP(D1021,upahbahan,3,FALSE)</f>
        <v>0</v>
      </c>
      <c r="H1021" s="210">
        <f t="shared" ref="H1021:H1029" si="68">F1021*G1021</f>
        <v>0</v>
      </c>
      <c r="L1021" s="200"/>
      <c r="M1021" s="200"/>
      <c r="N1021" s="200"/>
      <c r="O1021" s="200"/>
      <c r="P1021" s="200"/>
    </row>
    <row r="1022" spans="3:20" s="517" customFormat="1" ht="21" customHeight="1">
      <c r="C1022" s="543">
        <v>2</v>
      </c>
      <c r="D1022" s="750" t="s">
        <v>5563</v>
      </c>
      <c r="E1022" s="203" t="s">
        <v>65</v>
      </c>
      <c r="F1022" s="753">
        <v>5.0000000000000001E-3</v>
      </c>
      <c r="G1022" s="205">
        <f>VLOOKUP(D1022,upahbahan,3,FALSE)</f>
        <v>0</v>
      </c>
      <c r="H1022" s="210">
        <f t="shared" si="68"/>
        <v>0</v>
      </c>
      <c r="L1022" s="200"/>
      <c r="M1022" s="200"/>
      <c r="N1022" s="200"/>
      <c r="O1022" s="200"/>
      <c r="P1022" s="200"/>
    </row>
    <row r="1023" spans="3:20" s="517" customFormat="1" ht="21" customHeight="1">
      <c r="C1023" s="543">
        <v>3</v>
      </c>
      <c r="D1023" s="750" t="s">
        <v>5555</v>
      </c>
      <c r="E1023" s="203"/>
      <c r="F1023" s="753"/>
      <c r="G1023" s="197"/>
      <c r="H1023" s="210">
        <f t="shared" si="68"/>
        <v>0</v>
      </c>
      <c r="L1023" s="200"/>
      <c r="M1023" s="200"/>
      <c r="N1023" s="200"/>
      <c r="O1023" s="200"/>
      <c r="P1023" s="200"/>
    </row>
    <row r="1024" spans="3:20" s="517" customFormat="1" ht="21" customHeight="1">
      <c r="C1024" s="754" t="s">
        <v>5293</v>
      </c>
      <c r="D1024" s="750" t="s">
        <v>6957</v>
      </c>
      <c r="E1024" s="203" t="s">
        <v>1300</v>
      </c>
      <c r="F1024" s="753">
        <v>6</v>
      </c>
      <c r="G1024" s="205">
        <f>VLOOKUP(D1024,upahbahan,3,FALSE)</f>
        <v>0</v>
      </c>
      <c r="H1024" s="210">
        <f t="shared" si="68"/>
        <v>0</v>
      </c>
      <c r="L1024" s="200"/>
      <c r="M1024" s="200"/>
      <c r="N1024" s="200"/>
      <c r="O1024" s="200"/>
      <c r="P1024" s="200"/>
    </row>
    <row r="1025" spans="3:16" s="517" customFormat="1" ht="21" customHeight="1">
      <c r="C1025" s="754" t="s">
        <v>5299</v>
      </c>
      <c r="D1025" s="750" t="s">
        <v>5560</v>
      </c>
      <c r="E1025" s="203" t="s">
        <v>113</v>
      </c>
      <c r="F1025" s="753">
        <v>10</v>
      </c>
      <c r="G1025" s="205">
        <f>VLOOKUP(D1025,upahbahan,3,FALSE)</f>
        <v>0</v>
      </c>
      <c r="H1025" s="210">
        <f t="shared" si="68"/>
        <v>0</v>
      </c>
      <c r="L1025" s="200"/>
      <c r="M1025" s="200"/>
      <c r="N1025" s="200"/>
      <c r="O1025" s="200"/>
      <c r="P1025" s="200"/>
    </row>
    <row r="1026" spans="3:16" s="517" customFormat="1" ht="21" customHeight="1">
      <c r="C1026" s="543">
        <v>4</v>
      </c>
      <c r="D1026" s="750" t="s">
        <v>5556</v>
      </c>
      <c r="E1026" s="203"/>
      <c r="F1026" s="753"/>
      <c r="G1026" s="197"/>
      <c r="H1026" s="210">
        <f t="shared" si="68"/>
        <v>0</v>
      </c>
      <c r="L1026" s="200"/>
      <c r="M1026" s="200"/>
      <c r="N1026" s="200"/>
      <c r="O1026" s="200"/>
      <c r="P1026" s="200"/>
    </row>
    <row r="1027" spans="3:16" s="517" customFormat="1" ht="21" customHeight="1">
      <c r="C1027" s="754" t="s">
        <v>5293</v>
      </c>
      <c r="D1027" s="750" t="s">
        <v>2084</v>
      </c>
      <c r="E1027" s="203" t="s">
        <v>42</v>
      </c>
      <c r="F1027" s="753">
        <v>1.46E-2</v>
      </c>
      <c r="G1027" s="205">
        <f>VLOOKUP(D1027,upahbahan,3,FALSE)</f>
        <v>0</v>
      </c>
      <c r="H1027" s="210">
        <f t="shared" si="68"/>
        <v>0</v>
      </c>
      <c r="L1027" s="200"/>
      <c r="M1027" s="200"/>
      <c r="N1027" s="200"/>
      <c r="O1027" s="200"/>
      <c r="P1027" s="200"/>
    </row>
    <row r="1028" spans="3:16" s="517" customFormat="1" ht="21" customHeight="1">
      <c r="C1028" s="754" t="s">
        <v>5299</v>
      </c>
      <c r="D1028" s="750" t="s">
        <v>5557</v>
      </c>
      <c r="E1028" s="203" t="s">
        <v>42</v>
      </c>
      <c r="F1028" s="753">
        <v>3.8999999999999998E-3</v>
      </c>
      <c r="G1028" s="205">
        <f>VLOOKUP(D1028,upahbahan,3,FALSE)</f>
        <v>0</v>
      </c>
      <c r="H1028" s="210">
        <f t="shared" si="68"/>
        <v>0</v>
      </c>
      <c r="L1028" s="200"/>
      <c r="M1028" s="200"/>
      <c r="N1028" s="200"/>
      <c r="O1028" s="200"/>
      <c r="P1028" s="200"/>
    </row>
    <row r="1029" spans="3:16" s="517" customFormat="1" ht="21" customHeight="1">
      <c r="C1029" s="754" t="s">
        <v>5558</v>
      </c>
      <c r="D1029" s="750" t="s">
        <v>6958</v>
      </c>
      <c r="E1029" s="203" t="s">
        <v>42</v>
      </c>
      <c r="F1029" s="755">
        <v>1E-3</v>
      </c>
      <c r="G1029" s="205">
        <f>VLOOKUP(D1029,upahbahan,3,FALSE)</f>
        <v>0</v>
      </c>
      <c r="H1029" s="210">
        <f t="shared" si="68"/>
        <v>0</v>
      </c>
      <c r="L1029" s="200"/>
      <c r="M1029" s="200"/>
      <c r="N1029" s="200"/>
      <c r="O1029" s="200"/>
      <c r="P1029" s="200"/>
    </row>
    <row r="1030" spans="3:16" s="517" customFormat="1" ht="21" customHeight="1">
      <c r="C1030" s="207" t="s">
        <v>1214</v>
      </c>
      <c r="D1030" s="208"/>
      <c r="E1030" s="568"/>
      <c r="F1030" s="208"/>
      <c r="G1030" s="209"/>
      <c r="H1030" s="210">
        <f>SUM(H1021:H1029)</f>
        <v>0</v>
      </c>
      <c r="L1030" s="200"/>
      <c r="M1030" s="200"/>
      <c r="N1030" s="200"/>
      <c r="O1030" s="200"/>
      <c r="P1030" s="200"/>
    </row>
    <row r="1031" spans="3:16" s="517" customFormat="1" ht="21" customHeight="1">
      <c r="C1031" s="756" t="s">
        <v>1215</v>
      </c>
      <c r="D1031" s="196" t="s">
        <v>1216</v>
      </c>
      <c r="E1031" s="203"/>
      <c r="F1031" s="197"/>
      <c r="G1031" s="197"/>
      <c r="H1031" s="198"/>
      <c r="L1031" s="200"/>
      <c r="M1031" s="200"/>
      <c r="N1031" s="200"/>
      <c r="O1031" s="200"/>
      <c r="P1031" s="200"/>
    </row>
    <row r="1032" spans="3:16" s="517" customFormat="1" ht="21" customHeight="1">
      <c r="C1032" s="207" t="s">
        <v>1217</v>
      </c>
      <c r="D1032" s="208"/>
      <c r="E1032" s="208"/>
      <c r="F1032" s="208"/>
      <c r="G1032" s="209"/>
      <c r="H1032" s="240">
        <f>SUM(H1031)</f>
        <v>0</v>
      </c>
      <c r="L1032" s="200"/>
      <c r="M1032" s="200"/>
      <c r="N1032" s="200"/>
      <c r="O1032" s="200"/>
      <c r="P1032" s="200"/>
    </row>
    <row r="1033" spans="3:16" s="517" customFormat="1" ht="21" customHeight="1">
      <c r="C1033" s="223" t="s">
        <v>1218</v>
      </c>
      <c r="D1033" s="224" t="s">
        <v>1219</v>
      </c>
      <c r="E1033" s="225"/>
      <c r="F1033" s="225"/>
      <c r="G1033" s="226"/>
      <c r="H1033" s="210">
        <f>H1032+H1030+H1019</f>
        <v>3897.875</v>
      </c>
      <c r="L1033" s="200"/>
      <c r="M1033" s="200"/>
      <c r="N1033" s="200"/>
      <c r="O1033" s="200"/>
      <c r="P1033" s="200"/>
    </row>
    <row r="1034" spans="3:16" s="517" customFormat="1" ht="21" customHeight="1">
      <c r="C1034" s="223" t="s">
        <v>1220</v>
      </c>
      <c r="D1034" s="224" t="s">
        <v>1321</v>
      </c>
      <c r="E1034" s="225"/>
      <c r="F1034" s="226"/>
      <c r="G1034" s="228">
        <v>0.1</v>
      </c>
      <c r="H1034" s="210">
        <f>H1033*G1034</f>
        <v>389.78750000000002</v>
      </c>
      <c r="L1034" s="200"/>
      <c r="M1034" s="200"/>
      <c r="N1034" s="200"/>
      <c r="O1034" s="200"/>
      <c r="P1034" s="200"/>
    </row>
    <row r="1035" spans="3:16" s="517" customFormat="1" ht="21" customHeight="1" thickBot="1">
      <c r="C1035" s="229" t="s">
        <v>1221</v>
      </c>
      <c r="D1035" s="230" t="s">
        <v>1222</v>
      </c>
      <c r="E1035" s="231"/>
      <c r="F1035" s="231"/>
      <c r="G1035" s="232"/>
      <c r="H1035" s="233">
        <f>SUM(H1033:H1034)</f>
        <v>4287.6625000000004</v>
      </c>
      <c r="L1035" s="200"/>
      <c r="M1035" s="200"/>
      <c r="N1035" s="200"/>
      <c r="O1035" s="200"/>
      <c r="P1035" s="200"/>
    </row>
    <row r="1036" spans="3:16" s="517" customFormat="1" ht="21" customHeight="1" thickTop="1">
      <c r="C1036" s="757"/>
      <c r="D1036" s="758" t="s">
        <v>6949</v>
      </c>
      <c r="E1036" s="758"/>
      <c r="F1036" s="758"/>
      <c r="G1036" s="758"/>
      <c r="H1036" s="759"/>
      <c r="L1036" s="200"/>
      <c r="M1036" s="200"/>
      <c r="N1036" s="200"/>
      <c r="O1036" s="200"/>
      <c r="P1036" s="200"/>
    </row>
    <row r="1037" spans="3:16" s="517" customFormat="1" ht="21" customHeight="1">
      <c r="C1037" s="757" t="s">
        <v>6950</v>
      </c>
      <c r="D1037" s="758"/>
      <c r="E1037" s="758"/>
      <c r="F1037" s="758"/>
      <c r="G1037" s="758" t="s">
        <v>6959</v>
      </c>
      <c r="H1037" s="759"/>
      <c r="L1037" s="200"/>
      <c r="M1037" s="200"/>
      <c r="N1037" s="200"/>
      <c r="O1037" s="200"/>
      <c r="P1037" s="200"/>
    </row>
    <row r="1038" spans="3:16" s="517" customFormat="1" ht="21" customHeight="1">
      <c r="C1038" s="200" t="s">
        <v>6951</v>
      </c>
      <c r="D1038" s="758"/>
      <c r="E1038" s="758"/>
      <c r="F1038" s="758"/>
      <c r="G1038" s="758"/>
      <c r="H1038" s="759"/>
      <c r="L1038" s="200"/>
      <c r="M1038" s="200"/>
      <c r="N1038" s="200"/>
      <c r="O1038" s="200"/>
      <c r="P1038" s="200"/>
    </row>
    <row r="1039" spans="3:16" ht="21" customHeight="1">
      <c r="C1039" s="200" t="s">
        <v>6952</v>
      </c>
    </row>
    <row r="1040" spans="3:16" ht="14.4">
      <c r="C1040" s="200"/>
    </row>
    <row r="1041" spans="3:20" s="517" customFormat="1" ht="15" thickBot="1">
      <c r="C1041" s="513" t="s">
        <v>6978</v>
      </c>
      <c r="D1041" s="748" t="s">
        <v>6979</v>
      </c>
      <c r="E1041" s="749"/>
      <c r="F1041" s="748"/>
      <c r="G1041" s="748"/>
      <c r="H1041" s="532"/>
      <c r="I1041" s="532"/>
      <c r="J1041" s="532"/>
      <c r="K1041" s="532"/>
      <c r="L1041" s="189">
        <f>ROUNDDOWN(H1063,-2)</f>
        <v>4200</v>
      </c>
      <c r="M1041" s="189"/>
      <c r="N1041" s="189"/>
      <c r="O1041" s="189"/>
      <c r="P1041" s="189"/>
      <c r="R1041" s="189">
        <f>ROUNDDOWN(H1063,-2)</f>
        <v>4200</v>
      </c>
      <c r="S1041" s="517" t="s">
        <v>6451</v>
      </c>
      <c r="T1041" s="517" t="s">
        <v>6963</v>
      </c>
    </row>
    <row r="1042" spans="3:20" s="517" customFormat="1" ht="39.75" customHeight="1" thickTop="1">
      <c r="C1042" s="190" t="s">
        <v>1195</v>
      </c>
      <c r="D1042" s="191" t="s">
        <v>1196</v>
      </c>
      <c r="E1042" s="191" t="s">
        <v>1197</v>
      </c>
      <c r="F1042" s="191" t="s">
        <v>1198</v>
      </c>
      <c r="G1042" s="191" t="s">
        <v>1199</v>
      </c>
      <c r="H1042" s="192" t="s">
        <v>1200</v>
      </c>
      <c r="L1042" s="200"/>
      <c r="M1042" s="200"/>
      <c r="N1042" s="200"/>
      <c r="O1042" s="200"/>
      <c r="P1042" s="200"/>
    </row>
    <row r="1043" spans="3:20" s="517" customFormat="1" ht="25.2" customHeight="1">
      <c r="C1043" s="518" t="s">
        <v>1201</v>
      </c>
      <c r="D1043" s="196" t="s">
        <v>1202</v>
      </c>
      <c r="E1043" s="197"/>
      <c r="F1043" s="197"/>
      <c r="G1043" s="197"/>
      <c r="H1043" s="198"/>
      <c r="L1043" s="200"/>
      <c r="M1043" s="200"/>
      <c r="N1043" s="200"/>
      <c r="O1043" s="200"/>
      <c r="P1043" s="200"/>
    </row>
    <row r="1044" spans="3:20" s="517" customFormat="1" ht="25.2" customHeight="1">
      <c r="C1044" s="537">
        <v>1</v>
      </c>
      <c r="D1044" s="196" t="s">
        <v>6954</v>
      </c>
      <c r="E1044" s="202" t="s">
        <v>6</v>
      </c>
      <c r="F1044" s="520">
        <v>1.43E-2</v>
      </c>
      <c r="G1044" s="205">
        <f>VLOOKUP(D1044,upahbahan,3,FALSE)</f>
        <v>181250</v>
      </c>
      <c r="H1044" s="210">
        <f t="shared" ref="H1044:H1046" si="69">F1044*G1044</f>
        <v>2591.875</v>
      </c>
      <c r="L1044" s="200"/>
      <c r="M1044" s="200"/>
      <c r="N1044" s="200"/>
      <c r="O1044" s="200"/>
      <c r="P1044" s="200"/>
    </row>
    <row r="1045" spans="3:20" s="517" customFormat="1" ht="25.2" customHeight="1">
      <c r="C1045" s="537">
        <v>2</v>
      </c>
      <c r="D1045" s="196" t="s">
        <v>6948</v>
      </c>
      <c r="E1045" s="202" t="s">
        <v>6</v>
      </c>
      <c r="F1045" s="520">
        <v>4.7999999999999996E-3</v>
      </c>
      <c r="G1045" s="205">
        <f>VLOOKUP(D1045,upahbahan,3,FALSE)</f>
        <v>218750</v>
      </c>
      <c r="H1045" s="210">
        <f t="shared" si="69"/>
        <v>1050</v>
      </c>
      <c r="L1045" s="200"/>
      <c r="M1045" s="200"/>
      <c r="N1045" s="200"/>
      <c r="O1045" s="200"/>
      <c r="P1045" s="200"/>
    </row>
    <row r="1046" spans="3:20" s="517" customFormat="1" ht="25.2" customHeight="1">
      <c r="C1046" s="537">
        <v>3</v>
      </c>
      <c r="D1046" s="196" t="s">
        <v>19</v>
      </c>
      <c r="E1046" s="202" t="s">
        <v>6</v>
      </c>
      <c r="F1046" s="520">
        <v>1.6000000000000001E-3</v>
      </c>
      <c r="G1046" s="205">
        <f>VLOOKUP(D1046,upahbahan,3,FALSE)</f>
        <v>160000</v>
      </c>
      <c r="H1046" s="210">
        <f t="shared" si="69"/>
        <v>256</v>
      </c>
      <c r="L1046" s="200"/>
      <c r="M1046" s="200"/>
      <c r="N1046" s="200"/>
      <c r="O1046" s="200"/>
      <c r="P1046" s="200"/>
    </row>
    <row r="1047" spans="3:20" s="517" customFormat="1" ht="25.2" customHeight="1">
      <c r="C1047" s="207" t="s">
        <v>1208</v>
      </c>
      <c r="D1047" s="208"/>
      <c r="E1047" s="208"/>
      <c r="F1047" s="521"/>
      <c r="G1047" s="522"/>
      <c r="H1047" s="210">
        <f>SUM(H1044:H1046)</f>
        <v>3897.875</v>
      </c>
      <c r="L1047" s="523"/>
      <c r="M1047" s="523"/>
      <c r="N1047" s="523"/>
      <c r="O1047" s="523"/>
      <c r="P1047" s="523"/>
    </row>
    <row r="1048" spans="3:20" s="517" customFormat="1" ht="25.2" customHeight="1">
      <c r="C1048" s="543" t="s">
        <v>1209</v>
      </c>
      <c r="D1048" s="750" t="s">
        <v>1210</v>
      </c>
      <c r="E1048" s="197"/>
      <c r="F1048" s="751"/>
      <c r="G1048" s="197"/>
      <c r="H1048" s="752"/>
      <c r="L1048" s="200"/>
      <c r="M1048" s="200"/>
      <c r="N1048" s="200"/>
      <c r="O1048" s="200"/>
      <c r="P1048" s="200"/>
    </row>
    <row r="1049" spans="3:20" s="517" customFormat="1" ht="25.2" customHeight="1">
      <c r="C1049" s="543">
        <v>1</v>
      </c>
      <c r="D1049" s="750" t="s">
        <v>6980</v>
      </c>
      <c r="E1049" s="203" t="s">
        <v>44</v>
      </c>
      <c r="F1049" s="753">
        <v>1.05</v>
      </c>
      <c r="G1049" s="205">
        <f>VLOOKUP(D1049,upahbahan,3,FALSE)</f>
        <v>0</v>
      </c>
      <c r="H1049" s="210">
        <f t="shared" ref="H1049:H1057" si="70">F1049*G1049</f>
        <v>0</v>
      </c>
      <c r="L1049" s="200"/>
      <c r="M1049" s="200"/>
      <c r="N1049" s="200"/>
      <c r="O1049" s="200"/>
      <c r="P1049" s="200"/>
    </row>
    <row r="1050" spans="3:20" s="517" customFormat="1" ht="25.2" customHeight="1">
      <c r="C1050" s="543">
        <v>2</v>
      </c>
      <c r="D1050" s="750" t="s">
        <v>5563</v>
      </c>
      <c r="E1050" s="203" t="s">
        <v>65</v>
      </c>
      <c r="F1050" s="753">
        <v>5.0000000000000001E-3</v>
      </c>
      <c r="G1050" s="205">
        <f>VLOOKUP(D1050,upahbahan,3,FALSE)</f>
        <v>0</v>
      </c>
      <c r="H1050" s="210">
        <f t="shared" si="70"/>
        <v>0</v>
      </c>
      <c r="L1050" s="200"/>
      <c r="M1050" s="200"/>
      <c r="N1050" s="200"/>
      <c r="O1050" s="200"/>
      <c r="P1050" s="200"/>
    </row>
    <row r="1051" spans="3:20" s="517" customFormat="1" ht="25.2" customHeight="1">
      <c r="C1051" s="543">
        <v>3</v>
      </c>
      <c r="D1051" s="750" t="s">
        <v>5555</v>
      </c>
      <c r="E1051" s="203"/>
      <c r="F1051" s="753"/>
      <c r="G1051" s="197"/>
      <c r="H1051" s="210">
        <f t="shared" si="70"/>
        <v>0</v>
      </c>
      <c r="L1051" s="200"/>
      <c r="M1051" s="200"/>
      <c r="N1051" s="200"/>
      <c r="O1051" s="200"/>
      <c r="P1051" s="200"/>
    </row>
    <row r="1052" spans="3:20" s="517" customFormat="1" ht="25.2" customHeight="1">
      <c r="C1052" s="754" t="s">
        <v>5293</v>
      </c>
      <c r="D1052" s="750" t="s">
        <v>6957</v>
      </c>
      <c r="E1052" s="203" t="s">
        <v>1300</v>
      </c>
      <c r="F1052" s="753">
        <v>6</v>
      </c>
      <c r="G1052" s="205">
        <f>VLOOKUP(D1052,upahbahan,3,FALSE)</f>
        <v>0</v>
      </c>
      <c r="H1052" s="210">
        <f t="shared" si="70"/>
        <v>0</v>
      </c>
      <c r="L1052" s="200"/>
      <c r="M1052" s="200"/>
      <c r="N1052" s="200"/>
      <c r="O1052" s="200"/>
      <c r="P1052" s="200"/>
    </row>
    <row r="1053" spans="3:20" s="517" customFormat="1" ht="25.2" customHeight="1">
      <c r="C1053" s="754" t="s">
        <v>5299</v>
      </c>
      <c r="D1053" s="750" t="s">
        <v>5560</v>
      </c>
      <c r="E1053" s="203" t="s">
        <v>113</v>
      </c>
      <c r="F1053" s="753">
        <v>10</v>
      </c>
      <c r="G1053" s="205">
        <f>VLOOKUP(D1053,upahbahan,3,FALSE)</f>
        <v>0</v>
      </c>
      <c r="H1053" s="210">
        <f t="shared" si="70"/>
        <v>0</v>
      </c>
      <c r="L1053" s="200"/>
      <c r="M1053" s="200"/>
      <c r="N1053" s="200"/>
      <c r="O1053" s="200"/>
      <c r="P1053" s="200"/>
    </row>
    <row r="1054" spans="3:20" s="517" customFormat="1" ht="25.2" customHeight="1">
      <c r="C1054" s="543">
        <v>4</v>
      </c>
      <c r="D1054" s="750" t="s">
        <v>5556</v>
      </c>
      <c r="E1054" s="203"/>
      <c r="F1054" s="753"/>
      <c r="G1054" s="197"/>
      <c r="H1054" s="210">
        <f t="shared" si="70"/>
        <v>0</v>
      </c>
      <c r="L1054" s="200"/>
      <c r="M1054" s="200"/>
      <c r="N1054" s="200"/>
      <c r="O1054" s="200"/>
      <c r="P1054" s="200"/>
    </row>
    <row r="1055" spans="3:20" s="517" customFormat="1" ht="25.2" customHeight="1">
      <c r="C1055" s="754" t="s">
        <v>5293</v>
      </c>
      <c r="D1055" s="750" t="s">
        <v>2084</v>
      </c>
      <c r="E1055" s="203" t="s">
        <v>42</v>
      </c>
      <c r="F1055" s="753">
        <v>1.46E-2</v>
      </c>
      <c r="G1055" s="205">
        <f>VLOOKUP(D1055,upahbahan,3,FALSE)</f>
        <v>0</v>
      </c>
      <c r="H1055" s="210">
        <f t="shared" si="70"/>
        <v>0</v>
      </c>
      <c r="L1055" s="200"/>
      <c r="M1055" s="200"/>
      <c r="N1055" s="200"/>
      <c r="O1055" s="200"/>
      <c r="P1055" s="200"/>
    </row>
    <row r="1056" spans="3:20" s="517" customFormat="1" ht="25.2" customHeight="1">
      <c r="C1056" s="754" t="s">
        <v>5299</v>
      </c>
      <c r="D1056" s="750" t="s">
        <v>5557</v>
      </c>
      <c r="E1056" s="203" t="s">
        <v>42</v>
      </c>
      <c r="F1056" s="753">
        <v>3.8999999999999998E-3</v>
      </c>
      <c r="G1056" s="205">
        <f>VLOOKUP(D1056,upahbahan,3,FALSE)</f>
        <v>0</v>
      </c>
      <c r="H1056" s="210">
        <f t="shared" si="70"/>
        <v>0</v>
      </c>
      <c r="L1056" s="200"/>
      <c r="M1056" s="200"/>
      <c r="N1056" s="200"/>
      <c r="O1056" s="200"/>
      <c r="P1056" s="200"/>
    </row>
    <row r="1057" spans="3:20" s="517" customFormat="1" ht="25.2" customHeight="1">
      <c r="C1057" s="754" t="s">
        <v>5558</v>
      </c>
      <c r="D1057" s="750" t="s">
        <v>6958</v>
      </c>
      <c r="E1057" s="203" t="s">
        <v>42</v>
      </c>
      <c r="F1057" s="755">
        <v>1E-3</v>
      </c>
      <c r="G1057" s="205">
        <f>VLOOKUP(D1057,upahbahan,3,FALSE)</f>
        <v>0</v>
      </c>
      <c r="H1057" s="210">
        <f t="shared" si="70"/>
        <v>0</v>
      </c>
      <c r="L1057" s="200"/>
      <c r="M1057" s="200"/>
      <c r="N1057" s="200"/>
      <c r="O1057" s="200"/>
      <c r="P1057" s="200"/>
    </row>
    <row r="1058" spans="3:20" s="517" customFormat="1" ht="25.2" customHeight="1">
      <c r="C1058" s="207" t="s">
        <v>1214</v>
      </c>
      <c r="D1058" s="208"/>
      <c r="E1058" s="568"/>
      <c r="F1058" s="208"/>
      <c r="G1058" s="209"/>
      <c r="H1058" s="210">
        <f>SUM(H1049:H1057)</f>
        <v>0</v>
      </c>
      <c r="L1058" s="200"/>
      <c r="M1058" s="200"/>
      <c r="N1058" s="200"/>
      <c r="O1058" s="200"/>
      <c r="P1058" s="200"/>
    </row>
    <row r="1059" spans="3:20" s="517" customFormat="1" ht="25.2" customHeight="1">
      <c r="C1059" s="756" t="s">
        <v>1215</v>
      </c>
      <c r="D1059" s="196" t="s">
        <v>1216</v>
      </c>
      <c r="E1059" s="203"/>
      <c r="F1059" s="197"/>
      <c r="G1059" s="197"/>
      <c r="H1059" s="198"/>
      <c r="L1059" s="200"/>
      <c r="M1059" s="200"/>
      <c r="N1059" s="200"/>
      <c r="O1059" s="200"/>
      <c r="P1059" s="200"/>
    </row>
    <row r="1060" spans="3:20" s="517" customFormat="1" ht="25.2" customHeight="1">
      <c r="C1060" s="207" t="s">
        <v>1217</v>
      </c>
      <c r="D1060" s="208"/>
      <c r="E1060" s="208"/>
      <c r="F1060" s="208"/>
      <c r="G1060" s="209"/>
      <c r="H1060" s="240">
        <f>SUM(H1059)</f>
        <v>0</v>
      </c>
      <c r="L1060" s="200"/>
      <c r="M1060" s="200"/>
      <c r="N1060" s="200"/>
      <c r="O1060" s="200"/>
      <c r="P1060" s="200"/>
    </row>
    <row r="1061" spans="3:20" s="517" customFormat="1" ht="25.2" customHeight="1">
      <c r="C1061" s="223" t="s">
        <v>1218</v>
      </c>
      <c r="D1061" s="224" t="s">
        <v>1219</v>
      </c>
      <c r="E1061" s="225"/>
      <c r="F1061" s="225"/>
      <c r="G1061" s="226"/>
      <c r="H1061" s="210">
        <f>H1060+H1058+H1047</f>
        <v>3897.875</v>
      </c>
      <c r="L1061" s="200"/>
      <c r="M1061" s="200"/>
      <c r="N1061" s="200"/>
      <c r="O1061" s="200"/>
      <c r="P1061" s="200"/>
    </row>
    <row r="1062" spans="3:20" s="517" customFormat="1" ht="25.2" customHeight="1">
      <c r="C1062" s="223" t="s">
        <v>1220</v>
      </c>
      <c r="D1062" s="224" t="s">
        <v>1321</v>
      </c>
      <c r="E1062" s="225"/>
      <c r="F1062" s="226"/>
      <c r="G1062" s="228">
        <v>0.1</v>
      </c>
      <c r="H1062" s="210">
        <f>H1061*G1062</f>
        <v>389.78750000000002</v>
      </c>
      <c r="L1062" s="200"/>
      <c r="M1062" s="200"/>
      <c r="N1062" s="200"/>
      <c r="O1062" s="200"/>
      <c r="P1062" s="200"/>
    </row>
    <row r="1063" spans="3:20" s="517" customFormat="1" ht="25.2" customHeight="1" thickBot="1">
      <c r="C1063" s="229" t="s">
        <v>1221</v>
      </c>
      <c r="D1063" s="230" t="s">
        <v>1222</v>
      </c>
      <c r="E1063" s="231"/>
      <c r="F1063" s="231"/>
      <c r="G1063" s="232"/>
      <c r="H1063" s="233">
        <f>SUM(H1061:H1062)</f>
        <v>4287.6625000000004</v>
      </c>
      <c r="L1063" s="200"/>
      <c r="M1063" s="200"/>
      <c r="N1063" s="200"/>
      <c r="O1063" s="200"/>
      <c r="P1063" s="200"/>
    </row>
    <row r="1064" spans="3:20" s="517" customFormat="1" ht="15" thickTop="1">
      <c r="C1064" s="757"/>
      <c r="D1064" s="758" t="s">
        <v>6949</v>
      </c>
      <c r="E1064" s="758"/>
      <c r="F1064" s="758"/>
      <c r="G1064" s="758"/>
      <c r="H1064" s="759"/>
      <c r="L1064" s="200"/>
      <c r="M1064" s="200"/>
      <c r="N1064" s="200"/>
      <c r="O1064" s="200"/>
      <c r="P1064" s="200"/>
    </row>
    <row r="1065" spans="3:20" s="517" customFormat="1" ht="14.4">
      <c r="C1065" s="757" t="s">
        <v>6950</v>
      </c>
      <c r="D1065" s="758"/>
      <c r="E1065" s="758"/>
      <c r="F1065" s="758"/>
      <c r="G1065" s="758" t="s">
        <v>6959</v>
      </c>
      <c r="H1065" s="759"/>
      <c r="L1065" s="200"/>
      <c r="M1065" s="200"/>
      <c r="N1065" s="200"/>
      <c r="O1065" s="200"/>
      <c r="P1065" s="200"/>
    </row>
    <row r="1066" spans="3:20" s="517" customFormat="1" ht="14.4">
      <c r="C1066" s="200" t="s">
        <v>6951</v>
      </c>
      <c r="D1066" s="758"/>
      <c r="E1066" s="758"/>
      <c r="F1066" s="758"/>
      <c r="G1066" s="758"/>
      <c r="H1066" s="759"/>
      <c r="L1066" s="200"/>
      <c r="M1066" s="200"/>
      <c r="N1066" s="200"/>
      <c r="O1066" s="200"/>
      <c r="P1066" s="200"/>
    </row>
    <row r="1067" spans="3:20" ht="14.4">
      <c r="C1067" s="200" t="s">
        <v>6952</v>
      </c>
    </row>
    <row r="1068" spans="3:20" ht="14.4">
      <c r="C1068" s="200"/>
    </row>
    <row r="1069" spans="3:20" s="517" customFormat="1" ht="15" thickBot="1">
      <c r="C1069" s="513" t="s">
        <v>6981</v>
      </c>
      <c r="D1069" s="748" t="s">
        <v>6982</v>
      </c>
      <c r="E1069" s="749"/>
      <c r="F1069" s="748"/>
      <c r="G1069" s="748"/>
      <c r="H1069" s="532"/>
      <c r="I1069" s="532"/>
      <c r="J1069" s="532"/>
      <c r="K1069" s="532"/>
      <c r="L1069" s="189">
        <f>ROUNDDOWN(H1091,-2)</f>
        <v>4200</v>
      </c>
      <c r="M1069" s="189"/>
      <c r="N1069" s="189"/>
      <c r="O1069" s="189"/>
      <c r="P1069" s="189"/>
      <c r="R1069" s="189">
        <f>ROUNDDOWN(H1091,-2)</f>
        <v>4200</v>
      </c>
      <c r="S1069" s="517" t="s">
        <v>6451</v>
      </c>
      <c r="T1069" s="517" t="s">
        <v>6963</v>
      </c>
    </row>
    <row r="1070" spans="3:20" s="517" customFormat="1" ht="39.75" customHeight="1" thickTop="1">
      <c r="C1070" s="190" t="s">
        <v>1195</v>
      </c>
      <c r="D1070" s="191" t="s">
        <v>1196</v>
      </c>
      <c r="E1070" s="191" t="s">
        <v>1197</v>
      </c>
      <c r="F1070" s="191" t="s">
        <v>1198</v>
      </c>
      <c r="G1070" s="191" t="s">
        <v>1199</v>
      </c>
      <c r="H1070" s="192" t="s">
        <v>1200</v>
      </c>
      <c r="L1070" s="200"/>
      <c r="M1070" s="200"/>
      <c r="N1070" s="200"/>
      <c r="O1070" s="200"/>
      <c r="P1070" s="200"/>
    </row>
    <row r="1071" spans="3:20" s="517" customFormat="1" ht="24" customHeight="1">
      <c r="C1071" s="518" t="s">
        <v>1201</v>
      </c>
      <c r="D1071" s="196" t="s">
        <v>1202</v>
      </c>
      <c r="E1071" s="197"/>
      <c r="F1071" s="197"/>
      <c r="G1071" s="197"/>
      <c r="H1071" s="198"/>
      <c r="L1071" s="200"/>
      <c r="M1071" s="200"/>
      <c r="N1071" s="200"/>
      <c r="O1071" s="200"/>
      <c r="P1071" s="200"/>
    </row>
    <row r="1072" spans="3:20" s="517" customFormat="1" ht="24" customHeight="1">
      <c r="C1072" s="537">
        <v>1</v>
      </c>
      <c r="D1072" s="196" t="s">
        <v>6954</v>
      </c>
      <c r="E1072" s="202" t="s">
        <v>6</v>
      </c>
      <c r="F1072" s="520">
        <v>1.43E-2</v>
      </c>
      <c r="G1072" s="205">
        <f>VLOOKUP(D1072,upahbahan,3,FALSE)</f>
        <v>181250</v>
      </c>
      <c r="H1072" s="210">
        <f t="shared" ref="H1072:H1074" si="71">F1072*G1072</f>
        <v>2591.875</v>
      </c>
      <c r="L1072" s="200"/>
      <c r="M1072" s="200"/>
      <c r="N1072" s="200"/>
      <c r="O1072" s="200"/>
      <c r="P1072" s="200"/>
    </row>
    <row r="1073" spans="3:16" s="517" customFormat="1" ht="24" customHeight="1">
      <c r="C1073" s="537">
        <v>2</v>
      </c>
      <c r="D1073" s="196" t="s">
        <v>6948</v>
      </c>
      <c r="E1073" s="202" t="s">
        <v>6</v>
      </c>
      <c r="F1073" s="520">
        <v>4.7999999999999996E-3</v>
      </c>
      <c r="G1073" s="205">
        <f>VLOOKUP(D1073,upahbahan,3,FALSE)</f>
        <v>218750</v>
      </c>
      <c r="H1073" s="210">
        <f t="shared" si="71"/>
        <v>1050</v>
      </c>
      <c r="L1073" s="200"/>
      <c r="M1073" s="200"/>
      <c r="N1073" s="200"/>
      <c r="O1073" s="200"/>
      <c r="P1073" s="200"/>
    </row>
    <row r="1074" spans="3:16" s="517" customFormat="1" ht="24" customHeight="1">
      <c r="C1074" s="537">
        <v>3</v>
      </c>
      <c r="D1074" s="196" t="s">
        <v>19</v>
      </c>
      <c r="E1074" s="202" t="s">
        <v>6</v>
      </c>
      <c r="F1074" s="520">
        <v>1.6000000000000001E-3</v>
      </c>
      <c r="G1074" s="205">
        <f>VLOOKUP(D1074,upahbahan,3,FALSE)</f>
        <v>160000</v>
      </c>
      <c r="H1074" s="210">
        <f t="shared" si="71"/>
        <v>256</v>
      </c>
      <c r="L1074" s="200"/>
      <c r="M1074" s="200"/>
      <c r="N1074" s="200"/>
      <c r="O1074" s="200"/>
      <c r="P1074" s="200"/>
    </row>
    <row r="1075" spans="3:16" s="517" customFormat="1" ht="24" customHeight="1">
      <c r="C1075" s="207" t="s">
        <v>1208</v>
      </c>
      <c r="D1075" s="208"/>
      <c r="E1075" s="208"/>
      <c r="F1075" s="521"/>
      <c r="G1075" s="522"/>
      <c r="H1075" s="210">
        <f>SUM(H1072:H1074)</f>
        <v>3897.875</v>
      </c>
      <c r="L1075" s="523"/>
      <c r="M1075" s="523"/>
      <c r="N1075" s="523"/>
      <c r="O1075" s="523"/>
      <c r="P1075" s="523"/>
    </row>
    <row r="1076" spans="3:16" s="517" customFormat="1" ht="24" customHeight="1">
      <c r="C1076" s="543" t="s">
        <v>1209</v>
      </c>
      <c r="D1076" s="750" t="s">
        <v>1210</v>
      </c>
      <c r="E1076" s="197"/>
      <c r="F1076" s="751"/>
      <c r="G1076" s="197"/>
      <c r="H1076" s="752"/>
      <c r="L1076" s="200"/>
      <c r="M1076" s="200"/>
      <c r="N1076" s="200"/>
      <c r="O1076" s="200"/>
      <c r="P1076" s="200"/>
    </row>
    <row r="1077" spans="3:16" s="517" customFormat="1" ht="24" customHeight="1">
      <c r="C1077" s="543">
        <v>1</v>
      </c>
      <c r="D1077" s="750" t="s">
        <v>6983</v>
      </c>
      <c r="E1077" s="203" t="s">
        <v>44</v>
      </c>
      <c r="F1077" s="753">
        <v>1.05</v>
      </c>
      <c r="G1077" s="205">
        <f>VLOOKUP(D1077,upahbahan,3,FALSE)</f>
        <v>0</v>
      </c>
      <c r="H1077" s="210">
        <f t="shared" ref="H1077:H1085" si="72">F1077*G1077</f>
        <v>0</v>
      </c>
      <c r="L1077" s="200"/>
      <c r="M1077" s="200"/>
      <c r="N1077" s="200"/>
      <c r="O1077" s="200"/>
      <c r="P1077" s="200"/>
    </row>
    <row r="1078" spans="3:16" s="517" customFormat="1" ht="24" customHeight="1">
      <c r="C1078" s="543">
        <v>2</v>
      </c>
      <c r="D1078" s="750" t="s">
        <v>5563</v>
      </c>
      <c r="E1078" s="203" t="s">
        <v>65</v>
      </c>
      <c r="F1078" s="753">
        <v>5.0000000000000001E-3</v>
      </c>
      <c r="G1078" s="205">
        <f>VLOOKUP(D1078,upahbahan,3,FALSE)</f>
        <v>0</v>
      </c>
      <c r="H1078" s="210">
        <f t="shared" si="72"/>
        <v>0</v>
      </c>
      <c r="L1078" s="200"/>
      <c r="M1078" s="200"/>
      <c r="N1078" s="200"/>
      <c r="O1078" s="200"/>
      <c r="P1078" s="200"/>
    </row>
    <row r="1079" spans="3:16" s="517" customFormat="1" ht="24" customHeight="1">
      <c r="C1079" s="543">
        <v>3</v>
      </c>
      <c r="D1079" s="750" t="s">
        <v>5555</v>
      </c>
      <c r="E1079" s="203"/>
      <c r="F1079" s="753"/>
      <c r="G1079" s="197"/>
      <c r="H1079" s="210">
        <f t="shared" si="72"/>
        <v>0</v>
      </c>
      <c r="L1079" s="200"/>
      <c r="M1079" s="200"/>
      <c r="N1079" s="200"/>
      <c r="O1079" s="200"/>
      <c r="P1079" s="200"/>
    </row>
    <row r="1080" spans="3:16" s="517" customFormat="1" ht="24" customHeight="1">
      <c r="C1080" s="754" t="s">
        <v>5293</v>
      </c>
      <c r="D1080" s="750" t="s">
        <v>6957</v>
      </c>
      <c r="E1080" s="203" t="s">
        <v>1300</v>
      </c>
      <c r="F1080" s="753">
        <v>6</v>
      </c>
      <c r="G1080" s="205">
        <f>VLOOKUP(D1080,upahbahan,3,FALSE)</f>
        <v>0</v>
      </c>
      <c r="H1080" s="210">
        <f t="shared" si="72"/>
        <v>0</v>
      </c>
      <c r="L1080" s="200"/>
      <c r="M1080" s="200"/>
      <c r="N1080" s="200"/>
      <c r="O1080" s="200"/>
      <c r="P1080" s="200"/>
    </row>
    <row r="1081" spans="3:16" s="517" customFormat="1" ht="24" customHeight="1">
      <c r="C1081" s="754" t="s">
        <v>5299</v>
      </c>
      <c r="D1081" s="750" t="s">
        <v>5560</v>
      </c>
      <c r="E1081" s="203" t="s">
        <v>113</v>
      </c>
      <c r="F1081" s="753">
        <v>10</v>
      </c>
      <c r="G1081" s="205">
        <f>VLOOKUP(D1081,upahbahan,3,FALSE)</f>
        <v>0</v>
      </c>
      <c r="H1081" s="210">
        <f t="shared" si="72"/>
        <v>0</v>
      </c>
      <c r="L1081" s="200"/>
      <c r="M1081" s="200"/>
      <c r="N1081" s="200"/>
      <c r="O1081" s="200"/>
      <c r="P1081" s="200"/>
    </row>
    <row r="1082" spans="3:16" s="517" customFormat="1" ht="24" customHeight="1">
      <c r="C1082" s="543">
        <v>4</v>
      </c>
      <c r="D1082" s="750" t="s">
        <v>5556</v>
      </c>
      <c r="E1082" s="203"/>
      <c r="F1082" s="753"/>
      <c r="G1082" s="197"/>
      <c r="H1082" s="210">
        <f t="shared" si="72"/>
        <v>0</v>
      </c>
      <c r="L1082" s="200"/>
      <c r="M1082" s="200"/>
      <c r="N1082" s="200"/>
      <c r="O1082" s="200"/>
      <c r="P1082" s="200"/>
    </row>
    <row r="1083" spans="3:16" s="517" customFormat="1" ht="24" customHeight="1">
      <c r="C1083" s="754" t="s">
        <v>5293</v>
      </c>
      <c r="D1083" s="750" t="s">
        <v>2084</v>
      </c>
      <c r="E1083" s="203" t="s">
        <v>42</v>
      </c>
      <c r="F1083" s="753">
        <v>1.46E-2</v>
      </c>
      <c r="G1083" s="205">
        <f>VLOOKUP(D1083,upahbahan,3,FALSE)</f>
        <v>0</v>
      </c>
      <c r="H1083" s="210">
        <f t="shared" si="72"/>
        <v>0</v>
      </c>
      <c r="L1083" s="200"/>
      <c r="M1083" s="200"/>
      <c r="N1083" s="200"/>
      <c r="O1083" s="200"/>
      <c r="P1083" s="200"/>
    </row>
    <row r="1084" spans="3:16" s="517" customFormat="1" ht="24" customHeight="1">
      <c r="C1084" s="754" t="s">
        <v>5299</v>
      </c>
      <c r="D1084" s="750" t="s">
        <v>5557</v>
      </c>
      <c r="E1084" s="203" t="s">
        <v>42</v>
      </c>
      <c r="F1084" s="753">
        <v>3.8999999999999998E-3</v>
      </c>
      <c r="G1084" s="205">
        <f>VLOOKUP(D1084,upahbahan,3,FALSE)</f>
        <v>0</v>
      </c>
      <c r="H1084" s="210">
        <f t="shared" si="72"/>
        <v>0</v>
      </c>
      <c r="L1084" s="200"/>
      <c r="M1084" s="200"/>
      <c r="N1084" s="200"/>
      <c r="O1084" s="200"/>
      <c r="P1084" s="200"/>
    </row>
    <row r="1085" spans="3:16" s="517" customFormat="1" ht="24" customHeight="1">
      <c r="C1085" s="754" t="s">
        <v>5558</v>
      </c>
      <c r="D1085" s="750" t="s">
        <v>6958</v>
      </c>
      <c r="E1085" s="203" t="s">
        <v>42</v>
      </c>
      <c r="F1085" s="755">
        <v>1E-3</v>
      </c>
      <c r="G1085" s="205">
        <f>VLOOKUP(D1085,upahbahan,3,FALSE)</f>
        <v>0</v>
      </c>
      <c r="H1085" s="210">
        <f t="shared" si="72"/>
        <v>0</v>
      </c>
      <c r="L1085" s="200"/>
      <c r="M1085" s="200"/>
      <c r="N1085" s="200"/>
      <c r="O1085" s="200"/>
      <c r="P1085" s="200"/>
    </row>
    <row r="1086" spans="3:16" s="517" customFormat="1" ht="24" customHeight="1">
      <c r="C1086" s="207" t="s">
        <v>1214</v>
      </c>
      <c r="D1086" s="208"/>
      <c r="E1086" s="568"/>
      <c r="F1086" s="208"/>
      <c r="G1086" s="209"/>
      <c r="H1086" s="210">
        <f>SUM(H1077:H1085)</f>
        <v>0</v>
      </c>
      <c r="L1086" s="200"/>
      <c r="M1086" s="200"/>
      <c r="N1086" s="200"/>
      <c r="O1086" s="200"/>
      <c r="P1086" s="200"/>
    </row>
    <row r="1087" spans="3:16" s="517" customFormat="1" ht="24" customHeight="1">
      <c r="C1087" s="756" t="s">
        <v>1215</v>
      </c>
      <c r="D1087" s="196" t="s">
        <v>1216</v>
      </c>
      <c r="E1087" s="203"/>
      <c r="F1087" s="197"/>
      <c r="G1087" s="197"/>
      <c r="H1087" s="198"/>
      <c r="L1087" s="200"/>
      <c r="M1087" s="200"/>
      <c r="N1087" s="200"/>
      <c r="O1087" s="200"/>
      <c r="P1087" s="200"/>
    </row>
    <row r="1088" spans="3:16" s="517" customFormat="1" ht="24" customHeight="1">
      <c r="C1088" s="207" t="s">
        <v>1217</v>
      </c>
      <c r="D1088" s="208"/>
      <c r="E1088" s="208"/>
      <c r="F1088" s="208"/>
      <c r="G1088" s="209"/>
      <c r="H1088" s="240">
        <f>SUM(H1087)</f>
        <v>0</v>
      </c>
      <c r="L1088" s="200"/>
      <c r="M1088" s="200"/>
      <c r="N1088" s="200"/>
      <c r="O1088" s="200"/>
      <c r="P1088" s="200"/>
    </row>
    <row r="1089" spans="3:20" s="517" customFormat="1" ht="24" customHeight="1">
      <c r="C1089" s="223" t="s">
        <v>1218</v>
      </c>
      <c r="D1089" s="224" t="s">
        <v>1219</v>
      </c>
      <c r="E1089" s="225"/>
      <c r="F1089" s="225"/>
      <c r="G1089" s="226"/>
      <c r="H1089" s="210">
        <f>H1088+H1086+H1075</f>
        <v>3897.875</v>
      </c>
      <c r="L1089" s="200"/>
      <c r="M1089" s="200"/>
      <c r="N1089" s="200"/>
      <c r="O1089" s="200"/>
      <c r="P1089" s="200"/>
    </row>
    <row r="1090" spans="3:20" s="517" customFormat="1" ht="24" customHeight="1">
      <c r="C1090" s="223" t="s">
        <v>1220</v>
      </c>
      <c r="D1090" s="224" t="s">
        <v>1321</v>
      </c>
      <c r="E1090" s="225"/>
      <c r="F1090" s="226"/>
      <c r="G1090" s="228">
        <v>0.1</v>
      </c>
      <c r="H1090" s="210">
        <f>H1089*G1090</f>
        <v>389.78750000000002</v>
      </c>
      <c r="L1090" s="200"/>
      <c r="M1090" s="200"/>
      <c r="N1090" s="200"/>
      <c r="O1090" s="200"/>
      <c r="P1090" s="200"/>
    </row>
    <row r="1091" spans="3:20" s="517" customFormat="1" ht="24" customHeight="1" thickBot="1">
      <c r="C1091" s="229" t="s">
        <v>1221</v>
      </c>
      <c r="D1091" s="230" t="s">
        <v>1222</v>
      </c>
      <c r="E1091" s="231"/>
      <c r="F1091" s="231"/>
      <c r="G1091" s="232"/>
      <c r="H1091" s="233">
        <f>SUM(H1089:H1090)</f>
        <v>4287.6625000000004</v>
      </c>
      <c r="L1091" s="200"/>
      <c r="M1091" s="200"/>
      <c r="N1091" s="200"/>
      <c r="O1091" s="200"/>
      <c r="P1091" s="200"/>
    </row>
    <row r="1092" spans="3:20" s="517" customFormat="1" ht="24" customHeight="1" thickTop="1">
      <c r="C1092" s="757"/>
      <c r="D1092" s="758" t="s">
        <v>6949</v>
      </c>
      <c r="E1092" s="758"/>
      <c r="F1092" s="758"/>
      <c r="G1092" s="758"/>
      <c r="H1092" s="759"/>
      <c r="L1092" s="200"/>
      <c r="M1092" s="200"/>
      <c r="N1092" s="200"/>
      <c r="O1092" s="200"/>
      <c r="P1092" s="200"/>
    </row>
    <row r="1093" spans="3:20" s="517" customFormat="1" ht="21.6" customHeight="1">
      <c r="C1093" s="757" t="s">
        <v>6950</v>
      </c>
      <c r="D1093" s="758"/>
      <c r="E1093" s="758"/>
      <c r="F1093" s="758"/>
      <c r="G1093" s="758" t="s">
        <v>6959</v>
      </c>
      <c r="H1093" s="759"/>
      <c r="L1093" s="200"/>
      <c r="M1093" s="200"/>
      <c r="N1093" s="200"/>
      <c r="O1093" s="200"/>
      <c r="P1093" s="200"/>
    </row>
    <row r="1094" spans="3:20" s="517" customFormat="1" ht="21.6" customHeight="1">
      <c r="C1094" s="200" t="s">
        <v>6951</v>
      </c>
      <c r="D1094" s="758"/>
      <c r="E1094" s="758"/>
      <c r="F1094" s="758"/>
      <c r="G1094" s="758"/>
      <c r="H1094" s="759"/>
      <c r="L1094" s="200"/>
      <c r="M1094" s="200"/>
      <c r="N1094" s="200"/>
      <c r="O1094" s="200"/>
      <c r="P1094" s="200"/>
    </row>
    <row r="1095" spans="3:20" ht="21.6" customHeight="1">
      <c r="C1095" s="200" t="s">
        <v>6952</v>
      </c>
    </row>
    <row r="1096" spans="3:20" ht="21.6" customHeight="1">
      <c r="C1096" s="200"/>
    </row>
    <row r="1097" spans="3:20" s="517" customFormat="1" ht="21.6" customHeight="1" thickBot="1">
      <c r="C1097" s="513" t="s">
        <v>6984</v>
      </c>
      <c r="D1097" s="748" t="s">
        <v>6985</v>
      </c>
      <c r="E1097" s="749"/>
      <c r="F1097" s="748"/>
      <c r="G1097" s="748"/>
      <c r="H1097" s="532"/>
      <c r="I1097" s="532"/>
      <c r="J1097" s="532"/>
      <c r="K1097" s="532"/>
      <c r="L1097" s="189">
        <f>ROUNDDOWN(H1119,-2)</f>
        <v>4200</v>
      </c>
      <c r="M1097" s="189"/>
      <c r="N1097" s="189"/>
      <c r="O1097" s="189"/>
      <c r="P1097" s="189"/>
      <c r="R1097" s="189">
        <f>ROUNDDOWN(H1119,-2)</f>
        <v>4200</v>
      </c>
      <c r="S1097" s="517" t="s">
        <v>6451</v>
      </c>
      <c r="T1097" s="517" t="s">
        <v>6963</v>
      </c>
    </row>
    <row r="1098" spans="3:20" s="517" customFormat="1" ht="39.75" customHeight="1" thickTop="1">
      <c r="C1098" s="190" t="s">
        <v>1195</v>
      </c>
      <c r="D1098" s="191" t="s">
        <v>1196</v>
      </c>
      <c r="E1098" s="191" t="s">
        <v>1197</v>
      </c>
      <c r="F1098" s="191" t="s">
        <v>1198</v>
      </c>
      <c r="G1098" s="191" t="s">
        <v>1199</v>
      </c>
      <c r="H1098" s="192" t="s">
        <v>1200</v>
      </c>
      <c r="L1098" s="200"/>
      <c r="M1098" s="200"/>
      <c r="N1098" s="200"/>
      <c r="O1098" s="200"/>
      <c r="P1098" s="200"/>
    </row>
    <row r="1099" spans="3:20" s="517" customFormat="1" ht="31.2" customHeight="1">
      <c r="C1099" s="518" t="s">
        <v>1201</v>
      </c>
      <c r="D1099" s="196" t="s">
        <v>1202</v>
      </c>
      <c r="E1099" s="197"/>
      <c r="F1099" s="197"/>
      <c r="G1099" s="197"/>
      <c r="H1099" s="198"/>
      <c r="L1099" s="200"/>
      <c r="M1099" s="200"/>
      <c r="N1099" s="200"/>
      <c r="O1099" s="200"/>
      <c r="P1099" s="200"/>
    </row>
    <row r="1100" spans="3:20" s="517" customFormat="1" ht="31.2" customHeight="1">
      <c r="C1100" s="537">
        <v>1</v>
      </c>
      <c r="D1100" s="196" t="s">
        <v>6954</v>
      </c>
      <c r="E1100" s="202" t="s">
        <v>6</v>
      </c>
      <c r="F1100" s="520">
        <v>1.43E-2</v>
      </c>
      <c r="G1100" s="205">
        <f>VLOOKUP(D1100,upahbahan,3,FALSE)</f>
        <v>181250</v>
      </c>
      <c r="H1100" s="210">
        <f t="shared" ref="H1100:H1102" si="73">F1100*G1100</f>
        <v>2591.875</v>
      </c>
      <c r="L1100" s="200"/>
      <c r="M1100" s="200"/>
      <c r="N1100" s="200"/>
      <c r="O1100" s="200"/>
      <c r="P1100" s="200"/>
    </row>
    <row r="1101" spans="3:20" s="517" customFormat="1" ht="31.2" customHeight="1">
      <c r="C1101" s="537">
        <v>2</v>
      </c>
      <c r="D1101" s="196" t="s">
        <v>6948</v>
      </c>
      <c r="E1101" s="202" t="s">
        <v>6</v>
      </c>
      <c r="F1101" s="520">
        <v>4.7999999999999996E-3</v>
      </c>
      <c r="G1101" s="205">
        <f>VLOOKUP(D1101,upahbahan,3,FALSE)</f>
        <v>218750</v>
      </c>
      <c r="H1101" s="210">
        <f t="shared" si="73"/>
        <v>1050</v>
      </c>
      <c r="L1101" s="200"/>
      <c r="M1101" s="200"/>
      <c r="N1101" s="200"/>
      <c r="O1101" s="200"/>
      <c r="P1101" s="200"/>
    </row>
    <row r="1102" spans="3:20" s="517" customFormat="1" ht="31.2" customHeight="1">
      <c r="C1102" s="537">
        <v>3</v>
      </c>
      <c r="D1102" s="196" t="s">
        <v>19</v>
      </c>
      <c r="E1102" s="202" t="s">
        <v>6</v>
      </c>
      <c r="F1102" s="520">
        <v>1.6000000000000001E-3</v>
      </c>
      <c r="G1102" s="205">
        <f>VLOOKUP(D1102,upahbahan,3,FALSE)</f>
        <v>160000</v>
      </c>
      <c r="H1102" s="210">
        <f t="shared" si="73"/>
        <v>256</v>
      </c>
      <c r="L1102" s="200"/>
      <c r="M1102" s="200"/>
      <c r="N1102" s="200"/>
      <c r="O1102" s="200"/>
      <c r="P1102" s="200"/>
    </row>
    <row r="1103" spans="3:20" s="517" customFormat="1" ht="31.2" customHeight="1">
      <c r="C1103" s="207" t="s">
        <v>1208</v>
      </c>
      <c r="D1103" s="208"/>
      <c r="E1103" s="208"/>
      <c r="F1103" s="521"/>
      <c r="G1103" s="522"/>
      <c r="H1103" s="210">
        <f>SUM(H1100:H1102)</f>
        <v>3897.875</v>
      </c>
      <c r="L1103" s="523"/>
      <c r="M1103" s="523"/>
      <c r="N1103" s="523"/>
      <c r="O1103" s="523"/>
      <c r="P1103" s="523"/>
    </row>
    <row r="1104" spans="3:20" s="517" customFormat="1" ht="31.2" customHeight="1">
      <c r="C1104" s="543" t="s">
        <v>1209</v>
      </c>
      <c r="D1104" s="750" t="s">
        <v>1210</v>
      </c>
      <c r="E1104" s="197"/>
      <c r="F1104" s="751"/>
      <c r="G1104" s="197"/>
      <c r="H1104" s="752"/>
      <c r="L1104" s="200"/>
      <c r="M1104" s="200"/>
      <c r="N1104" s="200"/>
      <c r="O1104" s="200"/>
      <c r="P1104" s="200"/>
    </row>
    <row r="1105" spans="3:16" s="517" customFormat="1" ht="31.2" customHeight="1">
      <c r="C1105" s="543">
        <v>1</v>
      </c>
      <c r="D1105" s="750" t="s">
        <v>6986</v>
      </c>
      <c r="E1105" s="203" t="s">
        <v>44</v>
      </c>
      <c r="F1105" s="753">
        <v>1.05</v>
      </c>
      <c r="G1105" s="205">
        <f>VLOOKUP(D1105,upahbahan,3,FALSE)</f>
        <v>0</v>
      </c>
      <c r="H1105" s="210">
        <f t="shared" ref="H1105:H1113" si="74">F1105*G1105</f>
        <v>0</v>
      </c>
      <c r="L1105" s="200"/>
      <c r="M1105" s="200"/>
      <c r="N1105" s="200"/>
      <c r="O1105" s="200"/>
      <c r="P1105" s="200"/>
    </row>
    <row r="1106" spans="3:16" s="517" customFormat="1" ht="31.2" customHeight="1">
      <c r="C1106" s="543">
        <v>2</v>
      </c>
      <c r="D1106" s="750" t="s">
        <v>5563</v>
      </c>
      <c r="E1106" s="203" t="s">
        <v>65</v>
      </c>
      <c r="F1106" s="753">
        <v>5.0000000000000001E-3</v>
      </c>
      <c r="G1106" s="205">
        <f>VLOOKUP(D1106,upahbahan,3,FALSE)</f>
        <v>0</v>
      </c>
      <c r="H1106" s="210">
        <f t="shared" si="74"/>
        <v>0</v>
      </c>
      <c r="L1106" s="200"/>
      <c r="M1106" s="200"/>
      <c r="N1106" s="200"/>
      <c r="O1106" s="200"/>
      <c r="P1106" s="200"/>
    </row>
    <row r="1107" spans="3:16" s="517" customFormat="1" ht="31.2" customHeight="1">
      <c r="C1107" s="543">
        <v>3</v>
      </c>
      <c r="D1107" s="750" t="s">
        <v>5555</v>
      </c>
      <c r="E1107" s="203"/>
      <c r="F1107" s="753"/>
      <c r="G1107" s="197"/>
      <c r="H1107" s="210">
        <f t="shared" si="74"/>
        <v>0</v>
      </c>
      <c r="L1107" s="200"/>
      <c r="M1107" s="200"/>
      <c r="N1107" s="200"/>
      <c r="O1107" s="200"/>
      <c r="P1107" s="200"/>
    </row>
    <row r="1108" spans="3:16" s="517" customFormat="1" ht="31.2" customHeight="1">
      <c r="C1108" s="754" t="s">
        <v>5293</v>
      </c>
      <c r="D1108" s="750" t="s">
        <v>6957</v>
      </c>
      <c r="E1108" s="203" t="s">
        <v>1300</v>
      </c>
      <c r="F1108" s="760">
        <v>6</v>
      </c>
      <c r="G1108" s="205">
        <f>VLOOKUP(D1108,upahbahan,3,FALSE)</f>
        <v>0</v>
      </c>
      <c r="H1108" s="210">
        <f t="shared" si="74"/>
        <v>0</v>
      </c>
      <c r="L1108" s="200"/>
      <c r="M1108" s="200"/>
      <c r="N1108" s="200"/>
      <c r="O1108" s="200"/>
      <c r="P1108" s="200"/>
    </row>
    <row r="1109" spans="3:16" s="517" customFormat="1" ht="31.2" customHeight="1">
      <c r="C1109" s="754" t="s">
        <v>5299</v>
      </c>
      <c r="D1109" s="750" t="s">
        <v>5560</v>
      </c>
      <c r="E1109" s="203" t="s">
        <v>113</v>
      </c>
      <c r="F1109" s="760">
        <v>10</v>
      </c>
      <c r="G1109" s="205">
        <f>VLOOKUP(D1109,upahbahan,3,FALSE)</f>
        <v>0</v>
      </c>
      <c r="H1109" s="210">
        <f t="shared" si="74"/>
        <v>0</v>
      </c>
      <c r="L1109" s="200"/>
      <c r="M1109" s="200"/>
      <c r="N1109" s="200"/>
      <c r="O1109" s="200"/>
      <c r="P1109" s="200"/>
    </row>
    <row r="1110" spans="3:16" s="517" customFormat="1" ht="31.2" customHeight="1">
      <c r="C1110" s="543">
        <v>4</v>
      </c>
      <c r="D1110" s="750" t="s">
        <v>5556</v>
      </c>
      <c r="E1110" s="203"/>
      <c r="F1110" s="753"/>
      <c r="G1110" s="197"/>
      <c r="H1110" s="210">
        <f t="shared" si="74"/>
        <v>0</v>
      </c>
      <c r="L1110" s="200"/>
      <c r="M1110" s="200"/>
      <c r="N1110" s="200"/>
      <c r="O1110" s="200"/>
      <c r="P1110" s="200"/>
    </row>
    <row r="1111" spans="3:16" s="517" customFormat="1" ht="31.2" customHeight="1">
      <c r="C1111" s="754" t="s">
        <v>5293</v>
      </c>
      <c r="D1111" s="750" t="s">
        <v>2084</v>
      </c>
      <c r="E1111" s="203" t="s">
        <v>42</v>
      </c>
      <c r="F1111" s="753">
        <v>1.46E-2</v>
      </c>
      <c r="G1111" s="205">
        <f>VLOOKUP(D1111,upahbahan,3,FALSE)</f>
        <v>0</v>
      </c>
      <c r="H1111" s="210">
        <f t="shared" si="74"/>
        <v>0</v>
      </c>
      <c r="L1111" s="200"/>
      <c r="M1111" s="200"/>
      <c r="N1111" s="200"/>
      <c r="O1111" s="200"/>
      <c r="P1111" s="200"/>
    </row>
    <row r="1112" spans="3:16" s="517" customFormat="1" ht="31.2" customHeight="1">
      <c r="C1112" s="754" t="s">
        <v>5299</v>
      </c>
      <c r="D1112" s="750" t="s">
        <v>5557</v>
      </c>
      <c r="E1112" s="203" t="s">
        <v>42</v>
      </c>
      <c r="F1112" s="753">
        <v>3.8999999999999998E-3</v>
      </c>
      <c r="G1112" s="205">
        <f>VLOOKUP(D1112,upahbahan,3,FALSE)</f>
        <v>0</v>
      </c>
      <c r="H1112" s="210">
        <f t="shared" si="74"/>
        <v>0</v>
      </c>
      <c r="L1112" s="200"/>
      <c r="M1112" s="200"/>
      <c r="N1112" s="200"/>
      <c r="O1112" s="200"/>
      <c r="P1112" s="200"/>
    </row>
    <row r="1113" spans="3:16" s="517" customFormat="1" ht="31.2" customHeight="1">
      <c r="C1113" s="754" t="s">
        <v>5558</v>
      </c>
      <c r="D1113" s="750" t="s">
        <v>6958</v>
      </c>
      <c r="E1113" s="203" t="s">
        <v>42</v>
      </c>
      <c r="F1113" s="755">
        <v>1E-3</v>
      </c>
      <c r="G1113" s="205">
        <f>VLOOKUP(D1113,upahbahan,3,FALSE)</f>
        <v>0</v>
      </c>
      <c r="H1113" s="210">
        <f t="shared" si="74"/>
        <v>0</v>
      </c>
      <c r="L1113" s="200"/>
      <c r="M1113" s="200"/>
      <c r="N1113" s="200"/>
      <c r="O1113" s="200"/>
      <c r="P1113" s="200"/>
    </row>
    <row r="1114" spans="3:16" s="517" customFormat="1" ht="31.2" customHeight="1">
      <c r="C1114" s="207" t="s">
        <v>1214</v>
      </c>
      <c r="D1114" s="208"/>
      <c r="E1114" s="568"/>
      <c r="F1114" s="208"/>
      <c r="G1114" s="209"/>
      <c r="H1114" s="210">
        <f>SUM(H1105:H1113)</f>
        <v>0</v>
      </c>
      <c r="L1114" s="200"/>
      <c r="M1114" s="200"/>
      <c r="N1114" s="200"/>
      <c r="O1114" s="200"/>
      <c r="P1114" s="200"/>
    </row>
    <row r="1115" spans="3:16" s="517" customFormat="1" ht="31.2" customHeight="1">
      <c r="C1115" s="756" t="s">
        <v>1215</v>
      </c>
      <c r="D1115" s="196" t="s">
        <v>1216</v>
      </c>
      <c r="E1115" s="203"/>
      <c r="F1115" s="197"/>
      <c r="G1115" s="197"/>
      <c r="H1115" s="198"/>
      <c r="L1115" s="200"/>
      <c r="M1115" s="200"/>
      <c r="N1115" s="200"/>
      <c r="O1115" s="200"/>
      <c r="P1115" s="200"/>
    </row>
    <row r="1116" spans="3:16" s="517" customFormat="1" ht="31.2" customHeight="1">
      <c r="C1116" s="207" t="s">
        <v>1217</v>
      </c>
      <c r="D1116" s="208"/>
      <c r="E1116" s="208"/>
      <c r="F1116" s="208"/>
      <c r="G1116" s="209"/>
      <c r="H1116" s="240">
        <f>SUM(H1115)</f>
        <v>0</v>
      </c>
      <c r="L1116" s="200"/>
      <c r="M1116" s="200"/>
      <c r="N1116" s="200"/>
      <c r="O1116" s="200"/>
      <c r="P1116" s="200"/>
    </row>
    <row r="1117" spans="3:16" s="517" customFormat="1" ht="31.2" customHeight="1">
      <c r="C1117" s="223" t="s">
        <v>1218</v>
      </c>
      <c r="D1117" s="224" t="s">
        <v>1219</v>
      </c>
      <c r="E1117" s="225"/>
      <c r="F1117" s="225"/>
      <c r="G1117" s="226"/>
      <c r="H1117" s="210">
        <f>H1116+H1114+H1103</f>
        <v>3897.875</v>
      </c>
      <c r="L1117" s="200"/>
      <c r="M1117" s="200"/>
      <c r="N1117" s="200"/>
      <c r="O1117" s="200"/>
      <c r="P1117" s="200"/>
    </row>
    <row r="1118" spans="3:16" s="517" customFormat="1" ht="31.2" customHeight="1">
      <c r="C1118" s="223" t="s">
        <v>1220</v>
      </c>
      <c r="D1118" s="224" t="s">
        <v>1321</v>
      </c>
      <c r="E1118" s="225"/>
      <c r="F1118" s="226"/>
      <c r="G1118" s="228">
        <v>0.1</v>
      </c>
      <c r="H1118" s="210">
        <f>H1117*G1118</f>
        <v>389.78750000000002</v>
      </c>
      <c r="L1118" s="200"/>
      <c r="M1118" s="200"/>
      <c r="N1118" s="200"/>
      <c r="O1118" s="200"/>
      <c r="P1118" s="200"/>
    </row>
    <row r="1119" spans="3:16" s="517" customFormat="1" ht="31.2" customHeight="1" thickBot="1">
      <c r="C1119" s="229" t="s">
        <v>1221</v>
      </c>
      <c r="D1119" s="230" t="s">
        <v>1222</v>
      </c>
      <c r="E1119" s="231"/>
      <c r="F1119" s="231"/>
      <c r="G1119" s="232"/>
      <c r="H1119" s="233">
        <f>SUM(H1117:H1118)</f>
        <v>4287.6625000000004</v>
      </c>
      <c r="L1119" s="200"/>
      <c r="M1119" s="200"/>
      <c r="N1119" s="200"/>
      <c r="O1119" s="200"/>
      <c r="P1119" s="200"/>
    </row>
    <row r="1120" spans="3:16" s="517" customFormat="1" ht="31.2" customHeight="1" thickTop="1">
      <c r="C1120" s="757"/>
      <c r="D1120" s="758" t="s">
        <v>6949</v>
      </c>
      <c r="E1120" s="758"/>
      <c r="F1120" s="758"/>
      <c r="G1120" s="758"/>
      <c r="H1120" s="759"/>
      <c r="L1120" s="200"/>
      <c r="M1120" s="200"/>
      <c r="N1120" s="200"/>
      <c r="O1120" s="200"/>
      <c r="P1120" s="200"/>
    </row>
    <row r="1121" spans="3:20" s="517" customFormat="1" ht="31.2" customHeight="1">
      <c r="C1121" s="757" t="s">
        <v>6950</v>
      </c>
      <c r="D1121" s="758"/>
      <c r="E1121" s="758"/>
      <c r="F1121" s="758"/>
      <c r="G1121" s="758" t="s">
        <v>6959</v>
      </c>
      <c r="H1121" s="759"/>
      <c r="L1121" s="200"/>
      <c r="M1121" s="200"/>
      <c r="N1121" s="200"/>
      <c r="O1121" s="200"/>
      <c r="P1121" s="200"/>
    </row>
    <row r="1122" spans="3:20" s="517" customFormat="1" ht="31.2" customHeight="1">
      <c r="C1122" s="200" t="s">
        <v>6951</v>
      </c>
      <c r="D1122" s="758"/>
      <c r="E1122" s="758"/>
      <c r="F1122" s="758"/>
      <c r="G1122" s="758"/>
      <c r="H1122" s="759"/>
      <c r="L1122" s="200"/>
      <c r="M1122" s="200"/>
      <c r="N1122" s="200"/>
      <c r="O1122" s="200"/>
      <c r="P1122" s="200"/>
    </row>
    <row r="1123" spans="3:20" ht="31.2" customHeight="1">
      <c r="C1123" s="200" t="s">
        <v>6952</v>
      </c>
    </row>
    <row r="1124" spans="3:20" ht="31.2" customHeight="1">
      <c r="C1124" s="200"/>
    </row>
    <row r="1125" spans="3:20" s="517" customFormat="1" ht="31.2" customHeight="1" thickBot="1">
      <c r="C1125" s="513" t="s">
        <v>6987</v>
      </c>
      <c r="D1125" s="748" t="s">
        <v>6988</v>
      </c>
      <c r="E1125" s="749"/>
      <c r="F1125" s="748"/>
      <c r="G1125" s="748"/>
      <c r="H1125" s="532"/>
      <c r="I1125" s="532"/>
      <c r="J1125" s="532"/>
      <c r="K1125" s="532"/>
      <c r="L1125" s="189">
        <f>ROUNDDOWN(H1147,-2)</f>
        <v>4200</v>
      </c>
      <c r="M1125" s="189"/>
      <c r="N1125" s="189"/>
      <c r="O1125" s="189"/>
      <c r="P1125" s="189"/>
      <c r="R1125" s="189">
        <f>ROUNDDOWN(H1147,-2)</f>
        <v>4200</v>
      </c>
      <c r="S1125" s="517" t="s">
        <v>6451</v>
      </c>
      <c r="T1125" s="517" t="s">
        <v>6963</v>
      </c>
    </row>
    <row r="1126" spans="3:20" s="517" customFormat="1" ht="31.2" customHeight="1" thickTop="1">
      <c r="C1126" s="190" t="s">
        <v>1195</v>
      </c>
      <c r="D1126" s="191" t="s">
        <v>1196</v>
      </c>
      <c r="E1126" s="191" t="s">
        <v>1197</v>
      </c>
      <c r="F1126" s="191" t="s">
        <v>1198</v>
      </c>
      <c r="G1126" s="191" t="s">
        <v>1199</v>
      </c>
      <c r="H1126" s="192" t="s">
        <v>1200</v>
      </c>
      <c r="L1126" s="200"/>
      <c r="M1126" s="200"/>
      <c r="N1126" s="200"/>
      <c r="O1126" s="200"/>
      <c r="P1126" s="200"/>
    </row>
    <row r="1127" spans="3:20" s="517" customFormat="1" ht="31.2" customHeight="1">
      <c r="C1127" s="518" t="s">
        <v>1201</v>
      </c>
      <c r="D1127" s="196" t="s">
        <v>1202</v>
      </c>
      <c r="E1127" s="197"/>
      <c r="F1127" s="197"/>
      <c r="G1127" s="197"/>
      <c r="H1127" s="198"/>
      <c r="L1127" s="200"/>
      <c r="M1127" s="200"/>
      <c r="N1127" s="200"/>
      <c r="O1127" s="200"/>
      <c r="P1127" s="200"/>
    </row>
    <row r="1128" spans="3:20" s="517" customFormat="1" ht="31.2" customHeight="1">
      <c r="C1128" s="537">
        <v>1</v>
      </c>
      <c r="D1128" s="196" t="s">
        <v>6954</v>
      </c>
      <c r="E1128" s="202" t="s">
        <v>6</v>
      </c>
      <c r="F1128" s="520">
        <v>1.43E-2</v>
      </c>
      <c r="G1128" s="205">
        <f>VLOOKUP(D1128,upahbahan,3,FALSE)</f>
        <v>181250</v>
      </c>
      <c r="H1128" s="210">
        <f t="shared" ref="H1128:H1130" si="75">F1128*G1128</f>
        <v>2591.875</v>
      </c>
      <c r="L1128" s="200"/>
      <c r="M1128" s="200"/>
      <c r="N1128" s="200"/>
      <c r="O1128" s="200"/>
      <c r="P1128" s="200"/>
    </row>
    <row r="1129" spans="3:20" s="517" customFormat="1" ht="31.2" customHeight="1">
      <c r="C1129" s="537">
        <v>2</v>
      </c>
      <c r="D1129" s="196" t="s">
        <v>6948</v>
      </c>
      <c r="E1129" s="202" t="s">
        <v>6</v>
      </c>
      <c r="F1129" s="520">
        <v>4.7999999999999996E-3</v>
      </c>
      <c r="G1129" s="205">
        <f>VLOOKUP(D1129,upahbahan,3,FALSE)</f>
        <v>218750</v>
      </c>
      <c r="H1129" s="210">
        <f t="shared" si="75"/>
        <v>1050</v>
      </c>
      <c r="L1129" s="200"/>
      <c r="M1129" s="200"/>
      <c r="N1129" s="200"/>
      <c r="O1129" s="200"/>
      <c r="P1129" s="200"/>
    </row>
    <row r="1130" spans="3:20" s="517" customFormat="1" ht="31.2" customHeight="1">
      <c r="C1130" s="537">
        <v>3</v>
      </c>
      <c r="D1130" s="196" t="s">
        <v>19</v>
      </c>
      <c r="E1130" s="202" t="s">
        <v>6</v>
      </c>
      <c r="F1130" s="520">
        <v>1.6000000000000001E-3</v>
      </c>
      <c r="G1130" s="205">
        <f>VLOOKUP(D1130,upahbahan,3,FALSE)</f>
        <v>160000</v>
      </c>
      <c r="H1130" s="210">
        <f t="shared" si="75"/>
        <v>256</v>
      </c>
      <c r="L1130" s="200"/>
      <c r="M1130" s="200"/>
      <c r="N1130" s="200"/>
      <c r="O1130" s="200"/>
      <c r="P1130" s="200"/>
    </row>
    <row r="1131" spans="3:20" s="517" customFormat="1" ht="31.2" customHeight="1">
      <c r="C1131" s="207" t="s">
        <v>1208</v>
      </c>
      <c r="D1131" s="208"/>
      <c r="E1131" s="208"/>
      <c r="F1131" s="521"/>
      <c r="G1131" s="522"/>
      <c r="H1131" s="210">
        <f>SUM(H1128:H1130)</f>
        <v>3897.875</v>
      </c>
      <c r="L1131" s="523"/>
      <c r="M1131" s="523"/>
      <c r="N1131" s="523"/>
      <c r="O1131" s="523"/>
      <c r="P1131" s="523"/>
    </row>
    <row r="1132" spans="3:20" s="517" customFormat="1" ht="31.2" customHeight="1">
      <c r="C1132" s="543" t="s">
        <v>1209</v>
      </c>
      <c r="D1132" s="750" t="s">
        <v>1210</v>
      </c>
      <c r="E1132" s="197"/>
      <c r="F1132" s="751"/>
      <c r="G1132" s="197"/>
      <c r="H1132" s="752"/>
      <c r="L1132" s="200"/>
      <c r="M1132" s="200"/>
      <c r="N1132" s="200"/>
      <c r="O1132" s="200"/>
      <c r="P1132" s="200"/>
    </row>
    <row r="1133" spans="3:20" s="517" customFormat="1" ht="31.2" customHeight="1">
      <c r="C1133" s="543">
        <v>1</v>
      </c>
      <c r="D1133" s="750" t="s">
        <v>6989</v>
      </c>
      <c r="E1133" s="203" t="s">
        <v>44</v>
      </c>
      <c r="F1133" s="753">
        <v>1.05</v>
      </c>
      <c r="G1133" s="205">
        <f>VLOOKUP(D1133,upahbahan,3,FALSE)</f>
        <v>0</v>
      </c>
      <c r="H1133" s="210">
        <f t="shared" ref="H1133:H1141" si="76">F1133*G1133</f>
        <v>0</v>
      </c>
      <c r="L1133" s="200"/>
      <c r="M1133" s="200"/>
      <c r="N1133" s="200"/>
      <c r="O1133" s="200"/>
      <c r="P1133" s="200"/>
    </row>
    <row r="1134" spans="3:20" s="517" customFormat="1" ht="31.2" customHeight="1">
      <c r="C1134" s="543">
        <v>2</v>
      </c>
      <c r="D1134" s="750" t="s">
        <v>5563</v>
      </c>
      <c r="E1134" s="203" t="s">
        <v>65</v>
      </c>
      <c r="F1134" s="753">
        <v>5.0000000000000001E-3</v>
      </c>
      <c r="G1134" s="205">
        <f>VLOOKUP(D1134,upahbahan,3,FALSE)</f>
        <v>0</v>
      </c>
      <c r="H1134" s="210">
        <f t="shared" si="76"/>
        <v>0</v>
      </c>
      <c r="L1134" s="200"/>
      <c r="M1134" s="200"/>
      <c r="N1134" s="200"/>
      <c r="O1134" s="200"/>
      <c r="P1134" s="200"/>
    </row>
    <row r="1135" spans="3:20" s="517" customFormat="1" ht="31.2" customHeight="1">
      <c r="C1135" s="543">
        <v>3</v>
      </c>
      <c r="D1135" s="750" t="s">
        <v>5555</v>
      </c>
      <c r="E1135" s="203"/>
      <c r="F1135" s="753"/>
      <c r="G1135" s="197"/>
      <c r="H1135" s="210">
        <f t="shared" si="76"/>
        <v>0</v>
      </c>
      <c r="L1135" s="200"/>
      <c r="M1135" s="200"/>
      <c r="N1135" s="200"/>
      <c r="O1135" s="200"/>
      <c r="P1135" s="200"/>
    </row>
    <row r="1136" spans="3:20" s="517" customFormat="1" ht="31.2" customHeight="1">
      <c r="C1136" s="754" t="s">
        <v>5293</v>
      </c>
      <c r="D1136" s="750" t="s">
        <v>6957</v>
      </c>
      <c r="E1136" s="203" t="s">
        <v>1300</v>
      </c>
      <c r="F1136" s="760">
        <v>6</v>
      </c>
      <c r="G1136" s="205">
        <f>VLOOKUP(D1136,upahbahan,3,FALSE)</f>
        <v>0</v>
      </c>
      <c r="H1136" s="210">
        <f t="shared" si="76"/>
        <v>0</v>
      </c>
      <c r="L1136" s="200"/>
      <c r="M1136" s="200"/>
      <c r="N1136" s="200"/>
      <c r="O1136" s="200"/>
      <c r="P1136" s="200"/>
    </row>
    <row r="1137" spans="3:16" s="517" customFormat="1" ht="31.2" customHeight="1">
      <c r="C1137" s="754" t="s">
        <v>5299</v>
      </c>
      <c r="D1137" s="750" t="s">
        <v>5560</v>
      </c>
      <c r="E1137" s="203" t="s">
        <v>113</v>
      </c>
      <c r="F1137" s="760">
        <v>10</v>
      </c>
      <c r="G1137" s="205">
        <f>VLOOKUP(D1137,upahbahan,3,FALSE)</f>
        <v>0</v>
      </c>
      <c r="H1137" s="210">
        <f t="shared" si="76"/>
        <v>0</v>
      </c>
      <c r="L1137" s="200"/>
      <c r="M1137" s="200"/>
      <c r="N1137" s="200"/>
      <c r="O1137" s="200"/>
      <c r="P1137" s="200"/>
    </row>
    <row r="1138" spans="3:16" s="517" customFormat="1" ht="31.2" customHeight="1">
      <c r="C1138" s="543">
        <v>4</v>
      </c>
      <c r="D1138" s="750" t="s">
        <v>5556</v>
      </c>
      <c r="E1138" s="203"/>
      <c r="F1138" s="753"/>
      <c r="G1138" s="197"/>
      <c r="H1138" s="210">
        <f t="shared" si="76"/>
        <v>0</v>
      </c>
      <c r="L1138" s="200"/>
      <c r="M1138" s="200"/>
      <c r="N1138" s="200"/>
      <c r="O1138" s="200"/>
      <c r="P1138" s="200"/>
    </row>
    <row r="1139" spans="3:16" s="517" customFormat="1" ht="31.2" customHeight="1">
      <c r="C1139" s="754" t="s">
        <v>5293</v>
      </c>
      <c r="D1139" s="750" t="s">
        <v>2084</v>
      </c>
      <c r="E1139" s="203" t="s">
        <v>42</v>
      </c>
      <c r="F1139" s="753">
        <v>1.46E-2</v>
      </c>
      <c r="G1139" s="205">
        <f>VLOOKUP(D1139,upahbahan,3,FALSE)</f>
        <v>0</v>
      </c>
      <c r="H1139" s="210">
        <f t="shared" si="76"/>
        <v>0</v>
      </c>
      <c r="L1139" s="200"/>
      <c r="M1139" s="200"/>
      <c r="N1139" s="200"/>
      <c r="O1139" s="200"/>
      <c r="P1139" s="200"/>
    </row>
    <row r="1140" spans="3:16" s="517" customFormat="1" ht="31.2" customHeight="1">
      <c r="C1140" s="754" t="s">
        <v>5299</v>
      </c>
      <c r="D1140" s="750" t="s">
        <v>5557</v>
      </c>
      <c r="E1140" s="203" t="s">
        <v>42</v>
      </c>
      <c r="F1140" s="753">
        <v>3.8999999999999998E-3</v>
      </c>
      <c r="G1140" s="205">
        <f>VLOOKUP(D1140,upahbahan,3,FALSE)</f>
        <v>0</v>
      </c>
      <c r="H1140" s="210">
        <f t="shared" si="76"/>
        <v>0</v>
      </c>
      <c r="L1140" s="200"/>
      <c r="M1140" s="200"/>
      <c r="N1140" s="200"/>
      <c r="O1140" s="200"/>
      <c r="P1140" s="200"/>
    </row>
    <row r="1141" spans="3:16" s="517" customFormat="1" ht="31.2" customHeight="1">
      <c r="C1141" s="754" t="s">
        <v>5558</v>
      </c>
      <c r="D1141" s="750" t="s">
        <v>6958</v>
      </c>
      <c r="E1141" s="203" t="s">
        <v>42</v>
      </c>
      <c r="F1141" s="755">
        <v>1E-3</v>
      </c>
      <c r="G1141" s="205">
        <f>VLOOKUP(D1141,upahbahan,3,FALSE)</f>
        <v>0</v>
      </c>
      <c r="H1141" s="210">
        <f t="shared" si="76"/>
        <v>0</v>
      </c>
      <c r="L1141" s="200"/>
      <c r="M1141" s="200"/>
      <c r="N1141" s="200"/>
      <c r="O1141" s="200"/>
      <c r="P1141" s="200"/>
    </row>
    <row r="1142" spans="3:16" s="517" customFormat="1" ht="31.2" customHeight="1">
      <c r="C1142" s="207" t="s">
        <v>1214</v>
      </c>
      <c r="D1142" s="208"/>
      <c r="E1142" s="568"/>
      <c r="F1142" s="208"/>
      <c r="G1142" s="209"/>
      <c r="H1142" s="210">
        <f>SUM(H1133:H1141)</f>
        <v>0</v>
      </c>
      <c r="L1142" s="200"/>
      <c r="M1142" s="200"/>
      <c r="N1142" s="200"/>
      <c r="O1142" s="200"/>
      <c r="P1142" s="200"/>
    </row>
    <row r="1143" spans="3:16" s="517" customFormat="1" ht="31.2" customHeight="1">
      <c r="C1143" s="756" t="s">
        <v>1215</v>
      </c>
      <c r="D1143" s="196" t="s">
        <v>1216</v>
      </c>
      <c r="E1143" s="203"/>
      <c r="F1143" s="197"/>
      <c r="G1143" s="197"/>
      <c r="H1143" s="198"/>
      <c r="L1143" s="200"/>
      <c r="M1143" s="200"/>
      <c r="N1143" s="200"/>
      <c r="O1143" s="200"/>
      <c r="P1143" s="200"/>
    </row>
    <row r="1144" spans="3:16" s="517" customFormat="1" ht="31.2" customHeight="1">
      <c r="C1144" s="207" t="s">
        <v>1217</v>
      </c>
      <c r="D1144" s="208"/>
      <c r="E1144" s="208"/>
      <c r="F1144" s="208"/>
      <c r="G1144" s="209"/>
      <c r="H1144" s="240">
        <f>SUM(H1143)</f>
        <v>0</v>
      </c>
      <c r="L1144" s="200"/>
      <c r="M1144" s="200"/>
      <c r="N1144" s="200"/>
      <c r="O1144" s="200"/>
      <c r="P1144" s="200"/>
    </row>
    <row r="1145" spans="3:16" s="517" customFormat="1" ht="31.2" customHeight="1">
      <c r="C1145" s="223" t="s">
        <v>1218</v>
      </c>
      <c r="D1145" s="224" t="s">
        <v>1219</v>
      </c>
      <c r="E1145" s="225"/>
      <c r="F1145" s="225"/>
      <c r="G1145" s="226"/>
      <c r="H1145" s="210">
        <f>H1144+H1142+H1131</f>
        <v>3897.875</v>
      </c>
      <c r="L1145" s="200"/>
      <c r="M1145" s="200"/>
      <c r="N1145" s="200"/>
      <c r="O1145" s="200"/>
      <c r="P1145" s="200"/>
    </row>
    <row r="1146" spans="3:16" s="517" customFormat="1" ht="31.2" customHeight="1">
      <c r="C1146" s="223" t="s">
        <v>1220</v>
      </c>
      <c r="D1146" s="224" t="s">
        <v>1321</v>
      </c>
      <c r="E1146" s="225"/>
      <c r="F1146" s="226"/>
      <c r="G1146" s="228">
        <v>0.1</v>
      </c>
      <c r="H1146" s="210">
        <f>H1145*G1146</f>
        <v>389.78750000000002</v>
      </c>
      <c r="L1146" s="200"/>
      <c r="M1146" s="200"/>
      <c r="N1146" s="200"/>
      <c r="O1146" s="200"/>
      <c r="P1146" s="200"/>
    </row>
    <row r="1147" spans="3:16" s="517" customFormat="1" ht="31.2" customHeight="1" thickBot="1">
      <c r="C1147" s="229" t="s">
        <v>1221</v>
      </c>
      <c r="D1147" s="230" t="s">
        <v>1222</v>
      </c>
      <c r="E1147" s="231"/>
      <c r="F1147" s="231"/>
      <c r="G1147" s="232"/>
      <c r="H1147" s="233">
        <f>SUM(H1145:H1146)</f>
        <v>4287.6625000000004</v>
      </c>
      <c r="L1147" s="200"/>
      <c r="M1147" s="200"/>
      <c r="N1147" s="200"/>
      <c r="O1147" s="200"/>
      <c r="P1147" s="200"/>
    </row>
    <row r="1148" spans="3:16" s="517" customFormat="1" ht="31.2" customHeight="1" thickTop="1">
      <c r="C1148" s="757"/>
      <c r="D1148" s="758" t="s">
        <v>6949</v>
      </c>
      <c r="E1148" s="758"/>
      <c r="F1148" s="758"/>
      <c r="G1148" s="758"/>
      <c r="H1148" s="759"/>
      <c r="L1148" s="200"/>
      <c r="M1148" s="200"/>
      <c r="N1148" s="200"/>
      <c r="O1148" s="200"/>
      <c r="P1148" s="200"/>
    </row>
    <row r="1149" spans="3:16" s="517" customFormat="1" ht="31.2" customHeight="1">
      <c r="C1149" s="757" t="s">
        <v>6950</v>
      </c>
      <c r="D1149" s="758"/>
      <c r="E1149" s="758"/>
      <c r="F1149" s="758"/>
      <c r="G1149" s="758" t="s">
        <v>6959</v>
      </c>
      <c r="H1149" s="759"/>
      <c r="L1149" s="200"/>
      <c r="M1149" s="200"/>
      <c r="N1149" s="200"/>
      <c r="O1149" s="200"/>
      <c r="P1149" s="200"/>
    </row>
    <row r="1150" spans="3:16" s="517" customFormat="1" ht="31.2" customHeight="1">
      <c r="C1150" s="200" t="s">
        <v>6951</v>
      </c>
      <c r="D1150" s="758"/>
      <c r="E1150" s="758"/>
      <c r="F1150" s="758"/>
      <c r="G1150" s="758"/>
      <c r="H1150" s="759"/>
      <c r="L1150" s="200"/>
      <c r="M1150" s="200"/>
      <c r="N1150" s="200"/>
      <c r="O1150" s="200"/>
      <c r="P1150" s="200"/>
    </row>
    <row r="1151" spans="3:16" ht="31.2" customHeight="1">
      <c r="C1151" s="200" t="s">
        <v>6952</v>
      </c>
    </row>
    <row r="1152" spans="3:16" ht="31.2" customHeight="1">
      <c r="C1152" s="200"/>
    </row>
    <row r="1153" spans="3:20" s="517" customFormat="1" ht="31.2" customHeight="1" thickBot="1">
      <c r="C1153" s="513" t="s">
        <v>6990</v>
      </c>
      <c r="D1153" s="748" t="s">
        <v>6991</v>
      </c>
      <c r="E1153" s="749"/>
      <c r="F1153" s="748"/>
      <c r="G1153" s="748"/>
      <c r="H1153" s="532"/>
      <c r="I1153" s="532"/>
      <c r="J1153" s="532"/>
      <c r="K1153" s="532"/>
      <c r="L1153" s="189">
        <f>ROUNDDOWN(H1175,-2)</f>
        <v>4200</v>
      </c>
      <c r="M1153" s="189"/>
      <c r="N1153" s="189"/>
      <c r="O1153" s="189"/>
      <c r="P1153" s="189"/>
      <c r="R1153" s="189">
        <f>ROUNDDOWN(H1175,-2)</f>
        <v>4200</v>
      </c>
      <c r="S1153" s="517" t="s">
        <v>6451</v>
      </c>
      <c r="T1153" s="517" t="s">
        <v>6963</v>
      </c>
    </row>
    <row r="1154" spans="3:20" s="517" customFormat="1" ht="31.2" customHeight="1" thickTop="1">
      <c r="C1154" s="190" t="s">
        <v>1195</v>
      </c>
      <c r="D1154" s="191" t="s">
        <v>1196</v>
      </c>
      <c r="E1154" s="191" t="s">
        <v>1197</v>
      </c>
      <c r="F1154" s="191" t="s">
        <v>1198</v>
      </c>
      <c r="G1154" s="191" t="s">
        <v>1199</v>
      </c>
      <c r="H1154" s="192" t="s">
        <v>1200</v>
      </c>
      <c r="L1154" s="200"/>
      <c r="M1154" s="200"/>
      <c r="N1154" s="200"/>
      <c r="O1154" s="200"/>
      <c r="P1154" s="200"/>
    </row>
    <row r="1155" spans="3:20" s="517" customFormat="1" ht="31.2" customHeight="1">
      <c r="C1155" s="518" t="s">
        <v>1201</v>
      </c>
      <c r="D1155" s="196" t="s">
        <v>1202</v>
      </c>
      <c r="E1155" s="197"/>
      <c r="F1155" s="197"/>
      <c r="G1155" s="197"/>
      <c r="H1155" s="198"/>
      <c r="L1155" s="200"/>
      <c r="M1155" s="200"/>
      <c r="N1155" s="200"/>
      <c r="O1155" s="200"/>
      <c r="P1155" s="200"/>
    </row>
    <row r="1156" spans="3:20" s="517" customFormat="1" ht="31.2" customHeight="1">
      <c r="C1156" s="537">
        <v>1</v>
      </c>
      <c r="D1156" s="196" t="s">
        <v>6954</v>
      </c>
      <c r="E1156" s="202" t="s">
        <v>6</v>
      </c>
      <c r="F1156" s="520">
        <v>1.43E-2</v>
      </c>
      <c r="G1156" s="205">
        <f>VLOOKUP(D1156,upahbahan,3,FALSE)</f>
        <v>181250</v>
      </c>
      <c r="H1156" s="210">
        <f t="shared" ref="H1156:H1158" si="77">F1156*G1156</f>
        <v>2591.875</v>
      </c>
      <c r="L1156" s="200"/>
      <c r="M1156" s="200"/>
      <c r="N1156" s="200"/>
      <c r="O1156" s="200"/>
      <c r="P1156" s="200"/>
    </row>
    <row r="1157" spans="3:20" s="517" customFormat="1" ht="31.2" customHeight="1">
      <c r="C1157" s="537">
        <v>2</v>
      </c>
      <c r="D1157" s="196" t="s">
        <v>6948</v>
      </c>
      <c r="E1157" s="202" t="s">
        <v>6</v>
      </c>
      <c r="F1157" s="520">
        <v>4.7999999999999996E-3</v>
      </c>
      <c r="G1157" s="205">
        <f>VLOOKUP(D1157,upahbahan,3,FALSE)</f>
        <v>218750</v>
      </c>
      <c r="H1157" s="210">
        <f t="shared" si="77"/>
        <v>1050</v>
      </c>
      <c r="L1157" s="200"/>
      <c r="M1157" s="200"/>
      <c r="N1157" s="200"/>
      <c r="O1157" s="200"/>
      <c r="P1157" s="200"/>
    </row>
    <row r="1158" spans="3:20" s="517" customFormat="1" ht="31.2" customHeight="1">
      <c r="C1158" s="537">
        <v>3</v>
      </c>
      <c r="D1158" s="196" t="s">
        <v>19</v>
      </c>
      <c r="E1158" s="202" t="s">
        <v>6</v>
      </c>
      <c r="F1158" s="520">
        <v>1.6000000000000001E-3</v>
      </c>
      <c r="G1158" s="205">
        <f>VLOOKUP(D1158,upahbahan,3,FALSE)</f>
        <v>160000</v>
      </c>
      <c r="H1158" s="210">
        <f t="shared" si="77"/>
        <v>256</v>
      </c>
      <c r="L1158" s="200"/>
      <c r="M1158" s="200"/>
      <c r="N1158" s="200"/>
      <c r="O1158" s="200"/>
      <c r="P1158" s="200"/>
    </row>
    <row r="1159" spans="3:20" s="517" customFormat="1" ht="31.2" customHeight="1">
      <c r="C1159" s="207" t="s">
        <v>1208</v>
      </c>
      <c r="D1159" s="208"/>
      <c r="E1159" s="208"/>
      <c r="F1159" s="521"/>
      <c r="G1159" s="522"/>
      <c r="H1159" s="210">
        <f>SUM(H1156:H1158)</f>
        <v>3897.875</v>
      </c>
      <c r="L1159" s="523"/>
      <c r="M1159" s="523"/>
      <c r="N1159" s="523"/>
      <c r="O1159" s="523"/>
      <c r="P1159" s="523"/>
    </row>
    <row r="1160" spans="3:20" s="517" customFormat="1" ht="31.2" customHeight="1">
      <c r="C1160" s="543" t="s">
        <v>1209</v>
      </c>
      <c r="D1160" s="750" t="s">
        <v>1210</v>
      </c>
      <c r="E1160" s="197"/>
      <c r="F1160" s="751"/>
      <c r="G1160" s="197"/>
      <c r="H1160" s="752"/>
      <c r="L1160" s="200"/>
      <c r="M1160" s="200"/>
      <c r="N1160" s="200"/>
      <c r="O1160" s="200"/>
      <c r="P1160" s="200"/>
    </row>
    <row r="1161" spans="3:20" s="517" customFormat="1" ht="31.2" customHeight="1">
      <c r="C1161" s="543">
        <v>1</v>
      </c>
      <c r="D1161" s="750" t="s">
        <v>6741</v>
      </c>
      <c r="E1161" s="203" t="s">
        <v>44</v>
      </c>
      <c r="F1161" s="753">
        <v>1.05</v>
      </c>
      <c r="G1161" s="205">
        <f>VLOOKUP(D1161,upahbahan,3,FALSE)</f>
        <v>0</v>
      </c>
      <c r="H1161" s="210">
        <f t="shared" ref="H1161:H1169" si="78">F1161*G1161</f>
        <v>0</v>
      </c>
      <c r="L1161" s="200"/>
      <c r="M1161" s="200"/>
      <c r="N1161" s="200"/>
      <c r="O1161" s="200"/>
      <c r="P1161" s="200"/>
    </row>
    <row r="1162" spans="3:20" s="517" customFormat="1" ht="31.2" customHeight="1">
      <c r="C1162" s="543">
        <v>2</v>
      </c>
      <c r="D1162" s="750" t="s">
        <v>5563</v>
      </c>
      <c r="E1162" s="203" t="s">
        <v>65</v>
      </c>
      <c r="F1162" s="753">
        <v>5.0000000000000001E-3</v>
      </c>
      <c r="G1162" s="205">
        <f>VLOOKUP(D1162,upahbahan,3,FALSE)</f>
        <v>0</v>
      </c>
      <c r="H1162" s="210">
        <f t="shared" si="78"/>
        <v>0</v>
      </c>
      <c r="L1162" s="200"/>
      <c r="M1162" s="200"/>
      <c r="N1162" s="200"/>
      <c r="O1162" s="200"/>
      <c r="P1162" s="200"/>
    </row>
    <row r="1163" spans="3:20" s="517" customFormat="1" ht="31.2" customHeight="1">
      <c r="C1163" s="543">
        <v>3</v>
      </c>
      <c r="D1163" s="750" t="s">
        <v>5555</v>
      </c>
      <c r="E1163" s="203"/>
      <c r="F1163" s="753"/>
      <c r="G1163" s="197"/>
      <c r="H1163" s="210">
        <f t="shared" si="78"/>
        <v>0</v>
      </c>
      <c r="L1163" s="200"/>
      <c r="M1163" s="200"/>
      <c r="N1163" s="200"/>
      <c r="O1163" s="200"/>
      <c r="P1163" s="200"/>
    </row>
    <row r="1164" spans="3:20" s="517" customFormat="1" ht="31.2" customHeight="1">
      <c r="C1164" s="754" t="s">
        <v>5293</v>
      </c>
      <c r="D1164" s="750" t="s">
        <v>6957</v>
      </c>
      <c r="E1164" s="203" t="s">
        <v>1300</v>
      </c>
      <c r="F1164" s="760">
        <v>6</v>
      </c>
      <c r="G1164" s="205">
        <f>VLOOKUP(D1164,upahbahan,3,FALSE)</f>
        <v>0</v>
      </c>
      <c r="H1164" s="210">
        <f t="shared" si="78"/>
        <v>0</v>
      </c>
      <c r="L1164" s="200"/>
      <c r="M1164" s="200"/>
      <c r="N1164" s="200"/>
      <c r="O1164" s="200"/>
      <c r="P1164" s="200"/>
    </row>
    <row r="1165" spans="3:20" s="517" customFormat="1" ht="31.2" customHeight="1">
      <c r="C1165" s="754" t="s">
        <v>5299</v>
      </c>
      <c r="D1165" s="750" t="s">
        <v>5560</v>
      </c>
      <c r="E1165" s="203" t="s">
        <v>113</v>
      </c>
      <c r="F1165" s="760">
        <v>10</v>
      </c>
      <c r="G1165" s="205">
        <f>VLOOKUP(D1165,upahbahan,3,FALSE)</f>
        <v>0</v>
      </c>
      <c r="H1165" s="210">
        <f t="shared" si="78"/>
        <v>0</v>
      </c>
      <c r="L1165" s="200"/>
      <c r="M1165" s="200"/>
      <c r="N1165" s="200"/>
      <c r="O1165" s="200"/>
      <c r="P1165" s="200"/>
    </row>
    <row r="1166" spans="3:20" s="517" customFormat="1" ht="31.2" customHeight="1">
      <c r="C1166" s="543">
        <v>4</v>
      </c>
      <c r="D1166" s="750" t="s">
        <v>5556</v>
      </c>
      <c r="E1166" s="203"/>
      <c r="F1166" s="753"/>
      <c r="G1166" s="197"/>
      <c r="H1166" s="210">
        <f t="shared" si="78"/>
        <v>0</v>
      </c>
      <c r="L1166" s="200"/>
      <c r="M1166" s="200"/>
      <c r="N1166" s="200"/>
      <c r="O1166" s="200"/>
      <c r="P1166" s="200"/>
    </row>
    <row r="1167" spans="3:20" s="517" customFormat="1" ht="31.2" customHeight="1">
      <c r="C1167" s="754" t="s">
        <v>5293</v>
      </c>
      <c r="D1167" s="750" t="s">
        <v>2084</v>
      </c>
      <c r="E1167" s="203" t="s">
        <v>42</v>
      </c>
      <c r="F1167" s="753">
        <v>1.46E-2</v>
      </c>
      <c r="G1167" s="205">
        <f>VLOOKUP(D1167,upahbahan,3,FALSE)</f>
        <v>0</v>
      </c>
      <c r="H1167" s="210">
        <f t="shared" si="78"/>
        <v>0</v>
      </c>
      <c r="L1167" s="200"/>
      <c r="M1167" s="200"/>
      <c r="N1167" s="200"/>
      <c r="O1167" s="200"/>
      <c r="P1167" s="200"/>
    </row>
    <row r="1168" spans="3:20" s="517" customFormat="1" ht="31.2" customHeight="1">
      <c r="C1168" s="754" t="s">
        <v>5299</v>
      </c>
      <c r="D1168" s="750" t="s">
        <v>5557</v>
      </c>
      <c r="E1168" s="203" t="s">
        <v>42</v>
      </c>
      <c r="F1168" s="753">
        <v>3.8999999999999998E-3</v>
      </c>
      <c r="G1168" s="205">
        <f>VLOOKUP(D1168,upahbahan,3,FALSE)</f>
        <v>0</v>
      </c>
      <c r="H1168" s="210">
        <f t="shared" si="78"/>
        <v>0</v>
      </c>
      <c r="L1168" s="200"/>
      <c r="M1168" s="200"/>
      <c r="N1168" s="200"/>
      <c r="O1168" s="200"/>
      <c r="P1168" s="200"/>
    </row>
    <row r="1169" spans="3:20" s="517" customFormat="1" ht="31.2" customHeight="1">
      <c r="C1169" s="754" t="s">
        <v>5558</v>
      </c>
      <c r="D1169" s="750" t="s">
        <v>6958</v>
      </c>
      <c r="E1169" s="203" t="s">
        <v>42</v>
      </c>
      <c r="F1169" s="755">
        <v>1E-3</v>
      </c>
      <c r="G1169" s="205">
        <f>VLOOKUP(D1169,upahbahan,3,FALSE)</f>
        <v>0</v>
      </c>
      <c r="H1169" s="210">
        <f t="shared" si="78"/>
        <v>0</v>
      </c>
      <c r="L1169" s="200"/>
      <c r="M1169" s="200"/>
      <c r="N1169" s="200"/>
      <c r="O1169" s="200"/>
      <c r="P1169" s="200"/>
    </row>
    <row r="1170" spans="3:20" s="517" customFormat="1" ht="31.2" customHeight="1">
      <c r="C1170" s="207" t="s">
        <v>1214</v>
      </c>
      <c r="D1170" s="208"/>
      <c r="E1170" s="568"/>
      <c r="F1170" s="208"/>
      <c r="G1170" s="209"/>
      <c r="H1170" s="210">
        <f>SUM(H1161:H1169)</f>
        <v>0</v>
      </c>
      <c r="L1170" s="200"/>
      <c r="M1170" s="200"/>
      <c r="N1170" s="200"/>
      <c r="O1170" s="200"/>
      <c r="P1170" s="200"/>
    </row>
    <row r="1171" spans="3:20" s="517" customFormat="1" ht="31.2" customHeight="1">
      <c r="C1171" s="756" t="s">
        <v>1215</v>
      </c>
      <c r="D1171" s="196" t="s">
        <v>1216</v>
      </c>
      <c r="E1171" s="203"/>
      <c r="F1171" s="197"/>
      <c r="G1171" s="197"/>
      <c r="H1171" s="198"/>
      <c r="L1171" s="200"/>
      <c r="M1171" s="200"/>
      <c r="N1171" s="200"/>
      <c r="O1171" s="200"/>
      <c r="P1171" s="200"/>
    </row>
    <row r="1172" spans="3:20" s="517" customFormat="1" ht="31.2" customHeight="1">
      <c r="C1172" s="207" t="s">
        <v>1217</v>
      </c>
      <c r="D1172" s="208"/>
      <c r="E1172" s="208"/>
      <c r="F1172" s="208"/>
      <c r="G1172" s="209"/>
      <c r="H1172" s="240">
        <f>SUM(H1171)</f>
        <v>0</v>
      </c>
      <c r="L1172" s="200"/>
      <c r="M1172" s="200"/>
      <c r="N1172" s="200"/>
      <c r="O1172" s="200"/>
      <c r="P1172" s="200"/>
    </row>
    <row r="1173" spans="3:20" s="517" customFormat="1" ht="31.2" customHeight="1">
      <c r="C1173" s="223" t="s">
        <v>1218</v>
      </c>
      <c r="D1173" s="224" t="s">
        <v>1219</v>
      </c>
      <c r="E1173" s="225"/>
      <c r="F1173" s="225"/>
      <c r="G1173" s="226"/>
      <c r="H1173" s="210">
        <f>H1172+H1170+H1159</f>
        <v>3897.875</v>
      </c>
      <c r="L1173" s="200"/>
      <c r="M1173" s="200"/>
      <c r="N1173" s="200"/>
      <c r="O1173" s="200"/>
      <c r="P1173" s="200"/>
    </row>
    <row r="1174" spans="3:20" s="517" customFormat="1" ht="31.2" customHeight="1">
      <c r="C1174" s="223" t="s">
        <v>1220</v>
      </c>
      <c r="D1174" s="224" t="s">
        <v>1321</v>
      </c>
      <c r="E1174" s="225"/>
      <c r="F1174" s="226"/>
      <c r="G1174" s="228">
        <v>0.1</v>
      </c>
      <c r="H1174" s="210">
        <f>H1173*G1174</f>
        <v>389.78750000000002</v>
      </c>
      <c r="L1174" s="200"/>
      <c r="M1174" s="200"/>
      <c r="N1174" s="200"/>
      <c r="O1174" s="200"/>
      <c r="P1174" s="200"/>
    </row>
    <row r="1175" spans="3:20" s="517" customFormat="1" ht="31.2" customHeight="1" thickBot="1">
      <c r="C1175" s="229" t="s">
        <v>1221</v>
      </c>
      <c r="D1175" s="230" t="s">
        <v>1222</v>
      </c>
      <c r="E1175" s="231"/>
      <c r="F1175" s="231"/>
      <c r="G1175" s="232"/>
      <c r="H1175" s="233">
        <f>SUM(H1173:H1174)</f>
        <v>4287.6625000000004</v>
      </c>
      <c r="L1175" s="200"/>
      <c r="M1175" s="200"/>
      <c r="N1175" s="200"/>
      <c r="O1175" s="200"/>
      <c r="P1175" s="200"/>
    </row>
    <row r="1176" spans="3:20" s="517" customFormat="1" ht="31.2" customHeight="1" thickTop="1">
      <c r="C1176" s="757"/>
      <c r="D1176" s="758" t="s">
        <v>6949</v>
      </c>
      <c r="E1176" s="758"/>
      <c r="F1176" s="758"/>
      <c r="G1176" s="758"/>
      <c r="H1176" s="759"/>
      <c r="L1176" s="200"/>
      <c r="M1176" s="200"/>
      <c r="N1176" s="200"/>
      <c r="O1176" s="200"/>
      <c r="P1176" s="200"/>
    </row>
    <row r="1177" spans="3:20" s="517" customFormat="1" ht="31.2" customHeight="1">
      <c r="C1177" s="757" t="s">
        <v>6950</v>
      </c>
      <c r="D1177" s="758"/>
      <c r="E1177" s="758"/>
      <c r="F1177" s="758"/>
      <c r="G1177" s="758" t="s">
        <v>6959</v>
      </c>
      <c r="H1177" s="759"/>
      <c r="L1177" s="200"/>
      <c r="M1177" s="200"/>
      <c r="N1177" s="200"/>
      <c r="O1177" s="200"/>
      <c r="P1177" s="200"/>
    </row>
    <row r="1178" spans="3:20" s="517" customFormat="1" ht="31.2" customHeight="1">
      <c r="C1178" s="200" t="s">
        <v>6951</v>
      </c>
      <c r="D1178" s="758"/>
      <c r="E1178" s="758"/>
      <c r="F1178" s="758"/>
      <c r="G1178" s="758"/>
      <c r="H1178" s="759"/>
      <c r="L1178" s="200"/>
      <c r="M1178" s="200"/>
      <c r="N1178" s="200"/>
      <c r="O1178" s="200"/>
      <c r="P1178" s="200"/>
    </row>
    <row r="1179" spans="3:20" ht="31.2" customHeight="1">
      <c r="C1179" s="200" t="s">
        <v>6952</v>
      </c>
    </row>
    <row r="1180" spans="3:20" ht="31.2" customHeight="1">
      <c r="C1180" s="200"/>
    </row>
    <row r="1181" spans="3:20" s="517" customFormat="1" ht="31.2" customHeight="1" thickBot="1">
      <c r="C1181" s="513" t="s">
        <v>6992</v>
      </c>
      <c r="D1181" s="748" t="s">
        <v>6993</v>
      </c>
      <c r="E1181" s="749"/>
      <c r="F1181" s="748"/>
      <c r="G1181" s="748"/>
      <c r="H1181" s="532"/>
      <c r="I1181" s="532"/>
      <c r="J1181" s="532"/>
      <c r="K1181" s="532"/>
      <c r="L1181" s="189">
        <f>ROUNDDOWN(H1203,-2)</f>
        <v>4200</v>
      </c>
      <c r="M1181" s="189"/>
      <c r="N1181" s="189"/>
      <c r="O1181" s="189"/>
      <c r="P1181" s="189"/>
      <c r="R1181" s="189">
        <f>ROUNDDOWN(H1203,-2)</f>
        <v>4200</v>
      </c>
      <c r="S1181" s="517" t="s">
        <v>6451</v>
      </c>
      <c r="T1181" s="517" t="s">
        <v>6963</v>
      </c>
    </row>
    <row r="1182" spans="3:20" s="517" customFormat="1" ht="31.2" customHeight="1" thickTop="1">
      <c r="C1182" s="190" t="s">
        <v>1195</v>
      </c>
      <c r="D1182" s="191" t="s">
        <v>1196</v>
      </c>
      <c r="E1182" s="191" t="s">
        <v>1197</v>
      </c>
      <c r="F1182" s="191" t="s">
        <v>1198</v>
      </c>
      <c r="G1182" s="191" t="s">
        <v>1199</v>
      </c>
      <c r="H1182" s="192" t="s">
        <v>1200</v>
      </c>
      <c r="L1182" s="200"/>
      <c r="M1182" s="200"/>
      <c r="N1182" s="200"/>
      <c r="O1182" s="200"/>
      <c r="P1182" s="200"/>
    </row>
    <row r="1183" spans="3:20" s="517" customFormat="1" ht="31.2" customHeight="1">
      <c r="C1183" s="518" t="s">
        <v>1201</v>
      </c>
      <c r="D1183" s="196" t="s">
        <v>1202</v>
      </c>
      <c r="E1183" s="197"/>
      <c r="F1183" s="197"/>
      <c r="G1183" s="197"/>
      <c r="H1183" s="198"/>
      <c r="L1183" s="200"/>
      <c r="M1183" s="200"/>
      <c r="N1183" s="200"/>
      <c r="O1183" s="200"/>
      <c r="P1183" s="200"/>
    </row>
    <row r="1184" spans="3:20" s="517" customFormat="1" ht="31.2" customHeight="1">
      <c r="C1184" s="537">
        <v>1</v>
      </c>
      <c r="D1184" s="196" t="s">
        <v>6954</v>
      </c>
      <c r="E1184" s="202" t="s">
        <v>6</v>
      </c>
      <c r="F1184" s="520">
        <v>1.43E-2</v>
      </c>
      <c r="G1184" s="205">
        <f>VLOOKUP(D1184,upahbahan,3,FALSE)</f>
        <v>181250</v>
      </c>
      <c r="H1184" s="210">
        <f t="shared" ref="H1184:H1186" si="79">F1184*G1184</f>
        <v>2591.875</v>
      </c>
      <c r="L1184" s="200"/>
      <c r="M1184" s="200"/>
      <c r="N1184" s="200"/>
      <c r="O1184" s="200"/>
      <c r="P1184" s="200"/>
    </row>
    <row r="1185" spans="3:16" s="517" customFormat="1" ht="31.2" customHeight="1">
      <c r="C1185" s="537">
        <v>2</v>
      </c>
      <c r="D1185" s="196" t="s">
        <v>6948</v>
      </c>
      <c r="E1185" s="202" t="s">
        <v>6</v>
      </c>
      <c r="F1185" s="520">
        <v>4.7999999999999996E-3</v>
      </c>
      <c r="G1185" s="205">
        <f>VLOOKUP(D1185,upahbahan,3,FALSE)</f>
        <v>218750</v>
      </c>
      <c r="H1185" s="210">
        <f t="shared" si="79"/>
        <v>1050</v>
      </c>
      <c r="L1185" s="200"/>
      <c r="M1185" s="200"/>
      <c r="N1185" s="200"/>
      <c r="O1185" s="200"/>
      <c r="P1185" s="200"/>
    </row>
    <row r="1186" spans="3:16" s="517" customFormat="1" ht="31.2" customHeight="1">
      <c r="C1186" s="537">
        <v>3</v>
      </c>
      <c r="D1186" s="196" t="s">
        <v>19</v>
      </c>
      <c r="E1186" s="202" t="s">
        <v>6</v>
      </c>
      <c r="F1186" s="520">
        <v>1.6000000000000001E-3</v>
      </c>
      <c r="G1186" s="205">
        <f>VLOOKUP(D1186,upahbahan,3,FALSE)</f>
        <v>160000</v>
      </c>
      <c r="H1186" s="210">
        <f t="shared" si="79"/>
        <v>256</v>
      </c>
      <c r="L1186" s="200"/>
      <c r="M1186" s="200"/>
      <c r="N1186" s="200"/>
      <c r="O1186" s="200"/>
      <c r="P1186" s="200"/>
    </row>
    <row r="1187" spans="3:16" s="517" customFormat="1" ht="31.2" customHeight="1">
      <c r="C1187" s="207" t="s">
        <v>1208</v>
      </c>
      <c r="D1187" s="208"/>
      <c r="E1187" s="208"/>
      <c r="F1187" s="521"/>
      <c r="G1187" s="522"/>
      <c r="H1187" s="210">
        <f>SUM(H1184:H1186)</f>
        <v>3897.875</v>
      </c>
      <c r="L1187" s="523"/>
      <c r="M1187" s="523"/>
      <c r="N1187" s="523"/>
      <c r="O1187" s="523"/>
      <c r="P1187" s="523"/>
    </row>
    <row r="1188" spans="3:16" s="517" customFormat="1" ht="31.2" customHeight="1">
      <c r="C1188" s="543" t="s">
        <v>1209</v>
      </c>
      <c r="D1188" s="750" t="s">
        <v>1210</v>
      </c>
      <c r="E1188" s="197"/>
      <c r="F1188" s="751"/>
      <c r="G1188" s="197"/>
      <c r="H1188" s="752"/>
      <c r="L1188" s="200"/>
      <c r="M1188" s="200"/>
      <c r="N1188" s="200"/>
      <c r="O1188" s="200"/>
      <c r="P1188" s="200"/>
    </row>
    <row r="1189" spans="3:16" s="517" customFormat="1" ht="31.2" customHeight="1">
      <c r="C1189" s="543">
        <v>1</v>
      </c>
      <c r="D1189" s="750" t="s">
        <v>6994</v>
      </c>
      <c r="E1189" s="203" t="s">
        <v>44</v>
      </c>
      <c r="F1189" s="753">
        <v>1.05</v>
      </c>
      <c r="G1189" s="205">
        <f>VLOOKUP(D1189,upahbahan,3,FALSE)</f>
        <v>0</v>
      </c>
      <c r="H1189" s="210">
        <f t="shared" ref="H1189:H1197" si="80">F1189*G1189</f>
        <v>0</v>
      </c>
      <c r="L1189" s="200"/>
      <c r="M1189" s="200"/>
      <c r="N1189" s="200"/>
      <c r="O1189" s="200"/>
      <c r="P1189" s="200"/>
    </row>
    <row r="1190" spans="3:16" s="517" customFormat="1" ht="31.2" customHeight="1">
      <c r="C1190" s="543">
        <v>2</v>
      </c>
      <c r="D1190" s="750" t="s">
        <v>5563</v>
      </c>
      <c r="E1190" s="203" t="s">
        <v>65</v>
      </c>
      <c r="F1190" s="753">
        <v>5.0000000000000001E-3</v>
      </c>
      <c r="G1190" s="205">
        <f>VLOOKUP(D1190,upahbahan,3,FALSE)</f>
        <v>0</v>
      </c>
      <c r="H1190" s="210">
        <f t="shared" si="80"/>
        <v>0</v>
      </c>
      <c r="L1190" s="200"/>
      <c r="M1190" s="200"/>
      <c r="N1190" s="200"/>
      <c r="O1190" s="200"/>
      <c r="P1190" s="200"/>
    </row>
    <row r="1191" spans="3:16" s="517" customFormat="1" ht="31.2" customHeight="1">
      <c r="C1191" s="543">
        <v>3</v>
      </c>
      <c r="D1191" s="750" t="s">
        <v>5555</v>
      </c>
      <c r="E1191" s="203"/>
      <c r="F1191" s="753"/>
      <c r="G1191" s="197"/>
      <c r="H1191" s="210">
        <f t="shared" si="80"/>
        <v>0</v>
      </c>
      <c r="L1191" s="200"/>
      <c r="M1191" s="200"/>
      <c r="N1191" s="200"/>
      <c r="O1191" s="200"/>
      <c r="P1191" s="200"/>
    </row>
    <row r="1192" spans="3:16" s="517" customFormat="1" ht="31.2" customHeight="1">
      <c r="C1192" s="754" t="s">
        <v>5293</v>
      </c>
      <c r="D1192" s="750" t="s">
        <v>6957</v>
      </c>
      <c r="E1192" s="203" t="s">
        <v>1300</v>
      </c>
      <c r="F1192" s="760">
        <v>6</v>
      </c>
      <c r="G1192" s="205">
        <f>VLOOKUP(D1192,upahbahan,3,FALSE)</f>
        <v>0</v>
      </c>
      <c r="H1192" s="210">
        <f t="shared" si="80"/>
        <v>0</v>
      </c>
      <c r="L1192" s="200"/>
      <c r="M1192" s="200"/>
      <c r="N1192" s="200"/>
      <c r="O1192" s="200"/>
      <c r="P1192" s="200"/>
    </row>
    <row r="1193" spans="3:16" s="517" customFormat="1" ht="31.2" customHeight="1">
      <c r="C1193" s="754" t="s">
        <v>5299</v>
      </c>
      <c r="D1193" s="750" t="s">
        <v>5560</v>
      </c>
      <c r="E1193" s="203" t="s">
        <v>113</v>
      </c>
      <c r="F1193" s="760">
        <v>10</v>
      </c>
      <c r="G1193" s="205">
        <f>VLOOKUP(D1193,upahbahan,3,FALSE)</f>
        <v>0</v>
      </c>
      <c r="H1193" s="210">
        <f t="shared" si="80"/>
        <v>0</v>
      </c>
      <c r="L1193" s="200"/>
      <c r="M1193" s="200"/>
      <c r="N1193" s="200"/>
      <c r="O1193" s="200"/>
      <c r="P1193" s="200"/>
    </row>
    <row r="1194" spans="3:16" s="517" customFormat="1" ht="31.2" customHeight="1">
      <c r="C1194" s="543">
        <v>4</v>
      </c>
      <c r="D1194" s="750" t="s">
        <v>5556</v>
      </c>
      <c r="E1194" s="203"/>
      <c r="F1194" s="753"/>
      <c r="G1194" s="197"/>
      <c r="H1194" s="210">
        <f t="shared" si="80"/>
        <v>0</v>
      </c>
      <c r="L1194" s="200"/>
      <c r="M1194" s="200"/>
      <c r="N1194" s="200"/>
      <c r="O1194" s="200"/>
      <c r="P1194" s="200"/>
    </row>
    <row r="1195" spans="3:16" s="517" customFormat="1" ht="31.2" customHeight="1">
      <c r="C1195" s="754" t="s">
        <v>5293</v>
      </c>
      <c r="D1195" s="750" t="s">
        <v>2084</v>
      </c>
      <c r="E1195" s="203" t="s">
        <v>42</v>
      </c>
      <c r="F1195" s="753">
        <v>1.46E-2</v>
      </c>
      <c r="G1195" s="205">
        <f>VLOOKUP(D1195,upahbahan,3,FALSE)</f>
        <v>0</v>
      </c>
      <c r="H1195" s="210">
        <f t="shared" si="80"/>
        <v>0</v>
      </c>
      <c r="L1195" s="200"/>
      <c r="M1195" s="200"/>
      <c r="N1195" s="200"/>
      <c r="O1195" s="200"/>
      <c r="P1195" s="200"/>
    </row>
    <row r="1196" spans="3:16" s="517" customFormat="1" ht="31.2" customHeight="1">
      <c r="C1196" s="754" t="s">
        <v>5299</v>
      </c>
      <c r="D1196" s="750" t="s">
        <v>5557</v>
      </c>
      <c r="E1196" s="203" t="s">
        <v>42</v>
      </c>
      <c r="F1196" s="753">
        <v>3.8999999999999998E-3</v>
      </c>
      <c r="G1196" s="205">
        <f>VLOOKUP(D1196,upahbahan,3,FALSE)</f>
        <v>0</v>
      </c>
      <c r="H1196" s="210">
        <f t="shared" si="80"/>
        <v>0</v>
      </c>
      <c r="L1196" s="200"/>
      <c r="M1196" s="200"/>
      <c r="N1196" s="200"/>
      <c r="O1196" s="200"/>
      <c r="P1196" s="200"/>
    </row>
    <row r="1197" spans="3:16" s="517" customFormat="1" ht="31.2" customHeight="1">
      <c r="C1197" s="754" t="s">
        <v>5558</v>
      </c>
      <c r="D1197" s="750" t="s">
        <v>6958</v>
      </c>
      <c r="E1197" s="203" t="s">
        <v>42</v>
      </c>
      <c r="F1197" s="755">
        <v>1E-3</v>
      </c>
      <c r="G1197" s="205">
        <f>VLOOKUP(D1197,upahbahan,3,FALSE)</f>
        <v>0</v>
      </c>
      <c r="H1197" s="210">
        <f t="shared" si="80"/>
        <v>0</v>
      </c>
      <c r="L1197" s="200"/>
      <c r="M1197" s="200"/>
      <c r="N1197" s="200"/>
      <c r="O1197" s="200"/>
      <c r="P1197" s="200"/>
    </row>
    <row r="1198" spans="3:16" s="517" customFormat="1" ht="31.2" customHeight="1">
      <c r="C1198" s="207" t="s">
        <v>1214</v>
      </c>
      <c r="D1198" s="208"/>
      <c r="E1198" s="568"/>
      <c r="F1198" s="208"/>
      <c r="G1198" s="209"/>
      <c r="H1198" s="210">
        <f>SUM(H1189:H1197)</f>
        <v>0</v>
      </c>
      <c r="L1198" s="200"/>
      <c r="M1198" s="200"/>
      <c r="N1198" s="200"/>
      <c r="O1198" s="200"/>
      <c r="P1198" s="200"/>
    </row>
    <row r="1199" spans="3:16" s="517" customFormat="1" ht="31.2" customHeight="1">
      <c r="C1199" s="756" t="s">
        <v>1215</v>
      </c>
      <c r="D1199" s="196" t="s">
        <v>1216</v>
      </c>
      <c r="E1199" s="203"/>
      <c r="F1199" s="197"/>
      <c r="G1199" s="197"/>
      <c r="H1199" s="198"/>
      <c r="L1199" s="200"/>
      <c r="M1199" s="200"/>
      <c r="N1199" s="200"/>
      <c r="O1199" s="200"/>
      <c r="P1199" s="200"/>
    </row>
    <row r="1200" spans="3:16" s="517" customFormat="1" ht="31.2" customHeight="1">
      <c r="C1200" s="207" t="s">
        <v>1217</v>
      </c>
      <c r="D1200" s="208"/>
      <c r="E1200" s="208"/>
      <c r="F1200" s="208"/>
      <c r="G1200" s="209"/>
      <c r="H1200" s="240">
        <f>SUM(H1199)</f>
        <v>0</v>
      </c>
      <c r="L1200" s="200"/>
      <c r="M1200" s="200"/>
      <c r="N1200" s="200"/>
      <c r="O1200" s="200"/>
      <c r="P1200" s="200"/>
    </row>
    <row r="1201" spans="3:20" s="517" customFormat="1" ht="31.2" customHeight="1">
      <c r="C1201" s="223" t="s">
        <v>1218</v>
      </c>
      <c r="D1201" s="224" t="s">
        <v>1219</v>
      </c>
      <c r="E1201" s="225"/>
      <c r="F1201" s="225"/>
      <c r="G1201" s="226"/>
      <c r="H1201" s="210">
        <f>H1200+H1198+H1187</f>
        <v>3897.875</v>
      </c>
      <c r="L1201" s="200"/>
      <c r="M1201" s="200"/>
      <c r="N1201" s="200"/>
      <c r="O1201" s="200"/>
      <c r="P1201" s="200"/>
    </row>
    <row r="1202" spans="3:20" s="517" customFormat="1" ht="31.2" customHeight="1">
      <c r="C1202" s="223" t="s">
        <v>1220</v>
      </c>
      <c r="D1202" s="224" t="s">
        <v>1321</v>
      </c>
      <c r="E1202" s="225"/>
      <c r="F1202" s="226"/>
      <c r="G1202" s="228">
        <v>0.1</v>
      </c>
      <c r="H1202" s="210">
        <f>H1201*G1202</f>
        <v>389.78750000000002</v>
      </c>
      <c r="L1202" s="200"/>
      <c r="M1202" s="200"/>
      <c r="N1202" s="200"/>
      <c r="O1202" s="200"/>
      <c r="P1202" s="200"/>
    </row>
    <row r="1203" spans="3:20" s="517" customFormat="1" ht="31.2" customHeight="1" thickBot="1">
      <c r="C1203" s="229" t="s">
        <v>1221</v>
      </c>
      <c r="D1203" s="230" t="s">
        <v>1222</v>
      </c>
      <c r="E1203" s="231"/>
      <c r="F1203" s="231"/>
      <c r="G1203" s="232"/>
      <c r="H1203" s="233">
        <f>SUM(H1201:H1202)</f>
        <v>4287.6625000000004</v>
      </c>
      <c r="L1203" s="200"/>
      <c r="M1203" s="200"/>
      <c r="N1203" s="200"/>
      <c r="O1203" s="200"/>
      <c r="P1203" s="200"/>
    </row>
    <row r="1204" spans="3:20" s="517" customFormat="1" ht="31.2" customHeight="1" thickTop="1">
      <c r="C1204" s="757"/>
      <c r="D1204" s="758" t="s">
        <v>6949</v>
      </c>
      <c r="E1204" s="758"/>
      <c r="F1204" s="758"/>
      <c r="G1204" s="758"/>
      <c r="H1204" s="759"/>
      <c r="L1204" s="200"/>
      <c r="M1204" s="200"/>
      <c r="N1204" s="200"/>
      <c r="O1204" s="200"/>
      <c r="P1204" s="200"/>
    </row>
    <row r="1205" spans="3:20" s="517" customFormat="1" ht="31.2" customHeight="1">
      <c r="C1205" s="757" t="s">
        <v>6950</v>
      </c>
      <c r="D1205" s="758"/>
      <c r="E1205" s="758"/>
      <c r="F1205" s="758"/>
      <c r="G1205" s="758" t="s">
        <v>6959</v>
      </c>
      <c r="H1205" s="759"/>
      <c r="L1205" s="200"/>
      <c r="M1205" s="200"/>
      <c r="N1205" s="200"/>
      <c r="O1205" s="200"/>
      <c r="P1205" s="200"/>
    </row>
    <row r="1206" spans="3:20" s="517" customFormat="1" ht="31.2" customHeight="1">
      <c r="C1206" s="200" t="s">
        <v>6951</v>
      </c>
      <c r="D1206" s="758"/>
      <c r="E1206" s="758"/>
      <c r="F1206" s="758"/>
      <c r="G1206" s="758"/>
      <c r="H1206" s="759"/>
      <c r="L1206" s="200"/>
      <c r="M1206" s="200"/>
      <c r="N1206" s="200"/>
      <c r="O1206" s="200"/>
      <c r="P1206" s="200"/>
    </row>
    <row r="1207" spans="3:20" ht="31.2" customHeight="1">
      <c r="C1207" s="200" t="s">
        <v>6952</v>
      </c>
    </row>
    <row r="1208" spans="3:20" ht="31.2" customHeight="1">
      <c r="C1208" s="200"/>
    </row>
    <row r="1209" spans="3:20" s="517" customFormat="1" ht="31.2" customHeight="1" thickBot="1">
      <c r="C1209" s="513" t="s">
        <v>6995</v>
      </c>
      <c r="D1209" s="748" t="s">
        <v>6996</v>
      </c>
      <c r="E1209" s="749"/>
      <c r="F1209" s="748"/>
      <c r="G1209" s="748"/>
      <c r="H1209" s="532"/>
      <c r="I1209" s="532"/>
      <c r="J1209" s="532"/>
      <c r="K1209" s="532"/>
      <c r="L1209" s="189">
        <f>ROUNDDOWN(H1231,-2)</f>
        <v>4200</v>
      </c>
      <c r="M1209" s="189"/>
      <c r="N1209" s="189"/>
      <c r="O1209" s="189"/>
      <c r="P1209" s="189"/>
      <c r="R1209" s="189">
        <f>ROUNDDOWN(H1231,-2)</f>
        <v>4200</v>
      </c>
      <c r="S1209" s="517" t="s">
        <v>6451</v>
      </c>
      <c r="T1209" s="517" t="s">
        <v>6963</v>
      </c>
    </row>
    <row r="1210" spans="3:20" s="517" customFormat="1" ht="31.2" customHeight="1" thickTop="1">
      <c r="C1210" s="190" t="s">
        <v>1195</v>
      </c>
      <c r="D1210" s="191" t="s">
        <v>1196</v>
      </c>
      <c r="E1210" s="191" t="s">
        <v>1197</v>
      </c>
      <c r="F1210" s="191" t="s">
        <v>1198</v>
      </c>
      <c r="G1210" s="191" t="s">
        <v>1199</v>
      </c>
      <c r="H1210" s="192" t="s">
        <v>1200</v>
      </c>
      <c r="L1210" s="200"/>
      <c r="M1210" s="200"/>
      <c r="N1210" s="200"/>
      <c r="O1210" s="200"/>
      <c r="P1210" s="200"/>
    </row>
    <row r="1211" spans="3:20" s="517" customFormat="1" ht="31.2" customHeight="1">
      <c r="C1211" s="518" t="s">
        <v>1201</v>
      </c>
      <c r="D1211" s="196" t="s">
        <v>1202</v>
      </c>
      <c r="E1211" s="197"/>
      <c r="F1211" s="197"/>
      <c r="G1211" s="197"/>
      <c r="H1211" s="198"/>
      <c r="L1211" s="200"/>
      <c r="M1211" s="200"/>
      <c r="N1211" s="200"/>
      <c r="O1211" s="200"/>
      <c r="P1211" s="200"/>
    </row>
    <row r="1212" spans="3:20" s="517" customFormat="1" ht="31.2" customHeight="1">
      <c r="C1212" s="537">
        <v>1</v>
      </c>
      <c r="D1212" s="196" t="s">
        <v>6954</v>
      </c>
      <c r="E1212" s="202" t="s">
        <v>6</v>
      </c>
      <c r="F1212" s="520">
        <v>1.43E-2</v>
      </c>
      <c r="G1212" s="205">
        <f>VLOOKUP(D1212,upahbahan,3,FALSE)</f>
        <v>181250</v>
      </c>
      <c r="H1212" s="210">
        <f t="shared" ref="H1212:H1214" si="81">F1212*G1212</f>
        <v>2591.875</v>
      </c>
      <c r="L1212" s="200"/>
      <c r="M1212" s="200"/>
      <c r="N1212" s="200"/>
      <c r="O1212" s="200"/>
      <c r="P1212" s="200"/>
    </row>
    <row r="1213" spans="3:20" s="517" customFormat="1" ht="31.2" customHeight="1">
      <c r="C1213" s="537">
        <v>2</v>
      </c>
      <c r="D1213" s="196" t="s">
        <v>6948</v>
      </c>
      <c r="E1213" s="202" t="s">
        <v>6</v>
      </c>
      <c r="F1213" s="520">
        <v>4.7999999999999996E-3</v>
      </c>
      <c r="G1213" s="205">
        <f>VLOOKUP(D1213,upahbahan,3,FALSE)</f>
        <v>218750</v>
      </c>
      <c r="H1213" s="210">
        <f t="shared" si="81"/>
        <v>1050</v>
      </c>
      <c r="L1213" s="200"/>
      <c r="M1213" s="200"/>
      <c r="N1213" s="200"/>
      <c r="O1213" s="200"/>
      <c r="P1213" s="200"/>
    </row>
    <row r="1214" spans="3:20" s="517" customFormat="1" ht="31.2" customHeight="1">
      <c r="C1214" s="537">
        <v>3</v>
      </c>
      <c r="D1214" s="196" t="s">
        <v>19</v>
      </c>
      <c r="E1214" s="202" t="s">
        <v>6</v>
      </c>
      <c r="F1214" s="520">
        <v>1.6000000000000001E-3</v>
      </c>
      <c r="G1214" s="205">
        <f>VLOOKUP(D1214,upahbahan,3,FALSE)</f>
        <v>160000</v>
      </c>
      <c r="H1214" s="210">
        <f t="shared" si="81"/>
        <v>256</v>
      </c>
      <c r="L1214" s="200"/>
      <c r="M1214" s="200"/>
      <c r="N1214" s="200"/>
      <c r="O1214" s="200"/>
      <c r="P1214" s="200"/>
    </row>
    <row r="1215" spans="3:20" s="517" customFormat="1" ht="31.2" customHeight="1">
      <c r="C1215" s="207" t="s">
        <v>1208</v>
      </c>
      <c r="D1215" s="208"/>
      <c r="E1215" s="208"/>
      <c r="F1215" s="521"/>
      <c r="G1215" s="522"/>
      <c r="H1215" s="210">
        <f>SUM(H1212:H1214)</f>
        <v>3897.875</v>
      </c>
      <c r="L1215" s="523"/>
      <c r="M1215" s="523"/>
      <c r="N1215" s="523"/>
      <c r="O1215" s="523"/>
      <c r="P1215" s="523"/>
    </row>
    <row r="1216" spans="3:20" s="517" customFormat="1" ht="31.2" customHeight="1">
      <c r="C1216" s="543" t="s">
        <v>1209</v>
      </c>
      <c r="D1216" s="750" t="s">
        <v>1210</v>
      </c>
      <c r="E1216" s="197"/>
      <c r="F1216" s="751"/>
      <c r="G1216" s="197"/>
      <c r="H1216" s="752"/>
      <c r="L1216" s="200"/>
      <c r="M1216" s="200"/>
      <c r="N1216" s="200"/>
      <c r="O1216" s="200"/>
      <c r="P1216" s="200"/>
    </row>
    <row r="1217" spans="3:16" s="517" customFormat="1" ht="31.2" customHeight="1">
      <c r="C1217" s="543">
        <v>1</v>
      </c>
      <c r="D1217" s="750" t="s">
        <v>6997</v>
      </c>
      <c r="E1217" s="203" t="s">
        <v>44</v>
      </c>
      <c r="F1217" s="753">
        <v>1.05</v>
      </c>
      <c r="G1217" s="205">
        <f>VLOOKUP(D1217,upahbahan,3,FALSE)</f>
        <v>0</v>
      </c>
      <c r="H1217" s="210">
        <f t="shared" ref="H1217:H1225" si="82">F1217*G1217</f>
        <v>0</v>
      </c>
      <c r="L1217" s="200"/>
      <c r="M1217" s="200"/>
      <c r="N1217" s="200"/>
      <c r="O1217" s="200"/>
      <c r="P1217" s="200"/>
    </row>
    <row r="1218" spans="3:16" s="517" customFormat="1" ht="31.2" customHeight="1">
      <c r="C1218" s="543">
        <v>2</v>
      </c>
      <c r="D1218" s="750" t="s">
        <v>5563</v>
      </c>
      <c r="E1218" s="203" t="s">
        <v>65</v>
      </c>
      <c r="F1218" s="753">
        <v>5.0000000000000001E-3</v>
      </c>
      <c r="G1218" s="205">
        <f>VLOOKUP(D1218,upahbahan,3,FALSE)</f>
        <v>0</v>
      </c>
      <c r="H1218" s="210">
        <f t="shared" si="82"/>
        <v>0</v>
      </c>
      <c r="L1218" s="200"/>
      <c r="M1218" s="200"/>
      <c r="N1218" s="200"/>
      <c r="O1218" s="200"/>
      <c r="P1218" s="200"/>
    </row>
    <row r="1219" spans="3:16" s="517" customFormat="1" ht="31.2" customHeight="1">
      <c r="C1219" s="543">
        <v>3</v>
      </c>
      <c r="D1219" s="750" t="s">
        <v>5555</v>
      </c>
      <c r="E1219" s="203"/>
      <c r="F1219" s="753"/>
      <c r="G1219" s="197"/>
      <c r="H1219" s="210">
        <f t="shared" si="82"/>
        <v>0</v>
      </c>
      <c r="L1219" s="200"/>
      <c r="M1219" s="200"/>
      <c r="N1219" s="200"/>
      <c r="O1219" s="200"/>
      <c r="P1219" s="200"/>
    </row>
    <row r="1220" spans="3:16" s="517" customFormat="1" ht="31.2" customHeight="1">
      <c r="C1220" s="754" t="s">
        <v>5293</v>
      </c>
      <c r="D1220" s="750" t="s">
        <v>6957</v>
      </c>
      <c r="E1220" s="203" t="s">
        <v>1300</v>
      </c>
      <c r="F1220" s="760">
        <v>6</v>
      </c>
      <c r="G1220" s="205">
        <f>VLOOKUP(D1220,upahbahan,3,FALSE)</f>
        <v>0</v>
      </c>
      <c r="H1220" s="210">
        <f t="shared" si="82"/>
        <v>0</v>
      </c>
      <c r="L1220" s="200"/>
      <c r="M1220" s="200"/>
      <c r="N1220" s="200"/>
      <c r="O1220" s="200"/>
      <c r="P1220" s="200"/>
    </row>
    <row r="1221" spans="3:16" s="517" customFormat="1" ht="31.2" customHeight="1">
      <c r="C1221" s="754" t="s">
        <v>5299</v>
      </c>
      <c r="D1221" s="750" t="s">
        <v>5560</v>
      </c>
      <c r="E1221" s="203" t="s">
        <v>113</v>
      </c>
      <c r="F1221" s="760">
        <v>10</v>
      </c>
      <c r="G1221" s="205">
        <f>VLOOKUP(D1221,upahbahan,3,FALSE)</f>
        <v>0</v>
      </c>
      <c r="H1221" s="210">
        <f t="shared" si="82"/>
        <v>0</v>
      </c>
      <c r="L1221" s="200"/>
      <c r="M1221" s="200"/>
      <c r="N1221" s="200"/>
      <c r="O1221" s="200"/>
      <c r="P1221" s="200"/>
    </row>
    <row r="1222" spans="3:16" s="517" customFormat="1" ht="31.2" customHeight="1">
      <c r="C1222" s="543">
        <v>4</v>
      </c>
      <c r="D1222" s="750" t="s">
        <v>5556</v>
      </c>
      <c r="E1222" s="203"/>
      <c r="F1222" s="753"/>
      <c r="G1222" s="197"/>
      <c r="H1222" s="210">
        <f t="shared" si="82"/>
        <v>0</v>
      </c>
      <c r="L1222" s="200"/>
      <c r="M1222" s="200"/>
      <c r="N1222" s="200"/>
      <c r="O1222" s="200"/>
      <c r="P1222" s="200"/>
    </row>
    <row r="1223" spans="3:16" s="517" customFormat="1" ht="31.2" customHeight="1">
      <c r="C1223" s="754" t="s">
        <v>5293</v>
      </c>
      <c r="D1223" s="750" t="s">
        <v>2084</v>
      </c>
      <c r="E1223" s="203" t="s">
        <v>42</v>
      </c>
      <c r="F1223" s="753">
        <v>1.46E-2</v>
      </c>
      <c r="G1223" s="205">
        <f>VLOOKUP(D1223,upahbahan,3,FALSE)</f>
        <v>0</v>
      </c>
      <c r="H1223" s="210">
        <f t="shared" si="82"/>
        <v>0</v>
      </c>
      <c r="L1223" s="200"/>
      <c r="M1223" s="200"/>
      <c r="N1223" s="200"/>
      <c r="O1223" s="200"/>
      <c r="P1223" s="200"/>
    </row>
    <row r="1224" spans="3:16" s="517" customFormat="1" ht="31.2" customHeight="1">
      <c r="C1224" s="754" t="s">
        <v>5299</v>
      </c>
      <c r="D1224" s="750" t="s">
        <v>5557</v>
      </c>
      <c r="E1224" s="203" t="s">
        <v>42</v>
      </c>
      <c r="F1224" s="753">
        <v>3.8999999999999998E-3</v>
      </c>
      <c r="G1224" s="205">
        <f>VLOOKUP(D1224,upahbahan,3,FALSE)</f>
        <v>0</v>
      </c>
      <c r="H1224" s="210">
        <f t="shared" si="82"/>
        <v>0</v>
      </c>
      <c r="L1224" s="200"/>
      <c r="M1224" s="200"/>
      <c r="N1224" s="200"/>
      <c r="O1224" s="200"/>
      <c r="P1224" s="200"/>
    </row>
    <row r="1225" spans="3:16" s="517" customFormat="1" ht="31.2" customHeight="1">
      <c r="C1225" s="754" t="s">
        <v>5558</v>
      </c>
      <c r="D1225" s="750" t="s">
        <v>6958</v>
      </c>
      <c r="E1225" s="203" t="s">
        <v>42</v>
      </c>
      <c r="F1225" s="755">
        <v>1E-3</v>
      </c>
      <c r="G1225" s="205">
        <f>VLOOKUP(D1225,upahbahan,3,FALSE)</f>
        <v>0</v>
      </c>
      <c r="H1225" s="210">
        <f t="shared" si="82"/>
        <v>0</v>
      </c>
      <c r="L1225" s="200"/>
      <c r="M1225" s="200"/>
      <c r="N1225" s="200"/>
      <c r="O1225" s="200"/>
      <c r="P1225" s="200"/>
    </row>
    <row r="1226" spans="3:16" s="517" customFormat="1" ht="31.2" customHeight="1">
      <c r="C1226" s="207" t="s">
        <v>1214</v>
      </c>
      <c r="D1226" s="208"/>
      <c r="E1226" s="568"/>
      <c r="F1226" s="208"/>
      <c r="G1226" s="209"/>
      <c r="H1226" s="210">
        <f>SUM(H1217:H1225)</f>
        <v>0</v>
      </c>
      <c r="L1226" s="200"/>
      <c r="M1226" s="200"/>
      <c r="N1226" s="200"/>
      <c r="O1226" s="200"/>
      <c r="P1226" s="200"/>
    </row>
    <row r="1227" spans="3:16" s="517" customFormat="1" ht="31.2" customHeight="1">
      <c r="C1227" s="756" t="s">
        <v>1215</v>
      </c>
      <c r="D1227" s="196" t="s">
        <v>1216</v>
      </c>
      <c r="E1227" s="203"/>
      <c r="F1227" s="197"/>
      <c r="G1227" s="197"/>
      <c r="H1227" s="198"/>
      <c r="L1227" s="200"/>
      <c r="M1227" s="200"/>
      <c r="N1227" s="200"/>
      <c r="O1227" s="200"/>
      <c r="P1227" s="200"/>
    </row>
    <row r="1228" spans="3:16" s="517" customFormat="1" ht="31.2" customHeight="1">
      <c r="C1228" s="207" t="s">
        <v>1217</v>
      </c>
      <c r="D1228" s="208"/>
      <c r="E1228" s="208"/>
      <c r="F1228" s="208"/>
      <c r="G1228" s="209"/>
      <c r="H1228" s="240">
        <f>SUM(H1227)</f>
        <v>0</v>
      </c>
      <c r="L1228" s="200"/>
      <c r="M1228" s="200"/>
      <c r="N1228" s="200"/>
      <c r="O1228" s="200"/>
      <c r="P1228" s="200"/>
    </row>
    <row r="1229" spans="3:16" s="517" customFormat="1" ht="31.2" customHeight="1">
      <c r="C1229" s="223" t="s">
        <v>1218</v>
      </c>
      <c r="D1229" s="224" t="s">
        <v>1219</v>
      </c>
      <c r="E1229" s="225"/>
      <c r="F1229" s="225"/>
      <c r="G1229" s="226"/>
      <c r="H1229" s="210">
        <f>H1228+H1226+H1215</f>
        <v>3897.875</v>
      </c>
      <c r="L1229" s="200"/>
      <c r="M1229" s="200"/>
      <c r="N1229" s="200"/>
      <c r="O1229" s="200"/>
      <c r="P1229" s="200"/>
    </row>
    <row r="1230" spans="3:16" s="517" customFormat="1" ht="31.2" customHeight="1">
      <c r="C1230" s="223" t="s">
        <v>1220</v>
      </c>
      <c r="D1230" s="224" t="s">
        <v>1321</v>
      </c>
      <c r="E1230" s="225"/>
      <c r="F1230" s="226"/>
      <c r="G1230" s="228">
        <v>0.1</v>
      </c>
      <c r="H1230" s="210">
        <f>H1229*G1230</f>
        <v>389.78750000000002</v>
      </c>
      <c r="L1230" s="200"/>
      <c r="M1230" s="200"/>
      <c r="N1230" s="200"/>
      <c r="O1230" s="200"/>
      <c r="P1230" s="200"/>
    </row>
    <row r="1231" spans="3:16" s="517" customFormat="1" ht="31.2" customHeight="1" thickBot="1">
      <c r="C1231" s="229" t="s">
        <v>1221</v>
      </c>
      <c r="D1231" s="230" t="s">
        <v>1222</v>
      </c>
      <c r="E1231" s="231"/>
      <c r="F1231" s="231"/>
      <c r="G1231" s="232"/>
      <c r="H1231" s="233">
        <f>SUM(H1229:H1230)</f>
        <v>4287.6625000000004</v>
      </c>
      <c r="L1231" s="200"/>
      <c r="M1231" s="200"/>
      <c r="N1231" s="200"/>
      <c r="O1231" s="200"/>
      <c r="P1231" s="200"/>
    </row>
    <row r="1232" spans="3:16" s="517" customFormat="1" ht="31.2" customHeight="1" thickTop="1">
      <c r="C1232" s="757"/>
      <c r="D1232" s="758" t="s">
        <v>6949</v>
      </c>
      <c r="E1232" s="758"/>
      <c r="F1232" s="758"/>
      <c r="G1232" s="758"/>
      <c r="H1232" s="759"/>
      <c r="L1232" s="200"/>
      <c r="M1232" s="200"/>
      <c r="N1232" s="200"/>
      <c r="O1232" s="200"/>
      <c r="P1232" s="200"/>
    </row>
    <row r="1233" spans="3:20" s="517" customFormat="1" ht="31.2" customHeight="1">
      <c r="C1233" s="757" t="s">
        <v>6950</v>
      </c>
      <c r="D1233" s="758"/>
      <c r="E1233" s="758"/>
      <c r="F1233" s="758"/>
      <c r="G1233" s="758" t="s">
        <v>6959</v>
      </c>
      <c r="H1233" s="759"/>
      <c r="L1233" s="200"/>
      <c r="M1233" s="200"/>
      <c r="N1233" s="200"/>
      <c r="O1233" s="200"/>
      <c r="P1233" s="200"/>
    </row>
    <row r="1234" spans="3:20" s="517" customFormat="1" ht="31.2" customHeight="1">
      <c r="C1234" s="200" t="s">
        <v>6951</v>
      </c>
      <c r="D1234" s="758"/>
      <c r="E1234" s="758"/>
      <c r="F1234" s="758"/>
      <c r="G1234" s="758"/>
      <c r="H1234" s="759"/>
      <c r="L1234" s="200"/>
      <c r="M1234" s="200"/>
      <c r="N1234" s="200"/>
      <c r="O1234" s="200"/>
      <c r="P1234" s="200"/>
    </row>
    <row r="1235" spans="3:20" ht="31.2" customHeight="1">
      <c r="C1235" s="200" t="s">
        <v>6952</v>
      </c>
    </row>
    <row r="1236" spans="3:20" ht="31.2" customHeight="1">
      <c r="C1236" s="200"/>
    </row>
    <row r="1237" spans="3:20" s="517" customFormat="1" ht="31.2" customHeight="1" thickBot="1">
      <c r="C1237" s="513" t="s">
        <v>6998</v>
      </c>
      <c r="D1237" s="748" t="s">
        <v>6999</v>
      </c>
      <c r="E1237" s="749"/>
      <c r="F1237" s="748"/>
      <c r="G1237" s="748"/>
      <c r="H1237" s="532"/>
      <c r="I1237" s="532"/>
      <c r="J1237" s="532"/>
      <c r="K1237" s="532"/>
      <c r="L1237" s="189">
        <f>ROUNDDOWN(H1259,-2)</f>
        <v>4200</v>
      </c>
      <c r="M1237" s="189"/>
      <c r="N1237" s="189"/>
      <c r="O1237" s="189"/>
      <c r="P1237" s="189"/>
      <c r="R1237" s="189">
        <f>ROUNDDOWN(H1259,-2)</f>
        <v>4200</v>
      </c>
      <c r="S1237" s="517" t="s">
        <v>6451</v>
      </c>
      <c r="T1237" s="517" t="s">
        <v>6963</v>
      </c>
    </row>
    <row r="1238" spans="3:20" s="517" customFormat="1" ht="31.2" customHeight="1" thickTop="1">
      <c r="C1238" s="190" t="s">
        <v>1195</v>
      </c>
      <c r="D1238" s="191" t="s">
        <v>1196</v>
      </c>
      <c r="E1238" s="191" t="s">
        <v>1197</v>
      </c>
      <c r="F1238" s="191" t="s">
        <v>1198</v>
      </c>
      <c r="G1238" s="191" t="s">
        <v>1199</v>
      </c>
      <c r="H1238" s="192" t="s">
        <v>1200</v>
      </c>
      <c r="L1238" s="200"/>
      <c r="M1238" s="200"/>
      <c r="N1238" s="200"/>
      <c r="O1238" s="200"/>
      <c r="P1238" s="200"/>
    </row>
    <row r="1239" spans="3:20" s="517" customFormat="1" ht="31.2" customHeight="1">
      <c r="C1239" s="518" t="s">
        <v>1201</v>
      </c>
      <c r="D1239" s="196" t="s">
        <v>1202</v>
      </c>
      <c r="E1239" s="197"/>
      <c r="F1239" s="197"/>
      <c r="G1239" s="197"/>
      <c r="H1239" s="198"/>
      <c r="L1239" s="200"/>
      <c r="M1239" s="200"/>
      <c r="N1239" s="200"/>
      <c r="O1239" s="200"/>
      <c r="P1239" s="200"/>
    </row>
    <row r="1240" spans="3:20" s="517" customFormat="1" ht="31.2" customHeight="1">
      <c r="C1240" s="537">
        <v>1</v>
      </c>
      <c r="D1240" s="196" t="s">
        <v>6954</v>
      </c>
      <c r="E1240" s="202" t="s">
        <v>6</v>
      </c>
      <c r="F1240" s="520">
        <v>1.43E-2</v>
      </c>
      <c r="G1240" s="205">
        <f>VLOOKUP(D1240,upahbahan,3,FALSE)</f>
        <v>181250</v>
      </c>
      <c r="H1240" s="210">
        <f t="shared" ref="H1240:H1242" si="83">F1240*G1240</f>
        <v>2591.875</v>
      </c>
      <c r="L1240" s="200"/>
      <c r="M1240" s="200"/>
      <c r="N1240" s="200"/>
      <c r="O1240" s="200"/>
      <c r="P1240" s="200"/>
    </row>
    <row r="1241" spans="3:20" s="517" customFormat="1" ht="31.2" customHeight="1">
      <c r="C1241" s="537">
        <v>2</v>
      </c>
      <c r="D1241" s="196" t="s">
        <v>6948</v>
      </c>
      <c r="E1241" s="202" t="s">
        <v>6</v>
      </c>
      <c r="F1241" s="520">
        <v>4.7999999999999996E-3</v>
      </c>
      <c r="G1241" s="205">
        <f>VLOOKUP(D1241,upahbahan,3,FALSE)</f>
        <v>218750</v>
      </c>
      <c r="H1241" s="210">
        <f t="shared" si="83"/>
        <v>1050</v>
      </c>
      <c r="L1241" s="200"/>
      <c r="M1241" s="200"/>
      <c r="N1241" s="200"/>
      <c r="O1241" s="200"/>
      <c r="P1241" s="200"/>
    </row>
    <row r="1242" spans="3:20" s="517" customFormat="1" ht="31.2" customHeight="1">
      <c r="C1242" s="537">
        <v>3</v>
      </c>
      <c r="D1242" s="196" t="s">
        <v>19</v>
      </c>
      <c r="E1242" s="202" t="s">
        <v>6</v>
      </c>
      <c r="F1242" s="520">
        <v>1.6000000000000001E-3</v>
      </c>
      <c r="G1242" s="205">
        <f>VLOOKUP(D1242,upahbahan,3,FALSE)</f>
        <v>160000</v>
      </c>
      <c r="H1242" s="210">
        <f t="shared" si="83"/>
        <v>256</v>
      </c>
      <c r="L1242" s="200"/>
      <c r="M1242" s="200"/>
      <c r="N1242" s="200"/>
      <c r="O1242" s="200"/>
      <c r="P1242" s="200"/>
    </row>
    <row r="1243" spans="3:20" s="517" customFormat="1" ht="31.2" customHeight="1">
      <c r="C1243" s="207" t="s">
        <v>1208</v>
      </c>
      <c r="D1243" s="208"/>
      <c r="E1243" s="208"/>
      <c r="F1243" s="521"/>
      <c r="G1243" s="522"/>
      <c r="H1243" s="210">
        <f>SUM(H1240:H1242)</f>
        <v>3897.875</v>
      </c>
      <c r="L1243" s="523"/>
      <c r="M1243" s="523"/>
      <c r="N1243" s="523"/>
      <c r="O1243" s="523"/>
      <c r="P1243" s="523"/>
    </row>
    <row r="1244" spans="3:20" s="517" customFormat="1" ht="31.2" customHeight="1">
      <c r="C1244" s="543" t="s">
        <v>1209</v>
      </c>
      <c r="D1244" s="750" t="s">
        <v>1210</v>
      </c>
      <c r="E1244" s="197"/>
      <c r="F1244" s="751"/>
      <c r="G1244" s="197"/>
      <c r="H1244" s="752"/>
      <c r="L1244" s="200"/>
      <c r="M1244" s="200"/>
      <c r="N1244" s="200"/>
      <c r="O1244" s="200"/>
      <c r="P1244" s="200"/>
    </row>
    <row r="1245" spans="3:20" s="517" customFormat="1" ht="31.2" customHeight="1">
      <c r="C1245" s="543">
        <v>1</v>
      </c>
      <c r="D1245" s="750" t="s">
        <v>7000</v>
      </c>
      <c r="E1245" s="203" t="s">
        <v>44</v>
      </c>
      <c r="F1245" s="753">
        <v>1.05</v>
      </c>
      <c r="G1245" s="205">
        <f>VLOOKUP(D1245,upahbahan,3,FALSE)</f>
        <v>0</v>
      </c>
      <c r="H1245" s="210">
        <f t="shared" ref="H1245:H1253" si="84">F1245*G1245</f>
        <v>0</v>
      </c>
      <c r="L1245" s="200"/>
      <c r="M1245" s="200"/>
      <c r="N1245" s="200"/>
      <c r="O1245" s="200"/>
      <c r="P1245" s="200"/>
    </row>
    <row r="1246" spans="3:20" s="517" customFormat="1" ht="31.2" customHeight="1">
      <c r="C1246" s="543">
        <v>2</v>
      </c>
      <c r="D1246" s="750" t="s">
        <v>5563</v>
      </c>
      <c r="E1246" s="203" t="s">
        <v>65</v>
      </c>
      <c r="F1246" s="753">
        <v>5.0000000000000001E-3</v>
      </c>
      <c r="G1246" s="205">
        <f>VLOOKUP(D1246,upahbahan,3,FALSE)</f>
        <v>0</v>
      </c>
      <c r="H1246" s="210">
        <f t="shared" si="84"/>
        <v>0</v>
      </c>
      <c r="L1246" s="200"/>
      <c r="M1246" s="200"/>
      <c r="N1246" s="200"/>
      <c r="O1246" s="200"/>
      <c r="P1246" s="200"/>
    </row>
    <row r="1247" spans="3:20" s="517" customFormat="1" ht="31.2" customHeight="1">
      <c r="C1247" s="543">
        <v>3</v>
      </c>
      <c r="D1247" s="750" t="s">
        <v>5555</v>
      </c>
      <c r="E1247" s="203"/>
      <c r="F1247" s="753"/>
      <c r="G1247" s="197"/>
      <c r="H1247" s="210">
        <f t="shared" si="84"/>
        <v>0</v>
      </c>
      <c r="L1247" s="200"/>
      <c r="M1247" s="200"/>
      <c r="N1247" s="200"/>
      <c r="O1247" s="200"/>
      <c r="P1247" s="200"/>
    </row>
    <row r="1248" spans="3:20" s="517" customFormat="1" ht="31.2" customHeight="1">
      <c r="C1248" s="754" t="s">
        <v>5293</v>
      </c>
      <c r="D1248" s="750" t="s">
        <v>6957</v>
      </c>
      <c r="E1248" s="203" t="s">
        <v>1300</v>
      </c>
      <c r="F1248" s="760">
        <v>6</v>
      </c>
      <c r="G1248" s="205">
        <f>VLOOKUP(D1248,upahbahan,3,FALSE)</f>
        <v>0</v>
      </c>
      <c r="H1248" s="210">
        <f t="shared" si="84"/>
        <v>0</v>
      </c>
      <c r="L1248" s="200"/>
      <c r="M1248" s="200"/>
      <c r="N1248" s="200"/>
      <c r="O1248" s="200"/>
      <c r="P1248" s="200"/>
    </row>
    <row r="1249" spans="3:16" s="517" customFormat="1" ht="31.2" customHeight="1">
      <c r="C1249" s="754" t="s">
        <v>5299</v>
      </c>
      <c r="D1249" s="750" t="s">
        <v>5560</v>
      </c>
      <c r="E1249" s="203" t="s">
        <v>113</v>
      </c>
      <c r="F1249" s="760">
        <v>10</v>
      </c>
      <c r="G1249" s="205">
        <f>VLOOKUP(D1249,upahbahan,3,FALSE)</f>
        <v>0</v>
      </c>
      <c r="H1249" s="210">
        <f t="shared" si="84"/>
        <v>0</v>
      </c>
      <c r="L1249" s="200"/>
      <c r="M1249" s="200"/>
      <c r="N1249" s="200"/>
      <c r="O1249" s="200"/>
      <c r="P1249" s="200"/>
    </row>
    <row r="1250" spans="3:16" s="517" customFormat="1" ht="31.2" customHeight="1">
      <c r="C1250" s="543">
        <v>4</v>
      </c>
      <c r="D1250" s="750" t="s">
        <v>5556</v>
      </c>
      <c r="E1250" s="203"/>
      <c r="F1250" s="753"/>
      <c r="G1250" s="197"/>
      <c r="H1250" s="210">
        <f t="shared" si="84"/>
        <v>0</v>
      </c>
      <c r="L1250" s="200"/>
      <c r="M1250" s="200"/>
      <c r="N1250" s="200"/>
      <c r="O1250" s="200"/>
      <c r="P1250" s="200"/>
    </row>
    <row r="1251" spans="3:16" s="517" customFormat="1" ht="31.2" customHeight="1">
      <c r="C1251" s="754" t="s">
        <v>5293</v>
      </c>
      <c r="D1251" s="750" t="s">
        <v>2084</v>
      </c>
      <c r="E1251" s="203" t="s">
        <v>42</v>
      </c>
      <c r="F1251" s="753">
        <v>1.46E-2</v>
      </c>
      <c r="G1251" s="205">
        <f>VLOOKUP(D1251,upahbahan,3,FALSE)</f>
        <v>0</v>
      </c>
      <c r="H1251" s="210">
        <f t="shared" si="84"/>
        <v>0</v>
      </c>
      <c r="L1251" s="200"/>
      <c r="M1251" s="200"/>
      <c r="N1251" s="200"/>
      <c r="O1251" s="200"/>
      <c r="P1251" s="200"/>
    </row>
    <row r="1252" spans="3:16" s="517" customFormat="1" ht="31.2" customHeight="1">
      <c r="C1252" s="754" t="s">
        <v>5299</v>
      </c>
      <c r="D1252" s="750" t="s">
        <v>5557</v>
      </c>
      <c r="E1252" s="203" t="s">
        <v>42</v>
      </c>
      <c r="F1252" s="753">
        <v>3.8999999999999998E-3</v>
      </c>
      <c r="G1252" s="205">
        <f>VLOOKUP(D1252,upahbahan,3,FALSE)</f>
        <v>0</v>
      </c>
      <c r="H1252" s="210">
        <f t="shared" si="84"/>
        <v>0</v>
      </c>
      <c r="L1252" s="200"/>
      <c r="M1252" s="200"/>
      <c r="N1252" s="200"/>
      <c r="O1252" s="200"/>
      <c r="P1252" s="200"/>
    </row>
    <row r="1253" spans="3:16" s="517" customFormat="1" ht="31.2" customHeight="1">
      <c r="C1253" s="754" t="s">
        <v>5558</v>
      </c>
      <c r="D1253" s="750" t="s">
        <v>6958</v>
      </c>
      <c r="E1253" s="203" t="s">
        <v>42</v>
      </c>
      <c r="F1253" s="755">
        <v>1E-3</v>
      </c>
      <c r="G1253" s="205">
        <f>VLOOKUP(D1253,upahbahan,3,FALSE)</f>
        <v>0</v>
      </c>
      <c r="H1253" s="210">
        <f t="shared" si="84"/>
        <v>0</v>
      </c>
      <c r="L1253" s="200"/>
      <c r="M1253" s="200"/>
      <c r="N1253" s="200"/>
      <c r="O1253" s="200"/>
      <c r="P1253" s="200"/>
    </row>
    <row r="1254" spans="3:16" s="517" customFormat="1" ht="31.2" customHeight="1">
      <c r="C1254" s="207" t="s">
        <v>1214</v>
      </c>
      <c r="D1254" s="208"/>
      <c r="E1254" s="568"/>
      <c r="F1254" s="208"/>
      <c r="G1254" s="209"/>
      <c r="H1254" s="210">
        <f>SUM(H1245:H1253)</f>
        <v>0</v>
      </c>
      <c r="L1254" s="200"/>
      <c r="M1254" s="200"/>
      <c r="N1254" s="200"/>
      <c r="O1254" s="200"/>
      <c r="P1254" s="200"/>
    </row>
    <row r="1255" spans="3:16" s="517" customFormat="1" ht="31.2" customHeight="1">
      <c r="C1255" s="756" t="s">
        <v>1215</v>
      </c>
      <c r="D1255" s="196" t="s">
        <v>1216</v>
      </c>
      <c r="E1255" s="203"/>
      <c r="F1255" s="197"/>
      <c r="G1255" s="197"/>
      <c r="H1255" s="198"/>
      <c r="L1255" s="200"/>
      <c r="M1255" s="200"/>
      <c r="N1255" s="200"/>
      <c r="O1255" s="200"/>
      <c r="P1255" s="200"/>
    </row>
    <row r="1256" spans="3:16" s="517" customFormat="1" ht="31.2" customHeight="1">
      <c r="C1256" s="207" t="s">
        <v>1217</v>
      </c>
      <c r="D1256" s="208"/>
      <c r="E1256" s="208"/>
      <c r="F1256" s="208"/>
      <c r="G1256" s="209"/>
      <c r="H1256" s="240">
        <f>SUM(H1255)</f>
        <v>0</v>
      </c>
      <c r="L1256" s="200"/>
      <c r="M1256" s="200"/>
      <c r="N1256" s="200"/>
      <c r="O1256" s="200"/>
      <c r="P1256" s="200"/>
    </row>
    <row r="1257" spans="3:16" s="517" customFormat="1" ht="31.2" customHeight="1">
      <c r="C1257" s="223" t="s">
        <v>1218</v>
      </c>
      <c r="D1257" s="224" t="s">
        <v>1219</v>
      </c>
      <c r="E1257" s="225"/>
      <c r="F1257" s="225"/>
      <c r="G1257" s="226"/>
      <c r="H1257" s="210">
        <f>H1256+H1254+H1243</f>
        <v>3897.875</v>
      </c>
      <c r="L1257" s="200"/>
      <c r="M1257" s="200"/>
      <c r="N1257" s="200"/>
      <c r="O1257" s="200"/>
      <c r="P1257" s="200"/>
    </row>
    <row r="1258" spans="3:16" s="517" customFormat="1" ht="31.2" customHeight="1">
      <c r="C1258" s="223" t="s">
        <v>1220</v>
      </c>
      <c r="D1258" s="224" t="s">
        <v>1321</v>
      </c>
      <c r="E1258" s="225"/>
      <c r="F1258" s="226"/>
      <c r="G1258" s="228">
        <v>0.1</v>
      </c>
      <c r="H1258" s="210">
        <f>H1257*G1258</f>
        <v>389.78750000000002</v>
      </c>
      <c r="L1258" s="200"/>
      <c r="M1258" s="200"/>
      <c r="N1258" s="200"/>
      <c r="O1258" s="200"/>
      <c r="P1258" s="200"/>
    </row>
    <row r="1259" spans="3:16" s="517" customFormat="1" ht="31.2" customHeight="1" thickBot="1">
      <c r="C1259" s="229" t="s">
        <v>1221</v>
      </c>
      <c r="D1259" s="230" t="s">
        <v>1222</v>
      </c>
      <c r="E1259" s="231"/>
      <c r="F1259" s="231"/>
      <c r="G1259" s="232"/>
      <c r="H1259" s="233">
        <f>SUM(H1257:H1258)</f>
        <v>4287.6625000000004</v>
      </c>
      <c r="L1259" s="200"/>
      <c r="M1259" s="200"/>
      <c r="N1259" s="200"/>
      <c r="O1259" s="200"/>
      <c r="P1259" s="200"/>
    </row>
    <row r="1260" spans="3:16" s="517" customFormat="1" ht="31.2" customHeight="1" thickTop="1">
      <c r="C1260" s="757"/>
      <c r="D1260" s="758" t="s">
        <v>6949</v>
      </c>
      <c r="E1260" s="758"/>
      <c r="F1260" s="758"/>
      <c r="G1260" s="758"/>
      <c r="H1260" s="759"/>
      <c r="L1260" s="200"/>
      <c r="M1260" s="200"/>
      <c r="N1260" s="200"/>
      <c r="O1260" s="200"/>
      <c r="P1260" s="200"/>
    </row>
    <row r="1261" spans="3:16" s="517" customFormat="1" ht="31.2" customHeight="1">
      <c r="C1261" s="757" t="s">
        <v>6950</v>
      </c>
      <c r="D1261" s="758"/>
      <c r="E1261" s="758"/>
      <c r="F1261" s="758"/>
      <c r="G1261" s="758" t="s">
        <v>6959</v>
      </c>
      <c r="H1261" s="759"/>
      <c r="L1261" s="200"/>
      <c r="M1261" s="200"/>
      <c r="N1261" s="200"/>
      <c r="O1261" s="200"/>
      <c r="P1261" s="200"/>
    </row>
    <row r="1262" spans="3:16" s="517" customFormat="1" ht="31.2" customHeight="1">
      <c r="C1262" s="200" t="s">
        <v>6951</v>
      </c>
      <c r="D1262" s="758"/>
      <c r="E1262" s="758"/>
      <c r="F1262" s="758"/>
      <c r="G1262" s="758"/>
      <c r="H1262" s="759"/>
      <c r="L1262" s="200"/>
      <c r="M1262" s="200"/>
      <c r="N1262" s="200"/>
      <c r="O1262" s="200"/>
      <c r="P1262" s="200"/>
    </row>
    <row r="1263" spans="3:16" ht="31.2" customHeight="1">
      <c r="C1263" s="200" t="s">
        <v>6952</v>
      </c>
    </row>
    <row r="1264" spans="3:16" ht="31.2" customHeight="1">
      <c r="C1264" s="200"/>
    </row>
    <row r="1265" spans="3:20" s="517" customFormat="1" ht="31.2" customHeight="1" thickBot="1">
      <c r="C1265" s="513" t="s">
        <v>7001</v>
      </c>
      <c r="D1265" s="748" t="s">
        <v>7002</v>
      </c>
      <c r="E1265" s="749"/>
      <c r="F1265" s="748"/>
      <c r="G1265" s="748"/>
      <c r="H1265" s="532"/>
      <c r="I1265" s="532"/>
      <c r="J1265" s="532"/>
      <c r="K1265" s="532"/>
      <c r="L1265" s="189">
        <f>ROUNDDOWN(H1287,-2)</f>
        <v>4200</v>
      </c>
      <c r="M1265" s="189"/>
      <c r="N1265" s="189"/>
      <c r="O1265" s="189"/>
      <c r="P1265" s="189"/>
      <c r="R1265" s="189">
        <f>ROUNDDOWN(H1287,-2)</f>
        <v>4200</v>
      </c>
      <c r="S1265" s="517" t="s">
        <v>6451</v>
      </c>
      <c r="T1265" s="517" t="s">
        <v>6963</v>
      </c>
    </row>
    <row r="1266" spans="3:20" s="517" customFormat="1" ht="31.2" customHeight="1" thickTop="1">
      <c r="C1266" s="190" t="s">
        <v>1195</v>
      </c>
      <c r="D1266" s="191" t="s">
        <v>1196</v>
      </c>
      <c r="E1266" s="191" t="s">
        <v>1197</v>
      </c>
      <c r="F1266" s="191" t="s">
        <v>1198</v>
      </c>
      <c r="G1266" s="191" t="s">
        <v>1199</v>
      </c>
      <c r="H1266" s="192" t="s">
        <v>1200</v>
      </c>
      <c r="L1266" s="200"/>
      <c r="M1266" s="200"/>
      <c r="N1266" s="200"/>
      <c r="O1266" s="200"/>
      <c r="P1266" s="200"/>
    </row>
    <row r="1267" spans="3:20" s="517" customFormat="1" ht="31.2" customHeight="1">
      <c r="C1267" s="518" t="s">
        <v>1201</v>
      </c>
      <c r="D1267" s="196" t="s">
        <v>1202</v>
      </c>
      <c r="E1267" s="197"/>
      <c r="F1267" s="197"/>
      <c r="G1267" s="197"/>
      <c r="H1267" s="198"/>
      <c r="L1267" s="200"/>
      <c r="M1267" s="200"/>
      <c r="N1267" s="200"/>
      <c r="O1267" s="200"/>
      <c r="P1267" s="200"/>
    </row>
    <row r="1268" spans="3:20" s="517" customFormat="1" ht="31.2" customHeight="1">
      <c r="C1268" s="537">
        <v>1</v>
      </c>
      <c r="D1268" s="196" t="s">
        <v>6954</v>
      </c>
      <c r="E1268" s="202" t="s">
        <v>6</v>
      </c>
      <c r="F1268" s="520">
        <v>1.43E-2</v>
      </c>
      <c r="G1268" s="205">
        <f>VLOOKUP(D1268,upahbahan,3,FALSE)</f>
        <v>181250</v>
      </c>
      <c r="H1268" s="210">
        <f t="shared" ref="H1268:H1270" si="85">F1268*G1268</f>
        <v>2591.875</v>
      </c>
      <c r="L1268" s="200"/>
      <c r="M1268" s="200"/>
      <c r="N1268" s="200"/>
      <c r="O1268" s="200"/>
      <c r="P1268" s="200"/>
    </row>
    <row r="1269" spans="3:20" s="517" customFormat="1" ht="31.2" customHeight="1">
      <c r="C1269" s="537">
        <v>2</v>
      </c>
      <c r="D1269" s="196" t="s">
        <v>6948</v>
      </c>
      <c r="E1269" s="202" t="s">
        <v>6</v>
      </c>
      <c r="F1269" s="520">
        <v>4.7999999999999996E-3</v>
      </c>
      <c r="G1269" s="205">
        <f>VLOOKUP(D1269,upahbahan,3,FALSE)</f>
        <v>218750</v>
      </c>
      <c r="H1269" s="210">
        <f t="shared" si="85"/>
        <v>1050</v>
      </c>
      <c r="L1269" s="200"/>
      <c r="M1269" s="200"/>
      <c r="N1269" s="200"/>
      <c r="O1269" s="200"/>
      <c r="P1269" s="200"/>
    </row>
    <row r="1270" spans="3:20" s="517" customFormat="1" ht="31.2" customHeight="1">
      <c r="C1270" s="537">
        <v>3</v>
      </c>
      <c r="D1270" s="196" t="s">
        <v>19</v>
      </c>
      <c r="E1270" s="202" t="s">
        <v>6</v>
      </c>
      <c r="F1270" s="520">
        <v>1.6000000000000001E-3</v>
      </c>
      <c r="G1270" s="205">
        <f>VLOOKUP(D1270,upahbahan,3,FALSE)</f>
        <v>160000</v>
      </c>
      <c r="H1270" s="210">
        <f t="shared" si="85"/>
        <v>256</v>
      </c>
      <c r="L1270" s="200"/>
      <c r="M1270" s="200"/>
      <c r="N1270" s="200"/>
      <c r="O1270" s="200"/>
      <c r="P1270" s="200"/>
    </row>
    <row r="1271" spans="3:20" s="517" customFormat="1" ht="31.2" customHeight="1">
      <c r="C1271" s="207" t="s">
        <v>1208</v>
      </c>
      <c r="D1271" s="208"/>
      <c r="E1271" s="208"/>
      <c r="F1271" s="521"/>
      <c r="G1271" s="522"/>
      <c r="H1271" s="210">
        <f>SUM(H1268:H1270)</f>
        <v>3897.875</v>
      </c>
      <c r="L1271" s="523"/>
      <c r="M1271" s="523"/>
      <c r="N1271" s="523"/>
      <c r="O1271" s="523"/>
      <c r="P1271" s="523"/>
    </row>
    <row r="1272" spans="3:20" s="517" customFormat="1" ht="31.2" customHeight="1">
      <c r="C1272" s="543" t="s">
        <v>1209</v>
      </c>
      <c r="D1272" s="750" t="s">
        <v>1210</v>
      </c>
      <c r="E1272" s="197"/>
      <c r="F1272" s="751"/>
      <c r="G1272" s="197"/>
      <c r="H1272" s="752"/>
      <c r="L1272" s="200"/>
      <c r="M1272" s="200"/>
      <c r="N1272" s="200"/>
      <c r="O1272" s="200"/>
      <c r="P1272" s="200"/>
    </row>
    <row r="1273" spans="3:20" s="517" customFormat="1" ht="31.2" customHeight="1">
      <c r="C1273" s="543">
        <v>1</v>
      </c>
      <c r="D1273" s="750" t="s">
        <v>7003</v>
      </c>
      <c r="E1273" s="203" t="s">
        <v>44</v>
      </c>
      <c r="F1273" s="753">
        <v>1.05</v>
      </c>
      <c r="G1273" s="205">
        <f>VLOOKUP(D1273,upahbahan,3,FALSE)</f>
        <v>0</v>
      </c>
      <c r="H1273" s="210">
        <f t="shared" ref="H1273:H1281" si="86">F1273*G1273</f>
        <v>0</v>
      </c>
      <c r="L1273" s="200"/>
      <c r="M1273" s="200"/>
      <c r="N1273" s="200"/>
      <c r="O1273" s="200"/>
      <c r="P1273" s="200"/>
    </row>
    <row r="1274" spans="3:20" s="517" customFormat="1" ht="31.2" customHeight="1">
      <c r="C1274" s="543">
        <v>2</v>
      </c>
      <c r="D1274" s="750" t="s">
        <v>5563</v>
      </c>
      <c r="E1274" s="203" t="s">
        <v>65</v>
      </c>
      <c r="F1274" s="753">
        <v>5.0000000000000001E-3</v>
      </c>
      <c r="G1274" s="205">
        <f>VLOOKUP(D1274,upahbahan,3,FALSE)</f>
        <v>0</v>
      </c>
      <c r="H1274" s="210">
        <f t="shared" si="86"/>
        <v>0</v>
      </c>
      <c r="L1274" s="200"/>
      <c r="M1274" s="200"/>
      <c r="N1274" s="200"/>
      <c r="O1274" s="200"/>
      <c r="P1274" s="200"/>
    </row>
    <row r="1275" spans="3:20" s="517" customFormat="1" ht="31.2" customHeight="1">
      <c r="C1275" s="543">
        <v>3</v>
      </c>
      <c r="D1275" s="750" t="s">
        <v>5555</v>
      </c>
      <c r="E1275" s="203"/>
      <c r="F1275" s="753"/>
      <c r="G1275" s="197"/>
      <c r="H1275" s="210">
        <f t="shared" si="86"/>
        <v>0</v>
      </c>
      <c r="L1275" s="200"/>
      <c r="M1275" s="200"/>
      <c r="N1275" s="200"/>
      <c r="O1275" s="200"/>
      <c r="P1275" s="200"/>
    </row>
    <row r="1276" spans="3:20" s="517" customFormat="1" ht="31.2" customHeight="1">
      <c r="C1276" s="754" t="s">
        <v>5293</v>
      </c>
      <c r="D1276" s="750" t="s">
        <v>6957</v>
      </c>
      <c r="E1276" s="203" t="s">
        <v>1300</v>
      </c>
      <c r="F1276" s="760">
        <v>6</v>
      </c>
      <c r="G1276" s="205">
        <f>VLOOKUP(D1276,upahbahan,3,FALSE)</f>
        <v>0</v>
      </c>
      <c r="H1276" s="210">
        <f t="shared" si="86"/>
        <v>0</v>
      </c>
      <c r="L1276" s="200"/>
      <c r="M1276" s="200"/>
      <c r="N1276" s="200"/>
      <c r="O1276" s="200"/>
      <c r="P1276" s="200"/>
    </row>
    <row r="1277" spans="3:20" s="517" customFormat="1" ht="31.2" customHeight="1">
      <c r="C1277" s="754" t="s">
        <v>5299</v>
      </c>
      <c r="D1277" s="750" t="s">
        <v>5560</v>
      </c>
      <c r="E1277" s="203" t="s">
        <v>113</v>
      </c>
      <c r="F1277" s="760">
        <v>10</v>
      </c>
      <c r="G1277" s="205">
        <f>VLOOKUP(D1277,upahbahan,3,FALSE)</f>
        <v>0</v>
      </c>
      <c r="H1277" s="210">
        <f t="shared" si="86"/>
        <v>0</v>
      </c>
      <c r="L1277" s="200"/>
      <c r="M1277" s="200"/>
      <c r="N1277" s="200"/>
      <c r="O1277" s="200"/>
      <c r="P1277" s="200"/>
    </row>
    <row r="1278" spans="3:20" s="517" customFormat="1" ht="31.2" customHeight="1">
      <c r="C1278" s="543">
        <v>4</v>
      </c>
      <c r="D1278" s="750" t="s">
        <v>5556</v>
      </c>
      <c r="E1278" s="203"/>
      <c r="F1278" s="753"/>
      <c r="G1278" s="197"/>
      <c r="H1278" s="210">
        <f t="shared" si="86"/>
        <v>0</v>
      </c>
      <c r="L1278" s="200"/>
      <c r="M1278" s="200"/>
      <c r="N1278" s="200"/>
      <c r="O1278" s="200"/>
      <c r="P1278" s="200"/>
    </row>
    <row r="1279" spans="3:20" s="517" customFormat="1" ht="31.2" customHeight="1">
      <c r="C1279" s="754" t="s">
        <v>5293</v>
      </c>
      <c r="D1279" s="750" t="s">
        <v>2084</v>
      </c>
      <c r="E1279" s="203" t="s">
        <v>42</v>
      </c>
      <c r="F1279" s="753">
        <v>1.46E-2</v>
      </c>
      <c r="G1279" s="205">
        <f>VLOOKUP(D1279,upahbahan,3,FALSE)</f>
        <v>0</v>
      </c>
      <c r="H1279" s="210">
        <f t="shared" si="86"/>
        <v>0</v>
      </c>
      <c r="L1279" s="200"/>
      <c r="M1279" s="200"/>
      <c r="N1279" s="200"/>
      <c r="O1279" s="200"/>
      <c r="P1279" s="200"/>
    </row>
    <row r="1280" spans="3:20" s="517" customFormat="1" ht="31.2" customHeight="1">
      <c r="C1280" s="754" t="s">
        <v>5299</v>
      </c>
      <c r="D1280" s="750" t="s">
        <v>5557</v>
      </c>
      <c r="E1280" s="203" t="s">
        <v>42</v>
      </c>
      <c r="F1280" s="753">
        <v>3.8999999999999998E-3</v>
      </c>
      <c r="G1280" s="205">
        <f>VLOOKUP(D1280,upahbahan,3,FALSE)</f>
        <v>0</v>
      </c>
      <c r="H1280" s="210">
        <f t="shared" si="86"/>
        <v>0</v>
      </c>
      <c r="L1280" s="200"/>
      <c r="M1280" s="200"/>
      <c r="N1280" s="200"/>
      <c r="O1280" s="200"/>
      <c r="P1280" s="200"/>
    </row>
    <row r="1281" spans="3:20" s="517" customFormat="1" ht="31.2" customHeight="1">
      <c r="C1281" s="754" t="s">
        <v>5558</v>
      </c>
      <c r="D1281" s="750" t="s">
        <v>6958</v>
      </c>
      <c r="E1281" s="203" t="s">
        <v>42</v>
      </c>
      <c r="F1281" s="755">
        <v>1E-3</v>
      </c>
      <c r="G1281" s="205">
        <f>VLOOKUP(D1281,upahbahan,3,FALSE)</f>
        <v>0</v>
      </c>
      <c r="H1281" s="210">
        <f t="shared" si="86"/>
        <v>0</v>
      </c>
      <c r="L1281" s="200"/>
      <c r="M1281" s="200"/>
      <c r="N1281" s="200"/>
      <c r="O1281" s="200"/>
      <c r="P1281" s="200"/>
    </row>
    <row r="1282" spans="3:20" s="517" customFormat="1" ht="31.2" customHeight="1">
      <c r="C1282" s="207" t="s">
        <v>1214</v>
      </c>
      <c r="D1282" s="208"/>
      <c r="E1282" s="568"/>
      <c r="F1282" s="208"/>
      <c r="G1282" s="209"/>
      <c r="H1282" s="210">
        <f>SUM(H1273:H1281)</f>
        <v>0</v>
      </c>
      <c r="L1282" s="200"/>
      <c r="M1282" s="200"/>
      <c r="N1282" s="200"/>
      <c r="O1282" s="200"/>
      <c r="P1282" s="200"/>
    </row>
    <row r="1283" spans="3:20" s="517" customFormat="1" ht="31.2" customHeight="1">
      <c r="C1283" s="756" t="s">
        <v>1215</v>
      </c>
      <c r="D1283" s="196" t="s">
        <v>1216</v>
      </c>
      <c r="E1283" s="203"/>
      <c r="F1283" s="197"/>
      <c r="G1283" s="197"/>
      <c r="H1283" s="198"/>
      <c r="L1283" s="200"/>
      <c r="M1283" s="200"/>
      <c r="N1283" s="200"/>
      <c r="O1283" s="200"/>
      <c r="P1283" s="200"/>
    </row>
    <row r="1284" spans="3:20" s="517" customFormat="1" ht="31.2" customHeight="1">
      <c r="C1284" s="207" t="s">
        <v>1217</v>
      </c>
      <c r="D1284" s="208"/>
      <c r="E1284" s="208"/>
      <c r="F1284" s="208"/>
      <c r="G1284" s="209"/>
      <c r="H1284" s="240">
        <f>SUM(H1283)</f>
        <v>0</v>
      </c>
      <c r="L1284" s="200"/>
      <c r="M1284" s="200"/>
      <c r="N1284" s="200"/>
      <c r="O1284" s="200"/>
      <c r="P1284" s="200"/>
    </row>
    <row r="1285" spans="3:20" s="517" customFormat="1" ht="31.2" customHeight="1">
      <c r="C1285" s="223" t="s">
        <v>1218</v>
      </c>
      <c r="D1285" s="224" t="s">
        <v>1219</v>
      </c>
      <c r="E1285" s="225"/>
      <c r="F1285" s="225"/>
      <c r="G1285" s="226"/>
      <c r="H1285" s="210">
        <f>H1284+H1282+H1271</f>
        <v>3897.875</v>
      </c>
      <c r="L1285" s="200"/>
      <c r="M1285" s="200"/>
      <c r="N1285" s="200"/>
      <c r="O1285" s="200"/>
      <c r="P1285" s="200"/>
    </row>
    <row r="1286" spans="3:20" s="517" customFormat="1" ht="31.2" customHeight="1">
      <c r="C1286" s="223" t="s">
        <v>1220</v>
      </c>
      <c r="D1286" s="224" t="s">
        <v>1321</v>
      </c>
      <c r="E1286" s="225"/>
      <c r="F1286" s="226"/>
      <c r="G1286" s="228">
        <v>0.1</v>
      </c>
      <c r="H1286" s="210">
        <f>H1285*G1286</f>
        <v>389.78750000000002</v>
      </c>
      <c r="L1286" s="200"/>
      <c r="M1286" s="200"/>
      <c r="N1286" s="200"/>
      <c r="O1286" s="200"/>
      <c r="P1286" s="200"/>
    </row>
    <row r="1287" spans="3:20" s="517" customFormat="1" ht="31.2" customHeight="1" thickBot="1">
      <c r="C1287" s="229" t="s">
        <v>1221</v>
      </c>
      <c r="D1287" s="230" t="s">
        <v>1222</v>
      </c>
      <c r="E1287" s="231"/>
      <c r="F1287" s="231"/>
      <c r="G1287" s="232"/>
      <c r="H1287" s="233">
        <f>SUM(H1285:H1286)</f>
        <v>4287.6625000000004</v>
      </c>
      <c r="L1287" s="200"/>
      <c r="M1287" s="200"/>
      <c r="N1287" s="200"/>
      <c r="O1287" s="200"/>
      <c r="P1287" s="200"/>
    </row>
    <row r="1288" spans="3:20" s="517" customFormat="1" ht="31.2" customHeight="1" thickTop="1">
      <c r="C1288" s="757"/>
      <c r="D1288" s="758" t="s">
        <v>6949</v>
      </c>
      <c r="E1288" s="758"/>
      <c r="F1288" s="758"/>
      <c r="G1288" s="758"/>
      <c r="H1288" s="759"/>
      <c r="L1288" s="200"/>
      <c r="M1288" s="200"/>
      <c r="N1288" s="200"/>
      <c r="O1288" s="200"/>
      <c r="P1288" s="200"/>
    </row>
    <row r="1289" spans="3:20" s="517" customFormat="1" ht="31.2" customHeight="1">
      <c r="C1289" s="757" t="s">
        <v>6950</v>
      </c>
      <c r="D1289" s="758"/>
      <c r="E1289" s="758"/>
      <c r="F1289" s="758"/>
      <c r="G1289" s="758" t="s">
        <v>6959</v>
      </c>
      <c r="H1289" s="759"/>
      <c r="L1289" s="200"/>
      <c r="M1289" s="200"/>
      <c r="N1289" s="200"/>
      <c r="O1289" s="200"/>
      <c r="P1289" s="200"/>
    </row>
    <row r="1290" spans="3:20" s="517" customFormat="1" ht="31.2" customHeight="1">
      <c r="C1290" s="200" t="s">
        <v>6951</v>
      </c>
      <c r="D1290" s="758"/>
      <c r="E1290" s="758"/>
      <c r="F1290" s="758"/>
      <c r="G1290" s="758"/>
      <c r="H1290" s="759"/>
      <c r="L1290" s="200"/>
      <c r="M1290" s="200"/>
      <c r="N1290" s="200"/>
      <c r="O1290" s="200"/>
      <c r="P1290" s="200"/>
    </row>
    <row r="1291" spans="3:20" ht="31.2" customHeight="1">
      <c r="C1291" s="200" t="s">
        <v>6952</v>
      </c>
    </row>
    <row r="1292" spans="3:20" ht="31.2" customHeight="1">
      <c r="C1292" s="200"/>
    </row>
    <row r="1293" spans="3:20" s="517" customFormat="1" ht="31.2" customHeight="1" thickBot="1">
      <c r="C1293" s="513" t="s">
        <v>7004</v>
      </c>
      <c r="D1293" s="748" t="s">
        <v>7005</v>
      </c>
      <c r="E1293" s="749"/>
      <c r="F1293" s="748"/>
      <c r="G1293" s="748"/>
      <c r="H1293" s="532"/>
      <c r="I1293" s="532"/>
      <c r="J1293" s="532"/>
      <c r="K1293" s="532"/>
      <c r="L1293" s="189">
        <f>ROUNDDOWN(H1315,-2)</f>
        <v>4200</v>
      </c>
      <c r="M1293" s="189"/>
      <c r="N1293" s="189"/>
      <c r="O1293" s="189"/>
      <c r="P1293" s="189"/>
      <c r="R1293" s="189">
        <f>ROUNDDOWN(H1315,-2)</f>
        <v>4200</v>
      </c>
      <c r="S1293" s="517" t="s">
        <v>6451</v>
      </c>
      <c r="T1293" s="517" t="s">
        <v>6963</v>
      </c>
    </row>
    <row r="1294" spans="3:20" s="517" customFormat="1" ht="31.2" customHeight="1" thickTop="1">
      <c r="C1294" s="190" t="s">
        <v>1195</v>
      </c>
      <c r="D1294" s="191" t="s">
        <v>1196</v>
      </c>
      <c r="E1294" s="191" t="s">
        <v>1197</v>
      </c>
      <c r="F1294" s="191" t="s">
        <v>1198</v>
      </c>
      <c r="G1294" s="191" t="s">
        <v>1199</v>
      </c>
      <c r="H1294" s="192" t="s">
        <v>1200</v>
      </c>
      <c r="L1294" s="200"/>
      <c r="M1294" s="200"/>
      <c r="N1294" s="200"/>
      <c r="O1294" s="200"/>
      <c r="P1294" s="200"/>
    </row>
    <row r="1295" spans="3:20" s="517" customFormat="1" ht="31.2" customHeight="1">
      <c r="C1295" s="518" t="s">
        <v>1201</v>
      </c>
      <c r="D1295" s="196" t="s">
        <v>1202</v>
      </c>
      <c r="E1295" s="197"/>
      <c r="F1295" s="197"/>
      <c r="G1295" s="197"/>
      <c r="H1295" s="198"/>
      <c r="L1295" s="200"/>
      <c r="M1295" s="200"/>
      <c r="N1295" s="200"/>
      <c r="O1295" s="200"/>
      <c r="P1295" s="200"/>
    </row>
    <row r="1296" spans="3:20" s="517" customFormat="1" ht="31.2" customHeight="1">
      <c r="C1296" s="537">
        <v>1</v>
      </c>
      <c r="D1296" s="196" t="s">
        <v>6954</v>
      </c>
      <c r="E1296" s="202" t="s">
        <v>6</v>
      </c>
      <c r="F1296" s="520">
        <v>1.43E-2</v>
      </c>
      <c r="G1296" s="205">
        <f>VLOOKUP(D1296,upahbahan,3,FALSE)</f>
        <v>181250</v>
      </c>
      <c r="H1296" s="210">
        <f t="shared" ref="H1296:H1298" si="87">F1296*G1296</f>
        <v>2591.875</v>
      </c>
      <c r="L1296" s="200"/>
      <c r="M1296" s="200"/>
      <c r="N1296" s="200"/>
      <c r="O1296" s="200"/>
      <c r="P1296" s="200"/>
    </row>
    <row r="1297" spans="3:16" s="517" customFormat="1" ht="31.2" customHeight="1">
      <c r="C1297" s="537">
        <v>2</v>
      </c>
      <c r="D1297" s="196" t="s">
        <v>6948</v>
      </c>
      <c r="E1297" s="202" t="s">
        <v>6</v>
      </c>
      <c r="F1297" s="520">
        <v>4.7999999999999996E-3</v>
      </c>
      <c r="G1297" s="205">
        <f>VLOOKUP(D1297,upahbahan,3,FALSE)</f>
        <v>218750</v>
      </c>
      <c r="H1297" s="210">
        <f t="shared" si="87"/>
        <v>1050</v>
      </c>
      <c r="L1297" s="200"/>
      <c r="M1297" s="200"/>
      <c r="N1297" s="200"/>
      <c r="O1297" s="200"/>
      <c r="P1297" s="200"/>
    </row>
    <row r="1298" spans="3:16" s="517" customFormat="1" ht="31.2" customHeight="1">
      <c r="C1298" s="537">
        <v>3</v>
      </c>
      <c r="D1298" s="196" t="s">
        <v>19</v>
      </c>
      <c r="E1298" s="202" t="s">
        <v>6</v>
      </c>
      <c r="F1298" s="520">
        <v>1.6000000000000001E-3</v>
      </c>
      <c r="G1298" s="205">
        <f>VLOOKUP(D1298,upahbahan,3,FALSE)</f>
        <v>160000</v>
      </c>
      <c r="H1298" s="210">
        <f t="shared" si="87"/>
        <v>256</v>
      </c>
      <c r="L1298" s="200"/>
      <c r="M1298" s="200"/>
      <c r="N1298" s="200"/>
      <c r="O1298" s="200"/>
      <c r="P1298" s="200"/>
    </row>
    <row r="1299" spans="3:16" s="517" customFormat="1" ht="31.2" customHeight="1">
      <c r="C1299" s="207" t="s">
        <v>1208</v>
      </c>
      <c r="D1299" s="208"/>
      <c r="E1299" s="208"/>
      <c r="F1299" s="521"/>
      <c r="G1299" s="522"/>
      <c r="H1299" s="210">
        <f>SUM(H1296:H1298)</f>
        <v>3897.875</v>
      </c>
      <c r="L1299" s="523"/>
      <c r="M1299" s="523"/>
      <c r="N1299" s="523"/>
      <c r="O1299" s="523"/>
      <c r="P1299" s="523"/>
    </row>
    <row r="1300" spans="3:16" s="517" customFormat="1" ht="31.2" customHeight="1">
      <c r="C1300" s="543" t="s">
        <v>1209</v>
      </c>
      <c r="D1300" s="750" t="s">
        <v>1210</v>
      </c>
      <c r="E1300" s="197"/>
      <c r="F1300" s="751"/>
      <c r="G1300" s="197"/>
      <c r="H1300" s="752"/>
      <c r="L1300" s="200"/>
      <c r="M1300" s="200"/>
      <c r="N1300" s="200"/>
      <c r="O1300" s="200"/>
      <c r="P1300" s="200"/>
    </row>
    <row r="1301" spans="3:16" s="517" customFormat="1" ht="31.2" customHeight="1">
      <c r="C1301" s="543">
        <v>1</v>
      </c>
      <c r="D1301" s="750" t="s">
        <v>7006</v>
      </c>
      <c r="E1301" s="203" t="s">
        <v>44</v>
      </c>
      <c r="F1301" s="753">
        <v>1.05</v>
      </c>
      <c r="G1301" s="205">
        <f>VLOOKUP(D1301,upahbahan,3,FALSE)</f>
        <v>0</v>
      </c>
      <c r="H1301" s="210">
        <f t="shared" ref="H1301:H1309" si="88">F1301*G1301</f>
        <v>0</v>
      </c>
      <c r="L1301" s="200"/>
      <c r="M1301" s="200"/>
      <c r="N1301" s="200"/>
      <c r="O1301" s="200"/>
      <c r="P1301" s="200"/>
    </row>
    <row r="1302" spans="3:16" s="517" customFormat="1" ht="31.2" customHeight="1">
      <c r="C1302" s="543">
        <v>2</v>
      </c>
      <c r="D1302" s="750" t="s">
        <v>5563</v>
      </c>
      <c r="E1302" s="203" t="s">
        <v>65</v>
      </c>
      <c r="F1302" s="753">
        <v>5.0000000000000001E-3</v>
      </c>
      <c r="G1302" s="205">
        <f>VLOOKUP(D1302,upahbahan,3,FALSE)</f>
        <v>0</v>
      </c>
      <c r="H1302" s="210">
        <f t="shared" si="88"/>
        <v>0</v>
      </c>
      <c r="L1302" s="200"/>
      <c r="M1302" s="200"/>
      <c r="N1302" s="200"/>
      <c r="O1302" s="200"/>
      <c r="P1302" s="200"/>
    </row>
    <row r="1303" spans="3:16" s="517" customFormat="1" ht="31.2" customHeight="1">
      <c r="C1303" s="543">
        <v>3</v>
      </c>
      <c r="D1303" s="750" t="s">
        <v>5555</v>
      </c>
      <c r="E1303" s="203"/>
      <c r="F1303" s="753"/>
      <c r="G1303" s="197"/>
      <c r="H1303" s="210">
        <f t="shared" si="88"/>
        <v>0</v>
      </c>
      <c r="L1303" s="200"/>
      <c r="M1303" s="200"/>
      <c r="N1303" s="200"/>
      <c r="O1303" s="200"/>
      <c r="P1303" s="200"/>
    </row>
    <row r="1304" spans="3:16" s="517" customFormat="1" ht="31.2" customHeight="1">
      <c r="C1304" s="754" t="s">
        <v>5293</v>
      </c>
      <c r="D1304" s="750" t="s">
        <v>6957</v>
      </c>
      <c r="E1304" s="203" t="s">
        <v>1300</v>
      </c>
      <c r="F1304" s="760">
        <v>6</v>
      </c>
      <c r="G1304" s="205">
        <f>VLOOKUP(D1304,upahbahan,3,FALSE)</f>
        <v>0</v>
      </c>
      <c r="H1304" s="210">
        <f t="shared" si="88"/>
        <v>0</v>
      </c>
      <c r="L1304" s="200"/>
      <c r="M1304" s="200"/>
      <c r="N1304" s="200"/>
      <c r="O1304" s="200"/>
      <c r="P1304" s="200"/>
    </row>
    <row r="1305" spans="3:16" s="517" customFormat="1" ht="31.2" customHeight="1">
      <c r="C1305" s="754" t="s">
        <v>5299</v>
      </c>
      <c r="D1305" s="750" t="s">
        <v>5560</v>
      </c>
      <c r="E1305" s="203" t="s">
        <v>113</v>
      </c>
      <c r="F1305" s="760">
        <v>10</v>
      </c>
      <c r="G1305" s="205">
        <f>VLOOKUP(D1305,upahbahan,3,FALSE)</f>
        <v>0</v>
      </c>
      <c r="H1305" s="210">
        <f t="shared" si="88"/>
        <v>0</v>
      </c>
      <c r="L1305" s="200"/>
      <c r="M1305" s="200"/>
      <c r="N1305" s="200"/>
      <c r="O1305" s="200"/>
      <c r="P1305" s="200"/>
    </row>
    <row r="1306" spans="3:16" s="517" customFormat="1" ht="31.2" customHeight="1">
      <c r="C1306" s="543">
        <v>4</v>
      </c>
      <c r="D1306" s="750" t="s">
        <v>5556</v>
      </c>
      <c r="E1306" s="203"/>
      <c r="F1306" s="753"/>
      <c r="G1306" s="197"/>
      <c r="H1306" s="210">
        <f t="shared" si="88"/>
        <v>0</v>
      </c>
      <c r="L1306" s="200"/>
      <c r="M1306" s="200"/>
      <c r="N1306" s="200"/>
      <c r="O1306" s="200"/>
      <c r="P1306" s="200"/>
    </row>
    <row r="1307" spans="3:16" s="517" customFormat="1" ht="31.2" customHeight="1">
      <c r="C1307" s="754" t="s">
        <v>5293</v>
      </c>
      <c r="D1307" s="750" t="s">
        <v>2084</v>
      </c>
      <c r="E1307" s="203" t="s">
        <v>42</v>
      </c>
      <c r="F1307" s="753">
        <v>1.46E-2</v>
      </c>
      <c r="G1307" s="205">
        <f>VLOOKUP(D1307,upahbahan,3,FALSE)</f>
        <v>0</v>
      </c>
      <c r="H1307" s="210">
        <f t="shared" si="88"/>
        <v>0</v>
      </c>
      <c r="L1307" s="200"/>
      <c r="M1307" s="200"/>
      <c r="N1307" s="200"/>
      <c r="O1307" s="200"/>
      <c r="P1307" s="200"/>
    </row>
    <row r="1308" spans="3:16" s="517" customFormat="1" ht="31.2" customHeight="1">
      <c r="C1308" s="754" t="s">
        <v>5299</v>
      </c>
      <c r="D1308" s="750" t="s">
        <v>5557</v>
      </c>
      <c r="E1308" s="203" t="s">
        <v>42</v>
      </c>
      <c r="F1308" s="753">
        <v>3.8999999999999998E-3</v>
      </c>
      <c r="G1308" s="205">
        <f>VLOOKUP(D1308,upahbahan,3,FALSE)</f>
        <v>0</v>
      </c>
      <c r="H1308" s="210">
        <f t="shared" si="88"/>
        <v>0</v>
      </c>
      <c r="L1308" s="200"/>
      <c r="M1308" s="200"/>
      <c r="N1308" s="200"/>
      <c r="O1308" s="200"/>
      <c r="P1308" s="200"/>
    </row>
    <row r="1309" spans="3:16" s="517" customFormat="1" ht="31.2" customHeight="1">
      <c r="C1309" s="754" t="s">
        <v>5558</v>
      </c>
      <c r="D1309" s="750" t="s">
        <v>6958</v>
      </c>
      <c r="E1309" s="203" t="s">
        <v>42</v>
      </c>
      <c r="F1309" s="755">
        <v>1E-3</v>
      </c>
      <c r="G1309" s="205">
        <f>VLOOKUP(D1309,upahbahan,3,FALSE)</f>
        <v>0</v>
      </c>
      <c r="H1309" s="210">
        <f t="shared" si="88"/>
        <v>0</v>
      </c>
      <c r="L1309" s="200"/>
      <c r="M1309" s="200"/>
      <c r="N1309" s="200"/>
      <c r="O1309" s="200"/>
      <c r="P1309" s="200"/>
    </row>
    <row r="1310" spans="3:16" s="517" customFormat="1" ht="31.2" customHeight="1">
      <c r="C1310" s="207" t="s">
        <v>1214</v>
      </c>
      <c r="D1310" s="208"/>
      <c r="E1310" s="568"/>
      <c r="F1310" s="208"/>
      <c r="G1310" s="209"/>
      <c r="H1310" s="210">
        <f>SUM(H1301:H1309)</f>
        <v>0</v>
      </c>
      <c r="L1310" s="200"/>
      <c r="M1310" s="200"/>
      <c r="N1310" s="200"/>
      <c r="O1310" s="200"/>
      <c r="P1310" s="200"/>
    </row>
    <row r="1311" spans="3:16" s="517" customFormat="1" ht="31.2" customHeight="1">
      <c r="C1311" s="756" t="s">
        <v>1215</v>
      </c>
      <c r="D1311" s="196" t="s">
        <v>1216</v>
      </c>
      <c r="E1311" s="203"/>
      <c r="F1311" s="197"/>
      <c r="G1311" s="197"/>
      <c r="H1311" s="198"/>
      <c r="L1311" s="200"/>
      <c r="M1311" s="200"/>
      <c r="N1311" s="200"/>
      <c r="O1311" s="200"/>
      <c r="P1311" s="200"/>
    </row>
    <row r="1312" spans="3:16" s="517" customFormat="1" ht="31.2" customHeight="1">
      <c r="C1312" s="207" t="s">
        <v>1217</v>
      </c>
      <c r="D1312" s="208"/>
      <c r="E1312" s="208"/>
      <c r="F1312" s="208"/>
      <c r="G1312" s="209"/>
      <c r="H1312" s="240">
        <f>SUM(H1311)</f>
        <v>0</v>
      </c>
      <c r="L1312" s="200"/>
      <c r="M1312" s="200"/>
      <c r="N1312" s="200"/>
      <c r="O1312" s="200"/>
      <c r="P1312" s="200"/>
    </row>
    <row r="1313" spans="3:20" s="517" customFormat="1" ht="31.2" customHeight="1">
      <c r="C1313" s="223" t="s">
        <v>1218</v>
      </c>
      <c r="D1313" s="224" t="s">
        <v>1219</v>
      </c>
      <c r="E1313" s="225"/>
      <c r="F1313" s="225"/>
      <c r="G1313" s="226"/>
      <c r="H1313" s="210">
        <f>H1312+H1310+H1299</f>
        <v>3897.875</v>
      </c>
      <c r="L1313" s="200"/>
      <c r="M1313" s="200"/>
      <c r="N1313" s="200"/>
      <c r="O1313" s="200"/>
      <c r="P1313" s="200"/>
    </row>
    <row r="1314" spans="3:20" s="517" customFormat="1" ht="31.2" customHeight="1">
      <c r="C1314" s="223" t="s">
        <v>1220</v>
      </c>
      <c r="D1314" s="224" t="s">
        <v>1321</v>
      </c>
      <c r="E1314" s="225"/>
      <c r="F1314" s="226"/>
      <c r="G1314" s="228">
        <v>0.1</v>
      </c>
      <c r="H1314" s="210">
        <f>H1313*G1314</f>
        <v>389.78750000000002</v>
      </c>
      <c r="L1314" s="200"/>
      <c r="M1314" s="200"/>
      <c r="N1314" s="200"/>
      <c r="O1314" s="200"/>
      <c r="P1314" s="200"/>
    </row>
    <row r="1315" spans="3:20" s="517" customFormat="1" ht="31.2" customHeight="1" thickBot="1">
      <c r="C1315" s="229" t="s">
        <v>1221</v>
      </c>
      <c r="D1315" s="230" t="s">
        <v>1222</v>
      </c>
      <c r="E1315" s="231"/>
      <c r="F1315" s="231"/>
      <c r="G1315" s="232"/>
      <c r="H1315" s="233">
        <f>SUM(H1313:H1314)</f>
        <v>4287.6625000000004</v>
      </c>
      <c r="L1315" s="200"/>
      <c r="M1315" s="200"/>
      <c r="N1315" s="200"/>
      <c r="O1315" s="200"/>
      <c r="P1315" s="200"/>
    </row>
    <row r="1316" spans="3:20" s="517" customFormat="1" ht="31.2" customHeight="1" thickTop="1">
      <c r="C1316" s="757"/>
      <c r="D1316" s="758" t="s">
        <v>6949</v>
      </c>
      <c r="E1316" s="758"/>
      <c r="F1316" s="758"/>
      <c r="G1316" s="758"/>
      <c r="H1316" s="759"/>
      <c r="L1316" s="200"/>
      <c r="M1316" s="200"/>
      <c r="N1316" s="200"/>
      <c r="O1316" s="200"/>
      <c r="P1316" s="200"/>
    </row>
    <row r="1317" spans="3:20" s="517" customFormat="1" ht="31.2" customHeight="1">
      <c r="C1317" s="757" t="s">
        <v>6950</v>
      </c>
      <c r="D1317" s="758"/>
      <c r="E1317" s="758"/>
      <c r="F1317" s="758"/>
      <c r="G1317" s="758" t="s">
        <v>6959</v>
      </c>
      <c r="H1317" s="759"/>
      <c r="L1317" s="200"/>
      <c r="M1317" s="200"/>
      <c r="N1317" s="200"/>
      <c r="O1317" s="200"/>
      <c r="P1317" s="200"/>
    </row>
    <row r="1318" spans="3:20" s="517" customFormat="1" ht="31.2" customHeight="1">
      <c r="C1318" s="200" t="s">
        <v>6951</v>
      </c>
      <c r="D1318" s="758"/>
      <c r="E1318" s="758"/>
      <c r="F1318" s="758"/>
      <c r="G1318" s="758"/>
      <c r="H1318" s="759"/>
      <c r="L1318" s="200"/>
      <c r="M1318" s="200"/>
      <c r="N1318" s="200"/>
      <c r="O1318" s="200"/>
      <c r="P1318" s="200"/>
    </row>
    <row r="1319" spans="3:20" ht="31.2" customHeight="1">
      <c r="C1319" s="200" t="s">
        <v>6952</v>
      </c>
    </row>
    <row r="1320" spans="3:20" ht="31.2" customHeight="1">
      <c r="C1320" s="200"/>
    </row>
    <row r="1321" spans="3:20" s="517" customFormat="1" ht="31.2" customHeight="1" thickBot="1">
      <c r="C1321" s="513" t="s">
        <v>7007</v>
      </c>
      <c r="D1321" s="748" t="s">
        <v>7008</v>
      </c>
      <c r="E1321" s="749"/>
      <c r="F1321" s="748"/>
      <c r="G1321" s="748"/>
      <c r="H1321" s="532"/>
      <c r="I1321" s="532"/>
      <c r="J1321" s="532"/>
      <c r="K1321" s="532"/>
      <c r="L1321" s="189">
        <f>ROUNDDOWN(H1343,-2)</f>
        <v>4200</v>
      </c>
      <c r="M1321" s="189"/>
      <c r="N1321" s="189"/>
      <c r="O1321" s="189"/>
      <c r="P1321" s="189"/>
      <c r="R1321" s="189">
        <f>ROUNDDOWN(H1343,-2)</f>
        <v>4200</v>
      </c>
      <c r="S1321" s="517" t="s">
        <v>6451</v>
      </c>
      <c r="T1321" s="517" t="s">
        <v>6963</v>
      </c>
    </row>
    <row r="1322" spans="3:20" s="517" customFormat="1" ht="31.2" customHeight="1" thickTop="1">
      <c r="C1322" s="190" t="s">
        <v>1195</v>
      </c>
      <c r="D1322" s="191" t="s">
        <v>1196</v>
      </c>
      <c r="E1322" s="191" t="s">
        <v>1197</v>
      </c>
      <c r="F1322" s="191" t="s">
        <v>1198</v>
      </c>
      <c r="G1322" s="191" t="s">
        <v>1199</v>
      </c>
      <c r="H1322" s="192" t="s">
        <v>1200</v>
      </c>
      <c r="L1322" s="200"/>
      <c r="M1322" s="200"/>
      <c r="N1322" s="200"/>
      <c r="O1322" s="200"/>
      <c r="P1322" s="200"/>
    </row>
    <row r="1323" spans="3:20" s="517" customFormat="1" ht="31.2" customHeight="1">
      <c r="C1323" s="518" t="s">
        <v>1201</v>
      </c>
      <c r="D1323" s="196" t="s">
        <v>1202</v>
      </c>
      <c r="E1323" s="197"/>
      <c r="F1323" s="197"/>
      <c r="G1323" s="197"/>
      <c r="H1323" s="198"/>
      <c r="L1323" s="200"/>
      <c r="M1323" s="200"/>
      <c r="N1323" s="200"/>
      <c r="O1323" s="200"/>
      <c r="P1323" s="200"/>
    </row>
    <row r="1324" spans="3:20" s="517" customFormat="1" ht="31.2" customHeight="1">
      <c r="C1324" s="537">
        <v>1</v>
      </c>
      <c r="D1324" s="196" t="s">
        <v>6954</v>
      </c>
      <c r="E1324" s="202" t="s">
        <v>6</v>
      </c>
      <c r="F1324" s="520">
        <v>1.43E-2</v>
      </c>
      <c r="G1324" s="205">
        <f>VLOOKUP(D1324,upahbahan,3,FALSE)</f>
        <v>181250</v>
      </c>
      <c r="H1324" s="210">
        <f t="shared" ref="H1324:H1326" si="89">F1324*G1324</f>
        <v>2591.875</v>
      </c>
      <c r="L1324" s="200"/>
      <c r="M1324" s="200"/>
      <c r="N1324" s="200"/>
      <c r="O1324" s="200"/>
      <c r="P1324" s="200"/>
    </row>
    <row r="1325" spans="3:20" s="517" customFormat="1" ht="31.2" customHeight="1">
      <c r="C1325" s="537">
        <v>2</v>
      </c>
      <c r="D1325" s="196" t="s">
        <v>6948</v>
      </c>
      <c r="E1325" s="202" t="s">
        <v>6</v>
      </c>
      <c r="F1325" s="520">
        <v>4.7999999999999996E-3</v>
      </c>
      <c r="G1325" s="205">
        <f>VLOOKUP(D1325,upahbahan,3,FALSE)</f>
        <v>218750</v>
      </c>
      <c r="H1325" s="210">
        <f t="shared" si="89"/>
        <v>1050</v>
      </c>
      <c r="L1325" s="200"/>
      <c r="M1325" s="200"/>
      <c r="N1325" s="200"/>
      <c r="O1325" s="200"/>
      <c r="P1325" s="200"/>
    </row>
    <row r="1326" spans="3:20" s="517" customFormat="1" ht="31.2" customHeight="1">
      <c r="C1326" s="537">
        <v>3</v>
      </c>
      <c r="D1326" s="196" t="s">
        <v>19</v>
      </c>
      <c r="E1326" s="202" t="s">
        <v>6</v>
      </c>
      <c r="F1326" s="520">
        <v>1.6000000000000001E-3</v>
      </c>
      <c r="G1326" s="205">
        <f>VLOOKUP(D1326,upahbahan,3,FALSE)</f>
        <v>160000</v>
      </c>
      <c r="H1326" s="210">
        <f t="shared" si="89"/>
        <v>256</v>
      </c>
      <c r="L1326" s="200"/>
      <c r="M1326" s="200"/>
      <c r="N1326" s="200"/>
      <c r="O1326" s="200"/>
      <c r="P1326" s="200"/>
    </row>
    <row r="1327" spans="3:20" s="517" customFormat="1" ht="31.2" customHeight="1">
      <c r="C1327" s="207" t="s">
        <v>1208</v>
      </c>
      <c r="D1327" s="208"/>
      <c r="E1327" s="208"/>
      <c r="F1327" s="521"/>
      <c r="G1327" s="522"/>
      <c r="H1327" s="210">
        <f>SUM(H1324:H1326)</f>
        <v>3897.875</v>
      </c>
      <c r="L1327" s="523"/>
      <c r="M1327" s="523"/>
      <c r="N1327" s="523"/>
      <c r="O1327" s="523"/>
      <c r="P1327" s="523"/>
    </row>
    <row r="1328" spans="3:20" s="517" customFormat="1" ht="31.2" customHeight="1">
      <c r="C1328" s="543" t="s">
        <v>1209</v>
      </c>
      <c r="D1328" s="750" t="s">
        <v>1210</v>
      </c>
      <c r="E1328" s="197"/>
      <c r="F1328" s="751"/>
      <c r="G1328" s="197"/>
      <c r="H1328" s="752"/>
      <c r="L1328" s="200"/>
      <c r="M1328" s="200"/>
      <c r="N1328" s="200"/>
      <c r="O1328" s="200"/>
      <c r="P1328" s="200"/>
    </row>
    <row r="1329" spans="3:16" s="517" customFormat="1" ht="31.2" customHeight="1">
      <c r="C1329" s="543">
        <v>1</v>
      </c>
      <c r="D1329" s="750" t="s">
        <v>7009</v>
      </c>
      <c r="E1329" s="203" t="s">
        <v>44</v>
      </c>
      <c r="F1329" s="753">
        <v>1.05</v>
      </c>
      <c r="G1329" s="205">
        <f>VLOOKUP(D1329,upahbahan,3,FALSE)</f>
        <v>0</v>
      </c>
      <c r="H1329" s="210">
        <f t="shared" ref="H1329:H1337" si="90">F1329*G1329</f>
        <v>0</v>
      </c>
      <c r="L1329" s="200"/>
      <c r="M1329" s="200"/>
      <c r="N1329" s="200"/>
      <c r="O1329" s="200"/>
      <c r="P1329" s="200"/>
    </row>
    <row r="1330" spans="3:16" s="517" customFormat="1" ht="31.2" customHeight="1">
      <c r="C1330" s="543">
        <v>2</v>
      </c>
      <c r="D1330" s="750" t="s">
        <v>5563</v>
      </c>
      <c r="E1330" s="203" t="s">
        <v>65</v>
      </c>
      <c r="F1330" s="753">
        <v>5.0000000000000001E-3</v>
      </c>
      <c r="G1330" s="205">
        <f>VLOOKUP(D1330,upahbahan,3,FALSE)</f>
        <v>0</v>
      </c>
      <c r="H1330" s="210">
        <f t="shared" si="90"/>
        <v>0</v>
      </c>
      <c r="L1330" s="200"/>
      <c r="M1330" s="200"/>
      <c r="N1330" s="200"/>
      <c r="O1330" s="200"/>
      <c r="P1330" s="200"/>
    </row>
    <row r="1331" spans="3:16" s="517" customFormat="1" ht="31.2" customHeight="1">
      <c r="C1331" s="543">
        <v>3</v>
      </c>
      <c r="D1331" s="750" t="s">
        <v>5555</v>
      </c>
      <c r="E1331" s="203"/>
      <c r="F1331" s="753"/>
      <c r="G1331" s="197"/>
      <c r="H1331" s="210">
        <f t="shared" si="90"/>
        <v>0</v>
      </c>
      <c r="L1331" s="200"/>
      <c r="M1331" s="200"/>
      <c r="N1331" s="200"/>
      <c r="O1331" s="200"/>
      <c r="P1331" s="200"/>
    </row>
    <row r="1332" spans="3:16" s="517" customFormat="1" ht="31.2" customHeight="1">
      <c r="C1332" s="754" t="s">
        <v>5293</v>
      </c>
      <c r="D1332" s="750" t="s">
        <v>6957</v>
      </c>
      <c r="E1332" s="203" t="s">
        <v>1300</v>
      </c>
      <c r="F1332" s="760">
        <v>6</v>
      </c>
      <c r="G1332" s="205">
        <f>VLOOKUP(D1332,upahbahan,3,FALSE)</f>
        <v>0</v>
      </c>
      <c r="H1332" s="210">
        <f t="shared" si="90"/>
        <v>0</v>
      </c>
      <c r="L1332" s="200"/>
      <c r="M1332" s="200"/>
      <c r="N1332" s="200"/>
      <c r="O1332" s="200"/>
      <c r="P1332" s="200"/>
    </row>
    <row r="1333" spans="3:16" s="517" customFormat="1" ht="31.2" customHeight="1">
      <c r="C1333" s="754" t="s">
        <v>5299</v>
      </c>
      <c r="D1333" s="750" t="s">
        <v>5560</v>
      </c>
      <c r="E1333" s="203" t="s">
        <v>113</v>
      </c>
      <c r="F1333" s="760">
        <v>10</v>
      </c>
      <c r="G1333" s="205">
        <f>VLOOKUP(D1333,upahbahan,3,FALSE)</f>
        <v>0</v>
      </c>
      <c r="H1333" s="210">
        <f t="shared" si="90"/>
        <v>0</v>
      </c>
      <c r="L1333" s="200"/>
      <c r="M1333" s="200"/>
      <c r="N1333" s="200"/>
      <c r="O1333" s="200"/>
      <c r="P1333" s="200"/>
    </row>
    <row r="1334" spans="3:16" s="517" customFormat="1" ht="31.2" customHeight="1">
      <c r="C1334" s="543">
        <v>4</v>
      </c>
      <c r="D1334" s="750" t="s">
        <v>5556</v>
      </c>
      <c r="E1334" s="203"/>
      <c r="F1334" s="753"/>
      <c r="G1334" s="197"/>
      <c r="H1334" s="210">
        <f t="shared" si="90"/>
        <v>0</v>
      </c>
      <c r="L1334" s="200"/>
      <c r="M1334" s="200"/>
      <c r="N1334" s="200"/>
      <c r="O1334" s="200"/>
      <c r="P1334" s="200"/>
    </row>
    <row r="1335" spans="3:16" s="517" customFormat="1" ht="31.2" customHeight="1">
      <c r="C1335" s="754" t="s">
        <v>5293</v>
      </c>
      <c r="D1335" s="750" t="s">
        <v>2084</v>
      </c>
      <c r="E1335" s="203" t="s">
        <v>42</v>
      </c>
      <c r="F1335" s="753">
        <v>1.46E-2</v>
      </c>
      <c r="G1335" s="205">
        <f>VLOOKUP(D1335,upahbahan,3,FALSE)</f>
        <v>0</v>
      </c>
      <c r="H1335" s="210">
        <f t="shared" si="90"/>
        <v>0</v>
      </c>
      <c r="L1335" s="200"/>
      <c r="M1335" s="200"/>
      <c r="N1335" s="200"/>
      <c r="O1335" s="200"/>
      <c r="P1335" s="200"/>
    </row>
    <row r="1336" spans="3:16" s="517" customFormat="1" ht="31.2" customHeight="1">
      <c r="C1336" s="754" t="s">
        <v>5299</v>
      </c>
      <c r="D1336" s="750" t="s">
        <v>5557</v>
      </c>
      <c r="E1336" s="203" t="s">
        <v>42</v>
      </c>
      <c r="F1336" s="753">
        <v>3.8999999999999998E-3</v>
      </c>
      <c r="G1336" s="205">
        <f>VLOOKUP(D1336,upahbahan,3,FALSE)</f>
        <v>0</v>
      </c>
      <c r="H1336" s="210">
        <f t="shared" si="90"/>
        <v>0</v>
      </c>
      <c r="L1336" s="200"/>
      <c r="M1336" s="200"/>
      <c r="N1336" s="200"/>
      <c r="O1336" s="200"/>
      <c r="P1336" s="200"/>
    </row>
    <row r="1337" spans="3:16" s="517" customFormat="1" ht="31.2" customHeight="1">
      <c r="C1337" s="754" t="s">
        <v>5558</v>
      </c>
      <c r="D1337" s="750" t="s">
        <v>6958</v>
      </c>
      <c r="E1337" s="203" t="s">
        <v>42</v>
      </c>
      <c r="F1337" s="755">
        <v>1E-3</v>
      </c>
      <c r="G1337" s="205">
        <f>VLOOKUP(D1337,upahbahan,3,FALSE)</f>
        <v>0</v>
      </c>
      <c r="H1337" s="210">
        <f t="shared" si="90"/>
        <v>0</v>
      </c>
      <c r="L1337" s="200"/>
      <c r="M1337" s="200"/>
      <c r="N1337" s="200"/>
      <c r="O1337" s="200"/>
      <c r="P1337" s="200"/>
    </row>
    <row r="1338" spans="3:16" s="517" customFormat="1" ht="31.2" customHeight="1">
      <c r="C1338" s="207" t="s">
        <v>1214</v>
      </c>
      <c r="D1338" s="208"/>
      <c r="E1338" s="568"/>
      <c r="F1338" s="208"/>
      <c r="G1338" s="209"/>
      <c r="H1338" s="210">
        <f>SUM(H1329:H1337)</f>
        <v>0</v>
      </c>
      <c r="L1338" s="200"/>
      <c r="M1338" s="200"/>
      <c r="N1338" s="200"/>
      <c r="O1338" s="200"/>
      <c r="P1338" s="200"/>
    </row>
    <row r="1339" spans="3:16" s="517" customFormat="1" ht="31.2" customHeight="1">
      <c r="C1339" s="756" t="s">
        <v>1215</v>
      </c>
      <c r="D1339" s="196" t="s">
        <v>1216</v>
      </c>
      <c r="E1339" s="203"/>
      <c r="F1339" s="197"/>
      <c r="G1339" s="197"/>
      <c r="H1339" s="198"/>
      <c r="L1339" s="200"/>
      <c r="M1339" s="200"/>
      <c r="N1339" s="200"/>
      <c r="O1339" s="200"/>
      <c r="P1339" s="200"/>
    </row>
    <row r="1340" spans="3:16" s="517" customFormat="1" ht="31.2" customHeight="1">
      <c r="C1340" s="207" t="s">
        <v>1217</v>
      </c>
      <c r="D1340" s="208"/>
      <c r="E1340" s="208"/>
      <c r="F1340" s="208"/>
      <c r="G1340" s="209"/>
      <c r="H1340" s="240">
        <f>SUM(H1339)</f>
        <v>0</v>
      </c>
      <c r="L1340" s="200"/>
      <c r="M1340" s="200"/>
      <c r="N1340" s="200"/>
      <c r="O1340" s="200"/>
      <c r="P1340" s="200"/>
    </row>
    <row r="1341" spans="3:16" s="517" customFormat="1" ht="31.2" customHeight="1">
      <c r="C1341" s="223" t="s">
        <v>1218</v>
      </c>
      <c r="D1341" s="224" t="s">
        <v>1219</v>
      </c>
      <c r="E1341" s="225"/>
      <c r="F1341" s="225"/>
      <c r="G1341" s="226"/>
      <c r="H1341" s="210">
        <f>H1340+H1338+H1327</f>
        <v>3897.875</v>
      </c>
      <c r="L1341" s="200"/>
      <c r="M1341" s="200"/>
      <c r="N1341" s="200"/>
      <c r="O1341" s="200"/>
      <c r="P1341" s="200"/>
    </row>
    <row r="1342" spans="3:16" s="517" customFormat="1" ht="31.2" customHeight="1">
      <c r="C1342" s="223" t="s">
        <v>1220</v>
      </c>
      <c r="D1342" s="224" t="s">
        <v>1321</v>
      </c>
      <c r="E1342" s="225"/>
      <c r="F1342" s="226"/>
      <c r="G1342" s="228">
        <v>0.1</v>
      </c>
      <c r="H1342" s="210">
        <f>H1341*G1342</f>
        <v>389.78750000000002</v>
      </c>
      <c r="L1342" s="200"/>
      <c r="M1342" s="200"/>
      <c r="N1342" s="200"/>
      <c r="O1342" s="200"/>
      <c r="P1342" s="200"/>
    </row>
    <row r="1343" spans="3:16" s="517" customFormat="1" ht="31.2" customHeight="1" thickBot="1">
      <c r="C1343" s="229" t="s">
        <v>1221</v>
      </c>
      <c r="D1343" s="230" t="s">
        <v>1222</v>
      </c>
      <c r="E1343" s="231"/>
      <c r="F1343" s="231"/>
      <c r="G1343" s="232"/>
      <c r="H1343" s="233">
        <f>SUM(H1341:H1342)</f>
        <v>4287.6625000000004</v>
      </c>
      <c r="L1343" s="200"/>
      <c r="M1343" s="200"/>
      <c r="N1343" s="200"/>
      <c r="O1343" s="200"/>
      <c r="P1343" s="200"/>
    </row>
    <row r="1344" spans="3:16" s="517" customFormat="1" ht="31.2" customHeight="1" thickTop="1">
      <c r="C1344" s="757"/>
      <c r="D1344" s="758" t="s">
        <v>6949</v>
      </c>
      <c r="E1344" s="758"/>
      <c r="F1344" s="758"/>
      <c r="G1344" s="758"/>
      <c r="H1344" s="759"/>
      <c r="L1344" s="200"/>
      <c r="M1344" s="200"/>
      <c r="N1344" s="200"/>
      <c r="O1344" s="200"/>
      <c r="P1344" s="200"/>
    </row>
    <row r="1345" spans="3:20" s="517" customFormat="1" ht="31.2" customHeight="1">
      <c r="C1345" s="757" t="s">
        <v>6950</v>
      </c>
      <c r="D1345" s="758"/>
      <c r="E1345" s="758"/>
      <c r="F1345" s="758"/>
      <c r="G1345" s="758" t="s">
        <v>6959</v>
      </c>
      <c r="H1345" s="759"/>
      <c r="L1345" s="200"/>
      <c r="M1345" s="200"/>
      <c r="N1345" s="200"/>
      <c r="O1345" s="200"/>
      <c r="P1345" s="200"/>
    </row>
    <row r="1346" spans="3:20" s="517" customFormat="1" ht="31.2" customHeight="1">
      <c r="C1346" s="200" t="s">
        <v>6951</v>
      </c>
      <c r="D1346" s="758"/>
      <c r="E1346" s="758"/>
      <c r="F1346" s="758"/>
      <c r="G1346" s="758"/>
      <c r="H1346" s="759"/>
      <c r="L1346" s="200"/>
      <c r="M1346" s="200"/>
      <c r="N1346" s="200"/>
      <c r="O1346" s="200"/>
      <c r="P1346" s="200"/>
    </row>
    <row r="1347" spans="3:20" ht="31.2" customHeight="1">
      <c r="C1347" s="200" t="s">
        <v>6952</v>
      </c>
    </row>
    <row r="1348" spans="3:20" ht="31.2" customHeight="1">
      <c r="C1348" s="200"/>
    </row>
    <row r="1349" spans="3:20" ht="31.2" customHeight="1">
      <c r="C1349" s="200"/>
    </row>
    <row r="1350" spans="3:20" ht="31.2" customHeight="1">
      <c r="C1350" s="199" t="s">
        <v>5564</v>
      </c>
      <c r="D1350" s="187" t="s">
        <v>7010</v>
      </c>
    </row>
    <row r="1351" spans="3:20" s="517" customFormat="1" ht="31.2" customHeight="1" thickBot="1">
      <c r="C1351" s="513" t="s">
        <v>7011</v>
      </c>
      <c r="D1351" s="748" t="s">
        <v>7012</v>
      </c>
      <c r="E1351" s="749"/>
      <c r="F1351" s="748"/>
      <c r="G1351" s="748"/>
      <c r="H1351" s="532"/>
      <c r="I1351" s="532"/>
      <c r="J1351" s="532"/>
      <c r="K1351" s="532"/>
      <c r="M1351" s="189"/>
      <c r="N1351" s="189"/>
      <c r="O1351" s="189"/>
      <c r="P1351" s="189"/>
      <c r="R1351" s="189">
        <f>ROUNDDOWN(H1373,-2)</f>
        <v>5900</v>
      </c>
      <c r="S1351" s="517" t="s">
        <v>6451</v>
      </c>
      <c r="T1351" s="517" t="s">
        <v>6960</v>
      </c>
    </row>
    <row r="1352" spans="3:20" s="517" customFormat="1" ht="31.2" customHeight="1" thickTop="1">
      <c r="C1352" s="190" t="s">
        <v>1195</v>
      </c>
      <c r="D1352" s="191" t="s">
        <v>1196</v>
      </c>
      <c r="E1352" s="191" t="s">
        <v>1197</v>
      </c>
      <c r="F1352" s="191" t="s">
        <v>1198</v>
      </c>
      <c r="G1352" s="191" t="s">
        <v>1199</v>
      </c>
      <c r="H1352" s="192" t="s">
        <v>1200</v>
      </c>
      <c r="L1352" s="200"/>
      <c r="M1352" s="200"/>
      <c r="N1352" s="200"/>
      <c r="O1352" s="200"/>
      <c r="P1352" s="200"/>
    </row>
    <row r="1353" spans="3:20" s="517" customFormat="1" ht="31.2" customHeight="1">
      <c r="C1353" s="518" t="s">
        <v>1201</v>
      </c>
      <c r="D1353" s="196" t="s">
        <v>1202</v>
      </c>
      <c r="E1353" s="197"/>
      <c r="F1353" s="197"/>
      <c r="G1353" s="197"/>
      <c r="H1353" s="198"/>
      <c r="L1353" s="200"/>
      <c r="M1353" s="200"/>
      <c r="N1353" s="200"/>
      <c r="O1353" s="200"/>
      <c r="P1353" s="200"/>
    </row>
    <row r="1354" spans="3:20" s="517" customFormat="1" ht="31.2" customHeight="1">
      <c r="C1354" s="537">
        <v>1</v>
      </c>
      <c r="D1354" s="196" t="s">
        <v>6954</v>
      </c>
      <c r="E1354" s="202" t="s">
        <v>6</v>
      </c>
      <c r="F1354" s="520">
        <v>0.02</v>
      </c>
      <c r="G1354" s="205">
        <f>VLOOKUP(D1354,upahbahan,3,FALSE)</f>
        <v>181250</v>
      </c>
      <c r="H1354" s="210">
        <f t="shared" ref="H1354:H1356" si="91">F1354*G1354</f>
        <v>3625</v>
      </c>
      <c r="L1354" s="200"/>
      <c r="M1354" s="200"/>
      <c r="N1354" s="200"/>
      <c r="O1354" s="200"/>
      <c r="P1354" s="200"/>
    </row>
    <row r="1355" spans="3:20" s="517" customFormat="1" ht="31.2" customHeight="1">
      <c r="C1355" s="537">
        <v>2</v>
      </c>
      <c r="D1355" s="196" t="s">
        <v>6948</v>
      </c>
      <c r="E1355" s="202" t="s">
        <v>2102</v>
      </c>
      <c r="F1355" s="520">
        <v>6.7000000000000002E-3</v>
      </c>
      <c r="G1355" s="205">
        <f>VLOOKUP(D1355,upahbahan,3,FALSE)</f>
        <v>218750</v>
      </c>
      <c r="H1355" s="210">
        <f t="shared" si="91"/>
        <v>1465.625</v>
      </c>
      <c r="L1355" s="200"/>
      <c r="M1355" s="200"/>
      <c r="N1355" s="200"/>
      <c r="O1355" s="200"/>
      <c r="P1355" s="200"/>
    </row>
    <row r="1356" spans="3:20" s="517" customFormat="1" ht="31.2" customHeight="1">
      <c r="C1356" s="537">
        <v>3</v>
      </c>
      <c r="D1356" s="196" t="s">
        <v>19</v>
      </c>
      <c r="E1356" s="202" t="s">
        <v>6</v>
      </c>
      <c r="F1356" s="520">
        <v>2.2000000000000001E-3</v>
      </c>
      <c r="G1356" s="205">
        <f>VLOOKUP(D1356,upahbahan,3,FALSE)</f>
        <v>160000</v>
      </c>
      <c r="H1356" s="210">
        <f t="shared" si="91"/>
        <v>352</v>
      </c>
      <c r="L1356" s="200"/>
      <c r="M1356" s="200"/>
      <c r="N1356" s="200"/>
      <c r="O1356" s="200"/>
      <c r="P1356" s="200"/>
    </row>
    <row r="1357" spans="3:20" s="517" customFormat="1" ht="31.2" customHeight="1">
      <c r="C1357" s="207" t="s">
        <v>1208</v>
      </c>
      <c r="D1357" s="208"/>
      <c r="E1357" s="208"/>
      <c r="F1357" s="521"/>
      <c r="G1357" s="522"/>
      <c r="H1357" s="210">
        <f>SUM(H1354:H1356)</f>
        <v>5442.625</v>
      </c>
      <c r="L1357" s="523"/>
      <c r="M1357" s="523"/>
      <c r="N1357" s="523"/>
      <c r="O1357" s="523"/>
      <c r="P1357" s="523"/>
    </row>
    <row r="1358" spans="3:20" s="517" customFormat="1" ht="31.2" customHeight="1">
      <c r="C1358" s="543" t="s">
        <v>1209</v>
      </c>
      <c r="D1358" s="750" t="s">
        <v>1210</v>
      </c>
      <c r="E1358" s="197"/>
      <c r="F1358" s="751"/>
      <c r="G1358" s="197"/>
      <c r="H1358" s="752"/>
      <c r="L1358" s="200"/>
      <c r="M1358" s="200"/>
      <c r="N1358" s="200"/>
      <c r="O1358" s="200"/>
      <c r="P1358" s="200"/>
    </row>
    <row r="1359" spans="3:20" s="517" customFormat="1" ht="31.2" customHeight="1">
      <c r="C1359" s="543">
        <v>1</v>
      </c>
      <c r="D1359" s="761" t="s">
        <v>7013</v>
      </c>
      <c r="E1359" s="203" t="s">
        <v>44</v>
      </c>
      <c r="F1359" s="753">
        <v>1.05</v>
      </c>
      <c r="G1359" s="205">
        <f>VLOOKUP(D1359,upahbahan,3,FALSE)</f>
        <v>0</v>
      </c>
      <c r="H1359" s="210">
        <f t="shared" ref="H1359:H1367" si="92">F1359*G1359</f>
        <v>0</v>
      </c>
      <c r="L1359" s="200"/>
      <c r="M1359" s="200"/>
      <c r="N1359" s="200"/>
      <c r="O1359" s="200"/>
      <c r="P1359" s="200"/>
    </row>
    <row r="1360" spans="3:20" s="517" customFormat="1" ht="31.2" customHeight="1">
      <c r="C1360" s="543">
        <v>2</v>
      </c>
      <c r="D1360" s="750" t="s">
        <v>5563</v>
      </c>
      <c r="E1360" s="203" t="s">
        <v>65</v>
      </c>
      <c r="F1360" s="753">
        <v>5.0000000000000001E-3</v>
      </c>
      <c r="G1360" s="205">
        <f>VLOOKUP(D1360,upahbahan,3,FALSE)</f>
        <v>0</v>
      </c>
      <c r="H1360" s="210">
        <f t="shared" si="92"/>
        <v>0</v>
      </c>
      <c r="L1360" s="200"/>
      <c r="M1360" s="200"/>
      <c r="N1360" s="200"/>
      <c r="O1360" s="200"/>
      <c r="P1360" s="200"/>
    </row>
    <row r="1361" spans="3:16" s="517" customFormat="1" ht="31.2" customHeight="1">
      <c r="C1361" s="543">
        <v>3</v>
      </c>
      <c r="D1361" s="750" t="s">
        <v>5555</v>
      </c>
      <c r="E1361" s="203"/>
      <c r="F1361" s="753"/>
      <c r="G1361" s="197"/>
      <c r="H1361" s="210">
        <f t="shared" si="92"/>
        <v>0</v>
      </c>
      <c r="L1361" s="200"/>
      <c r="M1361" s="200"/>
      <c r="N1361" s="200"/>
      <c r="O1361" s="200"/>
      <c r="P1361" s="200"/>
    </row>
    <row r="1362" spans="3:16" s="517" customFormat="1" ht="31.2" customHeight="1">
      <c r="C1362" s="754" t="s">
        <v>5293</v>
      </c>
      <c r="D1362" s="750" t="s">
        <v>6957</v>
      </c>
      <c r="E1362" s="203" t="s">
        <v>1300</v>
      </c>
      <c r="F1362" s="753">
        <v>6</v>
      </c>
      <c r="G1362" s="205">
        <f>VLOOKUP(D1362,upahbahan,3,FALSE)</f>
        <v>0</v>
      </c>
      <c r="H1362" s="210">
        <f t="shared" si="92"/>
        <v>0</v>
      </c>
      <c r="L1362" s="200"/>
      <c r="M1362" s="200"/>
      <c r="N1362" s="200"/>
      <c r="O1362" s="200"/>
      <c r="P1362" s="200"/>
    </row>
    <row r="1363" spans="3:16" s="517" customFormat="1" ht="31.2" customHeight="1">
      <c r="C1363" s="754" t="s">
        <v>5299</v>
      </c>
      <c r="D1363" s="750" t="s">
        <v>5560</v>
      </c>
      <c r="E1363" s="203" t="s">
        <v>113</v>
      </c>
      <c r="F1363" s="753">
        <v>10</v>
      </c>
      <c r="G1363" s="205">
        <f>VLOOKUP(D1363,upahbahan,3,FALSE)</f>
        <v>0</v>
      </c>
      <c r="H1363" s="210">
        <f t="shared" si="92"/>
        <v>0</v>
      </c>
      <c r="L1363" s="200"/>
      <c r="M1363" s="200"/>
      <c r="N1363" s="200"/>
      <c r="O1363" s="200"/>
      <c r="P1363" s="200"/>
    </row>
    <row r="1364" spans="3:16" s="517" customFormat="1" ht="31.2" customHeight="1">
      <c r="C1364" s="543">
        <v>4</v>
      </c>
      <c r="D1364" s="750" t="s">
        <v>5556</v>
      </c>
      <c r="E1364" s="203"/>
      <c r="F1364" s="753"/>
      <c r="G1364" s="197"/>
      <c r="H1364" s="210">
        <f t="shared" si="92"/>
        <v>0</v>
      </c>
      <c r="L1364" s="200"/>
      <c r="M1364" s="200"/>
      <c r="N1364" s="200"/>
      <c r="O1364" s="200"/>
      <c r="P1364" s="200"/>
    </row>
    <row r="1365" spans="3:16" s="517" customFormat="1" ht="31.2" customHeight="1">
      <c r="C1365" s="754" t="s">
        <v>5293</v>
      </c>
      <c r="D1365" s="750" t="s">
        <v>2084</v>
      </c>
      <c r="E1365" s="203" t="s">
        <v>42</v>
      </c>
      <c r="F1365" s="753">
        <v>2.4400000000000002E-2</v>
      </c>
      <c r="G1365" s="205">
        <f>VLOOKUP(D1365,upahbahan,3,FALSE)</f>
        <v>0</v>
      </c>
      <c r="H1365" s="210">
        <f t="shared" si="92"/>
        <v>0</v>
      </c>
      <c r="L1365" s="200"/>
      <c r="M1365" s="200"/>
      <c r="N1365" s="200"/>
      <c r="O1365" s="200"/>
      <c r="P1365" s="200"/>
    </row>
    <row r="1366" spans="3:16" s="517" customFormat="1" ht="31.2" customHeight="1">
      <c r="C1366" s="754" t="s">
        <v>5299</v>
      </c>
      <c r="D1366" s="750" t="s">
        <v>5566</v>
      </c>
      <c r="E1366" s="203" t="s">
        <v>42</v>
      </c>
      <c r="F1366" s="753">
        <v>6.4999999999999997E-3</v>
      </c>
      <c r="G1366" s="205">
        <f>VLOOKUP(D1366,upahbahan,3,FALSE)</f>
        <v>0</v>
      </c>
      <c r="H1366" s="210">
        <f t="shared" si="92"/>
        <v>0</v>
      </c>
      <c r="L1366" s="200"/>
      <c r="M1366" s="200"/>
      <c r="N1366" s="200"/>
      <c r="O1366" s="200"/>
      <c r="P1366" s="200"/>
    </row>
    <row r="1367" spans="3:16" s="517" customFormat="1" ht="31.2" customHeight="1">
      <c r="C1367" s="754" t="s">
        <v>5558</v>
      </c>
      <c r="D1367" s="750" t="s">
        <v>2325</v>
      </c>
      <c r="E1367" s="203" t="s">
        <v>42</v>
      </c>
      <c r="F1367" s="762">
        <v>1.6000000000000001E-3</v>
      </c>
      <c r="G1367" s="205">
        <f>VLOOKUP(D1367,upahbahan,3,FALSE)</f>
        <v>0</v>
      </c>
      <c r="H1367" s="210">
        <f t="shared" si="92"/>
        <v>0</v>
      </c>
      <c r="L1367" s="200"/>
      <c r="M1367" s="200"/>
      <c r="N1367" s="200"/>
      <c r="O1367" s="200"/>
      <c r="P1367" s="200"/>
    </row>
    <row r="1368" spans="3:16" s="517" customFormat="1" ht="31.2" customHeight="1">
      <c r="C1368" s="207" t="s">
        <v>1214</v>
      </c>
      <c r="D1368" s="208"/>
      <c r="E1368" s="568"/>
      <c r="F1368" s="208"/>
      <c r="G1368" s="209"/>
      <c r="H1368" s="210">
        <f>SUM(H1359:H1367)</f>
        <v>0</v>
      </c>
      <c r="L1368" s="200"/>
      <c r="M1368" s="200"/>
      <c r="N1368" s="200"/>
      <c r="O1368" s="200"/>
      <c r="P1368" s="200"/>
    </row>
    <row r="1369" spans="3:16" s="517" customFormat="1" ht="31.2" customHeight="1">
      <c r="C1369" s="756" t="s">
        <v>1215</v>
      </c>
      <c r="D1369" s="196" t="s">
        <v>1216</v>
      </c>
      <c r="E1369" s="203"/>
      <c r="F1369" s="197"/>
      <c r="G1369" s="197"/>
      <c r="H1369" s="198"/>
      <c r="L1369" s="200"/>
      <c r="M1369" s="200"/>
      <c r="N1369" s="200"/>
      <c r="O1369" s="200"/>
      <c r="P1369" s="200"/>
    </row>
    <row r="1370" spans="3:16" s="517" customFormat="1" ht="31.2" customHeight="1">
      <c r="C1370" s="207" t="s">
        <v>1217</v>
      </c>
      <c r="D1370" s="208"/>
      <c r="E1370" s="208"/>
      <c r="F1370" s="208"/>
      <c r="G1370" s="209"/>
      <c r="H1370" s="240">
        <f>SUM(H1369)</f>
        <v>0</v>
      </c>
      <c r="L1370" s="200"/>
      <c r="M1370" s="200"/>
      <c r="N1370" s="200"/>
      <c r="O1370" s="200"/>
      <c r="P1370" s="200"/>
    </row>
    <row r="1371" spans="3:16" s="517" customFormat="1" ht="31.2" customHeight="1">
      <c r="C1371" s="223" t="s">
        <v>1218</v>
      </c>
      <c r="D1371" s="224" t="s">
        <v>1219</v>
      </c>
      <c r="E1371" s="225"/>
      <c r="F1371" s="225"/>
      <c r="G1371" s="226"/>
      <c r="H1371" s="210">
        <f>H1370+H1368+H1357</f>
        <v>5442.625</v>
      </c>
      <c r="L1371" s="200"/>
      <c r="M1371" s="200"/>
      <c r="N1371" s="200"/>
      <c r="O1371" s="200"/>
      <c r="P1371" s="200"/>
    </row>
    <row r="1372" spans="3:16" s="517" customFormat="1" ht="31.2" customHeight="1">
      <c r="C1372" s="223" t="s">
        <v>1220</v>
      </c>
      <c r="D1372" s="224" t="s">
        <v>1321</v>
      </c>
      <c r="E1372" s="225"/>
      <c r="F1372" s="226"/>
      <c r="G1372" s="228">
        <v>0.1</v>
      </c>
      <c r="H1372" s="210">
        <f>H1371*G1372</f>
        <v>544.26250000000005</v>
      </c>
      <c r="L1372" s="200"/>
      <c r="M1372" s="200"/>
      <c r="N1372" s="200"/>
      <c r="O1372" s="200"/>
      <c r="P1372" s="200"/>
    </row>
    <row r="1373" spans="3:16" s="517" customFormat="1" ht="31.2" customHeight="1" thickBot="1">
      <c r="C1373" s="229" t="s">
        <v>1221</v>
      </c>
      <c r="D1373" s="230" t="s">
        <v>1222</v>
      </c>
      <c r="E1373" s="231"/>
      <c r="F1373" s="231"/>
      <c r="G1373" s="232"/>
      <c r="H1373" s="233">
        <f>SUM(H1371:H1372)</f>
        <v>5986.8874999999998</v>
      </c>
      <c r="L1373" s="200"/>
      <c r="M1373" s="200"/>
      <c r="N1373" s="200"/>
      <c r="O1373" s="200"/>
      <c r="P1373" s="200"/>
    </row>
    <row r="1374" spans="3:16" ht="31.2" customHeight="1" thickTop="1">
      <c r="D1374" s="758" t="s">
        <v>6949</v>
      </c>
    </row>
    <row r="1375" spans="3:16" ht="31.2" customHeight="1">
      <c r="C1375" s="757" t="s">
        <v>6950</v>
      </c>
      <c r="F1375" s="758"/>
      <c r="H1375" s="758" t="s">
        <v>6959</v>
      </c>
    </row>
    <row r="1376" spans="3:16" ht="31.2" customHeight="1">
      <c r="C1376" s="200" t="s">
        <v>6951</v>
      </c>
      <c r="F1376" s="758"/>
    </row>
    <row r="1377" spans="3:20" ht="31.2" customHeight="1">
      <c r="C1377" s="200" t="s">
        <v>6952</v>
      </c>
      <c r="F1377" s="758"/>
    </row>
    <row r="1378" spans="3:20" ht="31.2" customHeight="1">
      <c r="F1378" s="758"/>
    </row>
    <row r="1379" spans="3:20" s="517" customFormat="1" ht="31.2" customHeight="1" thickBot="1">
      <c r="C1379" s="513" t="s">
        <v>7015</v>
      </c>
      <c r="D1379" s="748" t="s">
        <v>7016</v>
      </c>
      <c r="E1379" s="749"/>
      <c r="F1379" s="748"/>
      <c r="G1379" s="748"/>
      <c r="H1379" s="532"/>
      <c r="I1379" s="532"/>
      <c r="J1379" s="532"/>
      <c r="K1379" s="532"/>
      <c r="M1379" s="189"/>
      <c r="N1379" s="189"/>
      <c r="O1379" s="189"/>
      <c r="P1379" s="189"/>
      <c r="R1379" s="189">
        <f>ROUNDDOWN(H1401,-2)</f>
        <v>5900</v>
      </c>
      <c r="S1379" s="517" t="s">
        <v>6451</v>
      </c>
      <c r="T1379" s="517" t="s">
        <v>7014</v>
      </c>
    </row>
    <row r="1380" spans="3:20" s="517" customFormat="1" ht="31.2" customHeight="1" thickTop="1">
      <c r="C1380" s="190" t="s">
        <v>1195</v>
      </c>
      <c r="D1380" s="191" t="s">
        <v>1196</v>
      </c>
      <c r="E1380" s="191" t="s">
        <v>1197</v>
      </c>
      <c r="F1380" s="191" t="s">
        <v>1198</v>
      </c>
      <c r="G1380" s="191" t="s">
        <v>1199</v>
      </c>
      <c r="H1380" s="192" t="s">
        <v>1200</v>
      </c>
      <c r="L1380" s="200"/>
      <c r="M1380" s="200"/>
      <c r="N1380" s="200"/>
      <c r="O1380" s="200"/>
      <c r="P1380" s="200"/>
    </row>
    <row r="1381" spans="3:20" s="517" customFormat="1" ht="31.2" customHeight="1">
      <c r="C1381" s="518" t="s">
        <v>1201</v>
      </c>
      <c r="D1381" s="196" t="s">
        <v>1202</v>
      </c>
      <c r="E1381" s="197"/>
      <c r="F1381" s="197"/>
      <c r="G1381" s="197"/>
      <c r="H1381" s="198"/>
      <c r="L1381" s="200"/>
      <c r="M1381" s="200"/>
      <c r="N1381" s="200"/>
      <c r="O1381" s="200"/>
      <c r="P1381" s="200"/>
    </row>
    <row r="1382" spans="3:20" s="517" customFormat="1" ht="31.2" customHeight="1">
      <c r="C1382" s="537">
        <v>1</v>
      </c>
      <c r="D1382" s="196" t="s">
        <v>6954</v>
      </c>
      <c r="E1382" s="202" t="s">
        <v>6</v>
      </c>
      <c r="F1382" s="520">
        <v>0.02</v>
      </c>
      <c r="G1382" s="205">
        <f>VLOOKUP(D1382,upahbahan,3,FALSE)</f>
        <v>181250</v>
      </c>
      <c r="H1382" s="210">
        <f t="shared" ref="H1382:H1384" si="93">F1382*G1382</f>
        <v>3625</v>
      </c>
      <c r="L1382" s="200"/>
      <c r="M1382" s="200"/>
      <c r="N1382" s="200"/>
      <c r="O1382" s="200"/>
      <c r="P1382" s="200"/>
    </row>
    <row r="1383" spans="3:20" s="517" customFormat="1" ht="31.2" customHeight="1">
      <c r="C1383" s="537">
        <v>2</v>
      </c>
      <c r="D1383" s="196" t="s">
        <v>6948</v>
      </c>
      <c r="E1383" s="202" t="s">
        <v>2102</v>
      </c>
      <c r="F1383" s="520">
        <v>6.7000000000000002E-3</v>
      </c>
      <c r="G1383" s="205">
        <f>VLOOKUP(D1383,upahbahan,3,FALSE)</f>
        <v>218750</v>
      </c>
      <c r="H1383" s="210">
        <f t="shared" si="93"/>
        <v>1465.625</v>
      </c>
      <c r="L1383" s="200"/>
      <c r="M1383" s="200"/>
      <c r="N1383" s="200"/>
      <c r="O1383" s="200"/>
      <c r="P1383" s="200"/>
    </row>
    <row r="1384" spans="3:20" s="517" customFormat="1" ht="31.2" customHeight="1">
      <c r="C1384" s="537">
        <v>3</v>
      </c>
      <c r="D1384" s="196" t="s">
        <v>19</v>
      </c>
      <c r="E1384" s="202" t="s">
        <v>6</v>
      </c>
      <c r="F1384" s="520">
        <v>2.2000000000000001E-3</v>
      </c>
      <c r="G1384" s="205">
        <f>VLOOKUP(D1384,upahbahan,3,FALSE)</f>
        <v>160000</v>
      </c>
      <c r="H1384" s="210">
        <f t="shared" si="93"/>
        <v>352</v>
      </c>
      <c r="L1384" s="200"/>
      <c r="M1384" s="200"/>
      <c r="N1384" s="200"/>
      <c r="O1384" s="200"/>
      <c r="P1384" s="200"/>
    </row>
    <row r="1385" spans="3:20" s="517" customFormat="1" ht="31.2" customHeight="1">
      <c r="C1385" s="207" t="s">
        <v>1208</v>
      </c>
      <c r="D1385" s="208"/>
      <c r="E1385" s="208"/>
      <c r="F1385" s="521"/>
      <c r="G1385" s="522"/>
      <c r="H1385" s="210">
        <f>SUM(H1382:H1384)</f>
        <v>5442.625</v>
      </c>
      <c r="L1385" s="523"/>
      <c r="M1385" s="523"/>
      <c r="N1385" s="523"/>
      <c r="O1385" s="523"/>
      <c r="P1385" s="523"/>
    </row>
    <row r="1386" spans="3:20" s="517" customFormat="1" ht="31.2" customHeight="1">
      <c r="C1386" s="543" t="s">
        <v>1209</v>
      </c>
      <c r="D1386" s="750" t="s">
        <v>1210</v>
      </c>
      <c r="E1386" s="197"/>
      <c r="F1386" s="751"/>
      <c r="G1386" s="197"/>
      <c r="H1386" s="752"/>
      <c r="L1386" s="200"/>
      <c r="M1386" s="200"/>
      <c r="N1386" s="200"/>
      <c r="O1386" s="200"/>
      <c r="P1386" s="200"/>
    </row>
    <row r="1387" spans="3:20" s="517" customFormat="1" ht="31.2" customHeight="1">
      <c r="C1387" s="543">
        <v>1</v>
      </c>
      <c r="D1387" s="750" t="s">
        <v>7017</v>
      </c>
      <c r="E1387" s="203" t="s">
        <v>44</v>
      </c>
      <c r="F1387" s="753">
        <v>1.05</v>
      </c>
      <c r="G1387" s="205">
        <f>VLOOKUP(D1387,upahbahan,3,FALSE)</f>
        <v>0</v>
      </c>
      <c r="H1387" s="210">
        <f t="shared" ref="H1387:H1395" si="94">F1387*G1387</f>
        <v>0</v>
      </c>
      <c r="L1387" s="200"/>
      <c r="M1387" s="200"/>
      <c r="N1387" s="200"/>
      <c r="O1387" s="200"/>
      <c r="P1387" s="200"/>
    </row>
    <row r="1388" spans="3:20" s="517" customFormat="1" ht="31.2" customHeight="1">
      <c r="C1388" s="543">
        <v>2</v>
      </c>
      <c r="D1388" s="750" t="s">
        <v>5563</v>
      </c>
      <c r="E1388" s="203" t="s">
        <v>65</v>
      </c>
      <c r="F1388" s="753">
        <v>5.0000000000000001E-3</v>
      </c>
      <c r="G1388" s="205">
        <f>VLOOKUP(D1388,upahbahan,3,FALSE)</f>
        <v>0</v>
      </c>
      <c r="H1388" s="210">
        <f t="shared" si="94"/>
        <v>0</v>
      </c>
      <c r="L1388" s="200"/>
      <c r="M1388" s="200"/>
      <c r="N1388" s="200"/>
      <c r="O1388" s="200"/>
      <c r="P1388" s="200"/>
    </row>
    <row r="1389" spans="3:20" s="517" customFormat="1" ht="31.2" customHeight="1">
      <c r="C1389" s="543">
        <v>3</v>
      </c>
      <c r="D1389" s="750" t="s">
        <v>5555</v>
      </c>
      <c r="E1389" s="203"/>
      <c r="F1389" s="753"/>
      <c r="G1389" s="197"/>
      <c r="H1389" s="210">
        <f t="shared" si="94"/>
        <v>0</v>
      </c>
      <c r="L1389" s="200"/>
      <c r="M1389" s="200"/>
      <c r="N1389" s="200"/>
      <c r="O1389" s="200"/>
      <c r="P1389" s="200"/>
    </row>
    <row r="1390" spans="3:20" s="517" customFormat="1" ht="31.2" customHeight="1">
      <c r="C1390" s="754" t="s">
        <v>5293</v>
      </c>
      <c r="D1390" s="750" t="s">
        <v>6957</v>
      </c>
      <c r="E1390" s="203" t="s">
        <v>1300</v>
      </c>
      <c r="F1390" s="753">
        <v>6</v>
      </c>
      <c r="G1390" s="205">
        <f>VLOOKUP(D1390,upahbahan,3,FALSE)</f>
        <v>0</v>
      </c>
      <c r="H1390" s="210">
        <f t="shared" si="94"/>
        <v>0</v>
      </c>
      <c r="L1390" s="200"/>
      <c r="M1390" s="200"/>
      <c r="N1390" s="200"/>
      <c r="O1390" s="200"/>
      <c r="P1390" s="200"/>
    </row>
    <row r="1391" spans="3:20" s="517" customFormat="1" ht="31.2" customHeight="1">
      <c r="C1391" s="754" t="s">
        <v>5299</v>
      </c>
      <c r="D1391" s="750" t="s">
        <v>5560</v>
      </c>
      <c r="E1391" s="203" t="s">
        <v>113</v>
      </c>
      <c r="F1391" s="753">
        <v>10</v>
      </c>
      <c r="G1391" s="205">
        <f>VLOOKUP(D1391,upahbahan,3,FALSE)</f>
        <v>0</v>
      </c>
      <c r="H1391" s="210">
        <f t="shared" si="94"/>
        <v>0</v>
      </c>
      <c r="L1391" s="200"/>
      <c r="M1391" s="200"/>
      <c r="N1391" s="200"/>
      <c r="O1391" s="200"/>
      <c r="P1391" s="200"/>
    </row>
    <row r="1392" spans="3:20" s="517" customFormat="1" ht="31.2" customHeight="1">
      <c r="C1392" s="543">
        <v>4</v>
      </c>
      <c r="D1392" s="750" t="s">
        <v>5556</v>
      </c>
      <c r="E1392" s="203"/>
      <c r="F1392" s="753"/>
      <c r="G1392" s="197"/>
      <c r="H1392" s="210">
        <f t="shared" si="94"/>
        <v>0</v>
      </c>
      <c r="L1392" s="200"/>
      <c r="M1392" s="200"/>
      <c r="N1392" s="200"/>
      <c r="O1392" s="200"/>
      <c r="P1392" s="200"/>
    </row>
    <row r="1393" spans="3:20" s="517" customFormat="1" ht="31.2" customHeight="1">
      <c r="C1393" s="754" t="s">
        <v>5293</v>
      </c>
      <c r="D1393" s="750" t="s">
        <v>2084</v>
      </c>
      <c r="E1393" s="203" t="s">
        <v>42</v>
      </c>
      <c r="F1393" s="753">
        <v>2.4400000000000002E-2</v>
      </c>
      <c r="G1393" s="205">
        <f>VLOOKUP(D1393,upahbahan,3,FALSE)</f>
        <v>0</v>
      </c>
      <c r="H1393" s="210">
        <f t="shared" si="94"/>
        <v>0</v>
      </c>
      <c r="L1393" s="200"/>
      <c r="M1393" s="200"/>
      <c r="N1393" s="200"/>
      <c r="O1393" s="200"/>
      <c r="P1393" s="200"/>
    </row>
    <row r="1394" spans="3:20" s="517" customFormat="1" ht="31.2" customHeight="1">
      <c r="C1394" s="754" t="s">
        <v>5299</v>
      </c>
      <c r="D1394" s="750" t="s">
        <v>5566</v>
      </c>
      <c r="E1394" s="203" t="s">
        <v>42</v>
      </c>
      <c r="F1394" s="753">
        <v>6.4999999999999997E-3</v>
      </c>
      <c r="G1394" s="205">
        <f>VLOOKUP(D1394,upahbahan,3,FALSE)</f>
        <v>0</v>
      </c>
      <c r="H1394" s="210">
        <f t="shared" si="94"/>
        <v>0</v>
      </c>
      <c r="L1394" s="200"/>
      <c r="M1394" s="200"/>
      <c r="N1394" s="200"/>
      <c r="O1394" s="200"/>
      <c r="P1394" s="200"/>
    </row>
    <row r="1395" spans="3:20" s="517" customFormat="1" ht="31.2" customHeight="1">
      <c r="C1395" s="754" t="s">
        <v>5558</v>
      </c>
      <c r="D1395" s="750" t="s">
        <v>2325</v>
      </c>
      <c r="E1395" s="203" t="s">
        <v>42</v>
      </c>
      <c r="F1395" s="762">
        <v>1.6000000000000001E-3</v>
      </c>
      <c r="G1395" s="205">
        <f>VLOOKUP(D1395,upahbahan,3,FALSE)</f>
        <v>0</v>
      </c>
      <c r="H1395" s="210">
        <f t="shared" si="94"/>
        <v>0</v>
      </c>
      <c r="L1395" s="200"/>
      <c r="M1395" s="200"/>
      <c r="N1395" s="200"/>
      <c r="O1395" s="200"/>
      <c r="P1395" s="200"/>
    </row>
    <row r="1396" spans="3:20" s="517" customFormat="1" ht="31.2" customHeight="1">
      <c r="C1396" s="207" t="s">
        <v>1214</v>
      </c>
      <c r="D1396" s="208"/>
      <c r="E1396" s="568"/>
      <c r="F1396" s="208"/>
      <c r="G1396" s="209"/>
      <c r="H1396" s="210">
        <f>SUM(H1387:H1395)</f>
        <v>0</v>
      </c>
      <c r="L1396" s="200"/>
      <c r="M1396" s="200"/>
      <c r="N1396" s="200"/>
      <c r="O1396" s="200"/>
      <c r="P1396" s="200"/>
    </row>
    <row r="1397" spans="3:20" s="517" customFormat="1" ht="31.2" customHeight="1">
      <c r="C1397" s="756" t="s">
        <v>1215</v>
      </c>
      <c r="D1397" s="196" t="s">
        <v>1216</v>
      </c>
      <c r="E1397" s="203"/>
      <c r="F1397" s="197"/>
      <c r="G1397" s="197"/>
      <c r="H1397" s="198"/>
      <c r="L1397" s="200"/>
      <c r="M1397" s="200"/>
      <c r="N1397" s="200"/>
      <c r="O1397" s="200"/>
      <c r="P1397" s="200"/>
    </row>
    <row r="1398" spans="3:20" s="517" customFormat="1" ht="31.2" customHeight="1">
      <c r="C1398" s="207" t="s">
        <v>1217</v>
      </c>
      <c r="D1398" s="208"/>
      <c r="E1398" s="208"/>
      <c r="F1398" s="208"/>
      <c r="G1398" s="209"/>
      <c r="H1398" s="240">
        <f>SUM(H1397)</f>
        <v>0</v>
      </c>
      <c r="L1398" s="200"/>
      <c r="M1398" s="200"/>
      <c r="N1398" s="200"/>
      <c r="O1398" s="200"/>
      <c r="P1398" s="200"/>
    </row>
    <row r="1399" spans="3:20" s="517" customFormat="1" ht="31.2" customHeight="1">
      <c r="C1399" s="223" t="s">
        <v>1218</v>
      </c>
      <c r="D1399" s="224" t="s">
        <v>1219</v>
      </c>
      <c r="E1399" s="225"/>
      <c r="F1399" s="225"/>
      <c r="G1399" s="226"/>
      <c r="H1399" s="210">
        <f>H1398+H1396+H1385</f>
        <v>5442.625</v>
      </c>
      <c r="L1399" s="200"/>
      <c r="M1399" s="200"/>
      <c r="N1399" s="200"/>
      <c r="O1399" s="200"/>
      <c r="P1399" s="200"/>
    </row>
    <row r="1400" spans="3:20" s="517" customFormat="1" ht="31.2" customHeight="1">
      <c r="C1400" s="223" t="s">
        <v>1220</v>
      </c>
      <c r="D1400" s="224" t="s">
        <v>1321</v>
      </c>
      <c r="E1400" s="225"/>
      <c r="F1400" s="226"/>
      <c r="G1400" s="228">
        <v>0.1</v>
      </c>
      <c r="H1400" s="210">
        <f>H1399*G1400</f>
        <v>544.26250000000005</v>
      </c>
      <c r="L1400" s="200"/>
      <c r="M1400" s="200"/>
      <c r="N1400" s="200"/>
      <c r="O1400" s="200"/>
      <c r="P1400" s="200"/>
    </row>
    <row r="1401" spans="3:20" s="517" customFormat="1" ht="31.2" customHeight="1" thickBot="1">
      <c r="C1401" s="229" t="s">
        <v>1221</v>
      </c>
      <c r="D1401" s="230" t="s">
        <v>1222</v>
      </c>
      <c r="E1401" s="231"/>
      <c r="F1401" s="231"/>
      <c r="G1401" s="232"/>
      <c r="H1401" s="233">
        <f>SUM(H1399:H1400)</f>
        <v>5986.8874999999998</v>
      </c>
      <c r="L1401" s="200"/>
      <c r="M1401" s="200"/>
      <c r="N1401" s="200"/>
      <c r="O1401" s="200"/>
      <c r="P1401" s="200"/>
    </row>
    <row r="1402" spans="3:20" ht="31.2" customHeight="1" thickTop="1">
      <c r="D1402" s="758" t="s">
        <v>6949</v>
      </c>
    </row>
    <row r="1403" spans="3:20" ht="31.2" customHeight="1">
      <c r="C1403" s="757" t="s">
        <v>6950</v>
      </c>
      <c r="F1403" s="758"/>
      <c r="H1403" s="758" t="s">
        <v>6959</v>
      </c>
    </row>
    <row r="1404" spans="3:20" ht="31.2" customHeight="1">
      <c r="C1404" s="200" t="s">
        <v>6951</v>
      </c>
      <c r="F1404" s="758"/>
    </row>
    <row r="1405" spans="3:20" ht="31.2" customHeight="1">
      <c r="C1405" s="200" t="s">
        <v>6952</v>
      </c>
      <c r="F1405" s="758"/>
    </row>
    <row r="1406" spans="3:20" ht="31.2" customHeight="1">
      <c r="F1406" s="758"/>
    </row>
    <row r="1407" spans="3:20" s="517" customFormat="1" ht="31.2" customHeight="1" thickBot="1">
      <c r="C1407" s="513" t="s">
        <v>7018</v>
      </c>
      <c r="D1407" s="748" t="s">
        <v>7019</v>
      </c>
      <c r="E1407" s="749"/>
      <c r="F1407" s="748"/>
      <c r="G1407" s="748"/>
      <c r="H1407" s="532"/>
      <c r="I1407" s="532"/>
      <c r="J1407" s="532"/>
      <c r="K1407" s="532"/>
      <c r="M1407" s="189"/>
      <c r="N1407" s="189"/>
      <c r="O1407" s="189"/>
      <c r="P1407" s="189"/>
      <c r="R1407" s="189">
        <f>ROUNDDOWN(H1429,-2)</f>
        <v>5900</v>
      </c>
      <c r="S1407" s="517" t="s">
        <v>6451</v>
      </c>
      <c r="T1407" s="517" t="s">
        <v>7014</v>
      </c>
    </row>
    <row r="1408" spans="3:20" s="517" customFormat="1" ht="31.2" customHeight="1" thickTop="1">
      <c r="C1408" s="190" t="s">
        <v>1195</v>
      </c>
      <c r="D1408" s="191" t="s">
        <v>1196</v>
      </c>
      <c r="E1408" s="191" t="s">
        <v>1197</v>
      </c>
      <c r="F1408" s="191" t="s">
        <v>1198</v>
      </c>
      <c r="G1408" s="191" t="s">
        <v>1199</v>
      </c>
      <c r="H1408" s="192" t="s">
        <v>1200</v>
      </c>
      <c r="L1408" s="200"/>
      <c r="M1408" s="200"/>
      <c r="N1408" s="200"/>
      <c r="O1408" s="200"/>
      <c r="P1408" s="200"/>
    </row>
    <row r="1409" spans="3:16" s="517" customFormat="1" ht="31.2" customHeight="1">
      <c r="C1409" s="518" t="s">
        <v>1201</v>
      </c>
      <c r="D1409" s="196" t="s">
        <v>1202</v>
      </c>
      <c r="E1409" s="197"/>
      <c r="F1409" s="197"/>
      <c r="G1409" s="197"/>
      <c r="H1409" s="198"/>
      <c r="L1409" s="200"/>
      <c r="M1409" s="200"/>
      <c r="N1409" s="200"/>
      <c r="O1409" s="200"/>
      <c r="P1409" s="200"/>
    </row>
    <row r="1410" spans="3:16" s="517" customFormat="1" ht="31.2" customHeight="1">
      <c r="C1410" s="537">
        <v>1</v>
      </c>
      <c r="D1410" s="196" t="s">
        <v>6954</v>
      </c>
      <c r="E1410" s="202" t="s">
        <v>6</v>
      </c>
      <c r="F1410" s="520">
        <v>0.02</v>
      </c>
      <c r="G1410" s="205">
        <f>VLOOKUP(D1410,upahbahan,3,FALSE)</f>
        <v>181250</v>
      </c>
      <c r="H1410" s="210">
        <f t="shared" ref="H1410:H1412" si="95">F1410*G1410</f>
        <v>3625</v>
      </c>
      <c r="L1410" s="200"/>
      <c r="M1410" s="200"/>
      <c r="N1410" s="200"/>
      <c r="O1410" s="200"/>
      <c r="P1410" s="200"/>
    </row>
    <row r="1411" spans="3:16" s="517" customFormat="1" ht="31.2" customHeight="1">
      <c r="C1411" s="537">
        <v>2</v>
      </c>
      <c r="D1411" s="196" t="s">
        <v>6948</v>
      </c>
      <c r="E1411" s="202" t="s">
        <v>2102</v>
      </c>
      <c r="F1411" s="520">
        <v>6.7000000000000002E-3</v>
      </c>
      <c r="G1411" s="205">
        <f>VLOOKUP(D1411,upahbahan,3,FALSE)</f>
        <v>218750</v>
      </c>
      <c r="H1411" s="210">
        <f t="shared" si="95"/>
        <v>1465.625</v>
      </c>
      <c r="L1411" s="200"/>
      <c r="M1411" s="200"/>
      <c r="N1411" s="200"/>
      <c r="O1411" s="200"/>
      <c r="P1411" s="200"/>
    </row>
    <row r="1412" spans="3:16" s="517" customFormat="1" ht="31.2" customHeight="1">
      <c r="C1412" s="537">
        <v>3</v>
      </c>
      <c r="D1412" s="196" t="s">
        <v>19</v>
      </c>
      <c r="E1412" s="202" t="s">
        <v>6</v>
      </c>
      <c r="F1412" s="520">
        <v>2.2000000000000001E-3</v>
      </c>
      <c r="G1412" s="205">
        <f>VLOOKUP(D1412,upahbahan,3,FALSE)</f>
        <v>160000</v>
      </c>
      <c r="H1412" s="210">
        <f t="shared" si="95"/>
        <v>352</v>
      </c>
      <c r="L1412" s="200"/>
      <c r="M1412" s="200"/>
      <c r="N1412" s="200"/>
      <c r="O1412" s="200"/>
      <c r="P1412" s="200"/>
    </row>
    <row r="1413" spans="3:16" s="517" customFormat="1" ht="31.2" customHeight="1">
      <c r="C1413" s="207" t="s">
        <v>1208</v>
      </c>
      <c r="D1413" s="208"/>
      <c r="E1413" s="208"/>
      <c r="F1413" s="521"/>
      <c r="G1413" s="522"/>
      <c r="H1413" s="210">
        <f>SUM(H1410:H1412)</f>
        <v>5442.625</v>
      </c>
      <c r="L1413" s="523"/>
      <c r="M1413" s="523"/>
      <c r="N1413" s="523"/>
      <c r="O1413" s="523"/>
      <c r="P1413" s="523"/>
    </row>
    <row r="1414" spans="3:16" s="517" customFormat="1" ht="31.2" customHeight="1">
      <c r="C1414" s="543" t="s">
        <v>1209</v>
      </c>
      <c r="D1414" s="750" t="s">
        <v>1210</v>
      </c>
      <c r="E1414" s="197"/>
      <c r="F1414" s="751"/>
      <c r="G1414" s="197"/>
      <c r="H1414" s="752"/>
      <c r="L1414" s="200"/>
      <c r="M1414" s="200"/>
      <c r="N1414" s="200"/>
      <c r="O1414" s="200"/>
      <c r="P1414" s="200"/>
    </row>
    <row r="1415" spans="3:16" s="517" customFormat="1" ht="31.2" customHeight="1">
      <c r="C1415" s="543">
        <v>1</v>
      </c>
      <c r="D1415" s="761" t="s">
        <v>7020</v>
      </c>
      <c r="E1415" s="203" t="s">
        <v>44</v>
      </c>
      <c r="F1415" s="753">
        <v>1.05</v>
      </c>
      <c r="G1415" s="205">
        <f>VLOOKUP(D1415,upahbahan,3,FALSE)</f>
        <v>0</v>
      </c>
      <c r="H1415" s="210">
        <f t="shared" ref="H1415:H1423" si="96">F1415*G1415</f>
        <v>0</v>
      </c>
      <c r="L1415" s="200"/>
      <c r="M1415" s="200"/>
      <c r="N1415" s="200"/>
      <c r="O1415" s="200"/>
      <c r="P1415" s="200"/>
    </row>
    <row r="1416" spans="3:16" s="517" customFormat="1" ht="31.2" customHeight="1">
      <c r="C1416" s="543">
        <v>2</v>
      </c>
      <c r="D1416" s="750" t="s">
        <v>5563</v>
      </c>
      <c r="E1416" s="203" t="s">
        <v>65</v>
      </c>
      <c r="F1416" s="753">
        <v>5.0000000000000001E-3</v>
      </c>
      <c r="G1416" s="205">
        <f>VLOOKUP(D1416,upahbahan,3,FALSE)</f>
        <v>0</v>
      </c>
      <c r="H1416" s="210">
        <f t="shared" si="96"/>
        <v>0</v>
      </c>
      <c r="L1416" s="200"/>
      <c r="M1416" s="200"/>
      <c r="N1416" s="200"/>
      <c r="O1416" s="200"/>
      <c r="P1416" s="200"/>
    </row>
    <row r="1417" spans="3:16" s="517" customFormat="1" ht="31.2" customHeight="1">
      <c r="C1417" s="543">
        <v>3</v>
      </c>
      <c r="D1417" s="750" t="s">
        <v>5555</v>
      </c>
      <c r="E1417" s="203"/>
      <c r="F1417" s="753"/>
      <c r="G1417" s="197"/>
      <c r="H1417" s="210">
        <f t="shared" si="96"/>
        <v>0</v>
      </c>
      <c r="L1417" s="200"/>
      <c r="M1417" s="200"/>
      <c r="N1417" s="200"/>
      <c r="O1417" s="200"/>
      <c r="P1417" s="200"/>
    </row>
    <row r="1418" spans="3:16" s="517" customFormat="1" ht="31.2" customHeight="1">
      <c r="C1418" s="754" t="s">
        <v>5293</v>
      </c>
      <c r="D1418" s="750" t="s">
        <v>6957</v>
      </c>
      <c r="E1418" s="203" t="s">
        <v>1300</v>
      </c>
      <c r="F1418" s="760">
        <v>6</v>
      </c>
      <c r="G1418" s="205">
        <f>VLOOKUP(D1418,upahbahan,3,FALSE)</f>
        <v>0</v>
      </c>
      <c r="H1418" s="210">
        <f t="shared" si="96"/>
        <v>0</v>
      </c>
      <c r="L1418" s="200"/>
      <c r="M1418" s="200"/>
      <c r="N1418" s="200"/>
      <c r="O1418" s="200"/>
      <c r="P1418" s="200"/>
    </row>
    <row r="1419" spans="3:16" s="517" customFormat="1" ht="31.2" customHeight="1">
      <c r="C1419" s="754" t="s">
        <v>5299</v>
      </c>
      <c r="D1419" s="750" t="s">
        <v>5560</v>
      </c>
      <c r="E1419" s="203" t="s">
        <v>113</v>
      </c>
      <c r="F1419" s="760">
        <v>10</v>
      </c>
      <c r="G1419" s="205">
        <f>VLOOKUP(D1419,upahbahan,3,FALSE)</f>
        <v>0</v>
      </c>
      <c r="H1419" s="210">
        <f t="shared" si="96"/>
        <v>0</v>
      </c>
      <c r="L1419" s="200"/>
      <c r="M1419" s="200"/>
      <c r="N1419" s="200"/>
      <c r="O1419" s="200"/>
      <c r="P1419" s="200"/>
    </row>
    <row r="1420" spans="3:16" s="517" customFormat="1" ht="31.2" customHeight="1">
      <c r="C1420" s="543">
        <v>4</v>
      </c>
      <c r="D1420" s="750" t="s">
        <v>5556</v>
      </c>
      <c r="E1420" s="203"/>
      <c r="F1420" s="753"/>
      <c r="G1420" s="197"/>
      <c r="H1420" s="210">
        <f t="shared" si="96"/>
        <v>0</v>
      </c>
      <c r="L1420" s="200"/>
      <c r="M1420" s="200"/>
      <c r="N1420" s="200"/>
      <c r="O1420" s="200"/>
      <c r="P1420" s="200"/>
    </row>
    <row r="1421" spans="3:16" s="517" customFormat="1" ht="31.2" customHeight="1">
      <c r="C1421" s="754" t="s">
        <v>5293</v>
      </c>
      <c r="D1421" s="750" t="s">
        <v>2084</v>
      </c>
      <c r="E1421" s="203" t="s">
        <v>42</v>
      </c>
      <c r="F1421" s="753">
        <v>2.4400000000000002E-2</v>
      </c>
      <c r="G1421" s="205">
        <f>VLOOKUP(D1421,upahbahan,3,FALSE)</f>
        <v>0</v>
      </c>
      <c r="H1421" s="210">
        <f t="shared" si="96"/>
        <v>0</v>
      </c>
      <c r="L1421" s="200"/>
      <c r="M1421" s="200"/>
      <c r="N1421" s="200"/>
      <c r="O1421" s="200"/>
      <c r="P1421" s="200"/>
    </row>
    <row r="1422" spans="3:16" s="517" customFormat="1" ht="31.2" customHeight="1">
      <c r="C1422" s="754" t="s">
        <v>5299</v>
      </c>
      <c r="D1422" s="750" t="s">
        <v>5566</v>
      </c>
      <c r="E1422" s="203" t="s">
        <v>42</v>
      </c>
      <c r="F1422" s="753">
        <v>6.4999999999999997E-3</v>
      </c>
      <c r="G1422" s="205">
        <f>VLOOKUP(D1422,upahbahan,3,FALSE)</f>
        <v>0</v>
      </c>
      <c r="H1422" s="210">
        <f t="shared" si="96"/>
        <v>0</v>
      </c>
      <c r="L1422" s="200"/>
      <c r="M1422" s="200"/>
      <c r="N1422" s="200"/>
      <c r="O1422" s="200"/>
      <c r="P1422" s="200"/>
    </row>
    <row r="1423" spans="3:16" s="517" customFormat="1" ht="31.2" customHeight="1">
      <c r="C1423" s="754" t="s">
        <v>5558</v>
      </c>
      <c r="D1423" s="750" t="s">
        <v>2325</v>
      </c>
      <c r="E1423" s="203" t="s">
        <v>42</v>
      </c>
      <c r="F1423" s="762">
        <v>1.6000000000000001E-3</v>
      </c>
      <c r="G1423" s="205">
        <f>VLOOKUP(D1423,upahbahan,3,FALSE)</f>
        <v>0</v>
      </c>
      <c r="H1423" s="210">
        <f t="shared" si="96"/>
        <v>0</v>
      </c>
      <c r="L1423" s="200"/>
      <c r="M1423" s="200"/>
      <c r="N1423" s="200"/>
      <c r="O1423" s="200"/>
      <c r="P1423" s="200"/>
    </row>
    <row r="1424" spans="3:16" s="517" customFormat="1" ht="31.2" customHeight="1">
      <c r="C1424" s="207" t="s">
        <v>1214</v>
      </c>
      <c r="D1424" s="208"/>
      <c r="E1424" s="568"/>
      <c r="F1424" s="208"/>
      <c r="G1424" s="209"/>
      <c r="H1424" s="210">
        <f>SUM(H1415:H1423)</f>
        <v>0</v>
      </c>
      <c r="L1424" s="200"/>
      <c r="M1424" s="200"/>
      <c r="N1424" s="200"/>
      <c r="O1424" s="200"/>
      <c r="P1424" s="200"/>
    </row>
    <row r="1425" spans="3:20" s="517" customFormat="1" ht="31.2" customHeight="1">
      <c r="C1425" s="756" t="s">
        <v>1215</v>
      </c>
      <c r="D1425" s="196" t="s">
        <v>1216</v>
      </c>
      <c r="E1425" s="203"/>
      <c r="F1425" s="197"/>
      <c r="G1425" s="197"/>
      <c r="H1425" s="198"/>
      <c r="L1425" s="200"/>
      <c r="M1425" s="200"/>
      <c r="N1425" s="200"/>
      <c r="O1425" s="200"/>
      <c r="P1425" s="200"/>
    </row>
    <row r="1426" spans="3:20" s="517" customFormat="1" ht="31.2" customHeight="1">
      <c r="C1426" s="207" t="s">
        <v>1217</v>
      </c>
      <c r="D1426" s="208"/>
      <c r="E1426" s="208"/>
      <c r="F1426" s="208"/>
      <c r="G1426" s="209"/>
      <c r="H1426" s="240">
        <f>SUM(H1425)</f>
        <v>0</v>
      </c>
      <c r="L1426" s="200"/>
      <c r="M1426" s="200"/>
      <c r="N1426" s="200"/>
      <c r="O1426" s="200"/>
      <c r="P1426" s="200"/>
    </row>
    <row r="1427" spans="3:20" s="517" customFormat="1" ht="31.2" customHeight="1">
      <c r="C1427" s="223" t="s">
        <v>1218</v>
      </c>
      <c r="D1427" s="224" t="s">
        <v>1219</v>
      </c>
      <c r="E1427" s="225"/>
      <c r="F1427" s="225"/>
      <c r="G1427" s="226"/>
      <c r="H1427" s="210">
        <f>H1426+H1424+H1413</f>
        <v>5442.625</v>
      </c>
      <c r="L1427" s="200"/>
      <c r="M1427" s="200"/>
      <c r="N1427" s="200"/>
      <c r="O1427" s="200"/>
      <c r="P1427" s="200"/>
    </row>
    <row r="1428" spans="3:20" s="517" customFormat="1" ht="31.2" customHeight="1">
      <c r="C1428" s="223" t="s">
        <v>1220</v>
      </c>
      <c r="D1428" s="224" t="s">
        <v>1321</v>
      </c>
      <c r="E1428" s="225"/>
      <c r="F1428" s="226"/>
      <c r="G1428" s="228">
        <v>0.1</v>
      </c>
      <c r="H1428" s="210">
        <f>H1427*G1428</f>
        <v>544.26250000000005</v>
      </c>
      <c r="L1428" s="200"/>
      <c r="M1428" s="200"/>
      <c r="N1428" s="200"/>
      <c r="O1428" s="200"/>
      <c r="P1428" s="200"/>
    </row>
    <row r="1429" spans="3:20" s="517" customFormat="1" ht="31.2" customHeight="1" thickBot="1">
      <c r="C1429" s="229" t="s">
        <v>1221</v>
      </c>
      <c r="D1429" s="230" t="s">
        <v>1222</v>
      </c>
      <c r="E1429" s="231"/>
      <c r="F1429" s="231"/>
      <c r="G1429" s="232"/>
      <c r="H1429" s="233">
        <f>SUM(H1427:H1428)</f>
        <v>5986.8874999999998</v>
      </c>
      <c r="L1429" s="200"/>
      <c r="M1429" s="200"/>
      <c r="N1429" s="200"/>
      <c r="O1429" s="200"/>
      <c r="P1429" s="200"/>
    </row>
    <row r="1430" spans="3:20" ht="31.2" customHeight="1" thickTop="1">
      <c r="D1430" s="758" t="s">
        <v>6949</v>
      </c>
    </row>
    <row r="1431" spans="3:20" ht="31.2" customHeight="1">
      <c r="C1431" s="757" t="s">
        <v>6950</v>
      </c>
      <c r="F1431" s="758"/>
      <c r="H1431" s="758" t="s">
        <v>6959</v>
      </c>
    </row>
    <row r="1432" spans="3:20" ht="31.2" customHeight="1">
      <c r="C1432" s="200" t="s">
        <v>6951</v>
      </c>
      <c r="F1432" s="758"/>
    </row>
    <row r="1433" spans="3:20" ht="31.2" customHeight="1">
      <c r="C1433" s="200" t="s">
        <v>6952</v>
      </c>
      <c r="F1433" s="758"/>
    </row>
    <row r="1434" spans="3:20" ht="31.2" customHeight="1">
      <c r="F1434" s="758"/>
    </row>
    <row r="1435" spans="3:20" s="517" customFormat="1" ht="31.2" customHeight="1" thickBot="1">
      <c r="C1435" s="513" t="s">
        <v>7021</v>
      </c>
      <c r="D1435" s="748" t="s">
        <v>7022</v>
      </c>
      <c r="E1435" s="749"/>
      <c r="F1435" s="748"/>
      <c r="G1435" s="748"/>
      <c r="H1435" s="532"/>
      <c r="I1435" s="532"/>
      <c r="J1435" s="532"/>
      <c r="K1435" s="532"/>
      <c r="M1435" s="189"/>
      <c r="N1435" s="189"/>
      <c r="O1435" s="189"/>
      <c r="P1435" s="189"/>
      <c r="R1435" s="189">
        <f>ROUNDDOWN(H1457,-2)</f>
        <v>5900</v>
      </c>
      <c r="S1435" s="517" t="s">
        <v>6451</v>
      </c>
      <c r="T1435" s="517" t="s">
        <v>7014</v>
      </c>
    </row>
    <row r="1436" spans="3:20" s="517" customFormat="1" ht="31.2" customHeight="1" thickTop="1">
      <c r="C1436" s="190" t="s">
        <v>1195</v>
      </c>
      <c r="D1436" s="191" t="s">
        <v>1196</v>
      </c>
      <c r="E1436" s="191" t="s">
        <v>1197</v>
      </c>
      <c r="F1436" s="191" t="s">
        <v>1198</v>
      </c>
      <c r="G1436" s="191" t="s">
        <v>1199</v>
      </c>
      <c r="H1436" s="192" t="s">
        <v>1200</v>
      </c>
      <c r="L1436" s="200"/>
      <c r="M1436" s="200"/>
      <c r="N1436" s="200"/>
      <c r="O1436" s="200"/>
      <c r="P1436" s="200"/>
    </row>
    <row r="1437" spans="3:20" s="517" customFormat="1" ht="31.2" customHeight="1">
      <c r="C1437" s="518" t="s">
        <v>1201</v>
      </c>
      <c r="D1437" s="196" t="s">
        <v>1202</v>
      </c>
      <c r="E1437" s="197"/>
      <c r="F1437" s="197"/>
      <c r="G1437" s="197"/>
      <c r="H1437" s="198"/>
      <c r="L1437" s="200"/>
      <c r="M1437" s="200"/>
      <c r="N1437" s="200"/>
      <c r="O1437" s="200"/>
      <c r="P1437" s="200"/>
    </row>
    <row r="1438" spans="3:20" s="517" customFormat="1" ht="31.2" customHeight="1">
      <c r="C1438" s="537">
        <v>1</v>
      </c>
      <c r="D1438" s="196" t="s">
        <v>6954</v>
      </c>
      <c r="E1438" s="202" t="s">
        <v>6</v>
      </c>
      <c r="F1438" s="520">
        <v>0.02</v>
      </c>
      <c r="G1438" s="205">
        <f>VLOOKUP(D1438,upahbahan,3,FALSE)</f>
        <v>181250</v>
      </c>
      <c r="H1438" s="210">
        <f t="shared" ref="H1438:H1440" si="97">F1438*G1438</f>
        <v>3625</v>
      </c>
      <c r="L1438" s="200"/>
      <c r="M1438" s="200"/>
      <c r="N1438" s="200"/>
      <c r="O1438" s="200"/>
      <c r="P1438" s="200"/>
    </row>
    <row r="1439" spans="3:20" s="517" customFormat="1" ht="31.2" customHeight="1">
      <c r="C1439" s="537">
        <v>2</v>
      </c>
      <c r="D1439" s="196" t="s">
        <v>6948</v>
      </c>
      <c r="E1439" s="202" t="s">
        <v>2102</v>
      </c>
      <c r="F1439" s="520">
        <v>6.7000000000000002E-3</v>
      </c>
      <c r="G1439" s="205">
        <f>VLOOKUP(D1439,upahbahan,3,FALSE)</f>
        <v>218750</v>
      </c>
      <c r="H1439" s="210">
        <f t="shared" si="97"/>
        <v>1465.625</v>
      </c>
      <c r="L1439" s="200"/>
      <c r="M1439" s="200"/>
      <c r="N1439" s="200"/>
      <c r="O1439" s="200"/>
      <c r="P1439" s="200"/>
    </row>
    <row r="1440" spans="3:20" s="517" customFormat="1" ht="31.2" customHeight="1">
      <c r="C1440" s="537">
        <v>3</v>
      </c>
      <c r="D1440" s="196" t="s">
        <v>19</v>
      </c>
      <c r="E1440" s="202" t="s">
        <v>6</v>
      </c>
      <c r="F1440" s="520">
        <v>2.2000000000000001E-3</v>
      </c>
      <c r="G1440" s="205">
        <f>VLOOKUP(D1440,upahbahan,3,FALSE)</f>
        <v>160000</v>
      </c>
      <c r="H1440" s="210">
        <f t="shared" si="97"/>
        <v>352</v>
      </c>
      <c r="L1440" s="200"/>
      <c r="M1440" s="200"/>
      <c r="N1440" s="200"/>
      <c r="O1440" s="200"/>
      <c r="P1440" s="200"/>
    </row>
    <row r="1441" spans="3:16" s="517" customFormat="1" ht="31.2" customHeight="1">
      <c r="C1441" s="207" t="s">
        <v>1208</v>
      </c>
      <c r="D1441" s="208"/>
      <c r="E1441" s="208"/>
      <c r="F1441" s="521"/>
      <c r="G1441" s="522"/>
      <c r="H1441" s="210">
        <f>SUM(H1438:H1440)</f>
        <v>5442.625</v>
      </c>
      <c r="L1441" s="523"/>
      <c r="M1441" s="523"/>
      <c r="N1441" s="523"/>
      <c r="O1441" s="523"/>
      <c r="P1441" s="523"/>
    </row>
    <row r="1442" spans="3:16" s="517" customFormat="1" ht="31.2" customHeight="1">
      <c r="C1442" s="543" t="s">
        <v>1209</v>
      </c>
      <c r="D1442" s="750" t="s">
        <v>1210</v>
      </c>
      <c r="E1442" s="197"/>
      <c r="F1442" s="751"/>
      <c r="G1442" s="197"/>
      <c r="H1442" s="752"/>
      <c r="L1442" s="200"/>
      <c r="M1442" s="200"/>
      <c r="N1442" s="200"/>
      <c r="O1442" s="200"/>
      <c r="P1442" s="200"/>
    </row>
    <row r="1443" spans="3:16" s="517" customFormat="1" ht="31.2" customHeight="1">
      <c r="C1443" s="543">
        <v>1</v>
      </c>
      <c r="D1443" s="750" t="s">
        <v>7023</v>
      </c>
      <c r="E1443" s="203" t="s">
        <v>44</v>
      </c>
      <c r="F1443" s="753">
        <v>1.05</v>
      </c>
      <c r="G1443" s="205">
        <f>VLOOKUP(D1443,upahbahan,3,FALSE)</f>
        <v>0</v>
      </c>
      <c r="H1443" s="210">
        <f t="shared" ref="H1443:H1451" si="98">F1443*G1443</f>
        <v>0</v>
      </c>
      <c r="L1443" s="200"/>
      <c r="M1443" s="200"/>
      <c r="N1443" s="200"/>
      <c r="O1443" s="200"/>
      <c r="P1443" s="200"/>
    </row>
    <row r="1444" spans="3:16" s="517" customFormat="1" ht="31.2" customHeight="1">
      <c r="C1444" s="543">
        <v>2</v>
      </c>
      <c r="D1444" s="750" t="s">
        <v>5563</v>
      </c>
      <c r="E1444" s="203" t="s">
        <v>65</v>
      </c>
      <c r="F1444" s="753">
        <v>5.0000000000000001E-3</v>
      </c>
      <c r="G1444" s="205">
        <f>VLOOKUP(D1444,upahbahan,3,FALSE)</f>
        <v>0</v>
      </c>
      <c r="H1444" s="210">
        <f t="shared" si="98"/>
        <v>0</v>
      </c>
      <c r="L1444" s="200"/>
      <c r="M1444" s="200"/>
      <c r="N1444" s="200"/>
      <c r="O1444" s="200"/>
      <c r="P1444" s="200"/>
    </row>
    <row r="1445" spans="3:16" s="517" customFormat="1" ht="31.2" customHeight="1">
      <c r="C1445" s="543">
        <v>3</v>
      </c>
      <c r="D1445" s="750" t="s">
        <v>5555</v>
      </c>
      <c r="E1445" s="203"/>
      <c r="F1445" s="753"/>
      <c r="G1445" s="197"/>
      <c r="H1445" s="210">
        <f t="shared" si="98"/>
        <v>0</v>
      </c>
      <c r="L1445" s="200"/>
      <c r="M1445" s="200"/>
      <c r="N1445" s="200"/>
      <c r="O1445" s="200"/>
      <c r="P1445" s="200"/>
    </row>
    <row r="1446" spans="3:16" s="517" customFormat="1" ht="31.2" customHeight="1">
      <c r="C1446" s="754" t="s">
        <v>5293</v>
      </c>
      <c r="D1446" s="750" t="s">
        <v>6957</v>
      </c>
      <c r="E1446" s="203" t="s">
        <v>1300</v>
      </c>
      <c r="F1446" s="760">
        <v>6</v>
      </c>
      <c r="G1446" s="205">
        <f>VLOOKUP(D1446,upahbahan,3,FALSE)</f>
        <v>0</v>
      </c>
      <c r="H1446" s="210">
        <f t="shared" si="98"/>
        <v>0</v>
      </c>
      <c r="L1446" s="200"/>
      <c r="M1446" s="200"/>
      <c r="N1446" s="200"/>
      <c r="O1446" s="200"/>
      <c r="P1446" s="200"/>
    </row>
    <row r="1447" spans="3:16" s="517" customFormat="1" ht="31.2" customHeight="1">
      <c r="C1447" s="754" t="s">
        <v>5299</v>
      </c>
      <c r="D1447" s="750" t="s">
        <v>5560</v>
      </c>
      <c r="E1447" s="203" t="s">
        <v>113</v>
      </c>
      <c r="F1447" s="760">
        <v>10</v>
      </c>
      <c r="G1447" s="205">
        <f>VLOOKUP(D1447,upahbahan,3,FALSE)</f>
        <v>0</v>
      </c>
      <c r="H1447" s="210">
        <f t="shared" si="98"/>
        <v>0</v>
      </c>
      <c r="L1447" s="200"/>
      <c r="M1447" s="200"/>
      <c r="N1447" s="200"/>
      <c r="O1447" s="200"/>
      <c r="P1447" s="200"/>
    </row>
    <row r="1448" spans="3:16" s="517" customFormat="1" ht="31.2" customHeight="1">
      <c r="C1448" s="543">
        <v>4</v>
      </c>
      <c r="D1448" s="750" t="s">
        <v>5556</v>
      </c>
      <c r="E1448" s="203"/>
      <c r="F1448" s="753"/>
      <c r="G1448" s="197"/>
      <c r="H1448" s="210">
        <f t="shared" si="98"/>
        <v>0</v>
      </c>
      <c r="L1448" s="200"/>
      <c r="M1448" s="200"/>
      <c r="N1448" s="200"/>
      <c r="O1448" s="200"/>
      <c r="P1448" s="200"/>
    </row>
    <row r="1449" spans="3:16" s="517" customFormat="1" ht="31.2" customHeight="1">
      <c r="C1449" s="754" t="s">
        <v>5293</v>
      </c>
      <c r="D1449" s="750" t="s">
        <v>2084</v>
      </c>
      <c r="E1449" s="203" t="s">
        <v>42</v>
      </c>
      <c r="F1449" s="753">
        <v>2.4400000000000002E-2</v>
      </c>
      <c r="G1449" s="205">
        <f>VLOOKUP(D1449,upahbahan,3,FALSE)</f>
        <v>0</v>
      </c>
      <c r="H1449" s="210">
        <f t="shared" si="98"/>
        <v>0</v>
      </c>
      <c r="L1449" s="200"/>
      <c r="M1449" s="200"/>
      <c r="N1449" s="200"/>
      <c r="O1449" s="200"/>
      <c r="P1449" s="200"/>
    </row>
    <row r="1450" spans="3:16" s="517" customFormat="1" ht="31.2" customHeight="1">
      <c r="C1450" s="754" t="s">
        <v>5299</v>
      </c>
      <c r="D1450" s="750" t="s">
        <v>5566</v>
      </c>
      <c r="E1450" s="203" t="s">
        <v>42</v>
      </c>
      <c r="F1450" s="753">
        <v>6.4999999999999997E-3</v>
      </c>
      <c r="G1450" s="205">
        <f>VLOOKUP(D1450,upahbahan,3,FALSE)</f>
        <v>0</v>
      </c>
      <c r="H1450" s="210">
        <f t="shared" si="98"/>
        <v>0</v>
      </c>
      <c r="L1450" s="200"/>
      <c r="M1450" s="200"/>
      <c r="N1450" s="200"/>
      <c r="O1450" s="200"/>
      <c r="P1450" s="200"/>
    </row>
    <row r="1451" spans="3:16" s="517" customFormat="1" ht="31.2" customHeight="1">
      <c r="C1451" s="754" t="s">
        <v>5558</v>
      </c>
      <c r="D1451" s="750" t="s">
        <v>2325</v>
      </c>
      <c r="E1451" s="203" t="s">
        <v>42</v>
      </c>
      <c r="F1451" s="762">
        <v>1.6000000000000001E-3</v>
      </c>
      <c r="G1451" s="205">
        <f>VLOOKUP(D1451,upahbahan,3,FALSE)</f>
        <v>0</v>
      </c>
      <c r="H1451" s="210">
        <f t="shared" si="98"/>
        <v>0</v>
      </c>
      <c r="L1451" s="200"/>
      <c r="M1451" s="200"/>
      <c r="N1451" s="200"/>
      <c r="O1451" s="200"/>
      <c r="P1451" s="200"/>
    </row>
    <row r="1452" spans="3:16" s="517" customFormat="1" ht="31.2" customHeight="1">
      <c r="C1452" s="207" t="s">
        <v>1214</v>
      </c>
      <c r="D1452" s="208"/>
      <c r="E1452" s="568"/>
      <c r="F1452" s="208"/>
      <c r="G1452" s="209"/>
      <c r="H1452" s="210">
        <f>SUM(H1443:H1451)</f>
        <v>0</v>
      </c>
      <c r="L1452" s="200"/>
      <c r="M1452" s="200"/>
      <c r="N1452" s="200"/>
      <c r="O1452" s="200"/>
      <c r="P1452" s="200"/>
    </row>
    <row r="1453" spans="3:16" s="517" customFormat="1" ht="31.2" customHeight="1">
      <c r="C1453" s="756" t="s">
        <v>1215</v>
      </c>
      <c r="D1453" s="196" t="s">
        <v>1216</v>
      </c>
      <c r="E1453" s="203"/>
      <c r="F1453" s="197"/>
      <c r="G1453" s="197"/>
      <c r="H1453" s="198"/>
      <c r="L1453" s="200"/>
      <c r="M1453" s="200"/>
      <c r="N1453" s="200"/>
      <c r="O1453" s="200"/>
      <c r="P1453" s="200"/>
    </row>
    <row r="1454" spans="3:16" s="517" customFormat="1" ht="31.2" customHeight="1">
      <c r="C1454" s="207" t="s">
        <v>1217</v>
      </c>
      <c r="D1454" s="208"/>
      <c r="E1454" s="208"/>
      <c r="F1454" s="208"/>
      <c r="G1454" s="209"/>
      <c r="H1454" s="240">
        <f>SUM(H1453)</f>
        <v>0</v>
      </c>
      <c r="L1454" s="200"/>
      <c r="M1454" s="200"/>
      <c r="N1454" s="200"/>
      <c r="O1454" s="200"/>
      <c r="P1454" s="200"/>
    </row>
    <row r="1455" spans="3:16" s="517" customFormat="1" ht="31.2" customHeight="1">
      <c r="C1455" s="223" t="s">
        <v>1218</v>
      </c>
      <c r="D1455" s="224" t="s">
        <v>1219</v>
      </c>
      <c r="E1455" s="225"/>
      <c r="F1455" s="225"/>
      <c r="G1455" s="226"/>
      <c r="H1455" s="210">
        <f>H1454+H1452+H1441</f>
        <v>5442.625</v>
      </c>
      <c r="L1455" s="200"/>
      <c r="M1455" s="200"/>
      <c r="N1455" s="200"/>
      <c r="O1455" s="200"/>
      <c r="P1455" s="200"/>
    </row>
    <row r="1456" spans="3:16" s="517" customFormat="1" ht="31.2" customHeight="1">
      <c r="C1456" s="223" t="s">
        <v>1220</v>
      </c>
      <c r="D1456" s="224" t="s">
        <v>1321</v>
      </c>
      <c r="E1456" s="225"/>
      <c r="F1456" s="226"/>
      <c r="G1456" s="228">
        <v>0.1</v>
      </c>
      <c r="H1456" s="210">
        <f>H1455*G1456</f>
        <v>544.26250000000005</v>
      </c>
      <c r="L1456" s="200"/>
      <c r="M1456" s="200"/>
      <c r="N1456" s="200"/>
      <c r="O1456" s="200"/>
      <c r="P1456" s="200"/>
    </row>
    <row r="1457" spans="3:20" s="517" customFormat="1" ht="31.2" customHeight="1" thickBot="1">
      <c r="C1457" s="229" t="s">
        <v>1221</v>
      </c>
      <c r="D1457" s="230" t="s">
        <v>1222</v>
      </c>
      <c r="E1457" s="231"/>
      <c r="F1457" s="231"/>
      <c r="G1457" s="232"/>
      <c r="H1457" s="233">
        <f>SUM(H1455:H1456)</f>
        <v>5986.8874999999998</v>
      </c>
      <c r="L1457" s="200"/>
      <c r="M1457" s="200"/>
      <c r="N1457" s="200"/>
      <c r="O1457" s="200"/>
      <c r="P1457" s="200"/>
    </row>
    <row r="1458" spans="3:20" ht="31.2" customHeight="1" thickTop="1">
      <c r="D1458" s="758" t="s">
        <v>6949</v>
      </c>
    </row>
    <row r="1459" spans="3:20" ht="31.2" customHeight="1">
      <c r="C1459" s="757" t="s">
        <v>6950</v>
      </c>
      <c r="F1459" s="758"/>
      <c r="H1459" s="758" t="s">
        <v>6959</v>
      </c>
    </row>
    <row r="1460" spans="3:20" ht="31.2" customHeight="1">
      <c r="C1460" s="200" t="s">
        <v>6951</v>
      </c>
      <c r="F1460" s="758"/>
    </row>
    <row r="1461" spans="3:20" ht="31.2" customHeight="1">
      <c r="C1461" s="200" t="s">
        <v>6952</v>
      </c>
      <c r="F1461" s="758"/>
    </row>
    <row r="1462" spans="3:20" ht="31.2" customHeight="1">
      <c r="F1462" s="758"/>
    </row>
    <row r="1463" spans="3:20" ht="31.2" customHeight="1">
      <c r="F1463" s="758"/>
    </row>
    <row r="1464" spans="3:20" s="517" customFormat="1" ht="31.2" customHeight="1" thickBot="1">
      <c r="C1464" s="513" t="s">
        <v>7024</v>
      </c>
      <c r="D1464" s="748" t="s">
        <v>7025</v>
      </c>
      <c r="E1464" s="749"/>
      <c r="F1464" s="748"/>
      <c r="G1464" s="748"/>
      <c r="H1464" s="532"/>
      <c r="I1464" s="532"/>
      <c r="J1464" s="532"/>
      <c r="K1464" s="532"/>
      <c r="M1464" s="189"/>
      <c r="N1464" s="189"/>
      <c r="O1464" s="189"/>
      <c r="P1464" s="189"/>
      <c r="R1464" s="189">
        <f>ROUNDDOWN(H1486,-2)</f>
        <v>5900</v>
      </c>
      <c r="S1464" s="517" t="s">
        <v>6451</v>
      </c>
      <c r="T1464" s="517" t="s">
        <v>7014</v>
      </c>
    </row>
    <row r="1465" spans="3:20" s="517" customFormat="1" ht="31.2" customHeight="1" thickTop="1">
      <c r="C1465" s="190" t="s">
        <v>1195</v>
      </c>
      <c r="D1465" s="191" t="s">
        <v>1196</v>
      </c>
      <c r="E1465" s="191" t="s">
        <v>1197</v>
      </c>
      <c r="F1465" s="191" t="s">
        <v>1198</v>
      </c>
      <c r="G1465" s="191" t="s">
        <v>1199</v>
      </c>
      <c r="H1465" s="192" t="s">
        <v>1200</v>
      </c>
      <c r="L1465" s="200"/>
      <c r="M1465" s="200"/>
      <c r="N1465" s="200"/>
      <c r="O1465" s="200"/>
      <c r="P1465" s="200"/>
    </row>
    <row r="1466" spans="3:20" s="517" customFormat="1" ht="31.2" customHeight="1">
      <c r="C1466" s="518" t="s">
        <v>1201</v>
      </c>
      <c r="D1466" s="196" t="s">
        <v>1202</v>
      </c>
      <c r="E1466" s="197"/>
      <c r="F1466" s="197"/>
      <c r="G1466" s="197"/>
      <c r="H1466" s="198"/>
      <c r="L1466" s="200"/>
      <c r="M1466" s="200"/>
      <c r="N1466" s="200"/>
      <c r="O1466" s="200"/>
      <c r="P1466" s="200"/>
    </row>
    <row r="1467" spans="3:20" s="517" customFormat="1" ht="31.2" customHeight="1">
      <c r="C1467" s="537">
        <v>1</v>
      </c>
      <c r="D1467" s="196" t="s">
        <v>6954</v>
      </c>
      <c r="E1467" s="202" t="s">
        <v>6</v>
      </c>
      <c r="F1467" s="520">
        <v>0.02</v>
      </c>
      <c r="G1467" s="205">
        <f>VLOOKUP(D1467,upahbahan,3,FALSE)</f>
        <v>181250</v>
      </c>
      <c r="H1467" s="210">
        <f t="shared" ref="H1467:H1469" si="99">F1467*G1467</f>
        <v>3625</v>
      </c>
      <c r="L1467" s="200"/>
      <c r="M1467" s="200"/>
      <c r="N1467" s="200"/>
      <c r="O1467" s="200"/>
      <c r="P1467" s="200"/>
    </row>
    <row r="1468" spans="3:20" s="517" customFormat="1" ht="31.2" customHeight="1">
      <c r="C1468" s="537">
        <v>2</v>
      </c>
      <c r="D1468" s="196" t="s">
        <v>6948</v>
      </c>
      <c r="E1468" s="202" t="s">
        <v>2102</v>
      </c>
      <c r="F1468" s="520">
        <v>6.7000000000000002E-3</v>
      </c>
      <c r="G1468" s="205">
        <f>VLOOKUP(D1468,upahbahan,3,FALSE)</f>
        <v>218750</v>
      </c>
      <c r="H1468" s="210">
        <f t="shared" si="99"/>
        <v>1465.625</v>
      </c>
      <c r="L1468" s="200"/>
      <c r="M1468" s="200"/>
      <c r="N1468" s="200"/>
      <c r="O1468" s="200"/>
      <c r="P1468" s="200"/>
    </row>
    <row r="1469" spans="3:20" s="517" customFormat="1" ht="31.2" customHeight="1">
      <c r="C1469" s="537">
        <v>3</v>
      </c>
      <c r="D1469" s="196" t="s">
        <v>19</v>
      </c>
      <c r="E1469" s="202" t="s">
        <v>6</v>
      </c>
      <c r="F1469" s="520">
        <v>2.2000000000000001E-3</v>
      </c>
      <c r="G1469" s="205">
        <f>VLOOKUP(D1469,upahbahan,3,FALSE)</f>
        <v>160000</v>
      </c>
      <c r="H1469" s="210">
        <f t="shared" si="99"/>
        <v>352</v>
      </c>
      <c r="L1469" s="200"/>
      <c r="M1469" s="200"/>
      <c r="N1469" s="200"/>
      <c r="O1469" s="200"/>
      <c r="P1469" s="200"/>
    </row>
    <row r="1470" spans="3:20" s="517" customFormat="1" ht="31.2" customHeight="1">
      <c r="C1470" s="207" t="s">
        <v>1208</v>
      </c>
      <c r="D1470" s="208"/>
      <c r="E1470" s="208"/>
      <c r="F1470" s="521"/>
      <c r="G1470" s="522"/>
      <c r="H1470" s="210">
        <f>SUM(H1467:H1469)</f>
        <v>5442.625</v>
      </c>
      <c r="L1470" s="523"/>
      <c r="M1470" s="523"/>
      <c r="N1470" s="523"/>
      <c r="O1470" s="523"/>
      <c r="P1470" s="523"/>
    </row>
    <row r="1471" spans="3:20" s="517" customFormat="1" ht="31.2" customHeight="1">
      <c r="C1471" s="543" t="s">
        <v>1209</v>
      </c>
      <c r="D1471" s="750" t="s">
        <v>1210</v>
      </c>
      <c r="E1471" s="197"/>
      <c r="F1471" s="751"/>
      <c r="G1471" s="197"/>
      <c r="H1471" s="752"/>
      <c r="L1471" s="200"/>
      <c r="M1471" s="200"/>
      <c r="N1471" s="200"/>
      <c r="O1471" s="200"/>
      <c r="P1471" s="200"/>
    </row>
    <row r="1472" spans="3:20" s="517" customFormat="1" ht="31.2" customHeight="1">
      <c r="C1472" s="543">
        <v>1</v>
      </c>
      <c r="D1472" s="750" t="s">
        <v>7026</v>
      </c>
      <c r="E1472" s="203" t="s">
        <v>44</v>
      </c>
      <c r="F1472" s="753">
        <v>1.05</v>
      </c>
      <c r="G1472" s="205">
        <f>VLOOKUP(D1472,upahbahan,3,FALSE)</f>
        <v>0</v>
      </c>
      <c r="H1472" s="210">
        <f t="shared" ref="H1472:H1480" si="100">F1472*G1472</f>
        <v>0</v>
      </c>
      <c r="L1472" s="200"/>
      <c r="M1472" s="200"/>
      <c r="N1472" s="200"/>
      <c r="O1472" s="200"/>
      <c r="P1472" s="200"/>
    </row>
    <row r="1473" spans="3:16" s="517" customFormat="1" ht="31.2" customHeight="1">
      <c r="C1473" s="543">
        <v>2</v>
      </c>
      <c r="D1473" s="750" t="s">
        <v>5563</v>
      </c>
      <c r="E1473" s="203" t="s">
        <v>65</v>
      </c>
      <c r="F1473" s="753">
        <v>5.0000000000000001E-3</v>
      </c>
      <c r="G1473" s="205">
        <f>VLOOKUP(D1473,upahbahan,3,FALSE)</f>
        <v>0</v>
      </c>
      <c r="H1473" s="210">
        <f t="shared" si="100"/>
        <v>0</v>
      </c>
      <c r="L1473" s="200"/>
      <c r="M1473" s="200"/>
      <c r="N1473" s="200"/>
      <c r="O1473" s="200"/>
      <c r="P1473" s="200"/>
    </row>
    <row r="1474" spans="3:16" s="517" customFormat="1" ht="31.2" customHeight="1">
      <c r="C1474" s="543">
        <v>3</v>
      </c>
      <c r="D1474" s="750" t="s">
        <v>5555</v>
      </c>
      <c r="E1474" s="203"/>
      <c r="F1474" s="753"/>
      <c r="G1474" s="197"/>
      <c r="H1474" s="210">
        <f t="shared" si="100"/>
        <v>0</v>
      </c>
      <c r="L1474" s="200"/>
      <c r="M1474" s="200"/>
      <c r="N1474" s="200"/>
      <c r="O1474" s="200"/>
      <c r="P1474" s="200"/>
    </row>
    <row r="1475" spans="3:16" s="517" customFormat="1" ht="31.2" customHeight="1">
      <c r="C1475" s="754" t="s">
        <v>5293</v>
      </c>
      <c r="D1475" s="750" t="s">
        <v>6957</v>
      </c>
      <c r="E1475" s="203" t="s">
        <v>1300</v>
      </c>
      <c r="F1475" s="760">
        <v>6</v>
      </c>
      <c r="G1475" s="205">
        <f>VLOOKUP(D1475,upahbahan,3,FALSE)</f>
        <v>0</v>
      </c>
      <c r="H1475" s="210">
        <f t="shared" si="100"/>
        <v>0</v>
      </c>
      <c r="L1475" s="200"/>
      <c r="M1475" s="200"/>
      <c r="N1475" s="200"/>
      <c r="O1475" s="200"/>
      <c r="P1475" s="200"/>
    </row>
    <row r="1476" spans="3:16" s="517" customFormat="1" ht="31.2" customHeight="1">
      <c r="C1476" s="754" t="s">
        <v>5299</v>
      </c>
      <c r="D1476" s="750" t="s">
        <v>5560</v>
      </c>
      <c r="E1476" s="203" t="s">
        <v>113</v>
      </c>
      <c r="F1476" s="760">
        <v>10</v>
      </c>
      <c r="G1476" s="205">
        <f>VLOOKUP(D1476,upahbahan,3,FALSE)</f>
        <v>0</v>
      </c>
      <c r="H1476" s="210">
        <f t="shared" si="100"/>
        <v>0</v>
      </c>
      <c r="L1476" s="200"/>
      <c r="M1476" s="200"/>
      <c r="N1476" s="200"/>
      <c r="O1476" s="200"/>
      <c r="P1476" s="200"/>
    </row>
    <row r="1477" spans="3:16" s="517" customFormat="1" ht="31.2" customHeight="1">
      <c r="C1477" s="543">
        <v>4</v>
      </c>
      <c r="D1477" s="750" t="s">
        <v>5556</v>
      </c>
      <c r="E1477" s="203"/>
      <c r="F1477" s="753"/>
      <c r="G1477" s="197"/>
      <c r="H1477" s="210">
        <f t="shared" si="100"/>
        <v>0</v>
      </c>
      <c r="L1477" s="200"/>
      <c r="M1477" s="200"/>
      <c r="N1477" s="200"/>
      <c r="O1477" s="200"/>
      <c r="P1477" s="200"/>
    </row>
    <row r="1478" spans="3:16" s="517" customFormat="1" ht="31.2" customHeight="1">
      <c r="C1478" s="754" t="s">
        <v>5293</v>
      </c>
      <c r="D1478" s="750" t="s">
        <v>2084</v>
      </c>
      <c r="E1478" s="203" t="s">
        <v>42</v>
      </c>
      <c r="F1478" s="753">
        <v>2.4400000000000002E-2</v>
      </c>
      <c r="G1478" s="205">
        <f>VLOOKUP(D1478,upahbahan,3,FALSE)</f>
        <v>0</v>
      </c>
      <c r="H1478" s="210">
        <f t="shared" si="100"/>
        <v>0</v>
      </c>
      <c r="L1478" s="200"/>
      <c r="M1478" s="200"/>
      <c r="N1478" s="200"/>
      <c r="O1478" s="200"/>
      <c r="P1478" s="200"/>
    </row>
    <row r="1479" spans="3:16" s="517" customFormat="1" ht="31.2" customHeight="1">
      <c r="C1479" s="754" t="s">
        <v>5299</v>
      </c>
      <c r="D1479" s="750" t="s">
        <v>5566</v>
      </c>
      <c r="E1479" s="203" t="s">
        <v>42</v>
      </c>
      <c r="F1479" s="753">
        <v>6.4999999999999997E-3</v>
      </c>
      <c r="G1479" s="205">
        <f>VLOOKUP(D1479,upahbahan,3,FALSE)</f>
        <v>0</v>
      </c>
      <c r="H1479" s="210">
        <f t="shared" si="100"/>
        <v>0</v>
      </c>
      <c r="L1479" s="200"/>
      <c r="M1479" s="200"/>
      <c r="N1479" s="200"/>
      <c r="O1479" s="200"/>
      <c r="P1479" s="200"/>
    </row>
    <row r="1480" spans="3:16" s="517" customFormat="1" ht="31.2" customHeight="1">
      <c r="C1480" s="754" t="s">
        <v>5558</v>
      </c>
      <c r="D1480" s="750" t="s">
        <v>2325</v>
      </c>
      <c r="E1480" s="203" t="s">
        <v>42</v>
      </c>
      <c r="F1480" s="762">
        <v>1.6000000000000001E-3</v>
      </c>
      <c r="G1480" s="205">
        <f>VLOOKUP(D1480,upahbahan,3,FALSE)</f>
        <v>0</v>
      </c>
      <c r="H1480" s="210">
        <f t="shared" si="100"/>
        <v>0</v>
      </c>
      <c r="L1480" s="200"/>
      <c r="M1480" s="200"/>
      <c r="N1480" s="200"/>
      <c r="O1480" s="200"/>
      <c r="P1480" s="200"/>
    </row>
    <row r="1481" spans="3:16" s="517" customFormat="1" ht="31.2" customHeight="1">
      <c r="C1481" s="207" t="s">
        <v>1214</v>
      </c>
      <c r="D1481" s="208"/>
      <c r="E1481" s="568"/>
      <c r="F1481" s="208"/>
      <c r="G1481" s="209"/>
      <c r="H1481" s="210">
        <f>SUM(H1472:H1480)</f>
        <v>0</v>
      </c>
      <c r="L1481" s="200"/>
      <c r="M1481" s="200"/>
      <c r="N1481" s="200"/>
      <c r="O1481" s="200"/>
      <c r="P1481" s="200"/>
    </row>
    <row r="1482" spans="3:16" s="517" customFormat="1" ht="31.2" customHeight="1">
      <c r="C1482" s="756" t="s">
        <v>1215</v>
      </c>
      <c r="D1482" s="196" t="s">
        <v>1216</v>
      </c>
      <c r="E1482" s="203"/>
      <c r="F1482" s="197"/>
      <c r="G1482" s="197"/>
      <c r="H1482" s="198"/>
      <c r="L1482" s="200"/>
      <c r="M1482" s="200"/>
      <c r="N1482" s="200"/>
      <c r="O1482" s="200"/>
      <c r="P1482" s="200"/>
    </row>
    <row r="1483" spans="3:16" s="517" customFormat="1" ht="31.2" customHeight="1">
      <c r="C1483" s="207" t="s">
        <v>1217</v>
      </c>
      <c r="D1483" s="208"/>
      <c r="E1483" s="208"/>
      <c r="F1483" s="208"/>
      <c r="G1483" s="209"/>
      <c r="H1483" s="240">
        <f>SUM(H1482)</f>
        <v>0</v>
      </c>
      <c r="L1483" s="200"/>
      <c r="M1483" s="200"/>
      <c r="N1483" s="200"/>
      <c r="O1483" s="200"/>
      <c r="P1483" s="200"/>
    </row>
    <row r="1484" spans="3:16" s="517" customFormat="1" ht="31.2" customHeight="1">
      <c r="C1484" s="223" t="s">
        <v>1218</v>
      </c>
      <c r="D1484" s="224" t="s">
        <v>1219</v>
      </c>
      <c r="E1484" s="225"/>
      <c r="F1484" s="225"/>
      <c r="G1484" s="226"/>
      <c r="H1484" s="210">
        <f>H1483+H1481+H1470</f>
        <v>5442.625</v>
      </c>
      <c r="L1484" s="200"/>
      <c r="M1484" s="200"/>
      <c r="N1484" s="200"/>
      <c r="O1484" s="200"/>
      <c r="P1484" s="200"/>
    </row>
    <row r="1485" spans="3:16" s="517" customFormat="1" ht="31.2" customHeight="1">
      <c r="C1485" s="223" t="s">
        <v>1220</v>
      </c>
      <c r="D1485" s="224" t="s">
        <v>1321</v>
      </c>
      <c r="E1485" s="225"/>
      <c r="F1485" s="226"/>
      <c r="G1485" s="228">
        <v>0.1</v>
      </c>
      <c r="H1485" s="210">
        <f>H1484*G1485</f>
        <v>544.26250000000005</v>
      </c>
      <c r="L1485" s="200"/>
      <c r="M1485" s="200"/>
      <c r="N1485" s="200"/>
      <c r="O1485" s="200"/>
      <c r="P1485" s="200"/>
    </row>
    <row r="1486" spans="3:16" s="517" customFormat="1" ht="31.2" customHeight="1" thickBot="1">
      <c r="C1486" s="229" t="s">
        <v>1221</v>
      </c>
      <c r="D1486" s="230" t="s">
        <v>1222</v>
      </c>
      <c r="E1486" s="231"/>
      <c r="F1486" s="231"/>
      <c r="G1486" s="232"/>
      <c r="H1486" s="233">
        <f>SUM(H1484:H1485)</f>
        <v>5986.8874999999998</v>
      </c>
      <c r="L1486" s="200"/>
      <c r="M1486" s="200"/>
      <c r="N1486" s="200"/>
      <c r="O1486" s="200"/>
      <c r="P1486" s="200"/>
    </row>
    <row r="1487" spans="3:16" ht="31.2" customHeight="1" thickTop="1">
      <c r="D1487" s="758" t="s">
        <v>6949</v>
      </c>
    </row>
    <row r="1488" spans="3:16" ht="31.2" customHeight="1">
      <c r="C1488" s="757" t="s">
        <v>6950</v>
      </c>
      <c r="F1488" s="758"/>
      <c r="H1488" s="758" t="s">
        <v>6959</v>
      </c>
    </row>
    <row r="1489" spans="3:20" ht="31.2" customHeight="1">
      <c r="C1489" s="200" t="s">
        <v>6951</v>
      </c>
      <c r="F1489" s="758"/>
    </row>
    <row r="1490" spans="3:20" ht="31.2" customHeight="1">
      <c r="C1490" s="200" t="s">
        <v>6952</v>
      </c>
      <c r="F1490" s="758"/>
    </row>
    <row r="1491" spans="3:20" ht="31.2" customHeight="1">
      <c r="F1491" s="758"/>
    </row>
    <row r="1492" spans="3:20" s="517" customFormat="1" ht="31.2" customHeight="1" thickBot="1">
      <c r="C1492" s="513" t="s">
        <v>7027</v>
      </c>
      <c r="D1492" s="748" t="s">
        <v>7028</v>
      </c>
      <c r="E1492" s="749"/>
      <c r="F1492" s="748"/>
      <c r="G1492" s="748"/>
      <c r="H1492" s="532"/>
      <c r="I1492" s="532"/>
      <c r="J1492" s="532"/>
      <c r="K1492" s="532"/>
      <c r="M1492" s="189"/>
      <c r="N1492" s="189"/>
      <c r="O1492" s="189"/>
      <c r="P1492" s="189"/>
      <c r="R1492" s="189">
        <f>ROUNDDOWN(H1514,-2)</f>
        <v>5900</v>
      </c>
      <c r="S1492" s="517" t="s">
        <v>6451</v>
      </c>
      <c r="T1492" s="517" t="s">
        <v>7014</v>
      </c>
    </row>
    <row r="1493" spans="3:20" s="517" customFormat="1" ht="31.2" customHeight="1" thickTop="1">
      <c r="C1493" s="190" t="s">
        <v>1195</v>
      </c>
      <c r="D1493" s="191" t="s">
        <v>1196</v>
      </c>
      <c r="E1493" s="191" t="s">
        <v>1197</v>
      </c>
      <c r="F1493" s="191" t="s">
        <v>1198</v>
      </c>
      <c r="G1493" s="191" t="s">
        <v>1199</v>
      </c>
      <c r="H1493" s="192" t="s">
        <v>1200</v>
      </c>
      <c r="L1493" s="200"/>
      <c r="M1493" s="200"/>
      <c r="N1493" s="200"/>
      <c r="O1493" s="200"/>
      <c r="P1493" s="200"/>
    </row>
    <row r="1494" spans="3:20" s="517" customFormat="1" ht="31.2" customHeight="1">
      <c r="C1494" s="518" t="s">
        <v>1201</v>
      </c>
      <c r="D1494" s="196" t="s">
        <v>1202</v>
      </c>
      <c r="E1494" s="197"/>
      <c r="F1494" s="197"/>
      <c r="G1494" s="197"/>
      <c r="H1494" s="198"/>
      <c r="L1494" s="200"/>
      <c r="M1494" s="200"/>
      <c r="N1494" s="200"/>
      <c r="O1494" s="200"/>
      <c r="P1494" s="200"/>
    </row>
    <row r="1495" spans="3:20" s="517" customFormat="1" ht="31.2" customHeight="1">
      <c r="C1495" s="537">
        <v>1</v>
      </c>
      <c r="D1495" s="196" t="s">
        <v>6954</v>
      </c>
      <c r="E1495" s="202" t="s">
        <v>6</v>
      </c>
      <c r="F1495" s="520">
        <v>0.02</v>
      </c>
      <c r="G1495" s="205">
        <f>VLOOKUP(D1495,upahbahan,3,FALSE)</f>
        <v>181250</v>
      </c>
      <c r="H1495" s="210">
        <f t="shared" ref="H1495:H1497" si="101">F1495*G1495</f>
        <v>3625</v>
      </c>
      <c r="L1495" s="200"/>
      <c r="M1495" s="200"/>
      <c r="N1495" s="200"/>
      <c r="O1495" s="200"/>
      <c r="P1495" s="200"/>
    </row>
    <row r="1496" spans="3:20" s="517" customFormat="1" ht="31.2" customHeight="1">
      <c r="C1496" s="537">
        <v>2</v>
      </c>
      <c r="D1496" s="196" t="s">
        <v>6948</v>
      </c>
      <c r="E1496" s="202" t="s">
        <v>2102</v>
      </c>
      <c r="F1496" s="520">
        <v>6.7000000000000002E-3</v>
      </c>
      <c r="G1496" s="205">
        <f>VLOOKUP(D1496,upahbahan,3,FALSE)</f>
        <v>218750</v>
      </c>
      <c r="H1496" s="210">
        <f t="shared" si="101"/>
        <v>1465.625</v>
      </c>
      <c r="L1496" s="200"/>
      <c r="M1496" s="200"/>
      <c r="N1496" s="200"/>
      <c r="O1496" s="200"/>
      <c r="P1496" s="200"/>
    </row>
    <row r="1497" spans="3:20" s="517" customFormat="1" ht="31.2" customHeight="1">
      <c r="C1497" s="537">
        <v>3</v>
      </c>
      <c r="D1497" s="196" t="s">
        <v>19</v>
      </c>
      <c r="E1497" s="202" t="s">
        <v>6</v>
      </c>
      <c r="F1497" s="520">
        <v>2.2000000000000001E-3</v>
      </c>
      <c r="G1497" s="205">
        <f>VLOOKUP(D1497,upahbahan,3,FALSE)</f>
        <v>160000</v>
      </c>
      <c r="H1497" s="210">
        <f t="shared" si="101"/>
        <v>352</v>
      </c>
      <c r="L1497" s="200"/>
      <c r="M1497" s="200"/>
      <c r="N1497" s="200"/>
      <c r="O1497" s="200"/>
      <c r="P1497" s="200"/>
    </row>
    <row r="1498" spans="3:20" s="517" customFormat="1" ht="31.2" customHeight="1">
      <c r="C1498" s="207" t="s">
        <v>1208</v>
      </c>
      <c r="D1498" s="208"/>
      <c r="E1498" s="208"/>
      <c r="F1498" s="521"/>
      <c r="G1498" s="522"/>
      <c r="H1498" s="210">
        <f>SUM(H1495:H1497)</f>
        <v>5442.625</v>
      </c>
      <c r="L1498" s="523"/>
      <c r="M1498" s="523"/>
      <c r="N1498" s="523"/>
      <c r="O1498" s="523"/>
      <c r="P1498" s="523"/>
    </row>
    <row r="1499" spans="3:20" s="517" customFormat="1" ht="31.2" customHeight="1">
      <c r="C1499" s="543" t="s">
        <v>1209</v>
      </c>
      <c r="D1499" s="750" t="s">
        <v>1210</v>
      </c>
      <c r="E1499" s="197"/>
      <c r="F1499" s="751"/>
      <c r="G1499" s="197"/>
      <c r="H1499" s="752"/>
      <c r="L1499" s="200"/>
      <c r="M1499" s="200"/>
      <c r="N1499" s="200"/>
      <c r="O1499" s="200"/>
      <c r="P1499" s="200"/>
    </row>
    <row r="1500" spans="3:20" s="517" customFormat="1" ht="31.2" customHeight="1">
      <c r="C1500" s="543">
        <v>1</v>
      </c>
      <c r="D1500" s="750" t="s">
        <v>7029</v>
      </c>
      <c r="E1500" s="203" t="s">
        <v>44</v>
      </c>
      <c r="F1500" s="753">
        <v>1.05</v>
      </c>
      <c r="G1500" s="205">
        <f>VLOOKUP(D1500,upahbahan,3,FALSE)</f>
        <v>0</v>
      </c>
      <c r="H1500" s="210">
        <f t="shared" ref="H1500:H1508" si="102">F1500*G1500</f>
        <v>0</v>
      </c>
      <c r="L1500" s="200"/>
      <c r="M1500" s="200"/>
      <c r="N1500" s="200"/>
      <c r="O1500" s="200"/>
      <c r="P1500" s="200"/>
    </row>
    <row r="1501" spans="3:20" s="517" customFormat="1" ht="31.2" customHeight="1">
      <c r="C1501" s="543">
        <v>2</v>
      </c>
      <c r="D1501" s="750" t="s">
        <v>5563</v>
      </c>
      <c r="E1501" s="203" t="s">
        <v>65</v>
      </c>
      <c r="F1501" s="753">
        <v>5.0000000000000001E-3</v>
      </c>
      <c r="G1501" s="205">
        <f>VLOOKUP(D1501,upahbahan,3,FALSE)</f>
        <v>0</v>
      </c>
      <c r="H1501" s="210">
        <f t="shared" si="102"/>
        <v>0</v>
      </c>
      <c r="L1501" s="200"/>
      <c r="M1501" s="200"/>
      <c r="N1501" s="200"/>
      <c r="O1501" s="200"/>
      <c r="P1501" s="200"/>
    </row>
    <row r="1502" spans="3:20" s="517" customFormat="1" ht="31.2" customHeight="1">
      <c r="C1502" s="543">
        <v>3</v>
      </c>
      <c r="D1502" s="750" t="s">
        <v>5555</v>
      </c>
      <c r="E1502" s="203"/>
      <c r="F1502" s="753"/>
      <c r="G1502" s="197"/>
      <c r="H1502" s="210">
        <f t="shared" si="102"/>
        <v>0</v>
      </c>
      <c r="L1502" s="200"/>
      <c r="M1502" s="200"/>
      <c r="N1502" s="200"/>
      <c r="O1502" s="200"/>
      <c r="P1502" s="200"/>
    </row>
    <row r="1503" spans="3:20" s="517" customFormat="1" ht="31.2" customHeight="1">
      <c r="C1503" s="754" t="s">
        <v>5293</v>
      </c>
      <c r="D1503" s="750" t="s">
        <v>6957</v>
      </c>
      <c r="E1503" s="203" t="s">
        <v>1300</v>
      </c>
      <c r="F1503" s="760">
        <v>6</v>
      </c>
      <c r="G1503" s="205">
        <f>VLOOKUP(D1503,upahbahan,3,FALSE)</f>
        <v>0</v>
      </c>
      <c r="H1503" s="210">
        <f t="shared" si="102"/>
        <v>0</v>
      </c>
      <c r="L1503" s="200"/>
      <c r="M1503" s="200"/>
      <c r="N1503" s="200"/>
      <c r="O1503" s="200"/>
      <c r="P1503" s="200"/>
    </row>
    <row r="1504" spans="3:20" s="517" customFormat="1" ht="31.2" customHeight="1">
      <c r="C1504" s="754" t="s">
        <v>5299</v>
      </c>
      <c r="D1504" s="750" t="s">
        <v>5560</v>
      </c>
      <c r="E1504" s="203" t="s">
        <v>113</v>
      </c>
      <c r="F1504" s="760">
        <v>10</v>
      </c>
      <c r="G1504" s="205">
        <f>VLOOKUP(D1504,upahbahan,3,FALSE)</f>
        <v>0</v>
      </c>
      <c r="H1504" s="210">
        <f t="shared" si="102"/>
        <v>0</v>
      </c>
      <c r="L1504" s="200"/>
      <c r="M1504" s="200"/>
      <c r="N1504" s="200"/>
      <c r="O1504" s="200"/>
      <c r="P1504" s="200"/>
    </row>
    <row r="1505" spans="3:20" s="517" customFormat="1" ht="31.2" customHeight="1">
      <c r="C1505" s="543">
        <v>4</v>
      </c>
      <c r="D1505" s="750" t="s">
        <v>5556</v>
      </c>
      <c r="E1505" s="203"/>
      <c r="F1505" s="753"/>
      <c r="G1505" s="197"/>
      <c r="H1505" s="210">
        <f t="shared" si="102"/>
        <v>0</v>
      </c>
      <c r="L1505" s="200"/>
      <c r="M1505" s="200"/>
      <c r="N1505" s="200"/>
      <c r="O1505" s="200"/>
      <c r="P1505" s="200"/>
    </row>
    <row r="1506" spans="3:20" s="517" customFormat="1" ht="31.2" customHeight="1">
      <c r="C1506" s="754" t="s">
        <v>5293</v>
      </c>
      <c r="D1506" s="750" t="s">
        <v>2084</v>
      </c>
      <c r="E1506" s="203" t="s">
        <v>42</v>
      </c>
      <c r="F1506" s="753">
        <v>2.4400000000000002E-2</v>
      </c>
      <c r="G1506" s="205">
        <f>VLOOKUP(D1506,upahbahan,3,FALSE)</f>
        <v>0</v>
      </c>
      <c r="H1506" s="210">
        <f t="shared" si="102"/>
        <v>0</v>
      </c>
      <c r="L1506" s="200"/>
      <c r="M1506" s="200"/>
      <c r="N1506" s="200"/>
      <c r="O1506" s="200"/>
      <c r="P1506" s="200"/>
    </row>
    <row r="1507" spans="3:20" s="517" customFormat="1" ht="31.2" customHeight="1">
      <c r="C1507" s="754" t="s">
        <v>5299</v>
      </c>
      <c r="D1507" s="750" t="s">
        <v>5566</v>
      </c>
      <c r="E1507" s="203" t="s">
        <v>42</v>
      </c>
      <c r="F1507" s="753">
        <v>6.4999999999999997E-3</v>
      </c>
      <c r="G1507" s="205">
        <f>VLOOKUP(D1507,upahbahan,3,FALSE)</f>
        <v>0</v>
      </c>
      <c r="H1507" s="210">
        <f t="shared" si="102"/>
        <v>0</v>
      </c>
      <c r="L1507" s="200"/>
      <c r="M1507" s="200"/>
      <c r="N1507" s="200"/>
      <c r="O1507" s="200"/>
      <c r="P1507" s="200"/>
    </row>
    <row r="1508" spans="3:20" s="517" customFormat="1" ht="31.2" customHeight="1">
      <c r="C1508" s="754" t="s">
        <v>5558</v>
      </c>
      <c r="D1508" s="750" t="s">
        <v>2325</v>
      </c>
      <c r="E1508" s="203" t="s">
        <v>42</v>
      </c>
      <c r="F1508" s="762">
        <v>1.6000000000000001E-3</v>
      </c>
      <c r="G1508" s="205">
        <f>VLOOKUP(D1508,upahbahan,3,FALSE)</f>
        <v>0</v>
      </c>
      <c r="H1508" s="210">
        <f t="shared" si="102"/>
        <v>0</v>
      </c>
      <c r="L1508" s="200"/>
      <c r="M1508" s="200"/>
      <c r="N1508" s="200"/>
      <c r="O1508" s="200"/>
      <c r="P1508" s="200"/>
    </row>
    <row r="1509" spans="3:20" s="517" customFormat="1" ht="31.2" customHeight="1">
      <c r="C1509" s="207" t="s">
        <v>1214</v>
      </c>
      <c r="D1509" s="208"/>
      <c r="E1509" s="568"/>
      <c r="F1509" s="208"/>
      <c r="G1509" s="209"/>
      <c r="H1509" s="210">
        <f>SUM(H1500:H1508)</f>
        <v>0</v>
      </c>
      <c r="L1509" s="200"/>
      <c r="M1509" s="200"/>
      <c r="N1509" s="200"/>
      <c r="O1509" s="200"/>
      <c r="P1509" s="200"/>
    </row>
    <row r="1510" spans="3:20" s="517" customFormat="1" ht="31.2" customHeight="1">
      <c r="C1510" s="756" t="s">
        <v>1215</v>
      </c>
      <c r="D1510" s="196" t="s">
        <v>1216</v>
      </c>
      <c r="E1510" s="203"/>
      <c r="F1510" s="197"/>
      <c r="G1510" s="197"/>
      <c r="H1510" s="198"/>
      <c r="L1510" s="200"/>
      <c r="M1510" s="200"/>
      <c r="N1510" s="200"/>
      <c r="O1510" s="200"/>
      <c r="P1510" s="200"/>
    </row>
    <row r="1511" spans="3:20" s="517" customFormat="1" ht="31.2" customHeight="1">
      <c r="C1511" s="207" t="s">
        <v>1217</v>
      </c>
      <c r="D1511" s="208"/>
      <c r="E1511" s="208"/>
      <c r="F1511" s="208"/>
      <c r="G1511" s="209"/>
      <c r="H1511" s="240">
        <f>SUM(H1510)</f>
        <v>0</v>
      </c>
      <c r="L1511" s="200"/>
      <c r="M1511" s="200"/>
      <c r="N1511" s="200"/>
      <c r="O1511" s="200"/>
      <c r="P1511" s="200"/>
    </row>
    <row r="1512" spans="3:20" s="517" customFormat="1" ht="31.2" customHeight="1">
      <c r="C1512" s="223" t="s">
        <v>1218</v>
      </c>
      <c r="D1512" s="224" t="s">
        <v>1219</v>
      </c>
      <c r="E1512" s="225"/>
      <c r="F1512" s="225"/>
      <c r="G1512" s="226"/>
      <c r="H1512" s="210">
        <f>H1511+H1509+H1498</f>
        <v>5442.625</v>
      </c>
      <c r="L1512" s="200"/>
      <c r="M1512" s="200"/>
      <c r="N1512" s="200"/>
      <c r="O1512" s="200"/>
      <c r="P1512" s="200"/>
    </row>
    <row r="1513" spans="3:20" s="517" customFormat="1" ht="31.2" customHeight="1">
      <c r="C1513" s="223" t="s">
        <v>1220</v>
      </c>
      <c r="D1513" s="224" t="s">
        <v>1321</v>
      </c>
      <c r="E1513" s="225"/>
      <c r="F1513" s="226"/>
      <c r="G1513" s="228">
        <v>0.1</v>
      </c>
      <c r="H1513" s="210">
        <f>H1512*G1513</f>
        <v>544.26250000000005</v>
      </c>
      <c r="L1513" s="200"/>
      <c r="M1513" s="200"/>
      <c r="N1513" s="200"/>
      <c r="O1513" s="200"/>
      <c r="P1513" s="200"/>
    </row>
    <row r="1514" spans="3:20" s="517" customFormat="1" ht="31.2" customHeight="1" thickBot="1">
      <c r="C1514" s="229" t="s">
        <v>1221</v>
      </c>
      <c r="D1514" s="230" t="s">
        <v>1222</v>
      </c>
      <c r="E1514" s="231"/>
      <c r="F1514" s="231"/>
      <c r="G1514" s="232"/>
      <c r="H1514" s="233">
        <f>SUM(H1512:H1513)</f>
        <v>5986.8874999999998</v>
      </c>
      <c r="L1514" s="200"/>
      <c r="M1514" s="200"/>
      <c r="N1514" s="200"/>
      <c r="O1514" s="200"/>
      <c r="P1514" s="200"/>
    </row>
    <row r="1515" spans="3:20" ht="31.2" customHeight="1" thickTop="1">
      <c r="D1515" s="758" t="s">
        <v>6949</v>
      </c>
    </row>
    <row r="1516" spans="3:20" ht="31.2" customHeight="1">
      <c r="C1516" s="757" t="s">
        <v>6950</v>
      </c>
      <c r="F1516" s="758"/>
      <c r="H1516" s="758" t="s">
        <v>6959</v>
      </c>
    </row>
    <row r="1517" spans="3:20" ht="31.2" customHeight="1">
      <c r="C1517" s="200" t="s">
        <v>6951</v>
      </c>
      <c r="F1517" s="758"/>
    </row>
    <row r="1518" spans="3:20" ht="31.2" customHeight="1">
      <c r="C1518" s="200" t="s">
        <v>6952</v>
      </c>
      <c r="F1518" s="758"/>
    </row>
    <row r="1519" spans="3:20" ht="31.2" customHeight="1">
      <c r="F1519" s="758"/>
    </row>
    <row r="1520" spans="3:20" s="517" customFormat="1" ht="31.2" customHeight="1" thickBot="1">
      <c r="C1520" s="513" t="s">
        <v>7030</v>
      </c>
      <c r="D1520" s="748" t="s">
        <v>7031</v>
      </c>
      <c r="E1520" s="749"/>
      <c r="F1520" s="748"/>
      <c r="G1520" s="748"/>
      <c r="H1520" s="532"/>
      <c r="I1520" s="532"/>
      <c r="J1520" s="532"/>
      <c r="K1520" s="532"/>
      <c r="M1520" s="189"/>
      <c r="N1520" s="189"/>
      <c r="O1520" s="189"/>
      <c r="P1520" s="189"/>
      <c r="R1520" s="189">
        <f>ROUNDDOWN(H1542,-2)</f>
        <v>5900</v>
      </c>
      <c r="S1520" s="517" t="s">
        <v>6451</v>
      </c>
      <c r="T1520" s="517" t="s">
        <v>7014</v>
      </c>
    </row>
    <row r="1521" spans="3:16" s="517" customFormat="1" ht="31.2" customHeight="1" thickTop="1">
      <c r="C1521" s="190" t="s">
        <v>1195</v>
      </c>
      <c r="D1521" s="191" t="s">
        <v>1196</v>
      </c>
      <c r="E1521" s="191" t="s">
        <v>1197</v>
      </c>
      <c r="F1521" s="191" t="s">
        <v>1198</v>
      </c>
      <c r="G1521" s="191" t="s">
        <v>1199</v>
      </c>
      <c r="H1521" s="192" t="s">
        <v>1200</v>
      </c>
      <c r="L1521" s="200"/>
      <c r="M1521" s="200"/>
      <c r="N1521" s="200"/>
      <c r="O1521" s="200"/>
      <c r="P1521" s="200"/>
    </row>
    <row r="1522" spans="3:16" s="517" customFormat="1" ht="31.2" customHeight="1">
      <c r="C1522" s="518" t="s">
        <v>1201</v>
      </c>
      <c r="D1522" s="196" t="s">
        <v>1202</v>
      </c>
      <c r="E1522" s="197"/>
      <c r="F1522" s="197"/>
      <c r="G1522" s="197"/>
      <c r="H1522" s="198"/>
      <c r="L1522" s="200"/>
      <c r="M1522" s="200"/>
      <c r="N1522" s="200"/>
      <c r="O1522" s="200"/>
      <c r="P1522" s="200"/>
    </row>
    <row r="1523" spans="3:16" s="517" customFormat="1" ht="31.2" customHeight="1">
      <c r="C1523" s="537">
        <v>1</v>
      </c>
      <c r="D1523" s="196" t="s">
        <v>6954</v>
      </c>
      <c r="E1523" s="202" t="s">
        <v>6</v>
      </c>
      <c r="F1523" s="520">
        <v>0.02</v>
      </c>
      <c r="G1523" s="205">
        <f>VLOOKUP(D1523,upahbahan,3,FALSE)</f>
        <v>181250</v>
      </c>
      <c r="H1523" s="210">
        <f t="shared" ref="H1523:H1525" si="103">F1523*G1523</f>
        <v>3625</v>
      </c>
      <c r="L1523" s="200"/>
      <c r="M1523" s="200"/>
      <c r="N1523" s="200"/>
      <c r="O1523" s="200"/>
      <c r="P1523" s="200"/>
    </row>
    <row r="1524" spans="3:16" s="517" customFormat="1" ht="31.2" customHeight="1">
      <c r="C1524" s="537">
        <v>2</v>
      </c>
      <c r="D1524" s="196" t="s">
        <v>6948</v>
      </c>
      <c r="E1524" s="202" t="s">
        <v>2102</v>
      </c>
      <c r="F1524" s="520">
        <v>6.7000000000000002E-3</v>
      </c>
      <c r="G1524" s="205">
        <f>VLOOKUP(D1524,upahbahan,3,FALSE)</f>
        <v>218750</v>
      </c>
      <c r="H1524" s="210">
        <f t="shared" si="103"/>
        <v>1465.625</v>
      </c>
      <c r="L1524" s="200"/>
      <c r="M1524" s="200"/>
      <c r="N1524" s="200"/>
      <c r="O1524" s="200"/>
      <c r="P1524" s="200"/>
    </row>
    <row r="1525" spans="3:16" s="517" customFormat="1" ht="31.2" customHeight="1">
      <c r="C1525" s="537">
        <v>3</v>
      </c>
      <c r="D1525" s="196" t="s">
        <v>19</v>
      </c>
      <c r="E1525" s="202" t="s">
        <v>6</v>
      </c>
      <c r="F1525" s="520">
        <v>2.2000000000000001E-3</v>
      </c>
      <c r="G1525" s="205">
        <f>VLOOKUP(D1525,upahbahan,3,FALSE)</f>
        <v>160000</v>
      </c>
      <c r="H1525" s="210">
        <f t="shared" si="103"/>
        <v>352</v>
      </c>
      <c r="L1525" s="200"/>
      <c r="M1525" s="200"/>
      <c r="N1525" s="200"/>
      <c r="O1525" s="200"/>
      <c r="P1525" s="200"/>
    </row>
    <row r="1526" spans="3:16" s="517" customFormat="1" ht="31.2" customHeight="1">
      <c r="C1526" s="207" t="s">
        <v>1208</v>
      </c>
      <c r="D1526" s="208"/>
      <c r="E1526" s="208"/>
      <c r="F1526" s="521"/>
      <c r="G1526" s="522"/>
      <c r="H1526" s="210">
        <f>SUM(H1523:H1525)</f>
        <v>5442.625</v>
      </c>
      <c r="L1526" s="523"/>
      <c r="M1526" s="523"/>
      <c r="N1526" s="523"/>
      <c r="O1526" s="523"/>
      <c r="P1526" s="523"/>
    </row>
    <row r="1527" spans="3:16" s="517" customFormat="1" ht="31.2" customHeight="1">
      <c r="C1527" s="543" t="s">
        <v>1209</v>
      </c>
      <c r="D1527" s="750" t="s">
        <v>1210</v>
      </c>
      <c r="E1527" s="197"/>
      <c r="F1527" s="751"/>
      <c r="G1527" s="197"/>
      <c r="H1527" s="752"/>
      <c r="L1527" s="200"/>
      <c r="M1527" s="200"/>
      <c r="N1527" s="200"/>
      <c r="O1527" s="200"/>
      <c r="P1527" s="200"/>
    </row>
    <row r="1528" spans="3:16" s="517" customFormat="1" ht="31.2" customHeight="1">
      <c r="C1528" s="543">
        <v>1</v>
      </c>
      <c r="D1528" s="750" t="s">
        <v>7032</v>
      </c>
      <c r="E1528" s="203" t="s">
        <v>44</v>
      </c>
      <c r="F1528" s="753">
        <v>1.05</v>
      </c>
      <c r="G1528" s="205">
        <f>VLOOKUP(D1528,upahbahan,3,FALSE)</f>
        <v>0</v>
      </c>
      <c r="H1528" s="210">
        <f t="shared" ref="H1528:H1536" si="104">F1528*G1528</f>
        <v>0</v>
      </c>
      <c r="L1528" s="200"/>
      <c r="M1528" s="200"/>
      <c r="N1528" s="200"/>
      <c r="O1528" s="200"/>
      <c r="P1528" s="200"/>
    </row>
    <row r="1529" spans="3:16" s="517" customFormat="1" ht="31.2" customHeight="1">
      <c r="C1529" s="543">
        <v>2</v>
      </c>
      <c r="D1529" s="750" t="s">
        <v>5563</v>
      </c>
      <c r="E1529" s="203" t="s">
        <v>65</v>
      </c>
      <c r="F1529" s="753">
        <v>5.0000000000000001E-3</v>
      </c>
      <c r="G1529" s="205">
        <f>VLOOKUP(D1529,upahbahan,3,FALSE)</f>
        <v>0</v>
      </c>
      <c r="H1529" s="210">
        <f t="shared" si="104"/>
        <v>0</v>
      </c>
      <c r="L1529" s="200"/>
      <c r="M1529" s="200"/>
      <c r="N1529" s="200"/>
      <c r="O1529" s="200"/>
      <c r="P1529" s="200"/>
    </row>
    <row r="1530" spans="3:16" s="517" customFormat="1" ht="31.2" customHeight="1">
      <c r="C1530" s="543">
        <v>3</v>
      </c>
      <c r="D1530" s="750" t="s">
        <v>5555</v>
      </c>
      <c r="E1530" s="203"/>
      <c r="F1530" s="753"/>
      <c r="G1530" s="197"/>
      <c r="H1530" s="210">
        <f t="shared" si="104"/>
        <v>0</v>
      </c>
      <c r="L1530" s="200"/>
      <c r="M1530" s="200"/>
      <c r="N1530" s="200"/>
      <c r="O1530" s="200"/>
      <c r="P1530" s="200"/>
    </row>
    <row r="1531" spans="3:16" s="517" customFormat="1" ht="31.2" customHeight="1">
      <c r="C1531" s="754" t="s">
        <v>5293</v>
      </c>
      <c r="D1531" s="750" t="s">
        <v>6957</v>
      </c>
      <c r="E1531" s="203" t="s">
        <v>1300</v>
      </c>
      <c r="F1531" s="760">
        <v>6</v>
      </c>
      <c r="G1531" s="205">
        <f>VLOOKUP(D1531,upahbahan,3,FALSE)</f>
        <v>0</v>
      </c>
      <c r="H1531" s="210">
        <f t="shared" si="104"/>
        <v>0</v>
      </c>
      <c r="L1531" s="200"/>
      <c r="M1531" s="200"/>
      <c r="N1531" s="200"/>
      <c r="O1531" s="200"/>
      <c r="P1531" s="200"/>
    </row>
    <row r="1532" spans="3:16" s="517" customFormat="1" ht="31.2" customHeight="1">
      <c r="C1532" s="754" t="s">
        <v>5299</v>
      </c>
      <c r="D1532" s="750" t="s">
        <v>5560</v>
      </c>
      <c r="E1532" s="203" t="s">
        <v>113</v>
      </c>
      <c r="F1532" s="760">
        <v>10</v>
      </c>
      <c r="G1532" s="205">
        <f>VLOOKUP(D1532,upahbahan,3,FALSE)</f>
        <v>0</v>
      </c>
      <c r="H1532" s="210">
        <f t="shared" si="104"/>
        <v>0</v>
      </c>
      <c r="L1532" s="200"/>
      <c r="M1532" s="200"/>
      <c r="N1532" s="200"/>
      <c r="O1532" s="200"/>
      <c r="P1532" s="200"/>
    </row>
    <row r="1533" spans="3:16" s="517" customFormat="1" ht="31.2" customHeight="1">
      <c r="C1533" s="543">
        <v>4</v>
      </c>
      <c r="D1533" s="750" t="s">
        <v>5556</v>
      </c>
      <c r="E1533" s="203"/>
      <c r="F1533" s="753"/>
      <c r="G1533" s="197"/>
      <c r="H1533" s="210">
        <f t="shared" si="104"/>
        <v>0</v>
      </c>
      <c r="L1533" s="200"/>
      <c r="M1533" s="200"/>
      <c r="N1533" s="200"/>
      <c r="O1533" s="200"/>
      <c r="P1533" s="200"/>
    </row>
    <row r="1534" spans="3:16" s="517" customFormat="1" ht="31.2" customHeight="1">
      <c r="C1534" s="754" t="s">
        <v>5293</v>
      </c>
      <c r="D1534" s="750" t="s">
        <v>2084</v>
      </c>
      <c r="E1534" s="203" t="s">
        <v>42</v>
      </c>
      <c r="F1534" s="753">
        <v>2.4400000000000002E-2</v>
      </c>
      <c r="G1534" s="205">
        <f>VLOOKUP(D1534,upahbahan,3,FALSE)</f>
        <v>0</v>
      </c>
      <c r="H1534" s="210">
        <f t="shared" si="104"/>
        <v>0</v>
      </c>
      <c r="L1534" s="200"/>
      <c r="M1534" s="200"/>
      <c r="N1534" s="200"/>
      <c r="O1534" s="200"/>
      <c r="P1534" s="200"/>
    </row>
    <row r="1535" spans="3:16" s="517" customFormat="1" ht="31.2" customHeight="1">
      <c r="C1535" s="754" t="s">
        <v>5299</v>
      </c>
      <c r="D1535" s="750" t="s">
        <v>5566</v>
      </c>
      <c r="E1535" s="203" t="s">
        <v>42</v>
      </c>
      <c r="F1535" s="753">
        <v>6.4999999999999997E-3</v>
      </c>
      <c r="G1535" s="205">
        <f>VLOOKUP(D1535,upahbahan,3,FALSE)</f>
        <v>0</v>
      </c>
      <c r="H1535" s="210">
        <f t="shared" si="104"/>
        <v>0</v>
      </c>
      <c r="L1535" s="200"/>
      <c r="M1535" s="200"/>
      <c r="N1535" s="200"/>
      <c r="O1535" s="200"/>
      <c r="P1535" s="200"/>
    </row>
    <row r="1536" spans="3:16" s="517" customFormat="1" ht="31.2" customHeight="1">
      <c r="C1536" s="754" t="s">
        <v>5558</v>
      </c>
      <c r="D1536" s="750" t="s">
        <v>2325</v>
      </c>
      <c r="E1536" s="203" t="s">
        <v>42</v>
      </c>
      <c r="F1536" s="762">
        <v>1.6000000000000001E-3</v>
      </c>
      <c r="G1536" s="205">
        <f>VLOOKUP(D1536,upahbahan,3,FALSE)</f>
        <v>0</v>
      </c>
      <c r="H1536" s="210">
        <f t="shared" si="104"/>
        <v>0</v>
      </c>
      <c r="L1536" s="200"/>
      <c r="M1536" s="200"/>
      <c r="N1536" s="200"/>
      <c r="O1536" s="200"/>
      <c r="P1536" s="200"/>
    </row>
    <row r="1537" spans="3:20" s="517" customFormat="1" ht="31.2" customHeight="1">
      <c r="C1537" s="207" t="s">
        <v>1214</v>
      </c>
      <c r="D1537" s="208"/>
      <c r="E1537" s="568"/>
      <c r="F1537" s="208"/>
      <c r="G1537" s="209"/>
      <c r="H1537" s="210">
        <f>SUM(H1528:H1536)</f>
        <v>0</v>
      </c>
      <c r="L1537" s="200"/>
      <c r="M1537" s="200"/>
      <c r="N1537" s="200"/>
      <c r="O1537" s="200"/>
      <c r="P1537" s="200"/>
    </row>
    <row r="1538" spans="3:20" s="517" customFormat="1" ht="31.2" customHeight="1">
      <c r="C1538" s="756" t="s">
        <v>1215</v>
      </c>
      <c r="D1538" s="196" t="s">
        <v>1216</v>
      </c>
      <c r="E1538" s="203"/>
      <c r="F1538" s="197"/>
      <c r="G1538" s="197"/>
      <c r="H1538" s="198"/>
      <c r="L1538" s="200"/>
      <c r="M1538" s="200"/>
      <c r="N1538" s="200"/>
      <c r="O1538" s="200"/>
      <c r="P1538" s="200"/>
    </row>
    <row r="1539" spans="3:20" s="517" customFormat="1" ht="31.2" customHeight="1">
      <c r="C1539" s="207" t="s">
        <v>1217</v>
      </c>
      <c r="D1539" s="208"/>
      <c r="E1539" s="208"/>
      <c r="F1539" s="208"/>
      <c r="G1539" s="209"/>
      <c r="H1539" s="240">
        <f>SUM(H1538)</f>
        <v>0</v>
      </c>
      <c r="L1539" s="200"/>
      <c r="M1539" s="200"/>
      <c r="N1539" s="200"/>
      <c r="O1539" s="200"/>
      <c r="P1539" s="200"/>
    </row>
    <row r="1540" spans="3:20" s="517" customFormat="1" ht="31.2" customHeight="1">
      <c r="C1540" s="223" t="s">
        <v>1218</v>
      </c>
      <c r="D1540" s="224" t="s">
        <v>1219</v>
      </c>
      <c r="E1540" s="225"/>
      <c r="F1540" s="225"/>
      <c r="G1540" s="226"/>
      <c r="H1540" s="210">
        <f>H1539+H1537+H1526</f>
        <v>5442.625</v>
      </c>
      <c r="L1540" s="200"/>
      <c r="M1540" s="200"/>
      <c r="N1540" s="200"/>
      <c r="O1540" s="200"/>
      <c r="P1540" s="200"/>
    </row>
    <row r="1541" spans="3:20" s="517" customFormat="1" ht="31.2" customHeight="1">
      <c r="C1541" s="223" t="s">
        <v>1220</v>
      </c>
      <c r="D1541" s="224" t="s">
        <v>1321</v>
      </c>
      <c r="E1541" s="225"/>
      <c r="F1541" s="226"/>
      <c r="G1541" s="228">
        <v>0.1</v>
      </c>
      <c r="H1541" s="210">
        <f>H1540*G1541</f>
        <v>544.26250000000005</v>
      </c>
      <c r="L1541" s="200"/>
      <c r="M1541" s="200"/>
      <c r="N1541" s="200"/>
      <c r="O1541" s="200"/>
      <c r="P1541" s="200"/>
    </row>
    <row r="1542" spans="3:20" s="517" customFormat="1" ht="31.2" customHeight="1" thickBot="1">
      <c r="C1542" s="229" t="s">
        <v>1221</v>
      </c>
      <c r="D1542" s="230" t="s">
        <v>1222</v>
      </c>
      <c r="E1542" s="231"/>
      <c r="F1542" s="231"/>
      <c r="G1542" s="232"/>
      <c r="H1542" s="233">
        <f>SUM(H1540:H1541)</f>
        <v>5986.8874999999998</v>
      </c>
      <c r="L1542" s="200"/>
      <c r="M1542" s="200"/>
      <c r="N1542" s="200"/>
      <c r="O1542" s="200"/>
      <c r="P1542" s="200"/>
    </row>
    <row r="1543" spans="3:20" ht="31.2" customHeight="1" thickTop="1">
      <c r="D1543" s="758" t="s">
        <v>6949</v>
      </c>
    </row>
    <row r="1544" spans="3:20" ht="31.2" customHeight="1">
      <c r="C1544" s="757" t="s">
        <v>6950</v>
      </c>
      <c r="F1544" s="758"/>
      <c r="H1544" s="758" t="s">
        <v>6959</v>
      </c>
    </row>
    <row r="1545" spans="3:20" ht="31.2" customHeight="1">
      <c r="C1545" s="200" t="s">
        <v>6951</v>
      </c>
      <c r="F1545" s="758"/>
    </row>
    <row r="1546" spans="3:20" ht="31.2" customHeight="1">
      <c r="C1546" s="200" t="s">
        <v>6952</v>
      </c>
      <c r="F1546" s="758"/>
    </row>
    <row r="1547" spans="3:20" ht="31.2" customHeight="1">
      <c r="F1547" s="758"/>
    </row>
    <row r="1548" spans="3:20" s="517" customFormat="1" ht="31.2" customHeight="1" thickBot="1">
      <c r="C1548" s="513" t="s">
        <v>7033</v>
      </c>
      <c r="D1548" s="748" t="s">
        <v>7035</v>
      </c>
      <c r="E1548" s="749"/>
      <c r="F1548" s="748"/>
      <c r="G1548" s="748"/>
      <c r="H1548" s="532"/>
      <c r="I1548" s="532"/>
      <c r="J1548" s="532"/>
      <c r="K1548" s="532"/>
      <c r="M1548" s="189"/>
      <c r="N1548" s="189"/>
      <c r="O1548" s="189"/>
      <c r="P1548" s="189"/>
      <c r="R1548" s="189">
        <f>ROUNDDOWN(H1570,-2)</f>
        <v>5900</v>
      </c>
      <c r="S1548" s="517" t="s">
        <v>6451</v>
      </c>
      <c r="T1548" s="517" t="s">
        <v>7014</v>
      </c>
    </row>
    <row r="1549" spans="3:20" s="517" customFormat="1" ht="31.2" customHeight="1" thickTop="1">
      <c r="C1549" s="190" t="s">
        <v>1195</v>
      </c>
      <c r="D1549" s="191" t="s">
        <v>1196</v>
      </c>
      <c r="E1549" s="191" t="s">
        <v>1197</v>
      </c>
      <c r="F1549" s="191" t="s">
        <v>1198</v>
      </c>
      <c r="G1549" s="191" t="s">
        <v>1199</v>
      </c>
      <c r="H1549" s="192" t="s">
        <v>1200</v>
      </c>
      <c r="L1549" s="200"/>
      <c r="M1549" s="200"/>
      <c r="N1549" s="200"/>
      <c r="O1549" s="200"/>
      <c r="P1549" s="200"/>
    </row>
    <row r="1550" spans="3:20" s="517" customFormat="1" ht="31.2" customHeight="1">
      <c r="C1550" s="518" t="s">
        <v>1201</v>
      </c>
      <c r="D1550" s="196" t="s">
        <v>1202</v>
      </c>
      <c r="E1550" s="197"/>
      <c r="F1550" s="197"/>
      <c r="G1550" s="197"/>
      <c r="H1550" s="198"/>
      <c r="L1550" s="200"/>
      <c r="M1550" s="200"/>
      <c r="N1550" s="200"/>
      <c r="O1550" s="200"/>
      <c r="P1550" s="200"/>
    </row>
    <row r="1551" spans="3:20" s="517" customFormat="1" ht="31.2" customHeight="1">
      <c r="C1551" s="537">
        <v>1</v>
      </c>
      <c r="D1551" s="196" t="s">
        <v>6954</v>
      </c>
      <c r="E1551" s="202" t="s">
        <v>6</v>
      </c>
      <c r="F1551" s="520">
        <v>0.02</v>
      </c>
      <c r="G1551" s="205">
        <f>VLOOKUP(D1551,upahbahan,3,FALSE)</f>
        <v>181250</v>
      </c>
      <c r="H1551" s="210">
        <f t="shared" ref="H1551:H1553" si="105">F1551*G1551</f>
        <v>3625</v>
      </c>
      <c r="L1551" s="200"/>
      <c r="M1551" s="200"/>
      <c r="N1551" s="200"/>
      <c r="O1551" s="200"/>
      <c r="P1551" s="200"/>
    </row>
    <row r="1552" spans="3:20" s="517" customFormat="1" ht="31.2" customHeight="1">
      <c r="C1552" s="537">
        <v>2</v>
      </c>
      <c r="D1552" s="196" t="s">
        <v>6948</v>
      </c>
      <c r="E1552" s="202" t="s">
        <v>2102</v>
      </c>
      <c r="F1552" s="520">
        <v>6.7000000000000002E-3</v>
      </c>
      <c r="G1552" s="205">
        <f>VLOOKUP(D1552,upahbahan,3,FALSE)</f>
        <v>218750</v>
      </c>
      <c r="H1552" s="210">
        <f t="shared" si="105"/>
        <v>1465.625</v>
      </c>
      <c r="L1552" s="200"/>
      <c r="M1552" s="200"/>
      <c r="N1552" s="200"/>
      <c r="O1552" s="200"/>
      <c r="P1552" s="200"/>
    </row>
    <row r="1553" spans="3:16" s="517" customFormat="1" ht="31.2" customHeight="1">
      <c r="C1553" s="537">
        <v>3</v>
      </c>
      <c r="D1553" s="196" t="s">
        <v>19</v>
      </c>
      <c r="E1553" s="202" t="s">
        <v>6</v>
      </c>
      <c r="F1553" s="520">
        <v>2.2000000000000001E-3</v>
      </c>
      <c r="G1553" s="205">
        <f>VLOOKUP(D1553,upahbahan,3,FALSE)</f>
        <v>160000</v>
      </c>
      <c r="H1553" s="210">
        <f t="shared" si="105"/>
        <v>352</v>
      </c>
      <c r="L1553" s="200"/>
      <c r="M1553" s="200"/>
      <c r="N1553" s="200"/>
      <c r="O1553" s="200"/>
      <c r="P1553" s="200"/>
    </row>
    <row r="1554" spans="3:16" s="517" customFormat="1" ht="31.2" customHeight="1">
      <c r="C1554" s="207" t="s">
        <v>1208</v>
      </c>
      <c r="D1554" s="208"/>
      <c r="E1554" s="208"/>
      <c r="F1554" s="521"/>
      <c r="G1554" s="522"/>
      <c r="H1554" s="210">
        <f>SUM(H1551:H1553)</f>
        <v>5442.625</v>
      </c>
      <c r="L1554" s="523"/>
      <c r="M1554" s="523"/>
      <c r="N1554" s="523"/>
      <c r="O1554" s="523"/>
      <c r="P1554" s="523"/>
    </row>
    <row r="1555" spans="3:16" s="517" customFormat="1" ht="31.2" customHeight="1">
      <c r="C1555" s="543" t="s">
        <v>1209</v>
      </c>
      <c r="D1555" s="750" t="s">
        <v>1210</v>
      </c>
      <c r="E1555" s="197"/>
      <c r="F1555" s="751"/>
      <c r="G1555" s="197"/>
      <c r="H1555" s="752"/>
      <c r="L1555" s="200"/>
      <c r="M1555" s="200"/>
      <c r="N1555" s="200"/>
      <c r="O1555" s="200"/>
      <c r="P1555" s="200"/>
    </row>
    <row r="1556" spans="3:16" s="517" customFormat="1" ht="31.2" customHeight="1">
      <c r="C1556" s="543">
        <v>1</v>
      </c>
      <c r="D1556" s="750" t="s">
        <v>7034</v>
      </c>
      <c r="E1556" s="203" t="s">
        <v>44</v>
      </c>
      <c r="F1556" s="753">
        <v>1.05</v>
      </c>
      <c r="G1556" s="205">
        <f>VLOOKUP(D1556,upahbahan,3,FALSE)</f>
        <v>0</v>
      </c>
      <c r="H1556" s="210">
        <f t="shared" ref="H1556:H1564" si="106">F1556*G1556</f>
        <v>0</v>
      </c>
      <c r="L1556" s="200"/>
      <c r="M1556" s="200"/>
      <c r="N1556" s="200"/>
      <c r="O1556" s="200"/>
      <c r="P1556" s="200"/>
    </row>
    <row r="1557" spans="3:16" s="517" customFormat="1" ht="31.2" customHeight="1">
      <c r="C1557" s="543">
        <v>2</v>
      </c>
      <c r="D1557" s="750" t="s">
        <v>5563</v>
      </c>
      <c r="E1557" s="203" t="s">
        <v>65</v>
      </c>
      <c r="F1557" s="753">
        <v>5.0000000000000001E-3</v>
      </c>
      <c r="G1557" s="205">
        <f>VLOOKUP(D1557,upahbahan,3,FALSE)</f>
        <v>0</v>
      </c>
      <c r="H1557" s="210">
        <f t="shared" si="106"/>
        <v>0</v>
      </c>
      <c r="L1557" s="200"/>
      <c r="M1557" s="200"/>
      <c r="N1557" s="200"/>
      <c r="O1557" s="200"/>
      <c r="P1557" s="200"/>
    </row>
    <row r="1558" spans="3:16" s="517" customFormat="1" ht="31.2" customHeight="1">
      <c r="C1558" s="543">
        <v>3</v>
      </c>
      <c r="D1558" s="750" t="s">
        <v>5555</v>
      </c>
      <c r="E1558" s="203"/>
      <c r="F1558" s="753"/>
      <c r="G1558" s="197"/>
      <c r="H1558" s="210">
        <f t="shared" si="106"/>
        <v>0</v>
      </c>
      <c r="L1558" s="200"/>
      <c r="M1558" s="200"/>
      <c r="N1558" s="200"/>
      <c r="O1558" s="200"/>
      <c r="P1558" s="200"/>
    </row>
    <row r="1559" spans="3:16" s="517" customFormat="1" ht="31.2" customHeight="1">
      <c r="C1559" s="754" t="s">
        <v>5293</v>
      </c>
      <c r="D1559" s="750" t="s">
        <v>6957</v>
      </c>
      <c r="E1559" s="203" t="s">
        <v>1300</v>
      </c>
      <c r="F1559" s="760">
        <v>6</v>
      </c>
      <c r="G1559" s="205">
        <f>VLOOKUP(D1559,upahbahan,3,FALSE)</f>
        <v>0</v>
      </c>
      <c r="H1559" s="210">
        <f t="shared" si="106"/>
        <v>0</v>
      </c>
      <c r="L1559" s="200"/>
      <c r="M1559" s="200"/>
      <c r="N1559" s="200"/>
      <c r="O1559" s="200"/>
      <c r="P1559" s="200"/>
    </row>
    <row r="1560" spans="3:16" s="517" customFormat="1" ht="31.2" customHeight="1">
      <c r="C1560" s="754" t="s">
        <v>5299</v>
      </c>
      <c r="D1560" s="750" t="s">
        <v>5560</v>
      </c>
      <c r="E1560" s="203" t="s">
        <v>113</v>
      </c>
      <c r="F1560" s="760">
        <v>10</v>
      </c>
      <c r="G1560" s="205">
        <f>VLOOKUP(D1560,upahbahan,3,FALSE)</f>
        <v>0</v>
      </c>
      <c r="H1560" s="210">
        <f t="shared" si="106"/>
        <v>0</v>
      </c>
      <c r="L1560" s="200"/>
      <c r="M1560" s="200"/>
      <c r="N1560" s="200"/>
      <c r="O1560" s="200"/>
      <c r="P1560" s="200"/>
    </row>
    <row r="1561" spans="3:16" s="517" customFormat="1" ht="31.2" customHeight="1">
      <c r="C1561" s="543">
        <v>4</v>
      </c>
      <c r="D1561" s="750" t="s">
        <v>5556</v>
      </c>
      <c r="E1561" s="203"/>
      <c r="F1561" s="753"/>
      <c r="G1561" s="197"/>
      <c r="H1561" s="210">
        <f t="shared" si="106"/>
        <v>0</v>
      </c>
      <c r="L1561" s="200"/>
      <c r="M1561" s="200"/>
      <c r="N1561" s="200"/>
      <c r="O1561" s="200"/>
      <c r="P1561" s="200"/>
    </row>
    <row r="1562" spans="3:16" s="517" customFormat="1" ht="31.2" customHeight="1">
      <c r="C1562" s="754" t="s">
        <v>5293</v>
      </c>
      <c r="D1562" s="750" t="s">
        <v>2084</v>
      </c>
      <c r="E1562" s="203" t="s">
        <v>42</v>
      </c>
      <c r="F1562" s="753">
        <v>2.4400000000000002E-2</v>
      </c>
      <c r="G1562" s="205">
        <f>VLOOKUP(D1562,upahbahan,3,FALSE)</f>
        <v>0</v>
      </c>
      <c r="H1562" s="210">
        <f t="shared" si="106"/>
        <v>0</v>
      </c>
      <c r="L1562" s="200"/>
      <c r="M1562" s="200"/>
      <c r="N1562" s="200"/>
      <c r="O1562" s="200"/>
      <c r="P1562" s="200"/>
    </row>
    <row r="1563" spans="3:16" s="517" customFormat="1" ht="31.2" customHeight="1">
      <c r="C1563" s="754" t="s">
        <v>5299</v>
      </c>
      <c r="D1563" s="750" t="s">
        <v>5566</v>
      </c>
      <c r="E1563" s="203" t="s">
        <v>42</v>
      </c>
      <c r="F1563" s="753">
        <v>6.4999999999999997E-3</v>
      </c>
      <c r="G1563" s="205">
        <f>VLOOKUP(D1563,upahbahan,3,FALSE)</f>
        <v>0</v>
      </c>
      <c r="H1563" s="210">
        <f t="shared" si="106"/>
        <v>0</v>
      </c>
      <c r="L1563" s="200"/>
      <c r="M1563" s="200"/>
      <c r="N1563" s="200"/>
      <c r="O1563" s="200"/>
      <c r="P1563" s="200"/>
    </row>
    <row r="1564" spans="3:16" s="517" customFormat="1" ht="31.2" customHeight="1">
      <c r="C1564" s="754" t="s">
        <v>5558</v>
      </c>
      <c r="D1564" s="750" t="s">
        <v>2325</v>
      </c>
      <c r="E1564" s="203" t="s">
        <v>42</v>
      </c>
      <c r="F1564" s="762">
        <v>1.6000000000000001E-3</v>
      </c>
      <c r="G1564" s="205">
        <f>VLOOKUP(D1564,upahbahan,3,FALSE)</f>
        <v>0</v>
      </c>
      <c r="H1564" s="210">
        <f t="shared" si="106"/>
        <v>0</v>
      </c>
      <c r="L1564" s="200"/>
      <c r="M1564" s="200"/>
      <c r="N1564" s="200"/>
      <c r="O1564" s="200"/>
      <c r="P1564" s="200"/>
    </row>
    <row r="1565" spans="3:16" s="517" customFormat="1" ht="31.2" customHeight="1">
      <c r="C1565" s="207" t="s">
        <v>1214</v>
      </c>
      <c r="D1565" s="208"/>
      <c r="E1565" s="568"/>
      <c r="F1565" s="208"/>
      <c r="G1565" s="209"/>
      <c r="H1565" s="210">
        <f>SUM(H1556:H1564)</f>
        <v>0</v>
      </c>
      <c r="L1565" s="200"/>
      <c r="M1565" s="200"/>
      <c r="N1565" s="200"/>
      <c r="O1565" s="200"/>
      <c r="P1565" s="200"/>
    </row>
    <row r="1566" spans="3:16" s="517" customFormat="1" ht="31.2" customHeight="1">
      <c r="C1566" s="756" t="s">
        <v>1215</v>
      </c>
      <c r="D1566" s="196" t="s">
        <v>1216</v>
      </c>
      <c r="E1566" s="203"/>
      <c r="F1566" s="197"/>
      <c r="G1566" s="197"/>
      <c r="H1566" s="198"/>
      <c r="L1566" s="200"/>
      <c r="M1566" s="200"/>
      <c r="N1566" s="200"/>
      <c r="O1566" s="200"/>
      <c r="P1566" s="200"/>
    </row>
    <row r="1567" spans="3:16" s="517" customFormat="1" ht="31.2" customHeight="1">
      <c r="C1567" s="207" t="s">
        <v>1217</v>
      </c>
      <c r="D1567" s="208"/>
      <c r="E1567" s="208"/>
      <c r="F1567" s="208"/>
      <c r="G1567" s="209"/>
      <c r="H1567" s="240">
        <f>SUM(H1566)</f>
        <v>0</v>
      </c>
      <c r="L1567" s="200"/>
      <c r="M1567" s="200"/>
      <c r="N1567" s="200"/>
      <c r="O1567" s="200"/>
      <c r="P1567" s="200"/>
    </row>
    <row r="1568" spans="3:16" s="517" customFormat="1" ht="31.2" customHeight="1">
      <c r="C1568" s="223" t="s">
        <v>1218</v>
      </c>
      <c r="D1568" s="224" t="s">
        <v>1219</v>
      </c>
      <c r="E1568" s="225"/>
      <c r="F1568" s="225"/>
      <c r="G1568" s="226"/>
      <c r="H1568" s="210">
        <f>H1567+H1565+H1554</f>
        <v>5442.625</v>
      </c>
      <c r="L1568" s="200"/>
      <c r="M1568" s="200"/>
      <c r="N1568" s="200"/>
      <c r="O1568" s="200"/>
      <c r="P1568" s="200"/>
    </row>
    <row r="1569" spans="3:20" s="517" customFormat="1" ht="31.2" customHeight="1">
      <c r="C1569" s="223" t="s">
        <v>1220</v>
      </c>
      <c r="D1569" s="224" t="s">
        <v>1321</v>
      </c>
      <c r="E1569" s="225"/>
      <c r="F1569" s="226"/>
      <c r="G1569" s="228">
        <v>0.1</v>
      </c>
      <c r="H1569" s="210">
        <f>H1568*G1569</f>
        <v>544.26250000000005</v>
      </c>
      <c r="L1569" s="200"/>
      <c r="M1569" s="200"/>
      <c r="N1569" s="200"/>
      <c r="O1569" s="200"/>
      <c r="P1569" s="200"/>
    </row>
    <row r="1570" spans="3:20" s="517" customFormat="1" ht="31.2" customHeight="1" thickBot="1">
      <c r="C1570" s="229" t="s">
        <v>1221</v>
      </c>
      <c r="D1570" s="230" t="s">
        <v>1222</v>
      </c>
      <c r="E1570" s="231"/>
      <c r="F1570" s="231"/>
      <c r="G1570" s="232"/>
      <c r="H1570" s="233">
        <f>SUM(H1568:H1569)</f>
        <v>5986.8874999999998</v>
      </c>
      <c r="L1570" s="200"/>
      <c r="M1570" s="200"/>
      <c r="N1570" s="200"/>
      <c r="O1570" s="200"/>
      <c r="P1570" s="200"/>
    </row>
    <row r="1571" spans="3:20" ht="31.2" customHeight="1" thickTop="1">
      <c r="D1571" s="758" t="s">
        <v>6949</v>
      </c>
    </row>
    <row r="1572" spans="3:20" ht="31.2" customHeight="1">
      <c r="C1572" s="757" t="s">
        <v>6950</v>
      </c>
      <c r="F1572" s="758"/>
      <c r="H1572" s="758" t="s">
        <v>6959</v>
      </c>
    </row>
    <row r="1573" spans="3:20" ht="31.2" customHeight="1">
      <c r="C1573" s="200" t="s">
        <v>6951</v>
      </c>
      <c r="F1573" s="758"/>
    </row>
    <row r="1574" spans="3:20" ht="31.2" customHeight="1">
      <c r="C1574" s="200" t="s">
        <v>6952</v>
      </c>
      <c r="F1574" s="758"/>
    </row>
    <row r="1575" spans="3:20" ht="31.2" customHeight="1">
      <c r="F1575" s="758"/>
    </row>
    <row r="1576" spans="3:20" s="517" customFormat="1" ht="31.2" customHeight="1" thickBot="1">
      <c r="C1576" s="513" t="s">
        <v>7036</v>
      </c>
      <c r="D1576" s="748" t="s">
        <v>7037</v>
      </c>
      <c r="E1576" s="749"/>
      <c r="F1576" s="748"/>
      <c r="G1576" s="748"/>
      <c r="H1576" s="532"/>
      <c r="I1576" s="532"/>
      <c r="J1576" s="532"/>
      <c r="K1576" s="532"/>
      <c r="M1576" s="189"/>
      <c r="N1576" s="189"/>
      <c r="O1576" s="189"/>
      <c r="P1576" s="189"/>
      <c r="R1576" s="189">
        <f>ROUNDDOWN(H1598,-2)</f>
        <v>5900</v>
      </c>
      <c r="S1576" s="517" t="s">
        <v>6451</v>
      </c>
      <c r="T1576" s="517" t="s">
        <v>7014</v>
      </c>
    </row>
    <row r="1577" spans="3:20" s="517" customFormat="1" ht="31.2" customHeight="1" thickTop="1">
      <c r="C1577" s="190" t="s">
        <v>1195</v>
      </c>
      <c r="D1577" s="191" t="s">
        <v>1196</v>
      </c>
      <c r="E1577" s="191" t="s">
        <v>1197</v>
      </c>
      <c r="F1577" s="191" t="s">
        <v>1198</v>
      </c>
      <c r="G1577" s="191" t="s">
        <v>1199</v>
      </c>
      <c r="H1577" s="192" t="s">
        <v>1200</v>
      </c>
      <c r="L1577" s="200"/>
      <c r="M1577" s="200"/>
      <c r="N1577" s="200"/>
      <c r="O1577" s="200"/>
      <c r="P1577" s="200"/>
    </row>
    <row r="1578" spans="3:20" s="517" customFormat="1" ht="31.2" customHeight="1">
      <c r="C1578" s="518" t="s">
        <v>1201</v>
      </c>
      <c r="D1578" s="196" t="s">
        <v>1202</v>
      </c>
      <c r="E1578" s="197"/>
      <c r="F1578" s="197"/>
      <c r="G1578" s="197"/>
      <c r="H1578" s="198"/>
      <c r="L1578" s="200"/>
      <c r="M1578" s="200"/>
      <c r="N1578" s="200"/>
      <c r="O1578" s="200"/>
      <c r="P1578" s="200"/>
    </row>
    <row r="1579" spans="3:20" s="517" customFormat="1" ht="31.2" customHeight="1">
      <c r="C1579" s="537">
        <v>1</v>
      </c>
      <c r="D1579" s="196" t="s">
        <v>6954</v>
      </c>
      <c r="E1579" s="202" t="s">
        <v>6</v>
      </c>
      <c r="F1579" s="520">
        <v>0.02</v>
      </c>
      <c r="G1579" s="205">
        <f>VLOOKUP(D1579,upahbahan,3,FALSE)</f>
        <v>181250</v>
      </c>
      <c r="H1579" s="210">
        <f t="shared" ref="H1579:H1581" si="107">F1579*G1579</f>
        <v>3625</v>
      </c>
      <c r="L1579" s="200"/>
      <c r="M1579" s="200"/>
      <c r="N1579" s="200"/>
      <c r="O1579" s="200"/>
      <c r="P1579" s="200"/>
    </row>
    <row r="1580" spans="3:20" s="517" customFormat="1" ht="31.2" customHeight="1">
      <c r="C1580" s="537">
        <v>2</v>
      </c>
      <c r="D1580" s="196" t="s">
        <v>6948</v>
      </c>
      <c r="E1580" s="202" t="s">
        <v>2102</v>
      </c>
      <c r="F1580" s="520">
        <v>6.7000000000000002E-3</v>
      </c>
      <c r="G1580" s="205">
        <f>VLOOKUP(D1580,upahbahan,3,FALSE)</f>
        <v>218750</v>
      </c>
      <c r="H1580" s="210">
        <f t="shared" si="107"/>
        <v>1465.625</v>
      </c>
      <c r="L1580" s="200"/>
      <c r="M1580" s="200"/>
      <c r="N1580" s="200"/>
      <c r="O1580" s="200"/>
      <c r="P1580" s="200"/>
    </row>
    <row r="1581" spans="3:20" s="517" customFormat="1" ht="31.2" customHeight="1">
      <c r="C1581" s="537">
        <v>3</v>
      </c>
      <c r="D1581" s="196" t="s">
        <v>19</v>
      </c>
      <c r="E1581" s="202" t="s">
        <v>6</v>
      </c>
      <c r="F1581" s="520">
        <v>2.2000000000000001E-3</v>
      </c>
      <c r="G1581" s="205">
        <f>VLOOKUP(D1581,upahbahan,3,FALSE)</f>
        <v>160000</v>
      </c>
      <c r="H1581" s="210">
        <f t="shared" si="107"/>
        <v>352</v>
      </c>
      <c r="L1581" s="200"/>
      <c r="M1581" s="200"/>
      <c r="N1581" s="200"/>
      <c r="O1581" s="200"/>
      <c r="P1581" s="200"/>
    </row>
    <row r="1582" spans="3:20" s="517" customFormat="1" ht="31.2" customHeight="1">
      <c r="C1582" s="207" t="s">
        <v>1208</v>
      </c>
      <c r="D1582" s="208"/>
      <c r="E1582" s="208"/>
      <c r="F1582" s="521"/>
      <c r="G1582" s="522"/>
      <c r="H1582" s="210">
        <f>SUM(H1579:H1581)</f>
        <v>5442.625</v>
      </c>
      <c r="L1582" s="523"/>
      <c r="M1582" s="523"/>
      <c r="N1582" s="523"/>
      <c r="O1582" s="523"/>
      <c r="P1582" s="523"/>
    </row>
    <row r="1583" spans="3:20" s="517" customFormat="1" ht="31.2" customHeight="1">
      <c r="C1583" s="543" t="s">
        <v>1209</v>
      </c>
      <c r="D1583" s="750" t="s">
        <v>1210</v>
      </c>
      <c r="E1583" s="197"/>
      <c r="F1583" s="751"/>
      <c r="G1583" s="197"/>
      <c r="H1583" s="752"/>
      <c r="L1583" s="200"/>
      <c r="M1583" s="200"/>
      <c r="N1583" s="200"/>
      <c r="O1583" s="200"/>
      <c r="P1583" s="200"/>
    </row>
    <row r="1584" spans="3:20" s="517" customFormat="1" ht="31.2" customHeight="1">
      <c r="C1584" s="543">
        <v>1</v>
      </c>
      <c r="D1584" s="750" t="s">
        <v>7038</v>
      </c>
      <c r="E1584" s="203" t="s">
        <v>44</v>
      </c>
      <c r="F1584" s="753">
        <v>1.05</v>
      </c>
      <c r="G1584" s="205">
        <f>VLOOKUP(D1584,upahbahan,3,FALSE)</f>
        <v>0</v>
      </c>
      <c r="H1584" s="210">
        <f t="shared" ref="H1584:H1592" si="108">F1584*G1584</f>
        <v>0</v>
      </c>
      <c r="L1584" s="200"/>
      <c r="M1584" s="200"/>
      <c r="N1584" s="200"/>
      <c r="O1584" s="200"/>
      <c r="P1584" s="200"/>
    </row>
    <row r="1585" spans="3:16" s="517" customFormat="1" ht="31.2" customHeight="1">
      <c r="C1585" s="543">
        <v>2</v>
      </c>
      <c r="D1585" s="750" t="s">
        <v>5563</v>
      </c>
      <c r="E1585" s="203" t="s">
        <v>65</v>
      </c>
      <c r="F1585" s="753">
        <v>5.0000000000000001E-3</v>
      </c>
      <c r="G1585" s="205">
        <f>VLOOKUP(D1585,upahbahan,3,FALSE)</f>
        <v>0</v>
      </c>
      <c r="H1585" s="210">
        <f t="shared" si="108"/>
        <v>0</v>
      </c>
      <c r="L1585" s="200"/>
      <c r="M1585" s="200"/>
      <c r="N1585" s="200"/>
      <c r="O1585" s="200"/>
      <c r="P1585" s="200"/>
    </row>
    <row r="1586" spans="3:16" s="517" customFormat="1" ht="31.2" customHeight="1">
      <c r="C1586" s="543">
        <v>3</v>
      </c>
      <c r="D1586" s="750" t="s">
        <v>5555</v>
      </c>
      <c r="E1586" s="203"/>
      <c r="F1586" s="753"/>
      <c r="G1586" s="197"/>
      <c r="H1586" s="210">
        <f t="shared" si="108"/>
        <v>0</v>
      </c>
      <c r="L1586" s="200"/>
      <c r="M1586" s="200"/>
      <c r="N1586" s="200"/>
      <c r="O1586" s="200"/>
      <c r="P1586" s="200"/>
    </row>
    <row r="1587" spans="3:16" s="517" customFormat="1" ht="31.2" customHeight="1">
      <c r="C1587" s="754" t="s">
        <v>5293</v>
      </c>
      <c r="D1587" s="750" t="s">
        <v>6957</v>
      </c>
      <c r="E1587" s="203" t="s">
        <v>1300</v>
      </c>
      <c r="F1587" s="760">
        <v>6</v>
      </c>
      <c r="G1587" s="205">
        <f>VLOOKUP(D1587,upahbahan,3,FALSE)</f>
        <v>0</v>
      </c>
      <c r="H1587" s="210">
        <f t="shared" si="108"/>
        <v>0</v>
      </c>
      <c r="L1587" s="200"/>
      <c r="M1587" s="200"/>
      <c r="N1587" s="200"/>
      <c r="O1587" s="200"/>
      <c r="P1587" s="200"/>
    </row>
    <row r="1588" spans="3:16" s="517" customFormat="1" ht="31.2" customHeight="1">
      <c r="C1588" s="754" t="s">
        <v>5299</v>
      </c>
      <c r="D1588" s="750" t="s">
        <v>5560</v>
      </c>
      <c r="E1588" s="203" t="s">
        <v>113</v>
      </c>
      <c r="F1588" s="760">
        <v>10</v>
      </c>
      <c r="G1588" s="205">
        <f>VLOOKUP(D1588,upahbahan,3,FALSE)</f>
        <v>0</v>
      </c>
      <c r="H1588" s="210">
        <f t="shared" si="108"/>
        <v>0</v>
      </c>
      <c r="L1588" s="200"/>
      <c r="M1588" s="200"/>
      <c r="N1588" s="200"/>
      <c r="O1588" s="200"/>
      <c r="P1588" s="200"/>
    </row>
    <row r="1589" spans="3:16" s="517" customFormat="1" ht="31.2" customHeight="1">
      <c r="C1589" s="543">
        <v>4</v>
      </c>
      <c r="D1589" s="750" t="s">
        <v>5556</v>
      </c>
      <c r="E1589" s="203"/>
      <c r="F1589" s="753"/>
      <c r="G1589" s="197"/>
      <c r="H1589" s="210">
        <f t="shared" si="108"/>
        <v>0</v>
      </c>
      <c r="L1589" s="200"/>
      <c r="M1589" s="200"/>
      <c r="N1589" s="200"/>
      <c r="O1589" s="200"/>
      <c r="P1589" s="200"/>
    </row>
    <row r="1590" spans="3:16" s="517" customFormat="1" ht="31.2" customHeight="1">
      <c r="C1590" s="754" t="s">
        <v>5293</v>
      </c>
      <c r="D1590" s="750" t="s">
        <v>2084</v>
      </c>
      <c r="E1590" s="203" t="s">
        <v>42</v>
      </c>
      <c r="F1590" s="753">
        <v>2.4400000000000002E-2</v>
      </c>
      <c r="G1590" s="205">
        <f>VLOOKUP(D1590,upahbahan,3,FALSE)</f>
        <v>0</v>
      </c>
      <c r="H1590" s="210">
        <f t="shared" si="108"/>
        <v>0</v>
      </c>
      <c r="L1590" s="200"/>
      <c r="M1590" s="200"/>
      <c r="N1590" s="200"/>
      <c r="O1590" s="200"/>
      <c r="P1590" s="200"/>
    </row>
    <row r="1591" spans="3:16" s="517" customFormat="1" ht="31.2" customHeight="1">
      <c r="C1591" s="754" t="s">
        <v>5299</v>
      </c>
      <c r="D1591" s="750" t="s">
        <v>5566</v>
      </c>
      <c r="E1591" s="203" t="s">
        <v>42</v>
      </c>
      <c r="F1591" s="753">
        <v>6.4999999999999997E-3</v>
      </c>
      <c r="G1591" s="205">
        <f>VLOOKUP(D1591,upahbahan,3,FALSE)</f>
        <v>0</v>
      </c>
      <c r="H1591" s="210">
        <f t="shared" si="108"/>
        <v>0</v>
      </c>
      <c r="L1591" s="200"/>
      <c r="M1591" s="200"/>
      <c r="N1591" s="200"/>
      <c r="O1591" s="200"/>
      <c r="P1591" s="200"/>
    </row>
    <row r="1592" spans="3:16" s="517" customFormat="1" ht="31.2" customHeight="1">
      <c r="C1592" s="754" t="s">
        <v>5558</v>
      </c>
      <c r="D1592" s="750" t="s">
        <v>2325</v>
      </c>
      <c r="E1592" s="203" t="s">
        <v>42</v>
      </c>
      <c r="F1592" s="762">
        <v>1.6000000000000001E-3</v>
      </c>
      <c r="G1592" s="205">
        <f>VLOOKUP(D1592,upahbahan,3,FALSE)</f>
        <v>0</v>
      </c>
      <c r="H1592" s="210">
        <f t="shared" si="108"/>
        <v>0</v>
      </c>
      <c r="L1592" s="200"/>
      <c r="M1592" s="200"/>
      <c r="N1592" s="200"/>
      <c r="O1592" s="200"/>
      <c r="P1592" s="200"/>
    </row>
    <row r="1593" spans="3:16" s="517" customFormat="1" ht="31.2" customHeight="1">
      <c r="C1593" s="207" t="s">
        <v>1214</v>
      </c>
      <c r="D1593" s="208"/>
      <c r="E1593" s="568"/>
      <c r="F1593" s="208"/>
      <c r="G1593" s="209"/>
      <c r="H1593" s="210">
        <f>SUM(H1584:H1592)</f>
        <v>0</v>
      </c>
      <c r="L1593" s="200"/>
      <c r="M1593" s="200"/>
      <c r="N1593" s="200"/>
      <c r="O1593" s="200"/>
      <c r="P1593" s="200"/>
    </row>
    <row r="1594" spans="3:16" s="517" customFormat="1" ht="31.2" customHeight="1">
      <c r="C1594" s="756" t="s">
        <v>1215</v>
      </c>
      <c r="D1594" s="196" t="s">
        <v>1216</v>
      </c>
      <c r="E1594" s="203"/>
      <c r="F1594" s="197"/>
      <c r="G1594" s="197"/>
      <c r="H1594" s="198"/>
      <c r="L1594" s="200"/>
      <c r="M1594" s="200"/>
      <c r="N1594" s="200"/>
      <c r="O1594" s="200"/>
      <c r="P1594" s="200"/>
    </row>
    <row r="1595" spans="3:16" s="517" customFormat="1" ht="31.2" customHeight="1">
      <c r="C1595" s="207" t="s">
        <v>1217</v>
      </c>
      <c r="D1595" s="208"/>
      <c r="E1595" s="208"/>
      <c r="F1595" s="208"/>
      <c r="G1595" s="209"/>
      <c r="H1595" s="240">
        <f>SUM(H1594)</f>
        <v>0</v>
      </c>
      <c r="L1595" s="200"/>
      <c r="M1595" s="200"/>
      <c r="N1595" s="200"/>
      <c r="O1595" s="200"/>
      <c r="P1595" s="200"/>
    </row>
    <row r="1596" spans="3:16" s="517" customFormat="1" ht="31.2" customHeight="1">
      <c r="C1596" s="223" t="s">
        <v>1218</v>
      </c>
      <c r="D1596" s="224" t="s">
        <v>1219</v>
      </c>
      <c r="E1596" s="225"/>
      <c r="F1596" s="225"/>
      <c r="G1596" s="226"/>
      <c r="H1596" s="210">
        <f>H1595+H1593+H1582</f>
        <v>5442.625</v>
      </c>
      <c r="L1596" s="200"/>
      <c r="M1596" s="200"/>
      <c r="N1596" s="200"/>
      <c r="O1596" s="200"/>
      <c r="P1596" s="200"/>
    </row>
    <row r="1597" spans="3:16" s="517" customFormat="1" ht="31.2" customHeight="1">
      <c r="C1597" s="223" t="s">
        <v>1220</v>
      </c>
      <c r="D1597" s="224" t="s">
        <v>1321</v>
      </c>
      <c r="E1597" s="225"/>
      <c r="F1597" s="226"/>
      <c r="G1597" s="228">
        <v>0.1</v>
      </c>
      <c r="H1597" s="210">
        <f>H1596*G1597</f>
        <v>544.26250000000005</v>
      </c>
      <c r="L1597" s="200"/>
      <c r="M1597" s="200"/>
      <c r="N1597" s="200"/>
      <c r="O1597" s="200"/>
      <c r="P1597" s="200"/>
    </row>
    <row r="1598" spans="3:16" s="517" customFormat="1" ht="31.2" customHeight="1" thickBot="1">
      <c r="C1598" s="229" t="s">
        <v>1221</v>
      </c>
      <c r="D1598" s="230" t="s">
        <v>1222</v>
      </c>
      <c r="E1598" s="231"/>
      <c r="F1598" s="231"/>
      <c r="G1598" s="232"/>
      <c r="H1598" s="233">
        <f>SUM(H1596:H1597)</f>
        <v>5986.8874999999998</v>
      </c>
      <c r="L1598" s="200"/>
      <c r="M1598" s="200"/>
      <c r="N1598" s="200"/>
      <c r="O1598" s="200"/>
      <c r="P1598" s="200"/>
    </row>
    <row r="1599" spans="3:16" ht="31.2" customHeight="1" thickTop="1">
      <c r="D1599" s="758" t="s">
        <v>6949</v>
      </c>
    </row>
    <row r="1600" spans="3:16" ht="31.2" customHeight="1">
      <c r="C1600" s="757" t="s">
        <v>6950</v>
      </c>
      <c r="F1600" s="758"/>
      <c r="H1600" s="758" t="s">
        <v>6959</v>
      </c>
    </row>
    <row r="1601" spans="3:20" ht="31.2" customHeight="1">
      <c r="C1601" s="200" t="s">
        <v>6951</v>
      </c>
      <c r="F1601" s="758"/>
    </row>
    <row r="1602" spans="3:20" ht="31.2" customHeight="1">
      <c r="C1602" s="200" t="s">
        <v>6952</v>
      </c>
      <c r="F1602" s="758"/>
    </row>
    <row r="1603" spans="3:20" ht="31.2" customHeight="1">
      <c r="F1603" s="758"/>
    </row>
    <row r="1604" spans="3:20" s="517" customFormat="1" ht="31.2" customHeight="1" thickBot="1">
      <c r="C1604" s="513" t="s">
        <v>7039</v>
      </c>
      <c r="D1604" s="748" t="s">
        <v>7040</v>
      </c>
      <c r="E1604" s="749"/>
      <c r="F1604" s="748"/>
      <c r="G1604" s="748"/>
      <c r="H1604" s="532"/>
      <c r="I1604" s="532"/>
      <c r="J1604" s="532"/>
      <c r="K1604" s="532"/>
      <c r="M1604" s="189"/>
      <c r="N1604" s="189"/>
      <c r="O1604" s="189"/>
      <c r="P1604" s="189"/>
      <c r="R1604" s="189">
        <f>ROUNDDOWN(H1626,-2)</f>
        <v>5900</v>
      </c>
      <c r="S1604" s="517" t="s">
        <v>6451</v>
      </c>
      <c r="T1604" s="517" t="s">
        <v>7014</v>
      </c>
    </row>
    <row r="1605" spans="3:20" s="517" customFormat="1" ht="31.2" customHeight="1" thickTop="1">
      <c r="C1605" s="190" t="s">
        <v>1195</v>
      </c>
      <c r="D1605" s="191" t="s">
        <v>1196</v>
      </c>
      <c r="E1605" s="191" t="s">
        <v>1197</v>
      </c>
      <c r="F1605" s="191" t="s">
        <v>1198</v>
      </c>
      <c r="G1605" s="191" t="s">
        <v>1199</v>
      </c>
      <c r="H1605" s="192" t="s">
        <v>1200</v>
      </c>
      <c r="L1605" s="200"/>
      <c r="M1605" s="200"/>
      <c r="N1605" s="200"/>
      <c r="O1605" s="200"/>
      <c r="P1605" s="200"/>
    </row>
    <row r="1606" spans="3:20" s="517" customFormat="1" ht="31.2" customHeight="1">
      <c r="C1606" s="518" t="s">
        <v>1201</v>
      </c>
      <c r="D1606" s="196" t="s">
        <v>1202</v>
      </c>
      <c r="E1606" s="197"/>
      <c r="F1606" s="197"/>
      <c r="G1606" s="197"/>
      <c r="H1606" s="198"/>
      <c r="L1606" s="200"/>
      <c r="M1606" s="200"/>
      <c r="N1606" s="200"/>
      <c r="O1606" s="200"/>
      <c r="P1606" s="200"/>
    </row>
    <row r="1607" spans="3:20" s="517" customFormat="1" ht="31.2" customHeight="1">
      <c r="C1607" s="537">
        <v>1</v>
      </c>
      <c r="D1607" s="196" t="s">
        <v>6954</v>
      </c>
      <c r="E1607" s="202" t="s">
        <v>6</v>
      </c>
      <c r="F1607" s="520">
        <v>0.02</v>
      </c>
      <c r="G1607" s="205">
        <f>VLOOKUP(D1607,upahbahan,3,FALSE)</f>
        <v>181250</v>
      </c>
      <c r="H1607" s="210">
        <f t="shared" ref="H1607:H1609" si="109">F1607*G1607</f>
        <v>3625</v>
      </c>
      <c r="L1607" s="200"/>
      <c r="M1607" s="200"/>
      <c r="N1607" s="200"/>
      <c r="O1607" s="200"/>
      <c r="P1607" s="200"/>
    </row>
    <row r="1608" spans="3:20" s="517" customFormat="1" ht="31.2" customHeight="1">
      <c r="C1608" s="537">
        <v>2</v>
      </c>
      <c r="D1608" s="196" t="s">
        <v>6948</v>
      </c>
      <c r="E1608" s="202" t="s">
        <v>2102</v>
      </c>
      <c r="F1608" s="520">
        <v>6.7000000000000002E-3</v>
      </c>
      <c r="G1608" s="205">
        <f>VLOOKUP(D1608,upahbahan,3,FALSE)</f>
        <v>218750</v>
      </c>
      <c r="H1608" s="210">
        <f t="shared" si="109"/>
        <v>1465.625</v>
      </c>
      <c r="L1608" s="200"/>
      <c r="M1608" s="200"/>
      <c r="N1608" s="200"/>
      <c r="O1608" s="200"/>
      <c r="P1608" s="200"/>
    </row>
    <row r="1609" spans="3:20" s="517" customFormat="1" ht="31.2" customHeight="1">
      <c r="C1609" s="537">
        <v>3</v>
      </c>
      <c r="D1609" s="196" t="s">
        <v>19</v>
      </c>
      <c r="E1609" s="202" t="s">
        <v>6</v>
      </c>
      <c r="F1609" s="520">
        <v>2.2000000000000001E-3</v>
      </c>
      <c r="G1609" s="205">
        <f>VLOOKUP(D1609,upahbahan,3,FALSE)</f>
        <v>160000</v>
      </c>
      <c r="H1609" s="210">
        <f t="shared" si="109"/>
        <v>352</v>
      </c>
      <c r="L1609" s="200"/>
      <c r="M1609" s="200"/>
      <c r="N1609" s="200"/>
      <c r="O1609" s="200"/>
      <c r="P1609" s="200"/>
    </row>
    <row r="1610" spans="3:20" s="517" customFormat="1" ht="31.2" customHeight="1">
      <c r="C1610" s="207" t="s">
        <v>1208</v>
      </c>
      <c r="D1610" s="208"/>
      <c r="E1610" s="208"/>
      <c r="F1610" s="521"/>
      <c r="G1610" s="522"/>
      <c r="H1610" s="210">
        <f>SUM(H1607:H1609)</f>
        <v>5442.625</v>
      </c>
      <c r="L1610" s="523"/>
      <c r="M1610" s="523"/>
      <c r="N1610" s="523"/>
      <c r="O1610" s="523"/>
      <c r="P1610" s="523"/>
    </row>
    <row r="1611" spans="3:20" s="517" customFormat="1" ht="31.2" customHeight="1">
      <c r="C1611" s="543" t="s">
        <v>1209</v>
      </c>
      <c r="D1611" s="750" t="s">
        <v>1210</v>
      </c>
      <c r="E1611" s="197"/>
      <c r="F1611" s="751"/>
      <c r="G1611" s="197"/>
      <c r="H1611" s="752"/>
      <c r="L1611" s="200"/>
      <c r="M1611" s="200"/>
      <c r="N1611" s="200"/>
      <c r="O1611" s="200"/>
      <c r="P1611" s="200"/>
    </row>
    <row r="1612" spans="3:20" s="517" customFormat="1" ht="31.2" customHeight="1">
      <c r="C1612" s="543">
        <v>1</v>
      </c>
      <c r="D1612" s="761" t="s">
        <v>7041</v>
      </c>
      <c r="E1612" s="203" t="s">
        <v>44</v>
      </c>
      <c r="F1612" s="753">
        <v>1.05</v>
      </c>
      <c r="G1612" s="205">
        <f>VLOOKUP(D1612,upahbahan,3,FALSE)</f>
        <v>0</v>
      </c>
      <c r="H1612" s="210">
        <f t="shared" ref="H1612:H1620" si="110">F1612*G1612</f>
        <v>0</v>
      </c>
      <c r="L1612" s="200"/>
      <c r="M1612" s="200"/>
      <c r="N1612" s="200"/>
      <c r="O1612" s="200"/>
      <c r="P1612" s="200"/>
    </row>
    <row r="1613" spans="3:20" s="517" customFormat="1" ht="31.2" customHeight="1">
      <c r="C1613" s="543">
        <v>2</v>
      </c>
      <c r="D1613" s="750" t="s">
        <v>5563</v>
      </c>
      <c r="E1613" s="203" t="s">
        <v>65</v>
      </c>
      <c r="F1613" s="753">
        <v>5.0000000000000001E-3</v>
      </c>
      <c r="G1613" s="205">
        <f>VLOOKUP(D1613,upahbahan,3,FALSE)</f>
        <v>0</v>
      </c>
      <c r="H1613" s="210">
        <f t="shared" si="110"/>
        <v>0</v>
      </c>
      <c r="L1613" s="200"/>
      <c r="M1613" s="200"/>
      <c r="N1613" s="200"/>
      <c r="O1613" s="200"/>
      <c r="P1613" s="200"/>
    </row>
    <row r="1614" spans="3:20" s="517" customFormat="1" ht="31.2" customHeight="1">
      <c r="C1614" s="543">
        <v>3</v>
      </c>
      <c r="D1614" s="750" t="s">
        <v>5555</v>
      </c>
      <c r="E1614" s="203"/>
      <c r="F1614" s="753"/>
      <c r="G1614" s="197"/>
      <c r="H1614" s="210">
        <f t="shared" si="110"/>
        <v>0</v>
      </c>
      <c r="L1614" s="200"/>
      <c r="M1614" s="200"/>
      <c r="N1614" s="200"/>
      <c r="O1614" s="200"/>
      <c r="P1614" s="200"/>
    </row>
    <row r="1615" spans="3:20" s="517" customFormat="1" ht="31.2" customHeight="1">
      <c r="C1615" s="754" t="s">
        <v>5293</v>
      </c>
      <c r="D1615" s="750" t="s">
        <v>6957</v>
      </c>
      <c r="E1615" s="203" t="s">
        <v>1300</v>
      </c>
      <c r="F1615" s="760">
        <v>6</v>
      </c>
      <c r="G1615" s="205">
        <f>VLOOKUP(D1615,upahbahan,3,FALSE)</f>
        <v>0</v>
      </c>
      <c r="H1615" s="210">
        <f t="shared" si="110"/>
        <v>0</v>
      </c>
      <c r="L1615" s="200"/>
      <c r="M1615" s="200"/>
      <c r="N1615" s="200"/>
      <c r="O1615" s="200"/>
      <c r="P1615" s="200"/>
    </row>
    <row r="1616" spans="3:20" s="517" customFormat="1" ht="31.2" customHeight="1">
      <c r="C1616" s="754" t="s">
        <v>5299</v>
      </c>
      <c r="D1616" s="750" t="s">
        <v>5560</v>
      </c>
      <c r="E1616" s="203" t="s">
        <v>113</v>
      </c>
      <c r="F1616" s="760">
        <v>10</v>
      </c>
      <c r="G1616" s="205">
        <f>VLOOKUP(D1616,upahbahan,3,FALSE)</f>
        <v>0</v>
      </c>
      <c r="H1616" s="210">
        <f t="shared" si="110"/>
        <v>0</v>
      </c>
      <c r="L1616" s="200"/>
      <c r="M1616" s="200"/>
      <c r="N1616" s="200"/>
      <c r="O1616" s="200"/>
      <c r="P1616" s="200"/>
    </row>
    <row r="1617" spans="3:20" s="517" customFormat="1" ht="31.2" customHeight="1">
      <c r="C1617" s="543">
        <v>4</v>
      </c>
      <c r="D1617" s="750" t="s">
        <v>5556</v>
      </c>
      <c r="E1617" s="203"/>
      <c r="F1617" s="753"/>
      <c r="G1617" s="197"/>
      <c r="H1617" s="210">
        <f t="shared" si="110"/>
        <v>0</v>
      </c>
      <c r="L1617" s="200"/>
      <c r="M1617" s="200"/>
      <c r="N1617" s="200"/>
      <c r="O1617" s="200"/>
      <c r="P1617" s="200"/>
    </row>
    <row r="1618" spans="3:20" s="517" customFormat="1" ht="31.2" customHeight="1">
      <c r="C1618" s="754" t="s">
        <v>5293</v>
      </c>
      <c r="D1618" s="750" t="s">
        <v>2084</v>
      </c>
      <c r="E1618" s="203" t="s">
        <v>42</v>
      </c>
      <c r="F1618" s="753">
        <v>2.4400000000000002E-2</v>
      </c>
      <c r="G1618" s="205">
        <f>VLOOKUP(D1618,upahbahan,3,FALSE)</f>
        <v>0</v>
      </c>
      <c r="H1618" s="210">
        <f t="shared" si="110"/>
        <v>0</v>
      </c>
      <c r="L1618" s="200"/>
      <c r="M1618" s="200"/>
      <c r="N1618" s="200"/>
      <c r="O1618" s="200"/>
      <c r="P1618" s="200"/>
    </row>
    <row r="1619" spans="3:20" s="517" customFormat="1" ht="31.2" customHeight="1">
      <c r="C1619" s="754" t="s">
        <v>5299</v>
      </c>
      <c r="D1619" s="750" t="s">
        <v>5566</v>
      </c>
      <c r="E1619" s="203" t="s">
        <v>42</v>
      </c>
      <c r="F1619" s="753">
        <v>6.4999999999999997E-3</v>
      </c>
      <c r="G1619" s="205">
        <f>VLOOKUP(D1619,upahbahan,3,FALSE)</f>
        <v>0</v>
      </c>
      <c r="H1619" s="210">
        <f t="shared" si="110"/>
        <v>0</v>
      </c>
      <c r="L1619" s="200"/>
      <c r="M1619" s="200"/>
      <c r="N1619" s="200"/>
      <c r="O1619" s="200"/>
      <c r="P1619" s="200"/>
    </row>
    <row r="1620" spans="3:20" s="517" customFormat="1" ht="31.2" customHeight="1">
      <c r="C1620" s="754" t="s">
        <v>5558</v>
      </c>
      <c r="D1620" s="750" t="s">
        <v>2325</v>
      </c>
      <c r="E1620" s="203" t="s">
        <v>42</v>
      </c>
      <c r="F1620" s="762">
        <v>1.6000000000000001E-3</v>
      </c>
      <c r="G1620" s="205">
        <f>VLOOKUP(D1620,upahbahan,3,FALSE)</f>
        <v>0</v>
      </c>
      <c r="H1620" s="210">
        <f t="shared" si="110"/>
        <v>0</v>
      </c>
      <c r="L1620" s="200"/>
      <c r="M1620" s="200"/>
      <c r="N1620" s="200"/>
      <c r="O1620" s="200"/>
      <c r="P1620" s="200"/>
    </row>
    <row r="1621" spans="3:20" s="517" customFormat="1" ht="31.2" customHeight="1">
      <c r="C1621" s="207" t="s">
        <v>1214</v>
      </c>
      <c r="D1621" s="208"/>
      <c r="E1621" s="568"/>
      <c r="F1621" s="208"/>
      <c r="G1621" s="209"/>
      <c r="H1621" s="210">
        <f>SUM(H1612:H1620)</f>
        <v>0</v>
      </c>
      <c r="L1621" s="200"/>
      <c r="M1621" s="200"/>
      <c r="N1621" s="200"/>
      <c r="O1621" s="200"/>
      <c r="P1621" s="200"/>
    </row>
    <row r="1622" spans="3:20" s="517" customFormat="1" ht="31.2" customHeight="1">
      <c r="C1622" s="756" t="s">
        <v>1215</v>
      </c>
      <c r="D1622" s="196" t="s">
        <v>1216</v>
      </c>
      <c r="E1622" s="203"/>
      <c r="F1622" s="197"/>
      <c r="G1622" s="197"/>
      <c r="H1622" s="198"/>
      <c r="L1622" s="200"/>
      <c r="M1622" s="200"/>
      <c r="N1622" s="200"/>
      <c r="O1622" s="200"/>
      <c r="P1622" s="200"/>
    </row>
    <row r="1623" spans="3:20" s="517" customFormat="1" ht="31.2" customHeight="1">
      <c r="C1623" s="207" t="s">
        <v>1217</v>
      </c>
      <c r="D1623" s="208"/>
      <c r="E1623" s="208"/>
      <c r="F1623" s="208"/>
      <c r="G1623" s="209"/>
      <c r="H1623" s="240">
        <f>SUM(H1622)</f>
        <v>0</v>
      </c>
      <c r="L1623" s="200"/>
      <c r="M1623" s="200"/>
      <c r="N1623" s="200"/>
      <c r="O1623" s="200"/>
      <c r="P1623" s="200"/>
    </row>
    <row r="1624" spans="3:20" s="517" customFormat="1" ht="31.2" customHeight="1">
      <c r="C1624" s="223" t="s">
        <v>1218</v>
      </c>
      <c r="D1624" s="224" t="s">
        <v>1219</v>
      </c>
      <c r="E1624" s="225"/>
      <c r="F1624" s="225"/>
      <c r="G1624" s="226"/>
      <c r="H1624" s="210">
        <f>H1623+H1621+H1610</f>
        <v>5442.625</v>
      </c>
      <c r="L1624" s="200"/>
      <c r="M1624" s="200"/>
      <c r="N1624" s="200"/>
      <c r="O1624" s="200"/>
      <c r="P1624" s="200"/>
    </row>
    <row r="1625" spans="3:20" s="517" customFormat="1" ht="31.2" customHeight="1">
      <c r="C1625" s="223" t="s">
        <v>1220</v>
      </c>
      <c r="D1625" s="224" t="s">
        <v>1321</v>
      </c>
      <c r="E1625" s="225"/>
      <c r="F1625" s="226"/>
      <c r="G1625" s="228">
        <v>0.1</v>
      </c>
      <c r="H1625" s="210">
        <f>H1624*G1625</f>
        <v>544.26250000000005</v>
      </c>
      <c r="L1625" s="200"/>
      <c r="M1625" s="200"/>
      <c r="N1625" s="200"/>
      <c r="O1625" s="200"/>
      <c r="P1625" s="200"/>
    </row>
    <row r="1626" spans="3:20" s="517" customFormat="1" ht="31.2" customHeight="1" thickBot="1">
      <c r="C1626" s="229" t="s">
        <v>1221</v>
      </c>
      <c r="D1626" s="230" t="s">
        <v>1222</v>
      </c>
      <c r="E1626" s="231"/>
      <c r="F1626" s="231"/>
      <c r="G1626" s="232"/>
      <c r="H1626" s="233">
        <f>SUM(H1624:H1625)</f>
        <v>5986.8874999999998</v>
      </c>
      <c r="L1626" s="200"/>
      <c r="M1626" s="200"/>
      <c r="N1626" s="200"/>
      <c r="O1626" s="200"/>
      <c r="P1626" s="200"/>
    </row>
    <row r="1627" spans="3:20" ht="31.2" customHeight="1" thickTop="1">
      <c r="D1627" s="758" t="s">
        <v>6949</v>
      </c>
    </row>
    <row r="1628" spans="3:20" ht="31.2" customHeight="1">
      <c r="C1628" s="757" t="s">
        <v>6950</v>
      </c>
      <c r="F1628" s="758"/>
      <c r="H1628" s="758" t="s">
        <v>6959</v>
      </c>
    </row>
    <row r="1629" spans="3:20" ht="31.2" customHeight="1">
      <c r="C1629" s="200" t="s">
        <v>6951</v>
      </c>
      <c r="F1629" s="758"/>
    </row>
    <row r="1630" spans="3:20" ht="31.2" customHeight="1">
      <c r="C1630" s="200" t="s">
        <v>6952</v>
      </c>
      <c r="F1630" s="758"/>
    </row>
    <row r="1631" spans="3:20" ht="31.2" customHeight="1">
      <c r="F1631" s="758"/>
    </row>
    <row r="1632" spans="3:20" s="517" customFormat="1" ht="31.2" customHeight="1" thickBot="1">
      <c r="C1632" s="513" t="s">
        <v>7042</v>
      </c>
      <c r="D1632" s="748" t="s">
        <v>7043</v>
      </c>
      <c r="E1632" s="749"/>
      <c r="F1632" s="748"/>
      <c r="G1632" s="748"/>
      <c r="H1632" s="532"/>
      <c r="I1632" s="532"/>
      <c r="J1632" s="532"/>
      <c r="K1632" s="532"/>
      <c r="M1632" s="189"/>
      <c r="N1632" s="189"/>
      <c r="O1632" s="189"/>
      <c r="P1632" s="189"/>
      <c r="R1632" s="189">
        <f>ROUNDDOWN(H1654,-2)</f>
        <v>5900</v>
      </c>
      <c r="S1632" s="517" t="s">
        <v>6451</v>
      </c>
      <c r="T1632" s="517" t="s">
        <v>7014</v>
      </c>
    </row>
    <row r="1633" spans="3:16" s="517" customFormat="1" ht="31.2" customHeight="1" thickTop="1">
      <c r="C1633" s="190" t="s">
        <v>1195</v>
      </c>
      <c r="D1633" s="191" t="s">
        <v>1196</v>
      </c>
      <c r="E1633" s="191" t="s">
        <v>1197</v>
      </c>
      <c r="F1633" s="191" t="s">
        <v>1198</v>
      </c>
      <c r="G1633" s="191" t="s">
        <v>1199</v>
      </c>
      <c r="H1633" s="192" t="s">
        <v>1200</v>
      </c>
      <c r="L1633" s="200"/>
      <c r="M1633" s="200"/>
      <c r="N1633" s="200"/>
      <c r="O1633" s="200"/>
      <c r="P1633" s="200"/>
    </row>
    <row r="1634" spans="3:16" s="517" customFormat="1" ht="31.2" customHeight="1">
      <c r="C1634" s="518" t="s">
        <v>1201</v>
      </c>
      <c r="D1634" s="196" t="s">
        <v>1202</v>
      </c>
      <c r="E1634" s="197"/>
      <c r="F1634" s="197"/>
      <c r="G1634" s="197"/>
      <c r="H1634" s="198"/>
      <c r="L1634" s="200"/>
      <c r="M1634" s="200"/>
      <c r="N1634" s="200"/>
      <c r="O1634" s="200"/>
      <c r="P1634" s="200"/>
    </row>
    <row r="1635" spans="3:16" s="517" customFormat="1" ht="31.2" customHeight="1">
      <c r="C1635" s="537">
        <v>1</v>
      </c>
      <c r="D1635" s="196" t="s">
        <v>6954</v>
      </c>
      <c r="E1635" s="202" t="s">
        <v>6</v>
      </c>
      <c r="F1635" s="520">
        <v>0.02</v>
      </c>
      <c r="G1635" s="205">
        <f>VLOOKUP(D1635,upahbahan,3,FALSE)</f>
        <v>181250</v>
      </c>
      <c r="H1635" s="210">
        <f t="shared" ref="H1635:H1637" si="111">F1635*G1635</f>
        <v>3625</v>
      </c>
      <c r="L1635" s="200"/>
      <c r="M1635" s="200"/>
      <c r="N1635" s="200"/>
      <c r="O1635" s="200"/>
      <c r="P1635" s="200"/>
    </row>
    <row r="1636" spans="3:16" s="517" customFormat="1" ht="31.2" customHeight="1">
      <c r="C1636" s="537">
        <v>2</v>
      </c>
      <c r="D1636" s="196" t="s">
        <v>6948</v>
      </c>
      <c r="E1636" s="202" t="s">
        <v>2102</v>
      </c>
      <c r="F1636" s="520">
        <v>6.7000000000000002E-3</v>
      </c>
      <c r="G1636" s="205">
        <f>VLOOKUP(D1636,upahbahan,3,FALSE)</f>
        <v>218750</v>
      </c>
      <c r="H1636" s="210">
        <f t="shared" si="111"/>
        <v>1465.625</v>
      </c>
      <c r="L1636" s="200"/>
      <c r="M1636" s="200"/>
      <c r="N1636" s="200"/>
      <c r="O1636" s="200"/>
      <c r="P1636" s="200"/>
    </row>
    <row r="1637" spans="3:16" s="517" customFormat="1" ht="31.2" customHeight="1">
      <c r="C1637" s="537">
        <v>3</v>
      </c>
      <c r="D1637" s="196" t="s">
        <v>19</v>
      </c>
      <c r="E1637" s="202" t="s">
        <v>6</v>
      </c>
      <c r="F1637" s="520">
        <v>2.2000000000000001E-3</v>
      </c>
      <c r="G1637" s="205">
        <f>VLOOKUP(D1637,upahbahan,3,FALSE)</f>
        <v>160000</v>
      </c>
      <c r="H1637" s="210">
        <f t="shared" si="111"/>
        <v>352</v>
      </c>
      <c r="L1637" s="200"/>
      <c r="M1637" s="200"/>
      <c r="N1637" s="200"/>
      <c r="O1637" s="200"/>
      <c r="P1637" s="200"/>
    </row>
    <row r="1638" spans="3:16" s="517" customFormat="1" ht="31.2" customHeight="1">
      <c r="C1638" s="207" t="s">
        <v>1208</v>
      </c>
      <c r="D1638" s="208"/>
      <c r="E1638" s="208"/>
      <c r="F1638" s="521"/>
      <c r="G1638" s="522"/>
      <c r="H1638" s="210">
        <f>SUM(H1635:H1637)</f>
        <v>5442.625</v>
      </c>
      <c r="L1638" s="523"/>
      <c r="M1638" s="523"/>
      <c r="N1638" s="523"/>
      <c r="O1638" s="523"/>
      <c r="P1638" s="523"/>
    </row>
    <row r="1639" spans="3:16" s="517" customFormat="1" ht="31.2" customHeight="1">
      <c r="C1639" s="543" t="s">
        <v>1209</v>
      </c>
      <c r="D1639" s="750" t="s">
        <v>1210</v>
      </c>
      <c r="E1639" s="197"/>
      <c r="F1639" s="751"/>
      <c r="G1639" s="197"/>
      <c r="H1639" s="752"/>
      <c r="L1639" s="200"/>
      <c r="M1639" s="200"/>
      <c r="N1639" s="200"/>
      <c r="O1639" s="200"/>
      <c r="P1639" s="200"/>
    </row>
    <row r="1640" spans="3:16" s="517" customFormat="1" ht="31.2" customHeight="1">
      <c r="C1640" s="543">
        <v>1</v>
      </c>
      <c r="D1640" s="761" t="s">
        <v>7044</v>
      </c>
      <c r="E1640" s="203" t="s">
        <v>44</v>
      </c>
      <c r="F1640" s="753">
        <v>1.05</v>
      </c>
      <c r="G1640" s="205">
        <f>VLOOKUP(D1640,upahbahan,3,FALSE)</f>
        <v>0</v>
      </c>
      <c r="H1640" s="210">
        <f t="shared" ref="H1640:H1648" si="112">F1640*G1640</f>
        <v>0</v>
      </c>
      <c r="L1640" s="200"/>
      <c r="M1640" s="200"/>
      <c r="N1640" s="200"/>
      <c r="O1640" s="200"/>
      <c r="P1640" s="200"/>
    </row>
    <row r="1641" spans="3:16" s="517" customFormat="1" ht="31.2" customHeight="1">
      <c r="C1641" s="543">
        <v>2</v>
      </c>
      <c r="D1641" s="750" t="s">
        <v>5563</v>
      </c>
      <c r="E1641" s="203" t="s">
        <v>65</v>
      </c>
      <c r="F1641" s="753">
        <v>5.0000000000000001E-3</v>
      </c>
      <c r="G1641" s="205">
        <f>VLOOKUP(D1641,upahbahan,3,FALSE)</f>
        <v>0</v>
      </c>
      <c r="H1641" s="210">
        <f t="shared" si="112"/>
        <v>0</v>
      </c>
      <c r="L1641" s="200"/>
      <c r="M1641" s="200"/>
      <c r="N1641" s="200"/>
      <c r="O1641" s="200"/>
      <c r="P1641" s="200"/>
    </row>
    <row r="1642" spans="3:16" s="517" customFormat="1" ht="31.2" customHeight="1">
      <c r="C1642" s="543">
        <v>3</v>
      </c>
      <c r="D1642" s="750" t="s">
        <v>5555</v>
      </c>
      <c r="E1642" s="203"/>
      <c r="F1642" s="753"/>
      <c r="G1642" s="197"/>
      <c r="H1642" s="210">
        <f t="shared" si="112"/>
        <v>0</v>
      </c>
      <c r="L1642" s="200"/>
      <c r="M1642" s="200"/>
      <c r="N1642" s="200"/>
      <c r="O1642" s="200"/>
      <c r="P1642" s="200"/>
    </row>
    <row r="1643" spans="3:16" s="517" customFormat="1" ht="31.2" customHeight="1">
      <c r="C1643" s="754" t="s">
        <v>5293</v>
      </c>
      <c r="D1643" s="750" t="s">
        <v>6957</v>
      </c>
      <c r="E1643" s="203" t="s">
        <v>1300</v>
      </c>
      <c r="F1643" s="760">
        <v>6</v>
      </c>
      <c r="G1643" s="205">
        <f>VLOOKUP(D1643,upahbahan,3,FALSE)</f>
        <v>0</v>
      </c>
      <c r="H1643" s="210">
        <f t="shared" si="112"/>
        <v>0</v>
      </c>
      <c r="L1643" s="200"/>
      <c r="M1643" s="200"/>
      <c r="N1643" s="200"/>
      <c r="O1643" s="200"/>
      <c r="P1643" s="200"/>
    </row>
    <row r="1644" spans="3:16" s="517" customFormat="1" ht="31.2" customHeight="1">
      <c r="C1644" s="754" t="s">
        <v>5299</v>
      </c>
      <c r="D1644" s="750" t="s">
        <v>5560</v>
      </c>
      <c r="E1644" s="203" t="s">
        <v>113</v>
      </c>
      <c r="F1644" s="760">
        <v>10</v>
      </c>
      <c r="G1644" s="205">
        <f>VLOOKUP(D1644,upahbahan,3,FALSE)</f>
        <v>0</v>
      </c>
      <c r="H1644" s="210">
        <f t="shared" si="112"/>
        <v>0</v>
      </c>
      <c r="L1644" s="200"/>
      <c r="M1644" s="200"/>
      <c r="N1644" s="200"/>
      <c r="O1644" s="200"/>
      <c r="P1644" s="200"/>
    </row>
    <row r="1645" spans="3:16" s="517" customFormat="1" ht="31.2" customHeight="1">
      <c r="C1645" s="543">
        <v>4</v>
      </c>
      <c r="D1645" s="750" t="s">
        <v>5556</v>
      </c>
      <c r="E1645" s="203"/>
      <c r="F1645" s="753"/>
      <c r="G1645" s="197"/>
      <c r="H1645" s="210">
        <f t="shared" si="112"/>
        <v>0</v>
      </c>
      <c r="L1645" s="200"/>
      <c r="M1645" s="200"/>
      <c r="N1645" s="200"/>
      <c r="O1645" s="200"/>
      <c r="P1645" s="200"/>
    </row>
    <row r="1646" spans="3:16" s="517" customFormat="1" ht="31.2" customHeight="1">
      <c r="C1646" s="754" t="s">
        <v>5293</v>
      </c>
      <c r="D1646" s="750" t="s">
        <v>2084</v>
      </c>
      <c r="E1646" s="203" t="s">
        <v>42</v>
      </c>
      <c r="F1646" s="753">
        <v>2.4400000000000002E-2</v>
      </c>
      <c r="G1646" s="205">
        <f>VLOOKUP(D1646,upahbahan,3,FALSE)</f>
        <v>0</v>
      </c>
      <c r="H1646" s="210">
        <f t="shared" si="112"/>
        <v>0</v>
      </c>
      <c r="L1646" s="200"/>
      <c r="M1646" s="200"/>
      <c r="N1646" s="200"/>
      <c r="O1646" s="200"/>
      <c r="P1646" s="200"/>
    </row>
    <row r="1647" spans="3:16" s="517" customFormat="1" ht="31.2" customHeight="1">
      <c r="C1647" s="754" t="s">
        <v>5299</v>
      </c>
      <c r="D1647" s="750" t="s">
        <v>5566</v>
      </c>
      <c r="E1647" s="203" t="s">
        <v>42</v>
      </c>
      <c r="F1647" s="753">
        <v>6.4999999999999997E-3</v>
      </c>
      <c r="G1647" s="205">
        <f>VLOOKUP(D1647,upahbahan,3,FALSE)</f>
        <v>0</v>
      </c>
      <c r="H1647" s="210">
        <f t="shared" si="112"/>
        <v>0</v>
      </c>
      <c r="L1647" s="200"/>
      <c r="M1647" s="200"/>
      <c r="N1647" s="200"/>
      <c r="O1647" s="200"/>
      <c r="P1647" s="200"/>
    </row>
    <row r="1648" spans="3:16" s="517" customFormat="1" ht="31.2" customHeight="1">
      <c r="C1648" s="754" t="s">
        <v>5558</v>
      </c>
      <c r="D1648" s="750" t="s">
        <v>2325</v>
      </c>
      <c r="E1648" s="203" t="s">
        <v>42</v>
      </c>
      <c r="F1648" s="762">
        <v>1.6000000000000001E-3</v>
      </c>
      <c r="G1648" s="205">
        <f>VLOOKUP(D1648,upahbahan,3,FALSE)</f>
        <v>0</v>
      </c>
      <c r="H1648" s="210">
        <f t="shared" si="112"/>
        <v>0</v>
      </c>
      <c r="L1648" s="200"/>
      <c r="M1648" s="200"/>
      <c r="N1648" s="200"/>
      <c r="O1648" s="200"/>
      <c r="P1648" s="200"/>
    </row>
    <row r="1649" spans="3:20" s="517" customFormat="1" ht="31.2" customHeight="1">
      <c r="C1649" s="207" t="s">
        <v>1214</v>
      </c>
      <c r="D1649" s="208"/>
      <c r="E1649" s="568"/>
      <c r="F1649" s="208"/>
      <c r="G1649" s="209"/>
      <c r="H1649" s="210">
        <f>SUM(H1640:H1648)</f>
        <v>0</v>
      </c>
      <c r="L1649" s="200"/>
      <c r="M1649" s="200"/>
      <c r="N1649" s="200"/>
      <c r="O1649" s="200"/>
      <c r="P1649" s="200"/>
    </row>
    <row r="1650" spans="3:20" s="517" customFormat="1" ht="31.2" customHeight="1">
      <c r="C1650" s="756" t="s">
        <v>1215</v>
      </c>
      <c r="D1650" s="196" t="s">
        <v>1216</v>
      </c>
      <c r="E1650" s="203"/>
      <c r="F1650" s="197"/>
      <c r="G1650" s="197"/>
      <c r="H1650" s="198"/>
      <c r="L1650" s="200"/>
      <c r="M1650" s="200"/>
      <c r="N1650" s="200"/>
      <c r="O1650" s="200"/>
      <c r="P1650" s="200"/>
    </row>
    <row r="1651" spans="3:20" s="517" customFormat="1" ht="31.2" customHeight="1">
      <c r="C1651" s="207" t="s">
        <v>1217</v>
      </c>
      <c r="D1651" s="208"/>
      <c r="E1651" s="208"/>
      <c r="F1651" s="208"/>
      <c r="G1651" s="209"/>
      <c r="H1651" s="240">
        <f>SUM(H1650)</f>
        <v>0</v>
      </c>
      <c r="L1651" s="200"/>
      <c r="M1651" s="200"/>
      <c r="N1651" s="200"/>
      <c r="O1651" s="200"/>
      <c r="P1651" s="200"/>
    </row>
    <row r="1652" spans="3:20" s="517" customFormat="1" ht="31.2" customHeight="1">
      <c r="C1652" s="223" t="s">
        <v>1218</v>
      </c>
      <c r="D1652" s="224" t="s">
        <v>1219</v>
      </c>
      <c r="E1652" s="225"/>
      <c r="F1652" s="225"/>
      <c r="G1652" s="226"/>
      <c r="H1652" s="210">
        <f>H1651+H1649+H1638</f>
        <v>5442.625</v>
      </c>
      <c r="L1652" s="200"/>
      <c r="M1652" s="200"/>
      <c r="N1652" s="200"/>
      <c r="O1652" s="200"/>
      <c r="P1652" s="200"/>
    </row>
    <row r="1653" spans="3:20" s="517" customFormat="1" ht="31.2" customHeight="1">
      <c r="C1653" s="223" t="s">
        <v>1220</v>
      </c>
      <c r="D1653" s="224" t="s">
        <v>1321</v>
      </c>
      <c r="E1653" s="225"/>
      <c r="F1653" s="226"/>
      <c r="G1653" s="228">
        <v>0.1</v>
      </c>
      <c r="H1653" s="210">
        <f>H1652*G1653</f>
        <v>544.26250000000005</v>
      </c>
      <c r="L1653" s="200"/>
      <c r="M1653" s="200"/>
      <c r="N1653" s="200"/>
      <c r="O1653" s="200"/>
      <c r="P1653" s="200"/>
    </row>
    <row r="1654" spans="3:20" s="517" customFormat="1" ht="31.2" customHeight="1" thickBot="1">
      <c r="C1654" s="229" t="s">
        <v>1221</v>
      </c>
      <c r="D1654" s="230" t="s">
        <v>1222</v>
      </c>
      <c r="E1654" s="231"/>
      <c r="F1654" s="231"/>
      <c r="G1654" s="232"/>
      <c r="H1654" s="233">
        <f>SUM(H1652:H1653)</f>
        <v>5986.8874999999998</v>
      </c>
      <c r="L1654" s="200"/>
      <c r="M1654" s="200"/>
      <c r="N1654" s="200"/>
      <c r="O1654" s="200"/>
      <c r="P1654" s="200"/>
    </row>
    <row r="1655" spans="3:20" ht="31.2" customHeight="1" thickTop="1">
      <c r="D1655" s="758" t="s">
        <v>6949</v>
      </c>
    </row>
    <row r="1656" spans="3:20" ht="31.2" customHeight="1">
      <c r="C1656" s="757" t="s">
        <v>6950</v>
      </c>
      <c r="F1656" s="758"/>
      <c r="H1656" s="758" t="s">
        <v>6959</v>
      </c>
    </row>
    <row r="1657" spans="3:20" ht="31.2" customHeight="1">
      <c r="C1657" s="200" t="s">
        <v>6951</v>
      </c>
      <c r="F1657" s="758"/>
    </row>
    <row r="1658" spans="3:20" ht="31.2" customHeight="1">
      <c r="C1658" s="200" t="s">
        <v>6952</v>
      </c>
      <c r="F1658" s="758"/>
    </row>
    <row r="1659" spans="3:20" ht="31.2" customHeight="1">
      <c r="F1659" s="758"/>
    </row>
    <row r="1660" spans="3:20" s="517" customFormat="1" ht="31.2" customHeight="1" thickBot="1">
      <c r="C1660" s="513" t="s">
        <v>7045</v>
      </c>
      <c r="D1660" s="748" t="s">
        <v>7046</v>
      </c>
      <c r="E1660" s="749"/>
      <c r="F1660" s="748"/>
      <c r="G1660" s="748"/>
      <c r="H1660" s="532"/>
      <c r="I1660" s="532"/>
      <c r="J1660" s="532"/>
      <c r="K1660" s="532"/>
      <c r="M1660" s="189"/>
      <c r="N1660" s="189"/>
      <c r="O1660" s="189"/>
      <c r="P1660" s="189"/>
      <c r="R1660" s="189">
        <f>ROUNDDOWN(H1682,-2)</f>
        <v>5900</v>
      </c>
      <c r="S1660" s="517" t="s">
        <v>6451</v>
      </c>
      <c r="T1660" s="517" t="s">
        <v>7014</v>
      </c>
    </row>
    <row r="1661" spans="3:20" s="517" customFormat="1" ht="31.2" customHeight="1" thickTop="1">
      <c r="C1661" s="190" t="s">
        <v>1195</v>
      </c>
      <c r="D1661" s="191" t="s">
        <v>1196</v>
      </c>
      <c r="E1661" s="191" t="s">
        <v>1197</v>
      </c>
      <c r="F1661" s="191" t="s">
        <v>1198</v>
      </c>
      <c r="G1661" s="191" t="s">
        <v>1199</v>
      </c>
      <c r="H1661" s="192" t="s">
        <v>1200</v>
      </c>
      <c r="L1661" s="200"/>
      <c r="M1661" s="200"/>
      <c r="N1661" s="200"/>
      <c r="O1661" s="200"/>
      <c r="P1661" s="200"/>
    </row>
    <row r="1662" spans="3:20" s="517" customFormat="1" ht="31.2" customHeight="1">
      <c r="C1662" s="518" t="s">
        <v>1201</v>
      </c>
      <c r="D1662" s="196" t="s">
        <v>1202</v>
      </c>
      <c r="E1662" s="197"/>
      <c r="F1662" s="197"/>
      <c r="G1662" s="197"/>
      <c r="H1662" s="198"/>
      <c r="L1662" s="200"/>
      <c r="M1662" s="200"/>
      <c r="N1662" s="200"/>
      <c r="O1662" s="200"/>
      <c r="P1662" s="200"/>
    </row>
    <row r="1663" spans="3:20" s="517" customFormat="1" ht="31.2" customHeight="1">
      <c r="C1663" s="537">
        <v>1</v>
      </c>
      <c r="D1663" s="196" t="s">
        <v>6954</v>
      </c>
      <c r="E1663" s="202" t="s">
        <v>6</v>
      </c>
      <c r="F1663" s="520">
        <v>0.02</v>
      </c>
      <c r="G1663" s="205">
        <f>VLOOKUP(D1663,upahbahan,3,FALSE)</f>
        <v>181250</v>
      </c>
      <c r="H1663" s="210">
        <f t="shared" ref="H1663:H1665" si="113">F1663*G1663</f>
        <v>3625</v>
      </c>
      <c r="L1663" s="200"/>
      <c r="M1663" s="200"/>
      <c r="N1663" s="200"/>
      <c r="O1663" s="200"/>
      <c r="P1663" s="200"/>
    </row>
    <row r="1664" spans="3:20" s="517" customFormat="1" ht="31.2" customHeight="1">
      <c r="C1664" s="537">
        <v>2</v>
      </c>
      <c r="D1664" s="196" t="s">
        <v>6948</v>
      </c>
      <c r="E1664" s="202" t="s">
        <v>2102</v>
      </c>
      <c r="F1664" s="520">
        <v>6.7000000000000002E-3</v>
      </c>
      <c r="G1664" s="205">
        <f>VLOOKUP(D1664,upahbahan,3,FALSE)</f>
        <v>218750</v>
      </c>
      <c r="H1664" s="210">
        <f t="shared" si="113"/>
        <v>1465.625</v>
      </c>
      <c r="L1664" s="200"/>
      <c r="M1664" s="200"/>
      <c r="N1664" s="200"/>
      <c r="O1664" s="200"/>
      <c r="P1664" s="200"/>
    </row>
    <row r="1665" spans="3:16" s="517" customFormat="1" ht="31.2" customHeight="1">
      <c r="C1665" s="537">
        <v>3</v>
      </c>
      <c r="D1665" s="196" t="s">
        <v>19</v>
      </c>
      <c r="E1665" s="202" t="s">
        <v>6</v>
      </c>
      <c r="F1665" s="520">
        <v>2.2000000000000001E-3</v>
      </c>
      <c r="G1665" s="205">
        <f>VLOOKUP(D1665,upahbahan,3,FALSE)</f>
        <v>160000</v>
      </c>
      <c r="H1665" s="210">
        <f t="shared" si="113"/>
        <v>352</v>
      </c>
      <c r="L1665" s="200"/>
      <c r="M1665" s="200"/>
      <c r="N1665" s="200"/>
      <c r="O1665" s="200"/>
      <c r="P1665" s="200"/>
    </row>
    <row r="1666" spans="3:16" s="517" customFormat="1" ht="31.2" customHeight="1">
      <c r="C1666" s="207" t="s">
        <v>1208</v>
      </c>
      <c r="D1666" s="208"/>
      <c r="E1666" s="208"/>
      <c r="F1666" s="521"/>
      <c r="G1666" s="522"/>
      <c r="H1666" s="210">
        <f>SUM(H1663:H1665)</f>
        <v>5442.625</v>
      </c>
      <c r="L1666" s="523"/>
      <c r="M1666" s="523"/>
      <c r="N1666" s="523"/>
      <c r="O1666" s="523"/>
      <c r="P1666" s="523"/>
    </row>
    <row r="1667" spans="3:16" s="517" customFormat="1" ht="31.2" customHeight="1">
      <c r="C1667" s="543" t="s">
        <v>1209</v>
      </c>
      <c r="D1667" s="750" t="s">
        <v>1210</v>
      </c>
      <c r="E1667" s="197"/>
      <c r="F1667" s="751"/>
      <c r="G1667" s="197"/>
      <c r="H1667" s="752"/>
      <c r="L1667" s="200"/>
      <c r="M1667" s="200"/>
      <c r="N1667" s="200"/>
      <c r="O1667" s="200"/>
      <c r="P1667" s="200"/>
    </row>
    <row r="1668" spans="3:16" s="517" customFormat="1" ht="31.2" customHeight="1">
      <c r="C1668" s="543">
        <v>1</v>
      </c>
      <c r="D1668" s="761" t="s">
        <v>7047</v>
      </c>
      <c r="E1668" s="203" t="s">
        <v>44</v>
      </c>
      <c r="F1668" s="753">
        <v>1.05</v>
      </c>
      <c r="G1668" s="205">
        <f>VLOOKUP(D1668,upahbahan,3,FALSE)</f>
        <v>0</v>
      </c>
      <c r="H1668" s="210">
        <f t="shared" ref="H1668:H1676" si="114">F1668*G1668</f>
        <v>0</v>
      </c>
      <c r="L1668" s="200"/>
      <c r="M1668" s="200"/>
      <c r="N1668" s="200"/>
      <c r="O1668" s="200"/>
      <c r="P1668" s="200"/>
    </row>
    <row r="1669" spans="3:16" s="517" customFormat="1" ht="31.2" customHeight="1">
      <c r="C1669" s="543">
        <v>2</v>
      </c>
      <c r="D1669" s="750" t="s">
        <v>5563</v>
      </c>
      <c r="E1669" s="203" t="s">
        <v>65</v>
      </c>
      <c r="F1669" s="753">
        <v>5.0000000000000001E-3</v>
      </c>
      <c r="G1669" s="205">
        <f>VLOOKUP(D1669,upahbahan,3,FALSE)</f>
        <v>0</v>
      </c>
      <c r="H1669" s="210">
        <f t="shared" si="114"/>
        <v>0</v>
      </c>
      <c r="L1669" s="200"/>
      <c r="M1669" s="200"/>
      <c r="N1669" s="200"/>
      <c r="O1669" s="200"/>
      <c r="P1669" s="200"/>
    </row>
    <row r="1670" spans="3:16" s="517" customFormat="1" ht="31.2" customHeight="1">
      <c r="C1670" s="543">
        <v>3</v>
      </c>
      <c r="D1670" s="750" t="s">
        <v>5555</v>
      </c>
      <c r="E1670" s="203"/>
      <c r="F1670" s="753"/>
      <c r="G1670" s="197"/>
      <c r="H1670" s="210">
        <f t="shared" si="114"/>
        <v>0</v>
      </c>
      <c r="L1670" s="200"/>
      <c r="M1670" s="200"/>
      <c r="N1670" s="200"/>
      <c r="O1670" s="200"/>
      <c r="P1670" s="200"/>
    </row>
    <row r="1671" spans="3:16" s="517" customFormat="1" ht="31.2" customHeight="1">
      <c r="C1671" s="754" t="s">
        <v>5293</v>
      </c>
      <c r="D1671" s="750" t="s">
        <v>6957</v>
      </c>
      <c r="E1671" s="203" t="s">
        <v>1300</v>
      </c>
      <c r="F1671" s="760">
        <v>6</v>
      </c>
      <c r="G1671" s="205">
        <f>VLOOKUP(D1671,upahbahan,3,FALSE)</f>
        <v>0</v>
      </c>
      <c r="H1671" s="210">
        <f t="shared" si="114"/>
        <v>0</v>
      </c>
      <c r="L1671" s="200"/>
      <c r="M1671" s="200"/>
      <c r="N1671" s="200"/>
      <c r="O1671" s="200"/>
      <c r="P1671" s="200"/>
    </row>
    <row r="1672" spans="3:16" s="517" customFormat="1" ht="31.2" customHeight="1">
      <c r="C1672" s="754" t="s">
        <v>5299</v>
      </c>
      <c r="D1672" s="750" t="s">
        <v>5560</v>
      </c>
      <c r="E1672" s="203" t="s">
        <v>113</v>
      </c>
      <c r="F1672" s="760">
        <v>10</v>
      </c>
      <c r="G1672" s="205">
        <f>VLOOKUP(D1672,upahbahan,3,FALSE)</f>
        <v>0</v>
      </c>
      <c r="H1672" s="210">
        <f t="shared" si="114"/>
        <v>0</v>
      </c>
      <c r="L1672" s="200"/>
      <c r="M1672" s="200"/>
      <c r="N1672" s="200"/>
      <c r="O1672" s="200"/>
      <c r="P1672" s="200"/>
    </row>
    <row r="1673" spans="3:16" s="517" customFormat="1" ht="31.2" customHeight="1">
      <c r="C1673" s="543">
        <v>4</v>
      </c>
      <c r="D1673" s="750" t="s">
        <v>5556</v>
      </c>
      <c r="E1673" s="203"/>
      <c r="F1673" s="753"/>
      <c r="G1673" s="197"/>
      <c r="H1673" s="210">
        <f t="shared" si="114"/>
        <v>0</v>
      </c>
      <c r="L1673" s="200"/>
      <c r="M1673" s="200"/>
      <c r="N1673" s="200"/>
      <c r="O1673" s="200"/>
      <c r="P1673" s="200"/>
    </row>
    <row r="1674" spans="3:16" s="517" customFormat="1" ht="31.2" customHeight="1">
      <c r="C1674" s="754" t="s">
        <v>5293</v>
      </c>
      <c r="D1674" s="750" t="s">
        <v>2084</v>
      </c>
      <c r="E1674" s="203" t="s">
        <v>42</v>
      </c>
      <c r="F1674" s="753">
        <v>2.4400000000000002E-2</v>
      </c>
      <c r="G1674" s="205">
        <f>VLOOKUP(D1674,upahbahan,3,FALSE)</f>
        <v>0</v>
      </c>
      <c r="H1674" s="210">
        <f t="shared" si="114"/>
        <v>0</v>
      </c>
      <c r="L1674" s="200"/>
      <c r="M1674" s="200"/>
      <c r="N1674" s="200"/>
      <c r="O1674" s="200"/>
      <c r="P1674" s="200"/>
    </row>
    <row r="1675" spans="3:16" s="517" customFormat="1" ht="31.2" customHeight="1">
      <c r="C1675" s="754" t="s">
        <v>5299</v>
      </c>
      <c r="D1675" s="750" t="s">
        <v>5566</v>
      </c>
      <c r="E1675" s="203" t="s">
        <v>42</v>
      </c>
      <c r="F1675" s="753">
        <v>6.4999999999999997E-3</v>
      </c>
      <c r="G1675" s="205">
        <f>VLOOKUP(D1675,upahbahan,3,FALSE)</f>
        <v>0</v>
      </c>
      <c r="H1675" s="210">
        <f t="shared" si="114"/>
        <v>0</v>
      </c>
      <c r="L1675" s="200"/>
      <c r="M1675" s="200"/>
      <c r="N1675" s="200"/>
      <c r="O1675" s="200"/>
      <c r="P1675" s="200"/>
    </row>
    <row r="1676" spans="3:16" s="517" customFormat="1" ht="31.2" customHeight="1">
      <c r="C1676" s="754" t="s">
        <v>5558</v>
      </c>
      <c r="D1676" s="750" t="s">
        <v>2325</v>
      </c>
      <c r="E1676" s="203" t="s">
        <v>42</v>
      </c>
      <c r="F1676" s="762">
        <v>1.6000000000000001E-3</v>
      </c>
      <c r="G1676" s="205">
        <f>VLOOKUP(D1676,upahbahan,3,FALSE)</f>
        <v>0</v>
      </c>
      <c r="H1676" s="210">
        <f t="shared" si="114"/>
        <v>0</v>
      </c>
      <c r="L1676" s="200"/>
      <c r="M1676" s="200"/>
      <c r="N1676" s="200"/>
      <c r="O1676" s="200"/>
      <c r="P1676" s="200"/>
    </row>
    <row r="1677" spans="3:16" s="517" customFormat="1" ht="31.2" customHeight="1">
      <c r="C1677" s="207" t="s">
        <v>1214</v>
      </c>
      <c r="D1677" s="208"/>
      <c r="E1677" s="568"/>
      <c r="F1677" s="208"/>
      <c r="G1677" s="209"/>
      <c r="H1677" s="210">
        <f>SUM(H1668:H1676)</f>
        <v>0</v>
      </c>
      <c r="L1677" s="200"/>
      <c r="M1677" s="200"/>
      <c r="N1677" s="200"/>
      <c r="O1677" s="200"/>
      <c r="P1677" s="200"/>
    </row>
    <row r="1678" spans="3:16" s="517" customFormat="1" ht="31.2" customHeight="1">
      <c r="C1678" s="756" t="s">
        <v>1215</v>
      </c>
      <c r="D1678" s="196" t="s">
        <v>1216</v>
      </c>
      <c r="E1678" s="203"/>
      <c r="F1678" s="197"/>
      <c r="G1678" s="197"/>
      <c r="H1678" s="198"/>
      <c r="L1678" s="200"/>
      <c r="M1678" s="200"/>
      <c r="N1678" s="200"/>
      <c r="O1678" s="200"/>
      <c r="P1678" s="200"/>
    </row>
    <row r="1679" spans="3:16" s="517" customFormat="1" ht="31.2" customHeight="1">
      <c r="C1679" s="207" t="s">
        <v>1217</v>
      </c>
      <c r="D1679" s="208"/>
      <c r="E1679" s="208"/>
      <c r="F1679" s="208"/>
      <c r="G1679" s="209"/>
      <c r="H1679" s="240">
        <f>SUM(H1678)</f>
        <v>0</v>
      </c>
      <c r="L1679" s="200"/>
      <c r="M1679" s="200"/>
      <c r="N1679" s="200"/>
      <c r="O1679" s="200"/>
      <c r="P1679" s="200"/>
    </row>
    <row r="1680" spans="3:16" s="517" customFormat="1" ht="31.2" customHeight="1">
      <c r="C1680" s="223" t="s">
        <v>1218</v>
      </c>
      <c r="D1680" s="224" t="s">
        <v>1219</v>
      </c>
      <c r="E1680" s="225"/>
      <c r="F1680" s="225"/>
      <c r="G1680" s="226"/>
      <c r="H1680" s="210">
        <f>H1679+H1677+H1666</f>
        <v>5442.625</v>
      </c>
      <c r="L1680" s="200"/>
      <c r="M1680" s="200"/>
      <c r="N1680" s="200"/>
      <c r="O1680" s="200"/>
      <c r="P1680" s="200"/>
    </row>
    <row r="1681" spans="3:20" s="517" customFormat="1" ht="31.2" customHeight="1">
      <c r="C1681" s="223" t="s">
        <v>1220</v>
      </c>
      <c r="D1681" s="224" t="s">
        <v>1321</v>
      </c>
      <c r="E1681" s="225"/>
      <c r="F1681" s="226"/>
      <c r="G1681" s="228">
        <v>0.1</v>
      </c>
      <c r="H1681" s="210">
        <f>H1680*G1681</f>
        <v>544.26250000000005</v>
      </c>
      <c r="L1681" s="200"/>
      <c r="M1681" s="200"/>
      <c r="N1681" s="200"/>
      <c r="O1681" s="200"/>
      <c r="P1681" s="200"/>
    </row>
    <row r="1682" spans="3:20" s="517" customFormat="1" ht="31.2" customHeight="1" thickBot="1">
      <c r="C1682" s="229" t="s">
        <v>1221</v>
      </c>
      <c r="D1682" s="230" t="s">
        <v>1222</v>
      </c>
      <c r="E1682" s="231"/>
      <c r="F1682" s="231"/>
      <c r="G1682" s="232"/>
      <c r="H1682" s="233">
        <f>SUM(H1680:H1681)</f>
        <v>5986.8874999999998</v>
      </c>
      <c r="L1682" s="200"/>
      <c r="M1682" s="200"/>
      <c r="N1682" s="200"/>
      <c r="O1682" s="200"/>
      <c r="P1682" s="200"/>
    </row>
    <row r="1683" spans="3:20" ht="31.2" customHeight="1" thickTop="1">
      <c r="D1683" s="758" t="s">
        <v>6949</v>
      </c>
    </row>
    <row r="1684" spans="3:20" ht="31.2" customHeight="1">
      <c r="C1684" s="757" t="s">
        <v>6950</v>
      </c>
      <c r="F1684" s="758"/>
      <c r="H1684" s="758" t="s">
        <v>6959</v>
      </c>
    </row>
    <row r="1685" spans="3:20" ht="31.2" customHeight="1">
      <c r="C1685" s="200" t="s">
        <v>6951</v>
      </c>
      <c r="F1685" s="758"/>
    </row>
    <row r="1686" spans="3:20" ht="31.2" customHeight="1">
      <c r="C1686" s="200" t="s">
        <v>6952</v>
      </c>
      <c r="F1686" s="758"/>
    </row>
    <row r="1687" spans="3:20" ht="31.2" customHeight="1">
      <c r="F1687" s="758"/>
    </row>
    <row r="1688" spans="3:20" s="517" customFormat="1" ht="31.2" customHeight="1" thickBot="1">
      <c r="C1688" s="513" t="s">
        <v>7048</v>
      </c>
      <c r="D1688" s="748" t="s">
        <v>7046</v>
      </c>
      <c r="E1688" s="749"/>
      <c r="F1688" s="748"/>
      <c r="G1688" s="748"/>
      <c r="H1688" s="532"/>
      <c r="I1688" s="532"/>
      <c r="J1688" s="532"/>
      <c r="K1688" s="532"/>
      <c r="M1688" s="189"/>
      <c r="N1688" s="189"/>
      <c r="O1688" s="189"/>
      <c r="P1688" s="189"/>
      <c r="R1688" s="189">
        <f>ROUNDDOWN(H1710,-2)</f>
        <v>5900</v>
      </c>
      <c r="S1688" s="517" t="s">
        <v>6451</v>
      </c>
      <c r="T1688" s="517" t="s">
        <v>7014</v>
      </c>
    </row>
    <row r="1689" spans="3:20" s="517" customFormat="1" ht="31.2" customHeight="1" thickTop="1">
      <c r="C1689" s="190" t="s">
        <v>1195</v>
      </c>
      <c r="D1689" s="191" t="s">
        <v>1196</v>
      </c>
      <c r="E1689" s="191" t="s">
        <v>1197</v>
      </c>
      <c r="F1689" s="191" t="s">
        <v>1198</v>
      </c>
      <c r="G1689" s="191" t="s">
        <v>1199</v>
      </c>
      <c r="H1689" s="192" t="s">
        <v>1200</v>
      </c>
      <c r="L1689" s="200"/>
      <c r="M1689" s="200"/>
      <c r="N1689" s="200"/>
      <c r="O1689" s="200"/>
      <c r="P1689" s="200"/>
    </row>
    <row r="1690" spans="3:20" s="517" customFormat="1" ht="31.2" customHeight="1">
      <c r="C1690" s="518" t="s">
        <v>1201</v>
      </c>
      <c r="D1690" s="196" t="s">
        <v>1202</v>
      </c>
      <c r="E1690" s="197"/>
      <c r="F1690" s="197"/>
      <c r="G1690" s="197"/>
      <c r="H1690" s="198"/>
      <c r="L1690" s="200"/>
      <c r="M1690" s="200"/>
      <c r="N1690" s="200"/>
      <c r="O1690" s="200"/>
      <c r="P1690" s="200"/>
    </row>
    <row r="1691" spans="3:20" s="517" customFormat="1" ht="31.2" customHeight="1">
      <c r="C1691" s="537">
        <v>1</v>
      </c>
      <c r="D1691" s="196" t="s">
        <v>6954</v>
      </c>
      <c r="E1691" s="202" t="s">
        <v>6</v>
      </c>
      <c r="F1691" s="520">
        <v>0.02</v>
      </c>
      <c r="G1691" s="205">
        <f>VLOOKUP(D1691,upahbahan,3,FALSE)</f>
        <v>181250</v>
      </c>
      <c r="H1691" s="210">
        <f t="shared" ref="H1691:H1693" si="115">F1691*G1691</f>
        <v>3625</v>
      </c>
      <c r="L1691" s="200"/>
      <c r="M1691" s="200"/>
      <c r="N1691" s="200"/>
      <c r="O1691" s="200"/>
      <c r="P1691" s="200"/>
    </row>
    <row r="1692" spans="3:20" s="517" customFormat="1" ht="31.2" customHeight="1">
      <c r="C1692" s="537">
        <v>2</v>
      </c>
      <c r="D1692" s="196" t="s">
        <v>6948</v>
      </c>
      <c r="E1692" s="202" t="s">
        <v>2102</v>
      </c>
      <c r="F1692" s="520">
        <v>6.7000000000000002E-3</v>
      </c>
      <c r="G1692" s="205">
        <f>VLOOKUP(D1692,upahbahan,3,FALSE)</f>
        <v>218750</v>
      </c>
      <c r="H1692" s="210">
        <f t="shared" si="115"/>
        <v>1465.625</v>
      </c>
      <c r="L1692" s="200"/>
      <c r="M1692" s="200"/>
      <c r="N1692" s="200"/>
      <c r="O1692" s="200"/>
      <c r="P1692" s="200"/>
    </row>
    <row r="1693" spans="3:20" s="517" customFormat="1" ht="31.2" customHeight="1">
      <c r="C1693" s="537">
        <v>3</v>
      </c>
      <c r="D1693" s="196" t="s">
        <v>19</v>
      </c>
      <c r="E1693" s="202" t="s">
        <v>6</v>
      </c>
      <c r="F1693" s="520">
        <v>2.2000000000000001E-3</v>
      </c>
      <c r="G1693" s="205">
        <f>VLOOKUP(D1693,upahbahan,3,FALSE)</f>
        <v>160000</v>
      </c>
      <c r="H1693" s="210">
        <f t="shared" si="115"/>
        <v>352</v>
      </c>
      <c r="L1693" s="200"/>
      <c r="M1693" s="200"/>
      <c r="N1693" s="200"/>
      <c r="O1693" s="200"/>
      <c r="P1693" s="200"/>
    </row>
    <row r="1694" spans="3:20" s="517" customFormat="1" ht="31.2" customHeight="1">
      <c r="C1694" s="207" t="s">
        <v>1208</v>
      </c>
      <c r="D1694" s="208"/>
      <c r="E1694" s="208"/>
      <c r="F1694" s="521"/>
      <c r="G1694" s="522"/>
      <c r="H1694" s="210">
        <f>SUM(H1691:H1693)</f>
        <v>5442.625</v>
      </c>
      <c r="L1694" s="523"/>
      <c r="M1694" s="523"/>
      <c r="N1694" s="523"/>
      <c r="O1694" s="523"/>
      <c r="P1694" s="523"/>
    </row>
    <row r="1695" spans="3:20" s="517" customFormat="1" ht="31.2" customHeight="1">
      <c r="C1695" s="543" t="s">
        <v>1209</v>
      </c>
      <c r="D1695" s="750" t="s">
        <v>1210</v>
      </c>
      <c r="E1695" s="197"/>
      <c r="F1695" s="751"/>
      <c r="G1695" s="197"/>
      <c r="H1695" s="752"/>
      <c r="L1695" s="200"/>
      <c r="M1695" s="200"/>
      <c r="N1695" s="200"/>
      <c r="O1695" s="200"/>
      <c r="P1695" s="200"/>
    </row>
    <row r="1696" spans="3:20" s="517" customFormat="1" ht="31.2" customHeight="1">
      <c r="C1696" s="543">
        <v>1</v>
      </c>
      <c r="D1696" s="761" t="s">
        <v>7047</v>
      </c>
      <c r="E1696" s="203" t="s">
        <v>44</v>
      </c>
      <c r="F1696" s="753">
        <v>1.05</v>
      </c>
      <c r="G1696" s="205">
        <f>VLOOKUP(D1696,upahbahan,3,FALSE)</f>
        <v>0</v>
      </c>
      <c r="H1696" s="210">
        <f t="shared" ref="H1696:H1704" si="116">F1696*G1696</f>
        <v>0</v>
      </c>
      <c r="L1696" s="200"/>
      <c r="M1696" s="200"/>
      <c r="N1696" s="200"/>
      <c r="O1696" s="200"/>
      <c r="P1696" s="200"/>
    </row>
    <row r="1697" spans="3:16" s="517" customFormat="1" ht="31.2" customHeight="1">
      <c r="C1697" s="543">
        <v>2</v>
      </c>
      <c r="D1697" s="750" t="s">
        <v>5563</v>
      </c>
      <c r="E1697" s="203" t="s">
        <v>65</v>
      </c>
      <c r="F1697" s="753">
        <v>5.0000000000000001E-3</v>
      </c>
      <c r="G1697" s="205">
        <f>VLOOKUP(D1697,upahbahan,3,FALSE)</f>
        <v>0</v>
      </c>
      <c r="H1697" s="210">
        <f t="shared" si="116"/>
        <v>0</v>
      </c>
      <c r="L1697" s="200"/>
      <c r="M1697" s="200"/>
      <c r="N1697" s="200"/>
      <c r="O1697" s="200"/>
      <c r="P1697" s="200"/>
    </row>
    <row r="1698" spans="3:16" s="517" customFormat="1" ht="31.2" customHeight="1">
      <c r="C1698" s="543">
        <v>3</v>
      </c>
      <c r="D1698" s="750" t="s">
        <v>5555</v>
      </c>
      <c r="E1698" s="203"/>
      <c r="F1698" s="753"/>
      <c r="G1698" s="197"/>
      <c r="H1698" s="210">
        <f t="shared" si="116"/>
        <v>0</v>
      </c>
      <c r="L1698" s="200"/>
      <c r="M1698" s="200"/>
      <c r="N1698" s="200"/>
      <c r="O1698" s="200"/>
      <c r="P1698" s="200"/>
    </row>
    <row r="1699" spans="3:16" s="517" customFormat="1" ht="31.2" customHeight="1">
      <c r="C1699" s="754" t="s">
        <v>5293</v>
      </c>
      <c r="D1699" s="750" t="s">
        <v>6957</v>
      </c>
      <c r="E1699" s="203" t="s">
        <v>1300</v>
      </c>
      <c r="F1699" s="760">
        <v>6</v>
      </c>
      <c r="G1699" s="205">
        <f>VLOOKUP(D1699,upahbahan,3,FALSE)</f>
        <v>0</v>
      </c>
      <c r="H1699" s="210">
        <f t="shared" si="116"/>
        <v>0</v>
      </c>
      <c r="L1699" s="200"/>
      <c r="M1699" s="200"/>
      <c r="N1699" s="200"/>
      <c r="O1699" s="200"/>
      <c r="P1699" s="200"/>
    </row>
    <row r="1700" spans="3:16" s="517" customFormat="1" ht="31.2" customHeight="1">
      <c r="C1700" s="754" t="s">
        <v>5299</v>
      </c>
      <c r="D1700" s="750" t="s">
        <v>5560</v>
      </c>
      <c r="E1700" s="203" t="s">
        <v>113</v>
      </c>
      <c r="F1700" s="760">
        <v>10</v>
      </c>
      <c r="G1700" s="205">
        <f>VLOOKUP(D1700,upahbahan,3,FALSE)</f>
        <v>0</v>
      </c>
      <c r="H1700" s="210">
        <f t="shared" si="116"/>
        <v>0</v>
      </c>
      <c r="L1700" s="200"/>
      <c r="M1700" s="200"/>
      <c r="N1700" s="200"/>
      <c r="O1700" s="200"/>
      <c r="P1700" s="200"/>
    </row>
    <row r="1701" spans="3:16" s="517" customFormat="1" ht="31.2" customHeight="1">
      <c r="C1701" s="543">
        <v>4</v>
      </c>
      <c r="D1701" s="750" t="s">
        <v>5556</v>
      </c>
      <c r="E1701" s="203"/>
      <c r="F1701" s="753"/>
      <c r="G1701" s="197"/>
      <c r="H1701" s="210">
        <f t="shared" si="116"/>
        <v>0</v>
      </c>
      <c r="L1701" s="200"/>
      <c r="M1701" s="200"/>
      <c r="N1701" s="200"/>
      <c r="O1701" s="200"/>
      <c r="P1701" s="200"/>
    </row>
    <row r="1702" spans="3:16" s="517" customFormat="1" ht="31.2" customHeight="1">
      <c r="C1702" s="754" t="s">
        <v>5293</v>
      </c>
      <c r="D1702" s="750" t="s">
        <v>2084</v>
      </c>
      <c r="E1702" s="203" t="s">
        <v>42</v>
      </c>
      <c r="F1702" s="753">
        <v>2.4400000000000002E-2</v>
      </c>
      <c r="G1702" s="205">
        <f>VLOOKUP(D1702,upahbahan,3,FALSE)</f>
        <v>0</v>
      </c>
      <c r="H1702" s="210">
        <f t="shared" si="116"/>
        <v>0</v>
      </c>
      <c r="L1702" s="200"/>
      <c r="M1702" s="200"/>
      <c r="N1702" s="200"/>
      <c r="O1702" s="200"/>
      <c r="P1702" s="200"/>
    </row>
    <row r="1703" spans="3:16" s="517" customFormat="1" ht="31.2" customHeight="1">
      <c r="C1703" s="754" t="s">
        <v>5299</v>
      </c>
      <c r="D1703" s="750" t="s">
        <v>5566</v>
      </c>
      <c r="E1703" s="203" t="s">
        <v>42</v>
      </c>
      <c r="F1703" s="753">
        <v>6.4999999999999997E-3</v>
      </c>
      <c r="G1703" s="205">
        <f>VLOOKUP(D1703,upahbahan,3,FALSE)</f>
        <v>0</v>
      </c>
      <c r="H1703" s="210">
        <f t="shared" si="116"/>
        <v>0</v>
      </c>
      <c r="L1703" s="200"/>
      <c r="M1703" s="200"/>
      <c r="N1703" s="200"/>
      <c r="O1703" s="200"/>
      <c r="P1703" s="200"/>
    </row>
    <row r="1704" spans="3:16" s="517" customFormat="1" ht="31.2" customHeight="1">
      <c r="C1704" s="754" t="s">
        <v>5558</v>
      </c>
      <c r="D1704" s="750" t="s">
        <v>2325</v>
      </c>
      <c r="E1704" s="203" t="s">
        <v>42</v>
      </c>
      <c r="F1704" s="762">
        <v>1.6000000000000001E-3</v>
      </c>
      <c r="G1704" s="205">
        <f>VLOOKUP(D1704,upahbahan,3,FALSE)</f>
        <v>0</v>
      </c>
      <c r="H1704" s="210">
        <f t="shared" si="116"/>
        <v>0</v>
      </c>
      <c r="L1704" s="200"/>
      <c r="M1704" s="200"/>
      <c r="N1704" s="200"/>
      <c r="O1704" s="200"/>
      <c r="P1704" s="200"/>
    </row>
    <row r="1705" spans="3:16" s="517" customFormat="1" ht="31.2" customHeight="1">
      <c r="C1705" s="207" t="s">
        <v>1214</v>
      </c>
      <c r="D1705" s="208"/>
      <c r="E1705" s="568"/>
      <c r="F1705" s="208"/>
      <c r="G1705" s="209"/>
      <c r="H1705" s="210">
        <f>SUM(H1696:H1704)</f>
        <v>0</v>
      </c>
      <c r="L1705" s="200"/>
      <c r="M1705" s="200"/>
      <c r="N1705" s="200"/>
      <c r="O1705" s="200"/>
      <c r="P1705" s="200"/>
    </row>
    <row r="1706" spans="3:16" s="517" customFormat="1" ht="31.2" customHeight="1">
      <c r="C1706" s="756" t="s">
        <v>1215</v>
      </c>
      <c r="D1706" s="196" t="s">
        <v>1216</v>
      </c>
      <c r="E1706" s="203"/>
      <c r="F1706" s="197"/>
      <c r="G1706" s="197"/>
      <c r="H1706" s="198"/>
      <c r="L1706" s="200"/>
      <c r="M1706" s="200"/>
      <c r="N1706" s="200"/>
      <c r="O1706" s="200"/>
      <c r="P1706" s="200"/>
    </row>
    <row r="1707" spans="3:16" s="517" customFormat="1" ht="31.2" customHeight="1">
      <c r="C1707" s="207" t="s">
        <v>1217</v>
      </c>
      <c r="D1707" s="208"/>
      <c r="E1707" s="208"/>
      <c r="F1707" s="208"/>
      <c r="G1707" s="209"/>
      <c r="H1707" s="240">
        <f>SUM(H1706)</f>
        <v>0</v>
      </c>
      <c r="L1707" s="200"/>
      <c r="M1707" s="200"/>
      <c r="N1707" s="200"/>
      <c r="O1707" s="200"/>
      <c r="P1707" s="200"/>
    </row>
    <row r="1708" spans="3:16" s="517" customFormat="1" ht="31.2" customHeight="1">
      <c r="C1708" s="223" t="s">
        <v>1218</v>
      </c>
      <c r="D1708" s="224" t="s">
        <v>1219</v>
      </c>
      <c r="E1708" s="225"/>
      <c r="F1708" s="225"/>
      <c r="G1708" s="226"/>
      <c r="H1708" s="210">
        <f>H1707+H1705+H1694</f>
        <v>5442.625</v>
      </c>
      <c r="L1708" s="200"/>
      <c r="M1708" s="200"/>
      <c r="N1708" s="200"/>
      <c r="O1708" s="200"/>
      <c r="P1708" s="200"/>
    </row>
    <row r="1709" spans="3:16" s="517" customFormat="1" ht="31.2" customHeight="1">
      <c r="C1709" s="223" t="s">
        <v>1220</v>
      </c>
      <c r="D1709" s="224" t="s">
        <v>1321</v>
      </c>
      <c r="E1709" s="225"/>
      <c r="F1709" s="226"/>
      <c r="G1709" s="228">
        <v>0.1</v>
      </c>
      <c r="H1709" s="210">
        <f>H1708*G1709</f>
        <v>544.26250000000005</v>
      </c>
      <c r="L1709" s="200"/>
      <c r="M1709" s="200"/>
      <c r="N1709" s="200"/>
      <c r="O1709" s="200"/>
      <c r="P1709" s="200"/>
    </row>
    <row r="1710" spans="3:16" s="517" customFormat="1" ht="31.2" customHeight="1" thickBot="1">
      <c r="C1710" s="229" t="s">
        <v>1221</v>
      </c>
      <c r="D1710" s="230" t="s">
        <v>1222</v>
      </c>
      <c r="E1710" s="231"/>
      <c r="F1710" s="231"/>
      <c r="G1710" s="232"/>
      <c r="H1710" s="233">
        <f>SUM(H1708:H1709)</f>
        <v>5986.8874999999998</v>
      </c>
      <c r="L1710" s="200"/>
      <c r="M1710" s="200"/>
      <c r="N1710" s="200"/>
      <c r="O1710" s="200"/>
      <c r="P1710" s="200"/>
    </row>
    <row r="1711" spans="3:16" ht="31.2" customHeight="1" thickTop="1">
      <c r="D1711" s="758" t="s">
        <v>6949</v>
      </c>
    </row>
    <row r="1712" spans="3:16" ht="31.2" customHeight="1">
      <c r="C1712" s="757" t="s">
        <v>6950</v>
      </c>
      <c r="F1712" s="758"/>
      <c r="H1712" s="758" t="s">
        <v>6959</v>
      </c>
    </row>
    <row r="1713" spans="3:20" ht="31.2" customHeight="1">
      <c r="C1713" s="200" t="s">
        <v>6951</v>
      </c>
      <c r="F1713" s="758"/>
    </row>
    <row r="1714" spans="3:20" ht="31.2" customHeight="1">
      <c r="C1714" s="200" t="s">
        <v>6952</v>
      </c>
      <c r="F1714" s="758"/>
    </row>
    <row r="1715" spans="3:20" ht="31.2" customHeight="1">
      <c r="F1715" s="758"/>
    </row>
    <row r="1716" spans="3:20" ht="31.2" customHeight="1">
      <c r="C1716" s="187" t="s">
        <v>5567</v>
      </c>
      <c r="D1716" s="187" t="s">
        <v>7049</v>
      </c>
      <c r="F1716" s="758"/>
    </row>
    <row r="1717" spans="3:20" s="517" customFormat="1" ht="31.2" customHeight="1" thickBot="1">
      <c r="C1717" s="513" t="s">
        <v>7050</v>
      </c>
      <c r="D1717" s="748" t="s">
        <v>7051</v>
      </c>
      <c r="E1717" s="749"/>
      <c r="F1717" s="748"/>
      <c r="G1717" s="748"/>
      <c r="H1717" s="532"/>
      <c r="I1717" s="532"/>
      <c r="J1717" s="532"/>
      <c r="K1717" s="532"/>
      <c r="M1717" s="189"/>
      <c r="N1717" s="189"/>
      <c r="O1717" s="189"/>
      <c r="P1717" s="189"/>
      <c r="R1717" s="189">
        <f>ROUNDDOWN(H1740,-2)</f>
        <v>16200</v>
      </c>
      <c r="S1717" s="517" t="s">
        <v>6451</v>
      </c>
      <c r="T1717" s="517" t="s">
        <v>7014</v>
      </c>
    </row>
    <row r="1718" spans="3:20" s="517" customFormat="1" ht="31.2" customHeight="1" thickTop="1">
      <c r="C1718" s="190" t="s">
        <v>1195</v>
      </c>
      <c r="D1718" s="191" t="s">
        <v>1196</v>
      </c>
      <c r="E1718" s="191" t="s">
        <v>1197</v>
      </c>
      <c r="F1718" s="191" t="s">
        <v>1198</v>
      </c>
      <c r="G1718" s="191" t="s">
        <v>1199</v>
      </c>
      <c r="H1718" s="192" t="s">
        <v>1200</v>
      </c>
      <c r="L1718" s="200"/>
      <c r="M1718" s="200"/>
      <c r="N1718" s="200"/>
      <c r="O1718" s="200"/>
      <c r="P1718" s="200"/>
    </row>
    <row r="1719" spans="3:20" s="517" customFormat="1" ht="31.2" customHeight="1">
      <c r="C1719" s="518" t="s">
        <v>1201</v>
      </c>
      <c r="D1719" s="196" t="s">
        <v>1202</v>
      </c>
      <c r="E1719" s="197"/>
      <c r="F1719" s="197"/>
      <c r="G1719" s="197"/>
      <c r="H1719" s="198"/>
      <c r="L1719" s="200"/>
      <c r="M1719" s="200"/>
      <c r="N1719" s="200"/>
      <c r="O1719" s="200"/>
      <c r="P1719" s="200"/>
    </row>
    <row r="1720" spans="3:20" s="517" customFormat="1" ht="31.2" customHeight="1">
      <c r="C1720" s="518">
        <v>1</v>
      </c>
      <c r="D1720" s="196" t="s">
        <v>5</v>
      </c>
      <c r="E1720" s="203" t="s">
        <v>2102</v>
      </c>
      <c r="F1720" s="763">
        <v>0.04</v>
      </c>
      <c r="G1720" s="205">
        <f>VLOOKUP(D1720,upahbahan,3,FALSE)</f>
        <v>100000</v>
      </c>
      <c r="H1720" s="210">
        <f t="shared" ref="H1720:H1723" si="117">F1720*G1720</f>
        <v>4000</v>
      </c>
      <c r="L1720" s="200"/>
      <c r="M1720" s="200"/>
      <c r="N1720" s="200"/>
      <c r="O1720" s="200"/>
      <c r="P1720" s="200"/>
    </row>
    <row r="1721" spans="3:20" s="517" customFormat="1" ht="31.2" customHeight="1">
      <c r="C1721" s="537">
        <v>2</v>
      </c>
      <c r="D1721" s="196" t="s">
        <v>6954</v>
      </c>
      <c r="E1721" s="202" t="s">
        <v>6</v>
      </c>
      <c r="F1721" s="520">
        <v>0.04</v>
      </c>
      <c r="G1721" s="205">
        <f>VLOOKUP(D1721,upahbahan,3,FALSE)</f>
        <v>181250</v>
      </c>
      <c r="H1721" s="210">
        <f t="shared" si="117"/>
        <v>7250</v>
      </c>
      <c r="L1721" s="200"/>
      <c r="M1721" s="200"/>
      <c r="N1721" s="200"/>
      <c r="O1721" s="200"/>
      <c r="P1721" s="200"/>
    </row>
    <row r="1722" spans="3:20" s="517" customFormat="1" ht="31.2" customHeight="1">
      <c r="C1722" s="537">
        <v>3</v>
      </c>
      <c r="D1722" s="196" t="s">
        <v>6948</v>
      </c>
      <c r="E1722" s="202" t="s">
        <v>2102</v>
      </c>
      <c r="F1722" s="520">
        <v>1.2999999999999999E-2</v>
      </c>
      <c r="G1722" s="205">
        <f>VLOOKUP(D1722,upahbahan,3,FALSE)</f>
        <v>218750</v>
      </c>
      <c r="H1722" s="210">
        <f t="shared" si="117"/>
        <v>2843.75</v>
      </c>
      <c r="L1722" s="200"/>
      <c r="M1722" s="200"/>
      <c r="N1722" s="200"/>
      <c r="O1722" s="200"/>
      <c r="P1722" s="200"/>
    </row>
    <row r="1723" spans="3:20" s="517" customFormat="1" ht="31.2" customHeight="1">
      <c r="C1723" s="537">
        <v>4</v>
      </c>
      <c r="D1723" s="196" t="s">
        <v>19</v>
      </c>
      <c r="E1723" s="202" t="s">
        <v>6</v>
      </c>
      <c r="F1723" s="520">
        <v>4.3E-3</v>
      </c>
      <c r="G1723" s="205">
        <f>VLOOKUP(D1723,upahbahan,3,FALSE)</f>
        <v>160000</v>
      </c>
      <c r="H1723" s="210">
        <f t="shared" si="117"/>
        <v>688</v>
      </c>
      <c r="L1723" s="200"/>
      <c r="M1723" s="200"/>
      <c r="N1723" s="200"/>
      <c r="O1723" s="200"/>
      <c r="P1723" s="200"/>
    </row>
    <row r="1724" spans="3:20" s="517" customFormat="1" ht="31.2" customHeight="1">
      <c r="C1724" s="207" t="s">
        <v>1208</v>
      </c>
      <c r="D1724" s="208"/>
      <c r="E1724" s="208"/>
      <c r="F1724" s="521"/>
      <c r="G1724" s="522"/>
      <c r="H1724" s="210">
        <f>SUM(H1720:H1723)</f>
        <v>14781.75</v>
      </c>
      <c r="L1724" s="523"/>
      <c r="M1724" s="523"/>
      <c r="N1724" s="523"/>
      <c r="O1724" s="523"/>
      <c r="P1724" s="523"/>
    </row>
    <row r="1725" spans="3:20" s="517" customFormat="1" ht="31.2" customHeight="1">
      <c r="C1725" s="543" t="s">
        <v>1209</v>
      </c>
      <c r="D1725" s="750" t="s">
        <v>1210</v>
      </c>
      <c r="E1725" s="197"/>
      <c r="F1725" s="751"/>
      <c r="G1725" s="197"/>
      <c r="H1725" s="752"/>
      <c r="L1725" s="200"/>
      <c r="M1725" s="200"/>
      <c r="N1725" s="200"/>
      <c r="O1725" s="200"/>
      <c r="P1725" s="200"/>
    </row>
    <row r="1726" spans="3:20" s="517" customFormat="1" ht="31.2" customHeight="1">
      <c r="C1726" s="543">
        <v>1</v>
      </c>
      <c r="D1726" s="750" t="s">
        <v>7052</v>
      </c>
      <c r="E1726" s="203" t="s">
        <v>44</v>
      </c>
      <c r="F1726" s="753">
        <v>1.05</v>
      </c>
      <c r="G1726" s="205">
        <f>VLOOKUP(D1726,upahbahan,3,FALSE)</f>
        <v>0</v>
      </c>
      <c r="H1726" s="210">
        <f t="shared" ref="H1726:H1734" si="118">F1726*G1726</f>
        <v>0</v>
      </c>
      <c r="L1726" s="200"/>
      <c r="M1726" s="200"/>
      <c r="N1726" s="200"/>
      <c r="O1726" s="200"/>
      <c r="P1726" s="200"/>
    </row>
    <row r="1727" spans="3:20" s="517" customFormat="1" ht="31.2" customHeight="1">
      <c r="C1727" s="543">
        <v>2</v>
      </c>
      <c r="D1727" s="750" t="s">
        <v>5563</v>
      </c>
      <c r="E1727" s="203" t="s">
        <v>65</v>
      </c>
      <c r="F1727" s="753">
        <v>0.01</v>
      </c>
      <c r="G1727" s="205">
        <f>VLOOKUP(D1727,upahbahan,3,FALSE)</f>
        <v>0</v>
      </c>
      <c r="H1727" s="210">
        <f t="shared" si="118"/>
        <v>0</v>
      </c>
      <c r="L1727" s="200"/>
      <c r="M1727" s="200"/>
      <c r="N1727" s="200"/>
      <c r="O1727" s="200"/>
      <c r="P1727" s="200"/>
    </row>
    <row r="1728" spans="3:20" s="517" customFormat="1" ht="31.2" customHeight="1">
      <c r="C1728" s="543">
        <v>3</v>
      </c>
      <c r="D1728" s="750" t="s">
        <v>5555</v>
      </c>
      <c r="E1728" s="203"/>
      <c r="F1728" s="753"/>
      <c r="G1728" s="197"/>
      <c r="H1728" s="210">
        <f t="shared" si="118"/>
        <v>0</v>
      </c>
      <c r="L1728" s="200"/>
      <c r="M1728" s="200"/>
      <c r="N1728" s="200"/>
      <c r="O1728" s="200"/>
      <c r="P1728" s="200"/>
    </row>
    <row r="1729" spans="3:16" s="517" customFormat="1" ht="31.2" customHeight="1">
      <c r="C1729" s="754" t="s">
        <v>5293</v>
      </c>
      <c r="D1729" s="750" t="s">
        <v>7053</v>
      </c>
      <c r="E1729" s="203" t="s">
        <v>1300</v>
      </c>
      <c r="F1729" s="760">
        <v>12</v>
      </c>
      <c r="G1729" s="205">
        <f>VLOOKUP(D1729,upahbahan,3,FALSE)</f>
        <v>0</v>
      </c>
      <c r="H1729" s="210">
        <f t="shared" si="118"/>
        <v>0</v>
      </c>
      <c r="L1729" s="200"/>
      <c r="M1729" s="200"/>
      <c r="N1729" s="200"/>
      <c r="O1729" s="200"/>
      <c r="P1729" s="200"/>
    </row>
    <row r="1730" spans="3:16" s="517" customFormat="1" ht="31.2" customHeight="1">
      <c r="C1730" s="754" t="s">
        <v>5299</v>
      </c>
      <c r="D1730" s="750" t="s">
        <v>7055</v>
      </c>
      <c r="E1730" s="203" t="s">
        <v>113</v>
      </c>
      <c r="F1730" s="760">
        <v>10</v>
      </c>
      <c r="G1730" s="205">
        <f>VLOOKUP(D1730,upahbahan,3,FALSE)</f>
        <v>0</v>
      </c>
      <c r="H1730" s="210">
        <f t="shared" si="118"/>
        <v>0</v>
      </c>
      <c r="L1730" s="200"/>
      <c r="M1730" s="200"/>
      <c r="N1730" s="200"/>
      <c r="O1730" s="200"/>
      <c r="P1730" s="200"/>
    </row>
    <row r="1731" spans="3:16" s="517" customFormat="1" ht="31.2" customHeight="1">
      <c r="C1731" s="543">
        <v>4</v>
      </c>
      <c r="D1731" s="750" t="s">
        <v>5556</v>
      </c>
      <c r="E1731" s="203"/>
      <c r="F1731" s="753"/>
      <c r="G1731" s="197"/>
      <c r="H1731" s="210">
        <f t="shared" si="118"/>
        <v>0</v>
      </c>
      <c r="L1731" s="200"/>
      <c r="M1731" s="200"/>
      <c r="N1731" s="200"/>
      <c r="O1731" s="200"/>
      <c r="P1731" s="200"/>
    </row>
    <row r="1732" spans="3:16" s="517" customFormat="1" ht="31.2" customHeight="1">
      <c r="C1732" s="754" t="s">
        <v>5293</v>
      </c>
      <c r="D1732" s="750" t="s">
        <v>2084</v>
      </c>
      <c r="E1732" s="203" t="s">
        <v>42</v>
      </c>
      <c r="F1732" s="753">
        <v>4.9000000000000002E-2</v>
      </c>
      <c r="G1732" s="205">
        <f>VLOOKUP(D1732,upahbahan,3,FALSE)</f>
        <v>0</v>
      </c>
      <c r="H1732" s="210">
        <f t="shared" si="118"/>
        <v>0</v>
      </c>
      <c r="L1732" s="200"/>
      <c r="M1732" s="200"/>
      <c r="N1732" s="200"/>
      <c r="O1732" s="200"/>
      <c r="P1732" s="200"/>
    </row>
    <row r="1733" spans="3:16" s="517" customFormat="1" ht="31.2" customHeight="1">
      <c r="C1733" s="754" t="s">
        <v>5299</v>
      </c>
      <c r="D1733" s="750" t="s">
        <v>5566</v>
      </c>
      <c r="E1733" s="203" t="s">
        <v>42</v>
      </c>
      <c r="F1733" s="753">
        <v>1.2999999999999999E-2</v>
      </c>
      <c r="G1733" s="205">
        <f>VLOOKUP(D1733,upahbahan,3,FALSE)</f>
        <v>0</v>
      </c>
      <c r="H1733" s="210">
        <f t="shared" si="118"/>
        <v>0</v>
      </c>
      <c r="L1733" s="200"/>
      <c r="M1733" s="200"/>
      <c r="N1733" s="200"/>
      <c r="O1733" s="200"/>
      <c r="P1733" s="200"/>
    </row>
    <row r="1734" spans="3:16" s="517" customFormat="1" ht="31.2" customHeight="1">
      <c r="C1734" s="754" t="s">
        <v>5558</v>
      </c>
      <c r="D1734" s="750" t="s">
        <v>2325</v>
      </c>
      <c r="E1734" s="203" t="s">
        <v>42</v>
      </c>
      <c r="F1734" s="762">
        <v>3.0000000000000001E-3</v>
      </c>
      <c r="G1734" s="205">
        <f>VLOOKUP(D1734,upahbahan,3,FALSE)</f>
        <v>0</v>
      </c>
      <c r="H1734" s="210">
        <f t="shared" si="118"/>
        <v>0</v>
      </c>
      <c r="L1734" s="200"/>
      <c r="M1734" s="200"/>
      <c r="N1734" s="200"/>
      <c r="O1734" s="200"/>
      <c r="P1734" s="200"/>
    </row>
    <row r="1735" spans="3:16" s="517" customFormat="1" ht="31.2" customHeight="1">
      <c r="C1735" s="207" t="s">
        <v>1214</v>
      </c>
      <c r="D1735" s="208"/>
      <c r="E1735" s="568"/>
      <c r="F1735" s="208"/>
      <c r="G1735" s="209"/>
      <c r="H1735" s="210">
        <f>SUM(H1726:H1734)</f>
        <v>0</v>
      </c>
      <c r="L1735" s="200"/>
      <c r="M1735" s="200"/>
      <c r="N1735" s="200"/>
      <c r="O1735" s="200"/>
      <c r="P1735" s="200"/>
    </row>
    <row r="1736" spans="3:16" s="517" customFormat="1" ht="31.2" customHeight="1">
      <c r="C1736" s="756" t="s">
        <v>1215</v>
      </c>
      <c r="D1736" s="196" t="s">
        <v>1216</v>
      </c>
      <c r="E1736" s="203"/>
      <c r="F1736" s="197"/>
      <c r="G1736" s="197"/>
      <c r="H1736" s="198"/>
      <c r="L1736" s="200"/>
      <c r="M1736" s="200"/>
      <c r="N1736" s="200"/>
      <c r="O1736" s="200"/>
      <c r="P1736" s="200"/>
    </row>
    <row r="1737" spans="3:16" s="517" customFormat="1" ht="31.2" customHeight="1">
      <c r="C1737" s="207" t="s">
        <v>1217</v>
      </c>
      <c r="D1737" s="208"/>
      <c r="E1737" s="208"/>
      <c r="F1737" s="208"/>
      <c r="G1737" s="209"/>
      <c r="H1737" s="240">
        <f>SUM(H1736)</f>
        <v>0</v>
      </c>
      <c r="L1737" s="200"/>
      <c r="M1737" s="200"/>
      <c r="N1737" s="200"/>
      <c r="O1737" s="200"/>
      <c r="P1737" s="200"/>
    </row>
    <row r="1738" spans="3:16" s="517" customFormat="1" ht="31.2" customHeight="1">
      <c r="C1738" s="223" t="s">
        <v>1218</v>
      </c>
      <c r="D1738" s="224" t="s">
        <v>1219</v>
      </c>
      <c r="E1738" s="225"/>
      <c r="F1738" s="225"/>
      <c r="G1738" s="226"/>
      <c r="H1738" s="210">
        <f>H1737+H1735+H1724</f>
        <v>14781.75</v>
      </c>
      <c r="L1738" s="200"/>
      <c r="M1738" s="200"/>
      <c r="N1738" s="200"/>
      <c r="O1738" s="200"/>
      <c r="P1738" s="200"/>
    </row>
    <row r="1739" spans="3:16" s="517" customFormat="1" ht="31.2" customHeight="1">
      <c r="C1739" s="223" t="s">
        <v>1220</v>
      </c>
      <c r="D1739" s="224" t="s">
        <v>1321</v>
      </c>
      <c r="E1739" s="225"/>
      <c r="F1739" s="226"/>
      <c r="G1739" s="228">
        <v>0.1</v>
      </c>
      <c r="H1739" s="210">
        <f>H1738*G1739</f>
        <v>1478.1750000000002</v>
      </c>
      <c r="L1739" s="200"/>
      <c r="M1739" s="200"/>
      <c r="N1739" s="200"/>
      <c r="O1739" s="200"/>
      <c r="P1739" s="200"/>
    </row>
    <row r="1740" spans="3:16" s="517" customFormat="1" ht="31.2" customHeight="1" thickBot="1">
      <c r="C1740" s="229" t="s">
        <v>1221</v>
      </c>
      <c r="D1740" s="230" t="s">
        <v>1222</v>
      </c>
      <c r="E1740" s="231"/>
      <c r="F1740" s="231"/>
      <c r="G1740" s="232"/>
      <c r="H1740" s="233">
        <f>SUM(H1738:H1739)</f>
        <v>16259.924999999999</v>
      </c>
      <c r="L1740" s="200"/>
      <c r="M1740" s="200"/>
      <c r="N1740" s="200"/>
      <c r="O1740" s="200"/>
      <c r="P1740" s="200"/>
    </row>
    <row r="1741" spans="3:16" ht="31.2" customHeight="1" thickTop="1">
      <c r="D1741" s="758" t="s">
        <v>6949</v>
      </c>
    </row>
    <row r="1742" spans="3:16" ht="31.2" customHeight="1">
      <c r="C1742" s="757" t="s">
        <v>6950</v>
      </c>
      <c r="F1742" s="758"/>
      <c r="H1742" s="758" t="s">
        <v>6959</v>
      </c>
    </row>
    <row r="1743" spans="3:16" ht="31.2" customHeight="1">
      <c r="C1743" s="200" t="s">
        <v>6951</v>
      </c>
      <c r="F1743" s="758"/>
    </row>
    <row r="1744" spans="3:16" ht="31.2" customHeight="1">
      <c r="C1744" s="200" t="s">
        <v>6952</v>
      </c>
      <c r="F1744" s="758"/>
    </row>
    <row r="1745" spans="3:20" ht="31.2" customHeight="1"/>
    <row r="1746" spans="3:20" s="517" customFormat="1" ht="31.2" customHeight="1" thickBot="1">
      <c r="C1746" s="513" t="s">
        <v>7056</v>
      </c>
      <c r="D1746" s="748" t="s">
        <v>7057</v>
      </c>
      <c r="E1746" s="749"/>
      <c r="F1746" s="748"/>
      <c r="G1746" s="748"/>
      <c r="H1746" s="532"/>
      <c r="I1746" s="532"/>
      <c r="J1746" s="532"/>
      <c r="K1746" s="532"/>
      <c r="M1746" s="189"/>
      <c r="N1746" s="189"/>
      <c r="O1746" s="189"/>
      <c r="P1746" s="189"/>
      <c r="R1746" s="189">
        <f>ROUNDDOWN(H1769,-2)</f>
        <v>16200</v>
      </c>
      <c r="S1746" s="517" t="s">
        <v>6451</v>
      </c>
      <c r="T1746" s="517" t="s">
        <v>7014</v>
      </c>
    </row>
    <row r="1747" spans="3:20" s="517" customFormat="1" ht="31.2" customHeight="1" thickTop="1">
      <c r="C1747" s="190" t="s">
        <v>1195</v>
      </c>
      <c r="D1747" s="191" t="s">
        <v>1196</v>
      </c>
      <c r="E1747" s="191" t="s">
        <v>1197</v>
      </c>
      <c r="F1747" s="191" t="s">
        <v>1198</v>
      </c>
      <c r="G1747" s="191" t="s">
        <v>1199</v>
      </c>
      <c r="H1747" s="192" t="s">
        <v>1200</v>
      </c>
      <c r="L1747" s="200"/>
      <c r="M1747" s="200"/>
      <c r="N1747" s="200"/>
      <c r="O1747" s="200"/>
      <c r="P1747" s="200"/>
    </row>
    <row r="1748" spans="3:20" s="517" customFormat="1" ht="31.2" customHeight="1">
      <c r="C1748" s="518" t="s">
        <v>1201</v>
      </c>
      <c r="D1748" s="196" t="s">
        <v>1202</v>
      </c>
      <c r="E1748" s="197"/>
      <c r="F1748" s="197"/>
      <c r="G1748" s="197"/>
      <c r="H1748" s="198"/>
      <c r="L1748" s="200"/>
      <c r="M1748" s="200"/>
      <c r="N1748" s="200"/>
      <c r="O1748" s="200"/>
      <c r="P1748" s="200"/>
    </row>
    <row r="1749" spans="3:20" s="517" customFormat="1" ht="31.2" customHeight="1">
      <c r="C1749" s="518">
        <v>1</v>
      </c>
      <c r="D1749" s="196" t="s">
        <v>5</v>
      </c>
      <c r="E1749" s="203" t="s">
        <v>2102</v>
      </c>
      <c r="F1749" s="763">
        <v>0.04</v>
      </c>
      <c r="G1749" s="205">
        <f>VLOOKUP(D1749,upahbahan,3,FALSE)</f>
        <v>100000</v>
      </c>
      <c r="H1749" s="210">
        <f t="shared" ref="H1749:H1752" si="119">F1749*G1749</f>
        <v>4000</v>
      </c>
      <c r="L1749" s="200"/>
      <c r="M1749" s="200"/>
      <c r="N1749" s="200"/>
      <c r="O1749" s="200"/>
      <c r="P1749" s="200"/>
    </row>
    <row r="1750" spans="3:20" s="517" customFormat="1" ht="31.2" customHeight="1">
      <c r="C1750" s="537">
        <v>2</v>
      </c>
      <c r="D1750" s="196" t="s">
        <v>6954</v>
      </c>
      <c r="E1750" s="202" t="s">
        <v>6</v>
      </c>
      <c r="F1750" s="520">
        <v>0.04</v>
      </c>
      <c r="G1750" s="205">
        <f>VLOOKUP(D1750,upahbahan,3,FALSE)</f>
        <v>181250</v>
      </c>
      <c r="H1750" s="210">
        <f t="shared" si="119"/>
        <v>7250</v>
      </c>
      <c r="L1750" s="200"/>
      <c r="M1750" s="200"/>
      <c r="N1750" s="200"/>
      <c r="O1750" s="200"/>
      <c r="P1750" s="200"/>
    </row>
    <row r="1751" spans="3:20" s="517" customFormat="1" ht="31.2" customHeight="1">
      <c r="C1751" s="537">
        <v>3</v>
      </c>
      <c r="D1751" s="196" t="s">
        <v>6948</v>
      </c>
      <c r="E1751" s="202" t="s">
        <v>2102</v>
      </c>
      <c r="F1751" s="520">
        <v>1.2999999999999999E-2</v>
      </c>
      <c r="G1751" s="205">
        <f>VLOOKUP(D1751,upahbahan,3,FALSE)</f>
        <v>218750</v>
      </c>
      <c r="H1751" s="210">
        <f t="shared" si="119"/>
        <v>2843.75</v>
      </c>
      <c r="L1751" s="200"/>
      <c r="M1751" s="200"/>
      <c r="N1751" s="200"/>
      <c r="O1751" s="200"/>
      <c r="P1751" s="200"/>
    </row>
    <row r="1752" spans="3:20" s="517" customFormat="1" ht="31.2" customHeight="1">
      <c r="C1752" s="537">
        <v>4</v>
      </c>
      <c r="D1752" s="196" t="s">
        <v>19</v>
      </c>
      <c r="E1752" s="202" t="s">
        <v>6</v>
      </c>
      <c r="F1752" s="520">
        <v>4.3E-3</v>
      </c>
      <c r="G1752" s="205">
        <f>VLOOKUP(D1752,upahbahan,3,FALSE)</f>
        <v>160000</v>
      </c>
      <c r="H1752" s="210">
        <f t="shared" si="119"/>
        <v>688</v>
      </c>
      <c r="L1752" s="200"/>
      <c r="M1752" s="200"/>
      <c r="N1752" s="200"/>
      <c r="O1752" s="200"/>
      <c r="P1752" s="200"/>
    </row>
    <row r="1753" spans="3:20" s="517" customFormat="1" ht="31.2" customHeight="1">
      <c r="C1753" s="207" t="s">
        <v>1208</v>
      </c>
      <c r="D1753" s="208"/>
      <c r="E1753" s="208"/>
      <c r="F1753" s="521"/>
      <c r="G1753" s="522"/>
      <c r="H1753" s="210">
        <f>SUM(H1749:H1752)</f>
        <v>14781.75</v>
      </c>
      <c r="L1753" s="523"/>
      <c r="M1753" s="523"/>
      <c r="N1753" s="523"/>
      <c r="O1753" s="523"/>
      <c r="P1753" s="523"/>
    </row>
    <row r="1754" spans="3:20" s="517" customFormat="1" ht="31.2" customHeight="1">
      <c r="C1754" s="543" t="s">
        <v>1209</v>
      </c>
      <c r="D1754" s="750" t="s">
        <v>1210</v>
      </c>
      <c r="E1754" s="197"/>
      <c r="F1754" s="751"/>
      <c r="G1754" s="197"/>
      <c r="H1754" s="752"/>
      <c r="L1754" s="200"/>
      <c r="M1754" s="200"/>
      <c r="N1754" s="200"/>
      <c r="O1754" s="200"/>
      <c r="P1754" s="200"/>
    </row>
    <row r="1755" spans="3:20" s="517" customFormat="1" ht="31.2" customHeight="1">
      <c r="C1755" s="543">
        <v>1</v>
      </c>
      <c r="D1755" s="750" t="s">
        <v>6777</v>
      </c>
      <c r="E1755" s="203" t="s">
        <v>44</v>
      </c>
      <c r="F1755" s="753">
        <v>1.05</v>
      </c>
      <c r="G1755" s="205">
        <f>VLOOKUP(D1755,upahbahan,3,FALSE)</f>
        <v>0</v>
      </c>
      <c r="H1755" s="210">
        <f t="shared" ref="H1755:H1763" si="120">F1755*G1755</f>
        <v>0</v>
      </c>
      <c r="L1755" s="200"/>
      <c r="M1755" s="200"/>
      <c r="N1755" s="200"/>
      <c r="O1755" s="200"/>
      <c r="P1755" s="200"/>
    </row>
    <row r="1756" spans="3:20" s="517" customFormat="1" ht="31.2" customHeight="1">
      <c r="C1756" s="543">
        <v>2</v>
      </c>
      <c r="D1756" s="750" t="s">
        <v>5563</v>
      </c>
      <c r="E1756" s="203" t="s">
        <v>65</v>
      </c>
      <c r="F1756" s="753">
        <v>0.01</v>
      </c>
      <c r="G1756" s="205">
        <f>VLOOKUP(D1756,upahbahan,3,FALSE)</f>
        <v>0</v>
      </c>
      <c r="H1756" s="210">
        <f t="shared" si="120"/>
        <v>0</v>
      </c>
      <c r="L1756" s="200"/>
      <c r="M1756" s="200"/>
      <c r="N1756" s="200"/>
      <c r="O1756" s="200"/>
      <c r="P1756" s="200"/>
    </row>
    <row r="1757" spans="3:20" s="517" customFormat="1" ht="31.2" customHeight="1">
      <c r="C1757" s="543">
        <v>3</v>
      </c>
      <c r="D1757" s="750" t="s">
        <v>5555</v>
      </c>
      <c r="E1757" s="203"/>
      <c r="F1757" s="753"/>
      <c r="G1757" s="197"/>
      <c r="H1757" s="210">
        <f t="shared" si="120"/>
        <v>0</v>
      </c>
      <c r="L1757" s="200"/>
      <c r="M1757" s="200"/>
      <c r="N1757" s="200"/>
      <c r="O1757" s="200"/>
      <c r="P1757" s="200"/>
    </row>
    <row r="1758" spans="3:20" s="517" customFormat="1" ht="31.2" customHeight="1">
      <c r="C1758" s="754" t="s">
        <v>5293</v>
      </c>
      <c r="D1758" s="750" t="s">
        <v>7053</v>
      </c>
      <c r="E1758" s="203" t="s">
        <v>1300</v>
      </c>
      <c r="F1758" s="760">
        <v>12</v>
      </c>
      <c r="G1758" s="205">
        <f>VLOOKUP(D1758,upahbahan,3,FALSE)</f>
        <v>0</v>
      </c>
      <c r="H1758" s="210">
        <f t="shared" si="120"/>
        <v>0</v>
      </c>
      <c r="L1758" s="200"/>
      <c r="M1758" s="200"/>
      <c r="N1758" s="200"/>
      <c r="O1758" s="200"/>
      <c r="P1758" s="200"/>
    </row>
    <row r="1759" spans="3:20" s="517" customFormat="1" ht="31.2" customHeight="1">
      <c r="C1759" s="754" t="s">
        <v>5299</v>
      </c>
      <c r="D1759" s="750" t="s">
        <v>7055</v>
      </c>
      <c r="E1759" s="203" t="s">
        <v>113</v>
      </c>
      <c r="F1759" s="760">
        <v>10</v>
      </c>
      <c r="G1759" s="205">
        <f>VLOOKUP(D1759,upahbahan,3,FALSE)</f>
        <v>0</v>
      </c>
      <c r="H1759" s="210">
        <f t="shared" si="120"/>
        <v>0</v>
      </c>
      <c r="L1759" s="200"/>
      <c r="M1759" s="200"/>
      <c r="N1759" s="200"/>
      <c r="O1759" s="200"/>
      <c r="P1759" s="200"/>
    </row>
    <row r="1760" spans="3:20" s="517" customFormat="1" ht="31.2" customHeight="1">
      <c r="C1760" s="543">
        <v>4</v>
      </c>
      <c r="D1760" s="750" t="s">
        <v>5556</v>
      </c>
      <c r="E1760" s="203"/>
      <c r="F1760" s="753"/>
      <c r="G1760" s="197"/>
      <c r="H1760" s="210">
        <f t="shared" si="120"/>
        <v>0</v>
      </c>
      <c r="L1760" s="200"/>
      <c r="M1760" s="200"/>
      <c r="N1760" s="200"/>
      <c r="O1760" s="200"/>
      <c r="P1760" s="200"/>
    </row>
    <row r="1761" spans="3:20" s="517" customFormat="1" ht="31.2" customHeight="1">
      <c r="C1761" s="754" t="s">
        <v>5293</v>
      </c>
      <c r="D1761" s="750" t="s">
        <v>2084</v>
      </c>
      <c r="E1761" s="203" t="s">
        <v>42</v>
      </c>
      <c r="F1761" s="753">
        <v>4.9000000000000002E-2</v>
      </c>
      <c r="G1761" s="205">
        <f>VLOOKUP(D1761,upahbahan,3,FALSE)</f>
        <v>0</v>
      </c>
      <c r="H1761" s="210">
        <f t="shared" si="120"/>
        <v>0</v>
      </c>
      <c r="L1761" s="200"/>
      <c r="M1761" s="200"/>
      <c r="N1761" s="200"/>
      <c r="O1761" s="200"/>
      <c r="P1761" s="200"/>
    </row>
    <row r="1762" spans="3:20" s="517" customFormat="1" ht="31.2" customHeight="1">
      <c r="C1762" s="754" t="s">
        <v>5299</v>
      </c>
      <c r="D1762" s="750" t="s">
        <v>5566</v>
      </c>
      <c r="E1762" s="203" t="s">
        <v>42</v>
      </c>
      <c r="F1762" s="753">
        <v>1.2999999999999999E-2</v>
      </c>
      <c r="G1762" s="205">
        <f>VLOOKUP(D1762,upahbahan,3,FALSE)</f>
        <v>0</v>
      </c>
      <c r="H1762" s="210">
        <f t="shared" si="120"/>
        <v>0</v>
      </c>
      <c r="L1762" s="200"/>
      <c r="M1762" s="200"/>
      <c r="N1762" s="200"/>
      <c r="O1762" s="200"/>
      <c r="P1762" s="200"/>
    </row>
    <row r="1763" spans="3:20" s="517" customFormat="1" ht="31.2" customHeight="1">
      <c r="C1763" s="754" t="s">
        <v>5558</v>
      </c>
      <c r="D1763" s="750" t="s">
        <v>2325</v>
      </c>
      <c r="E1763" s="203" t="s">
        <v>42</v>
      </c>
      <c r="F1763" s="762">
        <v>3.0000000000000001E-3</v>
      </c>
      <c r="G1763" s="205">
        <f>VLOOKUP(D1763,upahbahan,3,FALSE)</f>
        <v>0</v>
      </c>
      <c r="H1763" s="210">
        <f t="shared" si="120"/>
        <v>0</v>
      </c>
      <c r="L1763" s="200"/>
      <c r="M1763" s="200"/>
      <c r="N1763" s="200"/>
      <c r="O1763" s="200"/>
      <c r="P1763" s="200"/>
    </row>
    <row r="1764" spans="3:20" s="517" customFormat="1" ht="31.2" customHeight="1">
      <c r="C1764" s="207" t="s">
        <v>1214</v>
      </c>
      <c r="D1764" s="208"/>
      <c r="E1764" s="568"/>
      <c r="F1764" s="208"/>
      <c r="G1764" s="209"/>
      <c r="H1764" s="210">
        <f>SUM(H1755:H1763)</f>
        <v>0</v>
      </c>
      <c r="L1764" s="200"/>
      <c r="M1764" s="200"/>
      <c r="N1764" s="200"/>
      <c r="O1764" s="200"/>
      <c r="P1764" s="200"/>
    </row>
    <row r="1765" spans="3:20" s="517" customFormat="1" ht="31.2" customHeight="1">
      <c r="C1765" s="756" t="s">
        <v>1215</v>
      </c>
      <c r="D1765" s="196" t="s">
        <v>1216</v>
      </c>
      <c r="E1765" s="203"/>
      <c r="F1765" s="197"/>
      <c r="G1765" s="197"/>
      <c r="H1765" s="198"/>
      <c r="L1765" s="200"/>
      <c r="M1765" s="200"/>
      <c r="N1765" s="200"/>
      <c r="O1765" s="200"/>
      <c r="P1765" s="200"/>
    </row>
    <row r="1766" spans="3:20" s="517" customFormat="1" ht="31.2" customHeight="1">
      <c r="C1766" s="207" t="s">
        <v>1217</v>
      </c>
      <c r="D1766" s="208"/>
      <c r="E1766" s="208"/>
      <c r="F1766" s="208"/>
      <c r="G1766" s="209"/>
      <c r="H1766" s="240">
        <f>SUM(H1765)</f>
        <v>0</v>
      </c>
      <c r="L1766" s="200"/>
      <c r="M1766" s="200"/>
      <c r="N1766" s="200"/>
      <c r="O1766" s="200"/>
      <c r="P1766" s="200"/>
    </row>
    <row r="1767" spans="3:20" s="517" customFormat="1" ht="31.2" customHeight="1">
      <c r="C1767" s="223" t="s">
        <v>1218</v>
      </c>
      <c r="D1767" s="224" t="s">
        <v>1219</v>
      </c>
      <c r="E1767" s="225"/>
      <c r="F1767" s="225"/>
      <c r="G1767" s="226"/>
      <c r="H1767" s="210">
        <f>H1766+H1764+H1753</f>
        <v>14781.75</v>
      </c>
      <c r="L1767" s="200"/>
      <c r="M1767" s="200"/>
      <c r="N1767" s="200"/>
      <c r="O1767" s="200"/>
      <c r="P1767" s="200"/>
    </row>
    <row r="1768" spans="3:20" s="517" customFormat="1" ht="31.2" customHeight="1">
      <c r="C1768" s="223" t="s">
        <v>1220</v>
      </c>
      <c r="D1768" s="224" t="s">
        <v>1321</v>
      </c>
      <c r="E1768" s="225"/>
      <c r="F1768" s="226"/>
      <c r="G1768" s="228">
        <v>0.1</v>
      </c>
      <c r="H1768" s="210">
        <f>H1767*G1768</f>
        <v>1478.1750000000002</v>
      </c>
      <c r="L1768" s="200"/>
      <c r="M1768" s="200"/>
      <c r="N1768" s="200"/>
      <c r="O1768" s="200"/>
      <c r="P1768" s="200"/>
    </row>
    <row r="1769" spans="3:20" s="517" customFormat="1" ht="31.2" customHeight="1" thickBot="1">
      <c r="C1769" s="229" t="s">
        <v>1221</v>
      </c>
      <c r="D1769" s="230" t="s">
        <v>1222</v>
      </c>
      <c r="E1769" s="231"/>
      <c r="F1769" s="231"/>
      <c r="G1769" s="232"/>
      <c r="H1769" s="233">
        <f>SUM(H1767:H1768)</f>
        <v>16259.924999999999</v>
      </c>
      <c r="L1769" s="200"/>
      <c r="M1769" s="200"/>
      <c r="N1769" s="200"/>
      <c r="O1769" s="200"/>
      <c r="P1769" s="200"/>
    </row>
    <row r="1770" spans="3:20" ht="31.2" customHeight="1" thickTop="1">
      <c r="D1770" s="758" t="s">
        <v>6949</v>
      </c>
    </row>
    <row r="1771" spans="3:20" ht="31.2" customHeight="1">
      <c r="C1771" s="757" t="s">
        <v>6950</v>
      </c>
      <c r="F1771" s="758"/>
      <c r="H1771" s="758" t="s">
        <v>6959</v>
      </c>
    </row>
    <row r="1772" spans="3:20" ht="31.2" customHeight="1">
      <c r="C1772" s="200" t="s">
        <v>6951</v>
      </c>
      <c r="F1772" s="758"/>
    </row>
    <row r="1773" spans="3:20" ht="31.2" customHeight="1">
      <c r="C1773" s="200" t="s">
        <v>6952</v>
      </c>
      <c r="F1773" s="758"/>
    </row>
    <row r="1774" spans="3:20" ht="31.2" customHeight="1"/>
    <row r="1775" spans="3:20" s="517" customFormat="1" ht="31.2" customHeight="1" thickBot="1">
      <c r="C1775" s="513" t="s">
        <v>7058</v>
      </c>
      <c r="D1775" s="748" t="s">
        <v>7059</v>
      </c>
      <c r="E1775" s="749"/>
      <c r="F1775" s="748"/>
      <c r="G1775" s="748"/>
      <c r="H1775" s="532"/>
      <c r="I1775" s="532"/>
      <c r="J1775" s="532"/>
      <c r="K1775" s="532"/>
      <c r="M1775" s="189"/>
      <c r="N1775" s="189"/>
      <c r="O1775" s="189"/>
      <c r="P1775" s="189"/>
      <c r="R1775" s="189">
        <f>ROUNDDOWN(H1798,-2)</f>
        <v>16200</v>
      </c>
      <c r="S1775" s="517" t="s">
        <v>6451</v>
      </c>
      <c r="T1775" s="517" t="s">
        <v>7014</v>
      </c>
    </row>
    <row r="1776" spans="3:20" s="517" customFormat="1" ht="31.2" customHeight="1" thickTop="1">
      <c r="C1776" s="190" t="s">
        <v>1195</v>
      </c>
      <c r="D1776" s="191" t="s">
        <v>1196</v>
      </c>
      <c r="E1776" s="191" t="s">
        <v>1197</v>
      </c>
      <c r="F1776" s="191" t="s">
        <v>1198</v>
      </c>
      <c r="G1776" s="191" t="s">
        <v>1199</v>
      </c>
      <c r="H1776" s="192" t="s">
        <v>1200</v>
      </c>
      <c r="L1776" s="200"/>
      <c r="M1776" s="200"/>
      <c r="N1776" s="200"/>
      <c r="O1776" s="200"/>
      <c r="P1776" s="200"/>
    </row>
    <row r="1777" spans="3:16" s="517" customFormat="1" ht="31.2" customHeight="1">
      <c r="C1777" s="518" t="s">
        <v>1201</v>
      </c>
      <c r="D1777" s="196" t="s">
        <v>1202</v>
      </c>
      <c r="E1777" s="197"/>
      <c r="F1777" s="197"/>
      <c r="G1777" s="197"/>
      <c r="H1777" s="198"/>
      <c r="L1777" s="200"/>
      <c r="M1777" s="200"/>
      <c r="N1777" s="200"/>
      <c r="O1777" s="200"/>
      <c r="P1777" s="200"/>
    </row>
    <row r="1778" spans="3:16" s="517" customFormat="1" ht="31.2" customHeight="1">
      <c r="C1778" s="518">
        <v>1</v>
      </c>
      <c r="D1778" s="196" t="s">
        <v>5</v>
      </c>
      <c r="E1778" s="203" t="s">
        <v>2102</v>
      </c>
      <c r="F1778" s="763">
        <v>0.04</v>
      </c>
      <c r="G1778" s="205">
        <f>VLOOKUP(D1778,upahbahan,3,FALSE)</f>
        <v>100000</v>
      </c>
      <c r="H1778" s="210">
        <f t="shared" ref="H1778:H1781" si="121">F1778*G1778</f>
        <v>4000</v>
      </c>
      <c r="L1778" s="200"/>
      <c r="M1778" s="200"/>
      <c r="N1778" s="200"/>
      <c r="O1778" s="200"/>
      <c r="P1778" s="200"/>
    </row>
    <row r="1779" spans="3:16" s="517" customFormat="1" ht="31.2" customHeight="1">
      <c r="C1779" s="537">
        <v>2</v>
      </c>
      <c r="D1779" s="196" t="s">
        <v>6954</v>
      </c>
      <c r="E1779" s="202" t="s">
        <v>6</v>
      </c>
      <c r="F1779" s="520">
        <v>0.04</v>
      </c>
      <c r="G1779" s="205">
        <f>VLOOKUP(D1779,upahbahan,3,FALSE)</f>
        <v>181250</v>
      </c>
      <c r="H1779" s="210">
        <f t="shared" si="121"/>
        <v>7250</v>
      </c>
      <c r="L1779" s="200"/>
      <c r="M1779" s="200"/>
      <c r="N1779" s="200"/>
      <c r="O1779" s="200"/>
      <c r="P1779" s="200"/>
    </row>
    <row r="1780" spans="3:16" s="517" customFormat="1" ht="31.2" customHeight="1">
      <c r="C1780" s="537">
        <v>3</v>
      </c>
      <c r="D1780" s="196" t="s">
        <v>6948</v>
      </c>
      <c r="E1780" s="202" t="s">
        <v>2102</v>
      </c>
      <c r="F1780" s="520">
        <v>1.2999999999999999E-2</v>
      </c>
      <c r="G1780" s="205">
        <f>VLOOKUP(D1780,upahbahan,3,FALSE)</f>
        <v>218750</v>
      </c>
      <c r="H1780" s="210">
        <f t="shared" si="121"/>
        <v>2843.75</v>
      </c>
      <c r="L1780" s="200"/>
      <c r="M1780" s="200"/>
      <c r="N1780" s="200"/>
      <c r="O1780" s="200"/>
      <c r="P1780" s="200"/>
    </row>
    <row r="1781" spans="3:16" s="517" customFormat="1" ht="31.2" customHeight="1">
      <c r="C1781" s="537">
        <v>4</v>
      </c>
      <c r="D1781" s="196" t="s">
        <v>19</v>
      </c>
      <c r="E1781" s="202" t="s">
        <v>6</v>
      </c>
      <c r="F1781" s="520">
        <v>4.3E-3</v>
      </c>
      <c r="G1781" s="205">
        <f>VLOOKUP(D1781,upahbahan,3,FALSE)</f>
        <v>160000</v>
      </c>
      <c r="H1781" s="210">
        <f t="shared" si="121"/>
        <v>688</v>
      </c>
      <c r="L1781" s="200"/>
      <c r="M1781" s="200"/>
      <c r="N1781" s="200"/>
      <c r="O1781" s="200"/>
      <c r="P1781" s="200"/>
    </row>
    <row r="1782" spans="3:16" s="517" customFormat="1" ht="31.2" customHeight="1">
      <c r="C1782" s="207" t="s">
        <v>1208</v>
      </c>
      <c r="D1782" s="208"/>
      <c r="E1782" s="208"/>
      <c r="F1782" s="521"/>
      <c r="G1782" s="522"/>
      <c r="H1782" s="210">
        <f>SUM(H1778:H1781)</f>
        <v>14781.75</v>
      </c>
      <c r="L1782" s="523"/>
      <c r="M1782" s="523"/>
      <c r="N1782" s="523"/>
      <c r="O1782" s="523"/>
      <c r="P1782" s="523"/>
    </row>
    <row r="1783" spans="3:16" s="517" customFormat="1" ht="31.2" customHeight="1">
      <c r="C1783" s="543" t="s">
        <v>1209</v>
      </c>
      <c r="D1783" s="750" t="s">
        <v>1210</v>
      </c>
      <c r="E1783" s="197"/>
      <c r="F1783" s="751"/>
      <c r="G1783" s="197"/>
      <c r="H1783" s="752"/>
      <c r="L1783" s="200"/>
      <c r="M1783" s="200"/>
      <c r="N1783" s="200"/>
      <c r="O1783" s="200"/>
      <c r="P1783" s="200"/>
    </row>
    <row r="1784" spans="3:16" s="517" customFormat="1" ht="31.2" customHeight="1">
      <c r="C1784" s="543">
        <v>1</v>
      </c>
      <c r="D1784" s="750" t="s">
        <v>7060</v>
      </c>
      <c r="E1784" s="203" t="s">
        <v>44</v>
      </c>
      <c r="F1784" s="753">
        <v>1.05</v>
      </c>
      <c r="G1784" s="205">
        <f>VLOOKUP(D1784,upahbahan,3,FALSE)</f>
        <v>0</v>
      </c>
      <c r="H1784" s="210">
        <f t="shared" ref="H1784:H1792" si="122">F1784*G1784</f>
        <v>0</v>
      </c>
      <c r="L1784" s="200"/>
      <c r="M1784" s="200"/>
      <c r="N1784" s="200"/>
      <c r="O1784" s="200"/>
      <c r="P1784" s="200"/>
    </row>
    <row r="1785" spans="3:16" s="517" customFormat="1" ht="31.2" customHeight="1">
      <c r="C1785" s="543">
        <v>2</v>
      </c>
      <c r="D1785" s="750" t="s">
        <v>5563</v>
      </c>
      <c r="E1785" s="203" t="s">
        <v>65</v>
      </c>
      <c r="F1785" s="753">
        <v>0.01</v>
      </c>
      <c r="G1785" s="205">
        <f>VLOOKUP(D1785,upahbahan,3,FALSE)</f>
        <v>0</v>
      </c>
      <c r="H1785" s="210">
        <f t="shared" si="122"/>
        <v>0</v>
      </c>
      <c r="L1785" s="200"/>
      <c r="M1785" s="200"/>
      <c r="N1785" s="200"/>
      <c r="O1785" s="200"/>
      <c r="P1785" s="200"/>
    </row>
    <row r="1786" spans="3:16" s="517" customFormat="1" ht="31.2" customHeight="1">
      <c r="C1786" s="543">
        <v>3</v>
      </c>
      <c r="D1786" s="750" t="s">
        <v>5555</v>
      </c>
      <c r="E1786" s="203"/>
      <c r="F1786" s="753"/>
      <c r="G1786" s="197"/>
      <c r="H1786" s="210">
        <f t="shared" si="122"/>
        <v>0</v>
      </c>
      <c r="L1786" s="200"/>
      <c r="M1786" s="200"/>
      <c r="N1786" s="200"/>
      <c r="O1786" s="200"/>
      <c r="P1786" s="200"/>
    </row>
    <row r="1787" spans="3:16" s="517" customFormat="1" ht="31.2" customHeight="1">
      <c r="C1787" s="754" t="s">
        <v>5293</v>
      </c>
      <c r="D1787" s="750" t="s">
        <v>7053</v>
      </c>
      <c r="E1787" s="203" t="s">
        <v>1300</v>
      </c>
      <c r="F1787" s="760">
        <v>12</v>
      </c>
      <c r="G1787" s="205">
        <f>VLOOKUP(D1787,upahbahan,3,FALSE)</f>
        <v>0</v>
      </c>
      <c r="H1787" s="210">
        <f t="shared" si="122"/>
        <v>0</v>
      </c>
      <c r="L1787" s="200"/>
      <c r="M1787" s="200"/>
      <c r="N1787" s="200"/>
      <c r="O1787" s="200"/>
      <c r="P1787" s="200"/>
    </row>
    <row r="1788" spans="3:16" s="517" customFormat="1" ht="31.2" customHeight="1">
      <c r="C1788" s="754" t="s">
        <v>5299</v>
      </c>
      <c r="D1788" s="750" t="s">
        <v>7055</v>
      </c>
      <c r="E1788" s="203" t="s">
        <v>113</v>
      </c>
      <c r="F1788" s="760">
        <v>10</v>
      </c>
      <c r="G1788" s="205">
        <f>VLOOKUP(D1788,upahbahan,3,FALSE)</f>
        <v>0</v>
      </c>
      <c r="H1788" s="210">
        <f t="shared" si="122"/>
        <v>0</v>
      </c>
      <c r="L1788" s="200"/>
      <c r="M1788" s="200"/>
      <c r="N1788" s="200"/>
      <c r="O1788" s="200"/>
      <c r="P1788" s="200"/>
    </row>
    <row r="1789" spans="3:16" s="517" customFormat="1" ht="31.2" customHeight="1">
      <c r="C1789" s="543">
        <v>4</v>
      </c>
      <c r="D1789" s="750" t="s">
        <v>5556</v>
      </c>
      <c r="E1789" s="203"/>
      <c r="F1789" s="753"/>
      <c r="G1789" s="197"/>
      <c r="H1789" s="210">
        <f t="shared" si="122"/>
        <v>0</v>
      </c>
      <c r="L1789" s="200"/>
      <c r="M1789" s="200"/>
      <c r="N1789" s="200"/>
      <c r="O1789" s="200"/>
      <c r="P1789" s="200"/>
    </row>
    <row r="1790" spans="3:16" s="517" customFormat="1" ht="31.2" customHeight="1">
      <c r="C1790" s="754" t="s">
        <v>5293</v>
      </c>
      <c r="D1790" s="750" t="s">
        <v>2084</v>
      </c>
      <c r="E1790" s="203" t="s">
        <v>42</v>
      </c>
      <c r="F1790" s="753">
        <v>4.9000000000000002E-2</v>
      </c>
      <c r="G1790" s="205">
        <f>VLOOKUP(D1790,upahbahan,3,FALSE)</f>
        <v>0</v>
      </c>
      <c r="H1790" s="210">
        <f t="shared" si="122"/>
        <v>0</v>
      </c>
      <c r="L1790" s="200"/>
      <c r="M1790" s="200"/>
      <c r="N1790" s="200"/>
      <c r="O1790" s="200"/>
      <c r="P1790" s="200"/>
    </row>
    <row r="1791" spans="3:16" s="517" customFormat="1" ht="31.2" customHeight="1">
      <c r="C1791" s="754" t="s">
        <v>5299</v>
      </c>
      <c r="D1791" s="750" t="s">
        <v>5566</v>
      </c>
      <c r="E1791" s="203" t="s">
        <v>42</v>
      </c>
      <c r="F1791" s="753">
        <v>1.2999999999999999E-2</v>
      </c>
      <c r="G1791" s="205">
        <f>VLOOKUP(D1791,upahbahan,3,FALSE)</f>
        <v>0</v>
      </c>
      <c r="H1791" s="210">
        <f t="shared" si="122"/>
        <v>0</v>
      </c>
      <c r="L1791" s="200"/>
      <c r="M1791" s="200"/>
      <c r="N1791" s="200"/>
      <c r="O1791" s="200"/>
      <c r="P1791" s="200"/>
    </row>
    <row r="1792" spans="3:16" s="517" customFormat="1" ht="31.2" customHeight="1">
      <c r="C1792" s="754" t="s">
        <v>5558</v>
      </c>
      <c r="D1792" s="750" t="s">
        <v>2325</v>
      </c>
      <c r="E1792" s="203" t="s">
        <v>42</v>
      </c>
      <c r="F1792" s="762">
        <v>3.0000000000000001E-3</v>
      </c>
      <c r="G1792" s="205">
        <f>VLOOKUP(D1792,upahbahan,3,FALSE)</f>
        <v>0</v>
      </c>
      <c r="H1792" s="210">
        <f t="shared" si="122"/>
        <v>0</v>
      </c>
      <c r="L1792" s="200"/>
      <c r="M1792" s="200"/>
      <c r="N1792" s="200"/>
      <c r="O1792" s="200"/>
      <c r="P1792" s="200"/>
    </row>
    <row r="1793" spans="3:20" s="517" customFormat="1" ht="31.2" customHeight="1">
      <c r="C1793" s="207" t="s">
        <v>1214</v>
      </c>
      <c r="D1793" s="208"/>
      <c r="E1793" s="568"/>
      <c r="F1793" s="208"/>
      <c r="G1793" s="209"/>
      <c r="H1793" s="210">
        <f>SUM(H1784:H1792)</f>
        <v>0</v>
      </c>
      <c r="L1793" s="200"/>
      <c r="M1793" s="200"/>
      <c r="N1793" s="200"/>
      <c r="O1793" s="200"/>
      <c r="P1793" s="200"/>
    </row>
    <row r="1794" spans="3:20" s="517" customFormat="1" ht="31.2" customHeight="1">
      <c r="C1794" s="756" t="s">
        <v>1215</v>
      </c>
      <c r="D1794" s="196" t="s">
        <v>1216</v>
      </c>
      <c r="E1794" s="203"/>
      <c r="F1794" s="197"/>
      <c r="G1794" s="197"/>
      <c r="H1794" s="198"/>
      <c r="L1794" s="200"/>
      <c r="M1794" s="200"/>
      <c r="N1794" s="200"/>
      <c r="O1794" s="200"/>
      <c r="P1794" s="200"/>
    </row>
    <row r="1795" spans="3:20" s="517" customFormat="1" ht="31.2" customHeight="1">
      <c r="C1795" s="207" t="s">
        <v>1217</v>
      </c>
      <c r="D1795" s="208"/>
      <c r="E1795" s="208"/>
      <c r="F1795" s="208"/>
      <c r="G1795" s="209"/>
      <c r="H1795" s="240">
        <f>SUM(H1794)</f>
        <v>0</v>
      </c>
      <c r="L1795" s="200"/>
      <c r="M1795" s="200"/>
      <c r="N1795" s="200"/>
      <c r="O1795" s="200"/>
      <c r="P1795" s="200"/>
    </row>
    <row r="1796" spans="3:20" s="517" customFormat="1" ht="31.2" customHeight="1">
      <c r="C1796" s="223" t="s">
        <v>1218</v>
      </c>
      <c r="D1796" s="224" t="s">
        <v>1219</v>
      </c>
      <c r="E1796" s="225"/>
      <c r="F1796" s="225"/>
      <c r="G1796" s="226"/>
      <c r="H1796" s="210">
        <f>H1795+H1793+H1782</f>
        <v>14781.75</v>
      </c>
      <c r="L1796" s="200"/>
      <c r="M1796" s="200"/>
      <c r="N1796" s="200"/>
      <c r="O1796" s="200"/>
      <c r="P1796" s="200"/>
    </row>
    <row r="1797" spans="3:20" s="517" customFormat="1" ht="31.2" customHeight="1">
      <c r="C1797" s="223" t="s">
        <v>1220</v>
      </c>
      <c r="D1797" s="224" t="s">
        <v>1321</v>
      </c>
      <c r="E1797" s="225"/>
      <c r="F1797" s="226"/>
      <c r="G1797" s="228">
        <v>0.1</v>
      </c>
      <c r="H1797" s="210">
        <f>H1796*G1797</f>
        <v>1478.1750000000002</v>
      </c>
      <c r="L1797" s="200"/>
      <c r="M1797" s="200"/>
      <c r="N1797" s="200"/>
      <c r="O1797" s="200"/>
      <c r="P1797" s="200"/>
    </row>
    <row r="1798" spans="3:20" s="517" customFormat="1" ht="31.2" customHeight="1" thickBot="1">
      <c r="C1798" s="229" t="s">
        <v>1221</v>
      </c>
      <c r="D1798" s="230" t="s">
        <v>1222</v>
      </c>
      <c r="E1798" s="231"/>
      <c r="F1798" s="231"/>
      <c r="G1798" s="232"/>
      <c r="H1798" s="233">
        <f>SUM(H1796:H1797)</f>
        <v>16259.924999999999</v>
      </c>
      <c r="L1798" s="200"/>
      <c r="M1798" s="200"/>
      <c r="N1798" s="200"/>
      <c r="O1798" s="200"/>
      <c r="P1798" s="200"/>
    </row>
    <row r="1799" spans="3:20" ht="31.2" customHeight="1" thickTop="1">
      <c r="D1799" s="758" t="s">
        <v>6949</v>
      </c>
    </row>
    <row r="1800" spans="3:20" ht="31.2" customHeight="1">
      <c r="C1800" s="757" t="s">
        <v>6950</v>
      </c>
      <c r="F1800" s="758"/>
      <c r="H1800" s="758" t="s">
        <v>6959</v>
      </c>
    </row>
    <row r="1801" spans="3:20" ht="31.2" customHeight="1">
      <c r="C1801" s="200" t="s">
        <v>6951</v>
      </c>
      <c r="F1801" s="758"/>
    </row>
    <row r="1802" spans="3:20" ht="31.2" customHeight="1">
      <c r="C1802" s="200" t="s">
        <v>6952</v>
      </c>
      <c r="F1802" s="758"/>
    </row>
    <row r="1803" spans="3:20" ht="31.2" customHeight="1"/>
    <row r="1804" spans="3:20" s="517" customFormat="1" ht="31.2" customHeight="1" thickBot="1">
      <c r="C1804" s="513" t="s">
        <v>7061</v>
      </c>
      <c r="D1804" s="748" t="s">
        <v>7062</v>
      </c>
      <c r="E1804" s="749"/>
      <c r="F1804" s="748"/>
      <c r="G1804" s="748"/>
      <c r="H1804" s="532"/>
      <c r="I1804" s="532"/>
      <c r="J1804" s="532"/>
      <c r="K1804" s="532"/>
      <c r="M1804" s="189"/>
      <c r="N1804" s="189"/>
      <c r="O1804" s="189"/>
      <c r="P1804" s="189"/>
      <c r="R1804" s="189">
        <f>ROUNDDOWN(H1827,-2)</f>
        <v>16200</v>
      </c>
      <c r="S1804" s="517" t="s">
        <v>6451</v>
      </c>
      <c r="T1804" s="517" t="s">
        <v>7014</v>
      </c>
    </row>
    <row r="1805" spans="3:20" s="517" customFormat="1" ht="31.2" customHeight="1" thickTop="1">
      <c r="C1805" s="190" t="s">
        <v>1195</v>
      </c>
      <c r="D1805" s="191" t="s">
        <v>1196</v>
      </c>
      <c r="E1805" s="191" t="s">
        <v>1197</v>
      </c>
      <c r="F1805" s="191" t="s">
        <v>1198</v>
      </c>
      <c r="G1805" s="191" t="s">
        <v>1199</v>
      </c>
      <c r="H1805" s="192" t="s">
        <v>1200</v>
      </c>
      <c r="L1805" s="200"/>
      <c r="M1805" s="200"/>
      <c r="N1805" s="200"/>
      <c r="O1805" s="200"/>
      <c r="P1805" s="200"/>
    </row>
    <row r="1806" spans="3:20" s="517" customFormat="1" ht="31.2" customHeight="1">
      <c r="C1806" s="518" t="s">
        <v>1201</v>
      </c>
      <c r="D1806" s="196" t="s">
        <v>1202</v>
      </c>
      <c r="E1806" s="197"/>
      <c r="F1806" s="197"/>
      <c r="G1806" s="197"/>
      <c r="H1806" s="198"/>
      <c r="L1806" s="200"/>
      <c r="M1806" s="200"/>
      <c r="N1806" s="200"/>
      <c r="O1806" s="200"/>
      <c r="P1806" s="200"/>
    </row>
    <row r="1807" spans="3:20" s="517" customFormat="1" ht="31.2" customHeight="1">
      <c r="C1807" s="518">
        <v>1</v>
      </c>
      <c r="D1807" s="196" t="s">
        <v>5</v>
      </c>
      <c r="E1807" s="203" t="s">
        <v>2102</v>
      </c>
      <c r="F1807" s="763">
        <v>0.04</v>
      </c>
      <c r="G1807" s="205">
        <f>VLOOKUP(D1807,upahbahan,3,FALSE)</f>
        <v>100000</v>
      </c>
      <c r="H1807" s="210">
        <f t="shared" ref="H1807:H1810" si="123">F1807*G1807</f>
        <v>4000</v>
      </c>
      <c r="L1807" s="200"/>
      <c r="M1807" s="200"/>
      <c r="N1807" s="200"/>
      <c r="O1807" s="200"/>
      <c r="P1807" s="200"/>
    </row>
    <row r="1808" spans="3:20" s="517" customFormat="1" ht="31.2" customHeight="1">
      <c r="C1808" s="537">
        <v>2</v>
      </c>
      <c r="D1808" s="196" t="s">
        <v>6954</v>
      </c>
      <c r="E1808" s="202" t="s">
        <v>6</v>
      </c>
      <c r="F1808" s="520">
        <v>0.04</v>
      </c>
      <c r="G1808" s="205">
        <f>VLOOKUP(D1808,upahbahan,3,FALSE)</f>
        <v>181250</v>
      </c>
      <c r="H1808" s="210">
        <f t="shared" si="123"/>
        <v>7250</v>
      </c>
      <c r="L1808" s="200"/>
      <c r="M1808" s="200"/>
      <c r="N1808" s="200"/>
      <c r="O1808" s="200"/>
      <c r="P1808" s="200"/>
    </row>
    <row r="1809" spans="3:16" s="517" customFormat="1" ht="31.2" customHeight="1">
      <c r="C1809" s="537">
        <v>3</v>
      </c>
      <c r="D1809" s="196" t="s">
        <v>6948</v>
      </c>
      <c r="E1809" s="202" t="s">
        <v>2102</v>
      </c>
      <c r="F1809" s="520">
        <v>1.2999999999999999E-2</v>
      </c>
      <c r="G1809" s="205">
        <f>VLOOKUP(D1809,upahbahan,3,FALSE)</f>
        <v>218750</v>
      </c>
      <c r="H1809" s="210">
        <f t="shared" si="123"/>
        <v>2843.75</v>
      </c>
      <c r="L1809" s="200"/>
      <c r="M1809" s="200"/>
      <c r="N1809" s="200"/>
      <c r="O1809" s="200"/>
      <c r="P1809" s="200"/>
    </row>
    <row r="1810" spans="3:16" s="517" customFormat="1" ht="31.2" customHeight="1">
      <c r="C1810" s="537">
        <v>4</v>
      </c>
      <c r="D1810" s="196" t="s">
        <v>19</v>
      </c>
      <c r="E1810" s="202" t="s">
        <v>6</v>
      </c>
      <c r="F1810" s="520">
        <v>4.3E-3</v>
      </c>
      <c r="G1810" s="205">
        <f>VLOOKUP(D1810,upahbahan,3,FALSE)</f>
        <v>160000</v>
      </c>
      <c r="H1810" s="210">
        <f t="shared" si="123"/>
        <v>688</v>
      </c>
      <c r="L1810" s="200"/>
      <c r="M1810" s="200"/>
      <c r="N1810" s="200"/>
      <c r="O1810" s="200"/>
      <c r="P1810" s="200"/>
    </row>
    <row r="1811" spans="3:16" s="517" customFormat="1" ht="31.2" customHeight="1">
      <c r="C1811" s="207" t="s">
        <v>1208</v>
      </c>
      <c r="D1811" s="208"/>
      <c r="E1811" s="208"/>
      <c r="F1811" s="521"/>
      <c r="G1811" s="522"/>
      <c r="H1811" s="210">
        <f>SUM(H1807:H1810)</f>
        <v>14781.75</v>
      </c>
      <c r="L1811" s="523"/>
      <c r="M1811" s="523"/>
      <c r="N1811" s="523"/>
      <c r="O1811" s="523"/>
      <c r="P1811" s="523"/>
    </row>
    <row r="1812" spans="3:16" s="517" customFormat="1" ht="31.2" customHeight="1">
      <c r="C1812" s="543" t="s">
        <v>1209</v>
      </c>
      <c r="D1812" s="750" t="s">
        <v>1210</v>
      </c>
      <c r="E1812" s="197"/>
      <c r="F1812" s="751"/>
      <c r="G1812" s="197"/>
      <c r="H1812" s="752"/>
      <c r="L1812" s="200"/>
      <c r="M1812" s="200"/>
      <c r="N1812" s="200"/>
      <c r="O1812" s="200"/>
      <c r="P1812" s="200"/>
    </row>
    <row r="1813" spans="3:16" s="517" customFormat="1" ht="31.2" customHeight="1">
      <c r="C1813" s="543">
        <v>1</v>
      </c>
      <c r="D1813" s="750" t="s">
        <v>7063</v>
      </c>
      <c r="E1813" s="203" t="s">
        <v>44</v>
      </c>
      <c r="F1813" s="753">
        <v>1.05</v>
      </c>
      <c r="G1813" s="205">
        <f>VLOOKUP(D1813,upahbahan,3,FALSE)</f>
        <v>0</v>
      </c>
      <c r="H1813" s="210">
        <f t="shared" ref="H1813:H1821" si="124">F1813*G1813</f>
        <v>0</v>
      </c>
      <c r="L1813" s="200"/>
      <c r="M1813" s="200"/>
      <c r="N1813" s="200"/>
      <c r="O1813" s="200"/>
      <c r="P1813" s="200"/>
    </row>
    <row r="1814" spans="3:16" s="517" customFormat="1" ht="31.2" customHeight="1">
      <c r="C1814" s="543">
        <v>2</v>
      </c>
      <c r="D1814" s="750" t="s">
        <v>5563</v>
      </c>
      <c r="E1814" s="203" t="s">
        <v>65</v>
      </c>
      <c r="F1814" s="753">
        <v>0.01</v>
      </c>
      <c r="G1814" s="205">
        <f>VLOOKUP(D1814,upahbahan,3,FALSE)</f>
        <v>0</v>
      </c>
      <c r="H1814" s="210">
        <f t="shared" si="124"/>
        <v>0</v>
      </c>
      <c r="L1814" s="200"/>
      <c r="M1814" s="200"/>
      <c r="N1814" s="200"/>
      <c r="O1814" s="200"/>
      <c r="P1814" s="200"/>
    </row>
    <row r="1815" spans="3:16" s="517" customFormat="1" ht="31.2" customHeight="1">
      <c r="C1815" s="543">
        <v>3</v>
      </c>
      <c r="D1815" s="750" t="s">
        <v>5555</v>
      </c>
      <c r="E1815" s="203"/>
      <c r="F1815" s="753"/>
      <c r="G1815" s="197"/>
      <c r="H1815" s="210">
        <f t="shared" si="124"/>
        <v>0</v>
      </c>
      <c r="L1815" s="200"/>
      <c r="M1815" s="200"/>
      <c r="N1815" s="200"/>
      <c r="O1815" s="200"/>
      <c r="P1815" s="200"/>
    </row>
    <row r="1816" spans="3:16" s="517" customFormat="1" ht="31.2" customHeight="1">
      <c r="C1816" s="754" t="s">
        <v>5293</v>
      </c>
      <c r="D1816" s="750" t="s">
        <v>7053</v>
      </c>
      <c r="E1816" s="203" t="s">
        <v>1300</v>
      </c>
      <c r="F1816" s="760">
        <v>12</v>
      </c>
      <c r="G1816" s="205">
        <f>VLOOKUP(D1816,upahbahan,3,FALSE)</f>
        <v>0</v>
      </c>
      <c r="H1816" s="210">
        <f t="shared" si="124"/>
        <v>0</v>
      </c>
      <c r="L1816" s="200"/>
      <c r="M1816" s="200"/>
      <c r="N1816" s="200"/>
      <c r="O1816" s="200"/>
      <c r="P1816" s="200"/>
    </row>
    <row r="1817" spans="3:16" s="517" customFormat="1" ht="31.2" customHeight="1">
      <c r="C1817" s="754" t="s">
        <v>5299</v>
      </c>
      <c r="D1817" s="750" t="s">
        <v>7055</v>
      </c>
      <c r="E1817" s="203" t="s">
        <v>113</v>
      </c>
      <c r="F1817" s="760">
        <v>10</v>
      </c>
      <c r="G1817" s="205">
        <f>VLOOKUP(D1817,upahbahan,3,FALSE)</f>
        <v>0</v>
      </c>
      <c r="H1817" s="210">
        <f t="shared" si="124"/>
        <v>0</v>
      </c>
      <c r="L1817" s="200"/>
      <c r="M1817" s="200"/>
      <c r="N1817" s="200"/>
      <c r="O1817" s="200"/>
      <c r="P1817" s="200"/>
    </row>
    <row r="1818" spans="3:16" s="517" customFormat="1" ht="31.2" customHeight="1">
      <c r="C1818" s="543">
        <v>4</v>
      </c>
      <c r="D1818" s="750" t="s">
        <v>5556</v>
      </c>
      <c r="E1818" s="203"/>
      <c r="F1818" s="753"/>
      <c r="G1818" s="197"/>
      <c r="H1818" s="210">
        <f t="shared" si="124"/>
        <v>0</v>
      </c>
      <c r="L1818" s="200"/>
      <c r="M1818" s="200"/>
      <c r="N1818" s="200"/>
      <c r="O1818" s="200"/>
      <c r="P1818" s="200"/>
    </row>
    <row r="1819" spans="3:16" s="517" customFormat="1" ht="31.2" customHeight="1">
      <c r="C1819" s="754" t="s">
        <v>5293</v>
      </c>
      <c r="D1819" s="750" t="s">
        <v>2084</v>
      </c>
      <c r="E1819" s="203" t="s">
        <v>42</v>
      </c>
      <c r="F1819" s="753">
        <v>4.9000000000000002E-2</v>
      </c>
      <c r="G1819" s="205">
        <f>VLOOKUP(D1819,upahbahan,3,FALSE)</f>
        <v>0</v>
      </c>
      <c r="H1819" s="210">
        <f t="shared" si="124"/>
        <v>0</v>
      </c>
      <c r="L1819" s="200"/>
      <c r="M1819" s="200"/>
      <c r="N1819" s="200"/>
      <c r="O1819" s="200"/>
      <c r="P1819" s="200"/>
    </row>
    <row r="1820" spans="3:16" s="517" customFormat="1" ht="31.2" customHeight="1">
      <c r="C1820" s="754" t="s">
        <v>5299</v>
      </c>
      <c r="D1820" s="750" t="s">
        <v>5566</v>
      </c>
      <c r="E1820" s="203" t="s">
        <v>42</v>
      </c>
      <c r="F1820" s="753">
        <v>1.2999999999999999E-2</v>
      </c>
      <c r="G1820" s="205">
        <f>VLOOKUP(D1820,upahbahan,3,FALSE)</f>
        <v>0</v>
      </c>
      <c r="H1820" s="210">
        <f t="shared" si="124"/>
        <v>0</v>
      </c>
      <c r="L1820" s="200"/>
      <c r="M1820" s="200"/>
      <c r="N1820" s="200"/>
      <c r="O1820" s="200"/>
      <c r="P1820" s="200"/>
    </row>
    <row r="1821" spans="3:16" s="517" customFormat="1" ht="31.2" customHeight="1">
      <c r="C1821" s="754" t="s">
        <v>5558</v>
      </c>
      <c r="D1821" s="750" t="s">
        <v>2325</v>
      </c>
      <c r="E1821" s="203" t="s">
        <v>42</v>
      </c>
      <c r="F1821" s="762">
        <v>3.0000000000000001E-3</v>
      </c>
      <c r="G1821" s="205">
        <f>VLOOKUP(D1821,upahbahan,3,FALSE)</f>
        <v>0</v>
      </c>
      <c r="H1821" s="210">
        <f t="shared" si="124"/>
        <v>0</v>
      </c>
      <c r="L1821" s="200"/>
      <c r="M1821" s="200"/>
      <c r="N1821" s="200"/>
      <c r="O1821" s="200"/>
      <c r="P1821" s="200"/>
    </row>
    <row r="1822" spans="3:16" s="517" customFormat="1" ht="31.2" customHeight="1">
      <c r="C1822" s="207" t="s">
        <v>1214</v>
      </c>
      <c r="D1822" s="208"/>
      <c r="E1822" s="568"/>
      <c r="F1822" s="208"/>
      <c r="G1822" s="209"/>
      <c r="H1822" s="210">
        <f>SUM(H1813:H1821)</f>
        <v>0</v>
      </c>
      <c r="L1822" s="200"/>
      <c r="M1822" s="200"/>
      <c r="N1822" s="200"/>
      <c r="O1822" s="200"/>
      <c r="P1822" s="200"/>
    </row>
    <row r="1823" spans="3:16" s="517" customFormat="1" ht="31.2" customHeight="1">
      <c r="C1823" s="756" t="s">
        <v>1215</v>
      </c>
      <c r="D1823" s="196" t="s">
        <v>1216</v>
      </c>
      <c r="E1823" s="203"/>
      <c r="F1823" s="197"/>
      <c r="G1823" s="197"/>
      <c r="H1823" s="198"/>
      <c r="L1823" s="200"/>
      <c r="M1823" s="200"/>
      <c r="N1823" s="200"/>
      <c r="O1823" s="200"/>
      <c r="P1823" s="200"/>
    </row>
    <row r="1824" spans="3:16" s="517" customFormat="1" ht="31.2" customHeight="1">
      <c r="C1824" s="207" t="s">
        <v>1217</v>
      </c>
      <c r="D1824" s="208"/>
      <c r="E1824" s="208"/>
      <c r="F1824" s="208"/>
      <c r="G1824" s="209"/>
      <c r="H1824" s="240">
        <f>SUM(H1823)</f>
        <v>0</v>
      </c>
      <c r="L1824" s="200"/>
      <c r="M1824" s="200"/>
      <c r="N1824" s="200"/>
      <c r="O1824" s="200"/>
      <c r="P1824" s="200"/>
    </row>
    <row r="1825" spans="3:20" s="517" customFormat="1" ht="31.2" customHeight="1">
      <c r="C1825" s="223" t="s">
        <v>1218</v>
      </c>
      <c r="D1825" s="224" t="s">
        <v>1219</v>
      </c>
      <c r="E1825" s="225"/>
      <c r="F1825" s="225"/>
      <c r="G1825" s="226"/>
      <c r="H1825" s="210">
        <f>H1824+H1822+H1811</f>
        <v>14781.75</v>
      </c>
      <c r="L1825" s="200"/>
      <c r="M1825" s="200"/>
      <c r="N1825" s="200"/>
      <c r="O1825" s="200"/>
      <c r="P1825" s="200"/>
    </row>
    <row r="1826" spans="3:20" s="517" customFormat="1" ht="31.2" customHeight="1">
      <c r="C1826" s="223" t="s">
        <v>1220</v>
      </c>
      <c r="D1826" s="224" t="s">
        <v>1321</v>
      </c>
      <c r="E1826" s="225"/>
      <c r="F1826" s="226"/>
      <c r="G1826" s="228">
        <v>0.1</v>
      </c>
      <c r="H1826" s="210">
        <f>H1825*G1826</f>
        <v>1478.1750000000002</v>
      </c>
      <c r="L1826" s="200"/>
      <c r="M1826" s="200"/>
      <c r="N1826" s="200"/>
      <c r="O1826" s="200"/>
      <c r="P1826" s="200"/>
    </row>
    <row r="1827" spans="3:20" s="517" customFormat="1" ht="31.2" customHeight="1" thickBot="1">
      <c r="C1827" s="229" t="s">
        <v>1221</v>
      </c>
      <c r="D1827" s="230" t="s">
        <v>1222</v>
      </c>
      <c r="E1827" s="231"/>
      <c r="F1827" s="231"/>
      <c r="G1827" s="232"/>
      <c r="H1827" s="233">
        <f>SUM(H1825:H1826)</f>
        <v>16259.924999999999</v>
      </c>
      <c r="L1827" s="200"/>
      <c r="M1827" s="200"/>
      <c r="N1827" s="200"/>
      <c r="O1827" s="200"/>
      <c r="P1827" s="200"/>
    </row>
    <row r="1828" spans="3:20" ht="31.2" customHeight="1" thickTop="1">
      <c r="D1828" s="758" t="s">
        <v>6949</v>
      </c>
    </row>
    <row r="1829" spans="3:20" ht="31.2" customHeight="1">
      <c r="C1829" s="757" t="s">
        <v>6950</v>
      </c>
      <c r="F1829" s="758"/>
      <c r="H1829" s="758" t="s">
        <v>6959</v>
      </c>
    </row>
    <row r="1830" spans="3:20" ht="31.2" customHeight="1">
      <c r="C1830" s="200" t="s">
        <v>6951</v>
      </c>
      <c r="F1830" s="758"/>
    </row>
    <row r="1831" spans="3:20" ht="31.2" customHeight="1">
      <c r="C1831" s="200" t="s">
        <v>6952</v>
      </c>
      <c r="F1831" s="758"/>
    </row>
    <row r="1832" spans="3:20" ht="31.2" customHeight="1"/>
    <row r="1833" spans="3:20" s="517" customFormat="1" ht="31.2" customHeight="1" thickBot="1">
      <c r="C1833" s="513" t="s">
        <v>7064</v>
      </c>
      <c r="D1833" s="748" t="s">
        <v>7065</v>
      </c>
      <c r="E1833" s="749"/>
      <c r="F1833" s="748"/>
      <c r="G1833" s="748"/>
      <c r="H1833" s="532"/>
      <c r="I1833" s="532"/>
      <c r="J1833" s="532"/>
      <c r="K1833" s="532"/>
      <c r="M1833" s="189"/>
      <c r="N1833" s="189"/>
      <c r="O1833" s="189"/>
      <c r="P1833" s="189"/>
      <c r="R1833" s="189">
        <f>ROUNDDOWN(H1856,-2)</f>
        <v>16200</v>
      </c>
      <c r="S1833" s="517" t="s">
        <v>6451</v>
      </c>
      <c r="T1833" s="517" t="s">
        <v>7014</v>
      </c>
    </row>
    <row r="1834" spans="3:20" s="517" customFormat="1" ht="31.2" customHeight="1" thickTop="1">
      <c r="C1834" s="190" t="s">
        <v>1195</v>
      </c>
      <c r="D1834" s="191" t="s">
        <v>1196</v>
      </c>
      <c r="E1834" s="191" t="s">
        <v>1197</v>
      </c>
      <c r="F1834" s="191" t="s">
        <v>1198</v>
      </c>
      <c r="G1834" s="191" t="s">
        <v>1199</v>
      </c>
      <c r="H1834" s="192" t="s">
        <v>1200</v>
      </c>
      <c r="L1834" s="200"/>
      <c r="M1834" s="200"/>
      <c r="N1834" s="200"/>
      <c r="O1834" s="200"/>
      <c r="P1834" s="200"/>
    </row>
    <row r="1835" spans="3:20" s="517" customFormat="1" ht="31.2" customHeight="1">
      <c r="C1835" s="518" t="s">
        <v>1201</v>
      </c>
      <c r="D1835" s="196" t="s">
        <v>1202</v>
      </c>
      <c r="E1835" s="197"/>
      <c r="F1835" s="197"/>
      <c r="G1835" s="197"/>
      <c r="H1835" s="198"/>
      <c r="L1835" s="200"/>
      <c r="M1835" s="200"/>
      <c r="N1835" s="200"/>
      <c r="O1835" s="200"/>
      <c r="P1835" s="200"/>
    </row>
    <row r="1836" spans="3:20" s="517" customFormat="1" ht="31.2" customHeight="1">
      <c r="C1836" s="518">
        <v>1</v>
      </c>
      <c r="D1836" s="196" t="s">
        <v>5</v>
      </c>
      <c r="E1836" s="203" t="s">
        <v>2102</v>
      </c>
      <c r="F1836" s="763">
        <v>0.04</v>
      </c>
      <c r="G1836" s="205">
        <f>VLOOKUP(D1836,upahbahan,3,FALSE)</f>
        <v>100000</v>
      </c>
      <c r="H1836" s="210">
        <f t="shared" ref="H1836:H1839" si="125">F1836*G1836</f>
        <v>4000</v>
      </c>
      <c r="L1836" s="200"/>
      <c r="M1836" s="200"/>
      <c r="N1836" s="200"/>
      <c r="O1836" s="200"/>
      <c r="P1836" s="200"/>
    </row>
    <row r="1837" spans="3:20" s="517" customFormat="1" ht="31.2" customHeight="1">
      <c r="C1837" s="537">
        <v>2</v>
      </c>
      <c r="D1837" s="196" t="s">
        <v>6954</v>
      </c>
      <c r="E1837" s="202" t="s">
        <v>6</v>
      </c>
      <c r="F1837" s="520">
        <v>0.04</v>
      </c>
      <c r="G1837" s="205">
        <f>VLOOKUP(D1837,upahbahan,3,FALSE)</f>
        <v>181250</v>
      </c>
      <c r="H1837" s="210">
        <f t="shared" si="125"/>
        <v>7250</v>
      </c>
      <c r="L1837" s="200"/>
      <c r="M1837" s="200"/>
      <c r="N1837" s="200"/>
      <c r="O1837" s="200"/>
      <c r="P1837" s="200"/>
    </row>
    <row r="1838" spans="3:20" s="517" customFormat="1" ht="31.2" customHeight="1">
      <c r="C1838" s="537">
        <v>3</v>
      </c>
      <c r="D1838" s="196" t="s">
        <v>6948</v>
      </c>
      <c r="E1838" s="202" t="s">
        <v>2102</v>
      </c>
      <c r="F1838" s="520">
        <v>1.2999999999999999E-2</v>
      </c>
      <c r="G1838" s="205">
        <f>VLOOKUP(D1838,upahbahan,3,FALSE)</f>
        <v>218750</v>
      </c>
      <c r="H1838" s="210">
        <f t="shared" si="125"/>
        <v>2843.75</v>
      </c>
      <c r="L1838" s="200"/>
      <c r="M1838" s="200"/>
      <c r="N1838" s="200"/>
      <c r="O1838" s="200"/>
      <c r="P1838" s="200"/>
    </row>
    <row r="1839" spans="3:20" s="517" customFormat="1" ht="31.2" customHeight="1">
      <c r="C1839" s="537">
        <v>4</v>
      </c>
      <c r="D1839" s="196" t="s">
        <v>19</v>
      </c>
      <c r="E1839" s="202" t="s">
        <v>6</v>
      </c>
      <c r="F1839" s="520">
        <v>4.3E-3</v>
      </c>
      <c r="G1839" s="205">
        <f>VLOOKUP(D1839,upahbahan,3,FALSE)</f>
        <v>160000</v>
      </c>
      <c r="H1839" s="210">
        <f t="shared" si="125"/>
        <v>688</v>
      </c>
      <c r="L1839" s="200"/>
      <c r="M1839" s="200"/>
      <c r="N1839" s="200"/>
      <c r="O1839" s="200"/>
      <c r="P1839" s="200"/>
    </row>
    <row r="1840" spans="3:20" s="517" customFormat="1" ht="31.2" customHeight="1">
      <c r="C1840" s="207" t="s">
        <v>1208</v>
      </c>
      <c r="D1840" s="208"/>
      <c r="E1840" s="208"/>
      <c r="F1840" s="521"/>
      <c r="G1840" s="522"/>
      <c r="H1840" s="210">
        <f>SUM(H1836:H1839)</f>
        <v>14781.75</v>
      </c>
      <c r="L1840" s="523"/>
      <c r="M1840" s="523"/>
      <c r="N1840" s="523"/>
      <c r="O1840" s="523"/>
      <c r="P1840" s="523"/>
    </row>
    <row r="1841" spans="3:16" s="517" customFormat="1" ht="31.2" customHeight="1">
      <c r="C1841" s="543" t="s">
        <v>1209</v>
      </c>
      <c r="D1841" s="750" t="s">
        <v>1210</v>
      </c>
      <c r="E1841" s="197"/>
      <c r="F1841" s="751"/>
      <c r="G1841" s="197"/>
      <c r="H1841" s="752"/>
      <c r="L1841" s="200"/>
      <c r="M1841" s="200"/>
      <c r="N1841" s="200"/>
      <c r="O1841" s="200"/>
      <c r="P1841" s="200"/>
    </row>
    <row r="1842" spans="3:16" s="517" customFormat="1" ht="31.2" customHeight="1">
      <c r="C1842" s="543">
        <v>1</v>
      </c>
      <c r="D1842" s="750" t="s">
        <v>7066</v>
      </c>
      <c r="E1842" s="203" t="s">
        <v>44</v>
      </c>
      <c r="F1842" s="753">
        <v>1.05</v>
      </c>
      <c r="G1842" s="205">
        <f>VLOOKUP(D1842,upahbahan,3,FALSE)</f>
        <v>0</v>
      </c>
      <c r="H1842" s="210">
        <f t="shared" ref="H1842:H1850" si="126">F1842*G1842</f>
        <v>0</v>
      </c>
      <c r="L1842" s="200"/>
      <c r="M1842" s="200"/>
      <c r="N1842" s="200"/>
      <c r="O1842" s="200"/>
      <c r="P1842" s="200"/>
    </row>
    <row r="1843" spans="3:16" s="517" customFormat="1" ht="31.2" customHeight="1">
      <c r="C1843" s="543">
        <v>2</v>
      </c>
      <c r="D1843" s="750" t="s">
        <v>5563</v>
      </c>
      <c r="E1843" s="203" t="s">
        <v>65</v>
      </c>
      <c r="F1843" s="753">
        <v>0.01</v>
      </c>
      <c r="G1843" s="205">
        <f>VLOOKUP(D1843,upahbahan,3,FALSE)</f>
        <v>0</v>
      </c>
      <c r="H1843" s="210">
        <f t="shared" si="126"/>
        <v>0</v>
      </c>
      <c r="L1843" s="200"/>
      <c r="M1843" s="200"/>
      <c r="N1843" s="200"/>
      <c r="O1843" s="200"/>
      <c r="P1843" s="200"/>
    </row>
    <row r="1844" spans="3:16" s="517" customFormat="1" ht="31.2" customHeight="1">
      <c r="C1844" s="543">
        <v>3</v>
      </c>
      <c r="D1844" s="750" t="s">
        <v>5555</v>
      </c>
      <c r="E1844" s="203"/>
      <c r="F1844" s="753"/>
      <c r="G1844" s="197"/>
      <c r="H1844" s="210">
        <f t="shared" si="126"/>
        <v>0</v>
      </c>
      <c r="L1844" s="200"/>
      <c r="M1844" s="200"/>
      <c r="N1844" s="200"/>
      <c r="O1844" s="200"/>
      <c r="P1844" s="200"/>
    </row>
    <row r="1845" spans="3:16" s="517" customFormat="1" ht="31.2" customHeight="1">
      <c r="C1845" s="754" t="s">
        <v>5293</v>
      </c>
      <c r="D1845" s="750" t="s">
        <v>7053</v>
      </c>
      <c r="E1845" s="203" t="s">
        <v>1300</v>
      </c>
      <c r="F1845" s="760">
        <v>12</v>
      </c>
      <c r="G1845" s="205">
        <f>VLOOKUP(D1845,upahbahan,3,FALSE)</f>
        <v>0</v>
      </c>
      <c r="H1845" s="210">
        <f t="shared" si="126"/>
        <v>0</v>
      </c>
      <c r="L1845" s="200"/>
      <c r="M1845" s="200"/>
      <c r="N1845" s="200"/>
      <c r="O1845" s="200"/>
      <c r="P1845" s="200"/>
    </row>
    <row r="1846" spans="3:16" s="517" customFormat="1" ht="31.2" customHeight="1">
      <c r="C1846" s="754" t="s">
        <v>5299</v>
      </c>
      <c r="D1846" s="750" t="s">
        <v>7055</v>
      </c>
      <c r="E1846" s="203" t="s">
        <v>113</v>
      </c>
      <c r="F1846" s="760">
        <v>10</v>
      </c>
      <c r="G1846" s="205">
        <f>VLOOKUP(D1846,upahbahan,3,FALSE)</f>
        <v>0</v>
      </c>
      <c r="H1846" s="210">
        <f t="shared" si="126"/>
        <v>0</v>
      </c>
      <c r="L1846" s="200"/>
      <c r="M1846" s="200"/>
      <c r="N1846" s="200"/>
      <c r="O1846" s="200"/>
      <c r="P1846" s="200"/>
    </row>
    <row r="1847" spans="3:16" s="517" customFormat="1" ht="31.2" customHeight="1">
      <c r="C1847" s="543">
        <v>4</v>
      </c>
      <c r="D1847" s="750" t="s">
        <v>5556</v>
      </c>
      <c r="E1847" s="203"/>
      <c r="F1847" s="753"/>
      <c r="G1847" s="197"/>
      <c r="H1847" s="210">
        <f t="shared" si="126"/>
        <v>0</v>
      </c>
      <c r="L1847" s="200"/>
      <c r="M1847" s="200"/>
      <c r="N1847" s="200"/>
      <c r="O1847" s="200"/>
      <c r="P1847" s="200"/>
    </row>
    <row r="1848" spans="3:16" s="517" customFormat="1" ht="31.2" customHeight="1">
      <c r="C1848" s="754" t="s">
        <v>5293</v>
      </c>
      <c r="D1848" s="750" t="s">
        <v>2084</v>
      </c>
      <c r="E1848" s="203" t="s">
        <v>42</v>
      </c>
      <c r="F1848" s="753">
        <v>4.9000000000000002E-2</v>
      </c>
      <c r="G1848" s="205">
        <f>VLOOKUP(D1848,upahbahan,3,FALSE)</f>
        <v>0</v>
      </c>
      <c r="H1848" s="210">
        <f t="shared" si="126"/>
        <v>0</v>
      </c>
      <c r="L1848" s="200"/>
      <c r="M1848" s="200"/>
      <c r="N1848" s="200"/>
      <c r="O1848" s="200"/>
      <c r="P1848" s="200"/>
    </row>
    <row r="1849" spans="3:16" s="517" customFormat="1" ht="31.2" customHeight="1">
      <c r="C1849" s="754" t="s">
        <v>5299</v>
      </c>
      <c r="D1849" s="750" t="s">
        <v>5566</v>
      </c>
      <c r="E1849" s="203" t="s">
        <v>42</v>
      </c>
      <c r="F1849" s="753">
        <v>1.2999999999999999E-2</v>
      </c>
      <c r="G1849" s="205">
        <f>VLOOKUP(D1849,upahbahan,3,FALSE)</f>
        <v>0</v>
      </c>
      <c r="H1849" s="210">
        <f t="shared" si="126"/>
        <v>0</v>
      </c>
      <c r="L1849" s="200"/>
      <c r="M1849" s="200"/>
      <c r="N1849" s="200"/>
      <c r="O1849" s="200"/>
      <c r="P1849" s="200"/>
    </row>
    <row r="1850" spans="3:16" s="517" customFormat="1" ht="31.2" customHeight="1">
      <c r="C1850" s="754" t="s">
        <v>5558</v>
      </c>
      <c r="D1850" s="750" t="s">
        <v>2325</v>
      </c>
      <c r="E1850" s="203" t="s">
        <v>42</v>
      </c>
      <c r="F1850" s="762">
        <v>3.0000000000000001E-3</v>
      </c>
      <c r="G1850" s="205">
        <f>VLOOKUP(D1850,upahbahan,3,FALSE)</f>
        <v>0</v>
      </c>
      <c r="H1850" s="210">
        <f t="shared" si="126"/>
        <v>0</v>
      </c>
      <c r="L1850" s="200"/>
      <c r="M1850" s="200"/>
      <c r="N1850" s="200"/>
      <c r="O1850" s="200"/>
      <c r="P1850" s="200"/>
    </row>
    <row r="1851" spans="3:16" s="517" customFormat="1" ht="31.2" customHeight="1">
      <c r="C1851" s="207" t="s">
        <v>1214</v>
      </c>
      <c r="D1851" s="208"/>
      <c r="E1851" s="568"/>
      <c r="F1851" s="208"/>
      <c r="G1851" s="209"/>
      <c r="H1851" s="210">
        <f>SUM(H1842:H1850)</f>
        <v>0</v>
      </c>
      <c r="L1851" s="200"/>
      <c r="M1851" s="200"/>
      <c r="N1851" s="200"/>
      <c r="O1851" s="200"/>
      <c r="P1851" s="200"/>
    </row>
    <row r="1852" spans="3:16" s="517" customFormat="1" ht="31.2" customHeight="1">
      <c r="C1852" s="756" t="s">
        <v>1215</v>
      </c>
      <c r="D1852" s="196" t="s">
        <v>1216</v>
      </c>
      <c r="E1852" s="203"/>
      <c r="F1852" s="197"/>
      <c r="G1852" s="197"/>
      <c r="H1852" s="198"/>
      <c r="L1852" s="200"/>
      <c r="M1852" s="200"/>
      <c r="N1852" s="200"/>
      <c r="O1852" s="200"/>
      <c r="P1852" s="200"/>
    </row>
    <row r="1853" spans="3:16" s="517" customFormat="1" ht="31.2" customHeight="1">
      <c r="C1853" s="207" t="s">
        <v>1217</v>
      </c>
      <c r="D1853" s="208"/>
      <c r="E1853" s="208"/>
      <c r="F1853" s="208"/>
      <c r="G1853" s="209"/>
      <c r="H1853" s="240">
        <f>SUM(H1852)</f>
        <v>0</v>
      </c>
      <c r="L1853" s="200"/>
      <c r="M1853" s="200"/>
      <c r="N1853" s="200"/>
      <c r="O1853" s="200"/>
      <c r="P1853" s="200"/>
    </row>
    <row r="1854" spans="3:16" s="517" customFormat="1" ht="31.2" customHeight="1">
      <c r="C1854" s="223" t="s">
        <v>1218</v>
      </c>
      <c r="D1854" s="224" t="s">
        <v>1219</v>
      </c>
      <c r="E1854" s="225"/>
      <c r="F1854" s="225"/>
      <c r="G1854" s="226"/>
      <c r="H1854" s="210">
        <f>H1853+H1851+H1840</f>
        <v>14781.75</v>
      </c>
      <c r="L1854" s="200"/>
      <c r="M1854" s="200"/>
      <c r="N1854" s="200"/>
      <c r="O1854" s="200"/>
      <c r="P1854" s="200"/>
    </row>
    <row r="1855" spans="3:16" s="517" customFormat="1" ht="31.2" customHeight="1">
      <c r="C1855" s="223" t="s">
        <v>1220</v>
      </c>
      <c r="D1855" s="224" t="s">
        <v>1321</v>
      </c>
      <c r="E1855" s="225"/>
      <c r="F1855" s="226"/>
      <c r="G1855" s="228">
        <v>0.1</v>
      </c>
      <c r="H1855" s="210">
        <f>H1854*G1855</f>
        <v>1478.1750000000002</v>
      </c>
      <c r="L1855" s="200"/>
      <c r="M1855" s="200"/>
      <c r="N1855" s="200"/>
      <c r="O1855" s="200"/>
      <c r="P1855" s="200"/>
    </row>
    <row r="1856" spans="3:16" s="517" customFormat="1" ht="31.2" customHeight="1" thickBot="1">
      <c r="C1856" s="229" t="s">
        <v>1221</v>
      </c>
      <c r="D1856" s="230" t="s">
        <v>1222</v>
      </c>
      <c r="E1856" s="231"/>
      <c r="F1856" s="231"/>
      <c r="G1856" s="232"/>
      <c r="H1856" s="233">
        <f>SUM(H1854:H1855)</f>
        <v>16259.924999999999</v>
      </c>
      <c r="L1856" s="200"/>
      <c r="M1856" s="200"/>
      <c r="N1856" s="200"/>
      <c r="O1856" s="200"/>
      <c r="P1856" s="200"/>
    </row>
    <row r="1857" spans="3:20" ht="31.2" customHeight="1" thickTop="1">
      <c r="D1857" s="758" t="s">
        <v>6949</v>
      </c>
    </row>
    <row r="1858" spans="3:20" ht="31.2" customHeight="1">
      <c r="C1858" s="757" t="s">
        <v>6950</v>
      </c>
      <c r="F1858" s="758"/>
      <c r="H1858" s="758" t="s">
        <v>6959</v>
      </c>
    </row>
    <row r="1859" spans="3:20" ht="31.2" customHeight="1">
      <c r="C1859" s="200" t="s">
        <v>6951</v>
      </c>
      <c r="F1859" s="758"/>
    </row>
    <row r="1860" spans="3:20" ht="31.2" customHeight="1">
      <c r="C1860" s="200" t="s">
        <v>6952</v>
      </c>
      <c r="F1860" s="758"/>
    </row>
    <row r="1861" spans="3:20" ht="31.2" customHeight="1"/>
    <row r="1862" spans="3:20" s="517" customFormat="1" ht="31.2" customHeight="1" thickBot="1">
      <c r="C1862" s="513" t="s">
        <v>7067</v>
      </c>
      <c r="D1862" s="748" t="s">
        <v>7068</v>
      </c>
      <c r="E1862" s="749"/>
      <c r="F1862" s="748"/>
      <c r="G1862" s="748"/>
      <c r="H1862" s="532"/>
      <c r="I1862" s="532"/>
      <c r="J1862" s="532"/>
      <c r="K1862" s="532"/>
      <c r="M1862" s="189"/>
      <c r="N1862" s="189"/>
      <c r="O1862" s="189"/>
      <c r="P1862" s="189"/>
      <c r="R1862" s="189">
        <f>ROUNDDOWN(H1885,-2)</f>
        <v>16200</v>
      </c>
      <c r="S1862" s="517" t="s">
        <v>6451</v>
      </c>
      <c r="T1862" s="517" t="s">
        <v>7014</v>
      </c>
    </row>
    <row r="1863" spans="3:20" s="517" customFormat="1" ht="31.2" customHeight="1" thickTop="1">
      <c r="C1863" s="190" t="s">
        <v>1195</v>
      </c>
      <c r="D1863" s="191" t="s">
        <v>1196</v>
      </c>
      <c r="E1863" s="191" t="s">
        <v>1197</v>
      </c>
      <c r="F1863" s="191" t="s">
        <v>1198</v>
      </c>
      <c r="G1863" s="191" t="s">
        <v>1199</v>
      </c>
      <c r="H1863" s="192" t="s">
        <v>1200</v>
      </c>
      <c r="L1863" s="200"/>
      <c r="M1863" s="200"/>
      <c r="N1863" s="200"/>
      <c r="O1863" s="200"/>
      <c r="P1863" s="200"/>
    </row>
    <row r="1864" spans="3:20" s="517" customFormat="1" ht="31.2" customHeight="1">
      <c r="C1864" s="518" t="s">
        <v>1201</v>
      </c>
      <c r="D1864" s="196" t="s">
        <v>1202</v>
      </c>
      <c r="E1864" s="197"/>
      <c r="F1864" s="197"/>
      <c r="G1864" s="197"/>
      <c r="H1864" s="198"/>
      <c r="L1864" s="200"/>
      <c r="M1864" s="200"/>
      <c r="N1864" s="200"/>
      <c r="O1864" s="200"/>
      <c r="P1864" s="200"/>
    </row>
    <row r="1865" spans="3:20" s="517" customFormat="1" ht="31.2" customHeight="1">
      <c r="C1865" s="518">
        <v>1</v>
      </c>
      <c r="D1865" s="196" t="s">
        <v>5</v>
      </c>
      <c r="E1865" s="203" t="s">
        <v>2102</v>
      </c>
      <c r="F1865" s="763">
        <v>0.04</v>
      </c>
      <c r="G1865" s="205">
        <f>VLOOKUP(D1865,upahbahan,3,FALSE)</f>
        <v>100000</v>
      </c>
      <c r="H1865" s="210">
        <f t="shared" ref="H1865:H1868" si="127">F1865*G1865</f>
        <v>4000</v>
      </c>
      <c r="L1865" s="200"/>
      <c r="M1865" s="200"/>
      <c r="N1865" s="200"/>
      <c r="O1865" s="200"/>
      <c r="P1865" s="200"/>
    </row>
    <row r="1866" spans="3:20" s="517" customFormat="1" ht="31.2" customHeight="1">
      <c r="C1866" s="537">
        <v>2</v>
      </c>
      <c r="D1866" s="196" t="s">
        <v>6954</v>
      </c>
      <c r="E1866" s="202" t="s">
        <v>6</v>
      </c>
      <c r="F1866" s="520">
        <v>0.04</v>
      </c>
      <c r="G1866" s="205">
        <f>VLOOKUP(D1866,upahbahan,3,FALSE)</f>
        <v>181250</v>
      </c>
      <c r="H1866" s="210">
        <f t="shared" si="127"/>
        <v>7250</v>
      </c>
      <c r="L1866" s="200"/>
      <c r="M1866" s="200"/>
      <c r="N1866" s="200"/>
      <c r="O1866" s="200"/>
      <c r="P1866" s="200"/>
    </row>
    <row r="1867" spans="3:20" s="517" customFormat="1" ht="31.2" customHeight="1">
      <c r="C1867" s="537">
        <v>3</v>
      </c>
      <c r="D1867" s="196" t="s">
        <v>6948</v>
      </c>
      <c r="E1867" s="202" t="s">
        <v>2102</v>
      </c>
      <c r="F1867" s="520">
        <v>1.2999999999999999E-2</v>
      </c>
      <c r="G1867" s="205">
        <f>VLOOKUP(D1867,upahbahan,3,FALSE)</f>
        <v>218750</v>
      </c>
      <c r="H1867" s="210">
        <f t="shared" si="127"/>
        <v>2843.75</v>
      </c>
      <c r="L1867" s="200"/>
      <c r="M1867" s="200"/>
      <c r="N1867" s="200"/>
      <c r="O1867" s="200"/>
      <c r="P1867" s="200"/>
    </row>
    <row r="1868" spans="3:20" s="517" customFormat="1" ht="31.2" customHeight="1">
      <c r="C1868" s="537">
        <v>4</v>
      </c>
      <c r="D1868" s="196" t="s">
        <v>19</v>
      </c>
      <c r="E1868" s="202" t="s">
        <v>6</v>
      </c>
      <c r="F1868" s="520">
        <v>4.3E-3</v>
      </c>
      <c r="G1868" s="205">
        <f>VLOOKUP(D1868,upahbahan,3,FALSE)</f>
        <v>160000</v>
      </c>
      <c r="H1868" s="210">
        <f t="shared" si="127"/>
        <v>688</v>
      </c>
      <c r="L1868" s="200"/>
      <c r="M1868" s="200"/>
      <c r="N1868" s="200"/>
      <c r="O1868" s="200"/>
      <c r="P1868" s="200"/>
    </row>
    <row r="1869" spans="3:20" s="517" customFormat="1" ht="31.2" customHeight="1">
      <c r="C1869" s="207" t="s">
        <v>1208</v>
      </c>
      <c r="D1869" s="208"/>
      <c r="E1869" s="208"/>
      <c r="F1869" s="521"/>
      <c r="G1869" s="522"/>
      <c r="H1869" s="210">
        <f>SUM(H1865:H1868)</f>
        <v>14781.75</v>
      </c>
      <c r="L1869" s="523"/>
      <c r="M1869" s="523"/>
      <c r="N1869" s="523"/>
      <c r="O1869" s="523"/>
      <c r="P1869" s="523"/>
    </row>
    <row r="1870" spans="3:20" s="517" customFormat="1" ht="31.2" customHeight="1">
      <c r="C1870" s="543" t="s">
        <v>1209</v>
      </c>
      <c r="D1870" s="750" t="s">
        <v>1210</v>
      </c>
      <c r="E1870" s="197"/>
      <c r="F1870" s="751"/>
      <c r="G1870" s="197"/>
      <c r="H1870" s="752"/>
      <c r="L1870" s="200"/>
      <c r="M1870" s="200"/>
      <c r="N1870" s="200"/>
      <c r="O1870" s="200"/>
      <c r="P1870" s="200"/>
    </row>
    <row r="1871" spans="3:20" s="517" customFormat="1" ht="31.2" customHeight="1">
      <c r="C1871" s="543">
        <v>1</v>
      </c>
      <c r="D1871" s="750" t="s">
        <v>7069</v>
      </c>
      <c r="E1871" s="203" t="s">
        <v>44</v>
      </c>
      <c r="F1871" s="753">
        <v>1.05</v>
      </c>
      <c r="G1871" s="205">
        <f>VLOOKUP(D1871,upahbahan,3,FALSE)</f>
        <v>0</v>
      </c>
      <c r="H1871" s="210">
        <f t="shared" ref="H1871:H1879" si="128">F1871*G1871</f>
        <v>0</v>
      </c>
      <c r="L1871" s="200"/>
      <c r="M1871" s="200"/>
      <c r="N1871" s="200"/>
      <c r="O1871" s="200"/>
      <c r="P1871" s="200"/>
    </row>
    <row r="1872" spans="3:20" s="517" customFormat="1" ht="31.2" customHeight="1">
      <c r="C1872" s="543">
        <v>2</v>
      </c>
      <c r="D1872" s="750" t="s">
        <v>5563</v>
      </c>
      <c r="E1872" s="203" t="s">
        <v>65</v>
      </c>
      <c r="F1872" s="753">
        <v>0.01</v>
      </c>
      <c r="G1872" s="205">
        <f>VLOOKUP(D1872,upahbahan,3,FALSE)</f>
        <v>0</v>
      </c>
      <c r="H1872" s="210">
        <f t="shared" si="128"/>
        <v>0</v>
      </c>
      <c r="L1872" s="200"/>
      <c r="M1872" s="200"/>
      <c r="N1872" s="200"/>
      <c r="O1872" s="200"/>
      <c r="P1872" s="200"/>
    </row>
    <row r="1873" spans="3:16" s="517" customFormat="1" ht="31.2" customHeight="1">
      <c r="C1873" s="543">
        <v>3</v>
      </c>
      <c r="D1873" s="750" t="s">
        <v>5555</v>
      </c>
      <c r="E1873" s="203"/>
      <c r="F1873" s="753"/>
      <c r="G1873" s="197"/>
      <c r="H1873" s="210">
        <f t="shared" si="128"/>
        <v>0</v>
      </c>
      <c r="L1873" s="200"/>
      <c r="M1873" s="200"/>
      <c r="N1873" s="200"/>
      <c r="O1873" s="200"/>
      <c r="P1873" s="200"/>
    </row>
    <row r="1874" spans="3:16" s="517" customFormat="1" ht="31.2" customHeight="1">
      <c r="C1874" s="754" t="s">
        <v>5293</v>
      </c>
      <c r="D1874" s="750" t="s">
        <v>7053</v>
      </c>
      <c r="E1874" s="203" t="s">
        <v>1300</v>
      </c>
      <c r="F1874" s="760">
        <v>12</v>
      </c>
      <c r="G1874" s="205">
        <f>VLOOKUP(D1874,upahbahan,3,FALSE)</f>
        <v>0</v>
      </c>
      <c r="H1874" s="210">
        <f t="shared" si="128"/>
        <v>0</v>
      </c>
      <c r="L1874" s="200"/>
      <c r="M1874" s="200"/>
      <c r="N1874" s="200"/>
      <c r="O1874" s="200"/>
      <c r="P1874" s="200"/>
    </row>
    <row r="1875" spans="3:16" s="517" customFormat="1" ht="31.2" customHeight="1">
      <c r="C1875" s="754" t="s">
        <v>5299</v>
      </c>
      <c r="D1875" s="750" t="s">
        <v>7055</v>
      </c>
      <c r="E1875" s="203" t="s">
        <v>113</v>
      </c>
      <c r="F1875" s="760">
        <v>10</v>
      </c>
      <c r="G1875" s="205">
        <f>VLOOKUP(D1875,upahbahan,3,FALSE)</f>
        <v>0</v>
      </c>
      <c r="H1875" s="210">
        <f t="shared" si="128"/>
        <v>0</v>
      </c>
      <c r="L1875" s="200"/>
      <c r="M1875" s="200"/>
      <c r="N1875" s="200"/>
      <c r="O1875" s="200"/>
      <c r="P1875" s="200"/>
    </row>
    <row r="1876" spans="3:16" s="517" customFormat="1" ht="31.2" customHeight="1">
      <c r="C1876" s="543">
        <v>4</v>
      </c>
      <c r="D1876" s="750" t="s">
        <v>5556</v>
      </c>
      <c r="E1876" s="203"/>
      <c r="F1876" s="753"/>
      <c r="G1876" s="197"/>
      <c r="H1876" s="210">
        <f t="shared" si="128"/>
        <v>0</v>
      </c>
      <c r="L1876" s="200"/>
      <c r="M1876" s="200"/>
      <c r="N1876" s="200"/>
      <c r="O1876" s="200"/>
      <c r="P1876" s="200"/>
    </row>
    <row r="1877" spans="3:16" s="517" customFormat="1" ht="31.2" customHeight="1">
      <c r="C1877" s="754" t="s">
        <v>5293</v>
      </c>
      <c r="D1877" s="750" t="s">
        <v>2084</v>
      </c>
      <c r="E1877" s="203" t="s">
        <v>42</v>
      </c>
      <c r="F1877" s="753">
        <v>4.9000000000000002E-2</v>
      </c>
      <c r="G1877" s="205">
        <f>VLOOKUP(D1877,upahbahan,3,FALSE)</f>
        <v>0</v>
      </c>
      <c r="H1877" s="210">
        <f t="shared" si="128"/>
        <v>0</v>
      </c>
      <c r="L1877" s="200"/>
      <c r="M1877" s="200"/>
      <c r="N1877" s="200"/>
      <c r="O1877" s="200"/>
      <c r="P1877" s="200"/>
    </row>
    <row r="1878" spans="3:16" s="517" customFormat="1" ht="31.2" customHeight="1">
      <c r="C1878" s="754" t="s">
        <v>5299</v>
      </c>
      <c r="D1878" s="750" t="s">
        <v>5566</v>
      </c>
      <c r="E1878" s="203" t="s">
        <v>42</v>
      </c>
      <c r="F1878" s="753">
        <v>1.2999999999999999E-2</v>
      </c>
      <c r="G1878" s="205">
        <f>VLOOKUP(D1878,upahbahan,3,FALSE)</f>
        <v>0</v>
      </c>
      <c r="H1878" s="210">
        <f t="shared" si="128"/>
        <v>0</v>
      </c>
      <c r="L1878" s="200"/>
      <c r="M1878" s="200"/>
      <c r="N1878" s="200"/>
      <c r="O1878" s="200"/>
      <c r="P1878" s="200"/>
    </row>
    <row r="1879" spans="3:16" s="517" customFormat="1" ht="31.2" customHeight="1">
      <c r="C1879" s="754" t="s">
        <v>5558</v>
      </c>
      <c r="D1879" s="750" t="s">
        <v>2325</v>
      </c>
      <c r="E1879" s="203" t="s">
        <v>42</v>
      </c>
      <c r="F1879" s="762">
        <v>3.0000000000000001E-3</v>
      </c>
      <c r="G1879" s="205">
        <f>VLOOKUP(D1879,upahbahan,3,FALSE)</f>
        <v>0</v>
      </c>
      <c r="H1879" s="210">
        <f t="shared" si="128"/>
        <v>0</v>
      </c>
      <c r="L1879" s="200"/>
      <c r="M1879" s="200"/>
      <c r="N1879" s="200"/>
      <c r="O1879" s="200"/>
      <c r="P1879" s="200"/>
    </row>
    <row r="1880" spans="3:16" s="517" customFormat="1" ht="31.2" customHeight="1">
      <c r="C1880" s="207" t="s">
        <v>1214</v>
      </c>
      <c r="D1880" s="208"/>
      <c r="E1880" s="568"/>
      <c r="F1880" s="208"/>
      <c r="G1880" s="209"/>
      <c r="H1880" s="210">
        <f>SUM(H1871:H1879)</f>
        <v>0</v>
      </c>
      <c r="L1880" s="200"/>
      <c r="M1880" s="200"/>
      <c r="N1880" s="200"/>
      <c r="O1880" s="200"/>
      <c r="P1880" s="200"/>
    </row>
    <row r="1881" spans="3:16" s="517" customFormat="1" ht="31.2" customHeight="1">
      <c r="C1881" s="756" t="s">
        <v>1215</v>
      </c>
      <c r="D1881" s="196" t="s">
        <v>1216</v>
      </c>
      <c r="E1881" s="203"/>
      <c r="F1881" s="197"/>
      <c r="G1881" s="197"/>
      <c r="H1881" s="198"/>
      <c r="L1881" s="200"/>
      <c r="M1881" s="200"/>
      <c r="N1881" s="200"/>
      <c r="O1881" s="200"/>
      <c r="P1881" s="200"/>
    </row>
    <row r="1882" spans="3:16" s="517" customFormat="1" ht="31.2" customHeight="1">
      <c r="C1882" s="207" t="s">
        <v>1217</v>
      </c>
      <c r="D1882" s="208"/>
      <c r="E1882" s="208"/>
      <c r="F1882" s="208"/>
      <c r="G1882" s="209"/>
      <c r="H1882" s="240">
        <f>SUM(H1881)</f>
        <v>0</v>
      </c>
      <c r="L1882" s="200"/>
      <c r="M1882" s="200"/>
      <c r="N1882" s="200"/>
      <c r="O1882" s="200"/>
      <c r="P1882" s="200"/>
    </row>
    <row r="1883" spans="3:16" s="517" customFormat="1" ht="31.2" customHeight="1">
      <c r="C1883" s="223" t="s">
        <v>1218</v>
      </c>
      <c r="D1883" s="224" t="s">
        <v>1219</v>
      </c>
      <c r="E1883" s="225"/>
      <c r="F1883" s="225"/>
      <c r="G1883" s="226"/>
      <c r="H1883" s="210">
        <f>H1882+H1880+H1869</f>
        <v>14781.75</v>
      </c>
      <c r="L1883" s="200"/>
      <c r="M1883" s="200"/>
      <c r="N1883" s="200"/>
      <c r="O1883" s="200"/>
      <c r="P1883" s="200"/>
    </row>
    <row r="1884" spans="3:16" s="517" customFormat="1" ht="31.2" customHeight="1">
      <c r="C1884" s="223" t="s">
        <v>1220</v>
      </c>
      <c r="D1884" s="224" t="s">
        <v>1321</v>
      </c>
      <c r="E1884" s="225"/>
      <c r="F1884" s="226"/>
      <c r="G1884" s="228">
        <v>0.1</v>
      </c>
      <c r="H1884" s="210">
        <f>H1883*G1884</f>
        <v>1478.1750000000002</v>
      </c>
      <c r="L1884" s="200"/>
      <c r="M1884" s="200"/>
      <c r="N1884" s="200"/>
      <c r="O1884" s="200"/>
      <c r="P1884" s="200"/>
    </row>
    <row r="1885" spans="3:16" s="517" customFormat="1" ht="31.2" customHeight="1" thickBot="1">
      <c r="C1885" s="229" t="s">
        <v>1221</v>
      </c>
      <c r="D1885" s="230" t="s">
        <v>1222</v>
      </c>
      <c r="E1885" s="231"/>
      <c r="F1885" s="231"/>
      <c r="G1885" s="232"/>
      <c r="H1885" s="233">
        <f>SUM(H1883:H1884)</f>
        <v>16259.924999999999</v>
      </c>
      <c r="L1885" s="200"/>
      <c r="M1885" s="200"/>
      <c r="N1885" s="200"/>
      <c r="O1885" s="200"/>
      <c r="P1885" s="200"/>
    </row>
    <row r="1886" spans="3:16" ht="31.2" customHeight="1" thickTop="1">
      <c r="D1886" s="758" t="s">
        <v>6949</v>
      </c>
    </row>
    <row r="1887" spans="3:16" ht="31.2" customHeight="1">
      <c r="C1887" s="757" t="s">
        <v>6950</v>
      </c>
      <c r="F1887" s="758"/>
      <c r="H1887" s="758" t="s">
        <v>6959</v>
      </c>
    </row>
    <row r="1888" spans="3:16" ht="31.2" customHeight="1">
      <c r="C1888" s="200" t="s">
        <v>6951</v>
      </c>
      <c r="F1888" s="758"/>
    </row>
    <row r="1889" spans="3:20" ht="31.2" customHeight="1">
      <c r="C1889" s="200" t="s">
        <v>6952</v>
      </c>
      <c r="F1889" s="758"/>
    </row>
    <row r="1890" spans="3:20" ht="31.2" customHeight="1"/>
    <row r="1891" spans="3:20" s="517" customFormat="1" ht="31.2" customHeight="1" thickBot="1">
      <c r="C1891" s="513" t="s">
        <v>7070</v>
      </c>
      <c r="D1891" s="748" t="s">
        <v>7071</v>
      </c>
      <c r="E1891" s="749"/>
      <c r="F1891" s="748"/>
      <c r="G1891" s="748"/>
      <c r="H1891" s="532"/>
      <c r="I1891" s="532"/>
      <c r="J1891" s="532"/>
      <c r="K1891" s="532"/>
      <c r="M1891" s="189"/>
      <c r="N1891" s="189"/>
      <c r="O1891" s="189"/>
      <c r="P1891" s="189"/>
      <c r="R1891" s="189">
        <f>ROUNDDOWN(H1914,-2)</f>
        <v>16200</v>
      </c>
      <c r="S1891" s="517" t="s">
        <v>6451</v>
      </c>
      <c r="T1891" s="517" t="s">
        <v>7014</v>
      </c>
    </row>
    <row r="1892" spans="3:20" s="517" customFormat="1" ht="31.2" customHeight="1" thickTop="1">
      <c r="C1892" s="190" t="s">
        <v>1195</v>
      </c>
      <c r="D1892" s="191" t="s">
        <v>1196</v>
      </c>
      <c r="E1892" s="191" t="s">
        <v>1197</v>
      </c>
      <c r="F1892" s="191" t="s">
        <v>1198</v>
      </c>
      <c r="G1892" s="191" t="s">
        <v>1199</v>
      </c>
      <c r="H1892" s="192" t="s">
        <v>1200</v>
      </c>
      <c r="L1892" s="200"/>
      <c r="M1892" s="200"/>
      <c r="N1892" s="200"/>
      <c r="O1892" s="200"/>
      <c r="P1892" s="200"/>
    </row>
    <row r="1893" spans="3:20" s="517" customFormat="1" ht="31.2" customHeight="1">
      <c r="C1893" s="518" t="s">
        <v>1201</v>
      </c>
      <c r="D1893" s="196" t="s">
        <v>1202</v>
      </c>
      <c r="E1893" s="197"/>
      <c r="F1893" s="197"/>
      <c r="G1893" s="197"/>
      <c r="H1893" s="198"/>
      <c r="L1893" s="200"/>
      <c r="M1893" s="200"/>
      <c r="N1893" s="200"/>
      <c r="O1893" s="200"/>
      <c r="P1893" s="200"/>
    </row>
    <row r="1894" spans="3:20" s="517" customFormat="1" ht="31.2" customHeight="1">
      <c r="C1894" s="518">
        <v>1</v>
      </c>
      <c r="D1894" s="196" t="s">
        <v>5</v>
      </c>
      <c r="E1894" s="203" t="s">
        <v>2102</v>
      </c>
      <c r="F1894" s="763">
        <v>0.04</v>
      </c>
      <c r="G1894" s="205">
        <f>VLOOKUP(D1894,upahbahan,3,FALSE)</f>
        <v>100000</v>
      </c>
      <c r="H1894" s="210">
        <f t="shared" ref="H1894:H1897" si="129">F1894*G1894</f>
        <v>4000</v>
      </c>
      <c r="L1894" s="200"/>
      <c r="M1894" s="200"/>
      <c r="N1894" s="200"/>
      <c r="O1894" s="200"/>
      <c r="P1894" s="200"/>
    </row>
    <row r="1895" spans="3:20" s="517" customFormat="1" ht="31.2" customHeight="1">
      <c r="C1895" s="537">
        <v>2</v>
      </c>
      <c r="D1895" s="196" t="s">
        <v>6954</v>
      </c>
      <c r="E1895" s="202" t="s">
        <v>6</v>
      </c>
      <c r="F1895" s="520">
        <v>0.04</v>
      </c>
      <c r="G1895" s="205">
        <f>VLOOKUP(D1895,upahbahan,3,FALSE)</f>
        <v>181250</v>
      </c>
      <c r="H1895" s="210">
        <f t="shared" si="129"/>
        <v>7250</v>
      </c>
      <c r="L1895" s="200"/>
      <c r="M1895" s="200"/>
      <c r="N1895" s="200"/>
      <c r="O1895" s="200"/>
      <c r="P1895" s="200"/>
    </row>
    <row r="1896" spans="3:20" s="517" customFormat="1" ht="31.2" customHeight="1">
      <c r="C1896" s="537">
        <v>3</v>
      </c>
      <c r="D1896" s="196" t="s">
        <v>6948</v>
      </c>
      <c r="E1896" s="202" t="s">
        <v>2102</v>
      </c>
      <c r="F1896" s="520">
        <v>1.2999999999999999E-2</v>
      </c>
      <c r="G1896" s="205">
        <f>VLOOKUP(D1896,upahbahan,3,FALSE)</f>
        <v>218750</v>
      </c>
      <c r="H1896" s="210">
        <f t="shared" si="129"/>
        <v>2843.75</v>
      </c>
      <c r="L1896" s="200"/>
      <c r="M1896" s="200"/>
      <c r="N1896" s="200"/>
      <c r="O1896" s="200"/>
      <c r="P1896" s="200"/>
    </row>
    <row r="1897" spans="3:20" s="517" customFormat="1" ht="31.2" customHeight="1">
      <c r="C1897" s="537">
        <v>4</v>
      </c>
      <c r="D1897" s="196" t="s">
        <v>19</v>
      </c>
      <c r="E1897" s="202" t="s">
        <v>6</v>
      </c>
      <c r="F1897" s="520">
        <v>4.3E-3</v>
      </c>
      <c r="G1897" s="205">
        <f>VLOOKUP(D1897,upahbahan,3,FALSE)</f>
        <v>160000</v>
      </c>
      <c r="H1897" s="210">
        <f t="shared" si="129"/>
        <v>688</v>
      </c>
      <c r="L1897" s="200"/>
      <c r="M1897" s="200"/>
      <c r="N1897" s="200"/>
      <c r="O1897" s="200"/>
      <c r="P1897" s="200"/>
    </row>
    <row r="1898" spans="3:20" s="517" customFormat="1" ht="31.2" customHeight="1">
      <c r="C1898" s="207" t="s">
        <v>1208</v>
      </c>
      <c r="D1898" s="208"/>
      <c r="E1898" s="208"/>
      <c r="F1898" s="521"/>
      <c r="G1898" s="522"/>
      <c r="H1898" s="210">
        <f>SUM(H1894:H1897)</f>
        <v>14781.75</v>
      </c>
      <c r="L1898" s="523"/>
      <c r="M1898" s="523"/>
      <c r="N1898" s="523"/>
      <c r="O1898" s="523"/>
      <c r="P1898" s="523"/>
    </row>
    <row r="1899" spans="3:20" s="517" customFormat="1" ht="31.2" customHeight="1">
      <c r="C1899" s="543" t="s">
        <v>1209</v>
      </c>
      <c r="D1899" s="750" t="s">
        <v>1210</v>
      </c>
      <c r="E1899" s="197"/>
      <c r="F1899" s="751"/>
      <c r="G1899" s="197"/>
      <c r="H1899" s="752"/>
      <c r="L1899" s="200"/>
      <c r="M1899" s="200"/>
      <c r="N1899" s="200"/>
      <c r="O1899" s="200"/>
      <c r="P1899" s="200"/>
    </row>
    <row r="1900" spans="3:20" s="517" customFormat="1" ht="31.2" customHeight="1">
      <c r="C1900" s="543">
        <v>1</v>
      </c>
      <c r="D1900" s="750" t="s">
        <v>7072</v>
      </c>
      <c r="E1900" s="203" t="s">
        <v>44</v>
      </c>
      <c r="F1900" s="753">
        <v>1.05</v>
      </c>
      <c r="G1900" s="205">
        <f>VLOOKUP(D1900,upahbahan,3,FALSE)</f>
        <v>0</v>
      </c>
      <c r="H1900" s="210">
        <f t="shared" ref="H1900:H1908" si="130">F1900*G1900</f>
        <v>0</v>
      </c>
      <c r="L1900" s="200"/>
      <c r="M1900" s="200"/>
      <c r="N1900" s="200"/>
      <c r="O1900" s="200"/>
      <c r="P1900" s="200"/>
    </row>
    <row r="1901" spans="3:20" s="517" customFormat="1" ht="31.2" customHeight="1">
      <c r="C1901" s="543">
        <v>2</v>
      </c>
      <c r="D1901" s="750" t="s">
        <v>5563</v>
      </c>
      <c r="E1901" s="203" t="s">
        <v>65</v>
      </c>
      <c r="F1901" s="753">
        <v>0.01</v>
      </c>
      <c r="G1901" s="205">
        <f>VLOOKUP(D1901,upahbahan,3,FALSE)</f>
        <v>0</v>
      </c>
      <c r="H1901" s="210">
        <f t="shared" si="130"/>
        <v>0</v>
      </c>
      <c r="L1901" s="200"/>
      <c r="M1901" s="200"/>
      <c r="N1901" s="200"/>
      <c r="O1901" s="200"/>
      <c r="P1901" s="200"/>
    </row>
    <row r="1902" spans="3:20" s="517" customFormat="1" ht="31.2" customHeight="1">
      <c r="C1902" s="543">
        <v>3</v>
      </c>
      <c r="D1902" s="750" t="s">
        <v>5555</v>
      </c>
      <c r="E1902" s="203"/>
      <c r="F1902" s="753"/>
      <c r="G1902" s="197"/>
      <c r="H1902" s="210">
        <f t="shared" si="130"/>
        <v>0</v>
      </c>
      <c r="L1902" s="200"/>
      <c r="M1902" s="200"/>
      <c r="N1902" s="200"/>
      <c r="O1902" s="200"/>
      <c r="P1902" s="200"/>
    </row>
    <row r="1903" spans="3:20" s="517" customFormat="1" ht="31.2" customHeight="1">
      <c r="C1903" s="754" t="s">
        <v>5293</v>
      </c>
      <c r="D1903" s="750" t="s">
        <v>7053</v>
      </c>
      <c r="E1903" s="203" t="s">
        <v>1300</v>
      </c>
      <c r="F1903" s="760">
        <v>12</v>
      </c>
      <c r="G1903" s="205">
        <f>VLOOKUP(D1903,upahbahan,3,FALSE)</f>
        <v>0</v>
      </c>
      <c r="H1903" s="210">
        <f t="shared" si="130"/>
        <v>0</v>
      </c>
      <c r="L1903" s="200"/>
      <c r="M1903" s="200"/>
      <c r="N1903" s="200"/>
      <c r="O1903" s="200"/>
      <c r="P1903" s="200"/>
    </row>
    <row r="1904" spans="3:20" s="517" customFormat="1" ht="31.2" customHeight="1">
      <c r="C1904" s="754" t="s">
        <v>5299</v>
      </c>
      <c r="D1904" s="750" t="s">
        <v>7055</v>
      </c>
      <c r="E1904" s="203" t="s">
        <v>113</v>
      </c>
      <c r="F1904" s="760">
        <v>10</v>
      </c>
      <c r="G1904" s="205">
        <f>VLOOKUP(D1904,upahbahan,3,FALSE)</f>
        <v>0</v>
      </c>
      <c r="H1904" s="210">
        <f t="shared" si="130"/>
        <v>0</v>
      </c>
      <c r="L1904" s="200"/>
      <c r="M1904" s="200"/>
      <c r="N1904" s="200"/>
      <c r="O1904" s="200"/>
      <c r="P1904" s="200"/>
    </row>
    <row r="1905" spans="3:20" s="517" customFormat="1" ht="31.2" customHeight="1">
      <c r="C1905" s="543">
        <v>4</v>
      </c>
      <c r="D1905" s="750" t="s">
        <v>5556</v>
      </c>
      <c r="E1905" s="203"/>
      <c r="F1905" s="753"/>
      <c r="G1905" s="197"/>
      <c r="H1905" s="210">
        <f t="shared" si="130"/>
        <v>0</v>
      </c>
      <c r="L1905" s="200"/>
      <c r="M1905" s="200"/>
      <c r="N1905" s="200"/>
      <c r="O1905" s="200"/>
      <c r="P1905" s="200"/>
    </row>
    <row r="1906" spans="3:20" s="517" customFormat="1" ht="31.2" customHeight="1">
      <c r="C1906" s="754" t="s">
        <v>5293</v>
      </c>
      <c r="D1906" s="750" t="s">
        <v>2084</v>
      </c>
      <c r="E1906" s="203" t="s">
        <v>42</v>
      </c>
      <c r="F1906" s="753">
        <v>4.9000000000000002E-2</v>
      </c>
      <c r="G1906" s="205">
        <f>VLOOKUP(D1906,upahbahan,3,FALSE)</f>
        <v>0</v>
      </c>
      <c r="H1906" s="210">
        <f t="shared" si="130"/>
        <v>0</v>
      </c>
      <c r="L1906" s="200"/>
      <c r="M1906" s="200"/>
      <c r="N1906" s="200"/>
      <c r="O1906" s="200"/>
      <c r="P1906" s="200"/>
    </row>
    <row r="1907" spans="3:20" s="517" customFormat="1" ht="31.2" customHeight="1">
      <c r="C1907" s="754" t="s">
        <v>5299</v>
      </c>
      <c r="D1907" s="750" t="s">
        <v>5566</v>
      </c>
      <c r="E1907" s="203" t="s">
        <v>42</v>
      </c>
      <c r="F1907" s="753">
        <v>1.2999999999999999E-2</v>
      </c>
      <c r="G1907" s="205">
        <f>VLOOKUP(D1907,upahbahan,3,FALSE)</f>
        <v>0</v>
      </c>
      <c r="H1907" s="210">
        <f t="shared" si="130"/>
        <v>0</v>
      </c>
      <c r="L1907" s="200"/>
      <c r="M1907" s="200"/>
      <c r="N1907" s="200"/>
      <c r="O1907" s="200"/>
      <c r="P1907" s="200"/>
    </row>
    <row r="1908" spans="3:20" s="517" customFormat="1" ht="31.2" customHeight="1">
      <c r="C1908" s="754" t="s">
        <v>5558</v>
      </c>
      <c r="D1908" s="750" t="s">
        <v>2325</v>
      </c>
      <c r="E1908" s="203" t="s">
        <v>42</v>
      </c>
      <c r="F1908" s="762">
        <v>3.0000000000000001E-3</v>
      </c>
      <c r="G1908" s="205">
        <f>VLOOKUP(D1908,upahbahan,3,FALSE)</f>
        <v>0</v>
      </c>
      <c r="H1908" s="210">
        <f t="shared" si="130"/>
        <v>0</v>
      </c>
      <c r="L1908" s="200"/>
      <c r="M1908" s="200"/>
      <c r="N1908" s="200"/>
      <c r="O1908" s="200"/>
      <c r="P1908" s="200"/>
    </row>
    <row r="1909" spans="3:20" s="517" customFormat="1" ht="31.2" customHeight="1">
      <c r="C1909" s="207" t="s">
        <v>1214</v>
      </c>
      <c r="D1909" s="208"/>
      <c r="E1909" s="568"/>
      <c r="F1909" s="208"/>
      <c r="G1909" s="209"/>
      <c r="H1909" s="210">
        <f>SUM(H1900:H1908)</f>
        <v>0</v>
      </c>
      <c r="L1909" s="200"/>
      <c r="M1909" s="200"/>
      <c r="N1909" s="200"/>
      <c r="O1909" s="200"/>
      <c r="P1909" s="200"/>
    </row>
    <row r="1910" spans="3:20" s="517" customFormat="1" ht="31.2" customHeight="1">
      <c r="C1910" s="756" t="s">
        <v>1215</v>
      </c>
      <c r="D1910" s="196" t="s">
        <v>1216</v>
      </c>
      <c r="E1910" s="203"/>
      <c r="F1910" s="197"/>
      <c r="G1910" s="197"/>
      <c r="H1910" s="198"/>
      <c r="L1910" s="200"/>
      <c r="M1910" s="200"/>
      <c r="N1910" s="200"/>
      <c r="O1910" s="200"/>
      <c r="P1910" s="200"/>
    </row>
    <row r="1911" spans="3:20" s="517" customFormat="1" ht="31.2" customHeight="1">
      <c r="C1911" s="207" t="s">
        <v>1217</v>
      </c>
      <c r="D1911" s="208"/>
      <c r="E1911" s="208"/>
      <c r="F1911" s="208"/>
      <c r="G1911" s="209"/>
      <c r="H1911" s="240">
        <f>SUM(H1910)</f>
        <v>0</v>
      </c>
      <c r="L1911" s="200"/>
      <c r="M1911" s="200"/>
      <c r="N1911" s="200"/>
      <c r="O1911" s="200"/>
      <c r="P1911" s="200"/>
    </row>
    <row r="1912" spans="3:20" s="517" customFormat="1" ht="31.2" customHeight="1">
      <c r="C1912" s="223" t="s">
        <v>1218</v>
      </c>
      <c r="D1912" s="224" t="s">
        <v>1219</v>
      </c>
      <c r="E1912" s="225"/>
      <c r="F1912" s="225"/>
      <c r="G1912" s="226"/>
      <c r="H1912" s="210">
        <f>H1911+H1909+H1898</f>
        <v>14781.75</v>
      </c>
      <c r="L1912" s="200"/>
      <c r="M1912" s="200"/>
      <c r="N1912" s="200"/>
      <c r="O1912" s="200"/>
      <c r="P1912" s="200"/>
    </row>
    <row r="1913" spans="3:20" s="517" customFormat="1" ht="31.2" customHeight="1">
      <c r="C1913" s="223" t="s">
        <v>1220</v>
      </c>
      <c r="D1913" s="224" t="s">
        <v>1321</v>
      </c>
      <c r="E1913" s="225"/>
      <c r="F1913" s="226"/>
      <c r="G1913" s="228">
        <v>0.1</v>
      </c>
      <c r="H1913" s="210">
        <f>H1912*G1913</f>
        <v>1478.1750000000002</v>
      </c>
      <c r="L1913" s="200"/>
      <c r="M1913" s="200"/>
      <c r="N1913" s="200"/>
      <c r="O1913" s="200"/>
      <c r="P1913" s="200"/>
    </row>
    <row r="1914" spans="3:20" s="517" customFormat="1" ht="31.2" customHeight="1" thickBot="1">
      <c r="C1914" s="229" t="s">
        <v>1221</v>
      </c>
      <c r="D1914" s="230" t="s">
        <v>1222</v>
      </c>
      <c r="E1914" s="231"/>
      <c r="F1914" s="231"/>
      <c r="G1914" s="232"/>
      <c r="H1914" s="233">
        <f>SUM(H1912:H1913)</f>
        <v>16259.924999999999</v>
      </c>
      <c r="L1914" s="200"/>
      <c r="M1914" s="200"/>
      <c r="N1914" s="200"/>
      <c r="O1914" s="200"/>
      <c r="P1914" s="200"/>
    </row>
    <row r="1915" spans="3:20" ht="31.2" customHeight="1" thickTop="1">
      <c r="D1915" s="758" t="s">
        <v>6949</v>
      </c>
    </row>
    <row r="1916" spans="3:20" ht="31.2" customHeight="1">
      <c r="C1916" s="757" t="s">
        <v>6950</v>
      </c>
      <c r="F1916" s="758"/>
      <c r="H1916" s="758" t="s">
        <v>6959</v>
      </c>
    </row>
    <row r="1917" spans="3:20" ht="31.2" customHeight="1">
      <c r="C1917" s="200" t="s">
        <v>6951</v>
      </c>
      <c r="F1917" s="758"/>
    </row>
    <row r="1918" spans="3:20" ht="31.2" customHeight="1">
      <c r="C1918" s="200" t="s">
        <v>6952</v>
      </c>
      <c r="F1918" s="758"/>
    </row>
    <row r="1919" spans="3:20" ht="31.2" customHeight="1"/>
    <row r="1920" spans="3:20" s="517" customFormat="1" ht="31.2" customHeight="1" thickBot="1">
      <c r="C1920" s="513" t="s">
        <v>7073</v>
      </c>
      <c r="D1920" s="748" t="s">
        <v>7074</v>
      </c>
      <c r="E1920" s="749"/>
      <c r="F1920" s="748"/>
      <c r="G1920" s="748"/>
      <c r="H1920" s="532"/>
      <c r="I1920" s="532"/>
      <c r="J1920" s="532"/>
      <c r="K1920" s="532"/>
      <c r="M1920" s="189"/>
      <c r="N1920" s="189"/>
      <c r="O1920" s="189"/>
      <c r="P1920" s="189"/>
      <c r="R1920" s="189">
        <f>ROUNDDOWN(H1943,-2)</f>
        <v>16200</v>
      </c>
      <c r="S1920" s="517" t="s">
        <v>6451</v>
      </c>
      <c r="T1920" s="517" t="s">
        <v>7014</v>
      </c>
    </row>
    <row r="1921" spans="3:16" s="517" customFormat="1" ht="31.2" customHeight="1" thickTop="1">
      <c r="C1921" s="190" t="s">
        <v>1195</v>
      </c>
      <c r="D1921" s="191" t="s">
        <v>1196</v>
      </c>
      <c r="E1921" s="191" t="s">
        <v>1197</v>
      </c>
      <c r="F1921" s="191" t="s">
        <v>1198</v>
      </c>
      <c r="G1921" s="191" t="s">
        <v>1199</v>
      </c>
      <c r="H1921" s="192" t="s">
        <v>1200</v>
      </c>
      <c r="L1921" s="200"/>
      <c r="M1921" s="200"/>
      <c r="N1921" s="200"/>
      <c r="O1921" s="200"/>
      <c r="P1921" s="200"/>
    </row>
    <row r="1922" spans="3:16" s="517" customFormat="1" ht="31.2" customHeight="1">
      <c r="C1922" s="518" t="s">
        <v>1201</v>
      </c>
      <c r="D1922" s="196" t="s">
        <v>1202</v>
      </c>
      <c r="E1922" s="197"/>
      <c r="F1922" s="197"/>
      <c r="G1922" s="197"/>
      <c r="H1922" s="198"/>
      <c r="L1922" s="200"/>
      <c r="M1922" s="200"/>
      <c r="N1922" s="200"/>
      <c r="O1922" s="200"/>
      <c r="P1922" s="200"/>
    </row>
    <row r="1923" spans="3:16" s="517" customFormat="1" ht="31.2" customHeight="1">
      <c r="C1923" s="518">
        <v>1</v>
      </c>
      <c r="D1923" s="196" t="s">
        <v>5</v>
      </c>
      <c r="E1923" s="203" t="s">
        <v>2102</v>
      </c>
      <c r="F1923" s="763">
        <v>0.04</v>
      </c>
      <c r="G1923" s="205">
        <f>VLOOKUP(D1923,upahbahan,3,FALSE)</f>
        <v>100000</v>
      </c>
      <c r="H1923" s="210">
        <f t="shared" ref="H1923:H1926" si="131">F1923*G1923</f>
        <v>4000</v>
      </c>
      <c r="L1923" s="200"/>
      <c r="M1923" s="200"/>
      <c r="N1923" s="200"/>
      <c r="O1923" s="200"/>
      <c r="P1923" s="200"/>
    </row>
    <row r="1924" spans="3:16" s="517" customFormat="1" ht="31.2" customHeight="1">
      <c r="C1924" s="537">
        <v>2</v>
      </c>
      <c r="D1924" s="196" t="s">
        <v>6954</v>
      </c>
      <c r="E1924" s="202" t="s">
        <v>6</v>
      </c>
      <c r="F1924" s="520">
        <v>0.04</v>
      </c>
      <c r="G1924" s="205">
        <f>VLOOKUP(D1924,upahbahan,3,FALSE)</f>
        <v>181250</v>
      </c>
      <c r="H1924" s="210">
        <f t="shared" si="131"/>
        <v>7250</v>
      </c>
      <c r="L1924" s="200"/>
      <c r="M1924" s="200"/>
      <c r="N1924" s="200"/>
      <c r="O1924" s="200"/>
      <c r="P1924" s="200"/>
    </row>
    <row r="1925" spans="3:16" s="517" customFormat="1" ht="31.2" customHeight="1">
      <c r="C1925" s="537">
        <v>3</v>
      </c>
      <c r="D1925" s="196" t="s">
        <v>6948</v>
      </c>
      <c r="E1925" s="202" t="s">
        <v>2102</v>
      </c>
      <c r="F1925" s="520">
        <v>1.2999999999999999E-2</v>
      </c>
      <c r="G1925" s="205">
        <f>VLOOKUP(D1925,upahbahan,3,FALSE)</f>
        <v>218750</v>
      </c>
      <c r="H1925" s="210">
        <f t="shared" si="131"/>
        <v>2843.75</v>
      </c>
      <c r="L1925" s="200"/>
      <c r="M1925" s="200"/>
      <c r="N1925" s="200"/>
      <c r="O1925" s="200"/>
      <c r="P1925" s="200"/>
    </row>
    <row r="1926" spans="3:16" s="517" customFormat="1" ht="31.2" customHeight="1">
      <c r="C1926" s="537">
        <v>4</v>
      </c>
      <c r="D1926" s="196" t="s">
        <v>19</v>
      </c>
      <c r="E1926" s="202" t="s">
        <v>6</v>
      </c>
      <c r="F1926" s="520">
        <v>4.3E-3</v>
      </c>
      <c r="G1926" s="205">
        <f>VLOOKUP(D1926,upahbahan,3,FALSE)</f>
        <v>160000</v>
      </c>
      <c r="H1926" s="210">
        <f t="shared" si="131"/>
        <v>688</v>
      </c>
      <c r="L1926" s="200"/>
      <c r="M1926" s="200"/>
      <c r="N1926" s="200"/>
      <c r="O1926" s="200"/>
      <c r="P1926" s="200"/>
    </row>
    <row r="1927" spans="3:16" s="517" customFormat="1" ht="31.2" customHeight="1">
      <c r="C1927" s="207" t="s">
        <v>1208</v>
      </c>
      <c r="D1927" s="208"/>
      <c r="E1927" s="208"/>
      <c r="F1927" s="521"/>
      <c r="G1927" s="522"/>
      <c r="H1927" s="210">
        <f>SUM(H1923:H1926)</f>
        <v>14781.75</v>
      </c>
      <c r="L1927" s="523"/>
      <c r="M1927" s="523"/>
      <c r="N1927" s="523"/>
      <c r="O1927" s="523"/>
      <c r="P1927" s="523"/>
    </row>
    <row r="1928" spans="3:16" s="517" customFormat="1" ht="31.2" customHeight="1">
      <c r="C1928" s="543" t="s">
        <v>1209</v>
      </c>
      <c r="D1928" s="750" t="s">
        <v>1210</v>
      </c>
      <c r="E1928" s="197"/>
      <c r="F1928" s="751"/>
      <c r="G1928" s="197"/>
      <c r="H1928" s="752"/>
      <c r="L1928" s="200"/>
      <c r="M1928" s="200"/>
      <c r="N1928" s="200"/>
      <c r="O1928" s="200"/>
      <c r="P1928" s="200"/>
    </row>
    <row r="1929" spans="3:16" s="517" customFormat="1" ht="31.2" customHeight="1">
      <c r="C1929" s="543">
        <v>1</v>
      </c>
      <c r="D1929" s="750" t="s">
        <v>7075</v>
      </c>
      <c r="E1929" s="203" t="s">
        <v>44</v>
      </c>
      <c r="F1929" s="753">
        <v>1.05</v>
      </c>
      <c r="G1929" s="205">
        <f>VLOOKUP(D1929,upahbahan,3,FALSE)</f>
        <v>0</v>
      </c>
      <c r="H1929" s="210">
        <f t="shared" ref="H1929:H1937" si="132">F1929*G1929</f>
        <v>0</v>
      </c>
      <c r="L1929" s="200"/>
      <c r="M1929" s="200"/>
      <c r="N1929" s="200"/>
      <c r="O1929" s="200"/>
      <c r="P1929" s="200"/>
    </row>
    <row r="1930" spans="3:16" s="517" customFormat="1" ht="31.2" customHeight="1">
      <c r="C1930" s="543">
        <v>2</v>
      </c>
      <c r="D1930" s="750" t="s">
        <v>5563</v>
      </c>
      <c r="E1930" s="203" t="s">
        <v>65</v>
      </c>
      <c r="F1930" s="753">
        <v>0.01</v>
      </c>
      <c r="G1930" s="205">
        <f>VLOOKUP(D1930,upahbahan,3,FALSE)</f>
        <v>0</v>
      </c>
      <c r="H1930" s="210">
        <f t="shared" si="132"/>
        <v>0</v>
      </c>
      <c r="L1930" s="200"/>
      <c r="M1930" s="200"/>
      <c r="N1930" s="200"/>
      <c r="O1930" s="200"/>
      <c r="P1930" s="200"/>
    </row>
    <row r="1931" spans="3:16" s="517" customFormat="1" ht="31.2" customHeight="1">
      <c r="C1931" s="543">
        <v>3</v>
      </c>
      <c r="D1931" s="750" t="s">
        <v>5555</v>
      </c>
      <c r="E1931" s="203"/>
      <c r="F1931" s="753"/>
      <c r="G1931" s="197"/>
      <c r="H1931" s="210">
        <f t="shared" si="132"/>
        <v>0</v>
      </c>
      <c r="L1931" s="200"/>
      <c r="M1931" s="200"/>
      <c r="N1931" s="200"/>
      <c r="O1931" s="200"/>
      <c r="P1931" s="200"/>
    </row>
    <row r="1932" spans="3:16" s="517" customFormat="1" ht="31.2" customHeight="1">
      <c r="C1932" s="754" t="s">
        <v>5293</v>
      </c>
      <c r="D1932" s="750" t="s">
        <v>7053</v>
      </c>
      <c r="E1932" s="203" t="s">
        <v>1300</v>
      </c>
      <c r="F1932" s="760">
        <v>12</v>
      </c>
      <c r="G1932" s="205">
        <f>VLOOKUP(D1932,upahbahan,3,FALSE)</f>
        <v>0</v>
      </c>
      <c r="H1932" s="210">
        <f t="shared" si="132"/>
        <v>0</v>
      </c>
      <c r="L1932" s="200"/>
      <c r="M1932" s="200"/>
      <c r="N1932" s="200"/>
      <c r="O1932" s="200"/>
      <c r="P1932" s="200"/>
    </row>
    <row r="1933" spans="3:16" s="517" customFormat="1" ht="31.2" customHeight="1">
      <c r="C1933" s="754" t="s">
        <v>5299</v>
      </c>
      <c r="D1933" s="750" t="s">
        <v>7055</v>
      </c>
      <c r="E1933" s="203" t="s">
        <v>113</v>
      </c>
      <c r="F1933" s="760">
        <v>10</v>
      </c>
      <c r="G1933" s="205">
        <f>VLOOKUP(D1933,upahbahan,3,FALSE)</f>
        <v>0</v>
      </c>
      <c r="H1933" s="210">
        <f t="shared" si="132"/>
        <v>0</v>
      </c>
      <c r="L1933" s="200"/>
      <c r="M1933" s="200"/>
      <c r="N1933" s="200"/>
      <c r="O1933" s="200"/>
      <c r="P1933" s="200"/>
    </row>
    <row r="1934" spans="3:16" s="517" customFormat="1" ht="31.2" customHeight="1">
      <c r="C1934" s="543">
        <v>4</v>
      </c>
      <c r="D1934" s="750" t="s">
        <v>5556</v>
      </c>
      <c r="E1934" s="203"/>
      <c r="F1934" s="753"/>
      <c r="G1934" s="197"/>
      <c r="H1934" s="210">
        <f t="shared" si="132"/>
        <v>0</v>
      </c>
      <c r="L1934" s="200"/>
      <c r="M1934" s="200"/>
      <c r="N1934" s="200"/>
      <c r="O1934" s="200"/>
      <c r="P1934" s="200"/>
    </row>
    <row r="1935" spans="3:16" s="517" customFormat="1" ht="31.2" customHeight="1">
      <c r="C1935" s="754" t="s">
        <v>5293</v>
      </c>
      <c r="D1935" s="750" t="s">
        <v>2084</v>
      </c>
      <c r="E1935" s="203" t="s">
        <v>42</v>
      </c>
      <c r="F1935" s="753">
        <v>4.9000000000000002E-2</v>
      </c>
      <c r="G1935" s="205">
        <f>VLOOKUP(D1935,upahbahan,3,FALSE)</f>
        <v>0</v>
      </c>
      <c r="H1935" s="210">
        <f t="shared" si="132"/>
        <v>0</v>
      </c>
      <c r="L1935" s="200"/>
      <c r="M1935" s="200"/>
      <c r="N1935" s="200"/>
      <c r="O1935" s="200"/>
      <c r="P1935" s="200"/>
    </row>
    <row r="1936" spans="3:16" s="517" customFormat="1" ht="31.2" customHeight="1">
      <c r="C1936" s="754" t="s">
        <v>5299</v>
      </c>
      <c r="D1936" s="750" t="s">
        <v>5566</v>
      </c>
      <c r="E1936" s="203" t="s">
        <v>42</v>
      </c>
      <c r="F1936" s="753">
        <v>1.2999999999999999E-2</v>
      </c>
      <c r="G1936" s="205">
        <f>VLOOKUP(D1936,upahbahan,3,FALSE)</f>
        <v>0</v>
      </c>
      <c r="H1936" s="210">
        <f t="shared" si="132"/>
        <v>0</v>
      </c>
      <c r="L1936" s="200"/>
      <c r="M1936" s="200"/>
      <c r="N1936" s="200"/>
      <c r="O1936" s="200"/>
      <c r="P1936" s="200"/>
    </row>
    <row r="1937" spans="3:20" s="517" customFormat="1" ht="31.2" customHeight="1">
      <c r="C1937" s="754" t="s">
        <v>5558</v>
      </c>
      <c r="D1937" s="750" t="s">
        <v>2325</v>
      </c>
      <c r="E1937" s="203" t="s">
        <v>42</v>
      </c>
      <c r="F1937" s="762">
        <v>3.0000000000000001E-3</v>
      </c>
      <c r="G1937" s="205">
        <f>VLOOKUP(D1937,upahbahan,3,FALSE)</f>
        <v>0</v>
      </c>
      <c r="H1937" s="210">
        <f t="shared" si="132"/>
        <v>0</v>
      </c>
      <c r="L1937" s="200"/>
      <c r="M1937" s="200"/>
      <c r="N1937" s="200"/>
      <c r="O1937" s="200"/>
      <c r="P1937" s="200"/>
    </row>
    <row r="1938" spans="3:20" s="517" customFormat="1" ht="31.2" customHeight="1">
      <c r="C1938" s="207" t="s">
        <v>1214</v>
      </c>
      <c r="D1938" s="208"/>
      <c r="E1938" s="568"/>
      <c r="F1938" s="208"/>
      <c r="G1938" s="209"/>
      <c r="H1938" s="210">
        <f>SUM(H1929:H1937)</f>
        <v>0</v>
      </c>
      <c r="L1938" s="200"/>
      <c r="M1938" s="200"/>
      <c r="N1938" s="200"/>
      <c r="O1938" s="200"/>
      <c r="P1938" s="200"/>
    </row>
    <row r="1939" spans="3:20" s="517" customFormat="1" ht="31.2" customHeight="1">
      <c r="C1939" s="756" t="s">
        <v>1215</v>
      </c>
      <c r="D1939" s="196" t="s">
        <v>1216</v>
      </c>
      <c r="E1939" s="203"/>
      <c r="F1939" s="197"/>
      <c r="G1939" s="197"/>
      <c r="H1939" s="198"/>
      <c r="L1939" s="200"/>
      <c r="M1939" s="200"/>
      <c r="N1939" s="200"/>
      <c r="O1939" s="200"/>
      <c r="P1939" s="200"/>
    </row>
    <row r="1940" spans="3:20" s="517" customFormat="1" ht="31.2" customHeight="1">
      <c r="C1940" s="207" t="s">
        <v>1217</v>
      </c>
      <c r="D1940" s="208"/>
      <c r="E1940" s="208"/>
      <c r="F1940" s="208"/>
      <c r="G1940" s="209"/>
      <c r="H1940" s="240">
        <f>SUM(H1939)</f>
        <v>0</v>
      </c>
      <c r="L1940" s="200"/>
      <c r="M1940" s="200"/>
      <c r="N1940" s="200"/>
      <c r="O1940" s="200"/>
      <c r="P1940" s="200"/>
    </row>
    <row r="1941" spans="3:20" s="517" customFormat="1" ht="31.2" customHeight="1">
      <c r="C1941" s="223" t="s">
        <v>1218</v>
      </c>
      <c r="D1941" s="224" t="s">
        <v>1219</v>
      </c>
      <c r="E1941" s="225"/>
      <c r="F1941" s="225"/>
      <c r="G1941" s="226"/>
      <c r="H1941" s="210">
        <f>H1940+H1938+H1927</f>
        <v>14781.75</v>
      </c>
      <c r="L1941" s="200"/>
      <c r="M1941" s="200"/>
      <c r="N1941" s="200"/>
      <c r="O1941" s="200"/>
      <c r="P1941" s="200"/>
    </row>
    <row r="1942" spans="3:20" s="517" customFormat="1" ht="31.2" customHeight="1">
      <c r="C1942" s="223" t="s">
        <v>1220</v>
      </c>
      <c r="D1942" s="224" t="s">
        <v>1321</v>
      </c>
      <c r="E1942" s="225"/>
      <c r="F1942" s="226"/>
      <c r="G1942" s="228">
        <v>0.1</v>
      </c>
      <c r="H1942" s="210">
        <f>H1941*G1942</f>
        <v>1478.1750000000002</v>
      </c>
      <c r="L1942" s="200"/>
      <c r="M1942" s="200"/>
      <c r="N1942" s="200"/>
      <c r="O1942" s="200"/>
      <c r="P1942" s="200"/>
    </row>
    <row r="1943" spans="3:20" s="517" customFormat="1" ht="31.2" customHeight="1" thickBot="1">
      <c r="C1943" s="229" t="s">
        <v>1221</v>
      </c>
      <c r="D1943" s="230" t="s">
        <v>1222</v>
      </c>
      <c r="E1943" s="231"/>
      <c r="F1943" s="231"/>
      <c r="G1943" s="232"/>
      <c r="H1943" s="233">
        <f>SUM(H1941:H1942)</f>
        <v>16259.924999999999</v>
      </c>
      <c r="L1943" s="200"/>
      <c r="M1943" s="200"/>
      <c r="N1943" s="200"/>
      <c r="O1943" s="200"/>
      <c r="P1943" s="200"/>
    </row>
    <row r="1944" spans="3:20" ht="31.2" customHeight="1" thickTop="1">
      <c r="D1944" s="758" t="s">
        <v>6949</v>
      </c>
    </row>
    <row r="1945" spans="3:20" ht="31.2" customHeight="1">
      <c r="C1945" s="757" t="s">
        <v>6950</v>
      </c>
      <c r="F1945" s="758"/>
      <c r="H1945" s="758" t="s">
        <v>6959</v>
      </c>
    </row>
    <row r="1946" spans="3:20" ht="31.2" customHeight="1">
      <c r="C1946" s="200" t="s">
        <v>6951</v>
      </c>
      <c r="F1946" s="758"/>
    </row>
    <row r="1947" spans="3:20" ht="31.2" customHeight="1">
      <c r="C1947" s="200" t="s">
        <v>6952</v>
      </c>
      <c r="F1947" s="758"/>
    </row>
    <row r="1948" spans="3:20" ht="31.2" customHeight="1"/>
    <row r="1949" spans="3:20" s="517" customFormat="1" ht="31.2" customHeight="1" thickBot="1">
      <c r="C1949" s="513" t="s">
        <v>7076</v>
      </c>
      <c r="D1949" s="748" t="s">
        <v>7077</v>
      </c>
      <c r="E1949" s="749"/>
      <c r="F1949" s="748"/>
      <c r="G1949" s="748"/>
      <c r="H1949" s="532"/>
      <c r="I1949" s="532"/>
      <c r="J1949" s="532"/>
      <c r="K1949" s="532"/>
      <c r="M1949" s="189"/>
      <c r="N1949" s="189"/>
      <c r="O1949" s="189"/>
      <c r="P1949" s="189"/>
      <c r="R1949" s="189">
        <f>ROUNDDOWN(H1972,-2)</f>
        <v>16200</v>
      </c>
      <c r="S1949" s="517" t="s">
        <v>6451</v>
      </c>
      <c r="T1949" s="517" t="s">
        <v>7014</v>
      </c>
    </row>
    <row r="1950" spans="3:20" s="517" customFormat="1" ht="31.2" customHeight="1" thickTop="1">
      <c r="C1950" s="190" t="s">
        <v>1195</v>
      </c>
      <c r="D1950" s="191" t="s">
        <v>1196</v>
      </c>
      <c r="E1950" s="191" t="s">
        <v>1197</v>
      </c>
      <c r="F1950" s="191" t="s">
        <v>1198</v>
      </c>
      <c r="G1950" s="191" t="s">
        <v>1199</v>
      </c>
      <c r="H1950" s="192" t="s">
        <v>1200</v>
      </c>
      <c r="L1950" s="200"/>
      <c r="M1950" s="200"/>
      <c r="N1950" s="200"/>
      <c r="O1950" s="200"/>
      <c r="P1950" s="200"/>
    </row>
    <row r="1951" spans="3:20" s="517" customFormat="1" ht="31.2" customHeight="1">
      <c r="C1951" s="518" t="s">
        <v>1201</v>
      </c>
      <c r="D1951" s="196" t="s">
        <v>1202</v>
      </c>
      <c r="E1951" s="197"/>
      <c r="F1951" s="197"/>
      <c r="G1951" s="197"/>
      <c r="H1951" s="198"/>
      <c r="L1951" s="200"/>
      <c r="M1951" s="200"/>
      <c r="N1951" s="200"/>
      <c r="O1951" s="200"/>
      <c r="P1951" s="200"/>
    </row>
    <row r="1952" spans="3:20" s="517" customFormat="1" ht="31.2" customHeight="1">
      <c r="C1952" s="518">
        <v>1</v>
      </c>
      <c r="D1952" s="196" t="s">
        <v>5</v>
      </c>
      <c r="E1952" s="203" t="s">
        <v>2102</v>
      </c>
      <c r="F1952" s="763">
        <v>0.04</v>
      </c>
      <c r="G1952" s="205">
        <f>VLOOKUP(D1952,upahbahan,3,FALSE)</f>
        <v>100000</v>
      </c>
      <c r="H1952" s="210">
        <f t="shared" ref="H1952:H1955" si="133">F1952*G1952</f>
        <v>4000</v>
      </c>
      <c r="L1952" s="200"/>
      <c r="M1952" s="200"/>
      <c r="N1952" s="200"/>
      <c r="O1952" s="200"/>
      <c r="P1952" s="200"/>
    </row>
    <row r="1953" spans="3:16" s="517" customFormat="1" ht="31.2" customHeight="1">
      <c r="C1953" s="537">
        <v>2</v>
      </c>
      <c r="D1953" s="196" t="s">
        <v>6954</v>
      </c>
      <c r="E1953" s="202" t="s">
        <v>6</v>
      </c>
      <c r="F1953" s="520">
        <v>0.04</v>
      </c>
      <c r="G1953" s="205">
        <f>VLOOKUP(D1953,upahbahan,3,FALSE)</f>
        <v>181250</v>
      </c>
      <c r="H1953" s="210">
        <f t="shared" si="133"/>
        <v>7250</v>
      </c>
      <c r="L1953" s="200"/>
      <c r="M1953" s="200"/>
      <c r="N1953" s="200"/>
      <c r="O1953" s="200"/>
      <c r="P1953" s="200"/>
    </row>
    <row r="1954" spans="3:16" s="517" customFormat="1" ht="31.2" customHeight="1">
      <c r="C1954" s="537">
        <v>3</v>
      </c>
      <c r="D1954" s="196" t="s">
        <v>6948</v>
      </c>
      <c r="E1954" s="202" t="s">
        <v>2102</v>
      </c>
      <c r="F1954" s="520">
        <v>1.2999999999999999E-2</v>
      </c>
      <c r="G1954" s="205">
        <f>VLOOKUP(D1954,upahbahan,3,FALSE)</f>
        <v>218750</v>
      </c>
      <c r="H1954" s="210">
        <f t="shared" si="133"/>
        <v>2843.75</v>
      </c>
      <c r="L1954" s="200"/>
      <c r="M1954" s="200"/>
      <c r="N1954" s="200"/>
      <c r="O1954" s="200"/>
      <c r="P1954" s="200"/>
    </row>
    <row r="1955" spans="3:16" s="517" customFormat="1" ht="31.2" customHeight="1">
      <c r="C1955" s="537">
        <v>4</v>
      </c>
      <c r="D1955" s="196" t="s">
        <v>19</v>
      </c>
      <c r="E1955" s="202" t="s">
        <v>6</v>
      </c>
      <c r="F1955" s="520">
        <v>4.3E-3</v>
      </c>
      <c r="G1955" s="205">
        <f>VLOOKUP(D1955,upahbahan,3,FALSE)</f>
        <v>160000</v>
      </c>
      <c r="H1955" s="210">
        <f t="shared" si="133"/>
        <v>688</v>
      </c>
      <c r="L1955" s="200"/>
      <c r="M1955" s="200"/>
      <c r="N1955" s="200"/>
      <c r="O1955" s="200"/>
      <c r="P1955" s="200"/>
    </row>
    <row r="1956" spans="3:16" s="517" customFormat="1" ht="31.2" customHeight="1">
      <c r="C1956" s="207" t="s">
        <v>1208</v>
      </c>
      <c r="D1956" s="208"/>
      <c r="E1956" s="208"/>
      <c r="F1956" s="521"/>
      <c r="G1956" s="522"/>
      <c r="H1956" s="210">
        <f>SUM(H1952:H1955)</f>
        <v>14781.75</v>
      </c>
      <c r="L1956" s="523"/>
      <c r="M1956" s="523"/>
      <c r="N1956" s="523"/>
      <c r="O1956" s="523"/>
      <c r="P1956" s="523"/>
    </row>
    <row r="1957" spans="3:16" s="517" customFormat="1" ht="31.2" customHeight="1">
      <c r="C1957" s="543" t="s">
        <v>1209</v>
      </c>
      <c r="D1957" s="750" t="s">
        <v>1210</v>
      </c>
      <c r="E1957" s="197"/>
      <c r="F1957" s="751"/>
      <c r="G1957" s="197"/>
      <c r="H1957" s="752"/>
      <c r="L1957" s="200"/>
      <c r="M1957" s="200"/>
      <c r="N1957" s="200"/>
      <c r="O1957" s="200"/>
      <c r="P1957" s="200"/>
    </row>
    <row r="1958" spans="3:16" s="517" customFormat="1" ht="31.2" customHeight="1">
      <c r="C1958" s="543">
        <v>1</v>
      </c>
      <c r="D1958" s="750" t="s">
        <v>7078</v>
      </c>
      <c r="E1958" s="203" t="s">
        <v>44</v>
      </c>
      <c r="F1958" s="753">
        <v>1.05</v>
      </c>
      <c r="G1958" s="205">
        <f>VLOOKUP(D1958,upahbahan,3,FALSE)</f>
        <v>0</v>
      </c>
      <c r="H1958" s="210">
        <f t="shared" ref="H1958:H1966" si="134">F1958*G1958</f>
        <v>0</v>
      </c>
      <c r="L1958" s="200"/>
      <c r="M1958" s="200"/>
      <c r="N1958" s="200"/>
      <c r="O1958" s="200"/>
      <c r="P1958" s="200"/>
    </row>
    <row r="1959" spans="3:16" s="517" customFormat="1" ht="31.2" customHeight="1">
      <c r="C1959" s="543">
        <v>2</v>
      </c>
      <c r="D1959" s="750" t="s">
        <v>5563</v>
      </c>
      <c r="E1959" s="203" t="s">
        <v>65</v>
      </c>
      <c r="F1959" s="753">
        <v>0.01</v>
      </c>
      <c r="G1959" s="205">
        <f>VLOOKUP(D1959,upahbahan,3,FALSE)</f>
        <v>0</v>
      </c>
      <c r="H1959" s="210">
        <f t="shared" si="134"/>
        <v>0</v>
      </c>
      <c r="L1959" s="200"/>
      <c r="M1959" s="200"/>
      <c r="N1959" s="200"/>
      <c r="O1959" s="200"/>
      <c r="P1959" s="200"/>
    </row>
    <row r="1960" spans="3:16" s="517" customFormat="1" ht="31.2" customHeight="1">
      <c r="C1960" s="543">
        <v>3</v>
      </c>
      <c r="D1960" s="750" t="s">
        <v>5555</v>
      </c>
      <c r="E1960" s="203"/>
      <c r="F1960" s="753"/>
      <c r="G1960" s="197"/>
      <c r="H1960" s="210">
        <f t="shared" si="134"/>
        <v>0</v>
      </c>
      <c r="L1960" s="200"/>
      <c r="M1960" s="200"/>
      <c r="N1960" s="200"/>
      <c r="O1960" s="200"/>
      <c r="P1960" s="200"/>
    </row>
    <row r="1961" spans="3:16" s="517" customFormat="1" ht="31.2" customHeight="1">
      <c r="C1961" s="754" t="s">
        <v>5293</v>
      </c>
      <c r="D1961" s="750" t="s">
        <v>7053</v>
      </c>
      <c r="E1961" s="203" t="s">
        <v>1300</v>
      </c>
      <c r="F1961" s="760">
        <v>12</v>
      </c>
      <c r="G1961" s="205">
        <f>VLOOKUP(D1961,upahbahan,3,FALSE)</f>
        <v>0</v>
      </c>
      <c r="H1961" s="210">
        <f t="shared" si="134"/>
        <v>0</v>
      </c>
      <c r="L1961" s="200"/>
      <c r="M1961" s="200"/>
      <c r="N1961" s="200"/>
      <c r="O1961" s="200"/>
      <c r="P1961" s="200"/>
    </row>
    <row r="1962" spans="3:16" s="517" customFormat="1" ht="31.2" customHeight="1">
      <c r="C1962" s="754" t="s">
        <v>5299</v>
      </c>
      <c r="D1962" s="750" t="s">
        <v>7055</v>
      </c>
      <c r="E1962" s="203" t="s">
        <v>113</v>
      </c>
      <c r="F1962" s="760">
        <v>10</v>
      </c>
      <c r="G1962" s="205">
        <f>VLOOKUP(D1962,upahbahan,3,FALSE)</f>
        <v>0</v>
      </c>
      <c r="H1962" s="210">
        <f t="shared" si="134"/>
        <v>0</v>
      </c>
      <c r="L1962" s="200"/>
      <c r="M1962" s="200"/>
      <c r="N1962" s="200"/>
      <c r="O1962" s="200"/>
      <c r="P1962" s="200"/>
    </row>
    <row r="1963" spans="3:16" s="517" customFormat="1" ht="31.2" customHeight="1">
      <c r="C1963" s="543">
        <v>4</v>
      </c>
      <c r="D1963" s="750" t="s">
        <v>5556</v>
      </c>
      <c r="E1963" s="203"/>
      <c r="F1963" s="753"/>
      <c r="G1963" s="197"/>
      <c r="H1963" s="210">
        <f t="shared" si="134"/>
        <v>0</v>
      </c>
      <c r="L1963" s="200"/>
      <c r="M1963" s="200"/>
      <c r="N1963" s="200"/>
      <c r="O1963" s="200"/>
      <c r="P1963" s="200"/>
    </row>
    <row r="1964" spans="3:16" s="517" customFormat="1" ht="31.2" customHeight="1">
      <c r="C1964" s="754" t="s">
        <v>5293</v>
      </c>
      <c r="D1964" s="750" t="s">
        <v>2084</v>
      </c>
      <c r="E1964" s="203" t="s">
        <v>42</v>
      </c>
      <c r="F1964" s="753">
        <v>4.9000000000000002E-2</v>
      </c>
      <c r="G1964" s="205">
        <f>VLOOKUP(D1964,upahbahan,3,FALSE)</f>
        <v>0</v>
      </c>
      <c r="H1964" s="210">
        <f t="shared" si="134"/>
        <v>0</v>
      </c>
      <c r="L1964" s="200"/>
      <c r="M1964" s="200"/>
      <c r="N1964" s="200"/>
      <c r="O1964" s="200"/>
      <c r="P1964" s="200"/>
    </row>
    <row r="1965" spans="3:16" s="517" customFormat="1" ht="31.2" customHeight="1">
      <c r="C1965" s="754" t="s">
        <v>5299</v>
      </c>
      <c r="D1965" s="750" t="s">
        <v>5566</v>
      </c>
      <c r="E1965" s="203" t="s">
        <v>42</v>
      </c>
      <c r="F1965" s="753">
        <v>1.2999999999999999E-2</v>
      </c>
      <c r="G1965" s="205">
        <f>VLOOKUP(D1965,upahbahan,3,FALSE)</f>
        <v>0</v>
      </c>
      <c r="H1965" s="210">
        <f t="shared" si="134"/>
        <v>0</v>
      </c>
      <c r="L1965" s="200"/>
      <c r="M1965" s="200"/>
      <c r="N1965" s="200"/>
      <c r="O1965" s="200"/>
      <c r="P1965" s="200"/>
    </row>
    <row r="1966" spans="3:16" s="517" customFormat="1" ht="31.2" customHeight="1">
      <c r="C1966" s="754" t="s">
        <v>5558</v>
      </c>
      <c r="D1966" s="750" t="s">
        <v>2325</v>
      </c>
      <c r="E1966" s="203" t="s">
        <v>42</v>
      </c>
      <c r="F1966" s="762">
        <v>3.0000000000000001E-3</v>
      </c>
      <c r="G1966" s="205">
        <f>VLOOKUP(D1966,upahbahan,3,FALSE)</f>
        <v>0</v>
      </c>
      <c r="H1966" s="210">
        <f t="shared" si="134"/>
        <v>0</v>
      </c>
      <c r="L1966" s="200"/>
      <c r="M1966" s="200"/>
      <c r="N1966" s="200"/>
      <c r="O1966" s="200"/>
      <c r="P1966" s="200"/>
    </row>
    <row r="1967" spans="3:16" s="517" customFormat="1" ht="31.2" customHeight="1">
      <c r="C1967" s="207" t="s">
        <v>1214</v>
      </c>
      <c r="D1967" s="208"/>
      <c r="E1967" s="568"/>
      <c r="F1967" s="208"/>
      <c r="G1967" s="209"/>
      <c r="H1967" s="210">
        <f>SUM(H1958:H1966)</f>
        <v>0</v>
      </c>
      <c r="L1967" s="200"/>
      <c r="M1967" s="200"/>
      <c r="N1967" s="200"/>
      <c r="O1967" s="200"/>
      <c r="P1967" s="200"/>
    </row>
    <row r="1968" spans="3:16" s="517" customFormat="1" ht="31.2" customHeight="1">
      <c r="C1968" s="756" t="s">
        <v>1215</v>
      </c>
      <c r="D1968" s="196" t="s">
        <v>1216</v>
      </c>
      <c r="E1968" s="203"/>
      <c r="F1968" s="197"/>
      <c r="G1968" s="197"/>
      <c r="H1968" s="198"/>
      <c r="L1968" s="200"/>
      <c r="M1968" s="200"/>
      <c r="N1968" s="200"/>
      <c r="O1968" s="200"/>
      <c r="P1968" s="200"/>
    </row>
    <row r="1969" spans="3:20" s="517" customFormat="1" ht="31.2" customHeight="1">
      <c r="C1969" s="207" t="s">
        <v>1217</v>
      </c>
      <c r="D1969" s="208"/>
      <c r="E1969" s="208"/>
      <c r="F1969" s="208"/>
      <c r="G1969" s="209"/>
      <c r="H1969" s="240">
        <f>SUM(H1968)</f>
        <v>0</v>
      </c>
      <c r="L1969" s="200"/>
      <c r="M1969" s="200"/>
      <c r="N1969" s="200"/>
      <c r="O1969" s="200"/>
      <c r="P1969" s="200"/>
    </row>
    <row r="1970" spans="3:20" s="517" customFormat="1" ht="31.2" customHeight="1">
      <c r="C1970" s="223" t="s">
        <v>1218</v>
      </c>
      <c r="D1970" s="224" t="s">
        <v>1219</v>
      </c>
      <c r="E1970" s="225"/>
      <c r="F1970" s="225"/>
      <c r="G1970" s="226"/>
      <c r="H1970" s="210">
        <f>H1969+H1967+H1956</f>
        <v>14781.75</v>
      </c>
      <c r="L1970" s="200"/>
      <c r="M1970" s="200"/>
      <c r="N1970" s="200"/>
      <c r="O1970" s="200"/>
      <c r="P1970" s="200"/>
    </row>
    <row r="1971" spans="3:20" s="517" customFormat="1" ht="31.2" customHeight="1">
      <c r="C1971" s="223" t="s">
        <v>1220</v>
      </c>
      <c r="D1971" s="224" t="s">
        <v>1321</v>
      </c>
      <c r="E1971" s="225"/>
      <c r="F1971" s="226"/>
      <c r="G1971" s="228">
        <v>0.1</v>
      </c>
      <c r="H1971" s="210">
        <f>H1970*G1971</f>
        <v>1478.1750000000002</v>
      </c>
      <c r="L1971" s="200"/>
      <c r="M1971" s="200"/>
      <c r="N1971" s="200"/>
      <c r="O1971" s="200"/>
      <c r="P1971" s="200"/>
    </row>
    <row r="1972" spans="3:20" s="517" customFormat="1" ht="31.2" customHeight="1" thickBot="1">
      <c r="C1972" s="229" t="s">
        <v>1221</v>
      </c>
      <c r="D1972" s="230" t="s">
        <v>1222</v>
      </c>
      <c r="E1972" s="231"/>
      <c r="F1972" s="231"/>
      <c r="G1972" s="232"/>
      <c r="H1972" s="233">
        <f>SUM(H1970:H1971)</f>
        <v>16259.924999999999</v>
      </c>
      <c r="L1972" s="200"/>
      <c r="M1972" s="200"/>
      <c r="N1972" s="200"/>
      <c r="O1972" s="200"/>
      <c r="P1972" s="200"/>
    </row>
    <row r="1973" spans="3:20" ht="31.2" customHeight="1" thickTop="1">
      <c r="D1973" s="758" t="s">
        <v>6949</v>
      </c>
    </row>
    <row r="1974" spans="3:20" ht="31.2" customHeight="1">
      <c r="C1974" s="757" t="s">
        <v>6950</v>
      </c>
      <c r="F1974" s="758"/>
      <c r="H1974" s="758" t="s">
        <v>6959</v>
      </c>
    </row>
    <row r="1975" spans="3:20" ht="31.2" customHeight="1">
      <c r="C1975" s="200" t="s">
        <v>6951</v>
      </c>
      <c r="F1975" s="758"/>
    </row>
    <row r="1976" spans="3:20" ht="31.2" customHeight="1">
      <c r="C1976" s="200" t="s">
        <v>6952</v>
      </c>
      <c r="F1976" s="758"/>
    </row>
    <row r="1977" spans="3:20" ht="31.2" customHeight="1"/>
    <row r="1978" spans="3:20" s="517" customFormat="1" ht="31.2" customHeight="1" thickBot="1">
      <c r="C1978" s="513" t="s">
        <v>7079</v>
      </c>
      <c r="D1978" s="748" t="s">
        <v>7080</v>
      </c>
      <c r="E1978" s="749"/>
      <c r="F1978" s="748"/>
      <c r="G1978" s="748"/>
      <c r="H1978" s="532"/>
      <c r="I1978" s="532"/>
      <c r="J1978" s="532"/>
      <c r="K1978" s="532"/>
      <c r="M1978" s="189"/>
      <c r="N1978" s="189"/>
      <c r="O1978" s="189"/>
      <c r="P1978" s="189"/>
      <c r="R1978" s="189">
        <f>ROUNDDOWN(H2001,-2)</f>
        <v>16200</v>
      </c>
      <c r="S1978" s="517" t="s">
        <v>6451</v>
      </c>
      <c r="T1978" s="517" t="s">
        <v>7014</v>
      </c>
    </row>
    <row r="1979" spans="3:20" s="517" customFormat="1" ht="31.2" customHeight="1" thickTop="1">
      <c r="C1979" s="190" t="s">
        <v>1195</v>
      </c>
      <c r="D1979" s="191" t="s">
        <v>1196</v>
      </c>
      <c r="E1979" s="191" t="s">
        <v>1197</v>
      </c>
      <c r="F1979" s="191" t="s">
        <v>1198</v>
      </c>
      <c r="G1979" s="191" t="s">
        <v>1199</v>
      </c>
      <c r="H1979" s="192" t="s">
        <v>1200</v>
      </c>
      <c r="L1979" s="200"/>
      <c r="M1979" s="200"/>
      <c r="N1979" s="200"/>
      <c r="O1979" s="200"/>
      <c r="P1979" s="200"/>
    </row>
    <row r="1980" spans="3:20" s="517" customFormat="1" ht="31.2" customHeight="1">
      <c r="C1980" s="518" t="s">
        <v>1201</v>
      </c>
      <c r="D1980" s="196" t="s">
        <v>1202</v>
      </c>
      <c r="E1980" s="197"/>
      <c r="F1980" s="197"/>
      <c r="G1980" s="197"/>
      <c r="H1980" s="198"/>
      <c r="L1980" s="200"/>
      <c r="M1980" s="200"/>
      <c r="N1980" s="200"/>
      <c r="O1980" s="200"/>
      <c r="P1980" s="200"/>
    </row>
    <row r="1981" spans="3:20" s="517" customFormat="1" ht="31.2" customHeight="1">
      <c r="C1981" s="518">
        <v>1</v>
      </c>
      <c r="D1981" s="196" t="s">
        <v>5</v>
      </c>
      <c r="E1981" s="203" t="s">
        <v>2102</v>
      </c>
      <c r="F1981" s="763">
        <v>0.04</v>
      </c>
      <c r="G1981" s="205">
        <f>VLOOKUP(D1981,upahbahan,3,FALSE)</f>
        <v>100000</v>
      </c>
      <c r="H1981" s="210">
        <f t="shared" ref="H1981:H1984" si="135">F1981*G1981</f>
        <v>4000</v>
      </c>
      <c r="L1981" s="200"/>
      <c r="M1981" s="200"/>
      <c r="N1981" s="200"/>
      <c r="O1981" s="200"/>
      <c r="P1981" s="200"/>
    </row>
    <row r="1982" spans="3:20" s="517" customFormat="1" ht="31.2" customHeight="1">
      <c r="C1982" s="537">
        <v>2</v>
      </c>
      <c r="D1982" s="196" t="s">
        <v>6954</v>
      </c>
      <c r="E1982" s="202" t="s">
        <v>6</v>
      </c>
      <c r="F1982" s="520">
        <v>0.04</v>
      </c>
      <c r="G1982" s="205">
        <f>VLOOKUP(D1982,upahbahan,3,FALSE)</f>
        <v>181250</v>
      </c>
      <c r="H1982" s="210">
        <f t="shared" si="135"/>
        <v>7250</v>
      </c>
      <c r="L1982" s="200"/>
      <c r="M1982" s="200"/>
      <c r="N1982" s="200"/>
      <c r="O1982" s="200"/>
      <c r="P1982" s="200"/>
    </row>
    <row r="1983" spans="3:20" s="517" customFormat="1" ht="31.2" customHeight="1">
      <c r="C1983" s="537">
        <v>3</v>
      </c>
      <c r="D1983" s="196" t="s">
        <v>6948</v>
      </c>
      <c r="E1983" s="202" t="s">
        <v>2102</v>
      </c>
      <c r="F1983" s="520">
        <v>1.2999999999999999E-2</v>
      </c>
      <c r="G1983" s="205">
        <f>VLOOKUP(D1983,upahbahan,3,FALSE)</f>
        <v>218750</v>
      </c>
      <c r="H1983" s="210">
        <f t="shared" si="135"/>
        <v>2843.75</v>
      </c>
      <c r="L1983" s="200"/>
      <c r="M1983" s="200"/>
      <c r="N1983" s="200"/>
      <c r="O1983" s="200"/>
      <c r="P1983" s="200"/>
    </row>
    <row r="1984" spans="3:20" s="517" customFormat="1" ht="31.2" customHeight="1">
      <c r="C1984" s="537">
        <v>4</v>
      </c>
      <c r="D1984" s="196" t="s">
        <v>19</v>
      </c>
      <c r="E1984" s="202" t="s">
        <v>6</v>
      </c>
      <c r="F1984" s="520">
        <v>4.3E-3</v>
      </c>
      <c r="G1984" s="205">
        <f>VLOOKUP(D1984,upahbahan,3,FALSE)</f>
        <v>160000</v>
      </c>
      <c r="H1984" s="210">
        <f t="shared" si="135"/>
        <v>688</v>
      </c>
      <c r="L1984" s="200"/>
      <c r="M1984" s="200"/>
      <c r="N1984" s="200"/>
      <c r="O1984" s="200"/>
      <c r="P1984" s="200"/>
    </row>
    <row r="1985" spans="3:16" s="517" customFormat="1" ht="31.2" customHeight="1">
      <c r="C1985" s="207" t="s">
        <v>1208</v>
      </c>
      <c r="D1985" s="208"/>
      <c r="E1985" s="208"/>
      <c r="F1985" s="521"/>
      <c r="G1985" s="522"/>
      <c r="H1985" s="210">
        <f>SUM(H1981:H1984)</f>
        <v>14781.75</v>
      </c>
      <c r="L1985" s="523"/>
      <c r="M1985" s="523"/>
      <c r="N1985" s="523"/>
      <c r="O1985" s="523"/>
      <c r="P1985" s="523"/>
    </row>
    <row r="1986" spans="3:16" s="517" customFormat="1" ht="31.2" customHeight="1">
      <c r="C1986" s="543" t="s">
        <v>1209</v>
      </c>
      <c r="D1986" s="750" t="s">
        <v>1210</v>
      </c>
      <c r="E1986" s="197"/>
      <c r="F1986" s="751"/>
      <c r="G1986" s="197"/>
      <c r="H1986" s="752"/>
      <c r="L1986" s="200"/>
      <c r="M1986" s="200"/>
      <c r="N1986" s="200"/>
      <c r="O1986" s="200"/>
      <c r="P1986" s="200"/>
    </row>
    <row r="1987" spans="3:16" s="517" customFormat="1" ht="31.2" customHeight="1">
      <c r="C1987" s="543">
        <v>1</v>
      </c>
      <c r="D1987" s="750" t="s">
        <v>7081</v>
      </c>
      <c r="E1987" s="203" t="s">
        <v>44</v>
      </c>
      <c r="F1987" s="753">
        <v>1.05</v>
      </c>
      <c r="G1987" s="205">
        <f>VLOOKUP(D1987,upahbahan,3,FALSE)</f>
        <v>0</v>
      </c>
      <c r="H1987" s="210">
        <f t="shared" ref="H1987:H1995" si="136">F1987*G1987</f>
        <v>0</v>
      </c>
      <c r="L1987" s="200"/>
      <c r="M1987" s="200"/>
      <c r="N1987" s="200"/>
      <c r="O1987" s="200"/>
      <c r="P1987" s="200"/>
    </row>
    <row r="1988" spans="3:16" s="517" customFormat="1" ht="31.2" customHeight="1">
      <c r="C1988" s="543">
        <v>2</v>
      </c>
      <c r="D1988" s="750" t="s">
        <v>5563</v>
      </c>
      <c r="E1988" s="203" t="s">
        <v>65</v>
      </c>
      <c r="F1988" s="753">
        <v>0.01</v>
      </c>
      <c r="G1988" s="205">
        <f>VLOOKUP(D1988,upahbahan,3,FALSE)</f>
        <v>0</v>
      </c>
      <c r="H1988" s="210">
        <f t="shared" si="136"/>
        <v>0</v>
      </c>
      <c r="L1988" s="200"/>
      <c r="M1988" s="200"/>
      <c r="N1988" s="200"/>
      <c r="O1988" s="200"/>
      <c r="P1988" s="200"/>
    </row>
    <row r="1989" spans="3:16" s="517" customFormat="1" ht="31.2" customHeight="1">
      <c r="C1989" s="543">
        <v>3</v>
      </c>
      <c r="D1989" s="750" t="s">
        <v>5555</v>
      </c>
      <c r="E1989" s="203"/>
      <c r="F1989" s="753"/>
      <c r="G1989" s="197"/>
      <c r="H1989" s="210">
        <f t="shared" si="136"/>
        <v>0</v>
      </c>
      <c r="L1989" s="200"/>
      <c r="M1989" s="200"/>
      <c r="N1989" s="200"/>
      <c r="O1989" s="200"/>
      <c r="P1989" s="200"/>
    </row>
    <row r="1990" spans="3:16" s="517" customFormat="1" ht="31.2" customHeight="1">
      <c r="C1990" s="754" t="s">
        <v>5293</v>
      </c>
      <c r="D1990" s="750" t="s">
        <v>7053</v>
      </c>
      <c r="E1990" s="203" t="s">
        <v>1300</v>
      </c>
      <c r="F1990" s="760">
        <v>12</v>
      </c>
      <c r="G1990" s="205">
        <f>VLOOKUP(D1990,upahbahan,3,FALSE)</f>
        <v>0</v>
      </c>
      <c r="H1990" s="210">
        <f t="shared" si="136"/>
        <v>0</v>
      </c>
      <c r="L1990" s="200"/>
      <c r="M1990" s="200"/>
      <c r="N1990" s="200"/>
      <c r="O1990" s="200"/>
      <c r="P1990" s="200"/>
    </row>
    <row r="1991" spans="3:16" s="517" customFormat="1" ht="31.2" customHeight="1">
      <c r="C1991" s="754" t="s">
        <v>5299</v>
      </c>
      <c r="D1991" s="750" t="s">
        <v>7055</v>
      </c>
      <c r="E1991" s="203" t="s">
        <v>113</v>
      </c>
      <c r="F1991" s="760">
        <v>10</v>
      </c>
      <c r="G1991" s="205">
        <f>VLOOKUP(D1991,upahbahan,3,FALSE)</f>
        <v>0</v>
      </c>
      <c r="H1991" s="210">
        <f t="shared" si="136"/>
        <v>0</v>
      </c>
      <c r="L1991" s="200"/>
      <c r="M1991" s="200"/>
      <c r="N1991" s="200"/>
      <c r="O1991" s="200"/>
      <c r="P1991" s="200"/>
    </row>
    <row r="1992" spans="3:16" s="517" customFormat="1" ht="31.2" customHeight="1">
      <c r="C1992" s="543">
        <v>4</v>
      </c>
      <c r="D1992" s="750" t="s">
        <v>5556</v>
      </c>
      <c r="E1992" s="203"/>
      <c r="F1992" s="753"/>
      <c r="G1992" s="197"/>
      <c r="H1992" s="210">
        <f t="shared" si="136"/>
        <v>0</v>
      </c>
      <c r="L1992" s="200"/>
      <c r="M1992" s="200"/>
      <c r="N1992" s="200"/>
      <c r="O1992" s="200"/>
      <c r="P1992" s="200"/>
    </row>
    <row r="1993" spans="3:16" s="517" customFormat="1" ht="31.2" customHeight="1">
      <c r="C1993" s="754" t="s">
        <v>5293</v>
      </c>
      <c r="D1993" s="750" t="s">
        <v>2084</v>
      </c>
      <c r="E1993" s="203" t="s">
        <v>42</v>
      </c>
      <c r="F1993" s="753">
        <v>4.9000000000000002E-2</v>
      </c>
      <c r="G1993" s="205">
        <f>VLOOKUP(D1993,upahbahan,3,FALSE)</f>
        <v>0</v>
      </c>
      <c r="H1993" s="210">
        <f t="shared" si="136"/>
        <v>0</v>
      </c>
      <c r="L1993" s="200"/>
      <c r="M1993" s="200"/>
      <c r="N1993" s="200"/>
      <c r="O1993" s="200"/>
      <c r="P1993" s="200"/>
    </row>
    <row r="1994" spans="3:16" s="517" customFormat="1" ht="31.2" customHeight="1">
      <c r="C1994" s="754" t="s">
        <v>5299</v>
      </c>
      <c r="D1994" s="750" t="s">
        <v>5566</v>
      </c>
      <c r="E1994" s="203" t="s">
        <v>42</v>
      </c>
      <c r="F1994" s="753">
        <v>1.2999999999999999E-2</v>
      </c>
      <c r="G1994" s="205">
        <f>VLOOKUP(D1994,upahbahan,3,FALSE)</f>
        <v>0</v>
      </c>
      <c r="H1994" s="210">
        <f t="shared" si="136"/>
        <v>0</v>
      </c>
      <c r="L1994" s="200"/>
      <c r="M1994" s="200"/>
      <c r="N1994" s="200"/>
      <c r="O1994" s="200"/>
      <c r="P1994" s="200"/>
    </row>
    <row r="1995" spans="3:16" s="517" customFormat="1" ht="31.2" customHeight="1">
      <c r="C1995" s="754" t="s">
        <v>5558</v>
      </c>
      <c r="D1995" s="750" t="s">
        <v>2325</v>
      </c>
      <c r="E1995" s="203" t="s">
        <v>42</v>
      </c>
      <c r="F1995" s="762">
        <v>3.0000000000000001E-3</v>
      </c>
      <c r="G1995" s="205">
        <f>VLOOKUP(D1995,upahbahan,3,FALSE)</f>
        <v>0</v>
      </c>
      <c r="H1995" s="210">
        <f t="shared" si="136"/>
        <v>0</v>
      </c>
      <c r="L1995" s="200"/>
      <c r="M1995" s="200"/>
      <c r="N1995" s="200"/>
      <c r="O1995" s="200"/>
      <c r="P1995" s="200"/>
    </row>
    <row r="1996" spans="3:16" s="517" customFormat="1" ht="31.2" customHeight="1">
      <c r="C1996" s="207" t="s">
        <v>1214</v>
      </c>
      <c r="D1996" s="208"/>
      <c r="E1996" s="568"/>
      <c r="F1996" s="208"/>
      <c r="G1996" s="209"/>
      <c r="H1996" s="210">
        <f>SUM(H1987:H1995)</f>
        <v>0</v>
      </c>
      <c r="L1996" s="200"/>
      <c r="M1996" s="200"/>
      <c r="N1996" s="200"/>
      <c r="O1996" s="200"/>
      <c r="P1996" s="200"/>
    </row>
    <row r="1997" spans="3:16" s="517" customFormat="1" ht="31.2" customHeight="1">
      <c r="C1997" s="756" t="s">
        <v>1215</v>
      </c>
      <c r="D1997" s="196" t="s">
        <v>1216</v>
      </c>
      <c r="E1997" s="203"/>
      <c r="F1997" s="197"/>
      <c r="G1997" s="197"/>
      <c r="H1997" s="198"/>
      <c r="L1997" s="200"/>
      <c r="M1997" s="200"/>
      <c r="N1997" s="200"/>
      <c r="O1997" s="200"/>
      <c r="P1997" s="200"/>
    </row>
    <row r="1998" spans="3:16" s="517" customFormat="1" ht="31.2" customHeight="1">
      <c r="C1998" s="207" t="s">
        <v>1217</v>
      </c>
      <c r="D1998" s="208"/>
      <c r="E1998" s="208"/>
      <c r="F1998" s="208"/>
      <c r="G1998" s="209"/>
      <c r="H1998" s="240">
        <f>SUM(H1997)</f>
        <v>0</v>
      </c>
      <c r="L1998" s="200"/>
      <c r="M1998" s="200"/>
      <c r="N1998" s="200"/>
      <c r="O1998" s="200"/>
      <c r="P1998" s="200"/>
    </row>
    <row r="1999" spans="3:16" s="517" customFormat="1" ht="31.2" customHeight="1">
      <c r="C1999" s="223" t="s">
        <v>1218</v>
      </c>
      <c r="D1999" s="224" t="s">
        <v>1219</v>
      </c>
      <c r="E1999" s="225"/>
      <c r="F1999" s="225"/>
      <c r="G1999" s="226"/>
      <c r="H1999" s="210">
        <f>H1998+H1996+H1985</f>
        <v>14781.75</v>
      </c>
      <c r="L1999" s="200"/>
      <c r="M1999" s="200"/>
      <c r="N1999" s="200"/>
      <c r="O1999" s="200"/>
      <c r="P1999" s="200"/>
    </row>
    <row r="2000" spans="3:16" s="517" customFormat="1" ht="31.2" customHeight="1">
      <c r="C2000" s="223" t="s">
        <v>1220</v>
      </c>
      <c r="D2000" s="224" t="s">
        <v>1321</v>
      </c>
      <c r="E2000" s="225"/>
      <c r="F2000" s="226"/>
      <c r="G2000" s="228">
        <v>0.1</v>
      </c>
      <c r="H2000" s="210">
        <f>H1999*G2000</f>
        <v>1478.1750000000002</v>
      </c>
      <c r="L2000" s="200"/>
      <c r="M2000" s="200"/>
      <c r="N2000" s="200"/>
      <c r="O2000" s="200"/>
      <c r="P2000" s="200"/>
    </row>
    <row r="2001" spans="3:20" s="517" customFormat="1" ht="31.2" customHeight="1" thickBot="1">
      <c r="C2001" s="229" t="s">
        <v>1221</v>
      </c>
      <c r="D2001" s="230" t="s">
        <v>1222</v>
      </c>
      <c r="E2001" s="231"/>
      <c r="F2001" s="231"/>
      <c r="G2001" s="232"/>
      <c r="H2001" s="233">
        <f>SUM(H1999:H2000)</f>
        <v>16259.924999999999</v>
      </c>
      <c r="L2001" s="200"/>
      <c r="M2001" s="200"/>
      <c r="N2001" s="200"/>
      <c r="O2001" s="200"/>
      <c r="P2001" s="200"/>
    </row>
    <row r="2002" spans="3:20" ht="31.2" customHeight="1" thickTop="1">
      <c r="D2002" s="758" t="s">
        <v>6949</v>
      </c>
    </row>
    <row r="2003" spans="3:20" ht="31.2" customHeight="1">
      <c r="C2003" s="757" t="s">
        <v>6950</v>
      </c>
      <c r="F2003" s="758"/>
      <c r="H2003" s="758" t="s">
        <v>6959</v>
      </c>
    </row>
    <row r="2004" spans="3:20" ht="31.2" customHeight="1">
      <c r="C2004" s="200" t="s">
        <v>6951</v>
      </c>
      <c r="F2004" s="758"/>
    </row>
    <row r="2005" spans="3:20" ht="31.2" customHeight="1">
      <c r="C2005" s="200" t="s">
        <v>6952</v>
      </c>
      <c r="F2005" s="758"/>
    </row>
    <row r="2006" spans="3:20" ht="31.2" customHeight="1"/>
    <row r="2007" spans="3:20" s="517" customFormat="1" ht="31.2" customHeight="1" thickBot="1">
      <c r="C2007" s="513" t="s">
        <v>7082</v>
      </c>
      <c r="D2007" s="748" t="s">
        <v>7080</v>
      </c>
      <c r="E2007" s="749"/>
      <c r="F2007" s="748"/>
      <c r="G2007" s="748"/>
      <c r="H2007" s="532"/>
      <c r="I2007" s="532"/>
      <c r="J2007" s="532"/>
      <c r="K2007" s="532"/>
      <c r="M2007" s="189"/>
      <c r="N2007" s="189"/>
      <c r="O2007" s="189"/>
      <c r="P2007" s="189"/>
      <c r="R2007" s="189">
        <f>ROUNDDOWN(H2030,-2)</f>
        <v>16200</v>
      </c>
      <c r="S2007" s="517" t="s">
        <v>6451</v>
      </c>
      <c r="T2007" s="517" t="s">
        <v>7014</v>
      </c>
    </row>
    <row r="2008" spans="3:20" s="517" customFormat="1" ht="31.2" customHeight="1" thickTop="1">
      <c r="C2008" s="190" t="s">
        <v>1195</v>
      </c>
      <c r="D2008" s="191" t="s">
        <v>1196</v>
      </c>
      <c r="E2008" s="191" t="s">
        <v>1197</v>
      </c>
      <c r="F2008" s="191" t="s">
        <v>1198</v>
      </c>
      <c r="G2008" s="191" t="s">
        <v>1199</v>
      </c>
      <c r="H2008" s="192" t="s">
        <v>1200</v>
      </c>
      <c r="L2008" s="200"/>
      <c r="M2008" s="200"/>
      <c r="N2008" s="200"/>
      <c r="O2008" s="200"/>
      <c r="P2008" s="200"/>
    </row>
    <row r="2009" spans="3:20" s="517" customFormat="1" ht="31.2" customHeight="1">
      <c r="C2009" s="518" t="s">
        <v>1201</v>
      </c>
      <c r="D2009" s="196" t="s">
        <v>1202</v>
      </c>
      <c r="E2009" s="197"/>
      <c r="F2009" s="197"/>
      <c r="G2009" s="197"/>
      <c r="H2009" s="198"/>
      <c r="L2009" s="200"/>
      <c r="M2009" s="200"/>
      <c r="N2009" s="200"/>
      <c r="O2009" s="200"/>
      <c r="P2009" s="200"/>
    </row>
    <row r="2010" spans="3:20" s="517" customFormat="1" ht="31.2" customHeight="1">
      <c r="C2010" s="518">
        <v>1</v>
      </c>
      <c r="D2010" s="196" t="s">
        <v>5</v>
      </c>
      <c r="E2010" s="203" t="s">
        <v>2102</v>
      </c>
      <c r="F2010" s="763">
        <v>0.04</v>
      </c>
      <c r="G2010" s="205">
        <f>VLOOKUP(D2010,upahbahan,3,FALSE)</f>
        <v>100000</v>
      </c>
      <c r="H2010" s="210">
        <f t="shared" ref="H2010:H2013" si="137">F2010*G2010</f>
        <v>4000</v>
      </c>
      <c r="L2010" s="200"/>
      <c r="M2010" s="200"/>
      <c r="N2010" s="200"/>
      <c r="O2010" s="200"/>
      <c r="P2010" s="200"/>
    </row>
    <row r="2011" spans="3:20" s="517" customFormat="1" ht="31.2" customHeight="1">
      <c r="C2011" s="537">
        <v>2</v>
      </c>
      <c r="D2011" s="196" t="s">
        <v>6954</v>
      </c>
      <c r="E2011" s="202" t="s">
        <v>6</v>
      </c>
      <c r="F2011" s="520">
        <v>0.04</v>
      </c>
      <c r="G2011" s="205">
        <f>VLOOKUP(D2011,upahbahan,3,FALSE)</f>
        <v>181250</v>
      </c>
      <c r="H2011" s="210">
        <f t="shared" si="137"/>
        <v>7250</v>
      </c>
      <c r="L2011" s="200"/>
      <c r="M2011" s="200"/>
      <c r="N2011" s="200"/>
      <c r="O2011" s="200"/>
      <c r="P2011" s="200"/>
    </row>
    <row r="2012" spans="3:20" s="517" customFormat="1" ht="31.2" customHeight="1">
      <c r="C2012" s="537">
        <v>3</v>
      </c>
      <c r="D2012" s="196" t="s">
        <v>6948</v>
      </c>
      <c r="E2012" s="202" t="s">
        <v>2102</v>
      </c>
      <c r="F2012" s="520">
        <v>1.2999999999999999E-2</v>
      </c>
      <c r="G2012" s="205">
        <f>VLOOKUP(D2012,upahbahan,3,FALSE)</f>
        <v>218750</v>
      </c>
      <c r="H2012" s="210">
        <f t="shared" si="137"/>
        <v>2843.75</v>
      </c>
      <c r="L2012" s="200"/>
      <c r="M2012" s="200"/>
      <c r="N2012" s="200"/>
      <c r="O2012" s="200"/>
      <c r="P2012" s="200"/>
    </row>
    <row r="2013" spans="3:20" s="517" customFormat="1" ht="31.2" customHeight="1">
      <c r="C2013" s="537">
        <v>4</v>
      </c>
      <c r="D2013" s="196" t="s">
        <v>19</v>
      </c>
      <c r="E2013" s="202" t="s">
        <v>6</v>
      </c>
      <c r="F2013" s="520">
        <v>4.3E-3</v>
      </c>
      <c r="G2013" s="205">
        <f>VLOOKUP(D2013,upahbahan,3,FALSE)</f>
        <v>160000</v>
      </c>
      <c r="H2013" s="210">
        <f t="shared" si="137"/>
        <v>688</v>
      </c>
      <c r="L2013" s="200"/>
      <c r="M2013" s="200"/>
      <c r="N2013" s="200"/>
      <c r="O2013" s="200"/>
      <c r="P2013" s="200"/>
    </row>
    <row r="2014" spans="3:20" s="517" customFormat="1" ht="31.2" customHeight="1">
      <c r="C2014" s="207" t="s">
        <v>1208</v>
      </c>
      <c r="D2014" s="208"/>
      <c r="E2014" s="208"/>
      <c r="F2014" s="521"/>
      <c r="G2014" s="522"/>
      <c r="H2014" s="210">
        <f>SUM(H2010:H2013)</f>
        <v>14781.75</v>
      </c>
      <c r="L2014" s="523"/>
      <c r="M2014" s="523"/>
      <c r="N2014" s="523"/>
      <c r="O2014" s="523"/>
      <c r="P2014" s="523"/>
    </row>
    <row r="2015" spans="3:20" s="517" customFormat="1" ht="31.2" customHeight="1">
      <c r="C2015" s="543" t="s">
        <v>1209</v>
      </c>
      <c r="D2015" s="750" t="s">
        <v>1210</v>
      </c>
      <c r="E2015" s="197"/>
      <c r="F2015" s="751"/>
      <c r="G2015" s="197"/>
      <c r="H2015" s="752"/>
      <c r="L2015" s="200"/>
      <c r="M2015" s="200"/>
      <c r="N2015" s="200"/>
      <c r="O2015" s="200"/>
      <c r="P2015" s="200"/>
    </row>
    <row r="2016" spans="3:20" s="517" customFormat="1" ht="31.2" customHeight="1">
      <c r="C2016" s="543">
        <v>1</v>
      </c>
      <c r="D2016" s="750" t="s">
        <v>7081</v>
      </c>
      <c r="E2016" s="203" t="s">
        <v>44</v>
      </c>
      <c r="F2016" s="753">
        <v>1.05</v>
      </c>
      <c r="G2016" s="205">
        <f>VLOOKUP(D2016,upahbahan,3,FALSE)</f>
        <v>0</v>
      </c>
      <c r="H2016" s="210">
        <f t="shared" ref="H2016:H2024" si="138">F2016*G2016</f>
        <v>0</v>
      </c>
      <c r="L2016" s="200"/>
      <c r="M2016" s="200"/>
      <c r="N2016" s="200"/>
      <c r="O2016" s="200"/>
      <c r="P2016" s="200"/>
    </row>
    <row r="2017" spans="3:16" s="517" customFormat="1" ht="31.2" customHeight="1">
      <c r="C2017" s="543">
        <v>2</v>
      </c>
      <c r="D2017" s="750" t="s">
        <v>5563</v>
      </c>
      <c r="E2017" s="203" t="s">
        <v>65</v>
      </c>
      <c r="F2017" s="753">
        <v>0.01</v>
      </c>
      <c r="G2017" s="205">
        <f>VLOOKUP(D2017,upahbahan,3,FALSE)</f>
        <v>0</v>
      </c>
      <c r="H2017" s="210">
        <f t="shared" si="138"/>
        <v>0</v>
      </c>
      <c r="L2017" s="200"/>
      <c r="M2017" s="200"/>
      <c r="N2017" s="200"/>
      <c r="O2017" s="200"/>
      <c r="P2017" s="200"/>
    </row>
    <row r="2018" spans="3:16" s="517" customFormat="1" ht="31.2" customHeight="1">
      <c r="C2018" s="543">
        <v>3</v>
      </c>
      <c r="D2018" s="750" t="s">
        <v>5555</v>
      </c>
      <c r="E2018" s="203"/>
      <c r="F2018" s="753"/>
      <c r="G2018" s="197"/>
      <c r="H2018" s="210">
        <f t="shared" si="138"/>
        <v>0</v>
      </c>
      <c r="L2018" s="200"/>
      <c r="M2018" s="200"/>
      <c r="N2018" s="200"/>
      <c r="O2018" s="200"/>
      <c r="P2018" s="200"/>
    </row>
    <row r="2019" spans="3:16" s="517" customFormat="1" ht="31.2" customHeight="1">
      <c r="C2019" s="754" t="s">
        <v>5293</v>
      </c>
      <c r="D2019" s="750" t="s">
        <v>7053</v>
      </c>
      <c r="E2019" s="203" t="s">
        <v>1300</v>
      </c>
      <c r="F2019" s="760">
        <v>12</v>
      </c>
      <c r="G2019" s="205">
        <f>VLOOKUP(D2019,upahbahan,3,FALSE)</f>
        <v>0</v>
      </c>
      <c r="H2019" s="210">
        <f t="shared" si="138"/>
        <v>0</v>
      </c>
      <c r="L2019" s="200"/>
      <c r="M2019" s="200"/>
      <c r="N2019" s="200"/>
      <c r="O2019" s="200"/>
      <c r="P2019" s="200"/>
    </row>
    <row r="2020" spans="3:16" s="517" customFormat="1" ht="31.2" customHeight="1">
      <c r="C2020" s="754" t="s">
        <v>5299</v>
      </c>
      <c r="D2020" s="750" t="s">
        <v>7055</v>
      </c>
      <c r="E2020" s="203" t="s">
        <v>113</v>
      </c>
      <c r="F2020" s="760">
        <v>10</v>
      </c>
      <c r="G2020" s="205">
        <f>VLOOKUP(D2020,upahbahan,3,FALSE)</f>
        <v>0</v>
      </c>
      <c r="H2020" s="210">
        <f t="shared" si="138"/>
        <v>0</v>
      </c>
      <c r="L2020" s="200"/>
      <c r="M2020" s="200"/>
      <c r="N2020" s="200"/>
      <c r="O2020" s="200"/>
      <c r="P2020" s="200"/>
    </row>
    <row r="2021" spans="3:16" s="517" customFormat="1" ht="31.2" customHeight="1">
      <c r="C2021" s="543">
        <v>4</v>
      </c>
      <c r="D2021" s="750" t="s">
        <v>5556</v>
      </c>
      <c r="E2021" s="203"/>
      <c r="F2021" s="753"/>
      <c r="G2021" s="197"/>
      <c r="H2021" s="210">
        <f t="shared" si="138"/>
        <v>0</v>
      </c>
      <c r="L2021" s="200"/>
      <c r="M2021" s="200"/>
      <c r="N2021" s="200"/>
      <c r="O2021" s="200"/>
      <c r="P2021" s="200"/>
    </row>
    <row r="2022" spans="3:16" s="517" customFormat="1" ht="31.2" customHeight="1">
      <c r="C2022" s="754" t="s">
        <v>5293</v>
      </c>
      <c r="D2022" s="750" t="s">
        <v>2084</v>
      </c>
      <c r="E2022" s="203" t="s">
        <v>42</v>
      </c>
      <c r="F2022" s="753">
        <v>4.9000000000000002E-2</v>
      </c>
      <c r="G2022" s="205">
        <f>VLOOKUP(D2022,upahbahan,3,FALSE)</f>
        <v>0</v>
      </c>
      <c r="H2022" s="210">
        <f t="shared" si="138"/>
        <v>0</v>
      </c>
      <c r="L2022" s="200"/>
      <c r="M2022" s="200"/>
      <c r="N2022" s="200"/>
      <c r="O2022" s="200"/>
      <c r="P2022" s="200"/>
    </row>
    <row r="2023" spans="3:16" s="517" customFormat="1" ht="31.2" customHeight="1">
      <c r="C2023" s="754" t="s">
        <v>5299</v>
      </c>
      <c r="D2023" s="750" t="s">
        <v>5566</v>
      </c>
      <c r="E2023" s="203" t="s">
        <v>42</v>
      </c>
      <c r="F2023" s="753">
        <v>1.2999999999999999E-2</v>
      </c>
      <c r="G2023" s="205">
        <f>VLOOKUP(D2023,upahbahan,3,FALSE)</f>
        <v>0</v>
      </c>
      <c r="H2023" s="210">
        <f t="shared" si="138"/>
        <v>0</v>
      </c>
      <c r="L2023" s="200"/>
      <c r="M2023" s="200"/>
      <c r="N2023" s="200"/>
      <c r="O2023" s="200"/>
      <c r="P2023" s="200"/>
    </row>
    <row r="2024" spans="3:16" s="517" customFormat="1" ht="31.2" customHeight="1">
      <c r="C2024" s="754" t="s">
        <v>5558</v>
      </c>
      <c r="D2024" s="750" t="s">
        <v>2325</v>
      </c>
      <c r="E2024" s="203" t="s">
        <v>42</v>
      </c>
      <c r="F2024" s="762">
        <v>3.0000000000000001E-3</v>
      </c>
      <c r="G2024" s="205">
        <f>VLOOKUP(D2024,upahbahan,3,FALSE)</f>
        <v>0</v>
      </c>
      <c r="H2024" s="210">
        <f t="shared" si="138"/>
        <v>0</v>
      </c>
      <c r="L2024" s="200"/>
      <c r="M2024" s="200"/>
      <c r="N2024" s="200"/>
      <c r="O2024" s="200"/>
      <c r="P2024" s="200"/>
    </row>
    <row r="2025" spans="3:16" s="517" customFormat="1" ht="31.2" customHeight="1">
      <c r="C2025" s="207" t="s">
        <v>1214</v>
      </c>
      <c r="D2025" s="208"/>
      <c r="E2025" s="568"/>
      <c r="F2025" s="208"/>
      <c r="G2025" s="209"/>
      <c r="H2025" s="210">
        <f>SUM(H2016:H2024)</f>
        <v>0</v>
      </c>
      <c r="L2025" s="200"/>
      <c r="M2025" s="200"/>
      <c r="N2025" s="200"/>
      <c r="O2025" s="200"/>
      <c r="P2025" s="200"/>
    </row>
    <row r="2026" spans="3:16" s="517" customFormat="1" ht="31.2" customHeight="1">
      <c r="C2026" s="756" t="s">
        <v>1215</v>
      </c>
      <c r="D2026" s="196" t="s">
        <v>1216</v>
      </c>
      <c r="E2026" s="203"/>
      <c r="F2026" s="197"/>
      <c r="G2026" s="197"/>
      <c r="H2026" s="198"/>
      <c r="L2026" s="200"/>
      <c r="M2026" s="200"/>
      <c r="N2026" s="200"/>
      <c r="O2026" s="200"/>
      <c r="P2026" s="200"/>
    </row>
    <row r="2027" spans="3:16" s="517" customFormat="1" ht="31.2" customHeight="1">
      <c r="C2027" s="207" t="s">
        <v>1217</v>
      </c>
      <c r="D2027" s="208"/>
      <c r="E2027" s="208"/>
      <c r="F2027" s="208"/>
      <c r="G2027" s="209"/>
      <c r="H2027" s="240">
        <f>SUM(H2026)</f>
        <v>0</v>
      </c>
      <c r="L2027" s="200"/>
      <c r="M2027" s="200"/>
      <c r="N2027" s="200"/>
      <c r="O2027" s="200"/>
      <c r="P2027" s="200"/>
    </row>
    <row r="2028" spans="3:16" s="517" customFormat="1" ht="31.2" customHeight="1">
      <c r="C2028" s="223" t="s">
        <v>1218</v>
      </c>
      <c r="D2028" s="224" t="s">
        <v>1219</v>
      </c>
      <c r="E2028" s="225"/>
      <c r="F2028" s="225"/>
      <c r="G2028" s="226"/>
      <c r="H2028" s="210">
        <f>H2027+H2025+H2014</f>
        <v>14781.75</v>
      </c>
      <c r="L2028" s="200"/>
      <c r="M2028" s="200"/>
      <c r="N2028" s="200"/>
      <c r="O2028" s="200"/>
      <c r="P2028" s="200"/>
    </row>
    <row r="2029" spans="3:16" s="517" customFormat="1" ht="31.2" customHeight="1">
      <c r="C2029" s="223" t="s">
        <v>1220</v>
      </c>
      <c r="D2029" s="224" t="s">
        <v>1321</v>
      </c>
      <c r="E2029" s="225"/>
      <c r="F2029" s="226"/>
      <c r="G2029" s="228">
        <v>0.1</v>
      </c>
      <c r="H2029" s="210">
        <f>H2028*G2029</f>
        <v>1478.1750000000002</v>
      </c>
      <c r="L2029" s="200"/>
      <c r="M2029" s="200"/>
      <c r="N2029" s="200"/>
      <c r="O2029" s="200"/>
      <c r="P2029" s="200"/>
    </row>
    <row r="2030" spans="3:16" s="517" customFormat="1" ht="31.2" customHeight="1" thickBot="1">
      <c r="C2030" s="229" t="s">
        <v>1221</v>
      </c>
      <c r="D2030" s="230" t="s">
        <v>1222</v>
      </c>
      <c r="E2030" s="231"/>
      <c r="F2030" s="231"/>
      <c r="G2030" s="232"/>
      <c r="H2030" s="233">
        <f>SUM(H2028:H2029)</f>
        <v>16259.924999999999</v>
      </c>
      <c r="L2030" s="200"/>
      <c r="M2030" s="200"/>
      <c r="N2030" s="200"/>
      <c r="O2030" s="200"/>
      <c r="P2030" s="200"/>
    </row>
    <row r="2031" spans="3:16" ht="31.2" customHeight="1" thickTop="1">
      <c r="D2031" s="758" t="s">
        <v>6949</v>
      </c>
    </row>
    <row r="2032" spans="3:16" ht="31.2" customHeight="1">
      <c r="C2032" s="757" t="s">
        <v>6950</v>
      </c>
      <c r="F2032" s="758"/>
      <c r="H2032" s="758" t="s">
        <v>6959</v>
      </c>
    </row>
    <row r="2033" spans="3:20" ht="31.2" customHeight="1">
      <c r="C2033" s="200" t="s">
        <v>6951</v>
      </c>
      <c r="F2033" s="758"/>
    </row>
    <row r="2034" spans="3:20" ht="31.2" customHeight="1">
      <c r="C2034" s="200" t="s">
        <v>6952</v>
      </c>
      <c r="F2034" s="758"/>
    </row>
    <row r="2035" spans="3:20" ht="31.2" customHeight="1"/>
    <row r="2036" spans="3:20" ht="31.2" customHeight="1">
      <c r="C2036" s="187" t="s">
        <v>5569</v>
      </c>
      <c r="D2036" s="187" t="s">
        <v>7083</v>
      </c>
    </row>
    <row r="2037" spans="3:20" s="517" customFormat="1" ht="31.2" customHeight="1" thickBot="1">
      <c r="C2037" s="513" t="s">
        <v>7084</v>
      </c>
      <c r="D2037" s="748" t="s">
        <v>7089</v>
      </c>
      <c r="E2037" s="749"/>
      <c r="F2037" s="748"/>
      <c r="G2037" s="748"/>
      <c r="H2037" s="532"/>
      <c r="I2037" s="532"/>
      <c r="J2037" s="532"/>
      <c r="K2037" s="532"/>
      <c r="M2037" s="189"/>
      <c r="N2037" s="189"/>
      <c r="O2037" s="189"/>
      <c r="P2037" s="189"/>
      <c r="R2037" s="189">
        <f>ROUNDDOWN(H2060,-2)</f>
        <v>27300</v>
      </c>
      <c r="S2037" s="517" t="s">
        <v>6451</v>
      </c>
      <c r="T2037" s="517" t="s">
        <v>7014</v>
      </c>
    </row>
    <row r="2038" spans="3:20" s="517" customFormat="1" ht="31.2" customHeight="1" thickTop="1">
      <c r="C2038" s="190" t="s">
        <v>1195</v>
      </c>
      <c r="D2038" s="191" t="s">
        <v>1196</v>
      </c>
      <c r="E2038" s="191" t="s">
        <v>1197</v>
      </c>
      <c r="F2038" s="191" t="s">
        <v>1198</v>
      </c>
      <c r="G2038" s="191" t="s">
        <v>1199</v>
      </c>
      <c r="H2038" s="192" t="s">
        <v>1200</v>
      </c>
      <c r="L2038" s="200"/>
      <c r="M2038" s="200"/>
      <c r="N2038" s="200"/>
      <c r="O2038" s="200"/>
      <c r="P2038" s="200"/>
    </row>
    <row r="2039" spans="3:20" s="517" customFormat="1" ht="31.2" customHeight="1">
      <c r="C2039" s="518" t="s">
        <v>1201</v>
      </c>
      <c r="D2039" s="196" t="s">
        <v>1202</v>
      </c>
      <c r="E2039" s="197"/>
      <c r="F2039" s="197"/>
      <c r="G2039" s="197"/>
      <c r="H2039" s="198"/>
      <c r="L2039" s="200"/>
      <c r="M2039" s="200"/>
      <c r="N2039" s="200"/>
      <c r="O2039" s="200"/>
      <c r="P2039" s="200"/>
    </row>
    <row r="2040" spans="3:20" s="517" customFormat="1" ht="31.2" customHeight="1">
      <c r="C2040" s="518">
        <v>1</v>
      </c>
      <c r="D2040" s="196" t="s">
        <v>5</v>
      </c>
      <c r="E2040" s="203" t="s">
        <v>2102</v>
      </c>
      <c r="F2040" s="763">
        <v>6.7000000000000004E-2</v>
      </c>
      <c r="G2040" s="205">
        <f>VLOOKUP(D2040,upahbahan,3,FALSE)</f>
        <v>100000</v>
      </c>
      <c r="H2040" s="210">
        <f t="shared" ref="H2040:H2043" si="139">F2040*G2040</f>
        <v>6700</v>
      </c>
      <c r="L2040" s="200"/>
      <c r="M2040" s="200"/>
      <c r="N2040" s="200"/>
      <c r="O2040" s="200"/>
      <c r="P2040" s="200"/>
    </row>
    <row r="2041" spans="3:20" s="517" customFormat="1" ht="31.2" customHeight="1">
      <c r="C2041" s="537">
        <v>2</v>
      </c>
      <c r="D2041" s="196" t="s">
        <v>6954</v>
      </c>
      <c r="E2041" s="202" t="s">
        <v>6</v>
      </c>
      <c r="F2041" s="520">
        <v>6.7000000000000004E-2</v>
      </c>
      <c r="G2041" s="205">
        <f>VLOOKUP(D2041,upahbahan,3,FALSE)</f>
        <v>181250</v>
      </c>
      <c r="H2041" s="210">
        <f t="shared" si="139"/>
        <v>12143.75</v>
      </c>
      <c r="L2041" s="200"/>
      <c r="M2041" s="200"/>
      <c r="N2041" s="200"/>
      <c r="O2041" s="200"/>
      <c r="P2041" s="200"/>
    </row>
    <row r="2042" spans="3:20" s="517" customFormat="1" ht="31.2" customHeight="1">
      <c r="C2042" s="537">
        <v>3</v>
      </c>
      <c r="D2042" s="196" t="s">
        <v>6948</v>
      </c>
      <c r="E2042" s="202" t="s">
        <v>2102</v>
      </c>
      <c r="F2042" s="520">
        <v>2.1999999999999999E-2</v>
      </c>
      <c r="G2042" s="205">
        <f>VLOOKUP(D2042,upahbahan,3,FALSE)</f>
        <v>218750</v>
      </c>
      <c r="H2042" s="210">
        <f t="shared" si="139"/>
        <v>4812.5</v>
      </c>
      <c r="L2042" s="200"/>
      <c r="M2042" s="200"/>
      <c r="N2042" s="200"/>
      <c r="O2042" s="200"/>
      <c r="P2042" s="200"/>
    </row>
    <row r="2043" spans="3:20" s="517" customFormat="1" ht="31.2" customHeight="1">
      <c r="C2043" s="537">
        <v>4</v>
      </c>
      <c r="D2043" s="196" t="s">
        <v>19</v>
      </c>
      <c r="E2043" s="202" t="s">
        <v>6</v>
      </c>
      <c r="F2043" s="520">
        <v>7.3000000000000001E-3</v>
      </c>
      <c r="G2043" s="205">
        <f>VLOOKUP(D2043,upahbahan,3,FALSE)</f>
        <v>160000</v>
      </c>
      <c r="H2043" s="210">
        <f t="shared" si="139"/>
        <v>1168</v>
      </c>
      <c r="L2043" s="200"/>
      <c r="M2043" s="200"/>
      <c r="N2043" s="200"/>
      <c r="O2043" s="200"/>
      <c r="P2043" s="200"/>
    </row>
    <row r="2044" spans="3:20" s="517" customFormat="1" ht="31.2" customHeight="1">
      <c r="C2044" s="207" t="s">
        <v>1208</v>
      </c>
      <c r="D2044" s="208"/>
      <c r="E2044" s="208"/>
      <c r="F2044" s="521"/>
      <c r="G2044" s="522"/>
      <c r="H2044" s="210">
        <f>SUM(H2040:H2043)</f>
        <v>24824.25</v>
      </c>
      <c r="L2044" s="523"/>
      <c r="M2044" s="523"/>
      <c r="N2044" s="523"/>
      <c r="O2044" s="523"/>
      <c r="P2044" s="523"/>
    </row>
    <row r="2045" spans="3:20" s="517" customFormat="1" ht="31.2" customHeight="1">
      <c r="C2045" s="543" t="s">
        <v>1209</v>
      </c>
      <c r="D2045" s="750" t="s">
        <v>1210</v>
      </c>
      <c r="E2045" s="197"/>
      <c r="F2045" s="751"/>
      <c r="G2045" s="197"/>
      <c r="H2045" s="752"/>
      <c r="L2045" s="200"/>
      <c r="M2045" s="200"/>
      <c r="N2045" s="200"/>
      <c r="O2045" s="200"/>
      <c r="P2045" s="200"/>
    </row>
    <row r="2046" spans="3:20" s="517" customFormat="1" ht="31.2" customHeight="1">
      <c r="C2046" s="543">
        <v>1</v>
      </c>
      <c r="D2046" s="750" t="s">
        <v>7085</v>
      </c>
      <c r="E2046" s="203" t="s">
        <v>44</v>
      </c>
      <c r="F2046" s="753">
        <v>1.05</v>
      </c>
      <c r="G2046" s="205">
        <f>VLOOKUP(D2046,upahbahan,3,FALSE)</f>
        <v>0</v>
      </c>
      <c r="H2046" s="210">
        <f t="shared" ref="H2046:H2054" si="140">F2046*G2046</f>
        <v>0</v>
      </c>
      <c r="L2046" s="200"/>
      <c r="M2046" s="200"/>
      <c r="N2046" s="200"/>
      <c r="O2046" s="200"/>
      <c r="P2046" s="200"/>
    </row>
    <row r="2047" spans="3:20" s="517" customFormat="1" ht="31.2" customHeight="1">
      <c r="C2047" s="543">
        <v>2</v>
      </c>
      <c r="D2047" s="750" t="s">
        <v>5563</v>
      </c>
      <c r="E2047" s="203" t="s">
        <v>65</v>
      </c>
      <c r="F2047" s="753">
        <v>0.01</v>
      </c>
      <c r="G2047" s="205">
        <f>VLOOKUP(D2047,upahbahan,3,FALSE)</f>
        <v>0</v>
      </c>
      <c r="H2047" s="210">
        <f t="shared" si="140"/>
        <v>0</v>
      </c>
      <c r="L2047" s="200"/>
      <c r="M2047" s="200"/>
      <c r="N2047" s="200"/>
      <c r="O2047" s="200"/>
      <c r="P2047" s="200"/>
    </row>
    <row r="2048" spans="3:20" s="517" customFormat="1" ht="31.2" customHeight="1">
      <c r="C2048" s="543">
        <v>3</v>
      </c>
      <c r="D2048" s="750" t="s">
        <v>5555</v>
      </c>
      <c r="E2048" s="203"/>
      <c r="F2048" s="753"/>
      <c r="G2048" s="197"/>
      <c r="H2048" s="210">
        <f t="shared" si="140"/>
        <v>0</v>
      </c>
      <c r="L2048" s="200"/>
      <c r="M2048" s="200"/>
      <c r="N2048" s="200"/>
      <c r="O2048" s="200"/>
      <c r="P2048" s="200"/>
    </row>
    <row r="2049" spans="3:16" s="517" customFormat="1" ht="31.2" customHeight="1">
      <c r="C2049" s="754" t="s">
        <v>5293</v>
      </c>
      <c r="D2049" s="750" t="s">
        <v>7053</v>
      </c>
      <c r="E2049" s="203" t="s">
        <v>113</v>
      </c>
      <c r="F2049" s="760">
        <v>12</v>
      </c>
      <c r="G2049" s="205">
        <f>VLOOKUP(D2049,upahbahan,3,FALSE)</f>
        <v>0</v>
      </c>
      <c r="H2049" s="210">
        <f t="shared" si="140"/>
        <v>0</v>
      </c>
      <c r="L2049" s="200"/>
      <c r="M2049" s="200"/>
      <c r="N2049" s="200"/>
      <c r="O2049" s="200"/>
      <c r="P2049" s="200"/>
    </row>
    <row r="2050" spans="3:16" s="517" customFormat="1" ht="31.2" customHeight="1">
      <c r="C2050" s="754" t="s">
        <v>5299</v>
      </c>
      <c r="D2050" s="750" t="s">
        <v>7055</v>
      </c>
      <c r="E2050" s="203" t="s">
        <v>113</v>
      </c>
      <c r="F2050" s="760">
        <v>10</v>
      </c>
      <c r="G2050" s="205">
        <f>VLOOKUP(D2050,upahbahan,3,FALSE)</f>
        <v>0</v>
      </c>
      <c r="H2050" s="210">
        <f t="shared" si="140"/>
        <v>0</v>
      </c>
      <c r="L2050" s="200"/>
      <c r="M2050" s="200"/>
      <c r="N2050" s="200"/>
      <c r="O2050" s="200"/>
      <c r="P2050" s="200"/>
    </row>
    <row r="2051" spans="3:16" s="517" customFormat="1" ht="31.2" customHeight="1">
      <c r="C2051" s="543">
        <v>4</v>
      </c>
      <c r="D2051" s="750" t="s">
        <v>5556</v>
      </c>
      <c r="E2051" s="203"/>
      <c r="F2051" s="753"/>
      <c r="G2051" s="197"/>
      <c r="H2051" s="210">
        <f t="shared" si="140"/>
        <v>0</v>
      </c>
      <c r="L2051" s="200"/>
      <c r="M2051" s="200"/>
      <c r="N2051" s="200"/>
      <c r="O2051" s="200"/>
      <c r="P2051" s="200"/>
    </row>
    <row r="2052" spans="3:16" s="517" customFormat="1" ht="31.2" customHeight="1">
      <c r="C2052" s="754" t="s">
        <v>5293</v>
      </c>
      <c r="D2052" s="750" t="s">
        <v>2084</v>
      </c>
      <c r="E2052" s="203" t="s">
        <v>42</v>
      </c>
      <c r="F2052" s="753">
        <v>7.2999999999999995E-2</v>
      </c>
      <c r="G2052" s="205">
        <f>VLOOKUP(D2052,upahbahan,3,FALSE)</f>
        <v>0</v>
      </c>
      <c r="H2052" s="210">
        <f t="shared" si="140"/>
        <v>0</v>
      </c>
      <c r="L2052" s="200"/>
      <c r="M2052" s="200"/>
      <c r="N2052" s="200"/>
      <c r="O2052" s="200"/>
      <c r="P2052" s="200"/>
    </row>
    <row r="2053" spans="3:16" s="517" customFormat="1" ht="31.2" customHeight="1">
      <c r="C2053" s="754" t="s">
        <v>5299</v>
      </c>
      <c r="D2053" s="750" t="s">
        <v>5566</v>
      </c>
      <c r="E2053" s="203" t="s">
        <v>42</v>
      </c>
      <c r="F2053" s="753">
        <v>0.02</v>
      </c>
      <c r="G2053" s="205">
        <f>VLOOKUP(D2053,upahbahan,3,FALSE)</f>
        <v>0</v>
      </c>
      <c r="H2053" s="210">
        <f t="shared" si="140"/>
        <v>0</v>
      </c>
      <c r="L2053" s="200"/>
      <c r="M2053" s="200"/>
      <c r="N2053" s="200"/>
      <c r="O2053" s="200"/>
      <c r="P2053" s="200"/>
    </row>
    <row r="2054" spans="3:16" s="517" customFormat="1" ht="31.2" customHeight="1">
      <c r="C2054" s="754" t="s">
        <v>5558</v>
      </c>
      <c r="D2054" s="750" t="s">
        <v>2325</v>
      </c>
      <c r="E2054" s="203" t="s">
        <v>42</v>
      </c>
      <c r="F2054" s="762">
        <v>5.0000000000000001E-3</v>
      </c>
      <c r="G2054" s="205">
        <f>VLOOKUP(D2054,upahbahan,3,FALSE)</f>
        <v>0</v>
      </c>
      <c r="H2054" s="210">
        <f t="shared" si="140"/>
        <v>0</v>
      </c>
      <c r="L2054" s="200"/>
      <c r="M2054" s="200"/>
      <c r="N2054" s="200"/>
      <c r="O2054" s="200"/>
      <c r="P2054" s="200"/>
    </row>
    <row r="2055" spans="3:16" s="517" customFormat="1" ht="31.2" customHeight="1">
      <c r="C2055" s="207" t="s">
        <v>1214</v>
      </c>
      <c r="D2055" s="208"/>
      <c r="E2055" s="568"/>
      <c r="F2055" s="208"/>
      <c r="G2055" s="209"/>
      <c r="H2055" s="210">
        <f>SUM(H2046:H2054)</f>
        <v>0</v>
      </c>
      <c r="L2055" s="200"/>
      <c r="M2055" s="200"/>
      <c r="N2055" s="200"/>
      <c r="O2055" s="200"/>
      <c r="P2055" s="200"/>
    </row>
    <row r="2056" spans="3:16" s="517" customFormat="1" ht="31.2" customHeight="1">
      <c r="C2056" s="756" t="s">
        <v>1215</v>
      </c>
      <c r="D2056" s="196" t="s">
        <v>1216</v>
      </c>
      <c r="E2056" s="203"/>
      <c r="F2056" s="197"/>
      <c r="G2056" s="197"/>
      <c r="H2056" s="198"/>
      <c r="L2056" s="200"/>
      <c r="M2056" s="200"/>
      <c r="N2056" s="200"/>
      <c r="O2056" s="200"/>
      <c r="P2056" s="200"/>
    </row>
    <row r="2057" spans="3:16" s="517" customFormat="1" ht="31.2" customHeight="1">
      <c r="C2057" s="207" t="s">
        <v>1217</v>
      </c>
      <c r="D2057" s="208"/>
      <c r="E2057" s="208"/>
      <c r="F2057" s="208"/>
      <c r="G2057" s="209"/>
      <c r="H2057" s="240">
        <f>SUM(H2056)</f>
        <v>0</v>
      </c>
      <c r="L2057" s="200"/>
      <c r="M2057" s="200"/>
      <c r="N2057" s="200"/>
      <c r="O2057" s="200"/>
      <c r="P2057" s="200"/>
    </row>
    <row r="2058" spans="3:16" s="517" customFormat="1" ht="31.2" customHeight="1">
      <c r="C2058" s="223" t="s">
        <v>1218</v>
      </c>
      <c r="D2058" s="224" t="s">
        <v>1219</v>
      </c>
      <c r="E2058" s="225"/>
      <c r="F2058" s="225"/>
      <c r="G2058" s="226"/>
      <c r="H2058" s="210">
        <f>H2057+H2055+H2044</f>
        <v>24824.25</v>
      </c>
      <c r="L2058" s="200"/>
      <c r="M2058" s="200"/>
      <c r="N2058" s="200"/>
      <c r="O2058" s="200"/>
      <c r="P2058" s="200"/>
    </row>
    <row r="2059" spans="3:16" s="517" customFormat="1" ht="31.2" customHeight="1">
      <c r="C2059" s="223" t="s">
        <v>1220</v>
      </c>
      <c r="D2059" s="224" t="s">
        <v>1321</v>
      </c>
      <c r="E2059" s="225"/>
      <c r="F2059" s="226"/>
      <c r="G2059" s="228">
        <v>0.1</v>
      </c>
      <c r="H2059" s="210">
        <f>H2058*G2059</f>
        <v>2482.4250000000002</v>
      </c>
      <c r="L2059" s="200"/>
      <c r="M2059" s="200"/>
      <c r="N2059" s="200"/>
      <c r="O2059" s="200"/>
      <c r="P2059" s="200"/>
    </row>
    <row r="2060" spans="3:16" s="517" customFormat="1" ht="31.2" customHeight="1" thickBot="1">
      <c r="C2060" s="229" t="s">
        <v>1221</v>
      </c>
      <c r="D2060" s="230" t="s">
        <v>1222</v>
      </c>
      <c r="E2060" s="231"/>
      <c r="F2060" s="231"/>
      <c r="G2060" s="232"/>
      <c r="H2060" s="233">
        <f>SUM(H2058:H2059)</f>
        <v>27306.674999999999</v>
      </c>
      <c r="L2060" s="200"/>
      <c r="M2060" s="200"/>
      <c r="N2060" s="200"/>
      <c r="O2060" s="200"/>
      <c r="P2060" s="200"/>
    </row>
    <row r="2061" spans="3:16" ht="31.2" customHeight="1" thickTop="1">
      <c r="D2061" s="758" t="s">
        <v>7086</v>
      </c>
    </row>
    <row r="2062" spans="3:16" ht="31.2" customHeight="1">
      <c r="C2062" s="757" t="s">
        <v>6950</v>
      </c>
      <c r="F2062" s="758"/>
      <c r="H2062" s="758" t="s">
        <v>6959</v>
      </c>
    </row>
    <row r="2063" spans="3:16" ht="31.2" customHeight="1">
      <c r="C2063" s="200" t="s">
        <v>6951</v>
      </c>
      <c r="F2063" s="758"/>
    </row>
    <row r="2064" spans="3:16" ht="31.2" customHeight="1">
      <c r="C2064" s="200" t="s">
        <v>6952</v>
      </c>
      <c r="F2064" s="758"/>
    </row>
    <row r="2065" spans="3:20" ht="31.2" customHeight="1"/>
    <row r="2066" spans="3:20" s="517" customFormat="1" ht="31.2" customHeight="1" thickBot="1">
      <c r="C2066" s="513" t="s">
        <v>7087</v>
      </c>
      <c r="D2066" s="748" t="s">
        <v>7088</v>
      </c>
      <c r="E2066" s="749"/>
      <c r="F2066" s="748"/>
      <c r="G2066" s="748"/>
      <c r="H2066" s="532"/>
      <c r="I2066" s="532"/>
      <c r="J2066" s="532"/>
      <c r="K2066" s="532"/>
      <c r="M2066" s="189"/>
      <c r="N2066" s="189"/>
      <c r="O2066" s="189"/>
      <c r="P2066" s="189"/>
      <c r="R2066" s="189">
        <f>ROUNDDOWN(H2089,-2)</f>
        <v>27300</v>
      </c>
      <c r="S2066" s="517" t="s">
        <v>6451</v>
      </c>
      <c r="T2066" s="517" t="s">
        <v>7014</v>
      </c>
    </row>
    <row r="2067" spans="3:20" s="517" customFormat="1" ht="31.2" customHeight="1" thickTop="1">
      <c r="C2067" s="190" t="s">
        <v>1195</v>
      </c>
      <c r="D2067" s="191" t="s">
        <v>1196</v>
      </c>
      <c r="E2067" s="191" t="s">
        <v>1197</v>
      </c>
      <c r="F2067" s="191" t="s">
        <v>1198</v>
      </c>
      <c r="G2067" s="191" t="s">
        <v>1199</v>
      </c>
      <c r="H2067" s="192" t="s">
        <v>1200</v>
      </c>
      <c r="L2067" s="200"/>
      <c r="M2067" s="200"/>
      <c r="N2067" s="200"/>
      <c r="O2067" s="200"/>
      <c r="P2067" s="200"/>
    </row>
    <row r="2068" spans="3:20" s="517" customFormat="1" ht="31.2" customHeight="1">
      <c r="C2068" s="518" t="s">
        <v>1201</v>
      </c>
      <c r="D2068" s="196" t="s">
        <v>1202</v>
      </c>
      <c r="E2068" s="197"/>
      <c r="F2068" s="197"/>
      <c r="G2068" s="197"/>
      <c r="H2068" s="198"/>
      <c r="L2068" s="200"/>
      <c r="M2068" s="200"/>
      <c r="N2068" s="200"/>
      <c r="O2068" s="200"/>
      <c r="P2068" s="200"/>
    </row>
    <row r="2069" spans="3:20" s="517" customFormat="1" ht="31.2" customHeight="1">
      <c r="C2069" s="518">
        <v>1</v>
      </c>
      <c r="D2069" s="196" t="s">
        <v>5</v>
      </c>
      <c r="E2069" s="203" t="s">
        <v>2102</v>
      </c>
      <c r="F2069" s="763">
        <v>6.7000000000000004E-2</v>
      </c>
      <c r="G2069" s="205">
        <f>VLOOKUP(D2069,upahbahan,3,FALSE)</f>
        <v>100000</v>
      </c>
      <c r="H2069" s="210">
        <f t="shared" ref="H2069:H2072" si="141">F2069*G2069</f>
        <v>6700</v>
      </c>
      <c r="L2069" s="200"/>
      <c r="M2069" s="200"/>
      <c r="N2069" s="200"/>
      <c r="O2069" s="200"/>
      <c r="P2069" s="200"/>
    </row>
    <row r="2070" spans="3:20" s="517" customFormat="1" ht="31.2" customHeight="1">
      <c r="C2070" s="537">
        <v>2</v>
      </c>
      <c r="D2070" s="196" t="s">
        <v>6954</v>
      </c>
      <c r="E2070" s="202" t="s">
        <v>6</v>
      </c>
      <c r="F2070" s="520">
        <v>6.7000000000000004E-2</v>
      </c>
      <c r="G2070" s="205">
        <f>VLOOKUP(D2070,upahbahan,3,FALSE)</f>
        <v>181250</v>
      </c>
      <c r="H2070" s="210">
        <f t="shared" si="141"/>
        <v>12143.75</v>
      </c>
      <c r="L2070" s="200"/>
      <c r="M2070" s="200"/>
      <c r="N2070" s="200"/>
      <c r="O2070" s="200"/>
      <c r="P2070" s="200"/>
    </row>
    <row r="2071" spans="3:20" s="517" customFormat="1" ht="31.2" customHeight="1">
      <c r="C2071" s="537">
        <v>3</v>
      </c>
      <c r="D2071" s="196" t="s">
        <v>6948</v>
      </c>
      <c r="E2071" s="202" t="s">
        <v>2102</v>
      </c>
      <c r="F2071" s="520">
        <v>2.1999999999999999E-2</v>
      </c>
      <c r="G2071" s="205">
        <f>VLOOKUP(D2071,upahbahan,3,FALSE)</f>
        <v>218750</v>
      </c>
      <c r="H2071" s="210">
        <f t="shared" si="141"/>
        <v>4812.5</v>
      </c>
      <c r="L2071" s="200"/>
      <c r="M2071" s="200"/>
      <c r="N2071" s="200"/>
      <c r="O2071" s="200"/>
      <c r="P2071" s="200"/>
    </row>
    <row r="2072" spans="3:20" s="517" customFormat="1" ht="31.2" customHeight="1">
      <c r="C2072" s="537">
        <v>4</v>
      </c>
      <c r="D2072" s="196" t="s">
        <v>19</v>
      </c>
      <c r="E2072" s="202" t="s">
        <v>6</v>
      </c>
      <c r="F2072" s="520">
        <v>7.3000000000000001E-3</v>
      </c>
      <c r="G2072" s="205">
        <f>VLOOKUP(D2072,upahbahan,3,FALSE)</f>
        <v>160000</v>
      </c>
      <c r="H2072" s="210">
        <f t="shared" si="141"/>
        <v>1168</v>
      </c>
      <c r="L2072" s="200"/>
      <c r="M2072" s="200"/>
      <c r="N2072" s="200"/>
      <c r="O2072" s="200"/>
      <c r="P2072" s="200"/>
    </row>
    <row r="2073" spans="3:20" s="517" customFormat="1" ht="31.2" customHeight="1">
      <c r="C2073" s="207" t="s">
        <v>1208</v>
      </c>
      <c r="D2073" s="208"/>
      <c r="E2073" s="208"/>
      <c r="F2073" s="521"/>
      <c r="G2073" s="522"/>
      <c r="H2073" s="210">
        <f>SUM(H2069:H2072)</f>
        <v>24824.25</v>
      </c>
      <c r="L2073" s="523"/>
      <c r="M2073" s="523"/>
      <c r="N2073" s="523"/>
      <c r="O2073" s="523"/>
      <c r="P2073" s="523"/>
    </row>
    <row r="2074" spans="3:20" s="517" customFormat="1" ht="31.2" customHeight="1">
      <c r="C2074" s="543" t="s">
        <v>1209</v>
      </c>
      <c r="D2074" s="750" t="s">
        <v>1210</v>
      </c>
      <c r="E2074" s="197"/>
      <c r="F2074" s="751"/>
      <c r="G2074" s="197"/>
      <c r="H2074" s="752"/>
      <c r="L2074" s="200"/>
      <c r="M2074" s="200"/>
      <c r="N2074" s="200"/>
      <c r="O2074" s="200"/>
      <c r="P2074" s="200"/>
    </row>
    <row r="2075" spans="3:20" s="517" customFormat="1" ht="31.2" customHeight="1">
      <c r="C2075" s="543">
        <v>1</v>
      </c>
      <c r="D2075" s="750" t="s">
        <v>7091</v>
      </c>
      <c r="E2075" s="203" t="s">
        <v>44</v>
      </c>
      <c r="F2075" s="753">
        <v>1.05</v>
      </c>
      <c r="G2075" s="205">
        <f>VLOOKUP(D2075,upahbahan,3,FALSE)</f>
        <v>0</v>
      </c>
      <c r="H2075" s="210">
        <f t="shared" ref="H2075:H2083" si="142">F2075*G2075</f>
        <v>0</v>
      </c>
      <c r="L2075" s="200"/>
      <c r="M2075" s="200"/>
      <c r="N2075" s="200"/>
      <c r="O2075" s="200"/>
      <c r="P2075" s="200"/>
    </row>
    <row r="2076" spans="3:20" s="517" customFormat="1" ht="31.2" customHeight="1">
      <c r="C2076" s="543">
        <v>2</v>
      </c>
      <c r="D2076" s="750" t="s">
        <v>5563</v>
      </c>
      <c r="E2076" s="203" t="s">
        <v>65</v>
      </c>
      <c r="F2076" s="753">
        <v>0.01</v>
      </c>
      <c r="G2076" s="205">
        <f>VLOOKUP(D2076,upahbahan,3,FALSE)</f>
        <v>0</v>
      </c>
      <c r="H2076" s="210">
        <f t="shared" si="142"/>
        <v>0</v>
      </c>
      <c r="L2076" s="200"/>
      <c r="M2076" s="200"/>
      <c r="N2076" s="200"/>
      <c r="O2076" s="200"/>
      <c r="P2076" s="200"/>
    </row>
    <row r="2077" spans="3:20" s="517" customFormat="1" ht="31.2" customHeight="1">
      <c r="C2077" s="543">
        <v>3</v>
      </c>
      <c r="D2077" s="750" t="s">
        <v>5555</v>
      </c>
      <c r="E2077" s="203"/>
      <c r="F2077" s="753"/>
      <c r="G2077" s="197"/>
      <c r="H2077" s="210">
        <f t="shared" si="142"/>
        <v>0</v>
      </c>
      <c r="L2077" s="200"/>
      <c r="M2077" s="200"/>
      <c r="N2077" s="200"/>
      <c r="O2077" s="200"/>
      <c r="P2077" s="200"/>
    </row>
    <row r="2078" spans="3:20" s="517" customFormat="1" ht="31.2" customHeight="1">
      <c r="C2078" s="754" t="s">
        <v>5293</v>
      </c>
      <c r="D2078" s="750" t="s">
        <v>7053</v>
      </c>
      <c r="E2078" s="203" t="s">
        <v>113</v>
      </c>
      <c r="F2078" s="760">
        <v>12</v>
      </c>
      <c r="G2078" s="205">
        <f>VLOOKUP(D2078,upahbahan,3,FALSE)</f>
        <v>0</v>
      </c>
      <c r="H2078" s="210">
        <f t="shared" si="142"/>
        <v>0</v>
      </c>
      <c r="L2078" s="200"/>
      <c r="M2078" s="200"/>
      <c r="N2078" s="200"/>
      <c r="O2078" s="200"/>
      <c r="P2078" s="200"/>
    </row>
    <row r="2079" spans="3:20" s="517" customFormat="1" ht="31.2" customHeight="1">
      <c r="C2079" s="754" t="s">
        <v>5299</v>
      </c>
      <c r="D2079" s="750" t="s">
        <v>7055</v>
      </c>
      <c r="E2079" s="203" t="s">
        <v>113</v>
      </c>
      <c r="F2079" s="760">
        <v>10</v>
      </c>
      <c r="G2079" s="205">
        <f>VLOOKUP(D2079,upahbahan,3,FALSE)</f>
        <v>0</v>
      </c>
      <c r="H2079" s="210">
        <f t="shared" si="142"/>
        <v>0</v>
      </c>
      <c r="L2079" s="200"/>
      <c r="M2079" s="200"/>
      <c r="N2079" s="200"/>
      <c r="O2079" s="200"/>
      <c r="P2079" s="200"/>
    </row>
    <row r="2080" spans="3:20" s="517" customFormat="1" ht="31.2" customHeight="1">
      <c r="C2080" s="543">
        <v>4</v>
      </c>
      <c r="D2080" s="750" t="s">
        <v>5556</v>
      </c>
      <c r="E2080" s="203"/>
      <c r="F2080" s="753"/>
      <c r="G2080" s="197"/>
      <c r="H2080" s="210">
        <f t="shared" si="142"/>
        <v>0</v>
      </c>
      <c r="L2080" s="200"/>
      <c r="M2080" s="200"/>
      <c r="N2080" s="200"/>
      <c r="O2080" s="200"/>
      <c r="P2080" s="200"/>
    </row>
    <row r="2081" spans="3:20" s="517" customFormat="1" ht="31.2" customHeight="1">
      <c r="C2081" s="754" t="s">
        <v>5293</v>
      </c>
      <c r="D2081" s="750" t="s">
        <v>2084</v>
      </c>
      <c r="E2081" s="203" t="s">
        <v>42</v>
      </c>
      <c r="F2081" s="753">
        <v>7.2999999999999995E-2</v>
      </c>
      <c r="G2081" s="205">
        <f>VLOOKUP(D2081,upahbahan,3,FALSE)</f>
        <v>0</v>
      </c>
      <c r="H2081" s="210">
        <f t="shared" si="142"/>
        <v>0</v>
      </c>
      <c r="L2081" s="200"/>
      <c r="M2081" s="200"/>
      <c r="N2081" s="200"/>
      <c r="O2081" s="200"/>
      <c r="P2081" s="200"/>
    </row>
    <row r="2082" spans="3:20" s="517" customFormat="1" ht="31.2" customHeight="1">
      <c r="C2082" s="754" t="s">
        <v>5299</v>
      </c>
      <c r="D2082" s="750" t="s">
        <v>5566</v>
      </c>
      <c r="E2082" s="203" t="s">
        <v>42</v>
      </c>
      <c r="F2082" s="753">
        <v>0.02</v>
      </c>
      <c r="G2082" s="205">
        <f>VLOOKUP(D2082,upahbahan,3,FALSE)</f>
        <v>0</v>
      </c>
      <c r="H2082" s="210">
        <f t="shared" si="142"/>
        <v>0</v>
      </c>
      <c r="L2082" s="200"/>
      <c r="M2082" s="200"/>
      <c r="N2082" s="200"/>
      <c r="O2082" s="200"/>
      <c r="P2082" s="200"/>
    </row>
    <row r="2083" spans="3:20" s="517" customFormat="1" ht="31.2" customHeight="1">
      <c r="C2083" s="754" t="s">
        <v>5558</v>
      </c>
      <c r="D2083" s="750" t="s">
        <v>2325</v>
      </c>
      <c r="E2083" s="203" t="s">
        <v>42</v>
      </c>
      <c r="F2083" s="762">
        <v>5.0000000000000001E-3</v>
      </c>
      <c r="G2083" s="205">
        <f>VLOOKUP(D2083,upahbahan,3,FALSE)</f>
        <v>0</v>
      </c>
      <c r="H2083" s="210">
        <f t="shared" si="142"/>
        <v>0</v>
      </c>
      <c r="L2083" s="200"/>
      <c r="M2083" s="200"/>
      <c r="N2083" s="200"/>
      <c r="O2083" s="200"/>
      <c r="P2083" s="200"/>
    </row>
    <row r="2084" spans="3:20" s="517" customFormat="1" ht="31.2" customHeight="1">
      <c r="C2084" s="207" t="s">
        <v>1214</v>
      </c>
      <c r="D2084" s="208"/>
      <c r="E2084" s="568"/>
      <c r="F2084" s="208"/>
      <c r="G2084" s="209"/>
      <c r="H2084" s="210">
        <f>SUM(H2075:H2083)</f>
        <v>0</v>
      </c>
      <c r="L2084" s="200"/>
      <c r="M2084" s="200"/>
      <c r="N2084" s="200"/>
      <c r="O2084" s="200"/>
      <c r="P2084" s="200"/>
    </row>
    <row r="2085" spans="3:20" s="517" customFormat="1" ht="31.2" customHeight="1">
      <c r="C2085" s="756" t="s">
        <v>1215</v>
      </c>
      <c r="D2085" s="196" t="s">
        <v>1216</v>
      </c>
      <c r="E2085" s="203"/>
      <c r="F2085" s="197"/>
      <c r="G2085" s="197"/>
      <c r="H2085" s="198"/>
      <c r="L2085" s="200"/>
      <c r="M2085" s="200"/>
      <c r="N2085" s="200"/>
      <c r="O2085" s="200"/>
      <c r="P2085" s="200"/>
    </row>
    <row r="2086" spans="3:20" s="517" customFormat="1" ht="31.2" customHeight="1">
      <c r="C2086" s="207" t="s">
        <v>1217</v>
      </c>
      <c r="D2086" s="208"/>
      <c r="E2086" s="208"/>
      <c r="F2086" s="208"/>
      <c r="G2086" s="209"/>
      <c r="H2086" s="240">
        <f>SUM(H2085)</f>
        <v>0</v>
      </c>
      <c r="L2086" s="200"/>
      <c r="M2086" s="200"/>
      <c r="N2086" s="200"/>
      <c r="O2086" s="200"/>
      <c r="P2086" s="200"/>
    </row>
    <row r="2087" spans="3:20" s="517" customFormat="1" ht="31.2" customHeight="1">
      <c r="C2087" s="223" t="s">
        <v>1218</v>
      </c>
      <c r="D2087" s="224" t="s">
        <v>1219</v>
      </c>
      <c r="E2087" s="225"/>
      <c r="F2087" s="225"/>
      <c r="G2087" s="226"/>
      <c r="H2087" s="210">
        <f>H2086+H2084+H2073</f>
        <v>24824.25</v>
      </c>
      <c r="L2087" s="200"/>
      <c r="M2087" s="200"/>
      <c r="N2087" s="200"/>
      <c r="O2087" s="200"/>
      <c r="P2087" s="200"/>
    </row>
    <row r="2088" spans="3:20" s="517" customFormat="1" ht="31.2" customHeight="1">
      <c r="C2088" s="223" t="s">
        <v>1220</v>
      </c>
      <c r="D2088" s="224" t="s">
        <v>1321</v>
      </c>
      <c r="E2088" s="225"/>
      <c r="F2088" s="226"/>
      <c r="G2088" s="228">
        <v>0.1</v>
      </c>
      <c r="H2088" s="210">
        <f>H2087*G2088</f>
        <v>2482.4250000000002</v>
      </c>
      <c r="L2088" s="200"/>
      <c r="M2088" s="200"/>
      <c r="N2088" s="200"/>
      <c r="O2088" s="200"/>
      <c r="P2088" s="200"/>
    </row>
    <row r="2089" spans="3:20" s="517" customFormat="1" ht="31.2" customHeight="1" thickBot="1">
      <c r="C2089" s="229" t="s">
        <v>1221</v>
      </c>
      <c r="D2089" s="230" t="s">
        <v>1222</v>
      </c>
      <c r="E2089" s="231"/>
      <c r="F2089" s="231"/>
      <c r="G2089" s="232"/>
      <c r="H2089" s="233">
        <f>SUM(H2087:H2088)</f>
        <v>27306.674999999999</v>
      </c>
      <c r="L2089" s="200"/>
      <c r="M2089" s="200"/>
      <c r="N2089" s="200"/>
      <c r="O2089" s="200"/>
      <c r="P2089" s="200"/>
    </row>
    <row r="2090" spans="3:20" ht="31.2" customHeight="1" thickTop="1">
      <c r="D2090" s="758" t="s">
        <v>7086</v>
      </c>
    </row>
    <row r="2091" spans="3:20" ht="31.2" customHeight="1">
      <c r="C2091" s="757" t="s">
        <v>6950</v>
      </c>
      <c r="F2091" s="758"/>
      <c r="H2091" s="758" t="s">
        <v>6959</v>
      </c>
    </row>
    <row r="2092" spans="3:20" ht="31.2" customHeight="1">
      <c r="C2092" s="200" t="s">
        <v>6951</v>
      </c>
      <c r="F2092" s="758"/>
    </row>
    <row r="2093" spans="3:20" ht="31.2" customHeight="1">
      <c r="C2093" s="200" t="s">
        <v>6952</v>
      </c>
      <c r="F2093" s="758"/>
    </row>
    <row r="2094" spans="3:20" ht="31.2" customHeight="1"/>
    <row r="2095" spans="3:20" s="517" customFormat="1" ht="31.2" customHeight="1" thickBot="1">
      <c r="C2095" s="513" t="s">
        <v>7090</v>
      </c>
      <c r="D2095" s="748" t="s">
        <v>7092</v>
      </c>
      <c r="E2095" s="749"/>
      <c r="F2095" s="748"/>
      <c r="G2095" s="748"/>
      <c r="H2095" s="532"/>
      <c r="I2095" s="532"/>
      <c r="J2095" s="532"/>
      <c r="K2095" s="532"/>
      <c r="M2095" s="189"/>
      <c r="N2095" s="189"/>
      <c r="O2095" s="189"/>
      <c r="P2095" s="189"/>
      <c r="R2095" s="189">
        <f>ROUNDDOWN(H2118,-2)</f>
        <v>27300</v>
      </c>
      <c r="S2095" s="517" t="s">
        <v>6451</v>
      </c>
      <c r="T2095" s="517" t="s">
        <v>7014</v>
      </c>
    </row>
    <row r="2096" spans="3:20" s="517" customFormat="1" ht="31.2" customHeight="1" thickTop="1">
      <c r="C2096" s="190" t="s">
        <v>1195</v>
      </c>
      <c r="D2096" s="191" t="s">
        <v>1196</v>
      </c>
      <c r="E2096" s="191" t="s">
        <v>1197</v>
      </c>
      <c r="F2096" s="191" t="s">
        <v>1198</v>
      </c>
      <c r="G2096" s="191" t="s">
        <v>1199</v>
      </c>
      <c r="H2096" s="192" t="s">
        <v>1200</v>
      </c>
      <c r="L2096" s="200"/>
      <c r="M2096" s="200"/>
      <c r="N2096" s="200"/>
      <c r="O2096" s="200"/>
      <c r="P2096" s="200"/>
    </row>
    <row r="2097" spans="3:16" s="517" customFormat="1" ht="31.2" customHeight="1">
      <c r="C2097" s="518" t="s">
        <v>1201</v>
      </c>
      <c r="D2097" s="196" t="s">
        <v>1202</v>
      </c>
      <c r="E2097" s="197"/>
      <c r="F2097" s="197"/>
      <c r="G2097" s="197"/>
      <c r="H2097" s="198"/>
      <c r="L2097" s="200"/>
      <c r="M2097" s="200"/>
      <c r="N2097" s="200"/>
      <c r="O2097" s="200"/>
      <c r="P2097" s="200"/>
    </row>
    <row r="2098" spans="3:16" s="517" customFormat="1" ht="31.2" customHeight="1">
      <c r="C2098" s="518">
        <v>1</v>
      </c>
      <c r="D2098" s="196" t="s">
        <v>5</v>
      </c>
      <c r="E2098" s="203" t="s">
        <v>2102</v>
      </c>
      <c r="F2098" s="763">
        <v>6.7000000000000004E-2</v>
      </c>
      <c r="G2098" s="205">
        <f>VLOOKUP(D2098,upahbahan,3,FALSE)</f>
        <v>100000</v>
      </c>
      <c r="H2098" s="210">
        <f t="shared" ref="H2098:H2101" si="143">F2098*G2098</f>
        <v>6700</v>
      </c>
      <c r="L2098" s="200"/>
      <c r="M2098" s="200"/>
      <c r="N2098" s="200"/>
      <c r="O2098" s="200"/>
      <c r="P2098" s="200"/>
    </row>
    <row r="2099" spans="3:16" s="517" customFormat="1" ht="31.2" customHeight="1">
      <c r="C2099" s="537">
        <v>2</v>
      </c>
      <c r="D2099" s="196" t="s">
        <v>6954</v>
      </c>
      <c r="E2099" s="202" t="s">
        <v>6</v>
      </c>
      <c r="F2099" s="520">
        <v>6.7000000000000004E-2</v>
      </c>
      <c r="G2099" s="205">
        <f>VLOOKUP(D2099,upahbahan,3,FALSE)</f>
        <v>181250</v>
      </c>
      <c r="H2099" s="210">
        <f t="shared" si="143"/>
        <v>12143.75</v>
      </c>
      <c r="L2099" s="200"/>
      <c r="M2099" s="200"/>
      <c r="N2099" s="200"/>
      <c r="O2099" s="200"/>
      <c r="P2099" s="200"/>
    </row>
    <row r="2100" spans="3:16" s="517" customFormat="1" ht="31.2" customHeight="1">
      <c r="C2100" s="537">
        <v>3</v>
      </c>
      <c r="D2100" s="196" t="s">
        <v>6948</v>
      </c>
      <c r="E2100" s="202" t="s">
        <v>2102</v>
      </c>
      <c r="F2100" s="520">
        <v>2.1999999999999999E-2</v>
      </c>
      <c r="G2100" s="205">
        <f>VLOOKUP(D2100,upahbahan,3,FALSE)</f>
        <v>218750</v>
      </c>
      <c r="H2100" s="210">
        <f t="shared" si="143"/>
        <v>4812.5</v>
      </c>
      <c r="L2100" s="200"/>
      <c r="M2100" s="200"/>
      <c r="N2100" s="200"/>
      <c r="O2100" s="200"/>
      <c r="P2100" s="200"/>
    </row>
    <row r="2101" spans="3:16" s="517" customFormat="1" ht="31.2" customHeight="1">
      <c r="C2101" s="537">
        <v>4</v>
      </c>
      <c r="D2101" s="196" t="s">
        <v>19</v>
      </c>
      <c r="E2101" s="202" t="s">
        <v>6</v>
      </c>
      <c r="F2101" s="520">
        <v>7.3000000000000001E-3</v>
      </c>
      <c r="G2101" s="205">
        <f>VLOOKUP(D2101,upahbahan,3,FALSE)</f>
        <v>160000</v>
      </c>
      <c r="H2101" s="210">
        <f t="shared" si="143"/>
        <v>1168</v>
      </c>
      <c r="L2101" s="200"/>
      <c r="M2101" s="200"/>
      <c r="N2101" s="200"/>
      <c r="O2101" s="200"/>
      <c r="P2101" s="200"/>
    </row>
    <row r="2102" spans="3:16" s="517" customFormat="1" ht="31.2" customHeight="1">
      <c r="C2102" s="207" t="s">
        <v>1208</v>
      </c>
      <c r="D2102" s="208"/>
      <c r="E2102" s="208"/>
      <c r="F2102" s="521"/>
      <c r="G2102" s="522"/>
      <c r="H2102" s="210">
        <f>SUM(H2098:H2101)</f>
        <v>24824.25</v>
      </c>
      <c r="L2102" s="523"/>
      <c r="M2102" s="523"/>
      <c r="N2102" s="523"/>
      <c r="O2102" s="523"/>
      <c r="P2102" s="523"/>
    </row>
    <row r="2103" spans="3:16" s="517" customFormat="1" ht="31.2" customHeight="1">
      <c r="C2103" s="543" t="s">
        <v>1209</v>
      </c>
      <c r="D2103" s="750" t="s">
        <v>1210</v>
      </c>
      <c r="E2103" s="197"/>
      <c r="F2103" s="751"/>
      <c r="G2103" s="197"/>
      <c r="H2103" s="752"/>
      <c r="L2103" s="200"/>
      <c r="M2103" s="200"/>
      <c r="N2103" s="200"/>
      <c r="O2103" s="200"/>
      <c r="P2103" s="200"/>
    </row>
    <row r="2104" spans="3:16" s="517" customFormat="1" ht="31.2" customHeight="1">
      <c r="C2104" s="543">
        <v>1</v>
      </c>
      <c r="D2104" s="750" t="s">
        <v>7093</v>
      </c>
      <c r="E2104" s="203" t="s">
        <v>44</v>
      </c>
      <c r="F2104" s="753">
        <v>1.05</v>
      </c>
      <c r="G2104" s="205">
        <f>VLOOKUP(D2104,upahbahan,3,FALSE)</f>
        <v>0</v>
      </c>
      <c r="H2104" s="210">
        <f t="shared" ref="H2104:H2112" si="144">F2104*G2104</f>
        <v>0</v>
      </c>
      <c r="L2104" s="200"/>
      <c r="M2104" s="200"/>
      <c r="N2104" s="200"/>
      <c r="O2104" s="200"/>
      <c r="P2104" s="200"/>
    </row>
    <row r="2105" spans="3:16" s="517" customFormat="1" ht="31.2" customHeight="1">
      <c r="C2105" s="543">
        <v>2</v>
      </c>
      <c r="D2105" s="750" t="s">
        <v>5563</v>
      </c>
      <c r="E2105" s="203" t="s">
        <v>65</v>
      </c>
      <c r="F2105" s="753">
        <v>0.01</v>
      </c>
      <c r="G2105" s="205">
        <f>VLOOKUP(D2105,upahbahan,3,FALSE)</f>
        <v>0</v>
      </c>
      <c r="H2105" s="210">
        <f t="shared" si="144"/>
        <v>0</v>
      </c>
      <c r="L2105" s="200"/>
      <c r="M2105" s="200"/>
      <c r="N2105" s="200"/>
      <c r="O2105" s="200"/>
      <c r="P2105" s="200"/>
    </row>
    <row r="2106" spans="3:16" s="517" customFormat="1" ht="31.2" customHeight="1">
      <c r="C2106" s="543">
        <v>3</v>
      </c>
      <c r="D2106" s="750" t="s">
        <v>5555</v>
      </c>
      <c r="E2106" s="203"/>
      <c r="F2106" s="753"/>
      <c r="G2106" s="197"/>
      <c r="H2106" s="210">
        <f t="shared" si="144"/>
        <v>0</v>
      </c>
      <c r="L2106" s="200"/>
      <c r="M2106" s="200"/>
      <c r="N2106" s="200"/>
      <c r="O2106" s="200"/>
      <c r="P2106" s="200"/>
    </row>
    <row r="2107" spans="3:16" s="517" customFormat="1" ht="31.2" customHeight="1">
      <c r="C2107" s="754" t="s">
        <v>5293</v>
      </c>
      <c r="D2107" s="750" t="s">
        <v>7053</v>
      </c>
      <c r="E2107" s="203" t="s">
        <v>113</v>
      </c>
      <c r="F2107" s="760">
        <v>12</v>
      </c>
      <c r="G2107" s="205">
        <f>VLOOKUP(D2107,upahbahan,3,FALSE)</f>
        <v>0</v>
      </c>
      <c r="H2107" s="210">
        <f t="shared" si="144"/>
        <v>0</v>
      </c>
      <c r="L2107" s="200"/>
      <c r="M2107" s="200"/>
      <c r="N2107" s="200"/>
      <c r="O2107" s="200"/>
      <c r="P2107" s="200"/>
    </row>
    <row r="2108" spans="3:16" s="517" customFormat="1" ht="31.2" customHeight="1">
      <c r="C2108" s="754" t="s">
        <v>5299</v>
      </c>
      <c r="D2108" s="750" t="s">
        <v>7055</v>
      </c>
      <c r="E2108" s="203" t="s">
        <v>113</v>
      </c>
      <c r="F2108" s="760">
        <v>10</v>
      </c>
      <c r="G2108" s="205">
        <f>VLOOKUP(D2108,upahbahan,3,FALSE)</f>
        <v>0</v>
      </c>
      <c r="H2108" s="210">
        <f t="shared" si="144"/>
        <v>0</v>
      </c>
      <c r="L2108" s="200"/>
      <c r="M2108" s="200"/>
      <c r="N2108" s="200"/>
      <c r="O2108" s="200"/>
      <c r="P2108" s="200"/>
    </row>
    <row r="2109" spans="3:16" s="517" customFormat="1" ht="31.2" customHeight="1">
      <c r="C2109" s="543">
        <v>4</v>
      </c>
      <c r="D2109" s="750" t="s">
        <v>5556</v>
      </c>
      <c r="E2109" s="203"/>
      <c r="F2109" s="753"/>
      <c r="G2109" s="197"/>
      <c r="H2109" s="210">
        <f t="shared" si="144"/>
        <v>0</v>
      </c>
      <c r="L2109" s="200"/>
      <c r="M2109" s="200"/>
      <c r="N2109" s="200"/>
      <c r="O2109" s="200"/>
      <c r="P2109" s="200"/>
    </row>
    <row r="2110" spans="3:16" s="517" customFormat="1" ht="31.2" customHeight="1">
      <c r="C2110" s="754" t="s">
        <v>5293</v>
      </c>
      <c r="D2110" s="750" t="s">
        <v>2084</v>
      </c>
      <c r="E2110" s="203" t="s">
        <v>42</v>
      </c>
      <c r="F2110" s="753">
        <v>7.2999999999999995E-2</v>
      </c>
      <c r="G2110" s="205">
        <f>VLOOKUP(D2110,upahbahan,3,FALSE)</f>
        <v>0</v>
      </c>
      <c r="H2110" s="210">
        <f t="shared" si="144"/>
        <v>0</v>
      </c>
      <c r="L2110" s="200"/>
      <c r="M2110" s="200"/>
      <c r="N2110" s="200"/>
      <c r="O2110" s="200"/>
      <c r="P2110" s="200"/>
    </row>
    <row r="2111" spans="3:16" s="517" customFormat="1" ht="31.2" customHeight="1">
      <c r="C2111" s="754" t="s">
        <v>5299</v>
      </c>
      <c r="D2111" s="750" t="s">
        <v>5566</v>
      </c>
      <c r="E2111" s="203" t="s">
        <v>42</v>
      </c>
      <c r="F2111" s="753">
        <v>0.02</v>
      </c>
      <c r="G2111" s="205">
        <f>VLOOKUP(D2111,upahbahan,3,FALSE)</f>
        <v>0</v>
      </c>
      <c r="H2111" s="210">
        <f t="shared" si="144"/>
        <v>0</v>
      </c>
      <c r="L2111" s="200"/>
      <c r="M2111" s="200"/>
      <c r="N2111" s="200"/>
      <c r="O2111" s="200"/>
      <c r="P2111" s="200"/>
    </row>
    <row r="2112" spans="3:16" s="517" customFormat="1" ht="31.2" customHeight="1">
      <c r="C2112" s="754" t="s">
        <v>5558</v>
      </c>
      <c r="D2112" s="750" t="s">
        <v>2325</v>
      </c>
      <c r="E2112" s="203" t="s">
        <v>42</v>
      </c>
      <c r="F2112" s="762">
        <v>5.0000000000000001E-3</v>
      </c>
      <c r="G2112" s="205">
        <f>VLOOKUP(D2112,upahbahan,3,FALSE)</f>
        <v>0</v>
      </c>
      <c r="H2112" s="210">
        <f t="shared" si="144"/>
        <v>0</v>
      </c>
      <c r="L2112" s="200"/>
      <c r="M2112" s="200"/>
      <c r="N2112" s="200"/>
      <c r="O2112" s="200"/>
      <c r="P2112" s="200"/>
    </row>
    <row r="2113" spans="3:20" s="517" customFormat="1" ht="31.2" customHeight="1">
      <c r="C2113" s="207" t="s">
        <v>1214</v>
      </c>
      <c r="D2113" s="208"/>
      <c r="E2113" s="568"/>
      <c r="F2113" s="208"/>
      <c r="G2113" s="209"/>
      <c r="H2113" s="210">
        <f>SUM(H2104:H2112)</f>
        <v>0</v>
      </c>
      <c r="L2113" s="200"/>
      <c r="M2113" s="200"/>
      <c r="N2113" s="200"/>
      <c r="O2113" s="200"/>
      <c r="P2113" s="200"/>
    </row>
    <row r="2114" spans="3:20" s="517" customFormat="1" ht="31.2" customHeight="1">
      <c r="C2114" s="756" t="s">
        <v>1215</v>
      </c>
      <c r="D2114" s="196" t="s">
        <v>1216</v>
      </c>
      <c r="E2114" s="203"/>
      <c r="F2114" s="197"/>
      <c r="G2114" s="197"/>
      <c r="H2114" s="198"/>
      <c r="L2114" s="200"/>
      <c r="M2114" s="200"/>
      <c r="N2114" s="200"/>
      <c r="O2114" s="200"/>
      <c r="P2114" s="200"/>
    </row>
    <row r="2115" spans="3:20" s="517" customFormat="1" ht="31.2" customHeight="1">
      <c r="C2115" s="207" t="s">
        <v>1217</v>
      </c>
      <c r="D2115" s="208"/>
      <c r="E2115" s="208"/>
      <c r="F2115" s="208"/>
      <c r="G2115" s="209"/>
      <c r="H2115" s="240">
        <f>SUM(H2114)</f>
        <v>0</v>
      </c>
      <c r="L2115" s="200"/>
      <c r="M2115" s="200"/>
      <c r="N2115" s="200"/>
      <c r="O2115" s="200"/>
      <c r="P2115" s="200"/>
    </row>
    <row r="2116" spans="3:20" s="517" customFormat="1" ht="31.2" customHeight="1">
      <c r="C2116" s="223" t="s">
        <v>1218</v>
      </c>
      <c r="D2116" s="224" t="s">
        <v>1219</v>
      </c>
      <c r="E2116" s="225"/>
      <c r="F2116" s="225"/>
      <c r="G2116" s="226"/>
      <c r="H2116" s="210">
        <f>H2115+H2113+H2102</f>
        <v>24824.25</v>
      </c>
      <c r="L2116" s="200"/>
      <c r="M2116" s="200"/>
      <c r="N2116" s="200"/>
      <c r="O2116" s="200"/>
      <c r="P2116" s="200"/>
    </row>
    <row r="2117" spans="3:20" s="517" customFormat="1" ht="31.2" customHeight="1">
      <c r="C2117" s="223" t="s">
        <v>1220</v>
      </c>
      <c r="D2117" s="224" t="s">
        <v>1321</v>
      </c>
      <c r="E2117" s="225"/>
      <c r="F2117" s="226"/>
      <c r="G2117" s="228">
        <v>0.1</v>
      </c>
      <c r="H2117" s="210">
        <f>H2116*G2117</f>
        <v>2482.4250000000002</v>
      </c>
      <c r="L2117" s="200"/>
      <c r="M2117" s="200"/>
      <c r="N2117" s="200"/>
      <c r="O2117" s="200"/>
      <c r="P2117" s="200"/>
    </row>
    <row r="2118" spans="3:20" s="517" customFormat="1" ht="31.2" customHeight="1" thickBot="1">
      <c r="C2118" s="229" t="s">
        <v>1221</v>
      </c>
      <c r="D2118" s="230" t="s">
        <v>1222</v>
      </c>
      <c r="E2118" s="231"/>
      <c r="F2118" s="231"/>
      <c r="G2118" s="232"/>
      <c r="H2118" s="233">
        <f>SUM(H2116:H2117)</f>
        <v>27306.674999999999</v>
      </c>
      <c r="L2118" s="200"/>
      <c r="M2118" s="200"/>
      <c r="N2118" s="200"/>
      <c r="O2118" s="200"/>
      <c r="P2118" s="200"/>
    </row>
    <row r="2119" spans="3:20" ht="31.2" customHeight="1" thickTop="1">
      <c r="D2119" s="758" t="s">
        <v>7086</v>
      </c>
    </row>
    <row r="2120" spans="3:20" ht="31.2" customHeight="1">
      <c r="C2120" s="757" t="s">
        <v>6950</v>
      </c>
      <c r="F2120" s="758"/>
      <c r="H2120" s="758" t="s">
        <v>6959</v>
      </c>
    </row>
    <row r="2121" spans="3:20" ht="31.2" customHeight="1">
      <c r="C2121" s="200" t="s">
        <v>6951</v>
      </c>
      <c r="F2121" s="758"/>
    </row>
    <row r="2122" spans="3:20" ht="31.2" customHeight="1">
      <c r="C2122" s="200" t="s">
        <v>6952</v>
      </c>
      <c r="F2122" s="758"/>
    </row>
    <row r="2123" spans="3:20" ht="31.2" customHeight="1"/>
    <row r="2124" spans="3:20" s="517" customFormat="1" ht="31.2" customHeight="1" thickBot="1">
      <c r="C2124" s="513" t="s">
        <v>7094</v>
      </c>
      <c r="D2124" s="748" t="s">
        <v>7095</v>
      </c>
      <c r="E2124" s="749"/>
      <c r="F2124" s="748"/>
      <c r="G2124" s="748"/>
      <c r="H2124" s="532"/>
      <c r="I2124" s="532"/>
      <c r="J2124" s="532"/>
      <c r="K2124" s="532"/>
      <c r="M2124" s="189"/>
      <c r="N2124" s="189"/>
      <c r="O2124" s="189"/>
      <c r="P2124" s="189"/>
      <c r="R2124" s="189">
        <f>ROUNDDOWN(H2147,-2)</f>
        <v>27300</v>
      </c>
      <c r="S2124" s="517" t="s">
        <v>6451</v>
      </c>
      <c r="T2124" s="517" t="s">
        <v>7014</v>
      </c>
    </row>
    <row r="2125" spans="3:20" s="517" customFormat="1" ht="31.2" customHeight="1" thickTop="1">
      <c r="C2125" s="190" t="s">
        <v>1195</v>
      </c>
      <c r="D2125" s="191" t="s">
        <v>1196</v>
      </c>
      <c r="E2125" s="191" t="s">
        <v>1197</v>
      </c>
      <c r="F2125" s="191" t="s">
        <v>1198</v>
      </c>
      <c r="G2125" s="191" t="s">
        <v>1199</v>
      </c>
      <c r="H2125" s="192" t="s">
        <v>1200</v>
      </c>
      <c r="L2125" s="200"/>
      <c r="M2125" s="200"/>
      <c r="N2125" s="200"/>
      <c r="O2125" s="200"/>
      <c r="P2125" s="200"/>
    </row>
    <row r="2126" spans="3:20" s="517" customFormat="1" ht="31.2" customHeight="1">
      <c r="C2126" s="518" t="s">
        <v>1201</v>
      </c>
      <c r="D2126" s="196" t="s">
        <v>1202</v>
      </c>
      <c r="E2126" s="197"/>
      <c r="F2126" s="197"/>
      <c r="G2126" s="197"/>
      <c r="H2126" s="198"/>
      <c r="L2126" s="200"/>
      <c r="M2126" s="200"/>
      <c r="N2126" s="200"/>
      <c r="O2126" s="200"/>
      <c r="P2126" s="200"/>
    </row>
    <row r="2127" spans="3:20" s="517" customFormat="1" ht="31.2" customHeight="1">
      <c r="C2127" s="518">
        <v>1</v>
      </c>
      <c r="D2127" s="196" t="s">
        <v>5</v>
      </c>
      <c r="E2127" s="203" t="s">
        <v>2102</v>
      </c>
      <c r="F2127" s="763">
        <v>6.7000000000000004E-2</v>
      </c>
      <c r="G2127" s="205">
        <f>VLOOKUP(D2127,upahbahan,3,FALSE)</f>
        <v>100000</v>
      </c>
      <c r="H2127" s="210">
        <f t="shared" ref="H2127:H2130" si="145">F2127*G2127</f>
        <v>6700</v>
      </c>
      <c r="L2127" s="200"/>
      <c r="M2127" s="200"/>
      <c r="N2127" s="200"/>
      <c r="O2127" s="200"/>
      <c r="P2127" s="200"/>
    </row>
    <row r="2128" spans="3:20" s="517" customFormat="1" ht="31.2" customHeight="1">
      <c r="C2128" s="537">
        <v>2</v>
      </c>
      <c r="D2128" s="196" t="s">
        <v>6954</v>
      </c>
      <c r="E2128" s="202" t="s">
        <v>6</v>
      </c>
      <c r="F2128" s="520">
        <v>6.7000000000000004E-2</v>
      </c>
      <c r="G2128" s="205">
        <f>VLOOKUP(D2128,upahbahan,3,FALSE)</f>
        <v>181250</v>
      </c>
      <c r="H2128" s="210">
        <f t="shared" si="145"/>
        <v>12143.75</v>
      </c>
      <c r="L2128" s="200"/>
      <c r="M2128" s="200"/>
      <c r="N2128" s="200"/>
      <c r="O2128" s="200"/>
      <c r="P2128" s="200"/>
    </row>
    <row r="2129" spans="3:16" s="517" customFormat="1" ht="31.2" customHeight="1">
      <c r="C2129" s="537">
        <v>3</v>
      </c>
      <c r="D2129" s="196" t="s">
        <v>6948</v>
      </c>
      <c r="E2129" s="202" t="s">
        <v>2102</v>
      </c>
      <c r="F2129" s="520">
        <v>2.1999999999999999E-2</v>
      </c>
      <c r="G2129" s="205">
        <f>VLOOKUP(D2129,upahbahan,3,FALSE)</f>
        <v>218750</v>
      </c>
      <c r="H2129" s="210">
        <f t="shared" si="145"/>
        <v>4812.5</v>
      </c>
      <c r="L2129" s="200"/>
      <c r="M2129" s="200"/>
      <c r="N2129" s="200"/>
      <c r="O2129" s="200"/>
      <c r="P2129" s="200"/>
    </row>
    <row r="2130" spans="3:16" s="517" customFormat="1" ht="31.2" customHeight="1">
      <c r="C2130" s="537">
        <v>4</v>
      </c>
      <c r="D2130" s="196" t="s">
        <v>19</v>
      </c>
      <c r="E2130" s="202" t="s">
        <v>6</v>
      </c>
      <c r="F2130" s="520">
        <v>7.3000000000000001E-3</v>
      </c>
      <c r="G2130" s="205">
        <f>VLOOKUP(D2130,upahbahan,3,FALSE)</f>
        <v>160000</v>
      </c>
      <c r="H2130" s="210">
        <f t="shared" si="145"/>
        <v>1168</v>
      </c>
      <c r="L2130" s="200"/>
      <c r="M2130" s="200"/>
      <c r="N2130" s="200"/>
      <c r="O2130" s="200"/>
      <c r="P2130" s="200"/>
    </row>
    <row r="2131" spans="3:16" s="517" customFormat="1" ht="31.2" customHeight="1">
      <c r="C2131" s="207" t="s">
        <v>1208</v>
      </c>
      <c r="D2131" s="208"/>
      <c r="E2131" s="208"/>
      <c r="F2131" s="521"/>
      <c r="G2131" s="522"/>
      <c r="H2131" s="210">
        <f>SUM(H2127:H2130)</f>
        <v>24824.25</v>
      </c>
      <c r="L2131" s="523"/>
      <c r="M2131" s="523"/>
      <c r="N2131" s="523"/>
      <c r="O2131" s="523"/>
      <c r="P2131" s="523"/>
    </row>
    <row r="2132" spans="3:16" s="517" customFormat="1" ht="31.2" customHeight="1">
      <c r="C2132" s="543" t="s">
        <v>1209</v>
      </c>
      <c r="D2132" s="750" t="s">
        <v>1210</v>
      </c>
      <c r="E2132" s="197"/>
      <c r="F2132" s="751"/>
      <c r="G2132" s="197"/>
      <c r="H2132" s="752"/>
      <c r="L2132" s="200"/>
      <c r="M2132" s="200"/>
      <c r="N2132" s="200"/>
      <c r="O2132" s="200"/>
      <c r="P2132" s="200"/>
    </row>
    <row r="2133" spans="3:16" s="517" customFormat="1" ht="31.2" customHeight="1">
      <c r="C2133" s="543">
        <v>1</v>
      </c>
      <c r="D2133" s="750" t="s">
        <v>7096</v>
      </c>
      <c r="E2133" s="203" t="s">
        <v>44</v>
      </c>
      <c r="F2133" s="753">
        <v>1.05</v>
      </c>
      <c r="G2133" s="205">
        <f>VLOOKUP(D2133,upahbahan,3,FALSE)</f>
        <v>0</v>
      </c>
      <c r="H2133" s="210">
        <f t="shared" ref="H2133:H2141" si="146">F2133*G2133</f>
        <v>0</v>
      </c>
      <c r="L2133" s="200"/>
      <c r="M2133" s="200"/>
      <c r="N2133" s="200"/>
      <c r="O2133" s="200"/>
      <c r="P2133" s="200"/>
    </row>
    <row r="2134" spans="3:16" s="517" customFormat="1" ht="31.2" customHeight="1">
      <c r="C2134" s="543">
        <v>2</v>
      </c>
      <c r="D2134" s="750" t="s">
        <v>5563</v>
      </c>
      <c r="E2134" s="203" t="s">
        <v>65</v>
      </c>
      <c r="F2134" s="753">
        <v>0.01</v>
      </c>
      <c r="G2134" s="205">
        <f>VLOOKUP(D2134,upahbahan,3,FALSE)</f>
        <v>0</v>
      </c>
      <c r="H2134" s="210">
        <f t="shared" si="146"/>
        <v>0</v>
      </c>
      <c r="L2134" s="200"/>
      <c r="M2134" s="200"/>
      <c r="N2134" s="200"/>
      <c r="O2134" s="200"/>
      <c r="P2134" s="200"/>
    </row>
    <row r="2135" spans="3:16" s="517" customFormat="1" ht="31.2" customHeight="1">
      <c r="C2135" s="543">
        <v>3</v>
      </c>
      <c r="D2135" s="750" t="s">
        <v>5555</v>
      </c>
      <c r="E2135" s="203"/>
      <c r="F2135" s="753"/>
      <c r="G2135" s="197"/>
      <c r="H2135" s="210">
        <f t="shared" si="146"/>
        <v>0</v>
      </c>
      <c r="L2135" s="200"/>
      <c r="M2135" s="200"/>
      <c r="N2135" s="200"/>
      <c r="O2135" s="200"/>
      <c r="P2135" s="200"/>
    </row>
    <row r="2136" spans="3:16" s="517" customFormat="1" ht="31.2" customHeight="1">
      <c r="C2136" s="754" t="s">
        <v>5293</v>
      </c>
      <c r="D2136" s="750" t="s">
        <v>7053</v>
      </c>
      <c r="E2136" s="203" t="s">
        <v>113</v>
      </c>
      <c r="F2136" s="760">
        <v>12</v>
      </c>
      <c r="G2136" s="205">
        <f>VLOOKUP(D2136,upahbahan,3,FALSE)</f>
        <v>0</v>
      </c>
      <c r="H2136" s="210">
        <f t="shared" si="146"/>
        <v>0</v>
      </c>
      <c r="L2136" s="200"/>
      <c r="M2136" s="200"/>
      <c r="N2136" s="200"/>
      <c r="O2136" s="200"/>
      <c r="P2136" s="200"/>
    </row>
    <row r="2137" spans="3:16" s="517" customFormat="1" ht="31.2" customHeight="1">
      <c r="C2137" s="754" t="s">
        <v>5299</v>
      </c>
      <c r="D2137" s="750" t="s">
        <v>7055</v>
      </c>
      <c r="E2137" s="203" t="s">
        <v>113</v>
      </c>
      <c r="F2137" s="760">
        <v>10</v>
      </c>
      <c r="G2137" s="205">
        <f>VLOOKUP(D2137,upahbahan,3,FALSE)</f>
        <v>0</v>
      </c>
      <c r="H2137" s="210">
        <f t="shared" si="146"/>
        <v>0</v>
      </c>
      <c r="L2137" s="200"/>
      <c r="M2137" s="200"/>
      <c r="N2137" s="200"/>
      <c r="O2137" s="200"/>
      <c r="P2137" s="200"/>
    </row>
    <row r="2138" spans="3:16" s="517" customFormat="1" ht="31.2" customHeight="1">
      <c r="C2138" s="543">
        <v>4</v>
      </c>
      <c r="D2138" s="750" t="s">
        <v>5556</v>
      </c>
      <c r="E2138" s="203"/>
      <c r="F2138" s="753"/>
      <c r="G2138" s="197"/>
      <c r="H2138" s="210">
        <f t="shared" si="146"/>
        <v>0</v>
      </c>
      <c r="L2138" s="200"/>
      <c r="M2138" s="200"/>
      <c r="N2138" s="200"/>
      <c r="O2138" s="200"/>
      <c r="P2138" s="200"/>
    </row>
    <row r="2139" spans="3:16" s="517" customFormat="1" ht="31.2" customHeight="1">
      <c r="C2139" s="754" t="s">
        <v>5293</v>
      </c>
      <c r="D2139" s="750" t="s">
        <v>2084</v>
      </c>
      <c r="E2139" s="203" t="s">
        <v>42</v>
      </c>
      <c r="F2139" s="753">
        <v>7.2999999999999995E-2</v>
      </c>
      <c r="G2139" s="205">
        <f>VLOOKUP(D2139,upahbahan,3,FALSE)</f>
        <v>0</v>
      </c>
      <c r="H2139" s="210">
        <f t="shared" si="146"/>
        <v>0</v>
      </c>
      <c r="L2139" s="200"/>
      <c r="M2139" s="200"/>
      <c r="N2139" s="200"/>
      <c r="O2139" s="200"/>
      <c r="P2139" s="200"/>
    </row>
    <row r="2140" spans="3:16" s="517" customFormat="1" ht="31.2" customHeight="1">
      <c r="C2140" s="754" t="s">
        <v>5299</v>
      </c>
      <c r="D2140" s="750" t="s">
        <v>5566</v>
      </c>
      <c r="E2140" s="203" t="s">
        <v>42</v>
      </c>
      <c r="F2140" s="753">
        <v>0.02</v>
      </c>
      <c r="G2140" s="205">
        <f>VLOOKUP(D2140,upahbahan,3,FALSE)</f>
        <v>0</v>
      </c>
      <c r="H2140" s="210">
        <f t="shared" si="146"/>
        <v>0</v>
      </c>
      <c r="L2140" s="200"/>
      <c r="M2140" s="200"/>
      <c r="N2140" s="200"/>
      <c r="O2140" s="200"/>
      <c r="P2140" s="200"/>
    </row>
    <row r="2141" spans="3:16" s="517" customFormat="1" ht="31.2" customHeight="1">
      <c r="C2141" s="754" t="s">
        <v>5558</v>
      </c>
      <c r="D2141" s="750" t="s">
        <v>2325</v>
      </c>
      <c r="E2141" s="203" t="s">
        <v>42</v>
      </c>
      <c r="F2141" s="762">
        <v>5.0000000000000001E-3</v>
      </c>
      <c r="G2141" s="205">
        <f>VLOOKUP(D2141,upahbahan,3,FALSE)</f>
        <v>0</v>
      </c>
      <c r="H2141" s="210">
        <f t="shared" si="146"/>
        <v>0</v>
      </c>
      <c r="L2141" s="200"/>
      <c r="M2141" s="200"/>
      <c r="N2141" s="200"/>
      <c r="O2141" s="200"/>
      <c r="P2141" s="200"/>
    </row>
    <row r="2142" spans="3:16" s="517" customFormat="1" ht="31.2" customHeight="1">
      <c r="C2142" s="207" t="s">
        <v>1214</v>
      </c>
      <c r="D2142" s="208"/>
      <c r="E2142" s="568"/>
      <c r="F2142" s="208"/>
      <c r="G2142" s="209"/>
      <c r="H2142" s="210">
        <f>SUM(H2133:H2141)</f>
        <v>0</v>
      </c>
      <c r="L2142" s="200"/>
      <c r="M2142" s="200"/>
      <c r="N2142" s="200"/>
      <c r="O2142" s="200"/>
      <c r="P2142" s="200"/>
    </row>
    <row r="2143" spans="3:16" s="517" customFormat="1" ht="31.2" customHeight="1">
      <c r="C2143" s="756" t="s">
        <v>1215</v>
      </c>
      <c r="D2143" s="196" t="s">
        <v>1216</v>
      </c>
      <c r="E2143" s="203"/>
      <c r="F2143" s="197"/>
      <c r="G2143" s="197"/>
      <c r="H2143" s="198"/>
      <c r="L2143" s="200"/>
      <c r="M2143" s="200"/>
      <c r="N2143" s="200"/>
      <c r="O2143" s="200"/>
      <c r="P2143" s="200"/>
    </row>
    <row r="2144" spans="3:16" s="517" customFormat="1" ht="31.2" customHeight="1">
      <c r="C2144" s="207" t="s">
        <v>1217</v>
      </c>
      <c r="D2144" s="208"/>
      <c r="E2144" s="208"/>
      <c r="F2144" s="208"/>
      <c r="G2144" s="209"/>
      <c r="H2144" s="240">
        <f>SUM(H2143)</f>
        <v>0</v>
      </c>
      <c r="L2144" s="200"/>
      <c r="M2144" s="200"/>
      <c r="N2144" s="200"/>
      <c r="O2144" s="200"/>
      <c r="P2144" s="200"/>
    </row>
    <row r="2145" spans="3:20" s="517" customFormat="1" ht="31.2" customHeight="1">
      <c r="C2145" s="223" t="s">
        <v>1218</v>
      </c>
      <c r="D2145" s="224" t="s">
        <v>1219</v>
      </c>
      <c r="E2145" s="225"/>
      <c r="F2145" s="225"/>
      <c r="G2145" s="226"/>
      <c r="H2145" s="210">
        <f>H2144+H2142+H2131</f>
        <v>24824.25</v>
      </c>
      <c r="L2145" s="200"/>
      <c r="M2145" s="200"/>
      <c r="N2145" s="200"/>
      <c r="O2145" s="200"/>
      <c r="P2145" s="200"/>
    </row>
    <row r="2146" spans="3:20" s="517" customFormat="1" ht="31.2" customHeight="1">
      <c r="C2146" s="223" t="s">
        <v>1220</v>
      </c>
      <c r="D2146" s="224" t="s">
        <v>1321</v>
      </c>
      <c r="E2146" s="225"/>
      <c r="F2146" s="226"/>
      <c r="G2146" s="228">
        <v>0.1</v>
      </c>
      <c r="H2146" s="210">
        <f>H2145*G2146</f>
        <v>2482.4250000000002</v>
      </c>
      <c r="L2146" s="200"/>
      <c r="M2146" s="200"/>
      <c r="N2146" s="200"/>
      <c r="O2146" s="200"/>
      <c r="P2146" s="200"/>
    </row>
    <row r="2147" spans="3:20" s="517" customFormat="1" ht="31.2" customHeight="1" thickBot="1">
      <c r="C2147" s="229" t="s">
        <v>1221</v>
      </c>
      <c r="D2147" s="230" t="s">
        <v>1222</v>
      </c>
      <c r="E2147" s="231"/>
      <c r="F2147" s="231"/>
      <c r="G2147" s="232"/>
      <c r="H2147" s="233">
        <f>SUM(H2145:H2146)</f>
        <v>27306.674999999999</v>
      </c>
      <c r="L2147" s="200"/>
      <c r="M2147" s="200"/>
      <c r="N2147" s="200"/>
      <c r="O2147" s="200"/>
      <c r="P2147" s="200"/>
    </row>
    <row r="2148" spans="3:20" ht="31.2" customHeight="1" thickTop="1">
      <c r="D2148" s="758" t="s">
        <v>7086</v>
      </c>
    </row>
    <row r="2149" spans="3:20" ht="31.2" customHeight="1">
      <c r="C2149" s="757" t="s">
        <v>6950</v>
      </c>
      <c r="F2149" s="758"/>
      <c r="H2149" s="758" t="s">
        <v>6959</v>
      </c>
    </row>
    <row r="2150" spans="3:20" ht="31.2" customHeight="1">
      <c r="C2150" s="200" t="s">
        <v>6951</v>
      </c>
      <c r="F2150" s="758"/>
    </row>
    <row r="2151" spans="3:20" ht="31.2" customHeight="1">
      <c r="C2151" s="200" t="s">
        <v>6952</v>
      </c>
      <c r="F2151" s="758"/>
    </row>
    <row r="2152" spans="3:20" ht="31.2" customHeight="1"/>
    <row r="2153" spans="3:20" s="517" customFormat="1" ht="31.2" customHeight="1" thickBot="1">
      <c r="C2153" s="513" t="s">
        <v>7097</v>
      </c>
      <c r="D2153" s="748" t="s">
        <v>7098</v>
      </c>
      <c r="E2153" s="749"/>
      <c r="F2153" s="748"/>
      <c r="G2153" s="748"/>
      <c r="H2153" s="532"/>
      <c r="I2153" s="532"/>
      <c r="J2153" s="532"/>
      <c r="K2153" s="532"/>
      <c r="M2153" s="189"/>
      <c r="N2153" s="189"/>
      <c r="O2153" s="189"/>
      <c r="P2153" s="189"/>
      <c r="R2153" s="189">
        <f>ROUNDDOWN(H2176,-2)</f>
        <v>27300</v>
      </c>
      <c r="S2153" s="517" t="s">
        <v>6451</v>
      </c>
      <c r="T2153" s="517" t="s">
        <v>7014</v>
      </c>
    </row>
    <row r="2154" spans="3:20" s="517" customFormat="1" ht="31.2" customHeight="1" thickTop="1">
      <c r="C2154" s="190" t="s">
        <v>1195</v>
      </c>
      <c r="D2154" s="191" t="s">
        <v>1196</v>
      </c>
      <c r="E2154" s="191" t="s">
        <v>1197</v>
      </c>
      <c r="F2154" s="191" t="s">
        <v>1198</v>
      </c>
      <c r="G2154" s="191" t="s">
        <v>1199</v>
      </c>
      <c r="H2154" s="192" t="s">
        <v>1200</v>
      </c>
      <c r="L2154" s="200"/>
      <c r="M2154" s="200"/>
      <c r="N2154" s="200"/>
      <c r="O2154" s="200"/>
      <c r="P2154" s="200"/>
    </row>
    <row r="2155" spans="3:20" s="517" customFormat="1" ht="31.2" customHeight="1">
      <c r="C2155" s="518" t="s">
        <v>1201</v>
      </c>
      <c r="D2155" s="196" t="s">
        <v>1202</v>
      </c>
      <c r="E2155" s="197"/>
      <c r="F2155" s="197"/>
      <c r="G2155" s="197"/>
      <c r="H2155" s="198"/>
      <c r="L2155" s="200"/>
      <c r="M2155" s="200"/>
      <c r="N2155" s="200"/>
      <c r="O2155" s="200"/>
      <c r="P2155" s="200"/>
    </row>
    <row r="2156" spans="3:20" s="517" customFormat="1" ht="31.2" customHeight="1">
      <c r="C2156" s="518">
        <v>1</v>
      </c>
      <c r="D2156" s="196" t="s">
        <v>5</v>
      </c>
      <c r="E2156" s="203" t="s">
        <v>2102</v>
      </c>
      <c r="F2156" s="763">
        <v>6.7000000000000004E-2</v>
      </c>
      <c r="G2156" s="205">
        <f>VLOOKUP(D2156,upahbahan,3,FALSE)</f>
        <v>100000</v>
      </c>
      <c r="H2156" s="210">
        <f t="shared" ref="H2156:H2159" si="147">F2156*G2156</f>
        <v>6700</v>
      </c>
      <c r="L2156" s="200"/>
      <c r="M2156" s="200"/>
      <c r="N2156" s="200"/>
      <c r="O2156" s="200"/>
      <c r="P2156" s="200"/>
    </row>
    <row r="2157" spans="3:20" s="517" customFormat="1" ht="31.2" customHeight="1">
      <c r="C2157" s="537">
        <v>2</v>
      </c>
      <c r="D2157" s="196" t="s">
        <v>6954</v>
      </c>
      <c r="E2157" s="202" t="s">
        <v>6</v>
      </c>
      <c r="F2157" s="520">
        <v>6.7000000000000004E-2</v>
      </c>
      <c r="G2157" s="205">
        <f>VLOOKUP(D2157,upahbahan,3,FALSE)</f>
        <v>181250</v>
      </c>
      <c r="H2157" s="210">
        <f t="shared" si="147"/>
        <v>12143.75</v>
      </c>
      <c r="L2157" s="200"/>
      <c r="M2157" s="200"/>
      <c r="N2157" s="200"/>
      <c r="O2157" s="200"/>
      <c r="P2157" s="200"/>
    </row>
    <row r="2158" spans="3:20" s="517" customFormat="1" ht="31.2" customHeight="1">
      <c r="C2158" s="537">
        <v>3</v>
      </c>
      <c r="D2158" s="196" t="s">
        <v>6948</v>
      </c>
      <c r="E2158" s="202" t="s">
        <v>2102</v>
      </c>
      <c r="F2158" s="520">
        <v>2.1999999999999999E-2</v>
      </c>
      <c r="G2158" s="205">
        <f>VLOOKUP(D2158,upahbahan,3,FALSE)</f>
        <v>218750</v>
      </c>
      <c r="H2158" s="210">
        <f t="shared" si="147"/>
        <v>4812.5</v>
      </c>
      <c r="L2158" s="200"/>
      <c r="M2158" s="200"/>
      <c r="N2158" s="200"/>
      <c r="O2158" s="200"/>
      <c r="P2158" s="200"/>
    </row>
    <row r="2159" spans="3:20" s="517" customFormat="1" ht="31.2" customHeight="1">
      <c r="C2159" s="537">
        <v>4</v>
      </c>
      <c r="D2159" s="196" t="s">
        <v>19</v>
      </c>
      <c r="E2159" s="202" t="s">
        <v>6</v>
      </c>
      <c r="F2159" s="520">
        <v>7.3000000000000001E-3</v>
      </c>
      <c r="G2159" s="205">
        <f>VLOOKUP(D2159,upahbahan,3,FALSE)</f>
        <v>160000</v>
      </c>
      <c r="H2159" s="210">
        <f t="shared" si="147"/>
        <v>1168</v>
      </c>
      <c r="L2159" s="200"/>
      <c r="M2159" s="200"/>
      <c r="N2159" s="200"/>
      <c r="O2159" s="200"/>
      <c r="P2159" s="200"/>
    </row>
    <row r="2160" spans="3:20" s="517" customFormat="1" ht="31.2" customHeight="1">
      <c r="C2160" s="207" t="s">
        <v>1208</v>
      </c>
      <c r="D2160" s="208"/>
      <c r="E2160" s="208"/>
      <c r="F2160" s="521"/>
      <c r="G2160" s="522"/>
      <c r="H2160" s="210">
        <f>SUM(H2156:H2159)</f>
        <v>24824.25</v>
      </c>
      <c r="L2160" s="523"/>
      <c r="M2160" s="523"/>
      <c r="N2160" s="523"/>
      <c r="O2160" s="523"/>
      <c r="P2160" s="523"/>
    </row>
    <row r="2161" spans="3:16" s="517" customFormat="1" ht="31.2" customHeight="1">
      <c r="C2161" s="543" t="s">
        <v>1209</v>
      </c>
      <c r="D2161" s="750" t="s">
        <v>1210</v>
      </c>
      <c r="E2161" s="197"/>
      <c r="F2161" s="751"/>
      <c r="G2161" s="197"/>
      <c r="H2161" s="752"/>
      <c r="L2161" s="200"/>
      <c r="M2161" s="200"/>
      <c r="N2161" s="200"/>
      <c r="O2161" s="200"/>
      <c r="P2161" s="200"/>
    </row>
    <row r="2162" spans="3:16" s="517" customFormat="1" ht="31.2" customHeight="1">
      <c r="C2162" s="543">
        <v>1</v>
      </c>
      <c r="D2162" s="750" t="s">
        <v>7099</v>
      </c>
      <c r="E2162" s="203" t="s">
        <v>44</v>
      </c>
      <c r="F2162" s="753">
        <v>1.05</v>
      </c>
      <c r="G2162" s="205">
        <f>VLOOKUP(D2162,upahbahan,3,FALSE)</f>
        <v>0</v>
      </c>
      <c r="H2162" s="210">
        <f t="shared" ref="H2162:H2170" si="148">F2162*G2162</f>
        <v>0</v>
      </c>
      <c r="L2162" s="200"/>
      <c r="M2162" s="200"/>
      <c r="N2162" s="200"/>
      <c r="O2162" s="200"/>
      <c r="P2162" s="200"/>
    </row>
    <row r="2163" spans="3:16" s="517" customFormat="1" ht="31.2" customHeight="1">
      <c r="C2163" s="543">
        <v>2</v>
      </c>
      <c r="D2163" s="750" t="s">
        <v>5563</v>
      </c>
      <c r="E2163" s="203" t="s">
        <v>65</v>
      </c>
      <c r="F2163" s="753">
        <v>0.01</v>
      </c>
      <c r="G2163" s="205">
        <f>VLOOKUP(D2163,upahbahan,3,FALSE)</f>
        <v>0</v>
      </c>
      <c r="H2163" s="210">
        <f t="shared" si="148"/>
        <v>0</v>
      </c>
      <c r="L2163" s="200"/>
      <c r="M2163" s="200"/>
      <c r="N2163" s="200"/>
      <c r="O2163" s="200"/>
      <c r="P2163" s="200"/>
    </row>
    <row r="2164" spans="3:16" s="517" customFormat="1" ht="31.2" customHeight="1">
      <c r="C2164" s="543">
        <v>3</v>
      </c>
      <c r="D2164" s="750" t="s">
        <v>5555</v>
      </c>
      <c r="E2164" s="203"/>
      <c r="F2164" s="753"/>
      <c r="G2164" s="197"/>
      <c r="H2164" s="210">
        <f t="shared" si="148"/>
        <v>0</v>
      </c>
      <c r="L2164" s="200"/>
      <c r="M2164" s="200"/>
      <c r="N2164" s="200"/>
      <c r="O2164" s="200"/>
      <c r="P2164" s="200"/>
    </row>
    <row r="2165" spans="3:16" s="517" customFormat="1" ht="31.2" customHeight="1">
      <c r="C2165" s="754" t="s">
        <v>5293</v>
      </c>
      <c r="D2165" s="750" t="s">
        <v>7053</v>
      </c>
      <c r="E2165" s="203" t="s">
        <v>113</v>
      </c>
      <c r="F2165" s="760">
        <v>12</v>
      </c>
      <c r="G2165" s="205">
        <f>VLOOKUP(D2165,upahbahan,3,FALSE)</f>
        <v>0</v>
      </c>
      <c r="H2165" s="210">
        <f t="shared" si="148"/>
        <v>0</v>
      </c>
      <c r="L2165" s="200"/>
      <c r="M2165" s="200"/>
      <c r="N2165" s="200"/>
      <c r="O2165" s="200"/>
      <c r="P2165" s="200"/>
    </row>
    <row r="2166" spans="3:16" s="517" customFormat="1" ht="31.2" customHeight="1">
      <c r="C2166" s="754" t="s">
        <v>5299</v>
      </c>
      <c r="D2166" s="750" t="s">
        <v>7055</v>
      </c>
      <c r="E2166" s="203" t="s">
        <v>113</v>
      </c>
      <c r="F2166" s="760">
        <v>10</v>
      </c>
      <c r="G2166" s="205">
        <f>VLOOKUP(D2166,upahbahan,3,FALSE)</f>
        <v>0</v>
      </c>
      <c r="H2166" s="210">
        <f t="shared" si="148"/>
        <v>0</v>
      </c>
      <c r="L2166" s="200"/>
      <c r="M2166" s="200"/>
      <c r="N2166" s="200"/>
      <c r="O2166" s="200"/>
      <c r="P2166" s="200"/>
    </row>
    <row r="2167" spans="3:16" s="517" customFormat="1" ht="31.2" customHeight="1">
      <c r="C2167" s="543">
        <v>4</v>
      </c>
      <c r="D2167" s="750" t="s">
        <v>5556</v>
      </c>
      <c r="E2167" s="203"/>
      <c r="F2167" s="753"/>
      <c r="G2167" s="197"/>
      <c r="H2167" s="210">
        <f t="shared" si="148"/>
        <v>0</v>
      </c>
      <c r="L2167" s="200"/>
      <c r="M2167" s="200"/>
      <c r="N2167" s="200"/>
      <c r="O2167" s="200"/>
      <c r="P2167" s="200"/>
    </row>
    <row r="2168" spans="3:16" s="517" customFormat="1" ht="31.2" customHeight="1">
      <c r="C2168" s="754" t="s">
        <v>5293</v>
      </c>
      <c r="D2168" s="750" t="s">
        <v>2084</v>
      </c>
      <c r="E2168" s="203" t="s">
        <v>42</v>
      </c>
      <c r="F2168" s="753">
        <v>7.2999999999999995E-2</v>
      </c>
      <c r="G2168" s="205">
        <f>VLOOKUP(D2168,upahbahan,3,FALSE)</f>
        <v>0</v>
      </c>
      <c r="H2168" s="210">
        <f t="shared" si="148"/>
        <v>0</v>
      </c>
      <c r="L2168" s="200"/>
      <c r="M2168" s="200"/>
      <c r="N2168" s="200"/>
      <c r="O2168" s="200"/>
      <c r="P2168" s="200"/>
    </row>
    <row r="2169" spans="3:16" s="517" customFormat="1" ht="31.2" customHeight="1">
      <c r="C2169" s="754" t="s">
        <v>5299</v>
      </c>
      <c r="D2169" s="750" t="s">
        <v>5566</v>
      </c>
      <c r="E2169" s="203" t="s">
        <v>42</v>
      </c>
      <c r="F2169" s="753">
        <v>0.02</v>
      </c>
      <c r="G2169" s="205">
        <f>VLOOKUP(D2169,upahbahan,3,FALSE)</f>
        <v>0</v>
      </c>
      <c r="H2169" s="210">
        <f t="shared" si="148"/>
        <v>0</v>
      </c>
      <c r="L2169" s="200"/>
      <c r="M2169" s="200"/>
      <c r="N2169" s="200"/>
      <c r="O2169" s="200"/>
      <c r="P2169" s="200"/>
    </row>
    <row r="2170" spans="3:16" s="517" customFormat="1" ht="31.2" customHeight="1">
      <c r="C2170" s="754" t="s">
        <v>5558</v>
      </c>
      <c r="D2170" s="750" t="s">
        <v>2325</v>
      </c>
      <c r="E2170" s="203" t="s">
        <v>42</v>
      </c>
      <c r="F2170" s="762">
        <v>5.0000000000000001E-3</v>
      </c>
      <c r="G2170" s="205">
        <f>VLOOKUP(D2170,upahbahan,3,FALSE)</f>
        <v>0</v>
      </c>
      <c r="H2170" s="210">
        <f t="shared" si="148"/>
        <v>0</v>
      </c>
      <c r="L2170" s="200"/>
      <c r="M2170" s="200"/>
      <c r="N2170" s="200"/>
      <c r="O2170" s="200"/>
      <c r="P2170" s="200"/>
    </row>
    <row r="2171" spans="3:16" s="517" customFormat="1" ht="31.2" customHeight="1">
      <c r="C2171" s="207" t="s">
        <v>1214</v>
      </c>
      <c r="D2171" s="208"/>
      <c r="E2171" s="568"/>
      <c r="F2171" s="208"/>
      <c r="G2171" s="209"/>
      <c r="H2171" s="210">
        <f>SUM(H2162:H2170)</f>
        <v>0</v>
      </c>
      <c r="L2171" s="200"/>
      <c r="M2171" s="200"/>
      <c r="N2171" s="200"/>
      <c r="O2171" s="200"/>
      <c r="P2171" s="200"/>
    </row>
    <row r="2172" spans="3:16" s="517" customFormat="1" ht="31.2" customHeight="1">
      <c r="C2172" s="756" t="s">
        <v>1215</v>
      </c>
      <c r="D2172" s="196" t="s">
        <v>1216</v>
      </c>
      <c r="E2172" s="203"/>
      <c r="F2172" s="197"/>
      <c r="G2172" s="197"/>
      <c r="H2172" s="198"/>
      <c r="L2172" s="200"/>
      <c r="M2172" s="200"/>
      <c r="N2172" s="200"/>
      <c r="O2172" s="200"/>
      <c r="P2172" s="200"/>
    </row>
    <row r="2173" spans="3:16" s="517" customFormat="1" ht="31.2" customHeight="1">
      <c r="C2173" s="207" t="s">
        <v>1217</v>
      </c>
      <c r="D2173" s="208"/>
      <c r="E2173" s="208"/>
      <c r="F2173" s="208"/>
      <c r="G2173" s="209"/>
      <c r="H2173" s="240">
        <f>SUM(H2172)</f>
        <v>0</v>
      </c>
      <c r="L2173" s="200"/>
      <c r="M2173" s="200"/>
      <c r="N2173" s="200"/>
      <c r="O2173" s="200"/>
      <c r="P2173" s="200"/>
    </row>
    <row r="2174" spans="3:16" s="517" customFormat="1" ht="31.2" customHeight="1">
      <c r="C2174" s="223" t="s">
        <v>1218</v>
      </c>
      <c r="D2174" s="224" t="s">
        <v>1219</v>
      </c>
      <c r="E2174" s="225"/>
      <c r="F2174" s="225"/>
      <c r="G2174" s="226"/>
      <c r="H2174" s="210">
        <f>H2173+H2171+H2160</f>
        <v>24824.25</v>
      </c>
      <c r="L2174" s="200"/>
      <c r="M2174" s="200"/>
      <c r="N2174" s="200"/>
      <c r="O2174" s="200"/>
      <c r="P2174" s="200"/>
    </row>
    <row r="2175" spans="3:16" s="517" customFormat="1" ht="31.2" customHeight="1">
      <c r="C2175" s="223" t="s">
        <v>1220</v>
      </c>
      <c r="D2175" s="224" t="s">
        <v>1321</v>
      </c>
      <c r="E2175" s="225"/>
      <c r="F2175" s="226"/>
      <c r="G2175" s="228">
        <v>0.1</v>
      </c>
      <c r="H2175" s="210">
        <f>H2174*G2175</f>
        <v>2482.4250000000002</v>
      </c>
      <c r="L2175" s="200"/>
      <c r="M2175" s="200"/>
      <c r="N2175" s="200"/>
      <c r="O2175" s="200"/>
      <c r="P2175" s="200"/>
    </row>
    <row r="2176" spans="3:16" s="517" customFormat="1" ht="31.2" customHeight="1" thickBot="1">
      <c r="C2176" s="229" t="s">
        <v>1221</v>
      </c>
      <c r="D2176" s="230" t="s">
        <v>1222</v>
      </c>
      <c r="E2176" s="231"/>
      <c r="F2176" s="231"/>
      <c r="G2176" s="232"/>
      <c r="H2176" s="233">
        <f>SUM(H2174:H2175)</f>
        <v>27306.674999999999</v>
      </c>
      <c r="L2176" s="200"/>
      <c r="M2176" s="200"/>
      <c r="N2176" s="200"/>
      <c r="O2176" s="200"/>
      <c r="P2176" s="200"/>
    </row>
    <row r="2177" spans="3:20" ht="31.2" customHeight="1" thickTop="1">
      <c r="D2177" s="758" t="s">
        <v>7086</v>
      </c>
    </row>
    <row r="2178" spans="3:20" ht="31.2" customHeight="1">
      <c r="C2178" s="757" t="s">
        <v>6950</v>
      </c>
      <c r="F2178" s="758"/>
      <c r="H2178" s="758" t="s">
        <v>6959</v>
      </c>
    </row>
    <row r="2179" spans="3:20" ht="31.2" customHeight="1">
      <c r="C2179" s="200" t="s">
        <v>6951</v>
      </c>
      <c r="F2179" s="758"/>
    </row>
    <row r="2180" spans="3:20" ht="31.2" customHeight="1">
      <c r="C2180" s="200" t="s">
        <v>6952</v>
      </c>
      <c r="F2180" s="758"/>
    </row>
    <row r="2181" spans="3:20" ht="31.2" customHeight="1"/>
    <row r="2182" spans="3:20" s="517" customFormat="1" ht="31.2" customHeight="1" thickBot="1">
      <c r="C2182" s="513" t="s">
        <v>7100</v>
      </c>
      <c r="D2182" s="748" t="s">
        <v>7101</v>
      </c>
      <c r="E2182" s="749"/>
      <c r="F2182" s="748"/>
      <c r="G2182" s="748"/>
      <c r="H2182" s="532"/>
      <c r="I2182" s="532"/>
      <c r="J2182" s="532"/>
      <c r="K2182" s="532"/>
      <c r="M2182" s="189"/>
      <c r="N2182" s="189"/>
      <c r="O2182" s="189"/>
      <c r="P2182" s="189"/>
      <c r="R2182" s="189">
        <f>ROUNDDOWN(H2205,-2)</f>
        <v>27300</v>
      </c>
      <c r="S2182" s="517" t="s">
        <v>6451</v>
      </c>
      <c r="T2182" s="517" t="s">
        <v>7014</v>
      </c>
    </row>
    <row r="2183" spans="3:20" s="517" customFormat="1" ht="31.2" customHeight="1" thickTop="1">
      <c r="C2183" s="190" t="s">
        <v>1195</v>
      </c>
      <c r="D2183" s="191" t="s">
        <v>1196</v>
      </c>
      <c r="E2183" s="191" t="s">
        <v>1197</v>
      </c>
      <c r="F2183" s="191" t="s">
        <v>1198</v>
      </c>
      <c r="G2183" s="191" t="s">
        <v>1199</v>
      </c>
      <c r="H2183" s="192" t="s">
        <v>1200</v>
      </c>
      <c r="L2183" s="200"/>
      <c r="M2183" s="200"/>
      <c r="N2183" s="200"/>
      <c r="O2183" s="200"/>
      <c r="P2183" s="200"/>
    </row>
    <row r="2184" spans="3:20" s="517" customFormat="1" ht="31.2" customHeight="1">
      <c r="C2184" s="518" t="s">
        <v>1201</v>
      </c>
      <c r="D2184" s="196" t="s">
        <v>1202</v>
      </c>
      <c r="E2184" s="197"/>
      <c r="F2184" s="197"/>
      <c r="G2184" s="197"/>
      <c r="H2184" s="198"/>
      <c r="L2184" s="200"/>
      <c r="M2184" s="200"/>
      <c r="N2184" s="200"/>
      <c r="O2184" s="200"/>
      <c r="P2184" s="200"/>
    </row>
    <row r="2185" spans="3:20" s="517" customFormat="1" ht="31.2" customHeight="1">
      <c r="C2185" s="518">
        <v>1</v>
      </c>
      <c r="D2185" s="196" t="s">
        <v>5</v>
      </c>
      <c r="E2185" s="203" t="s">
        <v>2102</v>
      </c>
      <c r="F2185" s="763">
        <v>6.7000000000000004E-2</v>
      </c>
      <c r="G2185" s="205">
        <f>VLOOKUP(D2185,upahbahan,3,FALSE)</f>
        <v>100000</v>
      </c>
      <c r="H2185" s="210">
        <f t="shared" ref="H2185:H2188" si="149">F2185*G2185</f>
        <v>6700</v>
      </c>
      <c r="L2185" s="200"/>
      <c r="M2185" s="200"/>
      <c r="N2185" s="200"/>
      <c r="O2185" s="200"/>
      <c r="P2185" s="200"/>
    </row>
    <row r="2186" spans="3:20" s="517" customFormat="1" ht="31.2" customHeight="1">
      <c r="C2186" s="537">
        <v>2</v>
      </c>
      <c r="D2186" s="196" t="s">
        <v>6954</v>
      </c>
      <c r="E2186" s="202" t="s">
        <v>6</v>
      </c>
      <c r="F2186" s="520">
        <v>6.7000000000000004E-2</v>
      </c>
      <c r="G2186" s="205">
        <f>VLOOKUP(D2186,upahbahan,3,FALSE)</f>
        <v>181250</v>
      </c>
      <c r="H2186" s="210">
        <f t="shared" si="149"/>
        <v>12143.75</v>
      </c>
      <c r="L2186" s="200"/>
      <c r="M2186" s="200"/>
      <c r="N2186" s="200"/>
      <c r="O2186" s="200"/>
      <c r="P2186" s="200"/>
    </row>
    <row r="2187" spans="3:20" s="517" customFormat="1" ht="31.2" customHeight="1">
      <c r="C2187" s="537">
        <v>3</v>
      </c>
      <c r="D2187" s="196" t="s">
        <v>6948</v>
      </c>
      <c r="E2187" s="202" t="s">
        <v>2102</v>
      </c>
      <c r="F2187" s="520">
        <v>2.1999999999999999E-2</v>
      </c>
      <c r="G2187" s="205">
        <f>VLOOKUP(D2187,upahbahan,3,FALSE)</f>
        <v>218750</v>
      </c>
      <c r="H2187" s="210">
        <f t="shared" si="149"/>
        <v>4812.5</v>
      </c>
      <c r="L2187" s="200"/>
      <c r="M2187" s="200"/>
      <c r="N2187" s="200"/>
      <c r="O2187" s="200"/>
      <c r="P2187" s="200"/>
    </row>
    <row r="2188" spans="3:20" s="517" customFormat="1" ht="31.2" customHeight="1">
      <c r="C2188" s="537">
        <v>4</v>
      </c>
      <c r="D2188" s="196" t="s">
        <v>19</v>
      </c>
      <c r="E2188" s="202" t="s">
        <v>6</v>
      </c>
      <c r="F2188" s="520">
        <v>7.3000000000000001E-3</v>
      </c>
      <c r="G2188" s="205">
        <f>VLOOKUP(D2188,upahbahan,3,FALSE)</f>
        <v>160000</v>
      </c>
      <c r="H2188" s="210">
        <f t="shared" si="149"/>
        <v>1168</v>
      </c>
      <c r="L2188" s="200"/>
      <c r="M2188" s="200"/>
      <c r="N2188" s="200"/>
      <c r="O2188" s="200"/>
      <c r="P2188" s="200"/>
    </row>
    <row r="2189" spans="3:20" s="517" customFormat="1" ht="31.2" customHeight="1">
      <c r="C2189" s="207" t="s">
        <v>1208</v>
      </c>
      <c r="D2189" s="208"/>
      <c r="E2189" s="208"/>
      <c r="F2189" s="521"/>
      <c r="G2189" s="522"/>
      <c r="H2189" s="210">
        <f>SUM(H2185:H2188)</f>
        <v>24824.25</v>
      </c>
      <c r="L2189" s="523"/>
      <c r="M2189" s="523"/>
      <c r="N2189" s="523"/>
      <c r="O2189" s="523"/>
      <c r="P2189" s="523"/>
    </row>
    <row r="2190" spans="3:20" s="517" customFormat="1" ht="31.2" customHeight="1">
      <c r="C2190" s="543" t="s">
        <v>1209</v>
      </c>
      <c r="D2190" s="750" t="s">
        <v>1210</v>
      </c>
      <c r="E2190" s="197"/>
      <c r="F2190" s="751"/>
      <c r="G2190" s="197"/>
      <c r="H2190" s="752"/>
      <c r="L2190" s="200"/>
      <c r="M2190" s="200"/>
      <c r="N2190" s="200"/>
      <c r="O2190" s="200"/>
      <c r="P2190" s="200"/>
    </row>
    <row r="2191" spans="3:20" s="517" customFormat="1" ht="31.2" customHeight="1">
      <c r="C2191" s="543">
        <v>1</v>
      </c>
      <c r="D2191" s="750" t="s">
        <v>7102</v>
      </c>
      <c r="E2191" s="203" t="s">
        <v>44</v>
      </c>
      <c r="F2191" s="753">
        <v>1.05</v>
      </c>
      <c r="G2191" s="205">
        <f>VLOOKUP(D2191,upahbahan,3,FALSE)</f>
        <v>0</v>
      </c>
      <c r="H2191" s="210">
        <f t="shared" ref="H2191:H2199" si="150">F2191*G2191</f>
        <v>0</v>
      </c>
      <c r="L2191" s="200"/>
      <c r="M2191" s="200"/>
      <c r="N2191" s="200"/>
      <c r="O2191" s="200"/>
      <c r="P2191" s="200"/>
    </row>
    <row r="2192" spans="3:20" s="517" customFormat="1" ht="31.2" customHeight="1">
      <c r="C2192" s="543">
        <v>2</v>
      </c>
      <c r="D2192" s="750" t="s">
        <v>5563</v>
      </c>
      <c r="E2192" s="203" t="s">
        <v>65</v>
      </c>
      <c r="F2192" s="753">
        <v>0.01</v>
      </c>
      <c r="G2192" s="205">
        <f>VLOOKUP(D2192,upahbahan,3,FALSE)</f>
        <v>0</v>
      </c>
      <c r="H2192" s="210">
        <f t="shared" si="150"/>
        <v>0</v>
      </c>
      <c r="L2192" s="200"/>
      <c r="M2192" s="200"/>
      <c r="N2192" s="200"/>
      <c r="O2192" s="200"/>
      <c r="P2192" s="200"/>
    </row>
    <row r="2193" spans="3:16" s="517" customFormat="1" ht="31.2" customHeight="1">
      <c r="C2193" s="543">
        <v>3</v>
      </c>
      <c r="D2193" s="750" t="s">
        <v>5555</v>
      </c>
      <c r="E2193" s="203"/>
      <c r="F2193" s="753"/>
      <c r="G2193" s="197"/>
      <c r="H2193" s="210">
        <f t="shared" si="150"/>
        <v>0</v>
      </c>
      <c r="L2193" s="200"/>
      <c r="M2193" s="200"/>
      <c r="N2193" s="200"/>
      <c r="O2193" s="200"/>
      <c r="P2193" s="200"/>
    </row>
    <row r="2194" spans="3:16" s="517" customFormat="1" ht="31.2" customHeight="1">
      <c r="C2194" s="754" t="s">
        <v>5293</v>
      </c>
      <c r="D2194" s="750" t="s">
        <v>7053</v>
      </c>
      <c r="E2194" s="203" t="s">
        <v>113</v>
      </c>
      <c r="F2194" s="760">
        <v>12</v>
      </c>
      <c r="G2194" s="205">
        <f>VLOOKUP(D2194,upahbahan,3,FALSE)</f>
        <v>0</v>
      </c>
      <c r="H2194" s="210">
        <f t="shared" si="150"/>
        <v>0</v>
      </c>
      <c r="L2194" s="200"/>
      <c r="M2194" s="200"/>
      <c r="N2194" s="200"/>
      <c r="O2194" s="200"/>
      <c r="P2194" s="200"/>
    </row>
    <row r="2195" spans="3:16" s="517" customFormat="1" ht="31.2" customHeight="1">
      <c r="C2195" s="754" t="s">
        <v>5299</v>
      </c>
      <c r="D2195" s="750" t="s">
        <v>7055</v>
      </c>
      <c r="E2195" s="203" t="s">
        <v>113</v>
      </c>
      <c r="F2195" s="760">
        <v>10</v>
      </c>
      <c r="G2195" s="205">
        <f>VLOOKUP(D2195,upahbahan,3,FALSE)</f>
        <v>0</v>
      </c>
      <c r="H2195" s="210">
        <f t="shared" si="150"/>
        <v>0</v>
      </c>
      <c r="L2195" s="200"/>
      <c r="M2195" s="200"/>
      <c r="N2195" s="200"/>
      <c r="O2195" s="200"/>
      <c r="P2195" s="200"/>
    </row>
    <row r="2196" spans="3:16" s="517" customFormat="1" ht="31.2" customHeight="1">
      <c r="C2196" s="543">
        <v>4</v>
      </c>
      <c r="D2196" s="750" t="s">
        <v>5556</v>
      </c>
      <c r="E2196" s="203"/>
      <c r="F2196" s="753"/>
      <c r="G2196" s="197"/>
      <c r="H2196" s="210">
        <f t="shared" si="150"/>
        <v>0</v>
      </c>
      <c r="L2196" s="200"/>
      <c r="M2196" s="200"/>
      <c r="N2196" s="200"/>
      <c r="O2196" s="200"/>
      <c r="P2196" s="200"/>
    </row>
    <row r="2197" spans="3:16" s="517" customFormat="1" ht="31.2" customHeight="1">
      <c r="C2197" s="754" t="s">
        <v>5293</v>
      </c>
      <c r="D2197" s="750" t="s">
        <v>2084</v>
      </c>
      <c r="E2197" s="203" t="s">
        <v>42</v>
      </c>
      <c r="F2197" s="753">
        <v>7.2999999999999995E-2</v>
      </c>
      <c r="G2197" s="205">
        <f>VLOOKUP(D2197,upahbahan,3,FALSE)</f>
        <v>0</v>
      </c>
      <c r="H2197" s="210">
        <f t="shared" si="150"/>
        <v>0</v>
      </c>
      <c r="L2197" s="200"/>
      <c r="M2197" s="200"/>
      <c r="N2197" s="200"/>
      <c r="O2197" s="200"/>
      <c r="P2197" s="200"/>
    </row>
    <row r="2198" spans="3:16" s="517" customFormat="1" ht="31.2" customHeight="1">
      <c r="C2198" s="754" t="s">
        <v>5299</v>
      </c>
      <c r="D2198" s="750" t="s">
        <v>5566</v>
      </c>
      <c r="E2198" s="203" t="s">
        <v>42</v>
      </c>
      <c r="F2198" s="753">
        <v>0.02</v>
      </c>
      <c r="G2198" s="205">
        <f>VLOOKUP(D2198,upahbahan,3,FALSE)</f>
        <v>0</v>
      </c>
      <c r="H2198" s="210">
        <f t="shared" si="150"/>
        <v>0</v>
      </c>
      <c r="L2198" s="200"/>
      <c r="M2198" s="200"/>
      <c r="N2198" s="200"/>
      <c r="O2198" s="200"/>
      <c r="P2198" s="200"/>
    </row>
    <row r="2199" spans="3:16" s="517" customFormat="1" ht="31.2" customHeight="1">
      <c r="C2199" s="754" t="s">
        <v>5558</v>
      </c>
      <c r="D2199" s="750" t="s">
        <v>2325</v>
      </c>
      <c r="E2199" s="203" t="s">
        <v>42</v>
      </c>
      <c r="F2199" s="762">
        <v>5.0000000000000001E-3</v>
      </c>
      <c r="G2199" s="205">
        <f>VLOOKUP(D2199,upahbahan,3,FALSE)</f>
        <v>0</v>
      </c>
      <c r="H2199" s="210">
        <f t="shared" si="150"/>
        <v>0</v>
      </c>
      <c r="L2199" s="200"/>
      <c r="M2199" s="200"/>
      <c r="N2199" s="200"/>
      <c r="O2199" s="200"/>
      <c r="P2199" s="200"/>
    </row>
    <row r="2200" spans="3:16" s="517" customFormat="1" ht="31.2" customHeight="1">
      <c r="C2200" s="207" t="s">
        <v>1214</v>
      </c>
      <c r="D2200" s="208"/>
      <c r="E2200" s="568"/>
      <c r="F2200" s="208"/>
      <c r="G2200" s="209"/>
      <c r="H2200" s="210">
        <f>SUM(H2191:H2199)</f>
        <v>0</v>
      </c>
      <c r="L2200" s="200"/>
      <c r="M2200" s="200"/>
      <c r="N2200" s="200"/>
      <c r="O2200" s="200"/>
      <c r="P2200" s="200"/>
    </row>
    <row r="2201" spans="3:16" s="517" customFormat="1" ht="31.2" customHeight="1">
      <c r="C2201" s="756" t="s">
        <v>1215</v>
      </c>
      <c r="D2201" s="196" t="s">
        <v>1216</v>
      </c>
      <c r="E2201" s="203"/>
      <c r="F2201" s="197"/>
      <c r="G2201" s="197"/>
      <c r="H2201" s="198"/>
      <c r="L2201" s="200"/>
      <c r="M2201" s="200"/>
      <c r="N2201" s="200"/>
      <c r="O2201" s="200"/>
      <c r="P2201" s="200"/>
    </row>
    <row r="2202" spans="3:16" s="517" customFormat="1" ht="31.2" customHeight="1">
      <c r="C2202" s="207" t="s">
        <v>1217</v>
      </c>
      <c r="D2202" s="208"/>
      <c r="E2202" s="208"/>
      <c r="F2202" s="208"/>
      <c r="G2202" s="209"/>
      <c r="H2202" s="240">
        <f>SUM(H2201)</f>
        <v>0</v>
      </c>
      <c r="L2202" s="200"/>
      <c r="M2202" s="200"/>
      <c r="N2202" s="200"/>
      <c r="O2202" s="200"/>
      <c r="P2202" s="200"/>
    </row>
    <row r="2203" spans="3:16" s="517" customFormat="1" ht="31.2" customHeight="1">
      <c r="C2203" s="223" t="s">
        <v>1218</v>
      </c>
      <c r="D2203" s="224" t="s">
        <v>1219</v>
      </c>
      <c r="E2203" s="225"/>
      <c r="F2203" s="225"/>
      <c r="G2203" s="226"/>
      <c r="H2203" s="210">
        <f>H2202+H2200+H2189</f>
        <v>24824.25</v>
      </c>
      <c r="L2203" s="200"/>
      <c r="M2203" s="200"/>
      <c r="N2203" s="200"/>
      <c r="O2203" s="200"/>
      <c r="P2203" s="200"/>
    </row>
    <row r="2204" spans="3:16" s="517" customFormat="1" ht="31.2" customHeight="1">
      <c r="C2204" s="223" t="s">
        <v>1220</v>
      </c>
      <c r="D2204" s="224" t="s">
        <v>1321</v>
      </c>
      <c r="E2204" s="225"/>
      <c r="F2204" s="226"/>
      <c r="G2204" s="228">
        <v>0.1</v>
      </c>
      <c r="H2204" s="210">
        <f>H2203*G2204</f>
        <v>2482.4250000000002</v>
      </c>
      <c r="L2204" s="200"/>
      <c r="M2204" s="200"/>
      <c r="N2204" s="200"/>
      <c r="O2204" s="200"/>
      <c r="P2204" s="200"/>
    </row>
    <row r="2205" spans="3:16" s="517" customFormat="1" ht="31.2" customHeight="1" thickBot="1">
      <c r="C2205" s="229" t="s">
        <v>1221</v>
      </c>
      <c r="D2205" s="230" t="s">
        <v>1222</v>
      </c>
      <c r="E2205" s="231"/>
      <c r="F2205" s="231"/>
      <c r="G2205" s="232"/>
      <c r="H2205" s="233">
        <f>SUM(H2203:H2204)</f>
        <v>27306.674999999999</v>
      </c>
      <c r="L2205" s="200"/>
      <c r="M2205" s="200"/>
      <c r="N2205" s="200"/>
      <c r="O2205" s="200"/>
      <c r="P2205" s="200"/>
    </row>
    <row r="2206" spans="3:16" ht="31.2" customHeight="1" thickTop="1">
      <c r="D2206" s="758" t="s">
        <v>7086</v>
      </c>
    </row>
    <row r="2207" spans="3:16" ht="31.2" customHeight="1">
      <c r="C2207" s="757" t="s">
        <v>6950</v>
      </c>
      <c r="F2207" s="758"/>
      <c r="H2207" s="758" t="s">
        <v>6959</v>
      </c>
    </row>
    <row r="2208" spans="3:16" ht="31.2" customHeight="1">
      <c r="C2208" s="200" t="s">
        <v>6951</v>
      </c>
      <c r="F2208" s="758"/>
    </row>
    <row r="2209" spans="3:20" ht="31.2" customHeight="1">
      <c r="C2209" s="200" t="s">
        <v>6952</v>
      </c>
      <c r="F2209" s="758"/>
    </row>
    <row r="2210" spans="3:20" ht="31.2" customHeight="1"/>
    <row r="2211" spans="3:20" s="517" customFormat="1" ht="31.2" customHeight="1" thickBot="1">
      <c r="C2211" s="513" t="s">
        <v>7103</v>
      </c>
      <c r="D2211" s="748" t="s">
        <v>7104</v>
      </c>
      <c r="E2211" s="749"/>
      <c r="F2211" s="748"/>
      <c r="G2211" s="748"/>
      <c r="H2211" s="532"/>
      <c r="I2211" s="532"/>
      <c r="J2211" s="532"/>
      <c r="K2211" s="532"/>
      <c r="M2211" s="189"/>
      <c r="N2211" s="189"/>
      <c r="O2211" s="189"/>
      <c r="P2211" s="189"/>
      <c r="R2211" s="189">
        <f>ROUNDDOWN(H2234,-2)</f>
        <v>27300</v>
      </c>
      <c r="S2211" s="517" t="s">
        <v>6451</v>
      </c>
      <c r="T2211" s="517" t="s">
        <v>7014</v>
      </c>
    </row>
    <row r="2212" spans="3:20" s="517" customFormat="1" ht="31.2" customHeight="1" thickTop="1">
      <c r="C2212" s="190" t="s">
        <v>1195</v>
      </c>
      <c r="D2212" s="191" t="s">
        <v>1196</v>
      </c>
      <c r="E2212" s="191" t="s">
        <v>1197</v>
      </c>
      <c r="F2212" s="191" t="s">
        <v>1198</v>
      </c>
      <c r="G2212" s="191" t="s">
        <v>1199</v>
      </c>
      <c r="H2212" s="192" t="s">
        <v>1200</v>
      </c>
      <c r="L2212" s="200"/>
      <c r="M2212" s="200"/>
      <c r="N2212" s="200"/>
      <c r="O2212" s="200"/>
      <c r="P2212" s="200"/>
    </row>
    <row r="2213" spans="3:20" s="517" customFormat="1" ht="31.2" customHeight="1">
      <c r="C2213" s="518" t="s">
        <v>1201</v>
      </c>
      <c r="D2213" s="196" t="s">
        <v>1202</v>
      </c>
      <c r="E2213" s="197"/>
      <c r="F2213" s="197"/>
      <c r="G2213" s="197"/>
      <c r="H2213" s="198"/>
      <c r="L2213" s="200"/>
      <c r="M2213" s="200"/>
      <c r="N2213" s="200"/>
      <c r="O2213" s="200"/>
      <c r="P2213" s="200"/>
    </row>
    <row r="2214" spans="3:20" s="517" customFormat="1" ht="31.2" customHeight="1">
      <c r="C2214" s="518">
        <v>1</v>
      </c>
      <c r="D2214" s="196" t="s">
        <v>5</v>
      </c>
      <c r="E2214" s="203" t="s">
        <v>2102</v>
      </c>
      <c r="F2214" s="763">
        <v>6.7000000000000004E-2</v>
      </c>
      <c r="G2214" s="205">
        <f>VLOOKUP(D2214,upahbahan,3,FALSE)</f>
        <v>100000</v>
      </c>
      <c r="H2214" s="210">
        <f t="shared" ref="H2214:H2217" si="151">F2214*G2214</f>
        <v>6700</v>
      </c>
      <c r="L2214" s="200"/>
      <c r="M2214" s="200"/>
      <c r="N2214" s="200"/>
      <c r="O2214" s="200"/>
      <c r="P2214" s="200"/>
    </row>
    <row r="2215" spans="3:20" s="517" customFormat="1" ht="31.2" customHeight="1">
      <c r="C2215" s="537">
        <v>2</v>
      </c>
      <c r="D2215" s="196" t="s">
        <v>6954</v>
      </c>
      <c r="E2215" s="202" t="s">
        <v>6</v>
      </c>
      <c r="F2215" s="520">
        <v>6.7000000000000004E-2</v>
      </c>
      <c r="G2215" s="205">
        <f>VLOOKUP(D2215,upahbahan,3,FALSE)</f>
        <v>181250</v>
      </c>
      <c r="H2215" s="210">
        <f t="shared" si="151"/>
        <v>12143.75</v>
      </c>
      <c r="L2215" s="200"/>
      <c r="M2215" s="200"/>
      <c r="N2215" s="200"/>
      <c r="O2215" s="200"/>
      <c r="P2215" s="200"/>
    </row>
    <row r="2216" spans="3:20" s="517" customFormat="1" ht="31.2" customHeight="1">
      <c r="C2216" s="537">
        <v>3</v>
      </c>
      <c r="D2216" s="196" t="s">
        <v>6948</v>
      </c>
      <c r="E2216" s="202" t="s">
        <v>2102</v>
      </c>
      <c r="F2216" s="520">
        <v>2.1999999999999999E-2</v>
      </c>
      <c r="G2216" s="205">
        <f>VLOOKUP(D2216,upahbahan,3,FALSE)</f>
        <v>218750</v>
      </c>
      <c r="H2216" s="210">
        <f t="shared" si="151"/>
        <v>4812.5</v>
      </c>
      <c r="L2216" s="200"/>
      <c r="M2216" s="200"/>
      <c r="N2216" s="200"/>
      <c r="O2216" s="200"/>
      <c r="P2216" s="200"/>
    </row>
    <row r="2217" spans="3:20" s="517" customFormat="1" ht="31.2" customHeight="1">
      <c r="C2217" s="537">
        <v>4</v>
      </c>
      <c r="D2217" s="196" t="s">
        <v>19</v>
      </c>
      <c r="E2217" s="202" t="s">
        <v>6</v>
      </c>
      <c r="F2217" s="520">
        <v>7.3000000000000001E-3</v>
      </c>
      <c r="G2217" s="205">
        <f>VLOOKUP(D2217,upahbahan,3,FALSE)</f>
        <v>160000</v>
      </c>
      <c r="H2217" s="210">
        <f t="shared" si="151"/>
        <v>1168</v>
      </c>
      <c r="L2217" s="200"/>
      <c r="M2217" s="200"/>
      <c r="N2217" s="200"/>
      <c r="O2217" s="200"/>
      <c r="P2217" s="200"/>
    </row>
    <row r="2218" spans="3:20" s="517" customFormat="1" ht="31.2" customHeight="1">
      <c r="C2218" s="207" t="s">
        <v>1208</v>
      </c>
      <c r="D2218" s="208"/>
      <c r="E2218" s="208"/>
      <c r="F2218" s="521"/>
      <c r="G2218" s="522"/>
      <c r="H2218" s="210">
        <f>SUM(H2214:H2217)</f>
        <v>24824.25</v>
      </c>
      <c r="L2218" s="523"/>
      <c r="M2218" s="523"/>
      <c r="N2218" s="523"/>
      <c r="O2218" s="523"/>
      <c r="P2218" s="523"/>
    </row>
    <row r="2219" spans="3:20" s="517" customFormat="1" ht="31.2" customHeight="1">
      <c r="C2219" s="543" t="s">
        <v>1209</v>
      </c>
      <c r="D2219" s="750" t="s">
        <v>1210</v>
      </c>
      <c r="E2219" s="197"/>
      <c r="F2219" s="751"/>
      <c r="G2219" s="197"/>
      <c r="H2219" s="752"/>
      <c r="L2219" s="200"/>
      <c r="M2219" s="200"/>
      <c r="N2219" s="200"/>
      <c r="O2219" s="200"/>
      <c r="P2219" s="200"/>
    </row>
    <row r="2220" spans="3:20" s="517" customFormat="1" ht="31.2" customHeight="1">
      <c r="C2220" s="543">
        <v>1</v>
      </c>
      <c r="D2220" s="750" t="s">
        <v>7105</v>
      </c>
      <c r="E2220" s="203" t="s">
        <v>44</v>
      </c>
      <c r="F2220" s="753">
        <v>1.05</v>
      </c>
      <c r="G2220" s="205">
        <f>VLOOKUP(D2220,upahbahan,3,FALSE)</f>
        <v>0</v>
      </c>
      <c r="H2220" s="210">
        <f t="shared" ref="H2220:H2228" si="152">F2220*G2220</f>
        <v>0</v>
      </c>
      <c r="L2220" s="200"/>
      <c r="M2220" s="200"/>
      <c r="N2220" s="200"/>
      <c r="O2220" s="200"/>
      <c r="P2220" s="200"/>
    </row>
    <row r="2221" spans="3:20" s="517" customFormat="1" ht="31.2" customHeight="1">
      <c r="C2221" s="543">
        <v>2</v>
      </c>
      <c r="D2221" s="750" t="s">
        <v>5563</v>
      </c>
      <c r="E2221" s="203" t="s">
        <v>65</v>
      </c>
      <c r="F2221" s="753">
        <v>0.01</v>
      </c>
      <c r="G2221" s="205">
        <f>VLOOKUP(D2221,upahbahan,3,FALSE)</f>
        <v>0</v>
      </c>
      <c r="H2221" s="210">
        <f t="shared" si="152"/>
        <v>0</v>
      </c>
      <c r="L2221" s="200"/>
      <c r="M2221" s="200"/>
      <c r="N2221" s="200"/>
      <c r="O2221" s="200"/>
      <c r="P2221" s="200"/>
    </row>
    <row r="2222" spans="3:20" s="517" customFormat="1" ht="31.2" customHeight="1">
      <c r="C2222" s="543">
        <v>3</v>
      </c>
      <c r="D2222" s="750" t="s">
        <v>5555</v>
      </c>
      <c r="E2222" s="203"/>
      <c r="F2222" s="753"/>
      <c r="G2222" s="197"/>
      <c r="H2222" s="210">
        <f t="shared" si="152"/>
        <v>0</v>
      </c>
      <c r="L2222" s="200"/>
      <c r="M2222" s="200"/>
      <c r="N2222" s="200"/>
      <c r="O2222" s="200"/>
      <c r="P2222" s="200"/>
    </row>
    <row r="2223" spans="3:20" s="517" customFormat="1" ht="31.2" customHeight="1">
      <c r="C2223" s="754" t="s">
        <v>5293</v>
      </c>
      <c r="D2223" s="750" t="s">
        <v>7053</v>
      </c>
      <c r="E2223" s="203" t="s">
        <v>113</v>
      </c>
      <c r="F2223" s="760">
        <v>12</v>
      </c>
      <c r="G2223" s="205">
        <f>VLOOKUP(D2223,upahbahan,3,FALSE)</f>
        <v>0</v>
      </c>
      <c r="H2223" s="210">
        <f t="shared" si="152"/>
        <v>0</v>
      </c>
      <c r="L2223" s="200"/>
      <c r="M2223" s="200"/>
      <c r="N2223" s="200"/>
      <c r="O2223" s="200"/>
      <c r="P2223" s="200"/>
    </row>
    <row r="2224" spans="3:20" s="517" customFormat="1" ht="31.2" customHeight="1">
      <c r="C2224" s="754" t="s">
        <v>5299</v>
      </c>
      <c r="D2224" s="750" t="s">
        <v>7055</v>
      </c>
      <c r="E2224" s="203" t="s">
        <v>113</v>
      </c>
      <c r="F2224" s="760">
        <v>10</v>
      </c>
      <c r="G2224" s="205">
        <f>VLOOKUP(D2224,upahbahan,3,FALSE)</f>
        <v>0</v>
      </c>
      <c r="H2224" s="210">
        <f t="shared" si="152"/>
        <v>0</v>
      </c>
      <c r="L2224" s="200"/>
      <c r="M2224" s="200"/>
      <c r="N2224" s="200"/>
      <c r="O2224" s="200"/>
      <c r="P2224" s="200"/>
    </row>
    <row r="2225" spans="3:20" s="517" customFormat="1" ht="31.2" customHeight="1">
      <c r="C2225" s="543">
        <v>4</v>
      </c>
      <c r="D2225" s="750" t="s">
        <v>5556</v>
      </c>
      <c r="E2225" s="203"/>
      <c r="F2225" s="753"/>
      <c r="G2225" s="197"/>
      <c r="H2225" s="210">
        <f t="shared" si="152"/>
        <v>0</v>
      </c>
      <c r="L2225" s="200"/>
      <c r="M2225" s="200"/>
      <c r="N2225" s="200"/>
      <c r="O2225" s="200"/>
      <c r="P2225" s="200"/>
    </row>
    <row r="2226" spans="3:20" s="517" customFormat="1" ht="31.2" customHeight="1">
      <c r="C2226" s="754" t="s">
        <v>5293</v>
      </c>
      <c r="D2226" s="750" t="s">
        <v>2084</v>
      </c>
      <c r="E2226" s="203" t="s">
        <v>42</v>
      </c>
      <c r="F2226" s="753">
        <v>7.2999999999999995E-2</v>
      </c>
      <c r="G2226" s="205">
        <f>VLOOKUP(D2226,upahbahan,3,FALSE)</f>
        <v>0</v>
      </c>
      <c r="H2226" s="210">
        <f t="shared" si="152"/>
        <v>0</v>
      </c>
      <c r="L2226" s="200"/>
      <c r="M2226" s="200"/>
      <c r="N2226" s="200"/>
      <c r="O2226" s="200"/>
      <c r="P2226" s="200"/>
    </row>
    <row r="2227" spans="3:20" s="517" customFormat="1" ht="31.2" customHeight="1">
      <c r="C2227" s="754" t="s">
        <v>5299</v>
      </c>
      <c r="D2227" s="750" t="s">
        <v>5566</v>
      </c>
      <c r="E2227" s="203" t="s">
        <v>42</v>
      </c>
      <c r="F2227" s="753">
        <v>0.02</v>
      </c>
      <c r="G2227" s="205">
        <f>VLOOKUP(D2227,upahbahan,3,FALSE)</f>
        <v>0</v>
      </c>
      <c r="H2227" s="210">
        <f t="shared" si="152"/>
        <v>0</v>
      </c>
      <c r="L2227" s="200"/>
      <c r="M2227" s="200"/>
      <c r="N2227" s="200"/>
      <c r="O2227" s="200"/>
      <c r="P2227" s="200"/>
    </row>
    <row r="2228" spans="3:20" s="517" customFormat="1" ht="31.2" customHeight="1">
      <c r="C2228" s="754" t="s">
        <v>5558</v>
      </c>
      <c r="D2228" s="750" t="s">
        <v>2325</v>
      </c>
      <c r="E2228" s="203" t="s">
        <v>42</v>
      </c>
      <c r="F2228" s="762">
        <v>5.0000000000000001E-3</v>
      </c>
      <c r="G2228" s="205">
        <f>VLOOKUP(D2228,upahbahan,3,FALSE)</f>
        <v>0</v>
      </c>
      <c r="H2228" s="210">
        <f t="shared" si="152"/>
        <v>0</v>
      </c>
      <c r="L2228" s="200"/>
      <c r="M2228" s="200"/>
      <c r="N2228" s="200"/>
      <c r="O2228" s="200"/>
      <c r="P2228" s="200"/>
    </row>
    <row r="2229" spans="3:20" s="517" customFormat="1" ht="31.2" customHeight="1">
      <c r="C2229" s="207" t="s">
        <v>1214</v>
      </c>
      <c r="D2229" s="208"/>
      <c r="E2229" s="568"/>
      <c r="F2229" s="208"/>
      <c r="G2229" s="209"/>
      <c r="H2229" s="210">
        <f>SUM(H2220:H2228)</f>
        <v>0</v>
      </c>
      <c r="L2229" s="200"/>
      <c r="M2229" s="200"/>
      <c r="N2229" s="200"/>
      <c r="O2229" s="200"/>
      <c r="P2229" s="200"/>
    </row>
    <row r="2230" spans="3:20" s="517" customFormat="1" ht="31.2" customHeight="1">
      <c r="C2230" s="756" t="s">
        <v>1215</v>
      </c>
      <c r="D2230" s="196" t="s">
        <v>1216</v>
      </c>
      <c r="E2230" s="203"/>
      <c r="F2230" s="197"/>
      <c r="G2230" s="197"/>
      <c r="H2230" s="198"/>
      <c r="L2230" s="200"/>
      <c r="M2230" s="200"/>
      <c r="N2230" s="200"/>
      <c r="O2230" s="200"/>
      <c r="P2230" s="200"/>
    </row>
    <row r="2231" spans="3:20" s="517" customFormat="1" ht="31.2" customHeight="1">
      <c r="C2231" s="207" t="s">
        <v>1217</v>
      </c>
      <c r="D2231" s="208"/>
      <c r="E2231" s="208"/>
      <c r="F2231" s="208"/>
      <c r="G2231" s="209"/>
      <c r="H2231" s="240">
        <f>SUM(H2230)</f>
        <v>0</v>
      </c>
      <c r="L2231" s="200"/>
      <c r="M2231" s="200"/>
      <c r="N2231" s="200"/>
      <c r="O2231" s="200"/>
      <c r="P2231" s="200"/>
    </row>
    <row r="2232" spans="3:20" s="517" customFormat="1" ht="31.2" customHeight="1">
      <c r="C2232" s="223" t="s">
        <v>1218</v>
      </c>
      <c r="D2232" s="224" t="s">
        <v>1219</v>
      </c>
      <c r="E2232" s="225"/>
      <c r="F2232" s="225"/>
      <c r="G2232" s="226"/>
      <c r="H2232" s="210">
        <f>H2231+H2229+H2218</f>
        <v>24824.25</v>
      </c>
      <c r="L2232" s="200"/>
      <c r="M2232" s="200"/>
      <c r="N2232" s="200"/>
      <c r="O2232" s="200"/>
      <c r="P2232" s="200"/>
    </row>
    <row r="2233" spans="3:20" s="517" customFormat="1" ht="31.2" customHeight="1">
      <c r="C2233" s="223" t="s">
        <v>1220</v>
      </c>
      <c r="D2233" s="224" t="s">
        <v>1321</v>
      </c>
      <c r="E2233" s="225"/>
      <c r="F2233" s="226"/>
      <c r="G2233" s="228">
        <v>0.1</v>
      </c>
      <c r="H2233" s="210">
        <f>H2232*G2233</f>
        <v>2482.4250000000002</v>
      </c>
      <c r="L2233" s="200"/>
      <c r="M2233" s="200"/>
      <c r="N2233" s="200"/>
      <c r="O2233" s="200"/>
      <c r="P2233" s="200"/>
    </row>
    <row r="2234" spans="3:20" s="517" customFormat="1" ht="31.2" customHeight="1" thickBot="1">
      <c r="C2234" s="229" t="s">
        <v>1221</v>
      </c>
      <c r="D2234" s="230" t="s">
        <v>1222</v>
      </c>
      <c r="E2234" s="231"/>
      <c r="F2234" s="231"/>
      <c r="G2234" s="232"/>
      <c r="H2234" s="233">
        <f>SUM(H2232:H2233)</f>
        <v>27306.674999999999</v>
      </c>
      <c r="L2234" s="200"/>
      <c r="M2234" s="200"/>
      <c r="N2234" s="200"/>
      <c r="O2234" s="200"/>
      <c r="P2234" s="200"/>
    </row>
    <row r="2235" spans="3:20" ht="31.2" customHeight="1" thickTop="1">
      <c r="D2235" s="758" t="s">
        <v>7086</v>
      </c>
    </row>
    <row r="2236" spans="3:20" ht="31.2" customHeight="1">
      <c r="C2236" s="757" t="s">
        <v>6950</v>
      </c>
      <c r="F2236" s="758"/>
      <c r="H2236" s="758" t="s">
        <v>6959</v>
      </c>
    </row>
    <row r="2237" spans="3:20" ht="31.2" customHeight="1">
      <c r="C2237" s="200" t="s">
        <v>6951</v>
      </c>
      <c r="F2237" s="758"/>
    </row>
    <row r="2238" spans="3:20" ht="31.2" customHeight="1">
      <c r="C2238" s="200" t="s">
        <v>6952</v>
      </c>
      <c r="F2238" s="758"/>
    </row>
    <row r="2239" spans="3:20" ht="31.2" customHeight="1"/>
    <row r="2240" spans="3:20" s="517" customFormat="1" ht="31.2" customHeight="1" thickBot="1">
      <c r="C2240" s="513" t="s">
        <v>7106</v>
      </c>
      <c r="D2240" s="748" t="s">
        <v>7107</v>
      </c>
      <c r="E2240" s="749"/>
      <c r="F2240" s="748"/>
      <c r="G2240" s="748"/>
      <c r="H2240" s="532"/>
      <c r="I2240" s="532"/>
      <c r="J2240" s="532"/>
      <c r="K2240" s="532"/>
      <c r="M2240" s="189"/>
      <c r="N2240" s="189"/>
      <c r="O2240" s="189"/>
      <c r="P2240" s="189"/>
      <c r="R2240" s="189">
        <f>ROUNDDOWN(H2263,-2)</f>
        <v>27300</v>
      </c>
      <c r="S2240" s="517" t="s">
        <v>6451</v>
      </c>
      <c r="T2240" s="517" t="s">
        <v>7014</v>
      </c>
    </row>
    <row r="2241" spans="3:16" s="517" customFormat="1" ht="31.2" customHeight="1" thickTop="1">
      <c r="C2241" s="190" t="s">
        <v>1195</v>
      </c>
      <c r="D2241" s="191" t="s">
        <v>1196</v>
      </c>
      <c r="E2241" s="191" t="s">
        <v>1197</v>
      </c>
      <c r="F2241" s="191" t="s">
        <v>1198</v>
      </c>
      <c r="G2241" s="191" t="s">
        <v>1199</v>
      </c>
      <c r="H2241" s="192" t="s">
        <v>1200</v>
      </c>
      <c r="L2241" s="200"/>
      <c r="M2241" s="200"/>
      <c r="N2241" s="200"/>
      <c r="O2241" s="200"/>
      <c r="P2241" s="200"/>
    </row>
    <row r="2242" spans="3:16" s="517" customFormat="1" ht="31.2" customHeight="1">
      <c r="C2242" s="518" t="s">
        <v>1201</v>
      </c>
      <c r="D2242" s="196" t="s">
        <v>1202</v>
      </c>
      <c r="E2242" s="197"/>
      <c r="F2242" s="197"/>
      <c r="G2242" s="197"/>
      <c r="H2242" s="198"/>
      <c r="L2242" s="200"/>
      <c r="M2242" s="200"/>
      <c r="N2242" s="200"/>
      <c r="O2242" s="200"/>
      <c r="P2242" s="200"/>
    </row>
    <row r="2243" spans="3:16" s="517" customFormat="1" ht="31.2" customHeight="1">
      <c r="C2243" s="518">
        <v>1</v>
      </c>
      <c r="D2243" s="196" t="s">
        <v>5</v>
      </c>
      <c r="E2243" s="203" t="s">
        <v>2102</v>
      </c>
      <c r="F2243" s="763">
        <v>6.7000000000000004E-2</v>
      </c>
      <c r="G2243" s="205">
        <f>VLOOKUP(D2243,upahbahan,3,FALSE)</f>
        <v>100000</v>
      </c>
      <c r="H2243" s="210">
        <f t="shared" ref="H2243:H2246" si="153">F2243*G2243</f>
        <v>6700</v>
      </c>
      <c r="L2243" s="200"/>
      <c r="M2243" s="200"/>
      <c r="N2243" s="200"/>
      <c r="O2243" s="200"/>
      <c r="P2243" s="200"/>
    </row>
    <row r="2244" spans="3:16" s="517" customFormat="1" ht="31.2" customHeight="1">
      <c r="C2244" s="537">
        <v>2</v>
      </c>
      <c r="D2244" s="196" t="s">
        <v>6954</v>
      </c>
      <c r="E2244" s="202" t="s">
        <v>6</v>
      </c>
      <c r="F2244" s="520">
        <v>6.7000000000000004E-2</v>
      </c>
      <c r="G2244" s="205">
        <f>VLOOKUP(D2244,upahbahan,3,FALSE)</f>
        <v>181250</v>
      </c>
      <c r="H2244" s="210">
        <f t="shared" si="153"/>
        <v>12143.75</v>
      </c>
      <c r="L2244" s="200"/>
      <c r="M2244" s="200"/>
      <c r="N2244" s="200"/>
      <c r="O2244" s="200"/>
      <c r="P2244" s="200"/>
    </row>
    <row r="2245" spans="3:16" s="517" customFormat="1" ht="31.2" customHeight="1">
      <c r="C2245" s="537">
        <v>3</v>
      </c>
      <c r="D2245" s="196" t="s">
        <v>6948</v>
      </c>
      <c r="E2245" s="202" t="s">
        <v>2102</v>
      </c>
      <c r="F2245" s="520">
        <v>2.1999999999999999E-2</v>
      </c>
      <c r="G2245" s="205">
        <f>VLOOKUP(D2245,upahbahan,3,FALSE)</f>
        <v>218750</v>
      </c>
      <c r="H2245" s="210">
        <f t="shared" si="153"/>
        <v>4812.5</v>
      </c>
      <c r="L2245" s="200"/>
      <c r="M2245" s="200"/>
      <c r="N2245" s="200"/>
      <c r="O2245" s="200"/>
      <c r="P2245" s="200"/>
    </row>
    <row r="2246" spans="3:16" s="517" customFormat="1" ht="31.2" customHeight="1">
      <c r="C2246" s="537">
        <v>4</v>
      </c>
      <c r="D2246" s="196" t="s">
        <v>19</v>
      </c>
      <c r="E2246" s="202" t="s">
        <v>6</v>
      </c>
      <c r="F2246" s="520">
        <v>7.3000000000000001E-3</v>
      </c>
      <c r="G2246" s="205">
        <f>VLOOKUP(D2246,upahbahan,3,FALSE)</f>
        <v>160000</v>
      </c>
      <c r="H2246" s="210">
        <f t="shared" si="153"/>
        <v>1168</v>
      </c>
      <c r="L2246" s="200"/>
      <c r="M2246" s="200"/>
      <c r="N2246" s="200"/>
      <c r="O2246" s="200"/>
      <c r="P2246" s="200"/>
    </row>
    <row r="2247" spans="3:16" s="517" customFormat="1" ht="31.2" customHeight="1">
      <c r="C2247" s="207" t="s">
        <v>1208</v>
      </c>
      <c r="D2247" s="208"/>
      <c r="E2247" s="208"/>
      <c r="F2247" s="521"/>
      <c r="G2247" s="522"/>
      <c r="H2247" s="210">
        <f>SUM(H2243:H2246)</f>
        <v>24824.25</v>
      </c>
      <c r="L2247" s="523"/>
      <c r="M2247" s="523"/>
      <c r="N2247" s="523"/>
      <c r="O2247" s="523"/>
      <c r="P2247" s="523"/>
    </row>
    <row r="2248" spans="3:16" s="517" customFormat="1" ht="31.2" customHeight="1">
      <c r="C2248" s="543" t="s">
        <v>1209</v>
      </c>
      <c r="D2248" s="750" t="s">
        <v>1210</v>
      </c>
      <c r="E2248" s="197"/>
      <c r="F2248" s="751"/>
      <c r="G2248" s="197"/>
      <c r="H2248" s="752"/>
      <c r="L2248" s="200"/>
      <c r="M2248" s="200"/>
      <c r="N2248" s="200"/>
      <c r="O2248" s="200"/>
      <c r="P2248" s="200"/>
    </row>
    <row r="2249" spans="3:16" s="517" customFormat="1" ht="31.2" customHeight="1">
      <c r="C2249" s="543">
        <v>1</v>
      </c>
      <c r="D2249" s="750" t="s">
        <v>7108</v>
      </c>
      <c r="E2249" s="203" t="s">
        <v>44</v>
      </c>
      <c r="F2249" s="753">
        <v>1.05</v>
      </c>
      <c r="G2249" s="205">
        <f>VLOOKUP(D2249,upahbahan,3,FALSE)</f>
        <v>0</v>
      </c>
      <c r="H2249" s="210">
        <f t="shared" ref="H2249:H2257" si="154">F2249*G2249</f>
        <v>0</v>
      </c>
      <c r="L2249" s="200"/>
      <c r="M2249" s="200"/>
      <c r="N2249" s="200"/>
      <c r="O2249" s="200"/>
      <c r="P2249" s="200"/>
    </row>
    <row r="2250" spans="3:16" s="517" customFormat="1" ht="31.2" customHeight="1">
      <c r="C2250" s="543">
        <v>2</v>
      </c>
      <c r="D2250" s="750" t="s">
        <v>5563</v>
      </c>
      <c r="E2250" s="203" t="s">
        <v>65</v>
      </c>
      <c r="F2250" s="753">
        <v>0.01</v>
      </c>
      <c r="G2250" s="205">
        <f>VLOOKUP(D2250,upahbahan,3,FALSE)</f>
        <v>0</v>
      </c>
      <c r="H2250" s="210">
        <f t="shared" si="154"/>
        <v>0</v>
      </c>
      <c r="L2250" s="200"/>
      <c r="M2250" s="200"/>
      <c r="N2250" s="200"/>
      <c r="O2250" s="200"/>
      <c r="P2250" s="200"/>
    </row>
    <row r="2251" spans="3:16" s="517" customFormat="1" ht="31.2" customHeight="1">
      <c r="C2251" s="543">
        <v>3</v>
      </c>
      <c r="D2251" s="750" t="s">
        <v>5555</v>
      </c>
      <c r="E2251" s="203"/>
      <c r="F2251" s="753"/>
      <c r="G2251" s="197"/>
      <c r="H2251" s="210">
        <f t="shared" si="154"/>
        <v>0</v>
      </c>
      <c r="L2251" s="200"/>
      <c r="M2251" s="200"/>
      <c r="N2251" s="200"/>
      <c r="O2251" s="200"/>
      <c r="P2251" s="200"/>
    </row>
    <row r="2252" spans="3:16" s="517" customFormat="1" ht="31.2" customHeight="1">
      <c r="C2252" s="754" t="s">
        <v>5293</v>
      </c>
      <c r="D2252" s="750" t="s">
        <v>7053</v>
      </c>
      <c r="E2252" s="203" t="s">
        <v>113</v>
      </c>
      <c r="F2252" s="760">
        <v>12</v>
      </c>
      <c r="G2252" s="205">
        <f>VLOOKUP(D2252,upahbahan,3,FALSE)</f>
        <v>0</v>
      </c>
      <c r="H2252" s="210">
        <f t="shared" si="154"/>
        <v>0</v>
      </c>
      <c r="L2252" s="200"/>
      <c r="M2252" s="200"/>
      <c r="N2252" s="200"/>
      <c r="O2252" s="200"/>
      <c r="P2252" s="200"/>
    </row>
    <row r="2253" spans="3:16" s="517" customFormat="1" ht="31.2" customHeight="1">
      <c r="C2253" s="754" t="s">
        <v>5299</v>
      </c>
      <c r="D2253" s="750" t="s">
        <v>7055</v>
      </c>
      <c r="E2253" s="203" t="s">
        <v>113</v>
      </c>
      <c r="F2253" s="760">
        <v>10</v>
      </c>
      <c r="G2253" s="205">
        <f>VLOOKUP(D2253,upahbahan,3,FALSE)</f>
        <v>0</v>
      </c>
      <c r="H2253" s="210">
        <f t="shared" si="154"/>
        <v>0</v>
      </c>
      <c r="L2253" s="200"/>
      <c r="M2253" s="200"/>
      <c r="N2253" s="200"/>
      <c r="O2253" s="200"/>
      <c r="P2253" s="200"/>
    </row>
    <row r="2254" spans="3:16" s="517" customFormat="1" ht="31.2" customHeight="1">
      <c r="C2254" s="543">
        <v>4</v>
      </c>
      <c r="D2254" s="750" t="s">
        <v>5556</v>
      </c>
      <c r="E2254" s="203"/>
      <c r="F2254" s="753"/>
      <c r="G2254" s="197"/>
      <c r="H2254" s="210">
        <f t="shared" si="154"/>
        <v>0</v>
      </c>
      <c r="L2254" s="200"/>
      <c r="M2254" s="200"/>
      <c r="N2254" s="200"/>
      <c r="O2254" s="200"/>
      <c r="P2254" s="200"/>
    </row>
    <row r="2255" spans="3:16" s="517" customFormat="1" ht="31.2" customHeight="1">
      <c r="C2255" s="754" t="s">
        <v>5293</v>
      </c>
      <c r="D2255" s="750" t="s">
        <v>2084</v>
      </c>
      <c r="E2255" s="203" t="s">
        <v>42</v>
      </c>
      <c r="F2255" s="753">
        <v>7.2999999999999995E-2</v>
      </c>
      <c r="G2255" s="205">
        <f>VLOOKUP(D2255,upahbahan,3,FALSE)</f>
        <v>0</v>
      </c>
      <c r="H2255" s="210">
        <f t="shared" si="154"/>
        <v>0</v>
      </c>
      <c r="L2255" s="200"/>
      <c r="M2255" s="200"/>
      <c r="N2255" s="200"/>
      <c r="O2255" s="200"/>
      <c r="P2255" s="200"/>
    </row>
    <row r="2256" spans="3:16" s="517" customFormat="1" ht="31.2" customHeight="1">
      <c r="C2256" s="754" t="s">
        <v>5299</v>
      </c>
      <c r="D2256" s="750" t="s">
        <v>5566</v>
      </c>
      <c r="E2256" s="203" t="s">
        <v>42</v>
      </c>
      <c r="F2256" s="753">
        <v>0.02</v>
      </c>
      <c r="G2256" s="205">
        <f>VLOOKUP(D2256,upahbahan,3,FALSE)</f>
        <v>0</v>
      </c>
      <c r="H2256" s="210">
        <f t="shared" si="154"/>
        <v>0</v>
      </c>
      <c r="L2256" s="200"/>
      <c r="M2256" s="200"/>
      <c r="N2256" s="200"/>
      <c r="O2256" s="200"/>
      <c r="P2256" s="200"/>
    </row>
    <row r="2257" spans="3:20" s="517" customFormat="1" ht="31.2" customHeight="1">
      <c r="C2257" s="754" t="s">
        <v>5558</v>
      </c>
      <c r="D2257" s="750" t="s">
        <v>2325</v>
      </c>
      <c r="E2257" s="203" t="s">
        <v>42</v>
      </c>
      <c r="F2257" s="762">
        <v>5.0000000000000001E-3</v>
      </c>
      <c r="G2257" s="205">
        <f>VLOOKUP(D2257,upahbahan,3,FALSE)</f>
        <v>0</v>
      </c>
      <c r="H2257" s="210">
        <f t="shared" si="154"/>
        <v>0</v>
      </c>
      <c r="L2257" s="200"/>
      <c r="M2257" s="200"/>
      <c r="N2257" s="200"/>
      <c r="O2257" s="200"/>
      <c r="P2257" s="200"/>
    </row>
    <row r="2258" spans="3:20" s="517" customFormat="1" ht="31.2" customHeight="1">
      <c r="C2258" s="207" t="s">
        <v>1214</v>
      </c>
      <c r="D2258" s="208"/>
      <c r="E2258" s="568"/>
      <c r="F2258" s="208"/>
      <c r="G2258" s="209"/>
      <c r="H2258" s="210">
        <f>SUM(H2249:H2257)</f>
        <v>0</v>
      </c>
      <c r="L2258" s="200"/>
      <c r="M2258" s="200"/>
      <c r="N2258" s="200"/>
      <c r="O2258" s="200"/>
      <c r="P2258" s="200"/>
    </row>
    <row r="2259" spans="3:20" s="517" customFormat="1" ht="31.2" customHeight="1">
      <c r="C2259" s="756" t="s">
        <v>1215</v>
      </c>
      <c r="D2259" s="196" t="s">
        <v>1216</v>
      </c>
      <c r="E2259" s="203"/>
      <c r="F2259" s="197"/>
      <c r="G2259" s="197"/>
      <c r="H2259" s="198"/>
      <c r="L2259" s="200"/>
      <c r="M2259" s="200"/>
      <c r="N2259" s="200"/>
      <c r="O2259" s="200"/>
      <c r="P2259" s="200"/>
    </row>
    <row r="2260" spans="3:20" s="517" customFormat="1" ht="31.2" customHeight="1">
      <c r="C2260" s="207" t="s">
        <v>1217</v>
      </c>
      <c r="D2260" s="208"/>
      <c r="E2260" s="208"/>
      <c r="F2260" s="208"/>
      <c r="G2260" s="209"/>
      <c r="H2260" s="240">
        <f>SUM(H2259)</f>
        <v>0</v>
      </c>
      <c r="L2260" s="200"/>
      <c r="M2260" s="200"/>
      <c r="N2260" s="200"/>
      <c r="O2260" s="200"/>
      <c r="P2260" s="200"/>
    </row>
    <row r="2261" spans="3:20" s="517" customFormat="1" ht="31.2" customHeight="1">
      <c r="C2261" s="223" t="s">
        <v>1218</v>
      </c>
      <c r="D2261" s="224" t="s">
        <v>1219</v>
      </c>
      <c r="E2261" s="225"/>
      <c r="F2261" s="225"/>
      <c r="G2261" s="226"/>
      <c r="H2261" s="210">
        <f>H2260+H2258+H2247</f>
        <v>24824.25</v>
      </c>
      <c r="L2261" s="200"/>
      <c r="M2261" s="200"/>
      <c r="N2261" s="200"/>
      <c r="O2261" s="200"/>
      <c r="P2261" s="200"/>
    </row>
    <row r="2262" spans="3:20" s="517" customFormat="1" ht="31.2" customHeight="1">
      <c r="C2262" s="223" t="s">
        <v>1220</v>
      </c>
      <c r="D2262" s="224" t="s">
        <v>1321</v>
      </c>
      <c r="E2262" s="225"/>
      <c r="F2262" s="226"/>
      <c r="G2262" s="228">
        <v>0.1</v>
      </c>
      <c r="H2262" s="210">
        <f>H2261*G2262</f>
        <v>2482.4250000000002</v>
      </c>
      <c r="L2262" s="200"/>
      <c r="M2262" s="200"/>
      <c r="N2262" s="200"/>
      <c r="O2262" s="200"/>
      <c r="P2262" s="200"/>
    </row>
    <row r="2263" spans="3:20" s="517" customFormat="1" ht="31.2" customHeight="1" thickBot="1">
      <c r="C2263" s="229" t="s">
        <v>1221</v>
      </c>
      <c r="D2263" s="230" t="s">
        <v>1222</v>
      </c>
      <c r="E2263" s="231"/>
      <c r="F2263" s="231"/>
      <c r="G2263" s="232"/>
      <c r="H2263" s="233">
        <f>SUM(H2261:H2262)</f>
        <v>27306.674999999999</v>
      </c>
      <c r="L2263" s="200"/>
      <c r="M2263" s="200"/>
      <c r="N2263" s="200"/>
      <c r="O2263" s="200"/>
      <c r="P2263" s="200"/>
    </row>
    <row r="2264" spans="3:20" ht="31.2" customHeight="1" thickTop="1">
      <c r="D2264" s="758" t="s">
        <v>7086</v>
      </c>
    </row>
    <row r="2265" spans="3:20" ht="31.2" customHeight="1">
      <c r="C2265" s="757" t="s">
        <v>6950</v>
      </c>
      <c r="F2265" s="758"/>
      <c r="H2265" s="758" t="s">
        <v>6959</v>
      </c>
    </row>
    <row r="2266" spans="3:20" ht="31.2" customHeight="1">
      <c r="C2266" s="200" t="s">
        <v>6951</v>
      </c>
      <c r="F2266" s="758"/>
    </row>
    <row r="2267" spans="3:20" ht="31.2" customHeight="1">
      <c r="C2267" s="200" t="s">
        <v>6952</v>
      </c>
      <c r="F2267" s="758"/>
    </row>
    <row r="2268" spans="3:20" ht="31.2" customHeight="1"/>
    <row r="2269" spans="3:20" s="517" customFormat="1" ht="31.2" customHeight="1" thickBot="1">
      <c r="C2269" s="513" t="s">
        <v>7109</v>
      </c>
      <c r="D2269" s="748" t="s">
        <v>7110</v>
      </c>
      <c r="E2269" s="749"/>
      <c r="F2269" s="748"/>
      <c r="G2269" s="748"/>
      <c r="H2269" s="532"/>
      <c r="I2269" s="532"/>
      <c r="J2269" s="532"/>
      <c r="K2269" s="532"/>
      <c r="M2269" s="189"/>
      <c r="N2269" s="189"/>
      <c r="O2269" s="189"/>
      <c r="P2269" s="189"/>
      <c r="R2269" s="189">
        <f>ROUNDDOWN(H2292,-2)</f>
        <v>27300</v>
      </c>
      <c r="S2269" s="517" t="s">
        <v>6451</v>
      </c>
      <c r="T2269" s="517" t="s">
        <v>7014</v>
      </c>
    </row>
    <row r="2270" spans="3:20" s="517" customFormat="1" ht="31.2" customHeight="1" thickTop="1">
      <c r="C2270" s="190" t="s">
        <v>1195</v>
      </c>
      <c r="D2270" s="191" t="s">
        <v>1196</v>
      </c>
      <c r="E2270" s="191" t="s">
        <v>1197</v>
      </c>
      <c r="F2270" s="191" t="s">
        <v>1198</v>
      </c>
      <c r="G2270" s="191" t="s">
        <v>1199</v>
      </c>
      <c r="H2270" s="192" t="s">
        <v>1200</v>
      </c>
      <c r="L2270" s="200"/>
      <c r="M2270" s="200"/>
      <c r="N2270" s="200"/>
      <c r="O2270" s="200"/>
      <c r="P2270" s="200"/>
    </row>
    <row r="2271" spans="3:20" s="517" customFormat="1" ht="31.2" customHeight="1">
      <c r="C2271" s="518" t="s">
        <v>1201</v>
      </c>
      <c r="D2271" s="196" t="s">
        <v>1202</v>
      </c>
      <c r="E2271" s="197"/>
      <c r="F2271" s="197"/>
      <c r="G2271" s="197"/>
      <c r="H2271" s="198"/>
      <c r="L2271" s="200"/>
      <c r="M2271" s="200"/>
      <c r="N2271" s="200"/>
      <c r="O2271" s="200"/>
      <c r="P2271" s="200"/>
    </row>
    <row r="2272" spans="3:20" s="517" customFormat="1" ht="31.2" customHeight="1">
      <c r="C2272" s="518">
        <v>1</v>
      </c>
      <c r="D2272" s="196" t="s">
        <v>5</v>
      </c>
      <c r="E2272" s="203" t="s">
        <v>2102</v>
      </c>
      <c r="F2272" s="763">
        <v>6.7000000000000004E-2</v>
      </c>
      <c r="G2272" s="205">
        <f>VLOOKUP(D2272,upahbahan,3,FALSE)</f>
        <v>100000</v>
      </c>
      <c r="H2272" s="210">
        <f t="shared" ref="H2272:H2275" si="155">F2272*G2272</f>
        <v>6700</v>
      </c>
      <c r="L2272" s="200"/>
      <c r="M2272" s="200"/>
      <c r="N2272" s="200"/>
      <c r="O2272" s="200"/>
      <c r="P2272" s="200"/>
    </row>
    <row r="2273" spans="3:16" s="517" customFormat="1" ht="31.2" customHeight="1">
      <c r="C2273" s="537">
        <v>2</v>
      </c>
      <c r="D2273" s="196" t="s">
        <v>6954</v>
      </c>
      <c r="E2273" s="202" t="s">
        <v>6</v>
      </c>
      <c r="F2273" s="520">
        <v>6.7000000000000004E-2</v>
      </c>
      <c r="G2273" s="205">
        <f>VLOOKUP(D2273,upahbahan,3,FALSE)</f>
        <v>181250</v>
      </c>
      <c r="H2273" s="210">
        <f t="shared" si="155"/>
        <v>12143.75</v>
      </c>
      <c r="L2273" s="200"/>
      <c r="M2273" s="200"/>
      <c r="N2273" s="200"/>
      <c r="O2273" s="200"/>
      <c r="P2273" s="200"/>
    </row>
    <row r="2274" spans="3:16" s="517" customFormat="1" ht="31.2" customHeight="1">
      <c r="C2274" s="537">
        <v>3</v>
      </c>
      <c r="D2274" s="196" t="s">
        <v>6948</v>
      </c>
      <c r="E2274" s="202" t="s">
        <v>2102</v>
      </c>
      <c r="F2274" s="520">
        <v>2.1999999999999999E-2</v>
      </c>
      <c r="G2274" s="205">
        <f>VLOOKUP(D2274,upahbahan,3,FALSE)</f>
        <v>218750</v>
      </c>
      <c r="H2274" s="210">
        <f t="shared" si="155"/>
        <v>4812.5</v>
      </c>
      <c r="L2274" s="200"/>
      <c r="M2274" s="200"/>
      <c r="N2274" s="200"/>
      <c r="O2274" s="200"/>
      <c r="P2274" s="200"/>
    </row>
    <row r="2275" spans="3:16" s="517" customFormat="1" ht="31.2" customHeight="1">
      <c r="C2275" s="537">
        <v>4</v>
      </c>
      <c r="D2275" s="196" t="s">
        <v>19</v>
      </c>
      <c r="E2275" s="202" t="s">
        <v>6</v>
      </c>
      <c r="F2275" s="520">
        <v>7.3000000000000001E-3</v>
      </c>
      <c r="G2275" s="205">
        <f>VLOOKUP(D2275,upahbahan,3,FALSE)</f>
        <v>160000</v>
      </c>
      <c r="H2275" s="210">
        <f t="shared" si="155"/>
        <v>1168</v>
      </c>
      <c r="L2275" s="200"/>
      <c r="M2275" s="200"/>
      <c r="N2275" s="200"/>
      <c r="O2275" s="200"/>
      <c r="P2275" s="200"/>
    </row>
    <row r="2276" spans="3:16" s="517" customFormat="1" ht="31.2" customHeight="1">
      <c r="C2276" s="207" t="s">
        <v>1208</v>
      </c>
      <c r="D2276" s="208"/>
      <c r="E2276" s="208"/>
      <c r="F2276" s="521"/>
      <c r="G2276" s="522"/>
      <c r="H2276" s="210">
        <f>SUM(H2272:H2275)</f>
        <v>24824.25</v>
      </c>
      <c r="L2276" s="523"/>
      <c r="M2276" s="523"/>
      <c r="N2276" s="523"/>
      <c r="O2276" s="523"/>
      <c r="P2276" s="523"/>
    </row>
    <row r="2277" spans="3:16" s="517" customFormat="1" ht="31.2" customHeight="1">
      <c r="C2277" s="543" t="s">
        <v>1209</v>
      </c>
      <c r="D2277" s="750" t="s">
        <v>1210</v>
      </c>
      <c r="E2277" s="197"/>
      <c r="F2277" s="751"/>
      <c r="G2277" s="197"/>
      <c r="H2277" s="752"/>
      <c r="L2277" s="200"/>
      <c r="M2277" s="200"/>
      <c r="N2277" s="200"/>
      <c r="O2277" s="200"/>
      <c r="P2277" s="200"/>
    </row>
    <row r="2278" spans="3:16" s="517" customFormat="1" ht="31.2" customHeight="1">
      <c r="C2278" s="543">
        <v>1</v>
      </c>
      <c r="D2278" s="750" t="s">
        <v>7111</v>
      </c>
      <c r="E2278" s="203" t="s">
        <v>44</v>
      </c>
      <c r="F2278" s="753">
        <v>1.05</v>
      </c>
      <c r="G2278" s="205">
        <f>VLOOKUP(D2278,upahbahan,3,FALSE)</f>
        <v>0</v>
      </c>
      <c r="H2278" s="210">
        <f t="shared" ref="H2278:H2286" si="156">F2278*G2278</f>
        <v>0</v>
      </c>
      <c r="L2278" s="200"/>
      <c r="M2278" s="200"/>
      <c r="N2278" s="200"/>
      <c r="O2278" s="200"/>
      <c r="P2278" s="200"/>
    </row>
    <row r="2279" spans="3:16" s="517" customFormat="1" ht="31.2" customHeight="1">
      <c r="C2279" s="543">
        <v>2</v>
      </c>
      <c r="D2279" s="750" t="s">
        <v>5563</v>
      </c>
      <c r="E2279" s="203" t="s">
        <v>65</v>
      </c>
      <c r="F2279" s="753">
        <v>0.01</v>
      </c>
      <c r="G2279" s="205">
        <f>VLOOKUP(D2279,upahbahan,3,FALSE)</f>
        <v>0</v>
      </c>
      <c r="H2279" s="210">
        <f t="shared" si="156"/>
        <v>0</v>
      </c>
      <c r="L2279" s="200"/>
      <c r="M2279" s="200"/>
      <c r="N2279" s="200"/>
      <c r="O2279" s="200"/>
      <c r="P2279" s="200"/>
    </row>
    <row r="2280" spans="3:16" s="517" customFormat="1" ht="31.2" customHeight="1">
      <c r="C2280" s="543">
        <v>3</v>
      </c>
      <c r="D2280" s="750" t="s">
        <v>5555</v>
      </c>
      <c r="E2280" s="203"/>
      <c r="F2280" s="753"/>
      <c r="G2280" s="197"/>
      <c r="H2280" s="210">
        <f t="shared" si="156"/>
        <v>0</v>
      </c>
      <c r="L2280" s="200"/>
      <c r="M2280" s="200"/>
      <c r="N2280" s="200"/>
      <c r="O2280" s="200"/>
      <c r="P2280" s="200"/>
    </row>
    <row r="2281" spans="3:16" s="517" customFormat="1" ht="31.2" customHeight="1">
      <c r="C2281" s="754" t="s">
        <v>5293</v>
      </c>
      <c r="D2281" s="750" t="s">
        <v>7053</v>
      </c>
      <c r="E2281" s="203" t="s">
        <v>113</v>
      </c>
      <c r="F2281" s="760">
        <v>12</v>
      </c>
      <c r="G2281" s="205">
        <f>VLOOKUP(D2281,upahbahan,3,FALSE)</f>
        <v>0</v>
      </c>
      <c r="H2281" s="210">
        <f t="shared" si="156"/>
        <v>0</v>
      </c>
      <c r="L2281" s="200"/>
      <c r="M2281" s="200"/>
      <c r="N2281" s="200"/>
      <c r="O2281" s="200"/>
      <c r="P2281" s="200"/>
    </row>
    <row r="2282" spans="3:16" s="517" customFormat="1" ht="31.2" customHeight="1">
      <c r="C2282" s="754" t="s">
        <v>5299</v>
      </c>
      <c r="D2282" s="750" t="s">
        <v>7055</v>
      </c>
      <c r="E2282" s="203" t="s">
        <v>113</v>
      </c>
      <c r="F2282" s="760">
        <v>10</v>
      </c>
      <c r="G2282" s="205">
        <f>VLOOKUP(D2282,upahbahan,3,FALSE)</f>
        <v>0</v>
      </c>
      <c r="H2282" s="210">
        <f t="shared" si="156"/>
        <v>0</v>
      </c>
      <c r="L2282" s="200"/>
      <c r="M2282" s="200"/>
      <c r="N2282" s="200"/>
      <c r="O2282" s="200"/>
      <c r="P2282" s="200"/>
    </row>
    <row r="2283" spans="3:16" s="517" customFormat="1" ht="31.2" customHeight="1">
      <c r="C2283" s="543">
        <v>4</v>
      </c>
      <c r="D2283" s="750" t="s">
        <v>5556</v>
      </c>
      <c r="E2283" s="203"/>
      <c r="F2283" s="753"/>
      <c r="G2283" s="197"/>
      <c r="H2283" s="210">
        <f t="shared" si="156"/>
        <v>0</v>
      </c>
      <c r="L2283" s="200"/>
      <c r="M2283" s="200"/>
      <c r="N2283" s="200"/>
      <c r="O2283" s="200"/>
      <c r="P2283" s="200"/>
    </row>
    <row r="2284" spans="3:16" s="517" customFormat="1" ht="31.2" customHeight="1">
      <c r="C2284" s="754" t="s">
        <v>5293</v>
      </c>
      <c r="D2284" s="750" t="s">
        <v>2084</v>
      </c>
      <c r="E2284" s="203" t="s">
        <v>42</v>
      </c>
      <c r="F2284" s="753">
        <v>7.2999999999999995E-2</v>
      </c>
      <c r="G2284" s="205">
        <f>VLOOKUP(D2284,upahbahan,3,FALSE)</f>
        <v>0</v>
      </c>
      <c r="H2284" s="210">
        <f t="shared" si="156"/>
        <v>0</v>
      </c>
      <c r="L2284" s="200"/>
      <c r="M2284" s="200"/>
      <c r="N2284" s="200"/>
      <c r="O2284" s="200"/>
      <c r="P2284" s="200"/>
    </row>
    <row r="2285" spans="3:16" s="517" customFormat="1" ht="31.2" customHeight="1">
      <c r="C2285" s="754" t="s">
        <v>5299</v>
      </c>
      <c r="D2285" s="750" t="s">
        <v>5566</v>
      </c>
      <c r="E2285" s="203" t="s">
        <v>42</v>
      </c>
      <c r="F2285" s="753">
        <v>0.02</v>
      </c>
      <c r="G2285" s="205">
        <f>VLOOKUP(D2285,upahbahan,3,FALSE)</f>
        <v>0</v>
      </c>
      <c r="H2285" s="210">
        <f t="shared" si="156"/>
        <v>0</v>
      </c>
      <c r="L2285" s="200"/>
      <c r="M2285" s="200"/>
      <c r="N2285" s="200"/>
      <c r="O2285" s="200"/>
      <c r="P2285" s="200"/>
    </row>
    <row r="2286" spans="3:16" s="517" customFormat="1" ht="31.2" customHeight="1">
      <c r="C2286" s="754" t="s">
        <v>5558</v>
      </c>
      <c r="D2286" s="750" t="s">
        <v>2325</v>
      </c>
      <c r="E2286" s="203" t="s">
        <v>42</v>
      </c>
      <c r="F2286" s="762">
        <v>5.0000000000000001E-3</v>
      </c>
      <c r="G2286" s="205">
        <f>VLOOKUP(D2286,upahbahan,3,FALSE)</f>
        <v>0</v>
      </c>
      <c r="H2286" s="210">
        <f t="shared" si="156"/>
        <v>0</v>
      </c>
      <c r="L2286" s="200"/>
      <c r="M2286" s="200"/>
      <c r="N2286" s="200"/>
      <c r="O2286" s="200"/>
      <c r="P2286" s="200"/>
    </row>
    <row r="2287" spans="3:16" s="517" customFormat="1" ht="31.2" customHeight="1">
      <c r="C2287" s="207" t="s">
        <v>1214</v>
      </c>
      <c r="D2287" s="208"/>
      <c r="E2287" s="568"/>
      <c r="F2287" s="208"/>
      <c r="G2287" s="209"/>
      <c r="H2287" s="210">
        <f>SUM(H2278:H2286)</f>
        <v>0</v>
      </c>
      <c r="L2287" s="200"/>
      <c r="M2287" s="200"/>
      <c r="N2287" s="200"/>
      <c r="O2287" s="200"/>
      <c r="P2287" s="200"/>
    </row>
    <row r="2288" spans="3:16" s="517" customFormat="1" ht="31.2" customHeight="1">
      <c r="C2288" s="756" t="s">
        <v>1215</v>
      </c>
      <c r="D2288" s="196" t="s">
        <v>1216</v>
      </c>
      <c r="E2288" s="203"/>
      <c r="F2288" s="197"/>
      <c r="G2288" s="197"/>
      <c r="H2288" s="198"/>
      <c r="L2288" s="200"/>
      <c r="M2288" s="200"/>
      <c r="N2288" s="200"/>
      <c r="O2288" s="200"/>
      <c r="P2288" s="200"/>
    </row>
    <row r="2289" spans="3:20" s="517" customFormat="1" ht="31.2" customHeight="1">
      <c r="C2289" s="207" t="s">
        <v>1217</v>
      </c>
      <c r="D2289" s="208"/>
      <c r="E2289" s="208"/>
      <c r="F2289" s="208"/>
      <c r="G2289" s="209"/>
      <c r="H2289" s="240">
        <f>SUM(H2288)</f>
        <v>0</v>
      </c>
      <c r="L2289" s="200"/>
      <c r="M2289" s="200"/>
      <c r="N2289" s="200"/>
      <c r="O2289" s="200"/>
      <c r="P2289" s="200"/>
    </row>
    <row r="2290" spans="3:20" s="517" customFormat="1" ht="31.2" customHeight="1">
      <c r="C2290" s="223" t="s">
        <v>1218</v>
      </c>
      <c r="D2290" s="224" t="s">
        <v>1219</v>
      </c>
      <c r="E2290" s="225"/>
      <c r="F2290" s="225"/>
      <c r="G2290" s="226"/>
      <c r="H2290" s="210">
        <f>H2289+H2287+H2276</f>
        <v>24824.25</v>
      </c>
      <c r="L2290" s="200"/>
      <c r="M2290" s="200"/>
      <c r="N2290" s="200"/>
      <c r="O2290" s="200"/>
      <c r="P2290" s="200"/>
    </row>
    <row r="2291" spans="3:20" s="517" customFormat="1" ht="31.2" customHeight="1">
      <c r="C2291" s="223" t="s">
        <v>1220</v>
      </c>
      <c r="D2291" s="224" t="s">
        <v>1321</v>
      </c>
      <c r="E2291" s="225"/>
      <c r="F2291" s="226"/>
      <c r="G2291" s="228">
        <v>0.1</v>
      </c>
      <c r="H2291" s="210">
        <f>H2290*G2291</f>
        <v>2482.4250000000002</v>
      </c>
      <c r="L2291" s="200"/>
      <c r="M2291" s="200"/>
      <c r="N2291" s="200"/>
      <c r="O2291" s="200"/>
      <c r="P2291" s="200"/>
    </row>
    <row r="2292" spans="3:20" s="517" customFormat="1" ht="31.2" customHeight="1" thickBot="1">
      <c r="C2292" s="229" t="s">
        <v>1221</v>
      </c>
      <c r="D2292" s="230" t="s">
        <v>1222</v>
      </c>
      <c r="E2292" s="231"/>
      <c r="F2292" s="231"/>
      <c r="G2292" s="232"/>
      <c r="H2292" s="233">
        <f>SUM(H2290:H2291)</f>
        <v>27306.674999999999</v>
      </c>
      <c r="L2292" s="200"/>
      <c r="M2292" s="200"/>
      <c r="N2292" s="200"/>
      <c r="O2292" s="200"/>
      <c r="P2292" s="200"/>
    </row>
    <row r="2293" spans="3:20" ht="31.2" customHeight="1" thickTop="1">
      <c r="D2293" s="758" t="s">
        <v>7086</v>
      </c>
    </row>
    <row r="2294" spans="3:20" ht="31.2" customHeight="1">
      <c r="C2294" s="757" t="s">
        <v>6950</v>
      </c>
      <c r="F2294" s="758"/>
      <c r="H2294" s="758" t="s">
        <v>6959</v>
      </c>
    </row>
    <row r="2295" spans="3:20" ht="31.2" customHeight="1">
      <c r="C2295" s="200" t="s">
        <v>6951</v>
      </c>
      <c r="F2295" s="758"/>
    </row>
    <row r="2296" spans="3:20" ht="31.2" customHeight="1">
      <c r="C2296" s="200" t="s">
        <v>6952</v>
      </c>
      <c r="F2296" s="758"/>
    </row>
    <row r="2297" spans="3:20" ht="31.2" customHeight="1"/>
    <row r="2298" spans="3:20" s="517" customFormat="1" ht="31.2" customHeight="1" thickBot="1">
      <c r="C2298" s="513" t="s">
        <v>7112</v>
      </c>
      <c r="D2298" s="748" t="s">
        <v>7113</v>
      </c>
      <c r="E2298" s="749"/>
      <c r="F2298" s="748"/>
      <c r="G2298" s="748"/>
      <c r="H2298" s="532"/>
      <c r="I2298" s="532"/>
      <c r="J2298" s="532"/>
      <c r="K2298" s="532"/>
      <c r="M2298" s="189"/>
      <c r="N2298" s="189"/>
      <c r="O2298" s="189"/>
      <c r="P2298" s="189"/>
      <c r="R2298" s="189">
        <f>ROUNDDOWN(H2321,-2)</f>
        <v>27300</v>
      </c>
      <c r="S2298" s="517" t="s">
        <v>6451</v>
      </c>
      <c r="T2298" s="517" t="s">
        <v>7014</v>
      </c>
    </row>
    <row r="2299" spans="3:20" s="517" customFormat="1" ht="31.2" customHeight="1" thickTop="1">
      <c r="C2299" s="190" t="s">
        <v>1195</v>
      </c>
      <c r="D2299" s="191" t="s">
        <v>1196</v>
      </c>
      <c r="E2299" s="191" t="s">
        <v>1197</v>
      </c>
      <c r="F2299" s="191" t="s">
        <v>1198</v>
      </c>
      <c r="G2299" s="191" t="s">
        <v>1199</v>
      </c>
      <c r="H2299" s="192" t="s">
        <v>1200</v>
      </c>
      <c r="L2299" s="200"/>
      <c r="M2299" s="200"/>
      <c r="N2299" s="200"/>
      <c r="O2299" s="200"/>
      <c r="P2299" s="200"/>
    </row>
    <row r="2300" spans="3:20" s="517" customFormat="1" ht="31.2" customHeight="1">
      <c r="C2300" s="518" t="s">
        <v>1201</v>
      </c>
      <c r="D2300" s="196" t="s">
        <v>1202</v>
      </c>
      <c r="E2300" s="197"/>
      <c r="F2300" s="197"/>
      <c r="G2300" s="197"/>
      <c r="H2300" s="198"/>
      <c r="L2300" s="200"/>
      <c r="M2300" s="200"/>
      <c r="N2300" s="200"/>
      <c r="O2300" s="200"/>
      <c r="P2300" s="200"/>
    </row>
    <row r="2301" spans="3:20" s="517" customFormat="1" ht="31.2" customHeight="1">
      <c r="C2301" s="518">
        <v>1</v>
      </c>
      <c r="D2301" s="196" t="s">
        <v>5</v>
      </c>
      <c r="E2301" s="203" t="s">
        <v>2102</v>
      </c>
      <c r="F2301" s="763">
        <v>6.7000000000000004E-2</v>
      </c>
      <c r="G2301" s="205">
        <f>VLOOKUP(D2301,upahbahan,3,FALSE)</f>
        <v>100000</v>
      </c>
      <c r="H2301" s="210">
        <f t="shared" ref="H2301:H2304" si="157">F2301*G2301</f>
        <v>6700</v>
      </c>
      <c r="L2301" s="200"/>
      <c r="M2301" s="200"/>
      <c r="N2301" s="200"/>
      <c r="O2301" s="200"/>
      <c r="P2301" s="200"/>
    </row>
    <row r="2302" spans="3:20" s="517" customFormat="1" ht="31.2" customHeight="1">
      <c r="C2302" s="537">
        <v>2</v>
      </c>
      <c r="D2302" s="196" t="s">
        <v>6954</v>
      </c>
      <c r="E2302" s="202" t="s">
        <v>6</v>
      </c>
      <c r="F2302" s="520">
        <v>6.7000000000000004E-2</v>
      </c>
      <c r="G2302" s="205">
        <f>VLOOKUP(D2302,upahbahan,3,FALSE)</f>
        <v>181250</v>
      </c>
      <c r="H2302" s="210">
        <f t="shared" si="157"/>
        <v>12143.75</v>
      </c>
      <c r="L2302" s="200"/>
      <c r="M2302" s="200"/>
      <c r="N2302" s="200"/>
      <c r="O2302" s="200"/>
      <c r="P2302" s="200"/>
    </row>
    <row r="2303" spans="3:20" s="517" customFormat="1" ht="31.2" customHeight="1">
      <c r="C2303" s="537">
        <v>3</v>
      </c>
      <c r="D2303" s="196" t="s">
        <v>6948</v>
      </c>
      <c r="E2303" s="202" t="s">
        <v>2102</v>
      </c>
      <c r="F2303" s="520">
        <v>2.1999999999999999E-2</v>
      </c>
      <c r="G2303" s="205">
        <f>VLOOKUP(D2303,upahbahan,3,FALSE)</f>
        <v>218750</v>
      </c>
      <c r="H2303" s="210">
        <f t="shared" si="157"/>
        <v>4812.5</v>
      </c>
      <c r="L2303" s="200"/>
      <c r="M2303" s="200"/>
      <c r="N2303" s="200"/>
      <c r="O2303" s="200"/>
      <c r="P2303" s="200"/>
    </row>
    <row r="2304" spans="3:20" s="517" customFormat="1" ht="31.2" customHeight="1">
      <c r="C2304" s="537">
        <v>4</v>
      </c>
      <c r="D2304" s="196" t="s">
        <v>19</v>
      </c>
      <c r="E2304" s="202" t="s">
        <v>6</v>
      </c>
      <c r="F2304" s="520">
        <v>7.3000000000000001E-3</v>
      </c>
      <c r="G2304" s="205">
        <f>VLOOKUP(D2304,upahbahan,3,FALSE)</f>
        <v>160000</v>
      </c>
      <c r="H2304" s="210">
        <f t="shared" si="157"/>
        <v>1168</v>
      </c>
      <c r="L2304" s="200"/>
      <c r="M2304" s="200"/>
      <c r="N2304" s="200"/>
      <c r="O2304" s="200"/>
      <c r="P2304" s="200"/>
    </row>
    <row r="2305" spans="3:16" s="517" customFormat="1" ht="31.2" customHeight="1">
      <c r="C2305" s="207" t="s">
        <v>1208</v>
      </c>
      <c r="D2305" s="208"/>
      <c r="E2305" s="208"/>
      <c r="F2305" s="521"/>
      <c r="G2305" s="522"/>
      <c r="H2305" s="210">
        <f>SUM(H2301:H2304)</f>
        <v>24824.25</v>
      </c>
      <c r="L2305" s="523"/>
      <c r="M2305" s="523"/>
      <c r="N2305" s="523"/>
      <c r="O2305" s="523"/>
      <c r="P2305" s="523"/>
    </row>
    <row r="2306" spans="3:16" s="517" customFormat="1" ht="31.2" customHeight="1">
      <c r="C2306" s="543" t="s">
        <v>1209</v>
      </c>
      <c r="D2306" s="750" t="s">
        <v>1210</v>
      </c>
      <c r="E2306" s="197"/>
      <c r="F2306" s="751"/>
      <c r="G2306" s="197"/>
      <c r="H2306" s="752"/>
      <c r="L2306" s="200"/>
      <c r="M2306" s="200"/>
      <c r="N2306" s="200"/>
      <c r="O2306" s="200"/>
      <c r="P2306" s="200"/>
    </row>
    <row r="2307" spans="3:16" s="517" customFormat="1" ht="31.2" customHeight="1">
      <c r="C2307" s="543">
        <v>1</v>
      </c>
      <c r="D2307" s="750" t="s">
        <v>7114</v>
      </c>
      <c r="E2307" s="203" t="s">
        <v>44</v>
      </c>
      <c r="F2307" s="753">
        <v>1.05</v>
      </c>
      <c r="G2307" s="205">
        <f>VLOOKUP(D2307,upahbahan,3,FALSE)</f>
        <v>0</v>
      </c>
      <c r="H2307" s="210">
        <f t="shared" ref="H2307:H2315" si="158">F2307*G2307</f>
        <v>0</v>
      </c>
      <c r="L2307" s="200"/>
      <c r="M2307" s="200"/>
      <c r="N2307" s="200"/>
      <c r="O2307" s="200"/>
      <c r="P2307" s="200"/>
    </row>
    <row r="2308" spans="3:16" s="517" customFormat="1" ht="31.2" customHeight="1">
      <c r="C2308" s="543">
        <v>2</v>
      </c>
      <c r="D2308" s="750" t="s">
        <v>5563</v>
      </c>
      <c r="E2308" s="203" t="s">
        <v>65</v>
      </c>
      <c r="F2308" s="753">
        <v>0.01</v>
      </c>
      <c r="G2308" s="205">
        <f>VLOOKUP(D2308,upahbahan,3,FALSE)</f>
        <v>0</v>
      </c>
      <c r="H2308" s="210">
        <f t="shared" si="158"/>
        <v>0</v>
      </c>
      <c r="L2308" s="200"/>
      <c r="M2308" s="200"/>
      <c r="N2308" s="200"/>
      <c r="O2308" s="200"/>
      <c r="P2308" s="200"/>
    </row>
    <row r="2309" spans="3:16" s="517" customFormat="1" ht="31.2" customHeight="1">
      <c r="C2309" s="543">
        <v>3</v>
      </c>
      <c r="D2309" s="750" t="s">
        <v>5555</v>
      </c>
      <c r="E2309" s="203"/>
      <c r="F2309" s="753"/>
      <c r="G2309" s="197"/>
      <c r="H2309" s="210">
        <f t="shared" si="158"/>
        <v>0</v>
      </c>
      <c r="L2309" s="200"/>
      <c r="M2309" s="200"/>
      <c r="N2309" s="200"/>
      <c r="O2309" s="200"/>
      <c r="P2309" s="200"/>
    </row>
    <row r="2310" spans="3:16" s="517" customFormat="1" ht="31.2" customHeight="1">
      <c r="C2310" s="754" t="s">
        <v>5293</v>
      </c>
      <c r="D2310" s="750" t="s">
        <v>7053</v>
      </c>
      <c r="E2310" s="203" t="s">
        <v>113</v>
      </c>
      <c r="F2310" s="760">
        <v>12</v>
      </c>
      <c r="G2310" s="205">
        <f>VLOOKUP(D2310,upahbahan,3,FALSE)</f>
        <v>0</v>
      </c>
      <c r="H2310" s="210">
        <f t="shared" si="158"/>
        <v>0</v>
      </c>
      <c r="L2310" s="200"/>
      <c r="M2310" s="200"/>
      <c r="N2310" s="200"/>
      <c r="O2310" s="200"/>
      <c r="P2310" s="200"/>
    </row>
    <row r="2311" spans="3:16" s="517" customFormat="1" ht="31.2" customHeight="1">
      <c r="C2311" s="754" t="s">
        <v>5299</v>
      </c>
      <c r="D2311" s="750" t="s">
        <v>7055</v>
      </c>
      <c r="E2311" s="203" t="s">
        <v>113</v>
      </c>
      <c r="F2311" s="760">
        <v>10</v>
      </c>
      <c r="G2311" s="205">
        <f>VLOOKUP(D2311,upahbahan,3,FALSE)</f>
        <v>0</v>
      </c>
      <c r="H2311" s="210">
        <f t="shared" si="158"/>
        <v>0</v>
      </c>
      <c r="L2311" s="200"/>
      <c r="M2311" s="200"/>
      <c r="N2311" s="200"/>
      <c r="O2311" s="200"/>
      <c r="P2311" s="200"/>
    </row>
    <row r="2312" spans="3:16" s="517" customFormat="1" ht="31.2" customHeight="1">
      <c r="C2312" s="543">
        <v>4</v>
      </c>
      <c r="D2312" s="750" t="s">
        <v>5556</v>
      </c>
      <c r="E2312" s="203"/>
      <c r="F2312" s="753"/>
      <c r="G2312" s="197"/>
      <c r="H2312" s="210">
        <f t="shared" si="158"/>
        <v>0</v>
      </c>
      <c r="L2312" s="200"/>
      <c r="M2312" s="200"/>
      <c r="N2312" s="200"/>
      <c r="O2312" s="200"/>
      <c r="P2312" s="200"/>
    </row>
    <row r="2313" spans="3:16" s="517" customFormat="1" ht="31.2" customHeight="1">
      <c r="C2313" s="754" t="s">
        <v>5293</v>
      </c>
      <c r="D2313" s="750" t="s">
        <v>2084</v>
      </c>
      <c r="E2313" s="203" t="s">
        <v>42</v>
      </c>
      <c r="F2313" s="753">
        <v>7.2999999999999995E-2</v>
      </c>
      <c r="G2313" s="205">
        <f>VLOOKUP(D2313,upahbahan,3,FALSE)</f>
        <v>0</v>
      </c>
      <c r="H2313" s="210">
        <f t="shared" si="158"/>
        <v>0</v>
      </c>
      <c r="L2313" s="200"/>
      <c r="M2313" s="200"/>
      <c r="N2313" s="200"/>
      <c r="O2313" s="200"/>
      <c r="P2313" s="200"/>
    </row>
    <row r="2314" spans="3:16" s="517" customFormat="1" ht="31.2" customHeight="1">
      <c r="C2314" s="754" t="s">
        <v>5299</v>
      </c>
      <c r="D2314" s="750" t="s">
        <v>5566</v>
      </c>
      <c r="E2314" s="203" t="s">
        <v>42</v>
      </c>
      <c r="F2314" s="753">
        <v>0.02</v>
      </c>
      <c r="G2314" s="205">
        <f>VLOOKUP(D2314,upahbahan,3,FALSE)</f>
        <v>0</v>
      </c>
      <c r="H2314" s="210">
        <f t="shared" si="158"/>
        <v>0</v>
      </c>
      <c r="L2314" s="200"/>
      <c r="M2314" s="200"/>
      <c r="N2314" s="200"/>
      <c r="O2314" s="200"/>
      <c r="P2314" s="200"/>
    </row>
    <row r="2315" spans="3:16" s="517" customFormat="1" ht="31.2" customHeight="1">
      <c r="C2315" s="754" t="s">
        <v>5558</v>
      </c>
      <c r="D2315" s="750" t="s">
        <v>2325</v>
      </c>
      <c r="E2315" s="203" t="s">
        <v>42</v>
      </c>
      <c r="F2315" s="762">
        <v>5.0000000000000001E-3</v>
      </c>
      <c r="G2315" s="205">
        <f>VLOOKUP(D2315,upahbahan,3,FALSE)</f>
        <v>0</v>
      </c>
      <c r="H2315" s="210">
        <f t="shared" si="158"/>
        <v>0</v>
      </c>
      <c r="L2315" s="200"/>
      <c r="M2315" s="200"/>
      <c r="N2315" s="200"/>
      <c r="O2315" s="200"/>
      <c r="P2315" s="200"/>
    </row>
    <row r="2316" spans="3:16" s="517" customFormat="1" ht="31.2" customHeight="1">
      <c r="C2316" s="207" t="s">
        <v>1214</v>
      </c>
      <c r="D2316" s="208"/>
      <c r="E2316" s="568"/>
      <c r="F2316" s="208"/>
      <c r="G2316" s="209"/>
      <c r="H2316" s="210">
        <f>SUM(H2307:H2315)</f>
        <v>0</v>
      </c>
      <c r="L2316" s="200"/>
      <c r="M2316" s="200"/>
      <c r="N2316" s="200"/>
      <c r="O2316" s="200"/>
      <c r="P2316" s="200"/>
    </row>
    <row r="2317" spans="3:16" s="517" customFormat="1" ht="31.2" customHeight="1">
      <c r="C2317" s="756" t="s">
        <v>1215</v>
      </c>
      <c r="D2317" s="196" t="s">
        <v>1216</v>
      </c>
      <c r="E2317" s="203"/>
      <c r="F2317" s="197"/>
      <c r="G2317" s="197"/>
      <c r="H2317" s="198"/>
      <c r="L2317" s="200"/>
      <c r="M2317" s="200"/>
      <c r="N2317" s="200"/>
      <c r="O2317" s="200"/>
      <c r="P2317" s="200"/>
    </row>
    <row r="2318" spans="3:16" s="517" customFormat="1" ht="31.2" customHeight="1">
      <c r="C2318" s="207" t="s">
        <v>1217</v>
      </c>
      <c r="D2318" s="208"/>
      <c r="E2318" s="208"/>
      <c r="F2318" s="208"/>
      <c r="G2318" s="209"/>
      <c r="H2318" s="240">
        <f>SUM(H2317)</f>
        <v>0</v>
      </c>
      <c r="L2318" s="200"/>
      <c r="M2318" s="200"/>
      <c r="N2318" s="200"/>
      <c r="O2318" s="200"/>
      <c r="P2318" s="200"/>
    </row>
    <row r="2319" spans="3:16" s="517" customFormat="1" ht="31.2" customHeight="1">
      <c r="C2319" s="223" t="s">
        <v>1218</v>
      </c>
      <c r="D2319" s="224" t="s">
        <v>1219</v>
      </c>
      <c r="E2319" s="225"/>
      <c r="F2319" s="225"/>
      <c r="G2319" s="226"/>
      <c r="H2319" s="210">
        <f>H2318+H2316+H2305</f>
        <v>24824.25</v>
      </c>
      <c r="L2319" s="200"/>
      <c r="M2319" s="200"/>
      <c r="N2319" s="200"/>
      <c r="O2319" s="200"/>
      <c r="P2319" s="200"/>
    </row>
    <row r="2320" spans="3:16" s="517" customFormat="1" ht="31.2" customHeight="1">
      <c r="C2320" s="223" t="s">
        <v>1220</v>
      </c>
      <c r="D2320" s="224" t="s">
        <v>1321</v>
      </c>
      <c r="E2320" s="225"/>
      <c r="F2320" s="226"/>
      <c r="G2320" s="228">
        <v>0.1</v>
      </c>
      <c r="H2320" s="210">
        <f>H2319*G2320</f>
        <v>2482.4250000000002</v>
      </c>
      <c r="L2320" s="200"/>
      <c r="M2320" s="200"/>
      <c r="N2320" s="200"/>
      <c r="O2320" s="200"/>
      <c r="P2320" s="200"/>
    </row>
    <row r="2321" spans="3:20" s="517" customFormat="1" ht="31.2" customHeight="1" thickBot="1">
      <c r="C2321" s="229" t="s">
        <v>1221</v>
      </c>
      <c r="D2321" s="230" t="s">
        <v>1222</v>
      </c>
      <c r="E2321" s="231"/>
      <c r="F2321" s="231"/>
      <c r="G2321" s="232"/>
      <c r="H2321" s="233">
        <f>SUM(H2319:H2320)</f>
        <v>27306.674999999999</v>
      </c>
      <c r="L2321" s="200"/>
      <c r="M2321" s="200"/>
      <c r="N2321" s="200"/>
      <c r="O2321" s="200"/>
      <c r="P2321" s="200"/>
    </row>
    <row r="2322" spans="3:20" ht="31.2" customHeight="1" thickTop="1">
      <c r="D2322" s="758" t="s">
        <v>7086</v>
      </c>
    </row>
    <row r="2323" spans="3:20" ht="31.2" customHeight="1">
      <c r="C2323" s="757" t="s">
        <v>6950</v>
      </c>
      <c r="F2323" s="758"/>
      <c r="H2323" s="758" t="s">
        <v>6959</v>
      </c>
    </row>
    <row r="2324" spans="3:20" ht="31.2" customHeight="1">
      <c r="C2324" s="200" t="s">
        <v>6951</v>
      </c>
      <c r="F2324" s="758"/>
    </row>
    <row r="2325" spans="3:20" ht="31.2" customHeight="1">
      <c r="C2325" s="200" t="s">
        <v>6952</v>
      </c>
      <c r="F2325" s="758"/>
    </row>
    <row r="2326" spans="3:20" ht="31.2" customHeight="1"/>
    <row r="2327" spans="3:20" s="517" customFormat="1" ht="31.2" customHeight="1" thickBot="1">
      <c r="C2327" s="513" t="s">
        <v>7115</v>
      </c>
      <c r="D2327" s="748" t="s">
        <v>7116</v>
      </c>
      <c r="E2327" s="749"/>
      <c r="F2327" s="748"/>
      <c r="G2327" s="748"/>
      <c r="H2327" s="532"/>
      <c r="I2327" s="532"/>
      <c r="J2327" s="532"/>
      <c r="K2327" s="532"/>
      <c r="M2327" s="189"/>
      <c r="N2327" s="189"/>
      <c r="O2327" s="189"/>
      <c r="P2327" s="189"/>
      <c r="R2327" s="189">
        <f>ROUNDDOWN(H2350,-2)</f>
        <v>27300</v>
      </c>
      <c r="S2327" s="517" t="s">
        <v>6451</v>
      </c>
      <c r="T2327" s="517" t="s">
        <v>7014</v>
      </c>
    </row>
    <row r="2328" spans="3:20" s="517" customFormat="1" ht="31.2" customHeight="1" thickTop="1">
      <c r="C2328" s="190" t="s">
        <v>1195</v>
      </c>
      <c r="D2328" s="191" t="s">
        <v>1196</v>
      </c>
      <c r="E2328" s="191" t="s">
        <v>1197</v>
      </c>
      <c r="F2328" s="191" t="s">
        <v>1198</v>
      </c>
      <c r="G2328" s="191" t="s">
        <v>1199</v>
      </c>
      <c r="H2328" s="192" t="s">
        <v>1200</v>
      </c>
      <c r="L2328" s="200"/>
      <c r="M2328" s="200"/>
      <c r="N2328" s="200"/>
      <c r="O2328" s="200"/>
      <c r="P2328" s="200"/>
    </row>
    <row r="2329" spans="3:20" s="517" customFormat="1" ht="31.2" customHeight="1">
      <c r="C2329" s="518" t="s">
        <v>1201</v>
      </c>
      <c r="D2329" s="196" t="s">
        <v>1202</v>
      </c>
      <c r="E2329" s="197"/>
      <c r="F2329" s="197"/>
      <c r="G2329" s="197"/>
      <c r="H2329" s="198"/>
      <c r="L2329" s="200"/>
      <c r="M2329" s="200"/>
      <c r="N2329" s="200"/>
      <c r="O2329" s="200"/>
      <c r="P2329" s="200"/>
    </row>
    <row r="2330" spans="3:20" s="517" customFormat="1" ht="31.2" customHeight="1">
      <c r="C2330" s="518">
        <v>1</v>
      </c>
      <c r="D2330" s="196" t="s">
        <v>5</v>
      </c>
      <c r="E2330" s="203" t="s">
        <v>2102</v>
      </c>
      <c r="F2330" s="763">
        <v>6.7000000000000004E-2</v>
      </c>
      <c r="G2330" s="205">
        <f>VLOOKUP(D2330,upahbahan,3,FALSE)</f>
        <v>100000</v>
      </c>
      <c r="H2330" s="210">
        <f t="shared" ref="H2330:H2333" si="159">F2330*G2330</f>
        <v>6700</v>
      </c>
      <c r="L2330" s="200"/>
      <c r="M2330" s="200"/>
      <c r="N2330" s="200"/>
      <c r="O2330" s="200"/>
      <c r="P2330" s="200"/>
    </row>
    <row r="2331" spans="3:20" s="517" customFormat="1" ht="31.2" customHeight="1">
      <c r="C2331" s="537">
        <v>2</v>
      </c>
      <c r="D2331" s="196" t="s">
        <v>6954</v>
      </c>
      <c r="E2331" s="202" t="s">
        <v>6</v>
      </c>
      <c r="F2331" s="520">
        <v>6.7000000000000004E-2</v>
      </c>
      <c r="G2331" s="205">
        <f>VLOOKUP(D2331,upahbahan,3,FALSE)</f>
        <v>181250</v>
      </c>
      <c r="H2331" s="210">
        <f t="shared" si="159"/>
        <v>12143.75</v>
      </c>
      <c r="L2331" s="200"/>
      <c r="M2331" s="200"/>
      <c r="N2331" s="200"/>
      <c r="O2331" s="200"/>
      <c r="P2331" s="200"/>
    </row>
    <row r="2332" spans="3:20" s="517" customFormat="1" ht="31.2" customHeight="1">
      <c r="C2332" s="537">
        <v>3</v>
      </c>
      <c r="D2332" s="196" t="s">
        <v>6948</v>
      </c>
      <c r="E2332" s="202" t="s">
        <v>2102</v>
      </c>
      <c r="F2332" s="520">
        <v>2.1999999999999999E-2</v>
      </c>
      <c r="G2332" s="205">
        <f>VLOOKUP(D2332,upahbahan,3,FALSE)</f>
        <v>218750</v>
      </c>
      <c r="H2332" s="210">
        <f t="shared" si="159"/>
        <v>4812.5</v>
      </c>
      <c r="L2332" s="200"/>
      <c r="M2332" s="200"/>
      <c r="N2332" s="200"/>
      <c r="O2332" s="200"/>
      <c r="P2332" s="200"/>
    </row>
    <row r="2333" spans="3:20" s="517" customFormat="1" ht="31.2" customHeight="1">
      <c r="C2333" s="537">
        <v>4</v>
      </c>
      <c r="D2333" s="196" t="s">
        <v>19</v>
      </c>
      <c r="E2333" s="202" t="s">
        <v>6</v>
      </c>
      <c r="F2333" s="520">
        <v>7.3000000000000001E-3</v>
      </c>
      <c r="G2333" s="205">
        <f>VLOOKUP(D2333,upahbahan,3,FALSE)</f>
        <v>160000</v>
      </c>
      <c r="H2333" s="210">
        <f t="shared" si="159"/>
        <v>1168</v>
      </c>
      <c r="L2333" s="200"/>
      <c r="M2333" s="200"/>
      <c r="N2333" s="200"/>
      <c r="O2333" s="200"/>
      <c r="P2333" s="200"/>
    </row>
    <row r="2334" spans="3:20" s="517" customFormat="1" ht="31.2" customHeight="1">
      <c r="C2334" s="207" t="s">
        <v>1208</v>
      </c>
      <c r="D2334" s="208"/>
      <c r="E2334" s="208"/>
      <c r="F2334" s="521"/>
      <c r="G2334" s="522"/>
      <c r="H2334" s="210">
        <f>SUM(H2330:H2333)</f>
        <v>24824.25</v>
      </c>
      <c r="L2334" s="523"/>
      <c r="M2334" s="523"/>
      <c r="N2334" s="523"/>
      <c r="O2334" s="523"/>
      <c r="P2334" s="523"/>
    </row>
    <row r="2335" spans="3:20" s="517" customFormat="1" ht="31.2" customHeight="1">
      <c r="C2335" s="543" t="s">
        <v>1209</v>
      </c>
      <c r="D2335" s="750" t="s">
        <v>1210</v>
      </c>
      <c r="E2335" s="197"/>
      <c r="F2335" s="751"/>
      <c r="G2335" s="197"/>
      <c r="H2335" s="752"/>
      <c r="L2335" s="200"/>
      <c r="M2335" s="200"/>
      <c r="N2335" s="200"/>
      <c r="O2335" s="200"/>
      <c r="P2335" s="200"/>
    </row>
    <row r="2336" spans="3:20" s="517" customFormat="1" ht="31.2" customHeight="1">
      <c r="C2336" s="543">
        <v>1</v>
      </c>
      <c r="D2336" s="750" t="s">
        <v>7117</v>
      </c>
      <c r="E2336" s="203" t="s">
        <v>44</v>
      </c>
      <c r="F2336" s="753">
        <v>1.05</v>
      </c>
      <c r="G2336" s="205">
        <f>VLOOKUP(D2336,upahbahan,3,FALSE)</f>
        <v>0</v>
      </c>
      <c r="H2336" s="210">
        <f t="shared" ref="H2336:H2344" si="160">F2336*G2336</f>
        <v>0</v>
      </c>
      <c r="L2336" s="200"/>
      <c r="M2336" s="200"/>
      <c r="N2336" s="200"/>
      <c r="O2336" s="200"/>
      <c r="P2336" s="200"/>
    </row>
    <row r="2337" spans="3:16" s="517" customFormat="1" ht="31.2" customHeight="1">
      <c r="C2337" s="543">
        <v>2</v>
      </c>
      <c r="D2337" s="750" t="s">
        <v>5563</v>
      </c>
      <c r="E2337" s="203" t="s">
        <v>65</v>
      </c>
      <c r="F2337" s="753">
        <v>0.01</v>
      </c>
      <c r="G2337" s="205">
        <f>VLOOKUP(D2337,upahbahan,3,FALSE)</f>
        <v>0</v>
      </c>
      <c r="H2337" s="210">
        <f t="shared" si="160"/>
        <v>0</v>
      </c>
      <c r="L2337" s="200"/>
      <c r="M2337" s="200"/>
      <c r="N2337" s="200"/>
      <c r="O2337" s="200"/>
      <c r="P2337" s="200"/>
    </row>
    <row r="2338" spans="3:16" s="517" customFormat="1" ht="31.2" customHeight="1">
      <c r="C2338" s="543">
        <v>3</v>
      </c>
      <c r="D2338" s="750" t="s">
        <v>5555</v>
      </c>
      <c r="E2338" s="203"/>
      <c r="F2338" s="753"/>
      <c r="G2338" s="197"/>
      <c r="H2338" s="210">
        <f t="shared" si="160"/>
        <v>0</v>
      </c>
      <c r="L2338" s="200"/>
      <c r="M2338" s="200"/>
      <c r="N2338" s="200"/>
      <c r="O2338" s="200"/>
      <c r="P2338" s="200"/>
    </row>
    <row r="2339" spans="3:16" s="517" customFormat="1" ht="31.2" customHeight="1">
      <c r="C2339" s="754" t="s">
        <v>5293</v>
      </c>
      <c r="D2339" s="750" t="s">
        <v>7053</v>
      </c>
      <c r="E2339" s="203" t="s">
        <v>113</v>
      </c>
      <c r="F2339" s="760">
        <v>12</v>
      </c>
      <c r="G2339" s="205">
        <f>VLOOKUP(D2339,upahbahan,3,FALSE)</f>
        <v>0</v>
      </c>
      <c r="H2339" s="210">
        <f t="shared" si="160"/>
        <v>0</v>
      </c>
      <c r="L2339" s="200"/>
      <c r="M2339" s="200"/>
      <c r="N2339" s="200"/>
      <c r="O2339" s="200"/>
      <c r="P2339" s="200"/>
    </row>
    <row r="2340" spans="3:16" s="517" customFormat="1" ht="31.2" customHeight="1">
      <c r="C2340" s="754" t="s">
        <v>5299</v>
      </c>
      <c r="D2340" s="750" t="s">
        <v>7055</v>
      </c>
      <c r="E2340" s="203" t="s">
        <v>113</v>
      </c>
      <c r="F2340" s="760">
        <v>10</v>
      </c>
      <c r="G2340" s="205">
        <f>VLOOKUP(D2340,upahbahan,3,FALSE)</f>
        <v>0</v>
      </c>
      <c r="H2340" s="210">
        <f t="shared" si="160"/>
        <v>0</v>
      </c>
      <c r="L2340" s="200"/>
      <c r="M2340" s="200"/>
      <c r="N2340" s="200"/>
      <c r="O2340" s="200"/>
      <c r="P2340" s="200"/>
    </row>
    <row r="2341" spans="3:16" s="517" customFormat="1" ht="31.2" customHeight="1">
      <c r="C2341" s="543">
        <v>4</v>
      </c>
      <c r="D2341" s="750" t="s">
        <v>5556</v>
      </c>
      <c r="E2341" s="203"/>
      <c r="F2341" s="753"/>
      <c r="G2341" s="197"/>
      <c r="H2341" s="210">
        <f t="shared" si="160"/>
        <v>0</v>
      </c>
      <c r="L2341" s="200"/>
      <c r="M2341" s="200"/>
      <c r="N2341" s="200"/>
      <c r="O2341" s="200"/>
      <c r="P2341" s="200"/>
    </row>
    <row r="2342" spans="3:16" s="517" customFormat="1" ht="31.2" customHeight="1">
      <c r="C2342" s="754" t="s">
        <v>5293</v>
      </c>
      <c r="D2342" s="750" t="s">
        <v>2084</v>
      </c>
      <c r="E2342" s="203" t="s">
        <v>42</v>
      </c>
      <c r="F2342" s="753">
        <v>7.2999999999999995E-2</v>
      </c>
      <c r="G2342" s="205">
        <f>VLOOKUP(D2342,upahbahan,3,FALSE)</f>
        <v>0</v>
      </c>
      <c r="H2342" s="210">
        <f t="shared" si="160"/>
        <v>0</v>
      </c>
      <c r="L2342" s="200"/>
      <c r="M2342" s="200"/>
      <c r="N2342" s="200"/>
      <c r="O2342" s="200"/>
      <c r="P2342" s="200"/>
    </row>
    <row r="2343" spans="3:16" s="517" customFormat="1" ht="31.2" customHeight="1">
      <c r="C2343" s="754" t="s">
        <v>5299</v>
      </c>
      <c r="D2343" s="750" t="s">
        <v>5566</v>
      </c>
      <c r="E2343" s="203" t="s">
        <v>42</v>
      </c>
      <c r="F2343" s="753">
        <v>0.02</v>
      </c>
      <c r="G2343" s="205">
        <f>VLOOKUP(D2343,upahbahan,3,FALSE)</f>
        <v>0</v>
      </c>
      <c r="H2343" s="210">
        <f t="shared" si="160"/>
        <v>0</v>
      </c>
      <c r="L2343" s="200"/>
      <c r="M2343" s="200"/>
      <c r="N2343" s="200"/>
      <c r="O2343" s="200"/>
      <c r="P2343" s="200"/>
    </row>
    <row r="2344" spans="3:16" s="517" customFormat="1" ht="31.2" customHeight="1">
      <c r="C2344" s="754" t="s">
        <v>5558</v>
      </c>
      <c r="D2344" s="750" t="s">
        <v>2325</v>
      </c>
      <c r="E2344" s="203" t="s">
        <v>42</v>
      </c>
      <c r="F2344" s="762">
        <v>5.0000000000000001E-3</v>
      </c>
      <c r="G2344" s="205">
        <f>VLOOKUP(D2344,upahbahan,3,FALSE)</f>
        <v>0</v>
      </c>
      <c r="H2344" s="210">
        <f t="shared" si="160"/>
        <v>0</v>
      </c>
      <c r="L2344" s="200"/>
      <c r="M2344" s="200"/>
      <c r="N2344" s="200"/>
      <c r="O2344" s="200"/>
      <c r="P2344" s="200"/>
    </row>
    <row r="2345" spans="3:16" s="517" customFormat="1" ht="31.2" customHeight="1">
      <c r="C2345" s="207" t="s">
        <v>1214</v>
      </c>
      <c r="D2345" s="208"/>
      <c r="E2345" s="568"/>
      <c r="F2345" s="208"/>
      <c r="G2345" s="209"/>
      <c r="H2345" s="210">
        <f>SUM(H2336:H2344)</f>
        <v>0</v>
      </c>
      <c r="L2345" s="200"/>
      <c r="M2345" s="200"/>
      <c r="N2345" s="200"/>
      <c r="O2345" s="200"/>
      <c r="P2345" s="200"/>
    </row>
    <row r="2346" spans="3:16" s="517" customFormat="1" ht="31.2" customHeight="1">
      <c r="C2346" s="756" t="s">
        <v>1215</v>
      </c>
      <c r="D2346" s="196" t="s">
        <v>1216</v>
      </c>
      <c r="E2346" s="203"/>
      <c r="F2346" s="197"/>
      <c r="G2346" s="197"/>
      <c r="H2346" s="198"/>
      <c r="L2346" s="200"/>
      <c r="M2346" s="200"/>
      <c r="N2346" s="200"/>
      <c r="O2346" s="200"/>
      <c r="P2346" s="200"/>
    </row>
    <row r="2347" spans="3:16" s="517" customFormat="1" ht="31.2" customHeight="1">
      <c r="C2347" s="207" t="s">
        <v>1217</v>
      </c>
      <c r="D2347" s="208"/>
      <c r="E2347" s="208"/>
      <c r="F2347" s="208"/>
      <c r="G2347" s="209"/>
      <c r="H2347" s="240">
        <f>SUM(H2346)</f>
        <v>0</v>
      </c>
      <c r="L2347" s="200"/>
      <c r="M2347" s="200"/>
      <c r="N2347" s="200"/>
      <c r="O2347" s="200"/>
      <c r="P2347" s="200"/>
    </row>
    <row r="2348" spans="3:16" s="517" customFormat="1" ht="31.2" customHeight="1">
      <c r="C2348" s="223" t="s">
        <v>1218</v>
      </c>
      <c r="D2348" s="224" t="s">
        <v>1219</v>
      </c>
      <c r="E2348" s="225"/>
      <c r="F2348" s="225"/>
      <c r="G2348" s="226"/>
      <c r="H2348" s="210">
        <f>H2347+H2345+H2334</f>
        <v>24824.25</v>
      </c>
      <c r="L2348" s="200"/>
      <c r="M2348" s="200"/>
      <c r="N2348" s="200"/>
      <c r="O2348" s="200"/>
      <c r="P2348" s="200"/>
    </row>
    <row r="2349" spans="3:16" s="517" customFormat="1" ht="31.2" customHeight="1">
      <c r="C2349" s="223" t="s">
        <v>1220</v>
      </c>
      <c r="D2349" s="224" t="s">
        <v>1321</v>
      </c>
      <c r="E2349" s="225"/>
      <c r="F2349" s="226"/>
      <c r="G2349" s="228">
        <v>0.1</v>
      </c>
      <c r="H2349" s="210">
        <f>H2348*G2349</f>
        <v>2482.4250000000002</v>
      </c>
      <c r="L2349" s="200"/>
      <c r="M2349" s="200"/>
      <c r="N2349" s="200"/>
      <c r="O2349" s="200"/>
      <c r="P2349" s="200"/>
    </row>
    <row r="2350" spans="3:16" s="517" customFormat="1" ht="31.2" customHeight="1" thickBot="1">
      <c r="C2350" s="229" t="s">
        <v>1221</v>
      </c>
      <c r="D2350" s="230" t="s">
        <v>1222</v>
      </c>
      <c r="E2350" s="231"/>
      <c r="F2350" s="231"/>
      <c r="G2350" s="232"/>
      <c r="H2350" s="233">
        <f>SUM(H2348:H2349)</f>
        <v>27306.674999999999</v>
      </c>
      <c r="L2350" s="200"/>
      <c r="M2350" s="200"/>
      <c r="N2350" s="200"/>
      <c r="O2350" s="200"/>
      <c r="P2350" s="200"/>
    </row>
    <row r="2351" spans="3:16" ht="31.2" customHeight="1" thickTop="1">
      <c r="D2351" s="758" t="s">
        <v>7086</v>
      </c>
    </row>
    <row r="2352" spans="3:16" ht="31.2" customHeight="1">
      <c r="C2352" s="757" t="s">
        <v>6950</v>
      </c>
      <c r="F2352" s="758"/>
      <c r="H2352" s="758" t="s">
        <v>6959</v>
      </c>
    </row>
    <row r="2353" spans="3:20" ht="31.2" customHeight="1">
      <c r="C2353" s="200" t="s">
        <v>6951</v>
      </c>
      <c r="F2353" s="758"/>
    </row>
    <row r="2354" spans="3:20" ht="31.2" customHeight="1">
      <c r="C2354" s="200" t="s">
        <v>6952</v>
      </c>
      <c r="F2354" s="758"/>
    </row>
    <row r="2355" spans="3:20" ht="31.2" customHeight="1"/>
    <row r="2356" spans="3:20" s="517" customFormat="1" ht="31.2" customHeight="1" thickBot="1">
      <c r="C2356" s="513" t="s">
        <v>7118</v>
      </c>
      <c r="D2356" s="748" t="s">
        <v>7119</v>
      </c>
      <c r="E2356" s="749"/>
      <c r="F2356" s="748"/>
      <c r="G2356" s="748"/>
      <c r="H2356" s="532"/>
      <c r="I2356" s="532"/>
      <c r="J2356" s="532"/>
      <c r="K2356" s="532"/>
      <c r="M2356" s="189"/>
      <c r="N2356" s="189"/>
      <c r="O2356" s="189"/>
      <c r="P2356" s="189"/>
      <c r="R2356" s="189">
        <f>ROUNDDOWN(H2379,-2)</f>
        <v>27300</v>
      </c>
      <c r="S2356" s="517" t="s">
        <v>6451</v>
      </c>
      <c r="T2356" s="517" t="s">
        <v>7014</v>
      </c>
    </row>
    <row r="2357" spans="3:20" s="517" customFormat="1" ht="31.2" customHeight="1" thickTop="1">
      <c r="C2357" s="190" t="s">
        <v>1195</v>
      </c>
      <c r="D2357" s="191" t="s">
        <v>1196</v>
      </c>
      <c r="E2357" s="191" t="s">
        <v>1197</v>
      </c>
      <c r="F2357" s="191" t="s">
        <v>1198</v>
      </c>
      <c r="G2357" s="191" t="s">
        <v>1199</v>
      </c>
      <c r="H2357" s="192" t="s">
        <v>1200</v>
      </c>
      <c r="L2357" s="200"/>
      <c r="M2357" s="200"/>
      <c r="N2357" s="200"/>
      <c r="O2357" s="200"/>
      <c r="P2357" s="200"/>
    </row>
    <row r="2358" spans="3:20" s="517" customFormat="1" ht="31.2" customHeight="1">
      <c r="C2358" s="518" t="s">
        <v>1201</v>
      </c>
      <c r="D2358" s="196" t="s">
        <v>1202</v>
      </c>
      <c r="E2358" s="197"/>
      <c r="F2358" s="197"/>
      <c r="G2358" s="197"/>
      <c r="H2358" s="198"/>
      <c r="L2358" s="200"/>
      <c r="M2358" s="200"/>
      <c r="N2358" s="200"/>
      <c r="O2358" s="200"/>
      <c r="P2358" s="200"/>
    </row>
    <row r="2359" spans="3:20" s="517" customFormat="1" ht="31.2" customHeight="1">
      <c r="C2359" s="518">
        <v>1</v>
      </c>
      <c r="D2359" s="196" t="s">
        <v>5</v>
      </c>
      <c r="E2359" s="203" t="s">
        <v>2102</v>
      </c>
      <c r="F2359" s="763">
        <v>6.7000000000000004E-2</v>
      </c>
      <c r="G2359" s="205">
        <f>VLOOKUP(D2359,upahbahan,3,FALSE)</f>
        <v>100000</v>
      </c>
      <c r="H2359" s="210">
        <f t="shared" ref="H2359:H2362" si="161">F2359*G2359</f>
        <v>6700</v>
      </c>
      <c r="L2359" s="200"/>
      <c r="M2359" s="200"/>
      <c r="N2359" s="200"/>
      <c r="O2359" s="200"/>
      <c r="P2359" s="200"/>
    </row>
    <row r="2360" spans="3:20" s="517" customFormat="1" ht="31.2" customHeight="1">
      <c r="C2360" s="537">
        <v>2</v>
      </c>
      <c r="D2360" s="196" t="s">
        <v>6954</v>
      </c>
      <c r="E2360" s="202" t="s">
        <v>6</v>
      </c>
      <c r="F2360" s="520">
        <v>6.7000000000000004E-2</v>
      </c>
      <c r="G2360" s="205">
        <f>VLOOKUP(D2360,upahbahan,3,FALSE)</f>
        <v>181250</v>
      </c>
      <c r="H2360" s="210">
        <f t="shared" si="161"/>
        <v>12143.75</v>
      </c>
      <c r="L2360" s="200"/>
      <c r="M2360" s="200"/>
      <c r="N2360" s="200"/>
      <c r="O2360" s="200"/>
      <c r="P2360" s="200"/>
    </row>
    <row r="2361" spans="3:20" s="517" customFormat="1" ht="31.2" customHeight="1">
      <c r="C2361" s="537">
        <v>3</v>
      </c>
      <c r="D2361" s="196" t="s">
        <v>6948</v>
      </c>
      <c r="E2361" s="202" t="s">
        <v>2102</v>
      </c>
      <c r="F2361" s="520">
        <v>2.1999999999999999E-2</v>
      </c>
      <c r="G2361" s="205">
        <f>VLOOKUP(D2361,upahbahan,3,FALSE)</f>
        <v>218750</v>
      </c>
      <c r="H2361" s="210">
        <f t="shared" si="161"/>
        <v>4812.5</v>
      </c>
      <c r="L2361" s="200"/>
      <c r="M2361" s="200"/>
      <c r="N2361" s="200"/>
      <c r="O2361" s="200"/>
      <c r="P2361" s="200"/>
    </row>
    <row r="2362" spans="3:20" s="517" customFormat="1" ht="31.2" customHeight="1">
      <c r="C2362" s="537">
        <v>4</v>
      </c>
      <c r="D2362" s="196" t="s">
        <v>19</v>
      </c>
      <c r="E2362" s="202" t="s">
        <v>6</v>
      </c>
      <c r="F2362" s="520">
        <v>7.3000000000000001E-3</v>
      </c>
      <c r="G2362" s="205">
        <f>VLOOKUP(D2362,upahbahan,3,FALSE)</f>
        <v>160000</v>
      </c>
      <c r="H2362" s="210">
        <f t="shared" si="161"/>
        <v>1168</v>
      </c>
      <c r="L2362" s="200"/>
      <c r="M2362" s="200"/>
      <c r="N2362" s="200"/>
      <c r="O2362" s="200"/>
      <c r="P2362" s="200"/>
    </row>
    <row r="2363" spans="3:20" s="517" customFormat="1" ht="31.2" customHeight="1">
      <c r="C2363" s="207" t="s">
        <v>1208</v>
      </c>
      <c r="D2363" s="208"/>
      <c r="E2363" s="208"/>
      <c r="F2363" s="521"/>
      <c r="G2363" s="522"/>
      <c r="H2363" s="210">
        <f>SUM(H2359:H2362)</f>
        <v>24824.25</v>
      </c>
      <c r="L2363" s="523"/>
      <c r="M2363" s="523"/>
      <c r="N2363" s="523"/>
      <c r="O2363" s="523"/>
      <c r="P2363" s="523"/>
    </row>
    <row r="2364" spans="3:20" s="517" customFormat="1" ht="31.2" customHeight="1">
      <c r="C2364" s="543" t="s">
        <v>1209</v>
      </c>
      <c r="D2364" s="750" t="s">
        <v>1210</v>
      </c>
      <c r="E2364" s="197"/>
      <c r="F2364" s="751"/>
      <c r="G2364" s="197"/>
      <c r="H2364" s="752"/>
      <c r="L2364" s="200"/>
      <c r="M2364" s="200"/>
      <c r="N2364" s="200"/>
      <c r="O2364" s="200"/>
      <c r="P2364" s="200"/>
    </row>
    <row r="2365" spans="3:20" s="517" customFormat="1" ht="31.2" customHeight="1">
      <c r="C2365" s="543">
        <v>1</v>
      </c>
      <c r="D2365" s="750" t="s">
        <v>7120</v>
      </c>
      <c r="E2365" s="203" t="s">
        <v>44</v>
      </c>
      <c r="F2365" s="753">
        <v>1.05</v>
      </c>
      <c r="G2365" s="205">
        <f>VLOOKUP(D2365,upahbahan,3,FALSE)</f>
        <v>0</v>
      </c>
      <c r="H2365" s="210">
        <f t="shared" ref="H2365:H2373" si="162">F2365*G2365</f>
        <v>0</v>
      </c>
      <c r="L2365" s="200"/>
      <c r="M2365" s="200"/>
      <c r="N2365" s="200"/>
      <c r="O2365" s="200"/>
      <c r="P2365" s="200"/>
    </row>
    <row r="2366" spans="3:20" s="517" customFormat="1" ht="31.2" customHeight="1">
      <c r="C2366" s="543">
        <v>2</v>
      </c>
      <c r="D2366" s="750" t="s">
        <v>5563</v>
      </c>
      <c r="E2366" s="203" t="s">
        <v>65</v>
      </c>
      <c r="F2366" s="753">
        <v>0.01</v>
      </c>
      <c r="G2366" s="205">
        <f>VLOOKUP(D2366,upahbahan,3,FALSE)</f>
        <v>0</v>
      </c>
      <c r="H2366" s="210">
        <f t="shared" si="162"/>
        <v>0</v>
      </c>
      <c r="L2366" s="200"/>
      <c r="M2366" s="200"/>
      <c r="N2366" s="200"/>
      <c r="O2366" s="200"/>
      <c r="P2366" s="200"/>
    </row>
    <row r="2367" spans="3:20" s="517" customFormat="1" ht="31.2" customHeight="1">
      <c r="C2367" s="543">
        <v>3</v>
      </c>
      <c r="D2367" s="750" t="s">
        <v>5555</v>
      </c>
      <c r="E2367" s="203"/>
      <c r="F2367" s="753"/>
      <c r="G2367" s="197"/>
      <c r="H2367" s="210">
        <f t="shared" si="162"/>
        <v>0</v>
      </c>
      <c r="L2367" s="200"/>
      <c r="M2367" s="200"/>
      <c r="N2367" s="200"/>
      <c r="O2367" s="200"/>
      <c r="P2367" s="200"/>
    </row>
    <row r="2368" spans="3:20" s="517" customFormat="1" ht="31.2" customHeight="1">
      <c r="C2368" s="754" t="s">
        <v>5293</v>
      </c>
      <c r="D2368" s="750" t="s">
        <v>7053</v>
      </c>
      <c r="E2368" s="203" t="s">
        <v>113</v>
      </c>
      <c r="F2368" s="760">
        <v>12</v>
      </c>
      <c r="G2368" s="205">
        <f>VLOOKUP(D2368,upahbahan,3,FALSE)</f>
        <v>0</v>
      </c>
      <c r="H2368" s="210">
        <f t="shared" si="162"/>
        <v>0</v>
      </c>
      <c r="L2368" s="200"/>
      <c r="M2368" s="200"/>
      <c r="N2368" s="200"/>
      <c r="O2368" s="200"/>
      <c r="P2368" s="200"/>
    </row>
    <row r="2369" spans="3:16" s="517" customFormat="1" ht="31.2" customHeight="1">
      <c r="C2369" s="754" t="s">
        <v>5299</v>
      </c>
      <c r="D2369" s="750" t="s">
        <v>7055</v>
      </c>
      <c r="E2369" s="203" t="s">
        <v>113</v>
      </c>
      <c r="F2369" s="760">
        <v>10</v>
      </c>
      <c r="G2369" s="205">
        <f>VLOOKUP(D2369,upahbahan,3,FALSE)</f>
        <v>0</v>
      </c>
      <c r="H2369" s="210">
        <f t="shared" si="162"/>
        <v>0</v>
      </c>
      <c r="L2369" s="200"/>
      <c r="M2369" s="200"/>
      <c r="N2369" s="200"/>
      <c r="O2369" s="200"/>
      <c r="P2369" s="200"/>
    </row>
    <row r="2370" spans="3:16" s="517" customFormat="1" ht="31.2" customHeight="1">
      <c r="C2370" s="543">
        <v>4</v>
      </c>
      <c r="D2370" s="750" t="s">
        <v>5556</v>
      </c>
      <c r="E2370" s="203"/>
      <c r="F2370" s="753"/>
      <c r="G2370" s="197"/>
      <c r="H2370" s="210">
        <f t="shared" si="162"/>
        <v>0</v>
      </c>
      <c r="L2370" s="200"/>
      <c r="M2370" s="200"/>
      <c r="N2370" s="200"/>
      <c r="O2370" s="200"/>
      <c r="P2370" s="200"/>
    </row>
    <row r="2371" spans="3:16" s="517" customFormat="1" ht="31.2" customHeight="1">
      <c r="C2371" s="754" t="s">
        <v>5293</v>
      </c>
      <c r="D2371" s="750" t="s">
        <v>2084</v>
      </c>
      <c r="E2371" s="203" t="s">
        <v>42</v>
      </c>
      <c r="F2371" s="753">
        <v>7.2999999999999995E-2</v>
      </c>
      <c r="G2371" s="205">
        <f>VLOOKUP(D2371,upahbahan,3,FALSE)</f>
        <v>0</v>
      </c>
      <c r="H2371" s="210">
        <f t="shared" si="162"/>
        <v>0</v>
      </c>
      <c r="L2371" s="200"/>
      <c r="M2371" s="200"/>
      <c r="N2371" s="200"/>
      <c r="O2371" s="200"/>
      <c r="P2371" s="200"/>
    </row>
    <row r="2372" spans="3:16" s="517" customFormat="1" ht="31.2" customHeight="1">
      <c r="C2372" s="754" t="s">
        <v>5299</v>
      </c>
      <c r="D2372" s="750" t="s">
        <v>5566</v>
      </c>
      <c r="E2372" s="203" t="s">
        <v>42</v>
      </c>
      <c r="F2372" s="753">
        <v>0.02</v>
      </c>
      <c r="G2372" s="205">
        <f>VLOOKUP(D2372,upahbahan,3,FALSE)</f>
        <v>0</v>
      </c>
      <c r="H2372" s="210">
        <f t="shared" si="162"/>
        <v>0</v>
      </c>
      <c r="L2372" s="200"/>
      <c r="M2372" s="200"/>
      <c r="N2372" s="200"/>
      <c r="O2372" s="200"/>
      <c r="P2372" s="200"/>
    </row>
    <row r="2373" spans="3:16" s="517" customFormat="1" ht="31.2" customHeight="1">
      <c r="C2373" s="754" t="s">
        <v>5558</v>
      </c>
      <c r="D2373" s="750" t="s">
        <v>2325</v>
      </c>
      <c r="E2373" s="203" t="s">
        <v>42</v>
      </c>
      <c r="F2373" s="762">
        <v>5.0000000000000001E-3</v>
      </c>
      <c r="G2373" s="205">
        <f>VLOOKUP(D2373,upahbahan,3,FALSE)</f>
        <v>0</v>
      </c>
      <c r="H2373" s="210">
        <f t="shared" si="162"/>
        <v>0</v>
      </c>
      <c r="L2373" s="200"/>
      <c r="M2373" s="200"/>
      <c r="N2373" s="200"/>
      <c r="O2373" s="200"/>
      <c r="P2373" s="200"/>
    </row>
    <row r="2374" spans="3:16" s="517" customFormat="1" ht="31.2" customHeight="1">
      <c r="C2374" s="207" t="s">
        <v>1214</v>
      </c>
      <c r="D2374" s="208"/>
      <c r="E2374" s="568"/>
      <c r="F2374" s="208"/>
      <c r="G2374" s="209"/>
      <c r="H2374" s="210">
        <f>SUM(H2365:H2373)</f>
        <v>0</v>
      </c>
      <c r="L2374" s="200"/>
      <c r="M2374" s="200"/>
      <c r="N2374" s="200"/>
      <c r="O2374" s="200"/>
      <c r="P2374" s="200"/>
    </row>
    <row r="2375" spans="3:16" s="517" customFormat="1" ht="31.2" customHeight="1">
      <c r="C2375" s="756" t="s">
        <v>1215</v>
      </c>
      <c r="D2375" s="196" t="s">
        <v>1216</v>
      </c>
      <c r="E2375" s="203"/>
      <c r="F2375" s="197"/>
      <c r="G2375" s="197"/>
      <c r="H2375" s="198"/>
      <c r="L2375" s="200"/>
      <c r="M2375" s="200"/>
      <c r="N2375" s="200"/>
      <c r="O2375" s="200"/>
      <c r="P2375" s="200"/>
    </row>
    <row r="2376" spans="3:16" s="517" customFormat="1" ht="31.2" customHeight="1">
      <c r="C2376" s="207" t="s">
        <v>1217</v>
      </c>
      <c r="D2376" s="208"/>
      <c r="E2376" s="208"/>
      <c r="F2376" s="208"/>
      <c r="G2376" s="209"/>
      <c r="H2376" s="240">
        <f>SUM(H2375)</f>
        <v>0</v>
      </c>
      <c r="L2376" s="200"/>
      <c r="M2376" s="200"/>
      <c r="N2376" s="200"/>
      <c r="O2376" s="200"/>
      <c r="P2376" s="200"/>
    </row>
    <row r="2377" spans="3:16" s="517" customFormat="1" ht="31.2" customHeight="1">
      <c r="C2377" s="223" t="s">
        <v>1218</v>
      </c>
      <c r="D2377" s="224" t="s">
        <v>1219</v>
      </c>
      <c r="E2377" s="225"/>
      <c r="F2377" s="225"/>
      <c r="G2377" s="226"/>
      <c r="H2377" s="210">
        <f>H2376+H2374+H2363</f>
        <v>24824.25</v>
      </c>
      <c r="L2377" s="200"/>
      <c r="M2377" s="200"/>
      <c r="N2377" s="200"/>
      <c r="O2377" s="200"/>
      <c r="P2377" s="200"/>
    </row>
    <row r="2378" spans="3:16" s="517" customFormat="1" ht="31.2" customHeight="1">
      <c r="C2378" s="223" t="s">
        <v>1220</v>
      </c>
      <c r="D2378" s="224" t="s">
        <v>1321</v>
      </c>
      <c r="E2378" s="225"/>
      <c r="F2378" s="226"/>
      <c r="G2378" s="228">
        <v>0.1</v>
      </c>
      <c r="H2378" s="210">
        <f>H2377*G2378</f>
        <v>2482.4250000000002</v>
      </c>
      <c r="L2378" s="200"/>
      <c r="M2378" s="200"/>
      <c r="N2378" s="200"/>
      <c r="O2378" s="200"/>
      <c r="P2378" s="200"/>
    </row>
    <row r="2379" spans="3:16" s="517" customFormat="1" ht="31.2" customHeight="1" thickBot="1">
      <c r="C2379" s="229" t="s">
        <v>1221</v>
      </c>
      <c r="D2379" s="230" t="s">
        <v>1222</v>
      </c>
      <c r="E2379" s="231"/>
      <c r="F2379" s="231"/>
      <c r="G2379" s="232"/>
      <c r="H2379" s="233">
        <f>SUM(H2377:H2378)</f>
        <v>27306.674999999999</v>
      </c>
      <c r="L2379" s="200"/>
      <c r="M2379" s="200"/>
      <c r="N2379" s="200"/>
      <c r="O2379" s="200"/>
      <c r="P2379" s="200"/>
    </row>
    <row r="2380" spans="3:16" ht="31.2" customHeight="1" thickTop="1">
      <c r="D2380" s="758" t="s">
        <v>7086</v>
      </c>
    </row>
    <row r="2381" spans="3:16" ht="31.2" customHeight="1">
      <c r="C2381" s="757" t="s">
        <v>6950</v>
      </c>
      <c r="F2381" s="758"/>
      <c r="H2381" s="758" t="s">
        <v>6959</v>
      </c>
    </row>
    <row r="2382" spans="3:16" ht="31.2" customHeight="1">
      <c r="C2382" s="200" t="s">
        <v>6951</v>
      </c>
      <c r="F2382" s="758"/>
    </row>
    <row r="2383" spans="3:16" ht="31.2" customHeight="1">
      <c r="C2383" s="200" t="s">
        <v>6952</v>
      </c>
      <c r="F2383" s="758"/>
    </row>
    <row r="2384" spans="3:16" ht="31.2" customHeight="1"/>
    <row r="2385" spans="3:20" s="517" customFormat="1" ht="31.2" customHeight="1" thickBot="1">
      <c r="C2385" s="513" t="s">
        <v>7121</v>
      </c>
      <c r="D2385" s="748" t="s">
        <v>7122</v>
      </c>
      <c r="E2385" s="749"/>
      <c r="F2385" s="748"/>
      <c r="G2385" s="748"/>
      <c r="H2385" s="532"/>
      <c r="I2385" s="532"/>
      <c r="J2385" s="532"/>
      <c r="K2385" s="532"/>
      <c r="M2385" s="189"/>
      <c r="N2385" s="189"/>
      <c r="O2385" s="189"/>
      <c r="P2385" s="189"/>
      <c r="R2385" s="189">
        <f>ROUNDDOWN(H2408,-2)</f>
        <v>27300</v>
      </c>
      <c r="S2385" s="517" t="s">
        <v>6451</v>
      </c>
      <c r="T2385" s="517" t="s">
        <v>7014</v>
      </c>
    </row>
    <row r="2386" spans="3:20" s="517" customFormat="1" ht="31.2" customHeight="1" thickTop="1">
      <c r="C2386" s="190" t="s">
        <v>1195</v>
      </c>
      <c r="D2386" s="191" t="s">
        <v>1196</v>
      </c>
      <c r="E2386" s="191" t="s">
        <v>1197</v>
      </c>
      <c r="F2386" s="191" t="s">
        <v>1198</v>
      </c>
      <c r="G2386" s="191" t="s">
        <v>1199</v>
      </c>
      <c r="H2386" s="192" t="s">
        <v>1200</v>
      </c>
      <c r="L2386" s="200"/>
      <c r="M2386" s="200"/>
      <c r="N2386" s="200"/>
      <c r="O2386" s="200"/>
      <c r="P2386" s="200"/>
    </row>
    <row r="2387" spans="3:20" s="517" customFormat="1" ht="31.2" customHeight="1">
      <c r="C2387" s="518" t="s">
        <v>1201</v>
      </c>
      <c r="D2387" s="196" t="s">
        <v>1202</v>
      </c>
      <c r="E2387" s="197"/>
      <c r="F2387" s="197"/>
      <c r="G2387" s="197"/>
      <c r="H2387" s="198"/>
      <c r="L2387" s="200"/>
      <c r="M2387" s="200"/>
      <c r="N2387" s="200"/>
      <c r="O2387" s="200"/>
      <c r="P2387" s="200"/>
    </row>
    <row r="2388" spans="3:20" s="517" customFormat="1" ht="31.2" customHeight="1">
      <c r="C2388" s="518">
        <v>1</v>
      </c>
      <c r="D2388" s="196" t="s">
        <v>5</v>
      </c>
      <c r="E2388" s="203" t="s">
        <v>2102</v>
      </c>
      <c r="F2388" s="763">
        <v>6.7000000000000004E-2</v>
      </c>
      <c r="G2388" s="205">
        <f>VLOOKUP(D2388,upahbahan,3,FALSE)</f>
        <v>100000</v>
      </c>
      <c r="H2388" s="210">
        <f t="shared" ref="H2388:H2391" si="163">F2388*G2388</f>
        <v>6700</v>
      </c>
      <c r="L2388" s="200"/>
      <c r="M2388" s="200"/>
      <c r="N2388" s="200"/>
      <c r="O2388" s="200"/>
      <c r="P2388" s="200"/>
    </row>
    <row r="2389" spans="3:20" s="517" customFormat="1" ht="31.2" customHeight="1">
      <c r="C2389" s="537">
        <v>2</v>
      </c>
      <c r="D2389" s="196" t="s">
        <v>6954</v>
      </c>
      <c r="E2389" s="202" t="s">
        <v>6</v>
      </c>
      <c r="F2389" s="520">
        <v>6.7000000000000004E-2</v>
      </c>
      <c r="G2389" s="205">
        <f>VLOOKUP(D2389,upahbahan,3,FALSE)</f>
        <v>181250</v>
      </c>
      <c r="H2389" s="210">
        <f t="shared" si="163"/>
        <v>12143.75</v>
      </c>
      <c r="L2389" s="200"/>
      <c r="M2389" s="200"/>
      <c r="N2389" s="200"/>
      <c r="O2389" s="200"/>
      <c r="P2389" s="200"/>
    </row>
    <row r="2390" spans="3:20" s="517" customFormat="1" ht="31.2" customHeight="1">
      <c r="C2390" s="537">
        <v>3</v>
      </c>
      <c r="D2390" s="196" t="s">
        <v>6948</v>
      </c>
      <c r="E2390" s="202" t="s">
        <v>2102</v>
      </c>
      <c r="F2390" s="520">
        <v>2.1999999999999999E-2</v>
      </c>
      <c r="G2390" s="205">
        <f>VLOOKUP(D2390,upahbahan,3,FALSE)</f>
        <v>218750</v>
      </c>
      <c r="H2390" s="210">
        <f t="shared" si="163"/>
        <v>4812.5</v>
      </c>
      <c r="L2390" s="200"/>
      <c r="M2390" s="200"/>
      <c r="N2390" s="200"/>
      <c r="O2390" s="200"/>
      <c r="P2390" s="200"/>
    </row>
    <row r="2391" spans="3:20" s="517" customFormat="1" ht="31.2" customHeight="1">
      <c r="C2391" s="537">
        <v>4</v>
      </c>
      <c r="D2391" s="196" t="s">
        <v>19</v>
      </c>
      <c r="E2391" s="202" t="s">
        <v>6</v>
      </c>
      <c r="F2391" s="520">
        <v>7.3000000000000001E-3</v>
      </c>
      <c r="G2391" s="205">
        <f>VLOOKUP(D2391,upahbahan,3,FALSE)</f>
        <v>160000</v>
      </c>
      <c r="H2391" s="210">
        <f t="shared" si="163"/>
        <v>1168</v>
      </c>
      <c r="L2391" s="200"/>
      <c r="M2391" s="200"/>
      <c r="N2391" s="200"/>
      <c r="O2391" s="200"/>
      <c r="P2391" s="200"/>
    </row>
    <row r="2392" spans="3:20" s="517" customFormat="1" ht="31.2" customHeight="1">
      <c r="C2392" s="207" t="s">
        <v>1208</v>
      </c>
      <c r="D2392" s="208"/>
      <c r="E2392" s="208"/>
      <c r="F2392" s="521"/>
      <c r="G2392" s="522"/>
      <c r="H2392" s="210">
        <f>SUM(H2388:H2391)</f>
        <v>24824.25</v>
      </c>
      <c r="L2392" s="523"/>
      <c r="M2392" s="523"/>
      <c r="N2392" s="523"/>
      <c r="O2392" s="523"/>
      <c r="P2392" s="523"/>
    </row>
    <row r="2393" spans="3:20" s="517" customFormat="1" ht="31.2" customHeight="1">
      <c r="C2393" s="543" t="s">
        <v>1209</v>
      </c>
      <c r="D2393" s="750" t="s">
        <v>1210</v>
      </c>
      <c r="E2393" s="197"/>
      <c r="F2393" s="751"/>
      <c r="G2393" s="197"/>
      <c r="H2393" s="752"/>
      <c r="L2393" s="200"/>
      <c r="M2393" s="200"/>
      <c r="N2393" s="200"/>
      <c r="O2393" s="200"/>
      <c r="P2393" s="200"/>
    </row>
    <row r="2394" spans="3:20" s="517" customFormat="1" ht="31.2" customHeight="1">
      <c r="C2394" s="543">
        <v>1</v>
      </c>
      <c r="D2394" s="750" t="s">
        <v>7123</v>
      </c>
      <c r="E2394" s="203" t="s">
        <v>44</v>
      </c>
      <c r="F2394" s="753">
        <v>1.05</v>
      </c>
      <c r="G2394" s="205">
        <f>VLOOKUP(D2394,upahbahan,3,FALSE)</f>
        <v>0</v>
      </c>
      <c r="H2394" s="210">
        <f t="shared" ref="H2394:H2402" si="164">F2394*G2394</f>
        <v>0</v>
      </c>
      <c r="L2394" s="200"/>
      <c r="M2394" s="200"/>
      <c r="N2394" s="200"/>
      <c r="O2394" s="200"/>
      <c r="P2394" s="200"/>
    </row>
    <row r="2395" spans="3:20" s="517" customFormat="1" ht="31.2" customHeight="1">
      <c r="C2395" s="543">
        <v>2</v>
      </c>
      <c r="D2395" s="750" t="s">
        <v>5563</v>
      </c>
      <c r="E2395" s="203" t="s">
        <v>65</v>
      </c>
      <c r="F2395" s="753">
        <v>0.01</v>
      </c>
      <c r="G2395" s="205">
        <f>VLOOKUP(D2395,upahbahan,3,FALSE)</f>
        <v>0</v>
      </c>
      <c r="H2395" s="210">
        <f t="shared" si="164"/>
        <v>0</v>
      </c>
      <c r="L2395" s="200"/>
      <c r="M2395" s="200"/>
      <c r="N2395" s="200"/>
      <c r="O2395" s="200"/>
      <c r="P2395" s="200"/>
    </row>
    <row r="2396" spans="3:20" s="517" customFormat="1" ht="31.2" customHeight="1">
      <c r="C2396" s="543">
        <v>3</v>
      </c>
      <c r="D2396" s="750" t="s">
        <v>5555</v>
      </c>
      <c r="E2396" s="203"/>
      <c r="F2396" s="753"/>
      <c r="G2396" s="197"/>
      <c r="H2396" s="210">
        <f t="shared" si="164"/>
        <v>0</v>
      </c>
      <c r="L2396" s="200"/>
      <c r="M2396" s="200"/>
      <c r="N2396" s="200"/>
      <c r="O2396" s="200"/>
      <c r="P2396" s="200"/>
    </row>
    <row r="2397" spans="3:20" s="517" customFormat="1" ht="31.2" customHeight="1">
      <c r="C2397" s="754" t="s">
        <v>5293</v>
      </c>
      <c r="D2397" s="750" t="s">
        <v>7053</v>
      </c>
      <c r="E2397" s="203" t="s">
        <v>113</v>
      </c>
      <c r="F2397" s="760">
        <v>12</v>
      </c>
      <c r="G2397" s="205">
        <f>VLOOKUP(D2397,upahbahan,3,FALSE)</f>
        <v>0</v>
      </c>
      <c r="H2397" s="210">
        <f t="shared" si="164"/>
        <v>0</v>
      </c>
      <c r="L2397" s="200"/>
      <c r="M2397" s="200"/>
      <c r="N2397" s="200"/>
      <c r="O2397" s="200"/>
      <c r="P2397" s="200"/>
    </row>
    <row r="2398" spans="3:20" s="517" customFormat="1" ht="31.2" customHeight="1">
      <c r="C2398" s="754" t="s">
        <v>5299</v>
      </c>
      <c r="D2398" s="750" t="s">
        <v>7055</v>
      </c>
      <c r="E2398" s="203" t="s">
        <v>113</v>
      </c>
      <c r="F2398" s="760">
        <v>10</v>
      </c>
      <c r="G2398" s="205">
        <f>VLOOKUP(D2398,upahbahan,3,FALSE)</f>
        <v>0</v>
      </c>
      <c r="H2398" s="210">
        <f t="shared" si="164"/>
        <v>0</v>
      </c>
      <c r="L2398" s="200"/>
      <c r="M2398" s="200"/>
      <c r="N2398" s="200"/>
      <c r="O2398" s="200"/>
      <c r="P2398" s="200"/>
    </row>
    <row r="2399" spans="3:20" s="517" customFormat="1" ht="31.2" customHeight="1">
      <c r="C2399" s="543">
        <v>4</v>
      </c>
      <c r="D2399" s="750" t="s">
        <v>5556</v>
      </c>
      <c r="E2399" s="203"/>
      <c r="F2399" s="753"/>
      <c r="G2399" s="197"/>
      <c r="H2399" s="210">
        <f t="shared" si="164"/>
        <v>0</v>
      </c>
      <c r="L2399" s="200"/>
      <c r="M2399" s="200"/>
      <c r="N2399" s="200"/>
      <c r="O2399" s="200"/>
      <c r="P2399" s="200"/>
    </row>
    <row r="2400" spans="3:20" s="517" customFormat="1" ht="31.2" customHeight="1">
      <c r="C2400" s="754" t="s">
        <v>5293</v>
      </c>
      <c r="D2400" s="750" t="s">
        <v>2084</v>
      </c>
      <c r="E2400" s="203" t="s">
        <v>42</v>
      </c>
      <c r="F2400" s="753">
        <v>7.2999999999999995E-2</v>
      </c>
      <c r="G2400" s="205">
        <f>VLOOKUP(D2400,upahbahan,3,FALSE)</f>
        <v>0</v>
      </c>
      <c r="H2400" s="210">
        <f t="shared" si="164"/>
        <v>0</v>
      </c>
      <c r="L2400" s="200"/>
      <c r="M2400" s="200"/>
      <c r="N2400" s="200"/>
      <c r="O2400" s="200"/>
      <c r="P2400" s="200"/>
    </row>
    <row r="2401" spans="3:20" s="517" customFormat="1" ht="31.2" customHeight="1">
      <c r="C2401" s="754" t="s">
        <v>5299</v>
      </c>
      <c r="D2401" s="750" t="s">
        <v>5566</v>
      </c>
      <c r="E2401" s="203" t="s">
        <v>42</v>
      </c>
      <c r="F2401" s="753">
        <v>0.02</v>
      </c>
      <c r="G2401" s="205">
        <f>VLOOKUP(D2401,upahbahan,3,FALSE)</f>
        <v>0</v>
      </c>
      <c r="H2401" s="210">
        <f t="shared" si="164"/>
        <v>0</v>
      </c>
      <c r="L2401" s="200"/>
      <c r="M2401" s="200"/>
      <c r="N2401" s="200"/>
      <c r="O2401" s="200"/>
      <c r="P2401" s="200"/>
    </row>
    <row r="2402" spans="3:20" s="517" customFormat="1" ht="31.2" customHeight="1">
      <c r="C2402" s="754" t="s">
        <v>5558</v>
      </c>
      <c r="D2402" s="750" t="s">
        <v>2325</v>
      </c>
      <c r="E2402" s="203" t="s">
        <v>42</v>
      </c>
      <c r="F2402" s="762">
        <v>5.0000000000000001E-3</v>
      </c>
      <c r="G2402" s="205">
        <f>VLOOKUP(D2402,upahbahan,3,FALSE)</f>
        <v>0</v>
      </c>
      <c r="H2402" s="210">
        <f t="shared" si="164"/>
        <v>0</v>
      </c>
      <c r="L2402" s="200"/>
      <c r="M2402" s="200"/>
      <c r="N2402" s="200"/>
      <c r="O2402" s="200"/>
      <c r="P2402" s="200"/>
    </row>
    <row r="2403" spans="3:20" s="517" customFormat="1" ht="31.2" customHeight="1">
      <c r="C2403" s="207" t="s">
        <v>1214</v>
      </c>
      <c r="D2403" s="208"/>
      <c r="E2403" s="568"/>
      <c r="F2403" s="208"/>
      <c r="G2403" s="209"/>
      <c r="H2403" s="210">
        <f>SUM(H2394:H2402)</f>
        <v>0</v>
      </c>
      <c r="L2403" s="200"/>
      <c r="M2403" s="200"/>
      <c r="N2403" s="200"/>
      <c r="O2403" s="200"/>
      <c r="P2403" s="200"/>
    </row>
    <row r="2404" spans="3:20" s="517" customFormat="1" ht="31.2" customHeight="1">
      <c r="C2404" s="756" t="s">
        <v>1215</v>
      </c>
      <c r="D2404" s="196" t="s">
        <v>1216</v>
      </c>
      <c r="E2404" s="203"/>
      <c r="F2404" s="197"/>
      <c r="G2404" s="197"/>
      <c r="H2404" s="198"/>
      <c r="L2404" s="200"/>
      <c r="M2404" s="200"/>
      <c r="N2404" s="200"/>
      <c r="O2404" s="200"/>
      <c r="P2404" s="200"/>
    </row>
    <row r="2405" spans="3:20" s="517" customFormat="1" ht="31.2" customHeight="1">
      <c r="C2405" s="207" t="s">
        <v>1217</v>
      </c>
      <c r="D2405" s="208"/>
      <c r="E2405" s="208"/>
      <c r="F2405" s="208"/>
      <c r="G2405" s="209"/>
      <c r="H2405" s="240">
        <f>SUM(H2404)</f>
        <v>0</v>
      </c>
      <c r="L2405" s="200"/>
      <c r="M2405" s="200"/>
      <c r="N2405" s="200"/>
      <c r="O2405" s="200"/>
      <c r="P2405" s="200"/>
    </row>
    <row r="2406" spans="3:20" s="517" customFormat="1" ht="31.2" customHeight="1">
      <c r="C2406" s="223" t="s">
        <v>1218</v>
      </c>
      <c r="D2406" s="224" t="s">
        <v>1219</v>
      </c>
      <c r="E2406" s="225"/>
      <c r="F2406" s="225"/>
      <c r="G2406" s="226"/>
      <c r="H2406" s="210">
        <f>H2405+H2403+H2392</f>
        <v>24824.25</v>
      </c>
      <c r="L2406" s="200"/>
      <c r="M2406" s="200"/>
      <c r="N2406" s="200"/>
      <c r="O2406" s="200"/>
      <c r="P2406" s="200"/>
    </row>
    <row r="2407" spans="3:20" s="517" customFormat="1" ht="31.2" customHeight="1">
      <c r="C2407" s="223" t="s">
        <v>1220</v>
      </c>
      <c r="D2407" s="224" t="s">
        <v>1321</v>
      </c>
      <c r="E2407" s="225"/>
      <c r="F2407" s="226"/>
      <c r="G2407" s="228">
        <v>0.1</v>
      </c>
      <c r="H2407" s="210">
        <f>H2406*G2407</f>
        <v>2482.4250000000002</v>
      </c>
      <c r="L2407" s="200"/>
      <c r="M2407" s="200"/>
      <c r="N2407" s="200"/>
      <c r="O2407" s="200"/>
      <c r="P2407" s="200"/>
    </row>
    <row r="2408" spans="3:20" s="517" customFormat="1" ht="31.2" customHeight="1" thickBot="1">
      <c r="C2408" s="229" t="s">
        <v>1221</v>
      </c>
      <c r="D2408" s="230" t="s">
        <v>1222</v>
      </c>
      <c r="E2408" s="231"/>
      <c r="F2408" s="231"/>
      <c r="G2408" s="232"/>
      <c r="H2408" s="233">
        <f>SUM(H2406:H2407)</f>
        <v>27306.674999999999</v>
      </c>
      <c r="L2408" s="200"/>
      <c r="M2408" s="200"/>
      <c r="N2408" s="200"/>
      <c r="O2408" s="200"/>
      <c r="P2408" s="200"/>
    </row>
    <row r="2409" spans="3:20" ht="31.2" customHeight="1" thickTop="1">
      <c r="D2409" s="758" t="s">
        <v>7086</v>
      </c>
    </row>
    <row r="2410" spans="3:20" ht="31.2" customHeight="1">
      <c r="C2410" s="757" t="s">
        <v>6950</v>
      </c>
      <c r="F2410" s="758"/>
      <c r="H2410" s="758" t="s">
        <v>6959</v>
      </c>
    </row>
    <row r="2411" spans="3:20" ht="31.2" customHeight="1">
      <c r="C2411" s="200" t="s">
        <v>6951</v>
      </c>
      <c r="F2411" s="758"/>
    </row>
    <row r="2412" spans="3:20" ht="31.2" customHeight="1">
      <c r="C2412" s="200" t="s">
        <v>6952</v>
      </c>
      <c r="F2412" s="758"/>
    </row>
    <row r="2413" spans="3:20" ht="31.2" customHeight="1"/>
    <row r="2414" spans="3:20" s="517" customFormat="1" ht="31.2" customHeight="1" thickBot="1">
      <c r="C2414" s="513" t="s">
        <v>7124</v>
      </c>
      <c r="D2414" s="748" t="s">
        <v>7125</v>
      </c>
      <c r="E2414" s="749"/>
      <c r="F2414" s="748"/>
      <c r="G2414" s="748"/>
      <c r="H2414" s="532"/>
      <c r="I2414" s="532"/>
      <c r="J2414" s="532"/>
      <c r="K2414" s="532"/>
      <c r="M2414" s="189"/>
      <c r="N2414" s="189"/>
      <c r="O2414" s="189"/>
      <c r="P2414" s="189"/>
      <c r="R2414" s="189">
        <f>ROUNDDOWN(H2437,-2)</f>
        <v>27300</v>
      </c>
      <c r="S2414" s="517" t="s">
        <v>6451</v>
      </c>
      <c r="T2414" s="517" t="s">
        <v>7014</v>
      </c>
    </row>
    <row r="2415" spans="3:20" s="517" customFormat="1" ht="31.2" customHeight="1" thickTop="1">
      <c r="C2415" s="190" t="s">
        <v>1195</v>
      </c>
      <c r="D2415" s="191" t="s">
        <v>1196</v>
      </c>
      <c r="E2415" s="191" t="s">
        <v>1197</v>
      </c>
      <c r="F2415" s="191" t="s">
        <v>1198</v>
      </c>
      <c r="G2415" s="191" t="s">
        <v>1199</v>
      </c>
      <c r="H2415" s="192" t="s">
        <v>1200</v>
      </c>
      <c r="L2415" s="200"/>
      <c r="M2415" s="200"/>
      <c r="N2415" s="200"/>
      <c r="O2415" s="200"/>
      <c r="P2415" s="200"/>
    </row>
    <row r="2416" spans="3:20" s="517" customFormat="1" ht="31.2" customHeight="1">
      <c r="C2416" s="518" t="s">
        <v>1201</v>
      </c>
      <c r="D2416" s="196" t="s">
        <v>1202</v>
      </c>
      <c r="E2416" s="197"/>
      <c r="F2416" s="197"/>
      <c r="G2416" s="197"/>
      <c r="H2416" s="198"/>
      <c r="L2416" s="200"/>
      <c r="M2416" s="200"/>
      <c r="N2416" s="200"/>
      <c r="O2416" s="200"/>
      <c r="P2416" s="200"/>
    </row>
    <row r="2417" spans="3:16" s="517" customFormat="1" ht="31.2" customHeight="1">
      <c r="C2417" s="518">
        <v>1</v>
      </c>
      <c r="D2417" s="196" t="s">
        <v>5</v>
      </c>
      <c r="E2417" s="203" t="s">
        <v>2102</v>
      </c>
      <c r="F2417" s="763">
        <v>6.7000000000000004E-2</v>
      </c>
      <c r="G2417" s="205">
        <f>VLOOKUP(D2417,upahbahan,3,FALSE)</f>
        <v>100000</v>
      </c>
      <c r="H2417" s="210">
        <f t="shared" ref="H2417:H2420" si="165">F2417*G2417</f>
        <v>6700</v>
      </c>
      <c r="L2417" s="200"/>
      <c r="M2417" s="200"/>
      <c r="N2417" s="200"/>
      <c r="O2417" s="200"/>
      <c r="P2417" s="200"/>
    </row>
    <row r="2418" spans="3:16" s="517" customFormat="1" ht="31.2" customHeight="1">
      <c r="C2418" s="537">
        <v>2</v>
      </c>
      <c r="D2418" s="196" t="s">
        <v>6954</v>
      </c>
      <c r="E2418" s="202" t="s">
        <v>6</v>
      </c>
      <c r="F2418" s="520">
        <v>6.7000000000000004E-2</v>
      </c>
      <c r="G2418" s="205">
        <f>VLOOKUP(D2418,upahbahan,3,FALSE)</f>
        <v>181250</v>
      </c>
      <c r="H2418" s="210">
        <f t="shared" si="165"/>
        <v>12143.75</v>
      </c>
      <c r="L2418" s="200"/>
      <c r="M2418" s="200"/>
      <c r="N2418" s="200"/>
      <c r="O2418" s="200"/>
      <c r="P2418" s="200"/>
    </row>
    <row r="2419" spans="3:16" s="517" customFormat="1" ht="31.2" customHeight="1">
      <c r="C2419" s="537">
        <v>3</v>
      </c>
      <c r="D2419" s="196" t="s">
        <v>6948</v>
      </c>
      <c r="E2419" s="202" t="s">
        <v>2102</v>
      </c>
      <c r="F2419" s="520">
        <v>2.1999999999999999E-2</v>
      </c>
      <c r="G2419" s="205">
        <f>VLOOKUP(D2419,upahbahan,3,FALSE)</f>
        <v>218750</v>
      </c>
      <c r="H2419" s="210">
        <f t="shared" si="165"/>
        <v>4812.5</v>
      </c>
      <c r="L2419" s="200"/>
      <c r="M2419" s="200"/>
      <c r="N2419" s="200"/>
      <c r="O2419" s="200"/>
      <c r="P2419" s="200"/>
    </row>
    <row r="2420" spans="3:16" s="517" customFormat="1" ht="31.2" customHeight="1">
      <c r="C2420" s="537">
        <v>4</v>
      </c>
      <c r="D2420" s="196" t="s">
        <v>19</v>
      </c>
      <c r="E2420" s="202" t="s">
        <v>6</v>
      </c>
      <c r="F2420" s="520">
        <v>7.3000000000000001E-3</v>
      </c>
      <c r="G2420" s="205">
        <f>VLOOKUP(D2420,upahbahan,3,FALSE)</f>
        <v>160000</v>
      </c>
      <c r="H2420" s="210">
        <f t="shared" si="165"/>
        <v>1168</v>
      </c>
      <c r="L2420" s="200"/>
      <c r="M2420" s="200"/>
      <c r="N2420" s="200"/>
      <c r="O2420" s="200"/>
      <c r="P2420" s="200"/>
    </row>
    <row r="2421" spans="3:16" s="517" customFormat="1" ht="31.2" customHeight="1">
      <c r="C2421" s="207" t="s">
        <v>1208</v>
      </c>
      <c r="D2421" s="208"/>
      <c r="E2421" s="208"/>
      <c r="F2421" s="521"/>
      <c r="G2421" s="522"/>
      <c r="H2421" s="210">
        <f>SUM(H2417:H2420)</f>
        <v>24824.25</v>
      </c>
      <c r="L2421" s="523"/>
      <c r="M2421" s="523"/>
      <c r="N2421" s="523"/>
      <c r="O2421" s="523"/>
      <c r="P2421" s="523"/>
    </row>
    <row r="2422" spans="3:16" s="517" customFormat="1" ht="31.2" customHeight="1">
      <c r="C2422" s="543" t="s">
        <v>1209</v>
      </c>
      <c r="D2422" s="750" t="s">
        <v>1210</v>
      </c>
      <c r="E2422" s="197"/>
      <c r="F2422" s="751"/>
      <c r="G2422" s="197"/>
      <c r="H2422" s="752"/>
      <c r="L2422" s="200"/>
      <c r="M2422" s="200"/>
      <c r="N2422" s="200"/>
      <c r="O2422" s="200"/>
      <c r="P2422" s="200"/>
    </row>
    <row r="2423" spans="3:16" s="517" customFormat="1" ht="31.2" customHeight="1">
      <c r="C2423" s="543">
        <v>1</v>
      </c>
      <c r="D2423" s="750" t="s">
        <v>7126</v>
      </c>
      <c r="E2423" s="203" t="s">
        <v>44</v>
      </c>
      <c r="F2423" s="753">
        <v>1.05</v>
      </c>
      <c r="G2423" s="205">
        <f>VLOOKUP(D2423,upahbahan,3,FALSE)</f>
        <v>0</v>
      </c>
      <c r="H2423" s="210">
        <f t="shared" ref="H2423:H2431" si="166">F2423*G2423</f>
        <v>0</v>
      </c>
      <c r="L2423" s="200"/>
      <c r="M2423" s="200"/>
      <c r="N2423" s="200"/>
      <c r="O2423" s="200"/>
      <c r="P2423" s="200"/>
    </row>
    <row r="2424" spans="3:16" s="517" customFormat="1" ht="31.2" customHeight="1">
      <c r="C2424" s="543">
        <v>2</v>
      </c>
      <c r="D2424" s="750" t="s">
        <v>5563</v>
      </c>
      <c r="E2424" s="203" t="s">
        <v>65</v>
      </c>
      <c r="F2424" s="753">
        <v>0.01</v>
      </c>
      <c r="G2424" s="205">
        <f>VLOOKUP(D2424,upahbahan,3,FALSE)</f>
        <v>0</v>
      </c>
      <c r="H2424" s="210">
        <f t="shared" si="166"/>
        <v>0</v>
      </c>
      <c r="L2424" s="200"/>
      <c r="M2424" s="200"/>
      <c r="N2424" s="200"/>
      <c r="O2424" s="200"/>
      <c r="P2424" s="200"/>
    </row>
    <row r="2425" spans="3:16" s="517" customFormat="1" ht="31.2" customHeight="1">
      <c r="C2425" s="543">
        <v>3</v>
      </c>
      <c r="D2425" s="750" t="s">
        <v>5555</v>
      </c>
      <c r="E2425" s="203"/>
      <c r="F2425" s="753"/>
      <c r="G2425" s="197"/>
      <c r="H2425" s="210">
        <f t="shared" si="166"/>
        <v>0</v>
      </c>
      <c r="L2425" s="200"/>
      <c r="M2425" s="200"/>
      <c r="N2425" s="200"/>
      <c r="O2425" s="200"/>
      <c r="P2425" s="200"/>
    </row>
    <row r="2426" spans="3:16" s="517" customFormat="1" ht="31.2" customHeight="1">
      <c r="C2426" s="754" t="s">
        <v>5293</v>
      </c>
      <c r="D2426" s="750" t="s">
        <v>7053</v>
      </c>
      <c r="E2426" s="203" t="s">
        <v>113</v>
      </c>
      <c r="F2426" s="760">
        <v>12</v>
      </c>
      <c r="G2426" s="205">
        <f>VLOOKUP(D2426,upahbahan,3,FALSE)</f>
        <v>0</v>
      </c>
      <c r="H2426" s="210">
        <f t="shared" si="166"/>
        <v>0</v>
      </c>
      <c r="L2426" s="200"/>
      <c r="M2426" s="200"/>
      <c r="N2426" s="200"/>
      <c r="O2426" s="200"/>
      <c r="P2426" s="200"/>
    </row>
    <row r="2427" spans="3:16" s="517" customFormat="1" ht="31.2" customHeight="1">
      <c r="C2427" s="754" t="s">
        <v>5299</v>
      </c>
      <c r="D2427" s="750" t="s">
        <v>7055</v>
      </c>
      <c r="E2427" s="203" t="s">
        <v>113</v>
      </c>
      <c r="F2427" s="760">
        <v>10</v>
      </c>
      <c r="G2427" s="205">
        <f>VLOOKUP(D2427,upahbahan,3,FALSE)</f>
        <v>0</v>
      </c>
      <c r="H2427" s="210">
        <f t="shared" si="166"/>
        <v>0</v>
      </c>
      <c r="L2427" s="200"/>
      <c r="M2427" s="200"/>
      <c r="N2427" s="200"/>
      <c r="O2427" s="200"/>
      <c r="P2427" s="200"/>
    </row>
    <row r="2428" spans="3:16" s="517" customFormat="1" ht="31.2" customHeight="1">
      <c r="C2428" s="543">
        <v>4</v>
      </c>
      <c r="D2428" s="750" t="s">
        <v>5556</v>
      </c>
      <c r="E2428" s="203"/>
      <c r="F2428" s="753"/>
      <c r="G2428" s="197"/>
      <c r="H2428" s="210">
        <f t="shared" si="166"/>
        <v>0</v>
      </c>
      <c r="L2428" s="200"/>
      <c r="M2428" s="200"/>
      <c r="N2428" s="200"/>
      <c r="O2428" s="200"/>
      <c r="P2428" s="200"/>
    </row>
    <row r="2429" spans="3:16" s="517" customFormat="1" ht="31.2" customHeight="1">
      <c r="C2429" s="754" t="s">
        <v>5293</v>
      </c>
      <c r="D2429" s="750" t="s">
        <v>2084</v>
      </c>
      <c r="E2429" s="203" t="s">
        <v>42</v>
      </c>
      <c r="F2429" s="753">
        <v>7.2999999999999995E-2</v>
      </c>
      <c r="G2429" s="205">
        <f>VLOOKUP(D2429,upahbahan,3,FALSE)</f>
        <v>0</v>
      </c>
      <c r="H2429" s="210">
        <f t="shared" si="166"/>
        <v>0</v>
      </c>
      <c r="L2429" s="200"/>
      <c r="M2429" s="200"/>
      <c r="N2429" s="200"/>
      <c r="O2429" s="200"/>
      <c r="P2429" s="200"/>
    </row>
    <row r="2430" spans="3:16" s="517" customFormat="1" ht="31.2" customHeight="1">
      <c r="C2430" s="754" t="s">
        <v>5299</v>
      </c>
      <c r="D2430" s="750" t="s">
        <v>5566</v>
      </c>
      <c r="E2430" s="203" t="s">
        <v>42</v>
      </c>
      <c r="F2430" s="753">
        <v>0.02</v>
      </c>
      <c r="G2430" s="205">
        <f>VLOOKUP(D2430,upahbahan,3,FALSE)</f>
        <v>0</v>
      </c>
      <c r="H2430" s="210">
        <f t="shared" si="166"/>
        <v>0</v>
      </c>
      <c r="L2430" s="200"/>
      <c r="M2430" s="200"/>
      <c r="N2430" s="200"/>
      <c r="O2430" s="200"/>
      <c r="P2430" s="200"/>
    </row>
    <row r="2431" spans="3:16" s="517" customFormat="1" ht="31.2" customHeight="1">
      <c r="C2431" s="754" t="s">
        <v>5558</v>
      </c>
      <c r="D2431" s="750" t="s">
        <v>2325</v>
      </c>
      <c r="E2431" s="203" t="s">
        <v>42</v>
      </c>
      <c r="F2431" s="762">
        <v>5.0000000000000001E-3</v>
      </c>
      <c r="G2431" s="205">
        <f>VLOOKUP(D2431,upahbahan,3,FALSE)</f>
        <v>0</v>
      </c>
      <c r="H2431" s="210">
        <f t="shared" si="166"/>
        <v>0</v>
      </c>
      <c r="L2431" s="200"/>
      <c r="M2431" s="200"/>
      <c r="N2431" s="200"/>
      <c r="O2431" s="200"/>
      <c r="P2431" s="200"/>
    </row>
    <row r="2432" spans="3:16" s="517" customFormat="1" ht="31.2" customHeight="1">
      <c r="C2432" s="207" t="s">
        <v>1214</v>
      </c>
      <c r="D2432" s="208"/>
      <c r="E2432" s="568"/>
      <c r="F2432" s="208"/>
      <c r="G2432" s="209"/>
      <c r="H2432" s="210">
        <f>SUM(H2423:H2431)</f>
        <v>0</v>
      </c>
      <c r="L2432" s="200"/>
      <c r="M2432" s="200"/>
      <c r="N2432" s="200"/>
      <c r="O2432" s="200"/>
      <c r="P2432" s="200"/>
    </row>
    <row r="2433" spans="3:20" s="517" customFormat="1" ht="31.2" customHeight="1">
      <c r="C2433" s="756" t="s">
        <v>1215</v>
      </c>
      <c r="D2433" s="196" t="s">
        <v>1216</v>
      </c>
      <c r="E2433" s="203"/>
      <c r="F2433" s="197"/>
      <c r="G2433" s="197"/>
      <c r="H2433" s="198"/>
      <c r="L2433" s="200"/>
      <c r="M2433" s="200"/>
      <c r="N2433" s="200"/>
      <c r="O2433" s="200"/>
      <c r="P2433" s="200"/>
    </row>
    <row r="2434" spans="3:20" s="517" customFormat="1" ht="31.2" customHeight="1">
      <c r="C2434" s="207" t="s">
        <v>1217</v>
      </c>
      <c r="D2434" s="208"/>
      <c r="E2434" s="208"/>
      <c r="F2434" s="208"/>
      <c r="G2434" s="209"/>
      <c r="H2434" s="240">
        <f>SUM(H2433)</f>
        <v>0</v>
      </c>
      <c r="L2434" s="200"/>
      <c r="M2434" s="200"/>
      <c r="N2434" s="200"/>
      <c r="O2434" s="200"/>
      <c r="P2434" s="200"/>
    </row>
    <row r="2435" spans="3:20" s="517" customFormat="1" ht="31.2" customHeight="1">
      <c r="C2435" s="223" t="s">
        <v>1218</v>
      </c>
      <c r="D2435" s="224" t="s">
        <v>1219</v>
      </c>
      <c r="E2435" s="225"/>
      <c r="F2435" s="225"/>
      <c r="G2435" s="226"/>
      <c r="H2435" s="210">
        <f>H2434+H2432+H2421</f>
        <v>24824.25</v>
      </c>
      <c r="L2435" s="200"/>
      <c r="M2435" s="200"/>
      <c r="N2435" s="200"/>
      <c r="O2435" s="200"/>
      <c r="P2435" s="200"/>
    </row>
    <row r="2436" spans="3:20" s="517" customFormat="1" ht="31.2" customHeight="1">
      <c r="C2436" s="223" t="s">
        <v>1220</v>
      </c>
      <c r="D2436" s="224" t="s">
        <v>1321</v>
      </c>
      <c r="E2436" s="225"/>
      <c r="F2436" s="226"/>
      <c r="G2436" s="228">
        <v>0.1</v>
      </c>
      <c r="H2436" s="210">
        <f>H2435*G2436</f>
        <v>2482.4250000000002</v>
      </c>
      <c r="L2436" s="200"/>
      <c r="M2436" s="200"/>
      <c r="N2436" s="200"/>
      <c r="O2436" s="200"/>
      <c r="P2436" s="200"/>
    </row>
    <row r="2437" spans="3:20" s="517" customFormat="1" ht="31.2" customHeight="1" thickBot="1">
      <c r="C2437" s="229" t="s">
        <v>1221</v>
      </c>
      <c r="D2437" s="230" t="s">
        <v>1222</v>
      </c>
      <c r="E2437" s="231"/>
      <c r="F2437" s="231"/>
      <c r="G2437" s="232"/>
      <c r="H2437" s="233">
        <f>SUM(H2435:H2436)</f>
        <v>27306.674999999999</v>
      </c>
      <c r="L2437" s="200"/>
      <c r="M2437" s="200"/>
      <c r="N2437" s="200"/>
      <c r="O2437" s="200"/>
      <c r="P2437" s="200"/>
    </row>
    <row r="2438" spans="3:20" ht="31.2" customHeight="1" thickTop="1">
      <c r="D2438" s="758" t="s">
        <v>7086</v>
      </c>
    </row>
    <row r="2439" spans="3:20" ht="31.2" customHeight="1">
      <c r="C2439" s="757" t="s">
        <v>6950</v>
      </c>
      <c r="F2439" s="758"/>
      <c r="H2439" s="758" t="s">
        <v>6959</v>
      </c>
    </row>
    <row r="2440" spans="3:20" ht="31.2" customHeight="1">
      <c r="C2440" s="200" t="s">
        <v>6951</v>
      </c>
      <c r="F2440" s="758"/>
    </row>
    <row r="2441" spans="3:20" ht="31.2" customHeight="1">
      <c r="C2441" s="200" t="s">
        <v>6952</v>
      </c>
      <c r="F2441" s="758"/>
    </row>
    <row r="2442" spans="3:20" ht="31.2" customHeight="1"/>
    <row r="2443" spans="3:20" s="517" customFormat="1" ht="31.2" customHeight="1" thickBot="1">
      <c r="C2443" s="513" t="s">
        <v>7127</v>
      </c>
      <c r="D2443" s="748" t="s">
        <v>7128</v>
      </c>
      <c r="E2443" s="749"/>
      <c r="F2443" s="748"/>
      <c r="G2443" s="748"/>
      <c r="H2443" s="532"/>
      <c r="I2443" s="532"/>
      <c r="J2443" s="532"/>
      <c r="K2443" s="532"/>
      <c r="M2443" s="189"/>
      <c r="N2443" s="189"/>
      <c r="O2443" s="189"/>
      <c r="P2443" s="189"/>
      <c r="R2443" s="189">
        <f>ROUNDDOWN(H2466,-2)</f>
        <v>27300</v>
      </c>
      <c r="S2443" s="517" t="s">
        <v>6451</v>
      </c>
      <c r="T2443" s="517" t="s">
        <v>7014</v>
      </c>
    </row>
    <row r="2444" spans="3:20" s="517" customFormat="1" ht="31.2" customHeight="1" thickTop="1">
      <c r="C2444" s="190" t="s">
        <v>1195</v>
      </c>
      <c r="D2444" s="191" t="s">
        <v>1196</v>
      </c>
      <c r="E2444" s="191" t="s">
        <v>1197</v>
      </c>
      <c r="F2444" s="191" t="s">
        <v>1198</v>
      </c>
      <c r="G2444" s="191" t="s">
        <v>1199</v>
      </c>
      <c r="H2444" s="192" t="s">
        <v>1200</v>
      </c>
      <c r="L2444" s="200"/>
      <c r="M2444" s="200"/>
      <c r="N2444" s="200"/>
      <c r="O2444" s="200"/>
      <c r="P2444" s="200"/>
    </row>
    <row r="2445" spans="3:20" s="517" customFormat="1" ht="31.2" customHeight="1">
      <c r="C2445" s="518" t="s">
        <v>1201</v>
      </c>
      <c r="D2445" s="196" t="s">
        <v>1202</v>
      </c>
      <c r="E2445" s="197"/>
      <c r="F2445" s="197"/>
      <c r="G2445" s="197"/>
      <c r="H2445" s="198"/>
      <c r="L2445" s="200"/>
      <c r="M2445" s="200"/>
      <c r="N2445" s="200"/>
      <c r="O2445" s="200"/>
      <c r="P2445" s="200"/>
    </row>
    <row r="2446" spans="3:20" s="517" customFormat="1" ht="31.2" customHeight="1">
      <c r="C2446" s="518">
        <v>1</v>
      </c>
      <c r="D2446" s="196" t="s">
        <v>5</v>
      </c>
      <c r="E2446" s="203" t="s">
        <v>2102</v>
      </c>
      <c r="F2446" s="763">
        <v>6.7000000000000004E-2</v>
      </c>
      <c r="G2446" s="205">
        <f>VLOOKUP(D2446,upahbahan,3,FALSE)</f>
        <v>100000</v>
      </c>
      <c r="H2446" s="210">
        <f t="shared" ref="H2446:H2449" si="167">F2446*G2446</f>
        <v>6700</v>
      </c>
      <c r="L2446" s="200"/>
      <c r="M2446" s="200"/>
      <c r="N2446" s="200"/>
      <c r="O2446" s="200"/>
      <c r="P2446" s="200"/>
    </row>
    <row r="2447" spans="3:20" s="517" customFormat="1" ht="31.2" customHeight="1">
      <c r="C2447" s="537">
        <v>2</v>
      </c>
      <c r="D2447" s="196" t="s">
        <v>6954</v>
      </c>
      <c r="E2447" s="202" t="s">
        <v>6</v>
      </c>
      <c r="F2447" s="520">
        <v>6.7000000000000004E-2</v>
      </c>
      <c r="G2447" s="205">
        <f>VLOOKUP(D2447,upahbahan,3,FALSE)</f>
        <v>181250</v>
      </c>
      <c r="H2447" s="210">
        <f t="shared" si="167"/>
        <v>12143.75</v>
      </c>
      <c r="L2447" s="200"/>
      <c r="M2447" s="200"/>
      <c r="N2447" s="200"/>
      <c r="O2447" s="200"/>
      <c r="P2447" s="200"/>
    </row>
    <row r="2448" spans="3:20" s="517" customFormat="1" ht="31.2" customHeight="1">
      <c r="C2448" s="537">
        <v>3</v>
      </c>
      <c r="D2448" s="196" t="s">
        <v>6948</v>
      </c>
      <c r="E2448" s="202" t="s">
        <v>2102</v>
      </c>
      <c r="F2448" s="520">
        <v>2.1999999999999999E-2</v>
      </c>
      <c r="G2448" s="205">
        <f>VLOOKUP(D2448,upahbahan,3,FALSE)</f>
        <v>218750</v>
      </c>
      <c r="H2448" s="210">
        <f t="shared" si="167"/>
        <v>4812.5</v>
      </c>
      <c r="L2448" s="200"/>
      <c r="M2448" s="200"/>
      <c r="N2448" s="200"/>
      <c r="O2448" s="200"/>
      <c r="P2448" s="200"/>
    </row>
    <row r="2449" spans="3:16" s="517" customFormat="1" ht="31.2" customHeight="1">
      <c r="C2449" s="537">
        <v>4</v>
      </c>
      <c r="D2449" s="196" t="s">
        <v>19</v>
      </c>
      <c r="E2449" s="202" t="s">
        <v>6</v>
      </c>
      <c r="F2449" s="520">
        <v>7.3000000000000001E-3</v>
      </c>
      <c r="G2449" s="205">
        <f>VLOOKUP(D2449,upahbahan,3,FALSE)</f>
        <v>160000</v>
      </c>
      <c r="H2449" s="210">
        <f t="shared" si="167"/>
        <v>1168</v>
      </c>
      <c r="L2449" s="200"/>
      <c r="M2449" s="200"/>
      <c r="N2449" s="200"/>
      <c r="O2449" s="200"/>
      <c r="P2449" s="200"/>
    </row>
    <row r="2450" spans="3:16" s="517" customFormat="1" ht="31.2" customHeight="1">
      <c r="C2450" s="207" t="s">
        <v>1208</v>
      </c>
      <c r="D2450" s="208"/>
      <c r="E2450" s="208"/>
      <c r="F2450" s="521"/>
      <c r="G2450" s="522"/>
      <c r="H2450" s="210">
        <f>SUM(H2446:H2449)</f>
        <v>24824.25</v>
      </c>
      <c r="L2450" s="523"/>
      <c r="M2450" s="523"/>
      <c r="N2450" s="523"/>
      <c r="O2450" s="523"/>
      <c r="P2450" s="523"/>
    </row>
    <row r="2451" spans="3:16" s="517" customFormat="1" ht="31.2" customHeight="1">
      <c r="C2451" s="543" t="s">
        <v>1209</v>
      </c>
      <c r="D2451" s="750" t="s">
        <v>1210</v>
      </c>
      <c r="E2451" s="197"/>
      <c r="F2451" s="751"/>
      <c r="G2451" s="197"/>
      <c r="H2451" s="752"/>
      <c r="L2451" s="200"/>
      <c r="M2451" s="200"/>
      <c r="N2451" s="200"/>
      <c r="O2451" s="200"/>
      <c r="P2451" s="200"/>
    </row>
    <row r="2452" spans="3:16" s="517" customFormat="1" ht="31.2" customHeight="1">
      <c r="C2452" s="543">
        <v>1</v>
      </c>
      <c r="D2452" s="750" t="s">
        <v>7129</v>
      </c>
      <c r="E2452" s="203" t="s">
        <v>44</v>
      </c>
      <c r="F2452" s="753">
        <v>1.05</v>
      </c>
      <c r="G2452" s="205">
        <f>VLOOKUP(D2452,upahbahan,3,FALSE)</f>
        <v>0</v>
      </c>
      <c r="H2452" s="210">
        <f t="shared" ref="H2452:H2460" si="168">F2452*G2452</f>
        <v>0</v>
      </c>
      <c r="L2452" s="200"/>
      <c r="M2452" s="200"/>
      <c r="N2452" s="200"/>
      <c r="O2452" s="200"/>
      <c r="P2452" s="200"/>
    </row>
    <row r="2453" spans="3:16" s="517" customFormat="1" ht="31.2" customHeight="1">
      <c r="C2453" s="543">
        <v>2</v>
      </c>
      <c r="D2453" s="750" t="s">
        <v>5563</v>
      </c>
      <c r="E2453" s="203" t="s">
        <v>65</v>
      </c>
      <c r="F2453" s="753">
        <v>0.01</v>
      </c>
      <c r="G2453" s="205">
        <f>VLOOKUP(D2453,upahbahan,3,FALSE)</f>
        <v>0</v>
      </c>
      <c r="H2453" s="210">
        <f t="shared" si="168"/>
        <v>0</v>
      </c>
      <c r="L2453" s="200"/>
      <c r="M2453" s="200"/>
      <c r="N2453" s="200"/>
      <c r="O2453" s="200"/>
      <c r="P2453" s="200"/>
    </row>
    <row r="2454" spans="3:16" s="517" customFormat="1" ht="31.2" customHeight="1">
      <c r="C2454" s="543">
        <v>3</v>
      </c>
      <c r="D2454" s="750" t="s">
        <v>5555</v>
      </c>
      <c r="E2454" s="203"/>
      <c r="F2454" s="753"/>
      <c r="G2454" s="197"/>
      <c r="H2454" s="210">
        <f t="shared" si="168"/>
        <v>0</v>
      </c>
      <c r="L2454" s="200"/>
      <c r="M2454" s="200"/>
      <c r="N2454" s="200"/>
      <c r="O2454" s="200"/>
      <c r="P2454" s="200"/>
    </row>
    <row r="2455" spans="3:16" s="517" customFormat="1" ht="31.2" customHeight="1">
      <c r="C2455" s="754" t="s">
        <v>5293</v>
      </c>
      <c r="D2455" s="750" t="s">
        <v>7053</v>
      </c>
      <c r="E2455" s="203" t="s">
        <v>113</v>
      </c>
      <c r="F2455" s="760">
        <v>12</v>
      </c>
      <c r="G2455" s="205">
        <f>VLOOKUP(D2455,upahbahan,3,FALSE)</f>
        <v>0</v>
      </c>
      <c r="H2455" s="210">
        <f t="shared" si="168"/>
        <v>0</v>
      </c>
      <c r="L2455" s="200"/>
      <c r="M2455" s="200"/>
      <c r="N2455" s="200"/>
      <c r="O2455" s="200"/>
      <c r="P2455" s="200"/>
    </row>
    <row r="2456" spans="3:16" s="517" customFormat="1" ht="31.2" customHeight="1">
      <c r="C2456" s="754" t="s">
        <v>5299</v>
      </c>
      <c r="D2456" s="750" t="s">
        <v>7055</v>
      </c>
      <c r="E2456" s="203" t="s">
        <v>113</v>
      </c>
      <c r="F2456" s="760">
        <v>10</v>
      </c>
      <c r="G2456" s="205">
        <f>VLOOKUP(D2456,upahbahan,3,FALSE)</f>
        <v>0</v>
      </c>
      <c r="H2456" s="210">
        <f t="shared" si="168"/>
        <v>0</v>
      </c>
      <c r="L2456" s="200"/>
      <c r="M2456" s="200"/>
      <c r="N2456" s="200"/>
      <c r="O2456" s="200"/>
      <c r="P2456" s="200"/>
    </row>
    <row r="2457" spans="3:16" s="517" customFormat="1" ht="31.2" customHeight="1">
      <c r="C2457" s="543">
        <v>4</v>
      </c>
      <c r="D2457" s="750" t="s">
        <v>5556</v>
      </c>
      <c r="E2457" s="203"/>
      <c r="F2457" s="753"/>
      <c r="G2457" s="197"/>
      <c r="H2457" s="210">
        <f t="shared" si="168"/>
        <v>0</v>
      </c>
      <c r="L2457" s="200"/>
      <c r="M2457" s="200"/>
      <c r="N2457" s="200"/>
      <c r="O2457" s="200"/>
      <c r="P2457" s="200"/>
    </row>
    <row r="2458" spans="3:16" s="517" customFormat="1" ht="31.2" customHeight="1">
      <c r="C2458" s="754" t="s">
        <v>5293</v>
      </c>
      <c r="D2458" s="750" t="s">
        <v>2084</v>
      </c>
      <c r="E2458" s="203" t="s">
        <v>42</v>
      </c>
      <c r="F2458" s="753">
        <v>7.2999999999999995E-2</v>
      </c>
      <c r="G2458" s="205">
        <f>VLOOKUP(D2458,upahbahan,3,FALSE)</f>
        <v>0</v>
      </c>
      <c r="H2458" s="210">
        <f t="shared" si="168"/>
        <v>0</v>
      </c>
      <c r="L2458" s="200"/>
      <c r="M2458" s="200"/>
      <c r="N2458" s="200"/>
      <c r="O2458" s="200"/>
      <c r="P2458" s="200"/>
    </row>
    <row r="2459" spans="3:16" s="517" customFormat="1" ht="31.2" customHeight="1">
      <c r="C2459" s="754" t="s">
        <v>5299</v>
      </c>
      <c r="D2459" s="750" t="s">
        <v>5566</v>
      </c>
      <c r="E2459" s="203" t="s">
        <v>42</v>
      </c>
      <c r="F2459" s="753">
        <v>0.02</v>
      </c>
      <c r="G2459" s="205">
        <f>VLOOKUP(D2459,upahbahan,3,FALSE)</f>
        <v>0</v>
      </c>
      <c r="H2459" s="210">
        <f t="shared" si="168"/>
        <v>0</v>
      </c>
      <c r="L2459" s="200"/>
      <c r="M2459" s="200"/>
      <c r="N2459" s="200"/>
      <c r="O2459" s="200"/>
      <c r="P2459" s="200"/>
    </row>
    <row r="2460" spans="3:16" s="517" customFormat="1" ht="31.2" customHeight="1">
      <c r="C2460" s="754" t="s">
        <v>5558</v>
      </c>
      <c r="D2460" s="750" t="s">
        <v>2325</v>
      </c>
      <c r="E2460" s="203" t="s">
        <v>42</v>
      </c>
      <c r="F2460" s="762">
        <v>5.0000000000000001E-3</v>
      </c>
      <c r="G2460" s="205">
        <f>VLOOKUP(D2460,upahbahan,3,FALSE)</f>
        <v>0</v>
      </c>
      <c r="H2460" s="210">
        <f t="shared" si="168"/>
        <v>0</v>
      </c>
      <c r="L2460" s="200"/>
      <c r="M2460" s="200"/>
      <c r="N2460" s="200"/>
      <c r="O2460" s="200"/>
      <c r="P2460" s="200"/>
    </row>
    <row r="2461" spans="3:16" s="517" customFormat="1" ht="31.2" customHeight="1">
      <c r="C2461" s="207" t="s">
        <v>1214</v>
      </c>
      <c r="D2461" s="208"/>
      <c r="E2461" s="568"/>
      <c r="F2461" s="208"/>
      <c r="G2461" s="209"/>
      <c r="H2461" s="210">
        <f>SUM(H2452:H2460)</f>
        <v>0</v>
      </c>
      <c r="L2461" s="200"/>
      <c r="M2461" s="200"/>
      <c r="N2461" s="200"/>
      <c r="O2461" s="200"/>
      <c r="P2461" s="200"/>
    </row>
    <row r="2462" spans="3:16" s="517" customFormat="1" ht="31.2" customHeight="1">
      <c r="C2462" s="756" t="s">
        <v>1215</v>
      </c>
      <c r="D2462" s="196" t="s">
        <v>1216</v>
      </c>
      <c r="E2462" s="203"/>
      <c r="F2462" s="197"/>
      <c r="G2462" s="197"/>
      <c r="H2462" s="198"/>
      <c r="L2462" s="200"/>
      <c r="M2462" s="200"/>
      <c r="N2462" s="200"/>
      <c r="O2462" s="200"/>
      <c r="P2462" s="200"/>
    </row>
    <row r="2463" spans="3:16" s="517" customFormat="1" ht="31.2" customHeight="1">
      <c r="C2463" s="207" t="s">
        <v>1217</v>
      </c>
      <c r="D2463" s="208"/>
      <c r="E2463" s="208"/>
      <c r="F2463" s="208"/>
      <c r="G2463" s="209"/>
      <c r="H2463" s="240">
        <f>SUM(H2462)</f>
        <v>0</v>
      </c>
      <c r="L2463" s="200"/>
      <c r="M2463" s="200"/>
      <c r="N2463" s="200"/>
      <c r="O2463" s="200"/>
      <c r="P2463" s="200"/>
    </row>
    <row r="2464" spans="3:16" s="517" customFormat="1" ht="31.2" customHeight="1">
      <c r="C2464" s="223" t="s">
        <v>1218</v>
      </c>
      <c r="D2464" s="224" t="s">
        <v>1219</v>
      </c>
      <c r="E2464" s="225"/>
      <c r="F2464" s="225"/>
      <c r="G2464" s="226"/>
      <c r="H2464" s="210">
        <f>H2463+H2461+H2450</f>
        <v>24824.25</v>
      </c>
      <c r="L2464" s="200"/>
      <c r="M2464" s="200"/>
      <c r="N2464" s="200"/>
      <c r="O2464" s="200"/>
      <c r="P2464" s="200"/>
    </row>
    <row r="2465" spans="3:20" s="517" customFormat="1" ht="31.2" customHeight="1">
      <c r="C2465" s="223" t="s">
        <v>1220</v>
      </c>
      <c r="D2465" s="224" t="s">
        <v>1321</v>
      </c>
      <c r="E2465" s="225"/>
      <c r="F2465" s="226"/>
      <c r="G2465" s="228">
        <v>0.1</v>
      </c>
      <c r="H2465" s="210">
        <f>H2464*G2465</f>
        <v>2482.4250000000002</v>
      </c>
      <c r="L2465" s="200"/>
      <c r="M2465" s="200"/>
      <c r="N2465" s="200"/>
      <c r="O2465" s="200"/>
      <c r="P2465" s="200"/>
    </row>
    <row r="2466" spans="3:20" s="517" customFormat="1" ht="31.2" customHeight="1" thickBot="1">
      <c r="C2466" s="229" t="s">
        <v>1221</v>
      </c>
      <c r="D2466" s="230" t="s">
        <v>1222</v>
      </c>
      <c r="E2466" s="231"/>
      <c r="F2466" s="231"/>
      <c r="G2466" s="232"/>
      <c r="H2466" s="233">
        <f>SUM(H2464:H2465)</f>
        <v>27306.674999999999</v>
      </c>
      <c r="L2466" s="200"/>
      <c r="M2466" s="200"/>
      <c r="N2466" s="200"/>
      <c r="O2466" s="200"/>
      <c r="P2466" s="200"/>
    </row>
    <row r="2467" spans="3:20" ht="31.2" customHeight="1" thickTop="1">
      <c r="D2467" s="758" t="s">
        <v>7086</v>
      </c>
    </row>
    <row r="2468" spans="3:20" ht="31.2" customHeight="1">
      <c r="C2468" s="757" t="s">
        <v>6950</v>
      </c>
      <c r="F2468" s="758"/>
      <c r="H2468" s="758" t="s">
        <v>6959</v>
      </c>
    </row>
    <row r="2469" spans="3:20" ht="31.2" customHeight="1">
      <c r="C2469" s="200" t="s">
        <v>6951</v>
      </c>
      <c r="F2469" s="758"/>
    </row>
    <row r="2470" spans="3:20" ht="31.2" customHeight="1">
      <c r="C2470" s="200" t="s">
        <v>6952</v>
      </c>
      <c r="F2470" s="758"/>
    </row>
    <row r="2471" spans="3:20" ht="31.2" customHeight="1"/>
    <row r="2472" spans="3:20" s="517" customFormat="1" ht="31.2" customHeight="1" thickBot="1">
      <c r="C2472" s="513" t="s">
        <v>7130</v>
      </c>
      <c r="D2472" s="748" t="s">
        <v>7131</v>
      </c>
      <c r="E2472" s="749"/>
      <c r="F2472" s="748"/>
      <c r="G2472" s="748"/>
      <c r="H2472" s="532"/>
      <c r="I2472" s="532"/>
      <c r="J2472" s="532"/>
      <c r="K2472" s="532"/>
      <c r="M2472" s="189"/>
      <c r="N2472" s="189"/>
      <c r="O2472" s="189"/>
      <c r="P2472" s="189"/>
      <c r="R2472" s="189">
        <f>ROUNDDOWN(H2495,-2)</f>
        <v>27300</v>
      </c>
      <c r="S2472" s="517" t="s">
        <v>6451</v>
      </c>
      <c r="T2472" s="517" t="s">
        <v>7014</v>
      </c>
    </row>
    <row r="2473" spans="3:20" s="517" customFormat="1" ht="31.2" customHeight="1" thickTop="1">
      <c r="C2473" s="190" t="s">
        <v>1195</v>
      </c>
      <c r="D2473" s="191" t="s">
        <v>1196</v>
      </c>
      <c r="E2473" s="191" t="s">
        <v>1197</v>
      </c>
      <c r="F2473" s="191" t="s">
        <v>1198</v>
      </c>
      <c r="G2473" s="191" t="s">
        <v>1199</v>
      </c>
      <c r="H2473" s="192" t="s">
        <v>1200</v>
      </c>
      <c r="L2473" s="200"/>
      <c r="M2473" s="200"/>
      <c r="N2473" s="200"/>
      <c r="O2473" s="200"/>
      <c r="P2473" s="200"/>
    </row>
    <row r="2474" spans="3:20" s="517" customFormat="1" ht="31.2" customHeight="1">
      <c r="C2474" s="518" t="s">
        <v>1201</v>
      </c>
      <c r="D2474" s="196" t="s">
        <v>1202</v>
      </c>
      <c r="E2474" s="197"/>
      <c r="F2474" s="197"/>
      <c r="G2474" s="197"/>
      <c r="H2474" s="198"/>
      <c r="L2474" s="200"/>
      <c r="M2474" s="200"/>
      <c r="N2474" s="200"/>
      <c r="O2474" s="200"/>
      <c r="P2474" s="200"/>
    </row>
    <row r="2475" spans="3:20" s="517" customFormat="1" ht="31.2" customHeight="1">
      <c r="C2475" s="518">
        <v>1</v>
      </c>
      <c r="D2475" s="196" t="s">
        <v>5</v>
      </c>
      <c r="E2475" s="203" t="s">
        <v>2102</v>
      </c>
      <c r="F2475" s="763">
        <v>6.7000000000000004E-2</v>
      </c>
      <c r="G2475" s="205">
        <f>VLOOKUP(D2475,upahbahan,3,FALSE)</f>
        <v>100000</v>
      </c>
      <c r="H2475" s="210">
        <f t="shared" ref="H2475:H2478" si="169">F2475*G2475</f>
        <v>6700</v>
      </c>
      <c r="L2475" s="200"/>
      <c r="M2475" s="200"/>
      <c r="N2475" s="200"/>
      <c r="O2475" s="200"/>
      <c r="P2475" s="200"/>
    </row>
    <row r="2476" spans="3:20" s="517" customFormat="1" ht="31.2" customHeight="1">
      <c r="C2476" s="537">
        <v>2</v>
      </c>
      <c r="D2476" s="196" t="s">
        <v>6954</v>
      </c>
      <c r="E2476" s="202" t="s">
        <v>6</v>
      </c>
      <c r="F2476" s="520">
        <v>6.7000000000000004E-2</v>
      </c>
      <c r="G2476" s="205">
        <f>VLOOKUP(D2476,upahbahan,3,FALSE)</f>
        <v>181250</v>
      </c>
      <c r="H2476" s="210">
        <f t="shared" si="169"/>
        <v>12143.75</v>
      </c>
      <c r="L2476" s="200"/>
      <c r="M2476" s="200"/>
      <c r="N2476" s="200"/>
      <c r="O2476" s="200"/>
      <c r="P2476" s="200"/>
    </row>
    <row r="2477" spans="3:20" s="517" customFormat="1" ht="31.2" customHeight="1">
      <c r="C2477" s="537">
        <v>3</v>
      </c>
      <c r="D2477" s="196" t="s">
        <v>6948</v>
      </c>
      <c r="E2477" s="202" t="s">
        <v>2102</v>
      </c>
      <c r="F2477" s="520">
        <v>2.1999999999999999E-2</v>
      </c>
      <c r="G2477" s="205">
        <f>VLOOKUP(D2477,upahbahan,3,FALSE)</f>
        <v>218750</v>
      </c>
      <c r="H2477" s="210">
        <f t="shared" si="169"/>
        <v>4812.5</v>
      </c>
      <c r="L2477" s="200"/>
      <c r="M2477" s="200"/>
      <c r="N2477" s="200"/>
      <c r="O2477" s="200"/>
      <c r="P2477" s="200"/>
    </row>
    <row r="2478" spans="3:20" s="517" customFormat="1" ht="31.2" customHeight="1">
      <c r="C2478" s="537">
        <v>4</v>
      </c>
      <c r="D2478" s="196" t="s">
        <v>19</v>
      </c>
      <c r="E2478" s="202" t="s">
        <v>6</v>
      </c>
      <c r="F2478" s="520">
        <v>7.3000000000000001E-3</v>
      </c>
      <c r="G2478" s="205">
        <f>VLOOKUP(D2478,upahbahan,3,FALSE)</f>
        <v>160000</v>
      </c>
      <c r="H2478" s="210">
        <f t="shared" si="169"/>
        <v>1168</v>
      </c>
      <c r="L2478" s="200"/>
      <c r="M2478" s="200"/>
      <c r="N2478" s="200"/>
      <c r="O2478" s="200"/>
      <c r="P2478" s="200"/>
    </row>
    <row r="2479" spans="3:20" s="517" customFormat="1" ht="31.2" customHeight="1">
      <c r="C2479" s="207" t="s">
        <v>1208</v>
      </c>
      <c r="D2479" s="208"/>
      <c r="E2479" s="208"/>
      <c r="F2479" s="521"/>
      <c r="G2479" s="522"/>
      <c r="H2479" s="210">
        <f>SUM(H2475:H2478)</f>
        <v>24824.25</v>
      </c>
      <c r="L2479" s="523"/>
      <c r="M2479" s="523"/>
      <c r="N2479" s="523"/>
      <c r="O2479" s="523"/>
      <c r="P2479" s="523"/>
    </row>
    <row r="2480" spans="3:20" s="517" customFormat="1" ht="31.2" customHeight="1">
      <c r="C2480" s="543" t="s">
        <v>1209</v>
      </c>
      <c r="D2480" s="750" t="s">
        <v>1210</v>
      </c>
      <c r="E2480" s="197"/>
      <c r="F2480" s="751"/>
      <c r="G2480" s="197"/>
      <c r="H2480" s="752"/>
      <c r="L2480" s="200"/>
      <c r="M2480" s="200"/>
      <c r="N2480" s="200"/>
      <c r="O2480" s="200"/>
      <c r="P2480" s="200"/>
    </row>
    <row r="2481" spans="3:16" s="517" customFormat="1" ht="31.2" customHeight="1">
      <c r="C2481" s="543">
        <v>1</v>
      </c>
      <c r="D2481" s="750" t="s">
        <v>7132</v>
      </c>
      <c r="E2481" s="203" t="s">
        <v>44</v>
      </c>
      <c r="F2481" s="753">
        <v>1.05</v>
      </c>
      <c r="G2481" s="205">
        <f>VLOOKUP(D2481,upahbahan,3,FALSE)</f>
        <v>0</v>
      </c>
      <c r="H2481" s="210">
        <f t="shared" ref="H2481:H2489" si="170">F2481*G2481</f>
        <v>0</v>
      </c>
      <c r="L2481" s="200"/>
      <c r="M2481" s="200"/>
      <c r="N2481" s="200"/>
      <c r="O2481" s="200"/>
      <c r="P2481" s="200"/>
    </row>
    <row r="2482" spans="3:16" s="517" customFormat="1" ht="31.2" customHeight="1">
      <c r="C2482" s="543">
        <v>2</v>
      </c>
      <c r="D2482" s="750" t="s">
        <v>5563</v>
      </c>
      <c r="E2482" s="203" t="s">
        <v>65</v>
      </c>
      <c r="F2482" s="753">
        <v>0.01</v>
      </c>
      <c r="G2482" s="205">
        <f>VLOOKUP(D2482,upahbahan,3,FALSE)</f>
        <v>0</v>
      </c>
      <c r="H2482" s="210">
        <f t="shared" si="170"/>
        <v>0</v>
      </c>
      <c r="L2482" s="200"/>
      <c r="M2482" s="200"/>
      <c r="N2482" s="200"/>
      <c r="O2482" s="200"/>
      <c r="P2482" s="200"/>
    </row>
    <row r="2483" spans="3:16" s="517" customFormat="1" ht="31.2" customHeight="1">
      <c r="C2483" s="543">
        <v>3</v>
      </c>
      <c r="D2483" s="750" t="s">
        <v>5555</v>
      </c>
      <c r="E2483" s="203"/>
      <c r="F2483" s="753"/>
      <c r="G2483" s="197"/>
      <c r="H2483" s="210">
        <f t="shared" si="170"/>
        <v>0</v>
      </c>
      <c r="L2483" s="200"/>
      <c r="M2483" s="200"/>
      <c r="N2483" s="200"/>
      <c r="O2483" s="200"/>
      <c r="P2483" s="200"/>
    </row>
    <row r="2484" spans="3:16" s="517" customFormat="1" ht="31.2" customHeight="1">
      <c r="C2484" s="754" t="s">
        <v>5293</v>
      </c>
      <c r="D2484" s="750" t="s">
        <v>7053</v>
      </c>
      <c r="E2484" s="203" t="s">
        <v>113</v>
      </c>
      <c r="F2484" s="760">
        <v>12</v>
      </c>
      <c r="G2484" s="205">
        <f>VLOOKUP(D2484,upahbahan,3,FALSE)</f>
        <v>0</v>
      </c>
      <c r="H2484" s="210">
        <f t="shared" si="170"/>
        <v>0</v>
      </c>
      <c r="L2484" s="200"/>
      <c r="M2484" s="200"/>
      <c r="N2484" s="200"/>
      <c r="O2484" s="200"/>
      <c r="P2484" s="200"/>
    </row>
    <row r="2485" spans="3:16" s="517" customFormat="1" ht="31.2" customHeight="1">
      <c r="C2485" s="754" t="s">
        <v>5299</v>
      </c>
      <c r="D2485" s="750" t="s">
        <v>7055</v>
      </c>
      <c r="E2485" s="203" t="s">
        <v>113</v>
      </c>
      <c r="F2485" s="760">
        <v>10</v>
      </c>
      <c r="G2485" s="205">
        <f>VLOOKUP(D2485,upahbahan,3,FALSE)</f>
        <v>0</v>
      </c>
      <c r="H2485" s="210">
        <f t="shared" si="170"/>
        <v>0</v>
      </c>
      <c r="L2485" s="200"/>
      <c r="M2485" s="200"/>
      <c r="N2485" s="200"/>
      <c r="O2485" s="200"/>
      <c r="P2485" s="200"/>
    </row>
    <row r="2486" spans="3:16" s="517" customFormat="1" ht="31.2" customHeight="1">
      <c r="C2486" s="543">
        <v>4</v>
      </c>
      <c r="D2486" s="750" t="s">
        <v>5556</v>
      </c>
      <c r="E2486" s="203"/>
      <c r="F2486" s="753"/>
      <c r="G2486" s="197"/>
      <c r="H2486" s="210">
        <f t="shared" si="170"/>
        <v>0</v>
      </c>
      <c r="L2486" s="200"/>
      <c r="M2486" s="200"/>
      <c r="N2486" s="200"/>
      <c r="O2486" s="200"/>
      <c r="P2486" s="200"/>
    </row>
    <row r="2487" spans="3:16" s="517" customFormat="1" ht="31.2" customHeight="1">
      <c r="C2487" s="754" t="s">
        <v>5293</v>
      </c>
      <c r="D2487" s="750" t="s">
        <v>2084</v>
      </c>
      <c r="E2487" s="203" t="s">
        <v>42</v>
      </c>
      <c r="F2487" s="753">
        <v>7.2999999999999995E-2</v>
      </c>
      <c r="G2487" s="205">
        <f>VLOOKUP(D2487,upahbahan,3,FALSE)</f>
        <v>0</v>
      </c>
      <c r="H2487" s="210">
        <f t="shared" si="170"/>
        <v>0</v>
      </c>
      <c r="L2487" s="200"/>
      <c r="M2487" s="200"/>
      <c r="N2487" s="200"/>
      <c r="O2487" s="200"/>
      <c r="P2487" s="200"/>
    </row>
    <row r="2488" spans="3:16" s="517" customFormat="1" ht="31.2" customHeight="1">
      <c r="C2488" s="754" t="s">
        <v>5299</v>
      </c>
      <c r="D2488" s="750" t="s">
        <v>5566</v>
      </c>
      <c r="E2488" s="203" t="s">
        <v>42</v>
      </c>
      <c r="F2488" s="753">
        <v>0.02</v>
      </c>
      <c r="G2488" s="205">
        <f>VLOOKUP(D2488,upahbahan,3,FALSE)</f>
        <v>0</v>
      </c>
      <c r="H2488" s="210">
        <f t="shared" si="170"/>
        <v>0</v>
      </c>
      <c r="L2488" s="200"/>
      <c r="M2488" s="200"/>
      <c r="N2488" s="200"/>
      <c r="O2488" s="200"/>
      <c r="P2488" s="200"/>
    </row>
    <row r="2489" spans="3:16" s="517" customFormat="1" ht="31.2" customHeight="1">
      <c r="C2489" s="754" t="s">
        <v>5558</v>
      </c>
      <c r="D2489" s="750" t="s">
        <v>2325</v>
      </c>
      <c r="E2489" s="203" t="s">
        <v>42</v>
      </c>
      <c r="F2489" s="762">
        <v>5.0000000000000001E-3</v>
      </c>
      <c r="G2489" s="205">
        <f>VLOOKUP(D2489,upahbahan,3,FALSE)</f>
        <v>0</v>
      </c>
      <c r="H2489" s="210">
        <f t="shared" si="170"/>
        <v>0</v>
      </c>
      <c r="L2489" s="200"/>
      <c r="M2489" s="200"/>
      <c r="N2489" s="200"/>
      <c r="O2489" s="200"/>
      <c r="P2489" s="200"/>
    </row>
    <row r="2490" spans="3:16" s="517" customFormat="1" ht="31.2" customHeight="1">
      <c r="C2490" s="207" t="s">
        <v>1214</v>
      </c>
      <c r="D2490" s="208"/>
      <c r="E2490" s="568"/>
      <c r="F2490" s="208"/>
      <c r="G2490" s="209"/>
      <c r="H2490" s="210">
        <f>SUM(H2481:H2489)</f>
        <v>0</v>
      </c>
      <c r="L2490" s="200"/>
      <c r="M2490" s="200"/>
      <c r="N2490" s="200"/>
      <c r="O2490" s="200"/>
      <c r="P2490" s="200"/>
    </row>
    <row r="2491" spans="3:16" s="517" customFormat="1" ht="31.2" customHeight="1">
      <c r="C2491" s="756" t="s">
        <v>1215</v>
      </c>
      <c r="D2491" s="196" t="s">
        <v>1216</v>
      </c>
      <c r="E2491" s="203"/>
      <c r="F2491" s="197"/>
      <c r="G2491" s="197"/>
      <c r="H2491" s="198"/>
      <c r="L2491" s="200"/>
      <c r="M2491" s="200"/>
      <c r="N2491" s="200"/>
      <c r="O2491" s="200"/>
      <c r="P2491" s="200"/>
    </row>
    <row r="2492" spans="3:16" s="517" customFormat="1" ht="31.2" customHeight="1">
      <c r="C2492" s="207" t="s">
        <v>1217</v>
      </c>
      <c r="D2492" s="208"/>
      <c r="E2492" s="208"/>
      <c r="F2492" s="208"/>
      <c r="G2492" s="209"/>
      <c r="H2492" s="240">
        <f>SUM(H2491)</f>
        <v>0</v>
      </c>
      <c r="L2492" s="200"/>
      <c r="M2492" s="200"/>
      <c r="N2492" s="200"/>
      <c r="O2492" s="200"/>
      <c r="P2492" s="200"/>
    </row>
    <row r="2493" spans="3:16" s="517" customFormat="1" ht="31.2" customHeight="1">
      <c r="C2493" s="223" t="s">
        <v>1218</v>
      </c>
      <c r="D2493" s="224" t="s">
        <v>1219</v>
      </c>
      <c r="E2493" s="225"/>
      <c r="F2493" s="225"/>
      <c r="G2493" s="226"/>
      <c r="H2493" s="210">
        <f>H2492+H2490+H2479</f>
        <v>24824.25</v>
      </c>
      <c r="L2493" s="200"/>
      <c r="M2493" s="200"/>
      <c r="N2493" s="200"/>
      <c r="O2493" s="200"/>
      <c r="P2493" s="200"/>
    </row>
    <row r="2494" spans="3:16" s="517" customFormat="1" ht="31.2" customHeight="1">
      <c r="C2494" s="223" t="s">
        <v>1220</v>
      </c>
      <c r="D2494" s="224" t="s">
        <v>1321</v>
      </c>
      <c r="E2494" s="225"/>
      <c r="F2494" s="226"/>
      <c r="G2494" s="228">
        <v>0.1</v>
      </c>
      <c r="H2494" s="210">
        <f>H2493*G2494</f>
        <v>2482.4250000000002</v>
      </c>
      <c r="L2494" s="200"/>
      <c r="M2494" s="200"/>
      <c r="N2494" s="200"/>
      <c r="O2494" s="200"/>
      <c r="P2494" s="200"/>
    </row>
    <row r="2495" spans="3:16" s="517" customFormat="1" ht="31.2" customHeight="1" thickBot="1">
      <c r="C2495" s="229" t="s">
        <v>1221</v>
      </c>
      <c r="D2495" s="230" t="s">
        <v>1222</v>
      </c>
      <c r="E2495" s="231"/>
      <c r="F2495" s="231"/>
      <c r="G2495" s="232"/>
      <c r="H2495" s="233">
        <f>SUM(H2493:H2494)</f>
        <v>27306.674999999999</v>
      </c>
      <c r="L2495" s="200"/>
      <c r="M2495" s="200"/>
      <c r="N2495" s="200"/>
      <c r="O2495" s="200"/>
      <c r="P2495" s="200"/>
    </row>
    <row r="2496" spans="3:16" ht="31.2" customHeight="1" thickTop="1">
      <c r="D2496" s="758" t="s">
        <v>7086</v>
      </c>
    </row>
    <row r="2497" spans="3:20" ht="31.2" customHeight="1">
      <c r="C2497" s="757" t="s">
        <v>6950</v>
      </c>
      <c r="F2497" s="758"/>
      <c r="H2497" s="758" t="s">
        <v>6959</v>
      </c>
    </row>
    <row r="2498" spans="3:20" ht="31.2" customHeight="1">
      <c r="C2498" s="200" t="s">
        <v>6951</v>
      </c>
      <c r="F2498" s="758"/>
    </row>
    <row r="2499" spans="3:20" ht="31.2" customHeight="1">
      <c r="C2499" s="200" t="s">
        <v>6952</v>
      </c>
      <c r="F2499" s="758"/>
    </row>
    <row r="2500" spans="3:20" ht="31.2" customHeight="1"/>
    <row r="2501" spans="3:20" s="517" customFormat="1" ht="31.2" customHeight="1" thickBot="1">
      <c r="C2501" s="513" t="s">
        <v>7133</v>
      </c>
      <c r="D2501" s="748" t="s">
        <v>7134</v>
      </c>
      <c r="E2501" s="749"/>
      <c r="F2501" s="748"/>
      <c r="G2501" s="748"/>
      <c r="H2501" s="532"/>
      <c r="I2501" s="532"/>
      <c r="J2501" s="532"/>
      <c r="K2501" s="532"/>
      <c r="M2501" s="189"/>
      <c r="N2501" s="189"/>
      <c r="O2501" s="189"/>
      <c r="P2501" s="189"/>
      <c r="R2501" s="189">
        <f>ROUNDDOWN(H2524,-2)</f>
        <v>27300</v>
      </c>
      <c r="S2501" s="517" t="s">
        <v>6451</v>
      </c>
      <c r="T2501" s="517" t="s">
        <v>7014</v>
      </c>
    </row>
    <row r="2502" spans="3:20" s="517" customFormat="1" ht="31.2" customHeight="1" thickTop="1">
      <c r="C2502" s="190" t="s">
        <v>1195</v>
      </c>
      <c r="D2502" s="191" t="s">
        <v>1196</v>
      </c>
      <c r="E2502" s="191" t="s">
        <v>1197</v>
      </c>
      <c r="F2502" s="191" t="s">
        <v>1198</v>
      </c>
      <c r="G2502" s="191" t="s">
        <v>1199</v>
      </c>
      <c r="H2502" s="192" t="s">
        <v>1200</v>
      </c>
      <c r="L2502" s="200"/>
      <c r="M2502" s="200"/>
      <c r="N2502" s="200"/>
      <c r="O2502" s="200"/>
      <c r="P2502" s="200"/>
    </row>
    <row r="2503" spans="3:20" s="517" customFormat="1" ht="31.2" customHeight="1">
      <c r="C2503" s="518" t="s">
        <v>1201</v>
      </c>
      <c r="D2503" s="196" t="s">
        <v>1202</v>
      </c>
      <c r="E2503" s="197"/>
      <c r="F2503" s="197"/>
      <c r="G2503" s="197"/>
      <c r="H2503" s="198"/>
      <c r="L2503" s="200"/>
      <c r="M2503" s="200"/>
      <c r="N2503" s="200"/>
      <c r="O2503" s="200"/>
      <c r="P2503" s="200"/>
    </row>
    <row r="2504" spans="3:20" s="517" customFormat="1" ht="31.2" customHeight="1">
      <c r="C2504" s="518">
        <v>1</v>
      </c>
      <c r="D2504" s="196" t="s">
        <v>5</v>
      </c>
      <c r="E2504" s="203" t="s">
        <v>2102</v>
      </c>
      <c r="F2504" s="763">
        <v>6.7000000000000004E-2</v>
      </c>
      <c r="G2504" s="205">
        <f>VLOOKUP(D2504,upahbahan,3,FALSE)</f>
        <v>100000</v>
      </c>
      <c r="H2504" s="210">
        <f t="shared" ref="H2504:H2507" si="171">F2504*G2504</f>
        <v>6700</v>
      </c>
      <c r="L2504" s="200"/>
      <c r="M2504" s="200"/>
      <c r="N2504" s="200"/>
      <c r="O2504" s="200"/>
      <c r="P2504" s="200"/>
    </row>
    <row r="2505" spans="3:20" s="517" customFormat="1" ht="31.2" customHeight="1">
      <c r="C2505" s="537">
        <v>2</v>
      </c>
      <c r="D2505" s="196" t="s">
        <v>6954</v>
      </c>
      <c r="E2505" s="202" t="s">
        <v>6</v>
      </c>
      <c r="F2505" s="520">
        <v>6.7000000000000004E-2</v>
      </c>
      <c r="G2505" s="205">
        <f>VLOOKUP(D2505,upahbahan,3,FALSE)</f>
        <v>181250</v>
      </c>
      <c r="H2505" s="210">
        <f t="shared" si="171"/>
        <v>12143.75</v>
      </c>
      <c r="L2505" s="200"/>
      <c r="M2505" s="200"/>
      <c r="N2505" s="200"/>
      <c r="O2505" s="200"/>
      <c r="P2505" s="200"/>
    </row>
    <row r="2506" spans="3:20" s="517" customFormat="1" ht="31.2" customHeight="1">
      <c r="C2506" s="537">
        <v>3</v>
      </c>
      <c r="D2506" s="196" t="s">
        <v>6948</v>
      </c>
      <c r="E2506" s="202" t="s">
        <v>2102</v>
      </c>
      <c r="F2506" s="520">
        <v>2.1999999999999999E-2</v>
      </c>
      <c r="G2506" s="205">
        <f>VLOOKUP(D2506,upahbahan,3,FALSE)</f>
        <v>218750</v>
      </c>
      <c r="H2506" s="210">
        <f t="shared" si="171"/>
        <v>4812.5</v>
      </c>
      <c r="L2506" s="200"/>
      <c r="M2506" s="200"/>
      <c r="N2506" s="200"/>
      <c r="O2506" s="200"/>
      <c r="P2506" s="200"/>
    </row>
    <row r="2507" spans="3:20" s="517" customFormat="1" ht="31.2" customHeight="1">
      <c r="C2507" s="537">
        <v>4</v>
      </c>
      <c r="D2507" s="196" t="s">
        <v>19</v>
      </c>
      <c r="E2507" s="202" t="s">
        <v>6</v>
      </c>
      <c r="F2507" s="520">
        <v>7.3000000000000001E-3</v>
      </c>
      <c r="G2507" s="205">
        <f>VLOOKUP(D2507,upahbahan,3,FALSE)</f>
        <v>160000</v>
      </c>
      <c r="H2507" s="210">
        <f t="shared" si="171"/>
        <v>1168</v>
      </c>
      <c r="L2507" s="200"/>
      <c r="M2507" s="200"/>
      <c r="N2507" s="200"/>
      <c r="O2507" s="200"/>
      <c r="P2507" s="200"/>
    </row>
    <row r="2508" spans="3:20" s="517" customFormat="1" ht="31.2" customHeight="1">
      <c r="C2508" s="207" t="s">
        <v>1208</v>
      </c>
      <c r="D2508" s="208"/>
      <c r="E2508" s="208"/>
      <c r="F2508" s="521"/>
      <c r="G2508" s="522"/>
      <c r="H2508" s="210">
        <f>SUM(H2504:H2507)</f>
        <v>24824.25</v>
      </c>
      <c r="L2508" s="523"/>
      <c r="M2508" s="523"/>
      <c r="N2508" s="523"/>
      <c r="O2508" s="523"/>
      <c r="P2508" s="523"/>
    </row>
    <row r="2509" spans="3:20" s="517" customFormat="1" ht="31.2" customHeight="1">
      <c r="C2509" s="543" t="s">
        <v>1209</v>
      </c>
      <c r="D2509" s="750" t="s">
        <v>1210</v>
      </c>
      <c r="E2509" s="197"/>
      <c r="F2509" s="751"/>
      <c r="G2509" s="197"/>
      <c r="H2509" s="752"/>
      <c r="L2509" s="200"/>
      <c r="M2509" s="200"/>
      <c r="N2509" s="200"/>
      <c r="O2509" s="200"/>
      <c r="P2509" s="200"/>
    </row>
    <row r="2510" spans="3:20" s="517" customFormat="1" ht="31.2" customHeight="1">
      <c r="C2510" s="543">
        <v>1</v>
      </c>
      <c r="D2510" s="750" t="s">
        <v>7135</v>
      </c>
      <c r="E2510" s="203" t="s">
        <v>44</v>
      </c>
      <c r="F2510" s="753">
        <v>1.05</v>
      </c>
      <c r="G2510" s="205">
        <f>VLOOKUP(D2510,upahbahan,3,FALSE)</f>
        <v>0</v>
      </c>
      <c r="H2510" s="210">
        <f t="shared" ref="H2510:H2518" si="172">F2510*G2510</f>
        <v>0</v>
      </c>
      <c r="L2510" s="200"/>
      <c r="M2510" s="200"/>
      <c r="N2510" s="200"/>
      <c r="O2510" s="200"/>
      <c r="P2510" s="200"/>
    </row>
    <row r="2511" spans="3:20" s="517" customFormat="1" ht="31.2" customHeight="1">
      <c r="C2511" s="543">
        <v>2</v>
      </c>
      <c r="D2511" s="750" t="s">
        <v>5563</v>
      </c>
      <c r="E2511" s="203" t="s">
        <v>65</v>
      </c>
      <c r="F2511" s="753">
        <v>0.01</v>
      </c>
      <c r="G2511" s="205">
        <f>VLOOKUP(D2511,upahbahan,3,FALSE)</f>
        <v>0</v>
      </c>
      <c r="H2511" s="210">
        <f t="shared" si="172"/>
        <v>0</v>
      </c>
      <c r="L2511" s="200"/>
      <c r="M2511" s="200"/>
      <c r="N2511" s="200"/>
      <c r="O2511" s="200"/>
      <c r="P2511" s="200"/>
    </row>
    <row r="2512" spans="3:20" s="517" customFormat="1" ht="31.2" customHeight="1">
      <c r="C2512" s="543">
        <v>3</v>
      </c>
      <c r="D2512" s="750" t="s">
        <v>5555</v>
      </c>
      <c r="E2512" s="203"/>
      <c r="F2512" s="753"/>
      <c r="G2512" s="197"/>
      <c r="H2512" s="210">
        <f t="shared" si="172"/>
        <v>0</v>
      </c>
      <c r="L2512" s="200"/>
      <c r="M2512" s="200"/>
      <c r="N2512" s="200"/>
      <c r="O2512" s="200"/>
      <c r="P2512" s="200"/>
    </row>
    <row r="2513" spans="3:16" s="517" customFormat="1" ht="31.2" customHeight="1">
      <c r="C2513" s="754" t="s">
        <v>5293</v>
      </c>
      <c r="D2513" s="750" t="s">
        <v>7053</v>
      </c>
      <c r="E2513" s="203" t="s">
        <v>113</v>
      </c>
      <c r="F2513" s="760">
        <v>12</v>
      </c>
      <c r="G2513" s="205">
        <f>VLOOKUP(D2513,upahbahan,3,FALSE)</f>
        <v>0</v>
      </c>
      <c r="H2513" s="210">
        <f t="shared" si="172"/>
        <v>0</v>
      </c>
      <c r="L2513" s="200"/>
      <c r="M2513" s="200"/>
      <c r="N2513" s="200"/>
      <c r="O2513" s="200"/>
      <c r="P2513" s="200"/>
    </row>
    <row r="2514" spans="3:16" s="517" customFormat="1" ht="31.2" customHeight="1">
      <c r="C2514" s="754" t="s">
        <v>5299</v>
      </c>
      <c r="D2514" s="750" t="s">
        <v>7055</v>
      </c>
      <c r="E2514" s="203" t="s">
        <v>113</v>
      </c>
      <c r="F2514" s="760">
        <v>10</v>
      </c>
      <c r="G2514" s="205">
        <f>VLOOKUP(D2514,upahbahan,3,FALSE)</f>
        <v>0</v>
      </c>
      <c r="H2514" s="210">
        <f t="shared" si="172"/>
        <v>0</v>
      </c>
      <c r="L2514" s="200"/>
      <c r="M2514" s="200"/>
      <c r="N2514" s="200"/>
      <c r="O2514" s="200"/>
      <c r="P2514" s="200"/>
    </row>
    <row r="2515" spans="3:16" s="517" customFormat="1" ht="31.2" customHeight="1">
      <c r="C2515" s="543">
        <v>4</v>
      </c>
      <c r="D2515" s="750" t="s">
        <v>5556</v>
      </c>
      <c r="E2515" s="203"/>
      <c r="F2515" s="753"/>
      <c r="G2515" s="197"/>
      <c r="H2515" s="210">
        <f t="shared" si="172"/>
        <v>0</v>
      </c>
      <c r="L2515" s="200"/>
      <c r="M2515" s="200"/>
      <c r="N2515" s="200"/>
      <c r="O2515" s="200"/>
      <c r="P2515" s="200"/>
    </row>
    <row r="2516" spans="3:16" s="517" customFormat="1" ht="31.2" customHeight="1">
      <c r="C2516" s="754" t="s">
        <v>5293</v>
      </c>
      <c r="D2516" s="750" t="s">
        <v>2084</v>
      </c>
      <c r="E2516" s="203" t="s">
        <v>42</v>
      </c>
      <c r="F2516" s="753">
        <v>7.2999999999999995E-2</v>
      </c>
      <c r="G2516" s="205">
        <f>VLOOKUP(D2516,upahbahan,3,FALSE)</f>
        <v>0</v>
      </c>
      <c r="H2516" s="210">
        <f t="shared" si="172"/>
        <v>0</v>
      </c>
      <c r="L2516" s="200"/>
      <c r="M2516" s="200"/>
      <c r="N2516" s="200"/>
      <c r="O2516" s="200"/>
      <c r="P2516" s="200"/>
    </row>
    <row r="2517" spans="3:16" s="517" customFormat="1" ht="31.2" customHeight="1">
      <c r="C2517" s="754" t="s">
        <v>5299</v>
      </c>
      <c r="D2517" s="750" t="s">
        <v>5566</v>
      </c>
      <c r="E2517" s="203" t="s">
        <v>42</v>
      </c>
      <c r="F2517" s="753">
        <v>0.02</v>
      </c>
      <c r="G2517" s="205">
        <f>VLOOKUP(D2517,upahbahan,3,FALSE)</f>
        <v>0</v>
      </c>
      <c r="H2517" s="210">
        <f t="shared" si="172"/>
        <v>0</v>
      </c>
      <c r="L2517" s="200"/>
      <c r="M2517" s="200"/>
      <c r="N2517" s="200"/>
      <c r="O2517" s="200"/>
      <c r="P2517" s="200"/>
    </row>
    <row r="2518" spans="3:16" s="517" customFormat="1" ht="31.2" customHeight="1">
      <c r="C2518" s="754" t="s">
        <v>5558</v>
      </c>
      <c r="D2518" s="750" t="s">
        <v>2325</v>
      </c>
      <c r="E2518" s="203" t="s">
        <v>42</v>
      </c>
      <c r="F2518" s="762">
        <v>5.0000000000000001E-3</v>
      </c>
      <c r="G2518" s="205">
        <f>VLOOKUP(D2518,upahbahan,3,FALSE)</f>
        <v>0</v>
      </c>
      <c r="H2518" s="210">
        <f t="shared" si="172"/>
        <v>0</v>
      </c>
      <c r="L2518" s="200"/>
      <c r="M2518" s="200"/>
      <c r="N2518" s="200"/>
      <c r="O2518" s="200"/>
      <c r="P2518" s="200"/>
    </row>
    <row r="2519" spans="3:16" s="517" customFormat="1" ht="31.2" customHeight="1">
      <c r="C2519" s="207" t="s">
        <v>1214</v>
      </c>
      <c r="D2519" s="208"/>
      <c r="E2519" s="568"/>
      <c r="F2519" s="208"/>
      <c r="G2519" s="209"/>
      <c r="H2519" s="210">
        <f>SUM(H2510:H2518)</f>
        <v>0</v>
      </c>
      <c r="L2519" s="200"/>
      <c r="M2519" s="200"/>
      <c r="N2519" s="200"/>
      <c r="O2519" s="200"/>
      <c r="P2519" s="200"/>
    </row>
    <row r="2520" spans="3:16" s="517" customFormat="1" ht="31.2" customHeight="1">
      <c r="C2520" s="756" t="s">
        <v>1215</v>
      </c>
      <c r="D2520" s="196" t="s">
        <v>1216</v>
      </c>
      <c r="E2520" s="203"/>
      <c r="F2520" s="197"/>
      <c r="G2520" s="197"/>
      <c r="H2520" s="198"/>
      <c r="L2520" s="200"/>
      <c r="M2520" s="200"/>
      <c r="N2520" s="200"/>
      <c r="O2520" s="200"/>
      <c r="P2520" s="200"/>
    </row>
    <row r="2521" spans="3:16" s="517" customFormat="1" ht="31.2" customHeight="1">
      <c r="C2521" s="207" t="s">
        <v>1217</v>
      </c>
      <c r="D2521" s="208"/>
      <c r="E2521" s="208"/>
      <c r="F2521" s="208"/>
      <c r="G2521" s="209"/>
      <c r="H2521" s="240">
        <f>SUM(H2520)</f>
        <v>0</v>
      </c>
      <c r="L2521" s="200"/>
      <c r="M2521" s="200"/>
      <c r="N2521" s="200"/>
      <c r="O2521" s="200"/>
      <c r="P2521" s="200"/>
    </row>
    <row r="2522" spans="3:16" s="517" customFormat="1" ht="31.2" customHeight="1">
      <c r="C2522" s="223" t="s">
        <v>1218</v>
      </c>
      <c r="D2522" s="224" t="s">
        <v>1219</v>
      </c>
      <c r="E2522" s="225"/>
      <c r="F2522" s="225"/>
      <c r="G2522" s="226"/>
      <c r="H2522" s="210">
        <f>H2521+H2519+H2508</f>
        <v>24824.25</v>
      </c>
      <c r="L2522" s="200"/>
      <c r="M2522" s="200"/>
      <c r="N2522" s="200"/>
      <c r="O2522" s="200"/>
      <c r="P2522" s="200"/>
    </row>
    <row r="2523" spans="3:16" s="517" customFormat="1" ht="31.2" customHeight="1">
      <c r="C2523" s="223" t="s">
        <v>1220</v>
      </c>
      <c r="D2523" s="224" t="s">
        <v>1321</v>
      </c>
      <c r="E2523" s="225"/>
      <c r="F2523" s="226"/>
      <c r="G2523" s="228">
        <v>0.1</v>
      </c>
      <c r="H2523" s="210">
        <f>H2522*G2523</f>
        <v>2482.4250000000002</v>
      </c>
      <c r="L2523" s="200"/>
      <c r="M2523" s="200"/>
      <c r="N2523" s="200"/>
      <c r="O2523" s="200"/>
      <c r="P2523" s="200"/>
    </row>
    <row r="2524" spans="3:16" s="517" customFormat="1" ht="31.2" customHeight="1" thickBot="1">
      <c r="C2524" s="229" t="s">
        <v>1221</v>
      </c>
      <c r="D2524" s="230" t="s">
        <v>1222</v>
      </c>
      <c r="E2524" s="231"/>
      <c r="F2524" s="231"/>
      <c r="G2524" s="232"/>
      <c r="H2524" s="233">
        <f>SUM(H2522:H2523)</f>
        <v>27306.674999999999</v>
      </c>
      <c r="L2524" s="200"/>
      <c r="M2524" s="200"/>
      <c r="N2524" s="200"/>
      <c r="O2524" s="200"/>
      <c r="P2524" s="200"/>
    </row>
    <row r="2525" spans="3:16" ht="31.2" customHeight="1" thickTop="1">
      <c r="D2525" s="758" t="s">
        <v>7086</v>
      </c>
    </row>
    <row r="2526" spans="3:16" ht="31.2" customHeight="1">
      <c r="C2526" s="757" t="s">
        <v>6950</v>
      </c>
      <c r="F2526" s="758"/>
      <c r="H2526" s="758" t="s">
        <v>6959</v>
      </c>
    </row>
    <row r="2527" spans="3:16" ht="31.2" customHeight="1">
      <c r="C2527" s="200" t="s">
        <v>6951</v>
      </c>
      <c r="F2527" s="758"/>
    </row>
    <row r="2528" spans="3:16" ht="31.2" customHeight="1">
      <c r="C2528" s="200" t="s">
        <v>6952</v>
      </c>
      <c r="F2528" s="758"/>
    </row>
    <row r="2529" spans="3:20" ht="31.2" customHeight="1"/>
    <row r="2530" spans="3:20" s="517" customFormat="1" ht="31.2" customHeight="1" thickBot="1">
      <c r="C2530" s="513" t="s">
        <v>7136</v>
      </c>
      <c r="D2530" s="748" t="s">
        <v>7137</v>
      </c>
      <c r="E2530" s="749"/>
      <c r="F2530" s="748"/>
      <c r="G2530" s="748"/>
      <c r="H2530" s="532"/>
      <c r="I2530" s="532"/>
      <c r="J2530" s="532"/>
      <c r="K2530" s="532"/>
      <c r="M2530" s="189"/>
      <c r="N2530" s="189"/>
      <c r="O2530" s="189"/>
      <c r="P2530" s="189"/>
      <c r="R2530" s="189">
        <f>ROUNDDOWN(H2553,-2)</f>
        <v>27300</v>
      </c>
      <c r="S2530" s="517" t="s">
        <v>6451</v>
      </c>
      <c r="T2530" s="517" t="s">
        <v>7014</v>
      </c>
    </row>
    <row r="2531" spans="3:20" s="517" customFormat="1" ht="31.2" customHeight="1" thickTop="1">
      <c r="C2531" s="190" t="s">
        <v>1195</v>
      </c>
      <c r="D2531" s="191" t="s">
        <v>1196</v>
      </c>
      <c r="E2531" s="191" t="s">
        <v>1197</v>
      </c>
      <c r="F2531" s="191" t="s">
        <v>1198</v>
      </c>
      <c r="G2531" s="191" t="s">
        <v>1199</v>
      </c>
      <c r="H2531" s="192" t="s">
        <v>1200</v>
      </c>
      <c r="L2531" s="200"/>
      <c r="M2531" s="200"/>
      <c r="N2531" s="200"/>
      <c r="O2531" s="200"/>
      <c r="P2531" s="200"/>
    </row>
    <row r="2532" spans="3:20" s="517" customFormat="1" ht="31.2" customHeight="1">
      <c r="C2532" s="518" t="s">
        <v>1201</v>
      </c>
      <c r="D2532" s="196" t="s">
        <v>1202</v>
      </c>
      <c r="E2532" s="197"/>
      <c r="F2532" s="197"/>
      <c r="G2532" s="197"/>
      <c r="H2532" s="198"/>
      <c r="L2532" s="200"/>
      <c r="M2532" s="200"/>
      <c r="N2532" s="200"/>
      <c r="O2532" s="200"/>
      <c r="P2532" s="200"/>
    </row>
    <row r="2533" spans="3:20" s="517" customFormat="1" ht="31.2" customHeight="1">
      <c r="C2533" s="518">
        <v>1</v>
      </c>
      <c r="D2533" s="196" t="s">
        <v>5</v>
      </c>
      <c r="E2533" s="203" t="s">
        <v>2102</v>
      </c>
      <c r="F2533" s="763">
        <v>6.7000000000000004E-2</v>
      </c>
      <c r="G2533" s="205">
        <f>VLOOKUP(D2533,upahbahan,3,FALSE)</f>
        <v>100000</v>
      </c>
      <c r="H2533" s="210">
        <f t="shared" ref="H2533:H2536" si="173">F2533*G2533</f>
        <v>6700</v>
      </c>
      <c r="L2533" s="200"/>
      <c r="M2533" s="200"/>
      <c r="N2533" s="200"/>
      <c r="O2533" s="200"/>
      <c r="P2533" s="200"/>
    </row>
    <row r="2534" spans="3:20" s="517" customFormat="1" ht="31.2" customHeight="1">
      <c r="C2534" s="537">
        <v>2</v>
      </c>
      <c r="D2534" s="196" t="s">
        <v>6954</v>
      </c>
      <c r="E2534" s="202" t="s">
        <v>6</v>
      </c>
      <c r="F2534" s="520">
        <v>6.7000000000000004E-2</v>
      </c>
      <c r="G2534" s="205">
        <f>VLOOKUP(D2534,upahbahan,3,FALSE)</f>
        <v>181250</v>
      </c>
      <c r="H2534" s="210">
        <f t="shared" si="173"/>
        <v>12143.75</v>
      </c>
      <c r="L2534" s="200"/>
      <c r="M2534" s="200"/>
      <c r="N2534" s="200"/>
      <c r="O2534" s="200"/>
      <c r="P2534" s="200"/>
    </row>
    <row r="2535" spans="3:20" s="517" customFormat="1" ht="31.2" customHeight="1">
      <c r="C2535" s="537">
        <v>3</v>
      </c>
      <c r="D2535" s="196" t="s">
        <v>6948</v>
      </c>
      <c r="E2535" s="202" t="s">
        <v>2102</v>
      </c>
      <c r="F2535" s="520">
        <v>2.1999999999999999E-2</v>
      </c>
      <c r="G2535" s="205">
        <f>VLOOKUP(D2535,upahbahan,3,FALSE)</f>
        <v>218750</v>
      </c>
      <c r="H2535" s="210">
        <f t="shared" si="173"/>
        <v>4812.5</v>
      </c>
      <c r="L2535" s="200"/>
      <c r="M2535" s="200"/>
      <c r="N2535" s="200"/>
      <c r="O2535" s="200"/>
      <c r="P2535" s="200"/>
    </row>
    <row r="2536" spans="3:20" s="517" customFormat="1" ht="31.2" customHeight="1">
      <c r="C2536" s="537">
        <v>4</v>
      </c>
      <c r="D2536" s="196" t="s">
        <v>19</v>
      </c>
      <c r="E2536" s="202" t="s">
        <v>6</v>
      </c>
      <c r="F2536" s="520">
        <v>7.3000000000000001E-3</v>
      </c>
      <c r="G2536" s="205">
        <f>VLOOKUP(D2536,upahbahan,3,FALSE)</f>
        <v>160000</v>
      </c>
      <c r="H2536" s="210">
        <f t="shared" si="173"/>
        <v>1168</v>
      </c>
      <c r="L2536" s="200"/>
      <c r="M2536" s="200"/>
      <c r="N2536" s="200"/>
      <c r="O2536" s="200"/>
      <c r="P2536" s="200"/>
    </row>
    <row r="2537" spans="3:20" s="517" customFormat="1" ht="31.2" customHeight="1">
      <c r="C2537" s="207" t="s">
        <v>1208</v>
      </c>
      <c r="D2537" s="208"/>
      <c r="E2537" s="208"/>
      <c r="F2537" s="521"/>
      <c r="G2537" s="522"/>
      <c r="H2537" s="210">
        <f>SUM(H2533:H2536)</f>
        <v>24824.25</v>
      </c>
      <c r="L2537" s="523"/>
      <c r="M2537" s="523"/>
      <c r="N2537" s="523"/>
      <c r="O2537" s="523"/>
      <c r="P2537" s="523"/>
    </row>
    <row r="2538" spans="3:20" s="517" customFormat="1" ht="31.2" customHeight="1">
      <c r="C2538" s="543" t="s">
        <v>1209</v>
      </c>
      <c r="D2538" s="750" t="s">
        <v>1210</v>
      </c>
      <c r="E2538" s="197"/>
      <c r="F2538" s="751"/>
      <c r="G2538" s="197"/>
      <c r="H2538" s="752"/>
      <c r="L2538" s="200"/>
      <c r="M2538" s="200"/>
      <c r="N2538" s="200"/>
      <c r="O2538" s="200"/>
      <c r="P2538" s="200"/>
    </row>
    <row r="2539" spans="3:20" s="517" customFormat="1" ht="31.2" customHeight="1">
      <c r="C2539" s="543">
        <v>1</v>
      </c>
      <c r="D2539" s="750" t="s">
        <v>7138</v>
      </c>
      <c r="E2539" s="203" t="s">
        <v>44</v>
      </c>
      <c r="F2539" s="753">
        <v>1.05</v>
      </c>
      <c r="G2539" s="205">
        <f>VLOOKUP(D2539,upahbahan,3,FALSE)</f>
        <v>0</v>
      </c>
      <c r="H2539" s="210">
        <f t="shared" ref="H2539:H2547" si="174">F2539*G2539</f>
        <v>0</v>
      </c>
      <c r="L2539" s="200"/>
      <c r="M2539" s="200"/>
      <c r="N2539" s="200"/>
      <c r="O2539" s="200"/>
      <c r="P2539" s="200"/>
    </row>
    <row r="2540" spans="3:20" s="517" customFormat="1" ht="31.2" customHeight="1">
      <c r="C2540" s="543">
        <v>2</v>
      </c>
      <c r="D2540" s="750" t="s">
        <v>5563</v>
      </c>
      <c r="E2540" s="203" t="s">
        <v>65</v>
      </c>
      <c r="F2540" s="753">
        <v>0.01</v>
      </c>
      <c r="G2540" s="205">
        <f>VLOOKUP(D2540,upahbahan,3,FALSE)</f>
        <v>0</v>
      </c>
      <c r="H2540" s="210">
        <f t="shared" si="174"/>
        <v>0</v>
      </c>
      <c r="L2540" s="200"/>
      <c r="M2540" s="200"/>
      <c r="N2540" s="200"/>
      <c r="O2540" s="200"/>
      <c r="P2540" s="200"/>
    </row>
    <row r="2541" spans="3:20" s="517" customFormat="1" ht="31.2" customHeight="1">
      <c r="C2541" s="543">
        <v>3</v>
      </c>
      <c r="D2541" s="750" t="s">
        <v>5555</v>
      </c>
      <c r="E2541" s="203"/>
      <c r="F2541" s="753"/>
      <c r="G2541" s="197"/>
      <c r="H2541" s="210">
        <f t="shared" si="174"/>
        <v>0</v>
      </c>
      <c r="L2541" s="200"/>
      <c r="M2541" s="200"/>
      <c r="N2541" s="200"/>
      <c r="O2541" s="200"/>
      <c r="P2541" s="200"/>
    </row>
    <row r="2542" spans="3:20" s="517" customFormat="1" ht="31.2" customHeight="1">
      <c r="C2542" s="754" t="s">
        <v>5293</v>
      </c>
      <c r="D2542" s="750" t="s">
        <v>7053</v>
      </c>
      <c r="E2542" s="203" t="s">
        <v>113</v>
      </c>
      <c r="F2542" s="760">
        <v>12</v>
      </c>
      <c r="G2542" s="205">
        <f>VLOOKUP(D2542,upahbahan,3,FALSE)</f>
        <v>0</v>
      </c>
      <c r="H2542" s="210">
        <f t="shared" si="174"/>
        <v>0</v>
      </c>
      <c r="L2542" s="200"/>
      <c r="M2542" s="200"/>
      <c r="N2542" s="200"/>
      <c r="O2542" s="200"/>
      <c r="P2542" s="200"/>
    </row>
    <row r="2543" spans="3:20" s="517" customFormat="1" ht="31.2" customHeight="1">
      <c r="C2543" s="754" t="s">
        <v>5299</v>
      </c>
      <c r="D2543" s="750" t="s">
        <v>7055</v>
      </c>
      <c r="E2543" s="203" t="s">
        <v>113</v>
      </c>
      <c r="F2543" s="760">
        <v>10</v>
      </c>
      <c r="G2543" s="205">
        <f>VLOOKUP(D2543,upahbahan,3,FALSE)</f>
        <v>0</v>
      </c>
      <c r="H2543" s="210">
        <f t="shared" si="174"/>
        <v>0</v>
      </c>
      <c r="L2543" s="200"/>
      <c r="M2543" s="200"/>
      <c r="N2543" s="200"/>
      <c r="O2543" s="200"/>
      <c r="P2543" s="200"/>
    </row>
    <row r="2544" spans="3:20" s="517" customFormat="1" ht="31.2" customHeight="1">
      <c r="C2544" s="543">
        <v>4</v>
      </c>
      <c r="D2544" s="750" t="s">
        <v>5556</v>
      </c>
      <c r="E2544" s="203"/>
      <c r="F2544" s="753"/>
      <c r="G2544" s="197"/>
      <c r="H2544" s="210">
        <f t="shared" si="174"/>
        <v>0</v>
      </c>
      <c r="L2544" s="200"/>
      <c r="M2544" s="200"/>
      <c r="N2544" s="200"/>
      <c r="O2544" s="200"/>
      <c r="P2544" s="200"/>
    </row>
    <row r="2545" spans="3:20" s="517" customFormat="1" ht="31.2" customHeight="1">
      <c r="C2545" s="754" t="s">
        <v>5293</v>
      </c>
      <c r="D2545" s="750" t="s">
        <v>2084</v>
      </c>
      <c r="E2545" s="203" t="s">
        <v>42</v>
      </c>
      <c r="F2545" s="753">
        <v>7.2999999999999995E-2</v>
      </c>
      <c r="G2545" s="205">
        <f>VLOOKUP(D2545,upahbahan,3,FALSE)</f>
        <v>0</v>
      </c>
      <c r="H2545" s="210">
        <f t="shared" si="174"/>
        <v>0</v>
      </c>
      <c r="L2545" s="200"/>
      <c r="M2545" s="200"/>
      <c r="N2545" s="200"/>
      <c r="O2545" s="200"/>
      <c r="P2545" s="200"/>
    </row>
    <row r="2546" spans="3:20" s="517" customFormat="1" ht="31.2" customHeight="1">
      <c r="C2546" s="754" t="s">
        <v>5299</v>
      </c>
      <c r="D2546" s="750" t="s">
        <v>5566</v>
      </c>
      <c r="E2546" s="203" t="s">
        <v>42</v>
      </c>
      <c r="F2546" s="753">
        <v>0.02</v>
      </c>
      <c r="G2546" s="205">
        <f>VLOOKUP(D2546,upahbahan,3,FALSE)</f>
        <v>0</v>
      </c>
      <c r="H2546" s="210">
        <f t="shared" si="174"/>
        <v>0</v>
      </c>
      <c r="L2546" s="200"/>
      <c r="M2546" s="200"/>
      <c r="N2546" s="200"/>
      <c r="O2546" s="200"/>
      <c r="P2546" s="200"/>
    </row>
    <row r="2547" spans="3:20" s="517" customFormat="1" ht="31.2" customHeight="1">
      <c r="C2547" s="754" t="s">
        <v>5558</v>
      </c>
      <c r="D2547" s="750" t="s">
        <v>2325</v>
      </c>
      <c r="E2547" s="203" t="s">
        <v>42</v>
      </c>
      <c r="F2547" s="762">
        <v>5.0000000000000001E-3</v>
      </c>
      <c r="G2547" s="205">
        <f>VLOOKUP(D2547,upahbahan,3,FALSE)</f>
        <v>0</v>
      </c>
      <c r="H2547" s="210">
        <f t="shared" si="174"/>
        <v>0</v>
      </c>
      <c r="L2547" s="200"/>
      <c r="M2547" s="200"/>
      <c r="N2547" s="200"/>
      <c r="O2547" s="200"/>
      <c r="P2547" s="200"/>
    </row>
    <row r="2548" spans="3:20" s="517" customFormat="1" ht="31.2" customHeight="1">
      <c r="C2548" s="207" t="s">
        <v>1214</v>
      </c>
      <c r="D2548" s="208"/>
      <c r="E2548" s="568"/>
      <c r="F2548" s="208"/>
      <c r="G2548" s="209"/>
      <c r="H2548" s="210">
        <f>SUM(H2539:H2547)</f>
        <v>0</v>
      </c>
      <c r="L2548" s="200"/>
      <c r="M2548" s="200"/>
      <c r="N2548" s="200"/>
      <c r="O2548" s="200"/>
      <c r="P2548" s="200"/>
    </row>
    <row r="2549" spans="3:20" s="517" customFormat="1" ht="31.2" customHeight="1">
      <c r="C2549" s="756" t="s">
        <v>1215</v>
      </c>
      <c r="D2549" s="196" t="s">
        <v>1216</v>
      </c>
      <c r="E2549" s="203"/>
      <c r="F2549" s="197"/>
      <c r="G2549" s="197"/>
      <c r="H2549" s="198"/>
      <c r="L2549" s="200"/>
      <c r="M2549" s="200"/>
      <c r="N2549" s="200"/>
      <c r="O2549" s="200"/>
      <c r="P2549" s="200"/>
    </row>
    <row r="2550" spans="3:20" s="517" customFormat="1" ht="31.2" customHeight="1">
      <c r="C2550" s="207" t="s">
        <v>1217</v>
      </c>
      <c r="D2550" s="208"/>
      <c r="E2550" s="208"/>
      <c r="F2550" s="208"/>
      <c r="G2550" s="209"/>
      <c r="H2550" s="240">
        <f>SUM(H2549)</f>
        <v>0</v>
      </c>
      <c r="L2550" s="200"/>
      <c r="M2550" s="200"/>
      <c r="N2550" s="200"/>
      <c r="O2550" s="200"/>
      <c r="P2550" s="200"/>
    </row>
    <row r="2551" spans="3:20" s="517" customFormat="1" ht="31.2" customHeight="1">
      <c r="C2551" s="223" t="s">
        <v>1218</v>
      </c>
      <c r="D2551" s="224" t="s">
        <v>1219</v>
      </c>
      <c r="E2551" s="225"/>
      <c r="F2551" s="225"/>
      <c r="G2551" s="226"/>
      <c r="H2551" s="210">
        <f>H2550+H2548+H2537</f>
        <v>24824.25</v>
      </c>
      <c r="L2551" s="200"/>
      <c r="M2551" s="200"/>
      <c r="N2551" s="200"/>
      <c r="O2551" s="200"/>
      <c r="P2551" s="200"/>
    </row>
    <row r="2552" spans="3:20" s="517" customFormat="1" ht="31.2" customHeight="1">
      <c r="C2552" s="223" t="s">
        <v>1220</v>
      </c>
      <c r="D2552" s="224" t="s">
        <v>1321</v>
      </c>
      <c r="E2552" s="225"/>
      <c r="F2552" s="226"/>
      <c r="G2552" s="228">
        <v>0.1</v>
      </c>
      <c r="H2552" s="210">
        <f>H2551*G2552</f>
        <v>2482.4250000000002</v>
      </c>
      <c r="L2552" s="200"/>
      <c r="M2552" s="200"/>
      <c r="N2552" s="200"/>
      <c r="O2552" s="200"/>
      <c r="P2552" s="200"/>
    </row>
    <row r="2553" spans="3:20" s="517" customFormat="1" ht="31.2" customHeight="1" thickBot="1">
      <c r="C2553" s="229" t="s">
        <v>1221</v>
      </c>
      <c r="D2553" s="230" t="s">
        <v>1222</v>
      </c>
      <c r="E2553" s="231"/>
      <c r="F2553" s="231"/>
      <c r="G2553" s="232"/>
      <c r="H2553" s="233">
        <f>SUM(H2551:H2552)</f>
        <v>27306.674999999999</v>
      </c>
      <c r="L2553" s="200"/>
      <c r="M2553" s="200"/>
      <c r="N2553" s="200"/>
      <c r="O2553" s="200"/>
      <c r="P2553" s="200"/>
    </row>
    <row r="2554" spans="3:20" ht="31.2" customHeight="1" thickTop="1">
      <c r="D2554" s="758" t="s">
        <v>7086</v>
      </c>
    </row>
    <row r="2555" spans="3:20" ht="31.2" customHeight="1">
      <c r="C2555" s="757" t="s">
        <v>6950</v>
      </c>
      <c r="F2555" s="758"/>
      <c r="H2555" s="758" t="s">
        <v>6959</v>
      </c>
    </row>
    <row r="2556" spans="3:20" ht="31.2" customHeight="1">
      <c r="C2556" s="200" t="s">
        <v>6951</v>
      </c>
      <c r="F2556" s="758"/>
    </row>
    <row r="2557" spans="3:20" ht="31.2" customHeight="1">
      <c r="C2557" s="200" t="s">
        <v>6952</v>
      </c>
      <c r="F2557" s="758"/>
    </row>
    <row r="2558" spans="3:20" ht="31.2" customHeight="1"/>
    <row r="2559" spans="3:20" ht="31.2" customHeight="1">
      <c r="C2559" s="187" t="s">
        <v>5572</v>
      </c>
      <c r="D2559" s="187" t="s">
        <v>7139</v>
      </c>
    </row>
    <row r="2560" spans="3:20" s="517" customFormat="1" ht="31.2" customHeight="1" thickBot="1">
      <c r="C2560" s="513" t="s">
        <v>7140</v>
      </c>
      <c r="D2560" s="748" t="s">
        <v>7141</v>
      </c>
      <c r="E2560" s="749"/>
      <c r="F2560" s="748"/>
      <c r="G2560" s="748"/>
      <c r="H2560" s="532"/>
      <c r="I2560" s="532"/>
      <c r="J2560" s="532"/>
      <c r="K2560" s="532"/>
      <c r="M2560" s="189"/>
      <c r="N2560" s="189"/>
      <c r="O2560" s="189"/>
      <c r="P2560" s="189"/>
      <c r="R2560" s="189">
        <f>ROUNDDOWN(H2583,-2)</f>
        <v>18300</v>
      </c>
      <c r="S2560" s="517" t="s">
        <v>6451</v>
      </c>
      <c r="T2560" s="517" t="s">
        <v>7014</v>
      </c>
    </row>
    <row r="2561" spans="3:16" s="517" customFormat="1" ht="31.2" customHeight="1" thickTop="1">
      <c r="C2561" s="190" t="s">
        <v>1195</v>
      </c>
      <c r="D2561" s="191" t="s">
        <v>1196</v>
      </c>
      <c r="E2561" s="191" t="s">
        <v>1197</v>
      </c>
      <c r="F2561" s="191" t="s">
        <v>1198</v>
      </c>
      <c r="G2561" s="191" t="s">
        <v>1199</v>
      </c>
      <c r="H2561" s="192" t="s">
        <v>1200</v>
      </c>
      <c r="L2561" s="200"/>
      <c r="M2561" s="200"/>
      <c r="N2561" s="200"/>
      <c r="O2561" s="200"/>
      <c r="P2561" s="200"/>
    </row>
    <row r="2562" spans="3:16" s="517" customFormat="1" ht="31.2" customHeight="1">
      <c r="C2562" s="518" t="s">
        <v>1201</v>
      </c>
      <c r="D2562" s="196" t="s">
        <v>1202</v>
      </c>
      <c r="E2562" s="197"/>
      <c r="F2562" s="197"/>
      <c r="G2562" s="197"/>
      <c r="H2562" s="198"/>
      <c r="L2562" s="200"/>
      <c r="M2562" s="200"/>
      <c r="N2562" s="200"/>
      <c r="O2562" s="200"/>
      <c r="P2562" s="200"/>
    </row>
    <row r="2563" spans="3:16" s="517" customFormat="1" ht="31.2" customHeight="1">
      <c r="C2563" s="518">
        <v>1</v>
      </c>
      <c r="D2563" s="196" t="s">
        <v>5</v>
      </c>
      <c r="E2563" s="203" t="s">
        <v>2102</v>
      </c>
      <c r="F2563" s="763">
        <v>0.04</v>
      </c>
      <c r="G2563" s="205">
        <f>VLOOKUP(D2563,upahbahan,3,FALSE)</f>
        <v>100000</v>
      </c>
      <c r="H2563" s="210">
        <f t="shared" ref="H2563:H2566" si="175">F2563*G2563</f>
        <v>4000</v>
      </c>
      <c r="L2563" s="200"/>
      <c r="M2563" s="200"/>
      <c r="N2563" s="200"/>
      <c r="O2563" s="200"/>
      <c r="P2563" s="200"/>
    </row>
    <row r="2564" spans="3:16" s="517" customFormat="1" ht="31.2" customHeight="1">
      <c r="C2564" s="537">
        <v>2</v>
      </c>
      <c r="D2564" s="196" t="s">
        <v>6954</v>
      </c>
      <c r="E2564" s="202" t="s">
        <v>6</v>
      </c>
      <c r="F2564" s="520">
        <v>0.04</v>
      </c>
      <c r="G2564" s="205">
        <f>VLOOKUP(D2564,upahbahan,3,FALSE)</f>
        <v>181250</v>
      </c>
      <c r="H2564" s="210">
        <f t="shared" si="175"/>
        <v>7250</v>
      </c>
      <c r="L2564" s="200"/>
      <c r="M2564" s="200"/>
      <c r="N2564" s="200"/>
      <c r="O2564" s="200"/>
      <c r="P2564" s="200"/>
    </row>
    <row r="2565" spans="3:16" s="517" customFormat="1" ht="31.2" customHeight="1">
      <c r="C2565" s="537">
        <v>3</v>
      </c>
      <c r="D2565" s="196" t="s">
        <v>6948</v>
      </c>
      <c r="E2565" s="202" t="s">
        <v>2102</v>
      </c>
      <c r="F2565" s="520">
        <v>0.02</v>
      </c>
      <c r="G2565" s="205">
        <f>VLOOKUP(D2565,upahbahan,3,FALSE)</f>
        <v>218750</v>
      </c>
      <c r="H2565" s="210">
        <f t="shared" si="175"/>
        <v>4375</v>
      </c>
      <c r="L2565" s="200"/>
      <c r="M2565" s="200"/>
      <c r="N2565" s="200"/>
      <c r="O2565" s="200"/>
      <c r="P2565" s="200"/>
    </row>
    <row r="2566" spans="3:16" s="517" customFormat="1" ht="31.2" customHeight="1">
      <c r="C2566" s="537">
        <v>4</v>
      </c>
      <c r="D2566" s="196" t="s">
        <v>19</v>
      </c>
      <c r="E2566" s="202" t="s">
        <v>6</v>
      </c>
      <c r="F2566" s="520">
        <v>6.7000000000000002E-3</v>
      </c>
      <c r="G2566" s="205">
        <f>VLOOKUP(D2566,upahbahan,3,FALSE)</f>
        <v>160000</v>
      </c>
      <c r="H2566" s="210">
        <f t="shared" si="175"/>
        <v>1072</v>
      </c>
      <c r="L2566" s="200"/>
      <c r="M2566" s="200"/>
      <c r="N2566" s="200"/>
      <c r="O2566" s="200"/>
      <c r="P2566" s="200"/>
    </row>
    <row r="2567" spans="3:16" s="517" customFormat="1" ht="31.2" customHeight="1">
      <c r="C2567" s="207" t="s">
        <v>1208</v>
      </c>
      <c r="D2567" s="208"/>
      <c r="E2567" s="208"/>
      <c r="F2567" s="521"/>
      <c r="G2567" s="522"/>
      <c r="H2567" s="210">
        <f>SUM(H2563:H2566)</f>
        <v>16697</v>
      </c>
      <c r="L2567" s="523"/>
      <c r="M2567" s="523"/>
      <c r="N2567" s="523"/>
      <c r="O2567" s="523"/>
      <c r="P2567" s="523"/>
    </row>
    <row r="2568" spans="3:16" s="517" customFormat="1" ht="31.2" customHeight="1">
      <c r="C2568" s="543" t="s">
        <v>1209</v>
      </c>
      <c r="D2568" s="750" t="s">
        <v>1210</v>
      </c>
      <c r="E2568" s="197"/>
      <c r="F2568" s="751"/>
      <c r="G2568" s="197"/>
      <c r="H2568" s="752"/>
      <c r="L2568" s="200"/>
      <c r="M2568" s="200"/>
      <c r="N2568" s="200"/>
      <c r="O2568" s="200"/>
      <c r="P2568" s="200"/>
    </row>
    <row r="2569" spans="3:16" s="517" customFormat="1" ht="31.2" customHeight="1">
      <c r="C2569" s="543">
        <v>1</v>
      </c>
      <c r="D2569" s="750" t="s">
        <v>7143</v>
      </c>
      <c r="E2569" s="203" t="s">
        <v>44</v>
      </c>
      <c r="F2569" s="753">
        <v>1.05</v>
      </c>
      <c r="G2569" s="205">
        <f>VLOOKUP(D2569,upahbahan,3,FALSE)</f>
        <v>0</v>
      </c>
      <c r="H2569" s="210">
        <f t="shared" ref="H2569:H2577" si="176">F2569*G2569</f>
        <v>0</v>
      </c>
      <c r="L2569" s="200"/>
      <c r="M2569" s="200"/>
      <c r="N2569" s="200"/>
      <c r="O2569" s="200"/>
      <c r="P2569" s="200"/>
    </row>
    <row r="2570" spans="3:16" s="517" customFormat="1" ht="31.2" customHeight="1">
      <c r="C2570" s="543">
        <v>2</v>
      </c>
      <c r="D2570" s="750" t="s">
        <v>5563</v>
      </c>
      <c r="E2570" s="203" t="s">
        <v>65</v>
      </c>
      <c r="F2570" s="753">
        <v>0.02</v>
      </c>
      <c r="G2570" s="205">
        <f>VLOOKUP(D2570,upahbahan,3,FALSE)</f>
        <v>0</v>
      </c>
      <c r="H2570" s="210">
        <f t="shared" si="176"/>
        <v>0</v>
      </c>
      <c r="L2570" s="200"/>
      <c r="M2570" s="200"/>
      <c r="N2570" s="200"/>
      <c r="O2570" s="200"/>
      <c r="P2570" s="200"/>
    </row>
    <row r="2571" spans="3:16" s="517" customFormat="1" ht="31.2" customHeight="1">
      <c r="C2571" s="543">
        <v>3</v>
      </c>
      <c r="D2571" s="750" t="s">
        <v>5555</v>
      </c>
      <c r="E2571" s="203"/>
      <c r="F2571" s="753"/>
      <c r="G2571" s="197"/>
      <c r="H2571" s="210">
        <f t="shared" si="176"/>
        <v>0</v>
      </c>
      <c r="L2571" s="200"/>
      <c r="M2571" s="200"/>
      <c r="N2571" s="200"/>
      <c r="O2571" s="200"/>
      <c r="P2571" s="200"/>
    </row>
    <row r="2572" spans="3:16" s="517" customFormat="1" ht="31.2" customHeight="1">
      <c r="C2572" s="754" t="s">
        <v>5293</v>
      </c>
      <c r="D2572" s="750" t="s">
        <v>7142</v>
      </c>
      <c r="E2572" s="203" t="s">
        <v>113</v>
      </c>
      <c r="F2572" s="760">
        <v>18</v>
      </c>
      <c r="G2572" s="205">
        <f>VLOOKUP(D2572,upahbahan,3,FALSE)</f>
        <v>0</v>
      </c>
      <c r="H2572" s="210">
        <f t="shared" si="176"/>
        <v>0</v>
      </c>
      <c r="L2572" s="200"/>
      <c r="M2572" s="200"/>
      <c r="N2572" s="200"/>
      <c r="O2572" s="200"/>
      <c r="P2572" s="200"/>
    </row>
    <row r="2573" spans="3:16" s="517" customFormat="1" ht="31.2" customHeight="1">
      <c r="C2573" s="754" t="s">
        <v>5299</v>
      </c>
      <c r="D2573" s="750" t="s">
        <v>7055</v>
      </c>
      <c r="E2573" s="203" t="s">
        <v>113</v>
      </c>
      <c r="F2573" s="760">
        <v>10</v>
      </c>
      <c r="G2573" s="205">
        <f>VLOOKUP(D2573,upahbahan,3,FALSE)</f>
        <v>0</v>
      </c>
      <c r="H2573" s="210">
        <f t="shared" si="176"/>
        <v>0</v>
      </c>
      <c r="L2573" s="200"/>
      <c r="M2573" s="200"/>
      <c r="N2573" s="200"/>
      <c r="O2573" s="200"/>
      <c r="P2573" s="200"/>
    </row>
    <row r="2574" spans="3:16" s="517" customFormat="1" ht="31.2" customHeight="1">
      <c r="C2574" s="543">
        <v>4</v>
      </c>
      <c r="D2574" s="750" t="s">
        <v>5556</v>
      </c>
      <c r="E2574" s="203"/>
      <c r="F2574" s="753"/>
      <c r="G2574" s="197"/>
      <c r="H2574" s="210">
        <f t="shared" si="176"/>
        <v>0</v>
      </c>
      <c r="L2574" s="200"/>
      <c r="M2574" s="200"/>
      <c r="N2574" s="200"/>
      <c r="O2574" s="200"/>
      <c r="P2574" s="200"/>
    </row>
    <row r="2575" spans="3:16" s="517" customFormat="1" ht="31.2" customHeight="1">
      <c r="C2575" s="754" t="s">
        <v>5293</v>
      </c>
      <c r="D2575" s="750" t="s">
        <v>2084</v>
      </c>
      <c r="E2575" s="203" t="s">
        <v>42</v>
      </c>
      <c r="F2575" s="753">
        <v>9.8000000000000004E-2</v>
      </c>
      <c r="G2575" s="205">
        <f>VLOOKUP(D2575,upahbahan,3,FALSE)</f>
        <v>0</v>
      </c>
      <c r="H2575" s="210">
        <f t="shared" si="176"/>
        <v>0</v>
      </c>
      <c r="L2575" s="200"/>
      <c r="M2575" s="200"/>
      <c r="N2575" s="200"/>
      <c r="O2575" s="200"/>
      <c r="P2575" s="200"/>
    </row>
    <row r="2576" spans="3:16" s="517" customFormat="1" ht="31.2" customHeight="1">
      <c r="C2576" s="754" t="s">
        <v>5299</v>
      </c>
      <c r="D2576" s="750" t="s">
        <v>5566</v>
      </c>
      <c r="E2576" s="203" t="s">
        <v>42</v>
      </c>
      <c r="F2576" s="753">
        <v>2.5999999999999999E-2</v>
      </c>
      <c r="G2576" s="205">
        <f>VLOOKUP(D2576,upahbahan,3,FALSE)</f>
        <v>0</v>
      </c>
      <c r="H2576" s="210">
        <f t="shared" si="176"/>
        <v>0</v>
      </c>
      <c r="L2576" s="200"/>
      <c r="M2576" s="200"/>
      <c r="N2576" s="200"/>
      <c r="O2576" s="200"/>
      <c r="P2576" s="200"/>
    </row>
    <row r="2577" spans="3:20" s="517" customFormat="1" ht="31.2" customHeight="1">
      <c r="C2577" s="754" t="s">
        <v>5558</v>
      </c>
      <c r="D2577" s="750" t="s">
        <v>2325</v>
      </c>
      <c r="E2577" s="203" t="s">
        <v>42</v>
      </c>
      <c r="F2577" s="762">
        <v>7.0000000000000001E-3</v>
      </c>
      <c r="G2577" s="205">
        <f>VLOOKUP(D2577,upahbahan,3,FALSE)</f>
        <v>0</v>
      </c>
      <c r="H2577" s="210">
        <f t="shared" si="176"/>
        <v>0</v>
      </c>
      <c r="L2577" s="200"/>
      <c r="M2577" s="200"/>
      <c r="N2577" s="200"/>
      <c r="O2577" s="200"/>
      <c r="P2577" s="200"/>
    </row>
    <row r="2578" spans="3:20" s="517" customFormat="1" ht="31.2" customHeight="1">
      <c r="C2578" s="207" t="s">
        <v>1214</v>
      </c>
      <c r="D2578" s="208"/>
      <c r="E2578" s="568"/>
      <c r="F2578" s="208"/>
      <c r="G2578" s="209"/>
      <c r="H2578" s="210">
        <f>SUM(H2569:H2577)</f>
        <v>0</v>
      </c>
      <c r="L2578" s="200"/>
      <c r="M2578" s="200"/>
      <c r="N2578" s="200"/>
      <c r="O2578" s="200"/>
      <c r="P2578" s="200"/>
    </row>
    <row r="2579" spans="3:20" s="517" customFormat="1" ht="31.2" customHeight="1">
      <c r="C2579" s="756" t="s">
        <v>1215</v>
      </c>
      <c r="D2579" s="196" t="s">
        <v>1216</v>
      </c>
      <c r="E2579" s="203"/>
      <c r="F2579" s="197"/>
      <c r="G2579" s="197"/>
      <c r="H2579" s="198"/>
      <c r="L2579" s="200"/>
      <c r="M2579" s="200"/>
      <c r="N2579" s="200"/>
      <c r="O2579" s="200"/>
      <c r="P2579" s="200"/>
    </row>
    <row r="2580" spans="3:20" s="517" customFormat="1" ht="31.2" customHeight="1">
      <c r="C2580" s="207" t="s">
        <v>1217</v>
      </c>
      <c r="D2580" s="208"/>
      <c r="E2580" s="208"/>
      <c r="F2580" s="208"/>
      <c r="G2580" s="209"/>
      <c r="H2580" s="240">
        <f>SUM(H2579)</f>
        <v>0</v>
      </c>
      <c r="L2580" s="200"/>
      <c r="M2580" s="200"/>
      <c r="N2580" s="200"/>
      <c r="O2580" s="200"/>
      <c r="P2580" s="200"/>
    </row>
    <row r="2581" spans="3:20" s="517" customFormat="1" ht="31.2" customHeight="1">
      <c r="C2581" s="223" t="s">
        <v>1218</v>
      </c>
      <c r="D2581" s="224" t="s">
        <v>1219</v>
      </c>
      <c r="E2581" s="225"/>
      <c r="F2581" s="225"/>
      <c r="G2581" s="226"/>
      <c r="H2581" s="210">
        <f>H2580+H2578+H2567</f>
        <v>16697</v>
      </c>
      <c r="L2581" s="200"/>
      <c r="M2581" s="200"/>
      <c r="N2581" s="200"/>
      <c r="O2581" s="200"/>
      <c r="P2581" s="200"/>
    </row>
    <row r="2582" spans="3:20" s="517" customFormat="1" ht="31.2" customHeight="1">
      <c r="C2582" s="223" t="s">
        <v>1220</v>
      </c>
      <c r="D2582" s="224" t="s">
        <v>1321</v>
      </c>
      <c r="E2582" s="225"/>
      <c r="F2582" s="226"/>
      <c r="G2582" s="228">
        <v>0.1</v>
      </c>
      <c r="H2582" s="210">
        <f>H2581*G2582</f>
        <v>1669.7</v>
      </c>
      <c r="L2582" s="200"/>
      <c r="M2582" s="200"/>
      <c r="N2582" s="200"/>
      <c r="O2582" s="200"/>
      <c r="P2582" s="200"/>
    </row>
    <row r="2583" spans="3:20" s="517" customFormat="1" ht="31.2" customHeight="1" thickBot="1">
      <c r="C2583" s="229" t="s">
        <v>1221</v>
      </c>
      <c r="D2583" s="230" t="s">
        <v>1222</v>
      </c>
      <c r="E2583" s="231"/>
      <c r="F2583" s="231"/>
      <c r="G2583" s="232"/>
      <c r="H2583" s="233">
        <f>SUM(H2581:H2582)</f>
        <v>18366.7</v>
      </c>
      <c r="L2583" s="200"/>
      <c r="M2583" s="200"/>
      <c r="N2583" s="200"/>
      <c r="O2583" s="200"/>
      <c r="P2583" s="200"/>
    </row>
    <row r="2584" spans="3:20" ht="31.2" customHeight="1" thickTop="1">
      <c r="D2584" s="758" t="s">
        <v>7086</v>
      </c>
    </row>
    <row r="2585" spans="3:20" ht="31.2" customHeight="1">
      <c r="C2585" s="757" t="s">
        <v>6950</v>
      </c>
      <c r="F2585" s="758"/>
      <c r="H2585" s="758" t="s">
        <v>6959</v>
      </c>
    </row>
    <row r="2586" spans="3:20" ht="31.2" customHeight="1">
      <c r="C2586" s="200" t="s">
        <v>6951</v>
      </c>
      <c r="F2586" s="758"/>
    </row>
    <row r="2587" spans="3:20" ht="31.2" customHeight="1">
      <c r="C2587" s="200" t="s">
        <v>6952</v>
      </c>
      <c r="F2587" s="758"/>
    </row>
    <row r="2588" spans="3:20" ht="31.2" customHeight="1"/>
    <row r="2589" spans="3:20" s="517" customFormat="1" ht="31.2" customHeight="1" thickBot="1">
      <c r="C2589" s="513" t="s">
        <v>7144</v>
      </c>
      <c r="D2589" s="748" t="s">
        <v>7145</v>
      </c>
      <c r="E2589" s="749"/>
      <c r="F2589" s="748"/>
      <c r="G2589" s="748"/>
      <c r="H2589" s="532"/>
      <c r="I2589" s="532"/>
      <c r="J2589" s="532"/>
      <c r="K2589" s="532"/>
      <c r="M2589" s="189"/>
      <c r="N2589" s="189"/>
      <c r="O2589" s="189"/>
      <c r="P2589" s="189"/>
      <c r="R2589" s="189">
        <f>ROUNDDOWN(H2612,-2)</f>
        <v>18300</v>
      </c>
      <c r="S2589" s="517" t="s">
        <v>6451</v>
      </c>
      <c r="T2589" s="517" t="s">
        <v>7014</v>
      </c>
    </row>
    <row r="2590" spans="3:20" s="517" customFormat="1" ht="31.2" customHeight="1" thickTop="1">
      <c r="C2590" s="190" t="s">
        <v>1195</v>
      </c>
      <c r="D2590" s="191" t="s">
        <v>1196</v>
      </c>
      <c r="E2590" s="191" t="s">
        <v>1197</v>
      </c>
      <c r="F2590" s="191" t="s">
        <v>1198</v>
      </c>
      <c r="G2590" s="191" t="s">
        <v>1199</v>
      </c>
      <c r="H2590" s="192" t="s">
        <v>1200</v>
      </c>
      <c r="L2590" s="200"/>
      <c r="M2590" s="200"/>
      <c r="N2590" s="200"/>
      <c r="O2590" s="200"/>
      <c r="P2590" s="200"/>
    </row>
    <row r="2591" spans="3:20" s="517" customFormat="1" ht="31.2" customHeight="1">
      <c r="C2591" s="518" t="s">
        <v>1201</v>
      </c>
      <c r="D2591" s="196" t="s">
        <v>1202</v>
      </c>
      <c r="E2591" s="197"/>
      <c r="F2591" s="197"/>
      <c r="G2591" s="197"/>
      <c r="H2591" s="198"/>
      <c r="L2591" s="200"/>
      <c r="M2591" s="200"/>
      <c r="N2591" s="200"/>
      <c r="O2591" s="200"/>
      <c r="P2591" s="200"/>
    </row>
    <row r="2592" spans="3:20" s="517" customFormat="1" ht="31.2" customHeight="1">
      <c r="C2592" s="518">
        <v>1</v>
      </c>
      <c r="D2592" s="196" t="s">
        <v>5</v>
      </c>
      <c r="E2592" s="203" t="s">
        <v>2102</v>
      </c>
      <c r="F2592" s="763">
        <v>0.04</v>
      </c>
      <c r="G2592" s="205">
        <f>VLOOKUP(D2592,upahbahan,3,FALSE)</f>
        <v>100000</v>
      </c>
      <c r="H2592" s="210">
        <f t="shared" ref="H2592:H2595" si="177">F2592*G2592</f>
        <v>4000</v>
      </c>
      <c r="L2592" s="200"/>
      <c r="M2592" s="200"/>
      <c r="N2592" s="200"/>
      <c r="O2592" s="200"/>
      <c r="P2592" s="200"/>
    </row>
    <row r="2593" spans="3:16" s="517" customFormat="1" ht="31.2" customHeight="1">
      <c r="C2593" s="537">
        <v>2</v>
      </c>
      <c r="D2593" s="196" t="s">
        <v>6954</v>
      </c>
      <c r="E2593" s="202" t="s">
        <v>6</v>
      </c>
      <c r="F2593" s="520">
        <v>0.04</v>
      </c>
      <c r="G2593" s="205">
        <f>VLOOKUP(D2593,upahbahan,3,FALSE)</f>
        <v>181250</v>
      </c>
      <c r="H2593" s="210">
        <f t="shared" si="177"/>
        <v>7250</v>
      </c>
      <c r="L2593" s="200"/>
      <c r="M2593" s="200"/>
      <c r="N2593" s="200"/>
      <c r="O2593" s="200"/>
      <c r="P2593" s="200"/>
    </row>
    <row r="2594" spans="3:16" s="517" customFormat="1" ht="31.2" customHeight="1">
      <c r="C2594" s="537">
        <v>3</v>
      </c>
      <c r="D2594" s="196" t="s">
        <v>6948</v>
      </c>
      <c r="E2594" s="202" t="s">
        <v>2102</v>
      </c>
      <c r="F2594" s="520">
        <v>0.02</v>
      </c>
      <c r="G2594" s="205">
        <f>VLOOKUP(D2594,upahbahan,3,FALSE)</f>
        <v>218750</v>
      </c>
      <c r="H2594" s="210">
        <f t="shared" si="177"/>
        <v>4375</v>
      </c>
      <c r="L2594" s="200"/>
      <c r="M2594" s="200"/>
      <c r="N2594" s="200"/>
      <c r="O2594" s="200"/>
      <c r="P2594" s="200"/>
    </row>
    <row r="2595" spans="3:16" s="517" customFormat="1" ht="31.2" customHeight="1">
      <c r="C2595" s="537">
        <v>4</v>
      </c>
      <c r="D2595" s="196" t="s">
        <v>19</v>
      </c>
      <c r="E2595" s="202" t="s">
        <v>6</v>
      </c>
      <c r="F2595" s="520">
        <v>6.7000000000000002E-3</v>
      </c>
      <c r="G2595" s="205">
        <f>VLOOKUP(D2595,upahbahan,3,FALSE)</f>
        <v>160000</v>
      </c>
      <c r="H2595" s="210">
        <f t="shared" si="177"/>
        <v>1072</v>
      </c>
      <c r="L2595" s="200"/>
      <c r="M2595" s="200"/>
      <c r="N2595" s="200"/>
      <c r="O2595" s="200"/>
      <c r="P2595" s="200"/>
    </row>
    <row r="2596" spans="3:16" s="517" customFormat="1" ht="31.2" customHeight="1">
      <c r="C2596" s="207" t="s">
        <v>1208</v>
      </c>
      <c r="D2596" s="208"/>
      <c r="E2596" s="208"/>
      <c r="F2596" s="521"/>
      <c r="G2596" s="522"/>
      <c r="H2596" s="210">
        <f>SUM(H2592:H2595)</f>
        <v>16697</v>
      </c>
      <c r="L2596" s="523"/>
      <c r="M2596" s="523"/>
      <c r="N2596" s="523"/>
      <c r="O2596" s="523"/>
      <c r="P2596" s="523"/>
    </row>
    <row r="2597" spans="3:16" s="517" customFormat="1" ht="31.2" customHeight="1">
      <c r="C2597" s="543" t="s">
        <v>1209</v>
      </c>
      <c r="D2597" s="750" t="s">
        <v>1210</v>
      </c>
      <c r="E2597" s="197"/>
      <c r="F2597" s="751"/>
      <c r="G2597" s="197"/>
      <c r="H2597" s="752"/>
      <c r="L2597" s="200"/>
      <c r="M2597" s="200"/>
      <c r="N2597" s="200"/>
      <c r="O2597" s="200"/>
      <c r="P2597" s="200"/>
    </row>
    <row r="2598" spans="3:16" s="517" customFormat="1" ht="31.2" customHeight="1">
      <c r="C2598" s="543">
        <v>1</v>
      </c>
      <c r="D2598" s="750" t="s">
        <v>7146</v>
      </c>
      <c r="E2598" s="203" t="s">
        <v>44</v>
      </c>
      <c r="F2598" s="753">
        <v>1.05</v>
      </c>
      <c r="G2598" s="205">
        <f>VLOOKUP(D2598,upahbahan,3,FALSE)</f>
        <v>0</v>
      </c>
      <c r="H2598" s="210">
        <f t="shared" ref="H2598:H2606" si="178">F2598*G2598</f>
        <v>0</v>
      </c>
      <c r="L2598" s="200"/>
      <c r="M2598" s="200"/>
      <c r="N2598" s="200"/>
      <c r="O2598" s="200"/>
      <c r="P2598" s="200"/>
    </row>
    <row r="2599" spans="3:16" s="517" customFormat="1" ht="31.2" customHeight="1">
      <c r="C2599" s="543">
        <v>2</v>
      </c>
      <c r="D2599" s="750" t="s">
        <v>5563</v>
      </c>
      <c r="E2599" s="203" t="s">
        <v>65</v>
      </c>
      <c r="F2599" s="753">
        <v>0.02</v>
      </c>
      <c r="G2599" s="205">
        <f>VLOOKUP(D2599,upahbahan,3,FALSE)</f>
        <v>0</v>
      </c>
      <c r="H2599" s="210">
        <f t="shared" si="178"/>
        <v>0</v>
      </c>
      <c r="L2599" s="200"/>
      <c r="M2599" s="200"/>
      <c r="N2599" s="200"/>
      <c r="O2599" s="200"/>
      <c r="P2599" s="200"/>
    </row>
    <row r="2600" spans="3:16" s="517" customFormat="1" ht="31.2" customHeight="1">
      <c r="C2600" s="543">
        <v>3</v>
      </c>
      <c r="D2600" s="750" t="s">
        <v>5555</v>
      </c>
      <c r="E2600" s="203"/>
      <c r="F2600" s="753"/>
      <c r="G2600" s="197"/>
      <c r="H2600" s="210">
        <f t="shared" si="178"/>
        <v>0</v>
      </c>
      <c r="L2600" s="200"/>
      <c r="M2600" s="200"/>
      <c r="N2600" s="200"/>
      <c r="O2600" s="200"/>
      <c r="P2600" s="200"/>
    </row>
    <row r="2601" spans="3:16" s="517" customFormat="1" ht="31.2" customHeight="1">
      <c r="C2601" s="754" t="s">
        <v>5293</v>
      </c>
      <c r="D2601" s="750" t="s">
        <v>7142</v>
      </c>
      <c r="E2601" s="203" t="s">
        <v>113</v>
      </c>
      <c r="F2601" s="760">
        <v>18</v>
      </c>
      <c r="G2601" s="205">
        <f>VLOOKUP(D2601,upahbahan,3,FALSE)</f>
        <v>0</v>
      </c>
      <c r="H2601" s="210">
        <f t="shared" si="178"/>
        <v>0</v>
      </c>
      <c r="L2601" s="200"/>
      <c r="M2601" s="200"/>
      <c r="N2601" s="200"/>
      <c r="O2601" s="200"/>
      <c r="P2601" s="200"/>
    </row>
    <row r="2602" spans="3:16" s="517" customFormat="1" ht="31.2" customHeight="1">
      <c r="C2602" s="754" t="s">
        <v>5299</v>
      </c>
      <c r="D2602" s="750" t="s">
        <v>7055</v>
      </c>
      <c r="E2602" s="203" t="s">
        <v>113</v>
      </c>
      <c r="F2602" s="760">
        <v>10</v>
      </c>
      <c r="G2602" s="205">
        <f>VLOOKUP(D2602,upahbahan,3,FALSE)</f>
        <v>0</v>
      </c>
      <c r="H2602" s="210">
        <f t="shared" si="178"/>
        <v>0</v>
      </c>
      <c r="L2602" s="200"/>
      <c r="M2602" s="200"/>
      <c r="N2602" s="200"/>
      <c r="O2602" s="200"/>
      <c r="P2602" s="200"/>
    </row>
    <row r="2603" spans="3:16" s="517" customFormat="1" ht="31.2" customHeight="1">
      <c r="C2603" s="543">
        <v>4</v>
      </c>
      <c r="D2603" s="750" t="s">
        <v>5556</v>
      </c>
      <c r="E2603" s="203"/>
      <c r="F2603" s="753"/>
      <c r="G2603" s="197"/>
      <c r="H2603" s="210">
        <f t="shared" si="178"/>
        <v>0</v>
      </c>
      <c r="L2603" s="200"/>
      <c r="M2603" s="200"/>
      <c r="N2603" s="200"/>
      <c r="O2603" s="200"/>
      <c r="P2603" s="200"/>
    </row>
    <row r="2604" spans="3:16" s="517" customFormat="1" ht="31.2" customHeight="1">
      <c r="C2604" s="754" t="s">
        <v>5293</v>
      </c>
      <c r="D2604" s="750" t="s">
        <v>2084</v>
      </c>
      <c r="E2604" s="203" t="s">
        <v>42</v>
      </c>
      <c r="F2604" s="753">
        <v>9.8000000000000004E-2</v>
      </c>
      <c r="G2604" s="205">
        <f>VLOOKUP(D2604,upahbahan,3,FALSE)</f>
        <v>0</v>
      </c>
      <c r="H2604" s="210">
        <f t="shared" si="178"/>
        <v>0</v>
      </c>
      <c r="L2604" s="200"/>
      <c r="M2604" s="200"/>
      <c r="N2604" s="200"/>
      <c r="O2604" s="200"/>
      <c r="P2604" s="200"/>
    </row>
    <row r="2605" spans="3:16" s="517" customFormat="1" ht="31.2" customHeight="1">
      <c r="C2605" s="754" t="s">
        <v>5299</v>
      </c>
      <c r="D2605" s="750" t="s">
        <v>5566</v>
      </c>
      <c r="E2605" s="203" t="s">
        <v>42</v>
      </c>
      <c r="F2605" s="753">
        <v>2.5999999999999999E-2</v>
      </c>
      <c r="G2605" s="205">
        <f>VLOOKUP(D2605,upahbahan,3,FALSE)</f>
        <v>0</v>
      </c>
      <c r="H2605" s="210">
        <f t="shared" si="178"/>
        <v>0</v>
      </c>
      <c r="L2605" s="200"/>
      <c r="M2605" s="200"/>
      <c r="N2605" s="200"/>
      <c r="O2605" s="200"/>
      <c r="P2605" s="200"/>
    </row>
    <row r="2606" spans="3:16" s="517" customFormat="1" ht="31.2" customHeight="1">
      <c r="C2606" s="754" t="s">
        <v>5558</v>
      </c>
      <c r="D2606" s="750" t="s">
        <v>2325</v>
      </c>
      <c r="E2606" s="203" t="s">
        <v>42</v>
      </c>
      <c r="F2606" s="762">
        <v>7.0000000000000001E-3</v>
      </c>
      <c r="G2606" s="205">
        <f>VLOOKUP(D2606,upahbahan,3,FALSE)</f>
        <v>0</v>
      </c>
      <c r="H2606" s="210">
        <f t="shared" si="178"/>
        <v>0</v>
      </c>
      <c r="L2606" s="200"/>
      <c r="M2606" s="200"/>
      <c r="N2606" s="200"/>
      <c r="O2606" s="200"/>
      <c r="P2606" s="200"/>
    </row>
    <row r="2607" spans="3:16" s="517" customFormat="1" ht="31.2" customHeight="1">
      <c r="C2607" s="207" t="s">
        <v>1214</v>
      </c>
      <c r="D2607" s="208"/>
      <c r="E2607" s="568"/>
      <c r="F2607" s="208"/>
      <c r="G2607" s="209"/>
      <c r="H2607" s="210">
        <f>SUM(H2598:H2606)</f>
        <v>0</v>
      </c>
      <c r="L2607" s="200"/>
      <c r="M2607" s="200"/>
      <c r="N2607" s="200"/>
      <c r="O2607" s="200"/>
      <c r="P2607" s="200"/>
    </row>
    <row r="2608" spans="3:16" s="517" customFormat="1" ht="31.2" customHeight="1">
      <c r="C2608" s="756" t="s">
        <v>1215</v>
      </c>
      <c r="D2608" s="196" t="s">
        <v>1216</v>
      </c>
      <c r="E2608" s="203"/>
      <c r="F2608" s="197"/>
      <c r="G2608" s="197"/>
      <c r="H2608" s="198"/>
      <c r="L2608" s="200"/>
      <c r="M2608" s="200"/>
      <c r="N2608" s="200"/>
      <c r="O2608" s="200"/>
      <c r="P2608" s="200"/>
    </row>
    <row r="2609" spans="3:20" s="517" customFormat="1" ht="31.2" customHeight="1">
      <c r="C2609" s="207" t="s">
        <v>1217</v>
      </c>
      <c r="D2609" s="208"/>
      <c r="E2609" s="208"/>
      <c r="F2609" s="208"/>
      <c r="G2609" s="209"/>
      <c r="H2609" s="240">
        <f>SUM(H2608)</f>
        <v>0</v>
      </c>
      <c r="L2609" s="200"/>
      <c r="M2609" s="200"/>
      <c r="N2609" s="200"/>
      <c r="O2609" s="200"/>
      <c r="P2609" s="200"/>
    </row>
    <row r="2610" spans="3:20" s="517" customFormat="1" ht="31.2" customHeight="1">
      <c r="C2610" s="223" t="s">
        <v>1218</v>
      </c>
      <c r="D2610" s="224" t="s">
        <v>1219</v>
      </c>
      <c r="E2610" s="225"/>
      <c r="F2610" s="225"/>
      <c r="G2610" s="226"/>
      <c r="H2610" s="210">
        <f>H2609+H2607+H2596</f>
        <v>16697</v>
      </c>
      <c r="L2610" s="200"/>
      <c r="M2610" s="200"/>
      <c r="N2610" s="200"/>
      <c r="O2610" s="200"/>
      <c r="P2610" s="200"/>
    </row>
    <row r="2611" spans="3:20" s="517" customFormat="1" ht="31.2" customHeight="1">
      <c r="C2611" s="223" t="s">
        <v>1220</v>
      </c>
      <c r="D2611" s="224" t="s">
        <v>1321</v>
      </c>
      <c r="E2611" s="225"/>
      <c r="F2611" s="226"/>
      <c r="G2611" s="228">
        <v>0.1</v>
      </c>
      <c r="H2611" s="210">
        <f>H2610*G2611</f>
        <v>1669.7</v>
      </c>
      <c r="L2611" s="200"/>
      <c r="M2611" s="200"/>
      <c r="N2611" s="200"/>
      <c r="O2611" s="200"/>
      <c r="P2611" s="200"/>
    </row>
    <row r="2612" spans="3:20" s="517" customFormat="1" ht="31.2" customHeight="1" thickBot="1">
      <c r="C2612" s="229" t="s">
        <v>1221</v>
      </c>
      <c r="D2612" s="230" t="s">
        <v>1222</v>
      </c>
      <c r="E2612" s="231"/>
      <c r="F2612" s="231"/>
      <c r="G2612" s="232"/>
      <c r="H2612" s="233">
        <f>SUM(H2610:H2611)</f>
        <v>18366.7</v>
      </c>
      <c r="L2612" s="200"/>
      <c r="M2612" s="200"/>
      <c r="N2612" s="200"/>
      <c r="O2612" s="200"/>
      <c r="P2612" s="200"/>
    </row>
    <row r="2613" spans="3:20" ht="31.2" customHeight="1" thickTop="1">
      <c r="D2613" s="758" t="s">
        <v>7086</v>
      </c>
    </row>
    <row r="2614" spans="3:20" ht="31.2" customHeight="1">
      <c r="C2614" s="757" t="s">
        <v>6950</v>
      </c>
      <c r="F2614" s="758"/>
      <c r="H2614" s="758" t="s">
        <v>6959</v>
      </c>
    </row>
    <row r="2615" spans="3:20" ht="31.2" customHeight="1">
      <c r="C2615" s="200" t="s">
        <v>6951</v>
      </c>
      <c r="F2615" s="758"/>
    </row>
    <row r="2616" spans="3:20" ht="31.2" customHeight="1">
      <c r="C2616" s="200" t="s">
        <v>6952</v>
      </c>
      <c r="F2616" s="758"/>
    </row>
    <row r="2617" spans="3:20" ht="31.2" customHeight="1"/>
    <row r="2618" spans="3:20" s="517" customFormat="1" ht="31.2" customHeight="1" thickBot="1">
      <c r="C2618" s="513" t="s">
        <v>7147</v>
      </c>
      <c r="D2618" s="748" t="s">
        <v>7148</v>
      </c>
      <c r="E2618" s="749"/>
      <c r="F2618" s="748"/>
      <c r="G2618" s="748"/>
      <c r="H2618" s="532"/>
      <c r="I2618" s="532"/>
      <c r="J2618" s="532"/>
      <c r="K2618" s="532"/>
      <c r="M2618" s="189"/>
      <c r="N2618" s="189"/>
      <c r="O2618" s="189"/>
      <c r="P2618" s="189"/>
      <c r="R2618" s="189">
        <f>ROUNDDOWN(H2641,-2)</f>
        <v>18300</v>
      </c>
      <c r="S2618" s="517" t="s">
        <v>6451</v>
      </c>
      <c r="T2618" s="517" t="s">
        <v>7014</v>
      </c>
    </row>
    <row r="2619" spans="3:20" s="517" customFormat="1" ht="31.2" customHeight="1" thickTop="1">
      <c r="C2619" s="190" t="s">
        <v>1195</v>
      </c>
      <c r="D2619" s="191" t="s">
        <v>1196</v>
      </c>
      <c r="E2619" s="191" t="s">
        <v>1197</v>
      </c>
      <c r="F2619" s="191" t="s">
        <v>1198</v>
      </c>
      <c r="G2619" s="191" t="s">
        <v>1199</v>
      </c>
      <c r="H2619" s="192" t="s">
        <v>1200</v>
      </c>
      <c r="L2619" s="200"/>
      <c r="M2619" s="200"/>
      <c r="N2619" s="200"/>
      <c r="O2619" s="200"/>
      <c r="P2619" s="200"/>
    </row>
    <row r="2620" spans="3:20" s="517" customFormat="1" ht="31.2" customHeight="1">
      <c r="C2620" s="518" t="s">
        <v>1201</v>
      </c>
      <c r="D2620" s="196" t="s">
        <v>1202</v>
      </c>
      <c r="E2620" s="197"/>
      <c r="F2620" s="197"/>
      <c r="G2620" s="197"/>
      <c r="H2620" s="198"/>
      <c r="L2620" s="200"/>
      <c r="M2620" s="200"/>
      <c r="N2620" s="200"/>
      <c r="O2620" s="200"/>
      <c r="P2620" s="200"/>
    </row>
    <row r="2621" spans="3:20" s="517" customFormat="1" ht="31.2" customHeight="1">
      <c r="C2621" s="518">
        <v>1</v>
      </c>
      <c r="D2621" s="196" t="s">
        <v>5</v>
      </c>
      <c r="E2621" s="203" t="s">
        <v>2102</v>
      </c>
      <c r="F2621" s="763">
        <v>0.04</v>
      </c>
      <c r="G2621" s="205">
        <f>VLOOKUP(D2621,upahbahan,3,FALSE)</f>
        <v>100000</v>
      </c>
      <c r="H2621" s="210">
        <f t="shared" ref="H2621:H2624" si="179">F2621*G2621</f>
        <v>4000</v>
      </c>
      <c r="L2621" s="200"/>
      <c r="M2621" s="200"/>
      <c r="N2621" s="200"/>
      <c r="O2621" s="200"/>
      <c r="P2621" s="200"/>
    </row>
    <row r="2622" spans="3:20" s="517" customFormat="1" ht="31.2" customHeight="1">
      <c r="C2622" s="537">
        <v>2</v>
      </c>
      <c r="D2622" s="196" t="s">
        <v>6954</v>
      </c>
      <c r="E2622" s="202" t="s">
        <v>6</v>
      </c>
      <c r="F2622" s="520">
        <v>0.04</v>
      </c>
      <c r="G2622" s="205">
        <f>VLOOKUP(D2622,upahbahan,3,FALSE)</f>
        <v>181250</v>
      </c>
      <c r="H2622" s="210">
        <f t="shared" si="179"/>
        <v>7250</v>
      </c>
      <c r="L2622" s="200"/>
      <c r="M2622" s="200"/>
      <c r="N2622" s="200"/>
      <c r="O2622" s="200"/>
      <c r="P2622" s="200"/>
    </row>
    <row r="2623" spans="3:20" s="517" customFormat="1" ht="31.2" customHeight="1">
      <c r="C2623" s="537">
        <v>3</v>
      </c>
      <c r="D2623" s="196" t="s">
        <v>6948</v>
      </c>
      <c r="E2623" s="202" t="s">
        <v>2102</v>
      </c>
      <c r="F2623" s="520">
        <v>0.02</v>
      </c>
      <c r="G2623" s="205">
        <f>VLOOKUP(D2623,upahbahan,3,FALSE)</f>
        <v>218750</v>
      </c>
      <c r="H2623" s="210">
        <f t="shared" si="179"/>
        <v>4375</v>
      </c>
      <c r="L2623" s="200"/>
      <c r="M2623" s="200"/>
      <c r="N2623" s="200"/>
      <c r="O2623" s="200"/>
      <c r="P2623" s="200"/>
    </row>
    <row r="2624" spans="3:20" s="517" customFormat="1" ht="31.2" customHeight="1">
      <c r="C2624" s="537">
        <v>4</v>
      </c>
      <c r="D2624" s="196" t="s">
        <v>19</v>
      </c>
      <c r="E2624" s="202" t="s">
        <v>6</v>
      </c>
      <c r="F2624" s="520">
        <v>6.7000000000000002E-3</v>
      </c>
      <c r="G2624" s="205">
        <f>VLOOKUP(D2624,upahbahan,3,FALSE)</f>
        <v>160000</v>
      </c>
      <c r="H2624" s="210">
        <f t="shared" si="179"/>
        <v>1072</v>
      </c>
      <c r="L2624" s="200"/>
      <c r="M2624" s="200"/>
      <c r="N2624" s="200"/>
      <c r="O2624" s="200"/>
      <c r="P2624" s="200"/>
    </row>
    <row r="2625" spans="3:16" s="517" customFormat="1" ht="31.2" customHeight="1">
      <c r="C2625" s="207" t="s">
        <v>1208</v>
      </c>
      <c r="D2625" s="208"/>
      <c r="E2625" s="208"/>
      <c r="F2625" s="521"/>
      <c r="G2625" s="522"/>
      <c r="H2625" s="210">
        <f>SUM(H2621:H2624)</f>
        <v>16697</v>
      </c>
      <c r="L2625" s="523"/>
      <c r="M2625" s="523"/>
      <c r="N2625" s="523"/>
      <c r="O2625" s="523"/>
      <c r="P2625" s="523"/>
    </row>
    <row r="2626" spans="3:16" s="517" customFormat="1" ht="31.2" customHeight="1">
      <c r="C2626" s="543" t="s">
        <v>1209</v>
      </c>
      <c r="D2626" s="750" t="s">
        <v>1210</v>
      </c>
      <c r="E2626" s="197"/>
      <c r="F2626" s="751"/>
      <c r="G2626" s="197"/>
      <c r="H2626" s="752"/>
      <c r="L2626" s="200"/>
      <c r="M2626" s="200"/>
      <c r="N2626" s="200"/>
      <c r="O2626" s="200"/>
      <c r="P2626" s="200"/>
    </row>
    <row r="2627" spans="3:16" s="517" customFormat="1" ht="31.2" customHeight="1">
      <c r="C2627" s="543">
        <v>1</v>
      </c>
      <c r="D2627" s="750" t="s">
        <v>7149</v>
      </c>
      <c r="E2627" s="203" t="s">
        <v>44</v>
      </c>
      <c r="F2627" s="753">
        <v>1.05</v>
      </c>
      <c r="G2627" s="205">
        <f>VLOOKUP(D2627,upahbahan,3,FALSE)</f>
        <v>0</v>
      </c>
      <c r="H2627" s="210">
        <f t="shared" ref="H2627:H2635" si="180">F2627*G2627</f>
        <v>0</v>
      </c>
      <c r="L2627" s="200"/>
      <c r="M2627" s="200"/>
      <c r="N2627" s="200"/>
      <c r="O2627" s="200"/>
      <c r="P2627" s="200"/>
    </row>
    <row r="2628" spans="3:16" s="517" customFormat="1" ht="31.2" customHeight="1">
      <c r="C2628" s="543">
        <v>2</v>
      </c>
      <c r="D2628" s="750" t="s">
        <v>5563</v>
      </c>
      <c r="E2628" s="203" t="s">
        <v>65</v>
      </c>
      <c r="F2628" s="753">
        <v>0.02</v>
      </c>
      <c r="G2628" s="205">
        <f>VLOOKUP(D2628,upahbahan,3,FALSE)</f>
        <v>0</v>
      </c>
      <c r="H2628" s="210">
        <f t="shared" si="180"/>
        <v>0</v>
      </c>
      <c r="L2628" s="200"/>
      <c r="M2628" s="200"/>
      <c r="N2628" s="200"/>
      <c r="O2628" s="200"/>
      <c r="P2628" s="200"/>
    </row>
    <row r="2629" spans="3:16" s="517" customFormat="1" ht="31.2" customHeight="1">
      <c r="C2629" s="543">
        <v>3</v>
      </c>
      <c r="D2629" s="750" t="s">
        <v>5555</v>
      </c>
      <c r="E2629" s="203"/>
      <c r="F2629" s="753"/>
      <c r="G2629" s="197"/>
      <c r="H2629" s="210">
        <f t="shared" si="180"/>
        <v>0</v>
      </c>
      <c r="L2629" s="200"/>
      <c r="M2629" s="200"/>
      <c r="N2629" s="200"/>
      <c r="O2629" s="200"/>
      <c r="P2629" s="200"/>
    </row>
    <row r="2630" spans="3:16" s="517" customFormat="1" ht="31.2" customHeight="1">
      <c r="C2630" s="754" t="s">
        <v>5293</v>
      </c>
      <c r="D2630" s="750" t="s">
        <v>7142</v>
      </c>
      <c r="E2630" s="203" t="s">
        <v>113</v>
      </c>
      <c r="F2630" s="760">
        <v>18</v>
      </c>
      <c r="G2630" s="205">
        <f>VLOOKUP(D2630,upahbahan,3,FALSE)</f>
        <v>0</v>
      </c>
      <c r="H2630" s="210">
        <f t="shared" si="180"/>
        <v>0</v>
      </c>
      <c r="L2630" s="200"/>
      <c r="M2630" s="200"/>
      <c r="N2630" s="200"/>
      <c r="O2630" s="200"/>
      <c r="P2630" s="200"/>
    </row>
    <row r="2631" spans="3:16" s="517" customFormat="1" ht="31.2" customHeight="1">
      <c r="C2631" s="754" t="s">
        <v>5299</v>
      </c>
      <c r="D2631" s="750" t="s">
        <v>7055</v>
      </c>
      <c r="E2631" s="203" t="s">
        <v>113</v>
      </c>
      <c r="F2631" s="760">
        <v>10</v>
      </c>
      <c r="G2631" s="205">
        <f>VLOOKUP(D2631,upahbahan,3,FALSE)</f>
        <v>0</v>
      </c>
      <c r="H2631" s="210">
        <f t="shared" si="180"/>
        <v>0</v>
      </c>
      <c r="L2631" s="200"/>
      <c r="M2631" s="200"/>
      <c r="N2631" s="200"/>
      <c r="O2631" s="200"/>
      <c r="P2631" s="200"/>
    </row>
    <row r="2632" spans="3:16" s="517" customFormat="1" ht="31.2" customHeight="1">
      <c r="C2632" s="543">
        <v>4</v>
      </c>
      <c r="D2632" s="750" t="s">
        <v>5556</v>
      </c>
      <c r="E2632" s="203"/>
      <c r="F2632" s="753"/>
      <c r="G2632" s="197"/>
      <c r="H2632" s="210">
        <f t="shared" si="180"/>
        <v>0</v>
      </c>
      <c r="L2632" s="200"/>
      <c r="M2632" s="200"/>
      <c r="N2632" s="200"/>
      <c r="O2632" s="200"/>
      <c r="P2632" s="200"/>
    </row>
    <row r="2633" spans="3:16" s="517" customFormat="1" ht="31.2" customHeight="1">
      <c r="C2633" s="754" t="s">
        <v>5293</v>
      </c>
      <c r="D2633" s="750" t="s">
        <v>2084</v>
      </c>
      <c r="E2633" s="203" t="s">
        <v>42</v>
      </c>
      <c r="F2633" s="753">
        <v>9.8000000000000004E-2</v>
      </c>
      <c r="G2633" s="205">
        <f>VLOOKUP(D2633,upahbahan,3,FALSE)</f>
        <v>0</v>
      </c>
      <c r="H2633" s="210">
        <f t="shared" si="180"/>
        <v>0</v>
      </c>
      <c r="L2633" s="200"/>
      <c r="M2633" s="200"/>
      <c r="N2633" s="200"/>
      <c r="O2633" s="200"/>
      <c r="P2633" s="200"/>
    </row>
    <row r="2634" spans="3:16" s="517" customFormat="1" ht="31.2" customHeight="1">
      <c r="C2634" s="754" t="s">
        <v>5299</v>
      </c>
      <c r="D2634" s="750" t="s">
        <v>5566</v>
      </c>
      <c r="E2634" s="203" t="s">
        <v>42</v>
      </c>
      <c r="F2634" s="753">
        <v>2.5999999999999999E-2</v>
      </c>
      <c r="G2634" s="205">
        <f>VLOOKUP(D2634,upahbahan,3,FALSE)</f>
        <v>0</v>
      </c>
      <c r="H2634" s="210">
        <f t="shared" si="180"/>
        <v>0</v>
      </c>
      <c r="L2634" s="200"/>
      <c r="M2634" s="200"/>
      <c r="N2634" s="200"/>
      <c r="O2634" s="200"/>
      <c r="P2634" s="200"/>
    </row>
    <row r="2635" spans="3:16" s="517" customFormat="1" ht="31.2" customHeight="1">
      <c r="C2635" s="754" t="s">
        <v>5558</v>
      </c>
      <c r="D2635" s="750" t="s">
        <v>2325</v>
      </c>
      <c r="E2635" s="203" t="s">
        <v>42</v>
      </c>
      <c r="F2635" s="762">
        <v>7.0000000000000001E-3</v>
      </c>
      <c r="G2635" s="205">
        <f>VLOOKUP(D2635,upahbahan,3,FALSE)</f>
        <v>0</v>
      </c>
      <c r="H2635" s="210">
        <f t="shared" si="180"/>
        <v>0</v>
      </c>
      <c r="L2635" s="200"/>
      <c r="M2635" s="200"/>
      <c r="N2635" s="200"/>
      <c r="O2635" s="200"/>
      <c r="P2635" s="200"/>
    </row>
    <row r="2636" spans="3:16" s="517" customFormat="1" ht="31.2" customHeight="1">
      <c r="C2636" s="207" t="s">
        <v>1214</v>
      </c>
      <c r="D2636" s="208"/>
      <c r="E2636" s="568"/>
      <c r="F2636" s="208"/>
      <c r="G2636" s="209"/>
      <c r="H2636" s="210">
        <f>SUM(H2627:H2635)</f>
        <v>0</v>
      </c>
      <c r="L2636" s="200"/>
      <c r="M2636" s="200"/>
      <c r="N2636" s="200"/>
      <c r="O2636" s="200"/>
      <c r="P2636" s="200"/>
    </row>
    <row r="2637" spans="3:16" s="517" customFormat="1" ht="31.2" customHeight="1">
      <c r="C2637" s="756" t="s">
        <v>1215</v>
      </c>
      <c r="D2637" s="196" t="s">
        <v>1216</v>
      </c>
      <c r="E2637" s="203"/>
      <c r="F2637" s="197"/>
      <c r="G2637" s="197"/>
      <c r="H2637" s="198"/>
      <c r="L2637" s="200"/>
      <c r="M2637" s="200"/>
      <c r="N2637" s="200"/>
      <c r="O2637" s="200"/>
      <c r="P2637" s="200"/>
    </row>
    <row r="2638" spans="3:16" s="517" customFormat="1" ht="31.2" customHeight="1">
      <c r="C2638" s="207" t="s">
        <v>1217</v>
      </c>
      <c r="D2638" s="208"/>
      <c r="E2638" s="208"/>
      <c r="F2638" s="208"/>
      <c r="G2638" s="209"/>
      <c r="H2638" s="240">
        <f>SUM(H2637)</f>
        <v>0</v>
      </c>
      <c r="L2638" s="200"/>
      <c r="M2638" s="200"/>
      <c r="N2638" s="200"/>
      <c r="O2638" s="200"/>
      <c r="P2638" s="200"/>
    </row>
    <row r="2639" spans="3:16" s="517" customFormat="1" ht="31.2" customHeight="1">
      <c r="C2639" s="223" t="s">
        <v>1218</v>
      </c>
      <c r="D2639" s="224" t="s">
        <v>1219</v>
      </c>
      <c r="E2639" s="225"/>
      <c r="F2639" s="225"/>
      <c r="G2639" s="226"/>
      <c r="H2639" s="210">
        <f>H2638+H2636+H2625</f>
        <v>16697</v>
      </c>
      <c r="L2639" s="200"/>
      <c r="M2639" s="200"/>
      <c r="N2639" s="200"/>
      <c r="O2639" s="200"/>
      <c r="P2639" s="200"/>
    </row>
    <row r="2640" spans="3:16" s="517" customFormat="1" ht="31.2" customHeight="1">
      <c r="C2640" s="223" t="s">
        <v>1220</v>
      </c>
      <c r="D2640" s="224" t="s">
        <v>1321</v>
      </c>
      <c r="E2640" s="225"/>
      <c r="F2640" s="226"/>
      <c r="G2640" s="228">
        <v>0.1</v>
      </c>
      <c r="H2640" s="210">
        <f>H2639*G2640</f>
        <v>1669.7</v>
      </c>
      <c r="L2640" s="200"/>
      <c r="M2640" s="200"/>
      <c r="N2640" s="200"/>
      <c r="O2640" s="200"/>
      <c r="P2640" s="200"/>
    </row>
    <row r="2641" spans="3:20" s="517" customFormat="1" ht="31.2" customHeight="1" thickBot="1">
      <c r="C2641" s="229" t="s">
        <v>1221</v>
      </c>
      <c r="D2641" s="230" t="s">
        <v>1222</v>
      </c>
      <c r="E2641" s="231"/>
      <c r="F2641" s="231"/>
      <c r="G2641" s="232"/>
      <c r="H2641" s="233">
        <f>SUM(H2639:H2640)</f>
        <v>18366.7</v>
      </c>
      <c r="L2641" s="200"/>
      <c r="M2641" s="200"/>
      <c r="N2641" s="200"/>
      <c r="O2641" s="200"/>
      <c r="P2641" s="200"/>
    </row>
    <row r="2642" spans="3:20" ht="31.2" customHeight="1" thickTop="1">
      <c r="D2642" s="758" t="s">
        <v>7086</v>
      </c>
    </row>
    <row r="2643" spans="3:20" ht="31.2" customHeight="1">
      <c r="C2643" s="757" t="s">
        <v>6950</v>
      </c>
      <c r="F2643" s="758"/>
      <c r="H2643" s="758" t="s">
        <v>6959</v>
      </c>
    </row>
    <row r="2644" spans="3:20" ht="31.2" customHeight="1">
      <c r="C2644" s="200" t="s">
        <v>6951</v>
      </c>
      <c r="F2644" s="758"/>
    </row>
    <row r="2645" spans="3:20" ht="31.2" customHeight="1">
      <c r="C2645" s="200" t="s">
        <v>6952</v>
      </c>
      <c r="F2645" s="758"/>
    </row>
    <row r="2646" spans="3:20" ht="31.2" customHeight="1"/>
    <row r="2647" spans="3:20" s="517" customFormat="1" ht="31.2" customHeight="1" thickBot="1">
      <c r="C2647" s="513" t="s">
        <v>7150</v>
      </c>
      <c r="D2647" s="748" t="s">
        <v>7151</v>
      </c>
      <c r="E2647" s="749"/>
      <c r="F2647" s="748"/>
      <c r="G2647" s="748"/>
      <c r="H2647" s="532"/>
      <c r="I2647" s="532"/>
      <c r="J2647" s="532"/>
      <c r="K2647" s="532"/>
      <c r="M2647" s="189"/>
      <c r="N2647" s="189"/>
      <c r="O2647" s="189"/>
      <c r="P2647" s="189"/>
      <c r="R2647" s="189">
        <f>ROUNDDOWN(H2670,-2)</f>
        <v>18300</v>
      </c>
      <c r="S2647" s="517" t="s">
        <v>6451</v>
      </c>
      <c r="T2647" s="517" t="s">
        <v>7014</v>
      </c>
    </row>
    <row r="2648" spans="3:20" s="517" customFormat="1" ht="31.2" customHeight="1" thickTop="1">
      <c r="C2648" s="190" t="s">
        <v>1195</v>
      </c>
      <c r="D2648" s="191" t="s">
        <v>1196</v>
      </c>
      <c r="E2648" s="191" t="s">
        <v>1197</v>
      </c>
      <c r="F2648" s="191" t="s">
        <v>1198</v>
      </c>
      <c r="G2648" s="191" t="s">
        <v>1199</v>
      </c>
      <c r="H2648" s="192" t="s">
        <v>1200</v>
      </c>
      <c r="L2648" s="200"/>
      <c r="M2648" s="200"/>
      <c r="N2648" s="200"/>
      <c r="O2648" s="200"/>
      <c r="P2648" s="200"/>
    </row>
    <row r="2649" spans="3:20" s="517" customFormat="1" ht="31.2" customHeight="1">
      <c r="C2649" s="518" t="s">
        <v>1201</v>
      </c>
      <c r="D2649" s="196" t="s">
        <v>1202</v>
      </c>
      <c r="E2649" s="197"/>
      <c r="F2649" s="197"/>
      <c r="G2649" s="197"/>
      <c r="H2649" s="198"/>
      <c r="L2649" s="200"/>
      <c r="M2649" s="200"/>
      <c r="N2649" s="200"/>
      <c r="O2649" s="200"/>
      <c r="P2649" s="200"/>
    </row>
    <row r="2650" spans="3:20" s="517" customFormat="1" ht="31.2" customHeight="1">
      <c r="C2650" s="518">
        <v>1</v>
      </c>
      <c r="D2650" s="196" t="s">
        <v>5</v>
      </c>
      <c r="E2650" s="203" t="s">
        <v>2102</v>
      </c>
      <c r="F2650" s="763">
        <v>0.04</v>
      </c>
      <c r="G2650" s="205">
        <f>VLOOKUP(D2650,upahbahan,3,FALSE)</f>
        <v>100000</v>
      </c>
      <c r="H2650" s="210">
        <f t="shared" ref="H2650:H2653" si="181">F2650*G2650</f>
        <v>4000</v>
      </c>
      <c r="L2650" s="200"/>
      <c r="M2650" s="200"/>
      <c r="N2650" s="200"/>
      <c r="O2650" s="200"/>
      <c r="P2650" s="200"/>
    </row>
    <row r="2651" spans="3:20" s="517" customFormat="1" ht="31.2" customHeight="1">
      <c r="C2651" s="537">
        <v>2</v>
      </c>
      <c r="D2651" s="196" t="s">
        <v>6954</v>
      </c>
      <c r="E2651" s="202" t="s">
        <v>6</v>
      </c>
      <c r="F2651" s="520">
        <v>0.04</v>
      </c>
      <c r="G2651" s="205">
        <f>VLOOKUP(D2651,upahbahan,3,FALSE)</f>
        <v>181250</v>
      </c>
      <c r="H2651" s="210">
        <f t="shared" si="181"/>
        <v>7250</v>
      </c>
      <c r="L2651" s="200"/>
      <c r="M2651" s="200"/>
      <c r="N2651" s="200"/>
      <c r="O2651" s="200"/>
      <c r="P2651" s="200"/>
    </row>
    <row r="2652" spans="3:20" s="517" customFormat="1" ht="31.2" customHeight="1">
      <c r="C2652" s="537">
        <v>3</v>
      </c>
      <c r="D2652" s="196" t="s">
        <v>6948</v>
      </c>
      <c r="E2652" s="202" t="s">
        <v>2102</v>
      </c>
      <c r="F2652" s="520">
        <v>0.02</v>
      </c>
      <c r="G2652" s="205">
        <f>VLOOKUP(D2652,upahbahan,3,FALSE)</f>
        <v>218750</v>
      </c>
      <c r="H2652" s="210">
        <f t="shared" si="181"/>
        <v>4375</v>
      </c>
      <c r="L2652" s="200"/>
      <c r="M2652" s="200"/>
      <c r="N2652" s="200"/>
      <c r="O2652" s="200"/>
      <c r="P2652" s="200"/>
    </row>
    <row r="2653" spans="3:20" s="517" customFormat="1" ht="31.2" customHeight="1">
      <c r="C2653" s="537">
        <v>4</v>
      </c>
      <c r="D2653" s="196" t="s">
        <v>19</v>
      </c>
      <c r="E2653" s="202" t="s">
        <v>6</v>
      </c>
      <c r="F2653" s="520">
        <v>6.7000000000000002E-3</v>
      </c>
      <c r="G2653" s="205">
        <f>VLOOKUP(D2653,upahbahan,3,FALSE)</f>
        <v>160000</v>
      </c>
      <c r="H2653" s="210">
        <f t="shared" si="181"/>
        <v>1072</v>
      </c>
      <c r="L2653" s="200"/>
      <c r="M2653" s="200"/>
      <c r="N2653" s="200"/>
      <c r="O2653" s="200"/>
      <c r="P2653" s="200"/>
    </row>
    <row r="2654" spans="3:20" s="517" customFormat="1" ht="31.2" customHeight="1">
      <c r="C2654" s="207" t="s">
        <v>1208</v>
      </c>
      <c r="D2654" s="208"/>
      <c r="E2654" s="208"/>
      <c r="F2654" s="521"/>
      <c r="G2654" s="522"/>
      <c r="H2654" s="210">
        <f>SUM(H2650:H2653)</f>
        <v>16697</v>
      </c>
      <c r="L2654" s="523"/>
      <c r="M2654" s="523"/>
      <c r="N2654" s="523"/>
      <c r="O2654" s="523"/>
      <c r="P2654" s="523"/>
    </row>
    <row r="2655" spans="3:20" s="517" customFormat="1" ht="31.2" customHeight="1">
      <c r="C2655" s="543" t="s">
        <v>1209</v>
      </c>
      <c r="D2655" s="750" t="s">
        <v>1210</v>
      </c>
      <c r="E2655" s="197"/>
      <c r="F2655" s="751"/>
      <c r="G2655" s="197"/>
      <c r="H2655" s="752"/>
      <c r="L2655" s="200"/>
      <c r="M2655" s="200"/>
      <c r="N2655" s="200"/>
      <c r="O2655" s="200"/>
      <c r="P2655" s="200"/>
    </row>
    <row r="2656" spans="3:20" s="517" customFormat="1" ht="31.2" customHeight="1">
      <c r="C2656" s="543">
        <v>1</v>
      </c>
      <c r="D2656" s="750" t="s">
        <v>7152</v>
      </c>
      <c r="E2656" s="203" t="s">
        <v>44</v>
      </c>
      <c r="F2656" s="753">
        <v>1.05</v>
      </c>
      <c r="G2656" s="205">
        <f>VLOOKUP(D2656,upahbahan,3,FALSE)</f>
        <v>0</v>
      </c>
      <c r="H2656" s="210">
        <f t="shared" ref="H2656:H2664" si="182">F2656*G2656</f>
        <v>0</v>
      </c>
      <c r="L2656" s="200"/>
      <c r="M2656" s="200"/>
      <c r="N2656" s="200"/>
      <c r="O2656" s="200"/>
      <c r="P2656" s="200"/>
    </row>
    <row r="2657" spans="3:16" s="517" customFormat="1" ht="31.2" customHeight="1">
      <c r="C2657" s="543">
        <v>2</v>
      </c>
      <c r="D2657" s="750" t="s">
        <v>5563</v>
      </c>
      <c r="E2657" s="203" t="s">
        <v>65</v>
      </c>
      <c r="F2657" s="753">
        <v>0.02</v>
      </c>
      <c r="G2657" s="205">
        <f>VLOOKUP(D2657,upahbahan,3,FALSE)</f>
        <v>0</v>
      </c>
      <c r="H2657" s="210">
        <f t="shared" si="182"/>
        <v>0</v>
      </c>
      <c r="L2657" s="200"/>
      <c r="M2657" s="200"/>
      <c r="N2657" s="200"/>
      <c r="O2657" s="200"/>
      <c r="P2657" s="200"/>
    </row>
    <row r="2658" spans="3:16" s="517" customFormat="1" ht="31.2" customHeight="1">
      <c r="C2658" s="543">
        <v>3</v>
      </c>
      <c r="D2658" s="750" t="s">
        <v>5555</v>
      </c>
      <c r="E2658" s="203"/>
      <c r="F2658" s="753"/>
      <c r="G2658" s="197"/>
      <c r="H2658" s="210">
        <f t="shared" si="182"/>
        <v>0</v>
      </c>
      <c r="L2658" s="200"/>
      <c r="M2658" s="200"/>
      <c r="N2658" s="200"/>
      <c r="O2658" s="200"/>
      <c r="P2658" s="200"/>
    </row>
    <row r="2659" spans="3:16" s="517" customFormat="1" ht="31.2" customHeight="1">
      <c r="C2659" s="754" t="s">
        <v>5293</v>
      </c>
      <c r="D2659" s="750" t="s">
        <v>7142</v>
      </c>
      <c r="E2659" s="203" t="s">
        <v>113</v>
      </c>
      <c r="F2659" s="760">
        <v>18</v>
      </c>
      <c r="G2659" s="205">
        <f>VLOOKUP(D2659,upahbahan,3,FALSE)</f>
        <v>0</v>
      </c>
      <c r="H2659" s="210">
        <f t="shared" si="182"/>
        <v>0</v>
      </c>
      <c r="L2659" s="200"/>
      <c r="M2659" s="200"/>
      <c r="N2659" s="200"/>
      <c r="O2659" s="200"/>
      <c r="P2659" s="200"/>
    </row>
    <row r="2660" spans="3:16" s="517" customFormat="1" ht="31.2" customHeight="1">
      <c r="C2660" s="754" t="s">
        <v>5299</v>
      </c>
      <c r="D2660" s="750" t="s">
        <v>7055</v>
      </c>
      <c r="E2660" s="203" t="s">
        <v>113</v>
      </c>
      <c r="F2660" s="760">
        <v>10</v>
      </c>
      <c r="G2660" s="205">
        <f>VLOOKUP(D2660,upahbahan,3,FALSE)</f>
        <v>0</v>
      </c>
      <c r="H2660" s="210">
        <f t="shared" si="182"/>
        <v>0</v>
      </c>
      <c r="L2660" s="200"/>
      <c r="M2660" s="200"/>
      <c r="N2660" s="200"/>
      <c r="O2660" s="200"/>
      <c r="P2660" s="200"/>
    </row>
    <row r="2661" spans="3:16" s="517" customFormat="1" ht="31.2" customHeight="1">
      <c r="C2661" s="543">
        <v>4</v>
      </c>
      <c r="D2661" s="750" t="s">
        <v>5556</v>
      </c>
      <c r="E2661" s="203"/>
      <c r="F2661" s="753"/>
      <c r="G2661" s="197"/>
      <c r="H2661" s="210">
        <f t="shared" si="182"/>
        <v>0</v>
      </c>
      <c r="L2661" s="200"/>
      <c r="M2661" s="200"/>
      <c r="N2661" s="200"/>
      <c r="O2661" s="200"/>
      <c r="P2661" s="200"/>
    </row>
    <row r="2662" spans="3:16" s="517" customFormat="1" ht="31.2" customHeight="1">
      <c r="C2662" s="754" t="s">
        <v>5293</v>
      </c>
      <c r="D2662" s="750" t="s">
        <v>2084</v>
      </c>
      <c r="E2662" s="203" t="s">
        <v>42</v>
      </c>
      <c r="F2662" s="753">
        <v>9.8000000000000004E-2</v>
      </c>
      <c r="G2662" s="205">
        <f>VLOOKUP(D2662,upahbahan,3,FALSE)</f>
        <v>0</v>
      </c>
      <c r="H2662" s="210">
        <f t="shared" si="182"/>
        <v>0</v>
      </c>
      <c r="L2662" s="200"/>
      <c r="M2662" s="200"/>
      <c r="N2662" s="200"/>
      <c r="O2662" s="200"/>
      <c r="P2662" s="200"/>
    </row>
    <row r="2663" spans="3:16" s="517" customFormat="1" ht="31.2" customHeight="1">
      <c r="C2663" s="754" t="s">
        <v>5299</v>
      </c>
      <c r="D2663" s="750" t="s">
        <v>5566</v>
      </c>
      <c r="E2663" s="203" t="s">
        <v>42</v>
      </c>
      <c r="F2663" s="753">
        <v>2.5999999999999999E-2</v>
      </c>
      <c r="G2663" s="205">
        <f>VLOOKUP(D2663,upahbahan,3,FALSE)</f>
        <v>0</v>
      </c>
      <c r="H2663" s="210">
        <f t="shared" si="182"/>
        <v>0</v>
      </c>
      <c r="L2663" s="200"/>
      <c r="M2663" s="200"/>
      <c r="N2663" s="200"/>
      <c r="O2663" s="200"/>
      <c r="P2663" s="200"/>
    </row>
    <row r="2664" spans="3:16" s="517" customFormat="1" ht="31.2" customHeight="1">
      <c r="C2664" s="754" t="s">
        <v>5558</v>
      </c>
      <c r="D2664" s="750" t="s">
        <v>2325</v>
      </c>
      <c r="E2664" s="203" t="s">
        <v>42</v>
      </c>
      <c r="F2664" s="762">
        <v>7.0000000000000001E-3</v>
      </c>
      <c r="G2664" s="205">
        <f>VLOOKUP(D2664,upahbahan,3,FALSE)</f>
        <v>0</v>
      </c>
      <c r="H2664" s="210">
        <f t="shared" si="182"/>
        <v>0</v>
      </c>
      <c r="L2664" s="200"/>
      <c r="M2664" s="200"/>
      <c r="N2664" s="200"/>
      <c r="O2664" s="200"/>
      <c r="P2664" s="200"/>
    </row>
    <row r="2665" spans="3:16" s="517" customFormat="1" ht="31.2" customHeight="1">
      <c r="C2665" s="207" t="s">
        <v>1214</v>
      </c>
      <c r="D2665" s="208"/>
      <c r="E2665" s="568"/>
      <c r="F2665" s="208"/>
      <c r="G2665" s="209"/>
      <c r="H2665" s="210">
        <f>SUM(H2656:H2664)</f>
        <v>0</v>
      </c>
      <c r="L2665" s="200"/>
      <c r="M2665" s="200"/>
      <c r="N2665" s="200"/>
      <c r="O2665" s="200"/>
      <c r="P2665" s="200"/>
    </row>
    <row r="2666" spans="3:16" s="517" customFormat="1" ht="31.2" customHeight="1">
      <c r="C2666" s="756" t="s">
        <v>1215</v>
      </c>
      <c r="D2666" s="196" t="s">
        <v>1216</v>
      </c>
      <c r="E2666" s="203"/>
      <c r="F2666" s="197"/>
      <c r="G2666" s="197"/>
      <c r="H2666" s="198"/>
      <c r="L2666" s="200"/>
      <c r="M2666" s="200"/>
      <c r="N2666" s="200"/>
      <c r="O2666" s="200"/>
      <c r="P2666" s="200"/>
    </row>
    <row r="2667" spans="3:16" s="517" customFormat="1" ht="31.2" customHeight="1">
      <c r="C2667" s="207" t="s">
        <v>1217</v>
      </c>
      <c r="D2667" s="208"/>
      <c r="E2667" s="208"/>
      <c r="F2667" s="208"/>
      <c r="G2667" s="209"/>
      <c r="H2667" s="240">
        <f>SUM(H2666)</f>
        <v>0</v>
      </c>
      <c r="L2667" s="200"/>
      <c r="M2667" s="200"/>
      <c r="N2667" s="200"/>
      <c r="O2667" s="200"/>
      <c r="P2667" s="200"/>
    </row>
    <row r="2668" spans="3:16" s="517" customFormat="1" ht="31.2" customHeight="1">
      <c r="C2668" s="223" t="s">
        <v>1218</v>
      </c>
      <c r="D2668" s="224" t="s">
        <v>1219</v>
      </c>
      <c r="E2668" s="225"/>
      <c r="F2668" s="225"/>
      <c r="G2668" s="226"/>
      <c r="H2668" s="210">
        <f>H2667+H2665+H2654</f>
        <v>16697</v>
      </c>
      <c r="L2668" s="200"/>
      <c r="M2668" s="200"/>
      <c r="N2668" s="200"/>
      <c r="O2668" s="200"/>
      <c r="P2668" s="200"/>
    </row>
    <row r="2669" spans="3:16" s="517" customFormat="1" ht="31.2" customHeight="1">
      <c r="C2669" s="223" t="s">
        <v>1220</v>
      </c>
      <c r="D2669" s="224" t="s">
        <v>1321</v>
      </c>
      <c r="E2669" s="225"/>
      <c r="F2669" s="226"/>
      <c r="G2669" s="228">
        <v>0.1</v>
      </c>
      <c r="H2669" s="210">
        <f>H2668*G2669</f>
        <v>1669.7</v>
      </c>
      <c r="L2669" s="200"/>
      <c r="M2669" s="200"/>
      <c r="N2669" s="200"/>
      <c r="O2669" s="200"/>
      <c r="P2669" s="200"/>
    </row>
    <row r="2670" spans="3:16" s="517" customFormat="1" ht="31.2" customHeight="1" thickBot="1">
      <c r="C2670" s="229" t="s">
        <v>1221</v>
      </c>
      <c r="D2670" s="230" t="s">
        <v>1222</v>
      </c>
      <c r="E2670" s="231"/>
      <c r="F2670" s="231"/>
      <c r="G2670" s="232"/>
      <c r="H2670" s="233">
        <f>SUM(H2668:H2669)</f>
        <v>18366.7</v>
      </c>
      <c r="L2670" s="200"/>
      <c r="M2670" s="200"/>
      <c r="N2670" s="200"/>
      <c r="O2670" s="200"/>
      <c r="P2670" s="200"/>
    </row>
    <row r="2671" spans="3:16" ht="31.2" customHeight="1" thickTop="1">
      <c r="D2671" s="758" t="s">
        <v>7086</v>
      </c>
    </row>
    <row r="2672" spans="3:16" ht="31.2" customHeight="1">
      <c r="C2672" s="757" t="s">
        <v>6950</v>
      </c>
      <c r="F2672" s="758"/>
      <c r="H2672" s="758" t="s">
        <v>6959</v>
      </c>
    </row>
    <row r="2673" spans="3:20" ht="31.2" customHeight="1">
      <c r="C2673" s="200" t="s">
        <v>6951</v>
      </c>
      <c r="F2673" s="758"/>
    </row>
    <row r="2674" spans="3:20" ht="31.2" customHeight="1">
      <c r="C2674" s="200" t="s">
        <v>6952</v>
      </c>
      <c r="F2674" s="758"/>
    </row>
    <row r="2675" spans="3:20" ht="31.2" customHeight="1"/>
    <row r="2676" spans="3:20" s="517" customFormat="1" ht="31.2" customHeight="1" thickBot="1">
      <c r="C2676" s="513" t="s">
        <v>7153</v>
      </c>
      <c r="D2676" s="748" t="s">
        <v>7154</v>
      </c>
      <c r="E2676" s="749"/>
      <c r="F2676" s="748"/>
      <c r="G2676" s="748"/>
      <c r="H2676" s="532"/>
      <c r="I2676" s="532"/>
      <c r="J2676" s="532"/>
      <c r="K2676" s="532"/>
      <c r="M2676" s="189"/>
      <c r="N2676" s="189"/>
      <c r="O2676" s="189"/>
      <c r="P2676" s="189"/>
      <c r="R2676" s="189">
        <f>ROUNDDOWN(H2699,-2)</f>
        <v>18300</v>
      </c>
      <c r="S2676" s="517" t="s">
        <v>6451</v>
      </c>
      <c r="T2676" s="517" t="s">
        <v>7014</v>
      </c>
    </row>
    <row r="2677" spans="3:20" s="517" customFormat="1" ht="31.2" customHeight="1" thickTop="1">
      <c r="C2677" s="190" t="s">
        <v>1195</v>
      </c>
      <c r="D2677" s="191" t="s">
        <v>1196</v>
      </c>
      <c r="E2677" s="191" t="s">
        <v>1197</v>
      </c>
      <c r="F2677" s="191" t="s">
        <v>1198</v>
      </c>
      <c r="G2677" s="191" t="s">
        <v>1199</v>
      </c>
      <c r="H2677" s="192" t="s">
        <v>1200</v>
      </c>
      <c r="L2677" s="200"/>
      <c r="M2677" s="200"/>
      <c r="N2677" s="200"/>
      <c r="O2677" s="200"/>
      <c r="P2677" s="200"/>
    </row>
    <row r="2678" spans="3:20" s="517" customFormat="1" ht="31.2" customHeight="1">
      <c r="C2678" s="518" t="s">
        <v>1201</v>
      </c>
      <c r="D2678" s="196" t="s">
        <v>1202</v>
      </c>
      <c r="E2678" s="197"/>
      <c r="F2678" s="197"/>
      <c r="G2678" s="197"/>
      <c r="H2678" s="198"/>
      <c r="L2678" s="200"/>
      <c r="M2678" s="200"/>
      <c r="N2678" s="200"/>
      <c r="O2678" s="200"/>
      <c r="P2678" s="200"/>
    </row>
    <row r="2679" spans="3:20" s="517" customFormat="1" ht="31.2" customHeight="1">
      <c r="C2679" s="518">
        <v>1</v>
      </c>
      <c r="D2679" s="196" t="s">
        <v>5</v>
      </c>
      <c r="E2679" s="203" t="s">
        <v>2102</v>
      </c>
      <c r="F2679" s="763">
        <v>0.04</v>
      </c>
      <c r="G2679" s="205">
        <f>VLOOKUP(D2679,upahbahan,3,FALSE)</f>
        <v>100000</v>
      </c>
      <c r="H2679" s="210">
        <f t="shared" ref="H2679:H2682" si="183">F2679*G2679</f>
        <v>4000</v>
      </c>
      <c r="L2679" s="200"/>
      <c r="M2679" s="200"/>
      <c r="N2679" s="200"/>
      <c r="O2679" s="200"/>
      <c r="P2679" s="200"/>
    </row>
    <row r="2680" spans="3:20" s="517" customFormat="1" ht="31.2" customHeight="1">
      <c r="C2680" s="537">
        <v>2</v>
      </c>
      <c r="D2680" s="196" t="s">
        <v>6954</v>
      </c>
      <c r="E2680" s="202" t="s">
        <v>6</v>
      </c>
      <c r="F2680" s="520">
        <v>0.04</v>
      </c>
      <c r="G2680" s="205">
        <f>VLOOKUP(D2680,upahbahan,3,FALSE)</f>
        <v>181250</v>
      </c>
      <c r="H2680" s="210">
        <f t="shared" si="183"/>
        <v>7250</v>
      </c>
      <c r="L2680" s="200"/>
      <c r="M2680" s="200"/>
      <c r="N2680" s="200"/>
      <c r="O2680" s="200"/>
      <c r="P2680" s="200"/>
    </row>
    <row r="2681" spans="3:20" s="517" customFormat="1" ht="31.2" customHeight="1">
      <c r="C2681" s="537">
        <v>3</v>
      </c>
      <c r="D2681" s="196" t="s">
        <v>6948</v>
      </c>
      <c r="E2681" s="202" t="s">
        <v>2102</v>
      </c>
      <c r="F2681" s="520">
        <v>0.02</v>
      </c>
      <c r="G2681" s="205">
        <f>VLOOKUP(D2681,upahbahan,3,FALSE)</f>
        <v>218750</v>
      </c>
      <c r="H2681" s="210">
        <f t="shared" si="183"/>
        <v>4375</v>
      </c>
      <c r="L2681" s="200"/>
      <c r="M2681" s="200"/>
      <c r="N2681" s="200"/>
      <c r="O2681" s="200"/>
      <c r="P2681" s="200"/>
    </row>
    <row r="2682" spans="3:20" s="517" customFormat="1" ht="31.2" customHeight="1">
      <c r="C2682" s="537">
        <v>4</v>
      </c>
      <c r="D2682" s="196" t="s">
        <v>19</v>
      </c>
      <c r="E2682" s="202" t="s">
        <v>6</v>
      </c>
      <c r="F2682" s="520">
        <v>6.7000000000000002E-3</v>
      </c>
      <c r="G2682" s="205">
        <f>VLOOKUP(D2682,upahbahan,3,FALSE)</f>
        <v>160000</v>
      </c>
      <c r="H2682" s="210">
        <f t="shared" si="183"/>
        <v>1072</v>
      </c>
      <c r="L2682" s="200"/>
      <c r="M2682" s="200"/>
      <c r="N2682" s="200"/>
      <c r="O2682" s="200"/>
      <c r="P2682" s="200"/>
    </row>
    <row r="2683" spans="3:20" s="517" customFormat="1" ht="31.2" customHeight="1">
      <c r="C2683" s="207" t="s">
        <v>1208</v>
      </c>
      <c r="D2683" s="208"/>
      <c r="E2683" s="208"/>
      <c r="F2683" s="521"/>
      <c r="G2683" s="522"/>
      <c r="H2683" s="210">
        <f>SUM(H2679:H2682)</f>
        <v>16697</v>
      </c>
      <c r="L2683" s="523"/>
      <c r="M2683" s="523"/>
      <c r="N2683" s="523"/>
      <c r="O2683" s="523"/>
      <c r="P2683" s="523"/>
    </row>
    <row r="2684" spans="3:20" s="517" customFormat="1" ht="31.2" customHeight="1">
      <c r="C2684" s="543" t="s">
        <v>1209</v>
      </c>
      <c r="D2684" s="750" t="s">
        <v>1210</v>
      </c>
      <c r="E2684" s="197"/>
      <c r="F2684" s="751"/>
      <c r="G2684" s="197"/>
      <c r="H2684" s="752"/>
      <c r="L2684" s="200"/>
      <c r="M2684" s="200"/>
      <c r="N2684" s="200"/>
      <c r="O2684" s="200"/>
      <c r="P2684" s="200"/>
    </row>
    <row r="2685" spans="3:20" s="517" customFormat="1" ht="31.2" customHeight="1">
      <c r="C2685" s="543">
        <v>1</v>
      </c>
      <c r="D2685" s="750" t="s">
        <v>7155</v>
      </c>
      <c r="E2685" s="203" t="s">
        <v>44</v>
      </c>
      <c r="F2685" s="753">
        <v>1.05</v>
      </c>
      <c r="G2685" s="205">
        <f>VLOOKUP(D2685,upahbahan,3,FALSE)</f>
        <v>0</v>
      </c>
      <c r="H2685" s="210">
        <f t="shared" ref="H2685:H2693" si="184">F2685*G2685</f>
        <v>0</v>
      </c>
      <c r="L2685" s="200"/>
      <c r="M2685" s="200"/>
      <c r="N2685" s="200"/>
      <c r="O2685" s="200"/>
      <c r="P2685" s="200"/>
    </row>
    <row r="2686" spans="3:20" s="517" customFormat="1" ht="31.2" customHeight="1">
      <c r="C2686" s="543">
        <v>2</v>
      </c>
      <c r="D2686" s="750" t="s">
        <v>5563</v>
      </c>
      <c r="E2686" s="203" t="s">
        <v>65</v>
      </c>
      <c r="F2686" s="753">
        <v>0.02</v>
      </c>
      <c r="G2686" s="205">
        <f>VLOOKUP(D2686,upahbahan,3,FALSE)</f>
        <v>0</v>
      </c>
      <c r="H2686" s="210">
        <f t="shared" si="184"/>
        <v>0</v>
      </c>
      <c r="L2686" s="200"/>
      <c r="M2686" s="200"/>
      <c r="N2686" s="200"/>
      <c r="O2686" s="200"/>
      <c r="P2686" s="200"/>
    </row>
    <row r="2687" spans="3:20" s="517" customFormat="1" ht="31.2" customHeight="1">
      <c r="C2687" s="543">
        <v>3</v>
      </c>
      <c r="D2687" s="750" t="s">
        <v>5555</v>
      </c>
      <c r="E2687" s="203"/>
      <c r="F2687" s="753"/>
      <c r="G2687" s="197"/>
      <c r="H2687" s="210">
        <f t="shared" si="184"/>
        <v>0</v>
      </c>
      <c r="L2687" s="200"/>
      <c r="M2687" s="200"/>
      <c r="N2687" s="200"/>
      <c r="O2687" s="200"/>
      <c r="P2687" s="200"/>
    </row>
    <row r="2688" spans="3:20" s="517" customFormat="1" ht="31.2" customHeight="1">
      <c r="C2688" s="754" t="s">
        <v>5293</v>
      </c>
      <c r="D2688" s="750" t="s">
        <v>7142</v>
      </c>
      <c r="E2688" s="203" t="s">
        <v>113</v>
      </c>
      <c r="F2688" s="760">
        <v>18</v>
      </c>
      <c r="G2688" s="205">
        <f>VLOOKUP(D2688,upahbahan,3,FALSE)</f>
        <v>0</v>
      </c>
      <c r="H2688" s="210">
        <f t="shared" si="184"/>
        <v>0</v>
      </c>
      <c r="L2688" s="200"/>
      <c r="M2688" s="200"/>
      <c r="N2688" s="200"/>
      <c r="O2688" s="200"/>
      <c r="P2688" s="200"/>
    </row>
    <row r="2689" spans="3:16" s="517" customFormat="1" ht="31.2" customHeight="1">
      <c r="C2689" s="754" t="s">
        <v>5299</v>
      </c>
      <c r="D2689" s="750" t="s">
        <v>7055</v>
      </c>
      <c r="E2689" s="203" t="s">
        <v>113</v>
      </c>
      <c r="F2689" s="760">
        <v>10</v>
      </c>
      <c r="G2689" s="205">
        <f>VLOOKUP(D2689,upahbahan,3,FALSE)</f>
        <v>0</v>
      </c>
      <c r="H2689" s="210">
        <f t="shared" si="184"/>
        <v>0</v>
      </c>
      <c r="L2689" s="200"/>
      <c r="M2689" s="200"/>
      <c r="N2689" s="200"/>
      <c r="O2689" s="200"/>
      <c r="P2689" s="200"/>
    </row>
    <row r="2690" spans="3:16" s="517" customFormat="1" ht="31.2" customHeight="1">
      <c r="C2690" s="543">
        <v>4</v>
      </c>
      <c r="D2690" s="750" t="s">
        <v>5556</v>
      </c>
      <c r="E2690" s="203"/>
      <c r="F2690" s="753"/>
      <c r="G2690" s="197"/>
      <c r="H2690" s="210">
        <f t="shared" si="184"/>
        <v>0</v>
      </c>
      <c r="L2690" s="200"/>
      <c r="M2690" s="200"/>
      <c r="N2690" s="200"/>
      <c r="O2690" s="200"/>
      <c r="P2690" s="200"/>
    </row>
    <row r="2691" spans="3:16" s="517" customFormat="1" ht="31.2" customHeight="1">
      <c r="C2691" s="754" t="s">
        <v>5293</v>
      </c>
      <c r="D2691" s="750" t="s">
        <v>2084</v>
      </c>
      <c r="E2691" s="203" t="s">
        <v>42</v>
      </c>
      <c r="F2691" s="753">
        <v>9.8000000000000004E-2</v>
      </c>
      <c r="G2691" s="205">
        <f>VLOOKUP(D2691,upahbahan,3,FALSE)</f>
        <v>0</v>
      </c>
      <c r="H2691" s="210">
        <f t="shared" si="184"/>
        <v>0</v>
      </c>
      <c r="L2691" s="200"/>
      <c r="M2691" s="200"/>
      <c r="N2691" s="200"/>
      <c r="O2691" s="200"/>
      <c r="P2691" s="200"/>
    </row>
    <row r="2692" spans="3:16" s="517" customFormat="1" ht="31.2" customHeight="1">
      <c r="C2692" s="754" t="s">
        <v>5299</v>
      </c>
      <c r="D2692" s="750" t="s">
        <v>5566</v>
      </c>
      <c r="E2692" s="203" t="s">
        <v>42</v>
      </c>
      <c r="F2692" s="753">
        <v>2.5999999999999999E-2</v>
      </c>
      <c r="G2692" s="205">
        <f>VLOOKUP(D2692,upahbahan,3,FALSE)</f>
        <v>0</v>
      </c>
      <c r="H2692" s="210">
        <f t="shared" si="184"/>
        <v>0</v>
      </c>
      <c r="L2692" s="200"/>
      <c r="M2692" s="200"/>
      <c r="N2692" s="200"/>
      <c r="O2692" s="200"/>
      <c r="P2692" s="200"/>
    </row>
    <row r="2693" spans="3:16" s="517" customFormat="1" ht="31.2" customHeight="1">
      <c r="C2693" s="754" t="s">
        <v>5558</v>
      </c>
      <c r="D2693" s="750" t="s">
        <v>2325</v>
      </c>
      <c r="E2693" s="203" t="s">
        <v>42</v>
      </c>
      <c r="F2693" s="762">
        <v>7.0000000000000001E-3</v>
      </c>
      <c r="G2693" s="205">
        <f>VLOOKUP(D2693,upahbahan,3,FALSE)</f>
        <v>0</v>
      </c>
      <c r="H2693" s="210">
        <f t="shared" si="184"/>
        <v>0</v>
      </c>
      <c r="L2693" s="200"/>
      <c r="M2693" s="200"/>
      <c r="N2693" s="200"/>
      <c r="O2693" s="200"/>
      <c r="P2693" s="200"/>
    </row>
    <row r="2694" spans="3:16" s="517" customFormat="1" ht="31.2" customHeight="1">
      <c r="C2694" s="207" t="s">
        <v>1214</v>
      </c>
      <c r="D2694" s="208"/>
      <c r="E2694" s="568"/>
      <c r="F2694" s="208"/>
      <c r="G2694" s="209"/>
      <c r="H2694" s="210">
        <f>SUM(H2685:H2693)</f>
        <v>0</v>
      </c>
      <c r="L2694" s="200"/>
      <c r="M2694" s="200"/>
      <c r="N2694" s="200"/>
      <c r="O2694" s="200"/>
      <c r="P2694" s="200"/>
    </row>
    <row r="2695" spans="3:16" s="517" customFormat="1" ht="31.2" customHeight="1">
      <c r="C2695" s="756" t="s">
        <v>1215</v>
      </c>
      <c r="D2695" s="196" t="s">
        <v>1216</v>
      </c>
      <c r="E2695" s="203"/>
      <c r="F2695" s="197"/>
      <c r="G2695" s="197"/>
      <c r="H2695" s="198"/>
      <c r="L2695" s="200"/>
      <c r="M2695" s="200"/>
      <c r="N2695" s="200"/>
      <c r="O2695" s="200"/>
      <c r="P2695" s="200"/>
    </row>
    <row r="2696" spans="3:16" s="517" customFormat="1" ht="31.2" customHeight="1">
      <c r="C2696" s="207" t="s">
        <v>1217</v>
      </c>
      <c r="D2696" s="208"/>
      <c r="E2696" s="208"/>
      <c r="F2696" s="208"/>
      <c r="G2696" s="209"/>
      <c r="H2696" s="240">
        <f>SUM(H2695)</f>
        <v>0</v>
      </c>
      <c r="L2696" s="200"/>
      <c r="M2696" s="200"/>
      <c r="N2696" s="200"/>
      <c r="O2696" s="200"/>
      <c r="P2696" s="200"/>
    </row>
    <row r="2697" spans="3:16" s="517" customFormat="1" ht="31.2" customHeight="1">
      <c r="C2697" s="223" t="s">
        <v>1218</v>
      </c>
      <c r="D2697" s="224" t="s">
        <v>1219</v>
      </c>
      <c r="E2697" s="225"/>
      <c r="F2697" s="225"/>
      <c r="G2697" s="226"/>
      <c r="H2697" s="210">
        <f>H2696+H2694+H2683</f>
        <v>16697</v>
      </c>
      <c r="L2697" s="200"/>
      <c r="M2697" s="200"/>
      <c r="N2697" s="200"/>
      <c r="O2697" s="200"/>
      <c r="P2697" s="200"/>
    </row>
    <row r="2698" spans="3:16" s="517" customFormat="1" ht="31.2" customHeight="1">
      <c r="C2698" s="223" t="s">
        <v>1220</v>
      </c>
      <c r="D2698" s="224" t="s">
        <v>1321</v>
      </c>
      <c r="E2698" s="225"/>
      <c r="F2698" s="226"/>
      <c r="G2698" s="228">
        <v>0.1</v>
      </c>
      <c r="H2698" s="210">
        <f>H2697*G2698</f>
        <v>1669.7</v>
      </c>
      <c r="L2698" s="200"/>
      <c r="M2698" s="200"/>
      <c r="N2698" s="200"/>
      <c r="O2698" s="200"/>
      <c r="P2698" s="200"/>
    </row>
    <row r="2699" spans="3:16" s="517" customFormat="1" ht="31.2" customHeight="1" thickBot="1">
      <c r="C2699" s="229" t="s">
        <v>1221</v>
      </c>
      <c r="D2699" s="230" t="s">
        <v>1222</v>
      </c>
      <c r="E2699" s="231"/>
      <c r="F2699" s="231"/>
      <c r="G2699" s="232"/>
      <c r="H2699" s="233">
        <f>SUM(H2697:H2698)</f>
        <v>18366.7</v>
      </c>
      <c r="L2699" s="200"/>
      <c r="M2699" s="200"/>
      <c r="N2699" s="200"/>
      <c r="O2699" s="200"/>
      <c r="P2699" s="200"/>
    </row>
    <row r="2700" spans="3:16" ht="31.2" customHeight="1" thickTop="1">
      <c r="D2700" s="758" t="s">
        <v>7086</v>
      </c>
    </row>
    <row r="2701" spans="3:16" ht="31.2" customHeight="1">
      <c r="C2701" s="757" t="s">
        <v>6950</v>
      </c>
      <c r="F2701" s="758"/>
      <c r="H2701" s="758" t="s">
        <v>6959</v>
      </c>
    </row>
    <row r="2702" spans="3:16" ht="31.2" customHeight="1">
      <c r="C2702" s="200" t="s">
        <v>6951</v>
      </c>
      <c r="F2702" s="758"/>
    </row>
    <row r="2703" spans="3:16" ht="31.2" customHeight="1">
      <c r="C2703" s="200" t="s">
        <v>6952</v>
      </c>
      <c r="F2703" s="758"/>
    </row>
    <row r="2704" spans="3:16" ht="31.2" customHeight="1">
      <c r="C2704" s="200"/>
      <c r="F2704" s="758"/>
    </row>
    <row r="2705" spans="3:20" ht="31.2" customHeight="1">
      <c r="C2705" s="200"/>
      <c r="F2705" s="758"/>
    </row>
    <row r="2706" spans="3:20" s="517" customFormat="1" ht="31.2" customHeight="1" thickBot="1">
      <c r="C2706" s="513" t="s">
        <v>7156</v>
      </c>
      <c r="D2706" s="748" t="s">
        <v>7157</v>
      </c>
      <c r="E2706" s="749"/>
      <c r="F2706" s="748"/>
      <c r="G2706" s="748"/>
      <c r="H2706" s="532"/>
      <c r="I2706" s="532"/>
      <c r="J2706" s="532"/>
      <c r="K2706" s="532"/>
      <c r="M2706" s="189"/>
      <c r="N2706" s="189"/>
      <c r="O2706" s="189"/>
      <c r="P2706" s="189"/>
      <c r="R2706" s="189">
        <f>ROUNDDOWN(H2729,-2)</f>
        <v>18300</v>
      </c>
      <c r="S2706" s="517" t="s">
        <v>6451</v>
      </c>
      <c r="T2706" s="517" t="s">
        <v>7014</v>
      </c>
    </row>
    <row r="2707" spans="3:20" s="517" customFormat="1" ht="31.2" customHeight="1" thickTop="1">
      <c r="C2707" s="190" t="s">
        <v>1195</v>
      </c>
      <c r="D2707" s="191" t="s">
        <v>1196</v>
      </c>
      <c r="E2707" s="191" t="s">
        <v>1197</v>
      </c>
      <c r="F2707" s="191" t="s">
        <v>1198</v>
      </c>
      <c r="G2707" s="191" t="s">
        <v>1199</v>
      </c>
      <c r="H2707" s="192" t="s">
        <v>1200</v>
      </c>
      <c r="L2707" s="200"/>
      <c r="M2707" s="200"/>
      <c r="N2707" s="200"/>
      <c r="O2707" s="200"/>
      <c r="P2707" s="200"/>
    </row>
    <row r="2708" spans="3:20" s="517" customFormat="1" ht="31.2" customHeight="1">
      <c r="C2708" s="518" t="s">
        <v>1201</v>
      </c>
      <c r="D2708" s="196" t="s">
        <v>1202</v>
      </c>
      <c r="E2708" s="197"/>
      <c r="F2708" s="197"/>
      <c r="G2708" s="197"/>
      <c r="H2708" s="198"/>
      <c r="L2708" s="200"/>
      <c r="M2708" s="200"/>
      <c r="N2708" s="200"/>
      <c r="O2708" s="200"/>
      <c r="P2708" s="200"/>
    </row>
    <row r="2709" spans="3:20" s="517" customFormat="1" ht="31.2" customHeight="1">
      <c r="C2709" s="518">
        <v>1</v>
      </c>
      <c r="D2709" s="196" t="s">
        <v>5</v>
      </c>
      <c r="E2709" s="203" t="s">
        <v>2102</v>
      </c>
      <c r="F2709" s="763">
        <v>0.04</v>
      </c>
      <c r="G2709" s="205">
        <f>VLOOKUP(D2709,upahbahan,3,FALSE)</f>
        <v>100000</v>
      </c>
      <c r="H2709" s="210">
        <f t="shared" ref="H2709:H2712" si="185">F2709*G2709</f>
        <v>4000</v>
      </c>
      <c r="L2709" s="200"/>
      <c r="M2709" s="200"/>
      <c r="N2709" s="200"/>
      <c r="O2709" s="200"/>
      <c r="P2709" s="200"/>
    </row>
    <row r="2710" spans="3:20" s="517" customFormat="1" ht="31.2" customHeight="1">
      <c r="C2710" s="537">
        <v>2</v>
      </c>
      <c r="D2710" s="196" t="s">
        <v>6954</v>
      </c>
      <c r="E2710" s="202" t="s">
        <v>6</v>
      </c>
      <c r="F2710" s="520">
        <v>0.04</v>
      </c>
      <c r="G2710" s="205">
        <f>VLOOKUP(D2710,upahbahan,3,FALSE)</f>
        <v>181250</v>
      </c>
      <c r="H2710" s="210">
        <f t="shared" si="185"/>
        <v>7250</v>
      </c>
      <c r="L2710" s="200"/>
      <c r="M2710" s="200"/>
      <c r="N2710" s="200"/>
      <c r="O2710" s="200"/>
      <c r="P2710" s="200"/>
    </row>
    <row r="2711" spans="3:20" s="517" customFormat="1" ht="31.2" customHeight="1">
      <c r="C2711" s="537">
        <v>3</v>
      </c>
      <c r="D2711" s="196" t="s">
        <v>6948</v>
      </c>
      <c r="E2711" s="202" t="s">
        <v>2102</v>
      </c>
      <c r="F2711" s="520">
        <v>0.02</v>
      </c>
      <c r="G2711" s="205">
        <f>VLOOKUP(D2711,upahbahan,3,FALSE)</f>
        <v>218750</v>
      </c>
      <c r="H2711" s="210">
        <f t="shared" si="185"/>
        <v>4375</v>
      </c>
      <c r="L2711" s="200"/>
      <c r="M2711" s="200"/>
      <c r="N2711" s="200"/>
      <c r="O2711" s="200"/>
      <c r="P2711" s="200"/>
    </row>
    <row r="2712" spans="3:20" s="517" customFormat="1" ht="31.2" customHeight="1">
      <c r="C2712" s="537">
        <v>4</v>
      </c>
      <c r="D2712" s="196" t="s">
        <v>19</v>
      </c>
      <c r="E2712" s="202" t="s">
        <v>6</v>
      </c>
      <c r="F2712" s="520">
        <v>6.7000000000000002E-3</v>
      </c>
      <c r="G2712" s="205">
        <f>VLOOKUP(D2712,upahbahan,3,FALSE)</f>
        <v>160000</v>
      </c>
      <c r="H2712" s="210">
        <f t="shared" si="185"/>
        <v>1072</v>
      </c>
      <c r="L2712" s="200"/>
      <c r="M2712" s="200"/>
      <c r="N2712" s="200"/>
      <c r="O2712" s="200"/>
      <c r="P2712" s="200"/>
    </row>
    <row r="2713" spans="3:20" s="517" customFormat="1" ht="31.2" customHeight="1">
      <c r="C2713" s="207" t="s">
        <v>1208</v>
      </c>
      <c r="D2713" s="208"/>
      <c r="E2713" s="208"/>
      <c r="F2713" s="521"/>
      <c r="G2713" s="522"/>
      <c r="H2713" s="210">
        <f>SUM(H2709:H2712)</f>
        <v>16697</v>
      </c>
      <c r="L2713" s="523"/>
      <c r="M2713" s="523"/>
      <c r="N2713" s="523"/>
      <c r="O2713" s="523"/>
      <c r="P2713" s="523"/>
    </row>
    <row r="2714" spans="3:20" s="517" customFormat="1" ht="31.2" customHeight="1">
      <c r="C2714" s="543" t="s">
        <v>1209</v>
      </c>
      <c r="D2714" s="750" t="s">
        <v>1210</v>
      </c>
      <c r="E2714" s="197"/>
      <c r="F2714" s="751"/>
      <c r="G2714" s="197"/>
      <c r="H2714" s="752"/>
      <c r="L2714" s="200"/>
      <c r="M2714" s="200"/>
      <c r="N2714" s="200"/>
      <c r="O2714" s="200"/>
      <c r="P2714" s="200"/>
    </row>
    <row r="2715" spans="3:20" s="517" customFormat="1" ht="31.2" customHeight="1">
      <c r="C2715" s="543">
        <v>1</v>
      </c>
      <c r="D2715" s="750" t="s">
        <v>7158</v>
      </c>
      <c r="E2715" s="203" t="s">
        <v>44</v>
      </c>
      <c r="F2715" s="753">
        <v>1.05</v>
      </c>
      <c r="G2715" s="205">
        <f>VLOOKUP(D2715,upahbahan,3,FALSE)</f>
        <v>0</v>
      </c>
      <c r="H2715" s="210">
        <f t="shared" ref="H2715:H2723" si="186">F2715*G2715</f>
        <v>0</v>
      </c>
      <c r="L2715" s="200"/>
      <c r="M2715" s="200"/>
      <c r="N2715" s="200"/>
      <c r="O2715" s="200"/>
      <c r="P2715" s="200"/>
    </row>
    <row r="2716" spans="3:20" s="517" customFormat="1" ht="31.2" customHeight="1">
      <c r="C2716" s="543">
        <v>2</v>
      </c>
      <c r="D2716" s="750" t="s">
        <v>5563</v>
      </c>
      <c r="E2716" s="203" t="s">
        <v>65</v>
      </c>
      <c r="F2716" s="753">
        <v>0.02</v>
      </c>
      <c r="G2716" s="205">
        <f>VLOOKUP(D2716,upahbahan,3,FALSE)</f>
        <v>0</v>
      </c>
      <c r="H2716" s="210">
        <f t="shared" si="186"/>
        <v>0</v>
      </c>
      <c r="L2716" s="200"/>
      <c r="M2716" s="200"/>
      <c r="N2716" s="200"/>
      <c r="O2716" s="200"/>
      <c r="P2716" s="200"/>
    </row>
    <row r="2717" spans="3:20" s="517" customFormat="1" ht="31.2" customHeight="1">
      <c r="C2717" s="543">
        <v>3</v>
      </c>
      <c r="D2717" s="750" t="s">
        <v>5555</v>
      </c>
      <c r="E2717" s="203"/>
      <c r="F2717" s="753"/>
      <c r="G2717" s="197"/>
      <c r="H2717" s="210">
        <f t="shared" si="186"/>
        <v>0</v>
      </c>
      <c r="L2717" s="200"/>
      <c r="M2717" s="200"/>
      <c r="N2717" s="200"/>
      <c r="O2717" s="200"/>
      <c r="P2717" s="200"/>
    </row>
    <row r="2718" spans="3:20" s="517" customFormat="1" ht="31.2" customHeight="1">
      <c r="C2718" s="754" t="s">
        <v>5293</v>
      </c>
      <c r="D2718" s="750" t="s">
        <v>7142</v>
      </c>
      <c r="E2718" s="203" t="s">
        <v>113</v>
      </c>
      <c r="F2718" s="760">
        <v>18</v>
      </c>
      <c r="G2718" s="205">
        <f>VLOOKUP(D2718,upahbahan,3,FALSE)</f>
        <v>0</v>
      </c>
      <c r="H2718" s="210">
        <f t="shared" si="186"/>
        <v>0</v>
      </c>
      <c r="L2718" s="200"/>
      <c r="M2718" s="200"/>
      <c r="N2718" s="200"/>
      <c r="O2718" s="200"/>
      <c r="P2718" s="200"/>
    </row>
    <row r="2719" spans="3:20" s="517" customFormat="1" ht="31.2" customHeight="1">
      <c r="C2719" s="754" t="s">
        <v>5299</v>
      </c>
      <c r="D2719" s="750" t="s">
        <v>7055</v>
      </c>
      <c r="E2719" s="203" t="s">
        <v>113</v>
      </c>
      <c r="F2719" s="760">
        <v>10</v>
      </c>
      <c r="G2719" s="205">
        <f>VLOOKUP(D2719,upahbahan,3,FALSE)</f>
        <v>0</v>
      </c>
      <c r="H2719" s="210">
        <f t="shared" si="186"/>
        <v>0</v>
      </c>
      <c r="L2719" s="200"/>
      <c r="M2719" s="200"/>
      <c r="N2719" s="200"/>
      <c r="O2719" s="200"/>
      <c r="P2719" s="200"/>
    </row>
    <row r="2720" spans="3:20" s="517" customFormat="1" ht="31.2" customHeight="1">
      <c r="C2720" s="543">
        <v>4</v>
      </c>
      <c r="D2720" s="750" t="s">
        <v>5556</v>
      </c>
      <c r="E2720" s="203"/>
      <c r="F2720" s="753"/>
      <c r="G2720" s="197"/>
      <c r="H2720" s="210">
        <f t="shared" si="186"/>
        <v>0</v>
      </c>
      <c r="L2720" s="200"/>
      <c r="M2720" s="200"/>
      <c r="N2720" s="200"/>
      <c r="O2720" s="200"/>
      <c r="P2720" s="200"/>
    </row>
    <row r="2721" spans="3:20" s="517" customFormat="1" ht="31.2" customHeight="1">
      <c r="C2721" s="754" t="s">
        <v>5293</v>
      </c>
      <c r="D2721" s="750" t="s">
        <v>2084</v>
      </c>
      <c r="E2721" s="203" t="s">
        <v>42</v>
      </c>
      <c r="F2721" s="753">
        <v>9.8000000000000004E-2</v>
      </c>
      <c r="G2721" s="205">
        <f>VLOOKUP(D2721,upahbahan,3,FALSE)</f>
        <v>0</v>
      </c>
      <c r="H2721" s="210">
        <f t="shared" si="186"/>
        <v>0</v>
      </c>
      <c r="L2721" s="200"/>
      <c r="M2721" s="200"/>
      <c r="N2721" s="200"/>
      <c r="O2721" s="200"/>
      <c r="P2721" s="200"/>
    </row>
    <row r="2722" spans="3:20" s="517" customFormat="1" ht="31.2" customHeight="1">
      <c r="C2722" s="754" t="s">
        <v>5299</v>
      </c>
      <c r="D2722" s="750" t="s">
        <v>5566</v>
      </c>
      <c r="E2722" s="203" t="s">
        <v>42</v>
      </c>
      <c r="F2722" s="753">
        <v>2.5999999999999999E-2</v>
      </c>
      <c r="G2722" s="205">
        <f>VLOOKUP(D2722,upahbahan,3,FALSE)</f>
        <v>0</v>
      </c>
      <c r="H2722" s="210">
        <f t="shared" si="186"/>
        <v>0</v>
      </c>
      <c r="L2722" s="200"/>
      <c r="M2722" s="200"/>
      <c r="N2722" s="200"/>
      <c r="O2722" s="200"/>
      <c r="P2722" s="200"/>
    </row>
    <row r="2723" spans="3:20" s="517" customFormat="1" ht="31.2" customHeight="1">
      <c r="C2723" s="754" t="s">
        <v>5558</v>
      </c>
      <c r="D2723" s="750" t="s">
        <v>2325</v>
      </c>
      <c r="E2723" s="203" t="s">
        <v>42</v>
      </c>
      <c r="F2723" s="762">
        <v>7.0000000000000001E-3</v>
      </c>
      <c r="G2723" s="205">
        <f>VLOOKUP(D2723,upahbahan,3,FALSE)</f>
        <v>0</v>
      </c>
      <c r="H2723" s="210">
        <f t="shared" si="186"/>
        <v>0</v>
      </c>
      <c r="L2723" s="200"/>
      <c r="M2723" s="200"/>
      <c r="N2723" s="200"/>
      <c r="O2723" s="200"/>
      <c r="P2723" s="200"/>
    </row>
    <row r="2724" spans="3:20" s="517" customFormat="1" ht="31.2" customHeight="1">
      <c r="C2724" s="207" t="s">
        <v>1214</v>
      </c>
      <c r="D2724" s="208"/>
      <c r="E2724" s="568"/>
      <c r="F2724" s="208"/>
      <c r="G2724" s="209"/>
      <c r="H2724" s="210">
        <f>SUM(H2715:H2723)</f>
        <v>0</v>
      </c>
      <c r="L2724" s="200"/>
      <c r="M2724" s="200"/>
      <c r="N2724" s="200"/>
      <c r="O2724" s="200"/>
      <c r="P2724" s="200"/>
    </row>
    <row r="2725" spans="3:20" s="517" customFormat="1" ht="31.2" customHeight="1">
      <c r="C2725" s="756" t="s">
        <v>1215</v>
      </c>
      <c r="D2725" s="196" t="s">
        <v>1216</v>
      </c>
      <c r="E2725" s="203"/>
      <c r="F2725" s="197"/>
      <c r="G2725" s="197"/>
      <c r="H2725" s="198"/>
      <c r="L2725" s="200"/>
      <c r="M2725" s="200"/>
      <c r="N2725" s="200"/>
      <c r="O2725" s="200"/>
      <c r="P2725" s="200"/>
    </row>
    <row r="2726" spans="3:20" s="517" customFormat="1" ht="31.2" customHeight="1">
      <c r="C2726" s="207" t="s">
        <v>1217</v>
      </c>
      <c r="D2726" s="208"/>
      <c r="E2726" s="208"/>
      <c r="F2726" s="208"/>
      <c r="G2726" s="209"/>
      <c r="H2726" s="240">
        <f>SUM(H2725)</f>
        <v>0</v>
      </c>
      <c r="L2726" s="200"/>
      <c r="M2726" s="200"/>
      <c r="N2726" s="200"/>
      <c r="O2726" s="200"/>
      <c r="P2726" s="200"/>
    </row>
    <row r="2727" spans="3:20" s="517" customFormat="1" ht="31.2" customHeight="1">
      <c r="C2727" s="223" t="s">
        <v>1218</v>
      </c>
      <c r="D2727" s="224" t="s">
        <v>1219</v>
      </c>
      <c r="E2727" s="225"/>
      <c r="F2727" s="225"/>
      <c r="G2727" s="226"/>
      <c r="H2727" s="210">
        <f>H2726+H2724+H2713</f>
        <v>16697</v>
      </c>
      <c r="L2727" s="200"/>
      <c r="M2727" s="200"/>
      <c r="N2727" s="200"/>
      <c r="O2727" s="200"/>
      <c r="P2727" s="200"/>
    </row>
    <row r="2728" spans="3:20" s="517" customFormat="1" ht="31.2" customHeight="1">
      <c r="C2728" s="223" t="s">
        <v>1220</v>
      </c>
      <c r="D2728" s="224" t="s">
        <v>1321</v>
      </c>
      <c r="E2728" s="225"/>
      <c r="F2728" s="226"/>
      <c r="G2728" s="228">
        <v>0.1</v>
      </c>
      <c r="H2728" s="210">
        <f>H2727*G2728</f>
        <v>1669.7</v>
      </c>
      <c r="L2728" s="200"/>
      <c r="M2728" s="200"/>
      <c r="N2728" s="200"/>
      <c r="O2728" s="200"/>
      <c r="P2728" s="200"/>
    </row>
    <row r="2729" spans="3:20" s="517" customFormat="1" ht="31.2" customHeight="1" thickBot="1">
      <c r="C2729" s="229" t="s">
        <v>1221</v>
      </c>
      <c r="D2729" s="230" t="s">
        <v>1222</v>
      </c>
      <c r="E2729" s="231"/>
      <c r="F2729" s="231"/>
      <c r="G2729" s="232"/>
      <c r="H2729" s="233">
        <f>SUM(H2727:H2728)</f>
        <v>18366.7</v>
      </c>
      <c r="L2729" s="200"/>
      <c r="M2729" s="200"/>
      <c r="N2729" s="200"/>
      <c r="O2729" s="200"/>
      <c r="P2729" s="200"/>
    </row>
    <row r="2730" spans="3:20" ht="31.2" customHeight="1" thickTop="1">
      <c r="D2730" s="758" t="s">
        <v>7086</v>
      </c>
    </row>
    <row r="2731" spans="3:20" ht="31.2" customHeight="1">
      <c r="C2731" s="757" t="s">
        <v>6950</v>
      </c>
      <c r="F2731" s="758"/>
      <c r="H2731" s="758" t="s">
        <v>6959</v>
      </c>
    </row>
    <row r="2732" spans="3:20" ht="31.2" customHeight="1">
      <c r="C2732" s="200" t="s">
        <v>6951</v>
      </c>
      <c r="F2732" s="758"/>
    </row>
    <row r="2733" spans="3:20" ht="31.2" customHeight="1">
      <c r="C2733" s="200" t="s">
        <v>6952</v>
      </c>
      <c r="F2733" s="758"/>
    </row>
    <row r="2734" spans="3:20" ht="31.2" customHeight="1">
      <c r="C2734" s="200"/>
      <c r="F2734" s="758"/>
    </row>
    <row r="2735" spans="3:20" s="517" customFormat="1" ht="31.2" customHeight="1" thickBot="1">
      <c r="C2735" s="513" t="s">
        <v>7159</v>
      </c>
      <c r="D2735" s="748" t="s">
        <v>7160</v>
      </c>
      <c r="E2735" s="749"/>
      <c r="F2735" s="748"/>
      <c r="G2735" s="748"/>
      <c r="H2735" s="532"/>
      <c r="I2735" s="532"/>
      <c r="J2735" s="532"/>
      <c r="K2735" s="532"/>
      <c r="M2735" s="189"/>
      <c r="N2735" s="189"/>
      <c r="O2735" s="189"/>
      <c r="P2735" s="189"/>
      <c r="R2735" s="189">
        <f>ROUNDDOWN(H2758,-2)</f>
        <v>18300</v>
      </c>
      <c r="S2735" s="517" t="s">
        <v>6451</v>
      </c>
      <c r="T2735" s="517" t="s">
        <v>7014</v>
      </c>
    </row>
    <row r="2736" spans="3:20" s="517" customFormat="1" ht="31.2" customHeight="1" thickTop="1">
      <c r="C2736" s="190" t="s">
        <v>1195</v>
      </c>
      <c r="D2736" s="191" t="s">
        <v>1196</v>
      </c>
      <c r="E2736" s="191" t="s">
        <v>1197</v>
      </c>
      <c r="F2736" s="191" t="s">
        <v>1198</v>
      </c>
      <c r="G2736" s="191" t="s">
        <v>1199</v>
      </c>
      <c r="H2736" s="192" t="s">
        <v>1200</v>
      </c>
      <c r="L2736" s="200"/>
      <c r="M2736" s="200"/>
      <c r="N2736" s="200"/>
      <c r="O2736" s="200"/>
      <c r="P2736" s="200"/>
    </row>
    <row r="2737" spans="3:16" s="517" customFormat="1" ht="31.2" customHeight="1">
      <c r="C2737" s="518" t="s">
        <v>1201</v>
      </c>
      <c r="D2737" s="196" t="s">
        <v>1202</v>
      </c>
      <c r="E2737" s="197"/>
      <c r="F2737" s="197"/>
      <c r="G2737" s="197"/>
      <c r="H2737" s="198"/>
      <c r="L2737" s="200"/>
      <c r="M2737" s="200"/>
      <c r="N2737" s="200"/>
      <c r="O2737" s="200"/>
      <c r="P2737" s="200"/>
    </row>
    <row r="2738" spans="3:16" s="517" customFormat="1" ht="31.2" customHeight="1">
      <c r="C2738" s="518">
        <v>1</v>
      </c>
      <c r="D2738" s="196" t="s">
        <v>5</v>
      </c>
      <c r="E2738" s="203" t="s">
        <v>2102</v>
      </c>
      <c r="F2738" s="763">
        <v>0.04</v>
      </c>
      <c r="G2738" s="205">
        <f>VLOOKUP(D2738,upahbahan,3,FALSE)</f>
        <v>100000</v>
      </c>
      <c r="H2738" s="210">
        <f t="shared" ref="H2738:H2741" si="187">F2738*G2738</f>
        <v>4000</v>
      </c>
      <c r="L2738" s="200"/>
      <c r="M2738" s="200"/>
      <c r="N2738" s="200"/>
      <c r="O2738" s="200"/>
      <c r="P2738" s="200"/>
    </row>
    <row r="2739" spans="3:16" s="517" customFormat="1" ht="31.2" customHeight="1">
      <c r="C2739" s="537">
        <v>2</v>
      </c>
      <c r="D2739" s="196" t="s">
        <v>6954</v>
      </c>
      <c r="E2739" s="202" t="s">
        <v>6</v>
      </c>
      <c r="F2739" s="520">
        <v>0.04</v>
      </c>
      <c r="G2739" s="205">
        <f>VLOOKUP(D2739,upahbahan,3,FALSE)</f>
        <v>181250</v>
      </c>
      <c r="H2739" s="210">
        <f t="shared" si="187"/>
        <v>7250</v>
      </c>
      <c r="L2739" s="200"/>
      <c r="M2739" s="200"/>
      <c r="N2739" s="200"/>
      <c r="O2739" s="200"/>
      <c r="P2739" s="200"/>
    </row>
    <row r="2740" spans="3:16" s="517" customFormat="1" ht="31.2" customHeight="1">
      <c r="C2740" s="537">
        <v>3</v>
      </c>
      <c r="D2740" s="196" t="s">
        <v>6948</v>
      </c>
      <c r="E2740" s="202" t="s">
        <v>2102</v>
      </c>
      <c r="F2740" s="520">
        <v>0.02</v>
      </c>
      <c r="G2740" s="205">
        <f>VLOOKUP(D2740,upahbahan,3,FALSE)</f>
        <v>218750</v>
      </c>
      <c r="H2740" s="210">
        <f t="shared" si="187"/>
        <v>4375</v>
      </c>
      <c r="L2740" s="200"/>
      <c r="M2740" s="200"/>
      <c r="N2740" s="200"/>
      <c r="O2740" s="200"/>
      <c r="P2740" s="200"/>
    </row>
    <row r="2741" spans="3:16" s="517" customFormat="1" ht="31.2" customHeight="1">
      <c r="C2741" s="537">
        <v>4</v>
      </c>
      <c r="D2741" s="196" t="s">
        <v>19</v>
      </c>
      <c r="E2741" s="202" t="s">
        <v>6</v>
      </c>
      <c r="F2741" s="520">
        <v>6.7000000000000002E-3</v>
      </c>
      <c r="G2741" s="205">
        <f>VLOOKUP(D2741,upahbahan,3,FALSE)</f>
        <v>160000</v>
      </c>
      <c r="H2741" s="210">
        <f t="shared" si="187"/>
        <v>1072</v>
      </c>
      <c r="L2741" s="200"/>
      <c r="M2741" s="200"/>
      <c r="N2741" s="200"/>
      <c r="O2741" s="200"/>
      <c r="P2741" s="200"/>
    </row>
    <row r="2742" spans="3:16" s="517" customFormat="1" ht="31.2" customHeight="1">
      <c r="C2742" s="207" t="s">
        <v>1208</v>
      </c>
      <c r="D2742" s="208"/>
      <c r="E2742" s="208"/>
      <c r="F2742" s="521"/>
      <c r="G2742" s="522"/>
      <c r="H2742" s="210">
        <f>SUM(H2738:H2741)</f>
        <v>16697</v>
      </c>
      <c r="L2742" s="523"/>
      <c r="M2742" s="523"/>
      <c r="N2742" s="523"/>
      <c r="O2742" s="523"/>
      <c r="P2742" s="523"/>
    </row>
    <row r="2743" spans="3:16" s="517" customFormat="1" ht="31.2" customHeight="1">
      <c r="C2743" s="543" t="s">
        <v>1209</v>
      </c>
      <c r="D2743" s="750" t="s">
        <v>1210</v>
      </c>
      <c r="E2743" s="197"/>
      <c r="F2743" s="751"/>
      <c r="G2743" s="197"/>
      <c r="H2743" s="752"/>
      <c r="L2743" s="200"/>
      <c r="M2743" s="200"/>
      <c r="N2743" s="200"/>
      <c r="O2743" s="200"/>
      <c r="P2743" s="200"/>
    </row>
    <row r="2744" spans="3:16" s="517" customFormat="1" ht="31.2" customHeight="1">
      <c r="C2744" s="543">
        <v>1</v>
      </c>
      <c r="D2744" s="750" t="s">
        <v>7161</v>
      </c>
      <c r="E2744" s="203" t="s">
        <v>44</v>
      </c>
      <c r="F2744" s="753">
        <v>1.05</v>
      </c>
      <c r="G2744" s="205">
        <f>VLOOKUP(D2744,upahbahan,3,FALSE)</f>
        <v>0</v>
      </c>
      <c r="H2744" s="210">
        <f t="shared" ref="H2744:H2752" si="188">F2744*G2744</f>
        <v>0</v>
      </c>
      <c r="L2744" s="200"/>
      <c r="M2744" s="200"/>
      <c r="N2744" s="200"/>
      <c r="O2744" s="200"/>
      <c r="P2744" s="200"/>
    </row>
    <row r="2745" spans="3:16" s="517" customFormat="1" ht="31.2" customHeight="1">
      <c r="C2745" s="543">
        <v>2</v>
      </c>
      <c r="D2745" s="750" t="s">
        <v>5563</v>
      </c>
      <c r="E2745" s="203" t="s">
        <v>65</v>
      </c>
      <c r="F2745" s="753">
        <v>0.02</v>
      </c>
      <c r="G2745" s="205">
        <f>VLOOKUP(D2745,upahbahan,3,FALSE)</f>
        <v>0</v>
      </c>
      <c r="H2745" s="210">
        <f t="shared" si="188"/>
        <v>0</v>
      </c>
      <c r="L2745" s="200"/>
      <c r="M2745" s="200"/>
      <c r="N2745" s="200"/>
      <c r="O2745" s="200"/>
      <c r="P2745" s="200"/>
    </row>
    <row r="2746" spans="3:16" s="517" customFormat="1" ht="31.2" customHeight="1">
      <c r="C2746" s="543">
        <v>3</v>
      </c>
      <c r="D2746" s="750" t="s">
        <v>5555</v>
      </c>
      <c r="E2746" s="203"/>
      <c r="F2746" s="753"/>
      <c r="G2746" s="197"/>
      <c r="H2746" s="210">
        <f t="shared" si="188"/>
        <v>0</v>
      </c>
      <c r="L2746" s="200"/>
      <c r="M2746" s="200"/>
      <c r="N2746" s="200"/>
      <c r="O2746" s="200"/>
      <c r="P2746" s="200"/>
    </row>
    <row r="2747" spans="3:16" s="517" customFormat="1" ht="31.2" customHeight="1">
      <c r="C2747" s="754" t="s">
        <v>5293</v>
      </c>
      <c r="D2747" s="750" t="s">
        <v>7142</v>
      </c>
      <c r="E2747" s="203" t="s">
        <v>113</v>
      </c>
      <c r="F2747" s="760">
        <v>18</v>
      </c>
      <c r="G2747" s="205">
        <f>VLOOKUP(D2747,upahbahan,3,FALSE)</f>
        <v>0</v>
      </c>
      <c r="H2747" s="210">
        <f t="shared" si="188"/>
        <v>0</v>
      </c>
      <c r="L2747" s="200"/>
      <c r="M2747" s="200"/>
      <c r="N2747" s="200"/>
      <c r="O2747" s="200"/>
      <c r="P2747" s="200"/>
    </row>
    <row r="2748" spans="3:16" s="517" customFormat="1" ht="31.2" customHeight="1">
      <c r="C2748" s="754" t="s">
        <v>5299</v>
      </c>
      <c r="D2748" s="750" t="s">
        <v>7055</v>
      </c>
      <c r="E2748" s="203" t="s">
        <v>113</v>
      </c>
      <c r="F2748" s="760">
        <v>10</v>
      </c>
      <c r="G2748" s="205">
        <f>VLOOKUP(D2748,upahbahan,3,FALSE)</f>
        <v>0</v>
      </c>
      <c r="H2748" s="210">
        <f t="shared" si="188"/>
        <v>0</v>
      </c>
      <c r="L2748" s="200"/>
      <c r="M2748" s="200"/>
      <c r="N2748" s="200"/>
      <c r="O2748" s="200"/>
      <c r="P2748" s="200"/>
    </row>
    <row r="2749" spans="3:16" s="517" customFormat="1" ht="31.2" customHeight="1">
      <c r="C2749" s="543">
        <v>4</v>
      </c>
      <c r="D2749" s="750" t="s">
        <v>5556</v>
      </c>
      <c r="E2749" s="203"/>
      <c r="F2749" s="753"/>
      <c r="G2749" s="197"/>
      <c r="H2749" s="210">
        <f t="shared" si="188"/>
        <v>0</v>
      </c>
      <c r="L2749" s="200"/>
      <c r="M2749" s="200"/>
      <c r="N2749" s="200"/>
      <c r="O2749" s="200"/>
      <c r="P2749" s="200"/>
    </row>
    <row r="2750" spans="3:16" s="517" customFormat="1" ht="31.2" customHeight="1">
      <c r="C2750" s="754" t="s">
        <v>5293</v>
      </c>
      <c r="D2750" s="750" t="s">
        <v>2084</v>
      </c>
      <c r="E2750" s="203" t="s">
        <v>42</v>
      </c>
      <c r="F2750" s="753">
        <v>9.8000000000000004E-2</v>
      </c>
      <c r="G2750" s="205">
        <f>VLOOKUP(D2750,upahbahan,3,FALSE)</f>
        <v>0</v>
      </c>
      <c r="H2750" s="210">
        <f t="shared" si="188"/>
        <v>0</v>
      </c>
      <c r="L2750" s="200"/>
      <c r="M2750" s="200"/>
      <c r="N2750" s="200"/>
      <c r="O2750" s="200"/>
      <c r="P2750" s="200"/>
    </row>
    <row r="2751" spans="3:16" s="517" customFormat="1" ht="31.2" customHeight="1">
      <c r="C2751" s="754" t="s">
        <v>5299</v>
      </c>
      <c r="D2751" s="750" t="s">
        <v>5566</v>
      </c>
      <c r="E2751" s="203" t="s">
        <v>42</v>
      </c>
      <c r="F2751" s="753">
        <v>2.5999999999999999E-2</v>
      </c>
      <c r="G2751" s="205">
        <f>VLOOKUP(D2751,upahbahan,3,FALSE)</f>
        <v>0</v>
      </c>
      <c r="H2751" s="210">
        <f t="shared" si="188"/>
        <v>0</v>
      </c>
      <c r="L2751" s="200"/>
      <c r="M2751" s="200"/>
      <c r="N2751" s="200"/>
      <c r="O2751" s="200"/>
      <c r="P2751" s="200"/>
    </row>
    <row r="2752" spans="3:16" s="517" customFormat="1" ht="31.2" customHeight="1">
      <c r="C2752" s="754" t="s">
        <v>5558</v>
      </c>
      <c r="D2752" s="750" t="s">
        <v>2325</v>
      </c>
      <c r="E2752" s="203" t="s">
        <v>42</v>
      </c>
      <c r="F2752" s="762">
        <v>7.0000000000000001E-3</v>
      </c>
      <c r="G2752" s="205">
        <f>VLOOKUP(D2752,upahbahan,3,FALSE)</f>
        <v>0</v>
      </c>
      <c r="H2752" s="210">
        <f t="shared" si="188"/>
        <v>0</v>
      </c>
      <c r="L2752" s="200"/>
      <c r="M2752" s="200"/>
      <c r="N2752" s="200"/>
      <c r="O2752" s="200"/>
      <c r="P2752" s="200"/>
    </row>
    <row r="2753" spans="3:20" s="517" customFormat="1" ht="31.2" customHeight="1">
      <c r="C2753" s="207" t="s">
        <v>1214</v>
      </c>
      <c r="D2753" s="208"/>
      <c r="E2753" s="568"/>
      <c r="F2753" s="208"/>
      <c r="G2753" s="209"/>
      <c r="H2753" s="210">
        <f>SUM(H2744:H2752)</f>
        <v>0</v>
      </c>
      <c r="L2753" s="200"/>
      <c r="M2753" s="200"/>
      <c r="N2753" s="200"/>
      <c r="O2753" s="200"/>
      <c r="P2753" s="200"/>
    </row>
    <row r="2754" spans="3:20" s="517" customFormat="1" ht="31.2" customHeight="1">
      <c r="C2754" s="756" t="s">
        <v>1215</v>
      </c>
      <c r="D2754" s="196" t="s">
        <v>1216</v>
      </c>
      <c r="E2754" s="203"/>
      <c r="F2754" s="197"/>
      <c r="G2754" s="197"/>
      <c r="H2754" s="198"/>
      <c r="L2754" s="200"/>
      <c r="M2754" s="200"/>
      <c r="N2754" s="200"/>
      <c r="O2754" s="200"/>
      <c r="P2754" s="200"/>
    </row>
    <row r="2755" spans="3:20" s="517" customFormat="1" ht="31.2" customHeight="1">
      <c r="C2755" s="207" t="s">
        <v>1217</v>
      </c>
      <c r="D2755" s="208"/>
      <c r="E2755" s="208"/>
      <c r="F2755" s="208"/>
      <c r="G2755" s="209"/>
      <c r="H2755" s="240">
        <f>SUM(H2754)</f>
        <v>0</v>
      </c>
      <c r="L2755" s="200"/>
      <c r="M2755" s="200"/>
      <c r="N2755" s="200"/>
      <c r="O2755" s="200"/>
      <c r="P2755" s="200"/>
    </row>
    <row r="2756" spans="3:20" s="517" customFormat="1" ht="31.2" customHeight="1">
      <c r="C2756" s="223" t="s">
        <v>1218</v>
      </c>
      <c r="D2756" s="224" t="s">
        <v>1219</v>
      </c>
      <c r="E2756" s="225"/>
      <c r="F2756" s="225"/>
      <c r="G2756" s="226"/>
      <c r="H2756" s="210">
        <f>H2755+H2753+H2742</f>
        <v>16697</v>
      </c>
      <c r="L2756" s="200"/>
      <c r="M2756" s="200"/>
      <c r="N2756" s="200"/>
      <c r="O2756" s="200"/>
      <c r="P2756" s="200"/>
    </row>
    <row r="2757" spans="3:20" s="517" customFormat="1" ht="31.2" customHeight="1">
      <c r="C2757" s="223" t="s">
        <v>1220</v>
      </c>
      <c r="D2757" s="224" t="s">
        <v>1321</v>
      </c>
      <c r="E2757" s="225"/>
      <c r="F2757" s="226"/>
      <c r="G2757" s="228">
        <v>0.1</v>
      </c>
      <c r="H2757" s="210">
        <f>H2756*G2757</f>
        <v>1669.7</v>
      </c>
      <c r="L2757" s="200"/>
      <c r="M2757" s="200"/>
      <c r="N2757" s="200"/>
      <c r="O2757" s="200"/>
      <c r="P2757" s="200"/>
    </row>
    <row r="2758" spans="3:20" s="517" customFormat="1" ht="31.2" customHeight="1" thickBot="1">
      <c r="C2758" s="229" t="s">
        <v>1221</v>
      </c>
      <c r="D2758" s="230" t="s">
        <v>1222</v>
      </c>
      <c r="E2758" s="231"/>
      <c r="F2758" s="231"/>
      <c r="G2758" s="232"/>
      <c r="H2758" s="233">
        <f>SUM(H2756:H2757)</f>
        <v>18366.7</v>
      </c>
      <c r="L2758" s="200"/>
      <c r="M2758" s="200"/>
      <c r="N2758" s="200"/>
      <c r="O2758" s="200"/>
      <c r="P2758" s="200"/>
    </row>
    <row r="2759" spans="3:20" ht="31.2" customHeight="1" thickTop="1">
      <c r="D2759" s="758" t="s">
        <v>7086</v>
      </c>
    </row>
    <row r="2760" spans="3:20" ht="31.2" customHeight="1">
      <c r="C2760" s="757" t="s">
        <v>6950</v>
      </c>
      <c r="F2760" s="758"/>
      <c r="H2760" s="758" t="s">
        <v>6959</v>
      </c>
    </row>
    <row r="2761" spans="3:20" ht="31.2" customHeight="1">
      <c r="C2761" s="200" t="s">
        <v>6951</v>
      </c>
      <c r="F2761" s="758"/>
    </row>
    <row r="2762" spans="3:20" ht="31.2" customHeight="1">
      <c r="C2762" s="200" t="s">
        <v>6952</v>
      </c>
      <c r="F2762" s="758"/>
    </row>
    <row r="2763" spans="3:20" ht="31.2" customHeight="1">
      <c r="C2763" s="200"/>
      <c r="F2763" s="758"/>
    </row>
    <row r="2764" spans="3:20" s="517" customFormat="1" ht="31.2" customHeight="1" thickBot="1">
      <c r="C2764" s="513" t="s">
        <v>7162</v>
      </c>
      <c r="D2764" s="748" t="s">
        <v>7163</v>
      </c>
      <c r="E2764" s="749"/>
      <c r="F2764" s="748"/>
      <c r="G2764" s="748"/>
      <c r="H2764" s="532"/>
      <c r="I2764" s="532"/>
      <c r="J2764" s="532"/>
      <c r="K2764" s="532"/>
      <c r="M2764" s="189"/>
      <c r="N2764" s="189"/>
      <c r="O2764" s="189"/>
      <c r="P2764" s="189"/>
      <c r="R2764" s="189">
        <f>ROUNDDOWN(H2787,-2)</f>
        <v>18300</v>
      </c>
      <c r="S2764" s="517" t="s">
        <v>6451</v>
      </c>
      <c r="T2764" s="517" t="s">
        <v>7014</v>
      </c>
    </row>
    <row r="2765" spans="3:20" s="517" customFormat="1" ht="31.2" customHeight="1" thickTop="1">
      <c r="C2765" s="190" t="s">
        <v>1195</v>
      </c>
      <c r="D2765" s="191" t="s">
        <v>1196</v>
      </c>
      <c r="E2765" s="191" t="s">
        <v>1197</v>
      </c>
      <c r="F2765" s="191" t="s">
        <v>1198</v>
      </c>
      <c r="G2765" s="191" t="s">
        <v>1199</v>
      </c>
      <c r="H2765" s="192" t="s">
        <v>1200</v>
      </c>
      <c r="L2765" s="200"/>
      <c r="M2765" s="200"/>
      <c r="N2765" s="200"/>
      <c r="O2765" s="200"/>
      <c r="P2765" s="200"/>
    </row>
    <row r="2766" spans="3:20" s="517" customFormat="1" ht="31.2" customHeight="1">
      <c r="C2766" s="518" t="s">
        <v>1201</v>
      </c>
      <c r="D2766" s="196" t="s">
        <v>1202</v>
      </c>
      <c r="E2766" s="197"/>
      <c r="F2766" s="197"/>
      <c r="G2766" s="197"/>
      <c r="H2766" s="198"/>
      <c r="L2766" s="200"/>
      <c r="M2766" s="200"/>
      <c r="N2766" s="200"/>
      <c r="O2766" s="200"/>
      <c r="P2766" s="200"/>
    </row>
    <row r="2767" spans="3:20" s="517" customFormat="1" ht="31.2" customHeight="1">
      <c r="C2767" s="518">
        <v>1</v>
      </c>
      <c r="D2767" s="196" t="s">
        <v>5</v>
      </c>
      <c r="E2767" s="203" t="s">
        <v>2102</v>
      </c>
      <c r="F2767" s="763">
        <v>0.04</v>
      </c>
      <c r="G2767" s="205">
        <f>VLOOKUP(D2767,upahbahan,3,FALSE)</f>
        <v>100000</v>
      </c>
      <c r="H2767" s="210">
        <f t="shared" ref="H2767:H2770" si="189">F2767*G2767</f>
        <v>4000</v>
      </c>
      <c r="L2767" s="200"/>
      <c r="M2767" s="200"/>
      <c r="N2767" s="200"/>
      <c r="O2767" s="200"/>
      <c r="P2767" s="200"/>
    </row>
    <row r="2768" spans="3:20" s="517" customFormat="1" ht="31.2" customHeight="1">
      <c r="C2768" s="537">
        <v>2</v>
      </c>
      <c r="D2768" s="196" t="s">
        <v>6954</v>
      </c>
      <c r="E2768" s="202" t="s">
        <v>6</v>
      </c>
      <c r="F2768" s="520">
        <v>0.04</v>
      </c>
      <c r="G2768" s="205">
        <f>VLOOKUP(D2768,upahbahan,3,FALSE)</f>
        <v>181250</v>
      </c>
      <c r="H2768" s="210">
        <f t="shared" si="189"/>
        <v>7250</v>
      </c>
      <c r="L2768" s="200"/>
      <c r="M2768" s="200"/>
      <c r="N2768" s="200"/>
      <c r="O2768" s="200"/>
      <c r="P2768" s="200"/>
    </row>
    <row r="2769" spans="3:16" s="517" customFormat="1" ht="31.2" customHeight="1">
      <c r="C2769" s="537">
        <v>3</v>
      </c>
      <c r="D2769" s="196" t="s">
        <v>6948</v>
      </c>
      <c r="E2769" s="202" t="s">
        <v>2102</v>
      </c>
      <c r="F2769" s="520">
        <v>0.02</v>
      </c>
      <c r="G2769" s="205">
        <f>VLOOKUP(D2769,upahbahan,3,FALSE)</f>
        <v>218750</v>
      </c>
      <c r="H2769" s="210">
        <f t="shared" si="189"/>
        <v>4375</v>
      </c>
      <c r="L2769" s="200"/>
      <c r="M2769" s="200"/>
      <c r="N2769" s="200"/>
      <c r="O2769" s="200"/>
      <c r="P2769" s="200"/>
    </row>
    <row r="2770" spans="3:16" s="517" customFormat="1" ht="31.2" customHeight="1">
      <c r="C2770" s="537">
        <v>4</v>
      </c>
      <c r="D2770" s="196" t="s">
        <v>19</v>
      </c>
      <c r="E2770" s="202" t="s">
        <v>6</v>
      </c>
      <c r="F2770" s="520">
        <v>6.7000000000000002E-3</v>
      </c>
      <c r="G2770" s="205">
        <f>VLOOKUP(D2770,upahbahan,3,FALSE)</f>
        <v>160000</v>
      </c>
      <c r="H2770" s="210">
        <f t="shared" si="189"/>
        <v>1072</v>
      </c>
      <c r="L2770" s="200"/>
      <c r="M2770" s="200"/>
      <c r="N2770" s="200"/>
      <c r="O2770" s="200"/>
      <c r="P2770" s="200"/>
    </row>
    <row r="2771" spans="3:16" s="517" customFormat="1" ht="31.2" customHeight="1">
      <c r="C2771" s="207" t="s">
        <v>1208</v>
      </c>
      <c r="D2771" s="208"/>
      <c r="E2771" s="208"/>
      <c r="F2771" s="521"/>
      <c r="G2771" s="522"/>
      <c r="H2771" s="210">
        <f>SUM(H2767:H2770)</f>
        <v>16697</v>
      </c>
      <c r="L2771" s="523"/>
      <c r="M2771" s="523"/>
      <c r="N2771" s="523"/>
      <c r="O2771" s="523"/>
      <c r="P2771" s="523"/>
    </row>
    <row r="2772" spans="3:16" s="517" customFormat="1" ht="31.2" customHeight="1">
      <c r="C2772" s="543" t="s">
        <v>1209</v>
      </c>
      <c r="D2772" s="750" t="s">
        <v>1210</v>
      </c>
      <c r="E2772" s="197"/>
      <c r="F2772" s="751"/>
      <c r="G2772" s="197"/>
      <c r="H2772" s="752"/>
      <c r="L2772" s="200"/>
      <c r="M2772" s="200"/>
      <c r="N2772" s="200"/>
      <c r="O2772" s="200"/>
      <c r="P2772" s="200"/>
    </row>
    <row r="2773" spans="3:16" s="517" customFormat="1" ht="31.2" customHeight="1">
      <c r="C2773" s="543">
        <v>1</v>
      </c>
      <c r="D2773" s="750" t="s">
        <v>7164</v>
      </c>
      <c r="E2773" s="203" t="s">
        <v>44</v>
      </c>
      <c r="F2773" s="753">
        <v>1.05</v>
      </c>
      <c r="G2773" s="205">
        <f>VLOOKUP(D2773,upahbahan,3,FALSE)</f>
        <v>0</v>
      </c>
      <c r="H2773" s="210">
        <f t="shared" ref="H2773:H2781" si="190">F2773*G2773</f>
        <v>0</v>
      </c>
      <c r="L2773" s="200"/>
      <c r="M2773" s="200"/>
      <c r="N2773" s="200"/>
      <c r="O2773" s="200"/>
      <c r="P2773" s="200"/>
    </row>
    <row r="2774" spans="3:16" s="517" customFormat="1" ht="31.2" customHeight="1">
      <c r="C2774" s="543">
        <v>2</v>
      </c>
      <c r="D2774" s="750" t="s">
        <v>5563</v>
      </c>
      <c r="E2774" s="203" t="s">
        <v>65</v>
      </c>
      <c r="F2774" s="753">
        <v>0.02</v>
      </c>
      <c r="G2774" s="205">
        <f>VLOOKUP(D2774,upahbahan,3,FALSE)</f>
        <v>0</v>
      </c>
      <c r="H2774" s="210">
        <f t="shared" si="190"/>
        <v>0</v>
      </c>
      <c r="L2774" s="200"/>
      <c r="M2774" s="200"/>
      <c r="N2774" s="200"/>
      <c r="O2774" s="200"/>
      <c r="P2774" s="200"/>
    </row>
    <row r="2775" spans="3:16" s="517" customFormat="1" ht="31.2" customHeight="1">
      <c r="C2775" s="543">
        <v>3</v>
      </c>
      <c r="D2775" s="750" t="s">
        <v>5555</v>
      </c>
      <c r="E2775" s="203"/>
      <c r="F2775" s="753"/>
      <c r="G2775" s="197"/>
      <c r="H2775" s="210">
        <f t="shared" si="190"/>
        <v>0</v>
      </c>
      <c r="L2775" s="200"/>
      <c r="M2775" s="200"/>
      <c r="N2775" s="200"/>
      <c r="O2775" s="200"/>
      <c r="P2775" s="200"/>
    </row>
    <row r="2776" spans="3:16" s="517" customFormat="1" ht="31.2" customHeight="1">
      <c r="C2776" s="754" t="s">
        <v>5293</v>
      </c>
      <c r="D2776" s="750" t="s">
        <v>7142</v>
      </c>
      <c r="E2776" s="203" t="s">
        <v>113</v>
      </c>
      <c r="F2776" s="760">
        <v>18</v>
      </c>
      <c r="G2776" s="205">
        <f>VLOOKUP(D2776,upahbahan,3,FALSE)</f>
        <v>0</v>
      </c>
      <c r="H2776" s="210">
        <f t="shared" si="190"/>
        <v>0</v>
      </c>
      <c r="L2776" s="200"/>
      <c r="M2776" s="200"/>
      <c r="N2776" s="200"/>
      <c r="O2776" s="200"/>
      <c r="P2776" s="200"/>
    </row>
    <row r="2777" spans="3:16" s="517" customFormat="1" ht="31.2" customHeight="1">
      <c r="C2777" s="754" t="s">
        <v>5299</v>
      </c>
      <c r="D2777" s="750" t="s">
        <v>7055</v>
      </c>
      <c r="E2777" s="203" t="s">
        <v>113</v>
      </c>
      <c r="F2777" s="760">
        <v>10</v>
      </c>
      <c r="G2777" s="205">
        <f>VLOOKUP(D2777,upahbahan,3,FALSE)</f>
        <v>0</v>
      </c>
      <c r="H2777" s="210">
        <f t="shared" si="190"/>
        <v>0</v>
      </c>
      <c r="L2777" s="200"/>
      <c r="M2777" s="200"/>
      <c r="N2777" s="200"/>
      <c r="O2777" s="200"/>
      <c r="P2777" s="200"/>
    </row>
    <row r="2778" spans="3:16" s="517" customFormat="1" ht="31.2" customHeight="1">
      <c r="C2778" s="543">
        <v>4</v>
      </c>
      <c r="D2778" s="750" t="s">
        <v>5556</v>
      </c>
      <c r="E2778" s="203"/>
      <c r="F2778" s="753"/>
      <c r="G2778" s="197"/>
      <c r="H2778" s="210">
        <f t="shared" si="190"/>
        <v>0</v>
      </c>
      <c r="L2778" s="200"/>
      <c r="M2778" s="200"/>
      <c r="N2778" s="200"/>
      <c r="O2778" s="200"/>
      <c r="P2778" s="200"/>
    </row>
    <row r="2779" spans="3:16" s="517" customFormat="1" ht="31.2" customHeight="1">
      <c r="C2779" s="754" t="s">
        <v>5293</v>
      </c>
      <c r="D2779" s="750" t="s">
        <v>2084</v>
      </c>
      <c r="E2779" s="203" t="s">
        <v>42</v>
      </c>
      <c r="F2779" s="753">
        <v>9.8000000000000004E-2</v>
      </c>
      <c r="G2779" s="205">
        <f>VLOOKUP(D2779,upahbahan,3,FALSE)</f>
        <v>0</v>
      </c>
      <c r="H2779" s="210">
        <f t="shared" si="190"/>
        <v>0</v>
      </c>
      <c r="L2779" s="200"/>
      <c r="M2779" s="200"/>
      <c r="N2779" s="200"/>
      <c r="O2779" s="200"/>
      <c r="P2779" s="200"/>
    </row>
    <row r="2780" spans="3:16" s="517" customFormat="1" ht="31.2" customHeight="1">
      <c r="C2780" s="754" t="s">
        <v>5299</v>
      </c>
      <c r="D2780" s="750" t="s">
        <v>5566</v>
      </c>
      <c r="E2780" s="203" t="s">
        <v>42</v>
      </c>
      <c r="F2780" s="753">
        <v>2.5999999999999999E-2</v>
      </c>
      <c r="G2780" s="205">
        <f>VLOOKUP(D2780,upahbahan,3,FALSE)</f>
        <v>0</v>
      </c>
      <c r="H2780" s="210">
        <f t="shared" si="190"/>
        <v>0</v>
      </c>
      <c r="L2780" s="200"/>
      <c r="M2780" s="200"/>
      <c r="N2780" s="200"/>
      <c r="O2780" s="200"/>
      <c r="P2780" s="200"/>
    </row>
    <row r="2781" spans="3:16" s="517" customFormat="1" ht="31.2" customHeight="1">
      <c r="C2781" s="754" t="s">
        <v>5558</v>
      </c>
      <c r="D2781" s="750" t="s">
        <v>2325</v>
      </c>
      <c r="E2781" s="203" t="s">
        <v>42</v>
      </c>
      <c r="F2781" s="762">
        <v>7.0000000000000001E-3</v>
      </c>
      <c r="G2781" s="205">
        <f>VLOOKUP(D2781,upahbahan,3,FALSE)</f>
        <v>0</v>
      </c>
      <c r="H2781" s="210">
        <f t="shared" si="190"/>
        <v>0</v>
      </c>
      <c r="L2781" s="200"/>
      <c r="M2781" s="200"/>
      <c r="N2781" s="200"/>
      <c r="O2781" s="200"/>
      <c r="P2781" s="200"/>
    </row>
    <row r="2782" spans="3:16" s="517" customFormat="1" ht="31.2" customHeight="1">
      <c r="C2782" s="207" t="s">
        <v>1214</v>
      </c>
      <c r="D2782" s="208"/>
      <c r="E2782" s="568"/>
      <c r="F2782" s="208"/>
      <c r="G2782" s="209"/>
      <c r="H2782" s="210">
        <f>SUM(H2773:H2781)</f>
        <v>0</v>
      </c>
      <c r="L2782" s="200"/>
      <c r="M2782" s="200"/>
      <c r="N2782" s="200"/>
      <c r="O2782" s="200"/>
      <c r="P2782" s="200"/>
    </row>
    <row r="2783" spans="3:16" s="517" customFormat="1" ht="31.2" customHeight="1">
      <c r="C2783" s="756" t="s">
        <v>1215</v>
      </c>
      <c r="D2783" s="196" t="s">
        <v>1216</v>
      </c>
      <c r="E2783" s="203"/>
      <c r="F2783" s="197"/>
      <c r="G2783" s="197"/>
      <c r="H2783" s="198"/>
      <c r="L2783" s="200"/>
      <c r="M2783" s="200"/>
      <c r="N2783" s="200"/>
      <c r="O2783" s="200"/>
      <c r="P2783" s="200"/>
    </row>
    <row r="2784" spans="3:16" s="517" customFormat="1" ht="31.2" customHeight="1">
      <c r="C2784" s="207" t="s">
        <v>1217</v>
      </c>
      <c r="D2784" s="208"/>
      <c r="E2784" s="208"/>
      <c r="F2784" s="208"/>
      <c r="G2784" s="209"/>
      <c r="H2784" s="240">
        <f>SUM(H2783)</f>
        <v>0</v>
      </c>
      <c r="L2784" s="200"/>
      <c r="M2784" s="200"/>
      <c r="N2784" s="200"/>
      <c r="O2784" s="200"/>
      <c r="P2784" s="200"/>
    </row>
    <row r="2785" spans="3:20" s="517" customFormat="1" ht="31.2" customHeight="1">
      <c r="C2785" s="223" t="s">
        <v>1218</v>
      </c>
      <c r="D2785" s="224" t="s">
        <v>1219</v>
      </c>
      <c r="E2785" s="225"/>
      <c r="F2785" s="225"/>
      <c r="G2785" s="226"/>
      <c r="H2785" s="210">
        <f>H2784+H2782+H2771</f>
        <v>16697</v>
      </c>
      <c r="L2785" s="200"/>
      <c r="M2785" s="200"/>
      <c r="N2785" s="200"/>
      <c r="O2785" s="200"/>
      <c r="P2785" s="200"/>
    </row>
    <row r="2786" spans="3:20" s="517" customFormat="1" ht="31.2" customHeight="1">
      <c r="C2786" s="223" t="s">
        <v>1220</v>
      </c>
      <c r="D2786" s="224" t="s">
        <v>1321</v>
      </c>
      <c r="E2786" s="225"/>
      <c r="F2786" s="226"/>
      <c r="G2786" s="228">
        <v>0.1</v>
      </c>
      <c r="H2786" s="210">
        <f>H2785*G2786</f>
        <v>1669.7</v>
      </c>
      <c r="L2786" s="200"/>
      <c r="M2786" s="200"/>
      <c r="N2786" s="200"/>
      <c r="O2786" s="200"/>
      <c r="P2786" s="200"/>
    </row>
    <row r="2787" spans="3:20" s="517" customFormat="1" ht="31.2" customHeight="1" thickBot="1">
      <c r="C2787" s="229" t="s">
        <v>1221</v>
      </c>
      <c r="D2787" s="230" t="s">
        <v>1222</v>
      </c>
      <c r="E2787" s="231"/>
      <c r="F2787" s="231"/>
      <c r="G2787" s="232"/>
      <c r="H2787" s="233">
        <f>SUM(H2785:H2786)</f>
        <v>18366.7</v>
      </c>
      <c r="L2787" s="200"/>
      <c r="M2787" s="200"/>
      <c r="N2787" s="200"/>
      <c r="O2787" s="200"/>
      <c r="P2787" s="200"/>
    </row>
    <row r="2788" spans="3:20" ht="31.2" customHeight="1" thickTop="1">
      <c r="D2788" s="758" t="s">
        <v>7086</v>
      </c>
    </row>
    <row r="2789" spans="3:20" ht="31.2" customHeight="1">
      <c r="C2789" s="757" t="s">
        <v>6950</v>
      </c>
      <c r="F2789" s="758"/>
      <c r="H2789" s="758" t="s">
        <v>6959</v>
      </c>
    </row>
    <row r="2790" spans="3:20" ht="31.2" customHeight="1">
      <c r="C2790" s="200" t="s">
        <v>6951</v>
      </c>
      <c r="F2790" s="758"/>
    </row>
    <row r="2791" spans="3:20" ht="31.2" customHeight="1">
      <c r="C2791" s="200" t="s">
        <v>6952</v>
      </c>
      <c r="F2791" s="758"/>
    </row>
    <row r="2792" spans="3:20" ht="31.2" customHeight="1">
      <c r="C2792" s="200"/>
      <c r="F2792" s="758"/>
    </row>
    <row r="2793" spans="3:20" s="517" customFormat="1" ht="31.2" customHeight="1" thickBot="1">
      <c r="C2793" s="513" t="s">
        <v>7165</v>
      </c>
      <c r="D2793" s="748" t="s">
        <v>7166</v>
      </c>
      <c r="E2793" s="749"/>
      <c r="F2793" s="748"/>
      <c r="G2793" s="748"/>
      <c r="H2793" s="532"/>
      <c r="I2793" s="532"/>
      <c r="J2793" s="532"/>
      <c r="K2793" s="532"/>
      <c r="M2793" s="189"/>
      <c r="N2793" s="189"/>
      <c r="O2793" s="189"/>
      <c r="P2793" s="189"/>
      <c r="R2793" s="189">
        <f>ROUNDDOWN(H2816,-2)</f>
        <v>18300</v>
      </c>
      <c r="S2793" s="517" t="s">
        <v>6451</v>
      </c>
      <c r="T2793" s="517" t="s">
        <v>7014</v>
      </c>
    </row>
    <row r="2794" spans="3:20" s="517" customFormat="1" ht="31.2" customHeight="1" thickTop="1">
      <c r="C2794" s="190" t="s">
        <v>1195</v>
      </c>
      <c r="D2794" s="191" t="s">
        <v>1196</v>
      </c>
      <c r="E2794" s="191" t="s">
        <v>1197</v>
      </c>
      <c r="F2794" s="191" t="s">
        <v>1198</v>
      </c>
      <c r="G2794" s="191" t="s">
        <v>1199</v>
      </c>
      <c r="H2794" s="192" t="s">
        <v>1200</v>
      </c>
      <c r="L2794" s="200"/>
      <c r="M2794" s="200"/>
      <c r="N2794" s="200"/>
      <c r="O2794" s="200"/>
      <c r="P2794" s="200"/>
    </row>
    <row r="2795" spans="3:20" s="517" customFormat="1" ht="31.2" customHeight="1">
      <c r="C2795" s="518" t="s">
        <v>1201</v>
      </c>
      <c r="D2795" s="196" t="s">
        <v>1202</v>
      </c>
      <c r="E2795" s="197"/>
      <c r="F2795" s="197"/>
      <c r="G2795" s="197"/>
      <c r="H2795" s="198"/>
      <c r="L2795" s="200"/>
      <c r="M2795" s="200"/>
      <c r="N2795" s="200"/>
      <c r="O2795" s="200"/>
      <c r="P2795" s="200"/>
    </row>
    <row r="2796" spans="3:20" s="517" customFormat="1" ht="31.2" customHeight="1">
      <c r="C2796" s="518">
        <v>1</v>
      </c>
      <c r="D2796" s="196" t="s">
        <v>5</v>
      </c>
      <c r="E2796" s="203" t="s">
        <v>2102</v>
      </c>
      <c r="F2796" s="763">
        <v>0.04</v>
      </c>
      <c r="G2796" s="205">
        <f>VLOOKUP(D2796,upahbahan,3,FALSE)</f>
        <v>100000</v>
      </c>
      <c r="H2796" s="210">
        <f t="shared" ref="H2796:H2799" si="191">F2796*G2796</f>
        <v>4000</v>
      </c>
      <c r="L2796" s="200"/>
      <c r="M2796" s="200"/>
      <c r="N2796" s="200"/>
      <c r="O2796" s="200"/>
      <c r="P2796" s="200"/>
    </row>
    <row r="2797" spans="3:20" s="517" customFormat="1" ht="31.2" customHeight="1">
      <c r="C2797" s="537">
        <v>2</v>
      </c>
      <c r="D2797" s="196" t="s">
        <v>6954</v>
      </c>
      <c r="E2797" s="202" t="s">
        <v>6</v>
      </c>
      <c r="F2797" s="520">
        <v>0.04</v>
      </c>
      <c r="G2797" s="205">
        <f>VLOOKUP(D2797,upahbahan,3,FALSE)</f>
        <v>181250</v>
      </c>
      <c r="H2797" s="210">
        <f t="shared" si="191"/>
        <v>7250</v>
      </c>
      <c r="L2797" s="200"/>
      <c r="M2797" s="200"/>
      <c r="N2797" s="200"/>
      <c r="O2797" s="200"/>
      <c r="P2797" s="200"/>
    </row>
    <row r="2798" spans="3:20" s="517" customFormat="1" ht="31.2" customHeight="1">
      <c r="C2798" s="537">
        <v>3</v>
      </c>
      <c r="D2798" s="196" t="s">
        <v>6948</v>
      </c>
      <c r="E2798" s="202" t="s">
        <v>2102</v>
      </c>
      <c r="F2798" s="520">
        <v>0.02</v>
      </c>
      <c r="G2798" s="205">
        <f>VLOOKUP(D2798,upahbahan,3,FALSE)</f>
        <v>218750</v>
      </c>
      <c r="H2798" s="210">
        <f t="shared" si="191"/>
        <v>4375</v>
      </c>
      <c r="L2798" s="200"/>
      <c r="M2798" s="200"/>
      <c r="N2798" s="200"/>
      <c r="O2798" s="200"/>
      <c r="P2798" s="200"/>
    </row>
    <row r="2799" spans="3:20" s="517" customFormat="1" ht="31.2" customHeight="1">
      <c r="C2799" s="537">
        <v>4</v>
      </c>
      <c r="D2799" s="196" t="s">
        <v>19</v>
      </c>
      <c r="E2799" s="202" t="s">
        <v>6</v>
      </c>
      <c r="F2799" s="520">
        <v>6.7000000000000002E-3</v>
      </c>
      <c r="G2799" s="205">
        <f>VLOOKUP(D2799,upahbahan,3,FALSE)</f>
        <v>160000</v>
      </c>
      <c r="H2799" s="210">
        <f t="shared" si="191"/>
        <v>1072</v>
      </c>
      <c r="L2799" s="200"/>
      <c r="M2799" s="200"/>
      <c r="N2799" s="200"/>
      <c r="O2799" s="200"/>
      <c r="P2799" s="200"/>
    </row>
    <row r="2800" spans="3:20" s="517" customFormat="1" ht="31.2" customHeight="1">
      <c r="C2800" s="207" t="s">
        <v>1208</v>
      </c>
      <c r="D2800" s="208"/>
      <c r="E2800" s="208"/>
      <c r="F2800" s="521"/>
      <c r="G2800" s="522"/>
      <c r="H2800" s="210">
        <f>SUM(H2796:H2799)</f>
        <v>16697</v>
      </c>
      <c r="L2800" s="523"/>
      <c r="M2800" s="523"/>
      <c r="N2800" s="523"/>
      <c r="O2800" s="523"/>
      <c r="P2800" s="523"/>
    </row>
    <row r="2801" spans="3:16" s="517" customFormat="1" ht="31.2" customHeight="1">
      <c r="C2801" s="543" t="s">
        <v>1209</v>
      </c>
      <c r="D2801" s="750" t="s">
        <v>1210</v>
      </c>
      <c r="E2801" s="197"/>
      <c r="F2801" s="751"/>
      <c r="G2801" s="197"/>
      <c r="H2801" s="752"/>
      <c r="L2801" s="200"/>
      <c r="M2801" s="200"/>
      <c r="N2801" s="200"/>
      <c r="O2801" s="200"/>
      <c r="P2801" s="200"/>
    </row>
    <row r="2802" spans="3:16" s="517" customFormat="1" ht="31.2" customHeight="1">
      <c r="C2802" s="543">
        <v>1</v>
      </c>
      <c r="D2802" s="750" t="s">
        <v>7167</v>
      </c>
      <c r="E2802" s="203" t="s">
        <v>44</v>
      </c>
      <c r="F2802" s="753">
        <v>1.05</v>
      </c>
      <c r="G2802" s="205">
        <f>VLOOKUP(D2802,upahbahan,3,FALSE)</f>
        <v>0</v>
      </c>
      <c r="H2802" s="210">
        <f t="shared" ref="H2802:H2810" si="192">F2802*G2802</f>
        <v>0</v>
      </c>
      <c r="L2802" s="200"/>
      <c r="M2802" s="200"/>
      <c r="N2802" s="200"/>
      <c r="O2802" s="200"/>
      <c r="P2802" s="200"/>
    </row>
    <row r="2803" spans="3:16" s="517" customFormat="1" ht="31.2" customHeight="1">
      <c r="C2803" s="543">
        <v>2</v>
      </c>
      <c r="D2803" s="750" t="s">
        <v>5563</v>
      </c>
      <c r="E2803" s="203" t="s">
        <v>65</v>
      </c>
      <c r="F2803" s="753">
        <v>0.02</v>
      </c>
      <c r="G2803" s="205">
        <f>VLOOKUP(D2803,upahbahan,3,FALSE)</f>
        <v>0</v>
      </c>
      <c r="H2803" s="210">
        <f t="shared" si="192"/>
        <v>0</v>
      </c>
      <c r="L2803" s="200"/>
      <c r="M2803" s="200"/>
      <c r="N2803" s="200"/>
      <c r="O2803" s="200"/>
      <c r="P2803" s="200"/>
    </row>
    <row r="2804" spans="3:16" s="517" customFormat="1" ht="31.2" customHeight="1">
      <c r="C2804" s="543">
        <v>3</v>
      </c>
      <c r="D2804" s="750" t="s">
        <v>5555</v>
      </c>
      <c r="E2804" s="203"/>
      <c r="F2804" s="753"/>
      <c r="G2804" s="197"/>
      <c r="H2804" s="210">
        <f t="shared" si="192"/>
        <v>0</v>
      </c>
      <c r="L2804" s="200"/>
      <c r="M2804" s="200"/>
      <c r="N2804" s="200"/>
      <c r="O2804" s="200"/>
      <c r="P2804" s="200"/>
    </row>
    <row r="2805" spans="3:16" s="517" customFormat="1" ht="31.2" customHeight="1">
      <c r="C2805" s="754" t="s">
        <v>5293</v>
      </c>
      <c r="D2805" s="750" t="s">
        <v>7142</v>
      </c>
      <c r="E2805" s="203" t="s">
        <v>113</v>
      </c>
      <c r="F2805" s="760">
        <v>18</v>
      </c>
      <c r="G2805" s="205">
        <f>VLOOKUP(D2805,upahbahan,3,FALSE)</f>
        <v>0</v>
      </c>
      <c r="H2805" s="210">
        <f t="shared" si="192"/>
        <v>0</v>
      </c>
      <c r="L2805" s="200"/>
      <c r="M2805" s="200"/>
      <c r="N2805" s="200"/>
      <c r="O2805" s="200"/>
      <c r="P2805" s="200"/>
    </row>
    <row r="2806" spans="3:16" s="517" customFormat="1" ht="31.2" customHeight="1">
      <c r="C2806" s="754" t="s">
        <v>5299</v>
      </c>
      <c r="D2806" s="750" t="s">
        <v>7055</v>
      </c>
      <c r="E2806" s="203" t="s">
        <v>113</v>
      </c>
      <c r="F2806" s="760">
        <v>10</v>
      </c>
      <c r="G2806" s="205">
        <f>VLOOKUP(D2806,upahbahan,3,FALSE)</f>
        <v>0</v>
      </c>
      <c r="H2806" s="210">
        <f t="shared" si="192"/>
        <v>0</v>
      </c>
      <c r="L2806" s="200"/>
      <c r="M2806" s="200"/>
      <c r="N2806" s="200"/>
      <c r="O2806" s="200"/>
      <c r="P2806" s="200"/>
    </row>
    <row r="2807" spans="3:16" s="517" customFormat="1" ht="31.2" customHeight="1">
      <c r="C2807" s="543">
        <v>4</v>
      </c>
      <c r="D2807" s="750" t="s">
        <v>5556</v>
      </c>
      <c r="E2807" s="203"/>
      <c r="F2807" s="753"/>
      <c r="G2807" s="197"/>
      <c r="H2807" s="210">
        <f t="shared" si="192"/>
        <v>0</v>
      </c>
      <c r="L2807" s="200"/>
      <c r="M2807" s="200"/>
      <c r="N2807" s="200"/>
      <c r="O2807" s="200"/>
      <c r="P2807" s="200"/>
    </row>
    <row r="2808" spans="3:16" s="517" customFormat="1" ht="31.2" customHeight="1">
      <c r="C2808" s="754" t="s">
        <v>5293</v>
      </c>
      <c r="D2808" s="750" t="s">
        <v>2084</v>
      </c>
      <c r="E2808" s="203" t="s">
        <v>42</v>
      </c>
      <c r="F2808" s="753">
        <v>9.8000000000000004E-2</v>
      </c>
      <c r="G2808" s="205">
        <f>VLOOKUP(D2808,upahbahan,3,FALSE)</f>
        <v>0</v>
      </c>
      <c r="H2808" s="210">
        <f t="shared" si="192"/>
        <v>0</v>
      </c>
      <c r="L2808" s="200"/>
      <c r="M2808" s="200"/>
      <c r="N2808" s="200"/>
      <c r="O2808" s="200"/>
      <c r="P2808" s="200"/>
    </row>
    <row r="2809" spans="3:16" s="517" customFormat="1" ht="31.2" customHeight="1">
      <c r="C2809" s="754" t="s">
        <v>5299</v>
      </c>
      <c r="D2809" s="750" t="s">
        <v>5566</v>
      </c>
      <c r="E2809" s="203" t="s">
        <v>42</v>
      </c>
      <c r="F2809" s="753">
        <v>2.5999999999999999E-2</v>
      </c>
      <c r="G2809" s="205">
        <f>VLOOKUP(D2809,upahbahan,3,FALSE)</f>
        <v>0</v>
      </c>
      <c r="H2809" s="210">
        <f t="shared" si="192"/>
        <v>0</v>
      </c>
      <c r="L2809" s="200"/>
      <c r="M2809" s="200"/>
      <c r="N2809" s="200"/>
      <c r="O2809" s="200"/>
      <c r="P2809" s="200"/>
    </row>
    <row r="2810" spans="3:16" s="517" customFormat="1" ht="31.2" customHeight="1">
      <c r="C2810" s="754" t="s">
        <v>5558</v>
      </c>
      <c r="D2810" s="750" t="s">
        <v>2325</v>
      </c>
      <c r="E2810" s="203" t="s">
        <v>42</v>
      </c>
      <c r="F2810" s="762">
        <v>7.0000000000000001E-3</v>
      </c>
      <c r="G2810" s="205">
        <f>VLOOKUP(D2810,upahbahan,3,FALSE)</f>
        <v>0</v>
      </c>
      <c r="H2810" s="210">
        <f t="shared" si="192"/>
        <v>0</v>
      </c>
      <c r="L2810" s="200"/>
      <c r="M2810" s="200"/>
      <c r="N2810" s="200"/>
      <c r="O2810" s="200"/>
      <c r="P2810" s="200"/>
    </row>
    <row r="2811" spans="3:16" s="517" customFormat="1" ht="31.2" customHeight="1">
      <c r="C2811" s="207" t="s">
        <v>1214</v>
      </c>
      <c r="D2811" s="208"/>
      <c r="E2811" s="568"/>
      <c r="F2811" s="208"/>
      <c r="G2811" s="209"/>
      <c r="H2811" s="210">
        <f>SUM(H2802:H2810)</f>
        <v>0</v>
      </c>
      <c r="L2811" s="200"/>
      <c r="M2811" s="200"/>
      <c r="N2811" s="200"/>
      <c r="O2811" s="200"/>
      <c r="P2811" s="200"/>
    </row>
    <row r="2812" spans="3:16" s="517" customFormat="1" ht="31.2" customHeight="1">
      <c r="C2812" s="756" t="s">
        <v>1215</v>
      </c>
      <c r="D2812" s="196" t="s">
        <v>1216</v>
      </c>
      <c r="E2812" s="203"/>
      <c r="F2812" s="197"/>
      <c r="G2812" s="197"/>
      <c r="H2812" s="198"/>
      <c r="L2812" s="200"/>
      <c r="M2812" s="200"/>
      <c r="N2812" s="200"/>
      <c r="O2812" s="200"/>
      <c r="P2812" s="200"/>
    </row>
    <row r="2813" spans="3:16" s="517" customFormat="1" ht="31.2" customHeight="1">
      <c r="C2813" s="207" t="s">
        <v>1217</v>
      </c>
      <c r="D2813" s="208"/>
      <c r="E2813" s="208"/>
      <c r="F2813" s="208"/>
      <c r="G2813" s="209"/>
      <c r="H2813" s="240">
        <f>SUM(H2812)</f>
        <v>0</v>
      </c>
      <c r="L2813" s="200"/>
      <c r="M2813" s="200"/>
      <c r="N2813" s="200"/>
      <c r="O2813" s="200"/>
      <c r="P2813" s="200"/>
    </row>
    <row r="2814" spans="3:16" s="517" customFormat="1" ht="31.2" customHeight="1">
      <c r="C2814" s="223" t="s">
        <v>1218</v>
      </c>
      <c r="D2814" s="224" t="s">
        <v>1219</v>
      </c>
      <c r="E2814" s="225"/>
      <c r="F2814" s="225"/>
      <c r="G2814" s="226"/>
      <c r="H2814" s="210">
        <f>H2813+H2811+H2800</f>
        <v>16697</v>
      </c>
      <c r="L2814" s="200"/>
      <c r="M2814" s="200"/>
      <c r="N2814" s="200"/>
      <c r="O2814" s="200"/>
      <c r="P2814" s="200"/>
    </row>
    <row r="2815" spans="3:16" s="517" customFormat="1" ht="31.2" customHeight="1">
      <c r="C2815" s="223" t="s">
        <v>1220</v>
      </c>
      <c r="D2815" s="224" t="s">
        <v>1321</v>
      </c>
      <c r="E2815" s="225"/>
      <c r="F2815" s="226"/>
      <c r="G2815" s="228">
        <v>0.1</v>
      </c>
      <c r="H2815" s="210">
        <f>H2814*G2815</f>
        <v>1669.7</v>
      </c>
      <c r="L2815" s="200"/>
      <c r="M2815" s="200"/>
      <c r="N2815" s="200"/>
      <c r="O2815" s="200"/>
      <c r="P2815" s="200"/>
    </row>
    <row r="2816" spans="3:16" s="517" customFormat="1" ht="31.2" customHeight="1" thickBot="1">
      <c r="C2816" s="229" t="s">
        <v>1221</v>
      </c>
      <c r="D2816" s="230" t="s">
        <v>1222</v>
      </c>
      <c r="E2816" s="231"/>
      <c r="F2816" s="231"/>
      <c r="G2816" s="232"/>
      <c r="H2816" s="233">
        <f>SUM(H2814:H2815)</f>
        <v>18366.7</v>
      </c>
      <c r="L2816" s="200"/>
      <c r="M2816" s="200"/>
      <c r="N2816" s="200"/>
      <c r="O2816" s="200"/>
      <c r="P2816" s="200"/>
    </row>
    <row r="2817" spans="3:20" ht="31.2" customHeight="1" thickTop="1">
      <c r="D2817" s="758" t="s">
        <v>7086</v>
      </c>
    </row>
    <row r="2818" spans="3:20" ht="31.2" customHeight="1">
      <c r="C2818" s="757" t="s">
        <v>6950</v>
      </c>
      <c r="F2818" s="758"/>
      <c r="H2818" s="758" t="s">
        <v>6959</v>
      </c>
    </row>
    <row r="2819" spans="3:20" ht="31.2" customHeight="1">
      <c r="C2819" s="200" t="s">
        <v>6951</v>
      </c>
      <c r="F2819" s="758"/>
    </row>
    <row r="2820" spans="3:20" ht="31.2" customHeight="1">
      <c r="C2820" s="200" t="s">
        <v>6952</v>
      </c>
      <c r="F2820" s="758"/>
    </row>
    <row r="2821" spans="3:20" ht="31.2" customHeight="1">
      <c r="C2821" s="200"/>
      <c r="F2821" s="758"/>
    </row>
    <row r="2822" spans="3:20" s="517" customFormat="1" ht="31.2" customHeight="1" thickBot="1">
      <c r="C2822" s="513" t="s">
        <v>7168</v>
      </c>
      <c r="D2822" s="748" t="s">
        <v>7169</v>
      </c>
      <c r="E2822" s="749"/>
      <c r="F2822" s="748"/>
      <c r="G2822" s="748"/>
      <c r="H2822" s="532"/>
      <c r="I2822" s="532"/>
      <c r="J2822" s="532"/>
      <c r="K2822" s="532"/>
      <c r="M2822" s="189"/>
      <c r="N2822" s="189"/>
      <c r="O2822" s="189"/>
      <c r="P2822" s="189"/>
      <c r="R2822" s="189">
        <f>ROUNDDOWN(H2845,-2)</f>
        <v>18300</v>
      </c>
      <c r="S2822" s="517" t="s">
        <v>6451</v>
      </c>
      <c r="T2822" s="517" t="s">
        <v>7014</v>
      </c>
    </row>
    <row r="2823" spans="3:20" s="517" customFormat="1" ht="31.2" customHeight="1" thickTop="1">
      <c r="C2823" s="190" t="s">
        <v>1195</v>
      </c>
      <c r="D2823" s="191" t="s">
        <v>1196</v>
      </c>
      <c r="E2823" s="191" t="s">
        <v>1197</v>
      </c>
      <c r="F2823" s="191" t="s">
        <v>1198</v>
      </c>
      <c r="G2823" s="191" t="s">
        <v>1199</v>
      </c>
      <c r="H2823" s="192" t="s">
        <v>1200</v>
      </c>
      <c r="L2823" s="200"/>
      <c r="M2823" s="200"/>
      <c r="N2823" s="200"/>
      <c r="O2823" s="200"/>
      <c r="P2823" s="200"/>
    </row>
    <row r="2824" spans="3:20" s="517" customFormat="1" ht="31.2" customHeight="1">
      <c r="C2824" s="518" t="s">
        <v>1201</v>
      </c>
      <c r="D2824" s="196" t="s">
        <v>1202</v>
      </c>
      <c r="E2824" s="197"/>
      <c r="F2824" s="197"/>
      <c r="G2824" s="197"/>
      <c r="H2824" s="198"/>
      <c r="L2824" s="200"/>
      <c r="M2824" s="200"/>
      <c r="N2824" s="200"/>
      <c r="O2824" s="200"/>
      <c r="P2824" s="200"/>
    </row>
    <row r="2825" spans="3:20" s="517" customFormat="1" ht="31.2" customHeight="1">
      <c r="C2825" s="518">
        <v>1</v>
      </c>
      <c r="D2825" s="196" t="s">
        <v>5</v>
      </c>
      <c r="E2825" s="203" t="s">
        <v>2102</v>
      </c>
      <c r="F2825" s="763">
        <v>0.04</v>
      </c>
      <c r="G2825" s="205">
        <f>VLOOKUP(D2825,upahbahan,3,FALSE)</f>
        <v>100000</v>
      </c>
      <c r="H2825" s="210">
        <f t="shared" ref="H2825:H2828" si="193">F2825*G2825</f>
        <v>4000</v>
      </c>
      <c r="L2825" s="200"/>
      <c r="M2825" s="200"/>
      <c r="N2825" s="200"/>
      <c r="O2825" s="200"/>
      <c r="P2825" s="200"/>
    </row>
    <row r="2826" spans="3:20" s="517" customFormat="1" ht="31.2" customHeight="1">
      <c r="C2826" s="537">
        <v>2</v>
      </c>
      <c r="D2826" s="196" t="s">
        <v>6954</v>
      </c>
      <c r="E2826" s="202" t="s">
        <v>6</v>
      </c>
      <c r="F2826" s="520">
        <v>0.04</v>
      </c>
      <c r="G2826" s="205">
        <f>VLOOKUP(D2826,upahbahan,3,FALSE)</f>
        <v>181250</v>
      </c>
      <c r="H2826" s="210">
        <f t="shared" si="193"/>
        <v>7250</v>
      </c>
      <c r="L2826" s="200"/>
      <c r="M2826" s="200"/>
      <c r="N2826" s="200"/>
      <c r="O2826" s="200"/>
      <c r="P2826" s="200"/>
    </row>
    <row r="2827" spans="3:20" s="517" customFormat="1" ht="31.2" customHeight="1">
      <c r="C2827" s="537">
        <v>3</v>
      </c>
      <c r="D2827" s="196" t="s">
        <v>6948</v>
      </c>
      <c r="E2827" s="202" t="s">
        <v>2102</v>
      </c>
      <c r="F2827" s="520">
        <v>0.02</v>
      </c>
      <c r="G2827" s="205">
        <f>VLOOKUP(D2827,upahbahan,3,FALSE)</f>
        <v>218750</v>
      </c>
      <c r="H2827" s="210">
        <f t="shared" si="193"/>
        <v>4375</v>
      </c>
      <c r="L2827" s="200"/>
      <c r="M2827" s="200"/>
      <c r="N2827" s="200"/>
      <c r="O2827" s="200"/>
      <c r="P2827" s="200"/>
    </row>
    <row r="2828" spans="3:20" s="517" customFormat="1" ht="31.2" customHeight="1">
      <c r="C2828" s="537">
        <v>4</v>
      </c>
      <c r="D2828" s="196" t="s">
        <v>19</v>
      </c>
      <c r="E2828" s="202" t="s">
        <v>6</v>
      </c>
      <c r="F2828" s="520">
        <v>6.7000000000000002E-3</v>
      </c>
      <c r="G2828" s="205">
        <f>VLOOKUP(D2828,upahbahan,3,FALSE)</f>
        <v>160000</v>
      </c>
      <c r="H2828" s="210">
        <f t="shared" si="193"/>
        <v>1072</v>
      </c>
      <c r="L2828" s="200"/>
      <c r="M2828" s="200"/>
      <c r="N2828" s="200"/>
      <c r="O2828" s="200"/>
      <c r="P2828" s="200"/>
    </row>
    <row r="2829" spans="3:20" s="517" customFormat="1" ht="31.2" customHeight="1">
      <c r="C2829" s="207" t="s">
        <v>1208</v>
      </c>
      <c r="D2829" s="208"/>
      <c r="E2829" s="208"/>
      <c r="F2829" s="521"/>
      <c r="G2829" s="522"/>
      <c r="H2829" s="210">
        <f>SUM(H2825:H2828)</f>
        <v>16697</v>
      </c>
      <c r="L2829" s="523"/>
      <c r="M2829" s="523"/>
      <c r="N2829" s="523"/>
      <c r="O2829" s="523"/>
      <c r="P2829" s="523"/>
    </row>
    <row r="2830" spans="3:20" s="517" customFormat="1" ht="31.2" customHeight="1">
      <c r="C2830" s="543" t="s">
        <v>1209</v>
      </c>
      <c r="D2830" s="750" t="s">
        <v>1210</v>
      </c>
      <c r="E2830" s="197"/>
      <c r="F2830" s="751"/>
      <c r="G2830" s="197"/>
      <c r="H2830" s="752"/>
      <c r="L2830" s="200"/>
      <c r="M2830" s="200"/>
      <c r="N2830" s="200"/>
      <c r="O2830" s="200"/>
      <c r="P2830" s="200"/>
    </row>
    <row r="2831" spans="3:20" s="517" customFormat="1" ht="31.2" customHeight="1">
      <c r="C2831" s="543">
        <v>1</v>
      </c>
      <c r="D2831" s="750" t="s">
        <v>6814</v>
      </c>
      <c r="E2831" s="203" t="s">
        <v>44</v>
      </c>
      <c r="F2831" s="753">
        <v>1.05</v>
      </c>
      <c r="G2831" s="205">
        <f>VLOOKUP(D2831,upahbahan,3,FALSE)</f>
        <v>0</v>
      </c>
      <c r="H2831" s="210">
        <f t="shared" ref="H2831:H2839" si="194">F2831*G2831</f>
        <v>0</v>
      </c>
      <c r="L2831" s="200"/>
      <c r="M2831" s="200"/>
      <c r="N2831" s="200"/>
      <c r="O2831" s="200"/>
      <c r="P2831" s="200"/>
    </row>
    <row r="2832" spans="3:20" s="517" customFormat="1" ht="31.2" customHeight="1">
      <c r="C2832" s="543">
        <v>2</v>
      </c>
      <c r="D2832" s="750" t="s">
        <v>5563</v>
      </c>
      <c r="E2832" s="203" t="s">
        <v>65</v>
      </c>
      <c r="F2832" s="753">
        <v>0.02</v>
      </c>
      <c r="G2832" s="205">
        <f>VLOOKUP(D2832,upahbahan,3,FALSE)</f>
        <v>0</v>
      </c>
      <c r="H2832" s="210">
        <f t="shared" si="194"/>
        <v>0</v>
      </c>
      <c r="L2832" s="200"/>
      <c r="M2832" s="200"/>
      <c r="N2832" s="200"/>
      <c r="O2832" s="200"/>
      <c r="P2832" s="200"/>
    </row>
    <row r="2833" spans="3:16" s="517" customFormat="1" ht="31.2" customHeight="1">
      <c r="C2833" s="543">
        <v>3</v>
      </c>
      <c r="D2833" s="750" t="s">
        <v>5555</v>
      </c>
      <c r="E2833" s="203"/>
      <c r="F2833" s="753"/>
      <c r="G2833" s="197"/>
      <c r="H2833" s="210">
        <f t="shared" si="194"/>
        <v>0</v>
      </c>
      <c r="L2833" s="200"/>
      <c r="M2833" s="200"/>
      <c r="N2833" s="200"/>
      <c r="O2833" s="200"/>
      <c r="P2833" s="200"/>
    </row>
    <row r="2834" spans="3:16" s="517" customFormat="1" ht="31.2" customHeight="1">
      <c r="C2834" s="754" t="s">
        <v>5293</v>
      </c>
      <c r="D2834" s="750" t="s">
        <v>7142</v>
      </c>
      <c r="E2834" s="203" t="s">
        <v>113</v>
      </c>
      <c r="F2834" s="760">
        <v>18</v>
      </c>
      <c r="G2834" s="205">
        <f>VLOOKUP(D2834,upahbahan,3,FALSE)</f>
        <v>0</v>
      </c>
      <c r="H2834" s="210">
        <f t="shared" si="194"/>
        <v>0</v>
      </c>
      <c r="L2834" s="200"/>
      <c r="M2834" s="200"/>
      <c r="N2834" s="200"/>
      <c r="O2834" s="200"/>
      <c r="P2834" s="200"/>
    </row>
    <row r="2835" spans="3:16" s="517" customFormat="1" ht="31.2" customHeight="1">
      <c r="C2835" s="754" t="s">
        <v>5299</v>
      </c>
      <c r="D2835" s="750" t="s">
        <v>7055</v>
      </c>
      <c r="E2835" s="203" t="s">
        <v>113</v>
      </c>
      <c r="F2835" s="760">
        <v>10</v>
      </c>
      <c r="G2835" s="205">
        <f>VLOOKUP(D2835,upahbahan,3,FALSE)</f>
        <v>0</v>
      </c>
      <c r="H2835" s="210">
        <f t="shared" si="194"/>
        <v>0</v>
      </c>
      <c r="L2835" s="200"/>
      <c r="M2835" s="200"/>
      <c r="N2835" s="200"/>
      <c r="O2835" s="200"/>
      <c r="P2835" s="200"/>
    </row>
    <row r="2836" spans="3:16" s="517" customFormat="1" ht="31.2" customHeight="1">
      <c r="C2836" s="543">
        <v>4</v>
      </c>
      <c r="D2836" s="750" t="s">
        <v>5556</v>
      </c>
      <c r="E2836" s="203"/>
      <c r="F2836" s="753"/>
      <c r="G2836" s="197"/>
      <c r="H2836" s="210">
        <f t="shared" si="194"/>
        <v>0</v>
      </c>
      <c r="L2836" s="200"/>
      <c r="M2836" s="200"/>
      <c r="N2836" s="200"/>
      <c r="O2836" s="200"/>
      <c r="P2836" s="200"/>
    </row>
    <row r="2837" spans="3:16" s="517" customFormat="1" ht="31.2" customHeight="1">
      <c r="C2837" s="754" t="s">
        <v>5293</v>
      </c>
      <c r="D2837" s="750" t="s">
        <v>2084</v>
      </c>
      <c r="E2837" s="203" t="s">
        <v>42</v>
      </c>
      <c r="F2837" s="753">
        <v>9.8000000000000004E-2</v>
      </c>
      <c r="G2837" s="205">
        <f>VLOOKUP(D2837,upahbahan,3,FALSE)</f>
        <v>0</v>
      </c>
      <c r="H2837" s="210">
        <f t="shared" si="194"/>
        <v>0</v>
      </c>
      <c r="L2837" s="200"/>
      <c r="M2837" s="200"/>
      <c r="N2837" s="200"/>
      <c r="O2837" s="200"/>
      <c r="P2837" s="200"/>
    </row>
    <row r="2838" spans="3:16" s="517" customFormat="1" ht="31.2" customHeight="1">
      <c r="C2838" s="754" t="s">
        <v>5299</v>
      </c>
      <c r="D2838" s="750" t="s">
        <v>5566</v>
      </c>
      <c r="E2838" s="203" t="s">
        <v>42</v>
      </c>
      <c r="F2838" s="753">
        <v>2.5999999999999999E-2</v>
      </c>
      <c r="G2838" s="205">
        <f>VLOOKUP(D2838,upahbahan,3,FALSE)</f>
        <v>0</v>
      </c>
      <c r="H2838" s="210">
        <f t="shared" si="194"/>
        <v>0</v>
      </c>
      <c r="L2838" s="200"/>
      <c r="M2838" s="200"/>
      <c r="N2838" s="200"/>
      <c r="O2838" s="200"/>
      <c r="P2838" s="200"/>
    </row>
    <row r="2839" spans="3:16" s="517" customFormat="1" ht="31.2" customHeight="1">
      <c r="C2839" s="754" t="s">
        <v>5558</v>
      </c>
      <c r="D2839" s="750" t="s">
        <v>2325</v>
      </c>
      <c r="E2839" s="203" t="s">
        <v>42</v>
      </c>
      <c r="F2839" s="762">
        <v>7.0000000000000001E-3</v>
      </c>
      <c r="G2839" s="205">
        <f>VLOOKUP(D2839,upahbahan,3,FALSE)</f>
        <v>0</v>
      </c>
      <c r="H2839" s="210">
        <f t="shared" si="194"/>
        <v>0</v>
      </c>
      <c r="L2839" s="200"/>
      <c r="M2839" s="200"/>
      <c r="N2839" s="200"/>
      <c r="O2839" s="200"/>
      <c r="P2839" s="200"/>
    </row>
    <row r="2840" spans="3:16" s="517" customFormat="1" ht="31.2" customHeight="1">
      <c r="C2840" s="207" t="s">
        <v>1214</v>
      </c>
      <c r="D2840" s="208"/>
      <c r="E2840" s="568"/>
      <c r="F2840" s="208"/>
      <c r="G2840" s="209"/>
      <c r="H2840" s="210">
        <f>SUM(H2831:H2839)</f>
        <v>0</v>
      </c>
      <c r="L2840" s="200"/>
      <c r="M2840" s="200"/>
      <c r="N2840" s="200"/>
      <c r="O2840" s="200"/>
      <c r="P2840" s="200"/>
    </row>
    <row r="2841" spans="3:16" s="517" customFormat="1" ht="31.2" customHeight="1">
      <c r="C2841" s="756" t="s">
        <v>1215</v>
      </c>
      <c r="D2841" s="196" t="s">
        <v>1216</v>
      </c>
      <c r="E2841" s="203"/>
      <c r="F2841" s="197"/>
      <c r="G2841" s="197"/>
      <c r="H2841" s="198"/>
      <c r="L2841" s="200"/>
      <c r="M2841" s="200"/>
      <c r="N2841" s="200"/>
      <c r="O2841" s="200"/>
      <c r="P2841" s="200"/>
    </row>
    <row r="2842" spans="3:16" s="517" customFormat="1" ht="31.2" customHeight="1">
      <c r="C2842" s="207" t="s">
        <v>1217</v>
      </c>
      <c r="D2842" s="208"/>
      <c r="E2842" s="208"/>
      <c r="F2842" s="208"/>
      <c r="G2842" s="209"/>
      <c r="H2842" s="240">
        <f>SUM(H2841)</f>
        <v>0</v>
      </c>
      <c r="L2842" s="200"/>
      <c r="M2842" s="200"/>
      <c r="N2842" s="200"/>
      <c r="O2842" s="200"/>
      <c r="P2842" s="200"/>
    </row>
    <row r="2843" spans="3:16" s="517" customFormat="1" ht="31.2" customHeight="1">
      <c r="C2843" s="223" t="s">
        <v>1218</v>
      </c>
      <c r="D2843" s="224" t="s">
        <v>1219</v>
      </c>
      <c r="E2843" s="225"/>
      <c r="F2843" s="225"/>
      <c r="G2843" s="226"/>
      <c r="H2843" s="210">
        <f>H2842+H2840+H2829</f>
        <v>16697</v>
      </c>
      <c r="L2843" s="200"/>
      <c r="M2843" s="200"/>
      <c r="N2843" s="200"/>
      <c r="O2843" s="200"/>
      <c r="P2843" s="200"/>
    </row>
    <row r="2844" spans="3:16" s="517" customFormat="1" ht="31.2" customHeight="1">
      <c r="C2844" s="223" t="s">
        <v>1220</v>
      </c>
      <c r="D2844" s="224" t="s">
        <v>1321</v>
      </c>
      <c r="E2844" s="225"/>
      <c r="F2844" s="226"/>
      <c r="G2844" s="228">
        <v>0.1</v>
      </c>
      <c r="H2844" s="210">
        <f>H2843*G2844</f>
        <v>1669.7</v>
      </c>
      <c r="L2844" s="200"/>
      <c r="M2844" s="200"/>
      <c r="N2844" s="200"/>
      <c r="O2844" s="200"/>
      <c r="P2844" s="200"/>
    </row>
    <row r="2845" spans="3:16" s="517" customFormat="1" ht="31.2" customHeight="1" thickBot="1">
      <c r="C2845" s="229" t="s">
        <v>1221</v>
      </c>
      <c r="D2845" s="230" t="s">
        <v>1222</v>
      </c>
      <c r="E2845" s="231"/>
      <c r="F2845" s="231"/>
      <c r="G2845" s="232"/>
      <c r="H2845" s="233">
        <f>SUM(H2843:H2844)</f>
        <v>18366.7</v>
      </c>
      <c r="L2845" s="200"/>
      <c r="M2845" s="200"/>
      <c r="N2845" s="200"/>
      <c r="O2845" s="200"/>
      <c r="P2845" s="200"/>
    </row>
    <row r="2846" spans="3:16" ht="31.2" customHeight="1" thickTop="1">
      <c r="D2846" s="758" t="s">
        <v>7086</v>
      </c>
    </row>
    <row r="2847" spans="3:16" ht="31.2" customHeight="1">
      <c r="C2847" s="757" t="s">
        <v>6950</v>
      </c>
      <c r="F2847" s="758"/>
      <c r="H2847" s="758" t="s">
        <v>6959</v>
      </c>
    </row>
    <row r="2848" spans="3:16" ht="31.2" customHeight="1">
      <c r="C2848" s="200" t="s">
        <v>6951</v>
      </c>
      <c r="F2848" s="758"/>
    </row>
    <row r="2849" spans="3:20" ht="31.2" customHeight="1">
      <c r="C2849" s="200" t="s">
        <v>6952</v>
      </c>
      <c r="F2849" s="758"/>
    </row>
    <row r="2850" spans="3:20" ht="31.2" customHeight="1">
      <c r="C2850" s="200"/>
      <c r="F2850" s="758"/>
    </row>
    <row r="2851" spans="3:20" s="517" customFormat="1" ht="31.2" customHeight="1" thickBot="1">
      <c r="C2851" s="513" t="s">
        <v>7170</v>
      </c>
      <c r="D2851" s="748" t="s">
        <v>7171</v>
      </c>
      <c r="E2851" s="749"/>
      <c r="F2851" s="748"/>
      <c r="G2851" s="748"/>
      <c r="H2851" s="532"/>
      <c r="I2851" s="532"/>
      <c r="J2851" s="532"/>
      <c r="K2851" s="532"/>
      <c r="M2851" s="189"/>
      <c r="N2851" s="189"/>
      <c r="O2851" s="189"/>
      <c r="P2851" s="189"/>
      <c r="R2851" s="189">
        <f>ROUNDDOWN(H2874,-2)</f>
        <v>18300</v>
      </c>
      <c r="S2851" s="517" t="s">
        <v>6451</v>
      </c>
      <c r="T2851" s="517" t="s">
        <v>7014</v>
      </c>
    </row>
    <row r="2852" spans="3:20" s="517" customFormat="1" ht="31.2" customHeight="1" thickTop="1">
      <c r="C2852" s="190" t="s">
        <v>1195</v>
      </c>
      <c r="D2852" s="191" t="s">
        <v>1196</v>
      </c>
      <c r="E2852" s="191" t="s">
        <v>1197</v>
      </c>
      <c r="F2852" s="191" t="s">
        <v>1198</v>
      </c>
      <c r="G2852" s="191" t="s">
        <v>1199</v>
      </c>
      <c r="H2852" s="192" t="s">
        <v>1200</v>
      </c>
      <c r="L2852" s="200"/>
      <c r="M2852" s="200"/>
      <c r="N2852" s="200"/>
      <c r="O2852" s="200"/>
      <c r="P2852" s="200"/>
    </row>
    <row r="2853" spans="3:20" s="517" customFormat="1" ht="31.2" customHeight="1">
      <c r="C2853" s="518" t="s">
        <v>1201</v>
      </c>
      <c r="D2853" s="196" t="s">
        <v>1202</v>
      </c>
      <c r="E2853" s="197"/>
      <c r="F2853" s="197"/>
      <c r="G2853" s="197"/>
      <c r="H2853" s="198"/>
      <c r="L2853" s="200"/>
      <c r="M2853" s="200"/>
      <c r="N2853" s="200"/>
      <c r="O2853" s="200"/>
      <c r="P2853" s="200"/>
    </row>
    <row r="2854" spans="3:20" s="517" customFormat="1" ht="31.2" customHeight="1">
      <c r="C2854" s="518">
        <v>1</v>
      </c>
      <c r="D2854" s="196" t="s">
        <v>5</v>
      </c>
      <c r="E2854" s="203" t="s">
        <v>2102</v>
      </c>
      <c r="F2854" s="763">
        <v>0.04</v>
      </c>
      <c r="G2854" s="205">
        <f>VLOOKUP(D2854,upahbahan,3,FALSE)</f>
        <v>100000</v>
      </c>
      <c r="H2854" s="210">
        <f t="shared" ref="H2854:H2857" si="195">F2854*G2854</f>
        <v>4000</v>
      </c>
      <c r="L2854" s="200"/>
      <c r="M2854" s="200"/>
      <c r="N2854" s="200"/>
      <c r="O2854" s="200"/>
      <c r="P2854" s="200"/>
    </row>
    <row r="2855" spans="3:20" s="517" customFormat="1" ht="31.2" customHeight="1">
      <c r="C2855" s="537">
        <v>2</v>
      </c>
      <c r="D2855" s="196" t="s">
        <v>6954</v>
      </c>
      <c r="E2855" s="202" t="s">
        <v>6</v>
      </c>
      <c r="F2855" s="520">
        <v>0.04</v>
      </c>
      <c r="G2855" s="205">
        <f>VLOOKUP(D2855,upahbahan,3,FALSE)</f>
        <v>181250</v>
      </c>
      <c r="H2855" s="210">
        <f t="shared" si="195"/>
        <v>7250</v>
      </c>
      <c r="L2855" s="200"/>
      <c r="M2855" s="200"/>
      <c r="N2855" s="200"/>
      <c r="O2855" s="200"/>
      <c r="P2855" s="200"/>
    </row>
    <row r="2856" spans="3:20" s="517" customFormat="1" ht="31.2" customHeight="1">
      <c r="C2856" s="537">
        <v>3</v>
      </c>
      <c r="D2856" s="196" t="s">
        <v>6948</v>
      </c>
      <c r="E2856" s="202" t="s">
        <v>2102</v>
      </c>
      <c r="F2856" s="520">
        <v>0.02</v>
      </c>
      <c r="G2856" s="205">
        <f>VLOOKUP(D2856,upahbahan,3,FALSE)</f>
        <v>218750</v>
      </c>
      <c r="H2856" s="210">
        <f t="shared" si="195"/>
        <v>4375</v>
      </c>
      <c r="L2856" s="200"/>
      <c r="M2856" s="200"/>
      <c r="N2856" s="200"/>
      <c r="O2856" s="200"/>
      <c r="P2856" s="200"/>
    </row>
    <row r="2857" spans="3:20" s="517" customFormat="1" ht="31.2" customHeight="1">
      <c r="C2857" s="537">
        <v>4</v>
      </c>
      <c r="D2857" s="196" t="s">
        <v>19</v>
      </c>
      <c r="E2857" s="202" t="s">
        <v>6</v>
      </c>
      <c r="F2857" s="520">
        <v>6.7000000000000002E-3</v>
      </c>
      <c r="G2857" s="205">
        <f>VLOOKUP(D2857,upahbahan,3,FALSE)</f>
        <v>160000</v>
      </c>
      <c r="H2857" s="210">
        <f t="shared" si="195"/>
        <v>1072</v>
      </c>
      <c r="L2857" s="200"/>
      <c r="M2857" s="200"/>
      <c r="N2857" s="200"/>
      <c r="O2857" s="200"/>
      <c r="P2857" s="200"/>
    </row>
    <row r="2858" spans="3:20" s="517" customFormat="1" ht="31.2" customHeight="1">
      <c r="C2858" s="207" t="s">
        <v>1208</v>
      </c>
      <c r="D2858" s="208"/>
      <c r="E2858" s="208"/>
      <c r="F2858" s="521"/>
      <c r="G2858" s="522"/>
      <c r="H2858" s="210">
        <f>SUM(H2854:H2857)</f>
        <v>16697</v>
      </c>
      <c r="L2858" s="523"/>
      <c r="M2858" s="523"/>
      <c r="N2858" s="523"/>
      <c r="O2858" s="523"/>
      <c r="P2858" s="523"/>
    </row>
    <row r="2859" spans="3:20" s="517" customFormat="1" ht="31.2" customHeight="1">
      <c r="C2859" s="543" t="s">
        <v>1209</v>
      </c>
      <c r="D2859" s="750" t="s">
        <v>1210</v>
      </c>
      <c r="E2859" s="197"/>
      <c r="F2859" s="751"/>
      <c r="G2859" s="197"/>
      <c r="H2859" s="752"/>
      <c r="L2859" s="200"/>
      <c r="M2859" s="200"/>
      <c r="N2859" s="200"/>
      <c r="O2859" s="200"/>
      <c r="P2859" s="200"/>
    </row>
    <row r="2860" spans="3:20" s="517" customFormat="1" ht="31.2" customHeight="1">
      <c r="C2860" s="543">
        <v>1</v>
      </c>
      <c r="D2860" s="750" t="s">
        <v>7172</v>
      </c>
      <c r="E2860" s="203" t="s">
        <v>44</v>
      </c>
      <c r="F2860" s="753">
        <v>1.05</v>
      </c>
      <c r="G2860" s="205">
        <f>VLOOKUP(D2860,upahbahan,3,FALSE)</f>
        <v>0</v>
      </c>
      <c r="H2860" s="210">
        <f t="shared" ref="H2860:H2868" si="196">F2860*G2860</f>
        <v>0</v>
      </c>
      <c r="L2860" s="200"/>
      <c r="M2860" s="200"/>
      <c r="N2860" s="200"/>
      <c r="O2860" s="200"/>
      <c r="P2860" s="200"/>
    </row>
    <row r="2861" spans="3:20" s="517" customFormat="1" ht="31.2" customHeight="1">
      <c r="C2861" s="543">
        <v>2</v>
      </c>
      <c r="D2861" s="750" t="s">
        <v>5563</v>
      </c>
      <c r="E2861" s="203" t="s">
        <v>65</v>
      </c>
      <c r="F2861" s="753">
        <v>0.02</v>
      </c>
      <c r="G2861" s="205">
        <f>VLOOKUP(D2861,upahbahan,3,FALSE)</f>
        <v>0</v>
      </c>
      <c r="H2861" s="210">
        <f t="shared" si="196"/>
        <v>0</v>
      </c>
      <c r="L2861" s="200"/>
      <c r="M2861" s="200"/>
      <c r="N2861" s="200"/>
      <c r="O2861" s="200"/>
      <c r="P2861" s="200"/>
    </row>
    <row r="2862" spans="3:20" s="517" customFormat="1" ht="31.2" customHeight="1">
      <c r="C2862" s="543">
        <v>3</v>
      </c>
      <c r="D2862" s="750" t="s">
        <v>5555</v>
      </c>
      <c r="E2862" s="203"/>
      <c r="F2862" s="753"/>
      <c r="G2862" s="197"/>
      <c r="H2862" s="210">
        <f t="shared" si="196"/>
        <v>0</v>
      </c>
      <c r="L2862" s="200"/>
      <c r="M2862" s="200"/>
      <c r="N2862" s="200"/>
      <c r="O2862" s="200"/>
      <c r="P2862" s="200"/>
    </row>
    <row r="2863" spans="3:20" s="517" customFormat="1" ht="31.2" customHeight="1">
      <c r="C2863" s="754" t="s">
        <v>5293</v>
      </c>
      <c r="D2863" s="750" t="s">
        <v>7142</v>
      </c>
      <c r="E2863" s="203" t="s">
        <v>113</v>
      </c>
      <c r="F2863" s="760">
        <v>18</v>
      </c>
      <c r="G2863" s="205">
        <f>VLOOKUP(D2863,upahbahan,3,FALSE)</f>
        <v>0</v>
      </c>
      <c r="H2863" s="210">
        <f t="shared" si="196"/>
        <v>0</v>
      </c>
      <c r="L2863" s="200"/>
      <c r="M2863" s="200"/>
      <c r="N2863" s="200"/>
      <c r="O2863" s="200"/>
      <c r="P2863" s="200"/>
    </row>
    <row r="2864" spans="3:20" s="517" customFormat="1" ht="31.2" customHeight="1">
      <c r="C2864" s="754" t="s">
        <v>5299</v>
      </c>
      <c r="D2864" s="750" t="s">
        <v>7055</v>
      </c>
      <c r="E2864" s="203" t="s">
        <v>113</v>
      </c>
      <c r="F2864" s="760">
        <v>10</v>
      </c>
      <c r="G2864" s="205">
        <f>VLOOKUP(D2864,upahbahan,3,FALSE)</f>
        <v>0</v>
      </c>
      <c r="H2864" s="210">
        <f t="shared" si="196"/>
        <v>0</v>
      </c>
      <c r="L2864" s="200"/>
      <c r="M2864" s="200"/>
      <c r="N2864" s="200"/>
      <c r="O2864" s="200"/>
      <c r="P2864" s="200"/>
    </row>
    <row r="2865" spans="3:20" s="517" customFormat="1" ht="31.2" customHeight="1">
      <c r="C2865" s="543">
        <v>4</v>
      </c>
      <c r="D2865" s="750" t="s">
        <v>5556</v>
      </c>
      <c r="E2865" s="203"/>
      <c r="F2865" s="753"/>
      <c r="G2865" s="197"/>
      <c r="H2865" s="210">
        <f t="shared" si="196"/>
        <v>0</v>
      </c>
      <c r="L2865" s="200"/>
      <c r="M2865" s="200"/>
      <c r="N2865" s="200"/>
      <c r="O2865" s="200"/>
      <c r="P2865" s="200"/>
    </row>
    <row r="2866" spans="3:20" s="517" customFormat="1" ht="31.2" customHeight="1">
      <c r="C2866" s="754" t="s">
        <v>5293</v>
      </c>
      <c r="D2866" s="750" t="s">
        <v>2084</v>
      </c>
      <c r="E2866" s="203" t="s">
        <v>42</v>
      </c>
      <c r="F2866" s="753">
        <v>9.8000000000000004E-2</v>
      </c>
      <c r="G2866" s="205">
        <f>VLOOKUP(D2866,upahbahan,3,FALSE)</f>
        <v>0</v>
      </c>
      <c r="H2866" s="210">
        <f t="shared" si="196"/>
        <v>0</v>
      </c>
      <c r="L2866" s="200"/>
      <c r="M2866" s="200"/>
      <c r="N2866" s="200"/>
      <c r="O2866" s="200"/>
      <c r="P2866" s="200"/>
    </row>
    <row r="2867" spans="3:20" s="517" customFormat="1" ht="31.2" customHeight="1">
      <c r="C2867" s="754" t="s">
        <v>5299</v>
      </c>
      <c r="D2867" s="750" t="s">
        <v>5566</v>
      </c>
      <c r="E2867" s="203" t="s">
        <v>42</v>
      </c>
      <c r="F2867" s="753">
        <v>2.5999999999999999E-2</v>
      </c>
      <c r="G2867" s="205">
        <f>VLOOKUP(D2867,upahbahan,3,FALSE)</f>
        <v>0</v>
      </c>
      <c r="H2867" s="210">
        <f t="shared" si="196"/>
        <v>0</v>
      </c>
      <c r="L2867" s="200"/>
      <c r="M2867" s="200"/>
      <c r="N2867" s="200"/>
      <c r="O2867" s="200"/>
      <c r="P2867" s="200"/>
    </row>
    <row r="2868" spans="3:20" s="517" customFormat="1" ht="31.2" customHeight="1">
      <c r="C2868" s="754" t="s">
        <v>5558</v>
      </c>
      <c r="D2868" s="750" t="s">
        <v>2325</v>
      </c>
      <c r="E2868" s="203" t="s">
        <v>42</v>
      </c>
      <c r="F2868" s="762">
        <v>7.0000000000000001E-3</v>
      </c>
      <c r="G2868" s="205">
        <f>VLOOKUP(D2868,upahbahan,3,FALSE)</f>
        <v>0</v>
      </c>
      <c r="H2868" s="210">
        <f t="shared" si="196"/>
        <v>0</v>
      </c>
      <c r="L2868" s="200"/>
      <c r="M2868" s="200"/>
      <c r="N2868" s="200"/>
      <c r="O2868" s="200"/>
      <c r="P2868" s="200"/>
    </row>
    <row r="2869" spans="3:20" s="517" customFormat="1" ht="31.2" customHeight="1">
      <c r="C2869" s="207" t="s">
        <v>1214</v>
      </c>
      <c r="D2869" s="208"/>
      <c r="E2869" s="568"/>
      <c r="F2869" s="208"/>
      <c r="G2869" s="209"/>
      <c r="H2869" s="210">
        <f>SUM(H2860:H2868)</f>
        <v>0</v>
      </c>
      <c r="L2869" s="200"/>
      <c r="M2869" s="200"/>
      <c r="N2869" s="200"/>
      <c r="O2869" s="200"/>
      <c r="P2869" s="200"/>
    </row>
    <row r="2870" spans="3:20" s="517" customFormat="1" ht="31.2" customHeight="1">
      <c r="C2870" s="756" t="s">
        <v>1215</v>
      </c>
      <c r="D2870" s="196" t="s">
        <v>1216</v>
      </c>
      <c r="E2870" s="203"/>
      <c r="F2870" s="197"/>
      <c r="G2870" s="197"/>
      <c r="H2870" s="198"/>
      <c r="L2870" s="200"/>
      <c r="M2870" s="200"/>
      <c r="N2870" s="200"/>
      <c r="O2870" s="200"/>
      <c r="P2870" s="200"/>
    </row>
    <row r="2871" spans="3:20" s="517" customFormat="1" ht="31.2" customHeight="1">
      <c r="C2871" s="207" t="s">
        <v>1217</v>
      </c>
      <c r="D2871" s="208"/>
      <c r="E2871" s="208"/>
      <c r="F2871" s="208"/>
      <c r="G2871" s="209"/>
      <c r="H2871" s="240">
        <f>SUM(H2870)</f>
        <v>0</v>
      </c>
      <c r="L2871" s="200"/>
      <c r="M2871" s="200"/>
      <c r="N2871" s="200"/>
      <c r="O2871" s="200"/>
      <c r="P2871" s="200"/>
    </row>
    <row r="2872" spans="3:20" s="517" customFormat="1" ht="31.2" customHeight="1">
      <c r="C2872" s="223" t="s">
        <v>1218</v>
      </c>
      <c r="D2872" s="224" t="s">
        <v>1219</v>
      </c>
      <c r="E2872" s="225"/>
      <c r="F2872" s="225"/>
      <c r="G2872" s="226"/>
      <c r="H2872" s="210">
        <f>H2871+H2869+H2858</f>
        <v>16697</v>
      </c>
      <c r="L2872" s="200"/>
      <c r="M2872" s="200"/>
      <c r="N2872" s="200"/>
      <c r="O2872" s="200"/>
      <c r="P2872" s="200"/>
    </row>
    <row r="2873" spans="3:20" s="517" customFormat="1" ht="31.2" customHeight="1">
      <c r="C2873" s="223" t="s">
        <v>1220</v>
      </c>
      <c r="D2873" s="224" t="s">
        <v>1321</v>
      </c>
      <c r="E2873" s="225"/>
      <c r="F2873" s="226"/>
      <c r="G2873" s="228">
        <v>0.1</v>
      </c>
      <c r="H2873" s="210">
        <f>H2872*G2873</f>
        <v>1669.7</v>
      </c>
      <c r="L2873" s="200"/>
      <c r="M2873" s="200"/>
      <c r="N2873" s="200"/>
      <c r="O2873" s="200"/>
      <c r="P2873" s="200"/>
    </row>
    <row r="2874" spans="3:20" s="517" customFormat="1" ht="31.2" customHeight="1" thickBot="1">
      <c r="C2874" s="229" t="s">
        <v>1221</v>
      </c>
      <c r="D2874" s="230" t="s">
        <v>1222</v>
      </c>
      <c r="E2874" s="231"/>
      <c r="F2874" s="231"/>
      <c r="G2874" s="232"/>
      <c r="H2874" s="233">
        <f>SUM(H2872:H2873)</f>
        <v>18366.7</v>
      </c>
      <c r="L2874" s="200"/>
      <c r="M2874" s="200"/>
      <c r="N2874" s="200"/>
      <c r="O2874" s="200"/>
      <c r="P2874" s="200"/>
    </row>
    <row r="2875" spans="3:20" ht="31.2" customHeight="1" thickTop="1">
      <c r="D2875" s="758" t="s">
        <v>7086</v>
      </c>
    </row>
    <row r="2876" spans="3:20" ht="31.2" customHeight="1">
      <c r="C2876" s="757" t="s">
        <v>6950</v>
      </c>
      <c r="F2876" s="758"/>
      <c r="H2876" s="758" t="s">
        <v>6959</v>
      </c>
    </row>
    <row r="2877" spans="3:20" ht="31.2" customHeight="1">
      <c r="C2877" s="200" t="s">
        <v>6951</v>
      </c>
      <c r="F2877" s="758"/>
    </row>
    <row r="2878" spans="3:20" ht="31.2" customHeight="1">
      <c r="C2878" s="200" t="s">
        <v>6952</v>
      </c>
      <c r="F2878" s="758"/>
    </row>
    <row r="2879" spans="3:20" ht="31.2" customHeight="1">
      <c r="C2879" s="200"/>
      <c r="F2879" s="758"/>
    </row>
    <row r="2880" spans="3:20" s="517" customFormat="1" ht="31.2" customHeight="1" thickBot="1">
      <c r="C2880" s="513" t="s">
        <v>7173</v>
      </c>
      <c r="D2880" s="748" t="s">
        <v>7174</v>
      </c>
      <c r="E2880" s="749"/>
      <c r="F2880" s="748"/>
      <c r="G2880" s="748"/>
      <c r="H2880" s="532"/>
      <c r="I2880" s="532"/>
      <c r="J2880" s="532"/>
      <c r="K2880" s="532"/>
      <c r="M2880" s="189"/>
      <c r="N2880" s="189"/>
      <c r="O2880" s="189"/>
      <c r="P2880" s="189"/>
      <c r="R2880" s="189">
        <f>ROUNDDOWN(H2903,-2)</f>
        <v>18300</v>
      </c>
      <c r="S2880" s="517" t="s">
        <v>6451</v>
      </c>
      <c r="T2880" s="517" t="s">
        <v>7014</v>
      </c>
    </row>
    <row r="2881" spans="3:16" s="517" customFormat="1" ht="31.2" customHeight="1" thickTop="1">
      <c r="C2881" s="190" t="s">
        <v>1195</v>
      </c>
      <c r="D2881" s="191" t="s">
        <v>1196</v>
      </c>
      <c r="E2881" s="191" t="s">
        <v>1197</v>
      </c>
      <c r="F2881" s="191" t="s">
        <v>1198</v>
      </c>
      <c r="G2881" s="191" t="s">
        <v>1199</v>
      </c>
      <c r="H2881" s="192" t="s">
        <v>1200</v>
      </c>
      <c r="L2881" s="200"/>
      <c r="M2881" s="200"/>
      <c r="N2881" s="200"/>
      <c r="O2881" s="200"/>
      <c r="P2881" s="200"/>
    </row>
    <row r="2882" spans="3:16" s="517" customFormat="1" ht="31.2" customHeight="1">
      <c r="C2882" s="518" t="s">
        <v>1201</v>
      </c>
      <c r="D2882" s="196" t="s">
        <v>1202</v>
      </c>
      <c r="E2882" s="197"/>
      <c r="F2882" s="197"/>
      <c r="G2882" s="197"/>
      <c r="H2882" s="198"/>
      <c r="L2882" s="200"/>
      <c r="M2882" s="200"/>
      <c r="N2882" s="200"/>
      <c r="O2882" s="200"/>
      <c r="P2882" s="200"/>
    </row>
    <row r="2883" spans="3:16" s="517" customFormat="1" ht="31.2" customHeight="1">
      <c r="C2883" s="518">
        <v>1</v>
      </c>
      <c r="D2883" s="196" t="s">
        <v>5</v>
      </c>
      <c r="E2883" s="203" t="s">
        <v>2102</v>
      </c>
      <c r="F2883" s="763">
        <v>0.04</v>
      </c>
      <c r="G2883" s="205">
        <f>VLOOKUP(D2883,upahbahan,3,FALSE)</f>
        <v>100000</v>
      </c>
      <c r="H2883" s="210">
        <f t="shared" ref="H2883:H2886" si="197">F2883*G2883</f>
        <v>4000</v>
      </c>
      <c r="L2883" s="200"/>
      <c r="M2883" s="200"/>
      <c r="N2883" s="200"/>
      <c r="O2883" s="200"/>
      <c r="P2883" s="200"/>
    </row>
    <row r="2884" spans="3:16" s="517" customFormat="1" ht="31.2" customHeight="1">
      <c r="C2884" s="537">
        <v>2</v>
      </c>
      <c r="D2884" s="196" t="s">
        <v>6954</v>
      </c>
      <c r="E2884" s="202" t="s">
        <v>6</v>
      </c>
      <c r="F2884" s="520">
        <v>0.04</v>
      </c>
      <c r="G2884" s="205">
        <f>VLOOKUP(D2884,upahbahan,3,FALSE)</f>
        <v>181250</v>
      </c>
      <c r="H2884" s="210">
        <f t="shared" si="197"/>
        <v>7250</v>
      </c>
      <c r="L2884" s="200"/>
      <c r="M2884" s="200"/>
      <c r="N2884" s="200"/>
      <c r="O2884" s="200"/>
      <c r="P2884" s="200"/>
    </row>
    <row r="2885" spans="3:16" s="517" customFormat="1" ht="31.2" customHeight="1">
      <c r="C2885" s="537">
        <v>3</v>
      </c>
      <c r="D2885" s="196" t="s">
        <v>6948</v>
      </c>
      <c r="E2885" s="202" t="s">
        <v>2102</v>
      </c>
      <c r="F2885" s="520">
        <v>0.02</v>
      </c>
      <c r="G2885" s="205">
        <f>VLOOKUP(D2885,upahbahan,3,FALSE)</f>
        <v>218750</v>
      </c>
      <c r="H2885" s="210">
        <f t="shared" si="197"/>
        <v>4375</v>
      </c>
      <c r="L2885" s="200"/>
      <c r="M2885" s="200"/>
      <c r="N2885" s="200"/>
      <c r="O2885" s="200"/>
      <c r="P2885" s="200"/>
    </row>
    <row r="2886" spans="3:16" s="517" customFormat="1" ht="31.2" customHeight="1">
      <c r="C2886" s="537">
        <v>4</v>
      </c>
      <c r="D2886" s="196" t="s">
        <v>19</v>
      </c>
      <c r="E2886" s="202" t="s">
        <v>6</v>
      </c>
      <c r="F2886" s="520">
        <v>6.7000000000000002E-3</v>
      </c>
      <c r="G2886" s="205">
        <f>VLOOKUP(D2886,upahbahan,3,FALSE)</f>
        <v>160000</v>
      </c>
      <c r="H2886" s="210">
        <f t="shared" si="197"/>
        <v>1072</v>
      </c>
      <c r="L2886" s="200"/>
      <c r="M2886" s="200"/>
      <c r="N2886" s="200"/>
      <c r="O2886" s="200"/>
      <c r="P2886" s="200"/>
    </row>
    <row r="2887" spans="3:16" s="517" customFormat="1" ht="31.2" customHeight="1">
      <c r="C2887" s="207" t="s">
        <v>1208</v>
      </c>
      <c r="D2887" s="208"/>
      <c r="E2887" s="208"/>
      <c r="F2887" s="521"/>
      <c r="G2887" s="522"/>
      <c r="H2887" s="210">
        <f>SUM(H2883:H2886)</f>
        <v>16697</v>
      </c>
      <c r="L2887" s="523"/>
      <c r="M2887" s="523"/>
      <c r="N2887" s="523"/>
      <c r="O2887" s="523"/>
      <c r="P2887" s="523"/>
    </row>
    <row r="2888" spans="3:16" s="517" customFormat="1" ht="31.2" customHeight="1">
      <c r="C2888" s="543" t="s">
        <v>1209</v>
      </c>
      <c r="D2888" s="750" t="s">
        <v>1210</v>
      </c>
      <c r="E2888" s="197"/>
      <c r="F2888" s="751"/>
      <c r="G2888" s="197"/>
      <c r="H2888" s="752"/>
      <c r="L2888" s="200"/>
      <c r="M2888" s="200"/>
      <c r="N2888" s="200"/>
      <c r="O2888" s="200"/>
      <c r="P2888" s="200"/>
    </row>
    <row r="2889" spans="3:16" s="517" customFormat="1" ht="31.2" customHeight="1">
      <c r="C2889" s="543">
        <v>1</v>
      </c>
      <c r="D2889" s="750" t="s">
        <v>7175</v>
      </c>
      <c r="E2889" s="203" t="s">
        <v>44</v>
      </c>
      <c r="F2889" s="753">
        <v>1.05</v>
      </c>
      <c r="G2889" s="205">
        <f>VLOOKUP(D2889,upahbahan,3,FALSE)</f>
        <v>0</v>
      </c>
      <c r="H2889" s="210">
        <f t="shared" ref="H2889:H2897" si="198">F2889*G2889</f>
        <v>0</v>
      </c>
      <c r="L2889" s="200"/>
      <c r="M2889" s="200"/>
      <c r="N2889" s="200"/>
      <c r="O2889" s="200"/>
      <c r="P2889" s="200"/>
    </row>
    <row r="2890" spans="3:16" s="517" customFormat="1" ht="31.2" customHeight="1">
      <c r="C2890" s="543">
        <v>2</v>
      </c>
      <c r="D2890" s="750" t="s">
        <v>5563</v>
      </c>
      <c r="E2890" s="203" t="s">
        <v>65</v>
      </c>
      <c r="F2890" s="753">
        <v>0.02</v>
      </c>
      <c r="G2890" s="205">
        <f>VLOOKUP(D2890,upahbahan,3,FALSE)</f>
        <v>0</v>
      </c>
      <c r="H2890" s="210">
        <f t="shared" si="198"/>
        <v>0</v>
      </c>
      <c r="L2890" s="200"/>
      <c r="M2890" s="200"/>
      <c r="N2890" s="200"/>
      <c r="O2890" s="200"/>
      <c r="P2890" s="200"/>
    </row>
    <row r="2891" spans="3:16" s="517" customFormat="1" ht="31.2" customHeight="1">
      <c r="C2891" s="543">
        <v>3</v>
      </c>
      <c r="D2891" s="750" t="s">
        <v>5555</v>
      </c>
      <c r="E2891" s="203"/>
      <c r="F2891" s="753"/>
      <c r="G2891" s="197"/>
      <c r="H2891" s="210">
        <f t="shared" si="198"/>
        <v>0</v>
      </c>
      <c r="L2891" s="200"/>
      <c r="M2891" s="200"/>
      <c r="N2891" s="200"/>
      <c r="O2891" s="200"/>
      <c r="P2891" s="200"/>
    </row>
    <row r="2892" spans="3:16" s="517" customFormat="1" ht="31.2" customHeight="1">
      <c r="C2892" s="754" t="s">
        <v>5293</v>
      </c>
      <c r="D2892" s="750" t="s">
        <v>7142</v>
      </c>
      <c r="E2892" s="203" t="s">
        <v>113</v>
      </c>
      <c r="F2892" s="760">
        <v>18</v>
      </c>
      <c r="G2892" s="205">
        <f>VLOOKUP(D2892,upahbahan,3,FALSE)</f>
        <v>0</v>
      </c>
      <c r="H2892" s="210">
        <f t="shared" si="198"/>
        <v>0</v>
      </c>
      <c r="L2892" s="200"/>
      <c r="M2892" s="200"/>
      <c r="N2892" s="200"/>
      <c r="O2892" s="200"/>
      <c r="P2892" s="200"/>
    </row>
    <row r="2893" spans="3:16" s="517" customFormat="1" ht="31.2" customHeight="1">
      <c r="C2893" s="754" t="s">
        <v>5299</v>
      </c>
      <c r="D2893" s="750" t="s">
        <v>7055</v>
      </c>
      <c r="E2893" s="203" t="s">
        <v>113</v>
      </c>
      <c r="F2893" s="760">
        <v>10</v>
      </c>
      <c r="G2893" s="205">
        <f>VLOOKUP(D2893,upahbahan,3,FALSE)</f>
        <v>0</v>
      </c>
      <c r="H2893" s="210">
        <f t="shared" si="198"/>
        <v>0</v>
      </c>
      <c r="L2893" s="200"/>
      <c r="M2893" s="200"/>
      <c r="N2893" s="200"/>
      <c r="O2893" s="200"/>
      <c r="P2893" s="200"/>
    </row>
    <row r="2894" spans="3:16" s="517" customFormat="1" ht="31.2" customHeight="1">
      <c r="C2894" s="543">
        <v>4</v>
      </c>
      <c r="D2894" s="750" t="s">
        <v>5556</v>
      </c>
      <c r="E2894" s="203"/>
      <c r="F2894" s="753"/>
      <c r="G2894" s="197"/>
      <c r="H2894" s="210">
        <f t="shared" si="198"/>
        <v>0</v>
      </c>
      <c r="L2894" s="200"/>
      <c r="M2894" s="200"/>
      <c r="N2894" s="200"/>
      <c r="O2894" s="200"/>
      <c r="P2894" s="200"/>
    </row>
    <row r="2895" spans="3:16" s="517" customFormat="1" ht="31.2" customHeight="1">
      <c r="C2895" s="754" t="s">
        <v>5293</v>
      </c>
      <c r="D2895" s="750" t="s">
        <v>2084</v>
      </c>
      <c r="E2895" s="203" t="s">
        <v>42</v>
      </c>
      <c r="F2895" s="753">
        <v>9.8000000000000004E-2</v>
      </c>
      <c r="G2895" s="205">
        <f>VLOOKUP(D2895,upahbahan,3,FALSE)</f>
        <v>0</v>
      </c>
      <c r="H2895" s="210">
        <f t="shared" si="198"/>
        <v>0</v>
      </c>
      <c r="L2895" s="200"/>
      <c r="M2895" s="200"/>
      <c r="N2895" s="200"/>
      <c r="O2895" s="200"/>
      <c r="P2895" s="200"/>
    </row>
    <row r="2896" spans="3:16" s="517" customFormat="1" ht="31.2" customHeight="1">
      <c r="C2896" s="754" t="s">
        <v>5299</v>
      </c>
      <c r="D2896" s="750" t="s">
        <v>5566</v>
      </c>
      <c r="E2896" s="203" t="s">
        <v>42</v>
      </c>
      <c r="F2896" s="753">
        <v>2.5999999999999999E-2</v>
      </c>
      <c r="G2896" s="205">
        <f>VLOOKUP(D2896,upahbahan,3,FALSE)</f>
        <v>0</v>
      </c>
      <c r="H2896" s="210">
        <f t="shared" si="198"/>
        <v>0</v>
      </c>
      <c r="L2896" s="200"/>
      <c r="M2896" s="200"/>
      <c r="N2896" s="200"/>
      <c r="O2896" s="200"/>
      <c r="P2896" s="200"/>
    </row>
    <row r="2897" spans="3:20" s="517" customFormat="1" ht="31.2" customHeight="1">
      <c r="C2897" s="754" t="s">
        <v>5558</v>
      </c>
      <c r="D2897" s="750" t="s">
        <v>2325</v>
      </c>
      <c r="E2897" s="203" t="s">
        <v>42</v>
      </c>
      <c r="F2897" s="762">
        <v>7.0000000000000001E-3</v>
      </c>
      <c r="G2897" s="205">
        <f>VLOOKUP(D2897,upahbahan,3,FALSE)</f>
        <v>0</v>
      </c>
      <c r="H2897" s="210">
        <f t="shared" si="198"/>
        <v>0</v>
      </c>
      <c r="L2897" s="200"/>
      <c r="M2897" s="200"/>
      <c r="N2897" s="200"/>
      <c r="O2897" s="200"/>
      <c r="P2897" s="200"/>
    </row>
    <row r="2898" spans="3:20" s="517" customFormat="1" ht="31.2" customHeight="1">
      <c r="C2898" s="207" t="s">
        <v>1214</v>
      </c>
      <c r="D2898" s="208"/>
      <c r="E2898" s="568"/>
      <c r="F2898" s="208"/>
      <c r="G2898" s="209"/>
      <c r="H2898" s="210">
        <f>SUM(H2889:H2897)</f>
        <v>0</v>
      </c>
      <c r="L2898" s="200"/>
      <c r="M2898" s="200"/>
      <c r="N2898" s="200"/>
      <c r="O2898" s="200"/>
      <c r="P2898" s="200"/>
    </row>
    <row r="2899" spans="3:20" s="517" customFormat="1" ht="31.2" customHeight="1">
      <c r="C2899" s="756" t="s">
        <v>1215</v>
      </c>
      <c r="D2899" s="196" t="s">
        <v>1216</v>
      </c>
      <c r="E2899" s="203"/>
      <c r="F2899" s="197"/>
      <c r="G2899" s="197"/>
      <c r="H2899" s="198"/>
      <c r="L2899" s="200"/>
      <c r="M2899" s="200"/>
      <c r="N2899" s="200"/>
      <c r="O2899" s="200"/>
      <c r="P2899" s="200"/>
    </row>
    <row r="2900" spans="3:20" s="517" customFormat="1" ht="31.2" customHeight="1">
      <c r="C2900" s="207" t="s">
        <v>1217</v>
      </c>
      <c r="D2900" s="208"/>
      <c r="E2900" s="208"/>
      <c r="F2900" s="208"/>
      <c r="G2900" s="209"/>
      <c r="H2900" s="240">
        <f>SUM(H2899)</f>
        <v>0</v>
      </c>
      <c r="L2900" s="200"/>
      <c r="M2900" s="200"/>
      <c r="N2900" s="200"/>
      <c r="O2900" s="200"/>
      <c r="P2900" s="200"/>
    </row>
    <row r="2901" spans="3:20" s="517" customFormat="1" ht="31.2" customHeight="1">
      <c r="C2901" s="223" t="s">
        <v>1218</v>
      </c>
      <c r="D2901" s="224" t="s">
        <v>1219</v>
      </c>
      <c r="E2901" s="225"/>
      <c r="F2901" s="225"/>
      <c r="G2901" s="226"/>
      <c r="H2901" s="210">
        <f>H2900+H2898+H2887</f>
        <v>16697</v>
      </c>
      <c r="L2901" s="200"/>
      <c r="M2901" s="200"/>
      <c r="N2901" s="200"/>
      <c r="O2901" s="200"/>
      <c r="P2901" s="200"/>
    </row>
    <row r="2902" spans="3:20" s="517" customFormat="1" ht="31.2" customHeight="1">
      <c r="C2902" s="223" t="s">
        <v>1220</v>
      </c>
      <c r="D2902" s="224" t="s">
        <v>1321</v>
      </c>
      <c r="E2902" s="225"/>
      <c r="F2902" s="226"/>
      <c r="G2902" s="228">
        <v>0.1</v>
      </c>
      <c r="H2902" s="210">
        <f>H2901*G2902</f>
        <v>1669.7</v>
      </c>
      <c r="L2902" s="200"/>
      <c r="M2902" s="200"/>
      <c r="N2902" s="200"/>
      <c r="O2902" s="200"/>
      <c r="P2902" s="200"/>
    </row>
    <row r="2903" spans="3:20" s="517" customFormat="1" ht="31.2" customHeight="1" thickBot="1">
      <c r="C2903" s="229" t="s">
        <v>1221</v>
      </c>
      <c r="D2903" s="230" t="s">
        <v>1222</v>
      </c>
      <c r="E2903" s="231"/>
      <c r="F2903" s="231"/>
      <c r="G2903" s="232"/>
      <c r="H2903" s="233">
        <f>SUM(H2901:H2902)</f>
        <v>18366.7</v>
      </c>
      <c r="L2903" s="200"/>
      <c r="M2903" s="200"/>
      <c r="N2903" s="200"/>
      <c r="O2903" s="200"/>
      <c r="P2903" s="200"/>
    </row>
    <row r="2904" spans="3:20" ht="31.2" customHeight="1" thickTop="1">
      <c r="D2904" s="758" t="s">
        <v>7086</v>
      </c>
    </row>
    <row r="2905" spans="3:20" ht="31.2" customHeight="1">
      <c r="C2905" s="757" t="s">
        <v>6950</v>
      </c>
      <c r="F2905" s="758"/>
      <c r="H2905" s="758" t="s">
        <v>6959</v>
      </c>
    </row>
    <row r="2906" spans="3:20" ht="31.2" customHeight="1">
      <c r="C2906" s="200" t="s">
        <v>6951</v>
      </c>
      <c r="F2906" s="758"/>
    </row>
    <row r="2907" spans="3:20" ht="31.2" customHeight="1">
      <c r="C2907" s="200" t="s">
        <v>6952</v>
      </c>
      <c r="F2907" s="758"/>
    </row>
    <row r="2908" spans="3:20" ht="31.2" customHeight="1">
      <c r="C2908" s="200"/>
      <c r="F2908" s="758"/>
    </row>
    <row r="2909" spans="3:20" s="517" customFormat="1" ht="31.2" customHeight="1" thickBot="1">
      <c r="C2909" s="513" t="s">
        <v>7176</v>
      </c>
      <c r="D2909" s="748" t="s">
        <v>7177</v>
      </c>
      <c r="E2909" s="749"/>
      <c r="F2909" s="748"/>
      <c r="G2909" s="748"/>
      <c r="H2909" s="532"/>
      <c r="I2909" s="532"/>
      <c r="J2909" s="532"/>
      <c r="K2909" s="532"/>
      <c r="M2909" s="189"/>
      <c r="N2909" s="189"/>
      <c r="O2909" s="189"/>
      <c r="P2909" s="189"/>
      <c r="R2909" s="189">
        <f>ROUNDDOWN(H2932,-2)</f>
        <v>18300</v>
      </c>
      <c r="S2909" s="517" t="s">
        <v>6451</v>
      </c>
      <c r="T2909" s="517" t="s">
        <v>7014</v>
      </c>
    </row>
    <row r="2910" spans="3:20" s="517" customFormat="1" ht="31.2" customHeight="1" thickTop="1">
      <c r="C2910" s="190" t="s">
        <v>1195</v>
      </c>
      <c r="D2910" s="191" t="s">
        <v>1196</v>
      </c>
      <c r="E2910" s="191" t="s">
        <v>1197</v>
      </c>
      <c r="F2910" s="191" t="s">
        <v>1198</v>
      </c>
      <c r="G2910" s="191" t="s">
        <v>1199</v>
      </c>
      <c r="H2910" s="192" t="s">
        <v>1200</v>
      </c>
      <c r="L2910" s="200"/>
      <c r="M2910" s="200"/>
      <c r="N2910" s="200"/>
      <c r="O2910" s="200"/>
      <c r="P2910" s="200"/>
    </row>
    <row r="2911" spans="3:20" s="517" customFormat="1" ht="31.2" customHeight="1">
      <c r="C2911" s="518" t="s">
        <v>1201</v>
      </c>
      <c r="D2911" s="196" t="s">
        <v>1202</v>
      </c>
      <c r="E2911" s="197"/>
      <c r="F2911" s="197"/>
      <c r="G2911" s="197"/>
      <c r="H2911" s="198"/>
      <c r="L2911" s="200"/>
      <c r="M2911" s="200"/>
      <c r="N2911" s="200"/>
      <c r="O2911" s="200"/>
      <c r="P2911" s="200"/>
    </row>
    <row r="2912" spans="3:20" s="517" customFormat="1" ht="31.2" customHeight="1">
      <c r="C2912" s="518">
        <v>1</v>
      </c>
      <c r="D2912" s="196" t="s">
        <v>5</v>
      </c>
      <c r="E2912" s="203" t="s">
        <v>2102</v>
      </c>
      <c r="F2912" s="763">
        <v>0.04</v>
      </c>
      <c r="G2912" s="205">
        <f>VLOOKUP(D2912,upahbahan,3,FALSE)</f>
        <v>100000</v>
      </c>
      <c r="H2912" s="210">
        <f t="shared" ref="H2912:H2915" si="199">F2912*G2912</f>
        <v>4000</v>
      </c>
      <c r="L2912" s="200"/>
      <c r="M2912" s="200"/>
      <c r="N2912" s="200"/>
      <c r="O2912" s="200"/>
      <c r="P2912" s="200"/>
    </row>
    <row r="2913" spans="3:16" s="517" customFormat="1" ht="31.2" customHeight="1">
      <c r="C2913" s="537">
        <v>2</v>
      </c>
      <c r="D2913" s="196" t="s">
        <v>6954</v>
      </c>
      <c r="E2913" s="202" t="s">
        <v>6</v>
      </c>
      <c r="F2913" s="520">
        <v>0.04</v>
      </c>
      <c r="G2913" s="205">
        <f>VLOOKUP(D2913,upahbahan,3,FALSE)</f>
        <v>181250</v>
      </c>
      <c r="H2913" s="210">
        <f t="shared" si="199"/>
        <v>7250</v>
      </c>
      <c r="L2913" s="200"/>
      <c r="M2913" s="200"/>
      <c r="N2913" s="200"/>
      <c r="O2913" s="200"/>
      <c r="P2913" s="200"/>
    </row>
    <row r="2914" spans="3:16" s="517" customFormat="1" ht="31.2" customHeight="1">
      <c r="C2914" s="537">
        <v>3</v>
      </c>
      <c r="D2914" s="196" t="s">
        <v>6948</v>
      </c>
      <c r="E2914" s="202" t="s">
        <v>2102</v>
      </c>
      <c r="F2914" s="520">
        <v>0.02</v>
      </c>
      <c r="G2914" s="205">
        <f>VLOOKUP(D2914,upahbahan,3,FALSE)</f>
        <v>218750</v>
      </c>
      <c r="H2914" s="210">
        <f t="shared" si="199"/>
        <v>4375</v>
      </c>
      <c r="L2914" s="200"/>
      <c r="M2914" s="200"/>
      <c r="N2914" s="200"/>
      <c r="O2914" s="200"/>
      <c r="P2914" s="200"/>
    </row>
    <row r="2915" spans="3:16" s="517" customFormat="1" ht="31.2" customHeight="1">
      <c r="C2915" s="537">
        <v>4</v>
      </c>
      <c r="D2915" s="196" t="s">
        <v>19</v>
      </c>
      <c r="E2915" s="202" t="s">
        <v>6</v>
      </c>
      <c r="F2915" s="520">
        <v>6.7000000000000002E-3</v>
      </c>
      <c r="G2915" s="205">
        <f>VLOOKUP(D2915,upahbahan,3,FALSE)</f>
        <v>160000</v>
      </c>
      <c r="H2915" s="210">
        <f t="shared" si="199"/>
        <v>1072</v>
      </c>
      <c r="L2915" s="200"/>
      <c r="M2915" s="200"/>
      <c r="N2915" s="200"/>
      <c r="O2915" s="200"/>
      <c r="P2915" s="200"/>
    </row>
    <row r="2916" spans="3:16" s="517" customFormat="1" ht="31.2" customHeight="1">
      <c r="C2916" s="207" t="s">
        <v>1208</v>
      </c>
      <c r="D2916" s="208"/>
      <c r="E2916" s="208"/>
      <c r="F2916" s="521"/>
      <c r="G2916" s="522"/>
      <c r="H2916" s="210">
        <f>SUM(H2912:H2915)</f>
        <v>16697</v>
      </c>
      <c r="L2916" s="523"/>
      <c r="M2916" s="523"/>
      <c r="N2916" s="523"/>
      <c r="O2916" s="523"/>
      <c r="P2916" s="523"/>
    </row>
    <row r="2917" spans="3:16" s="517" customFormat="1" ht="31.2" customHeight="1">
      <c r="C2917" s="543" t="s">
        <v>1209</v>
      </c>
      <c r="D2917" s="750" t="s">
        <v>1210</v>
      </c>
      <c r="E2917" s="197"/>
      <c r="F2917" s="751"/>
      <c r="G2917" s="197"/>
      <c r="H2917" s="752"/>
      <c r="L2917" s="200"/>
      <c r="M2917" s="200"/>
      <c r="N2917" s="200"/>
      <c r="O2917" s="200"/>
      <c r="P2917" s="200"/>
    </row>
    <row r="2918" spans="3:16" s="517" customFormat="1" ht="31.2" customHeight="1">
      <c r="C2918" s="543">
        <v>1</v>
      </c>
      <c r="D2918" s="750" t="s">
        <v>7178</v>
      </c>
      <c r="E2918" s="203" t="s">
        <v>44</v>
      </c>
      <c r="F2918" s="753">
        <v>1.05</v>
      </c>
      <c r="G2918" s="205">
        <f>VLOOKUP(D2918,upahbahan,3,FALSE)</f>
        <v>0</v>
      </c>
      <c r="H2918" s="210">
        <f t="shared" ref="H2918:H2926" si="200">F2918*G2918</f>
        <v>0</v>
      </c>
      <c r="L2918" s="200"/>
      <c r="M2918" s="200"/>
      <c r="N2918" s="200"/>
      <c r="O2918" s="200"/>
      <c r="P2918" s="200"/>
    </row>
    <row r="2919" spans="3:16" s="517" customFormat="1" ht="31.2" customHeight="1">
      <c r="C2919" s="543">
        <v>2</v>
      </c>
      <c r="D2919" s="750" t="s">
        <v>5563</v>
      </c>
      <c r="E2919" s="203" t="s">
        <v>65</v>
      </c>
      <c r="F2919" s="753">
        <v>0.02</v>
      </c>
      <c r="G2919" s="205">
        <f>VLOOKUP(D2919,upahbahan,3,FALSE)</f>
        <v>0</v>
      </c>
      <c r="H2919" s="210">
        <f t="shared" si="200"/>
        <v>0</v>
      </c>
      <c r="L2919" s="200"/>
      <c r="M2919" s="200"/>
      <c r="N2919" s="200"/>
      <c r="O2919" s="200"/>
      <c r="P2919" s="200"/>
    </row>
    <row r="2920" spans="3:16" s="517" customFormat="1" ht="31.2" customHeight="1">
      <c r="C2920" s="543">
        <v>3</v>
      </c>
      <c r="D2920" s="750" t="s">
        <v>5555</v>
      </c>
      <c r="E2920" s="203"/>
      <c r="F2920" s="753"/>
      <c r="G2920" s="197"/>
      <c r="H2920" s="210">
        <f t="shared" si="200"/>
        <v>0</v>
      </c>
      <c r="L2920" s="200"/>
      <c r="M2920" s="200"/>
      <c r="N2920" s="200"/>
      <c r="O2920" s="200"/>
      <c r="P2920" s="200"/>
    </row>
    <row r="2921" spans="3:16" s="517" customFormat="1" ht="31.2" customHeight="1">
      <c r="C2921" s="754" t="s">
        <v>5293</v>
      </c>
      <c r="D2921" s="750" t="s">
        <v>7142</v>
      </c>
      <c r="E2921" s="203" t="s">
        <v>113</v>
      </c>
      <c r="F2921" s="760">
        <v>18</v>
      </c>
      <c r="G2921" s="205">
        <f>VLOOKUP(D2921,upahbahan,3,FALSE)</f>
        <v>0</v>
      </c>
      <c r="H2921" s="210">
        <f t="shared" si="200"/>
        <v>0</v>
      </c>
      <c r="L2921" s="200"/>
      <c r="M2921" s="200"/>
      <c r="N2921" s="200"/>
      <c r="O2921" s="200"/>
      <c r="P2921" s="200"/>
    </row>
    <row r="2922" spans="3:16" s="517" customFormat="1" ht="31.2" customHeight="1">
      <c r="C2922" s="754" t="s">
        <v>5299</v>
      </c>
      <c r="D2922" s="750" t="s">
        <v>7055</v>
      </c>
      <c r="E2922" s="203" t="s">
        <v>113</v>
      </c>
      <c r="F2922" s="760">
        <v>10</v>
      </c>
      <c r="G2922" s="205">
        <f>VLOOKUP(D2922,upahbahan,3,FALSE)</f>
        <v>0</v>
      </c>
      <c r="H2922" s="210">
        <f t="shared" si="200"/>
        <v>0</v>
      </c>
      <c r="L2922" s="200"/>
      <c r="M2922" s="200"/>
      <c r="N2922" s="200"/>
      <c r="O2922" s="200"/>
      <c r="P2922" s="200"/>
    </row>
    <row r="2923" spans="3:16" s="517" customFormat="1" ht="31.2" customHeight="1">
      <c r="C2923" s="543">
        <v>4</v>
      </c>
      <c r="D2923" s="750" t="s">
        <v>5556</v>
      </c>
      <c r="E2923" s="203"/>
      <c r="F2923" s="753"/>
      <c r="G2923" s="197"/>
      <c r="H2923" s="210">
        <f t="shared" si="200"/>
        <v>0</v>
      </c>
      <c r="L2923" s="200"/>
      <c r="M2923" s="200"/>
      <c r="N2923" s="200"/>
      <c r="O2923" s="200"/>
      <c r="P2923" s="200"/>
    </row>
    <row r="2924" spans="3:16" s="517" customFormat="1" ht="31.2" customHeight="1">
      <c r="C2924" s="754" t="s">
        <v>5293</v>
      </c>
      <c r="D2924" s="750" t="s">
        <v>2084</v>
      </c>
      <c r="E2924" s="203" t="s">
        <v>42</v>
      </c>
      <c r="F2924" s="753">
        <v>9.8000000000000004E-2</v>
      </c>
      <c r="G2924" s="205">
        <f>VLOOKUP(D2924,upahbahan,3,FALSE)</f>
        <v>0</v>
      </c>
      <c r="H2924" s="210">
        <f t="shared" si="200"/>
        <v>0</v>
      </c>
      <c r="L2924" s="200"/>
      <c r="M2924" s="200"/>
      <c r="N2924" s="200"/>
      <c r="O2924" s="200"/>
      <c r="P2924" s="200"/>
    </row>
    <row r="2925" spans="3:16" s="517" customFormat="1" ht="31.2" customHeight="1">
      <c r="C2925" s="754" t="s">
        <v>5299</v>
      </c>
      <c r="D2925" s="750" t="s">
        <v>5566</v>
      </c>
      <c r="E2925" s="203" t="s">
        <v>42</v>
      </c>
      <c r="F2925" s="753">
        <v>2.5999999999999999E-2</v>
      </c>
      <c r="G2925" s="205">
        <f>VLOOKUP(D2925,upahbahan,3,FALSE)</f>
        <v>0</v>
      </c>
      <c r="H2925" s="210">
        <f t="shared" si="200"/>
        <v>0</v>
      </c>
      <c r="L2925" s="200"/>
      <c r="M2925" s="200"/>
      <c r="N2925" s="200"/>
      <c r="O2925" s="200"/>
      <c r="P2925" s="200"/>
    </row>
    <row r="2926" spans="3:16" s="517" customFormat="1" ht="31.2" customHeight="1">
      <c r="C2926" s="754" t="s">
        <v>5558</v>
      </c>
      <c r="D2926" s="750" t="s">
        <v>2325</v>
      </c>
      <c r="E2926" s="203" t="s">
        <v>42</v>
      </c>
      <c r="F2926" s="762">
        <v>7.0000000000000001E-3</v>
      </c>
      <c r="G2926" s="205">
        <f>VLOOKUP(D2926,upahbahan,3,FALSE)</f>
        <v>0</v>
      </c>
      <c r="H2926" s="210">
        <f t="shared" si="200"/>
        <v>0</v>
      </c>
      <c r="L2926" s="200"/>
      <c r="M2926" s="200"/>
      <c r="N2926" s="200"/>
      <c r="O2926" s="200"/>
      <c r="P2926" s="200"/>
    </row>
    <row r="2927" spans="3:16" s="517" customFormat="1" ht="31.2" customHeight="1">
      <c r="C2927" s="207" t="s">
        <v>1214</v>
      </c>
      <c r="D2927" s="208"/>
      <c r="E2927" s="568"/>
      <c r="F2927" s="208"/>
      <c r="G2927" s="209"/>
      <c r="H2927" s="210">
        <f>SUM(H2918:H2926)</f>
        <v>0</v>
      </c>
      <c r="L2927" s="200"/>
      <c r="M2927" s="200"/>
      <c r="N2927" s="200"/>
      <c r="O2927" s="200"/>
      <c r="P2927" s="200"/>
    </row>
    <row r="2928" spans="3:16" s="517" customFormat="1" ht="31.2" customHeight="1">
      <c r="C2928" s="756" t="s">
        <v>1215</v>
      </c>
      <c r="D2928" s="196" t="s">
        <v>1216</v>
      </c>
      <c r="E2928" s="203"/>
      <c r="F2928" s="197"/>
      <c r="G2928" s="197"/>
      <c r="H2928" s="198"/>
      <c r="L2928" s="200"/>
      <c r="M2928" s="200"/>
      <c r="N2928" s="200"/>
      <c r="O2928" s="200"/>
      <c r="P2928" s="200"/>
    </row>
    <row r="2929" spans="3:20" s="517" customFormat="1" ht="31.2" customHeight="1">
      <c r="C2929" s="207" t="s">
        <v>1217</v>
      </c>
      <c r="D2929" s="208"/>
      <c r="E2929" s="208"/>
      <c r="F2929" s="208"/>
      <c r="G2929" s="209"/>
      <c r="H2929" s="240">
        <f>SUM(H2928)</f>
        <v>0</v>
      </c>
      <c r="L2929" s="200"/>
      <c r="M2929" s="200"/>
      <c r="N2929" s="200"/>
      <c r="O2929" s="200"/>
      <c r="P2929" s="200"/>
    </row>
    <row r="2930" spans="3:20" s="517" customFormat="1" ht="31.2" customHeight="1">
      <c r="C2930" s="223" t="s">
        <v>1218</v>
      </c>
      <c r="D2930" s="224" t="s">
        <v>1219</v>
      </c>
      <c r="E2930" s="225"/>
      <c r="F2930" s="225"/>
      <c r="G2930" s="226"/>
      <c r="H2930" s="210">
        <f>H2929+H2927+H2916</f>
        <v>16697</v>
      </c>
      <c r="L2930" s="200"/>
      <c r="M2930" s="200"/>
      <c r="N2930" s="200"/>
      <c r="O2930" s="200"/>
      <c r="P2930" s="200"/>
    </row>
    <row r="2931" spans="3:20" s="517" customFormat="1" ht="31.2" customHeight="1">
      <c r="C2931" s="223" t="s">
        <v>1220</v>
      </c>
      <c r="D2931" s="224" t="s">
        <v>1321</v>
      </c>
      <c r="E2931" s="225"/>
      <c r="F2931" s="226"/>
      <c r="G2931" s="228">
        <v>0.1</v>
      </c>
      <c r="H2931" s="210">
        <f>H2930*G2931</f>
        <v>1669.7</v>
      </c>
      <c r="L2931" s="200"/>
      <c r="M2931" s="200"/>
      <c r="N2931" s="200"/>
      <c r="O2931" s="200"/>
      <c r="P2931" s="200"/>
    </row>
    <row r="2932" spans="3:20" s="517" customFormat="1" ht="31.2" customHeight="1" thickBot="1">
      <c r="C2932" s="229" t="s">
        <v>1221</v>
      </c>
      <c r="D2932" s="230" t="s">
        <v>1222</v>
      </c>
      <c r="E2932" s="231"/>
      <c r="F2932" s="231"/>
      <c r="G2932" s="232"/>
      <c r="H2932" s="233">
        <f>SUM(H2930:H2931)</f>
        <v>18366.7</v>
      </c>
      <c r="L2932" s="200"/>
      <c r="M2932" s="200"/>
      <c r="N2932" s="200"/>
      <c r="O2932" s="200"/>
      <c r="P2932" s="200"/>
    </row>
    <row r="2933" spans="3:20" ht="31.2" customHeight="1" thickTop="1">
      <c r="D2933" s="758" t="s">
        <v>7086</v>
      </c>
    </row>
    <row r="2934" spans="3:20" ht="31.2" customHeight="1">
      <c r="C2934" s="757" t="s">
        <v>6950</v>
      </c>
      <c r="F2934" s="758"/>
      <c r="H2934" s="758" t="s">
        <v>6959</v>
      </c>
    </row>
    <row r="2935" spans="3:20" ht="31.2" customHeight="1">
      <c r="C2935" s="200" t="s">
        <v>6951</v>
      </c>
      <c r="F2935" s="758"/>
    </row>
    <row r="2936" spans="3:20" ht="31.2" customHeight="1">
      <c r="C2936" s="200" t="s">
        <v>6952</v>
      </c>
      <c r="F2936" s="758"/>
    </row>
    <row r="2937" spans="3:20" ht="31.2" customHeight="1">
      <c r="C2937" s="200"/>
      <c r="F2937" s="758"/>
    </row>
    <row r="2938" spans="3:20" s="517" customFormat="1" ht="31.2" customHeight="1" thickBot="1">
      <c r="C2938" s="513" t="s">
        <v>7179</v>
      </c>
      <c r="D2938" s="748" t="s">
        <v>7180</v>
      </c>
      <c r="E2938" s="749"/>
      <c r="F2938" s="748"/>
      <c r="G2938" s="748"/>
      <c r="H2938" s="532"/>
      <c r="I2938" s="532"/>
      <c r="J2938" s="532"/>
      <c r="K2938" s="532"/>
      <c r="M2938" s="189"/>
      <c r="N2938" s="189"/>
      <c r="O2938" s="189"/>
      <c r="P2938" s="189"/>
      <c r="R2938" s="189">
        <f>ROUNDDOWN(H2961,-2)</f>
        <v>18300</v>
      </c>
      <c r="S2938" s="517" t="s">
        <v>6451</v>
      </c>
      <c r="T2938" s="517" t="s">
        <v>7014</v>
      </c>
    </row>
    <row r="2939" spans="3:20" s="517" customFormat="1" ht="31.2" customHeight="1" thickTop="1">
      <c r="C2939" s="190" t="s">
        <v>1195</v>
      </c>
      <c r="D2939" s="191" t="s">
        <v>1196</v>
      </c>
      <c r="E2939" s="191" t="s">
        <v>1197</v>
      </c>
      <c r="F2939" s="191" t="s">
        <v>1198</v>
      </c>
      <c r="G2939" s="191" t="s">
        <v>1199</v>
      </c>
      <c r="H2939" s="192" t="s">
        <v>1200</v>
      </c>
      <c r="L2939" s="200"/>
      <c r="M2939" s="200"/>
      <c r="N2939" s="200"/>
      <c r="O2939" s="200"/>
      <c r="P2939" s="200"/>
    </row>
    <row r="2940" spans="3:20" s="517" customFormat="1" ht="31.2" customHeight="1">
      <c r="C2940" s="518" t="s">
        <v>1201</v>
      </c>
      <c r="D2940" s="196" t="s">
        <v>1202</v>
      </c>
      <c r="E2940" s="197"/>
      <c r="F2940" s="197"/>
      <c r="G2940" s="197"/>
      <c r="H2940" s="198"/>
      <c r="L2940" s="200"/>
      <c r="M2940" s="200"/>
      <c r="N2940" s="200"/>
      <c r="O2940" s="200"/>
      <c r="P2940" s="200"/>
    </row>
    <row r="2941" spans="3:20" s="517" customFormat="1" ht="31.2" customHeight="1">
      <c r="C2941" s="518">
        <v>1</v>
      </c>
      <c r="D2941" s="196" t="s">
        <v>5</v>
      </c>
      <c r="E2941" s="203" t="s">
        <v>2102</v>
      </c>
      <c r="F2941" s="763">
        <v>0.04</v>
      </c>
      <c r="G2941" s="205">
        <f>VLOOKUP(D2941,upahbahan,3,FALSE)</f>
        <v>100000</v>
      </c>
      <c r="H2941" s="210">
        <f t="shared" ref="H2941:H2944" si="201">F2941*G2941</f>
        <v>4000</v>
      </c>
      <c r="L2941" s="200"/>
      <c r="M2941" s="200"/>
      <c r="N2941" s="200"/>
      <c r="O2941" s="200"/>
      <c r="P2941" s="200"/>
    </row>
    <row r="2942" spans="3:20" s="517" customFormat="1" ht="31.2" customHeight="1">
      <c r="C2942" s="537">
        <v>2</v>
      </c>
      <c r="D2942" s="196" t="s">
        <v>6954</v>
      </c>
      <c r="E2942" s="202" t="s">
        <v>6</v>
      </c>
      <c r="F2942" s="520">
        <v>0.04</v>
      </c>
      <c r="G2942" s="205">
        <f>VLOOKUP(D2942,upahbahan,3,FALSE)</f>
        <v>181250</v>
      </c>
      <c r="H2942" s="210">
        <f t="shared" si="201"/>
        <v>7250</v>
      </c>
      <c r="L2942" s="200"/>
      <c r="M2942" s="200"/>
      <c r="N2942" s="200"/>
      <c r="O2942" s="200"/>
      <c r="P2942" s="200"/>
    </row>
    <row r="2943" spans="3:20" s="517" customFormat="1" ht="31.2" customHeight="1">
      <c r="C2943" s="537">
        <v>3</v>
      </c>
      <c r="D2943" s="196" t="s">
        <v>6948</v>
      </c>
      <c r="E2943" s="202" t="s">
        <v>2102</v>
      </c>
      <c r="F2943" s="520">
        <v>0.02</v>
      </c>
      <c r="G2943" s="205">
        <f>VLOOKUP(D2943,upahbahan,3,FALSE)</f>
        <v>218750</v>
      </c>
      <c r="H2943" s="210">
        <f t="shared" si="201"/>
        <v>4375</v>
      </c>
      <c r="L2943" s="200"/>
      <c r="M2943" s="200"/>
      <c r="N2943" s="200"/>
      <c r="O2943" s="200"/>
      <c r="P2943" s="200"/>
    </row>
    <row r="2944" spans="3:20" s="517" customFormat="1" ht="31.2" customHeight="1">
      <c r="C2944" s="537">
        <v>4</v>
      </c>
      <c r="D2944" s="196" t="s">
        <v>19</v>
      </c>
      <c r="E2944" s="202" t="s">
        <v>6</v>
      </c>
      <c r="F2944" s="520">
        <v>6.7000000000000002E-3</v>
      </c>
      <c r="G2944" s="205">
        <f>VLOOKUP(D2944,upahbahan,3,FALSE)</f>
        <v>160000</v>
      </c>
      <c r="H2944" s="210">
        <f t="shared" si="201"/>
        <v>1072</v>
      </c>
      <c r="L2944" s="200"/>
      <c r="M2944" s="200"/>
      <c r="N2944" s="200"/>
      <c r="O2944" s="200"/>
      <c r="P2944" s="200"/>
    </row>
    <row r="2945" spans="3:16" s="517" customFormat="1" ht="31.2" customHeight="1">
      <c r="C2945" s="207" t="s">
        <v>1208</v>
      </c>
      <c r="D2945" s="208"/>
      <c r="E2945" s="208"/>
      <c r="F2945" s="521"/>
      <c r="G2945" s="522"/>
      <c r="H2945" s="210">
        <f>SUM(H2941:H2944)</f>
        <v>16697</v>
      </c>
      <c r="L2945" s="523"/>
      <c r="M2945" s="523"/>
      <c r="N2945" s="523"/>
      <c r="O2945" s="523"/>
      <c r="P2945" s="523"/>
    </row>
    <row r="2946" spans="3:16" s="517" customFormat="1" ht="31.2" customHeight="1">
      <c r="C2946" s="543" t="s">
        <v>1209</v>
      </c>
      <c r="D2946" s="750" t="s">
        <v>1210</v>
      </c>
      <c r="E2946" s="197"/>
      <c r="F2946" s="751"/>
      <c r="G2946" s="197"/>
      <c r="H2946" s="752"/>
      <c r="L2946" s="200"/>
      <c r="M2946" s="200"/>
      <c r="N2946" s="200"/>
      <c r="O2946" s="200"/>
      <c r="P2946" s="200"/>
    </row>
    <row r="2947" spans="3:16" s="517" customFormat="1" ht="31.2" customHeight="1">
      <c r="C2947" s="543">
        <v>1</v>
      </c>
      <c r="D2947" s="750" t="s">
        <v>7181</v>
      </c>
      <c r="E2947" s="203" t="s">
        <v>44</v>
      </c>
      <c r="F2947" s="753">
        <v>1.05</v>
      </c>
      <c r="G2947" s="205">
        <f>VLOOKUP(D2947,upahbahan,3,FALSE)</f>
        <v>0</v>
      </c>
      <c r="H2947" s="210">
        <f t="shared" ref="H2947:H2955" si="202">F2947*G2947</f>
        <v>0</v>
      </c>
      <c r="L2947" s="200"/>
      <c r="M2947" s="200"/>
      <c r="N2947" s="200"/>
      <c r="O2947" s="200"/>
      <c r="P2947" s="200"/>
    </row>
    <row r="2948" spans="3:16" s="517" customFormat="1" ht="31.2" customHeight="1">
      <c r="C2948" s="543">
        <v>2</v>
      </c>
      <c r="D2948" s="750" t="s">
        <v>5563</v>
      </c>
      <c r="E2948" s="203" t="s">
        <v>65</v>
      </c>
      <c r="F2948" s="753">
        <v>0.02</v>
      </c>
      <c r="G2948" s="205">
        <f>VLOOKUP(D2948,upahbahan,3,FALSE)</f>
        <v>0</v>
      </c>
      <c r="H2948" s="210">
        <f t="shared" si="202"/>
        <v>0</v>
      </c>
      <c r="L2948" s="200"/>
      <c r="M2948" s="200"/>
      <c r="N2948" s="200"/>
      <c r="O2948" s="200"/>
      <c r="P2948" s="200"/>
    </row>
    <row r="2949" spans="3:16" s="517" customFormat="1" ht="31.2" customHeight="1">
      <c r="C2949" s="543">
        <v>3</v>
      </c>
      <c r="D2949" s="750" t="s">
        <v>5555</v>
      </c>
      <c r="E2949" s="203"/>
      <c r="F2949" s="753"/>
      <c r="G2949" s="197"/>
      <c r="H2949" s="210">
        <f t="shared" si="202"/>
        <v>0</v>
      </c>
      <c r="L2949" s="200"/>
      <c r="M2949" s="200"/>
      <c r="N2949" s="200"/>
      <c r="O2949" s="200"/>
      <c r="P2949" s="200"/>
    </row>
    <row r="2950" spans="3:16" s="517" customFormat="1" ht="31.2" customHeight="1">
      <c r="C2950" s="754" t="s">
        <v>5293</v>
      </c>
      <c r="D2950" s="750" t="s">
        <v>7142</v>
      </c>
      <c r="E2950" s="203" t="s">
        <v>113</v>
      </c>
      <c r="F2950" s="760">
        <v>18</v>
      </c>
      <c r="G2950" s="205">
        <f>VLOOKUP(D2950,upahbahan,3,FALSE)</f>
        <v>0</v>
      </c>
      <c r="H2950" s="210">
        <f t="shared" si="202"/>
        <v>0</v>
      </c>
      <c r="L2950" s="200"/>
      <c r="M2950" s="200"/>
      <c r="N2950" s="200"/>
      <c r="O2950" s="200"/>
      <c r="P2950" s="200"/>
    </row>
    <row r="2951" spans="3:16" s="517" customFormat="1" ht="31.2" customHeight="1">
      <c r="C2951" s="754" t="s">
        <v>5299</v>
      </c>
      <c r="D2951" s="750" t="s">
        <v>7055</v>
      </c>
      <c r="E2951" s="203" t="s">
        <v>113</v>
      </c>
      <c r="F2951" s="760">
        <v>10</v>
      </c>
      <c r="G2951" s="205">
        <f>VLOOKUP(D2951,upahbahan,3,FALSE)</f>
        <v>0</v>
      </c>
      <c r="H2951" s="210">
        <f t="shared" si="202"/>
        <v>0</v>
      </c>
      <c r="L2951" s="200"/>
      <c r="M2951" s="200"/>
      <c r="N2951" s="200"/>
      <c r="O2951" s="200"/>
      <c r="P2951" s="200"/>
    </row>
    <row r="2952" spans="3:16" s="517" customFormat="1" ht="31.2" customHeight="1">
      <c r="C2952" s="543">
        <v>4</v>
      </c>
      <c r="D2952" s="750" t="s">
        <v>5556</v>
      </c>
      <c r="E2952" s="203"/>
      <c r="F2952" s="753"/>
      <c r="G2952" s="197"/>
      <c r="H2952" s="210">
        <f t="shared" si="202"/>
        <v>0</v>
      </c>
      <c r="L2952" s="200"/>
      <c r="M2952" s="200"/>
      <c r="N2952" s="200"/>
      <c r="O2952" s="200"/>
      <c r="P2952" s="200"/>
    </row>
    <row r="2953" spans="3:16" s="517" customFormat="1" ht="31.2" customHeight="1">
      <c r="C2953" s="754" t="s">
        <v>5293</v>
      </c>
      <c r="D2953" s="750" t="s">
        <v>2084</v>
      </c>
      <c r="E2953" s="203" t="s">
        <v>42</v>
      </c>
      <c r="F2953" s="753">
        <v>9.8000000000000004E-2</v>
      </c>
      <c r="G2953" s="205">
        <f>VLOOKUP(D2953,upahbahan,3,FALSE)</f>
        <v>0</v>
      </c>
      <c r="H2953" s="210">
        <f t="shared" si="202"/>
        <v>0</v>
      </c>
      <c r="L2953" s="200"/>
      <c r="M2953" s="200"/>
      <c r="N2953" s="200"/>
      <c r="O2953" s="200"/>
      <c r="P2953" s="200"/>
    </row>
    <row r="2954" spans="3:16" s="517" customFormat="1" ht="31.2" customHeight="1">
      <c r="C2954" s="754" t="s">
        <v>5299</v>
      </c>
      <c r="D2954" s="750" t="s">
        <v>5566</v>
      </c>
      <c r="E2954" s="203" t="s">
        <v>42</v>
      </c>
      <c r="F2954" s="753">
        <v>2.5999999999999999E-2</v>
      </c>
      <c r="G2954" s="205">
        <f>VLOOKUP(D2954,upahbahan,3,FALSE)</f>
        <v>0</v>
      </c>
      <c r="H2954" s="210">
        <f t="shared" si="202"/>
        <v>0</v>
      </c>
      <c r="L2954" s="200"/>
      <c r="M2954" s="200"/>
      <c r="N2954" s="200"/>
      <c r="O2954" s="200"/>
      <c r="P2954" s="200"/>
    </row>
    <row r="2955" spans="3:16" s="517" customFormat="1" ht="31.2" customHeight="1">
      <c r="C2955" s="754" t="s">
        <v>5558</v>
      </c>
      <c r="D2955" s="750" t="s">
        <v>2325</v>
      </c>
      <c r="E2955" s="203" t="s">
        <v>42</v>
      </c>
      <c r="F2955" s="762">
        <v>7.0000000000000001E-3</v>
      </c>
      <c r="G2955" s="205">
        <f>VLOOKUP(D2955,upahbahan,3,FALSE)</f>
        <v>0</v>
      </c>
      <c r="H2955" s="210">
        <f t="shared" si="202"/>
        <v>0</v>
      </c>
      <c r="L2955" s="200"/>
      <c r="M2955" s="200"/>
      <c r="N2955" s="200"/>
      <c r="O2955" s="200"/>
      <c r="P2955" s="200"/>
    </row>
    <row r="2956" spans="3:16" s="517" customFormat="1" ht="31.2" customHeight="1">
      <c r="C2956" s="207" t="s">
        <v>1214</v>
      </c>
      <c r="D2956" s="208"/>
      <c r="E2956" s="568"/>
      <c r="F2956" s="208"/>
      <c r="G2956" s="209"/>
      <c r="H2956" s="210">
        <f>SUM(H2947:H2955)</f>
        <v>0</v>
      </c>
      <c r="L2956" s="200"/>
      <c r="M2956" s="200"/>
      <c r="N2956" s="200"/>
      <c r="O2956" s="200"/>
      <c r="P2956" s="200"/>
    </row>
    <row r="2957" spans="3:16" s="517" customFormat="1" ht="31.2" customHeight="1">
      <c r="C2957" s="756" t="s">
        <v>1215</v>
      </c>
      <c r="D2957" s="196" t="s">
        <v>1216</v>
      </c>
      <c r="E2957" s="203"/>
      <c r="F2957" s="197"/>
      <c r="G2957" s="197"/>
      <c r="H2957" s="198"/>
      <c r="L2957" s="200"/>
      <c r="M2957" s="200"/>
      <c r="N2957" s="200"/>
      <c r="O2957" s="200"/>
      <c r="P2957" s="200"/>
    </row>
    <row r="2958" spans="3:16" s="517" customFormat="1" ht="31.2" customHeight="1">
      <c r="C2958" s="207" t="s">
        <v>1217</v>
      </c>
      <c r="D2958" s="208"/>
      <c r="E2958" s="208"/>
      <c r="F2958" s="208"/>
      <c r="G2958" s="209"/>
      <c r="H2958" s="240">
        <f>SUM(H2957)</f>
        <v>0</v>
      </c>
      <c r="L2958" s="200"/>
      <c r="M2958" s="200"/>
      <c r="N2958" s="200"/>
      <c r="O2958" s="200"/>
      <c r="P2958" s="200"/>
    </row>
    <row r="2959" spans="3:16" s="517" customFormat="1" ht="31.2" customHeight="1">
      <c r="C2959" s="223" t="s">
        <v>1218</v>
      </c>
      <c r="D2959" s="224" t="s">
        <v>1219</v>
      </c>
      <c r="E2959" s="225"/>
      <c r="F2959" s="225"/>
      <c r="G2959" s="226"/>
      <c r="H2959" s="210">
        <f>H2958+H2956+H2945</f>
        <v>16697</v>
      </c>
      <c r="L2959" s="200"/>
      <c r="M2959" s="200"/>
      <c r="N2959" s="200"/>
      <c r="O2959" s="200"/>
      <c r="P2959" s="200"/>
    </row>
    <row r="2960" spans="3:16" s="517" customFormat="1" ht="31.2" customHeight="1">
      <c r="C2960" s="223" t="s">
        <v>1220</v>
      </c>
      <c r="D2960" s="224" t="s">
        <v>1321</v>
      </c>
      <c r="E2960" s="225"/>
      <c r="F2960" s="226"/>
      <c r="G2960" s="228">
        <v>0.1</v>
      </c>
      <c r="H2960" s="210">
        <f>H2959*G2960</f>
        <v>1669.7</v>
      </c>
      <c r="L2960" s="200"/>
      <c r="M2960" s="200"/>
      <c r="N2960" s="200"/>
      <c r="O2960" s="200"/>
      <c r="P2960" s="200"/>
    </row>
    <row r="2961" spans="3:20" s="517" customFormat="1" ht="31.2" customHeight="1" thickBot="1">
      <c r="C2961" s="229" t="s">
        <v>1221</v>
      </c>
      <c r="D2961" s="230" t="s">
        <v>1222</v>
      </c>
      <c r="E2961" s="231"/>
      <c r="F2961" s="231"/>
      <c r="G2961" s="232"/>
      <c r="H2961" s="233">
        <f>SUM(H2959:H2960)</f>
        <v>18366.7</v>
      </c>
      <c r="L2961" s="200"/>
      <c r="M2961" s="200"/>
      <c r="N2961" s="200"/>
      <c r="O2961" s="200"/>
      <c r="P2961" s="200"/>
    </row>
    <row r="2962" spans="3:20" ht="31.2" customHeight="1" thickTop="1">
      <c r="D2962" s="758" t="s">
        <v>7086</v>
      </c>
    </row>
    <row r="2963" spans="3:20" ht="31.2" customHeight="1">
      <c r="C2963" s="757" t="s">
        <v>6950</v>
      </c>
      <c r="F2963" s="758"/>
      <c r="H2963" s="758" t="s">
        <v>6959</v>
      </c>
    </row>
    <row r="2964" spans="3:20" ht="31.2" customHeight="1">
      <c r="C2964" s="200" t="s">
        <v>6951</v>
      </c>
      <c r="F2964" s="758"/>
    </row>
    <row r="2965" spans="3:20" ht="31.2" customHeight="1">
      <c r="C2965" s="200" t="s">
        <v>6952</v>
      </c>
      <c r="F2965" s="758"/>
    </row>
    <row r="2966" spans="3:20" ht="31.2" customHeight="1">
      <c r="C2966" s="200"/>
      <c r="F2966" s="758"/>
    </row>
    <row r="2967" spans="3:20" ht="31.2" customHeight="1">
      <c r="C2967" s="199" t="s">
        <v>5573</v>
      </c>
      <c r="D2967" s="187" t="s">
        <v>7182</v>
      </c>
      <c r="F2967" s="758"/>
    </row>
    <row r="2968" spans="3:20" s="517" customFormat="1" ht="31.2" customHeight="1" thickBot="1">
      <c r="C2968" s="513" t="s">
        <v>7183</v>
      </c>
      <c r="D2968" s="748" t="s">
        <v>7184</v>
      </c>
      <c r="E2968" s="749"/>
      <c r="F2968" s="748"/>
      <c r="G2968" s="748"/>
      <c r="H2968" s="532"/>
      <c r="I2968" s="532"/>
      <c r="J2968" s="532"/>
      <c r="K2968" s="532"/>
      <c r="M2968" s="189"/>
      <c r="N2968" s="189"/>
      <c r="O2968" s="189"/>
      <c r="P2968" s="189"/>
      <c r="R2968" s="189">
        <f>ROUNDDOWN(H2992,-2)</f>
        <v>224500</v>
      </c>
      <c r="S2968" s="517" t="s">
        <v>6451</v>
      </c>
      <c r="T2968" s="517" t="s">
        <v>7014</v>
      </c>
    </row>
    <row r="2969" spans="3:20" s="517" customFormat="1" ht="31.2" customHeight="1" thickTop="1">
      <c r="C2969" s="190" t="s">
        <v>1195</v>
      </c>
      <c r="D2969" s="191" t="s">
        <v>1196</v>
      </c>
      <c r="E2969" s="191" t="s">
        <v>1197</v>
      </c>
      <c r="F2969" s="191" t="s">
        <v>1198</v>
      </c>
      <c r="G2969" s="191" t="s">
        <v>1199</v>
      </c>
      <c r="H2969" s="192" t="s">
        <v>1200</v>
      </c>
      <c r="L2969" s="200"/>
      <c r="M2969" s="200"/>
      <c r="N2969" s="200"/>
      <c r="O2969" s="200"/>
      <c r="P2969" s="200"/>
    </row>
    <row r="2970" spans="3:20" s="517" customFormat="1" ht="31.2" customHeight="1">
      <c r="C2970" s="518" t="s">
        <v>1201</v>
      </c>
      <c r="D2970" s="196" t="s">
        <v>1202</v>
      </c>
      <c r="E2970" s="197"/>
      <c r="F2970" s="197"/>
      <c r="G2970" s="197"/>
      <c r="H2970" s="198"/>
      <c r="L2970" s="200"/>
      <c r="M2970" s="200"/>
      <c r="N2970" s="200"/>
      <c r="O2970" s="200"/>
      <c r="P2970" s="200"/>
    </row>
    <row r="2971" spans="3:20" s="517" customFormat="1" ht="31.2" customHeight="1">
      <c r="C2971" s="518">
        <v>1</v>
      </c>
      <c r="D2971" s="196" t="s">
        <v>5</v>
      </c>
      <c r="E2971" s="203" t="s">
        <v>2102</v>
      </c>
      <c r="F2971" s="763">
        <v>6.7000000000000004E-2</v>
      </c>
      <c r="G2971" s="205">
        <f>VLOOKUP(D2971,upahbahan,3,FALSE)</f>
        <v>100000</v>
      </c>
      <c r="H2971" s="210">
        <f t="shared" ref="H2971:H2974" si="203">F2971*G2971</f>
        <v>6700</v>
      </c>
      <c r="L2971" s="200"/>
      <c r="M2971" s="200"/>
      <c r="N2971" s="200"/>
      <c r="O2971" s="200"/>
      <c r="P2971" s="200"/>
    </row>
    <row r="2972" spans="3:20" s="517" customFormat="1" ht="31.2" customHeight="1">
      <c r="C2972" s="537">
        <v>2</v>
      </c>
      <c r="D2972" s="196" t="s">
        <v>6954</v>
      </c>
      <c r="E2972" s="202" t="s">
        <v>6</v>
      </c>
      <c r="F2972" s="520">
        <v>6.7000000000000004E-2</v>
      </c>
      <c r="G2972" s="205">
        <f>VLOOKUP(D2972,upahbahan,3,FALSE)</f>
        <v>181250</v>
      </c>
      <c r="H2972" s="210">
        <f t="shared" si="203"/>
        <v>12143.75</v>
      </c>
      <c r="L2972" s="200"/>
      <c r="M2972" s="200"/>
      <c r="N2972" s="200"/>
      <c r="O2972" s="200"/>
      <c r="P2972" s="200"/>
    </row>
    <row r="2973" spans="3:20" s="517" customFormat="1" ht="31.2" customHeight="1">
      <c r="C2973" s="537">
        <v>3</v>
      </c>
      <c r="D2973" s="196" t="s">
        <v>6948</v>
      </c>
      <c r="E2973" s="202" t="s">
        <v>2102</v>
      </c>
      <c r="F2973" s="520">
        <v>3.3000000000000002E-2</v>
      </c>
      <c r="G2973" s="205">
        <f>VLOOKUP(D2973,upahbahan,3,FALSE)</f>
        <v>218750</v>
      </c>
      <c r="H2973" s="210">
        <f t="shared" si="203"/>
        <v>7218.75</v>
      </c>
      <c r="L2973" s="200"/>
      <c r="M2973" s="200"/>
      <c r="N2973" s="200"/>
      <c r="O2973" s="200"/>
      <c r="P2973" s="200"/>
    </row>
    <row r="2974" spans="3:20" s="517" customFormat="1" ht="31.2" customHeight="1">
      <c r="C2974" s="537">
        <v>4</v>
      </c>
      <c r="D2974" s="196" t="s">
        <v>19</v>
      </c>
      <c r="E2974" s="202" t="s">
        <v>6</v>
      </c>
      <c r="F2974" s="520">
        <v>1.0999999999999999E-2</v>
      </c>
      <c r="G2974" s="205">
        <f>VLOOKUP(D2974,upahbahan,3,FALSE)</f>
        <v>160000</v>
      </c>
      <c r="H2974" s="210">
        <f t="shared" si="203"/>
        <v>1760</v>
      </c>
      <c r="L2974" s="200"/>
      <c r="M2974" s="200"/>
      <c r="N2974" s="200"/>
      <c r="O2974" s="200"/>
      <c r="P2974" s="200"/>
    </row>
    <row r="2975" spans="3:20" s="517" customFormat="1" ht="31.2" customHeight="1">
      <c r="C2975" s="207" t="s">
        <v>1208</v>
      </c>
      <c r="D2975" s="208"/>
      <c r="E2975" s="208"/>
      <c r="F2975" s="521"/>
      <c r="G2975" s="522"/>
      <c r="H2975" s="210">
        <f>SUM(H2971:H2974)</f>
        <v>27822.5</v>
      </c>
      <c r="L2975" s="523"/>
      <c r="M2975" s="523"/>
      <c r="N2975" s="523"/>
      <c r="O2975" s="523"/>
      <c r="P2975" s="523"/>
    </row>
    <row r="2976" spans="3:20" s="517" customFormat="1" ht="31.2" customHeight="1">
      <c r="C2976" s="543" t="s">
        <v>1209</v>
      </c>
      <c r="D2976" s="750" t="s">
        <v>1210</v>
      </c>
      <c r="E2976" s="197"/>
      <c r="F2976" s="751"/>
      <c r="G2976" s="197"/>
      <c r="H2976" s="752"/>
      <c r="L2976" s="200"/>
      <c r="M2976" s="200"/>
      <c r="N2976" s="200"/>
      <c r="O2976" s="200"/>
      <c r="P2976" s="200"/>
    </row>
    <row r="2977" spans="3:16" s="517" customFormat="1" ht="31.2" customHeight="1">
      <c r="C2977" s="543">
        <v>1</v>
      </c>
      <c r="D2977" s="750" t="s">
        <v>7185</v>
      </c>
      <c r="E2977" s="203" t="s">
        <v>44</v>
      </c>
      <c r="F2977" s="753">
        <v>1.05</v>
      </c>
      <c r="G2977" s="205">
        <f>VLOOKUP(D2977,upahbahan,3,FALSE)</f>
        <v>0</v>
      </c>
      <c r="H2977" s="210">
        <f t="shared" ref="H2977:H2985" si="204">F2977*G2977</f>
        <v>0</v>
      </c>
      <c r="L2977" s="200"/>
      <c r="M2977" s="200"/>
      <c r="N2977" s="200"/>
      <c r="O2977" s="200"/>
      <c r="P2977" s="200"/>
    </row>
    <row r="2978" spans="3:16" s="517" customFormat="1" ht="31.2" customHeight="1">
      <c r="C2978" s="543">
        <v>2</v>
      </c>
      <c r="D2978" s="750" t="s">
        <v>5563</v>
      </c>
      <c r="E2978" s="203" t="s">
        <v>65</v>
      </c>
      <c r="F2978" s="753">
        <v>0.02</v>
      </c>
      <c r="G2978" s="205">
        <f>VLOOKUP(D2978,upahbahan,3,FALSE)</f>
        <v>0</v>
      </c>
      <c r="H2978" s="210">
        <f t="shared" si="204"/>
        <v>0</v>
      </c>
      <c r="L2978" s="200"/>
      <c r="M2978" s="200"/>
      <c r="N2978" s="200"/>
      <c r="O2978" s="200"/>
      <c r="P2978" s="200"/>
    </row>
    <row r="2979" spans="3:16" s="517" customFormat="1" ht="31.2" customHeight="1">
      <c r="C2979" s="543">
        <v>3</v>
      </c>
      <c r="D2979" s="750" t="s">
        <v>5555</v>
      </c>
      <c r="E2979" s="203"/>
      <c r="F2979" s="753"/>
      <c r="G2979" s="197"/>
      <c r="H2979" s="210">
        <f t="shared" si="204"/>
        <v>0</v>
      </c>
      <c r="L2979" s="200"/>
      <c r="M2979" s="200"/>
      <c r="N2979" s="200"/>
      <c r="O2979" s="200"/>
      <c r="P2979" s="200"/>
    </row>
    <row r="2980" spans="3:16" s="517" customFormat="1" ht="31.2" customHeight="1">
      <c r="C2980" s="754" t="s">
        <v>5293</v>
      </c>
      <c r="D2980" s="750" t="s">
        <v>7142</v>
      </c>
      <c r="E2980" s="203" t="s">
        <v>113</v>
      </c>
      <c r="F2980" s="760">
        <v>18</v>
      </c>
      <c r="G2980" s="205">
        <f>VLOOKUP(D2980,upahbahan,3,FALSE)</f>
        <v>0</v>
      </c>
      <c r="H2980" s="210">
        <f t="shared" si="204"/>
        <v>0</v>
      </c>
      <c r="L2980" s="200"/>
      <c r="M2980" s="200"/>
      <c r="N2980" s="200"/>
      <c r="O2980" s="200"/>
      <c r="P2980" s="200"/>
    </row>
    <row r="2981" spans="3:16" s="517" customFormat="1" ht="31.2" customHeight="1">
      <c r="C2981" s="754" t="s">
        <v>5299</v>
      </c>
      <c r="D2981" s="750" t="s">
        <v>7055</v>
      </c>
      <c r="E2981" s="203" t="s">
        <v>113</v>
      </c>
      <c r="F2981" s="760">
        <v>10</v>
      </c>
      <c r="G2981" s="205">
        <f>VLOOKUP(D2981,upahbahan,3,FALSE)</f>
        <v>0</v>
      </c>
      <c r="H2981" s="210">
        <f t="shared" si="204"/>
        <v>0</v>
      </c>
      <c r="L2981" s="200"/>
      <c r="M2981" s="200"/>
      <c r="N2981" s="200"/>
      <c r="O2981" s="200"/>
      <c r="P2981" s="200"/>
    </row>
    <row r="2982" spans="3:16" s="517" customFormat="1" ht="31.2" customHeight="1">
      <c r="C2982" s="543">
        <v>4</v>
      </c>
      <c r="D2982" s="750" t="s">
        <v>5556</v>
      </c>
      <c r="E2982" s="203"/>
      <c r="F2982" s="753"/>
      <c r="G2982" s="197"/>
      <c r="H2982" s="210">
        <f t="shared" si="204"/>
        <v>0</v>
      </c>
      <c r="L2982" s="200"/>
      <c r="M2982" s="200"/>
      <c r="N2982" s="200"/>
      <c r="O2982" s="200"/>
      <c r="P2982" s="200"/>
    </row>
    <row r="2983" spans="3:16" s="517" customFormat="1" ht="31.2" customHeight="1">
      <c r="C2983" s="754" t="s">
        <v>5293</v>
      </c>
      <c r="D2983" s="750" t="s">
        <v>2084</v>
      </c>
      <c r="E2983" s="203" t="s">
        <v>42</v>
      </c>
      <c r="F2983" s="753">
        <v>0.14599999999999999</v>
      </c>
      <c r="G2983" s="205">
        <f>VLOOKUP(D2983,upahbahan,3,FALSE)</f>
        <v>0</v>
      </c>
      <c r="H2983" s="210">
        <f t="shared" si="204"/>
        <v>0</v>
      </c>
      <c r="L2983" s="200"/>
      <c r="M2983" s="200"/>
      <c r="N2983" s="200"/>
      <c r="O2983" s="200"/>
      <c r="P2983" s="200"/>
    </row>
    <row r="2984" spans="3:16" s="517" customFormat="1" ht="31.2" customHeight="1">
      <c r="C2984" s="754" t="s">
        <v>5299</v>
      </c>
      <c r="D2984" s="750" t="s">
        <v>5566</v>
      </c>
      <c r="E2984" s="203" t="s">
        <v>42</v>
      </c>
      <c r="F2984" s="753">
        <v>3.9E-2</v>
      </c>
      <c r="G2984" s="205">
        <f>VLOOKUP(D2984,upahbahan,3,FALSE)</f>
        <v>0</v>
      </c>
      <c r="H2984" s="210">
        <f t="shared" si="204"/>
        <v>0</v>
      </c>
      <c r="L2984" s="200"/>
      <c r="M2984" s="200"/>
      <c r="N2984" s="200"/>
      <c r="O2984" s="200"/>
      <c r="P2984" s="200"/>
    </row>
    <row r="2985" spans="3:16" s="517" customFormat="1" ht="31.2" customHeight="1">
      <c r="C2985" s="754" t="s">
        <v>5558</v>
      </c>
      <c r="D2985" s="750" t="s">
        <v>2325</v>
      </c>
      <c r="E2985" s="203" t="s">
        <v>42</v>
      </c>
      <c r="F2985" s="762">
        <v>0.01</v>
      </c>
      <c r="G2985" s="205">
        <f>VLOOKUP(D2985,upahbahan,3,FALSE)</f>
        <v>0</v>
      </c>
      <c r="H2985" s="210">
        <f t="shared" si="204"/>
        <v>0</v>
      </c>
      <c r="L2985" s="200"/>
      <c r="M2985" s="200"/>
      <c r="N2985" s="200"/>
      <c r="O2985" s="200"/>
      <c r="P2985" s="200"/>
    </row>
    <row r="2986" spans="3:16" s="517" customFormat="1" ht="31.2" customHeight="1">
      <c r="C2986" s="207" t="s">
        <v>1214</v>
      </c>
      <c r="D2986" s="208"/>
      <c r="E2986" s="568"/>
      <c r="F2986" s="208"/>
      <c r="G2986" s="209"/>
      <c r="H2986" s="210">
        <f>SUM(H2977:H2985)</f>
        <v>0</v>
      </c>
      <c r="L2986" s="200"/>
      <c r="M2986" s="200"/>
      <c r="N2986" s="200"/>
      <c r="O2986" s="200"/>
      <c r="P2986" s="200"/>
    </row>
    <row r="2987" spans="3:16" s="517" customFormat="1" ht="31.2" customHeight="1">
      <c r="C2987" s="756" t="s">
        <v>1215</v>
      </c>
      <c r="D2987" s="196" t="s">
        <v>1216</v>
      </c>
      <c r="E2987" s="203"/>
      <c r="F2987" s="197"/>
      <c r="G2987" s="197"/>
      <c r="H2987" s="198"/>
      <c r="L2987" s="200"/>
      <c r="M2987" s="200"/>
      <c r="N2987" s="200"/>
      <c r="O2987" s="200"/>
      <c r="P2987" s="200"/>
    </row>
    <row r="2988" spans="3:16" s="517" customFormat="1" ht="31.2" customHeight="1">
      <c r="C2988" s="543">
        <v>1</v>
      </c>
      <c r="D2988" s="750" t="s">
        <v>7189</v>
      </c>
      <c r="E2988" s="203" t="s">
        <v>42</v>
      </c>
      <c r="F2988" s="762">
        <v>0.41</v>
      </c>
      <c r="G2988" s="205">
        <f>VLOOKUP(D2988,upahbahan,3,FALSE)</f>
        <v>430000</v>
      </c>
      <c r="H2988" s="210">
        <f>F2988*G2988</f>
        <v>176300</v>
      </c>
      <c r="L2988" s="200"/>
      <c r="M2988" s="200"/>
      <c r="N2988" s="200"/>
      <c r="O2988" s="200"/>
      <c r="P2988" s="200"/>
    </row>
    <row r="2989" spans="3:16" s="517" customFormat="1" ht="31.2" customHeight="1">
      <c r="C2989" s="207" t="s">
        <v>1217</v>
      </c>
      <c r="D2989" s="208"/>
      <c r="E2989" s="208"/>
      <c r="F2989" s="208"/>
      <c r="G2989" s="209"/>
      <c r="H2989" s="240">
        <f>SUM(H2987:H2988)</f>
        <v>176300</v>
      </c>
      <c r="L2989" s="200"/>
      <c r="M2989" s="200"/>
      <c r="N2989" s="200"/>
      <c r="O2989" s="200"/>
      <c r="P2989" s="200"/>
    </row>
    <row r="2990" spans="3:16" s="517" customFormat="1" ht="31.2" customHeight="1">
      <c r="C2990" s="223" t="s">
        <v>1218</v>
      </c>
      <c r="D2990" s="224" t="s">
        <v>1219</v>
      </c>
      <c r="E2990" s="225"/>
      <c r="F2990" s="225"/>
      <c r="G2990" s="226"/>
      <c r="H2990" s="210">
        <f>H2989+H2986+H2975</f>
        <v>204122.5</v>
      </c>
      <c r="L2990" s="200"/>
      <c r="M2990" s="200"/>
      <c r="N2990" s="200"/>
      <c r="O2990" s="200"/>
      <c r="P2990" s="200"/>
    </row>
    <row r="2991" spans="3:16" s="517" customFormat="1" ht="31.2" customHeight="1">
      <c r="C2991" s="223" t="s">
        <v>1220</v>
      </c>
      <c r="D2991" s="224" t="s">
        <v>1321</v>
      </c>
      <c r="E2991" s="225"/>
      <c r="F2991" s="226"/>
      <c r="G2991" s="228">
        <v>0.1</v>
      </c>
      <c r="H2991" s="210">
        <f>H2990*G2991</f>
        <v>20412.25</v>
      </c>
      <c r="L2991" s="200"/>
      <c r="M2991" s="200"/>
      <c r="N2991" s="200"/>
      <c r="O2991" s="200"/>
      <c r="P2991" s="200"/>
    </row>
    <row r="2992" spans="3:16" s="517" customFormat="1" ht="31.2" customHeight="1" thickBot="1">
      <c r="C2992" s="229" t="s">
        <v>1221</v>
      </c>
      <c r="D2992" s="230" t="s">
        <v>1222</v>
      </c>
      <c r="E2992" s="231"/>
      <c r="F2992" s="231"/>
      <c r="G2992" s="232"/>
      <c r="H2992" s="233">
        <f>SUM(H2990:H2991)</f>
        <v>224534.75</v>
      </c>
      <c r="L2992" s="200"/>
      <c r="M2992" s="200"/>
      <c r="N2992" s="200"/>
      <c r="O2992" s="200"/>
      <c r="P2992" s="200"/>
    </row>
    <row r="2993" spans="3:20" ht="31.2" customHeight="1" thickTop="1">
      <c r="D2993" s="758" t="s">
        <v>7086</v>
      </c>
    </row>
    <row r="2994" spans="3:20" ht="31.2" customHeight="1">
      <c r="C2994" s="757" t="s">
        <v>6950</v>
      </c>
      <c r="F2994" s="758"/>
      <c r="H2994" s="758" t="s">
        <v>6959</v>
      </c>
    </row>
    <row r="2995" spans="3:20" ht="31.2" customHeight="1">
      <c r="C2995" s="200" t="s">
        <v>6951</v>
      </c>
      <c r="F2995" s="758"/>
    </row>
    <row r="2996" spans="3:20" ht="31.2" customHeight="1">
      <c r="C2996" s="200" t="s">
        <v>6952</v>
      </c>
      <c r="F2996" s="758"/>
    </row>
    <row r="2997" spans="3:20" ht="31.2" customHeight="1">
      <c r="C2997" s="200"/>
      <c r="F2997" s="758"/>
    </row>
    <row r="2998" spans="3:20" s="517" customFormat="1" ht="31.2" customHeight="1" thickBot="1">
      <c r="C2998" s="513" t="s">
        <v>7186</v>
      </c>
      <c r="D2998" s="748" t="s">
        <v>7187</v>
      </c>
      <c r="E2998" s="749"/>
      <c r="F2998" s="748"/>
      <c r="G2998" s="748"/>
      <c r="H2998" s="532"/>
      <c r="I2998" s="532"/>
      <c r="J2998" s="532"/>
      <c r="K2998" s="532"/>
      <c r="M2998" s="189"/>
      <c r="N2998" s="189"/>
      <c r="O2998" s="189"/>
      <c r="P2998" s="189"/>
      <c r="R2998" s="189">
        <f>ROUNDDOWN(H3022,-2)</f>
        <v>224500</v>
      </c>
      <c r="S2998" s="517" t="s">
        <v>6451</v>
      </c>
      <c r="T2998" s="517" t="s">
        <v>7014</v>
      </c>
    </row>
    <row r="2999" spans="3:20" s="517" customFormat="1" ht="31.2" customHeight="1" thickTop="1">
      <c r="C2999" s="190" t="s">
        <v>1195</v>
      </c>
      <c r="D2999" s="191" t="s">
        <v>1196</v>
      </c>
      <c r="E2999" s="191" t="s">
        <v>1197</v>
      </c>
      <c r="F2999" s="191" t="s">
        <v>1198</v>
      </c>
      <c r="G2999" s="191" t="s">
        <v>1199</v>
      </c>
      <c r="H2999" s="192" t="s">
        <v>1200</v>
      </c>
      <c r="L2999" s="200"/>
      <c r="M2999" s="200"/>
      <c r="N2999" s="200"/>
      <c r="O2999" s="200"/>
      <c r="P2999" s="200"/>
    </row>
    <row r="3000" spans="3:20" s="517" customFormat="1" ht="31.2" customHeight="1">
      <c r="C3000" s="518" t="s">
        <v>1201</v>
      </c>
      <c r="D3000" s="196" t="s">
        <v>1202</v>
      </c>
      <c r="E3000" s="197"/>
      <c r="F3000" s="197"/>
      <c r="G3000" s="197"/>
      <c r="H3000" s="198"/>
      <c r="L3000" s="200"/>
      <c r="M3000" s="200"/>
      <c r="N3000" s="200"/>
      <c r="O3000" s="200"/>
      <c r="P3000" s="200"/>
    </row>
    <row r="3001" spans="3:20" s="517" customFormat="1" ht="31.2" customHeight="1">
      <c r="C3001" s="518">
        <v>1</v>
      </c>
      <c r="D3001" s="196" t="s">
        <v>5</v>
      </c>
      <c r="E3001" s="203" t="s">
        <v>2102</v>
      </c>
      <c r="F3001" s="763">
        <v>6.7000000000000004E-2</v>
      </c>
      <c r="G3001" s="205">
        <f>VLOOKUP(D3001,upahbahan,3,FALSE)</f>
        <v>100000</v>
      </c>
      <c r="H3001" s="210">
        <f t="shared" ref="H3001:H3004" si="205">F3001*G3001</f>
        <v>6700</v>
      </c>
      <c r="L3001" s="200"/>
      <c r="M3001" s="200"/>
      <c r="N3001" s="200"/>
      <c r="O3001" s="200"/>
      <c r="P3001" s="200"/>
    </row>
    <row r="3002" spans="3:20" s="517" customFormat="1" ht="31.2" customHeight="1">
      <c r="C3002" s="537">
        <v>2</v>
      </c>
      <c r="D3002" s="196" t="s">
        <v>6954</v>
      </c>
      <c r="E3002" s="202" t="s">
        <v>6</v>
      </c>
      <c r="F3002" s="520">
        <v>6.7000000000000004E-2</v>
      </c>
      <c r="G3002" s="205">
        <f>VLOOKUP(D3002,upahbahan,3,FALSE)</f>
        <v>181250</v>
      </c>
      <c r="H3002" s="210">
        <f t="shared" si="205"/>
        <v>12143.75</v>
      </c>
      <c r="L3002" s="200"/>
      <c r="M3002" s="200"/>
      <c r="N3002" s="200"/>
      <c r="O3002" s="200"/>
      <c r="P3002" s="200"/>
    </row>
    <row r="3003" spans="3:20" s="517" customFormat="1" ht="31.2" customHeight="1">
      <c r="C3003" s="537">
        <v>3</v>
      </c>
      <c r="D3003" s="196" t="s">
        <v>6948</v>
      </c>
      <c r="E3003" s="202" t="s">
        <v>2102</v>
      </c>
      <c r="F3003" s="520">
        <v>3.3000000000000002E-2</v>
      </c>
      <c r="G3003" s="205">
        <f>VLOOKUP(D3003,upahbahan,3,FALSE)</f>
        <v>218750</v>
      </c>
      <c r="H3003" s="210">
        <f t="shared" si="205"/>
        <v>7218.75</v>
      </c>
      <c r="L3003" s="200"/>
      <c r="M3003" s="200"/>
      <c r="N3003" s="200"/>
      <c r="O3003" s="200"/>
      <c r="P3003" s="200"/>
    </row>
    <row r="3004" spans="3:20" s="517" customFormat="1" ht="31.2" customHeight="1">
      <c r="C3004" s="537">
        <v>4</v>
      </c>
      <c r="D3004" s="196" t="s">
        <v>19</v>
      </c>
      <c r="E3004" s="202" t="s">
        <v>6</v>
      </c>
      <c r="F3004" s="520">
        <v>1.0999999999999999E-2</v>
      </c>
      <c r="G3004" s="205">
        <f>VLOOKUP(D3004,upahbahan,3,FALSE)</f>
        <v>160000</v>
      </c>
      <c r="H3004" s="210">
        <f t="shared" si="205"/>
        <v>1760</v>
      </c>
      <c r="L3004" s="200"/>
      <c r="M3004" s="200"/>
      <c r="N3004" s="200"/>
      <c r="O3004" s="200"/>
      <c r="P3004" s="200"/>
    </row>
    <row r="3005" spans="3:20" s="517" customFormat="1" ht="31.2" customHeight="1">
      <c r="C3005" s="207" t="s">
        <v>1208</v>
      </c>
      <c r="D3005" s="208"/>
      <c r="E3005" s="208"/>
      <c r="F3005" s="521"/>
      <c r="G3005" s="522"/>
      <c r="H3005" s="210">
        <f>SUM(H3001:H3004)</f>
        <v>27822.5</v>
      </c>
      <c r="L3005" s="523"/>
      <c r="M3005" s="523"/>
      <c r="N3005" s="523"/>
      <c r="O3005" s="523"/>
      <c r="P3005" s="523"/>
    </row>
    <row r="3006" spans="3:20" s="517" customFormat="1" ht="31.2" customHeight="1">
      <c r="C3006" s="543" t="s">
        <v>1209</v>
      </c>
      <c r="D3006" s="750" t="s">
        <v>1210</v>
      </c>
      <c r="E3006" s="197"/>
      <c r="F3006" s="751"/>
      <c r="G3006" s="197"/>
      <c r="H3006" s="752"/>
      <c r="L3006" s="200"/>
      <c r="M3006" s="200"/>
      <c r="N3006" s="200"/>
      <c r="O3006" s="200"/>
      <c r="P3006" s="200"/>
    </row>
    <row r="3007" spans="3:20" s="517" customFormat="1" ht="31.2" customHeight="1">
      <c r="C3007" s="543">
        <v>1</v>
      </c>
      <c r="D3007" s="750" t="s">
        <v>7190</v>
      </c>
      <c r="E3007" s="203" t="s">
        <v>44</v>
      </c>
      <c r="F3007" s="753">
        <v>1.05</v>
      </c>
      <c r="G3007" s="205">
        <f>VLOOKUP(D3007,upahbahan,3,FALSE)</f>
        <v>0</v>
      </c>
      <c r="H3007" s="210">
        <f t="shared" ref="H3007:H3015" si="206">F3007*G3007</f>
        <v>0</v>
      </c>
      <c r="L3007" s="200"/>
      <c r="M3007" s="200"/>
      <c r="N3007" s="200"/>
      <c r="O3007" s="200"/>
      <c r="P3007" s="200"/>
    </row>
    <row r="3008" spans="3:20" s="517" customFormat="1" ht="31.2" customHeight="1">
      <c r="C3008" s="543">
        <v>2</v>
      </c>
      <c r="D3008" s="750" t="s">
        <v>5563</v>
      </c>
      <c r="E3008" s="203" t="s">
        <v>65</v>
      </c>
      <c r="F3008" s="753">
        <v>0.02</v>
      </c>
      <c r="G3008" s="205">
        <f>VLOOKUP(D3008,upahbahan,3,FALSE)</f>
        <v>0</v>
      </c>
      <c r="H3008" s="210">
        <f t="shared" si="206"/>
        <v>0</v>
      </c>
      <c r="L3008" s="200"/>
      <c r="M3008" s="200"/>
      <c r="N3008" s="200"/>
      <c r="O3008" s="200"/>
      <c r="P3008" s="200"/>
    </row>
    <row r="3009" spans="3:16" s="517" customFormat="1" ht="31.2" customHeight="1">
      <c r="C3009" s="543">
        <v>3</v>
      </c>
      <c r="D3009" s="750" t="s">
        <v>5555</v>
      </c>
      <c r="E3009" s="203"/>
      <c r="F3009" s="753"/>
      <c r="G3009" s="197"/>
      <c r="H3009" s="210">
        <f t="shared" si="206"/>
        <v>0</v>
      </c>
      <c r="L3009" s="200"/>
      <c r="M3009" s="200"/>
      <c r="N3009" s="200"/>
      <c r="O3009" s="200"/>
      <c r="P3009" s="200"/>
    </row>
    <row r="3010" spans="3:16" s="517" customFormat="1" ht="31.2" customHeight="1">
      <c r="C3010" s="754" t="s">
        <v>5293</v>
      </c>
      <c r="D3010" s="750" t="s">
        <v>7142</v>
      </c>
      <c r="E3010" s="203" t="s">
        <v>113</v>
      </c>
      <c r="F3010" s="760">
        <v>18</v>
      </c>
      <c r="G3010" s="205">
        <f>VLOOKUP(D3010,upahbahan,3,FALSE)</f>
        <v>0</v>
      </c>
      <c r="H3010" s="210">
        <f t="shared" si="206"/>
        <v>0</v>
      </c>
      <c r="L3010" s="200"/>
      <c r="M3010" s="200"/>
      <c r="N3010" s="200"/>
      <c r="O3010" s="200"/>
      <c r="P3010" s="200"/>
    </row>
    <row r="3011" spans="3:16" s="517" customFormat="1" ht="31.2" customHeight="1">
      <c r="C3011" s="754" t="s">
        <v>5299</v>
      </c>
      <c r="D3011" s="750" t="s">
        <v>7055</v>
      </c>
      <c r="E3011" s="203" t="s">
        <v>113</v>
      </c>
      <c r="F3011" s="760">
        <v>10</v>
      </c>
      <c r="G3011" s="205">
        <f>VLOOKUP(D3011,upahbahan,3,FALSE)</f>
        <v>0</v>
      </c>
      <c r="H3011" s="210">
        <f t="shared" si="206"/>
        <v>0</v>
      </c>
      <c r="L3011" s="200"/>
      <c r="M3011" s="200"/>
      <c r="N3011" s="200"/>
      <c r="O3011" s="200"/>
      <c r="P3011" s="200"/>
    </row>
    <row r="3012" spans="3:16" s="517" customFormat="1" ht="31.2" customHeight="1">
      <c r="C3012" s="543">
        <v>4</v>
      </c>
      <c r="D3012" s="750" t="s">
        <v>5556</v>
      </c>
      <c r="E3012" s="203"/>
      <c r="F3012" s="753"/>
      <c r="G3012" s="197"/>
      <c r="H3012" s="210">
        <f t="shared" si="206"/>
        <v>0</v>
      </c>
      <c r="L3012" s="200"/>
      <c r="M3012" s="200"/>
      <c r="N3012" s="200"/>
      <c r="O3012" s="200"/>
      <c r="P3012" s="200"/>
    </row>
    <row r="3013" spans="3:16" s="517" customFormat="1" ht="31.2" customHeight="1">
      <c r="C3013" s="754" t="s">
        <v>5293</v>
      </c>
      <c r="D3013" s="750" t="s">
        <v>2084</v>
      </c>
      <c r="E3013" s="203" t="s">
        <v>42</v>
      </c>
      <c r="F3013" s="753">
        <v>0.14599999999999999</v>
      </c>
      <c r="G3013" s="205">
        <f>VLOOKUP(D3013,upahbahan,3,FALSE)</f>
        <v>0</v>
      </c>
      <c r="H3013" s="210">
        <f t="shared" si="206"/>
        <v>0</v>
      </c>
      <c r="L3013" s="200"/>
      <c r="M3013" s="200"/>
      <c r="N3013" s="200"/>
      <c r="O3013" s="200"/>
      <c r="P3013" s="200"/>
    </row>
    <row r="3014" spans="3:16" s="517" customFormat="1" ht="31.2" customHeight="1">
      <c r="C3014" s="754" t="s">
        <v>5299</v>
      </c>
      <c r="D3014" s="750" t="s">
        <v>5566</v>
      </c>
      <c r="E3014" s="203" t="s">
        <v>42</v>
      </c>
      <c r="F3014" s="753">
        <v>3.9E-2</v>
      </c>
      <c r="G3014" s="205">
        <f>VLOOKUP(D3014,upahbahan,3,FALSE)</f>
        <v>0</v>
      </c>
      <c r="H3014" s="210">
        <f t="shared" si="206"/>
        <v>0</v>
      </c>
      <c r="L3014" s="200"/>
      <c r="M3014" s="200"/>
      <c r="N3014" s="200"/>
      <c r="O3014" s="200"/>
      <c r="P3014" s="200"/>
    </row>
    <row r="3015" spans="3:16" s="517" customFormat="1" ht="31.2" customHeight="1">
      <c r="C3015" s="754" t="s">
        <v>5558</v>
      </c>
      <c r="D3015" s="750" t="s">
        <v>2325</v>
      </c>
      <c r="E3015" s="203" t="s">
        <v>42</v>
      </c>
      <c r="F3015" s="762">
        <v>0.01</v>
      </c>
      <c r="G3015" s="205">
        <f>VLOOKUP(D3015,upahbahan,3,FALSE)</f>
        <v>0</v>
      </c>
      <c r="H3015" s="210">
        <f t="shared" si="206"/>
        <v>0</v>
      </c>
      <c r="L3015" s="200"/>
      <c r="M3015" s="200"/>
      <c r="N3015" s="200"/>
      <c r="O3015" s="200"/>
      <c r="P3015" s="200"/>
    </row>
    <row r="3016" spans="3:16" s="517" customFormat="1" ht="31.2" customHeight="1">
      <c r="C3016" s="207" t="s">
        <v>1214</v>
      </c>
      <c r="D3016" s="208"/>
      <c r="E3016" s="568"/>
      <c r="F3016" s="208"/>
      <c r="G3016" s="209"/>
      <c r="H3016" s="210">
        <f>SUM(H3007:H3015)</f>
        <v>0</v>
      </c>
      <c r="L3016" s="200"/>
      <c r="M3016" s="200"/>
      <c r="N3016" s="200"/>
      <c r="O3016" s="200"/>
      <c r="P3016" s="200"/>
    </row>
    <row r="3017" spans="3:16" s="517" customFormat="1" ht="31.2" customHeight="1">
      <c r="C3017" s="756" t="s">
        <v>1215</v>
      </c>
      <c r="D3017" s="196" t="s">
        <v>1216</v>
      </c>
      <c r="E3017" s="203"/>
      <c r="F3017" s="197"/>
      <c r="G3017" s="197"/>
      <c r="H3017" s="198"/>
      <c r="L3017" s="200"/>
      <c r="M3017" s="200"/>
      <c r="N3017" s="200"/>
      <c r="O3017" s="200"/>
      <c r="P3017" s="200"/>
    </row>
    <row r="3018" spans="3:16" s="517" customFormat="1" ht="31.2" customHeight="1">
      <c r="C3018" s="543">
        <v>1</v>
      </c>
      <c r="D3018" s="750" t="s">
        <v>7189</v>
      </c>
      <c r="E3018" s="203" t="s">
        <v>42</v>
      </c>
      <c r="F3018" s="762">
        <v>0.41</v>
      </c>
      <c r="G3018" s="205">
        <f>VLOOKUP(D3018,upahbahan,3,FALSE)</f>
        <v>430000</v>
      </c>
      <c r="H3018" s="210">
        <f>F3018*G3018</f>
        <v>176300</v>
      </c>
      <c r="L3018" s="200"/>
      <c r="M3018" s="200"/>
      <c r="N3018" s="200"/>
      <c r="O3018" s="200"/>
      <c r="P3018" s="200"/>
    </row>
    <row r="3019" spans="3:16" s="517" customFormat="1" ht="31.2" customHeight="1">
      <c r="C3019" s="207" t="s">
        <v>1217</v>
      </c>
      <c r="D3019" s="208"/>
      <c r="E3019" s="208"/>
      <c r="F3019" s="208"/>
      <c r="G3019" s="209"/>
      <c r="H3019" s="240">
        <f>SUM(H3017:H3018)</f>
        <v>176300</v>
      </c>
      <c r="L3019" s="200"/>
      <c r="M3019" s="200"/>
      <c r="N3019" s="200"/>
      <c r="O3019" s="200"/>
      <c r="P3019" s="200"/>
    </row>
    <row r="3020" spans="3:16" s="517" customFormat="1" ht="31.2" customHeight="1">
      <c r="C3020" s="223" t="s">
        <v>1218</v>
      </c>
      <c r="D3020" s="224" t="s">
        <v>1219</v>
      </c>
      <c r="E3020" s="225"/>
      <c r="F3020" s="225"/>
      <c r="G3020" s="226"/>
      <c r="H3020" s="210">
        <f>H3019+H3016+H3005</f>
        <v>204122.5</v>
      </c>
      <c r="L3020" s="200"/>
      <c r="M3020" s="200"/>
      <c r="N3020" s="200"/>
      <c r="O3020" s="200"/>
      <c r="P3020" s="200"/>
    </row>
    <row r="3021" spans="3:16" s="517" customFormat="1" ht="31.2" customHeight="1">
      <c r="C3021" s="223" t="s">
        <v>1220</v>
      </c>
      <c r="D3021" s="224" t="s">
        <v>1321</v>
      </c>
      <c r="E3021" s="225"/>
      <c r="F3021" s="226"/>
      <c r="G3021" s="228">
        <v>0.1</v>
      </c>
      <c r="H3021" s="210">
        <f>H3020*G3021</f>
        <v>20412.25</v>
      </c>
      <c r="L3021" s="200"/>
      <c r="M3021" s="200"/>
      <c r="N3021" s="200"/>
      <c r="O3021" s="200"/>
      <c r="P3021" s="200"/>
    </row>
    <row r="3022" spans="3:16" s="517" customFormat="1" ht="31.2" customHeight="1" thickBot="1">
      <c r="C3022" s="229" t="s">
        <v>1221</v>
      </c>
      <c r="D3022" s="230" t="s">
        <v>1222</v>
      </c>
      <c r="E3022" s="231"/>
      <c r="F3022" s="231"/>
      <c r="G3022" s="232"/>
      <c r="H3022" s="233">
        <f>SUM(H3020:H3021)</f>
        <v>224534.75</v>
      </c>
      <c r="L3022" s="200"/>
      <c r="M3022" s="200"/>
      <c r="N3022" s="200"/>
      <c r="O3022" s="200"/>
      <c r="P3022" s="200"/>
    </row>
    <row r="3023" spans="3:16" ht="31.2" customHeight="1" thickTop="1">
      <c r="D3023" s="758" t="s">
        <v>7086</v>
      </c>
    </row>
    <row r="3024" spans="3:16" ht="31.2" customHeight="1">
      <c r="C3024" s="757" t="s">
        <v>6950</v>
      </c>
      <c r="F3024" s="758"/>
      <c r="H3024" s="758" t="s">
        <v>6959</v>
      </c>
    </row>
    <row r="3025" spans="3:20" ht="31.2" customHeight="1">
      <c r="C3025" s="200" t="s">
        <v>6951</v>
      </c>
      <c r="F3025" s="758"/>
    </row>
    <row r="3026" spans="3:20" ht="31.2" customHeight="1">
      <c r="C3026" s="200" t="s">
        <v>6952</v>
      </c>
      <c r="F3026" s="758"/>
    </row>
    <row r="3027" spans="3:20" ht="31.2" customHeight="1">
      <c r="C3027" s="200"/>
      <c r="F3027" s="758"/>
    </row>
    <row r="3028" spans="3:20" s="517" customFormat="1" ht="31.2" customHeight="1" thickBot="1">
      <c r="C3028" s="513" t="s">
        <v>7191</v>
      </c>
      <c r="D3028" s="748" t="s">
        <v>7184</v>
      </c>
      <c r="E3028" s="749"/>
      <c r="F3028" s="748"/>
      <c r="G3028" s="748"/>
      <c r="H3028" s="532"/>
      <c r="I3028" s="532"/>
      <c r="J3028" s="532"/>
      <c r="K3028" s="532"/>
      <c r="M3028" s="189"/>
      <c r="N3028" s="189"/>
      <c r="O3028" s="189"/>
      <c r="P3028" s="189"/>
      <c r="R3028" s="189">
        <f>ROUNDDOWN(H3052,-2)</f>
        <v>224500</v>
      </c>
      <c r="S3028" s="517" t="s">
        <v>6451</v>
      </c>
      <c r="T3028" s="517" t="s">
        <v>7014</v>
      </c>
    </row>
    <row r="3029" spans="3:20" s="517" customFormat="1" ht="31.2" customHeight="1" thickTop="1">
      <c r="C3029" s="190" t="s">
        <v>1195</v>
      </c>
      <c r="D3029" s="191" t="s">
        <v>1196</v>
      </c>
      <c r="E3029" s="191" t="s">
        <v>1197</v>
      </c>
      <c r="F3029" s="191" t="s">
        <v>1198</v>
      </c>
      <c r="G3029" s="191" t="s">
        <v>1199</v>
      </c>
      <c r="H3029" s="192" t="s">
        <v>1200</v>
      </c>
      <c r="L3029" s="200"/>
      <c r="M3029" s="200"/>
      <c r="N3029" s="200"/>
      <c r="O3029" s="200"/>
      <c r="P3029" s="200"/>
    </row>
    <row r="3030" spans="3:20" s="517" customFormat="1" ht="31.2" customHeight="1">
      <c r="C3030" s="518" t="s">
        <v>1201</v>
      </c>
      <c r="D3030" s="196" t="s">
        <v>1202</v>
      </c>
      <c r="E3030" s="197"/>
      <c r="F3030" s="197"/>
      <c r="G3030" s="197"/>
      <c r="H3030" s="198"/>
      <c r="L3030" s="200"/>
      <c r="M3030" s="200"/>
      <c r="N3030" s="200"/>
      <c r="O3030" s="200"/>
      <c r="P3030" s="200"/>
    </row>
    <row r="3031" spans="3:20" s="517" customFormat="1" ht="31.2" customHeight="1">
      <c r="C3031" s="518">
        <v>1</v>
      </c>
      <c r="D3031" s="196" t="s">
        <v>5</v>
      </c>
      <c r="E3031" s="203" t="s">
        <v>2102</v>
      </c>
      <c r="F3031" s="763">
        <v>6.7000000000000004E-2</v>
      </c>
      <c r="G3031" s="205">
        <f>VLOOKUP(D3031,upahbahan,3,FALSE)</f>
        <v>100000</v>
      </c>
      <c r="H3031" s="210">
        <f t="shared" ref="H3031:H3034" si="207">F3031*G3031</f>
        <v>6700</v>
      </c>
      <c r="L3031" s="200"/>
      <c r="M3031" s="200"/>
      <c r="N3031" s="200"/>
      <c r="O3031" s="200"/>
      <c r="P3031" s="200"/>
    </row>
    <row r="3032" spans="3:20" s="517" customFormat="1" ht="31.2" customHeight="1">
      <c r="C3032" s="537">
        <v>2</v>
      </c>
      <c r="D3032" s="196" t="s">
        <v>6954</v>
      </c>
      <c r="E3032" s="202" t="s">
        <v>6</v>
      </c>
      <c r="F3032" s="520">
        <v>6.7000000000000004E-2</v>
      </c>
      <c r="G3032" s="205">
        <f>VLOOKUP(D3032,upahbahan,3,FALSE)</f>
        <v>181250</v>
      </c>
      <c r="H3032" s="210">
        <f t="shared" si="207"/>
        <v>12143.75</v>
      </c>
      <c r="L3032" s="200"/>
      <c r="M3032" s="200"/>
      <c r="N3032" s="200"/>
      <c r="O3032" s="200"/>
      <c r="P3032" s="200"/>
    </row>
    <row r="3033" spans="3:20" s="517" customFormat="1" ht="31.2" customHeight="1">
      <c r="C3033" s="537">
        <v>3</v>
      </c>
      <c r="D3033" s="196" t="s">
        <v>6948</v>
      </c>
      <c r="E3033" s="202" t="s">
        <v>2102</v>
      </c>
      <c r="F3033" s="520">
        <v>3.3000000000000002E-2</v>
      </c>
      <c r="G3033" s="205">
        <f>VLOOKUP(D3033,upahbahan,3,FALSE)</f>
        <v>218750</v>
      </c>
      <c r="H3033" s="210">
        <f t="shared" si="207"/>
        <v>7218.75</v>
      </c>
      <c r="L3033" s="200"/>
      <c r="M3033" s="200"/>
      <c r="N3033" s="200"/>
      <c r="O3033" s="200"/>
      <c r="P3033" s="200"/>
    </row>
    <row r="3034" spans="3:20" s="517" customFormat="1" ht="31.2" customHeight="1">
      <c r="C3034" s="537">
        <v>4</v>
      </c>
      <c r="D3034" s="196" t="s">
        <v>19</v>
      </c>
      <c r="E3034" s="202" t="s">
        <v>6</v>
      </c>
      <c r="F3034" s="520">
        <v>1.0999999999999999E-2</v>
      </c>
      <c r="G3034" s="205">
        <f>VLOOKUP(D3034,upahbahan,3,FALSE)</f>
        <v>160000</v>
      </c>
      <c r="H3034" s="210">
        <f t="shared" si="207"/>
        <v>1760</v>
      </c>
      <c r="L3034" s="200"/>
      <c r="M3034" s="200"/>
      <c r="N3034" s="200"/>
      <c r="O3034" s="200"/>
      <c r="P3034" s="200"/>
    </row>
    <row r="3035" spans="3:20" s="517" customFormat="1" ht="31.2" customHeight="1">
      <c r="C3035" s="207" t="s">
        <v>1208</v>
      </c>
      <c r="D3035" s="208"/>
      <c r="E3035" s="208"/>
      <c r="F3035" s="521"/>
      <c r="G3035" s="522"/>
      <c r="H3035" s="210">
        <f>SUM(H3031:H3034)</f>
        <v>27822.5</v>
      </c>
      <c r="L3035" s="523"/>
      <c r="M3035" s="523"/>
      <c r="N3035" s="523"/>
      <c r="O3035" s="523"/>
      <c r="P3035" s="523"/>
    </row>
    <row r="3036" spans="3:20" s="517" customFormat="1" ht="31.2" customHeight="1">
      <c r="C3036" s="543" t="s">
        <v>1209</v>
      </c>
      <c r="D3036" s="750" t="s">
        <v>1210</v>
      </c>
      <c r="E3036" s="197"/>
      <c r="F3036" s="751"/>
      <c r="G3036" s="197"/>
      <c r="H3036" s="752"/>
      <c r="L3036" s="200"/>
      <c r="M3036" s="200"/>
      <c r="N3036" s="200"/>
      <c r="O3036" s="200"/>
      <c r="P3036" s="200"/>
    </row>
    <row r="3037" spans="3:20" s="517" customFormat="1" ht="31.2" customHeight="1">
      <c r="C3037" s="543">
        <v>1</v>
      </c>
      <c r="D3037" s="750" t="s">
        <v>7185</v>
      </c>
      <c r="E3037" s="203" t="s">
        <v>44</v>
      </c>
      <c r="F3037" s="753">
        <v>1.05</v>
      </c>
      <c r="G3037" s="205">
        <f>VLOOKUP(D3037,upahbahan,3,FALSE)</f>
        <v>0</v>
      </c>
      <c r="H3037" s="210">
        <f t="shared" ref="H3037:H3045" si="208">F3037*G3037</f>
        <v>0</v>
      </c>
      <c r="L3037" s="200"/>
      <c r="M3037" s="200"/>
      <c r="N3037" s="200"/>
      <c r="O3037" s="200"/>
      <c r="P3037" s="200"/>
    </row>
    <row r="3038" spans="3:20" s="517" customFormat="1" ht="31.2" customHeight="1">
      <c r="C3038" s="543">
        <v>2</v>
      </c>
      <c r="D3038" s="750" t="s">
        <v>5563</v>
      </c>
      <c r="E3038" s="203" t="s">
        <v>65</v>
      </c>
      <c r="F3038" s="753">
        <v>0.02</v>
      </c>
      <c r="G3038" s="205">
        <f>VLOOKUP(D3038,upahbahan,3,FALSE)</f>
        <v>0</v>
      </c>
      <c r="H3038" s="210">
        <f t="shared" si="208"/>
        <v>0</v>
      </c>
      <c r="L3038" s="200"/>
      <c r="M3038" s="200"/>
      <c r="N3038" s="200"/>
      <c r="O3038" s="200"/>
      <c r="P3038" s="200"/>
    </row>
    <row r="3039" spans="3:20" s="517" customFormat="1" ht="31.2" customHeight="1">
      <c r="C3039" s="543">
        <v>3</v>
      </c>
      <c r="D3039" s="750" t="s">
        <v>5555</v>
      </c>
      <c r="E3039" s="203"/>
      <c r="F3039" s="753"/>
      <c r="G3039" s="197"/>
      <c r="H3039" s="210">
        <f t="shared" si="208"/>
        <v>0</v>
      </c>
      <c r="L3039" s="200"/>
      <c r="M3039" s="200"/>
      <c r="N3039" s="200"/>
      <c r="O3039" s="200"/>
      <c r="P3039" s="200"/>
    </row>
    <row r="3040" spans="3:20" s="517" customFormat="1" ht="31.2" customHeight="1">
      <c r="C3040" s="754" t="s">
        <v>5293</v>
      </c>
      <c r="D3040" s="750" t="s">
        <v>7142</v>
      </c>
      <c r="E3040" s="203" t="s">
        <v>113</v>
      </c>
      <c r="F3040" s="760">
        <v>18</v>
      </c>
      <c r="G3040" s="205">
        <f>VLOOKUP(D3040,upahbahan,3,FALSE)</f>
        <v>0</v>
      </c>
      <c r="H3040" s="210">
        <f t="shared" si="208"/>
        <v>0</v>
      </c>
      <c r="L3040" s="200"/>
      <c r="M3040" s="200"/>
      <c r="N3040" s="200"/>
      <c r="O3040" s="200"/>
      <c r="P3040" s="200"/>
    </row>
    <row r="3041" spans="3:16" s="517" customFormat="1" ht="31.2" customHeight="1">
      <c r="C3041" s="754" t="s">
        <v>5299</v>
      </c>
      <c r="D3041" s="750" t="s">
        <v>7055</v>
      </c>
      <c r="E3041" s="203" t="s">
        <v>113</v>
      </c>
      <c r="F3041" s="760">
        <v>10</v>
      </c>
      <c r="G3041" s="205">
        <f>VLOOKUP(D3041,upahbahan,3,FALSE)</f>
        <v>0</v>
      </c>
      <c r="H3041" s="210">
        <f t="shared" si="208"/>
        <v>0</v>
      </c>
      <c r="L3041" s="200"/>
      <c r="M3041" s="200"/>
      <c r="N3041" s="200"/>
      <c r="O3041" s="200"/>
      <c r="P3041" s="200"/>
    </row>
    <row r="3042" spans="3:16" s="517" customFormat="1" ht="31.2" customHeight="1">
      <c r="C3042" s="543">
        <v>4</v>
      </c>
      <c r="D3042" s="750" t="s">
        <v>5556</v>
      </c>
      <c r="E3042" s="203"/>
      <c r="F3042" s="753"/>
      <c r="G3042" s="197"/>
      <c r="H3042" s="210">
        <f t="shared" si="208"/>
        <v>0</v>
      </c>
      <c r="L3042" s="200"/>
      <c r="M3042" s="200"/>
      <c r="N3042" s="200"/>
      <c r="O3042" s="200"/>
      <c r="P3042" s="200"/>
    </row>
    <row r="3043" spans="3:16" s="517" customFormat="1" ht="31.2" customHeight="1">
      <c r="C3043" s="754" t="s">
        <v>5293</v>
      </c>
      <c r="D3043" s="750" t="s">
        <v>2084</v>
      </c>
      <c r="E3043" s="203" t="s">
        <v>42</v>
      </c>
      <c r="F3043" s="753">
        <v>0.14599999999999999</v>
      </c>
      <c r="G3043" s="205">
        <f>VLOOKUP(D3043,upahbahan,3,FALSE)</f>
        <v>0</v>
      </c>
      <c r="H3043" s="210">
        <f t="shared" si="208"/>
        <v>0</v>
      </c>
      <c r="L3043" s="200"/>
      <c r="M3043" s="200"/>
      <c r="N3043" s="200"/>
      <c r="O3043" s="200"/>
      <c r="P3043" s="200"/>
    </row>
    <row r="3044" spans="3:16" s="517" customFormat="1" ht="31.2" customHeight="1">
      <c r="C3044" s="754" t="s">
        <v>5299</v>
      </c>
      <c r="D3044" s="750" t="s">
        <v>5566</v>
      </c>
      <c r="E3044" s="203" t="s">
        <v>42</v>
      </c>
      <c r="F3044" s="753">
        <v>3.9E-2</v>
      </c>
      <c r="G3044" s="205">
        <f>VLOOKUP(D3044,upahbahan,3,FALSE)</f>
        <v>0</v>
      </c>
      <c r="H3044" s="210">
        <f t="shared" si="208"/>
        <v>0</v>
      </c>
      <c r="L3044" s="200"/>
      <c r="M3044" s="200"/>
      <c r="N3044" s="200"/>
      <c r="O3044" s="200"/>
      <c r="P3044" s="200"/>
    </row>
    <row r="3045" spans="3:16" s="517" customFormat="1" ht="31.2" customHeight="1">
      <c r="C3045" s="754" t="s">
        <v>5558</v>
      </c>
      <c r="D3045" s="750" t="s">
        <v>2325</v>
      </c>
      <c r="E3045" s="203" t="s">
        <v>42</v>
      </c>
      <c r="F3045" s="762">
        <v>0.01</v>
      </c>
      <c r="G3045" s="205">
        <f>VLOOKUP(D3045,upahbahan,3,FALSE)</f>
        <v>0</v>
      </c>
      <c r="H3045" s="210">
        <f t="shared" si="208"/>
        <v>0</v>
      </c>
      <c r="L3045" s="200"/>
      <c r="M3045" s="200"/>
      <c r="N3045" s="200"/>
      <c r="O3045" s="200"/>
      <c r="P3045" s="200"/>
    </row>
    <row r="3046" spans="3:16" s="517" customFormat="1" ht="31.2" customHeight="1">
      <c r="C3046" s="207" t="s">
        <v>1214</v>
      </c>
      <c r="D3046" s="208"/>
      <c r="E3046" s="568"/>
      <c r="F3046" s="208"/>
      <c r="G3046" s="209"/>
      <c r="H3046" s="210">
        <f>SUM(H3037:H3045)</f>
        <v>0</v>
      </c>
      <c r="L3046" s="200"/>
      <c r="M3046" s="200"/>
      <c r="N3046" s="200"/>
      <c r="O3046" s="200"/>
      <c r="P3046" s="200"/>
    </row>
    <row r="3047" spans="3:16" s="517" customFormat="1" ht="31.2" customHeight="1">
      <c r="C3047" s="756" t="s">
        <v>1215</v>
      </c>
      <c r="D3047" s="196" t="s">
        <v>1216</v>
      </c>
      <c r="E3047" s="203"/>
      <c r="F3047" s="197"/>
      <c r="G3047" s="197"/>
      <c r="H3047" s="198"/>
      <c r="L3047" s="200"/>
      <c r="M3047" s="200"/>
      <c r="N3047" s="200"/>
      <c r="O3047" s="200"/>
      <c r="P3047" s="200"/>
    </row>
    <row r="3048" spans="3:16" s="517" customFormat="1" ht="31.2" customHeight="1">
      <c r="C3048" s="543">
        <v>1</v>
      </c>
      <c r="D3048" s="750" t="s">
        <v>7189</v>
      </c>
      <c r="E3048" s="203" t="s">
        <v>42</v>
      </c>
      <c r="F3048" s="762">
        <v>0.41</v>
      </c>
      <c r="G3048" s="205">
        <f>VLOOKUP(D3048,upahbahan,3,FALSE)</f>
        <v>430000</v>
      </c>
      <c r="H3048" s="210">
        <f>F3048*G3048</f>
        <v>176300</v>
      </c>
      <c r="L3048" s="200"/>
      <c r="M3048" s="200"/>
      <c r="N3048" s="200"/>
      <c r="O3048" s="200"/>
      <c r="P3048" s="200"/>
    </row>
    <row r="3049" spans="3:16" s="517" customFormat="1" ht="31.2" customHeight="1">
      <c r="C3049" s="207" t="s">
        <v>1217</v>
      </c>
      <c r="D3049" s="208"/>
      <c r="E3049" s="208"/>
      <c r="F3049" s="208"/>
      <c r="G3049" s="209"/>
      <c r="H3049" s="240">
        <f>SUM(H3047:H3048)</f>
        <v>176300</v>
      </c>
      <c r="L3049" s="200"/>
      <c r="M3049" s="200"/>
      <c r="N3049" s="200"/>
      <c r="O3049" s="200"/>
      <c r="P3049" s="200"/>
    </row>
    <row r="3050" spans="3:16" s="517" customFormat="1" ht="31.2" customHeight="1">
      <c r="C3050" s="223" t="s">
        <v>1218</v>
      </c>
      <c r="D3050" s="224" t="s">
        <v>1219</v>
      </c>
      <c r="E3050" s="225"/>
      <c r="F3050" s="225"/>
      <c r="G3050" s="226"/>
      <c r="H3050" s="210">
        <f>H3049+H3046+H3035</f>
        <v>204122.5</v>
      </c>
      <c r="L3050" s="200"/>
      <c r="M3050" s="200"/>
      <c r="N3050" s="200"/>
      <c r="O3050" s="200"/>
      <c r="P3050" s="200"/>
    </row>
    <row r="3051" spans="3:16" s="517" customFormat="1" ht="31.2" customHeight="1">
      <c r="C3051" s="223" t="s">
        <v>1220</v>
      </c>
      <c r="D3051" s="224" t="s">
        <v>1321</v>
      </c>
      <c r="E3051" s="225"/>
      <c r="F3051" s="226"/>
      <c r="G3051" s="228">
        <v>0.1</v>
      </c>
      <c r="H3051" s="210">
        <f>H3050*G3051</f>
        <v>20412.25</v>
      </c>
      <c r="L3051" s="200"/>
      <c r="M3051" s="200"/>
      <c r="N3051" s="200"/>
      <c r="O3051" s="200"/>
      <c r="P3051" s="200"/>
    </row>
    <row r="3052" spans="3:16" s="517" customFormat="1" ht="31.2" customHeight="1" thickBot="1">
      <c r="C3052" s="229" t="s">
        <v>1221</v>
      </c>
      <c r="D3052" s="230" t="s">
        <v>1222</v>
      </c>
      <c r="E3052" s="231"/>
      <c r="F3052" s="231"/>
      <c r="G3052" s="232"/>
      <c r="H3052" s="233">
        <f>SUM(H3050:H3051)</f>
        <v>224534.75</v>
      </c>
      <c r="L3052" s="200"/>
      <c r="M3052" s="200"/>
      <c r="N3052" s="200"/>
      <c r="O3052" s="200"/>
      <c r="P3052" s="200"/>
    </row>
    <row r="3053" spans="3:16" ht="31.2" customHeight="1" thickTop="1">
      <c r="D3053" s="758" t="s">
        <v>7086</v>
      </c>
    </row>
    <row r="3054" spans="3:16" ht="31.2" customHeight="1">
      <c r="C3054" s="757" t="s">
        <v>6950</v>
      </c>
      <c r="F3054" s="758"/>
      <c r="H3054" s="758" t="s">
        <v>6959</v>
      </c>
    </row>
    <row r="3055" spans="3:16" ht="31.2" customHeight="1">
      <c r="C3055" s="200" t="s">
        <v>6951</v>
      </c>
      <c r="F3055" s="758"/>
    </row>
    <row r="3056" spans="3:16" ht="31.2" customHeight="1">
      <c r="C3056" s="200" t="s">
        <v>6952</v>
      </c>
      <c r="F3056" s="758"/>
    </row>
    <row r="3057" spans="3:20" ht="31.2" customHeight="1">
      <c r="C3057" s="200"/>
      <c r="F3057" s="758"/>
    </row>
    <row r="3058" spans="3:20" s="517" customFormat="1" ht="31.2" customHeight="1" thickBot="1">
      <c r="C3058" s="513" t="s">
        <v>7192</v>
      </c>
      <c r="D3058" s="748" t="s">
        <v>7193</v>
      </c>
      <c r="E3058" s="749"/>
      <c r="F3058" s="748"/>
      <c r="G3058" s="748"/>
      <c r="H3058" s="532"/>
      <c r="I3058" s="532"/>
      <c r="J3058" s="532"/>
      <c r="K3058" s="532"/>
      <c r="M3058" s="189"/>
      <c r="N3058" s="189"/>
      <c r="O3058" s="189"/>
      <c r="P3058" s="189"/>
      <c r="R3058" s="189">
        <f>ROUNDDOWN(H3082,-2)</f>
        <v>224500</v>
      </c>
      <c r="S3058" s="517" t="s">
        <v>6451</v>
      </c>
      <c r="T3058" s="517" t="s">
        <v>7014</v>
      </c>
    </row>
    <row r="3059" spans="3:20" s="517" customFormat="1" ht="31.2" customHeight="1" thickTop="1">
      <c r="C3059" s="190" t="s">
        <v>1195</v>
      </c>
      <c r="D3059" s="191" t="s">
        <v>1196</v>
      </c>
      <c r="E3059" s="191" t="s">
        <v>1197</v>
      </c>
      <c r="F3059" s="191" t="s">
        <v>1198</v>
      </c>
      <c r="G3059" s="191" t="s">
        <v>1199</v>
      </c>
      <c r="H3059" s="192" t="s">
        <v>1200</v>
      </c>
      <c r="L3059" s="200"/>
      <c r="M3059" s="200"/>
      <c r="N3059" s="200"/>
      <c r="O3059" s="200"/>
      <c r="P3059" s="200"/>
    </row>
    <row r="3060" spans="3:20" s="517" customFormat="1" ht="31.2" customHeight="1">
      <c r="C3060" s="518" t="s">
        <v>1201</v>
      </c>
      <c r="D3060" s="196" t="s">
        <v>1202</v>
      </c>
      <c r="E3060" s="197"/>
      <c r="F3060" s="197"/>
      <c r="G3060" s="197"/>
      <c r="H3060" s="198"/>
      <c r="L3060" s="200"/>
      <c r="M3060" s="200"/>
      <c r="N3060" s="200"/>
      <c r="O3060" s="200"/>
      <c r="P3060" s="200"/>
    </row>
    <row r="3061" spans="3:20" s="517" customFormat="1" ht="31.2" customHeight="1">
      <c r="C3061" s="518">
        <v>1</v>
      </c>
      <c r="D3061" s="196" t="s">
        <v>5</v>
      </c>
      <c r="E3061" s="203" t="s">
        <v>2102</v>
      </c>
      <c r="F3061" s="763">
        <v>6.7000000000000004E-2</v>
      </c>
      <c r="G3061" s="205">
        <f>VLOOKUP(D3061,upahbahan,3,FALSE)</f>
        <v>100000</v>
      </c>
      <c r="H3061" s="210">
        <f t="shared" ref="H3061:H3064" si="209">F3061*G3061</f>
        <v>6700</v>
      </c>
      <c r="L3061" s="200"/>
      <c r="M3061" s="200"/>
      <c r="N3061" s="200"/>
      <c r="O3061" s="200"/>
      <c r="P3061" s="200"/>
    </row>
    <row r="3062" spans="3:20" s="517" customFormat="1" ht="31.2" customHeight="1">
      <c r="C3062" s="537">
        <v>2</v>
      </c>
      <c r="D3062" s="196" t="s">
        <v>6954</v>
      </c>
      <c r="E3062" s="202" t="s">
        <v>6</v>
      </c>
      <c r="F3062" s="520">
        <v>6.7000000000000004E-2</v>
      </c>
      <c r="G3062" s="205">
        <f>VLOOKUP(D3062,upahbahan,3,FALSE)</f>
        <v>181250</v>
      </c>
      <c r="H3062" s="210">
        <f t="shared" si="209"/>
        <v>12143.75</v>
      </c>
      <c r="L3062" s="200"/>
      <c r="M3062" s="200"/>
      <c r="N3062" s="200"/>
      <c r="O3062" s="200"/>
      <c r="P3062" s="200"/>
    </row>
    <row r="3063" spans="3:20" s="517" customFormat="1" ht="31.2" customHeight="1">
      <c r="C3063" s="537">
        <v>3</v>
      </c>
      <c r="D3063" s="196" t="s">
        <v>6948</v>
      </c>
      <c r="E3063" s="202" t="s">
        <v>2102</v>
      </c>
      <c r="F3063" s="520">
        <v>3.3000000000000002E-2</v>
      </c>
      <c r="G3063" s="205">
        <f>VLOOKUP(D3063,upahbahan,3,FALSE)</f>
        <v>218750</v>
      </c>
      <c r="H3063" s="210">
        <f t="shared" si="209"/>
        <v>7218.75</v>
      </c>
      <c r="L3063" s="200"/>
      <c r="M3063" s="200"/>
      <c r="N3063" s="200"/>
      <c r="O3063" s="200"/>
      <c r="P3063" s="200"/>
    </row>
    <row r="3064" spans="3:20" s="517" customFormat="1" ht="31.2" customHeight="1">
      <c r="C3064" s="537">
        <v>4</v>
      </c>
      <c r="D3064" s="196" t="s">
        <v>19</v>
      </c>
      <c r="E3064" s="202" t="s">
        <v>6</v>
      </c>
      <c r="F3064" s="520">
        <v>1.0999999999999999E-2</v>
      </c>
      <c r="G3064" s="205">
        <f>VLOOKUP(D3064,upahbahan,3,FALSE)</f>
        <v>160000</v>
      </c>
      <c r="H3064" s="210">
        <f t="shared" si="209"/>
        <v>1760</v>
      </c>
      <c r="L3064" s="200"/>
      <c r="M3064" s="200"/>
      <c r="N3064" s="200"/>
      <c r="O3064" s="200"/>
      <c r="P3064" s="200"/>
    </row>
    <row r="3065" spans="3:20" s="517" customFormat="1" ht="31.2" customHeight="1">
      <c r="C3065" s="207" t="s">
        <v>1208</v>
      </c>
      <c r="D3065" s="208"/>
      <c r="E3065" s="208"/>
      <c r="F3065" s="521"/>
      <c r="G3065" s="522"/>
      <c r="H3065" s="210">
        <f>SUM(H3061:H3064)</f>
        <v>27822.5</v>
      </c>
      <c r="L3065" s="523"/>
      <c r="M3065" s="523"/>
      <c r="N3065" s="523"/>
      <c r="O3065" s="523"/>
      <c r="P3065" s="523"/>
    </row>
    <row r="3066" spans="3:20" s="517" customFormat="1" ht="31.2" customHeight="1">
      <c r="C3066" s="543" t="s">
        <v>1209</v>
      </c>
      <c r="D3066" s="750" t="s">
        <v>1210</v>
      </c>
      <c r="E3066" s="197"/>
      <c r="F3066" s="751"/>
      <c r="G3066" s="197"/>
      <c r="H3066" s="752"/>
      <c r="L3066" s="200"/>
      <c r="M3066" s="200"/>
      <c r="N3066" s="200"/>
      <c r="O3066" s="200"/>
      <c r="P3066" s="200"/>
    </row>
    <row r="3067" spans="3:20" s="517" customFormat="1" ht="31.2" customHeight="1">
      <c r="C3067" s="543">
        <v>1</v>
      </c>
      <c r="D3067" s="750" t="s">
        <v>7194</v>
      </c>
      <c r="E3067" s="203" t="s">
        <v>44</v>
      </c>
      <c r="F3067" s="753">
        <v>1.05</v>
      </c>
      <c r="G3067" s="205">
        <f>VLOOKUP(D3067,upahbahan,3,FALSE)</f>
        <v>0</v>
      </c>
      <c r="H3067" s="210">
        <f t="shared" ref="H3067:H3075" si="210">F3067*G3067</f>
        <v>0</v>
      </c>
      <c r="L3067" s="200"/>
      <c r="M3067" s="200"/>
      <c r="N3067" s="200"/>
      <c r="O3067" s="200"/>
      <c r="P3067" s="200"/>
    </row>
    <row r="3068" spans="3:20" s="517" customFormat="1" ht="31.2" customHeight="1">
      <c r="C3068" s="543">
        <v>2</v>
      </c>
      <c r="D3068" s="750" t="s">
        <v>5563</v>
      </c>
      <c r="E3068" s="203" t="s">
        <v>65</v>
      </c>
      <c r="F3068" s="753">
        <v>0.02</v>
      </c>
      <c r="G3068" s="205">
        <f>VLOOKUP(D3068,upahbahan,3,FALSE)</f>
        <v>0</v>
      </c>
      <c r="H3068" s="210">
        <f t="shared" si="210"/>
        <v>0</v>
      </c>
      <c r="L3068" s="200"/>
      <c r="M3068" s="200"/>
      <c r="N3068" s="200"/>
      <c r="O3068" s="200"/>
      <c r="P3068" s="200"/>
    </row>
    <row r="3069" spans="3:20" s="517" customFormat="1" ht="31.2" customHeight="1">
      <c r="C3069" s="543">
        <v>3</v>
      </c>
      <c r="D3069" s="750" t="s">
        <v>5555</v>
      </c>
      <c r="E3069" s="203"/>
      <c r="F3069" s="753"/>
      <c r="G3069" s="197"/>
      <c r="H3069" s="210">
        <f t="shared" si="210"/>
        <v>0</v>
      </c>
      <c r="L3069" s="200"/>
      <c r="M3069" s="200"/>
      <c r="N3069" s="200"/>
      <c r="O3069" s="200"/>
      <c r="P3069" s="200"/>
    </row>
    <row r="3070" spans="3:20" s="517" customFormat="1" ht="31.2" customHeight="1">
      <c r="C3070" s="754" t="s">
        <v>5293</v>
      </c>
      <c r="D3070" s="750" t="s">
        <v>7142</v>
      </c>
      <c r="E3070" s="203" t="s">
        <v>113</v>
      </c>
      <c r="F3070" s="760">
        <v>18</v>
      </c>
      <c r="G3070" s="205">
        <f>VLOOKUP(D3070,upahbahan,3,FALSE)</f>
        <v>0</v>
      </c>
      <c r="H3070" s="210">
        <f t="shared" si="210"/>
        <v>0</v>
      </c>
      <c r="L3070" s="200"/>
      <c r="M3070" s="200"/>
      <c r="N3070" s="200"/>
      <c r="O3070" s="200"/>
      <c r="P3070" s="200"/>
    </row>
    <row r="3071" spans="3:20" s="517" customFormat="1" ht="31.2" customHeight="1">
      <c r="C3071" s="754" t="s">
        <v>5299</v>
      </c>
      <c r="D3071" s="750" t="s">
        <v>7055</v>
      </c>
      <c r="E3071" s="203" t="s">
        <v>113</v>
      </c>
      <c r="F3071" s="760">
        <v>10</v>
      </c>
      <c r="G3071" s="205">
        <f>VLOOKUP(D3071,upahbahan,3,FALSE)</f>
        <v>0</v>
      </c>
      <c r="H3071" s="210">
        <f t="shared" si="210"/>
        <v>0</v>
      </c>
      <c r="L3071" s="200"/>
      <c r="M3071" s="200"/>
      <c r="N3071" s="200"/>
      <c r="O3071" s="200"/>
      <c r="P3071" s="200"/>
    </row>
    <row r="3072" spans="3:20" s="517" customFormat="1" ht="31.2" customHeight="1">
      <c r="C3072" s="543">
        <v>4</v>
      </c>
      <c r="D3072" s="750" t="s">
        <v>5556</v>
      </c>
      <c r="E3072" s="203"/>
      <c r="F3072" s="753"/>
      <c r="G3072" s="197"/>
      <c r="H3072" s="210">
        <f t="shared" si="210"/>
        <v>0</v>
      </c>
      <c r="L3072" s="200"/>
      <c r="M3072" s="200"/>
      <c r="N3072" s="200"/>
      <c r="O3072" s="200"/>
      <c r="P3072" s="200"/>
    </row>
    <row r="3073" spans="3:20" s="517" customFormat="1" ht="31.2" customHeight="1">
      <c r="C3073" s="754" t="s">
        <v>5293</v>
      </c>
      <c r="D3073" s="750" t="s">
        <v>2084</v>
      </c>
      <c r="E3073" s="203" t="s">
        <v>42</v>
      </c>
      <c r="F3073" s="753">
        <v>0.14599999999999999</v>
      </c>
      <c r="G3073" s="205">
        <f>VLOOKUP(D3073,upahbahan,3,FALSE)</f>
        <v>0</v>
      </c>
      <c r="H3073" s="210">
        <f t="shared" si="210"/>
        <v>0</v>
      </c>
      <c r="L3073" s="200"/>
      <c r="M3073" s="200"/>
      <c r="N3073" s="200"/>
      <c r="O3073" s="200"/>
      <c r="P3073" s="200"/>
    </row>
    <row r="3074" spans="3:20" s="517" customFormat="1" ht="31.2" customHeight="1">
      <c r="C3074" s="754" t="s">
        <v>5299</v>
      </c>
      <c r="D3074" s="750" t="s">
        <v>5566</v>
      </c>
      <c r="E3074" s="203" t="s">
        <v>42</v>
      </c>
      <c r="F3074" s="753">
        <v>3.9E-2</v>
      </c>
      <c r="G3074" s="205">
        <f>VLOOKUP(D3074,upahbahan,3,FALSE)</f>
        <v>0</v>
      </c>
      <c r="H3074" s="210">
        <f t="shared" si="210"/>
        <v>0</v>
      </c>
      <c r="L3074" s="200"/>
      <c r="M3074" s="200"/>
      <c r="N3074" s="200"/>
      <c r="O3074" s="200"/>
      <c r="P3074" s="200"/>
    </row>
    <row r="3075" spans="3:20" s="517" customFormat="1" ht="31.2" customHeight="1">
      <c r="C3075" s="754" t="s">
        <v>5558</v>
      </c>
      <c r="D3075" s="750" t="s">
        <v>2325</v>
      </c>
      <c r="E3075" s="203" t="s">
        <v>42</v>
      </c>
      <c r="F3075" s="762">
        <v>0.01</v>
      </c>
      <c r="G3075" s="205">
        <f>VLOOKUP(D3075,upahbahan,3,FALSE)</f>
        <v>0</v>
      </c>
      <c r="H3075" s="210">
        <f t="shared" si="210"/>
        <v>0</v>
      </c>
      <c r="L3075" s="200"/>
      <c r="M3075" s="200"/>
      <c r="N3075" s="200"/>
      <c r="O3075" s="200"/>
      <c r="P3075" s="200"/>
    </row>
    <row r="3076" spans="3:20" s="517" customFormat="1" ht="31.2" customHeight="1">
      <c r="C3076" s="207" t="s">
        <v>1214</v>
      </c>
      <c r="D3076" s="208"/>
      <c r="E3076" s="568"/>
      <c r="F3076" s="208"/>
      <c r="G3076" s="209"/>
      <c r="H3076" s="210">
        <f>SUM(H3067:H3075)</f>
        <v>0</v>
      </c>
      <c r="L3076" s="200"/>
      <c r="M3076" s="200"/>
      <c r="N3076" s="200"/>
      <c r="O3076" s="200"/>
      <c r="P3076" s="200"/>
    </row>
    <row r="3077" spans="3:20" s="517" customFormat="1" ht="31.2" customHeight="1">
      <c r="C3077" s="756" t="s">
        <v>1215</v>
      </c>
      <c r="D3077" s="196" t="s">
        <v>1216</v>
      </c>
      <c r="E3077" s="203"/>
      <c r="F3077" s="197"/>
      <c r="G3077" s="197"/>
      <c r="H3077" s="198"/>
      <c r="L3077" s="200"/>
      <c r="M3077" s="200"/>
      <c r="N3077" s="200"/>
      <c r="O3077" s="200"/>
      <c r="P3077" s="200"/>
    </row>
    <row r="3078" spans="3:20" s="517" customFormat="1" ht="31.2" customHeight="1">
      <c r="C3078" s="543">
        <v>1</v>
      </c>
      <c r="D3078" s="750" t="s">
        <v>7189</v>
      </c>
      <c r="E3078" s="203" t="s">
        <v>42</v>
      </c>
      <c r="F3078" s="762">
        <v>0.41</v>
      </c>
      <c r="G3078" s="205">
        <f>VLOOKUP(D3078,upahbahan,3,FALSE)</f>
        <v>430000</v>
      </c>
      <c r="H3078" s="210">
        <f>F3078*G3078</f>
        <v>176300</v>
      </c>
      <c r="L3078" s="200"/>
      <c r="M3078" s="200"/>
      <c r="N3078" s="200"/>
      <c r="O3078" s="200"/>
      <c r="P3078" s="200"/>
    </row>
    <row r="3079" spans="3:20" s="517" customFormat="1" ht="31.2" customHeight="1">
      <c r="C3079" s="207" t="s">
        <v>1217</v>
      </c>
      <c r="D3079" s="208"/>
      <c r="E3079" s="208"/>
      <c r="F3079" s="208"/>
      <c r="G3079" s="209"/>
      <c r="H3079" s="240">
        <f>SUM(H3077:H3078)</f>
        <v>176300</v>
      </c>
      <c r="L3079" s="200"/>
      <c r="M3079" s="200"/>
      <c r="N3079" s="200"/>
      <c r="O3079" s="200"/>
      <c r="P3079" s="200"/>
    </row>
    <row r="3080" spans="3:20" s="517" customFormat="1" ht="31.2" customHeight="1">
      <c r="C3080" s="223" t="s">
        <v>1218</v>
      </c>
      <c r="D3080" s="224" t="s">
        <v>1219</v>
      </c>
      <c r="E3080" s="225"/>
      <c r="F3080" s="225"/>
      <c r="G3080" s="226"/>
      <c r="H3080" s="210">
        <f>H3079+H3076+H3065</f>
        <v>204122.5</v>
      </c>
      <c r="L3080" s="200"/>
      <c r="M3080" s="200"/>
      <c r="N3080" s="200"/>
      <c r="O3080" s="200"/>
      <c r="P3080" s="200"/>
    </row>
    <row r="3081" spans="3:20" s="517" customFormat="1" ht="31.2" customHeight="1">
      <c r="C3081" s="223" t="s">
        <v>1220</v>
      </c>
      <c r="D3081" s="224" t="s">
        <v>1321</v>
      </c>
      <c r="E3081" s="225"/>
      <c r="F3081" s="226"/>
      <c r="G3081" s="228">
        <v>0.1</v>
      </c>
      <c r="H3081" s="210">
        <f>H3080*G3081</f>
        <v>20412.25</v>
      </c>
      <c r="L3081" s="200"/>
      <c r="M3081" s="200"/>
      <c r="N3081" s="200"/>
      <c r="O3081" s="200"/>
      <c r="P3081" s="200"/>
    </row>
    <row r="3082" spans="3:20" s="517" customFormat="1" ht="31.2" customHeight="1" thickBot="1">
      <c r="C3082" s="229" t="s">
        <v>1221</v>
      </c>
      <c r="D3082" s="230" t="s">
        <v>1222</v>
      </c>
      <c r="E3082" s="231"/>
      <c r="F3082" s="231"/>
      <c r="G3082" s="232"/>
      <c r="H3082" s="233">
        <f>SUM(H3080:H3081)</f>
        <v>224534.75</v>
      </c>
      <c r="L3082" s="200"/>
      <c r="M3082" s="200"/>
      <c r="N3082" s="200"/>
      <c r="O3082" s="200"/>
      <c r="P3082" s="200"/>
    </row>
    <row r="3083" spans="3:20" ht="31.2" customHeight="1" thickTop="1">
      <c r="D3083" s="758" t="s">
        <v>7086</v>
      </c>
    </row>
    <row r="3084" spans="3:20" ht="31.2" customHeight="1">
      <c r="C3084" s="757" t="s">
        <v>6950</v>
      </c>
      <c r="F3084" s="758"/>
      <c r="H3084" s="758" t="s">
        <v>6959</v>
      </c>
    </row>
    <row r="3085" spans="3:20" ht="31.2" customHeight="1">
      <c r="C3085" s="200" t="s">
        <v>6951</v>
      </c>
      <c r="F3085" s="758"/>
    </row>
    <row r="3086" spans="3:20" ht="31.2" customHeight="1">
      <c r="C3086" s="200" t="s">
        <v>6952</v>
      </c>
      <c r="F3086" s="758"/>
    </row>
    <row r="3087" spans="3:20" ht="31.2" customHeight="1">
      <c r="C3087" s="200"/>
      <c r="F3087" s="758"/>
    </row>
    <row r="3088" spans="3:20" s="517" customFormat="1" ht="31.2" customHeight="1" thickBot="1">
      <c r="C3088" s="513" t="s">
        <v>7195</v>
      </c>
      <c r="D3088" s="748" t="s">
        <v>7196</v>
      </c>
      <c r="E3088" s="749"/>
      <c r="F3088" s="748"/>
      <c r="G3088" s="748"/>
      <c r="H3088" s="532"/>
      <c r="I3088" s="532"/>
      <c r="J3088" s="532"/>
      <c r="K3088" s="532"/>
      <c r="M3088" s="189"/>
      <c r="N3088" s="189"/>
      <c r="O3088" s="189"/>
      <c r="P3088" s="189"/>
      <c r="R3088" s="189">
        <f>ROUNDDOWN(H3112,-2)</f>
        <v>224500</v>
      </c>
      <c r="S3088" s="517" t="s">
        <v>6451</v>
      </c>
      <c r="T3088" s="517" t="s">
        <v>7014</v>
      </c>
    </row>
    <row r="3089" spans="3:16" s="517" customFormat="1" ht="31.2" customHeight="1" thickTop="1">
      <c r="C3089" s="190" t="s">
        <v>1195</v>
      </c>
      <c r="D3089" s="191" t="s">
        <v>1196</v>
      </c>
      <c r="E3089" s="191" t="s">
        <v>1197</v>
      </c>
      <c r="F3089" s="191" t="s">
        <v>1198</v>
      </c>
      <c r="G3089" s="191" t="s">
        <v>1199</v>
      </c>
      <c r="H3089" s="192" t="s">
        <v>1200</v>
      </c>
      <c r="L3089" s="200"/>
      <c r="M3089" s="200"/>
      <c r="N3089" s="200"/>
      <c r="O3089" s="200"/>
      <c r="P3089" s="200"/>
    </row>
    <row r="3090" spans="3:16" s="517" customFormat="1" ht="31.2" customHeight="1">
      <c r="C3090" s="518" t="s">
        <v>1201</v>
      </c>
      <c r="D3090" s="196" t="s">
        <v>1202</v>
      </c>
      <c r="E3090" s="197"/>
      <c r="F3090" s="197"/>
      <c r="G3090" s="197"/>
      <c r="H3090" s="198"/>
      <c r="L3090" s="200"/>
      <c r="M3090" s="200"/>
      <c r="N3090" s="200"/>
      <c r="O3090" s="200"/>
      <c r="P3090" s="200"/>
    </row>
    <row r="3091" spans="3:16" s="517" customFormat="1" ht="31.2" customHeight="1">
      <c r="C3091" s="518">
        <v>1</v>
      </c>
      <c r="D3091" s="196" t="s">
        <v>5</v>
      </c>
      <c r="E3091" s="203" t="s">
        <v>2102</v>
      </c>
      <c r="F3091" s="763">
        <v>6.7000000000000004E-2</v>
      </c>
      <c r="G3091" s="205">
        <f>VLOOKUP(D3091,upahbahan,3,FALSE)</f>
        <v>100000</v>
      </c>
      <c r="H3091" s="210">
        <f t="shared" ref="H3091:H3094" si="211">F3091*G3091</f>
        <v>6700</v>
      </c>
      <c r="L3091" s="200"/>
      <c r="M3091" s="200"/>
      <c r="N3091" s="200"/>
      <c r="O3091" s="200"/>
      <c r="P3091" s="200"/>
    </row>
    <row r="3092" spans="3:16" s="517" customFormat="1" ht="31.2" customHeight="1">
      <c r="C3092" s="537">
        <v>2</v>
      </c>
      <c r="D3092" s="196" t="s">
        <v>6954</v>
      </c>
      <c r="E3092" s="202" t="s">
        <v>6</v>
      </c>
      <c r="F3092" s="520">
        <v>6.7000000000000004E-2</v>
      </c>
      <c r="G3092" s="205">
        <f>VLOOKUP(D3092,upahbahan,3,FALSE)</f>
        <v>181250</v>
      </c>
      <c r="H3092" s="210">
        <f t="shared" si="211"/>
        <v>12143.75</v>
      </c>
      <c r="L3092" s="200"/>
      <c r="M3092" s="200"/>
      <c r="N3092" s="200"/>
      <c r="O3092" s="200"/>
      <c r="P3092" s="200"/>
    </row>
    <row r="3093" spans="3:16" s="517" customFormat="1" ht="31.2" customHeight="1">
      <c r="C3093" s="537">
        <v>3</v>
      </c>
      <c r="D3093" s="196" t="s">
        <v>6948</v>
      </c>
      <c r="E3093" s="202" t="s">
        <v>2102</v>
      </c>
      <c r="F3093" s="520">
        <v>3.3000000000000002E-2</v>
      </c>
      <c r="G3093" s="205">
        <f>VLOOKUP(D3093,upahbahan,3,FALSE)</f>
        <v>218750</v>
      </c>
      <c r="H3093" s="210">
        <f t="shared" si="211"/>
        <v>7218.75</v>
      </c>
      <c r="L3093" s="200"/>
      <c r="M3093" s="200"/>
      <c r="N3093" s="200"/>
      <c r="O3093" s="200"/>
      <c r="P3093" s="200"/>
    </row>
    <row r="3094" spans="3:16" s="517" customFormat="1" ht="31.2" customHeight="1">
      <c r="C3094" s="537">
        <v>4</v>
      </c>
      <c r="D3094" s="196" t="s">
        <v>19</v>
      </c>
      <c r="E3094" s="202" t="s">
        <v>6</v>
      </c>
      <c r="F3094" s="520">
        <v>1.0999999999999999E-2</v>
      </c>
      <c r="G3094" s="205">
        <f>VLOOKUP(D3094,upahbahan,3,FALSE)</f>
        <v>160000</v>
      </c>
      <c r="H3094" s="210">
        <f t="shared" si="211"/>
        <v>1760</v>
      </c>
      <c r="L3094" s="200"/>
      <c r="M3094" s="200"/>
      <c r="N3094" s="200"/>
      <c r="O3094" s="200"/>
      <c r="P3094" s="200"/>
    </row>
    <row r="3095" spans="3:16" s="517" customFormat="1" ht="31.2" customHeight="1">
      <c r="C3095" s="207" t="s">
        <v>1208</v>
      </c>
      <c r="D3095" s="208"/>
      <c r="E3095" s="208"/>
      <c r="F3095" s="521"/>
      <c r="G3095" s="522"/>
      <c r="H3095" s="210">
        <f>SUM(H3091:H3094)</f>
        <v>27822.5</v>
      </c>
      <c r="L3095" s="523"/>
      <c r="M3095" s="523"/>
      <c r="N3095" s="523"/>
      <c r="O3095" s="523"/>
      <c r="P3095" s="523"/>
    </row>
    <row r="3096" spans="3:16" s="517" customFormat="1" ht="31.2" customHeight="1">
      <c r="C3096" s="543" t="s">
        <v>1209</v>
      </c>
      <c r="D3096" s="750" t="s">
        <v>1210</v>
      </c>
      <c r="E3096" s="197"/>
      <c r="F3096" s="751"/>
      <c r="G3096" s="197"/>
      <c r="H3096" s="752"/>
      <c r="L3096" s="200"/>
      <c r="M3096" s="200"/>
      <c r="N3096" s="200"/>
      <c r="O3096" s="200"/>
      <c r="P3096" s="200"/>
    </row>
    <row r="3097" spans="3:16" s="517" customFormat="1" ht="31.2" customHeight="1">
      <c r="C3097" s="543">
        <v>1</v>
      </c>
      <c r="D3097" s="750" t="s">
        <v>7197</v>
      </c>
      <c r="E3097" s="203" t="s">
        <v>44</v>
      </c>
      <c r="F3097" s="753">
        <v>1.05</v>
      </c>
      <c r="G3097" s="205">
        <f>VLOOKUP(D3097,upahbahan,3,FALSE)</f>
        <v>0</v>
      </c>
      <c r="H3097" s="210">
        <f t="shared" ref="H3097:H3105" si="212">F3097*G3097</f>
        <v>0</v>
      </c>
      <c r="L3097" s="200"/>
      <c r="M3097" s="200"/>
      <c r="N3097" s="200"/>
      <c r="O3097" s="200"/>
      <c r="P3097" s="200"/>
    </row>
    <row r="3098" spans="3:16" s="517" customFormat="1" ht="31.2" customHeight="1">
      <c r="C3098" s="543">
        <v>2</v>
      </c>
      <c r="D3098" s="750" t="s">
        <v>5563</v>
      </c>
      <c r="E3098" s="203" t="s">
        <v>65</v>
      </c>
      <c r="F3098" s="753">
        <v>0.02</v>
      </c>
      <c r="G3098" s="205">
        <f>VLOOKUP(D3098,upahbahan,3,FALSE)</f>
        <v>0</v>
      </c>
      <c r="H3098" s="210">
        <f t="shared" si="212"/>
        <v>0</v>
      </c>
      <c r="L3098" s="200"/>
      <c r="M3098" s="200"/>
      <c r="N3098" s="200"/>
      <c r="O3098" s="200"/>
      <c r="P3098" s="200"/>
    </row>
    <row r="3099" spans="3:16" s="517" customFormat="1" ht="31.2" customHeight="1">
      <c r="C3099" s="543">
        <v>3</v>
      </c>
      <c r="D3099" s="750" t="s">
        <v>5555</v>
      </c>
      <c r="E3099" s="203"/>
      <c r="F3099" s="753"/>
      <c r="G3099" s="197"/>
      <c r="H3099" s="210">
        <f t="shared" si="212"/>
        <v>0</v>
      </c>
      <c r="L3099" s="200"/>
      <c r="M3099" s="200"/>
      <c r="N3099" s="200"/>
      <c r="O3099" s="200"/>
      <c r="P3099" s="200"/>
    </row>
    <row r="3100" spans="3:16" s="517" customFormat="1" ht="31.2" customHeight="1">
      <c r="C3100" s="754" t="s">
        <v>5293</v>
      </c>
      <c r="D3100" s="750" t="s">
        <v>7142</v>
      </c>
      <c r="E3100" s="203" t="s">
        <v>113</v>
      </c>
      <c r="F3100" s="760">
        <v>18</v>
      </c>
      <c r="G3100" s="205">
        <f>VLOOKUP(D3100,upahbahan,3,FALSE)</f>
        <v>0</v>
      </c>
      <c r="H3100" s="210">
        <f t="shared" si="212"/>
        <v>0</v>
      </c>
      <c r="L3100" s="200"/>
      <c r="M3100" s="200"/>
      <c r="N3100" s="200"/>
      <c r="O3100" s="200"/>
      <c r="P3100" s="200"/>
    </row>
    <row r="3101" spans="3:16" s="517" customFormat="1" ht="31.2" customHeight="1">
      <c r="C3101" s="754" t="s">
        <v>5299</v>
      </c>
      <c r="D3101" s="750" t="s">
        <v>7055</v>
      </c>
      <c r="E3101" s="203" t="s">
        <v>113</v>
      </c>
      <c r="F3101" s="760">
        <v>10</v>
      </c>
      <c r="G3101" s="205">
        <f>VLOOKUP(D3101,upahbahan,3,FALSE)</f>
        <v>0</v>
      </c>
      <c r="H3101" s="210">
        <f t="shared" si="212"/>
        <v>0</v>
      </c>
      <c r="L3101" s="200"/>
      <c r="M3101" s="200"/>
      <c r="N3101" s="200"/>
      <c r="O3101" s="200"/>
      <c r="P3101" s="200"/>
    </row>
    <row r="3102" spans="3:16" s="517" customFormat="1" ht="31.2" customHeight="1">
      <c r="C3102" s="543">
        <v>4</v>
      </c>
      <c r="D3102" s="750" t="s">
        <v>5556</v>
      </c>
      <c r="E3102" s="203"/>
      <c r="F3102" s="753"/>
      <c r="G3102" s="197"/>
      <c r="H3102" s="210">
        <f t="shared" si="212"/>
        <v>0</v>
      </c>
      <c r="L3102" s="200"/>
      <c r="M3102" s="200"/>
      <c r="N3102" s="200"/>
      <c r="O3102" s="200"/>
      <c r="P3102" s="200"/>
    </row>
    <row r="3103" spans="3:16" s="517" customFormat="1" ht="31.2" customHeight="1">
      <c r="C3103" s="754" t="s">
        <v>5293</v>
      </c>
      <c r="D3103" s="750" t="s">
        <v>2084</v>
      </c>
      <c r="E3103" s="203" t="s">
        <v>42</v>
      </c>
      <c r="F3103" s="753">
        <v>0.14599999999999999</v>
      </c>
      <c r="G3103" s="205">
        <f>VLOOKUP(D3103,upahbahan,3,FALSE)</f>
        <v>0</v>
      </c>
      <c r="H3103" s="210">
        <f t="shared" si="212"/>
        <v>0</v>
      </c>
      <c r="L3103" s="200"/>
      <c r="M3103" s="200"/>
      <c r="N3103" s="200"/>
      <c r="O3103" s="200"/>
      <c r="P3103" s="200"/>
    </row>
    <row r="3104" spans="3:16" s="517" customFormat="1" ht="31.2" customHeight="1">
      <c r="C3104" s="754" t="s">
        <v>5299</v>
      </c>
      <c r="D3104" s="750" t="s">
        <v>5566</v>
      </c>
      <c r="E3104" s="203" t="s">
        <v>42</v>
      </c>
      <c r="F3104" s="753">
        <v>3.9E-2</v>
      </c>
      <c r="G3104" s="205">
        <f>VLOOKUP(D3104,upahbahan,3,FALSE)</f>
        <v>0</v>
      </c>
      <c r="H3104" s="210">
        <f t="shared" si="212"/>
        <v>0</v>
      </c>
      <c r="L3104" s="200"/>
      <c r="M3104" s="200"/>
      <c r="N3104" s="200"/>
      <c r="O3104" s="200"/>
      <c r="P3104" s="200"/>
    </row>
    <row r="3105" spans="3:20" s="517" customFormat="1" ht="31.2" customHeight="1">
      <c r="C3105" s="754" t="s">
        <v>5558</v>
      </c>
      <c r="D3105" s="750" t="s">
        <v>2325</v>
      </c>
      <c r="E3105" s="203" t="s">
        <v>42</v>
      </c>
      <c r="F3105" s="762">
        <v>0.01</v>
      </c>
      <c r="G3105" s="205">
        <f>VLOOKUP(D3105,upahbahan,3,FALSE)</f>
        <v>0</v>
      </c>
      <c r="H3105" s="210">
        <f t="shared" si="212"/>
        <v>0</v>
      </c>
      <c r="L3105" s="200"/>
      <c r="M3105" s="200"/>
      <c r="N3105" s="200"/>
      <c r="O3105" s="200"/>
      <c r="P3105" s="200"/>
    </row>
    <row r="3106" spans="3:20" s="517" customFormat="1" ht="31.2" customHeight="1">
      <c r="C3106" s="207" t="s">
        <v>1214</v>
      </c>
      <c r="D3106" s="208"/>
      <c r="E3106" s="568"/>
      <c r="F3106" s="208"/>
      <c r="G3106" s="209"/>
      <c r="H3106" s="210">
        <f>SUM(H3097:H3105)</f>
        <v>0</v>
      </c>
      <c r="L3106" s="200"/>
      <c r="M3106" s="200"/>
      <c r="N3106" s="200"/>
      <c r="O3106" s="200"/>
      <c r="P3106" s="200"/>
    </row>
    <row r="3107" spans="3:20" s="517" customFormat="1" ht="31.2" customHeight="1">
      <c r="C3107" s="756" t="s">
        <v>1215</v>
      </c>
      <c r="D3107" s="196" t="s">
        <v>1216</v>
      </c>
      <c r="E3107" s="203"/>
      <c r="F3107" s="197"/>
      <c r="G3107" s="197"/>
      <c r="H3107" s="198"/>
      <c r="L3107" s="200"/>
      <c r="M3107" s="200"/>
      <c r="N3107" s="200"/>
      <c r="O3107" s="200"/>
      <c r="P3107" s="200"/>
    </row>
    <row r="3108" spans="3:20" s="517" customFormat="1" ht="31.2" customHeight="1">
      <c r="C3108" s="543">
        <v>1</v>
      </c>
      <c r="D3108" s="750" t="s">
        <v>7189</v>
      </c>
      <c r="E3108" s="203" t="s">
        <v>42</v>
      </c>
      <c r="F3108" s="762">
        <v>0.41</v>
      </c>
      <c r="G3108" s="205">
        <f>VLOOKUP(D3108,upahbahan,3,FALSE)</f>
        <v>430000</v>
      </c>
      <c r="H3108" s="210">
        <f>F3108*G3108</f>
        <v>176300</v>
      </c>
      <c r="L3108" s="200"/>
      <c r="M3108" s="200"/>
      <c r="N3108" s="200"/>
      <c r="O3108" s="200"/>
      <c r="P3108" s="200"/>
    </row>
    <row r="3109" spans="3:20" s="517" customFormat="1" ht="31.2" customHeight="1">
      <c r="C3109" s="207" t="s">
        <v>1217</v>
      </c>
      <c r="D3109" s="208"/>
      <c r="E3109" s="208"/>
      <c r="F3109" s="208"/>
      <c r="G3109" s="209"/>
      <c r="H3109" s="240">
        <f>SUM(H3107:H3108)</f>
        <v>176300</v>
      </c>
      <c r="L3109" s="200"/>
      <c r="M3109" s="200"/>
      <c r="N3109" s="200"/>
      <c r="O3109" s="200"/>
      <c r="P3109" s="200"/>
    </row>
    <row r="3110" spans="3:20" s="517" customFormat="1" ht="31.2" customHeight="1">
      <c r="C3110" s="223" t="s">
        <v>1218</v>
      </c>
      <c r="D3110" s="224" t="s">
        <v>1219</v>
      </c>
      <c r="E3110" s="225"/>
      <c r="F3110" s="225"/>
      <c r="G3110" s="226"/>
      <c r="H3110" s="210">
        <f>H3109+H3106+H3095</f>
        <v>204122.5</v>
      </c>
      <c r="L3110" s="200"/>
      <c r="M3110" s="200"/>
      <c r="N3110" s="200"/>
      <c r="O3110" s="200"/>
      <c r="P3110" s="200"/>
    </row>
    <row r="3111" spans="3:20" s="517" customFormat="1" ht="31.2" customHeight="1">
      <c r="C3111" s="223" t="s">
        <v>1220</v>
      </c>
      <c r="D3111" s="224" t="s">
        <v>1321</v>
      </c>
      <c r="E3111" s="225"/>
      <c r="F3111" s="226"/>
      <c r="G3111" s="228">
        <v>0.1</v>
      </c>
      <c r="H3111" s="210">
        <f>H3110*G3111</f>
        <v>20412.25</v>
      </c>
      <c r="L3111" s="200"/>
      <c r="M3111" s="200"/>
      <c r="N3111" s="200"/>
      <c r="O3111" s="200"/>
      <c r="P3111" s="200"/>
    </row>
    <row r="3112" spans="3:20" s="517" customFormat="1" ht="31.2" customHeight="1" thickBot="1">
      <c r="C3112" s="229" t="s">
        <v>1221</v>
      </c>
      <c r="D3112" s="230" t="s">
        <v>1222</v>
      </c>
      <c r="E3112" s="231"/>
      <c r="F3112" s="231"/>
      <c r="G3112" s="232"/>
      <c r="H3112" s="233">
        <f>SUM(H3110:H3111)</f>
        <v>224534.75</v>
      </c>
      <c r="L3112" s="200"/>
      <c r="M3112" s="200"/>
      <c r="N3112" s="200"/>
      <c r="O3112" s="200"/>
      <c r="P3112" s="200"/>
    </row>
    <row r="3113" spans="3:20" ht="31.2" customHeight="1" thickTop="1">
      <c r="D3113" s="758" t="s">
        <v>7086</v>
      </c>
    </row>
    <row r="3114" spans="3:20" ht="31.2" customHeight="1">
      <c r="C3114" s="757" t="s">
        <v>6950</v>
      </c>
      <c r="F3114" s="758"/>
      <c r="H3114" s="758" t="s">
        <v>6959</v>
      </c>
    </row>
    <row r="3115" spans="3:20" ht="31.2" customHeight="1">
      <c r="C3115" s="200" t="s">
        <v>6951</v>
      </c>
      <c r="F3115" s="758"/>
    </row>
    <row r="3116" spans="3:20" ht="31.2" customHeight="1">
      <c r="C3116" s="200" t="s">
        <v>6952</v>
      </c>
      <c r="F3116" s="758"/>
    </row>
    <row r="3117" spans="3:20" ht="31.2" customHeight="1">
      <c r="C3117" s="200"/>
      <c r="F3117" s="758"/>
    </row>
    <row r="3118" spans="3:20" s="517" customFormat="1" ht="31.2" customHeight="1" thickBot="1">
      <c r="C3118" s="513" t="s">
        <v>7198</v>
      </c>
      <c r="D3118" s="748" t="s">
        <v>7199</v>
      </c>
      <c r="E3118" s="749"/>
      <c r="F3118" s="748"/>
      <c r="G3118" s="748"/>
      <c r="H3118" s="532"/>
      <c r="I3118" s="532"/>
      <c r="J3118" s="532"/>
      <c r="K3118" s="532"/>
      <c r="M3118" s="189"/>
      <c r="N3118" s="189"/>
      <c r="O3118" s="189"/>
      <c r="P3118" s="189"/>
      <c r="R3118" s="189">
        <f>ROUNDDOWN(H3142,-2)</f>
        <v>224500</v>
      </c>
      <c r="S3118" s="517" t="s">
        <v>6451</v>
      </c>
      <c r="T3118" s="517" t="s">
        <v>7014</v>
      </c>
    </row>
    <row r="3119" spans="3:20" s="517" customFormat="1" ht="31.2" customHeight="1" thickTop="1">
      <c r="C3119" s="190" t="s">
        <v>1195</v>
      </c>
      <c r="D3119" s="191" t="s">
        <v>1196</v>
      </c>
      <c r="E3119" s="191" t="s">
        <v>1197</v>
      </c>
      <c r="F3119" s="191" t="s">
        <v>1198</v>
      </c>
      <c r="G3119" s="191" t="s">
        <v>1199</v>
      </c>
      <c r="H3119" s="192" t="s">
        <v>1200</v>
      </c>
      <c r="L3119" s="200"/>
      <c r="M3119" s="200"/>
      <c r="N3119" s="200"/>
      <c r="O3119" s="200"/>
      <c r="P3119" s="200"/>
    </row>
    <row r="3120" spans="3:20" s="517" customFormat="1" ht="31.2" customHeight="1">
      <c r="C3120" s="518" t="s">
        <v>1201</v>
      </c>
      <c r="D3120" s="196" t="s">
        <v>1202</v>
      </c>
      <c r="E3120" s="197"/>
      <c r="F3120" s="197"/>
      <c r="G3120" s="197"/>
      <c r="H3120" s="198"/>
      <c r="L3120" s="200"/>
      <c r="M3120" s="200"/>
      <c r="N3120" s="200"/>
      <c r="O3120" s="200"/>
      <c r="P3120" s="200"/>
    </row>
    <row r="3121" spans="3:16" s="517" customFormat="1" ht="31.2" customHeight="1">
      <c r="C3121" s="518">
        <v>1</v>
      </c>
      <c r="D3121" s="196" t="s">
        <v>5</v>
      </c>
      <c r="E3121" s="203" t="s">
        <v>2102</v>
      </c>
      <c r="F3121" s="763">
        <v>6.7000000000000004E-2</v>
      </c>
      <c r="G3121" s="205">
        <f>VLOOKUP(D3121,upahbahan,3,FALSE)</f>
        <v>100000</v>
      </c>
      <c r="H3121" s="210">
        <f t="shared" ref="H3121:H3124" si="213">F3121*G3121</f>
        <v>6700</v>
      </c>
      <c r="L3121" s="200"/>
      <c r="M3121" s="200"/>
      <c r="N3121" s="200"/>
      <c r="O3121" s="200"/>
      <c r="P3121" s="200"/>
    </row>
    <row r="3122" spans="3:16" s="517" customFormat="1" ht="31.2" customHeight="1">
      <c r="C3122" s="537">
        <v>2</v>
      </c>
      <c r="D3122" s="196" t="s">
        <v>6954</v>
      </c>
      <c r="E3122" s="202" t="s">
        <v>6</v>
      </c>
      <c r="F3122" s="520">
        <v>6.7000000000000004E-2</v>
      </c>
      <c r="G3122" s="205">
        <f>VLOOKUP(D3122,upahbahan,3,FALSE)</f>
        <v>181250</v>
      </c>
      <c r="H3122" s="210">
        <f t="shared" si="213"/>
        <v>12143.75</v>
      </c>
      <c r="L3122" s="200"/>
      <c r="M3122" s="200"/>
      <c r="N3122" s="200"/>
      <c r="O3122" s="200"/>
      <c r="P3122" s="200"/>
    </row>
    <row r="3123" spans="3:16" s="517" customFormat="1" ht="31.2" customHeight="1">
      <c r="C3123" s="537">
        <v>3</v>
      </c>
      <c r="D3123" s="196" t="s">
        <v>6948</v>
      </c>
      <c r="E3123" s="202" t="s">
        <v>2102</v>
      </c>
      <c r="F3123" s="520">
        <v>3.3000000000000002E-2</v>
      </c>
      <c r="G3123" s="205">
        <f>VLOOKUP(D3123,upahbahan,3,FALSE)</f>
        <v>218750</v>
      </c>
      <c r="H3123" s="210">
        <f t="shared" si="213"/>
        <v>7218.75</v>
      </c>
      <c r="L3123" s="200"/>
      <c r="M3123" s="200"/>
      <c r="N3123" s="200"/>
      <c r="O3123" s="200"/>
      <c r="P3123" s="200"/>
    </row>
    <row r="3124" spans="3:16" s="517" customFormat="1" ht="31.2" customHeight="1">
      <c r="C3124" s="537">
        <v>4</v>
      </c>
      <c r="D3124" s="196" t="s">
        <v>19</v>
      </c>
      <c r="E3124" s="202" t="s">
        <v>6</v>
      </c>
      <c r="F3124" s="520">
        <v>1.0999999999999999E-2</v>
      </c>
      <c r="G3124" s="205">
        <f>VLOOKUP(D3124,upahbahan,3,FALSE)</f>
        <v>160000</v>
      </c>
      <c r="H3124" s="210">
        <f t="shared" si="213"/>
        <v>1760</v>
      </c>
      <c r="L3124" s="200"/>
      <c r="M3124" s="200"/>
      <c r="N3124" s="200"/>
      <c r="O3124" s="200"/>
      <c r="P3124" s="200"/>
    </row>
    <row r="3125" spans="3:16" s="517" customFormat="1" ht="31.2" customHeight="1">
      <c r="C3125" s="207" t="s">
        <v>1208</v>
      </c>
      <c r="D3125" s="208"/>
      <c r="E3125" s="208"/>
      <c r="F3125" s="521"/>
      <c r="G3125" s="522"/>
      <c r="H3125" s="210">
        <f>SUM(H3121:H3124)</f>
        <v>27822.5</v>
      </c>
      <c r="L3125" s="523"/>
      <c r="M3125" s="523"/>
      <c r="N3125" s="523"/>
      <c r="O3125" s="523"/>
      <c r="P3125" s="523"/>
    </row>
    <row r="3126" spans="3:16" s="517" customFormat="1" ht="31.2" customHeight="1">
      <c r="C3126" s="543" t="s">
        <v>1209</v>
      </c>
      <c r="D3126" s="750" t="s">
        <v>1210</v>
      </c>
      <c r="E3126" s="197"/>
      <c r="F3126" s="751"/>
      <c r="G3126" s="197"/>
      <c r="H3126" s="752"/>
      <c r="L3126" s="200"/>
      <c r="M3126" s="200"/>
      <c r="N3126" s="200"/>
      <c r="O3126" s="200"/>
      <c r="P3126" s="200"/>
    </row>
    <row r="3127" spans="3:16" s="517" customFormat="1" ht="31.2" customHeight="1">
      <c r="C3127" s="543">
        <v>1</v>
      </c>
      <c r="D3127" s="750" t="s">
        <v>7200</v>
      </c>
      <c r="E3127" s="203" t="s">
        <v>44</v>
      </c>
      <c r="F3127" s="753">
        <v>1.05</v>
      </c>
      <c r="G3127" s="205">
        <f>VLOOKUP(D3127,upahbahan,3,FALSE)</f>
        <v>0</v>
      </c>
      <c r="H3127" s="210">
        <f t="shared" ref="H3127:H3135" si="214">F3127*G3127</f>
        <v>0</v>
      </c>
      <c r="L3127" s="200"/>
      <c r="M3127" s="200"/>
      <c r="N3127" s="200"/>
      <c r="O3127" s="200"/>
      <c r="P3127" s="200"/>
    </row>
    <row r="3128" spans="3:16" s="517" customFormat="1" ht="31.2" customHeight="1">
      <c r="C3128" s="543">
        <v>2</v>
      </c>
      <c r="D3128" s="750" t="s">
        <v>5563</v>
      </c>
      <c r="E3128" s="203" t="s">
        <v>65</v>
      </c>
      <c r="F3128" s="753">
        <v>0.02</v>
      </c>
      <c r="G3128" s="205">
        <f>VLOOKUP(D3128,upahbahan,3,FALSE)</f>
        <v>0</v>
      </c>
      <c r="H3128" s="210">
        <f t="shared" si="214"/>
        <v>0</v>
      </c>
      <c r="L3128" s="200"/>
      <c r="M3128" s="200"/>
      <c r="N3128" s="200"/>
      <c r="O3128" s="200"/>
      <c r="P3128" s="200"/>
    </row>
    <row r="3129" spans="3:16" s="517" customFormat="1" ht="31.2" customHeight="1">
      <c r="C3129" s="543">
        <v>3</v>
      </c>
      <c r="D3129" s="750" t="s">
        <v>5555</v>
      </c>
      <c r="E3129" s="203"/>
      <c r="F3129" s="753"/>
      <c r="G3129" s="197"/>
      <c r="H3129" s="210">
        <f t="shared" si="214"/>
        <v>0</v>
      </c>
      <c r="L3129" s="200"/>
      <c r="M3129" s="200"/>
      <c r="N3129" s="200"/>
      <c r="O3129" s="200"/>
      <c r="P3129" s="200"/>
    </row>
    <row r="3130" spans="3:16" s="517" customFormat="1" ht="31.2" customHeight="1">
      <c r="C3130" s="754" t="s">
        <v>5293</v>
      </c>
      <c r="D3130" s="750" t="s">
        <v>7142</v>
      </c>
      <c r="E3130" s="203" t="s">
        <v>113</v>
      </c>
      <c r="F3130" s="760">
        <v>18</v>
      </c>
      <c r="G3130" s="205">
        <f>VLOOKUP(D3130,upahbahan,3,FALSE)</f>
        <v>0</v>
      </c>
      <c r="H3130" s="210">
        <f t="shared" si="214"/>
        <v>0</v>
      </c>
      <c r="L3130" s="200"/>
      <c r="M3130" s="200"/>
      <c r="N3130" s="200"/>
      <c r="O3130" s="200"/>
      <c r="P3130" s="200"/>
    </row>
    <row r="3131" spans="3:16" s="517" customFormat="1" ht="31.2" customHeight="1">
      <c r="C3131" s="754" t="s">
        <v>5299</v>
      </c>
      <c r="D3131" s="750" t="s">
        <v>7055</v>
      </c>
      <c r="E3131" s="203" t="s">
        <v>113</v>
      </c>
      <c r="F3131" s="760">
        <v>10</v>
      </c>
      <c r="G3131" s="205">
        <f>VLOOKUP(D3131,upahbahan,3,FALSE)</f>
        <v>0</v>
      </c>
      <c r="H3131" s="210">
        <f t="shared" si="214"/>
        <v>0</v>
      </c>
      <c r="L3131" s="200"/>
      <c r="M3131" s="200"/>
      <c r="N3131" s="200"/>
      <c r="O3131" s="200"/>
      <c r="P3131" s="200"/>
    </row>
    <row r="3132" spans="3:16" s="517" customFormat="1" ht="31.2" customHeight="1">
      <c r="C3132" s="543">
        <v>4</v>
      </c>
      <c r="D3132" s="750" t="s">
        <v>5556</v>
      </c>
      <c r="E3132" s="203"/>
      <c r="F3132" s="753"/>
      <c r="G3132" s="197"/>
      <c r="H3132" s="210">
        <f t="shared" si="214"/>
        <v>0</v>
      </c>
      <c r="L3132" s="200"/>
      <c r="M3132" s="200"/>
      <c r="N3132" s="200"/>
      <c r="O3132" s="200"/>
      <c r="P3132" s="200"/>
    </row>
    <row r="3133" spans="3:16" s="517" customFormat="1" ht="31.2" customHeight="1">
      <c r="C3133" s="754" t="s">
        <v>5293</v>
      </c>
      <c r="D3133" s="750" t="s">
        <v>2084</v>
      </c>
      <c r="E3133" s="203" t="s">
        <v>42</v>
      </c>
      <c r="F3133" s="753">
        <v>0.14599999999999999</v>
      </c>
      <c r="G3133" s="205">
        <f>VLOOKUP(D3133,upahbahan,3,FALSE)</f>
        <v>0</v>
      </c>
      <c r="H3133" s="210">
        <f t="shared" si="214"/>
        <v>0</v>
      </c>
      <c r="L3133" s="200"/>
      <c r="M3133" s="200"/>
      <c r="N3133" s="200"/>
      <c r="O3133" s="200"/>
      <c r="P3133" s="200"/>
    </row>
    <row r="3134" spans="3:16" s="517" customFormat="1" ht="31.2" customHeight="1">
      <c r="C3134" s="754" t="s">
        <v>5299</v>
      </c>
      <c r="D3134" s="750" t="s">
        <v>5566</v>
      </c>
      <c r="E3134" s="203" t="s">
        <v>42</v>
      </c>
      <c r="F3134" s="753">
        <v>3.9E-2</v>
      </c>
      <c r="G3134" s="205">
        <f>VLOOKUP(D3134,upahbahan,3,FALSE)</f>
        <v>0</v>
      </c>
      <c r="H3134" s="210">
        <f t="shared" si="214"/>
        <v>0</v>
      </c>
      <c r="L3134" s="200"/>
      <c r="M3134" s="200"/>
      <c r="N3134" s="200"/>
      <c r="O3134" s="200"/>
      <c r="P3134" s="200"/>
    </row>
    <row r="3135" spans="3:16" s="517" customFormat="1" ht="31.2" customHeight="1">
      <c r="C3135" s="754" t="s">
        <v>5558</v>
      </c>
      <c r="D3135" s="750" t="s">
        <v>2325</v>
      </c>
      <c r="E3135" s="203" t="s">
        <v>42</v>
      </c>
      <c r="F3135" s="762">
        <v>0.01</v>
      </c>
      <c r="G3135" s="205">
        <f>VLOOKUP(D3135,upahbahan,3,FALSE)</f>
        <v>0</v>
      </c>
      <c r="H3135" s="210">
        <f t="shared" si="214"/>
        <v>0</v>
      </c>
      <c r="L3135" s="200"/>
      <c r="M3135" s="200"/>
      <c r="N3135" s="200"/>
      <c r="O3135" s="200"/>
      <c r="P3135" s="200"/>
    </row>
    <row r="3136" spans="3:16" s="517" customFormat="1" ht="31.2" customHeight="1">
      <c r="C3136" s="207" t="s">
        <v>1214</v>
      </c>
      <c r="D3136" s="208"/>
      <c r="E3136" s="568"/>
      <c r="F3136" s="208"/>
      <c r="G3136" s="209"/>
      <c r="H3136" s="210">
        <f>SUM(H3127:H3135)</f>
        <v>0</v>
      </c>
      <c r="L3136" s="200"/>
      <c r="M3136" s="200"/>
      <c r="N3136" s="200"/>
      <c r="O3136" s="200"/>
      <c r="P3136" s="200"/>
    </row>
    <row r="3137" spans="3:20" s="517" customFormat="1" ht="31.2" customHeight="1">
      <c r="C3137" s="756" t="s">
        <v>1215</v>
      </c>
      <c r="D3137" s="196" t="s">
        <v>1216</v>
      </c>
      <c r="E3137" s="203"/>
      <c r="F3137" s="197"/>
      <c r="G3137" s="197"/>
      <c r="H3137" s="198"/>
      <c r="L3137" s="200"/>
      <c r="M3137" s="200"/>
      <c r="N3137" s="200"/>
      <c r="O3137" s="200"/>
      <c r="P3137" s="200"/>
    </row>
    <row r="3138" spans="3:20" s="517" customFormat="1" ht="31.2" customHeight="1">
      <c r="C3138" s="543">
        <v>1</v>
      </c>
      <c r="D3138" s="750" t="s">
        <v>7189</v>
      </c>
      <c r="E3138" s="203" t="s">
        <v>42</v>
      </c>
      <c r="F3138" s="762">
        <v>0.41</v>
      </c>
      <c r="G3138" s="205">
        <f>VLOOKUP(D3138,upahbahan,3,FALSE)</f>
        <v>430000</v>
      </c>
      <c r="H3138" s="210">
        <f>F3138*G3138</f>
        <v>176300</v>
      </c>
      <c r="L3138" s="200"/>
      <c r="M3138" s="200"/>
      <c r="N3138" s="200"/>
      <c r="O3138" s="200"/>
      <c r="P3138" s="200"/>
    </row>
    <row r="3139" spans="3:20" s="517" customFormat="1" ht="31.2" customHeight="1">
      <c r="C3139" s="207" t="s">
        <v>1217</v>
      </c>
      <c r="D3139" s="208"/>
      <c r="E3139" s="208"/>
      <c r="F3139" s="208"/>
      <c r="G3139" s="209"/>
      <c r="H3139" s="240">
        <f>SUM(H3137:H3138)</f>
        <v>176300</v>
      </c>
      <c r="L3139" s="200"/>
      <c r="M3139" s="200"/>
      <c r="N3139" s="200"/>
      <c r="O3139" s="200"/>
      <c r="P3139" s="200"/>
    </row>
    <row r="3140" spans="3:20" s="517" customFormat="1" ht="31.2" customHeight="1">
      <c r="C3140" s="223" t="s">
        <v>1218</v>
      </c>
      <c r="D3140" s="224" t="s">
        <v>1219</v>
      </c>
      <c r="E3140" s="225"/>
      <c r="F3140" s="225"/>
      <c r="G3140" s="226"/>
      <c r="H3140" s="210">
        <f>H3139+H3136+H3125</f>
        <v>204122.5</v>
      </c>
      <c r="L3140" s="200"/>
      <c r="M3140" s="200"/>
      <c r="N3140" s="200"/>
      <c r="O3140" s="200"/>
      <c r="P3140" s="200"/>
    </row>
    <row r="3141" spans="3:20" s="517" customFormat="1" ht="31.2" customHeight="1">
      <c r="C3141" s="223" t="s">
        <v>1220</v>
      </c>
      <c r="D3141" s="224" t="s">
        <v>1321</v>
      </c>
      <c r="E3141" s="225"/>
      <c r="F3141" s="226"/>
      <c r="G3141" s="228">
        <v>0.1</v>
      </c>
      <c r="H3141" s="210">
        <f>H3140*G3141</f>
        <v>20412.25</v>
      </c>
      <c r="L3141" s="200"/>
      <c r="M3141" s="200"/>
      <c r="N3141" s="200"/>
      <c r="O3141" s="200"/>
      <c r="P3141" s="200"/>
    </row>
    <row r="3142" spans="3:20" s="517" customFormat="1" ht="31.2" customHeight="1" thickBot="1">
      <c r="C3142" s="229" t="s">
        <v>1221</v>
      </c>
      <c r="D3142" s="230" t="s">
        <v>1222</v>
      </c>
      <c r="E3142" s="231"/>
      <c r="F3142" s="231"/>
      <c r="G3142" s="232"/>
      <c r="H3142" s="233">
        <f>SUM(H3140:H3141)</f>
        <v>224534.75</v>
      </c>
      <c r="L3142" s="200"/>
      <c r="M3142" s="200"/>
      <c r="N3142" s="200"/>
      <c r="O3142" s="200"/>
      <c r="P3142" s="200"/>
    </row>
    <row r="3143" spans="3:20" ht="31.2" customHeight="1" thickTop="1">
      <c r="D3143" s="758" t="s">
        <v>7086</v>
      </c>
    </row>
    <row r="3144" spans="3:20" ht="31.2" customHeight="1">
      <c r="C3144" s="757" t="s">
        <v>6950</v>
      </c>
      <c r="F3144" s="758"/>
      <c r="H3144" s="758" t="s">
        <v>6959</v>
      </c>
    </row>
    <row r="3145" spans="3:20" ht="31.2" customHeight="1">
      <c r="C3145" s="200" t="s">
        <v>6951</v>
      </c>
      <c r="F3145" s="758"/>
    </row>
    <row r="3146" spans="3:20" ht="31.2" customHeight="1">
      <c r="C3146" s="200" t="s">
        <v>6952</v>
      </c>
      <c r="F3146" s="758"/>
    </row>
    <row r="3147" spans="3:20" ht="31.2" customHeight="1">
      <c r="C3147" s="200"/>
      <c r="F3147" s="758"/>
    </row>
    <row r="3148" spans="3:20" s="517" customFormat="1" ht="31.2" customHeight="1" thickBot="1">
      <c r="C3148" s="513" t="s">
        <v>7201</v>
      </c>
      <c r="D3148" s="748" t="s">
        <v>7202</v>
      </c>
      <c r="E3148" s="749"/>
      <c r="F3148" s="748"/>
      <c r="G3148" s="748"/>
      <c r="H3148" s="532"/>
      <c r="I3148" s="532"/>
      <c r="J3148" s="532"/>
      <c r="K3148" s="532"/>
      <c r="M3148" s="189"/>
      <c r="N3148" s="189"/>
      <c r="O3148" s="189"/>
      <c r="P3148" s="189"/>
      <c r="R3148" s="189">
        <f>ROUNDDOWN(H3172,-2)</f>
        <v>224500</v>
      </c>
      <c r="S3148" s="517" t="s">
        <v>6451</v>
      </c>
      <c r="T3148" s="517" t="s">
        <v>7014</v>
      </c>
    </row>
    <row r="3149" spans="3:20" s="517" customFormat="1" ht="31.2" customHeight="1" thickTop="1">
      <c r="C3149" s="190" t="s">
        <v>1195</v>
      </c>
      <c r="D3149" s="191" t="s">
        <v>1196</v>
      </c>
      <c r="E3149" s="191" t="s">
        <v>1197</v>
      </c>
      <c r="F3149" s="191" t="s">
        <v>1198</v>
      </c>
      <c r="G3149" s="191" t="s">
        <v>1199</v>
      </c>
      <c r="H3149" s="192" t="s">
        <v>1200</v>
      </c>
      <c r="L3149" s="200"/>
      <c r="M3149" s="200"/>
      <c r="N3149" s="200"/>
      <c r="O3149" s="200"/>
      <c r="P3149" s="200"/>
    </row>
    <row r="3150" spans="3:20" s="517" customFormat="1" ht="31.2" customHeight="1">
      <c r="C3150" s="518" t="s">
        <v>1201</v>
      </c>
      <c r="D3150" s="196" t="s">
        <v>1202</v>
      </c>
      <c r="E3150" s="197"/>
      <c r="F3150" s="197"/>
      <c r="G3150" s="197"/>
      <c r="H3150" s="198"/>
      <c r="L3150" s="200"/>
      <c r="M3150" s="200"/>
      <c r="N3150" s="200"/>
      <c r="O3150" s="200"/>
      <c r="P3150" s="200"/>
    </row>
    <row r="3151" spans="3:20" s="517" customFormat="1" ht="31.2" customHeight="1">
      <c r="C3151" s="518">
        <v>1</v>
      </c>
      <c r="D3151" s="196" t="s">
        <v>5</v>
      </c>
      <c r="E3151" s="203" t="s">
        <v>2102</v>
      </c>
      <c r="F3151" s="763">
        <v>6.7000000000000004E-2</v>
      </c>
      <c r="G3151" s="205">
        <f>VLOOKUP(D3151,upahbahan,3,FALSE)</f>
        <v>100000</v>
      </c>
      <c r="H3151" s="210">
        <f t="shared" ref="H3151:H3154" si="215">F3151*G3151</f>
        <v>6700</v>
      </c>
      <c r="L3151" s="200"/>
      <c r="M3151" s="200"/>
      <c r="N3151" s="200"/>
      <c r="O3151" s="200"/>
      <c r="P3151" s="200"/>
    </row>
    <row r="3152" spans="3:20" s="517" customFormat="1" ht="31.2" customHeight="1">
      <c r="C3152" s="537">
        <v>2</v>
      </c>
      <c r="D3152" s="196" t="s">
        <v>6954</v>
      </c>
      <c r="E3152" s="202" t="s">
        <v>6</v>
      </c>
      <c r="F3152" s="520">
        <v>6.7000000000000004E-2</v>
      </c>
      <c r="G3152" s="205">
        <f>VLOOKUP(D3152,upahbahan,3,FALSE)</f>
        <v>181250</v>
      </c>
      <c r="H3152" s="210">
        <f t="shared" si="215"/>
        <v>12143.75</v>
      </c>
      <c r="L3152" s="200"/>
      <c r="M3152" s="200"/>
      <c r="N3152" s="200"/>
      <c r="O3152" s="200"/>
      <c r="P3152" s="200"/>
    </row>
    <row r="3153" spans="3:16" s="517" customFormat="1" ht="31.2" customHeight="1">
      <c r="C3153" s="537">
        <v>3</v>
      </c>
      <c r="D3153" s="196" t="s">
        <v>6948</v>
      </c>
      <c r="E3153" s="202" t="s">
        <v>2102</v>
      </c>
      <c r="F3153" s="520">
        <v>3.3000000000000002E-2</v>
      </c>
      <c r="G3153" s="205">
        <f>VLOOKUP(D3153,upahbahan,3,FALSE)</f>
        <v>218750</v>
      </c>
      <c r="H3153" s="210">
        <f t="shared" si="215"/>
        <v>7218.75</v>
      </c>
      <c r="L3153" s="200"/>
      <c r="M3153" s="200"/>
      <c r="N3153" s="200"/>
      <c r="O3153" s="200"/>
      <c r="P3153" s="200"/>
    </row>
    <row r="3154" spans="3:16" s="517" customFormat="1" ht="31.2" customHeight="1">
      <c r="C3154" s="537">
        <v>4</v>
      </c>
      <c r="D3154" s="196" t="s">
        <v>19</v>
      </c>
      <c r="E3154" s="202" t="s">
        <v>6</v>
      </c>
      <c r="F3154" s="520">
        <v>1.0999999999999999E-2</v>
      </c>
      <c r="G3154" s="205">
        <f>VLOOKUP(D3154,upahbahan,3,FALSE)</f>
        <v>160000</v>
      </c>
      <c r="H3154" s="210">
        <f t="shared" si="215"/>
        <v>1760</v>
      </c>
      <c r="L3154" s="200"/>
      <c r="M3154" s="200"/>
      <c r="N3154" s="200"/>
      <c r="O3154" s="200"/>
      <c r="P3154" s="200"/>
    </row>
    <row r="3155" spans="3:16" s="517" customFormat="1" ht="31.2" customHeight="1">
      <c r="C3155" s="207" t="s">
        <v>1208</v>
      </c>
      <c r="D3155" s="208"/>
      <c r="E3155" s="208"/>
      <c r="F3155" s="521"/>
      <c r="G3155" s="522"/>
      <c r="H3155" s="210">
        <f>SUM(H3151:H3154)</f>
        <v>27822.5</v>
      </c>
      <c r="L3155" s="523"/>
      <c r="M3155" s="523"/>
      <c r="N3155" s="523"/>
      <c r="O3155" s="523"/>
      <c r="P3155" s="523"/>
    </row>
    <row r="3156" spans="3:16" s="517" customFormat="1" ht="31.2" customHeight="1">
      <c r="C3156" s="543" t="s">
        <v>1209</v>
      </c>
      <c r="D3156" s="750" t="s">
        <v>1210</v>
      </c>
      <c r="E3156" s="197"/>
      <c r="F3156" s="751"/>
      <c r="G3156" s="197"/>
      <c r="H3156" s="752"/>
      <c r="L3156" s="200"/>
      <c r="M3156" s="200"/>
      <c r="N3156" s="200"/>
      <c r="O3156" s="200"/>
      <c r="P3156" s="200"/>
    </row>
    <row r="3157" spans="3:16" s="517" customFormat="1" ht="31.2" customHeight="1">
      <c r="C3157" s="543">
        <v>1</v>
      </c>
      <c r="D3157" s="750" t="s">
        <v>7203</v>
      </c>
      <c r="E3157" s="203" t="s">
        <v>44</v>
      </c>
      <c r="F3157" s="753">
        <v>1.05</v>
      </c>
      <c r="G3157" s="205">
        <f>VLOOKUP(D3157,upahbahan,3,FALSE)</f>
        <v>0</v>
      </c>
      <c r="H3157" s="210">
        <f t="shared" ref="H3157:H3165" si="216">F3157*G3157</f>
        <v>0</v>
      </c>
      <c r="L3157" s="200"/>
      <c r="M3157" s="200"/>
      <c r="N3157" s="200"/>
      <c r="O3157" s="200"/>
      <c r="P3157" s="200"/>
    </row>
    <row r="3158" spans="3:16" s="517" customFormat="1" ht="31.2" customHeight="1">
      <c r="C3158" s="543">
        <v>2</v>
      </c>
      <c r="D3158" s="750" t="s">
        <v>5563</v>
      </c>
      <c r="E3158" s="203" t="s">
        <v>65</v>
      </c>
      <c r="F3158" s="753">
        <v>0.02</v>
      </c>
      <c r="G3158" s="205">
        <f>VLOOKUP(D3158,upahbahan,3,FALSE)</f>
        <v>0</v>
      </c>
      <c r="H3158" s="210">
        <f t="shared" si="216"/>
        <v>0</v>
      </c>
      <c r="L3158" s="200"/>
      <c r="M3158" s="200"/>
      <c r="N3158" s="200"/>
      <c r="O3158" s="200"/>
      <c r="P3158" s="200"/>
    </row>
    <row r="3159" spans="3:16" s="517" customFormat="1" ht="31.2" customHeight="1">
      <c r="C3159" s="543">
        <v>3</v>
      </c>
      <c r="D3159" s="750" t="s">
        <v>5555</v>
      </c>
      <c r="E3159" s="203"/>
      <c r="F3159" s="753"/>
      <c r="G3159" s="197"/>
      <c r="H3159" s="210">
        <f t="shared" si="216"/>
        <v>0</v>
      </c>
      <c r="L3159" s="200"/>
      <c r="M3159" s="200"/>
      <c r="N3159" s="200"/>
      <c r="O3159" s="200"/>
      <c r="P3159" s="200"/>
    </row>
    <row r="3160" spans="3:16" s="517" customFormat="1" ht="31.2" customHeight="1">
      <c r="C3160" s="754" t="s">
        <v>5293</v>
      </c>
      <c r="D3160" s="750" t="s">
        <v>7142</v>
      </c>
      <c r="E3160" s="203" t="s">
        <v>113</v>
      </c>
      <c r="F3160" s="760">
        <v>18</v>
      </c>
      <c r="G3160" s="205">
        <f>VLOOKUP(D3160,upahbahan,3,FALSE)</f>
        <v>0</v>
      </c>
      <c r="H3160" s="210">
        <f t="shared" si="216"/>
        <v>0</v>
      </c>
      <c r="L3160" s="200"/>
      <c r="M3160" s="200"/>
      <c r="N3160" s="200"/>
      <c r="O3160" s="200"/>
      <c r="P3160" s="200"/>
    </row>
    <row r="3161" spans="3:16" s="517" customFormat="1" ht="31.2" customHeight="1">
      <c r="C3161" s="754" t="s">
        <v>5299</v>
      </c>
      <c r="D3161" s="750" t="s">
        <v>7055</v>
      </c>
      <c r="E3161" s="203" t="s">
        <v>113</v>
      </c>
      <c r="F3161" s="760">
        <v>10</v>
      </c>
      <c r="G3161" s="205">
        <f>VLOOKUP(D3161,upahbahan,3,FALSE)</f>
        <v>0</v>
      </c>
      <c r="H3161" s="210">
        <f t="shared" si="216"/>
        <v>0</v>
      </c>
      <c r="L3161" s="200"/>
      <c r="M3161" s="200"/>
      <c r="N3161" s="200"/>
      <c r="O3161" s="200"/>
      <c r="P3161" s="200"/>
    </row>
    <row r="3162" spans="3:16" s="517" customFormat="1" ht="31.2" customHeight="1">
      <c r="C3162" s="543">
        <v>4</v>
      </c>
      <c r="D3162" s="750" t="s">
        <v>5556</v>
      </c>
      <c r="E3162" s="203"/>
      <c r="F3162" s="753"/>
      <c r="G3162" s="197"/>
      <c r="H3162" s="210">
        <f t="shared" si="216"/>
        <v>0</v>
      </c>
      <c r="L3162" s="200"/>
      <c r="M3162" s="200"/>
      <c r="N3162" s="200"/>
      <c r="O3162" s="200"/>
      <c r="P3162" s="200"/>
    </row>
    <row r="3163" spans="3:16" s="517" customFormat="1" ht="31.2" customHeight="1">
      <c r="C3163" s="754" t="s">
        <v>5293</v>
      </c>
      <c r="D3163" s="750" t="s">
        <v>2084</v>
      </c>
      <c r="E3163" s="203" t="s">
        <v>42</v>
      </c>
      <c r="F3163" s="753">
        <v>0.14599999999999999</v>
      </c>
      <c r="G3163" s="205">
        <f>VLOOKUP(D3163,upahbahan,3,FALSE)</f>
        <v>0</v>
      </c>
      <c r="H3163" s="210">
        <f t="shared" si="216"/>
        <v>0</v>
      </c>
      <c r="L3163" s="200"/>
      <c r="M3163" s="200"/>
      <c r="N3163" s="200"/>
      <c r="O3163" s="200"/>
      <c r="P3163" s="200"/>
    </row>
    <row r="3164" spans="3:16" s="517" customFormat="1" ht="31.2" customHeight="1">
      <c r="C3164" s="754" t="s">
        <v>5299</v>
      </c>
      <c r="D3164" s="750" t="s">
        <v>5566</v>
      </c>
      <c r="E3164" s="203" t="s">
        <v>42</v>
      </c>
      <c r="F3164" s="753">
        <v>3.9E-2</v>
      </c>
      <c r="G3164" s="205">
        <f>VLOOKUP(D3164,upahbahan,3,FALSE)</f>
        <v>0</v>
      </c>
      <c r="H3164" s="210">
        <f t="shared" si="216"/>
        <v>0</v>
      </c>
      <c r="L3164" s="200"/>
      <c r="M3164" s="200"/>
      <c r="N3164" s="200"/>
      <c r="O3164" s="200"/>
      <c r="P3164" s="200"/>
    </row>
    <row r="3165" spans="3:16" s="517" customFormat="1" ht="31.2" customHeight="1">
      <c r="C3165" s="754" t="s">
        <v>5558</v>
      </c>
      <c r="D3165" s="750" t="s">
        <v>2325</v>
      </c>
      <c r="E3165" s="203" t="s">
        <v>42</v>
      </c>
      <c r="F3165" s="762">
        <v>0.01</v>
      </c>
      <c r="G3165" s="205">
        <f>VLOOKUP(D3165,upahbahan,3,FALSE)</f>
        <v>0</v>
      </c>
      <c r="H3165" s="210">
        <f t="shared" si="216"/>
        <v>0</v>
      </c>
      <c r="L3165" s="200"/>
      <c r="M3165" s="200"/>
      <c r="N3165" s="200"/>
      <c r="O3165" s="200"/>
      <c r="P3165" s="200"/>
    </row>
    <row r="3166" spans="3:16" s="517" customFormat="1" ht="31.2" customHeight="1">
      <c r="C3166" s="207" t="s">
        <v>1214</v>
      </c>
      <c r="D3166" s="208"/>
      <c r="E3166" s="568"/>
      <c r="F3166" s="208"/>
      <c r="G3166" s="209"/>
      <c r="H3166" s="210">
        <f>SUM(H3157:H3165)</f>
        <v>0</v>
      </c>
      <c r="L3166" s="200"/>
      <c r="M3166" s="200"/>
      <c r="N3166" s="200"/>
      <c r="O3166" s="200"/>
      <c r="P3166" s="200"/>
    </row>
    <row r="3167" spans="3:16" s="517" customFormat="1" ht="31.2" customHeight="1">
      <c r="C3167" s="756" t="s">
        <v>1215</v>
      </c>
      <c r="D3167" s="196" t="s">
        <v>1216</v>
      </c>
      <c r="E3167" s="203"/>
      <c r="F3167" s="197"/>
      <c r="G3167" s="197"/>
      <c r="H3167" s="198"/>
      <c r="L3167" s="200"/>
      <c r="M3167" s="200"/>
      <c r="N3167" s="200"/>
      <c r="O3167" s="200"/>
      <c r="P3167" s="200"/>
    </row>
    <row r="3168" spans="3:16" s="517" customFormat="1" ht="31.2" customHeight="1">
      <c r="C3168" s="543">
        <v>1</v>
      </c>
      <c r="D3168" s="750" t="s">
        <v>7189</v>
      </c>
      <c r="E3168" s="203" t="s">
        <v>42</v>
      </c>
      <c r="F3168" s="762">
        <v>0.41</v>
      </c>
      <c r="G3168" s="205">
        <f>VLOOKUP(D3168,upahbahan,3,FALSE)</f>
        <v>430000</v>
      </c>
      <c r="H3168" s="210">
        <f>F3168*G3168</f>
        <v>176300</v>
      </c>
      <c r="L3168" s="200"/>
      <c r="M3168" s="200"/>
      <c r="N3168" s="200"/>
      <c r="O3168" s="200"/>
      <c r="P3168" s="200"/>
    </row>
    <row r="3169" spans="3:20" s="517" customFormat="1" ht="31.2" customHeight="1">
      <c r="C3169" s="207" t="s">
        <v>1217</v>
      </c>
      <c r="D3169" s="208"/>
      <c r="E3169" s="208"/>
      <c r="F3169" s="208"/>
      <c r="G3169" s="209"/>
      <c r="H3169" s="240">
        <f>SUM(H3167:H3168)</f>
        <v>176300</v>
      </c>
      <c r="L3169" s="200"/>
      <c r="M3169" s="200"/>
      <c r="N3169" s="200"/>
      <c r="O3169" s="200"/>
      <c r="P3169" s="200"/>
    </row>
    <row r="3170" spans="3:20" s="517" customFormat="1" ht="31.2" customHeight="1">
      <c r="C3170" s="223" t="s">
        <v>1218</v>
      </c>
      <c r="D3170" s="224" t="s">
        <v>1219</v>
      </c>
      <c r="E3170" s="225"/>
      <c r="F3170" s="225"/>
      <c r="G3170" s="226"/>
      <c r="H3170" s="210">
        <f>H3169+H3166+H3155</f>
        <v>204122.5</v>
      </c>
      <c r="L3170" s="200"/>
      <c r="M3170" s="200"/>
      <c r="N3170" s="200"/>
      <c r="O3170" s="200"/>
      <c r="P3170" s="200"/>
    </row>
    <row r="3171" spans="3:20" s="517" customFormat="1" ht="31.2" customHeight="1">
      <c r="C3171" s="223" t="s">
        <v>1220</v>
      </c>
      <c r="D3171" s="224" t="s">
        <v>1321</v>
      </c>
      <c r="E3171" s="225"/>
      <c r="F3171" s="226"/>
      <c r="G3171" s="228">
        <v>0.1</v>
      </c>
      <c r="H3171" s="210">
        <f>H3170*G3171</f>
        <v>20412.25</v>
      </c>
      <c r="L3171" s="200"/>
      <c r="M3171" s="200"/>
      <c r="N3171" s="200"/>
      <c r="O3171" s="200"/>
      <c r="P3171" s="200"/>
    </row>
    <row r="3172" spans="3:20" s="517" customFormat="1" ht="31.2" customHeight="1" thickBot="1">
      <c r="C3172" s="229" t="s">
        <v>1221</v>
      </c>
      <c r="D3172" s="230" t="s">
        <v>1222</v>
      </c>
      <c r="E3172" s="231"/>
      <c r="F3172" s="231"/>
      <c r="G3172" s="232"/>
      <c r="H3172" s="233">
        <f>SUM(H3170:H3171)</f>
        <v>224534.75</v>
      </c>
      <c r="L3172" s="200"/>
      <c r="M3172" s="200"/>
      <c r="N3172" s="200"/>
      <c r="O3172" s="200"/>
      <c r="P3172" s="200"/>
    </row>
    <row r="3173" spans="3:20" ht="31.2" customHeight="1" thickTop="1">
      <c r="D3173" s="758" t="s">
        <v>7086</v>
      </c>
    </row>
    <row r="3174" spans="3:20" ht="31.2" customHeight="1">
      <c r="C3174" s="757" t="s">
        <v>6950</v>
      </c>
      <c r="F3174" s="758"/>
      <c r="H3174" s="758" t="s">
        <v>6959</v>
      </c>
    </row>
    <row r="3175" spans="3:20" ht="31.2" customHeight="1">
      <c r="C3175" s="200" t="s">
        <v>6951</v>
      </c>
      <c r="F3175" s="758"/>
    </row>
    <row r="3176" spans="3:20" ht="31.2" customHeight="1">
      <c r="C3176" s="200" t="s">
        <v>6952</v>
      </c>
      <c r="F3176" s="758"/>
    </row>
    <row r="3177" spans="3:20" ht="31.2" customHeight="1">
      <c r="C3177" s="200"/>
      <c r="F3177" s="758"/>
    </row>
    <row r="3178" spans="3:20" s="517" customFormat="1" ht="31.2" customHeight="1" thickBot="1">
      <c r="C3178" s="513" t="s">
        <v>7204</v>
      </c>
      <c r="D3178" s="748" t="s">
        <v>7205</v>
      </c>
      <c r="E3178" s="749"/>
      <c r="F3178" s="748"/>
      <c r="G3178" s="748"/>
      <c r="H3178" s="532"/>
      <c r="I3178" s="532"/>
      <c r="J3178" s="532"/>
      <c r="K3178" s="532"/>
      <c r="M3178" s="189"/>
      <c r="N3178" s="189"/>
      <c r="O3178" s="189"/>
      <c r="P3178" s="189"/>
      <c r="R3178" s="189" t="e">
        <f>ROUNDDOWN(H3202,-2)</f>
        <v>#N/A</v>
      </c>
      <c r="S3178" s="517" t="s">
        <v>6451</v>
      </c>
      <c r="T3178" s="517" t="s">
        <v>7014</v>
      </c>
    </row>
    <row r="3179" spans="3:20" s="517" customFormat="1" ht="31.2" customHeight="1" thickTop="1">
      <c r="C3179" s="190" t="s">
        <v>1195</v>
      </c>
      <c r="D3179" s="191" t="s">
        <v>1196</v>
      </c>
      <c r="E3179" s="191" t="s">
        <v>1197</v>
      </c>
      <c r="F3179" s="191" t="s">
        <v>1198</v>
      </c>
      <c r="G3179" s="191" t="s">
        <v>1199</v>
      </c>
      <c r="H3179" s="192" t="s">
        <v>1200</v>
      </c>
      <c r="L3179" s="200"/>
      <c r="M3179" s="200"/>
      <c r="N3179" s="200"/>
      <c r="O3179" s="200"/>
      <c r="P3179" s="200"/>
    </row>
    <row r="3180" spans="3:20" s="517" customFormat="1" ht="31.2" customHeight="1">
      <c r="C3180" s="518" t="s">
        <v>1201</v>
      </c>
      <c r="D3180" s="196" t="s">
        <v>1202</v>
      </c>
      <c r="E3180" s="197"/>
      <c r="F3180" s="197"/>
      <c r="G3180" s="197"/>
      <c r="H3180" s="198"/>
      <c r="L3180" s="200"/>
      <c r="M3180" s="200"/>
      <c r="N3180" s="200"/>
      <c r="O3180" s="200"/>
      <c r="P3180" s="200"/>
    </row>
    <row r="3181" spans="3:20" s="517" customFormat="1" ht="31.2" customHeight="1">
      <c r="C3181" s="518">
        <v>1</v>
      </c>
      <c r="D3181" s="196" t="s">
        <v>5</v>
      </c>
      <c r="E3181" s="203" t="s">
        <v>2102</v>
      </c>
      <c r="F3181" s="763">
        <v>6.7000000000000004E-2</v>
      </c>
      <c r="G3181" s="205">
        <f>VLOOKUP(D3181,upahbahan,3,FALSE)</f>
        <v>100000</v>
      </c>
      <c r="H3181" s="210">
        <f t="shared" ref="H3181:H3184" si="217">F3181*G3181</f>
        <v>6700</v>
      </c>
      <c r="L3181" s="200"/>
      <c r="M3181" s="200"/>
      <c r="N3181" s="200"/>
      <c r="O3181" s="200"/>
      <c r="P3181" s="200"/>
    </row>
    <row r="3182" spans="3:20" s="517" customFormat="1" ht="31.2" customHeight="1">
      <c r="C3182" s="537">
        <v>2</v>
      </c>
      <c r="D3182" s="196" t="s">
        <v>6954</v>
      </c>
      <c r="E3182" s="202" t="s">
        <v>6</v>
      </c>
      <c r="F3182" s="520">
        <v>6.7000000000000004E-2</v>
      </c>
      <c r="G3182" s="205">
        <f>VLOOKUP(D3182,upahbahan,3,FALSE)</f>
        <v>181250</v>
      </c>
      <c r="H3182" s="210">
        <f t="shared" si="217"/>
        <v>12143.75</v>
      </c>
      <c r="L3182" s="200"/>
      <c r="M3182" s="200"/>
      <c r="N3182" s="200"/>
      <c r="O3182" s="200"/>
      <c r="P3182" s="200"/>
    </row>
    <row r="3183" spans="3:20" s="517" customFormat="1" ht="31.2" customHeight="1">
      <c r="C3183" s="537">
        <v>3</v>
      </c>
      <c r="D3183" s="196" t="s">
        <v>6948</v>
      </c>
      <c r="E3183" s="202" t="s">
        <v>2102</v>
      </c>
      <c r="F3183" s="520">
        <v>3.3000000000000002E-2</v>
      </c>
      <c r="G3183" s="205">
        <f>VLOOKUP(D3183,upahbahan,3,FALSE)</f>
        <v>218750</v>
      </c>
      <c r="H3183" s="210">
        <f t="shared" si="217"/>
        <v>7218.75</v>
      </c>
      <c r="L3183" s="200"/>
      <c r="M3183" s="200"/>
      <c r="N3183" s="200"/>
      <c r="O3183" s="200"/>
      <c r="P3183" s="200"/>
    </row>
    <row r="3184" spans="3:20" s="517" customFormat="1" ht="31.2" customHeight="1">
      <c r="C3184" s="537">
        <v>4</v>
      </c>
      <c r="D3184" s="196" t="s">
        <v>19</v>
      </c>
      <c r="E3184" s="202" t="s">
        <v>6</v>
      </c>
      <c r="F3184" s="520">
        <v>1.0999999999999999E-2</v>
      </c>
      <c r="G3184" s="205">
        <f>VLOOKUP(D3184,upahbahan,3,FALSE)</f>
        <v>160000</v>
      </c>
      <c r="H3184" s="210">
        <f t="shared" si="217"/>
        <v>1760</v>
      </c>
      <c r="L3184" s="200"/>
      <c r="M3184" s="200"/>
      <c r="N3184" s="200"/>
      <c r="O3184" s="200"/>
      <c r="P3184" s="200"/>
    </row>
    <row r="3185" spans="3:16" s="517" customFormat="1" ht="31.2" customHeight="1">
      <c r="C3185" s="207" t="s">
        <v>1208</v>
      </c>
      <c r="D3185" s="208"/>
      <c r="E3185" s="208"/>
      <c r="F3185" s="521"/>
      <c r="G3185" s="522"/>
      <c r="H3185" s="210">
        <f>SUM(H3181:H3184)</f>
        <v>27822.5</v>
      </c>
      <c r="L3185" s="523"/>
      <c r="M3185" s="523"/>
      <c r="N3185" s="523"/>
      <c r="O3185" s="523"/>
      <c r="P3185" s="523"/>
    </row>
    <row r="3186" spans="3:16" s="517" customFormat="1" ht="31.2" customHeight="1">
      <c r="C3186" s="543" t="s">
        <v>1209</v>
      </c>
      <c r="D3186" s="750" t="s">
        <v>1210</v>
      </c>
      <c r="E3186" s="197"/>
      <c r="F3186" s="751"/>
      <c r="G3186" s="197"/>
      <c r="H3186" s="752"/>
      <c r="L3186" s="200"/>
      <c r="M3186" s="200"/>
      <c r="N3186" s="200"/>
      <c r="O3186" s="200"/>
      <c r="P3186" s="200"/>
    </row>
    <row r="3187" spans="3:16" s="517" customFormat="1" ht="31.2" customHeight="1">
      <c r="C3187" s="543">
        <v>1</v>
      </c>
      <c r="D3187" s="750" t="s">
        <v>7206</v>
      </c>
      <c r="E3187" s="203" t="s">
        <v>44</v>
      </c>
      <c r="F3187" s="753">
        <v>1.05</v>
      </c>
      <c r="G3187" s="205" t="e">
        <f>VLOOKUP(D3187,upahbahan,3,FALSE)</f>
        <v>#N/A</v>
      </c>
      <c r="H3187" s="210" t="e">
        <f t="shared" ref="H3187:H3195" si="218">F3187*G3187</f>
        <v>#N/A</v>
      </c>
      <c r="L3187" s="200"/>
      <c r="M3187" s="200"/>
      <c r="N3187" s="200"/>
      <c r="O3187" s="200"/>
      <c r="P3187" s="200"/>
    </row>
    <row r="3188" spans="3:16" s="517" customFormat="1" ht="31.2" customHeight="1">
      <c r="C3188" s="543">
        <v>2</v>
      </c>
      <c r="D3188" s="750" t="s">
        <v>5563</v>
      </c>
      <c r="E3188" s="203" t="s">
        <v>65</v>
      </c>
      <c r="F3188" s="753">
        <v>0.02</v>
      </c>
      <c r="G3188" s="205">
        <f>VLOOKUP(D3188,upahbahan,3,FALSE)</f>
        <v>0</v>
      </c>
      <c r="H3188" s="210">
        <f t="shared" si="218"/>
        <v>0</v>
      </c>
      <c r="L3188" s="200"/>
      <c r="M3188" s="200"/>
      <c r="N3188" s="200"/>
      <c r="O3188" s="200"/>
      <c r="P3188" s="200"/>
    </row>
    <row r="3189" spans="3:16" s="517" customFormat="1" ht="31.2" customHeight="1">
      <c r="C3189" s="543">
        <v>3</v>
      </c>
      <c r="D3189" s="750" t="s">
        <v>5555</v>
      </c>
      <c r="E3189" s="203"/>
      <c r="F3189" s="753"/>
      <c r="G3189" s="197"/>
      <c r="H3189" s="210">
        <f t="shared" si="218"/>
        <v>0</v>
      </c>
      <c r="L3189" s="200"/>
      <c r="M3189" s="200"/>
      <c r="N3189" s="200"/>
      <c r="O3189" s="200"/>
      <c r="P3189" s="200"/>
    </row>
    <row r="3190" spans="3:16" s="517" customFormat="1" ht="31.2" customHeight="1">
      <c r="C3190" s="754" t="s">
        <v>5293</v>
      </c>
      <c r="D3190" s="750" t="s">
        <v>7142</v>
      </c>
      <c r="E3190" s="203" t="s">
        <v>113</v>
      </c>
      <c r="F3190" s="760">
        <v>18</v>
      </c>
      <c r="G3190" s="205">
        <f>VLOOKUP(D3190,upahbahan,3,FALSE)</f>
        <v>0</v>
      </c>
      <c r="H3190" s="210">
        <f t="shared" si="218"/>
        <v>0</v>
      </c>
      <c r="L3190" s="200"/>
      <c r="M3190" s="200"/>
      <c r="N3190" s="200"/>
      <c r="O3190" s="200"/>
      <c r="P3190" s="200"/>
    </row>
    <row r="3191" spans="3:16" s="517" customFormat="1" ht="31.2" customHeight="1">
      <c r="C3191" s="754" t="s">
        <v>5299</v>
      </c>
      <c r="D3191" s="750" t="s">
        <v>7055</v>
      </c>
      <c r="E3191" s="203" t="s">
        <v>113</v>
      </c>
      <c r="F3191" s="760">
        <v>10</v>
      </c>
      <c r="G3191" s="205">
        <f>VLOOKUP(D3191,upahbahan,3,FALSE)</f>
        <v>0</v>
      </c>
      <c r="H3191" s="210">
        <f t="shared" si="218"/>
        <v>0</v>
      </c>
      <c r="L3191" s="200"/>
      <c r="M3191" s="200"/>
      <c r="N3191" s="200"/>
      <c r="O3191" s="200"/>
      <c r="P3191" s="200"/>
    </row>
    <row r="3192" spans="3:16" s="517" customFormat="1" ht="31.2" customHeight="1">
      <c r="C3192" s="543">
        <v>4</v>
      </c>
      <c r="D3192" s="750" t="s">
        <v>5556</v>
      </c>
      <c r="E3192" s="203"/>
      <c r="F3192" s="753"/>
      <c r="G3192" s="197"/>
      <c r="H3192" s="210">
        <f t="shared" si="218"/>
        <v>0</v>
      </c>
      <c r="L3192" s="200"/>
      <c r="M3192" s="200"/>
      <c r="N3192" s="200"/>
      <c r="O3192" s="200"/>
      <c r="P3192" s="200"/>
    </row>
    <row r="3193" spans="3:16" s="517" customFormat="1" ht="31.2" customHeight="1">
      <c r="C3193" s="754" t="s">
        <v>5293</v>
      </c>
      <c r="D3193" s="750" t="s">
        <v>2084</v>
      </c>
      <c r="E3193" s="203" t="s">
        <v>42</v>
      </c>
      <c r="F3193" s="753">
        <v>0.14599999999999999</v>
      </c>
      <c r="G3193" s="205">
        <f>VLOOKUP(D3193,upahbahan,3,FALSE)</f>
        <v>0</v>
      </c>
      <c r="H3193" s="210">
        <f t="shared" si="218"/>
        <v>0</v>
      </c>
      <c r="L3193" s="200"/>
      <c r="M3193" s="200"/>
      <c r="N3193" s="200"/>
      <c r="O3193" s="200"/>
      <c r="P3193" s="200"/>
    </row>
    <row r="3194" spans="3:16" s="517" customFormat="1" ht="31.2" customHeight="1">
      <c r="C3194" s="754" t="s">
        <v>5299</v>
      </c>
      <c r="D3194" s="750" t="s">
        <v>5566</v>
      </c>
      <c r="E3194" s="203" t="s">
        <v>42</v>
      </c>
      <c r="F3194" s="753">
        <v>3.9E-2</v>
      </c>
      <c r="G3194" s="205">
        <f>VLOOKUP(D3194,upahbahan,3,FALSE)</f>
        <v>0</v>
      </c>
      <c r="H3194" s="210">
        <f t="shared" si="218"/>
        <v>0</v>
      </c>
      <c r="L3194" s="200"/>
      <c r="M3194" s="200"/>
      <c r="N3194" s="200"/>
      <c r="O3194" s="200"/>
      <c r="P3194" s="200"/>
    </row>
    <row r="3195" spans="3:16" s="517" customFormat="1" ht="31.2" customHeight="1">
      <c r="C3195" s="754" t="s">
        <v>5558</v>
      </c>
      <c r="D3195" s="750" t="s">
        <v>2325</v>
      </c>
      <c r="E3195" s="203" t="s">
        <v>42</v>
      </c>
      <c r="F3195" s="762">
        <v>0.01</v>
      </c>
      <c r="G3195" s="205">
        <f>VLOOKUP(D3195,upahbahan,3,FALSE)</f>
        <v>0</v>
      </c>
      <c r="H3195" s="210">
        <f t="shared" si="218"/>
        <v>0</v>
      </c>
      <c r="L3195" s="200"/>
      <c r="M3195" s="200"/>
      <c r="N3195" s="200"/>
      <c r="O3195" s="200"/>
      <c r="P3195" s="200"/>
    </row>
    <row r="3196" spans="3:16" s="517" customFormat="1" ht="31.2" customHeight="1">
      <c r="C3196" s="207" t="s">
        <v>1214</v>
      </c>
      <c r="D3196" s="208"/>
      <c r="E3196" s="568"/>
      <c r="F3196" s="208"/>
      <c r="G3196" s="209"/>
      <c r="H3196" s="210" t="e">
        <f>SUM(H3187:H3195)</f>
        <v>#N/A</v>
      </c>
      <c r="L3196" s="200"/>
      <c r="M3196" s="200"/>
      <c r="N3196" s="200"/>
      <c r="O3196" s="200"/>
      <c r="P3196" s="200"/>
    </row>
    <row r="3197" spans="3:16" s="517" customFormat="1" ht="31.2" customHeight="1">
      <c r="C3197" s="756" t="s">
        <v>1215</v>
      </c>
      <c r="D3197" s="196" t="s">
        <v>1216</v>
      </c>
      <c r="E3197" s="203"/>
      <c r="F3197" s="197"/>
      <c r="G3197" s="197"/>
      <c r="H3197" s="198"/>
      <c r="L3197" s="200"/>
      <c r="M3197" s="200"/>
      <c r="N3197" s="200"/>
      <c r="O3197" s="200"/>
      <c r="P3197" s="200"/>
    </row>
    <row r="3198" spans="3:16" s="517" customFormat="1" ht="31.2" customHeight="1">
      <c r="C3198" s="543">
        <v>1</v>
      </c>
      <c r="D3198" s="750" t="s">
        <v>7189</v>
      </c>
      <c r="E3198" s="203" t="s">
        <v>42</v>
      </c>
      <c r="F3198" s="762">
        <v>0.41</v>
      </c>
      <c r="G3198" s="205">
        <f>VLOOKUP(D3198,upahbahan,3,FALSE)</f>
        <v>430000</v>
      </c>
      <c r="H3198" s="210">
        <f>F3198*G3198</f>
        <v>176300</v>
      </c>
      <c r="L3198" s="200"/>
      <c r="M3198" s="200"/>
      <c r="N3198" s="200"/>
      <c r="O3198" s="200"/>
      <c r="P3198" s="200"/>
    </row>
    <row r="3199" spans="3:16" s="517" customFormat="1" ht="31.2" customHeight="1">
      <c r="C3199" s="207" t="s">
        <v>1217</v>
      </c>
      <c r="D3199" s="208"/>
      <c r="E3199" s="208"/>
      <c r="F3199" s="208"/>
      <c r="G3199" s="209"/>
      <c r="H3199" s="240">
        <f>SUM(H3197:H3198)</f>
        <v>176300</v>
      </c>
      <c r="L3199" s="200"/>
      <c r="M3199" s="200"/>
      <c r="N3199" s="200"/>
      <c r="O3199" s="200"/>
      <c r="P3199" s="200"/>
    </row>
    <row r="3200" spans="3:16" s="517" customFormat="1" ht="31.2" customHeight="1">
      <c r="C3200" s="223" t="s">
        <v>1218</v>
      </c>
      <c r="D3200" s="224" t="s">
        <v>1219</v>
      </c>
      <c r="E3200" s="225"/>
      <c r="F3200" s="225"/>
      <c r="G3200" s="226"/>
      <c r="H3200" s="210" t="e">
        <f>H3199+H3196+H3185</f>
        <v>#N/A</v>
      </c>
      <c r="L3200" s="200"/>
      <c r="M3200" s="200"/>
      <c r="N3200" s="200"/>
      <c r="O3200" s="200"/>
      <c r="P3200" s="200"/>
    </row>
    <row r="3201" spans="3:20" s="517" customFormat="1" ht="31.2" customHeight="1">
      <c r="C3201" s="223" t="s">
        <v>1220</v>
      </c>
      <c r="D3201" s="224" t="s">
        <v>1321</v>
      </c>
      <c r="E3201" s="225"/>
      <c r="F3201" s="226"/>
      <c r="G3201" s="228">
        <v>0.1</v>
      </c>
      <c r="H3201" s="210" t="e">
        <f>H3200*G3201</f>
        <v>#N/A</v>
      </c>
      <c r="L3201" s="200"/>
      <c r="M3201" s="200"/>
      <c r="N3201" s="200"/>
      <c r="O3201" s="200"/>
      <c r="P3201" s="200"/>
    </row>
    <row r="3202" spans="3:20" s="517" customFormat="1" ht="31.2" customHeight="1" thickBot="1">
      <c r="C3202" s="229" t="s">
        <v>1221</v>
      </c>
      <c r="D3202" s="230" t="s">
        <v>1222</v>
      </c>
      <c r="E3202" s="231"/>
      <c r="F3202" s="231"/>
      <c r="G3202" s="232"/>
      <c r="H3202" s="233" t="e">
        <f>SUM(H3200:H3201)</f>
        <v>#N/A</v>
      </c>
      <c r="L3202" s="200"/>
      <c r="M3202" s="200"/>
      <c r="N3202" s="200"/>
      <c r="O3202" s="200"/>
      <c r="P3202" s="200"/>
    </row>
    <row r="3203" spans="3:20" ht="31.2" customHeight="1" thickTop="1">
      <c r="D3203" s="758" t="s">
        <v>7086</v>
      </c>
    </row>
    <row r="3204" spans="3:20" ht="31.2" customHeight="1">
      <c r="C3204" s="757" t="s">
        <v>6950</v>
      </c>
      <c r="F3204" s="758"/>
      <c r="H3204" s="758" t="s">
        <v>6959</v>
      </c>
    </row>
    <row r="3205" spans="3:20" ht="31.2" customHeight="1">
      <c r="C3205" s="200" t="s">
        <v>6951</v>
      </c>
      <c r="F3205" s="758"/>
    </row>
    <row r="3206" spans="3:20" ht="31.2" customHeight="1">
      <c r="C3206" s="200" t="s">
        <v>6952</v>
      </c>
      <c r="F3206" s="758"/>
    </row>
    <row r="3207" spans="3:20" ht="31.2" customHeight="1">
      <c r="C3207" s="200"/>
      <c r="F3207" s="758"/>
    </row>
    <row r="3208" spans="3:20" ht="31.2" customHeight="1">
      <c r="C3208" s="199" t="s">
        <v>5575</v>
      </c>
      <c r="D3208" s="187" t="s">
        <v>7207</v>
      </c>
      <c r="F3208" s="758"/>
    </row>
    <row r="3209" spans="3:20" s="517" customFormat="1" ht="31.2" customHeight="1" thickBot="1">
      <c r="C3209" s="513" t="s">
        <v>7208</v>
      </c>
      <c r="D3209" s="748" t="s">
        <v>7213</v>
      </c>
      <c r="E3209" s="749"/>
      <c r="F3209" s="748"/>
      <c r="G3209" s="748"/>
      <c r="H3209" s="532"/>
      <c r="I3209" s="532"/>
      <c r="J3209" s="532"/>
      <c r="K3209" s="532"/>
      <c r="M3209" s="189"/>
      <c r="N3209" s="189"/>
      <c r="O3209" s="189"/>
      <c r="P3209" s="189"/>
      <c r="R3209" s="189">
        <f>ROUNDDOWN(H3233,-2)</f>
        <v>310700</v>
      </c>
      <c r="S3209" s="517" t="s">
        <v>6451</v>
      </c>
      <c r="T3209" s="517" t="s">
        <v>7014</v>
      </c>
    </row>
    <row r="3210" spans="3:20" s="517" customFormat="1" ht="31.2" customHeight="1" thickTop="1">
      <c r="C3210" s="190" t="s">
        <v>1195</v>
      </c>
      <c r="D3210" s="191" t="s">
        <v>1196</v>
      </c>
      <c r="E3210" s="191" t="s">
        <v>1197</v>
      </c>
      <c r="F3210" s="191" t="s">
        <v>1198</v>
      </c>
      <c r="G3210" s="191" t="s">
        <v>1199</v>
      </c>
      <c r="H3210" s="192" t="s">
        <v>1200</v>
      </c>
      <c r="L3210" s="200"/>
      <c r="M3210" s="200"/>
      <c r="N3210" s="200"/>
      <c r="O3210" s="200"/>
      <c r="P3210" s="200"/>
    </row>
    <row r="3211" spans="3:20" s="517" customFormat="1" ht="31.2" customHeight="1">
      <c r="C3211" s="518" t="s">
        <v>1201</v>
      </c>
      <c r="D3211" s="196" t="s">
        <v>1202</v>
      </c>
      <c r="E3211" s="197"/>
      <c r="F3211" s="197"/>
      <c r="G3211" s="197"/>
      <c r="H3211" s="198"/>
      <c r="L3211" s="200"/>
      <c r="M3211" s="200"/>
      <c r="N3211" s="200"/>
      <c r="O3211" s="200"/>
      <c r="P3211" s="200"/>
    </row>
    <row r="3212" spans="3:20" s="517" customFormat="1" ht="31.2" customHeight="1">
      <c r="C3212" s="518">
        <v>1</v>
      </c>
      <c r="D3212" s="196" t="s">
        <v>5</v>
      </c>
      <c r="E3212" s="203" t="s">
        <v>2102</v>
      </c>
      <c r="F3212" s="525">
        <v>0.1</v>
      </c>
      <c r="G3212" s="205">
        <f>VLOOKUP(D3212,upahbahan,3,FALSE)</f>
        <v>100000</v>
      </c>
      <c r="H3212" s="210">
        <f t="shared" ref="H3212:H3215" si="219">F3212*G3212</f>
        <v>10000</v>
      </c>
      <c r="L3212" s="200"/>
      <c r="M3212" s="200"/>
      <c r="N3212" s="200"/>
      <c r="O3212" s="200"/>
      <c r="P3212" s="200"/>
    </row>
    <row r="3213" spans="3:20" s="517" customFormat="1" ht="31.2" customHeight="1">
      <c r="C3213" s="537">
        <v>2</v>
      </c>
      <c r="D3213" s="196" t="s">
        <v>6954</v>
      </c>
      <c r="E3213" s="202" t="s">
        <v>6</v>
      </c>
      <c r="F3213" s="520">
        <v>0.1</v>
      </c>
      <c r="G3213" s="205">
        <f>VLOOKUP(D3213,upahbahan,3,FALSE)</f>
        <v>181250</v>
      </c>
      <c r="H3213" s="210">
        <f t="shared" si="219"/>
        <v>18125</v>
      </c>
      <c r="L3213" s="200"/>
      <c r="M3213" s="200"/>
      <c r="N3213" s="200"/>
      <c r="O3213" s="200"/>
      <c r="P3213" s="200"/>
    </row>
    <row r="3214" spans="3:20" s="517" customFormat="1" ht="31.2" customHeight="1">
      <c r="C3214" s="537">
        <v>3</v>
      </c>
      <c r="D3214" s="196" t="s">
        <v>6948</v>
      </c>
      <c r="E3214" s="202" t="s">
        <v>2102</v>
      </c>
      <c r="F3214" s="520">
        <v>0.05</v>
      </c>
      <c r="G3214" s="205">
        <f>VLOOKUP(D3214,upahbahan,3,FALSE)</f>
        <v>218750</v>
      </c>
      <c r="H3214" s="210">
        <f t="shared" si="219"/>
        <v>10937.5</v>
      </c>
      <c r="L3214" s="200"/>
      <c r="M3214" s="200"/>
      <c r="N3214" s="200"/>
      <c r="O3214" s="200"/>
      <c r="P3214" s="200"/>
    </row>
    <row r="3215" spans="3:20" s="517" customFormat="1" ht="31.2" customHeight="1">
      <c r="C3215" s="537">
        <v>4</v>
      </c>
      <c r="D3215" s="196" t="s">
        <v>19</v>
      </c>
      <c r="E3215" s="202" t="s">
        <v>6</v>
      </c>
      <c r="F3215" s="520">
        <v>1.67E-2</v>
      </c>
      <c r="G3215" s="205">
        <f>VLOOKUP(D3215,upahbahan,3,FALSE)</f>
        <v>160000</v>
      </c>
      <c r="H3215" s="210">
        <f t="shared" si="219"/>
        <v>2672</v>
      </c>
      <c r="L3215" s="200"/>
      <c r="M3215" s="200"/>
      <c r="N3215" s="200"/>
      <c r="O3215" s="200"/>
      <c r="P3215" s="200"/>
    </row>
    <row r="3216" spans="3:20" s="517" customFormat="1" ht="31.2" customHeight="1">
      <c r="C3216" s="207" t="s">
        <v>1208</v>
      </c>
      <c r="D3216" s="208"/>
      <c r="E3216" s="208"/>
      <c r="F3216" s="521"/>
      <c r="G3216" s="522"/>
      <c r="H3216" s="210">
        <f>SUM(H3212:H3215)</f>
        <v>41734.5</v>
      </c>
      <c r="L3216" s="523"/>
      <c r="M3216" s="523"/>
      <c r="N3216" s="523"/>
      <c r="O3216" s="523"/>
      <c r="P3216" s="523"/>
    </row>
    <row r="3217" spans="3:16" s="517" customFormat="1" ht="31.2" customHeight="1">
      <c r="C3217" s="543" t="s">
        <v>1209</v>
      </c>
      <c r="D3217" s="750" t="s">
        <v>1210</v>
      </c>
      <c r="E3217" s="197"/>
      <c r="F3217" s="751"/>
      <c r="G3217" s="197"/>
      <c r="H3217" s="752"/>
      <c r="L3217" s="200"/>
      <c r="M3217" s="200"/>
      <c r="N3217" s="200"/>
      <c r="O3217" s="200"/>
      <c r="P3217" s="200"/>
    </row>
    <row r="3218" spans="3:16" s="517" customFormat="1" ht="31.2" customHeight="1">
      <c r="C3218" s="543">
        <v>1</v>
      </c>
      <c r="D3218" s="750" t="s">
        <v>6832</v>
      </c>
      <c r="E3218" s="203" t="s">
        <v>44</v>
      </c>
      <c r="F3218" s="753">
        <v>1.05</v>
      </c>
      <c r="G3218" s="205">
        <f>VLOOKUP(D3218,upahbahan,3,FALSE)</f>
        <v>0</v>
      </c>
      <c r="H3218" s="210">
        <f t="shared" ref="H3218:H3226" si="220">F3218*G3218</f>
        <v>0</v>
      </c>
      <c r="L3218" s="200"/>
      <c r="M3218" s="200"/>
      <c r="N3218" s="200"/>
      <c r="O3218" s="200"/>
      <c r="P3218" s="200"/>
    </row>
    <row r="3219" spans="3:16" s="517" customFormat="1" ht="31.2" customHeight="1">
      <c r="C3219" s="543">
        <v>2</v>
      </c>
      <c r="D3219" s="750" t="s">
        <v>5563</v>
      </c>
      <c r="E3219" s="203" t="s">
        <v>65</v>
      </c>
      <c r="F3219" s="753">
        <v>0.02</v>
      </c>
      <c r="G3219" s="205">
        <f>VLOOKUP(D3219,upahbahan,3,FALSE)</f>
        <v>0</v>
      </c>
      <c r="H3219" s="210">
        <f t="shared" si="220"/>
        <v>0</v>
      </c>
      <c r="L3219" s="200"/>
      <c r="M3219" s="200"/>
      <c r="N3219" s="200"/>
      <c r="O3219" s="200"/>
      <c r="P3219" s="200"/>
    </row>
    <row r="3220" spans="3:16" s="517" customFormat="1" ht="31.2" customHeight="1">
      <c r="C3220" s="543">
        <v>3</v>
      </c>
      <c r="D3220" s="750" t="s">
        <v>5555</v>
      </c>
      <c r="E3220" s="203"/>
      <c r="F3220" s="753"/>
      <c r="G3220" s="197"/>
      <c r="H3220" s="210">
        <f t="shared" si="220"/>
        <v>0</v>
      </c>
      <c r="L3220" s="200"/>
      <c r="M3220" s="200"/>
      <c r="N3220" s="200"/>
      <c r="O3220" s="200"/>
      <c r="P3220" s="200"/>
    </row>
    <row r="3221" spans="3:16" s="517" customFormat="1" ht="31.2" customHeight="1">
      <c r="C3221" s="754" t="s">
        <v>5293</v>
      </c>
      <c r="D3221" s="750" t="s">
        <v>7209</v>
      </c>
      <c r="E3221" s="203" t="s">
        <v>113</v>
      </c>
      <c r="F3221" s="760">
        <v>18</v>
      </c>
      <c r="G3221" s="205">
        <f>VLOOKUP(D3221,upahbahan,3,FALSE)</f>
        <v>0</v>
      </c>
      <c r="H3221" s="210">
        <f t="shared" si="220"/>
        <v>0</v>
      </c>
      <c r="L3221" s="200"/>
      <c r="M3221" s="200"/>
      <c r="N3221" s="200"/>
      <c r="O3221" s="200"/>
      <c r="P3221" s="200"/>
    </row>
    <row r="3222" spans="3:16" s="517" customFormat="1" ht="31.2" customHeight="1">
      <c r="C3222" s="754" t="s">
        <v>5299</v>
      </c>
      <c r="D3222" s="750" t="s">
        <v>7055</v>
      </c>
      <c r="E3222" s="203" t="s">
        <v>113</v>
      </c>
      <c r="F3222" s="760">
        <v>10</v>
      </c>
      <c r="G3222" s="205">
        <f>VLOOKUP(D3222,upahbahan,3,FALSE)</f>
        <v>0</v>
      </c>
      <c r="H3222" s="210">
        <f t="shared" si="220"/>
        <v>0</v>
      </c>
      <c r="L3222" s="200"/>
      <c r="M3222" s="200"/>
      <c r="N3222" s="200"/>
      <c r="O3222" s="200"/>
      <c r="P3222" s="200"/>
    </row>
    <row r="3223" spans="3:16" s="517" customFormat="1" ht="31.2" customHeight="1">
      <c r="C3223" s="543">
        <v>4</v>
      </c>
      <c r="D3223" s="750" t="s">
        <v>5556</v>
      </c>
      <c r="E3223" s="203"/>
      <c r="F3223" s="753"/>
      <c r="G3223" s="197"/>
      <c r="H3223" s="210">
        <f t="shared" si="220"/>
        <v>0</v>
      </c>
      <c r="L3223" s="200"/>
      <c r="M3223" s="200"/>
      <c r="N3223" s="200"/>
      <c r="O3223" s="200"/>
      <c r="P3223" s="200"/>
    </row>
    <row r="3224" spans="3:16" s="517" customFormat="1" ht="31.2" customHeight="1">
      <c r="C3224" s="754" t="s">
        <v>5293</v>
      </c>
      <c r="D3224" s="750" t="s">
        <v>2084</v>
      </c>
      <c r="E3224" s="203" t="s">
        <v>42</v>
      </c>
      <c r="F3224" s="753">
        <v>0.19500000000000001</v>
      </c>
      <c r="G3224" s="205">
        <f>VLOOKUP(D3224,upahbahan,3,FALSE)</f>
        <v>0</v>
      </c>
      <c r="H3224" s="210">
        <f t="shared" si="220"/>
        <v>0</v>
      </c>
      <c r="L3224" s="200"/>
      <c r="M3224" s="200"/>
      <c r="N3224" s="200"/>
      <c r="O3224" s="200"/>
      <c r="P3224" s="200"/>
    </row>
    <row r="3225" spans="3:16" s="517" customFormat="1" ht="31.2" customHeight="1">
      <c r="C3225" s="754" t="s">
        <v>5299</v>
      </c>
      <c r="D3225" s="750" t="s">
        <v>5566</v>
      </c>
      <c r="E3225" s="203" t="s">
        <v>42</v>
      </c>
      <c r="F3225" s="753">
        <v>5.1999999999999998E-2</v>
      </c>
      <c r="G3225" s="205">
        <f>VLOOKUP(D3225,upahbahan,3,FALSE)</f>
        <v>0</v>
      </c>
      <c r="H3225" s="210">
        <f t="shared" si="220"/>
        <v>0</v>
      </c>
      <c r="L3225" s="200"/>
      <c r="M3225" s="200"/>
      <c r="N3225" s="200"/>
      <c r="O3225" s="200"/>
      <c r="P3225" s="200"/>
    </row>
    <row r="3226" spans="3:16" s="517" customFormat="1" ht="31.2" customHeight="1">
      <c r="C3226" s="754" t="s">
        <v>5558</v>
      </c>
      <c r="D3226" s="750" t="s">
        <v>2325</v>
      </c>
      <c r="E3226" s="203" t="s">
        <v>42</v>
      </c>
      <c r="F3226" s="762">
        <v>1.2999999999999999E-2</v>
      </c>
      <c r="G3226" s="205">
        <f>VLOOKUP(D3226,upahbahan,3,FALSE)</f>
        <v>0</v>
      </c>
      <c r="H3226" s="210">
        <f t="shared" si="220"/>
        <v>0</v>
      </c>
      <c r="L3226" s="200"/>
      <c r="M3226" s="200"/>
      <c r="N3226" s="200"/>
      <c r="O3226" s="200"/>
      <c r="P3226" s="200"/>
    </row>
    <row r="3227" spans="3:16" s="517" customFormat="1" ht="31.2" customHeight="1">
      <c r="C3227" s="207" t="s">
        <v>1214</v>
      </c>
      <c r="D3227" s="208"/>
      <c r="E3227" s="568"/>
      <c r="F3227" s="208"/>
      <c r="G3227" s="209"/>
      <c r="H3227" s="210">
        <f>SUM(H3218:H3226)</f>
        <v>0</v>
      </c>
      <c r="L3227" s="200"/>
      <c r="M3227" s="200"/>
      <c r="N3227" s="200"/>
      <c r="O3227" s="200"/>
      <c r="P3227" s="200"/>
    </row>
    <row r="3228" spans="3:16" s="517" customFormat="1" ht="31.2" customHeight="1">
      <c r="C3228" s="756" t="s">
        <v>1215</v>
      </c>
      <c r="D3228" s="196" t="s">
        <v>1216</v>
      </c>
      <c r="E3228" s="203"/>
      <c r="F3228" s="197"/>
      <c r="G3228" s="197"/>
      <c r="H3228" s="198"/>
      <c r="L3228" s="200"/>
      <c r="M3228" s="200"/>
      <c r="N3228" s="200"/>
      <c r="O3228" s="200"/>
      <c r="P3228" s="200"/>
    </row>
    <row r="3229" spans="3:16" s="517" customFormat="1" ht="31.2" customHeight="1">
      <c r="C3229" s="543">
        <v>1</v>
      </c>
      <c r="D3229" s="750" t="s">
        <v>7189</v>
      </c>
      <c r="E3229" s="203" t="s">
        <v>42</v>
      </c>
      <c r="F3229" s="762">
        <v>0.56000000000000005</v>
      </c>
      <c r="G3229" s="205">
        <f>VLOOKUP(D3229,upahbahan,3,FALSE)</f>
        <v>430000</v>
      </c>
      <c r="H3229" s="210">
        <f>F3229*G3229</f>
        <v>240800.00000000003</v>
      </c>
      <c r="L3229" s="200"/>
      <c r="M3229" s="200"/>
      <c r="N3229" s="200"/>
      <c r="O3229" s="200"/>
      <c r="P3229" s="200"/>
    </row>
    <row r="3230" spans="3:16" s="517" customFormat="1" ht="31.2" customHeight="1">
      <c r="C3230" s="207" t="s">
        <v>1217</v>
      </c>
      <c r="D3230" s="208"/>
      <c r="E3230" s="208"/>
      <c r="F3230" s="208"/>
      <c r="G3230" s="209"/>
      <c r="H3230" s="240">
        <f>SUM(H3228:H3229)</f>
        <v>240800.00000000003</v>
      </c>
      <c r="L3230" s="200"/>
      <c r="M3230" s="200"/>
      <c r="N3230" s="200"/>
      <c r="O3230" s="200"/>
      <c r="P3230" s="200"/>
    </row>
    <row r="3231" spans="3:16" s="517" customFormat="1" ht="31.2" customHeight="1">
      <c r="C3231" s="223" t="s">
        <v>1218</v>
      </c>
      <c r="D3231" s="224" t="s">
        <v>1219</v>
      </c>
      <c r="E3231" s="225"/>
      <c r="F3231" s="225"/>
      <c r="G3231" s="226"/>
      <c r="H3231" s="210">
        <f>H3230+H3227+H3216</f>
        <v>282534.5</v>
      </c>
      <c r="L3231" s="200"/>
      <c r="M3231" s="200"/>
      <c r="N3231" s="200"/>
      <c r="O3231" s="200"/>
      <c r="P3231" s="200"/>
    </row>
    <row r="3232" spans="3:16" s="517" customFormat="1" ht="31.2" customHeight="1">
      <c r="C3232" s="223" t="s">
        <v>1220</v>
      </c>
      <c r="D3232" s="224" t="s">
        <v>1321</v>
      </c>
      <c r="E3232" s="225"/>
      <c r="F3232" s="226"/>
      <c r="G3232" s="228">
        <v>0.1</v>
      </c>
      <c r="H3232" s="210">
        <f>H3231*G3232</f>
        <v>28253.45</v>
      </c>
      <c r="L3232" s="200"/>
      <c r="M3232" s="200"/>
      <c r="N3232" s="200"/>
      <c r="O3232" s="200"/>
      <c r="P3232" s="200"/>
    </row>
    <row r="3233" spans="3:20" s="517" customFormat="1" ht="31.2" customHeight="1" thickBot="1">
      <c r="C3233" s="229" t="s">
        <v>1221</v>
      </c>
      <c r="D3233" s="230" t="s">
        <v>1222</v>
      </c>
      <c r="E3233" s="231"/>
      <c r="F3233" s="231"/>
      <c r="G3233" s="232"/>
      <c r="H3233" s="233">
        <f>SUM(H3231:H3232)</f>
        <v>310787.95</v>
      </c>
      <c r="L3233" s="200"/>
      <c r="M3233" s="200"/>
      <c r="N3233" s="200"/>
      <c r="O3233" s="200"/>
      <c r="P3233" s="200"/>
    </row>
    <row r="3234" spans="3:20" ht="31.2" customHeight="1" thickTop="1">
      <c r="D3234" s="758" t="s">
        <v>7210</v>
      </c>
    </row>
    <row r="3235" spans="3:20" ht="31.2" customHeight="1">
      <c r="C3235" s="757" t="s">
        <v>6950</v>
      </c>
      <c r="F3235" s="758"/>
      <c r="H3235" s="758" t="s">
        <v>6959</v>
      </c>
    </row>
    <row r="3236" spans="3:20" ht="31.2" customHeight="1">
      <c r="C3236" s="200" t="s">
        <v>6951</v>
      </c>
      <c r="F3236" s="758"/>
    </row>
    <row r="3237" spans="3:20" ht="31.2" customHeight="1">
      <c r="C3237" s="200" t="s">
        <v>6952</v>
      </c>
      <c r="F3237" s="758"/>
    </row>
    <row r="3238" spans="3:20" ht="31.2" customHeight="1">
      <c r="C3238" s="200"/>
      <c r="F3238" s="758"/>
    </row>
    <row r="3239" spans="3:20" s="517" customFormat="1" ht="31.2" customHeight="1" thickBot="1">
      <c r="C3239" s="513" t="s">
        <v>7211</v>
      </c>
      <c r="D3239" s="748" t="s">
        <v>7212</v>
      </c>
      <c r="E3239" s="749"/>
      <c r="F3239" s="748"/>
      <c r="G3239" s="748"/>
      <c r="H3239" s="532"/>
      <c r="I3239" s="532"/>
      <c r="J3239" s="532"/>
      <c r="K3239" s="532"/>
      <c r="M3239" s="189"/>
      <c r="N3239" s="189"/>
      <c r="O3239" s="189"/>
      <c r="P3239" s="189"/>
      <c r="R3239" s="189">
        <f>ROUNDDOWN(H3263,-2)</f>
        <v>310700</v>
      </c>
      <c r="S3239" s="517" t="s">
        <v>6451</v>
      </c>
      <c r="T3239" s="517" t="s">
        <v>7014</v>
      </c>
    </row>
    <row r="3240" spans="3:20" s="517" customFormat="1" ht="31.2" customHeight="1" thickTop="1">
      <c r="C3240" s="190" t="s">
        <v>1195</v>
      </c>
      <c r="D3240" s="191" t="s">
        <v>1196</v>
      </c>
      <c r="E3240" s="191" t="s">
        <v>1197</v>
      </c>
      <c r="F3240" s="191" t="s">
        <v>1198</v>
      </c>
      <c r="G3240" s="191" t="s">
        <v>1199</v>
      </c>
      <c r="H3240" s="192" t="s">
        <v>1200</v>
      </c>
      <c r="L3240" s="200"/>
      <c r="M3240" s="200"/>
      <c r="N3240" s="200"/>
      <c r="O3240" s="200"/>
      <c r="P3240" s="200"/>
    </row>
    <row r="3241" spans="3:20" s="517" customFormat="1" ht="31.2" customHeight="1">
      <c r="C3241" s="518" t="s">
        <v>1201</v>
      </c>
      <c r="D3241" s="196" t="s">
        <v>1202</v>
      </c>
      <c r="E3241" s="197"/>
      <c r="F3241" s="197"/>
      <c r="G3241" s="197"/>
      <c r="H3241" s="198"/>
      <c r="L3241" s="200"/>
      <c r="M3241" s="200"/>
      <c r="N3241" s="200"/>
      <c r="O3241" s="200"/>
      <c r="P3241" s="200"/>
    </row>
    <row r="3242" spans="3:20" s="517" customFormat="1" ht="31.2" customHeight="1">
      <c r="C3242" s="518">
        <v>1</v>
      </c>
      <c r="D3242" s="196" t="s">
        <v>5</v>
      </c>
      <c r="E3242" s="203" t="s">
        <v>2102</v>
      </c>
      <c r="F3242" s="525">
        <v>0.1</v>
      </c>
      <c r="G3242" s="205">
        <f>VLOOKUP(D3242,upahbahan,3,FALSE)</f>
        <v>100000</v>
      </c>
      <c r="H3242" s="210">
        <f t="shared" ref="H3242:H3245" si="221">F3242*G3242</f>
        <v>10000</v>
      </c>
      <c r="L3242" s="200"/>
      <c r="M3242" s="200"/>
      <c r="N3242" s="200"/>
      <c r="O3242" s="200"/>
      <c r="P3242" s="200"/>
    </row>
    <row r="3243" spans="3:20" s="517" customFormat="1" ht="31.2" customHeight="1">
      <c r="C3243" s="537">
        <v>2</v>
      </c>
      <c r="D3243" s="196" t="s">
        <v>6954</v>
      </c>
      <c r="E3243" s="202" t="s">
        <v>6</v>
      </c>
      <c r="F3243" s="520">
        <v>0.1</v>
      </c>
      <c r="G3243" s="205">
        <f>VLOOKUP(D3243,upahbahan,3,FALSE)</f>
        <v>181250</v>
      </c>
      <c r="H3243" s="210">
        <f t="shared" si="221"/>
        <v>18125</v>
      </c>
      <c r="L3243" s="200"/>
      <c r="M3243" s="200"/>
      <c r="N3243" s="200"/>
      <c r="O3243" s="200"/>
      <c r="P3243" s="200"/>
    </row>
    <row r="3244" spans="3:20" s="517" customFormat="1" ht="31.2" customHeight="1">
      <c r="C3244" s="537">
        <v>3</v>
      </c>
      <c r="D3244" s="196" t="s">
        <v>6948</v>
      </c>
      <c r="E3244" s="202" t="s">
        <v>2102</v>
      </c>
      <c r="F3244" s="520">
        <v>0.05</v>
      </c>
      <c r="G3244" s="205">
        <f>VLOOKUP(D3244,upahbahan,3,FALSE)</f>
        <v>218750</v>
      </c>
      <c r="H3244" s="210">
        <f t="shared" si="221"/>
        <v>10937.5</v>
      </c>
      <c r="L3244" s="200"/>
      <c r="M3244" s="200"/>
      <c r="N3244" s="200"/>
      <c r="O3244" s="200"/>
      <c r="P3244" s="200"/>
    </row>
    <row r="3245" spans="3:20" s="517" customFormat="1" ht="31.2" customHeight="1">
      <c r="C3245" s="537">
        <v>4</v>
      </c>
      <c r="D3245" s="196" t="s">
        <v>19</v>
      </c>
      <c r="E3245" s="202" t="s">
        <v>6</v>
      </c>
      <c r="F3245" s="520">
        <v>1.67E-2</v>
      </c>
      <c r="G3245" s="205">
        <f>VLOOKUP(D3245,upahbahan,3,FALSE)</f>
        <v>160000</v>
      </c>
      <c r="H3245" s="210">
        <f t="shared" si="221"/>
        <v>2672</v>
      </c>
      <c r="L3245" s="200"/>
      <c r="M3245" s="200"/>
      <c r="N3245" s="200"/>
      <c r="O3245" s="200"/>
      <c r="P3245" s="200"/>
    </row>
    <row r="3246" spans="3:20" s="517" customFormat="1" ht="31.2" customHeight="1">
      <c r="C3246" s="207" t="s">
        <v>1208</v>
      </c>
      <c r="D3246" s="208"/>
      <c r="E3246" s="208"/>
      <c r="F3246" s="521"/>
      <c r="G3246" s="522"/>
      <c r="H3246" s="210">
        <f>SUM(H3242:H3245)</f>
        <v>41734.5</v>
      </c>
      <c r="L3246" s="523"/>
      <c r="M3246" s="523"/>
      <c r="N3246" s="523"/>
      <c r="O3246" s="523"/>
      <c r="P3246" s="523"/>
    </row>
    <row r="3247" spans="3:20" s="517" customFormat="1" ht="31.2" customHeight="1">
      <c r="C3247" s="543" t="s">
        <v>1209</v>
      </c>
      <c r="D3247" s="750" t="s">
        <v>1210</v>
      </c>
      <c r="E3247" s="197"/>
      <c r="F3247" s="751"/>
      <c r="G3247" s="197"/>
      <c r="H3247" s="752"/>
      <c r="L3247" s="200"/>
      <c r="M3247" s="200"/>
      <c r="N3247" s="200"/>
      <c r="O3247" s="200"/>
      <c r="P3247" s="200"/>
    </row>
    <row r="3248" spans="3:20" s="517" customFormat="1" ht="31.2" customHeight="1">
      <c r="C3248" s="543">
        <v>1</v>
      </c>
      <c r="D3248" s="750" t="s">
        <v>7214</v>
      </c>
      <c r="E3248" s="203" t="s">
        <v>44</v>
      </c>
      <c r="F3248" s="753">
        <v>1.05</v>
      </c>
      <c r="G3248" s="205">
        <f>VLOOKUP(D3248,upahbahan,3,FALSE)</f>
        <v>0</v>
      </c>
      <c r="H3248" s="210">
        <f t="shared" ref="H3248:H3256" si="222">F3248*G3248</f>
        <v>0</v>
      </c>
      <c r="L3248" s="200"/>
      <c r="M3248" s="200"/>
      <c r="N3248" s="200"/>
      <c r="O3248" s="200"/>
      <c r="P3248" s="200"/>
    </row>
    <row r="3249" spans="3:16" s="517" customFormat="1" ht="31.2" customHeight="1">
      <c r="C3249" s="543">
        <v>2</v>
      </c>
      <c r="D3249" s="750" t="s">
        <v>5563</v>
      </c>
      <c r="E3249" s="203" t="s">
        <v>65</v>
      </c>
      <c r="F3249" s="753">
        <v>0.02</v>
      </c>
      <c r="G3249" s="205">
        <f>VLOOKUP(D3249,upahbahan,3,FALSE)</f>
        <v>0</v>
      </c>
      <c r="H3249" s="210">
        <f t="shared" si="222"/>
        <v>0</v>
      </c>
      <c r="L3249" s="200"/>
      <c r="M3249" s="200"/>
      <c r="N3249" s="200"/>
      <c r="O3249" s="200"/>
      <c r="P3249" s="200"/>
    </row>
    <row r="3250" spans="3:16" s="517" customFormat="1" ht="31.2" customHeight="1">
      <c r="C3250" s="543">
        <v>3</v>
      </c>
      <c r="D3250" s="750" t="s">
        <v>5555</v>
      </c>
      <c r="E3250" s="203"/>
      <c r="F3250" s="753"/>
      <c r="G3250" s="197"/>
      <c r="H3250" s="210">
        <f t="shared" si="222"/>
        <v>0</v>
      </c>
      <c r="L3250" s="200"/>
      <c r="M3250" s="200"/>
      <c r="N3250" s="200"/>
      <c r="O3250" s="200"/>
      <c r="P3250" s="200"/>
    </row>
    <row r="3251" spans="3:16" s="517" customFormat="1" ht="31.2" customHeight="1">
      <c r="C3251" s="754" t="s">
        <v>5293</v>
      </c>
      <c r="D3251" s="750" t="s">
        <v>7209</v>
      </c>
      <c r="E3251" s="203" t="s">
        <v>113</v>
      </c>
      <c r="F3251" s="760">
        <v>18</v>
      </c>
      <c r="G3251" s="205">
        <f>VLOOKUP(D3251,upahbahan,3,FALSE)</f>
        <v>0</v>
      </c>
      <c r="H3251" s="210">
        <f t="shared" si="222"/>
        <v>0</v>
      </c>
      <c r="L3251" s="200"/>
      <c r="M3251" s="200"/>
      <c r="N3251" s="200"/>
      <c r="O3251" s="200"/>
      <c r="P3251" s="200"/>
    </row>
    <row r="3252" spans="3:16" s="517" customFormat="1" ht="31.2" customHeight="1">
      <c r="C3252" s="754" t="s">
        <v>5299</v>
      </c>
      <c r="D3252" s="750" t="s">
        <v>7055</v>
      </c>
      <c r="E3252" s="203" t="s">
        <v>113</v>
      </c>
      <c r="F3252" s="760">
        <v>10</v>
      </c>
      <c r="G3252" s="205">
        <f>VLOOKUP(D3252,upahbahan,3,FALSE)</f>
        <v>0</v>
      </c>
      <c r="H3252" s="210">
        <f t="shared" si="222"/>
        <v>0</v>
      </c>
      <c r="L3252" s="200"/>
      <c r="M3252" s="200"/>
      <c r="N3252" s="200"/>
      <c r="O3252" s="200"/>
      <c r="P3252" s="200"/>
    </row>
    <row r="3253" spans="3:16" s="517" customFormat="1" ht="31.2" customHeight="1">
      <c r="C3253" s="543">
        <v>4</v>
      </c>
      <c r="D3253" s="750" t="s">
        <v>5556</v>
      </c>
      <c r="E3253" s="203"/>
      <c r="F3253" s="753"/>
      <c r="G3253" s="197"/>
      <c r="H3253" s="210">
        <f t="shared" si="222"/>
        <v>0</v>
      </c>
      <c r="L3253" s="200"/>
      <c r="M3253" s="200"/>
      <c r="N3253" s="200"/>
      <c r="O3253" s="200"/>
      <c r="P3253" s="200"/>
    </row>
    <row r="3254" spans="3:16" s="517" customFormat="1" ht="31.2" customHeight="1">
      <c r="C3254" s="754" t="s">
        <v>5293</v>
      </c>
      <c r="D3254" s="750" t="s">
        <v>2084</v>
      </c>
      <c r="E3254" s="203" t="s">
        <v>42</v>
      </c>
      <c r="F3254" s="753">
        <v>0.19500000000000001</v>
      </c>
      <c r="G3254" s="205">
        <f>VLOOKUP(D3254,upahbahan,3,FALSE)</f>
        <v>0</v>
      </c>
      <c r="H3254" s="210">
        <f t="shared" si="222"/>
        <v>0</v>
      </c>
      <c r="L3254" s="200"/>
      <c r="M3254" s="200"/>
      <c r="N3254" s="200"/>
      <c r="O3254" s="200"/>
      <c r="P3254" s="200"/>
    </row>
    <row r="3255" spans="3:16" s="517" customFormat="1" ht="31.2" customHeight="1">
      <c r="C3255" s="754" t="s">
        <v>5299</v>
      </c>
      <c r="D3255" s="750" t="s">
        <v>5566</v>
      </c>
      <c r="E3255" s="203" t="s">
        <v>42</v>
      </c>
      <c r="F3255" s="753">
        <v>5.1999999999999998E-2</v>
      </c>
      <c r="G3255" s="205">
        <f>VLOOKUP(D3255,upahbahan,3,FALSE)</f>
        <v>0</v>
      </c>
      <c r="H3255" s="210">
        <f t="shared" si="222"/>
        <v>0</v>
      </c>
      <c r="L3255" s="200"/>
      <c r="M3255" s="200"/>
      <c r="N3255" s="200"/>
      <c r="O3255" s="200"/>
      <c r="P3255" s="200"/>
    </row>
    <row r="3256" spans="3:16" s="517" customFormat="1" ht="31.2" customHeight="1">
      <c r="C3256" s="754" t="s">
        <v>5558</v>
      </c>
      <c r="D3256" s="750" t="s">
        <v>2325</v>
      </c>
      <c r="E3256" s="203" t="s">
        <v>42</v>
      </c>
      <c r="F3256" s="762">
        <v>1.2999999999999999E-2</v>
      </c>
      <c r="G3256" s="205">
        <f>VLOOKUP(D3256,upahbahan,3,FALSE)</f>
        <v>0</v>
      </c>
      <c r="H3256" s="210">
        <f t="shared" si="222"/>
        <v>0</v>
      </c>
      <c r="L3256" s="200"/>
      <c r="M3256" s="200"/>
      <c r="N3256" s="200"/>
      <c r="O3256" s="200"/>
      <c r="P3256" s="200"/>
    </row>
    <row r="3257" spans="3:16" s="517" customFormat="1" ht="31.2" customHeight="1">
      <c r="C3257" s="207" t="s">
        <v>1214</v>
      </c>
      <c r="D3257" s="208"/>
      <c r="E3257" s="568"/>
      <c r="F3257" s="208"/>
      <c r="G3257" s="209"/>
      <c r="H3257" s="210">
        <f>SUM(H3248:H3256)</f>
        <v>0</v>
      </c>
      <c r="L3257" s="200"/>
      <c r="M3257" s="200"/>
      <c r="N3257" s="200"/>
      <c r="O3257" s="200"/>
      <c r="P3257" s="200"/>
    </row>
    <row r="3258" spans="3:16" s="517" customFormat="1" ht="31.2" customHeight="1">
      <c r="C3258" s="756" t="s">
        <v>1215</v>
      </c>
      <c r="D3258" s="196" t="s">
        <v>1216</v>
      </c>
      <c r="E3258" s="203"/>
      <c r="F3258" s="197"/>
      <c r="G3258" s="197"/>
      <c r="H3258" s="198"/>
      <c r="L3258" s="200"/>
      <c r="M3258" s="200"/>
      <c r="N3258" s="200"/>
      <c r="O3258" s="200"/>
      <c r="P3258" s="200"/>
    </row>
    <row r="3259" spans="3:16" s="517" customFormat="1" ht="31.2" customHeight="1">
      <c r="C3259" s="543">
        <v>1</v>
      </c>
      <c r="D3259" s="750" t="s">
        <v>7189</v>
      </c>
      <c r="E3259" s="203" t="s">
        <v>42</v>
      </c>
      <c r="F3259" s="762">
        <v>0.56000000000000005</v>
      </c>
      <c r="G3259" s="205">
        <f>VLOOKUP(D3259,upahbahan,3,FALSE)</f>
        <v>430000</v>
      </c>
      <c r="H3259" s="210">
        <f>F3259*G3259</f>
        <v>240800.00000000003</v>
      </c>
      <c r="L3259" s="200"/>
      <c r="M3259" s="200"/>
      <c r="N3259" s="200"/>
      <c r="O3259" s="200"/>
      <c r="P3259" s="200"/>
    </row>
    <row r="3260" spans="3:16" s="517" customFormat="1" ht="31.2" customHeight="1">
      <c r="C3260" s="207" t="s">
        <v>1217</v>
      </c>
      <c r="D3260" s="208"/>
      <c r="E3260" s="208"/>
      <c r="F3260" s="208"/>
      <c r="G3260" s="209"/>
      <c r="H3260" s="240">
        <f>SUM(H3258:H3259)</f>
        <v>240800.00000000003</v>
      </c>
      <c r="L3260" s="200"/>
      <c r="M3260" s="200"/>
      <c r="N3260" s="200"/>
      <c r="O3260" s="200"/>
      <c r="P3260" s="200"/>
    </row>
    <row r="3261" spans="3:16" s="517" customFormat="1" ht="31.2" customHeight="1">
      <c r="C3261" s="223" t="s">
        <v>1218</v>
      </c>
      <c r="D3261" s="224" t="s">
        <v>1219</v>
      </c>
      <c r="E3261" s="225"/>
      <c r="F3261" s="225"/>
      <c r="G3261" s="226"/>
      <c r="H3261" s="210">
        <f>H3260+H3257+H3246</f>
        <v>282534.5</v>
      </c>
      <c r="L3261" s="200"/>
      <c r="M3261" s="200"/>
      <c r="N3261" s="200"/>
      <c r="O3261" s="200"/>
      <c r="P3261" s="200"/>
    </row>
    <row r="3262" spans="3:16" s="517" customFormat="1" ht="31.2" customHeight="1">
      <c r="C3262" s="223" t="s">
        <v>1220</v>
      </c>
      <c r="D3262" s="224" t="s">
        <v>1321</v>
      </c>
      <c r="E3262" s="225"/>
      <c r="F3262" s="226"/>
      <c r="G3262" s="228">
        <v>0.1</v>
      </c>
      <c r="H3262" s="210">
        <f>H3261*G3262</f>
        <v>28253.45</v>
      </c>
      <c r="L3262" s="200"/>
      <c r="M3262" s="200"/>
      <c r="N3262" s="200"/>
      <c r="O3262" s="200"/>
      <c r="P3262" s="200"/>
    </row>
    <row r="3263" spans="3:16" s="517" customFormat="1" ht="31.2" customHeight="1" thickBot="1">
      <c r="C3263" s="229" t="s">
        <v>1221</v>
      </c>
      <c r="D3263" s="230" t="s">
        <v>1222</v>
      </c>
      <c r="E3263" s="231"/>
      <c r="F3263" s="231"/>
      <c r="G3263" s="232"/>
      <c r="H3263" s="233">
        <f>SUM(H3261:H3262)</f>
        <v>310787.95</v>
      </c>
      <c r="L3263" s="200"/>
      <c r="M3263" s="200"/>
      <c r="N3263" s="200"/>
      <c r="O3263" s="200"/>
      <c r="P3263" s="200"/>
    </row>
    <row r="3264" spans="3:16" ht="31.2" customHeight="1" thickTop="1">
      <c r="D3264" s="758" t="s">
        <v>7210</v>
      </c>
    </row>
    <row r="3265" spans="3:20" ht="31.2" customHeight="1">
      <c r="C3265" s="757" t="s">
        <v>6950</v>
      </c>
      <c r="F3265" s="758"/>
      <c r="H3265" s="758" t="s">
        <v>6959</v>
      </c>
    </row>
    <row r="3266" spans="3:20" ht="31.2" customHeight="1">
      <c r="C3266" s="200" t="s">
        <v>6951</v>
      </c>
      <c r="F3266" s="758"/>
    </row>
    <row r="3267" spans="3:20" ht="31.2" customHeight="1">
      <c r="C3267" s="200" t="s">
        <v>6952</v>
      </c>
      <c r="F3267" s="758"/>
    </row>
    <row r="3268" spans="3:20" ht="31.2" customHeight="1">
      <c r="C3268" s="200"/>
      <c r="F3268" s="758"/>
    </row>
    <row r="3269" spans="3:20" s="517" customFormat="1" ht="31.2" customHeight="1" thickBot="1">
      <c r="C3269" s="513" t="s">
        <v>7215</v>
      </c>
      <c r="D3269" s="748" t="s">
        <v>7216</v>
      </c>
      <c r="E3269" s="749"/>
      <c r="F3269" s="748"/>
      <c r="G3269" s="748"/>
      <c r="H3269" s="532"/>
      <c r="I3269" s="532"/>
      <c r="J3269" s="532"/>
      <c r="K3269" s="532"/>
      <c r="M3269" s="189"/>
      <c r="N3269" s="189"/>
      <c r="O3269" s="189"/>
      <c r="P3269" s="189"/>
      <c r="R3269" s="189">
        <f>ROUNDDOWN(H3293,-2)</f>
        <v>310700</v>
      </c>
      <c r="S3269" s="517" t="s">
        <v>6451</v>
      </c>
      <c r="T3269" s="517" t="s">
        <v>7014</v>
      </c>
    </row>
    <row r="3270" spans="3:20" s="517" customFormat="1" ht="31.2" customHeight="1" thickTop="1">
      <c r="C3270" s="190" t="s">
        <v>1195</v>
      </c>
      <c r="D3270" s="191" t="s">
        <v>1196</v>
      </c>
      <c r="E3270" s="191" t="s">
        <v>1197</v>
      </c>
      <c r="F3270" s="191" t="s">
        <v>1198</v>
      </c>
      <c r="G3270" s="191" t="s">
        <v>1199</v>
      </c>
      <c r="H3270" s="192" t="s">
        <v>1200</v>
      </c>
      <c r="L3270" s="200"/>
      <c r="M3270" s="200"/>
      <c r="N3270" s="200"/>
      <c r="O3270" s="200"/>
      <c r="P3270" s="200"/>
    </row>
    <row r="3271" spans="3:20" s="517" customFormat="1" ht="31.2" customHeight="1">
      <c r="C3271" s="518" t="s">
        <v>1201</v>
      </c>
      <c r="D3271" s="196" t="s">
        <v>1202</v>
      </c>
      <c r="E3271" s="197"/>
      <c r="F3271" s="197"/>
      <c r="G3271" s="197"/>
      <c r="H3271" s="198"/>
      <c r="L3271" s="200"/>
      <c r="M3271" s="200"/>
      <c r="N3271" s="200"/>
      <c r="O3271" s="200"/>
      <c r="P3271" s="200"/>
    </row>
    <row r="3272" spans="3:20" s="517" customFormat="1" ht="31.2" customHeight="1">
      <c r="C3272" s="518">
        <v>1</v>
      </c>
      <c r="D3272" s="196" t="s">
        <v>5</v>
      </c>
      <c r="E3272" s="203" t="s">
        <v>2102</v>
      </c>
      <c r="F3272" s="525">
        <v>0.1</v>
      </c>
      <c r="G3272" s="205">
        <f>VLOOKUP(D3272,upahbahan,3,FALSE)</f>
        <v>100000</v>
      </c>
      <c r="H3272" s="210">
        <f t="shared" ref="H3272:H3275" si="223">F3272*G3272</f>
        <v>10000</v>
      </c>
      <c r="L3272" s="200"/>
      <c r="M3272" s="200"/>
      <c r="N3272" s="200"/>
      <c r="O3272" s="200"/>
      <c r="P3272" s="200"/>
    </row>
    <row r="3273" spans="3:20" s="517" customFormat="1" ht="31.2" customHeight="1">
      <c r="C3273" s="537">
        <v>2</v>
      </c>
      <c r="D3273" s="196" t="s">
        <v>6954</v>
      </c>
      <c r="E3273" s="202" t="s">
        <v>6</v>
      </c>
      <c r="F3273" s="520">
        <v>0.1</v>
      </c>
      <c r="G3273" s="205">
        <f>VLOOKUP(D3273,upahbahan,3,FALSE)</f>
        <v>181250</v>
      </c>
      <c r="H3273" s="210">
        <f t="shared" si="223"/>
        <v>18125</v>
      </c>
      <c r="L3273" s="200"/>
      <c r="M3273" s="200"/>
      <c r="N3273" s="200"/>
      <c r="O3273" s="200"/>
      <c r="P3273" s="200"/>
    </row>
    <row r="3274" spans="3:20" s="517" customFormat="1" ht="31.2" customHeight="1">
      <c r="C3274" s="537">
        <v>3</v>
      </c>
      <c r="D3274" s="196" t="s">
        <v>6948</v>
      </c>
      <c r="E3274" s="202" t="s">
        <v>2102</v>
      </c>
      <c r="F3274" s="520">
        <v>0.05</v>
      </c>
      <c r="G3274" s="205">
        <f>VLOOKUP(D3274,upahbahan,3,FALSE)</f>
        <v>218750</v>
      </c>
      <c r="H3274" s="210">
        <f t="shared" si="223"/>
        <v>10937.5</v>
      </c>
      <c r="L3274" s="200"/>
      <c r="M3274" s="200"/>
      <c r="N3274" s="200"/>
      <c r="O3274" s="200"/>
      <c r="P3274" s="200"/>
    </row>
    <row r="3275" spans="3:20" s="517" customFormat="1" ht="31.2" customHeight="1">
      <c r="C3275" s="537">
        <v>4</v>
      </c>
      <c r="D3275" s="196" t="s">
        <v>19</v>
      </c>
      <c r="E3275" s="202" t="s">
        <v>6</v>
      </c>
      <c r="F3275" s="520">
        <v>1.67E-2</v>
      </c>
      <c r="G3275" s="205">
        <f>VLOOKUP(D3275,upahbahan,3,FALSE)</f>
        <v>160000</v>
      </c>
      <c r="H3275" s="210">
        <f t="shared" si="223"/>
        <v>2672</v>
      </c>
      <c r="L3275" s="200"/>
      <c r="M3275" s="200"/>
      <c r="N3275" s="200"/>
      <c r="O3275" s="200"/>
      <c r="P3275" s="200"/>
    </row>
    <row r="3276" spans="3:20" s="517" customFormat="1" ht="31.2" customHeight="1">
      <c r="C3276" s="207" t="s">
        <v>1208</v>
      </c>
      <c r="D3276" s="208"/>
      <c r="E3276" s="208"/>
      <c r="F3276" s="521"/>
      <c r="G3276" s="522"/>
      <c r="H3276" s="210">
        <f>SUM(H3272:H3275)</f>
        <v>41734.5</v>
      </c>
      <c r="L3276" s="523"/>
      <c r="M3276" s="523"/>
      <c r="N3276" s="523"/>
      <c r="O3276" s="523"/>
      <c r="P3276" s="523"/>
    </row>
    <row r="3277" spans="3:20" s="517" customFormat="1" ht="31.2" customHeight="1">
      <c r="C3277" s="543" t="s">
        <v>1209</v>
      </c>
      <c r="D3277" s="750" t="s">
        <v>1210</v>
      </c>
      <c r="E3277" s="197"/>
      <c r="F3277" s="751"/>
      <c r="G3277" s="197"/>
      <c r="H3277" s="752"/>
      <c r="L3277" s="200"/>
      <c r="M3277" s="200"/>
      <c r="N3277" s="200"/>
      <c r="O3277" s="200"/>
      <c r="P3277" s="200"/>
    </row>
    <row r="3278" spans="3:20" s="517" customFormat="1" ht="31.2" customHeight="1">
      <c r="C3278" s="543">
        <v>1</v>
      </c>
      <c r="D3278" s="750" t="s">
        <v>7217</v>
      </c>
      <c r="E3278" s="203" t="s">
        <v>44</v>
      </c>
      <c r="F3278" s="753">
        <v>1.05</v>
      </c>
      <c r="G3278" s="205">
        <f>VLOOKUP(D3278,upahbahan,3,FALSE)</f>
        <v>0</v>
      </c>
      <c r="H3278" s="210">
        <f t="shared" ref="H3278:H3286" si="224">F3278*G3278</f>
        <v>0</v>
      </c>
      <c r="L3278" s="200"/>
      <c r="M3278" s="200"/>
      <c r="N3278" s="200"/>
      <c r="O3278" s="200"/>
      <c r="P3278" s="200"/>
    </row>
    <row r="3279" spans="3:20" s="517" customFormat="1" ht="31.2" customHeight="1">
      <c r="C3279" s="543">
        <v>2</v>
      </c>
      <c r="D3279" s="750" t="s">
        <v>5563</v>
      </c>
      <c r="E3279" s="203" t="s">
        <v>65</v>
      </c>
      <c r="F3279" s="753">
        <v>0.02</v>
      </c>
      <c r="G3279" s="205">
        <f>VLOOKUP(D3279,upahbahan,3,FALSE)</f>
        <v>0</v>
      </c>
      <c r="H3279" s="210">
        <f t="shared" si="224"/>
        <v>0</v>
      </c>
      <c r="L3279" s="200"/>
      <c r="M3279" s="200"/>
      <c r="N3279" s="200"/>
      <c r="O3279" s="200"/>
      <c r="P3279" s="200"/>
    </row>
    <row r="3280" spans="3:20" s="517" customFormat="1" ht="31.2" customHeight="1">
      <c r="C3280" s="543">
        <v>3</v>
      </c>
      <c r="D3280" s="750" t="s">
        <v>5555</v>
      </c>
      <c r="E3280" s="203"/>
      <c r="F3280" s="753"/>
      <c r="G3280" s="197"/>
      <c r="H3280" s="210">
        <f t="shared" si="224"/>
        <v>0</v>
      </c>
      <c r="L3280" s="200"/>
      <c r="M3280" s="200"/>
      <c r="N3280" s="200"/>
      <c r="O3280" s="200"/>
      <c r="P3280" s="200"/>
    </row>
    <row r="3281" spans="3:16" s="517" customFormat="1" ht="31.2" customHeight="1">
      <c r="C3281" s="754" t="s">
        <v>5293</v>
      </c>
      <c r="D3281" s="750" t="s">
        <v>7209</v>
      </c>
      <c r="E3281" s="203" t="s">
        <v>113</v>
      </c>
      <c r="F3281" s="760">
        <v>18</v>
      </c>
      <c r="G3281" s="205">
        <f>VLOOKUP(D3281,upahbahan,3,FALSE)</f>
        <v>0</v>
      </c>
      <c r="H3281" s="210">
        <f t="shared" si="224"/>
        <v>0</v>
      </c>
      <c r="L3281" s="200"/>
      <c r="M3281" s="200"/>
      <c r="N3281" s="200"/>
      <c r="O3281" s="200"/>
      <c r="P3281" s="200"/>
    </row>
    <row r="3282" spans="3:16" s="517" customFormat="1" ht="31.2" customHeight="1">
      <c r="C3282" s="754" t="s">
        <v>5299</v>
      </c>
      <c r="D3282" s="750" t="s">
        <v>7055</v>
      </c>
      <c r="E3282" s="203" t="s">
        <v>113</v>
      </c>
      <c r="F3282" s="760">
        <v>10</v>
      </c>
      <c r="G3282" s="205">
        <f>VLOOKUP(D3282,upahbahan,3,FALSE)</f>
        <v>0</v>
      </c>
      <c r="H3282" s="210">
        <f t="shared" si="224"/>
        <v>0</v>
      </c>
      <c r="L3282" s="200"/>
      <c r="M3282" s="200"/>
      <c r="N3282" s="200"/>
      <c r="O3282" s="200"/>
      <c r="P3282" s="200"/>
    </row>
    <row r="3283" spans="3:16" s="517" customFormat="1" ht="31.2" customHeight="1">
      <c r="C3283" s="543">
        <v>4</v>
      </c>
      <c r="D3283" s="750" t="s">
        <v>5556</v>
      </c>
      <c r="E3283" s="203"/>
      <c r="F3283" s="753"/>
      <c r="G3283" s="197"/>
      <c r="H3283" s="210">
        <f t="shared" si="224"/>
        <v>0</v>
      </c>
      <c r="L3283" s="200"/>
      <c r="M3283" s="200"/>
      <c r="N3283" s="200"/>
      <c r="O3283" s="200"/>
      <c r="P3283" s="200"/>
    </row>
    <row r="3284" spans="3:16" s="517" customFormat="1" ht="31.2" customHeight="1">
      <c r="C3284" s="754" t="s">
        <v>5293</v>
      </c>
      <c r="D3284" s="750" t="s">
        <v>2084</v>
      </c>
      <c r="E3284" s="203" t="s">
        <v>42</v>
      </c>
      <c r="F3284" s="753">
        <v>0.19500000000000001</v>
      </c>
      <c r="G3284" s="205">
        <f>VLOOKUP(D3284,upahbahan,3,FALSE)</f>
        <v>0</v>
      </c>
      <c r="H3284" s="210">
        <f t="shared" si="224"/>
        <v>0</v>
      </c>
      <c r="L3284" s="200"/>
      <c r="M3284" s="200"/>
      <c r="N3284" s="200"/>
      <c r="O3284" s="200"/>
      <c r="P3284" s="200"/>
    </row>
    <row r="3285" spans="3:16" s="517" customFormat="1" ht="31.2" customHeight="1">
      <c r="C3285" s="754" t="s">
        <v>5299</v>
      </c>
      <c r="D3285" s="750" t="s">
        <v>5566</v>
      </c>
      <c r="E3285" s="203" t="s">
        <v>42</v>
      </c>
      <c r="F3285" s="753">
        <v>5.1999999999999998E-2</v>
      </c>
      <c r="G3285" s="205">
        <f>VLOOKUP(D3285,upahbahan,3,FALSE)</f>
        <v>0</v>
      </c>
      <c r="H3285" s="210">
        <f t="shared" si="224"/>
        <v>0</v>
      </c>
      <c r="L3285" s="200"/>
      <c r="M3285" s="200"/>
      <c r="N3285" s="200"/>
      <c r="O3285" s="200"/>
      <c r="P3285" s="200"/>
    </row>
    <row r="3286" spans="3:16" s="517" customFormat="1" ht="31.2" customHeight="1">
      <c r="C3286" s="754" t="s">
        <v>5558</v>
      </c>
      <c r="D3286" s="750" t="s">
        <v>2325</v>
      </c>
      <c r="E3286" s="203" t="s">
        <v>42</v>
      </c>
      <c r="F3286" s="762">
        <v>1.2999999999999999E-2</v>
      </c>
      <c r="G3286" s="205">
        <f>VLOOKUP(D3286,upahbahan,3,FALSE)</f>
        <v>0</v>
      </c>
      <c r="H3286" s="210">
        <f t="shared" si="224"/>
        <v>0</v>
      </c>
      <c r="L3286" s="200"/>
      <c r="M3286" s="200"/>
      <c r="N3286" s="200"/>
      <c r="O3286" s="200"/>
      <c r="P3286" s="200"/>
    </row>
    <row r="3287" spans="3:16" s="517" customFormat="1" ht="31.2" customHeight="1">
      <c r="C3287" s="207" t="s">
        <v>1214</v>
      </c>
      <c r="D3287" s="208"/>
      <c r="E3287" s="568"/>
      <c r="F3287" s="208"/>
      <c r="G3287" s="209"/>
      <c r="H3287" s="210">
        <f>SUM(H3278:H3286)</f>
        <v>0</v>
      </c>
      <c r="L3287" s="200"/>
      <c r="M3287" s="200"/>
      <c r="N3287" s="200"/>
      <c r="O3287" s="200"/>
      <c r="P3287" s="200"/>
    </row>
    <row r="3288" spans="3:16" s="517" customFormat="1" ht="31.2" customHeight="1">
      <c r="C3288" s="756" t="s">
        <v>1215</v>
      </c>
      <c r="D3288" s="196" t="s">
        <v>1216</v>
      </c>
      <c r="E3288" s="203"/>
      <c r="F3288" s="197"/>
      <c r="G3288" s="197"/>
      <c r="H3288" s="198"/>
      <c r="L3288" s="200"/>
      <c r="M3288" s="200"/>
      <c r="N3288" s="200"/>
      <c r="O3288" s="200"/>
      <c r="P3288" s="200"/>
    </row>
    <row r="3289" spans="3:16" s="517" customFormat="1" ht="31.2" customHeight="1">
      <c r="C3289" s="543">
        <v>1</v>
      </c>
      <c r="D3289" s="750" t="s">
        <v>7189</v>
      </c>
      <c r="E3289" s="203" t="s">
        <v>42</v>
      </c>
      <c r="F3289" s="762">
        <v>0.56000000000000005</v>
      </c>
      <c r="G3289" s="205">
        <f>VLOOKUP(D3289,upahbahan,3,FALSE)</f>
        <v>430000</v>
      </c>
      <c r="H3289" s="210">
        <f>F3289*G3289</f>
        <v>240800.00000000003</v>
      </c>
      <c r="L3289" s="200"/>
      <c r="M3289" s="200"/>
      <c r="N3289" s="200"/>
      <c r="O3289" s="200"/>
      <c r="P3289" s="200"/>
    </row>
    <row r="3290" spans="3:16" s="517" customFormat="1" ht="31.2" customHeight="1">
      <c r="C3290" s="207" t="s">
        <v>1217</v>
      </c>
      <c r="D3290" s="208"/>
      <c r="E3290" s="208"/>
      <c r="F3290" s="208"/>
      <c r="G3290" s="209"/>
      <c r="H3290" s="240">
        <f>SUM(H3288:H3289)</f>
        <v>240800.00000000003</v>
      </c>
      <c r="L3290" s="200"/>
      <c r="M3290" s="200"/>
      <c r="N3290" s="200"/>
      <c r="O3290" s="200"/>
      <c r="P3290" s="200"/>
    </row>
    <row r="3291" spans="3:16" s="517" customFormat="1" ht="31.2" customHeight="1">
      <c r="C3291" s="223" t="s">
        <v>1218</v>
      </c>
      <c r="D3291" s="224" t="s">
        <v>1219</v>
      </c>
      <c r="E3291" s="225"/>
      <c r="F3291" s="225"/>
      <c r="G3291" s="226"/>
      <c r="H3291" s="210">
        <f>H3290+H3287+H3276</f>
        <v>282534.5</v>
      </c>
      <c r="L3291" s="200"/>
      <c r="M3291" s="200"/>
      <c r="N3291" s="200"/>
      <c r="O3291" s="200"/>
      <c r="P3291" s="200"/>
    </row>
    <row r="3292" spans="3:16" s="517" customFormat="1" ht="31.2" customHeight="1">
      <c r="C3292" s="223" t="s">
        <v>1220</v>
      </c>
      <c r="D3292" s="224" t="s">
        <v>1321</v>
      </c>
      <c r="E3292" s="225"/>
      <c r="F3292" s="226"/>
      <c r="G3292" s="228">
        <v>0.1</v>
      </c>
      <c r="H3292" s="210">
        <f>H3291*G3292</f>
        <v>28253.45</v>
      </c>
      <c r="L3292" s="200"/>
      <c r="M3292" s="200"/>
      <c r="N3292" s="200"/>
      <c r="O3292" s="200"/>
      <c r="P3292" s="200"/>
    </row>
    <row r="3293" spans="3:16" s="517" customFormat="1" ht="31.2" customHeight="1" thickBot="1">
      <c r="C3293" s="229" t="s">
        <v>1221</v>
      </c>
      <c r="D3293" s="230" t="s">
        <v>1222</v>
      </c>
      <c r="E3293" s="231"/>
      <c r="F3293" s="231"/>
      <c r="G3293" s="232"/>
      <c r="H3293" s="233">
        <f>SUM(H3291:H3292)</f>
        <v>310787.95</v>
      </c>
      <c r="L3293" s="200"/>
      <c r="M3293" s="200"/>
      <c r="N3293" s="200"/>
      <c r="O3293" s="200"/>
      <c r="P3293" s="200"/>
    </row>
    <row r="3294" spans="3:16" ht="31.2" customHeight="1" thickTop="1">
      <c r="D3294" s="758" t="s">
        <v>7210</v>
      </c>
    </row>
    <row r="3295" spans="3:16" ht="31.2" customHeight="1">
      <c r="C3295" s="757" t="s">
        <v>6950</v>
      </c>
      <c r="F3295" s="758"/>
      <c r="H3295" s="758" t="s">
        <v>6959</v>
      </c>
    </row>
    <row r="3296" spans="3:16" ht="31.2" customHeight="1">
      <c r="C3296" s="200" t="s">
        <v>6951</v>
      </c>
      <c r="F3296" s="758"/>
    </row>
    <row r="3297" spans="3:20" ht="31.2" customHeight="1">
      <c r="C3297" s="200" t="s">
        <v>6952</v>
      </c>
      <c r="F3297" s="758"/>
    </row>
    <row r="3298" spans="3:20" ht="31.2" customHeight="1">
      <c r="C3298" s="200"/>
      <c r="F3298" s="758"/>
    </row>
    <row r="3299" spans="3:20" s="517" customFormat="1" ht="31.2" customHeight="1" thickBot="1">
      <c r="C3299" s="513" t="s">
        <v>7218</v>
      </c>
      <c r="D3299" s="748" t="s">
        <v>7219</v>
      </c>
      <c r="E3299" s="749"/>
      <c r="F3299" s="748"/>
      <c r="G3299" s="748"/>
      <c r="H3299" s="532"/>
      <c r="I3299" s="532"/>
      <c r="J3299" s="532"/>
      <c r="K3299" s="532"/>
      <c r="M3299" s="189"/>
      <c r="N3299" s="189"/>
      <c r="O3299" s="189"/>
      <c r="P3299" s="189"/>
      <c r="R3299" s="189">
        <f>ROUNDDOWN(H3323,-2)</f>
        <v>310700</v>
      </c>
      <c r="S3299" s="517" t="s">
        <v>6451</v>
      </c>
      <c r="T3299" s="517" t="s">
        <v>7014</v>
      </c>
    </row>
    <row r="3300" spans="3:20" s="517" customFormat="1" ht="31.2" customHeight="1" thickTop="1">
      <c r="C3300" s="190" t="s">
        <v>1195</v>
      </c>
      <c r="D3300" s="191" t="s">
        <v>1196</v>
      </c>
      <c r="E3300" s="191" t="s">
        <v>1197</v>
      </c>
      <c r="F3300" s="191" t="s">
        <v>1198</v>
      </c>
      <c r="G3300" s="191" t="s">
        <v>1199</v>
      </c>
      <c r="H3300" s="192" t="s">
        <v>1200</v>
      </c>
      <c r="L3300" s="200"/>
      <c r="M3300" s="200"/>
      <c r="N3300" s="200"/>
      <c r="O3300" s="200"/>
      <c r="P3300" s="200"/>
    </row>
    <row r="3301" spans="3:20" s="517" customFormat="1" ht="31.2" customHeight="1">
      <c r="C3301" s="518" t="s">
        <v>1201</v>
      </c>
      <c r="D3301" s="196" t="s">
        <v>1202</v>
      </c>
      <c r="E3301" s="197"/>
      <c r="F3301" s="197"/>
      <c r="G3301" s="197"/>
      <c r="H3301" s="198"/>
      <c r="L3301" s="200"/>
      <c r="M3301" s="200"/>
      <c r="N3301" s="200"/>
      <c r="O3301" s="200"/>
      <c r="P3301" s="200"/>
    </row>
    <row r="3302" spans="3:20" s="517" customFormat="1" ht="31.2" customHeight="1">
      <c r="C3302" s="518">
        <v>1</v>
      </c>
      <c r="D3302" s="196" t="s">
        <v>5</v>
      </c>
      <c r="E3302" s="203" t="s">
        <v>2102</v>
      </c>
      <c r="F3302" s="525">
        <v>0.1</v>
      </c>
      <c r="G3302" s="205">
        <f>VLOOKUP(D3302,upahbahan,3,FALSE)</f>
        <v>100000</v>
      </c>
      <c r="H3302" s="210">
        <f t="shared" ref="H3302:H3305" si="225">F3302*G3302</f>
        <v>10000</v>
      </c>
      <c r="L3302" s="200"/>
      <c r="M3302" s="200"/>
      <c r="N3302" s="200"/>
      <c r="O3302" s="200"/>
      <c r="P3302" s="200"/>
    </row>
    <row r="3303" spans="3:20" s="517" customFormat="1" ht="31.2" customHeight="1">
      <c r="C3303" s="537">
        <v>2</v>
      </c>
      <c r="D3303" s="196" t="s">
        <v>6954</v>
      </c>
      <c r="E3303" s="202" t="s">
        <v>6</v>
      </c>
      <c r="F3303" s="520">
        <v>0.1</v>
      </c>
      <c r="G3303" s="205">
        <f>VLOOKUP(D3303,upahbahan,3,FALSE)</f>
        <v>181250</v>
      </c>
      <c r="H3303" s="210">
        <f t="shared" si="225"/>
        <v>18125</v>
      </c>
      <c r="L3303" s="200"/>
      <c r="M3303" s="200"/>
      <c r="N3303" s="200"/>
      <c r="O3303" s="200"/>
      <c r="P3303" s="200"/>
    </row>
    <row r="3304" spans="3:20" s="517" customFormat="1" ht="31.2" customHeight="1">
      <c r="C3304" s="537">
        <v>3</v>
      </c>
      <c r="D3304" s="196" t="s">
        <v>6948</v>
      </c>
      <c r="E3304" s="202" t="s">
        <v>2102</v>
      </c>
      <c r="F3304" s="520">
        <v>0.05</v>
      </c>
      <c r="G3304" s="205">
        <f>VLOOKUP(D3304,upahbahan,3,FALSE)</f>
        <v>218750</v>
      </c>
      <c r="H3304" s="210">
        <f t="shared" si="225"/>
        <v>10937.5</v>
      </c>
      <c r="L3304" s="200"/>
      <c r="M3304" s="200"/>
      <c r="N3304" s="200"/>
      <c r="O3304" s="200"/>
      <c r="P3304" s="200"/>
    </row>
    <row r="3305" spans="3:20" s="517" customFormat="1" ht="31.2" customHeight="1">
      <c r="C3305" s="537">
        <v>4</v>
      </c>
      <c r="D3305" s="196" t="s">
        <v>19</v>
      </c>
      <c r="E3305" s="202" t="s">
        <v>6</v>
      </c>
      <c r="F3305" s="520">
        <v>1.67E-2</v>
      </c>
      <c r="G3305" s="205">
        <f>VLOOKUP(D3305,upahbahan,3,FALSE)</f>
        <v>160000</v>
      </c>
      <c r="H3305" s="210">
        <f t="shared" si="225"/>
        <v>2672</v>
      </c>
      <c r="L3305" s="200"/>
      <c r="M3305" s="200"/>
      <c r="N3305" s="200"/>
      <c r="O3305" s="200"/>
      <c r="P3305" s="200"/>
    </row>
    <row r="3306" spans="3:20" s="517" customFormat="1" ht="31.2" customHeight="1">
      <c r="C3306" s="207" t="s">
        <v>1208</v>
      </c>
      <c r="D3306" s="208"/>
      <c r="E3306" s="208"/>
      <c r="F3306" s="521"/>
      <c r="G3306" s="522"/>
      <c r="H3306" s="210">
        <f>SUM(H3302:H3305)</f>
        <v>41734.5</v>
      </c>
      <c r="L3306" s="523"/>
      <c r="M3306" s="523"/>
      <c r="N3306" s="523"/>
      <c r="O3306" s="523"/>
      <c r="P3306" s="523"/>
    </row>
    <row r="3307" spans="3:20" s="517" customFormat="1" ht="31.2" customHeight="1">
      <c r="C3307" s="543" t="s">
        <v>1209</v>
      </c>
      <c r="D3307" s="750" t="s">
        <v>1210</v>
      </c>
      <c r="E3307" s="197"/>
      <c r="F3307" s="751"/>
      <c r="G3307" s="197"/>
      <c r="H3307" s="752"/>
      <c r="L3307" s="200"/>
      <c r="M3307" s="200"/>
      <c r="N3307" s="200"/>
      <c r="O3307" s="200"/>
      <c r="P3307" s="200"/>
    </row>
    <row r="3308" spans="3:20" s="517" customFormat="1" ht="31.2" customHeight="1">
      <c r="C3308" s="543">
        <v>1</v>
      </c>
      <c r="D3308" s="750" t="s">
        <v>7220</v>
      </c>
      <c r="E3308" s="203" t="s">
        <v>44</v>
      </c>
      <c r="F3308" s="753">
        <v>1.05</v>
      </c>
      <c r="G3308" s="205">
        <f>VLOOKUP(D3308,upahbahan,3,FALSE)</f>
        <v>0</v>
      </c>
      <c r="H3308" s="210">
        <f t="shared" ref="H3308:H3316" si="226">F3308*G3308</f>
        <v>0</v>
      </c>
      <c r="L3308" s="200"/>
      <c r="M3308" s="200"/>
      <c r="N3308" s="200"/>
      <c r="O3308" s="200"/>
      <c r="P3308" s="200"/>
    </row>
    <row r="3309" spans="3:20" s="517" customFormat="1" ht="31.2" customHeight="1">
      <c r="C3309" s="543">
        <v>2</v>
      </c>
      <c r="D3309" s="750" t="s">
        <v>5563</v>
      </c>
      <c r="E3309" s="203" t="s">
        <v>65</v>
      </c>
      <c r="F3309" s="753">
        <v>0.02</v>
      </c>
      <c r="G3309" s="205">
        <f>VLOOKUP(D3309,upahbahan,3,FALSE)</f>
        <v>0</v>
      </c>
      <c r="H3309" s="210">
        <f t="shared" si="226"/>
        <v>0</v>
      </c>
      <c r="L3309" s="200"/>
      <c r="M3309" s="200"/>
      <c r="N3309" s="200"/>
      <c r="O3309" s="200"/>
      <c r="P3309" s="200"/>
    </row>
    <row r="3310" spans="3:20" s="517" customFormat="1" ht="31.2" customHeight="1">
      <c r="C3310" s="543">
        <v>3</v>
      </c>
      <c r="D3310" s="750" t="s">
        <v>5555</v>
      </c>
      <c r="E3310" s="203"/>
      <c r="F3310" s="753"/>
      <c r="G3310" s="197"/>
      <c r="H3310" s="210">
        <f t="shared" si="226"/>
        <v>0</v>
      </c>
      <c r="L3310" s="200"/>
      <c r="M3310" s="200"/>
      <c r="N3310" s="200"/>
      <c r="O3310" s="200"/>
      <c r="P3310" s="200"/>
    </row>
    <row r="3311" spans="3:20" s="517" customFormat="1" ht="31.2" customHeight="1">
      <c r="C3311" s="754" t="s">
        <v>5293</v>
      </c>
      <c r="D3311" s="750" t="s">
        <v>7209</v>
      </c>
      <c r="E3311" s="203" t="s">
        <v>113</v>
      </c>
      <c r="F3311" s="760">
        <v>18</v>
      </c>
      <c r="G3311" s="205">
        <f>VLOOKUP(D3311,upahbahan,3,FALSE)</f>
        <v>0</v>
      </c>
      <c r="H3311" s="210">
        <f t="shared" si="226"/>
        <v>0</v>
      </c>
      <c r="L3311" s="200"/>
      <c r="M3311" s="200"/>
      <c r="N3311" s="200"/>
      <c r="O3311" s="200"/>
      <c r="P3311" s="200"/>
    </row>
    <row r="3312" spans="3:20" s="517" customFormat="1" ht="31.2" customHeight="1">
      <c r="C3312" s="754" t="s">
        <v>5299</v>
      </c>
      <c r="D3312" s="750" t="s">
        <v>7055</v>
      </c>
      <c r="E3312" s="203" t="s">
        <v>113</v>
      </c>
      <c r="F3312" s="760">
        <v>10</v>
      </c>
      <c r="G3312" s="205">
        <f>VLOOKUP(D3312,upahbahan,3,FALSE)</f>
        <v>0</v>
      </c>
      <c r="H3312" s="210">
        <f t="shared" si="226"/>
        <v>0</v>
      </c>
      <c r="L3312" s="200"/>
      <c r="M3312" s="200"/>
      <c r="N3312" s="200"/>
      <c r="O3312" s="200"/>
      <c r="P3312" s="200"/>
    </row>
    <row r="3313" spans="3:16" s="517" customFormat="1" ht="31.2" customHeight="1">
      <c r="C3313" s="543">
        <v>4</v>
      </c>
      <c r="D3313" s="750" t="s">
        <v>5556</v>
      </c>
      <c r="E3313" s="203"/>
      <c r="F3313" s="753"/>
      <c r="G3313" s="197"/>
      <c r="H3313" s="210">
        <f t="shared" si="226"/>
        <v>0</v>
      </c>
      <c r="L3313" s="200"/>
      <c r="M3313" s="200"/>
      <c r="N3313" s="200"/>
      <c r="O3313" s="200"/>
      <c r="P3313" s="200"/>
    </row>
    <row r="3314" spans="3:16" s="517" customFormat="1" ht="31.2" customHeight="1">
      <c r="C3314" s="754" t="s">
        <v>5293</v>
      </c>
      <c r="D3314" s="750" t="s">
        <v>2084</v>
      </c>
      <c r="E3314" s="203" t="s">
        <v>42</v>
      </c>
      <c r="F3314" s="753">
        <v>0.19500000000000001</v>
      </c>
      <c r="G3314" s="205">
        <f>VLOOKUP(D3314,upahbahan,3,FALSE)</f>
        <v>0</v>
      </c>
      <c r="H3314" s="210">
        <f t="shared" si="226"/>
        <v>0</v>
      </c>
      <c r="L3314" s="200"/>
      <c r="M3314" s="200"/>
      <c r="N3314" s="200"/>
      <c r="O3314" s="200"/>
      <c r="P3314" s="200"/>
    </row>
    <row r="3315" spans="3:16" s="517" customFormat="1" ht="31.2" customHeight="1">
      <c r="C3315" s="754" t="s">
        <v>5299</v>
      </c>
      <c r="D3315" s="750" t="s">
        <v>5566</v>
      </c>
      <c r="E3315" s="203" t="s">
        <v>42</v>
      </c>
      <c r="F3315" s="753">
        <v>5.1999999999999998E-2</v>
      </c>
      <c r="G3315" s="205">
        <f>VLOOKUP(D3315,upahbahan,3,FALSE)</f>
        <v>0</v>
      </c>
      <c r="H3315" s="210">
        <f t="shared" si="226"/>
        <v>0</v>
      </c>
      <c r="L3315" s="200"/>
      <c r="M3315" s="200"/>
      <c r="N3315" s="200"/>
      <c r="O3315" s="200"/>
      <c r="P3315" s="200"/>
    </row>
    <row r="3316" spans="3:16" s="517" customFormat="1" ht="31.2" customHeight="1">
      <c r="C3316" s="754" t="s">
        <v>5558</v>
      </c>
      <c r="D3316" s="750" t="s">
        <v>2325</v>
      </c>
      <c r="E3316" s="203" t="s">
        <v>42</v>
      </c>
      <c r="F3316" s="762">
        <v>1.2999999999999999E-2</v>
      </c>
      <c r="G3316" s="205">
        <f>VLOOKUP(D3316,upahbahan,3,FALSE)</f>
        <v>0</v>
      </c>
      <c r="H3316" s="210">
        <f t="shared" si="226"/>
        <v>0</v>
      </c>
      <c r="L3316" s="200"/>
      <c r="M3316" s="200"/>
      <c r="N3316" s="200"/>
      <c r="O3316" s="200"/>
      <c r="P3316" s="200"/>
    </row>
    <row r="3317" spans="3:16" s="517" customFormat="1" ht="31.2" customHeight="1">
      <c r="C3317" s="207" t="s">
        <v>1214</v>
      </c>
      <c r="D3317" s="208"/>
      <c r="E3317" s="568"/>
      <c r="F3317" s="208"/>
      <c r="G3317" s="209"/>
      <c r="H3317" s="210">
        <f>SUM(H3308:H3316)</f>
        <v>0</v>
      </c>
      <c r="L3317" s="200"/>
      <c r="M3317" s="200"/>
      <c r="N3317" s="200"/>
      <c r="O3317" s="200"/>
      <c r="P3317" s="200"/>
    </row>
    <row r="3318" spans="3:16" s="517" customFormat="1" ht="31.2" customHeight="1">
      <c r="C3318" s="756" t="s">
        <v>1215</v>
      </c>
      <c r="D3318" s="196" t="s">
        <v>1216</v>
      </c>
      <c r="E3318" s="203"/>
      <c r="F3318" s="197"/>
      <c r="G3318" s="197"/>
      <c r="H3318" s="198"/>
      <c r="L3318" s="200"/>
      <c r="M3318" s="200"/>
      <c r="N3318" s="200"/>
      <c r="O3318" s="200"/>
      <c r="P3318" s="200"/>
    </row>
    <row r="3319" spans="3:16" s="517" customFormat="1" ht="31.2" customHeight="1">
      <c r="C3319" s="543">
        <v>1</v>
      </c>
      <c r="D3319" s="750" t="s">
        <v>7189</v>
      </c>
      <c r="E3319" s="203" t="s">
        <v>42</v>
      </c>
      <c r="F3319" s="762">
        <v>0.56000000000000005</v>
      </c>
      <c r="G3319" s="205">
        <f>VLOOKUP(D3319,upahbahan,3,FALSE)</f>
        <v>430000</v>
      </c>
      <c r="H3319" s="210">
        <f>F3319*G3319</f>
        <v>240800.00000000003</v>
      </c>
      <c r="L3319" s="200"/>
      <c r="M3319" s="200"/>
      <c r="N3319" s="200"/>
      <c r="O3319" s="200"/>
      <c r="P3319" s="200"/>
    </row>
    <row r="3320" spans="3:16" s="517" customFormat="1" ht="31.2" customHeight="1">
      <c r="C3320" s="207" t="s">
        <v>1217</v>
      </c>
      <c r="D3320" s="208"/>
      <c r="E3320" s="208"/>
      <c r="F3320" s="208"/>
      <c r="G3320" s="209"/>
      <c r="H3320" s="240">
        <f>SUM(H3318:H3319)</f>
        <v>240800.00000000003</v>
      </c>
      <c r="L3320" s="200"/>
      <c r="M3320" s="200"/>
      <c r="N3320" s="200"/>
      <c r="O3320" s="200"/>
      <c r="P3320" s="200"/>
    </row>
    <row r="3321" spans="3:16" s="517" customFormat="1" ht="31.2" customHeight="1">
      <c r="C3321" s="223" t="s">
        <v>1218</v>
      </c>
      <c r="D3321" s="224" t="s">
        <v>1219</v>
      </c>
      <c r="E3321" s="225"/>
      <c r="F3321" s="225"/>
      <c r="G3321" s="226"/>
      <c r="H3321" s="210">
        <f>H3320+H3317+H3306</f>
        <v>282534.5</v>
      </c>
      <c r="L3321" s="200"/>
      <c r="M3321" s="200"/>
      <c r="N3321" s="200"/>
      <c r="O3321" s="200"/>
      <c r="P3321" s="200"/>
    </row>
    <row r="3322" spans="3:16" s="517" customFormat="1" ht="31.2" customHeight="1">
      <c r="C3322" s="223" t="s">
        <v>1220</v>
      </c>
      <c r="D3322" s="224" t="s">
        <v>1321</v>
      </c>
      <c r="E3322" s="225"/>
      <c r="F3322" s="226"/>
      <c r="G3322" s="228">
        <v>0.1</v>
      </c>
      <c r="H3322" s="210">
        <f>H3321*G3322</f>
        <v>28253.45</v>
      </c>
      <c r="L3322" s="200"/>
      <c r="M3322" s="200"/>
      <c r="N3322" s="200"/>
      <c r="O3322" s="200"/>
      <c r="P3322" s="200"/>
    </row>
    <row r="3323" spans="3:16" s="517" customFormat="1" ht="31.2" customHeight="1" thickBot="1">
      <c r="C3323" s="229" t="s">
        <v>1221</v>
      </c>
      <c r="D3323" s="230" t="s">
        <v>1222</v>
      </c>
      <c r="E3323" s="231"/>
      <c r="F3323" s="231"/>
      <c r="G3323" s="232"/>
      <c r="H3323" s="233">
        <f>SUM(H3321:H3322)</f>
        <v>310787.95</v>
      </c>
      <c r="L3323" s="200"/>
      <c r="M3323" s="200"/>
      <c r="N3323" s="200"/>
      <c r="O3323" s="200"/>
      <c r="P3323" s="200"/>
    </row>
    <row r="3324" spans="3:16" ht="31.2" customHeight="1" thickTop="1">
      <c r="D3324" s="758" t="s">
        <v>7210</v>
      </c>
    </row>
    <row r="3325" spans="3:16" ht="31.2" customHeight="1">
      <c r="C3325" s="757" t="s">
        <v>6950</v>
      </c>
      <c r="F3325" s="758"/>
      <c r="H3325" s="758" t="s">
        <v>6959</v>
      </c>
    </row>
    <row r="3326" spans="3:16" ht="31.2" customHeight="1">
      <c r="C3326" s="200" t="s">
        <v>6951</v>
      </c>
      <c r="F3326" s="758"/>
    </row>
    <row r="3327" spans="3:16" ht="31.2" customHeight="1">
      <c r="C3327" s="200" t="s">
        <v>6952</v>
      </c>
      <c r="F3327" s="758"/>
    </row>
    <row r="3328" spans="3:16" ht="31.2" customHeight="1">
      <c r="C3328" s="200"/>
      <c r="F3328" s="758"/>
    </row>
    <row r="3329" spans="3:20" s="517" customFormat="1" ht="31.2" customHeight="1" thickBot="1">
      <c r="C3329" s="513" t="s">
        <v>7221</v>
      </c>
      <c r="D3329" s="748" t="s">
        <v>7222</v>
      </c>
      <c r="E3329" s="749"/>
      <c r="F3329" s="748"/>
      <c r="G3329" s="748"/>
      <c r="H3329" s="532"/>
      <c r="I3329" s="532"/>
      <c r="J3329" s="532"/>
      <c r="K3329" s="532"/>
      <c r="M3329" s="189"/>
      <c r="N3329" s="189"/>
      <c r="O3329" s="189"/>
      <c r="P3329" s="189"/>
      <c r="R3329" s="189">
        <f>ROUNDDOWN(H3353,-2)</f>
        <v>310700</v>
      </c>
      <c r="S3329" s="517" t="s">
        <v>6451</v>
      </c>
      <c r="T3329" s="517" t="s">
        <v>7014</v>
      </c>
    </row>
    <row r="3330" spans="3:20" s="517" customFormat="1" ht="31.2" customHeight="1" thickTop="1">
      <c r="C3330" s="190" t="s">
        <v>1195</v>
      </c>
      <c r="D3330" s="191" t="s">
        <v>1196</v>
      </c>
      <c r="E3330" s="191" t="s">
        <v>1197</v>
      </c>
      <c r="F3330" s="191" t="s">
        <v>1198</v>
      </c>
      <c r="G3330" s="191" t="s">
        <v>1199</v>
      </c>
      <c r="H3330" s="192" t="s">
        <v>1200</v>
      </c>
      <c r="L3330" s="200"/>
      <c r="M3330" s="200"/>
      <c r="N3330" s="200"/>
      <c r="O3330" s="200"/>
      <c r="P3330" s="200"/>
    </row>
    <row r="3331" spans="3:20" s="517" customFormat="1" ht="31.2" customHeight="1">
      <c r="C3331" s="518" t="s">
        <v>1201</v>
      </c>
      <c r="D3331" s="196" t="s">
        <v>1202</v>
      </c>
      <c r="E3331" s="197"/>
      <c r="F3331" s="197"/>
      <c r="G3331" s="197"/>
      <c r="H3331" s="198"/>
      <c r="L3331" s="200"/>
      <c r="M3331" s="200"/>
      <c r="N3331" s="200"/>
      <c r="O3331" s="200"/>
      <c r="P3331" s="200"/>
    </row>
    <row r="3332" spans="3:20" s="517" customFormat="1" ht="31.2" customHeight="1">
      <c r="C3332" s="518">
        <v>1</v>
      </c>
      <c r="D3332" s="196" t="s">
        <v>5</v>
      </c>
      <c r="E3332" s="203" t="s">
        <v>2102</v>
      </c>
      <c r="F3332" s="525">
        <v>0.1</v>
      </c>
      <c r="G3332" s="205">
        <f>VLOOKUP(D3332,upahbahan,3,FALSE)</f>
        <v>100000</v>
      </c>
      <c r="H3332" s="210">
        <f t="shared" ref="H3332:H3335" si="227">F3332*G3332</f>
        <v>10000</v>
      </c>
      <c r="L3332" s="200"/>
      <c r="M3332" s="200"/>
      <c r="N3332" s="200"/>
      <c r="O3332" s="200"/>
      <c r="P3332" s="200"/>
    </row>
    <row r="3333" spans="3:20" s="517" customFormat="1" ht="31.2" customHeight="1">
      <c r="C3333" s="537">
        <v>2</v>
      </c>
      <c r="D3333" s="196" t="s">
        <v>6954</v>
      </c>
      <c r="E3333" s="202" t="s">
        <v>6</v>
      </c>
      <c r="F3333" s="520">
        <v>0.1</v>
      </c>
      <c r="G3333" s="205">
        <f>VLOOKUP(D3333,upahbahan,3,FALSE)</f>
        <v>181250</v>
      </c>
      <c r="H3333" s="210">
        <f t="shared" si="227"/>
        <v>18125</v>
      </c>
      <c r="L3333" s="200"/>
      <c r="M3333" s="200"/>
      <c r="N3333" s="200"/>
      <c r="O3333" s="200"/>
      <c r="P3333" s="200"/>
    </row>
    <row r="3334" spans="3:20" s="517" customFormat="1" ht="31.2" customHeight="1">
      <c r="C3334" s="537">
        <v>3</v>
      </c>
      <c r="D3334" s="196" t="s">
        <v>6948</v>
      </c>
      <c r="E3334" s="202" t="s">
        <v>2102</v>
      </c>
      <c r="F3334" s="520">
        <v>0.05</v>
      </c>
      <c r="G3334" s="205">
        <f>VLOOKUP(D3334,upahbahan,3,FALSE)</f>
        <v>218750</v>
      </c>
      <c r="H3334" s="210">
        <f t="shared" si="227"/>
        <v>10937.5</v>
      </c>
      <c r="L3334" s="200"/>
      <c r="M3334" s="200"/>
      <c r="N3334" s="200"/>
      <c r="O3334" s="200"/>
      <c r="P3334" s="200"/>
    </row>
    <row r="3335" spans="3:20" s="517" customFormat="1" ht="31.2" customHeight="1">
      <c r="C3335" s="537">
        <v>4</v>
      </c>
      <c r="D3335" s="196" t="s">
        <v>19</v>
      </c>
      <c r="E3335" s="202" t="s">
        <v>6</v>
      </c>
      <c r="F3335" s="520">
        <v>1.67E-2</v>
      </c>
      <c r="G3335" s="205">
        <f>VLOOKUP(D3335,upahbahan,3,FALSE)</f>
        <v>160000</v>
      </c>
      <c r="H3335" s="210">
        <f t="shared" si="227"/>
        <v>2672</v>
      </c>
      <c r="L3335" s="200"/>
      <c r="M3335" s="200"/>
      <c r="N3335" s="200"/>
      <c r="O3335" s="200"/>
      <c r="P3335" s="200"/>
    </row>
    <row r="3336" spans="3:20" s="517" customFormat="1" ht="31.2" customHeight="1">
      <c r="C3336" s="207" t="s">
        <v>1208</v>
      </c>
      <c r="D3336" s="208"/>
      <c r="E3336" s="208"/>
      <c r="F3336" s="521"/>
      <c r="G3336" s="522"/>
      <c r="H3336" s="210">
        <f>SUM(H3332:H3335)</f>
        <v>41734.5</v>
      </c>
      <c r="L3336" s="523"/>
      <c r="M3336" s="523"/>
      <c r="N3336" s="523"/>
      <c r="O3336" s="523"/>
      <c r="P3336" s="523"/>
    </row>
    <row r="3337" spans="3:20" s="517" customFormat="1" ht="31.2" customHeight="1">
      <c r="C3337" s="543" t="s">
        <v>1209</v>
      </c>
      <c r="D3337" s="750" t="s">
        <v>1210</v>
      </c>
      <c r="E3337" s="197"/>
      <c r="F3337" s="751"/>
      <c r="G3337" s="197"/>
      <c r="H3337" s="752"/>
      <c r="L3337" s="200"/>
      <c r="M3337" s="200"/>
      <c r="N3337" s="200"/>
      <c r="O3337" s="200"/>
      <c r="P3337" s="200"/>
    </row>
    <row r="3338" spans="3:20" s="517" customFormat="1" ht="31.2" customHeight="1">
      <c r="C3338" s="543">
        <v>1</v>
      </c>
      <c r="D3338" s="750" t="s">
        <v>7223</v>
      </c>
      <c r="E3338" s="203" t="s">
        <v>44</v>
      </c>
      <c r="F3338" s="753">
        <v>1.05</v>
      </c>
      <c r="G3338" s="205">
        <f>VLOOKUP(D3338,upahbahan,3,FALSE)</f>
        <v>0</v>
      </c>
      <c r="H3338" s="210">
        <f t="shared" ref="H3338:H3346" si="228">F3338*G3338</f>
        <v>0</v>
      </c>
      <c r="L3338" s="200"/>
      <c r="M3338" s="200"/>
      <c r="N3338" s="200"/>
      <c r="O3338" s="200"/>
      <c r="P3338" s="200"/>
    </row>
    <row r="3339" spans="3:20" s="517" customFormat="1" ht="31.2" customHeight="1">
      <c r="C3339" s="543">
        <v>2</v>
      </c>
      <c r="D3339" s="750" t="s">
        <v>5563</v>
      </c>
      <c r="E3339" s="203" t="s">
        <v>65</v>
      </c>
      <c r="F3339" s="753">
        <v>0.02</v>
      </c>
      <c r="G3339" s="205">
        <f>VLOOKUP(D3339,upahbahan,3,FALSE)</f>
        <v>0</v>
      </c>
      <c r="H3339" s="210">
        <f t="shared" si="228"/>
        <v>0</v>
      </c>
      <c r="L3339" s="200"/>
      <c r="M3339" s="200"/>
      <c r="N3339" s="200"/>
      <c r="O3339" s="200"/>
      <c r="P3339" s="200"/>
    </row>
    <row r="3340" spans="3:20" s="517" customFormat="1" ht="31.2" customHeight="1">
      <c r="C3340" s="543">
        <v>3</v>
      </c>
      <c r="D3340" s="750" t="s">
        <v>5555</v>
      </c>
      <c r="E3340" s="203"/>
      <c r="F3340" s="753"/>
      <c r="G3340" s="197"/>
      <c r="H3340" s="210">
        <f t="shared" si="228"/>
        <v>0</v>
      </c>
      <c r="L3340" s="200"/>
      <c r="M3340" s="200"/>
      <c r="N3340" s="200"/>
      <c r="O3340" s="200"/>
      <c r="P3340" s="200"/>
    </row>
    <row r="3341" spans="3:20" s="517" customFormat="1" ht="31.2" customHeight="1">
      <c r="C3341" s="754" t="s">
        <v>5293</v>
      </c>
      <c r="D3341" s="750" t="s">
        <v>7209</v>
      </c>
      <c r="E3341" s="203" t="s">
        <v>113</v>
      </c>
      <c r="F3341" s="760">
        <v>18</v>
      </c>
      <c r="G3341" s="205">
        <f>VLOOKUP(D3341,upahbahan,3,FALSE)</f>
        <v>0</v>
      </c>
      <c r="H3341" s="210">
        <f t="shared" si="228"/>
        <v>0</v>
      </c>
      <c r="L3341" s="200"/>
      <c r="M3341" s="200"/>
      <c r="N3341" s="200"/>
      <c r="O3341" s="200"/>
      <c r="P3341" s="200"/>
    </row>
    <row r="3342" spans="3:20" s="517" customFormat="1" ht="31.2" customHeight="1">
      <c r="C3342" s="754" t="s">
        <v>5299</v>
      </c>
      <c r="D3342" s="750" t="s">
        <v>7055</v>
      </c>
      <c r="E3342" s="203" t="s">
        <v>113</v>
      </c>
      <c r="F3342" s="760">
        <v>10</v>
      </c>
      <c r="G3342" s="205">
        <f>VLOOKUP(D3342,upahbahan,3,FALSE)</f>
        <v>0</v>
      </c>
      <c r="H3342" s="210">
        <f t="shared" si="228"/>
        <v>0</v>
      </c>
      <c r="L3342" s="200"/>
      <c r="M3342" s="200"/>
      <c r="N3342" s="200"/>
      <c r="O3342" s="200"/>
      <c r="P3342" s="200"/>
    </row>
    <row r="3343" spans="3:20" s="517" customFormat="1" ht="31.2" customHeight="1">
      <c r="C3343" s="543">
        <v>4</v>
      </c>
      <c r="D3343" s="750" t="s">
        <v>5556</v>
      </c>
      <c r="E3343" s="203"/>
      <c r="F3343" s="753"/>
      <c r="G3343" s="197"/>
      <c r="H3343" s="210">
        <f t="shared" si="228"/>
        <v>0</v>
      </c>
      <c r="L3343" s="200"/>
      <c r="M3343" s="200"/>
      <c r="N3343" s="200"/>
      <c r="O3343" s="200"/>
      <c r="P3343" s="200"/>
    </row>
    <row r="3344" spans="3:20" s="517" customFormat="1" ht="31.2" customHeight="1">
      <c r="C3344" s="754" t="s">
        <v>5293</v>
      </c>
      <c r="D3344" s="750" t="s">
        <v>2084</v>
      </c>
      <c r="E3344" s="203" t="s">
        <v>42</v>
      </c>
      <c r="F3344" s="753">
        <v>0.19500000000000001</v>
      </c>
      <c r="G3344" s="205">
        <f>VLOOKUP(D3344,upahbahan,3,FALSE)</f>
        <v>0</v>
      </c>
      <c r="H3344" s="210">
        <f t="shared" si="228"/>
        <v>0</v>
      </c>
      <c r="L3344" s="200"/>
      <c r="M3344" s="200"/>
      <c r="N3344" s="200"/>
      <c r="O3344" s="200"/>
      <c r="P3344" s="200"/>
    </row>
    <row r="3345" spans="3:20" s="517" customFormat="1" ht="31.2" customHeight="1">
      <c r="C3345" s="754" t="s">
        <v>5299</v>
      </c>
      <c r="D3345" s="750" t="s">
        <v>5566</v>
      </c>
      <c r="E3345" s="203" t="s">
        <v>42</v>
      </c>
      <c r="F3345" s="753">
        <v>5.1999999999999998E-2</v>
      </c>
      <c r="G3345" s="205">
        <f>VLOOKUP(D3345,upahbahan,3,FALSE)</f>
        <v>0</v>
      </c>
      <c r="H3345" s="210">
        <f t="shared" si="228"/>
        <v>0</v>
      </c>
      <c r="L3345" s="200"/>
      <c r="M3345" s="200"/>
      <c r="N3345" s="200"/>
      <c r="O3345" s="200"/>
      <c r="P3345" s="200"/>
    </row>
    <row r="3346" spans="3:20" s="517" customFormat="1" ht="31.2" customHeight="1">
      <c r="C3346" s="754" t="s">
        <v>5558</v>
      </c>
      <c r="D3346" s="750" t="s">
        <v>2325</v>
      </c>
      <c r="E3346" s="203" t="s">
        <v>42</v>
      </c>
      <c r="F3346" s="762">
        <v>1.2999999999999999E-2</v>
      </c>
      <c r="G3346" s="205">
        <f>VLOOKUP(D3346,upahbahan,3,FALSE)</f>
        <v>0</v>
      </c>
      <c r="H3346" s="210">
        <f t="shared" si="228"/>
        <v>0</v>
      </c>
      <c r="L3346" s="200"/>
      <c r="M3346" s="200"/>
      <c r="N3346" s="200"/>
      <c r="O3346" s="200"/>
      <c r="P3346" s="200"/>
    </row>
    <row r="3347" spans="3:20" s="517" customFormat="1" ht="31.2" customHeight="1">
      <c r="C3347" s="207" t="s">
        <v>1214</v>
      </c>
      <c r="D3347" s="208"/>
      <c r="E3347" s="568"/>
      <c r="F3347" s="208"/>
      <c r="G3347" s="209"/>
      <c r="H3347" s="210">
        <f>SUM(H3338:H3346)</f>
        <v>0</v>
      </c>
      <c r="L3347" s="200"/>
      <c r="M3347" s="200"/>
      <c r="N3347" s="200"/>
      <c r="O3347" s="200"/>
      <c r="P3347" s="200"/>
    </row>
    <row r="3348" spans="3:20" s="517" customFormat="1" ht="31.2" customHeight="1">
      <c r="C3348" s="756" t="s">
        <v>1215</v>
      </c>
      <c r="D3348" s="196" t="s">
        <v>1216</v>
      </c>
      <c r="E3348" s="203"/>
      <c r="F3348" s="197"/>
      <c r="G3348" s="197"/>
      <c r="H3348" s="198"/>
      <c r="L3348" s="200"/>
      <c r="M3348" s="200"/>
      <c r="N3348" s="200"/>
      <c r="O3348" s="200"/>
      <c r="P3348" s="200"/>
    </row>
    <row r="3349" spans="3:20" s="517" customFormat="1" ht="31.2" customHeight="1">
      <c r="C3349" s="543">
        <v>1</v>
      </c>
      <c r="D3349" s="750" t="s">
        <v>7189</v>
      </c>
      <c r="E3349" s="203" t="s">
        <v>42</v>
      </c>
      <c r="F3349" s="762">
        <v>0.56000000000000005</v>
      </c>
      <c r="G3349" s="205">
        <f>VLOOKUP(D3349,upahbahan,3,FALSE)</f>
        <v>430000</v>
      </c>
      <c r="H3349" s="210">
        <f>F3349*G3349</f>
        <v>240800.00000000003</v>
      </c>
      <c r="L3349" s="200"/>
      <c r="M3349" s="200"/>
      <c r="N3349" s="200"/>
      <c r="O3349" s="200"/>
      <c r="P3349" s="200"/>
    </row>
    <row r="3350" spans="3:20" s="517" customFormat="1" ht="31.2" customHeight="1">
      <c r="C3350" s="207" t="s">
        <v>1217</v>
      </c>
      <c r="D3350" s="208"/>
      <c r="E3350" s="208"/>
      <c r="F3350" s="208"/>
      <c r="G3350" s="209"/>
      <c r="H3350" s="240">
        <f>SUM(H3348:H3349)</f>
        <v>240800.00000000003</v>
      </c>
      <c r="L3350" s="200"/>
      <c r="M3350" s="200"/>
      <c r="N3350" s="200"/>
      <c r="O3350" s="200"/>
      <c r="P3350" s="200"/>
    </row>
    <row r="3351" spans="3:20" s="517" customFormat="1" ht="31.2" customHeight="1">
      <c r="C3351" s="223" t="s">
        <v>1218</v>
      </c>
      <c r="D3351" s="224" t="s">
        <v>1219</v>
      </c>
      <c r="E3351" s="225"/>
      <c r="F3351" s="225"/>
      <c r="G3351" s="226"/>
      <c r="H3351" s="210">
        <f>H3350+H3347+H3336</f>
        <v>282534.5</v>
      </c>
      <c r="L3351" s="200"/>
      <c r="M3351" s="200"/>
      <c r="N3351" s="200"/>
      <c r="O3351" s="200"/>
      <c r="P3351" s="200"/>
    </row>
    <row r="3352" spans="3:20" s="517" customFormat="1" ht="31.2" customHeight="1">
      <c r="C3352" s="223" t="s">
        <v>1220</v>
      </c>
      <c r="D3352" s="224" t="s">
        <v>1321</v>
      </c>
      <c r="E3352" s="225"/>
      <c r="F3352" s="226"/>
      <c r="G3352" s="228">
        <v>0.1</v>
      </c>
      <c r="H3352" s="210">
        <f>H3351*G3352</f>
        <v>28253.45</v>
      </c>
      <c r="L3352" s="200"/>
      <c r="M3352" s="200"/>
      <c r="N3352" s="200"/>
      <c r="O3352" s="200"/>
      <c r="P3352" s="200"/>
    </row>
    <row r="3353" spans="3:20" s="517" customFormat="1" ht="31.2" customHeight="1" thickBot="1">
      <c r="C3353" s="229" t="s">
        <v>1221</v>
      </c>
      <c r="D3353" s="230" t="s">
        <v>1222</v>
      </c>
      <c r="E3353" s="231"/>
      <c r="F3353" s="231"/>
      <c r="G3353" s="232"/>
      <c r="H3353" s="233">
        <f>SUM(H3351:H3352)</f>
        <v>310787.95</v>
      </c>
      <c r="L3353" s="200"/>
      <c r="M3353" s="200"/>
      <c r="N3353" s="200"/>
      <c r="O3353" s="200"/>
      <c r="P3353" s="200"/>
    </row>
    <row r="3354" spans="3:20" ht="31.2" customHeight="1" thickTop="1">
      <c r="D3354" s="758" t="s">
        <v>7210</v>
      </c>
    </row>
    <row r="3355" spans="3:20" ht="31.2" customHeight="1">
      <c r="C3355" s="757" t="s">
        <v>6950</v>
      </c>
      <c r="F3355" s="758"/>
      <c r="H3355" s="758" t="s">
        <v>6959</v>
      </c>
    </row>
    <row r="3356" spans="3:20" ht="31.2" customHeight="1">
      <c r="C3356" s="200" t="s">
        <v>6951</v>
      </c>
      <c r="F3356" s="758"/>
    </row>
    <row r="3357" spans="3:20" ht="31.2" customHeight="1">
      <c r="C3357" s="200" t="s">
        <v>6952</v>
      </c>
      <c r="F3357" s="758"/>
    </row>
    <row r="3358" spans="3:20" ht="31.2" customHeight="1">
      <c r="C3358" s="200"/>
      <c r="F3358" s="758"/>
    </row>
    <row r="3359" spans="3:20" s="517" customFormat="1" ht="31.2" customHeight="1" thickBot="1">
      <c r="C3359" s="513" t="s">
        <v>7224</v>
      </c>
      <c r="D3359" s="748" t="s">
        <v>7225</v>
      </c>
      <c r="E3359" s="749"/>
      <c r="F3359" s="748"/>
      <c r="G3359" s="748"/>
      <c r="H3359" s="532"/>
      <c r="I3359" s="532"/>
      <c r="J3359" s="532"/>
      <c r="K3359" s="532"/>
      <c r="M3359" s="189"/>
      <c r="N3359" s="189"/>
      <c r="O3359" s="189"/>
      <c r="P3359" s="189"/>
      <c r="R3359" s="189">
        <f>ROUNDDOWN(H3383,-2)</f>
        <v>310700</v>
      </c>
      <c r="S3359" s="517" t="s">
        <v>6451</v>
      </c>
      <c r="T3359" s="517" t="s">
        <v>7014</v>
      </c>
    </row>
    <row r="3360" spans="3:20" s="517" customFormat="1" ht="31.2" customHeight="1" thickTop="1">
      <c r="C3360" s="190" t="s">
        <v>1195</v>
      </c>
      <c r="D3360" s="191" t="s">
        <v>1196</v>
      </c>
      <c r="E3360" s="191" t="s">
        <v>1197</v>
      </c>
      <c r="F3360" s="191" t="s">
        <v>1198</v>
      </c>
      <c r="G3360" s="191" t="s">
        <v>1199</v>
      </c>
      <c r="H3360" s="192" t="s">
        <v>1200</v>
      </c>
      <c r="L3360" s="200"/>
      <c r="M3360" s="200"/>
      <c r="N3360" s="200"/>
      <c r="O3360" s="200"/>
      <c r="P3360" s="200"/>
    </row>
    <row r="3361" spans="3:16" s="517" customFormat="1" ht="31.2" customHeight="1">
      <c r="C3361" s="518" t="s">
        <v>1201</v>
      </c>
      <c r="D3361" s="196" t="s">
        <v>1202</v>
      </c>
      <c r="E3361" s="197"/>
      <c r="F3361" s="197"/>
      <c r="G3361" s="197"/>
      <c r="H3361" s="198"/>
      <c r="L3361" s="200"/>
      <c r="M3361" s="200"/>
      <c r="N3361" s="200"/>
      <c r="O3361" s="200"/>
      <c r="P3361" s="200"/>
    </row>
    <row r="3362" spans="3:16" s="517" customFormat="1" ht="31.2" customHeight="1">
      <c r="C3362" s="518">
        <v>1</v>
      </c>
      <c r="D3362" s="196" t="s">
        <v>5</v>
      </c>
      <c r="E3362" s="203" t="s">
        <v>2102</v>
      </c>
      <c r="F3362" s="525">
        <v>0.1</v>
      </c>
      <c r="G3362" s="205">
        <f>VLOOKUP(D3362,upahbahan,3,FALSE)</f>
        <v>100000</v>
      </c>
      <c r="H3362" s="210">
        <f t="shared" ref="H3362:H3365" si="229">F3362*G3362</f>
        <v>10000</v>
      </c>
      <c r="L3362" s="200"/>
      <c r="M3362" s="200"/>
      <c r="N3362" s="200"/>
      <c r="O3362" s="200"/>
      <c r="P3362" s="200"/>
    </row>
    <row r="3363" spans="3:16" s="517" customFormat="1" ht="31.2" customHeight="1">
      <c r="C3363" s="537">
        <v>2</v>
      </c>
      <c r="D3363" s="196" t="s">
        <v>6954</v>
      </c>
      <c r="E3363" s="202" t="s">
        <v>6</v>
      </c>
      <c r="F3363" s="520">
        <v>0.1</v>
      </c>
      <c r="G3363" s="205">
        <f>VLOOKUP(D3363,upahbahan,3,FALSE)</f>
        <v>181250</v>
      </c>
      <c r="H3363" s="210">
        <f t="shared" si="229"/>
        <v>18125</v>
      </c>
      <c r="L3363" s="200"/>
      <c r="M3363" s="200"/>
      <c r="N3363" s="200"/>
      <c r="O3363" s="200"/>
      <c r="P3363" s="200"/>
    </row>
    <row r="3364" spans="3:16" s="517" customFormat="1" ht="31.2" customHeight="1">
      <c r="C3364" s="537">
        <v>3</v>
      </c>
      <c r="D3364" s="196" t="s">
        <v>6948</v>
      </c>
      <c r="E3364" s="202" t="s">
        <v>2102</v>
      </c>
      <c r="F3364" s="520">
        <v>0.05</v>
      </c>
      <c r="G3364" s="205">
        <f>VLOOKUP(D3364,upahbahan,3,FALSE)</f>
        <v>218750</v>
      </c>
      <c r="H3364" s="210">
        <f t="shared" si="229"/>
        <v>10937.5</v>
      </c>
      <c r="L3364" s="200"/>
      <c r="M3364" s="200"/>
      <c r="N3364" s="200"/>
      <c r="O3364" s="200"/>
      <c r="P3364" s="200"/>
    </row>
    <row r="3365" spans="3:16" s="517" customFormat="1" ht="31.2" customHeight="1">
      <c r="C3365" s="537">
        <v>4</v>
      </c>
      <c r="D3365" s="196" t="s">
        <v>19</v>
      </c>
      <c r="E3365" s="202" t="s">
        <v>6</v>
      </c>
      <c r="F3365" s="520">
        <v>1.67E-2</v>
      </c>
      <c r="G3365" s="205">
        <f>VLOOKUP(D3365,upahbahan,3,FALSE)</f>
        <v>160000</v>
      </c>
      <c r="H3365" s="210">
        <f t="shared" si="229"/>
        <v>2672</v>
      </c>
      <c r="L3365" s="200"/>
      <c r="M3365" s="200"/>
      <c r="N3365" s="200"/>
      <c r="O3365" s="200"/>
      <c r="P3365" s="200"/>
    </row>
    <row r="3366" spans="3:16" s="517" customFormat="1" ht="31.2" customHeight="1">
      <c r="C3366" s="207" t="s">
        <v>1208</v>
      </c>
      <c r="D3366" s="208"/>
      <c r="E3366" s="208"/>
      <c r="F3366" s="521"/>
      <c r="G3366" s="522"/>
      <c r="H3366" s="210">
        <f>SUM(H3362:H3365)</f>
        <v>41734.5</v>
      </c>
      <c r="L3366" s="523"/>
      <c r="M3366" s="523"/>
      <c r="N3366" s="523"/>
      <c r="O3366" s="523"/>
      <c r="P3366" s="523"/>
    </row>
    <row r="3367" spans="3:16" s="517" customFormat="1" ht="31.2" customHeight="1">
      <c r="C3367" s="543" t="s">
        <v>1209</v>
      </c>
      <c r="D3367" s="750" t="s">
        <v>1210</v>
      </c>
      <c r="E3367" s="197"/>
      <c r="F3367" s="751"/>
      <c r="G3367" s="197"/>
      <c r="H3367" s="752"/>
      <c r="L3367" s="200"/>
      <c r="M3367" s="200"/>
      <c r="N3367" s="200"/>
      <c r="O3367" s="200"/>
      <c r="P3367" s="200"/>
    </row>
    <row r="3368" spans="3:16" s="517" customFormat="1" ht="31.2" customHeight="1">
      <c r="C3368" s="543">
        <v>1</v>
      </c>
      <c r="D3368" s="750" t="s">
        <v>7226</v>
      </c>
      <c r="E3368" s="203" t="s">
        <v>44</v>
      </c>
      <c r="F3368" s="753">
        <v>1.05</v>
      </c>
      <c r="G3368" s="205">
        <f>VLOOKUP(D3368,upahbahan,3,FALSE)</f>
        <v>0</v>
      </c>
      <c r="H3368" s="210">
        <f t="shared" ref="H3368:H3376" si="230">F3368*G3368</f>
        <v>0</v>
      </c>
      <c r="L3368" s="200"/>
      <c r="M3368" s="200"/>
      <c r="N3368" s="200"/>
      <c r="O3368" s="200"/>
      <c r="P3368" s="200"/>
    </row>
    <row r="3369" spans="3:16" s="517" customFormat="1" ht="31.2" customHeight="1">
      <c r="C3369" s="543">
        <v>2</v>
      </c>
      <c r="D3369" s="750" t="s">
        <v>5563</v>
      </c>
      <c r="E3369" s="203" t="s">
        <v>65</v>
      </c>
      <c r="F3369" s="753">
        <v>0.02</v>
      </c>
      <c r="G3369" s="205">
        <f>VLOOKUP(D3369,upahbahan,3,FALSE)</f>
        <v>0</v>
      </c>
      <c r="H3369" s="210">
        <f t="shared" si="230"/>
        <v>0</v>
      </c>
      <c r="L3369" s="200"/>
      <c r="M3369" s="200"/>
      <c r="N3369" s="200"/>
      <c r="O3369" s="200"/>
      <c r="P3369" s="200"/>
    </row>
    <row r="3370" spans="3:16" s="517" customFormat="1" ht="31.2" customHeight="1">
      <c r="C3370" s="543">
        <v>3</v>
      </c>
      <c r="D3370" s="750" t="s">
        <v>5555</v>
      </c>
      <c r="E3370" s="203"/>
      <c r="F3370" s="753"/>
      <c r="G3370" s="197"/>
      <c r="H3370" s="210">
        <f t="shared" si="230"/>
        <v>0</v>
      </c>
      <c r="L3370" s="200"/>
      <c r="M3370" s="200"/>
      <c r="N3370" s="200"/>
      <c r="O3370" s="200"/>
      <c r="P3370" s="200"/>
    </row>
    <row r="3371" spans="3:16" s="517" customFormat="1" ht="31.2" customHeight="1">
      <c r="C3371" s="754" t="s">
        <v>5293</v>
      </c>
      <c r="D3371" s="750" t="s">
        <v>7209</v>
      </c>
      <c r="E3371" s="203" t="s">
        <v>113</v>
      </c>
      <c r="F3371" s="760">
        <v>18</v>
      </c>
      <c r="G3371" s="205">
        <f>VLOOKUP(D3371,upahbahan,3,FALSE)</f>
        <v>0</v>
      </c>
      <c r="H3371" s="210">
        <f t="shared" si="230"/>
        <v>0</v>
      </c>
      <c r="L3371" s="200"/>
      <c r="M3371" s="200"/>
      <c r="N3371" s="200"/>
      <c r="O3371" s="200"/>
      <c r="P3371" s="200"/>
    </row>
    <row r="3372" spans="3:16" s="517" customFormat="1" ht="31.2" customHeight="1">
      <c r="C3372" s="754" t="s">
        <v>5299</v>
      </c>
      <c r="D3372" s="750" t="s">
        <v>7055</v>
      </c>
      <c r="E3372" s="203" t="s">
        <v>113</v>
      </c>
      <c r="F3372" s="760">
        <v>10</v>
      </c>
      <c r="G3372" s="205">
        <f>VLOOKUP(D3372,upahbahan,3,FALSE)</f>
        <v>0</v>
      </c>
      <c r="H3372" s="210">
        <f t="shared" si="230"/>
        <v>0</v>
      </c>
      <c r="L3372" s="200"/>
      <c r="M3372" s="200"/>
      <c r="N3372" s="200"/>
      <c r="O3372" s="200"/>
      <c r="P3372" s="200"/>
    </row>
    <row r="3373" spans="3:16" s="517" customFormat="1" ht="31.2" customHeight="1">
      <c r="C3373" s="543">
        <v>4</v>
      </c>
      <c r="D3373" s="750" t="s">
        <v>5556</v>
      </c>
      <c r="E3373" s="203"/>
      <c r="F3373" s="753"/>
      <c r="G3373" s="197"/>
      <c r="H3373" s="210">
        <f t="shared" si="230"/>
        <v>0</v>
      </c>
      <c r="L3373" s="200"/>
      <c r="M3373" s="200"/>
      <c r="N3373" s="200"/>
      <c r="O3373" s="200"/>
      <c r="P3373" s="200"/>
    </row>
    <row r="3374" spans="3:16" s="517" customFormat="1" ht="31.2" customHeight="1">
      <c r="C3374" s="754" t="s">
        <v>5293</v>
      </c>
      <c r="D3374" s="750" t="s">
        <v>2084</v>
      </c>
      <c r="E3374" s="203" t="s">
        <v>42</v>
      </c>
      <c r="F3374" s="753">
        <v>0.19500000000000001</v>
      </c>
      <c r="G3374" s="205">
        <f>VLOOKUP(D3374,upahbahan,3,FALSE)</f>
        <v>0</v>
      </c>
      <c r="H3374" s="210">
        <f t="shared" si="230"/>
        <v>0</v>
      </c>
      <c r="L3374" s="200"/>
      <c r="M3374" s="200"/>
      <c r="N3374" s="200"/>
      <c r="O3374" s="200"/>
      <c r="P3374" s="200"/>
    </row>
    <row r="3375" spans="3:16" s="517" customFormat="1" ht="31.2" customHeight="1">
      <c r="C3375" s="754" t="s">
        <v>5299</v>
      </c>
      <c r="D3375" s="750" t="s">
        <v>5566</v>
      </c>
      <c r="E3375" s="203" t="s">
        <v>42</v>
      </c>
      <c r="F3375" s="753">
        <v>5.1999999999999998E-2</v>
      </c>
      <c r="G3375" s="205">
        <f>VLOOKUP(D3375,upahbahan,3,FALSE)</f>
        <v>0</v>
      </c>
      <c r="H3375" s="210">
        <f t="shared" si="230"/>
        <v>0</v>
      </c>
      <c r="L3375" s="200"/>
      <c r="M3375" s="200"/>
      <c r="N3375" s="200"/>
      <c r="O3375" s="200"/>
      <c r="P3375" s="200"/>
    </row>
    <row r="3376" spans="3:16" s="517" customFormat="1" ht="31.2" customHeight="1">
      <c r="C3376" s="754" t="s">
        <v>5558</v>
      </c>
      <c r="D3376" s="750" t="s">
        <v>2325</v>
      </c>
      <c r="E3376" s="203" t="s">
        <v>42</v>
      </c>
      <c r="F3376" s="762">
        <v>1.2999999999999999E-2</v>
      </c>
      <c r="G3376" s="205">
        <f>VLOOKUP(D3376,upahbahan,3,FALSE)</f>
        <v>0</v>
      </c>
      <c r="H3376" s="210">
        <f t="shared" si="230"/>
        <v>0</v>
      </c>
      <c r="L3376" s="200"/>
      <c r="M3376" s="200"/>
      <c r="N3376" s="200"/>
      <c r="O3376" s="200"/>
      <c r="P3376" s="200"/>
    </row>
    <row r="3377" spans="3:20" s="517" customFormat="1" ht="31.2" customHeight="1">
      <c r="C3377" s="207" t="s">
        <v>1214</v>
      </c>
      <c r="D3377" s="208"/>
      <c r="E3377" s="568"/>
      <c r="F3377" s="208"/>
      <c r="G3377" s="209"/>
      <c r="H3377" s="210">
        <f>SUM(H3368:H3376)</f>
        <v>0</v>
      </c>
      <c r="L3377" s="200"/>
      <c r="M3377" s="200"/>
      <c r="N3377" s="200"/>
      <c r="O3377" s="200"/>
      <c r="P3377" s="200"/>
    </row>
    <row r="3378" spans="3:20" s="517" customFormat="1" ht="31.2" customHeight="1">
      <c r="C3378" s="756" t="s">
        <v>1215</v>
      </c>
      <c r="D3378" s="196" t="s">
        <v>1216</v>
      </c>
      <c r="E3378" s="203"/>
      <c r="F3378" s="197"/>
      <c r="G3378" s="197"/>
      <c r="H3378" s="198"/>
      <c r="L3378" s="200"/>
      <c r="M3378" s="200"/>
      <c r="N3378" s="200"/>
      <c r="O3378" s="200"/>
      <c r="P3378" s="200"/>
    </row>
    <row r="3379" spans="3:20" s="517" customFormat="1" ht="31.2" customHeight="1">
      <c r="C3379" s="543">
        <v>1</v>
      </c>
      <c r="D3379" s="750" t="s">
        <v>7189</v>
      </c>
      <c r="E3379" s="203" t="s">
        <v>42</v>
      </c>
      <c r="F3379" s="762">
        <v>0.56000000000000005</v>
      </c>
      <c r="G3379" s="205">
        <f>VLOOKUP(D3379,upahbahan,3,FALSE)</f>
        <v>430000</v>
      </c>
      <c r="H3379" s="210">
        <f>F3379*G3379</f>
        <v>240800.00000000003</v>
      </c>
      <c r="L3379" s="200"/>
      <c r="M3379" s="200"/>
      <c r="N3379" s="200"/>
      <c r="O3379" s="200"/>
      <c r="P3379" s="200"/>
    </row>
    <row r="3380" spans="3:20" s="517" customFormat="1" ht="31.2" customHeight="1">
      <c r="C3380" s="207" t="s">
        <v>1217</v>
      </c>
      <c r="D3380" s="208"/>
      <c r="E3380" s="208"/>
      <c r="F3380" s="208"/>
      <c r="G3380" s="209"/>
      <c r="H3380" s="240">
        <f>SUM(H3378:H3379)</f>
        <v>240800.00000000003</v>
      </c>
      <c r="L3380" s="200"/>
      <c r="M3380" s="200"/>
      <c r="N3380" s="200"/>
      <c r="O3380" s="200"/>
      <c r="P3380" s="200"/>
    </row>
    <row r="3381" spans="3:20" s="517" customFormat="1" ht="31.2" customHeight="1">
      <c r="C3381" s="223" t="s">
        <v>1218</v>
      </c>
      <c r="D3381" s="224" t="s">
        <v>1219</v>
      </c>
      <c r="E3381" s="225"/>
      <c r="F3381" s="225"/>
      <c r="G3381" s="226"/>
      <c r="H3381" s="210">
        <f>H3380+H3377+H3366</f>
        <v>282534.5</v>
      </c>
      <c r="L3381" s="200"/>
      <c r="M3381" s="200"/>
      <c r="N3381" s="200"/>
      <c r="O3381" s="200"/>
      <c r="P3381" s="200"/>
    </row>
    <row r="3382" spans="3:20" s="517" customFormat="1" ht="31.2" customHeight="1">
      <c r="C3382" s="223" t="s">
        <v>1220</v>
      </c>
      <c r="D3382" s="224" t="s">
        <v>1321</v>
      </c>
      <c r="E3382" s="225"/>
      <c r="F3382" s="226"/>
      <c r="G3382" s="228">
        <v>0.1</v>
      </c>
      <c r="H3382" s="210">
        <f>H3381*G3382</f>
        <v>28253.45</v>
      </c>
      <c r="L3382" s="200"/>
      <c r="M3382" s="200"/>
      <c r="N3382" s="200"/>
      <c r="O3382" s="200"/>
      <c r="P3382" s="200"/>
    </row>
    <row r="3383" spans="3:20" s="517" customFormat="1" ht="31.2" customHeight="1" thickBot="1">
      <c r="C3383" s="229" t="s">
        <v>1221</v>
      </c>
      <c r="D3383" s="230" t="s">
        <v>1222</v>
      </c>
      <c r="E3383" s="231"/>
      <c r="F3383" s="231"/>
      <c r="G3383" s="232"/>
      <c r="H3383" s="233">
        <f>SUM(H3381:H3382)</f>
        <v>310787.95</v>
      </c>
      <c r="L3383" s="200"/>
      <c r="M3383" s="200"/>
      <c r="N3383" s="200"/>
      <c r="O3383" s="200"/>
      <c r="P3383" s="200"/>
    </row>
    <row r="3384" spans="3:20" ht="31.2" customHeight="1" thickTop="1">
      <c r="D3384" s="758" t="s">
        <v>7210</v>
      </c>
    </row>
    <row r="3385" spans="3:20" ht="31.2" customHeight="1">
      <c r="C3385" s="757" t="s">
        <v>6950</v>
      </c>
      <c r="F3385" s="758"/>
      <c r="H3385" s="758" t="s">
        <v>6959</v>
      </c>
    </row>
    <row r="3386" spans="3:20" ht="31.2" customHeight="1">
      <c r="C3386" s="200" t="s">
        <v>6951</v>
      </c>
      <c r="F3386" s="758"/>
    </row>
    <row r="3387" spans="3:20" ht="31.2" customHeight="1">
      <c r="C3387" s="200" t="s">
        <v>6952</v>
      </c>
      <c r="F3387" s="758"/>
    </row>
    <row r="3388" spans="3:20" ht="31.2" customHeight="1">
      <c r="C3388" s="200"/>
      <c r="F3388" s="758"/>
    </row>
    <row r="3389" spans="3:20" s="517" customFormat="1" ht="31.2" customHeight="1" thickBot="1">
      <c r="C3389" s="513" t="s">
        <v>7227</v>
      </c>
      <c r="D3389" s="748" t="s">
        <v>7228</v>
      </c>
      <c r="E3389" s="749"/>
      <c r="F3389" s="748"/>
      <c r="G3389" s="748"/>
      <c r="H3389" s="532"/>
      <c r="I3389" s="532"/>
      <c r="J3389" s="532"/>
      <c r="K3389" s="532"/>
      <c r="M3389" s="189"/>
      <c r="N3389" s="189"/>
      <c r="O3389" s="189"/>
      <c r="P3389" s="189"/>
      <c r="R3389" s="189">
        <f>ROUNDDOWN(H3413,-2)</f>
        <v>310700</v>
      </c>
      <c r="S3389" s="517" t="s">
        <v>6451</v>
      </c>
      <c r="T3389" s="517" t="s">
        <v>7014</v>
      </c>
    </row>
    <row r="3390" spans="3:20" s="517" customFormat="1" ht="31.2" customHeight="1" thickTop="1">
      <c r="C3390" s="190" t="s">
        <v>1195</v>
      </c>
      <c r="D3390" s="191" t="s">
        <v>1196</v>
      </c>
      <c r="E3390" s="191" t="s">
        <v>1197</v>
      </c>
      <c r="F3390" s="191" t="s">
        <v>1198</v>
      </c>
      <c r="G3390" s="191" t="s">
        <v>1199</v>
      </c>
      <c r="H3390" s="192" t="s">
        <v>1200</v>
      </c>
      <c r="L3390" s="200"/>
      <c r="M3390" s="200"/>
      <c r="N3390" s="200"/>
      <c r="O3390" s="200"/>
      <c r="P3390" s="200"/>
    </row>
    <row r="3391" spans="3:20" s="517" customFormat="1" ht="31.2" customHeight="1">
      <c r="C3391" s="518" t="s">
        <v>1201</v>
      </c>
      <c r="D3391" s="196" t="s">
        <v>1202</v>
      </c>
      <c r="E3391" s="197"/>
      <c r="F3391" s="197"/>
      <c r="G3391" s="197"/>
      <c r="H3391" s="198"/>
      <c r="L3391" s="200"/>
      <c r="M3391" s="200"/>
      <c r="N3391" s="200"/>
      <c r="O3391" s="200"/>
      <c r="P3391" s="200"/>
    </row>
    <row r="3392" spans="3:20" s="517" customFormat="1" ht="31.2" customHeight="1">
      <c r="C3392" s="518">
        <v>1</v>
      </c>
      <c r="D3392" s="196" t="s">
        <v>5</v>
      </c>
      <c r="E3392" s="203" t="s">
        <v>2102</v>
      </c>
      <c r="F3392" s="525">
        <v>0.1</v>
      </c>
      <c r="G3392" s="205">
        <f>VLOOKUP(D3392,upahbahan,3,FALSE)</f>
        <v>100000</v>
      </c>
      <c r="H3392" s="210">
        <f t="shared" ref="H3392:H3395" si="231">F3392*G3392</f>
        <v>10000</v>
      </c>
      <c r="L3392" s="200"/>
      <c r="M3392" s="200"/>
      <c r="N3392" s="200"/>
      <c r="O3392" s="200"/>
      <c r="P3392" s="200"/>
    </row>
    <row r="3393" spans="3:16" s="517" customFormat="1" ht="31.2" customHeight="1">
      <c r="C3393" s="537">
        <v>2</v>
      </c>
      <c r="D3393" s="196" t="s">
        <v>6954</v>
      </c>
      <c r="E3393" s="202" t="s">
        <v>6</v>
      </c>
      <c r="F3393" s="520">
        <v>0.1</v>
      </c>
      <c r="G3393" s="205">
        <f>VLOOKUP(D3393,upahbahan,3,FALSE)</f>
        <v>181250</v>
      </c>
      <c r="H3393" s="210">
        <f t="shared" si="231"/>
        <v>18125</v>
      </c>
      <c r="L3393" s="200"/>
      <c r="M3393" s="200"/>
      <c r="N3393" s="200"/>
      <c r="O3393" s="200"/>
      <c r="P3393" s="200"/>
    </row>
    <row r="3394" spans="3:16" s="517" customFormat="1" ht="31.2" customHeight="1">
      <c r="C3394" s="537">
        <v>3</v>
      </c>
      <c r="D3394" s="196" t="s">
        <v>6948</v>
      </c>
      <c r="E3394" s="202" t="s">
        <v>2102</v>
      </c>
      <c r="F3394" s="520">
        <v>0.05</v>
      </c>
      <c r="G3394" s="205">
        <f>VLOOKUP(D3394,upahbahan,3,FALSE)</f>
        <v>218750</v>
      </c>
      <c r="H3394" s="210">
        <f t="shared" si="231"/>
        <v>10937.5</v>
      </c>
      <c r="L3394" s="200"/>
      <c r="M3394" s="200"/>
      <c r="N3394" s="200"/>
      <c r="O3394" s="200"/>
      <c r="P3394" s="200"/>
    </row>
    <row r="3395" spans="3:16" s="517" customFormat="1" ht="31.2" customHeight="1">
      <c r="C3395" s="537">
        <v>4</v>
      </c>
      <c r="D3395" s="196" t="s">
        <v>19</v>
      </c>
      <c r="E3395" s="202" t="s">
        <v>6</v>
      </c>
      <c r="F3395" s="520">
        <v>1.67E-2</v>
      </c>
      <c r="G3395" s="205">
        <f>VLOOKUP(D3395,upahbahan,3,FALSE)</f>
        <v>160000</v>
      </c>
      <c r="H3395" s="210">
        <f t="shared" si="231"/>
        <v>2672</v>
      </c>
      <c r="L3395" s="200"/>
      <c r="M3395" s="200"/>
      <c r="N3395" s="200"/>
      <c r="O3395" s="200"/>
      <c r="P3395" s="200"/>
    </row>
    <row r="3396" spans="3:16" s="517" customFormat="1" ht="31.2" customHeight="1">
      <c r="C3396" s="207" t="s">
        <v>1208</v>
      </c>
      <c r="D3396" s="208"/>
      <c r="E3396" s="208"/>
      <c r="F3396" s="521"/>
      <c r="G3396" s="522"/>
      <c r="H3396" s="210">
        <f>SUM(H3392:H3395)</f>
        <v>41734.5</v>
      </c>
      <c r="L3396" s="523"/>
      <c r="M3396" s="523"/>
      <c r="N3396" s="523"/>
      <c r="O3396" s="523"/>
      <c r="P3396" s="523"/>
    </row>
    <row r="3397" spans="3:16" s="517" customFormat="1" ht="31.2" customHeight="1">
      <c r="C3397" s="543" t="s">
        <v>1209</v>
      </c>
      <c r="D3397" s="750" t="s">
        <v>1210</v>
      </c>
      <c r="E3397" s="197"/>
      <c r="F3397" s="751"/>
      <c r="G3397" s="197"/>
      <c r="H3397" s="752"/>
      <c r="L3397" s="200"/>
      <c r="M3397" s="200"/>
      <c r="N3397" s="200"/>
      <c r="O3397" s="200"/>
      <c r="P3397" s="200"/>
    </row>
    <row r="3398" spans="3:16" s="517" customFormat="1" ht="31.2" customHeight="1">
      <c r="C3398" s="543">
        <v>1</v>
      </c>
      <c r="D3398" s="750" t="s">
        <v>7229</v>
      </c>
      <c r="E3398" s="203" t="s">
        <v>44</v>
      </c>
      <c r="F3398" s="753">
        <v>1.05</v>
      </c>
      <c r="G3398" s="205">
        <f>VLOOKUP(D3398,upahbahan,3,FALSE)</f>
        <v>0</v>
      </c>
      <c r="H3398" s="210">
        <f t="shared" ref="H3398:H3406" si="232">F3398*G3398</f>
        <v>0</v>
      </c>
      <c r="L3398" s="200"/>
      <c r="M3398" s="200"/>
      <c r="N3398" s="200"/>
      <c r="O3398" s="200"/>
      <c r="P3398" s="200"/>
    </row>
    <row r="3399" spans="3:16" s="517" customFormat="1" ht="31.2" customHeight="1">
      <c r="C3399" s="543">
        <v>2</v>
      </c>
      <c r="D3399" s="750" t="s">
        <v>5563</v>
      </c>
      <c r="E3399" s="203" t="s">
        <v>65</v>
      </c>
      <c r="F3399" s="753">
        <v>0.02</v>
      </c>
      <c r="G3399" s="205">
        <f>VLOOKUP(D3399,upahbahan,3,FALSE)</f>
        <v>0</v>
      </c>
      <c r="H3399" s="210">
        <f t="shared" si="232"/>
        <v>0</v>
      </c>
      <c r="L3399" s="200"/>
      <c r="M3399" s="200"/>
      <c r="N3399" s="200"/>
      <c r="O3399" s="200"/>
      <c r="P3399" s="200"/>
    </row>
    <row r="3400" spans="3:16" s="517" customFormat="1" ht="31.2" customHeight="1">
      <c r="C3400" s="543">
        <v>3</v>
      </c>
      <c r="D3400" s="750" t="s">
        <v>5555</v>
      </c>
      <c r="E3400" s="203"/>
      <c r="F3400" s="753"/>
      <c r="G3400" s="197"/>
      <c r="H3400" s="210">
        <f t="shared" si="232"/>
        <v>0</v>
      </c>
      <c r="L3400" s="200"/>
      <c r="M3400" s="200"/>
      <c r="N3400" s="200"/>
      <c r="O3400" s="200"/>
      <c r="P3400" s="200"/>
    </row>
    <row r="3401" spans="3:16" s="517" customFormat="1" ht="31.2" customHeight="1">
      <c r="C3401" s="754" t="s">
        <v>5293</v>
      </c>
      <c r="D3401" s="750" t="s">
        <v>7209</v>
      </c>
      <c r="E3401" s="203" t="s">
        <v>113</v>
      </c>
      <c r="F3401" s="760">
        <v>18</v>
      </c>
      <c r="G3401" s="205">
        <f>VLOOKUP(D3401,upahbahan,3,FALSE)</f>
        <v>0</v>
      </c>
      <c r="H3401" s="210">
        <f t="shared" si="232"/>
        <v>0</v>
      </c>
      <c r="L3401" s="200"/>
      <c r="M3401" s="200"/>
      <c r="N3401" s="200"/>
      <c r="O3401" s="200"/>
      <c r="P3401" s="200"/>
    </row>
    <row r="3402" spans="3:16" s="517" customFormat="1" ht="31.2" customHeight="1">
      <c r="C3402" s="754" t="s">
        <v>5299</v>
      </c>
      <c r="D3402" s="750" t="s">
        <v>7055</v>
      </c>
      <c r="E3402" s="203" t="s">
        <v>113</v>
      </c>
      <c r="F3402" s="760">
        <v>10</v>
      </c>
      <c r="G3402" s="205">
        <f>VLOOKUP(D3402,upahbahan,3,FALSE)</f>
        <v>0</v>
      </c>
      <c r="H3402" s="210">
        <f t="shared" si="232"/>
        <v>0</v>
      </c>
      <c r="L3402" s="200"/>
      <c r="M3402" s="200"/>
      <c r="N3402" s="200"/>
      <c r="O3402" s="200"/>
      <c r="P3402" s="200"/>
    </row>
    <row r="3403" spans="3:16" s="517" customFormat="1" ht="31.2" customHeight="1">
      <c r="C3403" s="543">
        <v>4</v>
      </c>
      <c r="D3403" s="750" t="s">
        <v>5556</v>
      </c>
      <c r="E3403" s="203"/>
      <c r="F3403" s="753"/>
      <c r="G3403" s="197"/>
      <c r="H3403" s="210">
        <f t="shared" si="232"/>
        <v>0</v>
      </c>
      <c r="L3403" s="200"/>
      <c r="M3403" s="200"/>
      <c r="N3403" s="200"/>
      <c r="O3403" s="200"/>
      <c r="P3403" s="200"/>
    </row>
    <row r="3404" spans="3:16" s="517" customFormat="1" ht="31.2" customHeight="1">
      <c r="C3404" s="754" t="s">
        <v>5293</v>
      </c>
      <c r="D3404" s="750" t="s">
        <v>2084</v>
      </c>
      <c r="E3404" s="203" t="s">
        <v>42</v>
      </c>
      <c r="F3404" s="753">
        <v>0.19500000000000001</v>
      </c>
      <c r="G3404" s="205">
        <f>VLOOKUP(D3404,upahbahan,3,FALSE)</f>
        <v>0</v>
      </c>
      <c r="H3404" s="210">
        <f t="shared" si="232"/>
        <v>0</v>
      </c>
      <c r="L3404" s="200"/>
      <c r="M3404" s="200"/>
      <c r="N3404" s="200"/>
      <c r="O3404" s="200"/>
      <c r="P3404" s="200"/>
    </row>
    <row r="3405" spans="3:16" s="517" customFormat="1" ht="31.2" customHeight="1">
      <c r="C3405" s="754" t="s">
        <v>5299</v>
      </c>
      <c r="D3405" s="750" t="s">
        <v>5566</v>
      </c>
      <c r="E3405" s="203" t="s">
        <v>42</v>
      </c>
      <c r="F3405" s="753">
        <v>5.1999999999999998E-2</v>
      </c>
      <c r="G3405" s="205">
        <f>VLOOKUP(D3405,upahbahan,3,FALSE)</f>
        <v>0</v>
      </c>
      <c r="H3405" s="210">
        <f t="shared" si="232"/>
        <v>0</v>
      </c>
      <c r="L3405" s="200"/>
      <c r="M3405" s="200"/>
      <c r="N3405" s="200"/>
      <c r="O3405" s="200"/>
      <c r="P3405" s="200"/>
    </row>
    <row r="3406" spans="3:16" s="517" customFormat="1" ht="31.2" customHeight="1">
      <c r="C3406" s="754" t="s">
        <v>5558</v>
      </c>
      <c r="D3406" s="750" t="s">
        <v>2325</v>
      </c>
      <c r="E3406" s="203" t="s">
        <v>42</v>
      </c>
      <c r="F3406" s="762">
        <v>1.2999999999999999E-2</v>
      </c>
      <c r="G3406" s="205">
        <f>VLOOKUP(D3406,upahbahan,3,FALSE)</f>
        <v>0</v>
      </c>
      <c r="H3406" s="210">
        <f t="shared" si="232"/>
        <v>0</v>
      </c>
      <c r="L3406" s="200"/>
      <c r="M3406" s="200"/>
      <c r="N3406" s="200"/>
      <c r="O3406" s="200"/>
      <c r="P3406" s="200"/>
    </row>
    <row r="3407" spans="3:16" s="517" customFormat="1" ht="31.2" customHeight="1">
      <c r="C3407" s="207" t="s">
        <v>1214</v>
      </c>
      <c r="D3407" s="208"/>
      <c r="E3407" s="568"/>
      <c r="F3407" s="208"/>
      <c r="G3407" s="209"/>
      <c r="H3407" s="210">
        <f>SUM(H3398:H3406)</f>
        <v>0</v>
      </c>
      <c r="L3407" s="200"/>
      <c r="M3407" s="200"/>
      <c r="N3407" s="200"/>
      <c r="O3407" s="200"/>
      <c r="P3407" s="200"/>
    </row>
    <row r="3408" spans="3:16" s="517" customFormat="1" ht="31.2" customHeight="1">
      <c r="C3408" s="756" t="s">
        <v>1215</v>
      </c>
      <c r="D3408" s="196" t="s">
        <v>1216</v>
      </c>
      <c r="E3408" s="203"/>
      <c r="F3408" s="197"/>
      <c r="G3408" s="197"/>
      <c r="H3408" s="198"/>
      <c r="L3408" s="200"/>
      <c r="M3408" s="200"/>
      <c r="N3408" s="200"/>
      <c r="O3408" s="200"/>
      <c r="P3408" s="200"/>
    </row>
    <row r="3409" spans="3:20" s="517" customFormat="1" ht="31.2" customHeight="1">
      <c r="C3409" s="543">
        <v>1</v>
      </c>
      <c r="D3409" s="750" t="s">
        <v>7189</v>
      </c>
      <c r="E3409" s="203" t="s">
        <v>42</v>
      </c>
      <c r="F3409" s="762">
        <v>0.56000000000000005</v>
      </c>
      <c r="G3409" s="205">
        <f>VLOOKUP(D3409,upahbahan,3,FALSE)</f>
        <v>430000</v>
      </c>
      <c r="H3409" s="210">
        <f>F3409*G3409</f>
        <v>240800.00000000003</v>
      </c>
      <c r="L3409" s="200"/>
      <c r="M3409" s="200"/>
      <c r="N3409" s="200"/>
      <c r="O3409" s="200"/>
      <c r="P3409" s="200"/>
    </row>
    <row r="3410" spans="3:20" s="517" customFormat="1" ht="31.2" customHeight="1">
      <c r="C3410" s="207" t="s">
        <v>1217</v>
      </c>
      <c r="D3410" s="208"/>
      <c r="E3410" s="208"/>
      <c r="F3410" s="208"/>
      <c r="G3410" s="209"/>
      <c r="H3410" s="240">
        <f>SUM(H3408:H3409)</f>
        <v>240800.00000000003</v>
      </c>
      <c r="L3410" s="200"/>
      <c r="M3410" s="200"/>
      <c r="N3410" s="200"/>
      <c r="O3410" s="200"/>
      <c r="P3410" s="200"/>
    </row>
    <row r="3411" spans="3:20" s="517" customFormat="1" ht="31.2" customHeight="1">
      <c r="C3411" s="223" t="s">
        <v>1218</v>
      </c>
      <c r="D3411" s="224" t="s">
        <v>1219</v>
      </c>
      <c r="E3411" s="225"/>
      <c r="F3411" s="225"/>
      <c r="G3411" s="226"/>
      <c r="H3411" s="210">
        <f>H3410+H3407+H3396</f>
        <v>282534.5</v>
      </c>
      <c r="L3411" s="200"/>
      <c r="M3411" s="200"/>
      <c r="N3411" s="200"/>
      <c r="O3411" s="200"/>
      <c r="P3411" s="200"/>
    </row>
    <row r="3412" spans="3:20" s="517" customFormat="1" ht="31.2" customHeight="1">
      <c r="C3412" s="223" t="s">
        <v>1220</v>
      </c>
      <c r="D3412" s="224" t="s">
        <v>1321</v>
      </c>
      <c r="E3412" s="225"/>
      <c r="F3412" s="226"/>
      <c r="G3412" s="228">
        <v>0.1</v>
      </c>
      <c r="H3412" s="210">
        <f>H3411*G3412</f>
        <v>28253.45</v>
      </c>
      <c r="L3412" s="200"/>
      <c r="M3412" s="200"/>
      <c r="N3412" s="200"/>
      <c r="O3412" s="200"/>
      <c r="P3412" s="200"/>
    </row>
    <row r="3413" spans="3:20" s="517" customFormat="1" ht="31.2" customHeight="1" thickBot="1">
      <c r="C3413" s="229" t="s">
        <v>1221</v>
      </c>
      <c r="D3413" s="230" t="s">
        <v>1222</v>
      </c>
      <c r="E3413" s="231"/>
      <c r="F3413" s="231"/>
      <c r="G3413" s="232"/>
      <c r="H3413" s="233">
        <f>SUM(H3411:H3412)</f>
        <v>310787.95</v>
      </c>
      <c r="L3413" s="200"/>
      <c r="M3413" s="200"/>
      <c r="N3413" s="200"/>
      <c r="O3413" s="200"/>
      <c r="P3413" s="200"/>
    </row>
    <row r="3414" spans="3:20" ht="31.2" customHeight="1" thickTop="1">
      <c r="D3414" s="758" t="s">
        <v>7210</v>
      </c>
    </row>
    <row r="3415" spans="3:20" ht="31.2" customHeight="1">
      <c r="C3415" s="757" t="s">
        <v>6950</v>
      </c>
      <c r="F3415" s="758"/>
      <c r="H3415" s="758" t="s">
        <v>6959</v>
      </c>
    </row>
    <row r="3416" spans="3:20" ht="31.2" customHeight="1">
      <c r="C3416" s="200" t="s">
        <v>6951</v>
      </c>
      <c r="F3416" s="758"/>
    </row>
    <row r="3417" spans="3:20" ht="31.2" customHeight="1">
      <c r="C3417" s="200" t="s">
        <v>6952</v>
      </c>
      <c r="F3417" s="758"/>
    </row>
    <row r="3418" spans="3:20" ht="31.2" customHeight="1">
      <c r="C3418" s="200"/>
      <c r="F3418" s="758"/>
    </row>
    <row r="3419" spans="3:20" ht="31.2" customHeight="1">
      <c r="C3419" s="199" t="s">
        <v>5577</v>
      </c>
      <c r="D3419" s="187" t="s">
        <v>7231</v>
      </c>
      <c r="F3419" s="758"/>
    </row>
    <row r="3420" spans="3:20" s="517" customFormat="1" ht="31.2" customHeight="1" thickBot="1">
      <c r="C3420" s="513" t="s">
        <v>7232</v>
      </c>
      <c r="D3420" s="748" t="s">
        <v>7233</v>
      </c>
      <c r="E3420" s="749"/>
      <c r="F3420" s="748"/>
      <c r="G3420" s="748"/>
      <c r="H3420" s="532"/>
      <c r="I3420" s="532"/>
      <c r="J3420" s="532"/>
      <c r="K3420" s="532"/>
      <c r="M3420" s="189"/>
      <c r="N3420" s="189"/>
      <c r="O3420" s="189"/>
      <c r="P3420" s="189"/>
      <c r="R3420" s="189">
        <f>ROUNDDOWN(H3444,-2)</f>
        <v>377000</v>
      </c>
      <c r="S3420" s="517" t="s">
        <v>6451</v>
      </c>
      <c r="T3420" s="517" t="s">
        <v>7014</v>
      </c>
    </row>
    <row r="3421" spans="3:20" s="517" customFormat="1" ht="31.2" customHeight="1" thickTop="1">
      <c r="C3421" s="190" t="s">
        <v>1195</v>
      </c>
      <c r="D3421" s="191" t="s">
        <v>1196</v>
      </c>
      <c r="E3421" s="191" t="s">
        <v>1197</v>
      </c>
      <c r="F3421" s="191" t="s">
        <v>1198</v>
      </c>
      <c r="G3421" s="191" t="s">
        <v>1199</v>
      </c>
      <c r="H3421" s="192" t="s">
        <v>1200</v>
      </c>
      <c r="L3421" s="200"/>
      <c r="M3421" s="200"/>
      <c r="N3421" s="200"/>
      <c r="O3421" s="200"/>
      <c r="P3421" s="200"/>
    </row>
    <row r="3422" spans="3:20" s="517" customFormat="1" ht="31.2" customHeight="1">
      <c r="C3422" s="518" t="s">
        <v>1201</v>
      </c>
      <c r="D3422" s="196" t="s">
        <v>1202</v>
      </c>
      <c r="E3422" s="197"/>
      <c r="F3422" s="197"/>
      <c r="G3422" s="197"/>
      <c r="H3422" s="198"/>
      <c r="L3422" s="200"/>
      <c r="M3422" s="200"/>
      <c r="N3422" s="200"/>
      <c r="O3422" s="200"/>
      <c r="P3422" s="200"/>
    </row>
    <row r="3423" spans="3:20" s="517" customFormat="1" ht="31.2" customHeight="1">
      <c r="C3423" s="518">
        <v>1</v>
      </c>
      <c r="D3423" s="196" t="s">
        <v>5</v>
      </c>
      <c r="E3423" s="203" t="s">
        <v>2102</v>
      </c>
      <c r="F3423" s="525">
        <v>0.1</v>
      </c>
      <c r="G3423" s="205">
        <f>VLOOKUP(D3423,upahbahan,3,FALSE)</f>
        <v>100000</v>
      </c>
      <c r="H3423" s="210">
        <f t="shared" ref="H3423:H3426" si="233">F3423*G3423</f>
        <v>10000</v>
      </c>
      <c r="L3423" s="200"/>
      <c r="M3423" s="200"/>
      <c r="N3423" s="200"/>
      <c r="O3423" s="200"/>
      <c r="P3423" s="200"/>
    </row>
    <row r="3424" spans="3:20" s="517" customFormat="1" ht="31.2" customHeight="1">
      <c r="C3424" s="537">
        <v>2</v>
      </c>
      <c r="D3424" s="196" t="s">
        <v>6954</v>
      </c>
      <c r="E3424" s="202" t="s">
        <v>6</v>
      </c>
      <c r="F3424" s="520">
        <v>0.1</v>
      </c>
      <c r="G3424" s="205">
        <f>VLOOKUP(D3424,upahbahan,3,FALSE)</f>
        <v>181250</v>
      </c>
      <c r="H3424" s="210">
        <f t="shared" si="233"/>
        <v>18125</v>
      </c>
      <c r="L3424" s="200"/>
      <c r="M3424" s="200"/>
      <c r="N3424" s="200"/>
      <c r="O3424" s="200"/>
      <c r="P3424" s="200"/>
    </row>
    <row r="3425" spans="3:16" s="517" customFormat="1" ht="31.2" customHeight="1">
      <c r="C3425" s="537">
        <v>3</v>
      </c>
      <c r="D3425" s="196" t="s">
        <v>6948</v>
      </c>
      <c r="E3425" s="202" t="s">
        <v>2102</v>
      </c>
      <c r="F3425" s="520">
        <v>0.05</v>
      </c>
      <c r="G3425" s="205">
        <f>VLOOKUP(D3425,upahbahan,3,FALSE)</f>
        <v>218750</v>
      </c>
      <c r="H3425" s="210">
        <f t="shared" si="233"/>
        <v>10937.5</v>
      </c>
      <c r="L3425" s="200"/>
      <c r="M3425" s="200"/>
      <c r="N3425" s="200"/>
      <c r="O3425" s="200"/>
      <c r="P3425" s="200"/>
    </row>
    <row r="3426" spans="3:16" s="517" customFormat="1" ht="31.2" customHeight="1">
      <c r="C3426" s="537">
        <v>4</v>
      </c>
      <c r="D3426" s="196" t="s">
        <v>19</v>
      </c>
      <c r="E3426" s="202" t="s">
        <v>6</v>
      </c>
      <c r="F3426" s="520">
        <v>1.67E-2</v>
      </c>
      <c r="G3426" s="205">
        <f>VLOOKUP(D3426,upahbahan,3,FALSE)</f>
        <v>160000</v>
      </c>
      <c r="H3426" s="210">
        <f t="shared" si="233"/>
        <v>2672</v>
      </c>
      <c r="L3426" s="200"/>
      <c r="M3426" s="200"/>
      <c r="N3426" s="200"/>
      <c r="O3426" s="200"/>
      <c r="P3426" s="200"/>
    </row>
    <row r="3427" spans="3:16" s="517" customFormat="1" ht="31.2" customHeight="1">
      <c r="C3427" s="207" t="s">
        <v>1208</v>
      </c>
      <c r="D3427" s="208"/>
      <c r="E3427" s="208"/>
      <c r="F3427" s="521"/>
      <c r="G3427" s="522"/>
      <c r="H3427" s="210">
        <f>SUM(H3423:H3426)</f>
        <v>41734.5</v>
      </c>
      <c r="L3427" s="523"/>
      <c r="M3427" s="523"/>
      <c r="N3427" s="523"/>
      <c r="O3427" s="523"/>
      <c r="P3427" s="523"/>
    </row>
    <row r="3428" spans="3:16" s="517" customFormat="1" ht="31.2" customHeight="1">
      <c r="C3428" s="543" t="s">
        <v>1209</v>
      </c>
      <c r="D3428" s="750" t="s">
        <v>1210</v>
      </c>
      <c r="E3428" s="197"/>
      <c r="F3428" s="751"/>
      <c r="G3428" s="197"/>
      <c r="H3428" s="752"/>
      <c r="L3428" s="200"/>
      <c r="M3428" s="200"/>
      <c r="N3428" s="200"/>
      <c r="O3428" s="200"/>
      <c r="P3428" s="200"/>
    </row>
    <row r="3429" spans="3:16" s="517" customFormat="1" ht="31.2" customHeight="1">
      <c r="C3429" s="543">
        <v>1</v>
      </c>
      <c r="D3429" s="750" t="s">
        <v>7234</v>
      </c>
      <c r="E3429" s="203" t="s">
        <v>44</v>
      </c>
      <c r="F3429" s="753">
        <v>1.05</v>
      </c>
      <c r="G3429" s="205">
        <f>VLOOKUP(D3429,upahbahan,3,FALSE)</f>
        <v>0</v>
      </c>
      <c r="H3429" s="210">
        <f t="shared" ref="H3429:H3437" si="234">F3429*G3429</f>
        <v>0</v>
      </c>
      <c r="L3429" s="200"/>
      <c r="M3429" s="200"/>
      <c r="N3429" s="200"/>
      <c r="O3429" s="200"/>
      <c r="P3429" s="200"/>
    </row>
    <row r="3430" spans="3:16" s="517" customFormat="1" ht="31.2" customHeight="1">
      <c r="C3430" s="543">
        <v>2</v>
      </c>
      <c r="D3430" s="750" t="s">
        <v>5563</v>
      </c>
      <c r="E3430" s="203" t="s">
        <v>65</v>
      </c>
      <c r="F3430" s="753">
        <v>0.02</v>
      </c>
      <c r="G3430" s="205">
        <f>VLOOKUP(D3430,upahbahan,3,FALSE)</f>
        <v>0</v>
      </c>
      <c r="H3430" s="210">
        <f t="shared" si="234"/>
        <v>0</v>
      </c>
      <c r="L3430" s="200"/>
      <c r="M3430" s="200"/>
      <c r="N3430" s="200"/>
      <c r="O3430" s="200"/>
      <c r="P3430" s="200"/>
    </row>
    <row r="3431" spans="3:16" s="517" customFormat="1" ht="31.2" customHeight="1">
      <c r="C3431" s="543">
        <v>3</v>
      </c>
      <c r="D3431" s="750" t="s">
        <v>5555</v>
      </c>
      <c r="E3431" s="203"/>
      <c r="F3431" s="753"/>
      <c r="G3431" s="197"/>
      <c r="H3431" s="210">
        <f t="shared" si="234"/>
        <v>0</v>
      </c>
      <c r="L3431" s="200"/>
      <c r="M3431" s="200"/>
      <c r="N3431" s="200"/>
      <c r="O3431" s="200"/>
      <c r="P3431" s="200"/>
    </row>
    <row r="3432" spans="3:16" s="517" customFormat="1" ht="31.2" customHeight="1">
      <c r="C3432" s="754" t="s">
        <v>5293</v>
      </c>
      <c r="D3432" s="750" t="s">
        <v>7209</v>
      </c>
      <c r="E3432" s="203" t="s">
        <v>113</v>
      </c>
      <c r="F3432" s="760">
        <v>18</v>
      </c>
      <c r="G3432" s="205">
        <f>VLOOKUP(D3432,upahbahan,3,FALSE)</f>
        <v>0</v>
      </c>
      <c r="H3432" s="210">
        <f t="shared" si="234"/>
        <v>0</v>
      </c>
      <c r="L3432" s="200"/>
      <c r="M3432" s="200"/>
      <c r="N3432" s="200"/>
      <c r="O3432" s="200"/>
      <c r="P3432" s="200"/>
    </row>
    <row r="3433" spans="3:16" s="517" customFormat="1" ht="31.2" customHeight="1">
      <c r="C3433" s="754" t="s">
        <v>5299</v>
      </c>
      <c r="D3433" s="750" t="s">
        <v>7055</v>
      </c>
      <c r="E3433" s="203" t="s">
        <v>113</v>
      </c>
      <c r="F3433" s="760">
        <v>10</v>
      </c>
      <c r="G3433" s="205">
        <f>VLOOKUP(D3433,upahbahan,3,FALSE)</f>
        <v>0</v>
      </c>
      <c r="H3433" s="210">
        <f t="shared" si="234"/>
        <v>0</v>
      </c>
      <c r="L3433" s="200"/>
      <c r="M3433" s="200"/>
      <c r="N3433" s="200"/>
      <c r="O3433" s="200"/>
      <c r="P3433" s="200"/>
    </row>
    <row r="3434" spans="3:16" s="517" customFormat="1" ht="31.2" customHeight="1">
      <c r="C3434" s="543">
        <v>4</v>
      </c>
      <c r="D3434" s="750" t="s">
        <v>5556</v>
      </c>
      <c r="E3434" s="203"/>
      <c r="F3434" s="753"/>
      <c r="G3434" s="197"/>
      <c r="H3434" s="210">
        <f t="shared" si="234"/>
        <v>0</v>
      </c>
      <c r="L3434" s="200"/>
      <c r="M3434" s="200"/>
      <c r="N3434" s="200"/>
      <c r="O3434" s="200"/>
      <c r="P3434" s="200"/>
    </row>
    <row r="3435" spans="3:16" s="517" customFormat="1" ht="31.2" customHeight="1">
      <c r="C3435" s="754" t="s">
        <v>5293</v>
      </c>
      <c r="D3435" s="750" t="s">
        <v>2084</v>
      </c>
      <c r="E3435" s="203" t="s">
        <v>42</v>
      </c>
      <c r="F3435" s="753">
        <v>0.24399999999999999</v>
      </c>
      <c r="G3435" s="205">
        <f>VLOOKUP(D3435,upahbahan,3,FALSE)</f>
        <v>0</v>
      </c>
      <c r="H3435" s="210">
        <f t="shared" si="234"/>
        <v>0</v>
      </c>
      <c r="L3435" s="200"/>
      <c r="M3435" s="200"/>
      <c r="N3435" s="200"/>
      <c r="O3435" s="200"/>
      <c r="P3435" s="200"/>
    </row>
    <row r="3436" spans="3:16" s="517" customFormat="1" ht="31.2" customHeight="1">
      <c r="C3436" s="754" t="s">
        <v>5299</v>
      </c>
      <c r="D3436" s="750" t="s">
        <v>5566</v>
      </c>
      <c r="E3436" s="203" t="s">
        <v>42</v>
      </c>
      <c r="F3436" s="753">
        <v>6.5000000000000002E-2</v>
      </c>
      <c r="G3436" s="205">
        <f>VLOOKUP(D3436,upahbahan,3,FALSE)</f>
        <v>0</v>
      </c>
      <c r="H3436" s="210">
        <f t="shared" si="234"/>
        <v>0</v>
      </c>
      <c r="L3436" s="200"/>
      <c r="M3436" s="200"/>
      <c r="N3436" s="200"/>
      <c r="O3436" s="200"/>
      <c r="P3436" s="200"/>
    </row>
    <row r="3437" spans="3:16" s="517" customFormat="1" ht="31.2" customHeight="1">
      <c r="C3437" s="754" t="s">
        <v>5558</v>
      </c>
      <c r="D3437" s="750" t="s">
        <v>2325</v>
      </c>
      <c r="E3437" s="203" t="s">
        <v>42</v>
      </c>
      <c r="F3437" s="762">
        <v>1.6E-2</v>
      </c>
      <c r="G3437" s="205">
        <f>VLOOKUP(D3437,upahbahan,3,FALSE)</f>
        <v>0</v>
      </c>
      <c r="H3437" s="210">
        <f t="shared" si="234"/>
        <v>0</v>
      </c>
      <c r="L3437" s="200"/>
      <c r="M3437" s="200"/>
      <c r="N3437" s="200"/>
      <c r="O3437" s="200"/>
      <c r="P3437" s="200"/>
    </row>
    <row r="3438" spans="3:16" s="517" customFormat="1" ht="31.2" customHeight="1">
      <c r="C3438" s="207" t="s">
        <v>1214</v>
      </c>
      <c r="D3438" s="208"/>
      <c r="E3438" s="568"/>
      <c r="F3438" s="208"/>
      <c r="G3438" s="209"/>
      <c r="H3438" s="210">
        <f>SUM(H3429:H3437)</f>
        <v>0</v>
      </c>
      <c r="L3438" s="200"/>
      <c r="M3438" s="200"/>
      <c r="N3438" s="200"/>
      <c r="O3438" s="200"/>
      <c r="P3438" s="200"/>
    </row>
    <row r="3439" spans="3:16" s="517" customFormat="1" ht="31.2" customHeight="1">
      <c r="C3439" s="756" t="s">
        <v>1215</v>
      </c>
      <c r="D3439" s="196" t="s">
        <v>1216</v>
      </c>
      <c r="E3439" s="203"/>
      <c r="F3439" s="197"/>
      <c r="G3439" s="197"/>
      <c r="H3439" s="198"/>
      <c r="L3439" s="200"/>
      <c r="M3439" s="200"/>
      <c r="N3439" s="200"/>
      <c r="O3439" s="200"/>
      <c r="P3439" s="200"/>
    </row>
    <row r="3440" spans="3:16" s="517" customFormat="1" ht="31.2" customHeight="1">
      <c r="C3440" s="543">
        <v>1</v>
      </c>
      <c r="D3440" s="750" t="s">
        <v>7189</v>
      </c>
      <c r="E3440" s="203" t="s">
        <v>42</v>
      </c>
      <c r="F3440" s="762">
        <v>0.7</v>
      </c>
      <c r="G3440" s="205">
        <f>VLOOKUP(D3440,upahbahan,3,FALSE)</f>
        <v>430000</v>
      </c>
      <c r="H3440" s="210">
        <f>F3440*G3440</f>
        <v>301000</v>
      </c>
      <c r="L3440" s="200"/>
      <c r="M3440" s="200"/>
      <c r="N3440" s="200"/>
      <c r="O3440" s="200"/>
      <c r="P3440" s="200"/>
    </row>
    <row r="3441" spans="3:20" s="517" customFormat="1" ht="31.2" customHeight="1">
      <c r="C3441" s="207" t="s">
        <v>1217</v>
      </c>
      <c r="D3441" s="208"/>
      <c r="E3441" s="208"/>
      <c r="F3441" s="208"/>
      <c r="G3441" s="209"/>
      <c r="H3441" s="240">
        <f>SUM(H3439:H3440)</f>
        <v>301000</v>
      </c>
      <c r="L3441" s="200"/>
      <c r="M3441" s="200"/>
      <c r="N3441" s="200"/>
      <c r="O3441" s="200"/>
      <c r="P3441" s="200"/>
    </row>
    <row r="3442" spans="3:20" s="517" customFormat="1" ht="31.2" customHeight="1">
      <c r="C3442" s="223" t="s">
        <v>1218</v>
      </c>
      <c r="D3442" s="224" t="s">
        <v>1219</v>
      </c>
      <c r="E3442" s="225"/>
      <c r="F3442" s="225"/>
      <c r="G3442" s="226"/>
      <c r="H3442" s="210">
        <f>H3441+H3438+H3427</f>
        <v>342734.5</v>
      </c>
      <c r="L3442" s="200"/>
      <c r="M3442" s="200"/>
      <c r="N3442" s="200"/>
      <c r="O3442" s="200"/>
      <c r="P3442" s="200"/>
    </row>
    <row r="3443" spans="3:20" s="517" customFormat="1" ht="31.2" customHeight="1">
      <c r="C3443" s="223" t="s">
        <v>1220</v>
      </c>
      <c r="D3443" s="224" t="s">
        <v>1321</v>
      </c>
      <c r="E3443" s="225"/>
      <c r="F3443" s="226"/>
      <c r="G3443" s="228">
        <v>0.1</v>
      </c>
      <c r="H3443" s="210">
        <f>H3442*G3443</f>
        <v>34273.450000000004</v>
      </c>
      <c r="L3443" s="200"/>
      <c r="M3443" s="200"/>
      <c r="N3443" s="200"/>
      <c r="O3443" s="200"/>
      <c r="P3443" s="200"/>
    </row>
    <row r="3444" spans="3:20" s="517" customFormat="1" ht="31.2" customHeight="1" thickBot="1">
      <c r="C3444" s="229" t="s">
        <v>1221</v>
      </c>
      <c r="D3444" s="230" t="s">
        <v>1222</v>
      </c>
      <c r="E3444" s="231"/>
      <c r="F3444" s="231"/>
      <c r="G3444" s="232"/>
      <c r="H3444" s="233">
        <f>SUM(H3442:H3443)</f>
        <v>377007.95</v>
      </c>
      <c r="L3444" s="200"/>
      <c r="M3444" s="200"/>
      <c r="N3444" s="200"/>
      <c r="O3444" s="200"/>
      <c r="P3444" s="200"/>
    </row>
    <row r="3445" spans="3:20" ht="31.2" customHeight="1" thickTop="1">
      <c r="D3445" s="758" t="s">
        <v>7210</v>
      </c>
    </row>
    <row r="3446" spans="3:20" ht="31.2" customHeight="1">
      <c r="C3446" s="757" t="s">
        <v>6950</v>
      </c>
      <c r="F3446" s="758"/>
      <c r="H3446" s="758" t="s">
        <v>6959</v>
      </c>
    </row>
    <row r="3447" spans="3:20" ht="31.2" customHeight="1">
      <c r="C3447" s="200" t="s">
        <v>6951</v>
      </c>
      <c r="F3447" s="758"/>
    </row>
    <row r="3448" spans="3:20" ht="31.2" customHeight="1">
      <c r="C3448" s="200" t="s">
        <v>6952</v>
      </c>
      <c r="F3448" s="758"/>
    </row>
    <row r="3449" spans="3:20" ht="31.2" customHeight="1">
      <c r="C3449" s="200"/>
      <c r="F3449" s="758"/>
    </row>
    <row r="3450" spans="3:20" s="517" customFormat="1" ht="31.2" customHeight="1" thickBot="1">
      <c r="C3450" s="513" t="s">
        <v>7235</v>
      </c>
      <c r="D3450" s="748" t="s">
        <v>7236</v>
      </c>
      <c r="E3450" s="749"/>
      <c r="F3450" s="748"/>
      <c r="G3450" s="748"/>
      <c r="H3450" s="532"/>
      <c r="I3450" s="532"/>
      <c r="J3450" s="532"/>
      <c r="K3450" s="532"/>
      <c r="M3450" s="189"/>
      <c r="N3450" s="189"/>
      <c r="O3450" s="189"/>
      <c r="P3450" s="189"/>
      <c r="R3450" s="189">
        <f>ROUNDDOWN(H3474,-2)</f>
        <v>377000</v>
      </c>
      <c r="S3450" s="517" t="s">
        <v>6451</v>
      </c>
      <c r="T3450" s="517" t="s">
        <v>7014</v>
      </c>
    </row>
    <row r="3451" spans="3:20" s="517" customFormat="1" ht="31.2" customHeight="1" thickTop="1">
      <c r="C3451" s="190" t="s">
        <v>1195</v>
      </c>
      <c r="D3451" s="191" t="s">
        <v>1196</v>
      </c>
      <c r="E3451" s="191" t="s">
        <v>1197</v>
      </c>
      <c r="F3451" s="191" t="s">
        <v>1198</v>
      </c>
      <c r="G3451" s="191" t="s">
        <v>1199</v>
      </c>
      <c r="H3451" s="192" t="s">
        <v>1200</v>
      </c>
      <c r="L3451" s="200"/>
      <c r="M3451" s="200"/>
      <c r="N3451" s="200"/>
      <c r="O3451" s="200"/>
      <c r="P3451" s="200"/>
    </row>
    <row r="3452" spans="3:20" s="517" customFormat="1" ht="31.2" customHeight="1">
      <c r="C3452" s="518" t="s">
        <v>1201</v>
      </c>
      <c r="D3452" s="196" t="s">
        <v>1202</v>
      </c>
      <c r="E3452" s="197"/>
      <c r="F3452" s="197"/>
      <c r="G3452" s="197"/>
      <c r="H3452" s="198"/>
      <c r="L3452" s="200"/>
      <c r="M3452" s="200"/>
      <c r="N3452" s="200"/>
      <c r="O3452" s="200"/>
      <c r="P3452" s="200"/>
    </row>
    <row r="3453" spans="3:20" s="517" customFormat="1" ht="31.2" customHeight="1">
      <c r="C3453" s="518">
        <v>1</v>
      </c>
      <c r="D3453" s="196" t="s">
        <v>5</v>
      </c>
      <c r="E3453" s="203" t="s">
        <v>2102</v>
      </c>
      <c r="F3453" s="525">
        <v>0.1</v>
      </c>
      <c r="G3453" s="205">
        <f>VLOOKUP(D3453,upahbahan,3,FALSE)</f>
        <v>100000</v>
      </c>
      <c r="H3453" s="210">
        <f t="shared" ref="H3453:H3456" si="235">F3453*G3453</f>
        <v>10000</v>
      </c>
      <c r="L3453" s="200"/>
      <c r="M3453" s="200"/>
      <c r="N3453" s="200"/>
      <c r="O3453" s="200"/>
      <c r="P3453" s="200"/>
    </row>
    <row r="3454" spans="3:20" s="517" customFormat="1" ht="31.2" customHeight="1">
      <c r="C3454" s="537">
        <v>2</v>
      </c>
      <c r="D3454" s="196" t="s">
        <v>6954</v>
      </c>
      <c r="E3454" s="202" t="s">
        <v>6</v>
      </c>
      <c r="F3454" s="520">
        <v>0.1</v>
      </c>
      <c r="G3454" s="205">
        <f>VLOOKUP(D3454,upahbahan,3,FALSE)</f>
        <v>181250</v>
      </c>
      <c r="H3454" s="210">
        <f t="shared" si="235"/>
        <v>18125</v>
      </c>
      <c r="L3454" s="200"/>
      <c r="M3454" s="200"/>
      <c r="N3454" s="200"/>
      <c r="O3454" s="200"/>
      <c r="P3454" s="200"/>
    </row>
    <row r="3455" spans="3:20" s="517" customFormat="1" ht="31.2" customHeight="1">
      <c r="C3455" s="537">
        <v>3</v>
      </c>
      <c r="D3455" s="196" t="s">
        <v>6948</v>
      </c>
      <c r="E3455" s="202" t="s">
        <v>2102</v>
      </c>
      <c r="F3455" s="520">
        <v>0.05</v>
      </c>
      <c r="G3455" s="205">
        <f>VLOOKUP(D3455,upahbahan,3,FALSE)</f>
        <v>218750</v>
      </c>
      <c r="H3455" s="210">
        <f t="shared" si="235"/>
        <v>10937.5</v>
      </c>
      <c r="L3455" s="200"/>
      <c r="M3455" s="200"/>
      <c r="N3455" s="200"/>
      <c r="O3455" s="200"/>
      <c r="P3455" s="200"/>
    </row>
    <row r="3456" spans="3:20" s="517" customFormat="1" ht="31.2" customHeight="1">
      <c r="C3456" s="537">
        <v>4</v>
      </c>
      <c r="D3456" s="196" t="s">
        <v>19</v>
      </c>
      <c r="E3456" s="202" t="s">
        <v>6</v>
      </c>
      <c r="F3456" s="520">
        <v>1.67E-2</v>
      </c>
      <c r="G3456" s="205">
        <f>VLOOKUP(D3456,upahbahan,3,FALSE)</f>
        <v>160000</v>
      </c>
      <c r="H3456" s="210">
        <f t="shared" si="235"/>
        <v>2672</v>
      </c>
      <c r="L3456" s="200"/>
      <c r="M3456" s="200"/>
      <c r="N3456" s="200"/>
      <c r="O3456" s="200"/>
      <c r="P3456" s="200"/>
    </row>
    <row r="3457" spans="3:16" s="517" customFormat="1" ht="31.2" customHeight="1">
      <c r="C3457" s="207" t="s">
        <v>1208</v>
      </c>
      <c r="D3457" s="208"/>
      <c r="E3457" s="208"/>
      <c r="F3457" s="521"/>
      <c r="G3457" s="522"/>
      <c r="H3457" s="210">
        <f>SUM(H3453:H3456)</f>
        <v>41734.5</v>
      </c>
      <c r="L3457" s="523"/>
      <c r="M3457" s="523"/>
      <c r="N3457" s="523"/>
      <c r="O3457" s="523"/>
      <c r="P3457" s="523"/>
    </row>
    <row r="3458" spans="3:16" s="517" customFormat="1" ht="31.2" customHeight="1">
      <c r="C3458" s="543" t="s">
        <v>1209</v>
      </c>
      <c r="D3458" s="750" t="s">
        <v>1210</v>
      </c>
      <c r="E3458" s="197"/>
      <c r="F3458" s="751"/>
      <c r="G3458" s="197"/>
      <c r="H3458" s="752"/>
      <c r="L3458" s="200"/>
      <c r="M3458" s="200"/>
      <c r="N3458" s="200"/>
      <c r="O3458" s="200"/>
      <c r="P3458" s="200"/>
    </row>
    <row r="3459" spans="3:16" s="517" customFormat="1" ht="31.2" customHeight="1">
      <c r="C3459" s="543">
        <v>1</v>
      </c>
      <c r="D3459" s="750" t="s">
        <v>7237</v>
      </c>
      <c r="E3459" s="203" t="s">
        <v>44</v>
      </c>
      <c r="F3459" s="753">
        <v>1.05</v>
      </c>
      <c r="G3459" s="205">
        <f>VLOOKUP(D3459,upahbahan,3,FALSE)</f>
        <v>0</v>
      </c>
      <c r="H3459" s="210">
        <f t="shared" ref="H3459:H3467" si="236">F3459*G3459</f>
        <v>0</v>
      </c>
      <c r="L3459" s="200"/>
      <c r="M3459" s="200"/>
      <c r="N3459" s="200"/>
      <c r="O3459" s="200"/>
      <c r="P3459" s="200"/>
    </row>
    <row r="3460" spans="3:16" s="517" customFormat="1" ht="31.2" customHeight="1">
      <c r="C3460" s="543">
        <v>2</v>
      </c>
      <c r="D3460" s="750" t="s">
        <v>5563</v>
      </c>
      <c r="E3460" s="203" t="s">
        <v>65</v>
      </c>
      <c r="F3460" s="753">
        <v>0.02</v>
      </c>
      <c r="G3460" s="205">
        <f>VLOOKUP(D3460,upahbahan,3,FALSE)</f>
        <v>0</v>
      </c>
      <c r="H3460" s="210">
        <f t="shared" si="236"/>
        <v>0</v>
      </c>
      <c r="L3460" s="200"/>
      <c r="M3460" s="200"/>
      <c r="N3460" s="200"/>
      <c r="O3460" s="200"/>
      <c r="P3460" s="200"/>
    </row>
    <row r="3461" spans="3:16" s="517" customFormat="1" ht="31.2" customHeight="1">
      <c r="C3461" s="543">
        <v>3</v>
      </c>
      <c r="D3461" s="750" t="s">
        <v>5555</v>
      </c>
      <c r="E3461" s="203"/>
      <c r="F3461" s="753"/>
      <c r="G3461" s="197"/>
      <c r="H3461" s="210">
        <f t="shared" si="236"/>
        <v>0</v>
      </c>
      <c r="L3461" s="200"/>
      <c r="M3461" s="200"/>
      <c r="N3461" s="200"/>
      <c r="O3461" s="200"/>
      <c r="P3461" s="200"/>
    </row>
    <row r="3462" spans="3:16" s="517" customFormat="1" ht="31.2" customHeight="1">
      <c r="C3462" s="754" t="s">
        <v>5293</v>
      </c>
      <c r="D3462" s="750" t="s">
        <v>7209</v>
      </c>
      <c r="E3462" s="203" t="s">
        <v>113</v>
      </c>
      <c r="F3462" s="760">
        <v>18</v>
      </c>
      <c r="G3462" s="205">
        <f>VLOOKUP(D3462,upahbahan,3,FALSE)</f>
        <v>0</v>
      </c>
      <c r="H3462" s="210">
        <f t="shared" si="236"/>
        <v>0</v>
      </c>
      <c r="L3462" s="200"/>
      <c r="M3462" s="200"/>
      <c r="N3462" s="200"/>
      <c r="O3462" s="200"/>
      <c r="P3462" s="200"/>
    </row>
    <row r="3463" spans="3:16" s="517" customFormat="1" ht="31.2" customHeight="1">
      <c r="C3463" s="754" t="s">
        <v>5299</v>
      </c>
      <c r="D3463" s="750" t="s">
        <v>7055</v>
      </c>
      <c r="E3463" s="203" t="s">
        <v>113</v>
      </c>
      <c r="F3463" s="760">
        <v>10</v>
      </c>
      <c r="G3463" s="205">
        <f>VLOOKUP(D3463,upahbahan,3,FALSE)</f>
        <v>0</v>
      </c>
      <c r="H3463" s="210">
        <f t="shared" si="236"/>
        <v>0</v>
      </c>
      <c r="L3463" s="200"/>
      <c r="M3463" s="200"/>
      <c r="N3463" s="200"/>
      <c r="O3463" s="200"/>
      <c r="P3463" s="200"/>
    </row>
    <row r="3464" spans="3:16" s="517" customFormat="1" ht="31.2" customHeight="1">
      <c r="C3464" s="543">
        <v>4</v>
      </c>
      <c r="D3464" s="750" t="s">
        <v>5556</v>
      </c>
      <c r="E3464" s="203"/>
      <c r="F3464" s="753"/>
      <c r="G3464" s="197"/>
      <c r="H3464" s="210">
        <f t="shared" si="236"/>
        <v>0</v>
      </c>
      <c r="L3464" s="200"/>
      <c r="M3464" s="200"/>
      <c r="N3464" s="200"/>
      <c r="O3464" s="200"/>
      <c r="P3464" s="200"/>
    </row>
    <row r="3465" spans="3:16" s="517" customFormat="1" ht="31.2" customHeight="1">
      <c r="C3465" s="754" t="s">
        <v>5293</v>
      </c>
      <c r="D3465" s="750" t="s">
        <v>2084</v>
      </c>
      <c r="E3465" s="203" t="s">
        <v>42</v>
      </c>
      <c r="F3465" s="753">
        <v>0.24399999999999999</v>
      </c>
      <c r="G3465" s="205">
        <f>VLOOKUP(D3465,upahbahan,3,FALSE)</f>
        <v>0</v>
      </c>
      <c r="H3465" s="210">
        <f t="shared" si="236"/>
        <v>0</v>
      </c>
      <c r="L3465" s="200"/>
      <c r="M3465" s="200"/>
      <c r="N3465" s="200"/>
      <c r="O3465" s="200"/>
      <c r="P3465" s="200"/>
    </row>
    <row r="3466" spans="3:16" s="517" customFormat="1" ht="31.2" customHeight="1">
      <c r="C3466" s="754" t="s">
        <v>5299</v>
      </c>
      <c r="D3466" s="750" t="s">
        <v>5566</v>
      </c>
      <c r="E3466" s="203" t="s">
        <v>42</v>
      </c>
      <c r="F3466" s="753">
        <v>6.5000000000000002E-2</v>
      </c>
      <c r="G3466" s="205">
        <f>VLOOKUP(D3466,upahbahan,3,FALSE)</f>
        <v>0</v>
      </c>
      <c r="H3466" s="210">
        <f t="shared" si="236"/>
        <v>0</v>
      </c>
      <c r="L3466" s="200"/>
      <c r="M3466" s="200"/>
      <c r="N3466" s="200"/>
      <c r="O3466" s="200"/>
      <c r="P3466" s="200"/>
    </row>
    <row r="3467" spans="3:16" s="517" customFormat="1" ht="31.2" customHeight="1">
      <c r="C3467" s="754" t="s">
        <v>5558</v>
      </c>
      <c r="D3467" s="750" t="s">
        <v>2325</v>
      </c>
      <c r="E3467" s="203" t="s">
        <v>42</v>
      </c>
      <c r="F3467" s="762">
        <v>1.6E-2</v>
      </c>
      <c r="G3467" s="205">
        <f>VLOOKUP(D3467,upahbahan,3,FALSE)</f>
        <v>0</v>
      </c>
      <c r="H3467" s="210">
        <f t="shared" si="236"/>
        <v>0</v>
      </c>
      <c r="L3467" s="200"/>
      <c r="M3467" s="200"/>
      <c r="N3467" s="200"/>
      <c r="O3467" s="200"/>
      <c r="P3467" s="200"/>
    </row>
    <row r="3468" spans="3:16" s="517" customFormat="1" ht="31.2" customHeight="1">
      <c r="C3468" s="207" t="s">
        <v>1214</v>
      </c>
      <c r="D3468" s="208"/>
      <c r="E3468" s="568"/>
      <c r="F3468" s="208"/>
      <c r="G3468" s="209"/>
      <c r="H3468" s="210">
        <f>SUM(H3459:H3467)</f>
        <v>0</v>
      </c>
      <c r="L3468" s="200"/>
      <c r="M3468" s="200"/>
      <c r="N3468" s="200"/>
      <c r="O3468" s="200"/>
      <c r="P3468" s="200"/>
    </row>
    <row r="3469" spans="3:16" s="517" customFormat="1" ht="31.2" customHeight="1">
      <c r="C3469" s="756" t="s">
        <v>1215</v>
      </c>
      <c r="D3469" s="196" t="s">
        <v>1216</v>
      </c>
      <c r="E3469" s="203"/>
      <c r="F3469" s="197"/>
      <c r="G3469" s="197"/>
      <c r="H3469" s="198"/>
      <c r="L3469" s="200"/>
      <c r="M3469" s="200"/>
      <c r="N3469" s="200"/>
      <c r="O3469" s="200"/>
      <c r="P3469" s="200"/>
    </row>
    <row r="3470" spans="3:16" s="517" customFormat="1" ht="31.2" customHeight="1">
      <c r="C3470" s="543">
        <v>1</v>
      </c>
      <c r="D3470" s="750" t="s">
        <v>7189</v>
      </c>
      <c r="E3470" s="203" t="s">
        <v>42</v>
      </c>
      <c r="F3470" s="762">
        <v>0.7</v>
      </c>
      <c r="G3470" s="205">
        <f>VLOOKUP(D3470,upahbahan,3,FALSE)</f>
        <v>430000</v>
      </c>
      <c r="H3470" s="210">
        <f>F3470*G3470</f>
        <v>301000</v>
      </c>
      <c r="L3470" s="200"/>
      <c r="M3470" s="200"/>
      <c r="N3470" s="200"/>
      <c r="O3470" s="200"/>
      <c r="P3470" s="200"/>
    </row>
    <row r="3471" spans="3:16" s="517" customFormat="1" ht="31.2" customHeight="1">
      <c r="C3471" s="207" t="s">
        <v>1217</v>
      </c>
      <c r="D3471" s="208"/>
      <c r="E3471" s="208"/>
      <c r="F3471" s="208"/>
      <c r="G3471" s="209"/>
      <c r="H3471" s="240">
        <f>SUM(H3469:H3470)</f>
        <v>301000</v>
      </c>
      <c r="L3471" s="200"/>
      <c r="M3471" s="200"/>
      <c r="N3471" s="200"/>
      <c r="O3471" s="200"/>
      <c r="P3471" s="200"/>
    </row>
    <row r="3472" spans="3:16" s="517" customFormat="1" ht="31.2" customHeight="1">
      <c r="C3472" s="223" t="s">
        <v>1218</v>
      </c>
      <c r="D3472" s="224" t="s">
        <v>1219</v>
      </c>
      <c r="E3472" s="225"/>
      <c r="F3472" s="225"/>
      <c r="G3472" s="226"/>
      <c r="H3472" s="210">
        <f>H3471+H3468+H3457</f>
        <v>342734.5</v>
      </c>
      <c r="L3472" s="200"/>
      <c r="M3472" s="200"/>
      <c r="N3472" s="200"/>
      <c r="O3472" s="200"/>
      <c r="P3472" s="200"/>
    </row>
    <row r="3473" spans="3:20" s="517" customFormat="1" ht="31.2" customHeight="1">
      <c r="C3473" s="223" t="s">
        <v>1220</v>
      </c>
      <c r="D3473" s="224" t="s">
        <v>1321</v>
      </c>
      <c r="E3473" s="225"/>
      <c r="F3473" s="226"/>
      <c r="G3473" s="228">
        <v>0.1</v>
      </c>
      <c r="H3473" s="210">
        <f>H3472*G3473</f>
        <v>34273.450000000004</v>
      </c>
      <c r="L3473" s="200"/>
      <c r="M3473" s="200"/>
      <c r="N3473" s="200"/>
      <c r="O3473" s="200"/>
      <c r="P3473" s="200"/>
    </row>
    <row r="3474" spans="3:20" s="517" customFormat="1" ht="31.2" customHeight="1" thickBot="1">
      <c r="C3474" s="229" t="s">
        <v>1221</v>
      </c>
      <c r="D3474" s="230" t="s">
        <v>1222</v>
      </c>
      <c r="E3474" s="231"/>
      <c r="F3474" s="231"/>
      <c r="G3474" s="232"/>
      <c r="H3474" s="233">
        <f>SUM(H3472:H3473)</f>
        <v>377007.95</v>
      </c>
      <c r="L3474" s="200"/>
      <c r="M3474" s="200"/>
      <c r="N3474" s="200"/>
      <c r="O3474" s="200"/>
      <c r="P3474" s="200"/>
    </row>
    <row r="3475" spans="3:20" ht="31.2" customHeight="1" thickTop="1">
      <c r="D3475" s="758" t="s">
        <v>7210</v>
      </c>
    </row>
    <row r="3476" spans="3:20" ht="31.2" customHeight="1">
      <c r="C3476" s="757" t="s">
        <v>6950</v>
      </c>
      <c r="F3476" s="758"/>
      <c r="H3476" s="758" t="s">
        <v>6959</v>
      </c>
    </row>
    <row r="3477" spans="3:20" ht="31.2" customHeight="1">
      <c r="C3477" s="200" t="s">
        <v>6951</v>
      </c>
      <c r="F3477" s="758"/>
    </row>
    <row r="3478" spans="3:20" ht="31.2" customHeight="1">
      <c r="C3478" s="200" t="s">
        <v>6952</v>
      </c>
      <c r="F3478" s="758"/>
    </row>
    <row r="3479" spans="3:20" ht="31.2" customHeight="1">
      <c r="C3479" s="200"/>
      <c r="F3479" s="758"/>
    </row>
    <row r="3480" spans="3:20" s="517" customFormat="1" ht="31.2" customHeight="1" thickBot="1">
      <c r="C3480" s="513" t="s">
        <v>7238</v>
      </c>
      <c r="D3480" s="748" t="s">
        <v>7239</v>
      </c>
      <c r="E3480" s="749"/>
      <c r="F3480" s="748"/>
      <c r="G3480" s="748"/>
      <c r="H3480" s="532"/>
      <c r="I3480" s="532"/>
      <c r="J3480" s="532"/>
      <c r="K3480" s="532"/>
      <c r="M3480" s="189"/>
      <c r="N3480" s="189"/>
      <c r="O3480" s="189"/>
      <c r="P3480" s="189"/>
      <c r="R3480" s="189">
        <f>ROUNDDOWN(H3504,-2)</f>
        <v>377000</v>
      </c>
      <c r="S3480" s="517" t="s">
        <v>6451</v>
      </c>
      <c r="T3480" s="517" t="s">
        <v>7014</v>
      </c>
    </row>
    <row r="3481" spans="3:20" s="517" customFormat="1" ht="31.2" customHeight="1" thickTop="1">
      <c r="C3481" s="190" t="s">
        <v>1195</v>
      </c>
      <c r="D3481" s="191" t="s">
        <v>1196</v>
      </c>
      <c r="E3481" s="191" t="s">
        <v>1197</v>
      </c>
      <c r="F3481" s="191" t="s">
        <v>1198</v>
      </c>
      <c r="G3481" s="191" t="s">
        <v>1199</v>
      </c>
      <c r="H3481" s="192" t="s">
        <v>1200</v>
      </c>
      <c r="L3481" s="200"/>
      <c r="M3481" s="200"/>
      <c r="N3481" s="200"/>
      <c r="O3481" s="200"/>
      <c r="P3481" s="200"/>
    </row>
    <row r="3482" spans="3:20" s="517" customFormat="1" ht="31.2" customHeight="1">
      <c r="C3482" s="518" t="s">
        <v>1201</v>
      </c>
      <c r="D3482" s="196" t="s">
        <v>1202</v>
      </c>
      <c r="E3482" s="197"/>
      <c r="F3482" s="197"/>
      <c r="G3482" s="197"/>
      <c r="H3482" s="198"/>
      <c r="L3482" s="200"/>
      <c r="M3482" s="200"/>
      <c r="N3482" s="200"/>
      <c r="O3482" s="200"/>
      <c r="P3482" s="200"/>
    </row>
    <row r="3483" spans="3:20" s="517" customFormat="1" ht="31.2" customHeight="1">
      <c r="C3483" s="518">
        <v>1</v>
      </c>
      <c r="D3483" s="196" t="s">
        <v>5</v>
      </c>
      <c r="E3483" s="203" t="s">
        <v>2102</v>
      </c>
      <c r="F3483" s="525">
        <v>0.1</v>
      </c>
      <c r="G3483" s="205">
        <f>VLOOKUP(D3483,upahbahan,3,FALSE)</f>
        <v>100000</v>
      </c>
      <c r="H3483" s="210">
        <f t="shared" ref="H3483:H3486" si="237">F3483*G3483</f>
        <v>10000</v>
      </c>
      <c r="L3483" s="200"/>
      <c r="M3483" s="200"/>
      <c r="N3483" s="200"/>
      <c r="O3483" s="200"/>
      <c r="P3483" s="200"/>
    </row>
    <row r="3484" spans="3:20" s="517" customFormat="1" ht="31.2" customHeight="1">
      <c r="C3484" s="537">
        <v>2</v>
      </c>
      <c r="D3484" s="196" t="s">
        <v>6954</v>
      </c>
      <c r="E3484" s="202" t="s">
        <v>6</v>
      </c>
      <c r="F3484" s="520">
        <v>0.1</v>
      </c>
      <c r="G3484" s="205">
        <f>VLOOKUP(D3484,upahbahan,3,FALSE)</f>
        <v>181250</v>
      </c>
      <c r="H3484" s="210">
        <f t="shared" si="237"/>
        <v>18125</v>
      </c>
      <c r="L3484" s="200"/>
      <c r="M3484" s="200"/>
      <c r="N3484" s="200"/>
      <c r="O3484" s="200"/>
      <c r="P3484" s="200"/>
    </row>
    <row r="3485" spans="3:20" s="517" customFormat="1" ht="31.2" customHeight="1">
      <c r="C3485" s="537">
        <v>3</v>
      </c>
      <c r="D3485" s="196" t="s">
        <v>6948</v>
      </c>
      <c r="E3485" s="202" t="s">
        <v>2102</v>
      </c>
      <c r="F3485" s="520">
        <v>0.05</v>
      </c>
      <c r="G3485" s="205">
        <f>VLOOKUP(D3485,upahbahan,3,FALSE)</f>
        <v>218750</v>
      </c>
      <c r="H3485" s="210">
        <f t="shared" si="237"/>
        <v>10937.5</v>
      </c>
      <c r="L3485" s="200"/>
      <c r="M3485" s="200"/>
      <c r="N3485" s="200"/>
      <c r="O3485" s="200"/>
      <c r="P3485" s="200"/>
    </row>
    <row r="3486" spans="3:20" s="517" customFormat="1" ht="31.2" customHeight="1">
      <c r="C3486" s="537">
        <v>4</v>
      </c>
      <c r="D3486" s="196" t="s">
        <v>19</v>
      </c>
      <c r="E3486" s="202" t="s">
        <v>6</v>
      </c>
      <c r="F3486" s="520">
        <v>1.67E-2</v>
      </c>
      <c r="G3486" s="205">
        <f>VLOOKUP(D3486,upahbahan,3,FALSE)</f>
        <v>160000</v>
      </c>
      <c r="H3486" s="210">
        <f t="shared" si="237"/>
        <v>2672</v>
      </c>
      <c r="L3486" s="200"/>
      <c r="M3486" s="200"/>
      <c r="N3486" s="200"/>
      <c r="O3486" s="200"/>
      <c r="P3486" s="200"/>
    </row>
    <row r="3487" spans="3:20" s="517" customFormat="1" ht="31.2" customHeight="1">
      <c r="C3487" s="207" t="s">
        <v>1208</v>
      </c>
      <c r="D3487" s="208"/>
      <c r="E3487" s="208"/>
      <c r="F3487" s="521"/>
      <c r="G3487" s="522"/>
      <c r="H3487" s="210">
        <f>SUM(H3483:H3486)</f>
        <v>41734.5</v>
      </c>
      <c r="L3487" s="523"/>
      <c r="M3487" s="523"/>
      <c r="N3487" s="523"/>
      <c r="O3487" s="523"/>
      <c r="P3487" s="523"/>
    </row>
    <row r="3488" spans="3:20" s="517" customFormat="1" ht="31.2" customHeight="1">
      <c r="C3488" s="543" t="s">
        <v>1209</v>
      </c>
      <c r="D3488" s="750" t="s">
        <v>1210</v>
      </c>
      <c r="E3488" s="197"/>
      <c r="F3488" s="751"/>
      <c r="G3488" s="197"/>
      <c r="H3488" s="752"/>
      <c r="L3488" s="200"/>
      <c r="M3488" s="200"/>
      <c r="N3488" s="200"/>
      <c r="O3488" s="200"/>
      <c r="P3488" s="200"/>
    </row>
    <row r="3489" spans="3:16" s="517" customFormat="1" ht="31.2" customHeight="1">
      <c r="C3489" s="543">
        <v>1</v>
      </c>
      <c r="D3489" s="750" t="s">
        <v>7240</v>
      </c>
      <c r="E3489" s="203" t="s">
        <v>44</v>
      </c>
      <c r="F3489" s="753">
        <v>1.05</v>
      </c>
      <c r="G3489" s="205">
        <f>VLOOKUP(D3489,upahbahan,3,FALSE)</f>
        <v>0</v>
      </c>
      <c r="H3489" s="210">
        <f t="shared" ref="H3489:H3497" si="238">F3489*G3489</f>
        <v>0</v>
      </c>
      <c r="L3489" s="200"/>
      <c r="M3489" s="200"/>
      <c r="N3489" s="200"/>
      <c r="O3489" s="200"/>
      <c r="P3489" s="200"/>
    </row>
    <row r="3490" spans="3:16" s="517" customFormat="1" ht="31.2" customHeight="1">
      <c r="C3490" s="543">
        <v>2</v>
      </c>
      <c r="D3490" s="750" t="s">
        <v>5563</v>
      </c>
      <c r="E3490" s="203" t="s">
        <v>65</v>
      </c>
      <c r="F3490" s="753">
        <v>0.02</v>
      </c>
      <c r="G3490" s="205">
        <f>VLOOKUP(D3490,upahbahan,3,FALSE)</f>
        <v>0</v>
      </c>
      <c r="H3490" s="210">
        <f t="shared" si="238"/>
        <v>0</v>
      </c>
      <c r="L3490" s="200"/>
      <c r="M3490" s="200"/>
      <c r="N3490" s="200"/>
      <c r="O3490" s="200"/>
      <c r="P3490" s="200"/>
    </row>
    <row r="3491" spans="3:16" s="517" customFormat="1" ht="31.2" customHeight="1">
      <c r="C3491" s="543">
        <v>3</v>
      </c>
      <c r="D3491" s="750" t="s">
        <v>5555</v>
      </c>
      <c r="E3491" s="203"/>
      <c r="F3491" s="753"/>
      <c r="G3491" s="197"/>
      <c r="H3491" s="210">
        <f t="shared" si="238"/>
        <v>0</v>
      </c>
      <c r="L3491" s="200"/>
      <c r="M3491" s="200"/>
      <c r="N3491" s="200"/>
      <c r="O3491" s="200"/>
      <c r="P3491" s="200"/>
    </row>
    <row r="3492" spans="3:16" s="517" customFormat="1" ht="31.2" customHeight="1">
      <c r="C3492" s="754" t="s">
        <v>5293</v>
      </c>
      <c r="D3492" s="750" t="s">
        <v>7209</v>
      </c>
      <c r="E3492" s="203" t="s">
        <v>113</v>
      </c>
      <c r="F3492" s="760">
        <v>18</v>
      </c>
      <c r="G3492" s="205">
        <f>VLOOKUP(D3492,upahbahan,3,FALSE)</f>
        <v>0</v>
      </c>
      <c r="H3492" s="210">
        <f t="shared" si="238"/>
        <v>0</v>
      </c>
      <c r="L3492" s="200"/>
      <c r="M3492" s="200"/>
      <c r="N3492" s="200"/>
      <c r="O3492" s="200"/>
      <c r="P3492" s="200"/>
    </row>
    <row r="3493" spans="3:16" s="517" customFormat="1" ht="31.2" customHeight="1">
      <c r="C3493" s="754" t="s">
        <v>5299</v>
      </c>
      <c r="D3493" s="750" t="s">
        <v>7055</v>
      </c>
      <c r="E3493" s="203" t="s">
        <v>113</v>
      </c>
      <c r="F3493" s="760">
        <v>10</v>
      </c>
      <c r="G3493" s="205">
        <f>VLOOKUP(D3493,upahbahan,3,FALSE)</f>
        <v>0</v>
      </c>
      <c r="H3493" s="210">
        <f t="shared" si="238"/>
        <v>0</v>
      </c>
      <c r="L3493" s="200"/>
      <c r="M3493" s="200"/>
      <c r="N3493" s="200"/>
      <c r="O3493" s="200"/>
      <c r="P3493" s="200"/>
    </row>
    <row r="3494" spans="3:16" s="517" customFormat="1" ht="31.2" customHeight="1">
      <c r="C3494" s="543">
        <v>4</v>
      </c>
      <c r="D3494" s="750" t="s">
        <v>5556</v>
      </c>
      <c r="E3494" s="203"/>
      <c r="F3494" s="753"/>
      <c r="G3494" s="197"/>
      <c r="H3494" s="210">
        <f t="shared" si="238"/>
        <v>0</v>
      </c>
      <c r="L3494" s="200"/>
      <c r="M3494" s="200"/>
      <c r="N3494" s="200"/>
      <c r="O3494" s="200"/>
      <c r="P3494" s="200"/>
    </row>
    <row r="3495" spans="3:16" s="517" customFormat="1" ht="31.2" customHeight="1">
      <c r="C3495" s="754" t="s">
        <v>5293</v>
      </c>
      <c r="D3495" s="750" t="s">
        <v>2084</v>
      </c>
      <c r="E3495" s="203" t="s">
        <v>42</v>
      </c>
      <c r="F3495" s="753">
        <v>0.24399999999999999</v>
      </c>
      <c r="G3495" s="205">
        <f>VLOOKUP(D3495,upahbahan,3,FALSE)</f>
        <v>0</v>
      </c>
      <c r="H3495" s="210">
        <f t="shared" si="238"/>
        <v>0</v>
      </c>
      <c r="L3495" s="200"/>
      <c r="M3495" s="200"/>
      <c r="N3495" s="200"/>
      <c r="O3495" s="200"/>
      <c r="P3495" s="200"/>
    </row>
    <row r="3496" spans="3:16" s="517" customFormat="1" ht="31.2" customHeight="1">
      <c r="C3496" s="754" t="s">
        <v>5299</v>
      </c>
      <c r="D3496" s="750" t="s">
        <v>5566</v>
      </c>
      <c r="E3496" s="203" t="s">
        <v>42</v>
      </c>
      <c r="F3496" s="753">
        <v>6.5000000000000002E-2</v>
      </c>
      <c r="G3496" s="205">
        <f>VLOOKUP(D3496,upahbahan,3,FALSE)</f>
        <v>0</v>
      </c>
      <c r="H3496" s="210">
        <f t="shared" si="238"/>
        <v>0</v>
      </c>
      <c r="L3496" s="200"/>
      <c r="M3496" s="200"/>
      <c r="N3496" s="200"/>
      <c r="O3496" s="200"/>
      <c r="P3496" s="200"/>
    </row>
    <row r="3497" spans="3:16" s="517" customFormat="1" ht="31.2" customHeight="1">
      <c r="C3497" s="754" t="s">
        <v>5558</v>
      </c>
      <c r="D3497" s="750" t="s">
        <v>2325</v>
      </c>
      <c r="E3497" s="203" t="s">
        <v>42</v>
      </c>
      <c r="F3497" s="762">
        <v>1.6E-2</v>
      </c>
      <c r="G3497" s="205">
        <f>VLOOKUP(D3497,upahbahan,3,FALSE)</f>
        <v>0</v>
      </c>
      <c r="H3497" s="210">
        <f t="shared" si="238"/>
        <v>0</v>
      </c>
      <c r="L3497" s="200"/>
      <c r="M3497" s="200"/>
      <c r="N3497" s="200"/>
      <c r="O3497" s="200"/>
      <c r="P3497" s="200"/>
    </row>
    <row r="3498" spans="3:16" s="517" customFormat="1" ht="31.2" customHeight="1">
      <c r="C3498" s="207" t="s">
        <v>1214</v>
      </c>
      <c r="D3498" s="208"/>
      <c r="E3498" s="568"/>
      <c r="F3498" s="208"/>
      <c r="G3498" s="209"/>
      <c r="H3498" s="210">
        <f>SUM(H3489:H3497)</f>
        <v>0</v>
      </c>
      <c r="L3498" s="200"/>
      <c r="M3498" s="200"/>
      <c r="N3498" s="200"/>
      <c r="O3498" s="200"/>
      <c r="P3498" s="200"/>
    </row>
    <row r="3499" spans="3:16" s="517" customFormat="1" ht="31.2" customHeight="1">
      <c r="C3499" s="756" t="s">
        <v>1215</v>
      </c>
      <c r="D3499" s="196" t="s">
        <v>1216</v>
      </c>
      <c r="E3499" s="203"/>
      <c r="F3499" s="197"/>
      <c r="G3499" s="197"/>
      <c r="H3499" s="198"/>
      <c r="L3499" s="200"/>
      <c r="M3499" s="200"/>
      <c r="N3499" s="200"/>
      <c r="O3499" s="200"/>
      <c r="P3499" s="200"/>
    </row>
    <row r="3500" spans="3:16" s="517" customFormat="1" ht="31.2" customHeight="1">
      <c r="C3500" s="543">
        <v>1</v>
      </c>
      <c r="D3500" s="750" t="s">
        <v>7189</v>
      </c>
      <c r="E3500" s="203" t="s">
        <v>42</v>
      </c>
      <c r="F3500" s="762">
        <v>0.7</v>
      </c>
      <c r="G3500" s="205">
        <f>VLOOKUP(D3500,upahbahan,3,FALSE)</f>
        <v>430000</v>
      </c>
      <c r="H3500" s="210">
        <f>F3500*G3500</f>
        <v>301000</v>
      </c>
      <c r="L3500" s="200"/>
      <c r="M3500" s="200"/>
      <c r="N3500" s="200"/>
      <c r="O3500" s="200"/>
      <c r="P3500" s="200"/>
    </row>
    <row r="3501" spans="3:16" s="517" customFormat="1" ht="31.2" customHeight="1">
      <c r="C3501" s="207" t="s">
        <v>1217</v>
      </c>
      <c r="D3501" s="208"/>
      <c r="E3501" s="208"/>
      <c r="F3501" s="208"/>
      <c r="G3501" s="209"/>
      <c r="H3501" s="240">
        <f>SUM(H3499:H3500)</f>
        <v>301000</v>
      </c>
      <c r="L3501" s="200"/>
      <c r="M3501" s="200"/>
      <c r="N3501" s="200"/>
      <c r="O3501" s="200"/>
      <c r="P3501" s="200"/>
    </row>
    <row r="3502" spans="3:16" s="517" customFormat="1" ht="31.2" customHeight="1">
      <c r="C3502" s="223" t="s">
        <v>1218</v>
      </c>
      <c r="D3502" s="224" t="s">
        <v>1219</v>
      </c>
      <c r="E3502" s="225"/>
      <c r="F3502" s="225"/>
      <c r="G3502" s="226"/>
      <c r="H3502" s="210">
        <f>H3501+H3498+H3487</f>
        <v>342734.5</v>
      </c>
      <c r="L3502" s="200"/>
      <c r="M3502" s="200"/>
      <c r="N3502" s="200"/>
      <c r="O3502" s="200"/>
      <c r="P3502" s="200"/>
    </row>
    <row r="3503" spans="3:16" s="517" customFormat="1" ht="31.2" customHeight="1">
      <c r="C3503" s="223" t="s">
        <v>1220</v>
      </c>
      <c r="D3503" s="224" t="s">
        <v>1321</v>
      </c>
      <c r="E3503" s="225"/>
      <c r="F3503" s="226"/>
      <c r="G3503" s="228">
        <v>0.1</v>
      </c>
      <c r="H3503" s="210">
        <f>H3502*G3503</f>
        <v>34273.450000000004</v>
      </c>
      <c r="L3503" s="200"/>
      <c r="M3503" s="200"/>
      <c r="N3503" s="200"/>
      <c r="O3503" s="200"/>
      <c r="P3503" s="200"/>
    </row>
    <row r="3504" spans="3:16" s="517" customFormat="1" ht="31.2" customHeight="1" thickBot="1">
      <c r="C3504" s="229" t="s">
        <v>1221</v>
      </c>
      <c r="D3504" s="230" t="s">
        <v>1222</v>
      </c>
      <c r="E3504" s="231"/>
      <c r="F3504" s="231"/>
      <c r="G3504" s="232"/>
      <c r="H3504" s="233">
        <f>SUM(H3502:H3503)</f>
        <v>377007.95</v>
      </c>
      <c r="L3504" s="200"/>
      <c r="M3504" s="200"/>
      <c r="N3504" s="200"/>
      <c r="O3504" s="200"/>
      <c r="P3504" s="200"/>
    </row>
    <row r="3505" spans="3:20" ht="31.2" customHeight="1" thickTop="1">
      <c r="D3505" s="758" t="s">
        <v>7210</v>
      </c>
    </row>
    <row r="3506" spans="3:20" ht="31.2" customHeight="1">
      <c r="C3506" s="757" t="s">
        <v>6950</v>
      </c>
      <c r="F3506" s="758"/>
      <c r="H3506" s="758" t="s">
        <v>6959</v>
      </c>
    </row>
    <row r="3507" spans="3:20" ht="31.2" customHeight="1">
      <c r="C3507" s="200" t="s">
        <v>6951</v>
      </c>
      <c r="F3507" s="758"/>
    </row>
    <row r="3508" spans="3:20" ht="31.2" customHeight="1">
      <c r="C3508" s="200" t="s">
        <v>6952</v>
      </c>
      <c r="F3508" s="758"/>
    </row>
    <row r="3509" spans="3:20" ht="31.2" customHeight="1">
      <c r="C3509" s="200"/>
      <c r="F3509" s="758"/>
    </row>
    <row r="3510" spans="3:20" s="517" customFormat="1" ht="31.2" customHeight="1" thickBot="1">
      <c r="C3510" s="513" t="s">
        <v>7241</v>
      </c>
      <c r="D3510" s="748" t="s">
        <v>7242</v>
      </c>
      <c r="E3510" s="749"/>
      <c r="F3510" s="748"/>
      <c r="G3510" s="748"/>
      <c r="H3510" s="532"/>
      <c r="I3510" s="532"/>
      <c r="J3510" s="532"/>
      <c r="K3510" s="532"/>
      <c r="M3510" s="189"/>
      <c r="N3510" s="189"/>
      <c r="O3510" s="189"/>
      <c r="P3510" s="189"/>
      <c r="R3510" s="189">
        <f>ROUNDDOWN(H3534,-2)</f>
        <v>377000</v>
      </c>
      <c r="S3510" s="517" t="s">
        <v>6451</v>
      </c>
      <c r="T3510" s="517" t="s">
        <v>7014</v>
      </c>
    </row>
    <row r="3511" spans="3:20" s="517" customFormat="1" ht="31.2" customHeight="1" thickTop="1">
      <c r="C3511" s="190" t="s">
        <v>1195</v>
      </c>
      <c r="D3511" s="191" t="s">
        <v>1196</v>
      </c>
      <c r="E3511" s="191" t="s">
        <v>1197</v>
      </c>
      <c r="F3511" s="191" t="s">
        <v>1198</v>
      </c>
      <c r="G3511" s="191" t="s">
        <v>1199</v>
      </c>
      <c r="H3511" s="192" t="s">
        <v>1200</v>
      </c>
      <c r="L3511" s="200"/>
      <c r="M3511" s="200"/>
      <c r="N3511" s="200"/>
      <c r="O3511" s="200"/>
      <c r="P3511" s="200"/>
    </row>
    <row r="3512" spans="3:20" s="517" customFormat="1" ht="31.2" customHeight="1">
      <c r="C3512" s="518" t="s">
        <v>1201</v>
      </c>
      <c r="D3512" s="196" t="s">
        <v>1202</v>
      </c>
      <c r="E3512" s="197"/>
      <c r="F3512" s="197"/>
      <c r="G3512" s="197"/>
      <c r="H3512" s="198"/>
      <c r="L3512" s="200"/>
      <c r="M3512" s="200"/>
      <c r="N3512" s="200"/>
      <c r="O3512" s="200"/>
      <c r="P3512" s="200"/>
    </row>
    <row r="3513" spans="3:20" s="517" customFormat="1" ht="31.2" customHeight="1">
      <c r="C3513" s="518">
        <v>1</v>
      </c>
      <c r="D3513" s="196" t="s">
        <v>5</v>
      </c>
      <c r="E3513" s="203" t="s">
        <v>2102</v>
      </c>
      <c r="F3513" s="525">
        <v>0.1</v>
      </c>
      <c r="G3513" s="205">
        <f>VLOOKUP(D3513,upahbahan,3,FALSE)</f>
        <v>100000</v>
      </c>
      <c r="H3513" s="210">
        <f t="shared" ref="H3513:H3516" si="239">F3513*G3513</f>
        <v>10000</v>
      </c>
      <c r="L3513" s="200"/>
      <c r="M3513" s="200"/>
      <c r="N3513" s="200"/>
      <c r="O3513" s="200"/>
      <c r="P3513" s="200"/>
    </row>
    <row r="3514" spans="3:20" s="517" customFormat="1" ht="31.2" customHeight="1">
      <c r="C3514" s="537">
        <v>2</v>
      </c>
      <c r="D3514" s="196" t="s">
        <v>6954</v>
      </c>
      <c r="E3514" s="202" t="s">
        <v>6</v>
      </c>
      <c r="F3514" s="520">
        <v>0.1</v>
      </c>
      <c r="G3514" s="205">
        <f>VLOOKUP(D3514,upahbahan,3,FALSE)</f>
        <v>181250</v>
      </c>
      <c r="H3514" s="210">
        <f t="shared" si="239"/>
        <v>18125</v>
      </c>
      <c r="L3514" s="200"/>
      <c r="M3514" s="200"/>
      <c r="N3514" s="200"/>
      <c r="O3514" s="200"/>
      <c r="P3514" s="200"/>
    </row>
    <row r="3515" spans="3:20" s="517" customFormat="1" ht="31.2" customHeight="1">
      <c r="C3515" s="537">
        <v>3</v>
      </c>
      <c r="D3515" s="196" t="s">
        <v>6948</v>
      </c>
      <c r="E3515" s="202" t="s">
        <v>2102</v>
      </c>
      <c r="F3515" s="520">
        <v>0.05</v>
      </c>
      <c r="G3515" s="205">
        <f>VLOOKUP(D3515,upahbahan,3,FALSE)</f>
        <v>218750</v>
      </c>
      <c r="H3515" s="210">
        <f t="shared" si="239"/>
        <v>10937.5</v>
      </c>
      <c r="L3515" s="200"/>
      <c r="M3515" s="200"/>
      <c r="N3515" s="200"/>
      <c r="O3515" s="200"/>
      <c r="P3515" s="200"/>
    </row>
    <row r="3516" spans="3:20" s="517" customFormat="1" ht="31.2" customHeight="1">
      <c r="C3516" s="537">
        <v>4</v>
      </c>
      <c r="D3516" s="196" t="s">
        <v>19</v>
      </c>
      <c r="E3516" s="202" t="s">
        <v>6</v>
      </c>
      <c r="F3516" s="520">
        <v>1.67E-2</v>
      </c>
      <c r="G3516" s="205">
        <f>VLOOKUP(D3516,upahbahan,3,FALSE)</f>
        <v>160000</v>
      </c>
      <c r="H3516" s="210">
        <f t="shared" si="239"/>
        <v>2672</v>
      </c>
      <c r="L3516" s="200"/>
      <c r="M3516" s="200"/>
      <c r="N3516" s="200"/>
      <c r="O3516" s="200"/>
      <c r="P3516" s="200"/>
    </row>
    <row r="3517" spans="3:20" s="517" customFormat="1" ht="31.2" customHeight="1">
      <c r="C3517" s="207" t="s">
        <v>1208</v>
      </c>
      <c r="D3517" s="208"/>
      <c r="E3517" s="208"/>
      <c r="F3517" s="521"/>
      <c r="G3517" s="522"/>
      <c r="H3517" s="210">
        <f>SUM(H3513:H3516)</f>
        <v>41734.5</v>
      </c>
      <c r="L3517" s="523"/>
      <c r="M3517" s="523"/>
      <c r="N3517" s="523"/>
      <c r="O3517" s="523"/>
      <c r="P3517" s="523"/>
    </row>
    <row r="3518" spans="3:20" s="517" customFormat="1" ht="31.2" customHeight="1">
      <c r="C3518" s="543" t="s">
        <v>1209</v>
      </c>
      <c r="D3518" s="750" t="s">
        <v>1210</v>
      </c>
      <c r="E3518" s="197"/>
      <c r="F3518" s="751"/>
      <c r="G3518" s="197"/>
      <c r="H3518" s="752"/>
      <c r="L3518" s="200"/>
      <c r="M3518" s="200"/>
      <c r="N3518" s="200"/>
      <c r="O3518" s="200"/>
      <c r="P3518" s="200"/>
    </row>
    <row r="3519" spans="3:20" s="517" customFormat="1" ht="31.2" customHeight="1">
      <c r="C3519" s="543">
        <v>1</v>
      </c>
      <c r="D3519" s="750" t="s">
        <v>7240</v>
      </c>
      <c r="E3519" s="203" t="s">
        <v>44</v>
      </c>
      <c r="F3519" s="753">
        <v>1.05</v>
      </c>
      <c r="G3519" s="205">
        <f>VLOOKUP(D3519,upahbahan,3,FALSE)</f>
        <v>0</v>
      </c>
      <c r="H3519" s="210">
        <f t="shared" ref="H3519:H3527" si="240">F3519*G3519</f>
        <v>0</v>
      </c>
      <c r="L3519" s="200"/>
      <c r="M3519" s="200"/>
      <c r="N3519" s="200"/>
      <c r="O3519" s="200"/>
      <c r="P3519" s="200"/>
    </row>
    <row r="3520" spans="3:20" s="517" customFormat="1" ht="31.2" customHeight="1">
      <c r="C3520" s="543">
        <v>2</v>
      </c>
      <c r="D3520" s="750" t="s">
        <v>5563</v>
      </c>
      <c r="E3520" s="203" t="s">
        <v>65</v>
      </c>
      <c r="F3520" s="753">
        <v>0.02</v>
      </c>
      <c r="G3520" s="205">
        <f>VLOOKUP(D3520,upahbahan,3,FALSE)</f>
        <v>0</v>
      </c>
      <c r="H3520" s="210">
        <f t="shared" si="240"/>
        <v>0</v>
      </c>
      <c r="L3520" s="200"/>
      <c r="M3520" s="200"/>
      <c r="N3520" s="200"/>
      <c r="O3520" s="200"/>
      <c r="P3520" s="200"/>
    </row>
    <row r="3521" spans="3:16" s="517" customFormat="1" ht="31.2" customHeight="1">
      <c r="C3521" s="543">
        <v>3</v>
      </c>
      <c r="D3521" s="750" t="s">
        <v>5555</v>
      </c>
      <c r="E3521" s="203"/>
      <c r="F3521" s="753"/>
      <c r="G3521" s="197"/>
      <c r="H3521" s="210">
        <f t="shared" si="240"/>
        <v>0</v>
      </c>
      <c r="L3521" s="200"/>
      <c r="M3521" s="200"/>
      <c r="N3521" s="200"/>
      <c r="O3521" s="200"/>
      <c r="P3521" s="200"/>
    </row>
    <row r="3522" spans="3:16" s="517" customFormat="1" ht="31.2" customHeight="1">
      <c r="C3522" s="754" t="s">
        <v>5293</v>
      </c>
      <c r="D3522" s="750" t="s">
        <v>7209</v>
      </c>
      <c r="E3522" s="203" t="s">
        <v>113</v>
      </c>
      <c r="F3522" s="760">
        <v>18</v>
      </c>
      <c r="G3522" s="205">
        <f>VLOOKUP(D3522,upahbahan,3,FALSE)</f>
        <v>0</v>
      </c>
      <c r="H3522" s="210">
        <f t="shared" si="240"/>
        <v>0</v>
      </c>
      <c r="L3522" s="200"/>
      <c r="M3522" s="200"/>
      <c r="N3522" s="200"/>
      <c r="O3522" s="200"/>
      <c r="P3522" s="200"/>
    </row>
    <row r="3523" spans="3:16" s="517" customFormat="1" ht="31.2" customHeight="1">
      <c r="C3523" s="754" t="s">
        <v>5299</v>
      </c>
      <c r="D3523" s="750" t="s">
        <v>7055</v>
      </c>
      <c r="E3523" s="203" t="s">
        <v>113</v>
      </c>
      <c r="F3523" s="760">
        <v>10</v>
      </c>
      <c r="G3523" s="205">
        <f>VLOOKUP(D3523,upahbahan,3,FALSE)</f>
        <v>0</v>
      </c>
      <c r="H3523" s="210">
        <f t="shared" si="240"/>
        <v>0</v>
      </c>
      <c r="L3523" s="200"/>
      <c r="M3523" s="200"/>
      <c r="N3523" s="200"/>
      <c r="O3523" s="200"/>
      <c r="P3523" s="200"/>
    </row>
    <row r="3524" spans="3:16" s="517" customFormat="1" ht="31.2" customHeight="1">
      <c r="C3524" s="543">
        <v>4</v>
      </c>
      <c r="D3524" s="750" t="s">
        <v>5556</v>
      </c>
      <c r="E3524" s="203"/>
      <c r="F3524" s="753"/>
      <c r="G3524" s="197"/>
      <c r="H3524" s="210">
        <f t="shared" si="240"/>
        <v>0</v>
      </c>
      <c r="L3524" s="200"/>
      <c r="M3524" s="200"/>
      <c r="N3524" s="200"/>
      <c r="O3524" s="200"/>
      <c r="P3524" s="200"/>
    </row>
    <row r="3525" spans="3:16" s="517" customFormat="1" ht="31.2" customHeight="1">
      <c r="C3525" s="754" t="s">
        <v>5293</v>
      </c>
      <c r="D3525" s="750" t="s">
        <v>2084</v>
      </c>
      <c r="E3525" s="203" t="s">
        <v>42</v>
      </c>
      <c r="F3525" s="753">
        <v>0.24399999999999999</v>
      </c>
      <c r="G3525" s="205">
        <f>VLOOKUP(D3525,upahbahan,3,FALSE)</f>
        <v>0</v>
      </c>
      <c r="H3525" s="210">
        <f t="shared" si="240"/>
        <v>0</v>
      </c>
      <c r="L3525" s="200"/>
      <c r="M3525" s="200"/>
      <c r="N3525" s="200"/>
      <c r="O3525" s="200"/>
      <c r="P3525" s="200"/>
    </row>
    <row r="3526" spans="3:16" s="517" customFormat="1" ht="31.2" customHeight="1">
      <c r="C3526" s="754" t="s">
        <v>5299</v>
      </c>
      <c r="D3526" s="750" t="s">
        <v>5566</v>
      </c>
      <c r="E3526" s="203" t="s">
        <v>42</v>
      </c>
      <c r="F3526" s="753">
        <v>6.5000000000000002E-2</v>
      </c>
      <c r="G3526" s="205">
        <f>VLOOKUP(D3526,upahbahan,3,FALSE)</f>
        <v>0</v>
      </c>
      <c r="H3526" s="210">
        <f t="shared" si="240"/>
        <v>0</v>
      </c>
      <c r="L3526" s="200"/>
      <c r="M3526" s="200"/>
      <c r="N3526" s="200"/>
      <c r="O3526" s="200"/>
      <c r="P3526" s="200"/>
    </row>
    <row r="3527" spans="3:16" s="517" customFormat="1" ht="31.2" customHeight="1">
      <c r="C3527" s="754" t="s">
        <v>5558</v>
      </c>
      <c r="D3527" s="750" t="s">
        <v>2325</v>
      </c>
      <c r="E3527" s="203" t="s">
        <v>42</v>
      </c>
      <c r="F3527" s="762">
        <v>1.6E-2</v>
      </c>
      <c r="G3527" s="205">
        <f>VLOOKUP(D3527,upahbahan,3,FALSE)</f>
        <v>0</v>
      </c>
      <c r="H3527" s="210">
        <f t="shared" si="240"/>
        <v>0</v>
      </c>
      <c r="L3527" s="200"/>
      <c r="M3527" s="200"/>
      <c r="N3527" s="200"/>
      <c r="O3527" s="200"/>
      <c r="P3527" s="200"/>
    </row>
    <row r="3528" spans="3:16" s="517" customFormat="1" ht="31.2" customHeight="1">
      <c r="C3528" s="207" t="s">
        <v>1214</v>
      </c>
      <c r="D3528" s="208"/>
      <c r="E3528" s="568"/>
      <c r="F3528" s="208"/>
      <c r="G3528" s="209"/>
      <c r="H3528" s="210">
        <f>SUM(H3519:H3527)</f>
        <v>0</v>
      </c>
      <c r="L3528" s="200"/>
      <c r="M3528" s="200"/>
      <c r="N3528" s="200"/>
      <c r="O3528" s="200"/>
      <c r="P3528" s="200"/>
    </row>
    <row r="3529" spans="3:16" s="517" customFormat="1" ht="31.2" customHeight="1">
      <c r="C3529" s="756" t="s">
        <v>1215</v>
      </c>
      <c r="D3529" s="196" t="s">
        <v>1216</v>
      </c>
      <c r="E3529" s="203"/>
      <c r="F3529" s="197"/>
      <c r="G3529" s="197"/>
      <c r="H3529" s="198"/>
      <c r="L3529" s="200"/>
      <c r="M3529" s="200"/>
      <c r="N3529" s="200"/>
      <c r="O3529" s="200"/>
      <c r="P3529" s="200"/>
    </row>
    <row r="3530" spans="3:16" s="517" customFormat="1" ht="31.2" customHeight="1">
      <c r="C3530" s="543">
        <v>1</v>
      </c>
      <c r="D3530" s="750" t="s">
        <v>7189</v>
      </c>
      <c r="E3530" s="203" t="s">
        <v>42</v>
      </c>
      <c r="F3530" s="762">
        <v>0.7</v>
      </c>
      <c r="G3530" s="205">
        <f>VLOOKUP(D3530,upahbahan,3,FALSE)</f>
        <v>430000</v>
      </c>
      <c r="H3530" s="210">
        <f>F3530*G3530</f>
        <v>301000</v>
      </c>
      <c r="L3530" s="200"/>
      <c r="M3530" s="200"/>
      <c r="N3530" s="200"/>
      <c r="O3530" s="200"/>
      <c r="P3530" s="200"/>
    </row>
    <row r="3531" spans="3:16" s="517" customFormat="1" ht="31.2" customHeight="1">
      <c r="C3531" s="207" t="s">
        <v>1217</v>
      </c>
      <c r="D3531" s="208"/>
      <c r="E3531" s="208"/>
      <c r="F3531" s="208"/>
      <c r="G3531" s="209"/>
      <c r="H3531" s="240">
        <f>SUM(H3529:H3530)</f>
        <v>301000</v>
      </c>
      <c r="L3531" s="200"/>
      <c r="M3531" s="200"/>
      <c r="N3531" s="200"/>
      <c r="O3531" s="200"/>
      <c r="P3531" s="200"/>
    </row>
    <row r="3532" spans="3:16" s="517" customFormat="1" ht="31.2" customHeight="1">
      <c r="C3532" s="223" t="s">
        <v>1218</v>
      </c>
      <c r="D3532" s="224" t="s">
        <v>1219</v>
      </c>
      <c r="E3532" s="225"/>
      <c r="F3532" s="225"/>
      <c r="G3532" s="226"/>
      <c r="H3532" s="210">
        <f>H3531+H3528+H3517</f>
        <v>342734.5</v>
      </c>
      <c r="L3532" s="200"/>
      <c r="M3532" s="200"/>
      <c r="N3532" s="200"/>
      <c r="O3532" s="200"/>
      <c r="P3532" s="200"/>
    </row>
    <row r="3533" spans="3:16" s="517" customFormat="1" ht="31.2" customHeight="1">
      <c r="C3533" s="223" t="s">
        <v>1220</v>
      </c>
      <c r="D3533" s="224" t="s">
        <v>1321</v>
      </c>
      <c r="E3533" s="225"/>
      <c r="F3533" s="226"/>
      <c r="G3533" s="228">
        <v>0.1</v>
      </c>
      <c r="H3533" s="210">
        <f>H3532*G3533</f>
        <v>34273.450000000004</v>
      </c>
      <c r="L3533" s="200"/>
      <c r="M3533" s="200"/>
      <c r="N3533" s="200"/>
      <c r="O3533" s="200"/>
      <c r="P3533" s="200"/>
    </row>
    <row r="3534" spans="3:16" s="517" customFormat="1" ht="31.2" customHeight="1" thickBot="1">
      <c r="C3534" s="229" t="s">
        <v>1221</v>
      </c>
      <c r="D3534" s="230" t="s">
        <v>1222</v>
      </c>
      <c r="E3534" s="231"/>
      <c r="F3534" s="231"/>
      <c r="G3534" s="232"/>
      <c r="H3534" s="233">
        <f>SUM(H3532:H3533)</f>
        <v>377007.95</v>
      </c>
      <c r="L3534" s="200"/>
      <c r="M3534" s="200"/>
      <c r="N3534" s="200"/>
      <c r="O3534" s="200"/>
      <c r="P3534" s="200"/>
    </row>
    <row r="3535" spans="3:16" ht="31.2" customHeight="1" thickTop="1">
      <c r="D3535" s="758" t="s">
        <v>7210</v>
      </c>
    </row>
    <row r="3536" spans="3:16" ht="31.2" customHeight="1">
      <c r="C3536" s="757" t="s">
        <v>6950</v>
      </c>
      <c r="F3536" s="758"/>
      <c r="H3536" s="758" t="s">
        <v>6959</v>
      </c>
    </row>
    <row r="3537" spans="3:20" ht="31.2" customHeight="1">
      <c r="C3537" s="200" t="s">
        <v>6951</v>
      </c>
      <c r="F3537" s="758"/>
    </row>
    <row r="3538" spans="3:20" ht="31.2" customHeight="1">
      <c r="C3538" s="200" t="s">
        <v>6952</v>
      </c>
      <c r="F3538" s="758"/>
    </row>
    <row r="3539" spans="3:20" ht="31.2" customHeight="1">
      <c r="C3539" s="200"/>
      <c r="F3539" s="758"/>
    </row>
    <row r="3540" spans="3:20" s="517" customFormat="1" ht="31.2" customHeight="1" thickBot="1">
      <c r="C3540" s="513" t="s">
        <v>7243</v>
      </c>
      <c r="D3540" s="748" t="s">
        <v>7244</v>
      </c>
      <c r="E3540" s="749"/>
      <c r="F3540" s="748"/>
      <c r="G3540" s="748"/>
      <c r="H3540" s="532"/>
      <c r="I3540" s="532"/>
      <c r="J3540" s="532"/>
      <c r="K3540" s="532"/>
      <c r="M3540" s="189"/>
      <c r="N3540" s="189"/>
      <c r="O3540" s="189"/>
      <c r="P3540" s="189"/>
      <c r="R3540" s="189">
        <f>ROUNDDOWN(H3564,-2)</f>
        <v>377000</v>
      </c>
      <c r="S3540" s="517" t="s">
        <v>6451</v>
      </c>
      <c r="T3540" s="517" t="s">
        <v>7014</v>
      </c>
    </row>
    <row r="3541" spans="3:20" s="517" customFormat="1" ht="31.2" customHeight="1" thickTop="1">
      <c r="C3541" s="190" t="s">
        <v>1195</v>
      </c>
      <c r="D3541" s="191" t="s">
        <v>1196</v>
      </c>
      <c r="E3541" s="191" t="s">
        <v>1197</v>
      </c>
      <c r="F3541" s="191" t="s">
        <v>1198</v>
      </c>
      <c r="G3541" s="191" t="s">
        <v>1199</v>
      </c>
      <c r="H3541" s="192" t="s">
        <v>1200</v>
      </c>
      <c r="L3541" s="200"/>
      <c r="M3541" s="200"/>
      <c r="N3541" s="200"/>
      <c r="O3541" s="200"/>
      <c r="P3541" s="200"/>
    </row>
    <row r="3542" spans="3:20" s="517" customFormat="1" ht="31.2" customHeight="1">
      <c r="C3542" s="518" t="s">
        <v>1201</v>
      </c>
      <c r="D3542" s="196" t="s">
        <v>1202</v>
      </c>
      <c r="E3542" s="197"/>
      <c r="F3542" s="197"/>
      <c r="G3542" s="197"/>
      <c r="H3542" s="198"/>
      <c r="L3542" s="200"/>
      <c r="M3542" s="200"/>
      <c r="N3542" s="200"/>
      <c r="O3542" s="200"/>
      <c r="P3542" s="200"/>
    </row>
    <row r="3543" spans="3:20" s="517" customFormat="1" ht="31.2" customHeight="1">
      <c r="C3543" s="518">
        <v>1</v>
      </c>
      <c r="D3543" s="196" t="s">
        <v>5</v>
      </c>
      <c r="E3543" s="203" t="s">
        <v>2102</v>
      </c>
      <c r="F3543" s="525">
        <v>0.1</v>
      </c>
      <c r="G3543" s="205">
        <f>VLOOKUP(D3543,upahbahan,3,FALSE)</f>
        <v>100000</v>
      </c>
      <c r="H3543" s="210">
        <f t="shared" ref="H3543:H3546" si="241">F3543*G3543</f>
        <v>10000</v>
      </c>
      <c r="L3543" s="200"/>
      <c r="M3543" s="200"/>
      <c r="N3543" s="200"/>
      <c r="O3543" s="200"/>
      <c r="P3543" s="200"/>
    </row>
    <row r="3544" spans="3:20" s="517" customFormat="1" ht="31.2" customHeight="1">
      <c r="C3544" s="537">
        <v>2</v>
      </c>
      <c r="D3544" s="196" t="s">
        <v>6954</v>
      </c>
      <c r="E3544" s="202" t="s">
        <v>6</v>
      </c>
      <c r="F3544" s="520">
        <v>0.1</v>
      </c>
      <c r="G3544" s="205">
        <f>VLOOKUP(D3544,upahbahan,3,FALSE)</f>
        <v>181250</v>
      </c>
      <c r="H3544" s="210">
        <f t="shared" si="241"/>
        <v>18125</v>
      </c>
      <c r="L3544" s="200"/>
      <c r="M3544" s="200"/>
      <c r="N3544" s="200"/>
      <c r="O3544" s="200"/>
      <c r="P3544" s="200"/>
    </row>
    <row r="3545" spans="3:20" s="517" customFormat="1" ht="31.2" customHeight="1">
      <c r="C3545" s="537">
        <v>3</v>
      </c>
      <c r="D3545" s="196" t="s">
        <v>6948</v>
      </c>
      <c r="E3545" s="202" t="s">
        <v>2102</v>
      </c>
      <c r="F3545" s="520">
        <v>0.05</v>
      </c>
      <c r="G3545" s="205">
        <f>VLOOKUP(D3545,upahbahan,3,FALSE)</f>
        <v>218750</v>
      </c>
      <c r="H3545" s="210">
        <f t="shared" si="241"/>
        <v>10937.5</v>
      </c>
      <c r="L3545" s="200"/>
      <c r="M3545" s="200"/>
      <c r="N3545" s="200"/>
      <c r="O3545" s="200"/>
      <c r="P3545" s="200"/>
    </row>
    <row r="3546" spans="3:20" s="517" customFormat="1" ht="31.2" customHeight="1">
      <c r="C3546" s="537">
        <v>4</v>
      </c>
      <c r="D3546" s="196" t="s">
        <v>19</v>
      </c>
      <c r="E3546" s="202" t="s">
        <v>6</v>
      </c>
      <c r="F3546" s="520">
        <v>1.67E-2</v>
      </c>
      <c r="G3546" s="205">
        <f>VLOOKUP(D3546,upahbahan,3,FALSE)</f>
        <v>160000</v>
      </c>
      <c r="H3546" s="210">
        <f t="shared" si="241"/>
        <v>2672</v>
      </c>
      <c r="L3546" s="200"/>
      <c r="M3546" s="200"/>
      <c r="N3546" s="200"/>
      <c r="O3546" s="200"/>
      <c r="P3546" s="200"/>
    </row>
    <row r="3547" spans="3:20" s="517" customFormat="1" ht="31.2" customHeight="1">
      <c r="C3547" s="207" t="s">
        <v>1208</v>
      </c>
      <c r="D3547" s="208"/>
      <c r="E3547" s="208"/>
      <c r="F3547" s="521"/>
      <c r="G3547" s="522"/>
      <c r="H3547" s="210">
        <f>SUM(H3543:H3546)</f>
        <v>41734.5</v>
      </c>
      <c r="L3547" s="523"/>
      <c r="M3547" s="523"/>
      <c r="N3547" s="523"/>
      <c r="O3547" s="523"/>
      <c r="P3547" s="523"/>
    </row>
    <row r="3548" spans="3:20" s="517" customFormat="1" ht="31.2" customHeight="1">
      <c r="C3548" s="543" t="s">
        <v>1209</v>
      </c>
      <c r="D3548" s="750" t="s">
        <v>1210</v>
      </c>
      <c r="E3548" s="197"/>
      <c r="F3548" s="751"/>
      <c r="G3548" s="197"/>
      <c r="H3548" s="752"/>
      <c r="L3548" s="200"/>
      <c r="M3548" s="200"/>
      <c r="N3548" s="200"/>
      <c r="O3548" s="200"/>
      <c r="P3548" s="200"/>
    </row>
    <row r="3549" spans="3:20" s="517" customFormat="1" ht="31.2" customHeight="1">
      <c r="C3549" s="543">
        <v>1</v>
      </c>
      <c r="D3549" s="761" t="s">
        <v>7245</v>
      </c>
      <c r="E3549" s="203" t="s">
        <v>44</v>
      </c>
      <c r="F3549" s="753">
        <v>1.05</v>
      </c>
      <c r="G3549" s="205">
        <f>VLOOKUP(D3549,upahbahan,3,FALSE)</f>
        <v>0</v>
      </c>
      <c r="H3549" s="210">
        <f t="shared" ref="H3549:H3557" si="242">F3549*G3549</f>
        <v>0</v>
      </c>
      <c r="L3549" s="200"/>
      <c r="M3549" s="200"/>
      <c r="N3549" s="200"/>
      <c r="O3549" s="200"/>
      <c r="P3549" s="200"/>
    </row>
    <row r="3550" spans="3:20" s="517" customFormat="1" ht="31.2" customHeight="1">
      <c r="C3550" s="543">
        <v>2</v>
      </c>
      <c r="D3550" s="750" t="s">
        <v>5563</v>
      </c>
      <c r="E3550" s="203" t="s">
        <v>65</v>
      </c>
      <c r="F3550" s="753">
        <v>0.02</v>
      </c>
      <c r="G3550" s="205">
        <f>VLOOKUP(D3550,upahbahan,3,FALSE)</f>
        <v>0</v>
      </c>
      <c r="H3550" s="210">
        <f t="shared" si="242"/>
        <v>0</v>
      </c>
      <c r="L3550" s="200"/>
      <c r="M3550" s="200"/>
      <c r="N3550" s="200"/>
      <c r="O3550" s="200"/>
      <c r="P3550" s="200"/>
    </row>
    <row r="3551" spans="3:20" s="517" customFormat="1" ht="31.2" customHeight="1">
      <c r="C3551" s="543">
        <v>3</v>
      </c>
      <c r="D3551" s="750" t="s">
        <v>5555</v>
      </c>
      <c r="E3551" s="203"/>
      <c r="F3551" s="753"/>
      <c r="G3551" s="197"/>
      <c r="H3551" s="210">
        <f t="shared" si="242"/>
        <v>0</v>
      </c>
      <c r="L3551" s="200"/>
      <c r="M3551" s="200"/>
      <c r="N3551" s="200"/>
      <c r="O3551" s="200"/>
      <c r="P3551" s="200"/>
    </row>
    <row r="3552" spans="3:20" s="517" customFormat="1" ht="31.2" customHeight="1">
      <c r="C3552" s="754" t="s">
        <v>5293</v>
      </c>
      <c r="D3552" s="750" t="s">
        <v>7209</v>
      </c>
      <c r="E3552" s="203" t="s">
        <v>113</v>
      </c>
      <c r="F3552" s="760">
        <v>18</v>
      </c>
      <c r="G3552" s="205">
        <f>VLOOKUP(D3552,upahbahan,3,FALSE)</f>
        <v>0</v>
      </c>
      <c r="H3552" s="210">
        <f t="shared" si="242"/>
        <v>0</v>
      </c>
      <c r="L3552" s="200"/>
      <c r="M3552" s="200"/>
      <c r="N3552" s="200"/>
      <c r="O3552" s="200"/>
      <c r="P3552" s="200"/>
    </row>
    <row r="3553" spans="3:16" s="517" customFormat="1" ht="31.2" customHeight="1">
      <c r="C3553" s="754" t="s">
        <v>5299</v>
      </c>
      <c r="D3553" s="750" t="s">
        <v>7055</v>
      </c>
      <c r="E3553" s="203" t="s">
        <v>113</v>
      </c>
      <c r="F3553" s="760">
        <v>10</v>
      </c>
      <c r="G3553" s="205">
        <f>VLOOKUP(D3553,upahbahan,3,FALSE)</f>
        <v>0</v>
      </c>
      <c r="H3553" s="210">
        <f t="shared" si="242"/>
        <v>0</v>
      </c>
      <c r="L3553" s="200"/>
      <c r="M3553" s="200"/>
      <c r="N3553" s="200"/>
      <c r="O3553" s="200"/>
      <c r="P3553" s="200"/>
    </row>
    <row r="3554" spans="3:16" s="517" customFormat="1" ht="31.2" customHeight="1">
      <c r="C3554" s="543">
        <v>4</v>
      </c>
      <c r="D3554" s="750" t="s">
        <v>5556</v>
      </c>
      <c r="E3554" s="203"/>
      <c r="F3554" s="753"/>
      <c r="G3554" s="197"/>
      <c r="H3554" s="210">
        <f t="shared" si="242"/>
        <v>0</v>
      </c>
      <c r="L3554" s="200"/>
      <c r="M3554" s="200"/>
      <c r="N3554" s="200"/>
      <c r="O3554" s="200"/>
      <c r="P3554" s="200"/>
    </row>
    <row r="3555" spans="3:16" s="517" customFormat="1" ht="31.2" customHeight="1">
      <c r="C3555" s="754" t="s">
        <v>5293</v>
      </c>
      <c r="D3555" s="750" t="s">
        <v>2084</v>
      </c>
      <c r="E3555" s="203" t="s">
        <v>42</v>
      </c>
      <c r="F3555" s="753">
        <v>0.24399999999999999</v>
      </c>
      <c r="G3555" s="205">
        <f>VLOOKUP(D3555,upahbahan,3,FALSE)</f>
        <v>0</v>
      </c>
      <c r="H3555" s="210">
        <f t="shared" si="242"/>
        <v>0</v>
      </c>
      <c r="L3555" s="200"/>
      <c r="M3555" s="200"/>
      <c r="N3555" s="200"/>
      <c r="O3555" s="200"/>
      <c r="P3555" s="200"/>
    </row>
    <row r="3556" spans="3:16" s="517" customFormat="1" ht="31.2" customHeight="1">
      <c r="C3556" s="754" t="s">
        <v>5299</v>
      </c>
      <c r="D3556" s="750" t="s">
        <v>5566</v>
      </c>
      <c r="E3556" s="203" t="s">
        <v>42</v>
      </c>
      <c r="F3556" s="753">
        <v>6.5000000000000002E-2</v>
      </c>
      <c r="G3556" s="205">
        <f>VLOOKUP(D3556,upahbahan,3,FALSE)</f>
        <v>0</v>
      </c>
      <c r="H3556" s="210">
        <f t="shared" si="242"/>
        <v>0</v>
      </c>
      <c r="L3556" s="200"/>
      <c r="M3556" s="200"/>
      <c r="N3556" s="200"/>
      <c r="O3556" s="200"/>
      <c r="P3556" s="200"/>
    </row>
    <row r="3557" spans="3:16" s="517" customFormat="1" ht="31.2" customHeight="1">
      <c r="C3557" s="754" t="s">
        <v>5558</v>
      </c>
      <c r="D3557" s="750" t="s">
        <v>2325</v>
      </c>
      <c r="E3557" s="203" t="s">
        <v>42</v>
      </c>
      <c r="F3557" s="762">
        <v>1.6E-2</v>
      </c>
      <c r="G3557" s="205">
        <f>VLOOKUP(D3557,upahbahan,3,FALSE)</f>
        <v>0</v>
      </c>
      <c r="H3557" s="210">
        <f t="shared" si="242"/>
        <v>0</v>
      </c>
      <c r="L3557" s="200"/>
      <c r="M3557" s="200"/>
      <c r="N3557" s="200"/>
      <c r="O3557" s="200"/>
      <c r="P3557" s="200"/>
    </row>
    <row r="3558" spans="3:16" s="517" customFormat="1" ht="31.2" customHeight="1">
      <c r="C3558" s="207" t="s">
        <v>1214</v>
      </c>
      <c r="D3558" s="208"/>
      <c r="E3558" s="568"/>
      <c r="F3558" s="208"/>
      <c r="G3558" s="209"/>
      <c r="H3558" s="210">
        <f>SUM(H3549:H3557)</f>
        <v>0</v>
      </c>
      <c r="L3558" s="200"/>
      <c r="M3558" s="200"/>
      <c r="N3558" s="200"/>
      <c r="O3558" s="200"/>
      <c r="P3558" s="200"/>
    </row>
    <row r="3559" spans="3:16" s="517" customFormat="1" ht="31.2" customHeight="1">
      <c r="C3559" s="756" t="s">
        <v>1215</v>
      </c>
      <c r="D3559" s="196" t="s">
        <v>1216</v>
      </c>
      <c r="E3559" s="203"/>
      <c r="F3559" s="197"/>
      <c r="G3559" s="197"/>
      <c r="H3559" s="198"/>
      <c r="L3559" s="200"/>
      <c r="M3559" s="200"/>
      <c r="N3559" s="200"/>
      <c r="O3559" s="200"/>
      <c r="P3559" s="200"/>
    </row>
    <row r="3560" spans="3:16" s="517" customFormat="1" ht="31.2" customHeight="1">
      <c r="C3560" s="543">
        <v>1</v>
      </c>
      <c r="D3560" s="750" t="s">
        <v>7189</v>
      </c>
      <c r="E3560" s="203" t="s">
        <v>42</v>
      </c>
      <c r="F3560" s="762">
        <v>0.7</v>
      </c>
      <c r="G3560" s="205">
        <f>VLOOKUP(D3560,upahbahan,3,FALSE)</f>
        <v>430000</v>
      </c>
      <c r="H3560" s="210">
        <f>F3560*G3560</f>
        <v>301000</v>
      </c>
      <c r="L3560" s="200"/>
      <c r="M3560" s="200"/>
      <c r="N3560" s="200"/>
      <c r="O3560" s="200"/>
      <c r="P3560" s="200"/>
    </row>
    <row r="3561" spans="3:16" s="517" customFormat="1" ht="31.2" customHeight="1">
      <c r="C3561" s="207" t="s">
        <v>1217</v>
      </c>
      <c r="D3561" s="208"/>
      <c r="E3561" s="208"/>
      <c r="F3561" s="208"/>
      <c r="G3561" s="209"/>
      <c r="H3561" s="240">
        <f>SUM(H3559:H3560)</f>
        <v>301000</v>
      </c>
      <c r="L3561" s="200"/>
      <c r="M3561" s="200"/>
      <c r="N3561" s="200"/>
      <c r="O3561" s="200"/>
      <c r="P3561" s="200"/>
    </row>
    <row r="3562" spans="3:16" s="517" customFormat="1" ht="31.2" customHeight="1">
      <c r="C3562" s="223" t="s">
        <v>1218</v>
      </c>
      <c r="D3562" s="224" t="s">
        <v>1219</v>
      </c>
      <c r="E3562" s="225"/>
      <c r="F3562" s="225"/>
      <c r="G3562" s="226"/>
      <c r="H3562" s="210">
        <f>H3561+H3558+H3547</f>
        <v>342734.5</v>
      </c>
      <c r="L3562" s="200"/>
      <c r="M3562" s="200"/>
      <c r="N3562" s="200"/>
      <c r="O3562" s="200"/>
      <c r="P3562" s="200"/>
    </row>
    <row r="3563" spans="3:16" s="517" customFormat="1" ht="31.2" customHeight="1">
      <c r="C3563" s="223" t="s">
        <v>1220</v>
      </c>
      <c r="D3563" s="224" t="s">
        <v>1321</v>
      </c>
      <c r="E3563" s="225"/>
      <c r="F3563" s="226"/>
      <c r="G3563" s="228">
        <v>0.1</v>
      </c>
      <c r="H3563" s="210">
        <f>H3562*G3563</f>
        <v>34273.450000000004</v>
      </c>
      <c r="L3563" s="200"/>
      <c r="M3563" s="200"/>
      <c r="N3563" s="200"/>
      <c r="O3563" s="200"/>
      <c r="P3563" s="200"/>
    </row>
    <row r="3564" spans="3:16" s="517" customFormat="1" ht="31.2" customHeight="1" thickBot="1">
      <c r="C3564" s="229" t="s">
        <v>1221</v>
      </c>
      <c r="D3564" s="230" t="s">
        <v>1222</v>
      </c>
      <c r="E3564" s="231"/>
      <c r="F3564" s="231"/>
      <c r="G3564" s="232"/>
      <c r="H3564" s="233">
        <f>SUM(H3562:H3563)</f>
        <v>377007.95</v>
      </c>
      <c r="L3564" s="200"/>
      <c r="M3564" s="200"/>
      <c r="N3564" s="200"/>
      <c r="O3564" s="200"/>
      <c r="P3564" s="200"/>
    </row>
    <row r="3565" spans="3:16" ht="31.2" customHeight="1" thickTop="1">
      <c r="D3565" s="758" t="s">
        <v>7210</v>
      </c>
    </row>
    <row r="3566" spans="3:16" ht="31.2" customHeight="1">
      <c r="C3566" s="757" t="s">
        <v>6950</v>
      </c>
      <c r="F3566" s="758"/>
      <c r="H3566" s="758" t="s">
        <v>6959</v>
      </c>
    </row>
    <row r="3567" spans="3:16" ht="31.2" customHeight="1">
      <c r="C3567" s="200" t="s">
        <v>6951</v>
      </c>
      <c r="F3567" s="758"/>
    </row>
    <row r="3568" spans="3:16" ht="31.2" customHeight="1">
      <c r="C3568" s="200" t="s">
        <v>6952</v>
      </c>
      <c r="F3568" s="758"/>
    </row>
    <row r="3569" spans="3:20" ht="31.2" customHeight="1">
      <c r="C3569" s="200"/>
      <c r="F3569" s="758"/>
    </row>
    <row r="3570" spans="3:20" s="517" customFormat="1" ht="31.2" customHeight="1" thickBot="1">
      <c r="C3570" s="513" t="s">
        <v>7246</v>
      </c>
      <c r="D3570" s="748" t="s">
        <v>7247</v>
      </c>
      <c r="E3570" s="749"/>
      <c r="F3570" s="748"/>
      <c r="G3570" s="748"/>
      <c r="H3570" s="532"/>
      <c r="I3570" s="532"/>
      <c r="J3570" s="532"/>
      <c r="K3570" s="532"/>
      <c r="M3570" s="189"/>
      <c r="N3570" s="189"/>
      <c r="O3570" s="189"/>
      <c r="P3570" s="189"/>
      <c r="R3570" s="189">
        <f>ROUNDDOWN(H3594,-2)</f>
        <v>377000</v>
      </c>
      <c r="S3570" s="517" t="s">
        <v>6451</v>
      </c>
      <c r="T3570" s="517" t="s">
        <v>7014</v>
      </c>
    </row>
    <row r="3571" spans="3:20" s="517" customFormat="1" ht="31.2" customHeight="1" thickTop="1">
      <c r="C3571" s="190" t="s">
        <v>1195</v>
      </c>
      <c r="D3571" s="191" t="s">
        <v>1196</v>
      </c>
      <c r="E3571" s="191" t="s">
        <v>1197</v>
      </c>
      <c r="F3571" s="191" t="s">
        <v>1198</v>
      </c>
      <c r="G3571" s="191" t="s">
        <v>1199</v>
      </c>
      <c r="H3571" s="192" t="s">
        <v>1200</v>
      </c>
      <c r="L3571" s="200"/>
      <c r="M3571" s="200"/>
      <c r="N3571" s="200"/>
      <c r="O3571" s="200"/>
      <c r="P3571" s="200"/>
    </row>
    <row r="3572" spans="3:20" s="517" customFormat="1" ht="31.2" customHeight="1">
      <c r="C3572" s="518" t="s">
        <v>1201</v>
      </c>
      <c r="D3572" s="196" t="s">
        <v>1202</v>
      </c>
      <c r="E3572" s="197"/>
      <c r="F3572" s="197"/>
      <c r="G3572" s="197"/>
      <c r="H3572" s="198"/>
      <c r="L3572" s="200"/>
      <c r="M3572" s="200"/>
      <c r="N3572" s="200"/>
      <c r="O3572" s="200"/>
      <c r="P3572" s="200"/>
    </row>
    <row r="3573" spans="3:20" s="517" customFormat="1" ht="31.2" customHeight="1">
      <c r="C3573" s="518">
        <v>1</v>
      </c>
      <c r="D3573" s="196" t="s">
        <v>5</v>
      </c>
      <c r="E3573" s="203" t="s">
        <v>2102</v>
      </c>
      <c r="F3573" s="525">
        <v>0.1</v>
      </c>
      <c r="G3573" s="205">
        <f>VLOOKUP(D3573,upahbahan,3,FALSE)</f>
        <v>100000</v>
      </c>
      <c r="H3573" s="210">
        <f t="shared" ref="H3573:H3576" si="243">F3573*G3573</f>
        <v>10000</v>
      </c>
      <c r="L3573" s="200"/>
      <c r="M3573" s="200"/>
      <c r="N3573" s="200"/>
      <c r="O3573" s="200"/>
      <c r="P3573" s="200"/>
    </row>
    <row r="3574" spans="3:20" s="517" customFormat="1" ht="31.2" customHeight="1">
      <c r="C3574" s="537">
        <v>2</v>
      </c>
      <c r="D3574" s="196" t="s">
        <v>6954</v>
      </c>
      <c r="E3574" s="202" t="s">
        <v>6</v>
      </c>
      <c r="F3574" s="520">
        <v>0.1</v>
      </c>
      <c r="G3574" s="205">
        <f>VLOOKUP(D3574,upahbahan,3,FALSE)</f>
        <v>181250</v>
      </c>
      <c r="H3574" s="210">
        <f t="shared" si="243"/>
        <v>18125</v>
      </c>
      <c r="L3574" s="200"/>
      <c r="M3574" s="200"/>
      <c r="N3574" s="200"/>
      <c r="O3574" s="200"/>
      <c r="P3574" s="200"/>
    </row>
    <row r="3575" spans="3:20" s="517" customFormat="1" ht="31.2" customHeight="1">
      <c r="C3575" s="537">
        <v>3</v>
      </c>
      <c r="D3575" s="196" t="s">
        <v>6948</v>
      </c>
      <c r="E3575" s="202" t="s">
        <v>2102</v>
      </c>
      <c r="F3575" s="520">
        <v>0.05</v>
      </c>
      <c r="G3575" s="205">
        <f>VLOOKUP(D3575,upahbahan,3,FALSE)</f>
        <v>218750</v>
      </c>
      <c r="H3575" s="210">
        <f t="shared" si="243"/>
        <v>10937.5</v>
      </c>
      <c r="L3575" s="200"/>
      <c r="M3575" s="200"/>
      <c r="N3575" s="200"/>
      <c r="O3575" s="200"/>
      <c r="P3575" s="200"/>
    </row>
    <row r="3576" spans="3:20" s="517" customFormat="1" ht="31.2" customHeight="1">
      <c r="C3576" s="537">
        <v>4</v>
      </c>
      <c r="D3576" s="196" t="s">
        <v>19</v>
      </c>
      <c r="E3576" s="202" t="s">
        <v>6</v>
      </c>
      <c r="F3576" s="520">
        <v>1.67E-2</v>
      </c>
      <c r="G3576" s="205">
        <f>VLOOKUP(D3576,upahbahan,3,FALSE)</f>
        <v>160000</v>
      </c>
      <c r="H3576" s="210">
        <f t="shared" si="243"/>
        <v>2672</v>
      </c>
      <c r="L3576" s="200"/>
      <c r="M3576" s="200"/>
      <c r="N3576" s="200"/>
      <c r="O3576" s="200"/>
      <c r="P3576" s="200"/>
    </row>
    <row r="3577" spans="3:20" s="517" customFormat="1" ht="31.2" customHeight="1">
      <c r="C3577" s="207" t="s">
        <v>1208</v>
      </c>
      <c r="D3577" s="208"/>
      <c r="E3577" s="208"/>
      <c r="F3577" s="521"/>
      <c r="G3577" s="522"/>
      <c r="H3577" s="210">
        <f>SUM(H3573:H3576)</f>
        <v>41734.5</v>
      </c>
      <c r="L3577" s="523"/>
      <c r="M3577" s="523"/>
      <c r="N3577" s="523"/>
      <c r="O3577" s="523"/>
      <c r="P3577" s="523"/>
    </row>
    <row r="3578" spans="3:20" s="517" customFormat="1" ht="31.2" customHeight="1">
      <c r="C3578" s="543" t="s">
        <v>1209</v>
      </c>
      <c r="D3578" s="750" t="s">
        <v>1210</v>
      </c>
      <c r="E3578" s="197"/>
      <c r="F3578" s="751"/>
      <c r="G3578" s="197"/>
      <c r="H3578" s="752"/>
      <c r="L3578" s="200"/>
      <c r="M3578" s="200"/>
      <c r="N3578" s="200"/>
      <c r="O3578" s="200"/>
      <c r="P3578" s="200"/>
    </row>
    <row r="3579" spans="3:20" s="517" customFormat="1" ht="31.2" customHeight="1">
      <c r="C3579" s="543">
        <v>1</v>
      </c>
      <c r="D3579" s="750" t="s">
        <v>7248</v>
      </c>
      <c r="E3579" s="203" t="s">
        <v>44</v>
      </c>
      <c r="F3579" s="753">
        <v>1.05</v>
      </c>
      <c r="G3579" s="205">
        <f>VLOOKUP(D3579,upahbahan,3,FALSE)</f>
        <v>0</v>
      </c>
      <c r="H3579" s="210">
        <f t="shared" ref="H3579:H3587" si="244">F3579*G3579</f>
        <v>0</v>
      </c>
      <c r="L3579" s="200"/>
      <c r="M3579" s="200"/>
      <c r="N3579" s="200"/>
      <c r="O3579" s="200"/>
      <c r="P3579" s="200"/>
    </row>
    <row r="3580" spans="3:20" s="517" customFormat="1" ht="31.2" customHeight="1">
      <c r="C3580" s="543">
        <v>2</v>
      </c>
      <c r="D3580" s="750" t="s">
        <v>5563</v>
      </c>
      <c r="E3580" s="203" t="s">
        <v>65</v>
      </c>
      <c r="F3580" s="753">
        <v>0.02</v>
      </c>
      <c r="G3580" s="205">
        <f>VLOOKUP(D3580,upahbahan,3,FALSE)</f>
        <v>0</v>
      </c>
      <c r="H3580" s="210">
        <f t="shared" si="244"/>
        <v>0</v>
      </c>
      <c r="L3580" s="200"/>
      <c r="M3580" s="200"/>
      <c r="N3580" s="200"/>
      <c r="O3580" s="200"/>
      <c r="P3580" s="200"/>
    </row>
    <row r="3581" spans="3:20" s="517" customFormat="1" ht="31.2" customHeight="1">
      <c r="C3581" s="543">
        <v>3</v>
      </c>
      <c r="D3581" s="750" t="s">
        <v>5555</v>
      </c>
      <c r="E3581" s="203"/>
      <c r="F3581" s="753"/>
      <c r="G3581" s="197"/>
      <c r="H3581" s="210">
        <f t="shared" si="244"/>
        <v>0</v>
      </c>
      <c r="L3581" s="200"/>
      <c r="M3581" s="200"/>
      <c r="N3581" s="200"/>
      <c r="O3581" s="200"/>
      <c r="P3581" s="200"/>
    </row>
    <row r="3582" spans="3:20" s="517" customFormat="1" ht="31.2" customHeight="1">
      <c r="C3582" s="754" t="s">
        <v>5293</v>
      </c>
      <c r="D3582" s="750" t="s">
        <v>7209</v>
      </c>
      <c r="E3582" s="203" t="s">
        <v>113</v>
      </c>
      <c r="F3582" s="760">
        <v>18</v>
      </c>
      <c r="G3582" s="205">
        <f>VLOOKUP(D3582,upahbahan,3,FALSE)</f>
        <v>0</v>
      </c>
      <c r="H3582" s="210">
        <f t="shared" si="244"/>
        <v>0</v>
      </c>
      <c r="L3582" s="200"/>
      <c r="M3582" s="200"/>
      <c r="N3582" s="200"/>
      <c r="O3582" s="200"/>
      <c r="P3582" s="200"/>
    </row>
    <row r="3583" spans="3:20" s="517" customFormat="1" ht="31.2" customHeight="1">
      <c r="C3583" s="754" t="s">
        <v>5299</v>
      </c>
      <c r="D3583" s="750" t="s">
        <v>7055</v>
      </c>
      <c r="E3583" s="203" t="s">
        <v>113</v>
      </c>
      <c r="F3583" s="760">
        <v>10</v>
      </c>
      <c r="G3583" s="205">
        <f>VLOOKUP(D3583,upahbahan,3,FALSE)</f>
        <v>0</v>
      </c>
      <c r="H3583" s="210">
        <f t="shared" si="244"/>
        <v>0</v>
      </c>
      <c r="L3583" s="200"/>
      <c r="M3583" s="200"/>
      <c r="N3583" s="200"/>
      <c r="O3583" s="200"/>
      <c r="P3583" s="200"/>
    </row>
    <row r="3584" spans="3:20" s="517" customFormat="1" ht="31.2" customHeight="1">
      <c r="C3584" s="543">
        <v>4</v>
      </c>
      <c r="D3584" s="750" t="s">
        <v>5556</v>
      </c>
      <c r="E3584" s="203"/>
      <c r="F3584" s="753"/>
      <c r="G3584" s="197"/>
      <c r="H3584" s="210">
        <f t="shared" si="244"/>
        <v>0</v>
      </c>
      <c r="L3584" s="200"/>
      <c r="M3584" s="200"/>
      <c r="N3584" s="200"/>
      <c r="O3584" s="200"/>
      <c r="P3584" s="200"/>
    </row>
    <row r="3585" spans="3:20" s="517" customFormat="1" ht="31.2" customHeight="1">
      <c r="C3585" s="754" t="s">
        <v>5293</v>
      </c>
      <c r="D3585" s="750" t="s">
        <v>2084</v>
      </c>
      <c r="E3585" s="203" t="s">
        <v>42</v>
      </c>
      <c r="F3585" s="753">
        <v>0.24399999999999999</v>
      </c>
      <c r="G3585" s="205">
        <f>VLOOKUP(D3585,upahbahan,3,FALSE)</f>
        <v>0</v>
      </c>
      <c r="H3585" s="210">
        <f t="shared" si="244"/>
        <v>0</v>
      </c>
      <c r="L3585" s="200"/>
      <c r="M3585" s="200"/>
      <c r="N3585" s="200"/>
      <c r="O3585" s="200"/>
      <c r="P3585" s="200"/>
    </row>
    <row r="3586" spans="3:20" s="517" customFormat="1" ht="31.2" customHeight="1">
      <c r="C3586" s="754" t="s">
        <v>5299</v>
      </c>
      <c r="D3586" s="750" t="s">
        <v>5566</v>
      </c>
      <c r="E3586" s="203" t="s">
        <v>42</v>
      </c>
      <c r="F3586" s="753">
        <v>6.5000000000000002E-2</v>
      </c>
      <c r="G3586" s="205">
        <f>VLOOKUP(D3586,upahbahan,3,FALSE)</f>
        <v>0</v>
      </c>
      <c r="H3586" s="210">
        <f t="shared" si="244"/>
        <v>0</v>
      </c>
      <c r="L3586" s="200"/>
      <c r="M3586" s="200"/>
      <c r="N3586" s="200"/>
      <c r="O3586" s="200"/>
      <c r="P3586" s="200"/>
    </row>
    <row r="3587" spans="3:20" s="517" customFormat="1" ht="31.2" customHeight="1">
      <c r="C3587" s="754" t="s">
        <v>5558</v>
      </c>
      <c r="D3587" s="750" t="s">
        <v>2325</v>
      </c>
      <c r="E3587" s="203" t="s">
        <v>42</v>
      </c>
      <c r="F3587" s="762">
        <v>1.6E-2</v>
      </c>
      <c r="G3587" s="205">
        <f>VLOOKUP(D3587,upahbahan,3,FALSE)</f>
        <v>0</v>
      </c>
      <c r="H3587" s="210">
        <f t="shared" si="244"/>
        <v>0</v>
      </c>
      <c r="L3587" s="200"/>
      <c r="M3587" s="200"/>
      <c r="N3587" s="200"/>
      <c r="O3587" s="200"/>
      <c r="P3587" s="200"/>
    </row>
    <row r="3588" spans="3:20" s="517" customFormat="1" ht="31.2" customHeight="1">
      <c r="C3588" s="207" t="s">
        <v>1214</v>
      </c>
      <c r="D3588" s="208"/>
      <c r="E3588" s="568"/>
      <c r="F3588" s="208"/>
      <c r="G3588" s="209"/>
      <c r="H3588" s="210">
        <f>SUM(H3579:H3587)</f>
        <v>0</v>
      </c>
      <c r="L3588" s="200"/>
      <c r="M3588" s="200"/>
      <c r="N3588" s="200"/>
      <c r="O3588" s="200"/>
      <c r="P3588" s="200"/>
    </row>
    <row r="3589" spans="3:20" s="517" customFormat="1" ht="31.2" customHeight="1">
      <c r="C3589" s="756" t="s">
        <v>1215</v>
      </c>
      <c r="D3589" s="196" t="s">
        <v>1216</v>
      </c>
      <c r="E3589" s="203"/>
      <c r="F3589" s="197"/>
      <c r="G3589" s="197"/>
      <c r="H3589" s="198"/>
      <c r="L3589" s="200"/>
      <c r="M3589" s="200"/>
      <c r="N3589" s="200"/>
      <c r="O3589" s="200"/>
      <c r="P3589" s="200"/>
    </row>
    <row r="3590" spans="3:20" s="517" customFormat="1" ht="31.2" customHeight="1">
      <c r="C3590" s="543">
        <v>1</v>
      </c>
      <c r="D3590" s="750" t="s">
        <v>7189</v>
      </c>
      <c r="E3590" s="203" t="s">
        <v>42</v>
      </c>
      <c r="F3590" s="762">
        <v>0.7</v>
      </c>
      <c r="G3590" s="205">
        <f>VLOOKUP(D3590,upahbahan,3,FALSE)</f>
        <v>430000</v>
      </c>
      <c r="H3590" s="210">
        <f>F3590*G3590</f>
        <v>301000</v>
      </c>
      <c r="L3590" s="200"/>
      <c r="M3590" s="200"/>
      <c r="N3590" s="200"/>
      <c r="O3590" s="200"/>
      <c r="P3590" s="200"/>
    </row>
    <row r="3591" spans="3:20" s="517" customFormat="1" ht="31.2" customHeight="1">
      <c r="C3591" s="207" t="s">
        <v>1217</v>
      </c>
      <c r="D3591" s="208"/>
      <c r="E3591" s="208"/>
      <c r="F3591" s="208"/>
      <c r="G3591" s="209"/>
      <c r="H3591" s="240">
        <f>SUM(H3589:H3590)</f>
        <v>301000</v>
      </c>
      <c r="L3591" s="200"/>
      <c r="M3591" s="200"/>
      <c r="N3591" s="200"/>
      <c r="O3591" s="200"/>
      <c r="P3591" s="200"/>
    </row>
    <row r="3592" spans="3:20" s="517" customFormat="1" ht="31.2" customHeight="1">
      <c r="C3592" s="223" t="s">
        <v>1218</v>
      </c>
      <c r="D3592" s="224" t="s">
        <v>1219</v>
      </c>
      <c r="E3592" s="225"/>
      <c r="F3592" s="225"/>
      <c r="G3592" s="226"/>
      <c r="H3592" s="210">
        <f>H3591+H3588+H3577</f>
        <v>342734.5</v>
      </c>
      <c r="L3592" s="200"/>
      <c r="M3592" s="200"/>
      <c r="N3592" s="200"/>
      <c r="O3592" s="200"/>
      <c r="P3592" s="200"/>
    </row>
    <row r="3593" spans="3:20" s="517" customFormat="1" ht="31.2" customHeight="1">
      <c r="C3593" s="223" t="s">
        <v>1220</v>
      </c>
      <c r="D3593" s="224" t="s">
        <v>1321</v>
      </c>
      <c r="E3593" s="225"/>
      <c r="F3593" s="226"/>
      <c r="G3593" s="228">
        <v>0.1</v>
      </c>
      <c r="H3593" s="210">
        <f>H3592*G3593</f>
        <v>34273.450000000004</v>
      </c>
      <c r="L3593" s="200"/>
      <c r="M3593" s="200"/>
      <c r="N3593" s="200"/>
      <c r="O3593" s="200"/>
      <c r="P3593" s="200"/>
    </row>
    <row r="3594" spans="3:20" s="517" customFormat="1" ht="31.2" customHeight="1" thickBot="1">
      <c r="C3594" s="229" t="s">
        <v>1221</v>
      </c>
      <c r="D3594" s="230" t="s">
        <v>1222</v>
      </c>
      <c r="E3594" s="231"/>
      <c r="F3594" s="231"/>
      <c r="G3594" s="232"/>
      <c r="H3594" s="233">
        <f>SUM(H3592:H3593)</f>
        <v>377007.95</v>
      </c>
      <c r="L3594" s="200"/>
      <c r="M3594" s="200"/>
      <c r="N3594" s="200"/>
      <c r="O3594" s="200"/>
      <c r="P3594" s="200"/>
    </row>
    <row r="3595" spans="3:20" ht="31.2" customHeight="1" thickTop="1">
      <c r="D3595" s="758" t="s">
        <v>7210</v>
      </c>
    </row>
    <row r="3596" spans="3:20" ht="31.2" customHeight="1">
      <c r="C3596" s="757" t="s">
        <v>6950</v>
      </c>
      <c r="F3596" s="758"/>
      <c r="H3596" s="758" t="s">
        <v>6959</v>
      </c>
    </row>
    <row r="3597" spans="3:20" ht="31.2" customHeight="1">
      <c r="C3597" s="200" t="s">
        <v>6951</v>
      </c>
      <c r="F3597" s="758"/>
    </row>
    <row r="3598" spans="3:20" ht="31.2" customHeight="1">
      <c r="C3598" s="200" t="s">
        <v>6952</v>
      </c>
      <c r="F3598" s="758"/>
    </row>
    <row r="3599" spans="3:20" ht="31.2" customHeight="1">
      <c r="C3599" s="200"/>
      <c r="F3599" s="758"/>
    </row>
    <row r="3600" spans="3:20" s="517" customFormat="1" ht="31.2" customHeight="1" thickBot="1">
      <c r="C3600" s="513" t="s">
        <v>7251</v>
      </c>
      <c r="D3600" s="748" t="s">
        <v>7249</v>
      </c>
      <c r="E3600" s="749"/>
      <c r="F3600" s="748"/>
      <c r="G3600" s="748"/>
      <c r="H3600" s="532"/>
      <c r="I3600" s="532"/>
      <c r="J3600" s="532"/>
      <c r="K3600" s="532"/>
      <c r="M3600" s="189"/>
      <c r="N3600" s="189"/>
      <c r="O3600" s="189"/>
      <c r="P3600" s="189"/>
      <c r="R3600" s="189">
        <f>ROUNDDOWN(H3624,-2)</f>
        <v>377000</v>
      </c>
      <c r="S3600" s="517" t="s">
        <v>6451</v>
      </c>
      <c r="T3600" s="517" t="s">
        <v>7014</v>
      </c>
    </row>
    <row r="3601" spans="3:16" s="517" customFormat="1" ht="31.2" customHeight="1" thickTop="1">
      <c r="C3601" s="190" t="s">
        <v>1195</v>
      </c>
      <c r="D3601" s="191" t="s">
        <v>1196</v>
      </c>
      <c r="E3601" s="191" t="s">
        <v>1197</v>
      </c>
      <c r="F3601" s="191" t="s">
        <v>1198</v>
      </c>
      <c r="G3601" s="191" t="s">
        <v>1199</v>
      </c>
      <c r="H3601" s="192" t="s">
        <v>1200</v>
      </c>
      <c r="L3601" s="200"/>
      <c r="M3601" s="200"/>
      <c r="N3601" s="200"/>
      <c r="O3601" s="200"/>
      <c r="P3601" s="200"/>
    </row>
    <row r="3602" spans="3:16" s="517" customFormat="1" ht="31.2" customHeight="1">
      <c r="C3602" s="518" t="s">
        <v>1201</v>
      </c>
      <c r="D3602" s="196" t="s">
        <v>1202</v>
      </c>
      <c r="E3602" s="197"/>
      <c r="F3602" s="197"/>
      <c r="G3602" s="197"/>
      <c r="H3602" s="198"/>
      <c r="L3602" s="200"/>
      <c r="M3602" s="200"/>
      <c r="N3602" s="200"/>
      <c r="O3602" s="200"/>
      <c r="P3602" s="200"/>
    </row>
    <row r="3603" spans="3:16" s="517" customFormat="1" ht="31.2" customHeight="1">
      <c r="C3603" s="518">
        <v>1</v>
      </c>
      <c r="D3603" s="196" t="s">
        <v>5</v>
      </c>
      <c r="E3603" s="203" t="s">
        <v>2102</v>
      </c>
      <c r="F3603" s="525">
        <v>0.1</v>
      </c>
      <c r="G3603" s="205">
        <f>VLOOKUP(D3603,upahbahan,3,FALSE)</f>
        <v>100000</v>
      </c>
      <c r="H3603" s="210">
        <f t="shared" ref="H3603:H3606" si="245">F3603*G3603</f>
        <v>10000</v>
      </c>
      <c r="L3603" s="200"/>
      <c r="M3603" s="200"/>
      <c r="N3603" s="200"/>
      <c r="O3603" s="200"/>
      <c r="P3603" s="200"/>
    </row>
    <row r="3604" spans="3:16" s="517" customFormat="1" ht="31.2" customHeight="1">
      <c r="C3604" s="537">
        <v>2</v>
      </c>
      <c r="D3604" s="196" t="s">
        <v>6954</v>
      </c>
      <c r="E3604" s="202" t="s">
        <v>6</v>
      </c>
      <c r="F3604" s="520">
        <v>0.1</v>
      </c>
      <c r="G3604" s="205">
        <f>VLOOKUP(D3604,upahbahan,3,FALSE)</f>
        <v>181250</v>
      </c>
      <c r="H3604" s="210">
        <f t="shared" si="245"/>
        <v>18125</v>
      </c>
      <c r="L3604" s="200"/>
      <c r="M3604" s="200"/>
      <c r="N3604" s="200"/>
      <c r="O3604" s="200"/>
      <c r="P3604" s="200"/>
    </row>
    <row r="3605" spans="3:16" s="517" customFormat="1" ht="31.2" customHeight="1">
      <c r="C3605" s="537">
        <v>3</v>
      </c>
      <c r="D3605" s="196" t="s">
        <v>6948</v>
      </c>
      <c r="E3605" s="202" t="s">
        <v>2102</v>
      </c>
      <c r="F3605" s="520">
        <v>0.05</v>
      </c>
      <c r="G3605" s="205">
        <f>VLOOKUP(D3605,upahbahan,3,FALSE)</f>
        <v>218750</v>
      </c>
      <c r="H3605" s="210">
        <f t="shared" si="245"/>
        <v>10937.5</v>
      </c>
      <c r="L3605" s="200"/>
      <c r="M3605" s="200"/>
      <c r="N3605" s="200"/>
      <c r="O3605" s="200"/>
      <c r="P3605" s="200"/>
    </row>
    <row r="3606" spans="3:16" s="517" customFormat="1" ht="31.2" customHeight="1">
      <c r="C3606" s="537">
        <v>4</v>
      </c>
      <c r="D3606" s="196" t="s">
        <v>19</v>
      </c>
      <c r="E3606" s="202" t="s">
        <v>6</v>
      </c>
      <c r="F3606" s="520">
        <v>1.67E-2</v>
      </c>
      <c r="G3606" s="205">
        <f>VLOOKUP(D3606,upahbahan,3,FALSE)</f>
        <v>160000</v>
      </c>
      <c r="H3606" s="210">
        <f t="shared" si="245"/>
        <v>2672</v>
      </c>
      <c r="L3606" s="200"/>
      <c r="M3606" s="200"/>
      <c r="N3606" s="200"/>
      <c r="O3606" s="200"/>
      <c r="P3606" s="200"/>
    </row>
    <row r="3607" spans="3:16" s="517" customFormat="1" ht="31.2" customHeight="1">
      <c r="C3607" s="207" t="s">
        <v>1208</v>
      </c>
      <c r="D3607" s="208"/>
      <c r="E3607" s="208"/>
      <c r="F3607" s="521"/>
      <c r="G3607" s="522"/>
      <c r="H3607" s="210">
        <f>SUM(H3603:H3606)</f>
        <v>41734.5</v>
      </c>
      <c r="L3607" s="523"/>
      <c r="M3607" s="523"/>
      <c r="N3607" s="523"/>
      <c r="O3607" s="523"/>
      <c r="P3607" s="523"/>
    </row>
    <row r="3608" spans="3:16" s="517" customFormat="1" ht="31.2" customHeight="1">
      <c r="C3608" s="543" t="s">
        <v>1209</v>
      </c>
      <c r="D3608" s="750" t="s">
        <v>1210</v>
      </c>
      <c r="E3608" s="197"/>
      <c r="F3608" s="751"/>
      <c r="G3608" s="197"/>
      <c r="H3608" s="752"/>
      <c r="L3608" s="200"/>
      <c r="M3608" s="200"/>
      <c r="N3608" s="200"/>
      <c r="O3608" s="200"/>
      <c r="P3608" s="200"/>
    </row>
    <row r="3609" spans="3:16" s="517" customFormat="1" ht="31.2" customHeight="1">
      <c r="C3609" s="543">
        <v>1</v>
      </c>
      <c r="D3609" s="750" t="s">
        <v>7250</v>
      </c>
      <c r="E3609" s="203" t="s">
        <v>44</v>
      </c>
      <c r="F3609" s="753">
        <v>1.05</v>
      </c>
      <c r="G3609" s="205">
        <f>VLOOKUP(D3609,upahbahan,3,FALSE)</f>
        <v>0</v>
      </c>
      <c r="H3609" s="210">
        <f t="shared" ref="H3609:H3617" si="246">F3609*G3609</f>
        <v>0</v>
      </c>
      <c r="L3609" s="200"/>
      <c r="M3609" s="200"/>
      <c r="N3609" s="200"/>
      <c r="O3609" s="200"/>
      <c r="P3609" s="200"/>
    </row>
    <row r="3610" spans="3:16" s="517" customFormat="1" ht="31.2" customHeight="1">
      <c r="C3610" s="543">
        <v>2</v>
      </c>
      <c r="D3610" s="750" t="s">
        <v>5563</v>
      </c>
      <c r="E3610" s="203" t="s">
        <v>65</v>
      </c>
      <c r="F3610" s="753">
        <v>0.02</v>
      </c>
      <c r="G3610" s="205">
        <f>VLOOKUP(D3610,upahbahan,3,FALSE)</f>
        <v>0</v>
      </c>
      <c r="H3610" s="210">
        <f t="shared" si="246"/>
        <v>0</v>
      </c>
      <c r="L3610" s="200"/>
      <c r="M3610" s="200"/>
      <c r="N3610" s="200"/>
      <c r="O3610" s="200"/>
      <c r="P3610" s="200"/>
    </row>
    <row r="3611" spans="3:16" s="517" customFormat="1" ht="31.2" customHeight="1">
      <c r="C3611" s="543">
        <v>3</v>
      </c>
      <c r="D3611" s="750" t="s">
        <v>5555</v>
      </c>
      <c r="E3611" s="203"/>
      <c r="F3611" s="753"/>
      <c r="G3611" s="197"/>
      <c r="H3611" s="210">
        <f t="shared" si="246"/>
        <v>0</v>
      </c>
      <c r="L3611" s="200"/>
      <c r="M3611" s="200"/>
      <c r="N3611" s="200"/>
      <c r="O3611" s="200"/>
      <c r="P3611" s="200"/>
    </row>
    <row r="3612" spans="3:16" s="517" customFormat="1" ht="31.2" customHeight="1">
      <c r="C3612" s="754" t="s">
        <v>5293</v>
      </c>
      <c r="D3612" s="750" t="s">
        <v>7209</v>
      </c>
      <c r="E3612" s="203" t="s">
        <v>113</v>
      </c>
      <c r="F3612" s="760">
        <v>18</v>
      </c>
      <c r="G3612" s="205">
        <f>VLOOKUP(D3612,upahbahan,3,FALSE)</f>
        <v>0</v>
      </c>
      <c r="H3612" s="210">
        <f t="shared" si="246"/>
        <v>0</v>
      </c>
      <c r="L3612" s="200"/>
      <c r="M3612" s="200"/>
      <c r="N3612" s="200"/>
      <c r="O3612" s="200"/>
      <c r="P3612" s="200"/>
    </row>
    <row r="3613" spans="3:16" s="517" customFormat="1" ht="31.2" customHeight="1">
      <c r="C3613" s="754" t="s">
        <v>5299</v>
      </c>
      <c r="D3613" s="750" t="s">
        <v>7055</v>
      </c>
      <c r="E3613" s="203" t="s">
        <v>113</v>
      </c>
      <c r="F3613" s="760">
        <v>10</v>
      </c>
      <c r="G3613" s="205">
        <f>VLOOKUP(D3613,upahbahan,3,FALSE)</f>
        <v>0</v>
      </c>
      <c r="H3613" s="210">
        <f t="shared" si="246"/>
        <v>0</v>
      </c>
      <c r="L3613" s="200"/>
      <c r="M3613" s="200"/>
      <c r="N3613" s="200"/>
      <c r="O3613" s="200"/>
      <c r="P3613" s="200"/>
    </row>
    <row r="3614" spans="3:16" s="517" customFormat="1" ht="31.2" customHeight="1">
      <c r="C3614" s="543">
        <v>4</v>
      </c>
      <c r="D3614" s="750" t="s">
        <v>5556</v>
      </c>
      <c r="E3614" s="203"/>
      <c r="F3614" s="753"/>
      <c r="G3614" s="197"/>
      <c r="H3614" s="210">
        <f t="shared" si="246"/>
        <v>0</v>
      </c>
      <c r="L3614" s="200"/>
      <c r="M3614" s="200"/>
      <c r="N3614" s="200"/>
      <c r="O3614" s="200"/>
      <c r="P3614" s="200"/>
    </row>
    <row r="3615" spans="3:16" s="517" customFormat="1" ht="31.2" customHeight="1">
      <c r="C3615" s="754" t="s">
        <v>5293</v>
      </c>
      <c r="D3615" s="750" t="s">
        <v>2084</v>
      </c>
      <c r="E3615" s="203" t="s">
        <v>42</v>
      </c>
      <c r="F3615" s="753">
        <v>0.24399999999999999</v>
      </c>
      <c r="G3615" s="205">
        <f>VLOOKUP(D3615,upahbahan,3,FALSE)</f>
        <v>0</v>
      </c>
      <c r="H3615" s="210">
        <f t="shared" si="246"/>
        <v>0</v>
      </c>
      <c r="L3615" s="200"/>
      <c r="M3615" s="200"/>
      <c r="N3615" s="200"/>
      <c r="O3615" s="200"/>
      <c r="P3615" s="200"/>
    </row>
    <row r="3616" spans="3:16" s="517" customFormat="1" ht="31.2" customHeight="1">
      <c r="C3616" s="754" t="s">
        <v>5299</v>
      </c>
      <c r="D3616" s="750" t="s">
        <v>5566</v>
      </c>
      <c r="E3616" s="203" t="s">
        <v>42</v>
      </c>
      <c r="F3616" s="753">
        <v>6.5000000000000002E-2</v>
      </c>
      <c r="G3616" s="205">
        <f>VLOOKUP(D3616,upahbahan,3,FALSE)</f>
        <v>0</v>
      </c>
      <c r="H3616" s="210">
        <f t="shared" si="246"/>
        <v>0</v>
      </c>
      <c r="L3616" s="200"/>
      <c r="M3616" s="200"/>
      <c r="N3616" s="200"/>
      <c r="O3616" s="200"/>
      <c r="P3616" s="200"/>
    </row>
    <row r="3617" spans="3:16" s="517" customFormat="1" ht="31.2" customHeight="1">
      <c r="C3617" s="754" t="s">
        <v>5558</v>
      </c>
      <c r="D3617" s="750" t="s">
        <v>2325</v>
      </c>
      <c r="E3617" s="203" t="s">
        <v>42</v>
      </c>
      <c r="F3617" s="762">
        <v>1.6E-2</v>
      </c>
      <c r="G3617" s="205">
        <f>VLOOKUP(D3617,upahbahan,3,FALSE)</f>
        <v>0</v>
      </c>
      <c r="H3617" s="210">
        <f t="shared" si="246"/>
        <v>0</v>
      </c>
      <c r="L3617" s="200"/>
      <c r="M3617" s="200"/>
      <c r="N3617" s="200"/>
      <c r="O3617" s="200"/>
      <c r="P3617" s="200"/>
    </row>
    <row r="3618" spans="3:16" s="517" customFormat="1" ht="31.2" customHeight="1">
      <c r="C3618" s="207" t="s">
        <v>1214</v>
      </c>
      <c r="D3618" s="208"/>
      <c r="E3618" s="568"/>
      <c r="F3618" s="208"/>
      <c r="G3618" s="209"/>
      <c r="H3618" s="210">
        <f>SUM(H3609:H3617)</f>
        <v>0</v>
      </c>
      <c r="L3618" s="200"/>
      <c r="M3618" s="200"/>
      <c r="N3618" s="200"/>
      <c r="O3618" s="200"/>
      <c r="P3618" s="200"/>
    </row>
    <row r="3619" spans="3:16" s="517" customFormat="1" ht="31.2" customHeight="1">
      <c r="C3619" s="756" t="s">
        <v>1215</v>
      </c>
      <c r="D3619" s="196" t="s">
        <v>1216</v>
      </c>
      <c r="E3619" s="203"/>
      <c r="F3619" s="197"/>
      <c r="G3619" s="197"/>
      <c r="H3619" s="198"/>
      <c r="L3619" s="200"/>
      <c r="M3619" s="200"/>
      <c r="N3619" s="200"/>
      <c r="O3619" s="200"/>
      <c r="P3619" s="200"/>
    </row>
    <row r="3620" spans="3:16" s="517" customFormat="1" ht="31.2" customHeight="1">
      <c r="C3620" s="543">
        <v>1</v>
      </c>
      <c r="D3620" s="750" t="s">
        <v>7189</v>
      </c>
      <c r="E3620" s="203" t="s">
        <v>42</v>
      </c>
      <c r="F3620" s="762">
        <v>0.7</v>
      </c>
      <c r="G3620" s="205">
        <f>VLOOKUP(D3620,upahbahan,3,FALSE)</f>
        <v>430000</v>
      </c>
      <c r="H3620" s="210">
        <f>F3620*G3620</f>
        <v>301000</v>
      </c>
      <c r="L3620" s="200"/>
      <c r="M3620" s="200"/>
      <c r="N3620" s="200"/>
      <c r="O3620" s="200"/>
      <c r="P3620" s="200"/>
    </row>
    <row r="3621" spans="3:16" s="517" customFormat="1" ht="31.2" customHeight="1">
      <c r="C3621" s="207" t="s">
        <v>1217</v>
      </c>
      <c r="D3621" s="208"/>
      <c r="E3621" s="208"/>
      <c r="F3621" s="208"/>
      <c r="G3621" s="209"/>
      <c r="H3621" s="240">
        <f>SUM(H3619:H3620)</f>
        <v>301000</v>
      </c>
      <c r="L3621" s="200"/>
      <c r="M3621" s="200"/>
      <c r="N3621" s="200"/>
      <c r="O3621" s="200"/>
      <c r="P3621" s="200"/>
    </row>
    <row r="3622" spans="3:16" s="517" customFormat="1" ht="31.2" customHeight="1">
      <c r="C3622" s="223" t="s">
        <v>1218</v>
      </c>
      <c r="D3622" s="224" t="s">
        <v>1219</v>
      </c>
      <c r="E3622" s="225"/>
      <c r="F3622" s="225"/>
      <c r="G3622" s="226"/>
      <c r="H3622" s="210">
        <f>H3621+H3618+H3607</f>
        <v>342734.5</v>
      </c>
      <c r="L3622" s="200"/>
      <c r="M3622" s="200"/>
      <c r="N3622" s="200"/>
      <c r="O3622" s="200"/>
      <c r="P3622" s="200"/>
    </row>
    <row r="3623" spans="3:16" s="517" customFormat="1" ht="31.2" customHeight="1">
      <c r="C3623" s="223" t="s">
        <v>1220</v>
      </c>
      <c r="D3623" s="224" t="s">
        <v>1321</v>
      </c>
      <c r="E3623" s="225"/>
      <c r="F3623" s="226"/>
      <c r="G3623" s="228">
        <v>0.1</v>
      </c>
      <c r="H3623" s="210">
        <f>H3622*G3623</f>
        <v>34273.450000000004</v>
      </c>
      <c r="L3623" s="200"/>
      <c r="M3623" s="200"/>
      <c r="N3623" s="200"/>
      <c r="O3623" s="200"/>
      <c r="P3623" s="200"/>
    </row>
    <row r="3624" spans="3:16" s="517" customFormat="1" ht="31.2" customHeight="1" thickBot="1">
      <c r="C3624" s="229" t="s">
        <v>1221</v>
      </c>
      <c r="D3624" s="230" t="s">
        <v>1222</v>
      </c>
      <c r="E3624" s="231"/>
      <c r="F3624" s="231"/>
      <c r="G3624" s="232"/>
      <c r="H3624" s="233">
        <f>SUM(H3622:H3623)</f>
        <v>377007.95</v>
      </c>
      <c r="L3624" s="200"/>
      <c r="M3624" s="200"/>
      <c r="N3624" s="200"/>
      <c r="O3624" s="200"/>
      <c r="P3624" s="200"/>
    </row>
    <row r="3625" spans="3:16" ht="31.2" customHeight="1" thickTop="1">
      <c r="D3625" s="758" t="s">
        <v>7210</v>
      </c>
    </row>
    <row r="3626" spans="3:16" ht="31.2" customHeight="1">
      <c r="C3626" s="757" t="s">
        <v>6950</v>
      </c>
      <c r="F3626" s="758"/>
      <c r="H3626" s="758" t="s">
        <v>6959</v>
      </c>
    </row>
    <row r="3627" spans="3:16" ht="31.2" customHeight="1">
      <c r="C3627" s="200" t="s">
        <v>6951</v>
      </c>
      <c r="F3627" s="758"/>
    </row>
    <row r="3628" spans="3:16" ht="31.2" customHeight="1">
      <c r="C3628" s="200" t="s">
        <v>6952</v>
      </c>
      <c r="F3628" s="758"/>
    </row>
    <row r="3629" spans="3:16" ht="31.2" customHeight="1">
      <c r="C3629" s="200"/>
      <c r="F3629" s="758"/>
    </row>
    <row r="3630" spans="3:16" ht="31.2" customHeight="1">
      <c r="C3630" s="200"/>
      <c r="F3630" s="758"/>
    </row>
    <row r="3631" spans="3:16" ht="31.2" customHeight="1">
      <c r="C3631" s="200"/>
      <c r="F3631" s="758"/>
    </row>
    <row r="3632" spans="3:16" ht="31.2" customHeight="1">
      <c r="C3632" s="199" t="s">
        <v>5579</v>
      </c>
      <c r="D3632" s="187" t="s">
        <v>7252</v>
      </c>
      <c r="F3632" s="758"/>
    </row>
    <row r="3633" spans="3:20" ht="31.2" customHeight="1">
      <c r="C3633" s="199" t="s">
        <v>5580</v>
      </c>
      <c r="D3633" s="187" t="s">
        <v>7253</v>
      </c>
      <c r="F3633" s="758"/>
    </row>
    <row r="3634" spans="3:20" s="517" customFormat="1" ht="31.2" customHeight="1" thickBot="1">
      <c r="C3634" s="513" t="s">
        <v>7254</v>
      </c>
      <c r="D3634" s="748" t="s">
        <v>7255</v>
      </c>
      <c r="E3634" s="749"/>
      <c r="F3634" s="748"/>
      <c r="G3634" s="748"/>
      <c r="H3634" s="532"/>
      <c r="I3634" s="532"/>
      <c r="J3634" s="532"/>
      <c r="K3634" s="532"/>
      <c r="M3634" s="189"/>
      <c r="N3634" s="189"/>
      <c r="O3634" s="189"/>
      <c r="P3634" s="189"/>
      <c r="R3634" s="189">
        <f>ROUNDDOWN(H3657,-2)</f>
        <v>18300</v>
      </c>
      <c r="S3634" s="517" t="s">
        <v>6451</v>
      </c>
      <c r="T3634" s="517" t="s">
        <v>7257</v>
      </c>
    </row>
    <row r="3635" spans="3:20" s="517" customFormat="1" ht="31.2" customHeight="1" thickTop="1">
      <c r="C3635" s="190" t="s">
        <v>1195</v>
      </c>
      <c r="D3635" s="191" t="s">
        <v>1196</v>
      </c>
      <c r="E3635" s="191" t="s">
        <v>1197</v>
      </c>
      <c r="F3635" s="191" t="s">
        <v>1198</v>
      </c>
      <c r="G3635" s="191" t="s">
        <v>1199</v>
      </c>
      <c r="H3635" s="192" t="s">
        <v>1200</v>
      </c>
      <c r="L3635" s="200"/>
      <c r="M3635" s="200"/>
      <c r="N3635" s="200"/>
      <c r="O3635" s="200"/>
      <c r="P3635" s="200"/>
    </row>
    <row r="3636" spans="3:20" s="517" customFormat="1" ht="31.2" customHeight="1">
      <c r="C3636" s="518" t="s">
        <v>1201</v>
      </c>
      <c r="D3636" s="196" t="s">
        <v>1202</v>
      </c>
      <c r="E3636" s="197"/>
      <c r="F3636" s="197"/>
      <c r="G3636" s="197"/>
      <c r="H3636" s="198"/>
      <c r="L3636" s="200"/>
      <c r="M3636" s="200"/>
      <c r="N3636" s="200"/>
      <c r="O3636" s="200"/>
      <c r="P3636" s="200"/>
    </row>
    <row r="3637" spans="3:20" s="517" customFormat="1" ht="31.2" customHeight="1">
      <c r="C3637" s="518">
        <v>1</v>
      </c>
      <c r="D3637" s="196" t="s">
        <v>5</v>
      </c>
      <c r="E3637" s="203" t="s">
        <v>2102</v>
      </c>
      <c r="F3637" s="525">
        <v>0.04</v>
      </c>
      <c r="G3637" s="205">
        <f>VLOOKUP(D3637,upahbahan,3,FALSE)</f>
        <v>100000</v>
      </c>
      <c r="H3637" s="210">
        <f t="shared" ref="H3637:H3640" si="247">F3637*G3637</f>
        <v>4000</v>
      </c>
      <c r="L3637" s="200"/>
      <c r="M3637" s="200"/>
      <c r="N3637" s="200"/>
      <c r="O3637" s="200"/>
      <c r="P3637" s="200"/>
    </row>
    <row r="3638" spans="3:20" s="517" customFormat="1" ht="31.2" customHeight="1">
      <c r="C3638" s="537">
        <v>2</v>
      </c>
      <c r="D3638" s="196" t="s">
        <v>6954</v>
      </c>
      <c r="E3638" s="202" t="s">
        <v>6</v>
      </c>
      <c r="F3638" s="520">
        <v>0.04</v>
      </c>
      <c r="G3638" s="205">
        <f>VLOOKUP(D3638,upahbahan,3,FALSE)</f>
        <v>181250</v>
      </c>
      <c r="H3638" s="210">
        <f t="shared" si="247"/>
        <v>7250</v>
      </c>
      <c r="L3638" s="200"/>
      <c r="M3638" s="200"/>
      <c r="N3638" s="200"/>
      <c r="O3638" s="200"/>
      <c r="P3638" s="200"/>
    </row>
    <row r="3639" spans="3:20" s="517" customFormat="1" ht="31.2" customHeight="1">
      <c r="C3639" s="537">
        <v>3</v>
      </c>
      <c r="D3639" s="196" t="s">
        <v>6948</v>
      </c>
      <c r="E3639" s="202" t="s">
        <v>2102</v>
      </c>
      <c r="F3639" s="520">
        <v>0.02</v>
      </c>
      <c r="G3639" s="205">
        <f>VLOOKUP(D3639,upahbahan,3,FALSE)</f>
        <v>218750</v>
      </c>
      <c r="H3639" s="210">
        <f t="shared" si="247"/>
        <v>4375</v>
      </c>
      <c r="L3639" s="200"/>
      <c r="M3639" s="200"/>
      <c r="N3639" s="200"/>
      <c r="O3639" s="200"/>
      <c r="P3639" s="200"/>
    </row>
    <row r="3640" spans="3:20" s="517" customFormat="1" ht="31.2" customHeight="1">
      <c r="C3640" s="537">
        <v>4</v>
      </c>
      <c r="D3640" s="196" t="s">
        <v>19</v>
      </c>
      <c r="E3640" s="202" t="s">
        <v>6</v>
      </c>
      <c r="F3640" s="520">
        <v>6.7000000000000002E-3</v>
      </c>
      <c r="G3640" s="205">
        <f>VLOOKUP(D3640,upahbahan,3,FALSE)</f>
        <v>160000</v>
      </c>
      <c r="H3640" s="210">
        <f t="shared" si="247"/>
        <v>1072</v>
      </c>
      <c r="L3640" s="200"/>
      <c r="M3640" s="200"/>
      <c r="N3640" s="200"/>
      <c r="O3640" s="200"/>
      <c r="P3640" s="200"/>
    </row>
    <row r="3641" spans="3:20" s="517" customFormat="1" ht="31.2" customHeight="1">
      <c r="C3641" s="207" t="s">
        <v>1208</v>
      </c>
      <c r="D3641" s="208"/>
      <c r="E3641" s="208"/>
      <c r="F3641" s="521"/>
      <c r="G3641" s="522"/>
      <c r="H3641" s="210">
        <f>SUM(H3637:H3640)</f>
        <v>16697</v>
      </c>
      <c r="L3641" s="523"/>
      <c r="M3641" s="523"/>
      <c r="N3641" s="523"/>
      <c r="O3641" s="523"/>
      <c r="P3641" s="523"/>
    </row>
    <row r="3642" spans="3:20" s="517" customFormat="1" ht="31.2" customHeight="1">
      <c r="C3642" s="543" t="s">
        <v>1209</v>
      </c>
      <c r="D3642" s="750" t="s">
        <v>1210</v>
      </c>
      <c r="E3642" s="197"/>
      <c r="F3642" s="751"/>
      <c r="G3642" s="197"/>
      <c r="H3642" s="752"/>
      <c r="L3642" s="200"/>
      <c r="M3642" s="200"/>
      <c r="N3642" s="200"/>
      <c r="O3642" s="200"/>
      <c r="P3642" s="200"/>
    </row>
    <row r="3643" spans="3:20" s="517" customFormat="1" ht="31.2" customHeight="1">
      <c r="C3643" s="543">
        <v>1</v>
      </c>
      <c r="D3643" s="750" t="s">
        <v>7256</v>
      </c>
      <c r="E3643" s="203" t="s">
        <v>44</v>
      </c>
      <c r="F3643" s="753">
        <v>1.05</v>
      </c>
      <c r="G3643" s="205">
        <f>VLOOKUP(D3643,upahbahan,3,FALSE)</f>
        <v>0</v>
      </c>
      <c r="H3643" s="210">
        <f t="shared" ref="H3643:H3651" si="248">F3643*G3643</f>
        <v>0</v>
      </c>
      <c r="L3643" s="200"/>
      <c r="M3643" s="200"/>
      <c r="N3643" s="200"/>
      <c r="O3643" s="200"/>
      <c r="P3643" s="200"/>
    </row>
    <row r="3644" spans="3:20" s="517" customFormat="1" ht="31.2" customHeight="1">
      <c r="C3644" s="543">
        <v>2</v>
      </c>
      <c r="D3644" s="750" t="s">
        <v>5563</v>
      </c>
      <c r="E3644" s="203" t="s">
        <v>65</v>
      </c>
      <c r="F3644" s="753">
        <v>5.0000000000000001E-3</v>
      </c>
      <c r="G3644" s="205">
        <f>VLOOKUP(D3644,upahbahan,3,FALSE)</f>
        <v>0</v>
      </c>
      <c r="H3644" s="210">
        <f t="shared" si="248"/>
        <v>0</v>
      </c>
      <c r="L3644" s="200"/>
      <c r="M3644" s="200"/>
      <c r="N3644" s="200"/>
      <c r="O3644" s="200"/>
      <c r="P3644" s="200"/>
    </row>
    <row r="3645" spans="3:20" s="517" customFormat="1" ht="31.2" customHeight="1">
      <c r="C3645" s="543">
        <v>3</v>
      </c>
      <c r="D3645" s="750" t="s">
        <v>5555</v>
      </c>
      <c r="E3645" s="203"/>
      <c r="F3645" s="753"/>
      <c r="G3645" s="197"/>
      <c r="H3645" s="210">
        <f t="shared" si="248"/>
        <v>0</v>
      </c>
      <c r="L3645" s="200"/>
      <c r="M3645" s="200"/>
      <c r="N3645" s="200"/>
      <c r="O3645" s="200"/>
      <c r="P3645" s="200"/>
    </row>
    <row r="3646" spans="3:20" s="517" customFormat="1" ht="31.2" customHeight="1">
      <c r="C3646" s="754" t="s">
        <v>5293</v>
      </c>
      <c r="D3646" s="750" t="s">
        <v>7053</v>
      </c>
      <c r="E3646" s="203" t="s">
        <v>113</v>
      </c>
      <c r="F3646" s="760">
        <v>12</v>
      </c>
      <c r="G3646" s="205">
        <f>VLOOKUP(D3646,upahbahan,3,FALSE)</f>
        <v>0</v>
      </c>
      <c r="H3646" s="210">
        <f t="shared" si="248"/>
        <v>0</v>
      </c>
      <c r="L3646" s="200"/>
      <c r="M3646" s="200"/>
      <c r="N3646" s="200"/>
      <c r="O3646" s="200"/>
      <c r="P3646" s="200"/>
    </row>
    <row r="3647" spans="3:20" s="517" customFormat="1" ht="31.2" customHeight="1">
      <c r="C3647" s="754" t="s">
        <v>5299</v>
      </c>
      <c r="D3647" s="750" t="s">
        <v>7055</v>
      </c>
      <c r="E3647" s="203" t="s">
        <v>113</v>
      </c>
      <c r="F3647" s="760">
        <v>10</v>
      </c>
      <c r="G3647" s="205">
        <f>VLOOKUP(D3647,upahbahan,3,FALSE)</f>
        <v>0</v>
      </c>
      <c r="H3647" s="210">
        <f t="shared" si="248"/>
        <v>0</v>
      </c>
      <c r="L3647" s="200"/>
      <c r="M3647" s="200"/>
      <c r="N3647" s="200"/>
      <c r="O3647" s="200"/>
      <c r="P3647" s="200"/>
    </row>
    <row r="3648" spans="3:20" s="517" customFormat="1" ht="31.2" customHeight="1">
      <c r="C3648" s="543">
        <v>4</v>
      </c>
      <c r="D3648" s="750" t="s">
        <v>5556</v>
      </c>
      <c r="E3648" s="203"/>
      <c r="F3648" s="753"/>
      <c r="G3648" s="197"/>
      <c r="H3648" s="210">
        <f t="shared" si="248"/>
        <v>0</v>
      </c>
      <c r="L3648" s="200"/>
      <c r="M3648" s="200"/>
      <c r="N3648" s="200"/>
      <c r="O3648" s="200"/>
      <c r="P3648" s="200"/>
    </row>
    <row r="3649" spans="3:20" s="517" customFormat="1" ht="31.2" customHeight="1">
      <c r="C3649" s="754" t="s">
        <v>5293</v>
      </c>
      <c r="D3649" s="750" t="s">
        <v>2084</v>
      </c>
      <c r="E3649" s="203" t="s">
        <v>42</v>
      </c>
      <c r="F3649" s="753">
        <v>4.9000000000000002E-2</v>
      </c>
      <c r="G3649" s="205">
        <f>VLOOKUP(D3649,upahbahan,3,FALSE)</f>
        <v>0</v>
      </c>
      <c r="H3649" s="210">
        <f t="shared" si="248"/>
        <v>0</v>
      </c>
      <c r="L3649" s="200"/>
      <c r="M3649" s="200"/>
      <c r="N3649" s="200"/>
      <c r="O3649" s="200"/>
      <c r="P3649" s="200"/>
    </row>
    <row r="3650" spans="3:20" s="517" customFormat="1" ht="31.2" customHeight="1">
      <c r="C3650" s="754" t="s">
        <v>5299</v>
      </c>
      <c r="D3650" s="750" t="s">
        <v>5566</v>
      </c>
      <c r="E3650" s="203" t="s">
        <v>42</v>
      </c>
      <c r="F3650" s="753">
        <v>1.2999999999999999E-2</v>
      </c>
      <c r="G3650" s="205">
        <f>VLOOKUP(D3650,upahbahan,3,FALSE)</f>
        <v>0</v>
      </c>
      <c r="H3650" s="210">
        <f t="shared" si="248"/>
        <v>0</v>
      </c>
      <c r="L3650" s="200"/>
      <c r="M3650" s="200"/>
      <c r="N3650" s="200"/>
      <c r="O3650" s="200"/>
      <c r="P3650" s="200"/>
    </row>
    <row r="3651" spans="3:20" s="517" customFormat="1" ht="31.2" customHeight="1">
      <c r="C3651" s="754" t="s">
        <v>5558</v>
      </c>
      <c r="D3651" s="750" t="s">
        <v>2325</v>
      </c>
      <c r="E3651" s="203" t="s">
        <v>42</v>
      </c>
      <c r="F3651" s="762">
        <v>3.0000000000000001E-3</v>
      </c>
      <c r="G3651" s="205">
        <f>VLOOKUP(D3651,upahbahan,3,FALSE)</f>
        <v>0</v>
      </c>
      <c r="H3651" s="210">
        <f t="shared" si="248"/>
        <v>0</v>
      </c>
      <c r="L3651" s="200"/>
      <c r="M3651" s="200"/>
      <c r="N3651" s="200"/>
      <c r="O3651" s="200"/>
      <c r="P3651" s="200"/>
    </row>
    <row r="3652" spans="3:20" s="517" customFormat="1" ht="31.2" customHeight="1">
      <c r="C3652" s="207" t="s">
        <v>1214</v>
      </c>
      <c r="D3652" s="208"/>
      <c r="E3652" s="568"/>
      <c r="F3652" s="208"/>
      <c r="G3652" s="209"/>
      <c r="H3652" s="210">
        <f>SUM(H3643:H3651)</f>
        <v>0</v>
      </c>
      <c r="L3652" s="200"/>
      <c r="M3652" s="200"/>
      <c r="N3652" s="200"/>
      <c r="O3652" s="200"/>
      <c r="P3652" s="200"/>
    </row>
    <row r="3653" spans="3:20" s="517" customFormat="1" ht="31.2" customHeight="1">
      <c r="C3653" s="756" t="s">
        <v>1215</v>
      </c>
      <c r="D3653" s="196" t="s">
        <v>1216</v>
      </c>
      <c r="E3653" s="203"/>
      <c r="F3653" s="197"/>
      <c r="G3653" s="197"/>
      <c r="H3653" s="198"/>
      <c r="L3653" s="200"/>
      <c r="M3653" s="200"/>
      <c r="N3653" s="200"/>
      <c r="O3653" s="200"/>
      <c r="P3653" s="200"/>
    </row>
    <row r="3654" spans="3:20" s="517" customFormat="1" ht="31.2" customHeight="1">
      <c r="C3654" s="207" t="s">
        <v>1217</v>
      </c>
      <c r="D3654" s="208"/>
      <c r="E3654" s="208"/>
      <c r="F3654" s="208"/>
      <c r="G3654" s="209"/>
      <c r="H3654" s="240">
        <f>SUM(H3653:H3653)</f>
        <v>0</v>
      </c>
      <c r="L3654" s="200"/>
      <c r="M3654" s="200"/>
      <c r="N3654" s="200"/>
      <c r="O3654" s="200"/>
      <c r="P3654" s="200"/>
    </row>
    <row r="3655" spans="3:20" s="517" customFormat="1" ht="31.2" customHeight="1">
      <c r="C3655" s="223" t="s">
        <v>1218</v>
      </c>
      <c r="D3655" s="224" t="s">
        <v>1219</v>
      </c>
      <c r="E3655" s="225"/>
      <c r="F3655" s="225"/>
      <c r="G3655" s="226"/>
      <c r="H3655" s="210">
        <f>H3654+H3652+H3641</f>
        <v>16697</v>
      </c>
      <c r="L3655" s="200"/>
      <c r="M3655" s="200"/>
      <c r="N3655" s="200"/>
      <c r="O3655" s="200"/>
      <c r="P3655" s="200"/>
    </row>
    <row r="3656" spans="3:20" s="517" customFormat="1" ht="31.2" customHeight="1">
      <c r="C3656" s="223" t="s">
        <v>1220</v>
      </c>
      <c r="D3656" s="224" t="s">
        <v>1321</v>
      </c>
      <c r="E3656" s="225"/>
      <c r="F3656" s="226"/>
      <c r="G3656" s="228">
        <v>0.1</v>
      </c>
      <c r="H3656" s="210">
        <f>H3655*G3656</f>
        <v>1669.7</v>
      </c>
      <c r="L3656" s="200"/>
      <c r="M3656" s="200"/>
      <c r="N3656" s="200"/>
      <c r="O3656" s="200"/>
      <c r="P3656" s="200"/>
    </row>
    <row r="3657" spans="3:20" s="517" customFormat="1" ht="31.2" customHeight="1" thickBot="1">
      <c r="C3657" s="229" t="s">
        <v>1221</v>
      </c>
      <c r="D3657" s="230" t="s">
        <v>1222</v>
      </c>
      <c r="E3657" s="231"/>
      <c r="F3657" s="231"/>
      <c r="G3657" s="232"/>
      <c r="H3657" s="233">
        <f>SUM(H3655:H3656)</f>
        <v>18366.7</v>
      </c>
      <c r="L3657" s="200"/>
      <c r="M3657" s="200"/>
      <c r="N3657" s="200"/>
      <c r="O3657" s="200"/>
      <c r="P3657" s="200"/>
    </row>
    <row r="3658" spans="3:20" ht="31.2" customHeight="1" thickTop="1">
      <c r="D3658" s="758" t="s">
        <v>7210</v>
      </c>
    </row>
    <row r="3659" spans="3:20" ht="31.2" customHeight="1">
      <c r="C3659" s="757" t="s">
        <v>6950</v>
      </c>
      <c r="F3659" s="758"/>
      <c r="H3659" s="758" t="s">
        <v>6959</v>
      </c>
    </row>
    <row r="3660" spans="3:20" ht="31.2" customHeight="1">
      <c r="C3660" s="200" t="s">
        <v>6951</v>
      </c>
      <c r="F3660" s="758"/>
    </row>
    <row r="3661" spans="3:20" ht="31.2" customHeight="1">
      <c r="C3661" s="200" t="s">
        <v>6952</v>
      </c>
      <c r="F3661" s="758"/>
    </row>
    <row r="3662" spans="3:20" ht="31.2" customHeight="1">
      <c r="C3662" s="200"/>
      <c r="F3662" s="758"/>
    </row>
    <row r="3663" spans="3:20" s="517" customFormat="1" ht="31.2" customHeight="1" thickBot="1">
      <c r="C3663" s="513" t="s">
        <v>7258</v>
      </c>
      <c r="D3663" s="748" t="s">
        <v>7259</v>
      </c>
      <c r="E3663" s="749"/>
      <c r="F3663" s="748"/>
      <c r="G3663" s="748"/>
      <c r="H3663" s="532"/>
      <c r="I3663" s="532"/>
      <c r="J3663" s="532"/>
      <c r="K3663" s="532"/>
      <c r="M3663" s="189"/>
      <c r="N3663" s="189"/>
      <c r="O3663" s="189"/>
      <c r="P3663" s="189"/>
      <c r="R3663" s="189">
        <f>ROUNDDOWN(H3686,-2)</f>
        <v>18300</v>
      </c>
      <c r="S3663" s="517" t="s">
        <v>6451</v>
      </c>
      <c r="T3663" s="517" t="s">
        <v>7257</v>
      </c>
    </row>
    <row r="3664" spans="3:20" s="517" customFormat="1" ht="31.2" customHeight="1" thickTop="1">
      <c r="C3664" s="190" t="s">
        <v>1195</v>
      </c>
      <c r="D3664" s="191" t="s">
        <v>1196</v>
      </c>
      <c r="E3664" s="191" t="s">
        <v>1197</v>
      </c>
      <c r="F3664" s="191" t="s">
        <v>1198</v>
      </c>
      <c r="G3664" s="191" t="s">
        <v>1199</v>
      </c>
      <c r="H3664" s="192" t="s">
        <v>1200</v>
      </c>
      <c r="L3664" s="200"/>
      <c r="M3664" s="200"/>
      <c r="N3664" s="200"/>
      <c r="O3664" s="200"/>
      <c r="P3664" s="200"/>
    </row>
    <row r="3665" spans="3:16" s="517" customFormat="1" ht="31.2" customHeight="1">
      <c r="C3665" s="518" t="s">
        <v>1201</v>
      </c>
      <c r="D3665" s="196" t="s">
        <v>1202</v>
      </c>
      <c r="E3665" s="197"/>
      <c r="F3665" s="197"/>
      <c r="G3665" s="197"/>
      <c r="H3665" s="198"/>
      <c r="L3665" s="200"/>
      <c r="M3665" s="200"/>
      <c r="N3665" s="200"/>
      <c r="O3665" s="200"/>
      <c r="P3665" s="200"/>
    </row>
    <row r="3666" spans="3:16" s="517" customFormat="1" ht="31.2" customHeight="1">
      <c r="C3666" s="518">
        <v>1</v>
      </c>
      <c r="D3666" s="196" t="s">
        <v>5</v>
      </c>
      <c r="E3666" s="203" t="s">
        <v>2102</v>
      </c>
      <c r="F3666" s="525">
        <v>0.04</v>
      </c>
      <c r="G3666" s="205">
        <f>VLOOKUP(D3666,upahbahan,3,FALSE)</f>
        <v>100000</v>
      </c>
      <c r="H3666" s="210">
        <f t="shared" ref="H3666:H3669" si="249">F3666*G3666</f>
        <v>4000</v>
      </c>
      <c r="L3666" s="200"/>
      <c r="M3666" s="200"/>
      <c r="N3666" s="200"/>
      <c r="O3666" s="200"/>
      <c r="P3666" s="200"/>
    </row>
    <row r="3667" spans="3:16" s="517" customFormat="1" ht="31.2" customHeight="1">
      <c r="C3667" s="537">
        <v>2</v>
      </c>
      <c r="D3667" s="196" t="s">
        <v>6954</v>
      </c>
      <c r="E3667" s="202" t="s">
        <v>6</v>
      </c>
      <c r="F3667" s="520">
        <v>0.04</v>
      </c>
      <c r="G3667" s="205">
        <f>VLOOKUP(D3667,upahbahan,3,FALSE)</f>
        <v>181250</v>
      </c>
      <c r="H3667" s="210">
        <f t="shared" si="249"/>
        <v>7250</v>
      </c>
      <c r="L3667" s="200"/>
      <c r="M3667" s="200"/>
      <c r="N3667" s="200"/>
      <c r="O3667" s="200"/>
      <c r="P3667" s="200"/>
    </row>
    <row r="3668" spans="3:16" s="517" customFormat="1" ht="31.2" customHeight="1">
      <c r="C3668" s="537">
        <v>3</v>
      </c>
      <c r="D3668" s="196" t="s">
        <v>6948</v>
      </c>
      <c r="E3668" s="202" t="s">
        <v>2102</v>
      </c>
      <c r="F3668" s="520">
        <v>0.02</v>
      </c>
      <c r="G3668" s="205">
        <f>VLOOKUP(D3668,upahbahan,3,FALSE)</f>
        <v>218750</v>
      </c>
      <c r="H3668" s="210">
        <f t="shared" si="249"/>
        <v>4375</v>
      </c>
      <c r="L3668" s="200"/>
      <c r="M3668" s="200"/>
      <c r="N3668" s="200"/>
      <c r="O3668" s="200"/>
      <c r="P3668" s="200"/>
    </row>
    <row r="3669" spans="3:16" s="517" customFormat="1" ht="31.2" customHeight="1">
      <c r="C3669" s="537">
        <v>4</v>
      </c>
      <c r="D3669" s="196" t="s">
        <v>19</v>
      </c>
      <c r="E3669" s="202" t="s">
        <v>6</v>
      </c>
      <c r="F3669" s="520">
        <v>6.7000000000000002E-3</v>
      </c>
      <c r="G3669" s="205">
        <f>VLOOKUP(D3669,upahbahan,3,FALSE)</f>
        <v>160000</v>
      </c>
      <c r="H3669" s="210">
        <f t="shared" si="249"/>
        <v>1072</v>
      </c>
      <c r="L3669" s="200"/>
      <c r="M3669" s="200"/>
      <c r="N3669" s="200"/>
      <c r="O3669" s="200"/>
      <c r="P3669" s="200"/>
    </row>
    <row r="3670" spans="3:16" s="517" customFormat="1" ht="31.2" customHeight="1">
      <c r="C3670" s="207" t="s">
        <v>1208</v>
      </c>
      <c r="D3670" s="208"/>
      <c r="E3670" s="208"/>
      <c r="F3670" s="521"/>
      <c r="G3670" s="522"/>
      <c r="H3670" s="210">
        <f>SUM(H3666:H3669)</f>
        <v>16697</v>
      </c>
      <c r="L3670" s="523"/>
      <c r="M3670" s="523"/>
      <c r="N3670" s="523"/>
      <c r="O3670" s="523"/>
      <c r="P3670" s="523"/>
    </row>
    <row r="3671" spans="3:16" s="517" customFormat="1" ht="31.2" customHeight="1">
      <c r="C3671" s="543" t="s">
        <v>1209</v>
      </c>
      <c r="D3671" s="750" t="s">
        <v>1210</v>
      </c>
      <c r="E3671" s="197"/>
      <c r="F3671" s="751"/>
      <c r="G3671" s="197"/>
      <c r="H3671" s="752"/>
      <c r="L3671" s="200"/>
      <c r="M3671" s="200"/>
      <c r="N3671" s="200"/>
      <c r="O3671" s="200"/>
      <c r="P3671" s="200"/>
    </row>
    <row r="3672" spans="3:16" s="517" customFormat="1" ht="31.2" customHeight="1">
      <c r="C3672" s="543">
        <v>1</v>
      </c>
      <c r="D3672" s="750" t="s">
        <v>7260</v>
      </c>
      <c r="E3672" s="203" t="s">
        <v>44</v>
      </c>
      <c r="F3672" s="753">
        <v>1.05</v>
      </c>
      <c r="G3672" s="205">
        <f>VLOOKUP(D3672,upahbahan,3,FALSE)</f>
        <v>0</v>
      </c>
      <c r="H3672" s="210">
        <f t="shared" ref="H3672:H3680" si="250">F3672*G3672</f>
        <v>0</v>
      </c>
      <c r="L3672" s="200"/>
      <c r="M3672" s="200"/>
      <c r="N3672" s="200"/>
      <c r="O3672" s="200"/>
      <c r="P3672" s="200"/>
    </row>
    <row r="3673" spans="3:16" s="517" customFormat="1" ht="31.2" customHeight="1">
      <c r="C3673" s="543">
        <v>2</v>
      </c>
      <c r="D3673" s="750" t="s">
        <v>5563</v>
      </c>
      <c r="E3673" s="203" t="s">
        <v>65</v>
      </c>
      <c r="F3673" s="753">
        <v>5.0000000000000001E-3</v>
      </c>
      <c r="G3673" s="205">
        <f>VLOOKUP(D3673,upahbahan,3,FALSE)</f>
        <v>0</v>
      </c>
      <c r="H3673" s="210">
        <f t="shared" si="250"/>
        <v>0</v>
      </c>
      <c r="L3673" s="200"/>
      <c r="M3673" s="200"/>
      <c r="N3673" s="200"/>
      <c r="O3673" s="200"/>
      <c r="P3673" s="200"/>
    </row>
    <row r="3674" spans="3:16" s="517" customFormat="1" ht="31.2" customHeight="1">
      <c r="C3674" s="543">
        <v>3</v>
      </c>
      <c r="D3674" s="750" t="s">
        <v>5555</v>
      </c>
      <c r="E3674" s="203"/>
      <c r="F3674" s="753"/>
      <c r="G3674" s="197"/>
      <c r="H3674" s="210">
        <f t="shared" si="250"/>
        <v>0</v>
      </c>
      <c r="L3674" s="200"/>
      <c r="M3674" s="200"/>
      <c r="N3674" s="200"/>
      <c r="O3674" s="200"/>
      <c r="P3674" s="200"/>
    </row>
    <row r="3675" spans="3:16" s="517" customFormat="1" ht="31.2" customHeight="1">
      <c r="C3675" s="754" t="s">
        <v>5293</v>
      </c>
      <c r="D3675" s="750" t="s">
        <v>7053</v>
      </c>
      <c r="E3675" s="203" t="s">
        <v>113</v>
      </c>
      <c r="F3675" s="760">
        <v>12</v>
      </c>
      <c r="G3675" s="205">
        <f>VLOOKUP(D3675,upahbahan,3,FALSE)</f>
        <v>0</v>
      </c>
      <c r="H3675" s="210">
        <f t="shared" si="250"/>
        <v>0</v>
      </c>
      <c r="L3675" s="200"/>
      <c r="M3675" s="200"/>
      <c r="N3675" s="200"/>
      <c r="O3675" s="200"/>
      <c r="P3675" s="200"/>
    </row>
    <row r="3676" spans="3:16" s="517" customFormat="1" ht="31.2" customHeight="1">
      <c r="C3676" s="754" t="s">
        <v>5299</v>
      </c>
      <c r="D3676" s="750" t="s">
        <v>7055</v>
      </c>
      <c r="E3676" s="203" t="s">
        <v>113</v>
      </c>
      <c r="F3676" s="760">
        <v>10</v>
      </c>
      <c r="G3676" s="205">
        <f>VLOOKUP(D3676,upahbahan,3,FALSE)</f>
        <v>0</v>
      </c>
      <c r="H3676" s="210">
        <f t="shared" si="250"/>
        <v>0</v>
      </c>
      <c r="L3676" s="200"/>
      <c r="M3676" s="200"/>
      <c r="N3676" s="200"/>
      <c r="O3676" s="200"/>
      <c r="P3676" s="200"/>
    </row>
    <row r="3677" spans="3:16" s="517" customFormat="1" ht="31.2" customHeight="1">
      <c r="C3677" s="543">
        <v>4</v>
      </c>
      <c r="D3677" s="750" t="s">
        <v>5556</v>
      </c>
      <c r="E3677" s="203"/>
      <c r="F3677" s="753"/>
      <c r="G3677" s="197"/>
      <c r="H3677" s="210">
        <f t="shared" si="250"/>
        <v>0</v>
      </c>
      <c r="L3677" s="200"/>
      <c r="M3677" s="200"/>
      <c r="N3677" s="200"/>
      <c r="O3677" s="200"/>
      <c r="P3677" s="200"/>
    </row>
    <row r="3678" spans="3:16" s="517" customFormat="1" ht="31.2" customHeight="1">
      <c r="C3678" s="754" t="s">
        <v>5293</v>
      </c>
      <c r="D3678" s="750" t="s">
        <v>2084</v>
      </c>
      <c r="E3678" s="203" t="s">
        <v>42</v>
      </c>
      <c r="F3678" s="753">
        <v>4.9000000000000002E-2</v>
      </c>
      <c r="G3678" s="205">
        <f>VLOOKUP(D3678,upahbahan,3,FALSE)</f>
        <v>0</v>
      </c>
      <c r="H3678" s="210">
        <f t="shared" si="250"/>
        <v>0</v>
      </c>
      <c r="L3678" s="200"/>
      <c r="M3678" s="200"/>
      <c r="N3678" s="200"/>
      <c r="O3678" s="200"/>
      <c r="P3678" s="200"/>
    </row>
    <row r="3679" spans="3:16" s="517" customFormat="1" ht="31.2" customHeight="1">
      <c r="C3679" s="754" t="s">
        <v>5299</v>
      </c>
      <c r="D3679" s="750" t="s">
        <v>5566</v>
      </c>
      <c r="E3679" s="203" t="s">
        <v>42</v>
      </c>
      <c r="F3679" s="753">
        <v>1.2999999999999999E-2</v>
      </c>
      <c r="G3679" s="205">
        <f>VLOOKUP(D3679,upahbahan,3,FALSE)</f>
        <v>0</v>
      </c>
      <c r="H3679" s="210">
        <f t="shared" si="250"/>
        <v>0</v>
      </c>
      <c r="L3679" s="200"/>
      <c r="M3679" s="200"/>
      <c r="N3679" s="200"/>
      <c r="O3679" s="200"/>
      <c r="P3679" s="200"/>
    </row>
    <row r="3680" spans="3:16" s="517" customFormat="1" ht="31.2" customHeight="1">
      <c r="C3680" s="754" t="s">
        <v>5558</v>
      </c>
      <c r="D3680" s="750" t="s">
        <v>2325</v>
      </c>
      <c r="E3680" s="203" t="s">
        <v>42</v>
      </c>
      <c r="F3680" s="762">
        <v>3.0000000000000001E-3</v>
      </c>
      <c r="G3680" s="205">
        <f>VLOOKUP(D3680,upahbahan,3,FALSE)</f>
        <v>0</v>
      </c>
      <c r="H3680" s="210">
        <f t="shared" si="250"/>
        <v>0</v>
      </c>
      <c r="L3680" s="200"/>
      <c r="M3680" s="200"/>
      <c r="N3680" s="200"/>
      <c r="O3680" s="200"/>
      <c r="P3680" s="200"/>
    </row>
    <row r="3681" spans="3:20" s="517" customFormat="1" ht="31.2" customHeight="1">
      <c r="C3681" s="207" t="s">
        <v>1214</v>
      </c>
      <c r="D3681" s="208"/>
      <c r="E3681" s="568"/>
      <c r="F3681" s="208"/>
      <c r="G3681" s="209"/>
      <c r="H3681" s="210">
        <f>SUM(H3672:H3680)</f>
        <v>0</v>
      </c>
      <c r="L3681" s="200"/>
      <c r="M3681" s="200"/>
      <c r="N3681" s="200"/>
      <c r="O3681" s="200"/>
      <c r="P3681" s="200"/>
    </row>
    <row r="3682" spans="3:20" s="517" customFormat="1" ht="31.2" customHeight="1">
      <c r="C3682" s="756" t="s">
        <v>1215</v>
      </c>
      <c r="D3682" s="196" t="s">
        <v>1216</v>
      </c>
      <c r="E3682" s="203"/>
      <c r="F3682" s="197"/>
      <c r="G3682" s="197"/>
      <c r="H3682" s="198"/>
      <c r="L3682" s="200"/>
      <c r="M3682" s="200"/>
      <c r="N3682" s="200"/>
      <c r="O3682" s="200"/>
      <c r="P3682" s="200"/>
    </row>
    <row r="3683" spans="3:20" s="517" customFormat="1" ht="31.2" customHeight="1">
      <c r="C3683" s="207" t="s">
        <v>1217</v>
      </c>
      <c r="D3683" s="208"/>
      <c r="E3683" s="208"/>
      <c r="F3683" s="208"/>
      <c r="G3683" s="209"/>
      <c r="H3683" s="240">
        <f>SUM(H3682:H3682)</f>
        <v>0</v>
      </c>
      <c r="L3683" s="200"/>
      <c r="M3683" s="200"/>
      <c r="N3683" s="200"/>
      <c r="O3683" s="200"/>
      <c r="P3683" s="200"/>
    </row>
    <row r="3684" spans="3:20" s="517" customFormat="1" ht="31.2" customHeight="1">
      <c r="C3684" s="223" t="s">
        <v>1218</v>
      </c>
      <c r="D3684" s="224" t="s">
        <v>1219</v>
      </c>
      <c r="E3684" s="225"/>
      <c r="F3684" s="225"/>
      <c r="G3684" s="226"/>
      <c r="H3684" s="210">
        <f>H3683+H3681+H3670</f>
        <v>16697</v>
      </c>
      <c r="L3684" s="200"/>
      <c r="M3684" s="200"/>
      <c r="N3684" s="200"/>
      <c r="O3684" s="200"/>
      <c r="P3684" s="200"/>
    </row>
    <row r="3685" spans="3:20" s="517" customFormat="1" ht="31.2" customHeight="1">
      <c r="C3685" s="223" t="s">
        <v>1220</v>
      </c>
      <c r="D3685" s="224" t="s">
        <v>1321</v>
      </c>
      <c r="E3685" s="225"/>
      <c r="F3685" s="226"/>
      <c r="G3685" s="228">
        <v>0.1</v>
      </c>
      <c r="H3685" s="210">
        <f>H3684*G3685</f>
        <v>1669.7</v>
      </c>
      <c r="L3685" s="200"/>
      <c r="M3685" s="200"/>
      <c r="N3685" s="200"/>
      <c r="O3685" s="200"/>
      <c r="P3685" s="200"/>
    </row>
    <row r="3686" spans="3:20" s="517" customFormat="1" ht="31.2" customHeight="1" thickBot="1">
      <c r="C3686" s="229" t="s">
        <v>1221</v>
      </c>
      <c r="D3686" s="230" t="s">
        <v>1222</v>
      </c>
      <c r="E3686" s="231"/>
      <c r="F3686" s="231"/>
      <c r="G3686" s="232"/>
      <c r="H3686" s="233">
        <f>SUM(H3684:H3685)</f>
        <v>18366.7</v>
      </c>
      <c r="L3686" s="200"/>
      <c r="M3686" s="200"/>
      <c r="N3686" s="200"/>
      <c r="O3686" s="200"/>
      <c r="P3686" s="200"/>
    </row>
    <row r="3687" spans="3:20" ht="31.2" customHeight="1" thickTop="1">
      <c r="D3687" s="758" t="s">
        <v>7210</v>
      </c>
    </row>
    <row r="3688" spans="3:20" ht="31.2" customHeight="1">
      <c r="C3688" s="757" t="s">
        <v>6950</v>
      </c>
      <c r="F3688" s="758"/>
      <c r="H3688" s="758" t="s">
        <v>6959</v>
      </c>
    </row>
    <row r="3689" spans="3:20" ht="31.2" customHeight="1">
      <c r="C3689" s="200" t="s">
        <v>6951</v>
      </c>
      <c r="F3689" s="758"/>
    </row>
    <row r="3690" spans="3:20" ht="31.2" customHeight="1">
      <c r="C3690" s="200" t="s">
        <v>6952</v>
      </c>
      <c r="F3690" s="758"/>
    </row>
    <row r="3691" spans="3:20" ht="31.2" customHeight="1">
      <c r="C3691" s="200"/>
      <c r="F3691" s="758"/>
    </row>
    <row r="3692" spans="3:20" s="517" customFormat="1" ht="31.2" customHeight="1" thickBot="1">
      <c r="C3692" s="513" t="s">
        <v>7261</v>
      </c>
      <c r="D3692" s="748" t="s">
        <v>7262</v>
      </c>
      <c r="E3692" s="749"/>
      <c r="F3692" s="748"/>
      <c r="G3692" s="748"/>
      <c r="H3692" s="532"/>
      <c r="I3692" s="532"/>
      <c r="J3692" s="532"/>
      <c r="K3692" s="532"/>
      <c r="M3692" s="189"/>
      <c r="N3692" s="189"/>
      <c r="O3692" s="189"/>
      <c r="P3692" s="189"/>
      <c r="R3692" s="189">
        <f>ROUNDDOWN(H3715,-2)</f>
        <v>18300</v>
      </c>
      <c r="S3692" s="517" t="s">
        <v>6451</v>
      </c>
      <c r="T3692" s="517" t="s">
        <v>7257</v>
      </c>
    </row>
    <row r="3693" spans="3:20" s="517" customFormat="1" ht="31.2" customHeight="1" thickTop="1">
      <c r="C3693" s="190" t="s">
        <v>1195</v>
      </c>
      <c r="D3693" s="191" t="s">
        <v>1196</v>
      </c>
      <c r="E3693" s="191" t="s">
        <v>1197</v>
      </c>
      <c r="F3693" s="191" t="s">
        <v>1198</v>
      </c>
      <c r="G3693" s="191" t="s">
        <v>1199</v>
      </c>
      <c r="H3693" s="192" t="s">
        <v>1200</v>
      </c>
      <c r="L3693" s="200"/>
      <c r="M3693" s="200"/>
      <c r="N3693" s="200"/>
      <c r="O3693" s="200"/>
      <c r="P3693" s="200"/>
    </row>
    <row r="3694" spans="3:20" s="517" customFormat="1" ht="31.2" customHeight="1">
      <c r="C3694" s="518" t="s">
        <v>1201</v>
      </c>
      <c r="D3694" s="196" t="s">
        <v>1202</v>
      </c>
      <c r="E3694" s="197"/>
      <c r="F3694" s="197"/>
      <c r="G3694" s="197"/>
      <c r="H3694" s="198"/>
      <c r="L3694" s="200"/>
      <c r="M3694" s="200"/>
      <c r="N3694" s="200"/>
      <c r="O3694" s="200"/>
      <c r="P3694" s="200"/>
    </row>
    <row r="3695" spans="3:20" s="517" customFormat="1" ht="31.2" customHeight="1">
      <c r="C3695" s="518">
        <v>1</v>
      </c>
      <c r="D3695" s="196" t="s">
        <v>5</v>
      </c>
      <c r="E3695" s="203" t="s">
        <v>2102</v>
      </c>
      <c r="F3695" s="525">
        <v>0.04</v>
      </c>
      <c r="G3695" s="205">
        <f>VLOOKUP(D3695,upahbahan,3,FALSE)</f>
        <v>100000</v>
      </c>
      <c r="H3695" s="210">
        <f t="shared" ref="H3695:H3698" si="251">F3695*G3695</f>
        <v>4000</v>
      </c>
      <c r="L3695" s="200"/>
      <c r="M3695" s="200"/>
      <c r="N3695" s="200"/>
      <c r="O3695" s="200"/>
      <c r="P3695" s="200"/>
    </row>
    <row r="3696" spans="3:20" s="517" customFormat="1" ht="31.2" customHeight="1">
      <c r="C3696" s="537">
        <v>2</v>
      </c>
      <c r="D3696" s="196" t="s">
        <v>6954</v>
      </c>
      <c r="E3696" s="202" t="s">
        <v>6</v>
      </c>
      <c r="F3696" s="520">
        <v>0.04</v>
      </c>
      <c r="G3696" s="205">
        <f>VLOOKUP(D3696,upahbahan,3,FALSE)</f>
        <v>181250</v>
      </c>
      <c r="H3696" s="210">
        <f t="shared" si="251"/>
        <v>7250</v>
      </c>
      <c r="L3696" s="200"/>
      <c r="M3696" s="200"/>
      <c r="N3696" s="200"/>
      <c r="O3696" s="200"/>
      <c r="P3696" s="200"/>
    </row>
    <row r="3697" spans="3:16" s="517" customFormat="1" ht="31.2" customHeight="1">
      <c r="C3697" s="537">
        <v>3</v>
      </c>
      <c r="D3697" s="196" t="s">
        <v>6948</v>
      </c>
      <c r="E3697" s="202" t="s">
        <v>2102</v>
      </c>
      <c r="F3697" s="520">
        <v>0.02</v>
      </c>
      <c r="G3697" s="205">
        <f>VLOOKUP(D3697,upahbahan,3,FALSE)</f>
        <v>218750</v>
      </c>
      <c r="H3697" s="210">
        <f t="shared" si="251"/>
        <v>4375</v>
      </c>
      <c r="L3697" s="200"/>
      <c r="M3697" s="200"/>
      <c r="N3697" s="200"/>
      <c r="O3697" s="200"/>
      <c r="P3697" s="200"/>
    </row>
    <row r="3698" spans="3:16" s="517" customFormat="1" ht="31.2" customHeight="1">
      <c r="C3698" s="537">
        <v>4</v>
      </c>
      <c r="D3698" s="196" t="s">
        <v>19</v>
      </c>
      <c r="E3698" s="202" t="s">
        <v>6</v>
      </c>
      <c r="F3698" s="520">
        <v>6.7000000000000002E-3</v>
      </c>
      <c r="G3698" s="205">
        <f>VLOOKUP(D3698,upahbahan,3,FALSE)</f>
        <v>160000</v>
      </c>
      <c r="H3698" s="210">
        <f t="shared" si="251"/>
        <v>1072</v>
      </c>
      <c r="L3698" s="200"/>
      <c r="M3698" s="200"/>
      <c r="N3698" s="200"/>
      <c r="O3698" s="200"/>
      <c r="P3698" s="200"/>
    </row>
    <row r="3699" spans="3:16" s="517" customFormat="1" ht="31.2" customHeight="1">
      <c r="C3699" s="207" t="s">
        <v>1208</v>
      </c>
      <c r="D3699" s="208"/>
      <c r="E3699" s="208"/>
      <c r="F3699" s="521"/>
      <c r="G3699" s="522"/>
      <c r="H3699" s="210">
        <f>SUM(H3695:H3698)</f>
        <v>16697</v>
      </c>
      <c r="L3699" s="523"/>
      <c r="M3699" s="523"/>
      <c r="N3699" s="523"/>
      <c r="O3699" s="523"/>
      <c r="P3699" s="523"/>
    </row>
    <row r="3700" spans="3:16" s="517" customFormat="1" ht="31.2" customHeight="1">
      <c r="C3700" s="543" t="s">
        <v>1209</v>
      </c>
      <c r="D3700" s="750" t="s">
        <v>1210</v>
      </c>
      <c r="E3700" s="197"/>
      <c r="F3700" s="751"/>
      <c r="G3700" s="197"/>
      <c r="H3700" s="752"/>
      <c r="L3700" s="200"/>
      <c r="M3700" s="200"/>
      <c r="N3700" s="200"/>
      <c r="O3700" s="200"/>
      <c r="P3700" s="200"/>
    </row>
    <row r="3701" spans="3:16" s="517" customFormat="1" ht="31.2" customHeight="1">
      <c r="C3701" s="543">
        <v>1</v>
      </c>
      <c r="D3701" s="750" t="s">
        <v>7263</v>
      </c>
      <c r="E3701" s="203" t="s">
        <v>44</v>
      </c>
      <c r="F3701" s="753">
        <v>1.05</v>
      </c>
      <c r="G3701" s="205">
        <f>VLOOKUP(D3701,upahbahan,3,FALSE)</f>
        <v>0</v>
      </c>
      <c r="H3701" s="210">
        <f t="shared" ref="H3701:H3709" si="252">F3701*G3701</f>
        <v>0</v>
      </c>
      <c r="L3701" s="200"/>
      <c r="M3701" s="200"/>
      <c r="N3701" s="200"/>
      <c r="O3701" s="200"/>
      <c r="P3701" s="200"/>
    </row>
    <row r="3702" spans="3:16" s="517" customFormat="1" ht="31.2" customHeight="1">
      <c r="C3702" s="543">
        <v>2</v>
      </c>
      <c r="D3702" s="750" t="s">
        <v>5563</v>
      </c>
      <c r="E3702" s="203" t="s">
        <v>65</v>
      </c>
      <c r="F3702" s="753">
        <v>5.0000000000000001E-3</v>
      </c>
      <c r="G3702" s="205">
        <f>VLOOKUP(D3702,upahbahan,3,FALSE)</f>
        <v>0</v>
      </c>
      <c r="H3702" s="210">
        <f t="shared" si="252"/>
        <v>0</v>
      </c>
      <c r="L3702" s="200"/>
      <c r="M3702" s="200"/>
      <c r="N3702" s="200"/>
      <c r="O3702" s="200"/>
      <c r="P3702" s="200"/>
    </row>
    <row r="3703" spans="3:16" s="517" customFormat="1" ht="31.2" customHeight="1">
      <c r="C3703" s="543">
        <v>3</v>
      </c>
      <c r="D3703" s="750" t="s">
        <v>5555</v>
      </c>
      <c r="E3703" s="203"/>
      <c r="F3703" s="753"/>
      <c r="G3703" s="197"/>
      <c r="H3703" s="210">
        <f t="shared" si="252"/>
        <v>0</v>
      </c>
      <c r="L3703" s="200"/>
      <c r="M3703" s="200"/>
      <c r="N3703" s="200"/>
      <c r="O3703" s="200"/>
      <c r="P3703" s="200"/>
    </row>
    <row r="3704" spans="3:16" s="517" customFormat="1" ht="31.2" customHeight="1">
      <c r="C3704" s="754" t="s">
        <v>5293</v>
      </c>
      <c r="D3704" s="750" t="s">
        <v>7053</v>
      </c>
      <c r="E3704" s="203" t="s">
        <v>113</v>
      </c>
      <c r="F3704" s="760">
        <v>12</v>
      </c>
      <c r="G3704" s="205">
        <f>VLOOKUP(D3704,upahbahan,3,FALSE)</f>
        <v>0</v>
      </c>
      <c r="H3704" s="210">
        <f t="shared" si="252"/>
        <v>0</v>
      </c>
      <c r="L3704" s="200"/>
      <c r="M3704" s="200"/>
      <c r="N3704" s="200"/>
      <c r="O3704" s="200"/>
      <c r="P3704" s="200"/>
    </row>
    <row r="3705" spans="3:16" s="517" customFormat="1" ht="31.2" customHeight="1">
      <c r="C3705" s="754" t="s">
        <v>5299</v>
      </c>
      <c r="D3705" s="750" t="s">
        <v>7055</v>
      </c>
      <c r="E3705" s="203" t="s">
        <v>113</v>
      </c>
      <c r="F3705" s="760">
        <v>10</v>
      </c>
      <c r="G3705" s="205">
        <f>VLOOKUP(D3705,upahbahan,3,FALSE)</f>
        <v>0</v>
      </c>
      <c r="H3705" s="210">
        <f t="shared" si="252"/>
        <v>0</v>
      </c>
      <c r="L3705" s="200"/>
      <c r="M3705" s="200"/>
      <c r="N3705" s="200"/>
      <c r="O3705" s="200"/>
      <c r="P3705" s="200"/>
    </row>
    <row r="3706" spans="3:16" s="517" customFormat="1" ht="31.2" customHeight="1">
      <c r="C3706" s="543">
        <v>4</v>
      </c>
      <c r="D3706" s="750" t="s">
        <v>5556</v>
      </c>
      <c r="E3706" s="203"/>
      <c r="F3706" s="753"/>
      <c r="G3706" s="197"/>
      <c r="H3706" s="210">
        <f t="shared" si="252"/>
        <v>0</v>
      </c>
      <c r="L3706" s="200"/>
      <c r="M3706" s="200"/>
      <c r="N3706" s="200"/>
      <c r="O3706" s="200"/>
      <c r="P3706" s="200"/>
    </row>
    <row r="3707" spans="3:16" s="517" customFormat="1" ht="31.2" customHeight="1">
      <c r="C3707" s="754" t="s">
        <v>5293</v>
      </c>
      <c r="D3707" s="750" t="s">
        <v>2084</v>
      </c>
      <c r="E3707" s="203" t="s">
        <v>42</v>
      </c>
      <c r="F3707" s="753">
        <v>4.9000000000000002E-2</v>
      </c>
      <c r="G3707" s="205">
        <f>VLOOKUP(D3707,upahbahan,3,FALSE)</f>
        <v>0</v>
      </c>
      <c r="H3707" s="210">
        <f t="shared" si="252"/>
        <v>0</v>
      </c>
      <c r="L3707" s="200"/>
      <c r="M3707" s="200"/>
      <c r="N3707" s="200"/>
      <c r="O3707" s="200"/>
      <c r="P3707" s="200"/>
    </row>
    <row r="3708" spans="3:16" s="517" customFormat="1" ht="31.2" customHeight="1">
      <c r="C3708" s="754" t="s">
        <v>5299</v>
      </c>
      <c r="D3708" s="750" t="s">
        <v>5566</v>
      </c>
      <c r="E3708" s="203" t="s">
        <v>42</v>
      </c>
      <c r="F3708" s="753">
        <v>1.2999999999999999E-2</v>
      </c>
      <c r="G3708" s="205">
        <f>VLOOKUP(D3708,upahbahan,3,FALSE)</f>
        <v>0</v>
      </c>
      <c r="H3708" s="210">
        <f t="shared" si="252"/>
        <v>0</v>
      </c>
      <c r="L3708" s="200"/>
      <c r="M3708" s="200"/>
      <c r="N3708" s="200"/>
      <c r="O3708" s="200"/>
      <c r="P3708" s="200"/>
    </row>
    <row r="3709" spans="3:16" s="517" customFormat="1" ht="31.2" customHeight="1">
      <c r="C3709" s="754" t="s">
        <v>5558</v>
      </c>
      <c r="D3709" s="750" t="s">
        <v>2325</v>
      </c>
      <c r="E3709" s="203" t="s">
        <v>42</v>
      </c>
      <c r="F3709" s="762">
        <v>3.0000000000000001E-3</v>
      </c>
      <c r="G3709" s="205">
        <f>VLOOKUP(D3709,upahbahan,3,FALSE)</f>
        <v>0</v>
      </c>
      <c r="H3709" s="210">
        <f t="shared" si="252"/>
        <v>0</v>
      </c>
      <c r="L3709" s="200"/>
      <c r="M3709" s="200"/>
      <c r="N3709" s="200"/>
      <c r="O3709" s="200"/>
      <c r="P3709" s="200"/>
    </row>
    <row r="3710" spans="3:16" s="517" customFormat="1" ht="31.2" customHeight="1">
      <c r="C3710" s="207" t="s">
        <v>1214</v>
      </c>
      <c r="D3710" s="208"/>
      <c r="E3710" s="568"/>
      <c r="F3710" s="208"/>
      <c r="G3710" s="209"/>
      <c r="H3710" s="210">
        <f>SUM(H3701:H3709)</f>
        <v>0</v>
      </c>
      <c r="L3710" s="200"/>
      <c r="M3710" s="200"/>
      <c r="N3710" s="200"/>
      <c r="O3710" s="200"/>
      <c r="P3710" s="200"/>
    </row>
    <row r="3711" spans="3:16" s="517" customFormat="1" ht="31.2" customHeight="1">
      <c r="C3711" s="756" t="s">
        <v>1215</v>
      </c>
      <c r="D3711" s="196" t="s">
        <v>1216</v>
      </c>
      <c r="E3711" s="203"/>
      <c r="F3711" s="197"/>
      <c r="G3711" s="197"/>
      <c r="H3711" s="198"/>
      <c r="L3711" s="200"/>
      <c r="M3711" s="200"/>
      <c r="N3711" s="200"/>
      <c r="O3711" s="200"/>
      <c r="P3711" s="200"/>
    </row>
    <row r="3712" spans="3:16" s="517" customFormat="1" ht="31.2" customHeight="1">
      <c r="C3712" s="207" t="s">
        <v>1217</v>
      </c>
      <c r="D3712" s="208"/>
      <c r="E3712" s="208"/>
      <c r="F3712" s="208"/>
      <c r="G3712" s="209"/>
      <c r="H3712" s="240">
        <f>SUM(H3711:H3711)</f>
        <v>0</v>
      </c>
      <c r="L3712" s="200"/>
      <c r="M3712" s="200"/>
      <c r="N3712" s="200"/>
      <c r="O3712" s="200"/>
      <c r="P3712" s="200"/>
    </row>
    <row r="3713" spans="3:20" s="517" customFormat="1" ht="31.2" customHeight="1">
      <c r="C3713" s="223" t="s">
        <v>1218</v>
      </c>
      <c r="D3713" s="224" t="s">
        <v>1219</v>
      </c>
      <c r="E3713" s="225"/>
      <c r="F3713" s="225"/>
      <c r="G3713" s="226"/>
      <c r="H3713" s="210">
        <f>H3712+H3710+H3699</f>
        <v>16697</v>
      </c>
      <c r="L3713" s="200"/>
      <c r="M3713" s="200"/>
      <c r="N3713" s="200"/>
      <c r="O3713" s="200"/>
      <c r="P3713" s="200"/>
    </row>
    <row r="3714" spans="3:20" s="517" customFormat="1" ht="31.2" customHeight="1">
      <c r="C3714" s="223" t="s">
        <v>1220</v>
      </c>
      <c r="D3714" s="224" t="s">
        <v>1321</v>
      </c>
      <c r="E3714" s="225"/>
      <c r="F3714" s="226"/>
      <c r="G3714" s="228">
        <v>0.1</v>
      </c>
      <c r="H3714" s="210">
        <f>H3713*G3714</f>
        <v>1669.7</v>
      </c>
      <c r="L3714" s="200"/>
      <c r="M3714" s="200"/>
      <c r="N3714" s="200"/>
      <c r="O3714" s="200"/>
      <c r="P3714" s="200"/>
    </row>
    <row r="3715" spans="3:20" s="517" customFormat="1" ht="31.2" customHeight="1" thickBot="1">
      <c r="C3715" s="229" t="s">
        <v>1221</v>
      </c>
      <c r="D3715" s="230" t="s">
        <v>1222</v>
      </c>
      <c r="E3715" s="231"/>
      <c r="F3715" s="231"/>
      <c r="G3715" s="232"/>
      <c r="H3715" s="233">
        <f>SUM(H3713:H3714)</f>
        <v>18366.7</v>
      </c>
      <c r="L3715" s="200"/>
      <c r="M3715" s="200"/>
      <c r="N3715" s="200"/>
      <c r="O3715" s="200"/>
      <c r="P3715" s="200"/>
    </row>
    <row r="3716" spans="3:20" ht="31.2" customHeight="1" thickTop="1">
      <c r="D3716" s="758" t="s">
        <v>7210</v>
      </c>
    </row>
    <row r="3717" spans="3:20" ht="31.2" customHeight="1">
      <c r="C3717" s="757" t="s">
        <v>6950</v>
      </c>
      <c r="F3717" s="758"/>
      <c r="H3717" s="758" t="s">
        <v>6959</v>
      </c>
    </row>
    <row r="3718" spans="3:20" ht="31.2" customHeight="1">
      <c r="C3718" s="200" t="s">
        <v>6951</v>
      </c>
      <c r="F3718" s="758"/>
    </row>
    <row r="3719" spans="3:20" ht="31.2" customHeight="1">
      <c r="C3719" s="200" t="s">
        <v>6952</v>
      </c>
      <c r="F3719" s="758"/>
    </row>
    <row r="3720" spans="3:20" ht="31.2" customHeight="1">
      <c r="C3720" s="200"/>
      <c r="F3720" s="758"/>
    </row>
    <row r="3721" spans="3:20" s="517" customFormat="1" ht="31.2" customHeight="1" thickBot="1">
      <c r="C3721" s="513" t="s">
        <v>7264</v>
      </c>
      <c r="D3721" s="748" t="s">
        <v>7265</v>
      </c>
      <c r="E3721" s="749"/>
      <c r="F3721" s="748"/>
      <c r="G3721" s="748"/>
      <c r="H3721" s="532"/>
      <c r="I3721" s="532"/>
      <c r="J3721" s="532"/>
      <c r="K3721" s="532"/>
      <c r="M3721" s="189"/>
      <c r="N3721" s="189"/>
      <c r="O3721" s="189"/>
      <c r="P3721" s="189"/>
      <c r="R3721" s="189">
        <f>ROUNDDOWN(H3744,-2)</f>
        <v>18300</v>
      </c>
      <c r="S3721" s="517" t="s">
        <v>6451</v>
      </c>
      <c r="T3721" s="517" t="s">
        <v>7257</v>
      </c>
    </row>
    <row r="3722" spans="3:20" s="517" customFormat="1" ht="31.2" customHeight="1" thickTop="1">
      <c r="C3722" s="190" t="s">
        <v>1195</v>
      </c>
      <c r="D3722" s="191" t="s">
        <v>1196</v>
      </c>
      <c r="E3722" s="191" t="s">
        <v>1197</v>
      </c>
      <c r="F3722" s="191" t="s">
        <v>1198</v>
      </c>
      <c r="G3722" s="191" t="s">
        <v>1199</v>
      </c>
      <c r="H3722" s="192" t="s">
        <v>1200</v>
      </c>
      <c r="L3722" s="200"/>
      <c r="M3722" s="200"/>
      <c r="N3722" s="200"/>
      <c r="O3722" s="200"/>
      <c r="P3722" s="200"/>
    </row>
    <row r="3723" spans="3:20" s="517" customFormat="1" ht="31.2" customHeight="1">
      <c r="C3723" s="518" t="s">
        <v>1201</v>
      </c>
      <c r="D3723" s="196" t="s">
        <v>1202</v>
      </c>
      <c r="E3723" s="197"/>
      <c r="F3723" s="197"/>
      <c r="G3723" s="197"/>
      <c r="H3723" s="198"/>
      <c r="L3723" s="200"/>
      <c r="M3723" s="200"/>
      <c r="N3723" s="200"/>
      <c r="O3723" s="200"/>
      <c r="P3723" s="200"/>
    </row>
    <row r="3724" spans="3:20" s="517" customFormat="1" ht="31.2" customHeight="1">
      <c r="C3724" s="518">
        <v>1</v>
      </c>
      <c r="D3724" s="196" t="s">
        <v>5</v>
      </c>
      <c r="E3724" s="203" t="s">
        <v>2102</v>
      </c>
      <c r="F3724" s="525">
        <v>0.04</v>
      </c>
      <c r="G3724" s="205">
        <f>VLOOKUP(D3724,upahbahan,3,FALSE)</f>
        <v>100000</v>
      </c>
      <c r="H3724" s="210">
        <f t="shared" ref="H3724:H3727" si="253">F3724*G3724</f>
        <v>4000</v>
      </c>
      <c r="L3724" s="200"/>
      <c r="M3724" s="200"/>
      <c r="N3724" s="200"/>
      <c r="O3724" s="200"/>
      <c r="P3724" s="200"/>
    </row>
    <row r="3725" spans="3:20" s="517" customFormat="1" ht="31.2" customHeight="1">
      <c r="C3725" s="537">
        <v>2</v>
      </c>
      <c r="D3725" s="196" t="s">
        <v>6954</v>
      </c>
      <c r="E3725" s="202" t="s">
        <v>6</v>
      </c>
      <c r="F3725" s="520">
        <v>0.04</v>
      </c>
      <c r="G3725" s="205">
        <f>VLOOKUP(D3725,upahbahan,3,FALSE)</f>
        <v>181250</v>
      </c>
      <c r="H3725" s="210">
        <f t="shared" si="253"/>
        <v>7250</v>
      </c>
      <c r="L3725" s="200"/>
      <c r="M3725" s="200"/>
      <c r="N3725" s="200"/>
      <c r="O3725" s="200"/>
      <c r="P3725" s="200"/>
    </row>
    <row r="3726" spans="3:20" s="517" customFormat="1" ht="31.2" customHeight="1">
      <c r="C3726" s="537">
        <v>3</v>
      </c>
      <c r="D3726" s="196" t="s">
        <v>6948</v>
      </c>
      <c r="E3726" s="202" t="s">
        <v>2102</v>
      </c>
      <c r="F3726" s="520">
        <v>0.02</v>
      </c>
      <c r="G3726" s="205">
        <f>VLOOKUP(D3726,upahbahan,3,FALSE)</f>
        <v>218750</v>
      </c>
      <c r="H3726" s="210">
        <f t="shared" si="253"/>
        <v>4375</v>
      </c>
      <c r="L3726" s="200"/>
      <c r="M3726" s="200"/>
      <c r="N3726" s="200"/>
      <c r="O3726" s="200"/>
      <c r="P3726" s="200"/>
    </row>
    <row r="3727" spans="3:20" s="517" customFormat="1" ht="31.2" customHeight="1">
      <c r="C3727" s="537">
        <v>4</v>
      </c>
      <c r="D3727" s="196" t="s">
        <v>19</v>
      </c>
      <c r="E3727" s="202" t="s">
        <v>6</v>
      </c>
      <c r="F3727" s="520">
        <v>6.7000000000000002E-3</v>
      </c>
      <c r="G3727" s="205">
        <f>VLOOKUP(D3727,upahbahan,3,FALSE)</f>
        <v>160000</v>
      </c>
      <c r="H3727" s="210">
        <f t="shared" si="253"/>
        <v>1072</v>
      </c>
      <c r="L3727" s="200"/>
      <c r="M3727" s="200"/>
      <c r="N3727" s="200"/>
      <c r="O3727" s="200"/>
      <c r="P3727" s="200"/>
    </row>
    <row r="3728" spans="3:20" s="517" customFormat="1" ht="31.2" customHeight="1">
      <c r="C3728" s="207" t="s">
        <v>1208</v>
      </c>
      <c r="D3728" s="208"/>
      <c r="E3728" s="208"/>
      <c r="F3728" s="521"/>
      <c r="G3728" s="522"/>
      <c r="H3728" s="210">
        <f>SUM(H3724:H3727)</f>
        <v>16697</v>
      </c>
      <c r="L3728" s="523"/>
      <c r="M3728" s="523"/>
      <c r="N3728" s="523"/>
      <c r="O3728" s="523"/>
      <c r="P3728" s="523"/>
    </row>
    <row r="3729" spans="3:16" s="517" customFormat="1" ht="31.2" customHeight="1">
      <c r="C3729" s="543" t="s">
        <v>1209</v>
      </c>
      <c r="D3729" s="750" t="s">
        <v>1210</v>
      </c>
      <c r="E3729" s="197"/>
      <c r="F3729" s="751"/>
      <c r="G3729" s="197"/>
      <c r="H3729" s="752"/>
      <c r="L3729" s="200"/>
      <c r="M3729" s="200"/>
      <c r="N3729" s="200"/>
      <c r="O3729" s="200"/>
      <c r="P3729" s="200"/>
    </row>
    <row r="3730" spans="3:16" s="517" customFormat="1" ht="31.2" customHeight="1">
      <c r="C3730" s="543">
        <v>1</v>
      </c>
      <c r="D3730" s="750" t="s">
        <v>7266</v>
      </c>
      <c r="E3730" s="203" t="s">
        <v>44</v>
      </c>
      <c r="F3730" s="753">
        <v>1.05</v>
      </c>
      <c r="G3730" s="205">
        <f>VLOOKUP(D3730,upahbahan,3,FALSE)</f>
        <v>0</v>
      </c>
      <c r="H3730" s="210">
        <f t="shared" ref="H3730:H3738" si="254">F3730*G3730</f>
        <v>0</v>
      </c>
      <c r="L3730" s="200"/>
      <c r="M3730" s="200"/>
      <c r="N3730" s="200"/>
      <c r="O3730" s="200"/>
      <c r="P3730" s="200"/>
    </row>
    <row r="3731" spans="3:16" s="517" customFormat="1" ht="31.2" customHeight="1">
      <c r="C3731" s="543">
        <v>2</v>
      </c>
      <c r="D3731" s="750" t="s">
        <v>5563</v>
      </c>
      <c r="E3731" s="203" t="s">
        <v>65</v>
      </c>
      <c r="F3731" s="753">
        <v>5.0000000000000001E-3</v>
      </c>
      <c r="G3731" s="205">
        <f>VLOOKUP(D3731,upahbahan,3,FALSE)</f>
        <v>0</v>
      </c>
      <c r="H3731" s="210">
        <f t="shared" si="254"/>
        <v>0</v>
      </c>
      <c r="L3731" s="200"/>
      <c r="M3731" s="200"/>
      <c r="N3731" s="200"/>
      <c r="O3731" s="200"/>
      <c r="P3731" s="200"/>
    </row>
    <row r="3732" spans="3:16" s="517" customFormat="1" ht="31.2" customHeight="1">
      <c r="C3732" s="543">
        <v>3</v>
      </c>
      <c r="D3732" s="750" t="s">
        <v>5555</v>
      </c>
      <c r="E3732" s="203"/>
      <c r="F3732" s="753"/>
      <c r="G3732" s="197"/>
      <c r="H3732" s="210">
        <f t="shared" si="254"/>
        <v>0</v>
      </c>
      <c r="L3732" s="200"/>
      <c r="M3732" s="200"/>
      <c r="N3732" s="200"/>
      <c r="O3732" s="200"/>
      <c r="P3732" s="200"/>
    </row>
    <row r="3733" spans="3:16" s="517" customFormat="1" ht="31.2" customHeight="1">
      <c r="C3733" s="754" t="s">
        <v>5293</v>
      </c>
      <c r="D3733" s="750" t="s">
        <v>7053</v>
      </c>
      <c r="E3733" s="203" t="s">
        <v>113</v>
      </c>
      <c r="F3733" s="760">
        <v>12</v>
      </c>
      <c r="G3733" s="205">
        <f>VLOOKUP(D3733,upahbahan,3,FALSE)</f>
        <v>0</v>
      </c>
      <c r="H3733" s="210">
        <f t="shared" si="254"/>
        <v>0</v>
      </c>
      <c r="L3733" s="200"/>
      <c r="M3733" s="200"/>
      <c r="N3733" s="200"/>
      <c r="O3733" s="200"/>
      <c r="P3733" s="200"/>
    </row>
    <row r="3734" spans="3:16" s="517" customFormat="1" ht="31.2" customHeight="1">
      <c r="C3734" s="754" t="s">
        <v>5299</v>
      </c>
      <c r="D3734" s="750" t="s">
        <v>7055</v>
      </c>
      <c r="E3734" s="203" t="s">
        <v>113</v>
      </c>
      <c r="F3734" s="760">
        <v>10</v>
      </c>
      <c r="G3734" s="205">
        <f>VLOOKUP(D3734,upahbahan,3,FALSE)</f>
        <v>0</v>
      </c>
      <c r="H3734" s="210">
        <f t="shared" si="254"/>
        <v>0</v>
      </c>
      <c r="L3734" s="200"/>
      <c r="M3734" s="200"/>
      <c r="N3734" s="200"/>
      <c r="O3734" s="200"/>
      <c r="P3734" s="200"/>
    </row>
    <row r="3735" spans="3:16" s="517" customFormat="1" ht="31.2" customHeight="1">
      <c r="C3735" s="543">
        <v>4</v>
      </c>
      <c r="D3735" s="750" t="s">
        <v>5556</v>
      </c>
      <c r="E3735" s="203"/>
      <c r="F3735" s="753"/>
      <c r="G3735" s="197"/>
      <c r="H3735" s="210">
        <f t="shared" si="254"/>
        <v>0</v>
      </c>
      <c r="L3735" s="200"/>
      <c r="M3735" s="200"/>
      <c r="N3735" s="200"/>
      <c r="O3735" s="200"/>
      <c r="P3735" s="200"/>
    </row>
    <row r="3736" spans="3:16" s="517" customFormat="1" ht="31.2" customHeight="1">
      <c r="C3736" s="754" t="s">
        <v>5293</v>
      </c>
      <c r="D3736" s="750" t="s">
        <v>2084</v>
      </c>
      <c r="E3736" s="203" t="s">
        <v>42</v>
      </c>
      <c r="F3736" s="753">
        <v>4.9000000000000002E-2</v>
      </c>
      <c r="G3736" s="205">
        <f>VLOOKUP(D3736,upahbahan,3,FALSE)</f>
        <v>0</v>
      </c>
      <c r="H3736" s="210">
        <f t="shared" si="254"/>
        <v>0</v>
      </c>
      <c r="L3736" s="200"/>
      <c r="M3736" s="200"/>
      <c r="N3736" s="200"/>
      <c r="O3736" s="200"/>
      <c r="P3736" s="200"/>
    </row>
    <row r="3737" spans="3:16" s="517" customFormat="1" ht="31.2" customHeight="1">
      <c r="C3737" s="754" t="s">
        <v>5299</v>
      </c>
      <c r="D3737" s="750" t="s">
        <v>5566</v>
      </c>
      <c r="E3737" s="203" t="s">
        <v>42</v>
      </c>
      <c r="F3737" s="753">
        <v>1.2999999999999999E-2</v>
      </c>
      <c r="G3737" s="205">
        <f>VLOOKUP(D3737,upahbahan,3,FALSE)</f>
        <v>0</v>
      </c>
      <c r="H3737" s="210">
        <f t="shared" si="254"/>
        <v>0</v>
      </c>
      <c r="L3737" s="200"/>
      <c r="M3737" s="200"/>
      <c r="N3737" s="200"/>
      <c r="O3737" s="200"/>
      <c r="P3737" s="200"/>
    </row>
    <row r="3738" spans="3:16" s="517" customFormat="1" ht="31.2" customHeight="1">
      <c r="C3738" s="754" t="s">
        <v>5558</v>
      </c>
      <c r="D3738" s="750" t="s">
        <v>2325</v>
      </c>
      <c r="E3738" s="203" t="s">
        <v>42</v>
      </c>
      <c r="F3738" s="762">
        <v>3.0000000000000001E-3</v>
      </c>
      <c r="G3738" s="205">
        <f>VLOOKUP(D3738,upahbahan,3,FALSE)</f>
        <v>0</v>
      </c>
      <c r="H3738" s="210">
        <f t="shared" si="254"/>
        <v>0</v>
      </c>
      <c r="L3738" s="200"/>
      <c r="M3738" s="200"/>
      <c r="N3738" s="200"/>
      <c r="O3738" s="200"/>
      <c r="P3738" s="200"/>
    </row>
    <row r="3739" spans="3:16" s="517" customFormat="1" ht="31.2" customHeight="1">
      <c r="C3739" s="207" t="s">
        <v>1214</v>
      </c>
      <c r="D3739" s="208"/>
      <c r="E3739" s="568"/>
      <c r="F3739" s="208"/>
      <c r="G3739" s="209"/>
      <c r="H3739" s="210">
        <f>SUM(H3730:H3738)</f>
        <v>0</v>
      </c>
      <c r="L3739" s="200"/>
      <c r="M3739" s="200"/>
      <c r="N3739" s="200"/>
      <c r="O3739" s="200"/>
      <c r="P3739" s="200"/>
    </row>
    <row r="3740" spans="3:16" s="517" customFormat="1" ht="31.2" customHeight="1">
      <c r="C3740" s="756" t="s">
        <v>1215</v>
      </c>
      <c r="D3740" s="196" t="s">
        <v>1216</v>
      </c>
      <c r="E3740" s="203"/>
      <c r="F3740" s="197"/>
      <c r="G3740" s="197"/>
      <c r="H3740" s="198"/>
      <c r="L3740" s="200"/>
      <c r="M3740" s="200"/>
      <c r="N3740" s="200"/>
      <c r="O3740" s="200"/>
      <c r="P3740" s="200"/>
    </row>
    <row r="3741" spans="3:16" s="517" customFormat="1" ht="31.2" customHeight="1">
      <c r="C3741" s="207" t="s">
        <v>1217</v>
      </c>
      <c r="D3741" s="208"/>
      <c r="E3741" s="208"/>
      <c r="F3741" s="208"/>
      <c r="G3741" s="209"/>
      <c r="H3741" s="240">
        <f>SUM(H3740:H3740)</f>
        <v>0</v>
      </c>
      <c r="L3741" s="200"/>
      <c r="M3741" s="200"/>
      <c r="N3741" s="200"/>
      <c r="O3741" s="200"/>
      <c r="P3741" s="200"/>
    </row>
    <row r="3742" spans="3:16" s="517" customFormat="1" ht="31.2" customHeight="1">
      <c r="C3742" s="223" t="s">
        <v>1218</v>
      </c>
      <c r="D3742" s="224" t="s">
        <v>1219</v>
      </c>
      <c r="E3742" s="225"/>
      <c r="F3742" s="225"/>
      <c r="G3742" s="226"/>
      <c r="H3742" s="210">
        <f>H3741+H3739+H3728</f>
        <v>16697</v>
      </c>
      <c r="L3742" s="200"/>
      <c r="M3742" s="200"/>
      <c r="N3742" s="200"/>
      <c r="O3742" s="200"/>
      <c r="P3742" s="200"/>
    </row>
    <row r="3743" spans="3:16" s="517" customFormat="1" ht="31.2" customHeight="1">
      <c r="C3743" s="223" t="s">
        <v>1220</v>
      </c>
      <c r="D3743" s="224" t="s">
        <v>1321</v>
      </c>
      <c r="E3743" s="225"/>
      <c r="F3743" s="226"/>
      <c r="G3743" s="228">
        <v>0.1</v>
      </c>
      <c r="H3743" s="210">
        <f>H3742*G3743</f>
        <v>1669.7</v>
      </c>
      <c r="L3743" s="200"/>
      <c r="M3743" s="200"/>
      <c r="N3743" s="200"/>
      <c r="O3743" s="200"/>
      <c r="P3743" s="200"/>
    </row>
    <row r="3744" spans="3:16" s="517" customFormat="1" ht="31.2" customHeight="1" thickBot="1">
      <c r="C3744" s="229" t="s">
        <v>1221</v>
      </c>
      <c r="D3744" s="230" t="s">
        <v>1222</v>
      </c>
      <c r="E3744" s="231"/>
      <c r="F3744" s="231"/>
      <c r="G3744" s="232"/>
      <c r="H3744" s="233">
        <f>SUM(H3742:H3743)</f>
        <v>18366.7</v>
      </c>
      <c r="L3744" s="200"/>
      <c r="M3744" s="200"/>
      <c r="N3744" s="200"/>
      <c r="O3744" s="200"/>
      <c r="P3744" s="200"/>
    </row>
    <row r="3745" spans="3:20" ht="31.2" customHeight="1" thickTop="1">
      <c r="D3745" s="758" t="s">
        <v>7210</v>
      </c>
    </row>
    <row r="3746" spans="3:20" ht="31.2" customHeight="1">
      <c r="C3746" s="757" t="s">
        <v>6950</v>
      </c>
      <c r="F3746" s="758"/>
      <c r="H3746" s="758" t="s">
        <v>6959</v>
      </c>
    </row>
    <row r="3747" spans="3:20" ht="31.2" customHeight="1">
      <c r="C3747" s="200" t="s">
        <v>6951</v>
      </c>
      <c r="F3747" s="758"/>
    </row>
    <row r="3748" spans="3:20" ht="31.2" customHeight="1">
      <c r="C3748" s="200" t="s">
        <v>6952</v>
      </c>
      <c r="F3748" s="758"/>
    </row>
    <row r="3749" spans="3:20" ht="31.2" customHeight="1">
      <c r="C3749" s="200"/>
      <c r="F3749" s="758"/>
    </row>
    <row r="3750" spans="3:20" s="517" customFormat="1" ht="31.2" customHeight="1" thickBot="1">
      <c r="C3750" s="513" t="s">
        <v>7267</v>
      </c>
      <c r="D3750" s="748" t="s">
        <v>7268</v>
      </c>
      <c r="E3750" s="749"/>
      <c r="F3750" s="748"/>
      <c r="G3750" s="748"/>
      <c r="H3750" s="532"/>
      <c r="I3750" s="532"/>
      <c r="J3750" s="532"/>
      <c r="K3750" s="532"/>
      <c r="M3750" s="189"/>
      <c r="N3750" s="189"/>
      <c r="O3750" s="189"/>
      <c r="P3750" s="189"/>
      <c r="R3750" s="189">
        <f>ROUNDDOWN(H3773,-2)</f>
        <v>18300</v>
      </c>
      <c r="S3750" s="517" t="s">
        <v>6451</v>
      </c>
      <c r="T3750" s="517" t="s">
        <v>7257</v>
      </c>
    </row>
    <row r="3751" spans="3:20" s="517" customFormat="1" ht="31.2" customHeight="1" thickTop="1">
      <c r="C3751" s="190" t="s">
        <v>1195</v>
      </c>
      <c r="D3751" s="191" t="s">
        <v>1196</v>
      </c>
      <c r="E3751" s="191" t="s">
        <v>1197</v>
      </c>
      <c r="F3751" s="191" t="s">
        <v>1198</v>
      </c>
      <c r="G3751" s="191" t="s">
        <v>1199</v>
      </c>
      <c r="H3751" s="192" t="s">
        <v>1200</v>
      </c>
      <c r="L3751" s="200"/>
      <c r="M3751" s="200"/>
      <c r="N3751" s="200"/>
      <c r="O3751" s="200"/>
      <c r="P3751" s="200"/>
    </row>
    <row r="3752" spans="3:20" s="517" customFormat="1" ht="31.2" customHeight="1">
      <c r="C3752" s="518" t="s">
        <v>1201</v>
      </c>
      <c r="D3752" s="196" t="s">
        <v>1202</v>
      </c>
      <c r="E3752" s="197"/>
      <c r="F3752" s="197"/>
      <c r="G3752" s="197"/>
      <c r="H3752" s="198"/>
      <c r="L3752" s="200"/>
      <c r="M3752" s="200"/>
      <c r="N3752" s="200"/>
      <c r="O3752" s="200"/>
      <c r="P3752" s="200"/>
    </row>
    <row r="3753" spans="3:20" s="517" customFormat="1" ht="31.2" customHeight="1">
      <c r="C3753" s="518">
        <v>1</v>
      </c>
      <c r="D3753" s="196" t="s">
        <v>5</v>
      </c>
      <c r="E3753" s="203" t="s">
        <v>2102</v>
      </c>
      <c r="F3753" s="525">
        <v>0.04</v>
      </c>
      <c r="G3753" s="205">
        <f>VLOOKUP(D3753,upahbahan,3,FALSE)</f>
        <v>100000</v>
      </c>
      <c r="H3753" s="210">
        <f t="shared" ref="H3753:H3756" si="255">F3753*G3753</f>
        <v>4000</v>
      </c>
      <c r="L3753" s="200"/>
      <c r="M3753" s="200"/>
      <c r="N3753" s="200"/>
      <c r="O3753" s="200"/>
      <c r="P3753" s="200"/>
    </row>
    <row r="3754" spans="3:20" s="517" customFormat="1" ht="31.2" customHeight="1">
      <c r="C3754" s="537">
        <v>2</v>
      </c>
      <c r="D3754" s="196" t="s">
        <v>6954</v>
      </c>
      <c r="E3754" s="202" t="s">
        <v>6</v>
      </c>
      <c r="F3754" s="520">
        <v>0.04</v>
      </c>
      <c r="G3754" s="205">
        <f>VLOOKUP(D3754,upahbahan,3,FALSE)</f>
        <v>181250</v>
      </c>
      <c r="H3754" s="210">
        <f t="shared" si="255"/>
        <v>7250</v>
      </c>
      <c r="L3754" s="200"/>
      <c r="M3754" s="200"/>
      <c r="N3754" s="200"/>
      <c r="O3754" s="200"/>
      <c r="P3754" s="200"/>
    </row>
    <row r="3755" spans="3:20" s="517" customFormat="1" ht="31.2" customHeight="1">
      <c r="C3755" s="537">
        <v>3</v>
      </c>
      <c r="D3755" s="196" t="s">
        <v>6948</v>
      </c>
      <c r="E3755" s="202" t="s">
        <v>2102</v>
      </c>
      <c r="F3755" s="520">
        <v>0.02</v>
      </c>
      <c r="G3755" s="205">
        <f>VLOOKUP(D3755,upahbahan,3,FALSE)</f>
        <v>218750</v>
      </c>
      <c r="H3755" s="210">
        <f t="shared" si="255"/>
        <v>4375</v>
      </c>
      <c r="L3755" s="200"/>
      <c r="M3755" s="200"/>
      <c r="N3755" s="200"/>
      <c r="O3755" s="200"/>
      <c r="P3755" s="200"/>
    </row>
    <row r="3756" spans="3:20" s="517" customFormat="1" ht="31.2" customHeight="1">
      <c r="C3756" s="537">
        <v>4</v>
      </c>
      <c r="D3756" s="196" t="s">
        <v>19</v>
      </c>
      <c r="E3756" s="202" t="s">
        <v>6</v>
      </c>
      <c r="F3756" s="520">
        <v>6.7000000000000002E-3</v>
      </c>
      <c r="G3756" s="205">
        <f>VLOOKUP(D3756,upahbahan,3,FALSE)</f>
        <v>160000</v>
      </c>
      <c r="H3756" s="210">
        <f t="shared" si="255"/>
        <v>1072</v>
      </c>
      <c r="L3756" s="200"/>
      <c r="M3756" s="200"/>
      <c r="N3756" s="200"/>
      <c r="O3756" s="200"/>
      <c r="P3756" s="200"/>
    </row>
    <row r="3757" spans="3:20" s="517" customFormat="1" ht="31.2" customHeight="1">
      <c r="C3757" s="207" t="s">
        <v>1208</v>
      </c>
      <c r="D3757" s="208"/>
      <c r="E3757" s="208"/>
      <c r="F3757" s="521"/>
      <c r="G3757" s="522"/>
      <c r="H3757" s="210">
        <f>SUM(H3753:H3756)</f>
        <v>16697</v>
      </c>
      <c r="L3757" s="523"/>
      <c r="M3757" s="523"/>
      <c r="N3757" s="523"/>
      <c r="O3757" s="523"/>
      <c r="P3757" s="523"/>
    </row>
    <row r="3758" spans="3:20" s="517" customFormat="1" ht="31.2" customHeight="1">
      <c r="C3758" s="543" t="s">
        <v>1209</v>
      </c>
      <c r="D3758" s="750" t="s">
        <v>1210</v>
      </c>
      <c r="E3758" s="197"/>
      <c r="F3758" s="751"/>
      <c r="G3758" s="197"/>
      <c r="H3758" s="752"/>
      <c r="L3758" s="200"/>
      <c r="M3758" s="200"/>
      <c r="N3758" s="200"/>
      <c r="O3758" s="200"/>
      <c r="P3758" s="200"/>
    </row>
    <row r="3759" spans="3:20" s="517" customFormat="1" ht="31.2" customHeight="1">
      <c r="C3759" s="543">
        <v>1</v>
      </c>
      <c r="D3759" s="750" t="s">
        <v>7269</v>
      </c>
      <c r="E3759" s="203" t="s">
        <v>44</v>
      </c>
      <c r="F3759" s="753">
        <v>1.05</v>
      </c>
      <c r="G3759" s="205">
        <f>VLOOKUP(D3759,upahbahan,3,FALSE)</f>
        <v>0</v>
      </c>
      <c r="H3759" s="210">
        <f t="shared" ref="H3759:H3767" si="256">F3759*G3759</f>
        <v>0</v>
      </c>
      <c r="L3759" s="200"/>
      <c r="M3759" s="200"/>
      <c r="N3759" s="200"/>
      <c r="O3759" s="200"/>
      <c r="P3759" s="200"/>
    </row>
    <row r="3760" spans="3:20" s="517" customFormat="1" ht="31.2" customHeight="1">
      <c r="C3760" s="543">
        <v>2</v>
      </c>
      <c r="D3760" s="750" t="s">
        <v>5563</v>
      </c>
      <c r="E3760" s="203" t="s">
        <v>65</v>
      </c>
      <c r="F3760" s="753">
        <v>5.0000000000000001E-3</v>
      </c>
      <c r="G3760" s="205">
        <f>VLOOKUP(D3760,upahbahan,3,FALSE)</f>
        <v>0</v>
      </c>
      <c r="H3760" s="210">
        <f t="shared" si="256"/>
        <v>0</v>
      </c>
      <c r="L3760" s="200"/>
      <c r="M3760" s="200"/>
      <c r="N3760" s="200"/>
      <c r="O3760" s="200"/>
      <c r="P3760" s="200"/>
    </row>
    <row r="3761" spans="3:16" s="517" customFormat="1" ht="31.2" customHeight="1">
      <c r="C3761" s="543">
        <v>3</v>
      </c>
      <c r="D3761" s="750" t="s">
        <v>5555</v>
      </c>
      <c r="E3761" s="203"/>
      <c r="F3761" s="753"/>
      <c r="G3761" s="197"/>
      <c r="H3761" s="210">
        <f t="shared" si="256"/>
        <v>0</v>
      </c>
      <c r="L3761" s="200"/>
      <c r="M3761" s="200"/>
      <c r="N3761" s="200"/>
      <c r="O3761" s="200"/>
      <c r="P3761" s="200"/>
    </row>
    <row r="3762" spans="3:16" s="517" customFormat="1" ht="31.2" customHeight="1">
      <c r="C3762" s="754" t="s">
        <v>5293</v>
      </c>
      <c r="D3762" s="750" t="s">
        <v>7053</v>
      </c>
      <c r="E3762" s="203" t="s">
        <v>113</v>
      </c>
      <c r="F3762" s="760">
        <v>12</v>
      </c>
      <c r="G3762" s="205">
        <f>VLOOKUP(D3762,upahbahan,3,FALSE)</f>
        <v>0</v>
      </c>
      <c r="H3762" s="210">
        <f t="shared" si="256"/>
        <v>0</v>
      </c>
      <c r="L3762" s="200"/>
      <c r="M3762" s="200"/>
      <c r="N3762" s="200"/>
      <c r="O3762" s="200"/>
      <c r="P3762" s="200"/>
    </row>
    <row r="3763" spans="3:16" s="517" customFormat="1" ht="31.2" customHeight="1">
      <c r="C3763" s="754" t="s">
        <v>5299</v>
      </c>
      <c r="D3763" s="750" t="s">
        <v>7055</v>
      </c>
      <c r="E3763" s="203" t="s">
        <v>113</v>
      </c>
      <c r="F3763" s="760">
        <v>10</v>
      </c>
      <c r="G3763" s="205">
        <f>VLOOKUP(D3763,upahbahan,3,FALSE)</f>
        <v>0</v>
      </c>
      <c r="H3763" s="210">
        <f t="shared" si="256"/>
        <v>0</v>
      </c>
      <c r="L3763" s="200"/>
      <c r="M3763" s="200"/>
      <c r="N3763" s="200"/>
      <c r="O3763" s="200"/>
      <c r="P3763" s="200"/>
    </row>
    <row r="3764" spans="3:16" s="517" customFormat="1" ht="31.2" customHeight="1">
      <c r="C3764" s="543">
        <v>4</v>
      </c>
      <c r="D3764" s="750" t="s">
        <v>5556</v>
      </c>
      <c r="E3764" s="203"/>
      <c r="F3764" s="753"/>
      <c r="G3764" s="197"/>
      <c r="H3764" s="210">
        <f t="shared" si="256"/>
        <v>0</v>
      </c>
      <c r="L3764" s="200"/>
      <c r="M3764" s="200"/>
      <c r="N3764" s="200"/>
      <c r="O3764" s="200"/>
      <c r="P3764" s="200"/>
    </row>
    <row r="3765" spans="3:16" s="517" customFormat="1" ht="31.2" customHeight="1">
      <c r="C3765" s="754" t="s">
        <v>5293</v>
      </c>
      <c r="D3765" s="750" t="s">
        <v>2084</v>
      </c>
      <c r="E3765" s="203" t="s">
        <v>42</v>
      </c>
      <c r="F3765" s="753">
        <v>4.9000000000000002E-2</v>
      </c>
      <c r="G3765" s="205">
        <f>VLOOKUP(D3765,upahbahan,3,FALSE)</f>
        <v>0</v>
      </c>
      <c r="H3765" s="210">
        <f t="shared" si="256"/>
        <v>0</v>
      </c>
      <c r="L3765" s="200"/>
      <c r="M3765" s="200"/>
      <c r="N3765" s="200"/>
      <c r="O3765" s="200"/>
      <c r="P3765" s="200"/>
    </row>
    <row r="3766" spans="3:16" s="517" customFormat="1" ht="31.2" customHeight="1">
      <c r="C3766" s="754" t="s">
        <v>5299</v>
      </c>
      <c r="D3766" s="750" t="s">
        <v>5566</v>
      </c>
      <c r="E3766" s="203" t="s">
        <v>42</v>
      </c>
      <c r="F3766" s="753">
        <v>1.2999999999999999E-2</v>
      </c>
      <c r="G3766" s="205">
        <f>VLOOKUP(D3766,upahbahan,3,FALSE)</f>
        <v>0</v>
      </c>
      <c r="H3766" s="210">
        <f t="shared" si="256"/>
        <v>0</v>
      </c>
      <c r="L3766" s="200"/>
      <c r="M3766" s="200"/>
      <c r="N3766" s="200"/>
      <c r="O3766" s="200"/>
      <c r="P3766" s="200"/>
    </row>
    <row r="3767" spans="3:16" s="517" customFormat="1" ht="31.2" customHeight="1">
      <c r="C3767" s="754" t="s">
        <v>5558</v>
      </c>
      <c r="D3767" s="750" t="s">
        <v>2325</v>
      </c>
      <c r="E3767" s="203" t="s">
        <v>42</v>
      </c>
      <c r="F3767" s="762">
        <v>3.0000000000000001E-3</v>
      </c>
      <c r="G3767" s="205">
        <f>VLOOKUP(D3767,upahbahan,3,FALSE)</f>
        <v>0</v>
      </c>
      <c r="H3767" s="210">
        <f t="shared" si="256"/>
        <v>0</v>
      </c>
      <c r="L3767" s="200"/>
      <c r="M3767" s="200"/>
      <c r="N3767" s="200"/>
      <c r="O3767" s="200"/>
      <c r="P3767" s="200"/>
    </row>
    <row r="3768" spans="3:16" s="517" customFormat="1" ht="31.2" customHeight="1">
      <c r="C3768" s="207" t="s">
        <v>1214</v>
      </c>
      <c r="D3768" s="208"/>
      <c r="E3768" s="568"/>
      <c r="F3768" s="208"/>
      <c r="G3768" s="209"/>
      <c r="H3768" s="210">
        <f>SUM(H3759:H3767)</f>
        <v>0</v>
      </c>
      <c r="L3768" s="200"/>
      <c r="M3768" s="200"/>
      <c r="N3768" s="200"/>
      <c r="O3768" s="200"/>
      <c r="P3768" s="200"/>
    </row>
    <row r="3769" spans="3:16" s="517" customFormat="1" ht="31.2" customHeight="1">
      <c r="C3769" s="756" t="s">
        <v>1215</v>
      </c>
      <c r="D3769" s="196" t="s">
        <v>1216</v>
      </c>
      <c r="E3769" s="203"/>
      <c r="F3769" s="197"/>
      <c r="G3769" s="197"/>
      <c r="H3769" s="198"/>
      <c r="L3769" s="200"/>
      <c r="M3769" s="200"/>
      <c r="N3769" s="200"/>
      <c r="O3769" s="200"/>
      <c r="P3769" s="200"/>
    </row>
    <row r="3770" spans="3:16" s="517" customFormat="1" ht="31.2" customHeight="1">
      <c r="C3770" s="207" t="s">
        <v>1217</v>
      </c>
      <c r="D3770" s="208"/>
      <c r="E3770" s="208"/>
      <c r="F3770" s="208"/>
      <c r="G3770" s="209"/>
      <c r="H3770" s="240">
        <f>SUM(H3769:H3769)</f>
        <v>0</v>
      </c>
      <c r="L3770" s="200"/>
      <c r="M3770" s="200"/>
      <c r="N3770" s="200"/>
      <c r="O3770" s="200"/>
      <c r="P3770" s="200"/>
    </row>
    <row r="3771" spans="3:16" s="517" customFormat="1" ht="31.2" customHeight="1">
      <c r="C3771" s="223" t="s">
        <v>1218</v>
      </c>
      <c r="D3771" s="224" t="s">
        <v>1219</v>
      </c>
      <c r="E3771" s="225"/>
      <c r="F3771" s="225"/>
      <c r="G3771" s="226"/>
      <c r="H3771" s="210">
        <f>H3770+H3768+H3757</f>
        <v>16697</v>
      </c>
      <c r="L3771" s="200"/>
      <c r="M3771" s="200"/>
      <c r="N3771" s="200"/>
      <c r="O3771" s="200"/>
      <c r="P3771" s="200"/>
    </row>
    <row r="3772" spans="3:16" s="517" customFormat="1" ht="31.2" customHeight="1">
      <c r="C3772" s="223" t="s">
        <v>1220</v>
      </c>
      <c r="D3772" s="224" t="s">
        <v>1321</v>
      </c>
      <c r="E3772" s="225"/>
      <c r="F3772" s="226"/>
      <c r="G3772" s="228">
        <v>0.1</v>
      </c>
      <c r="H3772" s="210">
        <f>H3771*G3772</f>
        <v>1669.7</v>
      </c>
      <c r="L3772" s="200"/>
      <c r="M3772" s="200"/>
      <c r="N3772" s="200"/>
      <c r="O3772" s="200"/>
      <c r="P3772" s="200"/>
    </row>
    <row r="3773" spans="3:16" s="517" customFormat="1" ht="31.2" customHeight="1" thickBot="1">
      <c r="C3773" s="229" t="s">
        <v>1221</v>
      </c>
      <c r="D3773" s="230" t="s">
        <v>1222</v>
      </c>
      <c r="E3773" s="231"/>
      <c r="F3773" s="231"/>
      <c r="G3773" s="232"/>
      <c r="H3773" s="233">
        <f>SUM(H3771:H3772)</f>
        <v>18366.7</v>
      </c>
      <c r="L3773" s="200"/>
      <c r="M3773" s="200"/>
      <c r="N3773" s="200"/>
      <c r="O3773" s="200"/>
      <c r="P3773" s="200"/>
    </row>
    <row r="3774" spans="3:16" ht="31.2" customHeight="1" thickTop="1">
      <c r="D3774" s="758" t="s">
        <v>7210</v>
      </c>
    </row>
    <row r="3775" spans="3:16" ht="31.2" customHeight="1">
      <c r="C3775" s="757" t="s">
        <v>6950</v>
      </c>
      <c r="F3775" s="758"/>
      <c r="H3775" s="758" t="s">
        <v>6959</v>
      </c>
    </row>
    <row r="3776" spans="3:16" ht="31.2" customHeight="1">
      <c r="C3776" s="200" t="s">
        <v>6951</v>
      </c>
      <c r="F3776" s="758"/>
    </row>
    <row r="3777" spans="3:20" ht="31.2" customHeight="1">
      <c r="C3777" s="200" t="s">
        <v>6952</v>
      </c>
      <c r="F3777" s="758"/>
    </row>
    <row r="3778" spans="3:20" ht="31.2" customHeight="1">
      <c r="C3778" s="200"/>
      <c r="F3778" s="758"/>
    </row>
    <row r="3779" spans="3:20" s="517" customFormat="1" ht="31.2" customHeight="1" thickBot="1">
      <c r="C3779" s="513" t="s">
        <v>7270</v>
      </c>
      <c r="D3779" s="748" t="s">
        <v>7271</v>
      </c>
      <c r="E3779" s="749"/>
      <c r="F3779" s="748"/>
      <c r="G3779" s="748"/>
      <c r="H3779" s="532"/>
      <c r="I3779" s="532"/>
      <c r="J3779" s="532"/>
      <c r="K3779" s="532"/>
      <c r="M3779" s="189"/>
      <c r="N3779" s="189"/>
      <c r="O3779" s="189"/>
      <c r="P3779" s="189"/>
      <c r="R3779" s="189">
        <f>ROUNDDOWN(H3802,-2)</f>
        <v>18300</v>
      </c>
      <c r="S3779" s="517" t="s">
        <v>6451</v>
      </c>
      <c r="T3779" s="517" t="s">
        <v>7257</v>
      </c>
    </row>
    <row r="3780" spans="3:20" s="517" customFormat="1" ht="31.2" customHeight="1" thickTop="1">
      <c r="C3780" s="190" t="s">
        <v>1195</v>
      </c>
      <c r="D3780" s="191" t="s">
        <v>1196</v>
      </c>
      <c r="E3780" s="191" t="s">
        <v>1197</v>
      </c>
      <c r="F3780" s="191" t="s">
        <v>1198</v>
      </c>
      <c r="G3780" s="191" t="s">
        <v>1199</v>
      </c>
      <c r="H3780" s="192" t="s">
        <v>1200</v>
      </c>
      <c r="L3780" s="200"/>
      <c r="M3780" s="200"/>
      <c r="N3780" s="200"/>
      <c r="O3780" s="200"/>
      <c r="P3780" s="200"/>
    </row>
    <row r="3781" spans="3:20" s="517" customFormat="1" ht="31.2" customHeight="1">
      <c r="C3781" s="518" t="s">
        <v>1201</v>
      </c>
      <c r="D3781" s="196" t="s">
        <v>1202</v>
      </c>
      <c r="E3781" s="197"/>
      <c r="F3781" s="197"/>
      <c r="G3781" s="197"/>
      <c r="H3781" s="198"/>
      <c r="L3781" s="200"/>
      <c r="M3781" s="200"/>
      <c r="N3781" s="200"/>
      <c r="O3781" s="200"/>
      <c r="P3781" s="200"/>
    </row>
    <row r="3782" spans="3:20" s="517" customFormat="1" ht="31.2" customHeight="1">
      <c r="C3782" s="518">
        <v>1</v>
      </c>
      <c r="D3782" s="196" t="s">
        <v>5</v>
      </c>
      <c r="E3782" s="203" t="s">
        <v>2102</v>
      </c>
      <c r="F3782" s="525">
        <v>0.04</v>
      </c>
      <c r="G3782" s="205">
        <f>VLOOKUP(D3782,upahbahan,3,FALSE)</f>
        <v>100000</v>
      </c>
      <c r="H3782" s="210">
        <f t="shared" ref="H3782:H3785" si="257">F3782*G3782</f>
        <v>4000</v>
      </c>
      <c r="L3782" s="200"/>
      <c r="M3782" s="200"/>
      <c r="N3782" s="200"/>
      <c r="O3782" s="200"/>
      <c r="P3782" s="200"/>
    </row>
    <row r="3783" spans="3:20" s="517" customFormat="1" ht="31.2" customHeight="1">
      <c r="C3783" s="537">
        <v>2</v>
      </c>
      <c r="D3783" s="196" t="s">
        <v>6954</v>
      </c>
      <c r="E3783" s="202" t="s">
        <v>6</v>
      </c>
      <c r="F3783" s="520">
        <v>0.04</v>
      </c>
      <c r="G3783" s="205">
        <f>VLOOKUP(D3783,upahbahan,3,FALSE)</f>
        <v>181250</v>
      </c>
      <c r="H3783" s="210">
        <f t="shared" si="257"/>
        <v>7250</v>
      </c>
      <c r="L3783" s="200"/>
      <c r="M3783" s="200"/>
      <c r="N3783" s="200"/>
      <c r="O3783" s="200"/>
      <c r="P3783" s="200"/>
    </row>
    <row r="3784" spans="3:20" s="517" customFormat="1" ht="31.2" customHeight="1">
      <c r="C3784" s="537">
        <v>3</v>
      </c>
      <c r="D3784" s="196" t="s">
        <v>6948</v>
      </c>
      <c r="E3784" s="202" t="s">
        <v>2102</v>
      </c>
      <c r="F3784" s="520">
        <v>0.02</v>
      </c>
      <c r="G3784" s="205">
        <f>VLOOKUP(D3784,upahbahan,3,FALSE)</f>
        <v>218750</v>
      </c>
      <c r="H3784" s="210">
        <f t="shared" si="257"/>
        <v>4375</v>
      </c>
      <c r="L3784" s="200"/>
      <c r="M3784" s="200"/>
      <c r="N3784" s="200"/>
      <c r="O3784" s="200"/>
      <c r="P3784" s="200"/>
    </row>
    <row r="3785" spans="3:20" s="517" customFormat="1" ht="31.2" customHeight="1">
      <c r="C3785" s="537">
        <v>4</v>
      </c>
      <c r="D3785" s="196" t="s">
        <v>19</v>
      </c>
      <c r="E3785" s="202" t="s">
        <v>6</v>
      </c>
      <c r="F3785" s="520">
        <v>6.7000000000000002E-3</v>
      </c>
      <c r="G3785" s="205">
        <f>VLOOKUP(D3785,upahbahan,3,FALSE)</f>
        <v>160000</v>
      </c>
      <c r="H3785" s="210">
        <f t="shared" si="257"/>
        <v>1072</v>
      </c>
      <c r="L3785" s="200"/>
      <c r="M3785" s="200"/>
      <c r="N3785" s="200"/>
      <c r="O3785" s="200"/>
      <c r="P3785" s="200"/>
    </row>
    <row r="3786" spans="3:20" s="517" customFormat="1" ht="31.2" customHeight="1">
      <c r="C3786" s="207" t="s">
        <v>1208</v>
      </c>
      <c r="D3786" s="208"/>
      <c r="E3786" s="208"/>
      <c r="F3786" s="521"/>
      <c r="G3786" s="522"/>
      <c r="H3786" s="210">
        <f>SUM(H3782:H3785)</f>
        <v>16697</v>
      </c>
      <c r="L3786" s="523"/>
      <c r="M3786" s="523"/>
      <c r="N3786" s="523"/>
      <c r="O3786" s="523"/>
      <c r="P3786" s="523"/>
    </row>
    <row r="3787" spans="3:20" s="517" customFormat="1" ht="31.2" customHeight="1">
      <c r="C3787" s="543" t="s">
        <v>1209</v>
      </c>
      <c r="D3787" s="750" t="s">
        <v>1210</v>
      </c>
      <c r="E3787" s="197"/>
      <c r="F3787" s="751"/>
      <c r="G3787" s="197"/>
      <c r="H3787" s="752"/>
      <c r="L3787" s="200"/>
      <c r="M3787" s="200"/>
      <c r="N3787" s="200"/>
      <c r="O3787" s="200"/>
      <c r="P3787" s="200"/>
    </row>
    <row r="3788" spans="3:20" s="517" customFormat="1" ht="31.2" customHeight="1">
      <c r="C3788" s="543">
        <v>1</v>
      </c>
      <c r="D3788" s="750" t="s">
        <v>7272</v>
      </c>
      <c r="E3788" s="203" t="s">
        <v>44</v>
      </c>
      <c r="F3788" s="753">
        <v>1.05</v>
      </c>
      <c r="G3788" s="205">
        <f>VLOOKUP(D3788,upahbahan,3,FALSE)</f>
        <v>0</v>
      </c>
      <c r="H3788" s="210">
        <f t="shared" ref="H3788:H3796" si="258">F3788*G3788</f>
        <v>0</v>
      </c>
      <c r="L3788" s="200"/>
      <c r="M3788" s="200"/>
      <c r="N3788" s="200"/>
      <c r="O3788" s="200"/>
      <c r="P3788" s="200"/>
    </row>
    <row r="3789" spans="3:20" s="517" customFormat="1" ht="31.2" customHeight="1">
      <c r="C3789" s="543">
        <v>2</v>
      </c>
      <c r="D3789" s="750" t="s">
        <v>5563</v>
      </c>
      <c r="E3789" s="203" t="s">
        <v>65</v>
      </c>
      <c r="F3789" s="753">
        <v>5.0000000000000001E-3</v>
      </c>
      <c r="G3789" s="205">
        <f>VLOOKUP(D3789,upahbahan,3,FALSE)</f>
        <v>0</v>
      </c>
      <c r="H3789" s="210">
        <f t="shared" si="258"/>
        <v>0</v>
      </c>
      <c r="L3789" s="200"/>
      <c r="M3789" s="200"/>
      <c r="N3789" s="200"/>
      <c r="O3789" s="200"/>
      <c r="P3789" s="200"/>
    </row>
    <row r="3790" spans="3:20" s="517" customFormat="1" ht="31.2" customHeight="1">
      <c r="C3790" s="543">
        <v>3</v>
      </c>
      <c r="D3790" s="750" t="s">
        <v>5555</v>
      </c>
      <c r="E3790" s="203"/>
      <c r="F3790" s="753"/>
      <c r="G3790" s="197"/>
      <c r="H3790" s="210">
        <f t="shared" si="258"/>
        <v>0</v>
      </c>
      <c r="L3790" s="200"/>
      <c r="M3790" s="200"/>
      <c r="N3790" s="200"/>
      <c r="O3790" s="200"/>
      <c r="P3790" s="200"/>
    </row>
    <row r="3791" spans="3:20" s="517" customFormat="1" ht="31.2" customHeight="1">
      <c r="C3791" s="754" t="s">
        <v>5293</v>
      </c>
      <c r="D3791" s="750" t="s">
        <v>7053</v>
      </c>
      <c r="E3791" s="203" t="s">
        <v>113</v>
      </c>
      <c r="F3791" s="760">
        <v>12</v>
      </c>
      <c r="G3791" s="205">
        <f>VLOOKUP(D3791,upahbahan,3,FALSE)</f>
        <v>0</v>
      </c>
      <c r="H3791" s="210">
        <f t="shared" si="258"/>
        <v>0</v>
      </c>
      <c r="L3791" s="200"/>
      <c r="M3791" s="200"/>
      <c r="N3791" s="200"/>
      <c r="O3791" s="200"/>
      <c r="P3791" s="200"/>
    </row>
    <row r="3792" spans="3:20" s="517" customFormat="1" ht="31.2" customHeight="1">
      <c r="C3792" s="754" t="s">
        <v>5299</v>
      </c>
      <c r="D3792" s="750" t="s">
        <v>7055</v>
      </c>
      <c r="E3792" s="203" t="s">
        <v>113</v>
      </c>
      <c r="F3792" s="760">
        <v>10</v>
      </c>
      <c r="G3792" s="205">
        <f>VLOOKUP(D3792,upahbahan,3,FALSE)</f>
        <v>0</v>
      </c>
      <c r="H3792" s="210">
        <f t="shared" si="258"/>
        <v>0</v>
      </c>
      <c r="L3792" s="200"/>
      <c r="M3792" s="200"/>
      <c r="N3792" s="200"/>
      <c r="O3792" s="200"/>
      <c r="P3792" s="200"/>
    </row>
    <row r="3793" spans="3:20" s="517" customFormat="1" ht="31.2" customHeight="1">
      <c r="C3793" s="543">
        <v>4</v>
      </c>
      <c r="D3793" s="750" t="s">
        <v>5556</v>
      </c>
      <c r="E3793" s="203"/>
      <c r="F3793" s="753"/>
      <c r="G3793" s="197"/>
      <c r="H3793" s="210">
        <f t="shared" si="258"/>
        <v>0</v>
      </c>
      <c r="L3793" s="200"/>
      <c r="M3793" s="200"/>
      <c r="N3793" s="200"/>
      <c r="O3793" s="200"/>
      <c r="P3793" s="200"/>
    </row>
    <row r="3794" spans="3:20" s="517" customFormat="1" ht="31.2" customHeight="1">
      <c r="C3794" s="754" t="s">
        <v>5293</v>
      </c>
      <c r="D3794" s="750" t="s">
        <v>2084</v>
      </c>
      <c r="E3794" s="203" t="s">
        <v>42</v>
      </c>
      <c r="F3794" s="753">
        <v>4.9000000000000002E-2</v>
      </c>
      <c r="G3794" s="205">
        <f>VLOOKUP(D3794,upahbahan,3,FALSE)</f>
        <v>0</v>
      </c>
      <c r="H3794" s="210">
        <f t="shared" si="258"/>
        <v>0</v>
      </c>
      <c r="L3794" s="200"/>
      <c r="M3794" s="200"/>
      <c r="N3794" s="200"/>
      <c r="O3794" s="200"/>
      <c r="P3794" s="200"/>
    </row>
    <row r="3795" spans="3:20" s="517" customFormat="1" ht="31.2" customHeight="1">
      <c r="C3795" s="754" t="s">
        <v>5299</v>
      </c>
      <c r="D3795" s="750" t="s">
        <v>5566</v>
      </c>
      <c r="E3795" s="203" t="s">
        <v>42</v>
      </c>
      <c r="F3795" s="753">
        <v>1.2999999999999999E-2</v>
      </c>
      <c r="G3795" s="205">
        <f>VLOOKUP(D3795,upahbahan,3,FALSE)</f>
        <v>0</v>
      </c>
      <c r="H3795" s="210">
        <f t="shared" si="258"/>
        <v>0</v>
      </c>
      <c r="L3795" s="200"/>
      <c r="M3795" s="200"/>
      <c r="N3795" s="200"/>
      <c r="O3795" s="200"/>
      <c r="P3795" s="200"/>
    </row>
    <row r="3796" spans="3:20" s="517" customFormat="1" ht="31.2" customHeight="1">
      <c r="C3796" s="754" t="s">
        <v>5558</v>
      </c>
      <c r="D3796" s="750" t="s">
        <v>2325</v>
      </c>
      <c r="E3796" s="203" t="s">
        <v>42</v>
      </c>
      <c r="F3796" s="762">
        <v>3.0000000000000001E-3</v>
      </c>
      <c r="G3796" s="205">
        <f>VLOOKUP(D3796,upahbahan,3,FALSE)</f>
        <v>0</v>
      </c>
      <c r="H3796" s="210">
        <f t="shared" si="258"/>
        <v>0</v>
      </c>
      <c r="L3796" s="200"/>
      <c r="M3796" s="200"/>
      <c r="N3796" s="200"/>
      <c r="O3796" s="200"/>
      <c r="P3796" s="200"/>
    </row>
    <row r="3797" spans="3:20" s="517" customFormat="1" ht="31.2" customHeight="1">
      <c r="C3797" s="207" t="s">
        <v>1214</v>
      </c>
      <c r="D3797" s="208"/>
      <c r="E3797" s="568"/>
      <c r="F3797" s="208"/>
      <c r="G3797" s="209"/>
      <c r="H3797" s="210">
        <f>SUM(H3788:H3796)</f>
        <v>0</v>
      </c>
      <c r="L3797" s="200"/>
      <c r="M3797" s="200"/>
      <c r="N3797" s="200"/>
      <c r="O3797" s="200"/>
      <c r="P3797" s="200"/>
    </row>
    <row r="3798" spans="3:20" s="517" customFormat="1" ht="31.2" customHeight="1">
      <c r="C3798" s="756" t="s">
        <v>1215</v>
      </c>
      <c r="D3798" s="196" t="s">
        <v>1216</v>
      </c>
      <c r="E3798" s="203"/>
      <c r="F3798" s="197"/>
      <c r="G3798" s="197"/>
      <c r="H3798" s="198"/>
      <c r="L3798" s="200"/>
      <c r="M3798" s="200"/>
      <c r="N3798" s="200"/>
      <c r="O3798" s="200"/>
      <c r="P3798" s="200"/>
    </row>
    <row r="3799" spans="3:20" s="517" customFormat="1" ht="31.2" customHeight="1">
      <c r="C3799" s="207" t="s">
        <v>1217</v>
      </c>
      <c r="D3799" s="208"/>
      <c r="E3799" s="208"/>
      <c r="F3799" s="208"/>
      <c r="G3799" s="209"/>
      <c r="H3799" s="240">
        <f>SUM(H3798:H3798)</f>
        <v>0</v>
      </c>
      <c r="L3799" s="200"/>
      <c r="M3799" s="200"/>
      <c r="N3799" s="200"/>
      <c r="O3799" s="200"/>
      <c r="P3799" s="200"/>
    </row>
    <row r="3800" spans="3:20" s="517" customFormat="1" ht="31.2" customHeight="1">
      <c r="C3800" s="223" t="s">
        <v>1218</v>
      </c>
      <c r="D3800" s="224" t="s">
        <v>1219</v>
      </c>
      <c r="E3800" s="225"/>
      <c r="F3800" s="225"/>
      <c r="G3800" s="226"/>
      <c r="H3800" s="210">
        <f>H3799+H3797+H3786</f>
        <v>16697</v>
      </c>
      <c r="L3800" s="200"/>
      <c r="M3800" s="200"/>
      <c r="N3800" s="200"/>
      <c r="O3800" s="200"/>
      <c r="P3800" s="200"/>
    </row>
    <row r="3801" spans="3:20" s="517" customFormat="1" ht="31.2" customHeight="1">
      <c r="C3801" s="223" t="s">
        <v>1220</v>
      </c>
      <c r="D3801" s="224" t="s">
        <v>1321</v>
      </c>
      <c r="E3801" s="225"/>
      <c r="F3801" s="226"/>
      <c r="G3801" s="228">
        <v>0.1</v>
      </c>
      <c r="H3801" s="210">
        <f>H3800*G3801</f>
        <v>1669.7</v>
      </c>
      <c r="L3801" s="200"/>
      <c r="M3801" s="200"/>
      <c r="N3801" s="200"/>
      <c r="O3801" s="200"/>
      <c r="P3801" s="200"/>
    </row>
    <row r="3802" spans="3:20" s="517" customFormat="1" ht="31.2" customHeight="1" thickBot="1">
      <c r="C3802" s="229" t="s">
        <v>1221</v>
      </c>
      <c r="D3802" s="230" t="s">
        <v>1222</v>
      </c>
      <c r="E3802" s="231"/>
      <c r="F3802" s="231"/>
      <c r="G3802" s="232"/>
      <c r="H3802" s="233">
        <f>SUM(H3800:H3801)</f>
        <v>18366.7</v>
      </c>
      <c r="L3802" s="200"/>
      <c r="M3802" s="200"/>
      <c r="N3802" s="200"/>
      <c r="O3802" s="200"/>
      <c r="P3802" s="200"/>
    </row>
    <row r="3803" spans="3:20" ht="31.2" customHeight="1" thickTop="1">
      <c r="D3803" s="758" t="s">
        <v>7210</v>
      </c>
    </row>
    <row r="3804" spans="3:20" ht="31.2" customHeight="1">
      <c r="C3804" s="757" t="s">
        <v>6950</v>
      </c>
      <c r="F3804" s="758"/>
      <c r="H3804" s="758" t="s">
        <v>6959</v>
      </c>
    </row>
    <row r="3805" spans="3:20" ht="31.2" customHeight="1">
      <c r="C3805" s="200" t="s">
        <v>6951</v>
      </c>
      <c r="F3805" s="758"/>
    </row>
    <row r="3806" spans="3:20" ht="31.2" customHeight="1">
      <c r="C3806" s="200" t="s">
        <v>6952</v>
      </c>
      <c r="F3806" s="758"/>
    </row>
    <row r="3807" spans="3:20" ht="31.2" customHeight="1">
      <c r="C3807" s="200"/>
      <c r="F3807" s="758"/>
    </row>
    <row r="3808" spans="3:20" s="517" customFormat="1" ht="31.2" customHeight="1" thickBot="1">
      <c r="C3808" s="513" t="s">
        <v>7273</v>
      </c>
      <c r="D3808" s="748" t="s">
        <v>7274</v>
      </c>
      <c r="E3808" s="749"/>
      <c r="F3808" s="748"/>
      <c r="G3808" s="748"/>
      <c r="H3808" s="532"/>
      <c r="I3808" s="532"/>
      <c r="J3808" s="532"/>
      <c r="K3808" s="532"/>
      <c r="M3808" s="189"/>
      <c r="N3808" s="189"/>
      <c r="O3808" s="189"/>
      <c r="P3808" s="189"/>
      <c r="R3808" s="189">
        <f>ROUNDDOWN(H3831,-2)</f>
        <v>18300</v>
      </c>
      <c r="S3808" s="517" t="s">
        <v>6451</v>
      </c>
      <c r="T3808" s="517" t="s">
        <v>7014</v>
      </c>
    </row>
    <row r="3809" spans="3:16" s="517" customFormat="1" ht="31.2" customHeight="1" thickTop="1">
      <c r="C3809" s="190" t="s">
        <v>1195</v>
      </c>
      <c r="D3809" s="191" t="s">
        <v>1196</v>
      </c>
      <c r="E3809" s="191" t="s">
        <v>1197</v>
      </c>
      <c r="F3809" s="191" t="s">
        <v>1198</v>
      </c>
      <c r="G3809" s="191" t="s">
        <v>1199</v>
      </c>
      <c r="H3809" s="192" t="s">
        <v>1200</v>
      </c>
      <c r="L3809" s="200"/>
      <c r="M3809" s="200"/>
      <c r="N3809" s="200"/>
      <c r="O3809" s="200"/>
      <c r="P3809" s="200"/>
    </row>
    <row r="3810" spans="3:16" s="517" customFormat="1" ht="31.2" customHeight="1">
      <c r="C3810" s="518" t="s">
        <v>1201</v>
      </c>
      <c r="D3810" s="196" t="s">
        <v>1202</v>
      </c>
      <c r="E3810" s="197"/>
      <c r="F3810" s="197"/>
      <c r="G3810" s="197"/>
      <c r="H3810" s="198"/>
      <c r="L3810" s="200"/>
      <c r="M3810" s="200"/>
      <c r="N3810" s="200"/>
      <c r="O3810" s="200"/>
      <c r="P3810" s="200"/>
    </row>
    <row r="3811" spans="3:16" s="517" customFormat="1" ht="31.2" customHeight="1">
      <c r="C3811" s="518">
        <v>1</v>
      </c>
      <c r="D3811" s="196" t="s">
        <v>5</v>
      </c>
      <c r="E3811" s="203" t="s">
        <v>2102</v>
      </c>
      <c r="F3811" s="525">
        <v>0.04</v>
      </c>
      <c r="G3811" s="205">
        <f>VLOOKUP(D3811,upahbahan,3,FALSE)</f>
        <v>100000</v>
      </c>
      <c r="H3811" s="210">
        <f t="shared" ref="H3811:H3814" si="259">F3811*G3811</f>
        <v>4000</v>
      </c>
      <c r="L3811" s="200"/>
      <c r="M3811" s="200"/>
      <c r="N3811" s="200"/>
      <c r="O3811" s="200"/>
      <c r="P3811" s="200"/>
    </row>
    <row r="3812" spans="3:16" s="517" customFormat="1" ht="31.2" customHeight="1">
      <c r="C3812" s="537">
        <v>2</v>
      </c>
      <c r="D3812" s="196" t="s">
        <v>6954</v>
      </c>
      <c r="E3812" s="202" t="s">
        <v>6</v>
      </c>
      <c r="F3812" s="520">
        <v>0.04</v>
      </c>
      <c r="G3812" s="205">
        <f>VLOOKUP(D3812,upahbahan,3,FALSE)</f>
        <v>181250</v>
      </c>
      <c r="H3812" s="210">
        <f t="shared" si="259"/>
        <v>7250</v>
      </c>
      <c r="L3812" s="200"/>
      <c r="M3812" s="200"/>
      <c r="N3812" s="200"/>
      <c r="O3812" s="200"/>
      <c r="P3812" s="200"/>
    </row>
    <row r="3813" spans="3:16" s="517" customFormat="1" ht="31.2" customHeight="1">
      <c r="C3813" s="537">
        <v>3</v>
      </c>
      <c r="D3813" s="196" t="s">
        <v>6948</v>
      </c>
      <c r="E3813" s="202" t="s">
        <v>2102</v>
      </c>
      <c r="F3813" s="520">
        <v>0.02</v>
      </c>
      <c r="G3813" s="205">
        <f>VLOOKUP(D3813,upahbahan,3,FALSE)</f>
        <v>218750</v>
      </c>
      <c r="H3813" s="210">
        <f t="shared" si="259"/>
        <v>4375</v>
      </c>
      <c r="L3813" s="200"/>
      <c r="M3813" s="200"/>
      <c r="N3813" s="200"/>
      <c r="O3813" s="200"/>
      <c r="P3813" s="200"/>
    </row>
    <row r="3814" spans="3:16" s="517" customFormat="1" ht="31.2" customHeight="1">
      <c r="C3814" s="537">
        <v>4</v>
      </c>
      <c r="D3814" s="196" t="s">
        <v>19</v>
      </c>
      <c r="E3814" s="202" t="s">
        <v>6</v>
      </c>
      <c r="F3814" s="520">
        <v>6.7000000000000002E-3</v>
      </c>
      <c r="G3814" s="205">
        <f>VLOOKUP(D3814,upahbahan,3,FALSE)</f>
        <v>160000</v>
      </c>
      <c r="H3814" s="210">
        <f t="shared" si="259"/>
        <v>1072</v>
      </c>
      <c r="L3814" s="200"/>
      <c r="M3814" s="200"/>
      <c r="N3814" s="200"/>
      <c r="O3814" s="200"/>
      <c r="P3814" s="200"/>
    </row>
    <row r="3815" spans="3:16" s="517" customFormat="1" ht="31.2" customHeight="1">
      <c r="C3815" s="207" t="s">
        <v>1208</v>
      </c>
      <c r="D3815" s="208"/>
      <c r="E3815" s="208"/>
      <c r="F3815" s="521"/>
      <c r="G3815" s="522"/>
      <c r="H3815" s="210">
        <f>SUM(H3811:H3814)</f>
        <v>16697</v>
      </c>
      <c r="L3815" s="523"/>
      <c r="M3815" s="523"/>
      <c r="N3815" s="523"/>
      <c r="O3815" s="523"/>
      <c r="P3815" s="523"/>
    </row>
    <row r="3816" spans="3:16" s="517" customFormat="1" ht="31.2" customHeight="1">
      <c r="C3816" s="543" t="s">
        <v>1209</v>
      </c>
      <c r="D3816" s="750" t="s">
        <v>1210</v>
      </c>
      <c r="E3816" s="197"/>
      <c r="F3816" s="751"/>
      <c r="G3816" s="197"/>
      <c r="H3816" s="752"/>
      <c r="L3816" s="200"/>
      <c r="M3816" s="200"/>
      <c r="N3816" s="200"/>
      <c r="O3816" s="200"/>
      <c r="P3816" s="200"/>
    </row>
    <row r="3817" spans="3:16" s="517" customFormat="1" ht="31.2" customHeight="1">
      <c r="C3817" s="543">
        <v>1</v>
      </c>
      <c r="D3817" s="750" t="s">
        <v>7275</v>
      </c>
      <c r="E3817" s="203" t="s">
        <v>44</v>
      </c>
      <c r="F3817" s="753">
        <v>1.05</v>
      </c>
      <c r="G3817" s="205">
        <f>VLOOKUP(D3817,upahbahan,3,FALSE)</f>
        <v>0</v>
      </c>
      <c r="H3817" s="210">
        <f t="shared" ref="H3817:H3825" si="260">F3817*G3817</f>
        <v>0</v>
      </c>
      <c r="L3817" s="200"/>
      <c r="M3817" s="200"/>
      <c r="N3817" s="200"/>
      <c r="O3817" s="200"/>
      <c r="P3817" s="200"/>
    </row>
    <row r="3818" spans="3:16" s="517" customFormat="1" ht="31.2" customHeight="1">
      <c r="C3818" s="543">
        <v>2</v>
      </c>
      <c r="D3818" s="750" t="s">
        <v>5563</v>
      </c>
      <c r="E3818" s="203" t="s">
        <v>65</v>
      </c>
      <c r="F3818" s="753">
        <v>5.0000000000000001E-3</v>
      </c>
      <c r="G3818" s="205">
        <f>VLOOKUP(D3818,upahbahan,3,FALSE)</f>
        <v>0</v>
      </c>
      <c r="H3818" s="210">
        <f t="shared" si="260"/>
        <v>0</v>
      </c>
      <c r="L3818" s="200"/>
      <c r="M3818" s="200"/>
      <c r="N3818" s="200"/>
      <c r="O3818" s="200"/>
      <c r="P3818" s="200"/>
    </row>
    <row r="3819" spans="3:16" s="517" customFormat="1" ht="31.2" customHeight="1">
      <c r="C3819" s="543">
        <v>3</v>
      </c>
      <c r="D3819" s="750" t="s">
        <v>5555</v>
      </c>
      <c r="E3819" s="203"/>
      <c r="F3819" s="753"/>
      <c r="G3819" s="197"/>
      <c r="H3819" s="210">
        <f t="shared" si="260"/>
        <v>0</v>
      </c>
      <c r="L3819" s="200"/>
      <c r="M3819" s="200"/>
      <c r="N3819" s="200"/>
      <c r="O3819" s="200"/>
      <c r="P3819" s="200"/>
    </row>
    <row r="3820" spans="3:16" s="517" customFormat="1" ht="31.2" customHeight="1">
      <c r="C3820" s="754" t="s">
        <v>5293</v>
      </c>
      <c r="D3820" s="750" t="s">
        <v>7053</v>
      </c>
      <c r="E3820" s="203" t="s">
        <v>113</v>
      </c>
      <c r="F3820" s="760">
        <v>12</v>
      </c>
      <c r="G3820" s="205">
        <f>VLOOKUP(D3820,upahbahan,3,FALSE)</f>
        <v>0</v>
      </c>
      <c r="H3820" s="210">
        <f t="shared" si="260"/>
        <v>0</v>
      </c>
      <c r="L3820" s="200"/>
      <c r="M3820" s="200"/>
      <c r="N3820" s="200"/>
      <c r="O3820" s="200"/>
      <c r="P3820" s="200"/>
    </row>
    <row r="3821" spans="3:16" s="517" customFormat="1" ht="31.2" customHeight="1">
      <c r="C3821" s="754" t="s">
        <v>5299</v>
      </c>
      <c r="D3821" s="750" t="s">
        <v>7055</v>
      </c>
      <c r="E3821" s="203" t="s">
        <v>113</v>
      </c>
      <c r="F3821" s="760">
        <v>10</v>
      </c>
      <c r="G3821" s="205">
        <f>VLOOKUP(D3821,upahbahan,3,FALSE)</f>
        <v>0</v>
      </c>
      <c r="H3821" s="210">
        <f t="shared" si="260"/>
        <v>0</v>
      </c>
      <c r="L3821" s="200"/>
      <c r="M3821" s="200"/>
      <c r="N3821" s="200"/>
      <c r="O3821" s="200"/>
      <c r="P3821" s="200"/>
    </row>
    <row r="3822" spans="3:16" s="517" customFormat="1" ht="31.2" customHeight="1">
      <c r="C3822" s="543">
        <v>4</v>
      </c>
      <c r="D3822" s="750" t="s">
        <v>5556</v>
      </c>
      <c r="E3822" s="203"/>
      <c r="F3822" s="753"/>
      <c r="G3822" s="197"/>
      <c r="H3822" s="210">
        <f t="shared" si="260"/>
        <v>0</v>
      </c>
      <c r="L3822" s="200"/>
      <c r="M3822" s="200"/>
      <c r="N3822" s="200"/>
      <c r="O3822" s="200"/>
      <c r="P3822" s="200"/>
    </row>
    <row r="3823" spans="3:16" s="517" customFormat="1" ht="31.2" customHeight="1">
      <c r="C3823" s="754" t="s">
        <v>5293</v>
      </c>
      <c r="D3823" s="750" t="s">
        <v>2084</v>
      </c>
      <c r="E3823" s="203" t="s">
        <v>42</v>
      </c>
      <c r="F3823" s="753">
        <v>4.9000000000000002E-2</v>
      </c>
      <c r="G3823" s="205">
        <f>VLOOKUP(D3823,upahbahan,3,FALSE)</f>
        <v>0</v>
      </c>
      <c r="H3823" s="210">
        <f t="shared" si="260"/>
        <v>0</v>
      </c>
      <c r="L3823" s="200"/>
      <c r="M3823" s="200"/>
      <c r="N3823" s="200"/>
      <c r="O3823" s="200"/>
      <c r="P3823" s="200"/>
    </row>
    <row r="3824" spans="3:16" s="517" customFormat="1" ht="31.2" customHeight="1">
      <c r="C3824" s="754" t="s">
        <v>5299</v>
      </c>
      <c r="D3824" s="750" t="s">
        <v>5566</v>
      </c>
      <c r="E3824" s="203" t="s">
        <v>42</v>
      </c>
      <c r="F3824" s="753">
        <v>1.2999999999999999E-2</v>
      </c>
      <c r="G3824" s="205">
        <f>VLOOKUP(D3824,upahbahan,3,FALSE)</f>
        <v>0</v>
      </c>
      <c r="H3824" s="210">
        <f t="shared" si="260"/>
        <v>0</v>
      </c>
      <c r="L3824" s="200"/>
      <c r="M3824" s="200"/>
      <c r="N3824" s="200"/>
      <c r="O3824" s="200"/>
      <c r="P3824" s="200"/>
    </row>
    <row r="3825" spans="3:20" s="517" customFormat="1" ht="31.2" customHeight="1">
      <c r="C3825" s="754" t="s">
        <v>5558</v>
      </c>
      <c r="D3825" s="750" t="s">
        <v>2325</v>
      </c>
      <c r="E3825" s="203" t="s">
        <v>42</v>
      </c>
      <c r="F3825" s="762">
        <v>3.0000000000000001E-3</v>
      </c>
      <c r="G3825" s="205">
        <f>VLOOKUP(D3825,upahbahan,3,FALSE)</f>
        <v>0</v>
      </c>
      <c r="H3825" s="210">
        <f t="shared" si="260"/>
        <v>0</v>
      </c>
      <c r="L3825" s="200"/>
      <c r="M3825" s="200"/>
      <c r="N3825" s="200"/>
      <c r="O3825" s="200"/>
      <c r="P3825" s="200"/>
    </row>
    <row r="3826" spans="3:20" s="517" customFormat="1" ht="31.2" customHeight="1">
      <c r="C3826" s="207" t="s">
        <v>1214</v>
      </c>
      <c r="D3826" s="208"/>
      <c r="E3826" s="568"/>
      <c r="F3826" s="208"/>
      <c r="G3826" s="209"/>
      <c r="H3826" s="210">
        <f>SUM(H3817:H3825)</f>
        <v>0</v>
      </c>
      <c r="L3826" s="200"/>
      <c r="M3826" s="200"/>
      <c r="N3826" s="200"/>
      <c r="O3826" s="200"/>
      <c r="P3826" s="200"/>
    </row>
    <row r="3827" spans="3:20" s="517" customFormat="1" ht="31.2" customHeight="1">
      <c r="C3827" s="756" t="s">
        <v>1215</v>
      </c>
      <c r="D3827" s="196" t="s">
        <v>1216</v>
      </c>
      <c r="E3827" s="203"/>
      <c r="F3827" s="197"/>
      <c r="G3827" s="197"/>
      <c r="H3827" s="198"/>
      <c r="L3827" s="200"/>
      <c r="M3827" s="200"/>
      <c r="N3827" s="200"/>
      <c r="O3827" s="200"/>
      <c r="P3827" s="200"/>
    </row>
    <row r="3828" spans="3:20" s="517" customFormat="1" ht="31.2" customHeight="1">
      <c r="C3828" s="207" t="s">
        <v>1217</v>
      </c>
      <c r="D3828" s="208"/>
      <c r="E3828" s="208"/>
      <c r="F3828" s="208"/>
      <c r="G3828" s="209"/>
      <c r="H3828" s="240">
        <f>SUM(H3827:H3827)</f>
        <v>0</v>
      </c>
      <c r="L3828" s="200"/>
      <c r="M3828" s="200"/>
      <c r="N3828" s="200"/>
      <c r="O3828" s="200"/>
      <c r="P3828" s="200"/>
    </row>
    <row r="3829" spans="3:20" s="517" customFormat="1" ht="31.2" customHeight="1">
      <c r="C3829" s="223" t="s">
        <v>1218</v>
      </c>
      <c r="D3829" s="224" t="s">
        <v>1219</v>
      </c>
      <c r="E3829" s="225"/>
      <c r="F3829" s="225"/>
      <c r="G3829" s="226"/>
      <c r="H3829" s="210">
        <f>H3828+H3826+H3815</f>
        <v>16697</v>
      </c>
      <c r="L3829" s="200"/>
      <c r="M3829" s="200"/>
      <c r="N3829" s="200"/>
      <c r="O3829" s="200"/>
      <c r="P3829" s="200"/>
    </row>
    <row r="3830" spans="3:20" s="517" customFormat="1" ht="31.2" customHeight="1">
      <c r="C3830" s="223" t="s">
        <v>1220</v>
      </c>
      <c r="D3830" s="224" t="s">
        <v>1321</v>
      </c>
      <c r="E3830" s="225"/>
      <c r="F3830" s="226"/>
      <c r="G3830" s="228">
        <v>0.1</v>
      </c>
      <c r="H3830" s="210">
        <f>H3829*G3830</f>
        <v>1669.7</v>
      </c>
      <c r="L3830" s="200"/>
      <c r="M3830" s="200"/>
      <c r="N3830" s="200"/>
      <c r="O3830" s="200"/>
      <c r="P3830" s="200"/>
    </row>
    <row r="3831" spans="3:20" s="517" customFormat="1" ht="31.2" customHeight="1" thickBot="1">
      <c r="C3831" s="229" t="s">
        <v>1221</v>
      </c>
      <c r="D3831" s="230" t="s">
        <v>1222</v>
      </c>
      <c r="E3831" s="231"/>
      <c r="F3831" s="231"/>
      <c r="G3831" s="232"/>
      <c r="H3831" s="233">
        <f>SUM(H3829:H3830)</f>
        <v>18366.7</v>
      </c>
      <c r="L3831" s="200"/>
      <c r="M3831" s="200"/>
      <c r="N3831" s="200"/>
      <c r="O3831" s="200"/>
      <c r="P3831" s="200"/>
    </row>
    <row r="3832" spans="3:20" ht="31.2" customHeight="1" thickTop="1">
      <c r="D3832" s="758" t="s">
        <v>7210</v>
      </c>
    </row>
    <row r="3833" spans="3:20" ht="31.2" customHeight="1">
      <c r="C3833" s="757" t="s">
        <v>6950</v>
      </c>
      <c r="F3833" s="758"/>
      <c r="H3833" s="758" t="s">
        <v>6959</v>
      </c>
    </row>
    <row r="3834" spans="3:20" ht="31.2" customHeight="1">
      <c r="C3834" s="200" t="s">
        <v>6951</v>
      </c>
      <c r="F3834" s="758"/>
    </row>
    <row r="3835" spans="3:20" ht="31.2" customHeight="1">
      <c r="C3835" s="200" t="s">
        <v>6952</v>
      </c>
      <c r="F3835" s="758"/>
    </row>
    <row r="3836" spans="3:20" ht="31.2" customHeight="1">
      <c r="C3836" s="200"/>
      <c r="F3836" s="758"/>
    </row>
    <row r="3837" spans="3:20" ht="31.2" customHeight="1">
      <c r="C3837" s="199" t="s">
        <v>5582</v>
      </c>
      <c r="D3837" s="187" t="s">
        <v>7276</v>
      </c>
      <c r="F3837" s="758"/>
    </row>
    <row r="3838" spans="3:20" s="517" customFormat="1" ht="31.2" customHeight="1" thickBot="1">
      <c r="C3838" s="513" t="s">
        <v>7277</v>
      </c>
      <c r="D3838" s="748" t="s">
        <v>7278</v>
      </c>
      <c r="E3838" s="749"/>
      <c r="F3838" s="748"/>
      <c r="G3838" s="748"/>
      <c r="H3838" s="532"/>
      <c r="I3838" s="532"/>
      <c r="J3838" s="532"/>
      <c r="K3838" s="532"/>
      <c r="M3838" s="189"/>
      <c r="N3838" s="189"/>
      <c r="O3838" s="189"/>
      <c r="P3838" s="189"/>
      <c r="R3838" s="189">
        <f>ROUNDDOWN(H3861,-2)</f>
        <v>27600</v>
      </c>
      <c r="S3838" s="517" t="s">
        <v>6451</v>
      </c>
      <c r="T3838" s="517" t="s">
        <v>7014</v>
      </c>
    </row>
    <row r="3839" spans="3:20" s="517" customFormat="1" ht="31.2" customHeight="1" thickTop="1">
      <c r="C3839" s="190" t="s">
        <v>1195</v>
      </c>
      <c r="D3839" s="191" t="s">
        <v>1196</v>
      </c>
      <c r="E3839" s="191" t="s">
        <v>1197</v>
      </c>
      <c r="F3839" s="191" t="s">
        <v>1198</v>
      </c>
      <c r="G3839" s="191" t="s">
        <v>1199</v>
      </c>
      <c r="H3839" s="192" t="s">
        <v>1200</v>
      </c>
      <c r="L3839" s="200"/>
      <c r="M3839" s="200"/>
      <c r="N3839" s="200"/>
      <c r="O3839" s="200"/>
      <c r="P3839" s="200"/>
    </row>
    <row r="3840" spans="3:20" s="517" customFormat="1" ht="31.2" customHeight="1">
      <c r="C3840" s="518" t="s">
        <v>1201</v>
      </c>
      <c r="D3840" s="196" t="s">
        <v>1202</v>
      </c>
      <c r="E3840" s="197"/>
      <c r="F3840" s="197"/>
      <c r="G3840" s="197"/>
      <c r="H3840" s="198"/>
      <c r="L3840" s="200"/>
      <c r="M3840" s="200"/>
      <c r="N3840" s="200"/>
      <c r="O3840" s="200"/>
      <c r="P3840" s="200"/>
    </row>
    <row r="3841" spans="3:16" s="517" customFormat="1" ht="31.2" customHeight="1">
      <c r="C3841" s="518">
        <v>1</v>
      </c>
      <c r="D3841" s="196" t="s">
        <v>5</v>
      </c>
      <c r="E3841" s="203" t="s">
        <v>2102</v>
      </c>
      <c r="F3841" s="525">
        <v>7.0000000000000007E-2</v>
      </c>
      <c r="G3841" s="205">
        <f>VLOOKUP(D3841,upahbahan,3,FALSE)</f>
        <v>100000</v>
      </c>
      <c r="H3841" s="210">
        <f t="shared" ref="H3841:H3844" si="261">F3841*G3841</f>
        <v>7000.0000000000009</v>
      </c>
      <c r="L3841" s="200"/>
      <c r="M3841" s="200"/>
      <c r="N3841" s="200"/>
      <c r="O3841" s="200"/>
      <c r="P3841" s="200"/>
    </row>
    <row r="3842" spans="3:16" s="517" customFormat="1" ht="31.2" customHeight="1">
      <c r="C3842" s="537">
        <v>2</v>
      </c>
      <c r="D3842" s="196" t="s">
        <v>6954</v>
      </c>
      <c r="E3842" s="202" t="s">
        <v>6</v>
      </c>
      <c r="F3842" s="520">
        <v>7.0000000000000007E-2</v>
      </c>
      <c r="G3842" s="205">
        <f>VLOOKUP(D3842,upahbahan,3,FALSE)</f>
        <v>181250</v>
      </c>
      <c r="H3842" s="210">
        <f t="shared" si="261"/>
        <v>12687.500000000002</v>
      </c>
      <c r="L3842" s="200"/>
      <c r="M3842" s="200"/>
      <c r="N3842" s="200"/>
      <c r="O3842" s="200"/>
      <c r="P3842" s="200"/>
    </row>
    <row r="3843" spans="3:16" s="517" customFormat="1" ht="31.2" customHeight="1">
      <c r="C3843" s="537">
        <v>3</v>
      </c>
      <c r="D3843" s="196" t="s">
        <v>6948</v>
      </c>
      <c r="E3843" s="202" t="s">
        <v>2102</v>
      </c>
      <c r="F3843" s="520">
        <v>0.02</v>
      </c>
      <c r="G3843" s="205">
        <f>VLOOKUP(D3843,upahbahan,3,FALSE)</f>
        <v>218750</v>
      </c>
      <c r="H3843" s="210">
        <f t="shared" si="261"/>
        <v>4375</v>
      </c>
      <c r="L3843" s="200"/>
      <c r="M3843" s="200"/>
      <c r="N3843" s="200"/>
      <c r="O3843" s="200"/>
      <c r="P3843" s="200"/>
    </row>
    <row r="3844" spans="3:16" s="517" customFormat="1" ht="31.2" customHeight="1">
      <c r="C3844" s="537">
        <v>4</v>
      </c>
      <c r="D3844" s="196" t="s">
        <v>19</v>
      </c>
      <c r="E3844" s="202" t="s">
        <v>6</v>
      </c>
      <c r="F3844" s="520">
        <v>6.7000000000000002E-3</v>
      </c>
      <c r="G3844" s="205">
        <f>VLOOKUP(D3844,upahbahan,3,FALSE)</f>
        <v>160000</v>
      </c>
      <c r="H3844" s="210">
        <f t="shared" si="261"/>
        <v>1072</v>
      </c>
      <c r="L3844" s="200"/>
      <c r="M3844" s="200"/>
      <c r="N3844" s="200"/>
      <c r="O3844" s="200"/>
      <c r="P3844" s="200"/>
    </row>
    <row r="3845" spans="3:16" s="517" customFormat="1" ht="31.2" customHeight="1">
      <c r="C3845" s="207" t="s">
        <v>1208</v>
      </c>
      <c r="D3845" s="208"/>
      <c r="E3845" s="208"/>
      <c r="F3845" s="521"/>
      <c r="G3845" s="522"/>
      <c r="H3845" s="210">
        <f>SUM(H3841:H3844)</f>
        <v>25134.500000000004</v>
      </c>
      <c r="L3845" s="523"/>
      <c r="M3845" s="523"/>
      <c r="N3845" s="523"/>
      <c r="O3845" s="523"/>
      <c r="P3845" s="523"/>
    </row>
    <row r="3846" spans="3:16" s="517" customFormat="1" ht="31.2" customHeight="1">
      <c r="C3846" s="543" t="s">
        <v>1209</v>
      </c>
      <c r="D3846" s="750" t="s">
        <v>1210</v>
      </c>
      <c r="E3846" s="197"/>
      <c r="F3846" s="751"/>
      <c r="G3846" s="197"/>
      <c r="H3846" s="752"/>
      <c r="L3846" s="200"/>
      <c r="M3846" s="200"/>
      <c r="N3846" s="200"/>
      <c r="O3846" s="200"/>
      <c r="P3846" s="200"/>
    </row>
    <row r="3847" spans="3:16" s="517" customFormat="1" ht="31.2" customHeight="1">
      <c r="C3847" s="543">
        <v>1</v>
      </c>
      <c r="D3847" s="750" t="s">
        <v>7279</v>
      </c>
      <c r="E3847" s="203" t="s">
        <v>44</v>
      </c>
      <c r="F3847" s="753">
        <v>1.05</v>
      </c>
      <c r="G3847" s="205">
        <f>VLOOKUP(D3847,upahbahan,3,FALSE)</f>
        <v>0</v>
      </c>
      <c r="H3847" s="210">
        <f t="shared" ref="H3847:H3855" si="262">F3847*G3847</f>
        <v>0</v>
      </c>
      <c r="L3847" s="200"/>
      <c r="M3847" s="200"/>
      <c r="N3847" s="200"/>
      <c r="O3847" s="200"/>
      <c r="P3847" s="200"/>
    </row>
    <row r="3848" spans="3:16" s="517" customFormat="1" ht="31.2" customHeight="1">
      <c r="C3848" s="543">
        <v>2</v>
      </c>
      <c r="D3848" s="750" t="s">
        <v>5563</v>
      </c>
      <c r="E3848" s="203" t="s">
        <v>65</v>
      </c>
      <c r="F3848" s="753">
        <v>5.0000000000000001E-3</v>
      </c>
      <c r="G3848" s="205">
        <f>VLOOKUP(D3848,upahbahan,3,FALSE)</f>
        <v>0</v>
      </c>
      <c r="H3848" s="210">
        <f t="shared" si="262"/>
        <v>0</v>
      </c>
      <c r="L3848" s="200"/>
      <c r="M3848" s="200"/>
      <c r="N3848" s="200"/>
      <c r="O3848" s="200"/>
      <c r="P3848" s="200"/>
    </row>
    <row r="3849" spans="3:16" s="517" customFormat="1" ht="31.2" customHeight="1">
      <c r="C3849" s="543">
        <v>3</v>
      </c>
      <c r="D3849" s="750" t="s">
        <v>5555</v>
      </c>
      <c r="E3849" s="203"/>
      <c r="F3849" s="753"/>
      <c r="G3849" s="197"/>
      <c r="H3849" s="210">
        <f t="shared" si="262"/>
        <v>0</v>
      </c>
      <c r="L3849" s="200"/>
      <c r="M3849" s="200"/>
      <c r="N3849" s="200"/>
      <c r="O3849" s="200"/>
      <c r="P3849" s="200"/>
    </row>
    <row r="3850" spans="3:16" s="517" customFormat="1" ht="31.2" customHeight="1">
      <c r="C3850" s="754" t="s">
        <v>5293</v>
      </c>
      <c r="D3850" s="750" t="s">
        <v>7053</v>
      </c>
      <c r="E3850" s="203" t="s">
        <v>113</v>
      </c>
      <c r="F3850" s="760">
        <v>12</v>
      </c>
      <c r="G3850" s="205">
        <f>VLOOKUP(D3850,upahbahan,3,FALSE)</f>
        <v>0</v>
      </c>
      <c r="H3850" s="210">
        <f t="shared" si="262"/>
        <v>0</v>
      </c>
      <c r="L3850" s="200"/>
      <c r="M3850" s="200"/>
      <c r="N3850" s="200"/>
      <c r="O3850" s="200"/>
      <c r="P3850" s="200"/>
    </row>
    <row r="3851" spans="3:16" s="517" customFormat="1" ht="31.2" customHeight="1">
      <c r="C3851" s="754" t="s">
        <v>5299</v>
      </c>
      <c r="D3851" s="750" t="s">
        <v>7055</v>
      </c>
      <c r="E3851" s="203" t="s">
        <v>113</v>
      </c>
      <c r="F3851" s="760">
        <v>10</v>
      </c>
      <c r="G3851" s="205">
        <f>VLOOKUP(D3851,upahbahan,3,FALSE)</f>
        <v>0</v>
      </c>
      <c r="H3851" s="210">
        <f t="shared" si="262"/>
        <v>0</v>
      </c>
      <c r="L3851" s="200"/>
      <c r="M3851" s="200"/>
      <c r="N3851" s="200"/>
      <c r="O3851" s="200"/>
      <c r="P3851" s="200"/>
    </row>
    <row r="3852" spans="3:16" s="517" customFormat="1" ht="31.2" customHeight="1">
      <c r="C3852" s="543">
        <v>4</v>
      </c>
      <c r="D3852" s="750" t="s">
        <v>5556</v>
      </c>
      <c r="E3852" s="203"/>
      <c r="F3852" s="753"/>
      <c r="G3852" s="197"/>
      <c r="H3852" s="210">
        <f t="shared" si="262"/>
        <v>0</v>
      </c>
      <c r="L3852" s="200"/>
      <c r="M3852" s="200"/>
      <c r="N3852" s="200"/>
      <c r="O3852" s="200"/>
      <c r="P3852" s="200"/>
    </row>
    <row r="3853" spans="3:16" s="517" customFormat="1" ht="31.2" customHeight="1">
      <c r="C3853" s="754" t="s">
        <v>5293</v>
      </c>
      <c r="D3853" s="750" t="s">
        <v>2084</v>
      </c>
      <c r="E3853" s="203" t="s">
        <v>42</v>
      </c>
      <c r="F3853" s="753">
        <v>7.2999999999999995E-2</v>
      </c>
      <c r="G3853" s="205">
        <f>VLOOKUP(D3853,upahbahan,3,FALSE)</f>
        <v>0</v>
      </c>
      <c r="H3853" s="210">
        <f t="shared" si="262"/>
        <v>0</v>
      </c>
      <c r="L3853" s="200"/>
      <c r="M3853" s="200"/>
      <c r="N3853" s="200"/>
      <c r="O3853" s="200"/>
      <c r="P3853" s="200"/>
    </row>
    <row r="3854" spans="3:16" s="517" customFormat="1" ht="31.2" customHeight="1">
      <c r="C3854" s="754" t="s">
        <v>5299</v>
      </c>
      <c r="D3854" s="750" t="s">
        <v>5566</v>
      </c>
      <c r="E3854" s="203" t="s">
        <v>42</v>
      </c>
      <c r="F3854" s="753">
        <v>0.02</v>
      </c>
      <c r="G3854" s="205">
        <f>VLOOKUP(D3854,upahbahan,3,FALSE)</f>
        <v>0</v>
      </c>
      <c r="H3854" s="210">
        <f t="shared" si="262"/>
        <v>0</v>
      </c>
      <c r="L3854" s="200"/>
      <c r="M3854" s="200"/>
      <c r="N3854" s="200"/>
      <c r="O3854" s="200"/>
      <c r="P3854" s="200"/>
    </row>
    <row r="3855" spans="3:16" s="517" customFormat="1" ht="31.2" customHeight="1">
      <c r="C3855" s="754" t="s">
        <v>5558</v>
      </c>
      <c r="D3855" s="750" t="s">
        <v>2325</v>
      </c>
      <c r="E3855" s="203" t="s">
        <v>42</v>
      </c>
      <c r="F3855" s="762">
        <v>5.0000000000000001E-3</v>
      </c>
      <c r="G3855" s="205">
        <f>VLOOKUP(D3855,upahbahan,3,FALSE)</f>
        <v>0</v>
      </c>
      <c r="H3855" s="210">
        <f t="shared" si="262"/>
        <v>0</v>
      </c>
      <c r="L3855" s="200"/>
      <c r="M3855" s="200"/>
      <c r="N3855" s="200"/>
      <c r="O3855" s="200"/>
      <c r="P3855" s="200"/>
    </row>
    <row r="3856" spans="3:16" s="517" customFormat="1" ht="31.2" customHeight="1">
      <c r="C3856" s="207" t="s">
        <v>1214</v>
      </c>
      <c r="D3856" s="208"/>
      <c r="E3856" s="568"/>
      <c r="F3856" s="208"/>
      <c r="G3856" s="209"/>
      <c r="H3856" s="210">
        <f>SUM(H3847:H3855)</f>
        <v>0</v>
      </c>
      <c r="L3856" s="200"/>
      <c r="M3856" s="200"/>
      <c r="N3856" s="200"/>
      <c r="O3856" s="200"/>
      <c r="P3856" s="200"/>
    </row>
    <row r="3857" spans="3:20" s="517" customFormat="1" ht="31.2" customHeight="1">
      <c r="C3857" s="756" t="s">
        <v>1215</v>
      </c>
      <c r="D3857" s="196" t="s">
        <v>1216</v>
      </c>
      <c r="E3857" s="203"/>
      <c r="F3857" s="197"/>
      <c r="G3857" s="197"/>
      <c r="H3857" s="198"/>
      <c r="L3857" s="200"/>
      <c r="M3857" s="200"/>
      <c r="N3857" s="200"/>
      <c r="O3857" s="200"/>
      <c r="P3857" s="200"/>
    </row>
    <row r="3858" spans="3:20" s="517" customFormat="1" ht="31.2" customHeight="1">
      <c r="C3858" s="207" t="s">
        <v>1217</v>
      </c>
      <c r="D3858" s="208"/>
      <c r="E3858" s="208"/>
      <c r="F3858" s="208"/>
      <c r="G3858" s="209"/>
      <c r="H3858" s="240">
        <f>SUM(H3857:H3857)</f>
        <v>0</v>
      </c>
      <c r="L3858" s="200"/>
      <c r="M3858" s="200"/>
      <c r="N3858" s="200"/>
      <c r="O3858" s="200"/>
      <c r="P3858" s="200"/>
    </row>
    <row r="3859" spans="3:20" s="517" customFormat="1" ht="31.2" customHeight="1">
      <c r="C3859" s="223" t="s">
        <v>1218</v>
      </c>
      <c r="D3859" s="224" t="s">
        <v>1219</v>
      </c>
      <c r="E3859" s="225"/>
      <c r="F3859" s="225"/>
      <c r="G3859" s="226"/>
      <c r="H3859" s="210">
        <f>H3858+H3856+H3845</f>
        <v>25134.500000000004</v>
      </c>
      <c r="L3859" s="200"/>
      <c r="M3859" s="200"/>
      <c r="N3859" s="200"/>
      <c r="O3859" s="200"/>
      <c r="P3859" s="200"/>
    </row>
    <row r="3860" spans="3:20" s="517" customFormat="1" ht="31.2" customHeight="1">
      <c r="C3860" s="223" t="s">
        <v>1220</v>
      </c>
      <c r="D3860" s="224" t="s">
        <v>1321</v>
      </c>
      <c r="E3860" s="225"/>
      <c r="F3860" s="226"/>
      <c r="G3860" s="228">
        <v>0.1</v>
      </c>
      <c r="H3860" s="210">
        <f>H3859*G3860</f>
        <v>2513.4500000000007</v>
      </c>
      <c r="L3860" s="200"/>
      <c r="M3860" s="200"/>
      <c r="N3860" s="200"/>
      <c r="O3860" s="200"/>
      <c r="P3860" s="200"/>
    </row>
    <row r="3861" spans="3:20" s="517" customFormat="1" ht="31.2" customHeight="1" thickBot="1">
      <c r="C3861" s="229" t="s">
        <v>1221</v>
      </c>
      <c r="D3861" s="230" t="s">
        <v>1222</v>
      </c>
      <c r="E3861" s="231"/>
      <c r="F3861" s="231"/>
      <c r="G3861" s="232"/>
      <c r="H3861" s="233">
        <f>SUM(H3859:H3860)</f>
        <v>27647.950000000004</v>
      </c>
      <c r="L3861" s="200"/>
      <c r="M3861" s="200"/>
      <c r="N3861" s="200"/>
      <c r="O3861" s="200"/>
      <c r="P3861" s="200"/>
    </row>
    <row r="3862" spans="3:20" ht="31.2" customHeight="1" thickTop="1">
      <c r="D3862" s="758" t="s">
        <v>7210</v>
      </c>
    </row>
    <row r="3863" spans="3:20" ht="31.2" customHeight="1">
      <c r="C3863" s="757" t="s">
        <v>6950</v>
      </c>
      <c r="F3863" s="758"/>
      <c r="H3863" s="758" t="s">
        <v>6959</v>
      </c>
    </row>
    <row r="3864" spans="3:20" ht="31.2" customHeight="1">
      <c r="C3864" s="200" t="s">
        <v>6951</v>
      </c>
      <c r="F3864" s="758"/>
    </row>
    <row r="3865" spans="3:20" ht="31.2" customHeight="1">
      <c r="C3865" s="200" t="s">
        <v>6952</v>
      </c>
      <c r="F3865" s="758"/>
    </row>
    <row r="3866" spans="3:20" ht="31.2" customHeight="1">
      <c r="C3866" s="200"/>
      <c r="F3866" s="758"/>
    </row>
    <row r="3867" spans="3:20" s="517" customFormat="1" ht="31.2" customHeight="1" thickBot="1">
      <c r="C3867" s="513" t="s">
        <v>7280</v>
      </c>
      <c r="D3867" s="748" t="s">
        <v>7281</v>
      </c>
      <c r="E3867" s="749"/>
      <c r="F3867" s="748"/>
      <c r="G3867" s="748"/>
      <c r="H3867" s="532"/>
      <c r="I3867" s="532"/>
      <c r="J3867" s="532"/>
      <c r="K3867" s="532"/>
      <c r="M3867" s="189"/>
      <c r="N3867" s="189"/>
      <c r="O3867" s="189"/>
      <c r="P3867" s="189"/>
      <c r="R3867" s="189">
        <f>ROUNDDOWN(H3890,-2)</f>
        <v>27600</v>
      </c>
      <c r="S3867" s="517" t="s">
        <v>6451</v>
      </c>
      <c r="T3867" s="517" t="s">
        <v>7014</v>
      </c>
    </row>
    <row r="3868" spans="3:20" s="517" customFormat="1" ht="31.2" customHeight="1" thickTop="1">
      <c r="C3868" s="190" t="s">
        <v>1195</v>
      </c>
      <c r="D3868" s="191" t="s">
        <v>1196</v>
      </c>
      <c r="E3868" s="191" t="s">
        <v>1197</v>
      </c>
      <c r="F3868" s="191" t="s">
        <v>1198</v>
      </c>
      <c r="G3868" s="191" t="s">
        <v>1199</v>
      </c>
      <c r="H3868" s="192" t="s">
        <v>1200</v>
      </c>
      <c r="L3868" s="200"/>
      <c r="M3868" s="200"/>
      <c r="N3868" s="200"/>
      <c r="O3868" s="200"/>
      <c r="P3868" s="200"/>
    </row>
    <row r="3869" spans="3:20" s="517" customFormat="1" ht="31.2" customHeight="1">
      <c r="C3869" s="518" t="s">
        <v>1201</v>
      </c>
      <c r="D3869" s="196" t="s">
        <v>1202</v>
      </c>
      <c r="E3869" s="197"/>
      <c r="F3869" s="197"/>
      <c r="G3869" s="197"/>
      <c r="H3869" s="198"/>
      <c r="L3869" s="200"/>
      <c r="M3869" s="200"/>
      <c r="N3869" s="200"/>
      <c r="O3869" s="200"/>
      <c r="P3869" s="200"/>
    </row>
    <row r="3870" spans="3:20" s="517" customFormat="1" ht="31.2" customHeight="1">
      <c r="C3870" s="518">
        <v>1</v>
      </c>
      <c r="D3870" s="196" t="s">
        <v>5</v>
      </c>
      <c r="E3870" s="203" t="s">
        <v>2102</v>
      </c>
      <c r="F3870" s="525">
        <v>7.0000000000000007E-2</v>
      </c>
      <c r="G3870" s="205">
        <f>VLOOKUP(D3870,upahbahan,3,FALSE)</f>
        <v>100000</v>
      </c>
      <c r="H3870" s="210">
        <f t="shared" ref="H3870:H3873" si="263">F3870*G3870</f>
        <v>7000.0000000000009</v>
      </c>
      <c r="L3870" s="200"/>
      <c r="M3870" s="200"/>
      <c r="N3870" s="200"/>
      <c r="O3870" s="200"/>
      <c r="P3870" s="200"/>
    </row>
    <row r="3871" spans="3:20" s="517" customFormat="1" ht="31.2" customHeight="1">
      <c r="C3871" s="537">
        <v>2</v>
      </c>
      <c r="D3871" s="196" t="s">
        <v>6954</v>
      </c>
      <c r="E3871" s="202" t="s">
        <v>6</v>
      </c>
      <c r="F3871" s="520">
        <v>7.0000000000000007E-2</v>
      </c>
      <c r="G3871" s="205">
        <f>VLOOKUP(D3871,upahbahan,3,FALSE)</f>
        <v>181250</v>
      </c>
      <c r="H3871" s="210">
        <f t="shared" si="263"/>
        <v>12687.500000000002</v>
      </c>
      <c r="L3871" s="200"/>
      <c r="M3871" s="200"/>
      <c r="N3871" s="200"/>
      <c r="O3871" s="200"/>
      <c r="P3871" s="200"/>
    </row>
    <row r="3872" spans="3:20" s="517" customFormat="1" ht="31.2" customHeight="1">
      <c r="C3872" s="537">
        <v>3</v>
      </c>
      <c r="D3872" s="196" t="s">
        <v>6948</v>
      </c>
      <c r="E3872" s="202" t="s">
        <v>2102</v>
      </c>
      <c r="F3872" s="520">
        <v>0.02</v>
      </c>
      <c r="G3872" s="205">
        <f>VLOOKUP(D3872,upahbahan,3,FALSE)</f>
        <v>218750</v>
      </c>
      <c r="H3872" s="210">
        <f t="shared" si="263"/>
        <v>4375</v>
      </c>
      <c r="L3872" s="200"/>
      <c r="M3872" s="200"/>
      <c r="N3872" s="200"/>
      <c r="O3872" s="200"/>
      <c r="P3872" s="200"/>
    </row>
    <row r="3873" spans="3:16" s="517" customFormat="1" ht="31.2" customHeight="1">
      <c r="C3873" s="537">
        <v>4</v>
      </c>
      <c r="D3873" s="196" t="s">
        <v>19</v>
      </c>
      <c r="E3873" s="202" t="s">
        <v>6</v>
      </c>
      <c r="F3873" s="520">
        <v>6.7000000000000002E-3</v>
      </c>
      <c r="G3873" s="205">
        <f>VLOOKUP(D3873,upahbahan,3,FALSE)</f>
        <v>160000</v>
      </c>
      <c r="H3873" s="210">
        <f t="shared" si="263"/>
        <v>1072</v>
      </c>
      <c r="L3873" s="200"/>
      <c r="M3873" s="200"/>
      <c r="N3873" s="200"/>
      <c r="O3873" s="200"/>
      <c r="P3873" s="200"/>
    </row>
    <row r="3874" spans="3:16" s="517" customFormat="1" ht="31.2" customHeight="1">
      <c r="C3874" s="207" t="s">
        <v>1208</v>
      </c>
      <c r="D3874" s="208"/>
      <c r="E3874" s="208"/>
      <c r="F3874" s="521"/>
      <c r="G3874" s="522"/>
      <c r="H3874" s="210">
        <f>SUM(H3870:H3873)</f>
        <v>25134.500000000004</v>
      </c>
      <c r="L3874" s="523"/>
      <c r="M3874" s="523"/>
      <c r="N3874" s="523"/>
      <c r="O3874" s="523"/>
      <c r="P3874" s="523"/>
    </row>
    <row r="3875" spans="3:16" s="517" customFormat="1" ht="31.2" customHeight="1">
      <c r="C3875" s="543" t="s">
        <v>1209</v>
      </c>
      <c r="D3875" s="750" t="s">
        <v>1210</v>
      </c>
      <c r="E3875" s="197"/>
      <c r="F3875" s="751"/>
      <c r="G3875" s="197"/>
      <c r="H3875" s="752"/>
      <c r="L3875" s="200"/>
      <c r="M3875" s="200"/>
      <c r="N3875" s="200"/>
      <c r="O3875" s="200"/>
      <c r="P3875" s="200"/>
    </row>
    <row r="3876" spans="3:16" s="517" customFormat="1" ht="31.2" customHeight="1">
      <c r="C3876" s="543">
        <v>1</v>
      </c>
      <c r="D3876" s="750" t="s">
        <v>7282</v>
      </c>
      <c r="E3876" s="203" t="s">
        <v>44</v>
      </c>
      <c r="F3876" s="753">
        <v>1.05</v>
      </c>
      <c r="G3876" s="205">
        <f>VLOOKUP(D3876,upahbahan,3,FALSE)</f>
        <v>0</v>
      </c>
      <c r="H3876" s="210">
        <f t="shared" ref="H3876:H3884" si="264">F3876*G3876</f>
        <v>0</v>
      </c>
      <c r="L3876" s="200"/>
      <c r="M3876" s="200"/>
      <c r="N3876" s="200"/>
      <c r="O3876" s="200"/>
      <c r="P3876" s="200"/>
    </row>
    <row r="3877" spans="3:16" s="517" customFormat="1" ht="31.2" customHeight="1">
      <c r="C3877" s="543">
        <v>2</v>
      </c>
      <c r="D3877" s="750" t="s">
        <v>5563</v>
      </c>
      <c r="E3877" s="203" t="s">
        <v>65</v>
      </c>
      <c r="F3877" s="753">
        <v>5.0000000000000001E-3</v>
      </c>
      <c r="G3877" s="205">
        <f>VLOOKUP(D3877,upahbahan,3,FALSE)</f>
        <v>0</v>
      </c>
      <c r="H3877" s="210">
        <f t="shared" si="264"/>
        <v>0</v>
      </c>
      <c r="L3877" s="200"/>
      <c r="M3877" s="200"/>
      <c r="N3877" s="200"/>
      <c r="O3877" s="200"/>
      <c r="P3877" s="200"/>
    </row>
    <row r="3878" spans="3:16" s="517" customFormat="1" ht="31.2" customHeight="1">
      <c r="C3878" s="543">
        <v>3</v>
      </c>
      <c r="D3878" s="750" t="s">
        <v>5555</v>
      </c>
      <c r="E3878" s="203"/>
      <c r="F3878" s="753"/>
      <c r="G3878" s="197"/>
      <c r="H3878" s="210">
        <f t="shared" si="264"/>
        <v>0</v>
      </c>
      <c r="L3878" s="200"/>
      <c r="M3878" s="200"/>
      <c r="N3878" s="200"/>
      <c r="O3878" s="200"/>
      <c r="P3878" s="200"/>
    </row>
    <row r="3879" spans="3:16" s="517" customFormat="1" ht="31.2" customHeight="1">
      <c r="C3879" s="754" t="s">
        <v>5293</v>
      </c>
      <c r="D3879" s="750" t="s">
        <v>7053</v>
      </c>
      <c r="E3879" s="203" t="s">
        <v>113</v>
      </c>
      <c r="F3879" s="760">
        <v>12</v>
      </c>
      <c r="G3879" s="205">
        <f>VLOOKUP(D3879,upahbahan,3,FALSE)</f>
        <v>0</v>
      </c>
      <c r="H3879" s="210">
        <f t="shared" si="264"/>
        <v>0</v>
      </c>
      <c r="L3879" s="200"/>
      <c r="M3879" s="200"/>
      <c r="N3879" s="200"/>
      <c r="O3879" s="200"/>
      <c r="P3879" s="200"/>
    </row>
    <row r="3880" spans="3:16" s="517" customFormat="1" ht="31.2" customHeight="1">
      <c r="C3880" s="754" t="s">
        <v>5299</v>
      </c>
      <c r="D3880" s="750" t="s">
        <v>7055</v>
      </c>
      <c r="E3880" s="203" t="s">
        <v>113</v>
      </c>
      <c r="F3880" s="760">
        <v>10</v>
      </c>
      <c r="G3880" s="205">
        <f>VLOOKUP(D3880,upahbahan,3,FALSE)</f>
        <v>0</v>
      </c>
      <c r="H3880" s="210">
        <f t="shared" si="264"/>
        <v>0</v>
      </c>
      <c r="L3880" s="200"/>
      <c r="M3880" s="200"/>
      <c r="N3880" s="200"/>
      <c r="O3880" s="200"/>
      <c r="P3880" s="200"/>
    </row>
    <row r="3881" spans="3:16" s="517" customFormat="1" ht="31.2" customHeight="1">
      <c r="C3881" s="543">
        <v>4</v>
      </c>
      <c r="D3881" s="750" t="s">
        <v>5556</v>
      </c>
      <c r="E3881" s="203"/>
      <c r="F3881" s="753"/>
      <c r="G3881" s="197"/>
      <c r="H3881" s="210">
        <f t="shared" si="264"/>
        <v>0</v>
      </c>
      <c r="L3881" s="200"/>
      <c r="M3881" s="200"/>
      <c r="N3881" s="200"/>
      <c r="O3881" s="200"/>
      <c r="P3881" s="200"/>
    </row>
    <row r="3882" spans="3:16" s="517" customFormat="1" ht="31.2" customHeight="1">
      <c r="C3882" s="754" t="s">
        <v>5293</v>
      </c>
      <c r="D3882" s="750" t="s">
        <v>2084</v>
      </c>
      <c r="E3882" s="203" t="s">
        <v>42</v>
      </c>
      <c r="F3882" s="753">
        <v>7.2999999999999995E-2</v>
      </c>
      <c r="G3882" s="205">
        <f>VLOOKUP(D3882,upahbahan,3,FALSE)</f>
        <v>0</v>
      </c>
      <c r="H3882" s="210">
        <f t="shared" si="264"/>
        <v>0</v>
      </c>
      <c r="L3882" s="200"/>
      <c r="M3882" s="200"/>
      <c r="N3882" s="200"/>
      <c r="O3882" s="200"/>
      <c r="P3882" s="200"/>
    </row>
    <row r="3883" spans="3:16" s="517" customFormat="1" ht="31.2" customHeight="1">
      <c r="C3883" s="754" t="s">
        <v>5299</v>
      </c>
      <c r="D3883" s="750" t="s">
        <v>5566</v>
      </c>
      <c r="E3883" s="203" t="s">
        <v>42</v>
      </c>
      <c r="F3883" s="753">
        <v>0.02</v>
      </c>
      <c r="G3883" s="205">
        <f>VLOOKUP(D3883,upahbahan,3,FALSE)</f>
        <v>0</v>
      </c>
      <c r="H3883" s="210">
        <f t="shared" si="264"/>
        <v>0</v>
      </c>
      <c r="L3883" s="200"/>
      <c r="M3883" s="200"/>
      <c r="N3883" s="200"/>
      <c r="O3883" s="200"/>
      <c r="P3883" s="200"/>
    </row>
    <row r="3884" spans="3:16" s="517" customFormat="1" ht="31.2" customHeight="1">
      <c r="C3884" s="754" t="s">
        <v>5558</v>
      </c>
      <c r="D3884" s="750" t="s">
        <v>2325</v>
      </c>
      <c r="E3884" s="203" t="s">
        <v>42</v>
      </c>
      <c r="F3884" s="762">
        <v>5.0000000000000001E-3</v>
      </c>
      <c r="G3884" s="205">
        <f>VLOOKUP(D3884,upahbahan,3,FALSE)</f>
        <v>0</v>
      </c>
      <c r="H3884" s="210">
        <f t="shared" si="264"/>
        <v>0</v>
      </c>
      <c r="L3884" s="200"/>
      <c r="M3884" s="200"/>
      <c r="N3884" s="200"/>
      <c r="O3884" s="200"/>
      <c r="P3884" s="200"/>
    </row>
    <row r="3885" spans="3:16" s="517" customFormat="1" ht="31.2" customHeight="1">
      <c r="C3885" s="207" t="s">
        <v>1214</v>
      </c>
      <c r="D3885" s="208"/>
      <c r="E3885" s="568"/>
      <c r="F3885" s="208"/>
      <c r="G3885" s="209"/>
      <c r="H3885" s="210">
        <f>SUM(H3876:H3884)</f>
        <v>0</v>
      </c>
      <c r="L3885" s="200"/>
      <c r="M3885" s="200"/>
      <c r="N3885" s="200"/>
      <c r="O3885" s="200"/>
      <c r="P3885" s="200"/>
    </row>
    <row r="3886" spans="3:16" s="517" customFormat="1" ht="31.2" customHeight="1">
      <c r="C3886" s="756" t="s">
        <v>1215</v>
      </c>
      <c r="D3886" s="196" t="s">
        <v>1216</v>
      </c>
      <c r="E3886" s="203"/>
      <c r="F3886" s="197"/>
      <c r="G3886" s="197"/>
      <c r="H3886" s="198"/>
      <c r="L3886" s="200"/>
      <c r="M3886" s="200"/>
      <c r="N3886" s="200"/>
      <c r="O3886" s="200"/>
      <c r="P3886" s="200"/>
    </row>
    <row r="3887" spans="3:16" s="517" customFormat="1" ht="31.2" customHeight="1">
      <c r="C3887" s="207" t="s">
        <v>1217</v>
      </c>
      <c r="D3887" s="208"/>
      <c r="E3887" s="208"/>
      <c r="F3887" s="208"/>
      <c r="G3887" s="209"/>
      <c r="H3887" s="240">
        <f>SUM(H3886:H3886)</f>
        <v>0</v>
      </c>
      <c r="L3887" s="200"/>
      <c r="M3887" s="200"/>
      <c r="N3887" s="200"/>
      <c r="O3887" s="200"/>
      <c r="P3887" s="200"/>
    </row>
    <row r="3888" spans="3:16" s="517" customFormat="1" ht="31.2" customHeight="1">
      <c r="C3888" s="223" t="s">
        <v>1218</v>
      </c>
      <c r="D3888" s="224" t="s">
        <v>1219</v>
      </c>
      <c r="E3888" s="225"/>
      <c r="F3888" s="225"/>
      <c r="G3888" s="226"/>
      <c r="H3888" s="210">
        <f>H3887+H3885+H3874</f>
        <v>25134.500000000004</v>
      </c>
      <c r="L3888" s="200"/>
      <c r="M3888" s="200"/>
      <c r="N3888" s="200"/>
      <c r="O3888" s="200"/>
      <c r="P3888" s="200"/>
    </row>
    <row r="3889" spans="3:20" s="517" customFormat="1" ht="31.2" customHeight="1">
      <c r="C3889" s="223" t="s">
        <v>1220</v>
      </c>
      <c r="D3889" s="224" t="s">
        <v>1321</v>
      </c>
      <c r="E3889" s="225"/>
      <c r="F3889" s="226"/>
      <c r="G3889" s="228">
        <v>0.1</v>
      </c>
      <c r="H3889" s="210">
        <f>H3888*G3889</f>
        <v>2513.4500000000007</v>
      </c>
      <c r="L3889" s="200"/>
      <c r="M3889" s="200"/>
      <c r="N3889" s="200"/>
      <c r="O3889" s="200"/>
      <c r="P3889" s="200"/>
    </row>
    <row r="3890" spans="3:20" s="517" customFormat="1" ht="31.2" customHeight="1" thickBot="1">
      <c r="C3890" s="229" t="s">
        <v>1221</v>
      </c>
      <c r="D3890" s="230" t="s">
        <v>1222</v>
      </c>
      <c r="E3890" s="231"/>
      <c r="F3890" s="231"/>
      <c r="G3890" s="232"/>
      <c r="H3890" s="233">
        <f>SUM(H3888:H3889)</f>
        <v>27647.950000000004</v>
      </c>
      <c r="L3890" s="200"/>
      <c r="M3890" s="200"/>
      <c r="N3890" s="200"/>
      <c r="O3890" s="200"/>
      <c r="P3890" s="200"/>
    </row>
    <row r="3891" spans="3:20" ht="31.2" customHeight="1" thickTop="1">
      <c r="D3891" s="758" t="s">
        <v>7210</v>
      </c>
    </row>
    <row r="3892" spans="3:20" ht="31.2" customHeight="1">
      <c r="C3892" s="757" t="s">
        <v>6950</v>
      </c>
      <c r="F3892" s="758"/>
      <c r="H3892" s="758" t="s">
        <v>6959</v>
      </c>
    </row>
    <row r="3893" spans="3:20" ht="31.2" customHeight="1">
      <c r="C3893" s="200" t="s">
        <v>6951</v>
      </c>
      <c r="F3893" s="758"/>
    </row>
    <row r="3894" spans="3:20" ht="31.2" customHeight="1">
      <c r="C3894" s="200" t="s">
        <v>6952</v>
      </c>
      <c r="F3894" s="758"/>
    </row>
    <row r="3895" spans="3:20" ht="31.2" customHeight="1">
      <c r="C3895" s="200"/>
      <c r="F3895" s="758"/>
    </row>
    <row r="3896" spans="3:20" s="517" customFormat="1" ht="31.2" customHeight="1" thickBot="1">
      <c r="C3896" s="513" t="s">
        <v>7283</v>
      </c>
      <c r="D3896" s="748" t="s">
        <v>7284</v>
      </c>
      <c r="E3896" s="749"/>
      <c r="F3896" s="748"/>
      <c r="G3896" s="748"/>
      <c r="H3896" s="532"/>
      <c r="I3896" s="532"/>
      <c r="J3896" s="532"/>
      <c r="K3896" s="532"/>
      <c r="M3896" s="189"/>
      <c r="N3896" s="189"/>
      <c r="O3896" s="189"/>
      <c r="P3896" s="189"/>
      <c r="R3896" s="189">
        <f>ROUNDDOWN(H3919,-2)</f>
        <v>27600</v>
      </c>
      <c r="S3896" s="517" t="s">
        <v>6451</v>
      </c>
      <c r="T3896" s="517" t="s">
        <v>7014</v>
      </c>
    </row>
    <row r="3897" spans="3:20" s="517" customFormat="1" ht="31.2" customHeight="1" thickTop="1">
      <c r="C3897" s="190" t="s">
        <v>1195</v>
      </c>
      <c r="D3897" s="191" t="s">
        <v>1196</v>
      </c>
      <c r="E3897" s="191" t="s">
        <v>1197</v>
      </c>
      <c r="F3897" s="191" t="s">
        <v>1198</v>
      </c>
      <c r="G3897" s="191" t="s">
        <v>1199</v>
      </c>
      <c r="H3897" s="192" t="s">
        <v>1200</v>
      </c>
      <c r="L3897" s="200"/>
      <c r="M3897" s="200"/>
      <c r="N3897" s="200"/>
      <c r="O3897" s="200"/>
      <c r="P3897" s="200"/>
    </row>
    <row r="3898" spans="3:20" s="517" customFormat="1" ht="31.2" customHeight="1">
      <c r="C3898" s="518" t="s">
        <v>1201</v>
      </c>
      <c r="D3898" s="196" t="s">
        <v>1202</v>
      </c>
      <c r="E3898" s="197"/>
      <c r="F3898" s="197"/>
      <c r="G3898" s="197"/>
      <c r="H3898" s="198"/>
      <c r="L3898" s="200"/>
      <c r="M3898" s="200"/>
      <c r="N3898" s="200"/>
      <c r="O3898" s="200"/>
      <c r="P3898" s="200"/>
    </row>
    <row r="3899" spans="3:20" s="517" customFormat="1" ht="31.2" customHeight="1">
      <c r="C3899" s="518">
        <v>1</v>
      </c>
      <c r="D3899" s="196" t="s">
        <v>5</v>
      </c>
      <c r="E3899" s="203" t="s">
        <v>2102</v>
      </c>
      <c r="F3899" s="525">
        <v>7.0000000000000007E-2</v>
      </c>
      <c r="G3899" s="205">
        <f>VLOOKUP(D3899,upahbahan,3,FALSE)</f>
        <v>100000</v>
      </c>
      <c r="H3899" s="210">
        <f t="shared" ref="H3899:H3902" si="265">F3899*G3899</f>
        <v>7000.0000000000009</v>
      </c>
      <c r="L3899" s="200"/>
      <c r="M3899" s="200"/>
      <c r="N3899" s="200"/>
      <c r="O3899" s="200"/>
      <c r="P3899" s="200"/>
    </row>
    <row r="3900" spans="3:20" s="517" customFormat="1" ht="31.2" customHeight="1">
      <c r="C3900" s="537">
        <v>2</v>
      </c>
      <c r="D3900" s="196" t="s">
        <v>6954</v>
      </c>
      <c r="E3900" s="202" t="s">
        <v>6</v>
      </c>
      <c r="F3900" s="520">
        <v>7.0000000000000007E-2</v>
      </c>
      <c r="G3900" s="205">
        <f>VLOOKUP(D3900,upahbahan,3,FALSE)</f>
        <v>181250</v>
      </c>
      <c r="H3900" s="210">
        <f t="shared" si="265"/>
        <v>12687.500000000002</v>
      </c>
      <c r="L3900" s="200"/>
      <c r="M3900" s="200"/>
      <c r="N3900" s="200"/>
      <c r="O3900" s="200"/>
      <c r="P3900" s="200"/>
    </row>
    <row r="3901" spans="3:20" s="517" customFormat="1" ht="31.2" customHeight="1">
      <c r="C3901" s="537">
        <v>3</v>
      </c>
      <c r="D3901" s="196" t="s">
        <v>6948</v>
      </c>
      <c r="E3901" s="202" t="s">
        <v>2102</v>
      </c>
      <c r="F3901" s="520">
        <v>0.02</v>
      </c>
      <c r="G3901" s="205">
        <f>VLOOKUP(D3901,upahbahan,3,FALSE)</f>
        <v>218750</v>
      </c>
      <c r="H3901" s="210">
        <f t="shared" si="265"/>
        <v>4375</v>
      </c>
      <c r="L3901" s="200"/>
      <c r="M3901" s="200"/>
      <c r="N3901" s="200"/>
      <c r="O3901" s="200"/>
      <c r="P3901" s="200"/>
    </row>
    <row r="3902" spans="3:20" s="517" customFormat="1" ht="31.2" customHeight="1">
      <c r="C3902" s="537">
        <v>4</v>
      </c>
      <c r="D3902" s="196" t="s">
        <v>19</v>
      </c>
      <c r="E3902" s="202" t="s">
        <v>6</v>
      </c>
      <c r="F3902" s="520">
        <v>6.7000000000000002E-3</v>
      </c>
      <c r="G3902" s="205">
        <f>VLOOKUP(D3902,upahbahan,3,FALSE)</f>
        <v>160000</v>
      </c>
      <c r="H3902" s="210">
        <f t="shared" si="265"/>
        <v>1072</v>
      </c>
      <c r="L3902" s="200"/>
      <c r="M3902" s="200"/>
      <c r="N3902" s="200"/>
      <c r="O3902" s="200"/>
      <c r="P3902" s="200"/>
    </row>
    <row r="3903" spans="3:20" s="517" customFormat="1" ht="31.2" customHeight="1">
      <c r="C3903" s="207" t="s">
        <v>1208</v>
      </c>
      <c r="D3903" s="208"/>
      <c r="E3903" s="208"/>
      <c r="F3903" s="521"/>
      <c r="G3903" s="522"/>
      <c r="H3903" s="210">
        <f>SUM(H3899:H3902)</f>
        <v>25134.500000000004</v>
      </c>
      <c r="L3903" s="523"/>
      <c r="M3903" s="523"/>
      <c r="N3903" s="523"/>
      <c r="O3903" s="523"/>
      <c r="P3903" s="523"/>
    </row>
    <row r="3904" spans="3:20" s="517" customFormat="1" ht="31.2" customHeight="1">
      <c r="C3904" s="543" t="s">
        <v>1209</v>
      </c>
      <c r="D3904" s="750" t="s">
        <v>1210</v>
      </c>
      <c r="E3904" s="197"/>
      <c r="F3904" s="751"/>
      <c r="G3904" s="197"/>
      <c r="H3904" s="752"/>
      <c r="L3904" s="200"/>
      <c r="M3904" s="200"/>
      <c r="N3904" s="200"/>
      <c r="O3904" s="200"/>
      <c r="P3904" s="200"/>
    </row>
    <row r="3905" spans="3:16" s="517" customFormat="1" ht="31.2" customHeight="1">
      <c r="C3905" s="543">
        <v>1</v>
      </c>
      <c r="D3905" s="750" t="s">
        <v>7285</v>
      </c>
      <c r="E3905" s="203" t="s">
        <v>44</v>
      </c>
      <c r="F3905" s="753">
        <v>1.05</v>
      </c>
      <c r="G3905" s="205">
        <f>VLOOKUP(D3905,upahbahan,3,FALSE)</f>
        <v>0</v>
      </c>
      <c r="H3905" s="210">
        <f t="shared" ref="H3905:H3913" si="266">F3905*G3905</f>
        <v>0</v>
      </c>
      <c r="L3905" s="200"/>
      <c r="M3905" s="200"/>
      <c r="N3905" s="200"/>
      <c r="O3905" s="200"/>
      <c r="P3905" s="200"/>
    </row>
    <row r="3906" spans="3:16" s="517" customFormat="1" ht="31.2" customHeight="1">
      <c r="C3906" s="543">
        <v>2</v>
      </c>
      <c r="D3906" s="750" t="s">
        <v>5563</v>
      </c>
      <c r="E3906" s="203" t="s">
        <v>65</v>
      </c>
      <c r="F3906" s="753">
        <v>5.0000000000000001E-3</v>
      </c>
      <c r="G3906" s="205">
        <f>VLOOKUP(D3906,upahbahan,3,FALSE)</f>
        <v>0</v>
      </c>
      <c r="H3906" s="210">
        <f t="shared" si="266"/>
        <v>0</v>
      </c>
      <c r="L3906" s="200"/>
      <c r="M3906" s="200"/>
      <c r="N3906" s="200"/>
      <c r="O3906" s="200"/>
      <c r="P3906" s="200"/>
    </row>
    <row r="3907" spans="3:16" s="517" customFormat="1" ht="31.2" customHeight="1">
      <c r="C3907" s="543">
        <v>3</v>
      </c>
      <c r="D3907" s="750" t="s">
        <v>5555</v>
      </c>
      <c r="E3907" s="203"/>
      <c r="F3907" s="753"/>
      <c r="G3907" s="197"/>
      <c r="H3907" s="210">
        <f t="shared" si="266"/>
        <v>0</v>
      </c>
      <c r="L3907" s="200"/>
      <c r="M3907" s="200"/>
      <c r="N3907" s="200"/>
      <c r="O3907" s="200"/>
      <c r="P3907" s="200"/>
    </row>
    <row r="3908" spans="3:16" s="517" customFormat="1" ht="31.2" customHeight="1">
      <c r="C3908" s="754" t="s">
        <v>5293</v>
      </c>
      <c r="D3908" s="750" t="s">
        <v>7053</v>
      </c>
      <c r="E3908" s="203" t="s">
        <v>113</v>
      </c>
      <c r="F3908" s="760">
        <v>12</v>
      </c>
      <c r="G3908" s="205">
        <f>VLOOKUP(D3908,upahbahan,3,FALSE)</f>
        <v>0</v>
      </c>
      <c r="H3908" s="210">
        <f t="shared" si="266"/>
        <v>0</v>
      </c>
      <c r="L3908" s="200"/>
      <c r="M3908" s="200"/>
      <c r="N3908" s="200"/>
      <c r="O3908" s="200"/>
      <c r="P3908" s="200"/>
    </row>
    <row r="3909" spans="3:16" s="517" customFormat="1" ht="31.2" customHeight="1">
      <c r="C3909" s="754" t="s">
        <v>5299</v>
      </c>
      <c r="D3909" s="750" t="s">
        <v>7055</v>
      </c>
      <c r="E3909" s="203" t="s">
        <v>113</v>
      </c>
      <c r="F3909" s="760">
        <v>10</v>
      </c>
      <c r="G3909" s="205">
        <f>VLOOKUP(D3909,upahbahan,3,FALSE)</f>
        <v>0</v>
      </c>
      <c r="H3909" s="210">
        <f t="shared" si="266"/>
        <v>0</v>
      </c>
      <c r="L3909" s="200"/>
      <c r="M3909" s="200"/>
      <c r="N3909" s="200"/>
      <c r="O3909" s="200"/>
      <c r="P3909" s="200"/>
    </row>
    <row r="3910" spans="3:16" s="517" customFormat="1" ht="31.2" customHeight="1">
      <c r="C3910" s="543">
        <v>4</v>
      </c>
      <c r="D3910" s="750" t="s">
        <v>5556</v>
      </c>
      <c r="E3910" s="203"/>
      <c r="F3910" s="753"/>
      <c r="G3910" s="197"/>
      <c r="H3910" s="210">
        <f t="shared" si="266"/>
        <v>0</v>
      </c>
      <c r="L3910" s="200"/>
      <c r="M3910" s="200"/>
      <c r="N3910" s="200"/>
      <c r="O3910" s="200"/>
      <c r="P3910" s="200"/>
    </row>
    <row r="3911" spans="3:16" s="517" customFormat="1" ht="31.2" customHeight="1">
      <c r="C3911" s="754" t="s">
        <v>5293</v>
      </c>
      <c r="D3911" s="750" t="s">
        <v>2084</v>
      </c>
      <c r="E3911" s="203" t="s">
        <v>42</v>
      </c>
      <c r="F3911" s="753">
        <v>7.2999999999999995E-2</v>
      </c>
      <c r="G3911" s="205">
        <f>VLOOKUP(D3911,upahbahan,3,FALSE)</f>
        <v>0</v>
      </c>
      <c r="H3911" s="210">
        <f t="shared" si="266"/>
        <v>0</v>
      </c>
      <c r="L3911" s="200"/>
      <c r="M3911" s="200"/>
      <c r="N3911" s="200"/>
      <c r="O3911" s="200"/>
      <c r="P3911" s="200"/>
    </row>
    <row r="3912" spans="3:16" s="517" customFormat="1" ht="31.2" customHeight="1">
      <c r="C3912" s="754" t="s">
        <v>5299</v>
      </c>
      <c r="D3912" s="750" t="s">
        <v>5566</v>
      </c>
      <c r="E3912" s="203" t="s">
        <v>42</v>
      </c>
      <c r="F3912" s="753">
        <v>0.02</v>
      </c>
      <c r="G3912" s="205">
        <f>VLOOKUP(D3912,upahbahan,3,FALSE)</f>
        <v>0</v>
      </c>
      <c r="H3912" s="210">
        <f t="shared" si="266"/>
        <v>0</v>
      </c>
      <c r="L3912" s="200"/>
      <c r="M3912" s="200"/>
      <c r="N3912" s="200"/>
      <c r="O3912" s="200"/>
      <c r="P3912" s="200"/>
    </row>
    <row r="3913" spans="3:16" s="517" customFormat="1" ht="31.2" customHeight="1">
      <c r="C3913" s="754" t="s">
        <v>5558</v>
      </c>
      <c r="D3913" s="750" t="s">
        <v>2325</v>
      </c>
      <c r="E3913" s="203" t="s">
        <v>42</v>
      </c>
      <c r="F3913" s="762">
        <v>5.0000000000000001E-3</v>
      </c>
      <c r="G3913" s="205">
        <f>VLOOKUP(D3913,upahbahan,3,FALSE)</f>
        <v>0</v>
      </c>
      <c r="H3913" s="210">
        <f t="shared" si="266"/>
        <v>0</v>
      </c>
      <c r="L3913" s="200"/>
      <c r="M3913" s="200"/>
      <c r="N3913" s="200"/>
      <c r="O3913" s="200"/>
      <c r="P3913" s="200"/>
    </row>
    <row r="3914" spans="3:16" s="517" customFormat="1" ht="31.2" customHeight="1">
      <c r="C3914" s="207" t="s">
        <v>1214</v>
      </c>
      <c r="D3914" s="208"/>
      <c r="E3914" s="568"/>
      <c r="F3914" s="208"/>
      <c r="G3914" s="209"/>
      <c r="H3914" s="210">
        <f>SUM(H3905:H3913)</f>
        <v>0</v>
      </c>
      <c r="L3914" s="200"/>
      <c r="M3914" s="200"/>
      <c r="N3914" s="200"/>
      <c r="O3914" s="200"/>
      <c r="P3914" s="200"/>
    </row>
    <row r="3915" spans="3:16" s="517" customFormat="1" ht="31.2" customHeight="1">
      <c r="C3915" s="756" t="s">
        <v>1215</v>
      </c>
      <c r="D3915" s="196" t="s">
        <v>1216</v>
      </c>
      <c r="E3915" s="203"/>
      <c r="F3915" s="197"/>
      <c r="G3915" s="197"/>
      <c r="H3915" s="198"/>
      <c r="L3915" s="200"/>
      <c r="M3915" s="200"/>
      <c r="N3915" s="200"/>
      <c r="O3915" s="200"/>
      <c r="P3915" s="200"/>
    </row>
    <row r="3916" spans="3:16" s="517" customFormat="1" ht="31.2" customHeight="1">
      <c r="C3916" s="207" t="s">
        <v>1217</v>
      </c>
      <c r="D3916" s="208"/>
      <c r="E3916" s="208"/>
      <c r="F3916" s="208"/>
      <c r="G3916" s="209"/>
      <c r="H3916" s="240">
        <f>SUM(H3915:H3915)</f>
        <v>0</v>
      </c>
      <c r="L3916" s="200"/>
      <c r="M3916" s="200"/>
      <c r="N3916" s="200"/>
      <c r="O3916" s="200"/>
      <c r="P3916" s="200"/>
    </row>
    <row r="3917" spans="3:16" s="517" customFormat="1" ht="31.2" customHeight="1">
      <c r="C3917" s="223" t="s">
        <v>1218</v>
      </c>
      <c r="D3917" s="224" t="s">
        <v>1219</v>
      </c>
      <c r="E3917" s="225"/>
      <c r="F3917" s="225"/>
      <c r="G3917" s="226"/>
      <c r="H3917" s="210">
        <f>H3916+H3914+H3903</f>
        <v>25134.500000000004</v>
      </c>
      <c r="L3917" s="200"/>
      <c r="M3917" s="200"/>
      <c r="N3917" s="200"/>
      <c r="O3917" s="200"/>
      <c r="P3917" s="200"/>
    </row>
    <row r="3918" spans="3:16" s="517" customFormat="1" ht="31.2" customHeight="1">
      <c r="C3918" s="223" t="s">
        <v>1220</v>
      </c>
      <c r="D3918" s="224" t="s">
        <v>1321</v>
      </c>
      <c r="E3918" s="225"/>
      <c r="F3918" s="226"/>
      <c r="G3918" s="228">
        <v>0.1</v>
      </c>
      <c r="H3918" s="210">
        <f>H3917*G3918</f>
        <v>2513.4500000000007</v>
      </c>
      <c r="L3918" s="200"/>
      <c r="M3918" s="200"/>
      <c r="N3918" s="200"/>
      <c r="O3918" s="200"/>
      <c r="P3918" s="200"/>
    </row>
    <row r="3919" spans="3:16" s="517" customFormat="1" ht="31.2" customHeight="1" thickBot="1">
      <c r="C3919" s="229" t="s">
        <v>1221</v>
      </c>
      <c r="D3919" s="230" t="s">
        <v>1222</v>
      </c>
      <c r="E3919" s="231"/>
      <c r="F3919" s="231"/>
      <c r="G3919" s="232"/>
      <c r="H3919" s="233">
        <f>SUM(H3917:H3918)</f>
        <v>27647.950000000004</v>
      </c>
      <c r="L3919" s="200"/>
      <c r="M3919" s="200"/>
      <c r="N3919" s="200"/>
      <c r="O3919" s="200"/>
      <c r="P3919" s="200"/>
    </row>
    <row r="3920" spans="3:16" ht="31.2" customHeight="1" thickTop="1">
      <c r="D3920" s="758" t="s">
        <v>7210</v>
      </c>
    </row>
    <row r="3921" spans="3:20" ht="31.2" customHeight="1">
      <c r="C3921" s="757" t="s">
        <v>6950</v>
      </c>
      <c r="F3921" s="758"/>
      <c r="H3921" s="758" t="s">
        <v>6959</v>
      </c>
    </row>
    <row r="3922" spans="3:20" ht="31.2" customHeight="1">
      <c r="C3922" s="200" t="s">
        <v>6951</v>
      </c>
      <c r="F3922" s="758"/>
    </row>
    <row r="3923" spans="3:20" ht="31.2" customHeight="1">
      <c r="C3923" s="200" t="s">
        <v>6952</v>
      </c>
      <c r="F3923" s="758"/>
    </row>
    <row r="3924" spans="3:20" ht="31.2" customHeight="1">
      <c r="C3924" s="200"/>
      <c r="F3924" s="758"/>
    </row>
    <row r="3925" spans="3:20" s="517" customFormat="1" ht="31.2" customHeight="1" thickBot="1">
      <c r="C3925" s="513" t="s">
        <v>7286</v>
      </c>
      <c r="D3925" s="748" t="s">
        <v>7287</v>
      </c>
      <c r="E3925" s="749"/>
      <c r="F3925" s="748"/>
      <c r="G3925" s="748"/>
      <c r="H3925" s="532"/>
      <c r="I3925" s="532"/>
      <c r="J3925" s="532"/>
      <c r="K3925" s="532"/>
      <c r="M3925" s="189"/>
      <c r="N3925" s="189"/>
      <c r="O3925" s="189"/>
      <c r="P3925" s="189"/>
      <c r="R3925" s="189">
        <f>ROUNDDOWN(H3948,-2)</f>
        <v>27600</v>
      </c>
      <c r="S3925" s="517" t="s">
        <v>6451</v>
      </c>
      <c r="T3925" s="517" t="s">
        <v>7014</v>
      </c>
    </row>
    <row r="3926" spans="3:20" s="517" customFormat="1" ht="31.2" customHeight="1" thickTop="1">
      <c r="C3926" s="190" t="s">
        <v>1195</v>
      </c>
      <c r="D3926" s="191" t="s">
        <v>1196</v>
      </c>
      <c r="E3926" s="191" t="s">
        <v>1197</v>
      </c>
      <c r="F3926" s="191" t="s">
        <v>1198</v>
      </c>
      <c r="G3926" s="191" t="s">
        <v>1199</v>
      </c>
      <c r="H3926" s="192" t="s">
        <v>1200</v>
      </c>
      <c r="L3926" s="200"/>
      <c r="M3926" s="200"/>
      <c r="N3926" s="200"/>
      <c r="O3926" s="200"/>
      <c r="P3926" s="200"/>
    </row>
    <row r="3927" spans="3:20" s="517" customFormat="1" ht="31.2" customHeight="1">
      <c r="C3927" s="518" t="s">
        <v>1201</v>
      </c>
      <c r="D3927" s="196" t="s">
        <v>1202</v>
      </c>
      <c r="E3927" s="197"/>
      <c r="F3927" s="197"/>
      <c r="G3927" s="197"/>
      <c r="H3927" s="198"/>
      <c r="L3927" s="200"/>
      <c r="M3927" s="200"/>
      <c r="N3927" s="200"/>
      <c r="O3927" s="200"/>
      <c r="P3927" s="200"/>
    </row>
    <row r="3928" spans="3:20" s="517" customFormat="1" ht="31.2" customHeight="1">
      <c r="C3928" s="518">
        <v>1</v>
      </c>
      <c r="D3928" s="196" t="s">
        <v>5</v>
      </c>
      <c r="E3928" s="203" t="s">
        <v>2102</v>
      </c>
      <c r="F3928" s="525">
        <v>7.0000000000000007E-2</v>
      </c>
      <c r="G3928" s="205">
        <f>VLOOKUP(D3928,upahbahan,3,FALSE)</f>
        <v>100000</v>
      </c>
      <c r="H3928" s="210">
        <f t="shared" ref="H3928:H3931" si="267">F3928*G3928</f>
        <v>7000.0000000000009</v>
      </c>
      <c r="L3928" s="200"/>
      <c r="M3928" s="200"/>
      <c r="N3928" s="200"/>
      <c r="O3928" s="200"/>
      <c r="P3928" s="200"/>
    </row>
    <row r="3929" spans="3:20" s="517" customFormat="1" ht="31.2" customHeight="1">
      <c r="C3929" s="537">
        <v>2</v>
      </c>
      <c r="D3929" s="196" t="s">
        <v>6954</v>
      </c>
      <c r="E3929" s="202" t="s">
        <v>6</v>
      </c>
      <c r="F3929" s="520">
        <v>7.0000000000000007E-2</v>
      </c>
      <c r="G3929" s="205">
        <f>VLOOKUP(D3929,upahbahan,3,FALSE)</f>
        <v>181250</v>
      </c>
      <c r="H3929" s="210">
        <f t="shared" si="267"/>
        <v>12687.500000000002</v>
      </c>
      <c r="L3929" s="200"/>
      <c r="M3929" s="200"/>
      <c r="N3929" s="200"/>
      <c r="O3929" s="200"/>
      <c r="P3929" s="200"/>
    </row>
    <row r="3930" spans="3:20" s="517" customFormat="1" ht="31.2" customHeight="1">
      <c r="C3930" s="537">
        <v>3</v>
      </c>
      <c r="D3930" s="196" t="s">
        <v>6948</v>
      </c>
      <c r="E3930" s="202" t="s">
        <v>2102</v>
      </c>
      <c r="F3930" s="520">
        <v>0.02</v>
      </c>
      <c r="G3930" s="205">
        <f>VLOOKUP(D3930,upahbahan,3,FALSE)</f>
        <v>218750</v>
      </c>
      <c r="H3930" s="210">
        <f t="shared" si="267"/>
        <v>4375</v>
      </c>
      <c r="L3930" s="200"/>
      <c r="M3930" s="200"/>
      <c r="N3930" s="200"/>
      <c r="O3930" s="200"/>
      <c r="P3930" s="200"/>
    </row>
    <row r="3931" spans="3:20" s="517" customFormat="1" ht="31.2" customHeight="1">
      <c r="C3931" s="537">
        <v>4</v>
      </c>
      <c r="D3931" s="196" t="s">
        <v>19</v>
      </c>
      <c r="E3931" s="202" t="s">
        <v>6</v>
      </c>
      <c r="F3931" s="520">
        <v>6.7000000000000002E-3</v>
      </c>
      <c r="G3931" s="205">
        <f>VLOOKUP(D3931,upahbahan,3,FALSE)</f>
        <v>160000</v>
      </c>
      <c r="H3931" s="210">
        <f t="shared" si="267"/>
        <v>1072</v>
      </c>
      <c r="L3931" s="200"/>
      <c r="M3931" s="200"/>
      <c r="N3931" s="200"/>
      <c r="O3931" s="200"/>
      <c r="P3931" s="200"/>
    </row>
    <row r="3932" spans="3:20" s="517" customFormat="1" ht="31.2" customHeight="1">
      <c r="C3932" s="207" t="s">
        <v>1208</v>
      </c>
      <c r="D3932" s="208"/>
      <c r="E3932" s="208"/>
      <c r="F3932" s="521"/>
      <c r="G3932" s="522"/>
      <c r="H3932" s="210">
        <f>SUM(H3928:H3931)</f>
        <v>25134.500000000004</v>
      </c>
      <c r="L3932" s="523"/>
      <c r="M3932" s="523"/>
      <c r="N3932" s="523"/>
      <c r="O3932" s="523"/>
      <c r="P3932" s="523"/>
    </row>
    <row r="3933" spans="3:20" s="517" customFormat="1" ht="31.2" customHeight="1">
      <c r="C3933" s="543" t="s">
        <v>1209</v>
      </c>
      <c r="D3933" s="750" t="s">
        <v>1210</v>
      </c>
      <c r="E3933" s="197"/>
      <c r="F3933" s="751"/>
      <c r="G3933" s="197"/>
      <c r="H3933" s="752"/>
      <c r="L3933" s="200"/>
      <c r="M3933" s="200"/>
      <c r="N3933" s="200"/>
      <c r="O3933" s="200"/>
      <c r="P3933" s="200"/>
    </row>
    <row r="3934" spans="3:20" s="517" customFormat="1" ht="31.2" customHeight="1">
      <c r="C3934" s="543">
        <v>1</v>
      </c>
      <c r="D3934" s="750" t="s">
        <v>7288</v>
      </c>
      <c r="E3934" s="203" t="s">
        <v>44</v>
      </c>
      <c r="F3934" s="753">
        <v>1.05</v>
      </c>
      <c r="G3934" s="205">
        <f>VLOOKUP(D3934,upahbahan,3,FALSE)</f>
        <v>0</v>
      </c>
      <c r="H3934" s="210">
        <f t="shared" ref="H3934:H3942" si="268">F3934*G3934</f>
        <v>0</v>
      </c>
      <c r="L3934" s="200"/>
      <c r="M3934" s="200"/>
      <c r="N3934" s="200"/>
      <c r="O3934" s="200"/>
      <c r="P3934" s="200"/>
    </row>
    <row r="3935" spans="3:20" s="517" customFormat="1" ht="31.2" customHeight="1">
      <c r="C3935" s="543">
        <v>2</v>
      </c>
      <c r="D3935" s="750" t="s">
        <v>5563</v>
      </c>
      <c r="E3935" s="203" t="s">
        <v>65</v>
      </c>
      <c r="F3935" s="753">
        <v>5.0000000000000001E-3</v>
      </c>
      <c r="G3935" s="205">
        <f>VLOOKUP(D3935,upahbahan,3,FALSE)</f>
        <v>0</v>
      </c>
      <c r="H3935" s="210">
        <f t="shared" si="268"/>
        <v>0</v>
      </c>
      <c r="L3935" s="200"/>
      <c r="M3935" s="200"/>
      <c r="N3935" s="200"/>
      <c r="O3935" s="200"/>
      <c r="P3935" s="200"/>
    </row>
    <row r="3936" spans="3:20" s="517" customFormat="1" ht="31.2" customHeight="1">
      <c r="C3936" s="543">
        <v>3</v>
      </c>
      <c r="D3936" s="750" t="s">
        <v>5555</v>
      </c>
      <c r="E3936" s="203"/>
      <c r="F3936" s="753"/>
      <c r="G3936" s="197"/>
      <c r="H3936" s="210">
        <f t="shared" si="268"/>
        <v>0</v>
      </c>
      <c r="L3936" s="200"/>
      <c r="M3936" s="200"/>
      <c r="N3936" s="200"/>
      <c r="O3936" s="200"/>
      <c r="P3936" s="200"/>
    </row>
    <row r="3937" spans="3:16" s="517" customFormat="1" ht="31.2" customHeight="1">
      <c r="C3937" s="754" t="s">
        <v>5293</v>
      </c>
      <c r="D3937" s="750" t="s">
        <v>7053</v>
      </c>
      <c r="E3937" s="203" t="s">
        <v>113</v>
      </c>
      <c r="F3937" s="760">
        <v>12</v>
      </c>
      <c r="G3937" s="205">
        <f>VLOOKUP(D3937,upahbahan,3,FALSE)</f>
        <v>0</v>
      </c>
      <c r="H3937" s="210">
        <f t="shared" si="268"/>
        <v>0</v>
      </c>
      <c r="L3937" s="200"/>
      <c r="M3937" s="200"/>
      <c r="N3937" s="200"/>
      <c r="O3937" s="200"/>
      <c r="P3937" s="200"/>
    </row>
    <row r="3938" spans="3:16" s="517" customFormat="1" ht="31.2" customHeight="1">
      <c r="C3938" s="754" t="s">
        <v>5299</v>
      </c>
      <c r="D3938" s="750" t="s">
        <v>7055</v>
      </c>
      <c r="E3938" s="203" t="s">
        <v>113</v>
      </c>
      <c r="F3938" s="760">
        <v>10</v>
      </c>
      <c r="G3938" s="205">
        <f>VLOOKUP(D3938,upahbahan,3,FALSE)</f>
        <v>0</v>
      </c>
      <c r="H3938" s="210">
        <f t="shared" si="268"/>
        <v>0</v>
      </c>
      <c r="L3938" s="200"/>
      <c r="M3938" s="200"/>
      <c r="N3938" s="200"/>
      <c r="O3938" s="200"/>
      <c r="P3938" s="200"/>
    </row>
    <row r="3939" spans="3:16" s="517" customFormat="1" ht="31.2" customHeight="1">
      <c r="C3939" s="543">
        <v>4</v>
      </c>
      <c r="D3939" s="750" t="s">
        <v>5556</v>
      </c>
      <c r="E3939" s="203"/>
      <c r="F3939" s="753"/>
      <c r="G3939" s="197"/>
      <c r="H3939" s="210">
        <f t="shared" si="268"/>
        <v>0</v>
      </c>
      <c r="L3939" s="200"/>
      <c r="M3939" s="200"/>
      <c r="N3939" s="200"/>
      <c r="O3939" s="200"/>
      <c r="P3939" s="200"/>
    </row>
    <row r="3940" spans="3:16" s="517" customFormat="1" ht="31.2" customHeight="1">
      <c r="C3940" s="754" t="s">
        <v>5293</v>
      </c>
      <c r="D3940" s="750" t="s">
        <v>2084</v>
      </c>
      <c r="E3940" s="203" t="s">
        <v>42</v>
      </c>
      <c r="F3940" s="753">
        <v>7.2999999999999995E-2</v>
      </c>
      <c r="G3940" s="205">
        <f>VLOOKUP(D3940,upahbahan,3,FALSE)</f>
        <v>0</v>
      </c>
      <c r="H3940" s="210">
        <f t="shared" si="268"/>
        <v>0</v>
      </c>
      <c r="L3940" s="200"/>
      <c r="M3940" s="200"/>
      <c r="N3940" s="200"/>
      <c r="O3940" s="200"/>
      <c r="P3940" s="200"/>
    </row>
    <row r="3941" spans="3:16" s="517" customFormat="1" ht="31.2" customHeight="1">
      <c r="C3941" s="754" t="s">
        <v>5299</v>
      </c>
      <c r="D3941" s="750" t="s">
        <v>5566</v>
      </c>
      <c r="E3941" s="203" t="s">
        <v>42</v>
      </c>
      <c r="F3941" s="753">
        <v>0.02</v>
      </c>
      <c r="G3941" s="205">
        <f>VLOOKUP(D3941,upahbahan,3,FALSE)</f>
        <v>0</v>
      </c>
      <c r="H3941" s="210">
        <f t="shared" si="268"/>
        <v>0</v>
      </c>
      <c r="L3941" s="200"/>
      <c r="M3941" s="200"/>
      <c r="N3941" s="200"/>
      <c r="O3941" s="200"/>
      <c r="P3941" s="200"/>
    </row>
    <row r="3942" spans="3:16" s="517" customFormat="1" ht="31.2" customHeight="1">
      <c r="C3942" s="754" t="s">
        <v>5558</v>
      </c>
      <c r="D3942" s="750" t="s">
        <v>2325</v>
      </c>
      <c r="E3942" s="203" t="s">
        <v>42</v>
      </c>
      <c r="F3942" s="762">
        <v>5.0000000000000001E-3</v>
      </c>
      <c r="G3942" s="205">
        <f>VLOOKUP(D3942,upahbahan,3,FALSE)</f>
        <v>0</v>
      </c>
      <c r="H3942" s="210">
        <f t="shared" si="268"/>
        <v>0</v>
      </c>
      <c r="L3942" s="200"/>
      <c r="M3942" s="200"/>
      <c r="N3942" s="200"/>
      <c r="O3942" s="200"/>
      <c r="P3942" s="200"/>
    </row>
    <row r="3943" spans="3:16" s="517" customFormat="1" ht="31.2" customHeight="1">
      <c r="C3943" s="207" t="s">
        <v>1214</v>
      </c>
      <c r="D3943" s="208"/>
      <c r="E3943" s="568"/>
      <c r="F3943" s="208"/>
      <c r="G3943" s="209"/>
      <c r="H3943" s="210">
        <f>SUM(H3934:H3942)</f>
        <v>0</v>
      </c>
      <c r="L3943" s="200"/>
      <c r="M3943" s="200"/>
      <c r="N3943" s="200"/>
      <c r="O3943" s="200"/>
      <c r="P3943" s="200"/>
    </row>
    <row r="3944" spans="3:16" s="517" customFormat="1" ht="31.2" customHeight="1">
      <c r="C3944" s="756" t="s">
        <v>1215</v>
      </c>
      <c r="D3944" s="196" t="s">
        <v>1216</v>
      </c>
      <c r="E3944" s="203"/>
      <c r="F3944" s="197"/>
      <c r="G3944" s="197"/>
      <c r="H3944" s="198"/>
      <c r="L3944" s="200"/>
      <c r="M3944" s="200"/>
      <c r="N3944" s="200"/>
      <c r="O3944" s="200"/>
      <c r="P3944" s="200"/>
    </row>
    <row r="3945" spans="3:16" s="517" customFormat="1" ht="31.2" customHeight="1">
      <c r="C3945" s="207" t="s">
        <v>1217</v>
      </c>
      <c r="D3945" s="208"/>
      <c r="E3945" s="208"/>
      <c r="F3945" s="208"/>
      <c r="G3945" s="209"/>
      <c r="H3945" s="240">
        <f>SUM(H3944:H3944)</f>
        <v>0</v>
      </c>
      <c r="L3945" s="200"/>
      <c r="M3945" s="200"/>
      <c r="N3945" s="200"/>
      <c r="O3945" s="200"/>
      <c r="P3945" s="200"/>
    </row>
    <row r="3946" spans="3:16" s="517" customFormat="1" ht="31.2" customHeight="1">
      <c r="C3946" s="223" t="s">
        <v>1218</v>
      </c>
      <c r="D3946" s="224" t="s">
        <v>1219</v>
      </c>
      <c r="E3946" s="225"/>
      <c r="F3946" s="225"/>
      <c r="G3946" s="226"/>
      <c r="H3946" s="210">
        <f>H3945+H3943+H3932</f>
        <v>25134.500000000004</v>
      </c>
      <c r="L3946" s="200"/>
      <c r="M3946" s="200"/>
      <c r="N3946" s="200"/>
      <c r="O3946" s="200"/>
      <c r="P3946" s="200"/>
    </row>
    <row r="3947" spans="3:16" s="517" customFormat="1" ht="31.2" customHeight="1">
      <c r="C3947" s="223" t="s">
        <v>1220</v>
      </c>
      <c r="D3947" s="224" t="s">
        <v>1321</v>
      </c>
      <c r="E3947" s="225"/>
      <c r="F3947" s="226"/>
      <c r="G3947" s="228">
        <v>0.1</v>
      </c>
      <c r="H3947" s="210">
        <f>H3946*G3947</f>
        <v>2513.4500000000007</v>
      </c>
      <c r="L3947" s="200"/>
      <c r="M3947" s="200"/>
      <c r="N3947" s="200"/>
      <c r="O3947" s="200"/>
      <c r="P3947" s="200"/>
    </row>
    <row r="3948" spans="3:16" s="517" customFormat="1" ht="31.2" customHeight="1" thickBot="1">
      <c r="C3948" s="229" t="s">
        <v>1221</v>
      </c>
      <c r="D3948" s="230" t="s">
        <v>1222</v>
      </c>
      <c r="E3948" s="231"/>
      <c r="F3948" s="231"/>
      <c r="G3948" s="232"/>
      <c r="H3948" s="233">
        <f>SUM(H3946:H3947)</f>
        <v>27647.950000000004</v>
      </c>
      <c r="L3948" s="200"/>
      <c r="M3948" s="200"/>
      <c r="N3948" s="200"/>
      <c r="O3948" s="200"/>
      <c r="P3948" s="200"/>
    </row>
    <row r="3949" spans="3:16" ht="31.2" customHeight="1" thickTop="1">
      <c r="D3949" s="758" t="s">
        <v>7210</v>
      </c>
    </row>
    <row r="3950" spans="3:16" ht="31.2" customHeight="1">
      <c r="C3950" s="757" t="s">
        <v>6950</v>
      </c>
      <c r="F3950" s="758"/>
      <c r="H3950" s="758" t="s">
        <v>6959</v>
      </c>
    </row>
    <row r="3951" spans="3:16" ht="31.2" customHeight="1">
      <c r="C3951" s="200" t="s">
        <v>6951</v>
      </c>
      <c r="F3951" s="758"/>
    </row>
    <row r="3952" spans="3:16" ht="31.2" customHeight="1">
      <c r="C3952" s="200" t="s">
        <v>6952</v>
      </c>
      <c r="F3952" s="758"/>
    </row>
    <row r="3953" spans="3:20" ht="31.2" customHeight="1">
      <c r="C3953" s="200"/>
      <c r="F3953" s="758"/>
    </row>
    <row r="3954" spans="3:20" s="517" customFormat="1" ht="31.2" customHeight="1" thickBot="1">
      <c r="C3954" s="513" t="s">
        <v>7289</v>
      </c>
      <c r="D3954" s="748" t="s">
        <v>7290</v>
      </c>
      <c r="E3954" s="749"/>
      <c r="F3954" s="748"/>
      <c r="G3954" s="748"/>
      <c r="H3954" s="532"/>
      <c r="I3954" s="532"/>
      <c r="J3954" s="532"/>
      <c r="K3954" s="532"/>
      <c r="M3954" s="189"/>
      <c r="N3954" s="189"/>
      <c r="O3954" s="189"/>
      <c r="P3954" s="189"/>
      <c r="R3954" s="189">
        <f>ROUNDDOWN(H3977,-2)</f>
        <v>27600</v>
      </c>
      <c r="S3954" s="517" t="s">
        <v>6451</v>
      </c>
      <c r="T3954" s="517" t="s">
        <v>7014</v>
      </c>
    </row>
    <row r="3955" spans="3:20" s="517" customFormat="1" ht="31.2" customHeight="1" thickTop="1">
      <c r="C3955" s="190" t="s">
        <v>1195</v>
      </c>
      <c r="D3955" s="191" t="s">
        <v>1196</v>
      </c>
      <c r="E3955" s="191" t="s">
        <v>1197</v>
      </c>
      <c r="F3955" s="191" t="s">
        <v>1198</v>
      </c>
      <c r="G3955" s="191" t="s">
        <v>1199</v>
      </c>
      <c r="H3955" s="192" t="s">
        <v>1200</v>
      </c>
      <c r="L3955" s="200"/>
      <c r="M3955" s="200"/>
      <c r="N3955" s="200"/>
      <c r="O3955" s="200"/>
      <c r="P3955" s="200"/>
    </row>
    <row r="3956" spans="3:20" s="517" customFormat="1" ht="31.2" customHeight="1">
      <c r="C3956" s="518" t="s">
        <v>1201</v>
      </c>
      <c r="D3956" s="196" t="s">
        <v>1202</v>
      </c>
      <c r="E3956" s="197"/>
      <c r="F3956" s="197"/>
      <c r="G3956" s="197"/>
      <c r="H3956" s="198"/>
      <c r="L3956" s="200"/>
      <c r="M3956" s="200"/>
      <c r="N3956" s="200"/>
      <c r="O3956" s="200"/>
      <c r="P3956" s="200"/>
    </row>
    <row r="3957" spans="3:20" s="517" customFormat="1" ht="31.2" customHeight="1">
      <c r="C3957" s="518">
        <v>1</v>
      </c>
      <c r="D3957" s="196" t="s">
        <v>5</v>
      </c>
      <c r="E3957" s="203" t="s">
        <v>2102</v>
      </c>
      <c r="F3957" s="525">
        <v>7.0000000000000007E-2</v>
      </c>
      <c r="G3957" s="205">
        <f>VLOOKUP(D3957,upahbahan,3,FALSE)</f>
        <v>100000</v>
      </c>
      <c r="H3957" s="210">
        <f t="shared" ref="H3957:H3960" si="269">F3957*G3957</f>
        <v>7000.0000000000009</v>
      </c>
      <c r="L3957" s="200"/>
      <c r="M3957" s="200"/>
      <c r="N3957" s="200"/>
      <c r="O3957" s="200"/>
      <c r="P3957" s="200"/>
    </row>
    <row r="3958" spans="3:20" s="517" customFormat="1" ht="31.2" customHeight="1">
      <c r="C3958" s="537">
        <v>2</v>
      </c>
      <c r="D3958" s="196" t="s">
        <v>6954</v>
      </c>
      <c r="E3958" s="202" t="s">
        <v>6</v>
      </c>
      <c r="F3958" s="520">
        <v>7.0000000000000007E-2</v>
      </c>
      <c r="G3958" s="205">
        <f>VLOOKUP(D3958,upahbahan,3,FALSE)</f>
        <v>181250</v>
      </c>
      <c r="H3958" s="210">
        <f t="shared" si="269"/>
        <v>12687.500000000002</v>
      </c>
      <c r="L3958" s="200"/>
      <c r="M3958" s="200"/>
      <c r="N3958" s="200"/>
      <c r="O3958" s="200"/>
      <c r="P3958" s="200"/>
    </row>
    <row r="3959" spans="3:20" s="517" customFormat="1" ht="31.2" customHeight="1">
      <c r="C3959" s="537">
        <v>3</v>
      </c>
      <c r="D3959" s="196" t="s">
        <v>6948</v>
      </c>
      <c r="E3959" s="202" t="s">
        <v>2102</v>
      </c>
      <c r="F3959" s="520">
        <v>0.02</v>
      </c>
      <c r="G3959" s="205">
        <f>VLOOKUP(D3959,upahbahan,3,FALSE)</f>
        <v>218750</v>
      </c>
      <c r="H3959" s="210">
        <f t="shared" si="269"/>
        <v>4375</v>
      </c>
      <c r="L3959" s="200"/>
      <c r="M3959" s="200"/>
      <c r="N3959" s="200"/>
      <c r="O3959" s="200"/>
      <c r="P3959" s="200"/>
    </row>
    <row r="3960" spans="3:20" s="517" customFormat="1" ht="31.2" customHeight="1">
      <c r="C3960" s="537">
        <v>4</v>
      </c>
      <c r="D3960" s="196" t="s">
        <v>19</v>
      </c>
      <c r="E3960" s="202" t="s">
        <v>6</v>
      </c>
      <c r="F3960" s="520">
        <v>6.7000000000000002E-3</v>
      </c>
      <c r="G3960" s="205">
        <f>VLOOKUP(D3960,upahbahan,3,FALSE)</f>
        <v>160000</v>
      </c>
      <c r="H3960" s="210">
        <f t="shared" si="269"/>
        <v>1072</v>
      </c>
      <c r="L3960" s="200"/>
      <c r="M3960" s="200"/>
      <c r="N3960" s="200"/>
      <c r="O3960" s="200"/>
      <c r="P3960" s="200"/>
    </row>
    <row r="3961" spans="3:20" s="517" customFormat="1" ht="31.2" customHeight="1">
      <c r="C3961" s="207" t="s">
        <v>1208</v>
      </c>
      <c r="D3961" s="208"/>
      <c r="E3961" s="208"/>
      <c r="F3961" s="521"/>
      <c r="G3961" s="522"/>
      <c r="H3961" s="210">
        <f>SUM(H3957:H3960)</f>
        <v>25134.500000000004</v>
      </c>
      <c r="L3961" s="523"/>
      <c r="M3961" s="523"/>
      <c r="N3961" s="523"/>
      <c r="O3961" s="523"/>
      <c r="P3961" s="523"/>
    </row>
    <row r="3962" spans="3:20" s="517" customFormat="1" ht="31.2" customHeight="1">
      <c r="C3962" s="543" t="s">
        <v>1209</v>
      </c>
      <c r="D3962" s="750" t="s">
        <v>1210</v>
      </c>
      <c r="E3962" s="197"/>
      <c r="F3962" s="751"/>
      <c r="G3962" s="197"/>
      <c r="H3962" s="752"/>
      <c r="L3962" s="200"/>
      <c r="M3962" s="200"/>
      <c r="N3962" s="200"/>
      <c r="O3962" s="200"/>
      <c r="P3962" s="200"/>
    </row>
    <row r="3963" spans="3:20" s="517" customFormat="1" ht="31.2" customHeight="1">
      <c r="C3963" s="543">
        <v>1</v>
      </c>
      <c r="D3963" s="750" t="s">
        <v>7291</v>
      </c>
      <c r="E3963" s="203" t="s">
        <v>44</v>
      </c>
      <c r="F3963" s="753">
        <v>1.05</v>
      </c>
      <c r="G3963" s="205">
        <f>VLOOKUP(D3963,upahbahan,3,FALSE)</f>
        <v>0</v>
      </c>
      <c r="H3963" s="210">
        <f t="shared" ref="H3963:H3971" si="270">F3963*G3963</f>
        <v>0</v>
      </c>
      <c r="L3963" s="200"/>
      <c r="M3963" s="200"/>
      <c r="N3963" s="200"/>
      <c r="O3963" s="200"/>
      <c r="P3963" s="200"/>
    </row>
    <row r="3964" spans="3:20" s="517" customFormat="1" ht="31.2" customHeight="1">
      <c r="C3964" s="543">
        <v>2</v>
      </c>
      <c r="D3964" s="750" t="s">
        <v>5563</v>
      </c>
      <c r="E3964" s="203" t="s">
        <v>65</v>
      </c>
      <c r="F3964" s="753">
        <v>5.0000000000000001E-3</v>
      </c>
      <c r="G3964" s="205">
        <f>VLOOKUP(D3964,upahbahan,3,FALSE)</f>
        <v>0</v>
      </c>
      <c r="H3964" s="210">
        <f t="shared" si="270"/>
        <v>0</v>
      </c>
      <c r="L3964" s="200"/>
      <c r="M3964" s="200"/>
      <c r="N3964" s="200"/>
      <c r="O3964" s="200"/>
      <c r="P3964" s="200"/>
    </row>
    <row r="3965" spans="3:20" s="517" customFormat="1" ht="31.2" customHeight="1">
      <c r="C3965" s="543">
        <v>3</v>
      </c>
      <c r="D3965" s="750" t="s">
        <v>5555</v>
      </c>
      <c r="E3965" s="203"/>
      <c r="F3965" s="753"/>
      <c r="G3965" s="197"/>
      <c r="H3965" s="210">
        <f t="shared" si="270"/>
        <v>0</v>
      </c>
      <c r="L3965" s="200"/>
      <c r="M3965" s="200"/>
      <c r="N3965" s="200"/>
      <c r="O3965" s="200"/>
      <c r="P3965" s="200"/>
    </row>
    <row r="3966" spans="3:20" s="517" customFormat="1" ht="31.2" customHeight="1">
      <c r="C3966" s="754" t="s">
        <v>5293</v>
      </c>
      <c r="D3966" s="750" t="s">
        <v>7053</v>
      </c>
      <c r="E3966" s="203" t="s">
        <v>113</v>
      </c>
      <c r="F3966" s="760">
        <v>12</v>
      </c>
      <c r="G3966" s="205">
        <f>VLOOKUP(D3966,upahbahan,3,FALSE)</f>
        <v>0</v>
      </c>
      <c r="H3966" s="210">
        <f t="shared" si="270"/>
        <v>0</v>
      </c>
      <c r="L3966" s="200"/>
      <c r="M3966" s="200"/>
      <c r="N3966" s="200"/>
      <c r="O3966" s="200"/>
      <c r="P3966" s="200"/>
    </row>
    <row r="3967" spans="3:20" s="517" customFormat="1" ht="31.2" customHeight="1">
      <c r="C3967" s="754" t="s">
        <v>5299</v>
      </c>
      <c r="D3967" s="750" t="s">
        <v>7055</v>
      </c>
      <c r="E3967" s="203" t="s">
        <v>113</v>
      </c>
      <c r="F3967" s="760">
        <v>10</v>
      </c>
      <c r="G3967" s="205">
        <f>VLOOKUP(D3967,upahbahan,3,FALSE)</f>
        <v>0</v>
      </c>
      <c r="H3967" s="210">
        <f t="shared" si="270"/>
        <v>0</v>
      </c>
      <c r="L3967" s="200"/>
      <c r="M3967" s="200"/>
      <c r="N3967" s="200"/>
      <c r="O3967" s="200"/>
      <c r="P3967" s="200"/>
    </row>
    <row r="3968" spans="3:20" s="517" customFormat="1" ht="31.2" customHeight="1">
      <c r="C3968" s="543">
        <v>4</v>
      </c>
      <c r="D3968" s="750" t="s">
        <v>5556</v>
      </c>
      <c r="E3968" s="203"/>
      <c r="F3968" s="753"/>
      <c r="G3968" s="197"/>
      <c r="H3968" s="210">
        <f t="shared" si="270"/>
        <v>0</v>
      </c>
      <c r="L3968" s="200"/>
      <c r="M3968" s="200"/>
      <c r="N3968" s="200"/>
      <c r="O3968" s="200"/>
      <c r="P3968" s="200"/>
    </row>
    <row r="3969" spans="3:20" s="517" customFormat="1" ht="31.2" customHeight="1">
      <c r="C3969" s="754" t="s">
        <v>5293</v>
      </c>
      <c r="D3969" s="750" t="s">
        <v>2084</v>
      </c>
      <c r="E3969" s="203" t="s">
        <v>42</v>
      </c>
      <c r="F3969" s="753">
        <v>7.2999999999999995E-2</v>
      </c>
      <c r="G3969" s="205">
        <f>VLOOKUP(D3969,upahbahan,3,FALSE)</f>
        <v>0</v>
      </c>
      <c r="H3969" s="210">
        <f t="shared" si="270"/>
        <v>0</v>
      </c>
      <c r="L3969" s="200"/>
      <c r="M3969" s="200"/>
      <c r="N3969" s="200"/>
      <c r="O3969" s="200"/>
      <c r="P3969" s="200"/>
    </row>
    <row r="3970" spans="3:20" s="517" customFormat="1" ht="31.2" customHeight="1">
      <c r="C3970" s="754" t="s">
        <v>5299</v>
      </c>
      <c r="D3970" s="750" t="s">
        <v>5566</v>
      </c>
      <c r="E3970" s="203" t="s">
        <v>42</v>
      </c>
      <c r="F3970" s="753">
        <v>0.02</v>
      </c>
      <c r="G3970" s="205">
        <f>VLOOKUP(D3970,upahbahan,3,FALSE)</f>
        <v>0</v>
      </c>
      <c r="H3970" s="210">
        <f t="shared" si="270"/>
        <v>0</v>
      </c>
      <c r="L3970" s="200"/>
      <c r="M3970" s="200"/>
      <c r="N3970" s="200"/>
      <c r="O3970" s="200"/>
      <c r="P3970" s="200"/>
    </row>
    <row r="3971" spans="3:20" s="517" customFormat="1" ht="31.2" customHeight="1">
      <c r="C3971" s="754" t="s">
        <v>5558</v>
      </c>
      <c r="D3971" s="750" t="s">
        <v>2325</v>
      </c>
      <c r="E3971" s="203" t="s">
        <v>42</v>
      </c>
      <c r="F3971" s="762">
        <v>5.0000000000000001E-3</v>
      </c>
      <c r="G3971" s="205">
        <f>VLOOKUP(D3971,upahbahan,3,FALSE)</f>
        <v>0</v>
      </c>
      <c r="H3971" s="210">
        <f t="shared" si="270"/>
        <v>0</v>
      </c>
      <c r="L3971" s="200"/>
      <c r="M3971" s="200"/>
      <c r="N3971" s="200"/>
      <c r="O3971" s="200"/>
      <c r="P3971" s="200"/>
    </row>
    <row r="3972" spans="3:20" s="517" customFormat="1" ht="31.2" customHeight="1">
      <c r="C3972" s="207" t="s">
        <v>1214</v>
      </c>
      <c r="D3972" s="208"/>
      <c r="E3972" s="568"/>
      <c r="F3972" s="208"/>
      <c r="G3972" s="209"/>
      <c r="H3972" s="210">
        <f>SUM(H3963:H3971)</f>
        <v>0</v>
      </c>
      <c r="L3972" s="200"/>
      <c r="M3972" s="200"/>
      <c r="N3972" s="200"/>
      <c r="O3972" s="200"/>
      <c r="P3972" s="200"/>
    </row>
    <row r="3973" spans="3:20" s="517" customFormat="1" ht="31.2" customHeight="1">
      <c r="C3973" s="756" t="s">
        <v>1215</v>
      </c>
      <c r="D3973" s="196" t="s">
        <v>1216</v>
      </c>
      <c r="E3973" s="203"/>
      <c r="F3973" s="197"/>
      <c r="G3973" s="197"/>
      <c r="H3973" s="198"/>
      <c r="L3973" s="200"/>
      <c r="M3973" s="200"/>
      <c r="N3973" s="200"/>
      <c r="O3973" s="200"/>
      <c r="P3973" s="200"/>
    </row>
    <row r="3974" spans="3:20" s="517" customFormat="1" ht="31.2" customHeight="1">
      <c r="C3974" s="207" t="s">
        <v>1217</v>
      </c>
      <c r="D3974" s="208"/>
      <c r="E3974" s="208"/>
      <c r="F3974" s="208"/>
      <c r="G3974" s="209"/>
      <c r="H3974" s="240">
        <f>SUM(H3973:H3973)</f>
        <v>0</v>
      </c>
      <c r="L3974" s="200"/>
      <c r="M3974" s="200"/>
      <c r="N3974" s="200"/>
      <c r="O3974" s="200"/>
      <c r="P3974" s="200"/>
    </row>
    <row r="3975" spans="3:20" s="517" customFormat="1" ht="31.2" customHeight="1">
      <c r="C3975" s="223" t="s">
        <v>1218</v>
      </c>
      <c r="D3975" s="224" t="s">
        <v>1219</v>
      </c>
      <c r="E3975" s="225"/>
      <c r="F3975" s="225"/>
      <c r="G3975" s="226"/>
      <c r="H3975" s="210">
        <f>H3974+H3972+H3961</f>
        <v>25134.500000000004</v>
      </c>
      <c r="L3975" s="200"/>
      <c r="M3975" s="200"/>
      <c r="N3975" s="200"/>
      <c r="O3975" s="200"/>
      <c r="P3975" s="200"/>
    </row>
    <row r="3976" spans="3:20" s="517" customFormat="1" ht="31.2" customHeight="1">
      <c r="C3976" s="223" t="s">
        <v>1220</v>
      </c>
      <c r="D3976" s="224" t="s">
        <v>1321</v>
      </c>
      <c r="E3976" s="225"/>
      <c r="F3976" s="226"/>
      <c r="G3976" s="228">
        <v>0.1</v>
      </c>
      <c r="H3976" s="210">
        <f>H3975*G3976</f>
        <v>2513.4500000000007</v>
      </c>
      <c r="L3976" s="200"/>
      <c r="M3976" s="200"/>
      <c r="N3976" s="200"/>
      <c r="O3976" s="200"/>
      <c r="P3976" s="200"/>
    </row>
    <row r="3977" spans="3:20" s="517" customFormat="1" ht="31.2" customHeight="1" thickBot="1">
      <c r="C3977" s="229" t="s">
        <v>1221</v>
      </c>
      <c r="D3977" s="230" t="s">
        <v>1222</v>
      </c>
      <c r="E3977" s="231"/>
      <c r="F3977" s="231"/>
      <c r="G3977" s="232"/>
      <c r="H3977" s="233">
        <f>SUM(H3975:H3976)</f>
        <v>27647.950000000004</v>
      </c>
      <c r="L3977" s="200"/>
      <c r="M3977" s="200"/>
      <c r="N3977" s="200"/>
      <c r="O3977" s="200"/>
      <c r="P3977" s="200"/>
    </row>
    <row r="3978" spans="3:20" ht="31.2" customHeight="1" thickTop="1">
      <c r="D3978" s="758" t="s">
        <v>7210</v>
      </c>
    </row>
    <row r="3979" spans="3:20" ht="31.2" customHeight="1">
      <c r="C3979" s="757" t="s">
        <v>6950</v>
      </c>
      <c r="F3979" s="758"/>
      <c r="H3979" s="758" t="s">
        <v>6959</v>
      </c>
    </row>
    <row r="3980" spans="3:20" ht="31.2" customHeight="1">
      <c r="C3980" s="200" t="s">
        <v>6951</v>
      </c>
      <c r="F3980" s="758"/>
    </row>
    <row r="3981" spans="3:20" ht="31.2" customHeight="1">
      <c r="C3981" s="200" t="s">
        <v>6952</v>
      </c>
      <c r="F3981" s="758"/>
    </row>
    <row r="3982" spans="3:20" ht="31.2" customHeight="1">
      <c r="C3982" s="200"/>
      <c r="F3982" s="758"/>
    </row>
    <row r="3983" spans="3:20" s="517" customFormat="1" ht="31.2" customHeight="1" thickBot="1">
      <c r="C3983" s="513" t="s">
        <v>7292</v>
      </c>
      <c r="D3983" s="748" t="s">
        <v>7293</v>
      </c>
      <c r="E3983" s="749"/>
      <c r="F3983" s="748"/>
      <c r="G3983" s="748"/>
      <c r="H3983" s="532"/>
      <c r="I3983" s="532"/>
      <c r="J3983" s="532"/>
      <c r="K3983" s="532"/>
      <c r="M3983" s="189"/>
      <c r="N3983" s="189"/>
      <c r="O3983" s="189"/>
      <c r="P3983" s="189"/>
      <c r="R3983" s="189">
        <f>ROUNDDOWN(H4006,-2)</f>
        <v>27600</v>
      </c>
      <c r="S3983" s="517" t="s">
        <v>6451</v>
      </c>
      <c r="T3983" s="517" t="s">
        <v>7014</v>
      </c>
    </row>
    <row r="3984" spans="3:20" s="517" customFormat="1" ht="31.2" customHeight="1" thickTop="1">
      <c r="C3984" s="190" t="s">
        <v>1195</v>
      </c>
      <c r="D3984" s="191" t="s">
        <v>1196</v>
      </c>
      <c r="E3984" s="191" t="s">
        <v>1197</v>
      </c>
      <c r="F3984" s="191" t="s">
        <v>1198</v>
      </c>
      <c r="G3984" s="191" t="s">
        <v>1199</v>
      </c>
      <c r="H3984" s="192" t="s">
        <v>1200</v>
      </c>
      <c r="L3984" s="200"/>
      <c r="M3984" s="200"/>
      <c r="N3984" s="200"/>
      <c r="O3984" s="200"/>
      <c r="P3984" s="200"/>
    </row>
    <row r="3985" spans="3:16" s="517" customFormat="1" ht="31.2" customHeight="1">
      <c r="C3985" s="518" t="s">
        <v>1201</v>
      </c>
      <c r="D3985" s="196" t="s">
        <v>1202</v>
      </c>
      <c r="E3985" s="197"/>
      <c r="F3985" s="197"/>
      <c r="G3985" s="197"/>
      <c r="H3985" s="198"/>
      <c r="L3985" s="200"/>
      <c r="M3985" s="200"/>
      <c r="N3985" s="200"/>
      <c r="O3985" s="200"/>
      <c r="P3985" s="200"/>
    </row>
    <row r="3986" spans="3:16" s="517" customFormat="1" ht="31.2" customHeight="1">
      <c r="C3986" s="518">
        <v>1</v>
      </c>
      <c r="D3986" s="196" t="s">
        <v>5</v>
      </c>
      <c r="E3986" s="203" t="s">
        <v>2102</v>
      </c>
      <c r="F3986" s="525">
        <v>7.0000000000000007E-2</v>
      </c>
      <c r="G3986" s="205">
        <f>VLOOKUP(D3986,upahbahan,3,FALSE)</f>
        <v>100000</v>
      </c>
      <c r="H3986" s="210">
        <f t="shared" ref="H3986:H3989" si="271">F3986*G3986</f>
        <v>7000.0000000000009</v>
      </c>
      <c r="L3986" s="200"/>
      <c r="M3986" s="200"/>
      <c r="N3986" s="200"/>
      <c r="O3986" s="200"/>
      <c r="P3986" s="200"/>
    </row>
    <row r="3987" spans="3:16" s="517" customFormat="1" ht="31.2" customHeight="1">
      <c r="C3987" s="537">
        <v>2</v>
      </c>
      <c r="D3987" s="196" t="s">
        <v>6954</v>
      </c>
      <c r="E3987" s="202" t="s">
        <v>6</v>
      </c>
      <c r="F3987" s="520">
        <v>7.0000000000000007E-2</v>
      </c>
      <c r="G3987" s="205">
        <f>VLOOKUP(D3987,upahbahan,3,FALSE)</f>
        <v>181250</v>
      </c>
      <c r="H3987" s="210">
        <f t="shared" si="271"/>
        <v>12687.500000000002</v>
      </c>
      <c r="L3987" s="200"/>
      <c r="M3987" s="200"/>
      <c r="N3987" s="200"/>
      <c r="O3987" s="200"/>
      <c r="P3987" s="200"/>
    </row>
    <row r="3988" spans="3:16" s="517" customFormat="1" ht="31.2" customHeight="1">
      <c r="C3988" s="537">
        <v>3</v>
      </c>
      <c r="D3988" s="196" t="s">
        <v>6948</v>
      </c>
      <c r="E3988" s="202" t="s">
        <v>2102</v>
      </c>
      <c r="F3988" s="520">
        <v>0.02</v>
      </c>
      <c r="G3988" s="205">
        <f>VLOOKUP(D3988,upahbahan,3,FALSE)</f>
        <v>218750</v>
      </c>
      <c r="H3988" s="210">
        <f t="shared" si="271"/>
        <v>4375</v>
      </c>
      <c r="L3988" s="200"/>
      <c r="M3988" s="200"/>
      <c r="N3988" s="200"/>
      <c r="O3988" s="200"/>
      <c r="P3988" s="200"/>
    </row>
    <row r="3989" spans="3:16" s="517" customFormat="1" ht="31.2" customHeight="1">
      <c r="C3989" s="537">
        <v>4</v>
      </c>
      <c r="D3989" s="196" t="s">
        <v>19</v>
      </c>
      <c r="E3989" s="202" t="s">
        <v>6</v>
      </c>
      <c r="F3989" s="520">
        <v>6.7000000000000002E-3</v>
      </c>
      <c r="G3989" s="205">
        <f>VLOOKUP(D3989,upahbahan,3,FALSE)</f>
        <v>160000</v>
      </c>
      <c r="H3989" s="210">
        <f t="shared" si="271"/>
        <v>1072</v>
      </c>
      <c r="L3989" s="200"/>
      <c r="M3989" s="200"/>
      <c r="N3989" s="200"/>
      <c r="O3989" s="200"/>
      <c r="P3989" s="200"/>
    </row>
    <row r="3990" spans="3:16" s="517" customFormat="1" ht="31.2" customHeight="1">
      <c r="C3990" s="207" t="s">
        <v>1208</v>
      </c>
      <c r="D3990" s="208"/>
      <c r="E3990" s="208"/>
      <c r="F3990" s="521"/>
      <c r="G3990" s="522"/>
      <c r="H3990" s="210">
        <f>SUM(H3986:H3989)</f>
        <v>25134.500000000004</v>
      </c>
      <c r="L3990" s="523"/>
      <c r="M3990" s="523"/>
      <c r="N3990" s="523"/>
      <c r="O3990" s="523"/>
      <c r="P3990" s="523"/>
    </row>
    <row r="3991" spans="3:16" s="517" customFormat="1" ht="31.2" customHeight="1">
      <c r="C3991" s="543" t="s">
        <v>1209</v>
      </c>
      <c r="D3991" s="750" t="s">
        <v>1210</v>
      </c>
      <c r="E3991" s="197"/>
      <c r="F3991" s="751"/>
      <c r="G3991" s="197"/>
      <c r="H3991" s="752"/>
      <c r="L3991" s="200"/>
      <c r="M3991" s="200"/>
      <c r="N3991" s="200"/>
      <c r="O3991" s="200"/>
      <c r="P3991" s="200"/>
    </row>
    <row r="3992" spans="3:16" s="517" customFormat="1" ht="31.2" customHeight="1">
      <c r="C3992" s="543">
        <v>1</v>
      </c>
      <c r="D3992" s="750" t="s">
        <v>7294</v>
      </c>
      <c r="E3992" s="203" t="s">
        <v>44</v>
      </c>
      <c r="F3992" s="753">
        <v>1.05</v>
      </c>
      <c r="G3992" s="205">
        <f>VLOOKUP(D3992,upahbahan,3,FALSE)</f>
        <v>0</v>
      </c>
      <c r="H3992" s="210">
        <f t="shared" ref="H3992:H4000" si="272">F3992*G3992</f>
        <v>0</v>
      </c>
      <c r="L3992" s="200"/>
      <c r="M3992" s="200"/>
      <c r="N3992" s="200"/>
      <c r="O3992" s="200"/>
      <c r="P3992" s="200"/>
    </row>
    <row r="3993" spans="3:16" s="517" customFormat="1" ht="31.2" customHeight="1">
      <c r="C3993" s="543">
        <v>2</v>
      </c>
      <c r="D3993" s="750" t="s">
        <v>5563</v>
      </c>
      <c r="E3993" s="203" t="s">
        <v>65</v>
      </c>
      <c r="F3993" s="753">
        <v>5.0000000000000001E-3</v>
      </c>
      <c r="G3993" s="205">
        <f>VLOOKUP(D3993,upahbahan,3,FALSE)</f>
        <v>0</v>
      </c>
      <c r="H3993" s="210">
        <f t="shared" si="272"/>
        <v>0</v>
      </c>
      <c r="L3993" s="200"/>
      <c r="M3993" s="200"/>
      <c r="N3993" s="200"/>
      <c r="O3993" s="200"/>
      <c r="P3993" s="200"/>
    </row>
    <row r="3994" spans="3:16" s="517" customFormat="1" ht="31.2" customHeight="1">
      <c r="C3994" s="543">
        <v>3</v>
      </c>
      <c r="D3994" s="750" t="s">
        <v>5555</v>
      </c>
      <c r="E3994" s="203"/>
      <c r="F3994" s="753"/>
      <c r="G3994" s="197"/>
      <c r="H3994" s="210">
        <f t="shared" si="272"/>
        <v>0</v>
      </c>
      <c r="L3994" s="200"/>
      <c r="M3994" s="200"/>
      <c r="N3994" s="200"/>
      <c r="O3994" s="200"/>
      <c r="P3994" s="200"/>
    </row>
    <row r="3995" spans="3:16" s="517" customFormat="1" ht="31.2" customHeight="1">
      <c r="C3995" s="754" t="s">
        <v>5293</v>
      </c>
      <c r="D3995" s="750" t="s">
        <v>7053</v>
      </c>
      <c r="E3995" s="203" t="s">
        <v>113</v>
      </c>
      <c r="F3995" s="760">
        <v>12</v>
      </c>
      <c r="G3995" s="205">
        <f>VLOOKUP(D3995,upahbahan,3,FALSE)</f>
        <v>0</v>
      </c>
      <c r="H3995" s="210">
        <f t="shared" si="272"/>
        <v>0</v>
      </c>
      <c r="L3995" s="200"/>
      <c r="M3995" s="200"/>
      <c r="N3995" s="200"/>
      <c r="O3995" s="200"/>
      <c r="P3995" s="200"/>
    </row>
    <row r="3996" spans="3:16" s="517" customFormat="1" ht="31.2" customHeight="1">
      <c r="C3996" s="754" t="s">
        <v>5299</v>
      </c>
      <c r="D3996" s="750" t="s">
        <v>7055</v>
      </c>
      <c r="E3996" s="203" t="s">
        <v>113</v>
      </c>
      <c r="F3996" s="760">
        <v>10</v>
      </c>
      <c r="G3996" s="205">
        <f>VLOOKUP(D3996,upahbahan,3,FALSE)</f>
        <v>0</v>
      </c>
      <c r="H3996" s="210">
        <f t="shared" si="272"/>
        <v>0</v>
      </c>
      <c r="L3996" s="200"/>
      <c r="M3996" s="200"/>
      <c r="N3996" s="200"/>
      <c r="O3996" s="200"/>
      <c r="P3996" s="200"/>
    </row>
    <row r="3997" spans="3:16" s="517" customFormat="1" ht="31.2" customHeight="1">
      <c r="C3997" s="543">
        <v>4</v>
      </c>
      <c r="D3997" s="750" t="s">
        <v>5556</v>
      </c>
      <c r="E3997" s="203"/>
      <c r="F3997" s="753"/>
      <c r="G3997" s="197"/>
      <c r="H3997" s="210">
        <f t="shared" si="272"/>
        <v>0</v>
      </c>
      <c r="L3997" s="200"/>
      <c r="M3997" s="200"/>
      <c r="N3997" s="200"/>
      <c r="O3997" s="200"/>
      <c r="P3997" s="200"/>
    </row>
    <row r="3998" spans="3:16" s="517" customFormat="1" ht="31.2" customHeight="1">
      <c r="C3998" s="754" t="s">
        <v>5293</v>
      </c>
      <c r="D3998" s="750" t="s">
        <v>2084</v>
      </c>
      <c r="E3998" s="203" t="s">
        <v>42</v>
      </c>
      <c r="F3998" s="753">
        <v>7.2999999999999995E-2</v>
      </c>
      <c r="G3998" s="205">
        <f>VLOOKUP(D3998,upahbahan,3,FALSE)</f>
        <v>0</v>
      </c>
      <c r="H3998" s="210">
        <f t="shared" si="272"/>
        <v>0</v>
      </c>
      <c r="L3998" s="200"/>
      <c r="M3998" s="200"/>
      <c r="N3998" s="200"/>
      <c r="O3998" s="200"/>
      <c r="P3998" s="200"/>
    </row>
    <row r="3999" spans="3:16" s="517" customFormat="1" ht="31.2" customHeight="1">
      <c r="C3999" s="754" t="s">
        <v>5299</v>
      </c>
      <c r="D3999" s="750" t="s">
        <v>5566</v>
      </c>
      <c r="E3999" s="203" t="s">
        <v>42</v>
      </c>
      <c r="F3999" s="753">
        <v>0.02</v>
      </c>
      <c r="G3999" s="205">
        <f>VLOOKUP(D3999,upahbahan,3,FALSE)</f>
        <v>0</v>
      </c>
      <c r="H3999" s="210">
        <f t="shared" si="272"/>
        <v>0</v>
      </c>
      <c r="L3999" s="200"/>
      <c r="M3999" s="200"/>
      <c r="N3999" s="200"/>
      <c r="O3999" s="200"/>
      <c r="P3999" s="200"/>
    </row>
    <row r="4000" spans="3:16" s="517" customFormat="1" ht="31.2" customHeight="1">
      <c r="C4000" s="754" t="s">
        <v>5558</v>
      </c>
      <c r="D4000" s="750" t="s">
        <v>2325</v>
      </c>
      <c r="E4000" s="203" t="s">
        <v>42</v>
      </c>
      <c r="F4000" s="762">
        <v>5.0000000000000001E-3</v>
      </c>
      <c r="G4000" s="205">
        <f>VLOOKUP(D4000,upahbahan,3,FALSE)</f>
        <v>0</v>
      </c>
      <c r="H4000" s="210">
        <f t="shared" si="272"/>
        <v>0</v>
      </c>
      <c r="L4000" s="200"/>
      <c r="M4000" s="200"/>
      <c r="N4000" s="200"/>
      <c r="O4000" s="200"/>
      <c r="P4000" s="200"/>
    </row>
    <row r="4001" spans="3:20" s="517" customFormat="1" ht="31.2" customHeight="1">
      <c r="C4001" s="207" t="s">
        <v>1214</v>
      </c>
      <c r="D4001" s="208"/>
      <c r="E4001" s="568"/>
      <c r="F4001" s="208"/>
      <c r="G4001" s="209"/>
      <c r="H4001" s="210">
        <f>SUM(H3992:H4000)</f>
        <v>0</v>
      </c>
      <c r="L4001" s="200"/>
      <c r="M4001" s="200"/>
      <c r="N4001" s="200"/>
      <c r="O4001" s="200"/>
      <c r="P4001" s="200"/>
    </row>
    <row r="4002" spans="3:20" s="517" customFormat="1" ht="31.2" customHeight="1">
      <c r="C4002" s="756" t="s">
        <v>1215</v>
      </c>
      <c r="D4002" s="196" t="s">
        <v>1216</v>
      </c>
      <c r="E4002" s="203"/>
      <c r="F4002" s="197"/>
      <c r="G4002" s="197"/>
      <c r="H4002" s="198"/>
      <c r="L4002" s="200"/>
      <c r="M4002" s="200"/>
      <c r="N4002" s="200"/>
      <c r="O4002" s="200"/>
      <c r="P4002" s="200"/>
    </row>
    <row r="4003" spans="3:20" s="517" customFormat="1" ht="31.2" customHeight="1">
      <c r="C4003" s="207" t="s">
        <v>1217</v>
      </c>
      <c r="D4003" s="208"/>
      <c r="E4003" s="208"/>
      <c r="F4003" s="208"/>
      <c r="G4003" s="209"/>
      <c r="H4003" s="240">
        <f>SUM(H4002:H4002)</f>
        <v>0</v>
      </c>
      <c r="L4003" s="200"/>
      <c r="M4003" s="200"/>
      <c r="N4003" s="200"/>
      <c r="O4003" s="200"/>
      <c r="P4003" s="200"/>
    </row>
    <row r="4004" spans="3:20" s="517" customFormat="1" ht="31.2" customHeight="1">
      <c r="C4004" s="223" t="s">
        <v>1218</v>
      </c>
      <c r="D4004" s="224" t="s">
        <v>1219</v>
      </c>
      <c r="E4004" s="225"/>
      <c r="F4004" s="225"/>
      <c r="G4004" s="226"/>
      <c r="H4004" s="210">
        <f>H4003+H4001+H3990</f>
        <v>25134.500000000004</v>
      </c>
      <c r="L4004" s="200"/>
      <c r="M4004" s="200"/>
      <c r="N4004" s="200"/>
      <c r="O4004" s="200"/>
      <c r="P4004" s="200"/>
    </row>
    <row r="4005" spans="3:20" s="517" customFormat="1" ht="31.2" customHeight="1">
      <c r="C4005" s="223" t="s">
        <v>1220</v>
      </c>
      <c r="D4005" s="224" t="s">
        <v>1321</v>
      </c>
      <c r="E4005" s="225"/>
      <c r="F4005" s="226"/>
      <c r="G4005" s="228">
        <v>0.1</v>
      </c>
      <c r="H4005" s="210">
        <f>H4004*G4005</f>
        <v>2513.4500000000007</v>
      </c>
      <c r="L4005" s="200"/>
      <c r="M4005" s="200"/>
      <c r="N4005" s="200"/>
      <c r="O4005" s="200"/>
      <c r="P4005" s="200"/>
    </row>
    <row r="4006" spans="3:20" s="517" customFormat="1" ht="31.2" customHeight="1" thickBot="1">
      <c r="C4006" s="229" t="s">
        <v>1221</v>
      </c>
      <c r="D4006" s="230" t="s">
        <v>1222</v>
      </c>
      <c r="E4006" s="231"/>
      <c r="F4006" s="231"/>
      <c r="G4006" s="232"/>
      <c r="H4006" s="233">
        <f>SUM(H4004:H4005)</f>
        <v>27647.950000000004</v>
      </c>
      <c r="L4006" s="200"/>
      <c r="M4006" s="200"/>
      <c r="N4006" s="200"/>
      <c r="O4006" s="200"/>
      <c r="P4006" s="200"/>
    </row>
    <row r="4007" spans="3:20" ht="31.2" customHeight="1" thickTop="1">
      <c r="D4007" s="758" t="s">
        <v>7210</v>
      </c>
    </row>
    <row r="4008" spans="3:20" ht="31.2" customHeight="1">
      <c r="C4008" s="757" t="s">
        <v>6950</v>
      </c>
      <c r="F4008" s="758"/>
      <c r="H4008" s="758" t="s">
        <v>6959</v>
      </c>
    </row>
    <row r="4009" spans="3:20" ht="31.2" customHeight="1">
      <c r="C4009" s="200" t="s">
        <v>6951</v>
      </c>
      <c r="F4009" s="758"/>
    </row>
    <row r="4010" spans="3:20" ht="31.2" customHeight="1">
      <c r="C4010" s="200" t="s">
        <v>6952</v>
      </c>
      <c r="F4010" s="758"/>
    </row>
    <row r="4011" spans="3:20" ht="31.2" customHeight="1">
      <c r="C4011" s="200"/>
      <c r="F4011" s="758"/>
    </row>
    <row r="4012" spans="3:20" s="517" customFormat="1" ht="31.2" customHeight="1" thickBot="1">
      <c r="C4012" s="513" t="s">
        <v>7295</v>
      </c>
      <c r="D4012" s="748" t="s">
        <v>7296</v>
      </c>
      <c r="E4012" s="749"/>
      <c r="F4012" s="748"/>
      <c r="G4012" s="748"/>
      <c r="H4012" s="532"/>
      <c r="I4012" s="532"/>
      <c r="J4012" s="532"/>
      <c r="K4012" s="532"/>
      <c r="M4012" s="189"/>
      <c r="N4012" s="189"/>
      <c r="O4012" s="189"/>
      <c r="P4012" s="189"/>
      <c r="R4012" s="189">
        <f>ROUNDDOWN(H4035,-2)</f>
        <v>27600</v>
      </c>
      <c r="S4012" s="517" t="s">
        <v>6451</v>
      </c>
      <c r="T4012" s="517" t="s">
        <v>7014</v>
      </c>
    </row>
    <row r="4013" spans="3:20" s="517" customFormat="1" ht="31.2" customHeight="1" thickTop="1">
      <c r="C4013" s="190" t="s">
        <v>1195</v>
      </c>
      <c r="D4013" s="191" t="s">
        <v>1196</v>
      </c>
      <c r="E4013" s="191" t="s">
        <v>1197</v>
      </c>
      <c r="F4013" s="191" t="s">
        <v>1198</v>
      </c>
      <c r="G4013" s="191" t="s">
        <v>1199</v>
      </c>
      <c r="H4013" s="192" t="s">
        <v>1200</v>
      </c>
      <c r="L4013" s="200"/>
      <c r="M4013" s="200"/>
      <c r="N4013" s="200"/>
      <c r="O4013" s="200"/>
      <c r="P4013" s="200"/>
    </row>
    <row r="4014" spans="3:20" s="517" customFormat="1" ht="31.2" customHeight="1">
      <c r="C4014" s="518" t="s">
        <v>1201</v>
      </c>
      <c r="D4014" s="196" t="s">
        <v>1202</v>
      </c>
      <c r="E4014" s="197"/>
      <c r="F4014" s="197"/>
      <c r="G4014" s="197"/>
      <c r="H4014" s="198"/>
      <c r="L4014" s="200"/>
      <c r="M4014" s="200"/>
      <c r="N4014" s="200"/>
      <c r="O4014" s="200"/>
      <c r="P4014" s="200"/>
    </row>
    <row r="4015" spans="3:20" s="517" customFormat="1" ht="31.2" customHeight="1">
      <c r="C4015" s="518">
        <v>1</v>
      </c>
      <c r="D4015" s="196" t="s">
        <v>5</v>
      </c>
      <c r="E4015" s="203" t="s">
        <v>2102</v>
      </c>
      <c r="F4015" s="525">
        <v>7.0000000000000007E-2</v>
      </c>
      <c r="G4015" s="205">
        <f>VLOOKUP(D4015,upahbahan,3,FALSE)</f>
        <v>100000</v>
      </c>
      <c r="H4015" s="210">
        <f t="shared" ref="H4015:H4018" si="273">F4015*G4015</f>
        <v>7000.0000000000009</v>
      </c>
      <c r="L4015" s="200"/>
      <c r="M4015" s="200"/>
      <c r="N4015" s="200"/>
      <c r="O4015" s="200"/>
      <c r="P4015" s="200"/>
    </row>
    <row r="4016" spans="3:20" s="517" customFormat="1" ht="31.2" customHeight="1">
      <c r="C4016" s="537">
        <v>2</v>
      </c>
      <c r="D4016" s="196" t="s">
        <v>6954</v>
      </c>
      <c r="E4016" s="202" t="s">
        <v>6</v>
      </c>
      <c r="F4016" s="520">
        <v>7.0000000000000007E-2</v>
      </c>
      <c r="G4016" s="205">
        <f>VLOOKUP(D4016,upahbahan,3,FALSE)</f>
        <v>181250</v>
      </c>
      <c r="H4016" s="210">
        <f t="shared" si="273"/>
        <v>12687.500000000002</v>
      </c>
      <c r="L4016" s="200"/>
      <c r="M4016" s="200"/>
      <c r="N4016" s="200"/>
      <c r="O4016" s="200"/>
      <c r="P4016" s="200"/>
    </row>
    <row r="4017" spans="3:16" s="517" customFormat="1" ht="31.2" customHeight="1">
      <c r="C4017" s="537">
        <v>3</v>
      </c>
      <c r="D4017" s="196" t="s">
        <v>6948</v>
      </c>
      <c r="E4017" s="202" t="s">
        <v>2102</v>
      </c>
      <c r="F4017" s="520">
        <v>0.02</v>
      </c>
      <c r="G4017" s="205">
        <f>VLOOKUP(D4017,upahbahan,3,FALSE)</f>
        <v>218750</v>
      </c>
      <c r="H4017" s="210">
        <f t="shared" si="273"/>
        <v>4375</v>
      </c>
      <c r="L4017" s="200"/>
      <c r="M4017" s="200"/>
      <c r="N4017" s="200"/>
      <c r="O4017" s="200"/>
      <c r="P4017" s="200"/>
    </row>
    <row r="4018" spans="3:16" s="517" customFormat="1" ht="31.2" customHeight="1">
      <c r="C4018" s="537">
        <v>4</v>
      </c>
      <c r="D4018" s="196" t="s">
        <v>19</v>
      </c>
      <c r="E4018" s="202" t="s">
        <v>6</v>
      </c>
      <c r="F4018" s="520">
        <v>6.7000000000000002E-3</v>
      </c>
      <c r="G4018" s="205">
        <f>VLOOKUP(D4018,upahbahan,3,FALSE)</f>
        <v>160000</v>
      </c>
      <c r="H4018" s="210">
        <f t="shared" si="273"/>
        <v>1072</v>
      </c>
      <c r="L4018" s="200"/>
      <c r="M4018" s="200"/>
      <c r="N4018" s="200"/>
      <c r="O4018" s="200"/>
      <c r="P4018" s="200"/>
    </row>
    <row r="4019" spans="3:16" s="517" customFormat="1" ht="31.2" customHeight="1">
      <c r="C4019" s="207" t="s">
        <v>1208</v>
      </c>
      <c r="D4019" s="208"/>
      <c r="E4019" s="208"/>
      <c r="F4019" s="521"/>
      <c r="G4019" s="522"/>
      <c r="H4019" s="210">
        <f>SUM(H4015:H4018)</f>
        <v>25134.500000000004</v>
      </c>
      <c r="L4019" s="523"/>
      <c r="M4019" s="523"/>
      <c r="N4019" s="523"/>
      <c r="O4019" s="523"/>
      <c r="P4019" s="523"/>
    </row>
    <row r="4020" spans="3:16" s="517" customFormat="1" ht="31.2" customHeight="1">
      <c r="C4020" s="543" t="s">
        <v>1209</v>
      </c>
      <c r="D4020" s="750" t="s">
        <v>1210</v>
      </c>
      <c r="E4020" s="197"/>
      <c r="F4020" s="751"/>
      <c r="G4020" s="197"/>
      <c r="H4020" s="752"/>
      <c r="L4020" s="200"/>
      <c r="M4020" s="200"/>
      <c r="N4020" s="200"/>
      <c r="O4020" s="200"/>
      <c r="P4020" s="200"/>
    </row>
    <row r="4021" spans="3:16" s="517" customFormat="1" ht="31.2" customHeight="1">
      <c r="C4021" s="543">
        <v>1</v>
      </c>
      <c r="D4021" s="750" t="s">
        <v>7297</v>
      </c>
      <c r="E4021" s="203" t="s">
        <v>44</v>
      </c>
      <c r="F4021" s="753">
        <v>1.05</v>
      </c>
      <c r="G4021" s="205">
        <f>VLOOKUP(D4021,upahbahan,3,FALSE)</f>
        <v>0</v>
      </c>
      <c r="H4021" s="210">
        <f t="shared" ref="H4021:H4029" si="274">F4021*G4021</f>
        <v>0</v>
      </c>
      <c r="L4021" s="200"/>
      <c r="M4021" s="200"/>
      <c r="N4021" s="200"/>
      <c r="O4021" s="200"/>
      <c r="P4021" s="200"/>
    </row>
    <row r="4022" spans="3:16" s="517" customFormat="1" ht="31.2" customHeight="1">
      <c r="C4022" s="543">
        <v>2</v>
      </c>
      <c r="D4022" s="750" t="s">
        <v>5563</v>
      </c>
      <c r="E4022" s="203" t="s">
        <v>65</v>
      </c>
      <c r="F4022" s="753">
        <v>5.0000000000000001E-3</v>
      </c>
      <c r="G4022" s="205">
        <f>VLOOKUP(D4022,upahbahan,3,FALSE)</f>
        <v>0</v>
      </c>
      <c r="H4022" s="210">
        <f t="shared" si="274"/>
        <v>0</v>
      </c>
      <c r="L4022" s="200"/>
      <c r="M4022" s="200"/>
      <c r="N4022" s="200"/>
      <c r="O4022" s="200"/>
      <c r="P4022" s="200"/>
    </row>
    <row r="4023" spans="3:16" s="517" customFormat="1" ht="31.2" customHeight="1">
      <c r="C4023" s="543">
        <v>3</v>
      </c>
      <c r="D4023" s="750" t="s">
        <v>5555</v>
      </c>
      <c r="E4023" s="203"/>
      <c r="F4023" s="753"/>
      <c r="G4023" s="197"/>
      <c r="H4023" s="210">
        <f t="shared" si="274"/>
        <v>0</v>
      </c>
      <c r="L4023" s="200"/>
      <c r="M4023" s="200"/>
      <c r="N4023" s="200"/>
      <c r="O4023" s="200"/>
      <c r="P4023" s="200"/>
    </row>
    <row r="4024" spans="3:16" s="517" customFormat="1" ht="31.2" customHeight="1">
      <c r="C4024" s="754" t="s">
        <v>5293</v>
      </c>
      <c r="D4024" s="750" t="s">
        <v>7053</v>
      </c>
      <c r="E4024" s="203" t="s">
        <v>113</v>
      </c>
      <c r="F4024" s="760">
        <v>12</v>
      </c>
      <c r="G4024" s="205">
        <f>VLOOKUP(D4024,upahbahan,3,FALSE)</f>
        <v>0</v>
      </c>
      <c r="H4024" s="210">
        <f t="shared" si="274"/>
        <v>0</v>
      </c>
      <c r="L4024" s="200"/>
      <c r="M4024" s="200"/>
      <c r="N4024" s="200"/>
      <c r="O4024" s="200"/>
      <c r="P4024" s="200"/>
    </row>
    <row r="4025" spans="3:16" s="517" customFormat="1" ht="31.2" customHeight="1">
      <c r="C4025" s="754" t="s">
        <v>5299</v>
      </c>
      <c r="D4025" s="750" t="s">
        <v>7055</v>
      </c>
      <c r="E4025" s="203" t="s">
        <v>113</v>
      </c>
      <c r="F4025" s="760">
        <v>10</v>
      </c>
      <c r="G4025" s="205">
        <f>VLOOKUP(D4025,upahbahan,3,FALSE)</f>
        <v>0</v>
      </c>
      <c r="H4025" s="210">
        <f t="shared" si="274"/>
        <v>0</v>
      </c>
      <c r="L4025" s="200"/>
      <c r="M4025" s="200"/>
      <c r="N4025" s="200"/>
      <c r="O4025" s="200"/>
      <c r="P4025" s="200"/>
    </row>
    <row r="4026" spans="3:16" s="517" customFormat="1" ht="31.2" customHeight="1">
      <c r="C4026" s="543">
        <v>4</v>
      </c>
      <c r="D4026" s="750" t="s">
        <v>5556</v>
      </c>
      <c r="E4026" s="203"/>
      <c r="F4026" s="753"/>
      <c r="G4026" s="197"/>
      <c r="H4026" s="210">
        <f t="shared" si="274"/>
        <v>0</v>
      </c>
      <c r="L4026" s="200"/>
      <c r="M4026" s="200"/>
      <c r="N4026" s="200"/>
      <c r="O4026" s="200"/>
      <c r="P4026" s="200"/>
    </row>
    <row r="4027" spans="3:16" s="517" customFormat="1" ht="31.2" customHeight="1">
      <c r="C4027" s="754" t="s">
        <v>5293</v>
      </c>
      <c r="D4027" s="750" t="s">
        <v>2084</v>
      </c>
      <c r="E4027" s="203" t="s">
        <v>42</v>
      </c>
      <c r="F4027" s="753">
        <v>7.2999999999999995E-2</v>
      </c>
      <c r="G4027" s="205">
        <f>VLOOKUP(D4027,upahbahan,3,FALSE)</f>
        <v>0</v>
      </c>
      <c r="H4027" s="210">
        <f t="shared" si="274"/>
        <v>0</v>
      </c>
      <c r="L4027" s="200"/>
      <c r="M4027" s="200"/>
      <c r="N4027" s="200"/>
      <c r="O4027" s="200"/>
      <c r="P4027" s="200"/>
    </row>
    <row r="4028" spans="3:16" s="517" customFormat="1" ht="31.2" customHeight="1">
      <c r="C4028" s="754" t="s">
        <v>5299</v>
      </c>
      <c r="D4028" s="750" t="s">
        <v>5566</v>
      </c>
      <c r="E4028" s="203" t="s">
        <v>42</v>
      </c>
      <c r="F4028" s="753">
        <v>0.02</v>
      </c>
      <c r="G4028" s="205">
        <f>VLOOKUP(D4028,upahbahan,3,FALSE)</f>
        <v>0</v>
      </c>
      <c r="H4028" s="210">
        <f t="shared" si="274"/>
        <v>0</v>
      </c>
      <c r="L4028" s="200"/>
      <c r="M4028" s="200"/>
      <c r="N4028" s="200"/>
      <c r="O4028" s="200"/>
      <c r="P4028" s="200"/>
    </row>
    <row r="4029" spans="3:16" s="517" customFormat="1" ht="31.2" customHeight="1">
      <c r="C4029" s="754" t="s">
        <v>5558</v>
      </c>
      <c r="D4029" s="750" t="s">
        <v>2325</v>
      </c>
      <c r="E4029" s="203" t="s">
        <v>42</v>
      </c>
      <c r="F4029" s="762">
        <v>5.0000000000000001E-3</v>
      </c>
      <c r="G4029" s="205">
        <f>VLOOKUP(D4029,upahbahan,3,FALSE)</f>
        <v>0</v>
      </c>
      <c r="H4029" s="210">
        <f t="shared" si="274"/>
        <v>0</v>
      </c>
      <c r="L4029" s="200"/>
      <c r="M4029" s="200"/>
      <c r="N4029" s="200"/>
      <c r="O4029" s="200"/>
      <c r="P4029" s="200"/>
    </row>
    <row r="4030" spans="3:16" s="517" customFormat="1" ht="31.2" customHeight="1">
      <c r="C4030" s="207" t="s">
        <v>1214</v>
      </c>
      <c r="D4030" s="208"/>
      <c r="E4030" s="568"/>
      <c r="F4030" s="208"/>
      <c r="G4030" s="209"/>
      <c r="H4030" s="210">
        <f>SUM(H4021:H4029)</f>
        <v>0</v>
      </c>
      <c r="L4030" s="200"/>
      <c r="M4030" s="200"/>
      <c r="N4030" s="200"/>
      <c r="O4030" s="200"/>
      <c r="P4030" s="200"/>
    </row>
    <row r="4031" spans="3:16" s="517" customFormat="1" ht="31.2" customHeight="1">
      <c r="C4031" s="756" t="s">
        <v>1215</v>
      </c>
      <c r="D4031" s="196" t="s">
        <v>1216</v>
      </c>
      <c r="E4031" s="203"/>
      <c r="F4031" s="197"/>
      <c r="G4031" s="197"/>
      <c r="H4031" s="198"/>
      <c r="L4031" s="200"/>
      <c r="M4031" s="200"/>
      <c r="N4031" s="200"/>
      <c r="O4031" s="200"/>
      <c r="P4031" s="200"/>
    </row>
    <row r="4032" spans="3:16" s="517" customFormat="1" ht="31.2" customHeight="1">
      <c r="C4032" s="207" t="s">
        <v>1217</v>
      </c>
      <c r="D4032" s="208"/>
      <c r="E4032" s="208"/>
      <c r="F4032" s="208"/>
      <c r="G4032" s="209"/>
      <c r="H4032" s="240">
        <f>SUM(H4031:H4031)</f>
        <v>0</v>
      </c>
      <c r="L4032" s="200"/>
      <c r="M4032" s="200"/>
      <c r="N4032" s="200"/>
      <c r="O4032" s="200"/>
      <c r="P4032" s="200"/>
    </row>
    <row r="4033" spans="3:20" s="517" customFormat="1" ht="31.2" customHeight="1">
      <c r="C4033" s="223" t="s">
        <v>1218</v>
      </c>
      <c r="D4033" s="224" t="s">
        <v>1219</v>
      </c>
      <c r="E4033" s="225"/>
      <c r="F4033" s="225"/>
      <c r="G4033" s="226"/>
      <c r="H4033" s="210">
        <f>H4032+H4030+H4019</f>
        <v>25134.500000000004</v>
      </c>
      <c r="L4033" s="200"/>
      <c r="M4033" s="200"/>
      <c r="N4033" s="200"/>
      <c r="O4033" s="200"/>
      <c r="P4033" s="200"/>
    </row>
    <row r="4034" spans="3:20" s="517" customFormat="1" ht="31.2" customHeight="1">
      <c r="C4034" s="223" t="s">
        <v>1220</v>
      </c>
      <c r="D4034" s="224" t="s">
        <v>1321</v>
      </c>
      <c r="E4034" s="225"/>
      <c r="F4034" s="226"/>
      <c r="G4034" s="228">
        <v>0.1</v>
      </c>
      <c r="H4034" s="210">
        <f>H4033*G4034</f>
        <v>2513.4500000000007</v>
      </c>
      <c r="L4034" s="200"/>
      <c r="M4034" s="200"/>
      <c r="N4034" s="200"/>
      <c r="O4034" s="200"/>
      <c r="P4034" s="200"/>
    </row>
    <row r="4035" spans="3:20" s="517" customFormat="1" ht="31.2" customHeight="1" thickBot="1">
      <c r="C4035" s="229" t="s">
        <v>1221</v>
      </c>
      <c r="D4035" s="230" t="s">
        <v>1222</v>
      </c>
      <c r="E4035" s="231"/>
      <c r="F4035" s="231"/>
      <c r="G4035" s="232"/>
      <c r="H4035" s="233">
        <f>SUM(H4033:H4034)</f>
        <v>27647.950000000004</v>
      </c>
      <c r="L4035" s="200"/>
      <c r="M4035" s="200"/>
      <c r="N4035" s="200"/>
      <c r="O4035" s="200"/>
      <c r="P4035" s="200"/>
    </row>
    <row r="4036" spans="3:20" ht="31.2" customHeight="1" thickTop="1">
      <c r="D4036" s="758" t="s">
        <v>7210</v>
      </c>
    </row>
    <row r="4037" spans="3:20" ht="31.2" customHeight="1">
      <c r="C4037" s="757" t="s">
        <v>6950</v>
      </c>
      <c r="F4037" s="758"/>
      <c r="H4037" s="758" t="s">
        <v>6959</v>
      </c>
    </row>
    <row r="4038" spans="3:20" ht="31.2" customHeight="1">
      <c r="C4038" s="200" t="s">
        <v>6951</v>
      </c>
      <c r="F4038" s="758"/>
    </row>
    <row r="4039" spans="3:20" ht="31.2" customHeight="1">
      <c r="C4039" s="200" t="s">
        <v>6952</v>
      </c>
      <c r="F4039" s="758"/>
    </row>
    <row r="4040" spans="3:20" ht="31.2" customHeight="1">
      <c r="C4040" s="200"/>
      <c r="F4040" s="758"/>
    </row>
    <row r="4041" spans="3:20" ht="31.2" customHeight="1">
      <c r="C4041" s="199" t="s">
        <v>5584</v>
      </c>
      <c r="D4041" s="187" t="s">
        <v>7298</v>
      </c>
      <c r="F4041" s="758"/>
    </row>
    <row r="4042" spans="3:20" s="517" customFormat="1" ht="31.2" customHeight="1" thickBot="1">
      <c r="C4042" s="513" t="s">
        <v>7299</v>
      </c>
      <c r="D4042" s="748" t="s">
        <v>7300</v>
      </c>
      <c r="E4042" s="749"/>
      <c r="F4042" s="748"/>
      <c r="G4042" s="748"/>
      <c r="H4042" s="532"/>
      <c r="I4042" s="532"/>
      <c r="J4042" s="532"/>
      <c r="K4042" s="532"/>
      <c r="M4042" s="189"/>
      <c r="N4042" s="189"/>
      <c r="O4042" s="189"/>
      <c r="P4042" s="189"/>
      <c r="R4042" s="189">
        <f>ROUNDDOWN(H4066,-2)</f>
        <v>150800</v>
      </c>
      <c r="S4042" s="517" t="s">
        <v>6451</v>
      </c>
      <c r="T4042" s="517" t="s">
        <v>7014</v>
      </c>
    </row>
    <row r="4043" spans="3:20" s="517" customFormat="1" ht="31.2" customHeight="1" thickTop="1">
      <c r="C4043" s="190" t="s">
        <v>1195</v>
      </c>
      <c r="D4043" s="191" t="s">
        <v>1196</v>
      </c>
      <c r="E4043" s="191" t="s">
        <v>1197</v>
      </c>
      <c r="F4043" s="191" t="s">
        <v>1198</v>
      </c>
      <c r="G4043" s="191" t="s">
        <v>1199</v>
      </c>
      <c r="H4043" s="192" t="s">
        <v>1200</v>
      </c>
      <c r="L4043" s="200"/>
      <c r="M4043" s="200"/>
      <c r="N4043" s="200"/>
      <c r="O4043" s="200"/>
      <c r="P4043" s="200"/>
    </row>
    <row r="4044" spans="3:20" s="517" customFormat="1" ht="31.2" customHeight="1">
      <c r="C4044" s="518" t="s">
        <v>1201</v>
      </c>
      <c r="D4044" s="196" t="s">
        <v>1202</v>
      </c>
      <c r="E4044" s="197"/>
      <c r="F4044" s="197"/>
      <c r="G4044" s="197"/>
      <c r="H4044" s="198"/>
      <c r="L4044" s="200"/>
      <c r="M4044" s="200"/>
      <c r="N4044" s="200"/>
      <c r="O4044" s="200"/>
      <c r="P4044" s="200"/>
    </row>
    <row r="4045" spans="3:20" s="517" customFormat="1" ht="31.2" customHeight="1">
      <c r="C4045" s="518">
        <v>1</v>
      </c>
      <c r="D4045" s="196" t="s">
        <v>5</v>
      </c>
      <c r="E4045" s="203" t="s">
        <v>2102</v>
      </c>
      <c r="F4045" s="525">
        <v>0.04</v>
      </c>
      <c r="G4045" s="205">
        <f>VLOOKUP(D4045,upahbahan,3,FALSE)</f>
        <v>100000</v>
      </c>
      <c r="H4045" s="210">
        <f t="shared" ref="H4045:H4048" si="275">F4045*G4045</f>
        <v>4000</v>
      </c>
      <c r="L4045" s="200"/>
      <c r="M4045" s="200"/>
      <c r="N4045" s="200"/>
      <c r="O4045" s="200"/>
      <c r="P4045" s="200"/>
    </row>
    <row r="4046" spans="3:20" s="517" customFormat="1" ht="31.2" customHeight="1">
      <c r="C4046" s="537">
        <v>2</v>
      </c>
      <c r="D4046" s="196" t="s">
        <v>6954</v>
      </c>
      <c r="E4046" s="202" t="s">
        <v>6</v>
      </c>
      <c r="F4046" s="520">
        <v>0.04</v>
      </c>
      <c r="G4046" s="205">
        <f>VLOOKUP(D4046,upahbahan,3,FALSE)</f>
        <v>181250</v>
      </c>
      <c r="H4046" s="210">
        <f t="shared" si="275"/>
        <v>7250</v>
      </c>
      <c r="L4046" s="200"/>
      <c r="M4046" s="200"/>
      <c r="N4046" s="200"/>
      <c r="O4046" s="200"/>
      <c r="P4046" s="200"/>
    </row>
    <row r="4047" spans="3:20" s="517" customFormat="1" ht="31.2" customHeight="1">
      <c r="C4047" s="537">
        <v>3</v>
      </c>
      <c r="D4047" s="196" t="s">
        <v>6948</v>
      </c>
      <c r="E4047" s="202" t="s">
        <v>2102</v>
      </c>
      <c r="F4047" s="520">
        <v>0.02</v>
      </c>
      <c r="G4047" s="205">
        <f>VLOOKUP(D4047,upahbahan,3,FALSE)</f>
        <v>218750</v>
      </c>
      <c r="H4047" s="210">
        <f t="shared" si="275"/>
        <v>4375</v>
      </c>
      <c r="L4047" s="200"/>
      <c r="M4047" s="200"/>
      <c r="N4047" s="200"/>
      <c r="O4047" s="200"/>
      <c r="P4047" s="200"/>
    </row>
    <row r="4048" spans="3:20" s="517" customFormat="1" ht="31.2" customHeight="1">
      <c r="C4048" s="537">
        <v>4</v>
      </c>
      <c r="D4048" s="196" t="s">
        <v>19</v>
      </c>
      <c r="E4048" s="202" t="s">
        <v>6</v>
      </c>
      <c r="F4048" s="520">
        <v>6.7000000000000002E-3</v>
      </c>
      <c r="G4048" s="205">
        <f>VLOOKUP(D4048,upahbahan,3,FALSE)</f>
        <v>160000</v>
      </c>
      <c r="H4048" s="210">
        <f t="shared" si="275"/>
        <v>1072</v>
      </c>
      <c r="L4048" s="200"/>
      <c r="M4048" s="200"/>
      <c r="N4048" s="200"/>
      <c r="O4048" s="200"/>
      <c r="P4048" s="200"/>
    </row>
    <row r="4049" spans="3:16" s="517" customFormat="1" ht="31.2" customHeight="1">
      <c r="C4049" s="207" t="s">
        <v>1208</v>
      </c>
      <c r="D4049" s="208"/>
      <c r="E4049" s="208"/>
      <c r="F4049" s="521"/>
      <c r="G4049" s="522"/>
      <c r="H4049" s="210">
        <f>SUM(H4045:H4048)</f>
        <v>16697</v>
      </c>
      <c r="L4049" s="523"/>
      <c r="M4049" s="523"/>
      <c r="N4049" s="523"/>
      <c r="O4049" s="523"/>
      <c r="P4049" s="523"/>
    </row>
    <row r="4050" spans="3:16" s="517" customFormat="1" ht="31.2" customHeight="1">
      <c r="C4050" s="543" t="s">
        <v>1209</v>
      </c>
      <c r="D4050" s="750" t="s">
        <v>1210</v>
      </c>
      <c r="E4050" s="197"/>
      <c r="F4050" s="751"/>
      <c r="G4050" s="197"/>
      <c r="H4050" s="752"/>
      <c r="L4050" s="200"/>
      <c r="M4050" s="200"/>
      <c r="N4050" s="200"/>
      <c r="O4050" s="200"/>
      <c r="P4050" s="200"/>
    </row>
    <row r="4051" spans="3:16" s="517" customFormat="1" ht="31.2" customHeight="1">
      <c r="C4051" s="543">
        <v>1</v>
      </c>
      <c r="D4051" s="750" t="s">
        <v>7301</v>
      </c>
      <c r="E4051" s="203" t="s">
        <v>44</v>
      </c>
      <c r="F4051" s="753">
        <v>1.05</v>
      </c>
      <c r="G4051" s="205">
        <f>VLOOKUP(D4051,upahbahan,3,FALSE)</f>
        <v>0</v>
      </c>
      <c r="H4051" s="210">
        <f t="shared" ref="H4051:H4059" si="276">F4051*G4051</f>
        <v>0</v>
      </c>
      <c r="L4051" s="200"/>
      <c r="M4051" s="200"/>
      <c r="N4051" s="200"/>
      <c r="O4051" s="200"/>
      <c r="P4051" s="200"/>
    </row>
    <row r="4052" spans="3:16" s="517" customFormat="1" ht="31.2" customHeight="1">
      <c r="C4052" s="543">
        <v>2</v>
      </c>
      <c r="D4052" s="750" t="s">
        <v>5563</v>
      </c>
      <c r="E4052" s="203" t="s">
        <v>65</v>
      </c>
      <c r="F4052" s="753">
        <v>0.02</v>
      </c>
      <c r="G4052" s="205">
        <f>VLOOKUP(D4052,upahbahan,3,FALSE)</f>
        <v>0</v>
      </c>
      <c r="H4052" s="210">
        <f t="shared" si="276"/>
        <v>0</v>
      </c>
      <c r="L4052" s="200"/>
      <c r="M4052" s="200"/>
      <c r="N4052" s="200"/>
      <c r="O4052" s="200"/>
      <c r="P4052" s="200"/>
    </row>
    <row r="4053" spans="3:16" s="517" customFormat="1" ht="31.2" customHeight="1">
      <c r="C4053" s="543">
        <v>3</v>
      </c>
      <c r="D4053" s="750" t="s">
        <v>5555</v>
      </c>
      <c r="E4053" s="203"/>
      <c r="F4053" s="753"/>
      <c r="G4053" s="197"/>
      <c r="H4053" s="210">
        <f t="shared" si="276"/>
        <v>0</v>
      </c>
      <c r="L4053" s="200"/>
      <c r="M4053" s="200"/>
      <c r="N4053" s="200"/>
      <c r="O4053" s="200"/>
      <c r="P4053" s="200"/>
    </row>
    <row r="4054" spans="3:16" s="517" customFormat="1" ht="31.2" customHeight="1">
      <c r="C4054" s="754" t="s">
        <v>5293</v>
      </c>
      <c r="D4054" s="750" t="s">
        <v>7142</v>
      </c>
      <c r="E4054" s="203" t="s">
        <v>113</v>
      </c>
      <c r="F4054" s="760">
        <v>18</v>
      </c>
      <c r="G4054" s="205">
        <f>VLOOKUP(D4054,upahbahan,3,FALSE)</f>
        <v>0</v>
      </c>
      <c r="H4054" s="210">
        <f t="shared" si="276"/>
        <v>0</v>
      </c>
      <c r="L4054" s="200"/>
      <c r="M4054" s="200"/>
      <c r="N4054" s="200"/>
      <c r="O4054" s="200"/>
      <c r="P4054" s="200"/>
    </row>
    <row r="4055" spans="3:16" s="517" customFormat="1" ht="31.2" customHeight="1">
      <c r="C4055" s="754" t="s">
        <v>5299</v>
      </c>
      <c r="D4055" s="750" t="s">
        <v>7055</v>
      </c>
      <c r="E4055" s="203" t="s">
        <v>113</v>
      </c>
      <c r="F4055" s="760">
        <v>10</v>
      </c>
      <c r="G4055" s="205">
        <f>VLOOKUP(D4055,upahbahan,3,FALSE)</f>
        <v>0</v>
      </c>
      <c r="H4055" s="210">
        <f t="shared" si="276"/>
        <v>0</v>
      </c>
      <c r="L4055" s="200"/>
      <c r="M4055" s="200"/>
      <c r="N4055" s="200"/>
      <c r="O4055" s="200"/>
      <c r="P4055" s="200"/>
    </row>
    <row r="4056" spans="3:16" s="517" customFormat="1" ht="31.2" customHeight="1">
      <c r="C4056" s="543">
        <v>4</v>
      </c>
      <c r="D4056" s="750" t="s">
        <v>5556</v>
      </c>
      <c r="E4056" s="203"/>
      <c r="F4056" s="753"/>
      <c r="G4056" s="197"/>
      <c r="H4056" s="210">
        <f t="shared" si="276"/>
        <v>0</v>
      </c>
      <c r="L4056" s="200"/>
      <c r="M4056" s="200"/>
      <c r="N4056" s="200"/>
      <c r="O4056" s="200"/>
      <c r="P4056" s="200"/>
    </row>
    <row r="4057" spans="3:16" s="517" customFormat="1" ht="31.2" customHeight="1">
      <c r="C4057" s="754" t="s">
        <v>5293</v>
      </c>
      <c r="D4057" s="750" t="s">
        <v>2084</v>
      </c>
      <c r="E4057" s="203" t="s">
        <v>42</v>
      </c>
      <c r="F4057" s="753">
        <v>9.8000000000000004E-2</v>
      </c>
      <c r="G4057" s="205">
        <f>VLOOKUP(D4057,upahbahan,3,FALSE)</f>
        <v>0</v>
      </c>
      <c r="H4057" s="210">
        <f t="shared" si="276"/>
        <v>0</v>
      </c>
      <c r="L4057" s="200"/>
      <c r="M4057" s="200"/>
      <c r="N4057" s="200"/>
      <c r="O4057" s="200"/>
      <c r="P4057" s="200"/>
    </row>
    <row r="4058" spans="3:16" s="517" customFormat="1" ht="31.2" customHeight="1">
      <c r="C4058" s="754" t="s">
        <v>5299</v>
      </c>
      <c r="D4058" s="750" t="s">
        <v>5566</v>
      </c>
      <c r="E4058" s="203" t="s">
        <v>42</v>
      </c>
      <c r="F4058" s="753">
        <v>2.5999999999999999E-2</v>
      </c>
      <c r="G4058" s="205">
        <f>VLOOKUP(D4058,upahbahan,3,FALSE)</f>
        <v>0</v>
      </c>
      <c r="H4058" s="210">
        <f t="shared" si="276"/>
        <v>0</v>
      </c>
      <c r="L4058" s="200"/>
      <c r="M4058" s="200"/>
      <c r="N4058" s="200"/>
      <c r="O4058" s="200"/>
      <c r="P4058" s="200"/>
    </row>
    <row r="4059" spans="3:16" s="517" customFormat="1" ht="31.2" customHeight="1">
      <c r="C4059" s="754" t="s">
        <v>5558</v>
      </c>
      <c r="D4059" s="750" t="s">
        <v>2325</v>
      </c>
      <c r="E4059" s="203" t="s">
        <v>42</v>
      </c>
      <c r="F4059" s="762">
        <v>7.0000000000000001E-3</v>
      </c>
      <c r="G4059" s="205">
        <f>VLOOKUP(D4059,upahbahan,3,FALSE)</f>
        <v>0</v>
      </c>
      <c r="H4059" s="210">
        <f t="shared" si="276"/>
        <v>0</v>
      </c>
      <c r="L4059" s="200"/>
      <c r="M4059" s="200"/>
      <c r="N4059" s="200"/>
      <c r="O4059" s="200"/>
      <c r="P4059" s="200"/>
    </row>
    <row r="4060" spans="3:16" s="517" customFormat="1" ht="31.2" customHeight="1">
      <c r="C4060" s="207" t="s">
        <v>1214</v>
      </c>
      <c r="D4060" s="208"/>
      <c r="E4060" s="568"/>
      <c r="F4060" s="208"/>
      <c r="G4060" s="209"/>
      <c r="H4060" s="210">
        <f>SUM(H4051:H4059)</f>
        <v>0</v>
      </c>
      <c r="L4060" s="200"/>
      <c r="M4060" s="200"/>
      <c r="N4060" s="200"/>
      <c r="O4060" s="200"/>
      <c r="P4060" s="200"/>
    </row>
    <row r="4061" spans="3:16" s="517" customFormat="1" ht="31.2" customHeight="1">
      <c r="C4061" s="756" t="s">
        <v>1215</v>
      </c>
      <c r="D4061" s="196" t="s">
        <v>1216</v>
      </c>
      <c r="E4061" s="203"/>
      <c r="F4061" s="197"/>
      <c r="G4061" s="197"/>
      <c r="H4061" s="198"/>
      <c r="L4061" s="200"/>
      <c r="M4061" s="200"/>
      <c r="N4061" s="200"/>
      <c r="O4061" s="200"/>
      <c r="P4061" s="200"/>
    </row>
    <row r="4062" spans="3:16" s="517" customFormat="1" ht="31.2" customHeight="1">
      <c r="C4062" s="543">
        <v>1</v>
      </c>
      <c r="D4062" s="750" t="s">
        <v>7189</v>
      </c>
      <c r="E4062" s="203" t="s">
        <v>2396</v>
      </c>
      <c r="F4062" s="762">
        <v>0.28000000000000003</v>
      </c>
      <c r="G4062" s="205">
        <f>VLOOKUP(D4062,upahbahan,3,FALSE)</f>
        <v>430000</v>
      </c>
      <c r="H4062" s="210">
        <f t="shared" ref="H4062" si="277">F4062*G4062</f>
        <v>120400.00000000001</v>
      </c>
      <c r="L4062" s="200"/>
      <c r="M4062" s="200"/>
      <c r="N4062" s="200"/>
      <c r="O4062" s="200"/>
      <c r="P4062" s="200"/>
    </row>
    <row r="4063" spans="3:16" s="517" customFormat="1" ht="31.2" customHeight="1">
      <c r="C4063" s="207" t="s">
        <v>1217</v>
      </c>
      <c r="D4063" s="208"/>
      <c r="E4063" s="208"/>
      <c r="F4063" s="208"/>
      <c r="G4063" s="209"/>
      <c r="H4063" s="240">
        <f>SUM(H4062)</f>
        <v>120400.00000000001</v>
      </c>
      <c r="L4063" s="200"/>
      <c r="M4063" s="200"/>
      <c r="N4063" s="200"/>
      <c r="O4063" s="200"/>
      <c r="P4063" s="200"/>
    </row>
    <row r="4064" spans="3:16" s="517" customFormat="1" ht="31.2" customHeight="1">
      <c r="C4064" s="223" t="s">
        <v>1218</v>
      </c>
      <c r="D4064" s="224" t="s">
        <v>1219</v>
      </c>
      <c r="E4064" s="225"/>
      <c r="F4064" s="225"/>
      <c r="G4064" s="226"/>
      <c r="H4064" s="210">
        <f>H4063+H4060+H4049</f>
        <v>137097</v>
      </c>
      <c r="L4064" s="200"/>
      <c r="M4064" s="200"/>
      <c r="N4064" s="200"/>
      <c r="O4064" s="200"/>
      <c r="P4064" s="200"/>
    </row>
    <row r="4065" spans="3:20" s="517" customFormat="1" ht="31.2" customHeight="1">
      <c r="C4065" s="223" t="s">
        <v>1220</v>
      </c>
      <c r="D4065" s="224" t="s">
        <v>1321</v>
      </c>
      <c r="E4065" s="225"/>
      <c r="F4065" s="226"/>
      <c r="G4065" s="228">
        <v>0.1</v>
      </c>
      <c r="H4065" s="210">
        <f>H4064*G4065</f>
        <v>13709.7</v>
      </c>
      <c r="L4065" s="200"/>
      <c r="M4065" s="200"/>
      <c r="N4065" s="200"/>
      <c r="O4065" s="200"/>
      <c r="P4065" s="200"/>
    </row>
    <row r="4066" spans="3:20" s="517" customFormat="1" ht="31.2" customHeight="1" thickBot="1">
      <c r="C4066" s="229" t="s">
        <v>1221</v>
      </c>
      <c r="D4066" s="230" t="s">
        <v>1222</v>
      </c>
      <c r="E4066" s="231"/>
      <c r="F4066" s="231"/>
      <c r="G4066" s="232"/>
      <c r="H4066" s="233">
        <f>SUM(H4064:H4065)</f>
        <v>150806.70000000001</v>
      </c>
      <c r="L4066" s="200"/>
      <c r="M4066" s="200"/>
      <c r="N4066" s="200"/>
      <c r="O4066" s="200"/>
      <c r="P4066" s="200"/>
    </row>
    <row r="4067" spans="3:20" ht="31.2" customHeight="1" thickTop="1">
      <c r="D4067" s="758" t="s">
        <v>7210</v>
      </c>
    </row>
    <row r="4068" spans="3:20" ht="31.2" customHeight="1">
      <c r="C4068" s="757" t="s">
        <v>6950</v>
      </c>
      <c r="F4068" s="758"/>
      <c r="H4068" s="758" t="s">
        <v>6959</v>
      </c>
    </row>
    <row r="4069" spans="3:20" ht="31.2" customHeight="1">
      <c r="C4069" s="200" t="s">
        <v>6951</v>
      </c>
      <c r="F4069" s="758"/>
    </row>
    <row r="4070" spans="3:20" ht="31.2" customHeight="1">
      <c r="C4070" s="200" t="s">
        <v>6952</v>
      </c>
      <c r="F4070" s="758"/>
    </row>
    <row r="4071" spans="3:20" ht="31.2" customHeight="1">
      <c r="C4071" s="200"/>
      <c r="F4071" s="758"/>
    </row>
    <row r="4072" spans="3:20" s="517" customFormat="1" ht="31.2" customHeight="1" thickBot="1">
      <c r="C4072" s="513" t="s">
        <v>7302</v>
      </c>
      <c r="D4072" s="748" t="s">
        <v>7303</v>
      </c>
      <c r="E4072" s="749"/>
      <c r="F4072" s="748"/>
      <c r="G4072" s="748"/>
      <c r="H4072" s="532"/>
      <c r="I4072" s="532"/>
      <c r="J4072" s="532"/>
      <c r="K4072" s="532"/>
      <c r="M4072" s="189"/>
      <c r="N4072" s="189"/>
      <c r="O4072" s="189"/>
      <c r="P4072" s="189"/>
      <c r="R4072" s="189">
        <f>ROUNDDOWN(H4096,-2)</f>
        <v>150800</v>
      </c>
      <c r="S4072" s="517" t="s">
        <v>6451</v>
      </c>
      <c r="T4072" s="517" t="s">
        <v>7014</v>
      </c>
    </row>
    <row r="4073" spans="3:20" s="517" customFormat="1" ht="31.2" customHeight="1" thickTop="1">
      <c r="C4073" s="190" t="s">
        <v>1195</v>
      </c>
      <c r="D4073" s="191" t="s">
        <v>1196</v>
      </c>
      <c r="E4073" s="191" t="s">
        <v>1197</v>
      </c>
      <c r="F4073" s="191" t="s">
        <v>1198</v>
      </c>
      <c r="G4073" s="191" t="s">
        <v>1199</v>
      </c>
      <c r="H4073" s="192" t="s">
        <v>1200</v>
      </c>
      <c r="L4073" s="200"/>
      <c r="M4073" s="200"/>
      <c r="N4073" s="200"/>
      <c r="O4073" s="200"/>
      <c r="P4073" s="200"/>
    </row>
    <row r="4074" spans="3:20" s="517" customFormat="1" ht="31.2" customHeight="1">
      <c r="C4074" s="518" t="s">
        <v>1201</v>
      </c>
      <c r="D4074" s="196" t="s">
        <v>1202</v>
      </c>
      <c r="E4074" s="197"/>
      <c r="F4074" s="197"/>
      <c r="G4074" s="197"/>
      <c r="H4074" s="198"/>
      <c r="L4074" s="200"/>
      <c r="M4074" s="200"/>
      <c r="N4074" s="200"/>
      <c r="O4074" s="200"/>
      <c r="P4074" s="200"/>
    </row>
    <row r="4075" spans="3:20" s="517" customFormat="1" ht="31.2" customHeight="1">
      <c r="C4075" s="518">
        <v>1</v>
      </c>
      <c r="D4075" s="196" t="s">
        <v>5</v>
      </c>
      <c r="E4075" s="203" t="s">
        <v>2102</v>
      </c>
      <c r="F4075" s="525">
        <v>0.04</v>
      </c>
      <c r="G4075" s="205">
        <f>VLOOKUP(D4075,upahbahan,3,FALSE)</f>
        <v>100000</v>
      </c>
      <c r="H4075" s="210">
        <f t="shared" ref="H4075:H4078" si="278">F4075*G4075</f>
        <v>4000</v>
      </c>
      <c r="L4075" s="200"/>
      <c r="M4075" s="200"/>
      <c r="N4075" s="200"/>
      <c r="O4075" s="200"/>
      <c r="P4075" s="200"/>
    </row>
    <row r="4076" spans="3:20" s="517" customFormat="1" ht="31.2" customHeight="1">
      <c r="C4076" s="537">
        <v>2</v>
      </c>
      <c r="D4076" s="196" t="s">
        <v>6954</v>
      </c>
      <c r="E4076" s="202" t="s">
        <v>6</v>
      </c>
      <c r="F4076" s="520">
        <v>0.04</v>
      </c>
      <c r="G4076" s="205">
        <f>VLOOKUP(D4076,upahbahan,3,FALSE)</f>
        <v>181250</v>
      </c>
      <c r="H4076" s="210">
        <f t="shared" si="278"/>
        <v>7250</v>
      </c>
      <c r="L4076" s="200"/>
      <c r="M4076" s="200"/>
      <c r="N4076" s="200"/>
      <c r="O4076" s="200"/>
      <c r="P4076" s="200"/>
    </row>
    <row r="4077" spans="3:20" s="517" customFormat="1" ht="31.2" customHeight="1">
      <c r="C4077" s="537">
        <v>3</v>
      </c>
      <c r="D4077" s="196" t="s">
        <v>6948</v>
      </c>
      <c r="E4077" s="202" t="s">
        <v>2102</v>
      </c>
      <c r="F4077" s="520">
        <v>0.02</v>
      </c>
      <c r="G4077" s="205">
        <f>VLOOKUP(D4077,upahbahan,3,FALSE)</f>
        <v>218750</v>
      </c>
      <c r="H4077" s="210">
        <f t="shared" si="278"/>
        <v>4375</v>
      </c>
      <c r="L4077" s="200"/>
      <c r="M4077" s="200"/>
      <c r="N4077" s="200"/>
      <c r="O4077" s="200"/>
      <c r="P4077" s="200"/>
    </row>
    <row r="4078" spans="3:20" s="517" customFormat="1" ht="31.2" customHeight="1">
      <c r="C4078" s="537">
        <v>4</v>
      </c>
      <c r="D4078" s="196" t="s">
        <v>19</v>
      </c>
      <c r="E4078" s="202" t="s">
        <v>6</v>
      </c>
      <c r="F4078" s="520">
        <v>6.7000000000000002E-3</v>
      </c>
      <c r="G4078" s="205">
        <f>VLOOKUP(D4078,upahbahan,3,FALSE)</f>
        <v>160000</v>
      </c>
      <c r="H4078" s="210">
        <f t="shared" si="278"/>
        <v>1072</v>
      </c>
      <c r="L4078" s="200"/>
      <c r="M4078" s="200"/>
      <c r="N4078" s="200"/>
      <c r="O4078" s="200"/>
      <c r="P4078" s="200"/>
    </row>
    <row r="4079" spans="3:20" s="517" customFormat="1" ht="31.2" customHeight="1">
      <c r="C4079" s="207" t="s">
        <v>1208</v>
      </c>
      <c r="D4079" s="208"/>
      <c r="E4079" s="208"/>
      <c r="F4079" s="521"/>
      <c r="G4079" s="522"/>
      <c r="H4079" s="210">
        <f>SUM(H4075:H4078)</f>
        <v>16697</v>
      </c>
      <c r="L4079" s="523"/>
      <c r="M4079" s="523"/>
      <c r="N4079" s="523"/>
      <c r="O4079" s="523"/>
      <c r="P4079" s="523"/>
    </row>
    <row r="4080" spans="3:20" s="517" customFormat="1" ht="31.2" customHeight="1">
      <c r="C4080" s="543" t="s">
        <v>1209</v>
      </c>
      <c r="D4080" s="750" t="s">
        <v>1210</v>
      </c>
      <c r="E4080" s="197"/>
      <c r="F4080" s="751"/>
      <c r="G4080" s="197"/>
      <c r="H4080" s="752"/>
      <c r="L4080" s="200"/>
      <c r="M4080" s="200"/>
      <c r="N4080" s="200"/>
      <c r="O4080" s="200"/>
      <c r="P4080" s="200"/>
    </row>
    <row r="4081" spans="3:16" s="517" customFormat="1" ht="31.2" customHeight="1">
      <c r="C4081" s="543">
        <v>1</v>
      </c>
      <c r="D4081" s="750" t="s">
        <v>7304</v>
      </c>
      <c r="E4081" s="203" t="s">
        <v>44</v>
      </c>
      <c r="F4081" s="753">
        <v>1.05</v>
      </c>
      <c r="G4081" s="205">
        <f>VLOOKUP(D4081,upahbahan,3,FALSE)</f>
        <v>0</v>
      </c>
      <c r="H4081" s="210">
        <f t="shared" ref="H4081:H4089" si="279">F4081*G4081</f>
        <v>0</v>
      </c>
      <c r="L4081" s="200"/>
      <c r="M4081" s="200"/>
      <c r="N4081" s="200"/>
      <c r="O4081" s="200"/>
      <c r="P4081" s="200"/>
    </row>
    <row r="4082" spans="3:16" s="517" customFormat="1" ht="31.2" customHeight="1">
      <c r="C4082" s="543">
        <v>2</v>
      </c>
      <c r="D4082" s="750" t="s">
        <v>5563</v>
      </c>
      <c r="E4082" s="203" t="s">
        <v>65</v>
      </c>
      <c r="F4082" s="753">
        <v>0.02</v>
      </c>
      <c r="G4082" s="205">
        <f>VLOOKUP(D4082,upahbahan,3,FALSE)</f>
        <v>0</v>
      </c>
      <c r="H4082" s="210">
        <f t="shared" si="279"/>
        <v>0</v>
      </c>
      <c r="L4082" s="200"/>
      <c r="M4082" s="200"/>
      <c r="N4082" s="200"/>
      <c r="O4082" s="200"/>
      <c r="P4082" s="200"/>
    </row>
    <row r="4083" spans="3:16" s="517" customFormat="1" ht="31.2" customHeight="1">
      <c r="C4083" s="543">
        <v>3</v>
      </c>
      <c r="D4083" s="750" t="s">
        <v>5555</v>
      </c>
      <c r="E4083" s="203"/>
      <c r="F4083" s="753"/>
      <c r="G4083" s="197"/>
      <c r="H4083" s="210">
        <f t="shared" si="279"/>
        <v>0</v>
      </c>
      <c r="L4083" s="200"/>
      <c r="M4083" s="200"/>
      <c r="N4083" s="200"/>
      <c r="O4083" s="200"/>
      <c r="P4083" s="200"/>
    </row>
    <row r="4084" spans="3:16" s="517" customFormat="1" ht="31.2" customHeight="1">
      <c r="C4084" s="754" t="s">
        <v>5293</v>
      </c>
      <c r="D4084" s="750" t="s">
        <v>7142</v>
      </c>
      <c r="E4084" s="203" t="s">
        <v>113</v>
      </c>
      <c r="F4084" s="760">
        <v>18</v>
      </c>
      <c r="G4084" s="205">
        <f>VLOOKUP(D4084,upahbahan,3,FALSE)</f>
        <v>0</v>
      </c>
      <c r="H4084" s="210">
        <f t="shared" si="279"/>
        <v>0</v>
      </c>
      <c r="L4084" s="200"/>
      <c r="M4084" s="200"/>
      <c r="N4084" s="200"/>
      <c r="O4084" s="200"/>
      <c r="P4084" s="200"/>
    </row>
    <row r="4085" spans="3:16" s="517" customFormat="1" ht="31.2" customHeight="1">
      <c r="C4085" s="754" t="s">
        <v>5299</v>
      </c>
      <c r="D4085" s="750" t="s">
        <v>7055</v>
      </c>
      <c r="E4085" s="203" t="s">
        <v>113</v>
      </c>
      <c r="F4085" s="760">
        <v>10</v>
      </c>
      <c r="G4085" s="205">
        <f>VLOOKUP(D4085,upahbahan,3,FALSE)</f>
        <v>0</v>
      </c>
      <c r="H4085" s="210">
        <f t="shared" si="279"/>
        <v>0</v>
      </c>
      <c r="L4085" s="200"/>
      <c r="M4085" s="200"/>
      <c r="N4085" s="200"/>
      <c r="O4085" s="200"/>
      <c r="P4085" s="200"/>
    </row>
    <row r="4086" spans="3:16" s="517" customFormat="1" ht="31.2" customHeight="1">
      <c r="C4086" s="543">
        <v>4</v>
      </c>
      <c r="D4086" s="750" t="s">
        <v>5556</v>
      </c>
      <c r="E4086" s="203"/>
      <c r="F4086" s="753"/>
      <c r="G4086" s="197"/>
      <c r="H4086" s="210">
        <f t="shared" si="279"/>
        <v>0</v>
      </c>
      <c r="L4086" s="200"/>
      <c r="M4086" s="200"/>
      <c r="N4086" s="200"/>
      <c r="O4086" s="200"/>
      <c r="P4086" s="200"/>
    </row>
    <row r="4087" spans="3:16" s="517" customFormat="1" ht="31.2" customHeight="1">
      <c r="C4087" s="754" t="s">
        <v>5293</v>
      </c>
      <c r="D4087" s="750" t="s">
        <v>2084</v>
      </c>
      <c r="E4087" s="203" t="s">
        <v>42</v>
      </c>
      <c r="F4087" s="753">
        <v>9.8000000000000004E-2</v>
      </c>
      <c r="G4087" s="205">
        <f>VLOOKUP(D4087,upahbahan,3,FALSE)</f>
        <v>0</v>
      </c>
      <c r="H4087" s="210">
        <f t="shared" si="279"/>
        <v>0</v>
      </c>
      <c r="L4087" s="200"/>
      <c r="M4087" s="200"/>
      <c r="N4087" s="200"/>
      <c r="O4087" s="200"/>
      <c r="P4087" s="200"/>
    </row>
    <row r="4088" spans="3:16" s="517" customFormat="1" ht="31.2" customHeight="1">
      <c r="C4088" s="754" t="s">
        <v>5299</v>
      </c>
      <c r="D4088" s="750" t="s">
        <v>5566</v>
      </c>
      <c r="E4088" s="203" t="s">
        <v>42</v>
      </c>
      <c r="F4088" s="753">
        <v>2.5999999999999999E-2</v>
      </c>
      <c r="G4088" s="205">
        <f>VLOOKUP(D4088,upahbahan,3,FALSE)</f>
        <v>0</v>
      </c>
      <c r="H4088" s="210">
        <f t="shared" si="279"/>
        <v>0</v>
      </c>
      <c r="L4088" s="200"/>
      <c r="M4088" s="200"/>
      <c r="N4088" s="200"/>
      <c r="O4088" s="200"/>
      <c r="P4088" s="200"/>
    </row>
    <row r="4089" spans="3:16" s="517" customFormat="1" ht="31.2" customHeight="1">
      <c r="C4089" s="754" t="s">
        <v>5558</v>
      </c>
      <c r="D4089" s="750" t="s">
        <v>2325</v>
      </c>
      <c r="E4089" s="203" t="s">
        <v>42</v>
      </c>
      <c r="F4089" s="762">
        <v>7.0000000000000001E-3</v>
      </c>
      <c r="G4089" s="205">
        <f>VLOOKUP(D4089,upahbahan,3,FALSE)</f>
        <v>0</v>
      </c>
      <c r="H4089" s="210">
        <f t="shared" si="279"/>
        <v>0</v>
      </c>
      <c r="L4089" s="200"/>
      <c r="M4089" s="200"/>
      <c r="N4089" s="200"/>
      <c r="O4089" s="200"/>
      <c r="P4089" s="200"/>
    </row>
    <row r="4090" spans="3:16" s="517" customFormat="1" ht="31.2" customHeight="1">
      <c r="C4090" s="207" t="s">
        <v>1214</v>
      </c>
      <c r="D4090" s="208"/>
      <c r="E4090" s="568"/>
      <c r="F4090" s="208"/>
      <c r="G4090" s="209"/>
      <c r="H4090" s="210">
        <f>SUM(H4081:H4089)</f>
        <v>0</v>
      </c>
      <c r="L4090" s="200"/>
      <c r="M4090" s="200"/>
      <c r="N4090" s="200"/>
      <c r="O4090" s="200"/>
      <c r="P4090" s="200"/>
    </row>
    <row r="4091" spans="3:16" s="517" customFormat="1" ht="31.2" customHeight="1">
      <c r="C4091" s="756" t="s">
        <v>1215</v>
      </c>
      <c r="D4091" s="196" t="s">
        <v>1216</v>
      </c>
      <c r="E4091" s="203"/>
      <c r="F4091" s="197"/>
      <c r="G4091" s="197"/>
      <c r="H4091" s="198"/>
      <c r="L4091" s="200"/>
      <c r="M4091" s="200"/>
      <c r="N4091" s="200"/>
      <c r="O4091" s="200"/>
      <c r="P4091" s="200"/>
    </row>
    <row r="4092" spans="3:16" s="517" customFormat="1" ht="31.2" customHeight="1">
      <c r="C4092" s="543">
        <v>1</v>
      </c>
      <c r="D4092" s="750" t="s">
        <v>7189</v>
      </c>
      <c r="E4092" s="203" t="s">
        <v>2396</v>
      </c>
      <c r="F4092" s="762">
        <v>0.28000000000000003</v>
      </c>
      <c r="G4092" s="205">
        <f>VLOOKUP(D4092,upahbahan,3,FALSE)</f>
        <v>430000</v>
      </c>
      <c r="H4092" s="210">
        <f t="shared" ref="H4092" si="280">F4092*G4092</f>
        <v>120400.00000000001</v>
      </c>
      <c r="L4092" s="200"/>
      <c r="M4092" s="200"/>
      <c r="N4092" s="200"/>
      <c r="O4092" s="200"/>
      <c r="P4092" s="200"/>
    </row>
    <row r="4093" spans="3:16" s="517" customFormat="1" ht="31.2" customHeight="1">
      <c r="C4093" s="207" t="s">
        <v>1217</v>
      </c>
      <c r="D4093" s="208"/>
      <c r="E4093" s="208"/>
      <c r="F4093" s="208"/>
      <c r="G4093" s="209"/>
      <c r="H4093" s="240">
        <f>SUM(H4092)</f>
        <v>120400.00000000001</v>
      </c>
      <c r="L4093" s="200"/>
      <c r="M4093" s="200"/>
      <c r="N4093" s="200"/>
      <c r="O4093" s="200"/>
      <c r="P4093" s="200"/>
    </row>
    <row r="4094" spans="3:16" s="517" customFormat="1" ht="31.2" customHeight="1">
      <c r="C4094" s="223" t="s">
        <v>1218</v>
      </c>
      <c r="D4094" s="224" t="s">
        <v>1219</v>
      </c>
      <c r="E4094" s="225"/>
      <c r="F4094" s="225"/>
      <c r="G4094" s="226"/>
      <c r="H4094" s="210">
        <f>H4093+H4090+H4079</f>
        <v>137097</v>
      </c>
      <c r="L4094" s="200"/>
      <c r="M4094" s="200"/>
      <c r="N4094" s="200"/>
      <c r="O4094" s="200"/>
      <c r="P4094" s="200"/>
    </row>
    <row r="4095" spans="3:16" s="517" customFormat="1" ht="31.2" customHeight="1">
      <c r="C4095" s="223" t="s">
        <v>1220</v>
      </c>
      <c r="D4095" s="224" t="s">
        <v>1321</v>
      </c>
      <c r="E4095" s="225"/>
      <c r="F4095" s="226"/>
      <c r="G4095" s="228">
        <v>0.1</v>
      </c>
      <c r="H4095" s="210">
        <f>H4094*G4095</f>
        <v>13709.7</v>
      </c>
      <c r="L4095" s="200"/>
      <c r="M4095" s="200"/>
      <c r="N4095" s="200"/>
      <c r="O4095" s="200"/>
      <c r="P4095" s="200"/>
    </row>
    <row r="4096" spans="3:16" s="517" customFormat="1" ht="31.2" customHeight="1" thickBot="1">
      <c r="C4096" s="229" t="s">
        <v>1221</v>
      </c>
      <c r="D4096" s="230" t="s">
        <v>1222</v>
      </c>
      <c r="E4096" s="231"/>
      <c r="F4096" s="231"/>
      <c r="G4096" s="232"/>
      <c r="H4096" s="233">
        <f>SUM(H4094:H4095)</f>
        <v>150806.70000000001</v>
      </c>
      <c r="L4096" s="200"/>
      <c r="M4096" s="200"/>
      <c r="N4096" s="200"/>
      <c r="O4096" s="200"/>
      <c r="P4096" s="200"/>
    </row>
    <row r="4097" spans="3:20" ht="31.2" customHeight="1" thickTop="1">
      <c r="D4097" s="758" t="s">
        <v>7210</v>
      </c>
    </row>
    <row r="4098" spans="3:20" ht="31.2" customHeight="1">
      <c r="C4098" s="757" t="s">
        <v>6950</v>
      </c>
      <c r="F4098" s="758"/>
      <c r="H4098" s="758" t="s">
        <v>6959</v>
      </c>
    </row>
    <row r="4099" spans="3:20" ht="31.2" customHeight="1">
      <c r="C4099" s="200" t="s">
        <v>6951</v>
      </c>
      <c r="F4099" s="758"/>
    </row>
    <row r="4100" spans="3:20" ht="31.2" customHeight="1">
      <c r="C4100" s="200" t="s">
        <v>6952</v>
      </c>
      <c r="F4100" s="758"/>
    </row>
    <row r="4101" spans="3:20" ht="31.2" customHeight="1">
      <c r="C4101" s="200"/>
      <c r="F4101" s="758"/>
    </row>
    <row r="4102" spans="3:20" s="517" customFormat="1" ht="31.2" customHeight="1" thickBot="1">
      <c r="C4102" s="513" t="s">
        <v>7305</v>
      </c>
      <c r="D4102" s="748" t="s">
        <v>7306</v>
      </c>
      <c r="E4102" s="749"/>
      <c r="F4102" s="748"/>
      <c r="G4102" s="748"/>
      <c r="H4102" s="532"/>
      <c r="I4102" s="532"/>
      <c r="J4102" s="532"/>
      <c r="K4102" s="532"/>
      <c r="M4102" s="189"/>
      <c r="N4102" s="189"/>
      <c r="O4102" s="189"/>
      <c r="P4102" s="189"/>
      <c r="R4102" s="189">
        <f>ROUNDDOWN(H4126,-2)</f>
        <v>150800</v>
      </c>
      <c r="S4102" s="517" t="s">
        <v>6451</v>
      </c>
      <c r="T4102" s="517" t="s">
        <v>7014</v>
      </c>
    </row>
    <row r="4103" spans="3:20" s="517" customFormat="1" ht="31.2" customHeight="1" thickTop="1">
      <c r="C4103" s="190" t="s">
        <v>1195</v>
      </c>
      <c r="D4103" s="191" t="s">
        <v>1196</v>
      </c>
      <c r="E4103" s="191" t="s">
        <v>1197</v>
      </c>
      <c r="F4103" s="191" t="s">
        <v>1198</v>
      </c>
      <c r="G4103" s="191" t="s">
        <v>1199</v>
      </c>
      <c r="H4103" s="192" t="s">
        <v>1200</v>
      </c>
      <c r="L4103" s="200"/>
      <c r="M4103" s="200"/>
      <c r="N4103" s="200"/>
      <c r="O4103" s="200"/>
      <c r="P4103" s="200"/>
    </row>
    <row r="4104" spans="3:20" s="517" customFormat="1" ht="31.2" customHeight="1">
      <c r="C4104" s="518" t="s">
        <v>1201</v>
      </c>
      <c r="D4104" s="196" t="s">
        <v>1202</v>
      </c>
      <c r="E4104" s="197"/>
      <c r="F4104" s="197"/>
      <c r="G4104" s="197"/>
      <c r="H4104" s="198"/>
      <c r="L4104" s="200"/>
      <c r="M4104" s="200"/>
      <c r="N4104" s="200"/>
      <c r="O4104" s="200"/>
      <c r="P4104" s="200"/>
    </row>
    <row r="4105" spans="3:20" s="517" customFormat="1" ht="31.2" customHeight="1">
      <c r="C4105" s="518">
        <v>1</v>
      </c>
      <c r="D4105" s="196" t="s">
        <v>5</v>
      </c>
      <c r="E4105" s="203" t="s">
        <v>2102</v>
      </c>
      <c r="F4105" s="525">
        <v>0.04</v>
      </c>
      <c r="G4105" s="205">
        <f>VLOOKUP(D4105,upahbahan,3,FALSE)</f>
        <v>100000</v>
      </c>
      <c r="H4105" s="210">
        <f t="shared" ref="H4105:H4108" si="281">F4105*G4105</f>
        <v>4000</v>
      </c>
      <c r="L4105" s="200"/>
      <c r="M4105" s="200"/>
      <c r="N4105" s="200"/>
      <c r="O4105" s="200"/>
      <c r="P4105" s="200"/>
    </row>
    <row r="4106" spans="3:20" s="517" customFormat="1" ht="31.2" customHeight="1">
      <c r="C4106" s="537">
        <v>2</v>
      </c>
      <c r="D4106" s="196" t="s">
        <v>6954</v>
      </c>
      <c r="E4106" s="202" t="s">
        <v>6</v>
      </c>
      <c r="F4106" s="520">
        <v>0.04</v>
      </c>
      <c r="G4106" s="205">
        <f>VLOOKUP(D4106,upahbahan,3,FALSE)</f>
        <v>181250</v>
      </c>
      <c r="H4106" s="210">
        <f t="shared" si="281"/>
        <v>7250</v>
      </c>
      <c r="L4106" s="200"/>
      <c r="M4106" s="200"/>
      <c r="N4106" s="200"/>
      <c r="O4106" s="200"/>
      <c r="P4106" s="200"/>
    </row>
    <row r="4107" spans="3:20" s="517" customFormat="1" ht="31.2" customHeight="1">
      <c r="C4107" s="537">
        <v>3</v>
      </c>
      <c r="D4107" s="196" t="s">
        <v>6948</v>
      </c>
      <c r="E4107" s="202" t="s">
        <v>2102</v>
      </c>
      <c r="F4107" s="520">
        <v>0.02</v>
      </c>
      <c r="G4107" s="205">
        <f>VLOOKUP(D4107,upahbahan,3,FALSE)</f>
        <v>218750</v>
      </c>
      <c r="H4107" s="210">
        <f t="shared" si="281"/>
        <v>4375</v>
      </c>
      <c r="L4107" s="200"/>
      <c r="M4107" s="200"/>
      <c r="N4107" s="200"/>
      <c r="O4107" s="200"/>
      <c r="P4107" s="200"/>
    </row>
    <row r="4108" spans="3:20" s="517" customFormat="1" ht="31.2" customHeight="1">
      <c r="C4108" s="537">
        <v>4</v>
      </c>
      <c r="D4108" s="196" t="s">
        <v>19</v>
      </c>
      <c r="E4108" s="202" t="s">
        <v>6</v>
      </c>
      <c r="F4108" s="520">
        <v>6.7000000000000002E-3</v>
      </c>
      <c r="G4108" s="205">
        <f>VLOOKUP(D4108,upahbahan,3,FALSE)</f>
        <v>160000</v>
      </c>
      <c r="H4108" s="210">
        <f t="shared" si="281"/>
        <v>1072</v>
      </c>
      <c r="L4108" s="200"/>
      <c r="M4108" s="200"/>
      <c r="N4108" s="200"/>
      <c r="O4108" s="200"/>
      <c r="P4108" s="200"/>
    </row>
    <row r="4109" spans="3:20" s="517" customFormat="1" ht="31.2" customHeight="1">
      <c r="C4109" s="207" t="s">
        <v>1208</v>
      </c>
      <c r="D4109" s="208"/>
      <c r="E4109" s="208"/>
      <c r="F4109" s="521"/>
      <c r="G4109" s="522"/>
      <c r="H4109" s="210">
        <f>SUM(H4105:H4108)</f>
        <v>16697</v>
      </c>
      <c r="L4109" s="523"/>
      <c r="M4109" s="523"/>
      <c r="N4109" s="523"/>
      <c r="O4109" s="523"/>
      <c r="P4109" s="523"/>
    </row>
    <row r="4110" spans="3:20" s="517" customFormat="1" ht="31.2" customHeight="1">
      <c r="C4110" s="543" t="s">
        <v>1209</v>
      </c>
      <c r="D4110" s="750" t="s">
        <v>1210</v>
      </c>
      <c r="E4110" s="197"/>
      <c r="F4110" s="751"/>
      <c r="G4110" s="197"/>
      <c r="H4110" s="752"/>
      <c r="L4110" s="200"/>
      <c r="M4110" s="200"/>
      <c r="N4110" s="200"/>
      <c r="O4110" s="200"/>
      <c r="P4110" s="200"/>
    </row>
    <row r="4111" spans="3:20" s="517" customFormat="1" ht="31.2" customHeight="1">
      <c r="C4111" s="543">
        <v>1</v>
      </c>
      <c r="D4111" s="750" t="s">
        <v>7307</v>
      </c>
      <c r="E4111" s="203" t="s">
        <v>44</v>
      </c>
      <c r="F4111" s="753">
        <v>1.05</v>
      </c>
      <c r="G4111" s="205">
        <f>VLOOKUP(D4111,upahbahan,3,FALSE)</f>
        <v>0</v>
      </c>
      <c r="H4111" s="210">
        <f t="shared" ref="H4111:H4119" si="282">F4111*G4111</f>
        <v>0</v>
      </c>
      <c r="L4111" s="200"/>
      <c r="M4111" s="200"/>
      <c r="N4111" s="200"/>
      <c r="O4111" s="200"/>
      <c r="P4111" s="200"/>
    </row>
    <row r="4112" spans="3:20" s="517" customFormat="1" ht="31.2" customHeight="1">
      <c r="C4112" s="543">
        <v>2</v>
      </c>
      <c r="D4112" s="750" t="s">
        <v>5563</v>
      </c>
      <c r="E4112" s="203" t="s">
        <v>65</v>
      </c>
      <c r="F4112" s="753">
        <v>0.02</v>
      </c>
      <c r="G4112" s="205">
        <f>VLOOKUP(D4112,upahbahan,3,FALSE)</f>
        <v>0</v>
      </c>
      <c r="H4112" s="210">
        <f t="shared" si="282"/>
        <v>0</v>
      </c>
      <c r="L4112" s="200"/>
      <c r="M4112" s="200"/>
      <c r="N4112" s="200"/>
      <c r="O4112" s="200"/>
      <c r="P4112" s="200"/>
    </row>
    <row r="4113" spans="3:16" s="517" customFormat="1" ht="31.2" customHeight="1">
      <c r="C4113" s="543">
        <v>3</v>
      </c>
      <c r="D4113" s="750" t="s">
        <v>5555</v>
      </c>
      <c r="E4113" s="203"/>
      <c r="F4113" s="753"/>
      <c r="G4113" s="197"/>
      <c r="H4113" s="210">
        <f t="shared" si="282"/>
        <v>0</v>
      </c>
      <c r="L4113" s="200"/>
      <c r="M4113" s="200"/>
      <c r="N4113" s="200"/>
      <c r="O4113" s="200"/>
      <c r="P4113" s="200"/>
    </row>
    <row r="4114" spans="3:16" s="517" customFormat="1" ht="31.2" customHeight="1">
      <c r="C4114" s="754" t="s">
        <v>5293</v>
      </c>
      <c r="D4114" s="750" t="s">
        <v>7142</v>
      </c>
      <c r="E4114" s="203" t="s">
        <v>113</v>
      </c>
      <c r="F4114" s="760">
        <v>18</v>
      </c>
      <c r="G4114" s="205">
        <f>VLOOKUP(D4114,upahbahan,3,FALSE)</f>
        <v>0</v>
      </c>
      <c r="H4114" s="210">
        <f t="shared" si="282"/>
        <v>0</v>
      </c>
      <c r="L4114" s="200"/>
      <c r="M4114" s="200"/>
      <c r="N4114" s="200"/>
      <c r="O4114" s="200"/>
      <c r="P4114" s="200"/>
    </row>
    <row r="4115" spans="3:16" s="517" customFormat="1" ht="31.2" customHeight="1">
      <c r="C4115" s="754" t="s">
        <v>5299</v>
      </c>
      <c r="D4115" s="750" t="s">
        <v>7055</v>
      </c>
      <c r="E4115" s="203" t="s">
        <v>113</v>
      </c>
      <c r="F4115" s="760">
        <v>10</v>
      </c>
      <c r="G4115" s="205">
        <f>VLOOKUP(D4115,upahbahan,3,FALSE)</f>
        <v>0</v>
      </c>
      <c r="H4115" s="210">
        <f t="shared" si="282"/>
        <v>0</v>
      </c>
      <c r="L4115" s="200"/>
      <c r="M4115" s="200"/>
      <c r="N4115" s="200"/>
      <c r="O4115" s="200"/>
      <c r="P4115" s="200"/>
    </row>
    <row r="4116" spans="3:16" s="517" customFormat="1" ht="31.2" customHeight="1">
      <c r="C4116" s="543">
        <v>4</v>
      </c>
      <c r="D4116" s="750" t="s">
        <v>5556</v>
      </c>
      <c r="E4116" s="203"/>
      <c r="F4116" s="753"/>
      <c r="G4116" s="197"/>
      <c r="H4116" s="210">
        <f t="shared" si="282"/>
        <v>0</v>
      </c>
      <c r="L4116" s="200"/>
      <c r="M4116" s="200"/>
      <c r="N4116" s="200"/>
      <c r="O4116" s="200"/>
      <c r="P4116" s="200"/>
    </row>
    <row r="4117" spans="3:16" s="517" customFormat="1" ht="31.2" customHeight="1">
      <c r="C4117" s="754" t="s">
        <v>5293</v>
      </c>
      <c r="D4117" s="750" t="s">
        <v>2084</v>
      </c>
      <c r="E4117" s="203" t="s">
        <v>42</v>
      </c>
      <c r="F4117" s="753">
        <v>9.8000000000000004E-2</v>
      </c>
      <c r="G4117" s="205">
        <f>VLOOKUP(D4117,upahbahan,3,FALSE)</f>
        <v>0</v>
      </c>
      <c r="H4117" s="210">
        <f t="shared" si="282"/>
        <v>0</v>
      </c>
      <c r="L4117" s="200"/>
      <c r="M4117" s="200"/>
      <c r="N4117" s="200"/>
      <c r="O4117" s="200"/>
      <c r="P4117" s="200"/>
    </row>
    <row r="4118" spans="3:16" s="517" customFormat="1" ht="31.2" customHeight="1">
      <c r="C4118" s="754" t="s">
        <v>5299</v>
      </c>
      <c r="D4118" s="750" t="s">
        <v>5566</v>
      </c>
      <c r="E4118" s="203" t="s">
        <v>42</v>
      </c>
      <c r="F4118" s="753">
        <v>2.5999999999999999E-2</v>
      </c>
      <c r="G4118" s="205">
        <f>VLOOKUP(D4118,upahbahan,3,FALSE)</f>
        <v>0</v>
      </c>
      <c r="H4118" s="210">
        <f t="shared" si="282"/>
        <v>0</v>
      </c>
      <c r="L4118" s="200"/>
      <c r="M4118" s="200"/>
      <c r="N4118" s="200"/>
      <c r="O4118" s="200"/>
      <c r="P4118" s="200"/>
    </row>
    <row r="4119" spans="3:16" s="517" customFormat="1" ht="31.2" customHeight="1">
      <c r="C4119" s="754" t="s">
        <v>5558</v>
      </c>
      <c r="D4119" s="750" t="s">
        <v>2325</v>
      </c>
      <c r="E4119" s="203" t="s">
        <v>42</v>
      </c>
      <c r="F4119" s="762">
        <v>7.0000000000000001E-3</v>
      </c>
      <c r="G4119" s="205">
        <f>VLOOKUP(D4119,upahbahan,3,FALSE)</f>
        <v>0</v>
      </c>
      <c r="H4119" s="210">
        <f t="shared" si="282"/>
        <v>0</v>
      </c>
      <c r="L4119" s="200"/>
      <c r="M4119" s="200"/>
      <c r="N4119" s="200"/>
      <c r="O4119" s="200"/>
      <c r="P4119" s="200"/>
    </row>
    <row r="4120" spans="3:16" s="517" customFormat="1" ht="31.2" customHeight="1">
      <c r="C4120" s="207" t="s">
        <v>1214</v>
      </c>
      <c r="D4120" s="208"/>
      <c r="E4120" s="568"/>
      <c r="F4120" s="208"/>
      <c r="G4120" s="209"/>
      <c r="H4120" s="210">
        <f>SUM(H4111:H4119)</f>
        <v>0</v>
      </c>
      <c r="L4120" s="200"/>
      <c r="M4120" s="200"/>
      <c r="N4120" s="200"/>
      <c r="O4120" s="200"/>
      <c r="P4120" s="200"/>
    </row>
    <row r="4121" spans="3:16" s="517" customFormat="1" ht="31.2" customHeight="1">
      <c r="C4121" s="756" t="s">
        <v>1215</v>
      </c>
      <c r="D4121" s="196" t="s">
        <v>1216</v>
      </c>
      <c r="E4121" s="203"/>
      <c r="F4121" s="197"/>
      <c r="G4121" s="197"/>
      <c r="H4121" s="198"/>
      <c r="L4121" s="200"/>
      <c r="M4121" s="200"/>
      <c r="N4121" s="200"/>
      <c r="O4121" s="200"/>
      <c r="P4121" s="200"/>
    </row>
    <row r="4122" spans="3:16" s="517" customFormat="1" ht="31.2" customHeight="1">
      <c r="C4122" s="543">
        <v>1</v>
      </c>
      <c r="D4122" s="750" t="s">
        <v>7189</v>
      </c>
      <c r="E4122" s="203" t="s">
        <v>2396</v>
      </c>
      <c r="F4122" s="762">
        <v>0.28000000000000003</v>
      </c>
      <c r="G4122" s="205">
        <f>VLOOKUP(D4122,upahbahan,3,FALSE)</f>
        <v>430000</v>
      </c>
      <c r="H4122" s="210">
        <f t="shared" ref="H4122" si="283">F4122*G4122</f>
        <v>120400.00000000001</v>
      </c>
      <c r="L4122" s="200"/>
      <c r="M4122" s="200"/>
      <c r="N4122" s="200"/>
      <c r="O4122" s="200"/>
      <c r="P4122" s="200"/>
    </row>
    <row r="4123" spans="3:16" s="517" customFormat="1" ht="31.2" customHeight="1">
      <c r="C4123" s="207" t="s">
        <v>1217</v>
      </c>
      <c r="D4123" s="208"/>
      <c r="E4123" s="208"/>
      <c r="F4123" s="208"/>
      <c r="G4123" s="209"/>
      <c r="H4123" s="240">
        <f>SUM(H4122)</f>
        <v>120400.00000000001</v>
      </c>
      <c r="L4123" s="200"/>
      <c r="M4123" s="200"/>
      <c r="N4123" s="200"/>
      <c r="O4123" s="200"/>
      <c r="P4123" s="200"/>
    </row>
    <row r="4124" spans="3:16" s="517" customFormat="1" ht="31.2" customHeight="1">
      <c r="C4124" s="223" t="s">
        <v>1218</v>
      </c>
      <c r="D4124" s="224" t="s">
        <v>1219</v>
      </c>
      <c r="E4124" s="225"/>
      <c r="F4124" s="225"/>
      <c r="G4124" s="226"/>
      <c r="H4124" s="210">
        <f>H4123+H4120+H4109</f>
        <v>137097</v>
      </c>
      <c r="L4124" s="200"/>
      <c r="M4124" s="200"/>
      <c r="N4124" s="200"/>
      <c r="O4124" s="200"/>
      <c r="P4124" s="200"/>
    </row>
    <row r="4125" spans="3:16" s="517" customFormat="1" ht="31.2" customHeight="1">
      <c r="C4125" s="223" t="s">
        <v>1220</v>
      </c>
      <c r="D4125" s="224" t="s">
        <v>1321</v>
      </c>
      <c r="E4125" s="225"/>
      <c r="F4125" s="226"/>
      <c r="G4125" s="228">
        <v>0.1</v>
      </c>
      <c r="H4125" s="210">
        <f>H4124*G4125</f>
        <v>13709.7</v>
      </c>
      <c r="L4125" s="200"/>
      <c r="M4125" s="200"/>
      <c r="N4125" s="200"/>
      <c r="O4125" s="200"/>
      <c r="P4125" s="200"/>
    </row>
    <row r="4126" spans="3:16" s="517" customFormat="1" ht="31.2" customHeight="1" thickBot="1">
      <c r="C4126" s="229" t="s">
        <v>1221</v>
      </c>
      <c r="D4126" s="230" t="s">
        <v>1222</v>
      </c>
      <c r="E4126" s="231"/>
      <c r="F4126" s="231"/>
      <c r="G4126" s="232"/>
      <c r="H4126" s="233">
        <f>SUM(H4124:H4125)</f>
        <v>150806.70000000001</v>
      </c>
      <c r="L4126" s="200"/>
      <c r="M4126" s="200"/>
      <c r="N4126" s="200"/>
      <c r="O4126" s="200"/>
      <c r="P4126" s="200"/>
    </row>
    <row r="4127" spans="3:16" ht="31.2" customHeight="1" thickTop="1">
      <c r="D4127" s="758" t="s">
        <v>7210</v>
      </c>
    </row>
    <row r="4128" spans="3:16" ht="31.2" customHeight="1">
      <c r="C4128" s="757" t="s">
        <v>6950</v>
      </c>
      <c r="F4128" s="758"/>
      <c r="H4128" s="758" t="s">
        <v>6959</v>
      </c>
    </row>
    <row r="4129" spans="3:20" ht="31.2" customHeight="1">
      <c r="C4129" s="200" t="s">
        <v>6951</v>
      </c>
      <c r="F4129" s="758"/>
    </row>
    <row r="4130" spans="3:20" ht="31.2" customHeight="1">
      <c r="C4130" s="200" t="s">
        <v>6952</v>
      </c>
      <c r="F4130" s="758"/>
    </row>
    <row r="4131" spans="3:20" ht="31.2" customHeight="1">
      <c r="C4131" s="200"/>
      <c r="F4131" s="758"/>
    </row>
    <row r="4132" spans="3:20" s="517" customFormat="1" ht="31.2" customHeight="1" thickBot="1">
      <c r="C4132" s="513" t="s">
        <v>7308</v>
      </c>
      <c r="D4132" s="748" t="s">
        <v>7309</v>
      </c>
      <c r="E4132" s="749"/>
      <c r="F4132" s="748"/>
      <c r="G4132" s="748"/>
      <c r="H4132" s="532"/>
      <c r="I4132" s="532"/>
      <c r="J4132" s="532"/>
      <c r="K4132" s="532"/>
      <c r="M4132" s="189"/>
      <c r="N4132" s="189"/>
      <c r="O4132" s="189"/>
      <c r="P4132" s="189"/>
      <c r="R4132" s="189">
        <f>ROUNDDOWN(H4156,-2)</f>
        <v>150800</v>
      </c>
      <c r="S4132" s="517" t="s">
        <v>6451</v>
      </c>
      <c r="T4132" s="517" t="s">
        <v>7014</v>
      </c>
    </row>
    <row r="4133" spans="3:20" s="517" customFormat="1" ht="31.2" customHeight="1" thickTop="1">
      <c r="C4133" s="190" t="s">
        <v>1195</v>
      </c>
      <c r="D4133" s="191" t="s">
        <v>1196</v>
      </c>
      <c r="E4133" s="191" t="s">
        <v>1197</v>
      </c>
      <c r="F4133" s="191" t="s">
        <v>1198</v>
      </c>
      <c r="G4133" s="191" t="s">
        <v>1199</v>
      </c>
      <c r="H4133" s="192" t="s">
        <v>1200</v>
      </c>
      <c r="L4133" s="200"/>
      <c r="M4133" s="200"/>
      <c r="N4133" s="200"/>
      <c r="O4133" s="200"/>
      <c r="P4133" s="200"/>
    </row>
    <row r="4134" spans="3:20" s="517" customFormat="1" ht="31.2" customHeight="1">
      <c r="C4134" s="518" t="s">
        <v>1201</v>
      </c>
      <c r="D4134" s="196" t="s">
        <v>1202</v>
      </c>
      <c r="E4134" s="197"/>
      <c r="F4134" s="197"/>
      <c r="G4134" s="197"/>
      <c r="H4134" s="198"/>
      <c r="L4134" s="200"/>
      <c r="M4134" s="200"/>
      <c r="N4134" s="200"/>
      <c r="O4134" s="200"/>
      <c r="P4134" s="200"/>
    </row>
    <row r="4135" spans="3:20" s="517" customFormat="1" ht="31.2" customHeight="1">
      <c r="C4135" s="518">
        <v>1</v>
      </c>
      <c r="D4135" s="196" t="s">
        <v>5</v>
      </c>
      <c r="E4135" s="203" t="s">
        <v>2102</v>
      </c>
      <c r="F4135" s="525">
        <v>0.04</v>
      </c>
      <c r="G4135" s="205">
        <f>VLOOKUP(D4135,upahbahan,3,FALSE)</f>
        <v>100000</v>
      </c>
      <c r="H4135" s="210">
        <f t="shared" ref="H4135:H4138" si="284">F4135*G4135</f>
        <v>4000</v>
      </c>
      <c r="L4135" s="200"/>
      <c r="M4135" s="200"/>
      <c r="N4135" s="200"/>
      <c r="O4135" s="200"/>
      <c r="P4135" s="200"/>
    </row>
    <row r="4136" spans="3:20" s="517" customFormat="1" ht="31.2" customHeight="1">
      <c r="C4136" s="537">
        <v>2</v>
      </c>
      <c r="D4136" s="196" t="s">
        <v>6954</v>
      </c>
      <c r="E4136" s="202" t="s">
        <v>6</v>
      </c>
      <c r="F4136" s="520">
        <v>0.04</v>
      </c>
      <c r="G4136" s="205">
        <f>VLOOKUP(D4136,upahbahan,3,FALSE)</f>
        <v>181250</v>
      </c>
      <c r="H4136" s="210">
        <f t="shared" si="284"/>
        <v>7250</v>
      </c>
      <c r="L4136" s="200"/>
      <c r="M4136" s="200"/>
      <c r="N4136" s="200"/>
      <c r="O4136" s="200"/>
      <c r="P4136" s="200"/>
    </row>
    <row r="4137" spans="3:20" s="517" customFormat="1" ht="31.2" customHeight="1">
      <c r="C4137" s="537">
        <v>3</v>
      </c>
      <c r="D4137" s="196" t="s">
        <v>6948</v>
      </c>
      <c r="E4137" s="202" t="s">
        <v>2102</v>
      </c>
      <c r="F4137" s="520">
        <v>0.02</v>
      </c>
      <c r="G4137" s="205">
        <f>VLOOKUP(D4137,upahbahan,3,FALSE)</f>
        <v>218750</v>
      </c>
      <c r="H4137" s="210">
        <f t="shared" si="284"/>
        <v>4375</v>
      </c>
      <c r="L4137" s="200"/>
      <c r="M4137" s="200"/>
      <c r="N4137" s="200"/>
      <c r="O4137" s="200"/>
      <c r="P4137" s="200"/>
    </row>
    <row r="4138" spans="3:20" s="517" customFormat="1" ht="31.2" customHeight="1">
      <c r="C4138" s="537">
        <v>4</v>
      </c>
      <c r="D4138" s="196" t="s">
        <v>19</v>
      </c>
      <c r="E4138" s="202" t="s">
        <v>6</v>
      </c>
      <c r="F4138" s="520">
        <v>6.7000000000000002E-3</v>
      </c>
      <c r="G4138" s="205">
        <f>VLOOKUP(D4138,upahbahan,3,FALSE)</f>
        <v>160000</v>
      </c>
      <c r="H4138" s="210">
        <f t="shared" si="284"/>
        <v>1072</v>
      </c>
      <c r="L4138" s="200"/>
      <c r="M4138" s="200"/>
      <c r="N4138" s="200"/>
      <c r="O4138" s="200"/>
      <c r="P4138" s="200"/>
    </row>
    <row r="4139" spans="3:20" s="517" customFormat="1" ht="31.2" customHeight="1">
      <c r="C4139" s="207" t="s">
        <v>1208</v>
      </c>
      <c r="D4139" s="208"/>
      <c r="E4139" s="208"/>
      <c r="F4139" s="521"/>
      <c r="G4139" s="522"/>
      <c r="H4139" s="210">
        <f>SUM(H4135:H4138)</f>
        <v>16697</v>
      </c>
      <c r="L4139" s="523"/>
      <c r="M4139" s="523"/>
      <c r="N4139" s="523"/>
      <c r="O4139" s="523"/>
      <c r="P4139" s="523"/>
    </row>
    <row r="4140" spans="3:20" s="517" customFormat="1" ht="31.2" customHeight="1">
      <c r="C4140" s="543" t="s">
        <v>1209</v>
      </c>
      <c r="D4140" s="750" t="s">
        <v>1210</v>
      </c>
      <c r="E4140" s="197"/>
      <c r="F4140" s="751"/>
      <c r="G4140" s="197"/>
      <c r="H4140" s="752"/>
      <c r="L4140" s="200"/>
      <c r="M4140" s="200"/>
      <c r="N4140" s="200"/>
      <c r="O4140" s="200"/>
      <c r="P4140" s="200"/>
    </row>
    <row r="4141" spans="3:20" s="517" customFormat="1" ht="31.2" customHeight="1">
      <c r="C4141" s="543">
        <v>1</v>
      </c>
      <c r="D4141" s="750" t="s">
        <v>7310</v>
      </c>
      <c r="E4141" s="203" t="s">
        <v>44</v>
      </c>
      <c r="F4141" s="753">
        <v>1.05</v>
      </c>
      <c r="G4141" s="205">
        <f>VLOOKUP(D4141,upahbahan,3,FALSE)</f>
        <v>0</v>
      </c>
      <c r="H4141" s="210">
        <f t="shared" ref="H4141:H4149" si="285">F4141*G4141</f>
        <v>0</v>
      </c>
      <c r="L4141" s="200"/>
      <c r="M4141" s="200"/>
      <c r="N4141" s="200"/>
      <c r="O4141" s="200"/>
      <c r="P4141" s="200"/>
    </row>
    <row r="4142" spans="3:20" s="517" customFormat="1" ht="31.2" customHeight="1">
      <c r="C4142" s="543">
        <v>2</v>
      </c>
      <c r="D4142" s="750" t="s">
        <v>5563</v>
      </c>
      <c r="E4142" s="203" t="s">
        <v>65</v>
      </c>
      <c r="F4142" s="753">
        <v>0.02</v>
      </c>
      <c r="G4142" s="205">
        <f>VLOOKUP(D4142,upahbahan,3,FALSE)</f>
        <v>0</v>
      </c>
      <c r="H4142" s="210">
        <f t="shared" si="285"/>
        <v>0</v>
      </c>
      <c r="L4142" s="200"/>
      <c r="M4142" s="200"/>
      <c r="N4142" s="200"/>
      <c r="O4142" s="200"/>
      <c r="P4142" s="200"/>
    </row>
    <row r="4143" spans="3:20" s="517" customFormat="1" ht="31.2" customHeight="1">
      <c r="C4143" s="543">
        <v>3</v>
      </c>
      <c r="D4143" s="750" t="s">
        <v>5555</v>
      </c>
      <c r="E4143" s="203"/>
      <c r="F4143" s="753"/>
      <c r="G4143" s="197"/>
      <c r="H4143" s="210">
        <f t="shared" si="285"/>
        <v>0</v>
      </c>
      <c r="L4143" s="200"/>
      <c r="M4143" s="200"/>
      <c r="N4143" s="200"/>
      <c r="O4143" s="200"/>
      <c r="P4143" s="200"/>
    </row>
    <row r="4144" spans="3:20" s="517" customFormat="1" ht="31.2" customHeight="1">
      <c r="C4144" s="754" t="s">
        <v>5293</v>
      </c>
      <c r="D4144" s="750" t="s">
        <v>7142</v>
      </c>
      <c r="E4144" s="203" t="s">
        <v>113</v>
      </c>
      <c r="F4144" s="760">
        <v>18</v>
      </c>
      <c r="G4144" s="205">
        <f>VLOOKUP(D4144,upahbahan,3,FALSE)</f>
        <v>0</v>
      </c>
      <c r="H4144" s="210">
        <f t="shared" si="285"/>
        <v>0</v>
      </c>
      <c r="L4144" s="200"/>
      <c r="M4144" s="200"/>
      <c r="N4144" s="200"/>
      <c r="O4144" s="200"/>
      <c r="P4144" s="200"/>
    </row>
    <row r="4145" spans="3:16" s="517" customFormat="1" ht="31.2" customHeight="1">
      <c r="C4145" s="754" t="s">
        <v>5299</v>
      </c>
      <c r="D4145" s="750" t="s">
        <v>7055</v>
      </c>
      <c r="E4145" s="203" t="s">
        <v>113</v>
      </c>
      <c r="F4145" s="760">
        <v>10</v>
      </c>
      <c r="G4145" s="205">
        <f>VLOOKUP(D4145,upahbahan,3,FALSE)</f>
        <v>0</v>
      </c>
      <c r="H4145" s="210">
        <f t="shared" si="285"/>
        <v>0</v>
      </c>
      <c r="L4145" s="200"/>
      <c r="M4145" s="200"/>
      <c r="N4145" s="200"/>
      <c r="O4145" s="200"/>
      <c r="P4145" s="200"/>
    </row>
    <row r="4146" spans="3:16" s="517" customFormat="1" ht="31.2" customHeight="1">
      <c r="C4146" s="543">
        <v>4</v>
      </c>
      <c r="D4146" s="750" t="s">
        <v>5556</v>
      </c>
      <c r="E4146" s="203"/>
      <c r="F4146" s="753"/>
      <c r="G4146" s="197"/>
      <c r="H4146" s="210">
        <f t="shared" si="285"/>
        <v>0</v>
      </c>
      <c r="L4146" s="200"/>
      <c r="M4146" s="200"/>
      <c r="N4146" s="200"/>
      <c r="O4146" s="200"/>
      <c r="P4146" s="200"/>
    </row>
    <row r="4147" spans="3:16" s="517" customFormat="1" ht="31.2" customHeight="1">
      <c r="C4147" s="754" t="s">
        <v>5293</v>
      </c>
      <c r="D4147" s="750" t="s">
        <v>2084</v>
      </c>
      <c r="E4147" s="203" t="s">
        <v>42</v>
      </c>
      <c r="F4147" s="753">
        <v>9.8000000000000004E-2</v>
      </c>
      <c r="G4147" s="205">
        <f>VLOOKUP(D4147,upahbahan,3,FALSE)</f>
        <v>0</v>
      </c>
      <c r="H4147" s="210">
        <f t="shared" si="285"/>
        <v>0</v>
      </c>
      <c r="L4147" s="200"/>
      <c r="M4147" s="200"/>
      <c r="N4147" s="200"/>
      <c r="O4147" s="200"/>
      <c r="P4147" s="200"/>
    </row>
    <row r="4148" spans="3:16" s="517" customFormat="1" ht="31.2" customHeight="1">
      <c r="C4148" s="754" t="s">
        <v>5299</v>
      </c>
      <c r="D4148" s="750" t="s">
        <v>5566</v>
      </c>
      <c r="E4148" s="203" t="s">
        <v>42</v>
      </c>
      <c r="F4148" s="753">
        <v>2.5999999999999999E-2</v>
      </c>
      <c r="G4148" s="205">
        <f>VLOOKUP(D4148,upahbahan,3,FALSE)</f>
        <v>0</v>
      </c>
      <c r="H4148" s="210">
        <f t="shared" si="285"/>
        <v>0</v>
      </c>
      <c r="L4148" s="200"/>
      <c r="M4148" s="200"/>
      <c r="N4148" s="200"/>
      <c r="O4148" s="200"/>
      <c r="P4148" s="200"/>
    </row>
    <row r="4149" spans="3:16" s="517" customFormat="1" ht="31.2" customHeight="1">
      <c r="C4149" s="754" t="s">
        <v>5558</v>
      </c>
      <c r="D4149" s="750" t="s">
        <v>2325</v>
      </c>
      <c r="E4149" s="203" t="s">
        <v>42</v>
      </c>
      <c r="F4149" s="762">
        <v>7.0000000000000001E-3</v>
      </c>
      <c r="G4149" s="205">
        <f>VLOOKUP(D4149,upahbahan,3,FALSE)</f>
        <v>0</v>
      </c>
      <c r="H4149" s="210">
        <f t="shared" si="285"/>
        <v>0</v>
      </c>
      <c r="L4149" s="200"/>
      <c r="M4149" s="200"/>
      <c r="N4149" s="200"/>
      <c r="O4149" s="200"/>
      <c r="P4149" s="200"/>
    </row>
    <row r="4150" spans="3:16" s="517" customFormat="1" ht="31.2" customHeight="1">
      <c r="C4150" s="207" t="s">
        <v>1214</v>
      </c>
      <c r="D4150" s="208"/>
      <c r="E4150" s="568"/>
      <c r="F4150" s="208"/>
      <c r="G4150" s="209"/>
      <c r="H4150" s="210">
        <f>SUM(H4141:H4149)</f>
        <v>0</v>
      </c>
      <c r="L4150" s="200"/>
      <c r="M4150" s="200"/>
      <c r="N4150" s="200"/>
      <c r="O4150" s="200"/>
      <c r="P4150" s="200"/>
    </row>
    <row r="4151" spans="3:16" s="517" customFormat="1" ht="31.2" customHeight="1">
      <c r="C4151" s="756" t="s">
        <v>1215</v>
      </c>
      <c r="D4151" s="196" t="s">
        <v>1216</v>
      </c>
      <c r="E4151" s="203"/>
      <c r="F4151" s="197"/>
      <c r="G4151" s="197"/>
      <c r="H4151" s="198"/>
      <c r="L4151" s="200"/>
      <c r="M4151" s="200"/>
      <c r="N4151" s="200"/>
      <c r="O4151" s="200"/>
      <c r="P4151" s="200"/>
    </row>
    <row r="4152" spans="3:16" s="517" customFormat="1" ht="31.2" customHeight="1">
      <c r="C4152" s="543">
        <v>1</v>
      </c>
      <c r="D4152" s="750" t="s">
        <v>7189</v>
      </c>
      <c r="E4152" s="203" t="s">
        <v>2396</v>
      </c>
      <c r="F4152" s="762">
        <v>0.28000000000000003</v>
      </c>
      <c r="G4152" s="205">
        <f>VLOOKUP(D4152,upahbahan,3,FALSE)</f>
        <v>430000</v>
      </c>
      <c r="H4152" s="210">
        <f t="shared" ref="H4152" si="286">F4152*G4152</f>
        <v>120400.00000000001</v>
      </c>
      <c r="L4152" s="200"/>
      <c r="M4152" s="200"/>
      <c r="N4152" s="200"/>
      <c r="O4152" s="200"/>
      <c r="P4152" s="200"/>
    </row>
    <row r="4153" spans="3:16" s="517" customFormat="1" ht="31.2" customHeight="1">
      <c r="C4153" s="207" t="s">
        <v>1217</v>
      </c>
      <c r="D4153" s="208"/>
      <c r="E4153" s="208"/>
      <c r="F4153" s="208"/>
      <c r="G4153" s="209"/>
      <c r="H4153" s="240">
        <f>SUM(H4152)</f>
        <v>120400.00000000001</v>
      </c>
      <c r="L4153" s="200"/>
      <c r="M4153" s="200"/>
      <c r="N4153" s="200"/>
      <c r="O4153" s="200"/>
      <c r="P4153" s="200"/>
    </row>
    <row r="4154" spans="3:16" s="517" customFormat="1" ht="31.2" customHeight="1">
      <c r="C4154" s="223" t="s">
        <v>1218</v>
      </c>
      <c r="D4154" s="224" t="s">
        <v>1219</v>
      </c>
      <c r="E4154" s="225"/>
      <c r="F4154" s="225"/>
      <c r="G4154" s="226"/>
      <c r="H4154" s="210">
        <f>H4153+H4150+H4139</f>
        <v>137097</v>
      </c>
      <c r="L4154" s="200"/>
      <c r="M4154" s="200"/>
      <c r="N4154" s="200"/>
      <c r="O4154" s="200"/>
      <c r="P4154" s="200"/>
    </row>
    <row r="4155" spans="3:16" s="517" customFormat="1" ht="31.2" customHeight="1">
      <c r="C4155" s="223" t="s">
        <v>1220</v>
      </c>
      <c r="D4155" s="224" t="s">
        <v>1321</v>
      </c>
      <c r="E4155" s="225"/>
      <c r="F4155" s="226"/>
      <c r="G4155" s="228">
        <v>0.1</v>
      </c>
      <c r="H4155" s="210">
        <f>H4154*G4155</f>
        <v>13709.7</v>
      </c>
      <c r="L4155" s="200"/>
      <c r="M4155" s="200"/>
      <c r="N4155" s="200"/>
      <c r="O4155" s="200"/>
      <c r="P4155" s="200"/>
    </row>
    <row r="4156" spans="3:16" s="517" customFormat="1" ht="31.2" customHeight="1" thickBot="1">
      <c r="C4156" s="229" t="s">
        <v>1221</v>
      </c>
      <c r="D4156" s="230" t="s">
        <v>1222</v>
      </c>
      <c r="E4156" s="231"/>
      <c r="F4156" s="231"/>
      <c r="G4156" s="232"/>
      <c r="H4156" s="233">
        <f>SUM(H4154:H4155)</f>
        <v>150806.70000000001</v>
      </c>
      <c r="L4156" s="200"/>
      <c r="M4156" s="200"/>
      <c r="N4156" s="200"/>
      <c r="O4156" s="200"/>
      <c r="P4156" s="200"/>
    </row>
    <row r="4157" spans="3:16" ht="31.2" customHeight="1" thickTop="1">
      <c r="D4157" s="758" t="s">
        <v>7210</v>
      </c>
    </row>
    <row r="4158" spans="3:16" ht="31.2" customHeight="1">
      <c r="C4158" s="757" t="s">
        <v>6950</v>
      </c>
      <c r="F4158" s="758"/>
      <c r="H4158" s="758" t="s">
        <v>6959</v>
      </c>
    </row>
    <row r="4159" spans="3:16" ht="31.2" customHeight="1">
      <c r="C4159" s="200" t="s">
        <v>6951</v>
      </c>
      <c r="F4159" s="758"/>
    </row>
    <row r="4160" spans="3:16" ht="31.2" customHeight="1">
      <c r="C4160" s="200" t="s">
        <v>6952</v>
      </c>
      <c r="F4160" s="758"/>
    </row>
    <row r="4161" spans="3:20" ht="31.2" customHeight="1">
      <c r="C4161" s="200"/>
      <c r="F4161" s="758"/>
    </row>
    <row r="4162" spans="3:20" s="517" customFormat="1" ht="31.2" customHeight="1" thickBot="1">
      <c r="C4162" s="513" t="s">
        <v>7311</v>
      </c>
      <c r="D4162" s="748" t="s">
        <v>7312</v>
      </c>
      <c r="E4162" s="749"/>
      <c r="F4162" s="748"/>
      <c r="G4162" s="748"/>
      <c r="H4162" s="532"/>
      <c r="I4162" s="532"/>
      <c r="J4162" s="532"/>
      <c r="K4162" s="532"/>
      <c r="M4162" s="189"/>
      <c r="N4162" s="189"/>
      <c r="O4162" s="189"/>
      <c r="P4162" s="189"/>
      <c r="R4162" s="189">
        <f>ROUNDDOWN(H4186,-2)</f>
        <v>150800</v>
      </c>
      <c r="S4162" s="517" t="s">
        <v>6451</v>
      </c>
      <c r="T4162" s="517" t="s">
        <v>7014</v>
      </c>
    </row>
    <row r="4163" spans="3:20" s="517" customFormat="1" ht="31.2" customHeight="1" thickTop="1">
      <c r="C4163" s="190" t="s">
        <v>1195</v>
      </c>
      <c r="D4163" s="191" t="s">
        <v>1196</v>
      </c>
      <c r="E4163" s="191" t="s">
        <v>1197</v>
      </c>
      <c r="F4163" s="191" t="s">
        <v>1198</v>
      </c>
      <c r="G4163" s="191" t="s">
        <v>1199</v>
      </c>
      <c r="H4163" s="192" t="s">
        <v>1200</v>
      </c>
      <c r="L4163" s="200"/>
      <c r="M4163" s="200"/>
      <c r="N4163" s="200"/>
      <c r="O4163" s="200"/>
      <c r="P4163" s="200"/>
    </row>
    <row r="4164" spans="3:20" s="517" customFormat="1" ht="31.2" customHeight="1">
      <c r="C4164" s="518" t="s">
        <v>1201</v>
      </c>
      <c r="D4164" s="196" t="s">
        <v>1202</v>
      </c>
      <c r="E4164" s="197"/>
      <c r="F4164" s="197"/>
      <c r="G4164" s="197"/>
      <c r="H4164" s="198"/>
      <c r="L4164" s="200"/>
      <c r="M4164" s="200"/>
      <c r="N4164" s="200"/>
      <c r="O4164" s="200"/>
      <c r="P4164" s="200"/>
    </row>
    <row r="4165" spans="3:20" s="517" customFormat="1" ht="31.2" customHeight="1">
      <c r="C4165" s="518">
        <v>1</v>
      </c>
      <c r="D4165" s="196" t="s">
        <v>5</v>
      </c>
      <c r="E4165" s="203" t="s">
        <v>2102</v>
      </c>
      <c r="F4165" s="525">
        <v>0.04</v>
      </c>
      <c r="G4165" s="205">
        <f>VLOOKUP(D4165,upahbahan,3,FALSE)</f>
        <v>100000</v>
      </c>
      <c r="H4165" s="210">
        <f t="shared" ref="H4165:H4168" si="287">F4165*G4165</f>
        <v>4000</v>
      </c>
      <c r="L4165" s="200"/>
      <c r="M4165" s="200"/>
      <c r="N4165" s="200"/>
      <c r="O4165" s="200"/>
      <c r="P4165" s="200"/>
    </row>
    <row r="4166" spans="3:20" s="517" customFormat="1" ht="31.2" customHeight="1">
      <c r="C4166" s="537">
        <v>2</v>
      </c>
      <c r="D4166" s="196" t="s">
        <v>6954</v>
      </c>
      <c r="E4166" s="202" t="s">
        <v>6</v>
      </c>
      <c r="F4166" s="520">
        <v>0.04</v>
      </c>
      <c r="G4166" s="205">
        <f>VLOOKUP(D4166,upahbahan,3,FALSE)</f>
        <v>181250</v>
      </c>
      <c r="H4166" s="210">
        <f t="shared" si="287"/>
        <v>7250</v>
      </c>
      <c r="L4166" s="200"/>
      <c r="M4166" s="200"/>
      <c r="N4166" s="200"/>
      <c r="O4166" s="200"/>
      <c r="P4166" s="200"/>
    </row>
    <row r="4167" spans="3:20" s="517" customFormat="1" ht="31.2" customHeight="1">
      <c r="C4167" s="537">
        <v>3</v>
      </c>
      <c r="D4167" s="196" t="s">
        <v>6948</v>
      </c>
      <c r="E4167" s="202" t="s">
        <v>2102</v>
      </c>
      <c r="F4167" s="520">
        <v>0.02</v>
      </c>
      <c r="G4167" s="205">
        <f>VLOOKUP(D4167,upahbahan,3,FALSE)</f>
        <v>218750</v>
      </c>
      <c r="H4167" s="210">
        <f t="shared" si="287"/>
        <v>4375</v>
      </c>
      <c r="L4167" s="200"/>
      <c r="M4167" s="200"/>
      <c r="N4167" s="200"/>
      <c r="O4167" s="200"/>
      <c r="P4167" s="200"/>
    </row>
    <row r="4168" spans="3:20" s="517" customFormat="1" ht="31.2" customHeight="1">
      <c r="C4168" s="537">
        <v>4</v>
      </c>
      <c r="D4168" s="196" t="s">
        <v>19</v>
      </c>
      <c r="E4168" s="202" t="s">
        <v>6</v>
      </c>
      <c r="F4168" s="520">
        <v>6.7000000000000002E-3</v>
      </c>
      <c r="G4168" s="205">
        <f>VLOOKUP(D4168,upahbahan,3,FALSE)</f>
        <v>160000</v>
      </c>
      <c r="H4168" s="210">
        <f t="shared" si="287"/>
        <v>1072</v>
      </c>
      <c r="L4168" s="200"/>
      <c r="M4168" s="200"/>
      <c r="N4168" s="200"/>
      <c r="O4168" s="200"/>
      <c r="P4168" s="200"/>
    </row>
    <row r="4169" spans="3:20" s="517" customFormat="1" ht="31.2" customHeight="1">
      <c r="C4169" s="207" t="s">
        <v>1208</v>
      </c>
      <c r="D4169" s="208"/>
      <c r="E4169" s="208"/>
      <c r="F4169" s="521"/>
      <c r="G4169" s="522"/>
      <c r="H4169" s="210">
        <f>SUM(H4165:H4168)</f>
        <v>16697</v>
      </c>
      <c r="L4169" s="523"/>
      <c r="M4169" s="523"/>
      <c r="N4169" s="523"/>
      <c r="O4169" s="523"/>
      <c r="P4169" s="523"/>
    </row>
    <row r="4170" spans="3:20" s="517" customFormat="1" ht="31.2" customHeight="1">
      <c r="C4170" s="543" t="s">
        <v>1209</v>
      </c>
      <c r="D4170" s="750" t="s">
        <v>1210</v>
      </c>
      <c r="E4170" s="197"/>
      <c r="F4170" s="751"/>
      <c r="G4170" s="197"/>
      <c r="H4170" s="752"/>
      <c r="L4170" s="200"/>
      <c r="M4170" s="200"/>
      <c r="N4170" s="200"/>
      <c r="O4170" s="200"/>
      <c r="P4170" s="200"/>
    </row>
    <row r="4171" spans="3:20" s="517" customFormat="1" ht="31.2" customHeight="1">
      <c r="C4171" s="543">
        <v>1</v>
      </c>
      <c r="D4171" s="750" t="s">
        <v>7313</v>
      </c>
      <c r="E4171" s="203" t="s">
        <v>44</v>
      </c>
      <c r="F4171" s="753">
        <v>1.05</v>
      </c>
      <c r="G4171" s="205">
        <f>VLOOKUP(D4171,upahbahan,3,FALSE)</f>
        <v>0</v>
      </c>
      <c r="H4171" s="210">
        <f t="shared" ref="H4171:H4179" si="288">F4171*G4171</f>
        <v>0</v>
      </c>
      <c r="L4171" s="200"/>
      <c r="M4171" s="200"/>
      <c r="N4171" s="200"/>
      <c r="O4171" s="200"/>
      <c r="P4171" s="200"/>
    </row>
    <row r="4172" spans="3:20" s="517" customFormat="1" ht="31.2" customHeight="1">
      <c r="C4172" s="543">
        <v>2</v>
      </c>
      <c r="D4172" s="750" t="s">
        <v>5563</v>
      </c>
      <c r="E4172" s="203" t="s">
        <v>65</v>
      </c>
      <c r="F4172" s="753">
        <v>0.02</v>
      </c>
      <c r="G4172" s="205">
        <f>VLOOKUP(D4172,upahbahan,3,FALSE)</f>
        <v>0</v>
      </c>
      <c r="H4172" s="210">
        <f t="shared" si="288"/>
        <v>0</v>
      </c>
      <c r="L4172" s="200"/>
      <c r="M4172" s="200"/>
      <c r="N4172" s="200"/>
      <c r="O4172" s="200"/>
      <c r="P4172" s="200"/>
    </row>
    <row r="4173" spans="3:20" s="517" customFormat="1" ht="31.2" customHeight="1">
      <c r="C4173" s="543">
        <v>3</v>
      </c>
      <c r="D4173" s="750" t="s">
        <v>5555</v>
      </c>
      <c r="E4173" s="203"/>
      <c r="F4173" s="753"/>
      <c r="G4173" s="197"/>
      <c r="H4173" s="210">
        <f t="shared" si="288"/>
        <v>0</v>
      </c>
      <c r="L4173" s="200"/>
      <c r="M4173" s="200"/>
      <c r="N4173" s="200"/>
      <c r="O4173" s="200"/>
      <c r="P4173" s="200"/>
    </row>
    <row r="4174" spans="3:20" s="517" customFormat="1" ht="31.2" customHeight="1">
      <c r="C4174" s="754" t="s">
        <v>5293</v>
      </c>
      <c r="D4174" s="750" t="s">
        <v>7142</v>
      </c>
      <c r="E4174" s="203" t="s">
        <v>113</v>
      </c>
      <c r="F4174" s="760">
        <v>18</v>
      </c>
      <c r="G4174" s="205">
        <f>VLOOKUP(D4174,upahbahan,3,FALSE)</f>
        <v>0</v>
      </c>
      <c r="H4174" s="210">
        <f t="shared" si="288"/>
        <v>0</v>
      </c>
      <c r="L4174" s="200"/>
      <c r="M4174" s="200"/>
      <c r="N4174" s="200"/>
      <c r="O4174" s="200"/>
      <c r="P4174" s="200"/>
    </row>
    <row r="4175" spans="3:20" s="517" customFormat="1" ht="31.2" customHeight="1">
      <c r="C4175" s="754" t="s">
        <v>5299</v>
      </c>
      <c r="D4175" s="750" t="s">
        <v>7055</v>
      </c>
      <c r="E4175" s="203" t="s">
        <v>113</v>
      </c>
      <c r="F4175" s="760">
        <v>10</v>
      </c>
      <c r="G4175" s="205">
        <f>VLOOKUP(D4175,upahbahan,3,FALSE)</f>
        <v>0</v>
      </c>
      <c r="H4175" s="210">
        <f t="shared" si="288"/>
        <v>0</v>
      </c>
      <c r="L4175" s="200"/>
      <c r="M4175" s="200"/>
      <c r="N4175" s="200"/>
      <c r="O4175" s="200"/>
      <c r="P4175" s="200"/>
    </row>
    <row r="4176" spans="3:20" s="517" customFormat="1" ht="31.2" customHeight="1">
      <c r="C4176" s="543">
        <v>4</v>
      </c>
      <c r="D4176" s="750" t="s">
        <v>5556</v>
      </c>
      <c r="E4176" s="203"/>
      <c r="F4176" s="753"/>
      <c r="G4176" s="197"/>
      <c r="H4176" s="210">
        <f t="shared" si="288"/>
        <v>0</v>
      </c>
      <c r="L4176" s="200"/>
      <c r="M4176" s="200"/>
      <c r="N4176" s="200"/>
      <c r="O4176" s="200"/>
      <c r="P4176" s="200"/>
    </row>
    <row r="4177" spans="3:16" s="517" customFormat="1" ht="31.2" customHeight="1">
      <c r="C4177" s="754" t="s">
        <v>5293</v>
      </c>
      <c r="D4177" s="750" t="s">
        <v>2084</v>
      </c>
      <c r="E4177" s="203" t="s">
        <v>42</v>
      </c>
      <c r="F4177" s="753">
        <v>9.8000000000000004E-2</v>
      </c>
      <c r="G4177" s="205">
        <f>VLOOKUP(D4177,upahbahan,3,FALSE)</f>
        <v>0</v>
      </c>
      <c r="H4177" s="210">
        <f t="shared" si="288"/>
        <v>0</v>
      </c>
      <c r="L4177" s="200"/>
      <c r="M4177" s="200"/>
      <c r="N4177" s="200"/>
      <c r="O4177" s="200"/>
      <c r="P4177" s="200"/>
    </row>
    <row r="4178" spans="3:16" s="517" customFormat="1" ht="31.2" customHeight="1">
      <c r="C4178" s="754" t="s">
        <v>5299</v>
      </c>
      <c r="D4178" s="750" t="s">
        <v>5566</v>
      </c>
      <c r="E4178" s="203" t="s">
        <v>42</v>
      </c>
      <c r="F4178" s="753">
        <v>2.5999999999999999E-2</v>
      </c>
      <c r="G4178" s="205">
        <f>VLOOKUP(D4178,upahbahan,3,FALSE)</f>
        <v>0</v>
      </c>
      <c r="H4178" s="210">
        <f t="shared" si="288"/>
        <v>0</v>
      </c>
      <c r="L4178" s="200"/>
      <c r="M4178" s="200"/>
      <c r="N4178" s="200"/>
      <c r="O4178" s="200"/>
      <c r="P4178" s="200"/>
    </row>
    <row r="4179" spans="3:16" s="517" customFormat="1" ht="31.2" customHeight="1">
      <c r="C4179" s="754" t="s">
        <v>5558</v>
      </c>
      <c r="D4179" s="750" t="s">
        <v>2325</v>
      </c>
      <c r="E4179" s="203" t="s">
        <v>42</v>
      </c>
      <c r="F4179" s="762">
        <v>7.0000000000000001E-3</v>
      </c>
      <c r="G4179" s="205">
        <f>VLOOKUP(D4179,upahbahan,3,FALSE)</f>
        <v>0</v>
      </c>
      <c r="H4179" s="210">
        <f t="shared" si="288"/>
        <v>0</v>
      </c>
      <c r="L4179" s="200"/>
      <c r="M4179" s="200"/>
      <c r="N4179" s="200"/>
      <c r="O4179" s="200"/>
      <c r="P4179" s="200"/>
    </row>
    <row r="4180" spans="3:16" s="517" customFormat="1" ht="31.2" customHeight="1">
      <c r="C4180" s="207" t="s">
        <v>1214</v>
      </c>
      <c r="D4180" s="208"/>
      <c r="E4180" s="568"/>
      <c r="F4180" s="208"/>
      <c r="G4180" s="209"/>
      <c r="H4180" s="210">
        <f>SUM(H4171:H4179)</f>
        <v>0</v>
      </c>
      <c r="L4180" s="200"/>
      <c r="M4180" s="200"/>
      <c r="N4180" s="200"/>
      <c r="O4180" s="200"/>
      <c r="P4180" s="200"/>
    </row>
    <row r="4181" spans="3:16" s="517" customFormat="1" ht="31.2" customHeight="1">
      <c r="C4181" s="756" t="s">
        <v>1215</v>
      </c>
      <c r="D4181" s="196" t="s">
        <v>1216</v>
      </c>
      <c r="E4181" s="203"/>
      <c r="F4181" s="197"/>
      <c r="G4181" s="197"/>
      <c r="H4181" s="198"/>
      <c r="L4181" s="200"/>
      <c r="M4181" s="200"/>
      <c r="N4181" s="200"/>
      <c r="O4181" s="200"/>
      <c r="P4181" s="200"/>
    </row>
    <row r="4182" spans="3:16" s="517" customFormat="1" ht="31.2" customHeight="1">
      <c r="C4182" s="543">
        <v>1</v>
      </c>
      <c r="D4182" s="750" t="s">
        <v>7189</v>
      </c>
      <c r="E4182" s="203" t="s">
        <v>2396</v>
      </c>
      <c r="F4182" s="762">
        <v>0.28000000000000003</v>
      </c>
      <c r="G4182" s="205">
        <f>VLOOKUP(D4182,upahbahan,3,FALSE)</f>
        <v>430000</v>
      </c>
      <c r="H4182" s="210">
        <f t="shared" ref="H4182" si="289">F4182*G4182</f>
        <v>120400.00000000001</v>
      </c>
      <c r="L4182" s="200"/>
      <c r="M4182" s="200"/>
      <c r="N4182" s="200"/>
      <c r="O4182" s="200"/>
      <c r="P4182" s="200"/>
    </row>
    <row r="4183" spans="3:16" s="517" customFormat="1" ht="31.2" customHeight="1">
      <c r="C4183" s="207" t="s">
        <v>1217</v>
      </c>
      <c r="D4183" s="208"/>
      <c r="E4183" s="208"/>
      <c r="F4183" s="208"/>
      <c r="G4183" s="209"/>
      <c r="H4183" s="240">
        <f>SUM(H4182)</f>
        <v>120400.00000000001</v>
      </c>
      <c r="L4183" s="200"/>
      <c r="M4183" s="200"/>
      <c r="N4183" s="200"/>
      <c r="O4183" s="200"/>
      <c r="P4183" s="200"/>
    </row>
    <row r="4184" spans="3:16" s="517" customFormat="1" ht="31.2" customHeight="1">
      <c r="C4184" s="223" t="s">
        <v>1218</v>
      </c>
      <c r="D4184" s="224" t="s">
        <v>1219</v>
      </c>
      <c r="E4184" s="225"/>
      <c r="F4184" s="225"/>
      <c r="G4184" s="226"/>
      <c r="H4184" s="210">
        <f>H4183+H4180+H4169</f>
        <v>137097</v>
      </c>
      <c r="L4184" s="200"/>
      <c r="M4184" s="200"/>
      <c r="N4184" s="200"/>
      <c r="O4184" s="200"/>
      <c r="P4184" s="200"/>
    </row>
    <row r="4185" spans="3:16" s="517" customFormat="1" ht="31.2" customHeight="1">
      <c r="C4185" s="223" t="s">
        <v>1220</v>
      </c>
      <c r="D4185" s="224" t="s">
        <v>1321</v>
      </c>
      <c r="E4185" s="225"/>
      <c r="F4185" s="226"/>
      <c r="G4185" s="228">
        <v>0.1</v>
      </c>
      <c r="H4185" s="210">
        <f>H4184*G4185</f>
        <v>13709.7</v>
      </c>
      <c r="L4185" s="200"/>
      <c r="M4185" s="200"/>
      <c r="N4185" s="200"/>
      <c r="O4185" s="200"/>
      <c r="P4185" s="200"/>
    </row>
    <row r="4186" spans="3:16" s="517" customFormat="1" ht="31.2" customHeight="1" thickBot="1">
      <c r="C4186" s="229" t="s">
        <v>1221</v>
      </c>
      <c r="D4186" s="230" t="s">
        <v>1222</v>
      </c>
      <c r="E4186" s="231"/>
      <c r="F4186" s="231"/>
      <c r="G4186" s="232"/>
      <c r="H4186" s="233">
        <f>SUM(H4184:H4185)</f>
        <v>150806.70000000001</v>
      </c>
      <c r="L4186" s="200"/>
      <c r="M4186" s="200"/>
      <c r="N4186" s="200"/>
      <c r="O4186" s="200"/>
      <c r="P4186" s="200"/>
    </row>
    <row r="4187" spans="3:16" ht="31.2" customHeight="1" thickTop="1">
      <c r="D4187" s="758" t="s">
        <v>7210</v>
      </c>
    </row>
    <row r="4188" spans="3:16" ht="31.2" customHeight="1">
      <c r="C4188" s="757" t="s">
        <v>6950</v>
      </c>
      <c r="F4188" s="758"/>
      <c r="H4188" s="758" t="s">
        <v>6959</v>
      </c>
    </row>
    <row r="4189" spans="3:16" ht="31.2" customHeight="1">
      <c r="C4189" s="200" t="s">
        <v>6951</v>
      </c>
      <c r="F4189" s="758"/>
    </row>
    <row r="4190" spans="3:16" ht="31.2" customHeight="1">
      <c r="C4190" s="200" t="s">
        <v>6952</v>
      </c>
      <c r="F4190" s="758"/>
    </row>
    <row r="4191" spans="3:16" ht="31.2" customHeight="1">
      <c r="C4191" s="200"/>
      <c r="F4191" s="758"/>
    </row>
    <row r="4192" spans="3:16" ht="31.2" customHeight="1">
      <c r="C4192" s="199" t="s">
        <v>5586</v>
      </c>
      <c r="D4192" s="187" t="s">
        <v>7314</v>
      </c>
      <c r="F4192" s="758"/>
    </row>
    <row r="4193" spans="3:20" s="517" customFormat="1" ht="31.2" customHeight="1" thickBot="1">
      <c r="C4193" s="513" t="s">
        <v>7315</v>
      </c>
      <c r="D4193" s="748" t="s">
        <v>7316</v>
      </c>
      <c r="E4193" s="749"/>
      <c r="F4193" s="748"/>
      <c r="G4193" s="748"/>
      <c r="H4193" s="532"/>
      <c r="I4193" s="532"/>
      <c r="J4193" s="532"/>
      <c r="K4193" s="532"/>
      <c r="M4193" s="189"/>
      <c r="N4193" s="189"/>
      <c r="O4193" s="189"/>
      <c r="P4193" s="189"/>
      <c r="R4193" s="189">
        <f>ROUNDDOWN(H4217,-2)</f>
        <v>224500</v>
      </c>
      <c r="S4193" s="517" t="s">
        <v>6451</v>
      </c>
      <c r="T4193" s="517" t="s">
        <v>7014</v>
      </c>
    </row>
    <row r="4194" spans="3:20" s="517" customFormat="1" ht="31.2" customHeight="1" thickTop="1">
      <c r="C4194" s="190" t="s">
        <v>1195</v>
      </c>
      <c r="D4194" s="191" t="s">
        <v>1196</v>
      </c>
      <c r="E4194" s="191" t="s">
        <v>1197</v>
      </c>
      <c r="F4194" s="191" t="s">
        <v>1198</v>
      </c>
      <c r="G4194" s="191" t="s">
        <v>1199</v>
      </c>
      <c r="H4194" s="192" t="s">
        <v>1200</v>
      </c>
      <c r="L4194" s="200"/>
      <c r="M4194" s="200"/>
      <c r="N4194" s="200"/>
      <c r="O4194" s="200"/>
      <c r="P4194" s="200"/>
    </row>
    <row r="4195" spans="3:20" s="517" customFormat="1" ht="31.2" customHeight="1">
      <c r="C4195" s="518" t="s">
        <v>1201</v>
      </c>
      <c r="D4195" s="196" t="s">
        <v>1202</v>
      </c>
      <c r="E4195" s="197"/>
      <c r="F4195" s="197"/>
      <c r="G4195" s="197"/>
      <c r="H4195" s="198"/>
      <c r="L4195" s="200"/>
      <c r="M4195" s="200"/>
      <c r="N4195" s="200"/>
      <c r="O4195" s="200"/>
      <c r="P4195" s="200"/>
    </row>
    <row r="4196" spans="3:20" s="517" customFormat="1" ht="31.2" customHeight="1">
      <c r="C4196" s="518">
        <v>1</v>
      </c>
      <c r="D4196" s="196" t="s">
        <v>5</v>
      </c>
      <c r="E4196" s="203" t="s">
        <v>2102</v>
      </c>
      <c r="F4196" s="525">
        <v>6.7000000000000004E-2</v>
      </c>
      <c r="G4196" s="205">
        <f>VLOOKUP(D4196,upahbahan,3,FALSE)</f>
        <v>100000</v>
      </c>
      <c r="H4196" s="210">
        <f t="shared" ref="H4196:H4199" si="290">F4196*G4196</f>
        <v>6700</v>
      </c>
      <c r="L4196" s="200"/>
      <c r="M4196" s="200"/>
      <c r="N4196" s="200"/>
      <c r="O4196" s="200"/>
      <c r="P4196" s="200"/>
    </row>
    <row r="4197" spans="3:20" s="517" customFormat="1" ht="31.2" customHeight="1">
      <c r="C4197" s="537">
        <v>2</v>
      </c>
      <c r="D4197" s="196" t="s">
        <v>6954</v>
      </c>
      <c r="E4197" s="202" t="s">
        <v>6</v>
      </c>
      <c r="F4197" s="520">
        <v>6.7000000000000004E-2</v>
      </c>
      <c r="G4197" s="205">
        <f>VLOOKUP(D4197,upahbahan,3,FALSE)</f>
        <v>181250</v>
      </c>
      <c r="H4197" s="210">
        <f t="shared" si="290"/>
        <v>12143.75</v>
      </c>
      <c r="L4197" s="200"/>
      <c r="M4197" s="200"/>
      <c r="N4197" s="200"/>
      <c r="O4197" s="200"/>
      <c r="P4197" s="200"/>
    </row>
    <row r="4198" spans="3:20" s="517" customFormat="1" ht="31.2" customHeight="1">
      <c r="C4198" s="537">
        <v>3</v>
      </c>
      <c r="D4198" s="196" t="s">
        <v>6948</v>
      </c>
      <c r="E4198" s="202" t="s">
        <v>2102</v>
      </c>
      <c r="F4198" s="520">
        <v>3.3000000000000002E-2</v>
      </c>
      <c r="G4198" s="205">
        <f>VLOOKUP(D4198,upahbahan,3,FALSE)</f>
        <v>218750</v>
      </c>
      <c r="H4198" s="210">
        <f t="shared" si="290"/>
        <v>7218.75</v>
      </c>
      <c r="L4198" s="200"/>
      <c r="M4198" s="200"/>
      <c r="N4198" s="200"/>
      <c r="O4198" s="200"/>
      <c r="P4198" s="200"/>
    </row>
    <row r="4199" spans="3:20" s="517" customFormat="1" ht="31.2" customHeight="1">
      <c r="C4199" s="537">
        <v>4</v>
      </c>
      <c r="D4199" s="196" t="s">
        <v>19</v>
      </c>
      <c r="E4199" s="202" t="s">
        <v>6</v>
      </c>
      <c r="F4199" s="520">
        <v>1.0999999999999999E-2</v>
      </c>
      <c r="G4199" s="205">
        <f>VLOOKUP(D4199,upahbahan,3,FALSE)</f>
        <v>160000</v>
      </c>
      <c r="H4199" s="210">
        <f t="shared" si="290"/>
        <v>1760</v>
      </c>
      <c r="L4199" s="200"/>
      <c r="M4199" s="200"/>
      <c r="N4199" s="200"/>
      <c r="O4199" s="200"/>
      <c r="P4199" s="200"/>
    </row>
    <row r="4200" spans="3:20" s="517" customFormat="1" ht="31.2" customHeight="1">
      <c r="C4200" s="207" t="s">
        <v>1208</v>
      </c>
      <c r="D4200" s="208"/>
      <c r="E4200" s="208"/>
      <c r="F4200" s="521"/>
      <c r="G4200" s="522"/>
      <c r="H4200" s="210">
        <f>SUM(H4196:H4199)</f>
        <v>27822.5</v>
      </c>
      <c r="L4200" s="523"/>
      <c r="M4200" s="523"/>
      <c r="N4200" s="523"/>
      <c r="O4200" s="523"/>
      <c r="P4200" s="523"/>
    </row>
    <row r="4201" spans="3:20" s="517" customFormat="1" ht="31.2" customHeight="1">
      <c r="C4201" s="543" t="s">
        <v>1209</v>
      </c>
      <c r="D4201" s="750" t="s">
        <v>1210</v>
      </c>
      <c r="E4201" s="197"/>
      <c r="F4201" s="751"/>
      <c r="G4201" s="197"/>
      <c r="H4201" s="752"/>
      <c r="L4201" s="200"/>
      <c r="M4201" s="200"/>
      <c r="N4201" s="200"/>
      <c r="O4201" s="200"/>
      <c r="P4201" s="200"/>
    </row>
    <row r="4202" spans="3:20" s="517" customFormat="1" ht="31.2" customHeight="1">
      <c r="C4202" s="543">
        <v>1</v>
      </c>
      <c r="D4202" s="750" t="s">
        <v>7317</v>
      </c>
      <c r="E4202" s="203" t="s">
        <v>44</v>
      </c>
      <c r="F4202" s="753">
        <v>1.05</v>
      </c>
      <c r="G4202" s="205">
        <f>VLOOKUP(D4202,upahbahan,3,FALSE)</f>
        <v>0</v>
      </c>
      <c r="H4202" s="210">
        <f t="shared" ref="H4202:H4210" si="291">F4202*G4202</f>
        <v>0</v>
      </c>
      <c r="L4202" s="200"/>
      <c r="M4202" s="200"/>
      <c r="N4202" s="200"/>
      <c r="O4202" s="200"/>
      <c r="P4202" s="200"/>
    </row>
    <row r="4203" spans="3:20" s="517" customFormat="1" ht="31.2" customHeight="1">
      <c r="C4203" s="543">
        <v>2</v>
      </c>
      <c r="D4203" s="750" t="s">
        <v>5563</v>
      </c>
      <c r="E4203" s="203" t="s">
        <v>65</v>
      </c>
      <c r="F4203" s="753">
        <v>0.02</v>
      </c>
      <c r="G4203" s="205">
        <f>VLOOKUP(D4203,upahbahan,3,FALSE)</f>
        <v>0</v>
      </c>
      <c r="H4203" s="210">
        <f t="shared" si="291"/>
        <v>0</v>
      </c>
      <c r="L4203" s="200"/>
      <c r="M4203" s="200"/>
      <c r="N4203" s="200"/>
      <c r="O4203" s="200"/>
      <c r="P4203" s="200"/>
    </row>
    <row r="4204" spans="3:20" s="517" customFormat="1" ht="31.2" customHeight="1">
      <c r="C4204" s="543">
        <v>3</v>
      </c>
      <c r="D4204" s="750" t="s">
        <v>5555</v>
      </c>
      <c r="E4204" s="203"/>
      <c r="F4204" s="753"/>
      <c r="G4204" s="197"/>
      <c r="H4204" s="210">
        <f t="shared" si="291"/>
        <v>0</v>
      </c>
      <c r="L4204" s="200"/>
      <c r="M4204" s="200"/>
      <c r="N4204" s="200"/>
      <c r="O4204" s="200"/>
      <c r="P4204" s="200"/>
    </row>
    <row r="4205" spans="3:20" s="517" customFormat="1" ht="31.2" customHeight="1">
      <c r="C4205" s="754" t="s">
        <v>5293</v>
      </c>
      <c r="D4205" s="750" t="s">
        <v>7142</v>
      </c>
      <c r="E4205" s="203" t="s">
        <v>113</v>
      </c>
      <c r="F4205" s="760">
        <v>18</v>
      </c>
      <c r="G4205" s="205">
        <f>VLOOKUP(D4205,upahbahan,3,FALSE)</f>
        <v>0</v>
      </c>
      <c r="H4205" s="210">
        <f t="shared" si="291"/>
        <v>0</v>
      </c>
      <c r="L4205" s="200"/>
      <c r="M4205" s="200"/>
      <c r="N4205" s="200"/>
      <c r="O4205" s="200"/>
      <c r="P4205" s="200"/>
    </row>
    <row r="4206" spans="3:20" s="517" customFormat="1" ht="31.2" customHeight="1">
      <c r="C4206" s="754" t="s">
        <v>5299</v>
      </c>
      <c r="D4206" s="750" t="s">
        <v>7055</v>
      </c>
      <c r="E4206" s="203" t="s">
        <v>113</v>
      </c>
      <c r="F4206" s="760">
        <v>10</v>
      </c>
      <c r="G4206" s="205">
        <f>VLOOKUP(D4206,upahbahan,3,FALSE)</f>
        <v>0</v>
      </c>
      <c r="H4206" s="210">
        <f t="shared" si="291"/>
        <v>0</v>
      </c>
      <c r="L4206" s="200"/>
      <c r="M4206" s="200"/>
      <c r="N4206" s="200"/>
      <c r="O4206" s="200"/>
      <c r="P4206" s="200"/>
    </row>
    <row r="4207" spans="3:20" s="517" customFormat="1" ht="31.2" customHeight="1">
      <c r="C4207" s="543">
        <v>4</v>
      </c>
      <c r="D4207" s="750" t="s">
        <v>5556</v>
      </c>
      <c r="E4207" s="203"/>
      <c r="F4207" s="753"/>
      <c r="G4207" s="197"/>
      <c r="H4207" s="210">
        <f t="shared" si="291"/>
        <v>0</v>
      </c>
      <c r="L4207" s="200"/>
      <c r="M4207" s="200"/>
      <c r="N4207" s="200"/>
      <c r="O4207" s="200"/>
      <c r="P4207" s="200"/>
    </row>
    <row r="4208" spans="3:20" s="517" customFormat="1" ht="31.2" customHeight="1">
      <c r="C4208" s="754" t="s">
        <v>5293</v>
      </c>
      <c r="D4208" s="750" t="s">
        <v>2084</v>
      </c>
      <c r="E4208" s="203" t="s">
        <v>42</v>
      </c>
      <c r="F4208" s="753">
        <v>0.14599999999999999</v>
      </c>
      <c r="G4208" s="205">
        <f>VLOOKUP(D4208,upahbahan,3,FALSE)</f>
        <v>0</v>
      </c>
      <c r="H4208" s="210">
        <f t="shared" si="291"/>
        <v>0</v>
      </c>
      <c r="L4208" s="200"/>
      <c r="M4208" s="200"/>
      <c r="N4208" s="200"/>
      <c r="O4208" s="200"/>
      <c r="P4208" s="200"/>
    </row>
    <row r="4209" spans="3:20" s="517" customFormat="1" ht="31.2" customHeight="1">
      <c r="C4209" s="754" t="s">
        <v>5299</v>
      </c>
      <c r="D4209" s="750" t="s">
        <v>5566</v>
      </c>
      <c r="E4209" s="203" t="s">
        <v>42</v>
      </c>
      <c r="F4209" s="753">
        <v>3.9E-2</v>
      </c>
      <c r="G4209" s="205">
        <f>VLOOKUP(D4209,upahbahan,3,FALSE)</f>
        <v>0</v>
      </c>
      <c r="H4209" s="210">
        <f t="shared" si="291"/>
        <v>0</v>
      </c>
      <c r="L4209" s="200"/>
      <c r="M4209" s="200"/>
      <c r="N4209" s="200"/>
      <c r="O4209" s="200"/>
      <c r="P4209" s="200"/>
    </row>
    <row r="4210" spans="3:20" s="517" customFormat="1" ht="31.2" customHeight="1">
      <c r="C4210" s="754" t="s">
        <v>5558</v>
      </c>
      <c r="D4210" s="750" t="s">
        <v>2325</v>
      </c>
      <c r="E4210" s="203" t="s">
        <v>42</v>
      </c>
      <c r="F4210" s="762">
        <v>0.01</v>
      </c>
      <c r="G4210" s="205">
        <f>VLOOKUP(D4210,upahbahan,3,FALSE)</f>
        <v>0</v>
      </c>
      <c r="H4210" s="210">
        <f t="shared" si="291"/>
        <v>0</v>
      </c>
      <c r="L4210" s="200"/>
      <c r="M4210" s="200"/>
      <c r="N4210" s="200"/>
      <c r="O4210" s="200"/>
      <c r="P4210" s="200"/>
    </row>
    <row r="4211" spans="3:20" s="517" customFormat="1" ht="31.2" customHeight="1">
      <c r="C4211" s="207" t="s">
        <v>1214</v>
      </c>
      <c r="D4211" s="208"/>
      <c r="E4211" s="568"/>
      <c r="F4211" s="208"/>
      <c r="G4211" s="209"/>
      <c r="H4211" s="210">
        <f>SUM(H4202:H4210)</f>
        <v>0</v>
      </c>
      <c r="L4211" s="200"/>
      <c r="M4211" s="200"/>
      <c r="N4211" s="200"/>
      <c r="O4211" s="200"/>
      <c r="P4211" s="200"/>
    </row>
    <row r="4212" spans="3:20" s="517" customFormat="1" ht="31.2" customHeight="1">
      <c r="C4212" s="756" t="s">
        <v>1215</v>
      </c>
      <c r="D4212" s="196" t="s">
        <v>1216</v>
      </c>
      <c r="E4212" s="203"/>
      <c r="F4212" s="197"/>
      <c r="G4212" s="197"/>
      <c r="H4212" s="198"/>
      <c r="L4212" s="200"/>
      <c r="M4212" s="200"/>
      <c r="N4212" s="200"/>
      <c r="O4212" s="200"/>
      <c r="P4212" s="200"/>
    </row>
    <row r="4213" spans="3:20" s="517" customFormat="1" ht="31.2" customHeight="1">
      <c r="C4213" s="543">
        <v>1</v>
      </c>
      <c r="D4213" s="750" t="s">
        <v>7189</v>
      </c>
      <c r="E4213" s="203" t="s">
        <v>2396</v>
      </c>
      <c r="F4213" s="762">
        <v>0.41</v>
      </c>
      <c r="G4213" s="205">
        <f>VLOOKUP(D4213,upahbahan,3,FALSE)</f>
        <v>430000</v>
      </c>
      <c r="H4213" s="210">
        <f t="shared" ref="H4213" si="292">F4213*G4213</f>
        <v>176300</v>
      </c>
      <c r="L4213" s="200"/>
      <c r="M4213" s="200"/>
      <c r="N4213" s="200"/>
      <c r="O4213" s="200"/>
      <c r="P4213" s="200"/>
    </row>
    <row r="4214" spans="3:20" s="517" customFormat="1" ht="31.2" customHeight="1">
      <c r="C4214" s="207" t="s">
        <v>1217</v>
      </c>
      <c r="D4214" s="208"/>
      <c r="E4214" s="208"/>
      <c r="F4214" s="208"/>
      <c r="G4214" s="209"/>
      <c r="H4214" s="240">
        <f>SUM(H4213)</f>
        <v>176300</v>
      </c>
      <c r="L4214" s="200"/>
      <c r="M4214" s="200"/>
      <c r="N4214" s="200"/>
      <c r="O4214" s="200"/>
      <c r="P4214" s="200"/>
    </row>
    <row r="4215" spans="3:20" s="517" customFormat="1" ht="31.2" customHeight="1">
      <c r="C4215" s="223" t="s">
        <v>1218</v>
      </c>
      <c r="D4215" s="224" t="s">
        <v>1219</v>
      </c>
      <c r="E4215" s="225"/>
      <c r="F4215" s="225"/>
      <c r="G4215" s="226"/>
      <c r="H4215" s="210">
        <f>H4214+H4211+H4200</f>
        <v>204122.5</v>
      </c>
      <c r="L4215" s="200"/>
      <c r="M4215" s="200"/>
      <c r="N4215" s="200"/>
      <c r="O4215" s="200"/>
      <c r="P4215" s="200"/>
    </row>
    <row r="4216" spans="3:20" s="517" customFormat="1" ht="31.2" customHeight="1">
      <c r="C4216" s="223" t="s">
        <v>1220</v>
      </c>
      <c r="D4216" s="224" t="s">
        <v>1321</v>
      </c>
      <c r="E4216" s="225"/>
      <c r="F4216" s="226"/>
      <c r="G4216" s="228">
        <v>0.1</v>
      </c>
      <c r="H4216" s="210">
        <f>H4215*G4216</f>
        <v>20412.25</v>
      </c>
      <c r="L4216" s="200"/>
      <c r="M4216" s="200"/>
      <c r="N4216" s="200"/>
      <c r="O4216" s="200"/>
      <c r="P4216" s="200"/>
    </row>
    <row r="4217" spans="3:20" s="517" customFormat="1" ht="31.2" customHeight="1" thickBot="1">
      <c r="C4217" s="229" t="s">
        <v>1221</v>
      </c>
      <c r="D4217" s="230" t="s">
        <v>1222</v>
      </c>
      <c r="E4217" s="231"/>
      <c r="F4217" s="231"/>
      <c r="G4217" s="232"/>
      <c r="H4217" s="233">
        <f>SUM(H4215:H4216)</f>
        <v>224534.75</v>
      </c>
      <c r="L4217" s="200"/>
      <c r="M4217" s="200"/>
      <c r="N4217" s="200"/>
      <c r="O4217" s="200"/>
      <c r="P4217" s="200"/>
    </row>
    <row r="4218" spans="3:20" ht="31.2" customHeight="1" thickTop="1">
      <c r="D4218" s="758" t="s">
        <v>7210</v>
      </c>
    </row>
    <row r="4219" spans="3:20" ht="31.2" customHeight="1">
      <c r="C4219" s="757" t="s">
        <v>6950</v>
      </c>
      <c r="F4219" s="758"/>
      <c r="H4219" s="758" t="s">
        <v>6959</v>
      </c>
    </row>
    <row r="4220" spans="3:20" ht="31.2" customHeight="1">
      <c r="C4220" s="200" t="s">
        <v>6951</v>
      </c>
      <c r="F4220" s="758"/>
    </row>
    <row r="4221" spans="3:20" ht="31.2" customHeight="1">
      <c r="C4221" s="200" t="s">
        <v>6952</v>
      </c>
      <c r="F4221" s="758"/>
    </row>
    <row r="4222" spans="3:20" ht="31.2" customHeight="1">
      <c r="C4222" s="200"/>
      <c r="F4222" s="758"/>
    </row>
    <row r="4223" spans="3:20" s="517" customFormat="1" ht="31.2" customHeight="1" thickBot="1">
      <c r="C4223" s="513" t="s">
        <v>7318</v>
      </c>
      <c r="D4223" s="748" t="s">
        <v>7319</v>
      </c>
      <c r="E4223" s="749"/>
      <c r="F4223" s="748"/>
      <c r="G4223" s="748"/>
      <c r="H4223" s="532"/>
      <c r="I4223" s="532"/>
      <c r="J4223" s="532"/>
      <c r="K4223" s="532"/>
      <c r="M4223" s="189"/>
      <c r="N4223" s="189"/>
      <c r="O4223" s="189"/>
      <c r="P4223" s="189"/>
      <c r="R4223" s="189">
        <f>ROUNDDOWN(H4247,-2)</f>
        <v>224500</v>
      </c>
      <c r="S4223" s="517" t="s">
        <v>6451</v>
      </c>
      <c r="T4223" s="517" t="s">
        <v>7014</v>
      </c>
    </row>
    <row r="4224" spans="3:20" s="517" customFormat="1" ht="31.2" customHeight="1" thickTop="1">
      <c r="C4224" s="190" t="s">
        <v>1195</v>
      </c>
      <c r="D4224" s="191" t="s">
        <v>1196</v>
      </c>
      <c r="E4224" s="191" t="s">
        <v>1197</v>
      </c>
      <c r="F4224" s="191" t="s">
        <v>1198</v>
      </c>
      <c r="G4224" s="191" t="s">
        <v>1199</v>
      </c>
      <c r="H4224" s="192" t="s">
        <v>1200</v>
      </c>
      <c r="L4224" s="200"/>
      <c r="M4224" s="200"/>
      <c r="N4224" s="200"/>
      <c r="O4224" s="200"/>
      <c r="P4224" s="200"/>
    </row>
    <row r="4225" spans="3:16" s="517" customFormat="1" ht="31.2" customHeight="1">
      <c r="C4225" s="518" t="s">
        <v>1201</v>
      </c>
      <c r="D4225" s="196" t="s">
        <v>1202</v>
      </c>
      <c r="E4225" s="197"/>
      <c r="F4225" s="197"/>
      <c r="G4225" s="197"/>
      <c r="H4225" s="198"/>
      <c r="L4225" s="200"/>
      <c r="M4225" s="200"/>
      <c r="N4225" s="200"/>
      <c r="O4225" s="200"/>
      <c r="P4225" s="200"/>
    </row>
    <row r="4226" spans="3:16" s="517" customFormat="1" ht="31.2" customHeight="1">
      <c r="C4226" s="518">
        <v>1</v>
      </c>
      <c r="D4226" s="196" t="s">
        <v>5</v>
      </c>
      <c r="E4226" s="203" t="s">
        <v>2102</v>
      </c>
      <c r="F4226" s="525">
        <v>6.7000000000000004E-2</v>
      </c>
      <c r="G4226" s="205">
        <f>VLOOKUP(D4226,upahbahan,3,FALSE)</f>
        <v>100000</v>
      </c>
      <c r="H4226" s="210">
        <f t="shared" ref="H4226:H4229" si="293">F4226*G4226</f>
        <v>6700</v>
      </c>
      <c r="L4226" s="200"/>
      <c r="M4226" s="200"/>
      <c r="N4226" s="200"/>
      <c r="O4226" s="200"/>
      <c r="P4226" s="200"/>
    </row>
    <row r="4227" spans="3:16" s="517" customFormat="1" ht="31.2" customHeight="1">
      <c r="C4227" s="537">
        <v>2</v>
      </c>
      <c r="D4227" s="196" t="s">
        <v>6954</v>
      </c>
      <c r="E4227" s="202" t="s">
        <v>6</v>
      </c>
      <c r="F4227" s="520">
        <v>6.7000000000000004E-2</v>
      </c>
      <c r="G4227" s="205">
        <f>VLOOKUP(D4227,upahbahan,3,FALSE)</f>
        <v>181250</v>
      </c>
      <c r="H4227" s="210">
        <f t="shared" si="293"/>
        <v>12143.75</v>
      </c>
      <c r="L4227" s="200"/>
      <c r="M4227" s="200"/>
      <c r="N4227" s="200"/>
      <c r="O4227" s="200"/>
      <c r="P4227" s="200"/>
    </row>
    <row r="4228" spans="3:16" s="517" customFormat="1" ht="31.2" customHeight="1">
      <c r="C4228" s="537">
        <v>3</v>
      </c>
      <c r="D4228" s="196" t="s">
        <v>6948</v>
      </c>
      <c r="E4228" s="202" t="s">
        <v>2102</v>
      </c>
      <c r="F4228" s="520">
        <v>3.3000000000000002E-2</v>
      </c>
      <c r="G4228" s="205">
        <f>VLOOKUP(D4228,upahbahan,3,FALSE)</f>
        <v>218750</v>
      </c>
      <c r="H4228" s="210">
        <f t="shared" si="293"/>
        <v>7218.75</v>
      </c>
      <c r="L4228" s="200"/>
      <c r="M4228" s="200"/>
      <c r="N4228" s="200"/>
      <c r="O4228" s="200"/>
      <c r="P4228" s="200"/>
    </row>
    <row r="4229" spans="3:16" s="517" customFormat="1" ht="31.2" customHeight="1">
      <c r="C4229" s="537">
        <v>4</v>
      </c>
      <c r="D4229" s="196" t="s">
        <v>19</v>
      </c>
      <c r="E4229" s="202" t="s">
        <v>6</v>
      </c>
      <c r="F4229" s="520">
        <v>1.0999999999999999E-2</v>
      </c>
      <c r="G4229" s="205">
        <f>VLOOKUP(D4229,upahbahan,3,FALSE)</f>
        <v>160000</v>
      </c>
      <c r="H4229" s="210">
        <f t="shared" si="293"/>
        <v>1760</v>
      </c>
      <c r="L4229" s="200"/>
      <c r="M4229" s="200"/>
      <c r="N4229" s="200"/>
      <c r="O4229" s="200"/>
      <c r="P4229" s="200"/>
    </row>
    <row r="4230" spans="3:16" s="517" customFormat="1" ht="31.2" customHeight="1">
      <c r="C4230" s="207" t="s">
        <v>1208</v>
      </c>
      <c r="D4230" s="208"/>
      <c r="E4230" s="208"/>
      <c r="F4230" s="521"/>
      <c r="G4230" s="522"/>
      <c r="H4230" s="210">
        <f>SUM(H4226:H4229)</f>
        <v>27822.5</v>
      </c>
      <c r="L4230" s="523"/>
      <c r="M4230" s="523"/>
      <c r="N4230" s="523"/>
      <c r="O4230" s="523"/>
      <c r="P4230" s="523"/>
    </row>
    <row r="4231" spans="3:16" s="517" customFormat="1" ht="31.2" customHeight="1">
      <c r="C4231" s="543" t="s">
        <v>1209</v>
      </c>
      <c r="D4231" s="750" t="s">
        <v>1210</v>
      </c>
      <c r="E4231" s="197"/>
      <c r="F4231" s="751"/>
      <c r="G4231" s="197"/>
      <c r="H4231" s="752"/>
      <c r="L4231" s="200"/>
      <c r="M4231" s="200"/>
      <c r="N4231" s="200"/>
      <c r="O4231" s="200"/>
      <c r="P4231" s="200"/>
    </row>
    <row r="4232" spans="3:16" s="517" customFormat="1" ht="31.2" customHeight="1">
      <c r="C4232" s="543">
        <v>1</v>
      </c>
      <c r="D4232" s="750" t="s">
        <v>7320</v>
      </c>
      <c r="E4232" s="203" t="s">
        <v>44</v>
      </c>
      <c r="F4232" s="753">
        <v>1.05</v>
      </c>
      <c r="G4232" s="205">
        <f>VLOOKUP(D4232,upahbahan,3,FALSE)</f>
        <v>0</v>
      </c>
      <c r="H4232" s="210">
        <f t="shared" ref="H4232:H4240" si="294">F4232*G4232</f>
        <v>0</v>
      </c>
      <c r="L4232" s="200"/>
      <c r="M4232" s="200"/>
      <c r="N4232" s="200"/>
      <c r="O4232" s="200"/>
      <c r="P4232" s="200"/>
    </row>
    <row r="4233" spans="3:16" s="517" customFormat="1" ht="31.2" customHeight="1">
      <c r="C4233" s="543">
        <v>2</v>
      </c>
      <c r="D4233" s="750" t="s">
        <v>5563</v>
      </c>
      <c r="E4233" s="203" t="s">
        <v>65</v>
      </c>
      <c r="F4233" s="753">
        <v>0.02</v>
      </c>
      <c r="G4233" s="205">
        <f>VLOOKUP(D4233,upahbahan,3,FALSE)</f>
        <v>0</v>
      </c>
      <c r="H4233" s="210">
        <f t="shared" si="294"/>
        <v>0</v>
      </c>
      <c r="L4233" s="200"/>
      <c r="M4233" s="200"/>
      <c r="N4233" s="200"/>
      <c r="O4233" s="200"/>
      <c r="P4233" s="200"/>
    </row>
    <row r="4234" spans="3:16" s="517" customFormat="1" ht="31.2" customHeight="1">
      <c r="C4234" s="543">
        <v>3</v>
      </c>
      <c r="D4234" s="750" t="s">
        <v>5555</v>
      </c>
      <c r="E4234" s="203"/>
      <c r="F4234" s="753"/>
      <c r="G4234" s="197"/>
      <c r="H4234" s="210">
        <f t="shared" si="294"/>
        <v>0</v>
      </c>
      <c r="L4234" s="200"/>
      <c r="M4234" s="200"/>
      <c r="N4234" s="200"/>
      <c r="O4234" s="200"/>
      <c r="P4234" s="200"/>
    </row>
    <row r="4235" spans="3:16" s="517" customFormat="1" ht="31.2" customHeight="1">
      <c r="C4235" s="754" t="s">
        <v>5293</v>
      </c>
      <c r="D4235" s="750" t="s">
        <v>7142</v>
      </c>
      <c r="E4235" s="203" t="s">
        <v>113</v>
      </c>
      <c r="F4235" s="760">
        <v>18</v>
      </c>
      <c r="G4235" s="205">
        <f>VLOOKUP(D4235,upahbahan,3,FALSE)</f>
        <v>0</v>
      </c>
      <c r="H4235" s="210">
        <f t="shared" si="294"/>
        <v>0</v>
      </c>
      <c r="L4235" s="200"/>
      <c r="M4235" s="200"/>
      <c r="N4235" s="200"/>
      <c r="O4235" s="200"/>
      <c r="P4235" s="200"/>
    </row>
    <row r="4236" spans="3:16" s="517" customFormat="1" ht="31.2" customHeight="1">
      <c r="C4236" s="754" t="s">
        <v>5299</v>
      </c>
      <c r="D4236" s="750" t="s">
        <v>7055</v>
      </c>
      <c r="E4236" s="203" t="s">
        <v>113</v>
      </c>
      <c r="F4236" s="760">
        <v>10</v>
      </c>
      <c r="G4236" s="205">
        <f>VLOOKUP(D4236,upahbahan,3,FALSE)</f>
        <v>0</v>
      </c>
      <c r="H4236" s="210">
        <f t="shared" si="294"/>
        <v>0</v>
      </c>
      <c r="L4236" s="200"/>
      <c r="M4236" s="200"/>
      <c r="N4236" s="200"/>
      <c r="O4236" s="200"/>
      <c r="P4236" s="200"/>
    </row>
    <row r="4237" spans="3:16" s="517" customFormat="1" ht="31.2" customHeight="1">
      <c r="C4237" s="543">
        <v>4</v>
      </c>
      <c r="D4237" s="750" t="s">
        <v>5556</v>
      </c>
      <c r="E4237" s="203"/>
      <c r="F4237" s="753"/>
      <c r="G4237" s="197"/>
      <c r="H4237" s="210">
        <f t="shared" si="294"/>
        <v>0</v>
      </c>
      <c r="L4237" s="200"/>
      <c r="M4237" s="200"/>
      <c r="N4237" s="200"/>
      <c r="O4237" s="200"/>
      <c r="P4237" s="200"/>
    </row>
    <row r="4238" spans="3:16" s="517" customFormat="1" ht="31.2" customHeight="1">
      <c r="C4238" s="754" t="s">
        <v>5293</v>
      </c>
      <c r="D4238" s="750" t="s">
        <v>2084</v>
      </c>
      <c r="E4238" s="203" t="s">
        <v>42</v>
      </c>
      <c r="F4238" s="753">
        <v>0.14599999999999999</v>
      </c>
      <c r="G4238" s="205">
        <f>VLOOKUP(D4238,upahbahan,3,FALSE)</f>
        <v>0</v>
      </c>
      <c r="H4238" s="210">
        <f t="shared" si="294"/>
        <v>0</v>
      </c>
      <c r="L4238" s="200"/>
      <c r="M4238" s="200"/>
      <c r="N4238" s="200"/>
      <c r="O4238" s="200"/>
      <c r="P4238" s="200"/>
    </row>
    <row r="4239" spans="3:16" s="517" customFormat="1" ht="31.2" customHeight="1">
      <c r="C4239" s="754" t="s">
        <v>5299</v>
      </c>
      <c r="D4239" s="750" t="s">
        <v>5566</v>
      </c>
      <c r="E4239" s="203" t="s">
        <v>42</v>
      </c>
      <c r="F4239" s="753">
        <v>3.9E-2</v>
      </c>
      <c r="G4239" s="205">
        <f>VLOOKUP(D4239,upahbahan,3,FALSE)</f>
        <v>0</v>
      </c>
      <c r="H4239" s="210">
        <f t="shared" si="294"/>
        <v>0</v>
      </c>
      <c r="L4239" s="200"/>
      <c r="M4239" s="200"/>
      <c r="N4239" s="200"/>
      <c r="O4239" s="200"/>
      <c r="P4239" s="200"/>
    </row>
    <row r="4240" spans="3:16" s="517" customFormat="1" ht="31.2" customHeight="1">
      <c r="C4240" s="754" t="s">
        <v>5558</v>
      </c>
      <c r="D4240" s="750" t="s">
        <v>2325</v>
      </c>
      <c r="E4240" s="203" t="s">
        <v>42</v>
      </c>
      <c r="F4240" s="762">
        <v>0.01</v>
      </c>
      <c r="G4240" s="205">
        <f>VLOOKUP(D4240,upahbahan,3,FALSE)</f>
        <v>0</v>
      </c>
      <c r="H4240" s="210">
        <f t="shared" si="294"/>
        <v>0</v>
      </c>
      <c r="L4240" s="200"/>
      <c r="M4240" s="200"/>
      <c r="N4240" s="200"/>
      <c r="O4240" s="200"/>
      <c r="P4240" s="200"/>
    </row>
    <row r="4241" spans="3:20" s="517" customFormat="1" ht="31.2" customHeight="1">
      <c r="C4241" s="207" t="s">
        <v>1214</v>
      </c>
      <c r="D4241" s="208"/>
      <c r="E4241" s="568"/>
      <c r="F4241" s="208"/>
      <c r="G4241" s="209"/>
      <c r="H4241" s="210">
        <f>SUM(H4232:H4240)</f>
        <v>0</v>
      </c>
      <c r="L4241" s="200"/>
      <c r="M4241" s="200"/>
      <c r="N4241" s="200"/>
      <c r="O4241" s="200"/>
      <c r="P4241" s="200"/>
    </row>
    <row r="4242" spans="3:20" s="517" customFormat="1" ht="31.2" customHeight="1">
      <c r="C4242" s="756" t="s">
        <v>1215</v>
      </c>
      <c r="D4242" s="196" t="s">
        <v>1216</v>
      </c>
      <c r="E4242" s="203"/>
      <c r="F4242" s="197"/>
      <c r="G4242" s="197"/>
      <c r="H4242" s="198"/>
      <c r="L4242" s="200"/>
      <c r="M4242" s="200"/>
      <c r="N4242" s="200"/>
      <c r="O4242" s="200"/>
      <c r="P4242" s="200"/>
    </row>
    <row r="4243" spans="3:20" s="517" customFormat="1" ht="31.2" customHeight="1">
      <c r="C4243" s="543">
        <v>1</v>
      </c>
      <c r="D4243" s="750" t="s">
        <v>7189</v>
      </c>
      <c r="E4243" s="203" t="s">
        <v>2396</v>
      </c>
      <c r="F4243" s="762">
        <v>0.41</v>
      </c>
      <c r="G4243" s="205">
        <f>VLOOKUP(D4243,upahbahan,3,FALSE)</f>
        <v>430000</v>
      </c>
      <c r="H4243" s="210">
        <f t="shared" ref="H4243" si="295">F4243*G4243</f>
        <v>176300</v>
      </c>
      <c r="L4243" s="200"/>
      <c r="M4243" s="200"/>
      <c r="N4243" s="200"/>
      <c r="O4243" s="200"/>
      <c r="P4243" s="200"/>
    </row>
    <row r="4244" spans="3:20" s="517" customFormat="1" ht="31.2" customHeight="1">
      <c r="C4244" s="207" t="s">
        <v>1217</v>
      </c>
      <c r="D4244" s="208"/>
      <c r="E4244" s="208"/>
      <c r="F4244" s="208"/>
      <c r="G4244" s="209"/>
      <c r="H4244" s="240">
        <f>SUM(H4243)</f>
        <v>176300</v>
      </c>
      <c r="L4244" s="200"/>
      <c r="M4244" s="200"/>
      <c r="N4244" s="200"/>
      <c r="O4244" s="200"/>
      <c r="P4244" s="200"/>
    </row>
    <row r="4245" spans="3:20" s="517" customFormat="1" ht="31.2" customHeight="1">
      <c r="C4245" s="223" t="s">
        <v>1218</v>
      </c>
      <c r="D4245" s="224" t="s">
        <v>1219</v>
      </c>
      <c r="E4245" s="225"/>
      <c r="F4245" s="225"/>
      <c r="G4245" s="226"/>
      <c r="H4245" s="210">
        <f>H4244+H4241+H4230</f>
        <v>204122.5</v>
      </c>
      <c r="L4245" s="200"/>
      <c r="M4245" s="200"/>
      <c r="N4245" s="200"/>
      <c r="O4245" s="200"/>
      <c r="P4245" s="200"/>
    </row>
    <row r="4246" spans="3:20" s="517" customFormat="1" ht="31.2" customHeight="1">
      <c r="C4246" s="223" t="s">
        <v>1220</v>
      </c>
      <c r="D4246" s="224" t="s">
        <v>1321</v>
      </c>
      <c r="E4246" s="225"/>
      <c r="F4246" s="226"/>
      <c r="G4246" s="228">
        <v>0.1</v>
      </c>
      <c r="H4246" s="210">
        <f>H4245*G4246</f>
        <v>20412.25</v>
      </c>
      <c r="L4246" s="200"/>
      <c r="M4246" s="200"/>
      <c r="N4246" s="200"/>
      <c r="O4246" s="200"/>
      <c r="P4246" s="200"/>
    </row>
    <row r="4247" spans="3:20" s="517" customFormat="1" ht="31.2" customHeight="1" thickBot="1">
      <c r="C4247" s="229" t="s">
        <v>1221</v>
      </c>
      <c r="D4247" s="230" t="s">
        <v>1222</v>
      </c>
      <c r="E4247" s="231"/>
      <c r="F4247" s="231"/>
      <c r="G4247" s="232"/>
      <c r="H4247" s="233">
        <f>SUM(H4245:H4246)</f>
        <v>224534.75</v>
      </c>
      <c r="L4247" s="200"/>
      <c r="M4247" s="200"/>
      <c r="N4247" s="200"/>
      <c r="O4247" s="200"/>
      <c r="P4247" s="200"/>
    </row>
    <row r="4248" spans="3:20" ht="31.2" customHeight="1" thickTop="1">
      <c r="D4248" s="758" t="s">
        <v>7210</v>
      </c>
    </row>
    <row r="4249" spans="3:20" ht="31.2" customHeight="1">
      <c r="C4249" s="757" t="s">
        <v>6950</v>
      </c>
      <c r="F4249" s="758"/>
      <c r="H4249" s="758" t="s">
        <v>6959</v>
      </c>
    </row>
    <row r="4250" spans="3:20" ht="31.2" customHeight="1">
      <c r="C4250" s="200" t="s">
        <v>6951</v>
      </c>
      <c r="F4250" s="758"/>
    </row>
    <row r="4251" spans="3:20" ht="31.2" customHeight="1">
      <c r="C4251" s="200" t="s">
        <v>6952</v>
      </c>
      <c r="F4251" s="758"/>
    </row>
    <row r="4252" spans="3:20" ht="31.2" customHeight="1">
      <c r="C4252" s="200"/>
      <c r="F4252" s="758"/>
    </row>
    <row r="4253" spans="3:20" s="517" customFormat="1" ht="31.2" customHeight="1" thickBot="1">
      <c r="C4253" s="513" t="s">
        <v>7321</v>
      </c>
      <c r="D4253" s="748" t="s">
        <v>7322</v>
      </c>
      <c r="E4253" s="749"/>
      <c r="F4253" s="748"/>
      <c r="G4253" s="748"/>
      <c r="H4253" s="532"/>
      <c r="I4253" s="532"/>
      <c r="J4253" s="532"/>
      <c r="K4253" s="532"/>
      <c r="M4253" s="189"/>
      <c r="N4253" s="189"/>
      <c r="O4253" s="189"/>
      <c r="P4253" s="189"/>
      <c r="R4253" s="189">
        <f>ROUNDDOWN(H4277,-2)</f>
        <v>224500</v>
      </c>
      <c r="S4253" s="517" t="s">
        <v>6451</v>
      </c>
      <c r="T4253" s="517" t="s">
        <v>7014</v>
      </c>
    </row>
    <row r="4254" spans="3:20" s="517" customFormat="1" ht="31.2" customHeight="1" thickTop="1">
      <c r="C4254" s="190" t="s">
        <v>1195</v>
      </c>
      <c r="D4254" s="191" t="s">
        <v>1196</v>
      </c>
      <c r="E4254" s="191" t="s">
        <v>1197</v>
      </c>
      <c r="F4254" s="191" t="s">
        <v>1198</v>
      </c>
      <c r="G4254" s="191" t="s">
        <v>1199</v>
      </c>
      <c r="H4254" s="192" t="s">
        <v>1200</v>
      </c>
      <c r="L4254" s="200"/>
      <c r="M4254" s="200"/>
      <c r="N4254" s="200"/>
      <c r="O4254" s="200"/>
      <c r="P4254" s="200"/>
    </row>
    <row r="4255" spans="3:20" s="517" customFormat="1" ht="31.2" customHeight="1">
      <c r="C4255" s="518" t="s">
        <v>1201</v>
      </c>
      <c r="D4255" s="196" t="s">
        <v>1202</v>
      </c>
      <c r="E4255" s="197"/>
      <c r="F4255" s="197"/>
      <c r="G4255" s="197"/>
      <c r="H4255" s="198"/>
      <c r="L4255" s="200"/>
      <c r="M4255" s="200"/>
      <c r="N4255" s="200"/>
      <c r="O4255" s="200"/>
      <c r="P4255" s="200"/>
    </row>
    <row r="4256" spans="3:20" s="517" customFormat="1" ht="31.2" customHeight="1">
      <c r="C4256" s="518">
        <v>1</v>
      </c>
      <c r="D4256" s="196" t="s">
        <v>5</v>
      </c>
      <c r="E4256" s="203" t="s">
        <v>2102</v>
      </c>
      <c r="F4256" s="525">
        <v>6.7000000000000004E-2</v>
      </c>
      <c r="G4256" s="205">
        <f>VLOOKUP(D4256,upahbahan,3,FALSE)</f>
        <v>100000</v>
      </c>
      <c r="H4256" s="210">
        <f t="shared" ref="H4256:H4259" si="296">F4256*G4256</f>
        <v>6700</v>
      </c>
      <c r="L4256" s="200"/>
      <c r="M4256" s="200"/>
      <c r="N4256" s="200"/>
      <c r="O4256" s="200"/>
      <c r="P4256" s="200"/>
    </row>
    <row r="4257" spans="3:16" s="517" customFormat="1" ht="31.2" customHeight="1">
      <c r="C4257" s="537">
        <v>2</v>
      </c>
      <c r="D4257" s="196" t="s">
        <v>6954</v>
      </c>
      <c r="E4257" s="202" t="s">
        <v>6</v>
      </c>
      <c r="F4257" s="520">
        <v>6.7000000000000004E-2</v>
      </c>
      <c r="G4257" s="205">
        <f>VLOOKUP(D4257,upahbahan,3,FALSE)</f>
        <v>181250</v>
      </c>
      <c r="H4257" s="210">
        <f t="shared" si="296"/>
        <v>12143.75</v>
      </c>
      <c r="L4257" s="200"/>
      <c r="M4257" s="200"/>
      <c r="N4257" s="200"/>
      <c r="O4257" s="200"/>
      <c r="P4257" s="200"/>
    </row>
    <row r="4258" spans="3:16" s="517" customFormat="1" ht="31.2" customHeight="1">
      <c r="C4258" s="537">
        <v>3</v>
      </c>
      <c r="D4258" s="196" t="s">
        <v>6948</v>
      </c>
      <c r="E4258" s="202" t="s">
        <v>2102</v>
      </c>
      <c r="F4258" s="520">
        <v>3.3000000000000002E-2</v>
      </c>
      <c r="G4258" s="205">
        <f>VLOOKUP(D4258,upahbahan,3,FALSE)</f>
        <v>218750</v>
      </c>
      <c r="H4258" s="210">
        <f t="shared" si="296"/>
        <v>7218.75</v>
      </c>
      <c r="L4258" s="200"/>
      <c r="M4258" s="200"/>
      <c r="N4258" s="200"/>
      <c r="O4258" s="200"/>
      <c r="P4258" s="200"/>
    </row>
    <row r="4259" spans="3:16" s="517" customFormat="1" ht="31.2" customHeight="1">
      <c r="C4259" s="537">
        <v>4</v>
      </c>
      <c r="D4259" s="196" t="s">
        <v>19</v>
      </c>
      <c r="E4259" s="202" t="s">
        <v>6</v>
      </c>
      <c r="F4259" s="520">
        <v>1.0999999999999999E-2</v>
      </c>
      <c r="G4259" s="205">
        <f>VLOOKUP(D4259,upahbahan,3,FALSE)</f>
        <v>160000</v>
      </c>
      <c r="H4259" s="210">
        <f t="shared" si="296"/>
        <v>1760</v>
      </c>
      <c r="L4259" s="200"/>
      <c r="M4259" s="200"/>
      <c r="N4259" s="200"/>
      <c r="O4259" s="200"/>
      <c r="P4259" s="200"/>
    </row>
    <row r="4260" spans="3:16" s="517" customFormat="1" ht="31.2" customHeight="1">
      <c r="C4260" s="207" t="s">
        <v>1208</v>
      </c>
      <c r="D4260" s="208"/>
      <c r="E4260" s="208"/>
      <c r="F4260" s="521"/>
      <c r="G4260" s="522"/>
      <c r="H4260" s="210">
        <f>SUM(H4256:H4259)</f>
        <v>27822.5</v>
      </c>
      <c r="L4260" s="523"/>
      <c r="M4260" s="523"/>
      <c r="N4260" s="523"/>
      <c r="O4260" s="523"/>
      <c r="P4260" s="523"/>
    </row>
    <row r="4261" spans="3:16" s="517" customFormat="1" ht="31.2" customHeight="1">
      <c r="C4261" s="543" t="s">
        <v>1209</v>
      </c>
      <c r="D4261" s="750" t="s">
        <v>1210</v>
      </c>
      <c r="E4261" s="197"/>
      <c r="F4261" s="751"/>
      <c r="G4261" s="197"/>
      <c r="H4261" s="752"/>
      <c r="L4261" s="200"/>
      <c r="M4261" s="200"/>
      <c r="N4261" s="200"/>
      <c r="O4261" s="200"/>
      <c r="P4261" s="200"/>
    </row>
    <row r="4262" spans="3:16" s="517" customFormat="1" ht="31.2" customHeight="1">
      <c r="C4262" s="543">
        <v>1</v>
      </c>
      <c r="D4262" s="750" t="s">
        <v>7323</v>
      </c>
      <c r="E4262" s="203" t="s">
        <v>44</v>
      </c>
      <c r="F4262" s="753">
        <v>1.05</v>
      </c>
      <c r="G4262" s="205">
        <f>VLOOKUP(D4262,upahbahan,3,FALSE)</f>
        <v>0</v>
      </c>
      <c r="H4262" s="210">
        <f t="shared" ref="H4262:H4270" si="297">F4262*G4262</f>
        <v>0</v>
      </c>
      <c r="L4262" s="200"/>
      <c r="M4262" s="200"/>
      <c r="N4262" s="200"/>
      <c r="O4262" s="200"/>
      <c r="P4262" s="200"/>
    </row>
    <row r="4263" spans="3:16" s="517" customFormat="1" ht="31.2" customHeight="1">
      <c r="C4263" s="543">
        <v>2</v>
      </c>
      <c r="D4263" s="750" t="s">
        <v>5563</v>
      </c>
      <c r="E4263" s="203" t="s">
        <v>65</v>
      </c>
      <c r="F4263" s="753">
        <v>0.02</v>
      </c>
      <c r="G4263" s="205">
        <f>VLOOKUP(D4263,upahbahan,3,FALSE)</f>
        <v>0</v>
      </c>
      <c r="H4263" s="210">
        <f t="shared" si="297"/>
        <v>0</v>
      </c>
      <c r="L4263" s="200"/>
      <c r="M4263" s="200"/>
      <c r="N4263" s="200"/>
      <c r="O4263" s="200"/>
      <c r="P4263" s="200"/>
    </row>
    <row r="4264" spans="3:16" s="517" customFormat="1" ht="31.2" customHeight="1">
      <c r="C4264" s="543">
        <v>3</v>
      </c>
      <c r="D4264" s="750" t="s">
        <v>5555</v>
      </c>
      <c r="E4264" s="203"/>
      <c r="F4264" s="753"/>
      <c r="G4264" s="197"/>
      <c r="H4264" s="210">
        <f t="shared" si="297"/>
        <v>0</v>
      </c>
      <c r="L4264" s="200"/>
      <c r="M4264" s="200"/>
      <c r="N4264" s="200"/>
      <c r="O4264" s="200"/>
      <c r="P4264" s="200"/>
    </row>
    <row r="4265" spans="3:16" s="517" customFormat="1" ht="31.2" customHeight="1">
      <c r="C4265" s="754" t="s">
        <v>5293</v>
      </c>
      <c r="D4265" s="750" t="s">
        <v>7142</v>
      </c>
      <c r="E4265" s="203" t="s">
        <v>113</v>
      </c>
      <c r="F4265" s="760">
        <v>18</v>
      </c>
      <c r="G4265" s="205">
        <f>VLOOKUP(D4265,upahbahan,3,FALSE)</f>
        <v>0</v>
      </c>
      <c r="H4265" s="210">
        <f t="shared" si="297"/>
        <v>0</v>
      </c>
      <c r="L4265" s="200"/>
      <c r="M4265" s="200"/>
      <c r="N4265" s="200"/>
      <c r="O4265" s="200"/>
      <c r="P4265" s="200"/>
    </row>
    <row r="4266" spans="3:16" s="517" customFormat="1" ht="31.2" customHeight="1">
      <c r="C4266" s="754" t="s">
        <v>5299</v>
      </c>
      <c r="D4266" s="750" t="s">
        <v>7055</v>
      </c>
      <c r="E4266" s="203" t="s">
        <v>113</v>
      </c>
      <c r="F4266" s="760">
        <v>10</v>
      </c>
      <c r="G4266" s="205">
        <f>VLOOKUP(D4266,upahbahan,3,FALSE)</f>
        <v>0</v>
      </c>
      <c r="H4266" s="210">
        <f t="shared" si="297"/>
        <v>0</v>
      </c>
      <c r="L4266" s="200"/>
      <c r="M4266" s="200"/>
      <c r="N4266" s="200"/>
      <c r="O4266" s="200"/>
      <c r="P4266" s="200"/>
    </row>
    <row r="4267" spans="3:16" s="517" customFormat="1" ht="31.2" customHeight="1">
      <c r="C4267" s="543">
        <v>4</v>
      </c>
      <c r="D4267" s="750" t="s">
        <v>5556</v>
      </c>
      <c r="E4267" s="203"/>
      <c r="F4267" s="753"/>
      <c r="G4267" s="197"/>
      <c r="H4267" s="210">
        <f t="shared" si="297"/>
        <v>0</v>
      </c>
      <c r="L4267" s="200"/>
      <c r="M4267" s="200"/>
      <c r="N4267" s="200"/>
      <c r="O4267" s="200"/>
      <c r="P4267" s="200"/>
    </row>
    <row r="4268" spans="3:16" s="517" customFormat="1" ht="31.2" customHeight="1">
      <c r="C4268" s="754" t="s">
        <v>5293</v>
      </c>
      <c r="D4268" s="750" t="s">
        <v>2084</v>
      </c>
      <c r="E4268" s="203" t="s">
        <v>42</v>
      </c>
      <c r="F4268" s="753">
        <v>0.14599999999999999</v>
      </c>
      <c r="G4268" s="205">
        <f>VLOOKUP(D4268,upahbahan,3,FALSE)</f>
        <v>0</v>
      </c>
      <c r="H4268" s="210">
        <f t="shared" si="297"/>
        <v>0</v>
      </c>
      <c r="L4268" s="200"/>
      <c r="M4268" s="200"/>
      <c r="N4268" s="200"/>
      <c r="O4268" s="200"/>
      <c r="P4268" s="200"/>
    </row>
    <row r="4269" spans="3:16" s="517" customFormat="1" ht="31.2" customHeight="1">
      <c r="C4269" s="754" t="s">
        <v>5299</v>
      </c>
      <c r="D4269" s="750" t="s">
        <v>5566</v>
      </c>
      <c r="E4269" s="203" t="s">
        <v>42</v>
      </c>
      <c r="F4269" s="753">
        <v>3.9E-2</v>
      </c>
      <c r="G4269" s="205">
        <f>VLOOKUP(D4269,upahbahan,3,FALSE)</f>
        <v>0</v>
      </c>
      <c r="H4269" s="210">
        <f t="shared" si="297"/>
        <v>0</v>
      </c>
      <c r="L4269" s="200"/>
      <c r="M4269" s="200"/>
      <c r="N4269" s="200"/>
      <c r="O4269" s="200"/>
      <c r="P4269" s="200"/>
    </row>
    <row r="4270" spans="3:16" s="517" customFormat="1" ht="31.2" customHeight="1">
      <c r="C4270" s="754" t="s">
        <v>5558</v>
      </c>
      <c r="D4270" s="750" t="s">
        <v>2325</v>
      </c>
      <c r="E4270" s="203" t="s">
        <v>42</v>
      </c>
      <c r="F4270" s="762">
        <v>0.01</v>
      </c>
      <c r="G4270" s="205">
        <f>VLOOKUP(D4270,upahbahan,3,FALSE)</f>
        <v>0</v>
      </c>
      <c r="H4270" s="210">
        <f t="shared" si="297"/>
        <v>0</v>
      </c>
      <c r="L4270" s="200"/>
      <c r="M4270" s="200"/>
      <c r="N4270" s="200"/>
      <c r="O4270" s="200"/>
      <c r="P4270" s="200"/>
    </row>
    <row r="4271" spans="3:16" s="517" customFormat="1" ht="31.2" customHeight="1">
      <c r="C4271" s="207" t="s">
        <v>1214</v>
      </c>
      <c r="D4271" s="208"/>
      <c r="E4271" s="568"/>
      <c r="F4271" s="208"/>
      <c r="G4271" s="209"/>
      <c r="H4271" s="210">
        <f>SUM(H4262:H4270)</f>
        <v>0</v>
      </c>
      <c r="L4271" s="200"/>
      <c r="M4271" s="200"/>
      <c r="N4271" s="200"/>
      <c r="O4271" s="200"/>
      <c r="P4271" s="200"/>
    </row>
    <row r="4272" spans="3:16" s="517" customFormat="1" ht="31.2" customHeight="1">
      <c r="C4272" s="756" t="s">
        <v>1215</v>
      </c>
      <c r="D4272" s="196" t="s">
        <v>1216</v>
      </c>
      <c r="E4272" s="203"/>
      <c r="F4272" s="197"/>
      <c r="G4272" s="197"/>
      <c r="H4272" s="198"/>
      <c r="L4272" s="200"/>
      <c r="M4272" s="200"/>
      <c r="N4272" s="200"/>
      <c r="O4272" s="200"/>
      <c r="P4272" s="200"/>
    </row>
    <row r="4273" spans="3:20" s="517" customFormat="1" ht="31.2" customHeight="1">
      <c r="C4273" s="543">
        <v>1</v>
      </c>
      <c r="D4273" s="750" t="s">
        <v>7189</v>
      </c>
      <c r="E4273" s="203" t="s">
        <v>2396</v>
      </c>
      <c r="F4273" s="762">
        <v>0.41</v>
      </c>
      <c r="G4273" s="205">
        <f>VLOOKUP(D4273,upahbahan,3,FALSE)</f>
        <v>430000</v>
      </c>
      <c r="H4273" s="210">
        <f t="shared" ref="H4273" si="298">F4273*G4273</f>
        <v>176300</v>
      </c>
      <c r="L4273" s="200"/>
      <c r="M4273" s="200"/>
      <c r="N4273" s="200"/>
      <c r="O4273" s="200"/>
      <c r="P4273" s="200"/>
    </row>
    <row r="4274" spans="3:20" s="517" customFormat="1" ht="31.2" customHeight="1">
      <c r="C4274" s="207" t="s">
        <v>1217</v>
      </c>
      <c r="D4274" s="208"/>
      <c r="E4274" s="208"/>
      <c r="F4274" s="208"/>
      <c r="G4274" s="209"/>
      <c r="H4274" s="240">
        <f>SUM(H4273)</f>
        <v>176300</v>
      </c>
      <c r="L4274" s="200"/>
      <c r="M4274" s="200"/>
      <c r="N4274" s="200"/>
      <c r="O4274" s="200"/>
      <c r="P4274" s="200"/>
    </row>
    <row r="4275" spans="3:20" s="517" customFormat="1" ht="31.2" customHeight="1">
      <c r="C4275" s="223" t="s">
        <v>1218</v>
      </c>
      <c r="D4275" s="224" t="s">
        <v>1219</v>
      </c>
      <c r="E4275" s="225"/>
      <c r="F4275" s="225"/>
      <c r="G4275" s="226"/>
      <c r="H4275" s="210">
        <f>H4274+H4271+H4260</f>
        <v>204122.5</v>
      </c>
      <c r="L4275" s="200"/>
      <c r="M4275" s="200"/>
      <c r="N4275" s="200"/>
      <c r="O4275" s="200"/>
      <c r="P4275" s="200"/>
    </row>
    <row r="4276" spans="3:20" s="517" customFormat="1" ht="31.2" customHeight="1">
      <c r="C4276" s="223" t="s">
        <v>1220</v>
      </c>
      <c r="D4276" s="224" t="s">
        <v>1321</v>
      </c>
      <c r="E4276" s="225"/>
      <c r="F4276" s="226"/>
      <c r="G4276" s="228">
        <v>0.1</v>
      </c>
      <c r="H4276" s="210">
        <f>H4275*G4276</f>
        <v>20412.25</v>
      </c>
      <c r="L4276" s="200"/>
      <c r="M4276" s="200"/>
      <c r="N4276" s="200"/>
      <c r="O4276" s="200"/>
      <c r="P4276" s="200"/>
    </row>
    <row r="4277" spans="3:20" s="517" customFormat="1" ht="31.2" customHeight="1" thickBot="1">
      <c r="C4277" s="229" t="s">
        <v>1221</v>
      </c>
      <c r="D4277" s="230" t="s">
        <v>1222</v>
      </c>
      <c r="E4277" s="231"/>
      <c r="F4277" s="231"/>
      <c r="G4277" s="232"/>
      <c r="H4277" s="233">
        <f>SUM(H4275:H4276)</f>
        <v>224534.75</v>
      </c>
      <c r="L4277" s="200"/>
      <c r="M4277" s="200"/>
      <c r="N4277" s="200"/>
      <c r="O4277" s="200"/>
      <c r="P4277" s="200"/>
    </row>
    <row r="4278" spans="3:20" ht="31.2" customHeight="1" thickTop="1">
      <c r="D4278" s="758" t="s">
        <v>7210</v>
      </c>
    </row>
    <row r="4279" spans="3:20" ht="31.2" customHeight="1">
      <c r="C4279" s="757" t="s">
        <v>6950</v>
      </c>
      <c r="F4279" s="758"/>
      <c r="H4279" s="758" t="s">
        <v>6959</v>
      </c>
    </row>
    <row r="4280" spans="3:20" ht="31.2" customHeight="1">
      <c r="C4280" s="200" t="s">
        <v>6951</v>
      </c>
      <c r="F4280" s="758"/>
    </row>
    <row r="4281" spans="3:20" ht="31.2" customHeight="1">
      <c r="C4281" s="200" t="s">
        <v>6952</v>
      </c>
      <c r="F4281" s="758"/>
    </row>
    <row r="4282" spans="3:20" ht="31.2" customHeight="1">
      <c r="C4282" s="200"/>
      <c r="F4282" s="758"/>
    </row>
    <row r="4283" spans="3:20" s="517" customFormat="1" ht="31.2" customHeight="1" thickBot="1">
      <c r="C4283" s="513" t="s">
        <v>7324</v>
      </c>
      <c r="D4283" s="748" t="s">
        <v>7325</v>
      </c>
      <c r="E4283" s="749"/>
      <c r="F4283" s="748"/>
      <c r="G4283" s="748"/>
      <c r="H4283" s="532"/>
      <c r="I4283" s="532"/>
      <c r="J4283" s="532"/>
      <c r="K4283" s="532"/>
      <c r="M4283" s="189"/>
      <c r="N4283" s="189"/>
      <c r="O4283" s="189"/>
      <c r="P4283" s="189"/>
      <c r="R4283" s="189">
        <f>ROUNDDOWN(H4307,-2)</f>
        <v>224500</v>
      </c>
      <c r="S4283" s="517" t="s">
        <v>6451</v>
      </c>
      <c r="T4283" s="517" t="s">
        <v>7014</v>
      </c>
    </row>
    <row r="4284" spans="3:20" s="517" customFormat="1" ht="31.2" customHeight="1" thickTop="1">
      <c r="C4284" s="190" t="s">
        <v>1195</v>
      </c>
      <c r="D4284" s="191" t="s">
        <v>1196</v>
      </c>
      <c r="E4284" s="191" t="s">
        <v>1197</v>
      </c>
      <c r="F4284" s="191" t="s">
        <v>1198</v>
      </c>
      <c r="G4284" s="191" t="s">
        <v>1199</v>
      </c>
      <c r="H4284" s="192" t="s">
        <v>1200</v>
      </c>
      <c r="L4284" s="200"/>
      <c r="M4284" s="200"/>
      <c r="N4284" s="200"/>
      <c r="O4284" s="200"/>
      <c r="P4284" s="200"/>
    </row>
    <row r="4285" spans="3:20" s="517" customFormat="1" ht="31.2" customHeight="1">
      <c r="C4285" s="518" t="s">
        <v>1201</v>
      </c>
      <c r="D4285" s="196" t="s">
        <v>1202</v>
      </c>
      <c r="E4285" s="197"/>
      <c r="F4285" s="197"/>
      <c r="G4285" s="197"/>
      <c r="H4285" s="198"/>
      <c r="L4285" s="200"/>
      <c r="M4285" s="200"/>
      <c r="N4285" s="200"/>
      <c r="O4285" s="200"/>
      <c r="P4285" s="200"/>
    </row>
    <row r="4286" spans="3:20" s="517" customFormat="1" ht="31.2" customHeight="1">
      <c r="C4286" s="518">
        <v>1</v>
      </c>
      <c r="D4286" s="196" t="s">
        <v>5</v>
      </c>
      <c r="E4286" s="203" t="s">
        <v>2102</v>
      </c>
      <c r="F4286" s="525">
        <v>6.7000000000000004E-2</v>
      </c>
      <c r="G4286" s="205">
        <f>VLOOKUP(D4286,upahbahan,3,FALSE)</f>
        <v>100000</v>
      </c>
      <c r="H4286" s="210">
        <f t="shared" ref="H4286:H4289" si="299">F4286*G4286</f>
        <v>6700</v>
      </c>
      <c r="L4286" s="200"/>
      <c r="M4286" s="200"/>
      <c r="N4286" s="200"/>
      <c r="O4286" s="200"/>
      <c r="P4286" s="200"/>
    </row>
    <row r="4287" spans="3:20" s="517" customFormat="1" ht="31.2" customHeight="1">
      <c r="C4287" s="537">
        <v>2</v>
      </c>
      <c r="D4287" s="196" t="s">
        <v>6954</v>
      </c>
      <c r="E4287" s="202" t="s">
        <v>6</v>
      </c>
      <c r="F4287" s="520">
        <v>6.7000000000000004E-2</v>
      </c>
      <c r="G4287" s="205">
        <f>VLOOKUP(D4287,upahbahan,3,FALSE)</f>
        <v>181250</v>
      </c>
      <c r="H4287" s="210">
        <f t="shared" si="299"/>
        <v>12143.75</v>
      </c>
      <c r="L4287" s="200"/>
      <c r="M4287" s="200"/>
      <c r="N4287" s="200"/>
      <c r="O4287" s="200"/>
      <c r="P4287" s="200"/>
    </row>
    <row r="4288" spans="3:20" s="517" customFormat="1" ht="31.2" customHeight="1">
      <c r="C4288" s="537">
        <v>3</v>
      </c>
      <c r="D4288" s="196" t="s">
        <v>6948</v>
      </c>
      <c r="E4288" s="202" t="s">
        <v>2102</v>
      </c>
      <c r="F4288" s="520">
        <v>3.3000000000000002E-2</v>
      </c>
      <c r="G4288" s="205">
        <f>VLOOKUP(D4288,upahbahan,3,FALSE)</f>
        <v>218750</v>
      </c>
      <c r="H4288" s="210">
        <f t="shared" si="299"/>
        <v>7218.75</v>
      </c>
      <c r="L4288" s="200"/>
      <c r="M4288" s="200"/>
      <c r="N4288" s="200"/>
      <c r="O4288" s="200"/>
      <c r="P4288" s="200"/>
    </row>
    <row r="4289" spans="3:16" s="517" customFormat="1" ht="31.2" customHeight="1">
      <c r="C4289" s="537">
        <v>4</v>
      </c>
      <c r="D4289" s="196" t="s">
        <v>19</v>
      </c>
      <c r="E4289" s="202" t="s">
        <v>6</v>
      </c>
      <c r="F4289" s="520">
        <v>1.0999999999999999E-2</v>
      </c>
      <c r="G4289" s="205">
        <f>VLOOKUP(D4289,upahbahan,3,FALSE)</f>
        <v>160000</v>
      </c>
      <c r="H4289" s="210">
        <f t="shared" si="299"/>
        <v>1760</v>
      </c>
      <c r="L4289" s="200"/>
      <c r="M4289" s="200"/>
      <c r="N4289" s="200"/>
      <c r="O4289" s="200"/>
      <c r="P4289" s="200"/>
    </row>
    <row r="4290" spans="3:16" s="517" customFormat="1" ht="31.2" customHeight="1">
      <c r="C4290" s="207" t="s">
        <v>1208</v>
      </c>
      <c r="D4290" s="208"/>
      <c r="E4290" s="208"/>
      <c r="F4290" s="521"/>
      <c r="G4290" s="522"/>
      <c r="H4290" s="210">
        <f>SUM(H4286:H4289)</f>
        <v>27822.5</v>
      </c>
      <c r="L4290" s="523"/>
      <c r="M4290" s="523"/>
      <c r="N4290" s="523"/>
      <c r="O4290" s="523"/>
      <c r="P4290" s="523"/>
    </row>
    <row r="4291" spans="3:16" s="517" customFormat="1" ht="31.2" customHeight="1">
      <c r="C4291" s="543" t="s">
        <v>1209</v>
      </c>
      <c r="D4291" s="750" t="s">
        <v>1210</v>
      </c>
      <c r="E4291" s="197"/>
      <c r="F4291" s="751"/>
      <c r="G4291" s="197"/>
      <c r="H4291" s="752"/>
      <c r="L4291" s="200"/>
      <c r="M4291" s="200"/>
      <c r="N4291" s="200"/>
      <c r="O4291" s="200"/>
      <c r="P4291" s="200"/>
    </row>
    <row r="4292" spans="3:16" s="517" customFormat="1" ht="31.2" customHeight="1">
      <c r="C4292" s="543">
        <v>1</v>
      </c>
      <c r="D4292" s="750" t="s">
        <v>7326</v>
      </c>
      <c r="E4292" s="203" t="s">
        <v>44</v>
      </c>
      <c r="F4292" s="753">
        <v>1.05</v>
      </c>
      <c r="G4292" s="205">
        <f>VLOOKUP(D4292,upahbahan,3,FALSE)</f>
        <v>0</v>
      </c>
      <c r="H4292" s="210">
        <f t="shared" ref="H4292:H4300" si="300">F4292*G4292</f>
        <v>0</v>
      </c>
      <c r="L4292" s="200"/>
      <c r="M4292" s="200"/>
      <c r="N4292" s="200"/>
      <c r="O4292" s="200"/>
      <c r="P4292" s="200"/>
    </row>
    <row r="4293" spans="3:16" s="517" customFormat="1" ht="31.2" customHeight="1">
      <c r="C4293" s="543">
        <v>2</v>
      </c>
      <c r="D4293" s="750" t="s">
        <v>5563</v>
      </c>
      <c r="E4293" s="203" t="s">
        <v>65</v>
      </c>
      <c r="F4293" s="753">
        <v>0.02</v>
      </c>
      <c r="G4293" s="205">
        <f>VLOOKUP(D4293,upahbahan,3,FALSE)</f>
        <v>0</v>
      </c>
      <c r="H4293" s="210">
        <f t="shared" si="300"/>
        <v>0</v>
      </c>
      <c r="L4293" s="200"/>
      <c r="M4293" s="200"/>
      <c r="N4293" s="200"/>
      <c r="O4293" s="200"/>
      <c r="P4293" s="200"/>
    </row>
    <row r="4294" spans="3:16" s="517" customFormat="1" ht="31.2" customHeight="1">
      <c r="C4294" s="543">
        <v>3</v>
      </c>
      <c r="D4294" s="750" t="s">
        <v>5555</v>
      </c>
      <c r="E4294" s="203"/>
      <c r="F4294" s="753"/>
      <c r="G4294" s="197"/>
      <c r="H4294" s="210">
        <f t="shared" si="300"/>
        <v>0</v>
      </c>
      <c r="L4294" s="200"/>
      <c r="M4294" s="200"/>
      <c r="N4294" s="200"/>
      <c r="O4294" s="200"/>
      <c r="P4294" s="200"/>
    </row>
    <row r="4295" spans="3:16" s="517" customFormat="1" ht="31.2" customHeight="1">
      <c r="C4295" s="754" t="s">
        <v>5293</v>
      </c>
      <c r="D4295" s="750" t="s">
        <v>7142</v>
      </c>
      <c r="E4295" s="203" t="s">
        <v>113</v>
      </c>
      <c r="F4295" s="760">
        <v>18</v>
      </c>
      <c r="G4295" s="205">
        <f>VLOOKUP(D4295,upahbahan,3,FALSE)</f>
        <v>0</v>
      </c>
      <c r="H4295" s="210">
        <f t="shared" si="300"/>
        <v>0</v>
      </c>
      <c r="L4295" s="200"/>
      <c r="M4295" s="200"/>
      <c r="N4295" s="200"/>
      <c r="O4295" s="200"/>
      <c r="P4295" s="200"/>
    </row>
    <row r="4296" spans="3:16" s="517" customFormat="1" ht="31.2" customHeight="1">
      <c r="C4296" s="754" t="s">
        <v>5299</v>
      </c>
      <c r="D4296" s="750" t="s">
        <v>7055</v>
      </c>
      <c r="E4296" s="203" t="s">
        <v>113</v>
      </c>
      <c r="F4296" s="760">
        <v>10</v>
      </c>
      <c r="G4296" s="205">
        <f>VLOOKUP(D4296,upahbahan,3,FALSE)</f>
        <v>0</v>
      </c>
      <c r="H4296" s="210">
        <f t="shared" si="300"/>
        <v>0</v>
      </c>
      <c r="L4296" s="200"/>
      <c r="M4296" s="200"/>
      <c r="N4296" s="200"/>
      <c r="O4296" s="200"/>
      <c r="P4296" s="200"/>
    </row>
    <row r="4297" spans="3:16" s="517" customFormat="1" ht="31.2" customHeight="1">
      <c r="C4297" s="543">
        <v>4</v>
      </c>
      <c r="D4297" s="750" t="s">
        <v>5556</v>
      </c>
      <c r="E4297" s="203"/>
      <c r="F4297" s="753"/>
      <c r="G4297" s="197"/>
      <c r="H4297" s="210">
        <f t="shared" si="300"/>
        <v>0</v>
      </c>
      <c r="L4297" s="200"/>
      <c r="M4297" s="200"/>
      <c r="N4297" s="200"/>
      <c r="O4297" s="200"/>
      <c r="P4297" s="200"/>
    </row>
    <row r="4298" spans="3:16" s="517" customFormat="1" ht="31.2" customHeight="1">
      <c r="C4298" s="754" t="s">
        <v>5293</v>
      </c>
      <c r="D4298" s="750" t="s">
        <v>2084</v>
      </c>
      <c r="E4298" s="203" t="s">
        <v>42</v>
      </c>
      <c r="F4298" s="753">
        <v>0.14599999999999999</v>
      </c>
      <c r="G4298" s="205">
        <f>VLOOKUP(D4298,upahbahan,3,FALSE)</f>
        <v>0</v>
      </c>
      <c r="H4298" s="210">
        <f t="shared" si="300"/>
        <v>0</v>
      </c>
      <c r="L4298" s="200"/>
      <c r="M4298" s="200"/>
      <c r="N4298" s="200"/>
      <c r="O4298" s="200"/>
      <c r="P4298" s="200"/>
    </row>
    <row r="4299" spans="3:16" s="517" customFormat="1" ht="31.2" customHeight="1">
      <c r="C4299" s="754" t="s">
        <v>5299</v>
      </c>
      <c r="D4299" s="750" t="s">
        <v>5566</v>
      </c>
      <c r="E4299" s="203" t="s">
        <v>42</v>
      </c>
      <c r="F4299" s="753">
        <v>3.9E-2</v>
      </c>
      <c r="G4299" s="205">
        <f>VLOOKUP(D4299,upahbahan,3,FALSE)</f>
        <v>0</v>
      </c>
      <c r="H4299" s="210">
        <f t="shared" si="300"/>
        <v>0</v>
      </c>
      <c r="L4299" s="200"/>
      <c r="M4299" s="200"/>
      <c r="N4299" s="200"/>
      <c r="O4299" s="200"/>
      <c r="P4299" s="200"/>
    </row>
    <row r="4300" spans="3:16" s="517" customFormat="1" ht="31.2" customHeight="1">
      <c r="C4300" s="754" t="s">
        <v>5558</v>
      </c>
      <c r="D4300" s="750" t="s">
        <v>2325</v>
      </c>
      <c r="E4300" s="203" t="s">
        <v>42</v>
      </c>
      <c r="F4300" s="762">
        <v>0.01</v>
      </c>
      <c r="G4300" s="205">
        <f>VLOOKUP(D4300,upahbahan,3,FALSE)</f>
        <v>0</v>
      </c>
      <c r="H4300" s="210">
        <f t="shared" si="300"/>
        <v>0</v>
      </c>
      <c r="L4300" s="200"/>
      <c r="M4300" s="200"/>
      <c r="N4300" s="200"/>
      <c r="O4300" s="200"/>
      <c r="P4300" s="200"/>
    </row>
    <row r="4301" spans="3:16" s="517" customFormat="1" ht="31.2" customHeight="1">
      <c r="C4301" s="207" t="s">
        <v>1214</v>
      </c>
      <c r="D4301" s="208"/>
      <c r="E4301" s="568"/>
      <c r="F4301" s="208"/>
      <c r="G4301" s="209"/>
      <c r="H4301" s="210">
        <f>SUM(H4292:H4300)</f>
        <v>0</v>
      </c>
      <c r="L4301" s="200"/>
      <c r="M4301" s="200"/>
      <c r="N4301" s="200"/>
      <c r="O4301" s="200"/>
      <c r="P4301" s="200"/>
    </row>
    <row r="4302" spans="3:16" s="517" customFormat="1" ht="31.2" customHeight="1">
      <c r="C4302" s="756" t="s">
        <v>1215</v>
      </c>
      <c r="D4302" s="196" t="s">
        <v>1216</v>
      </c>
      <c r="E4302" s="203"/>
      <c r="F4302" s="197"/>
      <c r="G4302" s="197"/>
      <c r="H4302" s="198"/>
      <c r="L4302" s="200"/>
      <c r="M4302" s="200"/>
      <c r="N4302" s="200"/>
      <c r="O4302" s="200"/>
      <c r="P4302" s="200"/>
    </row>
    <row r="4303" spans="3:16" s="517" customFormat="1" ht="31.2" customHeight="1">
      <c r="C4303" s="543">
        <v>1</v>
      </c>
      <c r="D4303" s="750" t="s">
        <v>7189</v>
      </c>
      <c r="E4303" s="203" t="s">
        <v>2396</v>
      </c>
      <c r="F4303" s="762">
        <v>0.41</v>
      </c>
      <c r="G4303" s="205">
        <f>VLOOKUP(D4303,upahbahan,3,FALSE)</f>
        <v>430000</v>
      </c>
      <c r="H4303" s="210">
        <f t="shared" ref="H4303" si="301">F4303*G4303</f>
        <v>176300</v>
      </c>
      <c r="L4303" s="200"/>
      <c r="M4303" s="200"/>
      <c r="N4303" s="200"/>
      <c r="O4303" s="200"/>
      <c r="P4303" s="200"/>
    </row>
    <row r="4304" spans="3:16" s="517" customFormat="1" ht="31.2" customHeight="1">
      <c r="C4304" s="207" t="s">
        <v>1217</v>
      </c>
      <c r="D4304" s="208"/>
      <c r="E4304" s="208"/>
      <c r="F4304" s="208"/>
      <c r="G4304" s="209"/>
      <c r="H4304" s="240">
        <f>SUM(H4303)</f>
        <v>176300</v>
      </c>
      <c r="L4304" s="200"/>
      <c r="M4304" s="200"/>
      <c r="N4304" s="200"/>
      <c r="O4304" s="200"/>
      <c r="P4304" s="200"/>
    </row>
    <row r="4305" spans="3:20" s="517" customFormat="1" ht="31.2" customHeight="1">
      <c r="C4305" s="223" t="s">
        <v>1218</v>
      </c>
      <c r="D4305" s="224" t="s">
        <v>1219</v>
      </c>
      <c r="E4305" s="225"/>
      <c r="F4305" s="225"/>
      <c r="G4305" s="226"/>
      <c r="H4305" s="210">
        <f>H4304+H4301+H4290</f>
        <v>204122.5</v>
      </c>
      <c r="L4305" s="200"/>
      <c r="M4305" s="200"/>
      <c r="N4305" s="200"/>
      <c r="O4305" s="200"/>
      <c r="P4305" s="200"/>
    </row>
    <row r="4306" spans="3:20" s="517" customFormat="1" ht="31.2" customHeight="1">
      <c r="C4306" s="223" t="s">
        <v>1220</v>
      </c>
      <c r="D4306" s="224" t="s">
        <v>1321</v>
      </c>
      <c r="E4306" s="225"/>
      <c r="F4306" s="226"/>
      <c r="G4306" s="228">
        <v>0.1</v>
      </c>
      <c r="H4306" s="210">
        <f>H4305*G4306</f>
        <v>20412.25</v>
      </c>
      <c r="L4306" s="200"/>
      <c r="M4306" s="200"/>
      <c r="N4306" s="200"/>
      <c r="O4306" s="200"/>
      <c r="P4306" s="200"/>
    </row>
    <row r="4307" spans="3:20" s="517" customFormat="1" ht="31.2" customHeight="1" thickBot="1">
      <c r="C4307" s="229" t="s">
        <v>1221</v>
      </c>
      <c r="D4307" s="230" t="s">
        <v>1222</v>
      </c>
      <c r="E4307" s="231"/>
      <c r="F4307" s="231"/>
      <c r="G4307" s="232"/>
      <c r="H4307" s="233">
        <f>SUM(H4305:H4306)</f>
        <v>224534.75</v>
      </c>
      <c r="L4307" s="200"/>
      <c r="M4307" s="200"/>
      <c r="N4307" s="200"/>
      <c r="O4307" s="200"/>
      <c r="P4307" s="200"/>
    </row>
    <row r="4308" spans="3:20" ht="31.2" customHeight="1" thickTop="1">
      <c r="D4308" s="758" t="s">
        <v>7210</v>
      </c>
    </row>
    <row r="4309" spans="3:20" ht="31.2" customHeight="1">
      <c r="C4309" s="757" t="s">
        <v>6950</v>
      </c>
      <c r="F4309" s="758"/>
      <c r="H4309" s="758" t="s">
        <v>6959</v>
      </c>
    </row>
    <row r="4310" spans="3:20" ht="31.2" customHeight="1">
      <c r="C4310" s="200" t="s">
        <v>6951</v>
      </c>
      <c r="F4310" s="758"/>
    </row>
    <row r="4311" spans="3:20" ht="31.2" customHeight="1">
      <c r="C4311" s="200" t="s">
        <v>6952</v>
      </c>
      <c r="F4311" s="758"/>
    </row>
    <row r="4312" spans="3:20" ht="31.2" customHeight="1">
      <c r="C4312" s="200"/>
      <c r="F4312" s="758"/>
    </row>
    <row r="4313" spans="3:20" s="517" customFormat="1" ht="31.2" customHeight="1" thickBot="1">
      <c r="C4313" s="513" t="s">
        <v>7327</v>
      </c>
      <c r="D4313" s="748" t="s">
        <v>7328</v>
      </c>
      <c r="E4313" s="749"/>
      <c r="F4313" s="748"/>
      <c r="G4313" s="748"/>
      <c r="H4313" s="532"/>
      <c r="I4313" s="532"/>
      <c r="J4313" s="532"/>
      <c r="K4313" s="532"/>
      <c r="M4313" s="189"/>
      <c r="N4313" s="189"/>
      <c r="O4313" s="189"/>
      <c r="P4313" s="189"/>
      <c r="R4313" s="189">
        <f>ROUNDDOWN(H4337,-2)</f>
        <v>224500</v>
      </c>
      <c r="S4313" s="517" t="s">
        <v>6451</v>
      </c>
      <c r="T4313" s="517" t="s">
        <v>7014</v>
      </c>
    </row>
    <row r="4314" spans="3:20" s="517" customFormat="1" ht="31.2" customHeight="1" thickTop="1">
      <c r="C4314" s="190" t="s">
        <v>1195</v>
      </c>
      <c r="D4314" s="191" t="s">
        <v>1196</v>
      </c>
      <c r="E4314" s="191" t="s">
        <v>1197</v>
      </c>
      <c r="F4314" s="191" t="s">
        <v>1198</v>
      </c>
      <c r="G4314" s="191" t="s">
        <v>1199</v>
      </c>
      <c r="H4314" s="192" t="s">
        <v>1200</v>
      </c>
      <c r="L4314" s="200"/>
      <c r="M4314" s="200"/>
      <c r="N4314" s="200"/>
      <c r="O4314" s="200"/>
      <c r="P4314" s="200"/>
    </row>
    <row r="4315" spans="3:20" s="517" customFormat="1" ht="31.2" customHeight="1">
      <c r="C4315" s="518" t="s">
        <v>1201</v>
      </c>
      <c r="D4315" s="196" t="s">
        <v>1202</v>
      </c>
      <c r="E4315" s="197"/>
      <c r="F4315" s="197"/>
      <c r="G4315" s="197"/>
      <c r="H4315" s="198"/>
      <c r="L4315" s="200"/>
      <c r="M4315" s="200"/>
      <c r="N4315" s="200"/>
      <c r="O4315" s="200"/>
      <c r="P4315" s="200"/>
    </row>
    <row r="4316" spans="3:20" s="517" customFormat="1" ht="31.2" customHeight="1">
      <c r="C4316" s="518">
        <v>1</v>
      </c>
      <c r="D4316" s="196" t="s">
        <v>5</v>
      </c>
      <c r="E4316" s="203" t="s">
        <v>2102</v>
      </c>
      <c r="F4316" s="525">
        <v>6.7000000000000004E-2</v>
      </c>
      <c r="G4316" s="205">
        <f>VLOOKUP(D4316,upahbahan,3,FALSE)</f>
        <v>100000</v>
      </c>
      <c r="H4316" s="210">
        <f t="shared" ref="H4316:H4319" si="302">F4316*G4316</f>
        <v>6700</v>
      </c>
      <c r="L4316" s="200"/>
      <c r="M4316" s="200"/>
      <c r="N4316" s="200"/>
      <c r="O4316" s="200"/>
      <c r="P4316" s="200"/>
    </row>
    <row r="4317" spans="3:20" s="517" customFormat="1" ht="31.2" customHeight="1">
      <c r="C4317" s="537">
        <v>2</v>
      </c>
      <c r="D4317" s="196" t="s">
        <v>6954</v>
      </c>
      <c r="E4317" s="202" t="s">
        <v>6</v>
      </c>
      <c r="F4317" s="520">
        <v>6.7000000000000004E-2</v>
      </c>
      <c r="G4317" s="205">
        <f>VLOOKUP(D4317,upahbahan,3,FALSE)</f>
        <v>181250</v>
      </c>
      <c r="H4317" s="210">
        <f t="shared" si="302"/>
        <v>12143.75</v>
      </c>
      <c r="L4317" s="200"/>
      <c r="M4317" s="200"/>
      <c r="N4317" s="200"/>
      <c r="O4317" s="200"/>
      <c r="P4317" s="200"/>
    </row>
    <row r="4318" spans="3:20" s="517" customFormat="1" ht="31.2" customHeight="1">
      <c r="C4318" s="537">
        <v>3</v>
      </c>
      <c r="D4318" s="196" t="s">
        <v>6948</v>
      </c>
      <c r="E4318" s="202" t="s">
        <v>2102</v>
      </c>
      <c r="F4318" s="520">
        <v>3.3000000000000002E-2</v>
      </c>
      <c r="G4318" s="205">
        <f>VLOOKUP(D4318,upahbahan,3,FALSE)</f>
        <v>218750</v>
      </c>
      <c r="H4318" s="210">
        <f t="shared" si="302"/>
        <v>7218.75</v>
      </c>
      <c r="L4318" s="200"/>
      <c r="M4318" s="200"/>
      <c r="N4318" s="200"/>
      <c r="O4318" s="200"/>
      <c r="P4318" s="200"/>
    </row>
    <row r="4319" spans="3:20" s="517" customFormat="1" ht="31.2" customHeight="1">
      <c r="C4319" s="537">
        <v>4</v>
      </c>
      <c r="D4319" s="196" t="s">
        <v>19</v>
      </c>
      <c r="E4319" s="202" t="s">
        <v>6</v>
      </c>
      <c r="F4319" s="520">
        <v>1.0999999999999999E-2</v>
      </c>
      <c r="G4319" s="205">
        <f>VLOOKUP(D4319,upahbahan,3,FALSE)</f>
        <v>160000</v>
      </c>
      <c r="H4319" s="210">
        <f t="shared" si="302"/>
        <v>1760</v>
      </c>
      <c r="L4319" s="200"/>
      <c r="M4319" s="200"/>
      <c r="N4319" s="200"/>
      <c r="O4319" s="200"/>
      <c r="P4319" s="200"/>
    </row>
    <row r="4320" spans="3:20" s="517" customFormat="1" ht="31.2" customHeight="1">
      <c r="C4320" s="207" t="s">
        <v>1208</v>
      </c>
      <c r="D4320" s="208"/>
      <c r="E4320" s="208"/>
      <c r="F4320" s="521"/>
      <c r="G4320" s="522"/>
      <c r="H4320" s="210">
        <f>SUM(H4316:H4319)</f>
        <v>27822.5</v>
      </c>
      <c r="L4320" s="523"/>
      <c r="M4320" s="523"/>
      <c r="N4320" s="523"/>
      <c r="O4320" s="523"/>
      <c r="P4320" s="523"/>
    </row>
    <row r="4321" spans="3:16" s="517" customFormat="1" ht="31.2" customHeight="1">
      <c r="C4321" s="543" t="s">
        <v>1209</v>
      </c>
      <c r="D4321" s="750" t="s">
        <v>1210</v>
      </c>
      <c r="E4321" s="197"/>
      <c r="F4321" s="751"/>
      <c r="G4321" s="197"/>
      <c r="H4321" s="752"/>
      <c r="L4321" s="200"/>
      <c r="M4321" s="200"/>
      <c r="N4321" s="200"/>
      <c r="O4321" s="200"/>
      <c r="P4321" s="200"/>
    </row>
    <row r="4322" spans="3:16" s="517" customFormat="1" ht="31.2" customHeight="1">
      <c r="C4322" s="543">
        <v>1</v>
      </c>
      <c r="D4322" s="750" t="s">
        <v>7329</v>
      </c>
      <c r="E4322" s="203" t="s">
        <v>44</v>
      </c>
      <c r="F4322" s="753">
        <v>1.05</v>
      </c>
      <c r="G4322" s="205">
        <f>VLOOKUP(D4322,upahbahan,3,FALSE)</f>
        <v>0</v>
      </c>
      <c r="H4322" s="210">
        <f t="shared" ref="H4322:H4330" si="303">F4322*G4322</f>
        <v>0</v>
      </c>
      <c r="L4322" s="200"/>
      <c r="M4322" s="200"/>
      <c r="N4322" s="200"/>
      <c r="O4322" s="200"/>
      <c r="P4322" s="200"/>
    </row>
    <row r="4323" spans="3:16" s="517" customFormat="1" ht="31.2" customHeight="1">
      <c r="C4323" s="543">
        <v>2</v>
      </c>
      <c r="D4323" s="750" t="s">
        <v>5563</v>
      </c>
      <c r="E4323" s="203" t="s">
        <v>65</v>
      </c>
      <c r="F4323" s="753">
        <v>0.02</v>
      </c>
      <c r="G4323" s="205">
        <f>VLOOKUP(D4323,upahbahan,3,FALSE)</f>
        <v>0</v>
      </c>
      <c r="H4323" s="210">
        <f t="shared" si="303"/>
        <v>0</v>
      </c>
      <c r="L4323" s="200"/>
      <c r="M4323" s="200"/>
      <c r="N4323" s="200"/>
      <c r="O4323" s="200"/>
      <c r="P4323" s="200"/>
    </row>
    <row r="4324" spans="3:16" s="517" customFormat="1" ht="31.2" customHeight="1">
      <c r="C4324" s="543">
        <v>3</v>
      </c>
      <c r="D4324" s="750" t="s">
        <v>5555</v>
      </c>
      <c r="E4324" s="203"/>
      <c r="F4324" s="753"/>
      <c r="G4324" s="197"/>
      <c r="H4324" s="210">
        <f t="shared" si="303"/>
        <v>0</v>
      </c>
      <c r="L4324" s="200"/>
      <c r="M4324" s="200"/>
      <c r="N4324" s="200"/>
      <c r="O4324" s="200"/>
      <c r="P4324" s="200"/>
    </row>
    <row r="4325" spans="3:16" s="517" customFormat="1" ht="31.2" customHeight="1">
      <c r="C4325" s="754" t="s">
        <v>5293</v>
      </c>
      <c r="D4325" s="750" t="s">
        <v>7142</v>
      </c>
      <c r="E4325" s="203" t="s">
        <v>113</v>
      </c>
      <c r="F4325" s="760">
        <v>18</v>
      </c>
      <c r="G4325" s="205">
        <f>VLOOKUP(D4325,upahbahan,3,FALSE)</f>
        <v>0</v>
      </c>
      <c r="H4325" s="210">
        <f t="shared" si="303"/>
        <v>0</v>
      </c>
      <c r="L4325" s="200"/>
      <c r="M4325" s="200"/>
      <c r="N4325" s="200"/>
      <c r="O4325" s="200"/>
      <c r="P4325" s="200"/>
    </row>
    <row r="4326" spans="3:16" s="517" customFormat="1" ht="31.2" customHeight="1">
      <c r="C4326" s="754" t="s">
        <v>5299</v>
      </c>
      <c r="D4326" s="750" t="s">
        <v>7055</v>
      </c>
      <c r="E4326" s="203" t="s">
        <v>113</v>
      </c>
      <c r="F4326" s="760">
        <v>10</v>
      </c>
      <c r="G4326" s="205">
        <f>VLOOKUP(D4326,upahbahan,3,FALSE)</f>
        <v>0</v>
      </c>
      <c r="H4326" s="210">
        <f t="shared" si="303"/>
        <v>0</v>
      </c>
      <c r="L4326" s="200"/>
      <c r="M4326" s="200"/>
      <c r="N4326" s="200"/>
      <c r="O4326" s="200"/>
      <c r="P4326" s="200"/>
    </row>
    <row r="4327" spans="3:16" s="517" customFormat="1" ht="31.2" customHeight="1">
      <c r="C4327" s="543">
        <v>4</v>
      </c>
      <c r="D4327" s="750" t="s">
        <v>5556</v>
      </c>
      <c r="E4327" s="203"/>
      <c r="F4327" s="753"/>
      <c r="G4327" s="197"/>
      <c r="H4327" s="210">
        <f t="shared" si="303"/>
        <v>0</v>
      </c>
      <c r="L4327" s="200"/>
      <c r="M4327" s="200"/>
      <c r="N4327" s="200"/>
      <c r="O4327" s="200"/>
      <c r="P4327" s="200"/>
    </row>
    <row r="4328" spans="3:16" s="517" customFormat="1" ht="31.2" customHeight="1">
      <c r="C4328" s="754" t="s">
        <v>5293</v>
      </c>
      <c r="D4328" s="750" t="s">
        <v>2084</v>
      </c>
      <c r="E4328" s="203" t="s">
        <v>42</v>
      </c>
      <c r="F4328" s="753">
        <v>0.14599999999999999</v>
      </c>
      <c r="G4328" s="205">
        <f>VLOOKUP(D4328,upahbahan,3,FALSE)</f>
        <v>0</v>
      </c>
      <c r="H4328" s="210">
        <f t="shared" si="303"/>
        <v>0</v>
      </c>
      <c r="L4328" s="200"/>
      <c r="M4328" s="200"/>
      <c r="N4328" s="200"/>
      <c r="O4328" s="200"/>
      <c r="P4328" s="200"/>
    </row>
    <row r="4329" spans="3:16" s="517" customFormat="1" ht="31.2" customHeight="1">
      <c r="C4329" s="754" t="s">
        <v>5299</v>
      </c>
      <c r="D4329" s="750" t="s">
        <v>5566</v>
      </c>
      <c r="E4329" s="203" t="s">
        <v>42</v>
      </c>
      <c r="F4329" s="753">
        <v>3.9E-2</v>
      </c>
      <c r="G4329" s="205">
        <f>VLOOKUP(D4329,upahbahan,3,FALSE)</f>
        <v>0</v>
      </c>
      <c r="H4329" s="210">
        <f t="shared" si="303"/>
        <v>0</v>
      </c>
      <c r="L4329" s="200"/>
      <c r="M4329" s="200"/>
      <c r="N4329" s="200"/>
      <c r="O4329" s="200"/>
      <c r="P4329" s="200"/>
    </row>
    <row r="4330" spans="3:16" s="517" customFormat="1" ht="31.2" customHeight="1">
      <c r="C4330" s="754" t="s">
        <v>5558</v>
      </c>
      <c r="D4330" s="750" t="s">
        <v>2325</v>
      </c>
      <c r="E4330" s="203" t="s">
        <v>42</v>
      </c>
      <c r="F4330" s="762">
        <v>0.01</v>
      </c>
      <c r="G4330" s="205">
        <f>VLOOKUP(D4330,upahbahan,3,FALSE)</f>
        <v>0</v>
      </c>
      <c r="H4330" s="210">
        <f t="shared" si="303"/>
        <v>0</v>
      </c>
      <c r="L4330" s="200"/>
      <c r="M4330" s="200"/>
      <c r="N4330" s="200"/>
      <c r="O4330" s="200"/>
      <c r="P4330" s="200"/>
    </row>
    <row r="4331" spans="3:16" s="517" customFormat="1" ht="31.2" customHeight="1">
      <c r="C4331" s="207" t="s">
        <v>1214</v>
      </c>
      <c r="D4331" s="208"/>
      <c r="E4331" s="568"/>
      <c r="F4331" s="208"/>
      <c r="G4331" s="209"/>
      <c r="H4331" s="210">
        <f>SUM(H4322:H4330)</f>
        <v>0</v>
      </c>
      <c r="L4331" s="200"/>
      <c r="M4331" s="200"/>
      <c r="N4331" s="200"/>
      <c r="O4331" s="200"/>
      <c r="P4331" s="200"/>
    </row>
    <row r="4332" spans="3:16" s="517" customFormat="1" ht="31.2" customHeight="1">
      <c r="C4332" s="756" t="s">
        <v>1215</v>
      </c>
      <c r="D4332" s="196" t="s">
        <v>1216</v>
      </c>
      <c r="E4332" s="203"/>
      <c r="F4332" s="197"/>
      <c r="G4332" s="197"/>
      <c r="H4332" s="198"/>
      <c r="L4332" s="200"/>
      <c r="M4332" s="200"/>
      <c r="N4332" s="200"/>
      <c r="O4332" s="200"/>
      <c r="P4332" s="200"/>
    </row>
    <row r="4333" spans="3:16" s="517" customFormat="1" ht="31.2" customHeight="1">
      <c r="C4333" s="543">
        <v>1</v>
      </c>
      <c r="D4333" s="750" t="s">
        <v>7189</v>
      </c>
      <c r="E4333" s="203" t="s">
        <v>2396</v>
      </c>
      <c r="F4333" s="762">
        <v>0.41</v>
      </c>
      <c r="G4333" s="205">
        <f>VLOOKUP(D4333,upahbahan,3,FALSE)</f>
        <v>430000</v>
      </c>
      <c r="H4333" s="210">
        <f t="shared" ref="H4333" si="304">F4333*G4333</f>
        <v>176300</v>
      </c>
      <c r="L4333" s="200"/>
      <c r="M4333" s="200"/>
      <c r="N4333" s="200"/>
      <c r="O4333" s="200"/>
      <c r="P4333" s="200"/>
    </row>
    <row r="4334" spans="3:16" s="517" customFormat="1" ht="31.2" customHeight="1">
      <c r="C4334" s="207" t="s">
        <v>1217</v>
      </c>
      <c r="D4334" s="208"/>
      <c r="E4334" s="208"/>
      <c r="F4334" s="208"/>
      <c r="G4334" s="209"/>
      <c r="H4334" s="240">
        <f>SUM(H4333)</f>
        <v>176300</v>
      </c>
      <c r="L4334" s="200"/>
      <c r="M4334" s="200"/>
      <c r="N4334" s="200"/>
      <c r="O4334" s="200"/>
      <c r="P4334" s="200"/>
    </row>
    <row r="4335" spans="3:16" s="517" customFormat="1" ht="31.2" customHeight="1">
      <c r="C4335" s="223" t="s">
        <v>1218</v>
      </c>
      <c r="D4335" s="224" t="s">
        <v>1219</v>
      </c>
      <c r="E4335" s="225"/>
      <c r="F4335" s="225"/>
      <c r="G4335" s="226"/>
      <c r="H4335" s="210">
        <f>H4334+H4331+H4320</f>
        <v>204122.5</v>
      </c>
      <c r="L4335" s="200"/>
      <c r="M4335" s="200"/>
      <c r="N4335" s="200"/>
      <c r="O4335" s="200"/>
      <c r="P4335" s="200"/>
    </row>
    <row r="4336" spans="3:16" s="517" customFormat="1" ht="31.2" customHeight="1">
      <c r="C4336" s="223" t="s">
        <v>1220</v>
      </c>
      <c r="D4336" s="224" t="s">
        <v>1321</v>
      </c>
      <c r="E4336" s="225"/>
      <c r="F4336" s="226"/>
      <c r="G4336" s="228">
        <v>0.1</v>
      </c>
      <c r="H4336" s="210">
        <f>H4335*G4336</f>
        <v>20412.25</v>
      </c>
      <c r="L4336" s="200"/>
      <c r="M4336" s="200"/>
      <c r="N4336" s="200"/>
      <c r="O4336" s="200"/>
      <c r="P4336" s="200"/>
    </row>
    <row r="4337" spans="3:20" s="517" customFormat="1" ht="31.2" customHeight="1" thickBot="1">
      <c r="C4337" s="229" t="s">
        <v>1221</v>
      </c>
      <c r="D4337" s="230" t="s">
        <v>1222</v>
      </c>
      <c r="E4337" s="231"/>
      <c r="F4337" s="231"/>
      <c r="G4337" s="232"/>
      <c r="H4337" s="233">
        <f>SUM(H4335:H4336)</f>
        <v>224534.75</v>
      </c>
      <c r="L4337" s="200"/>
      <c r="M4337" s="200"/>
      <c r="N4337" s="200"/>
      <c r="O4337" s="200"/>
      <c r="P4337" s="200"/>
    </row>
    <row r="4338" spans="3:20" ht="31.2" customHeight="1" thickTop="1">
      <c r="D4338" s="758" t="s">
        <v>7210</v>
      </c>
    </row>
    <row r="4339" spans="3:20" ht="31.2" customHeight="1">
      <c r="C4339" s="757" t="s">
        <v>6950</v>
      </c>
      <c r="F4339" s="758"/>
      <c r="H4339" s="758" t="s">
        <v>6959</v>
      </c>
    </row>
    <row r="4340" spans="3:20" ht="31.2" customHeight="1">
      <c r="C4340" s="200" t="s">
        <v>6951</v>
      </c>
      <c r="F4340" s="758"/>
    </row>
    <row r="4341" spans="3:20" ht="31.2" customHeight="1">
      <c r="C4341" s="200" t="s">
        <v>6952</v>
      </c>
      <c r="F4341" s="758"/>
    </row>
    <row r="4342" spans="3:20" ht="31.2" customHeight="1">
      <c r="C4342" s="200"/>
      <c r="F4342" s="758"/>
    </row>
    <row r="4343" spans="3:20" ht="31.2" customHeight="1">
      <c r="C4343" s="199" t="s">
        <v>5588</v>
      </c>
      <c r="D4343" s="187" t="s">
        <v>7330</v>
      </c>
      <c r="F4343" s="758"/>
    </row>
    <row r="4344" spans="3:20" s="517" customFormat="1" ht="31.2" customHeight="1" thickBot="1">
      <c r="C4344" s="513" t="s">
        <v>7331</v>
      </c>
      <c r="D4344" s="748" t="s">
        <v>7332</v>
      </c>
      <c r="E4344" s="749"/>
      <c r="F4344" s="748"/>
      <c r="G4344" s="748"/>
      <c r="H4344" s="532"/>
      <c r="I4344" s="532"/>
      <c r="J4344" s="532"/>
      <c r="K4344" s="532"/>
      <c r="M4344" s="189"/>
      <c r="N4344" s="189"/>
      <c r="O4344" s="189"/>
      <c r="P4344" s="189"/>
      <c r="R4344" s="189">
        <f>ROUNDDOWN(H4368,-2)</f>
        <v>310700</v>
      </c>
      <c r="S4344" s="517" t="s">
        <v>6451</v>
      </c>
      <c r="T4344" s="517" t="s">
        <v>7014</v>
      </c>
    </row>
    <row r="4345" spans="3:20" s="517" customFormat="1" ht="31.2" customHeight="1" thickTop="1">
      <c r="C4345" s="190" t="s">
        <v>1195</v>
      </c>
      <c r="D4345" s="191" t="s">
        <v>1196</v>
      </c>
      <c r="E4345" s="191" t="s">
        <v>1197</v>
      </c>
      <c r="F4345" s="191" t="s">
        <v>1198</v>
      </c>
      <c r="G4345" s="191" t="s">
        <v>1199</v>
      </c>
      <c r="H4345" s="192" t="s">
        <v>1200</v>
      </c>
      <c r="L4345" s="200"/>
      <c r="M4345" s="200"/>
      <c r="N4345" s="200"/>
      <c r="O4345" s="200"/>
      <c r="P4345" s="200"/>
    </row>
    <row r="4346" spans="3:20" s="517" customFormat="1" ht="31.2" customHeight="1">
      <c r="C4346" s="518" t="s">
        <v>1201</v>
      </c>
      <c r="D4346" s="196" t="s">
        <v>1202</v>
      </c>
      <c r="E4346" s="197"/>
      <c r="F4346" s="197"/>
      <c r="G4346" s="197"/>
      <c r="H4346" s="198"/>
      <c r="L4346" s="200"/>
      <c r="M4346" s="200"/>
      <c r="N4346" s="200"/>
      <c r="O4346" s="200"/>
      <c r="P4346" s="200"/>
    </row>
    <row r="4347" spans="3:20" s="517" customFormat="1" ht="31.2" customHeight="1">
      <c r="C4347" s="518">
        <v>1</v>
      </c>
      <c r="D4347" s="196" t="s">
        <v>5</v>
      </c>
      <c r="E4347" s="203" t="s">
        <v>2102</v>
      </c>
      <c r="F4347" s="525">
        <v>0.1</v>
      </c>
      <c r="G4347" s="205">
        <f>VLOOKUP(D4347,upahbahan,3,FALSE)</f>
        <v>100000</v>
      </c>
      <c r="H4347" s="210">
        <f t="shared" ref="H4347:H4350" si="305">F4347*G4347</f>
        <v>10000</v>
      </c>
      <c r="L4347" s="200"/>
      <c r="M4347" s="200"/>
      <c r="N4347" s="200"/>
      <c r="O4347" s="200"/>
      <c r="P4347" s="200"/>
    </row>
    <row r="4348" spans="3:20" s="517" customFormat="1" ht="31.2" customHeight="1">
      <c r="C4348" s="537">
        <v>2</v>
      </c>
      <c r="D4348" s="196" t="s">
        <v>6954</v>
      </c>
      <c r="E4348" s="202" t="s">
        <v>6</v>
      </c>
      <c r="F4348" s="520">
        <v>0.1</v>
      </c>
      <c r="G4348" s="205">
        <f>VLOOKUP(D4348,upahbahan,3,FALSE)</f>
        <v>181250</v>
      </c>
      <c r="H4348" s="210">
        <f t="shared" si="305"/>
        <v>18125</v>
      </c>
      <c r="L4348" s="200"/>
      <c r="M4348" s="200"/>
      <c r="N4348" s="200"/>
      <c r="O4348" s="200"/>
      <c r="P4348" s="200"/>
    </row>
    <row r="4349" spans="3:20" s="517" customFormat="1" ht="31.2" customHeight="1">
      <c r="C4349" s="537">
        <v>3</v>
      </c>
      <c r="D4349" s="196" t="s">
        <v>6948</v>
      </c>
      <c r="E4349" s="202" t="s">
        <v>2102</v>
      </c>
      <c r="F4349" s="520">
        <v>0.05</v>
      </c>
      <c r="G4349" s="205">
        <f>VLOOKUP(D4349,upahbahan,3,FALSE)</f>
        <v>218750</v>
      </c>
      <c r="H4349" s="210">
        <f t="shared" si="305"/>
        <v>10937.5</v>
      </c>
      <c r="L4349" s="200"/>
      <c r="M4349" s="200"/>
      <c r="N4349" s="200"/>
      <c r="O4349" s="200"/>
      <c r="P4349" s="200"/>
    </row>
    <row r="4350" spans="3:20" s="517" customFormat="1" ht="31.2" customHeight="1">
      <c r="C4350" s="537">
        <v>4</v>
      </c>
      <c r="D4350" s="196" t="s">
        <v>19</v>
      </c>
      <c r="E4350" s="202" t="s">
        <v>6</v>
      </c>
      <c r="F4350" s="520">
        <v>1.67E-2</v>
      </c>
      <c r="G4350" s="205">
        <f>VLOOKUP(D4350,upahbahan,3,FALSE)</f>
        <v>160000</v>
      </c>
      <c r="H4350" s="210">
        <f t="shared" si="305"/>
        <v>2672</v>
      </c>
      <c r="L4350" s="200"/>
      <c r="M4350" s="200"/>
      <c r="N4350" s="200"/>
      <c r="O4350" s="200"/>
      <c r="P4350" s="200"/>
    </row>
    <row r="4351" spans="3:20" s="517" customFormat="1" ht="31.2" customHeight="1">
      <c r="C4351" s="207" t="s">
        <v>1208</v>
      </c>
      <c r="D4351" s="208"/>
      <c r="E4351" s="208"/>
      <c r="F4351" s="521"/>
      <c r="G4351" s="522"/>
      <c r="H4351" s="210">
        <f>SUM(H4347:H4350)</f>
        <v>41734.5</v>
      </c>
      <c r="L4351" s="523"/>
      <c r="M4351" s="523"/>
      <c r="N4351" s="523"/>
      <c r="O4351" s="523"/>
      <c r="P4351" s="523"/>
    </row>
    <row r="4352" spans="3:20" s="517" customFormat="1" ht="31.2" customHeight="1">
      <c r="C4352" s="543" t="s">
        <v>1209</v>
      </c>
      <c r="D4352" s="750" t="s">
        <v>1210</v>
      </c>
      <c r="E4352" s="197"/>
      <c r="F4352" s="751"/>
      <c r="G4352" s="197"/>
      <c r="H4352" s="752"/>
      <c r="L4352" s="200"/>
      <c r="M4352" s="200"/>
      <c r="N4352" s="200"/>
      <c r="O4352" s="200"/>
      <c r="P4352" s="200"/>
    </row>
    <row r="4353" spans="3:16" s="517" customFormat="1" ht="31.2" customHeight="1">
      <c r="C4353" s="543">
        <v>1</v>
      </c>
      <c r="D4353" s="750" t="s">
        <v>7333</v>
      </c>
      <c r="E4353" s="203" t="s">
        <v>44</v>
      </c>
      <c r="F4353" s="753">
        <v>1.05</v>
      </c>
      <c r="G4353" s="205">
        <f>VLOOKUP(D4353,upahbahan,3,FALSE)</f>
        <v>0</v>
      </c>
      <c r="H4353" s="210">
        <f t="shared" ref="H4353:H4361" si="306">F4353*G4353</f>
        <v>0</v>
      </c>
      <c r="L4353" s="200"/>
      <c r="M4353" s="200"/>
      <c r="N4353" s="200"/>
      <c r="O4353" s="200"/>
      <c r="P4353" s="200"/>
    </row>
    <row r="4354" spans="3:16" s="517" customFormat="1" ht="31.2" customHeight="1">
      <c r="C4354" s="543">
        <v>2</v>
      </c>
      <c r="D4354" s="750" t="s">
        <v>5563</v>
      </c>
      <c r="E4354" s="203" t="s">
        <v>65</v>
      </c>
      <c r="F4354" s="753">
        <v>0.02</v>
      </c>
      <c r="G4354" s="205">
        <f>VLOOKUP(D4354,upahbahan,3,FALSE)</f>
        <v>0</v>
      </c>
      <c r="H4354" s="210">
        <f t="shared" si="306"/>
        <v>0</v>
      </c>
      <c r="L4354" s="200"/>
      <c r="M4354" s="200"/>
      <c r="N4354" s="200"/>
      <c r="O4354" s="200"/>
      <c r="P4354" s="200"/>
    </row>
    <row r="4355" spans="3:16" s="517" customFormat="1" ht="31.2" customHeight="1">
      <c r="C4355" s="543">
        <v>3</v>
      </c>
      <c r="D4355" s="750" t="s">
        <v>5555</v>
      </c>
      <c r="E4355" s="203"/>
      <c r="F4355" s="753"/>
      <c r="G4355" s="197"/>
      <c r="H4355" s="210">
        <f t="shared" si="306"/>
        <v>0</v>
      </c>
      <c r="L4355" s="200"/>
      <c r="M4355" s="200"/>
      <c r="N4355" s="200"/>
      <c r="O4355" s="200"/>
      <c r="P4355" s="200"/>
    </row>
    <row r="4356" spans="3:16" s="517" customFormat="1" ht="31.2" customHeight="1">
      <c r="C4356" s="754" t="s">
        <v>5293</v>
      </c>
      <c r="D4356" s="750" t="s">
        <v>7209</v>
      </c>
      <c r="E4356" s="203" t="s">
        <v>113</v>
      </c>
      <c r="F4356" s="760">
        <v>18</v>
      </c>
      <c r="G4356" s="205">
        <f>VLOOKUP(D4356,upahbahan,3,FALSE)</f>
        <v>0</v>
      </c>
      <c r="H4356" s="210">
        <f t="shared" si="306"/>
        <v>0</v>
      </c>
      <c r="L4356" s="200"/>
      <c r="M4356" s="200"/>
      <c r="N4356" s="200"/>
      <c r="O4356" s="200"/>
      <c r="P4356" s="200"/>
    </row>
    <row r="4357" spans="3:16" s="517" customFormat="1" ht="31.2" customHeight="1">
      <c r="C4357" s="754" t="s">
        <v>5299</v>
      </c>
      <c r="D4357" s="750" t="s">
        <v>7055</v>
      </c>
      <c r="E4357" s="203" t="s">
        <v>113</v>
      </c>
      <c r="F4357" s="760">
        <v>10</v>
      </c>
      <c r="G4357" s="205">
        <f>VLOOKUP(D4357,upahbahan,3,FALSE)</f>
        <v>0</v>
      </c>
      <c r="H4357" s="210">
        <f t="shared" si="306"/>
        <v>0</v>
      </c>
      <c r="L4357" s="200"/>
      <c r="M4357" s="200"/>
      <c r="N4357" s="200"/>
      <c r="O4357" s="200"/>
      <c r="P4357" s="200"/>
    </row>
    <row r="4358" spans="3:16" s="517" customFormat="1" ht="31.2" customHeight="1">
      <c r="C4358" s="543">
        <v>4</v>
      </c>
      <c r="D4358" s="750" t="s">
        <v>5556</v>
      </c>
      <c r="E4358" s="203"/>
      <c r="F4358" s="753"/>
      <c r="G4358" s="197"/>
      <c r="H4358" s="210">
        <f t="shared" si="306"/>
        <v>0</v>
      </c>
      <c r="L4358" s="200"/>
      <c r="M4358" s="200"/>
      <c r="N4358" s="200"/>
      <c r="O4358" s="200"/>
      <c r="P4358" s="200"/>
    </row>
    <row r="4359" spans="3:16" s="517" customFormat="1" ht="31.2" customHeight="1">
      <c r="C4359" s="754" t="s">
        <v>5293</v>
      </c>
      <c r="D4359" s="750" t="s">
        <v>2084</v>
      </c>
      <c r="E4359" s="203" t="s">
        <v>42</v>
      </c>
      <c r="F4359" s="753">
        <v>0.19500000000000001</v>
      </c>
      <c r="G4359" s="205">
        <f>VLOOKUP(D4359,upahbahan,3,FALSE)</f>
        <v>0</v>
      </c>
      <c r="H4359" s="210">
        <f t="shared" si="306"/>
        <v>0</v>
      </c>
      <c r="L4359" s="200"/>
      <c r="M4359" s="200"/>
      <c r="N4359" s="200"/>
      <c r="O4359" s="200"/>
      <c r="P4359" s="200"/>
    </row>
    <row r="4360" spans="3:16" s="517" customFormat="1" ht="31.2" customHeight="1">
      <c r="C4360" s="754" t="s">
        <v>5299</v>
      </c>
      <c r="D4360" s="750" t="s">
        <v>5566</v>
      </c>
      <c r="E4360" s="203" t="s">
        <v>42</v>
      </c>
      <c r="F4360" s="753">
        <v>5.1999999999999998E-2</v>
      </c>
      <c r="G4360" s="205">
        <f>VLOOKUP(D4360,upahbahan,3,FALSE)</f>
        <v>0</v>
      </c>
      <c r="H4360" s="210">
        <f t="shared" si="306"/>
        <v>0</v>
      </c>
      <c r="L4360" s="200"/>
      <c r="M4360" s="200"/>
      <c r="N4360" s="200"/>
      <c r="O4360" s="200"/>
      <c r="P4360" s="200"/>
    </row>
    <row r="4361" spans="3:16" s="517" customFormat="1" ht="31.2" customHeight="1">
      <c r="C4361" s="754" t="s">
        <v>5558</v>
      </c>
      <c r="D4361" s="750" t="s">
        <v>2325</v>
      </c>
      <c r="E4361" s="203" t="s">
        <v>42</v>
      </c>
      <c r="F4361" s="762">
        <v>1.2999999999999999E-2</v>
      </c>
      <c r="G4361" s="205">
        <f>VLOOKUP(D4361,upahbahan,3,FALSE)</f>
        <v>0</v>
      </c>
      <c r="H4361" s="210">
        <f t="shared" si="306"/>
        <v>0</v>
      </c>
      <c r="L4361" s="200"/>
      <c r="M4361" s="200"/>
      <c r="N4361" s="200"/>
      <c r="O4361" s="200"/>
      <c r="P4361" s="200"/>
    </row>
    <row r="4362" spans="3:16" s="517" customFormat="1" ht="31.2" customHeight="1">
      <c r="C4362" s="207" t="s">
        <v>1214</v>
      </c>
      <c r="D4362" s="208"/>
      <c r="E4362" s="568"/>
      <c r="F4362" s="208"/>
      <c r="G4362" s="209"/>
      <c r="H4362" s="210">
        <f>SUM(H4353:H4361)</f>
        <v>0</v>
      </c>
      <c r="L4362" s="200"/>
      <c r="M4362" s="200"/>
      <c r="N4362" s="200"/>
      <c r="O4362" s="200"/>
      <c r="P4362" s="200"/>
    </row>
    <row r="4363" spans="3:16" s="517" customFormat="1" ht="31.2" customHeight="1">
      <c r="C4363" s="756" t="s">
        <v>1215</v>
      </c>
      <c r="D4363" s="196" t="s">
        <v>1216</v>
      </c>
      <c r="E4363" s="203"/>
      <c r="F4363" s="197"/>
      <c r="G4363" s="197"/>
      <c r="H4363" s="198"/>
      <c r="L4363" s="200"/>
      <c r="M4363" s="200"/>
      <c r="N4363" s="200"/>
      <c r="O4363" s="200"/>
      <c r="P4363" s="200"/>
    </row>
    <row r="4364" spans="3:16" s="517" customFormat="1" ht="31.2" customHeight="1">
      <c r="C4364" s="543">
        <v>1</v>
      </c>
      <c r="D4364" s="750" t="s">
        <v>7189</v>
      </c>
      <c r="E4364" s="203" t="s">
        <v>2396</v>
      </c>
      <c r="F4364" s="762">
        <v>0.56000000000000005</v>
      </c>
      <c r="G4364" s="205">
        <f>VLOOKUP(D4364,upahbahan,3,FALSE)</f>
        <v>430000</v>
      </c>
      <c r="H4364" s="210">
        <f t="shared" ref="H4364" si="307">F4364*G4364</f>
        <v>240800.00000000003</v>
      </c>
      <c r="L4364" s="200"/>
      <c r="M4364" s="200"/>
      <c r="N4364" s="200"/>
      <c r="O4364" s="200"/>
      <c r="P4364" s="200"/>
    </row>
    <row r="4365" spans="3:16" s="517" customFormat="1" ht="31.2" customHeight="1">
      <c r="C4365" s="207" t="s">
        <v>1217</v>
      </c>
      <c r="D4365" s="208"/>
      <c r="E4365" s="208"/>
      <c r="F4365" s="208"/>
      <c r="G4365" s="209"/>
      <c r="H4365" s="240">
        <f>SUM(H4364)</f>
        <v>240800.00000000003</v>
      </c>
      <c r="L4365" s="200"/>
      <c r="M4365" s="200"/>
      <c r="N4365" s="200"/>
      <c r="O4365" s="200"/>
      <c r="P4365" s="200"/>
    </row>
    <row r="4366" spans="3:16" s="517" customFormat="1" ht="31.2" customHeight="1">
      <c r="C4366" s="223" t="s">
        <v>1218</v>
      </c>
      <c r="D4366" s="224" t="s">
        <v>1219</v>
      </c>
      <c r="E4366" s="225"/>
      <c r="F4366" s="225"/>
      <c r="G4366" s="226"/>
      <c r="H4366" s="210">
        <f>H4365+H4362+H4351</f>
        <v>282534.5</v>
      </c>
      <c r="L4366" s="200"/>
      <c r="M4366" s="200"/>
      <c r="N4366" s="200"/>
      <c r="O4366" s="200"/>
      <c r="P4366" s="200"/>
    </row>
    <row r="4367" spans="3:16" s="517" customFormat="1" ht="31.2" customHeight="1">
      <c r="C4367" s="223" t="s">
        <v>1220</v>
      </c>
      <c r="D4367" s="224" t="s">
        <v>1321</v>
      </c>
      <c r="E4367" s="225"/>
      <c r="F4367" s="226"/>
      <c r="G4367" s="228">
        <v>0.1</v>
      </c>
      <c r="H4367" s="210">
        <f>H4366*G4367</f>
        <v>28253.45</v>
      </c>
      <c r="L4367" s="200"/>
      <c r="M4367" s="200"/>
      <c r="N4367" s="200"/>
      <c r="O4367" s="200"/>
      <c r="P4367" s="200"/>
    </row>
    <row r="4368" spans="3:16" s="517" customFormat="1" ht="31.2" customHeight="1" thickBot="1">
      <c r="C4368" s="229" t="s">
        <v>1221</v>
      </c>
      <c r="D4368" s="230" t="s">
        <v>1222</v>
      </c>
      <c r="E4368" s="231"/>
      <c r="F4368" s="231"/>
      <c r="G4368" s="232"/>
      <c r="H4368" s="233">
        <f>SUM(H4366:H4367)</f>
        <v>310787.95</v>
      </c>
      <c r="L4368" s="200"/>
      <c r="M4368" s="200"/>
      <c r="N4368" s="200"/>
      <c r="O4368" s="200"/>
      <c r="P4368" s="200"/>
    </row>
    <row r="4369" spans="3:20" ht="31.2" customHeight="1" thickTop="1">
      <c r="D4369" s="758" t="s">
        <v>7210</v>
      </c>
    </row>
    <row r="4370" spans="3:20" ht="31.2" customHeight="1">
      <c r="C4370" s="757" t="s">
        <v>6950</v>
      </c>
      <c r="F4370" s="758"/>
      <c r="H4370" s="758" t="s">
        <v>6959</v>
      </c>
    </row>
    <row r="4371" spans="3:20" ht="31.2" customHeight="1">
      <c r="C4371" s="200" t="s">
        <v>6951</v>
      </c>
      <c r="F4371" s="758"/>
    </row>
    <row r="4372" spans="3:20" ht="31.2" customHeight="1">
      <c r="C4372" s="200" t="s">
        <v>6952</v>
      </c>
      <c r="F4372" s="758"/>
    </row>
    <row r="4373" spans="3:20" ht="31.2" customHeight="1">
      <c r="C4373" s="200"/>
      <c r="F4373" s="758"/>
    </row>
    <row r="4374" spans="3:20" s="517" customFormat="1" ht="31.2" customHeight="1" thickBot="1">
      <c r="C4374" s="513" t="s">
        <v>7334</v>
      </c>
      <c r="D4374" s="748" t="s">
        <v>7335</v>
      </c>
      <c r="E4374" s="749"/>
      <c r="F4374" s="748"/>
      <c r="G4374" s="748"/>
      <c r="H4374" s="532"/>
      <c r="I4374" s="532"/>
      <c r="J4374" s="532"/>
      <c r="K4374" s="532"/>
      <c r="M4374" s="189"/>
      <c r="N4374" s="189"/>
      <c r="O4374" s="189"/>
      <c r="P4374" s="189"/>
      <c r="R4374" s="189">
        <f>ROUNDDOWN(H4398,-2)</f>
        <v>310700</v>
      </c>
      <c r="S4374" s="517" t="s">
        <v>6451</v>
      </c>
      <c r="T4374" s="517" t="s">
        <v>7014</v>
      </c>
    </row>
    <row r="4375" spans="3:20" s="517" customFormat="1" ht="31.2" customHeight="1" thickTop="1">
      <c r="C4375" s="190" t="s">
        <v>1195</v>
      </c>
      <c r="D4375" s="191" t="s">
        <v>1196</v>
      </c>
      <c r="E4375" s="191" t="s">
        <v>1197</v>
      </c>
      <c r="F4375" s="191" t="s">
        <v>1198</v>
      </c>
      <c r="G4375" s="191" t="s">
        <v>1199</v>
      </c>
      <c r="H4375" s="192" t="s">
        <v>1200</v>
      </c>
      <c r="L4375" s="200"/>
      <c r="M4375" s="200"/>
      <c r="N4375" s="200"/>
      <c r="O4375" s="200"/>
      <c r="P4375" s="200"/>
    </row>
    <row r="4376" spans="3:20" s="517" customFormat="1" ht="31.2" customHeight="1">
      <c r="C4376" s="518" t="s">
        <v>1201</v>
      </c>
      <c r="D4376" s="196" t="s">
        <v>1202</v>
      </c>
      <c r="E4376" s="197"/>
      <c r="F4376" s="197"/>
      <c r="G4376" s="197"/>
      <c r="H4376" s="198"/>
      <c r="L4376" s="200"/>
      <c r="M4376" s="200"/>
      <c r="N4376" s="200"/>
      <c r="O4376" s="200"/>
      <c r="P4376" s="200"/>
    </row>
    <row r="4377" spans="3:20" s="517" customFormat="1" ht="31.2" customHeight="1">
      <c r="C4377" s="518">
        <v>1</v>
      </c>
      <c r="D4377" s="196" t="s">
        <v>5</v>
      </c>
      <c r="E4377" s="203" t="s">
        <v>2102</v>
      </c>
      <c r="F4377" s="525">
        <v>0.1</v>
      </c>
      <c r="G4377" s="205">
        <f>VLOOKUP(D4377,upahbahan,3,FALSE)</f>
        <v>100000</v>
      </c>
      <c r="H4377" s="210">
        <f t="shared" ref="H4377:H4380" si="308">F4377*G4377</f>
        <v>10000</v>
      </c>
      <c r="L4377" s="200"/>
      <c r="M4377" s="200"/>
      <c r="N4377" s="200"/>
      <c r="O4377" s="200"/>
      <c r="P4377" s="200"/>
    </row>
    <row r="4378" spans="3:20" s="517" customFormat="1" ht="31.2" customHeight="1">
      <c r="C4378" s="537">
        <v>2</v>
      </c>
      <c r="D4378" s="196" t="s">
        <v>6954</v>
      </c>
      <c r="E4378" s="202" t="s">
        <v>6</v>
      </c>
      <c r="F4378" s="520">
        <v>0.1</v>
      </c>
      <c r="G4378" s="205">
        <f>VLOOKUP(D4378,upahbahan,3,FALSE)</f>
        <v>181250</v>
      </c>
      <c r="H4378" s="210">
        <f t="shared" si="308"/>
        <v>18125</v>
      </c>
      <c r="L4378" s="200"/>
      <c r="M4378" s="200"/>
      <c r="N4378" s="200"/>
      <c r="O4378" s="200"/>
      <c r="P4378" s="200"/>
    </row>
    <row r="4379" spans="3:20" s="517" customFormat="1" ht="31.2" customHeight="1">
      <c r="C4379" s="537">
        <v>3</v>
      </c>
      <c r="D4379" s="196" t="s">
        <v>6948</v>
      </c>
      <c r="E4379" s="202" t="s">
        <v>2102</v>
      </c>
      <c r="F4379" s="520">
        <v>0.05</v>
      </c>
      <c r="G4379" s="205">
        <f>VLOOKUP(D4379,upahbahan,3,FALSE)</f>
        <v>218750</v>
      </c>
      <c r="H4379" s="210">
        <f t="shared" si="308"/>
        <v>10937.5</v>
      </c>
      <c r="L4379" s="200"/>
      <c r="M4379" s="200"/>
      <c r="N4379" s="200"/>
      <c r="O4379" s="200"/>
      <c r="P4379" s="200"/>
    </row>
    <row r="4380" spans="3:20" s="517" customFormat="1" ht="31.2" customHeight="1">
      <c r="C4380" s="537">
        <v>4</v>
      </c>
      <c r="D4380" s="196" t="s">
        <v>19</v>
      </c>
      <c r="E4380" s="202" t="s">
        <v>6</v>
      </c>
      <c r="F4380" s="520">
        <v>1.67E-2</v>
      </c>
      <c r="G4380" s="205">
        <f>VLOOKUP(D4380,upahbahan,3,FALSE)</f>
        <v>160000</v>
      </c>
      <c r="H4380" s="210">
        <f t="shared" si="308"/>
        <v>2672</v>
      </c>
      <c r="L4380" s="200"/>
      <c r="M4380" s="200"/>
      <c r="N4380" s="200"/>
      <c r="O4380" s="200"/>
      <c r="P4380" s="200"/>
    </row>
    <row r="4381" spans="3:20" s="517" customFormat="1" ht="31.2" customHeight="1">
      <c r="C4381" s="207" t="s">
        <v>1208</v>
      </c>
      <c r="D4381" s="208"/>
      <c r="E4381" s="208"/>
      <c r="F4381" s="521"/>
      <c r="G4381" s="522"/>
      <c r="H4381" s="210">
        <f>SUM(H4377:H4380)</f>
        <v>41734.5</v>
      </c>
      <c r="L4381" s="523"/>
      <c r="M4381" s="523"/>
      <c r="N4381" s="523"/>
      <c r="O4381" s="523"/>
      <c r="P4381" s="523"/>
    </row>
    <row r="4382" spans="3:20" s="517" customFormat="1" ht="31.2" customHeight="1">
      <c r="C4382" s="543" t="s">
        <v>1209</v>
      </c>
      <c r="D4382" s="750" t="s">
        <v>1210</v>
      </c>
      <c r="E4382" s="197"/>
      <c r="F4382" s="751"/>
      <c r="G4382" s="197"/>
      <c r="H4382" s="752"/>
      <c r="L4382" s="200"/>
      <c r="M4382" s="200"/>
      <c r="N4382" s="200"/>
      <c r="O4382" s="200"/>
      <c r="P4382" s="200"/>
    </row>
    <row r="4383" spans="3:20" s="517" customFormat="1" ht="31.2" customHeight="1">
      <c r="C4383" s="543">
        <v>1</v>
      </c>
      <c r="D4383" s="750" t="s">
        <v>7336</v>
      </c>
      <c r="E4383" s="203" t="s">
        <v>44</v>
      </c>
      <c r="F4383" s="753">
        <v>1.05</v>
      </c>
      <c r="G4383" s="205">
        <f>VLOOKUP(D4383,upahbahan,3,FALSE)</f>
        <v>0</v>
      </c>
      <c r="H4383" s="210">
        <f t="shared" ref="H4383:H4391" si="309">F4383*G4383</f>
        <v>0</v>
      </c>
      <c r="L4383" s="200"/>
      <c r="M4383" s="200"/>
      <c r="N4383" s="200"/>
      <c r="O4383" s="200"/>
      <c r="P4383" s="200"/>
    </row>
    <row r="4384" spans="3:20" s="517" customFormat="1" ht="31.2" customHeight="1">
      <c r="C4384" s="543">
        <v>2</v>
      </c>
      <c r="D4384" s="750" t="s">
        <v>5563</v>
      </c>
      <c r="E4384" s="203" t="s">
        <v>65</v>
      </c>
      <c r="F4384" s="753">
        <v>0.02</v>
      </c>
      <c r="G4384" s="205">
        <f>VLOOKUP(D4384,upahbahan,3,FALSE)</f>
        <v>0</v>
      </c>
      <c r="H4384" s="210">
        <f t="shared" si="309"/>
        <v>0</v>
      </c>
      <c r="L4384" s="200"/>
      <c r="M4384" s="200"/>
      <c r="N4384" s="200"/>
      <c r="O4384" s="200"/>
      <c r="P4384" s="200"/>
    </row>
    <row r="4385" spans="3:16" s="517" customFormat="1" ht="31.2" customHeight="1">
      <c r="C4385" s="543">
        <v>3</v>
      </c>
      <c r="D4385" s="750" t="s">
        <v>5555</v>
      </c>
      <c r="E4385" s="203"/>
      <c r="F4385" s="753"/>
      <c r="G4385" s="197"/>
      <c r="H4385" s="210">
        <f t="shared" si="309"/>
        <v>0</v>
      </c>
      <c r="L4385" s="200"/>
      <c r="M4385" s="200"/>
      <c r="N4385" s="200"/>
      <c r="O4385" s="200"/>
      <c r="P4385" s="200"/>
    </row>
    <row r="4386" spans="3:16" s="517" customFormat="1" ht="31.2" customHeight="1">
      <c r="C4386" s="754" t="s">
        <v>5293</v>
      </c>
      <c r="D4386" s="750" t="s">
        <v>7209</v>
      </c>
      <c r="E4386" s="203" t="s">
        <v>113</v>
      </c>
      <c r="F4386" s="760">
        <v>18</v>
      </c>
      <c r="G4386" s="205">
        <f>VLOOKUP(D4386,upahbahan,3,FALSE)</f>
        <v>0</v>
      </c>
      <c r="H4386" s="210">
        <f t="shared" si="309"/>
        <v>0</v>
      </c>
      <c r="L4386" s="200"/>
      <c r="M4386" s="200"/>
      <c r="N4386" s="200"/>
      <c r="O4386" s="200"/>
      <c r="P4386" s="200"/>
    </row>
    <row r="4387" spans="3:16" s="517" customFormat="1" ht="31.2" customHeight="1">
      <c r="C4387" s="754" t="s">
        <v>5299</v>
      </c>
      <c r="D4387" s="750" t="s">
        <v>7055</v>
      </c>
      <c r="E4387" s="203" t="s">
        <v>113</v>
      </c>
      <c r="F4387" s="760">
        <v>10</v>
      </c>
      <c r="G4387" s="205">
        <f>VLOOKUP(D4387,upahbahan,3,FALSE)</f>
        <v>0</v>
      </c>
      <c r="H4387" s="210">
        <f t="shared" si="309"/>
        <v>0</v>
      </c>
      <c r="L4387" s="200"/>
      <c r="M4387" s="200"/>
      <c r="N4387" s="200"/>
      <c r="O4387" s="200"/>
      <c r="P4387" s="200"/>
    </row>
    <row r="4388" spans="3:16" s="517" customFormat="1" ht="31.2" customHeight="1">
      <c r="C4388" s="543">
        <v>4</v>
      </c>
      <c r="D4388" s="750" t="s">
        <v>5556</v>
      </c>
      <c r="E4388" s="203"/>
      <c r="F4388" s="753"/>
      <c r="G4388" s="197"/>
      <c r="H4388" s="210">
        <f t="shared" si="309"/>
        <v>0</v>
      </c>
      <c r="L4388" s="200"/>
      <c r="M4388" s="200"/>
      <c r="N4388" s="200"/>
      <c r="O4388" s="200"/>
      <c r="P4388" s="200"/>
    </row>
    <row r="4389" spans="3:16" s="517" customFormat="1" ht="31.2" customHeight="1">
      <c r="C4389" s="754" t="s">
        <v>5293</v>
      </c>
      <c r="D4389" s="750" t="s">
        <v>2084</v>
      </c>
      <c r="E4389" s="203" t="s">
        <v>42</v>
      </c>
      <c r="F4389" s="753">
        <v>0.19500000000000001</v>
      </c>
      <c r="G4389" s="205">
        <f>VLOOKUP(D4389,upahbahan,3,FALSE)</f>
        <v>0</v>
      </c>
      <c r="H4389" s="210">
        <f t="shared" si="309"/>
        <v>0</v>
      </c>
      <c r="L4389" s="200"/>
      <c r="M4389" s="200"/>
      <c r="N4389" s="200"/>
      <c r="O4389" s="200"/>
      <c r="P4389" s="200"/>
    </row>
    <row r="4390" spans="3:16" s="517" customFormat="1" ht="31.2" customHeight="1">
      <c r="C4390" s="754" t="s">
        <v>5299</v>
      </c>
      <c r="D4390" s="750" t="s">
        <v>5566</v>
      </c>
      <c r="E4390" s="203" t="s">
        <v>42</v>
      </c>
      <c r="F4390" s="753">
        <v>5.1999999999999998E-2</v>
      </c>
      <c r="G4390" s="205">
        <f>VLOOKUP(D4390,upahbahan,3,FALSE)</f>
        <v>0</v>
      </c>
      <c r="H4390" s="210">
        <f t="shared" si="309"/>
        <v>0</v>
      </c>
      <c r="L4390" s="200"/>
      <c r="M4390" s="200"/>
      <c r="N4390" s="200"/>
      <c r="O4390" s="200"/>
      <c r="P4390" s="200"/>
    </row>
    <row r="4391" spans="3:16" s="517" customFormat="1" ht="31.2" customHeight="1">
      <c r="C4391" s="754" t="s">
        <v>5558</v>
      </c>
      <c r="D4391" s="750" t="s">
        <v>2325</v>
      </c>
      <c r="E4391" s="203" t="s">
        <v>42</v>
      </c>
      <c r="F4391" s="762">
        <v>1.2999999999999999E-2</v>
      </c>
      <c r="G4391" s="205">
        <f>VLOOKUP(D4391,upahbahan,3,FALSE)</f>
        <v>0</v>
      </c>
      <c r="H4391" s="210">
        <f t="shared" si="309"/>
        <v>0</v>
      </c>
      <c r="L4391" s="200"/>
      <c r="M4391" s="200"/>
      <c r="N4391" s="200"/>
      <c r="O4391" s="200"/>
      <c r="P4391" s="200"/>
    </row>
    <row r="4392" spans="3:16" s="517" customFormat="1" ht="31.2" customHeight="1">
      <c r="C4392" s="207" t="s">
        <v>1214</v>
      </c>
      <c r="D4392" s="208"/>
      <c r="E4392" s="568"/>
      <c r="F4392" s="208"/>
      <c r="G4392" s="209"/>
      <c r="H4392" s="210">
        <f>SUM(H4383:H4391)</f>
        <v>0</v>
      </c>
      <c r="L4392" s="200"/>
      <c r="M4392" s="200"/>
      <c r="N4392" s="200"/>
      <c r="O4392" s="200"/>
      <c r="P4392" s="200"/>
    </row>
    <row r="4393" spans="3:16" s="517" customFormat="1" ht="31.2" customHeight="1">
      <c r="C4393" s="756" t="s">
        <v>1215</v>
      </c>
      <c r="D4393" s="196" t="s">
        <v>1216</v>
      </c>
      <c r="E4393" s="203"/>
      <c r="F4393" s="197"/>
      <c r="G4393" s="197"/>
      <c r="H4393" s="198"/>
      <c r="L4393" s="200"/>
      <c r="M4393" s="200"/>
      <c r="N4393" s="200"/>
      <c r="O4393" s="200"/>
      <c r="P4393" s="200"/>
    </row>
    <row r="4394" spans="3:16" s="517" customFormat="1" ht="31.2" customHeight="1">
      <c r="C4394" s="543">
        <v>1</v>
      </c>
      <c r="D4394" s="750" t="s">
        <v>7189</v>
      </c>
      <c r="E4394" s="203" t="s">
        <v>2396</v>
      </c>
      <c r="F4394" s="762">
        <v>0.56000000000000005</v>
      </c>
      <c r="G4394" s="205">
        <f>VLOOKUP(D4394,upahbahan,3,FALSE)</f>
        <v>430000</v>
      </c>
      <c r="H4394" s="210">
        <f t="shared" ref="H4394" si="310">F4394*G4394</f>
        <v>240800.00000000003</v>
      </c>
      <c r="L4394" s="200"/>
      <c r="M4394" s="200"/>
      <c r="N4394" s="200"/>
      <c r="O4394" s="200"/>
      <c r="P4394" s="200"/>
    </row>
    <row r="4395" spans="3:16" s="517" customFormat="1" ht="31.2" customHeight="1">
      <c r="C4395" s="207" t="s">
        <v>1217</v>
      </c>
      <c r="D4395" s="208"/>
      <c r="E4395" s="208"/>
      <c r="F4395" s="208"/>
      <c r="G4395" s="209"/>
      <c r="H4395" s="240">
        <f>SUM(H4394)</f>
        <v>240800.00000000003</v>
      </c>
      <c r="L4395" s="200"/>
      <c r="M4395" s="200"/>
      <c r="N4395" s="200"/>
      <c r="O4395" s="200"/>
      <c r="P4395" s="200"/>
    </row>
    <row r="4396" spans="3:16" s="517" customFormat="1" ht="31.2" customHeight="1">
      <c r="C4396" s="223" t="s">
        <v>1218</v>
      </c>
      <c r="D4396" s="224" t="s">
        <v>1219</v>
      </c>
      <c r="E4396" s="225"/>
      <c r="F4396" s="225"/>
      <c r="G4396" s="226"/>
      <c r="H4396" s="210">
        <f>H4395+H4392+H4381</f>
        <v>282534.5</v>
      </c>
      <c r="L4396" s="200"/>
      <c r="M4396" s="200"/>
      <c r="N4396" s="200"/>
      <c r="O4396" s="200"/>
      <c r="P4396" s="200"/>
    </row>
    <row r="4397" spans="3:16" s="517" customFormat="1" ht="31.2" customHeight="1">
      <c r="C4397" s="223" t="s">
        <v>1220</v>
      </c>
      <c r="D4397" s="224" t="s">
        <v>1321</v>
      </c>
      <c r="E4397" s="225"/>
      <c r="F4397" s="226"/>
      <c r="G4397" s="228">
        <v>0.1</v>
      </c>
      <c r="H4397" s="210">
        <f>H4396*G4397</f>
        <v>28253.45</v>
      </c>
      <c r="L4397" s="200"/>
      <c r="M4397" s="200"/>
      <c r="N4397" s="200"/>
      <c r="O4397" s="200"/>
      <c r="P4397" s="200"/>
    </row>
    <row r="4398" spans="3:16" s="517" customFormat="1" ht="31.2" customHeight="1" thickBot="1">
      <c r="C4398" s="229" t="s">
        <v>1221</v>
      </c>
      <c r="D4398" s="230" t="s">
        <v>1222</v>
      </c>
      <c r="E4398" s="231"/>
      <c r="F4398" s="231"/>
      <c r="G4398" s="232"/>
      <c r="H4398" s="233">
        <f>SUM(H4396:H4397)</f>
        <v>310787.95</v>
      </c>
      <c r="L4398" s="200"/>
      <c r="M4398" s="200"/>
      <c r="N4398" s="200"/>
      <c r="O4398" s="200"/>
      <c r="P4398" s="200"/>
    </row>
    <row r="4399" spans="3:16" ht="31.2" customHeight="1" thickTop="1">
      <c r="D4399" s="758" t="s">
        <v>7210</v>
      </c>
    </row>
    <row r="4400" spans="3:16" ht="31.2" customHeight="1">
      <c r="C4400" s="757" t="s">
        <v>6950</v>
      </c>
      <c r="F4400" s="758"/>
      <c r="H4400" s="758" t="s">
        <v>6959</v>
      </c>
    </row>
    <row r="4401" spans="3:20" ht="31.2" customHeight="1">
      <c r="C4401" s="200" t="s">
        <v>6951</v>
      </c>
      <c r="F4401" s="758"/>
    </row>
    <row r="4402" spans="3:20" ht="31.2" customHeight="1">
      <c r="C4402" s="200" t="s">
        <v>6952</v>
      </c>
      <c r="F4402" s="758"/>
    </row>
    <row r="4403" spans="3:20" ht="31.2" customHeight="1">
      <c r="C4403" s="200"/>
      <c r="F4403" s="758"/>
    </row>
    <row r="4404" spans="3:20" s="517" customFormat="1" ht="31.2" customHeight="1" thickBot="1">
      <c r="C4404" s="513" t="s">
        <v>7337</v>
      </c>
      <c r="D4404" s="748" t="s">
        <v>7338</v>
      </c>
      <c r="E4404" s="749"/>
      <c r="F4404" s="748"/>
      <c r="G4404" s="748"/>
      <c r="H4404" s="532"/>
      <c r="I4404" s="532"/>
      <c r="J4404" s="532"/>
      <c r="K4404" s="532"/>
      <c r="M4404" s="189"/>
      <c r="N4404" s="189"/>
      <c r="O4404" s="189"/>
      <c r="P4404" s="189"/>
      <c r="R4404" s="189">
        <f>ROUNDDOWN(H4428,-2)</f>
        <v>310700</v>
      </c>
      <c r="S4404" s="517" t="s">
        <v>6451</v>
      </c>
      <c r="T4404" s="517" t="s">
        <v>7014</v>
      </c>
    </row>
    <row r="4405" spans="3:20" s="517" customFormat="1" ht="31.2" customHeight="1" thickTop="1">
      <c r="C4405" s="190" t="s">
        <v>1195</v>
      </c>
      <c r="D4405" s="191" t="s">
        <v>1196</v>
      </c>
      <c r="E4405" s="191" t="s">
        <v>1197</v>
      </c>
      <c r="F4405" s="191" t="s">
        <v>1198</v>
      </c>
      <c r="G4405" s="191" t="s">
        <v>1199</v>
      </c>
      <c r="H4405" s="192" t="s">
        <v>1200</v>
      </c>
      <c r="L4405" s="200"/>
      <c r="M4405" s="200"/>
      <c r="N4405" s="200"/>
      <c r="O4405" s="200"/>
      <c r="P4405" s="200"/>
    </row>
    <row r="4406" spans="3:20" s="517" customFormat="1" ht="31.2" customHeight="1">
      <c r="C4406" s="518" t="s">
        <v>1201</v>
      </c>
      <c r="D4406" s="196" t="s">
        <v>1202</v>
      </c>
      <c r="E4406" s="197"/>
      <c r="F4406" s="197"/>
      <c r="G4406" s="197"/>
      <c r="H4406" s="198"/>
      <c r="L4406" s="200"/>
      <c r="M4406" s="200"/>
      <c r="N4406" s="200"/>
      <c r="O4406" s="200"/>
      <c r="P4406" s="200"/>
    </row>
    <row r="4407" spans="3:20" s="517" customFormat="1" ht="31.2" customHeight="1">
      <c r="C4407" s="518">
        <v>1</v>
      </c>
      <c r="D4407" s="196" t="s">
        <v>5</v>
      </c>
      <c r="E4407" s="203" t="s">
        <v>2102</v>
      </c>
      <c r="F4407" s="525">
        <v>0.1</v>
      </c>
      <c r="G4407" s="205">
        <f>VLOOKUP(D4407,upahbahan,3,FALSE)</f>
        <v>100000</v>
      </c>
      <c r="H4407" s="210">
        <f t="shared" ref="H4407:H4410" si="311">F4407*G4407</f>
        <v>10000</v>
      </c>
      <c r="L4407" s="200"/>
      <c r="M4407" s="200"/>
      <c r="N4407" s="200"/>
      <c r="O4407" s="200"/>
      <c r="P4407" s="200"/>
    </row>
    <row r="4408" spans="3:20" s="517" customFormat="1" ht="31.2" customHeight="1">
      <c r="C4408" s="537">
        <v>2</v>
      </c>
      <c r="D4408" s="196" t="s">
        <v>6954</v>
      </c>
      <c r="E4408" s="202" t="s">
        <v>6</v>
      </c>
      <c r="F4408" s="520">
        <v>0.1</v>
      </c>
      <c r="G4408" s="205">
        <f>VLOOKUP(D4408,upahbahan,3,FALSE)</f>
        <v>181250</v>
      </c>
      <c r="H4408" s="210">
        <f t="shared" si="311"/>
        <v>18125</v>
      </c>
      <c r="L4408" s="200"/>
      <c r="M4408" s="200"/>
      <c r="N4408" s="200"/>
      <c r="O4408" s="200"/>
      <c r="P4408" s="200"/>
    </row>
    <row r="4409" spans="3:20" s="517" customFormat="1" ht="31.2" customHeight="1">
      <c r="C4409" s="537">
        <v>3</v>
      </c>
      <c r="D4409" s="196" t="s">
        <v>6948</v>
      </c>
      <c r="E4409" s="202" t="s">
        <v>2102</v>
      </c>
      <c r="F4409" s="520">
        <v>0.05</v>
      </c>
      <c r="G4409" s="205">
        <f>VLOOKUP(D4409,upahbahan,3,FALSE)</f>
        <v>218750</v>
      </c>
      <c r="H4409" s="210">
        <f t="shared" si="311"/>
        <v>10937.5</v>
      </c>
      <c r="L4409" s="200"/>
      <c r="M4409" s="200"/>
      <c r="N4409" s="200"/>
      <c r="O4409" s="200"/>
      <c r="P4409" s="200"/>
    </row>
    <row r="4410" spans="3:20" s="517" customFormat="1" ht="31.2" customHeight="1">
      <c r="C4410" s="537">
        <v>4</v>
      </c>
      <c r="D4410" s="196" t="s">
        <v>19</v>
      </c>
      <c r="E4410" s="202" t="s">
        <v>6</v>
      </c>
      <c r="F4410" s="520">
        <v>1.67E-2</v>
      </c>
      <c r="G4410" s="205">
        <f>VLOOKUP(D4410,upahbahan,3,FALSE)</f>
        <v>160000</v>
      </c>
      <c r="H4410" s="210">
        <f t="shared" si="311"/>
        <v>2672</v>
      </c>
      <c r="L4410" s="200"/>
      <c r="M4410" s="200"/>
      <c r="N4410" s="200"/>
      <c r="O4410" s="200"/>
      <c r="P4410" s="200"/>
    </row>
    <row r="4411" spans="3:20" s="517" customFormat="1" ht="31.2" customHeight="1">
      <c r="C4411" s="207" t="s">
        <v>1208</v>
      </c>
      <c r="D4411" s="208"/>
      <c r="E4411" s="208"/>
      <c r="F4411" s="521"/>
      <c r="G4411" s="522"/>
      <c r="H4411" s="210">
        <f>SUM(H4407:H4410)</f>
        <v>41734.5</v>
      </c>
      <c r="L4411" s="523"/>
      <c r="M4411" s="523"/>
      <c r="N4411" s="523"/>
      <c r="O4411" s="523"/>
      <c r="P4411" s="523"/>
    </row>
    <row r="4412" spans="3:20" s="517" customFormat="1" ht="31.2" customHeight="1">
      <c r="C4412" s="543" t="s">
        <v>1209</v>
      </c>
      <c r="D4412" s="750" t="s">
        <v>1210</v>
      </c>
      <c r="E4412" s="197"/>
      <c r="F4412" s="751"/>
      <c r="G4412" s="197"/>
      <c r="H4412" s="752"/>
      <c r="L4412" s="200"/>
      <c r="M4412" s="200"/>
      <c r="N4412" s="200"/>
      <c r="O4412" s="200"/>
      <c r="P4412" s="200"/>
    </row>
    <row r="4413" spans="3:20" s="517" customFormat="1" ht="31.2" customHeight="1">
      <c r="C4413" s="543">
        <v>1</v>
      </c>
      <c r="D4413" s="750" t="s">
        <v>7339</v>
      </c>
      <c r="E4413" s="203" t="s">
        <v>44</v>
      </c>
      <c r="F4413" s="753">
        <v>1.05</v>
      </c>
      <c r="G4413" s="205">
        <f>VLOOKUP(D4413,upahbahan,3,FALSE)</f>
        <v>0</v>
      </c>
      <c r="H4413" s="210">
        <f t="shared" ref="H4413:H4421" si="312">F4413*G4413</f>
        <v>0</v>
      </c>
      <c r="L4413" s="200"/>
      <c r="M4413" s="200"/>
      <c r="N4413" s="200"/>
      <c r="O4413" s="200"/>
      <c r="P4413" s="200"/>
    </row>
    <row r="4414" spans="3:20" s="517" customFormat="1" ht="31.2" customHeight="1">
      <c r="C4414" s="543">
        <v>2</v>
      </c>
      <c r="D4414" s="750" t="s">
        <v>5563</v>
      </c>
      <c r="E4414" s="203" t="s">
        <v>65</v>
      </c>
      <c r="F4414" s="753">
        <v>0.02</v>
      </c>
      <c r="G4414" s="205">
        <f>VLOOKUP(D4414,upahbahan,3,FALSE)</f>
        <v>0</v>
      </c>
      <c r="H4414" s="210">
        <f t="shared" si="312"/>
        <v>0</v>
      </c>
      <c r="L4414" s="200"/>
      <c r="M4414" s="200"/>
      <c r="N4414" s="200"/>
      <c r="O4414" s="200"/>
      <c r="P4414" s="200"/>
    </row>
    <row r="4415" spans="3:20" s="517" customFormat="1" ht="31.2" customHeight="1">
      <c r="C4415" s="543">
        <v>3</v>
      </c>
      <c r="D4415" s="750" t="s">
        <v>5555</v>
      </c>
      <c r="E4415" s="203"/>
      <c r="F4415" s="753"/>
      <c r="G4415" s="197"/>
      <c r="H4415" s="210">
        <f t="shared" si="312"/>
        <v>0</v>
      </c>
      <c r="L4415" s="200"/>
      <c r="M4415" s="200"/>
      <c r="N4415" s="200"/>
      <c r="O4415" s="200"/>
      <c r="P4415" s="200"/>
    </row>
    <row r="4416" spans="3:20" s="517" customFormat="1" ht="31.2" customHeight="1">
      <c r="C4416" s="754" t="s">
        <v>5293</v>
      </c>
      <c r="D4416" s="750" t="s">
        <v>7209</v>
      </c>
      <c r="E4416" s="203" t="s">
        <v>113</v>
      </c>
      <c r="F4416" s="760">
        <v>18</v>
      </c>
      <c r="G4416" s="205">
        <f>VLOOKUP(D4416,upahbahan,3,FALSE)</f>
        <v>0</v>
      </c>
      <c r="H4416" s="210">
        <f t="shared" si="312"/>
        <v>0</v>
      </c>
      <c r="L4416" s="200"/>
      <c r="M4416" s="200"/>
      <c r="N4416" s="200"/>
      <c r="O4416" s="200"/>
      <c r="P4416" s="200"/>
    </row>
    <row r="4417" spans="3:16" s="517" customFormat="1" ht="31.2" customHeight="1">
      <c r="C4417" s="754" t="s">
        <v>5299</v>
      </c>
      <c r="D4417" s="750" t="s">
        <v>7055</v>
      </c>
      <c r="E4417" s="203" t="s">
        <v>113</v>
      </c>
      <c r="F4417" s="760">
        <v>10</v>
      </c>
      <c r="G4417" s="205">
        <f>VLOOKUP(D4417,upahbahan,3,FALSE)</f>
        <v>0</v>
      </c>
      <c r="H4417" s="210">
        <f t="shared" si="312"/>
        <v>0</v>
      </c>
      <c r="L4417" s="200"/>
      <c r="M4417" s="200"/>
      <c r="N4417" s="200"/>
      <c r="O4417" s="200"/>
      <c r="P4417" s="200"/>
    </row>
    <row r="4418" spans="3:16" s="517" customFormat="1" ht="31.2" customHeight="1">
      <c r="C4418" s="543">
        <v>4</v>
      </c>
      <c r="D4418" s="750" t="s">
        <v>5556</v>
      </c>
      <c r="E4418" s="203"/>
      <c r="F4418" s="753"/>
      <c r="G4418" s="197"/>
      <c r="H4418" s="210">
        <f t="shared" si="312"/>
        <v>0</v>
      </c>
      <c r="L4418" s="200"/>
      <c r="M4418" s="200"/>
      <c r="N4418" s="200"/>
      <c r="O4418" s="200"/>
      <c r="P4418" s="200"/>
    </row>
    <row r="4419" spans="3:16" s="517" customFormat="1" ht="31.2" customHeight="1">
      <c r="C4419" s="754" t="s">
        <v>5293</v>
      </c>
      <c r="D4419" s="750" t="s">
        <v>2084</v>
      </c>
      <c r="E4419" s="203" t="s">
        <v>42</v>
      </c>
      <c r="F4419" s="753">
        <v>0.19500000000000001</v>
      </c>
      <c r="G4419" s="205">
        <f>VLOOKUP(D4419,upahbahan,3,FALSE)</f>
        <v>0</v>
      </c>
      <c r="H4419" s="210">
        <f t="shared" si="312"/>
        <v>0</v>
      </c>
      <c r="L4419" s="200"/>
      <c r="M4419" s="200"/>
      <c r="N4419" s="200"/>
      <c r="O4419" s="200"/>
      <c r="P4419" s="200"/>
    </row>
    <row r="4420" spans="3:16" s="517" customFormat="1" ht="31.2" customHeight="1">
      <c r="C4420" s="754" t="s">
        <v>5299</v>
      </c>
      <c r="D4420" s="750" t="s">
        <v>5566</v>
      </c>
      <c r="E4420" s="203" t="s">
        <v>42</v>
      </c>
      <c r="F4420" s="753">
        <v>5.1999999999999998E-2</v>
      </c>
      <c r="G4420" s="205">
        <f>VLOOKUP(D4420,upahbahan,3,FALSE)</f>
        <v>0</v>
      </c>
      <c r="H4420" s="210">
        <f t="shared" si="312"/>
        <v>0</v>
      </c>
      <c r="L4420" s="200"/>
      <c r="M4420" s="200"/>
      <c r="N4420" s="200"/>
      <c r="O4420" s="200"/>
      <c r="P4420" s="200"/>
    </row>
    <row r="4421" spans="3:16" s="517" customFormat="1" ht="31.2" customHeight="1">
      <c r="C4421" s="754" t="s">
        <v>5558</v>
      </c>
      <c r="D4421" s="750" t="s">
        <v>2325</v>
      </c>
      <c r="E4421" s="203" t="s">
        <v>42</v>
      </c>
      <c r="F4421" s="762">
        <v>1.2999999999999999E-2</v>
      </c>
      <c r="G4421" s="205">
        <f>VLOOKUP(D4421,upahbahan,3,FALSE)</f>
        <v>0</v>
      </c>
      <c r="H4421" s="210">
        <f t="shared" si="312"/>
        <v>0</v>
      </c>
      <c r="L4421" s="200"/>
      <c r="M4421" s="200"/>
      <c r="N4421" s="200"/>
      <c r="O4421" s="200"/>
      <c r="P4421" s="200"/>
    </row>
    <row r="4422" spans="3:16" s="517" customFormat="1" ht="31.2" customHeight="1">
      <c r="C4422" s="207" t="s">
        <v>1214</v>
      </c>
      <c r="D4422" s="208"/>
      <c r="E4422" s="568"/>
      <c r="F4422" s="208"/>
      <c r="G4422" s="209"/>
      <c r="H4422" s="210">
        <f>SUM(H4413:H4421)</f>
        <v>0</v>
      </c>
      <c r="L4422" s="200"/>
      <c r="M4422" s="200"/>
      <c r="N4422" s="200"/>
      <c r="O4422" s="200"/>
      <c r="P4422" s="200"/>
    </row>
    <row r="4423" spans="3:16" s="517" customFormat="1" ht="31.2" customHeight="1">
      <c r="C4423" s="756" t="s">
        <v>1215</v>
      </c>
      <c r="D4423" s="196" t="s">
        <v>1216</v>
      </c>
      <c r="E4423" s="203"/>
      <c r="F4423" s="197"/>
      <c r="G4423" s="197"/>
      <c r="H4423" s="198"/>
      <c r="L4423" s="200"/>
      <c r="M4423" s="200"/>
      <c r="N4423" s="200"/>
      <c r="O4423" s="200"/>
      <c r="P4423" s="200"/>
    </row>
    <row r="4424" spans="3:16" s="517" customFormat="1" ht="31.2" customHeight="1">
      <c r="C4424" s="543">
        <v>1</v>
      </c>
      <c r="D4424" s="750" t="s">
        <v>7189</v>
      </c>
      <c r="E4424" s="203" t="s">
        <v>2396</v>
      </c>
      <c r="F4424" s="762">
        <v>0.56000000000000005</v>
      </c>
      <c r="G4424" s="205">
        <f>VLOOKUP(D4424,upahbahan,3,FALSE)</f>
        <v>430000</v>
      </c>
      <c r="H4424" s="210">
        <f t="shared" ref="H4424" si="313">F4424*G4424</f>
        <v>240800.00000000003</v>
      </c>
      <c r="L4424" s="200"/>
      <c r="M4424" s="200"/>
      <c r="N4424" s="200"/>
      <c r="O4424" s="200"/>
      <c r="P4424" s="200"/>
    </row>
    <row r="4425" spans="3:16" s="517" customFormat="1" ht="31.2" customHeight="1">
      <c r="C4425" s="207" t="s">
        <v>1217</v>
      </c>
      <c r="D4425" s="208"/>
      <c r="E4425" s="208"/>
      <c r="F4425" s="208"/>
      <c r="G4425" s="209"/>
      <c r="H4425" s="240">
        <f>SUM(H4424)</f>
        <v>240800.00000000003</v>
      </c>
      <c r="L4425" s="200"/>
      <c r="M4425" s="200"/>
      <c r="N4425" s="200"/>
      <c r="O4425" s="200"/>
      <c r="P4425" s="200"/>
    </row>
    <row r="4426" spans="3:16" s="517" customFormat="1" ht="31.2" customHeight="1">
      <c r="C4426" s="223" t="s">
        <v>1218</v>
      </c>
      <c r="D4426" s="224" t="s">
        <v>1219</v>
      </c>
      <c r="E4426" s="225"/>
      <c r="F4426" s="225"/>
      <c r="G4426" s="226"/>
      <c r="H4426" s="210">
        <f>H4425+H4422+H4411</f>
        <v>282534.5</v>
      </c>
      <c r="L4426" s="200"/>
      <c r="M4426" s="200"/>
      <c r="N4426" s="200"/>
      <c r="O4426" s="200"/>
      <c r="P4426" s="200"/>
    </row>
    <row r="4427" spans="3:16" s="517" customFormat="1" ht="31.2" customHeight="1">
      <c r="C4427" s="223" t="s">
        <v>1220</v>
      </c>
      <c r="D4427" s="224" t="s">
        <v>1321</v>
      </c>
      <c r="E4427" s="225"/>
      <c r="F4427" s="226"/>
      <c r="G4427" s="228">
        <v>0.1</v>
      </c>
      <c r="H4427" s="210">
        <f>H4426*G4427</f>
        <v>28253.45</v>
      </c>
      <c r="L4427" s="200"/>
      <c r="M4427" s="200"/>
      <c r="N4427" s="200"/>
      <c r="O4427" s="200"/>
      <c r="P4427" s="200"/>
    </row>
    <row r="4428" spans="3:16" s="517" customFormat="1" ht="31.2" customHeight="1" thickBot="1">
      <c r="C4428" s="229" t="s">
        <v>1221</v>
      </c>
      <c r="D4428" s="230" t="s">
        <v>1222</v>
      </c>
      <c r="E4428" s="231"/>
      <c r="F4428" s="231"/>
      <c r="G4428" s="232"/>
      <c r="H4428" s="233">
        <f>SUM(H4426:H4427)</f>
        <v>310787.95</v>
      </c>
      <c r="L4428" s="200"/>
      <c r="M4428" s="200"/>
      <c r="N4428" s="200"/>
      <c r="O4428" s="200"/>
      <c r="P4428" s="200"/>
    </row>
    <row r="4429" spans="3:16" ht="31.2" customHeight="1" thickTop="1">
      <c r="D4429" s="758" t="s">
        <v>7210</v>
      </c>
    </row>
    <row r="4430" spans="3:16" ht="31.2" customHeight="1">
      <c r="C4430" s="757" t="s">
        <v>6950</v>
      </c>
      <c r="F4430" s="758"/>
      <c r="H4430" s="758" t="s">
        <v>6959</v>
      </c>
    </row>
    <row r="4431" spans="3:16" ht="31.2" customHeight="1">
      <c r="C4431" s="200" t="s">
        <v>6951</v>
      </c>
      <c r="F4431" s="758"/>
    </row>
    <row r="4432" spans="3:16" ht="31.2" customHeight="1">
      <c r="C4432" s="200" t="s">
        <v>6952</v>
      </c>
      <c r="F4432" s="758"/>
    </row>
    <row r="4433" spans="3:20" ht="31.2" customHeight="1">
      <c r="C4433" s="200"/>
      <c r="F4433" s="758"/>
    </row>
    <row r="4434" spans="3:20" s="517" customFormat="1" ht="31.2" customHeight="1" thickBot="1">
      <c r="C4434" s="513" t="s">
        <v>7340</v>
      </c>
      <c r="D4434" s="748" t="s">
        <v>7341</v>
      </c>
      <c r="E4434" s="749"/>
      <c r="F4434" s="748"/>
      <c r="G4434" s="748"/>
      <c r="H4434" s="532"/>
      <c r="I4434" s="532"/>
      <c r="J4434" s="532"/>
      <c r="K4434" s="532"/>
      <c r="M4434" s="189"/>
      <c r="N4434" s="189"/>
      <c r="O4434" s="189"/>
      <c r="P4434" s="189"/>
      <c r="R4434" s="189">
        <f>ROUNDDOWN(H4458,-2)</f>
        <v>310700</v>
      </c>
      <c r="S4434" s="517" t="s">
        <v>6451</v>
      </c>
      <c r="T4434" s="517" t="s">
        <v>7014</v>
      </c>
    </row>
    <row r="4435" spans="3:20" s="517" customFormat="1" ht="31.2" customHeight="1" thickTop="1">
      <c r="C4435" s="190" t="s">
        <v>1195</v>
      </c>
      <c r="D4435" s="191" t="s">
        <v>1196</v>
      </c>
      <c r="E4435" s="191" t="s">
        <v>1197</v>
      </c>
      <c r="F4435" s="191" t="s">
        <v>1198</v>
      </c>
      <c r="G4435" s="191" t="s">
        <v>1199</v>
      </c>
      <c r="H4435" s="192" t="s">
        <v>1200</v>
      </c>
      <c r="L4435" s="200"/>
      <c r="M4435" s="200"/>
      <c r="N4435" s="200"/>
      <c r="O4435" s="200"/>
      <c r="P4435" s="200"/>
    </row>
    <row r="4436" spans="3:20" s="517" customFormat="1" ht="31.2" customHeight="1">
      <c r="C4436" s="518" t="s">
        <v>1201</v>
      </c>
      <c r="D4436" s="196" t="s">
        <v>1202</v>
      </c>
      <c r="E4436" s="197"/>
      <c r="F4436" s="197"/>
      <c r="G4436" s="197"/>
      <c r="H4436" s="198"/>
      <c r="L4436" s="200"/>
      <c r="M4436" s="200"/>
      <c r="N4436" s="200"/>
      <c r="O4436" s="200"/>
      <c r="P4436" s="200"/>
    </row>
    <row r="4437" spans="3:20" s="517" customFormat="1" ht="31.2" customHeight="1">
      <c r="C4437" s="518">
        <v>1</v>
      </c>
      <c r="D4437" s="196" t="s">
        <v>5</v>
      </c>
      <c r="E4437" s="203" t="s">
        <v>2102</v>
      </c>
      <c r="F4437" s="525">
        <v>0.1</v>
      </c>
      <c r="G4437" s="205">
        <f>VLOOKUP(D4437,upahbahan,3,FALSE)</f>
        <v>100000</v>
      </c>
      <c r="H4437" s="210">
        <f t="shared" ref="H4437:H4440" si="314">F4437*G4437</f>
        <v>10000</v>
      </c>
      <c r="L4437" s="200"/>
      <c r="M4437" s="200"/>
      <c r="N4437" s="200"/>
      <c r="O4437" s="200"/>
      <c r="P4437" s="200"/>
    </row>
    <row r="4438" spans="3:20" s="517" customFormat="1" ht="31.2" customHeight="1">
      <c r="C4438" s="537">
        <v>2</v>
      </c>
      <c r="D4438" s="196" t="s">
        <v>6954</v>
      </c>
      <c r="E4438" s="202" t="s">
        <v>6</v>
      </c>
      <c r="F4438" s="520">
        <v>0.1</v>
      </c>
      <c r="G4438" s="205">
        <f>VLOOKUP(D4438,upahbahan,3,FALSE)</f>
        <v>181250</v>
      </c>
      <c r="H4438" s="210">
        <f t="shared" si="314"/>
        <v>18125</v>
      </c>
      <c r="L4438" s="200"/>
      <c r="M4438" s="200"/>
      <c r="N4438" s="200"/>
      <c r="O4438" s="200"/>
      <c r="P4438" s="200"/>
    </row>
    <row r="4439" spans="3:20" s="517" customFormat="1" ht="31.2" customHeight="1">
      <c r="C4439" s="537">
        <v>3</v>
      </c>
      <c r="D4439" s="196" t="s">
        <v>6948</v>
      </c>
      <c r="E4439" s="202" t="s">
        <v>2102</v>
      </c>
      <c r="F4439" s="520">
        <v>0.05</v>
      </c>
      <c r="G4439" s="205">
        <f>VLOOKUP(D4439,upahbahan,3,FALSE)</f>
        <v>218750</v>
      </c>
      <c r="H4439" s="210">
        <f t="shared" si="314"/>
        <v>10937.5</v>
      </c>
      <c r="L4439" s="200"/>
      <c r="M4439" s="200"/>
      <c r="N4439" s="200"/>
      <c r="O4439" s="200"/>
      <c r="P4439" s="200"/>
    </row>
    <row r="4440" spans="3:20" s="517" customFormat="1" ht="31.2" customHeight="1">
      <c r="C4440" s="537">
        <v>4</v>
      </c>
      <c r="D4440" s="196" t="s">
        <v>19</v>
      </c>
      <c r="E4440" s="202" t="s">
        <v>6</v>
      </c>
      <c r="F4440" s="520">
        <v>1.67E-2</v>
      </c>
      <c r="G4440" s="205">
        <f>VLOOKUP(D4440,upahbahan,3,FALSE)</f>
        <v>160000</v>
      </c>
      <c r="H4440" s="210">
        <f t="shared" si="314"/>
        <v>2672</v>
      </c>
      <c r="L4440" s="200"/>
      <c r="M4440" s="200"/>
      <c r="N4440" s="200"/>
      <c r="O4440" s="200"/>
      <c r="P4440" s="200"/>
    </row>
    <row r="4441" spans="3:20" s="517" customFormat="1" ht="31.2" customHeight="1">
      <c r="C4441" s="207" t="s">
        <v>1208</v>
      </c>
      <c r="D4441" s="208"/>
      <c r="E4441" s="208"/>
      <c r="F4441" s="521"/>
      <c r="G4441" s="522"/>
      <c r="H4441" s="210">
        <f>SUM(H4437:H4440)</f>
        <v>41734.5</v>
      </c>
      <c r="L4441" s="523"/>
      <c r="M4441" s="523"/>
      <c r="N4441" s="523"/>
      <c r="O4441" s="523"/>
      <c r="P4441" s="523"/>
    </row>
    <row r="4442" spans="3:20" s="517" customFormat="1" ht="31.2" customHeight="1">
      <c r="C4442" s="543" t="s">
        <v>1209</v>
      </c>
      <c r="D4442" s="750" t="s">
        <v>1210</v>
      </c>
      <c r="E4442" s="197"/>
      <c r="F4442" s="751"/>
      <c r="G4442" s="197"/>
      <c r="H4442" s="752"/>
      <c r="L4442" s="200"/>
      <c r="M4442" s="200"/>
      <c r="N4442" s="200"/>
      <c r="O4442" s="200"/>
      <c r="P4442" s="200"/>
    </row>
    <row r="4443" spans="3:20" s="517" customFormat="1" ht="31.2" customHeight="1">
      <c r="C4443" s="543">
        <v>1</v>
      </c>
      <c r="D4443" s="750" t="s">
        <v>7342</v>
      </c>
      <c r="E4443" s="203" t="s">
        <v>44</v>
      </c>
      <c r="F4443" s="753">
        <v>1.05</v>
      </c>
      <c r="G4443" s="205">
        <f>VLOOKUP(D4443,upahbahan,3,FALSE)</f>
        <v>0</v>
      </c>
      <c r="H4443" s="210">
        <f t="shared" ref="H4443:H4451" si="315">F4443*G4443</f>
        <v>0</v>
      </c>
      <c r="L4443" s="200"/>
      <c r="M4443" s="200"/>
      <c r="N4443" s="200"/>
      <c r="O4443" s="200"/>
      <c r="P4443" s="200"/>
    </row>
    <row r="4444" spans="3:20" s="517" customFormat="1" ht="31.2" customHeight="1">
      <c r="C4444" s="543">
        <v>2</v>
      </c>
      <c r="D4444" s="750" t="s">
        <v>5563</v>
      </c>
      <c r="E4444" s="203" t="s">
        <v>65</v>
      </c>
      <c r="F4444" s="753">
        <v>0.02</v>
      </c>
      <c r="G4444" s="205">
        <f>VLOOKUP(D4444,upahbahan,3,FALSE)</f>
        <v>0</v>
      </c>
      <c r="H4444" s="210">
        <f t="shared" si="315"/>
        <v>0</v>
      </c>
      <c r="L4444" s="200"/>
      <c r="M4444" s="200"/>
      <c r="N4444" s="200"/>
      <c r="O4444" s="200"/>
      <c r="P4444" s="200"/>
    </row>
    <row r="4445" spans="3:20" s="517" customFormat="1" ht="31.2" customHeight="1">
      <c r="C4445" s="543">
        <v>3</v>
      </c>
      <c r="D4445" s="750" t="s">
        <v>5555</v>
      </c>
      <c r="E4445" s="203"/>
      <c r="F4445" s="753"/>
      <c r="G4445" s="197"/>
      <c r="H4445" s="210">
        <f t="shared" si="315"/>
        <v>0</v>
      </c>
      <c r="L4445" s="200"/>
      <c r="M4445" s="200"/>
      <c r="N4445" s="200"/>
      <c r="O4445" s="200"/>
      <c r="P4445" s="200"/>
    </row>
    <row r="4446" spans="3:20" s="517" customFormat="1" ht="31.2" customHeight="1">
      <c r="C4446" s="754" t="s">
        <v>5293</v>
      </c>
      <c r="D4446" s="750" t="s">
        <v>7209</v>
      </c>
      <c r="E4446" s="203" t="s">
        <v>113</v>
      </c>
      <c r="F4446" s="760">
        <v>18</v>
      </c>
      <c r="G4446" s="205">
        <f>VLOOKUP(D4446,upahbahan,3,FALSE)</f>
        <v>0</v>
      </c>
      <c r="H4446" s="210">
        <f t="shared" si="315"/>
        <v>0</v>
      </c>
      <c r="L4446" s="200"/>
      <c r="M4446" s="200"/>
      <c r="N4446" s="200"/>
      <c r="O4446" s="200"/>
      <c r="P4446" s="200"/>
    </row>
    <row r="4447" spans="3:20" s="517" customFormat="1" ht="31.2" customHeight="1">
      <c r="C4447" s="754" t="s">
        <v>5299</v>
      </c>
      <c r="D4447" s="750" t="s">
        <v>7055</v>
      </c>
      <c r="E4447" s="203" t="s">
        <v>113</v>
      </c>
      <c r="F4447" s="760">
        <v>10</v>
      </c>
      <c r="G4447" s="205">
        <f>VLOOKUP(D4447,upahbahan,3,FALSE)</f>
        <v>0</v>
      </c>
      <c r="H4447" s="210">
        <f t="shared" si="315"/>
        <v>0</v>
      </c>
      <c r="L4447" s="200"/>
      <c r="M4447" s="200"/>
      <c r="N4447" s="200"/>
      <c r="O4447" s="200"/>
      <c r="P4447" s="200"/>
    </row>
    <row r="4448" spans="3:20" s="517" customFormat="1" ht="31.2" customHeight="1">
      <c r="C4448" s="543">
        <v>4</v>
      </c>
      <c r="D4448" s="750" t="s">
        <v>5556</v>
      </c>
      <c r="E4448" s="203"/>
      <c r="F4448" s="753"/>
      <c r="G4448" s="197"/>
      <c r="H4448" s="210">
        <f t="shared" si="315"/>
        <v>0</v>
      </c>
      <c r="L4448" s="200"/>
      <c r="M4448" s="200"/>
      <c r="N4448" s="200"/>
      <c r="O4448" s="200"/>
      <c r="P4448" s="200"/>
    </row>
    <row r="4449" spans="3:20" s="517" customFormat="1" ht="31.2" customHeight="1">
      <c r="C4449" s="754" t="s">
        <v>5293</v>
      </c>
      <c r="D4449" s="750" t="s">
        <v>2084</v>
      </c>
      <c r="E4449" s="203" t="s">
        <v>42</v>
      </c>
      <c r="F4449" s="753">
        <v>0.19500000000000001</v>
      </c>
      <c r="G4449" s="205">
        <f>VLOOKUP(D4449,upahbahan,3,FALSE)</f>
        <v>0</v>
      </c>
      <c r="H4449" s="210">
        <f t="shared" si="315"/>
        <v>0</v>
      </c>
      <c r="L4449" s="200"/>
      <c r="M4449" s="200"/>
      <c r="N4449" s="200"/>
      <c r="O4449" s="200"/>
      <c r="P4449" s="200"/>
    </row>
    <row r="4450" spans="3:20" s="517" customFormat="1" ht="31.2" customHeight="1">
      <c r="C4450" s="754" t="s">
        <v>5299</v>
      </c>
      <c r="D4450" s="750" t="s">
        <v>5566</v>
      </c>
      <c r="E4450" s="203" t="s">
        <v>42</v>
      </c>
      <c r="F4450" s="753">
        <v>5.1999999999999998E-2</v>
      </c>
      <c r="G4450" s="205">
        <f>VLOOKUP(D4450,upahbahan,3,FALSE)</f>
        <v>0</v>
      </c>
      <c r="H4450" s="210">
        <f t="shared" si="315"/>
        <v>0</v>
      </c>
      <c r="L4450" s="200"/>
      <c r="M4450" s="200"/>
      <c r="N4450" s="200"/>
      <c r="O4450" s="200"/>
      <c r="P4450" s="200"/>
    </row>
    <row r="4451" spans="3:20" s="517" customFormat="1" ht="31.2" customHeight="1">
      <c r="C4451" s="754" t="s">
        <v>5558</v>
      </c>
      <c r="D4451" s="750" t="s">
        <v>2325</v>
      </c>
      <c r="E4451" s="203" t="s">
        <v>42</v>
      </c>
      <c r="F4451" s="762">
        <v>1.2999999999999999E-2</v>
      </c>
      <c r="G4451" s="205">
        <f>VLOOKUP(D4451,upahbahan,3,FALSE)</f>
        <v>0</v>
      </c>
      <c r="H4451" s="210">
        <f t="shared" si="315"/>
        <v>0</v>
      </c>
      <c r="L4451" s="200"/>
      <c r="M4451" s="200"/>
      <c r="N4451" s="200"/>
      <c r="O4451" s="200"/>
      <c r="P4451" s="200"/>
    </row>
    <row r="4452" spans="3:20" s="517" customFormat="1" ht="31.2" customHeight="1">
      <c r="C4452" s="207" t="s">
        <v>1214</v>
      </c>
      <c r="D4452" s="208"/>
      <c r="E4452" s="568"/>
      <c r="F4452" s="208"/>
      <c r="G4452" s="209"/>
      <c r="H4452" s="210">
        <f>SUM(H4443:H4451)</f>
        <v>0</v>
      </c>
      <c r="L4452" s="200"/>
      <c r="M4452" s="200"/>
      <c r="N4452" s="200"/>
      <c r="O4452" s="200"/>
      <c r="P4452" s="200"/>
    </row>
    <row r="4453" spans="3:20" s="517" customFormat="1" ht="31.2" customHeight="1">
      <c r="C4453" s="756" t="s">
        <v>1215</v>
      </c>
      <c r="D4453" s="196" t="s">
        <v>1216</v>
      </c>
      <c r="E4453" s="203"/>
      <c r="F4453" s="197"/>
      <c r="G4453" s="197"/>
      <c r="H4453" s="198"/>
      <c r="L4453" s="200"/>
      <c r="M4453" s="200"/>
      <c r="N4453" s="200"/>
      <c r="O4453" s="200"/>
      <c r="P4453" s="200"/>
    </row>
    <row r="4454" spans="3:20" s="517" customFormat="1" ht="31.2" customHeight="1">
      <c r="C4454" s="543">
        <v>1</v>
      </c>
      <c r="D4454" s="750" t="s">
        <v>7189</v>
      </c>
      <c r="E4454" s="203" t="s">
        <v>2396</v>
      </c>
      <c r="F4454" s="762">
        <v>0.56000000000000005</v>
      </c>
      <c r="G4454" s="205">
        <f>VLOOKUP(D4454,upahbahan,3,FALSE)</f>
        <v>430000</v>
      </c>
      <c r="H4454" s="210">
        <f t="shared" ref="H4454" si="316">F4454*G4454</f>
        <v>240800.00000000003</v>
      </c>
      <c r="L4454" s="200"/>
      <c r="M4454" s="200"/>
      <c r="N4454" s="200"/>
      <c r="O4454" s="200"/>
      <c r="P4454" s="200"/>
    </row>
    <row r="4455" spans="3:20" s="517" customFormat="1" ht="31.2" customHeight="1">
      <c r="C4455" s="207" t="s">
        <v>1217</v>
      </c>
      <c r="D4455" s="208"/>
      <c r="E4455" s="208"/>
      <c r="F4455" s="208"/>
      <c r="G4455" s="209"/>
      <c r="H4455" s="240">
        <f>SUM(H4454)</f>
        <v>240800.00000000003</v>
      </c>
      <c r="L4455" s="200"/>
      <c r="M4455" s="200"/>
      <c r="N4455" s="200"/>
      <c r="O4455" s="200"/>
      <c r="P4455" s="200"/>
    </row>
    <row r="4456" spans="3:20" s="517" customFormat="1" ht="31.2" customHeight="1">
      <c r="C4456" s="223" t="s">
        <v>1218</v>
      </c>
      <c r="D4456" s="224" t="s">
        <v>1219</v>
      </c>
      <c r="E4456" s="225"/>
      <c r="F4456" s="225"/>
      <c r="G4456" s="226"/>
      <c r="H4456" s="210">
        <f>H4455+H4452+H4441</f>
        <v>282534.5</v>
      </c>
      <c r="L4456" s="200"/>
      <c r="M4456" s="200"/>
      <c r="N4456" s="200"/>
      <c r="O4456" s="200"/>
      <c r="P4456" s="200"/>
    </row>
    <row r="4457" spans="3:20" s="517" customFormat="1" ht="31.2" customHeight="1">
      <c r="C4457" s="223" t="s">
        <v>1220</v>
      </c>
      <c r="D4457" s="224" t="s">
        <v>1321</v>
      </c>
      <c r="E4457" s="225"/>
      <c r="F4457" s="226"/>
      <c r="G4457" s="228">
        <v>0.1</v>
      </c>
      <c r="H4457" s="210">
        <f>H4456*G4457</f>
        <v>28253.45</v>
      </c>
      <c r="L4457" s="200"/>
      <c r="M4457" s="200"/>
      <c r="N4457" s="200"/>
      <c r="O4457" s="200"/>
      <c r="P4457" s="200"/>
    </row>
    <row r="4458" spans="3:20" s="517" customFormat="1" ht="31.2" customHeight="1" thickBot="1">
      <c r="C4458" s="229" t="s">
        <v>1221</v>
      </c>
      <c r="D4458" s="230" t="s">
        <v>1222</v>
      </c>
      <c r="E4458" s="231"/>
      <c r="F4458" s="231"/>
      <c r="G4458" s="232"/>
      <c r="H4458" s="233">
        <f>SUM(H4456:H4457)</f>
        <v>310787.95</v>
      </c>
      <c r="L4458" s="200"/>
      <c r="M4458" s="200"/>
      <c r="N4458" s="200"/>
      <c r="O4458" s="200"/>
      <c r="P4458" s="200"/>
    </row>
    <row r="4459" spans="3:20" ht="31.2" customHeight="1" thickTop="1">
      <c r="D4459" s="758" t="s">
        <v>7210</v>
      </c>
    </row>
    <row r="4460" spans="3:20" ht="31.2" customHeight="1">
      <c r="C4460" s="757" t="s">
        <v>6950</v>
      </c>
      <c r="F4460" s="758"/>
      <c r="H4460" s="758" t="s">
        <v>6959</v>
      </c>
    </row>
    <row r="4461" spans="3:20" ht="31.2" customHeight="1">
      <c r="C4461" s="200" t="s">
        <v>6951</v>
      </c>
      <c r="F4461" s="758"/>
    </row>
    <row r="4462" spans="3:20" ht="31.2" customHeight="1">
      <c r="C4462" s="200" t="s">
        <v>6952</v>
      </c>
      <c r="F4462" s="758"/>
    </row>
    <row r="4463" spans="3:20" ht="31.2" customHeight="1">
      <c r="C4463" s="200"/>
      <c r="F4463" s="758"/>
    </row>
    <row r="4464" spans="3:20" s="517" customFormat="1" ht="31.2" customHeight="1" thickBot="1">
      <c r="C4464" s="513" t="s">
        <v>7343</v>
      </c>
      <c r="D4464" s="748" t="s">
        <v>7344</v>
      </c>
      <c r="E4464" s="749"/>
      <c r="F4464" s="748"/>
      <c r="G4464" s="748"/>
      <c r="H4464" s="532"/>
      <c r="I4464" s="532"/>
      <c r="J4464" s="532"/>
      <c r="K4464" s="532"/>
      <c r="M4464" s="189"/>
      <c r="N4464" s="189"/>
      <c r="O4464" s="189"/>
      <c r="P4464" s="189"/>
      <c r="R4464" s="189">
        <f>ROUNDDOWN(H4488,-2)</f>
        <v>310700</v>
      </c>
      <c r="S4464" s="517" t="s">
        <v>6451</v>
      </c>
      <c r="T4464" s="517" t="s">
        <v>7014</v>
      </c>
    </row>
    <row r="4465" spans="3:16" s="517" customFormat="1" ht="31.2" customHeight="1" thickTop="1">
      <c r="C4465" s="190" t="s">
        <v>1195</v>
      </c>
      <c r="D4465" s="191" t="s">
        <v>1196</v>
      </c>
      <c r="E4465" s="191" t="s">
        <v>1197</v>
      </c>
      <c r="F4465" s="191" t="s">
        <v>1198</v>
      </c>
      <c r="G4465" s="191" t="s">
        <v>1199</v>
      </c>
      <c r="H4465" s="192" t="s">
        <v>1200</v>
      </c>
      <c r="L4465" s="200"/>
      <c r="M4465" s="200"/>
      <c r="N4465" s="200"/>
      <c r="O4465" s="200"/>
      <c r="P4465" s="200"/>
    </row>
    <row r="4466" spans="3:16" s="517" customFormat="1" ht="31.2" customHeight="1">
      <c r="C4466" s="518" t="s">
        <v>1201</v>
      </c>
      <c r="D4466" s="196" t="s">
        <v>1202</v>
      </c>
      <c r="E4466" s="197"/>
      <c r="F4466" s="197"/>
      <c r="G4466" s="197"/>
      <c r="H4466" s="198"/>
      <c r="L4466" s="200"/>
      <c r="M4466" s="200"/>
      <c r="N4466" s="200"/>
      <c r="O4466" s="200"/>
      <c r="P4466" s="200"/>
    </row>
    <row r="4467" spans="3:16" s="517" customFormat="1" ht="31.2" customHeight="1">
      <c r="C4467" s="518">
        <v>1</v>
      </c>
      <c r="D4467" s="196" t="s">
        <v>5</v>
      </c>
      <c r="E4467" s="203" t="s">
        <v>2102</v>
      </c>
      <c r="F4467" s="525">
        <v>0.1</v>
      </c>
      <c r="G4467" s="205">
        <f>VLOOKUP(D4467,upahbahan,3,FALSE)</f>
        <v>100000</v>
      </c>
      <c r="H4467" s="210">
        <f t="shared" ref="H4467:H4470" si="317">F4467*G4467</f>
        <v>10000</v>
      </c>
      <c r="L4467" s="200"/>
      <c r="M4467" s="200"/>
      <c r="N4467" s="200"/>
      <c r="O4467" s="200"/>
      <c r="P4467" s="200"/>
    </row>
    <row r="4468" spans="3:16" s="517" customFormat="1" ht="31.2" customHeight="1">
      <c r="C4468" s="537">
        <v>2</v>
      </c>
      <c r="D4468" s="196" t="s">
        <v>6954</v>
      </c>
      <c r="E4468" s="202" t="s">
        <v>6</v>
      </c>
      <c r="F4468" s="520">
        <v>0.1</v>
      </c>
      <c r="G4468" s="205">
        <f>VLOOKUP(D4468,upahbahan,3,FALSE)</f>
        <v>181250</v>
      </c>
      <c r="H4468" s="210">
        <f t="shared" si="317"/>
        <v>18125</v>
      </c>
      <c r="L4468" s="200"/>
      <c r="M4468" s="200"/>
      <c r="N4468" s="200"/>
      <c r="O4468" s="200"/>
      <c r="P4468" s="200"/>
    </row>
    <row r="4469" spans="3:16" s="517" customFormat="1" ht="31.2" customHeight="1">
      <c r="C4469" s="537">
        <v>3</v>
      </c>
      <c r="D4469" s="196" t="s">
        <v>6948</v>
      </c>
      <c r="E4469" s="202" t="s">
        <v>2102</v>
      </c>
      <c r="F4469" s="520">
        <v>0.05</v>
      </c>
      <c r="G4469" s="205">
        <f>VLOOKUP(D4469,upahbahan,3,FALSE)</f>
        <v>218750</v>
      </c>
      <c r="H4469" s="210">
        <f t="shared" si="317"/>
        <v>10937.5</v>
      </c>
      <c r="L4469" s="200"/>
      <c r="M4469" s="200"/>
      <c r="N4469" s="200"/>
      <c r="O4469" s="200"/>
      <c r="P4469" s="200"/>
    </row>
    <row r="4470" spans="3:16" s="517" customFormat="1" ht="31.2" customHeight="1">
      <c r="C4470" s="537">
        <v>4</v>
      </c>
      <c r="D4470" s="196" t="s">
        <v>19</v>
      </c>
      <c r="E4470" s="202" t="s">
        <v>6</v>
      </c>
      <c r="F4470" s="520">
        <v>1.67E-2</v>
      </c>
      <c r="G4470" s="205">
        <f>VLOOKUP(D4470,upahbahan,3,FALSE)</f>
        <v>160000</v>
      </c>
      <c r="H4470" s="210">
        <f t="shared" si="317"/>
        <v>2672</v>
      </c>
      <c r="L4470" s="200"/>
      <c r="M4470" s="200"/>
      <c r="N4470" s="200"/>
      <c r="O4470" s="200"/>
      <c r="P4470" s="200"/>
    </row>
    <row r="4471" spans="3:16" s="517" customFormat="1" ht="31.2" customHeight="1">
      <c r="C4471" s="207" t="s">
        <v>1208</v>
      </c>
      <c r="D4471" s="208"/>
      <c r="E4471" s="208"/>
      <c r="F4471" s="521"/>
      <c r="G4471" s="522"/>
      <c r="H4471" s="210">
        <f>SUM(H4467:H4470)</f>
        <v>41734.5</v>
      </c>
      <c r="L4471" s="523"/>
      <c r="M4471" s="523"/>
      <c r="N4471" s="523"/>
      <c r="O4471" s="523"/>
      <c r="P4471" s="523"/>
    </row>
    <row r="4472" spans="3:16" s="517" customFormat="1" ht="31.2" customHeight="1">
      <c r="C4472" s="543" t="s">
        <v>1209</v>
      </c>
      <c r="D4472" s="750" t="s">
        <v>1210</v>
      </c>
      <c r="E4472" s="197"/>
      <c r="F4472" s="751"/>
      <c r="G4472" s="197"/>
      <c r="H4472" s="752"/>
      <c r="L4472" s="200"/>
      <c r="M4472" s="200"/>
      <c r="N4472" s="200"/>
      <c r="O4472" s="200"/>
      <c r="P4472" s="200"/>
    </row>
    <row r="4473" spans="3:16" s="517" customFormat="1" ht="31.2" customHeight="1">
      <c r="C4473" s="543">
        <v>1</v>
      </c>
      <c r="D4473" s="750" t="s">
        <v>7345</v>
      </c>
      <c r="E4473" s="203" t="s">
        <v>44</v>
      </c>
      <c r="F4473" s="753">
        <v>1.05</v>
      </c>
      <c r="G4473" s="205">
        <f>VLOOKUP(D4473,upahbahan,3,FALSE)</f>
        <v>0</v>
      </c>
      <c r="H4473" s="210">
        <f t="shared" ref="H4473:H4481" si="318">F4473*G4473</f>
        <v>0</v>
      </c>
      <c r="L4473" s="200"/>
      <c r="M4473" s="200"/>
      <c r="N4473" s="200"/>
      <c r="O4473" s="200"/>
      <c r="P4473" s="200"/>
    </row>
    <row r="4474" spans="3:16" s="517" customFormat="1" ht="31.2" customHeight="1">
      <c r="C4474" s="543">
        <v>2</v>
      </c>
      <c r="D4474" s="750" t="s">
        <v>5563</v>
      </c>
      <c r="E4474" s="203" t="s">
        <v>65</v>
      </c>
      <c r="F4474" s="753">
        <v>0.02</v>
      </c>
      <c r="G4474" s="205">
        <f>VLOOKUP(D4474,upahbahan,3,FALSE)</f>
        <v>0</v>
      </c>
      <c r="H4474" s="210">
        <f t="shared" si="318"/>
        <v>0</v>
      </c>
      <c r="L4474" s="200"/>
      <c r="M4474" s="200"/>
      <c r="N4474" s="200"/>
      <c r="O4474" s="200"/>
      <c r="P4474" s="200"/>
    </row>
    <row r="4475" spans="3:16" s="517" customFormat="1" ht="31.2" customHeight="1">
      <c r="C4475" s="543">
        <v>3</v>
      </c>
      <c r="D4475" s="750" t="s">
        <v>5555</v>
      </c>
      <c r="E4475" s="203"/>
      <c r="F4475" s="753"/>
      <c r="G4475" s="197"/>
      <c r="H4475" s="210">
        <f t="shared" si="318"/>
        <v>0</v>
      </c>
      <c r="L4475" s="200"/>
      <c r="M4475" s="200"/>
      <c r="N4475" s="200"/>
      <c r="O4475" s="200"/>
      <c r="P4475" s="200"/>
    </row>
    <row r="4476" spans="3:16" s="517" customFormat="1" ht="31.2" customHeight="1">
      <c r="C4476" s="754" t="s">
        <v>5293</v>
      </c>
      <c r="D4476" s="750" t="s">
        <v>7209</v>
      </c>
      <c r="E4476" s="203" t="s">
        <v>113</v>
      </c>
      <c r="F4476" s="760">
        <v>18</v>
      </c>
      <c r="G4476" s="205">
        <f>VLOOKUP(D4476,upahbahan,3,FALSE)</f>
        <v>0</v>
      </c>
      <c r="H4476" s="210">
        <f t="shared" si="318"/>
        <v>0</v>
      </c>
      <c r="L4476" s="200"/>
      <c r="M4476" s="200"/>
      <c r="N4476" s="200"/>
      <c r="O4476" s="200"/>
      <c r="P4476" s="200"/>
    </row>
    <row r="4477" spans="3:16" s="517" customFormat="1" ht="31.2" customHeight="1">
      <c r="C4477" s="754" t="s">
        <v>5299</v>
      </c>
      <c r="D4477" s="750" t="s">
        <v>7055</v>
      </c>
      <c r="E4477" s="203" t="s">
        <v>113</v>
      </c>
      <c r="F4477" s="760">
        <v>10</v>
      </c>
      <c r="G4477" s="205">
        <f>VLOOKUP(D4477,upahbahan,3,FALSE)</f>
        <v>0</v>
      </c>
      <c r="H4477" s="210">
        <f t="shared" si="318"/>
        <v>0</v>
      </c>
      <c r="L4477" s="200"/>
      <c r="M4477" s="200"/>
      <c r="N4477" s="200"/>
      <c r="O4477" s="200"/>
      <c r="P4477" s="200"/>
    </row>
    <row r="4478" spans="3:16" s="517" customFormat="1" ht="31.2" customHeight="1">
      <c r="C4478" s="543">
        <v>4</v>
      </c>
      <c r="D4478" s="750" t="s">
        <v>5556</v>
      </c>
      <c r="E4478" s="203"/>
      <c r="F4478" s="753"/>
      <c r="G4478" s="197"/>
      <c r="H4478" s="210">
        <f t="shared" si="318"/>
        <v>0</v>
      </c>
      <c r="L4478" s="200"/>
      <c r="M4478" s="200"/>
      <c r="N4478" s="200"/>
      <c r="O4478" s="200"/>
      <c r="P4478" s="200"/>
    </row>
    <row r="4479" spans="3:16" s="517" customFormat="1" ht="31.2" customHeight="1">
      <c r="C4479" s="754" t="s">
        <v>5293</v>
      </c>
      <c r="D4479" s="750" t="s">
        <v>2084</v>
      </c>
      <c r="E4479" s="203" t="s">
        <v>42</v>
      </c>
      <c r="F4479" s="753">
        <v>0.19500000000000001</v>
      </c>
      <c r="G4479" s="205">
        <f>VLOOKUP(D4479,upahbahan,3,FALSE)</f>
        <v>0</v>
      </c>
      <c r="H4479" s="210">
        <f t="shared" si="318"/>
        <v>0</v>
      </c>
      <c r="L4479" s="200"/>
      <c r="M4479" s="200"/>
      <c r="N4479" s="200"/>
      <c r="O4479" s="200"/>
      <c r="P4479" s="200"/>
    </row>
    <row r="4480" spans="3:16" s="517" customFormat="1" ht="31.2" customHeight="1">
      <c r="C4480" s="754" t="s">
        <v>5299</v>
      </c>
      <c r="D4480" s="750" t="s">
        <v>5566</v>
      </c>
      <c r="E4480" s="203" t="s">
        <v>42</v>
      </c>
      <c r="F4480" s="753">
        <v>5.1999999999999998E-2</v>
      </c>
      <c r="G4480" s="205">
        <f>VLOOKUP(D4480,upahbahan,3,FALSE)</f>
        <v>0</v>
      </c>
      <c r="H4480" s="210">
        <f t="shared" si="318"/>
        <v>0</v>
      </c>
      <c r="L4480" s="200"/>
      <c r="M4480" s="200"/>
      <c r="N4480" s="200"/>
      <c r="O4480" s="200"/>
      <c r="P4480" s="200"/>
    </row>
    <row r="4481" spans="3:20" s="517" customFormat="1" ht="31.2" customHeight="1">
      <c r="C4481" s="754" t="s">
        <v>5558</v>
      </c>
      <c r="D4481" s="750" t="s">
        <v>2325</v>
      </c>
      <c r="E4481" s="203" t="s">
        <v>42</v>
      </c>
      <c r="F4481" s="762">
        <v>1.2999999999999999E-2</v>
      </c>
      <c r="G4481" s="205">
        <f>VLOOKUP(D4481,upahbahan,3,FALSE)</f>
        <v>0</v>
      </c>
      <c r="H4481" s="210">
        <f t="shared" si="318"/>
        <v>0</v>
      </c>
      <c r="L4481" s="200"/>
      <c r="M4481" s="200"/>
      <c r="N4481" s="200"/>
      <c r="O4481" s="200"/>
      <c r="P4481" s="200"/>
    </row>
    <row r="4482" spans="3:20" s="517" customFormat="1" ht="31.2" customHeight="1">
      <c r="C4482" s="207" t="s">
        <v>1214</v>
      </c>
      <c r="D4482" s="208"/>
      <c r="E4482" s="568"/>
      <c r="F4482" s="208"/>
      <c r="G4482" s="209"/>
      <c r="H4482" s="210">
        <f>SUM(H4473:H4481)</f>
        <v>0</v>
      </c>
      <c r="L4482" s="200"/>
      <c r="M4482" s="200"/>
      <c r="N4482" s="200"/>
      <c r="O4482" s="200"/>
      <c r="P4482" s="200"/>
    </row>
    <row r="4483" spans="3:20" s="517" customFormat="1" ht="31.2" customHeight="1">
      <c r="C4483" s="756" t="s">
        <v>1215</v>
      </c>
      <c r="D4483" s="196" t="s">
        <v>1216</v>
      </c>
      <c r="E4483" s="203"/>
      <c r="F4483" s="197"/>
      <c r="G4483" s="197"/>
      <c r="H4483" s="198"/>
      <c r="L4483" s="200"/>
      <c r="M4483" s="200"/>
      <c r="N4483" s="200"/>
      <c r="O4483" s="200"/>
      <c r="P4483" s="200"/>
    </row>
    <row r="4484" spans="3:20" s="517" customFormat="1" ht="31.2" customHeight="1">
      <c r="C4484" s="543">
        <v>1</v>
      </c>
      <c r="D4484" s="750" t="s">
        <v>7189</v>
      </c>
      <c r="E4484" s="203" t="s">
        <v>2396</v>
      </c>
      <c r="F4484" s="762">
        <v>0.56000000000000005</v>
      </c>
      <c r="G4484" s="205">
        <f>VLOOKUP(D4484,upahbahan,3,FALSE)</f>
        <v>430000</v>
      </c>
      <c r="H4484" s="210">
        <f t="shared" ref="H4484" si="319">F4484*G4484</f>
        <v>240800.00000000003</v>
      </c>
      <c r="L4484" s="200"/>
      <c r="M4484" s="200"/>
      <c r="N4484" s="200"/>
      <c r="O4484" s="200"/>
      <c r="P4484" s="200"/>
    </row>
    <row r="4485" spans="3:20" s="517" customFormat="1" ht="31.2" customHeight="1">
      <c r="C4485" s="207" t="s">
        <v>1217</v>
      </c>
      <c r="D4485" s="208"/>
      <c r="E4485" s="208"/>
      <c r="F4485" s="208"/>
      <c r="G4485" s="209"/>
      <c r="H4485" s="240">
        <f>SUM(H4484)</f>
        <v>240800.00000000003</v>
      </c>
      <c r="L4485" s="200"/>
      <c r="M4485" s="200"/>
      <c r="N4485" s="200"/>
      <c r="O4485" s="200"/>
      <c r="P4485" s="200"/>
    </row>
    <row r="4486" spans="3:20" s="517" customFormat="1" ht="31.2" customHeight="1">
      <c r="C4486" s="223" t="s">
        <v>1218</v>
      </c>
      <c r="D4486" s="224" t="s">
        <v>1219</v>
      </c>
      <c r="E4486" s="225"/>
      <c r="F4486" s="225"/>
      <c r="G4486" s="226"/>
      <c r="H4486" s="210">
        <f>H4485+H4482+H4471</f>
        <v>282534.5</v>
      </c>
      <c r="L4486" s="200"/>
      <c r="M4486" s="200"/>
      <c r="N4486" s="200"/>
      <c r="O4486" s="200"/>
      <c r="P4486" s="200"/>
    </row>
    <row r="4487" spans="3:20" s="517" customFormat="1" ht="31.2" customHeight="1">
      <c r="C4487" s="223" t="s">
        <v>1220</v>
      </c>
      <c r="D4487" s="224" t="s">
        <v>1321</v>
      </c>
      <c r="E4487" s="225"/>
      <c r="F4487" s="226"/>
      <c r="G4487" s="228">
        <v>0.1</v>
      </c>
      <c r="H4487" s="210">
        <f>H4486*G4487</f>
        <v>28253.45</v>
      </c>
      <c r="L4487" s="200"/>
      <c r="M4487" s="200"/>
      <c r="N4487" s="200"/>
      <c r="O4487" s="200"/>
      <c r="P4487" s="200"/>
    </row>
    <row r="4488" spans="3:20" s="517" customFormat="1" ht="31.2" customHeight="1" thickBot="1">
      <c r="C4488" s="229" t="s">
        <v>1221</v>
      </c>
      <c r="D4488" s="230" t="s">
        <v>1222</v>
      </c>
      <c r="E4488" s="231"/>
      <c r="F4488" s="231"/>
      <c r="G4488" s="232"/>
      <c r="H4488" s="233">
        <f>SUM(H4486:H4487)</f>
        <v>310787.95</v>
      </c>
      <c r="L4488" s="200"/>
      <c r="M4488" s="200"/>
      <c r="N4488" s="200"/>
      <c r="O4488" s="200"/>
      <c r="P4488" s="200"/>
    </row>
    <row r="4489" spans="3:20" ht="31.2" customHeight="1" thickTop="1">
      <c r="D4489" s="758" t="s">
        <v>7210</v>
      </c>
    </row>
    <row r="4490" spans="3:20" ht="31.2" customHeight="1">
      <c r="C4490" s="757" t="s">
        <v>6950</v>
      </c>
      <c r="F4490" s="758"/>
      <c r="H4490" s="758" t="s">
        <v>6959</v>
      </c>
    </row>
    <row r="4491" spans="3:20" ht="31.2" customHeight="1">
      <c r="C4491" s="200" t="s">
        <v>6951</v>
      </c>
      <c r="F4491" s="758"/>
    </row>
    <row r="4492" spans="3:20" ht="31.2" customHeight="1">
      <c r="C4492" s="200" t="s">
        <v>6952</v>
      </c>
      <c r="F4492" s="758"/>
    </row>
    <row r="4493" spans="3:20" ht="31.2" customHeight="1">
      <c r="C4493" s="200"/>
      <c r="F4493" s="758"/>
    </row>
    <row r="4494" spans="3:20" ht="31.2" customHeight="1">
      <c r="C4494" s="199" t="s">
        <v>5590</v>
      </c>
      <c r="D4494" s="187" t="s">
        <v>7346</v>
      </c>
      <c r="F4494" s="758"/>
    </row>
    <row r="4495" spans="3:20" s="517" customFormat="1" ht="31.2" customHeight="1" thickBot="1">
      <c r="C4495" s="513" t="s">
        <v>7347</v>
      </c>
      <c r="D4495" s="748" t="s">
        <v>7348</v>
      </c>
      <c r="E4495" s="749"/>
      <c r="F4495" s="748"/>
      <c r="G4495" s="748"/>
      <c r="H4495" s="532"/>
      <c r="I4495" s="532"/>
      <c r="J4495" s="532"/>
      <c r="K4495" s="532"/>
      <c r="M4495" s="189"/>
      <c r="N4495" s="189"/>
      <c r="O4495" s="189"/>
      <c r="P4495" s="189"/>
      <c r="R4495" s="189">
        <f>ROUNDDOWN(H4519,-2)</f>
        <v>377000</v>
      </c>
      <c r="S4495" s="517" t="s">
        <v>6451</v>
      </c>
      <c r="T4495" s="517" t="s">
        <v>7014</v>
      </c>
    </row>
    <row r="4496" spans="3:20" s="517" customFormat="1" ht="31.2" customHeight="1" thickTop="1">
      <c r="C4496" s="190" t="s">
        <v>1195</v>
      </c>
      <c r="D4496" s="191" t="s">
        <v>1196</v>
      </c>
      <c r="E4496" s="191" t="s">
        <v>1197</v>
      </c>
      <c r="F4496" s="191" t="s">
        <v>1198</v>
      </c>
      <c r="G4496" s="191" t="s">
        <v>1199</v>
      </c>
      <c r="H4496" s="192" t="s">
        <v>1200</v>
      </c>
      <c r="L4496" s="200"/>
      <c r="M4496" s="200"/>
      <c r="N4496" s="200"/>
      <c r="O4496" s="200"/>
      <c r="P4496" s="200"/>
    </row>
    <row r="4497" spans="3:16" s="517" customFormat="1" ht="31.2" customHeight="1">
      <c r="C4497" s="518" t="s">
        <v>1201</v>
      </c>
      <c r="D4497" s="196" t="s">
        <v>1202</v>
      </c>
      <c r="E4497" s="197"/>
      <c r="F4497" s="197"/>
      <c r="G4497" s="197"/>
      <c r="H4497" s="198"/>
      <c r="L4497" s="200"/>
      <c r="M4497" s="200"/>
      <c r="N4497" s="200"/>
      <c r="O4497" s="200"/>
      <c r="P4497" s="200"/>
    </row>
    <row r="4498" spans="3:16" s="517" customFormat="1" ht="31.2" customHeight="1">
      <c r="C4498" s="518">
        <v>1</v>
      </c>
      <c r="D4498" s="196" t="s">
        <v>5</v>
      </c>
      <c r="E4498" s="203" t="s">
        <v>2102</v>
      </c>
      <c r="F4498" s="525">
        <v>0.1</v>
      </c>
      <c r="G4498" s="205">
        <f>VLOOKUP(D4498,upahbahan,3,FALSE)</f>
        <v>100000</v>
      </c>
      <c r="H4498" s="210">
        <f t="shared" ref="H4498:H4501" si="320">F4498*G4498</f>
        <v>10000</v>
      </c>
      <c r="L4498" s="200"/>
      <c r="M4498" s="200"/>
      <c r="N4498" s="200"/>
      <c r="O4498" s="200"/>
      <c r="P4498" s="200"/>
    </row>
    <row r="4499" spans="3:16" s="517" customFormat="1" ht="31.2" customHeight="1">
      <c r="C4499" s="537">
        <v>2</v>
      </c>
      <c r="D4499" s="196" t="s">
        <v>6954</v>
      </c>
      <c r="E4499" s="202" t="s">
        <v>6</v>
      </c>
      <c r="F4499" s="520">
        <v>0.1</v>
      </c>
      <c r="G4499" s="205">
        <f>VLOOKUP(D4499,upahbahan,3,FALSE)</f>
        <v>181250</v>
      </c>
      <c r="H4499" s="210">
        <f t="shared" si="320"/>
        <v>18125</v>
      </c>
      <c r="L4499" s="200"/>
      <c r="M4499" s="200"/>
      <c r="N4499" s="200"/>
      <c r="O4499" s="200"/>
      <c r="P4499" s="200"/>
    </row>
    <row r="4500" spans="3:16" s="517" customFormat="1" ht="31.2" customHeight="1">
      <c r="C4500" s="537">
        <v>3</v>
      </c>
      <c r="D4500" s="196" t="s">
        <v>6948</v>
      </c>
      <c r="E4500" s="202" t="s">
        <v>2102</v>
      </c>
      <c r="F4500" s="520">
        <v>0.05</v>
      </c>
      <c r="G4500" s="205">
        <f>VLOOKUP(D4500,upahbahan,3,FALSE)</f>
        <v>218750</v>
      </c>
      <c r="H4500" s="210">
        <f t="shared" si="320"/>
        <v>10937.5</v>
      </c>
      <c r="L4500" s="200"/>
      <c r="M4500" s="200"/>
      <c r="N4500" s="200"/>
      <c r="O4500" s="200"/>
      <c r="P4500" s="200"/>
    </row>
    <row r="4501" spans="3:16" s="517" customFormat="1" ht="31.2" customHeight="1">
      <c r="C4501" s="537">
        <v>4</v>
      </c>
      <c r="D4501" s="196" t="s">
        <v>19</v>
      </c>
      <c r="E4501" s="202" t="s">
        <v>6</v>
      </c>
      <c r="F4501" s="520">
        <v>1.67E-2</v>
      </c>
      <c r="G4501" s="205">
        <f>VLOOKUP(D4501,upahbahan,3,FALSE)</f>
        <v>160000</v>
      </c>
      <c r="H4501" s="210">
        <f t="shared" si="320"/>
        <v>2672</v>
      </c>
      <c r="L4501" s="200"/>
      <c r="M4501" s="200"/>
      <c r="N4501" s="200"/>
      <c r="O4501" s="200"/>
      <c r="P4501" s="200"/>
    </row>
    <row r="4502" spans="3:16" s="517" customFormat="1" ht="31.2" customHeight="1">
      <c r="C4502" s="207" t="s">
        <v>1208</v>
      </c>
      <c r="D4502" s="208"/>
      <c r="E4502" s="208"/>
      <c r="F4502" s="521"/>
      <c r="G4502" s="522"/>
      <c r="H4502" s="210">
        <f>SUM(H4498:H4501)</f>
        <v>41734.5</v>
      </c>
      <c r="L4502" s="523"/>
      <c r="M4502" s="523"/>
      <c r="N4502" s="523"/>
      <c r="O4502" s="523"/>
      <c r="P4502" s="523"/>
    </row>
    <row r="4503" spans="3:16" s="517" customFormat="1" ht="31.2" customHeight="1">
      <c r="C4503" s="543" t="s">
        <v>1209</v>
      </c>
      <c r="D4503" s="750" t="s">
        <v>1210</v>
      </c>
      <c r="E4503" s="197"/>
      <c r="F4503" s="751"/>
      <c r="G4503" s="197"/>
      <c r="H4503" s="752"/>
      <c r="L4503" s="200"/>
      <c r="M4503" s="200"/>
      <c r="N4503" s="200"/>
      <c r="O4503" s="200"/>
      <c r="P4503" s="200"/>
    </row>
    <row r="4504" spans="3:16" s="517" customFormat="1" ht="31.2" customHeight="1">
      <c r="C4504" s="543">
        <v>1</v>
      </c>
      <c r="D4504" s="750" t="s">
        <v>7349</v>
      </c>
      <c r="E4504" s="203" t="s">
        <v>44</v>
      </c>
      <c r="F4504" s="753">
        <v>1.05</v>
      </c>
      <c r="G4504" s="205">
        <f>VLOOKUP(D4504,upahbahan,3,FALSE)</f>
        <v>0</v>
      </c>
      <c r="H4504" s="210">
        <f t="shared" ref="H4504:H4512" si="321">F4504*G4504</f>
        <v>0</v>
      </c>
      <c r="L4504" s="200"/>
      <c r="M4504" s="200"/>
      <c r="N4504" s="200"/>
      <c r="O4504" s="200"/>
      <c r="P4504" s="200"/>
    </row>
    <row r="4505" spans="3:16" s="517" customFormat="1" ht="31.2" customHeight="1">
      <c r="C4505" s="543">
        <v>2</v>
      </c>
      <c r="D4505" s="750" t="s">
        <v>5563</v>
      </c>
      <c r="E4505" s="203" t="s">
        <v>65</v>
      </c>
      <c r="F4505" s="753">
        <v>0.02</v>
      </c>
      <c r="G4505" s="205">
        <f>VLOOKUP(D4505,upahbahan,3,FALSE)</f>
        <v>0</v>
      </c>
      <c r="H4505" s="210">
        <f t="shared" si="321"/>
        <v>0</v>
      </c>
      <c r="L4505" s="200"/>
      <c r="M4505" s="200"/>
      <c r="N4505" s="200"/>
      <c r="O4505" s="200"/>
      <c r="P4505" s="200"/>
    </row>
    <row r="4506" spans="3:16" s="517" customFormat="1" ht="31.2" customHeight="1">
      <c r="C4506" s="543">
        <v>3</v>
      </c>
      <c r="D4506" s="750" t="s">
        <v>5555</v>
      </c>
      <c r="E4506" s="203"/>
      <c r="F4506" s="753"/>
      <c r="G4506" s="197"/>
      <c r="H4506" s="210">
        <f t="shared" si="321"/>
        <v>0</v>
      </c>
      <c r="L4506" s="200"/>
      <c r="M4506" s="200"/>
      <c r="N4506" s="200"/>
      <c r="O4506" s="200"/>
      <c r="P4506" s="200"/>
    </row>
    <row r="4507" spans="3:16" s="517" customFormat="1" ht="31.2" customHeight="1">
      <c r="C4507" s="754" t="s">
        <v>5293</v>
      </c>
      <c r="D4507" s="750" t="s">
        <v>7209</v>
      </c>
      <c r="E4507" s="203" t="s">
        <v>113</v>
      </c>
      <c r="F4507" s="760">
        <v>18</v>
      </c>
      <c r="G4507" s="205">
        <f>VLOOKUP(D4507,upahbahan,3,FALSE)</f>
        <v>0</v>
      </c>
      <c r="H4507" s="210">
        <f t="shared" si="321"/>
        <v>0</v>
      </c>
      <c r="L4507" s="200"/>
      <c r="M4507" s="200"/>
      <c r="N4507" s="200"/>
      <c r="O4507" s="200"/>
      <c r="P4507" s="200"/>
    </row>
    <row r="4508" spans="3:16" s="517" customFormat="1" ht="31.2" customHeight="1">
      <c r="C4508" s="754" t="s">
        <v>5299</v>
      </c>
      <c r="D4508" s="750" t="s">
        <v>7055</v>
      </c>
      <c r="E4508" s="203" t="s">
        <v>113</v>
      </c>
      <c r="F4508" s="760">
        <v>10</v>
      </c>
      <c r="G4508" s="205">
        <f>VLOOKUP(D4508,upahbahan,3,FALSE)</f>
        <v>0</v>
      </c>
      <c r="H4508" s="210">
        <f t="shared" si="321"/>
        <v>0</v>
      </c>
      <c r="L4508" s="200"/>
      <c r="M4508" s="200"/>
      <c r="N4508" s="200"/>
      <c r="O4508" s="200"/>
      <c r="P4508" s="200"/>
    </row>
    <row r="4509" spans="3:16" s="517" customFormat="1" ht="31.2" customHeight="1">
      <c r="C4509" s="543">
        <v>4</v>
      </c>
      <c r="D4509" s="750" t="s">
        <v>5556</v>
      </c>
      <c r="E4509" s="203"/>
      <c r="F4509" s="753"/>
      <c r="G4509" s="197"/>
      <c r="H4509" s="210">
        <f t="shared" si="321"/>
        <v>0</v>
      </c>
      <c r="L4509" s="200"/>
      <c r="M4509" s="200"/>
      <c r="N4509" s="200"/>
      <c r="O4509" s="200"/>
      <c r="P4509" s="200"/>
    </row>
    <row r="4510" spans="3:16" s="517" customFormat="1" ht="31.2" customHeight="1">
      <c r="C4510" s="754" t="s">
        <v>5293</v>
      </c>
      <c r="D4510" s="750" t="s">
        <v>2084</v>
      </c>
      <c r="E4510" s="203" t="s">
        <v>42</v>
      </c>
      <c r="F4510" s="753">
        <v>0.24399999999999999</v>
      </c>
      <c r="G4510" s="205">
        <f>VLOOKUP(D4510,upahbahan,3,FALSE)</f>
        <v>0</v>
      </c>
      <c r="H4510" s="210">
        <f t="shared" si="321"/>
        <v>0</v>
      </c>
      <c r="L4510" s="200"/>
      <c r="M4510" s="200"/>
      <c r="N4510" s="200"/>
      <c r="O4510" s="200"/>
      <c r="P4510" s="200"/>
    </row>
    <row r="4511" spans="3:16" s="517" customFormat="1" ht="31.2" customHeight="1">
      <c r="C4511" s="754" t="s">
        <v>5299</v>
      </c>
      <c r="D4511" s="750" t="s">
        <v>5566</v>
      </c>
      <c r="E4511" s="203" t="s">
        <v>42</v>
      </c>
      <c r="F4511" s="753">
        <v>6.5000000000000002E-2</v>
      </c>
      <c r="G4511" s="205">
        <f>VLOOKUP(D4511,upahbahan,3,FALSE)</f>
        <v>0</v>
      </c>
      <c r="H4511" s="210">
        <f t="shared" si="321"/>
        <v>0</v>
      </c>
      <c r="L4511" s="200"/>
      <c r="M4511" s="200"/>
      <c r="N4511" s="200"/>
      <c r="O4511" s="200"/>
      <c r="P4511" s="200"/>
    </row>
    <row r="4512" spans="3:16" s="517" customFormat="1" ht="31.2" customHeight="1">
      <c r="C4512" s="754" t="s">
        <v>5558</v>
      </c>
      <c r="D4512" s="750" t="s">
        <v>2325</v>
      </c>
      <c r="E4512" s="203" t="s">
        <v>42</v>
      </c>
      <c r="F4512" s="762">
        <v>1.6E-2</v>
      </c>
      <c r="G4512" s="205">
        <f>VLOOKUP(D4512,upahbahan,3,FALSE)</f>
        <v>0</v>
      </c>
      <c r="H4512" s="210">
        <f t="shared" si="321"/>
        <v>0</v>
      </c>
      <c r="L4512" s="200"/>
      <c r="M4512" s="200"/>
      <c r="N4512" s="200"/>
      <c r="O4512" s="200"/>
      <c r="P4512" s="200"/>
    </row>
    <row r="4513" spans="3:20" s="517" customFormat="1" ht="31.2" customHeight="1">
      <c r="C4513" s="207" t="s">
        <v>1214</v>
      </c>
      <c r="D4513" s="208"/>
      <c r="E4513" s="568"/>
      <c r="F4513" s="208"/>
      <c r="G4513" s="209"/>
      <c r="H4513" s="210">
        <f>SUM(H4504:H4512)</f>
        <v>0</v>
      </c>
      <c r="L4513" s="200"/>
      <c r="M4513" s="200"/>
      <c r="N4513" s="200"/>
      <c r="O4513" s="200"/>
      <c r="P4513" s="200"/>
    </row>
    <row r="4514" spans="3:20" s="517" customFormat="1" ht="31.2" customHeight="1">
      <c r="C4514" s="756" t="s">
        <v>1215</v>
      </c>
      <c r="D4514" s="196" t="s">
        <v>1216</v>
      </c>
      <c r="E4514" s="203"/>
      <c r="F4514" s="197"/>
      <c r="G4514" s="197"/>
      <c r="H4514" s="198"/>
      <c r="L4514" s="200"/>
      <c r="M4514" s="200"/>
      <c r="N4514" s="200"/>
      <c r="O4514" s="200"/>
      <c r="P4514" s="200"/>
    </row>
    <row r="4515" spans="3:20" s="517" customFormat="1" ht="31.2" customHeight="1">
      <c r="C4515" s="543">
        <v>1</v>
      </c>
      <c r="D4515" s="750" t="s">
        <v>7189</v>
      </c>
      <c r="E4515" s="203" t="s">
        <v>2396</v>
      </c>
      <c r="F4515" s="762">
        <v>0.7</v>
      </c>
      <c r="G4515" s="205">
        <f>VLOOKUP(D4515,upahbahan,3,FALSE)</f>
        <v>430000</v>
      </c>
      <c r="H4515" s="210">
        <f t="shared" ref="H4515" si="322">F4515*G4515</f>
        <v>301000</v>
      </c>
      <c r="L4515" s="200"/>
      <c r="M4515" s="200"/>
      <c r="N4515" s="200"/>
      <c r="O4515" s="200"/>
      <c r="P4515" s="200"/>
    </row>
    <row r="4516" spans="3:20" s="517" customFormat="1" ht="31.2" customHeight="1">
      <c r="C4516" s="207" t="s">
        <v>1217</v>
      </c>
      <c r="D4516" s="208"/>
      <c r="E4516" s="208"/>
      <c r="F4516" s="208"/>
      <c r="G4516" s="209"/>
      <c r="H4516" s="240">
        <f>SUM(H4515)</f>
        <v>301000</v>
      </c>
      <c r="L4516" s="200"/>
      <c r="M4516" s="200"/>
      <c r="N4516" s="200"/>
      <c r="O4516" s="200"/>
      <c r="P4516" s="200"/>
    </row>
    <row r="4517" spans="3:20" s="517" customFormat="1" ht="31.2" customHeight="1">
      <c r="C4517" s="223" t="s">
        <v>1218</v>
      </c>
      <c r="D4517" s="224" t="s">
        <v>1219</v>
      </c>
      <c r="E4517" s="225"/>
      <c r="F4517" s="225"/>
      <c r="G4517" s="226"/>
      <c r="H4517" s="210">
        <f>H4516+H4513+H4502</f>
        <v>342734.5</v>
      </c>
      <c r="L4517" s="200"/>
      <c r="M4517" s="200"/>
      <c r="N4517" s="200"/>
      <c r="O4517" s="200"/>
      <c r="P4517" s="200"/>
    </row>
    <row r="4518" spans="3:20" s="517" customFormat="1" ht="31.2" customHeight="1">
      <c r="C4518" s="223" t="s">
        <v>1220</v>
      </c>
      <c r="D4518" s="224" t="s">
        <v>1321</v>
      </c>
      <c r="E4518" s="225"/>
      <c r="F4518" s="226"/>
      <c r="G4518" s="228">
        <v>0.1</v>
      </c>
      <c r="H4518" s="210">
        <f>H4517*G4518</f>
        <v>34273.450000000004</v>
      </c>
      <c r="L4518" s="200"/>
      <c r="M4518" s="200"/>
      <c r="N4518" s="200"/>
      <c r="O4518" s="200"/>
      <c r="P4518" s="200"/>
    </row>
    <row r="4519" spans="3:20" s="517" customFormat="1" ht="31.2" customHeight="1" thickBot="1">
      <c r="C4519" s="229" t="s">
        <v>1221</v>
      </c>
      <c r="D4519" s="230" t="s">
        <v>1222</v>
      </c>
      <c r="E4519" s="231"/>
      <c r="F4519" s="231"/>
      <c r="G4519" s="232"/>
      <c r="H4519" s="233">
        <f>SUM(H4517:H4518)</f>
        <v>377007.95</v>
      </c>
      <c r="L4519" s="200"/>
      <c r="M4519" s="200"/>
      <c r="N4519" s="200"/>
      <c r="O4519" s="200"/>
      <c r="P4519" s="200"/>
    </row>
    <row r="4520" spans="3:20" ht="31.2" customHeight="1" thickTop="1">
      <c r="D4520" s="758" t="s">
        <v>7210</v>
      </c>
    </row>
    <row r="4521" spans="3:20" ht="31.2" customHeight="1">
      <c r="C4521" s="757" t="s">
        <v>6950</v>
      </c>
      <c r="F4521" s="758"/>
      <c r="H4521" s="758" t="s">
        <v>6959</v>
      </c>
    </row>
    <row r="4522" spans="3:20" ht="31.2" customHeight="1">
      <c r="C4522" s="200" t="s">
        <v>6951</v>
      </c>
      <c r="F4522" s="758"/>
    </row>
    <row r="4523" spans="3:20" ht="31.2" customHeight="1">
      <c r="C4523" s="200" t="s">
        <v>6952</v>
      </c>
      <c r="F4523" s="758"/>
    </row>
    <row r="4524" spans="3:20" ht="31.2" customHeight="1">
      <c r="C4524" s="200"/>
      <c r="F4524" s="758"/>
    </row>
    <row r="4525" spans="3:20" s="517" customFormat="1" ht="31.2" customHeight="1" thickBot="1">
      <c r="C4525" s="513" t="s">
        <v>7350</v>
      </c>
      <c r="D4525" s="748" t="s">
        <v>7351</v>
      </c>
      <c r="E4525" s="749"/>
      <c r="F4525" s="748"/>
      <c r="G4525" s="748"/>
      <c r="H4525" s="532"/>
      <c r="I4525" s="532"/>
      <c r="J4525" s="532"/>
      <c r="K4525" s="532"/>
      <c r="M4525" s="189"/>
      <c r="N4525" s="189"/>
      <c r="O4525" s="189"/>
      <c r="P4525" s="189"/>
      <c r="R4525" s="189">
        <f>ROUNDDOWN(H4549,-2)</f>
        <v>377000</v>
      </c>
      <c r="S4525" s="517" t="s">
        <v>6451</v>
      </c>
      <c r="T4525" s="517" t="s">
        <v>7014</v>
      </c>
    </row>
    <row r="4526" spans="3:20" s="517" customFormat="1" ht="31.2" customHeight="1" thickTop="1">
      <c r="C4526" s="190" t="s">
        <v>1195</v>
      </c>
      <c r="D4526" s="191" t="s">
        <v>1196</v>
      </c>
      <c r="E4526" s="191" t="s">
        <v>1197</v>
      </c>
      <c r="F4526" s="191" t="s">
        <v>1198</v>
      </c>
      <c r="G4526" s="191" t="s">
        <v>1199</v>
      </c>
      <c r="H4526" s="192" t="s">
        <v>1200</v>
      </c>
      <c r="L4526" s="200"/>
      <c r="M4526" s="200"/>
      <c r="N4526" s="200"/>
      <c r="O4526" s="200"/>
      <c r="P4526" s="200"/>
    </row>
    <row r="4527" spans="3:20" s="517" customFormat="1" ht="31.2" customHeight="1">
      <c r="C4527" s="518" t="s">
        <v>1201</v>
      </c>
      <c r="D4527" s="196" t="s">
        <v>1202</v>
      </c>
      <c r="E4527" s="197"/>
      <c r="F4527" s="197"/>
      <c r="G4527" s="197"/>
      <c r="H4527" s="198"/>
      <c r="L4527" s="200"/>
      <c r="M4527" s="200"/>
      <c r="N4527" s="200"/>
      <c r="O4527" s="200"/>
      <c r="P4527" s="200"/>
    </row>
    <row r="4528" spans="3:20" s="517" customFormat="1" ht="31.2" customHeight="1">
      <c r="C4528" s="518">
        <v>1</v>
      </c>
      <c r="D4528" s="196" t="s">
        <v>5</v>
      </c>
      <c r="E4528" s="203" t="s">
        <v>2102</v>
      </c>
      <c r="F4528" s="525">
        <v>0.1</v>
      </c>
      <c r="G4528" s="205">
        <f>VLOOKUP(D4528,upahbahan,3,FALSE)</f>
        <v>100000</v>
      </c>
      <c r="H4528" s="210">
        <f t="shared" ref="H4528:H4531" si="323">F4528*G4528</f>
        <v>10000</v>
      </c>
      <c r="L4528" s="200"/>
      <c r="M4528" s="200"/>
      <c r="N4528" s="200"/>
      <c r="O4528" s="200"/>
      <c r="P4528" s="200"/>
    </row>
    <row r="4529" spans="3:16" s="517" customFormat="1" ht="31.2" customHeight="1">
      <c r="C4529" s="537">
        <v>2</v>
      </c>
      <c r="D4529" s="196" t="s">
        <v>6954</v>
      </c>
      <c r="E4529" s="202" t="s">
        <v>6</v>
      </c>
      <c r="F4529" s="520">
        <v>0.1</v>
      </c>
      <c r="G4529" s="205">
        <f>VLOOKUP(D4529,upahbahan,3,FALSE)</f>
        <v>181250</v>
      </c>
      <c r="H4529" s="210">
        <f t="shared" si="323"/>
        <v>18125</v>
      </c>
      <c r="L4529" s="200"/>
      <c r="M4529" s="200"/>
      <c r="N4529" s="200"/>
      <c r="O4529" s="200"/>
      <c r="P4529" s="200"/>
    </row>
    <row r="4530" spans="3:16" s="517" customFormat="1" ht="31.2" customHeight="1">
      <c r="C4530" s="537">
        <v>3</v>
      </c>
      <c r="D4530" s="196" t="s">
        <v>6948</v>
      </c>
      <c r="E4530" s="202" t="s">
        <v>2102</v>
      </c>
      <c r="F4530" s="520">
        <v>0.05</v>
      </c>
      <c r="G4530" s="205">
        <f>VLOOKUP(D4530,upahbahan,3,FALSE)</f>
        <v>218750</v>
      </c>
      <c r="H4530" s="210">
        <f t="shared" si="323"/>
        <v>10937.5</v>
      </c>
      <c r="L4530" s="200"/>
      <c r="M4530" s="200"/>
      <c r="N4530" s="200"/>
      <c r="O4530" s="200"/>
      <c r="P4530" s="200"/>
    </row>
    <row r="4531" spans="3:16" s="517" customFormat="1" ht="31.2" customHeight="1">
      <c r="C4531" s="537">
        <v>4</v>
      </c>
      <c r="D4531" s="196" t="s">
        <v>19</v>
      </c>
      <c r="E4531" s="202" t="s">
        <v>6</v>
      </c>
      <c r="F4531" s="520">
        <v>1.67E-2</v>
      </c>
      <c r="G4531" s="205">
        <f>VLOOKUP(D4531,upahbahan,3,FALSE)</f>
        <v>160000</v>
      </c>
      <c r="H4531" s="210">
        <f t="shared" si="323"/>
        <v>2672</v>
      </c>
      <c r="L4531" s="200"/>
      <c r="M4531" s="200"/>
      <c r="N4531" s="200"/>
      <c r="O4531" s="200"/>
      <c r="P4531" s="200"/>
    </row>
    <row r="4532" spans="3:16" s="517" customFormat="1" ht="31.2" customHeight="1">
      <c r="C4532" s="207" t="s">
        <v>1208</v>
      </c>
      <c r="D4532" s="208"/>
      <c r="E4532" s="208"/>
      <c r="F4532" s="521"/>
      <c r="G4532" s="522"/>
      <c r="H4532" s="210">
        <f>SUM(H4528:H4531)</f>
        <v>41734.5</v>
      </c>
      <c r="L4532" s="523"/>
      <c r="M4532" s="523"/>
      <c r="N4532" s="523"/>
      <c r="O4532" s="523"/>
      <c r="P4532" s="523"/>
    </row>
    <row r="4533" spans="3:16" s="517" customFormat="1" ht="31.2" customHeight="1">
      <c r="C4533" s="543" t="s">
        <v>1209</v>
      </c>
      <c r="D4533" s="750" t="s">
        <v>1210</v>
      </c>
      <c r="E4533" s="197"/>
      <c r="F4533" s="751"/>
      <c r="G4533" s="197"/>
      <c r="H4533" s="752"/>
      <c r="L4533" s="200"/>
      <c r="M4533" s="200"/>
      <c r="N4533" s="200"/>
      <c r="O4533" s="200"/>
      <c r="P4533" s="200"/>
    </row>
    <row r="4534" spans="3:16" s="517" customFormat="1" ht="31.2" customHeight="1">
      <c r="C4534" s="543">
        <v>1</v>
      </c>
      <c r="D4534" s="750" t="s">
        <v>7352</v>
      </c>
      <c r="E4534" s="203" t="s">
        <v>44</v>
      </c>
      <c r="F4534" s="753">
        <v>1.05</v>
      </c>
      <c r="G4534" s="205">
        <f>VLOOKUP(D4534,upahbahan,3,FALSE)</f>
        <v>0</v>
      </c>
      <c r="H4534" s="210">
        <f t="shared" ref="H4534:H4542" si="324">F4534*G4534</f>
        <v>0</v>
      </c>
      <c r="L4534" s="200"/>
      <c r="M4534" s="200"/>
      <c r="N4534" s="200"/>
      <c r="O4534" s="200"/>
      <c r="P4534" s="200"/>
    </row>
    <row r="4535" spans="3:16" s="517" customFormat="1" ht="31.2" customHeight="1">
      <c r="C4535" s="543">
        <v>2</v>
      </c>
      <c r="D4535" s="750" t="s">
        <v>5563</v>
      </c>
      <c r="E4535" s="203" t="s">
        <v>65</v>
      </c>
      <c r="F4535" s="753">
        <v>0.02</v>
      </c>
      <c r="G4535" s="205">
        <f>VLOOKUP(D4535,upahbahan,3,FALSE)</f>
        <v>0</v>
      </c>
      <c r="H4535" s="210">
        <f t="shared" si="324"/>
        <v>0</v>
      </c>
      <c r="L4535" s="200"/>
      <c r="M4535" s="200"/>
      <c r="N4535" s="200"/>
      <c r="O4535" s="200"/>
      <c r="P4535" s="200"/>
    </row>
    <row r="4536" spans="3:16" s="517" customFormat="1" ht="31.2" customHeight="1">
      <c r="C4536" s="543">
        <v>3</v>
      </c>
      <c r="D4536" s="750" t="s">
        <v>5555</v>
      </c>
      <c r="E4536" s="203"/>
      <c r="F4536" s="753"/>
      <c r="G4536" s="197"/>
      <c r="H4536" s="210">
        <f t="shared" si="324"/>
        <v>0</v>
      </c>
      <c r="L4536" s="200"/>
      <c r="M4536" s="200"/>
      <c r="N4536" s="200"/>
      <c r="O4536" s="200"/>
      <c r="P4536" s="200"/>
    </row>
    <row r="4537" spans="3:16" s="517" customFormat="1" ht="31.2" customHeight="1">
      <c r="C4537" s="754" t="s">
        <v>5293</v>
      </c>
      <c r="D4537" s="750" t="s">
        <v>7209</v>
      </c>
      <c r="E4537" s="203" t="s">
        <v>113</v>
      </c>
      <c r="F4537" s="760">
        <v>18</v>
      </c>
      <c r="G4537" s="205">
        <f>VLOOKUP(D4537,upahbahan,3,FALSE)</f>
        <v>0</v>
      </c>
      <c r="H4537" s="210">
        <f t="shared" si="324"/>
        <v>0</v>
      </c>
      <c r="L4537" s="200"/>
      <c r="M4537" s="200"/>
      <c r="N4537" s="200"/>
      <c r="O4537" s="200"/>
      <c r="P4537" s="200"/>
    </row>
    <row r="4538" spans="3:16" s="517" customFormat="1" ht="31.2" customHeight="1">
      <c r="C4538" s="754" t="s">
        <v>5299</v>
      </c>
      <c r="D4538" s="750" t="s">
        <v>7055</v>
      </c>
      <c r="E4538" s="203" t="s">
        <v>113</v>
      </c>
      <c r="F4538" s="760">
        <v>10</v>
      </c>
      <c r="G4538" s="205">
        <f>VLOOKUP(D4538,upahbahan,3,FALSE)</f>
        <v>0</v>
      </c>
      <c r="H4538" s="210">
        <f t="shared" si="324"/>
        <v>0</v>
      </c>
      <c r="L4538" s="200"/>
      <c r="M4538" s="200"/>
      <c r="N4538" s="200"/>
      <c r="O4538" s="200"/>
      <c r="P4538" s="200"/>
    </row>
    <row r="4539" spans="3:16" s="517" customFormat="1" ht="31.2" customHeight="1">
      <c r="C4539" s="543">
        <v>4</v>
      </c>
      <c r="D4539" s="750" t="s">
        <v>5556</v>
      </c>
      <c r="E4539" s="203"/>
      <c r="F4539" s="753"/>
      <c r="G4539" s="197"/>
      <c r="H4539" s="210">
        <f t="shared" si="324"/>
        <v>0</v>
      </c>
      <c r="L4539" s="200"/>
      <c r="M4539" s="200"/>
      <c r="N4539" s="200"/>
      <c r="O4539" s="200"/>
      <c r="P4539" s="200"/>
    </row>
    <row r="4540" spans="3:16" s="517" customFormat="1" ht="31.2" customHeight="1">
      <c r="C4540" s="754" t="s">
        <v>5293</v>
      </c>
      <c r="D4540" s="750" t="s">
        <v>2084</v>
      </c>
      <c r="E4540" s="203" t="s">
        <v>42</v>
      </c>
      <c r="F4540" s="753">
        <v>0.24399999999999999</v>
      </c>
      <c r="G4540" s="205">
        <f>VLOOKUP(D4540,upahbahan,3,FALSE)</f>
        <v>0</v>
      </c>
      <c r="H4540" s="210">
        <f t="shared" si="324"/>
        <v>0</v>
      </c>
      <c r="L4540" s="200"/>
      <c r="M4540" s="200"/>
      <c r="N4540" s="200"/>
      <c r="O4540" s="200"/>
      <c r="P4540" s="200"/>
    </row>
    <row r="4541" spans="3:16" s="517" customFormat="1" ht="31.2" customHeight="1">
      <c r="C4541" s="754" t="s">
        <v>5299</v>
      </c>
      <c r="D4541" s="750" t="s">
        <v>5566</v>
      </c>
      <c r="E4541" s="203" t="s">
        <v>42</v>
      </c>
      <c r="F4541" s="753">
        <v>6.5000000000000002E-2</v>
      </c>
      <c r="G4541" s="205">
        <f>VLOOKUP(D4541,upahbahan,3,FALSE)</f>
        <v>0</v>
      </c>
      <c r="H4541" s="210">
        <f t="shared" si="324"/>
        <v>0</v>
      </c>
      <c r="L4541" s="200"/>
      <c r="M4541" s="200"/>
      <c r="N4541" s="200"/>
      <c r="O4541" s="200"/>
      <c r="P4541" s="200"/>
    </row>
    <row r="4542" spans="3:16" s="517" customFormat="1" ht="31.2" customHeight="1">
      <c r="C4542" s="754" t="s">
        <v>5558</v>
      </c>
      <c r="D4542" s="750" t="s">
        <v>2325</v>
      </c>
      <c r="E4542" s="203" t="s">
        <v>42</v>
      </c>
      <c r="F4542" s="762">
        <v>1.6E-2</v>
      </c>
      <c r="G4542" s="205">
        <f>VLOOKUP(D4542,upahbahan,3,FALSE)</f>
        <v>0</v>
      </c>
      <c r="H4542" s="210">
        <f t="shared" si="324"/>
        <v>0</v>
      </c>
      <c r="L4542" s="200"/>
      <c r="M4542" s="200"/>
      <c r="N4542" s="200"/>
      <c r="O4542" s="200"/>
      <c r="P4542" s="200"/>
    </row>
    <row r="4543" spans="3:16" s="517" customFormat="1" ht="31.2" customHeight="1">
      <c r="C4543" s="207" t="s">
        <v>1214</v>
      </c>
      <c r="D4543" s="208"/>
      <c r="E4543" s="568"/>
      <c r="F4543" s="208"/>
      <c r="G4543" s="209"/>
      <c r="H4543" s="210">
        <f>SUM(H4534:H4542)</f>
        <v>0</v>
      </c>
      <c r="L4543" s="200"/>
      <c r="M4543" s="200"/>
      <c r="N4543" s="200"/>
      <c r="O4543" s="200"/>
      <c r="P4543" s="200"/>
    </row>
    <row r="4544" spans="3:16" s="517" customFormat="1" ht="31.2" customHeight="1">
      <c r="C4544" s="756" t="s">
        <v>1215</v>
      </c>
      <c r="D4544" s="196" t="s">
        <v>1216</v>
      </c>
      <c r="E4544" s="203"/>
      <c r="F4544" s="197"/>
      <c r="G4544" s="197"/>
      <c r="H4544" s="198"/>
      <c r="L4544" s="200"/>
      <c r="M4544" s="200"/>
      <c r="N4544" s="200"/>
      <c r="O4544" s="200"/>
      <c r="P4544" s="200"/>
    </row>
    <row r="4545" spans="3:20" s="517" customFormat="1" ht="31.2" customHeight="1">
      <c r="C4545" s="543">
        <v>1</v>
      </c>
      <c r="D4545" s="750" t="s">
        <v>7189</v>
      </c>
      <c r="E4545" s="203" t="s">
        <v>2396</v>
      </c>
      <c r="F4545" s="762">
        <v>0.7</v>
      </c>
      <c r="G4545" s="205">
        <f>VLOOKUP(D4545,upahbahan,3,FALSE)</f>
        <v>430000</v>
      </c>
      <c r="H4545" s="210">
        <f t="shared" ref="H4545" si="325">F4545*G4545</f>
        <v>301000</v>
      </c>
      <c r="L4545" s="200"/>
      <c r="M4545" s="200"/>
      <c r="N4545" s="200"/>
      <c r="O4545" s="200"/>
      <c r="P4545" s="200"/>
    </row>
    <row r="4546" spans="3:20" s="517" customFormat="1" ht="31.2" customHeight="1">
      <c r="C4546" s="207" t="s">
        <v>1217</v>
      </c>
      <c r="D4546" s="208"/>
      <c r="E4546" s="208"/>
      <c r="F4546" s="208"/>
      <c r="G4546" s="209"/>
      <c r="H4546" s="240">
        <f>SUM(H4545)</f>
        <v>301000</v>
      </c>
      <c r="L4546" s="200"/>
      <c r="M4546" s="200"/>
      <c r="N4546" s="200"/>
      <c r="O4546" s="200"/>
      <c r="P4546" s="200"/>
    </row>
    <row r="4547" spans="3:20" s="517" customFormat="1" ht="31.2" customHeight="1">
      <c r="C4547" s="223" t="s">
        <v>1218</v>
      </c>
      <c r="D4547" s="224" t="s">
        <v>1219</v>
      </c>
      <c r="E4547" s="225"/>
      <c r="F4547" s="225"/>
      <c r="G4547" s="226"/>
      <c r="H4547" s="210">
        <f>H4546+H4543+H4532</f>
        <v>342734.5</v>
      </c>
      <c r="L4547" s="200"/>
      <c r="M4547" s="200"/>
      <c r="N4547" s="200"/>
      <c r="O4547" s="200"/>
      <c r="P4547" s="200"/>
    </row>
    <row r="4548" spans="3:20" s="517" customFormat="1" ht="31.2" customHeight="1">
      <c r="C4548" s="223" t="s">
        <v>1220</v>
      </c>
      <c r="D4548" s="224" t="s">
        <v>1321</v>
      </c>
      <c r="E4548" s="225"/>
      <c r="F4548" s="226"/>
      <c r="G4548" s="228">
        <v>0.1</v>
      </c>
      <c r="H4548" s="210">
        <f>H4547*G4548</f>
        <v>34273.450000000004</v>
      </c>
      <c r="L4548" s="200"/>
      <c r="M4548" s="200"/>
      <c r="N4548" s="200"/>
      <c r="O4548" s="200"/>
      <c r="P4548" s="200"/>
    </row>
    <row r="4549" spans="3:20" s="517" customFormat="1" ht="31.2" customHeight="1" thickBot="1">
      <c r="C4549" s="229" t="s">
        <v>1221</v>
      </c>
      <c r="D4549" s="230" t="s">
        <v>1222</v>
      </c>
      <c r="E4549" s="231"/>
      <c r="F4549" s="231"/>
      <c r="G4549" s="232"/>
      <c r="H4549" s="233">
        <f>SUM(H4547:H4548)</f>
        <v>377007.95</v>
      </c>
      <c r="L4549" s="200"/>
      <c r="M4549" s="200"/>
      <c r="N4549" s="200"/>
      <c r="O4549" s="200"/>
      <c r="P4549" s="200"/>
    </row>
    <row r="4550" spans="3:20" ht="31.2" customHeight="1" thickTop="1">
      <c r="D4550" s="758" t="s">
        <v>7210</v>
      </c>
    </row>
    <row r="4551" spans="3:20" ht="31.2" customHeight="1">
      <c r="C4551" s="757" t="s">
        <v>6950</v>
      </c>
      <c r="F4551" s="758"/>
      <c r="H4551" s="758" t="s">
        <v>6959</v>
      </c>
    </row>
    <row r="4552" spans="3:20" ht="31.2" customHeight="1">
      <c r="C4552" s="200" t="s">
        <v>6951</v>
      </c>
      <c r="F4552" s="758"/>
    </row>
    <row r="4553" spans="3:20" ht="31.2" customHeight="1">
      <c r="C4553" s="200" t="s">
        <v>6952</v>
      </c>
      <c r="F4553" s="758"/>
    </row>
    <row r="4554" spans="3:20" ht="31.2" customHeight="1">
      <c r="C4554" s="200"/>
      <c r="F4554" s="758"/>
    </row>
    <row r="4555" spans="3:20" s="517" customFormat="1" ht="31.2" customHeight="1" thickBot="1">
      <c r="C4555" s="513" t="s">
        <v>7353</v>
      </c>
      <c r="D4555" s="748" t="s">
        <v>7354</v>
      </c>
      <c r="E4555" s="749"/>
      <c r="F4555" s="748"/>
      <c r="G4555" s="748"/>
      <c r="H4555" s="532"/>
      <c r="I4555" s="532"/>
      <c r="J4555" s="532"/>
      <c r="K4555" s="532"/>
      <c r="M4555" s="189"/>
      <c r="N4555" s="189"/>
      <c r="O4555" s="189"/>
      <c r="P4555" s="189"/>
      <c r="R4555" s="189">
        <f>ROUNDDOWN(H4579,-2)</f>
        <v>377000</v>
      </c>
      <c r="S4555" s="517" t="s">
        <v>6451</v>
      </c>
      <c r="T4555" s="517" t="s">
        <v>7014</v>
      </c>
    </row>
    <row r="4556" spans="3:20" s="517" customFormat="1" ht="31.2" customHeight="1" thickTop="1">
      <c r="C4556" s="190" t="s">
        <v>1195</v>
      </c>
      <c r="D4556" s="191" t="s">
        <v>1196</v>
      </c>
      <c r="E4556" s="191" t="s">
        <v>1197</v>
      </c>
      <c r="F4556" s="191" t="s">
        <v>1198</v>
      </c>
      <c r="G4556" s="191" t="s">
        <v>1199</v>
      </c>
      <c r="H4556" s="192" t="s">
        <v>1200</v>
      </c>
      <c r="L4556" s="200"/>
      <c r="M4556" s="200"/>
      <c r="N4556" s="200"/>
      <c r="O4556" s="200"/>
      <c r="P4556" s="200"/>
    </row>
    <row r="4557" spans="3:20" s="517" customFormat="1" ht="31.2" customHeight="1">
      <c r="C4557" s="518" t="s">
        <v>1201</v>
      </c>
      <c r="D4557" s="196" t="s">
        <v>1202</v>
      </c>
      <c r="E4557" s="197"/>
      <c r="F4557" s="197"/>
      <c r="G4557" s="197"/>
      <c r="H4557" s="198"/>
      <c r="L4557" s="200"/>
      <c r="M4557" s="200"/>
      <c r="N4557" s="200"/>
      <c r="O4557" s="200"/>
      <c r="P4557" s="200"/>
    </row>
    <row r="4558" spans="3:20" s="517" customFormat="1" ht="31.2" customHeight="1">
      <c r="C4558" s="518">
        <v>1</v>
      </c>
      <c r="D4558" s="196" t="s">
        <v>5</v>
      </c>
      <c r="E4558" s="203" t="s">
        <v>2102</v>
      </c>
      <c r="F4558" s="525">
        <v>0.1</v>
      </c>
      <c r="G4558" s="205">
        <f>VLOOKUP(D4558,upahbahan,3,FALSE)</f>
        <v>100000</v>
      </c>
      <c r="H4558" s="210">
        <f t="shared" ref="H4558:H4561" si="326">F4558*G4558</f>
        <v>10000</v>
      </c>
      <c r="L4558" s="200"/>
      <c r="M4558" s="200"/>
      <c r="N4558" s="200"/>
      <c r="O4558" s="200"/>
      <c r="P4558" s="200"/>
    </row>
    <row r="4559" spans="3:20" s="517" customFormat="1" ht="31.2" customHeight="1">
      <c r="C4559" s="537">
        <v>2</v>
      </c>
      <c r="D4559" s="196" t="s">
        <v>6954</v>
      </c>
      <c r="E4559" s="202" t="s">
        <v>6</v>
      </c>
      <c r="F4559" s="520">
        <v>0.1</v>
      </c>
      <c r="G4559" s="205">
        <f>VLOOKUP(D4559,upahbahan,3,FALSE)</f>
        <v>181250</v>
      </c>
      <c r="H4559" s="210">
        <f t="shared" si="326"/>
        <v>18125</v>
      </c>
      <c r="L4559" s="200"/>
      <c r="M4559" s="200"/>
      <c r="N4559" s="200"/>
      <c r="O4559" s="200"/>
      <c r="P4559" s="200"/>
    </row>
    <row r="4560" spans="3:20" s="517" customFormat="1" ht="31.2" customHeight="1">
      <c r="C4560" s="537">
        <v>3</v>
      </c>
      <c r="D4560" s="196" t="s">
        <v>6948</v>
      </c>
      <c r="E4560" s="202" t="s">
        <v>2102</v>
      </c>
      <c r="F4560" s="520">
        <v>0.05</v>
      </c>
      <c r="G4560" s="205">
        <f>VLOOKUP(D4560,upahbahan,3,FALSE)</f>
        <v>218750</v>
      </c>
      <c r="H4560" s="210">
        <f t="shared" si="326"/>
        <v>10937.5</v>
      </c>
      <c r="L4560" s="200"/>
      <c r="M4560" s="200"/>
      <c r="N4560" s="200"/>
      <c r="O4560" s="200"/>
      <c r="P4560" s="200"/>
    </row>
    <row r="4561" spans="3:16" s="517" customFormat="1" ht="31.2" customHeight="1">
      <c r="C4561" s="537">
        <v>4</v>
      </c>
      <c r="D4561" s="196" t="s">
        <v>19</v>
      </c>
      <c r="E4561" s="202" t="s">
        <v>6</v>
      </c>
      <c r="F4561" s="520">
        <v>1.67E-2</v>
      </c>
      <c r="G4561" s="205">
        <f>VLOOKUP(D4561,upahbahan,3,FALSE)</f>
        <v>160000</v>
      </c>
      <c r="H4561" s="210">
        <f t="shared" si="326"/>
        <v>2672</v>
      </c>
      <c r="L4561" s="200"/>
      <c r="M4561" s="200"/>
      <c r="N4561" s="200"/>
      <c r="O4561" s="200"/>
      <c r="P4561" s="200"/>
    </row>
    <row r="4562" spans="3:16" s="517" customFormat="1" ht="31.2" customHeight="1">
      <c r="C4562" s="207" t="s">
        <v>1208</v>
      </c>
      <c r="D4562" s="208"/>
      <c r="E4562" s="208"/>
      <c r="F4562" s="521"/>
      <c r="G4562" s="522"/>
      <c r="H4562" s="210">
        <f>SUM(H4558:H4561)</f>
        <v>41734.5</v>
      </c>
      <c r="L4562" s="523"/>
      <c r="M4562" s="523"/>
      <c r="N4562" s="523"/>
      <c r="O4562" s="523"/>
      <c r="P4562" s="523"/>
    </row>
    <row r="4563" spans="3:16" s="517" customFormat="1" ht="31.2" customHeight="1">
      <c r="C4563" s="543" t="s">
        <v>1209</v>
      </c>
      <c r="D4563" s="750" t="s">
        <v>1210</v>
      </c>
      <c r="E4563" s="197"/>
      <c r="F4563" s="751"/>
      <c r="G4563" s="197"/>
      <c r="H4563" s="752"/>
      <c r="L4563" s="200"/>
      <c r="M4563" s="200"/>
      <c r="N4563" s="200"/>
      <c r="O4563" s="200"/>
      <c r="P4563" s="200"/>
    </row>
    <row r="4564" spans="3:16" s="517" customFormat="1" ht="31.2" customHeight="1">
      <c r="C4564" s="543">
        <v>1</v>
      </c>
      <c r="D4564" s="750" t="s">
        <v>7355</v>
      </c>
      <c r="E4564" s="203" t="s">
        <v>44</v>
      </c>
      <c r="F4564" s="753">
        <v>1.05</v>
      </c>
      <c r="G4564" s="205">
        <f>VLOOKUP(D4564,upahbahan,3,FALSE)</f>
        <v>0</v>
      </c>
      <c r="H4564" s="210">
        <f t="shared" ref="H4564:H4572" si="327">F4564*G4564</f>
        <v>0</v>
      </c>
      <c r="L4564" s="200"/>
      <c r="M4564" s="200"/>
      <c r="N4564" s="200"/>
      <c r="O4564" s="200"/>
      <c r="P4564" s="200"/>
    </row>
    <row r="4565" spans="3:16" s="517" customFormat="1" ht="31.2" customHeight="1">
      <c r="C4565" s="543">
        <v>2</v>
      </c>
      <c r="D4565" s="750" t="s">
        <v>5563</v>
      </c>
      <c r="E4565" s="203" t="s">
        <v>65</v>
      </c>
      <c r="F4565" s="753">
        <v>0.02</v>
      </c>
      <c r="G4565" s="205">
        <f>VLOOKUP(D4565,upahbahan,3,FALSE)</f>
        <v>0</v>
      </c>
      <c r="H4565" s="210">
        <f t="shared" si="327"/>
        <v>0</v>
      </c>
      <c r="L4565" s="200"/>
      <c r="M4565" s="200"/>
      <c r="N4565" s="200"/>
      <c r="O4565" s="200"/>
      <c r="P4565" s="200"/>
    </row>
    <row r="4566" spans="3:16" s="517" customFormat="1" ht="31.2" customHeight="1">
      <c r="C4566" s="543">
        <v>3</v>
      </c>
      <c r="D4566" s="750" t="s">
        <v>5555</v>
      </c>
      <c r="E4566" s="203"/>
      <c r="F4566" s="753"/>
      <c r="G4566" s="197"/>
      <c r="H4566" s="210">
        <f t="shared" si="327"/>
        <v>0</v>
      </c>
      <c r="L4566" s="200"/>
      <c r="M4566" s="200"/>
      <c r="N4566" s="200"/>
      <c r="O4566" s="200"/>
      <c r="P4566" s="200"/>
    </row>
    <row r="4567" spans="3:16" s="517" customFormat="1" ht="31.2" customHeight="1">
      <c r="C4567" s="754" t="s">
        <v>5293</v>
      </c>
      <c r="D4567" s="750" t="s">
        <v>7209</v>
      </c>
      <c r="E4567" s="203" t="s">
        <v>113</v>
      </c>
      <c r="F4567" s="760">
        <v>18</v>
      </c>
      <c r="G4567" s="205">
        <f>VLOOKUP(D4567,upahbahan,3,FALSE)</f>
        <v>0</v>
      </c>
      <c r="H4567" s="210">
        <f t="shared" si="327"/>
        <v>0</v>
      </c>
      <c r="L4567" s="200"/>
      <c r="M4567" s="200"/>
      <c r="N4567" s="200"/>
      <c r="O4567" s="200"/>
      <c r="P4567" s="200"/>
    </row>
    <row r="4568" spans="3:16" s="517" customFormat="1" ht="31.2" customHeight="1">
      <c r="C4568" s="754" t="s">
        <v>5299</v>
      </c>
      <c r="D4568" s="750" t="s">
        <v>7055</v>
      </c>
      <c r="E4568" s="203" t="s">
        <v>113</v>
      </c>
      <c r="F4568" s="760">
        <v>10</v>
      </c>
      <c r="G4568" s="205">
        <f>VLOOKUP(D4568,upahbahan,3,FALSE)</f>
        <v>0</v>
      </c>
      <c r="H4568" s="210">
        <f t="shared" si="327"/>
        <v>0</v>
      </c>
      <c r="L4568" s="200"/>
      <c r="M4568" s="200"/>
      <c r="N4568" s="200"/>
      <c r="O4568" s="200"/>
      <c r="P4568" s="200"/>
    </row>
    <row r="4569" spans="3:16" s="517" customFormat="1" ht="31.2" customHeight="1">
      <c r="C4569" s="543">
        <v>4</v>
      </c>
      <c r="D4569" s="750" t="s">
        <v>5556</v>
      </c>
      <c r="E4569" s="203"/>
      <c r="F4569" s="753"/>
      <c r="G4569" s="197"/>
      <c r="H4569" s="210">
        <f t="shared" si="327"/>
        <v>0</v>
      </c>
      <c r="L4569" s="200"/>
      <c r="M4569" s="200"/>
      <c r="N4569" s="200"/>
      <c r="O4569" s="200"/>
      <c r="P4569" s="200"/>
    </row>
    <row r="4570" spans="3:16" s="517" customFormat="1" ht="31.2" customHeight="1">
      <c r="C4570" s="754" t="s">
        <v>5293</v>
      </c>
      <c r="D4570" s="750" t="s">
        <v>2084</v>
      </c>
      <c r="E4570" s="203" t="s">
        <v>42</v>
      </c>
      <c r="F4570" s="753">
        <v>0.24399999999999999</v>
      </c>
      <c r="G4570" s="205">
        <f>VLOOKUP(D4570,upahbahan,3,FALSE)</f>
        <v>0</v>
      </c>
      <c r="H4570" s="210">
        <f t="shared" si="327"/>
        <v>0</v>
      </c>
      <c r="L4570" s="200"/>
      <c r="M4570" s="200"/>
      <c r="N4570" s="200"/>
      <c r="O4570" s="200"/>
      <c r="P4570" s="200"/>
    </row>
    <row r="4571" spans="3:16" s="517" customFormat="1" ht="31.2" customHeight="1">
      <c r="C4571" s="754" t="s">
        <v>5299</v>
      </c>
      <c r="D4571" s="750" t="s">
        <v>5566</v>
      </c>
      <c r="E4571" s="203" t="s">
        <v>42</v>
      </c>
      <c r="F4571" s="753">
        <v>6.5000000000000002E-2</v>
      </c>
      <c r="G4571" s="205">
        <f>VLOOKUP(D4571,upahbahan,3,FALSE)</f>
        <v>0</v>
      </c>
      <c r="H4571" s="210">
        <f t="shared" si="327"/>
        <v>0</v>
      </c>
      <c r="L4571" s="200"/>
      <c r="M4571" s="200"/>
      <c r="N4571" s="200"/>
      <c r="O4571" s="200"/>
      <c r="P4571" s="200"/>
    </row>
    <row r="4572" spans="3:16" s="517" customFormat="1" ht="31.2" customHeight="1">
      <c r="C4572" s="754" t="s">
        <v>5558</v>
      </c>
      <c r="D4572" s="750" t="s">
        <v>2325</v>
      </c>
      <c r="E4572" s="203" t="s">
        <v>42</v>
      </c>
      <c r="F4572" s="762">
        <v>1.6E-2</v>
      </c>
      <c r="G4572" s="205">
        <f>VLOOKUP(D4572,upahbahan,3,FALSE)</f>
        <v>0</v>
      </c>
      <c r="H4572" s="210">
        <f t="shared" si="327"/>
        <v>0</v>
      </c>
      <c r="L4572" s="200"/>
      <c r="M4572" s="200"/>
      <c r="N4572" s="200"/>
      <c r="O4572" s="200"/>
      <c r="P4572" s="200"/>
    </row>
    <row r="4573" spans="3:16" s="517" customFormat="1" ht="31.2" customHeight="1">
      <c r="C4573" s="207" t="s">
        <v>1214</v>
      </c>
      <c r="D4573" s="208"/>
      <c r="E4573" s="568"/>
      <c r="F4573" s="208"/>
      <c r="G4573" s="209"/>
      <c r="H4573" s="210">
        <f>SUM(H4564:H4572)</f>
        <v>0</v>
      </c>
      <c r="L4573" s="200"/>
      <c r="M4573" s="200"/>
      <c r="N4573" s="200"/>
      <c r="O4573" s="200"/>
      <c r="P4573" s="200"/>
    </row>
    <row r="4574" spans="3:16" s="517" customFormat="1" ht="31.2" customHeight="1">
      <c r="C4574" s="756" t="s">
        <v>1215</v>
      </c>
      <c r="D4574" s="196" t="s">
        <v>1216</v>
      </c>
      <c r="E4574" s="203"/>
      <c r="F4574" s="197"/>
      <c r="G4574" s="197"/>
      <c r="H4574" s="198"/>
      <c r="L4574" s="200"/>
      <c r="M4574" s="200"/>
      <c r="N4574" s="200"/>
      <c r="O4574" s="200"/>
      <c r="P4574" s="200"/>
    </row>
    <row r="4575" spans="3:16" s="517" customFormat="1" ht="31.2" customHeight="1">
      <c r="C4575" s="543">
        <v>1</v>
      </c>
      <c r="D4575" s="750" t="s">
        <v>7189</v>
      </c>
      <c r="E4575" s="203" t="s">
        <v>2396</v>
      </c>
      <c r="F4575" s="762">
        <v>0.7</v>
      </c>
      <c r="G4575" s="205">
        <f>VLOOKUP(D4575,upahbahan,3,FALSE)</f>
        <v>430000</v>
      </c>
      <c r="H4575" s="210">
        <f t="shared" ref="H4575" si="328">F4575*G4575</f>
        <v>301000</v>
      </c>
      <c r="L4575" s="200"/>
      <c r="M4575" s="200"/>
      <c r="N4575" s="200"/>
      <c r="O4575" s="200"/>
      <c r="P4575" s="200"/>
    </row>
    <row r="4576" spans="3:16" s="517" customFormat="1" ht="31.2" customHeight="1">
      <c r="C4576" s="207" t="s">
        <v>1217</v>
      </c>
      <c r="D4576" s="208"/>
      <c r="E4576" s="208"/>
      <c r="F4576" s="208"/>
      <c r="G4576" s="209"/>
      <c r="H4576" s="240">
        <f>SUM(H4575)</f>
        <v>301000</v>
      </c>
      <c r="L4576" s="200"/>
      <c r="M4576" s="200"/>
      <c r="N4576" s="200"/>
      <c r="O4576" s="200"/>
      <c r="P4576" s="200"/>
    </row>
    <row r="4577" spans="3:20" s="517" customFormat="1" ht="31.2" customHeight="1">
      <c r="C4577" s="223" t="s">
        <v>1218</v>
      </c>
      <c r="D4577" s="224" t="s">
        <v>1219</v>
      </c>
      <c r="E4577" s="225"/>
      <c r="F4577" s="225"/>
      <c r="G4577" s="226"/>
      <c r="H4577" s="210">
        <f>H4576+H4573+H4562</f>
        <v>342734.5</v>
      </c>
      <c r="L4577" s="200"/>
      <c r="M4577" s="200"/>
      <c r="N4577" s="200"/>
      <c r="O4577" s="200"/>
      <c r="P4577" s="200"/>
    </row>
    <row r="4578" spans="3:20" s="517" customFormat="1" ht="31.2" customHeight="1">
      <c r="C4578" s="223" t="s">
        <v>1220</v>
      </c>
      <c r="D4578" s="224" t="s">
        <v>1321</v>
      </c>
      <c r="E4578" s="225"/>
      <c r="F4578" s="226"/>
      <c r="G4578" s="228">
        <v>0.1</v>
      </c>
      <c r="H4578" s="210">
        <f>H4577*G4578</f>
        <v>34273.450000000004</v>
      </c>
      <c r="L4578" s="200"/>
      <c r="M4578" s="200"/>
      <c r="N4578" s="200"/>
      <c r="O4578" s="200"/>
      <c r="P4578" s="200"/>
    </row>
    <row r="4579" spans="3:20" s="517" customFormat="1" ht="31.2" customHeight="1" thickBot="1">
      <c r="C4579" s="229" t="s">
        <v>1221</v>
      </c>
      <c r="D4579" s="230" t="s">
        <v>1222</v>
      </c>
      <c r="E4579" s="231"/>
      <c r="F4579" s="231"/>
      <c r="G4579" s="232"/>
      <c r="H4579" s="233">
        <f>SUM(H4577:H4578)</f>
        <v>377007.95</v>
      </c>
      <c r="L4579" s="200"/>
      <c r="M4579" s="200"/>
      <c r="N4579" s="200"/>
      <c r="O4579" s="200"/>
      <c r="P4579" s="200"/>
    </row>
    <row r="4580" spans="3:20" ht="31.2" customHeight="1" thickTop="1">
      <c r="D4580" s="758" t="s">
        <v>7210</v>
      </c>
    </row>
    <row r="4581" spans="3:20" ht="31.2" customHeight="1">
      <c r="C4581" s="757" t="s">
        <v>6950</v>
      </c>
      <c r="F4581" s="758"/>
      <c r="H4581" s="758" t="s">
        <v>6959</v>
      </c>
    </row>
    <row r="4582" spans="3:20" ht="31.2" customHeight="1">
      <c r="C4582" s="200" t="s">
        <v>6951</v>
      </c>
      <c r="F4582" s="758"/>
    </row>
    <row r="4583" spans="3:20" ht="31.2" customHeight="1">
      <c r="C4583" s="200" t="s">
        <v>6952</v>
      </c>
      <c r="F4583" s="758"/>
    </row>
    <row r="4584" spans="3:20" ht="31.2" customHeight="1">
      <c r="C4584" s="200"/>
      <c r="F4584" s="758"/>
    </row>
    <row r="4585" spans="3:20" s="517" customFormat="1" ht="31.2" customHeight="1" thickBot="1">
      <c r="C4585" s="513" t="s">
        <v>7356</v>
      </c>
      <c r="D4585" s="748" t="s">
        <v>7357</v>
      </c>
      <c r="E4585" s="749"/>
      <c r="F4585" s="748"/>
      <c r="G4585" s="748"/>
      <c r="H4585" s="532"/>
      <c r="I4585" s="532"/>
      <c r="J4585" s="532"/>
      <c r="K4585" s="532"/>
      <c r="M4585" s="189"/>
      <c r="N4585" s="189"/>
      <c r="O4585" s="189"/>
      <c r="P4585" s="189"/>
      <c r="R4585" s="189">
        <f>ROUNDDOWN(H4609,-2)</f>
        <v>377000</v>
      </c>
      <c r="S4585" s="517" t="s">
        <v>6451</v>
      </c>
      <c r="T4585" s="517" t="s">
        <v>7014</v>
      </c>
    </row>
    <row r="4586" spans="3:20" s="517" customFormat="1" ht="31.2" customHeight="1" thickTop="1">
      <c r="C4586" s="190" t="s">
        <v>1195</v>
      </c>
      <c r="D4586" s="191" t="s">
        <v>1196</v>
      </c>
      <c r="E4586" s="191" t="s">
        <v>1197</v>
      </c>
      <c r="F4586" s="191" t="s">
        <v>1198</v>
      </c>
      <c r="G4586" s="191" t="s">
        <v>1199</v>
      </c>
      <c r="H4586" s="192" t="s">
        <v>1200</v>
      </c>
      <c r="L4586" s="200"/>
      <c r="M4586" s="200"/>
      <c r="N4586" s="200"/>
      <c r="O4586" s="200"/>
      <c r="P4586" s="200"/>
    </row>
    <row r="4587" spans="3:20" s="517" customFormat="1" ht="31.2" customHeight="1">
      <c r="C4587" s="518" t="s">
        <v>1201</v>
      </c>
      <c r="D4587" s="196" t="s">
        <v>1202</v>
      </c>
      <c r="E4587" s="197"/>
      <c r="F4587" s="197"/>
      <c r="G4587" s="197"/>
      <c r="H4587" s="198"/>
      <c r="L4587" s="200"/>
      <c r="M4587" s="200"/>
      <c r="N4587" s="200"/>
      <c r="O4587" s="200"/>
      <c r="P4587" s="200"/>
    </row>
    <row r="4588" spans="3:20" s="517" customFormat="1" ht="31.2" customHeight="1">
      <c r="C4588" s="518">
        <v>1</v>
      </c>
      <c r="D4588" s="196" t="s">
        <v>5</v>
      </c>
      <c r="E4588" s="203" t="s">
        <v>2102</v>
      </c>
      <c r="F4588" s="525">
        <v>0.1</v>
      </c>
      <c r="G4588" s="205">
        <f>VLOOKUP(D4588,upahbahan,3,FALSE)</f>
        <v>100000</v>
      </c>
      <c r="H4588" s="210">
        <f t="shared" ref="H4588:H4591" si="329">F4588*G4588</f>
        <v>10000</v>
      </c>
      <c r="L4588" s="200"/>
      <c r="M4588" s="200"/>
      <c r="N4588" s="200"/>
      <c r="O4588" s="200"/>
      <c r="P4588" s="200"/>
    </row>
    <row r="4589" spans="3:20" s="517" customFormat="1" ht="31.2" customHeight="1">
      <c r="C4589" s="537">
        <v>2</v>
      </c>
      <c r="D4589" s="196" t="s">
        <v>6954</v>
      </c>
      <c r="E4589" s="202" t="s">
        <v>6</v>
      </c>
      <c r="F4589" s="520">
        <v>0.1</v>
      </c>
      <c r="G4589" s="205">
        <f>VLOOKUP(D4589,upahbahan,3,FALSE)</f>
        <v>181250</v>
      </c>
      <c r="H4589" s="210">
        <f t="shared" si="329"/>
        <v>18125</v>
      </c>
      <c r="L4589" s="200"/>
      <c r="M4589" s="200"/>
      <c r="N4589" s="200"/>
      <c r="O4589" s="200"/>
      <c r="P4589" s="200"/>
    </row>
    <row r="4590" spans="3:20" s="517" customFormat="1" ht="31.2" customHeight="1">
      <c r="C4590" s="537">
        <v>3</v>
      </c>
      <c r="D4590" s="196" t="s">
        <v>6948</v>
      </c>
      <c r="E4590" s="202" t="s">
        <v>2102</v>
      </c>
      <c r="F4590" s="520">
        <v>0.05</v>
      </c>
      <c r="G4590" s="205">
        <f>VLOOKUP(D4590,upahbahan,3,FALSE)</f>
        <v>218750</v>
      </c>
      <c r="H4590" s="210">
        <f t="shared" si="329"/>
        <v>10937.5</v>
      </c>
      <c r="L4590" s="200"/>
      <c r="M4590" s="200"/>
      <c r="N4590" s="200"/>
      <c r="O4590" s="200"/>
      <c r="P4590" s="200"/>
    </row>
    <row r="4591" spans="3:20" s="517" customFormat="1" ht="31.2" customHeight="1">
      <c r="C4591" s="537">
        <v>4</v>
      </c>
      <c r="D4591" s="196" t="s">
        <v>19</v>
      </c>
      <c r="E4591" s="202" t="s">
        <v>6</v>
      </c>
      <c r="F4591" s="520">
        <v>1.67E-2</v>
      </c>
      <c r="G4591" s="205">
        <f>VLOOKUP(D4591,upahbahan,3,FALSE)</f>
        <v>160000</v>
      </c>
      <c r="H4591" s="210">
        <f t="shared" si="329"/>
        <v>2672</v>
      </c>
      <c r="L4591" s="200"/>
      <c r="M4591" s="200"/>
      <c r="N4591" s="200"/>
      <c r="O4591" s="200"/>
      <c r="P4591" s="200"/>
    </row>
    <row r="4592" spans="3:20" s="517" customFormat="1" ht="31.2" customHeight="1">
      <c r="C4592" s="207" t="s">
        <v>1208</v>
      </c>
      <c r="D4592" s="208"/>
      <c r="E4592" s="208"/>
      <c r="F4592" s="521"/>
      <c r="G4592" s="522"/>
      <c r="H4592" s="210">
        <f>SUM(H4588:H4591)</f>
        <v>41734.5</v>
      </c>
      <c r="L4592" s="523"/>
      <c r="M4592" s="523"/>
      <c r="N4592" s="523"/>
      <c r="O4592" s="523"/>
      <c r="P4592" s="523"/>
    </row>
    <row r="4593" spans="3:16" s="517" customFormat="1" ht="31.2" customHeight="1">
      <c r="C4593" s="543" t="s">
        <v>1209</v>
      </c>
      <c r="D4593" s="750" t="s">
        <v>1210</v>
      </c>
      <c r="E4593" s="197"/>
      <c r="F4593" s="751"/>
      <c r="G4593" s="197"/>
      <c r="H4593" s="752"/>
      <c r="L4593" s="200"/>
      <c r="M4593" s="200"/>
      <c r="N4593" s="200"/>
      <c r="O4593" s="200"/>
      <c r="P4593" s="200"/>
    </row>
    <row r="4594" spans="3:16" s="517" customFormat="1" ht="31.2" customHeight="1">
      <c r="C4594" s="543">
        <v>1</v>
      </c>
      <c r="D4594" s="750" t="s">
        <v>7358</v>
      </c>
      <c r="E4594" s="203" t="s">
        <v>44</v>
      </c>
      <c r="F4594" s="753">
        <v>1.05</v>
      </c>
      <c r="G4594" s="205">
        <f>VLOOKUP(D4594,upahbahan,3,FALSE)</f>
        <v>0</v>
      </c>
      <c r="H4594" s="210">
        <f t="shared" ref="H4594:H4602" si="330">F4594*G4594</f>
        <v>0</v>
      </c>
      <c r="L4594" s="200"/>
      <c r="M4594" s="200"/>
      <c r="N4594" s="200"/>
      <c r="O4594" s="200"/>
      <c r="P4594" s="200"/>
    </row>
    <row r="4595" spans="3:16" s="517" customFormat="1" ht="31.2" customHeight="1">
      <c r="C4595" s="543">
        <v>2</v>
      </c>
      <c r="D4595" s="750" t="s">
        <v>5563</v>
      </c>
      <c r="E4595" s="203" t="s">
        <v>65</v>
      </c>
      <c r="F4595" s="753">
        <v>0.02</v>
      </c>
      <c r="G4595" s="205">
        <f>VLOOKUP(D4595,upahbahan,3,FALSE)</f>
        <v>0</v>
      </c>
      <c r="H4595" s="210">
        <f t="shared" si="330"/>
        <v>0</v>
      </c>
      <c r="L4595" s="200"/>
      <c r="M4595" s="200"/>
      <c r="N4595" s="200"/>
      <c r="O4595" s="200"/>
      <c r="P4595" s="200"/>
    </row>
    <row r="4596" spans="3:16" s="517" customFormat="1" ht="31.2" customHeight="1">
      <c r="C4596" s="543">
        <v>3</v>
      </c>
      <c r="D4596" s="750" t="s">
        <v>5555</v>
      </c>
      <c r="E4596" s="203"/>
      <c r="F4596" s="753"/>
      <c r="G4596" s="197"/>
      <c r="H4596" s="210">
        <f t="shared" si="330"/>
        <v>0</v>
      </c>
      <c r="L4596" s="200"/>
      <c r="M4596" s="200"/>
      <c r="N4596" s="200"/>
      <c r="O4596" s="200"/>
      <c r="P4596" s="200"/>
    </row>
    <row r="4597" spans="3:16" s="517" customFormat="1" ht="31.2" customHeight="1">
      <c r="C4597" s="754" t="s">
        <v>5293</v>
      </c>
      <c r="D4597" s="750" t="s">
        <v>7209</v>
      </c>
      <c r="E4597" s="203" t="s">
        <v>113</v>
      </c>
      <c r="F4597" s="760">
        <v>18</v>
      </c>
      <c r="G4597" s="205">
        <f>VLOOKUP(D4597,upahbahan,3,FALSE)</f>
        <v>0</v>
      </c>
      <c r="H4597" s="210">
        <f t="shared" si="330"/>
        <v>0</v>
      </c>
      <c r="L4597" s="200"/>
      <c r="M4597" s="200"/>
      <c r="N4597" s="200"/>
      <c r="O4597" s="200"/>
      <c r="P4597" s="200"/>
    </row>
    <row r="4598" spans="3:16" s="517" customFormat="1" ht="31.2" customHeight="1">
      <c r="C4598" s="754" t="s">
        <v>5299</v>
      </c>
      <c r="D4598" s="750" t="s">
        <v>7055</v>
      </c>
      <c r="E4598" s="203" t="s">
        <v>113</v>
      </c>
      <c r="F4598" s="760">
        <v>10</v>
      </c>
      <c r="G4598" s="205">
        <f>VLOOKUP(D4598,upahbahan,3,FALSE)</f>
        <v>0</v>
      </c>
      <c r="H4598" s="210">
        <f t="shared" si="330"/>
        <v>0</v>
      </c>
      <c r="L4598" s="200"/>
      <c r="M4598" s="200"/>
      <c r="N4598" s="200"/>
      <c r="O4598" s="200"/>
      <c r="P4598" s="200"/>
    </row>
    <row r="4599" spans="3:16" s="517" customFormat="1" ht="31.2" customHeight="1">
      <c r="C4599" s="543">
        <v>4</v>
      </c>
      <c r="D4599" s="750" t="s">
        <v>5556</v>
      </c>
      <c r="E4599" s="203"/>
      <c r="F4599" s="753"/>
      <c r="G4599" s="197"/>
      <c r="H4599" s="210">
        <f t="shared" si="330"/>
        <v>0</v>
      </c>
      <c r="L4599" s="200"/>
      <c r="M4599" s="200"/>
      <c r="N4599" s="200"/>
      <c r="O4599" s="200"/>
      <c r="P4599" s="200"/>
    </row>
    <row r="4600" spans="3:16" s="517" customFormat="1" ht="31.2" customHeight="1">
      <c r="C4600" s="754" t="s">
        <v>5293</v>
      </c>
      <c r="D4600" s="750" t="s">
        <v>2084</v>
      </c>
      <c r="E4600" s="203" t="s">
        <v>42</v>
      </c>
      <c r="F4600" s="753">
        <v>0.24399999999999999</v>
      </c>
      <c r="G4600" s="205">
        <f>VLOOKUP(D4600,upahbahan,3,FALSE)</f>
        <v>0</v>
      </c>
      <c r="H4600" s="210">
        <f t="shared" si="330"/>
        <v>0</v>
      </c>
      <c r="L4600" s="200"/>
      <c r="M4600" s="200"/>
      <c r="N4600" s="200"/>
      <c r="O4600" s="200"/>
      <c r="P4600" s="200"/>
    </row>
    <row r="4601" spans="3:16" s="517" customFormat="1" ht="31.2" customHeight="1">
      <c r="C4601" s="754" t="s">
        <v>5299</v>
      </c>
      <c r="D4601" s="750" t="s">
        <v>5566</v>
      </c>
      <c r="E4601" s="203" t="s">
        <v>42</v>
      </c>
      <c r="F4601" s="753">
        <v>6.5000000000000002E-2</v>
      </c>
      <c r="G4601" s="205">
        <f>VLOOKUP(D4601,upahbahan,3,FALSE)</f>
        <v>0</v>
      </c>
      <c r="H4601" s="210">
        <f t="shared" si="330"/>
        <v>0</v>
      </c>
      <c r="L4601" s="200"/>
      <c r="M4601" s="200"/>
      <c r="N4601" s="200"/>
      <c r="O4601" s="200"/>
      <c r="P4601" s="200"/>
    </row>
    <row r="4602" spans="3:16" s="517" customFormat="1" ht="31.2" customHeight="1">
      <c r="C4602" s="754" t="s">
        <v>5558</v>
      </c>
      <c r="D4602" s="750" t="s">
        <v>2325</v>
      </c>
      <c r="E4602" s="203" t="s">
        <v>42</v>
      </c>
      <c r="F4602" s="762">
        <v>1.6E-2</v>
      </c>
      <c r="G4602" s="205">
        <f>VLOOKUP(D4602,upahbahan,3,FALSE)</f>
        <v>0</v>
      </c>
      <c r="H4602" s="210">
        <f t="shared" si="330"/>
        <v>0</v>
      </c>
      <c r="L4602" s="200"/>
      <c r="M4602" s="200"/>
      <c r="N4602" s="200"/>
      <c r="O4602" s="200"/>
      <c r="P4602" s="200"/>
    </row>
    <row r="4603" spans="3:16" s="517" customFormat="1" ht="31.2" customHeight="1">
      <c r="C4603" s="207" t="s">
        <v>1214</v>
      </c>
      <c r="D4603" s="208"/>
      <c r="E4603" s="568"/>
      <c r="F4603" s="208"/>
      <c r="G4603" s="209"/>
      <c r="H4603" s="210">
        <f>SUM(H4594:H4602)</f>
        <v>0</v>
      </c>
      <c r="L4603" s="200"/>
      <c r="M4603" s="200"/>
      <c r="N4603" s="200"/>
      <c r="O4603" s="200"/>
      <c r="P4603" s="200"/>
    </row>
    <row r="4604" spans="3:16" s="517" customFormat="1" ht="31.2" customHeight="1">
      <c r="C4604" s="756" t="s">
        <v>1215</v>
      </c>
      <c r="D4604" s="196" t="s">
        <v>1216</v>
      </c>
      <c r="E4604" s="203"/>
      <c r="F4604" s="197"/>
      <c r="G4604" s="197"/>
      <c r="H4604" s="198"/>
      <c r="L4604" s="200"/>
      <c r="M4604" s="200"/>
      <c r="N4604" s="200"/>
      <c r="O4604" s="200"/>
      <c r="P4604" s="200"/>
    </row>
    <row r="4605" spans="3:16" s="517" customFormat="1" ht="31.2" customHeight="1">
      <c r="C4605" s="543">
        <v>1</v>
      </c>
      <c r="D4605" s="750" t="s">
        <v>7189</v>
      </c>
      <c r="E4605" s="203" t="s">
        <v>2396</v>
      </c>
      <c r="F4605" s="762">
        <v>0.7</v>
      </c>
      <c r="G4605" s="205">
        <f>VLOOKUP(D4605,upahbahan,3,FALSE)</f>
        <v>430000</v>
      </c>
      <c r="H4605" s="210">
        <f t="shared" ref="H4605" si="331">F4605*G4605</f>
        <v>301000</v>
      </c>
      <c r="L4605" s="200"/>
      <c r="M4605" s="200"/>
      <c r="N4605" s="200"/>
      <c r="O4605" s="200"/>
      <c r="P4605" s="200"/>
    </row>
    <row r="4606" spans="3:16" s="517" customFormat="1" ht="31.2" customHeight="1">
      <c r="C4606" s="207" t="s">
        <v>1217</v>
      </c>
      <c r="D4606" s="208"/>
      <c r="E4606" s="208"/>
      <c r="F4606" s="208"/>
      <c r="G4606" s="209"/>
      <c r="H4606" s="240">
        <f>SUM(H4605)</f>
        <v>301000</v>
      </c>
      <c r="L4606" s="200"/>
      <c r="M4606" s="200"/>
      <c r="N4606" s="200"/>
      <c r="O4606" s="200"/>
      <c r="P4606" s="200"/>
    </row>
    <row r="4607" spans="3:16" s="517" customFormat="1" ht="31.2" customHeight="1">
      <c r="C4607" s="223" t="s">
        <v>1218</v>
      </c>
      <c r="D4607" s="224" t="s">
        <v>1219</v>
      </c>
      <c r="E4607" s="225"/>
      <c r="F4607" s="225"/>
      <c r="G4607" s="226"/>
      <c r="H4607" s="210">
        <f>H4606+H4603+H4592</f>
        <v>342734.5</v>
      </c>
      <c r="L4607" s="200"/>
      <c r="M4607" s="200"/>
      <c r="N4607" s="200"/>
      <c r="O4607" s="200"/>
      <c r="P4607" s="200"/>
    </row>
    <row r="4608" spans="3:16" s="517" customFormat="1" ht="31.2" customHeight="1">
      <c r="C4608" s="223" t="s">
        <v>1220</v>
      </c>
      <c r="D4608" s="224" t="s">
        <v>1321</v>
      </c>
      <c r="E4608" s="225"/>
      <c r="F4608" s="226"/>
      <c r="G4608" s="228">
        <v>0.1</v>
      </c>
      <c r="H4608" s="210">
        <f>H4607*G4608</f>
        <v>34273.450000000004</v>
      </c>
      <c r="L4608" s="200"/>
      <c r="M4608" s="200"/>
      <c r="N4608" s="200"/>
      <c r="O4608" s="200"/>
      <c r="P4608" s="200"/>
    </row>
    <row r="4609" spans="3:20" s="517" customFormat="1" ht="31.2" customHeight="1" thickBot="1">
      <c r="C4609" s="229" t="s">
        <v>1221</v>
      </c>
      <c r="D4609" s="230" t="s">
        <v>1222</v>
      </c>
      <c r="E4609" s="231"/>
      <c r="F4609" s="231"/>
      <c r="G4609" s="232"/>
      <c r="H4609" s="233">
        <f>SUM(H4607:H4608)</f>
        <v>377007.95</v>
      </c>
      <c r="L4609" s="200"/>
      <c r="M4609" s="200"/>
      <c r="N4609" s="200"/>
      <c r="O4609" s="200"/>
      <c r="P4609" s="200"/>
    </row>
    <row r="4610" spans="3:20" ht="31.2" customHeight="1" thickTop="1">
      <c r="D4610" s="758" t="s">
        <v>7210</v>
      </c>
    </row>
    <row r="4611" spans="3:20" ht="31.2" customHeight="1">
      <c r="C4611" s="757" t="s">
        <v>6950</v>
      </c>
      <c r="F4611" s="758"/>
      <c r="H4611" s="758" t="s">
        <v>6959</v>
      </c>
    </row>
    <row r="4612" spans="3:20" ht="31.2" customHeight="1">
      <c r="C4612" s="200" t="s">
        <v>6951</v>
      </c>
      <c r="F4612" s="758"/>
    </row>
    <row r="4613" spans="3:20" ht="31.2" customHeight="1">
      <c r="C4613" s="200" t="s">
        <v>6952</v>
      </c>
      <c r="F4613" s="758"/>
    </row>
    <row r="4614" spans="3:20" ht="31.2" customHeight="1">
      <c r="C4614" s="200"/>
      <c r="F4614" s="758"/>
    </row>
    <row r="4615" spans="3:20" s="517" customFormat="1" ht="31.2" customHeight="1" thickBot="1">
      <c r="C4615" s="513" t="s">
        <v>7359</v>
      </c>
      <c r="D4615" s="748" t="s">
        <v>7360</v>
      </c>
      <c r="E4615" s="749"/>
      <c r="F4615" s="748"/>
      <c r="G4615" s="748"/>
      <c r="H4615" s="532"/>
      <c r="I4615" s="532"/>
      <c r="J4615" s="532"/>
      <c r="K4615" s="532"/>
      <c r="M4615" s="189"/>
      <c r="N4615" s="189"/>
      <c r="O4615" s="189"/>
      <c r="P4615" s="189"/>
      <c r="R4615" s="189">
        <f>ROUNDDOWN(H4639,-2)</f>
        <v>377000</v>
      </c>
      <c r="S4615" s="517" t="s">
        <v>6451</v>
      </c>
      <c r="T4615" s="517" t="s">
        <v>7014</v>
      </c>
    </row>
    <row r="4616" spans="3:20" s="517" customFormat="1" ht="31.2" customHeight="1" thickTop="1">
      <c r="C4616" s="190" t="s">
        <v>1195</v>
      </c>
      <c r="D4616" s="191" t="s">
        <v>1196</v>
      </c>
      <c r="E4616" s="191" t="s">
        <v>1197</v>
      </c>
      <c r="F4616" s="191" t="s">
        <v>1198</v>
      </c>
      <c r="G4616" s="191" t="s">
        <v>1199</v>
      </c>
      <c r="H4616" s="192" t="s">
        <v>1200</v>
      </c>
      <c r="L4616" s="200"/>
      <c r="M4616" s="200"/>
      <c r="N4616" s="200"/>
      <c r="O4616" s="200"/>
      <c r="P4616" s="200"/>
    </row>
    <row r="4617" spans="3:20" s="517" customFormat="1" ht="31.2" customHeight="1">
      <c r="C4617" s="518" t="s">
        <v>1201</v>
      </c>
      <c r="D4617" s="196" t="s">
        <v>1202</v>
      </c>
      <c r="E4617" s="197"/>
      <c r="F4617" s="197"/>
      <c r="G4617" s="197"/>
      <c r="H4617" s="198"/>
      <c r="L4617" s="200"/>
      <c r="M4617" s="200"/>
      <c r="N4617" s="200"/>
      <c r="O4617" s="200"/>
      <c r="P4617" s="200"/>
    </row>
    <row r="4618" spans="3:20" s="517" customFormat="1" ht="31.2" customHeight="1">
      <c r="C4618" s="518">
        <v>1</v>
      </c>
      <c r="D4618" s="196" t="s">
        <v>5</v>
      </c>
      <c r="E4618" s="203" t="s">
        <v>2102</v>
      </c>
      <c r="F4618" s="525">
        <v>0.1</v>
      </c>
      <c r="G4618" s="205">
        <f>VLOOKUP(D4618,upahbahan,3,FALSE)</f>
        <v>100000</v>
      </c>
      <c r="H4618" s="210">
        <f t="shared" ref="H4618:H4621" si="332">F4618*G4618</f>
        <v>10000</v>
      </c>
      <c r="L4618" s="200"/>
      <c r="M4618" s="200"/>
      <c r="N4618" s="200"/>
      <c r="O4618" s="200"/>
      <c r="P4618" s="200"/>
    </row>
    <row r="4619" spans="3:20" s="517" customFormat="1" ht="31.2" customHeight="1">
      <c r="C4619" s="537">
        <v>2</v>
      </c>
      <c r="D4619" s="196" t="s">
        <v>6954</v>
      </c>
      <c r="E4619" s="202" t="s">
        <v>6</v>
      </c>
      <c r="F4619" s="520">
        <v>0.1</v>
      </c>
      <c r="G4619" s="205">
        <f>VLOOKUP(D4619,upahbahan,3,FALSE)</f>
        <v>181250</v>
      </c>
      <c r="H4619" s="210">
        <f t="shared" si="332"/>
        <v>18125</v>
      </c>
      <c r="L4619" s="200"/>
      <c r="M4619" s="200"/>
      <c r="N4619" s="200"/>
      <c r="O4619" s="200"/>
      <c r="P4619" s="200"/>
    </row>
    <row r="4620" spans="3:20" s="517" customFormat="1" ht="31.2" customHeight="1">
      <c r="C4620" s="537">
        <v>3</v>
      </c>
      <c r="D4620" s="196" t="s">
        <v>6948</v>
      </c>
      <c r="E4620" s="202" t="s">
        <v>2102</v>
      </c>
      <c r="F4620" s="520">
        <v>0.05</v>
      </c>
      <c r="G4620" s="205">
        <f>VLOOKUP(D4620,upahbahan,3,FALSE)</f>
        <v>218750</v>
      </c>
      <c r="H4620" s="210">
        <f t="shared" si="332"/>
        <v>10937.5</v>
      </c>
      <c r="L4620" s="200"/>
      <c r="M4620" s="200"/>
      <c r="N4620" s="200"/>
      <c r="O4620" s="200"/>
      <c r="P4620" s="200"/>
    </row>
    <row r="4621" spans="3:20" s="517" customFormat="1" ht="31.2" customHeight="1">
      <c r="C4621" s="537">
        <v>4</v>
      </c>
      <c r="D4621" s="196" t="s">
        <v>19</v>
      </c>
      <c r="E4621" s="202" t="s">
        <v>6</v>
      </c>
      <c r="F4621" s="520">
        <v>1.67E-2</v>
      </c>
      <c r="G4621" s="205">
        <f>VLOOKUP(D4621,upahbahan,3,FALSE)</f>
        <v>160000</v>
      </c>
      <c r="H4621" s="210">
        <f t="shared" si="332"/>
        <v>2672</v>
      </c>
      <c r="L4621" s="200"/>
      <c r="M4621" s="200"/>
      <c r="N4621" s="200"/>
      <c r="O4621" s="200"/>
      <c r="P4621" s="200"/>
    </row>
    <row r="4622" spans="3:20" s="517" customFormat="1" ht="31.2" customHeight="1">
      <c r="C4622" s="207" t="s">
        <v>1208</v>
      </c>
      <c r="D4622" s="208"/>
      <c r="E4622" s="208"/>
      <c r="F4622" s="521"/>
      <c r="G4622" s="522"/>
      <c r="H4622" s="210">
        <f>SUM(H4618:H4621)</f>
        <v>41734.5</v>
      </c>
      <c r="L4622" s="523"/>
      <c r="M4622" s="523"/>
      <c r="N4622" s="523"/>
      <c r="O4622" s="523"/>
      <c r="P4622" s="523"/>
    </row>
    <row r="4623" spans="3:20" s="517" customFormat="1" ht="31.2" customHeight="1">
      <c r="C4623" s="543" t="s">
        <v>1209</v>
      </c>
      <c r="D4623" s="750" t="s">
        <v>1210</v>
      </c>
      <c r="E4623" s="197"/>
      <c r="F4623" s="751"/>
      <c r="G4623" s="197"/>
      <c r="H4623" s="752"/>
      <c r="L4623" s="200"/>
      <c r="M4623" s="200"/>
      <c r="N4623" s="200"/>
      <c r="O4623" s="200"/>
      <c r="P4623" s="200"/>
    </row>
    <row r="4624" spans="3:20" s="517" customFormat="1" ht="31.2" customHeight="1">
      <c r="C4624" s="543">
        <v>1</v>
      </c>
      <c r="D4624" s="750" t="s">
        <v>7361</v>
      </c>
      <c r="E4624" s="203" t="s">
        <v>44</v>
      </c>
      <c r="F4624" s="753">
        <v>1.05</v>
      </c>
      <c r="G4624" s="205">
        <f>VLOOKUP(D4624,upahbahan,3,FALSE)</f>
        <v>0</v>
      </c>
      <c r="H4624" s="210">
        <f t="shared" ref="H4624:H4632" si="333">F4624*G4624</f>
        <v>0</v>
      </c>
      <c r="L4624" s="200"/>
      <c r="M4624" s="200"/>
      <c r="N4624" s="200"/>
      <c r="O4624" s="200"/>
      <c r="P4624" s="200"/>
    </row>
    <row r="4625" spans="3:16" s="517" customFormat="1" ht="31.2" customHeight="1">
      <c r="C4625" s="543">
        <v>2</v>
      </c>
      <c r="D4625" s="750" t="s">
        <v>5563</v>
      </c>
      <c r="E4625" s="203" t="s">
        <v>65</v>
      </c>
      <c r="F4625" s="753">
        <v>0.02</v>
      </c>
      <c r="G4625" s="205">
        <f>VLOOKUP(D4625,upahbahan,3,FALSE)</f>
        <v>0</v>
      </c>
      <c r="H4625" s="210">
        <f t="shared" si="333"/>
        <v>0</v>
      </c>
      <c r="L4625" s="200"/>
      <c r="M4625" s="200"/>
      <c r="N4625" s="200"/>
      <c r="O4625" s="200"/>
      <c r="P4625" s="200"/>
    </row>
    <row r="4626" spans="3:16" s="517" customFormat="1" ht="31.2" customHeight="1">
      <c r="C4626" s="543">
        <v>3</v>
      </c>
      <c r="D4626" s="750" t="s">
        <v>5555</v>
      </c>
      <c r="E4626" s="203"/>
      <c r="F4626" s="753"/>
      <c r="G4626" s="197"/>
      <c r="H4626" s="210">
        <f t="shared" si="333"/>
        <v>0</v>
      </c>
      <c r="L4626" s="200"/>
      <c r="M4626" s="200"/>
      <c r="N4626" s="200"/>
      <c r="O4626" s="200"/>
      <c r="P4626" s="200"/>
    </row>
    <row r="4627" spans="3:16" s="517" customFormat="1" ht="31.2" customHeight="1">
      <c r="C4627" s="754" t="s">
        <v>5293</v>
      </c>
      <c r="D4627" s="750" t="s">
        <v>7209</v>
      </c>
      <c r="E4627" s="203" t="s">
        <v>113</v>
      </c>
      <c r="F4627" s="760">
        <v>18</v>
      </c>
      <c r="G4627" s="205">
        <f>VLOOKUP(D4627,upahbahan,3,FALSE)</f>
        <v>0</v>
      </c>
      <c r="H4627" s="210">
        <f t="shared" si="333"/>
        <v>0</v>
      </c>
      <c r="L4627" s="200"/>
      <c r="M4627" s="200"/>
      <c r="N4627" s="200"/>
      <c r="O4627" s="200"/>
      <c r="P4627" s="200"/>
    </row>
    <row r="4628" spans="3:16" s="517" customFormat="1" ht="31.2" customHeight="1">
      <c r="C4628" s="754" t="s">
        <v>5299</v>
      </c>
      <c r="D4628" s="750" t="s">
        <v>7055</v>
      </c>
      <c r="E4628" s="203" t="s">
        <v>113</v>
      </c>
      <c r="F4628" s="760">
        <v>10</v>
      </c>
      <c r="G4628" s="205">
        <f>VLOOKUP(D4628,upahbahan,3,FALSE)</f>
        <v>0</v>
      </c>
      <c r="H4628" s="210">
        <f t="shared" si="333"/>
        <v>0</v>
      </c>
      <c r="L4628" s="200"/>
      <c r="M4628" s="200"/>
      <c r="N4628" s="200"/>
      <c r="O4628" s="200"/>
      <c r="P4628" s="200"/>
    </row>
    <row r="4629" spans="3:16" s="517" customFormat="1" ht="31.2" customHeight="1">
      <c r="C4629" s="543">
        <v>4</v>
      </c>
      <c r="D4629" s="750" t="s">
        <v>5556</v>
      </c>
      <c r="E4629" s="203"/>
      <c r="F4629" s="753"/>
      <c r="G4629" s="197"/>
      <c r="H4629" s="210">
        <f t="shared" si="333"/>
        <v>0</v>
      </c>
      <c r="L4629" s="200"/>
      <c r="M4629" s="200"/>
      <c r="N4629" s="200"/>
      <c r="O4629" s="200"/>
      <c r="P4629" s="200"/>
    </row>
    <row r="4630" spans="3:16" s="517" customFormat="1" ht="31.2" customHeight="1">
      <c r="C4630" s="754" t="s">
        <v>5293</v>
      </c>
      <c r="D4630" s="750" t="s">
        <v>2084</v>
      </c>
      <c r="E4630" s="203" t="s">
        <v>42</v>
      </c>
      <c r="F4630" s="753">
        <v>0.24399999999999999</v>
      </c>
      <c r="G4630" s="205">
        <f>VLOOKUP(D4630,upahbahan,3,FALSE)</f>
        <v>0</v>
      </c>
      <c r="H4630" s="210">
        <f t="shared" si="333"/>
        <v>0</v>
      </c>
      <c r="L4630" s="200"/>
      <c r="M4630" s="200"/>
      <c r="N4630" s="200"/>
      <c r="O4630" s="200"/>
      <c r="P4630" s="200"/>
    </row>
    <row r="4631" spans="3:16" s="517" customFormat="1" ht="31.2" customHeight="1">
      <c r="C4631" s="754" t="s">
        <v>5299</v>
      </c>
      <c r="D4631" s="750" t="s">
        <v>5566</v>
      </c>
      <c r="E4631" s="203" t="s">
        <v>42</v>
      </c>
      <c r="F4631" s="753">
        <v>6.5000000000000002E-2</v>
      </c>
      <c r="G4631" s="205">
        <f>VLOOKUP(D4631,upahbahan,3,FALSE)</f>
        <v>0</v>
      </c>
      <c r="H4631" s="210">
        <f t="shared" si="333"/>
        <v>0</v>
      </c>
      <c r="L4631" s="200"/>
      <c r="M4631" s="200"/>
      <c r="N4631" s="200"/>
      <c r="O4631" s="200"/>
      <c r="P4631" s="200"/>
    </row>
    <row r="4632" spans="3:16" s="517" customFormat="1" ht="31.2" customHeight="1">
      <c r="C4632" s="754" t="s">
        <v>5558</v>
      </c>
      <c r="D4632" s="750" t="s">
        <v>2325</v>
      </c>
      <c r="E4632" s="203" t="s">
        <v>42</v>
      </c>
      <c r="F4632" s="762">
        <v>1.6E-2</v>
      </c>
      <c r="G4632" s="205">
        <f>VLOOKUP(D4632,upahbahan,3,FALSE)</f>
        <v>0</v>
      </c>
      <c r="H4632" s="210">
        <f t="shared" si="333"/>
        <v>0</v>
      </c>
      <c r="L4632" s="200"/>
      <c r="M4632" s="200"/>
      <c r="N4632" s="200"/>
      <c r="O4632" s="200"/>
      <c r="P4632" s="200"/>
    </row>
    <row r="4633" spans="3:16" s="517" customFormat="1" ht="31.2" customHeight="1">
      <c r="C4633" s="207" t="s">
        <v>1214</v>
      </c>
      <c r="D4633" s="208"/>
      <c r="E4633" s="568"/>
      <c r="F4633" s="208"/>
      <c r="G4633" s="209"/>
      <c r="H4633" s="210">
        <f>SUM(H4624:H4632)</f>
        <v>0</v>
      </c>
      <c r="L4633" s="200"/>
      <c r="M4633" s="200"/>
      <c r="N4633" s="200"/>
      <c r="O4633" s="200"/>
      <c r="P4633" s="200"/>
    </row>
    <row r="4634" spans="3:16" s="517" customFormat="1" ht="31.2" customHeight="1">
      <c r="C4634" s="756" t="s">
        <v>1215</v>
      </c>
      <c r="D4634" s="196" t="s">
        <v>1216</v>
      </c>
      <c r="E4634" s="203"/>
      <c r="F4634" s="197"/>
      <c r="G4634" s="197"/>
      <c r="H4634" s="198"/>
      <c r="L4634" s="200"/>
      <c r="M4634" s="200"/>
      <c r="N4634" s="200"/>
      <c r="O4634" s="200"/>
      <c r="P4634" s="200"/>
    </row>
    <row r="4635" spans="3:16" s="517" customFormat="1" ht="31.2" customHeight="1">
      <c r="C4635" s="543">
        <v>1</v>
      </c>
      <c r="D4635" s="750" t="s">
        <v>7189</v>
      </c>
      <c r="E4635" s="203" t="s">
        <v>2396</v>
      </c>
      <c r="F4635" s="762">
        <v>0.7</v>
      </c>
      <c r="G4635" s="205">
        <f>VLOOKUP(D4635,upahbahan,3,FALSE)</f>
        <v>430000</v>
      </c>
      <c r="H4635" s="210">
        <f t="shared" ref="H4635" si="334">F4635*G4635</f>
        <v>301000</v>
      </c>
      <c r="L4635" s="200"/>
      <c r="M4635" s="200"/>
      <c r="N4635" s="200"/>
      <c r="O4635" s="200"/>
      <c r="P4635" s="200"/>
    </row>
    <row r="4636" spans="3:16" s="517" customFormat="1" ht="31.2" customHeight="1">
      <c r="C4636" s="207" t="s">
        <v>1217</v>
      </c>
      <c r="D4636" s="208"/>
      <c r="E4636" s="208"/>
      <c r="F4636" s="208"/>
      <c r="G4636" s="209"/>
      <c r="H4636" s="240">
        <f>SUM(H4635)</f>
        <v>301000</v>
      </c>
      <c r="L4636" s="200"/>
      <c r="M4636" s="200"/>
      <c r="N4636" s="200"/>
      <c r="O4636" s="200"/>
      <c r="P4636" s="200"/>
    </row>
    <row r="4637" spans="3:16" s="517" customFormat="1" ht="31.2" customHeight="1">
      <c r="C4637" s="223" t="s">
        <v>1218</v>
      </c>
      <c r="D4637" s="224" t="s">
        <v>1219</v>
      </c>
      <c r="E4637" s="225"/>
      <c r="F4637" s="225"/>
      <c r="G4637" s="226"/>
      <c r="H4637" s="210">
        <f>H4636+H4633+H4622</f>
        <v>342734.5</v>
      </c>
      <c r="L4637" s="200"/>
      <c r="M4637" s="200"/>
      <c r="N4637" s="200"/>
      <c r="O4637" s="200"/>
      <c r="P4637" s="200"/>
    </row>
    <row r="4638" spans="3:16" s="517" customFormat="1" ht="31.2" customHeight="1">
      <c r="C4638" s="223" t="s">
        <v>1220</v>
      </c>
      <c r="D4638" s="224" t="s">
        <v>1321</v>
      </c>
      <c r="E4638" s="225"/>
      <c r="F4638" s="226"/>
      <c r="G4638" s="228">
        <v>0.1</v>
      </c>
      <c r="H4638" s="210">
        <f>H4637*G4638</f>
        <v>34273.450000000004</v>
      </c>
      <c r="L4638" s="200"/>
      <c r="M4638" s="200"/>
      <c r="N4638" s="200"/>
      <c r="O4638" s="200"/>
      <c r="P4638" s="200"/>
    </row>
    <row r="4639" spans="3:16" s="517" customFormat="1" ht="31.2" customHeight="1" thickBot="1">
      <c r="C4639" s="229" t="s">
        <v>1221</v>
      </c>
      <c r="D4639" s="230" t="s">
        <v>1222</v>
      </c>
      <c r="E4639" s="231"/>
      <c r="F4639" s="231"/>
      <c r="G4639" s="232"/>
      <c r="H4639" s="233">
        <f>SUM(H4637:H4638)</f>
        <v>377007.95</v>
      </c>
      <c r="L4639" s="200"/>
      <c r="M4639" s="200"/>
      <c r="N4639" s="200"/>
      <c r="O4639" s="200"/>
      <c r="P4639" s="200"/>
    </row>
    <row r="4640" spans="3:16" ht="31.2" customHeight="1" thickTop="1">
      <c r="D4640" s="758" t="s">
        <v>7210</v>
      </c>
    </row>
    <row r="4641" spans="3:20" ht="31.2" customHeight="1">
      <c r="C4641" s="757" t="s">
        <v>6950</v>
      </c>
      <c r="F4641" s="758"/>
      <c r="H4641" s="758" t="s">
        <v>6959</v>
      </c>
    </row>
    <row r="4642" spans="3:20" ht="31.2" customHeight="1">
      <c r="C4642" s="200" t="s">
        <v>6951</v>
      </c>
      <c r="F4642" s="758"/>
    </row>
    <row r="4643" spans="3:20" ht="31.2" customHeight="1">
      <c r="C4643" s="200" t="s">
        <v>6952</v>
      </c>
      <c r="F4643" s="758"/>
    </row>
    <row r="4644" spans="3:20" ht="31.2" customHeight="1">
      <c r="C4644" s="200"/>
      <c r="F4644" s="758"/>
    </row>
    <row r="4645" spans="3:20" ht="31.2" customHeight="1">
      <c r="C4645" s="199" t="s">
        <v>7362</v>
      </c>
      <c r="D4645" s="187" t="s">
        <v>7363</v>
      </c>
      <c r="F4645" s="758"/>
    </row>
    <row r="4646" spans="3:20" ht="31.2" customHeight="1">
      <c r="C4646" s="199" t="s">
        <v>7364</v>
      </c>
      <c r="D4646" s="187" t="s">
        <v>7365</v>
      </c>
      <c r="F4646" s="758"/>
    </row>
    <row r="4647" spans="3:20" s="517" customFormat="1" ht="31.2" customHeight="1" thickBot="1">
      <c r="C4647" s="513" t="s">
        <v>7369</v>
      </c>
      <c r="D4647" s="748" t="s">
        <v>7366</v>
      </c>
      <c r="E4647" s="749"/>
      <c r="F4647" s="748"/>
      <c r="G4647" s="748"/>
      <c r="H4647" s="532"/>
      <c r="I4647" s="532"/>
      <c r="J4647" s="532"/>
      <c r="K4647" s="532"/>
      <c r="M4647" s="189"/>
      <c r="N4647" s="189"/>
      <c r="O4647" s="189"/>
      <c r="P4647" s="189"/>
      <c r="R4647" s="189">
        <f>ROUNDDOWN(H4666,-2)</f>
        <v>12900</v>
      </c>
      <c r="S4647" s="517" t="s">
        <v>6451</v>
      </c>
      <c r="T4647" s="517" t="s">
        <v>7014</v>
      </c>
    </row>
    <row r="4648" spans="3:20" s="517" customFormat="1" ht="31.2" customHeight="1" thickTop="1">
      <c r="C4648" s="190" t="s">
        <v>1195</v>
      </c>
      <c r="D4648" s="191" t="s">
        <v>1196</v>
      </c>
      <c r="E4648" s="191" t="s">
        <v>1197</v>
      </c>
      <c r="F4648" s="191" t="s">
        <v>1198</v>
      </c>
      <c r="G4648" s="191" t="s">
        <v>1199</v>
      </c>
      <c r="H4648" s="192" t="s">
        <v>1200</v>
      </c>
      <c r="L4648" s="200"/>
      <c r="M4648" s="200"/>
      <c r="N4648" s="200"/>
      <c r="O4648" s="200"/>
      <c r="P4648" s="200"/>
    </row>
    <row r="4649" spans="3:20" s="517" customFormat="1" ht="31.2" customHeight="1">
      <c r="C4649" s="518" t="s">
        <v>1201</v>
      </c>
      <c r="D4649" s="196" t="s">
        <v>1202</v>
      </c>
      <c r="E4649" s="197"/>
      <c r="F4649" s="197"/>
      <c r="G4649" s="197"/>
      <c r="H4649" s="198"/>
      <c r="L4649" s="200"/>
      <c r="M4649" s="200"/>
      <c r="N4649" s="200"/>
      <c r="O4649" s="200"/>
      <c r="P4649" s="200"/>
    </row>
    <row r="4650" spans="3:20" s="517" customFormat="1" ht="31.2" customHeight="1">
      <c r="C4650" s="537">
        <v>1</v>
      </c>
      <c r="D4650" s="196" t="s">
        <v>6954</v>
      </c>
      <c r="E4650" s="202" t="s">
        <v>6</v>
      </c>
      <c r="F4650" s="520">
        <v>0.05</v>
      </c>
      <c r="G4650" s="205">
        <f>VLOOKUP(D4650,upahbahan,3,FALSE)</f>
        <v>181250</v>
      </c>
      <c r="H4650" s="210">
        <f t="shared" ref="H4650:H4652" si="335">F4650*G4650</f>
        <v>9062.5</v>
      </c>
      <c r="L4650" s="200"/>
      <c r="M4650" s="200"/>
      <c r="N4650" s="200"/>
      <c r="O4650" s="200"/>
      <c r="P4650" s="200"/>
    </row>
    <row r="4651" spans="3:20" s="517" customFormat="1" ht="31.2" customHeight="1">
      <c r="C4651" s="537">
        <v>2</v>
      </c>
      <c r="D4651" s="196" t="s">
        <v>6948</v>
      </c>
      <c r="E4651" s="202" t="s">
        <v>2102</v>
      </c>
      <c r="F4651" s="520">
        <v>0.01</v>
      </c>
      <c r="G4651" s="205">
        <f>VLOOKUP(D4651,upahbahan,3,FALSE)</f>
        <v>218750</v>
      </c>
      <c r="H4651" s="210">
        <f t="shared" si="335"/>
        <v>2187.5</v>
      </c>
      <c r="L4651" s="200"/>
      <c r="M4651" s="200"/>
      <c r="N4651" s="200"/>
      <c r="O4651" s="200"/>
      <c r="P4651" s="200"/>
    </row>
    <row r="4652" spans="3:20" s="517" customFormat="1" ht="31.2" customHeight="1">
      <c r="C4652" s="537">
        <v>3</v>
      </c>
      <c r="D4652" s="196" t="s">
        <v>19</v>
      </c>
      <c r="E4652" s="202" t="s">
        <v>6</v>
      </c>
      <c r="F4652" s="520">
        <v>3.3E-3</v>
      </c>
      <c r="G4652" s="205">
        <f>VLOOKUP(D4652,upahbahan,3,FALSE)</f>
        <v>160000</v>
      </c>
      <c r="H4652" s="210">
        <f t="shared" si="335"/>
        <v>528</v>
      </c>
      <c r="L4652" s="200"/>
      <c r="M4652" s="200"/>
      <c r="N4652" s="200"/>
      <c r="O4652" s="200"/>
      <c r="P4652" s="200"/>
    </row>
    <row r="4653" spans="3:20" s="517" customFormat="1" ht="31.2" customHeight="1">
      <c r="C4653" s="207" t="s">
        <v>1208</v>
      </c>
      <c r="D4653" s="208"/>
      <c r="E4653" s="208"/>
      <c r="F4653" s="521"/>
      <c r="G4653" s="522"/>
      <c r="H4653" s="210">
        <f>SUM(H4650:H4652)</f>
        <v>11778</v>
      </c>
      <c r="L4653" s="523"/>
      <c r="M4653" s="523"/>
      <c r="N4653" s="523"/>
      <c r="O4653" s="523"/>
      <c r="P4653" s="523"/>
    </row>
    <row r="4654" spans="3:20" s="517" customFormat="1" ht="31.2" customHeight="1">
      <c r="C4654" s="543" t="s">
        <v>1209</v>
      </c>
      <c r="D4654" s="750" t="s">
        <v>1210</v>
      </c>
      <c r="E4654" s="197"/>
      <c r="F4654" s="751"/>
      <c r="G4654" s="197"/>
      <c r="H4654" s="752"/>
      <c r="L4654" s="200"/>
      <c r="M4654" s="200"/>
      <c r="N4654" s="200"/>
      <c r="O4654" s="200"/>
      <c r="P4654" s="200"/>
    </row>
    <row r="4655" spans="3:20" s="517" customFormat="1" ht="31.2" customHeight="1">
      <c r="C4655" s="543">
        <v>1</v>
      </c>
      <c r="D4655" s="750" t="s">
        <v>7367</v>
      </c>
      <c r="E4655" s="203" t="s">
        <v>44</v>
      </c>
      <c r="F4655" s="753">
        <v>25</v>
      </c>
      <c r="G4655" s="205">
        <f>VLOOKUP(D4655,upahbahan,3,FALSE)</f>
        <v>0</v>
      </c>
      <c r="H4655" s="210">
        <f t="shared" ref="H4655:H4660" si="336">F4655*G4655</f>
        <v>0</v>
      </c>
      <c r="L4655" s="200"/>
      <c r="M4655" s="200"/>
      <c r="N4655" s="200"/>
      <c r="O4655" s="200"/>
      <c r="P4655" s="200"/>
    </row>
    <row r="4656" spans="3:20" s="517" customFormat="1" ht="31.2" customHeight="1">
      <c r="C4656" s="543">
        <v>2</v>
      </c>
      <c r="D4656" s="750" t="s">
        <v>5563</v>
      </c>
      <c r="E4656" s="203" t="s">
        <v>65</v>
      </c>
      <c r="F4656" s="753">
        <v>0.01</v>
      </c>
      <c r="G4656" s="205">
        <f>VLOOKUP(D4656,upahbahan,3,FALSE)</f>
        <v>0</v>
      </c>
      <c r="H4656" s="210">
        <f t="shared" si="336"/>
        <v>0</v>
      </c>
      <c r="L4656" s="200"/>
      <c r="M4656" s="200"/>
      <c r="N4656" s="200"/>
      <c r="O4656" s="200"/>
      <c r="P4656" s="200"/>
    </row>
    <row r="4657" spans="3:20" s="517" customFormat="1" ht="31.2" customHeight="1">
      <c r="C4657" s="543">
        <v>3</v>
      </c>
      <c r="D4657" s="750" t="s">
        <v>5556</v>
      </c>
      <c r="E4657" s="203"/>
      <c r="F4657" s="753"/>
      <c r="G4657" s="197"/>
      <c r="H4657" s="210">
        <f t="shared" si="336"/>
        <v>0</v>
      </c>
      <c r="L4657" s="200"/>
      <c r="M4657" s="200"/>
      <c r="N4657" s="200"/>
      <c r="O4657" s="200"/>
      <c r="P4657" s="200"/>
    </row>
    <row r="4658" spans="3:20" s="517" customFormat="1" ht="31.2" customHeight="1">
      <c r="C4658" s="754" t="s">
        <v>5293</v>
      </c>
      <c r="D4658" s="750" t="s">
        <v>2084</v>
      </c>
      <c r="E4658" s="203" t="s">
        <v>42</v>
      </c>
      <c r="F4658" s="753">
        <v>5.0000000000000001E-3</v>
      </c>
      <c r="G4658" s="205">
        <f>VLOOKUP(D4658,upahbahan,3,FALSE)</f>
        <v>0</v>
      </c>
      <c r="H4658" s="210">
        <f t="shared" si="336"/>
        <v>0</v>
      </c>
      <c r="L4658" s="200"/>
      <c r="M4658" s="200"/>
      <c r="N4658" s="200"/>
      <c r="O4658" s="200"/>
      <c r="P4658" s="200"/>
    </row>
    <row r="4659" spans="3:20" s="517" customFormat="1" ht="31.2" customHeight="1">
      <c r="C4659" s="754" t="s">
        <v>5299</v>
      </c>
      <c r="D4659" s="750" t="s">
        <v>5566</v>
      </c>
      <c r="E4659" s="203" t="s">
        <v>42</v>
      </c>
      <c r="F4659" s="753">
        <v>1E-3</v>
      </c>
      <c r="G4659" s="205">
        <f>VLOOKUP(D4659,upahbahan,3,FALSE)</f>
        <v>0</v>
      </c>
      <c r="H4659" s="210">
        <f t="shared" si="336"/>
        <v>0</v>
      </c>
      <c r="L4659" s="200"/>
      <c r="M4659" s="200"/>
      <c r="N4659" s="200"/>
      <c r="O4659" s="200"/>
      <c r="P4659" s="200"/>
    </row>
    <row r="4660" spans="3:20" s="517" customFormat="1" ht="31.2" customHeight="1">
      <c r="C4660" s="754" t="s">
        <v>5558</v>
      </c>
      <c r="D4660" s="750" t="s">
        <v>2325</v>
      </c>
      <c r="E4660" s="203" t="s">
        <v>42</v>
      </c>
      <c r="F4660" s="764">
        <v>3.2499999999999999E-4</v>
      </c>
      <c r="G4660" s="205">
        <f>VLOOKUP(D4660,upahbahan,3,FALSE)</f>
        <v>0</v>
      </c>
      <c r="H4660" s="210">
        <f t="shared" si="336"/>
        <v>0</v>
      </c>
      <c r="L4660" s="200"/>
      <c r="M4660" s="200"/>
      <c r="N4660" s="200"/>
      <c r="O4660" s="200"/>
      <c r="P4660" s="200"/>
    </row>
    <row r="4661" spans="3:20" s="517" customFormat="1" ht="31.2" customHeight="1">
      <c r="C4661" s="207" t="s">
        <v>1214</v>
      </c>
      <c r="D4661" s="208"/>
      <c r="E4661" s="568"/>
      <c r="F4661" s="208"/>
      <c r="G4661" s="209"/>
      <c r="H4661" s="210">
        <f>SUM(H4655:H4660)</f>
        <v>0</v>
      </c>
      <c r="L4661" s="200"/>
      <c r="M4661" s="200"/>
      <c r="N4661" s="200"/>
      <c r="O4661" s="200"/>
      <c r="P4661" s="200"/>
    </row>
    <row r="4662" spans="3:20" s="517" customFormat="1" ht="31.2" customHeight="1">
      <c r="C4662" s="756" t="s">
        <v>1215</v>
      </c>
      <c r="D4662" s="196" t="s">
        <v>1216</v>
      </c>
      <c r="E4662" s="203"/>
      <c r="F4662" s="197"/>
      <c r="G4662" s="197"/>
      <c r="H4662" s="198"/>
      <c r="L4662" s="200"/>
      <c r="M4662" s="200"/>
      <c r="N4662" s="200"/>
      <c r="O4662" s="200"/>
      <c r="P4662" s="200"/>
    </row>
    <row r="4663" spans="3:20" s="517" customFormat="1" ht="31.2" customHeight="1">
      <c r="C4663" s="207" t="s">
        <v>1217</v>
      </c>
      <c r="D4663" s="208"/>
      <c r="E4663" s="208"/>
      <c r="F4663" s="208"/>
      <c r="G4663" s="209"/>
      <c r="H4663" s="240">
        <f>SUM(H4662)</f>
        <v>0</v>
      </c>
      <c r="L4663" s="200"/>
      <c r="M4663" s="200"/>
      <c r="N4663" s="200"/>
      <c r="O4663" s="200"/>
      <c r="P4663" s="200"/>
    </row>
    <row r="4664" spans="3:20" s="517" customFormat="1" ht="31.2" customHeight="1">
      <c r="C4664" s="223" t="s">
        <v>1218</v>
      </c>
      <c r="D4664" s="224" t="s">
        <v>1219</v>
      </c>
      <c r="E4664" s="225"/>
      <c r="F4664" s="225"/>
      <c r="G4664" s="226"/>
      <c r="H4664" s="210">
        <f>H4663+H4661+H4653</f>
        <v>11778</v>
      </c>
      <c r="L4664" s="200"/>
      <c r="M4664" s="200"/>
      <c r="N4664" s="200"/>
      <c r="O4664" s="200"/>
      <c r="P4664" s="200"/>
    </row>
    <row r="4665" spans="3:20" s="517" customFormat="1" ht="31.2" customHeight="1">
      <c r="C4665" s="223" t="s">
        <v>1220</v>
      </c>
      <c r="D4665" s="224" t="s">
        <v>1321</v>
      </c>
      <c r="E4665" s="225"/>
      <c r="F4665" s="226"/>
      <c r="G4665" s="228">
        <v>0.1</v>
      </c>
      <c r="H4665" s="210">
        <f>H4664*G4665</f>
        <v>1177.8</v>
      </c>
      <c r="L4665" s="200"/>
      <c r="M4665" s="200"/>
      <c r="N4665" s="200"/>
      <c r="O4665" s="200"/>
      <c r="P4665" s="200"/>
    </row>
    <row r="4666" spans="3:20" s="517" customFormat="1" ht="31.2" customHeight="1" thickBot="1">
      <c r="C4666" s="229" t="s">
        <v>1221</v>
      </c>
      <c r="D4666" s="230" t="s">
        <v>1222</v>
      </c>
      <c r="E4666" s="231"/>
      <c r="F4666" s="231"/>
      <c r="G4666" s="232"/>
      <c r="H4666" s="233">
        <f>SUM(H4664:H4665)</f>
        <v>12955.8</v>
      </c>
      <c r="L4666" s="200"/>
      <c r="M4666" s="200"/>
      <c r="N4666" s="200"/>
      <c r="O4666" s="200"/>
      <c r="P4666" s="200"/>
    </row>
    <row r="4667" spans="3:20" ht="31.2" customHeight="1" thickTop="1">
      <c r="D4667" s="758"/>
    </row>
    <row r="4668" spans="3:20" ht="31.2" customHeight="1">
      <c r="C4668" s="757" t="s">
        <v>6950</v>
      </c>
      <c r="F4668" s="758"/>
      <c r="H4668" s="758" t="s">
        <v>6959</v>
      </c>
    </row>
    <row r="4669" spans="3:20" ht="31.2" customHeight="1">
      <c r="C4669" s="200" t="s">
        <v>6951</v>
      </c>
      <c r="F4669" s="758"/>
    </row>
    <row r="4670" spans="3:20" ht="31.2" customHeight="1">
      <c r="C4670" s="200" t="s">
        <v>6952</v>
      </c>
      <c r="F4670" s="758"/>
    </row>
    <row r="4671" spans="3:20" ht="31.2" customHeight="1">
      <c r="C4671" s="200"/>
      <c r="F4671" s="758"/>
    </row>
    <row r="4672" spans="3:20" s="517" customFormat="1" ht="31.2" customHeight="1" thickBot="1">
      <c r="C4672" s="513" t="s">
        <v>7370</v>
      </c>
      <c r="D4672" s="748" t="s">
        <v>7368</v>
      </c>
      <c r="E4672" s="749"/>
      <c r="F4672" s="748"/>
      <c r="G4672" s="748"/>
      <c r="H4672" s="532"/>
      <c r="I4672" s="532"/>
      <c r="J4672" s="532"/>
      <c r="K4672" s="532"/>
      <c r="M4672" s="189"/>
      <c r="N4672" s="189"/>
      <c r="O4672" s="189"/>
      <c r="P4672" s="189"/>
      <c r="R4672" s="189">
        <f>ROUNDDOWN(H4691,-2)</f>
        <v>12900</v>
      </c>
      <c r="S4672" s="517" t="s">
        <v>6451</v>
      </c>
      <c r="T4672" s="517" t="s">
        <v>7014</v>
      </c>
    </row>
    <row r="4673" spans="3:16" s="517" customFormat="1" ht="31.2" customHeight="1" thickTop="1">
      <c r="C4673" s="190" t="s">
        <v>1195</v>
      </c>
      <c r="D4673" s="191" t="s">
        <v>1196</v>
      </c>
      <c r="E4673" s="191" t="s">
        <v>1197</v>
      </c>
      <c r="F4673" s="191" t="s">
        <v>1198</v>
      </c>
      <c r="G4673" s="191" t="s">
        <v>1199</v>
      </c>
      <c r="H4673" s="192" t="s">
        <v>1200</v>
      </c>
      <c r="L4673" s="200"/>
      <c r="M4673" s="200"/>
      <c r="N4673" s="200"/>
      <c r="O4673" s="200"/>
      <c r="P4673" s="200"/>
    </row>
    <row r="4674" spans="3:16" s="517" customFormat="1" ht="31.2" customHeight="1">
      <c r="C4674" s="518" t="s">
        <v>1201</v>
      </c>
      <c r="D4674" s="196" t="s">
        <v>1202</v>
      </c>
      <c r="E4674" s="197"/>
      <c r="F4674" s="197"/>
      <c r="G4674" s="197"/>
      <c r="H4674" s="198"/>
      <c r="L4674" s="200"/>
      <c r="M4674" s="200"/>
      <c r="N4674" s="200"/>
      <c r="O4674" s="200"/>
      <c r="P4674" s="200"/>
    </row>
    <row r="4675" spans="3:16" s="517" customFormat="1" ht="31.2" customHeight="1">
      <c r="C4675" s="537">
        <v>1</v>
      </c>
      <c r="D4675" s="196" t="s">
        <v>6954</v>
      </c>
      <c r="E4675" s="202" t="s">
        <v>6</v>
      </c>
      <c r="F4675" s="520">
        <v>0.05</v>
      </c>
      <c r="G4675" s="205">
        <f>VLOOKUP(D4675,upahbahan,3,FALSE)</f>
        <v>181250</v>
      </c>
      <c r="H4675" s="210">
        <f t="shared" ref="H4675:H4677" si="337">F4675*G4675</f>
        <v>9062.5</v>
      </c>
      <c r="L4675" s="200"/>
      <c r="M4675" s="200"/>
      <c r="N4675" s="200"/>
      <c r="O4675" s="200"/>
      <c r="P4675" s="200"/>
    </row>
    <row r="4676" spans="3:16" s="517" customFormat="1" ht="31.2" customHeight="1">
      <c r="C4676" s="537">
        <v>2</v>
      </c>
      <c r="D4676" s="196" t="s">
        <v>6948</v>
      </c>
      <c r="E4676" s="202" t="s">
        <v>2102</v>
      </c>
      <c r="F4676" s="520">
        <v>0.01</v>
      </c>
      <c r="G4676" s="205">
        <f>VLOOKUP(D4676,upahbahan,3,FALSE)</f>
        <v>218750</v>
      </c>
      <c r="H4676" s="210">
        <f t="shared" si="337"/>
        <v>2187.5</v>
      </c>
      <c r="L4676" s="200"/>
      <c r="M4676" s="200"/>
      <c r="N4676" s="200"/>
      <c r="O4676" s="200"/>
      <c r="P4676" s="200"/>
    </row>
    <row r="4677" spans="3:16" s="517" customFormat="1" ht="31.2" customHeight="1">
      <c r="C4677" s="537">
        <v>3</v>
      </c>
      <c r="D4677" s="196" t="s">
        <v>19</v>
      </c>
      <c r="E4677" s="202" t="s">
        <v>6</v>
      </c>
      <c r="F4677" s="520">
        <v>3.3E-3</v>
      </c>
      <c r="G4677" s="205">
        <f>VLOOKUP(D4677,upahbahan,3,FALSE)</f>
        <v>160000</v>
      </c>
      <c r="H4677" s="210">
        <f t="shared" si="337"/>
        <v>528</v>
      </c>
      <c r="L4677" s="200"/>
      <c r="M4677" s="200"/>
      <c r="N4677" s="200"/>
      <c r="O4677" s="200"/>
      <c r="P4677" s="200"/>
    </row>
    <row r="4678" spans="3:16" s="517" customFormat="1" ht="31.2" customHeight="1">
      <c r="C4678" s="207" t="s">
        <v>1208</v>
      </c>
      <c r="D4678" s="208"/>
      <c r="E4678" s="208"/>
      <c r="F4678" s="521"/>
      <c r="G4678" s="522"/>
      <c r="H4678" s="210">
        <f>SUM(H4675:H4677)</f>
        <v>11778</v>
      </c>
      <c r="L4678" s="523"/>
      <c r="M4678" s="523"/>
      <c r="N4678" s="523"/>
      <c r="O4678" s="523"/>
      <c r="P4678" s="523"/>
    </row>
    <row r="4679" spans="3:16" s="517" customFormat="1" ht="31.2" customHeight="1">
      <c r="C4679" s="543" t="s">
        <v>1209</v>
      </c>
      <c r="D4679" s="750" t="s">
        <v>1210</v>
      </c>
      <c r="E4679" s="197"/>
      <c r="F4679" s="751"/>
      <c r="G4679" s="197"/>
      <c r="H4679" s="752"/>
      <c r="L4679" s="200"/>
      <c r="M4679" s="200"/>
      <c r="N4679" s="200"/>
      <c r="O4679" s="200"/>
      <c r="P4679" s="200"/>
    </row>
    <row r="4680" spans="3:16" s="517" customFormat="1" ht="31.2" customHeight="1">
      <c r="C4680" s="543">
        <v>1</v>
      </c>
      <c r="D4680" s="750" t="s">
        <v>7371</v>
      </c>
      <c r="E4680" s="203" t="s">
        <v>44</v>
      </c>
      <c r="F4680" s="753">
        <v>25</v>
      </c>
      <c r="G4680" s="205">
        <f>VLOOKUP(D4680,upahbahan,3,FALSE)</f>
        <v>0</v>
      </c>
      <c r="H4680" s="210">
        <f t="shared" ref="H4680:H4685" si="338">F4680*G4680</f>
        <v>0</v>
      </c>
      <c r="L4680" s="200"/>
      <c r="M4680" s="200"/>
      <c r="N4680" s="200"/>
      <c r="O4680" s="200"/>
      <c r="P4680" s="200"/>
    </row>
    <row r="4681" spans="3:16" s="517" customFormat="1" ht="31.2" customHeight="1">
      <c r="C4681" s="543">
        <v>2</v>
      </c>
      <c r="D4681" s="750" t="s">
        <v>5563</v>
      </c>
      <c r="E4681" s="203" t="s">
        <v>65</v>
      </c>
      <c r="F4681" s="753">
        <v>0.01</v>
      </c>
      <c r="G4681" s="205">
        <f>VLOOKUP(D4681,upahbahan,3,FALSE)</f>
        <v>0</v>
      </c>
      <c r="H4681" s="210">
        <f t="shared" si="338"/>
        <v>0</v>
      </c>
      <c r="L4681" s="200"/>
      <c r="M4681" s="200"/>
      <c r="N4681" s="200"/>
      <c r="O4681" s="200"/>
      <c r="P4681" s="200"/>
    </row>
    <row r="4682" spans="3:16" s="517" customFormat="1" ht="31.2" customHeight="1">
      <c r="C4682" s="543">
        <v>3</v>
      </c>
      <c r="D4682" s="750" t="s">
        <v>5556</v>
      </c>
      <c r="E4682" s="203"/>
      <c r="F4682" s="753"/>
      <c r="G4682" s="197"/>
      <c r="H4682" s="210">
        <f t="shared" si="338"/>
        <v>0</v>
      </c>
      <c r="L4682" s="200"/>
      <c r="M4682" s="200"/>
      <c r="N4682" s="200"/>
      <c r="O4682" s="200"/>
      <c r="P4682" s="200"/>
    </row>
    <row r="4683" spans="3:16" s="517" customFormat="1" ht="31.2" customHeight="1">
      <c r="C4683" s="754" t="s">
        <v>5293</v>
      </c>
      <c r="D4683" s="750" t="s">
        <v>2084</v>
      </c>
      <c r="E4683" s="203" t="s">
        <v>42</v>
      </c>
      <c r="F4683" s="753">
        <v>5.0000000000000001E-3</v>
      </c>
      <c r="G4683" s="205">
        <f>VLOOKUP(D4683,upahbahan,3,FALSE)</f>
        <v>0</v>
      </c>
      <c r="H4683" s="210">
        <f t="shared" si="338"/>
        <v>0</v>
      </c>
      <c r="L4683" s="200"/>
      <c r="M4683" s="200"/>
      <c r="N4683" s="200"/>
      <c r="O4683" s="200"/>
      <c r="P4683" s="200"/>
    </row>
    <row r="4684" spans="3:16" s="517" customFormat="1" ht="31.2" customHeight="1">
      <c r="C4684" s="754" t="s">
        <v>5299</v>
      </c>
      <c r="D4684" s="750" t="s">
        <v>5566</v>
      </c>
      <c r="E4684" s="203" t="s">
        <v>42</v>
      </c>
      <c r="F4684" s="753">
        <v>1E-3</v>
      </c>
      <c r="G4684" s="205">
        <f>VLOOKUP(D4684,upahbahan,3,FALSE)</f>
        <v>0</v>
      </c>
      <c r="H4684" s="210">
        <f t="shared" si="338"/>
        <v>0</v>
      </c>
      <c r="L4684" s="200"/>
      <c r="M4684" s="200"/>
      <c r="N4684" s="200"/>
      <c r="O4684" s="200"/>
      <c r="P4684" s="200"/>
    </row>
    <row r="4685" spans="3:16" s="517" customFormat="1" ht="31.2" customHeight="1">
      <c r="C4685" s="754" t="s">
        <v>5558</v>
      </c>
      <c r="D4685" s="750" t="s">
        <v>2325</v>
      </c>
      <c r="E4685" s="203" t="s">
        <v>42</v>
      </c>
      <c r="F4685" s="764">
        <v>3.2499999999999999E-4</v>
      </c>
      <c r="G4685" s="205">
        <f>VLOOKUP(D4685,upahbahan,3,FALSE)</f>
        <v>0</v>
      </c>
      <c r="H4685" s="210">
        <f t="shared" si="338"/>
        <v>0</v>
      </c>
      <c r="L4685" s="200"/>
      <c r="M4685" s="200"/>
      <c r="N4685" s="200"/>
      <c r="O4685" s="200"/>
      <c r="P4685" s="200"/>
    </row>
    <row r="4686" spans="3:16" s="517" customFormat="1" ht="31.2" customHeight="1">
      <c r="C4686" s="207" t="s">
        <v>1214</v>
      </c>
      <c r="D4686" s="208"/>
      <c r="E4686" s="568"/>
      <c r="F4686" s="208"/>
      <c r="G4686" s="209"/>
      <c r="H4686" s="210">
        <f>SUM(H4680:H4685)</f>
        <v>0</v>
      </c>
      <c r="L4686" s="200"/>
      <c r="M4686" s="200"/>
      <c r="N4686" s="200"/>
      <c r="O4686" s="200"/>
      <c r="P4686" s="200"/>
    </row>
    <row r="4687" spans="3:16" s="517" customFormat="1" ht="31.2" customHeight="1">
      <c r="C4687" s="756" t="s">
        <v>1215</v>
      </c>
      <c r="D4687" s="196" t="s">
        <v>1216</v>
      </c>
      <c r="E4687" s="203"/>
      <c r="F4687" s="197"/>
      <c r="G4687" s="197"/>
      <c r="H4687" s="198"/>
      <c r="L4687" s="200"/>
      <c r="M4687" s="200"/>
      <c r="N4687" s="200"/>
      <c r="O4687" s="200"/>
      <c r="P4687" s="200"/>
    </row>
    <row r="4688" spans="3:16" s="517" customFormat="1" ht="31.2" customHeight="1">
      <c r="C4688" s="207" t="s">
        <v>1217</v>
      </c>
      <c r="D4688" s="208"/>
      <c r="E4688" s="208"/>
      <c r="F4688" s="208"/>
      <c r="G4688" s="209"/>
      <c r="H4688" s="240">
        <f>SUM(H4687)</f>
        <v>0</v>
      </c>
      <c r="L4688" s="200"/>
      <c r="M4688" s="200"/>
      <c r="N4688" s="200"/>
      <c r="O4688" s="200"/>
      <c r="P4688" s="200"/>
    </row>
    <row r="4689" spans="3:20" s="517" customFormat="1" ht="31.2" customHeight="1">
      <c r="C4689" s="223" t="s">
        <v>1218</v>
      </c>
      <c r="D4689" s="224" t="s">
        <v>1219</v>
      </c>
      <c r="E4689" s="225"/>
      <c r="F4689" s="225"/>
      <c r="G4689" s="226"/>
      <c r="H4689" s="210">
        <f>H4688+H4686+H4678</f>
        <v>11778</v>
      </c>
      <c r="L4689" s="200"/>
      <c r="M4689" s="200"/>
      <c r="N4689" s="200"/>
      <c r="O4689" s="200"/>
      <c r="P4689" s="200"/>
    </row>
    <row r="4690" spans="3:20" s="517" customFormat="1" ht="31.2" customHeight="1">
      <c r="C4690" s="223" t="s">
        <v>1220</v>
      </c>
      <c r="D4690" s="224" t="s">
        <v>1321</v>
      </c>
      <c r="E4690" s="225"/>
      <c r="F4690" s="226"/>
      <c r="G4690" s="228">
        <v>0.1</v>
      </c>
      <c r="H4690" s="210">
        <f>H4689*G4690</f>
        <v>1177.8</v>
      </c>
      <c r="L4690" s="200"/>
      <c r="M4690" s="200"/>
      <c r="N4690" s="200"/>
      <c r="O4690" s="200"/>
      <c r="P4690" s="200"/>
    </row>
    <row r="4691" spans="3:20" s="517" customFormat="1" ht="31.2" customHeight="1" thickBot="1">
      <c r="C4691" s="229" t="s">
        <v>1221</v>
      </c>
      <c r="D4691" s="230" t="s">
        <v>1222</v>
      </c>
      <c r="E4691" s="231"/>
      <c r="F4691" s="231"/>
      <c r="G4691" s="232"/>
      <c r="H4691" s="233">
        <f>SUM(H4689:H4690)</f>
        <v>12955.8</v>
      </c>
      <c r="L4691" s="200"/>
      <c r="M4691" s="200"/>
      <c r="N4691" s="200"/>
      <c r="O4691" s="200"/>
      <c r="P4691" s="200"/>
    </row>
    <row r="4692" spans="3:20" ht="31.2" customHeight="1" thickTop="1">
      <c r="D4692" s="758"/>
    </row>
    <row r="4693" spans="3:20" ht="31.2" customHeight="1">
      <c r="C4693" s="757" t="s">
        <v>6950</v>
      </c>
      <c r="F4693" s="758"/>
      <c r="H4693" s="758" t="s">
        <v>6959</v>
      </c>
    </row>
    <row r="4694" spans="3:20" ht="31.2" customHeight="1">
      <c r="C4694" s="200" t="s">
        <v>6951</v>
      </c>
      <c r="F4694" s="758"/>
    </row>
    <row r="4695" spans="3:20" ht="31.2" customHeight="1">
      <c r="C4695" s="200" t="s">
        <v>6952</v>
      </c>
      <c r="F4695" s="758"/>
    </row>
    <row r="4696" spans="3:20" ht="31.2" customHeight="1">
      <c r="C4696" s="200"/>
      <c r="F4696" s="758"/>
    </row>
    <row r="4697" spans="3:20" s="517" customFormat="1" ht="31.2" customHeight="1" thickBot="1">
      <c r="C4697" s="513" t="s">
        <v>7372</v>
      </c>
      <c r="D4697" s="748" t="s">
        <v>7373</v>
      </c>
      <c r="E4697" s="749"/>
      <c r="F4697" s="748"/>
      <c r="G4697" s="748"/>
      <c r="H4697" s="532"/>
      <c r="I4697" s="532"/>
      <c r="J4697" s="532"/>
      <c r="K4697" s="532"/>
      <c r="M4697" s="189"/>
      <c r="N4697" s="189"/>
      <c r="O4697" s="189"/>
      <c r="P4697" s="189"/>
      <c r="R4697" s="189">
        <f>ROUNDDOWN(H4716,-2)</f>
        <v>12900</v>
      </c>
      <c r="S4697" s="517" t="s">
        <v>6451</v>
      </c>
      <c r="T4697" s="517" t="s">
        <v>7014</v>
      </c>
    </row>
    <row r="4698" spans="3:20" s="517" customFormat="1" ht="31.2" customHeight="1" thickTop="1">
      <c r="C4698" s="190" t="s">
        <v>1195</v>
      </c>
      <c r="D4698" s="191" t="s">
        <v>1196</v>
      </c>
      <c r="E4698" s="191" t="s">
        <v>1197</v>
      </c>
      <c r="F4698" s="191" t="s">
        <v>1198</v>
      </c>
      <c r="G4698" s="191" t="s">
        <v>1199</v>
      </c>
      <c r="H4698" s="192" t="s">
        <v>1200</v>
      </c>
      <c r="L4698" s="200"/>
      <c r="M4698" s="200"/>
      <c r="N4698" s="200"/>
      <c r="O4698" s="200"/>
      <c r="P4698" s="200"/>
    </row>
    <row r="4699" spans="3:20" s="517" customFormat="1" ht="31.2" customHeight="1">
      <c r="C4699" s="518" t="s">
        <v>1201</v>
      </c>
      <c r="D4699" s="196" t="s">
        <v>1202</v>
      </c>
      <c r="E4699" s="197"/>
      <c r="F4699" s="197"/>
      <c r="G4699" s="197"/>
      <c r="H4699" s="198"/>
      <c r="L4699" s="200"/>
      <c r="M4699" s="200"/>
      <c r="N4699" s="200"/>
      <c r="O4699" s="200"/>
      <c r="P4699" s="200"/>
    </row>
    <row r="4700" spans="3:20" s="517" customFormat="1" ht="31.2" customHeight="1">
      <c r="C4700" s="537">
        <v>1</v>
      </c>
      <c r="D4700" s="196" t="s">
        <v>6954</v>
      </c>
      <c r="E4700" s="202" t="s">
        <v>6</v>
      </c>
      <c r="F4700" s="520">
        <v>0.05</v>
      </c>
      <c r="G4700" s="205">
        <f>VLOOKUP(D4700,upahbahan,3,FALSE)</f>
        <v>181250</v>
      </c>
      <c r="H4700" s="210">
        <f t="shared" ref="H4700:H4702" si="339">F4700*G4700</f>
        <v>9062.5</v>
      </c>
      <c r="L4700" s="200"/>
      <c r="M4700" s="200"/>
      <c r="N4700" s="200"/>
      <c r="O4700" s="200"/>
      <c r="P4700" s="200"/>
    </row>
    <row r="4701" spans="3:20" s="517" customFormat="1" ht="31.2" customHeight="1">
      <c r="C4701" s="537">
        <v>2</v>
      </c>
      <c r="D4701" s="196" t="s">
        <v>6948</v>
      </c>
      <c r="E4701" s="202" t="s">
        <v>2102</v>
      </c>
      <c r="F4701" s="520">
        <v>0.01</v>
      </c>
      <c r="G4701" s="205">
        <f>VLOOKUP(D4701,upahbahan,3,FALSE)</f>
        <v>218750</v>
      </c>
      <c r="H4701" s="210">
        <f t="shared" si="339"/>
        <v>2187.5</v>
      </c>
      <c r="L4701" s="200"/>
      <c r="M4701" s="200"/>
      <c r="N4701" s="200"/>
      <c r="O4701" s="200"/>
      <c r="P4701" s="200"/>
    </row>
    <row r="4702" spans="3:20" s="517" customFormat="1" ht="31.2" customHeight="1">
      <c r="C4702" s="537">
        <v>3</v>
      </c>
      <c r="D4702" s="196" t="s">
        <v>19</v>
      </c>
      <c r="E4702" s="202" t="s">
        <v>6</v>
      </c>
      <c r="F4702" s="520">
        <v>3.3E-3</v>
      </c>
      <c r="G4702" s="205">
        <f>VLOOKUP(D4702,upahbahan,3,FALSE)</f>
        <v>160000</v>
      </c>
      <c r="H4702" s="210">
        <f t="shared" si="339"/>
        <v>528</v>
      </c>
      <c r="L4702" s="200"/>
      <c r="M4702" s="200"/>
      <c r="N4702" s="200"/>
      <c r="O4702" s="200"/>
      <c r="P4702" s="200"/>
    </row>
    <row r="4703" spans="3:20" s="517" customFormat="1" ht="31.2" customHeight="1">
      <c r="C4703" s="207" t="s">
        <v>1208</v>
      </c>
      <c r="D4703" s="208"/>
      <c r="E4703" s="208"/>
      <c r="F4703" s="521"/>
      <c r="G4703" s="522"/>
      <c r="H4703" s="210">
        <f>SUM(H4700:H4702)</f>
        <v>11778</v>
      </c>
      <c r="L4703" s="523"/>
      <c r="M4703" s="523"/>
      <c r="N4703" s="523"/>
      <c r="O4703" s="523"/>
      <c r="P4703" s="523"/>
    </row>
    <row r="4704" spans="3:20" s="517" customFormat="1" ht="31.2" customHeight="1">
      <c r="C4704" s="543" t="s">
        <v>1209</v>
      </c>
      <c r="D4704" s="750" t="s">
        <v>1210</v>
      </c>
      <c r="E4704" s="197"/>
      <c r="F4704" s="751"/>
      <c r="G4704" s="197"/>
      <c r="H4704" s="752"/>
      <c r="L4704" s="200"/>
      <c r="M4704" s="200"/>
      <c r="N4704" s="200"/>
      <c r="O4704" s="200"/>
      <c r="P4704" s="200"/>
    </row>
    <row r="4705" spans="3:16" s="517" customFormat="1" ht="31.2" customHeight="1">
      <c r="C4705" s="543">
        <v>1</v>
      </c>
      <c r="D4705" s="750" t="s">
        <v>7374</v>
      </c>
      <c r="E4705" s="203" t="s">
        <v>44</v>
      </c>
      <c r="F4705" s="753">
        <v>25</v>
      </c>
      <c r="G4705" s="205">
        <f>VLOOKUP(D4705,upahbahan,3,FALSE)</f>
        <v>0</v>
      </c>
      <c r="H4705" s="210">
        <f t="shared" ref="H4705:H4710" si="340">F4705*G4705</f>
        <v>0</v>
      </c>
      <c r="L4705" s="200"/>
      <c r="M4705" s="200"/>
      <c r="N4705" s="200"/>
      <c r="O4705" s="200"/>
      <c r="P4705" s="200"/>
    </row>
    <row r="4706" spans="3:16" s="517" customFormat="1" ht="31.2" customHeight="1">
      <c r="C4706" s="543">
        <v>2</v>
      </c>
      <c r="D4706" s="750" t="s">
        <v>5563</v>
      </c>
      <c r="E4706" s="203" t="s">
        <v>65</v>
      </c>
      <c r="F4706" s="753">
        <v>0.01</v>
      </c>
      <c r="G4706" s="205">
        <f>VLOOKUP(D4706,upahbahan,3,FALSE)</f>
        <v>0</v>
      </c>
      <c r="H4706" s="210">
        <f t="shared" si="340"/>
        <v>0</v>
      </c>
      <c r="L4706" s="200"/>
      <c r="M4706" s="200"/>
      <c r="N4706" s="200"/>
      <c r="O4706" s="200"/>
      <c r="P4706" s="200"/>
    </row>
    <row r="4707" spans="3:16" s="517" customFormat="1" ht="31.2" customHeight="1">
      <c r="C4707" s="543">
        <v>3</v>
      </c>
      <c r="D4707" s="750" t="s">
        <v>5556</v>
      </c>
      <c r="E4707" s="203"/>
      <c r="F4707" s="753"/>
      <c r="G4707" s="197"/>
      <c r="H4707" s="210">
        <f t="shared" si="340"/>
        <v>0</v>
      </c>
      <c r="L4707" s="200"/>
      <c r="M4707" s="200"/>
      <c r="N4707" s="200"/>
      <c r="O4707" s="200"/>
      <c r="P4707" s="200"/>
    </row>
    <row r="4708" spans="3:16" s="517" customFormat="1" ht="31.2" customHeight="1">
      <c r="C4708" s="754" t="s">
        <v>5293</v>
      </c>
      <c r="D4708" s="750" t="s">
        <v>2084</v>
      </c>
      <c r="E4708" s="203" t="s">
        <v>42</v>
      </c>
      <c r="F4708" s="753">
        <v>5.0000000000000001E-3</v>
      </c>
      <c r="G4708" s="205">
        <f>VLOOKUP(D4708,upahbahan,3,FALSE)</f>
        <v>0</v>
      </c>
      <c r="H4708" s="210">
        <f t="shared" si="340"/>
        <v>0</v>
      </c>
      <c r="L4708" s="200"/>
      <c r="M4708" s="200"/>
      <c r="N4708" s="200"/>
      <c r="O4708" s="200"/>
      <c r="P4708" s="200"/>
    </row>
    <row r="4709" spans="3:16" s="517" customFormat="1" ht="31.2" customHeight="1">
      <c r="C4709" s="754" t="s">
        <v>5299</v>
      </c>
      <c r="D4709" s="750" t="s">
        <v>5566</v>
      </c>
      <c r="E4709" s="203" t="s">
        <v>42</v>
      </c>
      <c r="F4709" s="753">
        <v>1E-3</v>
      </c>
      <c r="G4709" s="205">
        <f>VLOOKUP(D4709,upahbahan,3,FALSE)</f>
        <v>0</v>
      </c>
      <c r="H4709" s="210">
        <f t="shared" si="340"/>
        <v>0</v>
      </c>
      <c r="L4709" s="200"/>
      <c r="M4709" s="200"/>
      <c r="N4709" s="200"/>
      <c r="O4709" s="200"/>
      <c r="P4709" s="200"/>
    </row>
    <row r="4710" spans="3:16" s="517" customFormat="1" ht="31.2" customHeight="1">
      <c r="C4710" s="754" t="s">
        <v>5558</v>
      </c>
      <c r="D4710" s="750" t="s">
        <v>2325</v>
      </c>
      <c r="E4710" s="203" t="s">
        <v>42</v>
      </c>
      <c r="F4710" s="764">
        <v>3.2499999999999999E-4</v>
      </c>
      <c r="G4710" s="205">
        <f>VLOOKUP(D4710,upahbahan,3,FALSE)</f>
        <v>0</v>
      </c>
      <c r="H4710" s="210">
        <f t="shared" si="340"/>
        <v>0</v>
      </c>
      <c r="L4710" s="200"/>
      <c r="M4710" s="200"/>
      <c r="N4710" s="200"/>
      <c r="O4710" s="200"/>
      <c r="P4710" s="200"/>
    </row>
    <row r="4711" spans="3:16" s="517" customFormat="1" ht="31.2" customHeight="1">
      <c r="C4711" s="207" t="s">
        <v>1214</v>
      </c>
      <c r="D4711" s="208"/>
      <c r="E4711" s="568"/>
      <c r="F4711" s="208"/>
      <c r="G4711" s="209"/>
      <c r="H4711" s="210">
        <f>SUM(H4705:H4710)</f>
        <v>0</v>
      </c>
      <c r="L4711" s="200"/>
      <c r="M4711" s="200"/>
      <c r="N4711" s="200"/>
      <c r="O4711" s="200"/>
      <c r="P4711" s="200"/>
    </row>
    <row r="4712" spans="3:16" s="517" customFormat="1" ht="31.2" customHeight="1">
      <c r="C4712" s="756" t="s">
        <v>1215</v>
      </c>
      <c r="D4712" s="196" t="s">
        <v>1216</v>
      </c>
      <c r="E4712" s="203"/>
      <c r="F4712" s="197"/>
      <c r="G4712" s="197"/>
      <c r="H4712" s="198"/>
      <c r="L4712" s="200"/>
      <c r="M4712" s="200"/>
      <c r="N4712" s="200"/>
      <c r="O4712" s="200"/>
      <c r="P4712" s="200"/>
    </row>
    <row r="4713" spans="3:16" s="517" customFormat="1" ht="31.2" customHeight="1">
      <c r="C4713" s="207" t="s">
        <v>1217</v>
      </c>
      <c r="D4713" s="208"/>
      <c r="E4713" s="208"/>
      <c r="F4713" s="208"/>
      <c r="G4713" s="209"/>
      <c r="H4713" s="240">
        <f>SUM(H4712)</f>
        <v>0</v>
      </c>
      <c r="L4713" s="200"/>
      <c r="M4713" s="200"/>
      <c r="N4713" s="200"/>
      <c r="O4713" s="200"/>
      <c r="P4713" s="200"/>
    </row>
    <row r="4714" spans="3:16" s="517" customFormat="1" ht="31.2" customHeight="1">
      <c r="C4714" s="223" t="s">
        <v>1218</v>
      </c>
      <c r="D4714" s="224" t="s">
        <v>1219</v>
      </c>
      <c r="E4714" s="225"/>
      <c r="F4714" s="225"/>
      <c r="G4714" s="226"/>
      <c r="H4714" s="210">
        <f>H4713+H4711+H4703</f>
        <v>11778</v>
      </c>
      <c r="L4714" s="200"/>
      <c r="M4714" s="200"/>
      <c r="N4714" s="200"/>
      <c r="O4714" s="200"/>
      <c r="P4714" s="200"/>
    </row>
    <row r="4715" spans="3:16" s="517" customFormat="1" ht="31.2" customHeight="1">
      <c r="C4715" s="223" t="s">
        <v>1220</v>
      </c>
      <c r="D4715" s="224" t="s">
        <v>1321</v>
      </c>
      <c r="E4715" s="225"/>
      <c r="F4715" s="226"/>
      <c r="G4715" s="228">
        <v>0.1</v>
      </c>
      <c r="H4715" s="210">
        <f>H4714*G4715</f>
        <v>1177.8</v>
      </c>
      <c r="L4715" s="200"/>
      <c r="M4715" s="200"/>
      <c r="N4715" s="200"/>
      <c r="O4715" s="200"/>
      <c r="P4715" s="200"/>
    </row>
    <row r="4716" spans="3:16" s="517" customFormat="1" ht="31.2" customHeight="1" thickBot="1">
      <c r="C4716" s="229" t="s">
        <v>1221</v>
      </c>
      <c r="D4716" s="230" t="s">
        <v>1222</v>
      </c>
      <c r="E4716" s="231"/>
      <c r="F4716" s="231"/>
      <c r="G4716" s="232"/>
      <c r="H4716" s="233">
        <f>SUM(H4714:H4715)</f>
        <v>12955.8</v>
      </c>
      <c r="L4716" s="200"/>
      <c r="M4716" s="200"/>
      <c r="N4716" s="200"/>
      <c r="O4716" s="200"/>
      <c r="P4716" s="200"/>
    </row>
    <row r="4717" spans="3:16" ht="31.2" customHeight="1" thickTop="1">
      <c r="D4717" s="758"/>
    </row>
    <row r="4718" spans="3:16" ht="31.2" customHeight="1">
      <c r="C4718" s="757" t="s">
        <v>6950</v>
      </c>
      <c r="F4718" s="758"/>
      <c r="H4718" s="758" t="s">
        <v>6959</v>
      </c>
    </row>
    <row r="4719" spans="3:16" ht="31.2" customHeight="1">
      <c r="C4719" s="200" t="s">
        <v>6951</v>
      </c>
      <c r="F4719" s="758"/>
    </row>
    <row r="4720" spans="3:16" ht="31.2" customHeight="1">
      <c r="C4720" s="200" t="s">
        <v>6952</v>
      </c>
      <c r="F4720" s="758"/>
    </row>
    <row r="4721" spans="3:20" ht="31.2" customHeight="1">
      <c r="C4721" s="200"/>
      <c r="F4721" s="758"/>
    </row>
    <row r="4722" spans="3:20" s="517" customFormat="1" ht="31.2" customHeight="1" thickBot="1">
      <c r="C4722" s="513" t="s">
        <v>7375</v>
      </c>
      <c r="D4722" s="748" t="s">
        <v>7376</v>
      </c>
      <c r="E4722" s="749"/>
      <c r="F4722" s="748"/>
      <c r="G4722" s="748"/>
      <c r="H4722" s="532"/>
      <c r="I4722" s="532"/>
      <c r="J4722" s="532"/>
      <c r="K4722" s="532"/>
      <c r="M4722" s="189"/>
      <c r="N4722" s="189"/>
      <c r="O4722" s="189"/>
      <c r="P4722" s="189"/>
      <c r="R4722" s="189">
        <f>ROUNDDOWN(H4741,-2)</f>
        <v>12900</v>
      </c>
      <c r="S4722" s="517" t="s">
        <v>6451</v>
      </c>
      <c r="T4722" s="517" t="s">
        <v>7014</v>
      </c>
    </row>
    <row r="4723" spans="3:20" s="517" customFormat="1" ht="31.2" customHeight="1" thickTop="1">
      <c r="C4723" s="190" t="s">
        <v>1195</v>
      </c>
      <c r="D4723" s="191" t="s">
        <v>1196</v>
      </c>
      <c r="E4723" s="191" t="s">
        <v>1197</v>
      </c>
      <c r="F4723" s="191" t="s">
        <v>1198</v>
      </c>
      <c r="G4723" s="191" t="s">
        <v>1199</v>
      </c>
      <c r="H4723" s="192" t="s">
        <v>1200</v>
      </c>
      <c r="L4723" s="200"/>
      <c r="M4723" s="200"/>
      <c r="N4723" s="200"/>
      <c r="O4723" s="200"/>
      <c r="P4723" s="200"/>
    </row>
    <row r="4724" spans="3:20" s="517" customFormat="1" ht="31.2" customHeight="1">
      <c r="C4724" s="518" t="s">
        <v>1201</v>
      </c>
      <c r="D4724" s="196" t="s">
        <v>1202</v>
      </c>
      <c r="E4724" s="197"/>
      <c r="F4724" s="197"/>
      <c r="G4724" s="197"/>
      <c r="H4724" s="198"/>
      <c r="L4724" s="200"/>
      <c r="M4724" s="200"/>
      <c r="N4724" s="200"/>
      <c r="O4724" s="200"/>
      <c r="P4724" s="200"/>
    </row>
    <row r="4725" spans="3:20" s="517" customFormat="1" ht="31.2" customHeight="1">
      <c r="C4725" s="537">
        <v>1</v>
      </c>
      <c r="D4725" s="196" t="s">
        <v>6954</v>
      </c>
      <c r="E4725" s="202" t="s">
        <v>6</v>
      </c>
      <c r="F4725" s="520">
        <v>0.05</v>
      </c>
      <c r="G4725" s="205">
        <f>VLOOKUP(D4725,upahbahan,3,FALSE)</f>
        <v>181250</v>
      </c>
      <c r="H4725" s="210">
        <f t="shared" ref="H4725:H4727" si="341">F4725*G4725</f>
        <v>9062.5</v>
      </c>
      <c r="L4725" s="200"/>
      <c r="M4725" s="200"/>
      <c r="N4725" s="200"/>
      <c r="O4725" s="200"/>
      <c r="P4725" s="200"/>
    </row>
    <row r="4726" spans="3:20" s="517" customFormat="1" ht="31.2" customHeight="1">
      <c r="C4726" s="537">
        <v>2</v>
      </c>
      <c r="D4726" s="196" t="s">
        <v>6948</v>
      </c>
      <c r="E4726" s="202" t="s">
        <v>2102</v>
      </c>
      <c r="F4726" s="520">
        <v>0.01</v>
      </c>
      <c r="G4726" s="205">
        <f>VLOOKUP(D4726,upahbahan,3,FALSE)</f>
        <v>218750</v>
      </c>
      <c r="H4726" s="210">
        <f t="shared" si="341"/>
        <v>2187.5</v>
      </c>
      <c r="L4726" s="200"/>
      <c r="M4726" s="200"/>
      <c r="N4726" s="200"/>
      <c r="O4726" s="200"/>
      <c r="P4726" s="200"/>
    </row>
    <row r="4727" spans="3:20" s="517" customFormat="1" ht="31.2" customHeight="1">
      <c r="C4727" s="537">
        <v>3</v>
      </c>
      <c r="D4727" s="196" t="s">
        <v>19</v>
      </c>
      <c r="E4727" s="202" t="s">
        <v>6</v>
      </c>
      <c r="F4727" s="520">
        <v>3.3E-3</v>
      </c>
      <c r="G4727" s="205">
        <f>VLOOKUP(D4727,upahbahan,3,FALSE)</f>
        <v>160000</v>
      </c>
      <c r="H4727" s="210">
        <f t="shared" si="341"/>
        <v>528</v>
      </c>
      <c r="L4727" s="200"/>
      <c r="M4727" s="200"/>
      <c r="N4727" s="200"/>
      <c r="O4727" s="200"/>
      <c r="P4727" s="200"/>
    </row>
    <row r="4728" spans="3:20" s="517" customFormat="1" ht="31.2" customHeight="1">
      <c r="C4728" s="207" t="s">
        <v>1208</v>
      </c>
      <c r="D4728" s="208"/>
      <c r="E4728" s="208"/>
      <c r="F4728" s="521"/>
      <c r="G4728" s="522"/>
      <c r="H4728" s="210">
        <f>SUM(H4725:H4727)</f>
        <v>11778</v>
      </c>
      <c r="L4728" s="523"/>
      <c r="M4728" s="523"/>
      <c r="N4728" s="523"/>
      <c r="O4728" s="523"/>
      <c r="P4728" s="523"/>
    </row>
    <row r="4729" spans="3:20" s="517" customFormat="1" ht="31.2" customHeight="1">
      <c r="C4729" s="543" t="s">
        <v>1209</v>
      </c>
      <c r="D4729" s="750" t="s">
        <v>1210</v>
      </c>
      <c r="E4729" s="197"/>
      <c r="F4729" s="751"/>
      <c r="G4729" s="197"/>
      <c r="H4729" s="752"/>
      <c r="L4729" s="200"/>
      <c r="M4729" s="200"/>
      <c r="N4729" s="200"/>
      <c r="O4729" s="200"/>
      <c r="P4729" s="200"/>
    </row>
    <row r="4730" spans="3:20" s="517" customFormat="1" ht="31.2" customHeight="1">
      <c r="C4730" s="543">
        <v>1</v>
      </c>
      <c r="D4730" s="750" t="s">
        <v>7377</v>
      </c>
      <c r="E4730" s="203" t="s">
        <v>44</v>
      </c>
      <c r="F4730" s="753">
        <v>25</v>
      </c>
      <c r="G4730" s="205">
        <f>VLOOKUP(D4730,upahbahan,3,FALSE)</f>
        <v>0</v>
      </c>
      <c r="H4730" s="210">
        <f t="shared" ref="H4730:H4735" si="342">F4730*G4730</f>
        <v>0</v>
      </c>
      <c r="L4730" s="200"/>
      <c r="M4730" s="200"/>
      <c r="N4730" s="200"/>
      <c r="O4730" s="200"/>
      <c r="P4730" s="200"/>
    </row>
    <row r="4731" spans="3:20" s="517" customFormat="1" ht="31.2" customHeight="1">
      <c r="C4731" s="543">
        <v>2</v>
      </c>
      <c r="D4731" s="750" t="s">
        <v>5563</v>
      </c>
      <c r="E4731" s="203" t="s">
        <v>65</v>
      </c>
      <c r="F4731" s="753">
        <v>0.01</v>
      </c>
      <c r="G4731" s="205">
        <f>VLOOKUP(D4731,upahbahan,3,FALSE)</f>
        <v>0</v>
      </c>
      <c r="H4731" s="210">
        <f t="shared" si="342"/>
        <v>0</v>
      </c>
      <c r="L4731" s="200"/>
      <c r="M4731" s="200"/>
      <c r="N4731" s="200"/>
      <c r="O4731" s="200"/>
      <c r="P4731" s="200"/>
    </row>
    <row r="4732" spans="3:20" s="517" customFormat="1" ht="31.2" customHeight="1">
      <c r="C4732" s="543">
        <v>3</v>
      </c>
      <c r="D4732" s="750" t="s">
        <v>5556</v>
      </c>
      <c r="E4732" s="203"/>
      <c r="F4732" s="753"/>
      <c r="G4732" s="197"/>
      <c r="H4732" s="210">
        <f t="shared" si="342"/>
        <v>0</v>
      </c>
      <c r="L4732" s="200"/>
      <c r="M4732" s="200"/>
      <c r="N4732" s="200"/>
      <c r="O4732" s="200"/>
      <c r="P4732" s="200"/>
    </row>
    <row r="4733" spans="3:20" s="517" customFormat="1" ht="31.2" customHeight="1">
      <c r="C4733" s="754" t="s">
        <v>5293</v>
      </c>
      <c r="D4733" s="750" t="s">
        <v>2084</v>
      </c>
      <c r="E4733" s="203" t="s">
        <v>42</v>
      </c>
      <c r="F4733" s="753">
        <v>5.0000000000000001E-3</v>
      </c>
      <c r="G4733" s="205">
        <f>VLOOKUP(D4733,upahbahan,3,FALSE)</f>
        <v>0</v>
      </c>
      <c r="H4733" s="210">
        <f t="shared" si="342"/>
        <v>0</v>
      </c>
      <c r="L4733" s="200"/>
      <c r="M4733" s="200"/>
      <c r="N4733" s="200"/>
      <c r="O4733" s="200"/>
      <c r="P4733" s="200"/>
    </row>
    <row r="4734" spans="3:20" s="517" customFormat="1" ht="31.2" customHeight="1">
      <c r="C4734" s="754" t="s">
        <v>5299</v>
      </c>
      <c r="D4734" s="750" t="s">
        <v>5566</v>
      </c>
      <c r="E4734" s="203" t="s">
        <v>42</v>
      </c>
      <c r="F4734" s="753">
        <v>1E-3</v>
      </c>
      <c r="G4734" s="205">
        <f>VLOOKUP(D4734,upahbahan,3,FALSE)</f>
        <v>0</v>
      </c>
      <c r="H4734" s="210">
        <f t="shared" si="342"/>
        <v>0</v>
      </c>
      <c r="L4734" s="200"/>
      <c r="M4734" s="200"/>
      <c r="N4734" s="200"/>
      <c r="O4734" s="200"/>
      <c r="P4734" s="200"/>
    </row>
    <row r="4735" spans="3:20" s="517" customFormat="1" ht="31.2" customHeight="1">
      <c r="C4735" s="754" t="s">
        <v>5558</v>
      </c>
      <c r="D4735" s="750" t="s">
        <v>2325</v>
      </c>
      <c r="E4735" s="203" t="s">
        <v>42</v>
      </c>
      <c r="F4735" s="764">
        <v>3.2499999999999999E-4</v>
      </c>
      <c r="G4735" s="205">
        <f>VLOOKUP(D4735,upahbahan,3,FALSE)</f>
        <v>0</v>
      </c>
      <c r="H4735" s="210">
        <f t="shared" si="342"/>
        <v>0</v>
      </c>
      <c r="L4735" s="200"/>
      <c r="M4735" s="200"/>
      <c r="N4735" s="200"/>
      <c r="O4735" s="200"/>
      <c r="P4735" s="200"/>
    </row>
    <row r="4736" spans="3:20" s="517" customFormat="1" ht="31.2" customHeight="1">
      <c r="C4736" s="207" t="s">
        <v>1214</v>
      </c>
      <c r="D4736" s="208"/>
      <c r="E4736" s="568"/>
      <c r="F4736" s="208"/>
      <c r="G4736" s="209"/>
      <c r="H4736" s="210">
        <f>SUM(H4730:H4735)</f>
        <v>0</v>
      </c>
      <c r="L4736" s="200"/>
      <c r="M4736" s="200"/>
      <c r="N4736" s="200"/>
      <c r="O4736" s="200"/>
      <c r="P4736" s="200"/>
    </row>
    <row r="4737" spans="3:20" s="517" customFormat="1" ht="31.2" customHeight="1">
      <c r="C4737" s="756" t="s">
        <v>1215</v>
      </c>
      <c r="D4737" s="196" t="s">
        <v>1216</v>
      </c>
      <c r="E4737" s="203"/>
      <c r="F4737" s="197"/>
      <c r="G4737" s="197"/>
      <c r="H4737" s="198"/>
      <c r="L4737" s="200"/>
      <c r="M4737" s="200"/>
      <c r="N4737" s="200"/>
      <c r="O4737" s="200"/>
      <c r="P4737" s="200"/>
    </row>
    <row r="4738" spans="3:20" s="517" customFormat="1" ht="31.2" customHeight="1">
      <c r="C4738" s="207" t="s">
        <v>1217</v>
      </c>
      <c r="D4738" s="208"/>
      <c r="E4738" s="208"/>
      <c r="F4738" s="208"/>
      <c r="G4738" s="209"/>
      <c r="H4738" s="240">
        <f>SUM(H4737)</f>
        <v>0</v>
      </c>
      <c r="L4738" s="200"/>
      <c r="M4738" s="200"/>
      <c r="N4738" s="200"/>
      <c r="O4738" s="200"/>
      <c r="P4738" s="200"/>
    </row>
    <row r="4739" spans="3:20" s="517" customFormat="1" ht="31.2" customHeight="1">
      <c r="C4739" s="223" t="s">
        <v>1218</v>
      </c>
      <c r="D4739" s="224" t="s">
        <v>1219</v>
      </c>
      <c r="E4739" s="225"/>
      <c r="F4739" s="225"/>
      <c r="G4739" s="226"/>
      <c r="H4739" s="210">
        <f>H4738+H4736+H4728</f>
        <v>11778</v>
      </c>
      <c r="L4739" s="200"/>
      <c r="M4739" s="200"/>
      <c r="N4739" s="200"/>
      <c r="O4739" s="200"/>
      <c r="P4739" s="200"/>
    </row>
    <row r="4740" spans="3:20" s="517" customFormat="1" ht="31.2" customHeight="1">
      <c r="C4740" s="223" t="s">
        <v>1220</v>
      </c>
      <c r="D4740" s="224" t="s">
        <v>1321</v>
      </c>
      <c r="E4740" s="225"/>
      <c r="F4740" s="226"/>
      <c r="G4740" s="228">
        <v>0.1</v>
      </c>
      <c r="H4740" s="210">
        <f>H4739*G4740</f>
        <v>1177.8</v>
      </c>
      <c r="L4740" s="200"/>
      <c r="M4740" s="200"/>
      <c r="N4740" s="200"/>
      <c r="O4740" s="200"/>
      <c r="P4740" s="200"/>
    </row>
    <row r="4741" spans="3:20" s="517" customFormat="1" ht="31.2" customHeight="1" thickBot="1">
      <c r="C4741" s="229" t="s">
        <v>1221</v>
      </c>
      <c r="D4741" s="230" t="s">
        <v>1222</v>
      </c>
      <c r="E4741" s="231"/>
      <c r="F4741" s="231"/>
      <c r="G4741" s="232"/>
      <c r="H4741" s="233">
        <f>SUM(H4739:H4740)</f>
        <v>12955.8</v>
      </c>
      <c r="L4741" s="200"/>
      <c r="M4741" s="200"/>
      <c r="N4741" s="200"/>
      <c r="O4741" s="200"/>
      <c r="P4741" s="200"/>
    </row>
    <row r="4742" spans="3:20" ht="31.2" customHeight="1" thickTop="1">
      <c r="D4742" s="758"/>
    </row>
    <row r="4743" spans="3:20" ht="31.2" customHeight="1">
      <c r="C4743" s="757" t="s">
        <v>6950</v>
      </c>
      <c r="F4743" s="758"/>
      <c r="H4743" s="758" t="s">
        <v>6959</v>
      </c>
    </row>
    <row r="4744" spans="3:20" ht="31.2" customHeight="1">
      <c r="C4744" s="200" t="s">
        <v>6951</v>
      </c>
      <c r="F4744" s="758"/>
    </row>
    <row r="4745" spans="3:20" ht="31.2" customHeight="1">
      <c r="C4745" s="200" t="s">
        <v>6952</v>
      </c>
      <c r="F4745" s="758"/>
    </row>
    <row r="4746" spans="3:20" ht="31.2" customHeight="1">
      <c r="C4746" s="200"/>
      <c r="F4746" s="758"/>
    </row>
    <row r="4747" spans="3:20" s="517" customFormat="1" ht="31.2" customHeight="1" thickBot="1">
      <c r="C4747" s="513" t="s">
        <v>7378</v>
      </c>
      <c r="D4747" s="748" t="s">
        <v>7379</v>
      </c>
      <c r="E4747" s="749"/>
      <c r="F4747" s="748"/>
      <c r="G4747" s="748"/>
      <c r="H4747" s="532"/>
      <c r="I4747" s="532"/>
      <c r="J4747" s="532"/>
      <c r="K4747" s="532"/>
      <c r="M4747" s="189"/>
      <c r="N4747" s="189"/>
      <c r="O4747" s="189"/>
      <c r="P4747" s="189"/>
      <c r="R4747" s="189">
        <f>ROUNDDOWN(H4766,-2)</f>
        <v>12900</v>
      </c>
      <c r="S4747" s="517" t="s">
        <v>6451</v>
      </c>
      <c r="T4747" s="517" t="s">
        <v>7014</v>
      </c>
    </row>
    <row r="4748" spans="3:20" s="517" customFormat="1" ht="31.2" customHeight="1" thickTop="1">
      <c r="C4748" s="190" t="s">
        <v>1195</v>
      </c>
      <c r="D4748" s="191" t="s">
        <v>1196</v>
      </c>
      <c r="E4748" s="191" t="s">
        <v>1197</v>
      </c>
      <c r="F4748" s="191" t="s">
        <v>1198</v>
      </c>
      <c r="G4748" s="191" t="s">
        <v>1199</v>
      </c>
      <c r="H4748" s="192" t="s">
        <v>1200</v>
      </c>
      <c r="L4748" s="200"/>
      <c r="M4748" s="200"/>
      <c r="N4748" s="200"/>
      <c r="O4748" s="200"/>
      <c r="P4748" s="200"/>
    </row>
    <row r="4749" spans="3:20" s="517" customFormat="1" ht="31.2" customHeight="1">
      <c r="C4749" s="518" t="s">
        <v>1201</v>
      </c>
      <c r="D4749" s="196" t="s">
        <v>1202</v>
      </c>
      <c r="E4749" s="197"/>
      <c r="F4749" s="197"/>
      <c r="G4749" s="197"/>
      <c r="H4749" s="198"/>
      <c r="L4749" s="200"/>
      <c r="M4749" s="200"/>
      <c r="N4749" s="200"/>
      <c r="O4749" s="200"/>
      <c r="P4749" s="200"/>
    </row>
    <row r="4750" spans="3:20" s="517" customFormat="1" ht="31.2" customHeight="1">
      <c r="C4750" s="537">
        <v>1</v>
      </c>
      <c r="D4750" s="196" t="s">
        <v>6954</v>
      </c>
      <c r="E4750" s="202" t="s">
        <v>6</v>
      </c>
      <c r="F4750" s="520">
        <v>0.05</v>
      </c>
      <c r="G4750" s="205">
        <f>VLOOKUP(D4750,upahbahan,3,FALSE)</f>
        <v>181250</v>
      </c>
      <c r="H4750" s="210">
        <f t="shared" ref="H4750:H4752" si="343">F4750*G4750</f>
        <v>9062.5</v>
      </c>
      <c r="L4750" s="200"/>
      <c r="M4750" s="200"/>
      <c r="N4750" s="200"/>
      <c r="O4750" s="200"/>
      <c r="P4750" s="200"/>
    </row>
    <row r="4751" spans="3:20" s="517" customFormat="1" ht="31.2" customHeight="1">
      <c r="C4751" s="537">
        <v>2</v>
      </c>
      <c r="D4751" s="196" t="s">
        <v>6948</v>
      </c>
      <c r="E4751" s="202" t="s">
        <v>2102</v>
      </c>
      <c r="F4751" s="520">
        <v>0.01</v>
      </c>
      <c r="G4751" s="205">
        <f>VLOOKUP(D4751,upahbahan,3,FALSE)</f>
        <v>218750</v>
      </c>
      <c r="H4751" s="210">
        <f t="shared" si="343"/>
        <v>2187.5</v>
      </c>
      <c r="L4751" s="200"/>
      <c r="M4751" s="200"/>
      <c r="N4751" s="200"/>
      <c r="O4751" s="200"/>
      <c r="P4751" s="200"/>
    </row>
    <row r="4752" spans="3:20" s="517" customFormat="1" ht="31.2" customHeight="1">
      <c r="C4752" s="537">
        <v>3</v>
      </c>
      <c r="D4752" s="196" t="s">
        <v>19</v>
      </c>
      <c r="E4752" s="202" t="s">
        <v>6</v>
      </c>
      <c r="F4752" s="520">
        <v>3.3E-3</v>
      </c>
      <c r="G4752" s="205">
        <f>VLOOKUP(D4752,upahbahan,3,FALSE)</f>
        <v>160000</v>
      </c>
      <c r="H4752" s="210">
        <f t="shared" si="343"/>
        <v>528</v>
      </c>
      <c r="L4752" s="200"/>
      <c r="M4752" s="200"/>
      <c r="N4752" s="200"/>
      <c r="O4752" s="200"/>
      <c r="P4752" s="200"/>
    </row>
    <row r="4753" spans="3:16" s="517" customFormat="1" ht="31.2" customHeight="1">
      <c r="C4753" s="207" t="s">
        <v>1208</v>
      </c>
      <c r="D4753" s="208"/>
      <c r="E4753" s="208"/>
      <c r="F4753" s="521"/>
      <c r="G4753" s="522"/>
      <c r="H4753" s="210">
        <f>SUM(H4750:H4752)</f>
        <v>11778</v>
      </c>
      <c r="L4753" s="523"/>
      <c r="M4753" s="523"/>
      <c r="N4753" s="523"/>
      <c r="O4753" s="523"/>
      <c r="P4753" s="523"/>
    </row>
    <row r="4754" spans="3:16" s="517" customFormat="1" ht="31.2" customHeight="1">
      <c r="C4754" s="543" t="s">
        <v>1209</v>
      </c>
      <c r="D4754" s="750" t="s">
        <v>1210</v>
      </c>
      <c r="E4754" s="197"/>
      <c r="F4754" s="751"/>
      <c r="G4754" s="197"/>
      <c r="H4754" s="752"/>
      <c r="L4754" s="200"/>
      <c r="M4754" s="200"/>
      <c r="N4754" s="200"/>
      <c r="O4754" s="200"/>
      <c r="P4754" s="200"/>
    </row>
    <row r="4755" spans="3:16" s="517" customFormat="1" ht="31.2" customHeight="1">
      <c r="C4755" s="543">
        <v>1</v>
      </c>
      <c r="D4755" s="750" t="s">
        <v>7380</v>
      </c>
      <c r="E4755" s="203" t="s">
        <v>44</v>
      </c>
      <c r="F4755" s="753">
        <v>25</v>
      </c>
      <c r="G4755" s="205">
        <f>VLOOKUP(D4755,upahbahan,3,FALSE)</f>
        <v>0</v>
      </c>
      <c r="H4755" s="210">
        <f t="shared" ref="H4755:H4760" si="344">F4755*G4755</f>
        <v>0</v>
      </c>
      <c r="L4755" s="200"/>
      <c r="M4755" s="200"/>
      <c r="N4755" s="200"/>
      <c r="O4755" s="200"/>
      <c r="P4755" s="200"/>
    </row>
    <row r="4756" spans="3:16" s="517" customFormat="1" ht="31.2" customHeight="1">
      <c r="C4756" s="543">
        <v>2</v>
      </c>
      <c r="D4756" s="750" t="s">
        <v>5563</v>
      </c>
      <c r="E4756" s="203" t="s">
        <v>65</v>
      </c>
      <c r="F4756" s="753">
        <v>0.01</v>
      </c>
      <c r="G4756" s="205">
        <f>VLOOKUP(D4756,upahbahan,3,FALSE)</f>
        <v>0</v>
      </c>
      <c r="H4756" s="210">
        <f t="shared" si="344"/>
        <v>0</v>
      </c>
      <c r="L4756" s="200"/>
      <c r="M4756" s="200"/>
      <c r="N4756" s="200"/>
      <c r="O4756" s="200"/>
      <c r="P4756" s="200"/>
    </row>
    <row r="4757" spans="3:16" s="517" customFormat="1" ht="31.2" customHeight="1">
      <c r="C4757" s="543">
        <v>3</v>
      </c>
      <c r="D4757" s="750" t="s">
        <v>5556</v>
      </c>
      <c r="E4757" s="203"/>
      <c r="F4757" s="753"/>
      <c r="G4757" s="197"/>
      <c r="H4757" s="210">
        <f t="shared" si="344"/>
        <v>0</v>
      </c>
      <c r="L4757" s="200"/>
      <c r="M4757" s="200"/>
      <c r="N4757" s="200"/>
      <c r="O4757" s="200"/>
      <c r="P4757" s="200"/>
    </row>
    <row r="4758" spans="3:16" s="517" customFormat="1" ht="31.2" customHeight="1">
      <c r="C4758" s="754" t="s">
        <v>5293</v>
      </c>
      <c r="D4758" s="750" t="s">
        <v>2084</v>
      </c>
      <c r="E4758" s="203" t="s">
        <v>42</v>
      </c>
      <c r="F4758" s="753">
        <v>5.0000000000000001E-3</v>
      </c>
      <c r="G4758" s="205">
        <f>VLOOKUP(D4758,upahbahan,3,FALSE)</f>
        <v>0</v>
      </c>
      <c r="H4758" s="210">
        <f t="shared" si="344"/>
        <v>0</v>
      </c>
      <c r="L4758" s="200"/>
      <c r="M4758" s="200"/>
      <c r="N4758" s="200"/>
      <c r="O4758" s="200"/>
      <c r="P4758" s="200"/>
    </row>
    <row r="4759" spans="3:16" s="517" customFormat="1" ht="31.2" customHeight="1">
      <c r="C4759" s="754" t="s">
        <v>5299</v>
      </c>
      <c r="D4759" s="750" t="s">
        <v>5566</v>
      </c>
      <c r="E4759" s="203" t="s">
        <v>42</v>
      </c>
      <c r="F4759" s="753">
        <v>1E-3</v>
      </c>
      <c r="G4759" s="205">
        <f>VLOOKUP(D4759,upahbahan,3,FALSE)</f>
        <v>0</v>
      </c>
      <c r="H4759" s="210">
        <f t="shared" si="344"/>
        <v>0</v>
      </c>
      <c r="L4759" s="200"/>
      <c r="M4759" s="200"/>
      <c r="N4759" s="200"/>
      <c r="O4759" s="200"/>
      <c r="P4759" s="200"/>
    </row>
    <row r="4760" spans="3:16" s="517" customFormat="1" ht="31.2" customHeight="1">
      <c r="C4760" s="754" t="s">
        <v>5558</v>
      </c>
      <c r="D4760" s="750" t="s">
        <v>2325</v>
      </c>
      <c r="E4760" s="203" t="s">
        <v>42</v>
      </c>
      <c r="F4760" s="764">
        <v>3.2499999999999999E-4</v>
      </c>
      <c r="G4760" s="205">
        <f>VLOOKUP(D4760,upahbahan,3,FALSE)</f>
        <v>0</v>
      </c>
      <c r="H4760" s="210">
        <f t="shared" si="344"/>
        <v>0</v>
      </c>
      <c r="L4760" s="200"/>
      <c r="M4760" s="200"/>
      <c r="N4760" s="200"/>
      <c r="O4760" s="200"/>
      <c r="P4760" s="200"/>
    </row>
    <row r="4761" spans="3:16" s="517" customFormat="1" ht="31.2" customHeight="1">
      <c r="C4761" s="207" t="s">
        <v>1214</v>
      </c>
      <c r="D4761" s="208"/>
      <c r="E4761" s="568"/>
      <c r="F4761" s="208"/>
      <c r="G4761" s="209"/>
      <c r="H4761" s="210">
        <f>SUM(H4755:H4760)</f>
        <v>0</v>
      </c>
      <c r="L4761" s="200"/>
      <c r="M4761" s="200"/>
      <c r="N4761" s="200"/>
      <c r="O4761" s="200"/>
      <c r="P4761" s="200"/>
    </row>
    <row r="4762" spans="3:16" s="517" customFormat="1" ht="31.2" customHeight="1">
      <c r="C4762" s="756" t="s">
        <v>1215</v>
      </c>
      <c r="D4762" s="196" t="s">
        <v>1216</v>
      </c>
      <c r="E4762" s="203"/>
      <c r="F4762" s="197"/>
      <c r="G4762" s="197"/>
      <c r="H4762" s="198"/>
      <c r="L4762" s="200"/>
      <c r="M4762" s="200"/>
      <c r="N4762" s="200"/>
      <c r="O4762" s="200"/>
      <c r="P4762" s="200"/>
    </row>
    <row r="4763" spans="3:16" s="517" customFormat="1" ht="31.2" customHeight="1">
      <c r="C4763" s="207" t="s">
        <v>1217</v>
      </c>
      <c r="D4763" s="208"/>
      <c r="E4763" s="208"/>
      <c r="F4763" s="208"/>
      <c r="G4763" s="209"/>
      <c r="H4763" s="240">
        <f>SUM(H4762)</f>
        <v>0</v>
      </c>
      <c r="L4763" s="200"/>
      <c r="M4763" s="200"/>
      <c r="N4763" s="200"/>
      <c r="O4763" s="200"/>
      <c r="P4763" s="200"/>
    </row>
    <row r="4764" spans="3:16" s="517" customFormat="1" ht="31.2" customHeight="1">
      <c r="C4764" s="223" t="s">
        <v>1218</v>
      </c>
      <c r="D4764" s="224" t="s">
        <v>1219</v>
      </c>
      <c r="E4764" s="225"/>
      <c r="F4764" s="225"/>
      <c r="G4764" s="226"/>
      <c r="H4764" s="210">
        <f>H4763+H4761+H4753</f>
        <v>11778</v>
      </c>
      <c r="L4764" s="200"/>
      <c r="M4764" s="200"/>
      <c r="N4764" s="200"/>
      <c r="O4764" s="200"/>
      <c r="P4764" s="200"/>
    </row>
    <row r="4765" spans="3:16" s="517" customFormat="1" ht="31.2" customHeight="1">
      <c r="C4765" s="223" t="s">
        <v>1220</v>
      </c>
      <c r="D4765" s="224" t="s">
        <v>1321</v>
      </c>
      <c r="E4765" s="225"/>
      <c r="F4765" s="226"/>
      <c r="G4765" s="228">
        <v>0.1</v>
      </c>
      <c r="H4765" s="210">
        <f>H4764*G4765</f>
        <v>1177.8</v>
      </c>
      <c r="L4765" s="200"/>
      <c r="M4765" s="200"/>
      <c r="N4765" s="200"/>
      <c r="O4765" s="200"/>
      <c r="P4765" s="200"/>
    </row>
    <row r="4766" spans="3:16" s="517" customFormat="1" ht="31.2" customHeight="1" thickBot="1">
      <c r="C4766" s="229" t="s">
        <v>1221</v>
      </c>
      <c r="D4766" s="230" t="s">
        <v>1222</v>
      </c>
      <c r="E4766" s="231"/>
      <c r="F4766" s="231"/>
      <c r="G4766" s="232"/>
      <c r="H4766" s="233">
        <f>SUM(H4764:H4765)</f>
        <v>12955.8</v>
      </c>
      <c r="L4766" s="200"/>
      <c r="M4766" s="200"/>
      <c r="N4766" s="200"/>
      <c r="O4766" s="200"/>
      <c r="P4766" s="200"/>
    </row>
    <row r="4767" spans="3:16" ht="31.2" customHeight="1" thickTop="1">
      <c r="D4767" s="758"/>
    </row>
    <row r="4768" spans="3:16" ht="31.2" customHeight="1">
      <c r="C4768" s="757" t="s">
        <v>6950</v>
      </c>
      <c r="F4768" s="758"/>
      <c r="H4768" s="758" t="s">
        <v>6959</v>
      </c>
    </row>
    <row r="4769" spans="3:20" ht="31.2" customHeight="1">
      <c r="C4769" s="200" t="s">
        <v>6951</v>
      </c>
      <c r="F4769" s="758"/>
    </row>
    <row r="4770" spans="3:20" ht="31.2" customHeight="1">
      <c r="C4770" s="200" t="s">
        <v>6952</v>
      </c>
      <c r="F4770" s="758"/>
    </row>
    <row r="4771" spans="3:20" ht="31.2" customHeight="1">
      <c r="C4771" s="200"/>
      <c r="F4771" s="758"/>
    </row>
    <row r="4772" spans="3:20" s="517" customFormat="1" ht="31.2" customHeight="1" thickBot="1">
      <c r="C4772" s="513" t="s">
        <v>7381</v>
      </c>
      <c r="D4772" s="748" t="s">
        <v>7382</v>
      </c>
      <c r="E4772" s="749"/>
      <c r="F4772" s="748"/>
      <c r="G4772" s="748"/>
      <c r="H4772" s="532"/>
      <c r="I4772" s="532"/>
      <c r="J4772" s="532"/>
      <c r="K4772" s="532"/>
      <c r="M4772" s="189"/>
      <c r="N4772" s="189"/>
      <c r="O4772" s="189"/>
      <c r="P4772" s="189"/>
      <c r="R4772" s="189">
        <f>ROUNDDOWN(H4791,-2)</f>
        <v>12900</v>
      </c>
      <c r="S4772" s="517" t="s">
        <v>6451</v>
      </c>
      <c r="T4772" s="517" t="s">
        <v>7014</v>
      </c>
    </row>
    <row r="4773" spans="3:20" s="517" customFormat="1" ht="31.2" customHeight="1" thickTop="1">
      <c r="C4773" s="190" t="s">
        <v>1195</v>
      </c>
      <c r="D4773" s="191" t="s">
        <v>1196</v>
      </c>
      <c r="E4773" s="191" t="s">
        <v>1197</v>
      </c>
      <c r="F4773" s="191" t="s">
        <v>1198</v>
      </c>
      <c r="G4773" s="191" t="s">
        <v>1199</v>
      </c>
      <c r="H4773" s="192" t="s">
        <v>1200</v>
      </c>
      <c r="L4773" s="200"/>
      <c r="M4773" s="200"/>
      <c r="N4773" s="200"/>
      <c r="O4773" s="200"/>
      <c r="P4773" s="200"/>
    </row>
    <row r="4774" spans="3:20" s="517" customFormat="1" ht="31.2" customHeight="1">
      <c r="C4774" s="518" t="s">
        <v>1201</v>
      </c>
      <c r="D4774" s="196" t="s">
        <v>1202</v>
      </c>
      <c r="E4774" s="197"/>
      <c r="F4774" s="197"/>
      <c r="G4774" s="197"/>
      <c r="H4774" s="198"/>
      <c r="L4774" s="200"/>
      <c r="M4774" s="200"/>
      <c r="N4774" s="200"/>
      <c r="O4774" s="200"/>
      <c r="P4774" s="200"/>
    </row>
    <row r="4775" spans="3:20" s="517" customFormat="1" ht="31.2" customHeight="1">
      <c r="C4775" s="537">
        <v>1</v>
      </c>
      <c r="D4775" s="196" t="s">
        <v>6954</v>
      </c>
      <c r="E4775" s="202" t="s">
        <v>6</v>
      </c>
      <c r="F4775" s="520">
        <v>0.05</v>
      </c>
      <c r="G4775" s="205">
        <f>VLOOKUP(D4775,upahbahan,3,FALSE)</f>
        <v>181250</v>
      </c>
      <c r="H4775" s="210">
        <f t="shared" ref="H4775:H4777" si="345">F4775*G4775</f>
        <v>9062.5</v>
      </c>
      <c r="L4775" s="200"/>
      <c r="M4775" s="200"/>
      <c r="N4775" s="200"/>
      <c r="O4775" s="200"/>
      <c r="P4775" s="200"/>
    </row>
    <row r="4776" spans="3:20" s="517" customFormat="1" ht="31.2" customHeight="1">
      <c r="C4776" s="537">
        <v>2</v>
      </c>
      <c r="D4776" s="196" t="s">
        <v>6948</v>
      </c>
      <c r="E4776" s="202" t="s">
        <v>2102</v>
      </c>
      <c r="F4776" s="520">
        <v>0.01</v>
      </c>
      <c r="G4776" s="205">
        <f>VLOOKUP(D4776,upahbahan,3,FALSE)</f>
        <v>218750</v>
      </c>
      <c r="H4776" s="210">
        <f t="shared" si="345"/>
        <v>2187.5</v>
      </c>
      <c r="L4776" s="200"/>
      <c r="M4776" s="200"/>
      <c r="N4776" s="200"/>
      <c r="O4776" s="200"/>
      <c r="P4776" s="200"/>
    </row>
    <row r="4777" spans="3:20" s="517" customFormat="1" ht="31.2" customHeight="1">
      <c r="C4777" s="537">
        <v>3</v>
      </c>
      <c r="D4777" s="196" t="s">
        <v>19</v>
      </c>
      <c r="E4777" s="202" t="s">
        <v>6</v>
      </c>
      <c r="F4777" s="520">
        <v>3.3E-3</v>
      </c>
      <c r="G4777" s="205">
        <f>VLOOKUP(D4777,upahbahan,3,FALSE)</f>
        <v>160000</v>
      </c>
      <c r="H4777" s="210">
        <f t="shared" si="345"/>
        <v>528</v>
      </c>
      <c r="L4777" s="200"/>
      <c r="M4777" s="200"/>
      <c r="N4777" s="200"/>
      <c r="O4777" s="200"/>
      <c r="P4777" s="200"/>
    </row>
    <row r="4778" spans="3:20" s="517" customFormat="1" ht="31.2" customHeight="1">
      <c r="C4778" s="207" t="s">
        <v>1208</v>
      </c>
      <c r="D4778" s="208"/>
      <c r="E4778" s="208"/>
      <c r="F4778" s="521"/>
      <c r="G4778" s="522"/>
      <c r="H4778" s="210">
        <f>SUM(H4775:H4777)</f>
        <v>11778</v>
      </c>
      <c r="L4778" s="523"/>
      <c r="M4778" s="523"/>
      <c r="N4778" s="523"/>
      <c r="O4778" s="523"/>
      <c r="P4778" s="523"/>
    </row>
    <row r="4779" spans="3:20" s="517" customFormat="1" ht="31.2" customHeight="1">
      <c r="C4779" s="543" t="s">
        <v>1209</v>
      </c>
      <c r="D4779" s="750" t="s">
        <v>1210</v>
      </c>
      <c r="E4779" s="197"/>
      <c r="F4779" s="751"/>
      <c r="G4779" s="197"/>
      <c r="H4779" s="752"/>
      <c r="L4779" s="200"/>
      <c r="M4779" s="200"/>
      <c r="N4779" s="200"/>
      <c r="O4779" s="200"/>
      <c r="P4779" s="200"/>
    </row>
    <row r="4780" spans="3:20" s="517" customFormat="1" ht="31.2" customHeight="1">
      <c r="C4780" s="543">
        <v>1</v>
      </c>
      <c r="D4780" s="750" t="s">
        <v>7383</v>
      </c>
      <c r="E4780" s="203" t="s">
        <v>44</v>
      </c>
      <c r="F4780" s="753">
        <v>25</v>
      </c>
      <c r="G4780" s="205">
        <f>VLOOKUP(D4780,upahbahan,3,FALSE)</f>
        <v>0</v>
      </c>
      <c r="H4780" s="210">
        <f t="shared" ref="H4780:H4785" si="346">F4780*G4780</f>
        <v>0</v>
      </c>
      <c r="L4780" s="200"/>
      <c r="M4780" s="200"/>
      <c r="N4780" s="200"/>
      <c r="O4780" s="200"/>
      <c r="P4780" s="200"/>
    </row>
    <row r="4781" spans="3:20" s="517" customFormat="1" ht="31.2" customHeight="1">
      <c r="C4781" s="543">
        <v>2</v>
      </c>
      <c r="D4781" s="750" t="s">
        <v>5563</v>
      </c>
      <c r="E4781" s="203" t="s">
        <v>65</v>
      </c>
      <c r="F4781" s="753">
        <v>0.01</v>
      </c>
      <c r="G4781" s="205">
        <f>VLOOKUP(D4781,upahbahan,3,FALSE)</f>
        <v>0</v>
      </c>
      <c r="H4781" s="210">
        <f t="shared" si="346"/>
        <v>0</v>
      </c>
      <c r="L4781" s="200"/>
      <c r="M4781" s="200"/>
      <c r="N4781" s="200"/>
      <c r="O4781" s="200"/>
      <c r="P4781" s="200"/>
    </row>
    <row r="4782" spans="3:20" s="517" customFormat="1" ht="31.2" customHeight="1">
      <c r="C4782" s="543">
        <v>3</v>
      </c>
      <c r="D4782" s="750" t="s">
        <v>5556</v>
      </c>
      <c r="E4782" s="203"/>
      <c r="F4782" s="753"/>
      <c r="G4782" s="197"/>
      <c r="H4782" s="210">
        <f t="shared" si="346"/>
        <v>0</v>
      </c>
      <c r="L4782" s="200"/>
      <c r="M4782" s="200"/>
      <c r="N4782" s="200"/>
      <c r="O4782" s="200"/>
      <c r="P4782" s="200"/>
    </row>
    <row r="4783" spans="3:20" s="517" customFormat="1" ht="31.2" customHeight="1">
      <c r="C4783" s="754" t="s">
        <v>5293</v>
      </c>
      <c r="D4783" s="750" t="s">
        <v>2084</v>
      </c>
      <c r="E4783" s="203" t="s">
        <v>42</v>
      </c>
      <c r="F4783" s="753">
        <v>5.0000000000000001E-3</v>
      </c>
      <c r="G4783" s="205">
        <f>VLOOKUP(D4783,upahbahan,3,FALSE)</f>
        <v>0</v>
      </c>
      <c r="H4783" s="210">
        <f t="shared" si="346"/>
        <v>0</v>
      </c>
      <c r="L4783" s="200"/>
      <c r="M4783" s="200"/>
      <c r="N4783" s="200"/>
      <c r="O4783" s="200"/>
      <c r="P4783" s="200"/>
    </row>
    <row r="4784" spans="3:20" s="517" customFormat="1" ht="31.2" customHeight="1">
      <c r="C4784" s="754" t="s">
        <v>5299</v>
      </c>
      <c r="D4784" s="750" t="s">
        <v>5566</v>
      </c>
      <c r="E4784" s="203" t="s">
        <v>42</v>
      </c>
      <c r="F4784" s="753">
        <v>1E-3</v>
      </c>
      <c r="G4784" s="205">
        <f>VLOOKUP(D4784,upahbahan,3,FALSE)</f>
        <v>0</v>
      </c>
      <c r="H4784" s="210">
        <f t="shared" si="346"/>
        <v>0</v>
      </c>
      <c r="L4784" s="200"/>
      <c r="M4784" s="200"/>
      <c r="N4784" s="200"/>
      <c r="O4784" s="200"/>
      <c r="P4784" s="200"/>
    </row>
    <row r="4785" spans="3:20" s="517" customFormat="1" ht="31.2" customHeight="1">
      <c r="C4785" s="754" t="s">
        <v>5558</v>
      </c>
      <c r="D4785" s="750" t="s">
        <v>2325</v>
      </c>
      <c r="E4785" s="203" t="s">
        <v>42</v>
      </c>
      <c r="F4785" s="764">
        <v>3.2499999999999999E-4</v>
      </c>
      <c r="G4785" s="205">
        <f>VLOOKUP(D4785,upahbahan,3,FALSE)</f>
        <v>0</v>
      </c>
      <c r="H4785" s="210">
        <f t="shared" si="346"/>
        <v>0</v>
      </c>
      <c r="L4785" s="200"/>
      <c r="M4785" s="200"/>
      <c r="N4785" s="200"/>
      <c r="O4785" s="200"/>
      <c r="P4785" s="200"/>
    </row>
    <row r="4786" spans="3:20" s="517" customFormat="1" ht="31.2" customHeight="1">
      <c r="C4786" s="207" t="s">
        <v>1214</v>
      </c>
      <c r="D4786" s="208"/>
      <c r="E4786" s="568"/>
      <c r="F4786" s="208"/>
      <c r="G4786" s="209"/>
      <c r="H4786" s="210">
        <f>SUM(H4780:H4785)</f>
        <v>0</v>
      </c>
      <c r="L4786" s="200"/>
      <c r="M4786" s="200"/>
      <c r="N4786" s="200"/>
      <c r="O4786" s="200"/>
      <c r="P4786" s="200"/>
    </row>
    <row r="4787" spans="3:20" s="517" customFormat="1" ht="31.2" customHeight="1">
      <c r="C4787" s="756" t="s">
        <v>1215</v>
      </c>
      <c r="D4787" s="196" t="s">
        <v>1216</v>
      </c>
      <c r="E4787" s="203"/>
      <c r="F4787" s="197"/>
      <c r="G4787" s="197"/>
      <c r="H4787" s="198"/>
      <c r="L4787" s="200"/>
      <c r="M4787" s="200"/>
      <c r="N4787" s="200"/>
      <c r="O4787" s="200"/>
      <c r="P4787" s="200"/>
    </row>
    <row r="4788" spans="3:20" s="517" customFormat="1" ht="31.2" customHeight="1">
      <c r="C4788" s="207" t="s">
        <v>1217</v>
      </c>
      <c r="D4788" s="208"/>
      <c r="E4788" s="208"/>
      <c r="F4788" s="208"/>
      <c r="G4788" s="209"/>
      <c r="H4788" s="240">
        <f>SUM(H4787)</f>
        <v>0</v>
      </c>
      <c r="L4788" s="200"/>
      <c r="M4788" s="200"/>
      <c r="N4788" s="200"/>
      <c r="O4788" s="200"/>
      <c r="P4788" s="200"/>
    </row>
    <row r="4789" spans="3:20" s="517" customFormat="1" ht="31.2" customHeight="1">
      <c r="C4789" s="223" t="s">
        <v>1218</v>
      </c>
      <c r="D4789" s="224" t="s">
        <v>1219</v>
      </c>
      <c r="E4789" s="225"/>
      <c r="F4789" s="225"/>
      <c r="G4789" s="226"/>
      <c r="H4789" s="210">
        <f>H4788+H4786+H4778</f>
        <v>11778</v>
      </c>
      <c r="L4789" s="200"/>
      <c r="M4789" s="200"/>
      <c r="N4789" s="200"/>
      <c r="O4789" s="200"/>
      <c r="P4789" s="200"/>
    </row>
    <row r="4790" spans="3:20" s="517" customFormat="1" ht="31.2" customHeight="1">
      <c r="C4790" s="223" t="s">
        <v>1220</v>
      </c>
      <c r="D4790" s="224" t="s">
        <v>1321</v>
      </c>
      <c r="E4790" s="225"/>
      <c r="F4790" s="226"/>
      <c r="G4790" s="228">
        <v>0.1</v>
      </c>
      <c r="H4790" s="210">
        <f>H4789*G4790</f>
        <v>1177.8</v>
      </c>
      <c r="L4790" s="200"/>
      <c r="M4790" s="200"/>
      <c r="N4790" s="200"/>
      <c r="O4790" s="200"/>
      <c r="P4790" s="200"/>
    </row>
    <row r="4791" spans="3:20" s="517" customFormat="1" ht="31.2" customHeight="1" thickBot="1">
      <c r="C4791" s="229" t="s">
        <v>1221</v>
      </c>
      <c r="D4791" s="230" t="s">
        <v>1222</v>
      </c>
      <c r="E4791" s="231"/>
      <c r="F4791" s="231"/>
      <c r="G4791" s="232"/>
      <c r="H4791" s="233">
        <f>SUM(H4789:H4790)</f>
        <v>12955.8</v>
      </c>
      <c r="L4791" s="200"/>
      <c r="M4791" s="200"/>
      <c r="N4791" s="200"/>
      <c r="O4791" s="200"/>
      <c r="P4791" s="200"/>
    </row>
    <row r="4792" spans="3:20" ht="31.2" customHeight="1" thickTop="1">
      <c r="D4792" s="758"/>
    </row>
    <row r="4793" spans="3:20" ht="31.2" customHeight="1">
      <c r="C4793" s="757" t="s">
        <v>6950</v>
      </c>
      <c r="F4793" s="758"/>
      <c r="H4793" s="758" t="s">
        <v>6959</v>
      </c>
    </row>
    <row r="4794" spans="3:20" ht="31.2" customHeight="1">
      <c r="C4794" s="200" t="s">
        <v>6951</v>
      </c>
      <c r="F4794" s="758"/>
    </row>
    <row r="4795" spans="3:20" ht="31.2" customHeight="1">
      <c r="C4795" s="200" t="s">
        <v>6952</v>
      </c>
      <c r="F4795" s="758"/>
    </row>
    <row r="4796" spans="3:20" ht="31.2" customHeight="1">
      <c r="C4796" s="200"/>
      <c r="F4796" s="758"/>
    </row>
    <row r="4797" spans="3:20" s="517" customFormat="1" ht="31.2" customHeight="1" thickBot="1">
      <c r="C4797" s="513" t="s">
        <v>7384</v>
      </c>
      <c r="D4797" s="748" t="s">
        <v>7385</v>
      </c>
      <c r="E4797" s="749"/>
      <c r="F4797" s="748"/>
      <c r="G4797" s="748"/>
      <c r="H4797" s="532"/>
      <c r="I4797" s="532"/>
      <c r="J4797" s="532"/>
      <c r="K4797" s="532"/>
      <c r="M4797" s="189"/>
      <c r="N4797" s="189"/>
      <c r="O4797" s="189"/>
      <c r="P4797" s="189"/>
      <c r="R4797" s="189">
        <f>ROUNDDOWN(H4816,-2)</f>
        <v>12900</v>
      </c>
      <c r="S4797" s="517" t="s">
        <v>6451</v>
      </c>
      <c r="T4797" s="517" t="s">
        <v>7014</v>
      </c>
    </row>
    <row r="4798" spans="3:20" s="517" customFormat="1" ht="31.2" customHeight="1" thickTop="1">
      <c r="C4798" s="190" t="s">
        <v>1195</v>
      </c>
      <c r="D4798" s="191" t="s">
        <v>1196</v>
      </c>
      <c r="E4798" s="191" t="s">
        <v>1197</v>
      </c>
      <c r="F4798" s="191" t="s">
        <v>1198</v>
      </c>
      <c r="G4798" s="191" t="s">
        <v>1199</v>
      </c>
      <c r="H4798" s="192" t="s">
        <v>1200</v>
      </c>
      <c r="L4798" s="200"/>
      <c r="M4798" s="200"/>
      <c r="N4798" s="200"/>
      <c r="O4798" s="200"/>
      <c r="P4798" s="200"/>
    </row>
    <row r="4799" spans="3:20" s="517" customFormat="1" ht="31.2" customHeight="1">
      <c r="C4799" s="518" t="s">
        <v>1201</v>
      </c>
      <c r="D4799" s="196" t="s">
        <v>1202</v>
      </c>
      <c r="E4799" s="197"/>
      <c r="F4799" s="197"/>
      <c r="G4799" s="197"/>
      <c r="H4799" s="198"/>
      <c r="L4799" s="200"/>
      <c r="M4799" s="200"/>
      <c r="N4799" s="200"/>
      <c r="O4799" s="200"/>
      <c r="P4799" s="200"/>
    </row>
    <row r="4800" spans="3:20" s="517" customFormat="1" ht="31.2" customHeight="1">
      <c r="C4800" s="537">
        <v>1</v>
      </c>
      <c r="D4800" s="196" t="s">
        <v>6954</v>
      </c>
      <c r="E4800" s="202" t="s">
        <v>6</v>
      </c>
      <c r="F4800" s="520">
        <v>0.05</v>
      </c>
      <c r="G4800" s="205">
        <f>VLOOKUP(D4800,upahbahan,3,FALSE)</f>
        <v>181250</v>
      </c>
      <c r="H4800" s="210">
        <f t="shared" ref="H4800:H4802" si="347">F4800*G4800</f>
        <v>9062.5</v>
      </c>
      <c r="L4800" s="200"/>
      <c r="M4800" s="200"/>
      <c r="N4800" s="200"/>
      <c r="O4800" s="200"/>
      <c r="P4800" s="200"/>
    </row>
    <row r="4801" spans="3:16" s="517" customFormat="1" ht="31.2" customHeight="1">
      <c r="C4801" s="537">
        <v>2</v>
      </c>
      <c r="D4801" s="196" t="s">
        <v>6948</v>
      </c>
      <c r="E4801" s="202" t="s">
        <v>2102</v>
      </c>
      <c r="F4801" s="520">
        <v>0.01</v>
      </c>
      <c r="G4801" s="205">
        <f>VLOOKUP(D4801,upahbahan,3,FALSE)</f>
        <v>218750</v>
      </c>
      <c r="H4801" s="210">
        <f t="shared" si="347"/>
        <v>2187.5</v>
      </c>
      <c r="L4801" s="200"/>
      <c r="M4801" s="200"/>
      <c r="N4801" s="200"/>
      <c r="O4801" s="200"/>
      <c r="P4801" s="200"/>
    </row>
    <row r="4802" spans="3:16" s="517" customFormat="1" ht="31.2" customHeight="1">
      <c r="C4802" s="537">
        <v>3</v>
      </c>
      <c r="D4802" s="196" t="s">
        <v>19</v>
      </c>
      <c r="E4802" s="202" t="s">
        <v>6</v>
      </c>
      <c r="F4802" s="520">
        <v>3.3E-3</v>
      </c>
      <c r="G4802" s="205">
        <f>VLOOKUP(D4802,upahbahan,3,FALSE)</f>
        <v>160000</v>
      </c>
      <c r="H4802" s="210">
        <f t="shared" si="347"/>
        <v>528</v>
      </c>
      <c r="L4802" s="200"/>
      <c r="M4802" s="200"/>
      <c r="N4802" s="200"/>
      <c r="O4802" s="200"/>
      <c r="P4802" s="200"/>
    </row>
    <row r="4803" spans="3:16" s="517" customFormat="1" ht="31.2" customHeight="1">
      <c r="C4803" s="207" t="s">
        <v>1208</v>
      </c>
      <c r="D4803" s="208"/>
      <c r="E4803" s="208"/>
      <c r="F4803" s="521"/>
      <c r="G4803" s="522"/>
      <c r="H4803" s="210">
        <f>SUM(H4800:H4802)</f>
        <v>11778</v>
      </c>
      <c r="L4803" s="523"/>
      <c r="M4803" s="523"/>
      <c r="N4803" s="523"/>
      <c r="O4803" s="523"/>
      <c r="P4803" s="523"/>
    </row>
    <row r="4804" spans="3:16" s="517" customFormat="1" ht="31.2" customHeight="1">
      <c r="C4804" s="543" t="s">
        <v>1209</v>
      </c>
      <c r="D4804" s="750" t="s">
        <v>1210</v>
      </c>
      <c r="E4804" s="197"/>
      <c r="F4804" s="751"/>
      <c r="G4804" s="197"/>
      <c r="H4804" s="752"/>
      <c r="L4804" s="200"/>
      <c r="M4804" s="200"/>
      <c r="N4804" s="200"/>
      <c r="O4804" s="200"/>
      <c r="P4804" s="200"/>
    </row>
    <row r="4805" spans="3:16" s="517" customFormat="1" ht="31.2" customHeight="1">
      <c r="C4805" s="543">
        <v>1</v>
      </c>
      <c r="D4805" s="750" t="s">
        <v>7386</v>
      </c>
      <c r="E4805" s="203" t="s">
        <v>44</v>
      </c>
      <c r="F4805" s="753">
        <v>25</v>
      </c>
      <c r="G4805" s="205">
        <f>VLOOKUP(D4805,upahbahan,3,FALSE)</f>
        <v>0</v>
      </c>
      <c r="H4805" s="210">
        <f t="shared" ref="H4805:H4810" si="348">F4805*G4805</f>
        <v>0</v>
      </c>
      <c r="L4805" s="200"/>
      <c r="M4805" s="200"/>
      <c r="N4805" s="200"/>
      <c r="O4805" s="200"/>
      <c r="P4805" s="200"/>
    </row>
    <row r="4806" spans="3:16" s="517" customFormat="1" ht="31.2" customHeight="1">
      <c r="C4806" s="543">
        <v>2</v>
      </c>
      <c r="D4806" s="750" t="s">
        <v>5563</v>
      </c>
      <c r="E4806" s="203" t="s">
        <v>65</v>
      </c>
      <c r="F4806" s="753">
        <v>0.01</v>
      </c>
      <c r="G4806" s="205">
        <f>VLOOKUP(D4806,upahbahan,3,FALSE)</f>
        <v>0</v>
      </c>
      <c r="H4806" s="210">
        <f t="shared" si="348"/>
        <v>0</v>
      </c>
      <c r="L4806" s="200"/>
      <c r="M4806" s="200"/>
      <c r="N4806" s="200"/>
      <c r="O4806" s="200"/>
      <c r="P4806" s="200"/>
    </row>
    <row r="4807" spans="3:16" s="517" customFormat="1" ht="31.2" customHeight="1">
      <c r="C4807" s="543">
        <v>3</v>
      </c>
      <c r="D4807" s="750" t="s">
        <v>5556</v>
      </c>
      <c r="E4807" s="203"/>
      <c r="F4807" s="753"/>
      <c r="G4807" s="197"/>
      <c r="H4807" s="210">
        <f t="shared" si="348"/>
        <v>0</v>
      </c>
      <c r="L4807" s="200"/>
      <c r="M4807" s="200"/>
      <c r="N4807" s="200"/>
      <c r="O4807" s="200"/>
      <c r="P4807" s="200"/>
    </row>
    <row r="4808" spans="3:16" s="517" customFormat="1" ht="31.2" customHeight="1">
      <c r="C4808" s="754" t="s">
        <v>5293</v>
      </c>
      <c r="D4808" s="750" t="s">
        <v>2084</v>
      </c>
      <c r="E4808" s="203" t="s">
        <v>42</v>
      </c>
      <c r="F4808" s="753">
        <v>5.0000000000000001E-3</v>
      </c>
      <c r="G4808" s="205">
        <f>VLOOKUP(D4808,upahbahan,3,FALSE)</f>
        <v>0</v>
      </c>
      <c r="H4808" s="210">
        <f t="shared" si="348"/>
        <v>0</v>
      </c>
      <c r="L4808" s="200"/>
      <c r="M4808" s="200"/>
      <c r="N4808" s="200"/>
      <c r="O4808" s="200"/>
      <c r="P4808" s="200"/>
    </row>
    <row r="4809" spans="3:16" s="517" customFormat="1" ht="31.2" customHeight="1">
      <c r="C4809" s="754" t="s">
        <v>5299</v>
      </c>
      <c r="D4809" s="750" t="s">
        <v>5566</v>
      </c>
      <c r="E4809" s="203" t="s">
        <v>42</v>
      </c>
      <c r="F4809" s="753">
        <v>1E-3</v>
      </c>
      <c r="G4809" s="205">
        <f>VLOOKUP(D4809,upahbahan,3,FALSE)</f>
        <v>0</v>
      </c>
      <c r="H4809" s="210">
        <f t="shared" si="348"/>
        <v>0</v>
      </c>
      <c r="L4809" s="200"/>
      <c r="M4809" s="200"/>
      <c r="N4809" s="200"/>
      <c r="O4809" s="200"/>
      <c r="P4809" s="200"/>
    </row>
    <row r="4810" spans="3:16" s="517" customFormat="1" ht="31.2" customHeight="1">
      <c r="C4810" s="754" t="s">
        <v>5558</v>
      </c>
      <c r="D4810" s="750" t="s">
        <v>2325</v>
      </c>
      <c r="E4810" s="203" t="s">
        <v>42</v>
      </c>
      <c r="F4810" s="764">
        <v>3.2499999999999999E-4</v>
      </c>
      <c r="G4810" s="205">
        <f>VLOOKUP(D4810,upahbahan,3,FALSE)</f>
        <v>0</v>
      </c>
      <c r="H4810" s="210">
        <f t="shared" si="348"/>
        <v>0</v>
      </c>
      <c r="L4810" s="200"/>
      <c r="M4810" s="200"/>
      <c r="N4810" s="200"/>
      <c r="O4810" s="200"/>
      <c r="P4810" s="200"/>
    </row>
    <row r="4811" spans="3:16" s="517" customFormat="1" ht="31.2" customHeight="1">
      <c r="C4811" s="207" t="s">
        <v>1214</v>
      </c>
      <c r="D4811" s="208"/>
      <c r="E4811" s="568"/>
      <c r="F4811" s="208"/>
      <c r="G4811" s="209"/>
      <c r="H4811" s="210">
        <f>SUM(H4805:H4810)</f>
        <v>0</v>
      </c>
      <c r="L4811" s="200"/>
      <c r="M4811" s="200"/>
      <c r="N4811" s="200"/>
      <c r="O4811" s="200"/>
      <c r="P4811" s="200"/>
    </row>
    <row r="4812" spans="3:16" s="517" customFormat="1" ht="31.2" customHeight="1">
      <c r="C4812" s="756" t="s">
        <v>1215</v>
      </c>
      <c r="D4812" s="196" t="s">
        <v>1216</v>
      </c>
      <c r="E4812" s="203"/>
      <c r="F4812" s="197"/>
      <c r="G4812" s="197"/>
      <c r="H4812" s="198"/>
      <c r="L4812" s="200"/>
      <c r="M4812" s="200"/>
      <c r="N4812" s="200"/>
      <c r="O4812" s="200"/>
      <c r="P4812" s="200"/>
    </row>
    <row r="4813" spans="3:16" s="517" customFormat="1" ht="31.2" customHeight="1">
      <c r="C4813" s="207" t="s">
        <v>1217</v>
      </c>
      <c r="D4813" s="208"/>
      <c r="E4813" s="208"/>
      <c r="F4813" s="208"/>
      <c r="G4813" s="209"/>
      <c r="H4813" s="240">
        <f>SUM(H4812)</f>
        <v>0</v>
      </c>
      <c r="L4813" s="200"/>
      <c r="M4813" s="200"/>
      <c r="N4813" s="200"/>
      <c r="O4813" s="200"/>
      <c r="P4813" s="200"/>
    </row>
    <row r="4814" spans="3:16" s="517" customFormat="1" ht="31.2" customHeight="1">
      <c r="C4814" s="223" t="s">
        <v>1218</v>
      </c>
      <c r="D4814" s="224" t="s">
        <v>1219</v>
      </c>
      <c r="E4814" s="225"/>
      <c r="F4814" s="225"/>
      <c r="G4814" s="226"/>
      <c r="H4814" s="210">
        <f>H4813+H4811+H4803</f>
        <v>11778</v>
      </c>
      <c r="L4814" s="200"/>
      <c r="M4814" s="200"/>
      <c r="N4814" s="200"/>
      <c r="O4814" s="200"/>
      <c r="P4814" s="200"/>
    </row>
    <row r="4815" spans="3:16" s="517" customFormat="1" ht="31.2" customHeight="1">
      <c r="C4815" s="223" t="s">
        <v>1220</v>
      </c>
      <c r="D4815" s="224" t="s">
        <v>1321</v>
      </c>
      <c r="E4815" s="225"/>
      <c r="F4815" s="226"/>
      <c r="G4815" s="228">
        <v>0.1</v>
      </c>
      <c r="H4815" s="210">
        <f>H4814*G4815</f>
        <v>1177.8</v>
      </c>
      <c r="L4815" s="200"/>
      <c r="M4815" s="200"/>
      <c r="N4815" s="200"/>
      <c r="O4815" s="200"/>
      <c r="P4815" s="200"/>
    </row>
    <row r="4816" spans="3:16" s="517" customFormat="1" ht="31.2" customHeight="1" thickBot="1">
      <c r="C4816" s="229" t="s">
        <v>1221</v>
      </c>
      <c r="D4816" s="230" t="s">
        <v>1222</v>
      </c>
      <c r="E4816" s="231"/>
      <c r="F4816" s="231"/>
      <c r="G4816" s="232"/>
      <c r="H4816" s="233">
        <f>SUM(H4814:H4815)</f>
        <v>12955.8</v>
      </c>
      <c r="L4816" s="200"/>
      <c r="M4816" s="200"/>
      <c r="N4816" s="200"/>
      <c r="O4816" s="200"/>
      <c r="P4816" s="200"/>
    </row>
    <row r="4817" spans="3:20" ht="31.2" customHeight="1" thickTop="1">
      <c r="D4817" s="758"/>
    </row>
    <row r="4818" spans="3:20" ht="31.2" customHeight="1">
      <c r="C4818" s="757" t="s">
        <v>6950</v>
      </c>
      <c r="F4818" s="758"/>
      <c r="H4818" s="758" t="s">
        <v>6959</v>
      </c>
    </row>
    <row r="4819" spans="3:20" ht="31.2" customHeight="1">
      <c r="C4819" s="200" t="s">
        <v>6951</v>
      </c>
      <c r="F4819" s="758"/>
    </row>
    <row r="4820" spans="3:20" ht="31.2" customHeight="1">
      <c r="C4820" s="200" t="s">
        <v>6952</v>
      </c>
      <c r="F4820" s="758"/>
    </row>
    <row r="4821" spans="3:20" ht="31.2" customHeight="1">
      <c r="C4821" s="200"/>
      <c r="F4821" s="758"/>
    </row>
    <row r="4822" spans="3:20" s="517" customFormat="1" ht="31.2" customHeight="1" thickBot="1">
      <c r="C4822" s="513" t="s">
        <v>7387</v>
      </c>
      <c r="D4822" s="748" t="s">
        <v>7388</v>
      </c>
      <c r="E4822" s="749"/>
      <c r="F4822" s="748"/>
      <c r="G4822" s="748"/>
      <c r="H4822" s="532"/>
      <c r="I4822" s="532"/>
      <c r="J4822" s="532"/>
      <c r="K4822" s="532"/>
      <c r="M4822" s="189"/>
      <c r="N4822" s="189"/>
      <c r="O4822" s="189"/>
      <c r="P4822" s="189"/>
      <c r="R4822" s="189">
        <f>ROUNDDOWN(H4841,-2)</f>
        <v>12900</v>
      </c>
      <c r="S4822" s="517" t="s">
        <v>6451</v>
      </c>
      <c r="T4822" s="517" t="s">
        <v>7014</v>
      </c>
    </row>
    <row r="4823" spans="3:20" s="517" customFormat="1" ht="31.2" customHeight="1" thickTop="1">
      <c r="C4823" s="190" t="s">
        <v>1195</v>
      </c>
      <c r="D4823" s="191" t="s">
        <v>1196</v>
      </c>
      <c r="E4823" s="191" t="s">
        <v>1197</v>
      </c>
      <c r="F4823" s="191" t="s">
        <v>1198</v>
      </c>
      <c r="G4823" s="191" t="s">
        <v>1199</v>
      </c>
      <c r="H4823" s="192" t="s">
        <v>1200</v>
      </c>
      <c r="L4823" s="200"/>
      <c r="M4823" s="200"/>
      <c r="N4823" s="200"/>
      <c r="O4823" s="200"/>
      <c r="P4823" s="200"/>
    </row>
    <row r="4824" spans="3:20" s="517" customFormat="1" ht="31.2" customHeight="1">
      <c r="C4824" s="518" t="s">
        <v>1201</v>
      </c>
      <c r="D4824" s="196" t="s">
        <v>1202</v>
      </c>
      <c r="E4824" s="197"/>
      <c r="F4824" s="197"/>
      <c r="G4824" s="197"/>
      <c r="H4824" s="198"/>
      <c r="L4824" s="200"/>
      <c r="M4824" s="200"/>
      <c r="N4824" s="200"/>
      <c r="O4824" s="200"/>
      <c r="P4824" s="200"/>
    </row>
    <row r="4825" spans="3:20" s="517" customFormat="1" ht="31.2" customHeight="1">
      <c r="C4825" s="537">
        <v>1</v>
      </c>
      <c r="D4825" s="196" t="s">
        <v>6954</v>
      </c>
      <c r="E4825" s="202" t="s">
        <v>6</v>
      </c>
      <c r="F4825" s="520">
        <v>0.05</v>
      </c>
      <c r="G4825" s="205">
        <f>VLOOKUP(D4825,upahbahan,3,FALSE)</f>
        <v>181250</v>
      </c>
      <c r="H4825" s="210">
        <f t="shared" ref="H4825:H4827" si="349">F4825*G4825</f>
        <v>9062.5</v>
      </c>
      <c r="L4825" s="200"/>
      <c r="M4825" s="200"/>
      <c r="N4825" s="200"/>
      <c r="O4825" s="200"/>
      <c r="P4825" s="200"/>
    </row>
    <row r="4826" spans="3:20" s="517" customFormat="1" ht="31.2" customHeight="1">
      <c r="C4826" s="537">
        <v>2</v>
      </c>
      <c r="D4826" s="196" t="s">
        <v>6948</v>
      </c>
      <c r="E4826" s="202" t="s">
        <v>2102</v>
      </c>
      <c r="F4826" s="520">
        <v>0.01</v>
      </c>
      <c r="G4826" s="205">
        <f>VLOOKUP(D4826,upahbahan,3,FALSE)</f>
        <v>218750</v>
      </c>
      <c r="H4826" s="210">
        <f t="shared" si="349"/>
        <v>2187.5</v>
      </c>
      <c r="L4826" s="200"/>
      <c r="M4826" s="200"/>
      <c r="N4826" s="200"/>
      <c r="O4826" s="200"/>
      <c r="P4826" s="200"/>
    </row>
    <row r="4827" spans="3:20" s="517" customFormat="1" ht="31.2" customHeight="1">
      <c r="C4827" s="537">
        <v>3</v>
      </c>
      <c r="D4827" s="196" t="s">
        <v>19</v>
      </c>
      <c r="E4827" s="202" t="s">
        <v>6</v>
      </c>
      <c r="F4827" s="520">
        <v>3.3E-3</v>
      </c>
      <c r="G4827" s="205">
        <f>VLOOKUP(D4827,upahbahan,3,FALSE)</f>
        <v>160000</v>
      </c>
      <c r="H4827" s="210">
        <f t="shared" si="349"/>
        <v>528</v>
      </c>
      <c r="L4827" s="200"/>
      <c r="M4827" s="200"/>
      <c r="N4827" s="200"/>
      <c r="O4827" s="200"/>
      <c r="P4827" s="200"/>
    </row>
    <row r="4828" spans="3:20" s="517" customFormat="1" ht="31.2" customHeight="1">
      <c r="C4828" s="207" t="s">
        <v>1208</v>
      </c>
      <c r="D4828" s="208"/>
      <c r="E4828" s="208"/>
      <c r="F4828" s="521"/>
      <c r="G4828" s="522"/>
      <c r="H4828" s="210">
        <f>SUM(H4825:H4827)</f>
        <v>11778</v>
      </c>
      <c r="L4828" s="523"/>
      <c r="M4828" s="523"/>
      <c r="N4828" s="523"/>
      <c r="O4828" s="523"/>
      <c r="P4828" s="523"/>
    </row>
    <row r="4829" spans="3:20" s="517" customFormat="1" ht="31.2" customHeight="1">
      <c r="C4829" s="543" t="s">
        <v>1209</v>
      </c>
      <c r="D4829" s="750" t="s">
        <v>1210</v>
      </c>
      <c r="E4829" s="197"/>
      <c r="F4829" s="751"/>
      <c r="G4829" s="197"/>
      <c r="H4829" s="752"/>
      <c r="L4829" s="200"/>
      <c r="M4829" s="200"/>
      <c r="N4829" s="200"/>
      <c r="O4829" s="200"/>
      <c r="P4829" s="200"/>
    </row>
    <row r="4830" spans="3:20" s="517" customFormat="1" ht="31.2" customHeight="1">
      <c r="C4830" s="543">
        <v>1</v>
      </c>
      <c r="D4830" s="750" t="s">
        <v>7389</v>
      </c>
      <c r="E4830" s="203" t="s">
        <v>44</v>
      </c>
      <c r="F4830" s="753">
        <v>25</v>
      </c>
      <c r="G4830" s="205">
        <f>VLOOKUP(D4830,upahbahan,3,FALSE)</f>
        <v>0</v>
      </c>
      <c r="H4830" s="210">
        <f t="shared" ref="H4830:H4835" si="350">F4830*G4830</f>
        <v>0</v>
      </c>
      <c r="L4830" s="200"/>
      <c r="M4830" s="200"/>
      <c r="N4830" s="200"/>
      <c r="O4830" s="200"/>
      <c r="P4830" s="200"/>
    </row>
    <row r="4831" spans="3:20" s="517" customFormat="1" ht="31.2" customHeight="1">
      <c r="C4831" s="543">
        <v>2</v>
      </c>
      <c r="D4831" s="750" t="s">
        <v>5563</v>
      </c>
      <c r="E4831" s="203" t="s">
        <v>65</v>
      </c>
      <c r="F4831" s="753">
        <v>0.01</v>
      </c>
      <c r="G4831" s="205">
        <f>VLOOKUP(D4831,upahbahan,3,FALSE)</f>
        <v>0</v>
      </c>
      <c r="H4831" s="210">
        <f t="shared" si="350"/>
        <v>0</v>
      </c>
      <c r="L4831" s="200"/>
      <c r="M4831" s="200"/>
      <c r="N4831" s="200"/>
      <c r="O4831" s="200"/>
      <c r="P4831" s="200"/>
    </row>
    <row r="4832" spans="3:20" s="517" customFormat="1" ht="31.2" customHeight="1">
      <c r="C4832" s="543">
        <v>3</v>
      </c>
      <c r="D4832" s="750" t="s">
        <v>5556</v>
      </c>
      <c r="E4832" s="203"/>
      <c r="F4832" s="753"/>
      <c r="G4832" s="197"/>
      <c r="H4832" s="210">
        <f t="shared" si="350"/>
        <v>0</v>
      </c>
      <c r="L4832" s="200"/>
      <c r="M4832" s="200"/>
      <c r="N4832" s="200"/>
      <c r="O4832" s="200"/>
      <c r="P4832" s="200"/>
    </row>
    <row r="4833" spans="3:20" s="517" customFormat="1" ht="31.2" customHeight="1">
      <c r="C4833" s="754" t="s">
        <v>5293</v>
      </c>
      <c r="D4833" s="750" t="s">
        <v>2084</v>
      </c>
      <c r="E4833" s="203" t="s">
        <v>42</v>
      </c>
      <c r="F4833" s="753">
        <v>5.0000000000000001E-3</v>
      </c>
      <c r="G4833" s="205">
        <f>VLOOKUP(D4833,upahbahan,3,FALSE)</f>
        <v>0</v>
      </c>
      <c r="H4833" s="210">
        <f t="shared" si="350"/>
        <v>0</v>
      </c>
      <c r="L4833" s="200"/>
      <c r="M4833" s="200"/>
      <c r="N4833" s="200"/>
      <c r="O4833" s="200"/>
      <c r="P4833" s="200"/>
    </row>
    <row r="4834" spans="3:20" s="517" customFormat="1" ht="31.2" customHeight="1">
      <c r="C4834" s="754" t="s">
        <v>5299</v>
      </c>
      <c r="D4834" s="750" t="s">
        <v>5566</v>
      </c>
      <c r="E4834" s="203" t="s">
        <v>42</v>
      </c>
      <c r="F4834" s="753">
        <v>1E-3</v>
      </c>
      <c r="G4834" s="205">
        <f>VLOOKUP(D4834,upahbahan,3,FALSE)</f>
        <v>0</v>
      </c>
      <c r="H4834" s="210">
        <f t="shared" si="350"/>
        <v>0</v>
      </c>
      <c r="L4834" s="200"/>
      <c r="M4834" s="200"/>
      <c r="N4834" s="200"/>
      <c r="O4834" s="200"/>
      <c r="P4834" s="200"/>
    </row>
    <row r="4835" spans="3:20" s="517" customFormat="1" ht="31.2" customHeight="1">
      <c r="C4835" s="754" t="s">
        <v>5558</v>
      </c>
      <c r="D4835" s="750" t="s">
        <v>2325</v>
      </c>
      <c r="E4835" s="203" t="s">
        <v>42</v>
      </c>
      <c r="F4835" s="764">
        <v>3.2499999999999999E-4</v>
      </c>
      <c r="G4835" s="205">
        <f>VLOOKUP(D4835,upahbahan,3,FALSE)</f>
        <v>0</v>
      </c>
      <c r="H4835" s="210">
        <f t="shared" si="350"/>
        <v>0</v>
      </c>
      <c r="L4835" s="200"/>
      <c r="M4835" s="200"/>
      <c r="N4835" s="200"/>
      <c r="O4835" s="200"/>
      <c r="P4835" s="200"/>
    </row>
    <row r="4836" spans="3:20" s="517" customFormat="1" ht="31.2" customHeight="1">
      <c r="C4836" s="207" t="s">
        <v>1214</v>
      </c>
      <c r="D4836" s="208"/>
      <c r="E4836" s="568"/>
      <c r="F4836" s="208"/>
      <c r="G4836" s="209"/>
      <c r="H4836" s="210">
        <f>SUM(H4830:H4835)</f>
        <v>0</v>
      </c>
      <c r="L4836" s="200"/>
      <c r="M4836" s="200"/>
      <c r="N4836" s="200"/>
      <c r="O4836" s="200"/>
      <c r="P4836" s="200"/>
    </row>
    <row r="4837" spans="3:20" s="517" customFormat="1" ht="31.2" customHeight="1">
      <c r="C4837" s="756" t="s">
        <v>1215</v>
      </c>
      <c r="D4837" s="196" t="s">
        <v>1216</v>
      </c>
      <c r="E4837" s="203"/>
      <c r="F4837" s="197"/>
      <c r="G4837" s="197"/>
      <c r="H4837" s="198"/>
      <c r="L4837" s="200"/>
      <c r="M4837" s="200"/>
      <c r="N4837" s="200"/>
      <c r="O4837" s="200"/>
      <c r="P4837" s="200"/>
    </row>
    <row r="4838" spans="3:20" s="517" customFormat="1" ht="31.2" customHeight="1">
      <c r="C4838" s="207" t="s">
        <v>1217</v>
      </c>
      <c r="D4838" s="208"/>
      <c r="E4838" s="208"/>
      <c r="F4838" s="208"/>
      <c r="G4838" s="209"/>
      <c r="H4838" s="240">
        <f>SUM(H4837)</f>
        <v>0</v>
      </c>
      <c r="L4838" s="200"/>
      <c r="M4838" s="200"/>
      <c r="N4838" s="200"/>
      <c r="O4838" s="200"/>
      <c r="P4838" s="200"/>
    </row>
    <row r="4839" spans="3:20" s="517" customFormat="1" ht="31.2" customHeight="1">
      <c r="C4839" s="223" t="s">
        <v>1218</v>
      </c>
      <c r="D4839" s="224" t="s">
        <v>1219</v>
      </c>
      <c r="E4839" s="225"/>
      <c r="F4839" s="225"/>
      <c r="G4839" s="226"/>
      <c r="H4839" s="210">
        <f>H4838+H4836+H4828</f>
        <v>11778</v>
      </c>
      <c r="L4839" s="200"/>
      <c r="M4839" s="200"/>
      <c r="N4839" s="200"/>
      <c r="O4839" s="200"/>
      <c r="P4839" s="200"/>
    </row>
    <row r="4840" spans="3:20" s="517" customFormat="1" ht="31.2" customHeight="1">
      <c r="C4840" s="223" t="s">
        <v>1220</v>
      </c>
      <c r="D4840" s="224" t="s">
        <v>1321</v>
      </c>
      <c r="E4840" s="225"/>
      <c r="F4840" s="226"/>
      <c r="G4840" s="228">
        <v>0.1</v>
      </c>
      <c r="H4840" s="210">
        <f>H4839*G4840</f>
        <v>1177.8</v>
      </c>
      <c r="L4840" s="200"/>
      <c r="M4840" s="200"/>
      <c r="N4840" s="200"/>
      <c r="O4840" s="200"/>
      <c r="P4840" s="200"/>
    </row>
    <row r="4841" spans="3:20" s="517" customFormat="1" ht="31.2" customHeight="1" thickBot="1">
      <c r="C4841" s="229" t="s">
        <v>1221</v>
      </c>
      <c r="D4841" s="230" t="s">
        <v>1222</v>
      </c>
      <c r="E4841" s="231"/>
      <c r="F4841" s="231"/>
      <c r="G4841" s="232"/>
      <c r="H4841" s="233">
        <f>SUM(H4839:H4840)</f>
        <v>12955.8</v>
      </c>
      <c r="L4841" s="200"/>
      <c r="M4841" s="200"/>
      <c r="N4841" s="200"/>
      <c r="O4841" s="200"/>
      <c r="P4841" s="200"/>
    </row>
    <row r="4842" spans="3:20" ht="31.2" customHeight="1" thickTop="1">
      <c r="D4842" s="758"/>
    </row>
    <row r="4843" spans="3:20" ht="31.2" customHeight="1">
      <c r="C4843" s="757" t="s">
        <v>6950</v>
      </c>
      <c r="F4843" s="758"/>
      <c r="H4843" s="758" t="s">
        <v>6959</v>
      </c>
    </row>
    <row r="4844" spans="3:20" ht="31.2" customHeight="1">
      <c r="C4844" s="200" t="s">
        <v>6951</v>
      </c>
      <c r="F4844" s="758"/>
    </row>
    <row r="4845" spans="3:20" ht="31.2" customHeight="1">
      <c r="C4845" s="200" t="s">
        <v>6952</v>
      </c>
      <c r="F4845" s="758"/>
    </row>
    <row r="4846" spans="3:20" ht="31.2" customHeight="1">
      <c r="C4846" s="200"/>
      <c r="F4846" s="758"/>
    </row>
    <row r="4847" spans="3:20" s="517" customFormat="1" ht="31.2" customHeight="1" thickBot="1">
      <c r="C4847" s="513" t="s">
        <v>7390</v>
      </c>
      <c r="D4847" s="748" t="s">
        <v>7391</v>
      </c>
      <c r="E4847" s="749"/>
      <c r="F4847" s="748"/>
      <c r="G4847" s="748"/>
      <c r="H4847" s="532"/>
      <c r="I4847" s="532"/>
      <c r="J4847" s="532"/>
      <c r="K4847" s="532"/>
      <c r="M4847" s="189"/>
      <c r="N4847" s="189"/>
      <c r="O4847" s="189"/>
      <c r="P4847" s="189"/>
      <c r="R4847" s="189">
        <f>ROUNDDOWN(H4866,-2)</f>
        <v>12900</v>
      </c>
      <c r="S4847" s="517" t="s">
        <v>6451</v>
      </c>
      <c r="T4847" s="517" t="s">
        <v>7014</v>
      </c>
    </row>
    <row r="4848" spans="3:20" s="517" customFormat="1" ht="31.2" customHeight="1" thickTop="1">
      <c r="C4848" s="190" t="s">
        <v>1195</v>
      </c>
      <c r="D4848" s="191" t="s">
        <v>1196</v>
      </c>
      <c r="E4848" s="191" t="s">
        <v>1197</v>
      </c>
      <c r="F4848" s="191" t="s">
        <v>1198</v>
      </c>
      <c r="G4848" s="191" t="s">
        <v>1199</v>
      </c>
      <c r="H4848" s="192" t="s">
        <v>1200</v>
      </c>
      <c r="L4848" s="200"/>
      <c r="M4848" s="200"/>
      <c r="N4848" s="200"/>
      <c r="O4848" s="200"/>
      <c r="P4848" s="200"/>
    </row>
    <row r="4849" spans="3:16" s="517" customFormat="1" ht="31.2" customHeight="1">
      <c r="C4849" s="518" t="s">
        <v>1201</v>
      </c>
      <c r="D4849" s="196" t="s">
        <v>1202</v>
      </c>
      <c r="E4849" s="197"/>
      <c r="F4849" s="197"/>
      <c r="G4849" s="197"/>
      <c r="H4849" s="198"/>
      <c r="L4849" s="200"/>
      <c r="M4849" s="200"/>
      <c r="N4849" s="200"/>
      <c r="O4849" s="200"/>
      <c r="P4849" s="200"/>
    </row>
    <row r="4850" spans="3:16" s="517" customFormat="1" ht="31.2" customHeight="1">
      <c r="C4850" s="537">
        <v>1</v>
      </c>
      <c r="D4850" s="196" t="s">
        <v>6954</v>
      </c>
      <c r="E4850" s="202" t="s">
        <v>6</v>
      </c>
      <c r="F4850" s="520">
        <v>0.05</v>
      </c>
      <c r="G4850" s="205">
        <f>VLOOKUP(D4850,upahbahan,3,FALSE)</f>
        <v>181250</v>
      </c>
      <c r="H4850" s="210">
        <f t="shared" ref="H4850:H4852" si="351">F4850*G4850</f>
        <v>9062.5</v>
      </c>
      <c r="L4850" s="200"/>
      <c r="M4850" s="200"/>
      <c r="N4850" s="200"/>
      <c r="O4850" s="200"/>
      <c r="P4850" s="200"/>
    </row>
    <row r="4851" spans="3:16" s="517" customFormat="1" ht="31.2" customHeight="1">
      <c r="C4851" s="537">
        <v>2</v>
      </c>
      <c r="D4851" s="196" t="s">
        <v>6948</v>
      </c>
      <c r="E4851" s="202" t="s">
        <v>2102</v>
      </c>
      <c r="F4851" s="520">
        <v>0.01</v>
      </c>
      <c r="G4851" s="205">
        <f>VLOOKUP(D4851,upahbahan,3,FALSE)</f>
        <v>218750</v>
      </c>
      <c r="H4851" s="210">
        <f t="shared" si="351"/>
        <v>2187.5</v>
      </c>
      <c r="L4851" s="200"/>
      <c r="M4851" s="200"/>
      <c r="N4851" s="200"/>
      <c r="O4851" s="200"/>
      <c r="P4851" s="200"/>
    </row>
    <row r="4852" spans="3:16" s="517" customFormat="1" ht="31.2" customHeight="1">
      <c r="C4852" s="537">
        <v>3</v>
      </c>
      <c r="D4852" s="196" t="s">
        <v>19</v>
      </c>
      <c r="E4852" s="202" t="s">
        <v>6</v>
      </c>
      <c r="F4852" s="520">
        <v>3.3E-3</v>
      </c>
      <c r="G4852" s="205">
        <f>VLOOKUP(D4852,upahbahan,3,FALSE)</f>
        <v>160000</v>
      </c>
      <c r="H4852" s="210">
        <f t="shared" si="351"/>
        <v>528</v>
      </c>
      <c r="L4852" s="200"/>
      <c r="M4852" s="200"/>
      <c r="N4852" s="200"/>
      <c r="O4852" s="200"/>
      <c r="P4852" s="200"/>
    </row>
    <row r="4853" spans="3:16" s="517" customFormat="1" ht="31.2" customHeight="1">
      <c r="C4853" s="207" t="s">
        <v>1208</v>
      </c>
      <c r="D4853" s="208"/>
      <c r="E4853" s="208"/>
      <c r="F4853" s="521"/>
      <c r="G4853" s="522"/>
      <c r="H4853" s="210">
        <f>SUM(H4850:H4852)</f>
        <v>11778</v>
      </c>
      <c r="L4853" s="523"/>
      <c r="M4853" s="523"/>
      <c r="N4853" s="523"/>
      <c r="O4853" s="523"/>
      <c r="P4853" s="523"/>
    </row>
    <row r="4854" spans="3:16" s="517" customFormat="1" ht="31.2" customHeight="1">
      <c r="C4854" s="543" t="s">
        <v>1209</v>
      </c>
      <c r="D4854" s="750" t="s">
        <v>1210</v>
      </c>
      <c r="E4854" s="197"/>
      <c r="F4854" s="751"/>
      <c r="G4854" s="197"/>
      <c r="H4854" s="752"/>
      <c r="L4854" s="200"/>
      <c r="M4854" s="200"/>
      <c r="N4854" s="200"/>
      <c r="O4854" s="200"/>
      <c r="P4854" s="200"/>
    </row>
    <row r="4855" spans="3:16" s="517" customFormat="1" ht="31.2" customHeight="1">
      <c r="C4855" s="543">
        <v>1</v>
      </c>
      <c r="D4855" s="750" t="s">
        <v>7392</v>
      </c>
      <c r="E4855" s="203" t="s">
        <v>44</v>
      </c>
      <c r="F4855" s="753">
        <v>25</v>
      </c>
      <c r="G4855" s="205">
        <f>VLOOKUP(D4855,upahbahan,3,FALSE)</f>
        <v>0</v>
      </c>
      <c r="H4855" s="210">
        <f t="shared" ref="H4855:H4860" si="352">F4855*G4855</f>
        <v>0</v>
      </c>
      <c r="L4855" s="200"/>
      <c r="M4855" s="200"/>
      <c r="N4855" s="200"/>
      <c r="O4855" s="200"/>
      <c r="P4855" s="200"/>
    </row>
    <row r="4856" spans="3:16" s="517" customFormat="1" ht="31.2" customHeight="1">
      <c r="C4856" s="543">
        <v>2</v>
      </c>
      <c r="D4856" s="750" t="s">
        <v>5563</v>
      </c>
      <c r="E4856" s="203" t="s">
        <v>65</v>
      </c>
      <c r="F4856" s="753">
        <v>0.01</v>
      </c>
      <c r="G4856" s="205">
        <f>VLOOKUP(D4856,upahbahan,3,FALSE)</f>
        <v>0</v>
      </c>
      <c r="H4856" s="210">
        <f t="shared" si="352"/>
        <v>0</v>
      </c>
      <c r="L4856" s="200"/>
      <c r="M4856" s="200"/>
      <c r="N4856" s="200"/>
      <c r="O4856" s="200"/>
      <c r="P4856" s="200"/>
    </row>
    <row r="4857" spans="3:16" s="517" customFormat="1" ht="31.2" customHeight="1">
      <c r="C4857" s="543">
        <v>3</v>
      </c>
      <c r="D4857" s="750" t="s">
        <v>5556</v>
      </c>
      <c r="E4857" s="203"/>
      <c r="F4857" s="753"/>
      <c r="G4857" s="197"/>
      <c r="H4857" s="210">
        <f t="shared" si="352"/>
        <v>0</v>
      </c>
      <c r="L4857" s="200"/>
      <c r="M4857" s="200"/>
      <c r="N4857" s="200"/>
      <c r="O4857" s="200"/>
      <c r="P4857" s="200"/>
    </row>
    <row r="4858" spans="3:16" s="517" customFormat="1" ht="31.2" customHeight="1">
      <c r="C4858" s="754" t="s">
        <v>5293</v>
      </c>
      <c r="D4858" s="750" t="s">
        <v>2084</v>
      </c>
      <c r="E4858" s="203" t="s">
        <v>42</v>
      </c>
      <c r="F4858" s="753">
        <v>5.0000000000000001E-3</v>
      </c>
      <c r="G4858" s="205">
        <f>VLOOKUP(D4858,upahbahan,3,FALSE)</f>
        <v>0</v>
      </c>
      <c r="H4858" s="210">
        <f t="shared" si="352"/>
        <v>0</v>
      </c>
      <c r="L4858" s="200"/>
      <c r="M4858" s="200"/>
      <c r="N4858" s="200"/>
      <c r="O4858" s="200"/>
      <c r="P4858" s="200"/>
    </row>
    <row r="4859" spans="3:16" s="517" customFormat="1" ht="31.2" customHeight="1">
      <c r="C4859" s="754" t="s">
        <v>5299</v>
      </c>
      <c r="D4859" s="750" t="s">
        <v>5566</v>
      </c>
      <c r="E4859" s="203" t="s">
        <v>42</v>
      </c>
      <c r="F4859" s="753">
        <v>1E-3</v>
      </c>
      <c r="G4859" s="205">
        <f>VLOOKUP(D4859,upahbahan,3,FALSE)</f>
        <v>0</v>
      </c>
      <c r="H4859" s="210">
        <f t="shared" si="352"/>
        <v>0</v>
      </c>
      <c r="L4859" s="200"/>
      <c r="M4859" s="200"/>
      <c r="N4859" s="200"/>
      <c r="O4859" s="200"/>
      <c r="P4859" s="200"/>
    </row>
    <row r="4860" spans="3:16" s="517" customFormat="1" ht="31.2" customHeight="1">
      <c r="C4860" s="754" t="s">
        <v>5558</v>
      </c>
      <c r="D4860" s="750" t="s">
        <v>2325</v>
      </c>
      <c r="E4860" s="203" t="s">
        <v>42</v>
      </c>
      <c r="F4860" s="764">
        <v>3.2499999999999999E-4</v>
      </c>
      <c r="G4860" s="205">
        <f>VLOOKUP(D4860,upahbahan,3,FALSE)</f>
        <v>0</v>
      </c>
      <c r="H4860" s="210">
        <f t="shared" si="352"/>
        <v>0</v>
      </c>
      <c r="L4860" s="200"/>
      <c r="M4860" s="200"/>
      <c r="N4860" s="200"/>
      <c r="O4860" s="200"/>
      <c r="P4860" s="200"/>
    </row>
    <row r="4861" spans="3:16" s="517" customFormat="1" ht="31.2" customHeight="1">
      <c r="C4861" s="207" t="s">
        <v>1214</v>
      </c>
      <c r="D4861" s="208"/>
      <c r="E4861" s="568"/>
      <c r="F4861" s="208"/>
      <c r="G4861" s="209"/>
      <c r="H4861" s="210">
        <f>SUM(H4855:H4860)</f>
        <v>0</v>
      </c>
      <c r="L4861" s="200"/>
      <c r="M4861" s="200"/>
      <c r="N4861" s="200"/>
      <c r="O4861" s="200"/>
      <c r="P4861" s="200"/>
    </row>
    <row r="4862" spans="3:16" s="517" customFormat="1" ht="31.2" customHeight="1">
      <c r="C4862" s="756" t="s">
        <v>1215</v>
      </c>
      <c r="D4862" s="196" t="s">
        <v>1216</v>
      </c>
      <c r="E4862" s="203"/>
      <c r="F4862" s="197"/>
      <c r="G4862" s="197"/>
      <c r="H4862" s="198"/>
      <c r="L4862" s="200"/>
      <c r="M4862" s="200"/>
      <c r="N4862" s="200"/>
      <c r="O4862" s="200"/>
      <c r="P4862" s="200"/>
    </row>
    <row r="4863" spans="3:16" s="517" customFormat="1" ht="31.2" customHeight="1">
      <c r="C4863" s="207" t="s">
        <v>1217</v>
      </c>
      <c r="D4863" s="208"/>
      <c r="E4863" s="208"/>
      <c r="F4863" s="208"/>
      <c r="G4863" s="209"/>
      <c r="H4863" s="240">
        <f>SUM(H4862)</f>
        <v>0</v>
      </c>
      <c r="L4863" s="200"/>
      <c r="M4863" s="200"/>
      <c r="N4863" s="200"/>
      <c r="O4863" s="200"/>
      <c r="P4863" s="200"/>
    </row>
    <row r="4864" spans="3:16" s="517" customFormat="1" ht="31.2" customHeight="1">
      <c r="C4864" s="223" t="s">
        <v>1218</v>
      </c>
      <c r="D4864" s="224" t="s">
        <v>1219</v>
      </c>
      <c r="E4864" s="225"/>
      <c r="F4864" s="225"/>
      <c r="G4864" s="226"/>
      <c r="H4864" s="210">
        <f>H4863+H4861+H4853</f>
        <v>11778</v>
      </c>
      <c r="L4864" s="200"/>
      <c r="M4864" s="200"/>
      <c r="N4864" s="200"/>
      <c r="O4864" s="200"/>
      <c r="P4864" s="200"/>
    </row>
    <row r="4865" spans="3:20" s="517" customFormat="1" ht="31.2" customHeight="1">
      <c r="C4865" s="223" t="s">
        <v>1220</v>
      </c>
      <c r="D4865" s="224" t="s">
        <v>1321</v>
      </c>
      <c r="E4865" s="225"/>
      <c r="F4865" s="226"/>
      <c r="G4865" s="228">
        <v>0.1</v>
      </c>
      <c r="H4865" s="210">
        <f>H4864*G4865</f>
        <v>1177.8</v>
      </c>
      <c r="L4865" s="200"/>
      <c r="M4865" s="200"/>
      <c r="N4865" s="200"/>
      <c r="O4865" s="200"/>
      <c r="P4865" s="200"/>
    </row>
    <row r="4866" spans="3:20" s="517" customFormat="1" ht="31.2" customHeight="1" thickBot="1">
      <c r="C4866" s="229" t="s">
        <v>1221</v>
      </c>
      <c r="D4866" s="230" t="s">
        <v>1222</v>
      </c>
      <c r="E4866" s="231"/>
      <c r="F4866" s="231"/>
      <c r="G4866" s="232"/>
      <c r="H4866" s="233">
        <f>SUM(H4864:H4865)</f>
        <v>12955.8</v>
      </c>
      <c r="L4866" s="200"/>
      <c r="M4866" s="200"/>
      <c r="N4866" s="200"/>
      <c r="O4866" s="200"/>
      <c r="P4866" s="200"/>
    </row>
    <row r="4867" spans="3:20" ht="31.2" customHeight="1" thickTop="1">
      <c r="D4867" s="758"/>
    </row>
    <row r="4868" spans="3:20" ht="31.2" customHeight="1">
      <c r="C4868" s="757" t="s">
        <v>6950</v>
      </c>
      <c r="F4868" s="758"/>
      <c r="H4868" s="758" t="s">
        <v>6959</v>
      </c>
    </row>
    <row r="4869" spans="3:20" ht="31.2" customHeight="1">
      <c r="C4869" s="200" t="s">
        <v>6951</v>
      </c>
      <c r="F4869" s="758"/>
    </row>
    <row r="4870" spans="3:20" ht="31.2" customHeight="1">
      <c r="C4870" s="200" t="s">
        <v>6952</v>
      </c>
      <c r="F4870" s="758"/>
    </row>
    <row r="4871" spans="3:20" ht="31.2" customHeight="1">
      <c r="C4871" s="200"/>
      <c r="F4871" s="758"/>
    </row>
    <row r="4872" spans="3:20" s="517" customFormat="1" ht="31.2" customHeight="1" thickBot="1">
      <c r="C4872" s="513" t="s">
        <v>7393</v>
      </c>
      <c r="D4872" s="748" t="s">
        <v>7394</v>
      </c>
      <c r="E4872" s="749"/>
      <c r="F4872" s="748"/>
      <c r="G4872" s="748"/>
      <c r="H4872" s="532"/>
      <c r="I4872" s="532"/>
      <c r="J4872" s="532"/>
      <c r="K4872" s="532"/>
      <c r="M4872" s="189"/>
      <c r="N4872" s="189"/>
      <c r="O4872" s="189"/>
      <c r="P4872" s="189"/>
      <c r="R4872" s="189">
        <f>ROUNDDOWN(H4891,-2)</f>
        <v>12900</v>
      </c>
      <c r="S4872" s="517" t="s">
        <v>6451</v>
      </c>
      <c r="T4872" s="517" t="s">
        <v>7014</v>
      </c>
    </row>
    <row r="4873" spans="3:20" s="517" customFormat="1" ht="31.2" customHeight="1" thickTop="1">
      <c r="C4873" s="190" t="s">
        <v>1195</v>
      </c>
      <c r="D4873" s="191" t="s">
        <v>1196</v>
      </c>
      <c r="E4873" s="191" t="s">
        <v>1197</v>
      </c>
      <c r="F4873" s="191" t="s">
        <v>1198</v>
      </c>
      <c r="G4873" s="191" t="s">
        <v>1199</v>
      </c>
      <c r="H4873" s="192" t="s">
        <v>1200</v>
      </c>
      <c r="L4873" s="200"/>
      <c r="M4873" s="200"/>
      <c r="N4873" s="200"/>
      <c r="O4873" s="200"/>
      <c r="P4873" s="200"/>
    </row>
    <row r="4874" spans="3:20" s="517" customFormat="1" ht="31.2" customHeight="1">
      <c r="C4874" s="518" t="s">
        <v>1201</v>
      </c>
      <c r="D4874" s="196" t="s">
        <v>1202</v>
      </c>
      <c r="E4874" s="197"/>
      <c r="F4874" s="197"/>
      <c r="G4874" s="197"/>
      <c r="H4874" s="198"/>
      <c r="L4874" s="200"/>
      <c r="M4874" s="200"/>
      <c r="N4874" s="200"/>
      <c r="O4874" s="200"/>
      <c r="P4874" s="200"/>
    </row>
    <row r="4875" spans="3:20" s="517" customFormat="1" ht="31.2" customHeight="1">
      <c r="C4875" s="537">
        <v>1</v>
      </c>
      <c r="D4875" s="196" t="s">
        <v>6954</v>
      </c>
      <c r="E4875" s="202" t="s">
        <v>6</v>
      </c>
      <c r="F4875" s="520">
        <v>0.05</v>
      </c>
      <c r="G4875" s="205">
        <f>VLOOKUP(D4875,upahbahan,3,FALSE)</f>
        <v>181250</v>
      </c>
      <c r="H4875" s="210">
        <f t="shared" ref="H4875:H4877" si="353">F4875*G4875</f>
        <v>9062.5</v>
      </c>
      <c r="L4875" s="200"/>
      <c r="M4875" s="200"/>
      <c r="N4875" s="200"/>
      <c r="O4875" s="200"/>
      <c r="P4875" s="200"/>
    </row>
    <row r="4876" spans="3:20" s="517" customFormat="1" ht="31.2" customHeight="1">
      <c r="C4876" s="537">
        <v>2</v>
      </c>
      <c r="D4876" s="196" t="s">
        <v>6948</v>
      </c>
      <c r="E4876" s="202" t="s">
        <v>2102</v>
      </c>
      <c r="F4876" s="520">
        <v>0.01</v>
      </c>
      <c r="G4876" s="205">
        <f>VLOOKUP(D4876,upahbahan,3,FALSE)</f>
        <v>218750</v>
      </c>
      <c r="H4876" s="210">
        <f t="shared" si="353"/>
        <v>2187.5</v>
      </c>
      <c r="L4876" s="200"/>
      <c r="M4876" s="200"/>
      <c r="N4876" s="200"/>
      <c r="O4876" s="200"/>
      <c r="P4876" s="200"/>
    </row>
    <row r="4877" spans="3:20" s="517" customFormat="1" ht="31.2" customHeight="1">
      <c r="C4877" s="537">
        <v>3</v>
      </c>
      <c r="D4877" s="196" t="s">
        <v>19</v>
      </c>
      <c r="E4877" s="202" t="s">
        <v>6</v>
      </c>
      <c r="F4877" s="520">
        <v>3.3E-3</v>
      </c>
      <c r="G4877" s="205">
        <f>VLOOKUP(D4877,upahbahan,3,FALSE)</f>
        <v>160000</v>
      </c>
      <c r="H4877" s="210">
        <f t="shared" si="353"/>
        <v>528</v>
      </c>
      <c r="L4877" s="200"/>
      <c r="M4877" s="200"/>
      <c r="N4877" s="200"/>
      <c r="O4877" s="200"/>
      <c r="P4877" s="200"/>
    </row>
    <row r="4878" spans="3:20" s="517" customFormat="1" ht="31.2" customHeight="1">
      <c r="C4878" s="207" t="s">
        <v>1208</v>
      </c>
      <c r="D4878" s="208"/>
      <c r="E4878" s="208"/>
      <c r="F4878" s="521"/>
      <c r="G4878" s="522"/>
      <c r="H4878" s="210">
        <f>SUM(H4875:H4877)</f>
        <v>11778</v>
      </c>
      <c r="L4878" s="523"/>
      <c r="M4878" s="523"/>
      <c r="N4878" s="523"/>
      <c r="O4878" s="523"/>
      <c r="P4878" s="523"/>
    </row>
    <row r="4879" spans="3:20" s="517" customFormat="1" ht="31.2" customHeight="1">
      <c r="C4879" s="543" t="s">
        <v>1209</v>
      </c>
      <c r="D4879" s="750" t="s">
        <v>1210</v>
      </c>
      <c r="E4879" s="197"/>
      <c r="F4879" s="751"/>
      <c r="G4879" s="197"/>
      <c r="H4879" s="752"/>
      <c r="L4879" s="200"/>
      <c r="M4879" s="200"/>
      <c r="N4879" s="200"/>
      <c r="O4879" s="200"/>
      <c r="P4879" s="200"/>
    </row>
    <row r="4880" spans="3:20" s="517" customFormat="1" ht="31.2" customHeight="1">
      <c r="C4880" s="543">
        <v>1</v>
      </c>
      <c r="D4880" s="750" t="s">
        <v>7395</v>
      </c>
      <c r="E4880" s="203" t="s">
        <v>44</v>
      </c>
      <c r="F4880" s="753">
        <v>25</v>
      </c>
      <c r="G4880" s="205">
        <f>VLOOKUP(D4880,upahbahan,3,FALSE)</f>
        <v>0</v>
      </c>
      <c r="H4880" s="210">
        <f t="shared" ref="H4880:H4885" si="354">F4880*G4880</f>
        <v>0</v>
      </c>
      <c r="L4880" s="200"/>
      <c r="M4880" s="200"/>
      <c r="N4880" s="200"/>
      <c r="O4880" s="200"/>
      <c r="P4880" s="200"/>
    </row>
    <row r="4881" spans="3:16" s="517" customFormat="1" ht="31.2" customHeight="1">
      <c r="C4881" s="543">
        <v>2</v>
      </c>
      <c r="D4881" s="750" t="s">
        <v>5563</v>
      </c>
      <c r="E4881" s="203" t="s">
        <v>65</v>
      </c>
      <c r="F4881" s="753">
        <v>0.01</v>
      </c>
      <c r="G4881" s="205">
        <f>VLOOKUP(D4881,upahbahan,3,FALSE)</f>
        <v>0</v>
      </c>
      <c r="H4881" s="210">
        <f t="shared" si="354"/>
        <v>0</v>
      </c>
      <c r="L4881" s="200"/>
      <c r="M4881" s="200"/>
      <c r="N4881" s="200"/>
      <c r="O4881" s="200"/>
      <c r="P4881" s="200"/>
    </row>
    <row r="4882" spans="3:16" s="517" customFormat="1" ht="31.2" customHeight="1">
      <c r="C4882" s="543">
        <v>3</v>
      </c>
      <c r="D4882" s="750" t="s">
        <v>5556</v>
      </c>
      <c r="E4882" s="203"/>
      <c r="F4882" s="753"/>
      <c r="G4882" s="197"/>
      <c r="H4882" s="210">
        <f t="shared" si="354"/>
        <v>0</v>
      </c>
      <c r="L4882" s="200"/>
      <c r="M4882" s="200"/>
      <c r="N4882" s="200"/>
      <c r="O4882" s="200"/>
      <c r="P4882" s="200"/>
    </row>
    <row r="4883" spans="3:16" s="517" customFormat="1" ht="31.2" customHeight="1">
      <c r="C4883" s="754" t="s">
        <v>5293</v>
      </c>
      <c r="D4883" s="750" t="s">
        <v>2084</v>
      </c>
      <c r="E4883" s="203" t="s">
        <v>42</v>
      </c>
      <c r="F4883" s="753">
        <v>5.0000000000000001E-3</v>
      </c>
      <c r="G4883" s="205">
        <f>VLOOKUP(D4883,upahbahan,3,FALSE)</f>
        <v>0</v>
      </c>
      <c r="H4883" s="210">
        <f t="shared" si="354"/>
        <v>0</v>
      </c>
      <c r="L4883" s="200"/>
      <c r="M4883" s="200"/>
      <c r="N4883" s="200"/>
      <c r="O4883" s="200"/>
      <c r="P4883" s="200"/>
    </row>
    <row r="4884" spans="3:16" s="517" customFormat="1" ht="31.2" customHeight="1">
      <c r="C4884" s="754" t="s">
        <v>5299</v>
      </c>
      <c r="D4884" s="750" t="s">
        <v>5566</v>
      </c>
      <c r="E4884" s="203" t="s">
        <v>42</v>
      </c>
      <c r="F4884" s="753">
        <v>1E-3</v>
      </c>
      <c r="G4884" s="205">
        <f>VLOOKUP(D4884,upahbahan,3,FALSE)</f>
        <v>0</v>
      </c>
      <c r="H4884" s="210">
        <f t="shared" si="354"/>
        <v>0</v>
      </c>
      <c r="L4884" s="200"/>
      <c r="M4884" s="200"/>
      <c r="N4884" s="200"/>
      <c r="O4884" s="200"/>
      <c r="P4884" s="200"/>
    </row>
    <row r="4885" spans="3:16" s="517" customFormat="1" ht="31.2" customHeight="1">
      <c r="C4885" s="754" t="s">
        <v>5558</v>
      </c>
      <c r="D4885" s="750" t="s">
        <v>2325</v>
      </c>
      <c r="E4885" s="203" t="s">
        <v>42</v>
      </c>
      <c r="F4885" s="764">
        <v>3.2499999999999999E-4</v>
      </c>
      <c r="G4885" s="205">
        <f>VLOOKUP(D4885,upahbahan,3,FALSE)</f>
        <v>0</v>
      </c>
      <c r="H4885" s="210">
        <f t="shared" si="354"/>
        <v>0</v>
      </c>
      <c r="L4885" s="200"/>
      <c r="M4885" s="200"/>
      <c r="N4885" s="200"/>
      <c r="O4885" s="200"/>
      <c r="P4885" s="200"/>
    </row>
    <row r="4886" spans="3:16" s="517" customFormat="1" ht="31.2" customHeight="1">
      <c r="C4886" s="207" t="s">
        <v>1214</v>
      </c>
      <c r="D4886" s="208"/>
      <c r="E4886" s="568"/>
      <c r="F4886" s="208"/>
      <c r="G4886" s="209"/>
      <c r="H4886" s="210">
        <f>SUM(H4880:H4885)</f>
        <v>0</v>
      </c>
      <c r="L4886" s="200"/>
      <c r="M4886" s="200"/>
      <c r="N4886" s="200"/>
      <c r="O4886" s="200"/>
      <c r="P4886" s="200"/>
    </row>
    <row r="4887" spans="3:16" s="517" customFormat="1" ht="31.2" customHeight="1">
      <c r="C4887" s="756" t="s">
        <v>1215</v>
      </c>
      <c r="D4887" s="196" t="s">
        <v>1216</v>
      </c>
      <c r="E4887" s="203"/>
      <c r="F4887" s="197"/>
      <c r="G4887" s="197"/>
      <c r="H4887" s="198"/>
      <c r="L4887" s="200"/>
      <c r="M4887" s="200"/>
      <c r="N4887" s="200"/>
      <c r="O4887" s="200"/>
      <c r="P4887" s="200"/>
    </row>
    <row r="4888" spans="3:16" s="517" customFormat="1" ht="31.2" customHeight="1">
      <c r="C4888" s="207" t="s">
        <v>1217</v>
      </c>
      <c r="D4888" s="208"/>
      <c r="E4888" s="208"/>
      <c r="F4888" s="208"/>
      <c r="G4888" s="209"/>
      <c r="H4888" s="240">
        <f>SUM(H4887)</f>
        <v>0</v>
      </c>
      <c r="L4888" s="200"/>
      <c r="M4888" s="200"/>
      <c r="N4888" s="200"/>
      <c r="O4888" s="200"/>
      <c r="P4888" s="200"/>
    </row>
    <row r="4889" spans="3:16" s="517" customFormat="1" ht="31.2" customHeight="1">
      <c r="C4889" s="223" t="s">
        <v>1218</v>
      </c>
      <c r="D4889" s="224" t="s">
        <v>1219</v>
      </c>
      <c r="E4889" s="225"/>
      <c r="F4889" s="225"/>
      <c r="G4889" s="226"/>
      <c r="H4889" s="210">
        <f>H4888+H4886+H4878</f>
        <v>11778</v>
      </c>
      <c r="L4889" s="200"/>
      <c r="M4889" s="200"/>
      <c r="N4889" s="200"/>
      <c r="O4889" s="200"/>
      <c r="P4889" s="200"/>
    </row>
    <row r="4890" spans="3:16" s="517" customFormat="1" ht="31.2" customHeight="1">
      <c r="C4890" s="223" t="s">
        <v>1220</v>
      </c>
      <c r="D4890" s="224" t="s">
        <v>1321</v>
      </c>
      <c r="E4890" s="225"/>
      <c r="F4890" s="226"/>
      <c r="G4890" s="228">
        <v>0.1</v>
      </c>
      <c r="H4890" s="210">
        <f>H4889*G4890</f>
        <v>1177.8</v>
      </c>
      <c r="L4890" s="200"/>
      <c r="M4890" s="200"/>
      <c r="N4890" s="200"/>
      <c r="O4890" s="200"/>
      <c r="P4890" s="200"/>
    </row>
    <row r="4891" spans="3:16" s="517" customFormat="1" ht="31.2" customHeight="1" thickBot="1">
      <c r="C4891" s="229" t="s">
        <v>1221</v>
      </c>
      <c r="D4891" s="230" t="s">
        <v>1222</v>
      </c>
      <c r="E4891" s="231"/>
      <c r="F4891" s="231"/>
      <c r="G4891" s="232"/>
      <c r="H4891" s="233">
        <f>SUM(H4889:H4890)</f>
        <v>12955.8</v>
      </c>
      <c r="L4891" s="200"/>
      <c r="M4891" s="200"/>
      <c r="N4891" s="200"/>
      <c r="O4891" s="200"/>
      <c r="P4891" s="200"/>
    </row>
    <row r="4892" spans="3:16" ht="31.2" customHeight="1" thickTop="1">
      <c r="D4892" s="758"/>
    </row>
    <row r="4893" spans="3:16" ht="31.2" customHeight="1">
      <c r="C4893" s="757" t="s">
        <v>6950</v>
      </c>
      <c r="F4893" s="758"/>
      <c r="H4893" s="758" t="s">
        <v>6959</v>
      </c>
    </row>
    <row r="4894" spans="3:16" ht="31.2" customHeight="1">
      <c r="C4894" s="200" t="s">
        <v>6951</v>
      </c>
      <c r="F4894" s="758"/>
    </row>
    <row r="4895" spans="3:16" ht="31.2" customHeight="1">
      <c r="C4895" s="200" t="s">
        <v>6952</v>
      </c>
      <c r="F4895" s="758"/>
    </row>
    <row r="4896" spans="3:16" ht="31.2" customHeight="1">
      <c r="C4896" s="200"/>
      <c r="F4896" s="758"/>
    </row>
    <row r="4897" spans="3:20" s="517" customFormat="1" ht="31.2" customHeight="1" thickBot="1">
      <c r="C4897" s="513" t="s">
        <v>7396</v>
      </c>
      <c r="D4897" s="748" t="s">
        <v>7397</v>
      </c>
      <c r="E4897" s="749"/>
      <c r="F4897" s="748"/>
      <c r="G4897" s="748"/>
      <c r="H4897" s="532"/>
      <c r="I4897" s="532"/>
      <c r="J4897" s="532"/>
      <c r="K4897" s="532"/>
      <c r="M4897" s="189"/>
      <c r="N4897" s="189"/>
      <c r="O4897" s="189"/>
      <c r="P4897" s="189"/>
      <c r="R4897" s="189">
        <f>ROUNDDOWN(H4916,-2)</f>
        <v>12900</v>
      </c>
      <c r="S4897" s="517" t="s">
        <v>6451</v>
      </c>
      <c r="T4897" s="517" t="s">
        <v>7014</v>
      </c>
    </row>
    <row r="4898" spans="3:20" s="517" customFormat="1" ht="31.2" customHeight="1" thickTop="1">
      <c r="C4898" s="190" t="s">
        <v>1195</v>
      </c>
      <c r="D4898" s="191" t="s">
        <v>1196</v>
      </c>
      <c r="E4898" s="191" t="s">
        <v>1197</v>
      </c>
      <c r="F4898" s="191" t="s">
        <v>1198</v>
      </c>
      <c r="G4898" s="191" t="s">
        <v>1199</v>
      </c>
      <c r="H4898" s="192" t="s">
        <v>1200</v>
      </c>
      <c r="L4898" s="200"/>
      <c r="M4898" s="200"/>
      <c r="N4898" s="200"/>
      <c r="O4898" s="200"/>
      <c r="P4898" s="200"/>
    </row>
    <row r="4899" spans="3:20" s="517" customFormat="1" ht="31.2" customHeight="1">
      <c r="C4899" s="518" t="s">
        <v>1201</v>
      </c>
      <c r="D4899" s="196" t="s">
        <v>1202</v>
      </c>
      <c r="E4899" s="197"/>
      <c r="F4899" s="197"/>
      <c r="G4899" s="197"/>
      <c r="H4899" s="198"/>
      <c r="L4899" s="200"/>
      <c r="M4899" s="200"/>
      <c r="N4899" s="200"/>
      <c r="O4899" s="200"/>
      <c r="P4899" s="200"/>
    </row>
    <row r="4900" spans="3:20" s="517" customFormat="1" ht="31.2" customHeight="1">
      <c r="C4900" s="537">
        <v>1</v>
      </c>
      <c r="D4900" s="196" t="s">
        <v>6954</v>
      </c>
      <c r="E4900" s="202" t="s">
        <v>6</v>
      </c>
      <c r="F4900" s="520">
        <v>0.05</v>
      </c>
      <c r="G4900" s="205">
        <f>VLOOKUP(D4900,upahbahan,3,FALSE)</f>
        <v>181250</v>
      </c>
      <c r="H4900" s="210">
        <f t="shared" ref="H4900:H4902" si="355">F4900*G4900</f>
        <v>9062.5</v>
      </c>
      <c r="L4900" s="200"/>
      <c r="M4900" s="200"/>
      <c r="N4900" s="200"/>
      <c r="O4900" s="200"/>
      <c r="P4900" s="200"/>
    </row>
    <row r="4901" spans="3:20" s="517" customFormat="1" ht="31.2" customHeight="1">
      <c r="C4901" s="537">
        <v>2</v>
      </c>
      <c r="D4901" s="196" t="s">
        <v>6948</v>
      </c>
      <c r="E4901" s="202" t="s">
        <v>2102</v>
      </c>
      <c r="F4901" s="520">
        <v>0.01</v>
      </c>
      <c r="G4901" s="205">
        <f>VLOOKUP(D4901,upahbahan,3,FALSE)</f>
        <v>218750</v>
      </c>
      <c r="H4901" s="210">
        <f t="shared" si="355"/>
        <v>2187.5</v>
      </c>
      <c r="L4901" s="200"/>
      <c r="M4901" s="200"/>
      <c r="N4901" s="200"/>
      <c r="O4901" s="200"/>
      <c r="P4901" s="200"/>
    </row>
    <row r="4902" spans="3:20" s="517" customFormat="1" ht="31.2" customHeight="1">
      <c r="C4902" s="537">
        <v>3</v>
      </c>
      <c r="D4902" s="196" t="s">
        <v>19</v>
      </c>
      <c r="E4902" s="202" t="s">
        <v>6</v>
      </c>
      <c r="F4902" s="520">
        <v>3.3E-3</v>
      </c>
      <c r="G4902" s="205">
        <f>VLOOKUP(D4902,upahbahan,3,FALSE)</f>
        <v>160000</v>
      </c>
      <c r="H4902" s="210">
        <f t="shared" si="355"/>
        <v>528</v>
      </c>
      <c r="L4902" s="200"/>
      <c r="M4902" s="200"/>
      <c r="N4902" s="200"/>
      <c r="O4902" s="200"/>
      <c r="P4902" s="200"/>
    </row>
    <row r="4903" spans="3:20" s="517" customFormat="1" ht="31.2" customHeight="1">
      <c r="C4903" s="207" t="s">
        <v>1208</v>
      </c>
      <c r="D4903" s="208"/>
      <c r="E4903" s="208"/>
      <c r="F4903" s="521"/>
      <c r="G4903" s="522"/>
      <c r="H4903" s="210">
        <f>SUM(H4900:H4902)</f>
        <v>11778</v>
      </c>
      <c r="L4903" s="523"/>
      <c r="M4903" s="523"/>
      <c r="N4903" s="523"/>
      <c r="O4903" s="523"/>
      <c r="P4903" s="523"/>
    </row>
    <row r="4904" spans="3:20" s="517" customFormat="1" ht="31.2" customHeight="1">
      <c r="C4904" s="543" t="s">
        <v>1209</v>
      </c>
      <c r="D4904" s="750" t="s">
        <v>1210</v>
      </c>
      <c r="E4904" s="197"/>
      <c r="F4904" s="751"/>
      <c r="G4904" s="197"/>
      <c r="H4904" s="752"/>
      <c r="L4904" s="200"/>
      <c r="M4904" s="200"/>
      <c r="N4904" s="200"/>
      <c r="O4904" s="200"/>
      <c r="P4904" s="200"/>
    </row>
    <row r="4905" spans="3:20" s="517" customFormat="1" ht="31.2" customHeight="1">
      <c r="C4905" s="543">
        <v>1</v>
      </c>
      <c r="D4905" s="750" t="s">
        <v>7398</v>
      </c>
      <c r="E4905" s="203" t="s">
        <v>44</v>
      </c>
      <c r="F4905" s="753">
        <v>25</v>
      </c>
      <c r="G4905" s="205">
        <f>VLOOKUP(D4905,upahbahan,3,FALSE)</f>
        <v>0</v>
      </c>
      <c r="H4905" s="210">
        <f t="shared" ref="H4905:H4910" si="356">F4905*G4905</f>
        <v>0</v>
      </c>
      <c r="L4905" s="200"/>
      <c r="M4905" s="200"/>
      <c r="N4905" s="200"/>
      <c r="O4905" s="200"/>
      <c r="P4905" s="200"/>
    </row>
    <row r="4906" spans="3:20" s="517" customFormat="1" ht="31.2" customHeight="1">
      <c r="C4906" s="543">
        <v>2</v>
      </c>
      <c r="D4906" s="750" t="s">
        <v>5563</v>
      </c>
      <c r="E4906" s="203" t="s">
        <v>65</v>
      </c>
      <c r="F4906" s="753">
        <v>0.01</v>
      </c>
      <c r="G4906" s="205">
        <f>VLOOKUP(D4906,upahbahan,3,FALSE)</f>
        <v>0</v>
      </c>
      <c r="H4906" s="210">
        <f t="shared" si="356"/>
        <v>0</v>
      </c>
      <c r="L4906" s="200"/>
      <c r="M4906" s="200"/>
      <c r="N4906" s="200"/>
      <c r="O4906" s="200"/>
      <c r="P4906" s="200"/>
    </row>
    <row r="4907" spans="3:20" s="517" customFormat="1" ht="31.2" customHeight="1">
      <c r="C4907" s="543">
        <v>3</v>
      </c>
      <c r="D4907" s="750" t="s">
        <v>5556</v>
      </c>
      <c r="E4907" s="203"/>
      <c r="F4907" s="753"/>
      <c r="G4907" s="197"/>
      <c r="H4907" s="210">
        <f t="shared" si="356"/>
        <v>0</v>
      </c>
      <c r="L4907" s="200"/>
      <c r="M4907" s="200"/>
      <c r="N4907" s="200"/>
      <c r="O4907" s="200"/>
      <c r="P4907" s="200"/>
    </row>
    <row r="4908" spans="3:20" s="517" customFormat="1" ht="31.2" customHeight="1">
      <c r="C4908" s="754" t="s">
        <v>5293</v>
      </c>
      <c r="D4908" s="750" t="s">
        <v>2084</v>
      </c>
      <c r="E4908" s="203" t="s">
        <v>42</v>
      </c>
      <c r="F4908" s="753">
        <v>5.0000000000000001E-3</v>
      </c>
      <c r="G4908" s="205">
        <f>VLOOKUP(D4908,upahbahan,3,FALSE)</f>
        <v>0</v>
      </c>
      <c r="H4908" s="210">
        <f t="shared" si="356"/>
        <v>0</v>
      </c>
      <c r="L4908" s="200"/>
      <c r="M4908" s="200"/>
      <c r="N4908" s="200"/>
      <c r="O4908" s="200"/>
      <c r="P4908" s="200"/>
    </row>
    <row r="4909" spans="3:20" s="517" customFormat="1" ht="31.2" customHeight="1">
      <c r="C4909" s="754" t="s">
        <v>5299</v>
      </c>
      <c r="D4909" s="750" t="s">
        <v>5566</v>
      </c>
      <c r="E4909" s="203" t="s">
        <v>42</v>
      </c>
      <c r="F4909" s="753">
        <v>1E-3</v>
      </c>
      <c r="G4909" s="205">
        <f>VLOOKUP(D4909,upahbahan,3,FALSE)</f>
        <v>0</v>
      </c>
      <c r="H4909" s="210">
        <f t="shared" si="356"/>
        <v>0</v>
      </c>
      <c r="L4909" s="200"/>
      <c r="M4909" s="200"/>
      <c r="N4909" s="200"/>
      <c r="O4909" s="200"/>
      <c r="P4909" s="200"/>
    </row>
    <row r="4910" spans="3:20" s="517" customFormat="1" ht="31.2" customHeight="1">
      <c r="C4910" s="754" t="s">
        <v>5558</v>
      </c>
      <c r="D4910" s="750" t="s">
        <v>2325</v>
      </c>
      <c r="E4910" s="203" t="s">
        <v>42</v>
      </c>
      <c r="F4910" s="764">
        <v>3.2499999999999999E-4</v>
      </c>
      <c r="G4910" s="205">
        <f>VLOOKUP(D4910,upahbahan,3,FALSE)</f>
        <v>0</v>
      </c>
      <c r="H4910" s="210">
        <f t="shared" si="356"/>
        <v>0</v>
      </c>
      <c r="L4910" s="200"/>
      <c r="M4910" s="200"/>
      <c r="N4910" s="200"/>
      <c r="O4910" s="200"/>
      <c r="P4910" s="200"/>
    </row>
    <row r="4911" spans="3:20" s="517" customFormat="1" ht="31.2" customHeight="1">
      <c r="C4911" s="207" t="s">
        <v>1214</v>
      </c>
      <c r="D4911" s="208"/>
      <c r="E4911" s="568"/>
      <c r="F4911" s="208"/>
      <c r="G4911" s="209"/>
      <c r="H4911" s="210">
        <f>SUM(H4905:H4910)</f>
        <v>0</v>
      </c>
      <c r="L4911" s="200"/>
      <c r="M4911" s="200"/>
      <c r="N4911" s="200"/>
      <c r="O4911" s="200"/>
      <c r="P4911" s="200"/>
    </row>
    <row r="4912" spans="3:20" s="517" customFormat="1" ht="31.2" customHeight="1">
      <c r="C4912" s="756" t="s">
        <v>1215</v>
      </c>
      <c r="D4912" s="196" t="s">
        <v>1216</v>
      </c>
      <c r="E4912" s="203"/>
      <c r="F4912" s="197"/>
      <c r="G4912" s="197"/>
      <c r="H4912" s="198"/>
      <c r="L4912" s="200"/>
      <c r="M4912" s="200"/>
      <c r="N4912" s="200"/>
      <c r="O4912" s="200"/>
      <c r="P4912" s="200"/>
    </row>
    <row r="4913" spans="3:20" s="517" customFormat="1" ht="31.2" customHeight="1">
      <c r="C4913" s="207" t="s">
        <v>1217</v>
      </c>
      <c r="D4913" s="208"/>
      <c r="E4913" s="208"/>
      <c r="F4913" s="208"/>
      <c r="G4913" s="209"/>
      <c r="H4913" s="240">
        <f>SUM(H4912)</f>
        <v>0</v>
      </c>
      <c r="L4913" s="200"/>
      <c r="M4913" s="200"/>
      <c r="N4913" s="200"/>
      <c r="O4913" s="200"/>
      <c r="P4913" s="200"/>
    </row>
    <row r="4914" spans="3:20" s="517" customFormat="1" ht="31.2" customHeight="1">
      <c r="C4914" s="223" t="s">
        <v>1218</v>
      </c>
      <c r="D4914" s="224" t="s">
        <v>1219</v>
      </c>
      <c r="E4914" s="225"/>
      <c r="F4914" s="225"/>
      <c r="G4914" s="226"/>
      <c r="H4914" s="210">
        <f>H4913+H4911+H4903</f>
        <v>11778</v>
      </c>
      <c r="L4914" s="200"/>
      <c r="M4914" s="200"/>
      <c r="N4914" s="200"/>
      <c r="O4914" s="200"/>
      <c r="P4914" s="200"/>
    </row>
    <row r="4915" spans="3:20" s="517" customFormat="1" ht="31.2" customHeight="1">
      <c r="C4915" s="223" t="s">
        <v>1220</v>
      </c>
      <c r="D4915" s="224" t="s">
        <v>1321</v>
      </c>
      <c r="E4915" s="225"/>
      <c r="F4915" s="226"/>
      <c r="G4915" s="228">
        <v>0.1</v>
      </c>
      <c r="H4915" s="210">
        <f>H4914*G4915</f>
        <v>1177.8</v>
      </c>
      <c r="L4915" s="200"/>
      <c r="M4915" s="200"/>
      <c r="N4915" s="200"/>
      <c r="O4915" s="200"/>
      <c r="P4915" s="200"/>
    </row>
    <row r="4916" spans="3:20" s="517" customFormat="1" ht="31.2" customHeight="1" thickBot="1">
      <c r="C4916" s="229" t="s">
        <v>1221</v>
      </c>
      <c r="D4916" s="230" t="s">
        <v>1222</v>
      </c>
      <c r="E4916" s="231"/>
      <c r="F4916" s="231"/>
      <c r="G4916" s="232"/>
      <c r="H4916" s="233">
        <f>SUM(H4914:H4915)</f>
        <v>12955.8</v>
      </c>
      <c r="L4916" s="200"/>
      <c r="M4916" s="200"/>
      <c r="N4916" s="200"/>
      <c r="O4916" s="200"/>
      <c r="P4916" s="200"/>
    </row>
    <row r="4917" spans="3:20" ht="31.2" customHeight="1" thickTop="1">
      <c r="D4917" s="758"/>
    </row>
    <row r="4918" spans="3:20" ht="31.2" customHeight="1">
      <c r="C4918" s="757" t="s">
        <v>6950</v>
      </c>
      <c r="F4918" s="758"/>
      <c r="H4918" s="758" t="s">
        <v>6959</v>
      </c>
    </row>
    <row r="4919" spans="3:20" ht="31.2" customHeight="1">
      <c r="C4919" s="200" t="s">
        <v>6951</v>
      </c>
      <c r="F4919" s="758"/>
    </row>
    <row r="4920" spans="3:20" ht="31.2" customHeight="1">
      <c r="C4920" s="200" t="s">
        <v>6952</v>
      </c>
      <c r="F4920" s="758"/>
    </row>
    <row r="4921" spans="3:20" ht="31.2" customHeight="1">
      <c r="C4921" s="200"/>
      <c r="F4921" s="758"/>
    </row>
    <row r="4922" spans="3:20" s="517" customFormat="1" ht="31.2" customHeight="1" thickBot="1">
      <c r="C4922" s="513" t="s">
        <v>7399</v>
      </c>
      <c r="D4922" s="748" t="s">
        <v>7400</v>
      </c>
      <c r="E4922" s="749"/>
      <c r="F4922" s="748"/>
      <c r="G4922" s="748"/>
      <c r="H4922" s="532"/>
      <c r="I4922" s="532"/>
      <c r="J4922" s="532"/>
      <c r="K4922" s="532"/>
      <c r="M4922" s="189"/>
      <c r="N4922" s="189"/>
      <c r="O4922" s="189"/>
      <c r="P4922" s="189"/>
      <c r="R4922" s="189">
        <f>ROUNDDOWN(H4941,-2)</f>
        <v>12900</v>
      </c>
      <c r="S4922" s="517" t="s">
        <v>6451</v>
      </c>
      <c r="T4922" s="517" t="s">
        <v>7014</v>
      </c>
    </row>
    <row r="4923" spans="3:20" s="517" customFormat="1" ht="31.2" customHeight="1" thickTop="1">
      <c r="C4923" s="190" t="s">
        <v>1195</v>
      </c>
      <c r="D4923" s="191" t="s">
        <v>1196</v>
      </c>
      <c r="E4923" s="191" t="s">
        <v>1197</v>
      </c>
      <c r="F4923" s="191" t="s">
        <v>1198</v>
      </c>
      <c r="G4923" s="191" t="s">
        <v>1199</v>
      </c>
      <c r="H4923" s="192" t="s">
        <v>1200</v>
      </c>
      <c r="L4923" s="200"/>
      <c r="M4923" s="200"/>
      <c r="N4923" s="200"/>
      <c r="O4923" s="200"/>
      <c r="P4923" s="200"/>
    </row>
    <row r="4924" spans="3:20" s="517" customFormat="1" ht="31.2" customHeight="1">
      <c r="C4924" s="518" t="s">
        <v>1201</v>
      </c>
      <c r="D4924" s="196" t="s">
        <v>1202</v>
      </c>
      <c r="E4924" s="197"/>
      <c r="F4924" s="197"/>
      <c r="G4924" s="197"/>
      <c r="H4924" s="198"/>
      <c r="L4924" s="200"/>
      <c r="M4924" s="200"/>
      <c r="N4924" s="200"/>
      <c r="O4924" s="200"/>
      <c r="P4924" s="200"/>
    </row>
    <row r="4925" spans="3:20" s="517" customFormat="1" ht="31.2" customHeight="1">
      <c r="C4925" s="537">
        <v>1</v>
      </c>
      <c r="D4925" s="196" t="s">
        <v>6954</v>
      </c>
      <c r="E4925" s="202" t="s">
        <v>6</v>
      </c>
      <c r="F4925" s="520">
        <v>0.05</v>
      </c>
      <c r="G4925" s="205">
        <f>VLOOKUP(D4925,upahbahan,3,FALSE)</f>
        <v>181250</v>
      </c>
      <c r="H4925" s="210">
        <f t="shared" ref="H4925:H4927" si="357">F4925*G4925</f>
        <v>9062.5</v>
      </c>
      <c r="L4925" s="200"/>
      <c r="M4925" s="200"/>
      <c r="N4925" s="200"/>
      <c r="O4925" s="200"/>
      <c r="P4925" s="200"/>
    </row>
    <row r="4926" spans="3:20" s="517" customFormat="1" ht="31.2" customHeight="1">
      <c r="C4926" s="537">
        <v>2</v>
      </c>
      <c r="D4926" s="196" t="s">
        <v>6948</v>
      </c>
      <c r="E4926" s="202" t="s">
        <v>2102</v>
      </c>
      <c r="F4926" s="520">
        <v>0.01</v>
      </c>
      <c r="G4926" s="205">
        <f>VLOOKUP(D4926,upahbahan,3,FALSE)</f>
        <v>218750</v>
      </c>
      <c r="H4926" s="210">
        <f t="shared" si="357"/>
        <v>2187.5</v>
      </c>
      <c r="L4926" s="200"/>
      <c r="M4926" s="200"/>
      <c r="N4926" s="200"/>
      <c r="O4926" s="200"/>
      <c r="P4926" s="200"/>
    </row>
    <row r="4927" spans="3:20" s="517" customFormat="1" ht="31.2" customHeight="1">
      <c r="C4927" s="537">
        <v>3</v>
      </c>
      <c r="D4927" s="196" t="s">
        <v>19</v>
      </c>
      <c r="E4927" s="202" t="s">
        <v>6</v>
      </c>
      <c r="F4927" s="520">
        <v>3.3E-3</v>
      </c>
      <c r="G4927" s="205">
        <f>VLOOKUP(D4927,upahbahan,3,FALSE)</f>
        <v>160000</v>
      </c>
      <c r="H4927" s="210">
        <f t="shared" si="357"/>
        <v>528</v>
      </c>
      <c r="L4927" s="200"/>
      <c r="M4927" s="200"/>
      <c r="N4927" s="200"/>
      <c r="O4927" s="200"/>
      <c r="P4927" s="200"/>
    </row>
    <row r="4928" spans="3:20" s="517" customFormat="1" ht="31.2" customHeight="1">
      <c r="C4928" s="207" t="s">
        <v>1208</v>
      </c>
      <c r="D4928" s="208"/>
      <c r="E4928" s="208"/>
      <c r="F4928" s="521"/>
      <c r="G4928" s="522"/>
      <c r="H4928" s="210">
        <f>SUM(H4925:H4927)</f>
        <v>11778</v>
      </c>
      <c r="L4928" s="523"/>
      <c r="M4928" s="523"/>
      <c r="N4928" s="523"/>
      <c r="O4928" s="523"/>
      <c r="P4928" s="523"/>
    </row>
    <row r="4929" spans="3:16" s="517" customFormat="1" ht="31.2" customHeight="1">
      <c r="C4929" s="543" t="s">
        <v>1209</v>
      </c>
      <c r="D4929" s="750" t="s">
        <v>1210</v>
      </c>
      <c r="E4929" s="197"/>
      <c r="F4929" s="751"/>
      <c r="G4929" s="197"/>
      <c r="H4929" s="752"/>
      <c r="L4929" s="200"/>
      <c r="M4929" s="200"/>
      <c r="N4929" s="200"/>
      <c r="O4929" s="200"/>
      <c r="P4929" s="200"/>
    </row>
    <row r="4930" spans="3:16" s="517" customFormat="1" ht="31.2" customHeight="1">
      <c r="C4930" s="543">
        <v>1</v>
      </c>
      <c r="D4930" s="750" t="s">
        <v>7401</v>
      </c>
      <c r="E4930" s="203" t="s">
        <v>44</v>
      </c>
      <c r="F4930" s="753">
        <v>25</v>
      </c>
      <c r="G4930" s="205">
        <f>VLOOKUP(D4930,upahbahan,3,FALSE)</f>
        <v>0</v>
      </c>
      <c r="H4930" s="210">
        <f t="shared" ref="H4930:H4935" si="358">F4930*G4930</f>
        <v>0</v>
      </c>
      <c r="L4930" s="200"/>
      <c r="M4930" s="200"/>
      <c r="N4930" s="200"/>
      <c r="O4930" s="200"/>
      <c r="P4930" s="200"/>
    </row>
    <row r="4931" spans="3:16" s="517" customFormat="1" ht="31.2" customHeight="1">
      <c r="C4931" s="543">
        <v>2</v>
      </c>
      <c r="D4931" s="750" t="s">
        <v>5563</v>
      </c>
      <c r="E4931" s="203" t="s">
        <v>65</v>
      </c>
      <c r="F4931" s="753">
        <v>0.01</v>
      </c>
      <c r="G4931" s="205">
        <f>VLOOKUP(D4931,upahbahan,3,FALSE)</f>
        <v>0</v>
      </c>
      <c r="H4931" s="210">
        <f t="shared" si="358"/>
        <v>0</v>
      </c>
      <c r="L4931" s="200"/>
      <c r="M4931" s="200"/>
      <c r="N4931" s="200"/>
      <c r="O4931" s="200"/>
      <c r="P4931" s="200"/>
    </row>
    <row r="4932" spans="3:16" s="517" customFormat="1" ht="31.2" customHeight="1">
      <c r="C4932" s="543">
        <v>3</v>
      </c>
      <c r="D4932" s="750" t="s">
        <v>5556</v>
      </c>
      <c r="E4932" s="203"/>
      <c r="F4932" s="753"/>
      <c r="G4932" s="197"/>
      <c r="H4932" s="210">
        <f t="shared" si="358"/>
        <v>0</v>
      </c>
      <c r="L4932" s="200"/>
      <c r="M4932" s="200"/>
      <c r="N4932" s="200"/>
      <c r="O4932" s="200"/>
      <c r="P4932" s="200"/>
    </row>
    <row r="4933" spans="3:16" s="517" customFormat="1" ht="31.2" customHeight="1">
      <c r="C4933" s="754" t="s">
        <v>5293</v>
      </c>
      <c r="D4933" s="750" t="s">
        <v>2084</v>
      </c>
      <c r="E4933" s="203" t="s">
        <v>42</v>
      </c>
      <c r="F4933" s="753">
        <v>5.0000000000000001E-3</v>
      </c>
      <c r="G4933" s="205">
        <f>VLOOKUP(D4933,upahbahan,3,FALSE)</f>
        <v>0</v>
      </c>
      <c r="H4933" s="210">
        <f t="shared" si="358"/>
        <v>0</v>
      </c>
      <c r="L4933" s="200"/>
      <c r="M4933" s="200"/>
      <c r="N4933" s="200"/>
      <c r="O4933" s="200"/>
      <c r="P4933" s="200"/>
    </row>
    <row r="4934" spans="3:16" s="517" customFormat="1" ht="31.2" customHeight="1">
      <c r="C4934" s="754" t="s">
        <v>5299</v>
      </c>
      <c r="D4934" s="750" t="s">
        <v>5566</v>
      </c>
      <c r="E4934" s="203" t="s">
        <v>42</v>
      </c>
      <c r="F4934" s="753">
        <v>1E-3</v>
      </c>
      <c r="G4934" s="205">
        <f>VLOOKUP(D4934,upahbahan,3,FALSE)</f>
        <v>0</v>
      </c>
      <c r="H4934" s="210">
        <f t="shared" si="358"/>
        <v>0</v>
      </c>
      <c r="L4934" s="200"/>
      <c r="M4934" s="200"/>
      <c r="N4934" s="200"/>
      <c r="O4934" s="200"/>
      <c r="P4934" s="200"/>
    </row>
    <row r="4935" spans="3:16" s="517" customFormat="1" ht="31.2" customHeight="1">
      <c r="C4935" s="754" t="s">
        <v>5558</v>
      </c>
      <c r="D4935" s="750" t="s">
        <v>2325</v>
      </c>
      <c r="E4935" s="203" t="s">
        <v>42</v>
      </c>
      <c r="F4935" s="764">
        <v>3.2499999999999999E-4</v>
      </c>
      <c r="G4935" s="205">
        <f>VLOOKUP(D4935,upahbahan,3,FALSE)</f>
        <v>0</v>
      </c>
      <c r="H4935" s="210">
        <f t="shared" si="358"/>
        <v>0</v>
      </c>
      <c r="L4935" s="200"/>
      <c r="M4935" s="200"/>
      <c r="N4935" s="200"/>
      <c r="O4935" s="200"/>
      <c r="P4935" s="200"/>
    </row>
    <row r="4936" spans="3:16" s="517" customFormat="1" ht="31.2" customHeight="1">
      <c r="C4936" s="207" t="s">
        <v>1214</v>
      </c>
      <c r="D4936" s="208"/>
      <c r="E4936" s="568"/>
      <c r="F4936" s="208"/>
      <c r="G4936" s="209"/>
      <c r="H4936" s="210">
        <f>SUM(H4930:H4935)</f>
        <v>0</v>
      </c>
      <c r="L4936" s="200"/>
      <c r="M4936" s="200"/>
      <c r="N4936" s="200"/>
      <c r="O4936" s="200"/>
      <c r="P4936" s="200"/>
    </row>
    <row r="4937" spans="3:16" s="517" customFormat="1" ht="31.2" customHeight="1">
      <c r="C4937" s="756" t="s">
        <v>1215</v>
      </c>
      <c r="D4937" s="196" t="s">
        <v>1216</v>
      </c>
      <c r="E4937" s="203"/>
      <c r="F4937" s="197"/>
      <c r="G4937" s="197"/>
      <c r="H4937" s="198"/>
      <c r="L4937" s="200"/>
      <c r="M4937" s="200"/>
      <c r="N4937" s="200"/>
      <c r="O4937" s="200"/>
      <c r="P4937" s="200"/>
    </row>
    <row r="4938" spans="3:16" s="517" customFormat="1" ht="31.2" customHeight="1">
      <c r="C4938" s="207" t="s">
        <v>1217</v>
      </c>
      <c r="D4938" s="208"/>
      <c r="E4938" s="208"/>
      <c r="F4938" s="208"/>
      <c r="G4938" s="209"/>
      <c r="H4938" s="240">
        <f>SUM(H4937)</f>
        <v>0</v>
      </c>
      <c r="L4938" s="200"/>
      <c r="M4938" s="200"/>
      <c r="N4938" s="200"/>
      <c r="O4938" s="200"/>
      <c r="P4938" s="200"/>
    </row>
    <row r="4939" spans="3:16" s="517" customFormat="1" ht="31.2" customHeight="1">
      <c r="C4939" s="223" t="s">
        <v>1218</v>
      </c>
      <c r="D4939" s="224" t="s">
        <v>1219</v>
      </c>
      <c r="E4939" s="225"/>
      <c r="F4939" s="225"/>
      <c r="G4939" s="226"/>
      <c r="H4939" s="210">
        <f>H4938+H4936+H4928</f>
        <v>11778</v>
      </c>
      <c r="L4939" s="200"/>
      <c r="M4939" s="200"/>
      <c r="N4939" s="200"/>
      <c r="O4939" s="200"/>
      <c r="P4939" s="200"/>
    </row>
    <row r="4940" spans="3:16" s="517" customFormat="1" ht="31.2" customHeight="1">
      <c r="C4940" s="223" t="s">
        <v>1220</v>
      </c>
      <c r="D4940" s="224" t="s">
        <v>1321</v>
      </c>
      <c r="E4940" s="225"/>
      <c r="F4940" s="226"/>
      <c r="G4940" s="228">
        <v>0.1</v>
      </c>
      <c r="H4940" s="210">
        <f>H4939*G4940</f>
        <v>1177.8</v>
      </c>
      <c r="L4940" s="200"/>
      <c r="M4940" s="200"/>
      <c r="N4940" s="200"/>
      <c r="O4940" s="200"/>
      <c r="P4940" s="200"/>
    </row>
    <row r="4941" spans="3:16" s="517" customFormat="1" ht="31.2" customHeight="1" thickBot="1">
      <c r="C4941" s="229" t="s">
        <v>1221</v>
      </c>
      <c r="D4941" s="230" t="s">
        <v>1222</v>
      </c>
      <c r="E4941" s="231"/>
      <c r="F4941" s="231"/>
      <c r="G4941" s="232"/>
      <c r="H4941" s="233">
        <f>SUM(H4939:H4940)</f>
        <v>12955.8</v>
      </c>
      <c r="L4941" s="200"/>
      <c r="M4941" s="200"/>
      <c r="N4941" s="200"/>
      <c r="O4941" s="200"/>
      <c r="P4941" s="200"/>
    </row>
    <row r="4942" spans="3:16" ht="31.2" customHeight="1" thickTop="1">
      <c r="D4942" s="758"/>
    </row>
    <row r="4943" spans="3:16" ht="31.2" customHeight="1">
      <c r="C4943" s="757" t="s">
        <v>6950</v>
      </c>
      <c r="F4943" s="758"/>
      <c r="H4943" s="758" t="s">
        <v>6959</v>
      </c>
    </row>
    <row r="4944" spans="3:16" ht="31.2" customHeight="1">
      <c r="C4944" s="200" t="s">
        <v>6951</v>
      </c>
      <c r="F4944" s="758"/>
    </row>
    <row r="4945" spans="3:20" ht="31.2" customHeight="1">
      <c r="C4945" s="200" t="s">
        <v>6952</v>
      </c>
      <c r="F4945" s="758"/>
    </row>
    <row r="4946" spans="3:20" ht="31.2" customHeight="1">
      <c r="C4946" s="200"/>
      <c r="F4946" s="758"/>
    </row>
    <row r="4947" spans="3:20" s="517" customFormat="1" ht="31.2" customHeight="1" thickBot="1">
      <c r="C4947" s="513" t="s">
        <v>7402</v>
      </c>
      <c r="D4947" s="748" t="s">
        <v>7403</v>
      </c>
      <c r="E4947" s="749"/>
      <c r="F4947" s="748"/>
      <c r="G4947" s="748"/>
      <c r="H4947" s="532"/>
      <c r="I4947" s="532"/>
      <c r="J4947" s="532"/>
      <c r="K4947" s="532"/>
      <c r="M4947" s="189"/>
      <c r="N4947" s="189"/>
      <c r="O4947" s="189"/>
      <c r="P4947" s="189"/>
      <c r="R4947" s="189">
        <f>ROUNDDOWN(H4966,-2)</f>
        <v>12900</v>
      </c>
      <c r="S4947" s="517" t="s">
        <v>6451</v>
      </c>
      <c r="T4947" s="517" t="s">
        <v>7014</v>
      </c>
    </row>
    <row r="4948" spans="3:20" s="517" customFormat="1" ht="31.2" customHeight="1" thickTop="1">
      <c r="C4948" s="190" t="s">
        <v>1195</v>
      </c>
      <c r="D4948" s="191" t="s">
        <v>1196</v>
      </c>
      <c r="E4948" s="191" t="s">
        <v>1197</v>
      </c>
      <c r="F4948" s="191" t="s">
        <v>1198</v>
      </c>
      <c r="G4948" s="191" t="s">
        <v>1199</v>
      </c>
      <c r="H4948" s="192" t="s">
        <v>1200</v>
      </c>
      <c r="L4948" s="200"/>
      <c r="M4948" s="200"/>
      <c r="N4948" s="200"/>
      <c r="O4948" s="200"/>
      <c r="P4948" s="200"/>
    </row>
    <row r="4949" spans="3:20" s="517" customFormat="1" ht="31.2" customHeight="1">
      <c r="C4949" s="518" t="s">
        <v>1201</v>
      </c>
      <c r="D4949" s="196" t="s">
        <v>1202</v>
      </c>
      <c r="E4949" s="197"/>
      <c r="F4949" s="197"/>
      <c r="G4949" s="197"/>
      <c r="H4949" s="198"/>
      <c r="L4949" s="200"/>
      <c r="M4949" s="200"/>
      <c r="N4949" s="200"/>
      <c r="O4949" s="200"/>
      <c r="P4949" s="200"/>
    </row>
    <row r="4950" spans="3:20" s="517" customFormat="1" ht="31.2" customHeight="1">
      <c r="C4950" s="537">
        <v>1</v>
      </c>
      <c r="D4950" s="196" t="s">
        <v>6954</v>
      </c>
      <c r="E4950" s="202" t="s">
        <v>6</v>
      </c>
      <c r="F4950" s="520">
        <v>0.05</v>
      </c>
      <c r="G4950" s="205">
        <f>VLOOKUP(D4950,upahbahan,3,FALSE)</f>
        <v>181250</v>
      </c>
      <c r="H4950" s="210">
        <f t="shared" ref="H4950:H4952" si="359">F4950*G4950</f>
        <v>9062.5</v>
      </c>
      <c r="L4950" s="200"/>
      <c r="M4950" s="200"/>
      <c r="N4950" s="200"/>
      <c r="O4950" s="200"/>
      <c r="P4950" s="200"/>
    </row>
    <row r="4951" spans="3:20" s="517" customFormat="1" ht="31.2" customHeight="1">
      <c r="C4951" s="537">
        <v>2</v>
      </c>
      <c r="D4951" s="196" t="s">
        <v>6948</v>
      </c>
      <c r="E4951" s="202" t="s">
        <v>2102</v>
      </c>
      <c r="F4951" s="520">
        <v>0.01</v>
      </c>
      <c r="G4951" s="205">
        <f>VLOOKUP(D4951,upahbahan,3,FALSE)</f>
        <v>218750</v>
      </c>
      <c r="H4951" s="210">
        <f t="shared" si="359"/>
        <v>2187.5</v>
      </c>
      <c r="L4951" s="200"/>
      <c r="M4951" s="200"/>
      <c r="N4951" s="200"/>
      <c r="O4951" s="200"/>
      <c r="P4951" s="200"/>
    </row>
    <row r="4952" spans="3:20" s="517" customFormat="1" ht="31.2" customHeight="1">
      <c r="C4952" s="537">
        <v>3</v>
      </c>
      <c r="D4952" s="196" t="s">
        <v>19</v>
      </c>
      <c r="E4952" s="202" t="s">
        <v>6</v>
      </c>
      <c r="F4952" s="520">
        <v>3.3E-3</v>
      </c>
      <c r="G4952" s="205">
        <f>VLOOKUP(D4952,upahbahan,3,FALSE)</f>
        <v>160000</v>
      </c>
      <c r="H4952" s="210">
        <f t="shared" si="359"/>
        <v>528</v>
      </c>
      <c r="L4952" s="200"/>
      <c r="M4952" s="200"/>
      <c r="N4952" s="200"/>
      <c r="O4952" s="200"/>
      <c r="P4952" s="200"/>
    </row>
    <row r="4953" spans="3:20" s="517" customFormat="1" ht="31.2" customHeight="1">
      <c r="C4953" s="207" t="s">
        <v>1208</v>
      </c>
      <c r="D4953" s="208"/>
      <c r="E4953" s="208"/>
      <c r="F4953" s="521"/>
      <c r="G4953" s="522"/>
      <c r="H4953" s="210">
        <f>SUM(H4950:H4952)</f>
        <v>11778</v>
      </c>
      <c r="L4953" s="523"/>
      <c r="M4953" s="523"/>
      <c r="N4953" s="523"/>
      <c r="O4953" s="523"/>
      <c r="P4953" s="523"/>
    </row>
    <row r="4954" spans="3:20" s="517" customFormat="1" ht="31.2" customHeight="1">
      <c r="C4954" s="543" t="s">
        <v>1209</v>
      </c>
      <c r="D4954" s="750" t="s">
        <v>1210</v>
      </c>
      <c r="E4954" s="197"/>
      <c r="F4954" s="751"/>
      <c r="G4954" s="197"/>
      <c r="H4954" s="752"/>
      <c r="L4954" s="200"/>
      <c r="M4954" s="200"/>
      <c r="N4954" s="200"/>
      <c r="O4954" s="200"/>
      <c r="P4954" s="200"/>
    </row>
    <row r="4955" spans="3:20" s="517" customFormat="1" ht="31.2" customHeight="1">
      <c r="C4955" s="543">
        <v>1</v>
      </c>
      <c r="D4955" s="750" t="s">
        <v>7404</v>
      </c>
      <c r="E4955" s="203" t="s">
        <v>44</v>
      </c>
      <c r="F4955" s="753">
        <v>25</v>
      </c>
      <c r="G4955" s="205">
        <f>VLOOKUP(D4955,upahbahan,3,FALSE)</f>
        <v>0</v>
      </c>
      <c r="H4955" s="210">
        <f t="shared" ref="H4955:H4960" si="360">F4955*G4955</f>
        <v>0</v>
      </c>
      <c r="L4955" s="200"/>
      <c r="M4955" s="200"/>
      <c r="N4955" s="200"/>
      <c r="O4955" s="200"/>
      <c r="P4955" s="200"/>
    </row>
    <row r="4956" spans="3:20" s="517" customFormat="1" ht="31.2" customHeight="1">
      <c r="C4956" s="543">
        <v>2</v>
      </c>
      <c r="D4956" s="750" t="s">
        <v>5563</v>
      </c>
      <c r="E4956" s="203" t="s">
        <v>65</v>
      </c>
      <c r="F4956" s="753">
        <v>0.01</v>
      </c>
      <c r="G4956" s="205">
        <f>VLOOKUP(D4956,upahbahan,3,FALSE)</f>
        <v>0</v>
      </c>
      <c r="H4956" s="210">
        <f t="shared" si="360"/>
        <v>0</v>
      </c>
      <c r="L4956" s="200"/>
      <c r="M4956" s="200"/>
      <c r="N4956" s="200"/>
      <c r="O4956" s="200"/>
      <c r="P4956" s="200"/>
    </row>
    <row r="4957" spans="3:20" s="517" customFormat="1" ht="31.2" customHeight="1">
      <c r="C4957" s="543">
        <v>3</v>
      </c>
      <c r="D4957" s="750" t="s">
        <v>5556</v>
      </c>
      <c r="E4957" s="203"/>
      <c r="F4957" s="753"/>
      <c r="G4957" s="197"/>
      <c r="H4957" s="210">
        <f t="shared" si="360"/>
        <v>0</v>
      </c>
      <c r="L4957" s="200"/>
      <c r="M4957" s="200"/>
      <c r="N4957" s="200"/>
      <c r="O4957" s="200"/>
      <c r="P4957" s="200"/>
    </row>
    <row r="4958" spans="3:20" s="517" customFormat="1" ht="31.2" customHeight="1">
      <c r="C4958" s="754" t="s">
        <v>5293</v>
      </c>
      <c r="D4958" s="750" t="s">
        <v>2084</v>
      </c>
      <c r="E4958" s="203" t="s">
        <v>42</v>
      </c>
      <c r="F4958" s="753">
        <v>5.0000000000000001E-3</v>
      </c>
      <c r="G4958" s="205">
        <f>VLOOKUP(D4958,upahbahan,3,FALSE)</f>
        <v>0</v>
      </c>
      <c r="H4958" s="210">
        <f t="shared" si="360"/>
        <v>0</v>
      </c>
      <c r="L4958" s="200"/>
      <c r="M4958" s="200"/>
      <c r="N4958" s="200"/>
      <c r="O4958" s="200"/>
      <c r="P4958" s="200"/>
    </row>
    <row r="4959" spans="3:20" s="517" customFormat="1" ht="31.2" customHeight="1">
      <c r="C4959" s="754" t="s">
        <v>5299</v>
      </c>
      <c r="D4959" s="750" t="s">
        <v>5566</v>
      </c>
      <c r="E4959" s="203" t="s">
        <v>42</v>
      </c>
      <c r="F4959" s="753">
        <v>1E-3</v>
      </c>
      <c r="G4959" s="205">
        <f>VLOOKUP(D4959,upahbahan,3,FALSE)</f>
        <v>0</v>
      </c>
      <c r="H4959" s="210">
        <f t="shared" si="360"/>
        <v>0</v>
      </c>
      <c r="L4959" s="200"/>
      <c r="M4959" s="200"/>
      <c r="N4959" s="200"/>
      <c r="O4959" s="200"/>
      <c r="P4959" s="200"/>
    </row>
    <row r="4960" spans="3:20" s="517" customFormat="1" ht="31.2" customHeight="1">
      <c r="C4960" s="754" t="s">
        <v>5558</v>
      </c>
      <c r="D4960" s="750" t="s">
        <v>2325</v>
      </c>
      <c r="E4960" s="203" t="s">
        <v>42</v>
      </c>
      <c r="F4960" s="764">
        <v>3.2499999999999999E-4</v>
      </c>
      <c r="G4960" s="205">
        <f>VLOOKUP(D4960,upahbahan,3,FALSE)</f>
        <v>0</v>
      </c>
      <c r="H4960" s="210">
        <f t="shared" si="360"/>
        <v>0</v>
      </c>
      <c r="L4960" s="200"/>
      <c r="M4960" s="200"/>
      <c r="N4960" s="200"/>
      <c r="O4960" s="200"/>
      <c r="P4960" s="200"/>
    </row>
    <row r="4961" spans="3:20" s="517" customFormat="1" ht="31.2" customHeight="1">
      <c r="C4961" s="207" t="s">
        <v>1214</v>
      </c>
      <c r="D4961" s="208"/>
      <c r="E4961" s="568"/>
      <c r="F4961" s="208"/>
      <c r="G4961" s="209"/>
      <c r="H4961" s="210">
        <f>SUM(H4955:H4960)</f>
        <v>0</v>
      </c>
      <c r="L4961" s="200"/>
      <c r="M4961" s="200"/>
      <c r="N4961" s="200"/>
      <c r="O4961" s="200"/>
      <c r="P4961" s="200"/>
    </row>
    <row r="4962" spans="3:20" s="517" customFormat="1" ht="31.2" customHeight="1">
      <c r="C4962" s="756" t="s">
        <v>1215</v>
      </c>
      <c r="D4962" s="196" t="s">
        <v>1216</v>
      </c>
      <c r="E4962" s="203"/>
      <c r="F4962" s="197"/>
      <c r="G4962" s="197"/>
      <c r="H4962" s="198"/>
      <c r="L4962" s="200"/>
      <c r="M4962" s="200"/>
      <c r="N4962" s="200"/>
      <c r="O4962" s="200"/>
      <c r="P4962" s="200"/>
    </row>
    <row r="4963" spans="3:20" s="517" customFormat="1" ht="31.2" customHeight="1">
      <c r="C4963" s="207" t="s">
        <v>1217</v>
      </c>
      <c r="D4963" s="208"/>
      <c r="E4963" s="208"/>
      <c r="F4963" s="208"/>
      <c r="G4963" s="209"/>
      <c r="H4963" s="240">
        <f>SUM(H4962)</f>
        <v>0</v>
      </c>
      <c r="L4963" s="200"/>
      <c r="M4963" s="200"/>
      <c r="N4963" s="200"/>
      <c r="O4963" s="200"/>
      <c r="P4963" s="200"/>
    </row>
    <row r="4964" spans="3:20" s="517" customFormat="1" ht="31.2" customHeight="1">
      <c r="C4964" s="223" t="s">
        <v>1218</v>
      </c>
      <c r="D4964" s="224" t="s">
        <v>1219</v>
      </c>
      <c r="E4964" s="225"/>
      <c r="F4964" s="225"/>
      <c r="G4964" s="226"/>
      <c r="H4964" s="210">
        <f>H4963+H4961+H4953</f>
        <v>11778</v>
      </c>
      <c r="L4964" s="200"/>
      <c r="M4964" s="200"/>
      <c r="N4964" s="200"/>
      <c r="O4964" s="200"/>
      <c r="P4964" s="200"/>
    </row>
    <row r="4965" spans="3:20" s="517" customFormat="1" ht="31.2" customHeight="1">
      <c r="C4965" s="223" t="s">
        <v>1220</v>
      </c>
      <c r="D4965" s="224" t="s">
        <v>1321</v>
      </c>
      <c r="E4965" s="225"/>
      <c r="F4965" s="226"/>
      <c r="G4965" s="228">
        <v>0.1</v>
      </c>
      <c r="H4965" s="210">
        <f>H4964*G4965</f>
        <v>1177.8</v>
      </c>
      <c r="L4965" s="200"/>
      <c r="M4965" s="200"/>
      <c r="N4965" s="200"/>
      <c r="O4965" s="200"/>
      <c r="P4965" s="200"/>
    </row>
    <row r="4966" spans="3:20" s="517" customFormat="1" ht="31.2" customHeight="1" thickBot="1">
      <c r="C4966" s="229" t="s">
        <v>1221</v>
      </c>
      <c r="D4966" s="230" t="s">
        <v>1222</v>
      </c>
      <c r="E4966" s="231"/>
      <c r="F4966" s="231"/>
      <c r="G4966" s="232"/>
      <c r="H4966" s="233">
        <f>SUM(H4964:H4965)</f>
        <v>12955.8</v>
      </c>
      <c r="L4966" s="200"/>
      <c r="M4966" s="200"/>
      <c r="N4966" s="200"/>
      <c r="O4966" s="200"/>
      <c r="P4966" s="200"/>
    </row>
    <row r="4967" spans="3:20" ht="31.2" customHeight="1" thickTop="1">
      <c r="D4967" s="758"/>
    </row>
    <row r="4968" spans="3:20" ht="31.2" customHeight="1">
      <c r="C4968" s="757" t="s">
        <v>6950</v>
      </c>
      <c r="F4968" s="758"/>
      <c r="H4968" s="758" t="s">
        <v>6959</v>
      </c>
    </row>
    <row r="4969" spans="3:20" ht="31.2" customHeight="1">
      <c r="C4969" s="200" t="s">
        <v>6951</v>
      </c>
      <c r="F4969" s="758"/>
    </row>
    <row r="4970" spans="3:20" ht="31.2" customHeight="1">
      <c r="C4970" s="200" t="s">
        <v>6952</v>
      </c>
      <c r="F4970" s="758"/>
    </row>
    <row r="4971" spans="3:20" ht="31.2" customHeight="1">
      <c r="C4971" s="200"/>
      <c r="F4971" s="758"/>
    </row>
    <row r="4972" spans="3:20" s="517" customFormat="1" ht="31.2" customHeight="1" thickBot="1">
      <c r="C4972" s="513" t="s">
        <v>7405</v>
      </c>
      <c r="D4972" s="748" t="s">
        <v>7406</v>
      </c>
      <c r="E4972" s="749"/>
      <c r="F4972" s="748"/>
      <c r="G4972" s="748"/>
      <c r="H4972" s="532"/>
      <c r="I4972" s="532"/>
      <c r="J4972" s="532"/>
      <c r="K4972" s="532"/>
      <c r="M4972" s="189"/>
      <c r="N4972" s="189"/>
      <c r="O4972" s="189"/>
      <c r="P4972" s="189"/>
      <c r="R4972" s="189">
        <f>ROUNDDOWN(H4991,-2)</f>
        <v>12900</v>
      </c>
      <c r="S4972" s="517" t="s">
        <v>6451</v>
      </c>
      <c r="T4972" s="517" t="s">
        <v>7014</v>
      </c>
    </row>
    <row r="4973" spans="3:20" s="517" customFormat="1" ht="31.2" customHeight="1" thickTop="1">
      <c r="C4973" s="190" t="s">
        <v>1195</v>
      </c>
      <c r="D4973" s="191" t="s">
        <v>1196</v>
      </c>
      <c r="E4973" s="191" t="s">
        <v>1197</v>
      </c>
      <c r="F4973" s="191" t="s">
        <v>1198</v>
      </c>
      <c r="G4973" s="191" t="s">
        <v>1199</v>
      </c>
      <c r="H4973" s="192" t="s">
        <v>1200</v>
      </c>
      <c r="L4973" s="200"/>
      <c r="M4973" s="200"/>
      <c r="N4973" s="200"/>
      <c r="O4973" s="200"/>
      <c r="P4973" s="200"/>
    </row>
    <row r="4974" spans="3:20" s="517" customFormat="1" ht="31.2" customHeight="1">
      <c r="C4974" s="518" t="s">
        <v>1201</v>
      </c>
      <c r="D4974" s="196" t="s">
        <v>1202</v>
      </c>
      <c r="E4974" s="197"/>
      <c r="F4974" s="197"/>
      <c r="G4974" s="197"/>
      <c r="H4974" s="198"/>
      <c r="L4974" s="200"/>
      <c r="M4974" s="200"/>
      <c r="N4974" s="200"/>
      <c r="O4974" s="200"/>
      <c r="P4974" s="200"/>
    </row>
    <row r="4975" spans="3:20" s="517" customFormat="1" ht="31.2" customHeight="1">
      <c r="C4975" s="537">
        <v>1</v>
      </c>
      <c r="D4975" s="196" t="s">
        <v>6954</v>
      </c>
      <c r="E4975" s="202" t="s">
        <v>6</v>
      </c>
      <c r="F4975" s="520">
        <v>0.05</v>
      </c>
      <c r="G4975" s="205">
        <f>VLOOKUP(D4975,upahbahan,3,FALSE)</f>
        <v>181250</v>
      </c>
      <c r="H4975" s="210">
        <f t="shared" ref="H4975:H4977" si="361">F4975*G4975</f>
        <v>9062.5</v>
      </c>
      <c r="L4975" s="200"/>
      <c r="M4975" s="200"/>
      <c r="N4975" s="200"/>
      <c r="O4975" s="200"/>
      <c r="P4975" s="200"/>
    </row>
    <row r="4976" spans="3:20" s="517" customFormat="1" ht="31.2" customHeight="1">
      <c r="C4976" s="537">
        <v>2</v>
      </c>
      <c r="D4976" s="196" t="s">
        <v>6948</v>
      </c>
      <c r="E4976" s="202" t="s">
        <v>2102</v>
      </c>
      <c r="F4976" s="520">
        <v>0.01</v>
      </c>
      <c r="G4976" s="205">
        <f>VLOOKUP(D4976,upahbahan,3,FALSE)</f>
        <v>218750</v>
      </c>
      <c r="H4976" s="210">
        <f t="shared" si="361"/>
        <v>2187.5</v>
      </c>
      <c r="L4976" s="200"/>
      <c r="M4976" s="200"/>
      <c r="N4976" s="200"/>
      <c r="O4976" s="200"/>
      <c r="P4976" s="200"/>
    </row>
    <row r="4977" spans="3:16" s="517" customFormat="1" ht="31.2" customHeight="1">
      <c r="C4977" s="537">
        <v>3</v>
      </c>
      <c r="D4977" s="196" t="s">
        <v>19</v>
      </c>
      <c r="E4977" s="202" t="s">
        <v>6</v>
      </c>
      <c r="F4977" s="520">
        <v>3.3E-3</v>
      </c>
      <c r="G4977" s="205">
        <f>VLOOKUP(D4977,upahbahan,3,FALSE)</f>
        <v>160000</v>
      </c>
      <c r="H4977" s="210">
        <f t="shared" si="361"/>
        <v>528</v>
      </c>
      <c r="L4977" s="200"/>
      <c r="M4977" s="200"/>
      <c r="N4977" s="200"/>
      <c r="O4977" s="200"/>
      <c r="P4977" s="200"/>
    </row>
    <row r="4978" spans="3:16" s="517" customFormat="1" ht="31.2" customHeight="1">
      <c r="C4978" s="207" t="s">
        <v>1208</v>
      </c>
      <c r="D4978" s="208"/>
      <c r="E4978" s="208"/>
      <c r="F4978" s="521"/>
      <c r="G4978" s="522"/>
      <c r="H4978" s="210">
        <f>SUM(H4975:H4977)</f>
        <v>11778</v>
      </c>
      <c r="L4978" s="523"/>
      <c r="M4978" s="523"/>
      <c r="N4978" s="523"/>
      <c r="O4978" s="523"/>
      <c r="P4978" s="523"/>
    </row>
    <row r="4979" spans="3:16" s="517" customFormat="1" ht="31.2" customHeight="1">
      <c r="C4979" s="543" t="s">
        <v>1209</v>
      </c>
      <c r="D4979" s="750" t="s">
        <v>1210</v>
      </c>
      <c r="E4979" s="197"/>
      <c r="F4979" s="751"/>
      <c r="G4979" s="197"/>
      <c r="H4979" s="752"/>
      <c r="L4979" s="200"/>
      <c r="M4979" s="200"/>
      <c r="N4979" s="200"/>
      <c r="O4979" s="200"/>
      <c r="P4979" s="200"/>
    </row>
    <row r="4980" spans="3:16" s="517" customFormat="1" ht="31.2" customHeight="1">
      <c r="C4980" s="543">
        <v>1</v>
      </c>
      <c r="D4980" s="750" t="s">
        <v>7407</v>
      </c>
      <c r="E4980" s="203" t="s">
        <v>44</v>
      </c>
      <c r="F4980" s="753">
        <v>25</v>
      </c>
      <c r="G4980" s="205">
        <f>VLOOKUP(D4980,upahbahan,3,FALSE)</f>
        <v>0</v>
      </c>
      <c r="H4980" s="210">
        <f t="shared" ref="H4980:H4985" si="362">F4980*G4980</f>
        <v>0</v>
      </c>
      <c r="L4980" s="200"/>
      <c r="M4980" s="200"/>
      <c r="N4980" s="200"/>
      <c r="O4980" s="200"/>
      <c r="P4980" s="200"/>
    </row>
    <row r="4981" spans="3:16" s="517" customFormat="1" ht="31.2" customHeight="1">
      <c r="C4981" s="543">
        <v>2</v>
      </c>
      <c r="D4981" s="750" t="s">
        <v>5563</v>
      </c>
      <c r="E4981" s="203" t="s">
        <v>65</v>
      </c>
      <c r="F4981" s="753">
        <v>0.01</v>
      </c>
      <c r="G4981" s="205">
        <f>VLOOKUP(D4981,upahbahan,3,FALSE)</f>
        <v>0</v>
      </c>
      <c r="H4981" s="210">
        <f t="shared" si="362"/>
        <v>0</v>
      </c>
      <c r="L4981" s="200"/>
      <c r="M4981" s="200"/>
      <c r="N4981" s="200"/>
      <c r="O4981" s="200"/>
      <c r="P4981" s="200"/>
    </row>
    <row r="4982" spans="3:16" s="517" customFormat="1" ht="31.2" customHeight="1">
      <c r="C4982" s="543">
        <v>3</v>
      </c>
      <c r="D4982" s="750" t="s">
        <v>5556</v>
      </c>
      <c r="E4982" s="203"/>
      <c r="F4982" s="753"/>
      <c r="G4982" s="197"/>
      <c r="H4982" s="210">
        <f t="shared" si="362"/>
        <v>0</v>
      </c>
      <c r="L4982" s="200"/>
      <c r="M4982" s="200"/>
      <c r="N4982" s="200"/>
      <c r="O4982" s="200"/>
      <c r="P4982" s="200"/>
    </row>
    <row r="4983" spans="3:16" s="517" customFormat="1" ht="31.2" customHeight="1">
      <c r="C4983" s="754" t="s">
        <v>5293</v>
      </c>
      <c r="D4983" s="750" t="s">
        <v>2084</v>
      </c>
      <c r="E4983" s="203" t="s">
        <v>42</v>
      </c>
      <c r="F4983" s="753">
        <v>5.0000000000000001E-3</v>
      </c>
      <c r="G4983" s="205">
        <f>VLOOKUP(D4983,upahbahan,3,FALSE)</f>
        <v>0</v>
      </c>
      <c r="H4983" s="210">
        <f t="shared" si="362"/>
        <v>0</v>
      </c>
      <c r="L4983" s="200"/>
      <c r="M4983" s="200"/>
      <c r="N4983" s="200"/>
      <c r="O4983" s="200"/>
      <c r="P4983" s="200"/>
    </row>
    <row r="4984" spans="3:16" s="517" customFormat="1" ht="31.2" customHeight="1">
      <c r="C4984" s="754" t="s">
        <v>5299</v>
      </c>
      <c r="D4984" s="750" t="s">
        <v>5566</v>
      </c>
      <c r="E4984" s="203" t="s">
        <v>42</v>
      </c>
      <c r="F4984" s="753">
        <v>1E-3</v>
      </c>
      <c r="G4984" s="205">
        <f>VLOOKUP(D4984,upahbahan,3,FALSE)</f>
        <v>0</v>
      </c>
      <c r="H4984" s="210">
        <f t="shared" si="362"/>
        <v>0</v>
      </c>
      <c r="L4984" s="200"/>
      <c r="M4984" s="200"/>
      <c r="N4984" s="200"/>
      <c r="O4984" s="200"/>
      <c r="P4984" s="200"/>
    </row>
    <row r="4985" spans="3:16" s="517" customFormat="1" ht="31.2" customHeight="1">
      <c r="C4985" s="754" t="s">
        <v>5558</v>
      </c>
      <c r="D4985" s="750" t="s">
        <v>2325</v>
      </c>
      <c r="E4985" s="203" t="s">
        <v>42</v>
      </c>
      <c r="F4985" s="764">
        <v>3.2499999999999999E-4</v>
      </c>
      <c r="G4985" s="205">
        <f>VLOOKUP(D4985,upahbahan,3,FALSE)</f>
        <v>0</v>
      </c>
      <c r="H4985" s="210">
        <f t="shared" si="362"/>
        <v>0</v>
      </c>
      <c r="L4985" s="200"/>
      <c r="M4985" s="200"/>
      <c r="N4985" s="200"/>
      <c r="O4985" s="200"/>
      <c r="P4985" s="200"/>
    </row>
    <row r="4986" spans="3:16" s="517" customFormat="1" ht="31.2" customHeight="1">
      <c r="C4986" s="207" t="s">
        <v>1214</v>
      </c>
      <c r="D4986" s="208"/>
      <c r="E4986" s="568"/>
      <c r="F4986" s="208"/>
      <c r="G4986" s="209"/>
      <c r="H4986" s="210">
        <f>SUM(H4980:H4985)</f>
        <v>0</v>
      </c>
      <c r="L4986" s="200"/>
      <c r="M4986" s="200"/>
      <c r="N4986" s="200"/>
      <c r="O4986" s="200"/>
      <c r="P4986" s="200"/>
    </row>
    <row r="4987" spans="3:16" s="517" customFormat="1" ht="31.2" customHeight="1">
      <c r="C4987" s="756" t="s">
        <v>1215</v>
      </c>
      <c r="D4987" s="196" t="s">
        <v>1216</v>
      </c>
      <c r="E4987" s="203"/>
      <c r="F4987" s="197"/>
      <c r="G4987" s="197"/>
      <c r="H4987" s="198"/>
      <c r="L4987" s="200"/>
      <c r="M4987" s="200"/>
      <c r="N4987" s="200"/>
      <c r="O4987" s="200"/>
      <c r="P4987" s="200"/>
    </row>
    <row r="4988" spans="3:16" s="517" customFormat="1" ht="31.2" customHeight="1">
      <c r="C4988" s="207" t="s">
        <v>1217</v>
      </c>
      <c r="D4988" s="208"/>
      <c r="E4988" s="208"/>
      <c r="F4988" s="208"/>
      <c r="G4988" s="209"/>
      <c r="H4988" s="240">
        <f>SUM(H4987)</f>
        <v>0</v>
      </c>
      <c r="L4988" s="200"/>
      <c r="M4988" s="200"/>
      <c r="N4988" s="200"/>
      <c r="O4988" s="200"/>
      <c r="P4988" s="200"/>
    </row>
    <row r="4989" spans="3:16" s="517" customFormat="1" ht="31.2" customHeight="1">
      <c r="C4989" s="223" t="s">
        <v>1218</v>
      </c>
      <c r="D4989" s="224" t="s">
        <v>1219</v>
      </c>
      <c r="E4989" s="225"/>
      <c r="F4989" s="225"/>
      <c r="G4989" s="226"/>
      <c r="H4989" s="210">
        <f>H4988+H4986+H4978</f>
        <v>11778</v>
      </c>
      <c r="L4989" s="200"/>
      <c r="M4989" s="200"/>
      <c r="N4989" s="200"/>
      <c r="O4989" s="200"/>
      <c r="P4989" s="200"/>
    </row>
    <row r="4990" spans="3:16" s="517" customFormat="1" ht="31.2" customHeight="1">
      <c r="C4990" s="223" t="s">
        <v>1220</v>
      </c>
      <c r="D4990" s="224" t="s">
        <v>1321</v>
      </c>
      <c r="E4990" s="225"/>
      <c r="F4990" s="226"/>
      <c r="G4990" s="228">
        <v>0.1</v>
      </c>
      <c r="H4990" s="210">
        <f>H4989*G4990</f>
        <v>1177.8</v>
      </c>
      <c r="L4990" s="200"/>
      <c r="M4990" s="200"/>
      <c r="N4990" s="200"/>
      <c r="O4990" s="200"/>
      <c r="P4990" s="200"/>
    </row>
    <row r="4991" spans="3:16" s="517" customFormat="1" ht="31.2" customHeight="1" thickBot="1">
      <c r="C4991" s="229" t="s">
        <v>1221</v>
      </c>
      <c r="D4991" s="230" t="s">
        <v>1222</v>
      </c>
      <c r="E4991" s="231"/>
      <c r="F4991" s="231"/>
      <c r="G4991" s="232"/>
      <c r="H4991" s="233">
        <f>SUM(H4989:H4990)</f>
        <v>12955.8</v>
      </c>
      <c r="L4991" s="200"/>
      <c r="M4991" s="200"/>
      <c r="N4991" s="200"/>
      <c r="O4991" s="200"/>
      <c r="P4991" s="200"/>
    </row>
    <row r="4992" spans="3:16" ht="31.2" customHeight="1" thickTop="1">
      <c r="D4992" s="758"/>
    </row>
    <row r="4993" spans="3:20" ht="31.2" customHeight="1">
      <c r="C4993" s="757" t="s">
        <v>6950</v>
      </c>
      <c r="F4993" s="758"/>
      <c r="H4993" s="758" t="s">
        <v>6959</v>
      </c>
    </row>
    <row r="4994" spans="3:20" ht="31.2" customHeight="1">
      <c r="C4994" s="200" t="s">
        <v>6951</v>
      </c>
      <c r="F4994" s="758"/>
    </row>
    <row r="4995" spans="3:20" ht="31.2" customHeight="1">
      <c r="C4995" s="200" t="s">
        <v>6952</v>
      </c>
      <c r="F4995" s="758"/>
    </row>
    <row r="4996" spans="3:20" ht="31.2" customHeight="1">
      <c r="C4996" s="200"/>
      <c r="F4996" s="758"/>
    </row>
    <row r="4997" spans="3:20" ht="31.2" customHeight="1">
      <c r="C4997" s="199" t="s">
        <v>5593</v>
      </c>
      <c r="D4997" s="187" t="s">
        <v>7408</v>
      </c>
      <c r="F4997" s="758"/>
    </row>
    <row r="4998" spans="3:20" s="517" customFormat="1" ht="31.2" customHeight="1" thickBot="1">
      <c r="C4998" s="513" t="s">
        <v>7409</v>
      </c>
      <c r="D4998" s="748" t="s">
        <v>7410</v>
      </c>
      <c r="E4998" s="749"/>
      <c r="F4998" s="748"/>
      <c r="G4998" s="748"/>
      <c r="H4998" s="532"/>
      <c r="I4998" s="532"/>
      <c r="J4998" s="532"/>
      <c r="K4998" s="532"/>
      <c r="M4998" s="189"/>
      <c r="N4998" s="189"/>
      <c r="O4998" s="189"/>
      <c r="P4998" s="189"/>
      <c r="R4998" s="189">
        <f>ROUNDDOWN(H5017,-2)</f>
        <v>12900</v>
      </c>
      <c r="S4998" s="517" t="s">
        <v>6451</v>
      </c>
      <c r="T4998" s="517" t="s">
        <v>7014</v>
      </c>
    </row>
    <row r="4999" spans="3:20" s="517" customFormat="1" ht="31.2" customHeight="1" thickTop="1">
      <c r="C4999" s="190" t="s">
        <v>1195</v>
      </c>
      <c r="D4999" s="191" t="s">
        <v>1196</v>
      </c>
      <c r="E4999" s="191" t="s">
        <v>1197</v>
      </c>
      <c r="F4999" s="191" t="s">
        <v>1198</v>
      </c>
      <c r="G4999" s="191" t="s">
        <v>1199</v>
      </c>
      <c r="H4999" s="192" t="s">
        <v>1200</v>
      </c>
      <c r="L4999" s="200"/>
      <c r="M4999" s="200"/>
      <c r="N4999" s="200"/>
      <c r="O4999" s="200"/>
      <c r="P4999" s="200"/>
    </row>
    <row r="5000" spans="3:20" s="517" customFormat="1" ht="31.2" customHeight="1">
      <c r="C5000" s="518" t="s">
        <v>1201</v>
      </c>
      <c r="D5000" s="196" t="s">
        <v>1202</v>
      </c>
      <c r="E5000" s="197"/>
      <c r="F5000" s="197"/>
      <c r="G5000" s="197"/>
      <c r="H5000" s="198"/>
      <c r="L5000" s="200"/>
      <c r="M5000" s="200"/>
      <c r="N5000" s="200"/>
      <c r="O5000" s="200"/>
      <c r="P5000" s="200"/>
    </row>
    <row r="5001" spans="3:20" s="517" customFormat="1" ht="31.2" customHeight="1">
      <c r="C5001" s="537">
        <v>1</v>
      </c>
      <c r="D5001" s="196" t="s">
        <v>6954</v>
      </c>
      <c r="E5001" s="202" t="s">
        <v>6</v>
      </c>
      <c r="F5001" s="520">
        <v>0.05</v>
      </c>
      <c r="G5001" s="205">
        <f>VLOOKUP(D5001,upahbahan,3,FALSE)</f>
        <v>181250</v>
      </c>
      <c r="H5001" s="210">
        <f t="shared" ref="H5001:H5003" si="363">F5001*G5001</f>
        <v>9062.5</v>
      </c>
      <c r="L5001" s="200"/>
      <c r="M5001" s="200"/>
      <c r="N5001" s="200"/>
      <c r="O5001" s="200"/>
      <c r="P5001" s="200"/>
    </row>
    <row r="5002" spans="3:20" s="517" customFormat="1" ht="31.2" customHeight="1">
      <c r="C5002" s="537">
        <v>2</v>
      </c>
      <c r="D5002" s="196" t="s">
        <v>6948</v>
      </c>
      <c r="E5002" s="202" t="s">
        <v>2102</v>
      </c>
      <c r="F5002" s="520">
        <v>0.01</v>
      </c>
      <c r="G5002" s="205">
        <f>VLOOKUP(D5002,upahbahan,3,FALSE)</f>
        <v>218750</v>
      </c>
      <c r="H5002" s="210">
        <f t="shared" si="363"/>
        <v>2187.5</v>
      </c>
      <c r="L5002" s="200"/>
      <c r="M5002" s="200"/>
      <c r="N5002" s="200"/>
      <c r="O5002" s="200"/>
      <c r="P5002" s="200"/>
    </row>
    <row r="5003" spans="3:20" s="517" customFormat="1" ht="31.2" customHeight="1">
      <c r="C5003" s="537">
        <v>3</v>
      </c>
      <c r="D5003" s="196" t="s">
        <v>19</v>
      </c>
      <c r="E5003" s="202" t="s">
        <v>6</v>
      </c>
      <c r="F5003" s="520">
        <v>3.3E-3</v>
      </c>
      <c r="G5003" s="205">
        <f>VLOOKUP(D5003,upahbahan,3,FALSE)</f>
        <v>160000</v>
      </c>
      <c r="H5003" s="210">
        <f t="shared" si="363"/>
        <v>528</v>
      </c>
      <c r="L5003" s="200"/>
      <c r="M5003" s="200"/>
      <c r="N5003" s="200"/>
      <c r="O5003" s="200"/>
      <c r="P5003" s="200"/>
    </row>
    <row r="5004" spans="3:20" s="517" customFormat="1" ht="31.2" customHeight="1">
      <c r="C5004" s="207" t="s">
        <v>1208</v>
      </c>
      <c r="D5004" s="208"/>
      <c r="E5004" s="208"/>
      <c r="F5004" s="521"/>
      <c r="G5004" s="522"/>
      <c r="H5004" s="210">
        <f>SUM(H5001:H5003)</f>
        <v>11778</v>
      </c>
      <c r="L5004" s="523"/>
      <c r="M5004" s="523"/>
      <c r="N5004" s="523"/>
      <c r="O5004" s="523"/>
      <c r="P5004" s="523"/>
    </row>
    <row r="5005" spans="3:20" s="517" customFormat="1" ht="31.2" customHeight="1">
      <c r="C5005" s="543" t="s">
        <v>1209</v>
      </c>
      <c r="D5005" s="750" t="s">
        <v>1210</v>
      </c>
      <c r="E5005" s="197"/>
      <c r="F5005" s="751"/>
      <c r="G5005" s="197"/>
      <c r="H5005" s="752"/>
      <c r="L5005" s="200"/>
      <c r="M5005" s="200"/>
      <c r="N5005" s="200"/>
      <c r="O5005" s="200"/>
      <c r="P5005" s="200"/>
    </row>
    <row r="5006" spans="3:20" s="517" customFormat="1" ht="31.2" customHeight="1">
      <c r="C5006" s="543">
        <v>1</v>
      </c>
      <c r="D5006" s="750" t="s">
        <v>7411</v>
      </c>
      <c r="E5006" s="203" t="s">
        <v>44</v>
      </c>
      <c r="F5006" s="760">
        <v>16</v>
      </c>
      <c r="G5006" s="205">
        <f>VLOOKUP(D5006,upahbahan,3,FALSE)</f>
        <v>0</v>
      </c>
      <c r="H5006" s="210">
        <f t="shared" ref="H5006:H5011" si="364">F5006*G5006</f>
        <v>0</v>
      </c>
      <c r="L5006" s="200"/>
      <c r="M5006" s="200"/>
      <c r="N5006" s="200"/>
      <c r="O5006" s="200"/>
      <c r="P5006" s="200"/>
    </row>
    <row r="5007" spans="3:20" s="517" customFormat="1" ht="31.2" customHeight="1">
      <c r="C5007" s="543">
        <v>2</v>
      </c>
      <c r="D5007" s="750" t="s">
        <v>5563</v>
      </c>
      <c r="E5007" s="203" t="s">
        <v>65</v>
      </c>
      <c r="F5007" s="760">
        <v>0.01</v>
      </c>
      <c r="G5007" s="205">
        <f>VLOOKUP(D5007,upahbahan,3,FALSE)</f>
        <v>0</v>
      </c>
      <c r="H5007" s="210">
        <f t="shared" si="364"/>
        <v>0</v>
      </c>
      <c r="L5007" s="200"/>
      <c r="M5007" s="200"/>
      <c r="N5007" s="200"/>
      <c r="O5007" s="200"/>
      <c r="P5007" s="200"/>
    </row>
    <row r="5008" spans="3:20" s="517" customFormat="1" ht="31.2" customHeight="1">
      <c r="C5008" s="543">
        <v>3</v>
      </c>
      <c r="D5008" s="750" t="s">
        <v>5556</v>
      </c>
      <c r="E5008" s="203"/>
      <c r="F5008" s="753"/>
      <c r="G5008" s="197"/>
      <c r="H5008" s="210">
        <f t="shared" si="364"/>
        <v>0</v>
      </c>
      <c r="L5008" s="200"/>
      <c r="M5008" s="200"/>
      <c r="N5008" s="200"/>
      <c r="O5008" s="200"/>
      <c r="P5008" s="200"/>
    </row>
    <row r="5009" spans="3:20" s="517" customFormat="1" ht="31.2" customHeight="1">
      <c r="C5009" s="754" t="s">
        <v>5293</v>
      </c>
      <c r="D5009" s="750" t="s">
        <v>2084</v>
      </c>
      <c r="E5009" s="203" t="s">
        <v>42</v>
      </c>
      <c r="F5009" s="753">
        <v>1.0999999999999999E-2</v>
      </c>
      <c r="G5009" s="205">
        <f>VLOOKUP(D5009,upahbahan,3,FALSE)</f>
        <v>0</v>
      </c>
      <c r="H5009" s="210">
        <f t="shared" si="364"/>
        <v>0</v>
      </c>
      <c r="L5009" s="200"/>
      <c r="M5009" s="200"/>
      <c r="N5009" s="200"/>
      <c r="O5009" s="200"/>
      <c r="P5009" s="200"/>
    </row>
    <row r="5010" spans="3:20" s="517" customFormat="1" ht="31.2" customHeight="1">
      <c r="C5010" s="754" t="s">
        <v>5299</v>
      </c>
      <c r="D5010" s="750" t="s">
        <v>5566</v>
      </c>
      <c r="E5010" s="203" t="s">
        <v>42</v>
      </c>
      <c r="F5010" s="753">
        <v>3.0000000000000001E-3</v>
      </c>
      <c r="G5010" s="205">
        <f>VLOOKUP(D5010,upahbahan,3,FALSE)</f>
        <v>0</v>
      </c>
      <c r="H5010" s="210">
        <f t="shared" si="364"/>
        <v>0</v>
      </c>
      <c r="L5010" s="200"/>
      <c r="M5010" s="200"/>
      <c r="N5010" s="200"/>
      <c r="O5010" s="200"/>
      <c r="P5010" s="200"/>
    </row>
    <row r="5011" spans="3:20" s="517" customFormat="1" ht="31.2" customHeight="1">
      <c r="C5011" s="754" t="s">
        <v>5558</v>
      </c>
      <c r="D5011" s="750" t="s">
        <v>2325</v>
      </c>
      <c r="E5011" s="203" t="s">
        <v>42</v>
      </c>
      <c r="F5011" s="755">
        <v>1E-3</v>
      </c>
      <c r="G5011" s="205">
        <f>VLOOKUP(D5011,upahbahan,3,FALSE)</f>
        <v>0</v>
      </c>
      <c r="H5011" s="210">
        <f t="shared" si="364"/>
        <v>0</v>
      </c>
      <c r="L5011" s="200"/>
      <c r="M5011" s="200"/>
      <c r="N5011" s="200"/>
      <c r="O5011" s="200"/>
      <c r="P5011" s="200"/>
    </row>
    <row r="5012" spans="3:20" s="517" customFormat="1" ht="31.2" customHeight="1">
      <c r="C5012" s="207" t="s">
        <v>1214</v>
      </c>
      <c r="D5012" s="208"/>
      <c r="E5012" s="568"/>
      <c r="F5012" s="208"/>
      <c r="G5012" s="209"/>
      <c r="H5012" s="210">
        <f>SUM(H5006:H5011)</f>
        <v>0</v>
      </c>
      <c r="L5012" s="200"/>
      <c r="M5012" s="200"/>
      <c r="N5012" s="200"/>
      <c r="O5012" s="200"/>
      <c r="P5012" s="200"/>
    </row>
    <row r="5013" spans="3:20" s="517" customFormat="1" ht="31.2" customHeight="1">
      <c r="C5013" s="756" t="s">
        <v>1215</v>
      </c>
      <c r="D5013" s="196" t="s">
        <v>1216</v>
      </c>
      <c r="E5013" s="203"/>
      <c r="F5013" s="197"/>
      <c r="G5013" s="197"/>
      <c r="H5013" s="198"/>
      <c r="L5013" s="200"/>
      <c r="M5013" s="200"/>
      <c r="N5013" s="200"/>
      <c r="O5013" s="200"/>
      <c r="P5013" s="200"/>
    </row>
    <row r="5014" spans="3:20" s="517" customFormat="1" ht="31.2" customHeight="1">
      <c r="C5014" s="207" t="s">
        <v>1217</v>
      </c>
      <c r="D5014" s="208"/>
      <c r="E5014" s="208"/>
      <c r="F5014" s="208"/>
      <c r="G5014" s="209"/>
      <c r="H5014" s="240">
        <f>SUM(H5013)</f>
        <v>0</v>
      </c>
      <c r="L5014" s="200"/>
      <c r="M5014" s="200"/>
      <c r="N5014" s="200"/>
      <c r="O5014" s="200"/>
      <c r="P5014" s="200"/>
    </row>
    <row r="5015" spans="3:20" s="517" customFormat="1" ht="31.2" customHeight="1">
      <c r="C5015" s="223" t="s">
        <v>1218</v>
      </c>
      <c r="D5015" s="224" t="s">
        <v>1219</v>
      </c>
      <c r="E5015" s="225"/>
      <c r="F5015" s="225"/>
      <c r="G5015" s="226"/>
      <c r="H5015" s="210">
        <f>H5014+H5012+H5004</f>
        <v>11778</v>
      </c>
      <c r="L5015" s="200"/>
      <c r="M5015" s="200"/>
      <c r="N5015" s="200"/>
      <c r="O5015" s="200"/>
      <c r="P5015" s="200"/>
    </row>
    <row r="5016" spans="3:20" s="517" customFormat="1" ht="31.2" customHeight="1">
      <c r="C5016" s="223" t="s">
        <v>1220</v>
      </c>
      <c r="D5016" s="224" t="s">
        <v>1321</v>
      </c>
      <c r="E5016" s="225"/>
      <c r="F5016" s="226"/>
      <c r="G5016" s="228">
        <v>0.1</v>
      </c>
      <c r="H5016" s="210">
        <f>H5015*G5016</f>
        <v>1177.8</v>
      </c>
      <c r="L5016" s="200"/>
      <c r="M5016" s="200"/>
      <c r="N5016" s="200"/>
      <c r="O5016" s="200"/>
      <c r="P5016" s="200"/>
    </row>
    <row r="5017" spans="3:20" s="517" customFormat="1" ht="31.2" customHeight="1" thickBot="1">
      <c r="C5017" s="229" t="s">
        <v>1221</v>
      </c>
      <c r="D5017" s="230" t="s">
        <v>1222</v>
      </c>
      <c r="E5017" s="231"/>
      <c r="F5017" s="231"/>
      <c r="G5017" s="232"/>
      <c r="H5017" s="233">
        <f>SUM(H5015:H5016)</f>
        <v>12955.8</v>
      </c>
      <c r="L5017" s="200"/>
      <c r="M5017" s="200"/>
      <c r="N5017" s="200"/>
      <c r="O5017" s="200"/>
      <c r="P5017" s="200"/>
    </row>
    <row r="5018" spans="3:20" ht="31.2" customHeight="1" thickTop="1">
      <c r="D5018" s="758"/>
    </row>
    <row r="5019" spans="3:20" ht="31.2" customHeight="1">
      <c r="C5019" s="757" t="s">
        <v>6950</v>
      </c>
      <c r="F5019" s="758"/>
      <c r="H5019" s="758" t="s">
        <v>6959</v>
      </c>
    </row>
    <row r="5020" spans="3:20" ht="31.2" customHeight="1">
      <c r="C5020" s="200" t="s">
        <v>6951</v>
      </c>
      <c r="F5020" s="758"/>
    </row>
    <row r="5021" spans="3:20" ht="31.2" customHeight="1">
      <c r="C5021" s="200" t="s">
        <v>6952</v>
      </c>
      <c r="F5021" s="758"/>
    </row>
    <row r="5022" spans="3:20" ht="31.2" customHeight="1">
      <c r="C5022" s="200"/>
      <c r="F5022" s="758"/>
    </row>
    <row r="5023" spans="3:20" s="517" customFormat="1" ht="31.2" customHeight="1" thickBot="1">
      <c r="C5023" s="513" t="s">
        <v>7412</v>
      </c>
      <c r="D5023" s="748" t="s">
        <v>7413</v>
      </c>
      <c r="E5023" s="749"/>
      <c r="F5023" s="748"/>
      <c r="G5023" s="748"/>
      <c r="H5023" s="532"/>
      <c r="I5023" s="532"/>
      <c r="J5023" s="532"/>
      <c r="K5023" s="532"/>
      <c r="M5023" s="189"/>
      <c r="N5023" s="189"/>
      <c r="O5023" s="189"/>
      <c r="P5023" s="189"/>
      <c r="R5023" s="189">
        <f>ROUNDDOWN(H5042,-2)</f>
        <v>12900</v>
      </c>
      <c r="S5023" s="517" t="s">
        <v>6451</v>
      </c>
      <c r="T5023" s="517" t="s">
        <v>7014</v>
      </c>
    </row>
    <row r="5024" spans="3:20" s="517" customFormat="1" ht="31.2" customHeight="1" thickTop="1">
      <c r="C5024" s="190" t="s">
        <v>1195</v>
      </c>
      <c r="D5024" s="191" t="s">
        <v>1196</v>
      </c>
      <c r="E5024" s="191" t="s">
        <v>1197</v>
      </c>
      <c r="F5024" s="191" t="s">
        <v>1198</v>
      </c>
      <c r="G5024" s="191" t="s">
        <v>1199</v>
      </c>
      <c r="H5024" s="192" t="s">
        <v>1200</v>
      </c>
      <c r="L5024" s="200"/>
      <c r="M5024" s="200"/>
      <c r="N5024" s="200"/>
      <c r="O5024" s="200"/>
      <c r="P5024" s="200"/>
    </row>
    <row r="5025" spans="3:16" s="517" customFormat="1" ht="31.2" customHeight="1">
      <c r="C5025" s="518" t="s">
        <v>1201</v>
      </c>
      <c r="D5025" s="196" t="s">
        <v>1202</v>
      </c>
      <c r="E5025" s="197"/>
      <c r="F5025" s="197"/>
      <c r="G5025" s="197"/>
      <c r="H5025" s="198"/>
      <c r="L5025" s="200"/>
      <c r="M5025" s="200"/>
      <c r="N5025" s="200"/>
      <c r="O5025" s="200"/>
      <c r="P5025" s="200"/>
    </row>
    <row r="5026" spans="3:16" s="517" customFormat="1" ht="31.2" customHeight="1">
      <c r="C5026" s="537">
        <v>1</v>
      </c>
      <c r="D5026" s="196" t="s">
        <v>6954</v>
      </c>
      <c r="E5026" s="202" t="s">
        <v>6</v>
      </c>
      <c r="F5026" s="520">
        <v>0.05</v>
      </c>
      <c r="G5026" s="205">
        <f>VLOOKUP(D5026,upahbahan,3,FALSE)</f>
        <v>181250</v>
      </c>
      <c r="H5026" s="210">
        <f t="shared" ref="H5026:H5028" si="365">F5026*G5026</f>
        <v>9062.5</v>
      </c>
      <c r="L5026" s="200"/>
      <c r="M5026" s="200"/>
      <c r="N5026" s="200"/>
      <c r="O5026" s="200"/>
      <c r="P5026" s="200"/>
    </row>
    <row r="5027" spans="3:16" s="517" customFormat="1" ht="31.2" customHeight="1">
      <c r="C5027" s="537">
        <v>2</v>
      </c>
      <c r="D5027" s="196" t="s">
        <v>6948</v>
      </c>
      <c r="E5027" s="202" t="s">
        <v>2102</v>
      </c>
      <c r="F5027" s="520">
        <v>0.01</v>
      </c>
      <c r="G5027" s="205">
        <f>VLOOKUP(D5027,upahbahan,3,FALSE)</f>
        <v>218750</v>
      </c>
      <c r="H5027" s="210">
        <f t="shared" si="365"/>
        <v>2187.5</v>
      </c>
      <c r="L5027" s="200"/>
      <c r="M5027" s="200"/>
      <c r="N5027" s="200"/>
      <c r="O5027" s="200"/>
      <c r="P5027" s="200"/>
    </row>
    <row r="5028" spans="3:16" s="517" customFormat="1" ht="31.2" customHeight="1">
      <c r="C5028" s="537">
        <v>3</v>
      </c>
      <c r="D5028" s="196" t="s">
        <v>19</v>
      </c>
      <c r="E5028" s="202" t="s">
        <v>6</v>
      </c>
      <c r="F5028" s="520">
        <v>3.3E-3</v>
      </c>
      <c r="G5028" s="205">
        <f>VLOOKUP(D5028,upahbahan,3,FALSE)</f>
        <v>160000</v>
      </c>
      <c r="H5028" s="210">
        <f t="shared" si="365"/>
        <v>528</v>
      </c>
      <c r="L5028" s="200"/>
      <c r="M5028" s="200"/>
      <c r="N5028" s="200"/>
      <c r="O5028" s="200"/>
      <c r="P5028" s="200"/>
    </row>
    <row r="5029" spans="3:16" s="517" customFormat="1" ht="31.2" customHeight="1">
      <c r="C5029" s="207" t="s">
        <v>1208</v>
      </c>
      <c r="D5029" s="208"/>
      <c r="E5029" s="208"/>
      <c r="F5029" s="521"/>
      <c r="G5029" s="522"/>
      <c r="H5029" s="210">
        <f>SUM(H5026:H5028)</f>
        <v>11778</v>
      </c>
      <c r="L5029" s="523"/>
      <c r="M5029" s="523"/>
      <c r="N5029" s="523"/>
      <c r="O5029" s="523"/>
      <c r="P5029" s="523"/>
    </row>
    <row r="5030" spans="3:16" s="517" customFormat="1" ht="31.2" customHeight="1">
      <c r="C5030" s="543" t="s">
        <v>1209</v>
      </c>
      <c r="D5030" s="750" t="s">
        <v>1210</v>
      </c>
      <c r="E5030" s="197"/>
      <c r="F5030" s="751"/>
      <c r="G5030" s="197"/>
      <c r="H5030" s="752"/>
      <c r="L5030" s="200"/>
      <c r="M5030" s="200"/>
      <c r="N5030" s="200"/>
      <c r="O5030" s="200"/>
      <c r="P5030" s="200"/>
    </row>
    <row r="5031" spans="3:16" s="517" customFormat="1" ht="31.2" customHeight="1">
      <c r="C5031" s="543">
        <v>1</v>
      </c>
      <c r="D5031" s="750" t="s">
        <v>7414</v>
      </c>
      <c r="E5031" s="203" t="s">
        <v>44</v>
      </c>
      <c r="F5031" s="760">
        <v>16</v>
      </c>
      <c r="G5031" s="205">
        <f>VLOOKUP(D5031,upahbahan,3,FALSE)</f>
        <v>0</v>
      </c>
      <c r="H5031" s="210">
        <f t="shared" ref="H5031:H5036" si="366">F5031*G5031</f>
        <v>0</v>
      </c>
      <c r="L5031" s="200"/>
      <c r="M5031" s="200"/>
      <c r="N5031" s="200"/>
      <c r="O5031" s="200"/>
      <c r="P5031" s="200"/>
    </row>
    <row r="5032" spans="3:16" s="517" customFormat="1" ht="31.2" customHeight="1">
      <c r="C5032" s="543">
        <v>2</v>
      </c>
      <c r="D5032" s="750" t="s">
        <v>5563</v>
      </c>
      <c r="E5032" s="203" t="s">
        <v>65</v>
      </c>
      <c r="F5032" s="760">
        <v>0.01</v>
      </c>
      <c r="G5032" s="205">
        <f>VLOOKUP(D5032,upahbahan,3,FALSE)</f>
        <v>0</v>
      </c>
      <c r="H5032" s="210">
        <f t="shared" si="366"/>
        <v>0</v>
      </c>
      <c r="L5032" s="200"/>
      <c r="M5032" s="200"/>
      <c r="N5032" s="200"/>
      <c r="O5032" s="200"/>
      <c r="P5032" s="200"/>
    </row>
    <row r="5033" spans="3:16" s="517" customFormat="1" ht="31.2" customHeight="1">
      <c r="C5033" s="543">
        <v>3</v>
      </c>
      <c r="D5033" s="750" t="s">
        <v>5556</v>
      </c>
      <c r="E5033" s="203"/>
      <c r="F5033" s="753"/>
      <c r="G5033" s="197"/>
      <c r="H5033" s="210">
        <f t="shared" si="366"/>
        <v>0</v>
      </c>
      <c r="L5033" s="200"/>
      <c r="M5033" s="200"/>
      <c r="N5033" s="200"/>
      <c r="O5033" s="200"/>
      <c r="P5033" s="200"/>
    </row>
    <row r="5034" spans="3:16" s="517" customFormat="1" ht="31.2" customHeight="1">
      <c r="C5034" s="754" t="s">
        <v>5293</v>
      </c>
      <c r="D5034" s="750" t="s">
        <v>2084</v>
      </c>
      <c r="E5034" s="203" t="s">
        <v>42</v>
      </c>
      <c r="F5034" s="753">
        <v>1.0999999999999999E-2</v>
      </c>
      <c r="G5034" s="205">
        <f>VLOOKUP(D5034,upahbahan,3,FALSE)</f>
        <v>0</v>
      </c>
      <c r="H5034" s="210">
        <f t="shared" si="366"/>
        <v>0</v>
      </c>
      <c r="L5034" s="200"/>
      <c r="M5034" s="200"/>
      <c r="N5034" s="200"/>
      <c r="O5034" s="200"/>
      <c r="P5034" s="200"/>
    </row>
    <row r="5035" spans="3:16" s="517" customFormat="1" ht="31.2" customHeight="1">
      <c r="C5035" s="754" t="s">
        <v>5299</v>
      </c>
      <c r="D5035" s="750" t="s">
        <v>5566</v>
      </c>
      <c r="E5035" s="203" t="s">
        <v>42</v>
      </c>
      <c r="F5035" s="753">
        <v>3.0000000000000001E-3</v>
      </c>
      <c r="G5035" s="205">
        <f>VLOOKUP(D5035,upahbahan,3,FALSE)</f>
        <v>0</v>
      </c>
      <c r="H5035" s="210">
        <f t="shared" si="366"/>
        <v>0</v>
      </c>
      <c r="L5035" s="200"/>
      <c r="M5035" s="200"/>
      <c r="N5035" s="200"/>
      <c r="O5035" s="200"/>
      <c r="P5035" s="200"/>
    </row>
    <row r="5036" spans="3:16" s="517" customFormat="1" ht="31.2" customHeight="1">
      <c r="C5036" s="754" t="s">
        <v>5558</v>
      </c>
      <c r="D5036" s="750" t="s">
        <v>2325</v>
      </c>
      <c r="E5036" s="203" t="s">
        <v>42</v>
      </c>
      <c r="F5036" s="755">
        <v>1E-3</v>
      </c>
      <c r="G5036" s="205">
        <f>VLOOKUP(D5036,upahbahan,3,FALSE)</f>
        <v>0</v>
      </c>
      <c r="H5036" s="210">
        <f t="shared" si="366"/>
        <v>0</v>
      </c>
      <c r="L5036" s="200"/>
      <c r="M5036" s="200"/>
      <c r="N5036" s="200"/>
      <c r="O5036" s="200"/>
      <c r="P5036" s="200"/>
    </row>
    <row r="5037" spans="3:16" s="517" customFormat="1" ht="31.2" customHeight="1">
      <c r="C5037" s="207" t="s">
        <v>1214</v>
      </c>
      <c r="D5037" s="208"/>
      <c r="E5037" s="568"/>
      <c r="F5037" s="208"/>
      <c r="G5037" s="209"/>
      <c r="H5037" s="210">
        <f>SUM(H5031:H5036)</f>
        <v>0</v>
      </c>
      <c r="L5037" s="200"/>
      <c r="M5037" s="200"/>
      <c r="N5037" s="200"/>
      <c r="O5037" s="200"/>
      <c r="P5037" s="200"/>
    </row>
    <row r="5038" spans="3:16" s="517" customFormat="1" ht="31.2" customHeight="1">
      <c r="C5038" s="756" t="s">
        <v>1215</v>
      </c>
      <c r="D5038" s="196" t="s">
        <v>1216</v>
      </c>
      <c r="E5038" s="203"/>
      <c r="F5038" s="197"/>
      <c r="G5038" s="197"/>
      <c r="H5038" s="198"/>
      <c r="L5038" s="200"/>
      <c r="M5038" s="200"/>
      <c r="N5038" s="200"/>
      <c r="O5038" s="200"/>
      <c r="P5038" s="200"/>
    </row>
    <row r="5039" spans="3:16" s="517" customFormat="1" ht="31.2" customHeight="1">
      <c r="C5039" s="207" t="s">
        <v>1217</v>
      </c>
      <c r="D5039" s="208"/>
      <c r="E5039" s="208"/>
      <c r="F5039" s="208"/>
      <c r="G5039" s="209"/>
      <c r="H5039" s="240">
        <f>SUM(H5038)</f>
        <v>0</v>
      </c>
      <c r="L5039" s="200"/>
      <c r="M5039" s="200"/>
      <c r="N5039" s="200"/>
      <c r="O5039" s="200"/>
      <c r="P5039" s="200"/>
    </row>
    <row r="5040" spans="3:16" s="517" customFormat="1" ht="31.2" customHeight="1">
      <c r="C5040" s="223" t="s">
        <v>1218</v>
      </c>
      <c r="D5040" s="224" t="s">
        <v>1219</v>
      </c>
      <c r="E5040" s="225"/>
      <c r="F5040" s="225"/>
      <c r="G5040" s="226"/>
      <c r="H5040" s="210">
        <f>H5039+H5037+H5029</f>
        <v>11778</v>
      </c>
      <c r="L5040" s="200"/>
      <c r="M5040" s="200"/>
      <c r="N5040" s="200"/>
      <c r="O5040" s="200"/>
      <c r="P5040" s="200"/>
    </row>
    <row r="5041" spans="3:20" s="517" customFormat="1" ht="31.2" customHeight="1">
      <c r="C5041" s="223" t="s">
        <v>1220</v>
      </c>
      <c r="D5041" s="224" t="s">
        <v>1321</v>
      </c>
      <c r="E5041" s="225"/>
      <c r="F5041" s="226"/>
      <c r="G5041" s="228">
        <v>0.1</v>
      </c>
      <c r="H5041" s="210">
        <f>H5040*G5041</f>
        <v>1177.8</v>
      </c>
      <c r="L5041" s="200"/>
      <c r="M5041" s="200"/>
      <c r="N5041" s="200"/>
      <c r="O5041" s="200"/>
      <c r="P5041" s="200"/>
    </row>
    <row r="5042" spans="3:20" s="517" customFormat="1" ht="31.2" customHeight="1" thickBot="1">
      <c r="C5042" s="229" t="s">
        <v>1221</v>
      </c>
      <c r="D5042" s="230" t="s">
        <v>1222</v>
      </c>
      <c r="E5042" s="231"/>
      <c r="F5042" s="231"/>
      <c r="G5042" s="232"/>
      <c r="H5042" s="233">
        <f>SUM(H5040:H5041)</f>
        <v>12955.8</v>
      </c>
      <c r="L5042" s="200"/>
      <c r="M5042" s="200"/>
      <c r="N5042" s="200"/>
      <c r="O5042" s="200"/>
      <c r="P5042" s="200"/>
    </row>
    <row r="5043" spans="3:20" ht="31.2" customHeight="1" thickTop="1">
      <c r="D5043" s="758"/>
    </row>
    <row r="5044" spans="3:20" ht="31.2" customHeight="1">
      <c r="C5044" s="757" t="s">
        <v>6950</v>
      </c>
      <c r="F5044" s="758"/>
      <c r="H5044" s="758" t="s">
        <v>6959</v>
      </c>
    </row>
    <row r="5045" spans="3:20" ht="31.2" customHeight="1">
      <c r="C5045" s="200" t="s">
        <v>6951</v>
      </c>
      <c r="F5045" s="758"/>
    </row>
    <row r="5046" spans="3:20" ht="31.2" customHeight="1">
      <c r="C5046" s="200" t="s">
        <v>6952</v>
      </c>
      <c r="F5046" s="758"/>
    </row>
    <row r="5047" spans="3:20" ht="31.2" customHeight="1">
      <c r="C5047" s="200"/>
      <c r="F5047" s="758"/>
    </row>
    <row r="5048" spans="3:20" s="517" customFormat="1" ht="31.2" customHeight="1" thickBot="1">
      <c r="C5048" s="513" t="s">
        <v>7415</v>
      </c>
      <c r="D5048" s="748" t="s">
        <v>7416</v>
      </c>
      <c r="E5048" s="749"/>
      <c r="F5048" s="748"/>
      <c r="G5048" s="748"/>
      <c r="H5048" s="532"/>
      <c r="I5048" s="532"/>
      <c r="J5048" s="532"/>
      <c r="K5048" s="532"/>
      <c r="M5048" s="189"/>
      <c r="N5048" s="189"/>
      <c r="O5048" s="189"/>
      <c r="P5048" s="189"/>
      <c r="R5048" s="189">
        <f>ROUNDDOWN(H5067,-2)</f>
        <v>12900</v>
      </c>
      <c r="S5048" s="517" t="s">
        <v>6451</v>
      </c>
      <c r="T5048" s="517" t="s">
        <v>7014</v>
      </c>
    </row>
    <row r="5049" spans="3:20" s="517" customFormat="1" ht="31.2" customHeight="1" thickTop="1">
      <c r="C5049" s="190" t="s">
        <v>1195</v>
      </c>
      <c r="D5049" s="191" t="s">
        <v>1196</v>
      </c>
      <c r="E5049" s="191" t="s">
        <v>1197</v>
      </c>
      <c r="F5049" s="191" t="s">
        <v>1198</v>
      </c>
      <c r="G5049" s="191" t="s">
        <v>1199</v>
      </c>
      <c r="H5049" s="192" t="s">
        <v>1200</v>
      </c>
      <c r="L5049" s="200"/>
      <c r="M5049" s="200"/>
      <c r="N5049" s="200"/>
      <c r="O5049" s="200"/>
      <c r="P5049" s="200"/>
    </row>
    <row r="5050" spans="3:20" s="517" customFormat="1" ht="31.2" customHeight="1">
      <c r="C5050" s="518" t="s">
        <v>1201</v>
      </c>
      <c r="D5050" s="196" t="s">
        <v>1202</v>
      </c>
      <c r="E5050" s="197"/>
      <c r="F5050" s="197"/>
      <c r="G5050" s="197"/>
      <c r="H5050" s="198"/>
      <c r="L5050" s="200"/>
      <c r="M5050" s="200"/>
      <c r="N5050" s="200"/>
      <c r="O5050" s="200"/>
      <c r="P5050" s="200"/>
    </row>
    <row r="5051" spans="3:20" s="517" customFormat="1" ht="31.2" customHeight="1">
      <c r="C5051" s="537">
        <v>1</v>
      </c>
      <c r="D5051" s="196" t="s">
        <v>6954</v>
      </c>
      <c r="E5051" s="202" t="s">
        <v>6</v>
      </c>
      <c r="F5051" s="520">
        <v>0.05</v>
      </c>
      <c r="G5051" s="205">
        <f>VLOOKUP(D5051,upahbahan,3,FALSE)</f>
        <v>181250</v>
      </c>
      <c r="H5051" s="210">
        <f t="shared" ref="H5051:H5053" si="367">F5051*G5051</f>
        <v>9062.5</v>
      </c>
      <c r="L5051" s="200"/>
      <c r="M5051" s="200"/>
      <c r="N5051" s="200"/>
      <c r="O5051" s="200"/>
      <c r="P5051" s="200"/>
    </row>
    <row r="5052" spans="3:20" s="517" customFormat="1" ht="31.2" customHeight="1">
      <c r="C5052" s="537">
        <v>2</v>
      </c>
      <c r="D5052" s="196" t="s">
        <v>6948</v>
      </c>
      <c r="E5052" s="202" t="s">
        <v>2102</v>
      </c>
      <c r="F5052" s="520">
        <v>0.01</v>
      </c>
      <c r="G5052" s="205">
        <f>VLOOKUP(D5052,upahbahan,3,FALSE)</f>
        <v>218750</v>
      </c>
      <c r="H5052" s="210">
        <f t="shared" si="367"/>
        <v>2187.5</v>
      </c>
      <c r="L5052" s="200"/>
      <c r="M5052" s="200"/>
      <c r="N5052" s="200"/>
      <c r="O5052" s="200"/>
      <c r="P5052" s="200"/>
    </row>
    <row r="5053" spans="3:20" s="517" customFormat="1" ht="31.2" customHeight="1">
      <c r="C5053" s="537">
        <v>3</v>
      </c>
      <c r="D5053" s="196" t="s">
        <v>19</v>
      </c>
      <c r="E5053" s="202" t="s">
        <v>6</v>
      </c>
      <c r="F5053" s="520">
        <v>3.3E-3</v>
      </c>
      <c r="G5053" s="205">
        <f>VLOOKUP(D5053,upahbahan,3,FALSE)</f>
        <v>160000</v>
      </c>
      <c r="H5053" s="210">
        <f t="shared" si="367"/>
        <v>528</v>
      </c>
      <c r="L5053" s="200"/>
      <c r="M5053" s="200"/>
      <c r="N5053" s="200"/>
      <c r="O5053" s="200"/>
      <c r="P5053" s="200"/>
    </row>
    <row r="5054" spans="3:20" s="517" customFormat="1" ht="31.2" customHeight="1">
      <c r="C5054" s="207" t="s">
        <v>1208</v>
      </c>
      <c r="D5054" s="208"/>
      <c r="E5054" s="208"/>
      <c r="F5054" s="521"/>
      <c r="G5054" s="522"/>
      <c r="H5054" s="210">
        <f>SUM(H5051:H5053)</f>
        <v>11778</v>
      </c>
      <c r="L5054" s="523"/>
      <c r="M5054" s="523"/>
      <c r="N5054" s="523"/>
      <c r="O5054" s="523"/>
      <c r="P5054" s="523"/>
    </row>
    <row r="5055" spans="3:20" s="517" customFormat="1" ht="31.2" customHeight="1">
      <c r="C5055" s="543" t="s">
        <v>1209</v>
      </c>
      <c r="D5055" s="750" t="s">
        <v>1210</v>
      </c>
      <c r="E5055" s="197"/>
      <c r="F5055" s="751"/>
      <c r="G5055" s="197"/>
      <c r="H5055" s="752"/>
      <c r="L5055" s="200"/>
      <c r="M5055" s="200"/>
      <c r="N5055" s="200"/>
      <c r="O5055" s="200"/>
      <c r="P5055" s="200"/>
    </row>
    <row r="5056" spans="3:20" s="517" customFormat="1" ht="31.2" customHeight="1">
      <c r="C5056" s="543">
        <v>1</v>
      </c>
      <c r="D5056" s="750" t="s">
        <v>7417</v>
      </c>
      <c r="E5056" s="203" t="s">
        <v>44</v>
      </c>
      <c r="F5056" s="760">
        <v>16</v>
      </c>
      <c r="G5056" s="205">
        <f>VLOOKUP(D5056,upahbahan,3,FALSE)</f>
        <v>0</v>
      </c>
      <c r="H5056" s="210">
        <f t="shared" ref="H5056:H5061" si="368">F5056*G5056</f>
        <v>0</v>
      </c>
      <c r="L5056" s="200"/>
      <c r="M5056" s="200"/>
      <c r="N5056" s="200"/>
      <c r="O5056" s="200"/>
      <c r="P5056" s="200"/>
    </row>
    <row r="5057" spans="3:16" s="517" customFormat="1" ht="31.2" customHeight="1">
      <c r="C5057" s="543">
        <v>2</v>
      </c>
      <c r="D5057" s="750" t="s">
        <v>5563</v>
      </c>
      <c r="E5057" s="203" t="s">
        <v>65</v>
      </c>
      <c r="F5057" s="760">
        <v>0.01</v>
      </c>
      <c r="G5057" s="205">
        <f>VLOOKUP(D5057,upahbahan,3,FALSE)</f>
        <v>0</v>
      </c>
      <c r="H5057" s="210">
        <f t="shared" si="368"/>
        <v>0</v>
      </c>
      <c r="L5057" s="200"/>
      <c r="M5057" s="200"/>
      <c r="N5057" s="200"/>
      <c r="O5057" s="200"/>
      <c r="P5057" s="200"/>
    </row>
    <row r="5058" spans="3:16" s="517" customFormat="1" ht="31.2" customHeight="1">
      <c r="C5058" s="543">
        <v>3</v>
      </c>
      <c r="D5058" s="750" t="s">
        <v>5556</v>
      </c>
      <c r="E5058" s="203"/>
      <c r="F5058" s="753"/>
      <c r="G5058" s="197"/>
      <c r="H5058" s="210">
        <f t="shared" si="368"/>
        <v>0</v>
      </c>
      <c r="L5058" s="200"/>
      <c r="M5058" s="200"/>
      <c r="N5058" s="200"/>
      <c r="O5058" s="200"/>
      <c r="P5058" s="200"/>
    </row>
    <row r="5059" spans="3:16" s="517" customFormat="1" ht="31.2" customHeight="1">
      <c r="C5059" s="754" t="s">
        <v>5293</v>
      </c>
      <c r="D5059" s="750" t="s">
        <v>2084</v>
      </c>
      <c r="E5059" s="203" t="s">
        <v>42</v>
      </c>
      <c r="F5059" s="753">
        <v>1.0999999999999999E-2</v>
      </c>
      <c r="G5059" s="205">
        <f>VLOOKUP(D5059,upahbahan,3,FALSE)</f>
        <v>0</v>
      </c>
      <c r="H5059" s="210">
        <f t="shared" si="368"/>
        <v>0</v>
      </c>
      <c r="L5059" s="200"/>
      <c r="M5059" s="200"/>
      <c r="N5059" s="200"/>
      <c r="O5059" s="200"/>
      <c r="P5059" s="200"/>
    </row>
    <row r="5060" spans="3:16" s="517" customFormat="1" ht="31.2" customHeight="1">
      <c r="C5060" s="754" t="s">
        <v>5299</v>
      </c>
      <c r="D5060" s="750" t="s">
        <v>5566</v>
      </c>
      <c r="E5060" s="203" t="s">
        <v>42</v>
      </c>
      <c r="F5060" s="753">
        <v>3.0000000000000001E-3</v>
      </c>
      <c r="G5060" s="205">
        <f>VLOOKUP(D5060,upahbahan,3,FALSE)</f>
        <v>0</v>
      </c>
      <c r="H5060" s="210">
        <f t="shared" si="368"/>
        <v>0</v>
      </c>
      <c r="L5060" s="200"/>
      <c r="M5060" s="200"/>
      <c r="N5060" s="200"/>
      <c r="O5060" s="200"/>
      <c r="P5060" s="200"/>
    </row>
    <row r="5061" spans="3:16" s="517" customFormat="1" ht="31.2" customHeight="1">
      <c r="C5061" s="754" t="s">
        <v>5558</v>
      </c>
      <c r="D5061" s="750" t="s">
        <v>2325</v>
      </c>
      <c r="E5061" s="203" t="s">
        <v>42</v>
      </c>
      <c r="F5061" s="755">
        <v>1E-3</v>
      </c>
      <c r="G5061" s="205">
        <f>VLOOKUP(D5061,upahbahan,3,FALSE)</f>
        <v>0</v>
      </c>
      <c r="H5061" s="210">
        <f t="shared" si="368"/>
        <v>0</v>
      </c>
      <c r="L5061" s="200"/>
      <c r="M5061" s="200"/>
      <c r="N5061" s="200"/>
      <c r="O5061" s="200"/>
      <c r="P5061" s="200"/>
    </row>
    <row r="5062" spans="3:16" s="517" customFormat="1" ht="31.2" customHeight="1">
      <c r="C5062" s="207" t="s">
        <v>1214</v>
      </c>
      <c r="D5062" s="208"/>
      <c r="E5062" s="568"/>
      <c r="F5062" s="208"/>
      <c r="G5062" s="209"/>
      <c r="H5062" s="210">
        <f>SUM(H5056:H5061)</f>
        <v>0</v>
      </c>
      <c r="L5062" s="200"/>
      <c r="M5062" s="200"/>
      <c r="N5062" s="200"/>
      <c r="O5062" s="200"/>
      <c r="P5062" s="200"/>
    </row>
    <row r="5063" spans="3:16" s="517" customFormat="1" ht="31.2" customHeight="1">
      <c r="C5063" s="756" t="s">
        <v>1215</v>
      </c>
      <c r="D5063" s="196" t="s">
        <v>1216</v>
      </c>
      <c r="E5063" s="203"/>
      <c r="F5063" s="197"/>
      <c r="G5063" s="197"/>
      <c r="H5063" s="198"/>
      <c r="L5063" s="200"/>
      <c r="M5063" s="200"/>
      <c r="N5063" s="200"/>
      <c r="O5063" s="200"/>
      <c r="P5063" s="200"/>
    </row>
    <row r="5064" spans="3:16" s="517" customFormat="1" ht="31.2" customHeight="1">
      <c r="C5064" s="207" t="s">
        <v>1217</v>
      </c>
      <c r="D5064" s="208"/>
      <c r="E5064" s="208"/>
      <c r="F5064" s="208"/>
      <c r="G5064" s="209"/>
      <c r="H5064" s="240">
        <f>SUM(H5063)</f>
        <v>0</v>
      </c>
      <c r="L5064" s="200"/>
      <c r="M5064" s="200"/>
      <c r="N5064" s="200"/>
      <c r="O5064" s="200"/>
      <c r="P5064" s="200"/>
    </row>
    <row r="5065" spans="3:16" s="517" customFormat="1" ht="31.2" customHeight="1">
      <c r="C5065" s="223" t="s">
        <v>1218</v>
      </c>
      <c r="D5065" s="224" t="s">
        <v>1219</v>
      </c>
      <c r="E5065" s="225"/>
      <c r="F5065" s="225"/>
      <c r="G5065" s="226"/>
      <c r="H5065" s="210">
        <f>H5064+H5062+H5054</f>
        <v>11778</v>
      </c>
      <c r="L5065" s="200"/>
      <c r="M5065" s="200"/>
      <c r="N5065" s="200"/>
      <c r="O5065" s="200"/>
      <c r="P5065" s="200"/>
    </row>
    <row r="5066" spans="3:16" s="517" customFormat="1" ht="31.2" customHeight="1">
      <c r="C5066" s="223" t="s">
        <v>1220</v>
      </c>
      <c r="D5066" s="224" t="s">
        <v>1321</v>
      </c>
      <c r="E5066" s="225"/>
      <c r="F5066" s="226"/>
      <c r="G5066" s="228">
        <v>0.1</v>
      </c>
      <c r="H5066" s="210">
        <f>H5065*G5066</f>
        <v>1177.8</v>
      </c>
      <c r="L5066" s="200"/>
      <c r="M5066" s="200"/>
      <c r="N5066" s="200"/>
      <c r="O5066" s="200"/>
      <c r="P5066" s="200"/>
    </row>
    <row r="5067" spans="3:16" s="517" customFormat="1" ht="31.2" customHeight="1" thickBot="1">
      <c r="C5067" s="229" t="s">
        <v>1221</v>
      </c>
      <c r="D5067" s="230" t="s">
        <v>1222</v>
      </c>
      <c r="E5067" s="231"/>
      <c r="F5067" s="231"/>
      <c r="G5067" s="232"/>
      <c r="H5067" s="233">
        <f>SUM(H5065:H5066)</f>
        <v>12955.8</v>
      </c>
      <c r="L5067" s="200"/>
      <c r="M5067" s="200"/>
      <c r="N5067" s="200"/>
      <c r="O5067" s="200"/>
      <c r="P5067" s="200"/>
    </row>
    <row r="5068" spans="3:16" ht="31.2" customHeight="1" thickTop="1">
      <c r="D5068" s="758"/>
    </row>
    <row r="5069" spans="3:16" ht="31.2" customHeight="1">
      <c r="C5069" s="757" t="s">
        <v>6950</v>
      </c>
      <c r="F5069" s="758"/>
      <c r="H5069" s="758" t="s">
        <v>6959</v>
      </c>
    </row>
    <row r="5070" spans="3:16" ht="31.2" customHeight="1">
      <c r="C5070" s="200" t="s">
        <v>6951</v>
      </c>
      <c r="F5070" s="758"/>
    </row>
    <row r="5071" spans="3:16" ht="31.2" customHeight="1">
      <c r="C5071" s="200" t="s">
        <v>6952</v>
      </c>
      <c r="F5071" s="758"/>
    </row>
    <row r="5072" spans="3:16" ht="31.2" customHeight="1">
      <c r="C5072" s="200"/>
      <c r="F5072" s="758"/>
    </row>
    <row r="5073" spans="3:20" s="517" customFormat="1" ht="31.2" customHeight="1" thickBot="1">
      <c r="C5073" s="513" t="s">
        <v>7418</v>
      </c>
      <c r="D5073" s="748" t="s">
        <v>7419</v>
      </c>
      <c r="E5073" s="749"/>
      <c r="F5073" s="748"/>
      <c r="G5073" s="748"/>
      <c r="H5073" s="532"/>
      <c r="I5073" s="532"/>
      <c r="J5073" s="532"/>
      <c r="K5073" s="532"/>
      <c r="M5073" s="189"/>
      <c r="N5073" s="189"/>
      <c r="O5073" s="189"/>
      <c r="P5073" s="189"/>
      <c r="R5073" s="189">
        <f>ROUNDDOWN(H5092,-2)</f>
        <v>12900</v>
      </c>
      <c r="S5073" s="517" t="s">
        <v>6451</v>
      </c>
      <c r="T5073" s="517" t="s">
        <v>7014</v>
      </c>
    </row>
    <row r="5074" spans="3:20" s="517" customFormat="1" ht="31.2" customHeight="1" thickTop="1">
      <c r="C5074" s="190" t="s">
        <v>1195</v>
      </c>
      <c r="D5074" s="191" t="s">
        <v>1196</v>
      </c>
      <c r="E5074" s="191" t="s">
        <v>1197</v>
      </c>
      <c r="F5074" s="191" t="s">
        <v>1198</v>
      </c>
      <c r="G5074" s="191" t="s">
        <v>1199</v>
      </c>
      <c r="H5074" s="192" t="s">
        <v>1200</v>
      </c>
      <c r="L5074" s="200"/>
      <c r="M5074" s="200"/>
      <c r="N5074" s="200"/>
      <c r="O5074" s="200"/>
      <c r="P5074" s="200"/>
    </row>
    <row r="5075" spans="3:20" s="517" customFormat="1" ht="31.2" customHeight="1">
      <c r="C5075" s="518" t="s">
        <v>1201</v>
      </c>
      <c r="D5075" s="196" t="s">
        <v>1202</v>
      </c>
      <c r="E5075" s="197"/>
      <c r="F5075" s="197"/>
      <c r="G5075" s="197"/>
      <c r="H5075" s="198"/>
      <c r="L5075" s="200"/>
      <c r="M5075" s="200"/>
      <c r="N5075" s="200"/>
      <c r="O5075" s="200"/>
      <c r="P5075" s="200"/>
    </row>
    <row r="5076" spans="3:20" s="517" customFormat="1" ht="31.2" customHeight="1">
      <c r="C5076" s="537">
        <v>1</v>
      </c>
      <c r="D5076" s="196" t="s">
        <v>6954</v>
      </c>
      <c r="E5076" s="202" t="s">
        <v>6</v>
      </c>
      <c r="F5076" s="520">
        <v>0.05</v>
      </c>
      <c r="G5076" s="205">
        <f>VLOOKUP(D5076,upahbahan,3,FALSE)</f>
        <v>181250</v>
      </c>
      <c r="H5076" s="210">
        <f t="shared" ref="H5076:H5078" si="369">F5076*G5076</f>
        <v>9062.5</v>
      </c>
      <c r="L5076" s="200"/>
      <c r="M5076" s="200"/>
      <c r="N5076" s="200"/>
      <c r="O5076" s="200"/>
      <c r="P5076" s="200"/>
    </row>
    <row r="5077" spans="3:20" s="517" customFormat="1" ht="31.2" customHeight="1">
      <c r="C5077" s="537">
        <v>2</v>
      </c>
      <c r="D5077" s="196" t="s">
        <v>6948</v>
      </c>
      <c r="E5077" s="202" t="s">
        <v>2102</v>
      </c>
      <c r="F5077" s="520">
        <v>0.01</v>
      </c>
      <c r="G5077" s="205">
        <f>VLOOKUP(D5077,upahbahan,3,FALSE)</f>
        <v>218750</v>
      </c>
      <c r="H5077" s="210">
        <f t="shared" si="369"/>
        <v>2187.5</v>
      </c>
      <c r="L5077" s="200"/>
      <c r="M5077" s="200"/>
      <c r="N5077" s="200"/>
      <c r="O5077" s="200"/>
      <c r="P5077" s="200"/>
    </row>
    <row r="5078" spans="3:20" s="517" customFormat="1" ht="31.2" customHeight="1">
      <c r="C5078" s="537">
        <v>3</v>
      </c>
      <c r="D5078" s="196" t="s">
        <v>19</v>
      </c>
      <c r="E5078" s="202" t="s">
        <v>6</v>
      </c>
      <c r="F5078" s="520">
        <v>3.3E-3</v>
      </c>
      <c r="G5078" s="205">
        <f>VLOOKUP(D5078,upahbahan,3,FALSE)</f>
        <v>160000</v>
      </c>
      <c r="H5078" s="210">
        <f t="shared" si="369"/>
        <v>528</v>
      </c>
      <c r="L5078" s="200"/>
      <c r="M5078" s="200"/>
      <c r="N5078" s="200"/>
      <c r="O5078" s="200"/>
      <c r="P5078" s="200"/>
    </row>
    <row r="5079" spans="3:20" s="517" customFormat="1" ht="31.2" customHeight="1">
      <c r="C5079" s="207" t="s">
        <v>1208</v>
      </c>
      <c r="D5079" s="208"/>
      <c r="E5079" s="208"/>
      <c r="F5079" s="521"/>
      <c r="G5079" s="522"/>
      <c r="H5079" s="210">
        <f>SUM(H5076:H5078)</f>
        <v>11778</v>
      </c>
      <c r="L5079" s="523"/>
      <c r="M5079" s="523"/>
      <c r="N5079" s="523"/>
      <c r="O5079" s="523"/>
      <c r="P5079" s="523"/>
    </row>
    <row r="5080" spans="3:20" s="517" customFormat="1" ht="31.2" customHeight="1">
      <c r="C5080" s="543" t="s">
        <v>1209</v>
      </c>
      <c r="D5080" s="750" t="s">
        <v>1210</v>
      </c>
      <c r="E5080" s="197"/>
      <c r="F5080" s="751"/>
      <c r="G5080" s="197"/>
      <c r="H5080" s="752"/>
      <c r="L5080" s="200"/>
      <c r="M5080" s="200"/>
      <c r="N5080" s="200"/>
      <c r="O5080" s="200"/>
      <c r="P5080" s="200"/>
    </row>
    <row r="5081" spans="3:20" s="517" customFormat="1" ht="31.2" customHeight="1">
      <c r="C5081" s="543">
        <v>1</v>
      </c>
      <c r="D5081" s="750" t="s">
        <v>7420</v>
      </c>
      <c r="E5081" s="203" t="s">
        <v>44</v>
      </c>
      <c r="F5081" s="760">
        <v>16</v>
      </c>
      <c r="G5081" s="205">
        <f>VLOOKUP(D5081,upahbahan,3,FALSE)</f>
        <v>0</v>
      </c>
      <c r="H5081" s="210">
        <f t="shared" ref="H5081:H5086" si="370">F5081*G5081</f>
        <v>0</v>
      </c>
      <c r="L5081" s="200"/>
      <c r="M5081" s="200"/>
      <c r="N5081" s="200"/>
      <c r="O5081" s="200"/>
      <c r="P5081" s="200"/>
    </row>
    <row r="5082" spans="3:20" s="517" customFormat="1" ht="31.2" customHeight="1">
      <c r="C5082" s="543">
        <v>2</v>
      </c>
      <c r="D5082" s="750" t="s">
        <v>5563</v>
      </c>
      <c r="E5082" s="203" t="s">
        <v>65</v>
      </c>
      <c r="F5082" s="760">
        <v>0.01</v>
      </c>
      <c r="G5082" s="205">
        <f>VLOOKUP(D5082,upahbahan,3,FALSE)</f>
        <v>0</v>
      </c>
      <c r="H5082" s="210">
        <f t="shared" si="370"/>
        <v>0</v>
      </c>
      <c r="L5082" s="200"/>
      <c r="M5082" s="200"/>
      <c r="N5082" s="200"/>
      <c r="O5082" s="200"/>
      <c r="P5082" s="200"/>
    </row>
    <row r="5083" spans="3:20" s="517" customFormat="1" ht="31.2" customHeight="1">
      <c r="C5083" s="543">
        <v>3</v>
      </c>
      <c r="D5083" s="750" t="s">
        <v>5556</v>
      </c>
      <c r="E5083" s="203"/>
      <c r="F5083" s="753"/>
      <c r="G5083" s="197"/>
      <c r="H5083" s="210">
        <f t="shared" si="370"/>
        <v>0</v>
      </c>
      <c r="L5083" s="200"/>
      <c r="M5083" s="200"/>
      <c r="N5083" s="200"/>
      <c r="O5083" s="200"/>
      <c r="P5083" s="200"/>
    </row>
    <row r="5084" spans="3:20" s="517" customFormat="1" ht="31.2" customHeight="1">
      <c r="C5084" s="754" t="s">
        <v>5293</v>
      </c>
      <c r="D5084" s="750" t="s">
        <v>2084</v>
      </c>
      <c r="E5084" s="203" t="s">
        <v>42</v>
      </c>
      <c r="F5084" s="753">
        <v>1.0999999999999999E-2</v>
      </c>
      <c r="G5084" s="205">
        <f>VLOOKUP(D5084,upahbahan,3,FALSE)</f>
        <v>0</v>
      </c>
      <c r="H5084" s="210">
        <f t="shared" si="370"/>
        <v>0</v>
      </c>
      <c r="L5084" s="200"/>
      <c r="M5084" s="200"/>
      <c r="N5084" s="200"/>
      <c r="O5084" s="200"/>
      <c r="P5084" s="200"/>
    </row>
    <row r="5085" spans="3:20" s="517" customFormat="1" ht="31.2" customHeight="1">
      <c r="C5085" s="754" t="s">
        <v>5299</v>
      </c>
      <c r="D5085" s="750" t="s">
        <v>5566</v>
      </c>
      <c r="E5085" s="203" t="s">
        <v>42</v>
      </c>
      <c r="F5085" s="753">
        <v>3.0000000000000001E-3</v>
      </c>
      <c r="G5085" s="205">
        <f>VLOOKUP(D5085,upahbahan,3,FALSE)</f>
        <v>0</v>
      </c>
      <c r="H5085" s="210">
        <f t="shared" si="370"/>
        <v>0</v>
      </c>
      <c r="L5085" s="200"/>
      <c r="M5085" s="200"/>
      <c r="N5085" s="200"/>
      <c r="O5085" s="200"/>
      <c r="P5085" s="200"/>
    </row>
    <row r="5086" spans="3:20" s="517" customFormat="1" ht="31.2" customHeight="1">
      <c r="C5086" s="754" t="s">
        <v>5558</v>
      </c>
      <c r="D5086" s="750" t="s">
        <v>2325</v>
      </c>
      <c r="E5086" s="203" t="s">
        <v>42</v>
      </c>
      <c r="F5086" s="755">
        <v>1E-3</v>
      </c>
      <c r="G5086" s="205">
        <f>VLOOKUP(D5086,upahbahan,3,FALSE)</f>
        <v>0</v>
      </c>
      <c r="H5086" s="210">
        <f t="shared" si="370"/>
        <v>0</v>
      </c>
      <c r="L5086" s="200"/>
      <c r="M5086" s="200"/>
      <c r="N5086" s="200"/>
      <c r="O5086" s="200"/>
      <c r="P5086" s="200"/>
    </row>
    <row r="5087" spans="3:20" s="517" customFormat="1" ht="31.2" customHeight="1">
      <c r="C5087" s="207" t="s">
        <v>1214</v>
      </c>
      <c r="D5087" s="208"/>
      <c r="E5087" s="568"/>
      <c r="F5087" s="208"/>
      <c r="G5087" s="209"/>
      <c r="H5087" s="210">
        <f>SUM(H5081:H5086)</f>
        <v>0</v>
      </c>
      <c r="L5087" s="200"/>
      <c r="M5087" s="200"/>
      <c r="N5087" s="200"/>
      <c r="O5087" s="200"/>
      <c r="P5087" s="200"/>
    </row>
    <row r="5088" spans="3:20" s="517" customFormat="1" ht="31.2" customHeight="1">
      <c r="C5088" s="756" t="s">
        <v>1215</v>
      </c>
      <c r="D5088" s="196" t="s">
        <v>1216</v>
      </c>
      <c r="E5088" s="203"/>
      <c r="F5088" s="197"/>
      <c r="G5088" s="197"/>
      <c r="H5088" s="198"/>
      <c r="L5088" s="200"/>
      <c r="M5088" s="200"/>
      <c r="N5088" s="200"/>
      <c r="O5088" s="200"/>
      <c r="P5088" s="200"/>
    </row>
    <row r="5089" spans="3:20" s="517" customFormat="1" ht="31.2" customHeight="1">
      <c r="C5089" s="207" t="s">
        <v>1217</v>
      </c>
      <c r="D5089" s="208"/>
      <c r="E5089" s="208"/>
      <c r="F5089" s="208"/>
      <c r="G5089" s="209"/>
      <c r="H5089" s="240">
        <f>SUM(H5088)</f>
        <v>0</v>
      </c>
      <c r="L5089" s="200"/>
      <c r="M5089" s="200"/>
      <c r="N5089" s="200"/>
      <c r="O5089" s="200"/>
      <c r="P5089" s="200"/>
    </row>
    <row r="5090" spans="3:20" s="517" customFormat="1" ht="31.2" customHeight="1">
      <c r="C5090" s="223" t="s">
        <v>1218</v>
      </c>
      <c r="D5090" s="224" t="s">
        <v>1219</v>
      </c>
      <c r="E5090" s="225"/>
      <c r="F5090" s="225"/>
      <c r="G5090" s="226"/>
      <c r="H5090" s="210">
        <f>H5089+H5087+H5079</f>
        <v>11778</v>
      </c>
      <c r="L5090" s="200"/>
      <c r="M5090" s="200"/>
      <c r="N5090" s="200"/>
      <c r="O5090" s="200"/>
      <c r="P5090" s="200"/>
    </row>
    <row r="5091" spans="3:20" s="517" customFormat="1" ht="31.2" customHeight="1">
      <c r="C5091" s="223" t="s">
        <v>1220</v>
      </c>
      <c r="D5091" s="224" t="s">
        <v>1321</v>
      </c>
      <c r="E5091" s="225"/>
      <c r="F5091" s="226"/>
      <c r="G5091" s="228">
        <v>0.1</v>
      </c>
      <c r="H5091" s="210">
        <f>H5090*G5091</f>
        <v>1177.8</v>
      </c>
      <c r="L5091" s="200"/>
      <c r="M5091" s="200"/>
      <c r="N5091" s="200"/>
      <c r="O5091" s="200"/>
      <c r="P5091" s="200"/>
    </row>
    <row r="5092" spans="3:20" s="517" customFormat="1" ht="31.2" customHeight="1" thickBot="1">
      <c r="C5092" s="229" t="s">
        <v>1221</v>
      </c>
      <c r="D5092" s="230" t="s">
        <v>1222</v>
      </c>
      <c r="E5092" s="231"/>
      <c r="F5092" s="231"/>
      <c r="G5092" s="232"/>
      <c r="H5092" s="233">
        <f>SUM(H5090:H5091)</f>
        <v>12955.8</v>
      </c>
      <c r="L5092" s="200"/>
      <c r="M5092" s="200"/>
      <c r="N5092" s="200"/>
      <c r="O5092" s="200"/>
      <c r="P5092" s="200"/>
    </row>
    <row r="5093" spans="3:20" ht="31.2" customHeight="1" thickTop="1">
      <c r="D5093" s="758"/>
    </row>
    <row r="5094" spans="3:20" ht="31.2" customHeight="1">
      <c r="C5094" s="757" t="s">
        <v>6950</v>
      </c>
      <c r="F5094" s="758"/>
      <c r="H5094" s="758" t="s">
        <v>6959</v>
      </c>
    </row>
    <row r="5095" spans="3:20" ht="31.2" customHeight="1">
      <c r="C5095" s="200" t="s">
        <v>6951</v>
      </c>
      <c r="F5095" s="758"/>
    </row>
    <row r="5096" spans="3:20" ht="31.2" customHeight="1">
      <c r="C5096" s="200" t="s">
        <v>6952</v>
      </c>
      <c r="F5096" s="758"/>
    </row>
    <row r="5097" spans="3:20" ht="31.2" customHeight="1">
      <c r="C5097" s="200"/>
      <c r="F5097" s="758"/>
    </row>
    <row r="5098" spans="3:20" ht="31.2" customHeight="1">
      <c r="C5098" s="200"/>
      <c r="F5098" s="758"/>
    </row>
    <row r="5099" spans="3:20" s="517" customFormat="1" ht="31.2" customHeight="1" thickBot="1">
      <c r="C5099" s="513" t="s">
        <v>7421</v>
      </c>
      <c r="D5099" s="748" t="s">
        <v>7422</v>
      </c>
      <c r="E5099" s="749"/>
      <c r="F5099" s="748"/>
      <c r="G5099" s="748"/>
      <c r="H5099" s="532"/>
      <c r="I5099" s="532"/>
      <c r="J5099" s="532"/>
      <c r="K5099" s="532"/>
      <c r="M5099" s="189"/>
      <c r="N5099" s="189"/>
      <c r="O5099" s="189"/>
      <c r="P5099" s="189"/>
      <c r="R5099" s="189">
        <f>ROUNDDOWN(H5118,-2)</f>
        <v>12900</v>
      </c>
      <c r="S5099" s="517" t="s">
        <v>6451</v>
      </c>
      <c r="T5099" s="517" t="s">
        <v>7014</v>
      </c>
    </row>
    <row r="5100" spans="3:20" s="517" customFormat="1" ht="31.2" customHeight="1" thickTop="1">
      <c r="C5100" s="190" t="s">
        <v>1195</v>
      </c>
      <c r="D5100" s="191" t="s">
        <v>1196</v>
      </c>
      <c r="E5100" s="191" t="s">
        <v>1197</v>
      </c>
      <c r="F5100" s="191" t="s">
        <v>1198</v>
      </c>
      <c r="G5100" s="191" t="s">
        <v>1199</v>
      </c>
      <c r="H5100" s="192" t="s">
        <v>1200</v>
      </c>
      <c r="L5100" s="200"/>
      <c r="M5100" s="200"/>
      <c r="N5100" s="200"/>
      <c r="O5100" s="200"/>
      <c r="P5100" s="200"/>
    </row>
    <row r="5101" spans="3:20" s="517" customFormat="1" ht="31.2" customHeight="1">
      <c r="C5101" s="518" t="s">
        <v>1201</v>
      </c>
      <c r="D5101" s="196" t="s">
        <v>1202</v>
      </c>
      <c r="E5101" s="197"/>
      <c r="F5101" s="197"/>
      <c r="G5101" s="197"/>
      <c r="H5101" s="198"/>
      <c r="L5101" s="200"/>
      <c r="M5101" s="200"/>
      <c r="N5101" s="200"/>
      <c r="O5101" s="200"/>
      <c r="P5101" s="200"/>
    </row>
    <row r="5102" spans="3:20" s="517" customFormat="1" ht="31.2" customHeight="1">
      <c r="C5102" s="537">
        <v>1</v>
      </c>
      <c r="D5102" s="196" t="s">
        <v>6954</v>
      </c>
      <c r="E5102" s="202" t="s">
        <v>6</v>
      </c>
      <c r="F5102" s="520">
        <v>0.05</v>
      </c>
      <c r="G5102" s="205">
        <f>VLOOKUP(D5102,upahbahan,3,FALSE)</f>
        <v>181250</v>
      </c>
      <c r="H5102" s="210">
        <f t="shared" ref="H5102:H5104" si="371">F5102*G5102</f>
        <v>9062.5</v>
      </c>
      <c r="L5102" s="200"/>
      <c r="M5102" s="200"/>
      <c r="N5102" s="200"/>
      <c r="O5102" s="200"/>
      <c r="P5102" s="200"/>
    </row>
    <row r="5103" spans="3:20" s="517" customFormat="1" ht="31.2" customHeight="1">
      <c r="C5103" s="537">
        <v>2</v>
      </c>
      <c r="D5103" s="196" t="s">
        <v>6948</v>
      </c>
      <c r="E5103" s="202" t="s">
        <v>2102</v>
      </c>
      <c r="F5103" s="520">
        <v>0.01</v>
      </c>
      <c r="G5103" s="205">
        <f>VLOOKUP(D5103,upahbahan,3,FALSE)</f>
        <v>218750</v>
      </c>
      <c r="H5103" s="210">
        <f t="shared" si="371"/>
        <v>2187.5</v>
      </c>
      <c r="L5103" s="200"/>
      <c r="M5103" s="200"/>
      <c r="N5103" s="200"/>
      <c r="O5103" s="200"/>
      <c r="P5103" s="200"/>
    </row>
    <row r="5104" spans="3:20" s="517" customFormat="1" ht="31.2" customHeight="1">
      <c r="C5104" s="537">
        <v>3</v>
      </c>
      <c r="D5104" s="196" t="s">
        <v>19</v>
      </c>
      <c r="E5104" s="202" t="s">
        <v>6</v>
      </c>
      <c r="F5104" s="520">
        <v>3.3E-3</v>
      </c>
      <c r="G5104" s="205">
        <f>VLOOKUP(D5104,upahbahan,3,FALSE)</f>
        <v>160000</v>
      </c>
      <c r="H5104" s="210">
        <f t="shared" si="371"/>
        <v>528</v>
      </c>
      <c r="L5104" s="200"/>
      <c r="M5104" s="200"/>
      <c r="N5104" s="200"/>
      <c r="O5104" s="200"/>
      <c r="P5104" s="200"/>
    </row>
    <row r="5105" spans="3:16" s="517" customFormat="1" ht="31.2" customHeight="1">
      <c r="C5105" s="207" t="s">
        <v>1208</v>
      </c>
      <c r="D5105" s="208"/>
      <c r="E5105" s="208"/>
      <c r="F5105" s="521"/>
      <c r="G5105" s="522"/>
      <c r="H5105" s="210">
        <f>SUM(H5102:H5104)</f>
        <v>11778</v>
      </c>
      <c r="L5105" s="523"/>
      <c r="M5105" s="523"/>
      <c r="N5105" s="523"/>
      <c r="O5105" s="523"/>
      <c r="P5105" s="523"/>
    </row>
    <row r="5106" spans="3:16" s="517" customFormat="1" ht="31.2" customHeight="1">
      <c r="C5106" s="543" t="s">
        <v>1209</v>
      </c>
      <c r="D5106" s="750" t="s">
        <v>1210</v>
      </c>
      <c r="E5106" s="197"/>
      <c r="F5106" s="751"/>
      <c r="G5106" s="197"/>
      <c r="H5106" s="752"/>
      <c r="L5106" s="200"/>
      <c r="M5106" s="200"/>
      <c r="N5106" s="200"/>
      <c r="O5106" s="200"/>
      <c r="P5106" s="200"/>
    </row>
    <row r="5107" spans="3:16" s="517" customFormat="1" ht="31.2" customHeight="1">
      <c r="C5107" s="543">
        <v>1</v>
      </c>
      <c r="D5107" s="750" t="s">
        <v>7423</v>
      </c>
      <c r="E5107" s="203" t="s">
        <v>44</v>
      </c>
      <c r="F5107" s="760">
        <v>16</v>
      </c>
      <c r="G5107" s="205">
        <f>VLOOKUP(D5107,upahbahan,3,FALSE)</f>
        <v>0</v>
      </c>
      <c r="H5107" s="210">
        <f t="shared" ref="H5107:H5112" si="372">F5107*G5107</f>
        <v>0</v>
      </c>
      <c r="L5107" s="200"/>
      <c r="M5107" s="200"/>
      <c r="N5107" s="200"/>
      <c r="O5107" s="200"/>
      <c r="P5107" s="200"/>
    </row>
    <row r="5108" spans="3:16" s="517" customFormat="1" ht="31.2" customHeight="1">
      <c r="C5108" s="543">
        <v>2</v>
      </c>
      <c r="D5108" s="750" t="s">
        <v>5563</v>
      </c>
      <c r="E5108" s="203" t="s">
        <v>65</v>
      </c>
      <c r="F5108" s="760">
        <v>0.01</v>
      </c>
      <c r="G5108" s="205">
        <f>VLOOKUP(D5108,upahbahan,3,FALSE)</f>
        <v>0</v>
      </c>
      <c r="H5108" s="210">
        <f t="shared" si="372"/>
        <v>0</v>
      </c>
      <c r="L5108" s="200"/>
      <c r="M5108" s="200"/>
      <c r="N5108" s="200"/>
      <c r="O5108" s="200"/>
      <c r="P5108" s="200"/>
    </row>
    <row r="5109" spans="3:16" s="517" customFormat="1" ht="31.2" customHeight="1">
      <c r="C5109" s="543">
        <v>3</v>
      </c>
      <c r="D5109" s="750" t="s">
        <v>5556</v>
      </c>
      <c r="E5109" s="203"/>
      <c r="F5109" s="753"/>
      <c r="G5109" s="197"/>
      <c r="H5109" s="210">
        <f t="shared" si="372"/>
        <v>0</v>
      </c>
      <c r="L5109" s="200"/>
      <c r="M5109" s="200"/>
      <c r="N5109" s="200"/>
      <c r="O5109" s="200"/>
      <c r="P5109" s="200"/>
    </row>
    <row r="5110" spans="3:16" s="517" customFormat="1" ht="31.2" customHeight="1">
      <c r="C5110" s="754" t="s">
        <v>5293</v>
      </c>
      <c r="D5110" s="750" t="s">
        <v>2084</v>
      </c>
      <c r="E5110" s="203" t="s">
        <v>42</v>
      </c>
      <c r="F5110" s="753">
        <v>1.0999999999999999E-2</v>
      </c>
      <c r="G5110" s="205">
        <f>VLOOKUP(D5110,upahbahan,3,FALSE)</f>
        <v>0</v>
      </c>
      <c r="H5110" s="210">
        <f t="shared" si="372"/>
        <v>0</v>
      </c>
      <c r="L5110" s="200"/>
      <c r="M5110" s="200"/>
      <c r="N5110" s="200"/>
      <c r="O5110" s="200"/>
      <c r="P5110" s="200"/>
    </row>
    <row r="5111" spans="3:16" s="517" customFormat="1" ht="31.2" customHeight="1">
      <c r="C5111" s="754" t="s">
        <v>5299</v>
      </c>
      <c r="D5111" s="750" t="s">
        <v>5566</v>
      </c>
      <c r="E5111" s="203" t="s">
        <v>42</v>
      </c>
      <c r="F5111" s="753">
        <v>3.0000000000000001E-3</v>
      </c>
      <c r="G5111" s="205">
        <f>VLOOKUP(D5111,upahbahan,3,FALSE)</f>
        <v>0</v>
      </c>
      <c r="H5111" s="210">
        <f t="shared" si="372"/>
        <v>0</v>
      </c>
      <c r="L5111" s="200"/>
      <c r="M5111" s="200"/>
      <c r="N5111" s="200"/>
      <c r="O5111" s="200"/>
      <c r="P5111" s="200"/>
    </row>
    <row r="5112" spans="3:16" s="517" customFormat="1" ht="31.2" customHeight="1">
      <c r="C5112" s="754" t="s">
        <v>5558</v>
      </c>
      <c r="D5112" s="750" t="s">
        <v>2325</v>
      </c>
      <c r="E5112" s="203" t="s">
        <v>42</v>
      </c>
      <c r="F5112" s="755">
        <v>1E-3</v>
      </c>
      <c r="G5112" s="205">
        <f>VLOOKUP(D5112,upahbahan,3,FALSE)</f>
        <v>0</v>
      </c>
      <c r="H5112" s="210">
        <f t="shared" si="372"/>
        <v>0</v>
      </c>
      <c r="L5112" s="200"/>
      <c r="M5112" s="200"/>
      <c r="N5112" s="200"/>
      <c r="O5112" s="200"/>
      <c r="P5112" s="200"/>
    </row>
    <row r="5113" spans="3:16" s="517" customFormat="1" ht="31.2" customHeight="1">
      <c r="C5113" s="207" t="s">
        <v>1214</v>
      </c>
      <c r="D5113" s="208"/>
      <c r="E5113" s="568"/>
      <c r="F5113" s="208"/>
      <c r="G5113" s="209"/>
      <c r="H5113" s="210">
        <f>SUM(H5107:H5112)</f>
        <v>0</v>
      </c>
      <c r="L5113" s="200"/>
      <c r="M5113" s="200"/>
      <c r="N5113" s="200"/>
      <c r="O5113" s="200"/>
      <c r="P5113" s="200"/>
    </row>
    <row r="5114" spans="3:16" s="517" customFormat="1" ht="31.2" customHeight="1">
      <c r="C5114" s="756" t="s">
        <v>1215</v>
      </c>
      <c r="D5114" s="196" t="s">
        <v>1216</v>
      </c>
      <c r="E5114" s="203"/>
      <c r="F5114" s="197"/>
      <c r="G5114" s="197"/>
      <c r="H5114" s="198"/>
      <c r="L5114" s="200"/>
      <c r="M5114" s="200"/>
      <c r="N5114" s="200"/>
      <c r="O5114" s="200"/>
      <c r="P5114" s="200"/>
    </row>
    <row r="5115" spans="3:16" s="517" customFormat="1" ht="31.2" customHeight="1">
      <c r="C5115" s="207" t="s">
        <v>1217</v>
      </c>
      <c r="D5115" s="208"/>
      <c r="E5115" s="208"/>
      <c r="F5115" s="208"/>
      <c r="G5115" s="209"/>
      <c r="H5115" s="240">
        <f>SUM(H5114)</f>
        <v>0</v>
      </c>
      <c r="L5115" s="200"/>
      <c r="M5115" s="200"/>
      <c r="N5115" s="200"/>
      <c r="O5115" s="200"/>
      <c r="P5115" s="200"/>
    </row>
    <row r="5116" spans="3:16" s="517" customFormat="1" ht="31.2" customHeight="1">
      <c r="C5116" s="223" t="s">
        <v>1218</v>
      </c>
      <c r="D5116" s="224" t="s">
        <v>1219</v>
      </c>
      <c r="E5116" s="225"/>
      <c r="F5116" s="225"/>
      <c r="G5116" s="226"/>
      <c r="H5116" s="210">
        <f>H5115+H5113+H5105</f>
        <v>11778</v>
      </c>
      <c r="L5116" s="200"/>
      <c r="M5116" s="200"/>
      <c r="N5116" s="200"/>
      <c r="O5116" s="200"/>
      <c r="P5116" s="200"/>
    </row>
    <row r="5117" spans="3:16" s="517" customFormat="1" ht="31.2" customHeight="1">
      <c r="C5117" s="223" t="s">
        <v>1220</v>
      </c>
      <c r="D5117" s="224" t="s">
        <v>1321</v>
      </c>
      <c r="E5117" s="225"/>
      <c r="F5117" s="226"/>
      <c r="G5117" s="228">
        <v>0.1</v>
      </c>
      <c r="H5117" s="210">
        <f>H5116*G5117</f>
        <v>1177.8</v>
      </c>
      <c r="L5117" s="200"/>
      <c r="M5117" s="200"/>
      <c r="N5117" s="200"/>
      <c r="O5117" s="200"/>
      <c r="P5117" s="200"/>
    </row>
    <row r="5118" spans="3:16" s="517" customFormat="1" ht="31.2" customHeight="1" thickBot="1">
      <c r="C5118" s="229" t="s">
        <v>1221</v>
      </c>
      <c r="D5118" s="230" t="s">
        <v>1222</v>
      </c>
      <c r="E5118" s="231"/>
      <c r="F5118" s="231"/>
      <c r="G5118" s="232"/>
      <c r="H5118" s="233">
        <f>SUM(H5116:H5117)</f>
        <v>12955.8</v>
      </c>
      <c r="L5118" s="200"/>
      <c r="M5118" s="200"/>
      <c r="N5118" s="200"/>
      <c r="O5118" s="200"/>
      <c r="P5118" s="200"/>
    </row>
    <row r="5119" spans="3:16" ht="31.2" customHeight="1" thickTop="1">
      <c r="D5119" s="758"/>
    </row>
    <row r="5120" spans="3:16" ht="31.2" customHeight="1">
      <c r="C5120" s="757" t="s">
        <v>6950</v>
      </c>
      <c r="F5120" s="758"/>
      <c r="H5120" s="758" t="s">
        <v>6959</v>
      </c>
    </row>
    <row r="5121" spans="3:20" ht="31.2" customHeight="1">
      <c r="C5121" s="200" t="s">
        <v>6951</v>
      </c>
      <c r="F5121" s="758"/>
    </row>
    <row r="5122" spans="3:20" ht="31.2" customHeight="1">
      <c r="C5122" s="200" t="s">
        <v>6952</v>
      </c>
      <c r="F5122" s="758"/>
    </row>
    <row r="5123" spans="3:20" ht="31.2" customHeight="1">
      <c r="C5123" s="200"/>
      <c r="F5123" s="758"/>
    </row>
    <row r="5124" spans="3:20" s="517" customFormat="1" ht="31.2" customHeight="1" thickBot="1">
      <c r="C5124" s="513" t="s">
        <v>7424</v>
      </c>
      <c r="D5124" s="748" t="s">
        <v>7425</v>
      </c>
      <c r="E5124" s="749"/>
      <c r="F5124" s="748"/>
      <c r="G5124" s="748"/>
      <c r="H5124" s="532"/>
      <c r="I5124" s="532"/>
      <c r="J5124" s="532"/>
      <c r="K5124" s="532"/>
      <c r="M5124" s="189"/>
      <c r="N5124" s="189"/>
      <c r="O5124" s="189"/>
      <c r="P5124" s="189"/>
      <c r="R5124" s="189">
        <f>ROUNDDOWN(H5143,-2)</f>
        <v>12900</v>
      </c>
      <c r="S5124" s="517" t="s">
        <v>6451</v>
      </c>
      <c r="T5124" s="517" t="s">
        <v>7014</v>
      </c>
    </row>
    <row r="5125" spans="3:20" s="517" customFormat="1" ht="31.2" customHeight="1" thickTop="1">
      <c r="C5125" s="190" t="s">
        <v>1195</v>
      </c>
      <c r="D5125" s="191" t="s">
        <v>1196</v>
      </c>
      <c r="E5125" s="191" t="s">
        <v>1197</v>
      </c>
      <c r="F5125" s="191" t="s">
        <v>1198</v>
      </c>
      <c r="G5125" s="191" t="s">
        <v>1199</v>
      </c>
      <c r="H5125" s="192" t="s">
        <v>1200</v>
      </c>
      <c r="L5125" s="200"/>
      <c r="M5125" s="200"/>
      <c r="N5125" s="200"/>
      <c r="O5125" s="200"/>
      <c r="P5125" s="200"/>
    </row>
    <row r="5126" spans="3:20" s="517" customFormat="1" ht="31.2" customHeight="1">
      <c r="C5126" s="518" t="s">
        <v>1201</v>
      </c>
      <c r="D5126" s="196" t="s">
        <v>1202</v>
      </c>
      <c r="E5126" s="197"/>
      <c r="F5126" s="197"/>
      <c r="G5126" s="197"/>
      <c r="H5126" s="198"/>
      <c r="L5126" s="200"/>
      <c r="M5126" s="200"/>
      <c r="N5126" s="200"/>
      <c r="O5126" s="200"/>
      <c r="P5126" s="200"/>
    </row>
    <row r="5127" spans="3:20" s="517" customFormat="1" ht="31.2" customHeight="1">
      <c r="C5127" s="537">
        <v>1</v>
      </c>
      <c r="D5127" s="196" t="s">
        <v>6954</v>
      </c>
      <c r="E5127" s="202" t="s">
        <v>6</v>
      </c>
      <c r="F5127" s="520">
        <v>0.05</v>
      </c>
      <c r="G5127" s="205">
        <f>VLOOKUP(D5127,upahbahan,3,FALSE)</f>
        <v>181250</v>
      </c>
      <c r="H5127" s="210">
        <f t="shared" ref="H5127:H5129" si="373">F5127*G5127</f>
        <v>9062.5</v>
      </c>
      <c r="L5127" s="200"/>
      <c r="M5127" s="200"/>
      <c r="N5127" s="200"/>
      <c r="O5127" s="200"/>
      <c r="P5127" s="200"/>
    </row>
    <row r="5128" spans="3:20" s="517" customFormat="1" ht="31.2" customHeight="1">
      <c r="C5128" s="537">
        <v>2</v>
      </c>
      <c r="D5128" s="196" t="s">
        <v>6948</v>
      </c>
      <c r="E5128" s="202" t="s">
        <v>2102</v>
      </c>
      <c r="F5128" s="520">
        <v>0.01</v>
      </c>
      <c r="G5128" s="205">
        <f>VLOOKUP(D5128,upahbahan,3,FALSE)</f>
        <v>218750</v>
      </c>
      <c r="H5128" s="210">
        <f t="shared" si="373"/>
        <v>2187.5</v>
      </c>
      <c r="L5128" s="200"/>
      <c r="M5128" s="200"/>
      <c r="N5128" s="200"/>
      <c r="O5128" s="200"/>
      <c r="P5128" s="200"/>
    </row>
    <row r="5129" spans="3:20" s="517" customFormat="1" ht="31.2" customHeight="1">
      <c r="C5129" s="537">
        <v>3</v>
      </c>
      <c r="D5129" s="196" t="s">
        <v>19</v>
      </c>
      <c r="E5129" s="202" t="s">
        <v>6</v>
      </c>
      <c r="F5129" s="520">
        <v>3.3E-3</v>
      </c>
      <c r="G5129" s="205">
        <f>VLOOKUP(D5129,upahbahan,3,FALSE)</f>
        <v>160000</v>
      </c>
      <c r="H5129" s="210">
        <f t="shared" si="373"/>
        <v>528</v>
      </c>
      <c r="L5129" s="200"/>
      <c r="M5129" s="200"/>
      <c r="N5129" s="200"/>
      <c r="O5129" s="200"/>
      <c r="P5129" s="200"/>
    </row>
    <row r="5130" spans="3:20" s="517" customFormat="1" ht="31.2" customHeight="1">
      <c r="C5130" s="207" t="s">
        <v>1208</v>
      </c>
      <c r="D5130" s="208"/>
      <c r="E5130" s="208"/>
      <c r="F5130" s="521"/>
      <c r="G5130" s="522"/>
      <c r="H5130" s="210">
        <f>SUM(H5127:H5129)</f>
        <v>11778</v>
      </c>
      <c r="L5130" s="523"/>
      <c r="M5130" s="523"/>
      <c r="N5130" s="523"/>
      <c r="O5130" s="523"/>
      <c r="P5130" s="523"/>
    </row>
    <row r="5131" spans="3:20" s="517" customFormat="1" ht="31.2" customHeight="1">
      <c r="C5131" s="543" t="s">
        <v>1209</v>
      </c>
      <c r="D5131" s="750" t="s">
        <v>1210</v>
      </c>
      <c r="E5131" s="197"/>
      <c r="F5131" s="751"/>
      <c r="G5131" s="197"/>
      <c r="H5131" s="752"/>
      <c r="L5131" s="200"/>
      <c r="M5131" s="200"/>
      <c r="N5131" s="200"/>
      <c r="O5131" s="200"/>
      <c r="P5131" s="200"/>
    </row>
    <row r="5132" spans="3:20" s="517" customFormat="1" ht="31.2" customHeight="1">
      <c r="C5132" s="543">
        <v>1</v>
      </c>
      <c r="D5132" s="750" t="s">
        <v>7426</v>
      </c>
      <c r="E5132" s="203" t="s">
        <v>44</v>
      </c>
      <c r="F5132" s="760">
        <v>16</v>
      </c>
      <c r="G5132" s="205">
        <f>VLOOKUP(D5132,upahbahan,3,FALSE)</f>
        <v>0</v>
      </c>
      <c r="H5132" s="210">
        <f t="shared" ref="H5132:H5137" si="374">F5132*G5132</f>
        <v>0</v>
      </c>
      <c r="L5132" s="200"/>
      <c r="M5132" s="200"/>
      <c r="N5132" s="200"/>
      <c r="O5132" s="200"/>
      <c r="P5132" s="200"/>
    </row>
    <row r="5133" spans="3:20" s="517" customFormat="1" ht="31.2" customHeight="1">
      <c r="C5133" s="543">
        <v>2</v>
      </c>
      <c r="D5133" s="750" t="s">
        <v>5563</v>
      </c>
      <c r="E5133" s="203" t="s">
        <v>65</v>
      </c>
      <c r="F5133" s="760">
        <v>0.01</v>
      </c>
      <c r="G5133" s="205">
        <f>VLOOKUP(D5133,upahbahan,3,FALSE)</f>
        <v>0</v>
      </c>
      <c r="H5133" s="210">
        <f t="shared" si="374"/>
        <v>0</v>
      </c>
      <c r="L5133" s="200"/>
      <c r="M5133" s="200"/>
      <c r="N5133" s="200"/>
      <c r="O5133" s="200"/>
      <c r="P5133" s="200"/>
    </row>
    <row r="5134" spans="3:20" s="517" customFormat="1" ht="31.2" customHeight="1">
      <c r="C5134" s="543">
        <v>3</v>
      </c>
      <c r="D5134" s="750" t="s">
        <v>5556</v>
      </c>
      <c r="E5134" s="203"/>
      <c r="F5134" s="753"/>
      <c r="G5134" s="197"/>
      <c r="H5134" s="210">
        <f t="shared" si="374"/>
        <v>0</v>
      </c>
      <c r="L5134" s="200"/>
      <c r="M5134" s="200"/>
      <c r="N5134" s="200"/>
      <c r="O5134" s="200"/>
      <c r="P5134" s="200"/>
    </row>
    <row r="5135" spans="3:20" s="517" customFormat="1" ht="31.2" customHeight="1">
      <c r="C5135" s="754" t="s">
        <v>5293</v>
      </c>
      <c r="D5135" s="750" t="s">
        <v>2084</v>
      </c>
      <c r="E5135" s="203" t="s">
        <v>42</v>
      </c>
      <c r="F5135" s="753">
        <v>1.0999999999999999E-2</v>
      </c>
      <c r="G5135" s="205">
        <f>VLOOKUP(D5135,upahbahan,3,FALSE)</f>
        <v>0</v>
      </c>
      <c r="H5135" s="210">
        <f t="shared" si="374"/>
        <v>0</v>
      </c>
      <c r="L5135" s="200"/>
      <c r="M5135" s="200"/>
      <c r="N5135" s="200"/>
      <c r="O5135" s="200"/>
      <c r="P5135" s="200"/>
    </row>
    <row r="5136" spans="3:20" s="517" customFormat="1" ht="31.2" customHeight="1">
      <c r="C5136" s="754" t="s">
        <v>5299</v>
      </c>
      <c r="D5136" s="750" t="s">
        <v>5566</v>
      </c>
      <c r="E5136" s="203" t="s">
        <v>42</v>
      </c>
      <c r="F5136" s="753">
        <v>3.0000000000000001E-3</v>
      </c>
      <c r="G5136" s="205">
        <f>VLOOKUP(D5136,upahbahan,3,FALSE)</f>
        <v>0</v>
      </c>
      <c r="H5136" s="210">
        <f t="shared" si="374"/>
        <v>0</v>
      </c>
      <c r="L5136" s="200"/>
      <c r="M5136" s="200"/>
      <c r="N5136" s="200"/>
      <c r="O5136" s="200"/>
      <c r="P5136" s="200"/>
    </row>
    <row r="5137" spans="3:20" s="517" customFormat="1" ht="31.2" customHeight="1">
      <c r="C5137" s="754" t="s">
        <v>5558</v>
      </c>
      <c r="D5137" s="750" t="s">
        <v>2325</v>
      </c>
      <c r="E5137" s="203" t="s">
        <v>42</v>
      </c>
      <c r="F5137" s="755">
        <v>1E-3</v>
      </c>
      <c r="G5137" s="205">
        <f>VLOOKUP(D5137,upahbahan,3,FALSE)</f>
        <v>0</v>
      </c>
      <c r="H5137" s="210">
        <f t="shared" si="374"/>
        <v>0</v>
      </c>
      <c r="L5137" s="200"/>
      <c r="M5137" s="200"/>
      <c r="N5137" s="200"/>
      <c r="O5137" s="200"/>
      <c r="P5137" s="200"/>
    </row>
    <row r="5138" spans="3:20" s="517" customFormat="1" ht="31.2" customHeight="1">
      <c r="C5138" s="207" t="s">
        <v>1214</v>
      </c>
      <c r="D5138" s="208"/>
      <c r="E5138" s="568"/>
      <c r="F5138" s="208"/>
      <c r="G5138" s="209"/>
      <c r="H5138" s="210">
        <f>SUM(H5132:H5137)</f>
        <v>0</v>
      </c>
      <c r="L5138" s="200"/>
      <c r="M5138" s="200"/>
      <c r="N5138" s="200"/>
      <c r="O5138" s="200"/>
      <c r="P5138" s="200"/>
    </row>
    <row r="5139" spans="3:20" s="517" customFormat="1" ht="31.2" customHeight="1">
      <c r="C5139" s="756" t="s">
        <v>1215</v>
      </c>
      <c r="D5139" s="196" t="s">
        <v>1216</v>
      </c>
      <c r="E5139" s="203"/>
      <c r="F5139" s="197"/>
      <c r="G5139" s="197"/>
      <c r="H5139" s="198"/>
      <c r="L5139" s="200"/>
      <c r="M5139" s="200"/>
      <c r="N5139" s="200"/>
      <c r="O5139" s="200"/>
      <c r="P5139" s="200"/>
    </row>
    <row r="5140" spans="3:20" s="517" customFormat="1" ht="31.2" customHeight="1">
      <c r="C5140" s="207" t="s">
        <v>1217</v>
      </c>
      <c r="D5140" s="208"/>
      <c r="E5140" s="208"/>
      <c r="F5140" s="208"/>
      <c r="G5140" s="209"/>
      <c r="H5140" s="240">
        <f>SUM(H5139)</f>
        <v>0</v>
      </c>
      <c r="L5140" s="200"/>
      <c r="M5140" s="200"/>
      <c r="N5140" s="200"/>
      <c r="O5140" s="200"/>
      <c r="P5140" s="200"/>
    </row>
    <row r="5141" spans="3:20" s="517" customFormat="1" ht="31.2" customHeight="1">
      <c r="C5141" s="223" t="s">
        <v>1218</v>
      </c>
      <c r="D5141" s="224" t="s">
        <v>1219</v>
      </c>
      <c r="E5141" s="225"/>
      <c r="F5141" s="225"/>
      <c r="G5141" s="226"/>
      <c r="H5141" s="210">
        <f>H5140+H5138+H5130</f>
        <v>11778</v>
      </c>
      <c r="L5141" s="200"/>
      <c r="M5141" s="200"/>
      <c r="N5141" s="200"/>
      <c r="O5141" s="200"/>
      <c r="P5141" s="200"/>
    </row>
    <row r="5142" spans="3:20" s="517" customFormat="1" ht="31.2" customHeight="1">
      <c r="C5142" s="223" t="s">
        <v>1220</v>
      </c>
      <c r="D5142" s="224" t="s">
        <v>1321</v>
      </c>
      <c r="E5142" s="225"/>
      <c r="F5142" s="226"/>
      <c r="G5142" s="228">
        <v>0.1</v>
      </c>
      <c r="H5142" s="210">
        <f>H5141*G5142</f>
        <v>1177.8</v>
      </c>
      <c r="L5142" s="200"/>
      <c r="M5142" s="200"/>
      <c r="N5142" s="200"/>
      <c r="O5142" s="200"/>
      <c r="P5142" s="200"/>
    </row>
    <row r="5143" spans="3:20" s="517" customFormat="1" ht="31.2" customHeight="1" thickBot="1">
      <c r="C5143" s="229" t="s">
        <v>1221</v>
      </c>
      <c r="D5143" s="230" t="s">
        <v>1222</v>
      </c>
      <c r="E5143" s="231"/>
      <c r="F5143" s="231"/>
      <c r="G5143" s="232"/>
      <c r="H5143" s="233">
        <f>SUM(H5141:H5142)</f>
        <v>12955.8</v>
      </c>
      <c r="L5143" s="200"/>
      <c r="M5143" s="200"/>
      <c r="N5143" s="200"/>
      <c r="O5143" s="200"/>
      <c r="P5143" s="200"/>
    </row>
    <row r="5144" spans="3:20" ht="31.2" customHeight="1" thickTop="1">
      <c r="D5144" s="758"/>
    </row>
    <row r="5145" spans="3:20" ht="31.2" customHeight="1">
      <c r="C5145" s="757" t="s">
        <v>6950</v>
      </c>
      <c r="F5145" s="758"/>
      <c r="H5145" s="758" t="s">
        <v>6959</v>
      </c>
    </row>
    <row r="5146" spans="3:20" ht="31.2" customHeight="1">
      <c r="C5146" s="200" t="s">
        <v>6951</v>
      </c>
      <c r="F5146" s="758"/>
    </row>
    <row r="5147" spans="3:20" ht="31.2" customHeight="1">
      <c r="C5147" s="200" t="s">
        <v>6952</v>
      </c>
      <c r="F5147" s="758"/>
    </row>
    <row r="5148" spans="3:20" ht="31.2" customHeight="1">
      <c r="C5148" s="200"/>
      <c r="F5148" s="758"/>
    </row>
    <row r="5149" spans="3:20" s="517" customFormat="1" ht="31.2" customHeight="1" thickBot="1">
      <c r="C5149" s="513" t="s">
        <v>7427</v>
      </c>
      <c r="D5149" s="748" t="s">
        <v>7428</v>
      </c>
      <c r="E5149" s="749"/>
      <c r="F5149" s="748"/>
      <c r="G5149" s="748"/>
      <c r="H5149" s="532"/>
      <c r="I5149" s="532"/>
      <c r="J5149" s="532"/>
      <c r="K5149" s="532"/>
      <c r="M5149" s="189"/>
      <c r="N5149" s="189"/>
      <c r="O5149" s="189"/>
      <c r="P5149" s="189"/>
      <c r="R5149" s="189">
        <f>ROUNDDOWN(H5168,-2)</f>
        <v>12900</v>
      </c>
      <c r="S5149" s="517" t="s">
        <v>6451</v>
      </c>
      <c r="T5149" s="517" t="s">
        <v>7014</v>
      </c>
    </row>
    <row r="5150" spans="3:20" s="517" customFormat="1" ht="31.2" customHeight="1" thickTop="1">
      <c r="C5150" s="190" t="s">
        <v>1195</v>
      </c>
      <c r="D5150" s="191" t="s">
        <v>1196</v>
      </c>
      <c r="E5150" s="191" t="s">
        <v>1197</v>
      </c>
      <c r="F5150" s="191" t="s">
        <v>1198</v>
      </c>
      <c r="G5150" s="191" t="s">
        <v>1199</v>
      </c>
      <c r="H5150" s="192" t="s">
        <v>1200</v>
      </c>
      <c r="L5150" s="200"/>
      <c r="M5150" s="200"/>
      <c r="N5150" s="200"/>
      <c r="O5150" s="200"/>
      <c r="P5150" s="200"/>
    </row>
    <row r="5151" spans="3:20" s="517" customFormat="1" ht="31.2" customHeight="1">
      <c r="C5151" s="518" t="s">
        <v>1201</v>
      </c>
      <c r="D5151" s="196" t="s">
        <v>1202</v>
      </c>
      <c r="E5151" s="197"/>
      <c r="F5151" s="197"/>
      <c r="G5151" s="197"/>
      <c r="H5151" s="198"/>
      <c r="L5151" s="200"/>
      <c r="M5151" s="200"/>
      <c r="N5151" s="200"/>
      <c r="O5151" s="200"/>
      <c r="P5151" s="200"/>
    </row>
    <row r="5152" spans="3:20" s="517" customFormat="1" ht="31.2" customHeight="1">
      <c r="C5152" s="537">
        <v>1</v>
      </c>
      <c r="D5152" s="196" t="s">
        <v>6954</v>
      </c>
      <c r="E5152" s="202" t="s">
        <v>6</v>
      </c>
      <c r="F5152" s="520">
        <v>0.05</v>
      </c>
      <c r="G5152" s="205">
        <f>VLOOKUP(D5152,upahbahan,3,FALSE)</f>
        <v>181250</v>
      </c>
      <c r="H5152" s="210">
        <f t="shared" ref="H5152:H5154" si="375">F5152*G5152</f>
        <v>9062.5</v>
      </c>
      <c r="L5152" s="200"/>
      <c r="M5152" s="200"/>
      <c r="N5152" s="200"/>
      <c r="O5152" s="200"/>
      <c r="P5152" s="200"/>
    </row>
    <row r="5153" spans="3:16" s="517" customFormat="1" ht="31.2" customHeight="1">
      <c r="C5153" s="537">
        <v>2</v>
      </c>
      <c r="D5153" s="196" t="s">
        <v>6948</v>
      </c>
      <c r="E5153" s="202" t="s">
        <v>2102</v>
      </c>
      <c r="F5153" s="520">
        <v>0.01</v>
      </c>
      <c r="G5153" s="205">
        <f>VLOOKUP(D5153,upahbahan,3,FALSE)</f>
        <v>218750</v>
      </c>
      <c r="H5153" s="210">
        <f t="shared" si="375"/>
        <v>2187.5</v>
      </c>
      <c r="L5153" s="200"/>
      <c r="M5153" s="200"/>
      <c r="N5153" s="200"/>
      <c r="O5153" s="200"/>
      <c r="P5153" s="200"/>
    </row>
    <row r="5154" spans="3:16" s="517" customFormat="1" ht="31.2" customHeight="1">
      <c r="C5154" s="537">
        <v>3</v>
      </c>
      <c r="D5154" s="196" t="s">
        <v>19</v>
      </c>
      <c r="E5154" s="202" t="s">
        <v>6</v>
      </c>
      <c r="F5154" s="520">
        <v>3.3E-3</v>
      </c>
      <c r="G5154" s="205">
        <f>VLOOKUP(D5154,upahbahan,3,FALSE)</f>
        <v>160000</v>
      </c>
      <c r="H5154" s="210">
        <f t="shared" si="375"/>
        <v>528</v>
      </c>
      <c r="L5154" s="200"/>
      <c r="M5154" s="200"/>
      <c r="N5154" s="200"/>
      <c r="O5154" s="200"/>
      <c r="P5154" s="200"/>
    </row>
    <row r="5155" spans="3:16" s="517" customFormat="1" ht="31.2" customHeight="1">
      <c r="C5155" s="207" t="s">
        <v>1208</v>
      </c>
      <c r="D5155" s="208"/>
      <c r="E5155" s="208"/>
      <c r="F5155" s="521"/>
      <c r="G5155" s="522"/>
      <c r="H5155" s="210">
        <f>SUM(H5152:H5154)</f>
        <v>11778</v>
      </c>
      <c r="L5155" s="523"/>
      <c r="M5155" s="523"/>
      <c r="N5155" s="523"/>
      <c r="O5155" s="523"/>
      <c r="P5155" s="523"/>
    </row>
    <row r="5156" spans="3:16" s="517" customFormat="1" ht="31.2" customHeight="1">
      <c r="C5156" s="543" t="s">
        <v>1209</v>
      </c>
      <c r="D5156" s="750" t="s">
        <v>1210</v>
      </c>
      <c r="E5156" s="197"/>
      <c r="F5156" s="751"/>
      <c r="G5156" s="197"/>
      <c r="H5156" s="752"/>
      <c r="L5156" s="200"/>
      <c r="M5156" s="200"/>
      <c r="N5156" s="200"/>
      <c r="O5156" s="200"/>
      <c r="P5156" s="200"/>
    </row>
    <row r="5157" spans="3:16" s="517" customFormat="1" ht="31.2" customHeight="1">
      <c r="C5157" s="543">
        <v>1</v>
      </c>
      <c r="D5157" s="750" t="s">
        <v>7429</v>
      </c>
      <c r="E5157" s="203" t="s">
        <v>44</v>
      </c>
      <c r="F5157" s="760">
        <v>16</v>
      </c>
      <c r="G5157" s="205">
        <f>VLOOKUP(D5157,upahbahan,3,FALSE)</f>
        <v>0</v>
      </c>
      <c r="H5157" s="210">
        <f t="shared" ref="H5157:H5162" si="376">F5157*G5157</f>
        <v>0</v>
      </c>
      <c r="L5157" s="200"/>
      <c r="M5157" s="200"/>
      <c r="N5157" s="200"/>
      <c r="O5157" s="200"/>
      <c r="P5157" s="200"/>
    </row>
    <row r="5158" spans="3:16" s="517" customFormat="1" ht="31.2" customHeight="1">
      <c r="C5158" s="543">
        <v>2</v>
      </c>
      <c r="D5158" s="750" t="s">
        <v>5563</v>
      </c>
      <c r="E5158" s="203" t="s">
        <v>65</v>
      </c>
      <c r="F5158" s="760">
        <v>0.01</v>
      </c>
      <c r="G5158" s="205">
        <f>VLOOKUP(D5158,upahbahan,3,FALSE)</f>
        <v>0</v>
      </c>
      <c r="H5158" s="210">
        <f t="shared" si="376"/>
        <v>0</v>
      </c>
      <c r="L5158" s="200"/>
      <c r="M5158" s="200"/>
      <c r="N5158" s="200"/>
      <c r="O5158" s="200"/>
      <c r="P5158" s="200"/>
    </row>
    <row r="5159" spans="3:16" s="517" customFormat="1" ht="31.2" customHeight="1">
      <c r="C5159" s="543">
        <v>3</v>
      </c>
      <c r="D5159" s="750" t="s">
        <v>5556</v>
      </c>
      <c r="E5159" s="203"/>
      <c r="F5159" s="753"/>
      <c r="G5159" s="197"/>
      <c r="H5159" s="210">
        <f t="shared" si="376"/>
        <v>0</v>
      </c>
      <c r="L5159" s="200"/>
      <c r="M5159" s="200"/>
      <c r="N5159" s="200"/>
      <c r="O5159" s="200"/>
      <c r="P5159" s="200"/>
    </row>
    <row r="5160" spans="3:16" s="517" customFormat="1" ht="31.2" customHeight="1">
      <c r="C5160" s="754" t="s">
        <v>5293</v>
      </c>
      <c r="D5160" s="750" t="s">
        <v>2084</v>
      </c>
      <c r="E5160" s="203" t="s">
        <v>42</v>
      </c>
      <c r="F5160" s="753">
        <v>1.0999999999999999E-2</v>
      </c>
      <c r="G5160" s="205">
        <f>VLOOKUP(D5160,upahbahan,3,FALSE)</f>
        <v>0</v>
      </c>
      <c r="H5160" s="210">
        <f t="shared" si="376"/>
        <v>0</v>
      </c>
      <c r="L5160" s="200"/>
      <c r="M5160" s="200"/>
      <c r="N5160" s="200"/>
      <c r="O5160" s="200"/>
      <c r="P5160" s="200"/>
    </row>
    <row r="5161" spans="3:16" s="517" customFormat="1" ht="31.2" customHeight="1">
      <c r="C5161" s="754" t="s">
        <v>5299</v>
      </c>
      <c r="D5161" s="750" t="s">
        <v>5566</v>
      </c>
      <c r="E5161" s="203" t="s">
        <v>42</v>
      </c>
      <c r="F5161" s="753">
        <v>3.0000000000000001E-3</v>
      </c>
      <c r="G5161" s="205">
        <f>VLOOKUP(D5161,upahbahan,3,FALSE)</f>
        <v>0</v>
      </c>
      <c r="H5161" s="210">
        <f t="shared" si="376"/>
        <v>0</v>
      </c>
      <c r="L5161" s="200"/>
      <c r="M5161" s="200"/>
      <c r="N5161" s="200"/>
      <c r="O5161" s="200"/>
      <c r="P5161" s="200"/>
    </row>
    <row r="5162" spans="3:16" s="517" customFormat="1" ht="31.2" customHeight="1">
      <c r="C5162" s="754" t="s">
        <v>5558</v>
      </c>
      <c r="D5162" s="750" t="s">
        <v>2325</v>
      </c>
      <c r="E5162" s="203" t="s">
        <v>42</v>
      </c>
      <c r="F5162" s="755">
        <v>1E-3</v>
      </c>
      <c r="G5162" s="205">
        <f>VLOOKUP(D5162,upahbahan,3,FALSE)</f>
        <v>0</v>
      </c>
      <c r="H5162" s="210">
        <f t="shared" si="376"/>
        <v>0</v>
      </c>
      <c r="L5162" s="200"/>
      <c r="M5162" s="200"/>
      <c r="N5162" s="200"/>
      <c r="O5162" s="200"/>
      <c r="P5162" s="200"/>
    </row>
    <row r="5163" spans="3:16" s="517" customFormat="1" ht="31.2" customHeight="1">
      <c r="C5163" s="207" t="s">
        <v>1214</v>
      </c>
      <c r="D5163" s="208"/>
      <c r="E5163" s="568"/>
      <c r="F5163" s="208"/>
      <c r="G5163" s="209"/>
      <c r="H5163" s="210">
        <f>SUM(H5157:H5162)</f>
        <v>0</v>
      </c>
      <c r="L5163" s="200"/>
      <c r="M5163" s="200"/>
      <c r="N5163" s="200"/>
      <c r="O5163" s="200"/>
      <c r="P5163" s="200"/>
    </row>
    <row r="5164" spans="3:16" s="517" customFormat="1" ht="31.2" customHeight="1">
      <c r="C5164" s="756" t="s">
        <v>1215</v>
      </c>
      <c r="D5164" s="196" t="s">
        <v>1216</v>
      </c>
      <c r="E5164" s="203"/>
      <c r="F5164" s="197"/>
      <c r="G5164" s="197"/>
      <c r="H5164" s="198"/>
      <c r="L5164" s="200"/>
      <c r="M5164" s="200"/>
      <c r="N5164" s="200"/>
      <c r="O5164" s="200"/>
      <c r="P5164" s="200"/>
    </row>
    <row r="5165" spans="3:16" s="517" customFormat="1" ht="31.2" customHeight="1">
      <c r="C5165" s="207" t="s">
        <v>1217</v>
      </c>
      <c r="D5165" s="208"/>
      <c r="E5165" s="208"/>
      <c r="F5165" s="208"/>
      <c r="G5165" s="209"/>
      <c r="H5165" s="240">
        <f>SUM(H5164)</f>
        <v>0</v>
      </c>
      <c r="L5165" s="200"/>
      <c r="M5165" s="200"/>
      <c r="N5165" s="200"/>
      <c r="O5165" s="200"/>
      <c r="P5165" s="200"/>
    </row>
    <row r="5166" spans="3:16" s="517" customFormat="1" ht="31.2" customHeight="1">
      <c r="C5166" s="223" t="s">
        <v>1218</v>
      </c>
      <c r="D5166" s="224" t="s">
        <v>1219</v>
      </c>
      <c r="E5166" s="225"/>
      <c r="F5166" s="225"/>
      <c r="G5166" s="226"/>
      <c r="H5166" s="210">
        <f>H5165+H5163+H5155</f>
        <v>11778</v>
      </c>
      <c r="L5166" s="200"/>
      <c r="M5166" s="200"/>
      <c r="N5166" s="200"/>
      <c r="O5166" s="200"/>
      <c r="P5166" s="200"/>
    </row>
    <row r="5167" spans="3:16" s="517" customFormat="1" ht="31.2" customHeight="1">
      <c r="C5167" s="223" t="s">
        <v>1220</v>
      </c>
      <c r="D5167" s="224" t="s">
        <v>1321</v>
      </c>
      <c r="E5167" s="225"/>
      <c r="F5167" s="226"/>
      <c r="G5167" s="228">
        <v>0.1</v>
      </c>
      <c r="H5167" s="210">
        <f>H5166*G5167</f>
        <v>1177.8</v>
      </c>
      <c r="L5167" s="200"/>
      <c r="M5167" s="200"/>
      <c r="N5167" s="200"/>
      <c r="O5167" s="200"/>
      <c r="P5167" s="200"/>
    </row>
    <row r="5168" spans="3:16" s="517" customFormat="1" ht="31.2" customHeight="1" thickBot="1">
      <c r="C5168" s="229" t="s">
        <v>1221</v>
      </c>
      <c r="D5168" s="230" t="s">
        <v>1222</v>
      </c>
      <c r="E5168" s="231"/>
      <c r="F5168" s="231"/>
      <c r="G5168" s="232"/>
      <c r="H5168" s="233">
        <f>SUM(H5166:H5167)</f>
        <v>12955.8</v>
      </c>
      <c r="L5168" s="200"/>
      <c r="M5168" s="200"/>
      <c r="N5168" s="200"/>
      <c r="O5168" s="200"/>
      <c r="P5168" s="200"/>
    </row>
    <row r="5169" spans="3:20" ht="31.2" customHeight="1" thickTop="1">
      <c r="D5169" s="758"/>
    </row>
    <row r="5170" spans="3:20" ht="31.2" customHeight="1">
      <c r="C5170" s="757" t="s">
        <v>6950</v>
      </c>
      <c r="F5170" s="758"/>
      <c r="H5170" s="758" t="s">
        <v>6959</v>
      </c>
    </row>
    <row r="5171" spans="3:20" ht="31.2" customHeight="1">
      <c r="C5171" s="200" t="s">
        <v>6951</v>
      </c>
      <c r="F5171" s="758"/>
    </row>
    <row r="5172" spans="3:20" ht="31.2" customHeight="1">
      <c r="C5172" s="200" t="s">
        <v>6952</v>
      </c>
      <c r="F5172" s="758"/>
    </row>
    <row r="5173" spans="3:20" ht="31.2" customHeight="1">
      <c r="C5173" s="200"/>
      <c r="F5173" s="758"/>
    </row>
    <row r="5174" spans="3:20" s="517" customFormat="1" ht="31.2" customHeight="1" thickBot="1">
      <c r="C5174" s="513" t="s">
        <v>7432</v>
      </c>
      <c r="D5174" s="748" t="s">
        <v>7430</v>
      </c>
      <c r="E5174" s="749"/>
      <c r="F5174" s="748"/>
      <c r="G5174" s="748"/>
      <c r="H5174" s="532"/>
      <c r="I5174" s="532"/>
      <c r="J5174" s="532"/>
      <c r="K5174" s="532"/>
      <c r="M5174" s="189"/>
      <c r="N5174" s="189"/>
      <c r="O5174" s="189"/>
      <c r="P5174" s="189"/>
      <c r="R5174" s="189">
        <f>ROUNDDOWN(H5193,-2)</f>
        <v>12900</v>
      </c>
      <c r="S5174" s="517" t="s">
        <v>6451</v>
      </c>
      <c r="T5174" s="517" t="s">
        <v>7014</v>
      </c>
    </row>
    <row r="5175" spans="3:20" s="517" customFormat="1" ht="31.2" customHeight="1" thickTop="1">
      <c r="C5175" s="190" t="s">
        <v>1195</v>
      </c>
      <c r="D5175" s="191" t="s">
        <v>1196</v>
      </c>
      <c r="E5175" s="191" t="s">
        <v>1197</v>
      </c>
      <c r="F5175" s="191" t="s">
        <v>1198</v>
      </c>
      <c r="G5175" s="191" t="s">
        <v>1199</v>
      </c>
      <c r="H5175" s="192" t="s">
        <v>1200</v>
      </c>
      <c r="L5175" s="200"/>
      <c r="M5175" s="200"/>
      <c r="N5175" s="200"/>
      <c r="O5175" s="200"/>
      <c r="P5175" s="200"/>
    </row>
    <row r="5176" spans="3:20" s="517" customFormat="1" ht="31.2" customHeight="1">
      <c r="C5176" s="518" t="s">
        <v>1201</v>
      </c>
      <c r="D5176" s="196" t="s">
        <v>1202</v>
      </c>
      <c r="E5176" s="197"/>
      <c r="F5176" s="197"/>
      <c r="G5176" s="197"/>
      <c r="H5176" s="198"/>
      <c r="L5176" s="200"/>
      <c r="M5176" s="200"/>
      <c r="N5176" s="200"/>
      <c r="O5176" s="200"/>
      <c r="P5176" s="200"/>
    </row>
    <row r="5177" spans="3:20" s="517" customFormat="1" ht="31.2" customHeight="1">
      <c r="C5177" s="537">
        <v>1</v>
      </c>
      <c r="D5177" s="196" t="s">
        <v>6954</v>
      </c>
      <c r="E5177" s="202" t="s">
        <v>6</v>
      </c>
      <c r="F5177" s="520">
        <v>0.05</v>
      </c>
      <c r="G5177" s="205">
        <f>VLOOKUP(D5177,upahbahan,3,FALSE)</f>
        <v>181250</v>
      </c>
      <c r="H5177" s="210">
        <f t="shared" ref="H5177:H5179" si="377">F5177*G5177</f>
        <v>9062.5</v>
      </c>
      <c r="L5177" s="200"/>
      <c r="M5177" s="200"/>
      <c r="N5177" s="200"/>
      <c r="O5177" s="200"/>
      <c r="P5177" s="200"/>
    </row>
    <row r="5178" spans="3:20" s="517" customFormat="1" ht="31.2" customHeight="1">
      <c r="C5178" s="537">
        <v>2</v>
      </c>
      <c r="D5178" s="196" t="s">
        <v>6948</v>
      </c>
      <c r="E5178" s="202" t="s">
        <v>2102</v>
      </c>
      <c r="F5178" s="520">
        <v>0.01</v>
      </c>
      <c r="G5178" s="205">
        <f>VLOOKUP(D5178,upahbahan,3,FALSE)</f>
        <v>218750</v>
      </c>
      <c r="H5178" s="210">
        <f t="shared" si="377"/>
        <v>2187.5</v>
      </c>
      <c r="L5178" s="200"/>
      <c r="M5178" s="200"/>
      <c r="N5178" s="200"/>
      <c r="O5178" s="200"/>
      <c r="P5178" s="200"/>
    </row>
    <row r="5179" spans="3:20" s="517" customFormat="1" ht="31.2" customHeight="1">
      <c r="C5179" s="537">
        <v>3</v>
      </c>
      <c r="D5179" s="196" t="s">
        <v>19</v>
      </c>
      <c r="E5179" s="202" t="s">
        <v>6</v>
      </c>
      <c r="F5179" s="520">
        <v>3.3E-3</v>
      </c>
      <c r="G5179" s="205">
        <f>VLOOKUP(D5179,upahbahan,3,FALSE)</f>
        <v>160000</v>
      </c>
      <c r="H5179" s="210">
        <f t="shared" si="377"/>
        <v>528</v>
      </c>
      <c r="L5179" s="200"/>
      <c r="M5179" s="200"/>
      <c r="N5179" s="200"/>
      <c r="O5179" s="200"/>
      <c r="P5179" s="200"/>
    </row>
    <row r="5180" spans="3:20" s="517" customFormat="1" ht="31.2" customHeight="1">
      <c r="C5180" s="207" t="s">
        <v>1208</v>
      </c>
      <c r="D5180" s="208"/>
      <c r="E5180" s="208"/>
      <c r="F5180" s="521"/>
      <c r="G5180" s="522"/>
      <c r="H5180" s="210">
        <f>SUM(H5177:H5179)</f>
        <v>11778</v>
      </c>
      <c r="L5180" s="523"/>
      <c r="M5180" s="523"/>
      <c r="N5180" s="523"/>
      <c r="O5180" s="523"/>
      <c r="P5180" s="523"/>
    </row>
    <row r="5181" spans="3:20" s="517" customFormat="1" ht="31.2" customHeight="1">
      <c r="C5181" s="543" t="s">
        <v>1209</v>
      </c>
      <c r="D5181" s="750" t="s">
        <v>1210</v>
      </c>
      <c r="E5181" s="197"/>
      <c r="F5181" s="751"/>
      <c r="G5181" s="197"/>
      <c r="H5181" s="752"/>
      <c r="L5181" s="200"/>
      <c r="M5181" s="200"/>
      <c r="N5181" s="200"/>
      <c r="O5181" s="200"/>
      <c r="P5181" s="200"/>
    </row>
    <row r="5182" spans="3:20" s="517" customFormat="1" ht="31.2" customHeight="1">
      <c r="C5182" s="543">
        <v>1</v>
      </c>
      <c r="D5182" s="750" t="s">
        <v>7431</v>
      </c>
      <c r="E5182" s="203" t="s">
        <v>44</v>
      </c>
      <c r="F5182" s="760">
        <v>16</v>
      </c>
      <c r="G5182" s="205">
        <f>VLOOKUP(D5182,upahbahan,3,FALSE)</f>
        <v>0</v>
      </c>
      <c r="H5182" s="210">
        <f t="shared" ref="H5182:H5187" si="378">F5182*G5182</f>
        <v>0</v>
      </c>
      <c r="L5182" s="200"/>
      <c r="M5182" s="200"/>
      <c r="N5182" s="200"/>
      <c r="O5182" s="200"/>
      <c r="P5182" s="200"/>
    </row>
    <row r="5183" spans="3:20" s="517" customFormat="1" ht="31.2" customHeight="1">
      <c r="C5183" s="543">
        <v>2</v>
      </c>
      <c r="D5183" s="750" t="s">
        <v>5563</v>
      </c>
      <c r="E5183" s="203" t="s">
        <v>65</v>
      </c>
      <c r="F5183" s="760">
        <v>0.01</v>
      </c>
      <c r="G5183" s="205">
        <f>VLOOKUP(D5183,upahbahan,3,FALSE)</f>
        <v>0</v>
      </c>
      <c r="H5183" s="210">
        <f t="shared" si="378"/>
        <v>0</v>
      </c>
      <c r="L5183" s="200"/>
      <c r="M5183" s="200"/>
      <c r="N5183" s="200"/>
      <c r="O5183" s="200"/>
      <c r="P5183" s="200"/>
    </row>
    <row r="5184" spans="3:20" s="517" customFormat="1" ht="31.2" customHeight="1">
      <c r="C5184" s="543">
        <v>3</v>
      </c>
      <c r="D5184" s="750" t="s">
        <v>5556</v>
      </c>
      <c r="E5184" s="203"/>
      <c r="F5184" s="753"/>
      <c r="G5184" s="197"/>
      <c r="H5184" s="210">
        <f t="shared" si="378"/>
        <v>0</v>
      </c>
      <c r="L5184" s="200"/>
      <c r="M5184" s="200"/>
      <c r="N5184" s="200"/>
      <c r="O5184" s="200"/>
      <c r="P5184" s="200"/>
    </row>
    <row r="5185" spans="3:20" s="517" customFormat="1" ht="31.2" customHeight="1">
      <c r="C5185" s="754" t="s">
        <v>5293</v>
      </c>
      <c r="D5185" s="750" t="s">
        <v>2084</v>
      </c>
      <c r="E5185" s="203" t="s">
        <v>42</v>
      </c>
      <c r="F5185" s="753">
        <v>1.0999999999999999E-2</v>
      </c>
      <c r="G5185" s="205">
        <f>VLOOKUP(D5185,upahbahan,3,FALSE)</f>
        <v>0</v>
      </c>
      <c r="H5185" s="210">
        <f t="shared" si="378"/>
        <v>0</v>
      </c>
      <c r="L5185" s="200"/>
      <c r="M5185" s="200"/>
      <c r="N5185" s="200"/>
      <c r="O5185" s="200"/>
      <c r="P5185" s="200"/>
    </row>
    <row r="5186" spans="3:20" s="517" customFormat="1" ht="31.2" customHeight="1">
      <c r="C5186" s="754" t="s">
        <v>5299</v>
      </c>
      <c r="D5186" s="750" t="s">
        <v>5566</v>
      </c>
      <c r="E5186" s="203" t="s">
        <v>42</v>
      </c>
      <c r="F5186" s="753">
        <v>3.0000000000000001E-3</v>
      </c>
      <c r="G5186" s="205">
        <f>VLOOKUP(D5186,upahbahan,3,FALSE)</f>
        <v>0</v>
      </c>
      <c r="H5186" s="210">
        <f t="shared" si="378"/>
        <v>0</v>
      </c>
      <c r="L5186" s="200"/>
      <c r="M5186" s="200"/>
      <c r="N5186" s="200"/>
      <c r="O5186" s="200"/>
      <c r="P5186" s="200"/>
    </row>
    <row r="5187" spans="3:20" s="517" customFormat="1" ht="31.2" customHeight="1">
      <c r="C5187" s="754" t="s">
        <v>5558</v>
      </c>
      <c r="D5187" s="750" t="s">
        <v>2325</v>
      </c>
      <c r="E5187" s="203" t="s">
        <v>42</v>
      </c>
      <c r="F5187" s="755">
        <v>1E-3</v>
      </c>
      <c r="G5187" s="205">
        <f>VLOOKUP(D5187,upahbahan,3,FALSE)</f>
        <v>0</v>
      </c>
      <c r="H5187" s="210">
        <f t="shared" si="378"/>
        <v>0</v>
      </c>
      <c r="L5187" s="200"/>
      <c r="M5187" s="200"/>
      <c r="N5187" s="200"/>
      <c r="O5187" s="200"/>
      <c r="P5187" s="200"/>
    </row>
    <row r="5188" spans="3:20" s="517" customFormat="1" ht="31.2" customHeight="1">
      <c r="C5188" s="207" t="s">
        <v>1214</v>
      </c>
      <c r="D5188" s="208"/>
      <c r="E5188" s="568"/>
      <c r="F5188" s="208"/>
      <c r="G5188" s="209"/>
      <c r="H5188" s="210">
        <f>SUM(H5182:H5187)</f>
        <v>0</v>
      </c>
      <c r="L5188" s="200"/>
      <c r="M5188" s="200"/>
      <c r="N5188" s="200"/>
      <c r="O5188" s="200"/>
      <c r="P5188" s="200"/>
    </row>
    <row r="5189" spans="3:20" s="517" customFormat="1" ht="31.2" customHeight="1">
      <c r="C5189" s="756" t="s">
        <v>1215</v>
      </c>
      <c r="D5189" s="196" t="s">
        <v>1216</v>
      </c>
      <c r="E5189" s="203"/>
      <c r="F5189" s="197"/>
      <c r="G5189" s="197"/>
      <c r="H5189" s="198"/>
      <c r="L5189" s="200"/>
      <c r="M5189" s="200"/>
      <c r="N5189" s="200"/>
      <c r="O5189" s="200"/>
      <c r="P5189" s="200"/>
    </row>
    <row r="5190" spans="3:20" s="517" customFormat="1" ht="31.2" customHeight="1">
      <c r="C5190" s="207" t="s">
        <v>1217</v>
      </c>
      <c r="D5190" s="208"/>
      <c r="E5190" s="208"/>
      <c r="F5190" s="208"/>
      <c r="G5190" s="209"/>
      <c r="H5190" s="240">
        <f>SUM(H5189)</f>
        <v>0</v>
      </c>
      <c r="L5190" s="200"/>
      <c r="M5190" s="200"/>
      <c r="N5190" s="200"/>
      <c r="O5190" s="200"/>
      <c r="P5190" s="200"/>
    </row>
    <row r="5191" spans="3:20" s="517" customFormat="1" ht="31.2" customHeight="1">
      <c r="C5191" s="223" t="s">
        <v>1218</v>
      </c>
      <c r="D5191" s="224" t="s">
        <v>1219</v>
      </c>
      <c r="E5191" s="225"/>
      <c r="F5191" s="225"/>
      <c r="G5191" s="226"/>
      <c r="H5191" s="210">
        <f>H5190+H5188+H5180</f>
        <v>11778</v>
      </c>
      <c r="L5191" s="200"/>
      <c r="M5191" s="200"/>
      <c r="N5191" s="200"/>
      <c r="O5191" s="200"/>
      <c r="P5191" s="200"/>
    </row>
    <row r="5192" spans="3:20" s="517" customFormat="1" ht="31.2" customHeight="1">
      <c r="C5192" s="223" t="s">
        <v>1220</v>
      </c>
      <c r="D5192" s="224" t="s">
        <v>1321</v>
      </c>
      <c r="E5192" s="225"/>
      <c r="F5192" s="226"/>
      <c r="G5192" s="228">
        <v>0.1</v>
      </c>
      <c r="H5192" s="210">
        <f>H5191*G5192</f>
        <v>1177.8</v>
      </c>
      <c r="L5192" s="200"/>
      <c r="M5192" s="200"/>
      <c r="N5192" s="200"/>
      <c r="O5192" s="200"/>
      <c r="P5192" s="200"/>
    </row>
    <row r="5193" spans="3:20" s="517" customFormat="1" ht="31.2" customHeight="1" thickBot="1">
      <c r="C5193" s="229" t="s">
        <v>1221</v>
      </c>
      <c r="D5193" s="230" t="s">
        <v>1222</v>
      </c>
      <c r="E5193" s="231"/>
      <c r="F5193" s="231"/>
      <c r="G5193" s="232"/>
      <c r="H5193" s="233">
        <f>SUM(H5191:H5192)</f>
        <v>12955.8</v>
      </c>
      <c r="L5193" s="200"/>
      <c r="M5193" s="200"/>
      <c r="N5193" s="200"/>
      <c r="O5193" s="200"/>
      <c r="P5193" s="200"/>
    </row>
    <row r="5194" spans="3:20" ht="31.2" customHeight="1" thickTop="1">
      <c r="D5194" s="758"/>
    </row>
    <row r="5195" spans="3:20" ht="31.2" customHeight="1">
      <c r="C5195" s="757" t="s">
        <v>6950</v>
      </c>
      <c r="F5195" s="758"/>
      <c r="H5195" s="758" t="s">
        <v>6959</v>
      </c>
    </row>
    <row r="5196" spans="3:20" ht="31.2" customHeight="1">
      <c r="C5196" s="200" t="s">
        <v>6951</v>
      </c>
      <c r="F5196" s="758"/>
    </row>
    <row r="5197" spans="3:20" ht="31.2" customHeight="1">
      <c r="C5197" s="200" t="s">
        <v>6952</v>
      </c>
      <c r="F5197" s="758"/>
    </row>
    <row r="5198" spans="3:20" ht="31.2" customHeight="1">
      <c r="C5198" s="200"/>
      <c r="F5198" s="758"/>
    </row>
    <row r="5199" spans="3:20" s="517" customFormat="1" ht="31.2" customHeight="1" thickBot="1">
      <c r="C5199" s="513" t="s">
        <v>7433</v>
      </c>
      <c r="D5199" s="748" t="s">
        <v>7434</v>
      </c>
      <c r="E5199" s="749"/>
      <c r="F5199" s="748"/>
      <c r="G5199" s="748"/>
      <c r="H5199" s="532"/>
      <c r="I5199" s="532"/>
      <c r="J5199" s="532"/>
      <c r="K5199" s="532"/>
      <c r="M5199" s="189"/>
      <c r="N5199" s="189"/>
      <c r="O5199" s="189"/>
      <c r="P5199" s="189"/>
      <c r="R5199" s="189">
        <f>ROUNDDOWN(H5218,-2)</f>
        <v>12900</v>
      </c>
      <c r="S5199" s="517" t="s">
        <v>6451</v>
      </c>
      <c r="T5199" s="517" t="s">
        <v>7014</v>
      </c>
    </row>
    <row r="5200" spans="3:20" s="517" customFormat="1" ht="31.2" customHeight="1" thickTop="1">
      <c r="C5200" s="190" t="s">
        <v>1195</v>
      </c>
      <c r="D5200" s="191" t="s">
        <v>1196</v>
      </c>
      <c r="E5200" s="191" t="s">
        <v>1197</v>
      </c>
      <c r="F5200" s="191" t="s">
        <v>1198</v>
      </c>
      <c r="G5200" s="191" t="s">
        <v>1199</v>
      </c>
      <c r="H5200" s="192" t="s">
        <v>1200</v>
      </c>
      <c r="L5200" s="200"/>
      <c r="M5200" s="200"/>
      <c r="N5200" s="200"/>
      <c r="O5200" s="200"/>
      <c r="P5200" s="200"/>
    </row>
    <row r="5201" spans="3:16" s="517" customFormat="1" ht="31.2" customHeight="1">
      <c r="C5201" s="518" t="s">
        <v>1201</v>
      </c>
      <c r="D5201" s="196" t="s">
        <v>1202</v>
      </c>
      <c r="E5201" s="197"/>
      <c r="F5201" s="197"/>
      <c r="G5201" s="197"/>
      <c r="H5201" s="198"/>
      <c r="L5201" s="200"/>
      <c r="M5201" s="200"/>
      <c r="N5201" s="200"/>
      <c r="O5201" s="200"/>
      <c r="P5201" s="200"/>
    </row>
    <row r="5202" spans="3:16" s="517" customFormat="1" ht="31.2" customHeight="1">
      <c r="C5202" s="537">
        <v>1</v>
      </c>
      <c r="D5202" s="196" t="s">
        <v>6954</v>
      </c>
      <c r="E5202" s="202" t="s">
        <v>6</v>
      </c>
      <c r="F5202" s="520">
        <v>0.05</v>
      </c>
      <c r="G5202" s="205">
        <f>VLOOKUP(D5202,upahbahan,3,FALSE)</f>
        <v>181250</v>
      </c>
      <c r="H5202" s="210">
        <f t="shared" ref="H5202:H5204" si="379">F5202*G5202</f>
        <v>9062.5</v>
      </c>
      <c r="L5202" s="200"/>
      <c r="M5202" s="200"/>
      <c r="N5202" s="200"/>
      <c r="O5202" s="200"/>
      <c r="P5202" s="200"/>
    </row>
    <row r="5203" spans="3:16" s="517" customFormat="1" ht="31.2" customHeight="1">
      <c r="C5203" s="537">
        <v>2</v>
      </c>
      <c r="D5203" s="196" t="s">
        <v>6948</v>
      </c>
      <c r="E5203" s="202" t="s">
        <v>2102</v>
      </c>
      <c r="F5203" s="520">
        <v>0.01</v>
      </c>
      <c r="G5203" s="205">
        <f>VLOOKUP(D5203,upahbahan,3,FALSE)</f>
        <v>218750</v>
      </c>
      <c r="H5203" s="210">
        <f t="shared" si="379"/>
        <v>2187.5</v>
      </c>
      <c r="L5203" s="200"/>
      <c r="M5203" s="200"/>
      <c r="N5203" s="200"/>
      <c r="O5203" s="200"/>
      <c r="P5203" s="200"/>
    </row>
    <row r="5204" spans="3:16" s="517" customFormat="1" ht="31.2" customHeight="1">
      <c r="C5204" s="537">
        <v>3</v>
      </c>
      <c r="D5204" s="196" t="s">
        <v>19</v>
      </c>
      <c r="E5204" s="202" t="s">
        <v>6</v>
      </c>
      <c r="F5204" s="520">
        <v>3.3E-3</v>
      </c>
      <c r="G5204" s="205">
        <f>VLOOKUP(D5204,upahbahan,3,FALSE)</f>
        <v>160000</v>
      </c>
      <c r="H5204" s="210">
        <f t="shared" si="379"/>
        <v>528</v>
      </c>
      <c r="L5204" s="200"/>
      <c r="M5204" s="200"/>
      <c r="N5204" s="200"/>
      <c r="O5204" s="200"/>
      <c r="P5204" s="200"/>
    </row>
    <row r="5205" spans="3:16" s="517" customFormat="1" ht="31.2" customHeight="1">
      <c r="C5205" s="207" t="s">
        <v>1208</v>
      </c>
      <c r="D5205" s="208"/>
      <c r="E5205" s="208"/>
      <c r="F5205" s="521"/>
      <c r="G5205" s="522"/>
      <c r="H5205" s="210">
        <f>SUM(H5202:H5204)</f>
        <v>11778</v>
      </c>
      <c r="L5205" s="523"/>
      <c r="M5205" s="523"/>
      <c r="N5205" s="523"/>
      <c r="O5205" s="523"/>
      <c r="P5205" s="523"/>
    </row>
    <row r="5206" spans="3:16" s="517" customFormat="1" ht="31.2" customHeight="1">
      <c r="C5206" s="543" t="s">
        <v>1209</v>
      </c>
      <c r="D5206" s="750" t="s">
        <v>1210</v>
      </c>
      <c r="E5206" s="197"/>
      <c r="F5206" s="751"/>
      <c r="G5206" s="197"/>
      <c r="H5206" s="752"/>
      <c r="L5206" s="200"/>
      <c r="M5206" s="200"/>
      <c r="N5206" s="200"/>
      <c r="O5206" s="200"/>
      <c r="P5206" s="200"/>
    </row>
    <row r="5207" spans="3:16" s="517" customFormat="1" ht="31.2" customHeight="1">
      <c r="C5207" s="543">
        <v>1</v>
      </c>
      <c r="D5207" s="750" t="s">
        <v>7435</v>
      </c>
      <c r="E5207" s="203" t="s">
        <v>44</v>
      </c>
      <c r="F5207" s="760">
        <v>16</v>
      </c>
      <c r="G5207" s="205">
        <f>VLOOKUP(D5207,upahbahan,3,FALSE)</f>
        <v>0</v>
      </c>
      <c r="H5207" s="210">
        <f t="shared" ref="H5207:H5212" si="380">F5207*G5207</f>
        <v>0</v>
      </c>
      <c r="L5207" s="200"/>
      <c r="M5207" s="200"/>
      <c r="N5207" s="200"/>
      <c r="O5207" s="200"/>
      <c r="P5207" s="200"/>
    </row>
    <row r="5208" spans="3:16" s="517" customFormat="1" ht="31.2" customHeight="1">
      <c r="C5208" s="543">
        <v>2</v>
      </c>
      <c r="D5208" s="750" t="s">
        <v>5563</v>
      </c>
      <c r="E5208" s="203" t="s">
        <v>65</v>
      </c>
      <c r="F5208" s="760">
        <v>0.01</v>
      </c>
      <c r="G5208" s="205">
        <f>VLOOKUP(D5208,upahbahan,3,FALSE)</f>
        <v>0</v>
      </c>
      <c r="H5208" s="210">
        <f t="shared" si="380"/>
        <v>0</v>
      </c>
      <c r="L5208" s="200"/>
      <c r="M5208" s="200"/>
      <c r="N5208" s="200"/>
      <c r="O5208" s="200"/>
      <c r="P5208" s="200"/>
    </row>
    <row r="5209" spans="3:16" s="517" customFormat="1" ht="31.2" customHeight="1">
      <c r="C5209" s="543">
        <v>3</v>
      </c>
      <c r="D5209" s="750" t="s">
        <v>5556</v>
      </c>
      <c r="E5209" s="203"/>
      <c r="F5209" s="753"/>
      <c r="G5209" s="197"/>
      <c r="H5209" s="210">
        <f t="shared" si="380"/>
        <v>0</v>
      </c>
      <c r="L5209" s="200"/>
      <c r="M5209" s="200"/>
      <c r="N5209" s="200"/>
      <c r="O5209" s="200"/>
      <c r="P5209" s="200"/>
    </row>
    <row r="5210" spans="3:16" s="517" customFormat="1" ht="31.2" customHeight="1">
      <c r="C5210" s="754" t="s">
        <v>5293</v>
      </c>
      <c r="D5210" s="750" t="s">
        <v>2084</v>
      </c>
      <c r="E5210" s="203" t="s">
        <v>42</v>
      </c>
      <c r="F5210" s="753">
        <v>1.0999999999999999E-2</v>
      </c>
      <c r="G5210" s="205">
        <f>VLOOKUP(D5210,upahbahan,3,FALSE)</f>
        <v>0</v>
      </c>
      <c r="H5210" s="210">
        <f t="shared" si="380"/>
        <v>0</v>
      </c>
      <c r="L5210" s="200"/>
      <c r="M5210" s="200"/>
      <c r="N5210" s="200"/>
      <c r="O5210" s="200"/>
      <c r="P5210" s="200"/>
    </row>
    <row r="5211" spans="3:16" s="517" customFormat="1" ht="31.2" customHeight="1">
      <c r="C5211" s="754" t="s">
        <v>5299</v>
      </c>
      <c r="D5211" s="750" t="s">
        <v>5566</v>
      </c>
      <c r="E5211" s="203" t="s">
        <v>42</v>
      </c>
      <c r="F5211" s="753">
        <v>3.0000000000000001E-3</v>
      </c>
      <c r="G5211" s="205">
        <f>VLOOKUP(D5211,upahbahan,3,FALSE)</f>
        <v>0</v>
      </c>
      <c r="H5211" s="210">
        <f t="shared" si="380"/>
        <v>0</v>
      </c>
      <c r="L5211" s="200"/>
      <c r="M5211" s="200"/>
      <c r="N5211" s="200"/>
      <c r="O5211" s="200"/>
      <c r="P5211" s="200"/>
    </row>
    <row r="5212" spans="3:16" s="517" customFormat="1" ht="31.2" customHeight="1">
      <c r="C5212" s="754" t="s">
        <v>5558</v>
      </c>
      <c r="D5212" s="750" t="s">
        <v>2325</v>
      </c>
      <c r="E5212" s="203" t="s">
        <v>42</v>
      </c>
      <c r="F5212" s="755">
        <v>1E-3</v>
      </c>
      <c r="G5212" s="205">
        <f>VLOOKUP(D5212,upahbahan,3,FALSE)</f>
        <v>0</v>
      </c>
      <c r="H5212" s="210">
        <f t="shared" si="380"/>
        <v>0</v>
      </c>
      <c r="L5212" s="200"/>
      <c r="M5212" s="200"/>
      <c r="N5212" s="200"/>
      <c r="O5212" s="200"/>
      <c r="P5212" s="200"/>
    </row>
    <row r="5213" spans="3:16" s="517" customFormat="1" ht="31.2" customHeight="1">
      <c r="C5213" s="207" t="s">
        <v>1214</v>
      </c>
      <c r="D5213" s="208"/>
      <c r="E5213" s="568"/>
      <c r="F5213" s="208"/>
      <c r="G5213" s="209"/>
      <c r="H5213" s="210">
        <f>SUM(H5207:H5212)</f>
        <v>0</v>
      </c>
      <c r="L5213" s="200"/>
      <c r="M5213" s="200"/>
      <c r="N5213" s="200"/>
      <c r="O5213" s="200"/>
      <c r="P5213" s="200"/>
    </row>
    <row r="5214" spans="3:16" s="517" customFormat="1" ht="31.2" customHeight="1">
      <c r="C5214" s="756" t="s">
        <v>1215</v>
      </c>
      <c r="D5214" s="196" t="s">
        <v>1216</v>
      </c>
      <c r="E5214" s="203"/>
      <c r="F5214" s="197"/>
      <c r="G5214" s="197"/>
      <c r="H5214" s="198"/>
      <c r="L5214" s="200"/>
      <c r="M5214" s="200"/>
      <c r="N5214" s="200"/>
      <c r="O5214" s="200"/>
      <c r="P5214" s="200"/>
    </row>
    <row r="5215" spans="3:16" s="517" customFormat="1" ht="31.2" customHeight="1">
      <c r="C5215" s="207" t="s">
        <v>1217</v>
      </c>
      <c r="D5215" s="208"/>
      <c r="E5215" s="208"/>
      <c r="F5215" s="208"/>
      <c r="G5215" s="209"/>
      <c r="H5215" s="240">
        <f>SUM(H5214)</f>
        <v>0</v>
      </c>
      <c r="L5215" s="200"/>
      <c r="M5215" s="200"/>
      <c r="N5215" s="200"/>
      <c r="O5215" s="200"/>
      <c r="P5215" s="200"/>
    </row>
    <row r="5216" spans="3:16" s="517" customFormat="1" ht="31.2" customHeight="1">
      <c r="C5216" s="223" t="s">
        <v>1218</v>
      </c>
      <c r="D5216" s="224" t="s">
        <v>1219</v>
      </c>
      <c r="E5216" s="225"/>
      <c r="F5216" s="225"/>
      <c r="G5216" s="226"/>
      <c r="H5216" s="210">
        <f>H5215+H5213+H5205</f>
        <v>11778</v>
      </c>
      <c r="L5216" s="200"/>
      <c r="M5216" s="200"/>
      <c r="N5216" s="200"/>
      <c r="O5216" s="200"/>
      <c r="P5216" s="200"/>
    </row>
    <row r="5217" spans="3:20" s="517" customFormat="1" ht="31.2" customHeight="1">
      <c r="C5217" s="223" t="s">
        <v>1220</v>
      </c>
      <c r="D5217" s="224" t="s">
        <v>1321</v>
      </c>
      <c r="E5217" s="225"/>
      <c r="F5217" s="226"/>
      <c r="G5217" s="228">
        <v>0.1</v>
      </c>
      <c r="H5217" s="210">
        <f>H5216*G5217</f>
        <v>1177.8</v>
      </c>
      <c r="L5217" s="200"/>
      <c r="M5217" s="200"/>
      <c r="N5217" s="200"/>
      <c r="O5217" s="200"/>
      <c r="P5217" s="200"/>
    </row>
    <row r="5218" spans="3:20" s="517" customFormat="1" ht="31.2" customHeight="1" thickBot="1">
      <c r="C5218" s="229" t="s">
        <v>1221</v>
      </c>
      <c r="D5218" s="230" t="s">
        <v>1222</v>
      </c>
      <c r="E5218" s="231"/>
      <c r="F5218" s="231"/>
      <c r="G5218" s="232"/>
      <c r="H5218" s="233">
        <f>SUM(H5216:H5217)</f>
        <v>12955.8</v>
      </c>
      <c r="L5218" s="200"/>
      <c r="M5218" s="200"/>
      <c r="N5218" s="200"/>
      <c r="O5218" s="200"/>
      <c r="P5218" s="200"/>
    </row>
    <row r="5219" spans="3:20" ht="31.2" customHeight="1" thickTop="1">
      <c r="D5219" s="758"/>
    </row>
    <row r="5220" spans="3:20" ht="31.2" customHeight="1">
      <c r="C5220" s="757" t="s">
        <v>6950</v>
      </c>
      <c r="F5220" s="758"/>
      <c r="H5220" s="758" t="s">
        <v>6959</v>
      </c>
    </row>
    <row r="5221" spans="3:20" ht="31.2" customHeight="1">
      <c r="C5221" s="200" t="s">
        <v>6951</v>
      </c>
      <c r="F5221" s="758"/>
    </row>
    <row r="5222" spans="3:20" ht="31.2" customHeight="1">
      <c r="C5222" s="200" t="s">
        <v>6952</v>
      </c>
      <c r="F5222" s="758"/>
    </row>
    <row r="5223" spans="3:20" ht="31.2" customHeight="1">
      <c r="C5223" s="200"/>
      <c r="F5223" s="758"/>
    </row>
    <row r="5224" spans="3:20" s="517" customFormat="1" ht="31.2" customHeight="1" thickBot="1">
      <c r="C5224" s="513" t="s">
        <v>7436</v>
      </c>
      <c r="D5224" s="748" t="s">
        <v>7437</v>
      </c>
      <c r="E5224" s="749"/>
      <c r="F5224" s="748"/>
      <c r="G5224" s="748"/>
      <c r="H5224" s="532"/>
      <c r="I5224" s="532"/>
      <c r="J5224" s="532"/>
      <c r="K5224" s="532"/>
      <c r="M5224" s="189"/>
      <c r="N5224" s="189"/>
      <c r="O5224" s="189"/>
      <c r="P5224" s="189"/>
      <c r="R5224" s="189">
        <f>ROUNDDOWN(H5243,-2)</f>
        <v>12900</v>
      </c>
      <c r="S5224" s="517" t="s">
        <v>6451</v>
      </c>
      <c r="T5224" s="517" t="s">
        <v>7014</v>
      </c>
    </row>
    <row r="5225" spans="3:20" s="517" customFormat="1" ht="31.2" customHeight="1" thickTop="1">
      <c r="C5225" s="190" t="s">
        <v>1195</v>
      </c>
      <c r="D5225" s="191" t="s">
        <v>1196</v>
      </c>
      <c r="E5225" s="191" t="s">
        <v>1197</v>
      </c>
      <c r="F5225" s="191" t="s">
        <v>1198</v>
      </c>
      <c r="G5225" s="191" t="s">
        <v>1199</v>
      </c>
      <c r="H5225" s="192" t="s">
        <v>1200</v>
      </c>
      <c r="L5225" s="200"/>
      <c r="M5225" s="200"/>
      <c r="N5225" s="200"/>
      <c r="O5225" s="200"/>
      <c r="P5225" s="200"/>
    </row>
    <row r="5226" spans="3:20" s="517" customFormat="1" ht="31.2" customHeight="1">
      <c r="C5226" s="518" t="s">
        <v>1201</v>
      </c>
      <c r="D5226" s="196" t="s">
        <v>1202</v>
      </c>
      <c r="E5226" s="197"/>
      <c r="F5226" s="197"/>
      <c r="G5226" s="197"/>
      <c r="H5226" s="198"/>
      <c r="L5226" s="200"/>
      <c r="M5226" s="200"/>
      <c r="N5226" s="200"/>
      <c r="O5226" s="200"/>
      <c r="P5226" s="200"/>
    </row>
    <row r="5227" spans="3:20" s="517" customFormat="1" ht="31.2" customHeight="1">
      <c r="C5227" s="537">
        <v>1</v>
      </c>
      <c r="D5227" s="196" t="s">
        <v>6954</v>
      </c>
      <c r="E5227" s="202" t="s">
        <v>6</v>
      </c>
      <c r="F5227" s="520">
        <v>0.05</v>
      </c>
      <c r="G5227" s="205">
        <f>VLOOKUP(D5227,upahbahan,3,FALSE)</f>
        <v>181250</v>
      </c>
      <c r="H5227" s="210">
        <f t="shared" ref="H5227:H5229" si="381">F5227*G5227</f>
        <v>9062.5</v>
      </c>
      <c r="L5227" s="200"/>
      <c r="M5227" s="200"/>
      <c r="N5227" s="200"/>
      <c r="O5227" s="200"/>
      <c r="P5227" s="200"/>
    </row>
    <row r="5228" spans="3:20" s="517" customFormat="1" ht="31.2" customHeight="1">
      <c r="C5228" s="537">
        <v>2</v>
      </c>
      <c r="D5228" s="196" t="s">
        <v>6948</v>
      </c>
      <c r="E5228" s="202" t="s">
        <v>2102</v>
      </c>
      <c r="F5228" s="520">
        <v>0.01</v>
      </c>
      <c r="G5228" s="205">
        <f>VLOOKUP(D5228,upahbahan,3,FALSE)</f>
        <v>218750</v>
      </c>
      <c r="H5228" s="210">
        <f t="shared" si="381"/>
        <v>2187.5</v>
      </c>
      <c r="L5228" s="200"/>
      <c r="M5228" s="200"/>
      <c r="N5228" s="200"/>
      <c r="O5228" s="200"/>
      <c r="P5228" s="200"/>
    </row>
    <row r="5229" spans="3:20" s="517" customFormat="1" ht="31.2" customHeight="1">
      <c r="C5229" s="537">
        <v>3</v>
      </c>
      <c r="D5229" s="196" t="s">
        <v>19</v>
      </c>
      <c r="E5229" s="202" t="s">
        <v>6</v>
      </c>
      <c r="F5229" s="520">
        <v>3.3E-3</v>
      </c>
      <c r="G5229" s="205">
        <f>VLOOKUP(D5229,upahbahan,3,FALSE)</f>
        <v>160000</v>
      </c>
      <c r="H5229" s="210">
        <f t="shared" si="381"/>
        <v>528</v>
      </c>
      <c r="L5229" s="200"/>
      <c r="M5229" s="200"/>
      <c r="N5229" s="200"/>
      <c r="O5229" s="200"/>
      <c r="P5229" s="200"/>
    </row>
    <row r="5230" spans="3:20" s="517" customFormat="1" ht="31.2" customHeight="1">
      <c r="C5230" s="207" t="s">
        <v>1208</v>
      </c>
      <c r="D5230" s="208"/>
      <c r="E5230" s="208"/>
      <c r="F5230" s="521"/>
      <c r="G5230" s="522"/>
      <c r="H5230" s="210">
        <f>SUM(H5227:H5229)</f>
        <v>11778</v>
      </c>
      <c r="L5230" s="523"/>
      <c r="M5230" s="523"/>
      <c r="N5230" s="523"/>
      <c r="O5230" s="523"/>
      <c r="P5230" s="523"/>
    </row>
    <row r="5231" spans="3:20" s="517" customFormat="1" ht="31.2" customHeight="1">
      <c r="C5231" s="543" t="s">
        <v>1209</v>
      </c>
      <c r="D5231" s="750" t="s">
        <v>1210</v>
      </c>
      <c r="E5231" s="197"/>
      <c r="F5231" s="751"/>
      <c r="G5231" s="197"/>
      <c r="H5231" s="752"/>
      <c r="L5231" s="200"/>
      <c r="M5231" s="200"/>
      <c r="N5231" s="200"/>
      <c r="O5231" s="200"/>
      <c r="P5231" s="200"/>
    </row>
    <row r="5232" spans="3:20" s="517" customFormat="1" ht="31.2" customHeight="1">
      <c r="C5232" s="543">
        <v>1</v>
      </c>
      <c r="D5232" s="750" t="s">
        <v>7438</v>
      </c>
      <c r="E5232" s="203" t="s">
        <v>44</v>
      </c>
      <c r="F5232" s="760">
        <v>16</v>
      </c>
      <c r="G5232" s="205">
        <f>VLOOKUP(D5232,upahbahan,3,FALSE)</f>
        <v>0</v>
      </c>
      <c r="H5232" s="210">
        <f t="shared" ref="H5232:H5237" si="382">F5232*G5232</f>
        <v>0</v>
      </c>
      <c r="L5232" s="200"/>
      <c r="M5232" s="200"/>
      <c r="N5232" s="200"/>
      <c r="O5232" s="200"/>
      <c r="P5232" s="200"/>
    </row>
    <row r="5233" spans="3:16" s="517" customFormat="1" ht="31.2" customHeight="1">
      <c r="C5233" s="543">
        <v>2</v>
      </c>
      <c r="D5233" s="750" t="s">
        <v>5563</v>
      </c>
      <c r="E5233" s="203" t="s">
        <v>65</v>
      </c>
      <c r="F5233" s="760">
        <v>0.01</v>
      </c>
      <c r="G5233" s="205">
        <f>VLOOKUP(D5233,upahbahan,3,FALSE)</f>
        <v>0</v>
      </c>
      <c r="H5233" s="210">
        <f t="shared" si="382"/>
        <v>0</v>
      </c>
      <c r="L5233" s="200"/>
      <c r="M5233" s="200"/>
      <c r="N5233" s="200"/>
      <c r="O5233" s="200"/>
      <c r="P5233" s="200"/>
    </row>
    <row r="5234" spans="3:16" s="517" customFormat="1" ht="31.2" customHeight="1">
      <c r="C5234" s="543">
        <v>3</v>
      </c>
      <c r="D5234" s="750" t="s">
        <v>5556</v>
      </c>
      <c r="E5234" s="203"/>
      <c r="F5234" s="753"/>
      <c r="G5234" s="197"/>
      <c r="H5234" s="210">
        <f t="shared" si="382"/>
        <v>0</v>
      </c>
      <c r="L5234" s="200"/>
      <c r="M5234" s="200"/>
      <c r="N5234" s="200"/>
      <c r="O5234" s="200"/>
      <c r="P5234" s="200"/>
    </row>
    <row r="5235" spans="3:16" s="517" customFormat="1" ht="31.2" customHeight="1">
      <c r="C5235" s="754" t="s">
        <v>5293</v>
      </c>
      <c r="D5235" s="750" t="s">
        <v>2084</v>
      </c>
      <c r="E5235" s="203" t="s">
        <v>42</v>
      </c>
      <c r="F5235" s="753">
        <v>1.0999999999999999E-2</v>
      </c>
      <c r="G5235" s="205">
        <f>VLOOKUP(D5235,upahbahan,3,FALSE)</f>
        <v>0</v>
      </c>
      <c r="H5235" s="210">
        <f t="shared" si="382"/>
        <v>0</v>
      </c>
      <c r="L5235" s="200"/>
      <c r="M5235" s="200"/>
      <c r="N5235" s="200"/>
      <c r="O5235" s="200"/>
      <c r="P5235" s="200"/>
    </row>
    <row r="5236" spans="3:16" s="517" customFormat="1" ht="31.2" customHeight="1">
      <c r="C5236" s="754" t="s">
        <v>5299</v>
      </c>
      <c r="D5236" s="750" t="s">
        <v>5566</v>
      </c>
      <c r="E5236" s="203" t="s">
        <v>42</v>
      </c>
      <c r="F5236" s="753">
        <v>3.0000000000000001E-3</v>
      </c>
      <c r="G5236" s="205">
        <f>VLOOKUP(D5236,upahbahan,3,FALSE)</f>
        <v>0</v>
      </c>
      <c r="H5236" s="210">
        <f t="shared" si="382"/>
        <v>0</v>
      </c>
      <c r="L5236" s="200"/>
      <c r="M5236" s="200"/>
      <c r="N5236" s="200"/>
      <c r="O5236" s="200"/>
      <c r="P5236" s="200"/>
    </row>
    <row r="5237" spans="3:16" s="517" customFormat="1" ht="31.2" customHeight="1">
      <c r="C5237" s="754" t="s">
        <v>5558</v>
      </c>
      <c r="D5237" s="750" t="s">
        <v>2325</v>
      </c>
      <c r="E5237" s="203" t="s">
        <v>42</v>
      </c>
      <c r="F5237" s="755">
        <v>1E-3</v>
      </c>
      <c r="G5237" s="205">
        <f>VLOOKUP(D5237,upahbahan,3,FALSE)</f>
        <v>0</v>
      </c>
      <c r="H5237" s="210">
        <f t="shared" si="382"/>
        <v>0</v>
      </c>
      <c r="L5237" s="200"/>
      <c r="M5237" s="200"/>
      <c r="N5237" s="200"/>
      <c r="O5237" s="200"/>
      <c r="P5237" s="200"/>
    </row>
    <row r="5238" spans="3:16" s="517" customFormat="1" ht="31.2" customHeight="1">
      <c r="C5238" s="207" t="s">
        <v>1214</v>
      </c>
      <c r="D5238" s="208"/>
      <c r="E5238" s="568"/>
      <c r="F5238" s="208"/>
      <c r="G5238" s="209"/>
      <c r="H5238" s="210">
        <f>SUM(H5232:H5237)</f>
        <v>0</v>
      </c>
      <c r="L5238" s="200"/>
      <c r="M5238" s="200"/>
      <c r="N5238" s="200"/>
      <c r="O5238" s="200"/>
      <c r="P5238" s="200"/>
    </row>
    <row r="5239" spans="3:16" s="517" customFormat="1" ht="31.2" customHeight="1">
      <c r="C5239" s="756" t="s">
        <v>1215</v>
      </c>
      <c r="D5239" s="196" t="s">
        <v>1216</v>
      </c>
      <c r="E5239" s="203"/>
      <c r="F5239" s="197"/>
      <c r="G5239" s="197"/>
      <c r="H5239" s="198"/>
      <c r="L5239" s="200"/>
      <c r="M5239" s="200"/>
      <c r="N5239" s="200"/>
      <c r="O5239" s="200"/>
      <c r="P5239" s="200"/>
    </row>
    <row r="5240" spans="3:16" s="517" customFormat="1" ht="31.2" customHeight="1">
      <c r="C5240" s="207" t="s">
        <v>1217</v>
      </c>
      <c r="D5240" s="208"/>
      <c r="E5240" s="208"/>
      <c r="F5240" s="208"/>
      <c r="G5240" s="209"/>
      <c r="H5240" s="240">
        <f>SUM(H5239)</f>
        <v>0</v>
      </c>
      <c r="L5240" s="200"/>
      <c r="M5240" s="200"/>
      <c r="N5240" s="200"/>
      <c r="O5240" s="200"/>
      <c r="P5240" s="200"/>
    </row>
    <row r="5241" spans="3:16" s="517" customFormat="1" ht="31.2" customHeight="1">
      <c r="C5241" s="223" t="s">
        <v>1218</v>
      </c>
      <c r="D5241" s="224" t="s">
        <v>1219</v>
      </c>
      <c r="E5241" s="225"/>
      <c r="F5241" s="225"/>
      <c r="G5241" s="226"/>
      <c r="H5241" s="210">
        <f>H5240+H5238+H5230</f>
        <v>11778</v>
      </c>
      <c r="L5241" s="200"/>
      <c r="M5241" s="200"/>
      <c r="N5241" s="200"/>
      <c r="O5241" s="200"/>
      <c r="P5241" s="200"/>
    </row>
    <row r="5242" spans="3:16" s="517" customFormat="1" ht="31.2" customHeight="1">
      <c r="C5242" s="223" t="s">
        <v>1220</v>
      </c>
      <c r="D5242" s="224" t="s">
        <v>1321</v>
      </c>
      <c r="E5242" s="225"/>
      <c r="F5242" s="226"/>
      <c r="G5242" s="228">
        <v>0.1</v>
      </c>
      <c r="H5242" s="210">
        <f>H5241*G5242</f>
        <v>1177.8</v>
      </c>
      <c r="L5242" s="200"/>
      <c r="M5242" s="200"/>
      <c r="N5242" s="200"/>
      <c r="O5242" s="200"/>
      <c r="P5242" s="200"/>
    </row>
    <row r="5243" spans="3:16" s="517" customFormat="1" ht="31.2" customHeight="1" thickBot="1">
      <c r="C5243" s="229" t="s">
        <v>1221</v>
      </c>
      <c r="D5243" s="230" t="s">
        <v>1222</v>
      </c>
      <c r="E5243" s="231"/>
      <c r="F5243" s="231"/>
      <c r="G5243" s="232"/>
      <c r="H5243" s="233">
        <f>SUM(H5241:H5242)</f>
        <v>12955.8</v>
      </c>
      <c r="L5243" s="200"/>
      <c r="M5243" s="200"/>
      <c r="N5243" s="200"/>
      <c r="O5243" s="200"/>
      <c r="P5243" s="200"/>
    </row>
    <row r="5244" spans="3:16" ht="31.2" customHeight="1" thickTop="1">
      <c r="D5244" s="758"/>
    </row>
    <row r="5245" spans="3:16" ht="31.2" customHeight="1">
      <c r="C5245" s="757" t="s">
        <v>6950</v>
      </c>
      <c r="F5245" s="758"/>
      <c r="H5245" s="758" t="s">
        <v>6959</v>
      </c>
    </row>
    <row r="5246" spans="3:16" ht="31.2" customHeight="1">
      <c r="C5246" s="200" t="s">
        <v>6951</v>
      </c>
      <c r="F5246" s="758"/>
    </row>
    <row r="5247" spans="3:16" ht="31.2" customHeight="1">
      <c r="C5247" s="200" t="s">
        <v>6952</v>
      </c>
      <c r="F5247" s="758"/>
    </row>
    <row r="5248" spans="3:16" ht="31.2" customHeight="1">
      <c r="C5248" s="200"/>
      <c r="F5248" s="758"/>
    </row>
    <row r="5249" spans="3:20" s="517" customFormat="1" ht="31.2" customHeight="1" thickBot="1">
      <c r="C5249" s="513" t="s">
        <v>7439</v>
      </c>
      <c r="D5249" s="748" t="s">
        <v>7440</v>
      </c>
      <c r="E5249" s="749"/>
      <c r="F5249" s="748"/>
      <c r="G5249" s="748"/>
      <c r="H5249" s="532"/>
      <c r="I5249" s="532"/>
      <c r="J5249" s="532"/>
      <c r="K5249" s="532"/>
      <c r="M5249" s="189"/>
      <c r="N5249" s="189"/>
      <c r="O5249" s="189"/>
      <c r="P5249" s="189"/>
      <c r="R5249" s="189">
        <f>ROUNDDOWN(H5268,-2)</f>
        <v>12900</v>
      </c>
      <c r="S5249" s="517" t="s">
        <v>6451</v>
      </c>
      <c r="T5249" s="517" t="s">
        <v>7014</v>
      </c>
    </row>
    <row r="5250" spans="3:20" s="517" customFormat="1" ht="31.2" customHeight="1" thickTop="1">
      <c r="C5250" s="190" t="s">
        <v>1195</v>
      </c>
      <c r="D5250" s="191" t="s">
        <v>1196</v>
      </c>
      <c r="E5250" s="191" t="s">
        <v>1197</v>
      </c>
      <c r="F5250" s="191" t="s">
        <v>1198</v>
      </c>
      <c r="G5250" s="191" t="s">
        <v>1199</v>
      </c>
      <c r="H5250" s="192" t="s">
        <v>1200</v>
      </c>
      <c r="L5250" s="200"/>
      <c r="M5250" s="200"/>
      <c r="N5250" s="200"/>
      <c r="O5250" s="200"/>
      <c r="P5250" s="200"/>
    </row>
    <row r="5251" spans="3:20" s="517" customFormat="1" ht="31.2" customHeight="1">
      <c r="C5251" s="518" t="s">
        <v>1201</v>
      </c>
      <c r="D5251" s="196" t="s">
        <v>1202</v>
      </c>
      <c r="E5251" s="197"/>
      <c r="F5251" s="197"/>
      <c r="G5251" s="197"/>
      <c r="H5251" s="198"/>
      <c r="L5251" s="200"/>
      <c r="M5251" s="200"/>
      <c r="N5251" s="200"/>
      <c r="O5251" s="200"/>
      <c r="P5251" s="200"/>
    </row>
    <row r="5252" spans="3:20" s="517" customFormat="1" ht="31.2" customHeight="1">
      <c r="C5252" s="537">
        <v>1</v>
      </c>
      <c r="D5252" s="196" t="s">
        <v>6954</v>
      </c>
      <c r="E5252" s="202" t="s">
        <v>6</v>
      </c>
      <c r="F5252" s="520">
        <v>0.05</v>
      </c>
      <c r="G5252" s="205">
        <f>VLOOKUP(D5252,upahbahan,3,FALSE)</f>
        <v>181250</v>
      </c>
      <c r="H5252" s="210">
        <f t="shared" ref="H5252:H5254" si="383">F5252*G5252</f>
        <v>9062.5</v>
      </c>
      <c r="L5252" s="200"/>
      <c r="M5252" s="200"/>
      <c r="N5252" s="200"/>
      <c r="O5252" s="200"/>
      <c r="P5252" s="200"/>
    </row>
    <row r="5253" spans="3:20" s="517" customFormat="1" ht="31.2" customHeight="1">
      <c r="C5253" s="537">
        <v>2</v>
      </c>
      <c r="D5253" s="196" t="s">
        <v>6948</v>
      </c>
      <c r="E5253" s="202" t="s">
        <v>2102</v>
      </c>
      <c r="F5253" s="520">
        <v>0.01</v>
      </c>
      <c r="G5253" s="205">
        <f>VLOOKUP(D5253,upahbahan,3,FALSE)</f>
        <v>218750</v>
      </c>
      <c r="H5253" s="210">
        <f t="shared" si="383"/>
        <v>2187.5</v>
      </c>
      <c r="L5253" s="200"/>
      <c r="M5253" s="200"/>
      <c r="N5253" s="200"/>
      <c r="O5253" s="200"/>
      <c r="P5253" s="200"/>
    </row>
    <row r="5254" spans="3:20" s="517" customFormat="1" ht="31.2" customHeight="1">
      <c r="C5254" s="537">
        <v>3</v>
      </c>
      <c r="D5254" s="196" t="s">
        <v>19</v>
      </c>
      <c r="E5254" s="202" t="s">
        <v>6</v>
      </c>
      <c r="F5254" s="520">
        <v>3.3E-3</v>
      </c>
      <c r="G5254" s="205">
        <f>VLOOKUP(D5254,upahbahan,3,FALSE)</f>
        <v>160000</v>
      </c>
      <c r="H5254" s="210">
        <f t="shared" si="383"/>
        <v>528</v>
      </c>
      <c r="L5254" s="200"/>
      <c r="M5254" s="200"/>
      <c r="N5254" s="200"/>
      <c r="O5254" s="200"/>
      <c r="P5254" s="200"/>
    </row>
    <row r="5255" spans="3:20" s="517" customFormat="1" ht="31.2" customHeight="1">
      <c r="C5255" s="207" t="s">
        <v>1208</v>
      </c>
      <c r="D5255" s="208"/>
      <c r="E5255" s="208"/>
      <c r="F5255" s="521"/>
      <c r="G5255" s="522"/>
      <c r="H5255" s="210">
        <f>SUM(H5252:H5254)</f>
        <v>11778</v>
      </c>
      <c r="L5255" s="523"/>
      <c r="M5255" s="523"/>
      <c r="N5255" s="523"/>
      <c r="O5255" s="523"/>
      <c r="P5255" s="523"/>
    </row>
    <row r="5256" spans="3:20" s="517" customFormat="1" ht="31.2" customHeight="1">
      <c r="C5256" s="543" t="s">
        <v>1209</v>
      </c>
      <c r="D5256" s="750" t="s">
        <v>1210</v>
      </c>
      <c r="E5256" s="197"/>
      <c r="F5256" s="751"/>
      <c r="G5256" s="197"/>
      <c r="H5256" s="752"/>
      <c r="L5256" s="200"/>
      <c r="M5256" s="200"/>
      <c r="N5256" s="200"/>
      <c r="O5256" s="200"/>
      <c r="P5256" s="200"/>
    </row>
    <row r="5257" spans="3:20" s="517" customFormat="1" ht="31.2" customHeight="1">
      <c r="C5257" s="543">
        <v>1</v>
      </c>
      <c r="D5257" s="750" t="s">
        <v>7441</v>
      </c>
      <c r="E5257" s="203" t="s">
        <v>44</v>
      </c>
      <c r="F5257" s="760">
        <v>16</v>
      </c>
      <c r="G5257" s="205">
        <f>VLOOKUP(D5257,upahbahan,3,FALSE)</f>
        <v>0</v>
      </c>
      <c r="H5257" s="210">
        <f t="shared" ref="H5257:H5262" si="384">F5257*G5257</f>
        <v>0</v>
      </c>
      <c r="L5257" s="200"/>
      <c r="M5257" s="200"/>
      <c r="N5257" s="200"/>
      <c r="O5257" s="200"/>
      <c r="P5257" s="200"/>
    </row>
    <row r="5258" spans="3:20" s="517" customFormat="1" ht="31.2" customHeight="1">
      <c r="C5258" s="543">
        <v>2</v>
      </c>
      <c r="D5258" s="750" t="s">
        <v>5563</v>
      </c>
      <c r="E5258" s="203" t="s">
        <v>65</v>
      </c>
      <c r="F5258" s="760">
        <v>0.01</v>
      </c>
      <c r="G5258" s="205">
        <f>VLOOKUP(D5258,upahbahan,3,FALSE)</f>
        <v>0</v>
      </c>
      <c r="H5258" s="210">
        <f t="shared" si="384"/>
        <v>0</v>
      </c>
      <c r="L5258" s="200"/>
      <c r="M5258" s="200"/>
      <c r="N5258" s="200"/>
      <c r="O5258" s="200"/>
      <c r="P5258" s="200"/>
    </row>
    <row r="5259" spans="3:20" s="517" customFormat="1" ht="31.2" customHeight="1">
      <c r="C5259" s="543">
        <v>3</v>
      </c>
      <c r="D5259" s="750" t="s">
        <v>5556</v>
      </c>
      <c r="E5259" s="203"/>
      <c r="F5259" s="753"/>
      <c r="G5259" s="197"/>
      <c r="H5259" s="210">
        <f t="shared" si="384"/>
        <v>0</v>
      </c>
      <c r="L5259" s="200"/>
      <c r="M5259" s="200"/>
      <c r="N5259" s="200"/>
      <c r="O5259" s="200"/>
      <c r="P5259" s="200"/>
    </row>
    <row r="5260" spans="3:20" s="517" customFormat="1" ht="31.2" customHeight="1">
      <c r="C5260" s="754" t="s">
        <v>5293</v>
      </c>
      <c r="D5260" s="750" t="s">
        <v>2084</v>
      </c>
      <c r="E5260" s="203" t="s">
        <v>42</v>
      </c>
      <c r="F5260" s="753">
        <v>1.0999999999999999E-2</v>
      </c>
      <c r="G5260" s="205">
        <f>VLOOKUP(D5260,upahbahan,3,FALSE)</f>
        <v>0</v>
      </c>
      <c r="H5260" s="210">
        <f t="shared" si="384"/>
        <v>0</v>
      </c>
      <c r="L5260" s="200"/>
      <c r="M5260" s="200"/>
      <c r="N5260" s="200"/>
      <c r="O5260" s="200"/>
      <c r="P5260" s="200"/>
    </row>
    <row r="5261" spans="3:20" s="517" customFormat="1" ht="31.2" customHeight="1">
      <c r="C5261" s="754" t="s">
        <v>5299</v>
      </c>
      <c r="D5261" s="750" t="s">
        <v>5566</v>
      </c>
      <c r="E5261" s="203" t="s">
        <v>42</v>
      </c>
      <c r="F5261" s="753">
        <v>3.0000000000000001E-3</v>
      </c>
      <c r="G5261" s="205">
        <f>VLOOKUP(D5261,upahbahan,3,FALSE)</f>
        <v>0</v>
      </c>
      <c r="H5261" s="210">
        <f t="shared" si="384"/>
        <v>0</v>
      </c>
      <c r="L5261" s="200"/>
      <c r="M5261" s="200"/>
      <c r="N5261" s="200"/>
      <c r="O5261" s="200"/>
      <c r="P5261" s="200"/>
    </row>
    <row r="5262" spans="3:20" s="517" customFormat="1" ht="31.2" customHeight="1">
      <c r="C5262" s="754" t="s">
        <v>5558</v>
      </c>
      <c r="D5262" s="750" t="s">
        <v>2325</v>
      </c>
      <c r="E5262" s="203" t="s">
        <v>42</v>
      </c>
      <c r="F5262" s="755">
        <v>1E-3</v>
      </c>
      <c r="G5262" s="205">
        <f>VLOOKUP(D5262,upahbahan,3,FALSE)</f>
        <v>0</v>
      </c>
      <c r="H5262" s="210">
        <f t="shared" si="384"/>
        <v>0</v>
      </c>
      <c r="L5262" s="200"/>
      <c r="M5262" s="200"/>
      <c r="N5262" s="200"/>
      <c r="O5262" s="200"/>
      <c r="P5262" s="200"/>
    </row>
    <row r="5263" spans="3:20" s="517" customFormat="1" ht="31.2" customHeight="1">
      <c r="C5263" s="207" t="s">
        <v>1214</v>
      </c>
      <c r="D5263" s="208"/>
      <c r="E5263" s="568"/>
      <c r="F5263" s="208"/>
      <c r="G5263" s="209"/>
      <c r="H5263" s="210">
        <f>SUM(H5257:H5262)</f>
        <v>0</v>
      </c>
      <c r="L5263" s="200"/>
      <c r="M5263" s="200"/>
      <c r="N5263" s="200"/>
      <c r="O5263" s="200"/>
      <c r="P5263" s="200"/>
    </row>
    <row r="5264" spans="3:20" s="517" customFormat="1" ht="31.2" customHeight="1">
      <c r="C5264" s="756" t="s">
        <v>1215</v>
      </c>
      <c r="D5264" s="196" t="s">
        <v>1216</v>
      </c>
      <c r="E5264" s="203"/>
      <c r="F5264" s="197"/>
      <c r="G5264" s="197"/>
      <c r="H5264" s="198"/>
      <c r="L5264" s="200"/>
      <c r="M5264" s="200"/>
      <c r="N5264" s="200"/>
      <c r="O5264" s="200"/>
      <c r="P5264" s="200"/>
    </row>
    <row r="5265" spans="3:20" s="517" customFormat="1" ht="31.2" customHeight="1">
      <c r="C5265" s="207" t="s">
        <v>1217</v>
      </c>
      <c r="D5265" s="208"/>
      <c r="E5265" s="208"/>
      <c r="F5265" s="208"/>
      <c r="G5265" s="209"/>
      <c r="H5265" s="240">
        <f>SUM(H5264)</f>
        <v>0</v>
      </c>
      <c r="L5265" s="200"/>
      <c r="M5265" s="200"/>
      <c r="N5265" s="200"/>
      <c r="O5265" s="200"/>
      <c r="P5265" s="200"/>
    </row>
    <row r="5266" spans="3:20" s="517" customFormat="1" ht="31.2" customHeight="1">
      <c r="C5266" s="223" t="s">
        <v>1218</v>
      </c>
      <c r="D5266" s="224" t="s">
        <v>1219</v>
      </c>
      <c r="E5266" s="225"/>
      <c r="F5266" s="225"/>
      <c r="G5266" s="226"/>
      <c r="H5266" s="210">
        <f>H5265+H5263+H5255</f>
        <v>11778</v>
      </c>
      <c r="L5266" s="200"/>
      <c r="M5266" s="200"/>
      <c r="N5266" s="200"/>
      <c r="O5266" s="200"/>
      <c r="P5266" s="200"/>
    </row>
    <row r="5267" spans="3:20" s="517" customFormat="1" ht="31.2" customHeight="1">
      <c r="C5267" s="223" t="s">
        <v>1220</v>
      </c>
      <c r="D5267" s="224" t="s">
        <v>1321</v>
      </c>
      <c r="E5267" s="225"/>
      <c r="F5267" s="226"/>
      <c r="G5267" s="228">
        <v>0.1</v>
      </c>
      <c r="H5267" s="210">
        <f>H5266*G5267</f>
        <v>1177.8</v>
      </c>
      <c r="L5267" s="200"/>
      <c r="M5267" s="200"/>
      <c r="N5267" s="200"/>
      <c r="O5267" s="200"/>
      <c r="P5267" s="200"/>
    </row>
    <row r="5268" spans="3:20" s="517" customFormat="1" ht="31.2" customHeight="1" thickBot="1">
      <c r="C5268" s="229" t="s">
        <v>1221</v>
      </c>
      <c r="D5268" s="230" t="s">
        <v>1222</v>
      </c>
      <c r="E5268" s="231"/>
      <c r="F5268" s="231"/>
      <c r="G5268" s="232"/>
      <c r="H5268" s="233">
        <f>SUM(H5266:H5267)</f>
        <v>12955.8</v>
      </c>
      <c r="L5268" s="200"/>
      <c r="M5268" s="200"/>
      <c r="N5268" s="200"/>
      <c r="O5268" s="200"/>
      <c r="P5268" s="200"/>
    </row>
    <row r="5269" spans="3:20" ht="31.2" customHeight="1" thickTop="1">
      <c r="D5269" s="758"/>
    </row>
    <row r="5270" spans="3:20" ht="31.2" customHeight="1">
      <c r="C5270" s="757" t="s">
        <v>6950</v>
      </c>
      <c r="F5270" s="758"/>
      <c r="H5270" s="758" t="s">
        <v>6959</v>
      </c>
    </row>
    <row r="5271" spans="3:20" ht="31.2" customHeight="1">
      <c r="C5271" s="200" t="s">
        <v>6951</v>
      </c>
      <c r="F5271" s="758"/>
    </row>
    <row r="5272" spans="3:20" ht="31.2" customHeight="1">
      <c r="C5272" s="200" t="s">
        <v>6952</v>
      </c>
      <c r="F5272" s="758"/>
    </row>
    <row r="5273" spans="3:20" ht="31.2" customHeight="1">
      <c r="C5273" s="200"/>
      <c r="F5273" s="758"/>
    </row>
    <row r="5274" spans="3:20" s="517" customFormat="1" ht="31.2" customHeight="1" thickBot="1">
      <c r="C5274" s="513" t="s">
        <v>7442</v>
      </c>
      <c r="D5274" s="748" t="s">
        <v>7443</v>
      </c>
      <c r="E5274" s="749"/>
      <c r="F5274" s="748"/>
      <c r="G5274" s="748"/>
      <c r="H5274" s="532"/>
      <c r="I5274" s="532"/>
      <c r="J5274" s="532"/>
      <c r="K5274" s="532"/>
      <c r="M5274" s="189"/>
      <c r="N5274" s="189"/>
      <c r="O5274" s="189"/>
      <c r="P5274" s="189"/>
      <c r="R5274" s="189">
        <f>ROUNDDOWN(H5293,-2)</f>
        <v>12900</v>
      </c>
      <c r="S5274" s="517" t="s">
        <v>6451</v>
      </c>
      <c r="T5274" s="517" t="s">
        <v>7014</v>
      </c>
    </row>
    <row r="5275" spans="3:20" s="517" customFormat="1" ht="31.2" customHeight="1" thickTop="1">
      <c r="C5275" s="190" t="s">
        <v>1195</v>
      </c>
      <c r="D5275" s="191" t="s">
        <v>1196</v>
      </c>
      <c r="E5275" s="191" t="s">
        <v>1197</v>
      </c>
      <c r="F5275" s="191" t="s">
        <v>1198</v>
      </c>
      <c r="G5275" s="191" t="s">
        <v>1199</v>
      </c>
      <c r="H5275" s="192" t="s">
        <v>1200</v>
      </c>
      <c r="L5275" s="200"/>
      <c r="M5275" s="200"/>
      <c r="N5275" s="200"/>
      <c r="O5275" s="200"/>
      <c r="P5275" s="200"/>
    </row>
    <row r="5276" spans="3:20" s="517" customFormat="1" ht="31.2" customHeight="1">
      <c r="C5276" s="518" t="s">
        <v>1201</v>
      </c>
      <c r="D5276" s="196" t="s">
        <v>1202</v>
      </c>
      <c r="E5276" s="197"/>
      <c r="F5276" s="197"/>
      <c r="G5276" s="197"/>
      <c r="H5276" s="198"/>
      <c r="L5276" s="200"/>
      <c r="M5276" s="200"/>
      <c r="N5276" s="200"/>
      <c r="O5276" s="200"/>
      <c r="P5276" s="200"/>
    </row>
    <row r="5277" spans="3:20" s="517" customFormat="1" ht="31.2" customHeight="1">
      <c r="C5277" s="537">
        <v>1</v>
      </c>
      <c r="D5277" s="196" t="s">
        <v>6954</v>
      </c>
      <c r="E5277" s="202" t="s">
        <v>6</v>
      </c>
      <c r="F5277" s="520">
        <v>0.05</v>
      </c>
      <c r="G5277" s="205">
        <f>VLOOKUP(D5277,upahbahan,3,FALSE)</f>
        <v>181250</v>
      </c>
      <c r="H5277" s="210">
        <f t="shared" ref="H5277:H5279" si="385">F5277*G5277</f>
        <v>9062.5</v>
      </c>
      <c r="L5277" s="200"/>
      <c r="M5277" s="200"/>
      <c r="N5277" s="200"/>
      <c r="O5277" s="200"/>
      <c r="P5277" s="200"/>
    </row>
    <row r="5278" spans="3:20" s="517" customFormat="1" ht="31.2" customHeight="1">
      <c r="C5278" s="537">
        <v>2</v>
      </c>
      <c r="D5278" s="196" t="s">
        <v>6948</v>
      </c>
      <c r="E5278" s="202" t="s">
        <v>2102</v>
      </c>
      <c r="F5278" s="520">
        <v>0.01</v>
      </c>
      <c r="G5278" s="205">
        <f>VLOOKUP(D5278,upahbahan,3,FALSE)</f>
        <v>218750</v>
      </c>
      <c r="H5278" s="210">
        <f t="shared" si="385"/>
        <v>2187.5</v>
      </c>
      <c r="L5278" s="200"/>
      <c r="M5278" s="200"/>
      <c r="N5278" s="200"/>
      <c r="O5278" s="200"/>
      <c r="P5278" s="200"/>
    </row>
    <row r="5279" spans="3:20" s="517" customFormat="1" ht="31.2" customHeight="1">
      <c r="C5279" s="537">
        <v>3</v>
      </c>
      <c r="D5279" s="196" t="s">
        <v>19</v>
      </c>
      <c r="E5279" s="202" t="s">
        <v>6</v>
      </c>
      <c r="F5279" s="520">
        <v>3.3E-3</v>
      </c>
      <c r="G5279" s="205">
        <f>VLOOKUP(D5279,upahbahan,3,FALSE)</f>
        <v>160000</v>
      </c>
      <c r="H5279" s="210">
        <f t="shared" si="385"/>
        <v>528</v>
      </c>
      <c r="L5279" s="200"/>
      <c r="M5279" s="200"/>
      <c r="N5279" s="200"/>
      <c r="O5279" s="200"/>
      <c r="P5279" s="200"/>
    </row>
    <row r="5280" spans="3:20" s="517" customFormat="1" ht="31.2" customHeight="1">
      <c r="C5280" s="207" t="s">
        <v>1208</v>
      </c>
      <c r="D5280" s="208"/>
      <c r="E5280" s="208"/>
      <c r="F5280" s="521"/>
      <c r="G5280" s="522"/>
      <c r="H5280" s="210">
        <f>SUM(H5277:H5279)</f>
        <v>11778</v>
      </c>
      <c r="L5280" s="523"/>
      <c r="M5280" s="523"/>
      <c r="N5280" s="523"/>
      <c r="O5280" s="523"/>
      <c r="P5280" s="523"/>
    </row>
    <row r="5281" spans="3:16" s="517" customFormat="1" ht="31.2" customHeight="1">
      <c r="C5281" s="543" t="s">
        <v>1209</v>
      </c>
      <c r="D5281" s="750" t="s">
        <v>1210</v>
      </c>
      <c r="E5281" s="197"/>
      <c r="F5281" s="751"/>
      <c r="G5281" s="197"/>
      <c r="H5281" s="752"/>
      <c r="L5281" s="200"/>
      <c r="M5281" s="200"/>
      <c r="N5281" s="200"/>
      <c r="O5281" s="200"/>
      <c r="P5281" s="200"/>
    </row>
    <row r="5282" spans="3:16" s="517" customFormat="1" ht="31.2" customHeight="1">
      <c r="C5282" s="543">
        <v>1</v>
      </c>
      <c r="D5282" s="750" t="s">
        <v>7444</v>
      </c>
      <c r="E5282" s="203" t="s">
        <v>44</v>
      </c>
      <c r="F5282" s="760">
        <v>16</v>
      </c>
      <c r="G5282" s="205">
        <f>VLOOKUP(D5282,upahbahan,3,FALSE)</f>
        <v>0</v>
      </c>
      <c r="H5282" s="210">
        <f t="shared" ref="H5282:H5287" si="386">F5282*G5282</f>
        <v>0</v>
      </c>
      <c r="L5282" s="200"/>
      <c r="M5282" s="200"/>
      <c r="N5282" s="200"/>
      <c r="O5282" s="200"/>
      <c r="P5282" s="200"/>
    </row>
    <row r="5283" spans="3:16" s="517" customFormat="1" ht="31.2" customHeight="1">
      <c r="C5283" s="543">
        <v>2</v>
      </c>
      <c r="D5283" s="750" t="s">
        <v>5563</v>
      </c>
      <c r="E5283" s="203" t="s">
        <v>65</v>
      </c>
      <c r="F5283" s="760">
        <v>0.01</v>
      </c>
      <c r="G5283" s="205">
        <f>VLOOKUP(D5283,upahbahan,3,FALSE)</f>
        <v>0</v>
      </c>
      <c r="H5283" s="210">
        <f t="shared" si="386"/>
        <v>0</v>
      </c>
      <c r="L5283" s="200"/>
      <c r="M5283" s="200"/>
      <c r="N5283" s="200"/>
      <c r="O5283" s="200"/>
      <c r="P5283" s="200"/>
    </row>
    <row r="5284" spans="3:16" s="517" customFormat="1" ht="31.2" customHeight="1">
      <c r="C5284" s="543">
        <v>3</v>
      </c>
      <c r="D5284" s="750" t="s">
        <v>5556</v>
      </c>
      <c r="E5284" s="203"/>
      <c r="F5284" s="753"/>
      <c r="G5284" s="197"/>
      <c r="H5284" s="210">
        <f t="shared" si="386"/>
        <v>0</v>
      </c>
      <c r="L5284" s="200"/>
      <c r="M5284" s="200"/>
      <c r="N5284" s="200"/>
      <c r="O5284" s="200"/>
      <c r="P5284" s="200"/>
    </row>
    <row r="5285" spans="3:16" s="517" customFormat="1" ht="31.2" customHeight="1">
      <c r="C5285" s="754" t="s">
        <v>5293</v>
      </c>
      <c r="D5285" s="750" t="s">
        <v>2084</v>
      </c>
      <c r="E5285" s="203" t="s">
        <v>42</v>
      </c>
      <c r="F5285" s="753">
        <v>1.0999999999999999E-2</v>
      </c>
      <c r="G5285" s="205">
        <f>VLOOKUP(D5285,upahbahan,3,FALSE)</f>
        <v>0</v>
      </c>
      <c r="H5285" s="210">
        <f t="shared" si="386"/>
        <v>0</v>
      </c>
      <c r="L5285" s="200"/>
      <c r="M5285" s="200"/>
      <c r="N5285" s="200"/>
      <c r="O5285" s="200"/>
      <c r="P5285" s="200"/>
    </row>
    <row r="5286" spans="3:16" s="517" customFormat="1" ht="31.2" customHeight="1">
      <c r="C5286" s="754" t="s">
        <v>5299</v>
      </c>
      <c r="D5286" s="750" t="s">
        <v>5566</v>
      </c>
      <c r="E5286" s="203" t="s">
        <v>42</v>
      </c>
      <c r="F5286" s="753">
        <v>3.0000000000000001E-3</v>
      </c>
      <c r="G5286" s="205">
        <f>VLOOKUP(D5286,upahbahan,3,FALSE)</f>
        <v>0</v>
      </c>
      <c r="H5286" s="210">
        <f t="shared" si="386"/>
        <v>0</v>
      </c>
      <c r="L5286" s="200"/>
      <c r="M5286" s="200"/>
      <c r="N5286" s="200"/>
      <c r="O5286" s="200"/>
      <c r="P5286" s="200"/>
    </row>
    <row r="5287" spans="3:16" s="517" customFormat="1" ht="31.2" customHeight="1">
      <c r="C5287" s="754" t="s">
        <v>5558</v>
      </c>
      <c r="D5287" s="750" t="s">
        <v>2325</v>
      </c>
      <c r="E5287" s="203" t="s">
        <v>42</v>
      </c>
      <c r="F5287" s="755">
        <v>1E-3</v>
      </c>
      <c r="G5287" s="205">
        <f>VLOOKUP(D5287,upahbahan,3,FALSE)</f>
        <v>0</v>
      </c>
      <c r="H5287" s="210">
        <f t="shared" si="386"/>
        <v>0</v>
      </c>
      <c r="L5287" s="200"/>
      <c r="M5287" s="200"/>
      <c r="N5287" s="200"/>
      <c r="O5287" s="200"/>
      <c r="P5287" s="200"/>
    </row>
    <row r="5288" spans="3:16" s="517" customFormat="1" ht="31.2" customHeight="1">
      <c r="C5288" s="207" t="s">
        <v>1214</v>
      </c>
      <c r="D5288" s="208"/>
      <c r="E5288" s="568"/>
      <c r="F5288" s="208"/>
      <c r="G5288" s="209"/>
      <c r="H5288" s="210">
        <f>SUM(H5282:H5287)</f>
        <v>0</v>
      </c>
      <c r="L5288" s="200"/>
      <c r="M5288" s="200"/>
      <c r="N5288" s="200"/>
      <c r="O5288" s="200"/>
      <c r="P5288" s="200"/>
    </row>
    <row r="5289" spans="3:16" s="517" customFormat="1" ht="31.2" customHeight="1">
      <c r="C5289" s="756" t="s">
        <v>1215</v>
      </c>
      <c r="D5289" s="196" t="s">
        <v>1216</v>
      </c>
      <c r="E5289" s="203"/>
      <c r="F5289" s="197"/>
      <c r="G5289" s="197"/>
      <c r="H5289" s="198"/>
      <c r="L5289" s="200"/>
      <c r="M5289" s="200"/>
      <c r="N5289" s="200"/>
      <c r="O5289" s="200"/>
      <c r="P5289" s="200"/>
    </row>
    <row r="5290" spans="3:16" s="517" customFormat="1" ht="31.2" customHeight="1">
      <c r="C5290" s="207" t="s">
        <v>1217</v>
      </c>
      <c r="D5290" s="208"/>
      <c r="E5290" s="208"/>
      <c r="F5290" s="208"/>
      <c r="G5290" s="209"/>
      <c r="H5290" s="240">
        <f>SUM(H5289)</f>
        <v>0</v>
      </c>
      <c r="L5290" s="200"/>
      <c r="M5290" s="200"/>
      <c r="N5290" s="200"/>
      <c r="O5290" s="200"/>
      <c r="P5290" s="200"/>
    </row>
    <row r="5291" spans="3:16" s="517" customFormat="1" ht="31.2" customHeight="1">
      <c r="C5291" s="223" t="s">
        <v>1218</v>
      </c>
      <c r="D5291" s="224" t="s">
        <v>1219</v>
      </c>
      <c r="E5291" s="225"/>
      <c r="F5291" s="225"/>
      <c r="G5291" s="226"/>
      <c r="H5291" s="210">
        <f>H5290+H5288+H5280</f>
        <v>11778</v>
      </c>
      <c r="L5291" s="200"/>
      <c r="M5291" s="200"/>
      <c r="N5291" s="200"/>
      <c r="O5291" s="200"/>
      <c r="P5291" s="200"/>
    </row>
    <row r="5292" spans="3:16" s="517" customFormat="1" ht="31.2" customHeight="1">
      <c r="C5292" s="223" t="s">
        <v>1220</v>
      </c>
      <c r="D5292" s="224" t="s">
        <v>1321</v>
      </c>
      <c r="E5292" s="225"/>
      <c r="F5292" s="226"/>
      <c r="G5292" s="228">
        <v>0.1</v>
      </c>
      <c r="H5292" s="210">
        <f>H5291*G5292</f>
        <v>1177.8</v>
      </c>
      <c r="L5292" s="200"/>
      <c r="M5292" s="200"/>
      <c r="N5292" s="200"/>
      <c r="O5292" s="200"/>
      <c r="P5292" s="200"/>
    </row>
    <row r="5293" spans="3:16" s="517" customFormat="1" ht="31.2" customHeight="1" thickBot="1">
      <c r="C5293" s="229" t="s">
        <v>1221</v>
      </c>
      <c r="D5293" s="230" t="s">
        <v>1222</v>
      </c>
      <c r="E5293" s="231"/>
      <c r="F5293" s="231"/>
      <c r="G5293" s="232"/>
      <c r="H5293" s="233">
        <f>SUM(H5291:H5292)</f>
        <v>12955.8</v>
      </c>
      <c r="L5293" s="200"/>
      <c r="M5293" s="200"/>
      <c r="N5293" s="200"/>
      <c r="O5293" s="200"/>
      <c r="P5293" s="200"/>
    </row>
    <row r="5294" spans="3:16" ht="31.2" customHeight="1" thickTop="1">
      <c r="D5294" s="758"/>
    </row>
    <row r="5295" spans="3:16" ht="31.2" customHeight="1">
      <c r="C5295" s="757" t="s">
        <v>6950</v>
      </c>
      <c r="F5295" s="758"/>
      <c r="H5295" s="758" t="s">
        <v>6959</v>
      </c>
    </row>
    <row r="5296" spans="3:16" ht="31.2" customHeight="1">
      <c r="C5296" s="200" t="s">
        <v>6951</v>
      </c>
      <c r="F5296" s="758"/>
    </row>
    <row r="5297" spans="3:20" ht="31.2" customHeight="1">
      <c r="C5297" s="200" t="s">
        <v>6952</v>
      </c>
      <c r="F5297" s="758"/>
    </row>
    <row r="5298" spans="3:20" ht="31.2" customHeight="1">
      <c r="C5298" s="200"/>
      <c r="F5298" s="758"/>
    </row>
    <row r="5299" spans="3:20" s="517" customFormat="1" ht="31.2" customHeight="1" thickBot="1">
      <c r="C5299" s="513" t="s">
        <v>7445</v>
      </c>
      <c r="D5299" s="748" t="s">
        <v>7446</v>
      </c>
      <c r="E5299" s="749"/>
      <c r="F5299" s="748"/>
      <c r="G5299" s="748"/>
      <c r="H5299" s="532"/>
      <c r="I5299" s="532"/>
      <c r="J5299" s="532"/>
      <c r="K5299" s="532"/>
      <c r="M5299" s="189"/>
      <c r="N5299" s="189"/>
      <c r="O5299" s="189"/>
      <c r="P5299" s="189"/>
      <c r="R5299" s="189">
        <f>ROUNDDOWN(H5318,-2)</f>
        <v>12900</v>
      </c>
      <c r="S5299" s="517" t="s">
        <v>6451</v>
      </c>
      <c r="T5299" s="517" t="s">
        <v>7014</v>
      </c>
    </row>
    <row r="5300" spans="3:20" s="517" customFormat="1" ht="31.2" customHeight="1" thickTop="1">
      <c r="C5300" s="190" t="s">
        <v>1195</v>
      </c>
      <c r="D5300" s="191" t="s">
        <v>1196</v>
      </c>
      <c r="E5300" s="191" t="s">
        <v>1197</v>
      </c>
      <c r="F5300" s="191" t="s">
        <v>1198</v>
      </c>
      <c r="G5300" s="191" t="s">
        <v>1199</v>
      </c>
      <c r="H5300" s="192" t="s">
        <v>1200</v>
      </c>
      <c r="L5300" s="200"/>
      <c r="M5300" s="200"/>
      <c r="N5300" s="200"/>
      <c r="O5300" s="200"/>
      <c r="P5300" s="200"/>
    </row>
    <row r="5301" spans="3:20" s="517" customFormat="1" ht="31.2" customHeight="1">
      <c r="C5301" s="518" t="s">
        <v>1201</v>
      </c>
      <c r="D5301" s="196" t="s">
        <v>1202</v>
      </c>
      <c r="E5301" s="197"/>
      <c r="F5301" s="197"/>
      <c r="G5301" s="197"/>
      <c r="H5301" s="198"/>
      <c r="L5301" s="200"/>
      <c r="M5301" s="200"/>
      <c r="N5301" s="200"/>
      <c r="O5301" s="200"/>
      <c r="P5301" s="200"/>
    </row>
    <row r="5302" spans="3:20" s="517" customFormat="1" ht="31.2" customHeight="1">
      <c r="C5302" s="537">
        <v>1</v>
      </c>
      <c r="D5302" s="196" t="s">
        <v>6954</v>
      </c>
      <c r="E5302" s="202" t="s">
        <v>6</v>
      </c>
      <c r="F5302" s="520">
        <v>0.05</v>
      </c>
      <c r="G5302" s="205">
        <f>VLOOKUP(D5302,upahbahan,3,FALSE)</f>
        <v>181250</v>
      </c>
      <c r="H5302" s="210">
        <f t="shared" ref="H5302:H5304" si="387">F5302*G5302</f>
        <v>9062.5</v>
      </c>
      <c r="L5302" s="200"/>
      <c r="M5302" s="200"/>
      <c r="N5302" s="200"/>
      <c r="O5302" s="200"/>
      <c r="P5302" s="200"/>
    </row>
    <row r="5303" spans="3:20" s="517" customFormat="1" ht="31.2" customHeight="1">
      <c r="C5303" s="537">
        <v>2</v>
      </c>
      <c r="D5303" s="196" t="s">
        <v>6948</v>
      </c>
      <c r="E5303" s="202" t="s">
        <v>2102</v>
      </c>
      <c r="F5303" s="520">
        <v>0.01</v>
      </c>
      <c r="G5303" s="205">
        <f>VLOOKUP(D5303,upahbahan,3,FALSE)</f>
        <v>218750</v>
      </c>
      <c r="H5303" s="210">
        <f t="shared" si="387"/>
        <v>2187.5</v>
      </c>
      <c r="L5303" s="200"/>
      <c r="M5303" s="200"/>
      <c r="N5303" s="200"/>
      <c r="O5303" s="200"/>
      <c r="P5303" s="200"/>
    </row>
    <row r="5304" spans="3:20" s="517" customFormat="1" ht="31.2" customHeight="1">
      <c r="C5304" s="537">
        <v>3</v>
      </c>
      <c r="D5304" s="196" t="s">
        <v>19</v>
      </c>
      <c r="E5304" s="202" t="s">
        <v>6</v>
      </c>
      <c r="F5304" s="520">
        <v>3.3E-3</v>
      </c>
      <c r="G5304" s="205">
        <f>VLOOKUP(D5304,upahbahan,3,FALSE)</f>
        <v>160000</v>
      </c>
      <c r="H5304" s="210">
        <f t="shared" si="387"/>
        <v>528</v>
      </c>
      <c r="L5304" s="200"/>
      <c r="M5304" s="200"/>
      <c r="N5304" s="200"/>
      <c r="O5304" s="200"/>
      <c r="P5304" s="200"/>
    </row>
    <row r="5305" spans="3:20" s="517" customFormat="1" ht="31.2" customHeight="1">
      <c r="C5305" s="207" t="s">
        <v>1208</v>
      </c>
      <c r="D5305" s="208"/>
      <c r="E5305" s="208"/>
      <c r="F5305" s="521"/>
      <c r="G5305" s="522"/>
      <c r="H5305" s="210">
        <f>SUM(H5302:H5304)</f>
        <v>11778</v>
      </c>
      <c r="L5305" s="523"/>
      <c r="M5305" s="523"/>
      <c r="N5305" s="523"/>
      <c r="O5305" s="523"/>
      <c r="P5305" s="523"/>
    </row>
    <row r="5306" spans="3:20" s="517" customFormat="1" ht="31.2" customHeight="1">
      <c r="C5306" s="543" t="s">
        <v>1209</v>
      </c>
      <c r="D5306" s="750" t="s">
        <v>1210</v>
      </c>
      <c r="E5306" s="197"/>
      <c r="F5306" s="751"/>
      <c r="G5306" s="197"/>
      <c r="H5306" s="752"/>
      <c r="L5306" s="200"/>
      <c r="M5306" s="200"/>
      <c r="N5306" s="200"/>
      <c r="O5306" s="200"/>
      <c r="P5306" s="200"/>
    </row>
    <row r="5307" spans="3:20" s="517" customFormat="1" ht="31.2" customHeight="1">
      <c r="C5307" s="543">
        <v>1</v>
      </c>
      <c r="D5307" s="750" t="s">
        <v>7447</v>
      </c>
      <c r="E5307" s="203" t="s">
        <v>44</v>
      </c>
      <c r="F5307" s="760">
        <v>16</v>
      </c>
      <c r="G5307" s="205">
        <f>VLOOKUP(D5307,upahbahan,3,FALSE)</f>
        <v>0</v>
      </c>
      <c r="H5307" s="210">
        <f t="shared" ref="H5307:H5312" si="388">F5307*G5307</f>
        <v>0</v>
      </c>
      <c r="L5307" s="200"/>
      <c r="M5307" s="200"/>
      <c r="N5307" s="200"/>
      <c r="O5307" s="200"/>
      <c r="P5307" s="200"/>
    </row>
    <row r="5308" spans="3:20" s="517" customFormat="1" ht="31.2" customHeight="1">
      <c r="C5308" s="543">
        <v>2</v>
      </c>
      <c r="D5308" s="750" t="s">
        <v>5563</v>
      </c>
      <c r="E5308" s="203" t="s">
        <v>65</v>
      </c>
      <c r="F5308" s="760">
        <v>0.01</v>
      </c>
      <c r="G5308" s="205">
        <f>VLOOKUP(D5308,upahbahan,3,FALSE)</f>
        <v>0</v>
      </c>
      <c r="H5308" s="210">
        <f t="shared" si="388"/>
        <v>0</v>
      </c>
      <c r="L5308" s="200"/>
      <c r="M5308" s="200"/>
      <c r="N5308" s="200"/>
      <c r="O5308" s="200"/>
      <c r="P5308" s="200"/>
    </row>
    <row r="5309" spans="3:20" s="517" customFormat="1" ht="31.2" customHeight="1">
      <c r="C5309" s="543">
        <v>3</v>
      </c>
      <c r="D5309" s="750" t="s">
        <v>5556</v>
      </c>
      <c r="E5309" s="203"/>
      <c r="F5309" s="753"/>
      <c r="G5309" s="197"/>
      <c r="H5309" s="210">
        <f t="shared" si="388"/>
        <v>0</v>
      </c>
      <c r="L5309" s="200"/>
      <c r="M5309" s="200"/>
      <c r="N5309" s="200"/>
      <c r="O5309" s="200"/>
      <c r="P5309" s="200"/>
    </row>
    <row r="5310" spans="3:20" s="517" customFormat="1" ht="31.2" customHeight="1">
      <c r="C5310" s="754" t="s">
        <v>5293</v>
      </c>
      <c r="D5310" s="750" t="s">
        <v>2084</v>
      </c>
      <c r="E5310" s="203" t="s">
        <v>42</v>
      </c>
      <c r="F5310" s="753">
        <v>1.0999999999999999E-2</v>
      </c>
      <c r="G5310" s="205">
        <f>VLOOKUP(D5310,upahbahan,3,FALSE)</f>
        <v>0</v>
      </c>
      <c r="H5310" s="210">
        <f t="shared" si="388"/>
        <v>0</v>
      </c>
      <c r="L5310" s="200"/>
      <c r="M5310" s="200"/>
      <c r="N5310" s="200"/>
      <c r="O5310" s="200"/>
      <c r="P5310" s="200"/>
    </row>
    <row r="5311" spans="3:20" s="517" customFormat="1" ht="31.2" customHeight="1">
      <c r="C5311" s="754" t="s">
        <v>5299</v>
      </c>
      <c r="D5311" s="750" t="s">
        <v>5566</v>
      </c>
      <c r="E5311" s="203" t="s">
        <v>42</v>
      </c>
      <c r="F5311" s="753">
        <v>3.0000000000000001E-3</v>
      </c>
      <c r="G5311" s="205">
        <f>VLOOKUP(D5311,upahbahan,3,FALSE)</f>
        <v>0</v>
      </c>
      <c r="H5311" s="210">
        <f t="shared" si="388"/>
        <v>0</v>
      </c>
      <c r="L5311" s="200"/>
      <c r="M5311" s="200"/>
      <c r="N5311" s="200"/>
      <c r="O5311" s="200"/>
      <c r="P5311" s="200"/>
    </row>
    <row r="5312" spans="3:20" s="517" customFormat="1" ht="31.2" customHeight="1">
      <c r="C5312" s="754" t="s">
        <v>5558</v>
      </c>
      <c r="D5312" s="750" t="s">
        <v>2325</v>
      </c>
      <c r="E5312" s="203" t="s">
        <v>42</v>
      </c>
      <c r="F5312" s="755">
        <v>1E-3</v>
      </c>
      <c r="G5312" s="205">
        <f>VLOOKUP(D5312,upahbahan,3,FALSE)</f>
        <v>0</v>
      </c>
      <c r="H5312" s="210">
        <f t="shared" si="388"/>
        <v>0</v>
      </c>
      <c r="L5312" s="200"/>
      <c r="M5312" s="200"/>
      <c r="N5312" s="200"/>
      <c r="O5312" s="200"/>
      <c r="P5312" s="200"/>
    </row>
    <row r="5313" spans="3:20" s="517" customFormat="1" ht="31.2" customHeight="1">
      <c r="C5313" s="207" t="s">
        <v>1214</v>
      </c>
      <c r="D5313" s="208"/>
      <c r="E5313" s="568"/>
      <c r="F5313" s="208"/>
      <c r="G5313" s="209"/>
      <c r="H5313" s="210">
        <f>SUM(H5307:H5312)</f>
        <v>0</v>
      </c>
      <c r="L5313" s="200"/>
      <c r="M5313" s="200"/>
      <c r="N5313" s="200"/>
      <c r="O5313" s="200"/>
      <c r="P5313" s="200"/>
    </row>
    <row r="5314" spans="3:20" s="517" customFormat="1" ht="31.2" customHeight="1">
      <c r="C5314" s="756" t="s">
        <v>1215</v>
      </c>
      <c r="D5314" s="196" t="s">
        <v>1216</v>
      </c>
      <c r="E5314" s="203"/>
      <c r="F5314" s="197"/>
      <c r="G5314" s="197"/>
      <c r="H5314" s="198"/>
      <c r="L5314" s="200"/>
      <c r="M5314" s="200"/>
      <c r="N5314" s="200"/>
      <c r="O5314" s="200"/>
      <c r="P5314" s="200"/>
    </row>
    <row r="5315" spans="3:20" s="517" customFormat="1" ht="31.2" customHeight="1">
      <c r="C5315" s="207" t="s">
        <v>1217</v>
      </c>
      <c r="D5315" s="208"/>
      <c r="E5315" s="208"/>
      <c r="F5315" s="208"/>
      <c r="G5315" s="209"/>
      <c r="H5315" s="240">
        <f>SUM(H5314)</f>
        <v>0</v>
      </c>
      <c r="L5315" s="200"/>
      <c r="M5315" s="200"/>
      <c r="N5315" s="200"/>
      <c r="O5315" s="200"/>
      <c r="P5315" s="200"/>
    </row>
    <row r="5316" spans="3:20" s="517" customFormat="1" ht="31.2" customHeight="1">
      <c r="C5316" s="223" t="s">
        <v>1218</v>
      </c>
      <c r="D5316" s="224" t="s">
        <v>1219</v>
      </c>
      <c r="E5316" s="225"/>
      <c r="F5316" s="225"/>
      <c r="G5316" s="226"/>
      <c r="H5316" s="210">
        <f>H5315+H5313+H5305</f>
        <v>11778</v>
      </c>
      <c r="L5316" s="200"/>
      <c r="M5316" s="200"/>
      <c r="N5316" s="200"/>
      <c r="O5316" s="200"/>
      <c r="P5316" s="200"/>
    </row>
    <row r="5317" spans="3:20" s="517" customFormat="1" ht="31.2" customHeight="1">
      <c r="C5317" s="223" t="s">
        <v>1220</v>
      </c>
      <c r="D5317" s="224" t="s">
        <v>1321</v>
      </c>
      <c r="E5317" s="225"/>
      <c r="F5317" s="226"/>
      <c r="G5317" s="228">
        <v>0.1</v>
      </c>
      <c r="H5317" s="210">
        <f>H5316*G5317</f>
        <v>1177.8</v>
      </c>
      <c r="L5317" s="200"/>
      <c r="M5317" s="200"/>
      <c r="N5317" s="200"/>
      <c r="O5317" s="200"/>
      <c r="P5317" s="200"/>
    </row>
    <row r="5318" spans="3:20" s="517" customFormat="1" ht="31.2" customHeight="1" thickBot="1">
      <c r="C5318" s="229" t="s">
        <v>1221</v>
      </c>
      <c r="D5318" s="230" t="s">
        <v>1222</v>
      </c>
      <c r="E5318" s="231"/>
      <c r="F5318" s="231"/>
      <c r="G5318" s="232"/>
      <c r="H5318" s="233">
        <f>SUM(H5316:H5317)</f>
        <v>12955.8</v>
      </c>
      <c r="L5318" s="200"/>
      <c r="M5318" s="200"/>
      <c r="N5318" s="200"/>
      <c r="O5318" s="200"/>
      <c r="P5318" s="200"/>
    </row>
    <row r="5319" spans="3:20" ht="31.2" customHeight="1" thickTop="1">
      <c r="D5319" s="758"/>
    </row>
    <row r="5320" spans="3:20" ht="31.2" customHeight="1">
      <c r="C5320" s="757" t="s">
        <v>6950</v>
      </c>
      <c r="F5320" s="758"/>
      <c r="H5320" s="758" t="s">
        <v>6959</v>
      </c>
    </row>
    <row r="5321" spans="3:20" ht="31.2" customHeight="1">
      <c r="C5321" s="200" t="s">
        <v>6951</v>
      </c>
      <c r="F5321" s="758"/>
    </row>
    <row r="5322" spans="3:20" ht="31.2" customHeight="1">
      <c r="C5322" s="200" t="s">
        <v>6952</v>
      </c>
      <c r="F5322" s="758"/>
    </row>
    <row r="5323" spans="3:20" ht="31.2" customHeight="1">
      <c r="C5323" s="200"/>
      <c r="F5323" s="758"/>
    </row>
    <row r="5324" spans="3:20" s="517" customFormat="1" ht="31.2" customHeight="1" thickBot="1">
      <c r="C5324" s="513" t="s">
        <v>7448</v>
      </c>
      <c r="D5324" s="748" t="s">
        <v>7449</v>
      </c>
      <c r="E5324" s="749"/>
      <c r="F5324" s="748"/>
      <c r="G5324" s="748"/>
      <c r="H5324" s="532"/>
      <c r="I5324" s="532"/>
      <c r="J5324" s="532"/>
      <c r="K5324" s="532"/>
      <c r="M5324" s="189"/>
      <c r="N5324" s="189"/>
      <c r="O5324" s="189"/>
      <c r="P5324" s="189"/>
      <c r="R5324" s="189">
        <f>ROUNDDOWN(H5343,-2)</f>
        <v>12900</v>
      </c>
      <c r="S5324" s="517" t="s">
        <v>6451</v>
      </c>
      <c r="T5324" s="517" t="s">
        <v>7014</v>
      </c>
    </row>
    <row r="5325" spans="3:20" s="517" customFormat="1" ht="31.2" customHeight="1" thickTop="1">
      <c r="C5325" s="190" t="s">
        <v>1195</v>
      </c>
      <c r="D5325" s="191" t="s">
        <v>1196</v>
      </c>
      <c r="E5325" s="191" t="s">
        <v>1197</v>
      </c>
      <c r="F5325" s="191" t="s">
        <v>1198</v>
      </c>
      <c r="G5325" s="191" t="s">
        <v>1199</v>
      </c>
      <c r="H5325" s="192" t="s">
        <v>1200</v>
      </c>
      <c r="L5325" s="200"/>
      <c r="M5325" s="200"/>
      <c r="N5325" s="200"/>
      <c r="O5325" s="200"/>
      <c r="P5325" s="200"/>
    </row>
    <row r="5326" spans="3:20" s="517" customFormat="1" ht="31.2" customHeight="1">
      <c r="C5326" s="518" t="s">
        <v>1201</v>
      </c>
      <c r="D5326" s="196" t="s">
        <v>1202</v>
      </c>
      <c r="E5326" s="197"/>
      <c r="F5326" s="197"/>
      <c r="G5326" s="197"/>
      <c r="H5326" s="198"/>
      <c r="L5326" s="200"/>
      <c r="M5326" s="200"/>
      <c r="N5326" s="200"/>
      <c r="O5326" s="200"/>
      <c r="P5326" s="200"/>
    </row>
    <row r="5327" spans="3:20" s="517" customFormat="1" ht="31.2" customHeight="1">
      <c r="C5327" s="537">
        <v>1</v>
      </c>
      <c r="D5327" s="196" t="s">
        <v>6954</v>
      </c>
      <c r="E5327" s="202" t="s">
        <v>6</v>
      </c>
      <c r="F5327" s="520">
        <v>0.05</v>
      </c>
      <c r="G5327" s="205">
        <f>VLOOKUP(D5327,upahbahan,3,FALSE)</f>
        <v>181250</v>
      </c>
      <c r="H5327" s="210">
        <f t="shared" ref="H5327:H5329" si="389">F5327*G5327</f>
        <v>9062.5</v>
      </c>
      <c r="L5327" s="200"/>
      <c r="M5327" s="200"/>
      <c r="N5327" s="200"/>
      <c r="O5327" s="200"/>
      <c r="P5327" s="200"/>
    </row>
    <row r="5328" spans="3:20" s="517" customFormat="1" ht="31.2" customHeight="1">
      <c r="C5328" s="537">
        <v>2</v>
      </c>
      <c r="D5328" s="196" t="s">
        <v>6948</v>
      </c>
      <c r="E5328" s="202" t="s">
        <v>2102</v>
      </c>
      <c r="F5328" s="520">
        <v>0.01</v>
      </c>
      <c r="G5328" s="205">
        <f>VLOOKUP(D5328,upahbahan,3,FALSE)</f>
        <v>218750</v>
      </c>
      <c r="H5328" s="210">
        <f t="shared" si="389"/>
        <v>2187.5</v>
      </c>
      <c r="L5328" s="200"/>
      <c r="M5328" s="200"/>
      <c r="N5328" s="200"/>
      <c r="O5328" s="200"/>
      <c r="P5328" s="200"/>
    </row>
    <row r="5329" spans="3:16" s="517" customFormat="1" ht="31.2" customHeight="1">
      <c r="C5329" s="537">
        <v>3</v>
      </c>
      <c r="D5329" s="196" t="s">
        <v>19</v>
      </c>
      <c r="E5329" s="202" t="s">
        <v>6</v>
      </c>
      <c r="F5329" s="520">
        <v>3.3E-3</v>
      </c>
      <c r="G5329" s="205">
        <f>VLOOKUP(D5329,upahbahan,3,FALSE)</f>
        <v>160000</v>
      </c>
      <c r="H5329" s="210">
        <f t="shared" si="389"/>
        <v>528</v>
      </c>
      <c r="L5329" s="200"/>
      <c r="M5329" s="200"/>
      <c r="N5329" s="200"/>
      <c r="O5329" s="200"/>
      <c r="P5329" s="200"/>
    </row>
    <row r="5330" spans="3:16" s="517" customFormat="1" ht="31.2" customHeight="1">
      <c r="C5330" s="207" t="s">
        <v>1208</v>
      </c>
      <c r="D5330" s="208"/>
      <c r="E5330" s="208"/>
      <c r="F5330" s="521"/>
      <c r="G5330" s="522"/>
      <c r="H5330" s="210">
        <f>SUM(H5327:H5329)</f>
        <v>11778</v>
      </c>
      <c r="L5330" s="523"/>
      <c r="M5330" s="523"/>
      <c r="N5330" s="523"/>
      <c r="O5330" s="523"/>
      <c r="P5330" s="523"/>
    </row>
    <row r="5331" spans="3:16" s="517" customFormat="1" ht="31.2" customHeight="1">
      <c r="C5331" s="543" t="s">
        <v>1209</v>
      </c>
      <c r="D5331" s="750" t="s">
        <v>1210</v>
      </c>
      <c r="E5331" s="197"/>
      <c r="F5331" s="751"/>
      <c r="G5331" s="197"/>
      <c r="H5331" s="752"/>
      <c r="L5331" s="200"/>
      <c r="M5331" s="200"/>
      <c r="N5331" s="200"/>
      <c r="O5331" s="200"/>
      <c r="P5331" s="200"/>
    </row>
    <row r="5332" spans="3:16" s="517" customFormat="1" ht="31.2" customHeight="1">
      <c r="C5332" s="543">
        <v>1</v>
      </c>
      <c r="D5332" s="750" t="s">
        <v>7450</v>
      </c>
      <c r="E5332" s="203" t="s">
        <v>44</v>
      </c>
      <c r="F5332" s="760">
        <v>16</v>
      </c>
      <c r="G5332" s="205">
        <f>VLOOKUP(D5332,upahbahan,3,FALSE)</f>
        <v>0</v>
      </c>
      <c r="H5332" s="210">
        <f t="shared" ref="H5332:H5337" si="390">F5332*G5332</f>
        <v>0</v>
      </c>
      <c r="L5332" s="200"/>
      <c r="M5332" s="200"/>
      <c r="N5332" s="200"/>
      <c r="O5332" s="200"/>
      <c r="P5332" s="200"/>
    </row>
    <row r="5333" spans="3:16" s="517" customFormat="1" ht="31.2" customHeight="1">
      <c r="C5333" s="543">
        <v>2</v>
      </c>
      <c r="D5333" s="750" t="s">
        <v>5563</v>
      </c>
      <c r="E5333" s="203" t="s">
        <v>65</v>
      </c>
      <c r="F5333" s="760">
        <v>0.01</v>
      </c>
      <c r="G5333" s="205">
        <f>VLOOKUP(D5333,upahbahan,3,FALSE)</f>
        <v>0</v>
      </c>
      <c r="H5333" s="210">
        <f t="shared" si="390"/>
        <v>0</v>
      </c>
      <c r="L5333" s="200"/>
      <c r="M5333" s="200"/>
      <c r="N5333" s="200"/>
      <c r="O5333" s="200"/>
      <c r="P5333" s="200"/>
    </row>
    <row r="5334" spans="3:16" s="517" customFormat="1" ht="31.2" customHeight="1">
      <c r="C5334" s="543">
        <v>3</v>
      </c>
      <c r="D5334" s="750" t="s">
        <v>5556</v>
      </c>
      <c r="E5334" s="203"/>
      <c r="F5334" s="753"/>
      <c r="G5334" s="197"/>
      <c r="H5334" s="210">
        <f t="shared" si="390"/>
        <v>0</v>
      </c>
      <c r="L5334" s="200"/>
      <c r="M5334" s="200"/>
      <c r="N5334" s="200"/>
      <c r="O5334" s="200"/>
      <c r="P5334" s="200"/>
    </row>
    <row r="5335" spans="3:16" s="517" customFormat="1" ht="31.2" customHeight="1">
      <c r="C5335" s="754" t="s">
        <v>5293</v>
      </c>
      <c r="D5335" s="750" t="s">
        <v>2084</v>
      </c>
      <c r="E5335" s="203" t="s">
        <v>42</v>
      </c>
      <c r="F5335" s="753">
        <v>1.0999999999999999E-2</v>
      </c>
      <c r="G5335" s="205">
        <f>VLOOKUP(D5335,upahbahan,3,FALSE)</f>
        <v>0</v>
      </c>
      <c r="H5335" s="210">
        <f t="shared" si="390"/>
        <v>0</v>
      </c>
      <c r="L5335" s="200"/>
      <c r="M5335" s="200"/>
      <c r="N5335" s="200"/>
      <c r="O5335" s="200"/>
      <c r="P5335" s="200"/>
    </row>
    <row r="5336" spans="3:16" s="517" customFormat="1" ht="31.2" customHeight="1">
      <c r="C5336" s="754" t="s">
        <v>5299</v>
      </c>
      <c r="D5336" s="750" t="s">
        <v>5566</v>
      </c>
      <c r="E5336" s="203" t="s">
        <v>42</v>
      </c>
      <c r="F5336" s="753">
        <v>3.0000000000000001E-3</v>
      </c>
      <c r="G5336" s="205">
        <f>VLOOKUP(D5336,upahbahan,3,FALSE)</f>
        <v>0</v>
      </c>
      <c r="H5336" s="210">
        <f t="shared" si="390"/>
        <v>0</v>
      </c>
      <c r="L5336" s="200"/>
      <c r="M5336" s="200"/>
      <c r="N5336" s="200"/>
      <c r="O5336" s="200"/>
      <c r="P5336" s="200"/>
    </row>
    <row r="5337" spans="3:16" s="517" customFormat="1" ht="31.2" customHeight="1">
      <c r="C5337" s="754" t="s">
        <v>5558</v>
      </c>
      <c r="D5337" s="750" t="s">
        <v>2325</v>
      </c>
      <c r="E5337" s="203" t="s">
        <v>42</v>
      </c>
      <c r="F5337" s="755">
        <v>1E-3</v>
      </c>
      <c r="G5337" s="205">
        <f>VLOOKUP(D5337,upahbahan,3,FALSE)</f>
        <v>0</v>
      </c>
      <c r="H5337" s="210">
        <f t="shared" si="390"/>
        <v>0</v>
      </c>
      <c r="L5337" s="200"/>
      <c r="M5337" s="200"/>
      <c r="N5337" s="200"/>
      <c r="O5337" s="200"/>
      <c r="P5337" s="200"/>
    </row>
    <row r="5338" spans="3:16" s="517" customFormat="1" ht="31.2" customHeight="1">
      <c r="C5338" s="207" t="s">
        <v>1214</v>
      </c>
      <c r="D5338" s="208"/>
      <c r="E5338" s="568"/>
      <c r="F5338" s="208"/>
      <c r="G5338" s="209"/>
      <c r="H5338" s="210">
        <f>SUM(H5332:H5337)</f>
        <v>0</v>
      </c>
      <c r="L5338" s="200"/>
      <c r="M5338" s="200"/>
      <c r="N5338" s="200"/>
      <c r="O5338" s="200"/>
      <c r="P5338" s="200"/>
    </row>
    <row r="5339" spans="3:16" s="517" customFormat="1" ht="31.2" customHeight="1">
      <c r="C5339" s="756" t="s">
        <v>1215</v>
      </c>
      <c r="D5339" s="196" t="s">
        <v>1216</v>
      </c>
      <c r="E5339" s="203"/>
      <c r="F5339" s="197"/>
      <c r="G5339" s="197"/>
      <c r="H5339" s="198"/>
      <c r="L5339" s="200"/>
      <c r="M5339" s="200"/>
      <c r="N5339" s="200"/>
      <c r="O5339" s="200"/>
      <c r="P5339" s="200"/>
    </row>
    <row r="5340" spans="3:16" s="517" customFormat="1" ht="31.2" customHeight="1">
      <c r="C5340" s="207" t="s">
        <v>1217</v>
      </c>
      <c r="D5340" s="208"/>
      <c r="E5340" s="208"/>
      <c r="F5340" s="208"/>
      <c r="G5340" s="209"/>
      <c r="H5340" s="240">
        <f>SUM(H5339)</f>
        <v>0</v>
      </c>
      <c r="L5340" s="200"/>
      <c r="M5340" s="200"/>
      <c r="N5340" s="200"/>
      <c r="O5340" s="200"/>
      <c r="P5340" s="200"/>
    </row>
    <row r="5341" spans="3:16" s="517" customFormat="1" ht="31.2" customHeight="1">
      <c r="C5341" s="223" t="s">
        <v>1218</v>
      </c>
      <c r="D5341" s="224" t="s">
        <v>1219</v>
      </c>
      <c r="E5341" s="225"/>
      <c r="F5341" s="225"/>
      <c r="G5341" s="226"/>
      <c r="H5341" s="210">
        <f>H5340+H5338+H5330</f>
        <v>11778</v>
      </c>
      <c r="L5341" s="200"/>
      <c r="M5341" s="200"/>
      <c r="N5341" s="200"/>
      <c r="O5341" s="200"/>
      <c r="P5341" s="200"/>
    </row>
    <row r="5342" spans="3:16" s="517" customFormat="1" ht="31.2" customHeight="1">
      <c r="C5342" s="223" t="s">
        <v>1220</v>
      </c>
      <c r="D5342" s="224" t="s">
        <v>1321</v>
      </c>
      <c r="E5342" s="225"/>
      <c r="F5342" s="226"/>
      <c r="G5342" s="228">
        <v>0.1</v>
      </c>
      <c r="H5342" s="210">
        <f>H5341*G5342</f>
        <v>1177.8</v>
      </c>
      <c r="L5342" s="200"/>
      <c r="M5342" s="200"/>
      <c r="N5342" s="200"/>
      <c r="O5342" s="200"/>
      <c r="P5342" s="200"/>
    </row>
    <row r="5343" spans="3:16" s="517" customFormat="1" ht="31.2" customHeight="1" thickBot="1">
      <c r="C5343" s="229" t="s">
        <v>1221</v>
      </c>
      <c r="D5343" s="230" t="s">
        <v>1222</v>
      </c>
      <c r="E5343" s="231"/>
      <c r="F5343" s="231"/>
      <c r="G5343" s="232"/>
      <c r="H5343" s="233">
        <f>SUM(H5341:H5342)</f>
        <v>12955.8</v>
      </c>
      <c r="L5343" s="200"/>
      <c r="M5343" s="200"/>
      <c r="N5343" s="200"/>
      <c r="O5343" s="200"/>
      <c r="P5343" s="200"/>
    </row>
    <row r="5344" spans="3:16" ht="31.2" customHeight="1" thickTop="1">
      <c r="D5344" s="758"/>
    </row>
    <row r="5345" spans="3:20" ht="31.2" customHeight="1">
      <c r="C5345" s="757" t="s">
        <v>6950</v>
      </c>
      <c r="F5345" s="758"/>
      <c r="H5345" s="758" t="s">
        <v>6959</v>
      </c>
    </row>
    <row r="5346" spans="3:20" ht="31.2" customHeight="1">
      <c r="C5346" s="200" t="s">
        <v>6951</v>
      </c>
      <c r="F5346" s="758"/>
    </row>
    <row r="5347" spans="3:20" ht="31.2" customHeight="1">
      <c r="C5347" s="200" t="s">
        <v>6952</v>
      </c>
      <c r="F5347" s="758"/>
    </row>
    <row r="5348" spans="3:20" ht="31.2" customHeight="1">
      <c r="C5348" s="200"/>
      <c r="F5348" s="758"/>
    </row>
    <row r="5349" spans="3:20" s="517" customFormat="1" ht="31.2" customHeight="1" thickBot="1">
      <c r="C5349" s="513" t="s">
        <v>7451</v>
      </c>
      <c r="D5349" s="748" t="s">
        <v>7452</v>
      </c>
      <c r="E5349" s="749"/>
      <c r="F5349" s="748"/>
      <c r="G5349" s="748"/>
      <c r="H5349" s="532"/>
      <c r="I5349" s="532"/>
      <c r="J5349" s="532"/>
      <c r="K5349" s="532"/>
      <c r="M5349" s="189"/>
      <c r="N5349" s="189"/>
      <c r="O5349" s="189"/>
      <c r="P5349" s="189"/>
      <c r="R5349" s="189">
        <f>ROUNDDOWN(H5368,-2)</f>
        <v>12900</v>
      </c>
      <c r="S5349" s="517" t="s">
        <v>6451</v>
      </c>
      <c r="T5349" s="517" t="s">
        <v>7014</v>
      </c>
    </row>
    <row r="5350" spans="3:20" s="517" customFormat="1" ht="31.2" customHeight="1" thickTop="1">
      <c r="C5350" s="190" t="s">
        <v>1195</v>
      </c>
      <c r="D5350" s="191" t="s">
        <v>1196</v>
      </c>
      <c r="E5350" s="191" t="s">
        <v>1197</v>
      </c>
      <c r="F5350" s="191" t="s">
        <v>1198</v>
      </c>
      <c r="G5350" s="191" t="s">
        <v>1199</v>
      </c>
      <c r="H5350" s="192" t="s">
        <v>1200</v>
      </c>
      <c r="L5350" s="200"/>
      <c r="M5350" s="200"/>
      <c r="N5350" s="200"/>
      <c r="O5350" s="200"/>
      <c r="P5350" s="200"/>
    </row>
    <row r="5351" spans="3:20" s="517" customFormat="1" ht="31.2" customHeight="1">
      <c r="C5351" s="518" t="s">
        <v>1201</v>
      </c>
      <c r="D5351" s="196" t="s">
        <v>1202</v>
      </c>
      <c r="E5351" s="197"/>
      <c r="F5351" s="197"/>
      <c r="G5351" s="197"/>
      <c r="H5351" s="198"/>
      <c r="L5351" s="200"/>
      <c r="M5351" s="200"/>
      <c r="N5351" s="200"/>
      <c r="O5351" s="200"/>
      <c r="P5351" s="200"/>
    </row>
    <row r="5352" spans="3:20" s="517" customFormat="1" ht="31.2" customHeight="1">
      <c r="C5352" s="537">
        <v>1</v>
      </c>
      <c r="D5352" s="196" t="s">
        <v>6954</v>
      </c>
      <c r="E5352" s="202" t="s">
        <v>6</v>
      </c>
      <c r="F5352" s="520">
        <v>0.05</v>
      </c>
      <c r="G5352" s="205">
        <f>VLOOKUP(D5352,upahbahan,3,FALSE)</f>
        <v>181250</v>
      </c>
      <c r="H5352" s="210">
        <f t="shared" ref="H5352:H5354" si="391">F5352*G5352</f>
        <v>9062.5</v>
      </c>
      <c r="L5352" s="200"/>
      <c r="M5352" s="200"/>
      <c r="N5352" s="200"/>
      <c r="O5352" s="200"/>
      <c r="P5352" s="200"/>
    </row>
    <row r="5353" spans="3:20" s="517" customFormat="1" ht="31.2" customHeight="1">
      <c r="C5353" s="537">
        <v>2</v>
      </c>
      <c r="D5353" s="196" t="s">
        <v>6948</v>
      </c>
      <c r="E5353" s="202" t="s">
        <v>2102</v>
      </c>
      <c r="F5353" s="520">
        <v>0.01</v>
      </c>
      <c r="G5353" s="205">
        <f>VLOOKUP(D5353,upahbahan,3,FALSE)</f>
        <v>218750</v>
      </c>
      <c r="H5353" s="210">
        <f t="shared" si="391"/>
        <v>2187.5</v>
      </c>
      <c r="L5353" s="200"/>
      <c r="M5353" s="200"/>
      <c r="N5353" s="200"/>
      <c r="O5353" s="200"/>
      <c r="P5353" s="200"/>
    </row>
    <row r="5354" spans="3:20" s="517" customFormat="1" ht="31.2" customHeight="1">
      <c r="C5354" s="537">
        <v>3</v>
      </c>
      <c r="D5354" s="196" t="s">
        <v>19</v>
      </c>
      <c r="E5354" s="202" t="s">
        <v>6</v>
      </c>
      <c r="F5354" s="520">
        <v>3.3E-3</v>
      </c>
      <c r="G5354" s="205">
        <f>VLOOKUP(D5354,upahbahan,3,FALSE)</f>
        <v>160000</v>
      </c>
      <c r="H5354" s="210">
        <f t="shared" si="391"/>
        <v>528</v>
      </c>
      <c r="L5354" s="200"/>
      <c r="M5354" s="200"/>
      <c r="N5354" s="200"/>
      <c r="O5354" s="200"/>
      <c r="P5354" s="200"/>
    </row>
    <row r="5355" spans="3:20" s="517" customFormat="1" ht="31.2" customHeight="1">
      <c r="C5355" s="207" t="s">
        <v>1208</v>
      </c>
      <c r="D5355" s="208"/>
      <c r="E5355" s="208"/>
      <c r="F5355" s="521"/>
      <c r="G5355" s="522"/>
      <c r="H5355" s="210">
        <f>SUM(H5352:H5354)</f>
        <v>11778</v>
      </c>
      <c r="L5355" s="523"/>
      <c r="M5355" s="523"/>
      <c r="N5355" s="523"/>
      <c r="O5355" s="523"/>
      <c r="P5355" s="523"/>
    </row>
    <row r="5356" spans="3:20" s="517" customFormat="1" ht="31.2" customHeight="1">
      <c r="C5356" s="543" t="s">
        <v>1209</v>
      </c>
      <c r="D5356" s="750" t="s">
        <v>1210</v>
      </c>
      <c r="E5356" s="197"/>
      <c r="F5356" s="751"/>
      <c r="G5356" s="197"/>
      <c r="H5356" s="752"/>
      <c r="L5356" s="200"/>
      <c r="M5356" s="200"/>
      <c r="N5356" s="200"/>
      <c r="O5356" s="200"/>
      <c r="P5356" s="200"/>
    </row>
    <row r="5357" spans="3:20" s="517" customFormat="1" ht="31.2" customHeight="1">
      <c r="C5357" s="543">
        <v>1</v>
      </c>
      <c r="D5357" s="750" t="s">
        <v>7453</v>
      </c>
      <c r="E5357" s="203" t="s">
        <v>44</v>
      </c>
      <c r="F5357" s="760">
        <v>16</v>
      </c>
      <c r="G5357" s="205">
        <f>VLOOKUP(D5357,upahbahan,3,FALSE)</f>
        <v>0</v>
      </c>
      <c r="H5357" s="210">
        <f t="shared" ref="H5357:H5362" si="392">F5357*G5357</f>
        <v>0</v>
      </c>
      <c r="L5357" s="200"/>
      <c r="M5357" s="200"/>
      <c r="N5357" s="200"/>
      <c r="O5357" s="200"/>
      <c r="P5357" s="200"/>
    </row>
    <row r="5358" spans="3:20" s="517" customFormat="1" ht="31.2" customHeight="1">
      <c r="C5358" s="543">
        <v>2</v>
      </c>
      <c r="D5358" s="750" t="s">
        <v>5563</v>
      </c>
      <c r="E5358" s="203" t="s">
        <v>65</v>
      </c>
      <c r="F5358" s="760">
        <v>0.01</v>
      </c>
      <c r="G5358" s="205">
        <f>VLOOKUP(D5358,upahbahan,3,FALSE)</f>
        <v>0</v>
      </c>
      <c r="H5358" s="210">
        <f t="shared" si="392"/>
        <v>0</v>
      </c>
      <c r="L5358" s="200"/>
      <c r="M5358" s="200"/>
      <c r="N5358" s="200"/>
      <c r="O5358" s="200"/>
      <c r="P5358" s="200"/>
    </row>
    <row r="5359" spans="3:20" s="517" customFormat="1" ht="31.2" customHeight="1">
      <c r="C5359" s="543">
        <v>3</v>
      </c>
      <c r="D5359" s="750" t="s">
        <v>5556</v>
      </c>
      <c r="E5359" s="203"/>
      <c r="F5359" s="753"/>
      <c r="G5359" s="197"/>
      <c r="H5359" s="210">
        <f t="shared" si="392"/>
        <v>0</v>
      </c>
      <c r="L5359" s="200"/>
      <c r="M5359" s="200"/>
      <c r="N5359" s="200"/>
      <c r="O5359" s="200"/>
      <c r="P5359" s="200"/>
    </row>
    <row r="5360" spans="3:20" s="517" customFormat="1" ht="31.2" customHeight="1">
      <c r="C5360" s="754" t="s">
        <v>5293</v>
      </c>
      <c r="D5360" s="750" t="s">
        <v>2084</v>
      </c>
      <c r="E5360" s="203" t="s">
        <v>42</v>
      </c>
      <c r="F5360" s="753">
        <v>1.0999999999999999E-2</v>
      </c>
      <c r="G5360" s="205">
        <f>VLOOKUP(D5360,upahbahan,3,FALSE)</f>
        <v>0</v>
      </c>
      <c r="H5360" s="210">
        <f t="shared" si="392"/>
        <v>0</v>
      </c>
      <c r="L5360" s="200"/>
      <c r="M5360" s="200"/>
      <c r="N5360" s="200"/>
      <c r="O5360" s="200"/>
      <c r="P5360" s="200"/>
    </row>
    <row r="5361" spans="3:20" s="517" customFormat="1" ht="31.2" customHeight="1">
      <c r="C5361" s="754" t="s">
        <v>5299</v>
      </c>
      <c r="D5361" s="750" t="s">
        <v>5566</v>
      </c>
      <c r="E5361" s="203" t="s">
        <v>42</v>
      </c>
      <c r="F5361" s="753">
        <v>3.0000000000000001E-3</v>
      </c>
      <c r="G5361" s="205">
        <f>VLOOKUP(D5361,upahbahan,3,FALSE)</f>
        <v>0</v>
      </c>
      <c r="H5361" s="210">
        <f t="shared" si="392"/>
        <v>0</v>
      </c>
      <c r="L5361" s="200"/>
      <c r="M5361" s="200"/>
      <c r="N5361" s="200"/>
      <c r="O5361" s="200"/>
      <c r="P5361" s="200"/>
    </row>
    <row r="5362" spans="3:20" s="517" customFormat="1" ht="31.2" customHeight="1">
      <c r="C5362" s="754" t="s">
        <v>5558</v>
      </c>
      <c r="D5362" s="750" t="s">
        <v>2325</v>
      </c>
      <c r="E5362" s="203" t="s">
        <v>42</v>
      </c>
      <c r="F5362" s="755">
        <v>1E-3</v>
      </c>
      <c r="G5362" s="205">
        <f>VLOOKUP(D5362,upahbahan,3,FALSE)</f>
        <v>0</v>
      </c>
      <c r="H5362" s="210">
        <f t="shared" si="392"/>
        <v>0</v>
      </c>
      <c r="L5362" s="200"/>
      <c r="M5362" s="200"/>
      <c r="N5362" s="200"/>
      <c r="O5362" s="200"/>
      <c r="P5362" s="200"/>
    </row>
    <row r="5363" spans="3:20" s="517" customFormat="1" ht="31.2" customHeight="1">
      <c r="C5363" s="207" t="s">
        <v>1214</v>
      </c>
      <c r="D5363" s="208"/>
      <c r="E5363" s="568"/>
      <c r="F5363" s="208"/>
      <c r="G5363" s="209"/>
      <c r="H5363" s="210">
        <f>SUM(H5357:H5362)</f>
        <v>0</v>
      </c>
      <c r="L5363" s="200"/>
      <c r="M5363" s="200"/>
      <c r="N5363" s="200"/>
      <c r="O5363" s="200"/>
      <c r="P5363" s="200"/>
    </row>
    <row r="5364" spans="3:20" s="517" customFormat="1" ht="31.2" customHeight="1">
      <c r="C5364" s="756" t="s">
        <v>1215</v>
      </c>
      <c r="D5364" s="196" t="s">
        <v>1216</v>
      </c>
      <c r="E5364" s="203"/>
      <c r="F5364" s="197"/>
      <c r="G5364" s="197"/>
      <c r="H5364" s="198"/>
      <c r="L5364" s="200"/>
      <c r="M5364" s="200"/>
      <c r="N5364" s="200"/>
      <c r="O5364" s="200"/>
      <c r="P5364" s="200"/>
    </row>
    <row r="5365" spans="3:20" s="517" customFormat="1" ht="31.2" customHeight="1">
      <c r="C5365" s="207" t="s">
        <v>1217</v>
      </c>
      <c r="D5365" s="208"/>
      <c r="E5365" s="208"/>
      <c r="F5365" s="208"/>
      <c r="G5365" s="209"/>
      <c r="H5365" s="240">
        <f>SUM(H5364)</f>
        <v>0</v>
      </c>
      <c r="L5365" s="200"/>
      <c r="M5365" s="200"/>
      <c r="N5365" s="200"/>
      <c r="O5365" s="200"/>
      <c r="P5365" s="200"/>
    </row>
    <row r="5366" spans="3:20" s="517" customFormat="1" ht="31.2" customHeight="1">
      <c r="C5366" s="223" t="s">
        <v>1218</v>
      </c>
      <c r="D5366" s="224" t="s">
        <v>1219</v>
      </c>
      <c r="E5366" s="225"/>
      <c r="F5366" s="225"/>
      <c r="G5366" s="226"/>
      <c r="H5366" s="210">
        <f>H5365+H5363+H5355</f>
        <v>11778</v>
      </c>
      <c r="L5366" s="200"/>
      <c r="M5366" s="200"/>
      <c r="N5366" s="200"/>
      <c r="O5366" s="200"/>
      <c r="P5366" s="200"/>
    </row>
    <row r="5367" spans="3:20" s="517" customFormat="1" ht="31.2" customHeight="1">
      <c r="C5367" s="223" t="s">
        <v>1220</v>
      </c>
      <c r="D5367" s="224" t="s">
        <v>1321</v>
      </c>
      <c r="E5367" s="225"/>
      <c r="F5367" s="226"/>
      <c r="G5367" s="228">
        <v>0.1</v>
      </c>
      <c r="H5367" s="210">
        <f>H5366*G5367</f>
        <v>1177.8</v>
      </c>
      <c r="L5367" s="200"/>
      <c r="M5367" s="200"/>
      <c r="N5367" s="200"/>
      <c r="O5367" s="200"/>
      <c r="P5367" s="200"/>
    </row>
    <row r="5368" spans="3:20" s="517" customFormat="1" ht="31.2" customHeight="1" thickBot="1">
      <c r="C5368" s="229" t="s">
        <v>1221</v>
      </c>
      <c r="D5368" s="230" t="s">
        <v>1222</v>
      </c>
      <c r="E5368" s="231"/>
      <c r="F5368" s="231"/>
      <c r="G5368" s="232"/>
      <c r="H5368" s="233">
        <f>SUM(H5366:H5367)</f>
        <v>12955.8</v>
      </c>
      <c r="L5368" s="200"/>
      <c r="M5368" s="200"/>
      <c r="N5368" s="200"/>
      <c r="O5368" s="200"/>
      <c r="P5368" s="200"/>
    </row>
    <row r="5369" spans="3:20" ht="31.2" customHeight="1" thickTop="1">
      <c r="D5369" s="758"/>
    </row>
    <row r="5370" spans="3:20" ht="31.2" customHeight="1">
      <c r="C5370" s="757" t="s">
        <v>6950</v>
      </c>
      <c r="F5370" s="758"/>
      <c r="H5370" s="758" t="s">
        <v>6959</v>
      </c>
    </row>
    <row r="5371" spans="3:20" ht="31.2" customHeight="1">
      <c r="C5371" s="200" t="s">
        <v>6951</v>
      </c>
      <c r="F5371" s="758"/>
    </row>
    <row r="5372" spans="3:20" ht="31.2" customHeight="1">
      <c r="C5372" s="200" t="s">
        <v>6952</v>
      </c>
      <c r="F5372" s="758"/>
    </row>
    <row r="5373" spans="3:20" ht="31.2" customHeight="1">
      <c r="C5373" s="200"/>
      <c r="F5373" s="758"/>
    </row>
    <row r="5374" spans="3:20" s="517" customFormat="1" ht="31.2" customHeight="1" thickBot="1">
      <c r="C5374" s="513" t="s">
        <v>7454</v>
      </c>
      <c r="D5374" s="748" t="s">
        <v>7455</v>
      </c>
      <c r="E5374" s="749"/>
      <c r="F5374" s="748"/>
      <c r="G5374" s="748"/>
      <c r="H5374" s="532"/>
      <c r="I5374" s="532"/>
      <c r="J5374" s="532"/>
      <c r="K5374" s="532"/>
      <c r="M5374" s="189"/>
      <c r="N5374" s="189"/>
      <c r="O5374" s="189"/>
      <c r="P5374" s="189"/>
      <c r="R5374" s="189">
        <f>ROUNDDOWN(H5393,-2)</f>
        <v>12900</v>
      </c>
      <c r="S5374" s="517" t="s">
        <v>6451</v>
      </c>
      <c r="T5374" s="517" t="s">
        <v>7014</v>
      </c>
    </row>
    <row r="5375" spans="3:20" s="517" customFormat="1" ht="31.2" customHeight="1" thickTop="1">
      <c r="C5375" s="190" t="s">
        <v>1195</v>
      </c>
      <c r="D5375" s="191" t="s">
        <v>1196</v>
      </c>
      <c r="E5375" s="191" t="s">
        <v>1197</v>
      </c>
      <c r="F5375" s="191" t="s">
        <v>1198</v>
      </c>
      <c r="G5375" s="191" t="s">
        <v>1199</v>
      </c>
      <c r="H5375" s="192" t="s">
        <v>1200</v>
      </c>
      <c r="L5375" s="200"/>
      <c r="M5375" s="200"/>
      <c r="N5375" s="200"/>
      <c r="O5375" s="200"/>
      <c r="P5375" s="200"/>
    </row>
    <row r="5376" spans="3:20" s="517" customFormat="1" ht="31.2" customHeight="1">
      <c r="C5376" s="518" t="s">
        <v>1201</v>
      </c>
      <c r="D5376" s="196" t="s">
        <v>1202</v>
      </c>
      <c r="E5376" s="197"/>
      <c r="F5376" s="197"/>
      <c r="G5376" s="197"/>
      <c r="H5376" s="198"/>
      <c r="L5376" s="200"/>
      <c r="M5376" s="200"/>
      <c r="N5376" s="200"/>
      <c r="O5376" s="200"/>
      <c r="P5376" s="200"/>
    </row>
    <row r="5377" spans="3:16" s="517" customFormat="1" ht="31.2" customHeight="1">
      <c r="C5377" s="537">
        <v>1</v>
      </c>
      <c r="D5377" s="196" t="s">
        <v>6954</v>
      </c>
      <c r="E5377" s="202" t="s">
        <v>6</v>
      </c>
      <c r="F5377" s="520">
        <v>0.05</v>
      </c>
      <c r="G5377" s="205">
        <f>VLOOKUP(D5377,upahbahan,3,FALSE)</f>
        <v>181250</v>
      </c>
      <c r="H5377" s="210">
        <f t="shared" ref="H5377:H5379" si="393">F5377*G5377</f>
        <v>9062.5</v>
      </c>
      <c r="L5377" s="200"/>
      <c r="M5377" s="200"/>
      <c r="N5377" s="200"/>
      <c r="O5377" s="200"/>
      <c r="P5377" s="200"/>
    </row>
    <row r="5378" spans="3:16" s="517" customFormat="1" ht="31.2" customHeight="1">
      <c r="C5378" s="537">
        <v>2</v>
      </c>
      <c r="D5378" s="196" t="s">
        <v>6948</v>
      </c>
      <c r="E5378" s="202" t="s">
        <v>2102</v>
      </c>
      <c r="F5378" s="520">
        <v>0.01</v>
      </c>
      <c r="G5378" s="205">
        <f>VLOOKUP(D5378,upahbahan,3,FALSE)</f>
        <v>218750</v>
      </c>
      <c r="H5378" s="210">
        <f t="shared" si="393"/>
        <v>2187.5</v>
      </c>
      <c r="L5378" s="200"/>
      <c r="M5378" s="200"/>
      <c r="N5378" s="200"/>
      <c r="O5378" s="200"/>
      <c r="P5378" s="200"/>
    </row>
    <row r="5379" spans="3:16" s="517" customFormat="1" ht="31.2" customHeight="1">
      <c r="C5379" s="537">
        <v>3</v>
      </c>
      <c r="D5379" s="196" t="s">
        <v>19</v>
      </c>
      <c r="E5379" s="202" t="s">
        <v>6</v>
      </c>
      <c r="F5379" s="520">
        <v>3.3E-3</v>
      </c>
      <c r="G5379" s="205">
        <f>VLOOKUP(D5379,upahbahan,3,FALSE)</f>
        <v>160000</v>
      </c>
      <c r="H5379" s="210">
        <f t="shared" si="393"/>
        <v>528</v>
      </c>
      <c r="L5379" s="200"/>
      <c r="M5379" s="200"/>
      <c r="N5379" s="200"/>
      <c r="O5379" s="200"/>
      <c r="P5379" s="200"/>
    </row>
    <row r="5380" spans="3:16" s="517" customFormat="1" ht="31.2" customHeight="1">
      <c r="C5380" s="207" t="s">
        <v>1208</v>
      </c>
      <c r="D5380" s="208"/>
      <c r="E5380" s="208"/>
      <c r="F5380" s="521"/>
      <c r="G5380" s="522"/>
      <c r="H5380" s="210">
        <f>SUM(H5377:H5379)</f>
        <v>11778</v>
      </c>
      <c r="L5380" s="523"/>
      <c r="M5380" s="523"/>
      <c r="N5380" s="523"/>
      <c r="O5380" s="523"/>
      <c r="P5380" s="523"/>
    </row>
    <row r="5381" spans="3:16" s="517" customFormat="1" ht="31.2" customHeight="1">
      <c r="C5381" s="543" t="s">
        <v>1209</v>
      </c>
      <c r="D5381" s="750" t="s">
        <v>1210</v>
      </c>
      <c r="E5381" s="197"/>
      <c r="F5381" s="751"/>
      <c r="G5381" s="197"/>
      <c r="H5381" s="752"/>
      <c r="L5381" s="200"/>
      <c r="M5381" s="200"/>
      <c r="N5381" s="200"/>
      <c r="O5381" s="200"/>
      <c r="P5381" s="200"/>
    </row>
    <row r="5382" spans="3:16" s="517" customFormat="1" ht="31.2" customHeight="1">
      <c r="C5382" s="543">
        <v>1</v>
      </c>
      <c r="D5382" s="750" t="s">
        <v>7456</v>
      </c>
      <c r="E5382" s="203" t="s">
        <v>44</v>
      </c>
      <c r="F5382" s="760">
        <v>16</v>
      </c>
      <c r="G5382" s="205">
        <f>VLOOKUP(D5382,upahbahan,3,FALSE)</f>
        <v>0</v>
      </c>
      <c r="H5382" s="210">
        <f t="shared" ref="H5382:H5387" si="394">F5382*G5382</f>
        <v>0</v>
      </c>
      <c r="L5382" s="200"/>
      <c r="M5382" s="200"/>
      <c r="N5382" s="200"/>
      <c r="O5382" s="200"/>
      <c r="P5382" s="200"/>
    </row>
    <row r="5383" spans="3:16" s="517" customFormat="1" ht="31.2" customHeight="1">
      <c r="C5383" s="543">
        <v>2</v>
      </c>
      <c r="D5383" s="750" t="s">
        <v>5563</v>
      </c>
      <c r="E5383" s="203" t="s">
        <v>65</v>
      </c>
      <c r="F5383" s="760">
        <v>0.01</v>
      </c>
      <c r="G5383" s="205">
        <f>VLOOKUP(D5383,upahbahan,3,FALSE)</f>
        <v>0</v>
      </c>
      <c r="H5383" s="210">
        <f t="shared" si="394"/>
        <v>0</v>
      </c>
      <c r="L5383" s="200"/>
      <c r="M5383" s="200"/>
      <c r="N5383" s="200"/>
      <c r="O5383" s="200"/>
      <c r="P5383" s="200"/>
    </row>
    <row r="5384" spans="3:16" s="517" customFormat="1" ht="31.2" customHeight="1">
      <c r="C5384" s="543">
        <v>3</v>
      </c>
      <c r="D5384" s="750" t="s">
        <v>5556</v>
      </c>
      <c r="E5384" s="203"/>
      <c r="F5384" s="753"/>
      <c r="G5384" s="197"/>
      <c r="H5384" s="210">
        <f t="shared" si="394"/>
        <v>0</v>
      </c>
      <c r="L5384" s="200"/>
      <c r="M5384" s="200"/>
      <c r="N5384" s="200"/>
      <c r="O5384" s="200"/>
      <c r="P5384" s="200"/>
    </row>
    <row r="5385" spans="3:16" s="517" customFormat="1" ht="31.2" customHeight="1">
      <c r="C5385" s="754" t="s">
        <v>5293</v>
      </c>
      <c r="D5385" s="750" t="s">
        <v>2084</v>
      </c>
      <c r="E5385" s="203" t="s">
        <v>42</v>
      </c>
      <c r="F5385" s="753">
        <v>1.0999999999999999E-2</v>
      </c>
      <c r="G5385" s="205">
        <f>VLOOKUP(D5385,upahbahan,3,FALSE)</f>
        <v>0</v>
      </c>
      <c r="H5385" s="210">
        <f t="shared" si="394"/>
        <v>0</v>
      </c>
      <c r="L5385" s="200"/>
      <c r="M5385" s="200"/>
      <c r="N5385" s="200"/>
      <c r="O5385" s="200"/>
      <c r="P5385" s="200"/>
    </row>
    <row r="5386" spans="3:16" s="517" customFormat="1" ht="31.2" customHeight="1">
      <c r="C5386" s="754" t="s">
        <v>5299</v>
      </c>
      <c r="D5386" s="750" t="s">
        <v>5566</v>
      </c>
      <c r="E5386" s="203" t="s">
        <v>42</v>
      </c>
      <c r="F5386" s="753">
        <v>3.0000000000000001E-3</v>
      </c>
      <c r="G5386" s="205">
        <f>VLOOKUP(D5386,upahbahan,3,FALSE)</f>
        <v>0</v>
      </c>
      <c r="H5386" s="210">
        <f t="shared" si="394"/>
        <v>0</v>
      </c>
      <c r="L5386" s="200"/>
      <c r="M5386" s="200"/>
      <c r="N5386" s="200"/>
      <c r="O5386" s="200"/>
      <c r="P5386" s="200"/>
    </row>
    <row r="5387" spans="3:16" s="517" customFormat="1" ht="31.2" customHeight="1">
      <c r="C5387" s="754" t="s">
        <v>5558</v>
      </c>
      <c r="D5387" s="750" t="s">
        <v>2325</v>
      </c>
      <c r="E5387" s="203" t="s">
        <v>42</v>
      </c>
      <c r="F5387" s="755">
        <v>1E-3</v>
      </c>
      <c r="G5387" s="205">
        <f>VLOOKUP(D5387,upahbahan,3,FALSE)</f>
        <v>0</v>
      </c>
      <c r="H5387" s="210">
        <f t="shared" si="394"/>
        <v>0</v>
      </c>
      <c r="L5387" s="200"/>
      <c r="M5387" s="200"/>
      <c r="N5387" s="200"/>
      <c r="O5387" s="200"/>
      <c r="P5387" s="200"/>
    </row>
    <row r="5388" spans="3:16" s="517" customFormat="1" ht="31.2" customHeight="1">
      <c r="C5388" s="207" t="s">
        <v>1214</v>
      </c>
      <c r="D5388" s="208"/>
      <c r="E5388" s="568"/>
      <c r="F5388" s="208"/>
      <c r="G5388" s="209"/>
      <c r="H5388" s="210">
        <f>SUM(H5382:H5387)</f>
        <v>0</v>
      </c>
      <c r="L5388" s="200"/>
      <c r="M5388" s="200"/>
      <c r="N5388" s="200"/>
      <c r="O5388" s="200"/>
      <c r="P5388" s="200"/>
    </row>
    <row r="5389" spans="3:16" s="517" customFormat="1" ht="31.2" customHeight="1">
      <c r="C5389" s="756" t="s">
        <v>1215</v>
      </c>
      <c r="D5389" s="196" t="s">
        <v>1216</v>
      </c>
      <c r="E5389" s="203"/>
      <c r="F5389" s="197"/>
      <c r="G5389" s="197"/>
      <c r="H5389" s="198"/>
      <c r="L5389" s="200"/>
      <c r="M5389" s="200"/>
      <c r="N5389" s="200"/>
      <c r="O5389" s="200"/>
      <c r="P5389" s="200"/>
    </row>
    <row r="5390" spans="3:16" s="517" customFormat="1" ht="31.2" customHeight="1">
      <c r="C5390" s="207" t="s">
        <v>1217</v>
      </c>
      <c r="D5390" s="208"/>
      <c r="E5390" s="208"/>
      <c r="F5390" s="208"/>
      <c r="G5390" s="209"/>
      <c r="H5390" s="240">
        <f>SUM(H5389)</f>
        <v>0</v>
      </c>
      <c r="L5390" s="200"/>
      <c r="M5390" s="200"/>
      <c r="N5390" s="200"/>
      <c r="O5390" s="200"/>
      <c r="P5390" s="200"/>
    </row>
    <row r="5391" spans="3:16" s="517" customFormat="1" ht="31.2" customHeight="1">
      <c r="C5391" s="223" t="s">
        <v>1218</v>
      </c>
      <c r="D5391" s="224" t="s">
        <v>1219</v>
      </c>
      <c r="E5391" s="225"/>
      <c r="F5391" s="225"/>
      <c r="G5391" s="226"/>
      <c r="H5391" s="210">
        <f>H5390+H5388+H5380</f>
        <v>11778</v>
      </c>
      <c r="L5391" s="200"/>
      <c r="M5391" s="200"/>
      <c r="N5391" s="200"/>
      <c r="O5391" s="200"/>
      <c r="P5391" s="200"/>
    </row>
    <row r="5392" spans="3:16" s="517" customFormat="1" ht="31.2" customHeight="1">
      <c r="C5392" s="223" t="s">
        <v>1220</v>
      </c>
      <c r="D5392" s="224" t="s">
        <v>1321</v>
      </c>
      <c r="E5392" s="225"/>
      <c r="F5392" s="226"/>
      <c r="G5392" s="228">
        <v>0.1</v>
      </c>
      <c r="H5392" s="210">
        <f>H5391*G5392</f>
        <v>1177.8</v>
      </c>
      <c r="L5392" s="200"/>
      <c r="M5392" s="200"/>
      <c r="N5392" s="200"/>
      <c r="O5392" s="200"/>
      <c r="P5392" s="200"/>
    </row>
    <row r="5393" spans="3:20" s="517" customFormat="1" ht="31.2" customHeight="1" thickBot="1">
      <c r="C5393" s="229" t="s">
        <v>1221</v>
      </c>
      <c r="D5393" s="230" t="s">
        <v>1222</v>
      </c>
      <c r="E5393" s="231"/>
      <c r="F5393" s="231"/>
      <c r="G5393" s="232"/>
      <c r="H5393" s="233">
        <f>SUM(H5391:H5392)</f>
        <v>12955.8</v>
      </c>
      <c r="L5393" s="200"/>
      <c r="M5393" s="200"/>
      <c r="N5393" s="200"/>
      <c r="O5393" s="200"/>
      <c r="P5393" s="200"/>
    </row>
    <row r="5394" spans="3:20" ht="31.2" customHeight="1" thickTop="1">
      <c r="D5394" s="758"/>
    </row>
    <row r="5395" spans="3:20" ht="31.2" customHeight="1">
      <c r="C5395" s="757" t="s">
        <v>6950</v>
      </c>
      <c r="F5395" s="758"/>
      <c r="H5395" s="758" t="s">
        <v>6959</v>
      </c>
    </row>
    <row r="5396" spans="3:20" ht="31.2" customHeight="1">
      <c r="C5396" s="200" t="s">
        <v>6951</v>
      </c>
      <c r="F5396" s="758"/>
    </row>
    <row r="5397" spans="3:20" ht="31.2" customHeight="1">
      <c r="C5397" s="200" t="s">
        <v>6952</v>
      </c>
      <c r="F5397" s="758"/>
    </row>
    <row r="5398" spans="3:20" ht="31.2" customHeight="1">
      <c r="C5398" s="200"/>
      <c r="F5398" s="758"/>
    </row>
    <row r="5399" spans="3:20" s="517" customFormat="1" ht="31.2" customHeight="1" thickBot="1">
      <c r="C5399" s="513" t="s">
        <v>7457</v>
      </c>
      <c r="D5399" s="748" t="s">
        <v>7458</v>
      </c>
      <c r="E5399" s="749"/>
      <c r="F5399" s="748"/>
      <c r="G5399" s="748"/>
      <c r="H5399" s="532"/>
      <c r="I5399" s="532"/>
      <c r="J5399" s="532"/>
      <c r="K5399" s="532"/>
      <c r="M5399" s="189"/>
      <c r="N5399" s="189"/>
      <c r="O5399" s="189"/>
      <c r="P5399" s="189"/>
      <c r="R5399" s="189">
        <f>ROUNDDOWN(H5418,-2)</f>
        <v>12900</v>
      </c>
      <c r="S5399" s="517" t="s">
        <v>6451</v>
      </c>
      <c r="T5399" s="517" t="s">
        <v>7014</v>
      </c>
    </row>
    <row r="5400" spans="3:20" s="517" customFormat="1" ht="31.2" customHeight="1" thickTop="1">
      <c r="C5400" s="190" t="s">
        <v>1195</v>
      </c>
      <c r="D5400" s="191" t="s">
        <v>1196</v>
      </c>
      <c r="E5400" s="191" t="s">
        <v>1197</v>
      </c>
      <c r="F5400" s="191" t="s">
        <v>1198</v>
      </c>
      <c r="G5400" s="191" t="s">
        <v>1199</v>
      </c>
      <c r="H5400" s="192" t="s">
        <v>1200</v>
      </c>
      <c r="L5400" s="200"/>
      <c r="M5400" s="200"/>
      <c r="N5400" s="200"/>
      <c r="O5400" s="200"/>
      <c r="P5400" s="200"/>
    </row>
    <row r="5401" spans="3:20" s="517" customFormat="1" ht="31.2" customHeight="1">
      <c r="C5401" s="518" t="s">
        <v>1201</v>
      </c>
      <c r="D5401" s="196" t="s">
        <v>1202</v>
      </c>
      <c r="E5401" s="197"/>
      <c r="F5401" s="197"/>
      <c r="G5401" s="197"/>
      <c r="H5401" s="198"/>
      <c r="L5401" s="200"/>
      <c r="M5401" s="200"/>
      <c r="N5401" s="200"/>
      <c r="O5401" s="200"/>
      <c r="P5401" s="200"/>
    </row>
    <row r="5402" spans="3:20" s="517" customFormat="1" ht="31.2" customHeight="1">
      <c r="C5402" s="537">
        <v>1</v>
      </c>
      <c r="D5402" s="196" t="s">
        <v>6954</v>
      </c>
      <c r="E5402" s="202" t="s">
        <v>6</v>
      </c>
      <c r="F5402" s="520">
        <v>0.05</v>
      </c>
      <c r="G5402" s="205">
        <f>VLOOKUP(D5402,upahbahan,3,FALSE)</f>
        <v>181250</v>
      </c>
      <c r="H5402" s="210">
        <f t="shared" ref="H5402:H5404" si="395">F5402*G5402</f>
        <v>9062.5</v>
      </c>
      <c r="L5402" s="200"/>
      <c r="M5402" s="200"/>
      <c r="N5402" s="200"/>
      <c r="O5402" s="200"/>
      <c r="P5402" s="200"/>
    </row>
    <row r="5403" spans="3:20" s="517" customFormat="1" ht="31.2" customHeight="1">
      <c r="C5403" s="537">
        <v>2</v>
      </c>
      <c r="D5403" s="196" t="s">
        <v>6948</v>
      </c>
      <c r="E5403" s="202" t="s">
        <v>2102</v>
      </c>
      <c r="F5403" s="520">
        <v>0.01</v>
      </c>
      <c r="G5403" s="205">
        <f>VLOOKUP(D5403,upahbahan,3,FALSE)</f>
        <v>218750</v>
      </c>
      <c r="H5403" s="210">
        <f t="shared" si="395"/>
        <v>2187.5</v>
      </c>
      <c r="L5403" s="200"/>
      <c r="M5403" s="200"/>
      <c r="N5403" s="200"/>
      <c r="O5403" s="200"/>
      <c r="P5403" s="200"/>
    </row>
    <row r="5404" spans="3:20" s="517" customFormat="1" ht="31.2" customHeight="1">
      <c r="C5404" s="537">
        <v>3</v>
      </c>
      <c r="D5404" s="196" t="s">
        <v>19</v>
      </c>
      <c r="E5404" s="202" t="s">
        <v>6</v>
      </c>
      <c r="F5404" s="520">
        <v>3.3E-3</v>
      </c>
      <c r="G5404" s="205">
        <f>VLOOKUP(D5404,upahbahan,3,FALSE)</f>
        <v>160000</v>
      </c>
      <c r="H5404" s="210">
        <f t="shared" si="395"/>
        <v>528</v>
      </c>
      <c r="L5404" s="200"/>
      <c r="M5404" s="200"/>
      <c r="N5404" s="200"/>
      <c r="O5404" s="200"/>
      <c r="P5404" s="200"/>
    </row>
    <row r="5405" spans="3:20" s="517" customFormat="1" ht="31.2" customHeight="1">
      <c r="C5405" s="207" t="s">
        <v>1208</v>
      </c>
      <c r="D5405" s="208"/>
      <c r="E5405" s="208"/>
      <c r="F5405" s="521"/>
      <c r="G5405" s="522"/>
      <c r="H5405" s="210">
        <f>SUM(H5402:H5404)</f>
        <v>11778</v>
      </c>
      <c r="L5405" s="523"/>
      <c r="M5405" s="523"/>
      <c r="N5405" s="523"/>
      <c r="O5405" s="523"/>
      <c r="P5405" s="523"/>
    </row>
    <row r="5406" spans="3:20" s="517" customFormat="1" ht="31.2" customHeight="1">
      <c r="C5406" s="543" t="s">
        <v>1209</v>
      </c>
      <c r="D5406" s="750" t="s">
        <v>1210</v>
      </c>
      <c r="E5406" s="197"/>
      <c r="F5406" s="751"/>
      <c r="G5406" s="197"/>
      <c r="H5406" s="752"/>
      <c r="L5406" s="200"/>
      <c r="M5406" s="200"/>
      <c r="N5406" s="200"/>
      <c r="O5406" s="200"/>
      <c r="P5406" s="200"/>
    </row>
    <row r="5407" spans="3:20" s="517" customFormat="1" ht="31.2" customHeight="1">
      <c r="C5407" s="543">
        <v>1</v>
      </c>
      <c r="D5407" s="750" t="s">
        <v>7459</v>
      </c>
      <c r="E5407" s="203" t="s">
        <v>44</v>
      </c>
      <c r="F5407" s="760">
        <v>16</v>
      </c>
      <c r="G5407" s="205">
        <f>VLOOKUP(D5407,upahbahan,3,FALSE)</f>
        <v>0</v>
      </c>
      <c r="H5407" s="210">
        <f t="shared" ref="H5407:H5412" si="396">F5407*G5407</f>
        <v>0</v>
      </c>
      <c r="L5407" s="200"/>
      <c r="M5407" s="200"/>
      <c r="N5407" s="200"/>
      <c r="O5407" s="200"/>
      <c r="P5407" s="200"/>
    </row>
    <row r="5408" spans="3:20" s="517" customFormat="1" ht="31.2" customHeight="1">
      <c r="C5408" s="543">
        <v>2</v>
      </c>
      <c r="D5408" s="750" t="s">
        <v>5563</v>
      </c>
      <c r="E5408" s="203" t="s">
        <v>65</v>
      </c>
      <c r="F5408" s="760">
        <v>0.01</v>
      </c>
      <c r="G5408" s="205">
        <f>VLOOKUP(D5408,upahbahan,3,FALSE)</f>
        <v>0</v>
      </c>
      <c r="H5408" s="210">
        <f t="shared" si="396"/>
        <v>0</v>
      </c>
      <c r="L5408" s="200"/>
      <c r="M5408" s="200"/>
      <c r="N5408" s="200"/>
      <c r="O5408" s="200"/>
      <c r="P5408" s="200"/>
    </row>
    <row r="5409" spans="3:20" s="517" customFormat="1" ht="31.2" customHeight="1">
      <c r="C5409" s="543">
        <v>3</v>
      </c>
      <c r="D5409" s="750" t="s">
        <v>5556</v>
      </c>
      <c r="E5409" s="203"/>
      <c r="F5409" s="753"/>
      <c r="G5409" s="197"/>
      <c r="H5409" s="210">
        <f t="shared" si="396"/>
        <v>0</v>
      </c>
      <c r="L5409" s="200"/>
      <c r="M5409" s="200"/>
      <c r="N5409" s="200"/>
      <c r="O5409" s="200"/>
      <c r="P5409" s="200"/>
    </row>
    <row r="5410" spans="3:20" s="517" customFormat="1" ht="31.2" customHeight="1">
      <c r="C5410" s="754" t="s">
        <v>5293</v>
      </c>
      <c r="D5410" s="750" t="s">
        <v>2084</v>
      </c>
      <c r="E5410" s="203" t="s">
        <v>42</v>
      </c>
      <c r="F5410" s="753">
        <v>1.0999999999999999E-2</v>
      </c>
      <c r="G5410" s="205">
        <f>VLOOKUP(D5410,upahbahan,3,FALSE)</f>
        <v>0</v>
      </c>
      <c r="H5410" s="210">
        <f t="shared" si="396"/>
        <v>0</v>
      </c>
      <c r="L5410" s="200"/>
      <c r="M5410" s="200"/>
      <c r="N5410" s="200"/>
      <c r="O5410" s="200"/>
      <c r="P5410" s="200"/>
    </row>
    <row r="5411" spans="3:20" s="517" customFormat="1" ht="31.2" customHeight="1">
      <c r="C5411" s="754" t="s">
        <v>5299</v>
      </c>
      <c r="D5411" s="750" t="s">
        <v>5566</v>
      </c>
      <c r="E5411" s="203" t="s">
        <v>42</v>
      </c>
      <c r="F5411" s="753">
        <v>3.0000000000000001E-3</v>
      </c>
      <c r="G5411" s="205">
        <f>VLOOKUP(D5411,upahbahan,3,FALSE)</f>
        <v>0</v>
      </c>
      <c r="H5411" s="210">
        <f t="shared" si="396"/>
        <v>0</v>
      </c>
      <c r="L5411" s="200"/>
      <c r="M5411" s="200"/>
      <c r="N5411" s="200"/>
      <c r="O5411" s="200"/>
      <c r="P5411" s="200"/>
    </row>
    <row r="5412" spans="3:20" s="517" customFormat="1" ht="31.2" customHeight="1">
      <c r="C5412" s="754" t="s">
        <v>5558</v>
      </c>
      <c r="D5412" s="750" t="s">
        <v>2325</v>
      </c>
      <c r="E5412" s="203" t="s">
        <v>42</v>
      </c>
      <c r="F5412" s="755">
        <v>1E-3</v>
      </c>
      <c r="G5412" s="205">
        <f>VLOOKUP(D5412,upahbahan,3,FALSE)</f>
        <v>0</v>
      </c>
      <c r="H5412" s="210">
        <f t="shared" si="396"/>
        <v>0</v>
      </c>
      <c r="L5412" s="200"/>
      <c r="M5412" s="200"/>
      <c r="N5412" s="200"/>
      <c r="O5412" s="200"/>
      <c r="P5412" s="200"/>
    </row>
    <row r="5413" spans="3:20" s="517" customFormat="1" ht="31.2" customHeight="1">
      <c r="C5413" s="207" t="s">
        <v>1214</v>
      </c>
      <c r="D5413" s="208"/>
      <c r="E5413" s="568"/>
      <c r="F5413" s="208"/>
      <c r="G5413" s="209"/>
      <c r="H5413" s="210">
        <f>SUM(H5407:H5412)</f>
        <v>0</v>
      </c>
      <c r="L5413" s="200"/>
      <c r="M5413" s="200"/>
      <c r="N5413" s="200"/>
      <c r="O5413" s="200"/>
      <c r="P5413" s="200"/>
    </row>
    <row r="5414" spans="3:20" s="517" customFormat="1" ht="31.2" customHeight="1">
      <c r="C5414" s="756" t="s">
        <v>1215</v>
      </c>
      <c r="D5414" s="196" t="s">
        <v>1216</v>
      </c>
      <c r="E5414" s="203"/>
      <c r="F5414" s="197"/>
      <c r="G5414" s="197"/>
      <c r="H5414" s="198"/>
      <c r="L5414" s="200"/>
      <c r="M5414" s="200"/>
      <c r="N5414" s="200"/>
      <c r="O5414" s="200"/>
      <c r="P5414" s="200"/>
    </row>
    <row r="5415" spans="3:20" s="517" customFormat="1" ht="31.2" customHeight="1">
      <c r="C5415" s="207" t="s">
        <v>1217</v>
      </c>
      <c r="D5415" s="208"/>
      <c r="E5415" s="208"/>
      <c r="F5415" s="208"/>
      <c r="G5415" s="209"/>
      <c r="H5415" s="240">
        <f>SUM(H5414)</f>
        <v>0</v>
      </c>
      <c r="L5415" s="200"/>
      <c r="M5415" s="200"/>
      <c r="N5415" s="200"/>
      <c r="O5415" s="200"/>
      <c r="P5415" s="200"/>
    </row>
    <row r="5416" spans="3:20" s="517" customFormat="1" ht="31.2" customHeight="1">
      <c r="C5416" s="223" t="s">
        <v>1218</v>
      </c>
      <c r="D5416" s="224" t="s">
        <v>1219</v>
      </c>
      <c r="E5416" s="225"/>
      <c r="F5416" s="225"/>
      <c r="G5416" s="226"/>
      <c r="H5416" s="210">
        <f>H5415+H5413+H5405</f>
        <v>11778</v>
      </c>
      <c r="L5416" s="200"/>
      <c r="M5416" s="200"/>
      <c r="N5416" s="200"/>
      <c r="O5416" s="200"/>
      <c r="P5416" s="200"/>
    </row>
    <row r="5417" spans="3:20" s="517" customFormat="1" ht="31.2" customHeight="1">
      <c r="C5417" s="223" t="s">
        <v>1220</v>
      </c>
      <c r="D5417" s="224" t="s">
        <v>1321</v>
      </c>
      <c r="E5417" s="225"/>
      <c r="F5417" s="226"/>
      <c r="G5417" s="228">
        <v>0.1</v>
      </c>
      <c r="H5417" s="210">
        <f>H5416*G5417</f>
        <v>1177.8</v>
      </c>
      <c r="L5417" s="200"/>
      <c r="M5417" s="200"/>
      <c r="N5417" s="200"/>
      <c r="O5417" s="200"/>
      <c r="P5417" s="200"/>
    </row>
    <row r="5418" spans="3:20" s="517" customFormat="1" ht="31.2" customHeight="1" thickBot="1">
      <c r="C5418" s="229" t="s">
        <v>1221</v>
      </c>
      <c r="D5418" s="230" t="s">
        <v>1222</v>
      </c>
      <c r="E5418" s="231"/>
      <c r="F5418" s="231"/>
      <c r="G5418" s="232"/>
      <c r="H5418" s="233">
        <f>SUM(H5416:H5417)</f>
        <v>12955.8</v>
      </c>
      <c r="L5418" s="200"/>
      <c r="M5418" s="200"/>
      <c r="N5418" s="200"/>
      <c r="O5418" s="200"/>
      <c r="P5418" s="200"/>
    </row>
    <row r="5419" spans="3:20" ht="31.2" customHeight="1" thickTop="1">
      <c r="D5419" s="758"/>
    </row>
    <row r="5420" spans="3:20" ht="31.2" customHeight="1">
      <c r="C5420" s="757" t="s">
        <v>6950</v>
      </c>
      <c r="F5420" s="758"/>
      <c r="H5420" s="758" t="s">
        <v>6959</v>
      </c>
    </row>
    <row r="5421" spans="3:20" ht="31.2" customHeight="1">
      <c r="C5421" s="200" t="s">
        <v>6951</v>
      </c>
      <c r="F5421" s="758"/>
    </row>
    <row r="5422" spans="3:20" ht="31.2" customHeight="1">
      <c r="C5422" s="200" t="s">
        <v>6952</v>
      </c>
      <c r="F5422" s="758"/>
    </row>
    <row r="5423" spans="3:20" ht="31.2" customHeight="1">
      <c r="C5423" s="200"/>
      <c r="F5423" s="758"/>
    </row>
    <row r="5424" spans="3:20" s="517" customFormat="1" ht="31.2" customHeight="1" thickBot="1">
      <c r="C5424" s="513" t="s">
        <v>7460</v>
      </c>
      <c r="D5424" s="748" t="s">
        <v>7461</v>
      </c>
      <c r="E5424" s="749"/>
      <c r="F5424" s="748"/>
      <c r="G5424" s="748"/>
      <c r="H5424" s="532"/>
      <c r="I5424" s="532"/>
      <c r="J5424" s="532"/>
      <c r="K5424" s="532"/>
      <c r="M5424" s="189"/>
      <c r="N5424" s="189"/>
      <c r="O5424" s="189"/>
      <c r="P5424" s="189"/>
      <c r="R5424" s="189">
        <f>ROUNDDOWN(H5443,-2)</f>
        <v>12900</v>
      </c>
      <c r="S5424" s="517" t="s">
        <v>6451</v>
      </c>
      <c r="T5424" s="517" t="s">
        <v>7014</v>
      </c>
    </row>
    <row r="5425" spans="3:16" s="517" customFormat="1" ht="31.2" customHeight="1" thickTop="1">
      <c r="C5425" s="190" t="s">
        <v>1195</v>
      </c>
      <c r="D5425" s="191" t="s">
        <v>1196</v>
      </c>
      <c r="E5425" s="191" t="s">
        <v>1197</v>
      </c>
      <c r="F5425" s="191" t="s">
        <v>1198</v>
      </c>
      <c r="G5425" s="191" t="s">
        <v>1199</v>
      </c>
      <c r="H5425" s="192" t="s">
        <v>1200</v>
      </c>
      <c r="L5425" s="200"/>
      <c r="M5425" s="200"/>
      <c r="N5425" s="200"/>
      <c r="O5425" s="200"/>
      <c r="P5425" s="200"/>
    </row>
    <row r="5426" spans="3:16" s="517" customFormat="1" ht="31.2" customHeight="1">
      <c r="C5426" s="518" t="s">
        <v>1201</v>
      </c>
      <c r="D5426" s="196" t="s">
        <v>1202</v>
      </c>
      <c r="E5426" s="197"/>
      <c r="F5426" s="197"/>
      <c r="G5426" s="197"/>
      <c r="H5426" s="198"/>
      <c r="L5426" s="200"/>
      <c r="M5426" s="200"/>
      <c r="N5426" s="200"/>
      <c r="O5426" s="200"/>
      <c r="P5426" s="200"/>
    </row>
    <row r="5427" spans="3:16" s="517" customFormat="1" ht="31.2" customHeight="1">
      <c r="C5427" s="537">
        <v>1</v>
      </c>
      <c r="D5427" s="196" t="s">
        <v>6954</v>
      </c>
      <c r="E5427" s="202" t="s">
        <v>6</v>
      </c>
      <c r="F5427" s="520">
        <v>0.05</v>
      </c>
      <c r="G5427" s="205">
        <f>VLOOKUP(D5427,upahbahan,3,FALSE)</f>
        <v>181250</v>
      </c>
      <c r="H5427" s="210">
        <f t="shared" ref="H5427:H5429" si="397">F5427*G5427</f>
        <v>9062.5</v>
      </c>
      <c r="L5427" s="200"/>
      <c r="M5427" s="200"/>
      <c r="N5427" s="200"/>
      <c r="O5427" s="200"/>
      <c r="P5427" s="200"/>
    </row>
    <row r="5428" spans="3:16" s="517" customFormat="1" ht="31.2" customHeight="1">
      <c r="C5428" s="537">
        <v>2</v>
      </c>
      <c r="D5428" s="196" t="s">
        <v>6948</v>
      </c>
      <c r="E5428" s="202" t="s">
        <v>2102</v>
      </c>
      <c r="F5428" s="520">
        <v>0.01</v>
      </c>
      <c r="G5428" s="205">
        <f>VLOOKUP(D5428,upahbahan,3,FALSE)</f>
        <v>218750</v>
      </c>
      <c r="H5428" s="210">
        <f t="shared" si="397"/>
        <v>2187.5</v>
      </c>
      <c r="L5428" s="200"/>
      <c r="M5428" s="200"/>
      <c r="N5428" s="200"/>
      <c r="O5428" s="200"/>
      <c r="P5428" s="200"/>
    </row>
    <row r="5429" spans="3:16" s="517" customFormat="1" ht="31.2" customHeight="1">
      <c r="C5429" s="537">
        <v>3</v>
      </c>
      <c r="D5429" s="196" t="s">
        <v>19</v>
      </c>
      <c r="E5429" s="202" t="s">
        <v>6</v>
      </c>
      <c r="F5429" s="520">
        <v>3.3E-3</v>
      </c>
      <c r="G5429" s="205">
        <f>VLOOKUP(D5429,upahbahan,3,FALSE)</f>
        <v>160000</v>
      </c>
      <c r="H5429" s="210">
        <f t="shared" si="397"/>
        <v>528</v>
      </c>
      <c r="L5429" s="200"/>
      <c r="M5429" s="200"/>
      <c r="N5429" s="200"/>
      <c r="O5429" s="200"/>
      <c r="P5429" s="200"/>
    </row>
    <row r="5430" spans="3:16" s="517" customFormat="1" ht="31.2" customHeight="1">
      <c r="C5430" s="207" t="s">
        <v>1208</v>
      </c>
      <c r="D5430" s="208"/>
      <c r="E5430" s="208"/>
      <c r="F5430" s="521"/>
      <c r="G5430" s="522"/>
      <c r="H5430" s="210">
        <f>SUM(H5427:H5429)</f>
        <v>11778</v>
      </c>
      <c r="L5430" s="523"/>
      <c r="M5430" s="523"/>
      <c r="N5430" s="523"/>
      <c r="O5430" s="523"/>
      <c r="P5430" s="523"/>
    </row>
    <row r="5431" spans="3:16" s="517" customFormat="1" ht="31.2" customHeight="1">
      <c r="C5431" s="543" t="s">
        <v>1209</v>
      </c>
      <c r="D5431" s="750" t="s">
        <v>1210</v>
      </c>
      <c r="E5431" s="197"/>
      <c r="F5431" s="751"/>
      <c r="G5431" s="197"/>
      <c r="H5431" s="752"/>
      <c r="L5431" s="200"/>
      <c r="M5431" s="200"/>
      <c r="N5431" s="200"/>
      <c r="O5431" s="200"/>
      <c r="P5431" s="200"/>
    </row>
    <row r="5432" spans="3:16" s="517" customFormat="1" ht="31.2" customHeight="1">
      <c r="C5432" s="543">
        <v>1</v>
      </c>
      <c r="D5432" s="750" t="s">
        <v>7462</v>
      </c>
      <c r="E5432" s="203" t="s">
        <v>44</v>
      </c>
      <c r="F5432" s="760">
        <v>16</v>
      </c>
      <c r="G5432" s="205">
        <f>VLOOKUP(D5432,upahbahan,3,FALSE)</f>
        <v>0</v>
      </c>
      <c r="H5432" s="210">
        <f t="shared" ref="H5432:H5437" si="398">F5432*G5432</f>
        <v>0</v>
      </c>
      <c r="L5432" s="200"/>
      <c r="M5432" s="200"/>
      <c r="N5432" s="200"/>
      <c r="O5432" s="200"/>
      <c r="P5432" s="200"/>
    </row>
    <row r="5433" spans="3:16" s="517" customFormat="1" ht="31.2" customHeight="1">
      <c r="C5433" s="543">
        <v>2</v>
      </c>
      <c r="D5433" s="750" t="s">
        <v>5563</v>
      </c>
      <c r="E5433" s="203" t="s">
        <v>65</v>
      </c>
      <c r="F5433" s="760">
        <v>0.01</v>
      </c>
      <c r="G5433" s="205">
        <f>VLOOKUP(D5433,upahbahan,3,FALSE)</f>
        <v>0</v>
      </c>
      <c r="H5433" s="210">
        <f t="shared" si="398"/>
        <v>0</v>
      </c>
      <c r="L5433" s="200"/>
      <c r="M5433" s="200"/>
      <c r="N5433" s="200"/>
      <c r="O5433" s="200"/>
      <c r="P5433" s="200"/>
    </row>
    <row r="5434" spans="3:16" s="517" customFormat="1" ht="31.2" customHeight="1">
      <c r="C5434" s="543">
        <v>3</v>
      </c>
      <c r="D5434" s="750" t="s">
        <v>5556</v>
      </c>
      <c r="E5434" s="203"/>
      <c r="F5434" s="753"/>
      <c r="G5434" s="197"/>
      <c r="H5434" s="210">
        <f t="shared" si="398"/>
        <v>0</v>
      </c>
      <c r="L5434" s="200"/>
      <c r="M5434" s="200"/>
      <c r="N5434" s="200"/>
      <c r="O5434" s="200"/>
      <c r="P5434" s="200"/>
    </row>
    <row r="5435" spans="3:16" s="517" customFormat="1" ht="31.2" customHeight="1">
      <c r="C5435" s="754" t="s">
        <v>5293</v>
      </c>
      <c r="D5435" s="750" t="s">
        <v>2084</v>
      </c>
      <c r="E5435" s="203" t="s">
        <v>42</v>
      </c>
      <c r="F5435" s="753">
        <v>1.0999999999999999E-2</v>
      </c>
      <c r="G5435" s="205">
        <f>VLOOKUP(D5435,upahbahan,3,FALSE)</f>
        <v>0</v>
      </c>
      <c r="H5435" s="210">
        <f t="shared" si="398"/>
        <v>0</v>
      </c>
      <c r="L5435" s="200"/>
      <c r="M5435" s="200"/>
      <c r="N5435" s="200"/>
      <c r="O5435" s="200"/>
      <c r="P5435" s="200"/>
    </row>
    <row r="5436" spans="3:16" s="517" customFormat="1" ht="31.2" customHeight="1">
      <c r="C5436" s="754" t="s">
        <v>5299</v>
      </c>
      <c r="D5436" s="750" t="s">
        <v>5566</v>
      </c>
      <c r="E5436" s="203" t="s">
        <v>42</v>
      </c>
      <c r="F5436" s="753">
        <v>3.0000000000000001E-3</v>
      </c>
      <c r="G5436" s="205">
        <f>VLOOKUP(D5436,upahbahan,3,FALSE)</f>
        <v>0</v>
      </c>
      <c r="H5436" s="210">
        <f t="shared" si="398"/>
        <v>0</v>
      </c>
      <c r="L5436" s="200"/>
      <c r="M5436" s="200"/>
      <c r="N5436" s="200"/>
      <c r="O5436" s="200"/>
      <c r="P5436" s="200"/>
    </row>
    <row r="5437" spans="3:16" s="517" customFormat="1" ht="31.2" customHeight="1">
      <c r="C5437" s="754" t="s">
        <v>5558</v>
      </c>
      <c r="D5437" s="750" t="s">
        <v>2325</v>
      </c>
      <c r="E5437" s="203" t="s">
        <v>42</v>
      </c>
      <c r="F5437" s="755">
        <v>1E-3</v>
      </c>
      <c r="G5437" s="205">
        <f>VLOOKUP(D5437,upahbahan,3,FALSE)</f>
        <v>0</v>
      </c>
      <c r="H5437" s="210">
        <f t="shared" si="398"/>
        <v>0</v>
      </c>
      <c r="L5437" s="200"/>
      <c r="M5437" s="200"/>
      <c r="N5437" s="200"/>
      <c r="O5437" s="200"/>
      <c r="P5437" s="200"/>
    </row>
    <row r="5438" spans="3:16" s="517" customFormat="1" ht="31.2" customHeight="1">
      <c r="C5438" s="207" t="s">
        <v>1214</v>
      </c>
      <c r="D5438" s="208"/>
      <c r="E5438" s="568"/>
      <c r="F5438" s="208"/>
      <c r="G5438" s="209"/>
      <c r="H5438" s="210">
        <f>SUM(H5432:H5437)</f>
        <v>0</v>
      </c>
      <c r="L5438" s="200"/>
      <c r="M5438" s="200"/>
      <c r="N5438" s="200"/>
      <c r="O5438" s="200"/>
      <c r="P5438" s="200"/>
    </row>
    <row r="5439" spans="3:16" s="517" customFormat="1" ht="31.2" customHeight="1">
      <c r="C5439" s="756" t="s">
        <v>1215</v>
      </c>
      <c r="D5439" s="196" t="s">
        <v>1216</v>
      </c>
      <c r="E5439" s="203"/>
      <c r="F5439" s="197"/>
      <c r="G5439" s="197"/>
      <c r="H5439" s="198"/>
      <c r="L5439" s="200"/>
      <c r="M5439" s="200"/>
      <c r="N5439" s="200"/>
      <c r="O5439" s="200"/>
      <c r="P5439" s="200"/>
    </row>
    <row r="5440" spans="3:16" s="517" customFormat="1" ht="31.2" customHeight="1">
      <c r="C5440" s="207" t="s">
        <v>1217</v>
      </c>
      <c r="D5440" s="208"/>
      <c r="E5440" s="208"/>
      <c r="F5440" s="208"/>
      <c r="G5440" s="209"/>
      <c r="H5440" s="240">
        <f>SUM(H5439)</f>
        <v>0</v>
      </c>
      <c r="L5440" s="200"/>
      <c r="M5440" s="200"/>
      <c r="N5440" s="200"/>
      <c r="O5440" s="200"/>
      <c r="P5440" s="200"/>
    </row>
    <row r="5441" spans="3:20" s="517" customFormat="1" ht="31.2" customHeight="1">
      <c r="C5441" s="223" t="s">
        <v>1218</v>
      </c>
      <c r="D5441" s="224" t="s">
        <v>1219</v>
      </c>
      <c r="E5441" s="225"/>
      <c r="F5441" s="225"/>
      <c r="G5441" s="226"/>
      <c r="H5441" s="210">
        <f>H5440+H5438+H5430</f>
        <v>11778</v>
      </c>
      <c r="L5441" s="200"/>
      <c r="M5441" s="200"/>
      <c r="N5441" s="200"/>
      <c r="O5441" s="200"/>
      <c r="P5441" s="200"/>
    </row>
    <row r="5442" spans="3:20" s="517" customFormat="1" ht="31.2" customHeight="1">
      <c r="C5442" s="223" t="s">
        <v>1220</v>
      </c>
      <c r="D5442" s="224" t="s">
        <v>1321</v>
      </c>
      <c r="E5442" s="225"/>
      <c r="F5442" s="226"/>
      <c r="G5442" s="228">
        <v>0.1</v>
      </c>
      <c r="H5442" s="210">
        <f>H5441*G5442</f>
        <v>1177.8</v>
      </c>
      <c r="L5442" s="200"/>
      <c r="M5442" s="200"/>
      <c r="N5442" s="200"/>
      <c r="O5442" s="200"/>
      <c r="P5442" s="200"/>
    </row>
    <row r="5443" spans="3:20" s="517" customFormat="1" ht="31.2" customHeight="1" thickBot="1">
      <c r="C5443" s="229" t="s">
        <v>1221</v>
      </c>
      <c r="D5443" s="230" t="s">
        <v>1222</v>
      </c>
      <c r="E5443" s="231"/>
      <c r="F5443" s="231"/>
      <c r="G5443" s="232"/>
      <c r="H5443" s="233">
        <f>SUM(H5441:H5442)</f>
        <v>12955.8</v>
      </c>
      <c r="L5443" s="200"/>
      <c r="M5443" s="200"/>
      <c r="N5443" s="200"/>
      <c r="O5443" s="200"/>
      <c r="P5443" s="200"/>
    </row>
    <row r="5444" spans="3:20" ht="31.2" customHeight="1" thickTop="1">
      <c r="D5444" s="758"/>
    </row>
    <row r="5445" spans="3:20" ht="31.2" customHeight="1">
      <c r="C5445" s="757" t="s">
        <v>6950</v>
      </c>
      <c r="F5445" s="758"/>
      <c r="H5445" s="758" t="s">
        <v>6959</v>
      </c>
    </row>
    <row r="5446" spans="3:20" ht="31.2" customHeight="1">
      <c r="C5446" s="200" t="s">
        <v>6951</v>
      </c>
      <c r="F5446" s="758"/>
    </row>
    <row r="5447" spans="3:20" ht="31.2" customHeight="1">
      <c r="C5447" s="200" t="s">
        <v>6952</v>
      </c>
      <c r="F5447" s="758"/>
    </row>
    <row r="5448" spans="3:20" ht="31.2" customHeight="1">
      <c r="C5448" s="200"/>
      <c r="F5448" s="758"/>
    </row>
    <row r="5449" spans="3:20" s="517" customFormat="1" ht="31.2" customHeight="1" thickBot="1">
      <c r="C5449" s="513" t="s">
        <v>7463</v>
      </c>
      <c r="D5449" s="748" t="s">
        <v>7464</v>
      </c>
      <c r="E5449" s="749"/>
      <c r="F5449" s="748"/>
      <c r="G5449" s="748"/>
      <c r="H5449" s="532"/>
      <c r="I5449" s="532"/>
      <c r="J5449" s="532"/>
      <c r="K5449" s="532"/>
      <c r="M5449" s="189"/>
      <c r="N5449" s="189"/>
      <c r="O5449" s="189"/>
      <c r="P5449" s="189"/>
      <c r="R5449" s="189">
        <f>ROUNDDOWN(H5468,-2)</f>
        <v>12900</v>
      </c>
      <c r="S5449" s="517" t="s">
        <v>6451</v>
      </c>
      <c r="T5449" s="517" t="s">
        <v>7014</v>
      </c>
    </row>
    <row r="5450" spans="3:20" s="517" customFormat="1" ht="31.2" customHeight="1" thickTop="1">
      <c r="C5450" s="190" t="s">
        <v>1195</v>
      </c>
      <c r="D5450" s="191" t="s">
        <v>1196</v>
      </c>
      <c r="E5450" s="191" t="s">
        <v>1197</v>
      </c>
      <c r="F5450" s="191" t="s">
        <v>1198</v>
      </c>
      <c r="G5450" s="191" t="s">
        <v>1199</v>
      </c>
      <c r="H5450" s="192" t="s">
        <v>1200</v>
      </c>
      <c r="L5450" s="200"/>
      <c r="M5450" s="200"/>
      <c r="N5450" s="200"/>
      <c r="O5450" s="200"/>
      <c r="P5450" s="200"/>
    </row>
    <row r="5451" spans="3:20" s="517" customFormat="1" ht="31.2" customHeight="1">
      <c r="C5451" s="518" t="s">
        <v>1201</v>
      </c>
      <c r="D5451" s="196" t="s">
        <v>1202</v>
      </c>
      <c r="E5451" s="197"/>
      <c r="F5451" s="197"/>
      <c r="G5451" s="197"/>
      <c r="H5451" s="198"/>
      <c r="L5451" s="200"/>
      <c r="M5451" s="200"/>
      <c r="N5451" s="200"/>
      <c r="O5451" s="200"/>
      <c r="P5451" s="200"/>
    </row>
    <row r="5452" spans="3:20" s="517" customFormat="1" ht="31.2" customHeight="1">
      <c r="C5452" s="537">
        <v>1</v>
      </c>
      <c r="D5452" s="196" t="s">
        <v>6954</v>
      </c>
      <c r="E5452" s="202" t="s">
        <v>6</v>
      </c>
      <c r="F5452" s="520">
        <v>0.05</v>
      </c>
      <c r="G5452" s="205">
        <f>VLOOKUP(D5452,upahbahan,3,FALSE)</f>
        <v>181250</v>
      </c>
      <c r="H5452" s="210">
        <f t="shared" ref="H5452:H5454" si="399">F5452*G5452</f>
        <v>9062.5</v>
      </c>
      <c r="L5452" s="200"/>
      <c r="M5452" s="200"/>
      <c r="N5452" s="200"/>
      <c r="O5452" s="200"/>
      <c r="P5452" s="200"/>
    </row>
    <row r="5453" spans="3:20" s="517" customFormat="1" ht="31.2" customHeight="1">
      <c r="C5453" s="537">
        <v>2</v>
      </c>
      <c r="D5453" s="196" t="s">
        <v>6948</v>
      </c>
      <c r="E5453" s="202" t="s">
        <v>2102</v>
      </c>
      <c r="F5453" s="520">
        <v>0.01</v>
      </c>
      <c r="G5453" s="205">
        <f>VLOOKUP(D5453,upahbahan,3,FALSE)</f>
        <v>218750</v>
      </c>
      <c r="H5453" s="210">
        <f t="shared" si="399"/>
        <v>2187.5</v>
      </c>
      <c r="L5453" s="200"/>
      <c r="M5453" s="200"/>
      <c r="N5453" s="200"/>
      <c r="O5453" s="200"/>
      <c r="P5453" s="200"/>
    </row>
    <row r="5454" spans="3:20" s="517" customFormat="1" ht="31.2" customHeight="1">
      <c r="C5454" s="537">
        <v>3</v>
      </c>
      <c r="D5454" s="196" t="s">
        <v>19</v>
      </c>
      <c r="E5454" s="202" t="s">
        <v>6</v>
      </c>
      <c r="F5454" s="520">
        <v>3.3E-3</v>
      </c>
      <c r="G5454" s="205">
        <f>VLOOKUP(D5454,upahbahan,3,FALSE)</f>
        <v>160000</v>
      </c>
      <c r="H5454" s="210">
        <f t="shared" si="399"/>
        <v>528</v>
      </c>
      <c r="L5454" s="200"/>
      <c r="M5454" s="200"/>
      <c r="N5454" s="200"/>
      <c r="O5454" s="200"/>
      <c r="P5454" s="200"/>
    </row>
    <row r="5455" spans="3:20" s="517" customFormat="1" ht="31.2" customHeight="1">
      <c r="C5455" s="207" t="s">
        <v>1208</v>
      </c>
      <c r="D5455" s="208"/>
      <c r="E5455" s="208"/>
      <c r="F5455" s="521"/>
      <c r="G5455" s="522"/>
      <c r="H5455" s="210">
        <f>SUM(H5452:H5454)</f>
        <v>11778</v>
      </c>
      <c r="L5455" s="523"/>
      <c r="M5455" s="523"/>
      <c r="N5455" s="523"/>
      <c r="O5455" s="523"/>
      <c r="P5455" s="523"/>
    </row>
    <row r="5456" spans="3:20" s="517" customFormat="1" ht="31.2" customHeight="1">
      <c r="C5456" s="543" t="s">
        <v>1209</v>
      </c>
      <c r="D5456" s="750" t="s">
        <v>1210</v>
      </c>
      <c r="E5456" s="197"/>
      <c r="F5456" s="751"/>
      <c r="G5456" s="197"/>
      <c r="H5456" s="752"/>
      <c r="L5456" s="200"/>
      <c r="M5456" s="200"/>
      <c r="N5456" s="200"/>
      <c r="O5456" s="200"/>
      <c r="P5456" s="200"/>
    </row>
    <row r="5457" spans="3:16" s="517" customFormat="1" ht="31.2" customHeight="1">
      <c r="C5457" s="543">
        <v>1</v>
      </c>
      <c r="D5457" s="750" t="s">
        <v>7465</v>
      </c>
      <c r="E5457" s="203" t="s">
        <v>44</v>
      </c>
      <c r="F5457" s="760">
        <v>16</v>
      </c>
      <c r="G5457" s="205">
        <f>VLOOKUP(D5457,upahbahan,3,FALSE)</f>
        <v>0</v>
      </c>
      <c r="H5457" s="210">
        <f t="shared" ref="H5457:H5462" si="400">F5457*G5457</f>
        <v>0</v>
      </c>
      <c r="L5457" s="200"/>
      <c r="M5457" s="200"/>
      <c r="N5457" s="200"/>
      <c r="O5457" s="200"/>
      <c r="P5457" s="200"/>
    </row>
    <row r="5458" spans="3:16" s="517" customFormat="1" ht="31.2" customHeight="1">
      <c r="C5458" s="543">
        <v>2</v>
      </c>
      <c r="D5458" s="750" t="s">
        <v>5563</v>
      </c>
      <c r="E5458" s="203" t="s">
        <v>65</v>
      </c>
      <c r="F5458" s="760">
        <v>0.01</v>
      </c>
      <c r="G5458" s="205">
        <f>VLOOKUP(D5458,upahbahan,3,FALSE)</f>
        <v>0</v>
      </c>
      <c r="H5458" s="210">
        <f t="shared" si="400"/>
        <v>0</v>
      </c>
      <c r="L5458" s="200"/>
      <c r="M5458" s="200"/>
      <c r="N5458" s="200"/>
      <c r="O5458" s="200"/>
      <c r="P5458" s="200"/>
    </row>
    <row r="5459" spans="3:16" s="517" customFormat="1" ht="31.2" customHeight="1">
      <c r="C5459" s="543">
        <v>3</v>
      </c>
      <c r="D5459" s="750" t="s">
        <v>5556</v>
      </c>
      <c r="E5459" s="203"/>
      <c r="F5459" s="753"/>
      <c r="G5459" s="197"/>
      <c r="H5459" s="210">
        <f t="shared" si="400"/>
        <v>0</v>
      </c>
      <c r="L5459" s="200"/>
      <c r="M5459" s="200"/>
      <c r="N5459" s="200"/>
      <c r="O5459" s="200"/>
      <c r="P5459" s="200"/>
    </row>
    <row r="5460" spans="3:16" s="517" customFormat="1" ht="31.2" customHeight="1">
      <c r="C5460" s="754" t="s">
        <v>5293</v>
      </c>
      <c r="D5460" s="750" t="s">
        <v>2084</v>
      </c>
      <c r="E5460" s="203" t="s">
        <v>42</v>
      </c>
      <c r="F5460" s="753">
        <v>1.0999999999999999E-2</v>
      </c>
      <c r="G5460" s="205">
        <f>VLOOKUP(D5460,upahbahan,3,FALSE)</f>
        <v>0</v>
      </c>
      <c r="H5460" s="210">
        <f t="shared" si="400"/>
        <v>0</v>
      </c>
      <c r="L5460" s="200"/>
      <c r="M5460" s="200"/>
      <c r="N5460" s="200"/>
      <c r="O5460" s="200"/>
      <c r="P5460" s="200"/>
    </row>
    <row r="5461" spans="3:16" s="517" customFormat="1" ht="31.2" customHeight="1">
      <c r="C5461" s="754" t="s">
        <v>5299</v>
      </c>
      <c r="D5461" s="750" t="s">
        <v>5566</v>
      </c>
      <c r="E5461" s="203" t="s">
        <v>42</v>
      </c>
      <c r="F5461" s="753">
        <v>3.0000000000000001E-3</v>
      </c>
      <c r="G5461" s="205">
        <f>VLOOKUP(D5461,upahbahan,3,FALSE)</f>
        <v>0</v>
      </c>
      <c r="H5461" s="210">
        <f t="shared" si="400"/>
        <v>0</v>
      </c>
      <c r="L5461" s="200"/>
      <c r="M5461" s="200"/>
      <c r="N5461" s="200"/>
      <c r="O5461" s="200"/>
      <c r="P5461" s="200"/>
    </row>
    <row r="5462" spans="3:16" s="517" customFormat="1" ht="31.2" customHeight="1">
      <c r="C5462" s="754" t="s">
        <v>5558</v>
      </c>
      <c r="D5462" s="750" t="s">
        <v>2325</v>
      </c>
      <c r="E5462" s="203" t="s">
        <v>42</v>
      </c>
      <c r="F5462" s="755">
        <v>1E-3</v>
      </c>
      <c r="G5462" s="205">
        <f>VLOOKUP(D5462,upahbahan,3,FALSE)</f>
        <v>0</v>
      </c>
      <c r="H5462" s="210">
        <f t="shared" si="400"/>
        <v>0</v>
      </c>
      <c r="L5462" s="200"/>
      <c r="M5462" s="200"/>
      <c r="N5462" s="200"/>
      <c r="O5462" s="200"/>
      <c r="P5462" s="200"/>
    </row>
    <row r="5463" spans="3:16" s="517" customFormat="1" ht="31.2" customHeight="1">
      <c r="C5463" s="207" t="s">
        <v>1214</v>
      </c>
      <c r="D5463" s="208"/>
      <c r="E5463" s="568"/>
      <c r="F5463" s="208"/>
      <c r="G5463" s="209"/>
      <c r="H5463" s="210">
        <f>SUM(H5457:H5462)</f>
        <v>0</v>
      </c>
      <c r="L5463" s="200"/>
      <c r="M5463" s="200"/>
      <c r="N5463" s="200"/>
      <c r="O5463" s="200"/>
      <c r="P5463" s="200"/>
    </row>
    <row r="5464" spans="3:16" s="517" customFormat="1" ht="31.2" customHeight="1">
      <c r="C5464" s="756" t="s">
        <v>1215</v>
      </c>
      <c r="D5464" s="196" t="s">
        <v>1216</v>
      </c>
      <c r="E5464" s="203"/>
      <c r="F5464" s="197"/>
      <c r="G5464" s="197"/>
      <c r="H5464" s="198"/>
      <c r="L5464" s="200"/>
      <c r="M5464" s="200"/>
      <c r="N5464" s="200"/>
      <c r="O5464" s="200"/>
      <c r="P5464" s="200"/>
    </row>
    <row r="5465" spans="3:16" s="517" customFormat="1" ht="31.2" customHeight="1">
      <c r="C5465" s="207" t="s">
        <v>1217</v>
      </c>
      <c r="D5465" s="208"/>
      <c r="E5465" s="208"/>
      <c r="F5465" s="208"/>
      <c r="G5465" s="209"/>
      <c r="H5465" s="240">
        <f>SUM(H5464)</f>
        <v>0</v>
      </c>
      <c r="L5465" s="200"/>
      <c r="M5465" s="200"/>
      <c r="N5465" s="200"/>
      <c r="O5465" s="200"/>
      <c r="P5465" s="200"/>
    </row>
    <row r="5466" spans="3:16" s="517" customFormat="1" ht="31.2" customHeight="1">
      <c r="C5466" s="223" t="s">
        <v>1218</v>
      </c>
      <c r="D5466" s="224" t="s">
        <v>1219</v>
      </c>
      <c r="E5466" s="225"/>
      <c r="F5466" s="225"/>
      <c r="G5466" s="226"/>
      <c r="H5466" s="210">
        <f>H5465+H5463+H5455</f>
        <v>11778</v>
      </c>
      <c r="L5466" s="200"/>
      <c r="M5466" s="200"/>
      <c r="N5466" s="200"/>
      <c r="O5466" s="200"/>
      <c r="P5466" s="200"/>
    </row>
    <row r="5467" spans="3:16" s="517" customFormat="1" ht="31.2" customHeight="1">
      <c r="C5467" s="223" t="s">
        <v>1220</v>
      </c>
      <c r="D5467" s="224" t="s">
        <v>1321</v>
      </c>
      <c r="E5467" s="225"/>
      <c r="F5467" s="226"/>
      <c r="G5467" s="228">
        <v>0.1</v>
      </c>
      <c r="H5467" s="210">
        <f>H5466*G5467</f>
        <v>1177.8</v>
      </c>
      <c r="L5467" s="200"/>
      <c r="M5467" s="200"/>
      <c r="N5467" s="200"/>
      <c r="O5467" s="200"/>
      <c r="P5467" s="200"/>
    </row>
    <row r="5468" spans="3:16" s="517" customFormat="1" ht="31.2" customHeight="1" thickBot="1">
      <c r="C5468" s="229" t="s">
        <v>1221</v>
      </c>
      <c r="D5468" s="230" t="s">
        <v>1222</v>
      </c>
      <c r="E5468" s="231"/>
      <c r="F5468" s="231"/>
      <c r="G5468" s="232"/>
      <c r="H5468" s="233">
        <f>SUM(H5466:H5467)</f>
        <v>12955.8</v>
      </c>
      <c r="L5468" s="200"/>
      <c r="M5468" s="200"/>
      <c r="N5468" s="200"/>
      <c r="O5468" s="200"/>
      <c r="P5468" s="200"/>
    </row>
    <row r="5469" spans="3:16" ht="31.2" customHeight="1" thickTop="1">
      <c r="D5469" s="758"/>
    </row>
    <row r="5470" spans="3:16" ht="31.2" customHeight="1">
      <c r="C5470" s="757" t="s">
        <v>6950</v>
      </c>
      <c r="F5470" s="758"/>
      <c r="H5470" s="758" t="s">
        <v>6959</v>
      </c>
    </row>
    <row r="5471" spans="3:16" ht="31.2" customHeight="1">
      <c r="C5471" s="200" t="s">
        <v>6951</v>
      </c>
      <c r="F5471" s="758"/>
    </row>
    <row r="5472" spans="3:16" ht="31.2" customHeight="1">
      <c r="C5472" s="200" t="s">
        <v>6952</v>
      </c>
      <c r="F5472" s="758"/>
    </row>
    <row r="5473" spans="3:20" ht="31.2" customHeight="1">
      <c r="C5473" s="200"/>
      <c r="F5473" s="758"/>
    </row>
    <row r="5474" spans="3:20" s="517" customFormat="1" ht="31.2" customHeight="1" thickBot="1">
      <c r="C5474" s="513" t="s">
        <v>7466</v>
      </c>
      <c r="D5474" s="748" t="s">
        <v>7467</v>
      </c>
      <c r="E5474" s="749"/>
      <c r="F5474" s="748"/>
      <c r="G5474" s="748"/>
      <c r="H5474" s="532"/>
      <c r="I5474" s="532"/>
      <c r="J5474" s="532"/>
      <c r="K5474" s="532"/>
      <c r="M5474" s="189"/>
      <c r="N5474" s="189"/>
      <c r="O5474" s="189"/>
      <c r="P5474" s="189"/>
      <c r="R5474" s="189">
        <f>ROUNDDOWN(H5493,-2)</f>
        <v>12900</v>
      </c>
      <c r="S5474" s="517" t="s">
        <v>6451</v>
      </c>
      <c r="T5474" s="517" t="s">
        <v>7014</v>
      </c>
    </row>
    <row r="5475" spans="3:20" s="517" customFormat="1" ht="31.2" customHeight="1" thickTop="1">
      <c r="C5475" s="190" t="s">
        <v>1195</v>
      </c>
      <c r="D5475" s="191" t="s">
        <v>1196</v>
      </c>
      <c r="E5475" s="191" t="s">
        <v>1197</v>
      </c>
      <c r="F5475" s="191" t="s">
        <v>1198</v>
      </c>
      <c r="G5475" s="191" t="s">
        <v>1199</v>
      </c>
      <c r="H5475" s="192" t="s">
        <v>1200</v>
      </c>
      <c r="L5475" s="200"/>
      <c r="M5475" s="200"/>
      <c r="N5475" s="200"/>
      <c r="O5475" s="200"/>
      <c r="P5475" s="200"/>
    </row>
    <row r="5476" spans="3:20" s="517" customFormat="1" ht="31.2" customHeight="1">
      <c r="C5476" s="518" t="s">
        <v>1201</v>
      </c>
      <c r="D5476" s="196" t="s">
        <v>1202</v>
      </c>
      <c r="E5476" s="197"/>
      <c r="F5476" s="197"/>
      <c r="G5476" s="197"/>
      <c r="H5476" s="198"/>
      <c r="L5476" s="200"/>
      <c r="M5476" s="200"/>
      <c r="N5476" s="200"/>
      <c r="O5476" s="200"/>
      <c r="P5476" s="200"/>
    </row>
    <row r="5477" spans="3:20" s="517" customFormat="1" ht="31.2" customHeight="1">
      <c r="C5477" s="537">
        <v>1</v>
      </c>
      <c r="D5477" s="196" t="s">
        <v>6954</v>
      </c>
      <c r="E5477" s="202" t="s">
        <v>6</v>
      </c>
      <c r="F5477" s="520">
        <v>0.05</v>
      </c>
      <c r="G5477" s="205">
        <f>VLOOKUP(D5477,upahbahan,3,FALSE)</f>
        <v>181250</v>
      </c>
      <c r="H5477" s="210">
        <f t="shared" ref="H5477:H5479" si="401">F5477*G5477</f>
        <v>9062.5</v>
      </c>
      <c r="L5477" s="200"/>
      <c r="M5477" s="200"/>
      <c r="N5477" s="200"/>
      <c r="O5477" s="200"/>
      <c r="P5477" s="200"/>
    </row>
    <row r="5478" spans="3:20" s="517" customFormat="1" ht="31.2" customHeight="1">
      <c r="C5478" s="537">
        <v>2</v>
      </c>
      <c r="D5478" s="196" t="s">
        <v>6948</v>
      </c>
      <c r="E5478" s="202" t="s">
        <v>2102</v>
      </c>
      <c r="F5478" s="520">
        <v>0.01</v>
      </c>
      <c r="G5478" s="205">
        <f>VLOOKUP(D5478,upahbahan,3,FALSE)</f>
        <v>218750</v>
      </c>
      <c r="H5478" s="210">
        <f t="shared" si="401"/>
        <v>2187.5</v>
      </c>
      <c r="L5478" s="200"/>
      <c r="M5478" s="200"/>
      <c r="N5478" s="200"/>
      <c r="O5478" s="200"/>
      <c r="P5478" s="200"/>
    </row>
    <row r="5479" spans="3:20" s="517" customFormat="1" ht="31.2" customHeight="1">
      <c r="C5479" s="537">
        <v>3</v>
      </c>
      <c r="D5479" s="196" t="s">
        <v>19</v>
      </c>
      <c r="E5479" s="202" t="s">
        <v>6</v>
      </c>
      <c r="F5479" s="520">
        <v>3.3E-3</v>
      </c>
      <c r="G5479" s="205">
        <f>VLOOKUP(D5479,upahbahan,3,FALSE)</f>
        <v>160000</v>
      </c>
      <c r="H5479" s="210">
        <f t="shared" si="401"/>
        <v>528</v>
      </c>
      <c r="L5479" s="200"/>
      <c r="M5479" s="200"/>
      <c r="N5479" s="200"/>
      <c r="O5479" s="200"/>
      <c r="P5479" s="200"/>
    </row>
    <row r="5480" spans="3:20" s="517" customFormat="1" ht="31.2" customHeight="1">
      <c r="C5480" s="207" t="s">
        <v>1208</v>
      </c>
      <c r="D5480" s="208"/>
      <c r="E5480" s="208"/>
      <c r="F5480" s="521"/>
      <c r="G5480" s="522"/>
      <c r="H5480" s="210">
        <f>SUM(H5477:H5479)</f>
        <v>11778</v>
      </c>
      <c r="L5480" s="523"/>
      <c r="M5480" s="523"/>
      <c r="N5480" s="523"/>
      <c r="O5480" s="523"/>
      <c r="P5480" s="523"/>
    </row>
    <row r="5481" spans="3:20" s="517" customFormat="1" ht="31.2" customHeight="1">
      <c r="C5481" s="543" t="s">
        <v>1209</v>
      </c>
      <c r="D5481" s="750" t="s">
        <v>1210</v>
      </c>
      <c r="E5481" s="197"/>
      <c r="F5481" s="751"/>
      <c r="G5481" s="197"/>
      <c r="H5481" s="752"/>
      <c r="L5481" s="200"/>
      <c r="M5481" s="200"/>
      <c r="N5481" s="200"/>
      <c r="O5481" s="200"/>
      <c r="P5481" s="200"/>
    </row>
    <row r="5482" spans="3:20" s="517" customFormat="1" ht="31.2" customHeight="1">
      <c r="C5482" s="543">
        <v>1</v>
      </c>
      <c r="D5482" s="750" t="s">
        <v>7468</v>
      </c>
      <c r="E5482" s="203" t="s">
        <v>44</v>
      </c>
      <c r="F5482" s="760">
        <v>16</v>
      </c>
      <c r="G5482" s="205">
        <f>VLOOKUP(D5482,upahbahan,3,FALSE)</f>
        <v>0</v>
      </c>
      <c r="H5482" s="210">
        <f t="shared" ref="H5482:H5487" si="402">F5482*G5482</f>
        <v>0</v>
      </c>
      <c r="L5482" s="200"/>
      <c r="M5482" s="200"/>
      <c r="N5482" s="200"/>
      <c r="O5482" s="200"/>
      <c r="P5482" s="200"/>
    </row>
    <row r="5483" spans="3:20" s="517" customFormat="1" ht="31.2" customHeight="1">
      <c r="C5483" s="543">
        <v>2</v>
      </c>
      <c r="D5483" s="750" t="s">
        <v>5563</v>
      </c>
      <c r="E5483" s="203" t="s">
        <v>65</v>
      </c>
      <c r="F5483" s="760">
        <v>0.01</v>
      </c>
      <c r="G5483" s="205">
        <f>VLOOKUP(D5483,upahbahan,3,FALSE)</f>
        <v>0</v>
      </c>
      <c r="H5483" s="210">
        <f t="shared" si="402"/>
        <v>0</v>
      </c>
      <c r="L5483" s="200"/>
      <c r="M5483" s="200"/>
      <c r="N5483" s="200"/>
      <c r="O5483" s="200"/>
      <c r="P5483" s="200"/>
    </row>
    <row r="5484" spans="3:20" s="517" customFormat="1" ht="31.2" customHeight="1">
      <c r="C5484" s="543">
        <v>3</v>
      </c>
      <c r="D5484" s="750" t="s">
        <v>5556</v>
      </c>
      <c r="E5484" s="203"/>
      <c r="F5484" s="753"/>
      <c r="G5484" s="197"/>
      <c r="H5484" s="210">
        <f t="shared" si="402"/>
        <v>0</v>
      </c>
      <c r="L5484" s="200"/>
      <c r="M5484" s="200"/>
      <c r="N5484" s="200"/>
      <c r="O5484" s="200"/>
      <c r="P5484" s="200"/>
    </row>
    <row r="5485" spans="3:20" s="517" customFormat="1" ht="31.2" customHeight="1">
      <c r="C5485" s="754" t="s">
        <v>5293</v>
      </c>
      <c r="D5485" s="750" t="s">
        <v>2084</v>
      </c>
      <c r="E5485" s="203" t="s">
        <v>42</v>
      </c>
      <c r="F5485" s="753">
        <v>1.0999999999999999E-2</v>
      </c>
      <c r="G5485" s="205">
        <f>VLOOKUP(D5485,upahbahan,3,FALSE)</f>
        <v>0</v>
      </c>
      <c r="H5485" s="210">
        <f t="shared" si="402"/>
        <v>0</v>
      </c>
      <c r="L5485" s="200"/>
      <c r="M5485" s="200"/>
      <c r="N5485" s="200"/>
      <c r="O5485" s="200"/>
      <c r="P5485" s="200"/>
    </row>
    <row r="5486" spans="3:20" s="517" customFormat="1" ht="31.2" customHeight="1">
      <c r="C5486" s="754" t="s">
        <v>5299</v>
      </c>
      <c r="D5486" s="750" t="s">
        <v>5566</v>
      </c>
      <c r="E5486" s="203" t="s">
        <v>42</v>
      </c>
      <c r="F5486" s="753">
        <v>3.0000000000000001E-3</v>
      </c>
      <c r="G5486" s="205">
        <f>VLOOKUP(D5486,upahbahan,3,FALSE)</f>
        <v>0</v>
      </c>
      <c r="H5486" s="210">
        <f t="shared" si="402"/>
        <v>0</v>
      </c>
      <c r="L5486" s="200"/>
      <c r="M5486" s="200"/>
      <c r="N5486" s="200"/>
      <c r="O5486" s="200"/>
      <c r="P5486" s="200"/>
    </row>
    <row r="5487" spans="3:20" s="517" customFormat="1" ht="31.2" customHeight="1">
      <c r="C5487" s="754" t="s">
        <v>5558</v>
      </c>
      <c r="D5487" s="750" t="s">
        <v>2325</v>
      </c>
      <c r="E5487" s="203" t="s">
        <v>42</v>
      </c>
      <c r="F5487" s="755">
        <v>1E-3</v>
      </c>
      <c r="G5487" s="205">
        <f>VLOOKUP(D5487,upahbahan,3,FALSE)</f>
        <v>0</v>
      </c>
      <c r="H5487" s="210">
        <f t="shared" si="402"/>
        <v>0</v>
      </c>
      <c r="L5487" s="200"/>
      <c r="M5487" s="200"/>
      <c r="N5487" s="200"/>
      <c r="O5487" s="200"/>
      <c r="P5487" s="200"/>
    </row>
    <row r="5488" spans="3:20" s="517" customFormat="1" ht="31.2" customHeight="1">
      <c r="C5488" s="207" t="s">
        <v>1214</v>
      </c>
      <c r="D5488" s="208"/>
      <c r="E5488" s="568"/>
      <c r="F5488" s="208"/>
      <c r="G5488" s="209"/>
      <c r="H5488" s="210">
        <f>SUM(H5482:H5487)</f>
        <v>0</v>
      </c>
      <c r="L5488" s="200"/>
      <c r="M5488" s="200"/>
      <c r="N5488" s="200"/>
      <c r="O5488" s="200"/>
      <c r="P5488" s="200"/>
    </row>
    <row r="5489" spans="3:20" s="517" customFormat="1" ht="31.2" customHeight="1">
      <c r="C5489" s="756" t="s">
        <v>1215</v>
      </c>
      <c r="D5489" s="196" t="s">
        <v>1216</v>
      </c>
      <c r="E5489" s="203"/>
      <c r="F5489" s="197"/>
      <c r="G5489" s="197"/>
      <c r="H5489" s="198"/>
      <c r="L5489" s="200"/>
      <c r="M5489" s="200"/>
      <c r="N5489" s="200"/>
      <c r="O5489" s="200"/>
      <c r="P5489" s="200"/>
    </row>
    <row r="5490" spans="3:20" s="517" customFormat="1" ht="31.2" customHeight="1">
      <c r="C5490" s="207" t="s">
        <v>1217</v>
      </c>
      <c r="D5490" s="208"/>
      <c r="E5490" s="208"/>
      <c r="F5490" s="208"/>
      <c r="G5490" s="209"/>
      <c r="H5490" s="240">
        <f>SUM(H5489)</f>
        <v>0</v>
      </c>
      <c r="L5490" s="200"/>
      <c r="M5490" s="200"/>
      <c r="N5490" s="200"/>
      <c r="O5490" s="200"/>
      <c r="P5490" s="200"/>
    </row>
    <row r="5491" spans="3:20" s="517" customFormat="1" ht="31.2" customHeight="1">
      <c r="C5491" s="223" t="s">
        <v>1218</v>
      </c>
      <c r="D5491" s="224" t="s">
        <v>1219</v>
      </c>
      <c r="E5491" s="225"/>
      <c r="F5491" s="225"/>
      <c r="G5491" s="226"/>
      <c r="H5491" s="210">
        <f>H5490+H5488+H5480</f>
        <v>11778</v>
      </c>
      <c r="L5491" s="200"/>
      <c r="M5491" s="200"/>
      <c r="N5491" s="200"/>
      <c r="O5491" s="200"/>
      <c r="P5491" s="200"/>
    </row>
    <row r="5492" spans="3:20" s="517" customFormat="1" ht="31.2" customHeight="1">
      <c r="C5492" s="223" t="s">
        <v>1220</v>
      </c>
      <c r="D5492" s="224" t="s">
        <v>1321</v>
      </c>
      <c r="E5492" s="225"/>
      <c r="F5492" s="226"/>
      <c r="G5492" s="228">
        <v>0.1</v>
      </c>
      <c r="H5492" s="210">
        <f>H5491*G5492</f>
        <v>1177.8</v>
      </c>
      <c r="L5492" s="200"/>
      <c r="M5492" s="200"/>
      <c r="N5492" s="200"/>
      <c r="O5492" s="200"/>
      <c r="P5492" s="200"/>
    </row>
    <row r="5493" spans="3:20" s="517" customFormat="1" ht="31.2" customHeight="1" thickBot="1">
      <c r="C5493" s="229" t="s">
        <v>1221</v>
      </c>
      <c r="D5493" s="230" t="s">
        <v>1222</v>
      </c>
      <c r="E5493" s="231"/>
      <c r="F5493" s="231"/>
      <c r="G5493" s="232"/>
      <c r="H5493" s="233">
        <f>SUM(H5491:H5492)</f>
        <v>12955.8</v>
      </c>
      <c r="L5493" s="200"/>
      <c r="M5493" s="200"/>
      <c r="N5493" s="200"/>
      <c r="O5493" s="200"/>
      <c r="P5493" s="200"/>
    </row>
    <row r="5494" spans="3:20" ht="31.2" customHeight="1" thickTop="1">
      <c r="D5494" s="758"/>
    </row>
    <row r="5495" spans="3:20" ht="31.2" customHeight="1">
      <c r="C5495" s="757" t="s">
        <v>6950</v>
      </c>
      <c r="F5495" s="758"/>
      <c r="H5495" s="758" t="s">
        <v>6959</v>
      </c>
    </row>
    <row r="5496" spans="3:20" ht="31.2" customHeight="1">
      <c r="C5496" s="200" t="s">
        <v>6951</v>
      </c>
      <c r="F5496" s="758"/>
    </row>
    <row r="5497" spans="3:20" ht="31.2" customHeight="1">
      <c r="C5497" s="200" t="s">
        <v>6952</v>
      </c>
      <c r="F5497" s="758"/>
    </row>
    <row r="5498" spans="3:20" ht="31.2" customHeight="1">
      <c r="C5498" s="200"/>
      <c r="F5498" s="758"/>
    </row>
    <row r="5499" spans="3:20" s="517" customFormat="1" ht="31.2" customHeight="1" thickBot="1">
      <c r="C5499" s="513" t="s">
        <v>7469</v>
      </c>
      <c r="D5499" s="748" t="s">
        <v>7470</v>
      </c>
      <c r="E5499" s="749"/>
      <c r="F5499" s="748"/>
      <c r="G5499" s="748"/>
      <c r="H5499" s="532"/>
      <c r="I5499" s="532"/>
      <c r="J5499" s="532"/>
      <c r="K5499" s="532"/>
      <c r="M5499" s="189"/>
      <c r="N5499" s="189"/>
      <c r="O5499" s="189"/>
      <c r="P5499" s="189"/>
      <c r="R5499" s="189">
        <f>ROUNDDOWN(H5518,-2)</f>
        <v>12900</v>
      </c>
      <c r="S5499" s="517" t="s">
        <v>6451</v>
      </c>
      <c r="T5499" s="517" t="s">
        <v>7014</v>
      </c>
    </row>
    <row r="5500" spans="3:20" s="517" customFormat="1" ht="31.2" customHeight="1" thickTop="1">
      <c r="C5500" s="190" t="s">
        <v>1195</v>
      </c>
      <c r="D5500" s="191" t="s">
        <v>1196</v>
      </c>
      <c r="E5500" s="191" t="s">
        <v>1197</v>
      </c>
      <c r="F5500" s="191" t="s">
        <v>1198</v>
      </c>
      <c r="G5500" s="191" t="s">
        <v>1199</v>
      </c>
      <c r="H5500" s="192" t="s">
        <v>1200</v>
      </c>
      <c r="L5500" s="200"/>
      <c r="M5500" s="200"/>
      <c r="N5500" s="200"/>
      <c r="O5500" s="200"/>
      <c r="P5500" s="200"/>
    </row>
    <row r="5501" spans="3:20" s="517" customFormat="1" ht="31.2" customHeight="1">
      <c r="C5501" s="518" t="s">
        <v>1201</v>
      </c>
      <c r="D5501" s="196" t="s">
        <v>1202</v>
      </c>
      <c r="E5501" s="197"/>
      <c r="F5501" s="197"/>
      <c r="G5501" s="197"/>
      <c r="H5501" s="198"/>
      <c r="L5501" s="200"/>
      <c r="M5501" s="200"/>
      <c r="N5501" s="200"/>
      <c r="O5501" s="200"/>
      <c r="P5501" s="200"/>
    </row>
    <row r="5502" spans="3:20" s="517" customFormat="1" ht="31.2" customHeight="1">
      <c r="C5502" s="537">
        <v>1</v>
      </c>
      <c r="D5502" s="196" t="s">
        <v>6954</v>
      </c>
      <c r="E5502" s="202" t="s">
        <v>6</v>
      </c>
      <c r="F5502" s="520">
        <v>0.05</v>
      </c>
      <c r="G5502" s="205">
        <f>VLOOKUP(D5502,upahbahan,3,FALSE)</f>
        <v>181250</v>
      </c>
      <c r="H5502" s="210">
        <f t="shared" ref="H5502:H5504" si="403">F5502*G5502</f>
        <v>9062.5</v>
      </c>
      <c r="L5502" s="200"/>
      <c r="M5502" s="200"/>
      <c r="N5502" s="200"/>
      <c r="O5502" s="200"/>
      <c r="P5502" s="200"/>
    </row>
    <row r="5503" spans="3:20" s="517" customFormat="1" ht="31.2" customHeight="1">
      <c r="C5503" s="537">
        <v>2</v>
      </c>
      <c r="D5503" s="196" t="s">
        <v>6948</v>
      </c>
      <c r="E5503" s="202" t="s">
        <v>2102</v>
      </c>
      <c r="F5503" s="520">
        <v>0.01</v>
      </c>
      <c r="G5503" s="205">
        <f>VLOOKUP(D5503,upahbahan,3,FALSE)</f>
        <v>218750</v>
      </c>
      <c r="H5503" s="210">
        <f t="shared" si="403"/>
        <v>2187.5</v>
      </c>
      <c r="L5503" s="200"/>
      <c r="M5503" s="200"/>
      <c r="N5503" s="200"/>
      <c r="O5503" s="200"/>
      <c r="P5503" s="200"/>
    </row>
    <row r="5504" spans="3:20" s="517" customFormat="1" ht="31.2" customHeight="1">
      <c r="C5504" s="537">
        <v>3</v>
      </c>
      <c r="D5504" s="196" t="s">
        <v>19</v>
      </c>
      <c r="E5504" s="202" t="s">
        <v>6</v>
      </c>
      <c r="F5504" s="520">
        <v>3.3E-3</v>
      </c>
      <c r="G5504" s="205">
        <f>VLOOKUP(D5504,upahbahan,3,FALSE)</f>
        <v>160000</v>
      </c>
      <c r="H5504" s="210">
        <f t="shared" si="403"/>
        <v>528</v>
      </c>
      <c r="L5504" s="200"/>
      <c r="M5504" s="200"/>
      <c r="N5504" s="200"/>
      <c r="O5504" s="200"/>
      <c r="P5504" s="200"/>
    </row>
    <row r="5505" spans="3:16" s="517" customFormat="1" ht="31.2" customHeight="1">
      <c r="C5505" s="207" t="s">
        <v>1208</v>
      </c>
      <c r="D5505" s="208"/>
      <c r="E5505" s="208"/>
      <c r="F5505" s="521"/>
      <c r="G5505" s="522"/>
      <c r="H5505" s="210">
        <f>SUM(H5502:H5504)</f>
        <v>11778</v>
      </c>
      <c r="L5505" s="523"/>
      <c r="M5505" s="523"/>
      <c r="N5505" s="523"/>
      <c r="O5505" s="523"/>
      <c r="P5505" s="523"/>
    </row>
    <row r="5506" spans="3:16" s="517" customFormat="1" ht="31.2" customHeight="1">
      <c r="C5506" s="543" t="s">
        <v>1209</v>
      </c>
      <c r="D5506" s="750" t="s">
        <v>1210</v>
      </c>
      <c r="E5506" s="197"/>
      <c r="F5506" s="751"/>
      <c r="G5506" s="197"/>
      <c r="H5506" s="752"/>
      <c r="L5506" s="200"/>
      <c r="M5506" s="200"/>
      <c r="N5506" s="200"/>
      <c r="O5506" s="200"/>
      <c r="P5506" s="200"/>
    </row>
    <row r="5507" spans="3:16" s="517" customFormat="1" ht="31.2" customHeight="1">
      <c r="C5507" s="543">
        <v>1</v>
      </c>
      <c r="D5507" s="750" t="s">
        <v>7471</v>
      </c>
      <c r="E5507" s="203" t="s">
        <v>44</v>
      </c>
      <c r="F5507" s="760">
        <v>16</v>
      </c>
      <c r="G5507" s="205">
        <f>VLOOKUP(D5507,upahbahan,3,FALSE)</f>
        <v>0</v>
      </c>
      <c r="H5507" s="210">
        <f t="shared" ref="H5507:H5512" si="404">F5507*G5507</f>
        <v>0</v>
      </c>
      <c r="L5507" s="200"/>
      <c r="M5507" s="200"/>
      <c r="N5507" s="200"/>
      <c r="O5507" s="200"/>
      <c r="P5507" s="200"/>
    </row>
    <row r="5508" spans="3:16" s="517" customFormat="1" ht="31.2" customHeight="1">
      <c r="C5508" s="543">
        <v>2</v>
      </c>
      <c r="D5508" s="750" t="s">
        <v>5563</v>
      </c>
      <c r="E5508" s="203" t="s">
        <v>65</v>
      </c>
      <c r="F5508" s="760">
        <v>0.01</v>
      </c>
      <c r="G5508" s="205">
        <f>VLOOKUP(D5508,upahbahan,3,FALSE)</f>
        <v>0</v>
      </c>
      <c r="H5508" s="210">
        <f t="shared" si="404"/>
        <v>0</v>
      </c>
      <c r="L5508" s="200"/>
      <c r="M5508" s="200"/>
      <c r="N5508" s="200"/>
      <c r="O5508" s="200"/>
      <c r="P5508" s="200"/>
    </row>
    <row r="5509" spans="3:16" s="517" customFormat="1" ht="31.2" customHeight="1">
      <c r="C5509" s="543">
        <v>3</v>
      </c>
      <c r="D5509" s="750" t="s">
        <v>5556</v>
      </c>
      <c r="E5509" s="203"/>
      <c r="F5509" s="753"/>
      <c r="G5509" s="197"/>
      <c r="H5509" s="210">
        <f t="shared" si="404"/>
        <v>0</v>
      </c>
      <c r="L5509" s="200"/>
      <c r="M5509" s="200"/>
      <c r="N5509" s="200"/>
      <c r="O5509" s="200"/>
      <c r="P5509" s="200"/>
    </row>
    <row r="5510" spans="3:16" s="517" customFormat="1" ht="31.2" customHeight="1">
      <c r="C5510" s="754" t="s">
        <v>5293</v>
      </c>
      <c r="D5510" s="750" t="s">
        <v>2084</v>
      </c>
      <c r="E5510" s="203" t="s">
        <v>42</v>
      </c>
      <c r="F5510" s="753">
        <v>1.0999999999999999E-2</v>
      </c>
      <c r="G5510" s="205">
        <f>VLOOKUP(D5510,upahbahan,3,FALSE)</f>
        <v>0</v>
      </c>
      <c r="H5510" s="210">
        <f t="shared" si="404"/>
        <v>0</v>
      </c>
      <c r="L5510" s="200"/>
      <c r="M5510" s="200"/>
      <c r="N5510" s="200"/>
      <c r="O5510" s="200"/>
      <c r="P5510" s="200"/>
    </row>
    <row r="5511" spans="3:16" s="517" customFormat="1" ht="31.2" customHeight="1">
      <c r="C5511" s="754" t="s">
        <v>5299</v>
      </c>
      <c r="D5511" s="750" t="s">
        <v>5566</v>
      </c>
      <c r="E5511" s="203" t="s">
        <v>42</v>
      </c>
      <c r="F5511" s="753">
        <v>3.0000000000000001E-3</v>
      </c>
      <c r="G5511" s="205">
        <f>VLOOKUP(D5511,upahbahan,3,FALSE)</f>
        <v>0</v>
      </c>
      <c r="H5511" s="210">
        <f t="shared" si="404"/>
        <v>0</v>
      </c>
      <c r="L5511" s="200"/>
      <c r="M5511" s="200"/>
      <c r="N5511" s="200"/>
      <c r="O5511" s="200"/>
      <c r="P5511" s="200"/>
    </row>
    <row r="5512" spans="3:16" s="517" customFormat="1" ht="31.2" customHeight="1">
      <c r="C5512" s="754" t="s">
        <v>5558</v>
      </c>
      <c r="D5512" s="750" t="s">
        <v>2325</v>
      </c>
      <c r="E5512" s="203" t="s">
        <v>42</v>
      </c>
      <c r="F5512" s="755">
        <v>1E-3</v>
      </c>
      <c r="G5512" s="205">
        <f>VLOOKUP(D5512,upahbahan,3,FALSE)</f>
        <v>0</v>
      </c>
      <c r="H5512" s="210">
        <f t="shared" si="404"/>
        <v>0</v>
      </c>
      <c r="L5512" s="200"/>
      <c r="M5512" s="200"/>
      <c r="N5512" s="200"/>
      <c r="O5512" s="200"/>
      <c r="P5512" s="200"/>
    </row>
    <row r="5513" spans="3:16" s="517" customFormat="1" ht="31.2" customHeight="1">
      <c r="C5513" s="207" t="s">
        <v>1214</v>
      </c>
      <c r="D5513" s="208"/>
      <c r="E5513" s="568"/>
      <c r="F5513" s="208"/>
      <c r="G5513" s="209"/>
      <c r="H5513" s="210">
        <f>SUM(H5507:H5512)</f>
        <v>0</v>
      </c>
      <c r="L5513" s="200"/>
      <c r="M5513" s="200"/>
      <c r="N5513" s="200"/>
      <c r="O5513" s="200"/>
      <c r="P5513" s="200"/>
    </row>
    <row r="5514" spans="3:16" s="517" customFormat="1" ht="31.2" customHeight="1">
      <c r="C5514" s="756" t="s">
        <v>1215</v>
      </c>
      <c r="D5514" s="196" t="s">
        <v>1216</v>
      </c>
      <c r="E5514" s="203"/>
      <c r="F5514" s="197"/>
      <c r="G5514" s="197"/>
      <c r="H5514" s="198"/>
      <c r="L5514" s="200"/>
      <c r="M5514" s="200"/>
      <c r="N5514" s="200"/>
      <c r="O5514" s="200"/>
      <c r="P5514" s="200"/>
    </row>
    <row r="5515" spans="3:16" s="517" customFormat="1" ht="31.2" customHeight="1">
      <c r="C5515" s="207" t="s">
        <v>1217</v>
      </c>
      <c r="D5515" s="208"/>
      <c r="E5515" s="208"/>
      <c r="F5515" s="208"/>
      <c r="G5515" s="209"/>
      <c r="H5515" s="240">
        <f>SUM(H5514)</f>
        <v>0</v>
      </c>
      <c r="L5515" s="200"/>
      <c r="M5515" s="200"/>
      <c r="N5515" s="200"/>
      <c r="O5515" s="200"/>
      <c r="P5515" s="200"/>
    </row>
    <row r="5516" spans="3:16" s="517" customFormat="1" ht="31.2" customHeight="1">
      <c r="C5516" s="223" t="s">
        <v>1218</v>
      </c>
      <c r="D5516" s="224" t="s">
        <v>1219</v>
      </c>
      <c r="E5516" s="225"/>
      <c r="F5516" s="225"/>
      <c r="G5516" s="226"/>
      <c r="H5516" s="210">
        <f>H5515+H5513+H5505</f>
        <v>11778</v>
      </c>
      <c r="L5516" s="200"/>
      <c r="M5516" s="200"/>
      <c r="N5516" s="200"/>
      <c r="O5516" s="200"/>
      <c r="P5516" s="200"/>
    </row>
    <row r="5517" spans="3:16" s="517" customFormat="1" ht="31.2" customHeight="1">
      <c r="C5517" s="223" t="s">
        <v>1220</v>
      </c>
      <c r="D5517" s="224" t="s">
        <v>1321</v>
      </c>
      <c r="E5517" s="225"/>
      <c r="F5517" s="226"/>
      <c r="G5517" s="228">
        <v>0.1</v>
      </c>
      <c r="H5517" s="210">
        <f>H5516*G5517</f>
        <v>1177.8</v>
      </c>
      <c r="L5517" s="200"/>
      <c r="M5517" s="200"/>
      <c r="N5517" s="200"/>
      <c r="O5517" s="200"/>
      <c r="P5517" s="200"/>
    </row>
    <row r="5518" spans="3:16" s="517" customFormat="1" ht="31.2" customHeight="1" thickBot="1">
      <c r="C5518" s="229" t="s">
        <v>1221</v>
      </c>
      <c r="D5518" s="230" t="s">
        <v>1222</v>
      </c>
      <c r="E5518" s="231"/>
      <c r="F5518" s="231"/>
      <c r="G5518" s="232"/>
      <c r="H5518" s="233">
        <f>SUM(H5516:H5517)</f>
        <v>12955.8</v>
      </c>
      <c r="L5518" s="200"/>
      <c r="M5518" s="200"/>
      <c r="N5518" s="200"/>
      <c r="O5518" s="200"/>
      <c r="P5518" s="200"/>
    </row>
    <row r="5519" spans="3:16" ht="31.2" customHeight="1" thickTop="1">
      <c r="D5519" s="758"/>
    </row>
    <row r="5520" spans="3:16" ht="31.2" customHeight="1">
      <c r="C5520" s="757" t="s">
        <v>6950</v>
      </c>
      <c r="F5520" s="758"/>
      <c r="H5520" s="758" t="s">
        <v>6959</v>
      </c>
    </row>
    <row r="5521" spans="3:20" ht="31.2" customHeight="1">
      <c r="C5521" s="200" t="s">
        <v>6951</v>
      </c>
      <c r="F5521" s="758"/>
    </row>
    <row r="5522" spans="3:20" ht="31.2" customHeight="1">
      <c r="C5522" s="200" t="s">
        <v>6952</v>
      </c>
      <c r="F5522" s="758"/>
    </row>
    <row r="5523" spans="3:20" ht="31.2" customHeight="1">
      <c r="C5523" s="200"/>
      <c r="F5523" s="758"/>
    </row>
    <row r="5524" spans="3:20" s="517" customFormat="1" ht="31.2" customHeight="1" thickBot="1">
      <c r="C5524" s="513" t="s">
        <v>7472</v>
      </c>
      <c r="D5524" s="748" t="s">
        <v>7473</v>
      </c>
      <c r="E5524" s="749"/>
      <c r="F5524" s="748"/>
      <c r="G5524" s="748"/>
      <c r="H5524" s="532"/>
      <c r="I5524" s="532"/>
      <c r="J5524" s="532"/>
      <c r="K5524" s="532"/>
      <c r="M5524" s="189"/>
      <c r="N5524" s="189"/>
      <c r="O5524" s="189"/>
      <c r="P5524" s="189"/>
      <c r="R5524" s="189">
        <f>ROUNDDOWN(H5543,-2)</f>
        <v>12900</v>
      </c>
      <c r="S5524" s="517" t="s">
        <v>6451</v>
      </c>
      <c r="T5524" s="517" t="s">
        <v>7014</v>
      </c>
    </row>
    <row r="5525" spans="3:20" s="517" customFormat="1" ht="31.2" customHeight="1" thickTop="1">
      <c r="C5525" s="190" t="s">
        <v>1195</v>
      </c>
      <c r="D5525" s="191" t="s">
        <v>1196</v>
      </c>
      <c r="E5525" s="191" t="s">
        <v>1197</v>
      </c>
      <c r="F5525" s="191" t="s">
        <v>1198</v>
      </c>
      <c r="G5525" s="191" t="s">
        <v>1199</v>
      </c>
      <c r="H5525" s="192" t="s">
        <v>1200</v>
      </c>
      <c r="L5525" s="200"/>
      <c r="M5525" s="200"/>
      <c r="N5525" s="200"/>
      <c r="O5525" s="200"/>
      <c r="P5525" s="200"/>
    </row>
    <row r="5526" spans="3:20" s="517" customFormat="1" ht="31.2" customHeight="1">
      <c r="C5526" s="518" t="s">
        <v>1201</v>
      </c>
      <c r="D5526" s="196" t="s">
        <v>1202</v>
      </c>
      <c r="E5526" s="197"/>
      <c r="F5526" s="197"/>
      <c r="G5526" s="197"/>
      <c r="H5526" s="198"/>
      <c r="L5526" s="200"/>
      <c r="M5526" s="200"/>
      <c r="N5526" s="200"/>
      <c r="O5526" s="200"/>
      <c r="P5526" s="200"/>
    </row>
    <row r="5527" spans="3:20" s="517" customFormat="1" ht="31.2" customHeight="1">
      <c r="C5527" s="537">
        <v>1</v>
      </c>
      <c r="D5527" s="196" t="s">
        <v>6954</v>
      </c>
      <c r="E5527" s="202" t="s">
        <v>6</v>
      </c>
      <c r="F5527" s="520">
        <v>0.05</v>
      </c>
      <c r="G5527" s="205">
        <f>VLOOKUP(D5527,upahbahan,3,FALSE)</f>
        <v>181250</v>
      </c>
      <c r="H5527" s="210">
        <f t="shared" ref="H5527:H5529" si="405">F5527*G5527</f>
        <v>9062.5</v>
      </c>
      <c r="L5527" s="200"/>
      <c r="M5527" s="200"/>
      <c r="N5527" s="200"/>
      <c r="O5527" s="200"/>
      <c r="P5527" s="200"/>
    </row>
    <row r="5528" spans="3:20" s="517" customFormat="1" ht="31.2" customHeight="1">
      <c r="C5528" s="537">
        <v>2</v>
      </c>
      <c r="D5528" s="196" t="s">
        <v>6948</v>
      </c>
      <c r="E5528" s="202" t="s">
        <v>2102</v>
      </c>
      <c r="F5528" s="520">
        <v>0.01</v>
      </c>
      <c r="G5528" s="205">
        <f>VLOOKUP(D5528,upahbahan,3,FALSE)</f>
        <v>218750</v>
      </c>
      <c r="H5528" s="210">
        <f t="shared" si="405"/>
        <v>2187.5</v>
      </c>
      <c r="L5528" s="200"/>
      <c r="M5528" s="200"/>
      <c r="N5528" s="200"/>
      <c r="O5528" s="200"/>
      <c r="P5528" s="200"/>
    </row>
    <row r="5529" spans="3:20" s="517" customFormat="1" ht="31.2" customHeight="1">
      <c r="C5529" s="537">
        <v>3</v>
      </c>
      <c r="D5529" s="196" t="s">
        <v>19</v>
      </c>
      <c r="E5529" s="202" t="s">
        <v>6</v>
      </c>
      <c r="F5529" s="520">
        <v>3.3E-3</v>
      </c>
      <c r="G5529" s="205">
        <f>VLOOKUP(D5529,upahbahan,3,FALSE)</f>
        <v>160000</v>
      </c>
      <c r="H5529" s="210">
        <f t="shared" si="405"/>
        <v>528</v>
      </c>
      <c r="L5529" s="200"/>
      <c r="M5529" s="200"/>
      <c r="N5529" s="200"/>
      <c r="O5529" s="200"/>
      <c r="P5529" s="200"/>
    </row>
    <row r="5530" spans="3:20" s="517" customFormat="1" ht="31.2" customHeight="1">
      <c r="C5530" s="207" t="s">
        <v>1208</v>
      </c>
      <c r="D5530" s="208"/>
      <c r="E5530" s="208"/>
      <c r="F5530" s="521"/>
      <c r="G5530" s="522"/>
      <c r="H5530" s="210">
        <f>SUM(H5527:H5529)</f>
        <v>11778</v>
      </c>
      <c r="L5530" s="523"/>
      <c r="M5530" s="523"/>
      <c r="N5530" s="523"/>
      <c r="O5530" s="523"/>
      <c r="P5530" s="523"/>
    </row>
    <row r="5531" spans="3:20" s="517" customFormat="1" ht="31.2" customHeight="1">
      <c r="C5531" s="543" t="s">
        <v>1209</v>
      </c>
      <c r="D5531" s="750" t="s">
        <v>1210</v>
      </c>
      <c r="E5531" s="197"/>
      <c r="F5531" s="751"/>
      <c r="G5531" s="197"/>
      <c r="H5531" s="752"/>
      <c r="L5531" s="200"/>
      <c r="M5531" s="200"/>
      <c r="N5531" s="200"/>
      <c r="O5531" s="200"/>
      <c r="P5531" s="200"/>
    </row>
    <row r="5532" spans="3:20" s="517" customFormat="1" ht="31.2" customHeight="1">
      <c r="C5532" s="543">
        <v>1</v>
      </c>
      <c r="D5532" s="750" t="s">
        <v>7474</v>
      </c>
      <c r="E5532" s="203" t="s">
        <v>44</v>
      </c>
      <c r="F5532" s="760">
        <v>16</v>
      </c>
      <c r="G5532" s="205">
        <f>VLOOKUP(D5532,upahbahan,3,FALSE)</f>
        <v>0</v>
      </c>
      <c r="H5532" s="210">
        <f t="shared" ref="H5532:H5537" si="406">F5532*G5532</f>
        <v>0</v>
      </c>
      <c r="L5532" s="200"/>
      <c r="M5532" s="200"/>
      <c r="N5532" s="200"/>
      <c r="O5532" s="200"/>
      <c r="P5532" s="200"/>
    </row>
    <row r="5533" spans="3:20" s="517" customFormat="1" ht="31.2" customHeight="1">
      <c r="C5533" s="543">
        <v>2</v>
      </c>
      <c r="D5533" s="750" t="s">
        <v>5563</v>
      </c>
      <c r="E5533" s="203" t="s">
        <v>65</v>
      </c>
      <c r="F5533" s="760">
        <v>0.01</v>
      </c>
      <c r="G5533" s="205">
        <f>VLOOKUP(D5533,upahbahan,3,FALSE)</f>
        <v>0</v>
      </c>
      <c r="H5533" s="210">
        <f t="shared" si="406"/>
        <v>0</v>
      </c>
      <c r="L5533" s="200"/>
      <c r="M5533" s="200"/>
      <c r="N5533" s="200"/>
      <c r="O5533" s="200"/>
      <c r="P5533" s="200"/>
    </row>
    <row r="5534" spans="3:20" s="517" customFormat="1" ht="31.2" customHeight="1">
      <c r="C5534" s="543">
        <v>3</v>
      </c>
      <c r="D5534" s="750" t="s">
        <v>5556</v>
      </c>
      <c r="E5534" s="203"/>
      <c r="F5534" s="753"/>
      <c r="G5534" s="197"/>
      <c r="H5534" s="210">
        <f t="shared" si="406"/>
        <v>0</v>
      </c>
      <c r="L5534" s="200"/>
      <c r="M5534" s="200"/>
      <c r="N5534" s="200"/>
      <c r="O5534" s="200"/>
      <c r="P5534" s="200"/>
    </row>
    <row r="5535" spans="3:20" s="517" customFormat="1" ht="31.2" customHeight="1">
      <c r="C5535" s="754" t="s">
        <v>5293</v>
      </c>
      <c r="D5535" s="750" t="s">
        <v>2084</v>
      </c>
      <c r="E5535" s="203" t="s">
        <v>42</v>
      </c>
      <c r="F5535" s="753">
        <v>1.0999999999999999E-2</v>
      </c>
      <c r="G5535" s="205">
        <f>VLOOKUP(D5535,upahbahan,3,FALSE)</f>
        <v>0</v>
      </c>
      <c r="H5535" s="210">
        <f t="shared" si="406"/>
        <v>0</v>
      </c>
      <c r="L5535" s="200"/>
      <c r="M5535" s="200"/>
      <c r="N5535" s="200"/>
      <c r="O5535" s="200"/>
      <c r="P5535" s="200"/>
    </row>
    <row r="5536" spans="3:20" s="517" customFormat="1" ht="31.2" customHeight="1">
      <c r="C5536" s="754" t="s">
        <v>5299</v>
      </c>
      <c r="D5536" s="750" t="s">
        <v>5566</v>
      </c>
      <c r="E5536" s="203" t="s">
        <v>42</v>
      </c>
      <c r="F5536" s="753">
        <v>3.0000000000000001E-3</v>
      </c>
      <c r="G5536" s="205">
        <f>VLOOKUP(D5536,upahbahan,3,FALSE)</f>
        <v>0</v>
      </c>
      <c r="H5536" s="210">
        <f t="shared" si="406"/>
        <v>0</v>
      </c>
      <c r="L5536" s="200"/>
      <c r="M5536" s="200"/>
      <c r="N5536" s="200"/>
      <c r="O5536" s="200"/>
      <c r="P5536" s="200"/>
    </row>
    <row r="5537" spans="3:20" s="517" customFormat="1" ht="31.2" customHeight="1">
      <c r="C5537" s="754" t="s">
        <v>5558</v>
      </c>
      <c r="D5537" s="750" t="s">
        <v>2325</v>
      </c>
      <c r="E5537" s="203" t="s">
        <v>42</v>
      </c>
      <c r="F5537" s="755">
        <v>1E-3</v>
      </c>
      <c r="G5537" s="205">
        <f>VLOOKUP(D5537,upahbahan,3,FALSE)</f>
        <v>0</v>
      </c>
      <c r="H5537" s="210">
        <f t="shared" si="406"/>
        <v>0</v>
      </c>
      <c r="L5537" s="200"/>
      <c r="M5537" s="200"/>
      <c r="N5537" s="200"/>
      <c r="O5537" s="200"/>
      <c r="P5537" s="200"/>
    </row>
    <row r="5538" spans="3:20" s="517" customFormat="1" ht="31.2" customHeight="1">
      <c r="C5538" s="207" t="s">
        <v>1214</v>
      </c>
      <c r="D5538" s="208"/>
      <c r="E5538" s="568"/>
      <c r="F5538" s="208"/>
      <c r="G5538" s="209"/>
      <c r="H5538" s="210">
        <f>SUM(H5532:H5537)</f>
        <v>0</v>
      </c>
      <c r="L5538" s="200"/>
      <c r="M5538" s="200"/>
      <c r="N5538" s="200"/>
      <c r="O5538" s="200"/>
      <c r="P5538" s="200"/>
    </row>
    <row r="5539" spans="3:20" s="517" customFormat="1" ht="31.2" customHeight="1">
      <c r="C5539" s="756" t="s">
        <v>1215</v>
      </c>
      <c r="D5539" s="196" t="s">
        <v>1216</v>
      </c>
      <c r="E5539" s="203"/>
      <c r="F5539" s="197"/>
      <c r="G5539" s="197"/>
      <c r="H5539" s="198"/>
      <c r="L5539" s="200"/>
      <c r="M5539" s="200"/>
      <c r="N5539" s="200"/>
      <c r="O5539" s="200"/>
      <c r="P5539" s="200"/>
    </row>
    <row r="5540" spans="3:20" s="517" customFormat="1" ht="31.2" customHeight="1">
      <c r="C5540" s="207" t="s">
        <v>1217</v>
      </c>
      <c r="D5540" s="208"/>
      <c r="E5540" s="208"/>
      <c r="F5540" s="208"/>
      <c r="G5540" s="209"/>
      <c r="H5540" s="240">
        <f>SUM(H5539)</f>
        <v>0</v>
      </c>
      <c r="L5540" s="200"/>
      <c r="M5540" s="200"/>
      <c r="N5540" s="200"/>
      <c r="O5540" s="200"/>
      <c r="P5540" s="200"/>
    </row>
    <row r="5541" spans="3:20" s="517" customFormat="1" ht="31.2" customHeight="1">
      <c r="C5541" s="223" t="s">
        <v>1218</v>
      </c>
      <c r="D5541" s="224" t="s">
        <v>1219</v>
      </c>
      <c r="E5541" s="225"/>
      <c r="F5541" s="225"/>
      <c r="G5541" s="226"/>
      <c r="H5541" s="210">
        <f>H5540+H5538+H5530</f>
        <v>11778</v>
      </c>
      <c r="L5541" s="200"/>
      <c r="M5541" s="200"/>
      <c r="N5541" s="200"/>
      <c r="O5541" s="200"/>
      <c r="P5541" s="200"/>
    </row>
    <row r="5542" spans="3:20" s="517" customFormat="1" ht="31.2" customHeight="1">
      <c r="C5542" s="223" t="s">
        <v>1220</v>
      </c>
      <c r="D5542" s="224" t="s">
        <v>1321</v>
      </c>
      <c r="E5542" s="225"/>
      <c r="F5542" s="226"/>
      <c r="G5542" s="228">
        <v>0.1</v>
      </c>
      <c r="H5542" s="210">
        <f>H5541*G5542</f>
        <v>1177.8</v>
      </c>
      <c r="L5542" s="200"/>
      <c r="M5542" s="200"/>
      <c r="N5542" s="200"/>
      <c r="O5542" s="200"/>
      <c r="P5542" s="200"/>
    </row>
    <row r="5543" spans="3:20" s="517" customFormat="1" ht="31.2" customHeight="1" thickBot="1">
      <c r="C5543" s="229" t="s">
        <v>1221</v>
      </c>
      <c r="D5543" s="230" t="s">
        <v>1222</v>
      </c>
      <c r="E5543" s="231"/>
      <c r="F5543" s="231"/>
      <c r="G5543" s="232"/>
      <c r="H5543" s="233">
        <f>SUM(H5541:H5542)</f>
        <v>12955.8</v>
      </c>
      <c r="L5543" s="200"/>
      <c r="M5543" s="200"/>
      <c r="N5543" s="200"/>
      <c r="O5543" s="200"/>
      <c r="P5543" s="200"/>
    </row>
    <row r="5544" spans="3:20" ht="31.2" customHeight="1" thickTop="1">
      <c r="D5544" s="758"/>
    </row>
    <row r="5545" spans="3:20" ht="31.2" customHeight="1">
      <c r="C5545" s="757" t="s">
        <v>6950</v>
      </c>
      <c r="F5545" s="758"/>
      <c r="H5545" s="758" t="s">
        <v>6959</v>
      </c>
    </row>
    <row r="5546" spans="3:20" ht="31.2" customHeight="1">
      <c r="C5546" s="200" t="s">
        <v>6951</v>
      </c>
      <c r="F5546" s="758"/>
    </row>
    <row r="5547" spans="3:20" ht="31.2" customHeight="1">
      <c r="C5547" s="200" t="s">
        <v>6952</v>
      </c>
      <c r="F5547" s="758"/>
    </row>
    <row r="5548" spans="3:20" ht="31.2" customHeight="1">
      <c r="C5548" s="200"/>
      <c r="F5548" s="758"/>
    </row>
    <row r="5549" spans="3:20" s="517" customFormat="1" ht="31.2" customHeight="1" thickBot="1">
      <c r="C5549" s="513" t="s">
        <v>7475</v>
      </c>
      <c r="D5549" s="748" t="s">
        <v>7476</v>
      </c>
      <c r="E5549" s="749"/>
      <c r="F5549" s="748"/>
      <c r="G5549" s="748"/>
      <c r="H5549" s="532"/>
      <c r="I5549" s="532"/>
      <c r="J5549" s="532"/>
      <c r="K5549" s="532"/>
      <c r="M5549" s="189"/>
      <c r="N5549" s="189"/>
      <c r="O5549" s="189"/>
      <c r="P5549" s="189"/>
      <c r="R5549" s="189">
        <f>ROUNDDOWN(H5568,-2)</f>
        <v>12900</v>
      </c>
      <c r="S5549" s="517" t="s">
        <v>6451</v>
      </c>
      <c r="T5549" s="517" t="s">
        <v>7014</v>
      </c>
    </row>
    <row r="5550" spans="3:20" s="517" customFormat="1" ht="31.2" customHeight="1" thickTop="1">
      <c r="C5550" s="190" t="s">
        <v>1195</v>
      </c>
      <c r="D5550" s="191" t="s">
        <v>1196</v>
      </c>
      <c r="E5550" s="191" t="s">
        <v>1197</v>
      </c>
      <c r="F5550" s="191" t="s">
        <v>1198</v>
      </c>
      <c r="G5550" s="191" t="s">
        <v>1199</v>
      </c>
      <c r="H5550" s="192" t="s">
        <v>1200</v>
      </c>
      <c r="L5550" s="200"/>
      <c r="M5550" s="200"/>
      <c r="N5550" s="200"/>
      <c r="O5550" s="200"/>
      <c r="P5550" s="200"/>
    </row>
    <row r="5551" spans="3:20" s="517" customFormat="1" ht="31.2" customHeight="1">
      <c r="C5551" s="518" t="s">
        <v>1201</v>
      </c>
      <c r="D5551" s="196" t="s">
        <v>1202</v>
      </c>
      <c r="E5551" s="197"/>
      <c r="F5551" s="197"/>
      <c r="G5551" s="197"/>
      <c r="H5551" s="198"/>
      <c r="L5551" s="200"/>
      <c r="M5551" s="200"/>
      <c r="N5551" s="200"/>
      <c r="O5551" s="200"/>
      <c r="P5551" s="200"/>
    </row>
    <row r="5552" spans="3:20" s="517" customFormat="1" ht="31.2" customHeight="1">
      <c r="C5552" s="537">
        <v>1</v>
      </c>
      <c r="D5552" s="196" t="s">
        <v>6954</v>
      </c>
      <c r="E5552" s="202" t="s">
        <v>6</v>
      </c>
      <c r="F5552" s="520">
        <v>0.05</v>
      </c>
      <c r="G5552" s="205">
        <f>VLOOKUP(D5552,upahbahan,3,FALSE)</f>
        <v>181250</v>
      </c>
      <c r="H5552" s="210">
        <f t="shared" ref="H5552:H5554" si="407">F5552*G5552</f>
        <v>9062.5</v>
      </c>
      <c r="L5552" s="200"/>
      <c r="M5552" s="200"/>
      <c r="N5552" s="200"/>
      <c r="O5552" s="200"/>
      <c r="P5552" s="200"/>
    </row>
    <row r="5553" spans="3:16" s="517" customFormat="1" ht="31.2" customHeight="1">
      <c r="C5553" s="537">
        <v>2</v>
      </c>
      <c r="D5553" s="196" t="s">
        <v>6948</v>
      </c>
      <c r="E5553" s="202" t="s">
        <v>2102</v>
      </c>
      <c r="F5553" s="520">
        <v>0.01</v>
      </c>
      <c r="G5553" s="205">
        <f>VLOOKUP(D5553,upahbahan,3,FALSE)</f>
        <v>218750</v>
      </c>
      <c r="H5553" s="210">
        <f t="shared" si="407"/>
        <v>2187.5</v>
      </c>
      <c r="L5553" s="200"/>
      <c r="M5553" s="200"/>
      <c r="N5553" s="200"/>
      <c r="O5553" s="200"/>
      <c r="P5553" s="200"/>
    </row>
    <row r="5554" spans="3:16" s="517" customFormat="1" ht="31.2" customHeight="1">
      <c r="C5554" s="537">
        <v>3</v>
      </c>
      <c r="D5554" s="196" t="s">
        <v>19</v>
      </c>
      <c r="E5554" s="202" t="s">
        <v>6</v>
      </c>
      <c r="F5554" s="520">
        <v>3.3E-3</v>
      </c>
      <c r="G5554" s="205">
        <f>VLOOKUP(D5554,upahbahan,3,FALSE)</f>
        <v>160000</v>
      </c>
      <c r="H5554" s="210">
        <f t="shared" si="407"/>
        <v>528</v>
      </c>
      <c r="L5554" s="200"/>
      <c r="M5554" s="200"/>
      <c r="N5554" s="200"/>
      <c r="O5554" s="200"/>
      <c r="P5554" s="200"/>
    </row>
    <row r="5555" spans="3:16" s="517" customFormat="1" ht="31.2" customHeight="1">
      <c r="C5555" s="207" t="s">
        <v>1208</v>
      </c>
      <c r="D5555" s="208"/>
      <c r="E5555" s="208"/>
      <c r="F5555" s="521"/>
      <c r="G5555" s="522"/>
      <c r="H5555" s="210">
        <f>SUM(H5552:H5554)</f>
        <v>11778</v>
      </c>
      <c r="L5555" s="523"/>
      <c r="M5555" s="523"/>
      <c r="N5555" s="523"/>
      <c r="O5555" s="523"/>
      <c r="P5555" s="523"/>
    </row>
    <row r="5556" spans="3:16" s="517" customFormat="1" ht="31.2" customHeight="1">
      <c r="C5556" s="543" t="s">
        <v>1209</v>
      </c>
      <c r="D5556" s="750" t="s">
        <v>1210</v>
      </c>
      <c r="E5556" s="197"/>
      <c r="F5556" s="751"/>
      <c r="G5556" s="197"/>
      <c r="H5556" s="752"/>
      <c r="L5556" s="200"/>
      <c r="M5556" s="200"/>
      <c r="N5556" s="200"/>
      <c r="O5556" s="200"/>
      <c r="P5556" s="200"/>
    </row>
    <row r="5557" spans="3:16" s="517" customFormat="1" ht="31.2" customHeight="1">
      <c r="C5557" s="543">
        <v>1</v>
      </c>
      <c r="D5557" s="750" t="s">
        <v>7477</v>
      </c>
      <c r="E5557" s="203" t="s">
        <v>44</v>
      </c>
      <c r="F5557" s="760">
        <v>16</v>
      </c>
      <c r="G5557" s="205">
        <f>VLOOKUP(D5557,upahbahan,3,FALSE)</f>
        <v>0</v>
      </c>
      <c r="H5557" s="210">
        <f t="shared" ref="H5557:H5562" si="408">F5557*G5557</f>
        <v>0</v>
      </c>
      <c r="L5557" s="200"/>
      <c r="M5557" s="200"/>
      <c r="N5557" s="200"/>
      <c r="O5557" s="200"/>
      <c r="P5557" s="200"/>
    </row>
    <row r="5558" spans="3:16" s="517" customFormat="1" ht="31.2" customHeight="1">
      <c r="C5558" s="543">
        <v>2</v>
      </c>
      <c r="D5558" s="750" t="s">
        <v>5563</v>
      </c>
      <c r="E5558" s="203" t="s">
        <v>65</v>
      </c>
      <c r="F5558" s="760">
        <v>0.01</v>
      </c>
      <c r="G5558" s="205">
        <f>VLOOKUP(D5558,upahbahan,3,FALSE)</f>
        <v>0</v>
      </c>
      <c r="H5558" s="210">
        <f t="shared" si="408"/>
        <v>0</v>
      </c>
      <c r="L5558" s="200"/>
      <c r="M5558" s="200"/>
      <c r="N5558" s="200"/>
      <c r="O5558" s="200"/>
      <c r="P5558" s="200"/>
    </row>
    <row r="5559" spans="3:16" s="517" customFormat="1" ht="31.2" customHeight="1">
      <c r="C5559" s="543">
        <v>3</v>
      </c>
      <c r="D5559" s="750" t="s">
        <v>5556</v>
      </c>
      <c r="E5559" s="203"/>
      <c r="F5559" s="753"/>
      <c r="G5559" s="197"/>
      <c r="H5559" s="210">
        <f t="shared" si="408"/>
        <v>0</v>
      </c>
      <c r="L5559" s="200"/>
      <c r="M5559" s="200"/>
      <c r="N5559" s="200"/>
      <c r="O5559" s="200"/>
      <c r="P5559" s="200"/>
    </row>
    <row r="5560" spans="3:16" s="517" customFormat="1" ht="31.2" customHeight="1">
      <c r="C5560" s="754" t="s">
        <v>5293</v>
      </c>
      <c r="D5560" s="750" t="s">
        <v>2084</v>
      </c>
      <c r="E5560" s="203" t="s">
        <v>42</v>
      </c>
      <c r="F5560" s="753">
        <v>1.0999999999999999E-2</v>
      </c>
      <c r="G5560" s="205">
        <f>VLOOKUP(D5560,upahbahan,3,FALSE)</f>
        <v>0</v>
      </c>
      <c r="H5560" s="210">
        <f t="shared" si="408"/>
        <v>0</v>
      </c>
      <c r="L5560" s="200"/>
      <c r="M5560" s="200"/>
      <c r="N5560" s="200"/>
      <c r="O5560" s="200"/>
      <c r="P5560" s="200"/>
    </row>
    <row r="5561" spans="3:16" s="517" customFormat="1" ht="31.2" customHeight="1">
      <c r="C5561" s="754" t="s">
        <v>5299</v>
      </c>
      <c r="D5561" s="750" t="s">
        <v>5566</v>
      </c>
      <c r="E5561" s="203" t="s">
        <v>42</v>
      </c>
      <c r="F5561" s="753">
        <v>3.0000000000000001E-3</v>
      </c>
      <c r="G5561" s="205">
        <f>VLOOKUP(D5561,upahbahan,3,FALSE)</f>
        <v>0</v>
      </c>
      <c r="H5561" s="210">
        <f t="shared" si="408"/>
        <v>0</v>
      </c>
      <c r="L5561" s="200"/>
      <c r="M5561" s="200"/>
      <c r="N5561" s="200"/>
      <c r="O5561" s="200"/>
      <c r="P5561" s="200"/>
    </row>
    <row r="5562" spans="3:16" s="517" customFormat="1" ht="31.2" customHeight="1">
      <c r="C5562" s="754" t="s">
        <v>5558</v>
      </c>
      <c r="D5562" s="750" t="s">
        <v>2325</v>
      </c>
      <c r="E5562" s="203" t="s">
        <v>42</v>
      </c>
      <c r="F5562" s="755">
        <v>1E-3</v>
      </c>
      <c r="G5562" s="205">
        <f>VLOOKUP(D5562,upahbahan,3,FALSE)</f>
        <v>0</v>
      </c>
      <c r="H5562" s="210">
        <f t="shared" si="408"/>
        <v>0</v>
      </c>
      <c r="L5562" s="200"/>
      <c r="M5562" s="200"/>
      <c r="N5562" s="200"/>
      <c r="O5562" s="200"/>
      <c r="P5562" s="200"/>
    </row>
    <row r="5563" spans="3:16" s="517" customFormat="1" ht="31.2" customHeight="1">
      <c r="C5563" s="207" t="s">
        <v>1214</v>
      </c>
      <c r="D5563" s="208"/>
      <c r="E5563" s="568"/>
      <c r="F5563" s="208"/>
      <c r="G5563" s="209"/>
      <c r="H5563" s="210">
        <f>SUM(H5557:H5562)</f>
        <v>0</v>
      </c>
      <c r="L5563" s="200"/>
      <c r="M5563" s="200"/>
      <c r="N5563" s="200"/>
      <c r="O5563" s="200"/>
      <c r="P5563" s="200"/>
    </row>
    <row r="5564" spans="3:16" s="517" customFormat="1" ht="31.2" customHeight="1">
      <c r="C5564" s="756" t="s">
        <v>1215</v>
      </c>
      <c r="D5564" s="196" t="s">
        <v>1216</v>
      </c>
      <c r="E5564" s="203"/>
      <c r="F5564" s="197"/>
      <c r="G5564" s="197"/>
      <c r="H5564" s="198"/>
      <c r="L5564" s="200"/>
      <c r="M5564" s="200"/>
      <c r="N5564" s="200"/>
      <c r="O5564" s="200"/>
      <c r="P5564" s="200"/>
    </row>
    <row r="5565" spans="3:16" s="517" customFormat="1" ht="31.2" customHeight="1">
      <c r="C5565" s="207" t="s">
        <v>1217</v>
      </c>
      <c r="D5565" s="208"/>
      <c r="E5565" s="208"/>
      <c r="F5565" s="208"/>
      <c r="G5565" s="209"/>
      <c r="H5565" s="240">
        <f>SUM(H5564)</f>
        <v>0</v>
      </c>
      <c r="L5565" s="200"/>
      <c r="M5565" s="200"/>
      <c r="N5565" s="200"/>
      <c r="O5565" s="200"/>
      <c r="P5565" s="200"/>
    </row>
    <row r="5566" spans="3:16" s="517" customFormat="1" ht="31.2" customHeight="1">
      <c r="C5566" s="223" t="s">
        <v>1218</v>
      </c>
      <c r="D5566" s="224" t="s">
        <v>1219</v>
      </c>
      <c r="E5566" s="225"/>
      <c r="F5566" s="225"/>
      <c r="G5566" s="226"/>
      <c r="H5566" s="210">
        <f>H5565+H5563+H5555</f>
        <v>11778</v>
      </c>
      <c r="L5566" s="200"/>
      <c r="M5566" s="200"/>
      <c r="N5566" s="200"/>
      <c r="O5566" s="200"/>
      <c r="P5566" s="200"/>
    </row>
    <row r="5567" spans="3:16" s="517" customFormat="1" ht="31.2" customHeight="1">
      <c r="C5567" s="223" t="s">
        <v>1220</v>
      </c>
      <c r="D5567" s="224" t="s">
        <v>1321</v>
      </c>
      <c r="E5567" s="225"/>
      <c r="F5567" s="226"/>
      <c r="G5567" s="228">
        <v>0.1</v>
      </c>
      <c r="H5567" s="210">
        <f>H5566*G5567</f>
        <v>1177.8</v>
      </c>
      <c r="L5567" s="200"/>
      <c r="M5567" s="200"/>
      <c r="N5567" s="200"/>
      <c r="O5567" s="200"/>
      <c r="P5567" s="200"/>
    </row>
    <row r="5568" spans="3:16" s="517" customFormat="1" ht="31.2" customHeight="1" thickBot="1">
      <c r="C5568" s="229" t="s">
        <v>1221</v>
      </c>
      <c r="D5568" s="230" t="s">
        <v>1222</v>
      </c>
      <c r="E5568" s="231"/>
      <c r="F5568" s="231"/>
      <c r="G5568" s="232"/>
      <c r="H5568" s="233">
        <f>SUM(H5566:H5567)</f>
        <v>12955.8</v>
      </c>
      <c r="L5568" s="200"/>
      <c r="M5568" s="200"/>
      <c r="N5568" s="200"/>
      <c r="O5568" s="200"/>
      <c r="P5568" s="200"/>
    </row>
    <row r="5569" spans="3:20" ht="31.2" customHeight="1" thickTop="1">
      <c r="D5569" s="758"/>
    </row>
    <row r="5570" spans="3:20" ht="31.2" customHeight="1">
      <c r="C5570" s="757" t="s">
        <v>6950</v>
      </c>
      <c r="F5570" s="758"/>
      <c r="H5570" s="758" t="s">
        <v>6959</v>
      </c>
    </row>
    <row r="5571" spans="3:20" ht="31.2" customHeight="1">
      <c r="C5571" s="200" t="s">
        <v>6951</v>
      </c>
      <c r="F5571" s="758"/>
    </row>
    <row r="5572" spans="3:20" ht="31.2" customHeight="1">
      <c r="C5572" s="200" t="s">
        <v>6952</v>
      </c>
      <c r="F5572" s="758"/>
    </row>
    <row r="5573" spans="3:20" ht="31.2" customHeight="1">
      <c r="C5573" s="200"/>
      <c r="F5573" s="758"/>
    </row>
    <row r="5574" spans="3:20" s="517" customFormat="1" ht="31.2" customHeight="1" thickBot="1">
      <c r="C5574" s="513" t="s">
        <v>7478</v>
      </c>
      <c r="D5574" s="748" t="s">
        <v>7479</v>
      </c>
      <c r="E5574" s="749"/>
      <c r="F5574" s="748"/>
      <c r="G5574" s="748"/>
      <c r="H5574" s="532"/>
      <c r="I5574" s="532"/>
      <c r="J5574" s="532"/>
      <c r="K5574" s="532"/>
      <c r="M5574" s="189"/>
      <c r="N5574" s="189"/>
      <c r="O5574" s="189"/>
      <c r="P5574" s="189"/>
      <c r="R5574" s="189">
        <f>ROUNDDOWN(H5593,-2)</f>
        <v>12900</v>
      </c>
      <c r="S5574" s="517" t="s">
        <v>6451</v>
      </c>
      <c r="T5574" s="517" t="s">
        <v>7014</v>
      </c>
    </row>
    <row r="5575" spans="3:20" s="517" customFormat="1" ht="31.2" customHeight="1" thickTop="1">
      <c r="C5575" s="190" t="s">
        <v>1195</v>
      </c>
      <c r="D5575" s="191" t="s">
        <v>1196</v>
      </c>
      <c r="E5575" s="191" t="s">
        <v>1197</v>
      </c>
      <c r="F5575" s="191" t="s">
        <v>1198</v>
      </c>
      <c r="G5575" s="191" t="s">
        <v>1199</v>
      </c>
      <c r="H5575" s="192" t="s">
        <v>1200</v>
      </c>
      <c r="L5575" s="200"/>
      <c r="M5575" s="200"/>
      <c r="N5575" s="200"/>
      <c r="O5575" s="200"/>
      <c r="P5575" s="200"/>
    </row>
    <row r="5576" spans="3:20" s="517" customFormat="1" ht="31.2" customHeight="1">
      <c r="C5576" s="518" t="s">
        <v>1201</v>
      </c>
      <c r="D5576" s="196" t="s">
        <v>1202</v>
      </c>
      <c r="E5576" s="197"/>
      <c r="F5576" s="197"/>
      <c r="G5576" s="197"/>
      <c r="H5576" s="198"/>
      <c r="L5576" s="200"/>
      <c r="M5576" s="200"/>
      <c r="N5576" s="200"/>
      <c r="O5576" s="200"/>
      <c r="P5576" s="200"/>
    </row>
    <row r="5577" spans="3:20" s="517" customFormat="1" ht="31.2" customHeight="1">
      <c r="C5577" s="537">
        <v>1</v>
      </c>
      <c r="D5577" s="196" t="s">
        <v>6954</v>
      </c>
      <c r="E5577" s="202" t="s">
        <v>6</v>
      </c>
      <c r="F5577" s="520">
        <v>0.05</v>
      </c>
      <c r="G5577" s="205">
        <f>VLOOKUP(D5577,upahbahan,3,FALSE)</f>
        <v>181250</v>
      </c>
      <c r="H5577" s="210">
        <f t="shared" ref="H5577:H5579" si="409">F5577*G5577</f>
        <v>9062.5</v>
      </c>
      <c r="L5577" s="200"/>
      <c r="M5577" s="200"/>
      <c r="N5577" s="200"/>
      <c r="O5577" s="200"/>
      <c r="P5577" s="200"/>
    </row>
    <row r="5578" spans="3:20" s="517" customFormat="1" ht="31.2" customHeight="1">
      <c r="C5578" s="537">
        <v>2</v>
      </c>
      <c r="D5578" s="196" t="s">
        <v>6948</v>
      </c>
      <c r="E5578" s="202" t="s">
        <v>2102</v>
      </c>
      <c r="F5578" s="520">
        <v>0.01</v>
      </c>
      <c r="G5578" s="205">
        <f>VLOOKUP(D5578,upahbahan,3,FALSE)</f>
        <v>218750</v>
      </c>
      <c r="H5578" s="210">
        <f t="shared" si="409"/>
        <v>2187.5</v>
      </c>
      <c r="L5578" s="200"/>
      <c r="M5578" s="200"/>
      <c r="N5578" s="200"/>
      <c r="O5578" s="200"/>
      <c r="P5578" s="200"/>
    </row>
    <row r="5579" spans="3:20" s="517" customFormat="1" ht="31.2" customHeight="1">
      <c r="C5579" s="537">
        <v>3</v>
      </c>
      <c r="D5579" s="196" t="s">
        <v>19</v>
      </c>
      <c r="E5579" s="202" t="s">
        <v>6</v>
      </c>
      <c r="F5579" s="520">
        <v>3.3E-3</v>
      </c>
      <c r="G5579" s="205">
        <f>VLOOKUP(D5579,upahbahan,3,FALSE)</f>
        <v>160000</v>
      </c>
      <c r="H5579" s="210">
        <f t="shared" si="409"/>
        <v>528</v>
      </c>
      <c r="L5579" s="200"/>
      <c r="M5579" s="200"/>
      <c r="N5579" s="200"/>
      <c r="O5579" s="200"/>
      <c r="P5579" s="200"/>
    </row>
    <row r="5580" spans="3:20" s="517" customFormat="1" ht="31.2" customHeight="1">
      <c r="C5580" s="207" t="s">
        <v>1208</v>
      </c>
      <c r="D5580" s="208"/>
      <c r="E5580" s="208"/>
      <c r="F5580" s="521"/>
      <c r="G5580" s="522"/>
      <c r="H5580" s="210">
        <f>SUM(H5577:H5579)</f>
        <v>11778</v>
      </c>
      <c r="L5580" s="523"/>
      <c r="M5580" s="523"/>
      <c r="N5580" s="523"/>
      <c r="O5580" s="523"/>
      <c r="P5580" s="523"/>
    </row>
    <row r="5581" spans="3:20" s="517" customFormat="1" ht="31.2" customHeight="1">
      <c r="C5581" s="543" t="s">
        <v>1209</v>
      </c>
      <c r="D5581" s="750" t="s">
        <v>1210</v>
      </c>
      <c r="E5581" s="197"/>
      <c r="F5581" s="751"/>
      <c r="G5581" s="197"/>
      <c r="H5581" s="752"/>
      <c r="L5581" s="200"/>
      <c r="M5581" s="200"/>
      <c r="N5581" s="200"/>
      <c r="O5581" s="200"/>
      <c r="P5581" s="200"/>
    </row>
    <row r="5582" spans="3:20" s="517" customFormat="1" ht="31.2" customHeight="1">
      <c r="C5582" s="543">
        <v>1</v>
      </c>
      <c r="D5582" s="750" t="s">
        <v>7480</v>
      </c>
      <c r="E5582" s="203" t="s">
        <v>44</v>
      </c>
      <c r="F5582" s="760">
        <v>16</v>
      </c>
      <c r="G5582" s="205">
        <f>VLOOKUP(D5582,upahbahan,3,FALSE)</f>
        <v>0</v>
      </c>
      <c r="H5582" s="210">
        <f t="shared" ref="H5582:H5587" si="410">F5582*G5582</f>
        <v>0</v>
      </c>
      <c r="L5582" s="200"/>
      <c r="M5582" s="200"/>
      <c r="N5582" s="200"/>
      <c r="O5582" s="200"/>
      <c r="P5582" s="200"/>
    </row>
    <row r="5583" spans="3:20" s="517" customFormat="1" ht="31.2" customHeight="1">
      <c r="C5583" s="543">
        <v>2</v>
      </c>
      <c r="D5583" s="750" t="s">
        <v>5563</v>
      </c>
      <c r="E5583" s="203" t="s">
        <v>65</v>
      </c>
      <c r="F5583" s="760">
        <v>0.01</v>
      </c>
      <c r="G5583" s="205">
        <f>VLOOKUP(D5583,upahbahan,3,FALSE)</f>
        <v>0</v>
      </c>
      <c r="H5583" s="210">
        <f t="shared" si="410"/>
        <v>0</v>
      </c>
      <c r="L5583" s="200"/>
      <c r="M5583" s="200"/>
      <c r="N5583" s="200"/>
      <c r="O5583" s="200"/>
      <c r="P5583" s="200"/>
    </row>
    <row r="5584" spans="3:20" s="517" customFormat="1" ht="31.2" customHeight="1">
      <c r="C5584" s="543">
        <v>3</v>
      </c>
      <c r="D5584" s="750" t="s">
        <v>5556</v>
      </c>
      <c r="E5584" s="203"/>
      <c r="F5584" s="753"/>
      <c r="G5584" s="197"/>
      <c r="H5584" s="210">
        <f t="shared" si="410"/>
        <v>0</v>
      </c>
      <c r="L5584" s="200"/>
      <c r="M5584" s="200"/>
      <c r="N5584" s="200"/>
      <c r="O5584" s="200"/>
      <c r="P5584" s="200"/>
    </row>
    <row r="5585" spans="3:20" s="517" customFormat="1" ht="31.2" customHeight="1">
      <c r="C5585" s="754" t="s">
        <v>5293</v>
      </c>
      <c r="D5585" s="750" t="s">
        <v>2084</v>
      </c>
      <c r="E5585" s="203" t="s">
        <v>42</v>
      </c>
      <c r="F5585" s="753">
        <v>1.0999999999999999E-2</v>
      </c>
      <c r="G5585" s="205">
        <f>VLOOKUP(D5585,upahbahan,3,FALSE)</f>
        <v>0</v>
      </c>
      <c r="H5585" s="210">
        <f t="shared" si="410"/>
        <v>0</v>
      </c>
      <c r="L5585" s="200"/>
      <c r="M5585" s="200"/>
      <c r="N5585" s="200"/>
      <c r="O5585" s="200"/>
      <c r="P5585" s="200"/>
    </row>
    <row r="5586" spans="3:20" s="517" customFormat="1" ht="31.2" customHeight="1">
      <c r="C5586" s="754" t="s">
        <v>5299</v>
      </c>
      <c r="D5586" s="750" t="s">
        <v>5566</v>
      </c>
      <c r="E5586" s="203" t="s">
        <v>42</v>
      </c>
      <c r="F5586" s="753">
        <v>3.0000000000000001E-3</v>
      </c>
      <c r="G5586" s="205">
        <f>VLOOKUP(D5586,upahbahan,3,FALSE)</f>
        <v>0</v>
      </c>
      <c r="H5586" s="210">
        <f t="shared" si="410"/>
        <v>0</v>
      </c>
      <c r="L5586" s="200"/>
      <c r="M5586" s="200"/>
      <c r="N5586" s="200"/>
      <c r="O5586" s="200"/>
      <c r="P5586" s="200"/>
    </row>
    <row r="5587" spans="3:20" s="517" customFormat="1" ht="31.2" customHeight="1">
      <c r="C5587" s="754" t="s">
        <v>5558</v>
      </c>
      <c r="D5587" s="750" t="s">
        <v>2325</v>
      </c>
      <c r="E5587" s="203" t="s">
        <v>42</v>
      </c>
      <c r="F5587" s="755">
        <v>1E-3</v>
      </c>
      <c r="G5587" s="205">
        <f>VLOOKUP(D5587,upahbahan,3,FALSE)</f>
        <v>0</v>
      </c>
      <c r="H5587" s="210">
        <f t="shared" si="410"/>
        <v>0</v>
      </c>
      <c r="L5587" s="200"/>
      <c r="M5587" s="200"/>
      <c r="N5587" s="200"/>
      <c r="O5587" s="200"/>
      <c r="P5587" s="200"/>
    </row>
    <row r="5588" spans="3:20" s="517" customFormat="1" ht="31.2" customHeight="1">
      <c r="C5588" s="207" t="s">
        <v>1214</v>
      </c>
      <c r="D5588" s="208"/>
      <c r="E5588" s="568"/>
      <c r="F5588" s="208"/>
      <c r="G5588" s="209"/>
      <c r="H5588" s="210">
        <f>SUM(H5582:H5587)</f>
        <v>0</v>
      </c>
      <c r="L5588" s="200"/>
      <c r="M5588" s="200"/>
      <c r="N5588" s="200"/>
      <c r="O5588" s="200"/>
      <c r="P5588" s="200"/>
    </row>
    <row r="5589" spans="3:20" s="517" customFormat="1" ht="31.2" customHeight="1">
      <c r="C5589" s="756" t="s">
        <v>1215</v>
      </c>
      <c r="D5589" s="196" t="s">
        <v>1216</v>
      </c>
      <c r="E5589" s="203"/>
      <c r="F5589" s="197"/>
      <c r="G5589" s="197"/>
      <c r="H5589" s="198"/>
      <c r="L5589" s="200"/>
      <c r="M5589" s="200"/>
      <c r="N5589" s="200"/>
      <c r="O5589" s="200"/>
      <c r="P5589" s="200"/>
    </row>
    <row r="5590" spans="3:20" s="517" customFormat="1" ht="31.2" customHeight="1">
      <c r="C5590" s="207" t="s">
        <v>1217</v>
      </c>
      <c r="D5590" s="208"/>
      <c r="E5590" s="208"/>
      <c r="F5590" s="208"/>
      <c r="G5590" s="209"/>
      <c r="H5590" s="240">
        <f>SUM(H5589)</f>
        <v>0</v>
      </c>
      <c r="L5590" s="200"/>
      <c r="M5590" s="200"/>
      <c r="N5590" s="200"/>
      <c r="O5590" s="200"/>
      <c r="P5590" s="200"/>
    </row>
    <row r="5591" spans="3:20" s="517" customFormat="1" ht="31.2" customHeight="1">
      <c r="C5591" s="223" t="s">
        <v>1218</v>
      </c>
      <c r="D5591" s="224" t="s">
        <v>1219</v>
      </c>
      <c r="E5591" s="225"/>
      <c r="F5591" s="225"/>
      <c r="G5591" s="226"/>
      <c r="H5591" s="210">
        <f>H5590+H5588+H5580</f>
        <v>11778</v>
      </c>
      <c r="L5591" s="200"/>
      <c r="M5591" s="200"/>
      <c r="N5591" s="200"/>
      <c r="O5591" s="200"/>
      <c r="P5591" s="200"/>
    </row>
    <row r="5592" spans="3:20" s="517" customFormat="1" ht="31.2" customHeight="1">
      <c r="C5592" s="223" t="s">
        <v>1220</v>
      </c>
      <c r="D5592" s="224" t="s">
        <v>1321</v>
      </c>
      <c r="E5592" s="225"/>
      <c r="F5592" s="226"/>
      <c r="G5592" s="228">
        <v>0.1</v>
      </c>
      <c r="H5592" s="210">
        <f>H5591*G5592</f>
        <v>1177.8</v>
      </c>
      <c r="L5592" s="200"/>
      <c r="M5592" s="200"/>
      <c r="N5592" s="200"/>
      <c r="O5592" s="200"/>
      <c r="P5592" s="200"/>
    </row>
    <row r="5593" spans="3:20" s="517" customFormat="1" ht="31.2" customHeight="1" thickBot="1">
      <c r="C5593" s="229" t="s">
        <v>1221</v>
      </c>
      <c r="D5593" s="230" t="s">
        <v>1222</v>
      </c>
      <c r="E5593" s="231"/>
      <c r="F5593" s="231"/>
      <c r="G5593" s="232"/>
      <c r="H5593" s="233">
        <f>SUM(H5591:H5592)</f>
        <v>12955.8</v>
      </c>
      <c r="L5593" s="200"/>
      <c r="M5593" s="200"/>
      <c r="N5593" s="200"/>
      <c r="O5593" s="200"/>
      <c r="P5593" s="200"/>
    </row>
    <row r="5594" spans="3:20" ht="31.2" customHeight="1" thickTop="1">
      <c r="D5594" s="758"/>
    </row>
    <row r="5595" spans="3:20" ht="31.2" customHeight="1">
      <c r="C5595" s="757" t="s">
        <v>6950</v>
      </c>
      <c r="F5595" s="758"/>
      <c r="H5595" s="758" t="s">
        <v>6959</v>
      </c>
    </row>
    <row r="5596" spans="3:20" ht="31.2" customHeight="1">
      <c r="C5596" s="200" t="s">
        <v>6951</v>
      </c>
      <c r="F5596" s="758"/>
    </row>
    <row r="5597" spans="3:20" ht="31.2" customHeight="1">
      <c r="C5597" s="200" t="s">
        <v>6952</v>
      </c>
      <c r="F5597" s="758"/>
    </row>
    <row r="5598" spans="3:20" ht="31.2" customHeight="1">
      <c r="C5598" s="200"/>
      <c r="F5598" s="758"/>
    </row>
    <row r="5599" spans="3:20" s="517" customFormat="1" ht="31.2" customHeight="1" thickBot="1">
      <c r="C5599" s="513" t="s">
        <v>7481</v>
      </c>
      <c r="D5599" s="748" t="s">
        <v>7482</v>
      </c>
      <c r="E5599" s="749"/>
      <c r="F5599" s="748"/>
      <c r="G5599" s="748"/>
      <c r="H5599" s="532"/>
      <c r="I5599" s="532"/>
      <c r="J5599" s="532"/>
      <c r="K5599" s="532"/>
      <c r="M5599" s="189"/>
      <c r="N5599" s="189"/>
      <c r="O5599" s="189"/>
      <c r="P5599" s="189"/>
      <c r="R5599" s="189">
        <f>ROUNDDOWN(H5618,-2)</f>
        <v>12900</v>
      </c>
      <c r="S5599" s="517" t="s">
        <v>6451</v>
      </c>
      <c r="T5599" s="517" t="s">
        <v>7014</v>
      </c>
    </row>
    <row r="5600" spans="3:20" s="517" customFormat="1" ht="31.2" customHeight="1" thickTop="1">
      <c r="C5600" s="190" t="s">
        <v>1195</v>
      </c>
      <c r="D5600" s="191" t="s">
        <v>1196</v>
      </c>
      <c r="E5600" s="191" t="s">
        <v>1197</v>
      </c>
      <c r="F5600" s="191" t="s">
        <v>1198</v>
      </c>
      <c r="G5600" s="191" t="s">
        <v>1199</v>
      </c>
      <c r="H5600" s="192" t="s">
        <v>1200</v>
      </c>
      <c r="L5600" s="200"/>
      <c r="M5600" s="200"/>
      <c r="N5600" s="200"/>
      <c r="O5600" s="200"/>
      <c r="P5600" s="200"/>
    </row>
    <row r="5601" spans="3:16" s="517" customFormat="1" ht="31.2" customHeight="1">
      <c r="C5601" s="518" t="s">
        <v>1201</v>
      </c>
      <c r="D5601" s="196" t="s">
        <v>1202</v>
      </c>
      <c r="E5601" s="197"/>
      <c r="F5601" s="197"/>
      <c r="G5601" s="197"/>
      <c r="H5601" s="198"/>
      <c r="L5601" s="200"/>
      <c r="M5601" s="200"/>
      <c r="N5601" s="200"/>
      <c r="O5601" s="200"/>
      <c r="P5601" s="200"/>
    </row>
    <row r="5602" spans="3:16" s="517" customFormat="1" ht="31.2" customHeight="1">
      <c r="C5602" s="537">
        <v>1</v>
      </c>
      <c r="D5602" s="196" t="s">
        <v>6954</v>
      </c>
      <c r="E5602" s="202" t="s">
        <v>6</v>
      </c>
      <c r="F5602" s="520">
        <v>0.05</v>
      </c>
      <c r="G5602" s="205">
        <f>VLOOKUP(D5602,upahbahan,3,FALSE)</f>
        <v>181250</v>
      </c>
      <c r="H5602" s="210">
        <f t="shared" ref="H5602:H5604" si="411">F5602*G5602</f>
        <v>9062.5</v>
      </c>
      <c r="L5602" s="200"/>
      <c r="M5602" s="200"/>
      <c r="N5602" s="200"/>
      <c r="O5602" s="200"/>
      <c r="P5602" s="200"/>
    </row>
    <row r="5603" spans="3:16" s="517" customFormat="1" ht="31.2" customHeight="1">
      <c r="C5603" s="537">
        <v>2</v>
      </c>
      <c r="D5603" s="196" t="s">
        <v>6948</v>
      </c>
      <c r="E5603" s="202" t="s">
        <v>2102</v>
      </c>
      <c r="F5603" s="520">
        <v>0.01</v>
      </c>
      <c r="G5603" s="205">
        <f>VLOOKUP(D5603,upahbahan,3,FALSE)</f>
        <v>218750</v>
      </c>
      <c r="H5603" s="210">
        <f t="shared" si="411"/>
        <v>2187.5</v>
      </c>
      <c r="L5603" s="200"/>
      <c r="M5603" s="200"/>
      <c r="N5603" s="200"/>
      <c r="O5603" s="200"/>
      <c r="P5603" s="200"/>
    </row>
    <row r="5604" spans="3:16" s="517" customFormat="1" ht="31.2" customHeight="1">
      <c r="C5604" s="537">
        <v>3</v>
      </c>
      <c r="D5604" s="196" t="s">
        <v>19</v>
      </c>
      <c r="E5604" s="202" t="s">
        <v>6</v>
      </c>
      <c r="F5604" s="520">
        <v>3.3E-3</v>
      </c>
      <c r="G5604" s="205">
        <f>VLOOKUP(D5604,upahbahan,3,FALSE)</f>
        <v>160000</v>
      </c>
      <c r="H5604" s="210">
        <f t="shared" si="411"/>
        <v>528</v>
      </c>
      <c r="L5604" s="200"/>
      <c r="M5604" s="200"/>
      <c r="N5604" s="200"/>
      <c r="O5604" s="200"/>
      <c r="P5604" s="200"/>
    </row>
    <row r="5605" spans="3:16" s="517" customFormat="1" ht="31.2" customHeight="1">
      <c r="C5605" s="207" t="s">
        <v>1208</v>
      </c>
      <c r="D5605" s="208"/>
      <c r="E5605" s="208"/>
      <c r="F5605" s="521"/>
      <c r="G5605" s="522"/>
      <c r="H5605" s="210">
        <f>SUM(H5602:H5604)</f>
        <v>11778</v>
      </c>
      <c r="L5605" s="523"/>
      <c r="M5605" s="523"/>
      <c r="N5605" s="523"/>
      <c r="O5605" s="523"/>
      <c r="P5605" s="523"/>
    </row>
    <row r="5606" spans="3:16" s="517" customFormat="1" ht="31.2" customHeight="1">
      <c r="C5606" s="543" t="s">
        <v>1209</v>
      </c>
      <c r="D5606" s="750" t="s">
        <v>1210</v>
      </c>
      <c r="E5606" s="197"/>
      <c r="F5606" s="751"/>
      <c r="G5606" s="197"/>
      <c r="H5606" s="752"/>
      <c r="L5606" s="200"/>
      <c r="M5606" s="200"/>
      <c r="N5606" s="200"/>
      <c r="O5606" s="200"/>
      <c r="P5606" s="200"/>
    </row>
    <row r="5607" spans="3:16" s="517" customFormat="1" ht="31.2" customHeight="1">
      <c r="C5607" s="543">
        <v>1</v>
      </c>
      <c r="D5607" s="750" t="s">
        <v>7483</v>
      </c>
      <c r="E5607" s="203" t="s">
        <v>44</v>
      </c>
      <c r="F5607" s="760">
        <v>16</v>
      </c>
      <c r="G5607" s="205">
        <f>VLOOKUP(D5607,upahbahan,3,FALSE)</f>
        <v>0</v>
      </c>
      <c r="H5607" s="210">
        <f t="shared" ref="H5607:H5612" si="412">F5607*G5607</f>
        <v>0</v>
      </c>
      <c r="L5607" s="200"/>
      <c r="M5607" s="200"/>
      <c r="N5607" s="200"/>
      <c r="O5607" s="200"/>
      <c r="P5607" s="200"/>
    </row>
    <row r="5608" spans="3:16" s="517" customFormat="1" ht="31.2" customHeight="1">
      <c r="C5608" s="543">
        <v>2</v>
      </c>
      <c r="D5608" s="750" t="s">
        <v>5563</v>
      </c>
      <c r="E5608" s="203" t="s">
        <v>65</v>
      </c>
      <c r="F5608" s="760">
        <v>0.01</v>
      </c>
      <c r="G5608" s="205">
        <f>VLOOKUP(D5608,upahbahan,3,FALSE)</f>
        <v>0</v>
      </c>
      <c r="H5608" s="210">
        <f t="shared" si="412"/>
        <v>0</v>
      </c>
      <c r="L5608" s="200"/>
      <c r="M5608" s="200"/>
      <c r="N5608" s="200"/>
      <c r="O5608" s="200"/>
      <c r="P5608" s="200"/>
    </row>
    <row r="5609" spans="3:16" s="517" customFormat="1" ht="31.2" customHeight="1">
      <c r="C5609" s="543">
        <v>3</v>
      </c>
      <c r="D5609" s="750" t="s">
        <v>5556</v>
      </c>
      <c r="E5609" s="203"/>
      <c r="F5609" s="753"/>
      <c r="G5609" s="197"/>
      <c r="H5609" s="210">
        <f t="shared" si="412"/>
        <v>0</v>
      </c>
      <c r="L5609" s="200"/>
      <c r="M5609" s="200"/>
      <c r="N5609" s="200"/>
      <c r="O5609" s="200"/>
      <c r="P5609" s="200"/>
    </row>
    <row r="5610" spans="3:16" s="517" customFormat="1" ht="31.2" customHeight="1">
      <c r="C5610" s="754" t="s">
        <v>5293</v>
      </c>
      <c r="D5610" s="750" t="s">
        <v>2084</v>
      </c>
      <c r="E5610" s="203" t="s">
        <v>42</v>
      </c>
      <c r="F5610" s="753">
        <v>1.0999999999999999E-2</v>
      </c>
      <c r="G5610" s="205">
        <f>VLOOKUP(D5610,upahbahan,3,FALSE)</f>
        <v>0</v>
      </c>
      <c r="H5610" s="210">
        <f t="shared" si="412"/>
        <v>0</v>
      </c>
      <c r="L5610" s="200"/>
      <c r="M5610" s="200"/>
      <c r="N5610" s="200"/>
      <c r="O5610" s="200"/>
      <c r="P5610" s="200"/>
    </row>
    <row r="5611" spans="3:16" s="517" customFormat="1" ht="31.2" customHeight="1">
      <c r="C5611" s="754" t="s">
        <v>5299</v>
      </c>
      <c r="D5611" s="750" t="s">
        <v>5566</v>
      </c>
      <c r="E5611" s="203" t="s">
        <v>42</v>
      </c>
      <c r="F5611" s="753">
        <v>3.0000000000000001E-3</v>
      </c>
      <c r="G5611" s="205">
        <f>VLOOKUP(D5611,upahbahan,3,FALSE)</f>
        <v>0</v>
      </c>
      <c r="H5611" s="210">
        <f t="shared" si="412"/>
        <v>0</v>
      </c>
      <c r="L5611" s="200"/>
      <c r="M5611" s="200"/>
      <c r="N5611" s="200"/>
      <c r="O5611" s="200"/>
      <c r="P5611" s="200"/>
    </row>
    <row r="5612" spans="3:16" s="517" customFormat="1" ht="31.2" customHeight="1">
      <c r="C5612" s="754" t="s">
        <v>5558</v>
      </c>
      <c r="D5612" s="750" t="s">
        <v>2325</v>
      </c>
      <c r="E5612" s="203" t="s">
        <v>42</v>
      </c>
      <c r="F5612" s="755">
        <v>1E-3</v>
      </c>
      <c r="G5612" s="205">
        <f>VLOOKUP(D5612,upahbahan,3,FALSE)</f>
        <v>0</v>
      </c>
      <c r="H5612" s="210">
        <f t="shared" si="412"/>
        <v>0</v>
      </c>
      <c r="L5612" s="200"/>
      <c r="M5612" s="200"/>
      <c r="N5612" s="200"/>
      <c r="O5612" s="200"/>
      <c r="P5612" s="200"/>
    </row>
    <row r="5613" spans="3:16" s="517" customFormat="1" ht="31.2" customHeight="1">
      <c r="C5613" s="207" t="s">
        <v>1214</v>
      </c>
      <c r="D5613" s="208"/>
      <c r="E5613" s="568"/>
      <c r="F5613" s="208"/>
      <c r="G5613" s="209"/>
      <c r="H5613" s="210">
        <f>SUM(H5607:H5612)</f>
        <v>0</v>
      </c>
      <c r="L5613" s="200"/>
      <c r="M5613" s="200"/>
      <c r="N5613" s="200"/>
      <c r="O5613" s="200"/>
      <c r="P5613" s="200"/>
    </row>
    <row r="5614" spans="3:16" s="517" customFormat="1" ht="31.2" customHeight="1">
      <c r="C5614" s="756" t="s">
        <v>1215</v>
      </c>
      <c r="D5614" s="196" t="s">
        <v>1216</v>
      </c>
      <c r="E5614" s="203"/>
      <c r="F5614" s="197"/>
      <c r="G5614" s="197"/>
      <c r="H5614" s="198"/>
      <c r="L5614" s="200"/>
      <c r="M5614" s="200"/>
      <c r="N5614" s="200"/>
      <c r="O5614" s="200"/>
      <c r="P5614" s="200"/>
    </row>
    <row r="5615" spans="3:16" s="517" customFormat="1" ht="31.2" customHeight="1">
      <c r="C5615" s="207" t="s">
        <v>1217</v>
      </c>
      <c r="D5615" s="208"/>
      <c r="E5615" s="208"/>
      <c r="F5615" s="208"/>
      <c r="G5615" s="209"/>
      <c r="H5615" s="240">
        <f>SUM(H5614)</f>
        <v>0</v>
      </c>
      <c r="L5615" s="200"/>
      <c r="M5615" s="200"/>
      <c r="N5615" s="200"/>
      <c r="O5615" s="200"/>
      <c r="P5615" s="200"/>
    </row>
    <row r="5616" spans="3:16" s="517" customFormat="1" ht="31.2" customHeight="1">
      <c r="C5616" s="223" t="s">
        <v>1218</v>
      </c>
      <c r="D5616" s="224" t="s">
        <v>1219</v>
      </c>
      <c r="E5616" s="225"/>
      <c r="F5616" s="225"/>
      <c r="G5616" s="226"/>
      <c r="H5616" s="210">
        <f>H5615+H5613+H5605</f>
        <v>11778</v>
      </c>
      <c r="L5616" s="200"/>
      <c r="M5616" s="200"/>
      <c r="N5616" s="200"/>
      <c r="O5616" s="200"/>
      <c r="P5616" s="200"/>
    </row>
    <row r="5617" spans="3:20" s="517" customFormat="1" ht="31.2" customHeight="1">
      <c r="C5617" s="223" t="s">
        <v>1220</v>
      </c>
      <c r="D5617" s="224" t="s">
        <v>1321</v>
      </c>
      <c r="E5617" s="225"/>
      <c r="F5617" s="226"/>
      <c r="G5617" s="228">
        <v>0.1</v>
      </c>
      <c r="H5617" s="210">
        <f>H5616*G5617</f>
        <v>1177.8</v>
      </c>
      <c r="L5617" s="200"/>
      <c r="M5617" s="200"/>
      <c r="N5617" s="200"/>
      <c r="O5617" s="200"/>
      <c r="P5617" s="200"/>
    </row>
    <row r="5618" spans="3:20" s="517" customFormat="1" ht="31.2" customHeight="1" thickBot="1">
      <c r="C5618" s="229" t="s">
        <v>1221</v>
      </c>
      <c r="D5618" s="230" t="s">
        <v>1222</v>
      </c>
      <c r="E5618" s="231"/>
      <c r="F5618" s="231"/>
      <c r="G5618" s="232"/>
      <c r="H5618" s="233">
        <f>SUM(H5616:H5617)</f>
        <v>12955.8</v>
      </c>
      <c r="L5618" s="200"/>
      <c r="M5618" s="200"/>
      <c r="N5618" s="200"/>
      <c r="O5618" s="200"/>
      <c r="P5618" s="200"/>
    </row>
    <row r="5619" spans="3:20" ht="31.2" customHeight="1" thickTop="1">
      <c r="D5619" s="758"/>
    </row>
    <row r="5620" spans="3:20" ht="31.2" customHeight="1">
      <c r="C5620" s="757" t="s">
        <v>6950</v>
      </c>
      <c r="F5620" s="758"/>
      <c r="H5620" s="758" t="s">
        <v>6959</v>
      </c>
    </row>
    <row r="5621" spans="3:20" ht="31.2" customHeight="1">
      <c r="C5621" s="200" t="s">
        <v>6951</v>
      </c>
      <c r="F5621" s="758"/>
    </row>
    <row r="5622" spans="3:20" ht="31.2" customHeight="1">
      <c r="C5622" s="200" t="s">
        <v>6952</v>
      </c>
      <c r="F5622" s="758"/>
    </row>
    <row r="5623" spans="3:20" ht="31.2" customHeight="1">
      <c r="C5623" s="200"/>
      <c r="F5623" s="758"/>
    </row>
    <row r="5624" spans="3:20" s="517" customFormat="1" ht="31.2" customHeight="1" thickBot="1">
      <c r="C5624" s="513" t="s">
        <v>7484</v>
      </c>
      <c r="D5624" s="748" t="s">
        <v>7485</v>
      </c>
      <c r="E5624" s="749"/>
      <c r="F5624" s="748"/>
      <c r="G5624" s="748"/>
      <c r="H5624" s="532"/>
      <c r="I5624" s="532"/>
      <c r="J5624" s="532"/>
      <c r="K5624" s="532"/>
      <c r="M5624" s="189"/>
      <c r="N5624" s="189"/>
      <c r="O5624" s="189"/>
      <c r="P5624" s="189"/>
      <c r="R5624" s="189">
        <f>ROUNDDOWN(H5643,-2)</f>
        <v>12900</v>
      </c>
      <c r="S5624" s="517" t="s">
        <v>6451</v>
      </c>
      <c r="T5624" s="517" t="s">
        <v>7014</v>
      </c>
    </row>
    <row r="5625" spans="3:20" s="517" customFormat="1" ht="31.2" customHeight="1" thickTop="1">
      <c r="C5625" s="190" t="s">
        <v>1195</v>
      </c>
      <c r="D5625" s="191" t="s">
        <v>1196</v>
      </c>
      <c r="E5625" s="191" t="s">
        <v>1197</v>
      </c>
      <c r="F5625" s="191" t="s">
        <v>1198</v>
      </c>
      <c r="G5625" s="191" t="s">
        <v>1199</v>
      </c>
      <c r="H5625" s="192" t="s">
        <v>1200</v>
      </c>
      <c r="L5625" s="200"/>
      <c r="M5625" s="200"/>
      <c r="N5625" s="200"/>
      <c r="O5625" s="200"/>
      <c r="P5625" s="200"/>
    </row>
    <row r="5626" spans="3:20" s="517" customFormat="1" ht="31.2" customHeight="1">
      <c r="C5626" s="518" t="s">
        <v>1201</v>
      </c>
      <c r="D5626" s="196" t="s">
        <v>1202</v>
      </c>
      <c r="E5626" s="197"/>
      <c r="F5626" s="197"/>
      <c r="G5626" s="197"/>
      <c r="H5626" s="198"/>
      <c r="L5626" s="200"/>
      <c r="M5626" s="200"/>
      <c r="N5626" s="200"/>
      <c r="O5626" s="200"/>
      <c r="P5626" s="200"/>
    </row>
    <row r="5627" spans="3:20" s="517" customFormat="1" ht="31.2" customHeight="1">
      <c r="C5627" s="537">
        <v>1</v>
      </c>
      <c r="D5627" s="196" t="s">
        <v>6954</v>
      </c>
      <c r="E5627" s="202" t="s">
        <v>6</v>
      </c>
      <c r="F5627" s="520">
        <v>0.05</v>
      </c>
      <c r="G5627" s="205">
        <f>VLOOKUP(D5627,upahbahan,3,FALSE)</f>
        <v>181250</v>
      </c>
      <c r="H5627" s="210">
        <f t="shared" ref="H5627:H5629" si="413">F5627*G5627</f>
        <v>9062.5</v>
      </c>
      <c r="L5627" s="200"/>
      <c r="M5627" s="200"/>
      <c r="N5627" s="200"/>
      <c r="O5627" s="200"/>
      <c r="P5627" s="200"/>
    </row>
    <row r="5628" spans="3:20" s="517" customFormat="1" ht="31.2" customHeight="1">
      <c r="C5628" s="537">
        <v>2</v>
      </c>
      <c r="D5628" s="196" t="s">
        <v>6948</v>
      </c>
      <c r="E5628" s="202" t="s">
        <v>2102</v>
      </c>
      <c r="F5628" s="520">
        <v>0.01</v>
      </c>
      <c r="G5628" s="205">
        <f>VLOOKUP(D5628,upahbahan,3,FALSE)</f>
        <v>218750</v>
      </c>
      <c r="H5628" s="210">
        <f t="shared" si="413"/>
        <v>2187.5</v>
      </c>
      <c r="L5628" s="200"/>
      <c r="M5628" s="200"/>
      <c r="N5628" s="200"/>
      <c r="O5628" s="200"/>
      <c r="P5628" s="200"/>
    </row>
    <row r="5629" spans="3:20" s="517" customFormat="1" ht="31.2" customHeight="1">
      <c r="C5629" s="537">
        <v>3</v>
      </c>
      <c r="D5629" s="196" t="s">
        <v>19</v>
      </c>
      <c r="E5629" s="202" t="s">
        <v>6</v>
      </c>
      <c r="F5629" s="520">
        <v>3.3E-3</v>
      </c>
      <c r="G5629" s="205">
        <f>VLOOKUP(D5629,upahbahan,3,FALSE)</f>
        <v>160000</v>
      </c>
      <c r="H5629" s="210">
        <f t="shared" si="413"/>
        <v>528</v>
      </c>
      <c r="L5629" s="200"/>
      <c r="M5629" s="200"/>
      <c r="N5629" s="200"/>
      <c r="O5629" s="200"/>
      <c r="P5629" s="200"/>
    </row>
    <row r="5630" spans="3:20" s="517" customFormat="1" ht="31.2" customHeight="1">
      <c r="C5630" s="207" t="s">
        <v>1208</v>
      </c>
      <c r="D5630" s="208"/>
      <c r="E5630" s="208"/>
      <c r="F5630" s="521"/>
      <c r="G5630" s="522"/>
      <c r="H5630" s="210">
        <f>SUM(H5627:H5629)</f>
        <v>11778</v>
      </c>
      <c r="L5630" s="523"/>
      <c r="M5630" s="523"/>
      <c r="N5630" s="523"/>
      <c r="O5630" s="523"/>
      <c r="P5630" s="523"/>
    </row>
    <row r="5631" spans="3:20" s="517" customFormat="1" ht="31.2" customHeight="1">
      <c r="C5631" s="543" t="s">
        <v>1209</v>
      </c>
      <c r="D5631" s="750" t="s">
        <v>1210</v>
      </c>
      <c r="E5631" s="197"/>
      <c r="F5631" s="751"/>
      <c r="G5631" s="197"/>
      <c r="H5631" s="752"/>
      <c r="L5631" s="200"/>
      <c r="M5631" s="200"/>
      <c r="N5631" s="200"/>
      <c r="O5631" s="200"/>
      <c r="P5631" s="200"/>
    </row>
    <row r="5632" spans="3:20" s="517" customFormat="1" ht="31.2" customHeight="1">
      <c r="C5632" s="543">
        <v>1</v>
      </c>
      <c r="D5632" s="750" t="s">
        <v>7486</v>
      </c>
      <c r="E5632" s="203" t="s">
        <v>44</v>
      </c>
      <c r="F5632" s="760">
        <v>16</v>
      </c>
      <c r="G5632" s="205">
        <f>VLOOKUP(D5632,upahbahan,3,FALSE)</f>
        <v>0</v>
      </c>
      <c r="H5632" s="210">
        <f t="shared" ref="H5632:H5637" si="414">F5632*G5632</f>
        <v>0</v>
      </c>
      <c r="L5632" s="200"/>
      <c r="M5632" s="200"/>
      <c r="N5632" s="200"/>
      <c r="O5632" s="200"/>
      <c r="P5632" s="200"/>
    </row>
    <row r="5633" spans="3:16" s="517" customFormat="1" ht="31.2" customHeight="1">
      <c r="C5633" s="543">
        <v>2</v>
      </c>
      <c r="D5633" s="750" t="s">
        <v>5563</v>
      </c>
      <c r="E5633" s="203" t="s">
        <v>65</v>
      </c>
      <c r="F5633" s="760">
        <v>0.01</v>
      </c>
      <c r="G5633" s="205">
        <f>VLOOKUP(D5633,upahbahan,3,FALSE)</f>
        <v>0</v>
      </c>
      <c r="H5633" s="210">
        <f t="shared" si="414"/>
        <v>0</v>
      </c>
      <c r="L5633" s="200"/>
      <c r="M5633" s="200"/>
      <c r="N5633" s="200"/>
      <c r="O5633" s="200"/>
      <c r="P5633" s="200"/>
    </row>
    <row r="5634" spans="3:16" s="517" customFormat="1" ht="31.2" customHeight="1">
      <c r="C5634" s="543">
        <v>3</v>
      </c>
      <c r="D5634" s="750" t="s">
        <v>5556</v>
      </c>
      <c r="E5634" s="203"/>
      <c r="F5634" s="753"/>
      <c r="G5634" s="197"/>
      <c r="H5634" s="210">
        <f t="shared" si="414"/>
        <v>0</v>
      </c>
      <c r="L5634" s="200"/>
      <c r="M5634" s="200"/>
      <c r="N5634" s="200"/>
      <c r="O5634" s="200"/>
      <c r="P5634" s="200"/>
    </row>
    <row r="5635" spans="3:16" s="517" customFormat="1" ht="31.2" customHeight="1">
      <c r="C5635" s="754" t="s">
        <v>5293</v>
      </c>
      <c r="D5635" s="750" t="s">
        <v>2084</v>
      </c>
      <c r="E5635" s="203" t="s">
        <v>42</v>
      </c>
      <c r="F5635" s="753">
        <v>1.0999999999999999E-2</v>
      </c>
      <c r="G5635" s="205">
        <f>VLOOKUP(D5635,upahbahan,3,FALSE)</f>
        <v>0</v>
      </c>
      <c r="H5635" s="210">
        <f t="shared" si="414"/>
        <v>0</v>
      </c>
      <c r="L5635" s="200"/>
      <c r="M5635" s="200"/>
      <c r="N5635" s="200"/>
      <c r="O5635" s="200"/>
      <c r="P5635" s="200"/>
    </row>
    <row r="5636" spans="3:16" s="517" customFormat="1" ht="31.2" customHeight="1">
      <c r="C5636" s="754" t="s">
        <v>5299</v>
      </c>
      <c r="D5636" s="750" t="s">
        <v>5566</v>
      </c>
      <c r="E5636" s="203" t="s">
        <v>42</v>
      </c>
      <c r="F5636" s="753">
        <v>3.0000000000000001E-3</v>
      </c>
      <c r="G5636" s="205">
        <f>VLOOKUP(D5636,upahbahan,3,FALSE)</f>
        <v>0</v>
      </c>
      <c r="H5636" s="210">
        <f t="shared" si="414"/>
        <v>0</v>
      </c>
      <c r="L5636" s="200"/>
      <c r="M5636" s="200"/>
      <c r="N5636" s="200"/>
      <c r="O5636" s="200"/>
      <c r="P5636" s="200"/>
    </row>
    <row r="5637" spans="3:16" s="517" customFormat="1" ht="31.2" customHeight="1">
      <c r="C5637" s="754" t="s">
        <v>5558</v>
      </c>
      <c r="D5637" s="750" t="s">
        <v>2325</v>
      </c>
      <c r="E5637" s="203" t="s">
        <v>42</v>
      </c>
      <c r="F5637" s="755">
        <v>1E-3</v>
      </c>
      <c r="G5637" s="205">
        <f>VLOOKUP(D5637,upahbahan,3,FALSE)</f>
        <v>0</v>
      </c>
      <c r="H5637" s="210">
        <f t="shared" si="414"/>
        <v>0</v>
      </c>
      <c r="L5637" s="200"/>
      <c r="M5637" s="200"/>
      <c r="N5637" s="200"/>
      <c r="O5637" s="200"/>
      <c r="P5637" s="200"/>
    </row>
    <row r="5638" spans="3:16" s="517" customFormat="1" ht="31.2" customHeight="1">
      <c r="C5638" s="207" t="s">
        <v>1214</v>
      </c>
      <c r="D5638" s="208"/>
      <c r="E5638" s="568"/>
      <c r="F5638" s="208"/>
      <c r="G5638" s="209"/>
      <c r="H5638" s="210">
        <f>SUM(H5632:H5637)</f>
        <v>0</v>
      </c>
      <c r="L5638" s="200"/>
      <c r="M5638" s="200"/>
      <c r="N5638" s="200"/>
      <c r="O5638" s="200"/>
      <c r="P5638" s="200"/>
    </row>
    <row r="5639" spans="3:16" s="517" customFormat="1" ht="31.2" customHeight="1">
      <c r="C5639" s="756" t="s">
        <v>1215</v>
      </c>
      <c r="D5639" s="196" t="s">
        <v>1216</v>
      </c>
      <c r="E5639" s="203"/>
      <c r="F5639" s="197"/>
      <c r="G5639" s="197"/>
      <c r="H5639" s="198"/>
      <c r="L5639" s="200"/>
      <c r="M5639" s="200"/>
      <c r="N5639" s="200"/>
      <c r="O5639" s="200"/>
      <c r="P5639" s="200"/>
    </row>
    <row r="5640" spans="3:16" s="517" customFormat="1" ht="31.2" customHeight="1">
      <c r="C5640" s="207" t="s">
        <v>1217</v>
      </c>
      <c r="D5640" s="208"/>
      <c r="E5640" s="208"/>
      <c r="F5640" s="208"/>
      <c r="G5640" s="209"/>
      <c r="H5640" s="240">
        <f>SUM(H5639)</f>
        <v>0</v>
      </c>
      <c r="L5640" s="200"/>
      <c r="M5640" s="200"/>
      <c r="N5640" s="200"/>
      <c r="O5640" s="200"/>
      <c r="P5640" s="200"/>
    </row>
    <row r="5641" spans="3:16" s="517" customFormat="1" ht="31.2" customHeight="1">
      <c r="C5641" s="223" t="s">
        <v>1218</v>
      </c>
      <c r="D5641" s="224" t="s">
        <v>1219</v>
      </c>
      <c r="E5641" s="225"/>
      <c r="F5641" s="225"/>
      <c r="G5641" s="226"/>
      <c r="H5641" s="210">
        <f>H5640+H5638+H5630</f>
        <v>11778</v>
      </c>
      <c r="L5641" s="200"/>
      <c r="M5641" s="200"/>
      <c r="N5641" s="200"/>
      <c r="O5641" s="200"/>
      <c r="P5641" s="200"/>
    </row>
    <row r="5642" spans="3:16" s="517" customFormat="1" ht="31.2" customHeight="1">
      <c r="C5642" s="223" t="s">
        <v>1220</v>
      </c>
      <c r="D5642" s="224" t="s">
        <v>1321</v>
      </c>
      <c r="E5642" s="225"/>
      <c r="F5642" s="226"/>
      <c r="G5642" s="228">
        <v>0.1</v>
      </c>
      <c r="H5642" s="210">
        <f>H5641*G5642</f>
        <v>1177.8</v>
      </c>
      <c r="L5642" s="200"/>
      <c r="M5642" s="200"/>
      <c r="N5642" s="200"/>
      <c r="O5642" s="200"/>
      <c r="P5642" s="200"/>
    </row>
    <row r="5643" spans="3:16" s="517" customFormat="1" ht="31.2" customHeight="1" thickBot="1">
      <c r="C5643" s="229" t="s">
        <v>1221</v>
      </c>
      <c r="D5643" s="230" t="s">
        <v>1222</v>
      </c>
      <c r="E5643" s="231"/>
      <c r="F5643" s="231"/>
      <c r="G5643" s="232"/>
      <c r="H5643" s="233">
        <f>SUM(H5641:H5642)</f>
        <v>12955.8</v>
      </c>
      <c r="L5643" s="200"/>
      <c r="M5643" s="200"/>
      <c r="N5643" s="200"/>
      <c r="O5643" s="200"/>
      <c r="P5643" s="200"/>
    </row>
    <row r="5644" spans="3:16" ht="31.2" customHeight="1" thickTop="1">
      <c r="D5644" s="758"/>
    </row>
    <row r="5645" spans="3:16" ht="31.2" customHeight="1">
      <c r="C5645" s="757" t="s">
        <v>6950</v>
      </c>
      <c r="F5645" s="758"/>
      <c r="H5645" s="758" t="s">
        <v>6959</v>
      </c>
    </row>
    <row r="5646" spans="3:16" ht="31.2" customHeight="1">
      <c r="C5646" s="200" t="s">
        <v>6951</v>
      </c>
      <c r="F5646" s="758"/>
    </row>
    <row r="5647" spans="3:16" ht="31.2" customHeight="1">
      <c r="C5647" s="200" t="s">
        <v>6952</v>
      </c>
      <c r="F5647" s="758"/>
    </row>
    <row r="5648" spans="3:16" ht="31.2" customHeight="1">
      <c r="C5648" s="200"/>
      <c r="F5648" s="758"/>
    </row>
    <row r="5649" spans="3:20" ht="31.2" customHeight="1">
      <c r="C5649" s="199" t="s">
        <v>5595</v>
      </c>
      <c r="D5649" s="187" t="s">
        <v>7487</v>
      </c>
      <c r="F5649" s="758"/>
    </row>
    <row r="5650" spans="3:20" s="517" customFormat="1" ht="31.2" customHeight="1" thickBot="1">
      <c r="C5650" s="513" t="s">
        <v>7523</v>
      </c>
      <c r="D5650" s="748" t="s">
        <v>7488</v>
      </c>
      <c r="E5650" s="749"/>
      <c r="F5650" s="748"/>
      <c r="G5650" s="748"/>
      <c r="H5650" s="532"/>
      <c r="I5650" s="532"/>
      <c r="J5650" s="532"/>
      <c r="K5650" s="532"/>
      <c r="M5650" s="189"/>
      <c r="N5650" s="189"/>
      <c r="O5650" s="189"/>
      <c r="P5650" s="189"/>
      <c r="R5650" s="189">
        <f>ROUNDDOWN(H5669,-2)</f>
        <v>12900</v>
      </c>
      <c r="S5650" s="517" t="s">
        <v>6451</v>
      </c>
      <c r="T5650" s="517" t="s">
        <v>7014</v>
      </c>
    </row>
    <row r="5651" spans="3:20" s="517" customFormat="1" ht="31.2" customHeight="1" thickTop="1">
      <c r="C5651" s="190" t="s">
        <v>1195</v>
      </c>
      <c r="D5651" s="191" t="s">
        <v>1196</v>
      </c>
      <c r="E5651" s="191" t="s">
        <v>1197</v>
      </c>
      <c r="F5651" s="191" t="s">
        <v>1198</v>
      </c>
      <c r="G5651" s="191" t="s">
        <v>1199</v>
      </c>
      <c r="H5651" s="192" t="s">
        <v>1200</v>
      </c>
      <c r="L5651" s="200"/>
      <c r="M5651" s="200"/>
      <c r="N5651" s="200"/>
      <c r="O5651" s="200"/>
      <c r="P5651" s="200"/>
    </row>
    <row r="5652" spans="3:20" s="517" customFormat="1" ht="31.2" customHeight="1">
      <c r="C5652" s="518" t="s">
        <v>1201</v>
      </c>
      <c r="D5652" s="196" t="s">
        <v>1202</v>
      </c>
      <c r="E5652" s="197"/>
      <c r="F5652" s="197"/>
      <c r="G5652" s="197"/>
      <c r="H5652" s="198"/>
      <c r="L5652" s="200"/>
      <c r="M5652" s="200"/>
      <c r="N5652" s="200"/>
      <c r="O5652" s="200"/>
      <c r="P5652" s="200"/>
    </row>
    <row r="5653" spans="3:20" s="517" customFormat="1" ht="31.2" customHeight="1">
      <c r="C5653" s="537">
        <v>1</v>
      </c>
      <c r="D5653" s="196" t="s">
        <v>6954</v>
      </c>
      <c r="E5653" s="202" t="s">
        <v>6</v>
      </c>
      <c r="F5653" s="520">
        <v>0.05</v>
      </c>
      <c r="G5653" s="205">
        <f>VLOOKUP(D5653,upahbahan,3,FALSE)</f>
        <v>181250</v>
      </c>
      <c r="H5653" s="210">
        <f t="shared" ref="H5653:H5655" si="415">F5653*G5653</f>
        <v>9062.5</v>
      </c>
      <c r="L5653" s="200"/>
      <c r="M5653" s="200"/>
      <c r="N5653" s="200"/>
      <c r="O5653" s="200"/>
      <c r="P5653" s="200"/>
    </row>
    <row r="5654" spans="3:20" s="517" customFormat="1" ht="31.2" customHeight="1">
      <c r="C5654" s="537">
        <v>2</v>
      </c>
      <c r="D5654" s="196" t="s">
        <v>6948</v>
      </c>
      <c r="E5654" s="202" t="s">
        <v>2102</v>
      </c>
      <c r="F5654" s="520">
        <v>0.01</v>
      </c>
      <c r="G5654" s="205">
        <f>VLOOKUP(D5654,upahbahan,3,FALSE)</f>
        <v>218750</v>
      </c>
      <c r="H5654" s="210">
        <f t="shared" si="415"/>
        <v>2187.5</v>
      </c>
      <c r="L5654" s="200"/>
      <c r="M5654" s="200"/>
      <c r="N5654" s="200"/>
      <c r="O5654" s="200"/>
      <c r="P5654" s="200"/>
    </row>
    <row r="5655" spans="3:20" s="517" customFormat="1" ht="31.2" customHeight="1">
      <c r="C5655" s="537">
        <v>3</v>
      </c>
      <c r="D5655" s="196" t="s">
        <v>19</v>
      </c>
      <c r="E5655" s="202" t="s">
        <v>6</v>
      </c>
      <c r="F5655" s="520">
        <v>3.3E-3</v>
      </c>
      <c r="G5655" s="205">
        <f>VLOOKUP(D5655,upahbahan,3,FALSE)</f>
        <v>160000</v>
      </c>
      <c r="H5655" s="210">
        <f t="shared" si="415"/>
        <v>528</v>
      </c>
      <c r="L5655" s="200"/>
      <c r="M5655" s="200"/>
      <c r="N5655" s="200"/>
      <c r="O5655" s="200"/>
      <c r="P5655" s="200"/>
    </row>
    <row r="5656" spans="3:20" s="517" customFormat="1" ht="31.2" customHeight="1">
      <c r="C5656" s="207" t="s">
        <v>1208</v>
      </c>
      <c r="D5656" s="208"/>
      <c r="E5656" s="208"/>
      <c r="F5656" s="521"/>
      <c r="G5656" s="522"/>
      <c r="H5656" s="210">
        <f>SUM(H5653:H5655)</f>
        <v>11778</v>
      </c>
      <c r="L5656" s="523"/>
      <c r="M5656" s="523"/>
      <c r="N5656" s="523"/>
      <c r="O5656" s="523"/>
      <c r="P5656" s="523"/>
    </row>
    <row r="5657" spans="3:20" s="517" customFormat="1" ht="31.2" customHeight="1">
      <c r="C5657" s="543" t="s">
        <v>1209</v>
      </c>
      <c r="D5657" s="750" t="s">
        <v>1210</v>
      </c>
      <c r="E5657" s="197"/>
      <c r="F5657" s="751"/>
      <c r="G5657" s="197"/>
      <c r="H5657" s="752"/>
      <c r="L5657" s="200"/>
      <c r="M5657" s="200"/>
      <c r="N5657" s="200"/>
      <c r="O5657" s="200"/>
      <c r="P5657" s="200"/>
    </row>
    <row r="5658" spans="3:20" s="517" customFormat="1" ht="31.2" customHeight="1">
      <c r="C5658" s="543">
        <v>1</v>
      </c>
      <c r="D5658" s="750" t="s">
        <v>7489</v>
      </c>
      <c r="E5658" s="203" t="s">
        <v>44</v>
      </c>
      <c r="F5658" s="760">
        <v>9</v>
      </c>
      <c r="G5658" s="205">
        <f>VLOOKUP(D5658,upahbahan,3,FALSE)</f>
        <v>0</v>
      </c>
      <c r="H5658" s="210">
        <f t="shared" ref="H5658:H5663" si="416">F5658*G5658</f>
        <v>0</v>
      </c>
      <c r="L5658" s="200"/>
      <c r="M5658" s="200"/>
      <c r="N5658" s="200"/>
      <c r="O5658" s="200"/>
      <c r="P5658" s="200"/>
    </row>
    <row r="5659" spans="3:20" s="517" customFormat="1" ht="31.2" customHeight="1">
      <c r="C5659" s="543">
        <v>2</v>
      </c>
      <c r="D5659" s="750" t="s">
        <v>5563</v>
      </c>
      <c r="E5659" s="203" t="s">
        <v>65</v>
      </c>
      <c r="F5659" s="760">
        <v>0.01</v>
      </c>
      <c r="G5659" s="205">
        <f>VLOOKUP(D5659,upahbahan,3,FALSE)</f>
        <v>0</v>
      </c>
      <c r="H5659" s="210">
        <f t="shared" si="416"/>
        <v>0</v>
      </c>
      <c r="L5659" s="200"/>
      <c r="M5659" s="200"/>
      <c r="N5659" s="200"/>
      <c r="O5659" s="200"/>
      <c r="P5659" s="200"/>
    </row>
    <row r="5660" spans="3:20" s="517" customFormat="1" ht="31.2" customHeight="1">
      <c r="C5660" s="543">
        <v>3</v>
      </c>
      <c r="D5660" s="750" t="s">
        <v>5556</v>
      </c>
      <c r="E5660" s="203"/>
      <c r="F5660" s="753"/>
      <c r="G5660" s="197"/>
      <c r="H5660" s="210">
        <f t="shared" si="416"/>
        <v>0</v>
      </c>
      <c r="L5660" s="200"/>
      <c r="M5660" s="200"/>
      <c r="N5660" s="200"/>
      <c r="O5660" s="200"/>
      <c r="P5660" s="200"/>
    </row>
    <row r="5661" spans="3:20" s="517" customFormat="1" ht="31.2" customHeight="1">
      <c r="C5661" s="754" t="s">
        <v>5293</v>
      </c>
      <c r="D5661" s="750" t="s">
        <v>2084</v>
      </c>
      <c r="E5661" s="203" t="s">
        <v>42</v>
      </c>
      <c r="F5661" s="753">
        <v>0.02</v>
      </c>
      <c r="G5661" s="205">
        <f>VLOOKUP(D5661,upahbahan,3,FALSE)</f>
        <v>0</v>
      </c>
      <c r="H5661" s="210">
        <f t="shared" si="416"/>
        <v>0</v>
      </c>
      <c r="L5661" s="200"/>
      <c r="M5661" s="200"/>
      <c r="N5661" s="200"/>
      <c r="O5661" s="200"/>
      <c r="P5661" s="200"/>
    </row>
    <row r="5662" spans="3:20" s="517" customFormat="1" ht="31.2" customHeight="1">
      <c r="C5662" s="754" t="s">
        <v>5299</v>
      </c>
      <c r="D5662" s="750" t="s">
        <v>5566</v>
      </c>
      <c r="E5662" s="203" t="s">
        <v>42</v>
      </c>
      <c r="F5662" s="753">
        <v>5.0000000000000001E-3</v>
      </c>
      <c r="G5662" s="205">
        <f>VLOOKUP(D5662,upahbahan,3,FALSE)</f>
        <v>0</v>
      </c>
      <c r="H5662" s="210">
        <f t="shared" si="416"/>
        <v>0</v>
      </c>
      <c r="L5662" s="200"/>
      <c r="M5662" s="200"/>
      <c r="N5662" s="200"/>
      <c r="O5662" s="200"/>
      <c r="P5662" s="200"/>
    </row>
    <row r="5663" spans="3:20" s="517" customFormat="1" ht="31.2" customHeight="1">
      <c r="C5663" s="754" t="s">
        <v>5558</v>
      </c>
      <c r="D5663" s="750" t="s">
        <v>2325</v>
      </c>
      <c r="E5663" s="203" t="s">
        <v>42</v>
      </c>
      <c r="F5663" s="755">
        <v>1E-3</v>
      </c>
      <c r="G5663" s="205">
        <f>VLOOKUP(D5663,upahbahan,3,FALSE)</f>
        <v>0</v>
      </c>
      <c r="H5663" s="210">
        <f t="shared" si="416"/>
        <v>0</v>
      </c>
      <c r="L5663" s="200"/>
      <c r="M5663" s="200"/>
      <c r="N5663" s="200"/>
      <c r="O5663" s="200"/>
      <c r="P5663" s="200"/>
    </row>
    <row r="5664" spans="3:20" s="517" customFormat="1" ht="31.2" customHeight="1">
      <c r="C5664" s="207" t="s">
        <v>1214</v>
      </c>
      <c r="D5664" s="208"/>
      <c r="E5664" s="568"/>
      <c r="F5664" s="208"/>
      <c r="G5664" s="209"/>
      <c r="H5664" s="210">
        <f>SUM(H5658:H5663)</f>
        <v>0</v>
      </c>
      <c r="L5664" s="200"/>
      <c r="M5664" s="200"/>
      <c r="N5664" s="200"/>
      <c r="O5664" s="200"/>
      <c r="P5664" s="200"/>
    </row>
    <row r="5665" spans="3:20" s="517" customFormat="1" ht="31.2" customHeight="1">
      <c r="C5665" s="756" t="s">
        <v>1215</v>
      </c>
      <c r="D5665" s="196" t="s">
        <v>1216</v>
      </c>
      <c r="E5665" s="203"/>
      <c r="F5665" s="197"/>
      <c r="G5665" s="197"/>
      <c r="H5665" s="198"/>
      <c r="L5665" s="200"/>
      <c r="M5665" s="200"/>
      <c r="N5665" s="200"/>
      <c r="O5665" s="200"/>
      <c r="P5665" s="200"/>
    </row>
    <row r="5666" spans="3:20" s="517" customFormat="1" ht="31.2" customHeight="1">
      <c r="C5666" s="207" t="s">
        <v>1217</v>
      </c>
      <c r="D5666" s="208"/>
      <c r="E5666" s="208"/>
      <c r="F5666" s="208"/>
      <c r="G5666" s="209"/>
      <c r="H5666" s="240">
        <f>SUM(H5665)</f>
        <v>0</v>
      </c>
      <c r="L5666" s="200"/>
      <c r="M5666" s="200"/>
      <c r="N5666" s="200"/>
      <c r="O5666" s="200"/>
      <c r="P5666" s="200"/>
    </row>
    <row r="5667" spans="3:20" s="517" customFormat="1" ht="31.2" customHeight="1">
      <c r="C5667" s="223" t="s">
        <v>1218</v>
      </c>
      <c r="D5667" s="224" t="s">
        <v>1219</v>
      </c>
      <c r="E5667" s="225"/>
      <c r="F5667" s="225"/>
      <c r="G5667" s="226"/>
      <c r="H5667" s="210">
        <f>H5666+H5664+H5656</f>
        <v>11778</v>
      </c>
      <c r="L5667" s="200"/>
      <c r="M5667" s="200"/>
      <c r="N5667" s="200"/>
      <c r="O5667" s="200"/>
      <c r="P5667" s="200"/>
    </row>
    <row r="5668" spans="3:20" s="517" customFormat="1" ht="31.2" customHeight="1">
      <c r="C5668" s="223" t="s">
        <v>1220</v>
      </c>
      <c r="D5668" s="224" t="s">
        <v>1321</v>
      </c>
      <c r="E5668" s="225"/>
      <c r="F5668" s="226"/>
      <c r="G5668" s="228">
        <v>0.1</v>
      </c>
      <c r="H5668" s="210">
        <f>H5667*G5668</f>
        <v>1177.8</v>
      </c>
      <c r="L5668" s="200"/>
      <c r="M5668" s="200"/>
      <c r="N5668" s="200"/>
      <c r="O5668" s="200"/>
      <c r="P5668" s="200"/>
    </row>
    <row r="5669" spans="3:20" s="517" customFormat="1" ht="31.2" customHeight="1" thickBot="1">
      <c r="C5669" s="229" t="s">
        <v>1221</v>
      </c>
      <c r="D5669" s="230" t="s">
        <v>1222</v>
      </c>
      <c r="E5669" s="231"/>
      <c r="F5669" s="231"/>
      <c r="G5669" s="232"/>
      <c r="H5669" s="233">
        <f>SUM(H5667:H5668)</f>
        <v>12955.8</v>
      </c>
      <c r="L5669" s="200"/>
      <c r="M5669" s="200"/>
      <c r="N5669" s="200"/>
      <c r="O5669" s="200"/>
      <c r="P5669" s="200"/>
    </row>
    <row r="5670" spans="3:20" ht="31.2" customHeight="1" thickTop="1">
      <c r="D5670" s="758"/>
    </row>
    <row r="5671" spans="3:20" ht="31.2" customHeight="1">
      <c r="C5671" s="757" t="s">
        <v>6950</v>
      </c>
      <c r="F5671" s="758"/>
      <c r="H5671" s="758" t="s">
        <v>6959</v>
      </c>
    </row>
    <row r="5672" spans="3:20" ht="31.2" customHeight="1">
      <c r="C5672" s="200" t="s">
        <v>6951</v>
      </c>
      <c r="F5672" s="758"/>
    </row>
    <row r="5673" spans="3:20" ht="31.2" customHeight="1">
      <c r="C5673" s="200" t="s">
        <v>6952</v>
      </c>
      <c r="F5673" s="758"/>
    </row>
    <row r="5674" spans="3:20" ht="31.2" customHeight="1">
      <c r="C5674" s="200"/>
      <c r="F5674" s="758"/>
    </row>
    <row r="5675" spans="3:20" s="517" customFormat="1" ht="31.2" customHeight="1" thickBot="1">
      <c r="C5675" s="513" t="s">
        <v>7522</v>
      </c>
      <c r="D5675" s="748" t="s">
        <v>7490</v>
      </c>
      <c r="E5675" s="749"/>
      <c r="F5675" s="748"/>
      <c r="G5675" s="748"/>
      <c r="H5675" s="532"/>
      <c r="I5675" s="532"/>
      <c r="J5675" s="532"/>
      <c r="K5675" s="532"/>
      <c r="M5675" s="189"/>
      <c r="N5675" s="189"/>
      <c r="O5675" s="189"/>
      <c r="P5675" s="189"/>
      <c r="R5675" s="189">
        <f>ROUNDDOWN(H5694,-2)</f>
        <v>12900</v>
      </c>
      <c r="S5675" s="517" t="s">
        <v>6451</v>
      </c>
      <c r="T5675" s="517" t="s">
        <v>7014</v>
      </c>
    </row>
    <row r="5676" spans="3:20" s="517" customFormat="1" ht="31.2" customHeight="1" thickTop="1">
      <c r="C5676" s="190" t="s">
        <v>1195</v>
      </c>
      <c r="D5676" s="191" t="s">
        <v>1196</v>
      </c>
      <c r="E5676" s="191" t="s">
        <v>1197</v>
      </c>
      <c r="F5676" s="191" t="s">
        <v>1198</v>
      </c>
      <c r="G5676" s="191" t="s">
        <v>1199</v>
      </c>
      <c r="H5676" s="192" t="s">
        <v>1200</v>
      </c>
      <c r="L5676" s="200"/>
      <c r="M5676" s="200"/>
      <c r="N5676" s="200"/>
      <c r="O5676" s="200"/>
      <c r="P5676" s="200"/>
    </row>
    <row r="5677" spans="3:20" s="517" customFormat="1" ht="31.2" customHeight="1">
      <c r="C5677" s="518" t="s">
        <v>1201</v>
      </c>
      <c r="D5677" s="196" t="s">
        <v>1202</v>
      </c>
      <c r="E5677" s="197"/>
      <c r="F5677" s="197"/>
      <c r="G5677" s="197"/>
      <c r="H5677" s="198"/>
      <c r="L5677" s="200"/>
      <c r="M5677" s="200"/>
      <c r="N5677" s="200"/>
      <c r="O5677" s="200"/>
      <c r="P5677" s="200"/>
    </row>
    <row r="5678" spans="3:20" s="517" customFormat="1" ht="31.2" customHeight="1">
      <c r="C5678" s="537">
        <v>1</v>
      </c>
      <c r="D5678" s="196" t="s">
        <v>6954</v>
      </c>
      <c r="E5678" s="202" t="s">
        <v>6</v>
      </c>
      <c r="F5678" s="520">
        <v>0.05</v>
      </c>
      <c r="G5678" s="205">
        <f>VLOOKUP(D5678,upahbahan,3,FALSE)</f>
        <v>181250</v>
      </c>
      <c r="H5678" s="210">
        <f t="shared" ref="H5678:H5680" si="417">F5678*G5678</f>
        <v>9062.5</v>
      </c>
      <c r="L5678" s="200"/>
      <c r="M5678" s="200"/>
      <c r="N5678" s="200"/>
      <c r="O5678" s="200"/>
      <c r="P5678" s="200"/>
    </row>
    <row r="5679" spans="3:20" s="517" customFormat="1" ht="31.2" customHeight="1">
      <c r="C5679" s="537">
        <v>2</v>
      </c>
      <c r="D5679" s="196" t="s">
        <v>6948</v>
      </c>
      <c r="E5679" s="202" t="s">
        <v>2102</v>
      </c>
      <c r="F5679" s="520">
        <v>0.01</v>
      </c>
      <c r="G5679" s="205">
        <f>VLOOKUP(D5679,upahbahan,3,FALSE)</f>
        <v>218750</v>
      </c>
      <c r="H5679" s="210">
        <f t="shared" si="417"/>
        <v>2187.5</v>
      </c>
      <c r="L5679" s="200"/>
      <c r="M5679" s="200"/>
      <c r="N5679" s="200"/>
      <c r="O5679" s="200"/>
      <c r="P5679" s="200"/>
    </row>
    <row r="5680" spans="3:20" s="517" customFormat="1" ht="31.2" customHeight="1">
      <c r="C5680" s="537">
        <v>3</v>
      </c>
      <c r="D5680" s="196" t="s">
        <v>19</v>
      </c>
      <c r="E5680" s="202" t="s">
        <v>6</v>
      </c>
      <c r="F5680" s="520">
        <v>3.3E-3</v>
      </c>
      <c r="G5680" s="205">
        <f>VLOOKUP(D5680,upahbahan,3,FALSE)</f>
        <v>160000</v>
      </c>
      <c r="H5680" s="210">
        <f t="shared" si="417"/>
        <v>528</v>
      </c>
      <c r="L5680" s="200"/>
      <c r="M5680" s="200"/>
      <c r="N5680" s="200"/>
      <c r="O5680" s="200"/>
      <c r="P5680" s="200"/>
    </row>
    <row r="5681" spans="3:16" s="517" customFormat="1" ht="31.2" customHeight="1">
      <c r="C5681" s="207" t="s">
        <v>1208</v>
      </c>
      <c r="D5681" s="208"/>
      <c r="E5681" s="208"/>
      <c r="F5681" s="521"/>
      <c r="G5681" s="522"/>
      <c r="H5681" s="210">
        <f>SUM(H5678:H5680)</f>
        <v>11778</v>
      </c>
      <c r="L5681" s="523"/>
      <c r="M5681" s="523"/>
      <c r="N5681" s="523"/>
      <c r="O5681" s="523"/>
      <c r="P5681" s="523"/>
    </row>
    <row r="5682" spans="3:16" s="517" customFormat="1" ht="31.2" customHeight="1">
      <c r="C5682" s="543" t="s">
        <v>1209</v>
      </c>
      <c r="D5682" s="750" t="s">
        <v>1210</v>
      </c>
      <c r="E5682" s="197"/>
      <c r="F5682" s="751"/>
      <c r="G5682" s="197"/>
      <c r="H5682" s="752"/>
      <c r="L5682" s="200"/>
      <c r="M5682" s="200"/>
      <c r="N5682" s="200"/>
      <c r="O5682" s="200"/>
      <c r="P5682" s="200"/>
    </row>
    <row r="5683" spans="3:16" s="517" customFormat="1" ht="31.2" customHeight="1">
      <c r="C5683" s="543">
        <v>1</v>
      </c>
      <c r="D5683" s="750" t="s">
        <v>7491</v>
      </c>
      <c r="E5683" s="203" t="s">
        <v>44</v>
      </c>
      <c r="F5683" s="760">
        <v>9</v>
      </c>
      <c r="G5683" s="205">
        <f>VLOOKUP(D5683,upahbahan,3,FALSE)</f>
        <v>0</v>
      </c>
      <c r="H5683" s="210">
        <f t="shared" ref="H5683:H5688" si="418">F5683*G5683</f>
        <v>0</v>
      </c>
      <c r="L5683" s="200"/>
      <c r="M5683" s="200"/>
      <c r="N5683" s="200"/>
      <c r="O5683" s="200"/>
      <c r="P5683" s="200"/>
    </row>
    <row r="5684" spans="3:16" s="517" customFormat="1" ht="31.2" customHeight="1">
      <c r="C5684" s="543">
        <v>2</v>
      </c>
      <c r="D5684" s="750" t="s">
        <v>5563</v>
      </c>
      <c r="E5684" s="203" t="s">
        <v>65</v>
      </c>
      <c r="F5684" s="760">
        <v>0.01</v>
      </c>
      <c r="G5684" s="205">
        <f>VLOOKUP(D5684,upahbahan,3,FALSE)</f>
        <v>0</v>
      </c>
      <c r="H5684" s="210">
        <f t="shared" si="418"/>
        <v>0</v>
      </c>
      <c r="L5684" s="200"/>
      <c r="M5684" s="200"/>
      <c r="N5684" s="200"/>
      <c r="O5684" s="200"/>
      <c r="P5684" s="200"/>
    </row>
    <row r="5685" spans="3:16" s="517" customFormat="1" ht="31.2" customHeight="1">
      <c r="C5685" s="543">
        <v>3</v>
      </c>
      <c r="D5685" s="750" t="s">
        <v>5556</v>
      </c>
      <c r="E5685" s="203"/>
      <c r="F5685" s="753"/>
      <c r="G5685" s="197"/>
      <c r="H5685" s="210">
        <f t="shared" si="418"/>
        <v>0</v>
      </c>
      <c r="L5685" s="200"/>
      <c r="M5685" s="200"/>
      <c r="N5685" s="200"/>
      <c r="O5685" s="200"/>
      <c r="P5685" s="200"/>
    </row>
    <row r="5686" spans="3:16" s="517" customFormat="1" ht="31.2" customHeight="1">
      <c r="C5686" s="754" t="s">
        <v>5293</v>
      </c>
      <c r="D5686" s="750" t="s">
        <v>2084</v>
      </c>
      <c r="E5686" s="203" t="s">
        <v>42</v>
      </c>
      <c r="F5686" s="753">
        <v>0.02</v>
      </c>
      <c r="G5686" s="205">
        <f>VLOOKUP(D5686,upahbahan,3,FALSE)</f>
        <v>0</v>
      </c>
      <c r="H5686" s="210">
        <f t="shared" si="418"/>
        <v>0</v>
      </c>
      <c r="L5686" s="200"/>
      <c r="M5686" s="200"/>
      <c r="N5686" s="200"/>
      <c r="O5686" s="200"/>
      <c r="P5686" s="200"/>
    </row>
    <row r="5687" spans="3:16" s="517" customFormat="1" ht="31.2" customHeight="1">
      <c r="C5687" s="754" t="s">
        <v>5299</v>
      </c>
      <c r="D5687" s="750" t="s">
        <v>5566</v>
      </c>
      <c r="E5687" s="203" t="s">
        <v>42</v>
      </c>
      <c r="F5687" s="753">
        <v>5.0000000000000001E-3</v>
      </c>
      <c r="G5687" s="205">
        <f>VLOOKUP(D5687,upahbahan,3,FALSE)</f>
        <v>0</v>
      </c>
      <c r="H5687" s="210">
        <f t="shared" si="418"/>
        <v>0</v>
      </c>
      <c r="L5687" s="200"/>
      <c r="M5687" s="200"/>
      <c r="N5687" s="200"/>
      <c r="O5687" s="200"/>
      <c r="P5687" s="200"/>
    </row>
    <row r="5688" spans="3:16" s="517" customFormat="1" ht="31.2" customHeight="1">
      <c r="C5688" s="754" t="s">
        <v>5558</v>
      </c>
      <c r="D5688" s="750" t="s">
        <v>2325</v>
      </c>
      <c r="E5688" s="203" t="s">
        <v>42</v>
      </c>
      <c r="F5688" s="755">
        <v>1E-3</v>
      </c>
      <c r="G5688" s="205">
        <f>VLOOKUP(D5688,upahbahan,3,FALSE)</f>
        <v>0</v>
      </c>
      <c r="H5688" s="210">
        <f t="shared" si="418"/>
        <v>0</v>
      </c>
      <c r="L5688" s="200"/>
      <c r="M5688" s="200"/>
      <c r="N5688" s="200"/>
      <c r="O5688" s="200"/>
      <c r="P5688" s="200"/>
    </row>
    <row r="5689" spans="3:16" s="517" customFormat="1" ht="31.2" customHeight="1">
      <c r="C5689" s="207" t="s">
        <v>1214</v>
      </c>
      <c r="D5689" s="208"/>
      <c r="E5689" s="568"/>
      <c r="F5689" s="208"/>
      <c r="G5689" s="209"/>
      <c r="H5689" s="210">
        <f>SUM(H5683:H5688)</f>
        <v>0</v>
      </c>
      <c r="L5689" s="200"/>
      <c r="M5689" s="200"/>
      <c r="N5689" s="200"/>
      <c r="O5689" s="200"/>
      <c r="P5689" s="200"/>
    </row>
    <row r="5690" spans="3:16" s="517" customFormat="1" ht="31.2" customHeight="1">
      <c r="C5690" s="756" t="s">
        <v>1215</v>
      </c>
      <c r="D5690" s="196" t="s">
        <v>1216</v>
      </c>
      <c r="E5690" s="203"/>
      <c r="F5690" s="197"/>
      <c r="G5690" s="197"/>
      <c r="H5690" s="198"/>
      <c r="L5690" s="200"/>
      <c r="M5690" s="200"/>
      <c r="N5690" s="200"/>
      <c r="O5690" s="200"/>
      <c r="P5690" s="200"/>
    </row>
    <row r="5691" spans="3:16" s="517" customFormat="1" ht="31.2" customHeight="1">
      <c r="C5691" s="207" t="s">
        <v>1217</v>
      </c>
      <c r="D5691" s="208"/>
      <c r="E5691" s="208"/>
      <c r="F5691" s="208"/>
      <c r="G5691" s="209"/>
      <c r="H5691" s="240">
        <f>SUM(H5690)</f>
        <v>0</v>
      </c>
      <c r="L5691" s="200"/>
      <c r="M5691" s="200"/>
      <c r="N5691" s="200"/>
      <c r="O5691" s="200"/>
      <c r="P5691" s="200"/>
    </row>
    <row r="5692" spans="3:16" s="517" customFormat="1" ht="31.2" customHeight="1">
      <c r="C5692" s="223" t="s">
        <v>1218</v>
      </c>
      <c r="D5692" s="224" t="s">
        <v>1219</v>
      </c>
      <c r="E5692" s="225"/>
      <c r="F5692" s="225"/>
      <c r="G5692" s="226"/>
      <c r="H5692" s="210">
        <f>H5691+H5689+H5681</f>
        <v>11778</v>
      </c>
      <c r="L5692" s="200"/>
      <c r="M5692" s="200"/>
      <c r="N5692" s="200"/>
      <c r="O5692" s="200"/>
      <c r="P5692" s="200"/>
    </row>
    <row r="5693" spans="3:16" s="517" customFormat="1" ht="31.2" customHeight="1">
      <c r="C5693" s="223" t="s">
        <v>1220</v>
      </c>
      <c r="D5693" s="224" t="s">
        <v>1321</v>
      </c>
      <c r="E5693" s="225"/>
      <c r="F5693" s="226"/>
      <c r="G5693" s="228">
        <v>0.1</v>
      </c>
      <c r="H5693" s="210">
        <f>H5692*G5693</f>
        <v>1177.8</v>
      </c>
      <c r="L5693" s="200"/>
      <c r="M5693" s="200"/>
      <c r="N5693" s="200"/>
      <c r="O5693" s="200"/>
      <c r="P5693" s="200"/>
    </row>
    <row r="5694" spans="3:16" s="517" customFormat="1" ht="31.2" customHeight="1" thickBot="1">
      <c r="C5694" s="229" t="s">
        <v>1221</v>
      </c>
      <c r="D5694" s="230" t="s">
        <v>1222</v>
      </c>
      <c r="E5694" s="231"/>
      <c r="F5694" s="231"/>
      <c r="G5694" s="232"/>
      <c r="H5694" s="233">
        <f>SUM(H5692:H5693)</f>
        <v>12955.8</v>
      </c>
      <c r="L5694" s="200"/>
      <c r="M5694" s="200"/>
      <c r="N5694" s="200"/>
      <c r="O5694" s="200"/>
      <c r="P5694" s="200"/>
    </row>
    <row r="5695" spans="3:16" ht="31.2" customHeight="1" thickTop="1">
      <c r="D5695" s="758"/>
    </row>
    <row r="5696" spans="3:16" ht="31.2" customHeight="1">
      <c r="C5696" s="757" t="s">
        <v>6950</v>
      </c>
      <c r="F5696" s="758"/>
      <c r="H5696" s="758" t="s">
        <v>6959</v>
      </c>
    </row>
    <row r="5697" spans="3:20" ht="31.2" customHeight="1">
      <c r="C5697" s="200" t="s">
        <v>6951</v>
      </c>
      <c r="F5697" s="758"/>
    </row>
    <row r="5698" spans="3:20" ht="31.2" customHeight="1">
      <c r="C5698" s="200" t="s">
        <v>6952</v>
      </c>
      <c r="F5698" s="758"/>
    </row>
    <row r="5699" spans="3:20" ht="31.2" customHeight="1">
      <c r="C5699" s="200"/>
      <c r="F5699" s="758"/>
    </row>
    <row r="5700" spans="3:20" s="517" customFormat="1" ht="31.2" customHeight="1" thickBot="1">
      <c r="C5700" s="513" t="s">
        <v>7521</v>
      </c>
      <c r="D5700" s="748" t="s">
        <v>7492</v>
      </c>
      <c r="E5700" s="749"/>
      <c r="F5700" s="748"/>
      <c r="G5700" s="748"/>
      <c r="H5700" s="532"/>
      <c r="I5700" s="532"/>
      <c r="J5700" s="532"/>
      <c r="K5700" s="532"/>
      <c r="M5700" s="189"/>
      <c r="N5700" s="189"/>
      <c r="O5700" s="189"/>
      <c r="P5700" s="189"/>
      <c r="R5700" s="189">
        <f>ROUNDDOWN(H5719,-2)</f>
        <v>12900</v>
      </c>
      <c r="S5700" s="517" t="s">
        <v>6451</v>
      </c>
      <c r="T5700" s="517" t="s">
        <v>7014</v>
      </c>
    </row>
    <row r="5701" spans="3:20" s="517" customFormat="1" ht="31.2" customHeight="1" thickTop="1">
      <c r="C5701" s="190" t="s">
        <v>1195</v>
      </c>
      <c r="D5701" s="191" t="s">
        <v>1196</v>
      </c>
      <c r="E5701" s="191" t="s">
        <v>1197</v>
      </c>
      <c r="F5701" s="191" t="s">
        <v>1198</v>
      </c>
      <c r="G5701" s="191" t="s">
        <v>1199</v>
      </c>
      <c r="H5701" s="192" t="s">
        <v>1200</v>
      </c>
      <c r="L5701" s="200"/>
      <c r="M5701" s="200"/>
      <c r="N5701" s="200"/>
      <c r="O5701" s="200"/>
      <c r="P5701" s="200"/>
    </row>
    <row r="5702" spans="3:20" s="517" customFormat="1" ht="31.2" customHeight="1">
      <c r="C5702" s="518" t="s">
        <v>1201</v>
      </c>
      <c r="D5702" s="196" t="s">
        <v>1202</v>
      </c>
      <c r="E5702" s="197"/>
      <c r="F5702" s="197"/>
      <c r="G5702" s="197"/>
      <c r="H5702" s="198"/>
      <c r="L5702" s="200"/>
      <c r="M5702" s="200"/>
      <c r="N5702" s="200"/>
      <c r="O5702" s="200"/>
      <c r="P5702" s="200"/>
    </row>
    <row r="5703" spans="3:20" s="517" customFormat="1" ht="31.2" customHeight="1">
      <c r="C5703" s="537">
        <v>1</v>
      </c>
      <c r="D5703" s="196" t="s">
        <v>6954</v>
      </c>
      <c r="E5703" s="202" t="s">
        <v>6</v>
      </c>
      <c r="F5703" s="520">
        <v>0.05</v>
      </c>
      <c r="G5703" s="205">
        <f>VLOOKUP(D5703,upahbahan,3,FALSE)</f>
        <v>181250</v>
      </c>
      <c r="H5703" s="210">
        <f t="shared" ref="H5703:H5705" si="419">F5703*G5703</f>
        <v>9062.5</v>
      </c>
      <c r="L5703" s="200"/>
      <c r="M5703" s="200"/>
      <c r="N5703" s="200"/>
      <c r="O5703" s="200"/>
      <c r="P5703" s="200"/>
    </row>
    <row r="5704" spans="3:20" s="517" customFormat="1" ht="31.2" customHeight="1">
      <c r="C5704" s="537">
        <v>2</v>
      </c>
      <c r="D5704" s="196" t="s">
        <v>6948</v>
      </c>
      <c r="E5704" s="202" t="s">
        <v>2102</v>
      </c>
      <c r="F5704" s="520">
        <v>0.01</v>
      </c>
      <c r="G5704" s="205">
        <f>VLOOKUP(D5704,upahbahan,3,FALSE)</f>
        <v>218750</v>
      </c>
      <c r="H5704" s="210">
        <f t="shared" si="419"/>
        <v>2187.5</v>
      </c>
      <c r="L5704" s="200"/>
      <c r="M5704" s="200"/>
      <c r="N5704" s="200"/>
      <c r="O5704" s="200"/>
      <c r="P5704" s="200"/>
    </row>
    <row r="5705" spans="3:20" s="517" customFormat="1" ht="31.2" customHeight="1">
      <c r="C5705" s="537">
        <v>3</v>
      </c>
      <c r="D5705" s="196" t="s">
        <v>19</v>
      </c>
      <c r="E5705" s="202" t="s">
        <v>6</v>
      </c>
      <c r="F5705" s="520">
        <v>3.3E-3</v>
      </c>
      <c r="G5705" s="205">
        <f>VLOOKUP(D5705,upahbahan,3,FALSE)</f>
        <v>160000</v>
      </c>
      <c r="H5705" s="210">
        <f t="shared" si="419"/>
        <v>528</v>
      </c>
      <c r="L5705" s="200"/>
      <c r="M5705" s="200"/>
      <c r="N5705" s="200"/>
      <c r="O5705" s="200"/>
      <c r="P5705" s="200"/>
    </row>
    <row r="5706" spans="3:20" s="517" customFormat="1" ht="31.2" customHeight="1">
      <c r="C5706" s="207" t="s">
        <v>1208</v>
      </c>
      <c r="D5706" s="208"/>
      <c r="E5706" s="208"/>
      <c r="F5706" s="521"/>
      <c r="G5706" s="522"/>
      <c r="H5706" s="210">
        <f>SUM(H5703:H5705)</f>
        <v>11778</v>
      </c>
      <c r="L5706" s="523"/>
      <c r="M5706" s="523"/>
      <c r="N5706" s="523"/>
      <c r="O5706" s="523"/>
      <c r="P5706" s="523"/>
    </row>
    <row r="5707" spans="3:20" s="517" customFormat="1" ht="31.2" customHeight="1">
      <c r="C5707" s="543" t="s">
        <v>1209</v>
      </c>
      <c r="D5707" s="750" t="s">
        <v>1210</v>
      </c>
      <c r="E5707" s="197"/>
      <c r="F5707" s="751"/>
      <c r="G5707" s="197"/>
      <c r="H5707" s="752"/>
      <c r="L5707" s="200"/>
      <c r="M5707" s="200"/>
      <c r="N5707" s="200"/>
      <c r="O5707" s="200"/>
      <c r="P5707" s="200"/>
    </row>
    <row r="5708" spans="3:20" s="517" customFormat="1" ht="31.2" customHeight="1">
      <c r="C5708" s="543">
        <v>1</v>
      </c>
      <c r="D5708" s="750" t="s">
        <v>7493</v>
      </c>
      <c r="E5708" s="203" t="s">
        <v>44</v>
      </c>
      <c r="F5708" s="760">
        <v>9</v>
      </c>
      <c r="G5708" s="205">
        <f>VLOOKUP(D5708,upahbahan,3,FALSE)</f>
        <v>0</v>
      </c>
      <c r="H5708" s="210">
        <f t="shared" ref="H5708:H5713" si="420">F5708*G5708</f>
        <v>0</v>
      </c>
      <c r="L5708" s="200"/>
      <c r="M5708" s="200"/>
      <c r="N5708" s="200"/>
      <c r="O5708" s="200"/>
      <c r="P5708" s="200"/>
    </row>
    <row r="5709" spans="3:20" s="517" customFormat="1" ht="31.2" customHeight="1">
      <c r="C5709" s="543">
        <v>2</v>
      </c>
      <c r="D5709" s="750" t="s">
        <v>5563</v>
      </c>
      <c r="E5709" s="203" t="s">
        <v>65</v>
      </c>
      <c r="F5709" s="760">
        <v>0.01</v>
      </c>
      <c r="G5709" s="205">
        <f>VLOOKUP(D5709,upahbahan,3,FALSE)</f>
        <v>0</v>
      </c>
      <c r="H5709" s="210">
        <f t="shared" si="420"/>
        <v>0</v>
      </c>
      <c r="L5709" s="200"/>
      <c r="M5709" s="200"/>
      <c r="N5709" s="200"/>
      <c r="O5709" s="200"/>
      <c r="P5709" s="200"/>
    </row>
    <row r="5710" spans="3:20" s="517" customFormat="1" ht="31.2" customHeight="1">
      <c r="C5710" s="543">
        <v>3</v>
      </c>
      <c r="D5710" s="750" t="s">
        <v>5556</v>
      </c>
      <c r="E5710" s="203"/>
      <c r="F5710" s="753"/>
      <c r="G5710" s="197"/>
      <c r="H5710" s="210">
        <f t="shared" si="420"/>
        <v>0</v>
      </c>
      <c r="L5710" s="200"/>
      <c r="M5710" s="200"/>
      <c r="N5710" s="200"/>
      <c r="O5710" s="200"/>
      <c r="P5710" s="200"/>
    </row>
    <row r="5711" spans="3:20" s="517" customFormat="1" ht="31.2" customHeight="1">
      <c r="C5711" s="754" t="s">
        <v>5293</v>
      </c>
      <c r="D5711" s="750" t="s">
        <v>2084</v>
      </c>
      <c r="E5711" s="203" t="s">
        <v>42</v>
      </c>
      <c r="F5711" s="753">
        <v>0.02</v>
      </c>
      <c r="G5711" s="205">
        <f>VLOOKUP(D5711,upahbahan,3,FALSE)</f>
        <v>0</v>
      </c>
      <c r="H5711" s="210">
        <f t="shared" si="420"/>
        <v>0</v>
      </c>
      <c r="L5711" s="200"/>
      <c r="M5711" s="200"/>
      <c r="N5711" s="200"/>
      <c r="O5711" s="200"/>
      <c r="P5711" s="200"/>
    </row>
    <row r="5712" spans="3:20" s="517" customFormat="1" ht="31.2" customHeight="1">
      <c r="C5712" s="754" t="s">
        <v>5299</v>
      </c>
      <c r="D5712" s="750" t="s">
        <v>5566</v>
      </c>
      <c r="E5712" s="203" t="s">
        <v>42</v>
      </c>
      <c r="F5712" s="753">
        <v>5.0000000000000001E-3</v>
      </c>
      <c r="G5712" s="205">
        <f>VLOOKUP(D5712,upahbahan,3,FALSE)</f>
        <v>0</v>
      </c>
      <c r="H5712" s="210">
        <f t="shared" si="420"/>
        <v>0</v>
      </c>
      <c r="L5712" s="200"/>
      <c r="M5712" s="200"/>
      <c r="N5712" s="200"/>
      <c r="O5712" s="200"/>
      <c r="P5712" s="200"/>
    </row>
    <row r="5713" spans="3:20" s="517" customFormat="1" ht="31.2" customHeight="1">
      <c r="C5713" s="754" t="s">
        <v>5558</v>
      </c>
      <c r="D5713" s="750" t="s">
        <v>2325</v>
      </c>
      <c r="E5713" s="203" t="s">
        <v>42</v>
      </c>
      <c r="F5713" s="755">
        <v>1E-3</v>
      </c>
      <c r="G5713" s="205">
        <f>VLOOKUP(D5713,upahbahan,3,FALSE)</f>
        <v>0</v>
      </c>
      <c r="H5713" s="210">
        <f t="shared" si="420"/>
        <v>0</v>
      </c>
      <c r="L5713" s="200"/>
      <c r="M5713" s="200"/>
      <c r="N5713" s="200"/>
      <c r="O5713" s="200"/>
      <c r="P5713" s="200"/>
    </row>
    <row r="5714" spans="3:20" s="517" customFormat="1" ht="31.2" customHeight="1">
      <c r="C5714" s="207" t="s">
        <v>1214</v>
      </c>
      <c r="D5714" s="208"/>
      <c r="E5714" s="568"/>
      <c r="F5714" s="208"/>
      <c r="G5714" s="209"/>
      <c r="H5714" s="210">
        <f>SUM(H5708:H5713)</f>
        <v>0</v>
      </c>
      <c r="L5714" s="200"/>
      <c r="M5714" s="200"/>
      <c r="N5714" s="200"/>
      <c r="O5714" s="200"/>
      <c r="P5714" s="200"/>
    </row>
    <row r="5715" spans="3:20" s="517" customFormat="1" ht="31.2" customHeight="1">
      <c r="C5715" s="756" t="s">
        <v>1215</v>
      </c>
      <c r="D5715" s="196" t="s">
        <v>1216</v>
      </c>
      <c r="E5715" s="203"/>
      <c r="F5715" s="197"/>
      <c r="G5715" s="197"/>
      <c r="H5715" s="198"/>
      <c r="L5715" s="200"/>
      <c r="M5715" s="200"/>
      <c r="N5715" s="200"/>
      <c r="O5715" s="200"/>
      <c r="P5715" s="200"/>
    </row>
    <row r="5716" spans="3:20" s="517" customFormat="1" ht="31.2" customHeight="1">
      <c r="C5716" s="207" t="s">
        <v>1217</v>
      </c>
      <c r="D5716" s="208"/>
      <c r="E5716" s="208"/>
      <c r="F5716" s="208"/>
      <c r="G5716" s="209"/>
      <c r="H5716" s="240">
        <f>SUM(H5715)</f>
        <v>0</v>
      </c>
      <c r="L5716" s="200"/>
      <c r="M5716" s="200"/>
      <c r="N5716" s="200"/>
      <c r="O5716" s="200"/>
      <c r="P5716" s="200"/>
    </row>
    <row r="5717" spans="3:20" s="517" customFormat="1" ht="31.2" customHeight="1">
      <c r="C5717" s="223" t="s">
        <v>1218</v>
      </c>
      <c r="D5717" s="224" t="s">
        <v>1219</v>
      </c>
      <c r="E5717" s="225"/>
      <c r="F5717" s="225"/>
      <c r="G5717" s="226"/>
      <c r="H5717" s="210">
        <f>H5716+H5714+H5706</f>
        <v>11778</v>
      </c>
      <c r="L5717" s="200"/>
      <c r="M5717" s="200"/>
      <c r="N5717" s="200"/>
      <c r="O5717" s="200"/>
      <c r="P5717" s="200"/>
    </row>
    <row r="5718" spans="3:20" s="517" customFormat="1" ht="31.2" customHeight="1">
      <c r="C5718" s="223" t="s">
        <v>1220</v>
      </c>
      <c r="D5718" s="224" t="s">
        <v>1321</v>
      </c>
      <c r="E5718" s="225"/>
      <c r="F5718" s="226"/>
      <c r="G5718" s="228">
        <v>0.1</v>
      </c>
      <c r="H5718" s="210">
        <f>H5717*G5718</f>
        <v>1177.8</v>
      </c>
      <c r="L5718" s="200"/>
      <c r="M5718" s="200"/>
      <c r="N5718" s="200"/>
      <c r="O5718" s="200"/>
      <c r="P5718" s="200"/>
    </row>
    <row r="5719" spans="3:20" s="517" customFormat="1" ht="31.2" customHeight="1" thickBot="1">
      <c r="C5719" s="229" t="s">
        <v>1221</v>
      </c>
      <c r="D5719" s="230" t="s">
        <v>1222</v>
      </c>
      <c r="E5719" s="231"/>
      <c r="F5719" s="231"/>
      <c r="G5719" s="232"/>
      <c r="H5719" s="233">
        <f>SUM(H5717:H5718)</f>
        <v>12955.8</v>
      </c>
      <c r="L5719" s="200"/>
      <c r="M5719" s="200"/>
      <c r="N5719" s="200"/>
      <c r="O5719" s="200"/>
      <c r="P5719" s="200"/>
    </row>
    <row r="5720" spans="3:20" ht="31.2" customHeight="1" thickTop="1">
      <c r="D5720" s="758"/>
    </row>
    <row r="5721" spans="3:20" ht="31.2" customHeight="1">
      <c r="C5721" s="757" t="s">
        <v>6950</v>
      </c>
      <c r="F5721" s="758"/>
      <c r="H5721" s="758" t="s">
        <v>6959</v>
      </c>
    </row>
    <row r="5722" spans="3:20" ht="31.2" customHeight="1">
      <c r="C5722" s="200" t="s">
        <v>6951</v>
      </c>
      <c r="F5722" s="758"/>
    </row>
    <row r="5723" spans="3:20" ht="31.2" customHeight="1">
      <c r="C5723" s="200" t="s">
        <v>6952</v>
      </c>
      <c r="F5723" s="758"/>
    </row>
    <row r="5724" spans="3:20" ht="31.2" customHeight="1">
      <c r="C5724" s="200"/>
      <c r="F5724" s="758"/>
    </row>
    <row r="5725" spans="3:20" s="517" customFormat="1" ht="31.2" customHeight="1" thickBot="1">
      <c r="C5725" s="513" t="s">
        <v>7520</v>
      </c>
      <c r="D5725" s="748" t="s">
        <v>7494</v>
      </c>
      <c r="E5725" s="749"/>
      <c r="F5725" s="748"/>
      <c r="G5725" s="748"/>
      <c r="H5725" s="532"/>
      <c r="I5725" s="532"/>
      <c r="J5725" s="532"/>
      <c r="K5725" s="532"/>
      <c r="M5725" s="189"/>
      <c r="N5725" s="189"/>
      <c r="O5725" s="189"/>
      <c r="P5725" s="189"/>
      <c r="R5725" s="189">
        <f>ROUNDDOWN(H5744,-2)</f>
        <v>12900</v>
      </c>
      <c r="S5725" s="517" t="s">
        <v>6451</v>
      </c>
      <c r="T5725" s="517" t="s">
        <v>7014</v>
      </c>
    </row>
    <row r="5726" spans="3:20" s="517" customFormat="1" ht="31.2" customHeight="1" thickTop="1">
      <c r="C5726" s="190" t="s">
        <v>1195</v>
      </c>
      <c r="D5726" s="191" t="s">
        <v>1196</v>
      </c>
      <c r="E5726" s="191" t="s">
        <v>1197</v>
      </c>
      <c r="F5726" s="191" t="s">
        <v>1198</v>
      </c>
      <c r="G5726" s="191" t="s">
        <v>1199</v>
      </c>
      <c r="H5726" s="192" t="s">
        <v>1200</v>
      </c>
      <c r="L5726" s="200"/>
      <c r="M5726" s="200"/>
      <c r="N5726" s="200"/>
      <c r="O5726" s="200"/>
      <c r="P5726" s="200"/>
    </row>
    <row r="5727" spans="3:20" s="517" customFormat="1" ht="31.2" customHeight="1">
      <c r="C5727" s="518" t="s">
        <v>1201</v>
      </c>
      <c r="D5727" s="196" t="s">
        <v>1202</v>
      </c>
      <c r="E5727" s="197"/>
      <c r="F5727" s="197"/>
      <c r="G5727" s="197"/>
      <c r="H5727" s="198"/>
      <c r="L5727" s="200"/>
      <c r="M5727" s="200"/>
      <c r="N5727" s="200"/>
      <c r="O5727" s="200"/>
      <c r="P5727" s="200"/>
    </row>
    <row r="5728" spans="3:20" s="517" customFormat="1" ht="31.2" customHeight="1">
      <c r="C5728" s="537">
        <v>1</v>
      </c>
      <c r="D5728" s="196" t="s">
        <v>6954</v>
      </c>
      <c r="E5728" s="202" t="s">
        <v>6</v>
      </c>
      <c r="F5728" s="520">
        <v>0.05</v>
      </c>
      <c r="G5728" s="205">
        <f>VLOOKUP(D5728,upahbahan,3,FALSE)</f>
        <v>181250</v>
      </c>
      <c r="H5728" s="210">
        <f t="shared" ref="H5728:H5730" si="421">F5728*G5728</f>
        <v>9062.5</v>
      </c>
      <c r="L5728" s="200"/>
      <c r="M5728" s="200"/>
      <c r="N5728" s="200"/>
      <c r="O5728" s="200"/>
      <c r="P5728" s="200"/>
    </row>
    <row r="5729" spans="3:16" s="517" customFormat="1" ht="31.2" customHeight="1">
      <c r="C5729" s="537">
        <v>2</v>
      </c>
      <c r="D5729" s="196" t="s">
        <v>6948</v>
      </c>
      <c r="E5729" s="202" t="s">
        <v>2102</v>
      </c>
      <c r="F5729" s="520">
        <v>0.01</v>
      </c>
      <c r="G5729" s="205">
        <f>VLOOKUP(D5729,upahbahan,3,FALSE)</f>
        <v>218750</v>
      </c>
      <c r="H5729" s="210">
        <f t="shared" si="421"/>
        <v>2187.5</v>
      </c>
      <c r="L5729" s="200"/>
      <c r="M5729" s="200"/>
      <c r="N5729" s="200"/>
      <c r="O5729" s="200"/>
      <c r="P5729" s="200"/>
    </row>
    <row r="5730" spans="3:16" s="517" customFormat="1" ht="31.2" customHeight="1">
      <c r="C5730" s="537">
        <v>3</v>
      </c>
      <c r="D5730" s="196" t="s">
        <v>19</v>
      </c>
      <c r="E5730" s="202" t="s">
        <v>6</v>
      </c>
      <c r="F5730" s="520">
        <v>3.3E-3</v>
      </c>
      <c r="G5730" s="205">
        <f>VLOOKUP(D5730,upahbahan,3,FALSE)</f>
        <v>160000</v>
      </c>
      <c r="H5730" s="210">
        <f t="shared" si="421"/>
        <v>528</v>
      </c>
      <c r="L5730" s="200"/>
      <c r="M5730" s="200"/>
      <c r="N5730" s="200"/>
      <c r="O5730" s="200"/>
      <c r="P5730" s="200"/>
    </row>
    <row r="5731" spans="3:16" s="517" customFormat="1" ht="31.2" customHeight="1">
      <c r="C5731" s="207" t="s">
        <v>1208</v>
      </c>
      <c r="D5731" s="208"/>
      <c r="E5731" s="208"/>
      <c r="F5731" s="521"/>
      <c r="G5731" s="522"/>
      <c r="H5731" s="210">
        <f>SUM(H5728:H5730)</f>
        <v>11778</v>
      </c>
      <c r="L5731" s="523"/>
      <c r="M5731" s="523"/>
      <c r="N5731" s="523"/>
      <c r="O5731" s="523"/>
      <c r="P5731" s="523"/>
    </row>
    <row r="5732" spans="3:16" s="517" customFormat="1" ht="31.2" customHeight="1">
      <c r="C5732" s="543" t="s">
        <v>1209</v>
      </c>
      <c r="D5732" s="750" t="s">
        <v>1210</v>
      </c>
      <c r="E5732" s="197"/>
      <c r="F5732" s="751"/>
      <c r="G5732" s="197"/>
      <c r="H5732" s="752"/>
      <c r="L5732" s="200"/>
      <c r="M5732" s="200"/>
      <c r="N5732" s="200"/>
      <c r="O5732" s="200"/>
      <c r="P5732" s="200"/>
    </row>
    <row r="5733" spans="3:16" s="517" customFormat="1" ht="31.2" customHeight="1">
      <c r="C5733" s="543">
        <v>1</v>
      </c>
      <c r="D5733" s="750" t="s">
        <v>7495</v>
      </c>
      <c r="E5733" s="203" t="s">
        <v>44</v>
      </c>
      <c r="F5733" s="760">
        <v>9</v>
      </c>
      <c r="G5733" s="205">
        <f>VLOOKUP(D5733,upahbahan,3,FALSE)</f>
        <v>0</v>
      </c>
      <c r="H5733" s="210">
        <f t="shared" ref="H5733:H5738" si="422">F5733*G5733</f>
        <v>0</v>
      </c>
      <c r="L5733" s="200"/>
      <c r="M5733" s="200"/>
      <c r="N5733" s="200"/>
      <c r="O5733" s="200"/>
      <c r="P5733" s="200"/>
    </row>
    <row r="5734" spans="3:16" s="517" customFormat="1" ht="31.2" customHeight="1">
      <c r="C5734" s="543">
        <v>2</v>
      </c>
      <c r="D5734" s="750" t="s">
        <v>5563</v>
      </c>
      <c r="E5734" s="203" t="s">
        <v>65</v>
      </c>
      <c r="F5734" s="760">
        <v>0.01</v>
      </c>
      <c r="G5734" s="205">
        <f>VLOOKUP(D5734,upahbahan,3,FALSE)</f>
        <v>0</v>
      </c>
      <c r="H5734" s="210">
        <f t="shared" si="422"/>
        <v>0</v>
      </c>
      <c r="L5734" s="200"/>
      <c r="M5734" s="200"/>
      <c r="N5734" s="200"/>
      <c r="O5734" s="200"/>
      <c r="P5734" s="200"/>
    </row>
    <row r="5735" spans="3:16" s="517" customFormat="1" ht="31.2" customHeight="1">
      <c r="C5735" s="543">
        <v>3</v>
      </c>
      <c r="D5735" s="750" t="s">
        <v>5556</v>
      </c>
      <c r="E5735" s="203"/>
      <c r="F5735" s="753"/>
      <c r="G5735" s="197"/>
      <c r="H5735" s="210">
        <f t="shared" si="422"/>
        <v>0</v>
      </c>
      <c r="L5735" s="200"/>
      <c r="M5735" s="200"/>
      <c r="N5735" s="200"/>
      <c r="O5735" s="200"/>
      <c r="P5735" s="200"/>
    </row>
    <row r="5736" spans="3:16" s="517" customFormat="1" ht="31.2" customHeight="1">
      <c r="C5736" s="754" t="s">
        <v>5293</v>
      </c>
      <c r="D5736" s="750" t="s">
        <v>2084</v>
      </c>
      <c r="E5736" s="203" t="s">
        <v>42</v>
      </c>
      <c r="F5736" s="753">
        <v>0.02</v>
      </c>
      <c r="G5736" s="205">
        <f>VLOOKUP(D5736,upahbahan,3,FALSE)</f>
        <v>0</v>
      </c>
      <c r="H5736" s="210">
        <f t="shared" si="422"/>
        <v>0</v>
      </c>
      <c r="L5736" s="200"/>
      <c r="M5736" s="200"/>
      <c r="N5736" s="200"/>
      <c r="O5736" s="200"/>
      <c r="P5736" s="200"/>
    </row>
    <row r="5737" spans="3:16" s="517" customFormat="1" ht="31.2" customHeight="1">
      <c r="C5737" s="754" t="s">
        <v>5299</v>
      </c>
      <c r="D5737" s="750" t="s">
        <v>5566</v>
      </c>
      <c r="E5737" s="203" t="s">
        <v>42</v>
      </c>
      <c r="F5737" s="753">
        <v>5.0000000000000001E-3</v>
      </c>
      <c r="G5737" s="205">
        <f>VLOOKUP(D5737,upahbahan,3,FALSE)</f>
        <v>0</v>
      </c>
      <c r="H5737" s="210">
        <f t="shared" si="422"/>
        <v>0</v>
      </c>
      <c r="L5737" s="200"/>
      <c r="M5737" s="200"/>
      <c r="N5737" s="200"/>
      <c r="O5737" s="200"/>
      <c r="P5737" s="200"/>
    </row>
    <row r="5738" spans="3:16" s="517" customFormat="1" ht="31.2" customHeight="1">
      <c r="C5738" s="754" t="s">
        <v>5558</v>
      </c>
      <c r="D5738" s="750" t="s">
        <v>2325</v>
      </c>
      <c r="E5738" s="203" t="s">
        <v>42</v>
      </c>
      <c r="F5738" s="755">
        <v>1E-3</v>
      </c>
      <c r="G5738" s="205">
        <f>VLOOKUP(D5738,upahbahan,3,FALSE)</f>
        <v>0</v>
      </c>
      <c r="H5738" s="210">
        <f t="shared" si="422"/>
        <v>0</v>
      </c>
      <c r="L5738" s="200"/>
      <c r="M5738" s="200"/>
      <c r="N5738" s="200"/>
      <c r="O5738" s="200"/>
      <c r="P5738" s="200"/>
    </row>
    <row r="5739" spans="3:16" s="517" customFormat="1" ht="31.2" customHeight="1">
      <c r="C5739" s="207" t="s">
        <v>1214</v>
      </c>
      <c r="D5739" s="208"/>
      <c r="E5739" s="568"/>
      <c r="F5739" s="208"/>
      <c r="G5739" s="209"/>
      <c r="H5739" s="210">
        <f>SUM(H5733:H5738)</f>
        <v>0</v>
      </c>
      <c r="L5739" s="200"/>
      <c r="M5739" s="200"/>
      <c r="N5739" s="200"/>
      <c r="O5739" s="200"/>
      <c r="P5739" s="200"/>
    </row>
    <row r="5740" spans="3:16" s="517" customFormat="1" ht="31.2" customHeight="1">
      <c r="C5740" s="756" t="s">
        <v>1215</v>
      </c>
      <c r="D5740" s="196" t="s">
        <v>1216</v>
      </c>
      <c r="E5740" s="203"/>
      <c r="F5740" s="197"/>
      <c r="G5740" s="197"/>
      <c r="H5740" s="198"/>
      <c r="L5740" s="200"/>
      <c r="M5740" s="200"/>
      <c r="N5740" s="200"/>
      <c r="O5740" s="200"/>
      <c r="P5740" s="200"/>
    </row>
    <row r="5741" spans="3:16" s="517" customFormat="1" ht="31.2" customHeight="1">
      <c r="C5741" s="207" t="s">
        <v>1217</v>
      </c>
      <c r="D5741" s="208"/>
      <c r="E5741" s="208"/>
      <c r="F5741" s="208"/>
      <c r="G5741" s="209"/>
      <c r="H5741" s="240">
        <f>SUM(H5740)</f>
        <v>0</v>
      </c>
      <c r="L5741" s="200"/>
      <c r="M5741" s="200"/>
      <c r="N5741" s="200"/>
      <c r="O5741" s="200"/>
      <c r="P5741" s="200"/>
    </row>
    <row r="5742" spans="3:16" s="517" customFormat="1" ht="31.2" customHeight="1">
      <c r="C5742" s="223" t="s">
        <v>1218</v>
      </c>
      <c r="D5742" s="224" t="s">
        <v>1219</v>
      </c>
      <c r="E5742" s="225"/>
      <c r="F5742" s="225"/>
      <c r="G5742" s="226"/>
      <c r="H5742" s="210">
        <f>H5741+H5739+H5731</f>
        <v>11778</v>
      </c>
      <c r="L5742" s="200"/>
      <c r="M5742" s="200"/>
      <c r="N5742" s="200"/>
      <c r="O5742" s="200"/>
      <c r="P5742" s="200"/>
    </row>
    <row r="5743" spans="3:16" s="517" customFormat="1" ht="31.2" customHeight="1">
      <c r="C5743" s="223" t="s">
        <v>1220</v>
      </c>
      <c r="D5743" s="224" t="s">
        <v>1321</v>
      </c>
      <c r="E5743" s="225"/>
      <c r="F5743" s="226"/>
      <c r="G5743" s="228">
        <v>0.1</v>
      </c>
      <c r="H5743" s="210">
        <f>H5742*G5743</f>
        <v>1177.8</v>
      </c>
      <c r="L5743" s="200"/>
      <c r="M5743" s="200"/>
      <c r="N5743" s="200"/>
      <c r="O5743" s="200"/>
      <c r="P5743" s="200"/>
    </row>
    <row r="5744" spans="3:16" s="517" customFormat="1" ht="31.2" customHeight="1" thickBot="1">
      <c r="C5744" s="229" t="s">
        <v>1221</v>
      </c>
      <c r="D5744" s="230" t="s">
        <v>1222</v>
      </c>
      <c r="E5744" s="231"/>
      <c r="F5744" s="231"/>
      <c r="G5744" s="232"/>
      <c r="H5744" s="233">
        <f>SUM(H5742:H5743)</f>
        <v>12955.8</v>
      </c>
      <c r="L5744" s="200"/>
      <c r="M5744" s="200"/>
      <c r="N5744" s="200"/>
      <c r="O5744" s="200"/>
      <c r="P5744" s="200"/>
    </row>
    <row r="5745" spans="3:20" ht="31.2" customHeight="1" thickTop="1">
      <c r="D5745" s="758"/>
    </row>
    <row r="5746" spans="3:20" ht="31.2" customHeight="1">
      <c r="C5746" s="757" t="s">
        <v>6950</v>
      </c>
      <c r="F5746" s="758"/>
      <c r="H5746" s="758" t="s">
        <v>6959</v>
      </c>
    </row>
    <row r="5747" spans="3:20" ht="31.2" customHeight="1">
      <c r="C5747" s="200" t="s">
        <v>6951</v>
      </c>
      <c r="F5747" s="758"/>
    </row>
    <row r="5748" spans="3:20" ht="31.2" customHeight="1">
      <c r="C5748" s="200" t="s">
        <v>6952</v>
      </c>
      <c r="F5748" s="758"/>
    </row>
    <row r="5749" spans="3:20" ht="31.2" customHeight="1">
      <c r="C5749" s="200"/>
      <c r="F5749" s="758"/>
    </row>
    <row r="5750" spans="3:20" s="517" customFormat="1" ht="31.2" customHeight="1" thickBot="1">
      <c r="C5750" s="513" t="s">
        <v>7519</v>
      </c>
      <c r="D5750" s="748" t="s">
        <v>7496</v>
      </c>
      <c r="E5750" s="749"/>
      <c r="F5750" s="748"/>
      <c r="G5750" s="748"/>
      <c r="H5750" s="532"/>
      <c r="I5750" s="532"/>
      <c r="J5750" s="532"/>
      <c r="K5750" s="532"/>
      <c r="M5750" s="189"/>
      <c r="N5750" s="189"/>
      <c r="O5750" s="189"/>
      <c r="P5750" s="189"/>
      <c r="R5750" s="189">
        <f>ROUNDDOWN(H5769,-2)</f>
        <v>12900</v>
      </c>
      <c r="S5750" s="517" t="s">
        <v>6451</v>
      </c>
      <c r="T5750" s="517" t="s">
        <v>7014</v>
      </c>
    </row>
    <row r="5751" spans="3:20" s="517" customFormat="1" ht="31.2" customHeight="1" thickTop="1">
      <c r="C5751" s="190" t="s">
        <v>1195</v>
      </c>
      <c r="D5751" s="191" t="s">
        <v>1196</v>
      </c>
      <c r="E5751" s="191" t="s">
        <v>1197</v>
      </c>
      <c r="F5751" s="191" t="s">
        <v>1198</v>
      </c>
      <c r="G5751" s="191" t="s">
        <v>1199</v>
      </c>
      <c r="H5751" s="192" t="s">
        <v>1200</v>
      </c>
      <c r="L5751" s="200"/>
      <c r="M5751" s="200"/>
      <c r="N5751" s="200"/>
      <c r="O5751" s="200"/>
      <c r="P5751" s="200"/>
    </row>
    <row r="5752" spans="3:20" s="517" customFormat="1" ht="31.2" customHeight="1">
      <c r="C5752" s="518" t="s">
        <v>1201</v>
      </c>
      <c r="D5752" s="196" t="s">
        <v>1202</v>
      </c>
      <c r="E5752" s="197"/>
      <c r="F5752" s="197"/>
      <c r="G5752" s="197"/>
      <c r="H5752" s="198"/>
      <c r="L5752" s="200"/>
      <c r="M5752" s="200"/>
      <c r="N5752" s="200"/>
      <c r="O5752" s="200"/>
      <c r="P5752" s="200"/>
    </row>
    <row r="5753" spans="3:20" s="517" customFormat="1" ht="31.2" customHeight="1">
      <c r="C5753" s="537">
        <v>1</v>
      </c>
      <c r="D5753" s="196" t="s">
        <v>6954</v>
      </c>
      <c r="E5753" s="202" t="s">
        <v>6</v>
      </c>
      <c r="F5753" s="520">
        <v>0.05</v>
      </c>
      <c r="G5753" s="205">
        <f>VLOOKUP(D5753,upahbahan,3,FALSE)</f>
        <v>181250</v>
      </c>
      <c r="H5753" s="210">
        <f t="shared" ref="H5753:H5755" si="423">F5753*G5753</f>
        <v>9062.5</v>
      </c>
      <c r="L5753" s="200"/>
      <c r="M5753" s="200"/>
      <c r="N5753" s="200"/>
      <c r="O5753" s="200"/>
      <c r="P5753" s="200"/>
    </row>
    <row r="5754" spans="3:20" s="517" customFormat="1" ht="31.2" customHeight="1">
      <c r="C5754" s="537">
        <v>2</v>
      </c>
      <c r="D5754" s="196" t="s">
        <v>6948</v>
      </c>
      <c r="E5754" s="202" t="s">
        <v>2102</v>
      </c>
      <c r="F5754" s="520">
        <v>0.01</v>
      </c>
      <c r="G5754" s="205">
        <f>VLOOKUP(D5754,upahbahan,3,FALSE)</f>
        <v>218750</v>
      </c>
      <c r="H5754" s="210">
        <f t="shared" si="423"/>
        <v>2187.5</v>
      </c>
      <c r="L5754" s="200"/>
      <c r="M5754" s="200"/>
      <c r="N5754" s="200"/>
      <c r="O5754" s="200"/>
      <c r="P5754" s="200"/>
    </row>
    <row r="5755" spans="3:20" s="517" customFormat="1" ht="31.2" customHeight="1">
      <c r="C5755" s="537">
        <v>3</v>
      </c>
      <c r="D5755" s="196" t="s">
        <v>19</v>
      </c>
      <c r="E5755" s="202" t="s">
        <v>6</v>
      </c>
      <c r="F5755" s="520">
        <v>3.3E-3</v>
      </c>
      <c r="G5755" s="205">
        <f>VLOOKUP(D5755,upahbahan,3,FALSE)</f>
        <v>160000</v>
      </c>
      <c r="H5755" s="210">
        <f t="shared" si="423"/>
        <v>528</v>
      </c>
      <c r="L5755" s="200"/>
      <c r="M5755" s="200"/>
      <c r="N5755" s="200"/>
      <c r="O5755" s="200"/>
      <c r="P5755" s="200"/>
    </row>
    <row r="5756" spans="3:20" s="517" customFormat="1" ht="31.2" customHeight="1">
      <c r="C5756" s="207" t="s">
        <v>1208</v>
      </c>
      <c r="D5756" s="208"/>
      <c r="E5756" s="208"/>
      <c r="F5756" s="521"/>
      <c r="G5756" s="522"/>
      <c r="H5756" s="210">
        <f>SUM(H5753:H5755)</f>
        <v>11778</v>
      </c>
      <c r="L5756" s="523"/>
      <c r="M5756" s="523"/>
      <c r="N5756" s="523"/>
      <c r="O5756" s="523"/>
      <c r="P5756" s="523"/>
    </row>
    <row r="5757" spans="3:20" s="517" customFormat="1" ht="31.2" customHeight="1">
      <c r="C5757" s="543" t="s">
        <v>1209</v>
      </c>
      <c r="D5757" s="750" t="s">
        <v>1210</v>
      </c>
      <c r="E5757" s="197"/>
      <c r="F5757" s="751"/>
      <c r="G5757" s="197"/>
      <c r="H5757" s="752"/>
      <c r="L5757" s="200"/>
      <c r="M5757" s="200"/>
      <c r="N5757" s="200"/>
      <c r="O5757" s="200"/>
      <c r="P5757" s="200"/>
    </row>
    <row r="5758" spans="3:20" s="517" customFormat="1" ht="31.2" customHeight="1">
      <c r="C5758" s="543">
        <v>1</v>
      </c>
      <c r="D5758" s="750" t="s">
        <v>7497</v>
      </c>
      <c r="E5758" s="203" t="s">
        <v>44</v>
      </c>
      <c r="F5758" s="760">
        <v>9</v>
      </c>
      <c r="G5758" s="205">
        <f>VLOOKUP(D5758,upahbahan,3,FALSE)</f>
        <v>0</v>
      </c>
      <c r="H5758" s="210">
        <f t="shared" ref="H5758:H5763" si="424">F5758*G5758</f>
        <v>0</v>
      </c>
      <c r="L5758" s="200"/>
      <c r="M5758" s="200"/>
      <c r="N5758" s="200"/>
      <c r="O5758" s="200"/>
      <c r="P5758" s="200"/>
    </row>
    <row r="5759" spans="3:20" s="517" customFormat="1" ht="31.2" customHeight="1">
      <c r="C5759" s="543">
        <v>2</v>
      </c>
      <c r="D5759" s="750" t="s">
        <v>5563</v>
      </c>
      <c r="E5759" s="203" t="s">
        <v>65</v>
      </c>
      <c r="F5759" s="760">
        <v>0.01</v>
      </c>
      <c r="G5759" s="205">
        <f>VLOOKUP(D5759,upahbahan,3,FALSE)</f>
        <v>0</v>
      </c>
      <c r="H5759" s="210">
        <f t="shared" si="424"/>
        <v>0</v>
      </c>
      <c r="L5759" s="200"/>
      <c r="M5759" s="200"/>
      <c r="N5759" s="200"/>
      <c r="O5759" s="200"/>
      <c r="P5759" s="200"/>
    </row>
    <row r="5760" spans="3:20" s="517" customFormat="1" ht="31.2" customHeight="1">
      <c r="C5760" s="543">
        <v>3</v>
      </c>
      <c r="D5760" s="750" t="s">
        <v>5556</v>
      </c>
      <c r="E5760" s="203"/>
      <c r="F5760" s="753"/>
      <c r="G5760" s="197"/>
      <c r="H5760" s="210">
        <f t="shared" si="424"/>
        <v>0</v>
      </c>
      <c r="L5760" s="200"/>
      <c r="M5760" s="200"/>
      <c r="N5760" s="200"/>
      <c r="O5760" s="200"/>
      <c r="P5760" s="200"/>
    </row>
    <row r="5761" spans="3:20" s="517" customFormat="1" ht="31.2" customHeight="1">
      <c r="C5761" s="754" t="s">
        <v>5293</v>
      </c>
      <c r="D5761" s="750" t="s">
        <v>2084</v>
      </c>
      <c r="E5761" s="203" t="s">
        <v>42</v>
      </c>
      <c r="F5761" s="753">
        <v>0.02</v>
      </c>
      <c r="G5761" s="205">
        <f>VLOOKUP(D5761,upahbahan,3,FALSE)</f>
        <v>0</v>
      </c>
      <c r="H5761" s="210">
        <f t="shared" si="424"/>
        <v>0</v>
      </c>
      <c r="L5761" s="200"/>
      <c r="M5761" s="200"/>
      <c r="N5761" s="200"/>
      <c r="O5761" s="200"/>
      <c r="P5761" s="200"/>
    </row>
    <row r="5762" spans="3:20" s="517" customFormat="1" ht="31.2" customHeight="1">
      <c r="C5762" s="754" t="s">
        <v>5299</v>
      </c>
      <c r="D5762" s="750" t="s">
        <v>5566</v>
      </c>
      <c r="E5762" s="203" t="s">
        <v>42</v>
      </c>
      <c r="F5762" s="753">
        <v>5.0000000000000001E-3</v>
      </c>
      <c r="G5762" s="205">
        <f>VLOOKUP(D5762,upahbahan,3,FALSE)</f>
        <v>0</v>
      </c>
      <c r="H5762" s="210">
        <f t="shared" si="424"/>
        <v>0</v>
      </c>
      <c r="L5762" s="200"/>
      <c r="M5762" s="200"/>
      <c r="N5762" s="200"/>
      <c r="O5762" s="200"/>
      <c r="P5762" s="200"/>
    </row>
    <row r="5763" spans="3:20" s="517" customFormat="1" ht="31.2" customHeight="1">
      <c r="C5763" s="754" t="s">
        <v>5558</v>
      </c>
      <c r="D5763" s="750" t="s">
        <v>2325</v>
      </c>
      <c r="E5763" s="203" t="s">
        <v>42</v>
      </c>
      <c r="F5763" s="755">
        <v>1E-3</v>
      </c>
      <c r="G5763" s="205">
        <f>VLOOKUP(D5763,upahbahan,3,FALSE)</f>
        <v>0</v>
      </c>
      <c r="H5763" s="210">
        <f t="shared" si="424"/>
        <v>0</v>
      </c>
      <c r="L5763" s="200"/>
      <c r="M5763" s="200"/>
      <c r="N5763" s="200"/>
      <c r="O5763" s="200"/>
      <c r="P5763" s="200"/>
    </row>
    <row r="5764" spans="3:20" s="517" customFormat="1" ht="31.2" customHeight="1">
      <c r="C5764" s="207" t="s">
        <v>1214</v>
      </c>
      <c r="D5764" s="208"/>
      <c r="E5764" s="568"/>
      <c r="F5764" s="208"/>
      <c r="G5764" s="209"/>
      <c r="H5764" s="210">
        <f>SUM(H5758:H5763)</f>
        <v>0</v>
      </c>
      <c r="L5764" s="200"/>
      <c r="M5764" s="200"/>
      <c r="N5764" s="200"/>
      <c r="O5764" s="200"/>
      <c r="P5764" s="200"/>
    </row>
    <row r="5765" spans="3:20" s="517" customFormat="1" ht="31.2" customHeight="1">
      <c r="C5765" s="756" t="s">
        <v>1215</v>
      </c>
      <c r="D5765" s="196" t="s">
        <v>1216</v>
      </c>
      <c r="E5765" s="203"/>
      <c r="F5765" s="197"/>
      <c r="G5765" s="197"/>
      <c r="H5765" s="198"/>
      <c r="L5765" s="200"/>
      <c r="M5765" s="200"/>
      <c r="N5765" s="200"/>
      <c r="O5765" s="200"/>
      <c r="P5765" s="200"/>
    </row>
    <row r="5766" spans="3:20" s="517" customFormat="1" ht="31.2" customHeight="1">
      <c r="C5766" s="207" t="s">
        <v>1217</v>
      </c>
      <c r="D5766" s="208"/>
      <c r="E5766" s="208"/>
      <c r="F5766" s="208"/>
      <c r="G5766" s="209"/>
      <c r="H5766" s="240">
        <f>SUM(H5765)</f>
        <v>0</v>
      </c>
      <c r="L5766" s="200"/>
      <c r="M5766" s="200"/>
      <c r="N5766" s="200"/>
      <c r="O5766" s="200"/>
      <c r="P5766" s="200"/>
    </row>
    <row r="5767" spans="3:20" s="517" customFormat="1" ht="31.2" customHeight="1">
      <c r="C5767" s="223" t="s">
        <v>1218</v>
      </c>
      <c r="D5767" s="224" t="s">
        <v>1219</v>
      </c>
      <c r="E5767" s="225"/>
      <c r="F5767" s="225"/>
      <c r="G5767" s="226"/>
      <c r="H5767" s="210">
        <f>H5766+H5764+H5756</f>
        <v>11778</v>
      </c>
      <c r="L5767" s="200"/>
      <c r="M5767" s="200"/>
      <c r="N5767" s="200"/>
      <c r="O5767" s="200"/>
      <c r="P5767" s="200"/>
    </row>
    <row r="5768" spans="3:20" s="517" customFormat="1" ht="31.2" customHeight="1">
      <c r="C5768" s="223" t="s">
        <v>1220</v>
      </c>
      <c r="D5768" s="224" t="s">
        <v>1321</v>
      </c>
      <c r="E5768" s="225"/>
      <c r="F5768" s="226"/>
      <c r="G5768" s="228">
        <v>0.1</v>
      </c>
      <c r="H5768" s="210">
        <f>H5767*G5768</f>
        <v>1177.8</v>
      </c>
      <c r="L5768" s="200"/>
      <c r="M5768" s="200"/>
      <c r="N5768" s="200"/>
      <c r="O5768" s="200"/>
      <c r="P5768" s="200"/>
    </row>
    <row r="5769" spans="3:20" s="517" customFormat="1" ht="31.2" customHeight="1" thickBot="1">
      <c r="C5769" s="229" t="s">
        <v>1221</v>
      </c>
      <c r="D5769" s="230" t="s">
        <v>1222</v>
      </c>
      <c r="E5769" s="231"/>
      <c r="F5769" s="231"/>
      <c r="G5769" s="232"/>
      <c r="H5769" s="233">
        <f>SUM(H5767:H5768)</f>
        <v>12955.8</v>
      </c>
      <c r="L5769" s="200"/>
      <c r="M5769" s="200"/>
      <c r="N5769" s="200"/>
      <c r="O5769" s="200"/>
      <c r="P5769" s="200"/>
    </row>
    <row r="5770" spans="3:20" ht="31.2" customHeight="1" thickTop="1">
      <c r="D5770" s="758"/>
    </row>
    <row r="5771" spans="3:20" ht="31.2" customHeight="1">
      <c r="C5771" s="757" t="s">
        <v>6950</v>
      </c>
      <c r="F5771" s="758"/>
      <c r="H5771" s="758" t="s">
        <v>6959</v>
      </c>
    </row>
    <row r="5772" spans="3:20" ht="31.2" customHeight="1">
      <c r="C5772" s="200" t="s">
        <v>6951</v>
      </c>
      <c r="F5772" s="758"/>
    </row>
    <row r="5773" spans="3:20" ht="31.2" customHeight="1">
      <c r="C5773" s="200" t="s">
        <v>6952</v>
      </c>
      <c r="F5773" s="758"/>
    </row>
    <row r="5774" spans="3:20" ht="31.2" customHeight="1">
      <c r="C5774" s="200"/>
      <c r="F5774" s="758"/>
    </row>
    <row r="5775" spans="3:20" s="517" customFormat="1" ht="31.2" customHeight="1" thickBot="1">
      <c r="C5775" s="513" t="s">
        <v>7518</v>
      </c>
      <c r="D5775" s="748" t="s">
        <v>7498</v>
      </c>
      <c r="E5775" s="749"/>
      <c r="F5775" s="748"/>
      <c r="G5775" s="748"/>
      <c r="H5775" s="532"/>
      <c r="I5775" s="532"/>
      <c r="J5775" s="532"/>
      <c r="K5775" s="532"/>
      <c r="M5775" s="189"/>
      <c r="N5775" s="189"/>
      <c r="O5775" s="189"/>
      <c r="P5775" s="189"/>
      <c r="R5775" s="189">
        <f>ROUNDDOWN(H5794,-2)</f>
        <v>12900</v>
      </c>
      <c r="S5775" s="517" t="s">
        <v>6451</v>
      </c>
      <c r="T5775" s="517" t="s">
        <v>7014</v>
      </c>
    </row>
    <row r="5776" spans="3:20" s="517" customFormat="1" ht="31.2" customHeight="1" thickTop="1">
      <c r="C5776" s="190" t="s">
        <v>1195</v>
      </c>
      <c r="D5776" s="191" t="s">
        <v>1196</v>
      </c>
      <c r="E5776" s="191" t="s">
        <v>1197</v>
      </c>
      <c r="F5776" s="191" t="s">
        <v>1198</v>
      </c>
      <c r="G5776" s="191" t="s">
        <v>1199</v>
      </c>
      <c r="H5776" s="192" t="s">
        <v>1200</v>
      </c>
      <c r="L5776" s="200"/>
      <c r="M5776" s="200"/>
      <c r="N5776" s="200"/>
      <c r="O5776" s="200"/>
      <c r="P5776" s="200"/>
    </row>
    <row r="5777" spans="3:16" s="517" customFormat="1" ht="31.2" customHeight="1">
      <c r="C5777" s="518" t="s">
        <v>1201</v>
      </c>
      <c r="D5777" s="196" t="s">
        <v>1202</v>
      </c>
      <c r="E5777" s="197"/>
      <c r="F5777" s="197"/>
      <c r="G5777" s="197"/>
      <c r="H5777" s="198"/>
      <c r="L5777" s="200"/>
      <c r="M5777" s="200"/>
      <c r="N5777" s="200"/>
      <c r="O5777" s="200"/>
      <c r="P5777" s="200"/>
    </row>
    <row r="5778" spans="3:16" s="517" customFormat="1" ht="31.2" customHeight="1">
      <c r="C5778" s="537">
        <v>1</v>
      </c>
      <c r="D5778" s="196" t="s">
        <v>6954</v>
      </c>
      <c r="E5778" s="202" t="s">
        <v>6</v>
      </c>
      <c r="F5778" s="520">
        <v>0.05</v>
      </c>
      <c r="G5778" s="205">
        <f>VLOOKUP(D5778,upahbahan,3,FALSE)</f>
        <v>181250</v>
      </c>
      <c r="H5778" s="210">
        <f t="shared" ref="H5778:H5780" si="425">F5778*G5778</f>
        <v>9062.5</v>
      </c>
      <c r="L5778" s="200"/>
      <c r="M5778" s="200"/>
      <c r="N5778" s="200"/>
      <c r="O5778" s="200"/>
      <c r="P5778" s="200"/>
    </row>
    <row r="5779" spans="3:16" s="517" customFormat="1" ht="31.2" customHeight="1">
      <c r="C5779" s="537">
        <v>2</v>
      </c>
      <c r="D5779" s="196" t="s">
        <v>6948</v>
      </c>
      <c r="E5779" s="202" t="s">
        <v>2102</v>
      </c>
      <c r="F5779" s="520">
        <v>0.01</v>
      </c>
      <c r="G5779" s="205">
        <f>VLOOKUP(D5779,upahbahan,3,FALSE)</f>
        <v>218750</v>
      </c>
      <c r="H5779" s="210">
        <f t="shared" si="425"/>
        <v>2187.5</v>
      </c>
      <c r="L5779" s="200"/>
      <c r="M5779" s="200"/>
      <c r="N5779" s="200"/>
      <c r="O5779" s="200"/>
      <c r="P5779" s="200"/>
    </row>
    <row r="5780" spans="3:16" s="517" customFormat="1" ht="31.2" customHeight="1">
      <c r="C5780" s="537">
        <v>3</v>
      </c>
      <c r="D5780" s="196" t="s">
        <v>19</v>
      </c>
      <c r="E5780" s="202" t="s">
        <v>6</v>
      </c>
      <c r="F5780" s="520">
        <v>3.3E-3</v>
      </c>
      <c r="G5780" s="205">
        <f>VLOOKUP(D5780,upahbahan,3,FALSE)</f>
        <v>160000</v>
      </c>
      <c r="H5780" s="210">
        <f t="shared" si="425"/>
        <v>528</v>
      </c>
      <c r="L5780" s="200"/>
      <c r="M5780" s="200"/>
      <c r="N5780" s="200"/>
      <c r="O5780" s="200"/>
      <c r="P5780" s="200"/>
    </row>
    <row r="5781" spans="3:16" s="517" customFormat="1" ht="31.2" customHeight="1">
      <c r="C5781" s="207" t="s">
        <v>1208</v>
      </c>
      <c r="D5781" s="208"/>
      <c r="E5781" s="208"/>
      <c r="F5781" s="521"/>
      <c r="G5781" s="522"/>
      <c r="H5781" s="210">
        <f>SUM(H5778:H5780)</f>
        <v>11778</v>
      </c>
      <c r="L5781" s="523"/>
      <c r="M5781" s="523"/>
      <c r="N5781" s="523"/>
      <c r="O5781" s="523"/>
      <c r="P5781" s="523"/>
    </row>
    <row r="5782" spans="3:16" s="517" customFormat="1" ht="31.2" customHeight="1">
      <c r="C5782" s="543" t="s">
        <v>1209</v>
      </c>
      <c r="D5782" s="750" t="s">
        <v>1210</v>
      </c>
      <c r="E5782" s="197"/>
      <c r="F5782" s="751"/>
      <c r="G5782" s="197"/>
      <c r="H5782" s="752"/>
      <c r="L5782" s="200"/>
      <c r="M5782" s="200"/>
      <c r="N5782" s="200"/>
      <c r="O5782" s="200"/>
      <c r="P5782" s="200"/>
    </row>
    <row r="5783" spans="3:16" s="517" customFormat="1" ht="31.2" customHeight="1">
      <c r="C5783" s="543">
        <v>1</v>
      </c>
      <c r="D5783" s="750" t="s">
        <v>7499</v>
      </c>
      <c r="E5783" s="203" t="s">
        <v>44</v>
      </c>
      <c r="F5783" s="760">
        <v>9</v>
      </c>
      <c r="G5783" s="205">
        <f>VLOOKUP(D5783,upahbahan,3,FALSE)</f>
        <v>0</v>
      </c>
      <c r="H5783" s="210">
        <f t="shared" ref="H5783:H5788" si="426">F5783*G5783</f>
        <v>0</v>
      </c>
      <c r="L5783" s="200"/>
      <c r="M5783" s="200"/>
      <c r="N5783" s="200"/>
      <c r="O5783" s="200"/>
      <c r="P5783" s="200"/>
    </row>
    <row r="5784" spans="3:16" s="517" customFormat="1" ht="31.2" customHeight="1">
      <c r="C5784" s="543">
        <v>2</v>
      </c>
      <c r="D5784" s="750" t="s">
        <v>5563</v>
      </c>
      <c r="E5784" s="203" t="s">
        <v>65</v>
      </c>
      <c r="F5784" s="760">
        <v>0.01</v>
      </c>
      <c r="G5784" s="205">
        <f>VLOOKUP(D5784,upahbahan,3,FALSE)</f>
        <v>0</v>
      </c>
      <c r="H5784" s="210">
        <f t="shared" si="426"/>
        <v>0</v>
      </c>
      <c r="L5784" s="200"/>
      <c r="M5784" s="200"/>
      <c r="N5784" s="200"/>
      <c r="O5784" s="200"/>
      <c r="P5784" s="200"/>
    </row>
    <row r="5785" spans="3:16" s="517" customFormat="1" ht="31.2" customHeight="1">
      <c r="C5785" s="543">
        <v>3</v>
      </c>
      <c r="D5785" s="750" t="s">
        <v>5556</v>
      </c>
      <c r="E5785" s="203"/>
      <c r="F5785" s="753"/>
      <c r="G5785" s="197"/>
      <c r="H5785" s="210">
        <f t="shared" si="426"/>
        <v>0</v>
      </c>
      <c r="L5785" s="200"/>
      <c r="M5785" s="200"/>
      <c r="N5785" s="200"/>
      <c r="O5785" s="200"/>
      <c r="P5785" s="200"/>
    </row>
    <row r="5786" spans="3:16" s="517" customFormat="1" ht="31.2" customHeight="1">
      <c r="C5786" s="754" t="s">
        <v>5293</v>
      </c>
      <c r="D5786" s="750" t="s">
        <v>2084</v>
      </c>
      <c r="E5786" s="203" t="s">
        <v>42</v>
      </c>
      <c r="F5786" s="753">
        <v>0.02</v>
      </c>
      <c r="G5786" s="205">
        <f>VLOOKUP(D5786,upahbahan,3,FALSE)</f>
        <v>0</v>
      </c>
      <c r="H5786" s="210">
        <f t="shared" si="426"/>
        <v>0</v>
      </c>
      <c r="L5786" s="200"/>
      <c r="M5786" s="200"/>
      <c r="N5786" s="200"/>
      <c r="O5786" s="200"/>
      <c r="P5786" s="200"/>
    </row>
    <row r="5787" spans="3:16" s="517" customFormat="1" ht="31.2" customHeight="1">
      <c r="C5787" s="754" t="s">
        <v>5299</v>
      </c>
      <c r="D5787" s="750" t="s">
        <v>5566</v>
      </c>
      <c r="E5787" s="203" t="s">
        <v>42</v>
      </c>
      <c r="F5787" s="753">
        <v>5.0000000000000001E-3</v>
      </c>
      <c r="G5787" s="205">
        <f>VLOOKUP(D5787,upahbahan,3,FALSE)</f>
        <v>0</v>
      </c>
      <c r="H5787" s="210">
        <f t="shared" si="426"/>
        <v>0</v>
      </c>
      <c r="L5787" s="200"/>
      <c r="M5787" s="200"/>
      <c r="N5787" s="200"/>
      <c r="O5787" s="200"/>
      <c r="P5787" s="200"/>
    </row>
    <row r="5788" spans="3:16" s="517" customFormat="1" ht="31.2" customHeight="1">
      <c r="C5788" s="754" t="s">
        <v>5558</v>
      </c>
      <c r="D5788" s="750" t="s">
        <v>2325</v>
      </c>
      <c r="E5788" s="203" t="s">
        <v>42</v>
      </c>
      <c r="F5788" s="755">
        <v>1E-3</v>
      </c>
      <c r="G5788" s="205">
        <f>VLOOKUP(D5788,upahbahan,3,FALSE)</f>
        <v>0</v>
      </c>
      <c r="H5788" s="210">
        <f t="shared" si="426"/>
        <v>0</v>
      </c>
      <c r="L5788" s="200"/>
      <c r="M5788" s="200"/>
      <c r="N5788" s="200"/>
      <c r="O5788" s="200"/>
      <c r="P5788" s="200"/>
    </row>
    <row r="5789" spans="3:16" s="517" customFormat="1" ht="31.2" customHeight="1">
      <c r="C5789" s="207" t="s">
        <v>1214</v>
      </c>
      <c r="D5789" s="208"/>
      <c r="E5789" s="568"/>
      <c r="F5789" s="208"/>
      <c r="G5789" s="209"/>
      <c r="H5789" s="210">
        <f>SUM(H5783:H5788)</f>
        <v>0</v>
      </c>
      <c r="L5789" s="200"/>
      <c r="M5789" s="200"/>
      <c r="N5789" s="200"/>
      <c r="O5789" s="200"/>
      <c r="P5789" s="200"/>
    </row>
    <row r="5790" spans="3:16" s="517" customFormat="1" ht="31.2" customHeight="1">
      <c r="C5790" s="756" t="s">
        <v>1215</v>
      </c>
      <c r="D5790" s="196" t="s">
        <v>1216</v>
      </c>
      <c r="E5790" s="203"/>
      <c r="F5790" s="197"/>
      <c r="G5790" s="197"/>
      <c r="H5790" s="198"/>
      <c r="L5790" s="200"/>
      <c r="M5790" s="200"/>
      <c r="N5790" s="200"/>
      <c r="O5790" s="200"/>
      <c r="P5790" s="200"/>
    </row>
    <row r="5791" spans="3:16" s="517" customFormat="1" ht="31.2" customHeight="1">
      <c r="C5791" s="207" t="s">
        <v>1217</v>
      </c>
      <c r="D5791" s="208"/>
      <c r="E5791" s="208"/>
      <c r="F5791" s="208"/>
      <c r="G5791" s="209"/>
      <c r="H5791" s="240">
        <f>SUM(H5790)</f>
        <v>0</v>
      </c>
      <c r="L5791" s="200"/>
      <c r="M5791" s="200"/>
      <c r="N5791" s="200"/>
      <c r="O5791" s="200"/>
      <c r="P5791" s="200"/>
    </row>
    <row r="5792" spans="3:16" s="517" customFormat="1" ht="31.2" customHeight="1">
      <c r="C5792" s="223" t="s">
        <v>1218</v>
      </c>
      <c r="D5792" s="224" t="s">
        <v>1219</v>
      </c>
      <c r="E5792" s="225"/>
      <c r="F5792" s="225"/>
      <c r="G5792" s="226"/>
      <c r="H5792" s="210">
        <f>H5791+H5789+H5781</f>
        <v>11778</v>
      </c>
      <c r="L5792" s="200"/>
      <c r="M5792" s="200"/>
      <c r="N5792" s="200"/>
      <c r="O5792" s="200"/>
      <c r="P5792" s="200"/>
    </row>
    <row r="5793" spans="3:20" s="517" customFormat="1" ht="31.2" customHeight="1">
      <c r="C5793" s="223" t="s">
        <v>1220</v>
      </c>
      <c r="D5793" s="224" t="s">
        <v>1321</v>
      </c>
      <c r="E5793" s="225"/>
      <c r="F5793" s="226"/>
      <c r="G5793" s="228">
        <v>0.1</v>
      </c>
      <c r="H5793" s="210">
        <f>H5792*G5793</f>
        <v>1177.8</v>
      </c>
      <c r="L5793" s="200"/>
      <c r="M5793" s="200"/>
      <c r="N5793" s="200"/>
      <c r="O5793" s="200"/>
      <c r="P5793" s="200"/>
    </row>
    <row r="5794" spans="3:20" s="517" customFormat="1" ht="31.2" customHeight="1" thickBot="1">
      <c r="C5794" s="229" t="s">
        <v>1221</v>
      </c>
      <c r="D5794" s="230" t="s">
        <v>1222</v>
      </c>
      <c r="E5794" s="231"/>
      <c r="F5794" s="231"/>
      <c r="G5794" s="232"/>
      <c r="H5794" s="233">
        <f>SUM(H5792:H5793)</f>
        <v>12955.8</v>
      </c>
      <c r="L5794" s="200"/>
      <c r="M5794" s="200"/>
      <c r="N5794" s="200"/>
      <c r="O5794" s="200"/>
      <c r="P5794" s="200"/>
    </row>
    <row r="5795" spans="3:20" ht="31.2" customHeight="1" thickTop="1">
      <c r="D5795" s="758"/>
    </row>
    <row r="5796" spans="3:20" ht="31.2" customHeight="1">
      <c r="C5796" s="757" t="s">
        <v>6950</v>
      </c>
      <c r="F5796" s="758"/>
      <c r="H5796" s="758" t="s">
        <v>6959</v>
      </c>
    </row>
    <row r="5797" spans="3:20" ht="31.2" customHeight="1">
      <c r="C5797" s="200" t="s">
        <v>6951</v>
      </c>
      <c r="F5797" s="758"/>
    </row>
    <row r="5798" spans="3:20" ht="31.2" customHeight="1">
      <c r="C5798" s="200" t="s">
        <v>6952</v>
      </c>
      <c r="F5798" s="758"/>
    </row>
    <row r="5799" spans="3:20" ht="31.2" customHeight="1">
      <c r="C5799" s="200"/>
      <c r="F5799" s="758"/>
    </row>
    <row r="5800" spans="3:20" s="517" customFormat="1" ht="31.2" customHeight="1" thickBot="1">
      <c r="C5800" s="513" t="s">
        <v>7517</v>
      </c>
      <c r="D5800" s="748" t="s">
        <v>7500</v>
      </c>
      <c r="E5800" s="749"/>
      <c r="F5800" s="748"/>
      <c r="G5800" s="748"/>
      <c r="H5800" s="532"/>
      <c r="I5800" s="532"/>
      <c r="J5800" s="532"/>
      <c r="K5800" s="532"/>
      <c r="M5800" s="189"/>
      <c r="N5800" s="189"/>
      <c r="O5800" s="189"/>
      <c r="P5800" s="189"/>
      <c r="R5800" s="189">
        <f>ROUNDDOWN(H5819,-2)</f>
        <v>12900</v>
      </c>
      <c r="S5800" s="517" t="s">
        <v>6451</v>
      </c>
      <c r="T5800" s="517" t="s">
        <v>7014</v>
      </c>
    </row>
    <row r="5801" spans="3:20" s="517" customFormat="1" ht="31.2" customHeight="1" thickTop="1">
      <c r="C5801" s="190" t="s">
        <v>1195</v>
      </c>
      <c r="D5801" s="191" t="s">
        <v>1196</v>
      </c>
      <c r="E5801" s="191" t="s">
        <v>1197</v>
      </c>
      <c r="F5801" s="191" t="s">
        <v>1198</v>
      </c>
      <c r="G5801" s="191" t="s">
        <v>1199</v>
      </c>
      <c r="H5801" s="192" t="s">
        <v>1200</v>
      </c>
      <c r="L5801" s="200"/>
      <c r="M5801" s="200"/>
      <c r="N5801" s="200"/>
      <c r="O5801" s="200"/>
      <c r="P5801" s="200"/>
    </row>
    <row r="5802" spans="3:20" s="517" customFormat="1" ht="31.2" customHeight="1">
      <c r="C5802" s="518" t="s">
        <v>1201</v>
      </c>
      <c r="D5802" s="196" t="s">
        <v>1202</v>
      </c>
      <c r="E5802" s="197"/>
      <c r="F5802" s="197"/>
      <c r="G5802" s="197"/>
      <c r="H5802" s="198"/>
      <c r="L5802" s="200"/>
      <c r="M5802" s="200"/>
      <c r="N5802" s="200"/>
      <c r="O5802" s="200"/>
      <c r="P5802" s="200"/>
    </row>
    <row r="5803" spans="3:20" s="517" customFormat="1" ht="31.2" customHeight="1">
      <c r="C5803" s="537">
        <v>1</v>
      </c>
      <c r="D5803" s="196" t="s">
        <v>6954</v>
      </c>
      <c r="E5803" s="202" t="s">
        <v>6</v>
      </c>
      <c r="F5803" s="520">
        <v>0.05</v>
      </c>
      <c r="G5803" s="205">
        <f>VLOOKUP(D5803,upahbahan,3,FALSE)</f>
        <v>181250</v>
      </c>
      <c r="H5803" s="210">
        <f t="shared" ref="H5803:H5805" si="427">F5803*G5803</f>
        <v>9062.5</v>
      </c>
      <c r="L5803" s="200"/>
      <c r="M5803" s="200"/>
      <c r="N5803" s="200"/>
      <c r="O5803" s="200"/>
      <c r="P5803" s="200"/>
    </row>
    <row r="5804" spans="3:20" s="517" customFormat="1" ht="31.2" customHeight="1">
      <c r="C5804" s="537">
        <v>2</v>
      </c>
      <c r="D5804" s="196" t="s">
        <v>6948</v>
      </c>
      <c r="E5804" s="202" t="s">
        <v>2102</v>
      </c>
      <c r="F5804" s="520">
        <v>0.01</v>
      </c>
      <c r="G5804" s="205">
        <f>VLOOKUP(D5804,upahbahan,3,FALSE)</f>
        <v>218750</v>
      </c>
      <c r="H5804" s="210">
        <f t="shared" si="427"/>
        <v>2187.5</v>
      </c>
      <c r="L5804" s="200"/>
      <c r="M5804" s="200"/>
      <c r="N5804" s="200"/>
      <c r="O5804" s="200"/>
      <c r="P5804" s="200"/>
    </row>
    <row r="5805" spans="3:20" s="517" customFormat="1" ht="31.2" customHeight="1">
      <c r="C5805" s="537">
        <v>3</v>
      </c>
      <c r="D5805" s="196" t="s">
        <v>19</v>
      </c>
      <c r="E5805" s="202" t="s">
        <v>6</v>
      </c>
      <c r="F5805" s="520">
        <v>3.3E-3</v>
      </c>
      <c r="G5805" s="205">
        <f>VLOOKUP(D5805,upahbahan,3,FALSE)</f>
        <v>160000</v>
      </c>
      <c r="H5805" s="210">
        <f t="shared" si="427"/>
        <v>528</v>
      </c>
      <c r="L5805" s="200"/>
      <c r="M5805" s="200"/>
      <c r="N5805" s="200"/>
      <c r="O5805" s="200"/>
      <c r="P5805" s="200"/>
    </row>
    <row r="5806" spans="3:20" s="517" customFormat="1" ht="31.2" customHeight="1">
      <c r="C5806" s="207" t="s">
        <v>1208</v>
      </c>
      <c r="D5806" s="208"/>
      <c r="E5806" s="208"/>
      <c r="F5806" s="521"/>
      <c r="G5806" s="522"/>
      <c r="H5806" s="210">
        <f>SUM(H5803:H5805)</f>
        <v>11778</v>
      </c>
      <c r="L5806" s="523"/>
      <c r="M5806" s="523"/>
      <c r="N5806" s="523"/>
      <c r="O5806" s="523"/>
      <c r="P5806" s="523"/>
    </row>
    <row r="5807" spans="3:20" s="517" customFormat="1" ht="31.2" customHeight="1">
      <c r="C5807" s="543" t="s">
        <v>1209</v>
      </c>
      <c r="D5807" s="750" t="s">
        <v>1210</v>
      </c>
      <c r="E5807" s="197"/>
      <c r="F5807" s="751"/>
      <c r="G5807" s="197"/>
      <c r="H5807" s="752"/>
      <c r="L5807" s="200"/>
      <c r="M5807" s="200"/>
      <c r="N5807" s="200"/>
      <c r="O5807" s="200"/>
      <c r="P5807" s="200"/>
    </row>
    <row r="5808" spans="3:20" s="517" customFormat="1" ht="31.2" customHeight="1">
      <c r="C5808" s="543">
        <v>1</v>
      </c>
      <c r="D5808" s="750" t="s">
        <v>7501</v>
      </c>
      <c r="E5808" s="203" t="s">
        <v>44</v>
      </c>
      <c r="F5808" s="760">
        <v>9</v>
      </c>
      <c r="G5808" s="205">
        <f>VLOOKUP(D5808,upahbahan,3,FALSE)</f>
        <v>0</v>
      </c>
      <c r="H5808" s="210">
        <f t="shared" ref="H5808:H5813" si="428">F5808*G5808</f>
        <v>0</v>
      </c>
      <c r="L5808" s="200"/>
      <c r="M5808" s="200"/>
      <c r="N5808" s="200"/>
      <c r="O5808" s="200"/>
      <c r="P5808" s="200"/>
    </row>
    <row r="5809" spans="3:16" s="517" customFormat="1" ht="31.2" customHeight="1">
      <c r="C5809" s="543">
        <v>2</v>
      </c>
      <c r="D5809" s="750" t="s">
        <v>5563</v>
      </c>
      <c r="E5809" s="203" t="s">
        <v>65</v>
      </c>
      <c r="F5809" s="760">
        <v>0.01</v>
      </c>
      <c r="G5809" s="205">
        <f>VLOOKUP(D5809,upahbahan,3,FALSE)</f>
        <v>0</v>
      </c>
      <c r="H5809" s="210">
        <f t="shared" si="428"/>
        <v>0</v>
      </c>
      <c r="L5809" s="200"/>
      <c r="M5809" s="200"/>
      <c r="N5809" s="200"/>
      <c r="O5809" s="200"/>
      <c r="P5809" s="200"/>
    </row>
    <row r="5810" spans="3:16" s="517" customFormat="1" ht="31.2" customHeight="1">
      <c r="C5810" s="543">
        <v>3</v>
      </c>
      <c r="D5810" s="750" t="s">
        <v>5556</v>
      </c>
      <c r="E5810" s="203"/>
      <c r="F5810" s="753"/>
      <c r="G5810" s="197"/>
      <c r="H5810" s="210">
        <f t="shared" si="428"/>
        <v>0</v>
      </c>
      <c r="L5810" s="200"/>
      <c r="M5810" s="200"/>
      <c r="N5810" s="200"/>
      <c r="O5810" s="200"/>
      <c r="P5810" s="200"/>
    </row>
    <row r="5811" spans="3:16" s="517" customFormat="1" ht="31.2" customHeight="1">
      <c r="C5811" s="754" t="s">
        <v>5293</v>
      </c>
      <c r="D5811" s="750" t="s">
        <v>2084</v>
      </c>
      <c r="E5811" s="203" t="s">
        <v>42</v>
      </c>
      <c r="F5811" s="753">
        <v>0.02</v>
      </c>
      <c r="G5811" s="205">
        <f>VLOOKUP(D5811,upahbahan,3,FALSE)</f>
        <v>0</v>
      </c>
      <c r="H5811" s="210">
        <f t="shared" si="428"/>
        <v>0</v>
      </c>
      <c r="L5811" s="200"/>
      <c r="M5811" s="200"/>
      <c r="N5811" s="200"/>
      <c r="O5811" s="200"/>
      <c r="P5811" s="200"/>
    </row>
    <row r="5812" spans="3:16" s="517" customFormat="1" ht="31.2" customHeight="1">
      <c r="C5812" s="754" t="s">
        <v>5299</v>
      </c>
      <c r="D5812" s="750" t="s">
        <v>5566</v>
      </c>
      <c r="E5812" s="203" t="s">
        <v>42</v>
      </c>
      <c r="F5812" s="753">
        <v>5.0000000000000001E-3</v>
      </c>
      <c r="G5812" s="205">
        <f>VLOOKUP(D5812,upahbahan,3,FALSE)</f>
        <v>0</v>
      </c>
      <c r="H5812" s="210">
        <f t="shared" si="428"/>
        <v>0</v>
      </c>
      <c r="L5812" s="200"/>
      <c r="M5812" s="200"/>
      <c r="N5812" s="200"/>
      <c r="O5812" s="200"/>
      <c r="P5812" s="200"/>
    </row>
    <row r="5813" spans="3:16" s="517" customFormat="1" ht="31.2" customHeight="1">
      <c r="C5813" s="754" t="s">
        <v>5558</v>
      </c>
      <c r="D5813" s="750" t="s">
        <v>2325</v>
      </c>
      <c r="E5813" s="203" t="s">
        <v>42</v>
      </c>
      <c r="F5813" s="755">
        <v>1E-3</v>
      </c>
      <c r="G5813" s="205">
        <f>VLOOKUP(D5813,upahbahan,3,FALSE)</f>
        <v>0</v>
      </c>
      <c r="H5813" s="210">
        <f t="shared" si="428"/>
        <v>0</v>
      </c>
      <c r="L5813" s="200"/>
      <c r="M5813" s="200"/>
      <c r="N5813" s="200"/>
      <c r="O5813" s="200"/>
      <c r="P5813" s="200"/>
    </row>
    <row r="5814" spans="3:16" s="517" customFormat="1" ht="31.2" customHeight="1">
      <c r="C5814" s="207" t="s">
        <v>1214</v>
      </c>
      <c r="D5814" s="208"/>
      <c r="E5814" s="568"/>
      <c r="F5814" s="208"/>
      <c r="G5814" s="209"/>
      <c r="H5814" s="210">
        <f>SUM(H5808:H5813)</f>
        <v>0</v>
      </c>
      <c r="L5814" s="200"/>
      <c r="M5814" s="200"/>
      <c r="N5814" s="200"/>
      <c r="O5814" s="200"/>
      <c r="P5814" s="200"/>
    </row>
    <row r="5815" spans="3:16" s="517" customFormat="1" ht="31.2" customHeight="1">
      <c r="C5815" s="756" t="s">
        <v>1215</v>
      </c>
      <c r="D5815" s="196" t="s">
        <v>1216</v>
      </c>
      <c r="E5815" s="203"/>
      <c r="F5815" s="197"/>
      <c r="G5815" s="197"/>
      <c r="H5815" s="198"/>
      <c r="L5815" s="200"/>
      <c r="M5815" s="200"/>
      <c r="N5815" s="200"/>
      <c r="O5815" s="200"/>
      <c r="P5815" s="200"/>
    </row>
    <row r="5816" spans="3:16" s="517" customFormat="1" ht="31.2" customHeight="1">
      <c r="C5816" s="207" t="s">
        <v>1217</v>
      </c>
      <c r="D5816" s="208"/>
      <c r="E5816" s="208"/>
      <c r="F5816" s="208"/>
      <c r="G5816" s="209"/>
      <c r="H5816" s="240">
        <f>SUM(H5815)</f>
        <v>0</v>
      </c>
      <c r="L5816" s="200"/>
      <c r="M5816" s="200"/>
      <c r="N5816" s="200"/>
      <c r="O5816" s="200"/>
      <c r="P5816" s="200"/>
    </row>
    <row r="5817" spans="3:16" s="517" customFormat="1" ht="31.2" customHeight="1">
      <c r="C5817" s="223" t="s">
        <v>1218</v>
      </c>
      <c r="D5817" s="224" t="s">
        <v>1219</v>
      </c>
      <c r="E5817" s="225"/>
      <c r="F5817" s="225"/>
      <c r="G5817" s="226"/>
      <c r="H5817" s="210">
        <f>H5816+H5814+H5806</f>
        <v>11778</v>
      </c>
      <c r="L5817" s="200"/>
      <c r="M5817" s="200"/>
      <c r="N5817" s="200"/>
      <c r="O5817" s="200"/>
      <c r="P5817" s="200"/>
    </row>
    <row r="5818" spans="3:16" s="517" customFormat="1" ht="31.2" customHeight="1">
      <c r="C5818" s="223" t="s">
        <v>1220</v>
      </c>
      <c r="D5818" s="224" t="s">
        <v>1321</v>
      </c>
      <c r="E5818" s="225"/>
      <c r="F5818" s="226"/>
      <c r="G5818" s="228">
        <v>0.1</v>
      </c>
      <c r="H5818" s="210">
        <f>H5817*G5818</f>
        <v>1177.8</v>
      </c>
      <c r="L5818" s="200"/>
      <c r="M5818" s="200"/>
      <c r="N5818" s="200"/>
      <c r="O5818" s="200"/>
      <c r="P5818" s="200"/>
    </row>
    <row r="5819" spans="3:16" s="517" customFormat="1" ht="31.2" customHeight="1" thickBot="1">
      <c r="C5819" s="229" t="s">
        <v>1221</v>
      </c>
      <c r="D5819" s="230" t="s">
        <v>1222</v>
      </c>
      <c r="E5819" s="231"/>
      <c r="F5819" s="231"/>
      <c r="G5819" s="232"/>
      <c r="H5819" s="233">
        <f>SUM(H5817:H5818)</f>
        <v>12955.8</v>
      </c>
      <c r="L5819" s="200"/>
      <c r="M5819" s="200"/>
      <c r="N5819" s="200"/>
      <c r="O5819" s="200"/>
      <c r="P5819" s="200"/>
    </row>
    <row r="5820" spans="3:16" ht="31.2" customHeight="1" thickTop="1">
      <c r="D5820" s="758"/>
    </row>
    <row r="5821" spans="3:16" ht="31.2" customHeight="1">
      <c r="C5821" s="757" t="s">
        <v>6950</v>
      </c>
      <c r="F5821" s="758"/>
      <c r="H5821" s="758" t="s">
        <v>6959</v>
      </c>
    </row>
    <row r="5822" spans="3:16" ht="31.2" customHeight="1">
      <c r="C5822" s="200" t="s">
        <v>6951</v>
      </c>
      <c r="F5822" s="758"/>
    </row>
    <row r="5823" spans="3:16" ht="31.2" customHeight="1">
      <c r="C5823" s="200" t="s">
        <v>6952</v>
      </c>
      <c r="F5823" s="758"/>
    </row>
    <row r="5824" spans="3:16" ht="31.2" customHeight="1">
      <c r="C5824" s="200"/>
      <c r="F5824" s="758"/>
    </row>
    <row r="5825" spans="3:20" s="517" customFormat="1" ht="31.2" customHeight="1" thickBot="1">
      <c r="C5825" s="513" t="s">
        <v>7516</v>
      </c>
      <c r="D5825" s="748" t="s">
        <v>7502</v>
      </c>
      <c r="E5825" s="749"/>
      <c r="F5825" s="748"/>
      <c r="G5825" s="748"/>
      <c r="H5825" s="532"/>
      <c r="I5825" s="532"/>
      <c r="J5825" s="532"/>
      <c r="K5825" s="532"/>
      <c r="M5825" s="189"/>
      <c r="N5825" s="189"/>
      <c r="O5825" s="189"/>
      <c r="P5825" s="189"/>
      <c r="R5825" s="189">
        <f>ROUNDDOWN(H5844,-2)</f>
        <v>12900</v>
      </c>
      <c r="S5825" s="517" t="s">
        <v>6451</v>
      </c>
      <c r="T5825" s="517" t="s">
        <v>7014</v>
      </c>
    </row>
    <row r="5826" spans="3:20" s="517" customFormat="1" ht="31.2" customHeight="1" thickTop="1">
      <c r="C5826" s="190" t="s">
        <v>1195</v>
      </c>
      <c r="D5826" s="191" t="s">
        <v>1196</v>
      </c>
      <c r="E5826" s="191" t="s">
        <v>1197</v>
      </c>
      <c r="F5826" s="191" t="s">
        <v>1198</v>
      </c>
      <c r="G5826" s="191" t="s">
        <v>1199</v>
      </c>
      <c r="H5826" s="192" t="s">
        <v>1200</v>
      </c>
      <c r="L5826" s="200"/>
      <c r="M5826" s="200"/>
      <c r="N5826" s="200"/>
      <c r="O5826" s="200"/>
      <c r="P5826" s="200"/>
    </row>
    <row r="5827" spans="3:20" s="517" customFormat="1" ht="31.2" customHeight="1">
      <c r="C5827" s="518" t="s">
        <v>1201</v>
      </c>
      <c r="D5827" s="196" t="s">
        <v>1202</v>
      </c>
      <c r="E5827" s="197"/>
      <c r="F5827" s="197"/>
      <c r="G5827" s="197"/>
      <c r="H5827" s="198"/>
      <c r="L5827" s="200"/>
      <c r="M5827" s="200"/>
      <c r="N5827" s="200"/>
      <c r="O5827" s="200"/>
      <c r="P5827" s="200"/>
    </row>
    <row r="5828" spans="3:20" s="517" customFormat="1" ht="31.2" customHeight="1">
      <c r="C5828" s="537">
        <v>1</v>
      </c>
      <c r="D5828" s="196" t="s">
        <v>6954</v>
      </c>
      <c r="E5828" s="202" t="s">
        <v>6</v>
      </c>
      <c r="F5828" s="520">
        <v>0.05</v>
      </c>
      <c r="G5828" s="205">
        <f>VLOOKUP(D5828,upahbahan,3,FALSE)</f>
        <v>181250</v>
      </c>
      <c r="H5828" s="210">
        <f t="shared" ref="H5828:H5830" si="429">F5828*G5828</f>
        <v>9062.5</v>
      </c>
      <c r="L5828" s="200"/>
      <c r="M5828" s="200"/>
      <c r="N5828" s="200"/>
      <c r="O5828" s="200"/>
      <c r="P5828" s="200"/>
    </row>
    <row r="5829" spans="3:20" s="517" customFormat="1" ht="31.2" customHeight="1">
      <c r="C5829" s="537">
        <v>2</v>
      </c>
      <c r="D5829" s="196" t="s">
        <v>6948</v>
      </c>
      <c r="E5829" s="202" t="s">
        <v>2102</v>
      </c>
      <c r="F5829" s="520">
        <v>0.01</v>
      </c>
      <c r="G5829" s="205">
        <f>VLOOKUP(D5829,upahbahan,3,FALSE)</f>
        <v>218750</v>
      </c>
      <c r="H5829" s="210">
        <f t="shared" si="429"/>
        <v>2187.5</v>
      </c>
      <c r="L5829" s="200"/>
      <c r="M5829" s="200"/>
      <c r="N5829" s="200"/>
      <c r="O5829" s="200"/>
      <c r="P5829" s="200"/>
    </row>
    <row r="5830" spans="3:20" s="517" customFormat="1" ht="31.2" customHeight="1">
      <c r="C5830" s="537">
        <v>3</v>
      </c>
      <c r="D5830" s="196" t="s">
        <v>19</v>
      </c>
      <c r="E5830" s="202" t="s">
        <v>6</v>
      </c>
      <c r="F5830" s="520">
        <v>3.3E-3</v>
      </c>
      <c r="G5830" s="205">
        <f>VLOOKUP(D5830,upahbahan,3,FALSE)</f>
        <v>160000</v>
      </c>
      <c r="H5830" s="210">
        <f t="shared" si="429"/>
        <v>528</v>
      </c>
      <c r="L5830" s="200"/>
      <c r="M5830" s="200"/>
      <c r="N5830" s="200"/>
      <c r="O5830" s="200"/>
      <c r="P5830" s="200"/>
    </row>
    <row r="5831" spans="3:20" s="517" customFormat="1" ht="31.2" customHeight="1">
      <c r="C5831" s="207" t="s">
        <v>1208</v>
      </c>
      <c r="D5831" s="208"/>
      <c r="E5831" s="208"/>
      <c r="F5831" s="521"/>
      <c r="G5831" s="522"/>
      <c r="H5831" s="210">
        <f>SUM(H5828:H5830)</f>
        <v>11778</v>
      </c>
      <c r="L5831" s="523"/>
      <c r="M5831" s="523"/>
      <c r="N5831" s="523"/>
      <c r="O5831" s="523"/>
      <c r="P5831" s="523"/>
    </row>
    <row r="5832" spans="3:20" s="517" customFormat="1" ht="31.2" customHeight="1">
      <c r="C5832" s="543" t="s">
        <v>1209</v>
      </c>
      <c r="D5832" s="750" t="s">
        <v>1210</v>
      </c>
      <c r="E5832" s="197"/>
      <c r="F5832" s="751"/>
      <c r="G5832" s="197"/>
      <c r="H5832" s="752"/>
      <c r="L5832" s="200"/>
      <c r="M5832" s="200"/>
      <c r="N5832" s="200"/>
      <c r="O5832" s="200"/>
      <c r="P5832" s="200"/>
    </row>
    <row r="5833" spans="3:20" s="517" customFormat="1" ht="31.2" customHeight="1">
      <c r="C5833" s="543">
        <v>1</v>
      </c>
      <c r="D5833" s="750" t="s">
        <v>7503</v>
      </c>
      <c r="E5833" s="203" t="s">
        <v>44</v>
      </c>
      <c r="F5833" s="760">
        <v>9</v>
      </c>
      <c r="G5833" s="205">
        <f>VLOOKUP(D5833,upahbahan,3,FALSE)</f>
        <v>0</v>
      </c>
      <c r="H5833" s="210">
        <f t="shared" ref="H5833:H5838" si="430">F5833*G5833</f>
        <v>0</v>
      </c>
      <c r="L5833" s="200"/>
      <c r="M5833" s="200"/>
      <c r="N5833" s="200"/>
      <c r="O5833" s="200"/>
      <c r="P5833" s="200"/>
    </row>
    <row r="5834" spans="3:20" s="517" customFormat="1" ht="31.2" customHeight="1">
      <c r="C5834" s="543">
        <v>2</v>
      </c>
      <c r="D5834" s="750" t="s">
        <v>5563</v>
      </c>
      <c r="E5834" s="203" t="s">
        <v>65</v>
      </c>
      <c r="F5834" s="760">
        <v>0.01</v>
      </c>
      <c r="G5834" s="205">
        <f>VLOOKUP(D5834,upahbahan,3,FALSE)</f>
        <v>0</v>
      </c>
      <c r="H5834" s="210">
        <f t="shared" si="430"/>
        <v>0</v>
      </c>
      <c r="L5834" s="200"/>
      <c r="M5834" s="200"/>
      <c r="N5834" s="200"/>
      <c r="O5834" s="200"/>
      <c r="P5834" s="200"/>
    </row>
    <row r="5835" spans="3:20" s="517" customFormat="1" ht="31.2" customHeight="1">
      <c r="C5835" s="543">
        <v>3</v>
      </c>
      <c r="D5835" s="750" t="s">
        <v>5556</v>
      </c>
      <c r="E5835" s="203"/>
      <c r="F5835" s="753"/>
      <c r="G5835" s="197"/>
      <c r="H5835" s="210">
        <f t="shared" si="430"/>
        <v>0</v>
      </c>
      <c r="L5835" s="200"/>
      <c r="M5835" s="200"/>
      <c r="N5835" s="200"/>
      <c r="O5835" s="200"/>
      <c r="P5835" s="200"/>
    </row>
    <row r="5836" spans="3:20" s="517" customFormat="1" ht="31.2" customHeight="1">
      <c r="C5836" s="754" t="s">
        <v>5293</v>
      </c>
      <c r="D5836" s="750" t="s">
        <v>2084</v>
      </c>
      <c r="E5836" s="203" t="s">
        <v>42</v>
      </c>
      <c r="F5836" s="753">
        <v>0.02</v>
      </c>
      <c r="G5836" s="205">
        <f>VLOOKUP(D5836,upahbahan,3,FALSE)</f>
        <v>0</v>
      </c>
      <c r="H5836" s="210">
        <f t="shared" si="430"/>
        <v>0</v>
      </c>
      <c r="L5836" s="200"/>
      <c r="M5836" s="200"/>
      <c r="N5836" s="200"/>
      <c r="O5836" s="200"/>
      <c r="P5836" s="200"/>
    </row>
    <row r="5837" spans="3:20" s="517" customFormat="1" ht="31.2" customHeight="1">
      <c r="C5837" s="754" t="s">
        <v>5299</v>
      </c>
      <c r="D5837" s="750" t="s">
        <v>5566</v>
      </c>
      <c r="E5837" s="203" t="s">
        <v>42</v>
      </c>
      <c r="F5837" s="753">
        <v>5.0000000000000001E-3</v>
      </c>
      <c r="G5837" s="205">
        <f>VLOOKUP(D5837,upahbahan,3,FALSE)</f>
        <v>0</v>
      </c>
      <c r="H5837" s="210">
        <f t="shared" si="430"/>
        <v>0</v>
      </c>
      <c r="L5837" s="200"/>
      <c r="M5837" s="200"/>
      <c r="N5837" s="200"/>
      <c r="O5837" s="200"/>
      <c r="P5837" s="200"/>
    </row>
    <row r="5838" spans="3:20" s="517" customFormat="1" ht="31.2" customHeight="1">
      <c r="C5838" s="754" t="s">
        <v>5558</v>
      </c>
      <c r="D5838" s="750" t="s">
        <v>2325</v>
      </c>
      <c r="E5838" s="203" t="s">
        <v>42</v>
      </c>
      <c r="F5838" s="755">
        <v>1E-3</v>
      </c>
      <c r="G5838" s="205">
        <f>VLOOKUP(D5838,upahbahan,3,FALSE)</f>
        <v>0</v>
      </c>
      <c r="H5838" s="210">
        <f t="shared" si="430"/>
        <v>0</v>
      </c>
      <c r="L5838" s="200"/>
      <c r="M5838" s="200"/>
      <c r="N5838" s="200"/>
      <c r="O5838" s="200"/>
      <c r="P5838" s="200"/>
    </row>
    <row r="5839" spans="3:20" s="517" customFormat="1" ht="31.2" customHeight="1">
      <c r="C5839" s="207" t="s">
        <v>1214</v>
      </c>
      <c r="D5839" s="208"/>
      <c r="E5839" s="568"/>
      <c r="F5839" s="208"/>
      <c r="G5839" s="209"/>
      <c r="H5839" s="210">
        <f>SUM(H5833:H5838)</f>
        <v>0</v>
      </c>
      <c r="L5839" s="200"/>
      <c r="M5839" s="200"/>
      <c r="N5839" s="200"/>
      <c r="O5839" s="200"/>
      <c r="P5839" s="200"/>
    </row>
    <row r="5840" spans="3:20" s="517" customFormat="1" ht="31.2" customHeight="1">
      <c r="C5840" s="756" t="s">
        <v>1215</v>
      </c>
      <c r="D5840" s="196" t="s">
        <v>1216</v>
      </c>
      <c r="E5840" s="203"/>
      <c r="F5840" s="197"/>
      <c r="G5840" s="197"/>
      <c r="H5840" s="198"/>
      <c r="L5840" s="200"/>
      <c r="M5840" s="200"/>
      <c r="N5840" s="200"/>
      <c r="O5840" s="200"/>
      <c r="P5840" s="200"/>
    </row>
    <row r="5841" spans="3:20" s="517" customFormat="1" ht="31.2" customHeight="1">
      <c r="C5841" s="207" t="s">
        <v>1217</v>
      </c>
      <c r="D5841" s="208"/>
      <c r="E5841" s="208"/>
      <c r="F5841" s="208"/>
      <c r="G5841" s="209"/>
      <c r="H5841" s="240">
        <f>SUM(H5840)</f>
        <v>0</v>
      </c>
      <c r="L5841" s="200"/>
      <c r="M5841" s="200"/>
      <c r="N5841" s="200"/>
      <c r="O5841" s="200"/>
      <c r="P5841" s="200"/>
    </row>
    <row r="5842" spans="3:20" s="517" customFormat="1" ht="31.2" customHeight="1">
      <c r="C5842" s="223" t="s">
        <v>1218</v>
      </c>
      <c r="D5842" s="224" t="s">
        <v>1219</v>
      </c>
      <c r="E5842" s="225"/>
      <c r="F5842" s="225"/>
      <c r="G5842" s="226"/>
      <c r="H5842" s="210">
        <f>H5841+H5839+H5831</f>
        <v>11778</v>
      </c>
      <c r="L5842" s="200"/>
      <c r="M5842" s="200"/>
      <c r="N5842" s="200"/>
      <c r="O5842" s="200"/>
      <c r="P5842" s="200"/>
    </row>
    <row r="5843" spans="3:20" s="517" customFormat="1" ht="31.2" customHeight="1">
      <c r="C5843" s="223" t="s">
        <v>1220</v>
      </c>
      <c r="D5843" s="224" t="s">
        <v>1321</v>
      </c>
      <c r="E5843" s="225"/>
      <c r="F5843" s="226"/>
      <c r="G5843" s="228">
        <v>0.1</v>
      </c>
      <c r="H5843" s="210">
        <f>H5842*G5843</f>
        <v>1177.8</v>
      </c>
      <c r="L5843" s="200"/>
      <c r="M5843" s="200"/>
      <c r="N5843" s="200"/>
      <c r="O5843" s="200"/>
      <c r="P5843" s="200"/>
    </row>
    <row r="5844" spans="3:20" s="517" customFormat="1" ht="31.2" customHeight="1" thickBot="1">
      <c r="C5844" s="229" t="s">
        <v>1221</v>
      </c>
      <c r="D5844" s="230" t="s">
        <v>1222</v>
      </c>
      <c r="E5844" s="231"/>
      <c r="F5844" s="231"/>
      <c r="G5844" s="232"/>
      <c r="H5844" s="233">
        <f>SUM(H5842:H5843)</f>
        <v>12955.8</v>
      </c>
      <c r="L5844" s="200"/>
      <c r="M5844" s="200"/>
      <c r="N5844" s="200"/>
      <c r="O5844" s="200"/>
      <c r="P5844" s="200"/>
    </row>
    <row r="5845" spans="3:20" ht="31.2" customHeight="1" thickTop="1">
      <c r="D5845" s="758"/>
    </row>
    <row r="5846" spans="3:20" ht="31.2" customHeight="1">
      <c r="C5846" s="757" t="s">
        <v>6950</v>
      </c>
      <c r="F5846" s="758"/>
      <c r="H5846" s="758" t="s">
        <v>6959</v>
      </c>
    </row>
    <row r="5847" spans="3:20" ht="31.2" customHeight="1">
      <c r="C5847" s="200" t="s">
        <v>6951</v>
      </c>
      <c r="F5847" s="758"/>
    </row>
    <row r="5848" spans="3:20" ht="31.2" customHeight="1">
      <c r="C5848" s="200" t="s">
        <v>6952</v>
      </c>
      <c r="F5848" s="758"/>
    </row>
    <row r="5849" spans="3:20" ht="31.2" customHeight="1">
      <c r="C5849" s="200"/>
      <c r="F5849" s="758"/>
    </row>
    <row r="5850" spans="3:20" s="517" customFormat="1" ht="31.2" customHeight="1" thickBot="1">
      <c r="C5850" s="513" t="s">
        <v>7515</v>
      </c>
      <c r="D5850" s="748" t="s">
        <v>7504</v>
      </c>
      <c r="E5850" s="749"/>
      <c r="F5850" s="748"/>
      <c r="G5850" s="748"/>
      <c r="H5850" s="532"/>
      <c r="I5850" s="532"/>
      <c r="J5850" s="532"/>
      <c r="K5850" s="532"/>
      <c r="M5850" s="189"/>
      <c r="N5850" s="189"/>
      <c r="O5850" s="189"/>
      <c r="P5850" s="189"/>
      <c r="R5850" s="189">
        <f>ROUNDDOWN(H5869,-2)</f>
        <v>12900</v>
      </c>
      <c r="S5850" s="517" t="s">
        <v>6451</v>
      </c>
      <c r="T5850" s="517" t="s">
        <v>7014</v>
      </c>
    </row>
    <row r="5851" spans="3:20" s="517" customFormat="1" ht="31.2" customHeight="1" thickTop="1">
      <c r="C5851" s="190" t="s">
        <v>1195</v>
      </c>
      <c r="D5851" s="191" t="s">
        <v>1196</v>
      </c>
      <c r="E5851" s="191" t="s">
        <v>1197</v>
      </c>
      <c r="F5851" s="191" t="s">
        <v>1198</v>
      </c>
      <c r="G5851" s="191" t="s">
        <v>1199</v>
      </c>
      <c r="H5851" s="192" t="s">
        <v>1200</v>
      </c>
      <c r="L5851" s="200"/>
      <c r="M5851" s="200"/>
      <c r="N5851" s="200"/>
      <c r="O5851" s="200"/>
      <c r="P5851" s="200"/>
    </row>
    <row r="5852" spans="3:20" s="517" customFormat="1" ht="31.2" customHeight="1">
      <c r="C5852" s="518" t="s">
        <v>1201</v>
      </c>
      <c r="D5852" s="196" t="s">
        <v>1202</v>
      </c>
      <c r="E5852" s="197"/>
      <c r="F5852" s="197"/>
      <c r="G5852" s="197"/>
      <c r="H5852" s="198"/>
      <c r="L5852" s="200"/>
      <c r="M5852" s="200"/>
      <c r="N5852" s="200"/>
      <c r="O5852" s="200"/>
      <c r="P5852" s="200"/>
    </row>
    <row r="5853" spans="3:20" s="517" customFormat="1" ht="31.2" customHeight="1">
      <c r="C5853" s="537">
        <v>1</v>
      </c>
      <c r="D5853" s="196" t="s">
        <v>6954</v>
      </c>
      <c r="E5853" s="202" t="s">
        <v>6</v>
      </c>
      <c r="F5853" s="520">
        <v>0.05</v>
      </c>
      <c r="G5853" s="205">
        <f>VLOOKUP(D5853,upahbahan,3,FALSE)</f>
        <v>181250</v>
      </c>
      <c r="H5853" s="210">
        <f t="shared" ref="H5853:H5855" si="431">F5853*G5853</f>
        <v>9062.5</v>
      </c>
      <c r="L5853" s="200"/>
      <c r="M5853" s="200"/>
      <c r="N5853" s="200"/>
      <c r="O5853" s="200"/>
      <c r="P5853" s="200"/>
    </row>
    <row r="5854" spans="3:20" s="517" customFormat="1" ht="31.2" customHeight="1">
      <c r="C5854" s="537">
        <v>2</v>
      </c>
      <c r="D5854" s="196" t="s">
        <v>6948</v>
      </c>
      <c r="E5854" s="202" t="s">
        <v>2102</v>
      </c>
      <c r="F5854" s="520">
        <v>0.01</v>
      </c>
      <c r="G5854" s="205">
        <f>VLOOKUP(D5854,upahbahan,3,FALSE)</f>
        <v>218750</v>
      </c>
      <c r="H5854" s="210">
        <f t="shared" si="431"/>
        <v>2187.5</v>
      </c>
      <c r="L5854" s="200"/>
      <c r="M5854" s="200"/>
      <c r="N5854" s="200"/>
      <c r="O5854" s="200"/>
      <c r="P5854" s="200"/>
    </row>
    <row r="5855" spans="3:20" s="517" customFormat="1" ht="31.2" customHeight="1">
      <c r="C5855" s="537">
        <v>3</v>
      </c>
      <c r="D5855" s="196" t="s">
        <v>19</v>
      </c>
      <c r="E5855" s="202" t="s">
        <v>6</v>
      </c>
      <c r="F5855" s="520">
        <v>3.3E-3</v>
      </c>
      <c r="G5855" s="205">
        <f>VLOOKUP(D5855,upahbahan,3,FALSE)</f>
        <v>160000</v>
      </c>
      <c r="H5855" s="210">
        <f t="shared" si="431"/>
        <v>528</v>
      </c>
      <c r="L5855" s="200"/>
      <c r="M5855" s="200"/>
      <c r="N5855" s="200"/>
      <c r="O5855" s="200"/>
      <c r="P5855" s="200"/>
    </row>
    <row r="5856" spans="3:20" s="517" customFormat="1" ht="31.2" customHeight="1">
      <c r="C5856" s="207" t="s">
        <v>1208</v>
      </c>
      <c r="D5856" s="208"/>
      <c r="E5856" s="208"/>
      <c r="F5856" s="521"/>
      <c r="G5856" s="522"/>
      <c r="H5856" s="210">
        <f>SUM(H5853:H5855)</f>
        <v>11778</v>
      </c>
      <c r="L5856" s="523"/>
      <c r="M5856" s="523"/>
      <c r="N5856" s="523"/>
      <c r="O5856" s="523"/>
      <c r="P5856" s="523"/>
    </row>
    <row r="5857" spans="3:16" s="517" customFormat="1" ht="31.2" customHeight="1">
      <c r="C5857" s="543" t="s">
        <v>1209</v>
      </c>
      <c r="D5857" s="750" t="s">
        <v>1210</v>
      </c>
      <c r="E5857" s="197"/>
      <c r="F5857" s="751"/>
      <c r="G5857" s="197"/>
      <c r="H5857" s="752"/>
      <c r="L5857" s="200"/>
      <c r="M5857" s="200"/>
      <c r="N5857" s="200"/>
      <c r="O5857" s="200"/>
      <c r="P5857" s="200"/>
    </row>
    <row r="5858" spans="3:16" s="517" customFormat="1" ht="31.2" customHeight="1">
      <c r="C5858" s="543">
        <v>1</v>
      </c>
      <c r="D5858" s="750" t="s">
        <v>7505</v>
      </c>
      <c r="E5858" s="203" t="s">
        <v>44</v>
      </c>
      <c r="F5858" s="760">
        <v>9</v>
      </c>
      <c r="G5858" s="205">
        <f>VLOOKUP(D5858,upahbahan,3,FALSE)</f>
        <v>0</v>
      </c>
      <c r="H5858" s="210">
        <f t="shared" ref="H5858:H5863" si="432">F5858*G5858</f>
        <v>0</v>
      </c>
      <c r="L5858" s="200"/>
      <c r="M5858" s="200"/>
      <c r="N5858" s="200"/>
      <c r="O5858" s="200"/>
      <c r="P5858" s="200"/>
    </row>
    <row r="5859" spans="3:16" s="517" customFormat="1" ht="31.2" customHeight="1">
      <c r="C5859" s="543">
        <v>2</v>
      </c>
      <c r="D5859" s="750" t="s">
        <v>5563</v>
      </c>
      <c r="E5859" s="203" t="s">
        <v>65</v>
      </c>
      <c r="F5859" s="760">
        <v>0.01</v>
      </c>
      <c r="G5859" s="205">
        <f>VLOOKUP(D5859,upahbahan,3,FALSE)</f>
        <v>0</v>
      </c>
      <c r="H5859" s="210">
        <f t="shared" si="432"/>
        <v>0</v>
      </c>
      <c r="L5859" s="200"/>
      <c r="M5859" s="200"/>
      <c r="N5859" s="200"/>
      <c r="O5859" s="200"/>
      <c r="P5859" s="200"/>
    </row>
    <row r="5860" spans="3:16" s="517" customFormat="1" ht="31.2" customHeight="1">
      <c r="C5860" s="543">
        <v>3</v>
      </c>
      <c r="D5860" s="750" t="s">
        <v>5556</v>
      </c>
      <c r="E5860" s="203"/>
      <c r="F5860" s="753"/>
      <c r="G5860" s="197"/>
      <c r="H5860" s="210">
        <f t="shared" si="432"/>
        <v>0</v>
      </c>
      <c r="L5860" s="200"/>
      <c r="M5860" s="200"/>
      <c r="N5860" s="200"/>
      <c r="O5860" s="200"/>
      <c r="P5860" s="200"/>
    </row>
    <row r="5861" spans="3:16" s="517" customFormat="1" ht="31.2" customHeight="1">
      <c r="C5861" s="754" t="s">
        <v>5293</v>
      </c>
      <c r="D5861" s="750" t="s">
        <v>2084</v>
      </c>
      <c r="E5861" s="203" t="s">
        <v>42</v>
      </c>
      <c r="F5861" s="753">
        <v>0.02</v>
      </c>
      <c r="G5861" s="205">
        <f>VLOOKUP(D5861,upahbahan,3,FALSE)</f>
        <v>0</v>
      </c>
      <c r="H5861" s="210">
        <f t="shared" si="432"/>
        <v>0</v>
      </c>
      <c r="L5861" s="200"/>
      <c r="M5861" s="200"/>
      <c r="N5861" s="200"/>
      <c r="O5861" s="200"/>
      <c r="P5861" s="200"/>
    </row>
    <row r="5862" spans="3:16" s="517" customFormat="1" ht="31.2" customHeight="1">
      <c r="C5862" s="754" t="s">
        <v>5299</v>
      </c>
      <c r="D5862" s="750" t="s">
        <v>5566</v>
      </c>
      <c r="E5862" s="203" t="s">
        <v>42</v>
      </c>
      <c r="F5862" s="753">
        <v>5.0000000000000001E-3</v>
      </c>
      <c r="G5862" s="205">
        <f>VLOOKUP(D5862,upahbahan,3,FALSE)</f>
        <v>0</v>
      </c>
      <c r="H5862" s="210">
        <f t="shared" si="432"/>
        <v>0</v>
      </c>
      <c r="L5862" s="200"/>
      <c r="M5862" s="200"/>
      <c r="N5862" s="200"/>
      <c r="O5862" s="200"/>
      <c r="P5862" s="200"/>
    </row>
    <row r="5863" spans="3:16" s="517" customFormat="1" ht="31.2" customHeight="1">
      <c r="C5863" s="754" t="s">
        <v>5558</v>
      </c>
      <c r="D5863" s="750" t="s">
        <v>2325</v>
      </c>
      <c r="E5863" s="203" t="s">
        <v>42</v>
      </c>
      <c r="F5863" s="755">
        <v>1E-3</v>
      </c>
      <c r="G5863" s="205">
        <f>VLOOKUP(D5863,upahbahan,3,FALSE)</f>
        <v>0</v>
      </c>
      <c r="H5863" s="210">
        <f t="shared" si="432"/>
        <v>0</v>
      </c>
      <c r="L5863" s="200"/>
      <c r="M5863" s="200"/>
      <c r="N5863" s="200"/>
      <c r="O5863" s="200"/>
      <c r="P5863" s="200"/>
    </row>
    <row r="5864" spans="3:16" s="517" customFormat="1" ht="31.2" customHeight="1">
      <c r="C5864" s="207" t="s">
        <v>1214</v>
      </c>
      <c r="D5864" s="208"/>
      <c r="E5864" s="568"/>
      <c r="F5864" s="208"/>
      <c r="G5864" s="209"/>
      <c r="H5864" s="210">
        <f>SUM(H5858:H5863)</f>
        <v>0</v>
      </c>
      <c r="L5864" s="200"/>
      <c r="M5864" s="200"/>
      <c r="N5864" s="200"/>
      <c r="O5864" s="200"/>
      <c r="P5864" s="200"/>
    </row>
    <row r="5865" spans="3:16" s="517" customFormat="1" ht="31.2" customHeight="1">
      <c r="C5865" s="756" t="s">
        <v>1215</v>
      </c>
      <c r="D5865" s="196" t="s">
        <v>1216</v>
      </c>
      <c r="E5865" s="203"/>
      <c r="F5865" s="197"/>
      <c r="G5865" s="197"/>
      <c r="H5865" s="198"/>
      <c r="L5865" s="200"/>
      <c r="M5865" s="200"/>
      <c r="N5865" s="200"/>
      <c r="O5865" s="200"/>
      <c r="P5865" s="200"/>
    </row>
    <row r="5866" spans="3:16" s="517" customFormat="1" ht="31.2" customHeight="1">
      <c r="C5866" s="207" t="s">
        <v>1217</v>
      </c>
      <c r="D5866" s="208"/>
      <c r="E5866" s="208"/>
      <c r="F5866" s="208"/>
      <c r="G5866" s="209"/>
      <c r="H5866" s="240">
        <f>SUM(H5865)</f>
        <v>0</v>
      </c>
      <c r="L5866" s="200"/>
      <c r="M5866" s="200"/>
      <c r="N5866" s="200"/>
      <c r="O5866" s="200"/>
      <c r="P5866" s="200"/>
    </row>
    <row r="5867" spans="3:16" s="517" customFormat="1" ht="31.2" customHeight="1">
      <c r="C5867" s="223" t="s">
        <v>1218</v>
      </c>
      <c r="D5867" s="224" t="s">
        <v>1219</v>
      </c>
      <c r="E5867" s="225"/>
      <c r="F5867" s="225"/>
      <c r="G5867" s="226"/>
      <c r="H5867" s="210">
        <f>H5866+H5864+H5856</f>
        <v>11778</v>
      </c>
      <c r="L5867" s="200"/>
      <c r="M5867" s="200"/>
      <c r="N5867" s="200"/>
      <c r="O5867" s="200"/>
      <c r="P5867" s="200"/>
    </row>
    <row r="5868" spans="3:16" s="517" customFormat="1" ht="31.2" customHeight="1">
      <c r="C5868" s="223" t="s">
        <v>1220</v>
      </c>
      <c r="D5868" s="224" t="s">
        <v>1321</v>
      </c>
      <c r="E5868" s="225"/>
      <c r="F5868" s="226"/>
      <c r="G5868" s="228">
        <v>0.1</v>
      </c>
      <c r="H5868" s="210">
        <f>H5867*G5868</f>
        <v>1177.8</v>
      </c>
      <c r="L5868" s="200"/>
      <c r="M5868" s="200"/>
      <c r="N5868" s="200"/>
      <c r="O5868" s="200"/>
      <c r="P5868" s="200"/>
    </row>
    <row r="5869" spans="3:16" s="517" customFormat="1" ht="31.2" customHeight="1" thickBot="1">
      <c r="C5869" s="229" t="s">
        <v>1221</v>
      </c>
      <c r="D5869" s="230" t="s">
        <v>1222</v>
      </c>
      <c r="E5869" s="231"/>
      <c r="F5869" s="231"/>
      <c r="G5869" s="232"/>
      <c r="H5869" s="233">
        <f>SUM(H5867:H5868)</f>
        <v>12955.8</v>
      </c>
      <c r="L5869" s="200"/>
      <c r="M5869" s="200"/>
      <c r="N5869" s="200"/>
      <c r="O5869" s="200"/>
      <c r="P5869" s="200"/>
    </row>
    <row r="5870" spans="3:16" ht="31.2" customHeight="1" thickTop="1">
      <c r="D5870" s="758"/>
    </row>
    <row r="5871" spans="3:16" ht="31.2" customHeight="1">
      <c r="C5871" s="757" t="s">
        <v>6950</v>
      </c>
      <c r="F5871" s="758"/>
      <c r="H5871" s="758" t="s">
        <v>6959</v>
      </c>
    </row>
    <row r="5872" spans="3:16" ht="31.2" customHeight="1">
      <c r="C5872" s="200" t="s">
        <v>6951</v>
      </c>
      <c r="F5872" s="758"/>
    </row>
    <row r="5873" spans="3:20" ht="31.2" customHeight="1">
      <c r="C5873" s="200" t="s">
        <v>6952</v>
      </c>
      <c r="F5873" s="758"/>
    </row>
    <row r="5874" spans="3:20" ht="31.2" customHeight="1">
      <c r="C5874" s="200"/>
      <c r="F5874" s="758"/>
    </row>
    <row r="5875" spans="3:20" s="517" customFormat="1" ht="31.2" customHeight="1" thickBot="1">
      <c r="C5875" s="513" t="s">
        <v>7514</v>
      </c>
      <c r="D5875" s="748" t="s">
        <v>7506</v>
      </c>
      <c r="E5875" s="749"/>
      <c r="F5875" s="748"/>
      <c r="G5875" s="748"/>
      <c r="H5875" s="532"/>
      <c r="I5875" s="532"/>
      <c r="J5875" s="532"/>
      <c r="K5875" s="532"/>
      <c r="M5875" s="189"/>
      <c r="N5875" s="189"/>
      <c r="O5875" s="189"/>
      <c r="P5875" s="189"/>
      <c r="R5875" s="189">
        <f>ROUNDDOWN(H5894,-2)</f>
        <v>12900</v>
      </c>
      <c r="S5875" s="517" t="s">
        <v>6451</v>
      </c>
      <c r="T5875" s="517" t="s">
        <v>7014</v>
      </c>
    </row>
    <row r="5876" spans="3:20" s="517" customFormat="1" ht="31.2" customHeight="1" thickTop="1">
      <c r="C5876" s="190" t="s">
        <v>1195</v>
      </c>
      <c r="D5876" s="191" t="s">
        <v>1196</v>
      </c>
      <c r="E5876" s="191" t="s">
        <v>1197</v>
      </c>
      <c r="F5876" s="191" t="s">
        <v>1198</v>
      </c>
      <c r="G5876" s="191" t="s">
        <v>1199</v>
      </c>
      <c r="H5876" s="192" t="s">
        <v>1200</v>
      </c>
      <c r="L5876" s="200"/>
      <c r="M5876" s="200"/>
      <c r="N5876" s="200"/>
      <c r="O5876" s="200"/>
      <c r="P5876" s="200"/>
    </row>
    <row r="5877" spans="3:20" s="517" customFormat="1" ht="31.2" customHeight="1">
      <c r="C5877" s="518" t="s">
        <v>1201</v>
      </c>
      <c r="D5877" s="196" t="s">
        <v>1202</v>
      </c>
      <c r="E5877" s="197"/>
      <c r="F5877" s="197"/>
      <c r="G5877" s="197"/>
      <c r="H5877" s="198"/>
      <c r="L5877" s="200"/>
      <c r="M5877" s="200"/>
      <c r="N5877" s="200"/>
      <c r="O5877" s="200"/>
      <c r="P5877" s="200"/>
    </row>
    <row r="5878" spans="3:20" s="517" customFormat="1" ht="31.2" customHeight="1">
      <c r="C5878" s="537">
        <v>1</v>
      </c>
      <c r="D5878" s="196" t="s">
        <v>6954</v>
      </c>
      <c r="E5878" s="202" t="s">
        <v>6</v>
      </c>
      <c r="F5878" s="520">
        <v>0.05</v>
      </c>
      <c r="G5878" s="205">
        <f>VLOOKUP(D5878,upahbahan,3,FALSE)</f>
        <v>181250</v>
      </c>
      <c r="H5878" s="210">
        <f t="shared" ref="H5878:H5880" si="433">F5878*G5878</f>
        <v>9062.5</v>
      </c>
      <c r="L5878" s="200"/>
      <c r="M5878" s="200"/>
      <c r="N5878" s="200"/>
      <c r="O5878" s="200"/>
      <c r="P5878" s="200"/>
    </row>
    <row r="5879" spans="3:20" s="517" customFormat="1" ht="31.2" customHeight="1">
      <c r="C5879" s="537">
        <v>2</v>
      </c>
      <c r="D5879" s="196" t="s">
        <v>6948</v>
      </c>
      <c r="E5879" s="202" t="s">
        <v>2102</v>
      </c>
      <c r="F5879" s="520">
        <v>0.01</v>
      </c>
      <c r="G5879" s="205">
        <f>VLOOKUP(D5879,upahbahan,3,FALSE)</f>
        <v>218750</v>
      </c>
      <c r="H5879" s="210">
        <f t="shared" si="433"/>
        <v>2187.5</v>
      </c>
      <c r="L5879" s="200"/>
      <c r="M5879" s="200"/>
      <c r="N5879" s="200"/>
      <c r="O5879" s="200"/>
      <c r="P5879" s="200"/>
    </row>
    <row r="5880" spans="3:20" s="517" customFormat="1" ht="31.2" customHeight="1">
      <c r="C5880" s="537">
        <v>3</v>
      </c>
      <c r="D5880" s="196" t="s">
        <v>19</v>
      </c>
      <c r="E5880" s="202" t="s">
        <v>6</v>
      </c>
      <c r="F5880" s="520">
        <v>3.3E-3</v>
      </c>
      <c r="G5880" s="205">
        <f>VLOOKUP(D5880,upahbahan,3,FALSE)</f>
        <v>160000</v>
      </c>
      <c r="H5880" s="210">
        <f t="shared" si="433"/>
        <v>528</v>
      </c>
      <c r="L5880" s="200"/>
      <c r="M5880" s="200"/>
      <c r="N5880" s="200"/>
      <c r="O5880" s="200"/>
      <c r="P5880" s="200"/>
    </row>
    <row r="5881" spans="3:20" s="517" customFormat="1" ht="31.2" customHeight="1">
      <c r="C5881" s="207" t="s">
        <v>1208</v>
      </c>
      <c r="D5881" s="208"/>
      <c r="E5881" s="208"/>
      <c r="F5881" s="521"/>
      <c r="G5881" s="522"/>
      <c r="H5881" s="210">
        <f>SUM(H5878:H5880)</f>
        <v>11778</v>
      </c>
      <c r="L5881" s="523"/>
      <c r="M5881" s="523"/>
      <c r="N5881" s="523"/>
      <c r="O5881" s="523"/>
      <c r="P5881" s="523"/>
    </row>
    <row r="5882" spans="3:20" s="517" customFormat="1" ht="31.2" customHeight="1">
      <c r="C5882" s="543" t="s">
        <v>1209</v>
      </c>
      <c r="D5882" s="750" t="s">
        <v>1210</v>
      </c>
      <c r="E5882" s="197"/>
      <c r="F5882" s="751"/>
      <c r="G5882" s="197"/>
      <c r="H5882" s="752"/>
      <c r="L5882" s="200"/>
      <c r="M5882" s="200"/>
      <c r="N5882" s="200"/>
      <c r="O5882" s="200"/>
      <c r="P5882" s="200"/>
    </row>
    <row r="5883" spans="3:20" s="517" customFormat="1" ht="31.2" customHeight="1">
      <c r="C5883" s="543">
        <v>1</v>
      </c>
      <c r="D5883" s="750" t="s">
        <v>7507</v>
      </c>
      <c r="E5883" s="203" t="s">
        <v>44</v>
      </c>
      <c r="F5883" s="760">
        <v>9</v>
      </c>
      <c r="G5883" s="205">
        <f>VLOOKUP(D5883,upahbahan,3,FALSE)</f>
        <v>0</v>
      </c>
      <c r="H5883" s="210">
        <f t="shared" ref="H5883:H5888" si="434">F5883*G5883</f>
        <v>0</v>
      </c>
      <c r="L5883" s="200"/>
      <c r="M5883" s="200"/>
      <c r="N5883" s="200"/>
      <c r="O5883" s="200"/>
      <c r="P5883" s="200"/>
    </row>
    <row r="5884" spans="3:20" s="517" customFormat="1" ht="31.2" customHeight="1">
      <c r="C5884" s="543">
        <v>2</v>
      </c>
      <c r="D5884" s="750" t="s">
        <v>5563</v>
      </c>
      <c r="E5884" s="203" t="s">
        <v>65</v>
      </c>
      <c r="F5884" s="760">
        <v>0.01</v>
      </c>
      <c r="G5884" s="205">
        <f>VLOOKUP(D5884,upahbahan,3,FALSE)</f>
        <v>0</v>
      </c>
      <c r="H5884" s="210">
        <f t="shared" si="434"/>
        <v>0</v>
      </c>
      <c r="L5884" s="200"/>
      <c r="M5884" s="200"/>
      <c r="N5884" s="200"/>
      <c r="O5884" s="200"/>
      <c r="P5884" s="200"/>
    </row>
    <row r="5885" spans="3:20" s="517" customFormat="1" ht="31.2" customHeight="1">
      <c r="C5885" s="543">
        <v>3</v>
      </c>
      <c r="D5885" s="750" t="s">
        <v>5556</v>
      </c>
      <c r="E5885" s="203"/>
      <c r="F5885" s="753"/>
      <c r="G5885" s="197"/>
      <c r="H5885" s="210">
        <f t="shared" si="434"/>
        <v>0</v>
      </c>
      <c r="L5885" s="200"/>
      <c r="M5885" s="200"/>
      <c r="N5885" s="200"/>
      <c r="O5885" s="200"/>
      <c r="P5885" s="200"/>
    </row>
    <row r="5886" spans="3:20" s="517" customFormat="1" ht="31.2" customHeight="1">
      <c r="C5886" s="754" t="s">
        <v>5293</v>
      </c>
      <c r="D5886" s="750" t="s">
        <v>2084</v>
      </c>
      <c r="E5886" s="203" t="s">
        <v>42</v>
      </c>
      <c r="F5886" s="753">
        <v>0.02</v>
      </c>
      <c r="G5886" s="205">
        <f>VLOOKUP(D5886,upahbahan,3,FALSE)</f>
        <v>0</v>
      </c>
      <c r="H5886" s="210">
        <f t="shared" si="434"/>
        <v>0</v>
      </c>
      <c r="L5886" s="200"/>
      <c r="M5886" s="200"/>
      <c r="N5886" s="200"/>
      <c r="O5886" s="200"/>
      <c r="P5886" s="200"/>
    </row>
    <row r="5887" spans="3:20" s="517" customFormat="1" ht="31.2" customHeight="1">
      <c r="C5887" s="754" t="s">
        <v>5299</v>
      </c>
      <c r="D5887" s="750" t="s">
        <v>5566</v>
      </c>
      <c r="E5887" s="203" t="s">
        <v>42</v>
      </c>
      <c r="F5887" s="753">
        <v>5.0000000000000001E-3</v>
      </c>
      <c r="G5887" s="205">
        <f>VLOOKUP(D5887,upahbahan,3,FALSE)</f>
        <v>0</v>
      </c>
      <c r="H5887" s="210">
        <f t="shared" si="434"/>
        <v>0</v>
      </c>
      <c r="L5887" s="200"/>
      <c r="M5887" s="200"/>
      <c r="N5887" s="200"/>
      <c r="O5887" s="200"/>
      <c r="P5887" s="200"/>
    </row>
    <row r="5888" spans="3:20" s="517" customFormat="1" ht="31.2" customHeight="1">
      <c r="C5888" s="754" t="s">
        <v>5558</v>
      </c>
      <c r="D5888" s="750" t="s">
        <v>2325</v>
      </c>
      <c r="E5888" s="203" t="s">
        <v>42</v>
      </c>
      <c r="F5888" s="755">
        <v>1E-3</v>
      </c>
      <c r="G5888" s="205">
        <f>VLOOKUP(D5888,upahbahan,3,FALSE)</f>
        <v>0</v>
      </c>
      <c r="H5888" s="210">
        <f t="shared" si="434"/>
        <v>0</v>
      </c>
      <c r="L5888" s="200"/>
      <c r="M5888" s="200"/>
      <c r="N5888" s="200"/>
      <c r="O5888" s="200"/>
      <c r="P5888" s="200"/>
    </row>
    <row r="5889" spans="3:20" s="517" customFormat="1" ht="31.2" customHeight="1">
      <c r="C5889" s="207" t="s">
        <v>1214</v>
      </c>
      <c r="D5889" s="208"/>
      <c r="E5889" s="568"/>
      <c r="F5889" s="208"/>
      <c r="G5889" s="209"/>
      <c r="H5889" s="210">
        <f>SUM(H5883:H5888)</f>
        <v>0</v>
      </c>
      <c r="L5889" s="200"/>
      <c r="M5889" s="200"/>
      <c r="N5889" s="200"/>
      <c r="O5889" s="200"/>
      <c r="P5889" s="200"/>
    </row>
    <row r="5890" spans="3:20" s="517" customFormat="1" ht="31.2" customHeight="1">
      <c r="C5890" s="756" t="s">
        <v>1215</v>
      </c>
      <c r="D5890" s="196" t="s">
        <v>1216</v>
      </c>
      <c r="E5890" s="203"/>
      <c r="F5890" s="197"/>
      <c r="G5890" s="197"/>
      <c r="H5890" s="198"/>
      <c r="L5890" s="200"/>
      <c r="M5890" s="200"/>
      <c r="N5890" s="200"/>
      <c r="O5890" s="200"/>
      <c r="P5890" s="200"/>
    </row>
    <row r="5891" spans="3:20" s="517" customFormat="1" ht="31.2" customHeight="1">
      <c r="C5891" s="207" t="s">
        <v>1217</v>
      </c>
      <c r="D5891" s="208"/>
      <c r="E5891" s="208"/>
      <c r="F5891" s="208"/>
      <c r="G5891" s="209"/>
      <c r="H5891" s="240">
        <f>SUM(H5890)</f>
        <v>0</v>
      </c>
      <c r="L5891" s="200"/>
      <c r="M5891" s="200"/>
      <c r="N5891" s="200"/>
      <c r="O5891" s="200"/>
      <c r="P5891" s="200"/>
    </row>
    <row r="5892" spans="3:20" s="517" customFormat="1" ht="31.2" customHeight="1">
      <c r="C5892" s="223" t="s">
        <v>1218</v>
      </c>
      <c r="D5892" s="224" t="s">
        <v>1219</v>
      </c>
      <c r="E5892" s="225"/>
      <c r="F5892" s="225"/>
      <c r="G5892" s="226"/>
      <c r="H5892" s="210">
        <f>H5891+H5889+H5881</f>
        <v>11778</v>
      </c>
      <c r="L5892" s="200"/>
      <c r="M5892" s="200"/>
      <c r="N5892" s="200"/>
      <c r="O5892" s="200"/>
      <c r="P5892" s="200"/>
    </row>
    <row r="5893" spans="3:20" s="517" customFormat="1" ht="31.2" customHeight="1">
      <c r="C5893" s="223" t="s">
        <v>1220</v>
      </c>
      <c r="D5893" s="224" t="s">
        <v>1321</v>
      </c>
      <c r="E5893" s="225"/>
      <c r="F5893" s="226"/>
      <c r="G5893" s="228">
        <v>0.1</v>
      </c>
      <c r="H5893" s="210">
        <f>H5892*G5893</f>
        <v>1177.8</v>
      </c>
      <c r="L5893" s="200"/>
      <c r="M5893" s="200"/>
      <c r="N5893" s="200"/>
      <c r="O5893" s="200"/>
      <c r="P5893" s="200"/>
    </row>
    <row r="5894" spans="3:20" s="517" customFormat="1" ht="31.2" customHeight="1" thickBot="1">
      <c r="C5894" s="229" t="s">
        <v>1221</v>
      </c>
      <c r="D5894" s="230" t="s">
        <v>1222</v>
      </c>
      <c r="E5894" s="231"/>
      <c r="F5894" s="231"/>
      <c r="G5894" s="232"/>
      <c r="H5894" s="233">
        <f>SUM(H5892:H5893)</f>
        <v>12955.8</v>
      </c>
      <c r="L5894" s="200"/>
      <c r="M5894" s="200"/>
      <c r="N5894" s="200"/>
      <c r="O5894" s="200"/>
      <c r="P5894" s="200"/>
    </row>
    <row r="5895" spans="3:20" ht="31.2" customHeight="1" thickTop="1">
      <c r="D5895" s="758"/>
    </row>
    <row r="5896" spans="3:20" ht="31.2" customHeight="1">
      <c r="C5896" s="757" t="s">
        <v>6950</v>
      </c>
      <c r="F5896" s="758"/>
      <c r="H5896" s="758" t="s">
        <v>6959</v>
      </c>
    </row>
    <row r="5897" spans="3:20" ht="31.2" customHeight="1">
      <c r="C5897" s="200" t="s">
        <v>6951</v>
      </c>
      <c r="F5897" s="758"/>
    </row>
    <row r="5898" spans="3:20" ht="31.2" customHeight="1">
      <c r="C5898" s="200" t="s">
        <v>6952</v>
      </c>
      <c r="F5898" s="758"/>
    </row>
    <row r="5899" spans="3:20" ht="31.2" customHeight="1">
      <c r="C5899" s="200"/>
      <c r="F5899" s="758"/>
    </row>
    <row r="5900" spans="3:20" s="517" customFormat="1" ht="31.2" customHeight="1" thickBot="1">
      <c r="C5900" s="513" t="s">
        <v>7513</v>
      </c>
      <c r="D5900" s="748" t="s">
        <v>7508</v>
      </c>
      <c r="E5900" s="749"/>
      <c r="F5900" s="748"/>
      <c r="G5900" s="748"/>
      <c r="H5900" s="532"/>
      <c r="I5900" s="532"/>
      <c r="J5900" s="532"/>
      <c r="K5900" s="532"/>
      <c r="M5900" s="189"/>
      <c r="N5900" s="189"/>
      <c r="O5900" s="189"/>
      <c r="P5900" s="189"/>
      <c r="R5900" s="189">
        <f>ROUNDDOWN(H5919,-2)</f>
        <v>12900</v>
      </c>
      <c r="S5900" s="517" t="s">
        <v>6451</v>
      </c>
      <c r="T5900" s="517" t="s">
        <v>7014</v>
      </c>
    </row>
    <row r="5901" spans="3:20" s="517" customFormat="1" ht="31.2" customHeight="1" thickTop="1">
      <c r="C5901" s="190" t="s">
        <v>1195</v>
      </c>
      <c r="D5901" s="191" t="s">
        <v>1196</v>
      </c>
      <c r="E5901" s="191" t="s">
        <v>1197</v>
      </c>
      <c r="F5901" s="191" t="s">
        <v>1198</v>
      </c>
      <c r="G5901" s="191" t="s">
        <v>1199</v>
      </c>
      <c r="H5901" s="192" t="s">
        <v>1200</v>
      </c>
      <c r="L5901" s="200"/>
      <c r="M5901" s="200"/>
      <c r="N5901" s="200"/>
      <c r="O5901" s="200"/>
      <c r="P5901" s="200"/>
    </row>
    <row r="5902" spans="3:20" s="517" customFormat="1" ht="31.2" customHeight="1">
      <c r="C5902" s="518" t="s">
        <v>1201</v>
      </c>
      <c r="D5902" s="196" t="s">
        <v>1202</v>
      </c>
      <c r="E5902" s="197"/>
      <c r="F5902" s="197"/>
      <c r="G5902" s="197"/>
      <c r="H5902" s="198"/>
      <c r="L5902" s="200"/>
      <c r="M5902" s="200"/>
      <c r="N5902" s="200"/>
      <c r="O5902" s="200"/>
      <c r="P5902" s="200"/>
    </row>
    <row r="5903" spans="3:20" s="517" customFormat="1" ht="31.2" customHeight="1">
      <c r="C5903" s="537">
        <v>1</v>
      </c>
      <c r="D5903" s="196" t="s">
        <v>6954</v>
      </c>
      <c r="E5903" s="202" t="s">
        <v>6</v>
      </c>
      <c r="F5903" s="520">
        <v>0.05</v>
      </c>
      <c r="G5903" s="205">
        <f>VLOOKUP(D5903,upahbahan,3,FALSE)</f>
        <v>181250</v>
      </c>
      <c r="H5903" s="210">
        <f t="shared" ref="H5903:H5905" si="435">F5903*G5903</f>
        <v>9062.5</v>
      </c>
      <c r="L5903" s="200"/>
      <c r="M5903" s="200"/>
      <c r="N5903" s="200"/>
      <c r="O5903" s="200"/>
      <c r="P5903" s="200"/>
    </row>
    <row r="5904" spans="3:20" s="517" customFormat="1" ht="31.2" customHeight="1">
      <c r="C5904" s="537">
        <v>2</v>
      </c>
      <c r="D5904" s="196" t="s">
        <v>6948</v>
      </c>
      <c r="E5904" s="202" t="s">
        <v>2102</v>
      </c>
      <c r="F5904" s="520">
        <v>0.01</v>
      </c>
      <c r="G5904" s="205">
        <f>VLOOKUP(D5904,upahbahan,3,FALSE)</f>
        <v>218750</v>
      </c>
      <c r="H5904" s="210">
        <f t="shared" si="435"/>
        <v>2187.5</v>
      </c>
      <c r="L5904" s="200"/>
      <c r="M5904" s="200"/>
      <c r="N5904" s="200"/>
      <c r="O5904" s="200"/>
      <c r="P5904" s="200"/>
    </row>
    <row r="5905" spans="3:16" s="517" customFormat="1" ht="31.2" customHeight="1">
      <c r="C5905" s="537">
        <v>3</v>
      </c>
      <c r="D5905" s="196" t="s">
        <v>19</v>
      </c>
      <c r="E5905" s="202" t="s">
        <v>6</v>
      </c>
      <c r="F5905" s="520">
        <v>3.3E-3</v>
      </c>
      <c r="G5905" s="205">
        <f>VLOOKUP(D5905,upahbahan,3,FALSE)</f>
        <v>160000</v>
      </c>
      <c r="H5905" s="210">
        <f t="shared" si="435"/>
        <v>528</v>
      </c>
      <c r="L5905" s="200"/>
      <c r="M5905" s="200"/>
      <c r="N5905" s="200"/>
      <c r="O5905" s="200"/>
      <c r="P5905" s="200"/>
    </row>
    <row r="5906" spans="3:16" s="517" customFormat="1" ht="31.2" customHeight="1">
      <c r="C5906" s="207" t="s">
        <v>1208</v>
      </c>
      <c r="D5906" s="208"/>
      <c r="E5906" s="208"/>
      <c r="F5906" s="521"/>
      <c r="G5906" s="522"/>
      <c r="H5906" s="210">
        <f>SUM(H5903:H5905)</f>
        <v>11778</v>
      </c>
      <c r="L5906" s="523"/>
      <c r="M5906" s="523"/>
      <c r="N5906" s="523"/>
      <c r="O5906" s="523"/>
      <c r="P5906" s="523"/>
    </row>
    <row r="5907" spans="3:16" s="517" customFormat="1" ht="31.2" customHeight="1">
      <c r="C5907" s="543" t="s">
        <v>1209</v>
      </c>
      <c r="D5907" s="750" t="s">
        <v>1210</v>
      </c>
      <c r="E5907" s="197"/>
      <c r="F5907" s="751"/>
      <c r="G5907" s="197"/>
      <c r="H5907" s="752"/>
      <c r="L5907" s="200"/>
      <c r="M5907" s="200"/>
      <c r="N5907" s="200"/>
      <c r="O5907" s="200"/>
      <c r="P5907" s="200"/>
    </row>
    <row r="5908" spans="3:16" s="517" customFormat="1" ht="31.2" customHeight="1">
      <c r="C5908" s="543">
        <v>1</v>
      </c>
      <c r="D5908" s="750" t="s">
        <v>7509</v>
      </c>
      <c r="E5908" s="203" t="s">
        <v>44</v>
      </c>
      <c r="F5908" s="760">
        <v>9</v>
      </c>
      <c r="G5908" s="205">
        <f>VLOOKUP(D5908,upahbahan,3,FALSE)</f>
        <v>0</v>
      </c>
      <c r="H5908" s="210">
        <f t="shared" ref="H5908:H5913" si="436">F5908*G5908</f>
        <v>0</v>
      </c>
      <c r="L5908" s="200"/>
      <c r="M5908" s="200"/>
      <c r="N5908" s="200"/>
      <c r="O5908" s="200"/>
      <c r="P5908" s="200"/>
    </row>
    <row r="5909" spans="3:16" s="517" customFormat="1" ht="31.2" customHeight="1">
      <c r="C5909" s="543">
        <v>2</v>
      </c>
      <c r="D5909" s="750" t="s">
        <v>5563</v>
      </c>
      <c r="E5909" s="203" t="s">
        <v>65</v>
      </c>
      <c r="F5909" s="760">
        <v>0.01</v>
      </c>
      <c r="G5909" s="205">
        <f>VLOOKUP(D5909,upahbahan,3,FALSE)</f>
        <v>0</v>
      </c>
      <c r="H5909" s="210">
        <f t="shared" si="436"/>
        <v>0</v>
      </c>
      <c r="L5909" s="200"/>
      <c r="M5909" s="200"/>
      <c r="N5909" s="200"/>
      <c r="O5909" s="200"/>
      <c r="P5909" s="200"/>
    </row>
    <row r="5910" spans="3:16" s="517" customFormat="1" ht="31.2" customHeight="1">
      <c r="C5910" s="543">
        <v>3</v>
      </c>
      <c r="D5910" s="750" t="s">
        <v>5556</v>
      </c>
      <c r="E5910" s="203"/>
      <c r="F5910" s="753"/>
      <c r="G5910" s="197"/>
      <c r="H5910" s="210">
        <f t="shared" si="436"/>
        <v>0</v>
      </c>
      <c r="L5910" s="200"/>
      <c r="M5910" s="200"/>
      <c r="N5910" s="200"/>
      <c r="O5910" s="200"/>
      <c r="P5910" s="200"/>
    </row>
    <row r="5911" spans="3:16" s="517" customFormat="1" ht="31.2" customHeight="1">
      <c r="C5911" s="754" t="s">
        <v>5293</v>
      </c>
      <c r="D5911" s="750" t="s">
        <v>2084</v>
      </c>
      <c r="E5911" s="203" t="s">
        <v>42</v>
      </c>
      <c r="F5911" s="753">
        <v>0.02</v>
      </c>
      <c r="G5911" s="205">
        <f>VLOOKUP(D5911,upahbahan,3,FALSE)</f>
        <v>0</v>
      </c>
      <c r="H5911" s="210">
        <f t="shared" si="436"/>
        <v>0</v>
      </c>
      <c r="L5911" s="200"/>
      <c r="M5911" s="200"/>
      <c r="N5911" s="200"/>
      <c r="O5911" s="200"/>
      <c r="P5911" s="200"/>
    </row>
    <row r="5912" spans="3:16" s="517" customFormat="1" ht="31.2" customHeight="1">
      <c r="C5912" s="754" t="s">
        <v>5299</v>
      </c>
      <c r="D5912" s="750" t="s">
        <v>5566</v>
      </c>
      <c r="E5912" s="203" t="s">
        <v>42</v>
      </c>
      <c r="F5912" s="753">
        <v>5.0000000000000001E-3</v>
      </c>
      <c r="G5912" s="205">
        <f>VLOOKUP(D5912,upahbahan,3,FALSE)</f>
        <v>0</v>
      </c>
      <c r="H5912" s="210">
        <f t="shared" si="436"/>
        <v>0</v>
      </c>
      <c r="L5912" s="200"/>
      <c r="M5912" s="200"/>
      <c r="N5912" s="200"/>
      <c r="O5912" s="200"/>
      <c r="P5912" s="200"/>
    </row>
    <row r="5913" spans="3:16" s="517" customFormat="1" ht="31.2" customHeight="1">
      <c r="C5913" s="754" t="s">
        <v>5558</v>
      </c>
      <c r="D5913" s="750" t="s">
        <v>2325</v>
      </c>
      <c r="E5913" s="203" t="s">
        <v>42</v>
      </c>
      <c r="F5913" s="755">
        <v>1E-3</v>
      </c>
      <c r="G5913" s="205">
        <f>VLOOKUP(D5913,upahbahan,3,FALSE)</f>
        <v>0</v>
      </c>
      <c r="H5913" s="210">
        <f t="shared" si="436"/>
        <v>0</v>
      </c>
      <c r="L5913" s="200"/>
      <c r="M5913" s="200"/>
      <c r="N5913" s="200"/>
      <c r="O5913" s="200"/>
      <c r="P5913" s="200"/>
    </row>
    <row r="5914" spans="3:16" s="517" customFormat="1" ht="31.2" customHeight="1">
      <c r="C5914" s="207" t="s">
        <v>1214</v>
      </c>
      <c r="D5914" s="208"/>
      <c r="E5914" s="568"/>
      <c r="F5914" s="208"/>
      <c r="G5914" s="209"/>
      <c r="H5914" s="210">
        <f>SUM(H5908:H5913)</f>
        <v>0</v>
      </c>
      <c r="L5914" s="200"/>
      <c r="M5914" s="200"/>
      <c r="N5914" s="200"/>
      <c r="O5914" s="200"/>
      <c r="P5914" s="200"/>
    </row>
    <row r="5915" spans="3:16" s="517" customFormat="1" ht="31.2" customHeight="1">
      <c r="C5915" s="756" t="s">
        <v>1215</v>
      </c>
      <c r="D5915" s="196" t="s">
        <v>1216</v>
      </c>
      <c r="E5915" s="203"/>
      <c r="F5915" s="197"/>
      <c r="G5915" s="197"/>
      <c r="H5915" s="198"/>
      <c r="L5915" s="200"/>
      <c r="M5915" s="200"/>
      <c r="N5915" s="200"/>
      <c r="O5915" s="200"/>
      <c r="P5915" s="200"/>
    </row>
    <row r="5916" spans="3:16" s="517" customFormat="1" ht="31.2" customHeight="1">
      <c r="C5916" s="207" t="s">
        <v>1217</v>
      </c>
      <c r="D5916" s="208"/>
      <c r="E5916" s="208"/>
      <c r="F5916" s="208"/>
      <c r="G5916" s="209"/>
      <c r="H5916" s="240">
        <f>SUM(H5915)</f>
        <v>0</v>
      </c>
      <c r="L5916" s="200"/>
      <c r="M5916" s="200"/>
      <c r="N5916" s="200"/>
      <c r="O5916" s="200"/>
      <c r="P5916" s="200"/>
    </row>
    <row r="5917" spans="3:16" s="517" customFormat="1" ht="31.2" customHeight="1">
      <c r="C5917" s="223" t="s">
        <v>1218</v>
      </c>
      <c r="D5917" s="224" t="s">
        <v>1219</v>
      </c>
      <c r="E5917" s="225"/>
      <c r="F5917" s="225"/>
      <c r="G5917" s="226"/>
      <c r="H5917" s="210">
        <f>H5916+H5914+H5906</f>
        <v>11778</v>
      </c>
      <c r="L5917" s="200"/>
      <c r="M5917" s="200"/>
      <c r="N5917" s="200"/>
      <c r="O5917" s="200"/>
      <c r="P5917" s="200"/>
    </row>
    <row r="5918" spans="3:16" s="517" customFormat="1" ht="31.2" customHeight="1">
      <c r="C5918" s="223" t="s">
        <v>1220</v>
      </c>
      <c r="D5918" s="224" t="s">
        <v>1321</v>
      </c>
      <c r="E5918" s="225"/>
      <c r="F5918" s="226"/>
      <c r="G5918" s="228">
        <v>0.1</v>
      </c>
      <c r="H5918" s="210">
        <f>H5917*G5918</f>
        <v>1177.8</v>
      </c>
      <c r="L5918" s="200"/>
      <c r="M5918" s="200"/>
      <c r="N5918" s="200"/>
      <c r="O5918" s="200"/>
      <c r="P5918" s="200"/>
    </row>
    <row r="5919" spans="3:16" s="517" customFormat="1" ht="31.2" customHeight="1" thickBot="1">
      <c r="C5919" s="229" t="s">
        <v>1221</v>
      </c>
      <c r="D5919" s="230" t="s">
        <v>1222</v>
      </c>
      <c r="E5919" s="231"/>
      <c r="F5919" s="231"/>
      <c r="G5919" s="232"/>
      <c r="H5919" s="233">
        <f>SUM(H5917:H5918)</f>
        <v>12955.8</v>
      </c>
      <c r="L5919" s="200"/>
      <c r="M5919" s="200"/>
      <c r="N5919" s="200"/>
      <c r="O5919" s="200"/>
      <c r="P5919" s="200"/>
    </row>
    <row r="5920" spans="3:16" ht="31.2" customHeight="1" thickTop="1">
      <c r="D5920" s="758"/>
    </row>
    <row r="5921" spans="3:20" ht="31.2" customHeight="1">
      <c r="C5921" s="757" t="s">
        <v>6950</v>
      </c>
      <c r="F5921" s="758"/>
      <c r="H5921" s="758" t="s">
        <v>6959</v>
      </c>
    </row>
    <row r="5922" spans="3:20" ht="31.2" customHeight="1">
      <c r="C5922" s="200" t="s">
        <v>6951</v>
      </c>
      <c r="F5922" s="758"/>
    </row>
    <row r="5923" spans="3:20" ht="31.2" customHeight="1">
      <c r="C5923" s="200" t="s">
        <v>6952</v>
      </c>
      <c r="F5923" s="758"/>
    </row>
    <row r="5924" spans="3:20" ht="31.2" customHeight="1">
      <c r="C5924" s="200"/>
      <c r="F5924" s="758"/>
    </row>
    <row r="5925" spans="3:20" s="517" customFormat="1" ht="31.2" customHeight="1" thickBot="1">
      <c r="C5925" s="513" t="s">
        <v>7511</v>
      </c>
      <c r="D5925" s="748" t="s">
        <v>7510</v>
      </c>
      <c r="E5925" s="749"/>
      <c r="F5925" s="748"/>
      <c r="G5925" s="748"/>
      <c r="H5925" s="532"/>
      <c r="I5925" s="532"/>
      <c r="J5925" s="532"/>
      <c r="K5925" s="532"/>
      <c r="M5925" s="189"/>
      <c r="N5925" s="189"/>
      <c r="O5925" s="189"/>
      <c r="P5925" s="189"/>
      <c r="R5925" s="189">
        <f>ROUNDDOWN(H5944,-2)</f>
        <v>12900</v>
      </c>
      <c r="S5925" s="517" t="s">
        <v>6451</v>
      </c>
      <c r="T5925" s="517" t="s">
        <v>7014</v>
      </c>
    </row>
    <row r="5926" spans="3:20" s="517" customFormat="1" ht="31.2" customHeight="1" thickTop="1">
      <c r="C5926" s="190" t="s">
        <v>1195</v>
      </c>
      <c r="D5926" s="191" t="s">
        <v>1196</v>
      </c>
      <c r="E5926" s="191" t="s">
        <v>1197</v>
      </c>
      <c r="F5926" s="191" t="s">
        <v>1198</v>
      </c>
      <c r="G5926" s="191" t="s">
        <v>1199</v>
      </c>
      <c r="H5926" s="192" t="s">
        <v>1200</v>
      </c>
      <c r="L5926" s="200"/>
      <c r="M5926" s="200"/>
      <c r="N5926" s="200"/>
      <c r="O5926" s="200"/>
      <c r="P5926" s="200"/>
    </row>
    <row r="5927" spans="3:20" s="517" customFormat="1" ht="31.2" customHeight="1">
      <c r="C5927" s="518" t="s">
        <v>1201</v>
      </c>
      <c r="D5927" s="196" t="s">
        <v>1202</v>
      </c>
      <c r="E5927" s="197"/>
      <c r="F5927" s="197"/>
      <c r="G5927" s="197"/>
      <c r="H5927" s="198"/>
      <c r="L5927" s="200"/>
      <c r="M5927" s="200"/>
      <c r="N5927" s="200"/>
      <c r="O5927" s="200"/>
      <c r="P5927" s="200"/>
    </row>
    <row r="5928" spans="3:20" s="517" customFormat="1" ht="31.2" customHeight="1">
      <c r="C5928" s="537">
        <v>1</v>
      </c>
      <c r="D5928" s="196" t="s">
        <v>6954</v>
      </c>
      <c r="E5928" s="202" t="s">
        <v>6</v>
      </c>
      <c r="F5928" s="520">
        <v>0.05</v>
      </c>
      <c r="G5928" s="205">
        <f>VLOOKUP(D5928,upahbahan,3,FALSE)</f>
        <v>181250</v>
      </c>
      <c r="H5928" s="210">
        <f t="shared" ref="H5928:H5930" si="437">F5928*G5928</f>
        <v>9062.5</v>
      </c>
      <c r="L5928" s="200"/>
      <c r="M5928" s="200"/>
      <c r="N5928" s="200"/>
      <c r="O5928" s="200"/>
      <c r="P5928" s="200"/>
    </row>
    <row r="5929" spans="3:20" s="517" customFormat="1" ht="31.2" customHeight="1">
      <c r="C5929" s="537">
        <v>2</v>
      </c>
      <c r="D5929" s="196" t="s">
        <v>6948</v>
      </c>
      <c r="E5929" s="202" t="s">
        <v>2102</v>
      </c>
      <c r="F5929" s="520">
        <v>0.01</v>
      </c>
      <c r="G5929" s="205">
        <f>VLOOKUP(D5929,upahbahan,3,FALSE)</f>
        <v>218750</v>
      </c>
      <c r="H5929" s="210">
        <f t="shared" si="437"/>
        <v>2187.5</v>
      </c>
      <c r="L5929" s="200"/>
      <c r="M5929" s="200"/>
      <c r="N5929" s="200"/>
      <c r="O5929" s="200"/>
      <c r="P5929" s="200"/>
    </row>
    <row r="5930" spans="3:20" s="517" customFormat="1" ht="31.2" customHeight="1">
      <c r="C5930" s="537">
        <v>3</v>
      </c>
      <c r="D5930" s="196" t="s">
        <v>19</v>
      </c>
      <c r="E5930" s="202" t="s">
        <v>6</v>
      </c>
      <c r="F5930" s="520">
        <v>3.3E-3</v>
      </c>
      <c r="G5930" s="205">
        <f>VLOOKUP(D5930,upahbahan,3,FALSE)</f>
        <v>160000</v>
      </c>
      <c r="H5930" s="210">
        <f t="shared" si="437"/>
        <v>528</v>
      </c>
      <c r="L5930" s="200"/>
      <c r="M5930" s="200"/>
      <c r="N5930" s="200"/>
      <c r="O5930" s="200"/>
      <c r="P5930" s="200"/>
    </row>
    <row r="5931" spans="3:20" s="517" customFormat="1" ht="31.2" customHeight="1">
      <c r="C5931" s="207" t="s">
        <v>1208</v>
      </c>
      <c r="D5931" s="208"/>
      <c r="E5931" s="208"/>
      <c r="F5931" s="521"/>
      <c r="G5931" s="522"/>
      <c r="H5931" s="210">
        <f>SUM(H5928:H5930)</f>
        <v>11778</v>
      </c>
      <c r="L5931" s="523"/>
      <c r="M5931" s="523"/>
      <c r="N5931" s="523"/>
      <c r="O5931" s="523"/>
      <c r="P5931" s="523"/>
    </row>
    <row r="5932" spans="3:20" s="517" customFormat="1" ht="31.2" customHeight="1">
      <c r="C5932" s="543" t="s">
        <v>1209</v>
      </c>
      <c r="D5932" s="750" t="s">
        <v>1210</v>
      </c>
      <c r="E5932" s="197"/>
      <c r="F5932" s="751"/>
      <c r="G5932" s="197"/>
      <c r="H5932" s="752"/>
      <c r="L5932" s="200"/>
      <c r="M5932" s="200"/>
      <c r="N5932" s="200"/>
      <c r="O5932" s="200"/>
      <c r="P5932" s="200"/>
    </row>
    <row r="5933" spans="3:20" s="517" customFormat="1" ht="31.2" customHeight="1">
      <c r="C5933" s="543">
        <v>1</v>
      </c>
      <c r="D5933" s="750" t="s">
        <v>7512</v>
      </c>
      <c r="E5933" s="203" t="s">
        <v>44</v>
      </c>
      <c r="F5933" s="760">
        <v>9</v>
      </c>
      <c r="G5933" s="205">
        <f>VLOOKUP(D5933,upahbahan,3,FALSE)</f>
        <v>0</v>
      </c>
      <c r="H5933" s="210">
        <f t="shared" ref="H5933:H5938" si="438">F5933*G5933</f>
        <v>0</v>
      </c>
      <c r="L5933" s="200"/>
      <c r="M5933" s="200"/>
      <c r="N5933" s="200"/>
      <c r="O5933" s="200"/>
      <c r="P5933" s="200"/>
    </row>
    <row r="5934" spans="3:20" s="517" customFormat="1" ht="31.2" customHeight="1">
      <c r="C5934" s="543">
        <v>2</v>
      </c>
      <c r="D5934" s="750" t="s">
        <v>5563</v>
      </c>
      <c r="E5934" s="203" t="s">
        <v>65</v>
      </c>
      <c r="F5934" s="760">
        <v>0.01</v>
      </c>
      <c r="G5934" s="205">
        <f>VLOOKUP(D5934,upahbahan,3,FALSE)</f>
        <v>0</v>
      </c>
      <c r="H5934" s="210">
        <f t="shared" si="438"/>
        <v>0</v>
      </c>
      <c r="L5934" s="200"/>
      <c r="M5934" s="200"/>
      <c r="N5934" s="200"/>
      <c r="O5934" s="200"/>
      <c r="P5934" s="200"/>
    </row>
    <row r="5935" spans="3:20" s="517" customFormat="1" ht="31.2" customHeight="1">
      <c r="C5935" s="543">
        <v>3</v>
      </c>
      <c r="D5935" s="750" t="s">
        <v>5556</v>
      </c>
      <c r="E5935" s="203"/>
      <c r="F5935" s="753"/>
      <c r="G5935" s="197"/>
      <c r="H5935" s="210">
        <f t="shared" si="438"/>
        <v>0</v>
      </c>
      <c r="L5935" s="200"/>
      <c r="M5935" s="200"/>
      <c r="N5935" s="200"/>
      <c r="O5935" s="200"/>
      <c r="P5935" s="200"/>
    </row>
    <row r="5936" spans="3:20" s="517" customFormat="1" ht="31.2" customHeight="1">
      <c r="C5936" s="754" t="s">
        <v>5293</v>
      </c>
      <c r="D5936" s="750" t="s">
        <v>2084</v>
      </c>
      <c r="E5936" s="203" t="s">
        <v>42</v>
      </c>
      <c r="F5936" s="753">
        <v>0.02</v>
      </c>
      <c r="G5936" s="205">
        <f>VLOOKUP(D5936,upahbahan,3,FALSE)</f>
        <v>0</v>
      </c>
      <c r="H5936" s="210">
        <f t="shared" si="438"/>
        <v>0</v>
      </c>
      <c r="L5936" s="200"/>
      <c r="M5936" s="200"/>
      <c r="N5936" s="200"/>
      <c r="O5936" s="200"/>
      <c r="P5936" s="200"/>
    </row>
    <row r="5937" spans="3:20" s="517" customFormat="1" ht="31.2" customHeight="1">
      <c r="C5937" s="754" t="s">
        <v>5299</v>
      </c>
      <c r="D5937" s="750" t="s">
        <v>5566</v>
      </c>
      <c r="E5937" s="203" t="s">
        <v>42</v>
      </c>
      <c r="F5937" s="753">
        <v>5.0000000000000001E-3</v>
      </c>
      <c r="G5937" s="205">
        <f>VLOOKUP(D5937,upahbahan,3,FALSE)</f>
        <v>0</v>
      </c>
      <c r="H5937" s="210">
        <f t="shared" si="438"/>
        <v>0</v>
      </c>
      <c r="L5937" s="200"/>
      <c r="M5937" s="200"/>
      <c r="N5937" s="200"/>
      <c r="O5937" s="200"/>
      <c r="P5937" s="200"/>
    </row>
    <row r="5938" spans="3:20" s="517" customFormat="1" ht="31.2" customHeight="1">
      <c r="C5938" s="754" t="s">
        <v>5558</v>
      </c>
      <c r="D5938" s="750" t="s">
        <v>2325</v>
      </c>
      <c r="E5938" s="203" t="s">
        <v>42</v>
      </c>
      <c r="F5938" s="755">
        <v>1E-3</v>
      </c>
      <c r="G5938" s="205">
        <f>VLOOKUP(D5938,upahbahan,3,FALSE)</f>
        <v>0</v>
      </c>
      <c r="H5938" s="210">
        <f t="shared" si="438"/>
        <v>0</v>
      </c>
      <c r="L5938" s="200"/>
      <c r="M5938" s="200"/>
      <c r="N5938" s="200"/>
      <c r="O5938" s="200"/>
      <c r="P5938" s="200"/>
    </row>
    <row r="5939" spans="3:20" s="517" customFormat="1" ht="31.2" customHeight="1">
      <c r="C5939" s="207" t="s">
        <v>1214</v>
      </c>
      <c r="D5939" s="208"/>
      <c r="E5939" s="568"/>
      <c r="F5939" s="208"/>
      <c r="G5939" s="209"/>
      <c r="H5939" s="210">
        <f>SUM(H5933:H5938)</f>
        <v>0</v>
      </c>
      <c r="L5939" s="200"/>
      <c r="M5939" s="200"/>
      <c r="N5939" s="200"/>
      <c r="O5939" s="200"/>
      <c r="P5939" s="200"/>
    </row>
    <row r="5940" spans="3:20" s="517" customFormat="1" ht="31.2" customHeight="1">
      <c r="C5940" s="756" t="s">
        <v>1215</v>
      </c>
      <c r="D5940" s="196" t="s">
        <v>1216</v>
      </c>
      <c r="E5940" s="203"/>
      <c r="F5940" s="197"/>
      <c r="G5940" s="197"/>
      <c r="H5940" s="198"/>
      <c r="L5940" s="200"/>
      <c r="M5940" s="200"/>
      <c r="N5940" s="200"/>
      <c r="O5940" s="200"/>
      <c r="P5940" s="200"/>
    </row>
    <row r="5941" spans="3:20" s="517" customFormat="1" ht="31.2" customHeight="1">
      <c r="C5941" s="207" t="s">
        <v>1217</v>
      </c>
      <c r="D5941" s="208"/>
      <c r="E5941" s="208"/>
      <c r="F5941" s="208"/>
      <c r="G5941" s="209"/>
      <c r="H5941" s="240">
        <f>SUM(H5940)</f>
        <v>0</v>
      </c>
      <c r="L5941" s="200"/>
      <c r="M5941" s="200"/>
      <c r="N5941" s="200"/>
      <c r="O5941" s="200"/>
      <c r="P5941" s="200"/>
    </row>
    <row r="5942" spans="3:20" s="517" customFormat="1" ht="31.2" customHeight="1">
      <c r="C5942" s="223" t="s">
        <v>1218</v>
      </c>
      <c r="D5942" s="224" t="s">
        <v>1219</v>
      </c>
      <c r="E5942" s="225"/>
      <c r="F5942" s="225"/>
      <c r="G5942" s="226"/>
      <c r="H5942" s="210">
        <f>H5941+H5939+H5931</f>
        <v>11778</v>
      </c>
      <c r="L5942" s="200"/>
      <c r="M5942" s="200"/>
      <c r="N5942" s="200"/>
      <c r="O5942" s="200"/>
      <c r="P5942" s="200"/>
    </row>
    <row r="5943" spans="3:20" s="517" customFormat="1" ht="31.2" customHeight="1">
      <c r="C5943" s="223" t="s">
        <v>1220</v>
      </c>
      <c r="D5943" s="224" t="s">
        <v>1321</v>
      </c>
      <c r="E5943" s="225"/>
      <c r="F5943" s="226"/>
      <c r="G5943" s="228">
        <v>0.1</v>
      </c>
      <c r="H5943" s="210">
        <f>H5942*G5943</f>
        <v>1177.8</v>
      </c>
      <c r="L5943" s="200"/>
      <c r="M5943" s="200"/>
      <c r="N5943" s="200"/>
      <c r="O5943" s="200"/>
      <c r="P5943" s="200"/>
    </row>
    <row r="5944" spans="3:20" s="517" customFormat="1" ht="31.2" customHeight="1" thickBot="1">
      <c r="C5944" s="229" t="s">
        <v>1221</v>
      </c>
      <c r="D5944" s="230" t="s">
        <v>1222</v>
      </c>
      <c r="E5944" s="231"/>
      <c r="F5944" s="231"/>
      <c r="G5944" s="232"/>
      <c r="H5944" s="233">
        <f>SUM(H5942:H5943)</f>
        <v>12955.8</v>
      </c>
      <c r="L5944" s="200"/>
      <c r="M5944" s="200"/>
      <c r="N5944" s="200"/>
      <c r="O5944" s="200"/>
      <c r="P5944" s="200"/>
    </row>
    <row r="5945" spans="3:20" ht="31.2" customHeight="1" thickTop="1">
      <c r="D5945" s="758"/>
    </row>
    <row r="5946" spans="3:20" ht="31.2" customHeight="1">
      <c r="C5946" s="757" t="s">
        <v>6950</v>
      </c>
      <c r="F5946" s="758"/>
      <c r="H5946" s="758" t="s">
        <v>6959</v>
      </c>
    </row>
    <row r="5947" spans="3:20" ht="31.2" customHeight="1">
      <c r="C5947" s="200" t="s">
        <v>6951</v>
      </c>
      <c r="F5947" s="758"/>
    </row>
    <row r="5948" spans="3:20" ht="31.2" customHeight="1">
      <c r="C5948" s="200" t="s">
        <v>6952</v>
      </c>
      <c r="F5948" s="758"/>
    </row>
    <row r="5949" spans="3:20" ht="31.2" customHeight="1">
      <c r="C5949" s="200"/>
      <c r="F5949" s="758"/>
    </row>
    <row r="5950" spans="3:20" s="517" customFormat="1" ht="31.2" customHeight="1" thickBot="1">
      <c r="C5950" s="513" t="s">
        <v>7524</v>
      </c>
      <c r="D5950" s="748" t="s">
        <v>7525</v>
      </c>
      <c r="E5950" s="749"/>
      <c r="F5950" s="748"/>
      <c r="G5950" s="748"/>
      <c r="H5950" s="532"/>
      <c r="I5950" s="532"/>
      <c r="J5950" s="532"/>
      <c r="K5950" s="532"/>
      <c r="M5950" s="189"/>
      <c r="N5950" s="189"/>
      <c r="O5950" s="189"/>
      <c r="P5950" s="189"/>
      <c r="R5950" s="189">
        <f>ROUNDDOWN(H5969,-2)</f>
        <v>12900</v>
      </c>
      <c r="S5950" s="517" t="s">
        <v>6451</v>
      </c>
      <c r="T5950" s="517" t="s">
        <v>7014</v>
      </c>
    </row>
    <row r="5951" spans="3:20" s="517" customFormat="1" ht="31.2" customHeight="1" thickTop="1">
      <c r="C5951" s="190" t="s">
        <v>1195</v>
      </c>
      <c r="D5951" s="191" t="s">
        <v>1196</v>
      </c>
      <c r="E5951" s="191" t="s">
        <v>1197</v>
      </c>
      <c r="F5951" s="191" t="s">
        <v>1198</v>
      </c>
      <c r="G5951" s="191" t="s">
        <v>1199</v>
      </c>
      <c r="H5951" s="192" t="s">
        <v>1200</v>
      </c>
      <c r="L5951" s="200"/>
      <c r="M5951" s="200"/>
      <c r="N5951" s="200"/>
      <c r="O5951" s="200"/>
      <c r="P5951" s="200"/>
    </row>
    <row r="5952" spans="3:20" s="517" customFormat="1" ht="31.2" customHeight="1">
      <c r="C5952" s="518" t="s">
        <v>1201</v>
      </c>
      <c r="D5952" s="196" t="s">
        <v>1202</v>
      </c>
      <c r="E5952" s="197"/>
      <c r="F5952" s="197"/>
      <c r="G5952" s="197"/>
      <c r="H5952" s="198"/>
      <c r="L5952" s="200"/>
      <c r="M5952" s="200"/>
      <c r="N5952" s="200"/>
      <c r="O5952" s="200"/>
      <c r="P5952" s="200"/>
    </row>
    <row r="5953" spans="3:16" s="517" customFormat="1" ht="31.2" customHeight="1">
      <c r="C5953" s="537">
        <v>1</v>
      </c>
      <c r="D5953" s="196" t="s">
        <v>6954</v>
      </c>
      <c r="E5953" s="202" t="s">
        <v>6</v>
      </c>
      <c r="F5953" s="520">
        <v>0.05</v>
      </c>
      <c r="G5953" s="205">
        <f>VLOOKUP(D5953,upahbahan,3,FALSE)</f>
        <v>181250</v>
      </c>
      <c r="H5953" s="210">
        <f t="shared" ref="H5953:H5955" si="439">F5953*G5953</f>
        <v>9062.5</v>
      </c>
      <c r="L5953" s="200"/>
      <c r="M5953" s="200"/>
      <c r="N5953" s="200"/>
      <c r="O5953" s="200"/>
      <c r="P5953" s="200"/>
    </row>
    <row r="5954" spans="3:16" s="517" customFormat="1" ht="31.2" customHeight="1">
      <c r="C5954" s="537">
        <v>2</v>
      </c>
      <c r="D5954" s="196" t="s">
        <v>6948</v>
      </c>
      <c r="E5954" s="202" t="s">
        <v>2102</v>
      </c>
      <c r="F5954" s="520">
        <v>0.01</v>
      </c>
      <c r="G5954" s="205">
        <f>VLOOKUP(D5954,upahbahan,3,FALSE)</f>
        <v>218750</v>
      </c>
      <c r="H5954" s="210">
        <f t="shared" si="439"/>
        <v>2187.5</v>
      </c>
      <c r="L5954" s="200"/>
      <c r="M5954" s="200"/>
      <c r="N5954" s="200"/>
      <c r="O5954" s="200"/>
      <c r="P5954" s="200"/>
    </row>
    <row r="5955" spans="3:16" s="517" customFormat="1" ht="31.2" customHeight="1">
      <c r="C5955" s="537">
        <v>3</v>
      </c>
      <c r="D5955" s="196" t="s">
        <v>19</v>
      </c>
      <c r="E5955" s="202" t="s">
        <v>6</v>
      </c>
      <c r="F5955" s="520">
        <v>3.3E-3</v>
      </c>
      <c r="G5955" s="205">
        <f>VLOOKUP(D5955,upahbahan,3,FALSE)</f>
        <v>160000</v>
      </c>
      <c r="H5955" s="210">
        <f t="shared" si="439"/>
        <v>528</v>
      </c>
      <c r="L5955" s="200"/>
      <c r="M5955" s="200"/>
      <c r="N5955" s="200"/>
      <c r="O5955" s="200"/>
      <c r="P5955" s="200"/>
    </row>
    <row r="5956" spans="3:16" s="517" customFormat="1" ht="31.2" customHeight="1">
      <c r="C5956" s="207" t="s">
        <v>1208</v>
      </c>
      <c r="D5956" s="208"/>
      <c r="E5956" s="208"/>
      <c r="F5956" s="521"/>
      <c r="G5956" s="522"/>
      <c r="H5956" s="210">
        <f>SUM(H5953:H5955)</f>
        <v>11778</v>
      </c>
      <c r="L5956" s="523"/>
      <c r="M5956" s="523"/>
      <c r="N5956" s="523"/>
      <c r="O5956" s="523"/>
      <c r="P5956" s="523"/>
    </row>
    <row r="5957" spans="3:16" s="517" customFormat="1" ht="31.2" customHeight="1">
      <c r="C5957" s="543" t="s">
        <v>1209</v>
      </c>
      <c r="D5957" s="750" t="s">
        <v>1210</v>
      </c>
      <c r="E5957" s="197"/>
      <c r="F5957" s="751"/>
      <c r="G5957" s="197"/>
      <c r="H5957" s="752"/>
      <c r="L5957" s="200"/>
      <c r="M5957" s="200"/>
      <c r="N5957" s="200"/>
      <c r="O5957" s="200"/>
      <c r="P5957" s="200"/>
    </row>
    <row r="5958" spans="3:16" s="517" customFormat="1" ht="31.2" customHeight="1">
      <c r="C5958" s="543">
        <v>1</v>
      </c>
      <c r="D5958" s="750" t="s">
        <v>7526</v>
      </c>
      <c r="E5958" s="203" t="s">
        <v>44</v>
      </c>
      <c r="F5958" s="760">
        <v>9</v>
      </c>
      <c r="G5958" s="205">
        <f>VLOOKUP(D5958,upahbahan,3,FALSE)</f>
        <v>0</v>
      </c>
      <c r="H5958" s="210">
        <f t="shared" ref="H5958:H5963" si="440">F5958*G5958</f>
        <v>0</v>
      </c>
      <c r="L5958" s="200"/>
      <c r="M5958" s="200"/>
      <c r="N5958" s="200"/>
      <c r="O5958" s="200"/>
      <c r="P5958" s="200"/>
    </row>
    <row r="5959" spans="3:16" s="517" customFormat="1" ht="31.2" customHeight="1">
      <c r="C5959" s="543">
        <v>2</v>
      </c>
      <c r="D5959" s="750" t="s">
        <v>5563</v>
      </c>
      <c r="E5959" s="203" t="s">
        <v>65</v>
      </c>
      <c r="F5959" s="760">
        <v>0.01</v>
      </c>
      <c r="G5959" s="205">
        <f>VLOOKUP(D5959,upahbahan,3,FALSE)</f>
        <v>0</v>
      </c>
      <c r="H5959" s="210">
        <f t="shared" si="440"/>
        <v>0</v>
      </c>
      <c r="L5959" s="200"/>
      <c r="M5959" s="200"/>
      <c r="N5959" s="200"/>
      <c r="O5959" s="200"/>
      <c r="P5959" s="200"/>
    </row>
    <row r="5960" spans="3:16" s="517" customFormat="1" ht="31.2" customHeight="1">
      <c r="C5960" s="543">
        <v>3</v>
      </c>
      <c r="D5960" s="750" t="s">
        <v>5556</v>
      </c>
      <c r="E5960" s="203"/>
      <c r="F5960" s="753"/>
      <c r="G5960" s="197"/>
      <c r="H5960" s="210">
        <f t="shared" si="440"/>
        <v>0</v>
      </c>
      <c r="L5960" s="200"/>
      <c r="M5960" s="200"/>
      <c r="N5960" s="200"/>
      <c r="O5960" s="200"/>
      <c r="P5960" s="200"/>
    </row>
    <row r="5961" spans="3:16" s="517" customFormat="1" ht="31.2" customHeight="1">
      <c r="C5961" s="754" t="s">
        <v>5293</v>
      </c>
      <c r="D5961" s="750" t="s">
        <v>2084</v>
      </c>
      <c r="E5961" s="203" t="s">
        <v>42</v>
      </c>
      <c r="F5961" s="753">
        <v>0.02</v>
      </c>
      <c r="G5961" s="205">
        <f>VLOOKUP(D5961,upahbahan,3,FALSE)</f>
        <v>0</v>
      </c>
      <c r="H5961" s="210">
        <f t="shared" si="440"/>
        <v>0</v>
      </c>
      <c r="L5961" s="200"/>
      <c r="M5961" s="200"/>
      <c r="N5961" s="200"/>
      <c r="O5961" s="200"/>
      <c r="P5961" s="200"/>
    </row>
    <row r="5962" spans="3:16" s="517" customFormat="1" ht="31.2" customHeight="1">
      <c r="C5962" s="754" t="s">
        <v>5299</v>
      </c>
      <c r="D5962" s="750" t="s">
        <v>5566</v>
      </c>
      <c r="E5962" s="203" t="s">
        <v>42</v>
      </c>
      <c r="F5962" s="753">
        <v>5.0000000000000001E-3</v>
      </c>
      <c r="G5962" s="205">
        <f>VLOOKUP(D5962,upahbahan,3,FALSE)</f>
        <v>0</v>
      </c>
      <c r="H5962" s="210">
        <f t="shared" si="440"/>
        <v>0</v>
      </c>
      <c r="L5962" s="200"/>
      <c r="M5962" s="200"/>
      <c r="N5962" s="200"/>
      <c r="O5962" s="200"/>
      <c r="P5962" s="200"/>
    </row>
    <row r="5963" spans="3:16" s="517" customFormat="1" ht="31.2" customHeight="1">
      <c r="C5963" s="754" t="s">
        <v>5558</v>
      </c>
      <c r="D5963" s="750" t="s">
        <v>2325</v>
      </c>
      <c r="E5963" s="203" t="s">
        <v>42</v>
      </c>
      <c r="F5963" s="755">
        <v>1E-3</v>
      </c>
      <c r="G5963" s="205">
        <f>VLOOKUP(D5963,upahbahan,3,FALSE)</f>
        <v>0</v>
      </c>
      <c r="H5963" s="210">
        <f t="shared" si="440"/>
        <v>0</v>
      </c>
      <c r="L5963" s="200"/>
      <c r="M5963" s="200"/>
      <c r="N5963" s="200"/>
      <c r="O5963" s="200"/>
      <c r="P5963" s="200"/>
    </row>
    <row r="5964" spans="3:16" s="517" customFormat="1" ht="31.2" customHeight="1">
      <c r="C5964" s="207" t="s">
        <v>1214</v>
      </c>
      <c r="D5964" s="208"/>
      <c r="E5964" s="568"/>
      <c r="F5964" s="208"/>
      <c r="G5964" s="209"/>
      <c r="H5964" s="210">
        <f>SUM(H5958:H5963)</f>
        <v>0</v>
      </c>
      <c r="L5964" s="200"/>
      <c r="M5964" s="200"/>
      <c r="N5964" s="200"/>
      <c r="O5964" s="200"/>
      <c r="P5964" s="200"/>
    </row>
    <row r="5965" spans="3:16" s="517" customFormat="1" ht="31.2" customHeight="1">
      <c r="C5965" s="756" t="s">
        <v>1215</v>
      </c>
      <c r="D5965" s="196" t="s">
        <v>1216</v>
      </c>
      <c r="E5965" s="203"/>
      <c r="F5965" s="197"/>
      <c r="G5965" s="197"/>
      <c r="H5965" s="198"/>
      <c r="L5965" s="200"/>
      <c r="M5965" s="200"/>
      <c r="N5965" s="200"/>
      <c r="O5965" s="200"/>
      <c r="P5965" s="200"/>
    </row>
    <row r="5966" spans="3:16" s="517" customFormat="1" ht="31.2" customHeight="1">
      <c r="C5966" s="207" t="s">
        <v>1217</v>
      </c>
      <c r="D5966" s="208"/>
      <c r="E5966" s="208"/>
      <c r="F5966" s="208"/>
      <c r="G5966" s="209"/>
      <c r="H5966" s="240">
        <f>SUM(H5965)</f>
        <v>0</v>
      </c>
      <c r="L5966" s="200"/>
      <c r="M5966" s="200"/>
      <c r="N5966" s="200"/>
      <c r="O5966" s="200"/>
      <c r="P5966" s="200"/>
    </row>
    <row r="5967" spans="3:16" s="517" customFormat="1" ht="31.2" customHeight="1">
      <c r="C5967" s="223" t="s">
        <v>1218</v>
      </c>
      <c r="D5967" s="224" t="s">
        <v>1219</v>
      </c>
      <c r="E5967" s="225"/>
      <c r="F5967" s="225"/>
      <c r="G5967" s="226"/>
      <c r="H5967" s="210">
        <f>H5966+H5964+H5956</f>
        <v>11778</v>
      </c>
      <c r="L5967" s="200"/>
      <c r="M5967" s="200"/>
      <c r="N5967" s="200"/>
      <c r="O5967" s="200"/>
      <c r="P5967" s="200"/>
    </row>
    <row r="5968" spans="3:16" s="517" customFormat="1" ht="31.2" customHeight="1">
      <c r="C5968" s="223" t="s">
        <v>1220</v>
      </c>
      <c r="D5968" s="224" t="s">
        <v>1321</v>
      </c>
      <c r="E5968" s="225"/>
      <c r="F5968" s="226"/>
      <c r="G5968" s="228">
        <v>0.1</v>
      </c>
      <c r="H5968" s="210">
        <f>H5967*G5968</f>
        <v>1177.8</v>
      </c>
      <c r="L5968" s="200"/>
      <c r="M5968" s="200"/>
      <c r="N5968" s="200"/>
      <c r="O5968" s="200"/>
      <c r="P5968" s="200"/>
    </row>
    <row r="5969" spans="3:20" s="517" customFormat="1" ht="31.2" customHeight="1" thickBot="1">
      <c r="C5969" s="229" t="s">
        <v>1221</v>
      </c>
      <c r="D5969" s="230" t="s">
        <v>1222</v>
      </c>
      <c r="E5969" s="231"/>
      <c r="F5969" s="231"/>
      <c r="G5969" s="232"/>
      <c r="H5969" s="233">
        <f>SUM(H5967:H5968)</f>
        <v>12955.8</v>
      </c>
      <c r="L5969" s="200"/>
      <c r="M5969" s="200"/>
      <c r="N5969" s="200"/>
      <c r="O5969" s="200"/>
      <c r="P5969" s="200"/>
    </row>
    <row r="5970" spans="3:20" ht="31.2" customHeight="1" thickTop="1">
      <c r="D5970" s="758"/>
    </row>
    <row r="5971" spans="3:20" ht="31.2" customHeight="1">
      <c r="C5971" s="757" t="s">
        <v>6950</v>
      </c>
      <c r="F5971" s="758"/>
      <c r="H5971" s="758" t="s">
        <v>6959</v>
      </c>
    </row>
    <row r="5972" spans="3:20" ht="31.2" customHeight="1">
      <c r="C5972" s="200" t="s">
        <v>6951</v>
      </c>
      <c r="F5972" s="758"/>
    </row>
    <row r="5973" spans="3:20" ht="31.2" customHeight="1">
      <c r="C5973" s="200" t="s">
        <v>6952</v>
      </c>
      <c r="F5973" s="758"/>
    </row>
    <row r="5974" spans="3:20" ht="31.2" customHeight="1">
      <c r="C5974" s="200"/>
      <c r="F5974" s="758"/>
    </row>
    <row r="5975" spans="3:20" s="517" customFormat="1" ht="31.2" customHeight="1" thickBot="1">
      <c r="C5975" s="513" t="s">
        <v>7527</v>
      </c>
      <c r="D5975" s="748" t="s">
        <v>7528</v>
      </c>
      <c r="E5975" s="749"/>
      <c r="F5975" s="748"/>
      <c r="G5975" s="748"/>
      <c r="H5975" s="532"/>
      <c r="I5975" s="532"/>
      <c r="J5975" s="532"/>
      <c r="K5975" s="532"/>
      <c r="M5975" s="189"/>
      <c r="N5975" s="189"/>
      <c r="O5975" s="189"/>
      <c r="P5975" s="189"/>
      <c r="R5975" s="189">
        <f>ROUNDDOWN(H5994,-2)</f>
        <v>12900</v>
      </c>
      <c r="S5975" s="517" t="s">
        <v>6451</v>
      </c>
      <c r="T5975" s="517" t="s">
        <v>7014</v>
      </c>
    </row>
    <row r="5976" spans="3:20" s="517" customFormat="1" ht="31.2" customHeight="1" thickTop="1">
      <c r="C5976" s="190" t="s">
        <v>1195</v>
      </c>
      <c r="D5976" s="191" t="s">
        <v>1196</v>
      </c>
      <c r="E5976" s="191" t="s">
        <v>1197</v>
      </c>
      <c r="F5976" s="191" t="s">
        <v>1198</v>
      </c>
      <c r="G5976" s="191" t="s">
        <v>1199</v>
      </c>
      <c r="H5976" s="192" t="s">
        <v>1200</v>
      </c>
      <c r="L5976" s="200"/>
      <c r="M5976" s="200"/>
      <c r="N5976" s="200"/>
      <c r="O5976" s="200"/>
      <c r="P5976" s="200"/>
    </row>
    <row r="5977" spans="3:20" s="517" customFormat="1" ht="31.2" customHeight="1">
      <c r="C5977" s="518" t="s">
        <v>1201</v>
      </c>
      <c r="D5977" s="196" t="s">
        <v>1202</v>
      </c>
      <c r="E5977" s="197"/>
      <c r="F5977" s="197"/>
      <c r="G5977" s="197"/>
      <c r="H5977" s="198"/>
      <c r="L5977" s="200"/>
      <c r="M5977" s="200"/>
      <c r="N5977" s="200"/>
      <c r="O5977" s="200"/>
      <c r="P5977" s="200"/>
    </row>
    <row r="5978" spans="3:20" s="517" customFormat="1" ht="31.2" customHeight="1">
      <c r="C5978" s="537">
        <v>1</v>
      </c>
      <c r="D5978" s="196" t="s">
        <v>6954</v>
      </c>
      <c r="E5978" s="202" t="s">
        <v>6</v>
      </c>
      <c r="F5978" s="520">
        <v>0.05</v>
      </c>
      <c r="G5978" s="205">
        <f>VLOOKUP(D5978,upahbahan,3,FALSE)</f>
        <v>181250</v>
      </c>
      <c r="H5978" s="210">
        <f t="shared" ref="H5978:H5980" si="441">F5978*G5978</f>
        <v>9062.5</v>
      </c>
      <c r="L5978" s="200"/>
      <c r="M5978" s="200"/>
      <c r="N5978" s="200"/>
      <c r="O5978" s="200"/>
      <c r="P5978" s="200"/>
    </row>
    <row r="5979" spans="3:20" s="517" customFormat="1" ht="31.2" customHeight="1">
      <c r="C5979" s="537">
        <v>2</v>
      </c>
      <c r="D5979" s="196" t="s">
        <v>6948</v>
      </c>
      <c r="E5979" s="202" t="s">
        <v>2102</v>
      </c>
      <c r="F5979" s="520">
        <v>0.01</v>
      </c>
      <c r="G5979" s="205">
        <f>VLOOKUP(D5979,upahbahan,3,FALSE)</f>
        <v>218750</v>
      </c>
      <c r="H5979" s="210">
        <f t="shared" si="441"/>
        <v>2187.5</v>
      </c>
      <c r="L5979" s="200"/>
      <c r="M5979" s="200"/>
      <c r="N5979" s="200"/>
      <c r="O5979" s="200"/>
      <c r="P5979" s="200"/>
    </row>
    <row r="5980" spans="3:20" s="517" customFormat="1" ht="31.2" customHeight="1">
      <c r="C5980" s="537">
        <v>3</v>
      </c>
      <c r="D5980" s="196" t="s">
        <v>19</v>
      </c>
      <c r="E5980" s="202" t="s">
        <v>6</v>
      </c>
      <c r="F5980" s="520">
        <v>3.3E-3</v>
      </c>
      <c r="G5980" s="205">
        <f>VLOOKUP(D5980,upahbahan,3,FALSE)</f>
        <v>160000</v>
      </c>
      <c r="H5980" s="210">
        <f t="shared" si="441"/>
        <v>528</v>
      </c>
      <c r="L5980" s="200"/>
      <c r="M5980" s="200"/>
      <c r="N5980" s="200"/>
      <c r="O5980" s="200"/>
      <c r="P5980" s="200"/>
    </row>
    <row r="5981" spans="3:20" s="517" customFormat="1" ht="31.2" customHeight="1">
      <c r="C5981" s="207" t="s">
        <v>1208</v>
      </c>
      <c r="D5981" s="208"/>
      <c r="E5981" s="208"/>
      <c r="F5981" s="521"/>
      <c r="G5981" s="522"/>
      <c r="H5981" s="210">
        <f>SUM(H5978:H5980)</f>
        <v>11778</v>
      </c>
      <c r="L5981" s="523"/>
      <c r="M5981" s="523"/>
      <c r="N5981" s="523"/>
      <c r="O5981" s="523"/>
      <c r="P5981" s="523"/>
    </row>
    <row r="5982" spans="3:20" s="517" customFormat="1" ht="31.2" customHeight="1">
      <c r="C5982" s="543" t="s">
        <v>1209</v>
      </c>
      <c r="D5982" s="750" t="s">
        <v>1210</v>
      </c>
      <c r="E5982" s="197"/>
      <c r="F5982" s="751"/>
      <c r="G5982" s="197"/>
      <c r="H5982" s="752"/>
      <c r="L5982" s="200"/>
      <c r="M5982" s="200"/>
      <c r="N5982" s="200"/>
      <c r="O5982" s="200"/>
      <c r="P5982" s="200"/>
    </row>
    <row r="5983" spans="3:20" s="517" customFormat="1" ht="31.2" customHeight="1">
      <c r="C5983" s="543">
        <v>1</v>
      </c>
      <c r="D5983" s="750" t="s">
        <v>7529</v>
      </c>
      <c r="E5983" s="203" t="s">
        <v>44</v>
      </c>
      <c r="F5983" s="760">
        <v>9</v>
      </c>
      <c r="G5983" s="205">
        <f>VLOOKUP(D5983,upahbahan,3,FALSE)</f>
        <v>0</v>
      </c>
      <c r="H5983" s="210">
        <f t="shared" ref="H5983:H5988" si="442">F5983*G5983</f>
        <v>0</v>
      </c>
      <c r="L5983" s="200"/>
      <c r="M5983" s="200"/>
      <c r="N5983" s="200"/>
      <c r="O5983" s="200"/>
      <c r="P5983" s="200"/>
    </row>
    <row r="5984" spans="3:20" s="517" customFormat="1" ht="31.2" customHeight="1">
      <c r="C5984" s="543">
        <v>2</v>
      </c>
      <c r="D5984" s="750" t="s">
        <v>5563</v>
      </c>
      <c r="E5984" s="203" t="s">
        <v>65</v>
      </c>
      <c r="F5984" s="760">
        <v>0.01</v>
      </c>
      <c r="G5984" s="205">
        <f>VLOOKUP(D5984,upahbahan,3,FALSE)</f>
        <v>0</v>
      </c>
      <c r="H5984" s="210">
        <f t="shared" si="442"/>
        <v>0</v>
      </c>
      <c r="L5984" s="200"/>
      <c r="M5984" s="200"/>
      <c r="N5984" s="200"/>
      <c r="O5984" s="200"/>
      <c r="P5984" s="200"/>
    </row>
    <row r="5985" spans="3:20" s="517" customFormat="1" ht="31.2" customHeight="1">
      <c r="C5985" s="543">
        <v>3</v>
      </c>
      <c r="D5985" s="750" t="s">
        <v>5556</v>
      </c>
      <c r="E5985" s="203"/>
      <c r="F5985" s="753"/>
      <c r="G5985" s="197"/>
      <c r="H5985" s="210">
        <f t="shared" si="442"/>
        <v>0</v>
      </c>
      <c r="L5985" s="200"/>
      <c r="M5985" s="200"/>
      <c r="N5985" s="200"/>
      <c r="O5985" s="200"/>
      <c r="P5985" s="200"/>
    </row>
    <row r="5986" spans="3:20" s="517" customFormat="1" ht="31.2" customHeight="1">
      <c r="C5986" s="754" t="s">
        <v>5293</v>
      </c>
      <c r="D5986" s="750" t="s">
        <v>2084</v>
      </c>
      <c r="E5986" s="203" t="s">
        <v>42</v>
      </c>
      <c r="F5986" s="753">
        <v>0.02</v>
      </c>
      <c r="G5986" s="205">
        <f>VLOOKUP(D5986,upahbahan,3,FALSE)</f>
        <v>0</v>
      </c>
      <c r="H5986" s="210">
        <f t="shared" si="442"/>
        <v>0</v>
      </c>
      <c r="L5986" s="200"/>
      <c r="M5986" s="200"/>
      <c r="N5986" s="200"/>
      <c r="O5986" s="200"/>
      <c r="P5986" s="200"/>
    </row>
    <row r="5987" spans="3:20" s="517" customFormat="1" ht="31.2" customHeight="1">
      <c r="C5987" s="754" t="s">
        <v>5299</v>
      </c>
      <c r="D5987" s="750" t="s">
        <v>5566</v>
      </c>
      <c r="E5987" s="203" t="s">
        <v>42</v>
      </c>
      <c r="F5987" s="753">
        <v>5.0000000000000001E-3</v>
      </c>
      <c r="G5987" s="205">
        <f>VLOOKUP(D5987,upahbahan,3,FALSE)</f>
        <v>0</v>
      </c>
      <c r="H5987" s="210">
        <f t="shared" si="442"/>
        <v>0</v>
      </c>
      <c r="L5987" s="200"/>
      <c r="M5987" s="200"/>
      <c r="N5987" s="200"/>
      <c r="O5987" s="200"/>
      <c r="P5987" s="200"/>
    </row>
    <row r="5988" spans="3:20" s="517" customFormat="1" ht="31.2" customHeight="1">
      <c r="C5988" s="754" t="s">
        <v>5558</v>
      </c>
      <c r="D5988" s="750" t="s">
        <v>2325</v>
      </c>
      <c r="E5988" s="203" t="s">
        <v>42</v>
      </c>
      <c r="F5988" s="755">
        <v>1E-3</v>
      </c>
      <c r="G5988" s="205">
        <f>VLOOKUP(D5988,upahbahan,3,FALSE)</f>
        <v>0</v>
      </c>
      <c r="H5988" s="210">
        <f t="shared" si="442"/>
        <v>0</v>
      </c>
      <c r="L5988" s="200"/>
      <c r="M5988" s="200"/>
      <c r="N5988" s="200"/>
      <c r="O5988" s="200"/>
      <c r="P5988" s="200"/>
    </row>
    <row r="5989" spans="3:20" s="517" customFormat="1" ht="31.2" customHeight="1">
      <c r="C5989" s="207" t="s">
        <v>1214</v>
      </c>
      <c r="D5989" s="208"/>
      <c r="E5989" s="568"/>
      <c r="F5989" s="208"/>
      <c r="G5989" s="209"/>
      <c r="H5989" s="210">
        <f>SUM(H5983:H5988)</f>
        <v>0</v>
      </c>
      <c r="L5989" s="200"/>
      <c r="M5989" s="200"/>
      <c r="N5989" s="200"/>
      <c r="O5989" s="200"/>
      <c r="P5989" s="200"/>
    </row>
    <row r="5990" spans="3:20" s="517" customFormat="1" ht="31.2" customHeight="1">
      <c r="C5990" s="756" t="s">
        <v>1215</v>
      </c>
      <c r="D5990" s="196" t="s">
        <v>1216</v>
      </c>
      <c r="E5990" s="203"/>
      <c r="F5990" s="197"/>
      <c r="G5990" s="197"/>
      <c r="H5990" s="198"/>
      <c r="L5990" s="200"/>
      <c r="M5990" s="200"/>
      <c r="N5990" s="200"/>
      <c r="O5990" s="200"/>
      <c r="P5990" s="200"/>
    </row>
    <row r="5991" spans="3:20" s="517" customFormat="1" ht="31.2" customHeight="1">
      <c r="C5991" s="207" t="s">
        <v>1217</v>
      </c>
      <c r="D5991" s="208"/>
      <c r="E5991" s="208"/>
      <c r="F5991" s="208"/>
      <c r="G5991" s="209"/>
      <c r="H5991" s="240">
        <f>SUM(H5990)</f>
        <v>0</v>
      </c>
      <c r="L5991" s="200"/>
      <c r="M5991" s="200"/>
      <c r="N5991" s="200"/>
      <c r="O5991" s="200"/>
      <c r="P5991" s="200"/>
    </row>
    <row r="5992" spans="3:20" s="517" customFormat="1" ht="31.2" customHeight="1">
      <c r="C5992" s="223" t="s">
        <v>1218</v>
      </c>
      <c r="D5992" s="224" t="s">
        <v>1219</v>
      </c>
      <c r="E5992" s="225"/>
      <c r="F5992" s="225"/>
      <c r="G5992" s="226"/>
      <c r="H5992" s="210">
        <f>H5991+H5989+H5981</f>
        <v>11778</v>
      </c>
      <c r="L5992" s="200"/>
      <c r="M5992" s="200"/>
      <c r="N5992" s="200"/>
      <c r="O5992" s="200"/>
      <c r="P5992" s="200"/>
    </row>
    <row r="5993" spans="3:20" s="517" customFormat="1" ht="31.2" customHeight="1">
      <c r="C5993" s="223" t="s">
        <v>1220</v>
      </c>
      <c r="D5993" s="224" t="s">
        <v>1321</v>
      </c>
      <c r="E5993" s="225"/>
      <c r="F5993" s="226"/>
      <c r="G5993" s="228">
        <v>0.1</v>
      </c>
      <c r="H5993" s="210">
        <f>H5992*G5993</f>
        <v>1177.8</v>
      </c>
      <c r="L5993" s="200"/>
      <c r="M5993" s="200"/>
      <c r="N5993" s="200"/>
      <c r="O5993" s="200"/>
      <c r="P5993" s="200"/>
    </row>
    <row r="5994" spans="3:20" s="517" customFormat="1" ht="31.2" customHeight="1" thickBot="1">
      <c r="C5994" s="229" t="s">
        <v>1221</v>
      </c>
      <c r="D5994" s="230" t="s">
        <v>1222</v>
      </c>
      <c r="E5994" s="231"/>
      <c r="F5994" s="231"/>
      <c r="G5994" s="232"/>
      <c r="H5994" s="233">
        <f>SUM(H5992:H5993)</f>
        <v>12955.8</v>
      </c>
      <c r="L5994" s="200"/>
      <c r="M5994" s="200"/>
      <c r="N5994" s="200"/>
      <c r="O5994" s="200"/>
      <c r="P5994" s="200"/>
    </row>
    <row r="5995" spans="3:20" ht="31.2" customHeight="1" thickTop="1">
      <c r="D5995" s="758"/>
    </row>
    <row r="5996" spans="3:20" ht="31.2" customHeight="1">
      <c r="C5996" s="757" t="s">
        <v>6950</v>
      </c>
      <c r="F5996" s="758"/>
      <c r="H5996" s="758" t="s">
        <v>6959</v>
      </c>
    </row>
    <row r="5997" spans="3:20" ht="31.2" customHeight="1">
      <c r="C5997" s="200" t="s">
        <v>6951</v>
      </c>
      <c r="F5997" s="758"/>
    </row>
    <row r="5998" spans="3:20" ht="31.2" customHeight="1">
      <c r="C5998" s="200" t="s">
        <v>6952</v>
      </c>
      <c r="F5998" s="758"/>
    </row>
    <row r="5999" spans="3:20" ht="31.2" customHeight="1">
      <c r="C5999" s="200"/>
      <c r="F5999" s="758"/>
    </row>
    <row r="6000" spans="3:20" s="517" customFormat="1" ht="31.2" customHeight="1" thickBot="1">
      <c r="C6000" s="513" t="s">
        <v>7530</v>
      </c>
      <c r="D6000" s="748" t="s">
        <v>7531</v>
      </c>
      <c r="E6000" s="749"/>
      <c r="F6000" s="748"/>
      <c r="G6000" s="748"/>
      <c r="H6000" s="532"/>
      <c r="I6000" s="532"/>
      <c r="J6000" s="532"/>
      <c r="K6000" s="532"/>
      <c r="M6000" s="189"/>
      <c r="N6000" s="189"/>
      <c r="O6000" s="189"/>
      <c r="P6000" s="189"/>
      <c r="R6000" s="189">
        <f>ROUNDDOWN(H6019,-2)</f>
        <v>12900</v>
      </c>
      <c r="S6000" s="517" t="s">
        <v>6451</v>
      </c>
      <c r="T6000" s="517" t="s">
        <v>7014</v>
      </c>
    </row>
    <row r="6001" spans="3:16" s="517" customFormat="1" ht="31.2" customHeight="1" thickTop="1">
      <c r="C6001" s="190" t="s">
        <v>1195</v>
      </c>
      <c r="D6001" s="191" t="s">
        <v>1196</v>
      </c>
      <c r="E6001" s="191" t="s">
        <v>1197</v>
      </c>
      <c r="F6001" s="191" t="s">
        <v>1198</v>
      </c>
      <c r="G6001" s="191" t="s">
        <v>1199</v>
      </c>
      <c r="H6001" s="192" t="s">
        <v>1200</v>
      </c>
      <c r="L6001" s="200"/>
      <c r="M6001" s="200"/>
      <c r="N6001" s="200"/>
      <c r="O6001" s="200"/>
      <c r="P6001" s="200"/>
    </row>
    <row r="6002" spans="3:16" s="517" customFormat="1" ht="31.2" customHeight="1">
      <c r="C6002" s="518" t="s">
        <v>1201</v>
      </c>
      <c r="D6002" s="196" t="s">
        <v>1202</v>
      </c>
      <c r="E6002" s="197"/>
      <c r="F6002" s="197"/>
      <c r="G6002" s="197"/>
      <c r="H6002" s="198"/>
      <c r="L6002" s="200"/>
      <c r="M6002" s="200"/>
      <c r="N6002" s="200"/>
      <c r="O6002" s="200"/>
      <c r="P6002" s="200"/>
    </row>
    <row r="6003" spans="3:16" s="517" customFormat="1" ht="31.2" customHeight="1">
      <c r="C6003" s="537">
        <v>1</v>
      </c>
      <c r="D6003" s="196" t="s">
        <v>6954</v>
      </c>
      <c r="E6003" s="202" t="s">
        <v>6</v>
      </c>
      <c r="F6003" s="520">
        <v>0.05</v>
      </c>
      <c r="G6003" s="205">
        <f>VLOOKUP(D6003,upahbahan,3,FALSE)</f>
        <v>181250</v>
      </c>
      <c r="H6003" s="210">
        <f t="shared" ref="H6003:H6005" si="443">F6003*G6003</f>
        <v>9062.5</v>
      </c>
      <c r="L6003" s="200"/>
      <c r="M6003" s="200"/>
      <c r="N6003" s="200"/>
      <c r="O6003" s="200"/>
      <c r="P6003" s="200"/>
    </row>
    <row r="6004" spans="3:16" s="517" customFormat="1" ht="31.2" customHeight="1">
      <c r="C6004" s="537">
        <v>2</v>
      </c>
      <c r="D6004" s="196" t="s">
        <v>6948</v>
      </c>
      <c r="E6004" s="202" t="s">
        <v>2102</v>
      </c>
      <c r="F6004" s="520">
        <v>0.01</v>
      </c>
      <c r="G6004" s="205">
        <f>VLOOKUP(D6004,upahbahan,3,FALSE)</f>
        <v>218750</v>
      </c>
      <c r="H6004" s="210">
        <f t="shared" si="443"/>
        <v>2187.5</v>
      </c>
      <c r="L6004" s="200"/>
      <c r="M6004" s="200"/>
      <c r="N6004" s="200"/>
      <c r="O6004" s="200"/>
      <c r="P6004" s="200"/>
    </row>
    <row r="6005" spans="3:16" s="517" customFormat="1" ht="31.2" customHeight="1">
      <c r="C6005" s="537">
        <v>3</v>
      </c>
      <c r="D6005" s="196" t="s">
        <v>19</v>
      </c>
      <c r="E6005" s="202" t="s">
        <v>6</v>
      </c>
      <c r="F6005" s="520">
        <v>3.3E-3</v>
      </c>
      <c r="G6005" s="205">
        <f>VLOOKUP(D6005,upahbahan,3,FALSE)</f>
        <v>160000</v>
      </c>
      <c r="H6005" s="210">
        <f t="shared" si="443"/>
        <v>528</v>
      </c>
      <c r="L6005" s="200"/>
      <c r="M6005" s="200"/>
      <c r="N6005" s="200"/>
      <c r="O6005" s="200"/>
      <c r="P6005" s="200"/>
    </row>
    <row r="6006" spans="3:16" s="517" customFormat="1" ht="31.2" customHeight="1">
      <c r="C6006" s="207" t="s">
        <v>1208</v>
      </c>
      <c r="D6006" s="208"/>
      <c r="E6006" s="208"/>
      <c r="F6006" s="521"/>
      <c r="G6006" s="522"/>
      <c r="H6006" s="210">
        <f>SUM(H6003:H6005)</f>
        <v>11778</v>
      </c>
      <c r="L6006" s="523"/>
      <c r="M6006" s="523"/>
      <c r="N6006" s="523"/>
      <c r="O6006" s="523"/>
      <c r="P6006" s="523"/>
    </row>
    <row r="6007" spans="3:16" s="517" customFormat="1" ht="31.2" customHeight="1">
      <c r="C6007" s="543" t="s">
        <v>1209</v>
      </c>
      <c r="D6007" s="750" t="s">
        <v>1210</v>
      </c>
      <c r="E6007" s="197"/>
      <c r="F6007" s="751"/>
      <c r="G6007" s="197"/>
      <c r="H6007" s="752"/>
      <c r="L6007" s="200"/>
      <c r="M6007" s="200"/>
      <c r="N6007" s="200"/>
      <c r="O6007" s="200"/>
      <c r="P6007" s="200"/>
    </row>
    <row r="6008" spans="3:16" s="517" customFormat="1" ht="31.2" customHeight="1">
      <c r="C6008" s="543">
        <v>1</v>
      </c>
      <c r="D6008" s="750" t="s">
        <v>7532</v>
      </c>
      <c r="E6008" s="203" t="s">
        <v>44</v>
      </c>
      <c r="F6008" s="760">
        <v>9</v>
      </c>
      <c r="G6008" s="205">
        <f>VLOOKUP(D6008,upahbahan,3,FALSE)</f>
        <v>0</v>
      </c>
      <c r="H6008" s="210">
        <f t="shared" ref="H6008:H6013" si="444">F6008*G6008</f>
        <v>0</v>
      </c>
      <c r="L6008" s="200"/>
      <c r="M6008" s="200"/>
      <c r="N6008" s="200"/>
      <c r="O6008" s="200"/>
      <c r="P6008" s="200"/>
    </row>
    <row r="6009" spans="3:16" s="517" customFormat="1" ht="31.2" customHeight="1">
      <c r="C6009" s="543">
        <v>2</v>
      </c>
      <c r="D6009" s="750" t="s">
        <v>5563</v>
      </c>
      <c r="E6009" s="203" t="s">
        <v>65</v>
      </c>
      <c r="F6009" s="760">
        <v>0.01</v>
      </c>
      <c r="G6009" s="205">
        <f>VLOOKUP(D6009,upahbahan,3,FALSE)</f>
        <v>0</v>
      </c>
      <c r="H6009" s="210">
        <f t="shared" si="444"/>
        <v>0</v>
      </c>
      <c r="L6009" s="200"/>
      <c r="M6009" s="200"/>
      <c r="N6009" s="200"/>
      <c r="O6009" s="200"/>
      <c r="P6009" s="200"/>
    </row>
    <row r="6010" spans="3:16" s="517" customFormat="1" ht="31.2" customHeight="1">
      <c r="C6010" s="543">
        <v>3</v>
      </c>
      <c r="D6010" s="750" t="s">
        <v>5556</v>
      </c>
      <c r="E6010" s="203"/>
      <c r="F6010" s="753"/>
      <c r="G6010" s="197"/>
      <c r="H6010" s="210">
        <f t="shared" si="444"/>
        <v>0</v>
      </c>
      <c r="L6010" s="200"/>
      <c r="M6010" s="200"/>
      <c r="N6010" s="200"/>
      <c r="O6010" s="200"/>
      <c r="P6010" s="200"/>
    </row>
    <row r="6011" spans="3:16" s="517" customFormat="1" ht="31.2" customHeight="1">
      <c r="C6011" s="754" t="s">
        <v>5293</v>
      </c>
      <c r="D6011" s="750" t="s">
        <v>2084</v>
      </c>
      <c r="E6011" s="203" t="s">
        <v>42</v>
      </c>
      <c r="F6011" s="753">
        <v>0.02</v>
      </c>
      <c r="G6011" s="205">
        <f>VLOOKUP(D6011,upahbahan,3,FALSE)</f>
        <v>0</v>
      </c>
      <c r="H6011" s="210">
        <f t="shared" si="444"/>
        <v>0</v>
      </c>
      <c r="L6011" s="200"/>
      <c r="M6011" s="200"/>
      <c r="N6011" s="200"/>
      <c r="O6011" s="200"/>
      <c r="P6011" s="200"/>
    </row>
    <row r="6012" spans="3:16" s="517" customFormat="1" ht="31.2" customHeight="1">
      <c r="C6012" s="754" t="s">
        <v>5299</v>
      </c>
      <c r="D6012" s="750" t="s">
        <v>5566</v>
      </c>
      <c r="E6012" s="203" t="s">
        <v>42</v>
      </c>
      <c r="F6012" s="753">
        <v>5.0000000000000001E-3</v>
      </c>
      <c r="G6012" s="205">
        <f>VLOOKUP(D6012,upahbahan,3,FALSE)</f>
        <v>0</v>
      </c>
      <c r="H6012" s="210">
        <f t="shared" si="444"/>
        <v>0</v>
      </c>
      <c r="L6012" s="200"/>
      <c r="M6012" s="200"/>
      <c r="N6012" s="200"/>
      <c r="O6012" s="200"/>
      <c r="P6012" s="200"/>
    </row>
    <row r="6013" spans="3:16" s="517" customFormat="1" ht="31.2" customHeight="1">
      <c r="C6013" s="754" t="s">
        <v>5558</v>
      </c>
      <c r="D6013" s="750" t="s">
        <v>2325</v>
      </c>
      <c r="E6013" s="203" t="s">
        <v>42</v>
      </c>
      <c r="F6013" s="755">
        <v>1E-3</v>
      </c>
      <c r="G6013" s="205">
        <f>VLOOKUP(D6013,upahbahan,3,FALSE)</f>
        <v>0</v>
      </c>
      <c r="H6013" s="210">
        <f t="shared" si="444"/>
        <v>0</v>
      </c>
      <c r="L6013" s="200"/>
      <c r="M6013" s="200"/>
      <c r="N6013" s="200"/>
      <c r="O6013" s="200"/>
      <c r="P6013" s="200"/>
    </row>
    <row r="6014" spans="3:16" s="517" customFormat="1" ht="31.2" customHeight="1">
      <c r="C6014" s="207" t="s">
        <v>1214</v>
      </c>
      <c r="D6014" s="208"/>
      <c r="E6014" s="568"/>
      <c r="F6014" s="208"/>
      <c r="G6014" s="209"/>
      <c r="H6014" s="210">
        <f>SUM(H6008:H6013)</f>
        <v>0</v>
      </c>
      <c r="L6014" s="200"/>
      <c r="M6014" s="200"/>
      <c r="N6014" s="200"/>
      <c r="O6014" s="200"/>
      <c r="P6014" s="200"/>
    </row>
    <row r="6015" spans="3:16" s="517" customFormat="1" ht="31.2" customHeight="1">
      <c r="C6015" s="756" t="s">
        <v>1215</v>
      </c>
      <c r="D6015" s="196" t="s">
        <v>1216</v>
      </c>
      <c r="E6015" s="203"/>
      <c r="F6015" s="197"/>
      <c r="G6015" s="197"/>
      <c r="H6015" s="198"/>
      <c r="L6015" s="200"/>
      <c r="M6015" s="200"/>
      <c r="N6015" s="200"/>
      <c r="O6015" s="200"/>
      <c r="P6015" s="200"/>
    </row>
    <row r="6016" spans="3:16" s="517" customFormat="1" ht="31.2" customHeight="1">
      <c r="C6016" s="207" t="s">
        <v>1217</v>
      </c>
      <c r="D6016" s="208"/>
      <c r="E6016" s="208"/>
      <c r="F6016" s="208"/>
      <c r="G6016" s="209"/>
      <c r="H6016" s="240">
        <f>SUM(H6015)</f>
        <v>0</v>
      </c>
      <c r="L6016" s="200"/>
      <c r="M6016" s="200"/>
      <c r="N6016" s="200"/>
      <c r="O6016" s="200"/>
      <c r="P6016" s="200"/>
    </row>
    <row r="6017" spans="3:20" s="517" customFormat="1" ht="31.2" customHeight="1">
      <c r="C6017" s="223" t="s">
        <v>1218</v>
      </c>
      <c r="D6017" s="224" t="s">
        <v>1219</v>
      </c>
      <c r="E6017" s="225"/>
      <c r="F6017" s="225"/>
      <c r="G6017" s="226"/>
      <c r="H6017" s="210">
        <f>H6016+H6014+H6006</f>
        <v>11778</v>
      </c>
      <c r="L6017" s="200"/>
      <c r="M6017" s="200"/>
      <c r="N6017" s="200"/>
      <c r="O6017" s="200"/>
      <c r="P6017" s="200"/>
    </row>
    <row r="6018" spans="3:20" s="517" customFormat="1" ht="31.2" customHeight="1">
      <c r="C6018" s="223" t="s">
        <v>1220</v>
      </c>
      <c r="D6018" s="224" t="s">
        <v>1321</v>
      </c>
      <c r="E6018" s="225"/>
      <c r="F6018" s="226"/>
      <c r="G6018" s="228">
        <v>0.1</v>
      </c>
      <c r="H6018" s="210">
        <f>H6017*G6018</f>
        <v>1177.8</v>
      </c>
      <c r="L6018" s="200"/>
      <c r="M6018" s="200"/>
      <c r="N6018" s="200"/>
      <c r="O6018" s="200"/>
      <c r="P6018" s="200"/>
    </row>
    <row r="6019" spans="3:20" s="517" customFormat="1" ht="31.2" customHeight="1" thickBot="1">
      <c r="C6019" s="229" t="s">
        <v>1221</v>
      </c>
      <c r="D6019" s="230" t="s">
        <v>1222</v>
      </c>
      <c r="E6019" s="231"/>
      <c r="F6019" s="231"/>
      <c r="G6019" s="232"/>
      <c r="H6019" s="233">
        <f>SUM(H6017:H6018)</f>
        <v>12955.8</v>
      </c>
      <c r="L6019" s="200"/>
      <c r="M6019" s="200"/>
      <c r="N6019" s="200"/>
      <c r="O6019" s="200"/>
      <c r="P6019" s="200"/>
    </row>
    <row r="6020" spans="3:20" ht="31.2" customHeight="1" thickTop="1">
      <c r="D6020" s="758"/>
    </row>
    <row r="6021" spans="3:20" ht="31.2" customHeight="1">
      <c r="C6021" s="757" t="s">
        <v>6950</v>
      </c>
      <c r="F6021" s="758"/>
      <c r="H6021" s="758" t="s">
        <v>6959</v>
      </c>
    </row>
    <row r="6022" spans="3:20" ht="31.2" customHeight="1">
      <c r="C6022" s="200" t="s">
        <v>6951</v>
      </c>
      <c r="F6022" s="758"/>
    </row>
    <row r="6023" spans="3:20" ht="31.2" customHeight="1">
      <c r="C6023" s="200" t="s">
        <v>6952</v>
      </c>
      <c r="F6023" s="758"/>
    </row>
    <row r="6024" spans="3:20" ht="31.2" customHeight="1">
      <c r="C6024" s="200"/>
      <c r="F6024" s="758"/>
    </row>
    <row r="6025" spans="3:20" s="517" customFormat="1" ht="31.2" customHeight="1" thickBot="1">
      <c r="C6025" s="513" t="s">
        <v>7533</v>
      </c>
      <c r="D6025" s="748" t="s">
        <v>7534</v>
      </c>
      <c r="E6025" s="749"/>
      <c r="F6025" s="748"/>
      <c r="G6025" s="748"/>
      <c r="H6025" s="532"/>
      <c r="I6025" s="532"/>
      <c r="J6025" s="532"/>
      <c r="K6025" s="532"/>
      <c r="M6025" s="189"/>
      <c r="N6025" s="189"/>
      <c r="O6025" s="189"/>
      <c r="P6025" s="189"/>
      <c r="R6025" s="189">
        <f>ROUNDDOWN(H6044,-2)</f>
        <v>12900</v>
      </c>
      <c r="S6025" s="517" t="s">
        <v>6451</v>
      </c>
      <c r="T6025" s="517" t="s">
        <v>7014</v>
      </c>
    </row>
    <row r="6026" spans="3:20" s="517" customFormat="1" ht="31.2" customHeight="1" thickTop="1">
      <c r="C6026" s="190" t="s">
        <v>1195</v>
      </c>
      <c r="D6026" s="191" t="s">
        <v>1196</v>
      </c>
      <c r="E6026" s="191" t="s">
        <v>1197</v>
      </c>
      <c r="F6026" s="191" t="s">
        <v>1198</v>
      </c>
      <c r="G6026" s="191" t="s">
        <v>1199</v>
      </c>
      <c r="H6026" s="192" t="s">
        <v>1200</v>
      </c>
      <c r="L6026" s="200"/>
      <c r="M6026" s="200"/>
      <c r="N6026" s="200"/>
      <c r="O6026" s="200"/>
      <c r="P6026" s="200"/>
    </row>
    <row r="6027" spans="3:20" s="517" customFormat="1" ht="31.2" customHeight="1">
      <c r="C6027" s="518" t="s">
        <v>1201</v>
      </c>
      <c r="D6027" s="196" t="s">
        <v>1202</v>
      </c>
      <c r="E6027" s="197"/>
      <c r="F6027" s="197"/>
      <c r="G6027" s="197"/>
      <c r="H6027" s="198"/>
      <c r="L6027" s="200"/>
      <c r="M6027" s="200"/>
      <c r="N6027" s="200"/>
      <c r="O6027" s="200"/>
      <c r="P6027" s="200"/>
    </row>
    <row r="6028" spans="3:20" s="517" customFormat="1" ht="31.2" customHeight="1">
      <c r="C6028" s="537">
        <v>1</v>
      </c>
      <c r="D6028" s="196" t="s">
        <v>6954</v>
      </c>
      <c r="E6028" s="202" t="s">
        <v>6</v>
      </c>
      <c r="F6028" s="520">
        <v>0.05</v>
      </c>
      <c r="G6028" s="205">
        <f>VLOOKUP(D6028,upahbahan,3,FALSE)</f>
        <v>181250</v>
      </c>
      <c r="H6028" s="210">
        <f t="shared" ref="H6028:H6030" si="445">F6028*G6028</f>
        <v>9062.5</v>
      </c>
      <c r="L6028" s="200"/>
      <c r="M6028" s="200"/>
      <c r="N6028" s="200"/>
      <c r="O6028" s="200"/>
      <c r="P6028" s="200"/>
    </row>
    <row r="6029" spans="3:20" s="517" customFormat="1" ht="31.2" customHeight="1">
      <c r="C6029" s="537">
        <v>2</v>
      </c>
      <c r="D6029" s="196" t="s">
        <v>6948</v>
      </c>
      <c r="E6029" s="202" t="s">
        <v>2102</v>
      </c>
      <c r="F6029" s="520">
        <v>0.01</v>
      </c>
      <c r="G6029" s="205">
        <f>VLOOKUP(D6029,upahbahan,3,FALSE)</f>
        <v>218750</v>
      </c>
      <c r="H6029" s="210">
        <f t="shared" si="445"/>
        <v>2187.5</v>
      </c>
      <c r="L6029" s="200"/>
      <c r="M6029" s="200"/>
      <c r="N6029" s="200"/>
      <c r="O6029" s="200"/>
      <c r="P6029" s="200"/>
    </row>
    <row r="6030" spans="3:20" s="517" customFormat="1" ht="31.2" customHeight="1">
      <c r="C6030" s="537">
        <v>3</v>
      </c>
      <c r="D6030" s="196" t="s">
        <v>19</v>
      </c>
      <c r="E6030" s="202" t="s">
        <v>6</v>
      </c>
      <c r="F6030" s="520">
        <v>3.3E-3</v>
      </c>
      <c r="G6030" s="205">
        <f>VLOOKUP(D6030,upahbahan,3,FALSE)</f>
        <v>160000</v>
      </c>
      <c r="H6030" s="210">
        <f t="shared" si="445"/>
        <v>528</v>
      </c>
      <c r="L6030" s="200"/>
      <c r="M6030" s="200"/>
      <c r="N6030" s="200"/>
      <c r="O6030" s="200"/>
      <c r="P6030" s="200"/>
    </row>
    <row r="6031" spans="3:20" s="517" customFormat="1" ht="31.2" customHeight="1">
      <c r="C6031" s="207" t="s">
        <v>1208</v>
      </c>
      <c r="D6031" s="208"/>
      <c r="E6031" s="208"/>
      <c r="F6031" s="521"/>
      <c r="G6031" s="522"/>
      <c r="H6031" s="210">
        <f>SUM(H6028:H6030)</f>
        <v>11778</v>
      </c>
      <c r="L6031" s="523"/>
      <c r="M6031" s="523"/>
      <c r="N6031" s="523"/>
      <c r="O6031" s="523"/>
      <c r="P6031" s="523"/>
    </row>
    <row r="6032" spans="3:20" s="517" customFormat="1" ht="31.2" customHeight="1">
      <c r="C6032" s="543" t="s">
        <v>1209</v>
      </c>
      <c r="D6032" s="750" t="s">
        <v>1210</v>
      </c>
      <c r="E6032" s="197"/>
      <c r="F6032" s="751"/>
      <c r="G6032" s="197"/>
      <c r="H6032" s="752"/>
      <c r="L6032" s="200"/>
      <c r="M6032" s="200"/>
      <c r="N6032" s="200"/>
      <c r="O6032" s="200"/>
      <c r="P6032" s="200"/>
    </row>
    <row r="6033" spans="3:16" s="517" customFormat="1" ht="31.2" customHeight="1">
      <c r="C6033" s="543">
        <v>1</v>
      </c>
      <c r="D6033" s="750" t="s">
        <v>7535</v>
      </c>
      <c r="E6033" s="203" t="s">
        <v>44</v>
      </c>
      <c r="F6033" s="760">
        <v>9</v>
      </c>
      <c r="G6033" s="205">
        <f>VLOOKUP(D6033,upahbahan,3,FALSE)</f>
        <v>0</v>
      </c>
      <c r="H6033" s="210">
        <f t="shared" ref="H6033:H6038" si="446">F6033*G6033</f>
        <v>0</v>
      </c>
      <c r="L6033" s="200"/>
      <c r="M6033" s="200"/>
      <c r="N6033" s="200"/>
      <c r="O6033" s="200"/>
      <c r="P6033" s="200"/>
    </row>
    <row r="6034" spans="3:16" s="517" customFormat="1" ht="31.2" customHeight="1">
      <c r="C6034" s="543">
        <v>2</v>
      </c>
      <c r="D6034" s="750" t="s">
        <v>5563</v>
      </c>
      <c r="E6034" s="203" t="s">
        <v>65</v>
      </c>
      <c r="F6034" s="760">
        <v>0.01</v>
      </c>
      <c r="G6034" s="205">
        <f>VLOOKUP(D6034,upahbahan,3,FALSE)</f>
        <v>0</v>
      </c>
      <c r="H6034" s="210">
        <f t="shared" si="446"/>
        <v>0</v>
      </c>
      <c r="L6034" s="200"/>
      <c r="M6034" s="200"/>
      <c r="N6034" s="200"/>
      <c r="O6034" s="200"/>
      <c r="P6034" s="200"/>
    </row>
    <row r="6035" spans="3:16" s="517" customFormat="1" ht="31.2" customHeight="1">
      <c r="C6035" s="543">
        <v>3</v>
      </c>
      <c r="D6035" s="750" t="s">
        <v>5556</v>
      </c>
      <c r="E6035" s="203"/>
      <c r="F6035" s="753"/>
      <c r="G6035" s="197"/>
      <c r="H6035" s="210">
        <f t="shared" si="446"/>
        <v>0</v>
      </c>
      <c r="L6035" s="200"/>
      <c r="M6035" s="200"/>
      <c r="N6035" s="200"/>
      <c r="O6035" s="200"/>
      <c r="P6035" s="200"/>
    </row>
    <row r="6036" spans="3:16" s="517" customFormat="1" ht="31.2" customHeight="1">
      <c r="C6036" s="754" t="s">
        <v>5293</v>
      </c>
      <c r="D6036" s="750" t="s">
        <v>2084</v>
      </c>
      <c r="E6036" s="203" t="s">
        <v>42</v>
      </c>
      <c r="F6036" s="753">
        <v>0.02</v>
      </c>
      <c r="G6036" s="205">
        <f>VLOOKUP(D6036,upahbahan,3,FALSE)</f>
        <v>0</v>
      </c>
      <c r="H6036" s="210">
        <f t="shared" si="446"/>
        <v>0</v>
      </c>
      <c r="L6036" s="200"/>
      <c r="M6036" s="200"/>
      <c r="N6036" s="200"/>
      <c r="O6036" s="200"/>
      <c r="P6036" s="200"/>
    </row>
    <row r="6037" spans="3:16" s="517" customFormat="1" ht="31.2" customHeight="1">
      <c r="C6037" s="754" t="s">
        <v>5299</v>
      </c>
      <c r="D6037" s="750" t="s">
        <v>5566</v>
      </c>
      <c r="E6037" s="203" t="s">
        <v>42</v>
      </c>
      <c r="F6037" s="753">
        <v>5.0000000000000001E-3</v>
      </c>
      <c r="G6037" s="205">
        <f>VLOOKUP(D6037,upahbahan,3,FALSE)</f>
        <v>0</v>
      </c>
      <c r="H6037" s="210">
        <f t="shared" si="446"/>
        <v>0</v>
      </c>
      <c r="L6037" s="200"/>
      <c r="M6037" s="200"/>
      <c r="N6037" s="200"/>
      <c r="O6037" s="200"/>
      <c r="P6037" s="200"/>
    </row>
    <row r="6038" spans="3:16" s="517" customFormat="1" ht="31.2" customHeight="1">
      <c r="C6038" s="754" t="s">
        <v>5558</v>
      </c>
      <c r="D6038" s="750" t="s">
        <v>2325</v>
      </c>
      <c r="E6038" s="203" t="s">
        <v>42</v>
      </c>
      <c r="F6038" s="755">
        <v>1E-3</v>
      </c>
      <c r="G6038" s="205">
        <f>VLOOKUP(D6038,upahbahan,3,FALSE)</f>
        <v>0</v>
      </c>
      <c r="H6038" s="210">
        <f t="shared" si="446"/>
        <v>0</v>
      </c>
      <c r="L6038" s="200"/>
      <c r="M6038" s="200"/>
      <c r="N6038" s="200"/>
      <c r="O6038" s="200"/>
      <c r="P6038" s="200"/>
    </row>
    <row r="6039" spans="3:16" s="517" customFormat="1" ht="31.2" customHeight="1">
      <c r="C6039" s="207" t="s">
        <v>1214</v>
      </c>
      <c r="D6039" s="208"/>
      <c r="E6039" s="568"/>
      <c r="F6039" s="208"/>
      <c r="G6039" s="209"/>
      <c r="H6039" s="210">
        <f>SUM(H6033:H6038)</f>
        <v>0</v>
      </c>
      <c r="L6039" s="200"/>
      <c r="M6039" s="200"/>
      <c r="N6039" s="200"/>
      <c r="O6039" s="200"/>
      <c r="P6039" s="200"/>
    </row>
    <row r="6040" spans="3:16" s="517" customFormat="1" ht="31.2" customHeight="1">
      <c r="C6040" s="756" t="s">
        <v>1215</v>
      </c>
      <c r="D6040" s="196" t="s">
        <v>1216</v>
      </c>
      <c r="E6040" s="203"/>
      <c r="F6040" s="197"/>
      <c r="G6040" s="197"/>
      <c r="H6040" s="198"/>
      <c r="L6040" s="200"/>
      <c r="M6040" s="200"/>
      <c r="N6040" s="200"/>
      <c r="O6040" s="200"/>
      <c r="P6040" s="200"/>
    </row>
    <row r="6041" spans="3:16" s="517" customFormat="1" ht="31.2" customHeight="1">
      <c r="C6041" s="207" t="s">
        <v>1217</v>
      </c>
      <c r="D6041" s="208"/>
      <c r="E6041" s="208"/>
      <c r="F6041" s="208"/>
      <c r="G6041" s="209"/>
      <c r="H6041" s="240">
        <f>SUM(H6040)</f>
        <v>0</v>
      </c>
      <c r="L6041" s="200"/>
      <c r="M6041" s="200"/>
      <c r="N6041" s="200"/>
      <c r="O6041" s="200"/>
      <c r="P6041" s="200"/>
    </row>
    <row r="6042" spans="3:16" s="517" customFormat="1" ht="31.2" customHeight="1">
      <c r="C6042" s="223" t="s">
        <v>1218</v>
      </c>
      <c r="D6042" s="224" t="s">
        <v>1219</v>
      </c>
      <c r="E6042" s="225"/>
      <c r="F6042" s="225"/>
      <c r="G6042" s="226"/>
      <c r="H6042" s="210">
        <f>H6041+H6039+H6031</f>
        <v>11778</v>
      </c>
      <c r="L6042" s="200"/>
      <c r="M6042" s="200"/>
      <c r="N6042" s="200"/>
      <c r="O6042" s="200"/>
      <c r="P6042" s="200"/>
    </row>
    <row r="6043" spans="3:16" s="517" customFormat="1" ht="31.2" customHeight="1">
      <c r="C6043" s="223" t="s">
        <v>1220</v>
      </c>
      <c r="D6043" s="224" t="s">
        <v>1321</v>
      </c>
      <c r="E6043" s="225"/>
      <c r="F6043" s="226"/>
      <c r="G6043" s="228">
        <v>0.1</v>
      </c>
      <c r="H6043" s="210">
        <f>H6042*G6043</f>
        <v>1177.8</v>
      </c>
      <c r="L6043" s="200"/>
      <c r="M6043" s="200"/>
      <c r="N6043" s="200"/>
      <c r="O6043" s="200"/>
      <c r="P6043" s="200"/>
    </row>
    <row r="6044" spans="3:16" s="517" customFormat="1" ht="31.2" customHeight="1" thickBot="1">
      <c r="C6044" s="229" t="s">
        <v>1221</v>
      </c>
      <c r="D6044" s="230" t="s">
        <v>1222</v>
      </c>
      <c r="E6044" s="231"/>
      <c r="F6044" s="231"/>
      <c r="G6044" s="232"/>
      <c r="H6044" s="233">
        <f>SUM(H6042:H6043)</f>
        <v>12955.8</v>
      </c>
      <c r="L6044" s="200"/>
      <c r="M6044" s="200"/>
      <c r="N6044" s="200"/>
      <c r="O6044" s="200"/>
      <c r="P6044" s="200"/>
    </row>
    <row r="6045" spans="3:16" ht="31.2" customHeight="1" thickTop="1">
      <c r="D6045" s="758"/>
    </row>
    <row r="6046" spans="3:16" ht="31.2" customHeight="1">
      <c r="C6046" s="757" t="s">
        <v>6950</v>
      </c>
      <c r="F6046" s="758"/>
      <c r="H6046" s="758" t="s">
        <v>6959</v>
      </c>
    </row>
    <row r="6047" spans="3:16" ht="31.2" customHeight="1">
      <c r="C6047" s="200" t="s">
        <v>6951</v>
      </c>
      <c r="F6047" s="758"/>
    </row>
    <row r="6048" spans="3:16" ht="31.2" customHeight="1">
      <c r="C6048" s="200" t="s">
        <v>6952</v>
      </c>
      <c r="F6048" s="758"/>
    </row>
    <row r="6049" spans="3:20" ht="31.2" customHeight="1">
      <c r="C6049" s="200"/>
      <c r="F6049" s="758"/>
    </row>
    <row r="6050" spans="3:20" s="517" customFormat="1" ht="31.2" customHeight="1" thickBot="1">
      <c r="C6050" s="513" t="s">
        <v>7536</v>
      </c>
      <c r="D6050" s="748" t="s">
        <v>7537</v>
      </c>
      <c r="E6050" s="749"/>
      <c r="F6050" s="748"/>
      <c r="G6050" s="748"/>
      <c r="H6050" s="532"/>
      <c r="I6050" s="532"/>
      <c r="J6050" s="532"/>
      <c r="K6050" s="532"/>
      <c r="M6050" s="189"/>
      <c r="N6050" s="189"/>
      <c r="O6050" s="189"/>
      <c r="P6050" s="189"/>
      <c r="R6050" s="189">
        <f>ROUNDDOWN(H6069,-2)</f>
        <v>12900</v>
      </c>
      <c r="S6050" s="517" t="s">
        <v>6451</v>
      </c>
      <c r="T6050" s="517" t="s">
        <v>7014</v>
      </c>
    </row>
    <row r="6051" spans="3:20" s="517" customFormat="1" ht="31.2" customHeight="1" thickTop="1">
      <c r="C6051" s="190" t="s">
        <v>1195</v>
      </c>
      <c r="D6051" s="191" t="s">
        <v>1196</v>
      </c>
      <c r="E6051" s="191" t="s">
        <v>1197</v>
      </c>
      <c r="F6051" s="191" t="s">
        <v>1198</v>
      </c>
      <c r="G6051" s="191" t="s">
        <v>1199</v>
      </c>
      <c r="H6051" s="192" t="s">
        <v>1200</v>
      </c>
      <c r="L6051" s="200"/>
      <c r="M6051" s="200"/>
      <c r="N6051" s="200"/>
      <c r="O6051" s="200"/>
      <c r="P6051" s="200"/>
    </row>
    <row r="6052" spans="3:20" s="517" customFormat="1" ht="31.2" customHeight="1">
      <c r="C6052" s="518" t="s">
        <v>1201</v>
      </c>
      <c r="D6052" s="196" t="s">
        <v>1202</v>
      </c>
      <c r="E6052" s="197"/>
      <c r="F6052" s="197"/>
      <c r="G6052" s="197"/>
      <c r="H6052" s="198"/>
      <c r="L6052" s="200"/>
      <c r="M6052" s="200"/>
      <c r="N6052" s="200"/>
      <c r="O6052" s="200"/>
      <c r="P6052" s="200"/>
    </row>
    <row r="6053" spans="3:20" s="517" customFormat="1" ht="31.2" customHeight="1">
      <c r="C6053" s="537">
        <v>1</v>
      </c>
      <c r="D6053" s="196" t="s">
        <v>6954</v>
      </c>
      <c r="E6053" s="202" t="s">
        <v>6</v>
      </c>
      <c r="F6053" s="520">
        <v>0.05</v>
      </c>
      <c r="G6053" s="205">
        <f>VLOOKUP(D6053,upahbahan,3,FALSE)</f>
        <v>181250</v>
      </c>
      <c r="H6053" s="210">
        <f t="shared" ref="H6053:H6055" si="447">F6053*G6053</f>
        <v>9062.5</v>
      </c>
      <c r="L6053" s="200"/>
      <c r="M6053" s="200"/>
      <c r="N6053" s="200"/>
      <c r="O6053" s="200"/>
      <c r="P6053" s="200"/>
    </row>
    <row r="6054" spans="3:20" s="517" customFormat="1" ht="31.2" customHeight="1">
      <c r="C6054" s="537">
        <v>2</v>
      </c>
      <c r="D6054" s="196" t="s">
        <v>6948</v>
      </c>
      <c r="E6054" s="202" t="s">
        <v>2102</v>
      </c>
      <c r="F6054" s="520">
        <v>0.01</v>
      </c>
      <c r="G6054" s="205">
        <f>VLOOKUP(D6054,upahbahan,3,FALSE)</f>
        <v>218750</v>
      </c>
      <c r="H6054" s="210">
        <f t="shared" si="447"/>
        <v>2187.5</v>
      </c>
      <c r="L6054" s="200"/>
      <c r="M6054" s="200"/>
      <c r="N6054" s="200"/>
      <c r="O6054" s="200"/>
      <c r="P6054" s="200"/>
    </row>
    <row r="6055" spans="3:20" s="517" customFormat="1" ht="31.2" customHeight="1">
      <c r="C6055" s="537">
        <v>3</v>
      </c>
      <c r="D6055" s="196" t="s">
        <v>19</v>
      </c>
      <c r="E6055" s="202" t="s">
        <v>6</v>
      </c>
      <c r="F6055" s="520">
        <v>3.3E-3</v>
      </c>
      <c r="G6055" s="205">
        <f>VLOOKUP(D6055,upahbahan,3,FALSE)</f>
        <v>160000</v>
      </c>
      <c r="H6055" s="210">
        <f t="shared" si="447"/>
        <v>528</v>
      </c>
      <c r="L6055" s="200"/>
      <c r="M6055" s="200"/>
      <c r="N6055" s="200"/>
      <c r="O6055" s="200"/>
      <c r="P6055" s="200"/>
    </row>
    <row r="6056" spans="3:20" s="517" customFormat="1" ht="31.2" customHeight="1">
      <c r="C6056" s="207" t="s">
        <v>1208</v>
      </c>
      <c r="D6056" s="208"/>
      <c r="E6056" s="208"/>
      <c r="F6056" s="521"/>
      <c r="G6056" s="522"/>
      <c r="H6056" s="210">
        <f>SUM(H6053:H6055)</f>
        <v>11778</v>
      </c>
      <c r="L6056" s="523"/>
      <c r="M6056" s="523"/>
      <c r="N6056" s="523"/>
      <c r="O6056" s="523"/>
      <c r="P6056" s="523"/>
    </row>
    <row r="6057" spans="3:20" s="517" customFormat="1" ht="31.2" customHeight="1">
      <c r="C6057" s="543" t="s">
        <v>1209</v>
      </c>
      <c r="D6057" s="750" t="s">
        <v>1210</v>
      </c>
      <c r="E6057" s="197"/>
      <c r="F6057" s="751"/>
      <c r="G6057" s="197"/>
      <c r="H6057" s="752"/>
      <c r="L6057" s="200"/>
      <c r="M6057" s="200"/>
      <c r="N6057" s="200"/>
      <c r="O6057" s="200"/>
      <c r="P6057" s="200"/>
    </row>
    <row r="6058" spans="3:20" s="517" customFormat="1" ht="31.2" customHeight="1">
      <c r="C6058" s="543">
        <v>1</v>
      </c>
      <c r="D6058" s="750" t="s">
        <v>7538</v>
      </c>
      <c r="E6058" s="203" t="s">
        <v>44</v>
      </c>
      <c r="F6058" s="760">
        <v>9</v>
      </c>
      <c r="G6058" s="205">
        <f>VLOOKUP(D6058,upahbahan,3,FALSE)</f>
        <v>0</v>
      </c>
      <c r="H6058" s="210">
        <f t="shared" ref="H6058:H6063" si="448">F6058*G6058</f>
        <v>0</v>
      </c>
      <c r="L6058" s="200"/>
      <c r="M6058" s="200"/>
      <c r="N6058" s="200"/>
      <c r="O6058" s="200"/>
      <c r="P6058" s="200"/>
    </row>
    <row r="6059" spans="3:20" s="517" customFormat="1" ht="31.2" customHeight="1">
      <c r="C6059" s="543">
        <v>2</v>
      </c>
      <c r="D6059" s="750" t="s">
        <v>5563</v>
      </c>
      <c r="E6059" s="203" t="s">
        <v>65</v>
      </c>
      <c r="F6059" s="760">
        <v>0.01</v>
      </c>
      <c r="G6059" s="205">
        <f>VLOOKUP(D6059,upahbahan,3,FALSE)</f>
        <v>0</v>
      </c>
      <c r="H6059" s="210">
        <f t="shared" si="448"/>
        <v>0</v>
      </c>
      <c r="L6059" s="200"/>
      <c r="M6059" s="200"/>
      <c r="N6059" s="200"/>
      <c r="O6059" s="200"/>
      <c r="P6059" s="200"/>
    </row>
    <row r="6060" spans="3:20" s="517" customFormat="1" ht="31.2" customHeight="1">
      <c r="C6060" s="543">
        <v>3</v>
      </c>
      <c r="D6060" s="750" t="s">
        <v>5556</v>
      </c>
      <c r="E6060" s="203"/>
      <c r="F6060" s="753"/>
      <c r="G6060" s="197"/>
      <c r="H6060" s="210">
        <f t="shared" si="448"/>
        <v>0</v>
      </c>
      <c r="L6060" s="200"/>
      <c r="M6060" s="200"/>
      <c r="N6060" s="200"/>
      <c r="O6060" s="200"/>
      <c r="P6060" s="200"/>
    </row>
    <row r="6061" spans="3:20" s="517" customFormat="1" ht="31.2" customHeight="1">
      <c r="C6061" s="754" t="s">
        <v>5293</v>
      </c>
      <c r="D6061" s="750" t="s">
        <v>2084</v>
      </c>
      <c r="E6061" s="203" t="s">
        <v>42</v>
      </c>
      <c r="F6061" s="753">
        <v>0.02</v>
      </c>
      <c r="G6061" s="205">
        <f>VLOOKUP(D6061,upahbahan,3,FALSE)</f>
        <v>0</v>
      </c>
      <c r="H6061" s="210">
        <f t="shared" si="448"/>
        <v>0</v>
      </c>
      <c r="L6061" s="200"/>
      <c r="M6061" s="200"/>
      <c r="N6061" s="200"/>
      <c r="O6061" s="200"/>
      <c r="P6061" s="200"/>
    </row>
    <row r="6062" spans="3:20" s="517" customFormat="1" ht="31.2" customHeight="1">
      <c r="C6062" s="754" t="s">
        <v>5299</v>
      </c>
      <c r="D6062" s="750" t="s">
        <v>5566</v>
      </c>
      <c r="E6062" s="203" t="s">
        <v>42</v>
      </c>
      <c r="F6062" s="753">
        <v>5.0000000000000001E-3</v>
      </c>
      <c r="G6062" s="205">
        <f>VLOOKUP(D6062,upahbahan,3,FALSE)</f>
        <v>0</v>
      </c>
      <c r="H6062" s="210">
        <f t="shared" si="448"/>
        <v>0</v>
      </c>
      <c r="L6062" s="200"/>
      <c r="M6062" s="200"/>
      <c r="N6062" s="200"/>
      <c r="O6062" s="200"/>
      <c r="P6062" s="200"/>
    </row>
    <row r="6063" spans="3:20" s="517" customFormat="1" ht="31.2" customHeight="1">
      <c r="C6063" s="754" t="s">
        <v>5558</v>
      </c>
      <c r="D6063" s="750" t="s">
        <v>2325</v>
      </c>
      <c r="E6063" s="203" t="s">
        <v>42</v>
      </c>
      <c r="F6063" s="755">
        <v>1E-3</v>
      </c>
      <c r="G6063" s="205">
        <f>VLOOKUP(D6063,upahbahan,3,FALSE)</f>
        <v>0</v>
      </c>
      <c r="H6063" s="210">
        <f t="shared" si="448"/>
        <v>0</v>
      </c>
      <c r="L6063" s="200"/>
      <c r="M6063" s="200"/>
      <c r="N6063" s="200"/>
      <c r="O6063" s="200"/>
      <c r="P6063" s="200"/>
    </row>
    <row r="6064" spans="3:20" s="517" customFormat="1" ht="31.2" customHeight="1">
      <c r="C6064" s="207" t="s">
        <v>1214</v>
      </c>
      <c r="D6064" s="208"/>
      <c r="E6064" s="568"/>
      <c r="F6064" s="208"/>
      <c r="G6064" s="209"/>
      <c r="H6064" s="210">
        <f>SUM(H6058:H6063)</f>
        <v>0</v>
      </c>
      <c r="L6064" s="200"/>
      <c r="M6064" s="200"/>
      <c r="N6064" s="200"/>
      <c r="O6064" s="200"/>
      <c r="P6064" s="200"/>
    </row>
    <row r="6065" spans="3:20" s="517" customFormat="1" ht="31.2" customHeight="1">
      <c r="C6065" s="756" t="s">
        <v>1215</v>
      </c>
      <c r="D6065" s="196" t="s">
        <v>1216</v>
      </c>
      <c r="E6065" s="203"/>
      <c r="F6065" s="197"/>
      <c r="G6065" s="197"/>
      <c r="H6065" s="198"/>
      <c r="L6065" s="200"/>
      <c r="M6065" s="200"/>
      <c r="N6065" s="200"/>
      <c r="O6065" s="200"/>
      <c r="P6065" s="200"/>
    </row>
    <row r="6066" spans="3:20" s="517" customFormat="1" ht="31.2" customHeight="1">
      <c r="C6066" s="207" t="s">
        <v>1217</v>
      </c>
      <c r="D6066" s="208"/>
      <c r="E6066" s="208"/>
      <c r="F6066" s="208"/>
      <c r="G6066" s="209"/>
      <c r="H6066" s="240">
        <f>SUM(H6065)</f>
        <v>0</v>
      </c>
      <c r="L6066" s="200"/>
      <c r="M6066" s="200"/>
      <c r="N6066" s="200"/>
      <c r="O6066" s="200"/>
      <c r="P6066" s="200"/>
    </row>
    <row r="6067" spans="3:20" s="517" customFormat="1" ht="31.2" customHeight="1">
      <c r="C6067" s="223" t="s">
        <v>1218</v>
      </c>
      <c r="D6067" s="224" t="s">
        <v>1219</v>
      </c>
      <c r="E6067" s="225"/>
      <c r="F6067" s="225"/>
      <c r="G6067" s="226"/>
      <c r="H6067" s="210">
        <f>H6066+H6064+H6056</f>
        <v>11778</v>
      </c>
      <c r="L6067" s="200"/>
      <c r="M6067" s="200"/>
      <c r="N6067" s="200"/>
      <c r="O6067" s="200"/>
      <c r="P6067" s="200"/>
    </row>
    <row r="6068" spans="3:20" s="517" customFormat="1" ht="31.2" customHeight="1">
      <c r="C6068" s="223" t="s">
        <v>1220</v>
      </c>
      <c r="D6068" s="224" t="s">
        <v>1321</v>
      </c>
      <c r="E6068" s="225"/>
      <c r="F6068" s="226"/>
      <c r="G6068" s="228">
        <v>0.1</v>
      </c>
      <c r="H6068" s="210">
        <f>H6067*G6068</f>
        <v>1177.8</v>
      </c>
      <c r="L6068" s="200"/>
      <c r="M6068" s="200"/>
      <c r="N6068" s="200"/>
      <c r="O6068" s="200"/>
      <c r="P6068" s="200"/>
    </row>
    <row r="6069" spans="3:20" s="517" customFormat="1" ht="31.2" customHeight="1" thickBot="1">
      <c r="C6069" s="229" t="s">
        <v>1221</v>
      </c>
      <c r="D6069" s="230" t="s">
        <v>1222</v>
      </c>
      <c r="E6069" s="231"/>
      <c r="F6069" s="231"/>
      <c r="G6069" s="232"/>
      <c r="H6069" s="233">
        <f>SUM(H6067:H6068)</f>
        <v>12955.8</v>
      </c>
      <c r="L6069" s="200"/>
      <c r="M6069" s="200"/>
      <c r="N6069" s="200"/>
      <c r="O6069" s="200"/>
      <c r="P6069" s="200"/>
    </row>
    <row r="6070" spans="3:20" ht="31.2" customHeight="1" thickTop="1">
      <c r="D6070" s="758"/>
    </row>
    <row r="6071" spans="3:20" ht="31.2" customHeight="1">
      <c r="C6071" s="757" t="s">
        <v>6950</v>
      </c>
      <c r="F6071" s="758"/>
      <c r="H6071" s="758" t="s">
        <v>6959</v>
      </c>
    </row>
    <row r="6072" spans="3:20" ht="31.2" customHeight="1">
      <c r="C6072" s="200" t="s">
        <v>6951</v>
      </c>
      <c r="F6072" s="758"/>
    </row>
    <row r="6073" spans="3:20" ht="31.2" customHeight="1">
      <c r="C6073" s="200" t="s">
        <v>6952</v>
      </c>
      <c r="F6073" s="758"/>
    </row>
    <row r="6074" spans="3:20" ht="31.2" customHeight="1">
      <c r="C6074" s="200"/>
      <c r="F6074" s="758"/>
    </row>
    <row r="6075" spans="3:20" s="517" customFormat="1" ht="31.2" customHeight="1" thickBot="1">
      <c r="C6075" s="513" t="s">
        <v>7539</v>
      </c>
      <c r="D6075" s="748" t="s">
        <v>7540</v>
      </c>
      <c r="E6075" s="749"/>
      <c r="F6075" s="748"/>
      <c r="G6075" s="748"/>
      <c r="H6075" s="532"/>
      <c r="I6075" s="532"/>
      <c r="J6075" s="532"/>
      <c r="K6075" s="532"/>
      <c r="M6075" s="189"/>
      <c r="N6075" s="189"/>
      <c r="O6075" s="189"/>
      <c r="P6075" s="189"/>
      <c r="R6075" s="189">
        <f>ROUNDDOWN(H6094,-2)</f>
        <v>12900</v>
      </c>
      <c r="S6075" s="517" t="s">
        <v>6451</v>
      </c>
      <c r="T6075" s="517" t="s">
        <v>7014</v>
      </c>
    </row>
    <row r="6076" spans="3:20" s="517" customFormat="1" ht="31.2" customHeight="1" thickTop="1">
      <c r="C6076" s="190" t="s">
        <v>1195</v>
      </c>
      <c r="D6076" s="191" t="s">
        <v>1196</v>
      </c>
      <c r="E6076" s="191" t="s">
        <v>1197</v>
      </c>
      <c r="F6076" s="191" t="s">
        <v>1198</v>
      </c>
      <c r="G6076" s="191" t="s">
        <v>1199</v>
      </c>
      <c r="H6076" s="192" t="s">
        <v>1200</v>
      </c>
      <c r="L6076" s="200"/>
      <c r="M6076" s="200"/>
      <c r="N6076" s="200"/>
      <c r="O6076" s="200"/>
      <c r="P6076" s="200"/>
    </row>
    <row r="6077" spans="3:20" s="517" customFormat="1" ht="31.2" customHeight="1">
      <c r="C6077" s="518" t="s">
        <v>1201</v>
      </c>
      <c r="D6077" s="196" t="s">
        <v>1202</v>
      </c>
      <c r="E6077" s="197"/>
      <c r="F6077" s="197"/>
      <c r="G6077" s="197"/>
      <c r="H6077" s="198"/>
      <c r="L6077" s="200"/>
      <c r="M6077" s="200"/>
      <c r="N6077" s="200"/>
      <c r="O6077" s="200"/>
      <c r="P6077" s="200"/>
    </row>
    <row r="6078" spans="3:20" s="517" customFormat="1" ht="31.2" customHeight="1">
      <c r="C6078" s="537">
        <v>1</v>
      </c>
      <c r="D6078" s="196" t="s">
        <v>6954</v>
      </c>
      <c r="E6078" s="202" t="s">
        <v>6</v>
      </c>
      <c r="F6078" s="520">
        <v>0.05</v>
      </c>
      <c r="G6078" s="205">
        <f>VLOOKUP(D6078,upahbahan,3,FALSE)</f>
        <v>181250</v>
      </c>
      <c r="H6078" s="210">
        <f t="shared" ref="H6078:H6080" si="449">F6078*G6078</f>
        <v>9062.5</v>
      </c>
      <c r="L6078" s="200"/>
      <c r="M6078" s="200"/>
      <c r="N6078" s="200"/>
      <c r="O6078" s="200"/>
      <c r="P6078" s="200"/>
    </row>
    <row r="6079" spans="3:20" s="517" customFormat="1" ht="31.2" customHeight="1">
      <c r="C6079" s="537">
        <v>2</v>
      </c>
      <c r="D6079" s="196" t="s">
        <v>6948</v>
      </c>
      <c r="E6079" s="202" t="s">
        <v>2102</v>
      </c>
      <c r="F6079" s="520">
        <v>0.01</v>
      </c>
      <c r="G6079" s="205">
        <f>VLOOKUP(D6079,upahbahan,3,FALSE)</f>
        <v>218750</v>
      </c>
      <c r="H6079" s="210">
        <f t="shared" si="449"/>
        <v>2187.5</v>
      </c>
      <c r="L6079" s="200"/>
      <c r="M6079" s="200"/>
      <c r="N6079" s="200"/>
      <c r="O6079" s="200"/>
      <c r="P6079" s="200"/>
    </row>
    <row r="6080" spans="3:20" s="517" customFormat="1" ht="31.2" customHeight="1">
      <c r="C6080" s="537">
        <v>3</v>
      </c>
      <c r="D6080" s="196" t="s">
        <v>19</v>
      </c>
      <c r="E6080" s="202" t="s">
        <v>6</v>
      </c>
      <c r="F6080" s="520">
        <v>3.3E-3</v>
      </c>
      <c r="G6080" s="205">
        <f>VLOOKUP(D6080,upahbahan,3,FALSE)</f>
        <v>160000</v>
      </c>
      <c r="H6080" s="210">
        <f t="shared" si="449"/>
        <v>528</v>
      </c>
      <c r="L6080" s="200"/>
      <c r="M6080" s="200"/>
      <c r="N6080" s="200"/>
      <c r="O6080" s="200"/>
      <c r="P6080" s="200"/>
    </row>
    <row r="6081" spans="3:16" s="517" customFormat="1" ht="31.2" customHeight="1">
      <c r="C6081" s="207" t="s">
        <v>1208</v>
      </c>
      <c r="D6081" s="208"/>
      <c r="E6081" s="208"/>
      <c r="F6081" s="521"/>
      <c r="G6081" s="522"/>
      <c r="H6081" s="210">
        <f>SUM(H6078:H6080)</f>
        <v>11778</v>
      </c>
      <c r="L6081" s="523"/>
      <c r="M6081" s="523"/>
      <c r="N6081" s="523"/>
      <c r="O6081" s="523"/>
      <c r="P6081" s="523"/>
    </row>
    <row r="6082" spans="3:16" s="517" customFormat="1" ht="31.2" customHeight="1">
      <c r="C6082" s="543" t="s">
        <v>1209</v>
      </c>
      <c r="D6082" s="750" t="s">
        <v>1210</v>
      </c>
      <c r="E6082" s="197"/>
      <c r="F6082" s="751"/>
      <c r="G6082" s="197"/>
      <c r="H6082" s="752"/>
      <c r="L6082" s="200"/>
      <c r="M6082" s="200"/>
      <c r="N6082" s="200"/>
      <c r="O6082" s="200"/>
      <c r="P6082" s="200"/>
    </row>
    <row r="6083" spans="3:16" s="517" customFormat="1" ht="31.2" customHeight="1">
      <c r="C6083" s="543">
        <v>1</v>
      </c>
      <c r="D6083" s="750" t="s">
        <v>7541</v>
      </c>
      <c r="E6083" s="203" t="s">
        <v>44</v>
      </c>
      <c r="F6083" s="760">
        <v>9</v>
      </c>
      <c r="G6083" s="205">
        <f>VLOOKUP(D6083,upahbahan,3,FALSE)</f>
        <v>0</v>
      </c>
      <c r="H6083" s="210">
        <f t="shared" ref="H6083:H6088" si="450">F6083*G6083</f>
        <v>0</v>
      </c>
      <c r="L6083" s="200"/>
      <c r="M6083" s="200"/>
      <c r="N6083" s="200"/>
      <c r="O6083" s="200"/>
      <c r="P6083" s="200"/>
    </row>
    <row r="6084" spans="3:16" s="517" customFormat="1" ht="31.2" customHeight="1">
      <c r="C6084" s="543">
        <v>2</v>
      </c>
      <c r="D6084" s="750" t="s">
        <v>5563</v>
      </c>
      <c r="E6084" s="203" t="s">
        <v>65</v>
      </c>
      <c r="F6084" s="760">
        <v>0.01</v>
      </c>
      <c r="G6084" s="205">
        <f>VLOOKUP(D6084,upahbahan,3,FALSE)</f>
        <v>0</v>
      </c>
      <c r="H6084" s="210">
        <f t="shared" si="450"/>
        <v>0</v>
      </c>
      <c r="L6084" s="200"/>
      <c r="M6084" s="200"/>
      <c r="N6084" s="200"/>
      <c r="O6084" s="200"/>
      <c r="P6084" s="200"/>
    </row>
    <row r="6085" spans="3:16" s="517" customFormat="1" ht="31.2" customHeight="1">
      <c r="C6085" s="543">
        <v>3</v>
      </c>
      <c r="D6085" s="750" t="s">
        <v>5556</v>
      </c>
      <c r="E6085" s="203"/>
      <c r="F6085" s="753"/>
      <c r="G6085" s="197"/>
      <c r="H6085" s="210">
        <f t="shared" si="450"/>
        <v>0</v>
      </c>
      <c r="L6085" s="200"/>
      <c r="M6085" s="200"/>
      <c r="N6085" s="200"/>
      <c r="O6085" s="200"/>
      <c r="P6085" s="200"/>
    </row>
    <row r="6086" spans="3:16" s="517" customFormat="1" ht="31.2" customHeight="1">
      <c r="C6086" s="754" t="s">
        <v>5293</v>
      </c>
      <c r="D6086" s="750" t="s">
        <v>2084</v>
      </c>
      <c r="E6086" s="203" t="s">
        <v>42</v>
      </c>
      <c r="F6086" s="753">
        <v>0.02</v>
      </c>
      <c r="G6086" s="205">
        <f>VLOOKUP(D6086,upahbahan,3,FALSE)</f>
        <v>0</v>
      </c>
      <c r="H6086" s="210">
        <f t="shared" si="450"/>
        <v>0</v>
      </c>
      <c r="L6086" s="200"/>
      <c r="M6086" s="200"/>
      <c r="N6086" s="200"/>
      <c r="O6086" s="200"/>
      <c r="P6086" s="200"/>
    </row>
    <row r="6087" spans="3:16" s="517" customFormat="1" ht="31.2" customHeight="1">
      <c r="C6087" s="754" t="s">
        <v>5299</v>
      </c>
      <c r="D6087" s="750" t="s">
        <v>5566</v>
      </c>
      <c r="E6087" s="203" t="s">
        <v>42</v>
      </c>
      <c r="F6087" s="753">
        <v>5.0000000000000001E-3</v>
      </c>
      <c r="G6087" s="205">
        <f>VLOOKUP(D6087,upahbahan,3,FALSE)</f>
        <v>0</v>
      </c>
      <c r="H6087" s="210">
        <f t="shared" si="450"/>
        <v>0</v>
      </c>
      <c r="L6087" s="200"/>
      <c r="M6087" s="200"/>
      <c r="N6087" s="200"/>
      <c r="O6087" s="200"/>
      <c r="P6087" s="200"/>
    </row>
    <row r="6088" spans="3:16" s="517" customFormat="1" ht="31.2" customHeight="1">
      <c r="C6088" s="754" t="s">
        <v>5558</v>
      </c>
      <c r="D6088" s="750" t="s">
        <v>2325</v>
      </c>
      <c r="E6088" s="203" t="s">
        <v>42</v>
      </c>
      <c r="F6088" s="755">
        <v>1E-3</v>
      </c>
      <c r="G6088" s="205">
        <f>VLOOKUP(D6088,upahbahan,3,FALSE)</f>
        <v>0</v>
      </c>
      <c r="H6088" s="210">
        <f t="shared" si="450"/>
        <v>0</v>
      </c>
      <c r="L6088" s="200"/>
      <c r="M6088" s="200"/>
      <c r="N6088" s="200"/>
      <c r="O6088" s="200"/>
      <c r="P6088" s="200"/>
    </row>
    <row r="6089" spans="3:16" s="517" customFormat="1" ht="31.2" customHeight="1">
      <c r="C6089" s="207" t="s">
        <v>1214</v>
      </c>
      <c r="D6089" s="208"/>
      <c r="E6089" s="568"/>
      <c r="F6089" s="208"/>
      <c r="G6089" s="209"/>
      <c r="H6089" s="210">
        <f>SUM(H6083:H6088)</f>
        <v>0</v>
      </c>
      <c r="L6089" s="200"/>
      <c r="M6089" s="200"/>
      <c r="N6089" s="200"/>
      <c r="O6089" s="200"/>
      <c r="P6089" s="200"/>
    </row>
    <row r="6090" spans="3:16" s="517" customFormat="1" ht="31.2" customHeight="1">
      <c r="C6090" s="756" t="s">
        <v>1215</v>
      </c>
      <c r="D6090" s="196" t="s">
        <v>1216</v>
      </c>
      <c r="E6090" s="203"/>
      <c r="F6090" s="197"/>
      <c r="G6090" s="197"/>
      <c r="H6090" s="198"/>
      <c r="L6090" s="200"/>
      <c r="M6090" s="200"/>
      <c r="N6090" s="200"/>
      <c r="O6090" s="200"/>
      <c r="P6090" s="200"/>
    </row>
    <row r="6091" spans="3:16" s="517" customFormat="1" ht="31.2" customHeight="1">
      <c r="C6091" s="207" t="s">
        <v>1217</v>
      </c>
      <c r="D6091" s="208"/>
      <c r="E6091" s="208"/>
      <c r="F6091" s="208"/>
      <c r="G6091" s="209"/>
      <c r="H6091" s="240">
        <f>SUM(H6090)</f>
        <v>0</v>
      </c>
      <c r="L6091" s="200"/>
      <c r="M6091" s="200"/>
      <c r="N6091" s="200"/>
      <c r="O6091" s="200"/>
      <c r="P6091" s="200"/>
    </row>
    <row r="6092" spans="3:16" s="517" customFormat="1" ht="31.2" customHeight="1">
      <c r="C6092" s="223" t="s">
        <v>1218</v>
      </c>
      <c r="D6092" s="224" t="s">
        <v>1219</v>
      </c>
      <c r="E6092" s="225"/>
      <c r="F6092" s="225"/>
      <c r="G6092" s="226"/>
      <c r="H6092" s="210">
        <f>H6091+H6089+H6081</f>
        <v>11778</v>
      </c>
      <c r="L6092" s="200"/>
      <c r="M6092" s="200"/>
      <c r="N6092" s="200"/>
      <c r="O6092" s="200"/>
      <c r="P6092" s="200"/>
    </row>
    <row r="6093" spans="3:16" s="517" customFormat="1" ht="31.2" customHeight="1">
      <c r="C6093" s="223" t="s">
        <v>1220</v>
      </c>
      <c r="D6093" s="224" t="s">
        <v>1321</v>
      </c>
      <c r="E6093" s="225"/>
      <c r="F6093" s="226"/>
      <c r="G6093" s="228">
        <v>0.1</v>
      </c>
      <c r="H6093" s="210">
        <f>H6092*G6093</f>
        <v>1177.8</v>
      </c>
      <c r="L6093" s="200"/>
      <c r="M6093" s="200"/>
      <c r="N6093" s="200"/>
      <c r="O6093" s="200"/>
      <c r="P6093" s="200"/>
    </row>
    <row r="6094" spans="3:16" s="517" customFormat="1" ht="31.2" customHeight="1" thickBot="1">
      <c r="C6094" s="229" t="s">
        <v>1221</v>
      </c>
      <c r="D6094" s="230" t="s">
        <v>1222</v>
      </c>
      <c r="E6094" s="231"/>
      <c r="F6094" s="231"/>
      <c r="G6094" s="232"/>
      <c r="H6094" s="233">
        <f>SUM(H6092:H6093)</f>
        <v>12955.8</v>
      </c>
      <c r="L6094" s="200"/>
      <c r="M6094" s="200"/>
      <c r="N6094" s="200"/>
      <c r="O6094" s="200"/>
      <c r="P6094" s="200"/>
    </row>
    <row r="6095" spans="3:16" ht="31.2" customHeight="1" thickTop="1">
      <c r="D6095" s="758"/>
    </row>
    <row r="6096" spans="3:16" ht="31.2" customHeight="1">
      <c r="C6096" s="757" t="s">
        <v>6950</v>
      </c>
      <c r="F6096" s="758"/>
      <c r="H6096" s="758" t="s">
        <v>6959</v>
      </c>
    </row>
    <row r="6097" spans="3:20" ht="31.2" customHeight="1">
      <c r="C6097" s="200" t="s">
        <v>6951</v>
      </c>
      <c r="F6097" s="758"/>
    </row>
    <row r="6098" spans="3:20" ht="31.2" customHeight="1">
      <c r="C6098" s="200" t="s">
        <v>6952</v>
      </c>
      <c r="F6098" s="758"/>
    </row>
    <row r="6099" spans="3:20" ht="31.2" customHeight="1">
      <c r="C6099" s="200"/>
      <c r="F6099" s="758"/>
    </row>
    <row r="6100" spans="3:20" s="517" customFormat="1" ht="31.2" customHeight="1" thickBot="1">
      <c r="C6100" s="513" t="s">
        <v>7542</v>
      </c>
      <c r="D6100" s="748" t="s">
        <v>7543</v>
      </c>
      <c r="E6100" s="749"/>
      <c r="F6100" s="748"/>
      <c r="G6100" s="748"/>
      <c r="H6100" s="532"/>
      <c r="I6100" s="532"/>
      <c r="J6100" s="532"/>
      <c r="K6100" s="532"/>
      <c r="M6100" s="189"/>
      <c r="N6100" s="189"/>
      <c r="O6100" s="189"/>
      <c r="P6100" s="189"/>
      <c r="R6100" s="189">
        <f>ROUNDDOWN(H6119,-2)</f>
        <v>12900</v>
      </c>
      <c r="S6100" s="517" t="s">
        <v>6451</v>
      </c>
      <c r="T6100" s="517" t="s">
        <v>7014</v>
      </c>
    </row>
    <row r="6101" spans="3:20" s="517" customFormat="1" ht="31.2" customHeight="1" thickTop="1">
      <c r="C6101" s="190" t="s">
        <v>1195</v>
      </c>
      <c r="D6101" s="191" t="s">
        <v>1196</v>
      </c>
      <c r="E6101" s="191" t="s">
        <v>1197</v>
      </c>
      <c r="F6101" s="191" t="s">
        <v>1198</v>
      </c>
      <c r="G6101" s="191" t="s">
        <v>1199</v>
      </c>
      <c r="H6101" s="192" t="s">
        <v>1200</v>
      </c>
      <c r="L6101" s="200"/>
      <c r="M6101" s="200"/>
      <c r="N6101" s="200"/>
      <c r="O6101" s="200"/>
      <c r="P6101" s="200"/>
    </row>
    <row r="6102" spans="3:20" s="517" customFormat="1" ht="31.2" customHeight="1">
      <c r="C6102" s="518" t="s">
        <v>1201</v>
      </c>
      <c r="D6102" s="196" t="s">
        <v>1202</v>
      </c>
      <c r="E6102" s="197"/>
      <c r="F6102" s="197"/>
      <c r="G6102" s="197"/>
      <c r="H6102" s="198"/>
      <c r="L6102" s="200"/>
      <c r="M6102" s="200"/>
      <c r="N6102" s="200"/>
      <c r="O6102" s="200"/>
      <c r="P6102" s="200"/>
    </row>
    <row r="6103" spans="3:20" s="517" customFormat="1" ht="31.2" customHeight="1">
      <c r="C6103" s="537">
        <v>1</v>
      </c>
      <c r="D6103" s="196" t="s">
        <v>6954</v>
      </c>
      <c r="E6103" s="202" t="s">
        <v>6</v>
      </c>
      <c r="F6103" s="520">
        <v>0.05</v>
      </c>
      <c r="G6103" s="205">
        <f>VLOOKUP(D6103,upahbahan,3,FALSE)</f>
        <v>181250</v>
      </c>
      <c r="H6103" s="210">
        <f t="shared" ref="H6103:H6105" si="451">F6103*G6103</f>
        <v>9062.5</v>
      </c>
      <c r="L6103" s="200"/>
      <c r="M6103" s="200"/>
      <c r="N6103" s="200"/>
      <c r="O6103" s="200"/>
      <c r="P6103" s="200"/>
    </row>
    <row r="6104" spans="3:20" s="517" customFormat="1" ht="31.2" customHeight="1">
      <c r="C6104" s="537">
        <v>2</v>
      </c>
      <c r="D6104" s="196" t="s">
        <v>6948</v>
      </c>
      <c r="E6104" s="202" t="s">
        <v>2102</v>
      </c>
      <c r="F6104" s="520">
        <v>0.01</v>
      </c>
      <c r="G6104" s="205">
        <f>VLOOKUP(D6104,upahbahan,3,FALSE)</f>
        <v>218750</v>
      </c>
      <c r="H6104" s="210">
        <f t="shared" si="451"/>
        <v>2187.5</v>
      </c>
      <c r="L6104" s="200"/>
      <c r="M6104" s="200"/>
      <c r="N6104" s="200"/>
      <c r="O6104" s="200"/>
      <c r="P6104" s="200"/>
    </row>
    <row r="6105" spans="3:20" s="517" customFormat="1" ht="31.2" customHeight="1">
      <c r="C6105" s="537">
        <v>3</v>
      </c>
      <c r="D6105" s="196" t="s">
        <v>19</v>
      </c>
      <c r="E6105" s="202" t="s">
        <v>6</v>
      </c>
      <c r="F6105" s="520">
        <v>3.3E-3</v>
      </c>
      <c r="G6105" s="205">
        <f>VLOOKUP(D6105,upahbahan,3,FALSE)</f>
        <v>160000</v>
      </c>
      <c r="H6105" s="210">
        <f t="shared" si="451"/>
        <v>528</v>
      </c>
      <c r="L6105" s="200"/>
      <c r="M6105" s="200"/>
      <c r="N6105" s="200"/>
      <c r="O6105" s="200"/>
      <c r="P6105" s="200"/>
    </row>
    <row r="6106" spans="3:20" s="517" customFormat="1" ht="31.2" customHeight="1">
      <c r="C6106" s="207" t="s">
        <v>1208</v>
      </c>
      <c r="D6106" s="208"/>
      <c r="E6106" s="208"/>
      <c r="F6106" s="521"/>
      <c r="G6106" s="522"/>
      <c r="H6106" s="210">
        <f>SUM(H6103:H6105)</f>
        <v>11778</v>
      </c>
      <c r="L6106" s="523"/>
      <c r="M6106" s="523"/>
      <c r="N6106" s="523"/>
      <c r="O6106" s="523"/>
      <c r="P6106" s="523"/>
    </row>
    <row r="6107" spans="3:20" s="517" customFormat="1" ht="31.2" customHeight="1">
      <c r="C6107" s="543" t="s">
        <v>1209</v>
      </c>
      <c r="D6107" s="750" t="s">
        <v>1210</v>
      </c>
      <c r="E6107" s="197"/>
      <c r="F6107" s="751"/>
      <c r="G6107" s="197"/>
      <c r="H6107" s="752"/>
      <c r="L6107" s="200"/>
      <c r="M6107" s="200"/>
      <c r="N6107" s="200"/>
      <c r="O6107" s="200"/>
      <c r="P6107" s="200"/>
    </row>
    <row r="6108" spans="3:20" s="517" customFormat="1" ht="31.2" customHeight="1">
      <c r="C6108" s="543">
        <v>1</v>
      </c>
      <c r="D6108" s="750" t="s">
        <v>7544</v>
      </c>
      <c r="E6108" s="203" t="s">
        <v>44</v>
      </c>
      <c r="F6108" s="760">
        <v>9</v>
      </c>
      <c r="G6108" s="205">
        <f>VLOOKUP(D6108,upahbahan,3,FALSE)</f>
        <v>0</v>
      </c>
      <c r="H6108" s="210">
        <f t="shared" ref="H6108:H6113" si="452">F6108*G6108</f>
        <v>0</v>
      </c>
      <c r="L6108" s="200"/>
      <c r="M6108" s="200"/>
      <c r="N6108" s="200"/>
      <c r="O6108" s="200"/>
      <c r="P6108" s="200"/>
    </row>
    <row r="6109" spans="3:20" s="517" customFormat="1" ht="31.2" customHeight="1">
      <c r="C6109" s="543">
        <v>2</v>
      </c>
      <c r="D6109" s="750" t="s">
        <v>5563</v>
      </c>
      <c r="E6109" s="203" t="s">
        <v>65</v>
      </c>
      <c r="F6109" s="760">
        <v>0.01</v>
      </c>
      <c r="G6109" s="205">
        <f>VLOOKUP(D6109,upahbahan,3,FALSE)</f>
        <v>0</v>
      </c>
      <c r="H6109" s="210">
        <f t="shared" si="452"/>
        <v>0</v>
      </c>
      <c r="L6109" s="200"/>
      <c r="M6109" s="200"/>
      <c r="N6109" s="200"/>
      <c r="O6109" s="200"/>
      <c r="P6109" s="200"/>
    </row>
    <row r="6110" spans="3:20" s="517" customFormat="1" ht="31.2" customHeight="1">
      <c r="C6110" s="543">
        <v>3</v>
      </c>
      <c r="D6110" s="750" t="s">
        <v>5556</v>
      </c>
      <c r="E6110" s="203"/>
      <c r="F6110" s="753"/>
      <c r="G6110" s="197"/>
      <c r="H6110" s="210">
        <f t="shared" si="452"/>
        <v>0</v>
      </c>
      <c r="L6110" s="200"/>
      <c r="M6110" s="200"/>
      <c r="N6110" s="200"/>
      <c r="O6110" s="200"/>
      <c r="P6110" s="200"/>
    </row>
    <row r="6111" spans="3:20" s="517" customFormat="1" ht="31.2" customHeight="1">
      <c r="C6111" s="754" t="s">
        <v>5293</v>
      </c>
      <c r="D6111" s="750" t="s">
        <v>2084</v>
      </c>
      <c r="E6111" s="203" t="s">
        <v>42</v>
      </c>
      <c r="F6111" s="753">
        <v>0.02</v>
      </c>
      <c r="G6111" s="205">
        <f>VLOOKUP(D6111,upahbahan,3,FALSE)</f>
        <v>0</v>
      </c>
      <c r="H6111" s="210">
        <f t="shared" si="452"/>
        <v>0</v>
      </c>
      <c r="L6111" s="200"/>
      <c r="M6111" s="200"/>
      <c r="N6111" s="200"/>
      <c r="O6111" s="200"/>
      <c r="P6111" s="200"/>
    </row>
    <row r="6112" spans="3:20" s="517" customFormat="1" ht="31.2" customHeight="1">
      <c r="C6112" s="754" t="s">
        <v>5299</v>
      </c>
      <c r="D6112" s="750" t="s">
        <v>5566</v>
      </c>
      <c r="E6112" s="203" t="s">
        <v>42</v>
      </c>
      <c r="F6112" s="753">
        <v>5.0000000000000001E-3</v>
      </c>
      <c r="G6112" s="205">
        <f>VLOOKUP(D6112,upahbahan,3,FALSE)</f>
        <v>0</v>
      </c>
      <c r="H6112" s="210">
        <f t="shared" si="452"/>
        <v>0</v>
      </c>
      <c r="L6112" s="200"/>
      <c r="M6112" s="200"/>
      <c r="N6112" s="200"/>
      <c r="O6112" s="200"/>
      <c r="P6112" s="200"/>
    </row>
    <row r="6113" spans="3:20" s="517" customFormat="1" ht="31.2" customHeight="1">
      <c r="C6113" s="754" t="s">
        <v>5558</v>
      </c>
      <c r="D6113" s="750" t="s">
        <v>2325</v>
      </c>
      <c r="E6113" s="203" t="s">
        <v>42</v>
      </c>
      <c r="F6113" s="755">
        <v>1E-3</v>
      </c>
      <c r="G6113" s="205">
        <f>VLOOKUP(D6113,upahbahan,3,FALSE)</f>
        <v>0</v>
      </c>
      <c r="H6113" s="210">
        <f t="shared" si="452"/>
        <v>0</v>
      </c>
      <c r="L6113" s="200"/>
      <c r="M6113" s="200"/>
      <c r="N6113" s="200"/>
      <c r="O6113" s="200"/>
      <c r="P6113" s="200"/>
    </row>
    <row r="6114" spans="3:20" s="517" customFormat="1" ht="31.2" customHeight="1">
      <c r="C6114" s="207" t="s">
        <v>1214</v>
      </c>
      <c r="D6114" s="208"/>
      <c r="E6114" s="568"/>
      <c r="F6114" s="208"/>
      <c r="G6114" s="209"/>
      <c r="H6114" s="210">
        <f>SUM(H6108:H6113)</f>
        <v>0</v>
      </c>
      <c r="L6114" s="200"/>
      <c r="M6114" s="200"/>
      <c r="N6114" s="200"/>
      <c r="O6114" s="200"/>
      <c r="P6114" s="200"/>
    </row>
    <row r="6115" spans="3:20" s="517" customFormat="1" ht="31.2" customHeight="1">
      <c r="C6115" s="756" t="s">
        <v>1215</v>
      </c>
      <c r="D6115" s="196" t="s">
        <v>1216</v>
      </c>
      <c r="E6115" s="203"/>
      <c r="F6115" s="197"/>
      <c r="G6115" s="197"/>
      <c r="H6115" s="198"/>
      <c r="L6115" s="200"/>
      <c r="M6115" s="200"/>
      <c r="N6115" s="200"/>
      <c r="O6115" s="200"/>
      <c r="P6115" s="200"/>
    </row>
    <row r="6116" spans="3:20" s="517" customFormat="1" ht="31.2" customHeight="1">
      <c r="C6116" s="207" t="s">
        <v>1217</v>
      </c>
      <c r="D6116" s="208"/>
      <c r="E6116" s="208"/>
      <c r="F6116" s="208"/>
      <c r="G6116" s="209"/>
      <c r="H6116" s="240">
        <f>SUM(H6115)</f>
        <v>0</v>
      </c>
      <c r="L6116" s="200"/>
      <c r="M6116" s="200"/>
      <c r="N6116" s="200"/>
      <c r="O6116" s="200"/>
      <c r="P6116" s="200"/>
    </row>
    <row r="6117" spans="3:20" s="517" customFormat="1" ht="31.2" customHeight="1">
      <c r="C6117" s="223" t="s">
        <v>1218</v>
      </c>
      <c r="D6117" s="224" t="s">
        <v>1219</v>
      </c>
      <c r="E6117" s="225"/>
      <c r="F6117" s="225"/>
      <c r="G6117" s="226"/>
      <c r="H6117" s="210">
        <f>H6116+H6114+H6106</f>
        <v>11778</v>
      </c>
      <c r="L6117" s="200"/>
      <c r="M6117" s="200"/>
      <c r="N6117" s="200"/>
      <c r="O6117" s="200"/>
      <c r="P6117" s="200"/>
    </row>
    <row r="6118" spans="3:20" s="517" customFormat="1" ht="31.2" customHeight="1">
      <c r="C6118" s="223" t="s">
        <v>1220</v>
      </c>
      <c r="D6118" s="224" t="s">
        <v>1321</v>
      </c>
      <c r="E6118" s="225"/>
      <c r="F6118" s="226"/>
      <c r="G6118" s="228">
        <v>0.1</v>
      </c>
      <c r="H6118" s="210">
        <f>H6117*G6118</f>
        <v>1177.8</v>
      </c>
      <c r="L6118" s="200"/>
      <c r="M6118" s="200"/>
      <c r="N6118" s="200"/>
      <c r="O6118" s="200"/>
      <c r="P6118" s="200"/>
    </row>
    <row r="6119" spans="3:20" s="517" customFormat="1" ht="31.2" customHeight="1" thickBot="1">
      <c r="C6119" s="229" t="s">
        <v>1221</v>
      </c>
      <c r="D6119" s="230" t="s">
        <v>1222</v>
      </c>
      <c r="E6119" s="231"/>
      <c r="F6119" s="231"/>
      <c r="G6119" s="232"/>
      <c r="H6119" s="233">
        <f>SUM(H6117:H6118)</f>
        <v>12955.8</v>
      </c>
      <c r="L6119" s="200"/>
      <c r="M6119" s="200"/>
      <c r="N6119" s="200"/>
      <c r="O6119" s="200"/>
      <c r="P6119" s="200"/>
    </row>
    <row r="6120" spans="3:20" ht="31.2" customHeight="1" thickTop="1">
      <c r="D6120" s="758"/>
    </row>
    <row r="6121" spans="3:20" ht="31.2" customHeight="1">
      <c r="C6121" s="757" t="s">
        <v>6950</v>
      </c>
      <c r="F6121" s="758"/>
      <c r="H6121" s="758" t="s">
        <v>6959</v>
      </c>
    </row>
    <row r="6122" spans="3:20" ht="31.2" customHeight="1">
      <c r="C6122" s="200" t="s">
        <v>6951</v>
      </c>
      <c r="F6122" s="758"/>
    </row>
    <row r="6123" spans="3:20" ht="31.2" customHeight="1">
      <c r="C6123" s="200" t="s">
        <v>6952</v>
      </c>
      <c r="F6123" s="758"/>
    </row>
    <row r="6124" spans="3:20" ht="31.2" customHeight="1">
      <c r="C6124" s="200"/>
      <c r="F6124" s="758"/>
    </row>
    <row r="6125" spans="3:20" ht="31.2" customHeight="1">
      <c r="C6125" s="199" t="s">
        <v>7545</v>
      </c>
      <c r="D6125" s="187" t="s">
        <v>5596</v>
      </c>
      <c r="F6125" s="758"/>
    </row>
    <row r="6126" spans="3:20" s="517" customFormat="1" ht="31.2" customHeight="1" thickBot="1">
      <c r="C6126" s="513" t="s">
        <v>5597</v>
      </c>
      <c r="D6126" s="748" t="s">
        <v>7547</v>
      </c>
      <c r="E6126" s="749"/>
      <c r="F6126" s="748"/>
      <c r="G6126" s="748"/>
      <c r="H6126" s="532"/>
      <c r="I6126" s="532"/>
      <c r="J6126" s="532"/>
      <c r="K6126" s="532"/>
      <c r="M6126" s="189"/>
      <c r="N6126" s="189"/>
      <c r="O6126" s="189"/>
      <c r="P6126" s="189"/>
      <c r="R6126" s="189">
        <f>ROUNDDOWN(H6145,-2)</f>
        <v>10900</v>
      </c>
      <c r="S6126" s="517" t="s">
        <v>6451</v>
      </c>
      <c r="T6126" s="517" t="s">
        <v>7546</v>
      </c>
    </row>
    <row r="6127" spans="3:20" s="517" customFormat="1" ht="31.2" customHeight="1" thickTop="1">
      <c r="C6127" s="190" t="s">
        <v>1195</v>
      </c>
      <c r="D6127" s="191" t="s">
        <v>1196</v>
      </c>
      <c r="E6127" s="191" t="s">
        <v>1197</v>
      </c>
      <c r="F6127" s="191" t="s">
        <v>1198</v>
      </c>
      <c r="G6127" s="191" t="s">
        <v>1199</v>
      </c>
      <c r="H6127" s="192" t="s">
        <v>1200</v>
      </c>
      <c r="L6127" s="200"/>
      <c r="M6127" s="200"/>
      <c r="N6127" s="200"/>
      <c r="O6127" s="200"/>
      <c r="P6127" s="200"/>
    </row>
    <row r="6128" spans="3:20" s="517" customFormat="1" ht="31.2" customHeight="1">
      <c r="C6128" s="518" t="s">
        <v>1201</v>
      </c>
      <c r="D6128" s="196" t="s">
        <v>1202</v>
      </c>
      <c r="E6128" s="197"/>
      <c r="F6128" s="197"/>
      <c r="G6128" s="197"/>
      <c r="H6128" s="198"/>
      <c r="L6128" s="200"/>
      <c r="M6128" s="200"/>
      <c r="N6128" s="200"/>
      <c r="O6128" s="200"/>
      <c r="P6128" s="200"/>
    </row>
    <row r="6129" spans="3:16" s="517" customFormat="1" ht="31.2" customHeight="1">
      <c r="C6129" s="537">
        <v>1</v>
      </c>
      <c r="D6129" s="196" t="s">
        <v>6954</v>
      </c>
      <c r="E6129" s="202" t="s">
        <v>6</v>
      </c>
      <c r="F6129" s="520">
        <v>0.04</v>
      </c>
      <c r="G6129" s="205">
        <f>VLOOKUP(D6129,upahbahan,3,FALSE)</f>
        <v>181250</v>
      </c>
      <c r="H6129" s="210">
        <f t="shared" ref="H6129:H6131" si="453">F6129*G6129</f>
        <v>7250</v>
      </c>
      <c r="L6129" s="200"/>
      <c r="M6129" s="200"/>
      <c r="N6129" s="200"/>
      <c r="O6129" s="200"/>
      <c r="P6129" s="200"/>
    </row>
    <row r="6130" spans="3:16" s="517" customFormat="1" ht="31.2" customHeight="1">
      <c r="C6130" s="537">
        <v>2</v>
      </c>
      <c r="D6130" s="196" t="s">
        <v>6948</v>
      </c>
      <c r="E6130" s="202" t="s">
        <v>2102</v>
      </c>
      <c r="F6130" s="520">
        <v>0.01</v>
      </c>
      <c r="G6130" s="205">
        <f>VLOOKUP(D6130,upahbahan,3,FALSE)</f>
        <v>218750</v>
      </c>
      <c r="H6130" s="210">
        <f t="shared" si="453"/>
        <v>2187.5</v>
      </c>
      <c r="L6130" s="200"/>
      <c r="M6130" s="200"/>
      <c r="N6130" s="200"/>
      <c r="O6130" s="200"/>
      <c r="P6130" s="200"/>
    </row>
    <row r="6131" spans="3:16" s="517" customFormat="1" ht="31.2" customHeight="1">
      <c r="C6131" s="537">
        <v>3</v>
      </c>
      <c r="D6131" s="196" t="s">
        <v>19</v>
      </c>
      <c r="E6131" s="202" t="s">
        <v>6</v>
      </c>
      <c r="F6131" s="520">
        <v>3.3E-3</v>
      </c>
      <c r="G6131" s="205">
        <f>VLOOKUP(D6131,upahbahan,3,FALSE)</f>
        <v>160000</v>
      </c>
      <c r="H6131" s="210">
        <f t="shared" si="453"/>
        <v>528</v>
      </c>
      <c r="L6131" s="200"/>
      <c r="M6131" s="200"/>
      <c r="N6131" s="200"/>
      <c r="O6131" s="200"/>
      <c r="P6131" s="200"/>
    </row>
    <row r="6132" spans="3:16" s="517" customFormat="1" ht="31.2" customHeight="1">
      <c r="C6132" s="207" t="s">
        <v>1208</v>
      </c>
      <c r="D6132" s="208"/>
      <c r="E6132" s="208"/>
      <c r="F6132" s="521"/>
      <c r="G6132" s="522"/>
      <c r="H6132" s="210">
        <f>SUM(H6129:H6131)</f>
        <v>9965.5</v>
      </c>
      <c r="L6132" s="523"/>
      <c r="M6132" s="523"/>
      <c r="N6132" s="523"/>
      <c r="O6132" s="523"/>
      <c r="P6132" s="523"/>
    </row>
    <row r="6133" spans="3:16" s="517" customFormat="1" ht="31.2" customHeight="1">
      <c r="C6133" s="543" t="s">
        <v>1209</v>
      </c>
      <c r="D6133" s="750" t="s">
        <v>1210</v>
      </c>
      <c r="E6133" s="197"/>
      <c r="F6133" s="751"/>
      <c r="G6133" s="197"/>
      <c r="H6133" s="752"/>
      <c r="L6133" s="200"/>
      <c r="M6133" s="200"/>
      <c r="N6133" s="200"/>
      <c r="O6133" s="200"/>
      <c r="P6133" s="200"/>
    </row>
    <row r="6134" spans="3:16" s="517" customFormat="1" ht="31.2" customHeight="1">
      <c r="C6134" s="543">
        <v>1</v>
      </c>
      <c r="D6134" s="750" t="s">
        <v>7548</v>
      </c>
      <c r="E6134" s="203" t="s">
        <v>44</v>
      </c>
      <c r="F6134" s="760">
        <v>1</v>
      </c>
      <c r="G6134" s="205">
        <f>VLOOKUP(D6134,upahbahan,3,FALSE)</f>
        <v>0</v>
      </c>
      <c r="H6134" s="210">
        <f t="shared" ref="H6134:H6139" si="454">F6134*G6134</f>
        <v>0</v>
      </c>
      <c r="L6134" s="200"/>
      <c r="M6134" s="200"/>
      <c r="N6134" s="200"/>
      <c r="O6134" s="200"/>
      <c r="P6134" s="200"/>
    </row>
    <row r="6135" spans="3:16" s="517" customFormat="1" ht="31.2" customHeight="1">
      <c r="C6135" s="543">
        <v>2</v>
      </c>
      <c r="D6135" s="750" t="s">
        <v>5563</v>
      </c>
      <c r="E6135" s="203" t="s">
        <v>65</v>
      </c>
      <c r="F6135" s="760">
        <v>0.01</v>
      </c>
      <c r="G6135" s="205">
        <f>VLOOKUP(D6135,upahbahan,3,FALSE)</f>
        <v>0</v>
      </c>
      <c r="H6135" s="210">
        <f t="shared" si="454"/>
        <v>0</v>
      </c>
      <c r="L6135" s="200"/>
      <c r="M6135" s="200"/>
      <c r="N6135" s="200"/>
      <c r="O6135" s="200"/>
      <c r="P6135" s="200"/>
    </row>
    <row r="6136" spans="3:16" s="517" customFormat="1" ht="31.2" customHeight="1">
      <c r="C6136" s="543">
        <v>3</v>
      </c>
      <c r="D6136" s="750" t="s">
        <v>5556</v>
      </c>
      <c r="E6136" s="203"/>
      <c r="F6136" s="753"/>
      <c r="G6136" s="197"/>
      <c r="H6136" s="210">
        <f t="shared" si="454"/>
        <v>0</v>
      </c>
      <c r="L6136" s="200"/>
      <c r="M6136" s="200"/>
      <c r="N6136" s="200"/>
      <c r="O6136" s="200"/>
      <c r="P6136" s="200"/>
    </row>
    <row r="6137" spans="3:16" s="517" customFormat="1" ht="31.2" customHeight="1">
      <c r="C6137" s="754" t="s">
        <v>5293</v>
      </c>
      <c r="D6137" s="750" t="s">
        <v>2084</v>
      </c>
      <c r="E6137" s="203" t="s">
        <v>42</v>
      </c>
      <c r="F6137" s="753">
        <v>5.0000000000000001E-4</v>
      </c>
      <c r="G6137" s="205">
        <f>VLOOKUP(D6137,upahbahan,3,FALSE)</f>
        <v>0</v>
      </c>
      <c r="H6137" s="210">
        <f t="shared" si="454"/>
        <v>0</v>
      </c>
      <c r="L6137" s="200"/>
      <c r="M6137" s="200"/>
      <c r="N6137" s="200"/>
      <c r="O6137" s="200"/>
      <c r="P6137" s="200"/>
    </row>
    <row r="6138" spans="3:16" s="517" customFormat="1" ht="31.2" customHeight="1">
      <c r="C6138" s="754" t="s">
        <v>5299</v>
      </c>
      <c r="D6138" s="750" t="s">
        <v>5566</v>
      </c>
      <c r="E6138" s="203" t="s">
        <v>42</v>
      </c>
      <c r="F6138" s="753">
        <v>1E-4</v>
      </c>
      <c r="G6138" s="205">
        <f>VLOOKUP(D6138,upahbahan,3,FALSE)</f>
        <v>0</v>
      </c>
      <c r="H6138" s="210">
        <f t="shared" si="454"/>
        <v>0</v>
      </c>
      <c r="L6138" s="200"/>
      <c r="M6138" s="200"/>
      <c r="N6138" s="200"/>
      <c r="O6138" s="200"/>
      <c r="P6138" s="200"/>
    </row>
    <row r="6139" spans="3:16" s="517" customFormat="1" ht="31.2" customHeight="1">
      <c r="C6139" s="754" t="s">
        <v>5558</v>
      </c>
      <c r="D6139" s="750" t="s">
        <v>2325</v>
      </c>
      <c r="E6139" s="203" t="s">
        <v>42</v>
      </c>
      <c r="F6139" s="762">
        <v>2.9999999999999997E-4</v>
      </c>
      <c r="G6139" s="205">
        <f>VLOOKUP(D6139,upahbahan,3,FALSE)</f>
        <v>0</v>
      </c>
      <c r="H6139" s="210">
        <f t="shared" si="454"/>
        <v>0</v>
      </c>
      <c r="L6139" s="200"/>
      <c r="M6139" s="200"/>
      <c r="N6139" s="200"/>
      <c r="O6139" s="200"/>
      <c r="P6139" s="200"/>
    </row>
    <row r="6140" spans="3:16" s="517" customFormat="1" ht="31.2" customHeight="1">
      <c r="C6140" s="207" t="s">
        <v>1214</v>
      </c>
      <c r="D6140" s="208"/>
      <c r="E6140" s="568"/>
      <c r="F6140" s="208"/>
      <c r="G6140" s="209"/>
      <c r="H6140" s="210">
        <f>SUM(H6134:H6139)</f>
        <v>0</v>
      </c>
      <c r="L6140" s="200"/>
      <c r="M6140" s="200"/>
      <c r="N6140" s="200"/>
      <c r="O6140" s="200"/>
      <c r="P6140" s="200"/>
    </row>
    <row r="6141" spans="3:16" s="517" customFormat="1" ht="31.2" customHeight="1">
      <c r="C6141" s="756" t="s">
        <v>1215</v>
      </c>
      <c r="D6141" s="196" t="s">
        <v>1216</v>
      </c>
      <c r="E6141" s="203"/>
      <c r="F6141" s="197"/>
      <c r="G6141" s="197"/>
      <c r="H6141" s="198"/>
      <c r="L6141" s="200"/>
      <c r="M6141" s="200"/>
      <c r="N6141" s="200"/>
      <c r="O6141" s="200"/>
      <c r="P6141" s="200"/>
    </row>
    <row r="6142" spans="3:16" s="517" customFormat="1" ht="31.2" customHeight="1">
      <c r="C6142" s="207" t="s">
        <v>1217</v>
      </c>
      <c r="D6142" s="208"/>
      <c r="E6142" s="208"/>
      <c r="F6142" s="208"/>
      <c r="G6142" s="209"/>
      <c r="H6142" s="240">
        <f>SUM(H6141)</f>
        <v>0</v>
      </c>
      <c r="L6142" s="200"/>
      <c r="M6142" s="200"/>
      <c r="N6142" s="200"/>
      <c r="O6142" s="200"/>
      <c r="P6142" s="200"/>
    </row>
    <row r="6143" spans="3:16" s="517" customFormat="1" ht="31.2" customHeight="1">
      <c r="C6143" s="223" t="s">
        <v>1218</v>
      </c>
      <c r="D6143" s="224" t="s">
        <v>1219</v>
      </c>
      <c r="E6143" s="225"/>
      <c r="F6143" s="225"/>
      <c r="G6143" s="226"/>
      <c r="H6143" s="210">
        <f>H6142+H6140+H6132</f>
        <v>9965.5</v>
      </c>
      <c r="L6143" s="200"/>
      <c r="M6143" s="200"/>
      <c r="N6143" s="200"/>
      <c r="O6143" s="200"/>
      <c r="P6143" s="200"/>
    </row>
    <row r="6144" spans="3:16" s="517" customFormat="1" ht="31.2" customHeight="1">
      <c r="C6144" s="223" t="s">
        <v>1220</v>
      </c>
      <c r="D6144" s="224" t="s">
        <v>1321</v>
      </c>
      <c r="E6144" s="225"/>
      <c r="F6144" s="226"/>
      <c r="G6144" s="228">
        <v>0.1</v>
      </c>
      <c r="H6144" s="210">
        <f>H6143*G6144</f>
        <v>996.55000000000007</v>
      </c>
      <c r="L6144" s="200"/>
      <c r="M6144" s="200"/>
      <c r="N6144" s="200"/>
      <c r="O6144" s="200"/>
      <c r="P6144" s="200"/>
    </row>
    <row r="6145" spans="3:20" s="517" customFormat="1" ht="31.2" customHeight="1" thickBot="1">
      <c r="C6145" s="229" t="s">
        <v>1221</v>
      </c>
      <c r="D6145" s="230" t="s">
        <v>1222</v>
      </c>
      <c r="E6145" s="231"/>
      <c r="F6145" s="231"/>
      <c r="G6145" s="232"/>
      <c r="H6145" s="233">
        <f>SUM(H6143:H6144)</f>
        <v>10962.05</v>
      </c>
      <c r="L6145" s="200"/>
      <c r="M6145" s="200"/>
      <c r="N6145" s="200"/>
      <c r="O6145" s="200"/>
      <c r="P6145" s="200"/>
    </row>
    <row r="6146" spans="3:20" ht="31.2" customHeight="1" thickTop="1">
      <c r="D6146" s="758"/>
    </row>
    <row r="6147" spans="3:20" ht="31.2" customHeight="1">
      <c r="C6147" s="757" t="s">
        <v>6950</v>
      </c>
      <c r="F6147" s="758"/>
      <c r="H6147" s="758" t="s">
        <v>6959</v>
      </c>
    </row>
    <row r="6148" spans="3:20" ht="31.2" customHeight="1">
      <c r="C6148" s="200" t="s">
        <v>6951</v>
      </c>
      <c r="F6148" s="758"/>
    </row>
    <row r="6149" spans="3:20" ht="31.2" customHeight="1">
      <c r="C6149" s="200" t="s">
        <v>6952</v>
      </c>
      <c r="F6149" s="758"/>
    </row>
    <row r="6150" spans="3:20" ht="31.2" customHeight="1">
      <c r="C6150" s="200"/>
      <c r="F6150" s="758"/>
    </row>
    <row r="6151" spans="3:20" s="517" customFormat="1" ht="31.2" customHeight="1" thickBot="1">
      <c r="C6151" s="513" t="s">
        <v>7700</v>
      </c>
      <c r="D6151" s="748" t="s">
        <v>7549</v>
      </c>
      <c r="E6151" s="749"/>
      <c r="F6151" s="748"/>
      <c r="G6151" s="748"/>
      <c r="H6151" s="532"/>
      <c r="I6151" s="532"/>
      <c r="J6151" s="532"/>
      <c r="K6151" s="532"/>
      <c r="M6151" s="189"/>
      <c r="N6151" s="189"/>
      <c r="O6151" s="189"/>
      <c r="P6151" s="189"/>
      <c r="R6151" s="189">
        <f>ROUNDDOWN(H6170,-2)</f>
        <v>10900</v>
      </c>
      <c r="S6151" s="517" t="s">
        <v>6451</v>
      </c>
      <c r="T6151" s="517" t="s">
        <v>7014</v>
      </c>
    </row>
    <row r="6152" spans="3:20" s="517" customFormat="1" ht="31.2" customHeight="1" thickTop="1">
      <c r="C6152" s="190" t="s">
        <v>1195</v>
      </c>
      <c r="D6152" s="191" t="s">
        <v>1196</v>
      </c>
      <c r="E6152" s="191" t="s">
        <v>1197</v>
      </c>
      <c r="F6152" s="191" t="s">
        <v>1198</v>
      </c>
      <c r="G6152" s="191" t="s">
        <v>1199</v>
      </c>
      <c r="H6152" s="192" t="s">
        <v>1200</v>
      </c>
      <c r="L6152" s="200"/>
      <c r="M6152" s="200"/>
      <c r="N6152" s="200"/>
      <c r="O6152" s="200"/>
      <c r="P6152" s="200"/>
    </row>
    <row r="6153" spans="3:20" s="517" customFormat="1" ht="31.2" customHeight="1">
      <c r="C6153" s="518" t="s">
        <v>1201</v>
      </c>
      <c r="D6153" s="196" t="s">
        <v>1202</v>
      </c>
      <c r="E6153" s="197"/>
      <c r="F6153" s="197"/>
      <c r="G6153" s="197"/>
      <c r="H6153" s="198"/>
      <c r="L6153" s="200"/>
      <c r="M6153" s="200"/>
      <c r="N6153" s="200"/>
      <c r="O6153" s="200"/>
      <c r="P6153" s="200"/>
    </row>
    <row r="6154" spans="3:20" s="517" customFormat="1" ht="31.2" customHeight="1">
      <c r="C6154" s="537">
        <v>1</v>
      </c>
      <c r="D6154" s="196" t="s">
        <v>6954</v>
      </c>
      <c r="E6154" s="202" t="s">
        <v>6</v>
      </c>
      <c r="F6154" s="520">
        <v>0.04</v>
      </c>
      <c r="G6154" s="205">
        <f>VLOOKUP(D6154,upahbahan,3,FALSE)</f>
        <v>181250</v>
      </c>
      <c r="H6154" s="210">
        <f t="shared" ref="H6154:H6156" si="455">F6154*G6154</f>
        <v>7250</v>
      </c>
      <c r="L6154" s="200"/>
      <c r="M6154" s="200"/>
      <c r="N6154" s="200"/>
      <c r="O6154" s="200"/>
      <c r="P6154" s="200"/>
    </row>
    <row r="6155" spans="3:20" s="517" customFormat="1" ht="31.2" customHeight="1">
      <c r="C6155" s="537">
        <v>2</v>
      </c>
      <c r="D6155" s="196" t="s">
        <v>6948</v>
      </c>
      <c r="E6155" s="202" t="s">
        <v>2102</v>
      </c>
      <c r="F6155" s="520">
        <v>0.01</v>
      </c>
      <c r="G6155" s="205">
        <f>VLOOKUP(D6155,upahbahan,3,FALSE)</f>
        <v>218750</v>
      </c>
      <c r="H6155" s="210">
        <f t="shared" si="455"/>
        <v>2187.5</v>
      </c>
      <c r="L6155" s="200"/>
      <c r="M6155" s="200"/>
      <c r="N6155" s="200"/>
      <c r="O6155" s="200"/>
      <c r="P6155" s="200"/>
    </row>
    <row r="6156" spans="3:20" s="517" customFormat="1" ht="31.2" customHeight="1">
      <c r="C6156" s="537">
        <v>3</v>
      </c>
      <c r="D6156" s="196" t="s">
        <v>19</v>
      </c>
      <c r="E6156" s="202" t="s">
        <v>6</v>
      </c>
      <c r="F6156" s="520">
        <v>3.3E-3</v>
      </c>
      <c r="G6156" s="205">
        <f>VLOOKUP(D6156,upahbahan,3,FALSE)</f>
        <v>160000</v>
      </c>
      <c r="H6156" s="210">
        <f t="shared" si="455"/>
        <v>528</v>
      </c>
      <c r="L6156" s="200"/>
      <c r="M6156" s="200"/>
      <c r="N6156" s="200"/>
      <c r="O6156" s="200"/>
      <c r="P6156" s="200"/>
    </row>
    <row r="6157" spans="3:20" s="517" customFormat="1" ht="31.2" customHeight="1">
      <c r="C6157" s="207" t="s">
        <v>1208</v>
      </c>
      <c r="D6157" s="208"/>
      <c r="E6157" s="208"/>
      <c r="F6157" s="521"/>
      <c r="G6157" s="522"/>
      <c r="H6157" s="210">
        <f>SUM(H6154:H6156)</f>
        <v>9965.5</v>
      </c>
      <c r="L6157" s="523"/>
      <c r="M6157" s="523"/>
      <c r="N6157" s="523"/>
      <c r="O6157" s="523"/>
      <c r="P6157" s="523"/>
    </row>
    <row r="6158" spans="3:20" s="517" customFormat="1" ht="31.2" customHeight="1">
      <c r="C6158" s="543" t="s">
        <v>1209</v>
      </c>
      <c r="D6158" s="750" t="s">
        <v>1210</v>
      </c>
      <c r="E6158" s="197"/>
      <c r="F6158" s="751"/>
      <c r="G6158" s="197"/>
      <c r="H6158" s="752"/>
      <c r="L6158" s="200"/>
      <c r="M6158" s="200"/>
      <c r="N6158" s="200"/>
      <c r="O6158" s="200"/>
      <c r="P6158" s="200"/>
    </row>
    <row r="6159" spans="3:20" s="517" customFormat="1" ht="31.2" customHeight="1">
      <c r="C6159" s="543">
        <v>1</v>
      </c>
      <c r="D6159" s="750" t="s">
        <v>7550</v>
      </c>
      <c r="E6159" s="203" t="s">
        <v>44</v>
      </c>
      <c r="F6159" s="760">
        <v>1</v>
      </c>
      <c r="G6159" s="205">
        <f>VLOOKUP(D6159,upahbahan,3,FALSE)</f>
        <v>0</v>
      </c>
      <c r="H6159" s="210">
        <f t="shared" ref="H6159:H6164" si="456">F6159*G6159</f>
        <v>0</v>
      </c>
      <c r="L6159" s="200"/>
      <c r="M6159" s="200"/>
      <c r="N6159" s="200"/>
      <c r="O6159" s="200"/>
      <c r="P6159" s="200"/>
    </row>
    <row r="6160" spans="3:20" s="517" customFormat="1" ht="31.2" customHeight="1">
      <c r="C6160" s="543">
        <v>2</v>
      </c>
      <c r="D6160" s="750" t="s">
        <v>5563</v>
      </c>
      <c r="E6160" s="203" t="s">
        <v>65</v>
      </c>
      <c r="F6160" s="760">
        <v>0.01</v>
      </c>
      <c r="G6160" s="205">
        <f>VLOOKUP(D6160,upahbahan,3,FALSE)</f>
        <v>0</v>
      </c>
      <c r="H6160" s="210">
        <f t="shared" si="456"/>
        <v>0</v>
      </c>
      <c r="L6160" s="200"/>
      <c r="M6160" s="200"/>
      <c r="N6160" s="200"/>
      <c r="O6160" s="200"/>
      <c r="P6160" s="200"/>
    </row>
    <row r="6161" spans="3:20" s="517" customFormat="1" ht="31.2" customHeight="1">
      <c r="C6161" s="543">
        <v>3</v>
      </c>
      <c r="D6161" s="750" t="s">
        <v>5556</v>
      </c>
      <c r="E6161" s="203"/>
      <c r="F6161" s="753"/>
      <c r="G6161" s="197"/>
      <c r="H6161" s="210">
        <f t="shared" si="456"/>
        <v>0</v>
      </c>
      <c r="L6161" s="200"/>
      <c r="M6161" s="200"/>
      <c r="N6161" s="200"/>
      <c r="O6161" s="200"/>
      <c r="P6161" s="200"/>
    </row>
    <row r="6162" spans="3:20" s="517" customFormat="1" ht="31.2" customHeight="1">
      <c r="C6162" s="754" t="s">
        <v>5293</v>
      </c>
      <c r="D6162" s="750" t="s">
        <v>2084</v>
      </c>
      <c r="E6162" s="203" t="s">
        <v>42</v>
      </c>
      <c r="F6162" s="753">
        <v>5.0000000000000001E-4</v>
      </c>
      <c r="G6162" s="205">
        <f>VLOOKUP(D6162,upahbahan,3,FALSE)</f>
        <v>0</v>
      </c>
      <c r="H6162" s="210">
        <f t="shared" si="456"/>
        <v>0</v>
      </c>
      <c r="L6162" s="200"/>
      <c r="M6162" s="200"/>
      <c r="N6162" s="200"/>
      <c r="O6162" s="200"/>
      <c r="P6162" s="200"/>
    </row>
    <row r="6163" spans="3:20" s="517" customFormat="1" ht="31.2" customHeight="1">
      <c r="C6163" s="754" t="s">
        <v>5299</v>
      </c>
      <c r="D6163" s="750" t="s">
        <v>5566</v>
      </c>
      <c r="E6163" s="203" t="s">
        <v>42</v>
      </c>
      <c r="F6163" s="753">
        <v>1E-4</v>
      </c>
      <c r="G6163" s="205">
        <f>VLOOKUP(D6163,upahbahan,3,FALSE)</f>
        <v>0</v>
      </c>
      <c r="H6163" s="210">
        <f t="shared" si="456"/>
        <v>0</v>
      </c>
      <c r="L6163" s="200"/>
      <c r="M6163" s="200"/>
      <c r="N6163" s="200"/>
      <c r="O6163" s="200"/>
      <c r="P6163" s="200"/>
    </row>
    <row r="6164" spans="3:20" s="517" customFormat="1" ht="31.2" customHeight="1">
      <c r="C6164" s="754" t="s">
        <v>5558</v>
      </c>
      <c r="D6164" s="750" t="s">
        <v>2325</v>
      </c>
      <c r="E6164" s="203" t="s">
        <v>42</v>
      </c>
      <c r="F6164" s="762">
        <v>2.9999999999999997E-4</v>
      </c>
      <c r="G6164" s="205">
        <f>VLOOKUP(D6164,upahbahan,3,FALSE)</f>
        <v>0</v>
      </c>
      <c r="H6164" s="210">
        <f t="shared" si="456"/>
        <v>0</v>
      </c>
      <c r="L6164" s="200"/>
      <c r="M6164" s="200"/>
      <c r="N6164" s="200"/>
      <c r="O6164" s="200"/>
      <c r="P6164" s="200"/>
    </row>
    <row r="6165" spans="3:20" s="517" customFormat="1" ht="31.2" customHeight="1">
      <c r="C6165" s="207" t="s">
        <v>1214</v>
      </c>
      <c r="D6165" s="208"/>
      <c r="E6165" s="568"/>
      <c r="F6165" s="208"/>
      <c r="G6165" s="209"/>
      <c r="H6165" s="210">
        <f>SUM(H6159:H6164)</f>
        <v>0</v>
      </c>
      <c r="L6165" s="200"/>
      <c r="M6165" s="200"/>
      <c r="N6165" s="200"/>
      <c r="O6165" s="200"/>
      <c r="P6165" s="200"/>
    </row>
    <row r="6166" spans="3:20" s="517" customFormat="1" ht="31.2" customHeight="1">
      <c r="C6166" s="756" t="s">
        <v>1215</v>
      </c>
      <c r="D6166" s="196" t="s">
        <v>1216</v>
      </c>
      <c r="E6166" s="203"/>
      <c r="F6166" s="197"/>
      <c r="G6166" s="197"/>
      <c r="H6166" s="198"/>
      <c r="L6166" s="200"/>
      <c r="M6166" s="200"/>
      <c r="N6166" s="200"/>
      <c r="O6166" s="200"/>
      <c r="P6166" s="200"/>
    </row>
    <row r="6167" spans="3:20" s="517" customFormat="1" ht="31.2" customHeight="1">
      <c r="C6167" s="207" t="s">
        <v>1217</v>
      </c>
      <c r="D6167" s="208"/>
      <c r="E6167" s="208"/>
      <c r="F6167" s="208"/>
      <c r="G6167" s="209"/>
      <c r="H6167" s="240">
        <f>SUM(H6166)</f>
        <v>0</v>
      </c>
      <c r="L6167" s="200"/>
      <c r="M6167" s="200"/>
      <c r="N6167" s="200"/>
      <c r="O6167" s="200"/>
      <c r="P6167" s="200"/>
    </row>
    <row r="6168" spans="3:20" s="517" customFormat="1" ht="31.2" customHeight="1">
      <c r="C6168" s="223" t="s">
        <v>1218</v>
      </c>
      <c r="D6168" s="224" t="s">
        <v>1219</v>
      </c>
      <c r="E6168" s="225"/>
      <c r="F6168" s="225"/>
      <c r="G6168" s="226"/>
      <c r="H6168" s="210">
        <f>H6167+H6165+H6157</f>
        <v>9965.5</v>
      </c>
      <c r="L6168" s="200"/>
      <c r="M6168" s="200"/>
      <c r="N6168" s="200"/>
      <c r="O6168" s="200"/>
      <c r="P6168" s="200"/>
    </row>
    <row r="6169" spans="3:20" s="517" customFormat="1" ht="31.2" customHeight="1">
      <c r="C6169" s="223" t="s">
        <v>1220</v>
      </c>
      <c r="D6169" s="224" t="s">
        <v>1321</v>
      </c>
      <c r="E6169" s="225"/>
      <c r="F6169" s="226"/>
      <c r="G6169" s="228">
        <v>0.1</v>
      </c>
      <c r="H6169" s="210">
        <f>H6168*G6169</f>
        <v>996.55000000000007</v>
      </c>
      <c r="L6169" s="200"/>
      <c r="M6169" s="200"/>
      <c r="N6169" s="200"/>
      <c r="O6169" s="200"/>
      <c r="P6169" s="200"/>
    </row>
    <row r="6170" spans="3:20" s="517" customFormat="1" ht="31.2" customHeight="1" thickBot="1">
      <c r="C6170" s="229" t="s">
        <v>1221</v>
      </c>
      <c r="D6170" s="230" t="s">
        <v>1222</v>
      </c>
      <c r="E6170" s="231"/>
      <c r="F6170" s="231"/>
      <c r="G6170" s="232"/>
      <c r="H6170" s="233">
        <f>SUM(H6168:H6169)</f>
        <v>10962.05</v>
      </c>
      <c r="L6170" s="200"/>
      <c r="M6170" s="200"/>
      <c r="N6170" s="200"/>
      <c r="O6170" s="200"/>
      <c r="P6170" s="200"/>
    </row>
    <row r="6171" spans="3:20" ht="31.2" customHeight="1" thickTop="1">
      <c r="D6171" s="758"/>
    </row>
    <row r="6172" spans="3:20" ht="31.2" customHeight="1">
      <c r="C6172" s="757" t="s">
        <v>6950</v>
      </c>
      <c r="F6172" s="758"/>
      <c r="H6172" s="758" t="s">
        <v>6959</v>
      </c>
    </row>
    <row r="6173" spans="3:20" ht="31.2" customHeight="1">
      <c r="C6173" s="200" t="s">
        <v>6951</v>
      </c>
      <c r="F6173" s="758"/>
    </row>
    <row r="6174" spans="3:20" ht="31.2" customHeight="1">
      <c r="C6174" s="200" t="s">
        <v>6952</v>
      </c>
      <c r="F6174" s="758"/>
    </row>
    <row r="6175" spans="3:20" ht="31.2" customHeight="1">
      <c r="C6175" s="200"/>
      <c r="F6175" s="758"/>
    </row>
    <row r="6176" spans="3:20" s="517" customFormat="1" ht="31.2" customHeight="1" thickBot="1">
      <c r="C6176" s="513" t="s">
        <v>7701</v>
      </c>
      <c r="D6176" s="748" t="s">
        <v>7551</v>
      </c>
      <c r="E6176" s="749"/>
      <c r="F6176" s="748"/>
      <c r="G6176" s="748"/>
      <c r="H6176" s="532"/>
      <c r="I6176" s="532"/>
      <c r="J6176" s="532"/>
      <c r="K6176" s="532"/>
      <c r="M6176" s="189"/>
      <c r="N6176" s="189"/>
      <c r="O6176" s="189"/>
      <c r="P6176" s="189"/>
      <c r="R6176" s="189">
        <f>ROUNDDOWN(H6195,-2)</f>
        <v>10900</v>
      </c>
      <c r="S6176" s="517" t="s">
        <v>6451</v>
      </c>
      <c r="T6176" s="517" t="s">
        <v>6811</v>
      </c>
    </row>
    <row r="6177" spans="3:16" s="517" customFormat="1" ht="31.2" customHeight="1" thickTop="1">
      <c r="C6177" s="190" t="s">
        <v>1195</v>
      </c>
      <c r="D6177" s="191" t="s">
        <v>1196</v>
      </c>
      <c r="E6177" s="191" t="s">
        <v>1197</v>
      </c>
      <c r="F6177" s="191" t="s">
        <v>1198</v>
      </c>
      <c r="G6177" s="191" t="s">
        <v>1199</v>
      </c>
      <c r="H6177" s="192" t="s">
        <v>1200</v>
      </c>
      <c r="L6177" s="200"/>
      <c r="M6177" s="200"/>
      <c r="N6177" s="200"/>
      <c r="O6177" s="200"/>
      <c r="P6177" s="200"/>
    </row>
    <row r="6178" spans="3:16" s="517" customFormat="1" ht="31.2" customHeight="1">
      <c r="C6178" s="518" t="s">
        <v>1201</v>
      </c>
      <c r="D6178" s="196" t="s">
        <v>1202</v>
      </c>
      <c r="E6178" s="197"/>
      <c r="F6178" s="197"/>
      <c r="G6178" s="197"/>
      <c r="H6178" s="198"/>
      <c r="L6178" s="200"/>
      <c r="M6178" s="200"/>
      <c r="N6178" s="200"/>
      <c r="O6178" s="200"/>
      <c r="P6178" s="200"/>
    </row>
    <row r="6179" spans="3:16" s="517" customFormat="1" ht="31.2" customHeight="1">
      <c r="C6179" s="537">
        <v>1</v>
      </c>
      <c r="D6179" s="196" t="s">
        <v>6954</v>
      </c>
      <c r="E6179" s="202" t="s">
        <v>6</v>
      </c>
      <c r="F6179" s="520">
        <v>0.04</v>
      </c>
      <c r="G6179" s="205">
        <f>VLOOKUP(D6179,upahbahan,3,FALSE)</f>
        <v>181250</v>
      </c>
      <c r="H6179" s="210">
        <f t="shared" ref="H6179:H6181" si="457">F6179*G6179</f>
        <v>7250</v>
      </c>
      <c r="L6179" s="200"/>
      <c r="M6179" s="200"/>
      <c r="N6179" s="200"/>
      <c r="O6179" s="200"/>
      <c r="P6179" s="200"/>
    </row>
    <row r="6180" spans="3:16" s="517" customFormat="1" ht="31.2" customHeight="1">
      <c r="C6180" s="537">
        <v>2</v>
      </c>
      <c r="D6180" s="196" t="s">
        <v>6948</v>
      </c>
      <c r="E6180" s="202" t="s">
        <v>2102</v>
      </c>
      <c r="F6180" s="520">
        <v>0.01</v>
      </c>
      <c r="G6180" s="205">
        <f>VLOOKUP(D6180,upahbahan,3,FALSE)</f>
        <v>218750</v>
      </c>
      <c r="H6180" s="210">
        <f t="shared" si="457"/>
        <v>2187.5</v>
      </c>
      <c r="L6180" s="200"/>
      <c r="M6180" s="200"/>
      <c r="N6180" s="200"/>
      <c r="O6180" s="200"/>
      <c r="P6180" s="200"/>
    </row>
    <row r="6181" spans="3:16" s="517" customFormat="1" ht="31.2" customHeight="1">
      <c r="C6181" s="537">
        <v>3</v>
      </c>
      <c r="D6181" s="196" t="s">
        <v>19</v>
      </c>
      <c r="E6181" s="202" t="s">
        <v>6</v>
      </c>
      <c r="F6181" s="520">
        <v>3.3E-3</v>
      </c>
      <c r="G6181" s="205">
        <f>VLOOKUP(D6181,upahbahan,3,FALSE)</f>
        <v>160000</v>
      </c>
      <c r="H6181" s="210">
        <f t="shared" si="457"/>
        <v>528</v>
      </c>
      <c r="L6181" s="200"/>
      <c r="M6181" s="200"/>
      <c r="N6181" s="200"/>
      <c r="O6181" s="200"/>
      <c r="P6181" s="200"/>
    </row>
    <row r="6182" spans="3:16" s="517" customFormat="1" ht="31.2" customHeight="1">
      <c r="C6182" s="207" t="s">
        <v>1208</v>
      </c>
      <c r="D6182" s="208"/>
      <c r="E6182" s="208"/>
      <c r="F6182" s="521"/>
      <c r="G6182" s="522"/>
      <c r="H6182" s="210">
        <f>SUM(H6179:H6181)</f>
        <v>9965.5</v>
      </c>
      <c r="L6182" s="523"/>
      <c r="M6182" s="523"/>
      <c r="N6182" s="523"/>
      <c r="O6182" s="523"/>
      <c r="P6182" s="523"/>
    </row>
    <row r="6183" spans="3:16" s="517" customFormat="1" ht="31.2" customHeight="1">
      <c r="C6183" s="543" t="s">
        <v>1209</v>
      </c>
      <c r="D6183" s="750" t="s">
        <v>1210</v>
      </c>
      <c r="E6183" s="197"/>
      <c r="F6183" s="751"/>
      <c r="G6183" s="197"/>
      <c r="H6183" s="752"/>
      <c r="L6183" s="200"/>
      <c r="M6183" s="200"/>
      <c r="N6183" s="200"/>
      <c r="O6183" s="200"/>
      <c r="P6183" s="200"/>
    </row>
    <row r="6184" spans="3:16" s="517" customFormat="1" ht="31.2" customHeight="1">
      <c r="C6184" s="543">
        <v>1</v>
      </c>
      <c r="D6184" s="750" t="s">
        <v>7552</v>
      </c>
      <c r="E6184" s="203" t="s">
        <v>44</v>
      </c>
      <c r="F6184" s="760">
        <v>1</v>
      </c>
      <c r="G6184" s="205">
        <f>VLOOKUP(D6184,upahbahan,3,FALSE)</f>
        <v>0</v>
      </c>
      <c r="H6184" s="210">
        <f t="shared" ref="H6184:H6189" si="458">F6184*G6184</f>
        <v>0</v>
      </c>
      <c r="L6184" s="200"/>
      <c r="M6184" s="200"/>
      <c r="N6184" s="200"/>
      <c r="O6184" s="200"/>
      <c r="P6184" s="200"/>
    </row>
    <row r="6185" spans="3:16" s="517" customFormat="1" ht="31.2" customHeight="1">
      <c r="C6185" s="543">
        <v>2</v>
      </c>
      <c r="D6185" s="750" t="s">
        <v>5563</v>
      </c>
      <c r="E6185" s="203" t="s">
        <v>65</v>
      </c>
      <c r="F6185" s="760">
        <v>0.01</v>
      </c>
      <c r="G6185" s="205">
        <f>VLOOKUP(D6185,upahbahan,3,FALSE)</f>
        <v>0</v>
      </c>
      <c r="H6185" s="210">
        <f t="shared" si="458"/>
        <v>0</v>
      </c>
      <c r="L6185" s="200"/>
      <c r="M6185" s="200"/>
      <c r="N6185" s="200"/>
      <c r="O6185" s="200"/>
      <c r="P6185" s="200"/>
    </row>
    <row r="6186" spans="3:16" s="517" customFormat="1" ht="31.2" customHeight="1">
      <c r="C6186" s="543">
        <v>3</v>
      </c>
      <c r="D6186" s="750" t="s">
        <v>5556</v>
      </c>
      <c r="E6186" s="203"/>
      <c r="F6186" s="753"/>
      <c r="G6186" s="197"/>
      <c r="H6186" s="210">
        <f t="shared" si="458"/>
        <v>0</v>
      </c>
      <c r="L6186" s="200"/>
      <c r="M6186" s="200"/>
      <c r="N6186" s="200"/>
      <c r="O6186" s="200"/>
      <c r="P6186" s="200"/>
    </row>
    <row r="6187" spans="3:16" s="517" customFormat="1" ht="31.2" customHeight="1">
      <c r="C6187" s="754" t="s">
        <v>5293</v>
      </c>
      <c r="D6187" s="750" t="s">
        <v>2084</v>
      </c>
      <c r="E6187" s="203" t="s">
        <v>42</v>
      </c>
      <c r="F6187" s="753">
        <v>5.0000000000000001E-4</v>
      </c>
      <c r="G6187" s="205">
        <f>VLOOKUP(D6187,upahbahan,3,FALSE)</f>
        <v>0</v>
      </c>
      <c r="H6187" s="210">
        <f t="shared" si="458"/>
        <v>0</v>
      </c>
      <c r="L6187" s="200"/>
      <c r="M6187" s="200"/>
      <c r="N6187" s="200"/>
      <c r="O6187" s="200"/>
      <c r="P6187" s="200"/>
    </row>
    <row r="6188" spans="3:16" s="517" customFormat="1" ht="31.2" customHeight="1">
      <c r="C6188" s="754" t="s">
        <v>5299</v>
      </c>
      <c r="D6188" s="750" t="s">
        <v>5566</v>
      </c>
      <c r="E6188" s="203" t="s">
        <v>42</v>
      </c>
      <c r="F6188" s="753">
        <v>1E-4</v>
      </c>
      <c r="G6188" s="205">
        <f>VLOOKUP(D6188,upahbahan,3,FALSE)</f>
        <v>0</v>
      </c>
      <c r="H6188" s="210">
        <f t="shared" si="458"/>
        <v>0</v>
      </c>
      <c r="L6188" s="200"/>
      <c r="M6188" s="200"/>
      <c r="N6188" s="200"/>
      <c r="O6188" s="200"/>
      <c r="P6188" s="200"/>
    </row>
    <row r="6189" spans="3:16" s="517" customFormat="1" ht="31.2" customHeight="1">
      <c r="C6189" s="754" t="s">
        <v>5558</v>
      </c>
      <c r="D6189" s="750" t="s">
        <v>2325</v>
      </c>
      <c r="E6189" s="203" t="s">
        <v>42</v>
      </c>
      <c r="F6189" s="762">
        <v>2.9999999999999997E-4</v>
      </c>
      <c r="G6189" s="205">
        <f>VLOOKUP(D6189,upahbahan,3,FALSE)</f>
        <v>0</v>
      </c>
      <c r="H6189" s="210">
        <f t="shared" si="458"/>
        <v>0</v>
      </c>
      <c r="L6189" s="200"/>
      <c r="M6189" s="200"/>
      <c r="N6189" s="200"/>
      <c r="O6189" s="200"/>
      <c r="P6189" s="200"/>
    </row>
    <row r="6190" spans="3:16" s="517" customFormat="1" ht="31.2" customHeight="1">
      <c r="C6190" s="207" t="s">
        <v>1214</v>
      </c>
      <c r="D6190" s="208"/>
      <c r="E6190" s="568"/>
      <c r="F6190" s="208"/>
      <c r="G6190" s="209"/>
      <c r="H6190" s="210">
        <f>SUM(H6184:H6189)</f>
        <v>0</v>
      </c>
      <c r="L6190" s="200"/>
      <c r="M6190" s="200"/>
      <c r="N6190" s="200"/>
      <c r="O6190" s="200"/>
      <c r="P6190" s="200"/>
    </row>
    <row r="6191" spans="3:16" s="517" customFormat="1" ht="31.2" customHeight="1">
      <c r="C6191" s="756" t="s">
        <v>1215</v>
      </c>
      <c r="D6191" s="196" t="s">
        <v>1216</v>
      </c>
      <c r="E6191" s="203"/>
      <c r="F6191" s="197"/>
      <c r="G6191" s="197"/>
      <c r="H6191" s="198"/>
      <c r="L6191" s="200"/>
      <c r="M6191" s="200"/>
      <c r="N6191" s="200"/>
      <c r="O6191" s="200"/>
      <c r="P6191" s="200"/>
    </row>
    <row r="6192" spans="3:16" s="517" customFormat="1" ht="31.2" customHeight="1">
      <c r="C6192" s="207" t="s">
        <v>1217</v>
      </c>
      <c r="D6192" s="208"/>
      <c r="E6192" s="208"/>
      <c r="F6192" s="208"/>
      <c r="G6192" s="209"/>
      <c r="H6192" s="240">
        <f>SUM(H6191)</f>
        <v>0</v>
      </c>
      <c r="L6192" s="200"/>
      <c r="M6192" s="200"/>
      <c r="N6192" s="200"/>
      <c r="O6192" s="200"/>
      <c r="P6192" s="200"/>
    </row>
    <row r="6193" spans="3:20" s="517" customFormat="1" ht="31.2" customHeight="1">
      <c r="C6193" s="223" t="s">
        <v>1218</v>
      </c>
      <c r="D6193" s="224" t="s">
        <v>1219</v>
      </c>
      <c r="E6193" s="225"/>
      <c r="F6193" s="225"/>
      <c r="G6193" s="226"/>
      <c r="H6193" s="210">
        <f>H6192+H6190+H6182</f>
        <v>9965.5</v>
      </c>
      <c r="L6193" s="200"/>
      <c r="M6193" s="200"/>
      <c r="N6193" s="200"/>
      <c r="O6193" s="200"/>
      <c r="P6193" s="200"/>
    </row>
    <row r="6194" spans="3:20" s="517" customFormat="1" ht="31.2" customHeight="1">
      <c r="C6194" s="223" t="s">
        <v>1220</v>
      </c>
      <c r="D6194" s="224" t="s">
        <v>1321</v>
      </c>
      <c r="E6194" s="225"/>
      <c r="F6194" s="226"/>
      <c r="G6194" s="228">
        <v>0.1</v>
      </c>
      <c r="H6194" s="210">
        <f>H6193*G6194</f>
        <v>996.55000000000007</v>
      </c>
      <c r="L6194" s="200"/>
      <c r="M6194" s="200"/>
      <c r="N6194" s="200"/>
      <c r="O6194" s="200"/>
      <c r="P6194" s="200"/>
    </row>
    <row r="6195" spans="3:20" s="517" customFormat="1" ht="31.2" customHeight="1" thickBot="1">
      <c r="C6195" s="229" t="s">
        <v>1221</v>
      </c>
      <c r="D6195" s="230" t="s">
        <v>1222</v>
      </c>
      <c r="E6195" s="231"/>
      <c r="F6195" s="231"/>
      <c r="G6195" s="232"/>
      <c r="H6195" s="233">
        <f>SUM(H6193:H6194)</f>
        <v>10962.05</v>
      </c>
      <c r="L6195" s="200"/>
      <c r="M6195" s="200"/>
      <c r="N6195" s="200"/>
      <c r="O6195" s="200"/>
      <c r="P6195" s="200"/>
    </row>
    <row r="6196" spans="3:20" ht="31.2" customHeight="1" thickTop="1">
      <c r="D6196" s="758"/>
    </row>
    <row r="6197" spans="3:20" ht="31.2" customHeight="1">
      <c r="C6197" s="757" t="s">
        <v>6950</v>
      </c>
      <c r="F6197" s="758"/>
      <c r="H6197" s="758" t="s">
        <v>6959</v>
      </c>
    </row>
    <row r="6198" spans="3:20" ht="31.2" customHeight="1">
      <c r="C6198" s="200" t="s">
        <v>6951</v>
      </c>
      <c r="F6198" s="758"/>
    </row>
    <row r="6199" spans="3:20" ht="31.2" customHeight="1">
      <c r="C6199" s="200" t="s">
        <v>6952</v>
      </c>
      <c r="F6199" s="758"/>
    </row>
    <row r="6200" spans="3:20" ht="31.2" customHeight="1">
      <c r="C6200" s="200"/>
      <c r="F6200" s="758"/>
    </row>
    <row r="6201" spans="3:20" s="517" customFormat="1" ht="31.2" customHeight="1" thickBot="1">
      <c r="C6201" s="513" t="s">
        <v>7702</v>
      </c>
      <c r="D6201" s="748" t="s">
        <v>7553</v>
      </c>
      <c r="E6201" s="749"/>
      <c r="F6201" s="748"/>
      <c r="G6201" s="748"/>
      <c r="H6201" s="532"/>
      <c r="I6201" s="532"/>
      <c r="J6201" s="532"/>
      <c r="K6201" s="532"/>
      <c r="M6201" s="189"/>
      <c r="N6201" s="189"/>
      <c r="O6201" s="189"/>
      <c r="P6201" s="189"/>
      <c r="R6201" s="189">
        <f>ROUNDDOWN(H6220,-2)</f>
        <v>10900</v>
      </c>
      <c r="S6201" s="517" t="s">
        <v>6451</v>
      </c>
      <c r="T6201" s="517" t="s">
        <v>6811</v>
      </c>
    </row>
    <row r="6202" spans="3:20" s="517" customFormat="1" ht="31.2" customHeight="1" thickTop="1">
      <c r="C6202" s="190" t="s">
        <v>1195</v>
      </c>
      <c r="D6202" s="191" t="s">
        <v>1196</v>
      </c>
      <c r="E6202" s="191" t="s">
        <v>1197</v>
      </c>
      <c r="F6202" s="191" t="s">
        <v>1198</v>
      </c>
      <c r="G6202" s="191" t="s">
        <v>1199</v>
      </c>
      <c r="H6202" s="192" t="s">
        <v>1200</v>
      </c>
      <c r="L6202" s="200"/>
      <c r="M6202" s="200"/>
      <c r="N6202" s="200"/>
      <c r="O6202" s="200"/>
      <c r="P6202" s="200"/>
    </row>
    <row r="6203" spans="3:20" s="517" customFormat="1" ht="31.2" customHeight="1">
      <c r="C6203" s="518" t="s">
        <v>1201</v>
      </c>
      <c r="D6203" s="196" t="s">
        <v>1202</v>
      </c>
      <c r="E6203" s="197"/>
      <c r="F6203" s="197"/>
      <c r="G6203" s="197"/>
      <c r="H6203" s="198"/>
      <c r="L6203" s="200"/>
      <c r="M6203" s="200"/>
      <c r="N6203" s="200"/>
      <c r="O6203" s="200"/>
      <c r="P6203" s="200"/>
    </row>
    <row r="6204" spans="3:20" s="517" customFormat="1" ht="31.2" customHeight="1">
      <c r="C6204" s="537">
        <v>1</v>
      </c>
      <c r="D6204" s="196" t="s">
        <v>6954</v>
      </c>
      <c r="E6204" s="202" t="s">
        <v>6</v>
      </c>
      <c r="F6204" s="520">
        <v>0.04</v>
      </c>
      <c r="G6204" s="205">
        <f>VLOOKUP(D6204,upahbahan,3,FALSE)</f>
        <v>181250</v>
      </c>
      <c r="H6204" s="210">
        <f t="shared" ref="H6204:H6206" si="459">F6204*G6204</f>
        <v>7250</v>
      </c>
      <c r="L6204" s="200"/>
      <c r="M6204" s="200"/>
      <c r="N6204" s="200"/>
      <c r="O6204" s="200"/>
      <c r="P6204" s="200"/>
    </row>
    <row r="6205" spans="3:20" s="517" customFormat="1" ht="31.2" customHeight="1">
      <c r="C6205" s="537">
        <v>2</v>
      </c>
      <c r="D6205" s="196" t="s">
        <v>6948</v>
      </c>
      <c r="E6205" s="202" t="s">
        <v>2102</v>
      </c>
      <c r="F6205" s="520">
        <v>0.01</v>
      </c>
      <c r="G6205" s="205">
        <f>VLOOKUP(D6205,upahbahan,3,FALSE)</f>
        <v>218750</v>
      </c>
      <c r="H6205" s="210">
        <f t="shared" si="459"/>
        <v>2187.5</v>
      </c>
      <c r="L6205" s="200"/>
      <c r="M6205" s="200"/>
      <c r="N6205" s="200"/>
      <c r="O6205" s="200"/>
      <c r="P6205" s="200"/>
    </row>
    <row r="6206" spans="3:20" s="517" customFormat="1" ht="31.2" customHeight="1">
      <c r="C6206" s="537">
        <v>3</v>
      </c>
      <c r="D6206" s="196" t="s">
        <v>19</v>
      </c>
      <c r="E6206" s="202" t="s">
        <v>6</v>
      </c>
      <c r="F6206" s="520">
        <v>3.3E-3</v>
      </c>
      <c r="G6206" s="205">
        <f>VLOOKUP(D6206,upahbahan,3,FALSE)</f>
        <v>160000</v>
      </c>
      <c r="H6206" s="210">
        <f t="shared" si="459"/>
        <v>528</v>
      </c>
      <c r="L6206" s="200"/>
      <c r="M6206" s="200"/>
      <c r="N6206" s="200"/>
      <c r="O6206" s="200"/>
      <c r="P6206" s="200"/>
    </row>
    <row r="6207" spans="3:20" s="517" customFormat="1" ht="31.2" customHeight="1">
      <c r="C6207" s="207" t="s">
        <v>1208</v>
      </c>
      <c r="D6207" s="208"/>
      <c r="E6207" s="208"/>
      <c r="F6207" s="521"/>
      <c r="G6207" s="522"/>
      <c r="H6207" s="210">
        <f>SUM(H6204:H6206)</f>
        <v>9965.5</v>
      </c>
      <c r="L6207" s="523"/>
      <c r="M6207" s="523"/>
      <c r="N6207" s="523"/>
      <c r="O6207" s="523"/>
      <c r="P6207" s="523"/>
    </row>
    <row r="6208" spans="3:20" s="517" customFormat="1" ht="31.2" customHeight="1">
      <c r="C6208" s="543" t="s">
        <v>1209</v>
      </c>
      <c r="D6208" s="750" t="s">
        <v>1210</v>
      </c>
      <c r="E6208" s="197"/>
      <c r="F6208" s="751"/>
      <c r="G6208" s="197"/>
      <c r="H6208" s="752"/>
      <c r="L6208" s="200"/>
      <c r="M6208" s="200"/>
      <c r="N6208" s="200"/>
      <c r="O6208" s="200"/>
      <c r="P6208" s="200"/>
    </row>
    <row r="6209" spans="3:16" s="517" customFormat="1" ht="31.2" customHeight="1">
      <c r="C6209" s="543">
        <v>1</v>
      </c>
      <c r="D6209" s="750" t="s">
        <v>7554</v>
      </c>
      <c r="E6209" s="203" t="s">
        <v>44</v>
      </c>
      <c r="F6209" s="760">
        <v>1</v>
      </c>
      <c r="G6209" s="205">
        <f>VLOOKUP(D6209,upahbahan,3,FALSE)</f>
        <v>0</v>
      </c>
      <c r="H6209" s="210">
        <f t="shared" ref="H6209:H6214" si="460">F6209*G6209</f>
        <v>0</v>
      </c>
      <c r="L6209" s="200"/>
      <c r="M6209" s="200"/>
      <c r="N6209" s="200"/>
      <c r="O6209" s="200"/>
      <c r="P6209" s="200"/>
    </row>
    <row r="6210" spans="3:16" s="517" customFormat="1" ht="31.2" customHeight="1">
      <c r="C6210" s="543">
        <v>2</v>
      </c>
      <c r="D6210" s="750" t="s">
        <v>5563</v>
      </c>
      <c r="E6210" s="203" t="s">
        <v>65</v>
      </c>
      <c r="F6210" s="760">
        <v>0.01</v>
      </c>
      <c r="G6210" s="205">
        <f>VLOOKUP(D6210,upahbahan,3,FALSE)</f>
        <v>0</v>
      </c>
      <c r="H6210" s="210">
        <f t="shared" si="460"/>
        <v>0</v>
      </c>
      <c r="L6210" s="200"/>
      <c r="M6210" s="200"/>
      <c r="N6210" s="200"/>
      <c r="O6210" s="200"/>
      <c r="P6210" s="200"/>
    </row>
    <row r="6211" spans="3:16" s="517" customFormat="1" ht="31.2" customHeight="1">
      <c r="C6211" s="543">
        <v>3</v>
      </c>
      <c r="D6211" s="750" t="s">
        <v>5556</v>
      </c>
      <c r="E6211" s="203"/>
      <c r="F6211" s="753"/>
      <c r="G6211" s="197"/>
      <c r="H6211" s="210">
        <f t="shared" si="460"/>
        <v>0</v>
      </c>
      <c r="L6211" s="200"/>
      <c r="M6211" s="200"/>
      <c r="N6211" s="200"/>
      <c r="O6211" s="200"/>
      <c r="P6211" s="200"/>
    </row>
    <row r="6212" spans="3:16" s="517" customFormat="1" ht="31.2" customHeight="1">
      <c r="C6212" s="754" t="s">
        <v>5293</v>
      </c>
      <c r="D6212" s="750" t="s">
        <v>2084</v>
      </c>
      <c r="E6212" s="203" t="s">
        <v>42</v>
      </c>
      <c r="F6212" s="753">
        <v>5.0000000000000001E-4</v>
      </c>
      <c r="G6212" s="205">
        <f>VLOOKUP(D6212,upahbahan,3,FALSE)</f>
        <v>0</v>
      </c>
      <c r="H6212" s="210">
        <f t="shared" si="460"/>
        <v>0</v>
      </c>
      <c r="L6212" s="200"/>
      <c r="M6212" s="200"/>
      <c r="N6212" s="200"/>
      <c r="O6212" s="200"/>
      <c r="P6212" s="200"/>
    </row>
    <row r="6213" spans="3:16" s="517" customFormat="1" ht="31.2" customHeight="1">
      <c r="C6213" s="754" t="s">
        <v>5299</v>
      </c>
      <c r="D6213" s="750" t="s">
        <v>5566</v>
      </c>
      <c r="E6213" s="203" t="s">
        <v>42</v>
      </c>
      <c r="F6213" s="753">
        <v>1E-4</v>
      </c>
      <c r="G6213" s="205">
        <f>VLOOKUP(D6213,upahbahan,3,FALSE)</f>
        <v>0</v>
      </c>
      <c r="H6213" s="210">
        <f t="shared" si="460"/>
        <v>0</v>
      </c>
      <c r="L6213" s="200"/>
      <c r="M6213" s="200"/>
      <c r="N6213" s="200"/>
      <c r="O6213" s="200"/>
      <c r="P6213" s="200"/>
    </row>
    <row r="6214" spans="3:16" s="517" customFormat="1" ht="31.2" customHeight="1">
      <c r="C6214" s="754" t="s">
        <v>5558</v>
      </c>
      <c r="D6214" s="750" t="s">
        <v>2325</v>
      </c>
      <c r="E6214" s="203" t="s">
        <v>42</v>
      </c>
      <c r="F6214" s="762">
        <v>2.9999999999999997E-4</v>
      </c>
      <c r="G6214" s="205">
        <f>VLOOKUP(D6214,upahbahan,3,FALSE)</f>
        <v>0</v>
      </c>
      <c r="H6214" s="210">
        <f t="shared" si="460"/>
        <v>0</v>
      </c>
      <c r="L6214" s="200"/>
      <c r="M6214" s="200"/>
      <c r="N6214" s="200"/>
      <c r="O6214" s="200"/>
      <c r="P6214" s="200"/>
    </row>
    <row r="6215" spans="3:16" s="517" customFormat="1" ht="31.2" customHeight="1">
      <c r="C6215" s="207" t="s">
        <v>1214</v>
      </c>
      <c r="D6215" s="208"/>
      <c r="E6215" s="568"/>
      <c r="F6215" s="208"/>
      <c r="G6215" s="209"/>
      <c r="H6215" s="210">
        <f>SUM(H6209:H6214)</f>
        <v>0</v>
      </c>
      <c r="L6215" s="200"/>
      <c r="M6215" s="200"/>
      <c r="N6215" s="200"/>
      <c r="O6215" s="200"/>
      <c r="P6215" s="200"/>
    </row>
    <row r="6216" spans="3:16" s="517" customFormat="1" ht="31.2" customHeight="1">
      <c r="C6216" s="756" t="s">
        <v>1215</v>
      </c>
      <c r="D6216" s="196" t="s">
        <v>1216</v>
      </c>
      <c r="E6216" s="203"/>
      <c r="F6216" s="197"/>
      <c r="G6216" s="197"/>
      <c r="H6216" s="198"/>
      <c r="L6216" s="200"/>
      <c r="M6216" s="200"/>
      <c r="N6216" s="200"/>
      <c r="O6216" s="200"/>
      <c r="P6216" s="200"/>
    </row>
    <row r="6217" spans="3:16" s="517" customFormat="1" ht="31.2" customHeight="1">
      <c r="C6217" s="207" t="s">
        <v>1217</v>
      </c>
      <c r="D6217" s="208"/>
      <c r="E6217" s="208"/>
      <c r="F6217" s="208"/>
      <c r="G6217" s="209"/>
      <c r="H6217" s="240">
        <f>SUM(H6216)</f>
        <v>0</v>
      </c>
      <c r="L6217" s="200"/>
      <c r="M6217" s="200"/>
      <c r="N6217" s="200"/>
      <c r="O6217" s="200"/>
      <c r="P6217" s="200"/>
    </row>
    <row r="6218" spans="3:16" s="517" customFormat="1" ht="31.2" customHeight="1">
      <c r="C6218" s="223" t="s">
        <v>1218</v>
      </c>
      <c r="D6218" s="224" t="s">
        <v>1219</v>
      </c>
      <c r="E6218" s="225"/>
      <c r="F6218" s="225"/>
      <c r="G6218" s="226"/>
      <c r="H6218" s="210">
        <f>H6217+H6215+H6207</f>
        <v>9965.5</v>
      </c>
      <c r="L6218" s="200"/>
      <c r="M6218" s="200"/>
      <c r="N6218" s="200"/>
      <c r="O6218" s="200"/>
      <c r="P6218" s="200"/>
    </row>
    <row r="6219" spans="3:16" s="517" customFormat="1" ht="31.2" customHeight="1">
      <c r="C6219" s="223" t="s">
        <v>1220</v>
      </c>
      <c r="D6219" s="224" t="s">
        <v>1321</v>
      </c>
      <c r="E6219" s="225"/>
      <c r="F6219" s="226"/>
      <c r="G6219" s="228">
        <v>0.1</v>
      </c>
      <c r="H6219" s="210">
        <f>H6218*G6219</f>
        <v>996.55000000000007</v>
      </c>
      <c r="L6219" s="200"/>
      <c r="M6219" s="200"/>
      <c r="N6219" s="200"/>
      <c r="O6219" s="200"/>
      <c r="P6219" s="200"/>
    </row>
    <row r="6220" spans="3:16" s="517" customFormat="1" ht="31.2" customHeight="1" thickBot="1">
      <c r="C6220" s="229" t="s">
        <v>1221</v>
      </c>
      <c r="D6220" s="230" t="s">
        <v>1222</v>
      </c>
      <c r="E6220" s="231"/>
      <c r="F6220" s="231"/>
      <c r="G6220" s="232"/>
      <c r="H6220" s="233">
        <f>SUM(H6218:H6219)</f>
        <v>10962.05</v>
      </c>
      <c r="L6220" s="200"/>
      <c r="M6220" s="200"/>
      <c r="N6220" s="200"/>
      <c r="O6220" s="200"/>
      <c r="P6220" s="200"/>
    </row>
    <row r="6221" spans="3:16" ht="31.2" customHeight="1" thickTop="1">
      <c r="D6221" s="758"/>
    </row>
    <row r="6222" spans="3:16" ht="31.2" customHeight="1">
      <c r="C6222" s="757" t="s">
        <v>6950</v>
      </c>
      <c r="F6222" s="758"/>
      <c r="H6222" s="758" t="s">
        <v>6959</v>
      </c>
    </row>
    <row r="6223" spans="3:16" ht="31.2" customHeight="1">
      <c r="C6223" s="200" t="s">
        <v>6951</v>
      </c>
      <c r="F6223" s="758"/>
    </row>
    <row r="6224" spans="3:16" ht="31.2" customHeight="1">
      <c r="C6224" s="200" t="s">
        <v>6952</v>
      </c>
      <c r="F6224" s="758"/>
    </row>
    <row r="6225" spans="3:20" ht="31.2" customHeight="1">
      <c r="C6225" s="200"/>
      <c r="F6225" s="758"/>
    </row>
    <row r="6226" spans="3:20" s="517" customFormat="1" ht="31.2" customHeight="1" thickBot="1">
      <c r="C6226" s="513" t="s">
        <v>7703</v>
      </c>
      <c r="D6226" s="748" t="s">
        <v>7555</v>
      </c>
      <c r="E6226" s="749"/>
      <c r="F6226" s="748"/>
      <c r="G6226" s="748"/>
      <c r="H6226" s="532"/>
      <c r="I6226" s="532"/>
      <c r="J6226" s="532"/>
      <c r="K6226" s="532"/>
      <c r="M6226" s="189"/>
      <c r="N6226" s="189"/>
      <c r="O6226" s="189"/>
      <c r="P6226" s="189"/>
      <c r="R6226" s="189">
        <f>ROUNDDOWN(H6245,-2)</f>
        <v>10900</v>
      </c>
      <c r="S6226" s="517" t="s">
        <v>6451</v>
      </c>
      <c r="T6226" s="517" t="s">
        <v>6811</v>
      </c>
    </row>
    <row r="6227" spans="3:20" s="517" customFormat="1" ht="31.2" customHeight="1" thickTop="1">
      <c r="C6227" s="190" t="s">
        <v>1195</v>
      </c>
      <c r="D6227" s="191" t="s">
        <v>1196</v>
      </c>
      <c r="E6227" s="191" t="s">
        <v>1197</v>
      </c>
      <c r="F6227" s="191" t="s">
        <v>1198</v>
      </c>
      <c r="G6227" s="191" t="s">
        <v>1199</v>
      </c>
      <c r="H6227" s="192" t="s">
        <v>1200</v>
      </c>
      <c r="L6227" s="200"/>
      <c r="M6227" s="200"/>
      <c r="N6227" s="200"/>
      <c r="O6227" s="200"/>
      <c r="P6227" s="200"/>
    </row>
    <row r="6228" spans="3:20" s="517" customFormat="1" ht="31.2" customHeight="1">
      <c r="C6228" s="518" t="s">
        <v>1201</v>
      </c>
      <c r="D6228" s="196" t="s">
        <v>1202</v>
      </c>
      <c r="E6228" s="197"/>
      <c r="F6228" s="197"/>
      <c r="G6228" s="197"/>
      <c r="H6228" s="198"/>
      <c r="L6228" s="200"/>
      <c r="M6228" s="200"/>
      <c r="N6228" s="200"/>
      <c r="O6228" s="200"/>
      <c r="P6228" s="200"/>
    </row>
    <row r="6229" spans="3:20" s="517" customFormat="1" ht="31.2" customHeight="1">
      <c r="C6229" s="537">
        <v>1</v>
      </c>
      <c r="D6229" s="196" t="s">
        <v>6954</v>
      </c>
      <c r="E6229" s="202" t="s">
        <v>6</v>
      </c>
      <c r="F6229" s="520">
        <v>0.04</v>
      </c>
      <c r="G6229" s="205">
        <f>VLOOKUP(D6229,upahbahan,3,FALSE)</f>
        <v>181250</v>
      </c>
      <c r="H6229" s="210">
        <f t="shared" ref="H6229:H6231" si="461">F6229*G6229</f>
        <v>7250</v>
      </c>
      <c r="L6229" s="200"/>
      <c r="M6229" s="200"/>
      <c r="N6229" s="200"/>
      <c r="O6229" s="200"/>
      <c r="P6229" s="200"/>
    </row>
    <row r="6230" spans="3:20" s="517" customFormat="1" ht="31.2" customHeight="1">
      <c r="C6230" s="537">
        <v>2</v>
      </c>
      <c r="D6230" s="196" t="s">
        <v>6948</v>
      </c>
      <c r="E6230" s="202" t="s">
        <v>2102</v>
      </c>
      <c r="F6230" s="520">
        <v>0.01</v>
      </c>
      <c r="G6230" s="205">
        <f>VLOOKUP(D6230,upahbahan,3,FALSE)</f>
        <v>218750</v>
      </c>
      <c r="H6230" s="210">
        <f t="shared" si="461"/>
        <v>2187.5</v>
      </c>
      <c r="L6230" s="200"/>
      <c r="M6230" s="200"/>
      <c r="N6230" s="200"/>
      <c r="O6230" s="200"/>
      <c r="P6230" s="200"/>
    </row>
    <row r="6231" spans="3:20" s="517" customFormat="1" ht="31.2" customHeight="1">
      <c r="C6231" s="537">
        <v>3</v>
      </c>
      <c r="D6231" s="196" t="s">
        <v>19</v>
      </c>
      <c r="E6231" s="202" t="s">
        <v>6</v>
      </c>
      <c r="F6231" s="520">
        <v>3.3E-3</v>
      </c>
      <c r="G6231" s="205">
        <f>VLOOKUP(D6231,upahbahan,3,FALSE)</f>
        <v>160000</v>
      </c>
      <c r="H6231" s="210">
        <f t="shared" si="461"/>
        <v>528</v>
      </c>
      <c r="L6231" s="200"/>
      <c r="M6231" s="200"/>
      <c r="N6231" s="200"/>
      <c r="O6231" s="200"/>
      <c r="P6231" s="200"/>
    </row>
    <row r="6232" spans="3:20" s="517" customFormat="1" ht="31.2" customHeight="1">
      <c r="C6232" s="207" t="s">
        <v>1208</v>
      </c>
      <c r="D6232" s="208"/>
      <c r="E6232" s="208"/>
      <c r="F6232" s="521"/>
      <c r="G6232" s="522"/>
      <c r="H6232" s="210">
        <f>SUM(H6229:H6231)</f>
        <v>9965.5</v>
      </c>
      <c r="L6232" s="523"/>
      <c r="M6232" s="523"/>
      <c r="N6232" s="523"/>
      <c r="O6232" s="523"/>
      <c r="P6232" s="523"/>
    </row>
    <row r="6233" spans="3:20" s="517" customFormat="1" ht="31.2" customHeight="1">
      <c r="C6233" s="543" t="s">
        <v>1209</v>
      </c>
      <c r="D6233" s="750" t="s">
        <v>1210</v>
      </c>
      <c r="E6233" s="197"/>
      <c r="F6233" s="751"/>
      <c r="G6233" s="197"/>
      <c r="H6233" s="752"/>
      <c r="L6233" s="200"/>
      <c r="M6233" s="200"/>
      <c r="N6233" s="200"/>
      <c r="O6233" s="200"/>
      <c r="P6233" s="200"/>
    </row>
    <row r="6234" spans="3:20" s="517" customFormat="1" ht="31.2" customHeight="1">
      <c r="C6234" s="543">
        <v>1</v>
      </c>
      <c r="D6234" s="750" t="s">
        <v>7556</v>
      </c>
      <c r="E6234" s="203" t="s">
        <v>44</v>
      </c>
      <c r="F6234" s="760">
        <v>1</v>
      </c>
      <c r="G6234" s="205">
        <f>VLOOKUP(D6234,upahbahan,3,FALSE)</f>
        <v>0</v>
      </c>
      <c r="H6234" s="210">
        <f t="shared" ref="H6234:H6239" si="462">F6234*G6234</f>
        <v>0</v>
      </c>
      <c r="L6234" s="200"/>
      <c r="M6234" s="200"/>
      <c r="N6234" s="200"/>
      <c r="O6234" s="200"/>
      <c r="P6234" s="200"/>
    </row>
    <row r="6235" spans="3:20" s="517" customFormat="1" ht="31.2" customHeight="1">
      <c r="C6235" s="543">
        <v>2</v>
      </c>
      <c r="D6235" s="750" t="s">
        <v>5563</v>
      </c>
      <c r="E6235" s="203" t="s">
        <v>65</v>
      </c>
      <c r="F6235" s="760">
        <v>0.01</v>
      </c>
      <c r="G6235" s="205">
        <f>VLOOKUP(D6235,upahbahan,3,FALSE)</f>
        <v>0</v>
      </c>
      <c r="H6235" s="210">
        <f t="shared" si="462"/>
        <v>0</v>
      </c>
      <c r="L6235" s="200"/>
      <c r="M6235" s="200"/>
      <c r="N6235" s="200"/>
      <c r="O6235" s="200"/>
      <c r="P6235" s="200"/>
    </row>
    <row r="6236" spans="3:20" s="517" customFormat="1" ht="31.2" customHeight="1">
      <c r="C6236" s="543">
        <v>3</v>
      </c>
      <c r="D6236" s="750" t="s">
        <v>5556</v>
      </c>
      <c r="E6236" s="203"/>
      <c r="F6236" s="753"/>
      <c r="G6236" s="197"/>
      <c r="H6236" s="210">
        <f t="shared" si="462"/>
        <v>0</v>
      </c>
      <c r="L6236" s="200"/>
      <c r="M6236" s="200"/>
      <c r="N6236" s="200"/>
      <c r="O6236" s="200"/>
      <c r="P6236" s="200"/>
    </row>
    <row r="6237" spans="3:20" s="517" customFormat="1" ht="31.2" customHeight="1">
      <c r="C6237" s="754" t="s">
        <v>5293</v>
      </c>
      <c r="D6237" s="750" t="s">
        <v>2084</v>
      </c>
      <c r="E6237" s="203" t="s">
        <v>42</v>
      </c>
      <c r="F6237" s="753">
        <v>5.0000000000000001E-4</v>
      </c>
      <c r="G6237" s="205">
        <f>VLOOKUP(D6237,upahbahan,3,FALSE)</f>
        <v>0</v>
      </c>
      <c r="H6237" s="210">
        <f t="shared" si="462"/>
        <v>0</v>
      </c>
      <c r="L6237" s="200"/>
      <c r="M6237" s="200"/>
      <c r="N6237" s="200"/>
      <c r="O6237" s="200"/>
      <c r="P6237" s="200"/>
    </row>
    <row r="6238" spans="3:20" s="517" customFormat="1" ht="31.2" customHeight="1">
      <c r="C6238" s="754" t="s">
        <v>5299</v>
      </c>
      <c r="D6238" s="750" t="s">
        <v>5566</v>
      </c>
      <c r="E6238" s="203" t="s">
        <v>42</v>
      </c>
      <c r="F6238" s="753">
        <v>1E-4</v>
      </c>
      <c r="G6238" s="205">
        <f>VLOOKUP(D6238,upahbahan,3,FALSE)</f>
        <v>0</v>
      </c>
      <c r="H6238" s="210">
        <f t="shared" si="462"/>
        <v>0</v>
      </c>
      <c r="L6238" s="200"/>
      <c r="M6238" s="200"/>
      <c r="N6238" s="200"/>
      <c r="O6238" s="200"/>
      <c r="P6238" s="200"/>
    </row>
    <row r="6239" spans="3:20" s="517" customFormat="1" ht="31.2" customHeight="1">
      <c r="C6239" s="754" t="s">
        <v>5558</v>
      </c>
      <c r="D6239" s="750" t="s">
        <v>2325</v>
      </c>
      <c r="E6239" s="203" t="s">
        <v>42</v>
      </c>
      <c r="F6239" s="762">
        <v>2.9999999999999997E-4</v>
      </c>
      <c r="G6239" s="205">
        <f>VLOOKUP(D6239,upahbahan,3,FALSE)</f>
        <v>0</v>
      </c>
      <c r="H6239" s="210">
        <f t="shared" si="462"/>
        <v>0</v>
      </c>
      <c r="L6239" s="200"/>
      <c r="M6239" s="200"/>
      <c r="N6239" s="200"/>
      <c r="O6239" s="200"/>
      <c r="P6239" s="200"/>
    </row>
    <row r="6240" spans="3:20" s="517" customFormat="1" ht="31.2" customHeight="1">
      <c r="C6240" s="207" t="s">
        <v>1214</v>
      </c>
      <c r="D6240" s="208"/>
      <c r="E6240" s="568"/>
      <c r="F6240" s="208"/>
      <c r="G6240" s="209"/>
      <c r="H6240" s="210">
        <f>SUM(H6234:H6239)</f>
        <v>0</v>
      </c>
      <c r="L6240" s="200"/>
      <c r="M6240" s="200"/>
      <c r="N6240" s="200"/>
      <c r="O6240" s="200"/>
      <c r="P6240" s="200"/>
    </row>
    <row r="6241" spans="3:20" s="517" customFormat="1" ht="31.2" customHeight="1">
      <c r="C6241" s="756" t="s">
        <v>1215</v>
      </c>
      <c r="D6241" s="196" t="s">
        <v>1216</v>
      </c>
      <c r="E6241" s="203"/>
      <c r="F6241" s="197"/>
      <c r="G6241" s="197"/>
      <c r="H6241" s="198"/>
      <c r="L6241" s="200"/>
      <c r="M6241" s="200"/>
      <c r="N6241" s="200"/>
      <c r="O6241" s="200"/>
      <c r="P6241" s="200"/>
    </row>
    <row r="6242" spans="3:20" s="517" customFormat="1" ht="31.2" customHeight="1">
      <c r="C6242" s="207" t="s">
        <v>1217</v>
      </c>
      <c r="D6242" s="208"/>
      <c r="E6242" s="208"/>
      <c r="F6242" s="208"/>
      <c r="G6242" s="209"/>
      <c r="H6242" s="240">
        <f>SUM(H6241)</f>
        <v>0</v>
      </c>
      <c r="L6242" s="200"/>
      <c r="M6242" s="200"/>
      <c r="N6242" s="200"/>
      <c r="O6242" s="200"/>
      <c r="P6242" s="200"/>
    </row>
    <row r="6243" spans="3:20" s="517" customFormat="1" ht="31.2" customHeight="1">
      <c r="C6243" s="223" t="s">
        <v>1218</v>
      </c>
      <c r="D6243" s="224" t="s">
        <v>1219</v>
      </c>
      <c r="E6243" s="225"/>
      <c r="F6243" s="225"/>
      <c r="G6243" s="226"/>
      <c r="H6243" s="210">
        <f>H6242+H6240+H6232</f>
        <v>9965.5</v>
      </c>
      <c r="L6243" s="200"/>
      <c r="M6243" s="200"/>
      <c r="N6243" s="200"/>
      <c r="O6243" s="200"/>
      <c r="P6243" s="200"/>
    </row>
    <row r="6244" spans="3:20" s="517" customFormat="1" ht="31.2" customHeight="1">
      <c r="C6244" s="223" t="s">
        <v>1220</v>
      </c>
      <c r="D6244" s="224" t="s">
        <v>1321</v>
      </c>
      <c r="E6244" s="225"/>
      <c r="F6244" s="226"/>
      <c r="G6244" s="228">
        <v>0.1</v>
      </c>
      <c r="H6244" s="210">
        <f>H6243*G6244</f>
        <v>996.55000000000007</v>
      </c>
      <c r="L6244" s="200"/>
      <c r="M6244" s="200"/>
      <c r="N6244" s="200"/>
      <c r="O6244" s="200"/>
      <c r="P6244" s="200"/>
    </row>
    <row r="6245" spans="3:20" s="517" customFormat="1" ht="31.2" customHeight="1" thickBot="1">
      <c r="C6245" s="229" t="s">
        <v>1221</v>
      </c>
      <c r="D6245" s="230" t="s">
        <v>1222</v>
      </c>
      <c r="E6245" s="231"/>
      <c r="F6245" s="231"/>
      <c r="G6245" s="232"/>
      <c r="H6245" s="233">
        <f>SUM(H6243:H6244)</f>
        <v>10962.05</v>
      </c>
      <c r="L6245" s="200"/>
      <c r="M6245" s="200"/>
      <c r="N6245" s="200"/>
      <c r="O6245" s="200"/>
      <c r="P6245" s="200"/>
    </row>
    <row r="6246" spans="3:20" ht="31.2" customHeight="1" thickTop="1">
      <c r="D6246" s="758"/>
    </row>
    <row r="6247" spans="3:20" ht="31.2" customHeight="1">
      <c r="C6247" s="757" t="s">
        <v>6950</v>
      </c>
      <c r="F6247" s="758"/>
      <c r="H6247" s="758" t="s">
        <v>6959</v>
      </c>
    </row>
    <row r="6248" spans="3:20" ht="31.2" customHeight="1">
      <c r="C6248" s="200" t="s">
        <v>6951</v>
      </c>
      <c r="F6248" s="758"/>
    </row>
    <row r="6249" spans="3:20" ht="31.2" customHeight="1">
      <c r="C6249" s="200" t="s">
        <v>6952</v>
      </c>
      <c r="F6249" s="758"/>
    </row>
    <row r="6250" spans="3:20" ht="31.2" customHeight="1">
      <c r="C6250" s="200"/>
      <c r="F6250" s="758"/>
    </row>
    <row r="6251" spans="3:20" ht="31.2" customHeight="1">
      <c r="C6251" s="199" t="s">
        <v>7557</v>
      </c>
      <c r="D6251" s="187" t="s">
        <v>5599</v>
      </c>
      <c r="F6251" s="758"/>
    </row>
    <row r="6252" spans="3:20" s="517" customFormat="1" ht="31.2" customHeight="1" thickBot="1">
      <c r="C6252" s="513" t="s">
        <v>5600</v>
      </c>
      <c r="D6252" s="748" t="s">
        <v>7558</v>
      </c>
      <c r="E6252" s="749"/>
      <c r="F6252" s="748"/>
      <c r="G6252" s="748"/>
      <c r="H6252" s="532"/>
      <c r="I6252" s="532"/>
      <c r="J6252" s="532"/>
      <c r="K6252" s="532"/>
      <c r="M6252" s="189"/>
      <c r="N6252" s="189"/>
      <c r="O6252" s="189"/>
      <c r="P6252" s="189"/>
      <c r="R6252" s="189">
        <f>ROUNDDOWN(H6270,-2)</f>
        <v>7300</v>
      </c>
      <c r="S6252" s="517" t="s">
        <v>6451</v>
      </c>
      <c r="T6252" s="517" t="s">
        <v>7559</v>
      </c>
    </row>
    <row r="6253" spans="3:20" s="517" customFormat="1" ht="31.2" customHeight="1" thickTop="1">
      <c r="C6253" s="190" t="s">
        <v>1195</v>
      </c>
      <c r="D6253" s="191" t="s">
        <v>1196</v>
      </c>
      <c r="E6253" s="191" t="s">
        <v>1197</v>
      </c>
      <c r="F6253" s="191" t="s">
        <v>1198</v>
      </c>
      <c r="G6253" s="191" t="s">
        <v>1199</v>
      </c>
      <c r="H6253" s="192" t="s">
        <v>1200</v>
      </c>
      <c r="L6253" s="200"/>
      <c r="M6253" s="200"/>
      <c r="N6253" s="200"/>
      <c r="O6253" s="200"/>
      <c r="P6253" s="200"/>
    </row>
    <row r="6254" spans="3:20" s="517" customFormat="1" ht="31.2" customHeight="1">
      <c r="C6254" s="518" t="s">
        <v>1201</v>
      </c>
      <c r="D6254" s="196" t="s">
        <v>1202</v>
      </c>
      <c r="E6254" s="197"/>
      <c r="F6254" s="197"/>
      <c r="G6254" s="197"/>
      <c r="H6254" s="198"/>
      <c r="L6254" s="200"/>
      <c r="M6254" s="200"/>
      <c r="N6254" s="200"/>
      <c r="O6254" s="200"/>
      <c r="P6254" s="200"/>
    </row>
    <row r="6255" spans="3:20" s="517" customFormat="1" ht="31.2" customHeight="1">
      <c r="C6255" s="537">
        <v>1</v>
      </c>
      <c r="D6255" s="196" t="s">
        <v>5</v>
      </c>
      <c r="E6255" s="202" t="s">
        <v>6</v>
      </c>
      <c r="F6255" s="520">
        <v>0.02</v>
      </c>
      <c r="G6255" s="205">
        <f>VLOOKUP(D6255,upahbahan,3,FALSE)</f>
        <v>100000</v>
      </c>
      <c r="H6255" s="210">
        <f t="shared" ref="H6255" si="463">F6255*G6255</f>
        <v>2000</v>
      </c>
      <c r="L6255" s="200"/>
      <c r="M6255" s="200"/>
      <c r="N6255" s="200"/>
      <c r="O6255" s="200"/>
      <c r="P6255" s="200"/>
    </row>
    <row r="6256" spans="3:20" s="517" customFormat="1" ht="31.2" customHeight="1">
      <c r="C6256" s="537">
        <v>2</v>
      </c>
      <c r="D6256" s="196" t="s">
        <v>6954</v>
      </c>
      <c r="E6256" s="202" t="s">
        <v>6</v>
      </c>
      <c r="F6256" s="520">
        <v>0.02</v>
      </c>
      <c r="G6256" s="205">
        <f>VLOOKUP(D6256,upahbahan,3,FALSE)</f>
        <v>181250</v>
      </c>
      <c r="H6256" s="210">
        <f t="shared" ref="H6256:H6258" si="464">F6256*G6256</f>
        <v>3625</v>
      </c>
      <c r="L6256" s="200"/>
      <c r="M6256" s="200"/>
      <c r="N6256" s="200"/>
      <c r="O6256" s="200"/>
      <c r="P6256" s="200"/>
    </row>
    <row r="6257" spans="3:16" s="517" customFormat="1" ht="31.2" customHeight="1">
      <c r="C6257" s="537">
        <v>3</v>
      </c>
      <c r="D6257" s="196" t="s">
        <v>6948</v>
      </c>
      <c r="E6257" s="202" t="s">
        <v>2102</v>
      </c>
      <c r="F6257" s="520">
        <v>4.0000000000000001E-3</v>
      </c>
      <c r="G6257" s="205">
        <f>VLOOKUP(D6257,upahbahan,3,FALSE)</f>
        <v>218750</v>
      </c>
      <c r="H6257" s="210">
        <f t="shared" si="464"/>
        <v>875</v>
      </c>
      <c r="L6257" s="200"/>
      <c r="M6257" s="200"/>
      <c r="N6257" s="200"/>
      <c r="O6257" s="200"/>
      <c r="P6257" s="200"/>
    </row>
    <row r="6258" spans="3:16" s="517" customFormat="1" ht="31.2" customHeight="1">
      <c r="C6258" s="537">
        <v>4</v>
      </c>
      <c r="D6258" s="196" t="s">
        <v>19</v>
      </c>
      <c r="E6258" s="202" t="s">
        <v>6</v>
      </c>
      <c r="F6258" s="520">
        <v>1.2999999999999999E-3</v>
      </c>
      <c r="G6258" s="205">
        <f>VLOOKUP(D6258,upahbahan,3,FALSE)</f>
        <v>160000</v>
      </c>
      <c r="H6258" s="210">
        <f t="shared" si="464"/>
        <v>208</v>
      </c>
      <c r="L6258" s="200"/>
      <c r="M6258" s="200"/>
      <c r="N6258" s="200"/>
      <c r="O6258" s="200"/>
      <c r="P6258" s="200"/>
    </row>
    <row r="6259" spans="3:16" s="517" customFormat="1" ht="31.2" customHeight="1">
      <c r="C6259" s="207" t="s">
        <v>1208</v>
      </c>
      <c r="D6259" s="208"/>
      <c r="E6259" s="208"/>
      <c r="F6259" s="521"/>
      <c r="G6259" s="522"/>
      <c r="H6259" s="210">
        <f>SUM(H6255:H6258)</f>
        <v>6708</v>
      </c>
      <c r="L6259" s="523"/>
      <c r="M6259" s="523"/>
      <c r="N6259" s="523"/>
      <c r="O6259" s="523"/>
      <c r="P6259" s="523"/>
    </row>
    <row r="6260" spans="3:16" s="517" customFormat="1" ht="31.2" customHeight="1">
      <c r="C6260" s="543" t="s">
        <v>1209</v>
      </c>
      <c r="D6260" s="750" t="s">
        <v>1210</v>
      </c>
      <c r="E6260" s="197"/>
      <c r="F6260" s="751"/>
      <c r="G6260" s="197"/>
      <c r="H6260" s="752"/>
      <c r="L6260" s="200"/>
      <c r="M6260" s="200"/>
      <c r="N6260" s="200"/>
      <c r="O6260" s="200"/>
      <c r="P6260" s="200"/>
    </row>
    <row r="6261" spans="3:16" s="517" customFormat="1" ht="31.2" customHeight="1">
      <c r="C6261" s="543">
        <v>1</v>
      </c>
      <c r="D6261" s="750" t="s">
        <v>7560</v>
      </c>
      <c r="E6261" s="203" t="s">
        <v>44</v>
      </c>
      <c r="F6261" s="760">
        <v>1</v>
      </c>
      <c r="G6261" s="205">
        <f>VLOOKUP(D6261,upahbahan,3,FALSE)</f>
        <v>0</v>
      </c>
      <c r="H6261" s="210">
        <f t="shared" ref="H6261:H6264" si="465">F6261*G6261</f>
        <v>0</v>
      </c>
      <c r="L6261" s="200"/>
      <c r="M6261" s="200"/>
      <c r="N6261" s="200"/>
      <c r="O6261" s="200"/>
      <c r="P6261" s="200"/>
    </row>
    <row r="6262" spans="3:16" s="517" customFormat="1" ht="31.2" customHeight="1">
      <c r="C6262" s="543">
        <v>2</v>
      </c>
      <c r="D6262" s="750" t="s">
        <v>5556</v>
      </c>
      <c r="E6262" s="203"/>
      <c r="F6262" s="753"/>
      <c r="G6262" s="197"/>
      <c r="H6262" s="210">
        <f t="shared" si="465"/>
        <v>0</v>
      </c>
      <c r="L6262" s="200"/>
      <c r="M6262" s="200"/>
      <c r="N6262" s="200"/>
      <c r="O6262" s="200"/>
      <c r="P6262" s="200"/>
    </row>
    <row r="6263" spans="3:16" s="517" customFormat="1" ht="31.2" customHeight="1">
      <c r="C6263" s="754" t="s">
        <v>5293</v>
      </c>
      <c r="D6263" s="750" t="s">
        <v>2084</v>
      </c>
      <c r="E6263" s="203" t="s">
        <v>42</v>
      </c>
      <c r="F6263" s="753">
        <v>0.09</v>
      </c>
      <c r="G6263" s="205">
        <f>VLOOKUP(D6263,upahbahan,3,FALSE)</f>
        <v>0</v>
      </c>
      <c r="H6263" s="210">
        <f t="shared" si="465"/>
        <v>0</v>
      </c>
      <c r="L6263" s="200"/>
      <c r="M6263" s="200"/>
      <c r="N6263" s="200"/>
      <c r="O6263" s="200"/>
      <c r="P6263" s="200"/>
    </row>
    <row r="6264" spans="3:16" s="517" customFormat="1" ht="31.2" customHeight="1">
      <c r="C6264" s="754" t="s">
        <v>5299</v>
      </c>
      <c r="D6264" s="750" t="s">
        <v>2325</v>
      </c>
      <c r="E6264" s="203" t="s">
        <v>42</v>
      </c>
      <c r="F6264" s="753">
        <v>0.01</v>
      </c>
      <c r="G6264" s="205">
        <f>VLOOKUP(D6264,upahbahan,3,FALSE)</f>
        <v>0</v>
      </c>
      <c r="H6264" s="210">
        <f t="shared" si="465"/>
        <v>0</v>
      </c>
      <c r="L6264" s="200"/>
      <c r="M6264" s="200"/>
      <c r="N6264" s="200"/>
      <c r="O6264" s="200"/>
      <c r="P6264" s="200"/>
    </row>
    <row r="6265" spans="3:16" s="517" customFormat="1" ht="31.2" customHeight="1">
      <c r="C6265" s="207" t="s">
        <v>1214</v>
      </c>
      <c r="D6265" s="208"/>
      <c r="E6265" s="568"/>
      <c r="F6265" s="208"/>
      <c r="G6265" s="209"/>
      <c r="H6265" s="210">
        <f>SUM(H6261:H6264)</f>
        <v>0</v>
      </c>
      <c r="L6265" s="200"/>
      <c r="M6265" s="200"/>
      <c r="N6265" s="200"/>
      <c r="O6265" s="200"/>
      <c r="P6265" s="200"/>
    </row>
    <row r="6266" spans="3:16" s="517" customFormat="1" ht="31.2" customHeight="1">
      <c r="C6266" s="756" t="s">
        <v>1215</v>
      </c>
      <c r="D6266" s="196" t="s">
        <v>1216</v>
      </c>
      <c r="E6266" s="203"/>
      <c r="F6266" s="197"/>
      <c r="G6266" s="197"/>
      <c r="H6266" s="198"/>
      <c r="L6266" s="200"/>
      <c r="M6266" s="200"/>
      <c r="N6266" s="200"/>
      <c r="O6266" s="200"/>
      <c r="P6266" s="200"/>
    </row>
    <row r="6267" spans="3:16" s="517" customFormat="1" ht="31.2" customHeight="1">
      <c r="C6267" s="207" t="s">
        <v>1217</v>
      </c>
      <c r="D6267" s="208"/>
      <c r="E6267" s="208"/>
      <c r="F6267" s="208"/>
      <c r="G6267" s="209"/>
      <c r="H6267" s="240">
        <f>SUM(H6266)</f>
        <v>0</v>
      </c>
      <c r="L6267" s="200"/>
      <c r="M6267" s="200"/>
      <c r="N6267" s="200"/>
      <c r="O6267" s="200"/>
      <c r="P6267" s="200"/>
    </row>
    <row r="6268" spans="3:16" s="517" customFormat="1" ht="31.2" customHeight="1">
      <c r="C6268" s="223" t="s">
        <v>1218</v>
      </c>
      <c r="D6268" s="224" t="s">
        <v>1219</v>
      </c>
      <c r="E6268" s="225"/>
      <c r="F6268" s="225"/>
      <c r="G6268" s="226"/>
      <c r="H6268" s="210">
        <f>H6267+H6265+H6259</f>
        <v>6708</v>
      </c>
      <c r="L6268" s="200"/>
      <c r="M6268" s="200"/>
      <c r="N6268" s="200"/>
      <c r="O6268" s="200"/>
      <c r="P6268" s="200"/>
    </row>
    <row r="6269" spans="3:16" s="517" customFormat="1" ht="31.2" customHeight="1">
      <c r="C6269" s="223" t="s">
        <v>1220</v>
      </c>
      <c r="D6269" s="224" t="s">
        <v>1321</v>
      </c>
      <c r="E6269" s="225"/>
      <c r="F6269" s="226"/>
      <c r="G6269" s="228">
        <v>0.1</v>
      </c>
      <c r="H6269" s="210">
        <f>H6268*G6269</f>
        <v>670.80000000000007</v>
      </c>
      <c r="L6269" s="200"/>
      <c r="M6269" s="200"/>
      <c r="N6269" s="200"/>
      <c r="O6269" s="200"/>
      <c r="P6269" s="200"/>
    </row>
    <row r="6270" spans="3:16" s="517" customFormat="1" ht="31.2" customHeight="1" thickBot="1">
      <c r="C6270" s="229" t="s">
        <v>1221</v>
      </c>
      <c r="D6270" s="230" t="s">
        <v>1222</v>
      </c>
      <c r="E6270" s="231"/>
      <c r="F6270" s="231"/>
      <c r="G6270" s="232"/>
      <c r="H6270" s="233">
        <f>SUM(H6268:H6269)</f>
        <v>7378.8</v>
      </c>
      <c r="L6270" s="200"/>
      <c r="M6270" s="200"/>
      <c r="N6270" s="200"/>
      <c r="O6270" s="200"/>
      <c r="P6270" s="200"/>
    </row>
    <row r="6271" spans="3:16" ht="31.2" customHeight="1" thickTop="1">
      <c r="D6271" s="758"/>
    </row>
    <row r="6272" spans="3:16" ht="31.2" customHeight="1">
      <c r="C6272" s="757" t="s">
        <v>6950</v>
      </c>
      <c r="F6272" s="758"/>
      <c r="H6272" s="758" t="s">
        <v>7561</v>
      </c>
    </row>
    <row r="6273" spans="3:20" ht="31.2" customHeight="1">
      <c r="C6273" s="200" t="s">
        <v>6951</v>
      </c>
      <c r="F6273" s="758"/>
    </row>
    <row r="6274" spans="3:20" ht="31.2" customHeight="1">
      <c r="C6274" s="200" t="s">
        <v>6952</v>
      </c>
      <c r="F6274" s="758"/>
    </row>
    <row r="6275" spans="3:20" ht="31.2" customHeight="1">
      <c r="C6275" s="200"/>
      <c r="F6275" s="758"/>
    </row>
    <row r="6276" spans="3:20" s="517" customFormat="1" ht="31.2" customHeight="1" thickBot="1">
      <c r="C6276" s="513" t="s">
        <v>7562</v>
      </c>
      <c r="D6276" s="748" t="s">
        <v>7563</v>
      </c>
      <c r="E6276" s="749"/>
      <c r="F6276" s="748"/>
      <c r="G6276" s="748"/>
      <c r="H6276" s="532"/>
      <c r="I6276" s="532"/>
      <c r="J6276" s="532"/>
      <c r="K6276" s="532"/>
      <c r="M6276" s="189"/>
      <c r="N6276" s="189"/>
      <c r="O6276" s="189"/>
      <c r="P6276" s="189"/>
      <c r="R6276" s="189">
        <f>ROUNDDOWN(H6294,-2)</f>
        <v>7300</v>
      </c>
      <c r="S6276" s="517" t="s">
        <v>6451</v>
      </c>
      <c r="T6276" s="517" t="s">
        <v>7014</v>
      </c>
    </row>
    <row r="6277" spans="3:20" s="517" customFormat="1" ht="31.2" customHeight="1" thickTop="1">
      <c r="C6277" s="190" t="s">
        <v>1195</v>
      </c>
      <c r="D6277" s="191" t="s">
        <v>1196</v>
      </c>
      <c r="E6277" s="191" t="s">
        <v>1197</v>
      </c>
      <c r="F6277" s="191" t="s">
        <v>1198</v>
      </c>
      <c r="G6277" s="191" t="s">
        <v>1199</v>
      </c>
      <c r="H6277" s="192" t="s">
        <v>1200</v>
      </c>
      <c r="L6277" s="200"/>
      <c r="M6277" s="200"/>
      <c r="N6277" s="200"/>
      <c r="O6277" s="200"/>
      <c r="P6277" s="200"/>
    </row>
    <row r="6278" spans="3:20" s="517" customFormat="1" ht="31.2" customHeight="1">
      <c r="C6278" s="518" t="s">
        <v>1201</v>
      </c>
      <c r="D6278" s="196" t="s">
        <v>1202</v>
      </c>
      <c r="E6278" s="197"/>
      <c r="F6278" s="197"/>
      <c r="G6278" s="197"/>
      <c r="H6278" s="198"/>
      <c r="L6278" s="200"/>
      <c r="M6278" s="200"/>
      <c r="N6278" s="200"/>
      <c r="O6278" s="200"/>
      <c r="P6278" s="200"/>
    </row>
    <row r="6279" spans="3:20" s="517" customFormat="1" ht="31.2" customHeight="1">
      <c r="C6279" s="537">
        <v>1</v>
      </c>
      <c r="D6279" s="196" t="s">
        <v>5</v>
      </c>
      <c r="E6279" s="202" t="s">
        <v>6</v>
      </c>
      <c r="F6279" s="520">
        <v>0.02</v>
      </c>
      <c r="G6279" s="205">
        <f>VLOOKUP(D6279,upahbahan,3,FALSE)</f>
        <v>100000</v>
      </c>
      <c r="H6279" s="210">
        <f t="shared" ref="H6279:H6282" si="466">F6279*G6279</f>
        <v>2000</v>
      </c>
      <c r="L6279" s="200"/>
      <c r="M6279" s="200"/>
      <c r="N6279" s="200"/>
      <c r="O6279" s="200"/>
      <c r="P6279" s="200"/>
    </row>
    <row r="6280" spans="3:20" s="517" customFormat="1" ht="31.2" customHeight="1">
      <c r="C6280" s="537">
        <v>2</v>
      </c>
      <c r="D6280" s="196" t="s">
        <v>6954</v>
      </c>
      <c r="E6280" s="202" t="s">
        <v>6</v>
      </c>
      <c r="F6280" s="520">
        <v>0.02</v>
      </c>
      <c r="G6280" s="205">
        <f>VLOOKUP(D6280,upahbahan,3,FALSE)</f>
        <v>181250</v>
      </c>
      <c r="H6280" s="210">
        <f t="shared" si="466"/>
        <v>3625</v>
      </c>
      <c r="L6280" s="200"/>
      <c r="M6280" s="200"/>
      <c r="N6280" s="200"/>
      <c r="O6280" s="200"/>
      <c r="P6280" s="200"/>
    </row>
    <row r="6281" spans="3:20" s="517" customFormat="1" ht="31.2" customHeight="1">
      <c r="C6281" s="537">
        <v>3</v>
      </c>
      <c r="D6281" s="196" t="s">
        <v>6948</v>
      </c>
      <c r="E6281" s="202" t="s">
        <v>2102</v>
      </c>
      <c r="F6281" s="520">
        <v>4.0000000000000001E-3</v>
      </c>
      <c r="G6281" s="205">
        <f>VLOOKUP(D6281,upahbahan,3,FALSE)</f>
        <v>218750</v>
      </c>
      <c r="H6281" s="210">
        <f t="shared" si="466"/>
        <v>875</v>
      </c>
      <c r="L6281" s="200"/>
      <c r="M6281" s="200"/>
      <c r="N6281" s="200"/>
      <c r="O6281" s="200"/>
      <c r="P6281" s="200"/>
    </row>
    <row r="6282" spans="3:20" s="517" customFormat="1" ht="31.2" customHeight="1">
      <c r="C6282" s="537">
        <v>4</v>
      </c>
      <c r="D6282" s="196" t="s">
        <v>19</v>
      </c>
      <c r="E6282" s="202" t="s">
        <v>6</v>
      </c>
      <c r="F6282" s="520">
        <v>1.2999999999999999E-3</v>
      </c>
      <c r="G6282" s="205">
        <f>VLOOKUP(D6282,upahbahan,3,FALSE)</f>
        <v>160000</v>
      </c>
      <c r="H6282" s="210">
        <f t="shared" si="466"/>
        <v>208</v>
      </c>
      <c r="L6282" s="200"/>
      <c r="M6282" s="200"/>
      <c r="N6282" s="200"/>
      <c r="O6282" s="200"/>
      <c r="P6282" s="200"/>
    </row>
    <row r="6283" spans="3:20" s="517" customFormat="1" ht="31.2" customHeight="1">
      <c r="C6283" s="207" t="s">
        <v>1208</v>
      </c>
      <c r="D6283" s="208"/>
      <c r="E6283" s="208"/>
      <c r="F6283" s="521"/>
      <c r="G6283" s="522"/>
      <c r="H6283" s="210">
        <f>SUM(H6279:H6282)</f>
        <v>6708</v>
      </c>
      <c r="L6283" s="523"/>
      <c r="M6283" s="523"/>
      <c r="N6283" s="523"/>
      <c r="O6283" s="523"/>
      <c r="P6283" s="523"/>
    </row>
    <row r="6284" spans="3:20" s="517" customFormat="1" ht="31.2" customHeight="1">
      <c r="C6284" s="543" t="s">
        <v>1209</v>
      </c>
      <c r="D6284" s="750" t="s">
        <v>1210</v>
      </c>
      <c r="E6284" s="197"/>
      <c r="F6284" s="751"/>
      <c r="G6284" s="197"/>
      <c r="H6284" s="752"/>
      <c r="L6284" s="200"/>
      <c r="M6284" s="200"/>
      <c r="N6284" s="200"/>
      <c r="O6284" s="200"/>
      <c r="P6284" s="200"/>
    </row>
    <row r="6285" spans="3:20" s="517" customFormat="1" ht="31.2" customHeight="1">
      <c r="C6285" s="543">
        <v>1</v>
      </c>
      <c r="D6285" s="750" t="s">
        <v>7564</v>
      </c>
      <c r="E6285" s="203" t="s">
        <v>44</v>
      </c>
      <c r="F6285" s="760">
        <v>1</v>
      </c>
      <c r="G6285" s="205">
        <f>VLOOKUP(D6285,upahbahan,3,FALSE)</f>
        <v>0</v>
      </c>
      <c r="H6285" s="210">
        <f t="shared" ref="H6285:H6288" si="467">F6285*G6285</f>
        <v>0</v>
      </c>
      <c r="L6285" s="200"/>
      <c r="M6285" s="200"/>
      <c r="N6285" s="200"/>
      <c r="O6285" s="200"/>
      <c r="P6285" s="200"/>
    </row>
    <row r="6286" spans="3:20" s="517" customFormat="1" ht="31.2" customHeight="1">
      <c r="C6286" s="543">
        <v>2</v>
      </c>
      <c r="D6286" s="750" t="s">
        <v>5556</v>
      </c>
      <c r="E6286" s="203"/>
      <c r="F6286" s="753"/>
      <c r="G6286" s="197"/>
      <c r="H6286" s="210">
        <f t="shared" si="467"/>
        <v>0</v>
      </c>
      <c r="L6286" s="200"/>
      <c r="M6286" s="200"/>
      <c r="N6286" s="200"/>
      <c r="O6286" s="200"/>
      <c r="P6286" s="200"/>
    </row>
    <row r="6287" spans="3:20" s="517" customFormat="1" ht="31.2" customHeight="1">
      <c r="C6287" s="754" t="s">
        <v>5293</v>
      </c>
      <c r="D6287" s="750" t="s">
        <v>2084</v>
      </c>
      <c r="E6287" s="203" t="s">
        <v>42</v>
      </c>
      <c r="F6287" s="753">
        <v>0.09</v>
      </c>
      <c r="G6287" s="205">
        <f>VLOOKUP(D6287,upahbahan,3,FALSE)</f>
        <v>0</v>
      </c>
      <c r="H6287" s="210">
        <f t="shared" si="467"/>
        <v>0</v>
      </c>
      <c r="L6287" s="200"/>
      <c r="M6287" s="200"/>
      <c r="N6287" s="200"/>
      <c r="O6287" s="200"/>
      <c r="P6287" s="200"/>
    </row>
    <row r="6288" spans="3:20" s="517" customFormat="1" ht="31.2" customHeight="1">
      <c r="C6288" s="754" t="s">
        <v>5299</v>
      </c>
      <c r="D6288" s="750" t="s">
        <v>2325</v>
      </c>
      <c r="E6288" s="203" t="s">
        <v>42</v>
      </c>
      <c r="F6288" s="753">
        <v>0.01</v>
      </c>
      <c r="G6288" s="205">
        <f>VLOOKUP(D6288,upahbahan,3,FALSE)</f>
        <v>0</v>
      </c>
      <c r="H6288" s="210">
        <f t="shared" si="467"/>
        <v>0</v>
      </c>
      <c r="L6288" s="200"/>
      <c r="M6288" s="200"/>
      <c r="N6288" s="200"/>
      <c r="O6288" s="200"/>
      <c r="P6288" s="200"/>
    </row>
    <row r="6289" spans="3:20" s="517" customFormat="1" ht="31.2" customHeight="1">
      <c r="C6289" s="207" t="s">
        <v>1214</v>
      </c>
      <c r="D6289" s="208"/>
      <c r="E6289" s="568"/>
      <c r="F6289" s="208"/>
      <c r="G6289" s="209"/>
      <c r="H6289" s="210">
        <f>SUM(H6285:H6288)</f>
        <v>0</v>
      </c>
      <c r="L6289" s="200"/>
      <c r="M6289" s="200"/>
      <c r="N6289" s="200"/>
      <c r="O6289" s="200"/>
      <c r="P6289" s="200"/>
    </row>
    <row r="6290" spans="3:20" s="517" customFormat="1" ht="31.2" customHeight="1">
      <c r="C6290" s="756" t="s">
        <v>1215</v>
      </c>
      <c r="D6290" s="196" t="s">
        <v>1216</v>
      </c>
      <c r="E6290" s="203"/>
      <c r="F6290" s="197"/>
      <c r="G6290" s="197"/>
      <c r="H6290" s="198"/>
      <c r="L6290" s="200"/>
      <c r="M6290" s="200"/>
      <c r="N6290" s="200"/>
      <c r="O6290" s="200"/>
      <c r="P6290" s="200"/>
    </row>
    <row r="6291" spans="3:20" s="517" customFormat="1" ht="31.2" customHeight="1">
      <c r="C6291" s="207" t="s">
        <v>1217</v>
      </c>
      <c r="D6291" s="208"/>
      <c r="E6291" s="208"/>
      <c r="F6291" s="208"/>
      <c r="G6291" s="209"/>
      <c r="H6291" s="240">
        <f>SUM(H6290)</f>
        <v>0</v>
      </c>
      <c r="L6291" s="200"/>
      <c r="M6291" s="200"/>
      <c r="N6291" s="200"/>
      <c r="O6291" s="200"/>
      <c r="P6291" s="200"/>
    </row>
    <row r="6292" spans="3:20" s="517" customFormat="1" ht="31.2" customHeight="1">
      <c r="C6292" s="223" t="s">
        <v>1218</v>
      </c>
      <c r="D6292" s="224" t="s">
        <v>1219</v>
      </c>
      <c r="E6292" s="225"/>
      <c r="F6292" s="225"/>
      <c r="G6292" s="226"/>
      <c r="H6292" s="210">
        <f>H6291+H6289+H6283</f>
        <v>6708</v>
      </c>
      <c r="L6292" s="200"/>
      <c r="M6292" s="200"/>
      <c r="N6292" s="200"/>
      <c r="O6292" s="200"/>
      <c r="P6292" s="200"/>
    </row>
    <row r="6293" spans="3:20" s="517" customFormat="1" ht="31.2" customHeight="1">
      <c r="C6293" s="223" t="s">
        <v>1220</v>
      </c>
      <c r="D6293" s="224" t="s">
        <v>1321</v>
      </c>
      <c r="E6293" s="225"/>
      <c r="F6293" s="226"/>
      <c r="G6293" s="228">
        <v>0.1</v>
      </c>
      <c r="H6293" s="210">
        <f>H6292*G6293</f>
        <v>670.80000000000007</v>
      </c>
      <c r="L6293" s="200"/>
      <c r="M6293" s="200"/>
      <c r="N6293" s="200"/>
      <c r="O6293" s="200"/>
      <c r="P6293" s="200"/>
    </row>
    <row r="6294" spans="3:20" s="517" customFormat="1" ht="31.2" customHeight="1" thickBot="1">
      <c r="C6294" s="229" t="s">
        <v>1221</v>
      </c>
      <c r="D6294" s="230" t="s">
        <v>1222</v>
      </c>
      <c r="E6294" s="231"/>
      <c r="F6294" s="231"/>
      <c r="G6294" s="232"/>
      <c r="H6294" s="233">
        <f>SUM(H6292:H6293)</f>
        <v>7378.8</v>
      </c>
      <c r="L6294" s="200"/>
      <c r="M6294" s="200"/>
      <c r="N6294" s="200"/>
      <c r="O6294" s="200"/>
      <c r="P6294" s="200"/>
    </row>
    <row r="6295" spans="3:20" ht="31.2" customHeight="1" thickTop="1">
      <c r="D6295" s="758"/>
    </row>
    <row r="6296" spans="3:20" ht="31.2" customHeight="1">
      <c r="C6296" s="757" t="s">
        <v>6950</v>
      </c>
      <c r="F6296" s="758"/>
      <c r="H6296" s="758" t="s">
        <v>7561</v>
      </c>
    </row>
    <row r="6297" spans="3:20" ht="31.2" customHeight="1">
      <c r="C6297" s="200" t="s">
        <v>6951</v>
      </c>
      <c r="F6297" s="758"/>
    </row>
    <row r="6298" spans="3:20" ht="31.2" customHeight="1">
      <c r="C6298" s="200" t="s">
        <v>6952</v>
      </c>
      <c r="F6298" s="758"/>
    </row>
    <row r="6299" spans="3:20" ht="31.2" customHeight="1">
      <c r="C6299" s="200"/>
      <c r="F6299" s="758"/>
    </row>
    <row r="6300" spans="3:20" s="517" customFormat="1" ht="31.2" customHeight="1" thickBot="1">
      <c r="C6300" s="513" t="s">
        <v>7566</v>
      </c>
      <c r="D6300" s="748" t="s">
        <v>7567</v>
      </c>
      <c r="E6300" s="749"/>
      <c r="F6300" s="748"/>
      <c r="G6300" s="748"/>
      <c r="H6300" s="532"/>
      <c r="I6300" s="532"/>
      <c r="J6300" s="532"/>
      <c r="K6300" s="532"/>
      <c r="M6300" s="189"/>
      <c r="N6300" s="189"/>
      <c r="O6300" s="189"/>
      <c r="P6300" s="189"/>
      <c r="R6300" s="189">
        <f>ROUNDDOWN(H6318,-2)</f>
        <v>7300</v>
      </c>
      <c r="S6300" s="517" t="s">
        <v>6451</v>
      </c>
      <c r="T6300" s="517" t="s">
        <v>7014</v>
      </c>
    </row>
    <row r="6301" spans="3:20" s="517" customFormat="1" ht="31.2" customHeight="1" thickTop="1">
      <c r="C6301" s="190" t="s">
        <v>1195</v>
      </c>
      <c r="D6301" s="191" t="s">
        <v>1196</v>
      </c>
      <c r="E6301" s="191" t="s">
        <v>1197</v>
      </c>
      <c r="F6301" s="191" t="s">
        <v>1198</v>
      </c>
      <c r="G6301" s="191" t="s">
        <v>1199</v>
      </c>
      <c r="H6301" s="192" t="s">
        <v>1200</v>
      </c>
      <c r="L6301" s="200"/>
      <c r="M6301" s="200"/>
      <c r="N6301" s="200"/>
      <c r="O6301" s="200"/>
      <c r="P6301" s="200"/>
    </row>
    <row r="6302" spans="3:20" s="517" customFormat="1" ht="31.2" customHeight="1">
      <c r="C6302" s="518" t="s">
        <v>1201</v>
      </c>
      <c r="D6302" s="196" t="s">
        <v>1202</v>
      </c>
      <c r="E6302" s="197"/>
      <c r="F6302" s="197"/>
      <c r="G6302" s="197"/>
      <c r="H6302" s="198"/>
      <c r="L6302" s="200"/>
      <c r="M6302" s="200"/>
      <c r="N6302" s="200"/>
      <c r="O6302" s="200"/>
      <c r="P6302" s="200"/>
    </row>
    <row r="6303" spans="3:20" s="517" customFormat="1" ht="31.2" customHeight="1">
      <c r="C6303" s="537">
        <v>1</v>
      </c>
      <c r="D6303" s="196" t="s">
        <v>5</v>
      </c>
      <c r="E6303" s="202" t="s">
        <v>6</v>
      </c>
      <c r="F6303" s="520">
        <v>0.02</v>
      </c>
      <c r="G6303" s="205">
        <f>VLOOKUP(D6303,upahbahan,3,FALSE)</f>
        <v>100000</v>
      </c>
      <c r="H6303" s="210">
        <f t="shared" ref="H6303:H6306" si="468">F6303*G6303</f>
        <v>2000</v>
      </c>
      <c r="L6303" s="200"/>
      <c r="M6303" s="200"/>
      <c r="N6303" s="200"/>
      <c r="O6303" s="200"/>
      <c r="P6303" s="200"/>
    </row>
    <row r="6304" spans="3:20" s="517" customFormat="1" ht="31.2" customHeight="1">
      <c r="C6304" s="537">
        <v>2</v>
      </c>
      <c r="D6304" s="196" t="s">
        <v>6954</v>
      </c>
      <c r="E6304" s="202" t="s">
        <v>6</v>
      </c>
      <c r="F6304" s="520">
        <v>0.02</v>
      </c>
      <c r="G6304" s="205">
        <f>VLOOKUP(D6304,upahbahan,3,FALSE)</f>
        <v>181250</v>
      </c>
      <c r="H6304" s="210">
        <f t="shared" si="468"/>
        <v>3625</v>
      </c>
      <c r="L6304" s="200"/>
      <c r="M6304" s="200"/>
      <c r="N6304" s="200"/>
      <c r="O6304" s="200"/>
      <c r="P6304" s="200"/>
    </row>
    <row r="6305" spans="3:16" s="517" customFormat="1" ht="31.2" customHeight="1">
      <c r="C6305" s="537">
        <v>3</v>
      </c>
      <c r="D6305" s="196" t="s">
        <v>6948</v>
      </c>
      <c r="E6305" s="202" t="s">
        <v>2102</v>
      </c>
      <c r="F6305" s="520">
        <v>4.0000000000000001E-3</v>
      </c>
      <c r="G6305" s="205">
        <f>VLOOKUP(D6305,upahbahan,3,FALSE)</f>
        <v>218750</v>
      </c>
      <c r="H6305" s="210">
        <f t="shared" si="468"/>
        <v>875</v>
      </c>
      <c r="L6305" s="200"/>
      <c r="M6305" s="200"/>
      <c r="N6305" s="200"/>
      <c r="O6305" s="200"/>
      <c r="P6305" s="200"/>
    </row>
    <row r="6306" spans="3:16" s="517" customFormat="1" ht="31.2" customHeight="1">
      <c r="C6306" s="537">
        <v>4</v>
      </c>
      <c r="D6306" s="196" t="s">
        <v>19</v>
      </c>
      <c r="E6306" s="202" t="s">
        <v>6</v>
      </c>
      <c r="F6306" s="520">
        <v>1.2999999999999999E-3</v>
      </c>
      <c r="G6306" s="205">
        <f>VLOOKUP(D6306,upahbahan,3,FALSE)</f>
        <v>160000</v>
      </c>
      <c r="H6306" s="210">
        <f t="shared" si="468"/>
        <v>208</v>
      </c>
      <c r="L6306" s="200"/>
      <c r="M6306" s="200"/>
      <c r="N6306" s="200"/>
      <c r="O6306" s="200"/>
      <c r="P6306" s="200"/>
    </row>
    <row r="6307" spans="3:16" s="517" customFormat="1" ht="31.2" customHeight="1">
      <c r="C6307" s="207" t="s">
        <v>1208</v>
      </c>
      <c r="D6307" s="208"/>
      <c r="E6307" s="208"/>
      <c r="F6307" s="521"/>
      <c r="G6307" s="522"/>
      <c r="H6307" s="210">
        <f>SUM(H6303:H6306)</f>
        <v>6708</v>
      </c>
      <c r="L6307" s="523"/>
      <c r="M6307" s="523"/>
      <c r="N6307" s="523"/>
      <c r="O6307" s="523"/>
      <c r="P6307" s="523"/>
    </row>
    <row r="6308" spans="3:16" s="517" customFormat="1" ht="31.2" customHeight="1">
      <c r="C6308" s="543" t="s">
        <v>1209</v>
      </c>
      <c r="D6308" s="750" t="s">
        <v>1210</v>
      </c>
      <c r="E6308" s="197"/>
      <c r="F6308" s="751"/>
      <c r="G6308" s="197"/>
      <c r="H6308" s="752"/>
      <c r="L6308" s="200"/>
      <c r="M6308" s="200"/>
      <c r="N6308" s="200"/>
      <c r="O6308" s="200"/>
      <c r="P6308" s="200"/>
    </row>
    <row r="6309" spans="3:16" s="517" customFormat="1" ht="31.2" customHeight="1">
      <c r="C6309" s="543">
        <v>1</v>
      </c>
      <c r="D6309" s="750" t="s">
        <v>7568</v>
      </c>
      <c r="E6309" s="203" t="s">
        <v>44</v>
      </c>
      <c r="F6309" s="760">
        <v>1</v>
      </c>
      <c r="G6309" s="205">
        <f>VLOOKUP(D6309,upahbahan,3,FALSE)</f>
        <v>0</v>
      </c>
      <c r="H6309" s="210">
        <f t="shared" ref="H6309:H6312" si="469">F6309*G6309</f>
        <v>0</v>
      </c>
      <c r="L6309" s="200"/>
      <c r="M6309" s="200"/>
      <c r="N6309" s="200"/>
      <c r="O6309" s="200"/>
      <c r="P6309" s="200"/>
    </row>
    <row r="6310" spans="3:16" s="517" customFormat="1" ht="31.2" customHeight="1">
      <c r="C6310" s="543">
        <v>2</v>
      </c>
      <c r="D6310" s="750" t="s">
        <v>5556</v>
      </c>
      <c r="E6310" s="203"/>
      <c r="F6310" s="753"/>
      <c r="G6310" s="197"/>
      <c r="H6310" s="210">
        <f t="shared" si="469"/>
        <v>0</v>
      </c>
      <c r="L6310" s="200"/>
      <c r="M6310" s="200"/>
      <c r="N6310" s="200"/>
      <c r="O6310" s="200"/>
      <c r="P6310" s="200"/>
    </row>
    <row r="6311" spans="3:16" s="517" customFormat="1" ht="31.2" customHeight="1">
      <c r="C6311" s="754" t="s">
        <v>5293</v>
      </c>
      <c r="D6311" s="750" t="s">
        <v>2084</v>
      </c>
      <c r="E6311" s="203" t="s">
        <v>42</v>
      </c>
      <c r="F6311" s="753">
        <v>0.09</v>
      </c>
      <c r="G6311" s="205">
        <f>VLOOKUP(D6311,upahbahan,3,FALSE)</f>
        <v>0</v>
      </c>
      <c r="H6311" s="210">
        <f t="shared" si="469"/>
        <v>0</v>
      </c>
      <c r="L6311" s="200"/>
      <c r="M6311" s="200"/>
      <c r="N6311" s="200"/>
      <c r="O6311" s="200"/>
      <c r="P6311" s="200"/>
    </row>
    <row r="6312" spans="3:16" s="517" customFormat="1" ht="31.2" customHeight="1">
      <c r="C6312" s="754" t="s">
        <v>5299</v>
      </c>
      <c r="D6312" s="750" t="s">
        <v>2325</v>
      </c>
      <c r="E6312" s="203" t="s">
        <v>42</v>
      </c>
      <c r="F6312" s="753">
        <v>0.01</v>
      </c>
      <c r="G6312" s="205">
        <f>VLOOKUP(D6312,upahbahan,3,FALSE)</f>
        <v>0</v>
      </c>
      <c r="H6312" s="210">
        <f t="shared" si="469"/>
        <v>0</v>
      </c>
      <c r="L6312" s="200"/>
      <c r="M6312" s="200"/>
      <c r="N6312" s="200"/>
      <c r="O6312" s="200"/>
      <c r="P6312" s="200"/>
    </row>
    <row r="6313" spans="3:16" s="517" customFormat="1" ht="31.2" customHeight="1">
      <c r="C6313" s="207" t="s">
        <v>1214</v>
      </c>
      <c r="D6313" s="208"/>
      <c r="E6313" s="568"/>
      <c r="F6313" s="208"/>
      <c r="G6313" s="209"/>
      <c r="H6313" s="210">
        <f>SUM(H6309:H6312)</f>
        <v>0</v>
      </c>
      <c r="L6313" s="200"/>
      <c r="M6313" s="200"/>
      <c r="N6313" s="200"/>
      <c r="O6313" s="200"/>
      <c r="P6313" s="200"/>
    </row>
    <row r="6314" spans="3:16" s="517" customFormat="1" ht="31.2" customHeight="1">
      <c r="C6314" s="756" t="s">
        <v>1215</v>
      </c>
      <c r="D6314" s="196" t="s">
        <v>1216</v>
      </c>
      <c r="E6314" s="203"/>
      <c r="F6314" s="197"/>
      <c r="G6314" s="197"/>
      <c r="H6314" s="198"/>
      <c r="L6314" s="200"/>
      <c r="M6314" s="200"/>
      <c r="N6314" s="200"/>
      <c r="O6314" s="200"/>
      <c r="P6314" s="200"/>
    </row>
    <row r="6315" spans="3:16" s="517" customFormat="1" ht="31.2" customHeight="1">
      <c r="C6315" s="207" t="s">
        <v>1217</v>
      </c>
      <c r="D6315" s="208"/>
      <c r="E6315" s="208"/>
      <c r="F6315" s="208"/>
      <c r="G6315" s="209"/>
      <c r="H6315" s="240">
        <f>SUM(H6314)</f>
        <v>0</v>
      </c>
      <c r="L6315" s="200"/>
      <c r="M6315" s="200"/>
      <c r="N6315" s="200"/>
      <c r="O6315" s="200"/>
      <c r="P6315" s="200"/>
    </row>
    <row r="6316" spans="3:16" s="517" customFormat="1" ht="31.2" customHeight="1">
      <c r="C6316" s="223" t="s">
        <v>1218</v>
      </c>
      <c r="D6316" s="224" t="s">
        <v>1219</v>
      </c>
      <c r="E6316" s="225"/>
      <c r="F6316" s="225"/>
      <c r="G6316" s="226"/>
      <c r="H6316" s="210">
        <f>H6315+H6313+H6307</f>
        <v>6708</v>
      </c>
      <c r="L6316" s="200"/>
      <c r="M6316" s="200"/>
      <c r="N6316" s="200"/>
      <c r="O6316" s="200"/>
      <c r="P6316" s="200"/>
    </row>
    <row r="6317" spans="3:16" s="517" customFormat="1" ht="31.2" customHeight="1">
      <c r="C6317" s="223" t="s">
        <v>1220</v>
      </c>
      <c r="D6317" s="224" t="s">
        <v>1321</v>
      </c>
      <c r="E6317" s="225"/>
      <c r="F6317" s="226"/>
      <c r="G6317" s="228">
        <v>0.1</v>
      </c>
      <c r="H6317" s="210">
        <f>H6316*G6317</f>
        <v>670.80000000000007</v>
      </c>
      <c r="L6317" s="200"/>
      <c r="M6317" s="200"/>
      <c r="N6317" s="200"/>
      <c r="O6317" s="200"/>
      <c r="P6317" s="200"/>
    </row>
    <row r="6318" spans="3:16" s="517" customFormat="1" ht="31.2" customHeight="1" thickBot="1">
      <c r="C6318" s="229" t="s">
        <v>1221</v>
      </c>
      <c r="D6318" s="230" t="s">
        <v>1222</v>
      </c>
      <c r="E6318" s="231"/>
      <c r="F6318" s="231"/>
      <c r="G6318" s="232"/>
      <c r="H6318" s="233">
        <f>SUM(H6316:H6317)</f>
        <v>7378.8</v>
      </c>
      <c r="L6318" s="200"/>
      <c r="M6318" s="200"/>
      <c r="N6318" s="200"/>
      <c r="O6318" s="200"/>
      <c r="P6318" s="200"/>
    </row>
    <row r="6319" spans="3:16" ht="31.2" customHeight="1" thickTop="1">
      <c r="D6319" s="758"/>
    </row>
    <row r="6320" spans="3:16" ht="31.2" customHeight="1">
      <c r="C6320" s="757" t="s">
        <v>6950</v>
      </c>
      <c r="F6320" s="758"/>
      <c r="H6320" s="758" t="s">
        <v>7561</v>
      </c>
    </row>
    <row r="6321" spans="3:20" ht="31.2" customHeight="1">
      <c r="C6321" s="200" t="s">
        <v>6951</v>
      </c>
      <c r="F6321" s="758"/>
    </row>
    <row r="6322" spans="3:20" ht="31.2" customHeight="1">
      <c r="C6322" s="200" t="s">
        <v>6952</v>
      </c>
      <c r="F6322" s="758"/>
    </row>
    <row r="6323" spans="3:20" ht="31.2" customHeight="1">
      <c r="C6323" s="200"/>
      <c r="F6323" s="758"/>
    </row>
    <row r="6324" spans="3:20" s="517" customFormat="1" ht="31.2" customHeight="1" thickBot="1">
      <c r="C6324" s="513" t="s">
        <v>7569</v>
      </c>
      <c r="D6324" s="748" t="s">
        <v>7570</v>
      </c>
      <c r="E6324" s="749"/>
      <c r="F6324" s="748"/>
      <c r="G6324" s="748"/>
      <c r="H6324" s="532"/>
      <c r="I6324" s="532"/>
      <c r="J6324" s="532"/>
      <c r="K6324" s="532"/>
      <c r="M6324" s="189"/>
      <c r="N6324" s="189"/>
      <c r="O6324" s="189"/>
      <c r="P6324" s="189"/>
      <c r="R6324" s="189">
        <f>ROUNDDOWN(H6342,-2)</f>
        <v>7300</v>
      </c>
      <c r="S6324" s="517" t="s">
        <v>6451</v>
      </c>
      <c r="T6324" s="517" t="s">
        <v>7014</v>
      </c>
    </row>
    <row r="6325" spans="3:20" s="517" customFormat="1" ht="31.2" customHeight="1" thickTop="1">
      <c r="C6325" s="190" t="s">
        <v>1195</v>
      </c>
      <c r="D6325" s="191" t="s">
        <v>1196</v>
      </c>
      <c r="E6325" s="191" t="s">
        <v>1197</v>
      </c>
      <c r="F6325" s="191" t="s">
        <v>1198</v>
      </c>
      <c r="G6325" s="191" t="s">
        <v>1199</v>
      </c>
      <c r="H6325" s="192" t="s">
        <v>1200</v>
      </c>
      <c r="L6325" s="200"/>
      <c r="M6325" s="200"/>
      <c r="N6325" s="200"/>
      <c r="O6325" s="200"/>
      <c r="P6325" s="200"/>
    </row>
    <row r="6326" spans="3:20" s="517" customFormat="1" ht="31.2" customHeight="1">
      <c r="C6326" s="518" t="s">
        <v>1201</v>
      </c>
      <c r="D6326" s="196" t="s">
        <v>1202</v>
      </c>
      <c r="E6326" s="197"/>
      <c r="F6326" s="197"/>
      <c r="G6326" s="197"/>
      <c r="H6326" s="198"/>
      <c r="L6326" s="200"/>
      <c r="M6326" s="200"/>
      <c r="N6326" s="200"/>
      <c r="O6326" s="200"/>
      <c r="P6326" s="200"/>
    </row>
    <row r="6327" spans="3:20" s="517" customFormat="1" ht="31.2" customHeight="1">
      <c r="C6327" s="537">
        <v>1</v>
      </c>
      <c r="D6327" s="196" t="s">
        <v>5</v>
      </c>
      <c r="E6327" s="202" t="s">
        <v>6</v>
      </c>
      <c r="F6327" s="520">
        <v>0.02</v>
      </c>
      <c r="G6327" s="205">
        <f>VLOOKUP(D6327,upahbahan,3,FALSE)</f>
        <v>100000</v>
      </c>
      <c r="H6327" s="210">
        <f t="shared" ref="H6327:H6330" si="470">F6327*G6327</f>
        <v>2000</v>
      </c>
      <c r="L6327" s="200"/>
      <c r="M6327" s="200"/>
      <c r="N6327" s="200"/>
      <c r="O6327" s="200"/>
      <c r="P6327" s="200"/>
    </row>
    <row r="6328" spans="3:20" s="517" customFormat="1" ht="31.2" customHeight="1">
      <c r="C6328" s="537">
        <v>2</v>
      </c>
      <c r="D6328" s="196" t="s">
        <v>6954</v>
      </c>
      <c r="E6328" s="202" t="s">
        <v>6</v>
      </c>
      <c r="F6328" s="520">
        <v>0.02</v>
      </c>
      <c r="G6328" s="205">
        <f>VLOOKUP(D6328,upahbahan,3,FALSE)</f>
        <v>181250</v>
      </c>
      <c r="H6328" s="210">
        <f t="shared" si="470"/>
        <v>3625</v>
      </c>
      <c r="L6328" s="200"/>
      <c r="M6328" s="200"/>
      <c r="N6328" s="200"/>
      <c r="O6328" s="200"/>
      <c r="P6328" s="200"/>
    </row>
    <row r="6329" spans="3:20" s="517" customFormat="1" ht="31.2" customHeight="1">
      <c r="C6329" s="537">
        <v>3</v>
      </c>
      <c r="D6329" s="196" t="s">
        <v>6948</v>
      </c>
      <c r="E6329" s="202" t="s">
        <v>2102</v>
      </c>
      <c r="F6329" s="520">
        <v>4.0000000000000001E-3</v>
      </c>
      <c r="G6329" s="205">
        <f>VLOOKUP(D6329,upahbahan,3,FALSE)</f>
        <v>218750</v>
      </c>
      <c r="H6329" s="210">
        <f t="shared" si="470"/>
        <v>875</v>
      </c>
      <c r="L6329" s="200"/>
      <c r="M6329" s="200"/>
      <c r="N6329" s="200"/>
      <c r="O6329" s="200"/>
      <c r="P6329" s="200"/>
    </row>
    <row r="6330" spans="3:20" s="517" customFormat="1" ht="31.2" customHeight="1">
      <c r="C6330" s="537">
        <v>4</v>
      </c>
      <c r="D6330" s="196" t="s">
        <v>19</v>
      </c>
      <c r="E6330" s="202" t="s">
        <v>6</v>
      </c>
      <c r="F6330" s="520">
        <v>1.2999999999999999E-3</v>
      </c>
      <c r="G6330" s="205">
        <f>VLOOKUP(D6330,upahbahan,3,FALSE)</f>
        <v>160000</v>
      </c>
      <c r="H6330" s="210">
        <f t="shared" si="470"/>
        <v>208</v>
      </c>
      <c r="L6330" s="200"/>
      <c r="M6330" s="200"/>
      <c r="N6330" s="200"/>
      <c r="O6330" s="200"/>
      <c r="P6330" s="200"/>
    </row>
    <row r="6331" spans="3:20" s="517" customFormat="1" ht="31.2" customHeight="1">
      <c r="C6331" s="207" t="s">
        <v>1208</v>
      </c>
      <c r="D6331" s="208"/>
      <c r="E6331" s="208"/>
      <c r="F6331" s="521"/>
      <c r="G6331" s="522"/>
      <c r="H6331" s="210">
        <f>SUM(H6327:H6330)</f>
        <v>6708</v>
      </c>
      <c r="L6331" s="523"/>
      <c r="M6331" s="523"/>
      <c r="N6331" s="523"/>
      <c r="O6331" s="523"/>
      <c r="P6331" s="523"/>
    </row>
    <row r="6332" spans="3:20" s="517" customFormat="1" ht="31.2" customHeight="1">
      <c r="C6332" s="543" t="s">
        <v>1209</v>
      </c>
      <c r="D6332" s="750" t="s">
        <v>1210</v>
      </c>
      <c r="E6332" s="197"/>
      <c r="F6332" s="751"/>
      <c r="G6332" s="197"/>
      <c r="H6332" s="752"/>
      <c r="L6332" s="200"/>
      <c r="M6332" s="200"/>
      <c r="N6332" s="200"/>
      <c r="O6332" s="200"/>
      <c r="P6332" s="200"/>
    </row>
    <row r="6333" spans="3:20" s="517" customFormat="1" ht="31.2" customHeight="1">
      <c r="C6333" s="543">
        <v>1</v>
      </c>
      <c r="D6333" s="750" t="s">
        <v>7571</v>
      </c>
      <c r="E6333" s="203" t="s">
        <v>44</v>
      </c>
      <c r="F6333" s="760">
        <v>1</v>
      </c>
      <c r="G6333" s="205">
        <f>VLOOKUP(D6333,upahbahan,3,FALSE)</f>
        <v>0</v>
      </c>
      <c r="H6333" s="210">
        <f t="shared" ref="H6333:H6336" si="471">F6333*G6333</f>
        <v>0</v>
      </c>
      <c r="L6333" s="200"/>
      <c r="M6333" s="200"/>
      <c r="N6333" s="200"/>
      <c r="O6333" s="200"/>
      <c r="P6333" s="200"/>
    </row>
    <row r="6334" spans="3:20" s="517" customFormat="1" ht="31.2" customHeight="1">
      <c r="C6334" s="543">
        <v>2</v>
      </c>
      <c r="D6334" s="750" t="s">
        <v>5556</v>
      </c>
      <c r="E6334" s="203"/>
      <c r="F6334" s="753"/>
      <c r="G6334" s="197"/>
      <c r="H6334" s="210">
        <f t="shared" si="471"/>
        <v>0</v>
      </c>
      <c r="L6334" s="200"/>
      <c r="M6334" s="200"/>
      <c r="N6334" s="200"/>
      <c r="O6334" s="200"/>
      <c r="P6334" s="200"/>
    </row>
    <row r="6335" spans="3:20" s="517" customFormat="1" ht="31.2" customHeight="1">
      <c r="C6335" s="754" t="s">
        <v>5293</v>
      </c>
      <c r="D6335" s="750" t="s">
        <v>2084</v>
      </c>
      <c r="E6335" s="203" t="s">
        <v>42</v>
      </c>
      <c r="F6335" s="753">
        <v>0.09</v>
      </c>
      <c r="G6335" s="205">
        <f>VLOOKUP(D6335,upahbahan,3,FALSE)</f>
        <v>0</v>
      </c>
      <c r="H6335" s="210">
        <f t="shared" si="471"/>
        <v>0</v>
      </c>
      <c r="L6335" s="200"/>
      <c r="M6335" s="200"/>
      <c r="N6335" s="200"/>
      <c r="O6335" s="200"/>
      <c r="P6335" s="200"/>
    </row>
    <row r="6336" spans="3:20" s="517" customFormat="1" ht="31.2" customHeight="1">
      <c r="C6336" s="754" t="s">
        <v>5299</v>
      </c>
      <c r="D6336" s="750" t="s">
        <v>2325</v>
      </c>
      <c r="E6336" s="203" t="s">
        <v>42</v>
      </c>
      <c r="F6336" s="753">
        <v>0.01</v>
      </c>
      <c r="G6336" s="205">
        <f>VLOOKUP(D6336,upahbahan,3,FALSE)</f>
        <v>0</v>
      </c>
      <c r="H6336" s="210">
        <f t="shared" si="471"/>
        <v>0</v>
      </c>
      <c r="L6336" s="200"/>
      <c r="M6336" s="200"/>
      <c r="N6336" s="200"/>
      <c r="O6336" s="200"/>
      <c r="P6336" s="200"/>
    </row>
    <row r="6337" spans="3:20" s="517" customFormat="1" ht="31.2" customHeight="1">
      <c r="C6337" s="207" t="s">
        <v>1214</v>
      </c>
      <c r="D6337" s="208"/>
      <c r="E6337" s="568"/>
      <c r="F6337" s="208"/>
      <c r="G6337" s="209"/>
      <c r="H6337" s="210">
        <f>SUM(H6333:H6336)</f>
        <v>0</v>
      </c>
      <c r="L6337" s="200"/>
      <c r="M6337" s="200"/>
      <c r="N6337" s="200"/>
      <c r="O6337" s="200"/>
      <c r="P6337" s="200"/>
    </row>
    <row r="6338" spans="3:20" s="517" customFormat="1" ht="31.2" customHeight="1">
      <c r="C6338" s="756" t="s">
        <v>1215</v>
      </c>
      <c r="D6338" s="196" t="s">
        <v>1216</v>
      </c>
      <c r="E6338" s="203"/>
      <c r="F6338" s="197"/>
      <c r="G6338" s="197"/>
      <c r="H6338" s="198"/>
      <c r="L6338" s="200"/>
      <c r="M6338" s="200"/>
      <c r="N6338" s="200"/>
      <c r="O6338" s="200"/>
      <c r="P6338" s="200"/>
    </row>
    <row r="6339" spans="3:20" s="517" customFormat="1" ht="31.2" customHeight="1">
      <c r="C6339" s="207" t="s">
        <v>1217</v>
      </c>
      <c r="D6339" s="208"/>
      <c r="E6339" s="208"/>
      <c r="F6339" s="208"/>
      <c r="G6339" s="209"/>
      <c r="H6339" s="240">
        <f>SUM(H6338)</f>
        <v>0</v>
      </c>
      <c r="L6339" s="200"/>
      <c r="M6339" s="200"/>
      <c r="N6339" s="200"/>
      <c r="O6339" s="200"/>
      <c r="P6339" s="200"/>
    </row>
    <row r="6340" spans="3:20" s="517" customFormat="1" ht="31.2" customHeight="1">
      <c r="C6340" s="223" t="s">
        <v>1218</v>
      </c>
      <c r="D6340" s="224" t="s">
        <v>1219</v>
      </c>
      <c r="E6340" s="225"/>
      <c r="F6340" s="225"/>
      <c r="G6340" s="226"/>
      <c r="H6340" s="210">
        <f>H6339+H6337+H6331</f>
        <v>6708</v>
      </c>
      <c r="L6340" s="200"/>
      <c r="M6340" s="200"/>
      <c r="N6340" s="200"/>
      <c r="O6340" s="200"/>
      <c r="P6340" s="200"/>
    </row>
    <row r="6341" spans="3:20" s="517" customFormat="1" ht="31.2" customHeight="1">
      <c r="C6341" s="223" t="s">
        <v>1220</v>
      </c>
      <c r="D6341" s="224" t="s">
        <v>1321</v>
      </c>
      <c r="E6341" s="225"/>
      <c r="F6341" s="226"/>
      <c r="G6341" s="228">
        <v>0.1</v>
      </c>
      <c r="H6341" s="210">
        <f>H6340*G6341</f>
        <v>670.80000000000007</v>
      </c>
      <c r="L6341" s="200"/>
      <c r="M6341" s="200"/>
      <c r="N6341" s="200"/>
      <c r="O6341" s="200"/>
      <c r="P6341" s="200"/>
    </row>
    <row r="6342" spans="3:20" s="517" customFormat="1" ht="31.2" customHeight="1" thickBot="1">
      <c r="C6342" s="229" t="s">
        <v>1221</v>
      </c>
      <c r="D6342" s="230" t="s">
        <v>1222</v>
      </c>
      <c r="E6342" s="231"/>
      <c r="F6342" s="231"/>
      <c r="G6342" s="232"/>
      <c r="H6342" s="233">
        <f>SUM(H6340:H6341)</f>
        <v>7378.8</v>
      </c>
      <c r="L6342" s="200"/>
      <c r="M6342" s="200"/>
      <c r="N6342" s="200"/>
      <c r="O6342" s="200"/>
      <c r="P6342" s="200"/>
    </row>
    <row r="6343" spans="3:20" ht="31.2" customHeight="1" thickTop="1">
      <c r="D6343" s="758"/>
    </row>
    <row r="6344" spans="3:20" ht="31.2" customHeight="1">
      <c r="C6344" s="757" t="s">
        <v>6950</v>
      </c>
      <c r="F6344" s="758"/>
      <c r="H6344" s="758" t="s">
        <v>7561</v>
      </c>
    </row>
    <row r="6345" spans="3:20" ht="31.2" customHeight="1">
      <c r="C6345" s="200" t="s">
        <v>6951</v>
      </c>
      <c r="F6345" s="758"/>
    </row>
    <row r="6346" spans="3:20" ht="31.2" customHeight="1">
      <c r="C6346" s="200" t="s">
        <v>6952</v>
      </c>
      <c r="F6346" s="758"/>
    </row>
    <row r="6347" spans="3:20" ht="31.2" customHeight="1">
      <c r="C6347" s="200"/>
      <c r="F6347" s="758"/>
    </row>
    <row r="6348" spans="3:20" ht="31.2" customHeight="1">
      <c r="C6348" s="765" t="s">
        <v>5601</v>
      </c>
      <c r="D6348" s="766" t="s">
        <v>5602</v>
      </c>
      <c r="E6348" s="767"/>
      <c r="F6348" s="766"/>
      <c r="G6348" s="766"/>
    </row>
    <row r="6349" spans="3:20" s="517" customFormat="1" ht="31.2" customHeight="1" thickBot="1">
      <c r="C6349" s="513" t="s">
        <v>5603</v>
      </c>
      <c r="D6349" s="748" t="s">
        <v>8784</v>
      </c>
      <c r="E6349" s="749"/>
      <c r="F6349" s="748"/>
      <c r="G6349" s="748"/>
      <c r="H6349" s="532"/>
      <c r="I6349" s="532"/>
      <c r="J6349" s="532"/>
      <c r="K6349" s="532"/>
      <c r="M6349" s="189"/>
      <c r="N6349" s="189"/>
      <c r="O6349" s="189"/>
      <c r="P6349" s="189"/>
      <c r="R6349" s="189">
        <f>ROUNDDOWN(H6371,-2)</f>
        <v>1700</v>
      </c>
      <c r="S6349" s="517" t="s">
        <v>6451</v>
      </c>
      <c r="T6349" s="517" t="s">
        <v>7572</v>
      </c>
    </row>
    <row r="6350" spans="3:20" s="517" customFormat="1" ht="31.2" customHeight="1" thickTop="1">
      <c r="C6350" s="190" t="s">
        <v>1195</v>
      </c>
      <c r="D6350" s="191" t="s">
        <v>1196</v>
      </c>
      <c r="E6350" s="191" t="s">
        <v>1197</v>
      </c>
      <c r="F6350" s="191" t="s">
        <v>1198</v>
      </c>
      <c r="G6350" s="191" t="s">
        <v>1199</v>
      </c>
      <c r="H6350" s="192" t="s">
        <v>1200</v>
      </c>
      <c r="L6350" s="200"/>
      <c r="M6350" s="200"/>
      <c r="N6350" s="200"/>
      <c r="O6350" s="200"/>
      <c r="P6350" s="200"/>
    </row>
    <row r="6351" spans="3:20" s="517" customFormat="1" ht="31.2" customHeight="1">
      <c r="C6351" s="518" t="s">
        <v>1201</v>
      </c>
      <c r="D6351" s="196" t="s">
        <v>1202</v>
      </c>
      <c r="E6351" s="197"/>
      <c r="F6351" s="197"/>
      <c r="G6351" s="197"/>
      <c r="H6351" s="198"/>
      <c r="L6351" s="200"/>
      <c r="M6351" s="200"/>
      <c r="N6351" s="200"/>
      <c r="O6351" s="200"/>
      <c r="P6351" s="200"/>
    </row>
    <row r="6352" spans="3:20" s="517" customFormat="1" ht="31.2" customHeight="1">
      <c r="C6352" s="518">
        <v>1</v>
      </c>
      <c r="D6352" s="196" t="s">
        <v>5</v>
      </c>
      <c r="E6352" s="203" t="s">
        <v>2102</v>
      </c>
      <c r="F6352" s="204">
        <v>5.0000000000000001E-4</v>
      </c>
      <c r="G6352" s="205">
        <f>VLOOKUP(D6352,upahbahan,3,FALSE)</f>
        <v>100000</v>
      </c>
      <c r="H6352" s="210">
        <f t="shared" ref="H6352:H6355" si="472">F6352*G6352</f>
        <v>50</v>
      </c>
      <c r="L6352" s="200"/>
      <c r="M6352" s="200"/>
      <c r="N6352" s="200"/>
      <c r="O6352" s="200"/>
      <c r="P6352" s="200"/>
    </row>
    <row r="6353" spans="3:16" s="517" customFormat="1" ht="31.2" customHeight="1">
      <c r="C6353" s="537">
        <v>2</v>
      </c>
      <c r="D6353" s="196" t="s">
        <v>6954</v>
      </c>
      <c r="E6353" s="202" t="s">
        <v>6</v>
      </c>
      <c r="F6353" s="520">
        <v>1E-3</v>
      </c>
      <c r="G6353" s="205">
        <f>VLOOKUP(D6353,upahbahan,3,FALSE)</f>
        <v>181250</v>
      </c>
      <c r="H6353" s="210">
        <f t="shared" si="472"/>
        <v>181.25</v>
      </c>
      <c r="L6353" s="200"/>
      <c r="M6353" s="200"/>
      <c r="N6353" s="200"/>
      <c r="O6353" s="200"/>
      <c r="P6353" s="200"/>
    </row>
    <row r="6354" spans="3:16" s="517" customFormat="1" ht="31.2" customHeight="1">
      <c r="C6354" s="537">
        <v>2</v>
      </c>
      <c r="D6354" s="196" t="s">
        <v>6948</v>
      </c>
      <c r="E6354" s="202" t="s">
        <v>6</v>
      </c>
      <c r="F6354" s="520">
        <v>1E-4</v>
      </c>
      <c r="G6354" s="205">
        <f>VLOOKUP(D6354,upahbahan,3,FALSE)</f>
        <v>218750</v>
      </c>
      <c r="H6354" s="210">
        <f t="shared" ref="H6354" si="473">F6354*G6354</f>
        <v>21.875</v>
      </c>
      <c r="L6354" s="200"/>
      <c r="M6354" s="200"/>
      <c r="N6354" s="200"/>
      <c r="O6354" s="200"/>
      <c r="P6354" s="200"/>
    </row>
    <row r="6355" spans="3:16" s="517" customFormat="1" ht="31.2" customHeight="1">
      <c r="C6355" s="537">
        <v>3</v>
      </c>
      <c r="D6355" s="196" t="s">
        <v>19</v>
      </c>
      <c r="E6355" s="202" t="s">
        <v>6</v>
      </c>
      <c r="F6355" s="768">
        <v>3.0000000000000001E-5</v>
      </c>
      <c r="G6355" s="205">
        <f>VLOOKUP(D6355,upahbahan,3,FALSE)</f>
        <v>160000</v>
      </c>
      <c r="H6355" s="210">
        <f t="shared" si="472"/>
        <v>4.8</v>
      </c>
      <c r="L6355" s="200"/>
      <c r="M6355" s="200"/>
      <c r="N6355" s="200"/>
      <c r="O6355" s="200"/>
      <c r="P6355" s="200"/>
    </row>
    <row r="6356" spans="3:16" s="517" customFormat="1" ht="31.2" customHeight="1">
      <c r="C6356" s="207" t="s">
        <v>1208</v>
      </c>
      <c r="D6356" s="208"/>
      <c r="E6356" s="208"/>
      <c r="F6356" s="521"/>
      <c r="G6356" s="522"/>
      <c r="H6356" s="210">
        <f>SUM(H6352:H6355)</f>
        <v>257.92500000000001</v>
      </c>
      <c r="L6356" s="523"/>
      <c r="M6356" s="523"/>
      <c r="N6356" s="523"/>
      <c r="O6356" s="523"/>
      <c r="P6356" s="523"/>
    </row>
    <row r="6357" spans="3:16" s="517" customFormat="1" ht="31.2" customHeight="1">
      <c r="C6357" s="543" t="s">
        <v>1209</v>
      </c>
      <c r="D6357" s="750" t="s">
        <v>1210</v>
      </c>
      <c r="E6357" s="197"/>
      <c r="F6357" s="751"/>
      <c r="G6357" s="197"/>
      <c r="H6357" s="752"/>
      <c r="L6357" s="200"/>
      <c r="M6357" s="200"/>
      <c r="N6357" s="200"/>
      <c r="O6357" s="200"/>
      <c r="P6357" s="200"/>
    </row>
    <row r="6358" spans="3:16" s="517" customFormat="1" ht="31.2" customHeight="1">
      <c r="C6358" s="543">
        <v>1</v>
      </c>
      <c r="D6358" s="750" t="s">
        <v>5604</v>
      </c>
      <c r="E6358" s="203" t="s">
        <v>62</v>
      </c>
      <c r="F6358" s="769">
        <v>1</v>
      </c>
      <c r="G6358" s="205">
        <f t="shared" ref="G6358:G6364" si="474">VLOOKUP(D6358,upahbahan,3,FALSE)</f>
        <v>0</v>
      </c>
      <c r="H6358" s="210">
        <f>F6358*G6358</f>
        <v>0</v>
      </c>
      <c r="L6358" s="200"/>
      <c r="M6358" s="200"/>
      <c r="N6358" s="200"/>
      <c r="O6358" s="200"/>
      <c r="P6358" s="200"/>
    </row>
    <row r="6359" spans="3:16" s="517" customFormat="1" ht="31.2" customHeight="1">
      <c r="C6359" s="543">
        <v>2</v>
      </c>
      <c r="D6359" s="750" t="s">
        <v>5608</v>
      </c>
      <c r="E6359" s="203" t="s">
        <v>65</v>
      </c>
      <c r="F6359" s="769">
        <v>3.0000000000000001E-3</v>
      </c>
      <c r="G6359" s="205">
        <f t="shared" si="474"/>
        <v>0</v>
      </c>
      <c r="H6359" s="210">
        <f t="shared" ref="H6359:H6364" si="475">F6359*G6359</f>
        <v>0</v>
      </c>
      <c r="L6359" s="200"/>
      <c r="M6359" s="200"/>
      <c r="N6359" s="200"/>
      <c r="O6359" s="200"/>
      <c r="P6359" s="200"/>
    </row>
    <row r="6360" spans="3:16" s="517" customFormat="1" ht="31.2" customHeight="1">
      <c r="C6360" s="543">
        <v>3</v>
      </c>
      <c r="D6360" s="750" t="s">
        <v>5605</v>
      </c>
      <c r="E6360" s="203" t="s">
        <v>65</v>
      </c>
      <c r="F6360" s="769">
        <v>0.01</v>
      </c>
      <c r="G6360" s="205">
        <f t="shared" si="474"/>
        <v>0</v>
      </c>
      <c r="H6360" s="210">
        <f t="shared" si="475"/>
        <v>0</v>
      </c>
      <c r="L6360" s="200"/>
      <c r="M6360" s="200"/>
      <c r="N6360" s="200"/>
      <c r="O6360" s="200"/>
      <c r="P6360" s="200"/>
    </row>
    <row r="6361" spans="3:16" s="517" customFormat="1" ht="31.2" customHeight="1">
      <c r="C6361" s="543">
        <v>4</v>
      </c>
      <c r="D6361" s="750" t="s">
        <v>5606</v>
      </c>
      <c r="E6361" s="203" t="s">
        <v>65</v>
      </c>
      <c r="F6361" s="769">
        <v>0.3</v>
      </c>
      <c r="G6361" s="205">
        <f t="shared" si="474"/>
        <v>0</v>
      </c>
      <c r="H6361" s="210">
        <f t="shared" si="475"/>
        <v>0</v>
      </c>
      <c r="L6361" s="200"/>
      <c r="M6361" s="200"/>
      <c r="N6361" s="200"/>
      <c r="O6361" s="200"/>
      <c r="P6361" s="200"/>
    </row>
    <row r="6362" spans="3:16" s="517" customFormat="1" ht="31.2" customHeight="1">
      <c r="C6362" s="543">
        <v>5</v>
      </c>
      <c r="D6362" s="750" t="s">
        <v>5561</v>
      </c>
      <c r="E6362" s="203" t="s">
        <v>65</v>
      </c>
      <c r="F6362" s="769">
        <v>0.6</v>
      </c>
      <c r="G6362" s="205">
        <f t="shared" si="474"/>
        <v>0</v>
      </c>
      <c r="H6362" s="210">
        <f t="shared" si="475"/>
        <v>0</v>
      </c>
      <c r="L6362" s="200"/>
      <c r="M6362" s="200"/>
      <c r="N6362" s="200"/>
      <c r="O6362" s="200"/>
      <c r="P6362" s="200"/>
    </row>
    <row r="6363" spans="3:16" s="517" customFormat="1" ht="31.2" customHeight="1">
      <c r="C6363" s="543">
        <v>6</v>
      </c>
      <c r="D6363" s="750" t="s">
        <v>7576</v>
      </c>
      <c r="E6363" s="203" t="s">
        <v>65</v>
      </c>
      <c r="F6363" s="769">
        <v>4.0000000000000001E-3</v>
      </c>
      <c r="G6363" s="205">
        <f t="shared" si="474"/>
        <v>0</v>
      </c>
      <c r="H6363" s="210">
        <f t="shared" si="475"/>
        <v>0</v>
      </c>
      <c r="L6363" s="200"/>
      <c r="M6363" s="200"/>
      <c r="N6363" s="200"/>
      <c r="O6363" s="200"/>
      <c r="P6363" s="200"/>
    </row>
    <row r="6364" spans="3:16" s="517" customFormat="1" ht="31.2" customHeight="1">
      <c r="C6364" s="543">
        <v>7</v>
      </c>
      <c r="D6364" s="750" t="s">
        <v>960</v>
      </c>
      <c r="E6364" s="203" t="s">
        <v>529</v>
      </c>
      <c r="F6364" s="769">
        <v>5.6</v>
      </c>
      <c r="G6364" s="205">
        <f t="shared" si="474"/>
        <v>200</v>
      </c>
      <c r="H6364" s="210">
        <f t="shared" si="475"/>
        <v>1120</v>
      </c>
      <c r="L6364" s="200"/>
      <c r="M6364" s="200"/>
      <c r="N6364" s="200"/>
      <c r="O6364" s="200"/>
      <c r="P6364" s="200"/>
    </row>
    <row r="6365" spans="3:16" s="517" customFormat="1" ht="31.2" customHeight="1">
      <c r="C6365" s="207" t="s">
        <v>1214</v>
      </c>
      <c r="D6365" s="208"/>
      <c r="E6365" s="568"/>
      <c r="F6365" s="208"/>
      <c r="G6365" s="209"/>
      <c r="H6365" s="210">
        <f>SUM(H6358:H6364)</f>
        <v>1120</v>
      </c>
      <c r="L6365" s="200"/>
      <c r="M6365" s="200"/>
      <c r="N6365" s="200"/>
      <c r="O6365" s="200"/>
      <c r="P6365" s="200"/>
    </row>
    <row r="6366" spans="3:16" s="517" customFormat="1" ht="31.2" customHeight="1">
      <c r="C6366" s="195" t="s">
        <v>1215</v>
      </c>
      <c r="D6366" s="196" t="s">
        <v>1216</v>
      </c>
      <c r="E6366" s="203"/>
      <c r="F6366" s="197"/>
      <c r="G6366" s="197"/>
      <c r="H6366" s="198"/>
      <c r="L6366" s="200"/>
      <c r="M6366" s="200"/>
      <c r="N6366" s="200"/>
      <c r="O6366" s="200"/>
      <c r="P6366" s="200"/>
    </row>
    <row r="6367" spans="3:16" s="517" customFormat="1" ht="31.2" customHeight="1">
      <c r="C6367" s="201">
        <v>1</v>
      </c>
      <c r="D6367" s="196" t="s">
        <v>5607</v>
      </c>
      <c r="E6367" s="203" t="s">
        <v>1974</v>
      </c>
      <c r="F6367" s="763">
        <v>5.0000000000000001E-4</v>
      </c>
      <c r="G6367" s="205">
        <f>VLOOKUP(D6367,upahbahan,3,FALSE)</f>
        <v>350000</v>
      </c>
      <c r="H6367" s="210">
        <f>F6367*G6367</f>
        <v>175</v>
      </c>
      <c r="L6367" s="200"/>
      <c r="M6367" s="200"/>
      <c r="N6367" s="200"/>
      <c r="O6367" s="200"/>
      <c r="P6367" s="200"/>
    </row>
    <row r="6368" spans="3:16" s="517" customFormat="1" ht="31.2" customHeight="1">
      <c r="C6368" s="207" t="s">
        <v>1217</v>
      </c>
      <c r="D6368" s="208"/>
      <c r="E6368" s="208"/>
      <c r="F6368" s="208"/>
      <c r="G6368" s="209"/>
      <c r="H6368" s="770">
        <f>SUM(H6366:H6367)</f>
        <v>175</v>
      </c>
      <c r="L6368" s="200"/>
      <c r="M6368" s="200"/>
      <c r="N6368" s="200"/>
      <c r="O6368" s="200"/>
      <c r="P6368" s="200"/>
    </row>
    <row r="6369" spans="3:20" s="517" customFormat="1" ht="31.2" customHeight="1">
      <c r="C6369" s="223" t="s">
        <v>1218</v>
      </c>
      <c r="D6369" s="224" t="s">
        <v>1219</v>
      </c>
      <c r="E6369" s="225"/>
      <c r="F6369" s="225"/>
      <c r="G6369" s="226"/>
      <c r="H6369" s="210">
        <f>H6368+H6365+H6356</f>
        <v>1552.925</v>
      </c>
      <c r="L6369" s="200"/>
      <c r="M6369" s="200"/>
      <c r="N6369" s="200"/>
      <c r="O6369" s="200"/>
      <c r="P6369" s="200"/>
    </row>
    <row r="6370" spans="3:20" s="517" customFormat="1" ht="31.2" customHeight="1">
      <c r="C6370" s="223" t="s">
        <v>1220</v>
      </c>
      <c r="D6370" s="224" t="s">
        <v>1321</v>
      </c>
      <c r="E6370" s="225"/>
      <c r="F6370" s="226"/>
      <c r="G6370" s="228">
        <v>0.1</v>
      </c>
      <c r="H6370" s="210">
        <f>H6369*G6370</f>
        <v>155.29250000000002</v>
      </c>
      <c r="L6370" s="200"/>
      <c r="M6370" s="200"/>
      <c r="N6370" s="200"/>
      <c r="O6370" s="200"/>
      <c r="P6370" s="200"/>
    </row>
    <row r="6371" spans="3:20" s="517" customFormat="1" ht="31.2" customHeight="1" thickBot="1">
      <c r="C6371" s="229" t="s">
        <v>1221</v>
      </c>
      <c r="D6371" s="230" t="s">
        <v>1222</v>
      </c>
      <c r="E6371" s="231"/>
      <c r="F6371" s="231"/>
      <c r="G6371" s="232"/>
      <c r="H6371" s="233">
        <f>SUM(H6369:H6370)</f>
        <v>1708.2175</v>
      </c>
      <c r="L6371" s="200"/>
      <c r="M6371" s="200"/>
      <c r="N6371" s="200"/>
      <c r="O6371" s="200"/>
      <c r="P6371" s="200"/>
    </row>
    <row r="6372" spans="3:20" s="517" customFormat="1" ht="31.2" customHeight="1" thickTop="1">
      <c r="C6372" s="757" t="s">
        <v>1247</v>
      </c>
      <c r="D6372" s="758"/>
      <c r="E6372" s="758"/>
      <c r="F6372" s="758"/>
      <c r="G6372" s="758"/>
      <c r="H6372" s="759"/>
      <c r="L6372" s="200"/>
      <c r="M6372" s="200"/>
      <c r="N6372" s="200"/>
      <c r="O6372" s="200"/>
      <c r="P6372" s="200"/>
    </row>
    <row r="6373" spans="3:20" s="517" customFormat="1" ht="31.2" customHeight="1">
      <c r="C6373" s="757" t="s">
        <v>5296</v>
      </c>
      <c r="D6373" s="758" t="s">
        <v>6951</v>
      </c>
      <c r="E6373" s="758"/>
      <c r="F6373" s="758"/>
      <c r="G6373" s="758"/>
      <c r="H6373" s="759"/>
      <c r="L6373" s="200"/>
      <c r="M6373" s="200"/>
      <c r="N6373" s="200"/>
      <c r="O6373" s="200"/>
      <c r="P6373" s="200"/>
    </row>
    <row r="6374" spans="3:20" s="517" customFormat="1" ht="31.2" customHeight="1">
      <c r="C6374" s="757" t="s">
        <v>7575</v>
      </c>
      <c r="D6374" s="758" t="s">
        <v>6952</v>
      </c>
      <c r="E6374" s="758"/>
      <c r="F6374" s="758"/>
      <c r="G6374" s="758"/>
      <c r="H6374" s="759"/>
      <c r="L6374" s="200"/>
      <c r="M6374" s="200"/>
      <c r="N6374" s="200"/>
      <c r="O6374" s="200"/>
      <c r="P6374" s="200"/>
    </row>
    <row r="6375" spans="3:20" s="517" customFormat="1" ht="31.2" customHeight="1">
      <c r="C6375" s="200" t="s">
        <v>7577</v>
      </c>
      <c r="D6375" s="758"/>
      <c r="E6375" s="758"/>
      <c r="F6375" s="758"/>
      <c r="G6375" s="758"/>
      <c r="H6375" s="759"/>
      <c r="L6375" s="200"/>
      <c r="M6375" s="200"/>
      <c r="N6375" s="200"/>
      <c r="O6375" s="200"/>
      <c r="P6375" s="200"/>
    </row>
    <row r="6376" spans="3:20" ht="31.2" customHeight="1"/>
    <row r="6377" spans="3:20" s="517" customFormat="1" ht="31.2" customHeight="1" thickBot="1">
      <c r="C6377" s="513" t="s">
        <v>5609</v>
      </c>
      <c r="D6377" s="748" t="s">
        <v>7573</v>
      </c>
      <c r="E6377" s="749"/>
      <c r="F6377" s="748"/>
      <c r="G6377" s="748"/>
      <c r="H6377" s="532"/>
      <c r="I6377" s="532"/>
      <c r="J6377" s="532"/>
      <c r="K6377" s="532"/>
      <c r="M6377" s="189"/>
      <c r="N6377" s="189"/>
      <c r="O6377" s="189"/>
      <c r="P6377" s="189"/>
      <c r="R6377" s="189">
        <f>ROUNDDOWN(H6398,-2)</f>
        <v>16900</v>
      </c>
      <c r="S6377" s="517" t="s">
        <v>6451</v>
      </c>
      <c r="T6377" s="517" t="s">
        <v>7574</v>
      </c>
    </row>
    <row r="6378" spans="3:20" s="517" customFormat="1" ht="31.2" customHeight="1" thickTop="1">
      <c r="C6378" s="190" t="s">
        <v>1195</v>
      </c>
      <c r="D6378" s="191" t="s">
        <v>1196</v>
      </c>
      <c r="E6378" s="191" t="s">
        <v>1197</v>
      </c>
      <c r="F6378" s="191" t="s">
        <v>1198</v>
      </c>
      <c r="G6378" s="191" t="s">
        <v>1199</v>
      </c>
      <c r="H6378" s="192" t="s">
        <v>1200</v>
      </c>
      <c r="L6378" s="200"/>
      <c r="M6378" s="200"/>
      <c r="N6378" s="200"/>
      <c r="O6378" s="200"/>
      <c r="P6378" s="200"/>
    </row>
    <row r="6379" spans="3:20" s="517" customFormat="1" ht="31.2" customHeight="1">
      <c r="C6379" s="518" t="s">
        <v>1201</v>
      </c>
      <c r="D6379" s="196" t="s">
        <v>1202</v>
      </c>
      <c r="E6379" s="197"/>
      <c r="F6379" s="197"/>
      <c r="G6379" s="197"/>
      <c r="H6379" s="198"/>
      <c r="L6379" s="200"/>
      <c r="M6379" s="200"/>
      <c r="N6379" s="200"/>
      <c r="O6379" s="200"/>
      <c r="P6379" s="200"/>
    </row>
    <row r="6380" spans="3:20" s="517" customFormat="1" ht="31.2" customHeight="1">
      <c r="C6380" s="518">
        <v>1</v>
      </c>
      <c r="D6380" s="196" t="s">
        <v>5</v>
      </c>
      <c r="E6380" s="203" t="s">
        <v>2102</v>
      </c>
      <c r="F6380" s="204">
        <v>2.5000000000000001E-2</v>
      </c>
      <c r="G6380" s="205">
        <f>VLOOKUP(D6380,upahbahan,3,FALSE)</f>
        <v>100000</v>
      </c>
      <c r="H6380" s="210">
        <f t="shared" ref="H6380:H6383" si="476">F6380*G6380</f>
        <v>2500</v>
      </c>
      <c r="L6380" s="200"/>
      <c r="M6380" s="200"/>
      <c r="N6380" s="200"/>
      <c r="O6380" s="200"/>
      <c r="P6380" s="200"/>
    </row>
    <row r="6381" spans="3:20" s="517" customFormat="1" ht="31.2" customHeight="1">
      <c r="C6381" s="537">
        <v>2</v>
      </c>
      <c r="D6381" s="196" t="s">
        <v>6954</v>
      </c>
      <c r="E6381" s="202" t="s">
        <v>6</v>
      </c>
      <c r="F6381" s="520">
        <v>0.05</v>
      </c>
      <c r="G6381" s="205">
        <f>VLOOKUP(D6381,upahbahan,3,FALSE)</f>
        <v>181250</v>
      </c>
      <c r="H6381" s="210">
        <f t="shared" si="476"/>
        <v>9062.5</v>
      </c>
      <c r="L6381" s="200"/>
      <c r="M6381" s="200"/>
      <c r="N6381" s="200"/>
      <c r="O6381" s="200"/>
      <c r="P6381" s="200"/>
    </row>
    <row r="6382" spans="3:20" s="517" customFormat="1" ht="31.2" customHeight="1">
      <c r="C6382" s="537">
        <v>2</v>
      </c>
      <c r="D6382" s="196" t="s">
        <v>6948</v>
      </c>
      <c r="E6382" s="202" t="s">
        <v>6</v>
      </c>
      <c r="F6382" s="520">
        <v>0.01</v>
      </c>
      <c r="G6382" s="205">
        <f>VLOOKUP(D6382,upahbahan,3,FALSE)</f>
        <v>218750</v>
      </c>
      <c r="H6382" s="210">
        <f t="shared" si="476"/>
        <v>2187.5</v>
      </c>
      <c r="L6382" s="200"/>
      <c r="M6382" s="200"/>
      <c r="N6382" s="200"/>
      <c r="O6382" s="200"/>
      <c r="P6382" s="200"/>
    </row>
    <row r="6383" spans="3:20" s="517" customFormat="1" ht="31.2" customHeight="1">
      <c r="C6383" s="537">
        <v>3</v>
      </c>
      <c r="D6383" s="196" t="s">
        <v>19</v>
      </c>
      <c r="E6383" s="202" t="s">
        <v>6</v>
      </c>
      <c r="F6383" s="768">
        <v>3.3E-3</v>
      </c>
      <c r="G6383" s="205">
        <f>VLOOKUP(D6383,upahbahan,3,FALSE)</f>
        <v>160000</v>
      </c>
      <c r="H6383" s="210">
        <f t="shared" si="476"/>
        <v>528</v>
      </c>
      <c r="L6383" s="200"/>
      <c r="M6383" s="200"/>
      <c r="N6383" s="200"/>
      <c r="O6383" s="200"/>
      <c r="P6383" s="200"/>
    </row>
    <row r="6384" spans="3:20" s="517" customFormat="1" ht="31.2" customHeight="1">
      <c r="C6384" s="207" t="s">
        <v>1208</v>
      </c>
      <c r="D6384" s="208"/>
      <c r="E6384" s="208"/>
      <c r="F6384" s="521"/>
      <c r="G6384" s="522"/>
      <c r="H6384" s="210">
        <f>SUM(H6380:H6383)</f>
        <v>14278</v>
      </c>
      <c r="L6384" s="523"/>
      <c r="M6384" s="523"/>
      <c r="N6384" s="523"/>
      <c r="O6384" s="523"/>
      <c r="P6384" s="523"/>
    </row>
    <row r="6385" spans="3:16" s="517" customFormat="1" ht="31.2" customHeight="1">
      <c r="C6385" s="543" t="s">
        <v>1209</v>
      </c>
      <c r="D6385" s="750" t="s">
        <v>1210</v>
      </c>
      <c r="E6385" s="197"/>
      <c r="F6385" s="751"/>
      <c r="G6385" s="197"/>
      <c r="H6385" s="752"/>
      <c r="L6385" s="200"/>
      <c r="M6385" s="200"/>
      <c r="N6385" s="200"/>
      <c r="O6385" s="200"/>
      <c r="P6385" s="200"/>
    </row>
    <row r="6386" spans="3:16" s="517" customFormat="1" ht="31.2" customHeight="1">
      <c r="C6386" s="543">
        <v>1</v>
      </c>
      <c r="D6386" s="750" t="s">
        <v>5604</v>
      </c>
      <c r="E6386" s="203" t="s">
        <v>62</v>
      </c>
      <c r="F6386" s="769">
        <v>1</v>
      </c>
      <c r="G6386" s="205">
        <f t="shared" ref="G6386:G6392" si="477">VLOOKUP(D6386,upahbahan,3,FALSE)</f>
        <v>0</v>
      </c>
      <c r="H6386" s="210">
        <f>F6386*G6386</f>
        <v>0</v>
      </c>
      <c r="L6386" s="200"/>
      <c r="M6386" s="200"/>
      <c r="N6386" s="200"/>
      <c r="O6386" s="200"/>
      <c r="P6386" s="200"/>
    </row>
    <row r="6387" spans="3:16" s="517" customFormat="1" ht="31.2" customHeight="1">
      <c r="C6387" s="543">
        <v>2</v>
      </c>
      <c r="D6387" s="750" t="s">
        <v>7578</v>
      </c>
      <c r="E6387" s="203" t="s">
        <v>65</v>
      </c>
      <c r="F6387" s="769">
        <v>3.0000000000000001E-3</v>
      </c>
      <c r="G6387" s="205">
        <f t="shared" si="477"/>
        <v>0</v>
      </c>
      <c r="H6387" s="210">
        <f t="shared" ref="H6387:H6392" si="478">F6387*G6387</f>
        <v>0</v>
      </c>
      <c r="L6387" s="200"/>
      <c r="M6387" s="200"/>
      <c r="N6387" s="200"/>
      <c r="O6387" s="200"/>
      <c r="P6387" s="200"/>
    </row>
    <row r="6388" spans="3:16" s="517" customFormat="1" ht="31.2" customHeight="1">
      <c r="C6388" s="543">
        <v>3</v>
      </c>
      <c r="D6388" s="750" t="s">
        <v>5605</v>
      </c>
      <c r="E6388" s="203" t="s">
        <v>65</v>
      </c>
      <c r="F6388" s="769">
        <v>0.01</v>
      </c>
      <c r="G6388" s="205">
        <f t="shared" si="477"/>
        <v>0</v>
      </c>
      <c r="H6388" s="210">
        <f t="shared" si="478"/>
        <v>0</v>
      </c>
      <c r="L6388" s="200"/>
      <c r="M6388" s="200"/>
      <c r="N6388" s="200"/>
      <c r="O6388" s="200"/>
      <c r="P6388" s="200"/>
    </row>
    <row r="6389" spans="3:16" s="517" customFormat="1" ht="31.2" customHeight="1">
      <c r="C6389" s="543">
        <v>4</v>
      </c>
      <c r="D6389" s="750" t="s">
        <v>5606</v>
      </c>
      <c r="E6389" s="203" t="s">
        <v>65</v>
      </c>
      <c r="F6389" s="769">
        <v>0.3</v>
      </c>
      <c r="G6389" s="205">
        <f t="shared" si="477"/>
        <v>0</v>
      </c>
      <c r="H6389" s="210">
        <f t="shared" si="478"/>
        <v>0</v>
      </c>
      <c r="L6389" s="200"/>
      <c r="M6389" s="200"/>
      <c r="N6389" s="200"/>
      <c r="O6389" s="200"/>
      <c r="P6389" s="200"/>
    </row>
    <row r="6390" spans="3:16" s="517" customFormat="1" ht="31.2" customHeight="1">
      <c r="C6390" s="543">
        <v>5</v>
      </c>
      <c r="D6390" s="750" t="s">
        <v>5561</v>
      </c>
      <c r="E6390" s="203" t="s">
        <v>65</v>
      </c>
      <c r="F6390" s="769">
        <v>0.6</v>
      </c>
      <c r="G6390" s="205">
        <f t="shared" si="477"/>
        <v>0</v>
      </c>
      <c r="H6390" s="210">
        <f t="shared" si="478"/>
        <v>0</v>
      </c>
      <c r="L6390" s="200"/>
      <c r="M6390" s="200"/>
      <c r="N6390" s="200"/>
      <c r="O6390" s="200"/>
      <c r="P6390" s="200"/>
    </row>
    <row r="6391" spans="3:16" s="517" customFormat="1" ht="31.2" customHeight="1">
      <c r="C6391" s="543">
        <v>6</v>
      </c>
      <c r="D6391" s="750" t="s">
        <v>7576</v>
      </c>
      <c r="E6391" s="203" t="s">
        <v>65</v>
      </c>
      <c r="F6391" s="769">
        <v>4.0000000000000001E-3</v>
      </c>
      <c r="G6391" s="205">
        <f t="shared" si="477"/>
        <v>0</v>
      </c>
      <c r="H6391" s="210">
        <f t="shared" si="478"/>
        <v>0</v>
      </c>
      <c r="L6391" s="200"/>
      <c r="M6391" s="200"/>
      <c r="N6391" s="200"/>
      <c r="O6391" s="200"/>
      <c r="P6391" s="200"/>
    </row>
    <row r="6392" spans="3:16" s="517" customFormat="1" ht="31.2" customHeight="1">
      <c r="C6392" s="543">
        <v>7</v>
      </c>
      <c r="D6392" s="750" t="s">
        <v>960</v>
      </c>
      <c r="E6392" s="203" t="s">
        <v>529</v>
      </c>
      <c r="F6392" s="769">
        <v>5.6</v>
      </c>
      <c r="G6392" s="205">
        <f t="shared" si="477"/>
        <v>200</v>
      </c>
      <c r="H6392" s="210">
        <f t="shared" si="478"/>
        <v>1120</v>
      </c>
      <c r="L6392" s="200"/>
      <c r="M6392" s="200"/>
      <c r="N6392" s="200"/>
      <c r="O6392" s="200"/>
      <c r="P6392" s="200"/>
    </row>
    <row r="6393" spans="3:16" s="517" customFormat="1" ht="31.2" customHeight="1">
      <c r="C6393" s="207" t="s">
        <v>1214</v>
      </c>
      <c r="D6393" s="208"/>
      <c r="E6393" s="568"/>
      <c r="F6393" s="208"/>
      <c r="G6393" s="209"/>
      <c r="H6393" s="210">
        <f>SUM(H6386:H6392)</f>
        <v>1120</v>
      </c>
      <c r="L6393" s="200"/>
      <c r="M6393" s="200"/>
      <c r="N6393" s="200"/>
      <c r="O6393" s="200"/>
      <c r="P6393" s="200"/>
    </row>
    <row r="6394" spans="3:16" s="517" customFormat="1" ht="31.2" customHeight="1">
      <c r="C6394" s="195" t="s">
        <v>1215</v>
      </c>
      <c r="D6394" s="196" t="s">
        <v>1216</v>
      </c>
      <c r="E6394" s="203"/>
      <c r="F6394" s="197"/>
      <c r="G6394" s="197"/>
      <c r="H6394" s="198"/>
      <c r="L6394" s="200"/>
      <c r="M6394" s="200"/>
      <c r="N6394" s="200"/>
      <c r="O6394" s="200"/>
      <c r="P6394" s="200"/>
    </row>
    <row r="6395" spans="3:16" s="517" customFormat="1" ht="31.2" customHeight="1">
      <c r="C6395" s="207" t="s">
        <v>1217</v>
      </c>
      <c r="D6395" s="208"/>
      <c r="E6395" s="208"/>
      <c r="F6395" s="208"/>
      <c r="G6395" s="209"/>
      <c r="H6395" s="770">
        <f>SUM(H6394:H6394)</f>
        <v>0</v>
      </c>
      <c r="L6395" s="200"/>
      <c r="M6395" s="200"/>
      <c r="N6395" s="200"/>
      <c r="O6395" s="200"/>
      <c r="P6395" s="200"/>
    </row>
    <row r="6396" spans="3:16" s="517" customFormat="1" ht="31.2" customHeight="1">
      <c r="C6396" s="223" t="s">
        <v>1218</v>
      </c>
      <c r="D6396" s="224" t="s">
        <v>1219</v>
      </c>
      <c r="E6396" s="225"/>
      <c r="F6396" s="225"/>
      <c r="G6396" s="226"/>
      <c r="H6396" s="210">
        <f>H6395+H6393+H6384</f>
        <v>15398</v>
      </c>
      <c r="L6396" s="200"/>
      <c r="M6396" s="200"/>
      <c r="N6396" s="200"/>
      <c r="O6396" s="200"/>
      <c r="P6396" s="200"/>
    </row>
    <row r="6397" spans="3:16" s="517" customFormat="1" ht="31.2" customHeight="1">
      <c r="C6397" s="223" t="s">
        <v>1220</v>
      </c>
      <c r="D6397" s="224" t="s">
        <v>1321</v>
      </c>
      <c r="E6397" s="225"/>
      <c r="F6397" s="226"/>
      <c r="G6397" s="228">
        <v>0.1</v>
      </c>
      <c r="H6397" s="210">
        <f>H6396*G6397</f>
        <v>1539.8000000000002</v>
      </c>
      <c r="L6397" s="200"/>
      <c r="M6397" s="200"/>
      <c r="N6397" s="200"/>
      <c r="O6397" s="200"/>
      <c r="P6397" s="200"/>
    </row>
    <row r="6398" spans="3:16" s="517" customFormat="1" ht="31.2" customHeight="1" thickBot="1">
      <c r="C6398" s="229" t="s">
        <v>1221</v>
      </c>
      <c r="D6398" s="230" t="s">
        <v>1222</v>
      </c>
      <c r="E6398" s="231"/>
      <c r="F6398" s="231"/>
      <c r="G6398" s="232"/>
      <c r="H6398" s="233">
        <f>SUM(H6396:H6397)</f>
        <v>16937.8</v>
      </c>
      <c r="L6398" s="200"/>
      <c r="M6398" s="200"/>
      <c r="N6398" s="200"/>
      <c r="O6398" s="200"/>
      <c r="P6398" s="200"/>
    </row>
    <row r="6399" spans="3:16" s="517" customFormat="1" ht="31.2" customHeight="1" thickTop="1">
      <c r="C6399" s="757" t="s">
        <v>1247</v>
      </c>
      <c r="D6399" s="758"/>
      <c r="E6399" s="758"/>
      <c r="F6399" s="758"/>
      <c r="G6399" s="758"/>
      <c r="H6399" s="759"/>
      <c r="L6399" s="200"/>
      <c r="M6399" s="200"/>
      <c r="N6399" s="200"/>
      <c r="O6399" s="200"/>
      <c r="P6399" s="200"/>
    </row>
    <row r="6400" spans="3:16" s="517" customFormat="1" ht="31.2" customHeight="1">
      <c r="C6400" s="757" t="s">
        <v>5296</v>
      </c>
      <c r="D6400" s="758" t="s">
        <v>6951</v>
      </c>
      <c r="E6400" s="758"/>
      <c r="F6400" s="758"/>
      <c r="G6400" s="758"/>
      <c r="H6400" s="759"/>
      <c r="L6400" s="200"/>
      <c r="M6400" s="200"/>
      <c r="N6400" s="200"/>
      <c r="O6400" s="200"/>
      <c r="P6400" s="200"/>
    </row>
    <row r="6401" spans="3:20" s="517" customFormat="1" ht="31.2" customHeight="1">
      <c r="C6401" s="757" t="s">
        <v>7575</v>
      </c>
      <c r="D6401" s="758" t="s">
        <v>6952</v>
      </c>
      <c r="E6401" s="758"/>
      <c r="F6401" s="758"/>
      <c r="G6401" s="758"/>
      <c r="H6401" s="759"/>
      <c r="L6401" s="200"/>
      <c r="M6401" s="200"/>
      <c r="N6401" s="200"/>
      <c r="O6401" s="200"/>
      <c r="P6401" s="200"/>
    </row>
    <row r="6402" spans="3:20" s="517" customFormat="1" ht="31.2" customHeight="1">
      <c r="C6402" s="200" t="s">
        <v>7577</v>
      </c>
      <c r="D6402" s="758"/>
      <c r="E6402" s="758"/>
      <c r="F6402" s="758"/>
      <c r="G6402" s="758"/>
      <c r="H6402" s="759"/>
      <c r="L6402" s="200"/>
      <c r="M6402" s="200"/>
      <c r="N6402" s="200"/>
      <c r="O6402" s="200"/>
      <c r="P6402" s="200"/>
    </row>
    <row r="6403" spans="3:20" ht="31.2" customHeight="1"/>
    <row r="6404" spans="3:20" s="517" customFormat="1" ht="31.2" customHeight="1" thickBot="1">
      <c r="C6404" s="513" t="s">
        <v>5610</v>
      </c>
      <c r="D6404" s="748" t="s">
        <v>7579</v>
      </c>
      <c r="E6404" s="749"/>
      <c r="F6404" s="748"/>
      <c r="G6404" s="748"/>
      <c r="H6404" s="532"/>
      <c r="I6404" s="532"/>
      <c r="J6404" s="532"/>
      <c r="K6404" s="532"/>
      <c r="M6404" s="189"/>
      <c r="N6404" s="189"/>
      <c r="O6404" s="189"/>
      <c r="P6404" s="189"/>
      <c r="R6404" s="189">
        <f>ROUNDDOWN(H6426,-2)</f>
        <v>1900</v>
      </c>
      <c r="S6404" s="517" t="s">
        <v>6451</v>
      </c>
      <c r="T6404" s="517" t="s">
        <v>7572</v>
      </c>
    </row>
    <row r="6405" spans="3:20" s="517" customFormat="1" ht="31.2" customHeight="1" thickTop="1">
      <c r="C6405" s="190" t="s">
        <v>1195</v>
      </c>
      <c r="D6405" s="191" t="s">
        <v>1196</v>
      </c>
      <c r="E6405" s="191" t="s">
        <v>1197</v>
      </c>
      <c r="F6405" s="191" t="s">
        <v>1198</v>
      </c>
      <c r="G6405" s="191" t="s">
        <v>1199</v>
      </c>
      <c r="H6405" s="192" t="s">
        <v>1200</v>
      </c>
      <c r="L6405" s="200"/>
      <c r="M6405" s="200"/>
      <c r="N6405" s="200"/>
      <c r="O6405" s="200"/>
      <c r="P6405" s="200"/>
    </row>
    <row r="6406" spans="3:20" s="517" customFormat="1" ht="31.2" customHeight="1">
      <c r="C6406" s="518" t="s">
        <v>1201</v>
      </c>
      <c r="D6406" s="196" t="s">
        <v>1202</v>
      </c>
      <c r="E6406" s="197"/>
      <c r="F6406" s="197"/>
      <c r="G6406" s="197"/>
      <c r="H6406" s="198"/>
      <c r="L6406" s="200"/>
      <c r="M6406" s="200"/>
      <c r="N6406" s="200"/>
      <c r="O6406" s="200"/>
      <c r="P6406" s="200"/>
    </row>
    <row r="6407" spans="3:20" s="517" customFormat="1" ht="31.2" customHeight="1">
      <c r="C6407" s="518">
        <v>1</v>
      </c>
      <c r="D6407" s="196" t="s">
        <v>5</v>
      </c>
      <c r="E6407" s="203" t="s">
        <v>2102</v>
      </c>
      <c r="F6407" s="204">
        <v>1E-3</v>
      </c>
      <c r="G6407" s="205">
        <f>VLOOKUP(D6407,upahbahan,3,FALSE)</f>
        <v>100000</v>
      </c>
      <c r="H6407" s="210">
        <f t="shared" ref="H6407:H6410" si="479">F6407*G6407</f>
        <v>100</v>
      </c>
      <c r="L6407" s="200"/>
      <c r="M6407" s="200"/>
      <c r="N6407" s="200"/>
      <c r="O6407" s="200"/>
      <c r="P6407" s="200"/>
    </row>
    <row r="6408" spans="3:20" s="517" customFormat="1" ht="31.2" customHeight="1">
      <c r="C6408" s="537">
        <v>2</v>
      </c>
      <c r="D6408" s="196" t="s">
        <v>6954</v>
      </c>
      <c r="E6408" s="202" t="s">
        <v>6</v>
      </c>
      <c r="F6408" s="520">
        <v>2E-3</v>
      </c>
      <c r="G6408" s="205">
        <f>VLOOKUP(D6408,upahbahan,3,FALSE)</f>
        <v>181250</v>
      </c>
      <c r="H6408" s="210">
        <f t="shared" si="479"/>
        <v>362.5</v>
      </c>
      <c r="L6408" s="200"/>
      <c r="M6408" s="200"/>
      <c r="N6408" s="200"/>
      <c r="O6408" s="200"/>
      <c r="P6408" s="200"/>
    </row>
    <row r="6409" spans="3:20" s="517" customFormat="1" ht="31.2" customHeight="1">
      <c r="C6409" s="537">
        <v>2</v>
      </c>
      <c r="D6409" s="196" t="s">
        <v>6948</v>
      </c>
      <c r="E6409" s="202" t="s">
        <v>6</v>
      </c>
      <c r="F6409" s="520">
        <v>2.0000000000000001E-4</v>
      </c>
      <c r="G6409" s="205">
        <f>VLOOKUP(D6409,upahbahan,3,FALSE)</f>
        <v>218750</v>
      </c>
      <c r="H6409" s="210">
        <f t="shared" si="479"/>
        <v>43.75</v>
      </c>
      <c r="L6409" s="200"/>
      <c r="M6409" s="200"/>
      <c r="N6409" s="200"/>
      <c r="O6409" s="200"/>
      <c r="P6409" s="200"/>
    </row>
    <row r="6410" spans="3:20" s="517" customFormat="1" ht="31.2" customHeight="1">
      <c r="C6410" s="537">
        <v>3</v>
      </c>
      <c r="D6410" s="196" t="s">
        <v>19</v>
      </c>
      <c r="E6410" s="202" t="s">
        <v>6</v>
      </c>
      <c r="F6410" s="771">
        <v>6.7000000000000002E-5</v>
      </c>
      <c r="G6410" s="205">
        <f>VLOOKUP(D6410,upahbahan,3,FALSE)</f>
        <v>160000</v>
      </c>
      <c r="H6410" s="210">
        <f t="shared" si="479"/>
        <v>10.72</v>
      </c>
      <c r="L6410" s="200"/>
      <c r="M6410" s="200"/>
      <c r="N6410" s="200"/>
      <c r="O6410" s="200"/>
      <c r="P6410" s="200"/>
    </row>
    <row r="6411" spans="3:20" s="517" customFormat="1" ht="31.2" customHeight="1">
      <c r="C6411" s="207" t="s">
        <v>1208</v>
      </c>
      <c r="D6411" s="208"/>
      <c r="E6411" s="208"/>
      <c r="F6411" s="521"/>
      <c r="G6411" s="522"/>
      <c r="H6411" s="210">
        <f>SUM(H6407:H6410)</f>
        <v>516.97</v>
      </c>
      <c r="L6411" s="523"/>
      <c r="M6411" s="523"/>
      <c r="N6411" s="523"/>
      <c r="O6411" s="523"/>
      <c r="P6411" s="523"/>
    </row>
    <row r="6412" spans="3:20" s="517" customFormat="1" ht="31.2" customHeight="1">
      <c r="C6412" s="543" t="s">
        <v>1209</v>
      </c>
      <c r="D6412" s="750" t="s">
        <v>1210</v>
      </c>
      <c r="E6412" s="197"/>
      <c r="F6412" s="751"/>
      <c r="G6412" s="197"/>
      <c r="H6412" s="752"/>
      <c r="L6412" s="200"/>
      <c r="M6412" s="200"/>
      <c r="N6412" s="200"/>
      <c r="O6412" s="200"/>
      <c r="P6412" s="200"/>
    </row>
    <row r="6413" spans="3:20" s="517" customFormat="1" ht="31.2" customHeight="1">
      <c r="C6413" s="543">
        <v>1</v>
      </c>
      <c r="D6413" s="750" t="s">
        <v>5611</v>
      </c>
      <c r="E6413" s="203" t="s">
        <v>62</v>
      </c>
      <c r="F6413" s="769">
        <v>1</v>
      </c>
      <c r="G6413" s="205">
        <f t="shared" ref="G6413:G6419" si="480">VLOOKUP(D6413,upahbahan,3,FALSE)</f>
        <v>0</v>
      </c>
      <c r="H6413" s="210">
        <f>F6413*G6413</f>
        <v>0</v>
      </c>
      <c r="L6413" s="200"/>
      <c r="M6413" s="200"/>
      <c r="N6413" s="200"/>
      <c r="O6413" s="200"/>
      <c r="P6413" s="200"/>
    </row>
    <row r="6414" spans="3:20" s="517" customFormat="1" ht="31.2" customHeight="1">
      <c r="C6414" s="543">
        <v>2</v>
      </c>
      <c r="D6414" s="750" t="s">
        <v>5608</v>
      </c>
      <c r="E6414" s="203" t="s">
        <v>65</v>
      </c>
      <c r="F6414" s="769">
        <v>3.0000000000000001E-3</v>
      </c>
      <c r="G6414" s="205">
        <f t="shared" si="480"/>
        <v>0</v>
      </c>
      <c r="H6414" s="210">
        <f t="shared" ref="H6414:H6419" si="481">F6414*G6414</f>
        <v>0</v>
      </c>
      <c r="L6414" s="200"/>
      <c r="M6414" s="200"/>
      <c r="N6414" s="200"/>
      <c r="O6414" s="200"/>
      <c r="P6414" s="200"/>
    </row>
    <row r="6415" spans="3:20" s="517" customFormat="1" ht="31.2" customHeight="1">
      <c r="C6415" s="543">
        <v>3</v>
      </c>
      <c r="D6415" s="750" t="s">
        <v>5605</v>
      </c>
      <c r="E6415" s="203" t="s">
        <v>65</v>
      </c>
      <c r="F6415" s="769">
        <v>0.01</v>
      </c>
      <c r="G6415" s="205">
        <f t="shared" si="480"/>
        <v>0</v>
      </c>
      <c r="H6415" s="210">
        <f t="shared" si="481"/>
        <v>0</v>
      </c>
      <c r="L6415" s="200"/>
      <c r="M6415" s="200"/>
      <c r="N6415" s="200"/>
      <c r="O6415" s="200"/>
      <c r="P6415" s="200"/>
    </row>
    <row r="6416" spans="3:20" s="517" customFormat="1" ht="31.2" customHeight="1">
      <c r="C6416" s="543">
        <v>4</v>
      </c>
      <c r="D6416" s="750" t="s">
        <v>5606</v>
      </c>
      <c r="E6416" s="203" t="s">
        <v>65</v>
      </c>
      <c r="F6416" s="769">
        <v>0.3</v>
      </c>
      <c r="G6416" s="205">
        <f t="shared" si="480"/>
        <v>0</v>
      </c>
      <c r="H6416" s="210">
        <f t="shared" si="481"/>
        <v>0</v>
      </c>
      <c r="L6416" s="200"/>
      <c r="M6416" s="200"/>
      <c r="N6416" s="200"/>
      <c r="O6416" s="200"/>
      <c r="P6416" s="200"/>
    </row>
    <row r="6417" spans="3:20" s="517" customFormat="1" ht="31.2" customHeight="1">
      <c r="C6417" s="543">
        <v>5</v>
      </c>
      <c r="D6417" s="750" t="s">
        <v>5561</v>
      </c>
      <c r="E6417" s="203" t="s">
        <v>65</v>
      </c>
      <c r="F6417" s="769">
        <v>0.8</v>
      </c>
      <c r="G6417" s="205">
        <f t="shared" si="480"/>
        <v>0</v>
      </c>
      <c r="H6417" s="210">
        <f t="shared" si="481"/>
        <v>0</v>
      </c>
      <c r="L6417" s="200"/>
      <c r="M6417" s="200"/>
      <c r="N6417" s="200"/>
      <c r="O6417" s="200"/>
      <c r="P6417" s="200"/>
    </row>
    <row r="6418" spans="3:20" s="517" customFormat="1" ht="31.2" customHeight="1">
      <c r="C6418" s="543">
        <v>6</v>
      </c>
      <c r="D6418" s="750" t="s">
        <v>7576</v>
      </c>
      <c r="E6418" s="203" t="s">
        <v>65</v>
      </c>
      <c r="F6418" s="769">
        <v>4.0000000000000001E-3</v>
      </c>
      <c r="G6418" s="205">
        <f t="shared" si="480"/>
        <v>0</v>
      </c>
      <c r="H6418" s="210">
        <f t="shared" si="481"/>
        <v>0</v>
      </c>
      <c r="L6418" s="200"/>
      <c r="M6418" s="200"/>
      <c r="N6418" s="200"/>
      <c r="O6418" s="200"/>
      <c r="P6418" s="200"/>
    </row>
    <row r="6419" spans="3:20" s="517" customFormat="1" ht="31.2" customHeight="1">
      <c r="C6419" s="543">
        <v>7</v>
      </c>
      <c r="D6419" s="750" t="s">
        <v>960</v>
      </c>
      <c r="E6419" s="203" t="s">
        <v>529</v>
      </c>
      <c r="F6419" s="769">
        <v>5.6</v>
      </c>
      <c r="G6419" s="205">
        <f t="shared" si="480"/>
        <v>200</v>
      </c>
      <c r="H6419" s="210">
        <f t="shared" si="481"/>
        <v>1120</v>
      </c>
      <c r="L6419" s="200"/>
      <c r="M6419" s="200"/>
      <c r="N6419" s="200"/>
      <c r="O6419" s="200"/>
      <c r="P6419" s="200"/>
    </row>
    <row r="6420" spans="3:20" s="517" customFormat="1" ht="31.2" customHeight="1">
      <c r="C6420" s="207" t="s">
        <v>1214</v>
      </c>
      <c r="D6420" s="208"/>
      <c r="E6420" s="568"/>
      <c r="F6420" s="208"/>
      <c r="G6420" s="209"/>
      <c r="H6420" s="210">
        <f>SUM(H6413:H6419)</f>
        <v>1120</v>
      </c>
      <c r="L6420" s="200"/>
      <c r="M6420" s="200"/>
      <c r="N6420" s="200"/>
      <c r="O6420" s="200"/>
      <c r="P6420" s="200"/>
    </row>
    <row r="6421" spans="3:20" s="517" customFormat="1" ht="31.2" customHeight="1">
      <c r="C6421" s="195" t="s">
        <v>1215</v>
      </c>
      <c r="D6421" s="196" t="s">
        <v>1216</v>
      </c>
      <c r="E6421" s="203"/>
      <c r="F6421" s="197"/>
      <c r="G6421" s="197"/>
      <c r="H6421" s="198"/>
      <c r="L6421" s="200"/>
      <c r="M6421" s="200"/>
      <c r="N6421" s="200"/>
      <c r="O6421" s="200"/>
      <c r="P6421" s="200"/>
    </row>
    <row r="6422" spans="3:20" s="517" customFormat="1" ht="31.2" customHeight="1">
      <c r="C6422" s="201">
        <v>1</v>
      </c>
      <c r="D6422" s="196" t="s">
        <v>5607</v>
      </c>
      <c r="E6422" s="203" t="s">
        <v>1974</v>
      </c>
      <c r="F6422" s="763">
        <v>5.0000000000000001E-4</v>
      </c>
      <c r="G6422" s="205">
        <f>VLOOKUP(D6422,upahbahan,3,FALSE)</f>
        <v>350000</v>
      </c>
      <c r="H6422" s="210">
        <f>F6422*G6422</f>
        <v>175</v>
      </c>
      <c r="L6422" s="200"/>
      <c r="M6422" s="200"/>
      <c r="N6422" s="200"/>
      <c r="O6422" s="200"/>
      <c r="P6422" s="200"/>
    </row>
    <row r="6423" spans="3:20" s="517" customFormat="1" ht="31.2" customHeight="1">
      <c r="C6423" s="207" t="s">
        <v>1217</v>
      </c>
      <c r="D6423" s="208"/>
      <c r="E6423" s="208"/>
      <c r="F6423" s="208"/>
      <c r="G6423" s="209"/>
      <c r="H6423" s="770">
        <f>SUM(H6421:H6422)</f>
        <v>175</v>
      </c>
      <c r="L6423" s="200"/>
      <c r="M6423" s="200"/>
      <c r="N6423" s="200"/>
      <c r="O6423" s="200"/>
      <c r="P6423" s="200"/>
    </row>
    <row r="6424" spans="3:20" s="517" customFormat="1" ht="31.2" customHeight="1">
      <c r="C6424" s="223" t="s">
        <v>1218</v>
      </c>
      <c r="D6424" s="224" t="s">
        <v>1219</v>
      </c>
      <c r="E6424" s="225"/>
      <c r="F6424" s="225"/>
      <c r="G6424" s="226"/>
      <c r="H6424" s="210">
        <f>H6423+H6420+H6411</f>
        <v>1811.97</v>
      </c>
      <c r="L6424" s="200"/>
      <c r="M6424" s="200"/>
      <c r="N6424" s="200"/>
      <c r="O6424" s="200"/>
      <c r="P6424" s="200"/>
    </row>
    <row r="6425" spans="3:20" s="517" customFormat="1" ht="31.2" customHeight="1">
      <c r="C6425" s="223" t="s">
        <v>1220</v>
      </c>
      <c r="D6425" s="224" t="s">
        <v>1321</v>
      </c>
      <c r="E6425" s="225"/>
      <c r="F6425" s="226"/>
      <c r="G6425" s="228">
        <v>0.1</v>
      </c>
      <c r="H6425" s="210">
        <f>H6424*G6425</f>
        <v>181.197</v>
      </c>
      <c r="L6425" s="200"/>
      <c r="M6425" s="200"/>
      <c r="N6425" s="200"/>
      <c r="O6425" s="200"/>
      <c r="P6425" s="200"/>
    </row>
    <row r="6426" spans="3:20" s="517" customFormat="1" ht="31.2" customHeight="1" thickBot="1">
      <c r="C6426" s="229" t="s">
        <v>1221</v>
      </c>
      <c r="D6426" s="230" t="s">
        <v>1222</v>
      </c>
      <c r="E6426" s="231"/>
      <c r="F6426" s="231"/>
      <c r="G6426" s="232"/>
      <c r="H6426" s="233">
        <f>SUM(H6424:H6425)</f>
        <v>1993.1669999999999</v>
      </c>
      <c r="L6426" s="200"/>
      <c r="M6426" s="200"/>
      <c r="N6426" s="200"/>
      <c r="O6426" s="200"/>
      <c r="P6426" s="200"/>
    </row>
    <row r="6427" spans="3:20" s="517" customFormat="1" ht="31.2" customHeight="1" thickTop="1">
      <c r="C6427" s="757" t="s">
        <v>1247</v>
      </c>
      <c r="D6427" s="758"/>
      <c r="E6427" s="758"/>
      <c r="F6427" s="758"/>
      <c r="G6427" s="758"/>
      <c r="H6427" s="759"/>
      <c r="L6427" s="200"/>
      <c r="M6427" s="200"/>
      <c r="N6427" s="200"/>
      <c r="O6427" s="200"/>
      <c r="P6427" s="200"/>
    </row>
    <row r="6428" spans="3:20" s="517" customFormat="1" ht="31.2" customHeight="1">
      <c r="C6428" s="757" t="s">
        <v>5296</v>
      </c>
      <c r="D6428" s="758" t="s">
        <v>6951</v>
      </c>
      <c r="E6428" s="758"/>
      <c r="F6428" s="758"/>
      <c r="G6428" s="758"/>
      <c r="H6428" s="759"/>
      <c r="L6428" s="200"/>
      <c r="M6428" s="200"/>
      <c r="N6428" s="200"/>
      <c r="O6428" s="200"/>
      <c r="P6428" s="200"/>
    </row>
    <row r="6429" spans="3:20" s="517" customFormat="1" ht="31.2" customHeight="1">
      <c r="C6429" s="757" t="s">
        <v>7575</v>
      </c>
      <c r="D6429" s="758" t="s">
        <v>6952</v>
      </c>
      <c r="E6429" s="758"/>
      <c r="F6429" s="758"/>
      <c r="G6429" s="758"/>
      <c r="H6429" s="759"/>
      <c r="L6429" s="200"/>
      <c r="M6429" s="200"/>
      <c r="N6429" s="200"/>
      <c r="O6429" s="200"/>
      <c r="P6429" s="200"/>
    </row>
    <row r="6430" spans="3:20" s="517" customFormat="1" ht="31.2" customHeight="1">
      <c r="C6430" s="200" t="s">
        <v>7577</v>
      </c>
      <c r="D6430" s="758"/>
      <c r="E6430" s="758"/>
      <c r="F6430" s="758"/>
      <c r="G6430" s="758"/>
      <c r="H6430" s="759"/>
      <c r="L6430" s="200"/>
      <c r="M6430" s="200"/>
      <c r="N6430" s="200"/>
      <c r="O6430" s="200"/>
      <c r="P6430" s="200"/>
    </row>
    <row r="6431" spans="3:20" ht="31.2" customHeight="1"/>
    <row r="6432" spans="3:20" s="517" customFormat="1" ht="31.2" customHeight="1" thickBot="1">
      <c r="C6432" s="513" t="s">
        <v>5614</v>
      </c>
      <c r="D6432" s="748" t="s">
        <v>7580</v>
      </c>
      <c r="E6432" s="749"/>
      <c r="F6432" s="748"/>
      <c r="G6432" s="748"/>
      <c r="H6432" s="532"/>
      <c r="I6432" s="532"/>
      <c r="J6432" s="532"/>
      <c r="K6432" s="532"/>
      <c r="M6432" s="189"/>
      <c r="N6432" s="189"/>
      <c r="O6432" s="189"/>
      <c r="P6432" s="189"/>
      <c r="R6432" s="189">
        <f>ROUNDDOWN(H6453,-2)</f>
        <v>14700</v>
      </c>
      <c r="S6432" s="517" t="s">
        <v>6451</v>
      </c>
      <c r="T6432" s="517" t="s">
        <v>7574</v>
      </c>
    </row>
    <row r="6433" spans="3:16" s="517" customFormat="1" ht="31.2" customHeight="1" thickTop="1">
      <c r="C6433" s="190" t="s">
        <v>1195</v>
      </c>
      <c r="D6433" s="191" t="s">
        <v>1196</v>
      </c>
      <c r="E6433" s="191" t="s">
        <v>1197</v>
      </c>
      <c r="F6433" s="191" t="s">
        <v>1198</v>
      </c>
      <c r="G6433" s="191" t="s">
        <v>1199</v>
      </c>
      <c r="H6433" s="192" t="s">
        <v>1200</v>
      </c>
      <c r="L6433" s="200"/>
      <c r="M6433" s="200"/>
      <c r="N6433" s="200"/>
      <c r="O6433" s="200"/>
      <c r="P6433" s="200"/>
    </row>
    <row r="6434" spans="3:16" s="517" customFormat="1" ht="31.2" customHeight="1">
      <c r="C6434" s="518" t="s">
        <v>1201</v>
      </c>
      <c r="D6434" s="196" t="s">
        <v>1202</v>
      </c>
      <c r="E6434" s="197"/>
      <c r="F6434" s="197"/>
      <c r="G6434" s="197"/>
      <c r="H6434" s="198"/>
      <c r="L6434" s="200"/>
      <c r="M6434" s="200"/>
      <c r="N6434" s="200"/>
      <c r="O6434" s="200"/>
      <c r="P6434" s="200"/>
    </row>
    <row r="6435" spans="3:16" s="517" customFormat="1" ht="31.2" customHeight="1">
      <c r="C6435" s="518">
        <v>1</v>
      </c>
      <c r="D6435" s="196" t="s">
        <v>5</v>
      </c>
      <c r="E6435" s="203" t="s">
        <v>2102</v>
      </c>
      <c r="F6435" s="204">
        <v>0.05</v>
      </c>
      <c r="G6435" s="205">
        <f>VLOOKUP(D6435,upahbahan,3,FALSE)</f>
        <v>100000</v>
      </c>
      <c r="H6435" s="210">
        <f t="shared" ref="H6435:H6438" si="482">F6435*G6435</f>
        <v>5000</v>
      </c>
      <c r="L6435" s="200"/>
      <c r="M6435" s="200"/>
      <c r="N6435" s="200"/>
      <c r="O6435" s="200"/>
      <c r="P6435" s="200"/>
    </row>
    <row r="6436" spans="3:16" s="517" customFormat="1" ht="31.2" customHeight="1">
      <c r="C6436" s="537">
        <v>2</v>
      </c>
      <c r="D6436" s="196" t="s">
        <v>6954</v>
      </c>
      <c r="E6436" s="202" t="s">
        <v>6</v>
      </c>
      <c r="F6436" s="520">
        <v>0.01</v>
      </c>
      <c r="G6436" s="205">
        <f>VLOOKUP(D6436,upahbahan,3,FALSE)</f>
        <v>181250</v>
      </c>
      <c r="H6436" s="210">
        <f t="shared" si="482"/>
        <v>1812.5</v>
      </c>
      <c r="L6436" s="200"/>
      <c r="M6436" s="200"/>
      <c r="N6436" s="200"/>
      <c r="O6436" s="200"/>
      <c r="P6436" s="200"/>
    </row>
    <row r="6437" spans="3:16" s="517" customFormat="1" ht="31.2" customHeight="1">
      <c r="C6437" s="537">
        <v>2</v>
      </c>
      <c r="D6437" s="196" t="s">
        <v>6948</v>
      </c>
      <c r="E6437" s="202" t="s">
        <v>6</v>
      </c>
      <c r="F6437" s="520">
        <v>0.02</v>
      </c>
      <c r="G6437" s="205">
        <f>VLOOKUP(D6437,upahbahan,3,FALSE)</f>
        <v>218750</v>
      </c>
      <c r="H6437" s="210">
        <f t="shared" si="482"/>
        <v>4375</v>
      </c>
      <c r="L6437" s="200"/>
      <c r="M6437" s="200"/>
      <c r="N6437" s="200"/>
      <c r="O6437" s="200"/>
      <c r="P6437" s="200"/>
    </row>
    <row r="6438" spans="3:16" s="517" customFormat="1" ht="31.2" customHeight="1">
      <c r="C6438" s="537">
        <v>3</v>
      </c>
      <c r="D6438" s="196" t="s">
        <v>19</v>
      </c>
      <c r="E6438" s="202" t="s">
        <v>6</v>
      </c>
      <c r="F6438" s="768">
        <v>6.7000000000000002E-3</v>
      </c>
      <c r="G6438" s="205">
        <f>VLOOKUP(D6438,upahbahan,3,FALSE)</f>
        <v>160000</v>
      </c>
      <c r="H6438" s="210">
        <f t="shared" si="482"/>
        <v>1072</v>
      </c>
      <c r="L6438" s="200"/>
      <c r="M6438" s="200"/>
      <c r="N6438" s="200"/>
      <c r="O6438" s="200"/>
      <c r="P6438" s="200"/>
    </row>
    <row r="6439" spans="3:16" s="517" customFormat="1" ht="31.2" customHeight="1">
      <c r="C6439" s="207" t="s">
        <v>1208</v>
      </c>
      <c r="D6439" s="208"/>
      <c r="E6439" s="208"/>
      <c r="F6439" s="521"/>
      <c r="G6439" s="522"/>
      <c r="H6439" s="210">
        <f>SUM(H6435:H6438)</f>
        <v>12259.5</v>
      </c>
      <c r="L6439" s="523"/>
      <c r="M6439" s="523"/>
      <c r="N6439" s="523"/>
      <c r="O6439" s="523"/>
      <c r="P6439" s="523"/>
    </row>
    <row r="6440" spans="3:16" s="517" customFormat="1" ht="31.2" customHeight="1">
      <c r="C6440" s="543" t="s">
        <v>1209</v>
      </c>
      <c r="D6440" s="750" t="s">
        <v>1210</v>
      </c>
      <c r="E6440" s="197"/>
      <c r="F6440" s="751"/>
      <c r="G6440" s="197"/>
      <c r="H6440" s="752"/>
      <c r="L6440" s="200"/>
      <c r="M6440" s="200"/>
      <c r="N6440" s="200"/>
      <c r="O6440" s="200"/>
      <c r="P6440" s="200"/>
    </row>
    <row r="6441" spans="3:16" s="517" customFormat="1" ht="31.2" customHeight="1">
      <c r="C6441" s="543">
        <v>1</v>
      </c>
      <c r="D6441" s="750" t="s">
        <v>5611</v>
      </c>
      <c r="E6441" s="203" t="s">
        <v>62</v>
      </c>
      <c r="F6441" s="769">
        <v>1</v>
      </c>
      <c r="G6441" s="205">
        <f t="shared" ref="G6441:G6447" si="483">VLOOKUP(D6441,upahbahan,3,FALSE)</f>
        <v>0</v>
      </c>
      <c r="H6441" s="210">
        <f>F6441*G6441</f>
        <v>0</v>
      </c>
      <c r="L6441" s="200"/>
      <c r="M6441" s="200"/>
      <c r="N6441" s="200"/>
      <c r="O6441" s="200"/>
      <c r="P6441" s="200"/>
    </row>
    <row r="6442" spans="3:16" s="517" customFormat="1" ht="31.2" customHeight="1">
      <c r="C6442" s="543">
        <v>2</v>
      </c>
      <c r="D6442" s="750" t="s">
        <v>5608</v>
      </c>
      <c r="E6442" s="203" t="s">
        <v>65</v>
      </c>
      <c r="F6442" s="769">
        <v>3.0000000000000001E-3</v>
      </c>
      <c r="G6442" s="205">
        <f t="shared" si="483"/>
        <v>0</v>
      </c>
      <c r="H6442" s="210">
        <f t="shared" ref="H6442:H6447" si="484">F6442*G6442</f>
        <v>0</v>
      </c>
      <c r="L6442" s="200"/>
      <c r="M6442" s="200"/>
      <c r="N6442" s="200"/>
      <c r="O6442" s="200"/>
      <c r="P6442" s="200"/>
    </row>
    <row r="6443" spans="3:16" s="517" customFormat="1" ht="31.2" customHeight="1">
      <c r="C6443" s="543">
        <v>3</v>
      </c>
      <c r="D6443" s="750" t="s">
        <v>5605</v>
      </c>
      <c r="E6443" s="203" t="s">
        <v>65</v>
      </c>
      <c r="F6443" s="769">
        <v>0.01</v>
      </c>
      <c r="G6443" s="205">
        <f t="shared" si="483"/>
        <v>0</v>
      </c>
      <c r="H6443" s="210">
        <f t="shared" si="484"/>
        <v>0</v>
      </c>
      <c r="L6443" s="200"/>
      <c r="M6443" s="200"/>
      <c r="N6443" s="200"/>
      <c r="O6443" s="200"/>
      <c r="P6443" s="200"/>
    </row>
    <row r="6444" spans="3:16" s="517" customFormat="1" ht="31.2" customHeight="1">
      <c r="C6444" s="543">
        <v>4</v>
      </c>
      <c r="D6444" s="750" t="s">
        <v>5606</v>
      </c>
      <c r="E6444" s="203" t="s">
        <v>65</v>
      </c>
      <c r="F6444" s="769">
        <v>0.3</v>
      </c>
      <c r="G6444" s="205">
        <f t="shared" si="483"/>
        <v>0</v>
      </c>
      <c r="H6444" s="210">
        <f t="shared" si="484"/>
        <v>0</v>
      </c>
      <c r="L6444" s="200"/>
      <c r="M6444" s="200"/>
      <c r="N6444" s="200"/>
      <c r="O6444" s="200"/>
      <c r="P6444" s="200"/>
    </row>
    <row r="6445" spans="3:16" s="517" customFormat="1" ht="31.2" customHeight="1">
      <c r="C6445" s="543">
        <v>5</v>
      </c>
      <c r="D6445" s="750" t="s">
        <v>5561</v>
      </c>
      <c r="E6445" s="203" t="s">
        <v>65</v>
      </c>
      <c r="F6445" s="769">
        <v>0.8</v>
      </c>
      <c r="G6445" s="205">
        <f t="shared" si="483"/>
        <v>0</v>
      </c>
      <c r="H6445" s="210">
        <f t="shared" si="484"/>
        <v>0</v>
      </c>
      <c r="L6445" s="200"/>
      <c r="M6445" s="200"/>
      <c r="N6445" s="200"/>
      <c r="O6445" s="200"/>
      <c r="P6445" s="200"/>
    </row>
    <row r="6446" spans="3:16" s="517" customFormat="1" ht="31.2" customHeight="1">
      <c r="C6446" s="543">
        <v>6</v>
      </c>
      <c r="D6446" s="750" t="s">
        <v>7576</v>
      </c>
      <c r="E6446" s="203" t="s">
        <v>65</v>
      </c>
      <c r="F6446" s="769">
        <v>4.0000000000000001E-3</v>
      </c>
      <c r="G6446" s="205">
        <f t="shared" si="483"/>
        <v>0</v>
      </c>
      <c r="H6446" s="210">
        <f t="shared" si="484"/>
        <v>0</v>
      </c>
      <c r="L6446" s="200"/>
      <c r="M6446" s="200"/>
      <c r="N6446" s="200"/>
      <c r="O6446" s="200"/>
      <c r="P6446" s="200"/>
    </row>
    <row r="6447" spans="3:16" s="517" customFormat="1" ht="31.2" customHeight="1">
      <c r="C6447" s="543">
        <v>7</v>
      </c>
      <c r="D6447" s="750" t="s">
        <v>960</v>
      </c>
      <c r="E6447" s="203" t="s">
        <v>529</v>
      </c>
      <c r="F6447" s="769">
        <v>5.6</v>
      </c>
      <c r="G6447" s="205">
        <f t="shared" si="483"/>
        <v>200</v>
      </c>
      <c r="H6447" s="210">
        <f t="shared" si="484"/>
        <v>1120</v>
      </c>
      <c r="L6447" s="200"/>
      <c r="M6447" s="200"/>
      <c r="N6447" s="200"/>
      <c r="O6447" s="200"/>
      <c r="P6447" s="200"/>
    </row>
    <row r="6448" spans="3:16" s="517" customFormat="1" ht="31.2" customHeight="1">
      <c r="C6448" s="207" t="s">
        <v>1214</v>
      </c>
      <c r="D6448" s="208"/>
      <c r="E6448" s="568"/>
      <c r="F6448" s="208"/>
      <c r="G6448" s="209"/>
      <c r="H6448" s="210">
        <f>SUM(H6441:H6447)</f>
        <v>1120</v>
      </c>
      <c r="L6448" s="200"/>
      <c r="M6448" s="200"/>
      <c r="N6448" s="200"/>
      <c r="O6448" s="200"/>
      <c r="P6448" s="200"/>
    </row>
    <row r="6449" spans="3:20" s="517" customFormat="1" ht="31.2" customHeight="1">
      <c r="C6449" s="195" t="s">
        <v>1215</v>
      </c>
      <c r="D6449" s="196" t="s">
        <v>1216</v>
      </c>
      <c r="E6449" s="203"/>
      <c r="F6449" s="197"/>
      <c r="G6449" s="197"/>
      <c r="H6449" s="198"/>
      <c r="L6449" s="200"/>
      <c r="M6449" s="200"/>
      <c r="N6449" s="200"/>
      <c r="O6449" s="200"/>
      <c r="P6449" s="200"/>
    </row>
    <row r="6450" spans="3:20" s="517" customFormat="1" ht="31.2" customHeight="1">
      <c r="C6450" s="207" t="s">
        <v>1217</v>
      </c>
      <c r="D6450" s="208"/>
      <c r="E6450" s="208"/>
      <c r="F6450" s="208"/>
      <c r="G6450" s="209"/>
      <c r="H6450" s="770">
        <f>SUM(H6449:H6449)</f>
        <v>0</v>
      </c>
      <c r="L6450" s="200"/>
      <c r="M6450" s="200"/>
      <c r="N6450" s="200"/>
      <c r="O6450" s="200"/>
      <c r="P6450" s="200"/>
    </row>
    <row r="6451" spans="3:20" s="517" customFormat="1" ht="31.2" customHeight="1">
      <c r="C6451" s="223" t="s">
        <v>1218</v>
      </c>
      <c r="D6451" s="224" t="s">
        <v>1219</v>
      </c>
      <c r="E6451" s="225"/>
      <c r="F6451" s="225"/>
      <c r="G6451" s="226"/>
      <c r="H6451" s="210">
        <f>H6450+H6448+H6439</f>
        <v>13379.5</v>
      </c>
      <c r="L6451" s="200"/>
      <c r="M6451" s="200"/>
      <c r="N6451" s="200"/>
      <c r="O6451" s="200"/>
      <c r="P6451" s="200"/>
    </row>
    <row r="6452" spans="3:20" s="517" customFormat="1" ht="31.2" customHeight="1">
      <c r="C6452" s="223" t="s">
        <v>1220</v>
      </c>
      <c r="D6452" s="224" t="s">
        <v>1321</v>
      </c>
      <c r="E6452" s="225"/>
      <c r="F6452" s="226"/>
      <c r="G6452" s="228">
        <v>0.1</v>
      </c>
      <c r="H6452" s="210">
        <f>H6451*G6452</f>
        <v>1337.95</v>
      </c>
      <c r="L6452" s="200"/>
      <c r="M6452" s="200"/>
      <c r="N6452" s="200"/>
      <c r="O6452" s="200"/>
      <c r="P6452" s="200"/>
    </row>
    <row r="6453" spans="3:20" s="517" customFormat="1" ht="31.2" customHeight="1" thickBot="1">
      <c r="C6453" s="229" t="s">
        <v>1221</v>
      </c>
      <c r="D6453" s="230" t="s">
        <v>1222</v>
      </c>
      <c r="E6453" s="231"/>
      <c r="F6453" s="231"/>
      <c r="G6453" s="232"/>
      <c r="H6453" s="233">
        <f>SUM(H6451:H6452)</f>
        <v>14717.45</v>
      </c>
      <c r="L6453" s="200"/>
      <c r="M6453" s="200"/>
      <c r="N6453" s="200"/>
      <c r="O6453" s="200"/>
      <c r="P6453" s="200"/>
    </row>
    <row r="6454" spans="3:20" s="517" customFormat="1" ht="31.2" customHeight="1" thickTop="1">
      <c r="C6454" s="757" t="s">
        <v>1247</v>
      </c>
      <c r="D6454" s="758"/>
      <c r="E6454" s="758"/>
      <c r="F6454" s="758"/>
      <c r="G6454" s="758"/>
      <c r="H6454" s="759"/>
      <c r="L6454" s="200"/>
      <c r="M6454" s="200"/>
      <c r="N6454" s="200"/>
      <c r="O6454" s="200"/>
      <c r="P6454" s="200"/>
    </row>
    <row r="6455" spans="3:20" s="517" customFormat="1" ht="31.2" customHeight="1">
      <c r="C6455" s="757" t="s">
        <v>5296</v>
      </c>
      <c r="D6455" s="758" t="s">
        <v>6951</v>
      </c>
      <c r="E6455" s="758"/>
      <c r="F6455" s="758"/>
      <c r="G6455" s="758"/>
      <c r="H6455" s="759"/>
      <c r="L6455" s="200"/>
      <c r="M6455" s="200"/>
      <c r="N6455" s="200"/>
      <c r="O6455" s="200"/>
      <c r="P6455" s="200"/>
    </row>
    <row r="6456" spans="3:20" s="517" customFormat="1" ht="31.2" customHeight="1">
      <c r="C6456" s="757" t="s">
        <v>7575</v>
      </c>
      <c r="D6456" s="758" t="s">
        <v>6952</v>
      </c>
      <c r="E6456" s="758"/>
      <c r="F6456" s="758"/>
      <c r="G6456" s="758"/>
      <c r="H6456" s="759"/>
      <c r="L6456" s="200"/>
      <c r="M6456" s="200"/>
      <c r="N6456" s="200"/>
      <c r="O6456" s="200"/>
      <c r="P6456" s="200"/>
    </row>
    <row r="6457" spans="3:20" s="517" customFormat="1" ht="31.2" customHeight="1">
      <c r="C6457" s="200" t="s">
        <v>7577</v>
      </c>
      <c r="D6457" s="758"/>
      <c r="E6457" s="758"/>
      <c r="F6457" s="758"/>
      <c r="G6457" s="758"/>
      <c r="H6457" s="759"/>
      <c r="L6457" s="200"/>
      <c r="M6457" s="200"/>
      <c r="N6457" s="200"/>
      <c r="O6457" s="200"/>
      <c r="P6457" s="200"/>
    </row>
    <row r="6458" spans="3:20" ht="31.2" customHeight="1"/>
    <row r="6459" spans="3:20" s="517" customFormat="1" ht="31.2" customHeight="1" thickBot="1">
      <c r="C6459" s="513" t="s">
        <v>5612</v>
      </c>
      <c r="D6459" s="748" t="s">
        <v>7581</v>
      </c>
      <c r="E6459" s="749"/>
      <c r="F6459" s="748"/>
      <c r="G6459" s="748"/>
      <c r="H6459" s="532"/>
      <c r="I6459" s="532"/>
      <c r="J6459" s="532"/>
      <c r="K6459" s="532"/>
      <c r="M6459" s="189"/>
      <c r="N6459" s="189"/>
      <c r="O6459" s="189"/>
      <c r="P6459" s="189"/>
      <c r="R6459" s="189">
        <f>ROUNDDOWN(H6481,-2)</f>
        <v>3400</v>
      </c>
      <c r="S6459" s="517" t="s">
        <v>6451</v>
      </c>
      <c r="T6459" s="517" t="s">
        <v>7572</v>
      </c>
    </row>
    <row r="6460" spans="3:20" s="517" customFormat="1" ht="31.2" customHeight="1" thickTop="1">
      <c r="C6460" s="190" t="s">
        <v>1195</v>
      </c>
      <c r="D6460" s="191" t="s">
        <v>1196</v>
      </c>
      <c r="E6460" s="191" t="s">
        <v>1197</v>
      </c>
      <c r="F6460" s="191" t="s">
        <v>1198</v>
      </c>
      <c r="G6460" s="191" t="s">
        <v>1199</v>
      </c>
      <c r="H6460" s="192" t="s">
        <v>1200</v>
      </c>
      <c r="L6460" s="200"/>
      <c r="M6460" s="200"/>
      <c r="N6460" s="200"/>
      <c r="O6460" s="200"/>
      <c r="P6460" s="200"/>
    </row>
    <row r="6461" spans="3:20" s="517" customFormat="1" ht="31.2" customHeight="1">
      <c r="C6461" s="518" t="s">
        <v>1201</v>
      </c>
      <c r="D6461" s="196" t="s">
        <v>1202</v>
      </c>
      <c r="E6461" s="197"/>
      <c r="F6461" s="197"/>
      <c r="G6461" s="197"/>
      <c r="H6461" s="198"/>
      <c r="L6461" s="200"/>
      <c r="M6461" s="200"/>
      <c r="N6461" s="200"/>
      <c r="O6461" s="200"/>
      <c r="P6461" s="200"/>
    </row>
    <row r="6462" spans="3:20" s="517" customFormat="1" ht="31.2" customHeight="1">
      <c r="C6462" s="518">
        <v>1</v>
      </c>
      <c r="D6462" s="196" t="s">
        <v>5</v>
      </c>
      <c r="E6462" s="203" t="s">
        <v>2102</v>
      </c>
      <c r="F6462" s="204">
        <v>2E-3</v>
      </c>
      <c r="G6462" s="205">
        <f>VLOOKUP(D6462,upahbahan,3,FALSE)</f>
        <v>100000</v>
      </c>
      <c r="H6462" s="210">
        <f t="shared" ref="H6462:H6465" si="485">F6462*G6462</f>
        <v>200</v>
      </c>
      <c r="L6462" s="200"/>
      <c r="M6462" s="200"/>
      <c r="N6462" s="200"/>
      <c r="O6462" s="200"/>
      <c r="P6462" s="200"/>
    </row>
    <row r="6463" spans="3:20" s="517" customFormat="1" ht="31.2" customHeight="1">
      <c r="C6463" s="537">
        <v>2</v>
      </c>
      <c r="D6463" s="196" t="s">
        <v>6954</v>
      </c>
      <c r="E6463" s="202" t="s">
        <v>6</v>
      </c>
      <c r="F6463" s="520">
        <v>4.0000000000000001E-3</v>
      </c>
      <c r="G6463" s="205">
        <f>VLOOKUP(D6463,upahbahan,3,FALSE)</f>
        <v>181250</v>
      </c>
      <c r="H6463" s="210">
        <f t="shared" si="485"/>
        <v>725</v>
      </c>
      <c r="L6463" s="200"/>
      <c r="M6463" s="200"/>
      <c r="N6463" s="200"/>
      <c r="O6463" s="200"/>
      <c r="P6463" s="200"/>
    </row>
    <row r="6464" spans="3:20" s="517" customFormat="1" ht="31.2" customHeight="1">
      <c r="C6464" s="537">
        <v>2</v>
      </c>
      <c r="D6464" s="196" t="s">
        <v>6948</v>
      </c>
      <c r="E6464" s="202" t="s">
        <v>6</v>
      </c>
      <c r="F6464" s="520">
        <v>4.0000000000000001E-3</v>
      </c>
      <c r="G6464" s="205">
        <f>VLOOKUP(D6464,upahbahan,3,FALSE)</f>
        <v>218750</v>
      </c>
      <c r="H6464" s="210">
        <f t="shared" si="485"/>
        <v>875</v>
      </c>
      <c r="L6464" s="200"/>
      <c r="M6464" s="200"/>
      <c r="N6464" s="200"/>
      <c r="O6464" s="200"/>
      <c r="P6464" s="200"/>
    </row>
    <row r="6465" spans="3:16" s="517" customFormat="1" ht="31.2" customHeight="1">
      <c r="C6465" s="537">
        <v>3</v>
      </c>
      <c r="D6465" s="196" t="s">
        <v>19</v>
      </c>
      <c r="E6465" s="202" t="s">
        <v>6</v>
      </c>
      <c r="F6465" s="771">
        <v>1.2999999999999999E-4</v>
      </c>
      <c r="G6465" s="205">
        <f>VLOOKUP(D6465,upahbahan,3,FALSE)</f>
        <v>160000</v>
      </c>
      <c r="H6465" s="210">
        <f t="shared" si="485"/>
        <v>20.799999999999997</v>
      </c>
      <c r="L6465" s="200"/>
      <c r="M6465" s="200"/>
      <c r="N6465" s="200"/>
      <c r="O6465" s="200"/>
      <c r="P6465" s="200"/>
    </row>
    <row r="6466" spans="3:16" s="517" customFormat="1" ht="31.2" customHeight="1">
      <c r="C6466" s="207" t="s">
        <v>1208</v>
      </c>
      <c r="D6466" s="208"/>
      <c r="E6466" s="208"/>
      <c r="F6466" s="521"/>
      <c r="G6466" s="522"/>
      <c r="H6466" s="210">
        <f>SUM(H6462:H6465)</f>
        <v>1820.8</v>
      </c>
      <c r="L6466" s="523"/>
      <c r="M6466" s="523"/>
      <c r="N6466" s="523"/>
      <c r="O6466" s="523"/>
      <c r="P6466" s="523"/>
    </row>
    <row r="6467" spans="3:16" s="517" customFormat="1" ht="31.2" customHeight="1">
      <c r="C6467" s="543" t="s">
        <v>1209</v>
      </c>
      <c r="D6467" s="750" t="s">
        <v>1210</v>
      </c>
      <c r="E6467" s="197"/>
      <c r="F6467" s="751"/>
      <c r="G6467" s="197"/>
      <c r="H6467" s="752"/>
      <c r="L6467" s="200"/>
      <c r="M6467" s="200"/>
      <c r="N6467" s="200"/>
      <c r="O6467" s="200"/>
      <c r="P6467" s="200"/>
    </row>
    <row r="6468" spans="3:16" s="517" customFormat="1" ht="31.2" customHeight="1">
      <c r="C6468" s="543">
        <v>1</v>
      </c>
      <c r="D6468" s="750" t="s">
        <v>5613</v>
      </c>
      <c r="E6468" s="203" t="s">
        <v>62</v>
      </c>
      <c r="F6468" s="769">
        <v>1</v>
      </c>
      <c r="G6468" s="205">
        <f t="shared" ref="G6468:G6474" si="486">VLOOKUP(D6468,upahbahan,3,FALSE)</f>
        <v>0</v>
      </c>
      <c r="H6468" s="210">
        <f>F6468*G6468</f>
        <v>0</v>
      </c>
      <c r="L6468" s="200"/>
      <c r="M6468" s="200"/>
      <c r="N6468" s="200"/>
      <c r="O6468" s="200"/>
      <c r="P6468" s="200"/>
    </row>
    <row r="6469" spans="3:16" s="517" customFormat="1" ht="31.2" customHeight="1">
      <c r="C6469" s="543">
        <v>2</v>
      </c>
      <c r="D6469" s="750" t="s">
        <v>5608</v>
      </c>
      <c r="E6469" s="203" t="s">
        <v>65</v>
      </c>
      <c r="F6469" s="769">
        <v>3.0000000000000001E-3</v>
      </c>
      <c r="G6469" s="205">
        <f t="shared" si="486"/>
        <v>0</v>
      </c>
      <c r="H6469" s="210">
        <f t="shared" ref="H6469:H6474" si="487">F6469*G6469</f>
        <v>0</v>
      </c>
      <c r="L6469" s="200"/>
      <c r="M6469" s="200"/>
      <c r="N6469" s="200"/>
      <c r="O6469" s="200"/>
      <c r="P6469" s="200"/>
    </row>
    <row r="6470" spans="3:16" s="517" customFormat="1" ht="31.2" customHeight="1">
      <c r="C6470" s="543">
        <v>3</v>
      </c>
      <c r="D6470" s="750" t="s">
        <v>5605</v>
      </c>
      <c r="E6470" s="203" t="s">
        <v>65</v>
      </c>
      <c r="F6470" s="769">
        <v>0.01</v>
      </c>
      <c r="G6470" s="205">
        <f t="shared" si="486"/>
        <v>0</v>
      </c>
      <c r="H6470" s="210">
        <f t="shared" si="487"/>
        <v>0</v>
      </c>
      <c r="L6470" s="200"/>
      <c r="M6470" s="200"/>
      <c r="N6470" s="200"/>
      <c r="O6470" s="200"/>
      <c r="P6470" s="200"/>
    </row>
    <row r="6471" spans="3:16" s="517" customFormat="1" ht="31.2" customHeight="1">
      <c r="C6471" s="543">
        <v>4</v>
      </c>
      <c r="D6471" s="750" t="s">
        <v>5606</v>
      </c>
      <c r="E6471" s="203" t="s">
        <v>65</v>
      </c>
      <c r="F6471" s="769">
        <v>0.3</v>
      </c>
      <c r="G6471" s="205">
        <f t="shared" si="486"/>
        <v>0</v>
      </c>
      <c r="H6471" s="210">
        <f t="shared" si="487"/>
        <v>0</v>
      </c>
      <c r="L6471" s="200"/>
      <c r="M6471" s="200"/>
      <c r="N6471" s="200"/>
      <c r="O6471" s="200"/>
      <c r="P6471" s="200"/>
    </row>
    <row r="6472" spans="3:16" s="517" customFormat="1" ht="31.2" customHeight="1">
      <c r="C6472" s="543">
        <v>5</v>
      </c>
      <c r="D6472" s="750" t="s">
        <v>5561</v>
      </c>
      <c r="E6472" s="203" t="s">
        <v>65</v>
      </c>
      <c r="F6472" s="769">
        <v>1</v>
      </c>
      <c r="G6472" s="205">
        <f t="shared" si="486"/>
        <v>0</v>
      </c>
      <c r="H6472" s="210">
        <f t="shared" si="487"/>
        <v>0</v>
      </c>
      <c r="L6472" s="200"/>
      <c r="M6472" s="200"/>
      <c r="N6472" s="200"/>
      <c r="O6472" s="200"/>
      <c r="P6472" s="200"/>
    </row>
    <row r="6473" spans="3:16" s="517" customFormat="1" ht="31.2" customHeight="1">
      <c r="C6473" s="543">
        <v>6</v>
      </c>
      <c r="D6473" s="750" t="s">
        <v>7576</v>
      </c>
      <c r="E6473" s="203" t="s">
        <v>65</v>
      </c>
      <c r="F6473" s="769">
        <v>4.0000000000000001E-3</v>
      </c>
      <c r="G6473" s="205">
        <f t="shared" si="486"/>
        <v>0</v>
      </c>
      <c r="H6473" s="210">
        <f t="shared" si="487"/>
        <v>0</v>
      </c>
      <c r="L6473" s="200"/>
      <c r="M6473" s="200"/>
      <c r="N6473" s="200"/>
      <c r="O6473" s="200"/>
      <c r="P6473" s="200"/>
    </row>
    <row r="6474" spans="3:16" s="517" customFormat="1" ht="31.2" customHeight="1">
      <c r="C6474" s="543">
        <v>7</v>
      </c>
      <c r="D6474" s="750" t="s">
        <v>960</v>
      </c>
      <c r="E6474" s="203" t="s">
        <v>529</v>
      </c>
      <c r="F6474" s="769">
        <v>5.6</v>
      </c>
      <c r="G6474" s="205">
        <f t="shared" si="486"/>
        <v>200</v>
      </c>
      <c r="H6474" s="210">
        <f t="shared" si="487"/>
        <v>1120</v>
      </c>
      <c r="L6474" s="200"/>
      <c r="M6474" s="200"/>
      <c r="N6474" s="200"/>
      <c r="O6474" s="200"/>
      <c r="P6474" s="200"/>
    </row>
    <row r="6475" spans="3:16" s="517" customFormat="1" ht="31.2" customHeight="1">
      <c r="C6475" s="207" t="s">
        <v>1214</v>
      </c>
      <c r="D6475" s="208"/>
      <c r="E6475" s="568"/>
      <c r="F6475" s="208"/>
      <c r="G6475" s="209"/>
      <c r="H6475" s="210">
        <f>SUM(H6468:H6474)</f>
        <v>1120</v>
      </c>
      <c r="L6475" s="200"/>
      <c r="M6475" s="200"/>
      <c r="N6475" s="200"/>
      <c r="O6475" s="200"/>
      <c r="P6475" s="200"/>
    </row>
    <row r="6476" spans="3:16" s="517" customFormat="1" ht="31.2" customHeight="1">
      <c r="C6476" s="195" t="s">
        <v>1215</v>
      </c>
      <c r="D6476" s="196" t="s">
        <v>1216</v>
      </c>
      <c r="E6476" s="203"/>
      <c r="F6476" s="197"/>
      <c r="G6476" s="197"/>
      <c r="H6476" s="198"/>
      <c r="L6476" s="200"/>
      <c r="M6476" s="200"/>
      <c r="N6476" s="200"/>
      <c r="O6476" s="200"/>
      <c r="P6476" s="200"/>
    </row>
    <row r="6477" spans="3:16" s="517" customFormat="1" ht="31.2" customHeight="1">
      <c r="C6477" s="201">
        <v>1</v>
      </c>
      <c r="D6477" s="196" t="s">
        <v>5607</v>
      </c>
      <c r="E6477" s="203" t="s">
        <v>1974</v>
      </c>
      <c r="F6477" s="763">
        <v>5.0000000000000001E-4</v>
      </c>
      <c r="G6477" s="205">
        <f>VLOOKUP(D6477,upahbahan,3,FALSE)</f>
        <v>350000</v>
      </c>
      <c r="H6477" s="210">
        <f>F6477*G6477</f>
        <v>175</v>
      </c>
      <c r="L6477" s="200"/>
      <c r="M6477" s="200"/>
      <c r="N6477" s="200"/>
      <c r="O6477" s="200"/>
      <c r="P6477" s="200"/>
    </row>
    <row r="6478" spans="3:16" s="517" customFormat="1" ht="31.2" customHeight="1">
      <c r="C6478" s="207" t="s">
        <v>1217</v>
      </c>
      <c r="D6478" s="208"/>
      <c r="E6478" s="208"/>
      <c r="F6478" s="208"/>
      <c r="G6478" s="209"/>
      <c r="H6478" s="770">
        <f>SUM(H6476:H6477)</f>
        <v>175</v>
      </c>
      <c r="L6478" s="200"/>
      <c r="M6478" s="200"/>
      <c r="N6478" s="200"/>
      <c r="O6478" s="200"/>
      <c r="P6478" s="200"/>
    </row>
    <row r="6479" spans="3:16" s="517" customFormat="1" ht="31.2" customHeight="1">
      <c r="C6479" s="223" t="s">
        <v>1218</v>
      </c>
      <c r="D6479" s="224" t="s">
        <v>1219</v>
      </c>
      <c r="E6479" s="225"/>
      <c r="F6479" s="225"/>
      <c r="G6479" s="226"/>
      <c r="H6479" s="210">
        <f>H6478+H6475+H6466</f>
        <v>3115.8</v>
      </c>
      <c r="L6479" s="200"/>
      <c r="M6479" s="200"/>
      <c r="N6479" s="200"/>
      <c r="O6479" s="200"/>
      <c r="P6479" s="200"/>
    </row>
    <row r="6480" spans="3:16" s="517" customFormat="1" ht="31.2" customHeight="1">
      <c r="C6480" s="223" t="s">
        <v>1220</v>
      </c>
      <c r="D6480" s="224" t="s">
        <v>1321</v>
      </c>
      <c r="E6480" s="225"/>
      <c r="F6480" s="226"/>
      <c r="G6480" s="228">
        <v>0.1</v>
      </c>
      <c r="H6480" s="210">
        <f>H6479*G6480</f>
        <v>311.58000000000004</v>
      </c>
      <c r="L6480" s="200"/>
      <c r="M6480" s="200"/>
      <c r="N6480" s="200"/>
      <c r="O6480" s="200"/>
      <c r="P6480" s="200"/>
    </row>
    <row r="6481" spans="3:20" s="517" customFormat="1" ht="31.2" customHeight="1" thickBot="1">
      <c r="C6481" s="229" t="s">
        <v>1221</v>
      </c>
      <c r="D6481" s="230" t="s">
        <v>1222</v>
      </c>
      <c r="E6481" s="231"/>
      <c r="F6481" s="231"/>
      <c r="G6481" s="232"/>
      <c r="H6481" s="233">
        <f>SUM(H6479:H6480)</f>
        <v>3427.38</v>
      </c>
      <c r="L6481" s="200"/>
      <c r="M6481" s="200"/>
      <c r="N6481" s="200"/>
      <c r="O6481" s="200"/>
      <c r="P6481" s="200"/>
    </row>
    <row r="6482" spans="3:20" s="517" customFormat="1" ht="31.2" customHeight="1" thickTop="1">
      <c r="C6482" s="757" t="s">
        <v>1247</v>
      </c>
      <c r="D6482" s="758"/>
      <c r="E6482" s="758"/>
      <c r="F6482" s="758"/>
      <c r="G6482" s="758"/>
      <c r="H6482" s="759"/>
      <c r="L6482" s="200"/>
      <c r="M6482" s="200"/>
      <c r="N6482" s="200"/>
      <c r="O6482" s="200"/>
      <c r="P6482" s="200"/>
    </row>
    <row r="6483" spans="3:20" s="517" customFormat="1" ht="31.2" customHeight="1">
      <c r="C6483" s="757" t="s">
        <v>5296</v>
      </c>
      <c r="D6483" s="758" t="s">
        <v>6951</v>
      </c>
      <c r="E6483" s="758"/>
      <c r="F6483" s="758"/>
      <c r="G6483" s="758"/>
      <c r="H6483" s="759"/>
      <c r="L6483" s="200"/>
      <c r="M6483" s="200"/>
      <c r="N6483" s="200"/>
      <c r="O6483" s="200"/>
      <c r="P6483" s="200"/>
    </row>
    <row r="6484" spans="3:20" s="517" customFormat="1" ht="31.2" customHeight="1">
      <c r="C6484" s="757" t="s">
        <v>7575</v>
      </c>
      <c r="D6484" s="758" t="s">
        <v>6952</v>
      </c>
      <c r="E6484" s="758"/>
      <c r="F6484" s="758"/>
      <c r="G6484" s="758"/>
      <c r="H6484" s="759"/>
      <c r="L6484" s="200"/>
      <c r="M6484" s="200"/>
      <c r="N6484" s="200"/>
      <c r="O6484" s="200"/>
      <c r="P6484" s="200"/>
    </row>
    <row r="6485" spans="3:20" s="517" customFormat="1" ht="31.2" customHeight="1">
      <c r="C6485" s="200" t="s">
        <v>7577</v>
      </c>
      <c r="D6485" s="758"/>
      <c r="E6485" s="758"/>
      <c r="F6485" s="758"/>
      <c r="G6485" s="758"/>
      <c r="H6485" s="759"/>
      <c r="L6485" s="200"/>
      <c r="M6485" s="200"/>
      <c r="N6485" s="200"/>
      <c r="O6485" s="200"/>
      <c r="P6485" s="200"/>
    </row>
    <row r="6486" spans="3:20" ht="31.2" customHeight="1"/>
    <row r="6487" spans="3:20" s="517" customFormat="1" ht="31.2" customHeight="1" thickBot="1">
      <c r="C6487" s="513" t="s">
        <v>5615</v>
      </c>
      <c r="D6487" s="748" t="s">
        <v>7582</v>
      </c>
      <c r="E6487" s="749"/>
      <c r="F6487" s="748"/>
      <c r="G6487" s="748"/>
      <c r="H6487" s="532"/>
      <c r="I6487" s="532"/>
      <c r="J6487" s="532"/>
      <c r="K6487" s="532"/>
      <c r="M6487" s="189"/>
      <c r="N6487" s="189"/>
      <c r="O6487" s="189"/>
      <c r="P6487" s="189"/>
      <c r="R6487" s="189">
        <f>ROUNDDOWN(H6508,-2)</f>
        <v>64000</v>
      </c>
      <c r="S6487" s="517" t="s">
        <v>6451</v>
      </c>
      <c r="T6487" s="517" t="s">
        <v>7574</v>
      </c>
    </row>
    <row r="6488" spans="3:20" s="517" customFormat="1" ht="31.2" customHeight="1" thickTop="1">
      <c r="C6488" s="190" t="s">
        <v>1195</v>
      </c>
      <c r="D6488" s="191" t="s">
        <v>1196</v>
      </c>
      <c r="E6488" s="191" t="s">
        <v>1197</v>
      </c>
      <c r="F6488" s="191" t="s">
        <v>1198</v>
      </c>
      <c r="G6488" s="191" t="s">
        <v>1199</v>
      </c>
      <c r="H6488" s="192" t="s">
        <v>1200</v>
      </c>
      <c r="L6488" s="200"/>
      <c r="M6488" s="200"/>
      <c r="N6488" s="200"/>
      <c r="O6488" s="200"/>
      <c r="P6488" s="200"/>
    </row>
    <row r="6489" spans="3:20" s="517" customFormat="1" ht="31.2" customHeight="1">
      <c r="C6489" s="518" t="s">
        <v>1201</v>
      </c>
      <c r="D6489" s="196" t="s">
        <v>1202</v>
      </c>
      <c r="E6489" s="197"/>
      <c r="F6489" s="197"/>
      <c r="G6489" s="197"/>
      <c r="H6489" s="198"/>
      <c r="L6489" s="200"/>
      <c r="M6489" s="200"/>
      <c r="N6489" s="200"/>
      <c r="O6489" s="200"/>
      <c r="P6489" s="200"/>
    </row>
    <row r="6490" spans="3:20" s="517" customFormat="1" ht="31.2" customHeight="1">
      <c r="C6490" s="518">
        <v>1</v>
      </c>
      <c r="D6490" s="196" t="s">
        <v>5</v>
      </c>
      <c r="E6490" s="203" t="s">
        <v>2102</v>
      </c>
      <c r="F6490" s="204">
        <v>0.1</v>
      </c>
      <c r="G6490" s="205">
        <f>VLOOKUP(D6490,upahbahan,3,FALSE)</f>
        <v>100000</v>
      </c>
      <c r="H6490" s="210">
        <f t="shared" ref="H6490:H6493" si="488">F6490*G6490</f>
        <v>10000</v>
      </c>
      <c r="L6490" s="200"/>
      <c r="M6490" s="200"/>
      <c r="N6490" s="200"/>
      <c r="O6490" s="200"/>
      <c r="P6490" s="200"/>
    </row>
    <row r="6491" spans="3:20" s="517" customFormat="1" ht="31.2" customHeight="1">
      <c r="C6491" s="537">
        <v>2</v>
      </c>
      <c r="D6491" s="196" t="s">
        <v>6954</v>
      </c>
      <c r="E6491" s="202" t="s">
        <v>6</v>
      </c>
      <c r="F6491" s="520">
        <v>0.2</v>
      </c>
      <c r="G6491" s="205">
        <f>VLOOKUP(D6491,upahbahan,3,FALSE)</f>
        <v>181250</v>
      </c>
      <c r="H6491" s="210">
        <f t="shared" si="488"/>
        <v>36250</v>
      </c>
      <c r="L6491" s="200"/>
      <c r="M6491" s="200"/>
      <c r="N6491" s="200"/>
      <c r="O6491" s="200"/>
      <c r="P6491" s="200"/>
    </row>
    <row r="6492" spans="3:20" s="517" customFormat="1" ht="31.2" customHeight="1">
      <c r="C6492" s="537">
        <v>2</v>
      </c>
      <c r="D6492" s="196" t="s">
        <v>6948</v>
      </c>
      <c r="E6492" s="202" t="s">
        <v>6</v>
      </c>
      <c r="F6492" s="520">
        <v>0.04</v>
      </c>
      <c r="G6492" s="205">
        <f>VLOOKUP(D6492,upahbahan,3,FALSE)</f>
        <v>218750</v>
      </c>
      <c r="H6492" s="210">
        <f t="shared" si="488"/>
        <v>8750</v>
      </c>
      <c r="L6492" s="200"/>
      <c r="M6492" s="200"/>
      <c r="N6492" s="200"/>
      <c r="O6492" s="200"/>
      <c r="P6492" s="200"/>
    </row>
    <row r="6493" spans="3:20" s="517" customFormat="1" ht="31.2" customHeight="1">
      <c r="C6493" s="537">
        <v>3</v>
      </c>
      <c r="D6493" s="196" t="s">
        <v>19</v>
      </c>
      <c r="E6493" s="202" t="s">
        <v>6</v>
      </c>
      <c r="F6493" s="768">
        <v>1.2999999999999999E-2</v>
      </c>
      <c r="G6493" s="205">
        <f>VLOOKUP(D6493,upahbahan,3,FALSE)</f>
        <v>160000</v>
      </c>
      <c r="H6493" s="210">
        <f t="shared" si="488"/>
        <v>2080</v>
      </c>
      <c r="L6493" s="200"/>
      <c r="M6493" s="200"/>
      <c r="N6493" s="200"/>
      <c r="O6493" s="200"/>
      <c r="P6493" s="200"/>
    </row>
    <row r="6494" spans="3:20" s="517" customFormat="1" ht="31.2" customHeight="1">
      <c r="C6494" s="207" t="s">
        <v>1208</v>
      </c>
      <c r="D6494" s="208"/>
      <c r="E6494" s="208"/>
      <c r="F6494" s="521"/>
      <c r="G6494" s="522"/>
      <c r="H6494" s="210">
        <f>SUM(H6490:H6493)</f>
        <v>57080</v>
      </c>
      <c r="L6494" s="523"/>
      <c r="M6494" s="523"/>
      <c r="N6494" s="523"/>
      <c r="O6494" s="523"/>
      <c r="P6494" s="523"/>
    </row>
    <row r="6495" spans="3:20" s="517" customFormat="1" ht="31.2" customHeight="1">
      <c r="C6495" s="543" t="s">
        <v>1209</v>
      </c>
      <c r="D6495" s="750" t="s">
        <v>1210</v>
      </c>
      <c r="E6495" s="197"/>
      <c r="F6495" s="751"/>
      <c r="G6495" s="197"/>
      <c r="H6495" s="752"/>
      <c r="L6495" s="200"/>
      <c r="M6495" s="200"/>
      <c r="N6495" s="200"/>
      <c r="O6495" s="200"/>
      <c r="P6495" s="200"/>
    </row>
    <row r="6496" spans="3:20" s="517" customFormat="1" ht="31.2" customHeight="1">
      <c r="C6496" s="543">
        <v>1</v>
      </c>
      <c r="D6496" s="750" t="s">
        <v>5613</v>
      </c>
      <c r="E6496" s="203" t="s">
        <v>62</v>
      </c>
      <c r="F6496" s="769">
        <v>1</v>
      </c>
      <c r="G6496" s="205">
        <f t="shared" ref="G6496:G6502" si="489">VLOOKUP(D6496,upahbahan,3,FALSE)</f>
        <v>0</v>
      </c>
      <c r="H6496" s="210">
        <f>F6496*G6496</f>
        <v>0</v>
      </c>
      <c r="L6496" s="200"/>
      <c r="M6496" s="200"/>
      <c r="N6496" s="200"/>
      <c r="O6496" s="200"/>
      <c r="P6496" s="200"/>
    </row>
    <row r="6497" spans="3:16" s="517" customFormat="1" ht="31.2" customHeight="1">
      <c r="C6497" s="543">
        <v>2</v>
      </c>
      <c r="D6497" s="750" t="s">
        <v>7578</v>
      </c>
      <c r="E6497" s="203" t="s">
        <v>65</v>
      </c>
      <c r="F6497" s="769">
        <v>3.0000000000000001E-3</v>
      </c>
      <c r="G6497" s="205">
        <f t="shared" si="489"/>
        <v>0</v>
      </c>
      <c r="H6497" s="210">
        <f t="shared" ref="H6497:H6502" si="490">F6497*G6497</f>
        <v>0</v>
      </c>
      <c r="L6497" s="200"/>
      <c r="M6497" s="200"/>
      <c r="N6497" s="200"/>
      <c r="O6497" s="200"/>
      <c r="P6497" s="200"/>
    </row>
    <row r="6498" spans="3:16" s="517" customFormat="1" ht="31.2" customHeight="1">
      <c r="C6498" s="543">
        <v>3</v>
      </c>
      <c r="D6498" s="750" t="s">
        <v>5605</v>
      </c>
      <c r="E6498" s="203" t="s">
        <v>65</v>
      </c>
      <c r="F6498" s="769">
        <v>0.01</v>
      </c>
      <c r="G6498" s="205">
        <f t="shared" si="489"/>
        <v>0</v>
      </c>
      <c r="H6498" s="210">
        <f t="shared" si="490"/>
        <v>0</v>
      </c>
      <c r="L6498" s="200"/>
      <c r="M6498" s="200"/>
      <c r="N6498" s="200"/>
      <c r="O6498" s="200"/>
      <c r="P6498" s="200"/>
    </row>
    <row r="6499" spans="3:16" s="517" customFormat="1" ht="31.2" customHeight="1">
      <c r="C6499" s="543">
        <v>4</v>
      </c>
      <c r="D6499" s="750" t="s">
        <v>5606</v>
      </c>
      <c r="E6499" s="203" t="s">
        <v>65</v>
      </c>
      <c r="F6499" s="769">
        <v>0.3</v>
      </c>
      <c r="G6499" s="205">
        <f t="shared" si="489"/>
        <v>0</v>
      </c>
      <c r="H6499" s="210">
        <f t="shared" si="490"/>
        <v>0</v>
      </c>
      <c r="L6499" s="200"/>
      <c r="M6499" s="200"/>
      <c r="N6499" s="200"/>
      <c r="O6499" s="200"/>
      <c r="P6499" s="200"/>
    </row>
    <row r="6500" spans="3:16" s="517" customFormat="1" ht="31.2" customHeight="1">
      <c r="C6500" s="543">
        <v>5</v>
      </c>
      <c r="D6500" s="750" t="s">
        <v>5561</v>
      </c>
      <c r="E6500" s="203" t="s">
        <v>65</v>
      </c>
      <c r="F6500" s="769">
        <v>1</v>
      </c>
      <c r="G6500" s="205">
        <f t="shared" si="489"/>
        <v>0</v>
      </c>
      <c r="H6500" s="210">
        <f t="shared" si="490"/>
        <v>0</v>
      </c>
      <c r="L6500" s="200"/>
      <c r="M6500" s="200"/>
      <c r="N6500" s="200"/>
      <c r="O6500" s="200"/>
      <c r="P6500" s="200"/>
    </row>
    <row r="6501" spans="3:16" s="517" customFormat="1" ht="31.2" customHeight="1">
      <c r="C6501" s="543">
        <v>6</v>
      </c>
      <c r="D6501" s="750" t="s">
        <v>7576</v>
      </c>
      <c r="E6501" s="203" t="s">
        <v>65</v>
      </c>
      <c r="F6501" s="769">
        <v>4.0000000000000001E-3</v>
      </c>
      <c r="G6501" s="205">
        <f t="shared" si="489"/>
        <v>0</v>
      </c>
      <c r="H6501" s="210">
        <f t="shared" si="490"/>
        <v>0</v>
      </c>
      <c r="L6501" s="200"/>
      <c r="M6501" s="200"/>
      <c r="N6501" s="200"/>
      <c r="O6501" s="200"/>
      <c r="P6501" s="200"/>
    </row>
    <row r="6502" spans="3:16" s="517" customFormat="1" ht="31.2" customHeight="1">
      <c r="C6502" s="543">
        <v>7</v>
      </c>
      <c r="D6502" s="750" t="s">
        <v>960</v>
      </c>
      <c r="E6502" s="203" t="s">
        <v>529</v>
      </c>
      <c r="F6502" s="769">
        <v>5.6</v>
      </c>
      <c r="G6502" s="205">
        <f t="shared" si="489"/>
        <v>200</v>
      </c>
      <c r="H6502" s="210">
        <f t="shared" si="490"/>
        <v>1120</v>
      </c>
      <c r="L6502" s="200"/>
      <c r="M6502" s="200"/>
      <c r="N6502" s="200"/>
      <c r="O6502" s="200"/>
      <c r="P6502" s="200"/>
    </row>
    <row r="6503" spans="3:16" s="517" customFormat="1" ht="31.2" customHeight="1">
      <c r="C6503" s="207" t="s">
        <v>1214</v>
      </c>
      <c r="D6503" s="208"/>
      <c r="E6503" s="568"/>
      <c r="F6503" s="208"/>
      <c r="G6503" s="209"/>
      <c r="H6503" s="210">
        <f>SUM(H6496:H6502)</f>
        <v>1120</v>
      </c>
      <c r="L6503" s="200"/>
      <c r="M6503" s="200"/>
      <c r="N6503" s="200"/>
      <c r="O6503" s="200"/>
      <c r="P6503" s="200"/>
    </row>
    <row r="6504" spans="3:16" s="517" customFormat="1" ht="31.2" customHeight="1">
      <c r="C6504" s="195" t="s">
        <v>1215</v>
      </c>
      <c r="D6504" s="196" t="s">
        <v>1216</v>
      </c>
      <c r="E6504" s="203"/>
      <c r="F6504" s="197"/>
      <c r="G6504" s="197"/>
      <c r="H6504" s="198"/>
      <c r="L6504" s="200"/>
      <c r="M6504" s="200"/>
      <c r="N6504" s="200"/>
      <c r="O6504" s="200"/>
      <c r="P6504" s="200"/>
    </row>
    <row r="6505" spans="3:16" s="517" customFormat="1" ht="31.2" customHeight="1">
      <c r="C6505" s="207" t="s">
        <v>1217</v>
      </c>
      <c r="D6505" s="208"/>
      <c r="E6505" s="208"/>
      <c r="F6505" s="208"/>
      <c r="G6505" s="209"/>
      <c r="H6505" s="770">
        <f>SUM(H6504:H6504)</f>
        <v>0</v>
      </c>
      <c r="L6505" s="200"/>
      <c r="M6505" s="200"/>
      <c r="N6505" s="200"/>
      <c r="O6505" s="200"/>
      <c r="P6505" s="200"/>
    </row>
    <row r="6506" spans="3:16" s="517" customFormat="1" ht="31.2" customHeight="1">
      <c r="C6506" s="223" t="s">
        <v>1218</v>
      </c>
      <c r="D6506" s="224" t="s">
        <v>1219</v>
      </c>
      <c r="E6506" s="225"/>
      <c r="F6506" s="225"/>
      <c r="G6506" s="226"/>
      <c r="H6506" s="210">
        <f>H6505+H6503+H6494</f>
        <v>58200</v>
      </c>
      <c r="L6506" s="200"/>
      <c r="M6506" s="200"/>
      <c r="N6506" s="200"/>
      <c r="O6506" s="200"/>
      <c r="P6506" s="200"/>
    </row>
    <row r="6507" spans="3:16" s="517" customFormat="1" ht="31.2" customHeight="1">
      <c r="C6507" s="223" t="s">
        <v>1220</v>
      </c>
      <c r="D6507" s="224" t="s">
        <v>1321</v>
      </c>
      <c r="E6507" s="225"/>
      <c r="F6507" s="226"/>
      <c r="G6507" s="228">
        <v>0.1</v>
      </c>
      <c r="H6507" s="210">
        <f>H6506*G6507</f>
        <v>5820</v>
      </c>
      <c r="L6507" s="200"/>
      <c r="M6507" s="200"/>
      <c r="N6507" s="200"/>
      <c r="O6507" s="200"/>
      <c r="P6507" s="200"/>
    </row>
    <row r="6508" spans="3:16" s="517" customFormat="1" ht="31.2" customHeight="1" thickBot="1">
      <c r="C6508" s="229" t="s">
        <v>1221</v>
      </c>
      <c r="D6508" s="230" t="s">
        <v>1222</v>
      </c>
      <c r="E6508" s="231"/>
      <c r="F6508" s="231"/>
      <c r="G6508" s="232"/>
      <c r="H6508" s="233">
        <f>SUM(H6506:H6507)</f>
        <v>64020</v>
      </c>
      <c r="L6508" s="200"/>
      <c r="M6508" s="200"/>
      <c r="N6508" s="200"/>
      <c r="O6508" s="200"/>
      <c r="P6508" s="200"/>
    </row>
    <row r="6509" spans="3:16" s="517" customFormat="1" ht="31.2" customHeight="1" thickTop="1">
      <c r="C6509" s="757" t="s">
        <v>1247</v>
      </c>
      <c r="D6509" s="758"/>
      <c r="E6509" s="758"/>
      <c r="F6509" s="758"/>
      <c r="G6509" s="758"/>
      <c r="H6509" s="759"/>
      <c r="L6509" s="200"/>
      <c r="M6509" s="200"/>
      <c r="N6509" s="200"/>
      <c r="O6509" s="200"/>
      <c r="P6509" s="200"/>
    </row>
    <row r="6510" spans="3:16" s="517" customFormat="1" ht="31.2" customHeight="1">
      <c r="C6510" s="757" t="s">
        <v>5296</v>
      </c>
      <c r="D6510" s="758" t="s">
        <v>6951</v>
      </c>
      <c r="E6510" s="758"/>
      <c r="F6510" s="758"/>
      <c r="G6510" s="758"/>
      <c r="H6510" s="759"/>
      <c r="L6510" s="200"/>
      <c r="M6510" s="200"/>
      <c r="N6510" s="200"/>
      <c r="O6510" s="200"/>
      <c r="P6510" s="200"/>
    </row>
    <row r="6511" spans="3:16" s="517" customFormat="1" ht="31.2" customHeight="1">
      <c r="C6511" s="757" t="s">
        <v>7575</v>
      </c>
      <c r="D6511" s="758" t="s">
        <v>6952</v>
      </c>
      <c r="E6511" s="758"/>
      <c r="F6511" s="758"/>
      <c r="G6511" s="758"/>
      <c r="H6511" s="759"/>
      <c r="L6511" s="200"/>
      <c r="M6511" s="200"/>
      <c r="N6511" s="200"/>
      <c r="O6511" s="200"/>
      <c r="P6511" s="200"/>
    </row>
    <row r="6512" spans="3:16" s="517" customFormat="1" ht="31.2" customHeight="1">
      <c r="C6512" s="200" t="s">
        <v>7577</v>
      </c>
      <c r="D6512" s="758"/>
      <c r="E6512" s="758"/>
      <c r="F6512" s="758"/>
      <c r="G6512" s="758"/>
      <c r="H6512" s="759"/>
      <c r="L6512" s="200"/>
      <c r="M6512" s="200"/>
      <c r="N6512" s="200"/>
      <c r="O6512" s="200"/>
      <c r="P6512" s="200"/>
    </row>
    <row r="6513" spans="3:20" ht="31.2" customHeight="1"/>
    <row r="6514" spans="3:20" s="517" customFormat="1" ht="31.2" customHeight="1" thickBot="1">
      <c r="C6514" s="513" t="s">
        <v>5616</v>
      </c>
      <c r="D6514" s="748" t="s">
        <v>7583</v>
      </c>
      <c r="E6514" s="749"/>
      <c r="F6514" s="748"/>
      <c r="G6514" s="748"/>
      <c r="H6514" s="532"/>
      <c r="I6514" s="532"/>
      <c r="J6514" s="532"/>
      <c r="K6514" s="532"/>
      <c r="M6514" s="189"/>
      <c r="N6514" s="189"/>
      <c r="O6514" s="189"/>
      <c r="P6514" s="189"/>
      <c r="R6514" s="189">
        <f>ROUNDDOWN(H6536,-2)</f>
        <v>1700</v>
      </c>
      <c r="S6514" s="517" t="s">
        <v>6451</v>
      </c>
      <c r="T6514" s="517" t="s">
        <v>7572</v>
      </c>
    </row>
    <row r="6515" spans="3:20" s="517" customFormat="1" ht="31.2" customHeight="1" thickTop="1">
      <c r="C6515" s="190" t="s">
        <v>1195</v>
      </c>
      <c r="D6515" s="191" t="s">
        <v>1196</v>
      </c>
      <c r="E6515" s="191" t="s">
        <v>1197</v>
      </c>
      <c r="F6515" s="191" t="s">
        <v>1198</v>
      </c>
      <c r="G6515" s="191" t="s">
        <v>1199</v>
      </c>
      <c r="H6515" s="192" t="s">
        <v>1200</v>
      </c>
      <c r="L6515" s="200"/>
      <c r="M6515" s="200"/>
      <c r="N6515" s="200"/>
      <c r="O6515" s="200"/>
      <c r="P6515" s="200"/>
    </row>
    <row r="6516" spans="3:20" s="517" customFormat="1" ht="31.2" customHeight="1">
      <c r="C6516" s="518" t="s">
        <v>1201</v>
      </c>
      <c r="D6516" s="196" t="s">
        <v>1202</v>
      </c>
      <c r="E6516" s="197"/>
      <c r="F6516" s="197"/>
      <c r="G6516" s="197"/>
      <c r="H6516" s="198"/>
      <c r="L6516" s="200"/>
      <c r="M6516" s="200"/>
      <c r="N6516" s="200"/>
      <c r="O6516" s="200"/>
      <c r="P6516" s="200"/>
    </row>
    <row r="6517" spans="3:20" s="517" customFormat="1" ht="31.2" customHeight="1">
      <c r="C6517" s="518">
        <v>1</v>
      </c>
      <c r="D6517" s="196" t="s">
        <v>5</v>
      </c>
      <c r="E6517" s="203" t="s">
        <v>2102</v>
      </c>
      <c r="F6517" s="204">
        <v>5.0000000000000001E-4</v>
      </c>
      <c r="G6517" s="205">
        <f>VLOOKUP(D6517,upahbahan,3,FALSE)</f>
        <v>100000</v>
      </c>
      <c r="H6517" s="210">
        <f t="shared" ref="H6517:H6520" si="491">F6517*G6517</f>
        <v>50</v>
      </c>
      <c r="L6517" s="200"/>
      <c r="M6517" s="200"/>
      <c r="N6517" s="200"/>
      <c r="O6517" s="200"/>
      <c r="P6517" s="200"/>
    </row>
    <row r="6518" spans="3:20" s="517" customFormat="1" ht="31.2" customHeight="1">
      <c r="C6518" s="537">
        <v>2</v>
      </c>
      <c r="D6518" s="196" t="s">
        <v>6954</v>
      </c>
      <c r="E6518" s="202" t="s">
        <v>6</v>
      </c>
      <c r="F6518" s="520">
        <v>1E-3</v>
      </c>
      <c r="G6518" s="205">
        <f>VLOOKUP(D6518,upahbahan,3,FALSE)</f>
        <v>181250</v>
      </c>
      <c r="H6518" s="210">
        <f t="shared" si="491"/>
        <v>181.25</v>
      </c>
      <c r="L6518" s="200"/>
      <c r="M6518" s="200"/>
      <c r="N6518" s="200"/>
      <c r="O6518" s="200"/>
      <c r="P6518" s="200"/>
    </row>
    <row r="6519" spans="3:20" s="517" customFormat="1" ht="31.2" customHeight="1">
      <c r="C6519" s="537">
        <v>2</v>
      </c>
      <c r="D6519" s="196" t="s">
        <v>6948</v>
      </c>
      <c r="E6519" s="202" t="s">
        <v>6</v>
      </c>
      <c r="F6519" s="520">
        <v>1E-4</v>
      </c>
      <c r="G6519" s="205">
        <f>VLOOKUP(D6519,upahbahan,3,FALSE)</f>
        <v>218750</v>
      </c>
      <c r="H6519" s="210">
        <f t="shared" si="491"/>
        <v>21.875</v>
      </c>
      <c r="L6519" s="200"/>
      <c r="M6519" s="200"/>
      <c r="N6519" s="200"/>
      <c r="O6519" s="200"/>
      <c r="P6519" s="200"/>
    </row>
    <row r="6520" spans="3:20" s="517" customFormat="1" ht="31.2" customHeight="1">
      <c r="C6520" s="537">
        <v>3</v>
      </c>
      <c r="D6520" s="196" t="s">
        <v>19</v>
      </c>
      <c r="E6520" s="202" t="s">
        <v>6</v>
      </c>
      <c r="F6520" s="771">
        <v>3.0000000000000001E-5</v>
      </c>
      <c r="G6520" s="205">
        <f>VLOOKUP(D6520,upahbahan,3,FALSE)</f>
        <v>160000</v>
      </c>
      <c r="H6520" s="210">
        <f t="shared" si="491"/>
        <v>4.8</v>
      </c>
      <c r="L6520" s="200"/>
      <c r="M6520" s="200"/>
      <c r="N6520" s="200"/>
      <c r="O6520" s="200"/>
      <c r="P6520" s="200"/>
    </row>
    <row r="6521" spans="3:20" s="517" customFormat="1" ht="31.2" customHeight="1">
      <c r="C6521" s="207" t="s">
        <v>1208</v>
      </c>
      <c r="D6521" s="208"/>
      <c r="E6521" s="208"/>
      <c r="F6521" s="521"/>
      <c r="G6521" s="522"/>
      <c r="H6521" s="210">
        <f>SUM(H6517:H6520)</f>
        <v>257.92500000000001</v>
      </c>
      <c r="L6521" s="523"/>
      <c r="M6521" s="523"/>
      <c r="N6521" s="523"/>
      <c r="O6521" s="523"/>
      <c r="P6521" s="523"/>
    </row>
    <row r="6522" spans="3:20" s="517" customFormat="1" ht="31.2" customHeight="1">
      <c r="C6522" s="543" t="s">
        <v>1209</v>
      </c>
      <c r="D6522" s="750" t="s">
        <v>1210</v>
      </c>
      <c r="E6522" s="197"/>
      <c r="F6522" s="751"/>
      <c r="G6522" s="197"/>
      <c r="H6522" s="752"/>
      <c r="L6522" s="200"/>
      <c r="M6522" s="200"/>
      <c r="N6522" s="200"/>
      <c r="O6522" s="200"/>
      <c r="P6522" s="200"/>
    </row>
    <row r="6523" spans="3:20" s="517" customFormat="1" ht="31.2" customHeight="1">
      <c r="C6523" s="543">
        <v>1</v>
      </c>
      <c r="D6523" s="750" t="s">
        <v>5604</v>
      </c>
      <c r="E6523" s="203" t="s">
        <v>62</v>
      </c>
      <c r="F6523" s="769">
        <v>1</v>
      </c>
      <c r="G6523" s="205">
        <f t="shared" ref="G6523:G6529" si="492">VLOOKUP(D6523,upahbahan,3,FALSE)</f>
        <v>0</v>
      </c>
      <c r="H6523" s="210">
        <f>F6523*G6523</f>
        <v>0</v>
      </c>
      <c r="L6523" s="200"/>
      <c r="M6523" s="200"/>
      <c r="N6523" s="200"/>
      <c r="O6523" s="200"/>
      <c r="P6523" s="200"/>
    </row>
    <row r="6524" spans="3:20" s="517" customFormat="1" ht="31.2" customHeight="1">
      <c r="C6524" s="543">
        <v>2</v>
      </c>
      <c r="D6524" s="750" t="s">
        <v>5608</v>
      </c>
      <c r="E6524" s="203" t="s">
        <v>65</v>
      </c>
      <c r="F6524" s="769">
        <v>3.0000000000000001E-3</v>
      </c>
      <c r="G6524" s="205">
        <f t="shared" si="492"/>
        <v>0</v>
      </c>
      <c r="H6524" s="210">
        <f t="shared" ref="H6524:H6529" si="493">F6524*G6524</f>
        <v>0</v>
      </c>
      <c r="L6524" s="200"/>
      <c r="M6524" s="200"/>
      <c r="N6524" s="200"/>
      <c r="O6524" s="200"/>
      <c r="P6524" s="200"/>
    </row>
    <row r="6525" spans="3:20" s="517" customFormat="1" ht="31.2" customHeight="1">
      <c r="C6525" s="543">
        <v>3</v>
      </c>
      <c r="D6525" s="750" t="s">
        <v>5617</v>
      </c>
      <c r="E6525" s="203" t="s">
        <v>65</v>
      </c>
      <c r="F6525" s="769">
        <v>1.4999999999999999E-2</v>
      </c>
      <c r="G6525" s="205">
        <f t="shared" si="492"/>
        <v>0</v>
      </c>
      <c r="H6525" s="210">
        <f t="shared" si="493"/>
        <v>0</v>
      </c>
      <c r="L6525" s="200"/>
      <c r="M6525" s="200"/>
      <c r="N6525" s="200"/>
      <c r="O6525" s="200"/>
      <c r="P6525" s="200"/>
    </row>
    <row r="6526" spans="3:20" s="517" customFormat="1" ht="31.2" customHeight="1">
      <c r="C6526" s="543">
        <v>4</v>
      </c>
      <c r="D6526" s="750" t="s">
        <v>5606</v>
      </c>
      <c r="E6526" s="203" t="s">
        <v>65</v>
      </c>
      <c r="F6526" s="769">
        <v>0.3</v>
      </c>
      <c r="G6526" s="205">
        <f t="shared" si="492"/>
        <v>0</v>
      </c>
      <c r="H6526" s="210">
        <f t="shared" si="493"/>
        <v>0</v>
      </c>
      <c r="L6526" s="200"/>
      <c r="M6526" s="200"/>
      <c r="N6526" s="200"/>
      <c r="O6526" s="200"/>
      <c r="P6526" s="200"/>
    </row>
    <row r="6527" spans="3:20" s="517" customFormat="1" ht="31.2" customHeight="1">
      <c r="C6527" s="543">
        <v>5</v>
      </c>
      <c r="D6527" s="750" t="s">
        <v>5561</v>
      </c>
      <c r="E6527" s="203" t="s">
        <v>65</v>
      </c>
      <c r="F6527" s="769">
        <v>0.6</v>
      </c>
      <c r="G6527" s="205">
        <f t="shared" si="492"/>
        <v>0</v>
      </c>
      <c r="H6527" s="210">
        <f t="shared" si="493"/>
        <v>0</v>
      </c>
      <c r="L6527" s="200"/>
      <c r="M6527" s="200"/>
      <c r="N6527" s="200"/>
      <c r="O6527" s="200"/>
      <c r="P6527" s="200"/>
    </row>
    <row r="6528" spans="3:20" s="517" customFormat="1" ht="31.2" customHeight="1">
      <c r="C6528" s="543">
        <v>6</v>
      </c>
      <c r="D6528" s="750" t="s">
        <v>7576</v>
      </c>
      <c r="E6528" s="203" t="s">
        <v>65</v>
      </c>
      <c r="F6528" s="769">
        <v>4.0000000000000001E-3</v>
      </c>
      <c r="G6528" s="205">
        <f t="shared" si="492"/>
        <v>0</v>
      </c>
      <c r="H6528" s="210">
        <f t="shared" si="493"/>
        <v>0</v>
      </c>
      <c r="L6528" s="200"/>
      <c r="M6528" s="200"/>
      <c r="N6528" s="200"/>
      <c r="O6528" s="200"/>
      <c r="P6528" s="200"/>
    </row>
    <row r="6529" spans="3:20" s="517" customFormat="1" ht="31.2" customHeight="1">
      <c r="C6529" s="543">
        <v>7</v>
      </c>
      <c r="D6529" s="750" t="s">
        <v>960</v>
      </c>
      <c r="E6529" s="203" t="s">
        <v>529</v>
      </c>
      <c r="F6529" s="769">
        <v>5.6</v>
      </c>
      <c r="G6529" s="205">
        <f t="shared" si="492"/>
        <v>200</v>
      </c>
      <c r="H6529" s="210">
        <f t="shared" si="493"/>
        <v>1120</v>
      </c>
      <c r="L6529" s="200"/>
      <c r="M6529" s="200"/>
      <c r="N6529" s="200"/>
      <c r="O6529" s="200"/>
      <c r="P6529" s="200"/>
    </row>
    <row r="6530" spans="3:20" s="517" customFormat="1" ht="31.2" customHeight="1">
      <c r="C6530" s="207" t="s">
        <v>1214</v>
      </c>
      <c r="D6530" s="208"/>
      <c r="E6530" s="568"/>
      <c r="F6530" s="208"/>
      <c r="G6530" s="209"/>
      <c r="H6530" s="210">
        <f>SUM(H6523:H6529)</f>
        <v>1120</v>
      </c>
      <c r="L6530" s="200"/>
      <c r="M6530" s="200"/>
      <c r="N6530" s="200"/>
      <c r="O6530" s="200"/>
      <c r="P6530" s="200"/>
    </row>
    <row r="6531" spans="3:20" s="517" customFormat="1" ht="31.2" customHeight="1">
      <c r="C6531" s="195" t="s">
        <v>1215</v>
      </c>
      <c r="D6531" s="196" t="s">
        <v>1216</v>
      </c>
      <c r="E6531" s="203"/>
      <c r="F6531" s="197"/>
      <c r="G6531" s="197"/>
      <c r="H6531" s="198"/>
      <c r="L6531" s="200"/>
      <c r="M6531" s="200"/>
      <c r="N6531" s="200"/>
      <c r="O6531" s="200"/>
      <c r="P6531" s="200"/>
    </row>
    <row r="6532" spans="3:20" s="517" customFormat="1" ht="31.2" customHeight="1">
      <c r="C6532" s="201">
        <v>1</v>
      </c>
      <c r="D6532" s="196" t="s">
        <v>5607</v>
      </c>
      <c r="E6532" s="203" t="s">
        <v>1974</v>
      </c>
      <c r="F6532" s="763">
        <v>5.0000000000000001E-4</v>
      </c>
      <c r="G6532" s="205">
        <f>VLOOKUP(D6532,upahbahan,3,FALSE)</f>
        <v>350000</v>
      </c>
      <c r="H6532" s="210">
        <f>F6532*G6532</f>
        <v>175</v>
      </c>
      <c r="L6532" s="200"/>
      <c r="M6532" s="200"/>
      <c r="N6532" s="200"/>
      <c r="O6532" s="200"/>
      <c r="P6532" s="200"/>
    </row>
    <row r="6533" spans="3:20" s="517" customFormat="1" ht="31.2" customHeight="1">
      <c r="C6533" s="207" t="s">
        <v>1217</v>
      </c>
      <c r="D6533" s="208"/>
      <c r="E6533" s="208"/>
      <c r="F6533" s="208"/>
      <c r="G6533" s="209"/>
      <c r="H6533" s="770">
        <f>SUM(H6531:H6532)</f>
        <v>175</v>
      </c>
      <c r="L6533" s="200"/>
      <c r="M6533" s="200"/>
      <c r="N6533" s="200"/>
      <c r="O6533" s="200"/>
      <c r="P6533" s="200"/>
    </row>
    <row r="6534" spans="3:20" s="517" customFormat="1" ht="31.2" customHeight="1">
      <c r="C6534" s="223" t="s">
        <v>1218</v>
      </c>
      <c r="D6534" s="224" t="s">
        <v>1219</v>
      </c>
      <c r="E6534" s="225"/>
      <c r="F6534" s="225"/>
      <c r="G6534" s="226"/>
      <c r="H6534" s="210">
        <f>H6533+H6530+H6521</f>
        <v>1552.925</v>
      </c>
      <c r="L6534" s="200"/>
      <c r="M6534" s="200"/>
      <c r="N6534" s="200"/>
      <c r="O6534" s="200"/>
      <c r="P6534" s="200"/>
    </row>
    <row r="6535" spans="3:20" s="517" customFormat="1" ht="31.2" customHeight="1">
      <c r="C6535" s="223" t="s">
        <v>1220</v>
      </c>
      <c r="D6535" s="224" t="s">
        <v>1321</v>
      </c>
      <c r="E6535" s="225"/>
      <c r="F6535" s="226"/>
      <c r="G6535" s="228">
        <v>0.1</v>
      </c>
      <c r="H6535" s="210">
        <f>H6534*G6535</f>
        <v>155.29250000000002</v>
      </c>
      <c r="L6535" s="200"/>
      <c r="M6535" s="200"/>
      <c r="N6535" s="200"/>
      <c r="O6535" s="200"/>
      <c r="P6535" s="200"/>
    </row>
    <row r="6536" spans="3:20" s="517" customFormat="1" ht="31.2" customHeight="1" thickBot="1">
      <c r="C6536" s="229" t="s">
        <v>1221</v>
      </c>
      <c r="D6536" s="230" t="s">
        <v>1222</v>
      </c>
      <c r="E6536" s="231"/>
      <c r="F6536" s="231"/>
      <c r="G6536" s="232"/>
      <c r="H6536" s="233">
        <f>SUM(H6534:H6535)</f>
        <v>1708.2175</v>
      </c>
      <c r="L6536" s="200"/>
      <c r="M6536" s="200"/>
      <c r="N6536" s="200"/>
      <c r="O6536" s="200"/>
      <c r="P6536" s="200"/>
    </row>
    <row r="6537" spans="3:20" s="517" customFormat="1" ht="31.2" customHeight="1" thickTop="1">
      <c r="C6537" s="757" t="s">
        <v>1247</v>
      </c>
      <c r="D6537" s="758"/>
      <c r="E6537" s="758"/>
      <c r="F6537" s="758"/>
      <c r="G6537" s="758"/>
      <c r="H6537" s="759"/>
      <c r="L6537" s="200"/>
      <c r="M6537" s="200"/>
      <c r="N6537" s="200"/>
      <c r="O6537" s="200"/>
      <c r="P6537" s="200"/>
    </row>
    <row r="6538" spans="3:20" s="517" customFormat="1" ht="31.2" customHeight="1">
      <c r="C6538" s="757" t="s">
        <v>5296</v>
      </c>
      <c r="D6538" s="758" t="s">
        <v>6951</v>
      </c>
      <c r="E6538" s="758"/>
      <c r="F6538" s="758"/>
      <c r="G6538" s="758"/>
      <c r="H6538" s="759"/>
      <c r="L6538" s="200"/>
      <c r="M6538" s="200"/>
      <c r="N6538" s="200"/>
      <c r="O6538" s="200"/>
      <c r="P6538" s="200"/>
    </row>
    <row r="6539" spans="3:20" s="517" customFormat="1" ht="31.2" customHeight="1">
      <c r="C6539" s="757" t="s">
        <v>7575</v>
      </c>
      <c r="D6539" s="758" t="s">
        <v>6952</v>
      </c>
      <c r="E6539" s="758"/>
      <c r="F6539" s="758"/>
      <c r="G6539" s="758"/>
      <c r="H6539" s="759"/>
      <c r="L6539" s="200"/>
      <c r="M6539" s="200"/>
      <c r="N6539" s="200"/>
      <c r="O6539" s="200"/>
      <c r="P6539" s="200"/>
    </row>
    <row r="6540" spans="3:20" s="517" customFormat="1" ht="31.2" customHeight="1">
      <c r="C6540" s="200" t="s">
        <v>7577</v>
      </c>
      <c r="D6540" s="758"/>
      <c r="E6540" s="758"/>
      <c r="F6540" s="758"/>
      <c r="G6540" s="758"/>
      <c r="H6540" s="759"/>
      <c r="L6540" s="200"/>
      <c r="M6540" s="200"/>
      <c r="N6540" s="200"/>
      <c r="O6540" s="200"/>
      <c r="P6540" s="200"/>
    </row>
    <row r="6541" spans="3:20" ht="31.2" customHeight="1"/>
    <row r="6542" spans="3:20" s="517" customFormat="1" ht="31.2" customHeight="1" thickBot="1">
      <c r="C6542" s="513" t="s">
        <v>5719</v>
      </c>
      <c r="D6542" s="748" t="s">
        <v>7584</v>
      </c>
      <c r="E6542" s="749"/>
      <c r="F6542" s="748"/>
      <c r="G6542" s="748"/>
      <c r="H6542" s="532"/>
      <c r="I6542" s="532"/>
      <c r="J6542" s="532"/>
      <c r="K6542" s="532"/>
      <c r="M6542" s="189"/>
      <c r="N6542" s="189"/>
      <c r="O6542" s="189"/>
      <c r="P6542" s="189"/>
      <c r="R6542" s="189">
        <f>ROUNDDOWN(H6563,-2)</f>
        <v>16900</v>
      </c>
      <c r="S6542" s="517" t="s">
        <v>6451</v>
      </c>
      <c r="T6542" s="517" t="s">
        <v>7574</v>
      </c>
    </row>
    <row r="6543" spans="3:20" s="517" customFormat="1" ht="31.2" customHeight="1" thickTop="1">
      <c r="C6543" s="190" t="s">
        <v>1195</v>
      </c>
      <c r="D6543" s="191" t="s">
        <v>1196</v>
      </c>
      <c r="E6543" s="191" t="s">
        <v>1197</v>
      </c>
      <c r="F6543" s="191" t="s">
        <v>1198</v>
      </c>
      <c r="G6543" s="191" t="s">
        <v>1199</v>
      </c>
      <c r="H6543" s="192" t="s">
        <v>1200</v>
      </c>
      <c r="L6543" s="200"/>
      <c r="M6543" s="200"/>
      <c r="N6543" s="200"/>
      <c r="O6543" s="200"/>
      <c r="P6543" s="200"/>
    </row>
    <row r="6544" spans="3:20" s="517" customFormat="1" ht="31.2" customHeight="1">
      <c r="C6544" s="518" t="s">
        <v>1201</v>
      </c>
      <c r="D6544" s="196" t="s">
        <v>1202</v>
      </c>
      <c r="E6544" s="197"/>
      <c r="F6544" s="197"/>
      <c r="G6544" s="197"/>
      <c r="H6544" s="198"/>
      <c r="L6544" s="200"/>
      <c r="M6544" s="200"/>
      <c r="N6544" s="200"/>
      <c r="O6544" s="200"/>
      <c r="P6544" s="200"/>
    </row>
    <row r="6545" spans="3:16" s="517" customFormat="1" ht="31.2" customHeight="1">
      <c r="C6545" s="518">
        <v>1</v>
      </c>
      <c r="D6545" s="196" t="s">
        <v>5</v>
      </c>
      <c r="E6545" s="203" t="s">
        <v>2102</v>
      </c>
      <c r="F6545" s="204">
        <v>2.5000000000000001E-2</v>
      </c>
      <c r="G6545" s="205">
        <f>VLOOKUP(D6545,upahbahan,3,FALSE)</f>
        <v>100000</v>
      </c>
      <c r="H6545" s="210">
        <f t="shared" ref="H6545:H6548" si="494">F6545*G6545</f>
        <v>2500</v>
      </c>
      <c r="L6545" s="200"/>
      <c r="M6545" s="200"/>
      <c r="N6545" s="200"/>
      <c r="O6545" s="200"/>
      <c r="P6545" s="200"/>
    </row>
    <row r="6546" spans="3:16" s="517" customFormat="1" ht="31.2" customHeight="1">
      <c r="C6546" s="537">
        <v>2</v>
      </c>
      <c r="D6546" s="196" t="s">
        <v>6954</v>
      </c>
      <c r="E6546" s="202" t="s">
        <v>6</v>
      </c>
      <c r="F6546" s="520">
        <v>0.05</v>
      </c>
      <c r="G6546" s="205">
        <f>VLOOKUP(D6546,upahbahan,3,FALSE)</f>
        <v>181250</v>
      </c>
      <c r="H6546" s="210">
        <f t="shared" si="494"/>
        <v>9062.5</v>
      </c>
      <c r="L6546" s="200"/>
      <c r="M6546" s="200"/>
      <c r="N6546" s="200"/>
      <c r="O6546" s="200"/>
      <c r="P6546" s="200"/>
    </row>
    <row r="6547" spans="3:16" s="517" customFormat="1" ht="31.2" customHeight="1">
      <c r="C6547" s="537">
        <v>2</v>
      </c>
      <c r="D6547" s="196" t="s">
        <v>6948</v>
      </c>
      <c r="E6547" s="202" t="s">
        <v>6</v>
      </c>
      <c r="F6547" s="520">
        <v>0.01</v>
      </c>
      <c r="G6547" s="205">
        <f>VLOOKUP(D6547,upahbahan,3,FALSE)</f>
        <v>218750</v>
      </c>
      <c r="H6547" s="210">
        <f t="shared" si="494"/>
        <v>2187.5</v>
      </c>
      <c r="L6547" s="200"/>
      <c r="M6547" s="200"/>
      <c r="N6547" s="200"/>
      <c r="O6547" s="200"/>
      <c r="P6547" s="200"/>
    </row>
    <row r="6548" spans="3:16" s="517" customFormat="1" ht="31.2" customHeight="1">
      <c r="C6548" s="537">
        <v>3</v>
      </c>
      <c r="D6548" s="196" t="s">
        <v>19</v>
      </c>
      <c r="E6548" s="202" t="s">
        <v>6</v>
      </c>
      <c r="F6548" s="768">
        <v>3.3E-3</v>
      </c>
      <c r="G6548" s="205">
        <f>VLOOKUP(D6548,upahbahan,3,FALSE)</f>
        <v>160000</v>
      </c>
      <c r="H6548" s="210">
        <f t="shared" si="494"/>
        <v>528</v>
      </c>
      <c r="L6548" s="200"/>
      <c r="M6548" s="200"/>
      <c r="N6548" s="200"/>
      <c r="O6548" s="200"/>
      <c r="P6548" s="200"/>
    </row>
    <row r="6549" spans="3:16" s="517" customFormat="1" ht="31.2" customHeight="1">
      <c r="C6549" s="207" t="s">
        <v>1208</v>
      </c>
      <c r="D6549" s="208"/>
      <c r="E6549" s="208"/>
      <c r="F6549" s="521"/>
      <c r="G6549" s="522"/>
      <c r="H6549" s="210">
        <f>SUM(H6545:H6548)</f>
        <v>14278</v>
      </c>
      <c r="L6549" s="523"/>
      <c r="M6549" s="523"/>
      <c r="N6549" s="523"/>
      <c r="O6549" s="523"/>
      <c r="P6549" s="523"/>
    </row>
    <row r="6550" spans="3:16" s="517" customFormat="1" ht="31.2" customHeight="1">
      <c r="C6550" s="543" t="s">
        <v>1209</v>
      </c>
      <c r="D6550" s="750" t="s">
        <v>1210</v>
      </c>
      <c r="E6550" s="197"/>
      <c r="F6550" s="751"/>
      <c r="G6550" s="197"/>
      <c r="H6550" s="752"/>
      <c r="L6550" s="200"/>
      <c r="M6550" s="200"/>
      <c r="N6550" s="200"/>
      <c r="O6550" s="200"/>
      <c r="P6550" s="200"/>
    </row>
    <row r="6551" spans="3:16" s="517" customFormat="1" ht="31.2" customHeight="1">
      <c r="C6551" s="543">
        <v>1</v>
      </c>
      <c r="D6551" s="750" t="s">
        <v>5604</v>
      </c>
      <c r="E6551" s="203" t="s">
        <v>62</v>
      </c>
      <c r="F6551" s="769">
        <v>1</v>
      </c>
      <c r="G6551" s="205">
        <f t="shared" ref="G6551:G6557" si="495">VLOOKUP(D6551,upahbahan,3,FALSE)</f>
        <v>0</v>
      </c>
      <c r="H6551" s="210">
        <f>F6551*G6551</f>
        <v>0</v>
      </c>
      <c r="L6551" s="200"/>
      <c r="M6551" s="200"/>
      <c r="N6551" s="200"/>
      <c r="O6551" s="200"/>
      <c r="P6551" s="200"/>
    </row>
    <row r="6552" spans="3:16" s="517" customFormat="1" ht="31.2" customHeight="1">
      <c r="C6552" s="543">
        <v>2</v>
      </c>
      <c r="D6552" s="750" t="s">
        <v>7578</v>
      </c>
      <c r="E6552" s="203" t="s">
        <v>65</v>
      </c>
      <c r="F6552" s="769">
        <v>3.0000000000000001E-3</v>
      </c>
      <c r="G6552" s="205">
        <f t="shared" si="495"/>
        <v>0</v>
      </c>
      <c r="H6552" s="210">
        <f t="shared" ref="H6552:H6557" si="496">F6552*G6552</f>
        <v>0</v>
      </c>
      <c r="L6552" s="200"/>
      <c r="M6552" s="200"/>
      <c r="N6552" s="200"/>
      <c r="O6552" s="200"/>
      <c r="P6552" s="200"/>
    </row>
    <row r="6553" spans="3:16" s="517" customFormat="1" ht="31.2" customHeight="1">
      <c r="C6553" s="543">
        <v>3</v>
      </c>
      <c r="D6553" s="750" t="s">
        <v>5617</v>
      </c>
      <c r="E6553" s="203" t="s">
        <v>65</v>
      </c>
      <c r="F6553" s="769">
        <v>1.4999999999999999E-2</v>
      </c>
      <c r="G6553" s="205">
        <f t="shared" si="495"/>
        <v>0</v>
      </c>
      <c r="H6553" s="210">
        <f t="shared" si="496"/>
        <v>0</v>
      </c>
      <c r="L6553" s="200"/>
      <c r="M6553" s="200"/>
      <c r="N6553" s="200"/>
      <c r="O6553" s="200"/>
      <c r="P6553" s="200"/>
    </row>
    <row r="6554" spans="3:16" s="517" customFormat="1" ht="31.2" customHeight="1">
      <c r="C6554" s="543">
        <v>4</v>
      </c>
      <c r="D6554" s="750" t="s">
        <v>5606</v>
      </c>
      <c r="E6554" s="203" t="s">
        <v>65</v>
      </c>
      <c r="F6554" s="769">
        <v>0.3</v>
      </c>
      <c r="G6554" s="205">
        <f t="shared" si="495"/>
        <v>0</v>
      </c>
      <c r="H6554" s="210">
        <f t="shared" si="496"/>
        <v>0</v>
      </c>
      <c r="L6554" s="200"/>
      <c r="M6554" s="200"/>
      <c r="N6554" s="200"/>
      <c r="O6554" s="200"/>
      <c r="P6554" s="200"/>
    </row>
    <row r="6555" spans="3:16" s="517" customFormat="1" ht="31.2" customHeight="1">
      <c r="C6555" s="543">
        <v>5</v>
      </c>
      <c r="D6555" s="750" t="s">
        <v>5561</v>
      </c>
      <c r="E6555" s="203" t="s">
        <v>65</v>
      </c>
      <c r="F6555" s="769">
        <v>0.6</v>
      </c>
      <c r="G6555" s="205">
        <f t="shared" si="495"/>
        <v>0</v>
      </c>
      <c r="H6555" s="210">
        <f t="shared" si="496"/>
        <v>0</v>
      </c>
      <c r="L6555" s="200"/>
      <c r="M6555" s="200"/>
      <c r="N6555" s="200"/>
      <c r="O6555" s="200"/>
      <c r="P6555" s="200"/>
    </row>
    <row r="6556" spans="3:16" s="517" customFormat="1" ht="31.2" customHeight="1">
      <c r="C6556" s="543">
        <v>6</v>
      </c>
      <c r="D6556" s="750" t="s">
        <v>7576</v>
      </c>
      <c r="E6556" s="203" t="s">
        <v>65</v>
      </c>
      <c r="F6556" s="769">
        <v>4.0000000000000001E-3</v>
      </c>
      <c r="G6556" s="205">
        <f t="shared" si="495"/>
        <v>0</v>
      </c>
      <c r="H6556" s="210">
        <f t="shared" si="496"/>
        <v>0</v>
      </c>
      <c r="L6556" s="200"/>
      <c r="M6556" s="200"/>
      <c r="N6556" s="200"/>
      <c r="O6556" s="200"/>
      <c r="P6556" s="200"/>
    </row>
    <row r="6557" spans="3:16" s="517" customFormat="1" ht="31.2" customHeight="1">
      <c r="C6557" s="543">
        <v>7</v>
      </c>
      <c r="D6557" s="750" t="s">
        <v>960</v>
      </c>
      <c r="E6557" s="203" t="s">
        <v>529</v>
      </c>
      <c r="F6557" s="769">
        <v>5.6</v>
      </c>
      <c r="G6557" s="205">
        <f t="shared" si="495"/>
        <v>200</v>
      </c>
      <c r="H6557" s="210">
        <f t="shared" si="496"/>
        <v>1120</v>
      </c>
      <c r="L6557" s="200"/>
      <c r="M6557" s="200"/>
      <c r="N6557" s="200"/>
      <c r="O6557" s="200"/>
      <c r="P6557" s="200"/>
    </row>
    <row r="6558" spans="3:16" s="517" customFormat="1" ht="31.2" customHeight="1">
      <c r="C6558" s="207" t="s">
        <v>1214</v>
      </c>
      <c r="D6558" s="208"/>
      <c r="E6558" s="568"/>
      <c r="F6558" s="208"/>
      <c r="G6558" s="209"/>
      <c r="H6558" s="210">
        <f>SUM(H6551:H6557)</f>
        <v>1120</v>
      </c>
      <c r="L6558" s="200"/>
      <c r="M6558" s="200"/>
      <c r="N6558" s="200"/>
      <c r="O6558" s="200"/>
      <c r="P6558" s="200"/>
    </row>
    <row r="6559" spans="3:16" s="517" customFormat="1" ht="31.2" customHeight="1">
      <c r="C6559" s="195" t="s">
        <v>1215</v>
      </c>
      <c r="D6559" s="196" t="s">
        <v>1216</v>
      </c>
      <c r="E6559" s="203"/>
      <c r="F6559" s="197"/>
      <c r="G6559" s="197"/>
      <c r="H6559" s="198"/>
      <c r="L6559" s="200"/>
      <c r="M6559" s="200"/>
      <c r="N6559" s="200"/>
      <c r="O6559" s="200"/>
      <c r="P6559" s="200"/>
    </row>
    <row r="6560" spans="3:16" s="517" customFormat="1" ht="31.2" customHeight="1">
      <c r="C6560" s="207" t="s">
        <v>1217</v>
      </c>
      <c r="D6560" s="208"/>
      <c r="E6560" s="208"/>
      <c r="F6560" s="208"/>
      <c r="G6560" s="209"/>
      <c r="H6560" s="770">
        <f>SUM(H6559:H6559)</f>
        <v>0</v>
      </c>
      <c r="L6560" s="200"/>
      <c r="M6560" s="200"/>
      <c r="N6560" s="200"/>
      <c r="O6560" s="200"/>
      <c r="P6560" s="200"/>
    </row>
    <row r="6561" spans="3:20" s="517" customFormat="1" ht="31.2" customHeight="1">
      <c r="C6561" s="223" t="s">
        <v>1218</v>
      </c>
      <c r="D6561" s="224" t="s">
        <v>1219</v>
      </c>
      <c r="E6561" s="225"/>
      <c r="F6561" s="225"/>
      <c r="G6561" s="226"/>
      <c r="H6561" s="210">
        <f>H6560+H6558+H6549</f>
        <v>15398</v>
      </c>
      <c r="L6561" s="200"/>
      <c r="M6561" s="200"/>
      <c r="N6561" s="200"/>
      <c r="O6561" s="200"/>
      <c r="P6561" s="200"/>
    </row>
    <row r="6562" spans="3:20" s="517" customFormat="1" ht="31.2" customHeight="1">
      <c r="C6562" s="223" t="s">
        <v>1220</v>
      </c>
      <c r="D6562" s="224" t="s">
        <v>1321</v>
      </c>
      <c r="E6562" s="225"/>
      <c r="F6562" s="226"/>
      <c r="G6562" s="228">
        <v>0.1</v>
      </c>
      <c r="H6562" s="210">
        <f>H6561*G6562</f>
        <v>1539.8000000000002</v>
      </c>
      <c r="L6562" s="200"/>
      <c r="M6562" s="200"/>
      <c r="N6562" s="200"/>
      <c r="O6562" s="200"/>
      <c r="P6562" s="200"/>
    </row>
    <row r="6563" spans="3:20" s="517" customFormat="1" ht="31.2" customHeight="1" thickBot="1">
      <c r="C6563" s="229" t="s">
        <v>1221</v>
      </c>
      <c r="D6563" s="230" t="s">
        <v>1222</v>
      </c>
      <c r="E6563" s="231"/>
      <c r="F6563" s="231"/>
      <c r="G6563" s="232"/>
      <c r="H6563" s="233">
        <f>SUM(H6561:H6562)</f>
        <v>16937.8</v>
      </c>
      <c r="L6563" s="200"/>
      <c r="M6563" s="200"/>
      <c r="N6563" s="200"/>
      <c r="O6563" s="200"/>
      <c r="P6563" s="200"/>
    </row>
    <row r="6564" spans="3:20" s="517" customFormat="1" ht="31.2" customHeight="1" thickTop="1">
      <c r="C6564" s="757" t="s">
        <v>1247</v>
      </c>
      <c r="D6564" s="758"/>
      <c r="E6564" s="758"/>
      <c r="F6564" s="758"/>
      <c r="G6564" s="758"/>
      <c r="H6564" s="759"/>
      <c r="L6564" s="200"/>
      <c r="M6564" s="200"/>
      <c r="N6564" s="200"/>
      <c r="O6564" s="200"/>
      <c r="P6564" s="200"/>
    </row>
    <row r="6565" spans="3:20" s="517" customFormat="1" ht="31.2" customHeight="1">
      <c r="C6565" s="757" t="s">
        <v>5296</v>
      </c>
      <c r="D6565" s="758" t="s">
        <v>6951</v>
      </c>
      <c r="E6565" s="758"/>
      <c r="F6565" s="758"/>
      <c r="G6565" s="758"/>
      <c r="H6565" s="759"/>
      <c r="L6565" s="200"/>
      <c r="M6565" s="200"/>
      <c r="N6565" s="200"/>
      <c r="O6565" s="200"/>
      <c r="P6565" s="200"/>
    </row>
    <row r="6566" spans="3:20" s="517" customFormat="1" ht="31.2" customHeight="1">
      <c r="C6566" s="757" t="s">
        <v>7575</v>
      </c>
      <c r="D6566" s="758" t="s">
        <v>6952</v>
      </c>
      <c r="E6566" s="758"/>
      <c r="F6566" s="758"/>
      <c r="G6566" s="758"/>
      <c r="H6566" s="759"/>
      <c r="L6566" s="200"/>
      <c r="M6566" s="200"/>
      <c r="N6566" s="200"/>
      <c r="O6566" s="200"/>
      <c r="P6566" s="200"/>
    </row>
    <row r="6567" spans="3:20" s="517" customFormat="1" ht="31.2" customHeight="1">
      <c r="C6567" s="200" t="s">
        <v>7577</v>
      </c>
      <c r="D6567" s="758"/>
      <c r="E6567" s="758"/>
      <c r="F6567" s="758"/>
      <c r="G6567" s="758"/>
      <c r="H6567" s="759"/>
      <c r="L6567" s="200"/>
      <c r="M6567" s="200"/>
      <c r="N6567" s="200"/>
      <c r="O6567" s="200"/>
      <c r="P6567" s="200"/>
    </row>
    <row r="6568" spans="3:20" ht="31.2" customHeight="1"/>
    <row r="6569" spans="3:20" s="517" customFormat="1" ht="31.2" customHeight="1" thickBot="1">
      <c r="C6569" s="513" t="s">
        <v>5618</v>
      </c>
      <c r="D6569" s="748" t="s">
        <v>7585</v>
      </c>
      <c r="E6569" s="749"/>
      <c r="F6569" s="748"/>
      <c r="G6569" s="748"/>
      <c r="H6569" s="532"/>
      <c r="I6569" s="532"/>
      <c r="J6569" s="532"/>
      <c r="K6569" s="532"/>
      <c r="M6569" s="189"/>
      <c r="N6569" s="189"/>
      <c r="O6569" s="189"/>
      <c r="P6569" s="189"/>
      <c r="R6569" s="189">
        <f>ROUNDDOWN(H6591,-2)</f>
        <v>1900</v>
      </c>
      <c r="S6569" s="517" t="s">
        <v>6451</v>
      </c>
      <c r="T6569" s="517" t="s">
        <v>7572</v>
      </c>
    </row>
    <row r="6570" spans="3:20" s="517" customFormat="1" ht="31.2" customHeight="1" thickTop="1">
      <c r="C6570" s="190" t="s">
        <v>1195</v>
      </c>
      <c r="D6570" s="191" t="s">
        <v>1196</v>
      </c>
      <c r="E6570" s="191" t="s">
        <v>1197</v>
      </c>
      <c r="F6570" s="191" t="s">
        <v>1198</v>
      </c>
      <c r="G6570" s="191" t="s">
        <v>1199</v>
      </c>
      <c r="H6570" s="192" t="s">
        <v>1200</v>
      </c>
      <c r="L6570" s="200"/>
      <c r="M6570" s="200"/>
      <c r="N6570" s="200"/>
      <c r="O6570" s="200"/>
      <c r="P6570" s="200"/>
    </row>
    <row r="6571" spans="3:20" s="517" customFormat="1" ht="31.2" customHeight="1">
      <c r="C6571" s="518" t="s">
        <v>1201</v>
      </c>
      <c r="D6571" s="196" t="s">
        <v>1202</v>
      </c>
      <c r="E6571" s="197"/>
      <c r="F6571" s="197"/>
      <c r="G6571" s="197"/>
      <c r="H6571" s="198"/>
      <c r="L6571" s="200"/>
      <c r="M6571" s="200"/>
      <c r="N6571" s="200"/>
      <c r="O6571" s="200"/>
      <c r="P6571" s="200"/>
    </row>
    <row r="6572" spans="3:20" s="517" customFormat="1" ht="31.2" customHeight="1">
      <c r="C6572" s="518">
        <v>1</v>
      </c>
      <c r="D6572" s="196" t="s">
        <v>5</v>
      </c>
      <c r="E6572" s="203" t="s">
        <v>2102</v>
      </c>
      <c r="F6572" s="204">
        <v>1E-3</v>
      </c>
      <c r="G6572" s="205">
        <f>VLOOKUP(D6572,upahbahan,3,FALSE)</f>
        <v>100000</v>
      </c>
      <c r="H6572" s="210">
        <f t="shared" ref="H6572:H6575" si="497">F6572*G6572</f>
        <v>100</v>
      </c>
      <c r="L6572" s="200"/>
      <c r="M6572" s="200"/>
      <c r="N6572" s="200"/>
      <c r="O6572" s="200"/>
      <c r="P6572" s="200"/>
    </row>
    <row r="6573" spans="3:20" s="517" customFormat="1" ht="31.2" customHeight="1">
      <c r="C6573" s="537">
        <v>2</v>
      </c>
      <c r="D6573" s="196" t="s">
        <v>6954</v>
      </c>
      <c r="E6573" s="202" t="s">
        <v>6</v>
      </c>
      <c r="F6573" s="520">
        <v>2E-3</v>
      </c>
      <c r="G6573" s="205">
        <f>VLOOKUP(D6573,upahbahan,3,FALSE)</f>
        <v>181250</v>
      </c>
      <c r="H6573" s="210">
        <f t="shared" si="497"/>
        <v>362.5</v>
      </c>
      <c r="L6573" s="200"/>
      <c r="M6573" s="200"/>
      <c r="N6573" s="200"/>
      <c r="O6573" s="200"/>
      <c r="P6573" s="200"/>
    </row>
    <row r="6574" spans="3:20" s="517" customFormat="1" ht="31.2" customHeight="1">
      <c r="C6574" s="537">
        <v>2</v>
      </c>
      <c r="D6574" s="196" t="s">
        <v>6948</v>
      </c>
      <c r="E6574" s="202" t="s">
        <v>6</v>
      </c>
      <c r="F6574" s="520">
        <v>2.0000000000000001E-4</v>
      </c>
      <c r="G6574" s="205">
        <f>VLOOKUP(D6574,upahbahan,3,FALSE)</f>
        <v>218750</v>
      </c>
      <c r="H6574" s="210">
        <f t="shared" si="497"/>
        <v>43.75</v>
      </c>
      <c r="L6574" s="200"/>
      <c r="M6574" s="200"/>
      <c r="N6574" s="200"/>
      <c r="O6574" s="200"/>
      <c r="P6574" s="200"/>
    </row>
    <row r="6575" spans="3:20" s="517" customFormat="1" ht="31.2" customHeight="1">
      <c r="C6575" s="537">
        <v>3</v>
      </c>
      <c r="D6575" s="196" t="s">
        <v>19</v>
      </c>
      <c r="E6575" s="202" t="s">
        <v>6</v>
      </c>
      <c r="F6575" s="771">
        <v>6.7000000000000002E-5</v>
      </c>
      <c r="G6575" s="205">
        <f>VLOOKUP(D6575,upahbahan,3,FALSE)</f>
        <v>160000</v>
      </c>
      <c r="H6575" s="210">
        <f t="shared" si="497"/>
        <v>10.72</v>
      </c>
      <c r="L6575" s="200"/>
      <c r="M6575" s="200"/>
      <c r="N6575" s="200"/>
      <c r="O6575" s="200"/>
      <c r="P6575" s="200"/>
    </row>
    <row r="6576" spans="3:20" s="517" customFormat="1" ht="31.2" customHeight="1">
      <c r="C6576" s="207" t="s">
        <v>1208</v>
      </c>
      <c r="D6576" s="208"/>
      <c r="E6576" s="208"/>
      <c r="F6576" s="521"/>
      <c r="G6576" s="522"/>
      <c r="H6576" s="210">
        <f>SUM(H6572:H6575)</f>
        <v>516.97</v>
      </c>
      <c r="L6576" s="523"/>
      <c r="M6576" s="523"/>
      <c r="N6576" s="523"/>
      <c r="O6576" s="523"/>
      <c r="P6576" s="523"/>
    </row>
    <row r="6577" spans="3:16" s="517" customFormat="1" ht="31.2" customHeight="1">
      <c r="C6577" s="543" t="s">
        <v>1209</v>
      </c>
      <c r="D6577" s="750" t="s">
        <v>1210</v>
      </c>
      <c r="E6577" s="197"/>
      <c r="F6577" s="751"/>
      <c r="G6577" s="197"/>
      <c r="H6577" s="752"/>
      <c r="L6577" s="200"/>
      <c r="M6577" s="200"/>
      <c r="N6577" s="200"/>
      <c r="O6577" s="200"/>
      <c r="P6577" s="200"/>
    </row>
    <row r="6578" spans="3:16" s="517" customFormat="1" ht="31.2" customHeight="1">
      <c r="C6578" s="543">
        <v>1</v>
      </c>
      <c r="D6578" s="750" t="s">
        <v>5611</v>
      </c>
      <c r="E6578" s="203" t="s">
        <v>62</v>
      </c>
      <c r="F6578" s="769">
        <v>1</v>
      </c>
      <c r="G6578" s="205">
        <f t="shared" ref="G6578:G6584" si="498">VLOOKUP(D6578,upahbahan,3,FALSE)</f>
        <v>0</v>
      </c>
      <c r="H6578" s="210">
        <f>F6578*G6578</f>
        <v>0</v>
      </c>
      <c r="L6578" s="200"/>
      <c r="M6578" s="200"/>
      <c r="N6578" s="200"/>
      <c r="O6578" s="200"/>
      <c r="P6578" s="200"/>
    </row>
    <row r="6579" spans="3:16" s="517" customFormat="1" ht="31.2" customHeight="1">
      <c r="C6579" s="543">
        <v>2</v>
      </c>
      <c r="D6579" s="750" t="s">
        <v>5608</v>
      </c>
      <c r="E6579" s="203" t="s">
        <v>65</v>
      </c>
      <c r="F6579" s="769">
        <v>3.0000000000000001E-3</v>
      </c>
      <c r="G6579" s="205">
        <f t="shared" si="498"/>
        <v>0</v>
      </c>
      <c r="H6579" s="210">
        <f t="shared" ref="H6579:H6584" si="499">F6579*G6579</f>
        <v>0</v>
      </c>
      <c r="L6579" s="200"/>
      <c r="M6579" s="200"/>
      <c r="N6579" s="200"/>
      <c r="O6579" s="200"/>
      <c r="P6579" s="200"/>
    </row>
    <row r="6580" spans="3:16" s="517" customFormat="1" ht="31.2" customHeight="1">
      <c r="C6580" s="543">
        <v>3</v>
      </c>
      <c r="D6580" s="750" t="s">
        <v>5617</v>
      </c>
      <c r="E6580" s="203" t="s">
        <v>65</v>
      </c>
      <c r="F6580" s="769">
        <v>1.4999999999999999E-2</v>
      </c>
      <c r="G6580" s="205">
        <f t="shared" si="498"/>
        <v>0</v>
      </c>
      <c r="H6580" s="210">
        <f t="shared" si="499"/>
        <v>0</v>
      </c>
      <c r="L6580" s="200"/>
      <c r="M6580" s="200"/>
      <c r="N6580" s="200"/>
      <c r="O6580" s="200"/>
      <c r="P6580" s="200"/>
    </row>
    <row r="6581" spans="3:16" s="517" customFormat="1" ht="31.2" customHeight="1">
      <c r="C6581" s="543">
        <v>4</v>
      </c>
      <c r="D6581" s="750" t="s">
        <v>5606</v>
      </c>
      <c r="E6581" s="203" t="s">
        <v>65</v>
      </c>
      <c r="F6581" s="769">
        <v>0.3</v>
      </c>
      <c r="G6581" s="205">
        <f t="shared" si="498"/>
        <v>0</v>
      </c>
      <c r="H6581" s="210">
        <f t="shared" si="499"/>
        <v>0</v>
      </c>
      <c r="L6581" s="200"/>
      <c r="M6581" s="200"/>
      <c r="N6581" s="200"/>
      <c r="O6581" s="200"/>
      <c r="P6581" s="200"/>
    </row>
    <row r="6582" spans="3:16" s="517" customFormat="1" ht="31.2" customHeight="1">
      <c r="C6582" s="543">
        <v>5</v>
      </c>
      <c r="D6582" s="750" t="s">
        <v>5561</v>
      </c>
      <c r="E6582" s="203" t="s">
        <v>65</v>
      </c>
      <c r="F6582" s="769">
        <v>0.8</v>
      </c>
      <c r="G6582" s="205">
        <f t="shared" si="498"/>
        <v>0</v>
      </c>
      <c r="H6582" s="210">
        <f t="shared" si="499"/>
        <v>0</v>
      </c>
      <c r="L6582" s="200"/>
      <c r="M6582" s="200"/>
      <c r="N6582" s="200"/>
      <c r="O6582" s="200"/>
      <c r="P6582" s="200"/>
    </row>
    <row r="6583" spans="3:16" s="517" customFormat="1" ht="31.2" customHeight="1">
      <c r="C6583" s="543">
        <v>6</v>
      </c>
      <c r="D6583" s="750" t="s">
        <v>7576</v>
      </c>
      <c r="E6583" s="203" t="s">
        <v>65</v>
      </c>
      <c r="F6583" s="769">
        <v>4.0000000000000001E-3</v>
      </c>
      <c r="G6583" s="205">
        <f t="shared" si="498"/>
        <v>0</v>
      </c>
      <c r="H6583" s="210">
        <f t="shared" si="499"/>
        <v>0</v>
      </c>
      <c r="L6583" s="200"/>
      <c r="M6583" s="200"/>
      <c r="N6583" s="200"/>
      <c r="O6583" s="200"/>
      <c r="P6583" s="200"/>
    </row>
    <row r="6584" spans="3:16" s="517" customFormat="1" ht="31.2" customHeight="1">
      <c r="C6584" s="543">
        <v>7</v>
      </c>
      <c r="D6584" s="750" t="s">
        <v>960</v>
      </c>
      <c r="E6584" s="203" t="s">
        <v>529</v>
      </c>
      <c r="F6584" s="769">
        <v>5.6</v>
      </c>
      <c r="G6584" s="205">
        <f t="shared" si="498"/>
        <v>200</v>
      </c>
      <c r="H6584" s="210">
        <f t="shared" si="499"/>
        <v>1120</v>
      </c>
      <c r="L6584" s="200"/>
      <c r="M6584" s="200"/>
      <c r="N6584" s="200"/>
      <c r="O6584" s="200"/>
      <c r="P6584" s="200"/>
    </row>
    <row r="6585" spans="3:16" s="517" customFormat="1" ht="31.2" customHeight="1">
      <c r="C6585" s="207" t="s">
        <v>1214</v>
      </c>
      <c r="D6585" s="208"/>
      <c r="E6585" s="568"/>
      <c r="F6585" s="208"/>
      <c r="G6585" s="209"/>
      <c r="H6585" s="210">
        <f>SUM(H6578:H6584)</f>
        <v>1120</v>
      </c>
      <c r="L6585" s="200"/>
      <c r="M6585" s="200"/>
      <c r="N6585" s="200"/>
      <c r="O6585" s="200"/>
      <c r="P6585" s="200"/>
    </row>
    <row r="6586" spans="3:16" s="517" customFormat="1" ht="31.2" customHeight="1">
      <c r="C6586" s="195" t="s">
        <v>1215</v>
      </c>
      <c r="D6586" s="196" t="s">
        <v>1216</v>
      </c>
      <c r="E6586" s="203"/>
      <c r="F6586" s="197"/>
      <c r="G6586" s="197"/>
      <c r="H6586" s="198"/>
      <c r="L6586" s="200"/>
      <c r="M6586" s="200"/>
      <c r="N6586" s="200"/>
      <c r="O6586" s="200"/>
      <c r="P6586" s="200"/>
    </row>
    <row r="6587" spans="3:16" s="517" customFormat="1" ht="31.2" customHeight="1">
      <c r="C6587" s="201">
        <v>1</v>
      </c>
      <c r="D6587" s="196" t="s">
        <v>5607</v>
      </c>
      <c r="E6587" s="203" t="s">
        <v>1974</v>
      </c>
      <c r="F6587" s="763">
        <v>5.0000000000000001E-4</v>
      </c>
      <c r="G6587" s="205">
        <f>VLOOKUP(D6587,upahbahan,3,FALSE)</f>
        <v>350000</v>
      </c>
      <c r="H6587" s="210">
        <f>F6587*G6587</f>
        <v>175</v>
      </c>
      <c r="L6587" s="200"/>
      <c r="M6587" s="200"/>
      <c r="N6587" s="200"/>
      <c r="O6587" s="200"/>
      <c r="P6587" s="200"/>
    </row>
    <row r="6588" spans="3:16" s="517" customFormat="1" ht="31.2" customHeight="1">
      <c r="C6588" s="207" t="s">
        <v>1217</v>
      </c>
      <c r="D6588" s="208"/>
      <c r="E6588" s="208"/>
      <c r="F6588" s="208"/>
      <c r="G6588" s="209"/>
      <c r="H6588" s="770">
        <f>SUM(H6586:H6587)</f>
        <v>175</v>
      </c>
      <c r="L6588" s="200"/>
      <c r="M6588" s="200"/>
      <c r="N6588" s="200"/>
      <c r="O6588" s="200"/>
      <c r="P6588" s="200"/>
    </row>
    <row r="6589" spans="3:16" s="517" customFormat="1" ht="31.2" customHeight="1">
      <c r="C6589" s="223" t="s">
        <v>1218</v>
      </c>
      <c r="D6589" s="224" t="s">
        <v>1219</v>
      </c>
      <c r="E6589" s="225"/>
      <c r="F6589" s="225"/>
      <c r="G6589" s="226"/>
      <c r="H6589" s="210">
        <f>H6588+H6585+H6576</f>
        <v>1811.97</v>
      </c>
      <c r="L6589" s="200"/>
      <c r="M6589" s="200"/>
      <c r="N6589" s="200"/>
      <c r="O6589" s="200"/>
      <c r="P6589" s="200"/>
    </row>
    <row r="6590" spans="3:16" s="517" customFormat="1" ht="31.2" customHeight="1">
      <c r="C6590" s="223" t="s">
        <v>1220</v>
      </c>
      <c r="D6590" s="224" t="s">
        <v>1321</v>
      </c>
      <c r="E6590" s="225"/>
      <c r="F6590" s="226"/>
      <c r="G6590" s="228">
        <v>0.1</v>
      </c>
      <c r="H6590" s="210">
        <f>H6589*G6590</f>
        <v>181.197</v>
      </c>
      <c r="L6590" s="200"/>
      <c r="M6590" s="200"/>
      <c r="N6590" s="200"/>
      <c r="O6590" s="200"/>
      <c r="P6590" s="200"/>
    </row>
    <row r="6591" spans="3:16" s="517" customFormat="1" ht="31.2" customHeight="1" thickBot="1">
      <c r="C6591" s="229" t="s">
        <v>1221</v>
      </c>
      <c r="D6591" s="230" t="s">
        <v>1222</v>
      </c>
      <c r="E6591" s="231"/>
      <c r="F6591" s="231"/>
      <c r="G6591" s="232"/>
      <c r="H6591" s="233">
        <f>SUM(H6589:H6590)</f>
        <v>1993.1669999999999</v>
      </c>
      <c r="L6591" s="200"/>
      <c r="M6591" s="200"/>
      <c r="N6591" s="200"/>
      <c r="O6591" s="200"/>
      <c r="P6591" s="200"/>
    </row>
    <row r="6592" spans="3:16" s="517" customFormat="1" ht="31.2" customHeight="1" thickTop="1">
      <c r="C6592" s="757" t="s">
        <v>1247</v>
      </c>
      <c r="D6592" s="758"/>
      <c r="E6592" s="758"/>
      <c r="F6592" s="758"/>
      <c r="G6592" s="758"/>
      <c r="H6592" s="759"/>
      <c r="L6592" s="200"/>
      <c r="M6592" s="200"/>
      <c r="N6592" s="200"/>
      <c r="O6592" s="200"/>
      <c r="P6592" s="200"/>
    </row>
    <row r="6593" spans="3:20" s="517" customFormat="1" ht="31.2" customHeight="1">
      <c r="C6593" s="757" t="s">
        <v>5296</v>
      </c>
      <c r="D6593" s="758" t="s">
        <v>6951</v>
      </c>
      <c r="E6593" s="758"/>
      <c r="F6593" s="758"/>
      <c r="G6593" s="758"/>
      <c r="H6593" s="759"/>
      <c r="L6593" s="200"/>
      <c r="M6593" s="200"/>
      <c r="N6593" s="200"/>
      <c r="O6593" s="200"/>
      <c r="P6593" s="200"/>
    </row>
    <row r="6594" spans="3:20" s="517" customFormat="1" ht="31.2" customHeight="1">
      <c r="C6594" s="757" t="s">
        <v>7575</v>
      </c>
      <c r="D6594" s="758" t="s">
        <v>6952</v>
      </c>
      <c r="E6594" s="758"/>
      <c r="F6594" s="758"/>
      <c r="G6594" s="758"/>
      <c r="H6594" s="759"/>
      <c r="L6594" s="200"/>
      <c r="M6594" s="200"/>
      <c r="N6594" s="200"/>
      <c r="O6594" s="200"/>
      <c r="P6594" s="200"/>
    </row>
    <row r="6595" spans="3:20" s="517" customFormat="1" ht="31.2" customHeight="1">
      <c r="C6595" s="200" t="s">
        <v>7577</v>
      </c>
      <c r="D6595" s="758"/>
      <c r="E6595" s="758"/>
      <c r="F6595" s="758"/>
      <c r="G6595" s="758"/>
      <c r="H6595" s="759"/>
      <c r="L6595" s="200"/>
      <c r="M6595" s="200"/>
      <c r="N6595" s="200"/>
      <c r="O6595" s="200"/>
      <c r="P6595" s="200"/>
    </row>
    <row r="6596" spans="3:20" ht="31.2" customHeight="1"/>
    <row r="6597" spans="3:20" s="517" customFormat="1" ht="31.2" customHeight="1" thickBot="1">
      <c r="C6597" s="513" t="s">
        <v>5619</v>
      </c>
      <c r="D6597" s="748" t="s">
        <v>7586</v>
      </c>
      <c r="E6597" s="749"/>
      <c r="F6597" s="748"/>
      <c r="G6597" s="748"/>
      <c r="H6597" s="532"/>
      <c r="I6597" s="532"/>
      <c r="J6597" s="532"/>
      <c r="K6597" s="532"/>
      <c r="M6597" s="189"/>
      <c r="N6597" s="189"/>
      <c r="O6597" s="189"/>
      <c r="P6597" s="189"/>
      <c r="R6597" s="189">
        <f>ROUNDDOWN(H6618,-2)</f>
        <v>14700</v>
      </c>
      <c r="S6597" s="517" t="s">
        <v>6451</v>
      </c>
      <c r="T6597" s="517" t="s">
        <v>7574</v>
      </c>
    </row>
    <row r="6598" spans="3:20" s="517" customFormat="1" ht="31.2" customHeight="1" thickTop="1">
      <c r="C6598" s="190" t="s">
        <v>1195</v>
      </c>
      <c r="D6598" s="191" t="s">
        <v>1196</v>
      </c>
      <c r="E6598" s="191" t="s">
        <v>1197</v>
      </c>
      <c r="F6598" s="191" t="s">
        <v>1198</v>
      </c>
      <c r="G6598" s="191" t="s">
        <v>1199</v>
      </c>
      <c r="H6598" s="192" t="s">
        <v>1200</v>
      </c>
      <c r="L6598" s="200"/>
      <c r="M6598" s="200"/>
      <c r="N6598" s="200"/>
      <c r="O6598" s="200"/>
      <c r="P6598" s="200"/>
    </row>
    <row r="6599" spans="3:20" s="517" customFormat="1" ht="31.2" customHeight="1">
      <c r="C6599" s="518" t="s">
        <v>1201</v>
      </c>
      <c r="D6599" s="196" t="s">
        <v>1202</v>
      </c>
      <c r="E6599" s="197"/>
      <c r="F6599" s="197"/>
      <c r="G6599" s="197"/>
      <c r="H6599" s="198"/>
      <c r="L6599" s="200"/>
      <c r="M6599" s="200"/>
      <c r="N6599" s="200"/>
      <c r="O6599" s="200"/>
      <c r="P6599" s="200"/>
    </row>
    <row r="6600" spans="3:20" s="517" customFormat="1" ht="31.2" customHeight="1">
      <c r="C6600" s="518">
        <v>1</v>
      </c>
      <c r="D6600" s="196" t="s">
        <v>5</v>
      </c>
      <c r="E6600" s="203" t="s">
        <v>2102</v>
      </c>
      <c r="F6600" s="204">
        <v>0.05</v>
      </c>
      <c r="G6600" s="205">
        <f>VLOOKUP(D6600,upahbahan,3,FALSE)</f>
        <v>100000</v>
      </c>
      <c r="H6600" s="210">
        <f t="shared" ref="H6600:H6603" si="500">F6600*G6600</f>
        <v>5000</v>
      </c>
      <c r="L6600" s="200"/>
      <c r="M6600" s="200"/>
      <c r="N6600" s="200"/>
      <c r="O6600" s="200"/>
      <c r="P6600" s="200"/>
    </row>
    <row r="6601" spans="3:20" s="517" customFormat="1" ht="31.2" customHeight="1">
      <c r="C6601" s="537">
        <v>2</v>
      </c>
      <c r="D6601" s="196" t="s">
        <v>6954</v>
      </c>
      <c r="E6601" s="202" t="s">
        <v>6</v>
      </c>
      <c r="F6601" s="520">
        <v>0.01</v>
      </c>
      <c r="G6601" s="205">
        <f>VLOOKUP(D6601,upahbahan,3,FALSE)</f>
        <v>181250</v>
      </c>
      <c r="H6601" s="210">
        <f t="shared" si="500"/>
        <v>1812.5</v>
      </c>
      <c r="L6601" s="200"/>
      <c r="M6601" s="200"/>
      <c r="N6601" s="200"/>
      <c r="O6601" s="200"/>
      <c r="P6601" s="200"/>
    </row>
    <row r="6602" spans="3:20" s="517" customFormat="1" ht="31.2" customHeight="1">
      <c r="C6602" s="537">
        <v>2</v>
      </c>
      <c r="D6602" s="196" t="s">
        <v>6948</v>
      </c>
      <c r="E6602" s="202" t="s">
        <v>6</v>
      </c>
      <c r="F6602" s="520">
        <v>0.02</v>
      </c>
      <c r="G6602" s="205">
        <f>VLOOKUP(D6602,upahbahan,3,FALSE)</f>
        <v>218750</v>
      </c>
      <c r="H6602" s="210">
        <f t="shared" si="500"/>
        <v>4375</v>
      </c>
      <c r="L6602" s="200"/>
      <c r="M6602" s="200"/>
      <c r="N6602" s="200"/>
      <c r="O6602" s="200"/>
      <c r="P6602" s="200"/>
    </row>
    <row r="6603" spans="3:20" s="517" customFormat="1" ht="31.2" customHeight="1">
      <c r="C6603" s="537">
        <v>3</v>
      </c>
      <c r="D6603" s="196" t="s">
        <v>19</v>
      </c>
      <c r="E6603" s="202" t="s">
        <v>6</v>
      </c>
      <c r="F6603" s="768">
        <v>6.7000000000000002E-3</v>
      </c>
      <c r="G6603" s="205">
        <f>VLOOKUP(D6603,upahbahan,3,FALSE)</f>
        <v>160000</v>
      </c>
      <c r="H6603" s="210">
        <f t="shared" si="500"/>
        <v>1072</v>
      </c>
      <c r="L6603" s="200"/>
      <c r="M6603" s="200"/>
      <c r="N6603" s="200"/>
      <c r="O6603" s="200"/>
      <c r="P6603" s="200"/>
    </row>
    <row r="6604" spans="3:20" s="517" customFormat="1" ht="31.2" customHeight="1">
      <c r="C6604" s="207" t="s">
        <v>1208</v>
      </c>
      <c r="D6604" s="208"/>
      <c r="E6604" s="208"/>
      <c r="F6604" s="521"/>
      <c r="G6604" s="522"/>
      <c r="H6604" s="210">
        <f>SUM(H6600:H6603)</f>
        <v>12259.5</v>
      </c>
      <c r="L6604" s="523"/>
      <c r="M6604" s="523"/>
      <c r="N6604" s="523"/>
      <c r="O6604" s="523"/>
      <c r="P6604" s="523"/>
    </row>
    <row r="6605" spans="3:20" s="517" customFormat="1" ht="31.2" customHeight="1">
      <c r="C6605" s="543" t="s">
        <v>1209</v>
      </c>
      <c r="D6605" s="750" t="s">
        <v>1210</v>
      </c>
      <c r="E6605" s="197"/>
      <c r="F6605" s="751"/>
      <c r="G6605" s="197"/>
      <c r="H6605" s="752"/>
      <c r="L6605" s="200"/>
      <c r="M6605" s="200"/>
      <c r="N6605" s="200"/>
      <c r="O6605" s="200"/>
      <c r="P6605" s="200"/>
    </row>
    <row r="6606" spans="3:20" s="517" customFormat="1" ht="31.2" customHeight="1">
      <c r="C6606" s="543">
        <v>1</v>
      </c>
      <c r="D6606" s="750" t="s">
        <v>5611</v>
      </c>
      <c r="E6606" s="203" t="s">
        <v>62</v>
      </c>
      <c r="F6606" s="769">
        <v>1</v>
      </c>
      <c r="G6606" s="205">
        <f t="shared" ref="G6606:G6612" si="501">VLOOKUP(D6606,upahbahan,3,FALSE)</f>
        <v>0</v>
      </c>
      <c r="H6606" s="210">
        <f>F6606*G6606</f>
        <v>0</v>
      </c>
      <c r="L6606" s="200"/>
      <c r="M6606" s="200"/>
      <c r="N6606" s="200"/>
      <c r="O6606" s="200"/>
      <c r="P6606" s="200"/>
    </row>
    <row r="6607" spans="3:20" s="517" customFormat="1" ht="31.2" customHeight="1">
      <c r="C6607" s="543">
        <v>2</v>
      </c>
      <c r="D6607" s="750" t="s">
        <v>5608</v>
      </c>
      <c r="E6607" s="203" t="s">
        <v>65</v>
      </c>
      <c r="F6607" s="769">
        <v>3.0000000000000001E-3</v>
      </c>
      <c r="G6607" s="205">
        <f t="shared" si="501"/>
        <v>0</v>
      </c>
      <c r="H6607" s="210">
        <f t="shared" ref="H6607:H6612" si="502">F6607*G6607</f>
        <v>0</v>
      </c>
      <c r="L6607" s="200"/>
      <c r="M6607" s="200"/>
      <c r="N6607" s="200"/>
      <c r="O6607" s="200"/>
      <c r="P6607" s="200"/>
    </row>
    <row r="6608" spans="3:20" s="517" customFormat="1" ht="31.2" customHeight="1">
      <c r="C6608" s="543">
        <v>3</v>
      </c>
      <c r="D6608" s="750" t="s">
        <v>5617</v>
      </c>
      <c r="E6608" s="203" t="s">
        <v>65</v>
      </c>
      <c r="F6608" s="769">
        <v>1.4999999999999999E-2</v>
      </c>
      <c r="G6608" s="205">
        <f t="shared" si="501"/>
        <v>0</v>
      </c>
      <c r="H6608" s="210">
        <f t="shared" si="502"/>
        <v>0</v>
      </c>
      <c r="L6608" s="200"/>
      <c r="M6608" s="200"/>
      <c r="N6608" s="200"/>
      <c r="O6608" s="200"/>
      <c r="P6608" s="200"/>
    </row>
    <row r="6609" spans="3:20" s="517" customFormat="1" ht="31.2" customHeight="1">
      <c r="C6609" s="543">
        <v>4</v>
      </c>
      <c r="D6609" s="750" t="s">
        <v>5606</v>
      </c>
      <c r="E6609" s="203" t="s">
        <v>65</v>
      </c>
      <c r="F6609" s="769">
        <v>0.3</v>
      </c>
      <c r="G6609" s="205">
        <f t="shared" si="501"/>
        <v>0</v>
      </c>
      <c r="H6609" s="210">
        <f t="shared" si="502"/>
        <v>0</v>
      </c>
      <c r="L6609" s="200"/>
      <c r="M6609" s="200"/>
      <c r="N6609" s="200"/>
      <c r="O6609" s="200"/>
      <c r="P6609" s="200"/>
    </row>
    <row r="6610" spans="3:20" s="517" customFormat="1" ht="31.2" customHeight="1">
      <c r="C6610" s="543">
        <v>5</v>
      </c>
      <c r="D6610" s="750" t="s">
        <v>5561</v>
      </c>
      <c r="E6610" s="203" t="s">
        <v>65</v>
      </c>
      <c r="F6610" s="769">
        <v>0.8</v>
      </c>
      <c r="G6610" s="205">
        <f t="shared" si="501"/>
        <v>0</v>
      </c>
      <c r="H6610" s="210">
        <f t="shared" si="502"/>
        <v>0</v>
      </c>
      <c r="L6610" s="200"/>
      <c r="M6610" s="200"/>
      <c r="N6610" s="200"/>
      <c r="O6610" s="200"/>
      <c r="P6610" s="200"/>
    </row>
    <row r="6611" spans="3:20" s="517" customFormat="1" ht="31.2" customHeight="1">
      <c r="C6611" s="543">
        <v>6</v>
      </c>
      <c r="D6611" s="750" t="s">
        <v>7576</v>
      </c>
      <c r="E6611" s="203" t="s">
        <v>65</v>
      </c>
      <c r="F6611" s="769">
        <v>4.0000000000000001E-3</v>
      </c>
      <c r="G6611" s="205">
        <f t="shared" si="501"/>
        <v>0</v>
      </c>
      <c r="H6611" s="210">
        <f t="shared" si="502"/>
        <v>0</v>
      </c>
      <c r="L6611" s="200"/>
      <c r="M6611" s="200"/>
      <c r="N6611" s="200"/>
      <c r="O6611" s="200"/>
      <c r="P6611" s="200"/>
    </row>
    <row r="6612" spans="3:20" s="517" customFormat="1" ht="31.2" customHeight="1">
      <c r="C6612" s="543">
        <v>7</v>
      </c>
      <c r="D6612" s="750" t="s">
        <v>960</v>
      </c>
      <c r="E6612" s="203" t="s">
        <v>529</v>
      </c>
      <c r="F6612" s="769">
        <v>5.6</v>
      </c>
      <c r="G6612" s="205">
        <f t="shared" si="501"/>
        <v>200</v>
      </c>
      <c r="H6612" s="210">
        <f t="shared" si="502"/>
        <v>1120</v>
      </c>
      <c r="L6612" s="200"/>
      <c r="M6612" s="200"/>
      <c r="N6612" s="200"/>
      <c r="O6612" s="200"/>
      <c r="P6612" s="200"/>
    </row>
    <row r="6613" spans="3:20" s="517" customFormat="1" ht="31.2" customHeight="1">
      <c r="C6613" s="207" t="s">
        <v>1214</v>
      </c>
      <c r="D6613" s="208"/>
      <c r="E6613" s="568"/>
      <c r="F6613" s="208"/>
      <c r="G6613" s="209"/>
      <c r="H6613" s="210">
        <f>SUM(H6606:H6612)</f>
        <v>1120</v>
      </c>
      <c r="L6613" s="200"/>
      <c r="M6613" s="200"/>
      <c r="N6613" s="200"/>
      <c r="O6613" s="200"/>
      <c r="P6613" s="200"/>
    </row>
    <row r="6614" spans="3:20" s="517" customFormat="1" ht="31.2" customHeight="1">
      <c r="C6614" s="195" t="s">
        <v>1215</v>
      </c>
      <c r="D6614" s="196" t="s">
        <v>1216</v>
      </c>
      <c r="E6614" s="203"/>
      <c r="F6614" s="197"/>
      <c r="G6614" s="197"/>
      <c r="H6614" s="198"/>
      <c r="L6614" s="200"/>
      <c r="M6614" s="200"/>
      <c r="N6614" s="200"/>
      <c r="O6614" s="200"/>
      <c r="P6614" s="200"/>
    </row>
    <row r="6615" spans="3:20" s="517" customFormat="1" ht="31.2" customHeight="1">
      <c r="C6615" s="207" t="s">
        <v>1217</v>
      </c>
      <c r="D6615" s="208"/>
      <c r="E6615" s="208"/>
      <c r="F6615" s="208"/>
      <c r="G6615" s="209"/>
      <c r="H6615" s="770">
        <f>SUM(H6614:H6614)</f>
        <v>0</v>
      </c>
      <c r="L6615" s="200"/>
      <c r="M6615" s="200"/>
      <c r="N6615" s="200"/>
      <c r="O6615" s="200"/>
      <c r="P6615" s="200"/>
    </row>
    <row r="6616" spans="3:20" s="517" customFormat="1" ht="31.2" customHeight="1">
      <c r="C6616" s="223" t="s">
        <v>1218</v>
      </c>
      <c r="D6616" s="224" t="s">
        <v>1219</v>
      </c>
      <c r="E6616" s="225"/>
      <c r="F6616" s="225"/>
      <c r="G6616" s="226"/>
      <c r="H6616" s="210">
        <f>H6615+H6613+H6604</f>
        <v>13379.5</v>
      </c>
      <c r="L6616" s="200"/>
      <c r="M6616" s="200"/>
      <c r="N6616" s="200"/>
      <c r="O6616" s="200"/>
      <c r="P6616" s="200"/>
    </row>
    <row r="6617" spans="3:20" s="517" customFormat="1" ht="31.2" customHeight="1">
      <c r="C6617" s="223" t="s">
        <v>1220</v>
      </c>
      <c r="D6617" s="224" t="s">
        <v>1321</v>
      </c>
      <c r="E6617" s="225"/>
      <c r="F6617" s="226"/>
      <c r="G6617" s="228">
        <v>0.1</v>
      </c>
      <c r="H6617" s="210">
        <f>H6616*G6617</f>
        <v>1337.95</v>
      </c>
      <c r="L6617" s="200"/>
      <c r="M6617" s="200"/>
      <c r="N6617" s="200"/>
      <c r="O6617" s="200"/>
      <c r="P6617" s="200"/>
    </row>
    <row r="6618" spans="3:20" s="517" customFormat="1" ht="31.2" customHeight="1" thickBot="1">
      <c r="C6618" s="229" t="s">
        <v>1221</v>
      </c>
      <c r="D6618" s="230" t="s">
        <v>1222</v>
      </c>
      <c r="E6618" s="231"/>
      <c r="F6618" s="231"/>
      <c r="G6618" s="232"/>
      <c r="H6618" s="233">
        <f>SUM(H6616:H6617)</f>
        <v>14717.45</v>
      </c>
      <c r="L6618" s="200"/>
      <c r="M6618" s="200"/>
      <c r="N6618" s="200"/>
      <c r="O6618" s="200"/>
      <c r="P6618" s="200"/>
    </row>
    <row r="6619" spans="3:20" s="517" customFormat="1" ht="31.2" customHeight="1" thickTop="1">
      <c r="C6619" s="757" t="s">
        <v>1247</v>
      </c>
      <c r="D6619" s="758"/>
      <c r="E6619" s="758"/>
      <c r="F6619" s="758"/>
      <c r="G6619" s="758"/>
      <c r="H6619" s="759"/>
      <c r="L6619" s="200"/>
      <c r="M6619" s="200"/>
      <c r="N6619" s="200"/>
      <c r="O6619" s="200"/>
      <c r="P6619" s="200"/>
    </row>
    <row r="6620" spans="3:20" s="517" customFormat="1" ht="31.2" customHeight="1">
      <c r="C6620" s="757" t="s">
        <v>5296</v>
      </c>
      <c r="D6620" s="758" t="s">
        <v>6951</v>
      </c>
      <c r="E6620" s="758"/>
      <c r="F6620" s="758"/>
      <c r="G6620" s="758"/>
      <c r="H6620" s="759"/>
      <c r="L6620" s="200"/>
      <c r="M6620" s="200"/>
      <c r="N6620" s="200"/>
      <c r="O6620" s="200"/>
      <c r="P6620" s="200"/>
    </row>
    <row r="6621" spans="3:20" s="517" customFormat="1" ht="31.2" customHeight="1">
      <c r="C6621" s="757" t="s">
        <v>7575</v>
      </c>
      <c r="D6621" s="758" t="s">
        <v>6952</v>
      </c>
      <c r="E6621" s="758"/>
      <c r="F6621" s="758"/>
      <c r="G6621" s="758"/>
      <c r="H6621" s="759"/>
      <c r="L6621" s="200"/>
      <c r="M6621" s="200"/>
      <c r="N6621" s="200"/>
      <c r="O6621" s="200"/>
      <c r="P6621" s="200"/>
    </row>
    <row r="6622" spans="3:20" s="517" customFormat="1" ht="31.2" customHeight="1">
      <c r="C6622" s="200" t="s">
        <v>7577</v>
      </c>
      <c r="D6622" s="758"/>
      <c r="E6622" s="758"/>
      <c r="F6622" s="758"/>
      <c r="G6622" s="758"/>
      <c r="H6622" s="759"/>
      <c r="L6622" s="200"/>
      <c r="M6622" s="200"/>
      <c r="N6622" s="200"/>
      <c r="O6622" s="200"/>
      <c r="P6622" s="200"/>
    </row>
    <row r="6623" spans="3:20" s="517" customFormat="1" ht="31.2" customHeight="1">
      <c r="C6623" s="200"/>
      <c r="D6623" s="758"/>
      <c r="E6623" s="758"/>
      <c r="F6623" s="758"/>
      <c r="G6623" s="758"/>
      <c r="H6623" s="759"/>
      <c r="L6623" s="200"/>
      <c r="M6623" s="200"/>
      <c r="N6623" s="200"/>
      <c r="O6623" s="200"/>
      <c r="P6623" s="200"/>
    </row>
    <row r="6624" spans="3:20" s="517" customFormat="1" ht="31.2" customHeight="1" thickBot="1">
      <c r="C6624" s="513" t="s">
        <v>5620</v>
      </c>
      <c r="D6624" s="748" t="s">
        <v>7587</v>
      </c>
      <c r="E6624" s="749"/>
      <c r="F6624" s="748"/>
      <c r="G6624" s="748"/>
      <c r="H6624" s="532"/>
      <c r="I6624" s="532"/>
      <c r="J6624" s="532"/>
      <c r="K6624" s="532"/>
      <c r="M6624" s="189"/>
      <c r="N6624" s="189"/>
      <c r="O6624" s="189"/>
      <c r="P6624" s="189"/>
      <c r="R6624" s="189">
        <f>ROUNDDOWN(H6646,-2)</f>
        <v>2500</v>
      </c>
      <c r="S6624" s="517" t="s">
        <v>6451</v>
      </c>
      <c r="T6624" s="517" t="s">
        <v>7572</v>
      </c>
    </row>
    <row r="6625" spans="3:16" s="517" customFormat="1" ht="31.2" customHeight="1" thickTop="1">
      <c r="C6625" s="190" t="s">
        <v>1195</v>
      </c>
      <c r="D6625" s="191" t="s">
        <v>1196</v>
      </c>
      <c r="E6625" s="191" t="s">
        <v>1197</v>
      </c>
      <c r="F6625" s="191" t="s">
        <v>1198</v>
      </c>
      <c r="G6625" s="191" t="s">
        <v>1199</v>
      </c>
      <c r="H6625" s="192" t="s">
        <v>1200</v>
      </c>
      <c r="L6625" s="200"/>
      <c r="M6625" s="200"/>
      <c r="N6625" s="200"/>
      <c r="O6625" s="200"/>
      <c r="P6625" s="200"/>
    </row>
    <row r="6626" spans="3:16" s="517" customFormat="1" ht="31.2" customHeight="1">
      <c r="C6626" s="518" t="s">
        <v>1201</v>
      </c>
      <c r="D6626" s="196" t="s">
        <v>1202</v>
      </c>
      <c r="E6626" s="197"/>
      <c r="F6626" s="197"/>
      <c r="G6626" s="197"/>
      <c r="H6626" s="198"/>
      <c r="L6626" s="200"/>
      <c r="M6626" s="200"/>
      <c r="N6626" s="200"/>
      <c r="O6626" s="200"/>
      <c r="P6626" s="200"/>
    </row>
    <row r="6627" spans="3:16" s="517" customFormat="1" ht="31.2" customHeight="1">
      <c r="C6627" s="518">
        <v>1</v>
      </c>
      <c r="D6627" s="196" t="s">
        <v>5</v>
      </c>
      <c r="E6627" s="203" t="s">
        <v>2102</v>
      </c>
      <c r="F6627" s="204">
        <v>2E-3</v>
      </c>
      <c r="G6627" s="205">
        <f>VLOOKUP(D6627,upahbahan,3,FALSE)</f>
        <v>100000</v>
      </c>
      <c r="H6627" s="210">
        <f t="shared" ref="H6627:H6630" si="503">F6627*G6627</f>
        <v>200</v>
      </c>
      <c r="L6627" s="200"/>
      <c r="M6627" s="200"/>
      <c r="N6627" s="200"/>
      <c r="O6627" s="200"/>
      <c r="P6627" s="200"/>
    </row>
    <row r="6628" spans="3:16" s="517" customFormat="1" ht="31.2" customHeight="1">
      <c r="C6628" s="537">
        <v>2</v>
      </c>
      <c r="D6628" s="196" t="s">
        <v>6954</v>
      </c>
      <c r="E6628" s="202" t="s">
        <v>6</v>
      </c>
      <c r="F6628" s="520">
        <v>4.0000000000000001E-3</v>
      </c>
      <c r="G6628" s="205">
        <f>VLOOKUP(D6628,upahbahan,3,FALSE)</f>
        <v>181250</v>
      </c>
      <c r="H6628" s="210">
        <f t="shared" si="503"/>
        <v>725</v>
      </c>
      <c r="L6628" s="200"/>
      <c r="M6628" s="200"/>
      <c r="N6628" s="200"/>
      <c r="O6628" s="200"/>
      <c r="P6628" s="200"/>
    </row>
    <row r="6629" spans="3:16" s="517" customFormat="1" ht="31.2" customHeight="1">
      <c r="C6629" s="537">
        <v>2</v>
      </c>
      <c r="D6629" s="196" t="s">
        <v>6948</v>
      </c>
      <c r="E6629" s="202" t="s">
        <v>6</v>
      </c>
      <c r="F6629" s="520">
        <v>4.0000000000000002E-4</v>
      </c>
      <c r="G6629" s="205">
        <f>VLOOKUP(D6629,upahbahan,3,FALSE)</f>
        <v>218750</v>
      </c>
      <c r="H6629" s="210">
        <f t="shared" si="503"/>
        <v>87.5</v>
      </c>
      <c r="L6629" s="200"/>
      <c r="M6629" s="200"/>
      <c r="N6629" s="200"/>
      <c r="O6629" s="200"/>
      <c r="P6629" s="200"/>
    </row>
    <row r="6630" spans="3:16" s="517" customFormat="1" ht="31.2" customHeight="1">
      <c r="C6630" s="537">
        <v>3</v>
      </c>
      <c r="D6630" s="196" t="s">
        <v>19</v>
      </c>
      <c r="E6630" s="202" t="s">
        <v>6</v>
      </c>
      <c r="F6630" s="771">
        <v>1.2999999999999999E-4</v>
      </c>
      <c r="G6630" s="205">
        <f>VLOOKUP(D6630,upahbahan,3,FALSE)</f>
        <v>160000</v>
      </c>
      <c r="H6630" s="210">
        <f t="shared" si="503"/>
        <v>20.799999999999997</v>
      </c>
      <c r="L6630" s="200"/>
      <c r="M6630" s="200"/>
      <c r="N6630" s="200"/>
      <c r="O6630" s="200"/>
      <c r="P6630" s="200"/>
    </row>
    <row r="6631" spans="3:16" s="517" customFormat="1" ht="31.2" customHeight="1">
      <c r="C6631" s="207" t="s">
        <v>1208</v>
      </c>
      <c r="D6631" s="208"/>
      <c r="E6631" s="208"/>
      <c r="F6631" s="521"/>
      <c r="G6631" s="522"/>
      <c r="H6631" s="210">
        <f>SUM(H6627:H6630)</f>
        <v>1033.3</v>
      </c>
      <c r="L6631" s="523"/>
      <c r="M6631" s="523"/>
      <c r="N6631" s="523"/>
      <c r="O6631" s="523"/>
      <c r="P6631" s="523"/>
    </row>
    <row r="6632" spans="3:16" s="517" customFormat="1" ht="31.2" customHeight="1">
      <c r="C6632" s="543" t="s">
        <v>1209</v>
      </c>
      <c r="D6632" s="750" t="s">
        <v>1210</v>
      </c>
      <c r="E6632" s="197"/>
      <c r="F6632" s="751"/>
      <c r="G6632" s="197"/>
      <c r="H6632" s="752"/>
      <c r="L6632" s="200"/>
      <c r="M6632" s="200"/>
      <c r="N6632" s="200"/>
      <c r="O6632" s="200"/>
      <c r="P6632" s="200"/>
    </row>
    <row r="6633" spans="3:16" s="517" customFormat="1" ht="31.2" customHeight="1">
      <c r="C6633" s="543">
        <v>1</v>
      </c>
      <c r="D6633" s="750" t="s">
        <v>5613</v>
      </c>
      <c r="E6633" s="203" t="s">
        <v>62</v>
      </c>
      <c r="F6633" s="769">
        <v>1</v>
      </c>
      <c r="G6633" s="205">
        <f t="shared" ref="G6633:G6639" si="504">VLOOKUP(D6633,upahbahan,3,FALSE)</f>
        <v>0</v>
      </c>
      <c r="H6633" s="210">
        <f>F6633*G6633</f>
        <v>0</v>
      </c>
      <c r="L6633" s="200"/>
      <c r="M6633" s="200"/>
      <c r="N6633" s="200"/>
      <c r="O6633" s="200"/>
      <c r="P6633" s="200"/>
    </row>
    <row r="6634" spans="3:16" s="517" customFormat="1" ht="31.2" customHeight="1">
      <c r="C6634" s="543">
        <v>2</v>
      </c>
      <c r="D6634" s="750" t="s">
        <v>5608</v>
      </c>
      <c r="E6634" s="203" t="s">
        <v>65</v>
      </c>
      <c r="F6634" s="769">
        <v>3.0000000000000001E-3</v>
      </c>
      <c r="G6634" s="205">
        <f t="shared" si="504"/>
        <v>0</v>
      </c>
      <c r="H6634" s="210">
        <f t="shared" ref="H6634:H6639" si="505">F6634*G6634</f>
        <v>0</v>
      </c>
      <c r="L6634" s="200"/>
      <c r="M6634" s="200"/>
      <c r="N6634" s="200"/>
      <c r="O6634" s="200"/>
      <c r="P6634" s="200"/>
    </row>
    <row r="6635" spans="3:16" s="517" customFormat="1" ht="31.2" customHeight="1">
      <c r="C6635" s="543">
        <v>3</v>
      </c>
      <c r="D6635" s="750" t="s">
        <v>5617</v>
      </c>
      <c r="E6635" s="203" t="s">
        <v>65</v>
      </c>
      <c r="F6635" s="769">
        <v>1.4999999999999999E-2</v>
      </c>
      <c r="G6635" s="205">
        <f t="shared" si="504"/>
        <v>0</v>
      </c>
      <c r="H6635" s="210">
        <f t="shared" si="505"/>
        <v>0</v>
      </c>
      <c r="L6635" s="200"/>
      <c r="M6635" s="200"/>
      <c r="N6635" s="200"/>
      <c r="O6635" s="200"/>
      <c r="P6635" s="200"/>
    </row>
    <row r="6636" spans="3:16" s="517" customFormat="1" ht="31.2" customHeight="1">
      <c r="C6636" s="543">
        <v>4</v>
      </c>
      <c r="D6636" s="750" t="s">
        <v>5606</v>
      </c>
      <c r="E6636" s="203" t="s">
        <v>65</v>
      </c>
      <c r="F6636" s="769">
        <v>0.3</v>
      </c>
      <c r="G6636" s="205">
        <f t="shared" si="504"/>
        <v>0</v>
      </c>
      <c r="H6636" s="210">
        <f t="shared" si="505"/>
        <v>0</v>
      </c>
      <c r="L6636" s="200"/>
      <c r="M6636" s="200"/>
      <c r="N6636" s="200"/>
      <c r="O6636" s="200"/>
      <c r="P6636" s="200"/>
    </row>
    <row r="6637" spans="3:16" s="517" customFormat="1" ht="31.2" customHeight="1">
      <c r="C6637" s="543">
        <v>5</v>
      </c>
      <c r="D6637" s="750" t="s">
        <v>5561</v>
      </c>
      <c r="E6637" s="203" t="s">
        <v>65</v>
      </c>
      <c r="F6637" s="769">
        <v>1</v>
      </c>
      <c r="G6637" s="205">
        <f t="shared" si="504"/>
        <v>0</v>
      </c>
      <c r="H6637" s="210">
        <f t="shared" si="505"/>
        <v>0</v>
      </c>
      <c r="L6637" s="200"/>
      <c r="M6637" s="200"/>
      <c r="N6637" s="200"/>
      <c r="O6637" s="200"/>
      <c r="P6637" s="200"/>
    </row>
    <row r="6638" spans="3:16" s="517" customFormat="1" ht="31.2" customHeight="1">
      <c r="C6638" s="543">
        <v>6</v>
      </c>
      <c r="D6638" s="750" t="s">
        <v>7576</v>
      </c>
      <c r="E6638" s="203" t="s">
        <v>65</v>
      </c>
      <c r="F6638" s="769">
        <v>4.0000000000000001E-3</v>
      </c>
      <c r="G6638" s="205">
        <f t="shared" si="504"/>
        <v>0</v>
      </c>
      <c r="H6638" s="210">
        <f t="shared" si="505"/>
        <v>0</v>
      </c>
      <c r="L6638" s="200"/>
      <c r="M6638" s="200"/>
      <c r="N6638" s="200"/>
      <c r="O6638" s="200"/>
      <c r="P6638" s="200"/>
    </row>
    <row r="6639" spans="3:16" s="517" customFormat="1" ht="31.2" customHeight="1">
      <c r="C6639" s="543">
        <v>7</v>
      </c>
      <c r="D6639" s="750" t="s">
        <v>960</v>
      </c>
      <c r="E6639" s="203" t="s">
        <v>529</v>
      </c>
      <c r="F6639" s="769">
        <v>5.6</v>
      </c>
      <c r="G6639" s="205">
        <f t="shared" si="504"/>
        <v>200</v>
      </c>
      <c r="H6639" s="210">
        <f t="shared" si="505"/>
        <v>1120</v>
      </c>
      <c r="L6639" s="200"/>
      <c r="M6639" s="200"/>
      <c r="N6639" s="200"/>
      <c r="O6639" s="200"/>
      <c r="P6639" s="200"/>
    </row>
    <row r="6640" spans="3:16" s="517" customFormat="1" ht="31.2" customHeight="1">
      <c r="C6640" s="207" t="s">
        <v>1214</v>
      </c>
      <c r="D6640" s="208"/>
      <c r="E6640" s="568"/>
      <c r="F6640" s="208"/>
      <c r="G6640" s="209"/>
      <c r="H6640" s="210">
        <f>SUM(H6633:H6639)</f>
        <v>1120</v>
      </c>
      <c r="L6640" s="200"/>
      <c r="M6640" s="200"/>
      <c r="N6640" s="200"/>
      <c r="O6640" s="200"/>
      <c r="P6640" s="200"/>
    </row>
    <row r="6641" spans="3:20" s="517" customFormat="1" ht="31.2" customHeight="1">
      <c r="C6641" s="195" t="s">
        <v>1215</v>
      </c>
      <c r="D6641" s="196" t="s">
        <v>1216</v>
      </c>
      <c r="E6641" s="203"/>
      <c r="F6641" s="197"/>
      <c r="G6641" s="197"/>
      <c r="H6641" s="198"/>
      <c r="L6641" s="200"/>
      <c r="M6641" s="200"/>
      <c r="N6641" s="200"/>
      <c r="O6641" s="200"/>
      <c r="P6641" s="200"/>
    </row>
    <row r="6642" spans="3:20" s="517" customFormat="1" ht="31.2" customHeight="1">
      <c r="C6642" s="201">
        <v>1</v>
      </c>
      <c r="D6642" s="196" t="s">
        <v>5607</v>
      </c>
      <c r="E6642" s="203" t="s">
        <v>1974</v>
      </c>
      <c r="F6642" s="763">
        <v>5.0000000000000001E-4</v>
      </c>
      <c r="G6642" s="205">
        <f>VLOOKUP(D6642,upahbahan,3,FALSE)</f>
        <v>350000</v>
      </c>
      <c r="H6642" s="210">
        <f>F6642*G6642</f>
        <v>175</v>
      </c>
      <c r="L6642" s="200"/>
      <c r="M6642" s="200"/>
      <c r="N6642" s="200"/>
      <c r="O6642" s="200"/>
      <c r="P6642" s="200"/>
    </row>
    <row r="6643" spans="3:20" s="517" customFormat="1" ht="31.2" customHeight="1">
      <c r="C6643" s="207" t="s">
        <v>1217</v>
      </c>
      <c r="D6643" s="208"/>
      <c r="E6643" s="208"/>
      <c r="F6643" s="208"/>
      <c r="G6643" s="209"/>
      <c r="H6643" s="770">
        <f>SUM(H6641:H6642)</f>
        <v>175</v>
      </c>
      <c r="L6643" s="200"/>
      <c r="M6643" s="200"/>
      <c r="N6643" s="200"/>
      <c r="O6643" s="200"/>
      <c r="P6643" s="200"/>
    </row>
    <row r="6644" spans="3:20" s="517" customFormat="1" ht="31.2" customHeight="1">
      <c r="C6644" s="223" t="s">
        <v>1218</v>
      </c>
      <c r="D6644" s="224" t="s">
        <v>1219</v>
      </c>
      <c r="E6644" s="225"/>
      <c r="F6644" s="225"/>
      <c r="G6644" s="226"/>
      <c r="H6644" s="210">
        <f>H6643+H6640+H6631</f>
        <v>2328.3000000000002</v>
      </c>
      <c r="L6644" s="200"/>
      <c r="M6644" s="200"/>
      <c r="N6644" s="200"/>
      <c r="O6644" s="200"/>
      <c r="P6644" s="200"/>
    </row>
    <row r="6645" spans="3:20" s="517" customFormat="1" ht="31.2" customHeight="1">
      <c r="C6645" s="223" t="s">
        <v>1220</v>
      </c>
      <c r="D6645" s="224" t="s">
        <v>1321</v>
      </c>
      <c r="E6645" s="225"/>
      <c r="F6645" s="226"/>
      <c r="G6645" s="228">
        <v>0.1</v>
      </c>
      <c r="H6645" s="210">
        <f>H6644*G6645</f>
        <v>232.83000000000004</v>
      </c>
      <c r="L6645" s="200"/>
      <c r="M6645" s="200"/>
      <c r="N6645" s="200"/>
      <c r="O6645" s="200"/>
      <c r="P6645" s="200"/>
    </row>
    <row r="6646" spans="3:20" s="517" customFormat="1" ht="31.2" customHeight="1" thickBot="1">
      <c r="C6646" s="229" t="s">
        <v>1221</v>
      </c>
      <c r="D6646" s="230" t="s">
        <v>1222</v>
      </c>
      <c r="E6646" s="231"/>
      <c r="F6646" s="231"/>
      <c r="G6646" s="232"/>
      <c r="H6646" s="233">
        <f>SUM(H6644:H6645)</f>
        <v>2561.13</v>
      </c>
      <c r="L6646" s="200"/>
      <c r="M6646" s="200"/>
      <c r="N6646" s="200"/>
      <c r="O6646" s="200"/>
      <c r="P6646" s="200"/>
    </row>
    <row r="6647" spans="3:20" s="517" customFormat="1" ht="31.2" customHeight="1" thickTop="1">
      <c r="C6647" s="757" t="s">
        <v>1247</v>
      </c>
      <c r="D6647" s="758"/>
      <c r="E6647" s="758"/>
      <c r="F6647" s="758"/>
      <c r="G6647" s="758"/>
      <c r="H6647" s="759"/>
      <c r="L6647" s="200"/>
      <c r="M6647" s="200"/>
      <c r="N6647" s="200"/>
      <c r="O6647" s="200"/>
      <c r="P6647" s="200"/>
    </row>
    <row r="6648" spans="3:20" s="517" customFormat="1" ht="31.2" customHeight="1">
      <c r="C6648" s="757" t="s">
        <v>5296</v>
      </c>
      <c r="D6648" s="758" t="s">
        <v>6951</v>
      </c>
      <c r="E6648" s="758"/>
      <c r="F6648" s="758"/>
      <c r="G6648" s="758"/>
      <c r="H6648" s="759"/>
      <c r="L6648" s="200"/>
      <c r="M6648" s="200"/>
      <c r="N6648" s="200"/>
      <c r="O6648" s="200"/>
      <c r="P6648" s="200"/>
    </row>
    <row r="6649" spans="3:20" s="517" customFormat="1" ht="31.2" customHeight="1">
      <c r="C6649" s="757" t="s">
        <v>7575</v>
      </c>
      <c r="D6649" s="758" t="s">
        <v>6952</v>
      </c>
      <c r="E6649" s="758"/>
      <c r="F6649" s="758"/>
      <c r="G6649" s="758"/>
      <c r="H6649" s="759"/>
      <c r="L6649" s="200"/>
      <c r="M6649" s="200"/>
      <c r="N6649" s="200"/>
      <c r="O6649" s="200"/>
      <c r="P6649" s="200"/>
    </row>
    <row r="6650" spans="3:20" s="517" customFormat="1" ht="31.2" customHeight="1">
      <c r="C6650" s="200" t="s">
        <v>7577</v>
      </c>
      <c r="D6650" s="758"/>
      <c r="E6650" s="758"/>
      <c r="F6650" s="758"/>
      <c r="G6650" s="758"/>
      <c r="H6650" s="759"/>
      <c r="L6650" s="200"/>
      <c r="M6650" s="200"/>
      <c r="N6650" s="200"/>
      <c r="O6650" s="200"/>
      <c r="P6650" s="200"/>
    </row>
    <row r="6651" spans="3:20" s="517" customFormat="1" ht="31.2" customHeight="1">
      <c r="C6651" s="200"/>
      <c r="D6651" s="758"/>
      <c r="E6651" s="758"/>
      <c r="F6651" s="758"/>
      <c r="G6651" s="758"/>
      <c r="H6651" s="759"/>
      <c r="L6651" s="200"/>
      <c r="M6651" s="200"/>
      <c r="N6651" s="200"/>
      <c r="O6651" s="200"/>
      <c r="P6651" s="200"/>
    </row>
    <row r="6652" spans="3:20" s="517" customFormat="1" ht="31.2" customHeight="1" thickBot="1">
      <c r="C6652" s="513" t="s">
        <v>5621</v>
      </c>
      <c r="D6652" s="748" t="s">
        <v>7588</v>
      </c>
      <c r="E6652" s="749"/>
      <c r="F6652" s="748"/>
      <c r="G6652" s="748"/>
      <c r="H6652" s="532"/>
      <c r="I6652" s="532"/>
      <c r="J6652" s="532"/>
      <c r="K6652" s="532"/>
      <c r="M6652" s="189"/>
      <c r="N6652" s="189"/>
      <c r="O6652" s="189"/>
      <c r="P6652" s="189"/>
      <c r="R6652" s="189">
        <f>ROUNDDOWN(H6673,-2)</f>
        <v>64000</v>
      </c>
      <c r="S6652" s="517" t="s">
        <v>6451</v>
      </c>
      <c r="T6652" s="517" t="s">
        <v>7574</v>
      </c>
    </row>
    <row r="6653" spans="3:20" s="517" customFormat="1" ht="31.2" customHeight="1" thickTop="1">
      <c r="C6653" s="190" t="s">
        <v>1195</v>
      </c>
      <c r="D6653" s="191" t="s">
        <v>1196</v>
      </c>
      <c r="E6653" s="191" t="s">
        <v>1197</v>
      </c>
      <c r="F6653" s="191" t="s">
        <v>1198</v>
      </c>
      <c r="G6653" s="191" t="s">
        <v>1199</v>
      </c>
      <c r="H6653" s="192" t="s">
        <v>1200</v>
      </c>
      <c r="L6653" s="200"/>
      <c r="M6653" s="200"/>
      <c r="N6653" s="200"/>
      <c r="O6653" s="200"/>
      <c r="P6653" s="200"/>
    </row>
    <row r="6654" spans="3:20" s="517" customFormat="1" ht="31.2" customHeight="1">
      <c r="C6654" s="518" t="s">
        <v>1201</v>
      </c>
      <c r="D6654" s="196" t="s">
        <v>1202</v>
      </c>
      <c r="E6654" s="197"/>
      <c r="F6654" s="197"/>
      <c r="G6654" s="197"/>
      <c r="H6654" s="198"/>
      <c r="L6654" s="200"/>
      <c r="M6654" s="200"/>
      <c r="N6654" s="200"/>
      <c r="O6654" s="200"/>
      <c r="P6654" s="200"/>
    </row>
    <row r="6655" spans="3:20" s="517" customFormat="1" ht="31.2" customHeight="1">
      <c r="C6655" s="518">
        <v>1</v>
      </c>
      <c r="D6655" s="196" t="s">
        <v>5</v>
      </c>
      <c r="E6655" s="203" t="s">
        <v>2102</v>
      </c>
      <c r="F6655" s="204">
        <v>0.1</v>
      </c>
      <c r="G6655" s="205">
        <f>VLOOKUP(D6655,upahbahan,3,FALSE)</f>
        <v>100000</v>
      </c>
      <c r="H6655" s="210">
        <f t="shared" ref="H6655:H6658" si="506">F6655*G6655</f>
        <v>10000</v>
      </c>
      <c r="L6655" s="200"/>
      <c r="M6655" s="200"/>
      <c r="N6655" s="200"/>
      <c r="O6655" s="200"/>
      <c r="P6655" s="200"/>
    </row>
    <row r="6656" spans="3:20" s="517" customFormat="1" ht="31.2" customHeight="1">
      <c r="C6656" s="537">
        <v>2</v>
      </c>
      <c r="D6656" s="196" t="s">
        <v>6954</v>
      </c>
      <c r="E6656" s="202" t="s">
        <v>6</v>
      </c>
      <c r="F6656" s="520">
        <v>0.2</v>
      </c>
      <c r="G6656" s="205">
        <f>VLOOKUP(D6656,upahbahan,3,FALSE)</f>
        <v>181250</v>
      </c>
      <c r="H6656" s="210">
        <f t="shared" si="506"/>
        <v>36250</v>
      </c>
      <c r="L6656" s="200"/>
      <c r="M6656" s="200"/>
      <c r="N6656" s="200"/>
      <c r="O6656" s="200"/>
      <c r="P6656" s="200"/>
    </row>
    <row r="6657" spans="3:16" s="517" customFormat="1" ht="31.2" customHeight="1">
      <c r="C6657" s="537">
        <v>2</v>
      </c>
      <c r="D6657" s="196" t="s">
        <v>6948</v>
      </c>
      <c r="E6657" s="202" t="s">
        <v>6</v>
      </c>
      <c r="F6657" s="520">
        <v>0.04</v>
      </c>
      <c r="G6657" s="205">
        <f>VLOOKUP(D6657,upahbahan,3,FALSE)</f>
        <v>218750</v>
      </c>
      <c r="H6657" s="210">
        <f t="shared" si="506"/>
        <v>8750</v>
      </c>
      <c r="L6657" s="200"/>
      <c r="M6657" s="200"/>
      <c r="N6657" s="200"/>
      <c r="O6657" s="200"/>
      <c r="P6657" s="200"/>
    </row>
    <row r="6658" spans="3:16" s="517" customFormat="1" ht="31.2" customHeight="1">
      <c r="C6658" s="537">
        <v>3</v>
      </c>
      <c r="D6658" s="196" t="s">
        <v>19</v>
      </c>
      <c r="E6658" s="202" t="s">
        <v>6</v>
      </c>
      <c r="F6658" s="768">
        <v>1.2999999999999999E-2</v>
      </c>
      <c r="G6658" s="205">
        <f>VLOOKUP(D6658,upahbahan,3,FALSE)</f>
        <v>160000</v>
      </c>
      <c r="H6658" s="210">
        <f t="shared" si="506"/>
        <v>2080</v>
      </c>
      <c r="L6658" s="200"/>
      <c r="M6658" s="200"/>
      <c r="N6658" s="200"/>
      <c r="O6658" s="200"/>
      <c r="P6658" s="200"/>
    </row>
    <row r="6659" spans="3:16" s="517" customFormat="1" ht="31.2" customHeight="1">
      <c r="C6659" s="207" t="s">
        <v>1208</v>
      </c>
      <c r="D6659" s="208"/>
      <c r="E6659" s="208"/>
      <c r="F6659" s="521"/>
      <c r="G6659" s="522"/>
      <c r="H6659" s="210">
        <f>SUM(H6655:H6658)</f>
        <v>57080</v>
      </c>
      <c r="L6659" s="523"/>
      <c r="M6659" s="523"/>
      <c r="N6659" s="523"/>
      <c r="O6659" s="523"/>
      <c r="P6659" s="523"/>
    </row>
    <row r="6660" spans="3:16" s="517" customFormat="1" ht="31.2" customHeight="1">
      <c r="C6660" s="543" t="s">
        <v>1209</v>
      </c>
      <c r="D6660" s="750" t="s">
        <v>1210</v>
      </c>
      <c r="E6660" s="197"/>
      <c r="F6660" s="751"/>
      <c r="G6660" s="197"/>
      <c r="H6660" s="752"/>
      <c r="L6660" s="200"/>
      <c r="M6660" s="200"/>
      <c r="N6660" s="200"/>
      <c r="O6660" s="200"/>
      <c r="P6660" s="200"/>
    </row>
    <row r="6661" spans="3:16" s="517" customFormat="1" ht="31.2" customHeight="1">
      <c r="C6661" s="543">
        <v>1</v>
      </c>
      <c r="D6661" s="750" t="s">
        <v>5613</v>
      </c>
      <c r="E6661" s="203" t="s">
        <v>62</v>
      </c>
      <c r="F6661" s="769">
        <v>1</v>
      </c>
      <c r="G6661" s="205">
        <f t="shared" ref="G6661:G6667" si="507">VLOOKUP(D6661,upahbahan,3,FALSE)</f>
        <v>0</v>
      </c>
      <c r="H6661" s="210">
        <f>F6661*G6661</f>
        <v>0</v>
      </c>
      <c r="L6661" s="200"/>
      <c r="M6661" s="200"/>
      <c r="N6661" s="200"/>
      <c r="O6661" s="200"/>
      <c r="P6661" s="200"/>
    </row>
    <row r="6662" spans="3:16" s="517" customFormat="1" ht="31.2" customHeight="1">
      <c r="C6662" s="543">
        <v>2</v>
      </c>
      <c r="D6662" s="750" t="s">
        <v>7578</v>
      </c>
      <c r="E6662" s="203" t="s">
        <v>65</v>
      </c>
      <c r="F6662" s="769">
        <v>3.0000000000000001E-3</v>
      </c>
      <c r="G6662" s="205">
        <f t="shared" si="507"/>
        <v>0</v>
      </c>
      <c r="H6662" s="210">
        <f t="shared" ref="H6662:H6667" si="508">F6662*G6662</f>
        <v>0</v>
      </c>
      <c r="L6662" s="200"/>
      <c r="M6662" s="200"/>
      <c r="N6662" s="200"/>
      <c r="O6662" s="200"/>
      <c r="P6662" s="200"/>
    </row>
    <row r="6663" spans="3:16" s="517" customFormat="1" ht="31.2" customHeight="1">
      <c r="C6663" s="543">
        <v>3</v>
      </c>
      <c r="D6663" s="750" t="s">
        <v>5617</v>
      </c>
      <c r="E6663" s="203" t="s">
        <v>65</v>
      </c>
      <c r="F6663" s="769">
        <v>1.4999999999999999E-2</v>
      </c>
      <c r="G6663" s="205">
        <f t="shared" si="507"/>
        <v>0</v>
      </c>
      <c r="H6663" s="210">
        <f t="shared" si="508"/>
        <v>0</v>
      </c>
      <c r="L6663" s="200"/>
      <c r="M6663" s="200"/>
      <c r="N6663" s="200"/>
      <c r="O6663" s="200"/>
      <c r="P6663" s="200"/>
    </row>
    <row r="6664" spans="3:16" s="517" customFormat="1" ht="31.2" customHeight="1">
      <c r="C6664" s="543">
        <v>4</v>
      </c>
      <c r="D6664" s="750" t="s">
        <v>5606</v>
      </c>
      <c r="E6664" s="203" t="s">
        <v>65</v>
      </c>
      <c r="F6664" s="769">
        <v>0.3</v>
      </c>
      <c r="G6664" s="205">
        <f t="shared" si="507"/>
        <v>0</v>
      </c>
      <c r="H6664" s="210">
        <f t="shared" si="508"/>
        <v>0</v>
      </c>
      <c r="L6664" s="200"/>
      <c r="M6664" s="200"/>
      <c r="N6664" s="200"/>
      <c r="O6664" s="200"/>
      <c r="P6664" s="200"/>
    </row>
    <row r="6665" spans="3:16" s="517" customFormat="1" ht="31.2" customHeight="1">
      <c r="C6665" s="543">
        <v>5</v>
      </c>
      <c r="D6665" s="750" t="s">
        <v>5561</v>
      </c>
      <c r="E6665" s="203" t="s">
        <v>65</v>
      </c>
      <c r="F6665" s="769">
        <v>1</v>
      </c>
      <c r="G6665" s="205">
        <f t="shared" si="507"/>
        <v>0</v>
      </c>
      <c r="H6665" s="210">
        <f t="shared" si="508"/>
        <v>0</v>
      </c>
      <c r="L6665" s="200"/>
      <c r="M6665" s="200"/>
      <c r="N6665" s="200"/>
      <c r="O6665" s="200"/>
      <c r="P6665" s="200"/>
    </row>
    <row r="6666" spans="3:16" s="517" customFormat="1" ht="31.2" customHeight="1">
      <c r="C6666" s="543">
        <v>6</v>
      </c>
      <c r="D6666" s="750" t="s">
        <v>7576</v>
      </c>
      <c r="E6666" s="203" t="s">
        <v>65</v>
      </c>
      <c r="F6666" s="769">
        <v>4.0000000000000001E-3</v>
      </c>
      <c r="G6666" s="205">
        <f t="shared" si="507"/>
        <v>0</v>
      </c>
      <c r="H6666" s="210">
        <f t="shared" si="508"/>
        <v>0</v>
      </c>
      <c r="L6666" s="200"/>
      <c r="M6666" s="200"/>
      <c r="N6666" s="200"/>
      <c r="O6666" s="200"/>
      <c r="P6666" s="200"/>
    </row>
    <row r="6667" spans="3:16" s="517" customFormat="1" ht="31.2" customHeight="1">
      <c r="C6667" s="543">
        <v>7</v>
      </c>
      <c r="D6667" s="750" t="s">
        <v>960</v>
      </c>
      <c r="E6667" s="203" t="s">
        <v>529</v>
      </c>
      <c r="F6667" s="769">
        <v>5.6</v>
      </c>
      <c r="G6667" s="205">
        <f t="shared" si="507"/>
        <v>200</v>
      </c>
      <c r="H6667" s="210">
        <f t="shared" si="508"/>
        <v>1120</v>
      </c>
      <c r="L6667" s="200"/>
      <c r="M6667" s="200"/>
      <c r="N6667" s="200"/>
      <c r="O6667" s="200"/>
      <c r="P6667" s="200"/>
    </row>
    <row r="6668" spans="3:16" s="517" customFormat="1" ht="31.2" customHeight="1">
      <c r="C6668" s="207" t="s">
        <v>1214</v>
      </c>
      <c r="D6668" s="208"/>
      <c r="E6668" s="568"/>
      <c r="F6668" s="208"/>
      <c r="G6668" s="209"/>
      <c r="H6668" s="210">
        <f>SUM(H6661:H6667)</f>
        <v>1120</v>
      </c>
      <c r="L6668" s="200"/>
      <c r="M6668" s="200"/>
      <c r="N6668" s="200"/>
      <c r="O6668" s="200"/>
      <c r="P6668" s="200"/>
    </row>
    <row r="6669" spans="3:16" s="517" customFormat="1" ht="31.2" customHeight="1">
      <c r="C6669" s="195" t="s">
        <v>1215</v>
      </c>
      <c r="D6669" s="196" t="s">
        <v>1216</v>
      </c>
      <c r="E6669" s="203"/>
      <c r="F6669" s="197"/>
      <c r="G6669" s="197"/>
      <c r="H6669" s="198"/>
      <c r="L6669" s="200"/>
      <c r="M6669" s="200"/>
      <c r="N6669" s="200"/>
      <c r="O6669" s="200"/>
      <c r="P6669" s="200"/>
    </row>
    <row r="6670" spans="3:16" s="517" customFormat="1" ht="31.2" customHeight="1">
      <c r="C6670" s="207" t="s">
        <v>1217</v>
      </c>
      <c r="D6670" s="208"/>
      <c r="E6670" s="208"/>
      <c r="F6670" s="208"/>
      <c r="G6670" s="209"/>
      <c r="H6670" s="770">
        <f>SUM(H6669:H6669)</f>
        <v>0</v>
      </c>
      <c r="L6670" s="200"/>
      <c r="M6670" s="200"/>
      <c r="N6670" s="200"/>
      <c r="O6670" s="200"/>
      <c r="P6670" s="200"/>
    </row>
    <row r="6671" spans="3:16" s="517" customFormat="1" ht="31.2" customHeight="1">
      <c r="C6671" s="223" t="s">
        <v>1218</v>
      </c>
      <c r="D6671" s="224" t="s">
        <v>1219</v>
      </c>
      <c r="E6671" s="225"/>
      <c r="F6671" s="225"/>
      <c r="G6671" s="226"/>
      <c r="H6671" s="210">
        <f>H6670+H6668+H6659</f>
        <v>58200</v>
      </c>
      <c r="L6671" s="200"/>
      <c r="M6671" s="200"/>
      <c r="N6671" s="200"/>
      <c r="O6671" s="200"/>
      <c r="P6671" s="200"/>
    </row>
    <row r="6672" spans="3:16" s="517" customFormat="1" ht="31.2" customHeight="1">
      <c r="C6672" s="223" t="s">
        <v>1220</v>
      </c>
      <c r="D6672" s="224" t="s">
        <v>1321</v>
      </c>
      <c r="E6672" s="225"/>
      <c r="F6672" s="226"/>
      <c r="G6672" s="228">
        <v>0.1</v>
      </c>
      <c r="H6672" s="210">
        <f>H6671*G6672</f>
        <v>5820</v>
      </c>
      <c r="L6672" s="200"/>
      <c r="M6672" s="200"/>
      <c r="N6672" s="200"/>
      <c r="O6672" s="200"/>
      <c r="P6672" s="200"/>
    </row>
    <row r="6673" spans="3:20" s="517" customFormat="1" ht="31.2" customHeight="1" thickBot="1">
      <c r="C6673" s="229" t="s">
        <v>1221</v>
      </c>
      <c r="D6673" s="230" t="s">
        <v>1222</v>
      </c>
      <c r="E6673" s="231"/>
      <c r="F6673" s="231"/>
      <c r="G6673" s="232"/>
      <c r="H6673" s="233">
        <f>SUM(H6671:H6672)</f>
        <v>64020</v>
      </c>
      <c r="L6673" s="200"/>
      <c r="M6673" s="200"/>
      <c r="N6673" s="200"/>
      <c r="O6673" s="200"/>
      <c r="P6673" s="200"/>
    </row>
    <row r="6674" spans="3:20" s="517" customFormat="1" ht="31.2" customHeight="1" thickTop="1">
      <c r="C6674" s="757" t="s">
        <v>1247</v>
      </c>
      <c r="D6674" s="758"/>
      <c r="E6674" s="758"/>
      <c r="F6674" s="758"/>
      <c r="G6674" s="758"/>
      <c r="H6674" s="759"/>
      <c r="L6674" s="200"/>
      <c r="M6674" s="200"/>
      <c r="N6674" s="200"/>
      <c r="O6674" s="200"/>
      <c r="P6674" s="200"/>
    </row>
    <row r="6675" spans="3:20" s="517" customFormat="1" ht="31.2" customHeight="1">
      <c r="C6675" s="757" t="s">
        <v>5296</v>
      </c>
      <c r="D6675" s="758" t="s">
        <v>6951</v>
      </c>
      <c r="E6675" s="758"/>
      <c r="F6675" s="758"/>
      <c r="G6675" s="758"/>
      <c r="H6675" s="759"/>
      <c r="L6675" s="200"/>
      <c r="M6675" s="200"/>
      <c r="N6675" s="200"/>
      <c r="O6675" s="200"/>
      <c r="P6675" s="200"/>
    </row>
    <row r="6676" spans="3:20" s="517" customFormat="1" ht="31.2" customHeight="1">
      <c r="C6676" s="757" t="s">
        <v>7575</v>
      </c>
      <c r="D6676" s="758" t="s">
        <v>6952</v>
      </c>
      <c r="E6676" s="758"/>
      <c r="F6676" s="758"/>
      <c r="G6676" s="758"/>
      <c r="H6676" s="759"/>
      <c r="L6676" s="200"/>
      <c r="M6676" s="200"/>
      <c r="N6676" s="200"/>
      <c r="O6676" s="200"/>
      <c r="P6676" s="200"/>
    </row>
    <row r="6677" spans="3:20" s="517" customFormat="1" ht="31.2" customHeight="1">
      <c r="C6677" s="200" t="s">
        <v>7577</v>
      </c>
      <c r="D6677" s="758"/>
      <c r="E6677" s="758"/>
      <c r="F6677" s="758"/>
      <c r="G6677" s="758"/>
      <c r="H6677" s="759"/>
      <c r="L6677" s="200"/>
      <c r="M6677" s="200"/>
      <c r="N6677" s="200"/>
      <c r="O6677" s="200"/>
      <c r="P6677" s="200"/>
    </row>
    <row r="6678" spans="3:20" s="517" customFormat="1" ht="31.2" customHeight="1">
      <c r="C6678" s="200"/>
      <c r="D6678" s="758"/>
      <c r="E6678" s="758"/>
      <c r="F6678" s="758"/>
      <c r="G6678" s="758"/>
      <c r="H6678" s="759"/>
      <c r="L6678" s="200"/>
      <c r="M6678" s="200"/>
      <c r="N6678" s="200"/>
      <c r="O6678" s="200"/>
      <c r="P6678" s="200"/>
    </row>
    <row r="6679" spans="3:20" ht="31.2" customHeight="1">
      <c r="C6679" s="765" t="s">
        <v>5622</v>
      </c>
      <c r="D6679" s="187" t="s">
        <v>7589</v>
      </c>
      <c r="E6679" s="592"/>
      <c r="F6679" s="187"/>
      <c r="G6679" s="187"/>
    </row>
    <row r="6680" spans="3:20" ht="31.2" customHeight="1">
      <c r="C6680" s="765" t="s">
        <v>7590</v>
      </c>
      <c r="D6680" s="187" t="s">
        <v>7591</v>
      </c>
      <c r="E6680" s="592"/>
      <c r="F6680" s="187"/>
      <c r="G6680" s="187"/>
      <c r="S6680" s="188" t="s">
        <v>7601</v>
      </c>
      <c r="T6680" s="188" t="s">
        <v>7014</v>
      </c>
    </row>
    <row r="6681" spans="3:20" ht="31.2" customHeight="1">
      <c r="C6681" s="765"/>
      <c r="D6681" s="187"/>
      <c r="E6681" s="592"/>
      <c r="F6681" s="187"/>
      <c r="G6681" s="187"/>
    </row>
    <row r="6682" spans="3:20" ht="31.2" customHeight="1">
      <c r="C6682" s="765"/>
      <c r="D6682" s="1884" t="s">
        <v>7592</v>
      </c>
      <c r="E6682" s="1884"/>
      <c r="F6682" s="1884"/>
      <c r="G6682" s="1884"/>
      <c r="H6682" s="1884"/>
      <c r="I6682" s="1884"/>
      <c r="J6682" s="1884"/>
      <c r="K6682" s="1884"/>
      <c r="L6682" s="1884"/>
    </row>
    <row r="6683" spans="3:20" ht="31.2" customHeight="1">
      <c r="C6683" s="765"/>
      <c r="D6683" s="187"/>
      <c r="E6683" s="592"/>
      <c r="F6683" s="187"/>
      <c r="G6683" s="187"/>
    </row>
    <row r="6684" spans="3:20" ht="31.2" customHeight="1">
      <c r="C6684" s="765"/>
      <c r="D6684" s="772"/>
      <c r="E6684" s="1890" t="s">
        <v>7593</v>
      </c>
      <c r="F6684" s="1890"/>
      <c r="G6684" s="774" t="s">
        <v>7597</v>
      </c>
      <c r="H6684" s="773" t="s">
        <v>7598</v>
      </c>
      <c r="I6684" s="1890" t="s">
        <v>7599</v>
      </c>
      <c r="J6684" s="1891"/>
      <c r="K6684" s="1891"/>
      <c r="L6684" s="773" t="s">
        <v>7600</v>
      </c>
    </row>
    <row r="6685" spans="3:20" ht="31.2" customHeight="1">
      <c r="C6685" s="765"/>
      <c r="D6685" s="775"/>
      <c r="E6685" s="1894" t="s">
        <v>8785</v>
      </c>
      <c r="F6685" s="1894"/>
      <c r="G6685" s="776" t="s">
        <v>8786</v>
      </c>
      <c r="H6685" s="777" t="s">
        <v>8787</v>
      </c>
      <c r="I6685" s="1892" t="s">
        <v>8788</v>
      </c>
      <c r="J6685" s="1892"/>
      <c r="K6685" s="1892"/>
      <c r="L6685" s="777" t="s">
        <v>8789</v>
      </c>
    </row>
    <row r="6686" spans="3:20" ht="31.2" customHeight="1">
      <c r="C6686" s="765"/>
      <c r="D6686" s="778"/>
      <c r="E6686" s="1895" t="s">
        <v>7594</v>
      </c>
      <c r="F6686" s="1886"/>
      <c r="G6686" s="1886" t="s">
        <v>8790</v>
      </c>
      <c r="H6686" s="1886"/>
      <c r="I6686" s="1886"/>
      <c r="J6686" s="1886"/>
      <c r="K6686" s="1886"/>
      <c r="L6686" s="1887"/>
    </row>
    <row r="6687" spans="3:20" ht="31.2" customHeight="1">
      <c r="D6687" s="779" t="s">
        <v>7596</v>
      </c>
      <c r="E6687" s="1896" t="s">
        <v>7595</v>
      </c>
      <c r="F6687" s="1896"/>
      <c r="G6687" s="780" t="s">
        <v>8791</v>
      </c>
      <c r="H6687" s="781" t="s">
        <v>8792</v>
      </c>
      <c r="I6687" s="1893" t="s">
        <v>8793</v>
      </c>
      <c r="J6687" s="1893"/>
      <c r="K6687" s="1893"/>
      <c r="L6687" s="782"/>
    </row>
    <row r="6688" spans="3:20" ht="31.2" customHeight="1">
      <c r="C6688" s="765"/>
      <c r="D6688" s="1884"/>
      <c r="E6688" s="1884"/>
      <c r="F6688" s="1884"/>
      <c r="G6688" s="1884"/>
      <c r="H6688" s="1888"/>
      <c r="I6688" s="1888"/>
      <c r="J6688" s="1888"/>
      <c r="K6688" s="1888"/>
      <c r="L6688" s="1888"/>
    </row>
    <row r="6689" spans="3:20" ht="31.2" customHeight="1">
      <c r="C6689" s="765"/>
      <c r="D6689" s="1884"/>
      <c r="E6689" s="1884"/>
      <c r="F6689" s="1884"/>
      <c r="G6689" s="1884"/>
      <c r="H6689" s="1888"/>
      <c r="I6689" s="1888"/>
      <c r="J6689" s="1888"/>
      <c r="K6689" s="1888"/>
      <c r="L6689" s="1888"/>
    </row>
    <row r="6690" spans="3:20" ht="31.2" customHeight="1">
      <c r="C6690" s="765"/>
      <c r="D6690" s="1884"/>
      <c r="E6690" s="1884"/>
      <c r="F6690" s="1884"/>
      <c r="G6690" s="1884"/>
      <c r="H6690" s="1888"/>
      <c r="I6690" s="1888"/>
      <c r="J6690" s="1888"/>
      <c r="K6690" s="1888"/>
      <c r="L6690" s="1888"/>
    </row>
    <row r="6691" spans="3:20" ht="31.2" customHeight="1">
      <c r="C6691" s="765"/>
      <c r="D6691" s="1884"/>
      <c r="E6691" s="1884"/>
      <c r="F6691" s="1884"/>
      <c r="G6691" s="1884"/>
      <c r="H6691" s="1888"/>
      <c r="I6691" s="1888"/>
      <c r="J6691" s="1888"/>
      <c r="K6691" s="1888"/>
      <c r="L6691" s="1888"/>
    </row>
    <row r="6692" spans="3:20" ht="31.2" customHeight="1">
      <c r="C6692" s="765"/>
      <c r="D6692" s="1884"/>
      <c r="E6692" s="1884"/>
      <c r="F6692" s="1884"/>
      <c r="G6692" s="1884"/>
      <c r="H6692" s="1888"/>
      <c r="I6692" s="1888"/>
      <c r="J6692" s="1888"/>
      <c r="K6692" s="1888"/>
      <c r="L6692" s="1888"/>
    </row>
    <row r="6693" spans="3:20" ht="31.2" customHeight="1">
      <c r="C6693" s="765"/>
      <c r="D6693" s="1885"/>
      <c r="E6693" s="1885"/>
      <c r="F6693" s="1885"/>
      <c r="G6693" s="1885"/>
      <c r="H6693" s="1889"/>
      <c r="I6693" s="1889"/>
      <c r="J6693" s="1889"/>
      <c r="K6693" s="1889"/>
      <c r="L6693" s="1889"/>
    </row>
    <row r="6694" spans="3:20" ht="31.2" customHeight="1">
      <c r="C6694" s="765"/>
      <c r="D6694" s="783" t="s">
        <v>8794</v>
      </c>
      <c r="E6694" s="592"/>
      <c r="F6694" s="187"/>
      <c r="G6694" s="187"/>
      <c r="H6694" s="784" t="s">
        <v>8795</v>
      </c>
    </row>
    <row r="6695" spans="3:20" ht="31.2" customHeight="1">
      <c r="C6695" s="765"/>
      <c r="D6695" s="187"/>
      <c r="E6695" s="592"/>
      <c r="F6695" s="187"/>
      <c r="G6695" s="187"/>
    </row>
    <row r="6696" spans="3:20" ht="31.2" customHeight="1">
      <c r="C6696" s="765"/>
      <c r="D6696" s="187"/>
      <c r="E6696" s="592"/>
      <c r="F6696" s="187"/>
      <c r="G6696" s="187"/>
    </row>
    <row r="6697" spans="3:20" s="517" customFormat="1" ht="31.2" customHeight="1" thickBot="1">
      <c r="C6697" s="513" t="s">
        <v>5626</v>
      </c>
      <c r="D6697" s="748" t="s">
        <v>5623</v>
      </c>
      <c r="E6697" s="749"/>
      <c r="F6697" s="748"/>
      <c r="G6697" s="748"/>
      <c r="H6697" s="532"/>
      <c r="I6697" s="532"/>
      <c r="J6697" s="532"/>
      <c r="K6697" s="532"/>
      <c r="M6697" s="189"/>
      <c r="N6697" s="189"/>
      <c r="O6697" s="189"/>
      <c r="P6697" s="189"/>
      <c r="R6697" s="189">
        <f>ROUNDDOWN(H6712,-2)</f>
        <v>69400</v>
      </c>
      <c r="S6697" s="517" t="s">
        <v>6452</v>
      </c>
      <c r="T6697" s="517" t="s">
        <v>7602</v>
      </c>
    </row>
    <row r="6698" spans="3:20" s="517" customFormat="1" ht="31.2" customHeight="1" thickTop="1">
      <c r="C6698" s="190" t="s">
        <v>1195</v>
      </c>
      <c r="D6698" s="191" t="s">
        <v>1196</v>
      </c>
      <c r="E6698" s="191" t="s">
        <v>1197</v>
      </c>
      <c r="F6698" s="191" t="s">
        <v>1198</v>
      </c>
      <c r="G6698" s="191" t="s">
        <v>1199</v>
      </c>
      <c r="H6698" s="192" t="s">
        <v>1200</v>
      </c>
      <c r="L6698" s="200"/>
      <c r="M6698" s="200"/>
      <c r="N6698" s="200"/>
      <c r="O6698" s="200"/>
      <c r="P6698" s="200"/>
    </row>
    <row r="6699" spans="3:20" s="517" customFormat="1" ht="31.2" customHeight="1">
      <c r="C6699" s="518" t="s">
        <v>1201</v>
      </c>
      <c r="D6699" s="196" t="s">
        <v>1202</v>
      </c>
      <c r="E6699" s="197"/>
      <c r="F6699" s="197"/>
      <c r="G6699" s="197"/>
      <c r="H6699" s="198"/>
      <c r="L6699" s="200"/>
      <c r="M6699" s="200"/>
      <c r="N6699" s="200"/>
      <c r="O6699" s="200"/>
      <c r="P6699" s="200"/>
    </row>
    <row r="6700" spans="3:20" s="517" customFormat="1" ht="31.2" customHeight="1">
      <c r="C6700" s="518">
        <v>1</v>
      </c>
      <c r="D6700" s="196" t="s">
        <v>5</v>
      </c>
      <c r="E6700" s="203" t="s">
        <v>2102</v>
      </c>
      <c r="F6700" s="204">
        <v>0.36</v>
      </c>
      <c r="G6700" s="205">
        <f>VLOOKUP(D6700,upahbahan,3,FALSE)</f>
        <v>100000</v>
      </c>
      <c r="H6700" s="210">
        <f t="shared" ref="H6700:H6701" si="509">F6700*G6700</f>
        <v>36000</v>
      </c>
      <c r="L6700" s="200"/>
      <c r="M6700" s="200"/>
      <c r="N6700" s="200"/>
      <c r="O6700" s="200"/>
      <c r="P6700" s="200"/>
    </row>
    <row r="6701" spans="3:20" s="517" customFormat="1" ht="31.2" customHeight="1">
      <c r="C6701" s="537">
        <v>2</v>
      </c>
      <c r="D6701" s="196" t="s">
        <v>19</v>
      </c>
      <c r="E6701" s="202" t="s">
        <v>6</v>
      </c>
      <c r="F6701" s="520">
        <v>3.5999999999999997E-2</v>
      </c>
      <c r="G6701" s="205">
        <f>VLOOKUP(D6701,upahbahan,3,FALSE)</f>
        <v>160000</v>
      </c>
      <c r="H6701" s="210">
        <f t="shared" si="509"/>
        <v>5760</v>
      </c>
      <c r="L6701" s="200"/>
      <c r="M6701" s="200"/>
      <c r="N6701" s="200"/>
      <c r="O6701" s="200"/>
      <c r="P6701" s="200"/>
    </row>
    <row r="6702" spans="3:20" s="517" customFormat="1" ht="31.2" customHeight="1">
      <c r="C6702" s="207" t="s">
        <v>1208</v>
      </c>
      <c r="D6702" s="208"/>
      <c r="E6702" s="208"/>
      <c r="F6702" s="521"/>
      <c r="G6702" s="522"/>
      <c r="H6702" s="210">
        <f>SUM(H6700:H6701)</f>
        <v>41760</v>
      </c>
      <c r="L6702" s="523"/>
      <c r="M6702" s="523"/>
      <c r="N6702" s="523"/>
      <c r="O6702" s="523"/>
      <c r="P6702" s="523"/>
    </row>
    <row r="6703" spans="3:20" s="517" customFormat="1" ht="31.2" customHeight="1">
      <c r="C6703" s="543" t="s">
        <v>1209</v>
      </c>
      <c r="D6703" s="750" t="s">
        <v>1210</v>
      </c>
      <c r="E6703" s="197"/>
      <c r="F6703" s="751"/>
      <c r="G6703" s="197"/>
      <c r="H6703" s="752"/>
      <c r="L6703" s="200"/>
      <c r="M6703" s="200"/>
      <c r="N6703" s="200"/>
      <c r="O6703" s="200"/>
      <c r="P6703" s="200"/>
    </row>
    <row r="6704" spans="3:20" s="517" customFormat="1" ht="31.2" customHeight="1">
      <c r="C6704" s="543">
        <v>1</v>
      </c>
      <c r="D6704" s="750" t="s">
        <v>5624</v>
      </c>
      <c r="E6704" s="203" t="s">
        <v>42</v>
      </c>
      <c r="F6704" s="769">
        <v>0.4</v>
      </c>
      <c r="G6704" s="205">
        <f>VLOOKUP(D6704,upahbahan,3,FALSE)</f>
        <v>0</v>
      </c>
      <c r="H6704" s="210">
        <f>F6704*G6704</f>
        <v>0</v>
      </c>
      <c r="L6704" s="200"/>
      <c r="M6704" s="200"/>
      <c r="N6704" s="200"/>
      <c r="O6704" s="200"/>
      <c r="P6704" s="200"/>
    </row>
    <row r="6705" spans="3:20" s="517" customFormat="1" ht="31.2" customHeight="1">
      <c r="C6705" s="543">
        <v>2</v>
      </c>
      <c r="D6705" s="750" t="s">
        <v>5625</v>
      </c>
      <c r="E6705" s="203" t="s">
        <v>65</v>
      </c>
      <c r="F6705" s="769">
        <v>0.3</v>
      </c>
      <c r="G6705" s="205">
        <f>VLOOKUP(D6705,upahbahan,3,FALSE)</f>
        <v>0</v>
      </c>
      <c r="H6705" s="210">
        <f t="shared" ref="H6705" si="510">F6705*G6705</f>
        <v>0</v>
      </c>
      <c r="L6705" s="200"/>
      <c r="M6705" s="200"/>
      <c r="N6705" s="200"/>
      <c r="O6705" s="200"/>
      <c r="P6705" s="200"/>
    </row>
    <row r="6706" spans="3:20" s="517" customFormat="1" ht="31.2" customHeight="1">
      <c r="C6706" s="207" t="s">
        <v>1214</v>
      </c>
      <c r="D6706" s="208"/>
      <c r="E6706" s="568"/>
      <c r="F6706" s="208"/>
      <c r="G6706" s="209"/>
      <c r="H6706" s="210">
        <f>SUM(H6704:H6705)</f>
        <v>0</v>
      </c>
      <c r="L6706" s="200"/>
      <c r="M6706" s="200"/>
      <c r="N6706" s="200"/>
      <c r="O6706" s="200"/>
      <c r="P6706" s="200"/>
    </row>
    <row r="6707" spans="3:20" s="517" customFormat="1" ht="31.2" customHeight="1">
      <c r="C6707" s="195" t="s">
        <v>1215</v>
      </c>
      <c r="D6707" s="196" t="s">
        <v>1216</v>
      </c>
      <c r="E6707" s="203"/>
      <c r="F6707" s="197"/>
      <c r="G6707" s="197"/>
      <c r="H6707" s="198"/>
      <c r="L6707" s="200"/>
      <c r="M6707" s="200"/>
      <c r="N6707" s="200"/>
      <c r="O6707" s="200"/>
      <c r="P6707" s="200"/>
    </row>
    <row r="6708" spans="3:20" s="517" customFormat="1" ht="31.2" customHeight="1">
      <c r="C6708" s="201">
        <v>1</v>
      </c>
      <c r="D6708" s="196" t="s">
        <v>7603</v>
      </c>
      <c r="E6708" s="203" t="s">
        <v>1974</v>
      </c>
      <c r="F6708" s="763">
        <v>7.1400000000000005E-2</v>
      </c>
      <c r="G6708" s="205">
        <f>VLOOKUP(D6708,upahbahan,3,FALSE)</f>
        <v>300000</v>
      </c>
      <c r="H6708" s="210">
        <f>F6708*G6708</f>
        <v>21420</v>
      </c>
      <c r="L6708" s="200"/>
      <c r="M6708" s="200"/>
      <c r="N6708" s="200"/>
      <c r="O6708" s="200"/>
      <c r="P6708" s="200"/>
    </row>
    <row r="6709" spans="3:20" s="517" customFormat="1" ht="31.2" customHeight="1">
      <c r="C6709" s="207" t="s">
        <v>1217</v>
      </c>
      <c r="D6709" s="208"/>
      <c r="E6709" s="208"/>
      <c r="F6709" s="208"/>
      <c r="G6709" s="209"/>
      <c r="H6709" s="770">
        <f>SUM(H6707:H6708)</f>
        <v>21420</v>
      </c>
      <c r="L6709" s="200"/>
      <c r="M6709" s="200"/>
      <c r="N6709" s="200"/>
      <c r="O6709" s="200"/>
      <c r="P6709" s="200"/>
    </row>
    <row r="6710" spans="3:20" s="517" customFormat="1" ht="31.2" customHeight="1">
      <c r="C6710" s="223" t="s">
        <v>1218</v>
      </c>
      <c r="D6710" s="224" t="s">
        <v>1219</v>
      </c>
      <c r="E6710" s="225"/>
      <c r="F6710" s="225"/>
      <c r="G6710" s="226"/>
      <c r="H6710" s="210">
        <f>H6709+H6706+H6702</f>
        <v>63180</v>
      </c>
      <c r="L6710" s="200"/>
      <c r="M6710" s="200"/>
      <c r="N6710" s="200"/>
      <c r="O6710" s="200"/>
      <c r="P6710" s="200"/>
    </row>
    <row r="6711" spans="3:20" s="517" customFormat="1" ht="31.2" customHeight="1">
      <c r="C6711" s="223" t="s">
        <v>1220</v>
      </c>
      <c r="D6711" s="224" t="s">
        <v>1321</v>
      </c>
      <c r="E6711" s="225"/>
      <c r="F6711" s="226"/>
      <c r="G6711" s="228">
        <v>0.1</v>
      </c>
      <c r="H6711" s="210">
        <f>H6710*G6711</f>
        <v>6318</v>
      </c>
      <c r="L6711" s="200"/>
      <c r="M6711" s="200"/>
      <c r="N6711" s="200"/>
      <c r="O6711" s="200"/>
      <c r="P6711" s="200"/>
    </row>
    <row r="6712" spans="3:20" s="517" customFormat="1" ht="31.2" customHeight="1" thickBot="1">
      <c r="C6712" s="229" t="s">
        <v>1221</v>
      </c>
      <c r="D6712" s="230" t="s">
        <v>1222</v>
      </c>
      <c r="E6712" s="231"/>
      <c r="F6712" s="231"/>
      <c r="G6712" s="232"/>
      <c r="H6712" s="233">
        <f>SUM(H6710:H6711)</f>
        <v>69498</v>
      </c>
      <c r="L6712" s="200"/>
      <c r="M6712" s="200"/>
      <c r="N6712" s="200"/>
      <c r="O6712" s="200"/>
      <c r="P6712" s="200"/>
    </row>
    <row r="6713" spans="3:20" ht="31.2" customHeight="1" thickTop="1"/>
    <row r="6714" spans="3:20" ht="31.2" customHeight="1"/>
    <row r="6715" spans="3:20" s="517" customFormat="1" ht="31.2" customHeight="1" thickBot="1">
      <c r="C6715" s="513" t="s">
        <v>5627</v>
      </c>
      <c r="D6715" s="785" t="s">
        <v>7604</v>
      </c>
      <c r="E6715" s="749"/>
      <c r="F6715" s="748"/>
      <c r="G6715" s="748"/>
      <c r="H6715" s="532"/>
      <c r="I6715" s="532"/>
      <c r="J6715" s="532"/>
      <c r="K6715" s="532"/>
      <c r="M6715" s="189"/>
      <c r="N6715" s="189"/>
      <c r="O6715" s="189"/>
      <c r="P6715" s="189"/>
      <c r="R6715" s="189">
        <f>ROUNDDOWN(H6730,-2)</f>
        <v>69400</v>
      </c>
      <c r="S6715" s="517" t="s">
        <v>6452</v>
      </c>
      <c r="T6715" s="517" t="s">
        <v>7602</v>
      </c>
    </row>
    <row r="6716" spans="3:20" s="517" customFormat="1" ht="31.2" customHeight="1" thickTop="1">
      <c r="C6716" s="190" t="s">
        <v>1195</v>
      </c>
      <c r="D6716" s="191" t="s">
        <v>1196</v>
      </c>
      <c r="E6716" s="191" t="s">
        <v>1197</v>
      </c>
      <c r="F6716" s="191" t="s">
        <v>1198</v>
      </c>
      <c r="G6716" s="191" t="s">
        <v>1199</v>
      </c>
      <c r="H6716" s="192" t="s">
        <v>1200</v>
      </c>
      <c r="L6716" s="200"/>
      <c r="M6716" s="200"/>
      <c r="N6716" s="200"/>
      <c r="O6716" s="200"/>
      <c r="P6716" s="200"/>
    </row>
    <row r="6717" spans="3:20" s="517" customFormat="1" ht="31.2" customHeight="1">
      <c r="C6717" s="518" t="s">
        <v>1201</v>
      </c>
      <c r="D6717" s="196" t="s">
        <v>1202</v>
      </c>
      <c r="E6717" s="197"/>
      <c r="F6717" s="197"/>
      <c r="G6717" s="197"/>
      <c r="H6717" s="198"/>
      <c r="L6717" s="200"/>
      <c r="M6717" s="200"/>
      <c r="N6717" s="200"/>
      <c r="O6717" s="200"/>
      <c r="P6717" s="200"/>
    </row>
    <row r="6718" spans="3:20" s="517" customFormat="1" ht="31.2" customHeight="1">
      <c r="C6718" s="518">
        <v>1</v>
      </c>
      <c r="D6718" s="196" t="s">
        <v>5</v>
      </c>
      <c r="E6718" s="203" t="s">
        <v>2102</v>
      </c>
      <c r="F6718" s="204">
        <v>0.36</v>
      </c>
      <c r="G6718" s="205">
        <f>VLOOKUP(D6718,upahbahan,3,FALSE)</f>
        <v>100000</v>
      </c>
      <c r="H6718" s="210">
        <f t="shared" ref="H6718:H6719" si="511">F6718*G6718</f>
        <v>36000</v>
      </c>
      <c r="L6718" s="200"/>
      <c r="M6718" s="200"/>
      <c r="N6718" s="200"/>
      <c r="O6718" s="200"/>
      <c r="P6718" s="200"/>
    </row>
    <row r="6719" spans="3:20" s="517" customFormat="1" ht="31.2" customHeight="1">
      <c r="C6719" s="537">
        <v>2</v>
      </c>
      <c r="D6719" s="196" t="s">
        <v>19</v>
      </c>
      <c r="E6719" s="202" t="s">
        <v>6</v>
      </c>
      <c r="F6719" s="520">
        <v>3.5999999999999997E-2</v>
      </c>
      <c r="G6719" s="205">
        <f>VLOOKUP(D6719,upahbahan,3,FALSE)</f>
        <v>160000</v>
      </c>
      <c r="H6719" s="210">
        <f t="shared" si="511"/>
        <v>5760</v>
      </c>
      <c r="L6719" s="200"/>
      <c r="M6719" s="200"/>
      <c r="N6719" s="200"/>
      <c r="O6719" s="200"/>
      <c r="P6719" s="200"/>
    </row>
    <row r="6720" spans="3:20" s="517" customFormat="1" ht="31.2" customHeight="1">
      <c r="C6720" s="207" t="s">
        <v>1208</v>
      </c>
      <c r="D6720" s="208"/>
      <c r="E6720" s="208"/>
      <c r="F6720" s="521"/>
      <c r="G6720" s="522"/>
      <c r="H6720" s="210">
        <f>SUM(H6718:H6719)</f>
        <v>41760</v>
      </c>
      <c r="L6720" s="523"/>
      <c r="M6720" s="523"/>
      <c r="N6720" s="523"/>
      <c r="O6720" s="523"/>
      <c r="P6720" s="523"/>
    </row>
    <row r="6721" spans="3:20" s="517" customFormat="1" ht="31.2" customHeight="1">
      <c r="C6721" s="543" t="s">
        <v>1209</v>
      </c>
      <c r="D6721" s="750" t="s">
        <v>1210</v>
      </c>
      <c r="E6721" s="197"/>
      <c r="F6721" s="751"/>
      <c r="G6721" s="197"/>
      <c r="H6721" s="752"/>
      <c r="L6721" s="200"/>
      <c r="M6721" s="200"/>
      <c r="N6721" s="200"/>
      <c r="O6721" s="200"/>
      <c r="P6721" s="200"/>
    </row>
    <row r="6722" spans="3:20" s="517" customFormat="1" ht="31.2" customHeight="1">
      <c r="C6722" s="543">
        <v>1</v>
      </c>
      <c r="D6722" s="750" t="s">
        <v>5624</v>
      </c>
      <c r="E6722" s="203" t="s">
        <v>42</v>
      </c>
      <c r="F6722" s="769">
        <v>0.4</v>
      </c>
      <c r="G6722" s="205">
        <f>VLOOKUP(D6722,upahbahan,3,FALSE)</f>
        <v>0</v>
      </c>
      <c r="H6722" s="210">
        <f>F6722*G6722</f>
        <v>0</v>
      </c>
      <c r="L6722" s="200"/>
      <c r="M6722" s="200"/>
      <c r="N6722" s="200"/>
      <c r="O6722" s="200"/>
      <c r="P6722" s="200"/>
    </row>
    <row r="6723" spans="3:20" s="517" customFormat="1" ht="31.2" customHeight="1">
      <c r="C6723" s="543">
        <v>2</v>
      </c>
      <c r="D6723" s="750" t="s">
        <v>5625</v>
      </c>
      <c r="E6723" s="203" t="s">
        <v>65</v>
      </c>
      <c r="F6723" s="769">
        <v>0.3</v>
      </c>
      <c r="G6723" s="205">
        <f>VLOOKUP(D6723,upahbahan,3,FALSE)</f>
        <v>0</v>
      </c>
      <c r="H6723" s="210">
        <f t="shared" ref="H6723" si="512">F6723*G6723</f>
        <v>0</v>
      </c>
      <c r="L6723" s="200"/>
      <c r="M6723" s="200"/>
      <c r="N6723" s="200"/>
      <c r="O6723" s="200"/>
      <c r="P6723" s="200"/>
    </row>
    <row r="6724" spans="3:20" s="517" customFormat="1" ht="31.2" customHeight="1">
      <c r="C6724" s="207" t="s">
        <v>1214</v>
      </c>
      <c r="D6724" s="208"/>
      <c r="E6724" s="568"/>
      <c r="F6724" s="208"/>
      <c r="G6724" s="209"/>
      <c r="H6724" s="210">
        <f>SUM(H6722:H6723)</f>
        <v>0</v>
      </c>
      <c r="L6724" s="200"/>
      <c r="M6724" s="200"/>
      <c r="N6724" s="200"/>
      <c r="O6724" s="200"/>
      <c r="P6724" s="200"/>
    </row>
    <row r="6725" spans="3:20" s="517" customFormat="1" ht="31.2" customHeight="1">
      <c r="C6725" s="195" t="s">
        <v>1215</v>
      </c>
      <c r="D6725" s="196" t="s">
        <v>1216</v>
      </c>
      <c r="E6725" s="203"/>
      <c r="F6725" s="197"/>
      <c r="G6725" s="197"/>
      <c r="H6725" s="198"/>
      <c r="L6725" s="200"/>
      <c r="M6725" s="200"/>
      <c r="N6725" s="200"/>
      <c r="O6725" s="200"/>
      <c r="P6725" s="200"/>
    </row>
    <row r="6726" spans="3:20" s="517" customFormat="1" ht="31.2" customHeight="1">
      <c r="C6726" s="201">
        <v>1</v>
      </c>
      <c r="D6726" s="196" t="s">
        <v>7603</v>
      </c>
      <c r="E6726" s="203" t="s">
        <v>1974</v>
      </c>
      <c r="F6726" s="763">
        <v>7.1400000000000005E-2</v>
      </c>
      <c r="G6726" s="205">
        <f>VLOOKUP(D6726,upahbahan,3,FALSE)</f>
        <v>300000</v>
      </c>
      <c r="H6726" s="210">
        <f>F6726*G6726</f>
        <v>21420</v>
      </c>
      <c r="L6726" s="200"/>
      <c r="M6726" s="200"/>
      <c r="N6726" s="200"/>
      <c r="O6726" s="200"/>
      <c r="P6726" s="200"/>
    </row>
    <row r="6727" spans="3:20" s="517" customFormat="1" ht="31.2" customHeight="1">
      <c r="C6727" s="207" t="s">
        <v>1217</v>
      </c>
      <c r="D6727" s="208"/>
      <c r="E6727" s="208"/>
      <c r="F6727" s="208"/>
      <c r="G6727" s="209"/>
      <c r="H6727" s="770">
        <f>SUM(H6725:H6726)</f>
        <v>21420</v>
      </c>
      <c r="L6727" s="200"/>
      <c r="M6727" s="200"/>
      <c r="N6727" s="200"/>
      <c r="O6727" s="200"/>
      <c r="P6727" s="200"/>
    </row>
    <row r="6728" spans="3:20" s="517" customFormat="1" ht="31.2" customHeight="1">
      <c r="C6728" s="223" t="s">
        <v>1218</v>
      </c>
      <c r="D6728" s="224" t="s">
        <v>1219</v>
      </c>
      <c r="E6728" s="225"/>
      <c r="F6728" s="225"/>
      <c r="G6728" s="226"/>
      <c r="H6728" s="210">
        <f>H6727+H6724+H6720</f>
        <v>63180</v>
      </c>
      <c r="L6728" s="200"/>
      <c r="M6728" s="200"/>
      <c r="N6728" s="200"/>
      <c r="O6728" s="200"/>
      <c r="P6728" s="200"/>
    </row>
    <row r="6729" spans="3:20" s="517" customFormat="1" ht="31.2" customHeight="1">
      <c r="C6729" s="223" t="s">
        <v>1220</v>
      </c>
      <c r="D6729" s="224" t="s">
        <v>1321</v>
      </c>
      <c r="E6729" s="225"/>
      <c r="F6729" s="226"/>
      <c r="G6729" s="228">
        <v>0.1</v>
      </c>
      <c r="H6729" s="210">
        <f>H6728*G6729</f>
        <v>6318</v>
      </c>
      <c r="L6729" s="200"/>
      <c r="M6729" s="200"/>
      <c r="N6729" s="200"/>
      <c r="O6729" s="200"/>
      <c r="P6729" s="200"/>
    </row>
    <row r="6730" spans="3:20" s="517" customFormat="1" ht="31.2" customHeight="1" thickBot="1">
      <c r="C6730" s="229" t="s">
        <v>1221</v>
      </c>
      <c r="D6730" s="230" t="s">
        <v>1222</v>
      </c>
      <c r="E6730" s="231"/>
      <c r="F6730" s="231"/>
      <c r="G6730" s="232"/>
      <c r="H6730" s="233">
        <f>SUM(H6728:H6729)</f>
        <v>69498</v>
      </c>
      <c r="L6730" s="200"/>
      <c r="M6730" s="200"/>
      <c r="N6730" s="200"/>
      <c r="O6730" s="200"/>
      <c r="P6730" s="200"/>
    </row>
    <row r="6731" spans="3:20" ht="31.2" customHeight="1" thickTop="1"/>
    <row r="6732" spans="3:20" ht="31.2" customHeight="1"/>
    <row r="6733" spans="3:20" s="517" customFormat="1" ht="31.2" customHeight="1" thickBot="1">
      <c r="C6733" s="513" t="s">
        <v>5628</v>
      </c>
      <c r="D6733" s="785" t="s">
        <v>7605</v>
      </c>
      <c r="E6733" s="749"/>
      <c r="F6733" s="748"/>
      <c r="G6733" s="748"/>
      <c r="H6733" s="532"/>
      <c r="I6733" s="532"/>
      <c r="J6733" s="532"/>
      <c r="K6733" s="532"/>
      <c r="M6733" s="189"/>
      <c r="N6733" s="189"/>
      <c r="O6733" s="189"/>
      <c r="P6733" s="189"/>
      <c r="R6733" s="189">
        <f>ROUNDDOWN(H6749,-2)</f>
        <v>69400</v>
      </c>
      <c r="S6733" s="517" t="s">
        <v>6452</v>
      </c>
      <c r="T6733" s="517" t="s">
        <v>7606</v>
      </c>
    </row>
    <row r="6734" spans="3:20" s="517" customFormat="1" ht="31.2" customHeight="1" thickTop="1">
      <c r="C6734" s="190" t="s">
        <v>1195</v>
      </c>
      <c r="D6734" s="191" t="s">
        <v>1196</v>
      </c>
      <c r="E6734" s="191" t="s">
        <v>1197</v>
      </c>
      <c r="F6734" s="191" t="s">
        <v>1198</v>
      </c>
      <c r="G6734" s="191" t="s">
        <v>1199</v>
      </c>
      <c r="H6734" s="192" t="s">
        <v>1200</v>
      </c>
      <c r="L6734" s="200"/>
      <c r="M6734" s="200"/>
      <c r="N6734" s="200"/>
      <c r="O6734" s="200"/>
      <c r="P6734" s="200"/>
    </row>
    <row r="6735" spans="3:20" s="517" customFormat="1" ht="31.2" customHeight="1">
      <c r="C6735" s="518" t="s">
        <v>1201</v>
      </c>
      <c r="D6735" s="196" t="s">
        <v>1202</v>
      </c>
      <c r="E6735" s="197"/>
      <c r="F6735" s="197"/>
      <c r="G6735" s="197"/>
      <c r="H6735" s="198"/>
      <c r="L6735" s="200"/>
      <c r="M6735" s="200"/>
      <c r="N6735" s="200"/>
      <c r="O6735" s="200"/>
      <c r="P6735" s="200"/>
    </row>
    <row r="6736" spans="3:20" s="517" customFormat="1" ht="31.2" customHeight="1">
      <c r="C6736" s="518">
        <v>1</v>
      </c>
      <c r="D6736" s="196" t="s">
        <v>5</v>
      </c>
      <c r="E6736" s="203" t="s">
        <v>2102</v>
      </c>
      <c r="F6736" s="204">
        <v>0.36</v>
      </c>
      <c r="G6736" s="205">
        <f>VLOOKUP(D6736,upahbahan,3,FALSE)</f>
        <v>100000</v>
      </c>
      <c r="H6736" s="210">
        <f t="shared" ref="H6736:H6737" si="513">F6736*G6736</f>
        <v>36000</v>
      </c>
      <c r="L6736" s="200"/>
      <c r="M6736" s="200"/>
      <c r="N6736" s="200"/>
      <c r="O6736" s="200"/>
      <c r="P6736" s="200"/>
    </row>
    <row r="6737" spans="3:20" s="517" customFormat="1" ht="31.2" customHeight="1">
      <c r="C6737" s="537">
        <v>2</v>
      </c>
      <c r="D6737" s="196" t="s">
        <v>19</v>
      </c>
      <c r="E6737" s="202" t="s">
        <v>6</v>
      </c>
      <c r="F6737" s="520">
        <v>3.5999999999999997E-2</v>
      </c>
      <c r="G6737" s="205">
        <f>VLOOKUP(D6737,upahbahan,3,FALSE)</f>
        <v>160000</v>
      </c>
      <c r="H6737" s="210">
        <f t="shared" si="513"/>
        <v>5760</v>
      </c>
      <c r="L6737" s="200"/>
      <c r="M6737" s="200"/>
      <c r="N6737" s="200"/>
      <c r="O6737" s="200"/>
      <c r="P6737" s="200"/>
    </row>
    <row r="6738" spans="3:20" s="517" customFormat="1" ht="31.2" customHeight="1">
      <c r="C6738" s="207" t="s">
        <v>1208</v>
      </c>
      <c r="D6738" s="208"/>
      <c r="E6738" s="208"/>
      <c r="F6738" s="521"/>
      <c r="G6738" s="522"/>
      <c r="H6738" s="210">
        <f>SUM(H6736:H6737)</f>
        <v>41760</v>
      </c>
      <c r="L6738" s="523"/>
      <c r="M6738" s="523"/>
      <c r="N6738" s="523"/>
      <c r="O6738" s="523"/>
      <c r="P6738" s="523"/>
    </row>
    <row r="6739" spans="3:20" s="517" customFormat="1" ht="31.2" customHeight="1">
      <c r="C6739" s="543" t="s">
        <v>1209</v>
      </c>
      <c r="D6739" s="750" t="s">
        <v>1210</v>
      </c>
      <c r="E6739" s="197"/>
      <c r="F6739" s="751"/>
      <c r="G6739" s="197"/>
      <c r="H6739" s="752"/>
      <c r="L6739" s="200"/>
      <c r="M6739" s="200"/>
      <c r="N6739" s="200"/>
      <c r="O6739" s="200"/>
      <c r="P6739" s="200"/>
    </row>
    <row r="6740" spans="3:20" s="517" customFormat="1" ht="31.2" customHeight="1">
      <c r="C6740" s="543">
        <v>1</v>
      </c>
      <c r="D6740" s="750" t="s">
        <v>5624</v>
      </c>
      <c r="E6740" s="203" t="s">
        <v>42</v>
      </c>
      <c r="F6740" s="769">
        <v>0.4</v>
      </c>
      <c r="G6740" s="205">
        <f>VLOOKUP(D6740,upahbahan,3,FALSE)</f>
        <v>0</v>
      </c>
      <c r="H6740" s="210">
        <f>F6740*G6740</f>
        <v>0</v>
      </c>
      <c r="L6740" s="200"/>
      <c r="M6740" s="200"/>
      <c r="N6740" s="200"/>
      <c r="O6740" s="200"/>
      <c r="P6740" s="200"/>
    </row>
    <row r="6741" spans="3:20" s="517" customFormat="1" ht="31.2" customHeight="1">
      <c r="C6741" s="543">
        <v>2</v>
      </c>
      <c r="D6741" s="750" t="s">
        <v>1980</v>
      </c>
      <c r="E6741" s="203" t="s">
        <v>42</v>
      </c>
      <c r="F6741" s="769">
        <v>0.15</v>
      </c>
      <c r="G6741" s="205">
        <f>VLOOKUP(D6741,upahbahan,3,FALSE)</f>
        <v>0</v>
      </c>
      <c r="H6741" s="210">
        <f t="shared" ref="H6741" si="514">F6741*G6741</f>
        <v>0</v>
      </c>
      <c r="L6741" s="200"/>
      <c r="M6741" s="200"/>
      <c r="N6741" s="200"/>
      <c r="O6741" s="200"/>
      <c r="P6741" s="200"/>
    </row>
    <row r="6742" spans="3:20" s="517" customFormat="1" ht="31.2" customHeight="1">
      <c r="C6742" s="543">
        <v>3</v>
      </c>
      <c r="D6742" s="750" t="s">
        <v>5625</v>
      </c>
      <c r="E6742" s="203" t="s">
        <v>65</v>
      </c>
      <c r="F6742" s="769">
        <v>0.6</v>
      </c>
      <c r="G6742" s="205">
        <f>VLOOKUP(D6742,upahbahan,3,FALSE)</f>
        <v>0</v>
      </c>
      <c r="H6742" s="210">
        <f t="shared" ref="H6742" si="515">F6742*G6742</f>
        <v>0</v>
      </c>
      <c r="L6742" s="200"/>
      <c r="M6742" s="200"/>
      <c r="N6742" s="200"/>
      <c r="O6742" s="200"/>
      <c r="P6742" s="200"/>
    </row>
    <row r="6743" spans="3:20" s="517" customFormat="1" ht="31.2" customHeight="1">
      <c r="C6743" s="207" t="s">
        <v>1214</v>
      </c>
      <c r="D6743" s="208"/>
      <c r="E6743" s="568"/>
      <c r="F6743" s="208"/>
      <c r="G6743" s="209"/>
      <c r="H6743" s="210">
        <f>SUM(H6740:H6742)</f>
        <v>0</v>
      </c>
      <c r="L6743" s="200"/>
      <c r="M6743" s="200"/>
      <c r="N6743" s="200"/>
      <c r="O6743" s="200"/>
      <c r="P6743" s="200"/>
    </row>
    <row r="6744" spans="3:20" s="517" customFormat="1" ht="31.2" customHeight="1">
      <c r="C6744" s="195" t="s">
        <v>1215</v>
      </c>
      <c r="D6744" s="196" t="s">
        <v>1216</v>
      </c>
      <c r="E6744" s="203"/>
      <c r="F6744" s="197"/>
      <c r="G6744" s="197"/>
      <c r="H6744" s="198"/>
      <c r="L6744" s="200"/>
      <c r="M6744" s="200"/>
      <c r="N6744" s="200"/>
      <c r="O6744" s="200"/>
      <c r="P6744" s="200"/>
    </row>
    <row r="6745" spans="3:20" s="517" customFormat="1" ht="31.2" customHeight="1">
      <c r="C6745" s="201">
        <v>1</v>
      </c>
      <c r="D6745" s="196" t="s">
        <v>7603</v>
      </c>
      <c r="E6745" s="203" t="s">
        <v>1974</v>
      </c>
      <c r="F6745" s="763">
        <v>7.1400000000000005E-2</v>
      </c>
      <c r="G6745" s="205">
        <f>VLOOKUP(D6745,upahbahan,3,FALSE)</f>
        <v>300000</v>
      </c>
      <c r="H6745" s="210">
        <f>F6745*G6745</f>
        <v>21420</v>
      </c>
      <c r="L6745" s="200"/>
      <c r="M6745" s="200"/>
      <c r="N6745" s="200"/>
      <c r="O6745" s="200"/>
      <c r="P6745" s="200"/>
    </row>
    <row r="6746" spans="3:20" s="517" customFormat="1" ht="31.2" customHeight="1">
      <c r="C6746" s="207" t="s">
        <v>1217</v>
      </c>
      <c r="D6746" s="208"/>
      <c r="E6746" s="208"/>
      <c r="F6746" s="208"/>
      <c r="G6746" s="209"/>
      <c r="H6746" s="770">
        <f>SUM(H6744:H6745)</f>
        <v>21420</v>
      </c>
      <c r="L6746" s="200"/>
      <c r="M6746" s="200"/>
      <c r="N6746" s="200"/>
      <c r="O6746" s="200"/>
      <c r="P6746" s="200"/>
    </row>
    <row r="6747" spans="3:20" s="517" customFormat="1" ht="31.2" customHeight="1">
      <c r="C6747" s="223" t="s">
        <v>1218</v>
      </c>
      <c r="D6747" s="224" t="s">
        <v>1219</v>
      </c>
      <c r="E6747" s="225"/>
      <c r="F6747" s="225"/>
      <c r="G6747" s="226"/>
      <c r="H6747" s="210">
        <f>H6746+H6743+H6738</f>
        <v>63180</v>
      </c>
      <c r="L6747" s="200"/>
      <c r="M6747" s="200"/>
      <c r="N6747" s="200"/>
      <c r="O6747" s="200"/>
      <c r="P6747" s="200"/>
    </row>
    <row r="6748" spans="3:20" s="517" customFormat="1" ht="31.2" customHeight="1">
      <c r="C6748" s="223" t="s">
        <v>1220</v>
      </c>
      <c r="D6748" s="224" t="s">
        <v>1321</v>
      </c>
      <c r="E6748" s="225"/>
      <c r="F6748" s="226"/>
      <c r="G6748" s="228">
        <v>0.1</v>
      </c>
      <c r="H6748" s="210">
        <f>H6747*G6748</f>
        <v>6318</v>
      </c>
      <c r="L6748" s="200"/>
      <c r="M6748" s="200"/>
      <c r="N6748" s="200"/>
      <c r="O6748" s="200"/>
      <c r="P6748" s="200"/>
    </row>
    <row r="6749" spans="3:20" s="517" customFormat="1" ht="31.2" customHeight="1" thickBot="1">
      <c r="C6749" s="229" t="s">
        <v>1221</v>
      </c>
      <c r="D6749" s="230" t="s">
        <v>1222</v>
      </c>
      <c r="E6749" s="231"/>
      <c r="F6749" s="231"/>
      <c r="G6749" s="232"/>
      <c r="H6749" s="233">
        <f>SUM(H6747:H6748)</f>
        <v>69498</v>
      </c>
      <c r="L6749" s="200"/>
      <c r="M6749" s="200"/>
      <c r="N6749" s="200"/>
      <c r="O6749" s="200"/>
      <c r="P6749" s="200"/>
    </row>
    <row r="6750" spans="3:20" ht="31.2" customHeight="1" thickTop="1"/>
    <row r="6751" spans="3:20" s="517" customFormat="1" ht="31.2" customHeight="1" thickBot="1">
      <c r="C6751" s="513" t="s">
        <v>5629</v>
      </c>
      <c r="D6751" s="785" t="s">
        <v>7607</v>
      </c>
      <c r="E6751" s="749"/>
      <c r="F6751" s="748"/>
      <c r="G6751" s="748"/>
      <c r="H6751" s="532"/>
      <c r="I6751" s="532"/>
      <c r="J6751" s="532"/>
      <c r="K6751" s="532"/>
      <c r="M6751" s="189"/>
      <c r="N6751" s="189"/>
      <c r="O6751" s="189"/>
      <c r="P6751" s="189"/>
      <c r="R6751" s="189">
        <f>ROUNDDOWN(H6766,-2)</f>
        <v>69400</v>
      </c>
      <c r="S6751" s="517" t="s">
        <v>6452</v>
      </c>
      <c r="T6751" s="517" t="s">
        <v>7602</v>
      </c>
    </row>
    <row r="6752" spans="3:20" s="517" customFormat="1" ht="31.2" customHeight="1" thickTop="1">
      <c r="C6752" s="190" t="s">
        <v>1195</v>
      </c>
      <c r="D6752" s="191" t="s">
        <v>1196</v>
      </c>
      <c r="E6752" s="191" t="s">
        <v>1197</v>
      </c>
      <c r="F6752" s="191" t="s">
        <v>1198</v>
      </c>
      <c r="G6752" s="191" t="s">
        <v>1199</v>
      </c>
      <c r="H6752" s="192" t="s">
        <v>1200</v>
      </c>
      <c r="L6752" s="200"/>
      <c r="M6752" s="200"/>
      <c r="N6752" s="200"/>
      <c r="O6752" s="200"/>
      <c r="P6752" s="200"/>
    </row>
    <row r="6753" spans="3:16" s="517" customFormat="1" ht="31.2" customHeight="1">
      <c r="C6753" s="518" t="s">
        <v>1201</v>
      </c>
      <c r="D6753" s="196" t="s">
        <v>1202</v>
      </c>
      <c r="E6753" s="197"/>
      <c r="F6753" s="197"/>
      <c r="G6753" s="197"/>
      <c r="H6753" s="198"/>
      <c r="L6753" s="200"/>
      <c r="M6753" s="200"/>
      <c r="N6753" s="200"/>
      <c r="O6753" s="200"/>
      <c r="P6753" s="200"/>
    </row>
    <row r="6754" spans="3:16" s="517" customFormat="1" ht="31.2" customHeight="1">
      <c r="C6754" s="518">
        <v>1</v>
      </c>
      <c r="D6754" s="196" t="s">
        <v>5</v>
      </c>
      <c r="E6754" s="203" t="s">
        <v>2102</v>
      </c>
      <c r="F6754" s="204">
        <v>0.36</v>
      </c>
      <c r="G6754" s="205">
        <f>VLOOKUP(D6754,upahbahan,3,FALSE)</f>
        <v>100000</v>
      </c>
      <c r="H6754" s="210">
        <f t="shared" ref="H6754:H6755" si="516">F6754*G6754</f>
        <v>36000</v>
      </c>
      <c r="L6754" s="200"/>
      <c r="M6754" s="200"/>
      <c r="N6754" s="200"/>
      <c r="O6754" s="200"/>
      <c r="P6754" s="200"/>
    </row>
    <row r="6755" spans="3:16" s="517" customFormat="1" ht="31.2" customHeight="1">
      <c r="C6755" s="537">
        <v>2</v>
      </c>
      <c r="D6755" s="196" t="s">
        <v>19</v>
      </c>
      <c r="E6755" s="202" t="s">
        <v>6</v>
      </c>
      <c r="F6755" s="520">
        <v>3.5999999999999997E-2</v>
      </c>
      <c r="G6755" s="205">
        <f>VLOOKUP(D6755,upahbahan,3,FALSE)</f>
        <v>160000</v>
      </c>
      <c r="H6755" s="210">
        <f t="shared" si="516"/>
        <v>5760</v>
      </c>
      <c r="L6755" s="200"/>
      <c r="M6755" s="200"/>
      <c r="N6755" s="200"/>
      <c r="O6755" s="200"/>
      <c r="P6755" s="200"/>
    </row>
    <row r="6756" spans="3:16" s="517" customFormat="1" ht="31.2" customHeight="1">
      <c r="C6756" s="207" t="s">
        <v>1208</v>
      </c>
      <c r="D6756" s="208"/>
      <c r="E6756" s="208"/>
      <c r="F6756" s="521"/>
      <c r="G6756" s="522"/>
      <c r="H6756" s="210">
        <f>SUM(H6754:H6755)</f>
        <v>41760</v>
      </c>
      <c r="L6756" s="523"/>
      <c r="M6756" s="523"/>
      <c r="N6756" s="523"/>
      <c r="O6756" s="523"/>
      <c r="P6756" s="523"/>
    </row>
    <row r="6757" spans="3:16" s="517" customFormat="1" ht="31.2" customHeight="1">
      <c r="C6757" s="543" t="s">
        <v>1209</v>
      </c>
      <c r="D6757" s="750" t="s">
        <v>1210</v>
      </c>
      <c r="E6757" s="197"/>
      <c r="F6757" s="751"/>
      <c r="G6757" s="197"/>
      <c r="H6757" s="752"/>
      <c r="L6757" s="200"/>
      <c r="M6757" s="200"/>
      <c r="N6757" s="200"/>
      <c r="O6757" s="200"/>
      <c r="P6757" s="200"/>
    </row>
    <row r="6758" spans="3:16" s="517" customFormat="1" ht="31.2" customHeight="1">
      <c r="C6758" s="543">
        <v>1</v>
      </c>
      <c r="D6758" s="750" t="s">
        <v>5624</v>
      </c>
      <c r="E6758" s="203" t="s">
        <v>42</v>
      </c>
      <c r="F6758" s="769">
        <v>0.4</v>
      </c>
      <c r="G6758" s="205">
        <f>VLOOKUP(D6758,upahbahan,3,FALSE)</f>
        <v>0</v>
      </c>
      <c r="H6758" s="210">
        <f>F6758*G6758</f>
        <v>0</v>
      </c>
      <c r="L6758" s="200"/>
      <c r="M6758" s="200"/>
      <c r="N6758" s="200"/>
      <c r="O6758" s="200"/>
      <c r="P6758" s="200"/>
    </row>
    <row r="6759" spans="3:16" s="517" customFormat="1" ht="31.2" customHeight="1">
      <c r="C6759" s="543">
        <v>2</v>
      </c>
      <c r="D6759" s="750" t="s">
        <v>5625</v>
      </c>
      <c r="E6759" s="203" t="s">
        <v>65</v>
      </c>
      <c r="F6759" s="769">
        <v>0.5</v>
      </c>
      <c r="G6759" s="205">
        <f>VLOOKUP(D6759,upahbahan,3,FALSE)</f>
        <v>0</v>
      </c>
      <c r="H6759" s="210">
        <f t="shared" ref="H6759" si="517">F6759*G6759</f>
        <v>0</v>
      </c>
      <c r="L6759" s="200"/>
      <c r="M6759" s="200"/>
      <c r="N6759" s="200"/>
      <c r="O6759" s="200"/>
      <c r="P6759" s="200"/>
    </row>
    <row r="6760" spans="3:16" s="517" customFormat="1" ht="31.2" customHeight="1">
      <c r="C6760" s="207" t="s">
        <v>1214</v>
      </c>
      <c r="D6760" s="208"/>
      <c r="E6760" s="568"/>
      <c r="F6760" s="208"/>
      <c r="G6760" s="209"/>
      <c r="H6760" s="210">
        <f>SUM(H6758:H6759)</f>
        <v>0</v>
      </c>
      <c r="L6760" s="200"/>
      <c r="M6760" s="200"/>
      <c r="N6760" s="200"/>
      <c r="O6760" s="200"/>
      <c r="P6760" s="200"/>
    </row>
    <row r="6761" spans="3:16" s="517" customFormat="1" ht="31.2" customHeight="1">
      <c r="C6761" s="195" t="s">
        <v>1215</v>
      </c>
      <c r="D6761" s="196" t="s">
        <v>1216</v>
      </c>
      <c r="E6761" s="203"/>
      <c r="F6761" s="197"/>
      <c r="G6761" s="197"/>
      <c r="H6761" s="198"/>
      <c r="L6761" s="200"/>
      <c r="M6761" s="200"/>
      <c r="N6761" s="200"/>
      <c r="O6761" s="200"/>
      <c r="P6761" s="200"/>
    </row>
    <row r="6762" spans="3:16" s="517" customFormat="1" ht="31.2" customHeight="1">
      <c r="C6762" s="201">
        <v>1</v>
      </c>
      <c r="D6762" s="196" t="s">
        <v>7603</v>
      </c>
      <c r="E6762" s="203" t="s">
        <v>1974</v>
      </c>
      <c r="F6762" s="763">
        <v>7.1400000000000005E-2</v>
      </c>
      <c r="G6762" s="205">
        <f>VLOOKUP(D6762,upahbahan,3,FALSE)</f>
        <v>300000</v>
      </c>
      <c r="H6762" s="210">
        <f>F6762*G6762</f>
        <v>21420</v>
      </c>
      <c r="L6762" s="200"/>
      <c r="M6762" s="200"/>
      <c r="N6762" s="200"/>
      <c r="O6762" s="200"/>
      <c r="P6762" s="200"/>
    </row>
    <row r="6763" spans="3:16" s="517" customFormat="1" ht="31.2" customHeight="1">
      <c r="C6763" s="207" t="s">
        <v>1217</v>
      </c>
      <c r="D6763" s="208"/>
      <c r="E6763" s="208"/>
      <c r="F6763" s="208"/>
      <c r="G6763" s="209"/>
      <c r="H6763" s="770">
        <f>SUM(H6761:H6762)</f>
        <v>21420</v>
      </c>
      <c r="L6763" s="200"/>
      <c r="M6763" s="200"/>
      <c r="N6763" s="200"/>
      <c r="O6763" s="200"/>
      <c r="P6763" s="200"/>
    </row>
    <row r="6764" spans="3:16" s="517" customFormat="1" ht="31.2" customHeight="1">
      <c r="C6764" s="223" t="s">
        <v>1218</v>
      </c>
      <c r="D6764" s="224" t="s">
        <v>1219</v>
      </c>
      <c r="E6764" s="225"/>
      <c r="F6764" s="225"/>
      <c r="G6764" s="226"/>
      <c r="H6764" s="210">
        <f>H6763+H6760+H6756</f>
        <v>63180</v>
      </c>
      <c r="L6764" s="200"/>
      <c r="M6764" s="200"/>
      <c r="N6764" s="200"/>
      <c r="O6764" s="200"/>
      <c r="P6764" s="200"/>
    </row>
    <row r="6765" spans="3:16" s="517" customFormat="1" ht="31.2" customHeight="1">
      <c r="C6765" s="223" t="s">
        <v>1220</v>
      </c>
      <c r="D6765" s="224" t="s">
        <v>1321</v>
      </c>
      <c r="E6765" s="225"/>
      <c r="F6765" s="226"/>
      <c r="G6765" s="228">
        <v>0.1</v>
      </c>
      <c r="H6765" s="210">
        <f>H6764*G6765</f>
        <v>6318</v>
      </c>
      <c r="L6765" s="200"/>
      <c r="M6765" s="200"/>
      <c r="N6765" s="200"/>
      <c r="O6765" s="200"/>
      <c r="P6765" s="200"/>
    </row>
    <row r="6766" spans="3:16" s="517" customFormat="1" ht="31.2" customHeight="1" thickBot="1">
      <c r="C6766" s="229" t="s">
        <v>1221</v>
      </c>
      <c r="D6766" s="230" t="s">
        <v>1222</v>
      </c>
      <c r="E6766" s="231"/>
      <c r="F6766" s="231"/>
      <c r="G6766" s="232"/>
      <c r="H6766" s="233">
        <f>SUM(H6764:H6765)</f>
        <v>69498</v>
      </c>
      <c r="L6766" s="200"/>
      <c r="M6766" s="200"/>
      <c r="N6766" s="200"/>
      <c r="O6766" s="200"/>
      <c r="P6766" s="200"/>
    </row>
    <row r="6767" spans="3:16" ht="31.2" customHeight="1" thickTop="1"/>
    <row r="6768" spans="3:16" ht="31.2" customHeight="1"/>
    <row r="6769" spans="3:20" s="517" customFormat="1" ht="31.2" customHeight="1" thickBot="1">
      <c r="C6769" s="513" t="s">
        <v>5630</v>
      </c>
      <c r="D6769" s="785" t="s">
        <v>7608</v>
      </c>
      <c r="E6769" s="749"/>
      <c r="F6769" s="748"/>
      <c r="G6769" s="748"/>
      <c r="H6769" s="532"/>
      <c r="I6769" s="532"/>
      <c r="J6769" s="532"/>
      <c r="K6769" s="532"/>
      <c r="M6769" s="189"/>
      <c r="N6769" s="189"/>
      <c r="O6769" s="189"/>
      <c r="P6769" s="189"/>
      <c r="R6769" s="189">
        <f>ROUNDDOWN(H6784,-2)</f>
        <v>69400</v>
      </c>
      <c r="S6769" s="517" t="s">
        <v>6452</v>
      </c>
      <c r="T6769" s="517" t="s">
        <v>7602</v>
      </c>
    </row>
    <row r="6770" spans="3:20" s="517" customFormat="1" ht="31.2" customHeight="1" thickTop="1">
      <c r="C6770" s="190" t="s">
        <v>1195</v>
      </c>
      <c r="D6770" s="191" t="s">
        <v>1196</v>
      </c>
      <c r="E6770" s="191" t="s">
        <v>1197</v>
      </c>
      <c r="F6770" s="191" t="s">
        <v>1198</v>
      </c>
      <c r="G6770" s="191" t="s">
        <v>1199</v>
      </c>
      <c r="H6770" s="192" t="s">
        <v>1200</v>
      </c>
      <c r="L6770" s="200"/>
      <c r="M6770" s="200"/>
      <c r="N6770" s="200"/>
      <c r="O6770" s="200"/>
      <c r="P6770" s="200"/>
    </row>
    <row r="6771" spans="3:20" s="517" customFormat="1" ht="31.2" customHeight="1">
      <c r="C6771" s="518" t="s">
        <v>1201</v>
      </c>
      <c r="D6771" s="196" t="s">
        <v>1202</v>
      </c>
      <c r="E6771" s="197"/>
      <c r="F6771" s="197"/>
      <c r="G6771" s="197"/>
      <c r="H6771" s="198"/>
      <c r="L6771" s="200"/>
      <c r="M6771" s="200"/>
      <c r="N6771" s="200"/>
      <c r="O6771" s="200"/>
      <c r="P6771" s="200"/>
    </row>
    <row r="6772" spans="3:20" s="517" customFormat="1" ht="31.2" customHeight="1">
      <c r="C6772" s="518">
        <v>1</v>
      </c>
      <c r="D6772" s="196" t="s">
        <v>5</v>
      </c>
      <c r="E6772" s="203" t="s">
        <v>2102</v>
      </c>
      <c r="F6772" s="204">
        <v>0.36</v>
      </c>
      <c r="G6772" s="205">
        <f>VLOOKUP(D6772,upahbahan,3,FALSE)</f>
        <v>100000</v>
      </c>
      <c r="H6772" s="210">
        <f t="shared" ref="H6772:H6773" si="518">F6772*G6772</f>
        <v>36000</v>
      </c>
      <c r="L6772" s="200"/>
      <c r="M6772" s="200"/>
      <c r="N6772" s="200"/>
      <c r="O6772" s="200"/>
      <c r="P6772" s="200"/>
    </row>
    <row r="6773" spans="3:20" s="517" customFormat="1" ht="31.2" customHeight="1">
      <c r="C6773" s="537">
        <v>2</v>
      </c>
      <c r="D6773" s="196" t="s">
        <v>19</v>
      </c>
      <c r="E6773" s="202" t="s">
        <v>6</v>
      </c>
      <c r="F6773" s="520">
        <v>3.5999999999999997E-2</v>
      </c>
      <c r="G6773" s="205">
        <f>VLOOKUP(D6773,upahbahan,3,FALSE)</f>
        <v>160000</v>
      </c>
      <c r="H6773" s="210">
        <f t="shared" si="518"/>
        <v>5760</v>
      </c>
      <c r="L6773" s="200"/>
      <c r="M6773" s="200"/>
      <c r="N6773" s="200"/>
      <c r="O6773" s="200"/>
      <c r="P6773" s="200"/>
    </row>
    <row r="6774" spans="3:20" s="517" customFormat="1" ht="31.2" customHeight="1">
      <c r="C6774" s="207" t="s">
        <v>1208</v>
      </c>
      <c r="D6774" s="208"/>
      <c r="E6774" s="208"/>
      <c r="F6774" s="521"/>
      <c r="G6774" s="522"/>
      <c r="H6774" s="210">
        <f>SUM(H6772:H6773)</f>
        <v>41760</v>
      </c>
      <c r="L6774" s="523"/>
      <c r="M6774" s="523"/>
      <c r="N6774" s="523"/>
      <c r="O6774" s="523"/>
      <c r="P6774" s="523"/>
    </row>
    <row r="6775" spans="3:20" s="517" customFormat="1" ht="31.2" customHeight="1">
      <c r="C6775" s="543" t="s">
        <v>1209</v>
      </c>
      <c r="D6775" s="750" t="s">
        <v>1210</v>
      </c>
      <c r="E6775" s="197"/>
      <c r="F6775" s="751"/>
      <c r="G6775" s="197"/>
      <c r="H6775" s="752"/>
      <c r="L6775" s="200"/>
      <c r="M6775" s="200"/>
      <c r="N6775" s="200"/>
      <c r="O6775" s="200"/>
      <c r="P6775" s="200"/>
    </row>
    <row r="6776" spans="3:20" s="517" customFormat="1" ht="31.2" customHeight="1">
      <c r="C6776" s="543">
        <v>1</v>
      </c>
      <c r="D6776" s="750" t="s">
        <v>5624</v>
      </c>
      <c r="E6776" s="203" t="s">
        <v>42</v>
      </c>
      <c r="F6776" s="769">
        <v>0.35</v>
      </c>
      <c r="G6776" s="205">
        <f>VLOOKUP(D6776,upahbahan,3,FALSE)</f>
        <v>0</v>
      </c>
      <c r="H6776" s="210">
        <f>F6776*G6776</f>
        <v>0</v>
      </c>
      <c r="L6776" s="200"/>
      <c r="M6776" s="200"/>
      <c r="N6776" s="200"/>
      <c r="O6776" s="200"/>
      <c r="P6776" s="200"/>
    </row>
    <row r="6777" spans="3:20" s="517" customFormat="1" ht="31.2" customHeight="1">
      <c r="C6777" s="543">
        <v>2</v>
      </c>
      <c r="D6777" s="750" t="s">
        <v>5625</v>
      </c>
      <c r="E6777" s="203" t="s">
        <v>65</v>
      </c>
      <c r="F6777" s="769">
        <v>0.75</v>
      </c>
      <c r="G6777" s="205">
        <f>VLOOKUP(D6777,upahbahan,3,FALSE)</f>
        <v>0</v>
      </c>
      <c r="H6777" s="210">
        <f t="shared" ref="H6777" si="519">F6777*G6777</f>
        <v>0</v>
      </c>
      <c r="L6777" s="200"/>
      <c r="M6777" s="200"/>
      <c r="N6777" s="200"/>
      <c r="O6777" s="200"/>
      <c r="P6777" s="200"/>
    </row>
    <row r="6778" spans="3:20" s="517" customFormat="1" ht="31.2" customHeight="1">
      <c r="C6778" s="207" t="s">
        <v>1214</v>
      </c>
      <c r="D6778" s="208"/>
      <c r="E6778" s="568"/>
      <c r="F6778" s="208"/>
      <c r="G6778" s="209"/>
      <c r="H6778" s="210">
        <f>SUM(H6776:H6777)</f>
        <v>0</v>
      </c>
      <c r="L6778" s="200"/>
      <c r="M6778" s="200"/>
      <c r="N6778" s="200"/>
      <c r="O6778" s="200"/>
      <c r="P6778" s="200"/>
    </row>
    <row r="6779" spans="3:20" s="517" customFormat="1" ht="31.2" customHeight="1">
      <c r="C6779" s="195" t="s">
        <v>1215</v>
      </c>
      <c r="D6779" s="196" t="s">
        <v>1216</v>
      </c>
      <c r="E6779" s="203"/>
      <c r="F6779" s="197"/>
      <c r="G6779" s="197"/>
      <c r="H6779" s="198"/>
      <c r="L6779" s="200"/>
      <c r="M6779" s="200"/>
      <c r="N6779" s="200"/>
      <c r="O6779" s="200"/>
      <c r="P6779" s="200"/>
    </row>
    <row r="6780" spans="3:20" s="517" customFormat="1" ht="31.2" customHeight="1">
      <c r="C6780" s="201">
        <v>1</v>
      </c>
      <c r="D6780" s="196" t="s">
        <v>7603</v>
      </c>
      <c r="E6780" s="203" t="s">
        <v>1974</v>
      </c>
      <c r="F6780" s="763">
        <v>7.1400000000000005E-2</v>
      </c>
      <c r="G6780" s="205">
        <f>VLOOKUP(D6780,upahbahan,3,FALSE)</f>
        <v>300000</v>
      </c>
      <c r="H6780" s="210">
        <f>F6780*G6780</f>
        <v>21420</v>
      </c>
      <c r="L6780" s="200"/>
      <c r="M6780" s="200"/>
      <c r="N6780" s="200"/>
      <c r="O6780" s="200"/>
      <c r="P6780" s="200"/>
    </row>
    <row r="6781" spans="3:20" s="517" customFormat="1" ht="31.2" customHeight="1">
      <c r="C6781" s="207" t="s">
        <v>1217</v>
      </c>
      <c r="D6781" s="208"/>
      <c r="E6781" s="208"/>
      <c r="F6781" s="208"/>
      <c r="G6781" s="209"/>
      <c r="H6781" s="770">
        <f>SUM(H6779:H6780)</f>
        <v>21420</v>
      </c>
      <c r="L6781" s="200"/>
      <c r="M6781" s="200"/>
      <c r="N6781" s="200"/>
      <c r="O6781" s="200"/>
      <c r="P6781" s="200"/>
    </row>
    <row r="6782" spans="3:20" s="517" customFormat="1" ht="31.2" customHeight="1">
      <c r="C6782" s="223" t="s">
        <v>1218</v>
      </c>
      <c r="D6782" s="224" t="s">
        <v>1219</v>
      </c>
      <c r="E6782" s="225"/>
      <c r="F6782" s="225"/>
      <c r="G6782" s="226"/>
      <c r="H6782" s="210">
        <f>H6781+H6778+H6774</f>
        <v>63180</v>
      </c>
      <c r="L6782" s="200"/>
      <c r="M6782" s="200"/>
      <c r="N6782" s="200"/>
      <c r="O6782" s="200"/>
      <c r="P6782" s="200"/>
    </row>
    <row r="6783" spans="3:20" s="517" customFormat="1" ht="31.2" customHeight="1">
      <c r="C6783" s="223" t="s">
        <v>1220</v>
      </c>
      <c r="D6783" s="224" t="s">
        <v>1321</v>
      </c>
      <c r="E6783" s="225"/>
      <c r="F6783" s="226"/>
      <c r="G6783" s="228">
        <v>0.1</v>
      </c>
      <c r="H6783" s="210">
        <f>H6782*G6783</f>
        <v>6318</v>
      </c>
      <c r="L6783" s="200"/>
      <c r="M6783" s="200"/>
      <c r="N6783" s="200"/>
      <c r="O6783" s="200"/>
      <c r="P6783" s="200"/>
    </row>
    <row r="6784" spans="3:20" s="517" customFormat="1" ht="31.2" customHeight="1" thickBot="1">
      <c r="C6784" s="229" t="s">
        <v>1221</v>
      </c>
      <c r="D6784" s="230" t="s">
        <v>1222</v>
      </c>
      <c r="E6784" s="231"/>
      <c r="F6784" s="231"/>
      <c r="G6784" s="232"/>
      <c r="H6784" s="233">
        <f>SUM(H6782:H6783)</f>
        <v>69498</v>
      </c>
      <c r="L6784" s="200"/>
      <c r="M6784" s="200"/>
      <c r="N6784" s="200"/>
      <c r="O6784" s="200"/>
      <c r="P6784" s="200"/>
    </row>
    <row r="6785" spans="3:20" ht="31.2" customHeight="1" thickTop="1"/>
    <row r="6786" spans="3:20" ht="31.2" customHeight="1"/>
    <row r="6787" spans="3:20" s="517" customFormat="1" ht="31.2" customHeight="1" thickBot="1">
      <c r="C6787" s="513" t="s">
        <v>5631</v>
      </c>
      <c r="D6787" s="785" t="s">
        <v>7609</v>
      </c>
      <c r="E6787" s="749"/>
      <c r="F6787" s="748"/>
      <c r="G6787" s="748"/>
      <c r="H6787" s="532"/>
      <c r="I6787" s="532"/>
      <c r="J6787" s="532"/>
      <c r="K6787" s="532"/>
      <c r="M6787" s="189"/>
      <c r="N6787" s="189"/>
      <c r="O6787" s="189"/>
      <c r="P6787" s="189"/>
      <c r="R6787" s="189">
        <f>ROUNDDOWN(H6803,-2)</f>
        <v>69400</v>
      </c>
      <c r="S6787" s="517" t="s">
        <v>6452</v>
      </c>
      <c r="T6787" s="517" t="s">
        <v>7602</v>
      </c>
    </row>
    <row r="6788" spans="3:20" s="517" customFormat="1" ht="31.2" customHeight="1" thickTop="1">
      <c r="C6788" s="190" t="s">
        <v>1195</v>
      </c>
      <c r="D6788" s="191" t="s">
        <v>1196</v>
      </c>
      <c r="E6788" s="191" t="s">
        <v>1197</v>
      </c>
      <c r="F6788" s="191" t="s">
        <v>1198</v>
      </c>
      <c r="G6788" s="191" t="s">
        <v>1199</v>
      </c>
      <c r="H6788" s="192" t="s">
        <v>1200</v>
      </c>
      <c r="L6788" s="200"/>
      <c r="M6788" s="200"/>
      <c r="N6788" s="200"/>
      <c r="O6788" s="200"/>
      <c r="P6788" s="200"/>
    </row>
    <row r="6789" spans="3:20" s="517" customFormat="1" ht="31.2" customHeight="1">
      <c r="C6789" s="518" t="s">
        <v>1201</v>
      </c>
      <c r="D6789" s="196" t="s">
        <v>1202</v>
      </c>
      <c r="E6789" s="197"/>
      <c r="F6789" s="197"/>
      <c r="G6789" s="197"/>
      <c r="H6789" s="198"/>
      <c r="L6789" s="200"/>
      <c r="M6789" s="200"/>
      <c r="N6789" s="200"/>
      <c r="O6789" s="200"/>
      <c r="P6789" s="200"/>
    </row>
    <row r="6790" spans="3:20" s="517" customFormat="1" ht="31.2" customHeight="1">
      <c r="C6790" s="518">
        <v>1</v>
      </c>
      <c r="D6790" s="196" t="s">
        <v>5</v>
      </c>
      <c r="E6790" s="203" t="s">
        <v>2102</v>
      </c>
      <c r="F6790" s="204">
        <v>0.36</v>
      </c>
      <c r="G6790" s="205">
        <f>VLOOKUP(D6790,upahbahan,3,FALSE)</f>
        <v>100000</v>
      </c>
      <c r="H6790" s="210">
        <f t="shared" ref="H6790:H6791" si="520">F6790*G6790</f>
        <v>36000</v>
      </c>
      <c r="L6790" s="200"/>
      <c r="M6790" s="200"/>
      <c r="N6790" s="200"/>
      <c r="O6790" s="200"/>
      <c r="P6790" s="200"/>
    </row>
    <row r="6791" spans="3:20" s="517" customFormat="1" ht="31.2" customHeight="1">
      <c r="C6791" s="537">
        <v>2</v>
      </c>
      <c r="D6791" s="196" t="s">
        <v>19</v>
      </c>
      <c r="E6791" s="202" t="s">
        <v>6</v>
      </c>
      <c r="F6791" s="520">
        <v>3.5999999999999997E-2</v>
      </c>
      <c r="G6791" s="205">
        <f>VLOOKUP(D6791,upahbahan,3,FALSE)</f>
        <v>160000</v>
      </c>
      <c r="H6791" s="210">
        <f t="shared" si="520"/>
        <v>5760</v>
      </c>
      <c r="L6791" s="200"/>
      <c r="M6791" s="200"/>
      <c r="N6791" s="200"/>
      <c r="O6791" s="200"/>
      <c r="P6791" s="200"/>
    </row>
    <row r="6792" spans="3:20" s="517" customFormat="1" ht="31.2" customHeight="1">
      <c r="C6792" s="207" t="s">
        <v>1208</v>
      </c>
      <c r="D6792" s="208"/>
      <c r="E6792" s="208"/>
      <c r="F6792" s="521"/>
      <c r="G6792" s="522"/>
      <c r="H6792" s="210">
        <f>SUM(H6790:H6791)</f>
        <v>41760</v>
      </c>
      <c r="L6792" s="523"/>
      <c r="M6792" s="523"/>
      <c r="N6792" s="523"/>
      <c r="O6792" s="523"/>
      <c r="P6792" s="523"/>
    </row>
    <row r="6793" spans="3:20" s="517" customFormat="1" ht="31.2" customHeight="1">
      <c r="C6793" s="543" t="s">
        <v>1209</v>
      </c>
      <c r="D6793" s="750" t="s">
        <v>1210</v>
      </c>
      <c r="E6793" s="197"/>
      <c r="F6793" s="751"/>
      <c r="G6793" s="197"/>
      <c r="H6793" s="752"/>
      <c r="L6793" s="200"/>
      <c r="M6793" s="200"/>
      <c r="N6793" s="200"/>
      <c r="O6793" s="200"/>
      <c r="P6793" s="200"/>
    </row>
    <row r="6794" spans="3:20" s="517" customFormat="1" ht="31.2" customHeight="1">
      <c r="C6794" s="543">
        <v>1</v>
      </c>
      <c r="D6794" s="750" t="s">
        <v>5624</v>
      </c>
      <c r="E6794" s="203" t="s">
        <v>42</v>
      </c>
      <c r="F6794" s="769">
        <v>0.4</v>
      </c>
      <c r="G6794" s="205">
        <f>VLOOKUP(D6794,upahbahan,3,FALSE)</f>
        <v>0</v>
      </c>
      <c r="H6794" s="210">
        <f>F6794*G6794</f>
        <v>0</v>
      </c>
      <c r="L6794" s="200"/>
      <c r="M6794" s="200"/>
      <c r="N6794" s="200"/>
      <c r="O6794" s="200"/>
      <c r="P6794" s="200"/>
    </row>
    <row r="6795" spans="3:20" s="517" customFormat="1" ht="31.2" customHeight="1">
      <c r="C6795" s="543">
        <v>2</v>
      </c>
      <c r="D6795" s="750" t="s">
        <v>1980</v>
      </c>
      <c r="E6795" s="203"/>
      <c r="F6795" s="769">
        <v>0.15</v>
      </c>
      <c r="G6795" s="205">
        <f>VLOOKUP(D6795,upahbahan,3,FALSE)</f>
        <v>0</v>
      </c>
      <c r="H6795" s="210">
        <f t="shared" ref="H6795:H6796" si="521">F6795*G6795</f>
        <v>0</v>
      </c>
      <c r="L6795" s="200"/>
      <c r="M6795" s="200"/>
      <c r="N6795" s="200"/>
      <c r="O6795" s="200"/>
      <c r="P6795" s="200"/>
    </row>
    <row r="6796" spans="3:20" s="517" customFormat="1" ht="31.2" customHeight="1">
      <c r="C6796" s="543">
        <v>3</v>
      </c>
      <c r="D6796" s="750" t="s">
        <v>5625</v>
      </c>
      <c r="E6796" s="203" t="s">
        <v>65</v>
      </c>
      <c r="F6796" s="769">
        <v>1</v>
      </c>
      <c r="G6796" s="205">
        <f>VLOOKUP(D6796,upahbahan,3,FALSE)</f>
        <v>0</v>
      </c>
      <c r="H6796" s="210">
        <f t="shared" si="521"/>
        <v>0</v>
      </c>
      <c r="L6796" s="200"/>
      <c r="M6796" s="200"/>
      <c r="N6796" s="200"/>
      <c r="O6796" s="200"/>
      <c r="P6796" s="200"/>
    </row>
    <row r="6797" spans="3:20" s="517" customFormat="1" ht="31.2" customHeight="1">
      <c r="C6797" s="207" t="s">
        <v>1214</v>
      </c>
      <c r="D6797" s="208"/>
      <c r="E6797" s="568"/>
      <c r="F6797" s="208"/>
      <c r="G6797" s="209"/>
      <c r="H6797" s="210">
        <f>SUM(H6794:H6796)</f>
        <v>0</v>
      </c>
      <c r="L6797" s="200"/>
      <c r="M6797" s="200"/>
      <c r="N6797" s="200"/>
      <c r="O6797" s="200"/>
      <c r="P6797" s="200"/>
    </row>
    <row r="6798" spans="3:20" s="517" customFormat="1" ht="31.2" customHeight="1">
      <c r="C6798" s="195" t="s">
        <v>1215</v>
      </c>
      <c r="D6798" s="196" t="s">
        <v>1216</v>
      </c>
      <c r="E6798" s="203"/>
      <c r="F6798" s="197"/>
      <c r="G6798" s="197"/>
      <c r="H6798" s="198"/>
      <c r="L6798" s="200"/>
      <c r="M6798" s="200"/>
      <c r="N6798" s="200"/>
      <c r="O6798" s="200"/>
      <c r="P6798" s="200"/>
    </row>
    <row r="6799" spans="3:20" s="517" customFormat="1" ht="31.2" customHeight="1">
      <c r="C6799" s="201">
        <v>1</v>
      </c>
      <c r="D6799" s="196" t="s">
        <v>7603</v>
      </c>
      <c r="E6799" s="203" t="s">
        <v>1974</v>
      </c>
      <c r="F6799" s="763">
        <v>7.1400000000000005E-2</v>
      </c>
      <c r="G6799" s="205">
        <f>VLOOKUP(D6799,upahbahan,3,FALSE)</f>
        <v>300000</v>
      </c>
      <c r="H6799" s="210">
        <f>F6799*G6799</f>
        <v>21420</v>
      </c>
      <c r="L6799" s="200"/>
      <c r="M6799" s="200"/>
      <c r="N6799" s="200"/>
      <c r="O6799" s="200"/>
      <c r="P6799" s="200"/>
    </row>
    <row r="6800" spans="3:20" s="517" customFormat="1" ht="31.2" customHeight="1">
      <c r="C6800" s="207" t="s">
        <v>1217</v>
      </c>
      <c r="D6800" s="208"/>
      <c r="E6800" s="208"/>
      <c r="F6800" s="208"/>
      <c r="G6800" s="209"/>
      <c r="H6800" s="770">
        <f>SUM(H6798:H6799)</f>
        <v>21420</v>
      </c>
      <c r="L6800" s="200"/>
      <c r="M6800" s="200"/>
      <c r="N6800" s="200"/>
      <c r="O6800" s="200"/>
      <c r="P6800" s="200"/>
    </row>
    <row r="6801" spans="3:20" s="517" customFormat="1" ht="31.2" customHeight="1">
      <c r="C6801" s="223" t="s">
        <v>1218</v>
      </c>
      <c r="D6801" s="224" t="s">
        <v>1219</v>
      </c>
      <c r="E6801" s="225"/>
      <c r="F6801" s="225"/>
      <c r="G6801" s="226"/>
      <c r="H6801" s="210">
        <f>H6800+H6797+H6792</f>
        <v>63180</v>
      </c>
      <c r="L6801" s="200"/>
      <c r="M6801" s="200"/>
      <c r="N6801" s="200"/>
      <c r="O6801" s="200"/>
      <c r="P6801" s="200"/>
    </row>
    <row r="6802" spans="3:20" s="517" customFormat="1" ht="31.2" customHeight="1">
      <c r="C6802" s="223" t="s">
        <v>1220</v>
      </c>
      <c r="D6802" s="224" t="s">
        <v>1321</v>
      </c>
      <c r="E6802" s="225"/>
      <c r="F6802" s="226"/>
      <c r="G6802" s="228">
        <v>0.1</v>
      </c>
      <c r="H6802" s="210">
        <f>H6801*G6802</f>
        <v>6318</v>
      </c>
      <c r="L6802" s="200"/>
      <c r="M6802" s="200"/>
      <c r="N6802" s="200"/>
      <c r="O6802" s="200"/>
      <c r="P6802" s="200"/>
    </row>
    <row r="6803" spans="3:20" s="517" customFormat="1" ht="31.2" customHeight="1" thickBot="1">
      <c r="C6803" s="229" t="s">
        <v>1221</v>
      </c>
      <c r="D6803" s="230" t="s">
        <v>1222</v>
      </c>
      <c r="E6803" s="231"/>
      <c r="F6803" s="231"/>
      <c r="G6803" s="232"/>
      <c r="H6803" s="233">
        <f>SUM(H6801:H6802)</f>
        <v>69498</v>
      </c>
      <c r="L6803" s="200"/>
      <c r="M6803" s="200"/>
      <c r="N6803" s="200"/>
      <c r="O6803" s="200"/>
      <c r="P6803" s="200"/>
    </row>
    <row r="6804" spans="3:20" ht="31.2" customHeight="1" thickTop="1"/>
    <row r="6805" spans="3:20" ht="31.2" customHeight="1"/>
    <row r="6806" spans="3:20" s="517" customFormat="1" ht="31.2" customHeight="1" thickBot="1">
      <c r="C6806" s="513" t="s">
        <v>5634</v>
      </c>
      <c r="D6806" s="785" t="s">
        <v>7610</v>
      </c>
      <c r="E6806" s="749"/>
      <c r="F6806" s="748"/>
      <c r="G6806" s="748"/>
      <c r="H6806" s="532"/>
      <c r="I6806" s="532"/>
      <c r="J6806" s="532"/>
      <c r="K6806" s="532"/>
      <c r="M6806" s="189"/>
      <c r="N6806" s="189"/>
      <c r="O6806" s="189"/>
      <c r="P6806" s="189"/>
      <c r="R6806" s="189">
        <f>ROUNDDOWN(H6821,-2)</f>
        <v>69400</v>
      </c>
      <c r="S6806" s="517" t="s">
        <v>6452</v>
      </c>
      <c r="T6806" s="517" t="s">
        <v>7602</v>
      </c>
    </row>
    <row r="6807" spans="3:20" s="517" customFormat="1" ht="31.2" customHeight="1" thickTop="1">
      <c r="C6807" s="190" t="s">
        <v>1195</v>
      </c>
      <c r="D6807" s="191" t="s">
        <v>1196</v>
      </c>
      <c r="E6807" s="191" t="s">
        <v>1197</v>
      </c>
      <c r="F6807" s="191" t="s">
        <v>1198</v>
      </c>
      <c r="G6807" s="191" t="s">
        <v>1199</v>
      </c>
      <c r="H6807" s="192" t="s">
        <v>1200</v>
      </c>
      <c r="L6807" s="200"/>
      <c r="M6807" s="200"/>
      <c r="N6807" s="200"/>
      <c r="O6807" s="200"/>
      <c r="P6807" s="200"/>
    </row>
    <row r="6808" spans="3:20" s="517" customFormat="1" ht="31.2" customHeight="1">
      <c r="C6808" s="518" t="s">
        <v>1201</v>
      </c>
      <c r="D6808" s="196" t="s">
        <v>1202</v>
      </c>
      <c r="E6808" s="197"/>
      <c r="F6808" s="197"/>
      <c r="G6808" s="197"/>
      <c r="H6808" s="198"/>
      <c r="L6808" s="200"/>
      <c r="M6808" s="200"/>
      <c r="N6808" s="200"/>
      <c r="O6808" s="200"/>
      <c r="P6808" s="200"/>
    </row>
    <row r="6809" spans="3:20" s="517" customFormat="1" ht="31.2" customHeight="1">
      <c r="C6809" s="518">
        <v>1</v>
      </c>
      <c r="D6809" s="196" t="s">
        <v>5</v>
      </c>
      <c r="E6809" s="203" t="s">
        <v>2102</v>
      </c>
      <c r="F6809" s="204">
        <v>0.36</v>
      </c>
      <c r="G6809" s="205">
        <f>VLOOKUP(D6809,upahbahan,3,FALSE)</f>
        <v>100000</v>
      </c>
      <c r="H6809" s="210">
        <f t="shared" ref="H6809:H6810" si="522">F6809*G6809</f>
        <v>36000</v>
      </c>
      <c r="L6809" s="200"/>
      <c r="M6809" s="200"/>
      <c r="N6809" s="200"/>
      <c r="O6809" s="200"/>
      <c r="P6809" s="200"/>
    </row>
    <row r="6810" spans="3:20" s="517" customFormat="1" ht="31.2" customHeight="1">
      <c r="C6810" s="537">
        <v>2</v>
      </c>
      <c r="D6810" s="196" t="s">
        <v>19</v>
      </c>
      <c r="E6810" s="202" t="s">
        <v>6</v>
      </c>
      <c r="F6810" s="520">
        <v>3.5999999999999997E-2</v>
      </c>
      <c r="G6810" s="205">
        <f>VLOOKUP(D6810,upahbahan,3,FALSE)</f>
        <v>160000</v>
      </c>
      <c r="H6810" s="210">
        <f t="shared" si="522"/>
        <v>5760</v>
      </c>
      <c r="L6810" s="200"/>
      <c r="M6810" s="200"/>
      <c r="N6810" s="200"/>
      <c r="O6810" s="200"/>
      <c r="P6810" s="200"/>
    </row>
    <row r="6811" spans="3:20" s="517" customFormat="1" ht="31.2" customHeight="1">
      <c r="C6811" s="207" t="s">
        <v>1208</v>
      </c>
      <c r="D6811" s="208"/>
      <c r="E6811" s="208"/>
      <c r="F6811" s="521"/>
      <c r="G6811" s="522"/>
      <c r="H6811" s="210">
        <f>SUM(H6809:H6810)</f>
        <v>41760</v>
      </c>
      <c r="L6811" s="523"/>
      <c r="M6811" s="523"/>
      <c r="N6811" s="523"/>
      <c r="O6811" s="523"/>
      <c r="P6811" s="523"/>
    </row>
    <row r="6812" spans="3:20" s="517" customFormat="1" ht="31.2" customHeight="1">
      <c r="C6812" s="543" t="s">
        <v>1209</v>
      </c>
      <c r="D6812" s="750" t="s">
        <v>1210</v>
      </c>
      <c r="E6812" s="197"/>
      <c r="F6812" s="751"/>
      <c r="G6812" s="197"/>
      <c r="H6812" s="752"/>
      <c r="L6812" s="200"/>
      <c r="M6812" s="200"/>
      <c r="N6812" s="200"/>
      <c r="O6812" s="200"/>
      <c r="P6812" s="200"/>
    </row>
    <row r="6813" spans="3:20" s="517" customFormat="1" ht="31.2" customHeight="1">
      <c r="C6813" s="543">
        <v>1</v>
      </c>
      <c r="D6813" s="750" t="s">
        <v>5624</v>
      </c>
      <c r="E6813" s="203" t="s">
        <v>42</v>
      </c>
      <c r="F6813" s="769">
        <v>0.35</v>
      </c>
      <c r="G6813" s="205">
        <f>VLOOKUP(D6813,upahbahan,3,FALSE)</f>
        <v>0</v>
      </c>
      <c r="H6813" s="210">
        <f>F6813*G6813</f>
        <v>0</v>
      </c>
      <c r="L6813" s="200"/>
      <c r="M6813" s="200"/>
      <c r="N6813" s="200"/>
      <c r="O6813" s="200"/>
      <c r="P6813" s="200"/>
    </row>
    <row r="6814" spans="3:20" s="517" customFormat="1" ht="31.2" customHeight="1">
      <c r="C6814" s="543">
        <v>2</v>
      </c>
      <c r="D6814" s="750" t="s">
        <v>5633</v>
      </c>
      <c r="E6814" s="203" t="s">
        <v>65</v>
      </c>
      <c r="F6814" s="769">
        <v>0.15</v>
      </c>
      <c r="G6814" s="205">
        <f>VLOOKUP(D6814,upahbahan,3,FALSE)</f>
        <v>0</v>
      </c>
      <c r="H6814" s="210">
        <f t="shared" ref="H6814" si="523">F6814*G6814</f>
        <v>0</v>
      </c>
      <c r="L6814" s="200"/>
      <c r="M6814" s="200"/>
      <c r="N6814" s="200"/>
      <c r="O6814" s="200"/>
      <c r="P6814" s="200"/>
    </row>
    <row r="6815" spans="3:20" s="517" customFormat="1" ht="31.2" customHeight="1">
      <c r="C6815" s="207" t="s">
        <v>1214</v>
      </c>
      <c r="D6815" s="208"/>
      <c r="E6815" s="568"/>
      <c r="F6815" s="208"/>
      <c r="G6815" s="209"/>
      <c r="H6815" s="210">
        <f>SUM(H6813:H6814)</f>
        <v>0</v>
      </c>
      <c r="L6815" s="200"/>
      <c r="M6815" s="200"/>
      <c r="N6815" s="200"/>
      <c r="O6815" s="200"/>
      <c r="P6815" s="200"/>
    </row>
    <row r="6816" spans="3:20" s="517" customFormat="1" ht="31.2" customHeight="1">
      <c r="C6816" s="195" t="s">
        <v>1215</v>
      </c>
      <c r="D6816" s="196" t="s">
        <v>1216</v>
      </c>
      <c r="E6816" s="203"/>
      <c r="F6816" s="197"/>
      <c r="G6816" s="197"/>
      <c r="H6816" s="198"/>
      <c r="L6816" s="200"/>
      <c r="M6816" s="200"/>
      <c r="N6816" s="200"/>
      <c r="O6816" s="200"/>
      <c r="P6816" s="200"/>
    </row>
    <row r="6817" spans="3:20" s="517" customFormat="1" ht="31.2" customHeight="1">
      <c r="C6817" s="201">
        <v>1</v>
      </c>
      <c r="D6817" s="196" t="s">
        <v>7603</v>
      </c>
      <c r="E6817" s="203" t="s">
        <v>1974</v>
      </c>
      <c r="F6817" s="763">
        <v>7.1400000000000005E-2</v>
      </c>
      <c r="G6817" s="205">
        <f>VLOOKUP(D6817,upahbahan,3,FALSE)</f>
        <v>300000</v>
      </c>
      <c r="H6817" s="210">
        <f>F6817*G6817</f>
        <v>21420</v>
      </c>
      <c r="L6817" s="200"/>
      <c r="M6817" s="200"/>
      <c r="N6817" s="200"/>
      <c r="O6817" s="200"/>
      <c r="P6817" s="200"/>
    </row>
    <row r="6818" spans="3:20" s="517" customFormat="1" ht="31.2" customHeight="1">
      <c r="C6818" s="207" t="s">
        <v>1217</v>
      </c>
      <c r="D6818" s="208"/>
      <c r="E6818" s="208"/>
      <c r="F6818" s="208"/>
      <c r="G6818" s="209"/>
      <c r="H6818" s="770">
        <f>SUM(H6816:H6817)</f>
        <v>21420</v>
      </c>
      <c r="L6818" s="200"/>
      <c r="M6818" s="200"/>
      <c r="N6818" s="200"/>
      <c r="O6818" s="200"/>
      <c r="P6818" s="200"/>
    </row>
    <row r="6819" spans="3:20" s="517" customFormat="1" ht="31.2" customHeight="1">
      <c r="C6819" s="223" t="s">
        <v>1218</v>
      </c>
      <c r="D6819" s="224" t="s">
        <v>1219</v>
      </c>
      <c r="E6819" s="225"/>
      <c r="F6819" s="225"/>
      <c r="G6819" s="226"/>
      <c r="H6819" s="210">
        <f>H6818+H6815+H6811</f>
        <v>63180</v>
      </c>
      <c r="L6819" s="200"/>
      <c r="M6819" s="200"/>
      <c r="N6819" s="200"/>
      <c r="O6819" s="200"/>
      <c r="P6819" s="200"/>
    </row>
    <row r="6820" spans="3:20" s="517" customFormat="1" ht="31.2" customHeight="1">
      <c r="C6820" s="223" t="s">
        <v>1220</v>
      </c>
      <c r="D6820" s="224" t="s">
        <v>1321</v>
      </c>
      <c r="E6820" s="225"/>
      <c r="F6820" s="226"/>
      <c r="G6820" s="228">
        <v>0.1</v>
      </c>
      <c r="H6820" s="210">
        <f>H6819*G6820</f>
        <v>6318</v>
      </c>
      <c r="L6820" s="200"/>
      <c r="M6820" s="200"/>
      <c r="N6820" s="200"/>
      <c r="O6820" s="200"/>
      <c r="P6820" s="200"/>
    </row>
    <row r="6821" spans="3:20" s="517" customFormat="1" ht="31.2" customHeight="1" thickBot="1">
      <c r="C6821" s="229" t="s">
        <v>1221</v>
      </c>
      <c r="D6821" s="230" t="s">
        <v>1222</v>
      </c>
      <c r="E6821" s="231"/>
      <c r="F6821" s="231"/>
      <c r="G6821" s="232"/>
      <c r="H6821" s="233">
        <f>SUM(H6819:H6820)</f>
        <v>69498</v>
      </c>
      <c r="L6821" s="200"/>
      <c r="M6821" s="200"/>
      <c r="N6821" s="200"/>
      <c r="O6821" s="200"/>
      <c r="P6821" s="200"/>
    </row>
    <row r="6822" spans="3:20" ht="31.2" customHeight="1" thickTop="1"/>
    <row r="6823" spans="3:20" ht="31.2" customHeight="1"/>
    <row r="6824" spans="3:20" s="517" customFormat="1" ht="31.2" customHeight="1" thickBot="1">
      <c r="C6824" s="513" t="s">
        <v>5635</v>
      </c>
      <c r="D6824" s="785" t="s">
        <v>7611</v>
      </c>
      <c r="E6824" s="749"/>
      <c r="F6824" s="748"/>
      <c r="G6824" s="748"/>
      <c r="H6824" s="532"/>
      <c r="I6824" s="532"/>
      <c r="J6824" s="532"/>
      <c r="K6824" s="532"/>
      <c r="M6824" s="189"/>
      <c r="N6824" s="189"/>
      <c r="O6824" s="189"/>
      <c r="P6824" s="189"/>
      <c r="R6824" s="189">
        <f>ROUNDDOWN(H6839,-2)</f>
        <v>69400</v>
      </c>
      <c r="S6824" s="517" t="s">
        <v>6452</v>
      </c>
      <c r="T6824" s="517" t="s">
        <v>7602</v>
      </c>
    </row>
    <row r="6825" spans="3:20" s="517" customFormat="1" ht="31.2" customHeight="1" thickTop="1">
      <c r="C6825" s="190" t="s">
        <v>1195</v>
      </c>
      <c r="D6825" s="191" t="s">
        <v>1196</v>
      </c>
      <c r="E6825" s="191" t="s">
        <v>1197</v>
      </c>
      <c r="F6825" s="191" t="s">
        <v>1198</v>
      </c>
      <c r="G6825" s="191" t="s">
        <v>1199</v>
      </c>
      <c r="H6825" s="192" t="s">
        <v>1200</v>
      </c>
      <c r="L6825" s="200"/>
      <c r="M6825" s="200"/>
      <c r="N6825" s="200"/>
      <c r="O6825" s="200"/>
      <c r="P6825" s="200"/>
    </row>
    <row r="6826" spans="3:20" s="517" customFormat="1" ht="31.2" customHeight="1">
      <c r="C6826" s="518" t="s">
        <v>1201</v>
      </c>
      <c r="D6826" s="196" t="s">
        <v>1202</v>
      </c>
      <c r="E6826" s="197"/>
      <c r="F6826" s="197"/>
      <c r="G6826" s="197"/>
      <c r="H6826" s="198"/>
      <c r="L6826" s="200"/>
      <c r="M6826" s="200"/>
      <c r="N6826" s="200"/>
      <c r="O6826" s="200"/>
      <c r="P6826" s="200"/>
    </row>
    <row r="6827" spans="3:20" s="517" customFormat="1" ht="31.2" customHeight="1">
      <c r="C6827" s="518">
        <v>1</v>
      </c>
      <c r="D6827" s="196" t="s">
        <v>5</v>
      </c>
      <c r="E6827" s="203" t="s">
        <v>2102</v>
      </c>
      <c r="F6827" s="204">
        <v>0.36</v>
      </c>
      <c r="G6827" s="205">
        <f>VLOOKUP(D6827,upahbahan,3,FALSE)</f>
        <v>100000</v>
      </c>
      <c r="H6827" s="210">
        <f t="shared" ref="H6827:H6828" si="524">F6827*G6827</f>
        <v>36000</v>
      </c>
      <c r="L6827" s="200"/>
      <c r="M6827" s="200"/>
      <c r="N6827" s="200"/>
      <c r="O6827" s="200"/>
      <c r="P6827" s="200"/>
    </row>
    <row r="6828" spans="3:20" s="517" customFormat="1" ht="31.2" customHeight="1">
      <c r="C6828" s="537">
        <v>2</v>
      </c>
      <c r="D6828" s="196" t="s">
        <v>19</v>
      </c>
      <c r="E6828" s="202" t="s">
        <v>6</v>
      </c>
      <c r="F6828" s="520">
        <v>3.5999999999999997E-2</v>
      </c>
      <c r="G6828" s="205">
        <f>VLOOKUP(D6828,upahbahan,3,FALSE)</f>
        <v>160000</v>
      </c>
      <c r="H6828" s="210">
        <f t="shared" si="524"/>
        <v>5760</v>
      </c>
      <c r="L6828" s="200"/>
      <c r="M6828" s="200"/>
      <c r="N6828" s="200"/>
      <c r="O6828" s="200"/>
      <c r="P6828" s="200"/>
    </row>
    <row r="6829" spans="3:20" s="517" customFormat="1" ht="31.2" customHeight="1">
      <c r="C6829" s="207" t="s">
        <v>1208</v>
      </c>
      <c r="D6829" s="208"/>
      <c r="E6829" s="208"/>
      <c r="F6829" s="521"/>
      <c r="G6829" s="522"/>
      <c r="H6829" s="210">
        <f>SUM(H6827:H6828)</f>
        <v>41760</v>
      </c>
      <c r="L6829" s="523"/>
      <c r="M6829" s="523"/>
      <c r="N6829" s="523"/>
      <c r="O6829" s="523"/>
      <c r="P6829" s="523"/>
    </row>
    <row r="6830" spans="3:20" s="517" customFormat="1" ht="31.2" customHeight="1">
      <c r="C6830" s="543" t="s">
        <v>1209</v>
      </c>
      <c r="D6830" s="750" t="s">
        <v>1210</v>
      </c>
      <c r="E6830" s="197"/>
      <c r="F6830" s="751"/>
      <c r="G6830" s="197"/>
      <c r="H6830" s="752"/>
      <c r="L6830" s="200"/>
      <c r="M6830" s="200"/>
      <c r="N6830" s="200"/>
      <c r="O6830" s="200"/>
      <c r="P6830" s="200"/>
    </row>
    <row r="6831" spans="3:20" s="517" customFormat="1" ht="31.2" customHeight="1">
      <c r="C6831" s="543">
        <v>1</v>
      </c>
      <c r="D6831" s="750" t="s">
        <v>5624</v>
      </c>
      <c r="E6831" s="203" t="s">
        <v>42</v>
      </c>
      <c r="F6831" s="769">
        <v>0.4</v>
      </c>
      <c r="G6831" s="205">
        <f>VLOOKUP(D6831,upahbahan,3,FALSE)</f>
        <v>0</v>
      </c>
      <c r="H6831" s="210">
        <f>F6831*G6831</f>
        <v>0</v>
      </c>
      <c r="L6831" s="200"/>
      <c r="M6831" s="200"/>
      <c r="N6831" s="200"/>
      <c r="O6831" s="200"/>
      <c r="P6831" s="200"/>
    </row>
    <row r="6832" spans="3:20" s="517" customFormat="1" ht="31.2" customHeight="1">
      <c r="C6832" s="543">
        <v>2</v>
      </c>
      <c r="D6832" s="750" t="s">
        <v>5633</v>
      </c>
      <c r="E6832" s="203" t="s">
        <v>65</v>
      </c>
      <c r="F6832" s="769">
        <v>0.15</v>
      </c>
      <c r="G6832" s="205">
        <f>VLOOKUP(D6832,upahbahan,3,FALSE)</f>
        <v>0</v>
      </c>
      <c r="H6832" s="210">
        <f t="shared" ref="H6832" si="525">F6832*G6832</f>
        <v>0</v>
      </c>
      <c r="L6832" s="200"/>
      <c r="M6832" s="200"/>
      <c r="N6832" s="200"/>
      <c r="O6832" s="200"/>
      <c r="P6832" s="200"/>
    </row>
    <row r="6833" spans="3:20" s="517" customFormat="1" ht="31.2" customHeight="1">
      <c r="C6833" s="207" t="s">
        <v>1214</v>
      </c>
      <c r="D6833" s="208"/>
      <c r="E6833" s="568"/>
      <c r="F6833" s="208"/>
      <c r="G6833" s="209"/>
      <c r="H6833" s="210">
        <f>SUM(H6831:H6832)</f>
        <v>0</v>
      </c>
      <c r="L6833" s="200"/>
      <c r="M6833" s="200"/>
      <c r="N6833" s="200"/>
      <c r="O6833" s="200"/>
      <c r="P6833" s="200"/>
    </row>
    <row r="6834" spans="3:20" s="517" customFormat="1" ht="31.2" customHeight="1">
      <c r="C6834" s="195" t="s">
        <v>1215</v>
      </c>
      <c r="D6834" s="196" t="s">
        <v>1216</v>
      </c>
      <c r="E6834" s="203"/>
      <c r="F6834" s="197"/>
      <c r="G6834" s="197"/>
      <c r="H6834" s="198"/>
      <c r="L6834" s="200"/>
      <c r="M6834" s="200"/>
      <c r="N6834" s="200"/>
      <c r="O6834" s="200"/>
      <c r="P6834" s="200"/>
    </row>
    <row r="6835" spans="3:20" s="517" customFormat="1" ht="31.2" customHeight="1">
      <c r="C6835" s="201">
        <v>1</v>
      </c>
      <c r="D6835" s="196" t="s">
        <v>7603</v>
      </c>
      <c r="E6835" s="203" t="s">
        <v>1974</v>
      </c>
      <c r="F6835" s="763">
        <v>7.1400000000000005E-2</v>
      </c>
      <c r="G6835" s="205">
        <f>VLOOKUP(D6835,upahbahan,3,FALSE)</f>
        <v>300000</v>
      </c>
      <c r="H6835" s="210">
        <f>F6835*G6835</f>
        <v>21420</v>
      </c>
      <c r="L6835" s="200"/>
      <c r="M6835" s="200"/>
      <c r="N6835" s="200"/>
      <c r="O6835" s="200"/>
      <c r="P6835" s="200"/>
    </row>
    <row r="6836" spans="3:20" s="517" customFormat="1" ht="31.2" customHeight="1">
      <c r="C6836" s="207" t="s">
        <v>1217</v>
      </c>
      <c r="D6836" s="208"/>
      <c r="E6836" s="208"/>
      <c r="F6836" s="208"/>
      <c r="G6836" s="209"/>
      <c r="H6836" s="770">
        <f>SUM(H6834:H6835)</f>
        <v>21420</v>
      </c>
      <c r="L6836" s="200"/>
      <c r="M6836" s="200"/>
      <c r="N6836" s="200"/>
      <c r="O6836" s="200"/>
      <c r="P6836" s="200"/>
    </row>
    <row r="6837" spans="3:20" s="517" customFormat="1" ht="31.2" customHeight="1">
      <c r="C6837" s="223" t="s">
        <v>1218</v>
      </c>
      <c r="D6837" s="224" t="s">
        <v>1219</v>
      </c>
      <c r="E6837" s="225"/>
      <c r="F6837" s="225"/>
      <c r="G6837" s="226"/>
      <c r="H6837" s="210">
        <f>H6836+H6833+H6829</f>
        <v>63180</v>
      </c>
      <c r="L6837" s="200"/>
      <c r="M6837" s="200"/>
      <c r="N6837" s="200"/>
      <c r="O6837" s="200"/>
      <c r="P6837" s="200"/>
    </row>
    <row r="6838" spans="3:20" s="517" customFormat="1" ht="31.2" customHeight="1">
      <c r="C6838" s="223" t="s">
        <v>1220</v>
      </c>
      <c r="D6838" s="224" t="s">
        <v>1321</v>
      </c>
      <c r="E6838" s="225"/>
      <c r="F6838" s="226"/>
      <c r="G6838" s="228">
        <v>0.1</v>
      </c>
      <c r="H6838" s="210">
        <f>H6837*G6838</f>
        <v>6318</v>
      </c>
      <c r="L6838" s="200"/>
      <c r="M6838" s="200"/>
      <c r="N6838" s="200"/>
      <c r="O6838" s="200"/>
      <c r="P6838" s="200"/>
    </row>
    <row r="6839" spans="3:20" s="517" customFormat="1" ht="31.2" customHeight="1" thickBot="1">
      <c r="C6839" s="229" t="s">
        <v>1221</v>
      </c>
      <c r="D6839" s="230" t="s">
        <v>1222</v>
      </c>
      <c r="E6839" s="231"/>
      <c r="F6839" s="231"/>
      <c r="G6839" s="232"/>
      <c r="H6839" s="233">
        <f>SUM(H6837:H6838)</f>
        <v>69498</v>
      </c>
      <c r="L6839" s="200"/>
      <c r="M6839" s="200"/>
      <c r="N6839" s="200"/>
      <c r="O6839" s="200"/>
      <c r="P6839" s="200"/>
    </row>
    <row r="6840" spans="3:20" ht="31.2" customHeight="1" thickTop="1"/>
    <row r="6841" spans="3:20" ht="31.2" customHeight="1"/>
    <row r="6842" spans="3:20" s="517" customFormat="1" ht="31.2" customHeight="1" thickBot="1">
      <c r="C6842" s="513" t="s">
        <v>5636</v>
      </c>
      <c r="D6842" s="785" t="s">
        <v>7612</v>
      </c>
      <c r="E6842" s="749"/>
      <c r="F6842" s="748"/>
      <c r="G6842" s="748"/>
      <c r="H6842" s="532"/>
      <c r="I6842" s="532"/>
      <c r="J6842" s="532"/>
      <c r="K6842" s="532"/>
      <c r="M6842" s="189"/>
      <c r="N6842" s="189"/>
      <c r="O6842" s="189"/>
      <c r="P6842" s="189"/>
      <c r="R6842" s="189">
        <f>ROUNDDOWN(H6857,-2)</f>
        <v>69400</v>
      </c>
      <c r="S6842" s="517" t="s">
        <v>6452</v>
      </c>
      <c r="T6842" s="517" t="s">
        <v>7602</v>
      </c>
    </row>
    <row r="6843" spans="3:20" s="517" customFormat="1" ht="31.2" customHeight="1" thickTop="1">
      <c r="C6843" s="190" t="s">
        <v>1195</v>
      </c>
      <c r="D6843" s="191" t="s">
        <v>1196</v>
      </c>
      <c r="E6843" s="191" t="s">
        <v>1197</v>
      </c>
      <c r="F6843" s="191" t="s">
        <v>1198</v>
      </c>
      <c r="G6843" s="191" t="s">
        <v>1199</v>
      </c>
      <c r="H6843" s="192" t="s">
        <v>1200</v>
      </c>
      <c r="L6843" s="200"/>
      <c r="M6843" s="200"/>
      <c r="N6843" s="200"/>
      <c r="O6843" s="200"/>
      <c r="P6843" s="200"/>
    </row>
    <row r="6844" spans="3:20" s="517" customFormat="1" ht="31.2" customHeight="1">
      <c r="C6844" s="518" t="s">
        <v>1201</v>
      </c>
      <c r="D6844" s="196" t="s">
        <v>1202</v>
      </c>
      <c r="E6844" s="197"/>
      <c r="F6844" s="197"/>
      <c r="G6844" s="197"/>
      <c r="H6844" s="198"/>
      <c r="L6844" s="200"/>
      <c r="M6844" s="200"/>
      <c r="N6844" s="200"/>
      <c r="O6844" s="200"/>
      <c r="P6844" s="200"/>
    </row>
    <row r="6845" spans="3:20" s="517" customFormat="1" ht="31.2" customHeight="1">
      <c r="C6845" s="518">
        <v>1</v>
      </c>
      <c r="D6845" s="196" t="s">
        <v>5</v>
      </c>
      <c r="E6845" s="203" t="s">
        <v>2102</v>
      </c>
      <c r="F6845" s="204">
        <v>0.36</v>
      </c>
      <c r="G6845" s="205">
        <f>VLOOKUP(D6845,upahbahan,3,FALSE)</f>
        <v>100000</v>
      </c>
      <c r="H6845" s="210">
        <f t="shared" ref="H6845:H6846" si="526">F6845*G6845</f>
        <v>36000</v>
      </c>
      <c r="L6845" s="200"/>
      <c r="M6845" s="200"/>
      <c r="N6845" s="200"/>
      <c r="O6845" s="200"/>
      <c r="P6845" s="200"/>
    </row>
    <row r="6846" spans="3:20" s="517" customFormat="1" ht="31.2" customHeight="1">
      <c r="C6846" s="537">
        <v>2</v>
      </c>
      <c r="D6846" s="196" t="s">
        <v>19</v>
      </c>
      <c r="E6846" s="202" t="s">
        <v>6</v>
      </c>
      <c r="F6846" s="520">
        <v>3.5999999999999997E-2</v>
      </c>
      <c r="G6846" s="205">
        <f>VLOOKUP(D6846,upahbahan,3,FALSE)</f>
        <v>160000</v>
      </c>
      <c r="H6846" s="210">
        <f t="shared" si="526"/>
        <v>5760</v>
      </c>
      <c r="L6846" s="200"/>
      <c r="M6846" s="200"/>
      <c r="N6846" s="200"/>
      <c r="O6846" s="200"/>
      <c r="P6846" s="200"/>
    </row>
    <row r="6847" spans="3:20" s="517" customFormat="1" ht="31.2" customHeight="1">
      <c r="C6847" s="207" t="s">
        <v>1208</v>
      </c>
      <c r="D6847" s="208"/>
      <c r="E6847" s="208"/>
      <c r="F6847" s="521"/>
      <c r="G6847" s="522"/>
      <c r="H6847" s="210">
        <f>SUM(H6845:H6846)</f>
        <v>41760</v>
      </c>
      <c r="L6847" s="523"/>
      <c r="M6847" s="523"/>
      <c r="N6847" s="523"/>
      <c r="O6847" s="523"/>
      <c r="P6847" s="523"/>
    </row>
    <row r="6848" spans="3:20" s="517" customFormat="1" ht="31.2" customHeight="1">
      <c r="C6848" s="543" t="s">
        <v>1209</v>
      </c>
      <c r="D6848" s="750" t="s">
        <v>1210</v>
      </c>
      <c r="E6848" s="197"/>
      <c r="F6848" s="751"/>
      <c r="G6848" s="197"/>
      <c r="H6848" s="752"/>
      <c r="L6848" s="200"/>
      <c r="M6848" s="200"/>
      <c r="N6848" s="200"/>
      <c r="O6848" s="200"/>
      <c r="P6848" s="200"/>
    </row>
    <row r="6849" spans="3:20" s="517" customFormat="1" ht="31.2" customHeight="1">
      <c r="C6849" s="543">
        <v>1</v>
      </c>
      <c r="D6849" s="750" t="s">
        <v>5624</v>
      </c>
      <c r="E6849" s="203" t="s">
        <v>42</v>
      </c>
      <c r="F6849" s="769">
        <v>0.35</v>
      </c>
      <c r="G6849" s="205">
        <f>VLOOKUP(D6849,upahbahan,3,FALSE)</f>
        <v>0</v>
      </c>
      <c r="H6849" s="210">
        <f>F6849*G6849</f>
        <v>0</v>
      </c>
      <c r="L6849" s="200"/>
      <c r="M6849" s="200"/>
      <c r="N6849" s="200"/>
      <c r="O6849" s="200"/>
      <c r="P6849" s="200"/>
    </row>
    <row r="6850" spans="3:20" s="517" customFormat="1" ht="31.2" customHeight="1">
      <c r="C6850" s="543">
        <v>2</v>
      </c>
      <c r="D6850" s="750" t="s">
        <v>5633</v>
      </c>
      <c r="E6850" s="203" t="s">
        <v>65</v>
      </c>
      <c r="F6850" s="769">
        <v>0.15</v>
      </c>
      <c r="G6850" s="205">
        <f>VLOOKUP(D6850,upahbahan,3,FALSE)</f>
        <v>0</v>
      </c>
      <c r="H6850" s="210">
        <f t="shared" ref="H6850" si="527">F6850*G6850</f>
        <v>0</v>
      </c>
      <c r="L6850" s="200"/>
      <c r="M6850" s="200"/>
      <c r="N6850" s="200"/>
      <c r="O6850" s="200"/>
      <c r="P6850" s="200"/>
    </row>
    <row r="6851" spans="3:20" s="517" customFormat="1" ht="31.2" customHeight="1">
      <c r="C6851" s="207" t="s">
        <v>1214</v>
      </c>
      <c r="D6851" s="208"/>
      <c r="E6851" s="568"/>
      <c r="F6851" s="208"/>
      <c r="G6851" s="209"/>
      <c r="H6851" s="210">
        <f>SUM(H6849:H6850)</f>
        <v>0</v>
      </c>
      <c r="L6851" s="200"/>
      <c r="M6851" s="200"/>
      <c r="N6851" s="200"/>
      <c r="O6851" s="200"/>
      <c r="P6851" s="200"/>
    </row>
    <row r="6852" spans="3:20" s="517" customFormat="1" ht="31.2" customHeight="1">
      <c r="C6852" s="195" t="s">
        <v>1215</v>
      </c>
      <c r="D6852" s="196" t="s">
        <v>1216</v>
      </c>
      <c r="E6852" s="203"/>
      <c r="F6852" s="197"/>
      <c r="G6852" s="197"/>
      <c r="H6852" s="198"/>
      <c r="L6852" s="200"/>
      <c r="M6852" s="200"/>
      <c r="N6852" s="200"/>
      <c r="O6852" s="200"/>
      <c r="P6852" s="200"/>
    </row>
    <row r="6853" spans="3:20" s="517" customFormat="1" ht="31.2" customHeight="1">
      <c r="C6853" s="201">
        <v>1</v>
      </c>
      <c r="D6853" s="196" t="s">
        <v>7603</v>
      </c>
      <c r="E6853" s="203" t="s">
        <v>1974</v>
      </c>
      <c r="F6853" s="763">
        <v>7.1400000000000005E-2</v>
      </c>
      <c r="G6853" s="205">
        <f>VLOOKUP(D6853,upahbahan,3,FALSE)</f>
        <v>300000</v>
      </c>
      <c r="H6853" s="210">
        <f>F6853*G6853</f>
        <v>21420</v>
      </c>
      <c r="L6853" s="200"/>
      <c r="M6853" s="200"/>
      <c r="N6853" s="200"/>
      <c r="O6853" s="200"/>
      <c r="P6853" s="200"/>
    </row>
    <row r="6854" spans="3:20" s="517" customFormat="1" ht="31.2" customHeight="1">
      <c r="C6854" s="207" t="s">
        <v>1217</v>
      </c>
      <c r="D6854" s="208"/>
      <c r="E6854" s="208"/>
      <c r="F6854" s="208"/>
      <c r="G6854" s="209"/>
      <c r="H6854" s="770">
        <f>SUM(H6852:H6853)</f>
        <v>21420</v>
      </c>
      <c r="L6854" s="200"/>
      <c r="M6854" s="200"/>
      <c r="N6854" s="200"/>
      <c r="O6854" s="200"/>
      <c r="P6854" s="200"/>
    </row>
    <row r="6855" spans="3:20" s="517" customFormat="1" ht="31.2" customHeight="1">
      <c r="C6855" s="223" t="s">
        <v>1218</v>
      </c>
      <c r="D6855" s="224" t="s">
        <v>1219</v>
      </c>
      <c r="E6855" s="225"/>
      <c r="F6855" s="225"/>
      <c r="G6855" s="226"/>
      <c r="H6855" s="210">
        <f>H6854+H6851+H6847</f>
        <v>63180</v>
      </c>
      <c r="L6855" s="200"/>
      <c r="M6855" s="200"/>
      <c r="N6855" s="200"/>
      <c r="O6855" s="200"/>
      <c r="P6855" s="200"/>
    </row>
    <row r="6856" spans="3:20" s="517" customFormat="1" ht="31.2" customHeight="1">
      <c r="C6856" s="223" t="s">
        <v>1220</v>
      </c>
      <c r="D6856" s="224" t="s">
        <v>1321</v>
      </c>
      <c r="E6856" s="225"/>
      <c r="F6856" s="226"/>
      <c r="G6856" s="228">
        <v>0.1</v>
      </c>
      <c r="H6856" s="210">
        <f>H6855*G6856</f>
        <v>6318</v>
      </c>
      <c r="L6856" s="200"/>
      <c r="M6856" s="200"/>
      <c r="N6856" s="200"/>
      <c r="O6856" s="200"/>
      <c r="P6856" s="200"/>
    </row>
    <row r="6857" spans="3:20" s="517" customFormat="1" ht="31.2" customHeight="1" thickBot="1">
      <c r="C6857" s="229" t="s">
        <v>1221</v>
      </c>
      <c r="D6857" s="230" t="s">
        <v>1222</v>
      </c>
      <c r="E6857" s="231"/>
      <c r="F6857" s="231"/>
      <c r="G6857" s="232"/>
      <c r="H6857" s="233">
        <f>SUM(H6855:H6856)</f>
        <v>69498</v>
      </c>
      <c r="L6857" s="200"/>
      <c r="M6857" s="200"/>
      <c r="N6857" s="200"/>
      <c r="O6857" s="200"/>
      <c r="P6857" s="200"/>
    </row>
    <row r="6858" spans="3:20" ht="31.2" customHeight="1" thickTop="1"/>
    <row r="6859" spans="3:20" s="517" customFormat="1" ht="31.2" customHeight="1" thickBot="1">
      <c r="C6859" s="513" t="s">
        <v>7613</v>
      </c>
      <c r="D6859" s="785" t="s">
        <v>7614</v>
      </c>
      <c r="E6859" s="749"/>
      <c r="F6859" s="748"/>
      <c r="G6859" s="748"/>
      <c r="H6859" s="532"/>
      <c r="I6859" s="532"/>
      <c r="J6859" s="532"/>
      <c r="K6859" s="532"/>
      <c r="M6859" s="189"/>
      <c r="N6859" s="189"/>
      <c r="O6859" s="189"/>
      <c r="P6859" s="189"/>
      <c r="R6859" s="189">
        <f>ROUNDDOWN(H6875,-2)</f>
        <v>69400</v>
      </c>
      <c r="S6859" s="517" t="s">
        <v>6452</v>
      </c>
      <c r="T6859" s="517" t="s">
        <v>7602</v>
      </c>
    </row>
    <row r="6860" spans="3:20" s="517" customFormat="1" ht="31.2" customHeight="1" thickTop="1">
      <c r="C6860" s="190" t="s">
        <v>1195</v>
      </c>
      <c r="D6860" s="191" t="s">
        <v>1196</v>
      </c>
      <c r="E6860" s="191" t="s">
        <v>1197</v>
      </c>
      <c r="F6860" s="191" t="s">
        <v>1198</v>
      </c>
      <c r="G6860" s="191" t="s">
        <v>1199</v>
      </c>
      <c r="H6860" s="192" t="s">
        <v>1200</v>
      </c>
      <c r="L6860" s="200"/>
      <c r="M6860" s="200"/>
      <c r="N6860" s="200"/>
      <c r="O6860" s="200"/>
      <c r="P6860" s="200"/>
    </row>
    <row r="6861" spans="3:20" s="517" customFormat="1" ht="31.2" customHeight="1">
      <c r="C6861" s="518" t="s">
        <v>1201</v>
      </c>
      <c r="D6861" s="196" t="s">
        <v>1202</v>
      </c>
      <c r="E6861" s="197"/>
      <c r="F6861" s="197"/>
      <c r="G6861" s="197"/>
      <c r="H6861" s="198"/>
      <c r="L6861" s="200"/>
      <c r="M6861" s="200"/>
      <c r="N6861" s="200"/>
      <c r="O6861" s="200"/>
      <c r="P6861" s="200"/>
    </row>
    <row r="6862" spans="3:20" s="517" customFormat="1" ht="31.2" customHeight="1">
      <c r="C6862" s="518">
        <v>1</v>
      </c>
      <c r="D6862" s="196" t="s">
        <v>5</v>
      </c>
      <c r="E6862" s="203" t="s">
        <v>2102</v>
      </c>
      <c r="F6862" s="204">
        <v>0.36</v>
      </c>
      <c r="G6862" s="205">
        <f>VLOOKUP(D6862,upahbahan,3,FALSE)</f>
        <v>100000</v>
      </c>
      <c r="H6862" s="210">
        <f t="shared" ref="H6862:H6863" si="528">F6862*G6862</f>
        <v>36000</v>
      </c>
      <c r="L6862" s="200"/>
      <c r="M6862" s="200"/>
      <c r="N6862" s="200"/>
      <c r="O6862" s="200"/>
      <c r="P6862" s="200"/>
    </row>
    <row r="6863" spans="3:20" s="517" customFormat="1" ht="31.2" customHeight="1">
      <c r="C6863" s="537">
        <v>2</v>
      </c>
      <c r="D6863" s="196" t="s">
        <v>19</v>
      </c>
      <c r="E6863" s="202" t="s">
        <v>6</v>
      </c>
      <c r="F6863" s="520">
        <v>3.5999999999999997E-2</v>
      </c>
      <c r="G6863" s="205">
        <f>VLOOKUP(D6863,upahbahan,3,FALSE)</f>
        <v>160000</v>
      </c>
      <c r="H6863" s="210">
        <f t="shared" si="528"/>
        <v>5760</v>
      </c>
      <c r="L6863" s="200"/>
      <c r="M6863" s="200"/>
      <c r="N6863" s="200"/>
      <c r="O6863" s="200"/>
      <c r="P6863" s="200"/>
    </row>
    <row r="6864" spans="3:20" s="517" customFormat="1" ht="31.2" customHeight="1">
      <c r="C6864" s="207" t="s">
        <v>1208</v>
      </c>
      <c r="D6864" s="208"/>
      <c r="E6864" s="208"/>
      <c r="F6864" s="521"/>
      <c r="G6864" s="522"/>
      <c r="H6864" s="210">
        <f>SUM(H6862:H6863)</f>
        <v>41760</v>
      </c>
      <c r="L6864" s="523"/>
      <c r="M6864" s="523"/>
      <c r="N6864" s="523"/>
      <c r="O6864" s="523"/>
      <c r="P6864" s="523"/>
    </row>
    <row r="6865" spans="3:18" s="517" customFormat="1" ht="31.2" customHeight="1">
      <c r="C6865" s="543" t="s">
        <v>1209</v>
      </c>
      <c r="D6865" s="750" t="s">
        <v>1210</v>
      </c>
      <c r="E6865" s="197"/>
      <c r="F6865" s="751"/>
      <c r="G6865" s="197"/>
      <c r="H6865" s="752"/>
      <c r="L6865" s="200"/>
      <c r="M6865" s="200"/>
      <c r="N6865" s="200"/>
      <c r="O6865" s="200"/>
      <c r="P6865" s="200"/>
    </row>
    <row r="6866" spans="3:18" s="517" customFormat="1" ht="31.2" customHeight="1">
      <c r="C6866" s="543">
        <v>1</v>
      </c>
      <c r="D6866" s="750" t="s">
        <v>5624</v>
      </c>
      <c r="E6866" s="203" t="s">
        <v>42</v>
      </c>
      <c r="F6866" s="769">
        <v>0.4</v>
      </c>
      <c r="G6866" s="205">
        <f>VLOOKUP(D6866,upahbahan,3,FALSE)</f>
        <v>0</v>
      </c>
      <c r="H6866" s="210">
        <f>F6866*G6866</f>
        <v>0</v>
      </c>
      <c r="L6866" s="200"/>
      <c r="M6866" s="200"/>
      <c r="N6866" s="200"/>
      <c r="O6866" s="200"/>
      <c r="P6866" s="200"/>
    </row>
    <row r="6867" spans="3:18" s="517" customFormat="1" ht="31.2" customHeight="1">
      <c r="C6867" s="543">
        <v>2</v>
      </c>
      <c r="D6867" s="750" t="s">
        <v>1980</v>
      </c>
      <c r="E6867" s="203" t="s">
        <v>42</v>
      </c>
      <c r="F6867" s="769">
        <v>0.15</v>
      </c>
      <c r="G6867" s="205">
        <f>VLOOKUP(D6867,upahbahan,3,FALSE)</f>
        <v>0</v>
      </c>
      <c r="H6867" s="210">
        <f t="shared" ref="H6867:H6868" si="529">F6867*G6867</f>
        <v>0</v>
      </c>
      <c r="L6867" s="200"/>
      <c r="M6867" s="200"/>
      <c r="N6867" s="200"/>
      <c r="O6867" s="200"/>
      <c r="P6867" s="200"/>
    </row>
    <row r="6868" spans="3:18" s="517" customFormat="1" ht="31.2" customHeight="1">
      <c r="C6868" s="543">
        <v>3</v>
      </c>
      <c r="D6868" s="750" t="s">
        <v>5633</v>
      </c>
      <c r="E6868" s="203" t="s">
        <v>65</v>
      </c>
      <c r="F6868" s="769">
        <v>0.15</v>
      </c>
      <c r="G6868" s="205">
        <f>VLOOKUP(D6868,upahbahan,3,FALSE)</f>
        <v>0</v>
      </c>
      <c r="H6868" s="210">
        <f t="shared" si="529"/>
        <v>0</v>
      </c>
      <c r="L6868" s="200"/>
      <c r="M6868" s="200"/>
      <c r="N6868" s="200"/>
      <c r="O6868" s="200"/>
      <c r="P6868" s="200"/>
    </row>
    <row r="6869" spans="3:18" s="517" customFormat="1" ht="31.2" customHeight="1">
      <c r="C6869" s="207" t="s">
        <v>1214</v>
      </c>
      <c r="D6869" s="208"/>
      <c r="E6869" s="568"/>
      <c r="F6869" s="208"/>
      <c r="G6869" s="209"/>
      <c r="H6869" s="210">
        <f>SUM(H6866:H6868)</f>
        <v>0</v>
      </c>
      <c r="L6869" s="200"/>
      <c r="M6869" s="200"/>
      <c r="N6869" s="200"/>
      <c r="O6869" s="200"/>
      <c r="P6869" s="200"/>
    </row>
    <row r="6870" spans="3:18" s="517" customFormat="1" ht="31.2" customHeight="1">
      <c r="C6870" s="195" t="s">
        <v>1215</v>
      </c>
      <c r="D6870" s="196" t="s">
        <v>1216</v>
      </c>
      <c r="E6870" s="203"/>
      <c r="F6870" s="197"/>
      <c r="G6870" s="197"/>
      <c r="H6870" s="198"/>
      <c r="L6870" s="200"/>
      <c r="M6870" s="200"/>
      <c r="N6870" s="200"/>
      <c r="O6870" s="200"/>
      <c r="P6870" s="200"/>
    </row>
    <row r="6871" spans="3:18" s="517" customFormat="1" ht="31.2" customHeight="1">
      <c r="C6871" s="201">
        <v>1</v>
      </c>
      <c r="D6871" s="196" t="s">
        <v>7603</v>
      </c>
      <c r="E6871" s="203" t="s">
        <v>1974</v>
      </c>
      <c r="F6871" s="763">
        <v>7.1400000000000005E-2</v>
      </c>
      <c r="G6871" s="205">
        <f>VLOOKUP(D6871,upahbahan,3,FALSE)</f>
        <v>300000</v>
      </c>
      <c r="H6871" s="210">
        <f>F6871*G6871</f>
        <v>21420</v>
      </c>
      <c r="L6871" s="200"/>
      <c r="M6871" s="200"/>
      <c r="N6871" s="200"/>
      <c r="O6871" s="200"/>
      <c r="P6871" s="200"/>
    </row>
    <row r="6872" spans="3:18" s="517" customFormat="1" ht="31.2" customHeight="1">
      <c r="C6872" s="207" t="s">
        <v>1217</v>
      </c>
      <c r="D6872" s="208"/>
      <c r="E6872" s="208"/>
      <c r="F6872" s="208"/>
      <c r="G6872" s="209"/>
      <c r="H6872" s="770">
        <f>SUM(H6870:H6871)</f>
        <v>21420</v>
      </c>
      <c r="L6872" s="200"/>
      <c r="M6872" s="200"/>
      <c r="N6872" s="200"/>
      <c r="O6872" s="200"/>
      <c r="P6872" s="200"/>
    </row>
    <row r="6873" spans="3:18" s="517" customFormat="1" ht="31.2" customHeight="1">
      <c r="C6873" s="223" t="s">
        <v>1218</v>
      </c>
      <c r="D6873" s="224" t="s">
        <v>1219</v>
      </c>
      <c r="E6873" s="225"/>
      <c r="F6873" s="225"/>
      <c r="G6873" s="226"/>
      <c r="H6873" s="210">
        <f>H6872+H6869+H6864</f>
        <v>63180</v>
      </c>
      <c r="L6873" s="200"/>
      <c r="M6873" s="200"/>
      <c r="N6873" s="200"/>
      <c r="O6873" s="200"/>
      <c r="P6873" s="200"/>
    </row>
    <row r="6874" spans="3:18" s="517" customFormat="1" ht="31.2" customHeight="1">
      <c r="C6874" s="223" t="s">
        <v>1220</v>
      </c>
      <c r="D6874" s="224" t="s">
        <v>1321</v>
      </c>
      <c r="E6874" s="225"/>
      <c r="F6874" s="226"/>
      <c r="G6874" s="228">
        <v>0.1</v>
      </c>
      <c r="H6874" s="210">
        <f>H6873*G6874</f>
        <v>6318</v>
      </c>
      <c r="L6874" s="200"/>
      <c r="M6874" s="200"/>
      <c r="N6874" s="200"/>
      <c r="O6874" s="200"/>
      <c r="P6874" s="200"/>
    </row>
    <row r="6875" spans="3:18" s="517" customFormat="1" ht="31.2" customHeight="1" thickBot="1">
      <c r="C6875" s="229" t="s">
        <v>1221</v>
      </c>
      <c r="D6875" s="230" t="s">
        <v>1222</v>
      </c>
      <c r="E6875" s="231"/>
      <c r="F6875" s="231"/>
      <c r="G6875" s="232"/>
      <c r="H6875" s="233">
        <f>SUM(H6873:H6874)</f>
        <v>69498</v>
      </c>
      <c r="L6875" s="200"/>
      <c r="M6875" s="200"/>
      <c r="N6875" s="200"/>
      <c r="O6875" s="200"/>
      <c r="P6875" s="200"/>
    </row>
    <row r="6876" spans="3:18" ht="31.2" customHeight="1" thickTop="1"/>
    <row r="6877" spans="3:18" ht="31.2" customHeight="1">
      <c r="C6877" s="765" t="s">
        <v>5637</v>
      </c>
      <c r="D6877" s="766" t="s">
        <v>5638</v>
      </c>
      <c r="E6877" s="767"/>
      <c r="F6877" s="766"/>
      <c r="G6877" s="766"/>
    </row>
    <row r="6878" spans="3:18" s="517" customFormat="1" ht="31.2" customHeight="1" thickBot="1">
      <c r="C6878" s="513" t="s">
        <v>5639</v>
      </c>
      <c r="D6878" s="748" t="s">
        <v>5640</v>
      </c>
      <c r="E6878" s="749"/>
      <c r="F6878" s="748"/>
      <c r="G6878" s="748"/>
      <c r="H6878" s="532"/>
      <c r="I6878" s="532"/>
      <c r="J6878" s="532"/>
      <c r="K6878" s="532"/>
      <c r="M6878" s="189"/>
      <c r="N6878" s="189"/>
      <c r="O6878" s="189"/>
      <c r="P6878" s="189"/>
      <c r="R6878" s="189">
        <f>ROUNDDOWN(H6892,-2)</f>
        <v>69400</v>
      </c>
    </row>
    <row r="6879" spans="3:18" s="517" customFormat="1" ht="31.2" customHeight="1" thickTop="1">
      <c r="C6879" s="190" t="s">
        <v>1195</v>
      </c>
      <c r="D6879" s="191" t="s">
        <v>1196</v>
      </c>
      <c r="E6879" s="191" t="s">
        <v>1197</v>
      </c>
      <c r="F6879" s="191" t="s">
        <v>1198</v>
      </c>
      <c r="G6879" s="191" t="s">
        <v>1199</v>
      </c>
      <c r="H6879" s="192" t="s">
        <v>1200</v>
      </c>
      <c r="L6879" s="200"/>
      <c r="M6879" s="200"/>
      <c r="N6879" s="200"/>
      <c r="O6879" s="200"/>
      <c r="P6879" s="200"/>
    </row>
    <row r="6880" spans="3:18" s="517" customFormat="1" ht="31.2" customHeight="1">
      <c r="C6880" s="518" t="s">
        <v>1201</v>
      </c>
      <c r="D6880" s="196" t="s">
        <v>1202</v>
      </c>
      <c r="E6880" s="197"/>
      <c r="F6880" s="197"/>
      <c r="G6880" s="197"/>
      <c r="H6880" s="198"/>
      <c r="L6880" s="200"/>
      <c r="M6880" s="200"/>
      <c r="N6880" s="200"/>
      <c r="O6880" s="200"/>
      <c r="P6880" s="200"/>
    </row>
    <row r="6881" spans="3:16" s="517" customFormat="1" ht="31.2" customHeight="1">
      <c r="C6881" s="518">
        <v>1</v>
      </c>
      <c r="D6881" s="196" t="s">
        <v>5</v>
      </c>
      <c r="E6881" s="203" t="s">
        <v>2102</v>
      </c>
      <c r="F6881" s="204">
        <v>0.36</v>
      </c>
      <c r="G6881" s="205">
        <f>VLOOKUP(D6881,upahbahan,3,FALSE)</f>
        <v>100000</v>
      </c>
      <c r="H6881" s="210">
        <f t="shared" ref="H6881:H6882" si="530">F6881*G6881</f>
        <v>36000</v>
      </c>
      <c r="L6881" s="200"/>
      <c r="M6881" s="200"/>
      <c r="N6881" s="200"/>
      <c r="O6881" s="200"/>
      <c r="P6881" s="200"/>
    </row>
    <row r="6882" spans="3:16" s="517" customFormat="1" ht="31.2" customHeight="1">
      <c r="C6882" s="537">
        <v>2</v>
      </c>
      <c r="D6882" s="196" t="s">
        <v>19</v>
      </c>
      <c r="E6882" s="202" t="s">
        <v>6</v>
      </c>
      <c r="F6882" s="520">
        <v>3.5999999999999997E-2</v>
      </c>
      <c r="G6882" s="205">
        <f>VLOOKUP(D6882,upahbahan,3,FALSE)</f>
        <v>160000</v>
      </c>
      <c r="H6882" s="210">
        <f t="shared" si="530"/>
        <v>5760</v>
      </c>
      <c r="L6882" s="200"/>
      <c r="M6882" s="200"/>
      <c r="N6882" s="200"/>
      <c r="O6882" s="200"/>
      <c r="P6882" s="200"/>
    </row>
    <row r="6883" spans="3:16" s="517" customFormat="1" ht="31.2" customHeight="1">
      <c r="C6883" s="207" t="s">
        <v>1208</v>
      </c>
      <c r="D6883" s="208"/>
      <c r="E6883" s="208"/>
      <c r="F6883" s="521"/>
      <c r="G6883" s="522"/>
      <c r="H6883" s="210">
        <f>SUM(H6881:H6882)</f>
        <v>41760</v>
      </c>
      <c r="L6883" s="523"/>
      <c r="M6883" s="523"/>
      <c r="N6883" s="523"/>
      <c r="O6883" s="523"/>
      <c r="P6883" s="523"/>
    </row>
    <row r="6884" spans="3:16" s="517" customFormat="1" ht="31.2" customHeight="1">
      <c r="C6884" s="543" t="s">
        <v>1209</v>
      </c>
      <c r="D6884" s="750" t="s">
        <v>1210</v>
      </c>
      <c r="E6884" s="197"/>
      <c r="F6884" s="751"/>
      <c r="G6884" s="197"/>
      <c r="H6884" s="752"/>
      <c r="L6884" s="200"/>
      <c r="M6884" s="200"/>
      <c r="N6884" s="200"/>
      <c r="O6884" s="200"/>
      <c r="P6884" s="200"/>
    </row>
    <row r="6885" spans="3:16" s="517" customFormat="1" ht="31.2" customHeight="1">
      <c r="C6885" s="543">
        <v>1</v>
      </c>
      <c r="D6885" s="750" t="s">
        <v>5624</v>
      </c>
      <c r="E6885" s="203" t="s">
        <v>42</v>
      </c>
      <c r="F6885" s="769">
        <v>0.35</v>
      </c>
      <c r="G6885" s="205">
        <f>VLOOKUP(D6885,upahbahan,3,FALSE)</f>
        <v>0</v>
      </c>
      <c r="H6885" s="210">
        <f>F6885*G6885</f>
        <v>0</v>
      </c>
      <c r="L6885" s="200"/>
      <c r="M6885" s="200"/>
      <c r="N6885" s="200"/>
      <c r="O6885" s="200"/>
      <c r="P6885" s="200"/>
    </row>
    <row r="6886" spans="3:16" s="517" customFormat="1" ht="31.2" customHeight="1">
      <c r="C6886" s="207" t="s">
        <v>1214</v>
      </c>
      <c r="D6886" s="208"/>
      <c r="E6886" s="568"/>
      <c r="F6886" s="208"/>
      <c r="G6886" s="209"/>
      <c r="H6886" s="210">
        <f>SUM(H6885:H6885)</f>
        <v>0</v>
      </c>
      <c r="L6886" s="200"/>
      <c r="M6886" s="200"/>
      <c r="N6886" s="200"/>
      <c r="O6886" s="200"/>
      <c r="P6886" s="200"/>
    </row>
    <row r="6887" spans="3:16" s="517" customFormat="1" ht="31.2" customHeight="1">
      <c r="C6887" s="195" t="s">
        <v>1215</v>
      </c>
      <c r="D6887" s="196" t="s">
        <v>1216</v>
      </c>
      <c r="E6887" s="203"/>
      <c r="F6887" s="197"/>
      <c r="G6887" s="197"/>
      <c r="H6887" s="198"/>
      <c r="L6887" s="200"/>
      <c r="M6887" s="200"/>
      <c r="N6887" s="200"/>
      <c r="O6887" s="200"/>
      <c r="P6887" s="200"/>
    </row>
    <row r="6888" spans="3:16" s="517" customFormat="1" ht="31.2" customHeight="1">
      <c r="C6888" s="201">
        <v>1</v>
      </c>
      <c r="D6888" s="196" t="s">
        <v>1167</v>
      </c>
      <c r="E6888" s="203" t="s">
        <v>1974</v>
      </c>
      <c r="F6888" s="763">
        <v>7.1400000000000005E-2</v>
      </c>
      <c r="G6888" s="205">
        <f>VLOOKUP(D6888,upahbahan,3,FALSE)</f>
        <v>300000</v>
      </c>
      <c r="H6888" s="210">
        <f>F6888*G6888</f>
        <v>21420</v>
      </c>
      <c r="L6888" s="200"/>
      <c r="M6888" s="200"/>
      <c r="N6888" s="200"/>
      <c r="O6888" s="200"/>
      <c r="P6888" s="200"/>
    </row>
    <row r="6889" spans="3:16" s="517" customFormat="1" ht="31.2" customHeight="1">
      <c r="C6889" s="207" t="s">
        <v>1217</v>
      </c>
      <c r="D6889" s="208"/>
      <c r="E6889" s="208"/>
      <c r="F6889" s="208"/>
      <c r="G6889" s="209"/>
      <c r="H6889" s="770">
        <f>SUM(H6887:H6888)</f>
        <v>21420</v>
      </c>
      <c r="L6889" s="200"/>
      <c r="M6889" s="200"/>
      <c r="N6889" s="200"/>
      <c r="O6889" s="200"/>
      <c r="P6889" s="200"/>
    </row>
    <row r="6890" spans="3:16" s="517" customFormat="1" ht="31.2" customHeight="1">
      <c r="C6890" s="223" t="s">
        <v>1218</v>
      </c>
      <c r="D6890" s="224" t="s">
        <v>1219</v>
      </c>
      <c r="E6890" s="225"/>
      <c r="F6890" s="225"/>
      <c r="G6890" s="226"/>
      <c r="H6890" s="210">
        <f>H6889+H6886+H6883</f>
        <v>63180</v>
      </c>
      <c r="L6890" s="200"/>
      <c r="M6890" s="200"/>
      <c r="N6890" s="200"/>
      <c r="O6890" s="200"/>
      <c r="P6890" s="200"/>
    </row>
    <row r="6891" spans="3:16" s="517" customFormat="1" ht="31.2" customHeight="1">
      <c r="C6891" s="223" t="s">
        <v>1220</v>
      </c>
      <c r="D6891" s="224" t="s">
        <v>1321</v>
      </c>
      <c r="E6891" s="225"/>
      <c r="F6891" s="226"/>
      <c r="G6891" s="228">
        <v>0.1</v>
      </c>
      <c r="H6891" s="210">
        <f>H6890*G6891</f>
        <v>6318</v>
      </c>
      <c r="L6891" s="200"/>
      <c r="M6891" s="200"/>
      <c r="N6891" s="200"/>
      <c r="O6891" s="200"/>
      <c r="P6891" s="200"/>
    </row>
    <row r="6892" spans="3:16" s="517" customFormat="1" ht="31.2" customHeight="1" thickBot="1">
      <c r="C6892" s="229" t="s">
        <v>1221</v>
      </c>
      <c r="D6892" s="230" t="s">
        <v>1222</v>
      </c>
      <c r="E6892" s="231"/>
      <c r="F6892" s="231"/>
      <c r="G6892" s="232"/>
      <c r="H6892" s="233">
        <f>SUM(H6890:H6891)</f>
        <v>69498</v>
      </c>
      <c r="L6892" s="200"/>
      <c r="M6892" s="200"/>
      <c r="N6892" s="200"/>
      <c r="O6892" s="200"/>
      <c r="P6892" s="200"/>
    </row>
    <row r="6893" spans="3:16" ht="31.2" customHeight="1" thickTop="1"/>
    <row r="6894" spans="3:16" s="517" customFormat="1" ht="31.2" customHeight="1" thickBot="1">
      <c r="C6894" s="513" t="s">
        <v>5641</v>
      </c>
      <c r="D6894" s="748" t="s">
        <v>5642</v>
      </c>
      <c r="E6894" s="749"/>
      <c r="F6894" s="748"/>
      <c r="G6894" s="748"/>
      <c r="H6894" s="532"/>
      <c r="I6894" s="532"/>
      <c r="J6894" s="532"/>
      <c r="K6894" s="532"/>
      <c r="L6894" s="189">
        <f>ROUNDDOWN(H6909,-2)</f>
        <v>69400</v>
      </c>
      <c r="M6894" s="189"/>
      <c r="N6894" s="189"/>
      <c r="O6894" s="189"/>
      <c r="P6894" s="189"/>
    </row>
    <row r="6895" spans="3:16" s="517" customFormat="1" ht="31.2" customHeight="1" thickTop="1">
      <c r="C6895" s="190" t="s">
        <v>1195</v>
      </c>
      <c r="D6895" s="191" t="s">
        <v>1196</v>
      </c>
      <c r="E6895" s="191" t="s">
        <v>1197</v>
      </c>
      <c r="F6895" s="191" t="s">
        <v>1198</v>
      </c>
      <c r="G6895" s="191" t="s">
        <v>1199</v>
      </c>
      <c r="H6895" s="192" t="s">
        <v>1200</v>
      </c>
      <c r="L6895" s="200"/>
      <c r="M6895" s="200"/>
      <c r="N6895" s="200"/>
      <c r="O6895" s="200"/>
      <c r="P6895" s="200"/>
    </row>
    <row r="6896" spans="3:16" s="517" customFormat="1" ht="31.2" customHeight="1">
      <c r="C6896" s="518" t="s">
        <v>1201</v>
      </c>
      <c r="D6896" s="196" t="s">
        <v>1202</v>
      </c>
      <c r="E6896" s="197"/>
      <c r="F6896" s="197"/>
      <c r="G6896" s="197"/>
      <c r="H6896" s="198"/>
      <c r="L6896" s="200"/>
      <c r="M6896" s="200"/>
      <c r="N6896" s="200"/>
      <c r="O6896" s="200"/>
      <c r="P6896" s="200"/>
    </row>
    <row r="6897" spans="3:18" s="517" customFormat="1" ht="31.2" customHeight="1">
      <c r="C6897" s="518">
        <v>1</v>
      </c>
      <c r="D6897" s="196" t="s">
        <v>5</v>
      </c>
      <c r="E6897" s="203" t="s">
        <v>2102</v>
      </c>
      <c r="F6897" s="204">
        <v>0.36</v>
      </c>
      <c r="G6897" s="205">
        <f>VLOOKUP(D6897,upahbahan,3,FALSE)</f>
        <v>100000</v>
      </c>
      <c r="H6897" s="210">
        <f t="shared" ref="H6897:H6898" si="531">F6897*G6897</f>
        <v>36000</v>
      </c>
      <c r="L6897" s="200"/>
      <c r="M6897" s="200"/>
      <c r="N6897" s="200"/>
      <c r="O6897" s="200"/>
      <c r="P6897" s="200"/>
    </row>
    <row r="6898" spans="3:18" s="517" customFormat="1" ht="31.2" customHeight="1">
      <c r="C6898" s="537">
        <v>2</v>
      </c>
      <c r="D6898" s="196" t="s">
        <v>19</v>
      </c>
      <c r="E6898" s="202" t="s">
        <v>6</v>
      </c>
      <c r="F6898" s="520">
        <v>3.5999999999999997E-2</v>
      </c>
      <c r="G6898" s="205">
        <f>VLOOKUP(D6898,upahbahan,3,FALSE)</f>
        <v>160000</v>
      </c>
      <c r="H6898" s="210">
        <f t="shared" si="531"/>
        <v>5760</v>
      </c>
      <c r="L6898" s="200"/>
      <c r="M6898" s="200"/>
      <c r="N6898" s="200"/>
      <c r="O6898" s="200"/>
      <c r="P6898" s="200"/>
    </row>
    <row r="6899" spans="3:18" s="517" customFormat="1" ht="31.2" customHeight="1">
      <c r="C6899" s="207" t="s">
        <v>1208</v>
      </c>
      <c r="D6899" s="208"/>
      <c r="E6899" s="208"/>
      <c r="F6899" s="521"/>
      <c r="G6899" s="522"/>
      <c r="H6899" s="210">
        <f>SUM(H6897:H6898)</f>
        <v>41760</v>
      </c>
      <c r="L6899" s="523"/>
      <c r="M6899" s="523"/>
      <c r="N6899" s="523"/>
      <c r="O6899" s="523"/>
      <c r="P6899" s="523"/>
    </row>
    <row r="6900" spans="3:18" s="517" customFormat="1" ht="31.2" customHeight="1">
      <c r="C6900" s="543" t="s">
        <v>1209</v>
      </c>
      <c r="D6900" s="750" t="s">
        <v>1210</v>
      </c>
      <c r="E6900" s="197"/>
      <c r="F6900" s="751"/>
      <c r="G6900" s="197"/>
      <c r="H6900" s="752"/>
      <c r="L6900" s="200"/>
      <c r="M6900" s="200"/>
      <c r="N6900" s="200"/>
      <c r="O6900" s="200"/>
      <c r="P6900" s="200"/>
    </row>
    <row r="6901" spans="3:18" s="517" customFormat="1" ht="31.2" customHeight="1">
      <c r="C6901" s="543">
        <v>1</v>
      </c>
      <c r="D6901" s="750" t="s">
        <v>5624</v>
      </c>
      <c r="E6901" s="203" t="s">
        <v>42</v>
      </c>
      <c r="F6901" s="769">
        <v>0.4</v>
      </c>
      <c r="G6901" s="205">
        <f>VLOOKUP(D6901,upahbahan,3,FALSE)</f>
        <v>0</v>
      </c>
      <c r="H6901" s="210">
        <f>F6901*G6901</f>
        <v>0</v>
      </c>
      <c r="L6901" s="200"/>
      <c r="M6901" s="200"/>
      <c r="N6901" s="200"/>
      <c r="O6901" s="200"/>
      <c r="P6901" s="200"/>
    </row>
    <row r="6902" spans="3:18" s="517" customFormat="1" ht="31.2" customHeight="1">
      <c r="C6902" s="543">
        <v>2</v>
      </c>
      <c r="D6902" s="750" t="s">
        <v>1980</v>
      </c>
      <c r="E6902" s="203" t="s">
        <v>42</v>
      </c>
      <c r="F6902" s="769">
        <v>0.15</v>
      </c>
      <c r="G6902" s="205">
        <f>VLOOKUP(D6902,upahbahan,3,FALSE)</f>
        <v>0</v>
      </c>
      <c r="H6902" s="210">
        <f t="shared" ref="H6902" si="532">F6902*G6902</f>
        <v>0</v>
      </c>
      <c r="L6902" s="200"/>
      <c r="M6902" s="200"/>
      <c r="N6902" s="200"/>
      <c r="O6902" s="200"/>
      <c r="P6902" s="200"/>
    </row>
    <row r="6903" spans="3:18" s="517" customFormat="1" ht="31.2" customHeight="1">
      <c r="C6903" s="207" t="s">
        <v>1214</v>
      </c>
      <c r="D6903" s="208"/>
      <c r="E6903" s="568"/>
      <c r="F6903" s="208"/>
      <c r="G6903" s="209"/>
      <c r="H6903" s="210">
        <f>SUM(H6901:H6902)</f>
        <v>0</v>
      </c>
      <c r="L6903" s="200"/>
      <c r="M6903" s="200"/>
      <c r="N6903" s="200"/>
      <c r="O6903" s="200"/>
      <c r="P6903" s="200"/>
    </row>
    <row r="6904" spans="3:18" s="517" customFormat="1" ht="31.2" customHeight="1">
      <c r="C6904" s="195" t="s">
        <v>1215</v>
      </c>
      <c r="D6904" s="196" t="s">
        <v>1216</v>
      </c>
      <c r="E6904" s="203"/>
      <c r="F6904" s="197"/>
      <c r="G6904" s="197"/>
      <c r="H6904" s="198"/>
      <c r="L6904" s="200"/>
      <c r="M6904" s="200"/>
      <c r="N6904" s="200"/>
      <c r="O6904" s="200"/>
      <c r="P6904" s="200"/>
    </row>
    <row r="6905" spans="3:18" s="517" customFormat="1" ht="31.2" customHeight="1">
      <c r="C6905" s="201">
        <v>1</v>
      </c>
      <c r="D6905" s="196" t="s">
        <v>1167</v>
      </c>
      <c r="E6905" s="203" t="s">
        <v>1974</v>
      </c>
      <c r="F6905" s="763">
        <v>7.1400000000000005E-2</v>
      </c>
      <c r="G6905" s="205">
        <f>VLOOKUP(D6905,upahbahan,3,FALSE)</f>
        <v>300000</v>
      </c>
      <c r="H6905" s="210">
        <f>F6905*G6905</f>
        <v>21420</v>
      </c>
      <c r="L6905" s="200"/>
      <c r="M6905" s="200"/>
      <c r="N6905" s="200"/>
      <c r="O6905" s="200"/>
      <c r="P6905" s="200"/>
    </row>
    <row r="6906" spans="3:18" s="517" customFormat="1" ht="31.2" customHeight="1">
      <c r="C6906" s="207" t="s">
        <v>1217</v>
      </c>
      <c r="D6906" s="208"/>
      <c r="E6906" s="208"/>
      <c r="F6906" s="208"/>
      <c r="G6906" s="209"/>
      <c r="H6906" s="770">
        <f>SUM(H6904:H6905)</f>
        <v>21420</v>
      </c>
      <c r="L6906" s="200"/>
      <c r="M6906" s="200"/>
      <c r="N6906" s="200"/>
      <c r="O6906" s="200"/>
      <c r="P6906" s="200"/>
    </row>
    <row r="6907" spans="3:18" s="517" customFormat="1" ht="31.2" customHeight="1">
      <c r="C6907" s="223" t="s">
        <v>1218</v>
      </c>
      <c r="D6907" s="224" t="s">
        <v>1219</v>
      </c>
      <c r="E6907" s="225"/>
      <c r="F6907" s="225"/>
      <c r="G6907" s="226"/>
      <c r="H6907" s="210">
        <f>H6906+H6903+H6899</f>
        <v>63180</v>
      </c>
      <c r="L6907" s="200"/>
      <c r="M6907" s="200"/>
      <c r="N6907" s="200"/>
      <c r="O6907" s="200"/>
      <c r="P6907" s="200"/>
    </row>
    <row r="6908" spans="3:18" s="517" customFormat="1" ht="31.2" customHeight="1">
      <c r="C6908" s="223" t="s">
        <v>1220</v>
      </c>
      <c r="D6908" s="224" t="s">
        <v>1321</v>
      </c>
      <c r="E6908" s="225"/>
      <c r="F6908" s="226"/>
      <c r="G6908" s="228">
        <v>0.1</v>
      </c>
      <c r="H6908" s="210">
        <f>H6907*G6908</f>
        <v>6318</v>
      </c>
      <c r="L6908" s="200"/>
      <c r="M6908" s="200"/>
      <c r="N6908" s="200"/>
      <c r="O6908" s="200"/>
      <c r="P6908" s="200"/>
    </row>
    <row r="6909" spans="3:18" s="517" customFormat="1" ht="31.2" customHeight="1" thickBot="1">
      <c r="C6909" s="229" t="s">
        <v>1221</v>
      </c>
      <c r="D6909" s="230" t="s">
        <v>1222</v>
      </c>
      <c r="E6909" s="231"/>
      <c r="F6909" s="231"/>
      <c r="G6909" s="232"/>
      <c r="H6909" s="233">
        <f>SUM(H6907:H6908)</f>
        <v>69498</v>
      </c>
      <c r="L6909" s="200"/>
      <c r="M6909" s="200"/>
      <c r="N6909" s="200"/>
      <c r="O6909" s="200"/>
      <c r="P6909" s="200"/>
    </row>
    <row r="6910" spans="3:18" ht="31.2" customHeight="1" thickTop="1"/>
    <row r="6911" spans="3:18" ht="31.2" customHeight="1"/>
    <row r="6912" spans="3:18" s="517" customFormat="1" ht="31.2" customHeight="1" thickBot="1">
      <c r="C6912" s="513" t="s">
        <v>5643</v>
      </c>
      <c r="D6912" s="748" t="s">
        <v>5644</v>
      </c>
      <c r="E6912" s="749"/>
      <c r="F6912" s="748"/>
      <c r="G6912" s="748"/>
      <c r="H6912" s="532"/>
      <c r="I6912" s="532"/>
      <c r="J6912" s="532"/>
      <c r="K6912" s="532"/>
      <c r="M6912" s="189"/>
      <c r="N6912" s="189"/>
      <c r="O6912" s="189"/>
      <c r="P6912" s="189"/>
      <c r="R6912" s="189">
        <f>ROUNDDOWN(H6926,-2)</f>
        <v>69400</v>
      </c>
    </row>
    <row r="6913" spans="3:16" s="517" customFormat="1" ht="31.2" customHeight="1" thickTop="1">
      <c r="C6913" s="190" t="s">
        <v>1195</v>
      </c>
      <c r="D6913" s="191" t="s">
        <v>1196</v>
      </c>
      <c r="E6913" s="191" t="s">
        <v>1197</v>
      </c>
      <c r="F6913" s="191" t="s">
        <v>1198</v>
      </c>
      <c r="G6913" s="191" t="s">
        <v>1199</v>
      </c>
      <c r="H6913" s="192" t="s">
        <v>1200</v>
      </c>
      <c r="L6913" s="200"/>
      <c r="M6913" s="200"/>
      <c r="N6913" s="200"/>
      <c r="O6913" s="200"/>
      <c r="P6913" s="200"/>
    </row>
    <row r="6914" spans="3:16" s="517" customFormat="1" ht="31.2" customHeight="1">
      <c r="C6914" s="518" t="s">
        <v>1201</v>
      </c>
      <c r="D6914" s="196" t="s">
        <v>1202</v>
      </c>
      <c r="E6914" s="197"/>
      <c r="F6914" s="197"/>
      <c r="G6914" s="197"/>
      <c r="H6914" s="198"/>
      <c r="L6914" s="200"/>
      <c r="M6914" s="200"/>
      <c r="N6914" s="200"/>
      <c r="O6914" s="200"/>
      <c r="P6914" s="200"/>
    </row>
    <row r="6915" spans="3:16" s="517" customFormat="1" ht="31.2" customHeight="1">
      <c r="C6915" s="518">
        <v>1</v>
      </c>
      <c r="D6915" s="196" t="s">
        <v>5</v>
      </c>
      <c r="E6915" s="203" t="s">
        <v>2102</v>
      </c>
      <c r="F6915" s="204">
        <v>0.36</v>
      </c>
      <c r="G6915" s="205">
        <f>VLOOKUP(D6915,upahbahan,3,FALSE)</f>
        <v>100000</v>
      </c>
      <c r="H6915" s="210">
        <f t="shared" ref="H6915:H6916" si="533">F6915*G6915</f>
        <v>36000</v>
      </c>
      <c r="L6915" s="200"/>
      <c r="M6915" s="200"/>
      <c r="N6915" s="200"/>
      <c r="O6915" s="200"/>
      <c r="P6915" s="200"/>
    </row>
    <row r="6916" spans="3:16" s="517" customFormat="1" ht="31.2" customHeight="1">
      <c r="C6916" s="537">
        <v>2</v>
      </c>
      <c r="D6916" s="196" t="s">
        <v>19</v>
      </c>
      <c r="E6916" s="202" t="s">
        <v>6</v>
      </c>
      <c r="F6916" s="520">
        <v>3.5999999999999997E-2</v>
      </c>
      <c r="G6916" s="205">
        <f>VLOOKUP(D6916,upahbahan,3,FALSE)</f>
        <v>160000</v>
      </c>
      <c r="H6916" s="210">
        <f t="shared" si="533"/>
        <v>5760</v>
      </c>
      <c r="L6916" s="200"/>
      <c r="M6916" s="200"/>
      <c r="N6916" s="200"/>
      <c r="O6916" s="200"/>
      <c r="P6916" s="200"/>
    </row>
    <row r="6917" spans="3:16" s="517" customFormat="1" ht="31.2" customHeight="1">
      <c r="C6917" s="207" t="s">
        <v>1208</v>
      </c>
      <c r="D6917" s="208"/>
      <c r="E6917" s="208"/>
      <c r="F6917" s="521"/>
      <c r="G6917" s="522"/>
      <c r="H6917" s="210">
        <f>SUM(H6915:H6916)</f>
        <v>41760</v>
      </c>
      <c r="L6917" s="523"/>
      <c r="M6917" s="523"/>
      <c r="N6917" s="523"/>
      <c r="O6917" s="523"/>
      <c r="P6917" s="523"/>
    </row>
    <row r="6918" spans="3:16" s="517" customFormat="1" ht="31.2" customHeight="1">
      <c r="C6918" s="543" t="s">
        <v>1209</v>
      </c>
      <c r="D6918" s="750" t="s">
        <v>1210</v>
      </c>
      <c r="E6918" s="197"/>
      <c r="F6918" s="751"/>
      <c r="G6918" s="197"/>
      <c r="H6918" s="752"/>
      <c r="L6918" s="200"/>
      <c r="M6918" s="200"/>
      <c r="N6918" s="200"/>
      <c r="O6918" s="200"/>
      <c r="P6918" s="200"/>
    </row>
    <row r="6919" spans="3:16" s="517" customFormat="1" ht="31.2" customHeight="1">
      <c r="C6919" s="543">
        <v>1</v>
      </c>
      <c r="D6919" s="750" t="s">
        <v>5624</v>
      </c>
      <c r="E6919" s="203" t="s">
        <v>42</v>
      </c>
      <c r="F6919" s="769">
        <v>0.4</v>
      </c>
      <c r="G6919" s="205">
        <f>VLOOKUP(D6919,upahbahan,3,FALSE)</f>
        <v>0</v>
      </c>
      <c r="H6919" s="210">
        <f>F6919*G6919</f>
        <v>0</v>
      </c>
      <c r="L6919" s="200"/>
      <c r="M6919" s="200"/>
      <c r="N6919" s="200"/>
      <c r="O6919" s="200"/>
      <c r="P6919" s="200"/>
    </row>
    <row r="6920" spans="3:16" s="517" customFormat="1" ht="31.2" customHeight="1">
      <c r="C6920" s="207" t="s">
        <v>1214</v>
      </c>
      <c r="D6920" s="208"/>
      <c r="E6920" s="568"/>
      <c r="F6920" s="208"/>
      <c r="G6920" s="209"/>
      <c r="H6920" s="210">
        <f>SUM(H6919:H6919)</f>
        <v>0</v>
      </c>
      <c r="L6920" s="200"/>
      <c r="M6920" s="200"/>
      <c r="N6920" s="200"/>
      <c r="O6920" s="200"/>
      <c r="P6920" s="200"/>
    </row>
    <row r="6921" spans="3:16" s="517" customFormat="1" ht="31.2" customHeight="1">
      <c r="C6921" s="195" t="s">
        <v>1215</v>
      </c>
      <c r="D6921" s="196" t="s">
        <v>1216</v>
      </c>
      <c r="E6921" s="203"/>
      <c r="F6921" s="197"/>
      <c r="G6921" s="197"/>
      <c r="H6921" s="198"/>
      <c r="L6921" s="200"/>
      <c r="M6921" s="200"/>
      <c r="N6921" s="200"/>
      <c r="O6921" s="200"/>
      <c r="P6921" s="200"/>
    </row>
    <row r="6922" spans="3:16" s="517" customFormat="1" ht="31.2" customHeight="1">
      <c r="C6922" s="201">
        <v>1</v>
      </c>
      <c r="D6922" s="196" t="s">
        <v>1167</v>
      </c>
      <c r="E6922" s="203" t="s">
        <v>1974</v>
      </c>
      <c r="F6922" s="763">
        <v>7.1400000000000005E-2</v>
      </c>
      <c r="G6922" s="205">
        <f>VLOOKUP(D6922,upahbahan,3,FALSE)</f>
        <v>300000</v>
      </c>
      <c r="H6922" s="210">
        <f>F6922*G6922</f>
        <v>21420</v>
      </c>
      <c r="L6922" s="200"/>
      <c r="M6922" s="200"/>
      <c r="N6922" s="200"/>
      <c r="O6922" s="200"/>
      <c r="P6922" s="200"/>
    </row>
    <row r="6923" spans="3:16" s="517" customFormat="1" ht="31.2" customHeight="1">
      <c r="C6923" s="207" t="s">
        <v>1217</v>
      </c>
      <c r="D6923" s="208"/>
      <c r="E6923" s="208"/>
      <c r="F6923" s="208"/>
      <c r="G6923" s="209"/>
      <c r="H6923" s="770">
        <f>SUM(H6921:H6922)</f>
        <v>21420</v>
      </c>
      <c r="L6923" s="200"/>
      <c r="M6923" s="200"/>
      <c r="N6923" s="200"/>
      <c r="O6923" s="200"/>
      <c r="P6923" s="200"/>
    </row>
    <row r="6924" spans="3:16" s="517" customFormat="1" ht="31.2" customHeight="1">
      <c r="C6924" s="223" t="s">
        <v>1218</v>
      </c>
      <c r="D6924" s="224" t="s">
        <v>1219</v>
      </c>
      <c r="E6924" s="225"/>
      <c r="F6924" s="225"/>
      <c r="G6924" s="226"/>
      <c r="H6924" s="210">
        <f>H6923+H6920+H6917</f>
        <v>63180</v>
      </c>
      <c r="L6924" s="200"/>
      <c r="M6924" s="200"/>
      <c r="N6924" s="200"/>
      <c r="O6924" s="200"/>
      <c r="P6924" s="200"/>
    </row>
    <row r="6925" spans="3:16" s="517" customFormat="1" ht="31.2" customHeight="1">
      <c r="C6925" s="223" t="s">
        <v>1220</v>
      </c>
      <c r="D6925" s="224" t="s">
        <v>1321</v>
      </c>
      <c r="E6925" s="225"/>
      <c r="F6925" s="226"/>
      <c r="G6925" s="228">
        <v>0.1</v>
      </c>
      <c r="H6925" s="210">
        <f>H6924*G6925</f>
        <v>6318</v>
      </c>
      <c r="L6925" s="200"/>
      <c r="M6925" s="200"/>
      <c r="N6925" s="200"/>
      <c r="O6925" s="200"/>
      <c r="P6925" s="200"/>
    </row>
    <row r="6926" spans="3:16" s="517" customFormat="1" ht="31.2" customHeight="1" thickBot="1">
      <c r="C6926" s="229" t="s">
        <v>1221</v>
      </c>
      <c r="D6926" s="230" t="s">
        <v>1222</v>
      </c>
      <c r="E6926" s="231"/>
      <c r="F6926" s="231"/>
      <c r="G6926" s="232"/>
      <c r="H6926" s="233">
        <f>SUM(H6924:H6925)</f>
        <v>69498</v>
      </c>
      <c r="L6926" s="200"/>
      <c r="M6926" s="200"/>
      <c r="N6926" s="200"/>
      <c r="O6926" s="200"/>
      <c r="P6926" s="200"/>
    </row>
    <row r="6927" spans="3:16" ht="31.2" customHeight="1" thickTop="1"/>
    <row r="6928" spans="3:16" ht="31.2" customHeight="1">
      <c r="C6928" s="765" t="s">
        <v>5645</v>
      </c>
      <c r="D6928" s="766" t="s">
        <v>5646</v>
      </c>
      <c r="E6928" s="767"/>
      <c r="F6928" s="766"/>
      <c r="G6928" s="766"/>
    </row>
    <row r="6929" spans="3:20" s="517" customFormat="1" ht="31.2" customHeight="1" thickBot="1">
      <c r="C6929" s="513" t="s">
        <v>5647</v>
      </c>
      <c r="D6929" s="748" t="s">
        <v>5648</v>
      </c>
      <c r="E6929" s="749"/>
      <c r="F6929" s="748"/>
      <c r="G6929" s="748"/>
      <c r="H6929" s="532"/>
      <c r="I6929" s="532"/>
      <c r="J6929" s="532"/>
      <c r="K6929" s="532"/>
      <c r="M6929" s="189"/>
      <c r="N6929" s="189"/>
      <c r="O6929" s="189"/>
      <c r="P6929" s="189"/>
      <c r="R6929" s="189">
        <f>ROUNDDOWN(H6942,-2)</f>
        <v>200</v>
      </c>
      <c r="S6929" s="517" t="s">
        <v>7601</v>
      </c>
      <c r="T6929" s="517" t="s">
        <v>7615</v>
      </c>
    </row>
    <row r="6930" spans="3:20" s="517" customFormat="1" ht="31.2" customHeight="1" thickTop="1">
      <c r="C6930" s="190" t="s">
        <v>1195</v>
      </c>
      <c r="D6930" s="191" t="s">
        <v>1196</v>
      </c>
      <c r="E6930" s="191" t="s">
        <v>1197</v>
      </c>
      <c r="F6930" s="191" t="s">
        <v>1198</v>
      </c>
      <c r="G6930" s="191" t="s">
        <v>1199</v>
      </c>
      <c r="H6930" s="192" t="s">
        <v>1200</v>
      </c>
      <c r="L6930" s="200"/>
      <c r="M6930" s="200"/>
      <c r="N6930" s="200"/>
      <c r="O6930" s="200"/>
      <c r="P6930" s="200"/>
    </row>
    <row r="6931" spans="3:20" s="517" customFormat="1" ht="31.2" customHeight="1">
      <c r="C6931" s="518" t="s">
        <v>1201</v>
      </c>
      <c r="D6931" s="196" t="s">
        <v>1202</v>
      </c>
      <c r="E6931" s="197"/>
      <c r="F6931" s="197"/>
      <c r="G6931" s="197"/>
      <c r="H6931" s="198"/>
      <c r="L6931" s="200"/>
      <c r="M6931" s="200"/>
      <c r="N6931" s="200"/>
      <c r="O6931" s="200"/>
      <c r="P6931" s="200"/>
    </row>
    <row r="6932" spans="3:20" s="517" customFormat="1" ht="31.2" customHeight="1">
      <c r="C6932" s="518">
        <v>1</v>
      </c>
      <c r="D6932" s="196" t="s">
        <v>5</v>
      </c>
      <c r="E6932" s="203" t="s">
        <v>2102</v>
      </c>
      <c r="F6932" s="204">
        <v>2.3999999999999998E-3</v>
      </c>
      <c r="G6932" s="205">
        <f>VLOOKUP(D6932,upahbahan,3,FALSE)</f>
        <v>100000</v>
      </c>
      <c r="H6932" s="210">
        <f t="shared" ref="H6932" si="534">F6932*G6932</f>
        <v>239.99999999999997</v>
      </c>
      <c r="L6932" s="200"/>
      <c r="M6932" s="200"/>
      <c r="N6932" s="200"/>
      <c r="O6932" s="200"/>
      <c r="P6932" s="200"/>
    </row>
    <row r="6933" spans="3:20" s="517" customFormat="1" ht="31.2" customHeight="1">
      <c r="C6933" s="518">
        <v>2</v>
      </c>
      <c r="D6933" s="196" t="s">
        <v>19</v>
      </c>
      <c r="E6933" s="203" t="s">
        <v>2102</v>
      </c>
      <c r="F6933" s="257">
        <v>1.2E-4</v>
      </c>
      <c r="G6933" s="205">
        <f>VLOOKUP(D6933,upahbahan,3,FALSE)</f>
        <v>160000</v>
      </c>
      <c r="H6933" s="210">
        <f t="shared" ref="H6933" si="535">F6933*G6933</f>
        <v>19.2</v>
      </c>
      <c r="L6933" s="200"/>
      <c r="M6933" s="200"/>
      <c r="N6933" s="200"/>
      <c r="O6933" s="200"/>
      <c r="P6933" s="200"/>
    </row>
    <row r="6934" spans="3:20" s="517" customFormat="1" ht="31.2" customHeight="1">
      <c r="C6934" s="207" t="s">
        <v>1208</v>
      </c>
      <c r="D6934" s="208"/>
      <c r="E6934" s="208"/>
      <c r="F6934" s="521"/>
      <c r="G6934" s="522"/>
      <c r="H6934" s="210">
        <f>SUM(H6932:H6933)</f>
        <v>259.2</v>
      </c>
      <c r="L6934" s="523"/>
      <c r="M6934" s="523"/>
      <c r="N6934" s="523"/>
      <c r="O6934" s="523"/>
      <c r="P6934" s="523"/>
    </row>
    <row r="6935" spans="3:20" s="517" customFormat="1" ht="31.2" customHeight="1">
      <c r="C6935" s="543" t="s">
        <v>1209</v>
      </c>
      <c r="D6935" s="750" t="s">
        <v>1210</v>
      </c>
      <c r="E6935" s="197"/>
      <c r="F6935" s="751"/>
      <c r="G6935" s="197"/>
      <c r="H6935" s="752"/>
      <c r="L6935" s="200"/>
      <c r="M6935" s="200"/>
      <c r="N6935" s="200"/>
      <c r="O6935" s="200"/>
      <c r="P6935" s="200"/>
    </row>
    <row r="6936" spans="3:20" s="517" customFormat="1" ht="31.2" customHeight="1">
      <c r="C6936" s="543">
        <v>1</v>
      </c>
      <c r="D6936" s="750" t="s">
        <v>5649</v>
      </c>
      <c r="E6936" s="203" t="s">
        <v>529</v>
      </c>
      <c r="F6936" s="769">
        <v>5</v>
      </c>
      <c r="G6936" s="205">
        <f>VLOOKUP(D6936,upahbahan,3,FALSE)</f>
        <v>0</v>
      </c>
      <c r="H6936" s="210">
        <f>F6936*G6936</f>
        <v>0</v>
      </c>
      <c r="L6936" s="200"/>
      <c r="M6936" s="200"/>
      <c r="N6936" s="200"/>
      <c r="O6936" s="200"/>
      <c r="P6936" s="200"/>
    </row>
    <row r="6937" spans="3:20" s="517" customFormat="1" ht="31.2" customHeight="1">
      <c r="C6937" s="207" t="s">
        <v>1214</v>
      </c>
      <c r="D6937" s="208"/>
      <c r="E6937" s="568"/>
      <c r="F6937" s="208"/>
      <c r="G6937" s="209"/>
      <c r="H6937" s="210">
        <f>SUM(H6936:H6936)</f>
        <v>0</v>
      </c>
      <c r="L6937" s="200"/>
      <c r="M6937" s="200"/>
      <c r="N6937" s="200"/>
      <c r="O6937" s="200"/>
      <c r="P6937" s="200"/>
    </row>
    <row r="6938" spans="3:20" s="517" customFormat="1" ht="31.2" customHeight="1">
      <c r="C6938" s="195" t="s">
        <v>1215</v>
      </c>
      <c r="D6938" s="196" t="s">
        <v>1216</v>
      </c>
      <c r="E6938" s="203"/>
      <c r="F6938" s="197"/>
      <c r="G6938" s="197"/>
      <c r="H6938" s="198"/>
      <c r="L6938" s="200"/>
      <c r="M6938" s="200"/>
      <c r="N6938" s="200"/>
      <c r="O6938" s="200"/>
      <c r="P6938" s="200"/>
    </row>
    <row r="6939" spans="3:20" s="517" customFormat="1" ht="31.2" customHeight="1">
      <c r="C6939" s="207" t="s">
        <v>1217</v>
      </c>
      <c r="D6939" s="208"/>
      <c r="E6939" s="208"/>
      <c r="F6939" s="208"/>
      <c r="G6939" s="209"/>
      <c r="H6939" s="770">
        <f>SUM(H6938:H6938)</f>
        <v>0</v>
      </c>
      <c r="L6939" s="200"/>
      <c r="M6939" s="200"/>
      <c r="N6939" s="200"/>
      <c r="O6939" s="200"/>
      <c r="P6939" s="200"/>
    </row>
    <row r="6940" spans="3:20" s="517" customFormat="1" ht="31.2" customHeight="1">
      <c r="C6940" s="223" t="s">
        <v>1218</v>
      </c>
      <c r="D6940" s="224" t="s">
        <v>1219</v>
      </c>
      <c r="E6940" s="225"/>
      <c r="F6940" s="225"/>
      <c r="G6940" s="226"/>
      <c r="H6940" s="210">
        <f>H6939+H6937+H6934</f>
        <v>259.2</v>
      </c>
      <c r="L6940" s="200"/>
      <c r="M6940" s="200"/>
      <c r="N6940" s="200"/>
      <c r="O6940" s="200"/>
      <c r="P6940" s="200"/>
    </row>
    <row r="6941" spans="3:20" s="517" customFormat="1" ht="31.2" customHeight="1">
      <c r="C6941" s="223" t="s">
        <v>1220</v>
      </c>
      <c r="D6941" s="224" t="s">
        <v>1321</v>
      </c>
      <c r="E6941" s="225"/>
      <c r="F6941" s="226"/>
      <c r="G6941" s="228">
        <v>0.1</v>
      </c>
      <c r="H6941" s="210">
        <f>H6940*G6941</f>
        <v>25.92</v>
      </c>
      <c r="L6941" s="200"/>
      <c r="M6941" s="200"/>
      <c r="N6941" s="200"/>
      <c r="O6941" s="200"/>
      <c r="P6941" s="200"/>
    </row>
    <row r="6942" spans="3:20" s="517" customFormat="1" ht="31.2" customHeight="1" thickBot="1">
      <c r="C6942" s="229" t="s">
        <v>1221</v>
      </c>
      <c r="D6942" s="230" t="s">
        <v>1222</v>
      </c>
      <c r="E6942" s="231"/>
      <c r="F6942" s="231"/>
      <c r="G6942" s="232"/>
      <c r="H6942" s="233">
        <f>SUM(H6940:H6941)</f>
        <v>285.12</v>
      </c>
      <c r="L6942" s="200"/>
      <c r="M6942" s="200"/>
      <c r="N6942" s="200"/>
      <c r="O6942" s="200"/>
      <c r="P6942" s="200"/>
    </row>
    <row r="6943" spans="3:20" ht="31.2" customHeight="1" thickTop="1"/>
    <row r="6944" spans="3:20" ht="31.2" customHeight="1"/>
    <row r="6945" spans="3:20" s="517" customFormat="1" ht="31.2" customHeight="1" thickBot="1">
      <c r="C6945" s="513" t="s">
        <v>5650</v>
      </c>
      <c r="D6945" s="748" t="s">
        <v>5652</v>
      </c>
      <c r="E6945" s="749"/>
      <c r="F6945" s="748"/>
      <c r="G6945" s="748"/>
      <c r="H6945" s="532"/>
      <c r="I6945" s="532"/>
      <c r="J6945" s="532"/>
      <c r="K6945" s="532"/>
      <c r="M6945" s="189"/>
      <c r="N6945" s="189"/>
      <c r="O6945" s="189"/>
      <c r="P6945" s="189"/>
      <c r="R6945" s="189">
        <f>ROUNDDOWN(H6958,-2)</f>
        <v>0</v>
      </c>
      <c r="S6945" s="517" t="s">
        <v>6456</v>
      </c>
      <c r="T6945" s="517" t="s">
        <v>7616</v>
      </c>
    </row>
    <row r="6946" spans="3:20" s="517" customFormat="1" ht="31.2" customHeight="1" thickTop="1">
      <c r="C6946" s="190" t="s">
        <v>1195</v>
      </c>
      <c r="D6946" s="191" t="s">
        <v>1196</v>
      </c>
      <c r="E6946" s="191" t="s">
        <v>1197</v>
      </c>
      <c r="F6946" s="191" t="s">
        <v>1198</v>
      </c>
      <c r="G6946" s="191" t="s">
        <v>1199</v>
      </c>
      <c r="H6946" s="192" t="s">
        <v>1200</v>
      </c>
      <c r="L6946" s="200"/>
      <c r="M6946" s="200"/>
      <c r="N6946" s="200"/>
      <c r="O6946" s="200"/>
      <c r="P6946" s="200"/>
    </row>
    <row r="6947" spans="3:20" s="517" customFormat="1" ht="31.2" customHeight="1">
      <c r="C6947" s="518" t="s">
        <v>1201</v>
      </c>
      <c r="D6947" s="196" t="s">
        <v>1202</v>
      </c>
      <c r="E6947" s="197"/>
      <c r="F6947" s="197"/>
      <c r="G6947" s="197"/>
      <c r="H6947" s="198"/>
      <c r="L6947" s="200"/>
      <c r="M6947" s="200"/>
      <c r="N6947" s="200"/>
      <c r="O6947" s="200"/>
      <c r="P6947" s="200"/>
    </row>
    <row r="6948" spans="3:20" s="517" customFormat="1" ht="31.2" customHeight="1">
      <c r="C6948" s="518">
        <v>1</v>
      </c>
      <c r="D6948" s="196" t="s">
        <v>5</v>
      </c>
      <c r="E6948" s="203" t="s">
        <v>2102</v>
      </c>
      <c r="F6948" s="204">
        <v>4.0000000000000002E-4</v>
      </c>
      <c r="G6948" s="205">
        <f>VLOOKUP(D6948,upahbahan,3,FALSE)</f>
        <v>100000</v>
      </c>
      <c r="H6948" s="210">
        <f t="shared" ref="H6948" si="536">F6948*G6948</f>
        <v>40</v>
      </c>
      <c r="L6948" s="200"/>
      <c r="M6948" s="200"/>
      <c r="N6948" s="200"/>
      <c r="O6948" s="200"/>
      <c r="P6948" s="200"/>
    </row>
    <row r="6949" spans="3:20" s="517" customFormat="1" ht="31.2" customHeight="1">
      <c r="C6949" s="518">
        <v>2</v>
      </c>
      <c r="D6949" s="196" t="s">
        <v>19</v>
      </c>
      <c r="E6949" s="203" t="s">
        <v>2102</v>
      </c>
      <c r="F6949" s="257">
        <v>2.0000000000000002E-5</v>
      </c>
      <c r="G6949" s="205">
        <f>VLOOKUP(D6949,upahbahan,3,FALSE)</f>
        <v>160000</v>
      </c>
      <c r="H6949" s="210">
        <f t="shared" ref="H6949" si="537">F6949*G6949</f>
        <v>3.2</v>
      </c>
      <c r="L6949" s="200"/>
      <c r="M6949" s="200"/>
      <c r="N6949" s="200"/>
      <c r="O6949" s="200"/>
      <c r="P6949" s="200"/>
    </row>
    <row r="6950" spans="3:20" s="517" customFormat="1" ht="31.2" customHeight="1">
      <c r="C6950" s="207" t="s">
        <v>1208</v>
      </c>
      <c r="D6950" s="208"/>
      <c r="E6950" s="208"/>
      <c r="F6950" s="521"/>
      <c r="G6950" s="522"/>
      <c r="H6950" s="210">
        <f>SUM(H6948:H6949)</f>
        <v>43.2</v>
      </c>
      <c r="L6950" s="523"/>
      <c r="M6950" s="523"/>
      <c r="N6950" s="523"/>
      <c r="O6950" s="523"/>
      <c r="P6950" s="523"/>
    </row>
    <row r="6951" spans="3:20" s="517" customFormat="1" ht="31.2" customHeight="1">
      <c r="C6951" s="543" t="s">
        <v>1209</v>
      </c>
      <c r="D6951" s="750" t="s">
        <v>1210</v>
      </c>
      <c r="E6951" s="197"/>
      <c r="F6951" s="751"/>
      <c r="G6951" s="197"/>
      <c r="H6951" s="752"/>
      <c r="L6951" s="200"/>
      <c r="M6951" s="200"/>
      <c r="N6951" s="200"/>
      <c r="O6951" s="200"/>
      <c r="P6951" s="200"/>
    </row>
    <row r="6952" spans="3:20" s="517" customFormat="1" ht="31.2" customHeight="1">
      <c r="C6952" s="543">
        <v>1</v>
      </c>
      <c r="D6952" s="750" t="s">
        <v>5649</v>
      </c>
      <c r="E6952" s="203" t="s">
        <v>529</v>
      </c>
      <c r="F6952" s="769">
        <v>3</v>
      </c>
      <c r="G6952" s="205">
        <f>VLOOKUP(D6952,upahbahan,3,FALSE)</f>
        <v>0</v>
      </c>
      <c r="H6952" s="210">
        <f>F6952*G6952</f>
        <v>0</v>
      </c>
      <c r="L6952" s="200"/>
      <c r="M6952" s="200"/>
      <c r="N6952" s="200"/>
      <c r="O6952" s="200"/>
      <c r="P6952" s="200"/>
    </row>
    <row r="6953" spans="3:20" s="517" customFormat="1" ht="31.2" customHeight="1">
      <c r="C6953" s="207" t="s">
        <v>1214</v>
      </c>
      <c r="D6953" s="208"/>
      <c r="E6953" s="568"/>
      <c r="F6953" s="208"/>
      <c r="G6953" s="209"/>
      <c r="H6953" s="210">
        <f>SUM(H6952:H6952)</f>
        <v>0</v>
      </c>
      <c r="L6953" s="200"/>
      <c r="M6953" s="200"/>
      <c r="N6953" s="200"/>
      <c r="O6953" s="200"/>
      <c r="P6953" s="200"/>
    </row>
    <row r="6954" spans="3:20" s="517" customFormat="1" ht="31.2" customHeight="1">
      <c r="C6954" s="195" t="s">
        <v>1215</v>
      </c>
      <c r="D6954" s="196" t="s">
        <v>1216</v>
      </c>
      <c r="E6954" s="203"/>
      <c r="F6954" s="197"/>
      <c r="G6954" s="197"/>
      <c r="H6954" s="198"/>
      <c r="L6954" s="200"/>
      <c r="M6954" s="200"/>
      <c r="N6954" s="200"/>
      <c r="O6954" s="200"/>
      <c r="P6954" s="200"/>
    </row>
    <row r="6955" spans="3:20" s="517" customFormat="1" ht="31.2" customHeight="1">
      <c r="C6955" s="207" t="s">
        <v>1217</v>
      </c>
      <c r="D6955" s="208"/>
      <c r="E6955" s="208"/>
      <c r="F6955" s="208"/>
      <c r="G6955" s="209"/>
      <c r="H6955" s="770">
        <f>SUM(H6954:H6954)</f>
        <v>0</v>
      </c>
      <c r="L6955" s="200"/>
      <c r="M6955" s="200"/>
      <c r="N6955" s="200"/>
      <c r="O6955" s="200"/>
      <c r="P6955" s="200"/>
    </row>
    <row r="6956" spans="3:20" s="517" customFormat="1" ht="31.2" customHeight="1">
      <c r="C6956" s="223" t="s">
        <v>1218</v>
      </c>
      <c r="D6956" s="224" t="s">
        <v>1219</v>
      </c>
      <c r="E6956" s="225"/>
      <c r="F6956" s="225"/>
      <c r="G6956" s="226"/>
      <c r="H6956" s="210">
        <f>H6955+H6953+H6950</f>
        <v>43.2</v>
      </c>
      <c r="L6956" s="200"/>
      <c r="M6956" s="200"/>
      <c r="N6956" s="200"/>
      <c r="O6956" s="200"/>
      <c r="P6956" s="200"/>
    </row>
    <row r="6957" spans="3:20" s="517" customFormat="1" ht="31.2" customHeight="1">
      <c r="C6957" s="223" t="s">
        <v>1220</v>
      </c>
      <c r="D6957" s="224" t="s">
        <v>1321</v>
      </c>
      <c r="E6957" s="225"/>
      <c r="F6957" s="226"/>
      <c r="G6957" s="228">
        <v>0.1</v>
      </c>
      <c r="H6957" s="210">
        <f>H6956*G6957</f>
        <v>4.32</v>
      </c>
      <c r="L6957" s="200"/>
      <c r="M6957" s="200"/>
      <c r="N6957" s="200"/>
      <c r="O6957" s="200"/>
      <c r="P6957" s="200"/>
    </row>
    <row r="6958" spans="3:20" s="517" customFormat="1" ht="31.2" customHeight="1" thickBot="1">
      <c r="C6958" s="229" t="s">
        <v>1221</v>
      </c>
      <c r="D6958" s="230" t="s">
        <v>1222</v>
      </c>
      <c r="E6958" s="231"/>
      <c r="F6958" s="231"/>
      <c r="G6958" s="232"/>
      <c r="H6958" s="233">
        <f>SUM(H6956:H6957)</f>
        <v>47.52</v>
      </c>
      <c r="L6958" s="200"/>
      <c r="M6958" s="200"/>
      <c r="N6958" s="200"/>
      <c r="O6958" s="200"/>
      <c r="P6958" s="200"/>
    </row>
    <row r="6959" spans="3:20" ht="31.2" customHeight="1" thickTop="1"/>
    <row r="6960" spans="3:20" s="517" customFormat="1" ht="31.2" customHeight="1" thickBot="1">
      <c r="C6960" s="513" t="s">
        <v>5651</v>
      </c>
      <c r="D6960" s="748" t="s">
        <v>5653</v>
      </c>
      <c r="E6960" s="749"/>
      <c r="F6960" s="748"/>
      <c r="G6960" s="748"/>
      <c r="H6960" s="532"/>
      <c r="I6960" s="532"/>
      <c r="J6960" s="532"/>
      <c r="K6960" s="532"/>
      <c r="M6960" s="189"/>
      <c r="N6960" s="189"/>
      <c r="O6960" s="189"/>
      <c r="P6960" s="189"/>
      <c r="R6960" s="189">
        <f>ROUNDDOWN(H6973,-2)</f>
        <v>100</v>
      </c>
      <c r="S6960" s="517" t="s">
        <v>7617</v>
      </c>
    </row>
    <row r="6961" spans="3:20" s="517" customFormat="1" ht="31.2" customHeight="1" thickTop="1">
      <c r="C6961" s="190" t="s">
        <v>1195</v>
      </c>
      <c r="D6961" s="191" t="s">
        <v>1196</v>
      </c>
      <c r="E6961" s="191" t="s">
        <v>1197</v>
      </c>
      <c r="F6961" s="191" t="s">
        <v>1198</v>
      </c>
      <c r="G6961" s="191" t="s">
        <v>1199</v>
      </c>
      <c r="H6961" s="192" t="s">
        <v>1200</v>
      </c>
      <c r="L6961" s="200"/>
      <c r="M6961" s="200"/>
      <c r="N6961" s="200"/>
      <c r="O6961" s="200"/>
      <c r="P6961" s="200"/>
    </row>
    <row r="6962" spans="3:20" s="517" customFormat="1" ht="31.2" customHeight="1">
      <c r="C6962" s="518" t="s">
        <v>1201</v>
      </c>
      <c r="D6962" s="196" t="s">
        <v>1202</v>
      </c>
      <c r="E6962" s="197"/>
      <c r="F6962" s="197"/>
      <c r="G6962" s="197"/>
      <c r="H6962" s="198"/>
      <c r="L6962" s="200"/>
      <c r="M6962" s="200"/>
      <c r="N6962" s="200"/>
      <c r="O6962" s="200"/>
      <c r="P6962" s="200"/>
    </row>
    <row r="6963" spans="3:20" s="517" customFormat="1" ht="31.2" customHeight="1">
      <c r="C6963" s="518">
        <v>1</v>
      </c>
      <c r="D6963" s="196" t="s">
        <v>5</v>
      </c>
      <c r="E6963" s="203" t="s">
        <v>2102</v>
      </c>
      <c r="F6963" s="204">
        <v>4.0000000000000002E-4</v>
      </c>
      <c r="G6963" s="205">
        <f>VLOOKUP(D6963,upahbahan,3,FALSE)</f>
        <v>100000</v>
      </c>
      <c r="H6963" s="210">
        <f t="shared" ref="H6963" si="538">F6963*G6963</f>
        <v>40</v>
      </c>
      <c r="L6963" s="200"/>
      <c r="M6963" s="200"/>
      <c r="N6963" s="200"/>
      <c r="O6963" s="200"/>
      <c r="P6963" s="200"/>
    </row>
    <row r="6964" spans="3:20" s="517" customFormat="1" ht="31.2" customHeight="1">
      <c r="C6964" s="518">
        <v>2</v>
      </c>
      <c r="D6964" s="196" t="s">
        <v>19</v>
      </c>
      <c r="E6964" s="203" t="s">
        <v>2102</v>
      </c>
      <c r="F6964" s="204">
        <v>4.0000000000000002E-4</v>
      </c>
      <c r="G6964" s="205">
        <f>VLOOKUP(D6964,upahbahan,3,FALSE)</f>
        <v>160000</v>
      </c>
      <c r="H6964" s="210">
        <f t="shared" ref="H6964" si="539">F6964*G6964</f>
        <v>64</v>
      </c>
      <c r="L6964" s="200"/>
      <c r="M6964" s="200"/>
      <c r="N6964" s="200"/>
      <c r="O6964" s="200"/>
      <c r="P6964" s="200"/>
    </row>
    <row r="6965" spans="3:20" s="517" customFormat="1" ht="31.2" customHeight="1">
      <c r="C6965" s="207" t="s">
        <v>1208</v>
      </c>
      <c r="D6965" s="208"/>
      <c r="E6965" s="208"/>
      <c r="F6965" s="521"/>
      <c r="G6965" s="522"/>
      <c r="H6965" s="210">
        <f>SUM(H6963:H6964)</f>
        <v>104</v>
      </c>
      <c r="L6965" s="523"/>
      <c r="M6965" s="523"/>
      <c r="N6965" s="523"/>
      <c r="O6965" s="523"/>
      <c r="P6965" s="523"/>
    </row>
    <row r="6966" spans="3:20" s="517" customFormat="1" ht="31.2" customHeight="1">
      <c r="C6966" s="543" t="s">
        <v>1209</v>
      </c>
      <c r="D6966" s="750" t="s">
        <v>1210</v>
      </c>
      <c r="E6966" s="197"/>
      <c r="F6966" s="751"/>
      <c r="G6966" s="197"/>
      <c r="H6966" s="752"/>
      <c r="L6966" s="200"/>
      <c r="M6966" s="200"/>
      <c r="N6966" s="200"/>
      <c r="O6966" s="200"/>
      <c r="P6966" s="200"/>
    </row>
    <row r="6967" spans="3:20" s="517" customFormat="1" ht="31.2" customHeight="1">
      <c r="C6967" s="543">
        <v>1</v>
      </c>
      <c r="D6967" s="750" t="s">
        <v>5649</v>
      </c>
      <c r="E6967" s="203" t="s">
        <v>529</v>
      </c>
      <c r="F6967" s="769">
        <v>4</v>
      </c>
      <c r="G6967" s="205">
        <f>VLOOKUP(D6967,upahbahan,3,FALSE)</f>
        <v>0</v>
      </c>
      <c r="H6967" s="210">
        <f>F6967*G6967</f>
        <v>0</v>
      </c>
      <c r="L6967" s="200"/>
      <c r="M6967" s="200"/>
      <c r="N6967" s="200"/>
      <c r="O6967" s="200"/>
      <c r="P6967" s="200"/>
    </row>
    <row r="6968" spans="3:20" s="517" customFormat="1" ht="31.2" customHeight="1">
      <c r="C6968" s="207" t="s">
        <v>1214</v>
      </c>
      <c r="D6968" s="208"/>
      <c r="E6968" s="568"/>
      <c r="F6968" s="208"/>
      <c r="G6968" s="209"/>
      <c r="H6968" s="210">
        <f>SUM(H6967:H6967)</f>
        <v>0</v>
      </c>
      <c r="L6968" s="200"/>
      <c r="M6968" s="200"/>
      <c r="N6968" s="200"/>
      <c r="O6968" s="200"/>
      <c r="P6968" s="200"/>
    </row>
    <row r="6969" spans="3:20" s="517" customFormat="1" ht="31.2" customHeight="1">
      <c r="C6969" s="195" t="s">
        <v>1215</v>
      </c>
      <c r="D6969" s="196" t="s">
        <v>1216</v>
      </c>
      <c r="E6969" s="203"/>
      <c r="F6969" s="197"/>
      <c r="G6969" s="197"/>
      <c r="H6969" s="198"/>
      <c r="L6969" s="200"/>
      <c r="M6969" s="200"/>
      <c r="N6969" s="200"/>
      <c r="O6969" s="200"/>
      <c r="P6969" s="200"/>
    </row>
    <row r="6970" spans="3:20" s="517" customFormat="1" ht="31.2" customHeight="1">
      <c r="C6970" s="207" t="s">
        <v>1217</v>
      </c>
      <c r="D6970" s="208"/>
      <c r="E6970" s="208"/>
      <c r="F6970" s="208"/>
      <c r="G6970" s="209"/>
      <c r="H6970" s="770">
        <f>SUM(H6969:H6969)</f>
        <v>0</v>
      </c>
      <c r="L6970" s="200"/>
      <c r="M6970" s="200"/>
      <c r="N6970" s="200"/>
      <c r="O6970" s="200"/>
      <c r="P6970" s="200"/>
    </row>
    <row r="6971" spans="3:20" s="517" customFormat="1" ht="31.2" customHeight="1">
      <c r="C6971" s="223" t="s">
        <v>1218</v>
      </c>
      <c r="D6971" s="224" t="s">
        <v>1219</v>
      </c>
      <c r="E6971" s="225"/>
      <c r="F6971" s="225"/>
      <c r="G6971" s="226"/>
      <c r="H6971" s="210">
        <f>H6970+H6968+H6965</f>
        <v>104</v>
      </c>
      <c r="L6971" s="200"/>
      <c r="M6971" s="200"/>
      <c r="N6971" s="200"/>
      <c r="O6971" s="200"/>
      <c r="P6971" s="200"/>
    </row>
    <row r="6972" spans="3:20" s="517" customFormat="1" ht="31.2" customHeight="1">
      <c r="C6972" s="223" t="s">
        <v>1220</v>
      </c>
      <c r="D6972" s="224" t="s">
        <v>1321</v>
      </c>
      <c r="E6972" s="225"/>
      <c r="F6972" s="226"/>
      <c r="G6972" s="228">
        <v>0.1</v>
      </c>
      <c r="H6972" s="210">
        <f>H6971*G6972</f>
        <v>10.4</v>
      </c>
      <c r="L6972" s="200"/>
      <c r="M6972" s="200"/>
      <c r="N6972" s="200"/>
      <c r="O6972" s="200"/>
      <c r="P6972" s="200"/>
    </row>
    <row r="6973" spans="3:20" s="517" customFormat="1" ht="31.2" customHeight="1" thickBot="1">
      <c r="C6973" s="229" t="s">
        <v>1221</v>
      </c>
      <c r="D6973" s="230" t="s">
        <v>1222</v>
      </c>
      <c r="E6973" s="231"/>
      <c r="F6973" s="231"/>
      <c r="G6973" s="232"/>
      <c r="H6973" s="233">
        <f>SUM(H6971:H6972)</f>
        <v>114.4</v>
      </c>
      <c r="L6973" s="200"/>
      <c r="M6973" s="200"/>
      <c r="N6973" s="200"/>
      <c r="O6973" s="200"/>
      <c r="P6973" s="200"/>
    </row>
    <row r="6974" spans="3:20" ht="31.2" customHeight="1" thickTop="1"/>
    <row r="6975" spans="3:20" ht="31.2" customHeight="1"/>
    <row r="6976" spans="3:20" s="517" customFormat="1" ht="31.2" customHeight="1" thickBot="1">
      <c r="C6976" s="513" t="s">
        <v>5654</v>
      </c>
      <c r="D6976" s="748" t="s">
        <v>5655</v>
      </c>
      <c r="E6976" s="749"/>
      <c r="F6976" s="748"/>
      <c r="G6976" s="748"/>
      <c r="H6976" s="532"/>
      <c r="I6976" s="532"/>
      <c r="J6976" s="532"/>
      <c r="K6976" s="532"/>
      <c r="M6976" s="189"/>
      <c r="N6976" s="189"/>
      <c r="O6976" s="189"/>
      <c r="P6976" s="189"/>
      <c r="R6976" s="189">
        <f>ROUNDDOWN(H6989,-2)</f>
        <v>0</v>
      </c>
      <c r="S6976" s="517" t="s">
        <v>6456</v>
      </c>
      <c r="T6976" s="517" t="s">
        <v>7618</v>
      </c>
    </row>
    <row r="6977" spans="3:20" s="517" customFormat="1" ht="31.2" customHeight="1" thickTop="1">
      <c r="C6977" s="190" t="s">
        <v>1195</v>
      </c>
      <c r="D6977" s="191" t="s">
        <v>1196</v>
      </c>
      <c r="E6977" s="191" t="s">
        <v>1197</v>
      </c>
      <c r="F6977" s="191" t="s">
        <v>1198</v>
      </c>
      <c r="G6977" s="191" t="s">
        <v>1199</v>
      </c>
      <c r="H6977" s="192" t="s">
        <v>1200</v>
      </c>
      <c r="L6977" s="200"/>
      <c r="M6977" s="200"/>
      <c r="N6977" s="200"/>
      <c r="O6977" s="200"/>
      <c r="P6977" s="200"/>
    </row>
    <row r="6978" spans="3:20" s="517" customFormat="1" ht="31.2" customHeight="1">
      <c r="C6978" s="518" t="s">
        <v>1201</v>
      </c>
      <c r="D6978" s="196" t="s">
        <v>1202</v>
      </c>
      <c r="E6978" s="197"/>
      <c r="F6978" s="197"/>
      <c r="G6978" s="197"/>
      <c r="H6978" s="198"/>
      <c r="L6978" s="200"/>
      <c r="M6978" s="200"/>
      <c r="N6978" s="200"/>
      <c r="O6978" s="200"/>
      <c r="P6978" s="200"/>
    </row>
    <row r="6979" spans="3:20" s="517" customFormat="1" ht="31.2" customHeight="1">
      <c r="C6979" s="518">
        <v>1</v>
      </c>
      <c r="D6979" s="196" t="s">
        <v>5</v>
      </c>
      <c r="E6979" s="203" t="s">
        <v>2102</v>
      </c>
      <c r="F6979" s="257">
        <v>2.7E-4</v>
      </c>
      <c r="G6979" s="205">
        <f>VLOOKUP(D6979,upahbahan,3,FALSE)</f>
        <v>100000</v>
      </c>
      <c r="H6979" s="210">
        <f t="shared" ref="H6979" si="540">F6979*G6979</f>
        <v>27</v>
      </c>
      <c r="L6979" s="200"/>
      <c r="M6979" s="200"/>
      <c r="N6979" s="200"/>
      <c r="O6979" s="200"/>
      <c r="P6979" s="200"/>
    </row>
    <row r="6980" spans="3:20" s="517" customFormat="1" ht="31.2" customHeight="1">
      <c r="C6980" s="518">
        <v>2</v>
      </c>
      <c r="D6980" s="196" t="s">
        <v>19</v>
      </c>
      <c r="E6980" s="203" t="s">
        <v>2102</v>
      </c>
      <c r="F6980" s="786">
        <v>1.2999999999999999E-5</v>
      </c>
      <c r="G6980" s="205">
        <f>VLOOKUP(D6980,upahbahan,3,FALSE)</f>
        <v>160000</v>
      </c>
      <c r="H6980" s="210">
        <f t="shared" ref="H6980" si="541">F6980*G6980</f>
        <v>2.08</v>
      </c>
      <c r="L6980" s="200"/>
      <c r="M6980" s="200"/>
      <c r="N6980" s="200"/>
      <c r="O6980" s="200"/>
      <c r="P6980" s="200"/>
    </row>
    <row r="6981" spans="3:20" s="517" customFormat="1" ht="31.2" customHeight="1">
      <c r="C6981" s="207" t="s">
        <v>1208</v>
      </c>
      <c r="D6981" s="208"/>
      <c r="E6981" s="208"/>
      <c r="F6981" s="521"/>
      <c r="G6981" s="522"/>
      <c r="H6981" s="210">
        <f>SUM(H6979:H6980)</f>
        <v>29.08</v>
      </c>
      <c r="L6981" s="523"/>
      <c r="M6981" s="523"/>
      <c r="N6981" s="523"/>
      <c r="O6981" s="523"/>
      <c r="P6981" s="523"/>
    </row>
    <row r="6982" spans="3:20" s="517" customFormat="1" ht="31.2" customHeight="1">
      <c r="C6982" s="543" t="s">
        <v>1209</v>
      </c>
      <c r="D6982" s="750" t="s">
        <v>1210</v>
      </c>
      <c r="E6982" s="197"/>
      <c r="F6982" s="751"/>
      <c r="G6982" s="197"/>
      <c r="H6982" s="752"/>
      <c r="L6982" s="200"/>
      <c r="M6982" s="200"/>
      <c r="N6982" s="200"/>
      <c r="O6982" s="200"/>
      <c r="P6982" s="200"/>
    </row>
    <row r="6983" spans="3:20" s="517" customFormat="1" ht="31.2" customHeight="1">
      <c r="C6983" s="543">
        <v>1</v>
      </c>
      <c r="D6983" s="750" t="s">
        <v>5649</v>
      </c>
      <c r="E6983" s="203" t="s">
        <v>529</v>
      </c>
      <c r="F6983" s="769">
        <v>3</v>
      </c>
      <c r="G6983" s="205">
        <f>VLOOKUP(D6983,upahbahan,3,FALSE)</f>
        <v>0</v>
      </c>
      <c r="H6983" s="210">
        <f>F6983*G6983</f>
        <v>0</v>
      </c>
      <c r="L6983" s="200"/>
      <c r="M6983" s="200"/>
      <c r="N6983" s="200"/>
      <c r="O6983" s="200"/>
      <c r="P6983" s="200"/>
    </row>
    <row r="6984" spans="3:20" s="517" customFormat="1" ht="31.2" customHeight="1">
      <c r="C6984" s="207" t="s">
        <v>1214</v>
      </c>
      <c r="D6984" s="208"/>
      <c r="E6984" s="568"/>
      <c r="F6984" s="208"/>
      <c r="G6984" s="209"/>
      <c r="H6984" s="210">
        <f>SUM(H6983:H6983)</f>
        <v>0</v>
      </c>
      <c r="L6984" s="200"/>
      <c r="M6984" s="200"/>
      <c r="N6984" s="200"/>
      <c r="O6984" s="200"/>
      <c r="P6984" s="200"/>
    </row>
    <row r="6985" spans="3:20" s="517" customFormat="1" ht="31.2" customHeight="1">
      <c r="C6985" s="195" t="s">
        <v>1215</v>
      </c>
      <c r="D6985" s="196" t="s">
        <v>1216</v>
      </c>
      <c r="E6985" s="203"/>
      <c r="F6985" s="197"/>
      <c r="G6985" s="197"/>
      <c r="H6985" s="198"/>
      <c r="L6985" s="200"/>
      <c r="M6985" s="200"/>
      <c r="N6985" s="200"/>
      <c r="O6985" s="200"/>
      <c r="P6985" s="200"/>
    </row>
    <row r="6986" spans="3:20" s="517" customFormat="1" ht="31.2" customHeight="1">
      <c r="C6986" s="207" t="s">
        <v>1217</v>
      </c>
      <c r="D6986" s="208"/>
      <c r="E6986" s="208"/>
      <c r="F6986" s="208"/>
      <c r="G6986" s="209"/>
      <c r="H6986" s="770">
        <f>SUM(H6985:H6985)</f>
        <v>0</v>
      </c>
      <c r="L6986" s="200"/>
      <c r="M6986" s="200"/>
      <c r="N6986" s="200"/>
      <c r="O6986" s="200"/>
      <c r="P6986" s="200"/>
    </row>
    <row r="6987" spans="3:20" s="517" customFormat="1" ht="31.2" customHeight="1">
      <c r="C6987" s="223" t="s">
        <v>1218</v>
      </c>
      <c r="D6987" s="224" t="s">
        <v>1219</v>
      </c>
      <c r="E6987" s="225"/>
      <c r="F6987" s="225"/>
      <c r="G6987" s="226"/>
      <c r="H6987" s="210">
        <f>H6986+H6984+H6981</f>
        <v>29.08</v>
      </c>
      <c r="L6987" s="200"/>
      <c r="M6987" s="200"/>
      <c r="N6987" s="200"/>
      <c r="O6987" s="200"/>
      <c r="P6987" s="200"/>
    </row>
    <row r="6988" spans="3:20" s="517" customFormat="1" ht="31.2" customHeight="1">
      <c r="C6988" s="223" t="s">
        <v>1220</v>
      </c>
      <c r="D6988" s="224" t="s">
        <v>1321</v>
      </c>
      <c r="E6988" s="225"/>
      <c r="F6988" s="226"/>
      <c r="G6988" s="228">
        <v>0.1</v>
      </c>
      <c r="H6988" s="210">
        <f>H6987*G6988</f>
        <v>2.9079999999999999</v>
      </c>
      <c r="L6988" s="200"/>
      <c r="M6988" s="200"/>
      <c r="N6988" s="200"/>
      <c r="O6988" s="200"/>
      <c r="P6988" s="200"/>
    </row>
    <row r="6989" spans="3:20" s="517" customFormat="1" ht="31.2" customHeight="1" thickBot="1">
      <c r="C6989" s="229" t="s">
        <v>1221</v>
      </c>
      <c r="D6989" s="230" t="s">
        <v>1222</v>
      </c>
      <c r="E6989" s="231"/>
      <c r="F6989" s="231"/>
      <c r="G6989" s="232"/>
      <c r="H6989" s="233">
        <f>SUM(H6987:H6988)</f>
        <v>31.988</v>
      </c>
      <c r="L6989" s="200"/>
      <c r="M6989" s="200"/>
      <c r="N6989" s="200"/>
      <c r="O6989" s="200"/>
      <c r="P6989" s="200"/>
    </row>
    <row r="6990" spans="3:20" ht="31.2" customHeight="1" thickTop="1"/>
    <row r="6991" spans="3:20" s="517" customFormat="1" ht="31.2" customHeight="1" thickBot="1">
      <c r="C6991" s="513" t="s">
        <v>5656</v>
      </c>
      <c r="D6991" s="748" t="s">
        <v>5657</v>
      </c>
      <c r="E6991" s="749"/>
      <c r="F6991" s="748"/>
      <c r="G6991" s="748"/>
      <c r="H6991" s="532"/>
      <c r="I6991" s="532"/>
      <c r="J6991" s="532"/>
      <c r="K6991" s="532"/>
      <c r="M6991" s="189"/>
      <c r="N6991" s="189"/>
      <c r="O6991" s="189"/>
      <c r="P6991" s="189"/>
      <c r="R6991" s="189">
        <f>ROUNDDOWN(H7004,-2)</f>
        <v>0</v>
      </c>
      <c r="S6991" s="517" t="s">
        <v>6451</v>
      </c>
      <c r="T6991" s="517" t="s">
        <v>7619</v>
      </c>
    </row>
    <row r="6992" spans="3:20" s="517" customFormat="1" ht="31.2" customHeight="1" thickTop="1">
      <c r="C6992" s="190" t="s">
        <v>1195</v>
      </c>
      <c r="D6992" s="191" t="s">
        <v>1196</v>
      </c>
      <c r="E6992" s="191" t="s">
        <v>1197</v>
      </c>
      <c r="F6992" s="191" t="s">
        <v>1198</v>
      </c>
      <c r="G6992" s="191" t="s">
        <v>1199</v>
      </c>
      <c r="H6992" s="192" t="s">
        <v>1200</v>
      </c>
      <c r="L6992" s="200"/>
      <c r="M6992" s="200"/>
      <c r="N6992" s="200"/>
      <c r="O6992" s="200"/>
      <c r="P6992" s="200"/>
    </row>
    <row r="6993" spans="3:20" s="517" customFormat="1" ht="31.2" customHeight="1">
      <c r="C6993" s="518" t="s">
        <v>1201</v>
      </c>
      <c r="D6993" s="196" t="s">
        <v>1202</v>
      </c>
      <c r="E6993" s="197"/>
      <c r="F6993" s="197"/>
      <c r="G6993" s="197"/>
      <c r="H6993" s="198"/>
      <c r="L6993" s="200"/>
      <c r="M6993" s="200"/>
      <c r="N6993" s="200"/>
      <c r="O6993" s="200"/>
      <c r="P6993" s="200"/>
    </row>
    <row r="6994" spans="3:20" s="517" customFormat="1" ht="31.2" customHeight="1">
      <c r="C6994" s="518">
        <v>1</v>
      </c>
      <c r="D6994" s="196" t="s">
        <v>5</v>
      </c>
      <c r="E6994" s="203" t="s">
        <v>2102</v>
      </c>
      <c r="F6994" s="257">
        <v>2.7E-4</v>
      </c>
      <c r="G6994" s="205">
        <f>VLOOKUP(D6994,upahbahan,3,FALSE)</f>
        <v>100000</v>
      </c>
      <c r="H6994" s="210">
        <f t="shared" ref="H6994" si="542">F6994*G6994</f>
        <v>27</v>
      </c>
      <c r="L6994" s="200"/>
      <c r="M6994" s="200"/>
      <c r="N6994" s="200"/>
      <c r="O6994" s="200"/>
      <c r="P6994" s="200"/>
    </row>
    <row r="6995" spans="3:20" s="517" customFormat="1" ht="31.2" customHeight="1">
      <c r="C6995" s="518">
        <v>2</v>
      </c>
      <c r="D6995" s="196" t="s">
        <v>19</v>
      </c>
      <c r="E6995" s="203" t="s">
        <v>2102</v>
      </c>
      <c r="F6995" s="786">
        <v>1.2999999999999999E-5</v>
      </c>
      <c r="G6995" s="205">
        <f>VLOOKUP(D6995,upahbahan,3,FALSE)</f>
        <v>160000</v>
      </c>
      <c r="H6995" s="210">
        <f t="shared" ref="H6995" si="543">F6995*G6995</f>
        <v>2.08</v>
      </c>
      <c r="L6995" s="200"/>
      <c r="M6995" s="200"/>
      <c r="N6995" s="200"/>
      <c r="O6995" s="200"/>
      <c r="P6995" s="200"/>
    </row>
    <row r="6996" spans="3:20" s="517" customFormat="1" ht="31.2" customHeight="1">
      <c r="C6996" s="207" t="s">
        <v>1208</v>
      </c>
      <c r="D6996" s="208"/>
      <c r="E6996" s="208"/>
      <c r="F6996" s="521"/>
      <c r="G6996" s="522"/>
      <c r="H6996" s="210">
        <f>SUM(H6994:H6995)</f>
        <v>29.08</v>
      </c>
      <c r="L6996" s="523"/>
      <c r="M6996" s="523"/>
      <c r="N6996" s="523"/>
      <c r="O6996" s="523"/>
      <c r="P6996" s="523"/>
    </row>
    <row r="6997" spans="3:20" s="517" customFormat="1" ht="31.2" customHeight="1">
      <c r="C6997" s="543" t="s">
        <v>1209</v>
      </c>
      <c r="D6997" s="750" t="s">
        <v>1210</v>
      </c>
      <c r="E6997" s="197"/>
      <c r="F6997" s="751"/>
      <c r="G6997" s="197"/>
      <c r="H6997" s="752"/>
      <c r="L6997" s="200"/>
      <c r="M6997" s="200"/>
      <c r="N6997" s="200"/>
      <c r="O6997" s="200"/>
      <c r="P6997" s="200"/>
    </row>
    <row r="6998" spans="3:20" s="517" customFormat="1" ht="31.2" customHeight="1">
      <c r="C6998" s="543">
        <v>1</v>
      </c>
      <c r="D6998" s="750" t="s">
        <v>5649</v>
      </c>
      <c r="E6998" s="203" t="s">
        <v>529</v>
      </c>
      <c r="F6998" s="769">
        <v>4</v>
      </c>
      <c r="G6998" s="205">
        <f>VLOOKUP(D6998,upahbahan,3,FALSE)</f>
        <v>0</v>
      </c>
      <c r="H6998" s="210">
        <f>F6998*G6998</f>
        <v>0</v>
      </c>
      <c r="L6998" s="200"/>
      <c r="M6998" s="200"/>
      <c r="N6998" s="200"/>
      <c r="O6998" s="200"/>
      <c r="P6998" s="200"/>
    </row>
    <row r="6999" spans="3:20" s="517" customFormat="1" ht="31.2" customHeight="1">
      <c r="C6999" s="207" t="s">
        <v>1214</v>
      </c>
      <c r="D6999" s="208"/>
      <c r="E6999" s="568"/>
      <c r="F6999" s="208"/>
      <c r="G6999" s="209"/>
      <c r="H6999" s="210">
        <f>SUM(H6998:H6998)</f>
        <v>0</v>
      </c>
      <c r="L6999" s="200"/>
      <c r="M6999" s="200"/>
      <c r="N6999" s="200"/>
      <c r="O6999" s="200"/>
      <c r="P6999" s="200"/>
    </row>
    <row r="7000" spans="3:20" s="517" customFormat="1" ht="31.2" customHeight="1">
      <c r="C7000" s="195" t="s">
        <v>1215</v>
      </c>
      <c r="D7000" s="196" t="s">
        <v>1216</v>
      </c>
      <c r="E7000" s="203"/>
      <c r="F7000" s="197"/>
      <c r="G7000" s="197"/>
      <c r="H7000" s="198"/>
      <c r="L7000" s="200"/>
      <c r="M7000" s="200"/>
      <c r="N7000" s="200"/>
      <c r="O7000" s="200"/>
      <c r="P7000" s="200"/>
    </row>
    <row r="7001" spans="3:20" s="517" customFormat="1" ht="31.2" customHeight="1">
      <c r="C7001" s="207" t="s">
        <v>1217</v>
      </c>
      <c r="D7001" s="208"/>
      <c r="E7001" s="208"/>
      <c r="F7001" s="208"/>
      <c r="G7001" s="209"/>
      <c r="H7001" s="770">
        <f>SUM(H7000:H7000)</f>
        <v>0</v>
      </c>
      <c r="L7001" s="200"/>
      <c r="M7001" s="200"/>
      <c r="N7001" s="200"/>
      <c r="O7001" s="200"/>
      <c r="P7001" s="200"/>
    </row>
    <row r="7002" spans="3:20" s="517" customFormat="1" ht="31.2" customHeight="1">
      <c r="C7002" s="223" t="s">
        <v>1218</v>
      </c>
      <c r="D7002" s="224" t="s">
        <v>1219</v>
      </c>
      <c r="E7002" s="225"/>
      <c r="F7002" s="225"/>
      <c r="G7002" s="226"/>
      <c r="H7002" s="210">
        <f>H7001+H6999+H6996</f>
        <v>29.08</v>
      </c>
      <c r="L7002" s="200"/>
      <c r="M7002" s="200"/>
      <c r="N7002" s="200"/>
      <c r="O7002" s="200"/>
      <c r="P7002" s="200"/>
    </row>
    <row r="7003" spans="3:20" s="517" customFormat="1" ht="31.2" customHeight="1">
      <c r="C7003" s="223" t="s">
        <v>1220</v>
      </c>
      <c r="D7003" s="224" t="s">
        <v>1321</v>
      </c>
      <c r="E7003" s="225"/>
      <c r="F7003" s="226"/>
      <c r="G7003" s="228">
        <v>0.1</v>
      </c>
      <c r="H7003" s="210">
        <f>H7002*G7003</f>
        <v>2.9079999999999999</v>
      </c>
      <c r="L7003" s="200"/>
      <c r="M7003" s="200"/>
      <c r="N7003" s="200"/>
      <c r="O7003" s="200"/>
      <c r="P7003" s="200"/>
    </row>
    <row r="7004" spans="3:20" s="517" customFormat="1" ht="31.2" customHeight="1" thickBot="1">
      <c r="C7004" s="229" t="s">
        <v>1221</v>
      </c>
      <c r="D7004" s="230" t="s">
        <v>1222</v>
      </c>
      <c r="E7004" s="231"/>
      <c r="F7004" s="231"/>
      <c r="G7004" s="232"/>
      <c r="H7004" s="233">
        <f>SUM(H7002:H7003)</f>
        <v>31.988</v>
      </c>
      <c r="L7004" s="200"/>
      <c r="M7004" s="200"/>
      <c r="N7004" s="200"/>
      <c r="O7004" s="200"/>
      <c r="P7004" s="200"/>
    </row>
    <row r="7005" spans="3:20" ht="31.2" customHeight="1" thickTop="1"/>
    <row r="7006" spans="3:20" ht="31.2" customHeight="1"/>
    <row r="7007" spans="3:20" ht="31.2" customHeight="1">
      <c r="C7007" s="765" t="s">
        <v>5658</v>
      </c>
      <c r="D7007" s="766" t="s">
        <v>5659</v>
      </c>
      <c r="E7007" s="767"/>
      <c r="F7007" s="766"/>
      <c r="G7007" s="766"/>
    </row>
    <row r="7008" spans="3:20" s="517" customFormat="1" ht="31.2" customHeight="1" thickBot="1">
      <c r="C7008" s="513" t="s">
        <v>5660</v>
      </c>
      <c r="D7008" s="748" t="s">
        <v>5661</v>
      </c>
      <c r="E7008" s="749"/>
      <c r="F7008" s="748"/>
      <c r="G7008" s="748"/>
      <c r="H7008" s="532"/>
      <c r="I7008" s="532"/>
      <c r="J7008" s="532"/>
      <c r="K7008" s="532"/>
      <c r="M7008" s="189"/>
      <c r="N7008" s="189"/>
      <c r="O7008" s="189"/>
      <c r="P7008" s="189"/>
      <c r="R7008" s="189">
        <f>ROUNDDOWN(H7022,-2)</f>
        <v>1100</v>
      </c>
      <c r="S7008" s="517" t="s">
        <v>6451</v>
      </c>
      <c r="T7008" s="517" t="s">
        <v>7620</v>
      </c>
    </row>
    <row r="7009" spans="3:16" s="517" customFormat="1" ht="31.2" customHeight="1" thickTop="1">
      <c r="C7009" s="190" t="s">
        <v>1195</v>
      </c>
      <c r="D7009" s="191" t="s">
        <v>1196</v>
      </c>
      <c r="E7009" s="191" t="s">
        <v>1197</v>
      </c>
      <c r="F7009" s="191" t="s">
        <v>1198</v>
      </c>
      <c r="G7009" s="191" t="s">
        <v>1199</v>
      </c>
      <c r="H7009" s="192" t="s">
        <v>1200</v>
      </c>
      <c r="L7009" s="200"/>
      <c r="M7009" s="200"/>
      <c r="N7009" s="200"/>
      <c r="O7009" s="200"/>
      <c r="P7009" s="200"/>
    </row>
    <row r="7010" spans="3:16" s="517" customFormat="1" ht="31.2" customHeight="1">
      <c r="C7010" s="518" t="s">
        <v>1201</v>
      </c>
      <c r="D7010" s="196" t="s">
        <v>1202</v>
      </c>
      <c r="E7010" s="197"/>
      <c r="F7010" s="197"/>
      <c r="G7010" s="197"/>
      <c r="H7010" s="198"/>
      <c r="L7010" s="200"/>
      <c r="M7010" s="200"/>
      <c r="N7010" s="200"/>
      <c r="O7010" s="200"/>
      <c r="P7010" s="200"/>
    </row>
    <row r="7011" spans="3:16" s="517" customFormat="1" ht="31.2" customHeight="1">
      <c r="C7011" s="518">
        <v>1</v>
      </c>
      <c r="D7011" s="196" t="s">
        <v>5</v>
      </c>
      <c r="E7011" s="203" t="s">
        <v>2102</v>
      </c>
      <c r="F7011" s="204">
        <v>2.3999999999999998E-3</v>
      </c>
      <c r="G7011" s="205">
        <f>VLOOKUP(D7011,upahbahan,3,FALSE)</f>
        <v>100000</v>
      </c>
      <c r="H7011" s="210">
        <f t="shared" ref="H7011" si="544">F7011*G7011</f>
        <v>239.99999999999997</v>
      </c>
      <c r="L7011" s="200"/>
      <c r="M7011" s="200"/>
      <c r="N7011" s="200"/>
      <c r="O7011" s="200"/>
      <c r="P7011" s="200"/>
    </row>
    <row r="7012" spans="3:16" s="517" customFormat="1" ht="31.2" customHeight="1">
      <c r="C7012" s="518">
        <v>2</v>
      </c>
      <c r="D7012" s="196" t="s">
        <v>19</v>
      </c>
      <c r="E7012" s="203" t="s">
        <v>2102</v>
      </c>
      <c r="F7012" s="204">
        <v>1.2E-4</v>
      </c>
      <c r="G7012" s="205">
        <f>VLOOKUP(D7012,upahbahan,3,FALSE)</f>
        <v>160000</v>
      </c>
      <c r="H7012" s="210">
        <f t="shared" ref="H7012" si="545">F7012*G7012</f>
        <v>19.2</v>
      </c>
      <c r="L7012" s="200"/>
      <c r="M7012" s="200"/>
      <c r="N7012" s="200"/>
      <c r="O7012" s="200"/>
      <c r="P7012" s="200"/>
    </row>
    <row r="7013" spans="3:16" s="517" customFormat="1" ht="31.2" customHeight="1">
      <c r="C7013" s="207" t="s">
        <v>1208</v>
      </c>
      <c r="D7013" s="208"/>
      <c r="E7013" s="208"/>
      <c r="F7013" s="521"/>
      <c r="G7013" s="522"/>
      <c r="H7013" s="210">
        <f>SUM(H7011:H7012)</f>
        <v>259.2</v>
      </c>
      <c r="L7013" s="523"/>
      <c r="M7013" s="523"/>
      <c r="N7013" s="523"/>
      <c r="O7013" s="523"/>
      <c r="P7013" s="523"/>
    </row>
    <row r="7014" spans="3:16" s="517" customFormat="1" ht="31.2" customHeight="1">
      <c r="C7014" s="543" t="s">
        <v>1209</v>
      </c>
      <c r="D7014" s="750" t="s">
        <v>1210</v>
      </c>
      <c r="E7014" s="197"/>
      <c r="F7014" s="751"/>
      <c r="G7014" s="197"/>
      <c r="H7014" s="752"/>
      <c r="L7014" s="200"/>
      <c r="M7014" s="200"/>
      <c r="N7014" s="200"/>
      <c r="O7014" s="200"/>
      <c r="P7014" s="200"/>
    </row>
    <row r="7015" spans="3:16" s="517" customFormat="1" ht="31.2" customHeight="1">
      <c r="C7015" s="543">
        <v>1</v>
      </c>
      <c r="D7015" s="750" t="s">
        <v>5649</v>
      </c>
      <c r="E7015" s="203" t="s">
        <v>529</v>
      </c>
      <c r="F7015" s="769">
        <v>10</v>
      </c>
      <c r="G7015" s="205">
        <f>VLOOKUP(D7015,upahbahan,3,FALSE)</f>
        <v>0</v>
      </c>
      <c r="H7015" s="210">
        <f>F7015*G7015</f>
        <v>0</v>
      </c>
      <c r="L7015" s="200"/>
      <c r="M7015" s="200"/>
      <c r="N7015" s="200"/>
      <c r="O7015" s="200"/>
      <c r="P7015" s="200"/>
    </row>
    <row r="7016" spans="3:16" s="517" customFormat="1" ht="31.2" customHeight="1">
      <c r="C7016" s="207" t="s">
        <v>1214</v>
      </c>
      <c r="D7016" s="208"/>
      <c r="E7016" s="568"/>
      <c r="F7016" s="208"/>
      <c r="G7016" s="209"/>
      <c r="H7016" s="210">
        <f>SUM(H7015:H7015)</f>
        <v>0</v>
      </c>
      <c r="L7016" s="200"/>
      <c r="M7016" s="200"/>
      <c r="N7016" s="200"/>
      <c r="O7016" s="200"/>
      <c r="P7016" s="200"/>
    </row>
    <row r="7017" spans="3:16" s="517" customFormat="1" ht="31.2" customHeight="1">
      <c r="C7017" s="195" t="s">
        <v>1215</v>
      </c>
      <c r="D7017" s="196" t="s">
        <v>1216</v>
      </c>
      <c r="E7017" s="203"/>
      <c r="F7017" s="197"/>
      <c r="G7017" s="197"/>
      <c r="H7017" s="198"/>
      <c r="L7017" s="200"/>
      <c r="M7017" s="200"/>
      <c r="N7017" s="200"/>
      <c r="O7017" s="200"/>
      <c r="P7017" s="200"/>
    </row>
    <row r="7018" spans="3:16" s="517" customFormat="1" ht="31.2" customHeight="1">
      <c r="C7018" s="518">
        <v>1</v>
      </c>
      <c r="D7018" s="196" t="s">
        <v>5663</v>
      </c>
      <c r="E7018" s="203" t="s">
        <v>1974</v>
      </c>
      <c r="F7018" s="204">
        <v>5.0000000000000001E-4</v>
      </c>
      <c r="G7018" s="205">
        <f>VLOOKUP(D7018,upahbahan,3,FALSE)</f>
        <v>1550000</v>
      </c>
      <c r="H7018" s="210">
        <f t="shared" ref="H7018" si="546">F7018*G7018</f>
        <v>775</v>
      </c>
      <c r="L7018" s="200"/>
      <c r="M7018" s="200"/>
      <c r="N7018" s="200"/>
      <c r="O7018" s="200"/>
      <c r="P7018" s="200"/>
    </row>
    <row r="7019" spans="3:16" s="517" customFormat="1" ht="31.2" customHeight="1">
      <c r="C7019" s="207" t="s">
        <v>1217</v>
      </c>
      <c r="D7019" s="208"/>
      <c r="E7019" s="208"/>
      <c r="F7019" s="208"/>
      <c r="G7019" s="209"/>
      <c r="H7019" s="770">
        <f>SUM(H7017:H7018)</f>
        <v>775</v>
      </c>
      <c r="L7019" s="200"/>
      <c r="M7019" s="200"/>
      <c r="N7019" s="200"/>
      <c r="O7019" s="200"/>
      <c r="P7019" s="200"/>
    </row>
    <row r="7020" spans="3:16" s="517" customFormat="1" ht="31.2" customHeight="1">
      <c r="C7020" s="223" t="s">
        <v>1218</v>
      </c>
      <c r="D7020" s="224" t="s">
        <v>1219</v>
      </c>
      <c r="E7020" s="225"/>
      <c r="F7020" s="225"/>
      <c r="G7020" s="226"/>
      <c r="H7020" s="210">
        <f>H7019+H7016+H7013</f>
        <v>1034.2</v>
      </c>
      <c r="L7020" s="200"/>
      <c r="M7020" s="200"/>
      <c r="N7020" s="200"/>
      <c r="O7020" s="200"/>
      <c r="P7020" s="200"/>
    </row>
    <row r="7021" spans="3:16" s="517" customFormat="1" ht="31.2" customHeight="1">
      <c r="C7021" s="223" t="s">
        <v>1220</v>
      </c>
      <c r="D7021" s="224" t="s">
        <v>1321</v>
      </c>
      <c r="E7021" s="225"/>
      <c r="F7021" s="226"/>
      <c r="G7021" s="228">
        <v>0.1</v>
      </c>
      <c r="H7021" s="210">
        <f>H7020*G7021</f>
        <v>103.42000000000002</v>
      </c>
      <c r="L7021" s="200"/>
      <c r="M7021" s="200"/>
      <c r="N7021" s="200"/>
      <c r="O7021" s="200"/>
      <c r="P7021" s="200"/>
    </row>
    <row r="7022" spans="3:16" s="517" customFormat="1" ht="31.2" customHeight="1" thickBot="1">
      <c r="C7022" s="229" t="s">
        <v>1221</v>
      </c>
      <c r="D7022" s="230" t="s">
        <v>1222</v>
      </c>
      <c r="E7022" s="231"/>
      <c r="F7022" s="231"/>
      <c r="G7022" s="232"/>
      <c r="H7022" s="233">
        <f>SUM(H7020:H7021)</f>
        <v>1137.6200000000001</v>
      </c>
      <c r="L7022" s="200"/>
      <c r="M7022" s="200"/>
      <c r="N7022" s="200"/>
      <c r="O7022" s="200"/>
      <c r="P7022" s="200"/>
    </row>
    <row r="7023" spans="3:16" ht="31.2" customHeight="1" thickTop="1">
      <c r="C7023" s="787" t="s">
        <v>5662</v>
      </c>
    </row>
    <row r="7024" spans="3:16" ht="31.2" customHeight="1"/>
    <row r="7025" spans="3:20" ht="31.2" customHeight="1"/>
    <row r="7026" spans="3:20" s="517" customFormat="1" ht="31.2" customHeight="1" thickBot="1">
      <c r="C7026" s="513" t="s">
        <v>5664</v>
      </c>
      <c r="D7026" s="748" t="s">
        <v>7621</v>
      </c>
      <c r="E7026" s="749"/>
      <c r="F7026" s="748"/>
      <c r="G7026" s="748"/>
      <c r="H7026" s="532"/>
      <c r="I7026" s="532"/>
      <c r="J7026" s="532"/>
      <c r="K7026" s="532"/>
      <c r="M7026" s="189"/>
      <c r="N7026" s="189"/>
      <c r="O7026" s="189"/>
      <c r="P7026" s="189"/>
      <c r="R7026" s="189">
        <f>ROUNDDOWN(H7040,-2)</f>
        <v>900</v>
      </c>
      <c r="S7026" s="517" t="s">
        <v>6451</v>
      </c>
      <c r="T7026" s="517" t="s">
        <v>7620</v>
      </c>
    </row>
    <row r="7027" spans="3:20" s="517" customFormat="1" ht="31.2" customHeight="1" thickTop="1">
      <c r="C7027" s="190" t="s">
        <v>1195</v>
      </c>
      <c r="D7027" s="191" t="s">
        <v>1196</v>
      </c>
      <c r="E7027" s="191" t="s">
        <v>1197</v>
      </c>
      <c r="F7027" s="191" t="s">
        <v>1198</v>
      </c>
      <c r="G7027" s="191" t="s">
        <v>1199</v>
      </c>
      <c r="H7027" s="192" t="s">
        <v>1200</v>
      </c>
      <c r="L7027" s="200"/>
      <c r="M7027" s="200"/>
      <c r="N7027" s="200"/>
      <c r="O7027" s="200"/>
      <c r="P7027" s="200"/>
    </row>
    <row r="7028" spans="3:20" s="517" customFormat="1" ht="31.2" customHeight="1">
      <c r="C7028" s="518" t="s">
        <v>1201</v>
      </c>
      <c r="D7028" s="196" t="s">
        <v>1202</v>
      </c>
      <c r="E7028" s="197"/>
      <c r="F7028" s="197"/>
      <c r="G7028" s="197"/>
      <c r="H7028" s="198"/>
      <c r="L7028" s="200"/>
      <c r="M7028" s="200"/>
      <c r="N7028" s="200"/>
      <c r="O7028" s="200"/>
      <c r="P7028" s="200"/>
    </row>
    <row r="7029" spans="3:20" s="517" customFormat="1" ht="31.2" customHeight="1">
      <c r="C7029" s="518">
        <v>1</v>
      </c>
      <c r="D7029" s="196" t="s">
        <v>5</v>
      </c>
      <c r="E7029" s="203" t="s">
        <v>2102</v>
      </c>
      <c r="F7029" s="204">
        <v>4.0000000000000002E-4</v>
      </c>
      <c r="G7029" s="205">
        <f>VLOOKUP(D7029,upahbahan,3,FALSE)</f>
        <v>100000</v>
      </c>
      <c r="H7029" s="210">
        <f t="shared" ref="H7029:H7030" si="547">F7029*G7029</f>
        <v>40</v>
      </c>
      <c r="L7029" s="200"/>
      <c r="M7029" s="200"/>
      <c r="N7029" s="200"/>
      <c r="O7029" s="200"/>
      <c r="P7029" s="200"/>
    </row>
    <row r="7030" spans="3:20" s="517" customFormat="1" ht="31.2" customHeight="1">
      <c r="C7030" s="518">
        <v>2</v>
      </c>
      <c r="D7030" s="196" t="s">
        <v>19</v>
      </c>
      <c r="E7030" s="203" t="s">
        <v>2102</v>
      </c>
      <c r="F7030" s="204">
        <v>2.0000000000000001E-4</v>
      </c>
      <c r="G7030" s="205">
        <f>VLOOKUP(D7030,upahbahan,3,FALSE)</f>
        <v>160000</v>
      </c>
      <c r="H7030" s="210">
        <f t="shared" si="547"/>
        <v>32</v>
      </c>
      <c r="L7030" s="200"/>
      <c r="M7030" s="200"/>
      <c r="N7030" s="200"/>
      <c r="O7030" s="200"/>
      <c r="P7030" s="200"/>
    </row>
    <row r="7031" spans="3:20" s="517" customFormat="1" ht="31.2" customHeight="1">
      <c r="C7031" s="207" t="s">
        <v>1208</v>
      </c>
      <c r="D7031" s="208"/>
      <c r="E7031" s="208"/>
      <c r="F7031" s="521"/>
      <c r="G7031" s="522"/>
      <c r="H7031" s="210">
        <f>SUM(H7029:H7030)</f>
        <v>72</v>
      </c>
      <c r="L7031" s="523"/>
      <c r="M7031" s="523"/>
      <c r="N7031" s="523"/>
      <c r="O7031" s="523"/>
      <c r="P7031" s="523"/>
    </row>
    <row r="7032" spans="3:20" s="517" customFormat="1" ht="31.2" customHeight="1">
      <c r="C7032" s="543" t="s">
        <v>1209</v>
      </c>
      <c r="D7032" s="750" t="s">
        <v>1210</v>
      </c>
      <c r="E7032" s="197"/>
      <c r="F7032" s="751"/>
      <c r="G7032" s="197"/>
      <c r="H7032" s="752"/>
      <c r="L7032" s="200"/>
      <c r="M7032" s="200"/>
      <c r="N7032" s="200"/>
      <c r="O7032" s="200"/>
      <c r="P7032" s="200"/>
    </row>
    <row r="7033" spans="3:20" s="517" customFormat="1" ht="31.2" customHeight="1">
      <c r="C7033" s="543">
        <v>1</v>
      </c>
      <c r="D7033" s="750" t="s">
        <v>5649</v>
      </c>
      <c r="E7033" s="203" t="s">
        <v>529</v>
      </c>
      <c r="F7033" s="769">
        <v>6</v>
      </c>
      <c r="G7033" s="205">
        <f>VLOOKUP(D7033,upahbahan,3,FALSE)</f>
        <v>0</v>
      </c>
      <c r="H7033" s="210">
        <f>F7033*G7033</f>
        <v>0</v>
      </c>
      <c r="L7033" s="200"/>
      <c r="M7033" s="200"/>
      <c r="N7033" s="200"/>
      <c r="O7033" s="200"/>
      <c r="P7033" s="200"/>
    </row>
    <row r="7034" spans="3:20" s="517" customFormat="1" ht="31.2" customHeight="1">
      <c r="C7034" s="207" t="s">
        <v>1214</v>
      </c>
      <c r="D7034" s="208"/>
      <c r="E7034" s="568"/>
      <c r="F7034" s="208"/>
      <c r="G7034" s="209"/>
      <c r="H7034" s="210">
        <f>SUM(H7033:H7033)</f>
        <v>0</v>
      </c>
      <c r="L7034" s="200"/>
      <c r="M7034" s="200"/>
      <c r="N7034" s="200"/>
      <c r="O7034" s="200"/>
      <c r="P7034" s="200"/>
    </row>
    <row r="7035" spans="3:20" s="517" customFormat="1" ht="31.2" customHeight="1">
      <c r="C7035" s="195" t="s">
        <v>1215</v>
      </c>
      <c r="D7035" s="196" t="s">
        <v>1216</v>
      </c>
      <c r="E7035" s="203"/>
      <c r="F7035" s="197"/>
      <c r="G7035" s="197"/>
      <c r="H7035" s="198"/>
      <c r="L7035" s="200"/>
      <c r="M7035" s="200"/>
      <c r="N7035" s="200"/>
      <c r="O7035" s="200"/>
      <c r="P7035" s="200"/>
    </row>
    <row r="7036" spans="3:20" s="517" customFormat="1" ht="31.2" customHeight="1">
      <c r="C7036" s="518">
        <v>1</v>
      </c>
      <c r="D7036" s="196" t="s">
        <v>5663</v>
      </c>
      <c r="E7036" s="203" t="s">
        <v>1974</v>
      </c>
      <c r="F7036" s="204">
        <v>5.0000000000000001E-4</v>
      </c>
      <c r="G7036" s="205">
        <f>VLOOKUP(D7036,upahbahan,3,FALSE)</f>
        <v>1550000</v>
      </c>
      <c r="H7036" s="210">
        <f t="shared" ref="H7036" si="548">F7036*G7036</f>
        <v>775</v>
      </c>
      <c r="L7036" s="200"/>
      <c r="M7036" s="200"/>
      <c r="N7036" s="200"/>
      <c r="O7036" s="200"/>
      <c r="P7036" s="200"/>
    </row>
    <row r="7037" spans="3:20" s="517" customFormat="1" ht="31.2" customHeight="1">
      <c r="C7037" s="207" t="s">
        <v>1217</v>
      </c>
      <c r="D7037" s="208"/>
      <c r="E7037" s="208"/>
      <c r="F7037" s="208"/>
      <c r="G7037" s="209"/>
      <c r="H7037" s="770">
        <f>SUM(H7035:H7036)</f>
        <v>775</v>
      </c>
      <c r="L7037" s="200"/>
      <c r="M7037" s="200"/>
      <c r="N7037" s="200"/>
      <c r="O7037" s="200"/>
      <c r="P7037" s="200"/>
    </row>
    <row r="7038" spans="3:20" s="517" customFormat="1" ht="31.2" customHeight="1">
      <c r="C7038" s="223" t="s">
        <v>1218</v>
      </c>
      <c r="D7038" s="224" t="s">
        <v>1219</v>
      </c>
      <c r="E7038" s="225"/>
      <c r="F7038" s="225"/>
      <c r="G7038" s="226"/>
      <c r="H7038" s="210">
        <f>H7037+H7034+H7031</f>
        <v>847</v>
      </c>
      <c r="L7038" s="200"/>
      <c r="M7038" s="200"/>
      <c r="N7038" s="200"/>
      <c r="O7038" s="200"/>
      <c r="P7038" s="200"/>
    </row>
    <row r="7039" spans="3:20" s="517" customFormat="1" ht="31.2" customHeight="1">
      <c r="C7039" s="223" t="s">
        <v>1220</v>
      </c>
      <c r="D7039" s="224" t="s">
        <v>1321</v>
      </c>
      <c r="E7039" s="225"/>
      <c r="F7039" s="226"/>
      <c r="G7039" s="228">
        <v>0.1</v>
      </c>
      <c r="H7039" s="210">
        <f>H7038*G7039</f>
        <v>84.7</v>
      </c>
      <c r="L7039" s="200"/>
      <c r="M7039" s="200"/>
      <c r="N7039" s="200"/>
      <c r="O7039" s="200"/>
      <c r="P7039" s="200"/>
    </row>
    <row r="7040" spans="3:20" s="517" customFormat="1" ht="31.2" customHeight="1" thickBot="1">
      <c r="C7040" s="229" t="s">
        <v>1221</v>
      </c>
      <c r="D7040" s="230" t="s">
        <v>1222</v>
      </c>
      <c r="E7040" s="231"/>
      <c r="F7040" s="231"/>
      <c r="G7040" s="232"/>
      <c r="H7040" s="233">
        <f>SUM(H7038:H7039)</f>
        <v>931.7</v>
      </c>
      <c r="L7040" s="200"/>
      <c r="M7040" s="200"/>
      <c r="N7040" s="200"/>
      <c r="O7040" s="200"/>
      <c r="P7040" s="200"/>
    </row>
    <row r="7041" spans="3:20" ht="31.2" customHeight="1" thickTop="1">
      <c r="C7041" s="787" t="s">
        <v>5662</v>
      </c>
    </row>
    <row r="7042" spans="3:20" ht="31.2" customHeight="1"/>
    <row r="7043" spans="3:20" ht="31.2" customHeight="1"/>
    <row r="7044" spans="3:20" s="517" customFormat="1" ht="31.2" customHeight="1" thickBot="1">
      <c r="C7044" s="513" t="s">
        <v>5665</v>
      </c>
      <c r="D7044" s="748" t="s">
        <v>7622</v>
      </c>
      <c r="E7044" s="749"/>
      <c r="F7044" s="748"/>
      <c r="G7044" s="748"/>
      <c r="H7044" s="532"/>
      <c r="I7044" s="532"/>
      <c r="J7044" s="532"/>
      <c r="K7044" s="532"/>
      <c r="M7044" s="189"/>
      <c r="N7044" s="189"/>
      <c r="O7044" s="189"/>
      <c r="P7044" s="189"/>
      <c r="R7044" s="189">
        <f>ROUNDDOWN(H7058,-2)</f>
        <v>900</v>
      </c>
      <c r="S7044" s="517" t="s">
        <v>6451</v>
      </c>
      <c r="T7044" s="517" t="s">
        <v>7620</v>
      </c>
    </row>
    <row r="7045" spans="3:20" s="517" customFormat="1" ht="31.2" customHeight="1" thickTop="1">
      <c r="C7045" s="190" t="s">
        <v>1195</v>
      </c>
      <c r="D7045" s="191" t="s">
        <v>1196</v>
      </c>
      <c r="E7045" s="191" t="s">
        <v>1197</v>
      </c>
      <c r="F7045" s="191" t="s">
        <v>1198</v>
      </c>
      <c r="G7045" s="191" t="s">
        <v>1199</v>
      </c>
      <c r="H7045" s="192" t="s">
        <v>1200</v>
      </c>
      <c r="L7045" s="200"/>
      <c r="M7045" s="200"/>
      <c r="N7045" s="200"/>
      <c r="O7045" s="200"/>
      <c r="P7045" s="200"/>
    </row>
    <row r="7046" spans="3:20" s="517" customFormat="1" ht="31.2" customHeight="1">
      <c r="C7046" s="518" t="s">
        <v>1201</v>
      </c>
      <c r="D7046" s="196" t="s">
        <v>1202</v>
      </c>
      <c r="E7046" s="197"/>
      <c r="F7046" s="197"/>
      <c r="G7046" s="197"/>
      <c r="H7046" s="198"/>
      <c r="L7046" s="200"/>
      <c r="M7046" s="200"/>
      <c r="N7046" s="200"/>
      <c r="O7046" s="200"/>
      <c r="P7046" s="200"/>
    </row>
    <row r="7047" spans="3:20" s="517" customFormat="1" ht="31.2" customHeight="1">
      <c r="C7047" s="518">
        <v>1</v>
      </c>
      <c r="D7047" s="196" t="s">
        <v>5</v>
      </c>
      <c r="E7047" s="203" t="s">
        <v>2102</v>
      </c>
      <c r="F7047" s="204">
        <v>4.0000000000000002E-4</v>
      </c>
      <c r="G7047" s="205">
        <f>VLOOKUP(D7047,upahbahan,3,FALSE)</f>
        <v>100000</v>
      </c>
      <c r="H7047" s="210">
        <f t="shared" ref="H7047:H7048" si="549">F7047*G7047</f>
        <v>40</v>
      </c>
      <c r="L7047" s="200"/>
      <c r="M7047" s="200"/>
      <c r="N7047" s="200"/>
      <c r="O7047" s="200"/>
      <c r="P7047" s="200"/>
    </row>
    <row r="7048" spans="3:20" s="517" customFormat="1" ht="31.2" customHeight="1">
      <c r="C7048" s="518">
        <v>2</v>
      </c>
      <c r="D7048" s="196" t="s">
        <v>19</v>
      </c>
      <c r="E7048" s="203" t="s">
        <v>2102</v>
      </c>
      <c r="F7048" s="204">
        <v>2.0000000000000001E-4</v>
      </c>
      <c r="G7048" s="205">
        <f>VLOOKUP(D7048,upahbahan,3,FALSE)</f>
        <v>160000</v>
      </c>
      <c r="H7048" s="210">
        <f t="shared" si="549"/>
        <v>32</v>
      </c>
      <c r="L7048" s="200"/>
      <c r="M7048" s="200"/>
      <c r="N7048" s="200"/>
      <c r="O7048" s="200"/>
      <c r="P7048" s="200"/>
    </row>
    <row r="7049" spans="3:20" s="517" customFormat="1" ht="31.2" customHeight="1">
      <c r="C7049" s="207" t="s">
        <v>1208</v>
      </c>
      <c r="D7049" s="208"/>
      <c r="E7049" s="208"/>
      <c r="F7049" s="521"/>
      <c r="G7049" s="522"/>
      <c r="H7049" s="210">
        <f>SUM(H7047:H7048)</f>
        <v>72</v>
      </c>
      <c r="L7049" s="523"/>
      <c r="M7049" s="523"/>
      <c r="N7049" s="523"/>
      <c r="O7049" s="523"/>
      <c r="P7049" s="523"/>
    </row>
    <row r="7050" spans="3:20" s="517" customFormat="1" ht="31.2" customHeight="1">
      <c r="C7050" s="543" t="s">
        <v>1209</v>
      </c>
      <c r="D7050" s="750" t="s">
        <v>1210</v>
      </c>
      <c r="E7050" s="197"/>
      <c r="F7050" s="751"/>
      <c r="G7050" s="197"/>
      <c r="H7050" s="752"/>
      <c r="L7050" s="200"/>
      <c r="M7050" s="200"/>
      <c r="N7050" s="200"/>
      <c r="O7050" s="200"/>
      <c r="P7050" s="200"/>
    </row>
    <row r="7051" spans="3:20" s="517" customFormat="1" ht="31.2" customHeight="1">
      <c r="C7051" s="543">
        <v>1</v>
      </c>
      <c r="D7051" s="750" t="s">
        <v>5649</v>
      </c>
      <c r="E7051" s="203" t="s">
        <v>529</v>
      </c>
      <c r="F7051" s="769">
        <v>8</v>
      </c>
      <c r="G7051" s="205">
        <f>VLOOKUP(D7051,upahbahan,3,FALSE)</f>
        <v>0</v>
      </c>
      <c r="H7051" s="210">
        <f>F7051*G7051</f>
        <v>0</v>
      </c>
      <c r="L7051" s="200"/>
      <c r="M7051" s="200"/>
      <c r="N7051" s="200"/>
      <c r="O7051" s="200"/>
      <c r="P7051" s="200"/>
    </row>
    <row r="7052" spans="3:20" s="517" customFormat="1" ht="31.2" customHeight="1">
      <c r="C7052" s="207" t="s">
        <v>1214</v>
      </c>
      <c r="D7052" s="208"/>
      <c r="E7052" s="568"/>
      <c r="F7052" s="208"/>
      <c r="G7052" s="209"/>
      <c r="H7052" s="210">
        <f>SUM(H7051:H7051)</f>
        <v>0</v>
      </c>
      <c r="L7052" s="200"/>
      <c r="M7052" s="200"/>
      <c r="N7052" s="200"/>
      <c r="O7052" s="200"/>
      <c r="P7052" s="200"/>
    </row>
    <row r="7053" spans="3:20" s="517" customFormat="1" ht="31.2" customHeight="1">
      <c r="C7053" s="195" t="s">
        <v>1215</v>
      </c>
      <c r="D7053" s="196" t="s">
        <v>1216</v>
      </c>
      <c r="E7053" s="203"/>
      <c r="F7053" s="197"/>
      <c r="G7053" s="197"/>
      <c r="H7053" s="198"/>
      <c r="L7053" s="200"/>
      <c r="M7053" s="200"/>
      <c r="N7053" s="200"/>
      <c r="O7053" s="200"/>
      <c r="P7053" s="200"/>
    </row>
    <row r="7054" spans="3:20" s="517" customFormat="1" ht="31.2" customHeight="1">
      <c r="C7054" s="518">
        <v>1</v>
      </c>
      <c r="D7054" s="196" t="s">
        <v>5663</v>
      </c>
      <c r="E7054" s="203" t="s">
        <v>1974</v>
      </c>
      <c r="F7054" s="204">
        <v>5.0000000000000001E-4</v>
      </c>
      <c r="G7054" s="205">
        <f>VLOOKUP(D7054,upahbahan,3,FALSE)</f>
        <v>1550000</v>
      </c>
      <c r="H7054" s="210">
        <f t="shared" ref="H7054" si="550">F7054*G7054</f>
        <v>775</v>
      </c>
      <c r="L7054" s="200"/>
      <c r="M7054" s="200"/>
      <c r="N7054" s="200"/>
      <c r="O7054" s="200"/>
      <c r="P7054" s="200"/>
    </row>
    <row r="7055" spans="3:20" s="517" customFormat="1" ht="31.2" customHeight="1">
      <c r="C7055" s="207" t="s">
        <v>1217</v>
      </c>
      <c r="D7055" s="208"/>
      <c r="E7055" s="208"/>
      <c r="F7055" s="208"/>
      <c r="G7055" s="209"/>
      <c r="H7055" s="770">
        <f>SUM(H7053:H7054)</f>
        <v>775</v>
      </c>
      <c r="L7055" s="200"/>
      <c r="M7055" s="200"/>
      <c r="N7055" s="200"/>
      <c r="O7055" s="200"/>
      <c r="P7055" s="200"/>
    </row>
    <row r="7056" spans="3:20" s="517" customFormat="1" ht="31.2" customHeight="1">
      <c r="C7056" s="223" t="s">
        <v>1218</v>
      </c>
      <c r="D7056" s="224" t="s">
        <v>1219</v>
      </c>
      <c r="E7056" s="225"/>
      <c r="F7056" s="225"/>
      <c r="G7056" s="226"/>
      <c r="H7056" s="210">
        <f>H7055+H7052+H7049</f>
        <v>847</v>
      </c>
      <c r="L7056" s="200"/>
      <c r="M7056" s="200"/>
      <c r="N7056" s="200"/>
      <c r="O7056" s="200"/>
      <c r="P7056" s="200"/>
    </row>
    <row r="7057" spans="3:20" s="517" customFormat="1" ht="31.2" customHeight="1">
      <c r="C7057" s="223" t="s">
        <v>1220</v>
      </c>
      <c r="D7057" s="224" t="s">
        <v>1321</v>
      </c>
      <c r="E7057" s="225"/>
      <c r="F7057" s="226"/>
      <c r="G7057" s="228">
        <v>0.1</v>
      </c>
      <c r="H7057" s="210">
        <f>H7056*G7057</f>
        <v>84.7</v>
      </c>
      <c r="L7057" s="200"/>
      <c r="M7057" s="200"/>
      <c r="N7057" s="200"/>
      <c r="O7057" s="200"/>
      <c r="P7057" s="200"/>
    </row>
    <row r="7058" spans="3:20" s="517" customFormat="1" ht="31.2" customHeight="1" thickBot="1">
      <c r="C7058" s="229" t="s">
        <v>1221</v>
      </c>
      <c r="D7058" s="230" t="s">
        <v>1222</v>
      </c>
      <c r="E7058" s="231"/>
      <c r="F7058" s="231"/>
      <c r="G7058" s="232"/>
      <c r="H7058" s="233">
        <f>SUM(H7056:H7057)</f>
        <v>931.7</v>
      </c>
      <c r="L7058" s="200"/>
      <c r="M7058" s="200"/>
      <c r="N7058" s="200"/>
      <c r="O7058" s="200"/>
      <c r="P7058" s="200"/>
    </row>
    <row r="7059" spans="3:20" ht="31.2" customHeight="1" thickTop="1">
      <c r="C7059" s="787" t="s">
        <v>5662</v>
      </c>
    </row>
    <row r="7060" spans="3:20" ht="31.2" customHeight="1"/>
    <row r="7061" spans="3:20" s="517" customFormat="1" ht="31.2" customHeight="1" thickBot="1">
      <c r="C7061" s="513" t="s">
        <v>5666</v>
      </c>
      <c r="D7061" s="748" t="s">
        <v>7622</v>
      </c>
      <c r="E7061" s="749"/>
      <c r="F7061" s="748"/>
      <c r="G7061" s="748"/>
      <c r="H7061" s="532"/>
      <c r="I7061" s="532"/>
      <c r="J7061" s="532"/>
      <c r="K7061" s="532"/>
      <c r="M7061" s="189"/>
      <c r="N7061" s="189"/>
      <c r="O7061" s="189"/>
      <c r="P7061" s="189"/>
      <c r="R7061" s="189">
        <f>ROUNDDOWN(H7075,-2)</f>
        <v>800</v>
      </c>
      <c r="S7061" s="517" t="s">
        <v>6451</v>
      </c>
      <c r="T7061" s="517" t="s">
        <v>7620</v>
      </c>
    </row>
    <row r="7062" spans="3:20" s="517" customFormat="1" ht="31.2" customHeight="1" thickTop="1">
      <c r="C7062" s="190" t="s">
        <v>1195</v>
      </c>
      <c r="D7062" s="191" t="s">
        <v>1196</v>
      </c>
      <c r="E7062" s="191" t="s">
        <v>1197</v>
      </c>
      <c r="F7062" s="191" t="s">
        <v>1198</v>
      </c>
      <c r="G7062" s="191" t="s">
        <v>1199</v>
      </c>
      <c r="H7062" s="192" t="s">
        <v>1200</v>
      </c>
      <c r="L7062" s="200"/>
      <c r="M7062" s="200"/>
      <c r="N7062" s="200"/>
      <c r="O7062" s="200"/>
      <c r="P7062" s="200"/>
    </row>
    <row r="7063" spans="3:20" s="517" customFormat="1" ht="31.2" customHeight="1">
      <c r="C7063" s="518" t="s">
        <v>1201</v>
      </c>
      <c r="D7063" s="196" t="s">
        <v>1202</v>
      </c>
      <c r="E7063" s="197"/>
      <c r="F7063" s="197"/>
      <c r="G7063" s="197"/>
      <c r="H7063" s="198"/>
      <c r="L7063" s="200"/>
      <c r="M7063" s="200"/>
      <c r="N7063" s="200"/>
      <c r="O7063" s="200"/>
      <c r="P7063" s="200"/>
    </row>
    <row r="7064" spans="3:20" s="517" customFormat="1" ht="31.2" customHeight="1">
      <c r="C7064" s="518">
        <v>1</v>
      </c>
      <c r="D7064" s="196" t="s">
        <v>5</v>
      </c>
      <c r="E7064" s="203" t="s">
        <v>2102</v>
      </c>
      <c r="F7064" s="257">
        <v>2.7E-4</v>
      </c>
      <c r="G7064" s="205">
        <f>VLOOKUP(D7064,upahbahan,3,FALSE)</f>
        <v>100000</v>
      </c>
      <c r="H7064" s="210">
        <f t="shared" ref="H7064:H7065" si="551">F7064*G7064</f>
        <v>27</v>
      </c>
      <c r="L7064" s="200"/>
      <c r="M7064" s="200"/>
      <c r="N7064" s="200"/>
      <c r="O7064" s="200"/>
      <c r="P7064" s="200"/>
    </row>
    <row r="7065" spans="3:20" s="517" customFormat="1" ht="31.2" customHeight="1">
      <c r="C7065" s="518">
        <v>2</v>
      </c>
      <c r="D7065" s="196" t="s">
        <v>19</v>
      </c>
      <c r="E7065" s="203" t="s">
        <v>2102</v>
      </c>
      <c r="F7065" s="786">
        <v>1.2999999999999999E-5</v>
      </c>
      <c r="G7065" s="205">
        <f>VLOOKUP(D7065,upahbahan,3,FALSE)</f>
        <v>160000</v>
      </c>
      <c r="H7065" s="210">
        <f t="shared" si="551"/>
        <v>2.08</v>
      </c>
      <c r="L7065" s="200"/>
      <c r="M7065" s="200"/>
      <c r="N7065" s="200"/>
      <c r="O7065" s="200"/>
      <c r="P7065" s="200"/>
    </row>
    <row r="7066" spans="3:20" s="517" customFormat="1" ht="31.2" customHeight="1">
      <c r="C7066" s="207" t="s">
        <v>1208</v>
      </c>
      <c r="D7066" s="208"/>
      <c r="E7066" s="208"/>
      <c r="F7066" s="521"/>
      <c r="G7066" s="522"/>
      <c r="H7066" s="210">
        <f>SUM(H7064:H7065)</f>
        <v>29.08</v>
      </c>
      <c r="L7066" s="523"/>
      <c r="M7066" s="523"/>
      <c r="N7066" s="523"/>
      <c r="O7066" s="523"/>
      <c r="P7066" s="523"/>
    </row>
    <row r="7067" spans="3:20" s="517" customFormat="1" ht="31.2" customHeight="1">
      <c r="C7067" s="543" t="s">
        <v>1209</v>
      </c>
      <c r="D7067" s="750" t="s">
        <v>1210</v>
      </c>
      <c r="E7067" s="197"/>
      <c r="F7067" s="751"/>
      <c r="G7067" s="197"/>
      <c r="H7067" s="752"/>
      <c r="L7067" s="200"/>
      <c r="M7067" s="200"/>
      <c r="N7067" s="200"/>
      <c r="O7067" s="200"/>
      <c r="P7067" s="200"/>
    </row>
    <row r="7068" spans="3:20" s="517" customFormat="1" ht="31.2" customHeight="1">
      <c r="C7068" s="543">
        <v>1</v>
      </c>
      <c r="D7068" s="750" t="s">
        <v>5649</v>
      </c>
      <c r="E7068" s="203" t="s">
        <v>529</v>
      </c>
      <c r="F7068" s="769">
        <v>6</v>
      </c>
      <c r="G7068" s="205">
        <f>VLOOKUP(D7068,upahbahan,3,FALSE)</f>
        <v>0</v>
      </c>
      <c r="H7068" s="210">
        <f>F7068*G7068</f>
        <v>0</v>
      </c>
      <c r="L7068" s="200"/>
      <c r="M7068" s="200"/>
      <c r="N7068" s="200"/>
      <c r="O7068" s="200"/>
      <c r="P7068" s="200"/>
    </row>
    <row r="7069" spans="3:20" s="517" customFormat="1" ht="31.2" customHeight="1">
      <c r="C7069" s="207" t="s">
        <v>1214</v>
      </c>
      <c r="D7069" s="208"/>
      <c r="E7069" s="568"/>
      <c r="F7069" s="208"/>
      <c r="G7069" s="209"/>
      <c r="H7069" s="210">
        <f>SUM(H7068:H7068)</f>
        <v>0</v>
      </c>
      <c r="L7069" s="200"/>
      <c r="M7069" s="200"/>
      <c r="N7069" s="200"/>
      <c r="O7069" s="200"/>
      <c r="P7069" s="200"/>
    </row>
    <row r="7070" spans="3:20" s="517" customFormat="1" ht="31.2" customHeight="1">
      <c r="C7070" s="195" t="s">
        <v>1215</v>
      </c>
      <c r="D7070" s="196" t="s">
        <v>1216</v>
      </c>
      <c r="E7070" s="203"/>
      <c r="F7070" s="197"/>
      <c r="G7070" s="197"/>
      <c r="H7070" s="198"/>
      <c r="L7070" s="200"/>
      <c r="M7070" s="200"/>
      <c r="N7070" s="200"/>
      <c r="O7070" s="200"/>
      <c r="P7070" s="200"/>
    </row>
    <row r="7071" spans="3:20" s="517" customFormat="1" ht="31.2" customHeight="1">
      <c r="C7071" s="518">
        <v>1</v>
      </c>
      <c r="D7071" s="196" t="s">
        <v>5663</v>
      </c>
      <c r="E7071" s="203" t="s">
        <v>1974</v>
      </c>
      <c r="F7071" s="204">
        <v>5.0000000000000001E-4</v>
      </c>
      <c r="G7071" s="205">
        <f>VLOOKUP(D7071,upahbahan,3,FALSE)</f>
        <v>1550000</v>
      </c>
      <c r="H7071" s="210">
        <f t="shared" ref="H7071" si="552">F7071*G7071</f>
        <v>775</v>
      </c>
      <c r="L7071" s="200"/>
      <c r="M7071" s="200"/>
      <c r="N7071" s="200"/>
      <c r="O7071" s="200"/>
      <c r="P7071" s="200"/>
    </row>
    <row r="7072" spans="3:20" s="517" customFormat="1" ht="31.2" customHeight="1">
      <c r="C7072" s="207" t="s">
        <v>1217</v>
      </c>
      <c r="D7072" s="208"/>
      <c r="E7072" s="208"/>
      <c r="F7072" s="208"/>
      <c r="G7072" s="209"/>
      <c r="H7072" s="770">
        <f>SUM(H7070:H7071)</f>
        <v>775</v>
      </c>
      <c r="L7072" s="200"/>
      <c r="M7072" s="200"/>
      <c r="N7072" s="200"/>
      <c r="O7072" s="200"/>
      <c r="P7072" s="200"/>
    </row>
    <row r="7073" spans="3:20" s="517" customFormat="1" ht="31.2" customHeight="1">
      <c r="C7073" s="223" t="s">
        <v>1218</v>
      </c>
      <c r="D7073" s="224" t="s">
        <v>1219</v>
      </c>
      <c r="E7073" s="225"/>
      <c r="F7073" s="225"/>
      <c r="G7073" s="226"/>
      <c r="H7073" s="210">
        <f>H7072+H7069+H7066</f>
        <v>804.08</v>
      </c>
      <c r="L7073" s="200"/>
      <c r="M7073" s="200"/>
      <c r="N7073" s="200"/>
      <c r="O7073" s="200"/>
      <c r="P7073" s="200"/>
    </row>
    <row r="7074" spans="3:20" s="517" customFormat="1" ht="31.2" customHeight="1">
      <c r="C7074" s="223" t="s">
        <v>1220</v>
      </c>
      <c r="D7074" s="224" t="s">
        <v>1321</v>
      </c>
      <c r="E7074" s="225"/>
      <c r="F7074" s="226"/>
      <c r="G7074" s="228">
        <v>0.1</v>
      </c>
      <c r="H7074" s="210">
        <f>H7073*G7074</f>
        <v>80.408000000000015</v>
      </c>
      <c r="L7074" s="200"/>
      <c r="M7074" s="200"/>
      <c r="N7074" s="200"/>
      <c r="O7074" s="200"/>
      <c r="P7074" s="200"/>
    </row>
    <row r="7075" spans="3:20" s="517" customFormat="1" ht="31.2" customHeight="1" thickBot="1">
      <c r="C7075" s="229" t="s">
        <v>1221</v>
      </c>
      <c r="D7075" s="230" t="s">
        <v>1222</v>
      </c>
      <c r="E7075" s="231"/>
      <c r="F7075" s="231"/>
      <c r="G7075" s="232"/>
      <c r="H7075" s="233">
        <f>SUM(H7073:H7074)</f>
        <v>884.48800000000006</v>
      </c>
      <c r="L7075" s="200"/>
      <c r="M7075" s="200"/>
      <c r="N7075" s="200"/>
      <c r="O7075" s="200"/>
      <c r="P7075" s="200"/>
    </row>
    <row r="7076" spans="3:20" ht="31.2" customHeight="1" thickTop="1">
      <c r="C7076" s="787" t="s">
        <v>5662</v>
      </c>
    </row>
    <row r="7077" spans="3:20" ht="31.2" customHeight="1"/>
    <row r="7078" spans="3:20" s="517" customFormat="1" ht="31.2" customHeight="1" thickBot="1">
      <c r="C7078" s="513" t="s">
        <v>5667</v>
      </c>
      <c r="D7078" s="748" t="s">
        <v>7623</v>
      </c>
      <c r="E7078" s="749"/>
      <c r="F7078" s="748"/>
      <c r="G7078" s="748"/>
      <c r="H7078" s="532"/>
      <c r="I7078" s="532"/>
      <c r="J7078" s="532"/>
      <c r="K7078" s="532"/>
      <c r="M7078" s="189"/>
      <c r="N7078" s="189"/>
      <c r="O7078" s="189"/>
      <c r="P7078" s="189"/>
      <c r="R7078" s="189">
        <f>ROUNDDOWN(H7092,-2)</f>
        <v>800</v>
      </c>
      <c r="S7078" s="517" t="s">
        <v>6451</v>
      </c>
      <c r="T7078" s="517" t="s">
        <v>7620</v>
      </c>
    </row>
    <row r="7079" spans="3:20" s="517" customFormat="1" ht="31.2" customHeight="1" thickTop="1">
      <c r="C7079" s="190" t="s">
        <v>1195</v>
      </c>
      <c r="D7079" s="191" t="s">
        <v>1196</v>
      </c>
      <c r="E7079" s="191" t="s">
        <v>1197</v>
      </c>
      <c r="F7079" s="191" t="s">
        <v>1198</v>
      </c>
      <c r="G7079" s="191" t="s">
        <v>1199</v>
      </c>
      <c r="H7079" s="192" t="s">
        <v>1200</v>
      </c>
      <c r="L7079" s="200"/>
      <c r="M7079" s="200"/>
      <c r="N7079" s="200"/>
      <c r="O7079" s="200"/>
      <c r="P7079" s="200"/>
    </row>
    <row r="7080" spans="3:20" s="517" customFormat="1" ht="31.2" customHeight="1">
      <c r="C7080" s="518" t="s">
        <v>1201</v>
      </c>
      <c r="D7080" s="196" t="s">
        <v>1202</v>
      </c>
      <c r="E7080" s="197"/>
      <c r="F7080" s="197"/>
      <c r="G7080" s="197"/>
      <c r="H7080" s="198"/>
      <c r="L7080" s="200"/>
      <c r="M7080" s="200"/>
      <c r="N7080" s="200"/>
      <c r="O7080" s="200"/>
      <c r="P7080" s="200"/>
    </row>
    <row r="7081" spans="3:20" s="517" customFormat="1" ht="31.2" customHeight="1">
      <c r="C7081" s="518">
        <v>1</v>
      </c>
      <c r="D7081" s="196" t="s">
        <v>5</v>
      </c>
      <c r="E7081" s="203" t="s">
        <v>2102</v>
      </c>
      <c r="F7081" s="257">
        <v>2.7E-4</v>
      </c>
      <c r="G7081" s="205">
        <f>VLOOKUP(D7081,upahbahan,3,FALSE)</f>
        <v>100000</v>
      </c>
      <c r="H7081" s="210">
        <f t="shared" ref="H7081:H7082" si="553">F7081*G7081</f>
        <v>27</v>
      </c>
      <c r="L7081" s="200"/>
      <c r="M7081" s="200"/>
      <c r="N7081" s="200"/>
      <c r="O7081" s="200"/>
      <c r="P7081" s="200"/>
    </row>
    <row r="7082" spans="3:20" s="517" customFormat="1" ht="31.2" customHeight="1">
      <c r="C7082" s="518">
        <v>2</v>
      </c>
      <c r="D7082" s="196" t="s">
        <v>19</v>
      </c>
      <c r="E7082" s="203" t="s">
        <v>2102</v>
      </c>
      <c r="F7082" s="786">
        <v>1.2999999999999999E-5</v>
      </c>
      <c r="G7082" s="205">
        <f>VLOOKUP(D7082,upahbahan,3,FALSE)</f>
        <v>160000</v>
      </c>
      <c r="H7082" s="210">
        <f t="shared" si="553"/>
        <v>2.08</v>
      </c>
      <c r="L7082" s="200"/>
      <c r="M7082" s="200"/>
      <c r="N7082" s="200"/>
      <c r="O7082" s="200"/>
      <c r="P7082" s="200"/>
    </row>
    <row r="7083" spans="3:20" s="517" customFormat="1" ht="31.2" customHeight="1">
      <c r="C7083" s="207" t="s">
        <v>1208</v>
      </c>
      <c r="D7083" s="208"/>
      <c r="E7083" s="208"/>
      <c r="F7083" s="521"/>
      <c r="G7083" s="522"/>
      <c r="H7083" s="210">
        <f>SUM(H7081:H7082)</f>
        <v>29.08</v>
      </c>
      <c r="L7083" s="523"/>
      <c r="M7083" s="523"/>
      <c r="N7083" s="523"/>
      <c r="O7083" s="523"/>
      <c r="P7083" s="523"/>
    </row>
    <row r="7084" spans="3:20" s="517" customFormat="1" ht="31.2" customHeight="1">
      <c r="C7084" s="543" t="s">
        <v>1209</v>
      </c>
      <c r="D7084" s="750" t="s">
        <v>1210</v>
      </c>
      <c r="E7084" s="197"/>
      <c r="F7084" s="751"/>
      <c r="G7084" s="197"/>
      <c r="H7084" s="752"/>
      <c r="L7084" s="200"/>
      <c r="M7084" s="200"/>
      <c r="N7084" s="200"/>
      <c r="O7084" s="200"/>
      <c r="P7084" s="200"/>
    </row>
    <row r="7085" spans="3:20" s="517" customFormat="1" ht="31.2" customHeight="1">
      <c r="C7085" s="543">
        <v>1</v>
      </c>
      <c r="D7085" s="750" t="s">
        <v>5649</v>
      </c>
      <c r="E7085" s="203" t="s">
        <v>529</v>
      </c>
      <c r="F7085" s="769">
        <v>8</v>
      </c>
      <c r="G7085" s="205">
        <f>VLOOKUP(D7085,upahbahan,3,FALSE)</f>
        <v>0</v>
      </c>
      <c r="H7085" s="210">
        <f>F7085*G7085</f>
        <v>0</v>
      </c>
      <c r="L7085" s="200"/>
      <c r="M7085" s="200"/>
      <c r="N7085" s="200"/>
      <c r="O7085" s="200"/>
      <c r="P7085" s="200"/>
    </row>
    <row r="7086" spans="3:20" s="517" customFormat="1" ht="31.2" customHeight="1">
      <c r="C7086" s="207" t="s">
        <v>1214</v>
      </c>
      <c r="D7086" s="208"/>
      <c r="E7086" s="568"/>
      <c r="F7086" s="208"/>
      <c r="G7086" s="209"/>
      <c r="H7086" s="210">
        <f>SUM(H7085:H7085)</f>
        <v>0</v>
      </c>
      <c r="L7086" s="200"/>
      <c r="M7086" s="200"/>
      <c r="N7086" s="200"/>
      <c r="O7086" s="200"/>
      <c r="P7086" s="200"/>
    </row>
    <row r="7087" spans="3:20" s="517" customFormat="1" ht="31.2" customHeight="1">
      <c r="C7087" s="195" t="s">
        <v>1215</v>
      </c>
      <c r="D7087" s="196" t="s">
        <v>1216</v>
      </c>
      <c r="E7087" s="203"/>
      <c r="F7087" s="197"/>
      <c r="G7087" s="197"/>
      <c r="H7087" s="198"/>
      <c r="L7087" s="200"/>
      <c r="M7087" s="200"/>
      <c r="N7087" s="200"/>
      <c r="O7087" s="200"/>
      <c r="P7087" s="200"/>
    </row>
    <row r="7088" spans="3:20" s="517" customFormat="1" ht="31.2" customHeight="1">
      <c r="C7088" s="518">
        <v>1</v>
      </c>
      <c r="D7088" s="196" t="s">
        <v>5663</v>
      </c>
      <c r="E7088" s="203" t="s">
        <v>1974</v>
      </c>
      <c r="F7088" s="204">
        <v>5.0000000000000001E-4</v>
      </c>
      <c r="G7088" s="205">
        <f>VLOOKUP(D7088,upahbahan,3,FALSE)</f>
        <v>1550000</v>
      </c>
      <c r="H7088" s="210">
        <f t="shared" ref="H7088" si="554">F7088*G7088</f>
        <v>775</v>
      </c>
      <c r="L7088" s="200"/>
      <c r="M7088" s="200"/>
      <c r="N7088" s="200"/>
      <c r="O7088" s="200"/>
      <c r="P7088" s="200"/>
    </row>
    <row r="7089" spans="3:20" s="517" customFormat="1" ht="31.2" customHeight="1">
      <c r="C7089" s="207" t="s">
        <v>1217</v>
      </c>
      <c r="D7089" s="208"/>
      <c r="E7089" s="208"/>
      <c r="F7089" s="208"/>
      <c r="G7089" s="209"/>
      <c r="H7089" s="770">
        <f>SUM(H7087:H7088)</f>
        <v>775</v>
      </c>
      <c r="L7089" s="200"/>
      <c r="M7089" s="200"/>
      <c r="N7089" s="200"/>
      <c r="O7089" s="200"/>
      <c r="P7089" s="200"/>
    </row>
    <row r="7090" spans="3:20" s="517" customFormat="1" ht="31.2" customHeight="1">
      <c r="C7090" s="223" t="s">
        <v>1218</v>
      </c>
      <c r="D7090" s="224" t="s">
        <v>1219</v>
      </c>
      <c r="E7090" s="225"/>
      <c r="F7090" s="225"/>
      <c r="G7090" s="226"/>
      <c r="H7090" s="210">
        <f>H7089+H7086+H7083</f>
        <v>804.08</v>
      </c>
      <c r="L7090" s="200"/>
      <c r="M7090" s="200"/>
      <c r="N7090" s="200"/>
      <c r="O7090" s="200"/>
      <c r="P7090" s="200"/>
    </row>
    <row r="7091" spans="3:20" s="517" customFormat="1" ht="31.2" customHeight="1">
      <c r="C7091" s="223" t="s">
        <v>1220</v>
      </c>
      <c r="D7091" s="224" t="s">
        <v>1321</v>
      </c>
      <c r="E7091" s="225"/>
      <c r="F7091" s="226"/>
      <c r="G7091" s="228">
        <v>0.1</v>
      </c>
      <c r="H7091" s="210">
        <f>H7090*G7091</f>
        <v>80.408000000000015</v>
      </c>
      <c r="L7091" s="200"/>
      <c r="M7091" s="200"/>
      <c r="N7091" s="200"/>
      <c r="O7091" s="200"/>
      <c r="P7091" s="200"/>
    </row>
    <row r="7092" spans="3:20" s="517" customFormat="1" ht="31.2" customHeight="1" thickBot="1">
      <c r="C7092" s="229" t="s">
        <v>1221</v>
      </c>
      <c r="D7092" s="230" t="s">
        <v>1222</v>
      </c>
      <c r="E7092" s="231"/>
      <c r="F7092" s="231"/>
      <c r="G7092" s="232"/>
      <c r="H7092" s="233">
        <f>SUM(H7090:H7091)</f>
        <v>884.48800000000006</v>
      </c>
      <c r="L7092" s="200"/>
      <c r="M7092" s="200"/>
      <c r="N7092" s="200"/>
      <c r="O7092" s="200"/>
      <c r="P7092" s="200"/>
    </row>
    <row r="7093" spans="3:20" ht="31.2" customHeight="1" thickTop="1">
      <c r="C7093" s="787" t="s">
        <v>5662</v>
      </c>
    </row>
    <row r="7094" spans="3:20" ht="31.2" customHeight="1"/>
    <row r="7095" spans="3:20" s="517" customFormat="1" ht="31.2" customHeight="1" thickBot="1">
      <c r="C7095" s="513" t="s">
        <v>5668</v>
      </c>
      <c r="D7095" s="748" t="s">
        <v>7624</v>
      </c>
      <c r="E7095" s="749"/>
      <c r="F7095" s="748"/>
      <c r="G7095" s="748"/>
      <c r="H7095" s="532"/>
      <c r="I7095" s="532"/>
      <c r="J7095" s="532"/>
      <c r="K7095" s="532"/>
      <c r="M7095" s="189"/>
      <c r="N7095" s="189"/>
      <c r="O7095" s="189"/>
      <c r="P7095" s="189"/>
      <c r="R7095" s="189">
        <f>ROUNDDOWN(H7109,-2)</f>
        <v>1100</v>
      </c>
      <c r="S7095" s="517" t="s">
        <v>6451</v>
      </c>
      <c r="T7095" s="517" t="s">
        <v>7620</v>
      </c>
    </row>
    <row r="7096" spans="3:20" s="517" customFormat="1" ht="31.2" customHeight="1" thickTop="1">
      <c r="C7096" s="190" t="s">
        <v>1195</v>
      </c>
      <c r="D7096" s="191" t="s">
        <v>1196</v>
      </c>
      <c r="E7096" s="191" t="s">
        <v>1197</v>
      </c>
      <c r="F7096" s="191" t="s">
        <v>1198</v>
      </c>
      <c r="G7096" s="191" t="s">
        <v>1199</v>
      </c>
      <c r="H7096" s="192" t="s">
        <v>1200</v>
      </c>
      <c r="L7096" s="200"/>
      <c r="M7096" s="200"/>
      <c r="N7096" s="200"/>
      <c r="O7096" s="200"/>
      <c r="P7096" s="200"/>
    </row>
    <row r="7097" spans="3:20" s="517" customFormat="1" ht="31.2" customHeight="1">
      <c r="C7097" s="518" t="s">
        <v>1201</v>
      </c>
      <c r="D7097" s="196" t="s">
        <v>1202</v>
      </c>
      <c r="E7097" s="197"/>
      <c r="F7097" s="197"/>
      <c r="G7097" s="197"/>
      <c r="H7097" s="198"/>
      <c r="L7097" s="200"/>
      <c r="M7097" s="200"/>
      <c r="N7097" s="200"/>
      <c r="O7097" s="200"/>
      <c r="P7097" s="200"/>
    </row>
    <row r="7098" spans="3:20" s="517" customFormat="1" ht="31.2" customHeight="1">
      <c r="C7098" s="518">
        <v>1</v>
      </c>
      <c r="D7098" s="196" t="s">
        <v>5</v>
      </c>
      <c r="E7098" s="203" t="s">
        <v>2102</v>
      </c>
      <c r="F7098" s="257">
        <v>2.3999999999999998E-3</v>
      </c>
      <c r="G7098" s="205">
        <f>VLOOKUP(D7098,upahbahan,3,FALSE)</f>
        <v>100000</v>
      </c>
      <c r="H7098" s="210">
        <f t="shared" ref="H7098:H7099" si="555">F7098*G7098</f>
        <v>239.99999999999997</v>
      </c>
      <c r="L7098" s="200"/>
      <c r="M7098" s="200"/>
      <c r="N7098" s="200"/>
      <c r="O7098" s="200"/>
      <c r="P7098" s="200"/>
    </row>
    <row r="7099" spans="3:20" s="517" customFormat="1" ht="31.2" customHeight="1">
      <c r="C7099" s="518">
        <v>2</v>
      </c>
      <c r="D7099" s="196" t="s">
        <v>19</v>
      </c>
      <c r="E7099" s="203" t="s">
        <v>2102</v>
      </c>
      <c r="F7099" s="786">
        <v>1.2E-4</v>
      </c>
      <c r="G7099" s="205">
        <f>VLOOKUP(D7099,upahbahan,3,FALSE)</f>
        <v>160000</v>
      </c>
      <c r="H7099" s="210">
        <f t="shared" si="555"/>
        <v>19.2</v>
      </c>
      <c r="L7099" s="200"/>
      <c r="M7099" s="200"/>
      <c r="N7099" s="200"/>
      <c r="O7099" s="200"/>
      <c r="P7099" s="200"/>
    </row>
    <row r="7100" spans="3:20" s="517" customFormat="1" ht="31.2" customHeight="1">
      <c r="C7100" s="207" t="s">
        <v>1208</v>
      </c>
      <c r="D7100" s="208"/>
      <c r="E7100" s="208"/>
      <c r="F7100" s="521"/>
      <c r="G7100" s="522"/>
      <c r="H7100" s="210">
        <f>SUM(H7098:H7099)</f>
        <v>259.2</v>
      </c>
      <c r="L7100" s="523"/>
      <c r="M7100" s="523"/>
      <c r="N7100" s="523"/>
      <c r="O7100" s="523"/>
      <c r="P7100" s="523"/>
    </row>
    <row r="7101" spans="3:20" s="517" customFormat="1" ht="31.2" customHeight="1">
      <c r="C7101" s="543" t="s">
        <v>1209</v>
      </c>
      <c r="D7101" s="750" t="s">
        <v>1210</v>
      </c>
      <c r="E7101" s="197"/>
      <c r="F7101" s="751"/>
      <c r="G7101" s="197"/>
      <c r="H7101" s="752"/>
      <c r="L7101" s="200"/>
      <c r="M7101" s="200"/>
      <c r="N7101" s="200"/>
      <c r="O7101" s="200"/>
      <c r="P7101" s="200"/>
    </row>
    <row r="7102" spans="3:20" s="517" customFormat="1" ht="31.2" customHeight="1">
      <c r="C7102" s="543">
        <v>1</v>
      </c>
      <c r="D7102" s="750" t="s">
        <v>5649</v>
      </c>
      <c r="E7102" s="203" t="s">
        <v>529</v>
      </c>
      <c r="F7102" s="769">
        <v>10</v>
      </c>
      <c r="G7102" s="205">
        <f>VLOOKUP(D7102,upahbahan,3,FALSE)</f>
        <v>0</v>
      </c>
      <c r="H7102" s="210">
        <f>F7102*G7102</f>
        <v>0</v>
      </c>
      <c r="L7102" s="200"/>
      <c r="M7102" s="200"/>
      <c r="N7102" s="200"/>
      <c r="O7102" s="200"/>
      <c r="P7102" s="200"/>
    </row>
    <row r="7103" spans="3:20" s="517" customFormat="1" ht="31.2" customHeight="1">
      <c r="C7103" s="207" t="s">
        <v>1214</v>
      </c>
      <c r="D7103" s="208"/>
      <c r="E7103" s="568"/>
      <c r="F7103" s="208"/>
      <c r="G7103" s="209"/>
      <c r="H7103" s="210">
        <f>SUM(H7102:H7102)</f>
        <v>0</v>
      </c>
      <c r="L7103" s="200"/>
      <c r="M7103" s="200"/>
      <c r="N7103" s="200"/>
      <c r="O7103" s="200"/>
      <c r="P7103" s="200"/>
    </row>
    <row r="7104" spans="3:20" s="517" customFormat="1" ht="31.2" customHeight="1">
      <c r="C7104" s="195" t="s">
        <v>1215</v>
      </c>
      <c r="D7104" s="196" t="s">
        <v>1216</v>
      </c>
      <c r="E7104" s="203"/>
      <c r="F7104" s="197"/>
      <c r="G7104" s="197"/>
      <c r="H7104" s="198"/>
      <c r="L7104" s="200"/>
      <c r="M7104" s="200"/>
      <c r="N7104" s="200"/>
      <c r="O7104" s="200"/>
      <c r="P7104" s="200"/>
    </row>
    <row r="7105" spans="3:20" s="517" customFormat="1" ht="31.2" customHeight="1">
      <c r="C7105" s="518">
        <v>1</v>
      </c>
      <c r="D7105" s="196" t="s">
        <v>5663</v>
      </c>
      <c r="E7105" s="203" t="s">
        <v>1974</v>
      </c>
      <c r="F7105" s="204">
        <v>5.0000000000000001E-4</v>
      </c>
      <c r="G7105" s="205">
        <f>VLOOKUP(D7105,upahbahan,3,FALSE)</f>
        <v>1550000</v>
      </c>
      <c r="H7105" s="210">
        <f t="shared" ref="H7105" si="556">F7105*G7105</f>
        <v>775</v>
      </c>
      <c r="L7105" s="200"/>
      <c r="M7105" s="200"/>
      <c r="N7105" s="200"/>
      <c r="O7105" s="200"/>
      <c r="P7105" s="200"/>
    </row>
    <row r="7106" spans="3:20" s="517" customFormat="1" ht="31.2" customHeight="1">
      <c r="C7106" s="207" t="s">
        <v>1217</v>
      </c>
      <c r="D7106" s="208"/>
      <c r="E7106" s="208"/>
      <c r="F7106" s="208"/>
      <c r="G7106" s="209"/>
      <c r="H7106" s="770">
        <f>SUM(H7104:H7105)</f>
        <v>775</v>
      </c>
      <c r="L7106" s="200"/>
      <c r="M7106" s="200"/>
      <c r="N7106" s="200"/>
      <c r="O7106" s="200"/>
      <c r="P7106" s="200"/>
    </row>
    <row r="7107" spans="3:20" s="517" customFormat="1" ht="31.2" customHeight="1">
      <c r="C7107" s="223" t="s">
        <v>1218</v>
      </c>
      <c r="D7107" s="224" t="s">
        <v>1219</v>
      </c>
      <c r="E7107" s="225"/>
      <c r="F7107" s="225"/>
      <c r="G7107" s="226"/>
      <c r="H7107" s="210">
        <f>H7106+H7103+H7100</f>
        <v>1034.2</v>
      </c>
      <c r="L7107" s="200"/>
      <c r="M7107" s="200"/>
      <c r="N7107" s="200"/>
      <c r="O7107" s="200"/>
      <c r="P7107" s="200"/>
    </row>
    <row r="7108" spans="3:20" s="517" customFormat="1" ht="31.2" customHeight="1">
      <c r="C7108" s="223" t="s">
        <v>1220</v>
      </c>
      <c r="D7108" s="224" t="s">
        <v>1321</v>
      </c>
      <c r="E7108" s="225"/>
      <c r="F7108" s="226"/>
      <c r="G7108" s="228">
        <v>0.1</v>
      </c>
      <c r="H7108" s="210">
        <f>H7107*G7108</f>
        <v>103.42000000000002</v>
      </c>
      <c r="L7108" s="200"/>
      <c r="M7108" s="200"/>
      <c r="N7108" s="200"/>
      <c r="O7108" s="200"/>
      <c r="P7108" s="200"/>
    </row>
    <row r="7109" spans="3:20" s="517" customFormat="1" ht="31.2" customHeight="1" thickBot="1">
      <c r="C7109" s="229" t="s">
        <v>1221</v>
      </c>
      <c r="D7109" s="230" t="s">
        <v>1222</v>
      </c>
      <c r="E7109" s="231"/>
      <c r="F7109" s="231"/>
      <c r="G7109" s="232"/>
      <c r="H7109" s="233">
        <f>SUM(H7107:H7108)</f>
        <v>1137.6200000000001</v>
      </c>
      <c r="L7109" s="200"/>
      <c r="M7109" s="200"/>
      <c r="N7109" s="200"/>
      <c r="O7109" s="200"/>
      <c r="P7109" s="200"/>
    </row>
    <row r="7110" spans="3:20" ht="31.2" customHeight="1" thickTop="1">
      <c r="C7110" s="787" t="s">
        <v>5662</v>
      </c>
    </row>
    <row r="7111" spans="3:20" ht="31.2" customHeight="1"/>
    <row r="7112" spans="3:20" ht="31.2" customHeight="1"/>
    <row r="7113" spans="3:20" s="517" customFormat="1" ht="31.2" customHeight="1" thickBot="1">
      <c r="C7113" s="513" t="s">
        <v>5669</v>
      </c>
      <c r="D7113" s="748" t="s">
        <v>7625</v>
      </c>
      <c r="E7113" s="749"/>
      <c r="F7113" s="748"/>
      <c r="G7113" s="748"/>
      <c r="H7113" s="532"/>
      <c r="I7113" s="532"/>
      <c r="J7113" s="532"/>
      <c r="K7113" s="532"/>
      <c r="M7113" s="189"/>
      <c r="N7113" s="189"/>
      <c r="O7113" s="189"/>
      <c r="P7113" s="189"/>
      <c r="R7113" s="189">
        <f>ROUNDDOWN(H7126,-2)</f>
        <v>0</v>
      </c>
      <c r="S7113" s="517" t="s">
        <v>6451</v>
      </c>
      <c r="T7113" s="517" t="s">
        <v>7620</v>
      </c>
    </row>
    <row r="7114" spans="3:20" s="517" customFormat="1" ht="31.2" customHeight="1" thickTop="1">
      <c r="C7114" s="190" t="s">
        <v>1195</v>
      </c>
      <c r="D7114" s="191" t="s">
        <v>1196</v>
      </c>
      <c r="E7114" s="191" t="s">
        <v>1197</v>
      </c>
      <c r="F7114" s="191" t="s">
        <v>1198</v>
      </c>
      <c r="G7114" s="191" t="s">
        <v>1199</v>
      </c>
      <c r="H7114" s="192" t="s">
        <v>1200</v>
      </c>
      <c r="L7114" s="200"/>
      <c r="M7114" s="200"/>
      <c r="N7114" s="200"/>
      <c r="O7114" s="200"/>
      <c r="P7114" s="200"/>
    </row>
    <row r="7115" spans="3:20" s="517" customFormat="1" ht="31.2" customHeight="1">
      <c r="C7115" s="518" t="s">
        <v>1201</v>
      </c>
      <c r="D7115" s="196" t="s">
        <v>1202</v>
      </c>
      <c r="E7115" s="197"/>
      <c r="F7115" s="197"/>
      <c r="G7115" s="197"/>
      <c r="H7115" s="198"/>
      <c r="L7115" s="200"/>
      <c r="M7115" s="200"/>
      <c r="N7115" s="200"/>
      <c r="O7115" s="200"/>
      <c r="P7115" s="200"/>
    </row>
    <row r="7116" spans="3:20" s="517" customFormat="1" ht="31.2" customHeight="1">
      <c r="C7116" s="518">
        <v>1</v>
      </c>
      <c r="D7116" s="196" t="s">
        <v>5</v>
      </c>
      <c r="E7116" s="203" t="s">
        <v>2102</v>
      </c>
      <c r="F7116" s="257">
        <v>4.0000000000000002E-4</v>
      </c>
      <c r="G7116" s="205">
        <f>VLOOKUP(D7116,upahbahan,3,FALSE)</f>
        <v>100000</v>
      </c>
      <c r="H7116" s="210">
        <f t="shared" ref="H7116:H7117" si="557">F7116*G7116</f>
        <v>40</v>
      </c>
      <c r="L7116" s="200"/>
      <c r="M7116" s="200"/>
      <c r="N7116" s="200"/>
      <c r="O7116" s="200"/>
      <c r="P7116" s="200"/>
    </row>
    <row r="7117" spans="3:20" s="517" customFormat="1" ht="31.2" customHeight="1">
      <c r="C7117" s="518">
        <v>2</v>
      </c>
      <c r="D7117" s="196" t="s">
        <v>19</v>
      </c>
      <c r="E7117" s="203" t="s">
        <v>2102</v>
      </c>
      <c r="F7117" s="786">
        <v>2.0000000000000001E-4</v>
      </c>
      <c r="G7117" s="205">
        <f>VLOOKUP(D7117,upahbahan,3,FALSE)</f>
        <v>160000</v>
      </c>
      <c r="H7117" s="210">
        <f t="shared" si="557"/>
        <v>32</v>
      </c>
      <c r="L7117" s="200"/>
      <c r="M7117" s="200"/>
      <c r="N7117" s="200"/>
      <c r="O7117" s="200"/>
      <c r="P7117" s="200"/>
    </row>
    <row r="7118" spans="3:20" s="517" customFormat="1" ht="31.2" customHeight="1">
      <c r="C7118" s="207" t="s">
        <v>1208</v>
      </c>
      <c r="D7118" s="208"/>
      <c r="E7118" s="208"/>
      <c r="F7118" s="521"/>
      <c r="G7118" s="522"/>
      <c r="H7118" s="210">
        <f>SUM(H7116:H7117)</f>
        <v>72</v>
      </c>
      <c r="L7118" s="523"/>
      <c r="M7118" s="523"/>
      <c r="N7118" s="523"/>
      <c r="O7118" s="523"/>
      <c r="P7118" s="523"/>
    </row>
    <row r="7119" spans="3:20" s="517" customFormat="1" ht="31.2" customHeight="1">
      <c r="C7119" s="543" t="s">
        <v>1209</v>
      </c>
      <c r="D7119" s="750" t="s">
        <v>1210</v>
      </c>
      <c r="E7119" s="197"/>
      <c r="F7119" s="751"/>
      <c r="G7119" s="197"/>
      <c r="H7119" s="752"/>
      <c r="L7119" s="200"/>
      <c r="M7119" s="200"/>
      <c r="N7119" s="200"/>
      <c r="O7119" s="200"/>
      <c r="P7119" s="200"/>
    </row>
    <row r="7120" spans="3:20" s="517" customFormat="1" ht="31.2" customHeight="1">
      <c r="C7120" s="543">
        <v>1</v>
      </c>
      <c r="D7120" s="750" t="s">
        <v>5649</v>
      </c>
      <c r="E7120" s="203" t="s">
        <v>529</v>
      </c>
      <c r="F7120" s="769">
        <v>6</v>
      </c>
      <c r="G7120" s="205">
        <f>VLOOKUP(D7120,upahbahan,3,FALSE)</f>
        <v>0</v>
      </c>
      <c r="H7120" s="210">
        <f>F7120*G7120</f>
        <v>0</v>
      </c>
      <c r="L7120" s="200"/>
      <c r="M7120" s="200"/>
      <c r="N7120" s="200"/>
      <c r="O7120" s="200"/>
      <c r="P7120" s="200"/>
    </row>
    <row r="7121" spans="3:20" s="517" customFormat="1" ht="31.2" customHeight="1">
      <c r="C7121" s="207" t="s">
        <v>1214</v>
      </c>
      <c r="D7121" s="208"/>
      <c r="E7121" s="568"/>
      <c r="F7121" s="208"/>
      <c r="G7121" s="209"/>
      <c r="H7121" s="210">
        <f>SUM(H7120:H7120)</f>
        <v>0</v>
      </c>
      <c r="L7121" s="200"/>
      <c r="M7121" s="200"/>
      <c r="N7121" s="200"/>
      <c r="O7121" s="200"/>
      <c r="P7121" s="200"/>
    </row>
    <row r="7122" spans="3:20" s="517" customFormat="1" ht="31.2" customHeight="1">
      <c r="C7122" s="195" t="s">
        <v>1215</v>
      </c>
      <c r="D7122" s="196" t="s">
        <v>1216</v>
      </c>
      <c r="E7122" s="203"/>
      <c r="F7122" s="197"/>
      <c r="G7122" s="197"/>
      <c r="H7122" s="198"/>
      <c r="L7122" s="200"/>
      <c r="M7122" s="200"/>
      <c r="N7122" s="200"/>
      <c r="O7122" s="200"/>
      <c r="P7122" s="200"/>
    </row>
    <row r="7123" spans="3:20" s="517" customFormat="1" ht="31.2" customHeight="1">
      <c r="C7123" s="207" t="s">
        <v>1217</v>
      </c>
      <c r="D7123" s="208"/>
      <c r="E7123" s="208"/>
      <c r="F7123" s="208"/>
      <c r="G7123" s="209"/>
      <c r="H7123" s="770">
        <f>SUM(H7122:H7122)</f>
        <v>0</v>
      </c>
      <c r="L7123" s="200"/>
      <c r="M7123" s="200"/>
      <c r="N7123" s="200"/>
      <c r="O7123" s="200"/>
      <c r="P7123" s="200"/>
    </row>
    <row r="7124" spans="3:20" s="517" customFormat="1" ht="31.2" customHeight="1">
      <c r="C7124" s="223" t="s">
        <v>1218</v>
      </c>
      <c r="D7124" s="224" t="s">
        <v>1219</v>
      </c>
      <c r="E7124" s="225"/>
      <c r="F7124" s="225"/>
      <c r="G7124" s="226"/>
      <c r="H7124" s="210">
        <f>H7123+H7121+H7118</f>
        <v>72</v>
      </c>
      <c r="L7124" s="200"/>
      <c r="M7124" s="200"/>
      <c r="N7124" s="200"/>
      <c r="O7124" s="200"/>
      <c r="P7124" s="200"/>
    </row>
    <row r="7125" spans="3:20" s="517" customFormat="1" ht="31.2" customHeight="1">
      <c r="C7125" s="223" t="s">
        <v>1220</v>
      </c>
      <c r="D7125" s="224" t="s">
        <v>1321</v>
      </c>
      <c r="E7125" s="225"/>
      <c r="F7125" s="226"/>
      <c r="G7125" s="228">
        <v>0.1</v>
      </c>
      <c r="H7125" s="210">
        <f>H7124*G7125</f>
        <v>7.2</v>
      </c>
      <c r="L7125" s="200"/>
      <c r="M7125" s="200"/>
      <c r="N7125" s="200"/>
      <c r="O7125" s="200"/>
      <c r="P7125" s="200"/>
    </row>
    <row r="7126" spans="3:20" s="517" customFormat="1" ht="31.2" customHeight="1" thickBot="1">
      <c r="C7126" s="229" t="s">
        <v>1221</v>
      </c>
      <c r="D7126" s="230" t="s">
        <v>1222</v>
      </c>
      <c r="E7126" s="231"/>
      <c r="F7126" s="231"/>
      <c r="G7126" s="232"/>
      <c r="H7126" s="233">
        <f>SUM(H7124:H7125)</f>
        <v>79.2</v>
      </c>
      <c r="L7126" s="200"/>
      <c r="M7126" s="200"/>
      <c r="N7126" s="200"/>
      <c r="O7126" s="200"/>
      <c r="P7126" s="200"/>
    </row>
    <row r="7127" spans="3:20" ht="31.2" customHeight="1" thickTop="1">
      <c r="C7127" s="787" t="s">
        <v>5662</v>
      </c>
    </row>
    <row r="7128" spans="3:20" ht="31.2" customHeight="1"/>
    <row r="7129" spans="3:20" s="517" customFormat="1" ht="31.2" customHeight="1" thickBot="1">
      <c r="C7129" s="513" t="s">
        <v>5670</v>
      </c>
      <c r="D7129" s="748" t="s">
        <v>7626</v>
      </c>
      <c r="E7129" s="749"/>
      <c r="F7129" s="748"/>
      <c r="G7129" s="748"/>
      <c r="H7129" s="532"/>
      <c r="I7129" s="532"/>
      <c r="J7129" s="532"/>
      <c r="K7129" s="532"/>
      <c r="M7129" s="189"/>
      <c r="N7129" s="189"/>
      <c r="O7129" s="189"/>
      <c r="P7129" s="189"/>
      <c r="R7129" s="189">
        <f>ROUNDDOWN(H7142,-2)</f>
        <v>0</v>
      </c>
      <c r="S7129" s="517" t="s">
        <v>6451</v>
      </c>
      <c r="T7129" s="517" t="s">
        <v>7620</v>
      </c>
    </row>
    <row r="7130" spans="3:20" s="517" customFormat="1" ht="31.2" customHeight="1" thickTop="1">
      <c r="C7130" s="190" t="s">
        <v>1195</v>
      </c>
      <c r="D7130" s="191" t="s">
        <v>1196</v>
      </c>
      <c r="E7130" s="191" t="s">
        <v>1197</v>
      </c>
      <c r="F7130" s="191" t="s">
        <v>1198</v>
      </c>
      <c r="G7130" s="191" t="s">
        <v>1199</v>
      </c>
      <c r="H7130" s="192" t="s">
        <v>1200</v>
      </c>
      <c r="L7130" s="200"/>
      <c r="M7130" s="200"/>
      <c r="N7130" s="200"/>
      <c r="O7130" s="200"/>
      <c r="P7130" s="200"/>
    </row>
    <row r="7131" spans="3:20" s="517" customFormat="1" ht="31.2" customHeight="1">
      <c r="C7131" s="518" t="s">
        <v>1201</v>
      </c>
      <c r="D7131" s="196" t="s">
        <v>1202</v>
      </c>
      <c r="E7131" s="197"/>
      <c r="F7131" s="197"/>
      <c r="G7131" s="197"/>
      <c r="H7131" s="198"/>
      <c r="L7131" s="200"/>
      <c r="M7131" s="200"/>
      <c r="N7131" s="200"/>
      <c r="O7131" s="200"/>
      <c r="P7131" s="200"/>
    </row>
    <row r="7132" spans="3:20" s="517" customFormat="1" ht="31.2" customHeight="1">
      <c r="C7132" s="518">
        <v>1</v>
      </c>
      <c r="D7132" s="196" t="s">
        <v>5</v>
      </c>
      <c r="E7132" s="203" t="s">
        <v>2102</v>
      </c>
      <c r="F7132" s="257">
        <v>4.0000000000000002E-4</v>
      </c>
      <c r="G7132" s="205">
        <f>VLOOKUP(D7132,upahbahan,3,FALSE)</f>
        <v>100000</v>
      </c>
      <c r="H7132" s="210">
        <f t="shared" ref="H7132:H7133" si="558">F7132*G7132</f>
        <v>40</v>
      </c>
      <c r="L7132" s="200"/>
      <c r="M7132" s="200"/>
      <c r="N7132" s="200"/>
      <c r="O7132" s="200"/>
      <c r="P7132" s="200"/>
    </row>
    <row r="7133" spans="3:20" s="517" customFormat="1" ht="31.2" customHeight="1">
      <c r="C7133" s="518">
        <v>2</v>
      </c>
      <c r="D7133" s="196" t="s">
        <v>19</v>
      </c>
      <c r="E7133" s="203" t="s">
        <v>2102</v>
      </c>
      <c r="F7133" s="786">
        <v>2.0000000000000001E-4</v>
      </c>
      <c r="G7133" s="205">
        <f>VLOOKUP(D7133,upahbahan,3,FALSE)</f>
        <v>160000</v>
      </c>
      <c r="H7133" s="210">
        <f t="shared" si="558"/>
        <v>32</v>
      </c>
      <c r="L7133" s="200"/>
      <c r="M7133" s="200"/>
      <c r="N7133" s="200"/>
      <c r="O7133" s="200"/>
      <c r="P7133" s="200"/>
    </row>
    <row r="7134" spans="3:20" s="517" customFormat="1" ht="31.2" customHeight="1">
      <c r="C7134" s="207" t="s">
        <v>1208</v>
      </c>
      <c r="D7134" s="208"/>
      <c r="E7134" s="208"/>
      <c r="F7134" s="521"/>
      <c r="G7134" s="522"/>
      <c r="H7134" s="210">
        <f>SUM(H7132:H7133)</f>
        <v>72</v>
      </c>
      <c r="L7134" s="523"/>
      <c r="M7134" s="523"/>
      <c r="N7134" s="523"/>
      <c r="O7134" s="523"/>
      <c r="P7134" s="523"/>
    </row>
    <row r="7135" spans="3:20" s="517" customFormat="1" ht="31.2" customHeight="1">
      <c r="C7135" s="543" t="s">
        <v>1209</v>
      </c>
      <c r="D7135" s="750" t="s">
        <v>1210</v>
      </c>
      <c r="E7135" s="197"/>
      <c r="F7135" s="751"/>
      <c r="G7135" s="197"/>
      <c r="H7135" s="752"/>
      <c r="L7135" s="200"/>
      <c r="M7135" s="200"/>
      <c r="N7135" s="200"/>
      <c r="O7135" s="200"/>
      <c r="P7135" s="200"/>
    </row>
    <row r="7136" spans="3:20" s="517" customFormat="1" ht="31.2" customHeight="1">
      <c r="C7136" s="543">
        <v>1</v>
      </c>
      <c r="D7136" s="750" t="s">
        <v>5649</v>
      </c>
      <c r="E7136" s="203" t="s">
        <v>529</v>
      </c>
      <c r="F7136" s="769">
        <v>8</v>
      </c>
      <c r="G7136" s="205">
        <f>VLOOKUP(D7136,upahbahan,3,FALSE)</f>
        <v>0</v>
      </c>
      <c r="H7136" s="210">
        <f>F7136*G7136</f>
        <v>0</v>
      </c>
      <c r="L7136" s="200"/>
      <c r="M7136" s="200"/>
      <c r="N7136" s="200"/>
      <c r="O7136" s="200"/>
      <c r="P7136" s="200"/>
    </row>
    <row r="7137" spans="3:20" s="517" customFormat="1" ht="31.2" customHeight="1">
      <c r="C7137" s="207" t="s">
        <v>1214</v>
      </c>
      <c r="D7137" s="208"/>
      <c r="E7137" s="568"/>
      <c r="F7137" s="208"/>
      <c r="G7137" s="209"/>
      <c r="H7137" s="210">
        <f>SUM(H7136:H7136)</f>
        <v>0</v>
      </c>
      <c r="L7137" s="200"/>
      <c r="M7137" s="200"/>
      <c r="N7137" s="200"/>
      <c r="O7137" s="200"/>
      <c r="P7137" s="200"/>
    </row>
    <row r="7138" spans="3:20" s="517" customFormat="1" ht="31.2" customHeight="1">
      <c r="C7138" s="195" t="s">
        <v>1215</v>
      </c>
      <c r="D7138" s="196" t="s">
        <v>1216</v>
      </c>
      <c r="E7138" s="203"/>
      <c r="F7138" s="197"/>
      <c r="G7138" s="197"/>
      <c r="H7138" s="198"/>
      <c r="L7138" s="200"/>
      <c r="M7138" s="200"/>
      <c r="N7138" s="200"/>
      <c r="O7138" s="200"/>
      <c r="P7138" s="200"/>
    </row>
    <row r="7139" spans="3:20" s="517" customFormat="1" ht="31.2" customHeight="1">
      <c r="C7139" s="207" t="s">
        <v>1217</v>
      </c>
      <c r="D7139" s="208"/>
      <c r="E7139" s="208"/>
      <c r="F7139" s="208"/>
      <c r="G7139" s="209"/>
      <c r="H7139" s="770">
        <f>SUM(H7138:H7138)</f>
        <v>0</v>
      </c>
      <c r="L7139" s="200"/>
      <c r="M7139" s="200"/>
      <c r="N7139" s="200"/>
      <c r="O7139" s="200"/>
      <c r="P7139" s="200"/>
    </row>
    <row r="7140" spans="3:20" s="517" customFormat="1" ht="31.2" customHeight="1">
      <c r="C7140" s="223" t="s">
        <v>1218</v>
      </c>
      <c r="D7140" s="224" t="s">
        <v>1219</v>
      </c>
      <c r="E7140" s="225"/>
      <c r="F7140" s="225"/>
      <c r="G7140" s="226"/>
      <c r="H7140" s="210">
        <f>H7139+H7137+H7134</f>
        <v>72</v>
      </c>
      <c r="L7140" s="200"/>
      <c r="M7140" s="200"/>
      <c r="N7140" s="200"/>
      <c r="O7140" s="200"/>
      <c r="P7140" s="200"/>
    </row>
    <row r="7141" spans="3:20" s="517" customFormat="1" ht="31.2" customHeight="1">
      <c r="C7141" s="223" t="s">
        <v>1220</v>
      </c>
      <c r="D7141" s="224" t="s">
        <v>1321</v>
      </c>
      <c r="E7141" s="225"/>
      <c r="F7141" s="226"/>
      <c r="G7141" s="228">
        <v>0.1</v>
      </c>
      <c r="H7141" s="210">
        <f>H7140*G7141</f>
        <v>7.2</v>
      </c>
      <c r="L7141" s="200"/>
      <c r="M7141" s="200"/>
      <c r="N7141" s="200"/>
      <c r="O7141" s="200"/>
      <c r="P7141" s="200"/>
    </row>
    <row r="7142" spans="3:20" s="517" customFormat="1" ht="31.2" customHeight="1" thickBot="1">
      <c r="C7142" s="229" t="s">
        <v>1221</v>
      </c>
      <c r="D7142" s="230" t="s">
        <v>1222</v>
      </c>
      <c r="E7142" s="231"/>
      <c r="F7142" s="231"/>
      <c r="G7142" s="232"/>
      <c r="H7142" s="233">
        <f>SUM(H7140:H7141)</f>
        <v>79.2</v>
      </c>
      <c r="L7142" s="200"/>
      <c r="M7142" s="200"/>
      <c r="N7142" s="200"/>
      <c r="O7142" s="200"/>
      <c r="P7142" s="200"/>
    </row>
    <row r="7143" spans="3:20" ht="31.2" customHeight="1" thickTop="1">
      <c r="C7143" s="787" t="s">
        <v>5662</v>
      </c>
    </row>
    <row r="7144" spans="3:20" ht="31.2" customHeight="1"/>
    <row r="7145" spans="3:20" s="517" customFormat="1" ht="31.2" customHeight="1" thickBot="1">
      <c r="C7145" s="513" t="s">
        <v>5671</v>
      </c>
      <c r="D7145" s="748" t="s">
        <v>7627</v>
      </c>
      <c r="E7145" s="749"/>
      <c r="F7145" s="748"/>
      <c r="G7145" s="748"/>
      <c r="H7145" s="532"/>
      <c r="I7145" s="532"/>
      <c r="J7145" s="532"/>
      <c r="K7145" s="532"/>
      <c r="M7145" s="189"/>
      <c r="N7145" s="189"/>
      <c r="O7145" s="189"/>
      <c r="P7145" s="189"/>
      <c r="R7145" s="189">
        <f>ROUNDDOWN(H7158,-2)</f>
        <v>0</v>
      </c>
      <c r="S7145" s="517" t="s">
        <v>6451</v>
      </c>
      <c r="T7145" s="517" t="s">
        <v>7620</v>
      </c>
    </row>
    <row r="7146" spans="3:20" s="517" customFormat="1" ht="31.2" customHeight="1" thickTop="1">
      <c r="C7146" s="190" t="s">
        <v>1195</v>
      </c>
      <c r="D7146" s="191" t="s">
        <v>1196</v>
      </c>
      <c r="E7146" s="191" t="s">
        <v>1197</v>
      </c>
      <c r="F7146" s="191" t="s">
        <v>1198</v>
      </c>
      <c r="G7146" s="191" t="s">
        <v>1199</v>
      </c>
      <c r="H7146" s="192" t="s">
        <v>1200</v>
      </c>
      <c r="L7146" s="200"/>
      <c r="M7146" s="200"/>
      <c r="N7146" s="200"/>
      <c r="O7146" s="200"/>
      <c r="P7146" s="200"/>
    </row>
    <row r="7147" spans="3:20" s="517" customFormat="1" ht="31.2" customHeight="1">
      <c r="C7147" s="518" t="s">
        <v>1201</v>
      </c>
      <c r="D7147" s="196" t="s">
        <v>1202</v>
      </c>
      <c r="E7147" s="197"/>
      <c r="F7147" s="197"/>
      <c r="G7147" s="197"/>
      <c r="H7147" s="198"/>
      <c r="L7147" s="200"/>
      <c r="M7147" s="200"/>
      <c r="N7147" s="200"/>
      <c r="O7147" s="200"/>
      <c r="P7147" s="200"/>
    </row>
    <row r="7148" spans="3:20" s="517" customFormat="1" ht="31.2" customHeight="1">
      <c r="C7148" s="518">
        <v>1</v>
      </c>
      <c r="D7148" s="196" t="s">
        <v>5</v>
      </c>
      <c r="E7148" s="203" t="s">
        <v>2102</v>
      </c>
      <c r="F7148" s="257">
        <v>2.7E-4</v>
      </c>
      <c r="G7148" s="205">
        <f>VLOOKUP(D7148,upahbahan,3,FALSE)</f>
        <v>100000</v>
      </c>
      <c r="H7148" s="210">
        <f t="shared" ref="H7148:H7149" si="559">F7148*G7148</f>
        <v>27</v>
      </c>
      <c r="L7148" s="200"/>
      <c r="M7148" s="200"/>
      <c r="N7148" s="200"/>
      <c r="O7148" s="200"/>
      <c r="P7148" s="200"/>
    </row>
    <row r="7149" spans="3:20" s="517" customFormat="1" ht="31.2" customHeight="1">
      <c r="C7149" s="518">
        <v>2</v>
      </c>
      <c r="D7149" s="196" t="s">
        <v>19</v>
      </c>
      <c r="E7149" s="203" t="s">
        <v>2102</v>
      </c>
      <c r="F7149" s="786">
        <v>1.2999999999999999E-5</v>
      </c>
      <c r="G7149" s="205">
        <f>VLOOKUP(D7149,upahbahan,3,FALSE)</f>
        <v>160000</v>
      </c>
      <c r="H7149" s="210">
        <f t="shared" si="559"/>
        <v>2.08</v>
      </c>
      <c r="L7149" s="200"/>
      <c r="M7149" s="200"/>
      <c r="N7149" s="200"/>
      <c r="O7149" s="200"/>
      <c r="P7149" s="200"/>
    </row>
    <row r="7150" spans="3:20" s="517" customFormat="1" ht="31.2" customHeight="1">
      <c r="C7150" s="207" t="s">
        <v>1208</v>
      </c>
      <c r="D7150" s="208"/>
      <c r="E7150" s="208"/>
      <c r="F7150" s="521"/>
      <c r="G7150" s="522"/>
      <c r="H7150" s="210">
        <f>SUM(H7148:H7149)</f>
        <v>29.08</v>
      </c>
      <c r="L7150" s="523"/>
      <c r="M7150" s="523"/>
      <c r="N7150" s="523"/>
      <c r="O7150" s="523"/>
      <c r="P7150" s="523"/>
    </row>
    <row r="7151" spans="3:20" s="517" customFormat="1" ht="31.2" customHeight="1">
      <c r="C7151" s="543" t="s">
        <v>1209</v>
      </c>
      <c r="D7151" s="750" t="s">
        <v>1210</v>
      </c>
      <c r="E7151" s="197"/>
      <c r="F7151" s="751"/>
      <c r="G7151" s="197"/>
      <c r="H7151" s="752"/>
      <c r="L7151" s="200"/>
      <c r="M7151" s="200"/>
      <c r="N7151" s="200"/>
      <c r="O7151" s="200"/>
      <c r="P7151" s="200"/>
    </row>
    <row r="7152" spans="3:20" s="517" customFormat="1" ht="31.2" customHeight="1">
      <c r="C7152" s="543">
        <v>1</v>
      </c>
      <c r="D7152" s="750" t="s">
        <v>5649</v>
      </c>
      <c r="E7152" s="203" t="s">
        <v>529</v>
      </c>
      <c r="F7152" s="769">
        <v>6</v>
      </c>
      <c r="G7152" s="205">
        <f>VLOOKUP(D7152,upahbahan,3,FALSE)</f>
        <v>0</v>
      </c>
      <c r="H7152" s="210">
        <f>F7152*G7152</f>
        <v>0</v>
      </c>
      <c r="L7152" s="200"/>
      <c r="M7152" s="200"/>
      <c r="N7152" s="200"/>
      <c r="O7152" s="200"/>
      <c r="P7152" s="200"/>
    </row>
    <row r="7153" spans="3:20" s="517" customFormat="1" ht="31.2" customHeight="1">
      <c r="C7153" s="207" t="s">
        <v>1214</v>
      </c>
      <c r="D7153" s="208"/>
      <c r="E7153" s="568"/>
      <c r="F7153" s="208"/>
      <c r="G7153" s="209"/>
      <c r="H7153" s="210">
        <f>SUM(H7152:H7152)</f>
        <v>0</v>
      </c>
      <c r="L7153" s="200"/>
      <c r="M7153" s="200"/>
      <c r="N7153" s="200"/>
      <c r="O7153" s="200"/>
      <c r="P7153" s="200"/>
    </row>
    <row r="7154" spans="3:20" s="517" customFormat="1" ht="31.2" customHeight="1">
      <c r="C7154" s="195" t="s">
        <v>1215</v>
      </c>
      <c r="D7154" s="196" t="s">
        <v>1216</v>
      </c>
      <c r="E7154" s="203"/>
      <c r="F7154" s="197"/>
      <c r="G7154" s="197"/>
      <c r="H7154" s="198"/>
      <c r="L7154" s="200"/>
      <c r="M7154" s="200"/>
      <c r="N7154" s="200"/>
      <c r="O7154" s="200"/>
      <c r="P7154" s="200"/>
    </row>
    <row r="7155" spans="3:20" s="517" customFormat="1" ht="31.2" customHeight="1">
      <c r="C7155" s="207" t="s">
        <v>1217</v>
      </c>
      <c r="D7155" s="208"/>
      <c r="E7155" s="208"/>
      <c r="F7155" s="208"/>
      <c r="G7155" s="209"/>
      <c r="H7155" s="770">
        <f>SUM(H7154:H7154)</f>
        <v>0</v>
      </c>
      <c r="L7155" s="200"/>
      <c r="M7155" s="200"/>
      <c r="N7155" s="200"/>
      <c r="O7155" s="200"/>
      <c r="P7155" s="200"/>
    </row>
    <row r="7156" spans="3:20" s="517" customFormat="1" ht="31.2" customHeight="1">
      <c r="C7156" s="223" t="s">
        <v>1218</v>
      </c>
      <c r="D7156" s="224" t="s">
        <v>1219</v>
      </c>
      <c r="E7156" s="225"/>
      <c r="F7156" s="225"/>
      <c r="G7156" s="226"/>
      <c r="H7156" s="210">
        <f>H7155+H7153+H7150</f>
        <v>29.08</v>
      </c>
      <c r="L7156" s="200"/>
      <c r="M7156" s="200"/>
      <c r="N7156" s="200"/>
      <c r="O7156" s="200"/>
      <c r="P7156" s="200"/>
    </row>
    <row r="7157" spans="3:20" s="517" customFormat="1" ht="31.2" customHeight="1">
      <c r="C7157" s="223" t="s">
        <v>1220</v>
      </c>
      <c r="D7157" s="224" t="s">
        <v>1321</v>
      </c>
      <c r="E7157" s="225"/>
      <c r="F7157" s="226"/>
      <c r="G7157" s="228">
        <v>0.1</v>
      </c>
      <c r="H7157" s="210">
        <f>H7156*G7157</f>
        <v>2.9079999999999999</v>
      </c>
      <c r="L7157" s="200"/>
      <c r="M7157" s="200"/>
      <c r="N7157" s="200"/>
      <c r="O7157" s="200"/>
      <c r="P7157" s="200"/>
    </row>
    <row r="7158" spans="3:20" s="517" customFormat="1" ht="31.2" customHeight="1" thickBot="1">
      <c r="C7158" s="229" t="s">
        <v>1221</v>
      </c>
      <c r="D7158" s="230" t="s">
        <v>1222</v>
      </c>
      <c r="E7158" s="231"/>
      <c r="F7158" s="231"/>
      <c r="G7158" s="232"/>
      <c r="H7158" s="233">
        <f>SUM(H7156:H7157)</f>
        <v>31.988</v>
      </c>
      <c r="L7158" s="200"/>
      <c r="M7158" s="200"/>
      <c r="N7158" s="200"/>
      <c r="O7158" s="200"/>
      <c r="P7158" s="200"/>
    </row>
    <row r="7159" spans="3:20" ht="31.2" customHeight="1" thickTop="1">
      <c r="C7159" s="787" t="s">
        <v>5662</v>
      </c>
    </row>
    <row r="7160" spans="3:20" ht="31.2" customHeight="1"/>
    <row r="7161" spans="3:20" ht="31.2" customHeight="1"/>
    <row r="7162" spans="3:20" s="517" customFormat="1" ht="31.2" customHeight="1" thickBot="1">
      <c r="C7162" s="513" t="s">
        <v>5672</v>
      </c>
      <c r="D7162" s="748" t="s">
        <v>7628</v>
      </c>
      <c r="E7162" s="749"/>
      <c r="F7162" s="748"/>
      <c r="G7162" s="748"/>
      <c r="H7162" s="532"/>
      <c r="I7162" s="532"/>
      <c r="J7162" s="532"/>
      <c r="K7162" s="532"/>
      <c r="M7162" s="189"/>
      <c r="N7162" s="189"/>
      <c r="O7162" s="189"/>
      <c r="P7162" s="189"/>
      <c r="R7162" s="189">
        <f>ROUNDDOWN(H7175,-2)</f>
        <v>0</v>
      </c>
      <c r="S7162" s="517" t="s">
        <v>6451</v>
      </c>
      <c r="T7162" s="517" t="s">
        <v>7620</v>
      </c>
    </row>
    <row r="7163" spans="3:20" s="517" customFormat="1" ht="31.2" customHeight="1" thickTop="1">
      <c r="C7163" s="190" t="s">
        <v>1195</v>
      </c>
      <c r="D7163" s="191" t="s">
        <v>1196</v>
      </c>
      <c r="E7163" s="191" t="s">
        <v>1197</v>
      </c>
      <c r="F7163" s="191" t="s">
        <v>1198</v>
      </c>
      <c r="G7163" s="191" t="s">
        <v>1199</v>
      </c>
      <c r="H7163" s="192" t="s">
        <v>1200</v>
      </c>
      <c r="L7163" s="200"/>
      <c r="M7163" s="200"/>
      <c r="N7163" s="200"/>
      <c r="O7163" s="200"/>
      <c r="P7163" s="200"/>
    </row>
    <row r="7164" spans="3:20" s="517" customFormat="1" ht="31.2" customHeight="1">
      <c r="C7164" s="518" t="s">
        <v>1201</v>
      </c>
      <c r="D7164" s="196" t="s">
        <v>1202</v>
      </c>
      <c r="E7164" s="197"/>
      <c r="F7164" s="197"/>
      <c r="G7164" s="197"/>
      <c r="H7164" s="198"/>
      <c r="L7164" s="200"/>
      <c r="M7164" s="200"/>
      <c r="N7164" s="200"/>
      <c r="O7164" s="200"/>
      <c r="P7164" s="200"/>
    </row>
    <row r="7165" spans="3:20" s="517" customFormat="1" ht="31.2" customHeight="1">
      <c r="C7165" s="518">
        <v>1</v>
      </c>
      <c r="D7165" s="196" t="s">
        <v>5</v>
      </c>
      <c r="E7165" s="203" t="s">
        <v>2102</v>
      </c>
      <c r="F7165" s="257">
        <v>2.7E-4</v>
      </c>
      <c r="G7165" s="205">
        <f>VLOOKUP(D7165,upahbahan,3,FALSE)</f>
        <v>100000</v>
      </c>
      <c r="H7165" s="210">
        <f t="shared" ref="H7165:H7166" si="560">F7165*G7165</f>
        <v>27</v>
      </c>
      <c r="L7165" s="200"/>
      <c r="M7165" s="200"/>
      <c r="N7165" s="200"/>
      <c r="O7165" s="200"/>
      <c r="P7165" s="200"/>
    </row>
    <row r="7166" spans="3:20" s="517" customFormat="1" ht="31.2" customHeight="1">
      <c r="C7166" s="518">
        <v>2</v>
      </c>
      <c r="D7166" s="196" t="s">
        <v>19</v>
      </c>
      <c r="E7166" s="203" t="s">
        <v>2102</v>
      </c>
      <c r="F7166" s="786">
        <v>1.2999999999999999E-5</v>
      </c>
      <c r="G7166" s="205">
        <f>VLOOKUP(D7166,upahbahan,3,FALSE)</f>
        <v>160000</v>
      </c>
      <c r="H7166" s="210">
        <f t="shared" si="560"/>
        <v>2.08</v>
      </c>
      <c r="L7166" s="200"/>
      <c r="M7166" s="200"/>
      <c r="N7166" s="200"/>
      <c r="O7166" s="200"/>
      <c r="P7166" s="200"/>
    </row>
    <row r="7167" spans="3:20" s="517" customFormat="1" ht="31.2" customHeight="1">
      <c r="C7167" s="207" t="s">
        <v>1208</v>
      </c>
      <c r="D7167" s="208"/>
      <c r="E7167" s="208"/>
      <c r="F7167" s="521"/>
      <c r="G7167" s="522"/>
      <c r="H7167" s="210">
        <f>SUM(H7165:H7166)</f>
        <v>29.08</v>
      </c>
      <c r="L7167" s="523"/>
      <c r="M7167" s="523"/>
      <c r="N7167" s="523"/>
      <c r="O7167" s="523"/>
      <c r="P7167" s="523"/>
    </row>
    <row r="7168" spans="3:20" s="517" customFormat="1" ht="31.2" customHeight="1">
      <c r="C7168" s="543" t="s">
        <v>1209</v>
      </c>
      <c r="D7168" s="750" t="s">
        <v>1210</v>
      </c>
      <c r="E7168" s="197"/>
      <c r="F7168" s="751"/>
      <c r="G7168" s="197"/>
      <c r="H7168" s="752"/>
      <c r="L7168" s="200"/>
      <c r="M7168" s="200"/>
      <c r="N7168" s="200"/>
      <c r="O7168" s="200"/>
      <c r="P7168" s="200"/>
    </row>
    <row r="7169" spans="3:18" s="517" customFormat="1" ht="31.2" customHeight="1">
      <c r="C7169" s="543">
        <v>1</v>
      </c>
      <c r="D7169" s="750" t="s">
        <v>5649</v>
      </c>
      <c r="E7169" s="203" t="s">
        <v>529</v>
      </c>
      <c r="F7169" s="769">
        <v>8</v>
      </c>
      <c r="G7169" s="205">
        <f>VLOOKUP(D7169,upahbahan,3,FALSE)</f>
        <v>0</v>
      </c>
      <c r="H7169" s="210">
        <f>F7169*G7169</f>
        <v>0</v>
      </c>
      <c r="L7169" s="200"/>
      <c r="M7169" s="200"/>
      <c r="N7169" s="200"/>
      <c r="O7169" s="200"/>
      <c r="P7169" s="200"/>
    </row>
    <row r="7170" spans="3:18" s="517" customFormat="1" ht="31.2" customHeight="1">
      <c r="C7170" s="207" t="s">
        <v>1214</v>
      </c>
      <c r="D7170" s="208"/>
      <c r="E7170" s="568"/>
      <c r="F7170" s="208"/>
      <c r="G7170" s="209"/>
      <c r="H7170" s="210">
        <f>SUM(H7169:H7169)</f>
        <v>0</v>
      </c>
      <c r="L7170" s="200"/>
      <c r="M7170" s="200"/>
      <c r="N7170" s="200"/>
      <c r="O7170" s="200"/>
      <c r="P7170" s="200"/>
    </row>
    <row r="7171" spans="3:18" s="517" customFormat="1" ht="31.2" customHeight="1">
      <c r="C7171" s="195" t="s">
        <v>1215</v>
      </c>
      <c r="D7171" s="196" t="s">
        <v>1216</v>
      </c>
      <c r="E7171" s="203"/>
      <c r="F7171" s="197"/>
      <c r="G7171" s="197"/>
      <c r="H7171" s="198"/>
      <c r="L7171" s="200"/>
      <c r="M7171" s="200"/>
      <c r="N7171" s="200"/>
      <c r="O7171" s="200"/>
      <c r="P7171" s="200"/>
    </row>
    <row r="7172" spans="3:18" s="517" customFormat="1" ht="31.2" customHeight="1">
      <c r="C7172" s="207" t="s">
        <v>1217</v>
      </c>
      <c r="D7172" s="208"/>
      <c r="E7172" s="208"/>
      <c r="F7172" s="208"/>
      <c r="G7172" s="209"/>
      <c r="H7172" s="770">
        <f>SUM(H7171:H7171)</f>
        <v>0</v>
      </c>
      <c r="L7172" s="200"/>
      <c r="M7172" s="200"/>
      <c r="N7172" s="200"/>
      <c r="O7172" s="200"/>
      <c r="P7172" s="200"/>
    </row>
    <row r="7173" spans="3:18" s="517" customFormat="1" ht="31.2" customHeight="1">
      <c r="C7173" s="223" t="s">
        <v>1218</v>
      </c>
      <c r="D7173" s="224" t="s">
        <v>1219</v>
      </c>
      <c r="E7173" s="225"/>
      <c r="F7173" s="225"/>
      <c r="G7173" s="226"/>
      <c r="H7173" s="210">
        <f>H7172+H7170+H7167</f>
        <v>29.08</v>
      </c>
      <c r="L7173" s="200"/>
      <c r="M7173" s="200"/>
      <c r="N7173" s="200"/>
      <c r="O7173" s="200"/>
      <c r="P7173" s="200"/>
    </row>
    <row r="7174" spans="3:18" s="517" customFormat="1" ht="31.2" customHeight="1">
      <c r="C7174" s="223" t="s">
        <v>1220</v>
      </c>
      <c r="D7174" s="224" t="s">
        <v>1321</v>
      </c>
      <c r="E7174" s="225"/>
      <c r="F7174" s="226"/>
      <c r="G7174" s="228">
        <v>0.1</v>
      </c>
      <c r="H7174" s="210">
        <f>H7173*G7174</f>
        <v>2.9079999999999999</v>
      </c>
      <c r="L7174" s="200"/>
      <c r="M7174" s="200"/>
      <c r="N7174" s="200"/>
      <c r="O7174" s="200"/>
      <c r="P7174" s="200"/>
    </row>
    <row r="7175" spans="3:18" s="517" customFormat="1" ht="31.2" customHeight="1" thickBot="1">
      <c r="C7175" s="229" t="s">
        <v>1221</v>
      </c>
      <c r="D7175" s="230" t="s">
        <v>1222</v>
      </c>
      <c r="E7175" s="231"/>
      <c r="F7175" s="231"/>
      <c r="G7175" s="232"/>
      <c r="H7175" s="233">
        <f>SUM(H7173:H7174)</f>
        <v>31.988</v>
      </c>
      <c r="L7175" s="200"/>
      <c r="M7175" s="200"/>
      <c r="N7175" s="200"/>
      <c r="O7175" s="200"/>
      <c r="P7175" s="200"/>
    </row>
    <row r="7176" spans="3:18" ht="31.2" customHeight="1" thickTop="1">
      <c r="C7176" s="787" t="s">
        <v>5662</v>
      </c>
    </row>
    <row r="7177" spans="3:18" ht="31.2" customHeight="1"/>
    <row r="7178" spans="3:18" ht="31.2" customHeight="1">
      <c r="C7178" s="765" t="s">
        <v>5720</v>
      </c>
      <c r="D7178" s="766" t="s">
        <v>7629</v>
      </c>
    </row>
    <row r="7179" spans="3:18" s="517" customFormat="1" ht="31.2" customHeight="1" thickBot="1">
      <c r="C7179" s="513" t="s">
        <v>5674</v>
      </c>
      <c r="D7179" s="748" t="s">
        <v>7630</v>
      </c>
      <c r="E7179" s="749"/>
      <c r="F7179" s="748"/>
      <c r="G7179" s="748"/>
      <c r="H7179" s="532"/>
      <c r="I7179" s="532"/>
      <c r="J7179" s="532"/>
      <c r="K7179" s="532"/>
      <c r="M7179" s="189"/>
      <c r="N7179" s="189"/>
      <c r="O7179" s="189"/>
      <c r="P7179" s="189"/>
      <c r="R7179" s="189">
        <f>ROUNDDOWN(H7192,-2)</f>
        <v>0</v>
      </c>
    </row>
    <row r="7180" spans="3:18" s="517" customFormat="1" ht="31.2" customHeight="1" thickTop="1">
      <c r="C7180" s="190" t="s">
        <v>1195</v>
      </c>
      <c r="D7180" s="191" t="s">
        <v>1196</v>
      </c>
      <c r="E7180" s="191" t="s">
        <v>1197</v>
      </c>
      <c r="F7180" s="191" t="s">
        <v>1198</v>
      </c>
      <c r="G7180" s="191" t="s">
        <v>1199</v>
      </c>
      <c r="H7180" s="192" t="s">
        <v>1200</v>
      </c>
      <c r="L7180" s="200"/>
      <c r="M7180" s="200"/>
      <c r="N7180" s="200"/>
      <c r="O7180" s="200"/>
      <c r="P7180" s="200"/>
    </row>
    <row r="7181" spans="3:18" s="517" customFormat="1" ht="31.2" customHeight="1">
      <c r="C7181" s="518" t="s">
        <v>1201</v>
      </c>
      <c r="D7181" s="196" t="s">
        <v>1202</v>
      </c>
      <c r="E7181" s="197"/>
      <c r="F7181" s="197"/>
      <c r="G7181" s="197"/>
      <c r="H7181" s="198"/>
      <c r="L7181" s="200"/>
      <c r="M7181" s="200"/>
      <c r="N7181" s="200"/>
      <c r="O7181" s="200"/>
      <c r="P7181" s="200"/>
    </row>
    <row r="7182" spans="3:18" s="517" customFormat="1" ht="31.2" customHeight="1">
      <c r="C7182" s="518">
        <v>1</v>
      </c>
      <c r="D7182" s="196" t="s">
        <v>5</v>
      </c>
      <c r="E7182" s="203" t="s">
        <v>2102</v>
      </c>
      <c r="F7182" s="257">
        <v>5.1000000000000004E-4</v>
      </c>
      <c r="G7182" s="205">
        <f>VLOOKUP(D7182,upahbahan,3,FALSE)</f>
        <v>100000</v>
      </c>
      <c r="H7182" s="210">
        <f t="shared" ref="H7182:H7183" si="561">F7182*G7182</f>
        <v>51.000000000000007</v>
      </c>
      <c r="L7182" s="200"/>
      <c r="M7182" s="200"/>
      <c r="N7182" s="200"/>
      <c r="O7182" s="200"/>
      <c r="P7182" s="200"/>
    </row>
    <row r="7183" spans="3:18" s="517" customFormat="1" ht="31.2" customHeight="1">
      <c r="C7183" s="518">
        <v>2</v>
      </c>
      <c r="D7183" s="196" t="s">
        <v>19</v>
      </c>
      <c r="E7183" s="203" t="s">
        <v>2102</v>
      </c>
      <c r="F7183" s="786">
        <v>5.0000000000000002E-5</v>
      </c>
      <c r="G7183" s="205">
        <f>VLOOKUP(D7183,upahbahan,3,FALSE)</f>
        <v>160000</v>
      </c>
      <c r="H7183" s="210">
        <f t="shared" si="561"/>
        <v>8</v>
      </c>
      <c r="L7183" s="200"/>
      <c r="M7183" s="200"/>
      <c r="N7183" s="200"/>
      <c r="O7183" s="200"/>
      <c r="P7183" s="200"/>
    </row>
    <row r="7184" spans="3:18" s="517" customFormat="1" ht="31.2" customHeight="1">
      <c r="C7184" s="207" t="s">
        <v>1208</v>
      </c>
      <c r="D7184" s="208"/>
      <c r="E7184" s="208"/>
      <c r="F7184" s="521"/>
      <c r="G7184" s="522"/>
      <c r="H7184" s="210">
        <f>SUM(H7182:H7183)</f>
        <v>59.000000000000007</v>
      </c>
      <c r="L7184" s="523"/>
      <c r="M7184" s="523"/>
      <c r="N7184" s="523"/>
      <c r="O7184" s="523"/>
      <c r="P7184" s="523"/>
    </row>
    <row r="7185" spans="3:18" s="517" customFormat="1" ht="31.2" customHeight="1">
      <c r="C7185" s="543" t="s">
        <v>1209</v>
      </c>
      <c r="D7185" s="750" t="s">
        <v>1210</v>
      </c>
      <c r="E7185" s="197"/>
      <c r="F7185" s="751"/>
      <c r="G7185" s="197"/>
      <c r="H7185" s="752"/>
      <c r="L7185" s="200"/>
      <c r="M7185" s="200"/>
      <c r="N7185" s="200"/>
      <c r="O7185" s="200"/>
      <c r="P7185" s="200"/>
    </row>
    <row r="7186" spans="3:18" s="517" customFormat="1" ht="31.2" customHeight="1">
      <c r="C7186" s="543">
        <v>1</v>
      </c>
      <c r="D7186" s="750" t="s">
        <v>5649</v>
      </c>
      <c r="E7186" s="203" t="s">
        <v>529</v>
      </c>
      <c r="F7186" s="769">
        <v>5</v>
      </c>
      <c r="G7186" s="205">
        <f>VLOOKUP(D7186,upahbahan,3,FALSE)</f>
        <v>0</v>
      </c>
      <c r="H7186" s="210">
        <f>F7186*G7186</f>
        <v>0</v>
      </c>
      <c r="L7186" s="200"/>
      <c r="M7186" s="200"/>
      <c r="N7186" s="200"/>
      <c r="O7186" s="200"/>
      <c r="P7186" s="200"/>
    </row>
    <row r="7187" spans="3:18" s="517" customFormat="1" ht="31.2" customHeight="1">
      <c r="C7187" s="207" t="s">
        <v>1214</v>
      </c>
      <c r="D7187" s="208"/>
      <c r="E7187" s="568"/>
      <c r="F7187" s="208"/>
      <c r="G7187" s="209"/>
      <c r="H7187" s="210">
        <f>SUM(H7186:H7186)</f>
        <v>0</v>
      </c>
      <c r="L7187" s="200"/>
      <c r="M7187" s="200"/>
      <c r="N7187" s="200"/>
      <c r="O7187" s="200"/>
      <c r="P7187" s="200"/>
    </row>
    <row r="7188" spans="3:18" s="517" customFormat="1" ht="31.2" customHeight="1">
      <c r="C7188" s="195" t="s">
        <v>1215</v>
      </c>
      <c r="D7188" s="196" t="s">
        <v>1216</v>
      </c>
      <c r="E7188" s="203"/>
      <c r="F7188" s="197"/>
      <c r="G7188" s="197"/>
      <c r="H7188" s="198"/>
      <c r="L7188" s="200"/>
      <c r="M7188" s="200"/>
      <c r="N7188" s="200"/>
      <c r="O7188" s="200"/>
      <c r="P7188" s="200"/>
    </row>
    <row r="7189" spans="3:18" s="517" customFormat="1" ht="31.2" customHeight="1">
      <c r="C7189" s="207" t="s">
        <v>1217</v>
      </c>
      <c r="D7189" s="208"/>
      <c r="E7189" s="208"/>
      <c r="F7189" s="208"/>
      <c r="G7189" s="209"/>
      <c r="H7189" s="770">
        <f>SUM(H7188:H7188)</f>
        <v>0</v>
      </c>
      <c r="L7189" s="200"/>
      <c r="M7189" s="200"/>
      <c r="N7189" s="200"/>
      <c r="O7189" s="200"/>
      <c r="P7189" s="200"/>
    </row>
    <row r="7190" spans="3:18" s="517" customFormat="1" ht="31.2" customHeight="1">
      <c r="C7190" s="223" t="s">
        <v>1218</v>
      </c>
      <c r="D7190" s="224" t="s">
        <v>1219</v>
      </c>
      <c r="E7190" s="225"/>
      <c r="F7190" s="225"/>
      <c r="G7190" s="226"/>
      <c r="H7190" s="210">
        <f>H7189+H7187+H7184</f>
        <v>59.000000000000007</v>
      </c>
      <c r="L7190" s="200"/>
      <c r="M7190" s="200"/>
      <c r="N7190" s="200"/>
      <c r="O7190" s="200"/>
      <c r="P7190" s="200"/>
    </row>
    <row r="7191" spans="3:18" s="517" customFormat="1" ht="31.2" customHeight="1">
      <c r="C7191" s="223" t="s">
        <v>1220</v>
      </c>
      <c r="D7191" s="224" t="s">
        <v>1321</v>
      </c>
      <c r="E7191" s="225"/>
      <c r="F7191" s="226"/>
      <c r="G7191" s="228">
        <v>0.1</v>
      </c>
      <c r="H7191" s="210">
        <f>H7190*G7191</f>
        <v>5.9000000000000012</v>
      </c>
      <c r="L7191" s="200"/>
      <c r="M7191" s="200"/>
      <c r="N7191" s="200"/>
      <c r="O7191" s="200"/>
      <c r="P7191" s="200"/>
    </row>
    <row r="7192" spans="3:18" s="517" customFormat="1" ht="31.2" customHeight="1" thickBot="1">
      <c r="C7192" s="229" t="s">
        <v>1221</v>
      </c>
      <c r="D7192" s="230" t="s">
        <v>1222</v>
      </c>
      <c r="E7192" s="231"/>
      <c r="F7192" s="231"/>
      <c r="G7192" s="232"/>
      <c r="H7192" s="233">
        <f>SUM(H7190:H7191)</f>
        <v>64.900000000000006</v>
      </c>
      <c r="L7192" s="200"/>
      <c r="M7192" s="200"/>
      <c r="N7192" s="200"/>
      <c r="O7192" s="200"/>
      <c r="P7192" s="200"/>
    </row>
    <row r="7193" spans="3:18" ht="31.2" customHeight="1" thickTop="1">
      <c r="C7193" s="788" t="s">
        <v>5662</v>
      </c>
    </row>
    <row r="7194" spans="3:18" ht="31.2" customHeight="1"/>
    <row r="7195" spans="3:18" s="517" customFormat="1" ht="31.2" customHeight="1" thickBot="1">
      <c r="C7195" s="513" t="s">
        <v>5721</v>
      </c>
      <c r="D7195" s="748" t="s">
        <v>7631</v>
      </c>
      <c r="E7195" s="749"/>
      <c r="F7195" s="748"/>
      <c r="G7195" s="748"/>
      <c r="H7195" s="532"/>
      <c r="I7195" s="532"/>
      <c r="J7195" s="532"/>
      <c r="K7195" s="532"/>
      <c r="M7195" s="189"/>
      <c r="N7195" s="189"/>
      <c r="O7195" s="189"/>
      <c r="P7195" s="189"/>
      <c r="R7195" s="189">
        <f>ROUNDDOWN(H7208,-2)</f>
        <v>0</v>
      </c>
    </row>
    <row r="7196" spans="3:18" s="517" customFormat="1" ht="31.2" customHeight="1" thickTop="1">
      <c r="C7196" s="190" t="s">
        <v>1195</v>
      </c>
      <c r="D7196" s="191" t="s">
        <v>1196</v>
      </c>
      <c r="E7196" s="191" t="s">
        <v>1197</v>
      </c>
      <c r="F7196" s="191" t="s">
        <v>1198</v>
      </c>
      <c r="G7196" s="191" t="s">
        <v>1199</v>
      </c>
      <c r="H7196" s="192" t="s">
        <v>1200</v>
      </c>
      <c r="L7196" s="200"/>
      <c r="M7196" s="200"/>
      <c r="N7196" s="200"/>
      <c r="O7196" s="200"/>
      <c r="P7196" s="200"/>
    </row>
    <row r="7197" spans="3:18" s="517" customFormat="1" ht="31.2" customHeight="1">
      <c r="C7197" s="518" t="s">
        <v>1201</v>
      </c>
      <c r="D7197" s="196" t="s">
        <v>1202</v>
      </c>
      <c r="E7197" s="197"/>
      <c r="F7197" s="197"/>
      <c r="G7197" s="197"/>
      <c r="H7197" s="198"/>
      <c r="L7197" s="200"/>
      <c r="M7197" s="200"/>
      <c r="N7197" s="200"/>
      <c r="O7197" s="200"/>
      <c r="P7197" s="200"/>
    </row>
    <row r="7198" spans="3:18" s="517" customFormat="1" ht="31.2" customHeight="1">
      <c r="C7198" s="518">
        <v>1</v>
      </c>
      <c r="D7198" s="196" t="s">
        <v>5</v>
      </c>
      <c r="E7198" s="203" t="s">
        <v>2102</v>
      </c>
      <c r="F7198" s="257">
        <v>6.2E-4</v>
      </c>
      <c r="G7198" s="205">
        <f>VLOOKUP(D7198,upahbahan,3,FALSE)</f>
        <v>100000</v>
      </c>
      <c r="H7198" s="210">
        <f t="shared" ref="H7198:H7199" si="562">F7198*G7198</f>
        <v>62</v>
      </c>
      <c r="L7198" s="200"/>
      <c r="M7198" s="200"/>
      <c r="N7198" s="200"/>
      <c r="O7198" s="200"/>
      <c r="P7198" s="200"/>
    </row>
    <row r="7199" spans="3:18" s="517" customFormat="1" ht="31.2" customHeight="1">
      <c r="C7199" s="518">
        <v>2</v>
      </c>
      <c r="D7199" s="196" t="s">
        <v>19</v>
      </c>
      <c r="E7199" s="203" t="s">
        <v>2102</v>
      </c>
      <c r="F7199" s="786">
        <v>9.0000000000000006E-5</v>
      </c>
      <c r="G7199" s="205">
        <f>VLOOKUP(D7199,upahbahan,3,FALSE)</f>
        <v>160000</v>
      </c>
      <c r="H7199" s="210">
        <f t="shared" si="562"/>
        <v>14.4</v>
      </c>
      <c r="L7199" s="200"/>
      <c r="M7199" s="200"/>
      <c r="N7199" s="200"/>
      <c r="O7199" s="200"/>
      <c r="P7199" s="200"/>
    </row>
    <row r="7200" spans="3:18" s="517" customFormat="1" ht="31.2" customHeight="1">
      <c r="C7200" s="207" t="s">
        <v>1208</v>
      </c>
      <c r="D7200" s="208"/>
      <c r="E7200" s="208"/>
      <c r="F7200" s="521"/>
      <c r="G7200" s="522"/>
      <c r="H7200" s="210">
        <f>SUM(H7198:H7199)</f>
        <v>76.400000000000006</v>
      </c>
      <c r="L7200" s="523"/>
      <c r="M7200" s="523"/>
      <c r="N7200" s="523"/>
      <c r="O7200" s="523"/>
      <c r="P7200" s="523"/>
    </row>
    <row r="7201" spans="3:18" s="517" customFormat="1" ht="31.2" customHeight="1">
      <c r="C7201" s="543" t="s">
        <v>1209</v>
      </c>
      <c r="D7201" s="750" t="s">
        <v>1210</v>
      </c>
      <c r="E7201" s="197"/>
      <c r="F7201" s="751"/>
      <c r="G7201" s="197"/>
      <c r="H7201" s="752"/>
      <c r="L7201" s="200"/>
      <c r="M7201" s="200"/>
      <c r="N7201" s="200"/>
      <c r="O7201" s="200"/>
      <c r="P7201" s="200"/>
    </row>
    <row r="7202" spans="3:18" s="517" customFormat="1" ht="31.2" customHeight="1">
      <c r="C7202" s="543">
        <v>1</v>
      </c>
      <c r="D7202" s="750" t="s">
        <v>5649</v>
      </c>
      <c r="E7202" s="203" t="s">
        <v>529</v>
      </c>
      <c r="F7202" s="769">
        <v>5</v>
      </c>
      <c r="G7202" s="205">
        <f>VLOOKUP(D7202,upahbahan,3,FALSE)</f>
        <v>0</v>
      </c>
      <c r="H7202" s="210">
        <f>F7202*G7202</f>
        <v>0</v>
      </c>
      <c r="L7202" s="200"/>
      <c r="M7202" s="200"/>
      <c r="N7202" s="200"/>
      <c r="O7202" s="200"/>
      <c r="P7202" s="200"/>
    </row>
    <row r="7203" spans="3:18" s="517" customFormat="1" ht="31.2" customHeight="1">
      <c r="C7203" s="207" t="s">
        <v>1214</v>
      </c>
      <c r="D7203" s="208"/>
      <c r="E7203" s="568"/>
      <c r="F7203" s="208"/>
      <c r="G7203" s="209"/>
      <c r="H7203" s="210">
        <f>SUM(H7202:H7202)</f>
        <v>0</v>
      </c>
      <c r="L7203" s="200"/>
      <c r="M7203" s="200"/>
      <c r="N7203" s="200"/>
      <c r="O7203" s="200"/>
      <c r="P7203" s="200"/>
    </row>
    <row r="7204" spans="3:18" s="517" customFormat="1" ht="31.2" customHeight="1">
      <c r="C7204" s="195" t="s">
        <v>1215</v>
      </c>
      <c r="D7204" s="196" t="s">
        <v>1216</v>
      </c>
      <c r="E7204" s="203"/>
      <c r="F7204" s="197"/>
      <c r="G7204" s="197"/>
      <c r="H7204" s="198"/>
      <c r="L7204" s="200"/>
      <c r="M7204" s="200"/>
      <c r="N7204" s="200"/>
      <c r="O7204" s="200"/>
      <c r="P7204" s="200"/>
    </row>
    <row r="7205" spans="3:18" s="517" customFormat="1" ht="31.2" customHeight="1">
      <c r="C7205" s="207" t="s">
        <v>1217</v>
      </c>
      <c r="D7205" s="208"/>
      <c r="E7205" s="208"/>
      <c r="F7205" s="208"/>
      <c r="G7205" s="209"/>
      <c r="H7205" s="770">
        <f>SUM(H7204:H7204)</f>
        <v>0</v>
      </c>
      <c r="L7205" s="200"/>
      <c r="M7205" s="200"/>
      <c r="N7205" s="200"/>
      <c r="O7205" s="200"/>
      <c r="P7205" s="200"/>
    </row>
    <row r="7206" spans="3:18" s="517" customFormat="1" ht="31.2" customHeight="1">
      <c r="C7206" s="223" t="s">
        <v>1218</v>
      </c>
      <c r="D7206" s="224" t="s">
        <v>1219</v>
      </c>
      <c r="E7206" s="225"/>
      <c r="F7206" s="225"/>
      <c r="G7206" s="226"/>
      <c r="H7206" s="210">
        <f>H7205+H7203+H7200</f>
        <v>76.400000000000006</v>
      </c>
      <c r="L7206" s="200"/>
      <c r="M7206" s="200"/>
      <c r="N7206" s="200"/>
      <c r="O7206" s="200"/>
      <c r="P7206" s="200"/>
    </row>
    <row r="7207" spans="3:18" s="517" customFormat="1" ht="31.2" customHeight="1">
      <c r="C7207" s="223" t="s">
        <v>1220</v>
      </c>
      <c r="D7207" s="224" t="s">
        <v>1321</v>
      </c>
      <c r="E7207" s="225"/>
      <c r="F7207" s="226"/>
      <c r="G7207" s="228">
        <v>0.1</v>
      </c>
      <c r="H7207" s="210">
        <f>H7206*G7207</f>
        <v>7.6400000000000006</v>
      </c>
      <c r="L7207" s="200"/>
      <c r="M7207" s="200"/>
      <c r="N7207" s="200"/>
      <c r="O7207" s="200"/>
      <c r="P7207" s="200"/>
    </row>
    <row r="7208" spans="3:18" s="517" customFormat="1" ht="31.2" customHeight="1" thickBot="1">
      <c r="C7208" s="229" t="s">
        <v>1221</v>
      </c>
      <c r="D7208" s="230" t="s">
        <v>1222</v>
      </c>
      <c r="E7208" s="231"/>
      <c r="F7208" s="231"/>
      <c r="G7208" s="232"/>
      <c r="H7208" s="233">
        <f>SUM(H7206:H7207)</f>
        <v>84.04</v>
      </c>
      <c r="L7208" s="200"/>
      <c r="M7208" s="200"/>
      <c r="N7208" s="200"/>
      <c r="O7208" s="200"/>
      <c r="P7208" s="200"/>
    </row>
    <row r="7209" spans="3:18" ht="31.2" customHeight="1" thickTop="1">
      <c r="C7209" s="788" t="s">
        <v>5662</v>
      </c>
    </row>
    <row r="7210" spans="3:18" ht="31.2" customHeight="1"/>
    <row r="7211" spans="3:18" s="517" customFormat="1" ht="31.2" customHeight="1" thickBot="1">
      <c r="C7211" s="513" t="s">
        <v>5722</v>
      </c>
      <c r="D7211" s="748" t="s">
        <v>7632</v>
      </c>
      <c r="E7211" s="749"/>
      <c r="F7211" s="748"/>
      <c r="G7211" s="748"/>
      <c r="H7211" s="532"/>
      <c r="I7211" s="532"/>
      <c r="J7211" s="532"/>
      <c r="K7211" s="532"/>
      <c r="M7211" s="189"/>
      <c r="N7211" s="189"/>
      <c r="O7211" s="189"/>
      <c r="P7211" s="189"/>
      <c r="R7211" s="189">
        <f>ROUNDDOWN(H7224,-2)</f>
        <v>100</v>
      </c>
    </row>
    <row r="7212" spans="3:18" s="517" customFormat="1" ht="31.2" customHeight="1" thickTop="1">
      <c r="C7212" s="190" t="s">
        <v>1195</v>
      </c>
      <c r="D7212" s="191" t="s">
        <v>1196</v>
      </c>
      <c r="E7212" s="191" t="s">
        <v>1197</v>
      </c>
      <c r="F7212" s="191" t="s">
        <v>1198</v>
      </c>
      <c r="G7212" s="191" t="s">
        <v>1199</v>
      </c>
      <c r="H7212" s="192" t="s">
        <v>1200</v>
      </c>
      <c r="L7212" s="200"/>
      <c r="M7212" s="200"/>
      <c r="N7212" s="200"/>
      <c r="O7212" s="200"/>
      <c r="P7212" s="200"/>
    </row>
    <row r="7213" spans="3:18" s="517" customFormat="1" ht="31.2" customHeight="1">
      <c r="C7213" s="518" t="s">
        <v>1201</v>
      </c>
      <c r="D7213" s="196" t="s">
        <v>1202</v>
      </c>
      <c r="E7213" s="197"/>
      <c r="F7213" s="197"/>
      <c r="G7213" s="197"/>
      <c r="H7213" s="198"/>
      <c r="L7213" s="200"/>
      <c r="M7213" s="200"/>
      <c r="N7213" s="200"/>
      <c r="O7213" s="200"/>
      <c r="P7213" s="200"/>
    </row>
    <row r="7214" spans="3:18" s="517" customFormat="1" ht="31.2" customHeight="1">
      <c r="C7214" s="518">
        <v>1</v>
      </c>
      <c r="D7214" s="196" t="s">
        <v>5</v>
      </c>
      <c r="E7214" s="203" t="s">
        <v>2102</v>
      </c>
      <c r="F7214" s="257">
        <v>1.1100000000000001E-3</v>
      </c>
      <c r="G7214" s="205">
        <f>VLOOKUP(D7214,upahbahan,3,FALSE)</f>
        <v>100000</v>
      </c>
      <c r="H7214" s="210">
        <f t="shared" ref="H7214:H7215" si="563">F7214*G7214</f>
        <v>111.00000000000001</v>
      </c>
      <c r="L7214" s="200"/>
      <c r="M7214" s="200"/>
      <c r="N7214" s="200"/>
      <c r="O7214" s="200"/>
      <c r="P7214" s="200"/>
    </row>
    <row r="7215" spans="3:18" s="517" customFormat="1" ht="31.2" customHeight="1">
      <c r="C7215" s="518">
        <v>2</v>
      </c>
      <c r="D7215" s="196" t="s">
        <v>19</v>
      </c>
      <c r="E7215" s="203" t="s">
        <v>2102</v>
      </c>
      <c r="F7215" s="786">
        <v>2.2000000000000001E-4</v>
      </c>
      <c r="G7215" s="205">
        <f>VLOOKUP(D7215,upahbahan,3,FALSE)</f>
        <v>160000</v>
      </c>
      <c r="H7215" s="210">
        <f t="shared" si="563"/>
        <v>35.200000000000003</v>
      </c>
      <c r="L7215" s="200"/>
      <c r="M7215" s="200"/>
      <c r="N7215" s="200"/>
      <c r="O7215" s="200"/>
      <c r="P7215" s="200"/>
    </row>
    <row r="7216" spans="3:18" s="517" customFormat="1" ht="31.2" customHeight="1">
      <c r="C7216" s="207" t="s">
        <v>1208</v>
      </c>
      <c r="D7216" s="208"/>
      <c r="E7216" s="208"/>
      <c r="F7216" s="521"/>
      <c r="G7216" s="522"/>
      <c r="H7216" s="210">
        <f>SUM(H7214:H7215)</f>
        <v>146.20000000000002</v>
      </c>
      <c r="L7216" s="523"/>
      <c r="M7216" s="523"/>
      <c r="N7216" s="523"/>
      <c r="O7216" s="523"/>
      <c r="P7216" s="523"/>
    </row>
    <row r="7217" spans="3:20" s="517" customFormat="1" ht="31.2" customHeight="1">
      <c r="C7217" s="543" t="s">
        <v>1209</v>
      </c>
      <c r="D7217" s="750" t="s">
        <v>1210</v>
      </c>
      <c r="E7217" s="197"/>
      <c r="F7217" s="751"/>
      <c r="G7217" s="197"/>
      <c r="H7217" s="752"/>
      <c r="L7217" s="200"/>
      <c r="M7217" s="200"/>
      <c r="N7217" s="200"/>
      <c r="O7217" s="200"/>
      <c r="P7217" s="200"/>
    </row>
    <row r="7218" spans="3:20" s="517" customFormat="1" ht="31.2" customHeight="1">
      <c r="C7218" s="543">
        <v>1</v>
      </c>
      <c r="D7218" s="750" t="s">
        <v>5649</v>
      </c>
      <c r="E7218" s="203" t="s">
        <v>529</v>
      </c>
      <c r="F7218" s="769">
        <v>5</v>
      </c>
      <c r="G7218" s="205">
        <f>VLOOKUP(D7218,upahbahan,3,FALSE)</f>
        <v>0</v>
      </c>
      <c r="H7218" s="210">
        <f>F7218*G7218</f>
        <v>0</v>
      </c>
      <c r="L7218" s="200"/>
      <c r="M7218" s="200"/>
      <c r="N7218" s="200"/>
      <c r="O7218" s="200"/>
      <c r="P7218" s="200"/>
    </row>
    <row r="7219" spans="3:20" s="517" customFormat="1" ht="31.2" customHeight="1">
      <c r="C7219" s="207" t="s">
        <v>1214</v>
      </c>
      <c r="D7219" s="208"/>
      <c r="E7219" s="568"/>
      <c r="F7219" s="208"/>
      <c r="G7219" s="209"/>
      <c r="H7219" s="210">
        <f>SUM(H7218:H7218)</f>
        <v>0</v>
      </c>
      <c r="L7219" s="200"/>
      <c r="M7219" s="200"/>
      <c r="N7219" s="200"/>
      <c r="O7219" s="200"/>
      <c r="P7219" s="200"/>
    </row>
    <row r="7220" spans="3:20" s="517" customFormat="1" ht="31.2" customHeight="1">
      <c r="C7220" s="195" t="s">
        <v>1215</v>
      </c>
      <c r="D7220" s="196" t="s">
        <v>1216</v>
      </c>
      <c r="E7220" s="203"/>
      <c r="F7220" s="197"/>
      <c r="G7220" s="197"/>
      <c r="H7220" s="198"/>
      <c r="L7220" s="200"/>
      <c r="M7220" s="200"/>
      <c r="N7220" s="200"/>
      <c r="O7220" s="200"/>
      <c r="P7220" s="200"/>
    </row>
    <row r="7221" spans="3:20" s="517" customFormat="1" ht="31.2" customHeight="1">
      <c r="C7221" s="207" t="s">
        <v>1217</v>
      </c>
      <c r="D7221" s="208"/>
      <c r="E7221" s="208"/>
      <c r="F7221" s="208"/>
      <c r="G7221" s="209"/>
      <c r="H7221" s="770">
        <f>SUM(H7220:H7220)</f>
        <v>0</v>
      </c>
      <c r="L7221" s="200"/>
      <c r="M7221" s="200"/>
      <c r="N7221" s="200"/>
      <c r="O7221" s="200"/>
      <c r="P7221" s="200"/>
    </row>
    <row r="7222" spans="3:20" s="517" customFormat="1" ht="31.2" customHeight="1">
      <c r="C7222" s="223" t="s">
        <v>1218</v>
      </c>
      <c r="D7222" s="224" t="s">
        <v>1219</v>
      </c>
      <c r="E7222" s="225"/>
      <c r="F7222" s="225"/>
      <c r="G7222" s="226"/>
      <c r="H7222" s="210">
        <f>H7221+H7219+H7216</f>
        <v>146.20000000000002</v>
      </c>
      <c r="L7222" s="200"/>
      <c r="M7222" s="200"/>
      <c r="N7222" s="200"/>
      <c r="O7222" s="200"/>
      <c r="P7222" s="200"/>
    </row>
    <row r="7223" spans="3:20" s="517" customFormat="1" ht="31.2" customHeight="1">
      <c r="C7223" s="223" t="s">
        <v>1220</v>
      </c>
      <c r="D7223" s="224" t="s">
        <v>1321</v>
      </c>
      <c r="E7223" s="225"/>
      <c r="F7223" s="226"/>
      <c r="G7223" s="228">
        <v>0.1</v>
      </c>
      <c r="H7223" s="210">
        <f>H7222*G7223</f>
        <v>14.620000000000003</v>
      </c>
      <c r="L7223" s="200"/>
      <c r="M7223" s="200"/>
      <c r="N7223" s="200"/>
      <c r="O7223" s="200"/>
      <c r="P7223" s="200"/>
    </row>
    <row r="7224" spans="3:20" s="517" customFormat="1" ht="31.2" customHeight="1" thickBot="1">
      <c r="C7224" s="229" t="s">
        <v>1221</v>
      </c>
      <c r="D7224" s="230" t="s">
        <v>1222</v>
      </c>
      <c r="E7224" s="231"/>
      <c r="F7224" s="231"/>
      <c r="G7224" s="232"/>
      <c r="H7224" s="233">
        <f>SUM(H7222:H7223)</f>
        <v>160.82000000000002</v>
      </c>
      <c r="L7224" s="200"/>
      <c r="M7224" s="200"/>
      <c r="N7224" s="200"/>
      <c r="O7224" s="200"/>
      <c r="P7224" s="200"/>
    </row>
    <row r="7225" spans="3:20" ht="31.2" customHeight="1" thickTop="1">
      <c r="C7225" s="788" t="s">
        <v>5662</v>
      </c>
    </row>
    <row r="7226" spans="3:20" ht="31.2" customHeight="1"/>
    <row r="7227" spans="3:20" ht="31.2" customHeight="1">
      <c r="C7227" s="765" t="s">
        <v>5675</v>
      </c>
      <c r="D7227" s="766" t="s">
        <v>5673</v>
      </c>
    </row>
    <row r="7228" spans="3:20" s="517" customFormat="1" ht="31.2" customHeight="1" thickBot="1">
      <c r="C7228" s="513" t="s">
        <v>5676</v>
      </c>
      <c r="D7228" s="748" t="s">
        <v>7633</v>
      </c>
      <c r="E7228" s="749"/>
      <c r="F7228" s="748"/>
      <c r="G7228" s="748"/>
      <c r="H7228" s="532"/>
      <c r="I7228" s="532"/>
      <c r="J7228" s="532"/>
      <c r="K7228" s="532"/>
      <c r="M7228" s="189"/>
      <c r="N7228" s="189"/>
      <c r="O7228" s="189"/>
      <c r="P7228" s="189"/>
      <c r="R7228" s="189">
        <f>ROUNDDOWN(H7242,-2)</f>
        <v>900</v>
      </c>
      <c r="S7228" s="517" t="s">
        <v>6451</v>
      </c>
      <c r="T7228" s="517" t="s">
        <v>6524</v>
      </c>
    </row>
    <row r="7229" spans="3:20" s="517" customFormat="1" ht="31.2" customHeight="1" thickTop="1">
      <c r="C7229" s="190" t="s">
        <v>1195</v>
      </c>
      <c r="D7229" s="191" t="s">
        <v>1196</v>
      </c>
      <c r="E7229" s="191" t="s">
        <v>1197</v>
      </c>
      <c r="F7229" s="191" t="s">
        <v>1198</v>
      </c>
      <c r="G7229" s="191" t="s">
        <v>1199</v>
      </c>
      <c r="H7229" s="192" t="s">
        <v>1200</v>
      </c>
      <c r="L7229" s="200"/>
      <c r="M7229" s="200"/>
      <c r="N7229" s="200"/>
      <c r="O7229" s="200"/>
      <c r="P7229" s="200"/>
    </row>
    <row r="7230" spans="3:20" s="517" customFormat="1" ht="31.2" customHeight="1">
      <c r="C7230" s="518" t="s">
        <v>1201</v>
      </c>
      <c r="D7230" s="196" t="s">
        <v>1202</v>
      </c>
      <c r="E7230" s="197"/>
      <c r="F7230" s="197"/>
      <c r="G7230" s="197"/>
      <c r="H7230" s="198"/>
      <c r="L7230" s="200"/>
      <c r="M7230" s="200"/>
      <c r="N7230" s="200"/>
      <c r="O7230" s="200"/>
      <c r="P7230" s="200"/>
    </row>
    <row r="7231" spans="3:20" s="517" customFormat="1" ht="31.2" customHeight="1">
      <c r="C7231" s="518">
        <v>1</v>
      </c>
      <c r="D7231" s="196" t="s">
        <v>5</v>
      </c>
      <c r="E7231" s="203" t="s">
        <v>2102</v>
      </c>
      <c r="F7231" s="257">
        <v>5.1000000000000004E-4</v>
      </c>
      <c r="G7231" s="205">
        <f>VLOOKUP(D7231,upahbahan,3,FALSE)</f>
        <v>100000</v>
      </c>
      <c r="H7231" s="210">
        <f t="shared" ref="H7231:H7232" si="564">F7231*G7231</f>
        <v>51.000000000000007</v>
      </c>
      <c r="L7231" s="200"/>
      <c r="M7231" s="200"/>
      <c r="N7231" s="200"/>
      <c r="O7231" s="200"/>
      <c r="P7231" s="200"/>
    </row>
    <row r="7232" spans="3:20" s="517" customFormat="1" ht="31.2" customHeight="1">
      <c r="C7232" s="518">
        <v>2</v>
      </c>
      <c r="D7232" s="196" t="s">
        <v>19</v>
      </c>
      <c r="E7232" s="203" t="s">
        <v>2102</v>
      </c>
      <c r="F7232" s="786">
        <v>5.0000000000000002E-5</v>
      </c>
      <c r="G7232" s="205">
        <f>VLOOKUP(D7232,upahbahan,3,FALSE)</f>
        <v>160000</v>
      </c>
      <c r="H7232" s="210">
        <f t="shared" si="564"/>
        <v>8</v>
      </c>
      <c r="L7232" s="200"/>
      <c r="M7232" s="200"/>
      <c r="N7232" s="200"/>
      <c r="O7232" s="200"/>
      <c r="P7232" s="200"/>
    </row>
    <row r="7233" spans="3:20" s="517" customFormat="1" ht="31.2" customHeight="1">
      <c r="C7233" s="207" t="s">
        <v>1208</v>
      </c>
      <c r="D7233" s="208"/>
      <c r="E7233" s="208"/>
      <c r="F7233" s="521"/>
      <c r="G7233" s="522"/>
      <c r="H7233" s="210">
        <f>SUM(H7231:H7232)</f>
        <v>59.000000000000007</v>
      </c>
      <c r="L7233" s="523"/>
      <c r="M7233" s="523"/>
      <c r="N7233" s="523"/>
      <c r="O7233" s="523"/>
      <c r="P7233" s="523"/>
    </row>
    <row r="7234" spans="3:20" s="517" customFormat="1" ht="31.2" customHeight="1">
      <c r="C7234" s="543" t="s">
        <v>1209</v>
      </c>
      <c r="D7234" s="750" t="s">
        <v>1210</v>
      </c>
      <c r="E7234" s="197"/>
      <c r="F7234" s="751"/>
      <c r="G7234" s="197"/>
      <c r="H7234" s="752"/>
      <c r="L7234" s="200"/>
      <c r="M7234" s="200"/>
      <c r="N7234" s="200"/>
      <c r="O7234" s="200"/>
      <c r="P7234" s="200"/>
    </row>
    <row r="7235" spans="3:20" s="517" customFormat="1" ht="31.2" customHeight="1">
      <c r="C7235" s="543">
        <v>1</v>
      </c>
      <c r="D7235" s="750" t="s">
        <v>5649</v>
      </c>
      <c r="E7235" s="203" t="s">
        <v>529</v>
      </c>
      <c r="F7235" s="769">
        <v>10</v>
      </c>
      <c r="G7235" s="205">
        <f>VLOOKUP(D7235,upahbahan,3,FALSE)</f>
        <v>0</v>
      </c>
      <c r="H7235" s="210">
        <f>F7235*G7235</f>
        <v>0</v>
      </c>
      <c r="L7235" s="200"/>
      <c r="M7235" s="200"/>
      <c r="N7235" s="200"/>
      <c r="O7235" s="200"/>
      <c r="P7235" s="200"/>
    </row>
    <row r="7236" spans="3:20" s="517" customFormat="1" ht="31.2" customHeight="1">
      <c r="C7236" s="207" t="s">
        <v>1214</v>
      </c>
      <c r="D7236" s="208"/>
      <c r="E7236" s="568"/>
      <c r="F7236" s="208"/>
      <c r="G7236" s="209"/>
      <c r="H7236" s="210">
        <f>SUM(H7235:H7235)</f>
        <v>0</v>
      </c>
      <c r="L7236" s="200"/>
      <c r="M7236" s="200"/>
      <c r="N7236" s="200"/>
      <c r="O7236" s="200"/>
      <c r="P7236" s="200"/>
    </row>
    <row r="7237" spans="3:20" s="517" customFormat="1" ht="31.2" customHeight="1">
      <c r="C7237" s="195" t="s">
        <v>1215</v>
      </c>
      <c r="D7237" s="196" t="s">
        <v>1216</v>
      </c>
      <c r="E7237" s="203"/>
      <c r="F7237" s="197"/>
      <c r="G7237" s="197"/>
      <c r="H7237" s="198"/>
      <c r="L7237" s="200"/>
      <c r="M7237" s="200"/>
      <c r="N7237" s="200"/>
      <c r="O7237" s="200"/>
      <c r="P7237" s="200"/>
    </row>
    <row r="7238" spans="3:20" s="517" customFormat="1" ht="31.2" customHeight="1">
      <c r="C7238" s="543">
        <v>1</v>
      </c>
      <c r="D7238" s="750" t="s">
        <v>5663</v>
      </c>
      <c r="E7238" s="203" t="s">
        <v>529</v>
      </c>
      <c r="F7238" s="769">
        <v>5.0000000000000001E-4</v>
      </c>
      <c r="G7238" s="205">
        <f>VLOOKUP(D7238,upahbahan,3,FALSE)</f>
        <v>1550000</v>
      </c>
      <c r="H7238" s="210">
        <f>F7238*G7238</f>
        <v>775</v>
      </c>
      <c r="L7238" s="200"/>
      <c r="M7238" s="200"/>
      <c r="N7238" s="200"/>
      <c r="O7238" s="200"/>
      <c r="P7238" s="200"/>
    </row>
    <row r="7239" spans="3:20" s="517" customFormat="1" ht="31.2" customHeight="1">
      <c r="C7239" s="207" t="s">
        <v>1217</v>
      </c>
      <c r="D7239" s="208"/>
      <c r="E7239" s="208"/>
      <c r="F7239" s="208"/>
      <c r="G7239" s="209"/>
      <c r="H7239" s="770">
        <f>SUM(H7238)</f>
        <v>775</v>
      </c>
      <c r="L7239" s="200"/>
      <c r="M7239" s="200"/>
      <c r="N7239" s="200"/>
      <c r="O7239" s="200"/>
      <c r="P7239" s="200"/>
    </row>
    <row r="7240" spans="3:20" s="517" customFormat="1" ht="31.2" customHeight="1">
      <c r="C7240" s="223" t="s">
        <v>1218</v>
      </c>
      <c r="D7240" s="224" t="s">
        <v>1219</v>
      </c>
      <c r="E7240" s="225"/>
      <c r="F7240" s="225"/>
      <c r="G7240" s="226"/>
      <c r="H7240" s="210">
        <f>H7239+H7236+H7233</f>
        <v>834</v>
      </c>
      <c r="L7240" s="200"/>
      <c r="M7240" s="200"/>
      <c r="N7240" s="200"/>
      <c r="O7240" s="200"/>
      <c r="P7240" s="200"/>
    </row>
    <row r="7241" spans="3:20" s="517" customFormat="1" ht="31.2" customHeight="1">
      <c r="C7241" s="223" t="s">
        <v>1220</v>
      </c>
      <c r="D7241" s="224" t="s">
        <v>1321</v>
      </c>
      <c r="E7241" s="225"/>
      <c r="F7241" s="226"/>
      <c r="G7241" s="228">
        <v>0.1</v>
      </c>
      <c r="H7241" s="210">
        <f>H7240*G7241</f>
        <v>83.4</v>
      </c>
      <c r="L7241" s="200"/>
      <c r="M7241" s="200"/>
      <c r="N7241" s="200"/>
      <c r="O7241" s="200"/>
      <c r="P7241" s="200"/>
    </row>
    <row r="7242" spans="3:20" s="517" customFormat="1" ht="31.2" customHeight="1" thickBot="1">
      <c r="C7242" s="229" t="s">
        <v>1221</v>
      </c>
      <c r="D7242" s="230" t="s">
        <v>1222</v>
      </c>
      <c r="E7242" s="231"/>
      <c r="F7242" s="231"/>
      <c r="G7242" s="232"/>
      <c r="H7242" s="233">
        <f>SUM(H7240:H7241)</f>
        <v>917.4</v>
      </c>
      <c r="L7242" s="200"/>
      <c r="M7242" s="200"/>
      <c r="N7242" s="200"/>
      <c r="O7242" s="200"/>
      <c r="P7242" s="200"/>
    </row>
    <row r="7243" spans="3:20" ht="31.2" customHeight="1" thickTop="1">
      <c r="C7243" s="788" t="s">
        <v>5662</v>
      </c>
    </row>
    <row r="7244" spans="3:20" ht="31.2" customHeight="1"/>
    <row r="7245" spans="3:20" s="517" customFormat="1" ht="31.2" customHeight="1" thickBot="1">
      <c r="C7245" s="513" t="s">
        <v>5677</v>
      </c>
      <c r="D7245" s="748" t="s">
        <v>7634</v>
      </c>
      <c r="E7245" s="749"/>
      <c r="F7245" s="748"/>
      <c r="G7245" s="748"/>
      <c r="H7245" s="532"/>
      <c r="I7245" s="532"/>
      <c r="J7245" s="532"/>
      <c r="K7245" s="532"/>
      <c r="M7245" s="189"/>
      <c r="N7245" s="189"/>
      <c r="O7245" s="189"/>
      <c r="P7245" s="189"/>
      <c r="R7245" s="189">
        <f>ROUNDDOWN(H7259,-2)</f>
        <v>900</v>
      </c>
      <c r="S7245" s="517" t="s">
        <v>6451</v>
      </c>
      <c r="T7245" s="517" t="s">
        <v>6524</v>
      </c>
    </row>
    <row r="7246" spans="3:20" s="517" customFormat="1" ht="31.2" customHeight="1" thickTop="1">
      <c r="C7246" s="190" t="s">
        <v>1195</v>
      </c>
      <c r="D7246" s="191" t="s">
        <v>1196</v>
      </c>
      <c r="E7246" s="191" t="s">
        <v>1197</v>
      </c>
      <c r="F7246" s="191" t="s">
        <v>1198</v>
      </c>
      <c r="G7246" s="191" t="s">
        <v>1199</v>
      </c>
      <c r="H7246" s="192" t="s">
        <v>1200</v>
      </c>
      <c r="L7246" s="200"/>
      <c r="M7246" s="200"/>
      <c r="N7246" s="200"/>
      <c r="O7246" s="200"/>
      <c r="P7246" s="200"/>
    </row>
    <row r="7247" spans="3:20" s="517" customFormat="1" ht="31.2" customHeight="1">
      <c r="C7247" s="518" t="s">
        <v>1201</v>
      </c>
      <c r="D7247" s="196" t="s">
        <v>1202</v>
      </c>
      <c r="E7247" s="197"/>
      <c r="F7247" s="197"/>
      <c r="G7247" s="197"/>
      <c r="H7247" s="198"/>
      <c r="L7247" s="200"/>
      <c r="M7247" s="200"/>
      <c r="N7247" s="200"/>
      <c r="O7247" s="200"/>
      <c r="P7247" s="200"/>
    </row>
    <row r="7248" spans="3:20" s="517" customFormat="1" ht="31.2" customHeight="1">
      <c r="C7248" s="518">
        <v>1</v>
      </c>
      <c r="D7248" s="196" t="s">
        <v>5</v>
      </c>
      <c r="E7248" s="203" t="s">
        <v>2102</v>
      </c>
      <c r="F7248" s="257">
        <v>6.2E-4</v>
      </c>
      <c r="G7248" s="205">
        <f>VLOOKUP(D7248,upahbahan,3,FALSE)</f>
        <v>100000</v>
      </c>
      <c r="H7248" s="210">
        <f t="shared" ref="H7248:H7249" si="565">F7248*G7248</f>
        <v>62</v>
      </c>
      <c r="L7248" s="200"/>
      <c r="M7248" s="200"/>
      <c r="N7248" s="200"/>
      <c r="O7248" s="200"/>
      <c r="P7248" s="200"/>
    </row>
    <row r="7249" spans="3:20" s="517" customFormat="1" ht="31.2" customHeight="1">
      <c r="C7249" s="518">
        <v>2</v>
      </c>
      <c r="D7249" s="196" t="s">
        <v>19</v>
      </c>
      <c r="E7249" s="203" t="s">
        <v>2102</v>
      </c>
      <c r="F7249" s="786">
        <v>9.0000000000000006E-5</v>
      </c>
      <c r="G7249" s="205">
        <f>VLOOKUP(D7249,upahbahan,3,FALSE)</f>
        <v>160000</v>
      </c>
      <c r="H7249" s="210">
        <f t="shared" si="565"/>
        <v>14.4</v>
      </c>
      <c r="L7249" s="200"/>
      <c r="M7249" s="200"/>
      <c r="N7249" s="200"/>
      <c r="O7249" s="200"/>
      <c r="P7249" s="200"/>
    </row>
    <row r="7250" spans="3:20" s="517" customFormat="1" ht="31.2" customHeight="1">
      <c r="C7250" s="207" t="s">
        <v>1208</v>
      </c>
      <c r="D7250" s="208"/>
      <c r="E7250" s="208"/>
      <c r="F7250" s="521"/>
      <c r="G7250" s="522"/>
      <c r="H7250" s="210">
        <f>SUM(H7248:H7249)</f>
        <v>76.400000000000006</v>
      </c>
      <c r="L7250" s="523"/>
      <c r="M7250" s="523"/>
      <c r="N7250" s="523"/>
      <c r="O7250" s="523"/>
      <c r="P7250" s="523"/>
    </row>
    <row r="7251" spans="3:20" s="517" customFormat="1" ht="31.2" customHeight="1">
      <c r="C7251" s="543" t="s">
        <v>1209</v>
      </c>
      <c r="D7251" s="750" t="s">
        <v>1210</v>
      </c>
      <c r="E7251" s="197"/>
      <c r="F7251" s="751"/>
      <c r="G7251" s="197"/>
      <c r="H7251" s="752"/>
      <c r="L7251" s="200"/>
      <c r="M7251" s="200"/>
      <c r="N7251" s="200"/>
      <c r="O7251" s="200"/>
      <c r="P7251" s="200"/>
    </row>
    <row r="7252" spans="3:20" s="517" customFormat="1" ht="31.2" customHeight="1">
      <c r="C7252" s="543">
        <v>1</v>
      </c>
      <c r="D7252" s="750" t="s">
        <v>5649</v>
      </c>
      <c r="E7252" s="203" t="s">
        <v>529</v>
      </c>
      <c r="F7252" s="769">
        <v>10</v>
      </c>
      <c r="G7252" s="205">
        <f>VLOOKUP(D7252,upahbahan,3,FALSE)</f>
        <v>0</v>
      </c>
      <c r="H7252" s="210">
        <f>F7252*G7252</f>
        <v>0</v>
      </c>
      <c r="L7252" s="200"/>
      <c r="M7252" s="200"/>
      <c r="N7252" s="200"/>
      <c r="O7252" s="200"/>
      <c r="P7252" s="200"/>
    </row>
    <row r="7253" spans="3:20" s="517" customFormat="1" ht="31.2" customHeight="1">
      <c r="C7253" s="207" t="s">
        <v>1214</v>
      </c>
      <c r="D7253" s="208"/>
      <c r="E7253" s="568"/>
      <c r="F7253" s="208"/>
      <c r="G7253" s="209"/>
      <c r="H7253" s="210">
        <f>SUM(H7252:H7252)</f>
        <v>0</v>
      </c>
      <c r="L7253" s="200"/>
      <c r="M7253" s="200"/>
      <c r="N7253" s="200"/>
      <c r="O7253" s="200"/>
      <c r="P7253" s="200"/>
    </row>
    <row r="7254" spans="3:20" s="517" customFormat="1" ht="31.2" customHeight="1">
      <c r="C7254" s="195" t="s">
        <v>1215</v>
      </c>
      <c r="D7254" s="196" t="s">
        <v>1216</v>
      </c>
      <c r="E7254" s="203"/>
      <c r="F7254" s="197"/>
      <c r="G7254" s="197"/>
      <c r="H7254" s="198"/>
      <c r="L7254" s="200"/>
      <c r="M7254" s="200"/>
      <c r="N7254" s="200"/>
      <c r="O7254" s="200"/>
      <c r="P7254" s="200"/>
    </row>
    <row r="7255" spans="3:20" s="517" customFormat="1" ht="31.2" customHeight="1">
      <c r="C7255" s="543">
        <v>1</v>
      </c>
      <c r="D7255" s="750" t="s">
        <v>5663</v>
      </c>
      <c r="E7255" s="203" t="s">
        <v>529</v>
      </c>
      <c r="F7255" s="769">
        <v>5.0000000000000001E-4</v>
      </c>
      <c r="G7255" s="205">
        <f>VLOOKUP(D7255,upahbahan,3,FALSE)</f>
        <v>1550000</v>
      </c>
      <c r="H7255" s="210">
        <f>F7255*G7255</f>
        <v>775</v>
      </c>
      <c r="L7255" s="200"/>
      <c r="M7255" s="200"/>
      <c r="N7255" s="200"/>
      <c r="O7255" s="200"/>
      <c r="P7255" s="200"/>
    </row>
    <row r="7256" spans="3:20" s="517" customFormat="1" ht="31.2" customHeight="1">
      <c r="C7256" s="207" t="s">
        <v>1217</v>
      </c>
      <c r="D7256" s="208"/>
      <c r="E7256" s="208"/>
      <c r="F7256" s="208"/>
      <c r="G7256" s="209"/>
      <c r="H7256" s="770">
        <f>SUM(H7255)</f>
        <v>775</v>
      </c>
      <c r="L7256" s="200"/>
      <c r="M7256" s="200"/>
      <c r="N7256" s="200"/>
      <c r="O7256" s="200"/>
      <c r="P7256" s="200"/>
    </row>
    <row r="7257" spans="3:20" s="517" customFormat="1" ht="31.2" customHeight="1">
      <c r="C7257" s="223" t="s">
        <v>1218</v>
      </c>
      <c r="D7257" s="224" t="s">
        <v>1219</v>
      </c>
      <c r="E7257" s="225"/>
      <c r="F7257" s="225"/>
      <c r="G7257" s="226"/>
      <c r="H7257" s="210">
        <f>H7256+H7253+H7250</f>
        <v>851.4</v>
      </c>
      <c r="L7257" s="200"/>
      <c r="M7257" s="200"/>
      <c r="N7257" s="200"/>
      <c r="O7257" s="200"/>
      <c r="P7257" s="200"/>
    </row>
    <row r="7258" spans="3:20" s="517" customFormat="1" ht="31.2" customHeight="1">
      <c r="C7258" s="223" t="s">
        <v>1220</v>
      </c>
      <c r="D7258" s="224" t="s">
        <v>1321</v>
      </c>
      <c r="E7258" s="225"/>
      <c r="F7258" s="226"/>
      <c r="G7258" s="228">
        <v>0.1</v>
      </c>
      <c r="H7258" s="210">
        <f>H7257*G7258</f>
        <v>85.14</v>
      </c>
      <c r="L7258" s="200"/>
      <c r="M7258" s="200"/>
      <c r="N7258" s="200"/>
      <c r="O7258" s="200"/>
      <c r="P7258" s="200"/>
    </row>
    <row r="7259" spans="3:20" s="517" customFormat="1" ht="31.2" customHeight="1" thickBot="1">
      <c r="C7259" s="229" t="s">
        <v>1221</v>
      </c>
      <c r="D7259" s="230" t="s">
        <v>1222</v>
      </c>
      <c r="E7259" s="231"/>
      <c r="F7259" s="231"/>
      <c r="G7259" s="232"/>
      <c r="H7259" s="233">
        <f>SUM(H7257:H7258)</f>
        <v>936.54</v>
      </c>
      <c r="L7259" s="200"/>
      <c r="M7259" s="200"/>
      <c r="N7259" s="200"/>
      <c r="O7259" s="200"/>
      <c r="P7259" s="200"/>
    </row>
    <row r="7260" spans="3:20" ht="31.2" customHeight="1" thickTop="1">
      <c r="C7260" s="788" t="s">
        <v>5662</v>
      </c>
    </row>
    <row r="7261" spans="3:20" ht="31.2" customHeight="1"/>
    <row r="7262" spans="3:20" s="517" customFormat="1" ht="31.2" customHeight="1" thickBot="1">
      <c r="C7262" s="513" t="s">
        <v>5678</v>
      </c>
      <c r="D7262" s="748" t="s">
        <v>7635</v>
      </c>
      <c r="E7262" s="749"/>
      <c r="F7262" s="748"/>
      <c r="G7262" s="748"/>
      <c r="H7262" s="532"/>
      <c r="I7262" s="532"/>
      <c r="J7262" s="532"/>
      <c r="K7262" s="532"/>
      <c r="M7262" s="189"/>
      <c r="N7262" s="189"/>
      <c r="O7262" s="189"/>
      <c r="P7262" s="189"/>
      <c r="R7262" s="189">
        <f>ROUNDDOWN(H7276,-2)</f>
        <v>1000</v>
      </c>
      <c r="S7262" s="517" t="s">
        <v>6451</v>
      </c>
      <c r="T7262" s="517" t="s">
        <v>6524</v>
      </c>
    </row>
    <row r="7263" spans="3:20" s="517" customFormat="1" ht="31.2" customHeight="1" thickTop="1">
      <c r="C7263" s="190" t="s">
        <v>1195</v>
      </c>
      <c r="D7263" s="191" t="s">
        <v>1196</v>
      </c>
      <c r="E7263" s="191" t="s">
        <v>1197</v>
      </c>
      <c r="F7263" s="191" t="s">
        <v>1198</v>
      </c>
      <c r="G7263" s="191" t="s">
        <v>1199</v>
      </c>
      <c r="H7263" s="192" t="s">
        <v>1200</v>
      </c>
      <c r="L7263" s="200"/>
      <c r="M7263" s="200"/>
      <c r="N7263" s="200"/>
      <c r="O7263" s="200"/>
      <c r="P7263" s="200"/>
    </row>
    <row r="7264" spans="3:20" s="517" customFormat="1" ht="31.2" customHeight="1">
      <c r="C7264" s="518" t="s">
        <v>1201</v>
      </c>
      <c r="D7264" s="196" t="s">
        <v>1202</v>
      </c>
      <c r="E7264" s="197"/>
      <c r="F7264" s="197"/>
      <c r="G7264" s="197"/>
      <c r="H7264" s="198"/>
      <c r="L7264" s="200"/>
      <c r="M7264" s="200"/>
      <c r="N7264" s="200"/>
      <c r="O7264" s="200"/>
      <c r="P7264" s="200"/>
    </row>
    <row r="7265" spans="3:20" s="517" customFormat="1" ht="31.2" customHeight="1">
      <c r="C7265" s="518">
        <v>1</v>
      </c>
      <c r="D7265" s="196" t="s">
        <v>5</v>
      </c>
      <c r="E7265" s="203" t="s">
        <v>2102</v>
      </c>
      <c r="F7265" s="257">
        <v>1.1100000000000001E-3</v>
      </c>
      <c r="G7265" s="205">
        <f>VLOOKUP(D7265,upahbahan,3,FALSE)</f>
        <v>100000</v>
      </c>
      <c r="H7265" s="210">
        <f t="shared" ref="H7265:H7266" si="566">F7265*G7265</f>
        <v>111.00000000000001</v>
      </c>
      <c r="L7265" s="200"/>
      <c r="M7265" s="200"/>
      <c r="N7265" s="200"/>
      <c r="O7265" s="200"/>
      <c r="P7265" s="200"/>
    </row>
    <row r="7266" spans="3:20" s="517" customFormat="1" ht="31.2" customHeight="1">
      <c r="C7266" s="518">
        <v>2</v>
      </c>
      <c r="D7266" s="196" t="s">
        <v>19</v>
      </c>
      <c r="E7266" s="203" t="s">
        <v>2102</v>
      </c>
      <c r="F7266" s="786">
        <v>2.2000000000000001E-4</v>
      </c>
      <c r="G7266" s="205">
        <f>VLOOKUP(D7266,upahbahan,3,FALSE)</f>
        <v>160000</v>
      </c>
      <c r="H7266" s="210">
        <f t="shared" si="566"/>
        <v>35.200000000000003</v>
      </c>
      <c r="L7266" s="200"/>
      <c r="M7266" s="200"/>
      <c r="N7266" s="200"/>
      <c r="O7266" s="200"/>
      <c r="P7266" s="200"/>
    </row>
    <row r="7267" spans="3:20" s="517" customFormat="1" ht="31.2" customHeight="1">
      <c r="C7267" s="207" t="s">
        <v>1208</v>
      </c>
      <c r="D7267" s="208"/>
      <c r="E7267" s="208"/>
      <c r="F7267" s="521"/>
      <c r="G7267" s="522"/>
      <c r="H7267" s="210">
        <f>SUM(H7265:H7266)</f>
        <v>146.20000000000002</v>
      </c>
      <c r="L7267" s="523"/>
      <c r="M7267" s="523"/>
      <c r="N7267" s="523"/>
      <c r="O7267" s="523"/>
      <c r="P7267" s="523"/>
    </row>
    <row r="7268" spans="3:20" s="517" customFormat="1" ht="31.2" customHeight="1">
      <c r="C7268" s="543" t="s">
        <v>1209</v>
      </c>
      <c r="D7268" s="750" t="s">
        <v>1210</v>
      </c>
      <c r="E7268" s="197"/>
      <c r="F7268" s="751"/>
      <c r="G7268" s="197"/>
      <c r="H7268" s="752"/>
      <c r="L7268" s="200"/>
      <c r="M7268" s="200"/>
      <c r="N7268" s="200"/>
      <c r="O7268" s="200"/>
      <c r="P7268" s="200"/>
    </row>
    <row r="7269" spans="3:20" s="517" customFormat="1" ht="31.2" customHeight="1">
      <c r="C7269" s="543">
        <v>1</v>
      </c>
      <c r="D7269" s="750" t="s">
        <v>5649</v>
      </c>
      <c r="E7269" s="203" t="s">
        <v>529</v>
      </c>
      <c r="F7269" s="769">
        <v>10</v>
      </c>
      <c r="G7269" s="205">
        <f>VLOOKUP(D7269,upahbahan,3,FALSE)</f>
        <v>0</v>
      </c>
      <c r="H7269" s="210">
        <f>F7269*G7269</f>
        <v>0</v>
      </c>
      <c r="L7269" s="200"/>
      <c r="M7269" s="200"/>
      <c r="N7269" s="200"/>
      <c r="O7269" s="200"/>
      <c r="P7269" s="200"/>
    </row>
    <row r="7270" spans="3:20" s="517" customFormat="1" ht="31.2" customHeight="1">
      <c r="C7270" s="207" t="s">
        <v>1214</v>
      </c>
      <c r="D7270" s="208"/>
      <c r="E7270" s="568"/>
      <c r="F7270" s="208"/>
      <c r="G7270" s="209"/>
      <c r="H7270" s="210">
        <f>SUM(H7269:H7269)</f>
        <v>0</v>
      </c>
      <c r="L7270" s="200"/>
      <c r="M7270" s="200"/>
      <c r="N7270" s="200"/>
      <c r="O7270" s="200"/>
      <c r="P7270" s="200"/>
    </row>
    <row r="7271" spans="3:20" s="517" customFormat="1" ht="31.2" customHeight="1">
      <c r="C7271" s="195" t="s">
        <v>1215</v>
      </c>
      <c r="D7271" s="196" t="s">
        <v>1216</v>
      </c>
      <c r="E7271" s="203"/>
      <c r="F7271" s="197"/>
      <c r="G7271" s="197"/>
      <c r="H7271" s="198"/>
      <c r="L7271" s="200"/>
      <c r="M7271" s="200"/>
      <c r="N7271" s="200"/>
      <c r="O7271" s="200"/>
      <c r="P7271" s="200"/>
    </row>
    <row r="7272" spans="3:20" s="517" customFormat="1" ht="31.2" customHeight="1">
      <c r="C7272" s="543">
        <v>1</v>
      </c>
      <c r="D7272" s="750" t="s">
        <v>5663</v>
      </c>
      <c r="E7272" s="203" t="s">
        <v>529</v>
      </c>
      <c r="F7272" s="769">
        <v>5.0000000000000001E-4</v>
      </c>
      <c r="G7272" s="205">
        <f>VLOOKUP(D7272,upahbahan,3,FALSE)</f>
        <v>1550000</v>
      </c>
      <c r="H7272" s="210">
        <f>F7272*G7272</f>
        <v>775</v>
      </c>
      <c r="L7272" s="200"/>
      <c r="M7272" s="200"/>
      <c r="N7272" s="200"/>
      <c r="O7272" s="200"/>
      <c r="P7272" s="200"/>
    </row>
    <row r="7273" spans="3:20" s="517" customFormat="1" ht="31.2" customHeight="1">
      <c r="C7273" s="207" t="s">
        <v>1217</v>
      </c>
      <c r="D7273" s="208"/>
      <c r="E7273" s="208"/>
      <c r="F7273" s="208"/>
      <c r="G7273" s="209"/>
      <c r="H7273" s="770">
        <f>SUM(H7272)</f>
        <v>775</v>
      </c>
      <c r="L7273" s="200"/>
      <c r="M7273" s="200"/>
      <c r="N7273" s="200"/>
      <c r="O7273" s="200"/>
      <c r="P7273" s="200"/>
    </row>
    <row r="7274" spans="3:20" s="517" customFormat="1" ht="31.2" customHeight="1">
      <c r="C7274" s="223" t="s">
        <v>1218</v>
      </c>
      <c r="D7274" s="224" t="s">
        <v>1219</v>
      </c>
      <c r="E7274" s="225"/>
      <c r="F7274" s="225"/>
      <c r="G7274" s="226"/>
      <c r="H7274" s="210">
        <f>H7273+H7270+H7267</f>
        <v>921.2</v>
      </c>
      <c r="L7274" s="200"/>
      <c r="M7274" s="200"/>
      <c r="N7274" s="200"/>
      <c r="O7274" s="200"/>
      <c r="P7274" s="200"/>
    </row>
    <row r="7275" spans="3:20" s="517" customFormat="1" ht="31.2" customHeight="1">
      <c r="C7275" s="223" t="s">
        <v>1220</v>
      </c>
      <c r="D7275" s="224" t="s">
        <v>1321</v>
      </c>
      <c r="E7275" s="225"/>
      <c r="F7275" s="226"/>
      <c r="G7275" s="228">
        <v>0.1</v>
      </c>
      <c r="H7275" s="210">
        <f>H7274*G7275</f>
        <v>92.12</v>
      </c>
      <c r="L7275" s="200"/>
      <c r="M7275" s="200"/>
      <c r="N7275" s="200"/>
      <c r="O7275" s="200"/>
      <c r="P7275" s="200"/>
    </row>
    <row r="7276" spans="3:20" s="517" customFormat="1" ht="31.2" customHeight="1" thickBot="1">
      <c r="C7276" s="229" t="s">
        <v>1221</v>
      </c>
      <c r="D7276" s="230" t="s">
        <v>1222</v>
      </c>
      <c r="E7276" s="231"/>
      <c r="F7276" s="231"/>
      <c r="G7276" s="232"/>
      <c r="H7276" s="233">
        <f>SUM(H7274:H7275)</f>
        <v>1013.32</v>
      </c>
      <c r="L7276" s="200"/>
      <c r="M7276" s="200"/>
      <c r="N7276" s="200"/>
      <c r="O7276" s="200"/>
      <c r="P7276" s="200"/>
    </row>
    <row r="7277" spans="3:20" ht="31.2" customHeight="1" thickTop="1">
      <c r="C7277" s="788" t="s">
        <v>5662</v>
      </c>
    </row>
    <row r="7278" spans="3:20" ht="31.2" customHeight="1"/>
    <row r="7279" spans="3:20" s="517" customFormat="1" ht="31.2" customHeight="1" thickBot="1">
      <c r="C7279" s="513" t="s">
        <v>5679</v>
      </c>
      <c r="D7279" s="748" t="s">
        <v>7636</v>
      </c>
      <c r="E7279" s="749"/>
      <c r="F7279" s="748"/>
      <c r="G7279" s="748"/>
      <c r="H7279" s="532"/>
      <c r="I7279" s="532"/>
      <c r="J7279" s="532"/>
      <c r="K7279" s="532"/>
      <c r="M7279" s="189"/>
      <c r="N7279" s="189"/>
      <c r="O7279" s="189"/>
      <c r="P7279" s="189"/>
      <c r="R7279" s="189">
        <f>ROUNDDOWN(H7292,-2)</f>
        <v>0</v>
      </c>
      <c r="S7279" s="517" t="s">
        <v>6451</v>
      </c>
      <c r="T7279" s="517" t="s">
        <v>7637</v>
      </c>
    </row>
    <row r="7280" spans="3:20" s="517" customFormat="1" ht="31.2" customHeight="1" thickTop="1">
      <c r="C7280" s="190" t="s">
        <v>1195</v>
      </c>
      <c r="D7280" s="191" t="s">
        <v>1196</v>
      </c>
      <c r="E7280" s="191" t="s">
        <v>1197</v>
      </c>
      <c r="F7280" s="191" t="s">
        <v>1198</v>
      </c>
      <c r="G7280" s="191" t="s">
        <v>1199</v>
      </c>
      <c r="H7280" s="192" t="s">
        <v>1200</v>
      </c>
      <c r="L7280" s="200"/>
      <c r="M7280" s="200"/>
      <c r="N7280" s="200"/>
      <c r="O7280" s="200"/>
      <c r="P7280" s="200"/>
    </row>
    <row r="7281" spans="3:20" s="517" customFormat="1" ht="31.2" customHeight="1">
      <c r="C7281" s="518" t="s">
        <v>1201</v>
      </c>
      <c r="D7281" s="196" t="s">
        <v>1202</v>
      </c>
      <c r="E7281" s="197"/>
      <c r="F7281" s="197"/>
      <c r="G7281" s="197"/>
      <c r="H7281" s="198"/>
      <c r="L7281" s="200"/>
      <c r="M7281" s="200"/>
      <c r="N7281" s="200"/>
      <c r="O7281" s="200"/>
      <c r="P7281" s="200"/>
    </row>
    <row r="7282" spans="3:20" s="517" customFormat="1" ht="31.2" customHeight="1">
      <c r="C7282" s="518">
        <v>1</v>
      </c>
      <c r="D7282" s="196" t="s">
        <v>5</v>
      </c>
      <c r="E7282" s="203" t="s">
        <v>2102</v>
      </c>
      <c r="F7282" s="257">
        <v>5.1000000000000004E-4</v>
      </c>
      <c r="G7282" s="205">
        <f>VLOOKUP(D7282,upahbahan,3,FALSE)</f>
        <v>100000</v>
      </c>
      <c r="H7282" s="210">
        <f t="shared" ref="H7282:H7283" si="567">F7282*G7282</f>
        <v>51.000000000000007</v>
      </c>
      <c r="L7282" s="200"/>
      <c r="M7282" s="200"/>
      <c r="N7282" s="200"/>
      <c r="O7282" s="200"/>
      <c r="P7282" s="200"/>
    </row>
    <row r="7283" spans="3:20" s="517" customFormat="1" ht="31.2" customHeight="1">
      <c r="C7283" s="518">
        <v>2</v>
      </c>
      <c r="D7283" s="196" t="s">
        <v>19</v>
      </c>
      <c r="E7283" s="203" t="s">
        <v>2102</v>
      </c>
      <c r="F7283" s="786">
        <v>5.0000000000000002E-5</v>
      </c>
      <c r="G7283" s="205">
        <f>VLOOKUP(D7283,upahbahan,3,FALSE)</f>
        <v>160000</v>
      </c>
      <c r="H7283" s="210">
        <f t="shared" si="567"/>
        <v>8</v>
      </c>
      <c r="L7283" s="200"/>
      <c r="M7283" s="200"/>
      <c r="N7283" s="200"/>
      <c r="O7283" s="200"/>
      <c r="P7283" s="200"/>
    </row>
    <row r="7284" spans="3:20" s="517" customFormat="1" ht="31.2" customHeight="1">
      <c r="C7284" s="207" t="s">
        <v>1208</v>
      </c>
      <c r="D7284" s="208"/>
      <c r="E7284" s="208"/>
      <c r="F7284" s="521"/>
      <c r="G7284" s="522"/>
      <c r="H7284" s="210">
        <f>SUM(H7282:H7283)</f>
        <v>59.000000000000007</v>
      </c>
      <c r="L7284" s="523"/>
      <c r="M7284" s="523"/>
      <c r="N7284" s="523"/>
      <c r="O7284" s="523"/>
      <c r="P7284" s="523"/>
    </row>
    <row r="7285" spans="3:20" s="517" customFormat="1" ht="31.2" customHeight="1">
      <c r="C7285" s="543" t="s">
        <v>1209</v>
      </c>
      <c r="D7285" s="750" t="s">
        <v>1210</v>
      </c>
      <c r="E7285" s="197"/>
      <c r="F7285" s="751"/>
      <c r="G7285" s="197"/>
      <c r="H7285" s="752"/>
      <c r="L7285" s="200"/>
      <c r="M7285" s="200"/>
      <c r="N7285" s="200"/>
      <c r="O7285" s="200"/>
      <c r="P7285" s="200"/>
    </row>
    <row r="7286" spans="3:20" s="517" customFormat="1" ht="31.2" customHeight="1">
      <c r="C7286" s="543">
        <v>1</v>
      </c>
      <c r="D7286" s="750" t="s">
        <v>5649</v>
      </c>
      <c r="E7286" s="203" t="s">
        <v>529</v>
      </c>
      <c r="F7286" s="769">
        <v>10</v>
      </c>
      <c r="G7286" s="205">
        <f>VLOOKUP(D7286,upahbahan,3,FALSE)</f>
        <v>0</v>
      </c>
      <c r="H7286" s="210">
        <f>F7286*G7286</f>
        <v>0</v>
      </c>
      <c r="L7286" s="200"/>
      <c r="M7286" s="200"/>
      <c r="N7286" s="200"/>
      <c r="O7286" s="200"/>
      <c r="P7286" s="200"/>
    </row>
    <row r="7287" spans="3:20" s="517" customFormat="1" ht="31.2" customHeight="1">
      <c r="C7287" s="207" t="s">
        <v>1214</v>
      </c>
      <c r="D7287" s="208"/>
      <c r="E7287" s="568"/>
      <c r="F7287" s="208"/>
      <c r="G7287" s="209"/>
      <c r="H7287" s="210">
        <f>SUM(H7286:H7286)</f>
        <v>0</v>
      </c>
      <c r="L7287" s="200"/>
      <c r="M7287" s="200"/>
      <c r="N7287" s="200"/>
      <c r="O7287" s="200"/>
      <c r="P7287" s="200"/>
    </row>
    <row r="7288" spans="3:20" s="517" customFormat="1" ht="31.2" customHeight="1">
      <c r="C7288" s="195" t="s">
        <v>1215</v>
      </c>
      <c r="D7288" s="196" t="s">
        <v>1216</v>
      </c>
      <c r="E7288" s="203"/>
      <c r="F7288" s="197"/>
      <c r="G7288" s="197"/>
      <c r="H7288" s="198"/>
      <c r="L7288" s="200"/>
      <c r="M7288" s="200"/>
      <c r="N7288" s="200"/>
      <c r="O7288" s="200"/>
      <c r="P7288" s="200"/>
    </row>
    <row r="7289" spans="3:20" s="517" customFormat="1" ht="31.2" customHeight="1">
      <c r="C7289" s="207" t="s">
        <v>1217</v>
      </c>
      <c r="D7289" s="208"/>
      <c r="E7289" s="208"/>
      <c r="F7289" s="208"/>
      <c r="G7289" s="209"/>
      <c r="H7289" s="770">
        <f>SUM(H7288)</f>
        <v>0</v>
      </c>
      <c r="L7289" s="200"/>
      <c r="M7289" s="200"/>
      <c r="N7289" s="200"/>
      <c r="O7289" s="200"/>
      <c r="P7289" s="200"/>
    </row>
    <row r="7290" spans="3:20" s="517" customFormat="1" ht="31.2" customHeight="1">
      <c r="C7290" s="223" t="s">
        <v>1218</v>
      </c>
      <c r="D7290" s="224" t="s">
        <v>1219</v>
      </c>
      <c r="E7290" s="225"/>
      <c r="F7290" s="225"/>
      <c r="G7290" s="226"/>
      <c r="H7290" s="210">
        <f>H7289+H7287+H7284</f>
        <v>59.000000000000007</v>
      </c>
      <c r="L7290" s="200"/>
      <c r="M7290" s="200"/>
      <c r="N7290" s="200"/>
      <c r="O7290" s="200"/>
      <c r="P7290" s="200"/>
    </row>
    <row r="7291" spans="3:20" s="517" customFormat="1" ht="31.2" customHeight="1">
      <c r="C7291" s="223" t="s">
        <v>1220</v>
      </c>
      <c r="D7291" s="224" t="s">
        <v>1321</v>
      </c>
      <c r="E7291" s="225"/>
      <c r="F7291" s="226"/>
      <c r="G7291" s="228">
        <v>0.1</v>
      </c>
      <c r="H7291" s="210">
        <f>H7290*G7291</f>
        <v>5.9000000000000012</v>
      </c>
      <c r="L7291" s="200"/>
      <c r="M7291" s="200"/>
      <c r="N7291" s="200"/>
      <c r="O7291" s="200"/>
      <c r="P7291" s="200"/>
    </row>
    <row r="7292" spans="3:20" s="517" customFormat="1" ht="31.2" customHeight="1" thickBot="1">
      <c r="C7292" s="229" t="s">
        <v>1221</v>
      </c>
      <c r="D7292" s="230" t="s">
        <v>1222</v>
      </c>
      <c r="E7292" s="231"/>
      <c r="F7292" s="231"/>
      <c r="G7292" s="232"/>
      <c r="H7292" s="233">
        <f>SUM(H7290:H7291)</f>
        <v>64.900000000000006</v>
      </c>
      <c r="L7292" s="200"/>
      <c r="M7292" s="200"/>
      <c r="N7292" s="200"/>
      <c r="O7292" s="200"/>
      <c r="P7292" s="200"/>
    </row>
    <row r="7293" spans="3:20" ht="31.2" customHeight="1" thickTop="1">
      <c r="C7293" s="788" t="s">
        <v>5662</v>
      </c>
    </row>
    <row r="7294" spans="3:20" ht="31.2" customHeight="1"/>
    <row r="7295" spans="3:20" s="517" customFormat="1" ht="31.2" customHeight="1" thickBot="1">
      <c r="C7295" s="513" t="s">
        <v>5680</v>
      </c>
      <c r="D7295" s="748" t="s">
        <v>7638</v>
      </c>
      <c r="E7295" s="749"/>
      <c r="F7295" s="748"/>
      <c r="G7295" s="748"/>
      <c r="H7295" s="532"/>
      <c r="I7295" s="532"/>
      <c r="J7295" s="532"/>
      <c r="K7295" s="532"/>
      <c r="M7295" s="189"/>
      <c r="N7295" s="189"/>
      <c r="O7295" s="189"/>
      <c r="P7295" s="189"/>
      <c r="R7295" s="189">
        <f>ROUNDDOWN(H7308,-2)</f>
        <v>0</v>
      </c>
      <c r="S7295" s="517" t="s">
        <v>6451</v>
      </c>
      <c r="T7295" s="517" t="s">
        <v>7639</v>
      </c>
    </row>
    <row r="7296" spans="3:20" s="517" customFormat="1" ht="31.2" customHeight="1" thickTop="1">
      <c r="C7296" s="190" t="s">
        <v>1195</v>
      </c>
      <c r="D7296" s="191" t="s">
        <v>1196</v>
      </c>
      <c r="E7296" s="191" t="s">
        <v>1197</v>
      </c>
      <c r="F7296" s="191" t="s">
        <v>1198</v>
      </c>
      <c r="G7296" s="191" t="s">
        <v>1199</v>
      </c>
      <c r="H7296" s="192" t="s">
        <v>1200</v>
      </c>
      <c r="L7296" s="200"/>
      <c r="M7296" s="200"/>
      <c r="N7296" s="200"/>
      <c r="O7296" s="200"/>
      <c r="P7296" s="200"/>
    </row>
    <row r="7297" spans="3:20" s="517" customFormat="1" ht="31.2" customHeight="1">
      <c r="C7297" s="518" t="s">
        <v>1201</v>
      </c>
      <c r="D7297" s="196" t="s">
        <v>1202</v>
      </c>
      <c r="E7297" s="197"/>
      <c r="F7297" s="197"/>
      <c r="G7297" s="197"/>
      <c r="H7297" s="198"/>
      <c r="L7297" s="200"/>
      <c r="M7297" s="200"/>
      <c r="N7297" s="200"/>
      <c r="O7297" s="200"/>
      <c r="P7297" s="200"/>
    </row>
    <row r="7298" spans="3:20" s="517" customFormat="1" ht="31.2" customHeight="1">
      <c r="C7298" s="518">
        <v>1</v>
      </c>
      <c r="D7298" s="196" t="s">
        <v>5</v>
      </c>
      <c r="E7298" s="203" t="s">
        <v>2102</v>
      </c>
      <c r="F7298" s="257">
        <v>6.2E-4</v>
      </c>
      <c r="G7298" s="205">
        <f>VLOOKUP(D7298,upahbahan,3,FALSE)</f>
        <v>100000</v>
      </c>
      <c r="H7298" s="210">
        <f t="shared" ref="H7298:H7299" si="568">F7298*G7298</f>
        <v>62</v>
      </c>
      <c r="L7298" s="200"/>
      <c r="M7298" s="200"/>
      <c r="N7298" s="200"/>
      <c r="O7298" s="200"/>
      <c r="P7298" s="200"/>
    </row>
    <row r="7299" spans="3:20" s="517" customFormat="1" ht="31.2" customHeight="1">
      <c r="C7299" s="518">
        <v>2</v>
      </c>
      <c r="D7299" s="196" t="s">
        <v>19</v>
      </c>
      <c r="E7299" s="203" t="s">
        <v>2102</v>
      </c>
      <c r="F7299" s="786">
        <v>9.0000000000000006E-5</v>
      </c>
      <c r="G7299" s="205">
        <f>VLOOKUP(D7299,upahbahan,3,FALSE)</f>
        <v>160000</v>
      </c>
      <c r="H7299" s="210">
        <f t="shared" si="568"/>
        <v>14.4</v>
      </c>
      <c r="L7299" s="200"/>
      <c r="M7299" s="200"/>
      <c r="N7299" s="200"/>
      <c r="O7299" s="200"/>
      <c r="P7299" s="200"/>
    </row>
    <row r="7300" spans="3:20" s="517" customFormat="1" ht="31.2" customHeight="1">
      <c r="C7300" s="207" t="s">
        <v>1208</v>
      </c>
      <c r="D7300" s="208"/>
      <c r="E7300" s="208"/>
      <c r="F7300" s="521"/>
      <c r="G7300" s="522"/>
      <c r="H7300" s="210">
        <f>SUM(H7298:H7299)</f>
        <v>76.400000000000006</v>
      </c>
      <c r="L7300" s="523"/>
      <c r="M7300" s="523"/>
      <c r="N7300" s="523"/>
      <c r="O7300" s="523"/>
      <c r="P7300" s="523"/>
    </row>
    <row r="7301" spans="3:20" s="517" customFormat="1" ht="31.2" customHeight="1">
      <c r="C7301" s="543" t="s">
        <v>1209</v>
      </c>
      <c r="D7301" s="750" t="s">
        <v>1210</v>
      </c>
      <c r="E7301" s="197"/>
      <c r="F7301" s="751"/>
      <c r="G7301" s="197"/>
      <c r="H7301" s="752"/>
      <c r="L7301" s="200"/>
      <c r="M7301" s="200"/>
      <c r="N7301" s="200"/>
      <c r="O7301" s="200"/>
      <c r="P7301" s="200"/>
    </row>
    <row r="7302" spans="3:20" s="517" customFormat="1" ht="31.2" customHeight="1">
      <c r="C7302" s="543">
        <v>1</v>
      </c>
      <c r="D7302" s="750" t="s">
        <v>5649</v>
      </c>
      <c r="E7302" s="203" t="s">
        <v>529</v>
      </c>
      <c r="F7302" s="769">
        <v>10</v>
      </c>
      <c r="G7302" s="205">
        <f>VLOOKUP(D7302,upahbahan,3,FALSE)</f>
        <v>0</v>
      </c>
      <c r="H7302" s="210">
        <f>F7302*G7302</f>
        <v>0</v>
      </c>
      <c r="L7302" s="200"/>
      <c r="M7302" s="200"/>
      <c r="N7302" s="200"/>
      <c r="O7302" s="200"/>
      <c r="P7302" s="200"/>
    </row>
    <row r="7303" spans="3:20" s="517" customFormat="1" ht="31.2" customHeight="1">
      <c r="C7303" s="207" t="s">
        <v>1214</v>
      </c>
      <c r="D7303" s="208"/>
      <c r="E7303" s="568"/>
      <c r="F7303" s="208"/>
      <c r="G7303" s="209"/>
      <c r="H7303" s="210">
        <f>SUM(H7302:H7302)</f>
        <v>0</v>
      </c>
      <c r="L7303" s="200"/>
      <c r="M7303" s="200"/>
      <c r="N7303" s="200"/>
      <c r="O7303" s="200"/>
      <c r="P7303" s="200"/>
    </row>
    <row r="7304" spans="3:20" s="517" customFormat="1" ht="31.2" customHeight="1">
      <c r="C7304" s="195" t="s">
        <v>1215</v>
      </c>
      <c r="D7304" s="196" t="s">
        <v>1216</v>
      </c>
      <c r="E7304" s="203"/>
      <c r="F7304" s="197"/>
      <c r="G7304" s="197"/>
      <c r="H7304" s="198"/>
      <c r="L7304" s="200"/>
      <c r="M7304" s="200"/>
      <c r="N7304" s="200"/>
      <c r="O7304" s="200"/>
      <c r="P7304" s="200"/>
    </row>
    <row r="7305" spans="3:20" s="517" customFormat="1" ht="31.2" customHeight="1">
      <c r="C7305" s="207" t="s">
        <v>1217</v>
      </c>
      <c r="D7305" s="208"/>
      <c r="E7305" s="208"/>
      <c r="F7305" s="208"/>
      <c r="G7305" s="209"/>
      <c r="H7305" s="770">
        <f>SUM(H7304)</f>
        <v>0</v>
      </c>
      <c r="L7305" s="200"/>
      <c r="M7305" s="200"/>
      <c r="N7305" s="200"/>
      <c r="O7305" s="200"/>
      <c r="P7305" s="200"/>
    </row>
    <row r="7306" spans="3:20" s="517" customFormat="1" ht="31.2" customHeight="1">
      <c r="C7306" s="223" t="s">
        <v>1218</v>
      </c>
      <c r="D7306" s="224" t="s">
        <v>1219</v>
      </c>
      <c r="E7306" s="225"/>
      <c r="F7306" s="225"/>
      <c r="G7306" s="226"/>
      <c r="H7306" s="210">
        <f>H7305+H7303+H7300</f>
        <v>76.400000000000006</v>
      </c>
      <c r="L7306" s="200"/>
      <c r="M7306" s="200"/>
      <c r="N7306" s="200"/>
      <c r="O7306" s="200"/>
      <c r="P7306" s="200"/>
    </row>
    <row r="7307" spans="3:20" s="517" customFormat="1" ht="31.2" customHeight="1">
      <c r="C7307" s="223" t="s">
        <v>1220</v>
      </c>
      <c r="D7307" s="224" t="s">
        <v>1321</v>
      </c>
      <c r="E7307" s="225"/>
      <c r="F7307" s="226"/>
      <c r="G7307" s="228">
        <v>0.1</v>
      </c>
      <c r="H7307" s="210">
        <f>H7306*G7307</f>
        <v>7.6400000000000006</v>
      </c>
      <c r="L7307" s="200"/>
      <c r="M7307" s="200"/>
      <c r="N7307" s="200"/>
      <c r="O7307" s="200"/>
      <c r="P7307" s="200"/>
    </row>
    <row r="7308" spans="3:20" s="517" customFormat="1" ht="31.2" customHeight="1" thickBot="1">
      <c r="C7308" s="229" t="s">
        <v>1221</v>
      </c>
      <c r="D7308" s="230" t="s">
        <v>1222</v>
      </c>
      <c r="E7308" s="231"/>
      <c r="F7308" s="231"/>
      <c r="G7308" s="232"/>
      <c r="H7308" s="233">
        <f>SUM(H7306:H7307)</f>
        <v>84.04</v>
      </c>
      <c r="L7308" s="200"/>
      <c r="M7308" s="200"/>
      <c r="N7308" s="200"/>
      <c r="O7308" s="200"/>
      <c r="P7308" s="200"/>
    </row>
    <row r="7309" spans="3:20" ht="31.2" customHeight="1" thickTop="1">
      <c r="C7309" s="788" t="s">
        <v>5662</v>
      </c>
    </row>
    <row r="7310" spans="3:20" ht="31.2" customHeight="1"/>
    <row r="7311" spans="3:20" s="517" customFormat="1" ht="31.2" customHeight="1" thickBot="1">
      <c r="C7311" s="513" t="s">
        <v>5681</v>
      </c>
      <c r="D7311" s="748" t="s">
        <v>7640</v>
      </c>
      <c r="E7311" s="749"/>
      <c r="F7311" s="748"/>
      <c r="G7311" s="748"/>
      <c r="H7311" s="532"/>
      <c r="I7311" s="532"/>
      <c r="J7311" s="532"/>
      <c r="K7311" s="532"/>
      <c r="M7311" s="189"/>
      <c r="N7311" s="189"/>
      <c r="O7311" s="189"/>
      <c r="P7311" s="189"/>
      <c r="R7311" s="189">
        <f>ROUNDDOWN(H7324,-2)</f>
        <v>100</v>
      </c>
      <c r="S7311" s="517" t="s">
        <v>6451</v>
      </c>
      <c r="T7311" s="517" t="s">
        <v>7641</v>
      </c>
    </row>
    <row r="7312" spans="3:20" s="517" customFormat="1" ht="31.2" customHeight="1" thickTop="1">
      <c r="C7312" s="190" t="s">
        <v>1195</v>
      </c>
      <c r="D7312" s="191" t="s">
        <v>1196</v>
      </c>
      <c r="E7312" s="191" t="s">
        <v>1197</v>
      </c>
      <c r="F7312" s="191" t="s">
        <v>1198</v>
      </c>
      <c r="G7312" s="191" t="s">
        <v>1199</v>
      </c>
      <c r="H7312" s="192" t="s">
        <v>1200</v>
      </c>
      <c r="L7312" s="200"/>
      <c r="M7312" s="200"/>
      <c r="N7312" s="200"/>
      <c r="O7312" s="200"/>
      <c r="P7312" s="200"/>
    </row>
    <row r="7313" spans="3:16" s="517" customFormat="1" ht="31.2" customHeight="1">
      <c r="C7313" s="518" t="s">
        <v>1201</v>
      </c>
      <c r="D7313" s="196" t="s">
        <v>1202</v>
      </c>
      <c r="E7313" s="197"/>
      <c r="F7313" s="197"/>
      <c r="G7313" s="197"/>
      <c r="H7313" s="198"/>
      <c r="L7313" s="200"/>
      <c r="M7313" s="200"/>
      <c r="N7313" s="200"/>
      <c r="O7313" s="200"/>
      <c r="P7313" s="200"/>
    </row>
    <row r="7314" spans="3:16" s="517" customFormat="1" ht="31.2" customHeight="1">
      <c r="C7314" s="518">
        <v>1</v>
      </c>
      <c r="D7314" s="196" t="s">
        <v>5</v>
      </c>
      <c r="E7314" s="203" t="s">
        <v>2102</v>
      </c>
      <c r="F7314" s="257">
        <v>1.1100000000000001E-3</v>
      </c>
      <c r="G7314" s="205">
        <f>VLOOKUP(D7314,upahbahan,3,FALSE)</f>
        <v>100000</v>
      </c>
      <c r="H7314" s="210">
        <f t="shared" ref="H7314:H7315" si="569">F7314*G7314</f>
        <v>111.00000000000001</v>
      </c>
      <c r="L7314" s="200"/>
      <c r="M7314" s="200"/>
      <c r="N7314" s="200"/>
      <c r="O7314" s="200"/>
      <c r="P7314" s="200"/>
    </row>
    <row r="7315" spans="3:16" s="517" customFormat="1" ht="31.2" customHeight="1">
      <c r="C7315" s="518">
        <v>2</v>
      </c>
      <c r="D7315" s="196" t="s">
        <v>19</v>
      </c>
      <c r="E7315" s="203" t="s">
        <v>2102</v>
      </c>
      <c r="F7315" s="786">
        <v>2.2000000000000001E-4</v>
      </c>
      <c r="G7315" s="205">
        <f>VLOOKUP(D7315,upahbahan,3,FALSE)</f>
        <v>160000</v>
      </c>
      <c r="H7315" s="210">
        <f t="shared" si="569"/>
        <v>35.200000000000003</v>
      </c>
      <c r="L7315" s="200"/>
      <c r="M7315" s="200"/>
      <c r="N7315" s="200"/>
      <c r="O7315" s="200"/>
      <c r="P7315" s="200"/>
    </row>
    <row r="7316" spans="3:16" s="517" customFormat="1" ht="31.2" customHeight="1">
      <c r="C7316" s="207" t="s">
        <v>1208</v>
      </c>
      <c r="D7316" s="208"/>
      <c r="E7316" s="208"/>
      <c r="F7316" s="521"/>
      <c r="G7316" s="522"/>
      <c r="H7316" s="210">
        <f>SUM(H7314:H7315)</f>
        <v>146.20000000000002</v>
      </c>
      <c r="L7316" s="523"/>
      <c r="M7316" s="523"/>
      <c r="N7316" s="523"/>
      <c r="O7316" s="523"/>
      <c r="P7316" s="523"/>
    </row>
    <row r="7317" spans="3:16" s="517" customFormat="1" ht="31.2" customHeight="1">
      <c r="C7317" s="543" t="s">
        <v>1209</v>
      </c>
      <c r="D7317" s="750" t="s">
        <v>1210</v>
      </c>
      <c r="E7317" s="197"/>
      <c r="F7317" s="751"/>
      <c r="G7317" s="197"/>
      <c r="H7317" s="752"/>
      <c r="L7317" s="200"/>
      <c r="M7317" s="200"/>
      <c r="N7317" s="200"/>
      <c r="O7317" s="200"/>
      <c r="P7317" s="200"/>
    </row>
    <row r="7318" spans="3:16" s="517" customFormat="1" ht="31.2" customHeight="1">
      <c r="C7318" s="543">
        <v>1</v>
      </c>
      <c r="D7318" s="750" t="s">
        <v>5649</v>
      </c>
      <c r="E7318" s="203" t="s">
        <v>529</v>
      </c>
      <c r="F7318" s="769">
        <v>10</v>
      </c>
      <c r="G7318" s="205">
        <f>VLOOKUP(D7318,upahbahan,3,FALSE)</f>
        <v>0</v>
      </c>
      <c r="H7318" s="210">
        <f>F7318*G7318</f>
        <v>0</v>
      </c>
      <c r="L7318" s="200"/>
      <c r="M7318" s="200"/>
      <c r="N7318" s="200"/>
      <c r="O7318" s="200"/>
      <c r="P7318" s="200"/>
    </row>
    <row r="7319" spans="3:16" s="517" customFormat="1" ht="31.2" customHeight="1">
      <c r="C7319" s="207" t="s">
        <v>1214</v>
      </c>
      <c r="D7319" s="208"/>
      <c r="E7319" s="568"/>
      <c r="F7319" s="208"/>
      <c r="G7319" s="209"/>
      <c r="H7319" s="210">
        <f>SUM(H7318:H7318)</f>
        <v>0</v>
      </c>
      <c r="L7319" s="200"/>
      <c r="M7319" s="200"/>
      <c r="N7319" s="200"/>
      <c r="O7319" s="200"/>
      <c r="P7319" s="200"/>
    </row>
    <row r="7320" spans="3:16" s="517" customFormat="1" ht="31.2" customHeight="1">
      <c r="C7320" s="195" t="s">
        <v>1215</v>
      </c>
      <c r="D7320" s="196" t="s">
        <v>1216</v>
      </c>
      <c r="E7320" s="203"/>
      <c r="F7320" s="197"/>
      <c r="G7320" s="197"/>
      <c r="H7320" s="198"/>
      <c r="L7320" s="200"/>
      <c r="M7320" s="200"/>
      <c r="N7320" s="200"/>
      <c r="O7320" s="200"/>
      <c r="P7320" s="200"/>
    </row>
    <row r="7321" spans="3:16" s="517" customFormat="1" ht="31.2" customHeight="1">
      <c r="C7321" s="207" t="s">
        <v>1217</v>
      </c>
      <c r="D7321" s="208"/>
      <c r="E7321" s="208"/>
      <c r="F7321" s="208"/>
      <c r="G7321" s="209"/>
      <c r="H7321" s="770">
        <f>SUM(H7320)</f>
        <v>0</v>
      </c>
      <c r="L7321" s="200"/>
      <c r="M7321" s="200"/>
      <c r="N7321" s="200"/>
      <c r="O7321" s="200"/>
      <c r="P7321" s="200"/>
    </row>
    <row r="7322" spans="3:16" s="517" customFormat="1" ht="31.2" customHeight="1">
      <c r="C7322" s="223" t="s">
        <v>1218</v>
      </c>
      <c r="D7322" s="224" t="s">
        <v>1219</v>
      </c>
      <c r="E7322" s="225"/>
      <c r="F7322" s="225"/>
      <c r="G7322" s="226"/>
      <c r="H7322" s="210">
        <f>H7321+H7319+H7316</f>
        <v>146.20000000000002</v>
      </c>
      <c r="L7322" s="200"/>
      <c r="M7322" s="200"/>
      <c r="N7322" s="200"/>
      <c r="O7322" s="200"/>
      <c r="P7322" s="200"/>
    </row>
    <row r="7323" spans="3:16" s="517" customFormat="1" ht="31.2" customHeight="1">
      <c r="C7323" s="223" t="s">
        <v>1220</v>
      </c>
      <c r="D7323" s="224" t="s">
        <v>1321</v>
      </c>
      <c r="E7323" s="225"/>
      <c r="F7323" s="226"/>
      <c r="G7323" s="228">
        <v>0.1</v>
      </c>
      <c r="H7323" s="210">
        <f>H7322*G7323</f>
        <v>14.620000000000003</v>
      </c>
      <c r="L7323" s="200"/>
      <c r="M7323" s="200"/>
      <c r="N7323" s="200"/>
      <c r="O7323" s="200"/>
      <c r="P7323" s="200"/>
    </row>
    <row r="7324" spans="3:16" s="517" customFormat="1" ht="31.2" customHeight="1" thickBot="1">
      <c r="C7324" s="229" t="s">
        <v>1221</v>
      </c>
      <c r="D7324" s="230" t="s">
        <v>1222</v>
      </c>
      <c r="E7324" s="231"/>
      <c r="F7324" s="231"/>
      <c r="G7324" s="232"/>
      <c r="H7324" s="233">
        <f>SUM(H7322:H7323)</f>
        <v>160.82000000000002</v>
      </c>
      <c r="L7324" s="200"/>
      <c r="M7324" s="200"/>
      <c r="N7324" s="200"/>
      <c r="O7324" s="200"/>
      <c r="P7324" s="200"/>
    </row>
    <row r="7325" spans="3:16" ht="31.2" customHeight="1" thickTop="1">
      <c r="C7325" s="788" t="s">
        <v>5662</v>
      </c>
    </row>
    <row r="7326" spans="3:16" ht="31.2" customHeight="1"/>
    <row r="7327" spans="3:16" ht="31.2" customHeight="1">
      <c r="C7327" s="765" t="s">
        <v>7642</v>
      </c>
      <c r="D7327" s="766" t="s">
        <v>7643</v>
      </c>
    </row>
    <row r="7328" spans="3:16" ht="31.2" customHeight="1">
      <c r="C7328" s="765" t="s">
        <v>5682</v>
      </c>
      <c r="D7328" s="766" t="s">
        <v>7644</v>
      </c>
    </row>
    <row r="7329" spans="3:20" s="517" customFormat="1" ht="31.2" customHeight="1" thickBot="1">
      <c r="C7329" s="513" t="s">
        <v>5683</v>
      </c>
      <c r="D7329" s="748" t="s">
        <v>7645</v>
      </c>
      <c r="E7329" s="749"/>
      <c r="F7329" s="748"/>
      <c r="G7329" s="748"/>
      <c r="H7329" s="532"/>
      <c r="I7329" s="532"/>
      <c r="J7329" s="532"/>
      <c r="K7329" s="532"/>
      <c r="M7329" s="189"/>
      <c r="N7329" s="189"/>
      <c r="O7329" s="189"/>
      <c r="P7329" s="189"/>
      <c r="R7329" s="189">
        <f>ROUNDDOWN(H7342,-2)</f>
        <v>0</v>
      </c>
      <c r="S7329" s="517" t="s">
        <v>6451</v>
      </c>
      <c r="T7329" s="517" t="s">
        <v>7646</v>
      </c>
    </row>
    <row r="7330" spans="3:20" s="517" customFormat="1" ht="31.2" customHeight="1" thickTop="1">
      <c r="C7330" s="190" t="s">
        <v>1195</v>
      </c>
      <c r="D7330" s="191" t="s">
        <v>1196</v>
      </c>
      <c r="E7330" s="191" t="s">
        <v>1197</v>
      </c>
      <c r="F7330" s="191" t="s">
        <v>1198</v>
      </c>
      <c r="G7330" s="191" t="s">
        <v>1199</v>
      </c>
      <c r="H7330" s="192" t="s">
        <v>1200</v>
      </c>
      <c r="L7330" s="200"/>
      <c r="M7330" s="200"/>
      <c r="N7330" s="200"/>
      <c r="O7330" s="200"/>
      <c r="P7330" s="200"/>
    </row>
    <row r="7331" spans="3:20" s="517" customFormat="1" ht="31.2" customHeight="1">
      <c r="C7331" s="518" t="s">
        <v>1201</v>
      </c>
      <c r="D7331" s="196" t="s">
        <v>1202</v>
      </c>
      <c r="E7331" s="197"/>
      <c r="F7331" s="197"/>
      <c r="G7331" s="197"/>
      <c r="H7331" s="198"/>
      <c r="L7331" s="200"/>
      <c r="M7331" s="200"/>
      <c r="N7331" s="200"/>
      <c r="O7331" s="200"/>
      <c r="P7331" s="200"/>
    </row>
    <row r="7332" spans="3:20" s="517" customFormat="1" ht="31.2" customHeight="1">
      <c r="C7332" s="518">
        <v>1</v>
      </c>
      <c r="D7332" s="196" t="s">
        <v>5</v>
      </c>
      <c r="E7332" s="203" t="s">
        <v>2102</v>
      </c>
      <c r="F7332" s="257">
        <v>4.0000000000000002E-4</v>
      </c>
      <c r="G7332" s="205">
        <f>VLOOKUP(D7332,upahbahan,3,FALSE)</f>
        <v>100000</v>
      </c>
      <c r="H7332" s="210">
        <f t="shared" ref="H7332:H7333" si="570">F7332*G7332</f>
        <v>40</v>
      </c>
      <c r="L7332" s="200"/>
      <c r="M7332" s="200"/>
      <c r="N7332" s="200"/>
      <c r="O7332" s="200"/>
      <c r="P7332" s="200"/>
    </row>
    <row r="7333" spans="3:20" s="517" customFormat="1" ht="31.2" customHeight="1">
      <c r="C7333" s="518">
        <v>2</v>
      </c>
      <c r="D7333" s="196" t="s">
        <v>19</v>
      </c>
      <c r="E7333" s="203" t="s">
        <v>2102</v>
      </c>
      <c r="F7333" s="786">
        <v>2.0000000000000002E-5</v>
      </c>
      <c r="G7333" s="205">
        <f>VLOOKUP(D7333,upahbahan,3,FALSE)</f>
        <v>160000</v>
      </c>
      <c r="H7333" s="210">
        <f t="shared" si="570"/>
        <v>3.2</v>
      </c>
      <c r="L7333" s="200"/>
      <c r="M7333" s="200"/>
      <c r="N7333" s="200"/>
      <c r="O7333" s="200"/>
      <c r="P7333" s="200"/>
    </row>
    <row r="7334" spans="3:20" s="517" customFormat="1" ht="31.2" customHeight="1">
      <c r="C7334" s="207" t="s">
        <v>1208</v>
      </c>
      <c r="D7334" s="208"/>
      <c r="E7334" s="208"/>
      <c r="F7334" s="521"/>
      <c r="G7334" s="522"/>
      <c r="H7334" s="210">
        <f>SUM(H7332:H7333)</f>
        <v>43.2</v>
      </c>
      <c r="L7334" s="523"/>
      <c r="M7334" s="523"/>
      <c r="N7334" s="523"/>
      <c r="O7334" s="523"/>
      <c r="P7334" s="523"/>
    </row>
    <row r="7335" spans="3:20" s="517" customFormat="1" ht="31.2" customHeight="1">
      <c r="C7335" s="543" t="s">
        <v>1209</v>
      </c>
      <c r="D7335" s="750" t="s">
        <v>1210</v>
      </c>
      <c r="E7335" s="197"/>
      <c r="F7335" s="751"/>
      <c r="G7335" s="197"/>
      <c r="H7335" s="752"/>
      <c r="L7335" s="200"/>
      <c r="M7335" s="200"/>
      <c r="N7335" s="200"/>
      <c r="O7335" s="200"/>
      <c r="P7335" s="200"/>
    </row>
    <row r="7336" spans="3:20" s="517" customFormat="1" ht="31.2" customHeight="1">
      <c r="C7336" s="543">
        <v>1</v>
      </c>
      <c r="D7336" s="750" t="s">
        <v>5649</v>
      </c>
      <c r="E7336" s="203" t="s">
        <v>529</v>
      </c>
      <c r="F7336" s="769">
        <v>5</v>
      </c>
      <c r="G7336" s="205">
        <f>VLOOKUP(D7336,upahbahan,3,FALSE)</f>
        <v>0</v>
      </c>
      <c r="H7336" s="210">
        <f>F7336*G7336</f>
        <v>0</v>
      </c>
      <c r="L7336" s="200"/>
      <c r="M7336" s="200"/>
      <c r="N7336" s="200"/>
      <c r="O7336" s="200"/>
      <c r="P7336" s="200"/>
    </row>
    <row r="7337" spans="3:20" s="517" customFormat="1" ht="31.2" customHeight="1">
      <c r="C7337" s="207" t="s">
        <v>1214</v>
      </c>
      <c r="D7337" s="208"/>
      <c r="E7337" s="568"/>
      <c r="F7337" s="208"/>
      <c r="G7337" s="209"/>
      <c r="H7337" s="210">
        <f>SUM(H7336:H7336)</f>
        <v>0</v>
      </c>
      <c r="L7337" s="200"/>
      <c r="M7337" s="200"/>
      <c r="N7337" s="200"/>
      <c r="O7337" s="200"/>
      <c r="P7337" s="200"/>
    </row>
    <row r="7338" spans="3:20" s="517" customFormat="1" ht="31.2" customHeight="1">
      <c r="C7338" s="195" t="s">
        <v>1215</v>
      </c>
      <c r="D7338" s="196" t="s">
        <v>1216</v>
      </c>
      <c r="E7338" s="203"/>
      <c r="F7338" s="197"/>
      <c r="G7338" s="197"/>
      <c r="H7338" s="198"/>
      <c r="L7338" s="200"/>
      <c r="M7338" s="200"/>
      <c r="N7338" s="200"/>
      <c r="O7338" s="200"/>
      <c r="P7338" s="200"/>
    </row>
    <row r="7339" spans="3:20" s="517" customFormat="1" ht="31.2" customHeight="1">
      <c r="C7339" s="207" t="s">
        <v>1217</v>
      </c>
      <c r="D7339" s="208"/>
      <c r="E7339" s="208"/>
      <c r="F7339" s="208"/>
      <c r="G7339" s="209"/>
      <c r="H7339" s="770">
        <f>SUM(H7338)</f>
        <v>0</v>
      </c>
      <c r="L7339" s="200"/>
      <c r="M7339" s="200"/>
      <c r="N7339" s="200"/>
      <c r="O7339" s="200"/>
      <c r="P7339" s="200"/>
    </row>
    <row r="7340" spans="3:20" s="517" customFormat="1" ht="31.2" customHeight="1">
      <c r="C7340" s="223" t="s">
        <v>1218</v>
      </c>
      <c r="D7340" s="224" t="s">
        <v>1219</v>
      </c>
      <c r="E7340" s="225"/>
      <c r="F7340" s="225"/>
      <c r="G7340" s="226"/>
      <c r="H7340" s="210">
        <f>H7339+H7337+H7334</f>
        <v>43.2</v>
      </c>
      <c r="L7340" s="200"/>
      <c r="M7340" s="200"/>
      <c r="N7340" s="200"/>
      <c r="O7340" s="200"/>
      <c r="P7340" s="200"/>
    </row>
    <row r="7341" spans="3:20" s="517" customFormat="1" ht="31.2" customHeight="1">
      <c r="C7341" s="223" t="s">
        <v>1220</v>
      </c>
      <c r="D7341" s="224" t="s">
        <v>1321</v>
      </c>
      <c r="E7341" s="225"/>
      <c r="F7341" s="226"/>
      <c r="G7341" s="228">
        <v>0.1</v>
      </c>
      <c r="H7341" s="210">
        <f>H7340*G7341</f>
        <v>4.32</v>
      </c>
      <c r="L7341" s="200"/>
      <c r="M7341" s="200"/>
      <c r="N7341" s="200"/>
      <c r="O7341" s="200"/>
      <c r="P7341" s="200"/>
    </row>
    <row r="7342" spans="3:20" s="517" customFormat="1" ht="31.2" customHeight="1" thickBot="1">
      <c r="C7342" s="229" t="s">
        <v>1221</v>
      </c>
      <c r="D7342" s="230" t="s">
        <v>1222</v>
      </c>
      <c r="E7342" s="231"/>
      <c r="F7342" s="231"/>
      <c r="G7342" s="232"/>
      <c r="H7342" s="233">
        <f>SUM(H7340:H7341)</f>
        <v>47.52</v>
      </c>
      <c r="L7342" s="200"/>
      <c r="M7342" s="200"/>
      <c r="N7342" s="200"/>
      <c r="O7342" s="200"/>
      <c r="P7342" s="200"/>
    </row>
    <row r="7343" spans="3:20" ht="31.2" customHeight="1" thickTop="1">
      <c r="C7343" s="788" t="s">
        <v>5662</v>
      </c>
    </row>
    <row r="7344" spans="3:20" ht="31.2" customHeight="1"/>
    <row r="7345" spans="3:20" s="517" customFormat="1" ht="31.2" customHeight="1" thickBot="1">
      <c r="C7345" s="513" t="s">
        <v>5684</v>
      </c>
      <c r="D7345" s="748" t="s">
        <v>7647</v>
      </c>
      <c r="E7345" s="749"/>
      <c r="F7345" s="748"/>
      <c r="G7345" s="748"/>
      <c r="H7345" s="532"/>
      <c r="I7345" s="532"/>
      <c r="J7345" s="532"/>
      <c r="K7345" s="532"/>
      <c r="M7345" s="189"/>
      <c r="N7345" s="189"/>
      <c r="O7345" s="189"/>
      <c r="P7345" s="189"/>
      <c r="R7345" s="189">
        <f>ROUNDDOWN(H7358,-2)</f>
        <v>0</v>
      </c>
      <c r="S7345" s="517" t="s">
        <v>6451</v>
      </c>
      <c r="T7345" s="517" t="s">
        <v>7646</v>
      </c>
    </row>
    <row r="7346" spans="3:20" s="517" customFormat="1" ht="31.2" customHeight="1" thickTop="1">
      <c r="C7346" s="190" t="s">
        <v>1195</v>
      </c>
      <c r="D7346" s="191" t="s">
        <v>1196</v>
      </c>
      <c r="E7346" s="191" t="s">
        <v>1197</v>
      </c>
      <c r="F7346" s="191" t="s">
        <v>1198</v>
      </c>
      <c r="G7346" s="191" t="s">
        <v>1199</v>
      </c>
      <c r="H7346" s="192" t="s">
        <v>1200</v>
      </c>
      <c r="L7346" s="200"/>
      <c r="M7346" s="200"/>
      <c r="N7346" s="200"/>
      <c r="O7346" s="200"/>
      <c r="P7346" s="200"/>
    </row>
    <row r="7347" spans="3:20" s="517" customFormat="1" ht="31.2" customHeight="1">
      <c r="C7347" s="518" t="s">
        <v>1201</v>
      </c>
      <c r="D7347" s="196" t="s">
        <v>1202</v>
      </c>
      <c r="E7347" s="197"/>
      <c r="F7347" s="197"/>
      <c r="G7347" s="197"/>
      <c r="H7347" s="198"/>
      <c r="L7347" s="200"/>
      <c r="M7347" s="200"/>
      <c r="N7347" s="200"/>
      <c r="O7347" s="200"/>
      <c r="P7347" s="200"/>
    </row>
    <row r="7348" spans="3:20" s="517" customFormat="1" ht="31.2" customHeight="1">
      <c r="C7348" s="518">
        <v>1</v>
      </c>
      <c r="D7348" s="196" t="s">
        <v>5</v>
      </c>
      <c r="E7348" s="203" t="s">
        <v>2102</v>
      </c>
      <c r="F7348" s="257">
        <v>2.7E-4</v>
      </c>
      <c r="G7348" s="205">
        <f>VLOOKUP(D7348,upahbahan,3,FALSE)</f>
        <v>100000</v>
      </c>
      <c r="H7348" s="210">
        <f t="shared" ref="H7348:H7349" si="571">F7348*G7348</f>
        <v>27</v>
      </c>
      <c r="L7348" s="200"/>
      <c r="M7348" s="200"/>
      <c r="N7348" s="200"/>
      <c r="O7348" s="200"/>
      <c r="P7348" s="200"/>
    </row>
    <row r="7349" spans="3:20" s="517" customFormat="1" ht="31.2" customHeight="1">
      <c r="C7349" s="518">
        <v>2</v>
      </c>
      <c r="D7349" s="196" t="s">
        <v>19</v>
      </c>
      <c r="E7349" s="203" t="s">
        <v>2102</v>
      </c>
      <c r="F7349" s="786">
        <v>1.2999999999999999E-5</v>
      </c>
      <c r="G7349" s="205">
        <f>VLOOKUP(D7349,upahbahan,3,FALSE)</f>
        <v>160000</v>
      </c>
      <c r="H7349" s="210">
        <f t="shared" si="571"/>
        <v>2.08</v>
      </c>
      <c r="L7349" s="200"/>
      <c r="M7349" s="200"/>
      <c r="N7349" s="200"/>
      <c r="O7349" s="200"/>
      <c r="P7349" s="200"/>
    </row>
    <row r="7350" spans="3:20" s="517" customFormat="1" ht="31.2" customHeight="1">
      <c r="C7350" s="207" t="s">
        <v>1208</v>
      </c>
      <c r="D7350" s="208"/>
      <c r="E7350" s="208"/>
      <c r="F7350" s="521"/>
      <c r="G7350" s="522"/>
      <c r="H7350" s="210">
        <f>SUM(H7348:H7349)</f>
        <v>29.08</v>
      </c>
      <c r="L7350" s="523"/>
      <c r="M7350" s="523"/>
      <c r="N7350" s="523"/>
      <c r="O7350" s="523"/>
      <c r="P7350" s="523"/>
    </row>
    <row r="7351" spans="3:20" s="517" customFormat="1" ht="31.2" customHeight="1">
      <c r="C7351" s="543" t="s">
        <v>1209</v>
      </c>
      <c r="D7351" s="750" t="s">
        <v>1210</v>
      </c>
      <c r="E7351" s="197"/>
      <c r="F7351" s="751"/>
      <c r="G7351" s="197"/>
      <c r="H7351" s="752"/>
      <c r="L7351" s="200"/>
      <c r="M7351" s="200"/>
      <c r="N7351" s="200"/>
      <c r="O7351" s="200"/>
      <c r="P7351" s="200"/>
    </row>
    <row r="7352" spans="3:20" s="517" customFormat="1" ht="31.2" customHeight="1">
      <c r="C7352" s="543">
        <v>1</v>
      </c>
      <c r="D7352" s="750" t="s">
        <v>5649</v>
      </c>
      <c r="E7352" s="203" t="s">
        <v>529</v>
      </c>
      <c r="F7352" s="769">
        <v>5</v>
      </c>
      <c r="G7352" s="205">
        <f>VLOOKUP(D7352,upahbahan,3,FALSE)</f>
        <v>0</v>
      </c>
      <c r="H7352" s="210">
        <f>F7352*G7352</f>
        <v>0</v>
      </c>
      <c r="L7352" s="200"/>
      <c r="M7352" s="200"/>
      <c r="N7352" s="200"/>
      <c r="O7352" s="200"/>
      <c r="P7352" s="200"/>
    </row>
    <row r="7353" spans="3:20" s="517" customFormat="1" ht="31.2" customHeight="1">
      <c r="C7353" s="207" t="s">
        <v>1214</v>
      </c>
      <c r="D7353" s="208"/>
      <c r="E7353" s="568"/>
      <c r="F7353" s="208"/>
      <c r="G7353" s="209"/>
      <c r="H7353" s="210">
        <f>SUM(H7352:H7352)</f>
        <v>0</v>
      </c>
      <c r="L7353" s="200"/>
      <c r="M7353" s="200"/>
      <c r="N7353" s="200"/>
      <c r="O7353" s="200"/>
      <c r="P7353" s="200"/>
    </row>
    <row r="7354" spans="3:20" s="517" customFormat="1" ht="31.2" customHeight="1">
      <c r="C7354" s="195" t="s">
        <v>1215</v>
      </c>
      <c r="D7354" s="196" t="s">
        <v>1216</v>
      </c>
      <c r="E7354" s="203"/>
      <c r="F7354" s="197"/>
      <c r="G7354" s="197"/>
      <c r="H7354" s="198"/>
      <c r="L7354" s="200"/>
      <c r="M7354" s="200"/>
      <c r="N7354" s="200"/>
      <c r="O7354" s="200"/>
      <c r="P7354" s="200"/>
    </row>
    <row r="7355" spans="3:20" s="517" customFormat="1" ht="31.2" customHeight="1">
      <c r="C7355" s="207" t="s">
        <v>1217</v>
      </c>
      <c r="D7355" s="208"/>
      <c r="E7355" s="208"/>
      <c r="F7355" s="208"/>
      <c r="G7355" s="209"/>
      <c r="H7355" s="770">
        <f>SUM(H7354)</f>
        <v>0</v>
      </c>
      <c r="L7355" s="200"/>
      <c r="M7355" s="200"/>
      <c r="N7355" s="200"/>
      <c r="O7355" s="200"/>
      <c r="P7355" s="200"/>
    </row>
    <row r="7356" spans="3:20" s="517" customFormat="1" ht="31.2" customHeight="1">
      <c r="C7356" s="223" t="s">
        <v>1218</v>
      </c>
      <c r="D7356" s="224" t="s">
        <v>1219</v>
      </c>
      <c r="E7356" s="225"/>
      <c r="F7356" s="225"/>
      <c r="G7356" s="226"/>
      <c r="H7356" s="210">
        <f>H7355+H7353+H7350</f>
        <v>29.08</v>
      </c>
      <c r="L7356" s="200"/>
      <c r="M7356" s="200"/>
      <c r="N7356" s="200"/>
      <c r="O7356" s="200"/>
      <c r="P7356" s="200"/>
    </row>
    <row r="7357" spans="3:20" s="517" customFormat="1" ht="31.2" customHeight="1">
      <c r="C7357" s="223" t="s">
        <v>1220</v>
      </c>
      <c r="D7357" s="224" t="s">
        <v>1321</v>
      </c>
      <c r="E7357" s="225"/>
      <c r="F7357" s="226"/>
      <c r="G7357" s="228">
        <v>0.1</v>
      </c>
      <c r="H7357" s="210">
        <f>H7356*G7357</f>
        <v>2.9079999999999999</v>
      </c>
      <c r="L7357" s="200"/>
      <c r="M7357" s="200"/>
      <c r="N7357" s="200"/>
      <c r="O7357" s="200"/>
      <c r="P7357" s="200"/>
    </row>
    <row r="7358" spans="3:20" s="517" customFormat="1" ht="31.2" customHeight="1" thickBot="1">
      <c r="C7358" s="229" t="s">
        <v>1221</v>
      </c>
      <c r="D7358" s="230" t="s">
        <v>1222</v>
      </c>
      <c r="E7358" s="231"/>
      <c r="F7358" s="231"/>
      <c r="G7358" s="232"/>
      <c r="H7358" s="233">
        <f>SUM(H7356:H7357)</f>
        <v>31.988</v>
      </c>
      <c r="L7358" s="200"/>
      <c r="M7358" s="200"/>
      <c r="N7358" s="200"/>
      <c r="O7358" s="200"/>
      <c r="P7358" s="200"/>
    </row>
    <row r="7359" spans="3:20" ht="31.2" customHeight="1" thickTop="1">
      <c r="C7359" s="788" t="s">
        <v>5662</v>
      </c>
    </row>
    <row r="7360" spans="3:20" ht="31.2" customHeight="1"/>
    <row r="7361" spans="3:20" ht="31.2" customHeight="1">
      <c r="C7361" s="765" t="s">
        <v>5686</v>
      </c>
      <c r="D7361" s="766" t="s">
        <v>5685</v>
      </c>
    </row>
    <row r="7362" spans="3:20" s="517" customFormat="1" ht="31.2" customHeight="1" thickBot="1">
      <c r="C7362" s="513" t="s">
        <v>5687</v>
      </c>
      <c r="D7362" s="748" t="s">
        <v>7648</v>
      </c>
      <c r="E7362" s="749"/>
      <c r="F7362" s="748"/>
      <c r="G7362" s="748"/>
      <c r="H7362" s="532"/>
      <c r="I7362" s="532"/>
      <c r="J7362" s="532"/>
      <c r="K7362" s="532"/>
      <c r="M7362" s="189"/>
      <c r="N7362" s="189"/>
      <c r="O7362" s="189"/>
      <c r="P7362" s="189"/>
      <c r="R7362" s="189">
        <f>ROUNDDOWN(H7375,-2)</f>
        <v>3400</v>
      </c>
      <c r="S7362" s="517" t="s">
        <v>6451</v>
      </c>
      <c r="T7362" s="517" t="s">
        <v>7649</v>
      </c>
    </row>
    <row r="7363" spans="3:20" s="517" customFormat="1" ht="31.2" customHeight="1" thickTop="1">
      <c r="C7363" s="190" t="s">
        <v>1195</v>
      </c>
      <c r="D7363" s="191" t="s">
        <v>1196</v>
      </c>
      <c r="E7363" s="191" t="s">
        <v>1197</v>
      </c>
      <c r="F7363" s="191" t="s">
        <v>1198</v>
      </c>
      <c r="G7363" s="191" t="s">
        <v>1199</v>
      </c>
      <c r="H7363" s="192" t="s">
        <v>1200</v>
      </c>
      <c r="L7363" s="200"/>
      <c r="M7363" s="200"/>
      <c r="N7363" s="200"/>
      <c r="O7363" s="200"/>
      <c r="P7363" s="200"/>
    </row>
    <row r="7364" spans="3:20" s="517" customFormat="1" ht="31.2" customHeight="1">
      <c r="C7364" s="518" t="s">
        <v>1201</v>
      </c>
      <c r="D7364" s="196" t="s">
        <v>1202</v>
      </c>
      <c r="E7364" s="197"/>
      <c r="F7364" s="197"/>
      <c r="G7364" s="197"/>
      <c r="H7364" s="198"/>
      <c r="L7364" s="200"/>
      <c r="M7364" s="200"/>
      <c r="N7364" s="200"/>
      <c r="O7364" s="200"/>
      <c r="P7364" s="200"/>
    </row>
    <row r="7365" spans="3:20" s="517" customFormat="1" ht="31.2" customHeight="1">
      <c r="C7365" s="518">
        <v>1</v>
      </c>
      <c r="D7365" s="196" t="s">
        <v>7653</v>
      </c>
      <c r="E7365" s="203" t="s">
        <v>2102</v>
      </c>
      <c r="F7365" s="257">
        <v>1.7899999999999999E-2</v>
      </c>
      <c r="G7365" s="205">
        <f>VLOOKUP(D7365,upahbahan,3,FALSE)*115%</f>
        <v>166750</v>
      </c>
      <c r="H7365" s="210">
        <f t="shared" ref="H7365:H7366" si="572">F7365*G7365</f>
        <v>2984.8249999999998</v>
      </c>
      <c r="L7365" s="200"/>
      <c r="M7365" s="200"/>
      <c r="N7365" s="200"/>
      <c r="O7365" s="200"/>
      <c r="P7365" s="200"/>
    </row>
    <row r="7366" spans="3:20" s="517" customFormat="1" ht="31.2" customHeight="1">
      <c r="C7366" s="518">
        <v>2</v>
      </c>
      <c r="D7366" s="196" t="s">
        <v>19</v>
      </c>
      <c r="E7366" s="203" t="s">
        <v>2102</v>
      </c>
      <c r="F7366" s="786">
        <v>8.9499999999999996E-4</v>
      </c>
      <c r="G7366" s="205">
        <f>VLOOKUP(D7366,upahbahan,3,FALSE)</f>
        <v>160000</v>
      </c>
      <c r="H7366" s="210">
        <f t="shared" si="572"/>
        <v>143.19999999999999</v>
      </c>
      <c r="L7366" s="200"/>
      <c r="M7366" s="200"/>
      <c r="N7366" s="200"/>
      <c r="O7366" s="200"/>
      <c r="P7366" s="200"/>
    </row>
    <row r="7367" spans="3:20" s="517" customFormat="1" ht="31.2" customHeight="1">
      <c r="C7367" s="207" t="s">
        <v>1208</v>
      </c>
      <c r="D7367" s="208"/>
      <c r="E7367" s="208"/>
      <c r="F7367" s="521"/>
      <c r="G7367" s="522"/>
      <c r="H7367" s="210">
        <f>SUM(H7365:H7366)</f>
        <v>3128.0249999999996</v>
      </c>
      <c r="L7367" s="523"/>
      <c r="M7367" s="523"/>
      <c r="N7367" s="523"/>
      <c r="O7367" s="523"/>
      <c r="P7367" s="523"/>
    </row>
    <row r="7368" spans="3:20" s="517" customFormat="1" ht="31.2" customHeight="1">
      <c r="C7368" s="543" t="s">
        <v>1209</v>
      </c>
      <c r="D7368" s="750" t="s">
        <v>1210</v>
      </c>
      <c r="E7368" s="197"/>
      <c r="F7368" s="751"/>
      <c r="G7368" s="197"/>
      <c r="H7368" s="752"/>
      <c r="L7368" s="200"/>
      <c r="M7368" s="200"/>
      <c r="N7368" s="200"/>
      <c r="O7368" s="200"/>
      <c r="P7368" s="200"/>
    </row>
    <row r="7369" spans="3:20" s="517" customFormat="1" ht="31.2" customHeight="1">
      <c r="C7369" s="543">
        <v>1</v>
      </c>
      <c r="D7369" s="750" t="s">
        <v>5561</v>
      </c>
      <c r="E7369" s="203" t="s">
        <v>42</v>
      </c>
      <c r="F7369" s="769">
        <v>2.3999999999999998E-3</v>
      </c>
      <c r="G7369" s="205">
        <f>VLOOKUP(D7369,upahbahan,3,FALSE)</f>
        <v>0</v>
      </c>
      <c r="H7369" s="210">
        <f>F7369*G7369</f>
        <v>0</v>
      </c>
      <c r="L7369" s="200"/>
      <c r="M7369" s="200"/>
      <c r="N7369" s="200"/>
      <c r="O7369" s="200"/>
      <c r="P7369" s="200"/>
    </row>
    <row r="7370" spans="3:20" s="517" customFormat="1" ht="31.2" customHeight="1">
      <c r="C7370" s="207" t="s">
        <v>1214</v>
      </c>
      <c r="D7370" s="208"/>
      <c r="E7370" s="568"/>
      <c r="F7370" s="208"/>
      <c r="G7370" s="209"/>
      <c r="H7370" s="210">
        <f>SUM(H7369:H7369)</f>
        <v>0</v>
      </c>
      <c r="L7370" s="200"/>
      <c r="M7370" s="200"/>
      <c r="N7370" s="200"/>
      <c r="O7370" s="200"/>
      <c r="P7370" s="200"/>
    </row>
    <row r="7371" spans="3:20" s="517" customFormat="1" ht="31.2" customHeight="1">
      <c r="C7371" s="195" t="s">
        <v>1215</v>
      </c>
      <c r="D7371" s="196" t="s">
        <v>1216</v>
      </c>
      <c r="E7371" s="203"/>
      <c r="F7371" s="197"/>
      <c r="G7371" s="197"/>
      <c r="H7371" s="198"/>
      <c r="L7371" s="200"/>
      <c r="M7371" s="200"/>
      <c r="N7371" s="200"/>
      <c r="O7371" s="200"/>
      <c r="P7371" s="200"/>
    </row>
    <row r="7372" spans="3:20" s="517" customFormat="1" ht="31.2" customHeight="1">
      <c r="C7372" s="207" t="s">
        <v>1217</v>
      </c>
      <c r="D7372" s="208"/>
      <c r="E7372" s="208"/>
      <c r="F7372" s="208"/>
      <c r="G7372" s="209"/>
      <c r="H7372" s="770">
        <f>SUM(H7371)</f>
        <v>0</v>
      </c>
      <c r="L7372" s="200"/>
      <c r="M7372" s="200"/>
      <c r="N7372" s="200"/>
      <c r="O7372" s="200"/>
      <c r="P7372" s="200"/>
    </row>
    <row r="7373" spans="3:20" s="517" customFormat="1" ht="31.2" customHeight="1">
      <c r="C7373" s="223" t="s">
        <v>1218</v>
      </c>
      <c r="D7373" s="224" t="s">
        <v>1219</v>
      </c>
      <c r="E7373" s="225"/>
      <c r="F7373" s="225"/>
      <c r="G7373" s="226"/>
      <c r="H7373" s="210">
        <f>H7372+H7370+H7367</f>
        <v>3128.0249999999996</v>
      </c>
      <c r="L7373" s="200"/>
      <c r="M7373" s="200"/>
      <c r="N7373" s="200"/>
      <c r="O7373" s="200"/>
      <c r="P7373" s="200"/>
    </row>
    <row r="7374" spans="3:20" s="517" customFormat="1" ht="31.2" customHeight="1">
      <c r="C7374" s="223" t="s">
        <v>1220</v>
      </c>
      <c r="D7374" s="224" t="s">
        <v>1321</v>
      </c>
      <c r="E7374" s="225"/>
      <c r="F7374" s="226"/>
      <c r="G7374" s="228">
        <v>0.1</v>
      </c>
      <c r="H7374" s="210">
        <f>H7373*G7374</f>
        <v>312.80250000000001</v>
      </c>
      <c r="L7374" s="200"/>
      <c r="M7374" s="200"/>
      <c r="N7374" s="200"/>
      <c r="O7374" s="200"/>
      <c r="P7374" s="200"/>
    </row>
    <row r="7375" spans="3:20" s="517" customFormat="1" ht="31.2" customHeight="1" thickBot="1">
      <c r="C7375" s="229" t="s">
        <v>1221</v>
      </c>
      <c r="D7375" s="230" t="s">
        <v>1222</v>
      </c>
      <c r="E7375" s="231"/>
      <c r="F7375" s="231"/>
      <c r="G7375" s="232"/>
      <c r="H7375" s="233">
        <f>SUM(H7373:H7374)</f>
        <v>3440.8274999999994</v>
      </c>
      <c r="L7375" s="200"/>
      <c r="M7375" s="200"/>
      <c r="N7375" s="200"/>
      <c r="O7375" s="200"/>
      <c r="P7375" s="200"/>
    </row>
    <row r="7376" spans="3:20" ht="31.2" customHeight="1" thickTop="1">
      <c r="C7376" s="788" t="s">
        <v>7659</v>
      </c>
    </row>
    <row r="7377" spans="3:20" ht="31.2" customHeight="1"/>
    <row r="7378" spans="3:20" s="517" customFormat="1" ht="31.2" customHeight="1" thickBot="1">
      <c r="C7378" s="513" t="s">
        <v>5688</v>
      </c>
      <c r="D7378" s="748" t="s">
        <v>7650</v>
      </c>
      <c r="E7378" s="749"/>
      <c r="F7378" s="748"/>
      <c r="G7378" s="748"/>
      <c r="H7378" s="532"/>
      <c r="I7378" s="532"/>
      <c r="J7378" s="532"/>
      <c r="K7378" s="532"/>
      <c r="M7378" s="189"/>
      <c r="N7378" s="189"/>
      <c r="O7378" s="189"/>
      <c r="P7378" s="189"/>
      <c r="R7378" s="189">
        <f>ROUNDDOWN(H7391,-2)</f>
        <v>200</v>
      </c>
      <c r="S7378" s="517" t="s">
        <v>6451</v>
      </c>
      <c r="T7378" s="517" t="s">
        <v>7649</v>
      </c>
    </row>
    <row r="7379" spans="3:20" s="517" customFormat="1" ht="31.2" customHeight="1" thickTop="1">
      <c r="C7379" s="190" t="s">
        <v>1195</v>
      </c>
      <c r="D7379" s="191" t="s">
        <v>1196</v>
      </c>
      <c r="E7379" s="191" t="s">
        <v>1197</v>
      </c>
      <c r="F7379" s="191" t="s">
        <v>1198</v>
      </c>
      <c r="G7379" s="191" t="s">
        <v>1199</v>
      </c>
      <c r="H7379" s="192" t="s">
        <v>1200</v>
      </c>
      <c r="L7379" s="200"/>
      <c r="M7379" s="200"/>
      <c r="N7379" s="200"/>
      <c r="O7379" s="200"/>
      <c r="P7379" s="200"/>
    </row>
    <row r="7380" spans="3:20" s="517" customFormat="1" ht="31.2" customHeight="1">
      <c r="C7380" s="518" t="s">
        <v>1201</v>
      </c>
      <c r="D7380" s="196" t="s">
        <v>1202</v>
      </c>
      <c r="E7380" s="197"/>
      <c r="F7380" s="197"/>
      <c r="G7380" s="197"/>
      <c r="H7380" s="198"/>
      <c r="L7380" s="200"/>
      <c r="M7380" s="200"/>
      <c r="N7380" s="200"/>
      <c r="O7380" s="200"/>
      <c r="P7380" s="200"/>
    </row>
    <row r="7381" spans="3:20" s="517" customFormat="1" ht="31.2" customHeight="1">
      <c r="C7381" s="518">
        <v>1</v>
      </c>
      <c r="D7381" s="196" t="s">
        <v>7653</v>
      </c>
      <c r="E7381" s="203" t="s">
        <v>2102</v>
      </c>
      <c r="F7381" s="257">
        <v>1.4E-3</v>
      </c>
      <c r="G7381" s="205">
        <f>VLOOKUP(D7381,upahbahan,3,FALSE)*115%</f>
        <v>166750</v>
      </c>
      <c r="H7381" s="210">
        <f t="shared" ref="H7381:H7382" si="573">F7381*G7381</f>
        <v>233.45</v>
      </c>
      <c r="L7381" s="200"/>
      <c r="M7381" s="200"/>
      <c r="N7381" s="200"/>
      <c r="O7381" s="200"/>
      <c r="P7381" s="200"/>
    </row>
    <row r="7382" spans="3:20" s="517" customFormat="1" ht="31.2" customHeight="1">
      <c r="C7382" s="518">
        <v>2</v>
      </c>
      <c r="D7382" s="196" t="s">
        <v>19</v>
      </c>
      <c r="E7382" s="203" t="s">
        <v>2102</v>
      </c>
      <c r="F7382" s="786">
        <v>6.9999999999999994E-5</v>
      </c>
      <c r="G7382" s="205">
        <f>VLOOKUP(D7382,upahbahan,3,FALSE)</f>
        <v>160000</v>
      </c>
      <c r="H7382" s="210">
        <f t="shared" si="573"/>
        <v>11.2</v>
      </c>
      <c r="L7382" s="200"/>
      <c r="M7382" s="200"/>
      <c r="N7382" s="200"/>
      <c r="O7382" s="200"/>
      <c r="P7382" s="200"/>
    </row>
    <row r="7383" spans="3:20" s="517" customFormat="1" ht="31.2" customHeight="1">
      <c r="C7383" s="207" t="s">
        <v>1208</v>
      </c>
      <c r="D7383" s="208"/>
      <c r="E7383" s="208"/>
      <c r="F7383" s="521"/>
      <c r="G7383" s="522"/>
      <c r="H7383" s="210">
        <f>SUM(H7381:H7382)</f>
        <v>244.64999999999998</v>
      </c>
      <c r="L7383" s="523"/>
      <c r="M7383" s="523"/>
      <c r="N7383" s="523"/>
      <c r="O7383" s="523"/>
      <c r="P7383" s="523"/>
    </row>
    <row r="7384" spans="3:20" s="517" customFormat="1" ht="31.2" customHeight="1">
      <c r="C7384" s="543" t="s">
        <v>1209</v>
      </c>
      <c r="D7384" s="750" t="s">
        <v>1210</v>
      </c>
      <c r="E7384" s="197"/>
      <c r="F7384" s="751"/>
      <c r="G7384" s="197"/>
      <c r="H7384" s="752"/>
      <c r="L7384" s="200"/>
      <c r="M7384" s="200"/>
      <c r="N7384" s="200"/>
      <c r="O7384" s="200"/>
      <c r="P7384" s="200"/>
    </row>
    <row r="7385" spans="3:20" s="517" customFormat="1" ht="31.2" customHeight="1">
      <c r="C7385" s="543">
        <v>1</v>
      </c>
      <c r="D7385" s="750" t="s">
        <v>5566</v>
      </c>
      <c r="E7385" s="203" t="s">
        <v>42</v>
      </c>
      <c r="F7385" s="769">
        <v>2.3999999999999998E-3</v>
      </c>
      <c r="G7385" s="205">
        <f>VLOOKUP(D7385,upahbahan,3,FALSE)</f>
        <v>0</v>
      </c>
      <c r="H7385" s="210">
        <f>F7385*G7385</f>
        <v>0</v>
      </c>
      <c r="L7385" s="200"/>
      <c r="M7385" s="200"/>
      <c r="N7385" s="200"/>
      <c r="O7385" s="200"/>
      <c r="P7385" s="200"/>
    </row>
    <row r="7386" spans="3:20" s="517" customFormat="1" ht="31.2" customHeight="1">
      <c r="C7386" s="207" t="s">
        <v>1214</v>
      </c>
      <c r="D7386" s="208"/>
      <c r="E7386" s="568"/>
      <c r="F7386" s="208"/>
      <c r="G7386" s="209"/>
      <c r="H7386" s="210">
        <f>SUM(H7385:H7385)</f>
        <v>0</v>
      </c>
      <c r="L7386" s="200"/>
      <c r="M7386" s="200"/>
      <c r="N7386" s="200"/>
      <c r="O7386" s="200"/>
      <c r="P7386" s="200"/>
    </row>
    <row r="7387" spans="3:20" s="517" customFormat="1" ht="31.2" customHeight="1">
      <c r="C7387" s="195" t="s">
        <v>1215</v>
      </c>
      <c r="D7387" s="196" t="s">
        <v>1216</v>
      </c>
      <c r="E7387" s="203"/>
      <c r="F7387" s="197"/>
      <c r="G7387" s="197"/>
      <c r="H7387" s="198"/>
      <c r="L7387" s="200"/>
      <c r="M7387" s="200"/>
      <c r="N7387" s="200"/>
      <c r="O7387" s="200"/>
      <c r="P7387" s="200"/>
    </row>
    <row r="7388" spans="3:20" s="517" customFormat="1" ht="31.2" customHeight="1">
      <c r="C7388" s="207" t="s">
        <v>1217</v>
      </c>
      <c r="D7388" s="208"/>
      <c r="E7388" s="208"/>
      <c r="F7388" s="208"/>
      <c r="G7388" s="209"/>
      <c r="H7388" s="770">
        <f>SUM(H7387)</f>
        <v>0</v>
      </c>
      <c r="L7388" s="200"/>
      <c r="M7388" s="200"/>
      <c r="N7388" s="200"/>
      <c r="O7388" s="200"/>
      <c r="P7388" s="200"/>
    </row>
    <row r="7389" spans="3:20" s="517" customFormat="1" ht="31.2" customHeight="1">
      <c r="C7389" s="223" t="s">
        <v>1218</v>
      </c>
      <c r="D7389" s="224" t="s">
        <v>1219</v>
      </c>
      <c r="E7389" s="225"/>
      <c r="F7389" s="225"/>
      <c r="G7389" s="226"/>
      <c r="H7389" s="210">
        <f>H7388+H7386+H7383</f>
        <v>244.64999999999998</v>
      </c>
      <c r="L7389" s="200"/>
      <c r="M7389" s="200"/>
      <c r="N7389" s="200"/>
      <c r="O7389" s="200"/>
      <c r="P7389" s="200"/>
    </row>
    <row r="7390" spans="3:20" s="517" customFormat="1" ht="31.2" customHeight="1">
      <c r="C7390" s="223" t="s">
        <v>1220</v>
      </c>
      <c r="D7390" s="224" t="s">
        <v>1321</v>
      </c>
      <c r="E7390" s="225"/>
      <c r="F7390" s="226"/>
      <c r="G7390" s="228">
        <v>0.1</v>
      </c>
      <c r="H7390" s="210">
        <f>H7389*G7390</f>
        <v>24.465</v>
      </c>
      <c r="L7390" s="200"/>
      <c r="M7390" s="200"/>
      <c r="N7390" s="200"/>
      <c r="O7390" s="200"/>
      <c r="P7390" s="200"/>
    </row>
    <row r="7391" spans="3:20" s="517" customFormat="1" ht="31.2" customHeight="1" thickBot="1">
      <c r="C7391" s="229" t="s">
        <v>1221</v>
      </c>
      <c r="D7391" s="230" t="s">
        <v>1222</v>
      </c>
      <c r="E7391" s="231"/>
      <c r="F7391" s="231"/>
      <c r="G7391" s="232"/>
      <c r="H7391" s="233">
        <f>SUM(H7389:H7390)</f>
        <v>269.11499999999995</v>
      </c>
      <c r="L7391" s="200"/>
      <c r="M7391" s="200"/>
      <c r="N7391" s="200"/>
      <c r="O7391" s="200"/>
      <c r="P7391" s="200"/>
    </row>
    <row r="7392" spans="3:20" ht="31.2" customHeight="1" thickTop="1">
      <c r="C7392" s="788" t="s">
        <v>7659</v>
      </c>
    </row>
    <row r="7393" spans="3:20" ht="31.2" customHeight="1"/>
    <row r="7394" spans="3:20" ht="31.2" customHeight="1">
      <c r="C7394" s="765" t="s">
        <v>5689</v>
      </c>
      <c r="D7394" s="766" t="s">
        <v>7651</v>
      </c>
    </row>
    <row r="7395" spans="3:20" s="517" customFormat="1" ht="31.2" customHeight="1" thickBot="1">
      <c r="C7395" s="513" t="s">
        <v>5690</v>
      </c>
      <c r="D7395" s="748" t="s">
        <v>7652</v>
      </c>
      <c r="E7395" s="749"/>
      <c r="F7395" s="748"/>
      <c r="G7395" s="748"/>
      <c r="H7395" s="532"/>
      <c r="I7395" s="532"/>
      <c r="J7395" s="532"/>
      <c r="K7395" s="532"/>
      <c r="M7395" s="189"/>
      <c r="N7395" s="189"/>
      <c r="O7395" s="189"/>
      <c r="P7395" s="189"/>
      <c r="R7395" s="189">
        <f>ROUNDDOWN(H7410,-2)</f>
        <v>4400</v>
      </c>
      <c r="S7395" s="517" t="s">
        <v>6451</v>
      </c>
      <c r="T7395" s="517" t="s">
        <v>7655</v>
      </c>
    </row>
    <row r="7396" spans="3:20" s="517" customFormat="1" ht="31.2" customHeight="1" thickTop="1">
      <c r="C7396" s="190" t="s">
        <v>1195</v>
      </c>
      <c r="D7396" s="191" t="s">
        <v>1196</v>
      </c>
      <c r="E7396" s="191" t="s">
        <v>1197</v>
      </c>
      <c r="F7396" s="191" t="s">
        <v>1198</v>
      </c>
      <c r="G7396" s="191" t="s">
        <v>1199</v>
      </c>
      <c r="H7396" s="192" t="s">
        <v>1200</v>
      </c>
      <c r="L7396" s="200"/>
      <c r="M7396" s="200"/>
      <c r="N7396" s="200"/>
      <c r="O7396" s="200"/>
      <c r="P7396" s="200"/>
    </row>
    <row r="7397" spans="3:20" s="517" customFormat="1" ht="31.2" customHeight="1">
      <c r="C7397" s="518" t="s">
        <v>1201</v>
      </c>
      <c r="D7397" s="196" t="s">
        <v>1202</v>
      </c>
      <c r="E7397" s="197"/>
      <c r="F7397" s="197"/>
      <c r="G7397" s="197"/>
      <c r="H7397" s="198"/>
      <c r="L7397" s="200"/>
      <c r="M7397" s="200"/>
      <c r="N7397" s="200"/>
      <c r="O7397" s="200"/>
      <c r="P7397" s="200"/>
    </row>
    <row r="7398" spans="3:20" s="517" customFormat="1" ht="31.2" customHeight="1">
      <c r="C7398" s="518">
        <v>1</v>
      </c>
      <c r="D7398" s="196" t="s">
        <v>7653</v>
      </c>
      <c r="E7398" s="203" t="s">
        <v>2102</v>
      </c>
      <c r="F7398" s="257">
        <v>5.7000000000000002E-3</v>
      </c>
      <c r="G7398" s="205">
        <f>VLOOKUP(D7398,upahbahan,3,FALSE)*115%</f>
        <v>166750</v>
      </c>
      <c r="H7398" s="210">
        <f t="shared" ref="H7398:H7399" si="574">F7398*G7398</f>
        <v>950.47500000000002</v>
      </c>
      <c r="L7398" s="200"/>
      <c r="M7398" s="200"/>
      <c r="N7398" s="200"/>
      <c r="O7398" s="200"/>
      <c r="P7398" s="200"/>
    </row>
    <row r="7399" spans="3:20" s="517" customFormat="1" ht="31.2" customHeight="1">
      <c r="C7399" s="518">
        <v>2</v>
      </c>
      <c r="D7399" s="196" t="s">
        <v>19</v>
      </c>
      <c r="E7399" s="203" t="s">
        <v>2102</v>
      </c>
      <c r="F7399" s="786">
        <v>3.8000000000000002E-4</v>
      </c>
      <c r="G7399" s="205">
        <f>VLOOKUP(D7399,upahbahan,3,FALSE)</f>
        <v>160000</v>
      </c>
      <c r="H7399" s="210">
        <f t="shared" si="574"/>
        <v>60.800000000000004</v>
      </c>
      <c r="L7399" s="200"/>
      <c r="M7399" s="200"/>
      <c r="N7399" s="200"/>
      <c r="O7399" s="200"/>
      <c r="P7399" s="200"/>
    </row>
    <row r="7400" spans="3:20" s="517" customFormat="1" ht="31.2" customHeight="1">
      <c r="C7400" s="207" t="s">
        <v>1208</v>
      </c>
      <c r="D7400" s="208"/>
      <c r="E7400" s="208"/>
      <c r="F7400" s="521"/>
      <c r="G7400" s="522"/>
      <c r="H7400" s="210">
        <f>SUM(H7398:H7399)</f>
        <v>1011.275</v>
      </c>
      <c r="L7400" s="523"/>
      <c r="M7400" s="523"/>
      <c r="N7400" s="523"/>
      <c r="O7400" s="523"/>
      <c r="P7400" s="523"/>
    </row>
    <row r="7401" spans="3:20" s="517" customFormat="1" ht="31.2" customHeight="1">
      <c r="C7401" s="543" t="s">
        <v>1209</v>
      </c>
      <c r="D7401" s="750" t="s">
        <v>1210</v>
      </c>
      <c r="E7401" s="197"/>
      <c r="F7401" s="751"/>
      <c r="G7401" s="197"/>
      <c r="H7401" s="752"/>
      <c r="L7401" s="200"/>
      <c r="M7401" s="200"/>
      <c r="N7401" s="200"/>
      <c r="O7401" s="200"/>
      <c r="P7401" s="200"/>
    </row>
    <row r="7402" spans="3:20" s="517" customFormat="1" ht="31.2" customHeight="1">
      <c r="C7402" s="543">
        <v>1</v>
      </c>
      <c r="D7402" s="750" t="s">
        <v>7662</v>
      </c>
      <c r="E7402" s="203" t="s">
        <v>42</v>
      </c>
      <c r="F7402" s="789">
        <v>1.2E-5</v>
      </c>
      <c r="G7402" s="205">
        <f>VLOOKUP(D7402,upahbahan,3,FALSE)</f>
        <v>0</v>
      </c>
      <c r="H7402" s="210">
        <f>F7402*G7402</f>
        <v>0</v>
      </c>
      <c r="L7402" s="200"/>
      <c r="M7402" s="200"/>
      <c r="N7402" s="200"/>
      <c r="O7402" s="200"/>
      <c r="P7402" s="200"/>
    </row>
    <row r="7403" spans="3:20" s="517" customFormat="1" ht="31.2" customHeight="1">
      <c r="C7403" s="543">
        <v>1</v>
      </c>
      <c r="D7403" s="750" t="s">
        <v>960</v>
      </c>
      <c r="E7403" s="203" t="s">
        <v>529</v>
      </c>
      <c r="F7403" s="769">
        <v>5</v>
      </c>
      <c r="G7403" s="205">
        <f>VLOOKUP(D7403,upahbahan,3,FALSE)</f>
        <v>200</v>
      </c>
      <c r="H7403" s="210">
        <f>F7403*G7403</f>
        <v>1000</v>
      </c>
      <c r="L7403" s="200"/>
      <c r="M7403" s="200"/>
      <c r="N7403" s="200"/>
      <c r="O7403" s="200"/>
      <c r="P7403" s="200"/>
    </row>
    <row r="7404" spans="3:20" s="517" customFormat="1" ht="31.2" customHeight="1">
      <c r="C7404" s="207" t="s">
        <v>1214</v>
      </c>
      <c r="D7404" s="208"/>
      <c r="E7404" s="568"/>
      <c r="F7404" s="208"/>
      <c r="G7404" s="209"/>
      <c r="H7404" s="210">
        <f>SUM(H7402:H7403)</f>
        <v>1000</v>
      </c>
      <c r="L7404" s="200"/>
      <c r="M7404" s="200"/>
      <c r="N7404" s="200"/>
      <c r="O7404" s="200"/>
      <c r="P7404" s="200"/>
    </row>
    <row r="7405" spans="3:20" s="517" customFormat="1" ht="31.2" customHeight="1">
      <c r="C7405" s="195" t="s">
        <v>1215</v>
      </c>
      <c r="D7405" s="196" t="s">
        <v>1216</v>
      </c>
      <c r="E7405" s="203"/>
      <c r="F7405" s="197"/>
      <c r="G7405" s="197"/>
      <c r="H7405" s="198"/>
      <c r="L7405" s="200"/>
      <c r="M7405" s="200"/>
      <c r="N7405" s="200"/>
      <c r="O7405" s="200"/>
      <c r="P7405" s="200"/>
    </row>
    <row r="7406" spans="3:20" s="517" customFormat="1" ht="31.2" customHeight="1">
      <c r="C7406" s="543">
        <v>1</v>
      </c>
      <c r="D7406" s="750" t="s">
        <v>7654</v>
      </c>
      <c r="E7406" s="203" t="s">
        <v>1080</v>
      </c>
      <c r="F7406" s="769">
        <v>5.7000000000000002E-3</v>
      </c>
      <c r="G7406" s="205">
        <f>VLOOKUP(D7406,upahbahan,3,FALSE)</f>
        <v>350000</v>
      </c>
      <c r="H7406" s="210">
        <f>F7406*G7406</f>
        <v>1995</v>
      </c>
      <c r="L7406" s="200"/>
      <c r="M7406" s="200"/>
      <c r="N7406" s="200"/>
      <c r="O7406" s="200"/>
      <c r="P7406" s="200"/>
    </row>
    <row r="7407" spans="3:20" s="517" customFormat="1" ht="31.2" customHeight="1">
      <c r="C7407" s="207" t="s">
        <v>1217</v>
      </c>
      <c r="D7407" s="208"/>
      <c r="E7407" s="208"/>
      <c r="F7407" s="208"/>
      <c r="G7407" s="209"/>
      <c r="H7407" s="770">
        <f>SUM(H7406)</f>
        <v>1995</v>
      </c>
      <c r="L7407" s="200"/>
      <c r="M7407" s="200"/>
      <c r="N7407" s="200"/>
      <c r="O7407" s="200"/>
      <c r="P7407" s="200"/>
    </row>
    <row r="7408" spans="3:20" s="517" customFormat="1" ht="31.2" customHeight="1">
      <c r="C7408" s="223" t="s">
        <v>1218</v>
      </c>
      <c r="D7408" s="224" t="s">
        <v>1219</v>
      </c>
      <c r="E7408" s="225"/>
      <c r="F7408" s="225"/>
      <c r="G7408" s="226"/>
      <c r="H7408" s="210">
        <f>H7407+H7404+H7400</f>
        <v>4006.2750000000001</v>
      </c>
      <c r="L7408" s="200"/>
      <c r="M7408" s="200"/>
      <c r="N7408" s="200"/>
      <c r="O7408" s="200"/>
      <c r="P7408" s="200"/>
    </row>
    <row r="7409" spans="3:20" s="517" customFormat="1" ht="31.2" customHeight="1">
      <c r="C7409" s="223" t="s">
        <v>1220</v>
      </c>
      <c r="D7409" s="224" t="s">
        <v>1321</v>
      </c>
      <c r="E7409" s="225"/>
      <c r="F7409" s="226"/>
      <c r="G7409" s="228">
        <v>0.1</v>
      </c>
      <c r="H7409" s="210">
        <f>H7408*G7409</f>
        <v>400.62750000000005</v>
      </c>
      <c r="L7409" s="200"/>
      <c r="M7409" s="200"/>
      <c r="N7409" s="200"/>
      <c r="O7409" s="200"/>
      <c r="P7409" s="200"/>
    </row>
    <row r="7410" spans="3:20" s="517" customFormat="1" ht="31.2" customHeight="1" thickBot="1">
      <c r="C7410" s="229" t="s">
        <v>1221</v>
      </c>
      <c r="D7410" s="230" t="s">
        <v>1222</v>
      </c>
      <c r="E7410" s="231"/>
      <c r="F7410" s="231"/>
      <c r="G7410" s="232"/>
      <c r="H7410" s="233">
        <f>SUM(H7408:H7409)</f>
        <v>4406.9025000000001</v>
      </c>
      <c r="L7410" s="200"/>
      <c r="M7410" s="200"/>
      <c r="N7410" s="200"/>
      <c r="O7410" s="200"/>
      <c r="P7410" s="200"/>
    </row>
    <row r="7411" spans="3:20" ht="31.2" customHeight="1" thickTop="1">
      <c r="C7411" s="788" t="s">
        <v>7659</v>
      </c>
    </row>
    <row r="7412" spans="3:20" ht="31.2" customHeight="1"/>
    <row r="7413" spans="3:20" s="517" customFormat="1" ht="31.2" customHeight="1" thickBot="1">
      <c r="C7413" s="513" t="s">
        <v>5692</v>
      </c>
      <c r="D7413" s="748" t="s">
        <v>7656</v>
      </c>
      <c r="E7413" s="749"/>
      <c r="F7413" s="748"/>
      <c r="G7413" s="748"/>
      <c r="H7413" s="532"/>
      <c r="I7413" s="532"/>
      <c r="J7413" s="532"/>
      <c r="K7413" s="532"/>
      <c r="M7413" s="189"/>
      <c r="N7413" s="189"/>
      <c r="O7413" s="189"/>
      <c r="P7413" s="189"/>
      <c r="R7413" s="189">
        <f>ROUNDDOWN(H7428,-2)</f>
        <v>1400</v>
      </c>
      <c r="S7413" s="517" t="s">
        <v>6451</v>
      </c>
      <c r="T7413" s="517" t="s">
        <v>7655</v>
      </c>
    </row>
    <row r="7414" spans="3:20" s="517" customFormat="1" ht="31.2" customHeight="1" thickTop="1">
      <c r="C7414" s="190" t="s">
        <v>1195</v>
      </c>
      <c r="D7414" s="191" t="s">
        <v>1196</v>
      </c>
      <c r="E7414" s="191" t="s">
        <v>1197</v>
      </c>
      <c r="F7414" s="191" t="s">
        <v>1198</v>
      </c>
      <c r="G7414" s="191" t="s">
        <v>1199</v>
      </c>
      <c r="H7414" s="192" t="s">
        <v>1200</v>
      </c>
      <c r="L7414" s="200"/>
      <c r="M7414" s="200"/>
      <c r="N7414" s="200"/>
      <c r="O7414" s="200"/>
      <c r="P7414" s="200"/>
    </row>
    <row r="7415" spans="3:20" s="517" customFormat="1" ht="31.2" customHeight="1">
      <c r="C7415" s="518" t="s">
        <v>1201</v>
      </c>
      <c r="D7415" s="196" t="s">
        <v>1202</v>
      </c>
      <c r="E7415" s="197"/>
      <c r="F7415" s="197"/>
      <c r="G7415" s="197"/>
      <c r="H7415" s="198"/>
      <c r="L7415" s="200"/>
      <c r="M7415" s="200"/>
      <c r="N7415" s="200"/>
      <c r="O7415" s="200"/>
      <c r="P7415" s="200"/>
    </row>
    <row r="7416" spans="3:20" s="517" customFormat="1" ht="31.2" customHeight="1">
      <c r="C7416" s="518">
        <v>1</v>
      </c>
      <c r="D7416" s="196" t="s">
        <v>7653</v>
      </c>
      <c r="E7416" s="203" t="s">
        <v>2102</v>
      </c>
      <c r="F7416" s="257">
        <v>5.2999999999999998E-4</v>
      </c>
      <c r="G7416" s="205">
        <f>VLOOKUP(D7416,upahbahan,3,FALSE)*115%</f>
        <v>166750</v>
      </c>
      <c r="H7416" s="210">
        <f t="shared" ref="H7416:H7417" si="575">F7416*G7416</f>
        <v>88.377499999999998</v>
      </c>
      <c r="L7416" s="200"/>
      <c r="M7416" s="200"/>
      <c r="N7416" s="200"/>
      <c r="O7416" s="200"/>
      <c r="P7416" s="200"/>
    </row>
    <row r="7417" spans="3:20" s="517" customFormat="1" ht="31.2" customHeight="1">
      <c r="C7417" s="518">
        <v>2</v>
      </c>
      <c r="D7417" s="196" t="s">
        <v>19</v>
      </c>
      <c r="E7417" s="203" t="s">
        <v>2102</v>
      </c>
      <c r="F7417" s="786">
        <v>3.4999999999999997E-5</v>
      </c>
      <c r="G7417" s="205">
        <f>VLOOKUP(D7417,upahbahan,3,FALSE)</f>
        <v>160000</v>
      </c>
      <c r="H7417" s="210">
        <f t="shared" si="575"/>
        <v>5.6</v>
      </c>
      <c r="L7417" s="200"/>
      <c r="M7417" s="200"/>
      <c r="N7417" s="200"/>
      <c r="O7417" s="200"/>
      <c r="P7417" s="200"/>
    </row>
    <row r="7418" spans="3:20" s="517" customFormat="1" ht="31.2" customHeight="1">
      <c r="C7418" s="207" t="s">
        <v>1208</v>
      </c>
      <c r="D7418" s="208"/>
      <c r="E7418" s="208"/>
      <c r="F7418" s="521"/>
      <c r="G7418" s="522"/>
      <c r="H7418" s="210">
        <f>SUM(H7416:H7417)</f>
        <v>93.977499999999992</v>
      </c>
      <c r="L7418" s="523"/>
      <c r="M7418" s="523"/>
      <c r="N7418" s="523"/>
      <c r="O7418" s="523"/>
      <c r="P7418" s="523"/>
    </row>
    <row r="7419" spans="3:20" s="517" customFormat="1" ht="31.2" customHeight="1">
      <c r="C7419" s="543" t="s">
        <v>1209</v>
      </c>
      <c r="D7419" s="750" t="s">
        <v>1210</v>
      </c>
      <c r="E7419" s="197"/>
      <c r="F7419" s="751"/>
      <c r="G7419" s="197"/>
      <c r="H7419" s="752"/>
      <c r="L7419" s="200"/>
      <c r="M7419" s="200"/>
      <c r="N7419" s="200"/>
      <c r="O7419" s="200"/>
      <c r="P7419" s="200"/>
    </row>
    <row r="7420" spans="3:20" s="517" customFormat="1" ht="31.2" customHeight="1">
      <c r="C7420" s="543">
        <v>1</v>
      </c>
      <c r="D7420" s="750" t="s">
        <v>7662</v>
      </c>
      <c r="E7420" s="203" t="s">
        <v>42</v>
      </c>
      <c r="F7420" s="789">
        <v>1.2E-5</v>
      </c>
      <c r="G7420" s="205">
        <f>VLOOKUP(D7420,upahbahan,3,FALSE)</f>
        <v>0</v>
      </c>
      <c r="H7420" s="210">
        <f>F7420*G7420</f>
        <v>0</v>
      </c>
      <c r="L7420" s="200"/>
      <c r="M7420" s="200"/>
      <c r="N7420" s="200"/>
      <c r="O7420" s="200"/>
      <c r="P7420" s="200"/>
    </row>
    <row r="7421" spans="3:20" s="517" customFormat="1" ht="31.2" customHeight="1">
      <c r="C7421" s="543">
        <v>1</v>
      </c>
      <c r="D7421" s="750" t="s">
        <v>960</v>
      </c>
      <c r="E7421" s="203" t="s">
        <v>529</v>
      </c>
      <c r="F7421" s="769">
        <v>5</v>
      </c>
      <c r="G7421" s="205">
        <f>VLOOKUP(D7421,upahbahan,3,FALSE)</f>
        <v>200</v>
      </c>
      <c r="H7421" s="210">
        <f>F7421*G7421</f>
        <v>1000</v>
      </c>
      <c r="L7421" s="200"/>
      <c r="M7421" s="200"/>
      <c r="N7421" s="200"/>
      <c r="O7421" s="200"/>
      <c r="P7421" s="200"/>
    </row>
    <row r="7422" spans="3:20" s="517" customFormat="1" ht="31.2" customHeight="1">
      <c r="C7422" s="207" t="s">
        <v>1214</v>
      </c>
      <c r="D7422" s="208"/>
      <c r="E7422" s="568"/>
      <c r="F7422" s="208"/>
      <c r="G7422" s="209"/>
      <c r="H7422" s="210">
        <f>SUM(H7420:H7421)</f>
        <v>1000</v>
      </c>
      <c r="L7422" s="200"/>
      <c r="M7422" s="200"/>
      <c r="N7422" s="200"/>
      <c r="O7422" s="200"/>
      <c r="P7422" s="200"/>
    </row>
    <row r="7423" spans="3:20" s="517" customFormat="1" ht="31.2" customHeight="1">
      <c r="C7423" s="195" t="s">
        <v>1215</v>
      </c>
      <c r="D7423" s="196" t="s">
        <v>1216</v>
      </c>
      <c r="E7423" s="203"/>
      <c r="F7423" s="197"/>
      <c r="G7423" s="197"/>
      <c r="H7423" s="198"/>
      <c r="L7423" s="200"/>
      <c r="M7423" s="200"/>
      <c r="N7423" s="200"/>
      <c r="O7423" s="200"/>
      <c r="P7423" s="200"/>
    </row>
    <row r="7424" spans="3:20" s="517" customFormat="1" ht="31.2" customHeight="1">
      <c r="C7424" s="543">
        <v>1</v>
      </c>
      <c r="D7424" s="750" t="s">
        <v>7654</v>
      </c>
      <c r="E7424" s="203" t="s">
        <v>1080</v>
      </c>
      <c r="F7424" s="790">
        <v>5.2999999999999998E-4</v>
      </c>
      <c r="G7424" s="205">
        <f>VLOOKUP(D7424,upahbahan,3,FALSE)</f>
        <v>350000</v>
      </c>
      <c r="H7424" s="210">
        <f>F7424*G7424</f>
        <v>185.5</v>
      </c>
      <c r="L7424" s="200"/>
      <c r="M7424" s="200"/>
      <c r="N7424" s="200"/>
      <c r="O7424" s="200"/>
      <c r="P7424" s="200"/>
    </row>
    <row r="7425" spans="3:20" s="517" customFormat="1" ht="31.2" customHeight="1">
      <c r="C7425" s="207" t="s">
        <v>1217</v>
      </c>
      <c r="D7425" s="208"/>
      <c r="E7425" s="208"/>
      <c r="F7425" s="208"/>
      <c r="G7425" s="209"/>
      <c r="H7425" s="770">
        <f>SUM(H7424)</f>
        <v>185.5</v>
      </c>
      <c r="L7425" s="200"/>
      <c r="M7425" s="200"/>
      <c r="N7425" s="200"/>
      <c r="O7425" s="200"/>
      <c r="P7425" s="200"/>
    </row>
    <row r="7426" spans="3:20" s="517" customFormat="1" ht="31.2" customHeight="1">
      <c r="C7426" s="223" t="s">
        <v>1218</v>
      </c>
      <c r="D7426" s="224" t="s">
        <v>1219</v>
      </c>
      <c r="E7426" s="225"/>
      <c r="F7426" s="225"/>
      <c r="G7426" s="226"/>
      <c r="H7426" s="210">
        <f>H7425+H7422+H7418</f>
        <v>1279.4775</v>
      </c>
      <c r="L7426" s="200"/>
      <c r="M7426" s="200"/>
      <c r="N7426" s="200"/>
      <c r="O7426" s="200"/>
      <c r="P7426" s="200"/>
    </row>
    <row r="7427" spans="3:20" s="517" customFormat="1" ht="31.2" customHeight="1">
      <c r="C7427" s="223" t="s">
        <v>1220</v>
      </c>
      <c r="D7427" s="224" t="s">
        <v>1321</v>
      </c>
      <c r="E7427" s="225"/>
      <c r="F7427" s="226"/>
      <c r="G7427" s="228">
        <v>0.1</v>
      </c>
      <c r="H7427" s="210">
        <f>H7426*G7427</f>
        <v>127.94775</v>
      </c>
      <c r="L7427" s="200"/>
      <c r="M7427" s="200"/>
      <c r="N7427" s="200"/>
      <c r="O7427" s="200"/>
      <c r="P7427" s="200"/>
    </row>
    <row r="7428" spans="3:20" s="517" customFormat="1" ht="31.2" customHeight="1" thickBot="1">
      <c r="C7428" s="229" t="s">
        <v>1221</v>
      </c>
      <c r="D7428" s="230" t="s">
        <v>1222</v>
      </c>
      <c r="E7428" s="231"/>
      <c r="F7428" s="231"/>
      <c r="G7428" s="232"/>
      <c r="H7428" s="233">
        <f>SUM(H7426:H7427)</f>
        <v>1407.42525</v>
      </c>
      <c r="L7428" s="200"/>
      <c r="M7428" s="200"/>
      <c r="N7428" s="200"/>
      <c r="O7428" s="200"/>
      <c r="P7428" s="200"/>
    </row>
    <row r="7429" spans="3:20" ht="31.2" customHeight="1" thickTop="1">
      <c r="C7429" s="788" t="s">
        <v>7659</v>
      </c>
    </row>
    <row r="7430" spans="3:20" ht="31.2" customHeight="1"/>
    <row r="7431" spans="3:20" s="517" customFormat="1" ht="31.2" customHeight="1" thickBot="1">
      <c r="C7431" s="513" t="s">
        <v>7657</v>
      </c>
      <c r="D7431" s="748" t="s">
        <v>7656</v>
      </c>
      <c r="E7431" s="749"/>
      <c r="F7431" s="748"/>
      <c r="G7431" s="748"/>
      <c r="H7431" s="532"/>
      <c r="I7431" s="532"/>
      <c r="J7431" s="532"/>
      <c r="K7431" s="532"/>
      <c r="M7431" s="189"/>
      <c r="N7431" s="189"/>
      <c r="O7431" s="189"/>
      <c r="P7431" s="189"/>
      <c r="R7431" s="189">
        <f>ROUNDDOWN(H7446,-2)</f>
        <v>1400</v>
      </c>
      <c r="S7431" s="517" t="s">
        <v>6451</v>
      </c>
      <c r="T7431" s="517" t="s">
        <v>7014</v>
      </c>
    </row>
    <row r="7432" spans="3:20" s="517" customFormat="1" ht="31.2" customHeight="1" thickTop="1">
      <c r="C7432" s="190" t="s">
        <v>1195</v>
      </c>
      <c r="D7432" s="191" t="s">
        <v>1196</v>
      </c>
      <c r="E7432" s="191" t="s">
        <v>1197</v>
      </c>
      <c r="F7432" s="191" t="s">
        <v>1198</v>
      </c>
      <c r="G7432" s="191" t="s">
        <v>1199</v>
      </c>
      <c r="H7432" s="192" t="s">
        <v>1200</v>
      </c>
      <c r="L7432" s="200"/>
      <c r="M7432" s="200"/>
      <c r="N7432" s="200"/>
      <c r="O7432" s="200"/>
      <c r="P7432" s="200"/>
    </row>
    <row r="7433" spans="3:20" s="517" customFormat="1" ht="31.2" customHeight="1">
      <c r="C7433" s="518" t="s">
        <v>1201</v>
      </c>
      <c r="D7433" s="196" t="s">
        <v>1202</v>
      </c>
      <c r="E7433" s="197"/>
      <c r="F7433" s="197"/>
      <c r="G7433" s="197"/>
      <c r="H7433" s="198"/>
      <c r="L7433" s="200"/>
      <c r="M7433" s="200"/>
      <c r="N7433" s="200"/>
      <c r="O7433" s="200"/>
      <c r="P7433" s="200"/>
    </row>
    <row r="7434" spans="3:20" s="517" customFormat="1" ht="31.2" customHeight="1">
      <c r="C7434" s="518">
        <v>1</v>
      </c>
      <c r="D7434" s="196" t="s">
        <v>7653</v>
      </c>
      <c r="E7434" s="203" t="s">
        <v>2102</v>
      </c>
      <c r="F7434" s="257">
        <v>5.2999999999999998E-4</v>
      </c>
      <c r="G7434" s="205">
        <f>VLOOKUP(D7434,upahbahan,3,FALSE)*115%</f>
        <v>166750</v>
      </c>
      <c r="H7434" s="210">
        <f t="shared" ref="H7434:H7435" si="576">F7434*G7434</f>
        <v>88.377499999999998</v>
      </c>
      <c r="L7434" s="200"/>
      <c r="M7434" s="200"/>
      <c r="N7434" s="200"/>
      <c r="O7434" s="200"/>
      <c r="P7434" s="200"/>
    </row>
    <row r="7435" spans="3:20" s="517" customFormat="1" ht="31.2" customHeight="1">
      <c r="C7435" s="518">
        <v>2</v>
      </c>
      <c r="D7435" s="196" t="s">
        <v>19</v>
      </c>
      <c r="E7435" s="203" t="s">
        <v>2102</v>
      </c>
      <c r="F7435" s="786">
        <v>3.4999999999999997E-5</v>
      </c>
      <c r="G7435" s="205">
        <f>VLOOKUP(D7435,upahbahan,3,FALSE)</f>
        <v>160000</v>
      </c>
      <c r="H7435" s="210">
        <f t="shared" si="576"/>
        <v>5.6</v>
      </c>
      <c r="L7435" s="200"/>
      <c r="M7435" s="200"/>
      <c r="N7435" s="200"/>
      <c r="O7435" s="200"/>
      <c r="P7435" s="200"/>
    </row>
    <row r="7436" spans="3:20" s="517" customFormat="1" ht="31.2" customHeight="1">
      <c r="C7436" s="207" t="s">
        <v>1208</v>
      </c>
      <c r="D7436" s="208"/>
      <c r="E7436" s="208"/>
      <c r="F7436" s="521"/>
      <c r="G7436" s="522"/>
      <c r="H7436" s="210">
        <f>SUM(H7434:H7435)</f>
        <v>93.977499999999992</v>
      </c>
      <c r="L7436" s="523"/>
      <c r="M7436" s="523"/>
      <c r="N7436" s="523"/>
      <c r="O7436" s="523"/>
      <c r="P7436" s="523"/>
    </row>
    <row r="7437" spans="3:20" s="517" customFormat="1" ht="31.2" customHeight="1">
      <c r="C7437" s="543" t="s">
        <v>1209</v>
      </c>
      <c r="D7437" s="750" t="s">
        <v>1210</v>
      </c>
      <c r="E7437" s="197"/>
      <c r="F7437" s="751"/>
      <c r="G7437" s="197"/>
      <c r="H7437" s="752"/>
      <c r="L7437" s="200"/>
      <c r="M7437" s="200"/>
      <c r="N7437" s="200"/>
      <c r="O7437" s="200"/>
      <c r="P7437" s="200"/>
    </row>
    <row r="7438" spans="3:20" s="517" customFormat="1" ht="31.2" customHeight="1">
      <c r="C7438" s="543">
        <v>1</v>
      </c>
      <c r="D7438" s="750" t="s">
        <v>7662</v>
      </c>
      <c r="E7438" s="203" t="s">
        <v>42</v>
      </c>
      <c r="F7438" s="789">
        <v>1.2E-5</v>
      </c>
      <c r="G7438" s="205">
        <f>VLOOKUP(D7438,upahbahan,3,FALSE)</f>
        <v>0</v>
      </c>
      <c r="H7438" s="210">
        <f>F7438*G7438</f>
        <v>0</v>
      </c>
      <c r="L7438" s="200"/>
      <c r="M7438" s="200"/>
      <c r="N7438" s="200"/>
      <c r="O7438" s="200"/>
      <c r="P7438" s="200"/>
    </row>
    <row r="7439" spans="3:20" s="517" customFormat="1" ht="31.2" customHeight="1">
      <c r="C7439" s="543">
        <v>1</v>
      </c>
      <c r="D7439" s="750" t="s">
        <v>960</v>
      </c>
      <c r="E7439" s="203" t="s">
        <v>529</v>
      </c>
      <c r="F7439" s="769">
        <v>5</v>
      </c>
      <c r="G7439" s="205">
        <f>VLOOKUP(D7439,upahbahan,3,FALSE)</f>
        <v>200</v>
      </c>
      <c r="H7439" s="210">
        <f>F7439*G7439</f>
        <v>1000</v>
      </c>
      <c r="L7439" s="200"/>
      <c r="M7439" s="200"/>
      <c r="N7439" s="200"/>
      <c r="O7439" s="200"/>
      <c r="P7439" s="200"/>
    </row>
    <row r="7440" spans="3:20" s="517" customFormat="1" ht="31.2" customHeight="1">
      <c r="C7440" s="207" t="s">
        <v>1214</v>
      </c>
      <c r="D7440" s="208"/>
      <c r="E7440" s="568"/>
      <c r="F7440" s="208"/>
      <c r="G7440" s="209"/>
      <c r="H7440" s="210">
        <f>SUM(H7438:H7439)</f>
        <v>1000</v>
      </c>
      <c r="L7440" s="200"/>
      <c r="M7440" s="200"/>
      <c r="N7440" s="200"/>
      <c r="O7440" s="200"/>
      <c r="P7440" s="200"/>
    </row>
    <row r="7441" spans="3:20" s="517" customFormat="1" ht="31.2" customHeight="1">
      <c r="C7441" s="195" t="s">
        <v>1215</v>
      </c>
      <c r="D7441" s="196" t="s">
        <v>1216</v>
      </c>
      <c r="E7441" s="203"/>
      <c r="F7441" s="197"/>
      <c r="G7441" s="197"/>
      <c r="H7441" s="198"/>
      <c r="L7441" s="200"/>
      <c r="M7441" s="200"/>
      <c r="N7441" s="200"/>
      <c r="O7441" s="200"/>
      <c r="P7441" s="200"/>
    </row>
    <row r="7442" spans="3:20" s="517" customFormat="1" ht="31.2" customHeight="1">
      <c r="C7442" s="543">
        <v>1</v>
      </c>
      <c r="D7442" s="750" t="s">
        <v>7654</v>
      </c>
      <c r="E7442" s="203" t="s">
        <v>1080</v>
      </c>
      <c r="F7442" s="790">
        <v>5.2999999999999998E-4</v>
      </c>
      <c r="G7442" s="205">
        <f>VLOOKUP(D7442,upahbahan,3,FALSE)</f>
        <v>350000</v>
      </c>
      <c r="H7442" s="210">
        <f>F7442*G7442</f>
        <v>185.5</v>
      </c>
      <c r="L7442" s="200"/>
      <c r="M7442" s="200"/>
      <c r="N7442" s="200"/>
      <c r="O7442" s="200"/>
      <c r="P7442" s="200"/>
    </row>
    <row r="7443" spans="3:20" s="517" customFormat="1" ht="31.2" customHeight="1">
      <c r="C7443" s="207" t="s">
        <v>1217</v>
      </c>
      <c r="D7443" s="208"/>
      <c r="E7443" s="208"/>
      <c r="F7443" s="208"/>
      <c r="G7443" s="209"/>
      <c r="H7443" s="770">
        <f>SUM(H7442)</f>
        <v>185.5</v>
      </c>
      <c r="L7443" s="200"/>
      <c r="M7443" s="200"/>
      <c r="N7443" s="200"/>
      <c r="O7443" s="200"/>
      <c r="P7443" s="200"/>
    </row>
    <row r="7444" spans="3:20" s="517" customFormat="1" ht="31.2" customHeight="1">
      <c r="C7444" s="223" t="s">
        <v>1218</v>
      </c>
      <c r="D7444" s="224" t="s">
        <v>1219</v>
      </c>
      <c r="E7444" s="225"/>
      <c r="F7444" s="225"/>
      <c r="G7444" s="226"/>
      <c r="H7444" s="210">
        <f>H7443+H7440+H7436</f>
        <v>1279.4775</v>
      </c>
      <c r="L7444" s="200"/>
      <c r="M7444" s="200"/>
      <c r="N7444" s="200"/>
      <c r="O7444" s="200"/>
      <c r="P7444" s="200"/>
    </row>
    <row r="7445" spans="3:20" s="517" customFormat="1" ht="31.2" customHeight="1">
      <c r="C7445" s="223" t="s">
        <v>1220</v>
      </c>
      <c r="D7445" s="224" t="s">
        <v>1321</v>
      </c>
      <c r="E7445" s="225"/>
      <c r="F7445" s="226"/>
      <c r="G7445" s="228">
        <v>0.1</v>
      </c>
      <c r="H7445" s="210">
        <f>H7444*G7445</f>
        <v>127.94775</v>
      </c>
      <c r="L7445" s="200"/>
      <c r="M7445" s="200"/>
      <c r="N7445" s="200"/>
      <c r="O7445" s="200"/>
      <c r="P7445" s="200"/>
    </row>
    <row r="7446" spans="3:20" s="517" customFormat="1" ht="31.2" customHeight="1" thickBot="1">
      <c r="C7446" s="229" t="s">
        <v>1221</v>
      </c>
      <c r="D7446" s="230" t="s">
        <v>1222</v>
      </c>
      <c r="E7446" s="231"/>
      <c r="F7446" s="231"/>
      <c r="G7446" s="232"/>
      <c r="H7446" s="233">
        <f>SUM(H7444:H7445)</f>
        <v>1407.42525</v>
      </c>
      <c r="L7446" s="200"/>
      <c r="M7446" s="200"/>
      <c r="N7446" s="200"/>
      <c r="O7446" s="200"/>
      <c r="P7446" s="200"/>
    </row>
    <row r="7447" spans="3:20" ht="31.2" customHeight="1" thickTop="1">
      <c r="C7447" s="788" t="s">
        <v>7658</v>
      </c>
    </row>
    <row r="7448" spans="3:20" ht="31.2" customHeight="1"/>
    <row r="7449" spans="3:20" ht="31.2" customHeight="1"/>
    <row r="7450" spans="3:20" s="517" customFormat="1" ht="31.2" customHeight="1" thickBot="1">
      <c r="C7450" s="513" t="s">
        <v>5694</v>
      </c>
      <c r="D7450" s="748" t="s">
        <v>7660</v>
      </c>
      <c r="E7450" s="749"/>
      <c r="F7450" s="748"/>
      <c r="G7450" s="748"/>
      <c r="H7450" s="532"/>
      <c r="I7450" s="532"/>
      <c r="J7450" s="532"/>
      <c r="K7450" s="532"/>
      <c r="M7450" s="189"/>
      <c r="N7450" s="189"/>
      <c r="O7450" s="189"/>
      <c r="P7450" s="189"/>
      <c r="R7450" s="189">
        <f>ROUNDDOWN(H7464,-2)</f>
        <v>4400</v>
      </c>
      <c r="S7450" s="517" t="s">
        <v>6451</v>
      </c>
      <c r="T7450" s="517" t="s">
        <v>7661</v>
      </c>
    </row>
    <row r="7451" spans="3:20" s="517" customFormat="1" ht="31.2" customHeight="1" thickTop="1">
      <c r="C7451" s="190" t="s">
        <v>1195</v>
      </c>
      <c r="D7451" s="191" t="s">
        <v>1196</v>
      </c>
      <c r="E7451" s="191" t="s">
        <v>1197</v>
      </c>
      <c r="F7451" s="191" t="s">
        <v>1198</v>
      </c>
      <c r="G7451" s="191" t="s">
        <v>1199</v>
      </c>
      <c r="H7451" s="192" t="s">
        <v>1200</v>
      </c>
      <c r="L7451" s="200"/>
      <c r="M7451" s="200"/>
      <c r="N7451" s="200"/>
      <c r="O7451" s="200"/>
      <c r="P7451" s="200"/>
    </row>
    <row r="7452" spans="3:20" s="517" customFormat="1" ht="31.2" customHeight="1">
      <c r="C7452" s="518" t="s">
        <v>1201</v>
      </c>
      <c r="D7452" s="196" t="s">
        <v>1202</v>
      </c>
      <c r="E7452" s="197"/>
      <c r="F7452" s="197"/>
      <c r="G7452" s="197"/>
      <c r="H7452" s="198"/>
      <c r="L7452" s="200"/>
      <c r="M7452" s="200"/>
      <c r="N7452" s="200"/>
      <c r="O7452" s="200"/>
      <c r="P7452" s="200"/>
    </row>
    <row r="7453" spans="3:20" s="517" customFormat="1" ht="31.2" customHeight="1">
      <c r="C7453" s="518">
        <v>1</v>
      </c>
      <c r="D7453" s="196" t="s">
        <v>7653</v>
      </c>
      <c r="E7453" s="203" t="s">
        <v>2102</v>
      </c>
      <c r="F7453" s="257">
        <v>4.7999999999999996E-3</v>
      </c>
      <c r="G7453" s="205">
        <f>VLOOKUP(D7453,upahbahan,3,FALSE)*115%</f>
        <v>166750</v>
      </c>
      <c r="H7453" s="210">
        <f t="shared" ref="H7453:H7454" si="577">F7453*G7453</f>
        <v>800.4</v>
      </c>
      <c r="L7453" s="200"/>
      <c r="M7453" s="200"/>
      <c r="N7453" s="200"/>
      <c r="O7453" s="200"/>
      <c r="P7453" s="200"/>
    </row>
    <row r="7454" spans="3:20" s="517" customFormat="1" ht="31.2" customHeight="1">
      <c r="C7454" s="518">
        <v>2</v>
      </c>
      <c r="D7454" s="196" t="s">
        <v>19</v>
      </c>
      <c r="E7454" s="203" t="s">
        <v>2102</v>
      </c>
      <c r="F7454" s="786">
        <v>1.43E-2</v>
      </c>
      <c r="G7454" s="205">
        <f>VLOOKUP(D7454,upahbahan,3,FALSE)</f>
        <v>160000</v>
      </c>
      <c r="H7454" s="210">
        <f t="shared" si="577"/>
        <v>2288</v>
      </c>
      <c r="L7454" s="200"/>
      <c r="M7454" s="200"/>
      <c r="N7454" s="200"/>
      <c r="O7454" s="200"/>
      <c r="P7454" s="200"/>
    </row>
    <row r="7455" spans="3:20" s="517" customFormat="1" ht="31.2" customHeight="1">
      <c r="C7455" s="207" t="s">
        <v>1208</v>
      </c>
      <c r="D7455" s="208"/>
      <c r="E7455" s="208"/>
      <c r="F7455" s="521"/>
      <c r="G7455" s="522"/>
      <c r="H7455" s="210">
        <f>SUM(H7453:H7454)</f>
        <v>3088.4</v>
      </c>
      <c r="L7455" s="523"/>
      <c r="M7455" s="523"/>
      <c r="N7455" s="523"/>
      <c r="O7455" s="523"/>
      <c r="P7455" s="523"/>
    </row>
    <row r="7456" spans="3:20" s="517" customFormat="1" ht="31.2" customHeight="1">
      <c r="C7456" s="543" t="s">
        <v>1209</v>
      </c>
      <c r="D7456" s="750" t="s">
        <v>1210</v>
      </c>
      <c r="E7456" s="197"/>
      <c r="F7456" s="751"/>
      <c r="G7456" s="197"/>
      <c r="H7456" s="752"/>
      <c r="L7456" s="200"/>
      <c r="M7456" s="200"/>
      <c r="N7456" s="200"/>
      <c r="O7456" s="200"/>
      <c r="P7456" s="200"/>
    </row>
    <row r="7457" spans="3:18" s="517" customFormat="1" ht="31.2" customHeight="1">
      <c r="C7457" s="543">
        <v>1</v>
      </c>
      <c r="D7457" s="750" t="s">
        <v>5695</v>
      </c>
      <c r="E7457" s="203" t="s">
        <v>42</v>
      </c>
      <c r="F7457" s="789">
        <v>1.0999999999999999E-2</v>
      </c>
      <c r="G7457" s="205">
        <f>VLOOKUP(D7457,upahbahan,3,FALSE)</f>
        <v>0</v>
      </c>
      <c r="H7457" s="210">
        <f>F7457*G7457</f>
        <v>0</v>
      </c>
      <c r="L7457" s="200"/>
      <c r="M7457" s="200"/>
      <c r="N7457" s="200"/>
      <c r="O7457" s="200"/>
      <c r="P7457" s="200"/>
    </row>
    <row r="7458" spans="3:18" s="517" customFormat="1" ht="31.2" customHeight="1">
      <c r="C7458" s="543">
        <v>1</v>
      </c>
      <c r="D7458" s="750" t="s">
        <v>960</v>
      </c>
      <c r="E7458" s="203" t="s">
        <v>529</v>
      </c>
      <c r="F7458" s="769">
        <v>5</v>
      </c>
      <c r="G7458" s="205">
        <f>VLOOKUP(D7458,upahbahan,3,FALSE)</f>
        <v>200</v>
      </c>
      <c r="H7458" s="210">
        <f>F7458*G7458</f>
        <v>1000</v>
      </c>
      <c r="L7458" s="200"/>
      <c r="M7458" s="200"/>
      <c r="N7458" s="200"/>
      <c r="O7458" s="200"/>
      <c r="P7458" s="200"/>
    </row>
    <row r="7459" spans="3:18" s="517" customFormat="1" ht="31.2" customHeight="1">
      <c r="C7459" s="207" t="s">
        <v>1214</v>
      </c>
      <c r="D7459" s="208"/>
      <c r="E7459" s="568"/>
      <c r="F7459" s="208"/>
      <c r="G7459" s="209"/>
      <c r="H7459" s="210">
        <f>SUM(H7457:H7458)</f>
        <v>1000</v>
      </c>
      <c r="L7459" s="200"/>
      <c r="M7459" s="200"/>
      <c r="N7459" s="200"/>
      <c r="O7459" s="200"/>
      <c r="P7459" s="200"/>
    </row>
    <row r="7460" spans="3:18" s="517" customFormat="1" ht="31.2" customHeight="1">
      <c r="C7460" s="195" t="s">
        <v>1215</v>
      </c>
      <c r="D7460" s="196" t="s">
        <v>1216</v>
      </c>
      <c r="E7460" s="203"/>
      <c r="F7460" s="197"/>
      <c r="G7460" s="197"/>
      <c r="H7460" s="198"/>
      <c r="L7460" s="200"/>
      <c r="M7460" s="200"/>
      <c r="N7460" s="200"/>
      <c r="O7460" s="200"/>
      <c r="P7460" s="200"/>
    </row>
    <row r="7461" spans="3:18" s="517" customFormat="1" ht="31.2" customHeight="1">
      <c r="C7461" s="207" t="s">
        <v>1217</v>
      </c>
      <c r="D7461" s="208"/>
      <c r="E7461" s="208"/>
      <c r="F7461" s="208"/>
      <c r="G7461" s="209"/>
      <c r="H7461" s="770">
        <f>SUM(H7460)</f>
        <v>0</v>
      </c>
      <c r="L7461" s="200"/>
      <c r="M7461" s="200"/>
      <c r="N7461" s="200"/>
      <c r="O7461" s="200"/>
      <c r="P7461" s="200"/>
    </row>
    <row r="7462" spans="3:18" s="517" customFormat="1" ht="31.2" customHeight="1">
      <c r="C7462" s="223" t="s">
        <v>1218</v>
      </c>
      <c r="D7462" s="224" t="s">
        <v>1219</v>
      </c>
      <c r="E7462" s="225"/>
      <c r="F7462" s="225"/>
      <c r="G7462" s="226"/>
      <c r="H7462" s="210">
        <f>H7461+H7459+H7455</f>
        <v>4088.4</v>
      </c>
      <c r="L7462" s="200"/>
      <c r="M7462" s="200"/>
      <c r="N7462" s="200"/>
      <c r="O7462" s="200"/>
      <c r="P7462" s="200"/>
    </row>
    <row r="7463" spans="3:18" s="517" customFormat="1" ht="31.2" customHeight="1">
      <c r="C7463" s="223" t="s">
        <v>1220</v>
      </c>
      <c r="D7463" s="224" t="s">
        <v>1321</v>
      </c>
      <c r="E7463" s="225"/>
      <c r="F7463" s="226"/>
      <c r="G7463" s="228">
        <v>0.1</v>
      </c>
      <c r="H7463" s="210">
        <f>H7462*G7463</f>
        <v>408.84000000000003</v>
      </c>
      <c r="L7463" s="200"/>
      <c r="M7463" s="200"/>
      <c r="N7463" s="200"/>
      <c r="O7463" s="200"/>
      <c r="P7463" s="200"/>
    </row>
    <row r="7464" spans="3:18" s="517" customFormat="1" ht="31.2" customHeight="1" thickBot="1">
      <c r="C7464" s="229" t="s">
        <v>1221</v>
      </c>
      <c r="D7464" s="230" t="s">
        <v>1222</v>
      </c>
      <c r="E7464" s="231"/>
      <c r="F7464" s="231"/>
      <c r="G7464" s="232"/>
      <c r="H7464" s="233">
        <f>SUM(H7462:H7463)</f>
        <v>4497.24</v>
      </c>
      <c r="L7464" s="200"/>
      <c r="M7464" s="200"/>
      <c r="N7464" s="200"/>
      <c r="O7464" s="200"/>
      <c r="P7464" s="200"/>
    </row>
    <row r="7465" spans="3:18" ht="31.2" customHeight="1" thickTop="1">
      <c r="C7465" s="788" t="s">
        <v>7658</v>
      </c>
    </row>
    <row r="7466" spans="3:18" ht="31.2" customHeight="1"/>
    <row r="7467" spans="3:18" s="517" customFormat="1" ht="31.2" customHeight="1" thickBot="1">
      <c r="C7467" s="513" t="s">
        <v>5696</v>
      </c>
      <c r="D7467" s="748" t="s">
        <v>7663</v>
      </c>
      <c r="E7467" s="749"/>
      <c r="F7467" s="748"/>
      <c r="G7467" s="748"/>
      <c r="H7467" s="532"/>
      <c r="I7467" s="532"/>
      <c r="J7467" s="532"/>
      <c r="K7467" s="532"/>
      <c r="M7467" s="189"/>
      <c r="N7467" s="189"/>
      <c r="O7467" s="189"/>
      <c r="P7467" s="189"/>
      <c r="R7467" s="189">
        <f>ROUNDDOWN(H7481,-2)</f>
        <v>1200</v>
      </c>
    </row>
    <row r="7468" spans="3:18" s="517" customFormat="1" ht="31.2" customHeight="1" thickTop="1">
      <c r="C7468" s="190" t="s">
        <v>1195</v>
      </c>
      <c r="D7468" s="191" t="s">
        <v>1196</v>
      </c>
      <c r="E7468" s="191" t="s">
        <v>1197</v>
      </c>
      <c r="F7468" s="191" t="s">
        <v>1198</v>
      </c>
      <c r="G7468" s="191" t="s">
        <v>1199</v>
      </c>
      <c r="H7468" s="192" t="s">
        <v>1200</v>
      </c>
      <c r="L7468" s="200"/>
      <c r="M7468" s="200"/>
      <c r="N7468" s="200"/>
      <c r="O7468" s="200"/>
      <c r="P7468" s="200"/>
    </row>
    <row r="7469" spans="3:18" s="517" customFormat="1" ht="31.2" customHeight="1">
      <c r="C7469" s="518" t="s">
        <v>1201</v>
      </c>
      <c r="D7469" s="196" t="s">
        <v>1202</v>
      </c>
      <c r="E7469" s="197"/>
      <c r="F7469" s="197"/>
      <c r="G7469" s="197"/>
      <c r="H7469" s="198"/>
      <c r="L7469" s="200"/>
      <c r="M7469" s="200"/>
      <c r="N7469" s="200"/>
      <c r="O7469" s="200"/>
      <c r="P7469" s="200"/>
    </row>
    <row r="7470" spans="3:18" s="517" customFormat="1" ht="31.2" customHeight="1">
      <c r="C7470" s="518">
        <v>1</v>
      </c>
      <c r="D7470" s="196" t="s">
        <v>7653</v>
      </c>
      <c r="E7470" s="203" t="s">
        <v>2102</v>
      </c>
      <c r="F7470" s="257">
        <v>2.0000000000000001E-4</v>
      </c>
      <c r="G7470" s="205">
        <f>VLOOKUP(D7470,upahbahan,3,FALSE)*115%</f>
        <v>166750</v>
      </c>
      <c r="H7470" s="210">
        <f t="shared" ref="H7470:H7471" si="578">F7470*G7470</f>
        <v>33.35</v>
      </c>
      <c r="L7470" s="200"/>
      <c r="M7470" s="200"/>
      <c r="N7470" s="200"/>
      <c r="O7470" s="200"/>
      <c r="P7470" s="200"/>
    </row>
    <row r="7471" spans="3:18" s="517" customFormat="1" ht="31.2" customHeight="1">
      <c r="C7471" s="518">
        <v>2</v>
      </c>
      <c r="D7471" s="196" t="s">
        <v>19</v>
      </c>
      <c r="E7471" s="203" t="s">
        <v>2102</v>
      </c>
      <c r="F7471" s="786">
        <v>6.9999999999999999E-4</v>
      </c>
      <c r="G7471" s="205">
        <f>VLOOKUP(D7471,upahbahan,3,FALSE)</f>
        <v>160000</v>
      </c>
      <c r="H7471" s="210">
        <f t="shared" si="578"/>
        <v>112</v>
      </c>
      <c r="L7471" s="200"/>
      <c r="M7471" s="200"/>
      <c r="N7471" s="200"/>
      <c r="O7471" s="200"/>
      <c r="P7471" s="200"/>
    </row>
    <row r="7472" spans="3:18" s="517" customFormat="1" ht="31.2" customHeight="1">
      <c r="C7472" s="207" t="s">
        <v>1208</v>
      </c>
      <c r="D7472" s="208"/>
      <c r="E7472" s="208"/>
      <c r="F7472" s="521"/>
      <c r="G7472" s="522"/>
      <c r="H7472" s="210">
        <f>SUM(H7470:H7471)</f>
        <v>145.35</v>
      </c>
      <c r="L7472" s="523"/>
      <c r="M7472" s="523"/>
      <c r="N7472" s="523"/>
      <c r="O7472" s="523"/>
      <c r="P7472" s="523"/>
    </row>
    <row r="7473" spans="3:20" s="517" customFormat="1" ht="31.2" customHeight="1">
      <c r="C7473" s="543" t="s">
        <v>1209</v>
      </c>
      <c r="D7473" s="750" t="s">
        <v>1210</v>
      </c>
      <c r="E7473" s="197"/>
      <c r="F7473" s="751"/>
      <c r="G7473" s="197"/>
      <c r="H7473" s="752"/>
      <c r="L7473" s="200"/>
      <c r="M7473" s="200"/>
      <c r="N7473" s="200"/>
      <c r="O7473" s="200"/>
      <c r="P7473" s="200"/>
    </row>
    <row r="7474" spans="3:20" s="517" customFormat="1" ht="31.2" customHeight="1">
      <c r="C7474" s="543">
        <v>1</v>
      </c>
      <c r="D7474" s="750" t="s">
        <v>5695</v>
      </c>
      <c r="E7474" s="203" t="s">
        <v>42</v>
      </c>
      <c r="F7474" s="789">
        <v>1.0999999999999999E-2</v>
      </c>
      <c r="G7474" s="205">
        <f>VLOOKUP(D7474,upahbahan,3,FALSE)</f>
        <v>0</v>
      </c>
      <c r="H7474" s="210">
        <f>F7474*G7474</f>
        <v>0</v>
      </c>
      <c r="L7474" s="200"/>
      <c r="M7474" s="200"/>
      <c r="N7474" s="200"/>
      <c r="O7474" s="200"/>
      <c r="P7474" s="200"/>
    </row>
    <row r="7475" spans="3:20" s="517" customFormat="1" ht="31.2" customHeight="1">
      <c r="C7475" s="543">
        <v>1</v>
      </c>
      <c r="D7475" s="750" t="s">
        <v>960</v>
      </c>
      <c r="E7475" s="203" t="s">
        <v>529</v>
      </c>
      <c r="F7475" s="769">
        <v>5</v>
      </c>
      <c r="G7475" s="205">
        <f>VLOOKUP(D7475,upahbahan,3,FALSE)</f>
        <v>200</v>
      </c>
      <c r="H7475" s="210">
        <f>F7475*G7475</f>
        <v>1000</v>
      </c>
      <c r="L7475" s="200"/>
      <c r="M7475" s="200"/>
      <c r="N7475" s="200"/>
      <c r="O7475" s="200"/>
      <c r="P7475" s="200"/>
    </row>
    <row r="7476" spans="3:20" s="517" customFormat="1" ht="31.2" customHeight="1">
      <c r="C7476" s="207" t="s">
        <v>1214</v>
      </c>
      <c r="D7476" s="208"/>
      <c r="E7476" s="568"/>
      <c r="F7476" s="208"/>
      <c r="G7476" s="209"/>
      <c r="H7476" s="210">
        <f>SUM(H7474:H7475)</f>
        <v>1000</v>
      </c>
      <c r="L7476" s="200"/>
      <c r="M7476" s="200"/>
      <c r="N7476" s="200"/>
      <c r="O7476" s="200"/>
      <c r="P7476" s="200"/>
    </row>
    <row r="7477" spans="3:20" s="517" customFormat="1" ht="31.2" customHeight="1">
      <c r="C7477" s="195" t="s">
        <v>1215</v>
      </c>
      <c r="D7477" s="196" t="s">
        <v>1216</v>
      </c>
      <c r="E7477" s="203"/>
      <c r="F7477" s="197"/>
      <c r="G7477" s="197"/>
      <c r="H7477" s="198"/>
      <c r="L7477" s="200"/>
      <c r="M7477" s="200"/>
      <c r="N7477" s="200"/>
      <c r="O7477" s="200"/>
      <c r="P7477" s="200"/>
    </row>
    <row r="7478" spans="3:20" s="517" customFormat="1" ht="31.2" customHeight="1">
      <c r="C7478" s="207" t="s">
        <v>1217</v>
      </c>
      <c r="D7478" s="208"/>
      <c r="E7478" s="208"/>
      <c r="F7478" s="208"/>
      <c r="G7478" s="209"/>
      <c r="H7478" s="770">
        <f>SUM(H7477)</f>
        <v>0</v>
      </c>
      <c r="L7478" s="200"/>
      <c r="M7478" s="200"/>
      <c r="N7478" s="200"/>
      <c r="O7478" s="200"/>
      <c r="P7478" s="200"/>
    </row>
    <row r="7479" spans="3:20" s="517" customFormat="1" ht="31.2" customHeight="1">
      <c r="C7479" s="223" t="s">
        <v>1218</v>
      </c>
      <c r="D7479" s="224" t="s">
        <v>1219</v>
      </c>
      <c r="E7479" s="225"/>
      <c r="F7479" s="225"/>
      <c r="G7479" s="226"/>
      <c r="H7479" s="210">
        <f>H7478+H7476+H7472</f>
        <v>1145.3499999999999</v>
      </c>
      <c r="L7479" s="200"/>
      <c r="M7479" s="200"/>
      <c r="N7479" s="200"/>
      <c r="O7479" s="200"/>
      <c r="P7479" s="200"/>
    </row>
    <row r="7480" spans="3:20" s="517" customFormat="1" ht="31.2" customHeight="1">
      <c r="C7480" s="223" t="s">
        <v>1220</v>
      </c>
      <c r="D7480" s="224" t="s">
        <v>1321</v>
      </c>
      <c r="E7480" s="225"/>
      <c r="F7480" s="226"/>
      <c r="G7480" s="228">
        <v>0.1</v>
      </c>
      <c r="H7480" s="210">
        <f>H7479*G7480</f>
        <v>114.535</v>
      </c>
      <c r="L7480" s="200"/>
      <c r="M7480" s="200"/>
      <c r="N7480" s="200"/>
      <c r="O7480" s="200"/>
      <c r="P7480" s="200"/>
    </row>
    <row r="7481" spans="3:20" s="517" customFormat="1" ht="31.2" customHeight="1" thickBot="1">
      <c r="C7481" s="229" t="s">
        <v>1221</v>
      </c>
      <c r="D7481" s="230" t="s">
        <v>1222</v>
      </c>
      <c r="E7481" s="231"/>
      <c r="F7481" s="231"/>
      <c r="G7481" s="232"/>
      <c r="H7481" s="233">
        <f>SUM(H7479:H7480)</f>
        <v>1259.885</v>
      </c>
      <c r="L7481" s="200"/>
      <c r="M7481" s="200"/>
      <c r="N7481" s="200"/>
      <c r="O7481" s="200"/>
      <c r="P7481" s="200"/>
    </row>
    <row r="7482" spans="3:20" ht="31.2" customHeight="1" thickTop="1">
      <c r="C7482" s="788" t="s">
        <v>7658</v>
      </c>
    </row>
    <row r="7483" spans="3:20" ht="31.2" customHeight="1"/>
    <row r="7484" spans="3:20" ht="31.2" customHeight="1">
      <c r="C7484" s="765" t="s">
        <v>5697</v>
      </c>
      <c r="D7484" s="766" t="s">
        <v>7664</v>
      </c>
    </row>
    <row r="7485" spans="3:20" s="517" customFormat="1" ht="31.2" customHeight="1" thickBot="1">
      <c r="C7485" s="513" t="s">
        <v>5698</v>
      </c>
      <c r="D7485" s="748" t="s">
        <v>7665</v>
      </c>
      <c r="E7485" s="749"/>
      <c r="F7485" s="748"/>
      <c r="G7485" s="748"/>
      <c r="H7485" s="532"/>
      <c r="I7485" s="532"/>
      <c r="J7485" s="532"/>
      <c r="K7485" s="532"/>
      <c r="M7485" s="189"/>
      <c r="N7485" s="189"/>
      <c r="O7485" s="189"/>
      <c r="P7485" s="189"/>
      <c r="R7485" s="189">
        <f>ROUNDDOWN(H7498,-2)</f>
        <v>10200</v>
      </c>
      <c r="S7485" s="517" t="s">
        <v>6451</v>
      </c>
      <c r="T7485" s="517" t="s">
        <v>7666</v>
      </c>
    </row>
    <row r="7486" spans="3:20" s="517" customFormat="1" ht="31.2" customHeight="1" thickTop="1">
      <c r="C7486" s="190" t="s">
        <v>1195</v>
      </c>
      <c r="D7486" s="191" t="s">
        <v>1196</v>
      </c>
      <c r="E7486" s="191" t="s">
        <v>1197</v>
      </c>
      <c r="F7486" s="191" t="s">
        <v>1198</v>
      </c>
      <c r="G7486" s="191" t="s">
        <v>1199</v>
      </c>
      <c r="H7486" s="192" t="s">
        <v>1200</v>
      </c>
      <c r="L7486" s="200"/>
      <c r="M7486" s="200"/>
      <c r="N7486" s="200"/>
      <c r="O7486" s="200"/>
      <c r="P7486" s="200"/>
    </row>
    <row r="7487" spans="3:20" s="517" customFormat="1" ht="31.2" customHeight="1">
      <c r="C7487" s="518" t="s">
        <v>1201</v>
      </c>
      <c r="D7487" s="196" t="s">
        <v>1202</v>
      </c>
      <c r="E7487" s="197"/>
      <c r="F7487" s="197"/>
      <c r="G7487" s="197"/>
      <c r="H7487" s="198"/>
      <c r="L7487" s="200"/>
      <c r="M7487" s="200"/>
      <c r="N7487" s="200"/>
      <c r="O7487" s="200"/>
      <c r="P7487" s="200"/>
    </row>
    <row r="7488" spans="3:20" s="517" customFormat="1" ht="31.2" customHeight="1">
      <c r="C7488" s="518">
        <v>1</v>
      </c>
      <c r="D7488" s="196" t="s">
        <v>6953</v>
      </c>
      <c r="E7488" s="203" t="s">
        <v>2102</v>
      </c>
      <c r="F7488" s="257">
        <v>4.7600000000000003E-2</v>
      </c>
      <c r="G7488" s="205">
        <f>VLOOKUP(D7488,upahbahan,3,FALSE)</f>
        <v>181250</v>
      </c>
      <c r="H7488" s="210">
        <f t="shared" ref="H7488" si="579">F7488*G7488</f>
        <v>8627.5</v>
      </c>
      <c r="L7488" s="200"/>
      <c r="M7488" s="200"/>
      <c r="N7488" s="200"/>
      <c r="O7488" s="200"/>
      <c r="P7488" s="200"/>
    </row>
    <row r="7489" spans="3:20" s="517" customFormat="1" ht="31.2" customHeight="1">
      <c r="C7489" s="518">
        <v>2</v>
      </c>
      <c r="D7489" s="196" t="s">
        <v>6948</v>
      </c>
      <c r="E7489" s="203" t="s">
        <v>2102</v>
      </c>
      <c r="F7489" s="257">
        <v>2.3800000000000002E-3</v>
      </c>
      <c r="G7489" s="205">
        <f>VLOOKUP(D7489,upahbahan,3,FALSE)</f>
        <v>218750</v>
      </c>
      <c r="H7489" s="210">
        <f t="shared" ref="H7489:H7490" si="580">F7489*G7489</f>
        <v>520.625</v>
      </c>
      <c r="L7489" s="200"/>
      <c r="M7489" s="200"/>
      <c r="N7489" s="200"/>
      <c r="O7489" s="200"/>
      <c r="P7489" s="200"/>
    </row>
    <row r="7490" spans="3:20" s="517" customFormat="1" ht="31.2" customHeight="1">
      <c r="C7490" s="518">
        <v>3</v>
      </c>
      <c r="D7490" s="196" t="s">
        <v>19</v>
      </c>
      <c r="E7490" s="203" t="s">
        <v>2102</v>
      </c>
      <c r="F7490" s="786">
        <v>7.9000000000000001E-4</v>
      </c>
      <c r="G7490" s="205">
        <f>VLOOKUP(D7490,upahbahan,3,FALSE)</f>
        <v>160000</v>
      </c>
      <c r="H7490" s="210">
        <f t="shared" si="580"/>
        <v>126.4</v>
      </c>
      <c r="L7490" s="200"/>
      <c r="M7490" s="200"/>
      <c r="N7490" s="200"/>
      <c r="O7490" s="200"/>
      <c r="P7490" s="200"/>
    </row>
    <row r="7491" spans="3:20" s="517" customFormat="1" ht="31.2" customHeight="1">
      <c r="C7491" s="207" t="s">
        <v>1208</v>
      </c>
      <c r="D7491" s="208"/>
      <c r="E7491" s="208"/>
      <c r="F7491" s="521"/>
      <c r="G7491" s="522"/>
      <c r="H7491" s="210">
        <f>SUM(H7488:H7490)</f>
        <v>9274.5249999999996</v>
      </c>
      <c r="L7491" s="523"/>
      <c r="M7491" s="523"/>
      <c r="N7491" s="523"/>
      <c r="O7491" s="523"/>
      <c r="P7491" s="523"/>
    </row>
    <row r="7492" spans="3:20" s="517" customFormat="1" ht="31.2" customHeight="1">
      <c r="C7492" s="543" t="s">
        <v>1209</v>
      </c>
      <c r="D7492" s="750" t="s">
        <v>1210</v>
      </c>
      <c r="E7492" s="197"/>
      <c r="F7492" s="751"/>
      <c r="G7492" s="197"/>
      <c r="H7492" s="752"/>
      <c r="L7492" s="200"/>
      <c r="M7492" s="200"/>
      <c r="N7492" s="200"/>
      <c r="O7492" s="200"/>
      <c r="P7492" s="200"/>
    </row>
    <row r="7493" spans="3:20" s="517" customFormat="1" ht="31.2" customHeight="1">
      <c r="C7493" s="207" t="s">
        <v>1214</v>
      </c>
      <c r="D7493" s="208"/>
      <c r="E7493" s="568"/>
      <c r="F7493" s="208"/>
      <c r="G7493" s="209"/>
      <c r="H7493" s="210">
        <f>SUM(H7492)</f>
        <v>0</v>
      </c>
      <c r="L7493" s="200"/>
      <c r="M7493" s="200"/>
      <c r="N7493" s="200"/>
      <c r="O7493" s="200"/>
      <c r="P7493" s="200"/>
    </row>
    <row r="7494" spans="3:20" s="517" customFormat="1" ht="31.2" customHeight="1">
      <c r="C7494" s="195" t="s">
        <v>1215</v>
      </c>
      <c r="D7494" s="196" t="s">
        <v>1216</v>
      </c>
      <c r="E7494" s="203"/>
      <c r="F7494" s="197"/>
      <c r="G7494" s="197"/>
      <c r="H7494" s="198"/>
      <c r="L7494" s="200"/>
      <c r="M7494" s="200"/>
      <c r="N7494" s="200"/>
      <c r="O7494" s="200"/>
      <c r="P7494" s="200"/>
    </row>
    <row r="7495" spans="3:20" s="517" customFormat="1" ht="31.2" customHeight="1">
      <c r="C7495" s="207" t="s">
        <v>1217</v>
      </c>
      <c r="D7495" s="208"/>
      <c r="E7495" s="208"/>
      <c r="F7495" s="208"/>
      <c r="G7495" s="209"/>
      <c r="H7495" s="770">
        <f>SUM(H7494)</f>
        <v>0</v>
      </c>
      <c r="L7495" s="200"/>
      <c r="M7495" s="200"/>
      <c r="N7495" s="200"/>
      <c r="O7495" s="200"/>
      <c r="P7495" s="200"/>
    </row>
    <row r="7496" spans="3:20" s="517" customFormat="1" ht="31.2" customHeight="1">
      <c r="C7496" s="223" t="s">
        <v>1218</v>
      </c>
      <c r="D7496" s="224" t="s">
        <v>1219</v>
      </c>
      <c r="E7496" s="225"/>
      <c r="F7496" s="225"/>
      <c r="G7496" s="226"/>
      <c r="H7496" s="210">
        <f>H7495+H7493+H7491</f>
        <v>9274.5249999999996</v>
      </c>
      <c r="L7496" s="200"/>
      <c r="M7496" s="200"/>
      <c r="N7496" s="200"/>
      <c r="O7496" s="200"/>
      <c r="P7496" s="200"/>
    </row>
    <row r="7497" spans="3:20" s="517" customFormat="1" ht="31.2" customHeight="1">
      <c r="C7497" s="223" t="s">
        <v>1220</v>
      </c>
      <c r="D7497" s="224" t="s">
        <v>1321</v>
      </c>
      <c r="E7497" s="225"/>
      <c r="F7497" s="226"/>
      <c r="G7497" s="228">
        <v>0.1</v>
      </c>
      <c r="H7497" s="210">
        <f>H7496*G7497</f>
        <v>927.45249999999999</v>
      </c>
      <c r="L7497" s="200"/>
      <c r="M7497" s="200"/>
      <c r="N7497" s="200"/>
      <c r="O7497" s="200"/>
      <c r="P7497" s="200"/>
    </row>
    <row r="7498" spans="3:20" s="517" customFormat="1" ht="31.2" customHeight="1" thickBot="1">
      <c r="C7498" s="229" t="s">
        <v>1221</v>
      </c>
      <c r="D7498" s="230" t="s">
        <v>1222</v>
      </c>
      <c r="E7498" s="231"/>
      <c r="F7498" s="231"/>
      <c r="G7498" s="232"/>
      <c r="H7498" s="233">
        <f>SUM(H7496:H7497)</f>
        <v>10201.977499999999</v>
      </c>
      <c r="L7498" s="200"/>
      <c r="M7498" s="200"/>
      <c r="N7498" s="200"/>
      <c r="O7498" s="200"/>
      <c r="P7498" s="200"/>
    </row>
    <row r="7499" spans="3:20" ht="31.2" customHeight="1" thickTop="1">
      <c r="C7499" s="788" t="s">
        <v>7667</v>
      </c>
    </row>
    <row r="7500" spans="3:20" ht="31.2" customHeight="1">
      <c r="C7500" s="757" t="s">
        <v>7668</v>
      </c>
      <c r="D7500" s="758" t="s">
        <v>6951</v>
      </c>
    </row>
    <row r="7501" spans="3:20" ht="31.2" customHeight="1">
      <c r="C7501" s="757" t="s">
        <v>5296</v>
      </c>
      <c r="D7501" s="758" t="s">
        <v>6952</v>
      </c>
    </row>
    <row r="7502" spans="3:20" ht="31.2" customHeight="1"/>
    <row r="7503" spans="3:20" s="517" customFormat="1" ht="31.2" customHeight="1" thickBot="1">
      <c r="C7503" s="513" t="s">
        <v>5699</v>
      </c>
      <c r="D7503" s="748" t="s">
        <v>7665</v>
      </c>
      <c r="E7503" s="749"/>
      <c r="F7503" s="748"/>
      <c r="G7503" s="748"/>
      <c r="H7503" s="532"/>
      <c r="I7503" s="532"/>
      <c r="J7503" s="532"/>
      <c r="K7503" s="532"/>
      <c r="M7503" s="189"/>
      <c r="N7503" s="189"/>
      <c r="O7503" s="189"/>
      <c r="P7503" s="189"/>
      <c r="R7503" s="189">
        <f>ROUNDDOWN(H7516,-2)</f>
        <v>15600</v>
      </c>
      <c r="S7503" s="517" t="s">
        <v>6451</v>
      </c>
      <c r="T7503" s="517" t="s">
        <v>7666</v>
      </c>
    </row>
    <row r="7504" spans="3:20" s="517" customFormat="1" ht="31.2" customHeight="1" thickTop="1">
      <c r="C7504" s="190" t="s">
        <v>1195</v>
      </c>
      <c r="D7504" s="191" t="s">
        <v>1196</v>
      </c>
      <c r="E7504" s="191" t="s">
        <v>1197</v>
      </c>
      <c r="F7504" s="191" t="s">
        <v>1198</v>
      </c>
      <c r="G7504" s="191" t="s">
        <v>1199</v>
      </c>
      <c r="H7504" s="192" t="s">
        <v>1200</v>
      </c>
      <c r="L7504" s="200"/>
      <c r="M7504" s="200"/>
      <c r="N7504" s="200"/>
      <c r="O7504" s="200"/>
      <c r="P7504" s="200"/>
    </row>
    <row r="7505" spans="3:16" s="517" customFormat="1" ht="31.2" customHeight="1">
      <c r="C7505" s="518" t="s">
        <v>1201</v>
      </c>
      <c r="D7505" s="196" t="s">
        <v>1202</v>
      </c>
      <c r="E7505" s="197"/>
      <c r="F7505" s="197"/>
      <c r="G7505" s="197"/>
      <c r="H7505" s="198"/>
      <c r="L7505" s="200"/>
      <c r="M7505" s="200"/>
      <c r="N7505" s="200"/>
      <c r="O7505" s="200"/>
      <c r="P7505" s="200"/>
    </row>
    <row r="7506" spans="3:16" s="517" customFormat="1" ht="31.2" customHeight="1">
      <c r="C7506" s="518">
        <v>1</v>
      </c>
      <c r="D7506" s="196" t="s">
        <v>6953</v>
      </c>
      <c r="E7506" s="203" t="s">
        <v>2102</v>
      </c>
      <c r="F7506" s="257">
        <v>7.2999999999999995E-2</v>
      </c>
      <c r="G7506" s="205">
        <f>VLOOKUP(D7506,upahbahan,3,FALSE)</f>
        <v>181250</v>
      </c>
      <c r="H7506" s="210">
        <f t="shared" ref="H7506:H7508" si="581">F7506*G7506</f>
        <v>13231.25</v>
      </c>
      <c r="L7506" s="200"/>
      <c r="M7506" s="200"/>
      <c r="N7506" s="200"/>
      <c r="O7506" s="200"/>
      <c r="P7506" s="200"/>
    </row>
    <row r="7507" spans="3:16" s="517" customFormat="1" ht="31.2" customHeight="1">
      <c r="C7507" s="518">
        <v>2</v>
      </c>
      <c r="D7507" s="196" t="s">
        <v>6948</v>
      </c>
      <c r="E7507" s="203" t="s">
        <v>2102</v>
      </c>
      <c r="F7507" s="257">
        <v>3.7000000000000002E-3</v>
      </c>
      <c r="G7507" s="205">
        <f>VLOOKUP(D7507,upahbahan,3,FALSE)</f>
        <v>218750</v>
      </c>
      <c r="H7507" s="210">
        <f t="shared" si="581"/>
        <v>809.375</v>
      </c>
      <c r="L7507" s="200"/>
      <c r="M7507" s="200"/>
      <c r="N7507" s="200"/>
      <c r="O7507" s="200"/>
      <c r="P7507" s="200"/>
    </row>
    <row r="7508" spans="3:16" s="517" customFormat="1" ht="31.2" customHeight="1">
      <c r="C7508" s="518">
        <v>3</v>
      </c>
      <c r="D7508" s="196" t="s">
        <v>19</v>
      </c>
      <c r="E7508" s="203" t="s">
        <v>2102</v>
      </c>
      <c r="F7508" s="786">
        <v>1.1999999999999999E-3</v>
      </c>
      <c r="G7508" s="205">
        <f>VLOOKUP(D7508,upahbahan,3,FALSE)</f>
        <v>160000</v>
      </c>
      <c r="H7508" s="210">
        <f t="shared" si="581"/>
        <v>191.99999999999997</v>
      </c>
      <c r="L7508" s="200"/>
      <c r="M7508" s="200"/>
      <c r="N7508" s="200"/>
      <c r="O7508" s="200"/>
      <c r="P7508" s="200"/>
    </row>
    <row r="7509" spans="3:16" s="517" customFormat="1" ht="31.2" customHeight="1">
      <c r="C7509" s="207" t="s">
        <v>1208</v>
      </c>
      <c r="D7509" s="208"/>
      <c r="E7509" s="208"/>
      <c r="F7509" s="521"/>
      <c r="G7509" s="522"/>
      <c r="H7509" s="210">
        <f>SUM(H7506:H7508)</f>
        <v>14232.625</v>
      </c>
      <c r="L7509" s="523"/>
      <c r="M7509" s="523"/>
      <c r="N7509" s="523"/>
      <c r="O7509" s="523"/>
      <c r="P7509" s="523"/>
    </row>
    <row r="7510" spans="3:16" s="517" customFormat="1" ht="31.2" customHeight="1">
      <c r="C7510" s="543" t="s">
        <v>1209</v>
      </c>
      <c r="D7510" s="750" t="s">
        <v>1210</v>
      </c>
      <c r="E7510" s="197"/>
      <c r="F7510" s="751"/>
      <c r="G7510" s="197"/>
      <c r="H7510" s="752"/>
      <c r="L7510" s="200"/>
      <c r="M7510" s="200"/>
      <c r="N7510" s="200"/>
      <c r="O7510" s="200"/>
      <c r="P7510" s="200"/>
    </row>
    <row r="7511" spans="3:16" s="517" customFormat="1" ht="31.2" customHeight="1">
      <c r="C7511" s="207" t="s">
        <v>1214</v>
      </c>
      <c r="D7511" s="208"/>
      <c r="E7511" s="568"/>
      <c r="F7511" s="208"/>
      <c r="G7511" s="209"/>
      <c r="H7511" s="210">
        <f>SUM(H7510)</f>
        <v>0</v>
      </c>
      <c r="L7511" s="200"/>
      <c r="M7511" s="200"/>
      <c r="N7511" s="200"/>
      <c r="O7511" s="200"/>
      <c r="P7511" s="200"/>
    </row>
    <row r="7512" spans="3:16" s="517" customFormat="1" ht="31.2" customHeight="1">
      <c r="C7512" s="195" t="s">
        <v>1215</v>
      </c>
      <c r="D7512" s="196" t="s">
        <v>1216</v>
      </c>
      <c r="E7512" s="203"/>
      <c r="F7512" s="197"/>
      <c r="G7512" s="197"/>
      <c r="H7512" s="198"/>
      <c r="L7512" s="200"/>
      <c r="M7512" s="200"/>
      <c r="N7512" s="200"/>
      <c r="O7512" s="200"/>
      <c r="P7512" s="200"/>
    </row>
    <row r="7513" spans="3:16" s="517" customFormat="1" ht="31.2" customHeight="1">
      <c r="C7513" s="207" t="s">
        <v>1217</v>
      </c>
      <c r="D7513" s="208"/>
      <c r="E7513" s="208"/>
      <c r="F7513" s="208"/>
      <c r="G7513" s="209"/>
      <c r="H7513" s="770">
        <f>SUM(H7512)</f>
        <v>0</v>
      </c>
      <c r="L7513" s="200"/>
      <c r="M7513" s="200"/>
      <c r="N7513" s="200"/>
      <c r="O7513" s="200"/>
      <c r="P7513" s="200"/>
    </row>
    <row r="7514" spans="3:16" s="517" customFormat="1" ht="31.2" customHeight="1">
      <c r="C7514" s="223" t="s">
        <v>1218</v>
      </c>
      <c r="D7514" s="224" t="s">
        <v>1219</v>
      </c>
      <c r="E7514" s="225"/>
      <c r="F7514" s="225"/>
      <c r="G7514" s="226"/>
      <c r="H7514" s="210">
        <f>H7513+H7511+H7509</f>
        <v>14232.625</v>
      </c>
      <c r="L7514" s="200"/>
      <c r="M7514" s="200"/>
      <c r="N7514" s="200"/>
      <c r="O7514" s="200"/>
      <c r="P7514" s="200"/>
    </row>
    <row r="7515" spans="3:16" s="517" customFormat="1" ht="31.2" customHeight="1">
      <c r="C7515" s="223" t="s">
        <v>1220</v>
      </c>
      <c r="D7515" s="224" t="s">
        <v>1321</v>
      </c>
      <c r="E7515" s="225"/>
      <c r="F7515" s="226"/>
      <c r="G7515" s="228">
        <v>0.1</v>
      </c>
      <c r="H7515" s="210">
        <f>H7514*G7515</f>
        <v>1423.2625</v>
      </c>
      <c r="L7515" s="200"/>
      <c r="M7515" s="200"/>
      <c r="N7515" s="200"/>
      <c r="O7515" s="200"/>
      <c r="P7515" s="200"/>
    </row>
    <row r="7516" spans="3:16" s="517" customFormat="1" ht="31.2" customHeight="1" thickBot="1">
      <c r="C7516" s="229" t="s">
        <v>1221</v>
      </c>
      <c r="D7516" s="230" t="s">
        <v>1222</v>
      </c>
      <c r="E7516" s="231"/>
      <c r="F7516" s="231"/>
      <c r="G7516" s="232"/>
      <c r="H7516" s="233">
        <f>SUM(H7514:H7515)</f>
        <v>15655.887500000001</v>
      </c>
      <c r="L7516" s="200"/>
      <c r="M7516" s="200"/>
      <c r="N7516" s="200"/>
      <c r="O7516" s="200"/>
      <c r="P7516" s="200"/>
    </row>
    <row r="7517" spans="3:16" ht="31.2" customHeight="1" thickTop="1">
      <c r="C7517" s="788" t="s">
        <v>7667</v>
      </c>
    </row>
    <row r="7518" spans="3:16" ht="31.2" customHeight="1">
      <c r="C7518" s="757" t="s">
        <v>7668</v>
      </c>
      <c r="D7518" s="758" t="s">
        <v>6951</v>
      </c>
    </row>
    <row r="7519" spans="3:16" ht="31.2" customHeight="1">
      <c r="C7519" s="757" t="s">
        <v>5296</v>
      </c>
      <c r="D7519" s="758" t="s">
        <v>6952</v>
      </c>
    </row>
    <row r="7520" spans="3:16" ht="31.2" customHeight="1"/>
    <row r="7521" spans="3:20" ht="31.2" customHeight="1"/>
    <row r="7522" spans="3:20" s="517" customFormat="1" ht="31.2" customHeight="1" thickBot="1">
      <c r="C7522" s="513" t="s">
        <v>5700</v>
      </c>
      <c r="D7522" s="748" t="s">
        <v>7669</v>
      </c>
      <c r="E7522" s="749"/>
      <c r="F7522" s="748"/>
      <c r="G7522" s="748"/>
      <c r="H7522" s="532"/>
      <c r="I7522" s="532"/>
      <c r="J7522" s="532"/>
      <c r="K7522" s="532"/>
      <c r="M7522" s="189"/>
      <c r="N7522" s="189"/>
      <c r="O7522" s="189"/>
      <c r="P7522" s="189"/>
      <c r="R7522" s="189">
        <f>ROUNDDOWN(H7535,-2)</f>
        <v>31300</v>
      </c>
      <c r="S7522" s="517" t="s">
        <v>6451</v>
      </c>
      <c r="T7522" s="517" t="s">
        <v>7666</v>
      </c>
    </row>
    <row r="7523" spans="3:20" s="517" customFormat="1" ht="31.2" customHeight="1" thickTop="1">
      <c r="C7523" s="190" t="s">
        <v>1195</v>
      </c>
      <c r="D7523" s="191" t="s">
        <v>1196</v>
      </c>
      <c r="E7523" s="191" t="s">
        <v>1197</v>
      </c>
      <c r="F7523" s="191" t="s">
        <v>1198</v>
      </c>
      <c r="G7523" s="191" t="s">
        <v>1199</v>
      </c>
      <c r="H7523" s="192" t="s">
        <v>1200</v>
      </c>
      <c r="L7523" s="200"/>
      <c r="M7523" s="200"/>
      <c r="N7523" s="200"/>
      <c r="O7523" s="200"/>
      <c r="P7523" s="200"/>
    </row>
    <row r="7524" spans="3:20" s="517" customFormat="1" ht="31.2" customHeight="1">
      <c r="C7524" s="518" t="s">
        <v>1201</v>
      </c>
      <c r="D7524" s="196" t="s">
        <v>1202</v>
      </c>
      <c r="E7524" s="197"/>
      <c r="F7524" s="197"/>
      <c r="G7524" s="197"/>
      <c r="H7524" s="198"/>
      <c r="L7524" s="200"/>
      <c r="M7524" s="200"/>
      <c r="N7524" s="200"/>
      <c r="O7524" s="200"/>
      <c r="P7524" s="200"/>
    </row>
    <row r="7525" spans="3:20" s="517" customFormat="1" ht="31.2" customHeight="1">
      <c r="C7525" s="518">
        <v>1</v>
      </c>
      <c r="D7525" s="196" t="s">
        <v>6953</v>
      </c>
      <c r="E7525" s="203" t="s">
        <v>2102</v>
      </c>
      <c r="F7525" s="257">
        <v>0.13</v>
      </c>
      <c r="G7525" s="205">
        <f>VLOOKUP(D7525,upahbahan,3,FALSE)</f>
        <v>181250</v>
      </c>
      <c r="H7525" s="210">
        <f t="shared" ref="H7525:H7527" si="582">F7525*G7525</f>
        <v>23562.5</v>
      </c>
      <c r="L7525" s="200"/>
      <c r="M7525" s="200"/>
      <c r="N7525" s="200"/>
      <c r="O7525" s="200"/>
      <c r="P7525" s="200"/>
    </row>
    <row r="7526" spans="3:20" s="517" customFormat="1" ht="31.2" customHeight="1">
      <c r="C7526" s="518">
        <v>2</v>
      </c>
      <c r="D7526" s="196" t="s">
        <v>6948</v>
      </c>
      <c r="E7526" s="203" t="s">
        <v>2102</v>
      </c>
      <c r="F7526" s="257">
        <v>6.4999999999999997E-3</v>
      </c>
      <c r="G7526" s="205">
        <f>VLOOKUP(D7526,upahbahan,3,FALSE)</f>
        <v>218750</v>
      </c>
      <c r="H7526" s="210">
        <f t="shared" si="582"/>
        <v>1421.875</v>
      </c>
      <c r="L7526" s="200"/>
      <c r="M7526" s="200"/>
      <c r="N7526" s="200"/>
      <c r="O7526" s="200"/>
      <c r="P7526" s="200"/>
    </row>
    <row r="7527" spans="3:20" s="517" customFormat="1" ht="31.2" customHeight="1">
      <c r="C7527" s="518">
        <v>3</v>
      </c>
      <c r="D7527" s="196" t="s">
        <v>19</v>
      </c>
      <c r="E7527" s="203" t="s">
        <v>2102</v>
      </c>
      <c r="F7527" s="786">
        <v>2.1999999999999999E-2</v>
      </c>
      <c r="G7527" s="205">
        <f>VLOOKUP(D7527,upahbahan,3,FALSE)</f>
        <v>160000</v>
      </c>
      <c r="H7527" s="210">
        <f t="shared" si="582"/>
        <v>3520</v>
      </c>
      <c r="L7527" s="200"/>
      <c r="M7527" s="200"/>
      <c r="N7527" s="200"/>
      <c r="O7527" s="200"/>
      <c r="P7527" s="200"/>
    </row>
    <row r="7528" spans="3:20" s="517" customFormat="1" ht="31.2" customHeight="1">
      <c r="C7528" s="207" t="s">
        <v>1208</v>
      </c>
      <c r="D7528" s="208"/>
      <c r="E7528" s="208"/>
      <c r="F7528" s="521"/>
      <c r="G7528" s="522"/>
      <c r="H7528" s="210">
        <f>SUM(H7525:H7527)</f>
        <v>28504.375</v>
      </c>
      <c r="L7528" s="523"/>
      <c r="M7528" s="523"/>
      <c r="N7528" s="523"/>
      <c r="O7528" s="523"/>
      <c r="P7528" s="523"/>
    </row>
    <row r="7529" spans="3:20" s="517" customFormat="1" ht="31.2" customHeight="1">
      <c r="C7529" s="543" t="s">
        <v>1209</v>
      </c>
      <c r="D7529" s="750" t="s">
        <v>1210</v>
      </c>
      <c r="E7529" s="197"/>
      <c r="F7529" s="751"/>
      <c r="G7529" s="197"/>
      <c r="H7529" s="752"/>
      <c r="L7529" s="200"/>
      <c r="M7529" s="200"/>
      <c r="N7529" s="200"/>
      <c r="O7529" s="200"/>
      <c r="P7529" s="200"/>
    </row>
    <row r="7530" spans="3:20" s="517" customFormat="1" ht="31.2" customHeight="1">
      <c r="C7530" s="207" t="s">
        <v>1214</v>
      </c>
      <c r="D7530" s="208"/>
      <c r="E7530" s="568"/>
      <c r="F7530" s="208"/>
      <c r="G7530" s="209"/>
      <c r="H7530" s="210">
        <f>SUM(H7529)</f>
        <v>0</v>
      </c>
      <c r="L7530" s="200"/>
      <c r="M7530" s="200"/>
      <c r="N7530" s="200"/>
      <c r="O7530" s="200"/>
      <c r="P7530" s="200"/>
    </row>
    <row r="7531" spans="3:20" s="517" customFormat="1" ht="31.2" customHeight="1">
      <c r="C7531" s="195" t="s">
        <v>1215</v>
      </c>
      <c r="D7531" s="196" t="s">
        <v>1216</v>
      </c>
      <c r="E7531" s="203"/>
      <c r="F7531" s="197"/>
      <c r="G7531" s="197"/>
      <c r="H7531" s="198"/>
      <c r="L7531" s="200"/>
      <c r="M7531" s="200"/>
      <c r="N7531" s="200"/>
      <c r="O7531" s="200"/>
      <c r="P7531" s="200"/>
    </row>
    <row r="7532" spans="3:20" s="517" customFormat="1" ht="31.2" customHeight="1">
      <c r="C7532" s="207" t="s">
        <v>1217</v>
      </c>
      <c r="D7532" s="208"/>
      <c r="E7532" s="208"/>
      <c r="F7532" s="208"/>
      <c r="G7532" s="209"/>
      <c r="H7532" s="770">
        <f>SUM(H7531)</f>
        <v>0</v>
      </c>
      <c r="L7532" s="200"/>
      <c r="M7532" s="200"/>
      <c r="N7532" s="200"/>
      <c r="O7532" s="200"/>
      <c r="P7532" s="200"/>
    </row>
    <row r="7533" spans="3:20" s="517" customFormat="1" ht="31.2" customHeight="1">
      <c r="C7533" s="223" t="s">
        <v>1218</v>
      </c>
      <c r="D7533" s="224" t="s">
        <v>1219</v>
      </c>
      <c r="E7533" s="225"/>
      <c r="F7533" s="225"/>
      <c r="G7533" s="226"/>
      <c r="H7533" s="210">
        <f>H7532+H7530+H7528</f>
        <v>28504.375</v>
      </c>
      <c r="L7533" s="200"/>
      <c r="M7533" s="200"/>
      <c r="N7533" s="200"/>
      <c r="O7533" s="200"/>
      <c r="P7533" s="200"/>
    </row>
    <row r="7534" spans="3:20" s="517" customFormat="1" ht="31.2" customHeight="1">
      <c r="C7534" s="223" t="s">
        <v>1220</v>
      </c>
      <c r="D7534" s="224" t="s">
        <v>1321</v>
      </c>
      <c r="E7534" s="225"/>
      <c r="F7534" s="226"/>
      <c r="G7534" s="228">
        <v>0.1</v>
      </c>
      <c r="H7534" s="210">
        <f>H7533*G7534</f>
        <v>2850.4375</v>
      </c>
      <c r="L7534" s="200"/>
      <c r="M7534" s="200"/>
      <c r="N7534" s="200"/>
      <c r="O7534" s="200"/>
      <c r="P7534" s="200"/>
    </row>
    <row r="7535" spans="3:20" s="517" customFormat="1" ht="31.2" customHeight="1" thickBot="1">
      <c r="C7535" s="229" t="s">
        <v>1221</v>
      </c>
      <c r="D7535" s="230" t="s">
        <v>1222</v>
      </c>
      <c r="E7535" s="231"/>
      <c r="F7535" s="231"/>
      <c r="G7535" s="232"/>
      <c r="H7535" s="233">
        <f>SUM(H7533:H7534)</f>
        <v>31354.8125</v>
      </c>
      <c r="L7535" s="200"/>
      <c r="M7535" s="200"/>
      <c r="N7535" s="200"/>
      <c r="O7535" s="200"/>
      <c r="P7535" s="200"/>
    </row>
    <row r="7536" spans="3:20" ht="31.2" customHeight="1" thickTop="1">
      <c r="C7536" s="788" t="s">
        <v>7667</v>
      </c>
    </row>
    <row r="7537" spans="3:20" ht="31.2" customHeight="1">
      <c r="C7537" s="757" t="s">
        <v>7668</v>
      </c>
      <c r="D7537" s="758" t="s">
        <v>6951</v>
      </c>
    </row>
    <row r="7538" spans="3:20" ht="31.2" customHeight="1">
      <c r="C7538" s="757" t="s">
        <v>5296</v>
      </c>
      <c r="D7538" s="758" t="s">
        <v>6952</v>
      </c>
    </row>
    <row r="7539" spans="3:20" ht="31.2" customHeight="1"/>
    <row r="7540" spans="3:20" s="517" customFormat="1" ht="31.2" customHeight="1" thickBot="1">
      <c r="C7540" s="513" t="s">
        <v>7670</v>
      </c>
      <c r="D7540" s="748" t="s">
        <v>7671</v>
      </c>
      <c r="E7540" s="749"/>
      <c r="F7540" s="748"/>
      <c r="G7540" s="748"/>
      <c r="H7540" s="532"/>
      <c r="I7540" s="532"/>
      <c r="J7540" s="532"/>
      <c r="K7540" s="532"/>
      <c r="M7540" s="189"/>
      <c r="N7540" s="189"/>
      <c r="O7540" s="189"/>
      <c r="P7540" s="189"/>
      <c r="R7540" s="189">
        <f>ROUNDDOWN(H7552,-2)</f>
        <v>17500</v>
      </c>
      <c r="S7540" s="517" t="s">
        <v>6451</v>
      </c>
      <c r="T7540" s="517" t="s">
        <v>7014</v>
      </c>
    </row>
    <row r="7541" spans="3:20" s="517" customFormat="1" ht="31.2" customHeight="1" thickTop="1">
      <c r="C7541" s="190" t="s">
        <v>1195</v>
      </c>
      <c r="D7541" s="191" t="s">
        <v>1196</v>
      </c>
      <c r="E7541" s="191" t="s">
        <v>1197</v>
      </c>
      <c r="F7541" s="191" t="s">
        <v>1198</v>
      </c>
      <c r="G7541" s="191" t="s">
        <v>1199</v>
      </c>
      <c r="H7541" s="192" t="s">
        <v>1200</v>
      </c>
      <c r="L7541" s="200"/>
      <c r="M7541" s="200"/>
      <c r="N7541" s="200"/>
      <c r="O7541" s="200"/>
      <c r="P7541" s="200"/>
    </row>
    <row r="7542" spans="3:20" s="517" customFormat="1" ht="31.2" customHeight="1">
      <c r="C7542" s="518" t="s">
        <v>1201</v>
      </c>
      <c r="D7542" s="196" t="s">
        <v>1202</v>
      </c>
      <c r="E7542" s="197"/>
      <c r="F7542" s="197"/>
      <c r="G7542" s="197"/>
      <c r="H7542" s="198"/>
      <c r="L7542" s="200"/>
      <c r="M7542" s="200"/>
      <c r="N7542" s="200"/>
      <c r="O7542" s="200"/>
      <c r="P7542" s="200"/>
    </row>
    <row r="7543" spans="3:20" s="517" customFormat="1" ht="31.2" customHeight="1">
      <c r="C7543" s="518">
        <v>1</v>
      </c>
      <c r="D7543" s="196" t="s">
        <v>7672</v>
      </c>
      <c r="E7543" s="203" t="s">
        <v>2102</v>
      </c>
      <c r="F7543" s="257">
        <v>0.13</v>
      </c>
      <c r="G7543" s="205">
        <f>VLOOKUP(D7543,upahbahan,3,FALSE)</f>
        <v>114999.99999999999</v>
      </c>
      <c r="H7543" s="210">
        <f t="shared" ref="H7543:H7544" si="583">F7543*G7543</f>
        <v>14949.999999999998</v>
      </c>
      <c r="L7543" s="200"/>
      <c r="M7543" s="200"/>
      <c r="N7543" s="200"/>
      <c r="O7543" s="200"/>
      <c r="P7543" s="200"/>
    </row>
    <row r="7544" spans="3:20" s="517" customFormat="1" ht="31.2" customHeight="1">
      <c r="C7544" s="518">
        <v>2</v>
      </c>
      <c r="D7544" s="196" t="s">
        <v>19</v>
      </c>
      <c r="E7544" s="203" t="s">
        <v>2102</v>
      </c>
      <c r="F7544" s="786">
        <v>6.4999999999999997E-3</v>
      </c>
      <c r="G7544" s="205">
        <f>VLOOKUP(D7544,upahbahan,3,FALSE)</f>
        <v>160000</v>
      </c>
      <c r="H7544" s="210">
        <f t="shared" si="583"/>
        <v>1040</v>
      </c>
      <c r="L7544" s="200"/>
      <c r="M7544" s="200"/>
      <c r="N7544" s="200"/>
      <c r="O7544" s="200"/>
      <c r="P7544" s="200"/>
    </row>
    <row r="7545" spans="3:20" s="517" customFormat="1" ht="31.2" customHeight="1">
      <c r="C7545" s="207" t="s">
        <v>1208</v>
      </c>
      <c r="D7545" s="208"/>
      <c r="E7545" s="208"/>
      <c r="F7545" s="521"/>
      <c r="G7545" s="522"/>
      <c r="H7545" s="210">
        <f>SUM(H7543:H7544)</f>
        <v>15989.999999999998</v>
      </c>
      <c r="L7545" s="523"/>
      <c r="M7545" s="523"/>
      <c r="N7545" s="523"/>
      <c r="O7545" s="523"/>
      <c r="P7545" s="523"/>
    </row>
    <row r="7546" spans="3:20" s="517" customFormat="1" ht="31.2" customHeight="1">
      <c r="C7546" s="543" t="s">
        <v>1209</v>
      </c>
      <c r="D7546" s="750" t="s">
        <v>1210</v>
      </c>
      <c r="E7546" s="197"/>
      <c r="F7546" s="751"/>
      <c r="G7546" s="197"/>
      <c r="H7546" s="752"/>
      <c r="L7546" s="200"/>
      <c r="M7546" s="200"/>
      <c r="N7546" s="200"/>
      <c r="O7546" s="200"/>
      <c r="P7546" s="200"/>
    </row>
    <row r="7547" spans="3:20" s="517" customFormat="1" ht="31.2" customHeight="1">
      <c r="C7547" s="207" t="s">
        <v>1214</v>
      </c>
      <c r="D7547" s="208"/>
      <c r="E7547" s="568"/>
      <c r="F7547" s="208"/>
      <c r="G7547" s="209"/>
      <c r="H7547" s="210">
        <f>SUM(H7546)</f>
        <v>0</v>
      </c>
      <c r="L7547" s="200"/>
      <c r="M7547" s="200"/>
      <c r="N7547" s="200"/>
      <c r="O7547" s="200"/>
      <c r="P7547" s="200"/>
    </row>
    <row r="7548" spans="3:20" s="517" customFormat="1" ht="31.2" customHeight="1">
      <c r="C7548" s="195" t="s">
        <v>1215</v>
      </c>
      <c r="D7548" s="196" t="s">
        <v>1216</v>
      </c>
      <c r="E7548" s="203"/>
      <c r="F7548" s="197"/>
      <c r="G7548" s="197"/>
      <c r="H7548" s="198"/>
      <c r="L7548" s="200"/>
      <c r="M7548" s="200"/>
      <c r="N7548" s="200"/>
      <c r="O7548" s="200"/>
      <c r="P7548" s="200"/>
    </row>
    <row r="7549" spans="3:20" s="517" customFormat="1" ht="31.2" customHeight="1">
      <c r="C7549" s="207" t="s">
        <v>1217</v>
      </c>
      <c r="D7549" s="208"/>
      <c r="E7549" s="208"/>
      <c r="F7549" s="208"/>
      <c r="G7549" s="209"/>
      <c r="H7549" s="770">
        <f>SUM(H7548)</f>
        <v>0</v>
      </c>
      <c r="L7549" s="200"/>
      <c r="M7549" s="200"/>
      <c r="N7549" s="200"/>
      <c r="O7549" s="200"/>
      <c r="P7549" s="200"/>
    </row>
    <row r="7550" spans="3:20" s="517" customFormat="1" ht="31.2" customHeight="1">
      <c r="C7550" s="223" t="s">
        <v>1218</v>
      </c>
      <c r="D7550" s="224" t="s">
        <v>1219</v>
      </c>
      <c r="E7550" s="225"/>
      <c r="F7550" s="225"/>
      <c r="G7550" s="226"/>
      <c r="H7550" s="210">
        <f>H7549+H7547+H7545</f>
        <v>15989.999999999998</v>
      </c>
      <c r="L7550" s="200"/>
      <c r="M7550" s="200"/>
      <c r="N7550" s="200"/>
      <c r="O7550" s="200"/>
      <c r="P7550" s="200"/>
    </row>
    <row r="7551" spans="3:20" s="517" customFormat="1" ht="31.2" customHeight="1">
      <c r="C7551" s="223" t="s">
        <v>1220</v>
      </c>
      <c r="D7551" s="224" t="s">
        <v>1321</v>
      </c>
      <c r="E7551" s="225"/>
      <c r="F7551" s="226"/>
      <c r="G7551" s="228">
        <v>0.1</v>
      </c>
      <c r="H7551" s="210">
        <f>H7550*G7551</f>
        <v>1599</v>
      </c>
      <c r="L7551" s="200"/>
      <c r="M7551" s="200"/>
      <c r="N7551" s="200"/>
      <c r="O7551" s="200"/>
      <c r="P7551" s="200"/>
    </row>
    <row r="7552" spans="3:20" s="517" customFormat="1" ht="31.2" customHeight="1" thickBot="1">
      <c r="C7552" s="229" t="s">
        <v>1221</v>
      </c>
      <c r="D7552" s="230" t="s">
        <v>1222</v>
      </c>
      <c r="E7552" s="231"/>
      <c r="F7552" s="231"/>
      <c r="G7552" s="232"/>
      <c r="H7552" s="233">
        <f>SUM(H7550:H7551)</f>
        <v>17589</v>
      </c>
      <c r="L7552" s="200"/>
      <c r="M7552" s="200"/>
      <c r="N7552" s="200"/>
      <c r="O7552" s="200"/>
      <c r="P7552" s="200"/>
    </row>
    <row r="7553" spans="3:20" ht="31.2" customHeight="1" thickTop="1">
      <c r="C7553" s="788" t="s">
        <v>7667</v>
      </c>
      <c r="D7553" s="758" t="s">
        <v>7673</v>
      </c>
    </row>
    <row r="7554" spans="3:20" ht="31.2" customHeight="1">
      <c r="C7554" s="757"/>
      <c r="D7554" s="758"/>
    </row>
    <row r="7555" spans="3:20" s="517" customFormat="1" ht="31.2" customHeight="1" thickBot="1">
      <c r="C7555" s="513" t="s">
        <v>5701</v>
      </c>
      <c r="D7555" s="748" t="s">
        <v>7674</v>
      </c>
      <c r="E7555" s="749"/>
      <c r="F7555" s="748"/>
      <c r="G7555" s="748"/>
      <c r="H7555" s="532"/>
      <c r="I7555" s="532"/>
      <c r="J7555" s="532"/>
      <c r="K7555" s="532"/>
      <c r="M7555" s="189"/>
      <c r="N7555" s="189"/>
      <c r="O7555" s="189"/>
      <c r="P7555" s="189"/>
      <c r="R7555" s="189">
        <f>ROUNDDOWN(H7568,-2)</f>
        <v>2500</v>
      </c>
      <c r="S7555" s="517" t="s">
        <v>6451</v>
      </c>
      <c r="T7555" s="517" t="s">
        <v>7666</v>
      </c>
    </row>
    <row r="7556" spans="3:20" s="517" customFormat="1" ht="31.2" customHeight="1" thickTop="1">
      <c r="C7556" s="190" t="s">
        <v>1195</v>
      </c>
      <c r="D7556" s="191" t="s">
        <v>1196</v>
      </c>
      <c r="E7556" s="191" t="s">
        <v>1197</v>
      </c>
      <c r="F7556" s="191" t="s">
        <v>1198</v>
      </c>
      <c r="G7556" s="191" t="s">
        <v>1199</v>
      </c>
      <c r="H7556" s="192" t="s">
        <v>1200</v>
      </c>
      <c r="L7556" s="200"/>
      <c r="M7556" s="200"/>
      <c r="N7556" s="200"/>
      <c r="O7556" s="200"/>
      <c r="P7556" s="200"/>
    </row>
    <row r="7557" spans="3:20" s="517" customFormat="1" ht="31.2" customHeight="1">
      <c r="C7557" s="518" t="s">
        <v>1201</v>
      </c>
      <c r="D7557" s="196" t="s">
        <v>1202</v>
      </c>
      <c r="E7557" s="197"/>
      <c r="F7557" s="197"/>
      <c r="G7557" s="197"/>
      <c r="H7557" s="198"/>
      <c r="L7557" s="200"/>
      <c r="M7557" s="200"/>
      <c r="N7557" s="200"/>
      <c r="O7557" s="200"/>
      <c r="P7557" s="200"/>
    </row>
    <row r="7558" spans="3:20" s="517" customFormat="1" ht="31.2" customHeight="1">
      <c r="C7558" s="518">
        <v>1</v>
      </c>
      <c r="D7558" s="196" t="s">
        <v>6953</v>
      </c>
      <c r="E7558" s="203" t="s">
        <v>2102</v>
      </c>
      <c r="F7558" s="257">
        <v>1.2E-2</v>
      </c>
      <c r="G7558" s="205">
        <f>VLOOKUP(D7558,upahbahan,3,FALSE)</f>
        <v>181250</v>
      </c>
      <c r="H7558" s="210">
        <f t="shared" ref="H7558:H7560" si="584">F7558*G7558</f>
        <v>2175</v>
      </c>
      <c r="L7558" s="200"/>
      <c r="M7558" s="200"/>
      <c r="N7558" s="200"/>
      <c r="O7558" s="200"/>
      <c r="P7558" s="200"/>
    </row>
    <row r="7559" spans="3:20" s="517" customFormat="1" ht="31.2" customHeight="1">
      <c r="C7559" s="518">
        <v>2</v>
      </c>
      <c r="D7559" s="196" t="s">
        <v>6948</v>
      </c>
      <c r="E7559" s="203" t="s">
        <v>2102</v>
      </c>
      <c r="F7559" s="257">
        <v>5.9999999999999995E-4</v>
      </c>
      <c r="G7559" s="205">
        <f>VLOOKUP(D7559,upahbahan,3,FALSE)</f>
        <v>218750</v>
      </c>
      <c r="H7559" s="210">
        <f t="shared" si="584"/>
        <v>131.25</v>
      </c>
      <c r="L7559" s="200"/>
      <c r="M7559" s="200"/>
      <c r="N7559" s="200"/>
      <c r="O7559" s="200"/>
      <c r="P7559" s="200"/>
    </row>
    <row r="7560" spans="3:20" s="517" customFormat="1" ht="31.2" customHeight="1">
      <c r="C7560" s="518">
        <v>3</v>
      </c>
      <c r="D7560" s="196" t="s">
        <v>19</v>
      </c>
      <c r="E7560" s="203" t="s">
        <v>2102</v>
      </c>
      <c r="F7560" s="786">
        <v>2.0000000000000001E-4</v>
      </c>
      <c r="G7560" s="205">
        <f>VLOOKUP(D7560,upahbahan,3,FALSE)</f>
        <v>160000</v>
      </c>
      <c r="H7560" s="210">
        <f t="shared" si="584"/>
        <v>32</v>
      </c>
      <c r="L7560" s="200"/>
      <c r="M7560" s="200"/>
      <c r="N7560" s="200"/>
      <c r="O7560" s="200"/>
      <c r="P7560" s="200"/>
    </row>
    <row r="7561" spans="3:20" s="517" customFormat="1" ht="31.2" customHeight="1">
      <c r="C7561" s="207" t="s">
        <v>1208</v>
      </c>
      <c r="D7561" s="208"/>
      <c r="E7561" s="208"/>
      <c r="F7561" s="521"/>
      <c r="G7561" s="522"/>
      <c r="H7561" s="210">
        <f>SUM(H7558:H7560)</f>
        <v>2338.25</v>
      </c>
      <c r="L7561" s="523"/>
      <c r="M7561" s="523"/>
      <c r="N7561" s="523"/>
      <c r="O7561" s="523"/>
      <c r="P7561" s="523"/>
    </row>
    <row r="7562" spans="3:20" s="517" customFormat="1" ht="31.2" customHeight="1">
      <c r="C7562" s="543" t="s">
        <v>1209</v>
      </c>
      <c r="D7562" s="750" t="s">
        <v>1210</v>
      </c>
      <c r="E7562" s="197"/>
      <c r="F7562" s="751"/>
      <c r="G7562" s="197"/>
      <c r="H7562" s="752"/>
      <c r="L7562" s="200"/>
      <c r="M7562" s="200"/>
      <c r="N7562" s="200"/>
      <c r="O7562" s="200"/>
      <c r="P7562" s="200"/>
    </row>
    <row r="7563" spans="3:20" s="517" customFormat="1" ht="31.2" customHeight="1">
      <c r="C7563" s="207" t="s">
        <v>1214</v>
      </c>
      <c r="D7563" s="208"/>
      <c r="E7563" s="568"/>
      <c r="F7563" s="208"/>
      <c r="G7563" s="209"/>
      <c r="H7563" s="210">
        <f>SUM(H7562)</f>
        <v>0</v>
      </c>
      <c r="L7563" s="200"/>
      <c r="M7563" s="200"/>
      <c r="N7563" s="200"/>
      <c r="O7563" s="200"/>
      <c r="P7563" s="200"/>
    </row>
    <row r="7564" spans="3:20" s="517" customFormat="1" ht="31.2" customHeight="1">
      <c r="C7564" s="195" t="s">
        <v>1215</v>
      </c>
      <c r="D7564" s="196" t="s">
        <v>1216</v>
      </c>
      <c r="E7564" s="203"/>
      <c r="F7564" s="197"/>
      <c r="G7564" s="197"/>
      <c r="H7564" s="198"/>
      <c r="L7564" s="200"/>
      <c r="M7564" s="200"/>
      <c r="N7564" s="200"/>
      <c r="O7564" s="200"/>
      <c r="P7564" s="200"/>
    </row>
    <row r="7565" spans="3:20" s="517" customFormat="1" ht="31.2" customHeight="1">
      <c r="C7565" s="207" t="s">
        <v>1217</v>
      </c>
      <c r="D7565" s="208"/>
      <c r="E7565" s="208"/>
      <c r="F7565" s="208"/>
      <c r="G7565" s="209"/>
      <c r="H7565" s="770">
        <f>SUM(H7564)</f>
        <v>0</v>
      </c>
      <c r="L7565" s="200"/>
      <c r="M7565" s="200"/>
      <c r="N7565" s="200"/>
      <c r="O7565" s="200"/>
      <c r="P7565" s="200"/>
    </row>
    <row r="7566" spans="3:20" s="517" customFormat="1" ht="31.2" customHeight="1">
      <c r="C7566" s="223" t="s">
        <v>1218</v>
      </c>
      <c r="D7566" s="224" t="s">
        <v>1219</v>
      </c>
      <c r="E7566" s="225"/>
      <c r="F7566" s="225"/>
      <c r="G7566" s="226"/>
      <c r="H7566" s="210">
        <f>H7565+H7563+H7561</f>
        <v>2338.25</v>
      </c>
      <c r="L7566" s="200"/>
      <c r="M7566" s="200"/>
      <c r="N7566" s="200"/>
      <c r="O7566" s="200"/>
      <c r="P7566" s="200"/>
    </row>
    <row r="7567" spans="3:20" s="517" customFormat="1" ht="31.2" customHeight="1">
      <c r="C7567" s="223" t="s">
        <v>1220</v>
      </c>
      <c r="D7567" s="224" t="s">
        <v>1321</v>
      </c>
      <c r="E7567" s="225"/>
      <c r="F7567" s="226"/>
      <c r="G7567" s="228">
        <v>0.1</v>
      </c>
      <c r="H7567" s="210">
        <f>H7566*G7567</f>
        <v>233.82500000000002</v>
      </c>
      <c r="L7567" s="200"/>
      <c r="M7567" s="200"/>
      <c r="N7567" s="200"/>
      <c r="O7567" s="200"/>
      <c r="P7567" s="200"/>
    </row>
    <row r="7568" spans="3:20" s="517" customFormat="1" ht="31.2" customHeight="1" thickBot="1">
      <c r="C7568" s="229" t="s">
        <v>1221</v>
      </c>
      <c r="D7568" s="230" t="s">
        <v>1222</v>
      </c>
      <c r="E7568" s="231"/>
      <c r="F7568" s="231"/>
      <c r="G7568" s="232"/>
      <c r="H7568" s="233">
        <f>SUM(H7566:H7567)</f>
        <v>2572.0749999999998</v>
      </c>
      <c r="L7568" s="200"/>
      <c r="M7568" s="200"/>
      <c r="N7568" s="200"/>
      <c r="O7568" s="200"/>
      <c r="P7568" s="200"/>
    </row>
    <row r="7569" spans="3:20" ht="31.2" customHeight="1" thickTop="1">
      <c r="C7569" s="788" t="s">
        <v>7667</v>
      </c>
    </row>
    <row r="7570" spans="3:20" ht="31.2" customHeight="1">
      <c r="C7570" s="757" t="s">
        <v>7668</v>
      </c>
      <c r="D7570" s="758" t="s">
        <v>6951</v>
      </c>
    </row>
    <row r="7571" spans="3:20" ht="31.2" customHeight="1">
      <c r="C7571" s="757" t="s">
        <v>5296</v>
      </c>
      <c r="D7571" s="758" t="s">
        <v>6952</v>
      </c>
    </row>
    <row r="7572" spans="3:20" ht="31.2" customHeight="1"/>
    <row r="7573" spans="3:20" s="517" customFormat="1" ht="31.2" customHeight="1" thickBot="1">
      <c r="C7573" s="513" t="s">
        <v>7675</v>
      </c>
      <c r="D7573" s="748" t="s">
        <v>7676</v>
      </c>
      <c r="E7573" s="749"/>
      <c r="F7573" s="748"/>
      <c r="G7573" s="748"/>
      <c r="H7573" s="532"/>
      <c r="I7573" s="532"/>
      <c r="J7573" s="532"/>
      <c r="K7573" s="532"/>
      <c r="M7573" s="189"/>
      <c r="N7573" s="189"/>
      <c r="O7573" s="189"/>
      <c r="P7573" s="189"/>
      <c r="R7573" s="189">
        <f>ROUNDDOWN(H7585,-2)</f>
        <v>1600</v>
      </c>
      <c r="S7573" s="517" t="s">
        <v>6451</v>
      </c>
      <c r="T7573" s="517" t="s">
        <v>7014</v>
      </c>
    </row>
    <row r="7574" spans="3:20" s="517" customFormat="1" ht="31.2" customHeight="1" thickTop="1">
      <c r="C7574" s="190" t="s">
        <v>1195</v>
      </c>
      <c r="D7574" s="191" t="s">
        <v>1196</v>
      </c>
      <c r="E7574" s="191" t="s">
        <v>1197</v>
      </c>
      <c r="F7574" s="191" t="s">
        <v>1198</v>
      </c>
      <c r="G7574" s="191" t="s">
        <v>1199</v>
      </c>
      <c r="H7574" s="192" t="s">
        <v>1200</v>
      </c>
      <c r="L7574" s="200"/>
      <c r="M7574" s="200"/>
      <c r="N7574" s="200"/>
      <c r="O7574" s="200"/>
      <c r="P7574" s="200"/>
    </row>
    <row r="7575" spans="3:20" s="517" customFormat="1" ht="31.2" customHeight="1">
      <c r="C7575" s="518" t="s">
        <v>1201</v>
      </c>
      <c r="D7575" s="196" t="s">
        <v>1202</v>
      </c>
      <c r="E7575" s="197"/>
      <c r="F7575" s="197"/>
      <c r="G7575" s="197"/>
      <c r="H7575" s="198"/>
      <c r="L7575" s="200"/>
      <c r="M7575" s="200"/>
      <c r="N7575" s="200"/>
      <c r="O7575" s="200"/>
      <c r="P7575" s="200"/>
    </row>
    <row r="7576" spans="3:20" s="517" customFormat="1" ht="31.2" customHeight="1">
      <c r="C7576" s="518">
        <v>1</v>
      </c>
      <c r="D7576" s="196" t="s">
        <v>7672</v>
      </c>
      <c r="E7576" s="203" t="s">
        <v>2102</v>
      </c>
      <c r="F7576" s="257">
        <v>1.2E-2</v>
      </c>
      <c r="G7576" s="205">
        <f>VLOOKUP(D7576,upahbahan,3,FALSE)</f>
        <v>114999.99999999999</v>
      </c>
      <c r="H7576" s="210">
        <f t="shared" ref="H7576:H7577" si="585">F7576*G7576</f>
        <v>1379.9999999999998</v>
      </c>
      <c r="L7576" s="200"/>
      <c r="M7576" s="200"/>
      <c r="N7576" s="200"/>
      <c r="O7576" s="200"/>
      <c r="P7576" s="200"/>
    </row>
    <row r="7577" spans="3:20" s="517" customFormat="1" ht="31.2" customHeight="1">
      <c r="C7577" s="518">
        <v>2</v>
      </c>
      <c r="D7577" s="196" t="s">
        <v>19</v>
      </c>
      <c r="E7577" s="203" t="s">
        <v>2102</v>
      </c>
      <c r="F7577" s="786">
        <v>5.9999999999999995E-4</v>
      </c>
      <c r="G7577" s="205">
        <f>VLOOKUP(D7577,upahbahan,3,FALSE)</f>
        <v>160000</v>
      </c>
      <c r="H7577" s="210">
        <f t="shared" si="585"/>
        <v>95.999999999999986</v>
      </c>
      <c r="L7577" s="200"/>
      <c r="M7577" s="200"/>
      <c r="N7577" s="200"/>
      <c r="O7577" s="200"/>
      <c r="P7577" s="200"/>
    </row>
    <row r="7578" spans="3:20" s="517" customFormat="1" ht="31.2" customHeight="1">
      <c r="C7578" s="207" t="s">
        <v>1208</v>
      </c>
      <c r="D7578" s="208"/>
      <c r="E7578" s="208"/>
      <c r="F7578" s="521"/>
      <c r="G7578" s="522"/>
      <c r="H7578" s="210">
        <f>SUM(H7576:H7577)</f>
        <v>1475.9999999999998</v>
      </c>
      <c r="L7578" s="523"/>
      <c r="M7578" s="523"/>
      <c r="N7578" s="523"/>
      <c r="O7578" s="523"/>
      <c r="P7578" s="523"/>
    </row>
    <row r="7579" spans="3:20" s="517" customFormat="1" ht="31.2" customHeight="1">
      <c r="C7579" s="543" t="s">
        <v>1209</v>
      </c>
      <c r="D7579" s="750" t="s">
        <v>1210</v>
      </c>
      <c r="E7579" s="197"/>
      <c r="F7579" s="751"/>
      <c r="G7579" s="197"/>
      <c r="H7579" s="752"/>
      <c r="L7579" s="200"/>
      <c r="M7579" s="200"/>
      <c r="N7579" s="200"/>
      <c r="O7579" s="200"/>
      <c r="P7579" s="200"/>
    </row>
    <row r="7580" spans="3:20" s="517" customFormat="1" ht="31.2" customHeight="1">
      <c r="C7580" s="207" t="s">
        <v>1214</v>
      </c>
      <c r="D7580" s="208"/>
      <c r="E7580" s="568"/>
      <c r="F7580" s="208"/>
      <c r="G7580" s="209"/>
      <c r="H7580" s="210">
        <f>SUM(H7579)</f>
        <v>0</v>
      </c>
      <c r="L7580" s="200"/>
      <c r="M7580" s="200"/>
      <c r="N7580" s="200"/>
      <c r="O7580" s="200"/>
      <c r="P7580" s="200"/>
    </row>
    <row r="7581" spans="3:20" s="517" customFormat="1" ht="31.2" customHeight="1">
      <c r="C7581" s="195" t="s">
        <v>1215</v>
      </c>
      <c r="D7581" s="196" t="s">
        <v>1216</v>
      </c>
      <c r="E7581" s="203"/>
      <c r="F7581" s="197"/>
      <c r="G7581" s="197"/>
      <c r="H7581" s="198"/>
      <c r="L7581" s="200"/>
      <c r="M7581" s="200"/>
      <c r="N7581" s="200"/>
      <c r="O7581" s="200"/>
      <c r="P7581" s="200"/>
    </row>
    <row r="7582" spans="3:20" s="517" customFormat="1" ht="31.2" customHeight="1">
      <c r="C7582" s="207" t="s">
        <v>1217</v>
      </c>
      <c r="D7582" s="208"/>
      <c r="E7582" s="208"/>
      <c r="F7582" s="208"/>
      <c r="G7582" s="209"/>
      <c r="H7582" s="770">
        <f>SUM(H7581)</f>
        <v>0</v>
      </c>
      <c r="L7582" s="200"/>
      <c r="M7582" s="200"/>
      <c r="N7582" s="200"/>
      <c r="O7582" s="200"/>
      <c r="P7582" s="200"/>
    </row>
    <row r="7583" spans="3:20" s="517" customFormat="1" ht="31.2" customHeight="1">
      <c r="C7583" s="223" t="s">
        <v>1218</v>
      </c>
      <c r="D7583" s="224" t="s">
        <v>1219</v>
      </c>
      <c r="E7583" s="225"/>
      <c r="F7583" s="225"/>
      <c r="G7583" s="226"/>
      <c r="H7583" s="210">
        <f>H7582+H7580+H7578</f>
        <v>1475.9999999999998</v>
      </c>
      <c r="L7583" s="200"/>
      <c r="M7583" s="200"/>
      <c r="N7583" s="200"/>
      <c r="O7583" s="200"/>
      <c r="P7583" s="200"/>
    </row>
    <row r="7584" spans="3:20" s="517" customFormat="1" ht="31.2" customHeight="1">
      <c r="C7584" s="223" t="s">
        <v>1220</v>
      </c>
      <c r="D7584" s="224" t="s">
        <v>1321</v>
      </c>
      <c r="E7584" s="225"/>
      <c r="F7584" s="226"/>
      <c r="G7584" s="228">
        <v>0.1</v>
      </c>
      <c r="H7584" s="210">
        <f>H7583*G7584</f>
        <v>147.6</v>
      </c>
      <c r="L7584" s="200"/>
      <c r="M7584" s="200"/>
      <c r="N7584" s="200"/>
      <c r="O7584" s="200"/>
      <c r="P7584" s="200"/>
    </row>
    <row r="7585" spans="3:20" s="517" customFormat="1" ht="31.2" customHeight="1" thickBot="1">
      <c r="C7585" s="229" t="s">
        <v>1221</v>
      </c>
      <c r="D7585" s="230" t="s">
        <v>1222</v>
      </c>
      <c r="E7585" s="231"/>
      <c r="F7585" s="231"/>
      <c r="G7585" s="232"/>
      <c r="H7585" s="233">
        <f>SUM(H7583:H7584)</f>
        <v>1623.5999999999997</v>
      </c>
      <c r="L7585" s="200"/>
      <c r="M7585" s="200"/>
      <c r="N7585" s="200"/>
      <c r="O7585" s="200"/>
      <c r="P7585" s="200"/>
    </row>
    <row r="7586" spans="3:20" ht="31.2" customHeight="1" thickTop="1">
      <c r="C7586" s="788" t="s">
        <v>7667</v>
      </c>
      <c r="D7586" s="758" t="s">
        <v>7673</v>
      </c>
    </row>
    <row r="7587" spans="3:20" ht="31.2" customHeight="1"/>
    <row r="7588" spans="3:20" s="517" customFormat="1" ht="31.2" customHeight="1" thickBot="1">
      <c r="C7588" s="513" t="s">
        <v>5702</v>
      </c>
      <c r="D7588" s="748" t="s">
        <v>7677</v>
      </c>
      <c r="E7588" s="749"/>
      <c r="F7588" s="748"/>
      <c r="G7588" s="748"/>
      <c r="H7588" s="532"/>
      <c r="I7588" s="532"/>
      <c r="J7588" s="532"/>
      <c r="K7588" s="532"/>
      <c r="M7588" s="189"/>
      <c r="N7588" s="189"/>
      <c r="O7588" s="189"/>
      <c r="P7588" s="189"/>
      <c r="R7588" s="189">
        <f>ROUNDDOWN(H7601,-2)</f>
        <v>1400</v>
      </c>
      <c r="S7588" s="517" t="s">
        <v>6451</v>
      </c>
      <c r="T7588" s="517" t="s">
        <v>7666</v>
      </c>
    </row>
    <row r="7589" spans="3:20" s="517" customFormat="1" ht="31.2" customHeight="1" thickTop="1">
      <c r="C7589" s="190" t="s">
        <v>1195</v>
      </c>
      <c r="D7589" s="191" t="s">
        <v>1196</v>
      </c>
      <c r="E7589" s="191" t="s">
        <v>1197</v>
      </c>
      <c r="F7589" s="191" t="s">
        <v>1198</v>
      </c>
      <c r="G7589" s="191" t="s">
        <v>1199</v>
      </c>
      <c r="H7589" s="192" t="s">
        <v>1200</v>
      </c>
      <c r="L7589" s="200"/>
      <c r="M7589" s="200"/>
      <c r="N7589" s="200"/>
      <c r="O7589" s="200"/>
      <c r="P7589" s="200"/>
    </row>
    <row r="7590" spans="3:20" s="517" customFormat="1" ht="31.2" customHeight="1">
      <c r="C7590" s="518" t="s">
        <v>1201</v>
      </c>
      <c r="D7590" s="196" t="s">
        <v>1202</v>
      </c>
      <c r="E7590" s="197"/>
      <c r="F7590" s="197"/>
      <c r="G7590" s="197"/>
      <c r="H7590" s="198"/>
      <c r="L7590" s="200"/>
      <c r="M7590" s="200"/>
      <c r="N7590" s="200"/>
      <c r="O7590" s="200"/>
      <c r="P7590" s="200"/>
    </row>
    <row r="7591" spans="3:20" s="517" customFormat="1" ht="31.2" customHeight="1">
      <c r="C7591" s="518">
        <v>1</v>
      </c>
      <c r="D7591" s="196" t="s">
        <v>5</v>
      </c>
      <c r="E7591" s="203" t="s">
        <v>2102</v>
      </c>
      <c r="F7591" s="257">
        <v>1.2E-2</v>
      </c>
      <c r="G7591" s="205">
        <f>VLOOKUP(D7591,upahbahan,3,FALSE)</f>
        <v>100000</v>
      </c>
      <c r="H7591" s="210">
        <f t="shared" ref="H7591:H7593" si="586">F7591*G7591</f>
        <v>1200</v>
      </c>
      <c r="L7591" s="200"/>
      <c r="M7591" s="200"/>
      <c r="N7591" s="200"/>
      <c r="O7591" s="200"/>
      <c r="P7591" s="200"/>
    </row>
    <row r="7592" spans="3:20" s="517" customFormat="1" ht="31.2" customHeight="1">
      <c r="C7592" s="518">
        <v>2</v>
      </c>
      <c r="D7592" s="196" t="s">
        <v>7672</v>
      </c>
      <c r="E7592" s="203" t="s">
        <v>2102</v>
      </c>
      <c r="F7592" s="257">
        <v>5.9999999999999995E-4</v>
      </c>
      <c r="G7592" s="205">
        <f>VLOOKUP(D7592,upahbahan,3,FALSE)</f>
        <v>114999.99999999999</v>
      </c>
      <c r="H7592" s="210">
        <f t="shared" si="586"/>
        <v>68.999999999999986</v>
      </c>
      <c r="L7592" s="200"/>
      <c r="M7592" s="200"/>
      <c r="N7592" s="200"/>
      <c r="O7592" s="200"/>
      <c r="P7592" s="200"/>
    </row>
    <row r="7593" spans="3:20" s="517" customFormat="1" ht="31.2" customHeight="1">
      <c r="C7593" s="518">
        <v>3</v>
      </c>
      <c r="D7593" s="196" t="s">
        <v>19</v>
      </c>
      <c r="E7593" s="203" t="s">
        <v>2102</v>
      </c>
      <c r="F7593" s="786">
        <v>2.0000000000000001E-4</v>
      </c>
      <c r="G7593" s="205">
        <f>VLOOKUP(D7593,upahbahan,3,FALSE)</f>
        <v>160000</v>
      </c>
      <c r="H7593" s="210">
        <f t="shared" si="586"/>
        <v>32</v>
      </c>
      <c r="L7593" s="200"/>
      <c r="M7593" s="200"/>
      <c r="N7593" s="200"/>
      <c r="O7593" s="200"/>
      <c r="P7593" s="200"/>
    </row>
    <row r="7594" spans="3:20" s="517" customFormat="1" ht="31.2" customHeight="1">
      <c r="C7594" s="207" t="s">
        <v>1208</v>
      </c>
      <c r="D7594" s="208"/>
      <c r="E7594" s="208"/>
      <c r="F7594" s="521"/>
      <c r="G7594" s="522"/>
      <c r="H7594" s="210">
        <f>SUM(H7591:H7593)</f>
        <v>1301</v>
      </c>
      <c r="L7594" s="523"/>
      <c r="M7594" s="523"/>
      <c r="N7594" s="523"/>
      <c r="O7594" s="523"/>
      <c r="P7594" s="523"/>
    </row>
    <row r="7595" spans="3:20" s="517" customFormat="1" ht="31.2" customHeight="1">
      <c r="C7595" s="543" t="s">
        <v>1209</v>
      </c>
      <c r="D7595" s="750" t="s">
        <v>1210</v>
      </c>
      <c r="E7595" s="197"/>
      <c r="F7595" s="751"/>
      <c r="G7595" s="197"/>
      <c r="H7595" s="752"/>
      <c r="L7595" s="200"/>
      <c r="M7595" s="200"/>
      <c r="N7595" s="200"/>
      <c r="O7595" s="200"/>
      <c r="P7595" s="200"/>
    </row>
    <row r="7596" spans="3:20" s="517" customFormat="1" ht="31.2" customHeight="1">
      <c r="C7596" s="207" t="s">
        <v>1214</v>
      </c>
      <c r="D7596" s="208"/>
      <c r="E7596" s="568"/>
      <c r="F7596" s="208"/>
      <c r="G7596" s="209"/>
      <c r="H7596" s="210">
        <f>SUM(H7595)</f>
        <v>0</v>
      </c>
      <c r="L7596" s="200"/>
      <c r="M7596" s="200"/>
      <c r="N7596" s="200"/>
      <c r="O7596" s="200"/>
      <c r="P7596" s="200"/>
    </row>
    <row r="7597" spans="3:20" s="517" customFormat="1" ht="31.2" customHeight="1">
      <c r="C7597" s="195" t="s">
        <v>1215</v>
      </c>
      <c r="D7597" s="196" t="s">
        <v>1216</v>
      </c>
      <c r="E7597" s="203"/>
      <c r="F7597" s="197"/>
      <c r="G7597" s="197"/>
      <c r="H7597" s="198"/>
      <c r="L7597" s="200"/>
      <c r="M7597" s="200"/>
      <c r="N7597" s="200"/>
      <c r="O7597" s="200"/>
      <c r="P7597" s="200"/>
    </row>
    <row r="7598" spans="3:20" s="517" customFormat="1" ht="31.2" customHeight="1">
      <c r="C7598" s="207" t="s">
        <v>1217</v>
      </c>
      <c r="D7598" s="208"/>
      <c r="E7598" s="208"/>
      <c r="F7598" s="208"/>
      <c r="G7598" s="209"/>
      <c r="H7598" s="770">
        <f>SUM(H7597)</f>
        <v>0</v>
      </c>
      <c r="L7598" s="200"/>
      <c r="M7598" s="200"/>
      <c r="N7598" s="200"/>
      <c r="O7598" s="200"/>
      <c r="P7598" s="200"/>
    </row>
    <row r="7599" spans="3:20" s="517" customFormat="1" ht="31.2" customHeight="1">
      <c r="C7599" s="223" t="s">
        <v>1218</v>
      </c>
      <c r="D7599" s="224" t="s">
        <v>1219</v>
      </c>
      <c r="E7599" s="225"/>
      <c r="F7599" s="225"/>
      <c r="G7599" s="226"/>
      <c r="H7599" s="210">
        <f>H7598+H7596+H7594</f>
        <v>1301</v>
      </c>
      <c r="L7599" s="200"/>
      <c r="M7599" s="200"/>
      <c r="N7599" s="200"/>
      <c r="O7599" s="200"/>
      <c r="P7599" s="200"/>
    </row>
    <row r="7600" spans="3:20" s="517" customFormat="1" ht="31.2" customHeight="1">
      <c r="C7600" s="223" t="s">
        <v>1220</v>
      </c>
      <c r="D7600" s="224" t="s">
        <v>1321</v>
      </c>
      <c r="E7600" s="225"/>
      <c r="F7600" s="226"/>
      <c r="G7600" s="228">
        <v>0.1</v>
      </c>
      <c r="H7600" s="210">
        <f>H7599*G7600</f>
        <v>130.1</v>
      </c>
      <c r="L7600" s="200"/>
      <c r="M7600" s="200"/>
      <c r="N7600" s="200"/>
      <c r="O7600" s="200"/>
      <c r="P7600" s="200"/>
    </row>
    <row r="7601" spans="3:20" s="517" customFormat="1" ht="31.2" customHeight="1" thickBot="1">
      <c r="C7601" s="229" t="s">
        <v>1221</v>
      </c>
      <c r="D7601" s="230" t="s">
        <v>1222</v>
      </c>
      <c r="E7601" s="231"/>
      <c r="F7601" s="231"/>
      <c r="G7601" s="232"/>
      <c r="H7601" s="233">
        <f>SUM(H7599:H7600)</f>
        <v>1431.1</v>
      </c>
      <c r="L7601" s="200"/>
      <c r="M7601" s="200"/>
      <c r="N7601" s="200"/>
      <c r="O7601" s="200"/>
      <c r="P7601" s="200"/>
    </row>
    <row r="7602" spans="3:20" ht="31.2" customHeight="1" thickTop="1">
      <c r="C7602" s="788" t="s">
        <v>7667</v>
      </c>
      <c r="D7602" s="758" t="s">
        <v>7678</v>
      </c>
    </row>
    <row r="7603" spans="3:20" ht="31.2" customHeight="1"/>
    <row r="7604" spans="3:20" s="517" customFormat="1" ht="31.2" customHeight="1" thickBot="1">
      <c r="C7604" s="513" t="s">
        <v>5703</v>
      </c>
      <c r="D7604" s="748" t="s">
        <v>7679</v>
      </c>
      <c r="E7604" s="749"/>
      <c r="F7604" s="748"/>
      <c r="G7604" s="748"/>
      <c r="H7604" s="532"/>
      <c r="I7604" s="532"/>
      <c r="J7604" s="532"/>
      <c r="K7604" s="532"/>
      <c r="M7604" s="189"/>
      <c r="N7604" s="189"/>
      <c r="O7604" s="189"/>
      <c r="P7604" s="189"/>
      <c r="R7604" s="189">
        <f>ROUNDDOWN(H7618,-2)</f>
        <v>0</v>
      </c>
      <c r="S7604" s="517" t="s">
        <v>6451</v>
      </c>
      <c r="T7604" s="517" t="s">
        <v>7680</v>
      </c>
    </row>
    <row r="7605" spans="3:20" s="517" customFormat="1" ht="31.2" customHeight="1" thickTop="1">
      <c r="C7605" s="190" t="s">
        <v>1195</v>
      </c>
      <c r="D7605" s="191" t="s">
        <v>1196</v>
      </c>
      <c r="E7605" s="191" t="s">
        <v>1197</v>
      </c>
      <c r="F7605" s="191" t="s">
        <v>1198</v>
      </c>
      <c r="G7605" s="191" t="s">
        <v>1199</v>
      </c>
      <c r="H7605" s="192" t="s">
        <v>1200</v>
      </c>
      <c r="L7605" s="200"/>
      <c r="M7605" s="200"/>
      <c r="N7605" s="200"/>
      <c r="O7605" s="200"/>
      <c r="P7605" s="200"/>
    </row>
    <row r="7606" spans="3:20" s="517" customFormat="1" ht="31.2" customHeight="1">
      <c r="C7606" s="518" t="s">
        <v>1201</v>
      </c>
      <c r="D7606" s="196" t="s">
        <v>1202</v>
      </c>
      <c r="E7606" s="197"/>
      <c r="F7606" s="197"/>
      <c r="G7606" s="197"/>
      <c r="H7606" s="198"/>
      <c r="L7606" s="200"/>
      <c r="M7606" s="200"/>
      <c r="N7606" s="200"/>
      <c r="O7606" s="200"/>
      <c r="P7606" s="200"/>
    </row>
    <row r="7607" spans="3:20" s="517" customFormat="1" ht="31.2" customHeight="1">
      <c r="C7607" s="518">
        <v>1</v>
      </c>
      <c r="D7607" s="196" t="s">
        <v>5</v>
      </c>
      <c r="E7607" s="203" t="s">
        <v>2102</v>
      </c>
      <c r="F7607" s="257">
        <v>2.0000000000000001E-4</v>
      </c>
      <c r="G7607" s="205">
        <f>VLOOKUP(D7607,upahbahan,3,FALSE)</f>
        <v>100000</v>
      </c>
      <c r="H7607" s="210">
        <f t="shared" ref="H7607:H7609" si="587">F7607*G7607</f>
        <v>20</v>
      </c>
      <c r="L7607" s="200"/>
      <c r="M7607" s="200"/>
      <c r="N7607" s="200"/>
      <c r="O7607" s="200"/>
      <c r="P7607" s="200"/>
    </row>
    <row r="7608" spans="3:20" s="517" customFormat="1" ht="31.2" customHeight="1">
      <c r="C7608" s="518">
        <v>2</v>
      </c>
      <c r="D7608" s="196" t="s">
        <v>7672</v>
      </c>
      <c r="E7608" s="203" t="s">
        <v>2102</v>
      </c>
      <c r="F7608" s="257">
        <v>1.7000000000000001E-4</v>
      </c>
      <c r="G7608" s="205">
        <f>VLOOKUP(D7608,upahbahan,3,FALSE)</f>
        <v>114999.99999999999</v>
      </c>
      <c r="H7608" s="210">
        <f t="shared" si="587"/>
        <v>19.549999999999997</v>
      </c>
      <c r="L7608" s="200"/>
      <c r="M7608" s="200"/>
      <c r="N7608" s="200"/>
      <c r="O7608" s="200"/>
      <c r="P7608" s="200"/>
    </row>
    <row r="7609" spans="3:20" s="517" customFormat="1" ht="31.2" customHeight="1">
      <c r="C7609" s="518">
        <v>3</v>
      </c>
      <c r="D7609" s="196" t="s">
        <v>19</v>
      </c>
      <c r="E7609" s="203" t="s">
        <v>2102</v>
      </c>
      <c r="F7609" s="786">
        <v>7.9999999999999996E-6</v>
      </c>
      <c r="G7609" s="205">
        <f>VLOOKUP(D7609,upahbahan,3,FALSE)</f>
        <v>160000</v>
      </c>
      <c r="H7609" s="210">
        <f t="shared" si="587"/>
        <v>1.28</v>
      </c>
      <c r="L7609" s="200"/>
      <c r="M7609" s="200"/>
      <c r="N7609" s="200"/>
      <c r="O7609" s="200"/>
      <c r="P7609" s="200"/>
    </row>
    <row r="7610" spans="3:20" s="517" customFormat="1" ht="31.2" customHeight="1">
      <c r="C7610" s="207" t="s">
        <v>1208</v>
      </c>
      <c r="D7610" s="208"/>
      <c r="E7610" s="208"/>
      <c r="F7610" s="521"/>
      <c r="G7610" s="522"/>
      <c r="H7610" s="210">
        <f>SUM(H7607:H7609)</f>
        <v>40.83</v>
      </c>
      <c r="L7610" s="523"/>
      <c r="M7610" s="523"/>
      <c r="N7610" s="523"/>
      <c r="O7610" s="523"/>
      <c r="P7610" s="523"/>
    </row>
    <row r="7611" spans="3:20" s="517" customFormat="1" ht="31.2" customHeight="1">
      <c r="C7611" s="543" t="s">
        <v>1209</v>
      </c>
      <c r="D7611" s="750" t="s">
        <v>1210</v>
      </c>
      <c r="E7611" s="197"/>
      <c r="F7611" s="751"/>
      <c r="G7611" s="197"/>
      <c r="H7611" s="752"/>
      <c r="L7611" s="200"/>
      <c r="M7611" s="200"/>
      <c r="N7611" s="200"/>
      <c r="O7611" s="200"/>
      <c r="P7611" s="200"/>
    </row>
    <row r="7612" spans="3:20" s="517" customFormat="1" ht="31.2" customHeight="1">
      <c r="C7612" s="207" t="s">
        <v>1214</v>
      </c>
      <c r="D7612" s="208"/>
      <c r="E7612" s="568"/>
      <c r="F7612" s="208"/>
      <c r="G7612" s="209"/>
      <c r="H7612" s="210">
        <f>SUM(H7611)</f>
        <v>0</v>
      </c>
      <c r="L7612" s="200"/>
      <c r="M7612" s="200"/>
      <c r="N7612" s="200"/>
      <c r="O7612" s="200"/>
      <c r="P7612" s="200"/>
    </row>
    <row r="7613" spans="3:20" s="517" customFormat="1" ht="31.2" customHeight="1">
      <c r="C7613" s="195" t="s">
        <v>1215</v>
      </c>
      <c r="D7613" s="196" t="s">
        <v>1216</v>
      </c>
      <c r="E7613" s="203"/>
      <c r="F7613" s="197"/>
      <c r="G7613" s="197"/>
      <c r="H7613" s="198"/>
      <c r="L7613" s="200"/>
      <c r="M7613" s="200"/>
      <c r="N7613" s="200"/>
      <c r="O7613" s="200"/>
      <c r="P7613" s="200"/>
    </row>
    <row r="7614" spans="3:20" s="517" customFormat="1" ht="31.2" customHeight="1">
      <c r="C7614" s="518">
        <v>1</v>
      </c>
      <c r="D7614" s="196" t="s">
        <v>7681</v>
      </c>
      <c r="E7614" s="203" t="s">
        <v>2139</v>
      </c>
      <c r="F7614" s="786">
        <v>2.0000000000000002E-5</v>
      </c>
      <c r="G7614" s="205">
        <f>VLOOKUP(D7614,upahbahan,3,FALSE)</f>
        <v>150000</v>
      </c>
      <c r="H7614" s="210">
        <f t="shared" ref="H7614" si="588">F7614*G7614</f>
        <v>3.0000000000000004</v>
      </c>
      <c r="L7614" s="200"/>
      <c r="M7614" s="200"/>
      <c r="N7614" s="200"/>
      <c r="O7614" s="200"/>
      <c r="P7614" s="200"/>
    </row>
    <row r="7615" spans="3:20" s="517" customFormat="1" ht="31.2" customHeight="1">
      <c r="C7615" s="207" t="s">
        <v>1217</v>
      </c>
      <c r="D7615" s="208"/>
      <c r="E7615" s="208"/>
      <c r="F7615" s="208"/>
      <c r="G7615" s="209"/>
      <c r="H7615" s="770">
        <f>SUM(H7614)</f>
        <v>3.0000000000000004</v>
      </c>
      <c r="L7615" s="200"/>
      <c r="M7615" s="200"/>
      <c r="N7615" s="200"/>
      <c r="O7615" s="200"/>
      <c r="P7615" s="200"/>
    </row>
    <row r="7616" spans="3:20" s="517" customFormat="1" ht="31.2" customHeight="1">
      <c r="C7616" s="223" t="s">
        <v>1218</v>
      </c>
      <c r="D7616" s="224" t="s">
        <v>1219</v>
      </c>
      <c r="E7616" s="225"/>
      <c r="F7616" s="225"/>
      <c r="G7616" s="226"/>
      <c r="H7616" s="210">
        <f>H7615+H7612+H7610</f>
        <v>43.83</v>
      </c>
      <c r="L7616" s="200"/>
      <c r="M7616" s="200"/>
      <c r="N7616" s="200"/>
      <c r="O7616" s="200"/>
      <c r="P7616" s="200"/>
    </row>
    <row r="7617" spans="3:20" s="517" customFormat="1" ht="31.2" customHeight="1">
      <c r="C7617" s="223" t="s">
        <v>1220</v>
      </c>
      <c r="D7617" s="224" t="s">
        <v>1321</v>
      </c>
      <c r="E7617" s="225"/>
      <c r="F7617" s="226"/>
      <c r="G7617" s="228">
        <v>0.1</v>
      </c>
      <c r="H7617" s="210">
        <f>H7616*G7617</f>
        <v>4.383</v>
      </c>
      <c r="L7617" s="200"/>
      <c r="M7617" s="200"/>
      <c r="N7617" s="200"/>
      <c r="O7617" s="200"/>
      <c r="P7617" s="200"/>
    </row>
    <row r="7618" spans="3:20" s="517" customFormat="1" ht="31.2" customHeight="1" thickBot="1">
      <c r="C7618" s="229" t="s">
        <v>1221</v>
      </c>
      <c r="D7618" s="230" t="s">
        <v>1222</v>
      </c>
      <c r="E7618" s="231"/>
      <c r="F7618" s="231"/>
      <c r="G7618" s="232"/>
      <c r="H7618" s="233">
        <f>SUM(H7616:H7617)</f>
        <v>48.213000000000001</v>
      </c>
      <c r="L7618" s="200"/>
      <c r="M7618" s="200"/>
      <c r="N7618" s="200"/>
      <c r="O7618" s="200"/>
      <c r="P7618" s="200"/>
    </row>
    <row r="7619" spans="3:20" ht="31.2" customHeight="1" thickTop="1">
      <c r="C7619" s="788" t="s">
        <v>7667</v>
      </c>
      <c r="D7619" s="758" t="s">
        <v>7678</v>
      </c>
    </row>
    <row r="7620" spans="3:20" ht="31.2" customHeight="1"/>
    <row r="7621" spans="3:20" ht="31.2" customHeight="1">
      <c r="C7621" s="765" t="s">
        <v>5704</v>
      </c>
      <c r="D7621" s="766" t="s">
        <v>7682</v>
      </c>
    </row>
    <row r="7622" spans="3:20" s="517" customFormat="1" ht="31.2" customHeight="1" thickBot="1">
      <c r="C7622" s="513" t="s">
        <v>5705</v>
      </c>
      <c r="D7622" s="748" t="s">
        <v>7683</v>
      </c>
      <c r="E7622" s="749"/>
      <c r="F7622" s="748"/>
      <c r="G7622" s="748"/>
      <c r="H7622" s="532"/>
      <c r="I7622" s="532"/>
      <c r="J7622" s="532"/>
      <c r="K7622" s="532"/>
      <c r="M7622" s="189"/>
      <c r="N7622" s="189"/>
      <c r="O7622" s="189"/>
      <c r="P7622" s="189"/>
      <c r="R7622" s="189">
        <f>ROUNDDOWN(H7637,-2)</f>
        <v>3600</v>
      </c>
      <c r="S7622" s="517" t="s">
        <v>6451</v>
      </c>
      <c r="T7622" s="517" t="s">
        <v>7684</v>
      </c>
    </row>
    <row r="7623" spans="3:20" s="517" customFormat="1" ht="31.2" customHeight="1" thickTop="1">
      <c r="C7623" s="190" t="s">
        <v>1195</v>
      </c>
      <c r="D7623" s="191" t="s">
        <v>1196</v>
      </c>
      <c r="E7623" s="191" t="s">
        <v>1197</v>
      </c>
      <c r="F7623" s="191" t="s">
        <v>1198</v>
      </c>
      <c r="G7623" s="191" t="s">
        <v>1199</v>
      </c>
      <c r="H7623" s="192" t="s">
        <v>1200</v>
      </c>
      <c r="L7623" s="200"/>
      <c r="M7623" s="200"/>
      <c r="N7623" s="200"/>
      <c r="O7623" s="200"/>
      <c r="P7623" s="200"/>
    </row>
    <row r="7624" spans="3:20" s="517" customFormat="1" ht="31.2" customHeight="1">
      <c r="C7624" s="518" t="s">
        <v>1201</v>
      </c>
      <c r="D7624" s="196" t="s">
        <v>1202</v>
      </c>
      <c r="E7624" s="197"/>
      <c r="F7624" s="197"/>
      <c r="G7624" s="197"/>
      <c r="H7624" s="198"/>
      <c r="L7624" s="200"/>
      <c r="M7624" s="200"/>
      <c r="N7624" s="200"/>
      <c r="O7624" s="200"/>
      <c r="P7624" s="200"/>
    </row>
    <row r="7625" spans="3:20" s="517" customFormat="1" ht="31.2" customHeight="1">
      <c r="C7625" s="518">
        <v>1</v>
      </c>
      <c r="D7625" s="196" t="s">
        <v>7672</v>
      </c>
      <c r="E7625" s="203" t="s">
        <v>2102</v>
      </c>
      <c r="F7625" s="257">
        <v>5.7000000000000002E-3</v>
      </c>
      <c r="G7625" s="205">
        <f>VLOOKUP(D7625,upahbahan,3,FALSE)</f>
        <v>114999.99999999999</v>
      </c>
      <c r="H7625" s="210">
        <f t="shared" ref="H7625:H7626" si="589">F7625*G7625</f>
        <v>655.49999999999989</v>
      </c>
      <c r="L7625" s="200"/>
      <c r="M7625" s="200"/>
      <c r="N7625" s="200"/>
      <c r="O7625" s="200"/>
      <c r="P7625" s="200"/>
    </row>
    <row r="7626" spans="3:20" s="517" customFormat="1" ht="31.2" customHeight="1">
      <c r="C7626" s="518">
        <v>2</v>
      </c>
      <c r="D7626" s="196" t="s">
        <v>19</v>
      </c>
      <c r="E7626" s="203" t="s">
        <v>2102</v>
      </c>
      <c r="F7626" s="786">
        <v>3.8000000000000002E-4</v>
      </c>
      <c r="G7626" s="205">
        <f>VLOOKUP(D7626,upahbahan,3,FALSE)</f>
        <v>160000</v>
      </c>
      <c r="H7626" s="210">
        <f t="shared" si="589"/>
        <v>60.800000000000004</v>
      </c>
      <c r="L7626" s="200"/>
      <c r="M7626" s="200"/>
      <c r="N7626" s="200"/>
      <c r="O7626" s="200"/>
      <c r="P7626" s="200"/>
    </row>
    <row r="7627" spans="3:20" s="517" customFormat="1" ht="31.2" customHeight="1">
      <c r="C7627" s="207" t="s">
        <v>1208</v>
      </c>
      <c r="D7627" s="208"/>
      <c r="E7627" s="208"/>
      <c r="F7627" s="521"/>
      <c r="G7627" s="522"/>
      <c r="H7627" s="210">
        <f>SUM(H7625:H7626)</f>
        <v>716.29999999999984</v>
      </c>
      <c r="L7627" s="523"/>
      <c r="M7627" s="523"/>
      <c r="N7627" s="523"/>
      <c r="O7627" s="523"/>
      <c r="P7627" s="523"/>
    </row>
    <row r="7628" spans="3:20" s="517" customFormat="1" ht="31.2" customHeight="1">
      <c r="C7628" s="543" t="s">
        <v>1209</v>
      </c>
      <c r="D7628" s="750" t="s">
        <v>1210</v>
      </c>
      <c r="E7628" s="197"/>
      <c r="F7628" s="751"/>
      <c r="G7628" s="197"/>
      <c r="H7628" s="752"/>
      <c r="L7628" s="200"/>
      <c r="M7628" s="200"/>
      <c r="N7628" s="200"/>
      <c r="O7628" s="200"/>
      <c r="P7628" s="200"/>
    </row>
    <row r="7629" spans="3:20" s="517" customFormat="1" ht="31.2" customHeight="1">
      <c r="C7629" s="518">
        <v>1</v>
      </c>
      <c r="D7629" s="196" t="s">
        <v>5706</v>
      </c>
      <c r="E7629" s="203" t="s">
        <v>2102</v>
      </c>
      <c r="F7629" s="257">
        <v>1E-3</v>
      </c>
      <c r="G7629" s="205">
        <f>VLOOKUP(D7629,upahbahan,3,FALSE)</f>
        <v>0</v>
      </c>
      <c r="H7629" s="210">
        <f t="shared" ref="H7629:H7630" si="590">F7629*G7629</f>
        <v>0</v>
      </c>
      <c r="L7629" s="200"/>
      <c r="M7629" s="200"/>
      <c r="N7629" s="200"/>
      <c r="O7629" s="200"/>
      <c r="P7629" s="200"/>
    </row>
    <row r="7630" spans="3:20" s="517" customFormat="1" ht="31.2" customHeight="1">
      <c r="C7630" s="518">
        <v>2</v>
      </c>
      <c r="D7630" s="196" t="s">
        <v>960</v>
      </c>
      <c r="E7630" s="203" t="s">
        <v>2102</v>
      </c>
      <c r="F7630" s="786">
        <v>3</v>
      </c>
      <c r="G7630" s="205">
        <f>VLOOKUP(D7630,upahbahan,3,FALSE)</f>
        <v>200</v>
      </c>
      <c r="H7630" s="210">
        <f t="shared" si="590"/>
        <v>600</v>
      </c>
      <c r="L7630" s="200"/>
      <c r="M7630" s="200"/>
      <c r="N7630" s="200"/>
      <c r="O7630" s="200"/>
      <c r="P7630" s="200"/>
    </row>
    <row r="7631" spans="3:20" s="517" customFormat="1" ht="31.2" customHeight="1">
      <c r="C7631" s="207" t="s">
        <v>1214</v>
      </c>
      <c r="D7631" s="208"/>
      <c r="E7631" s="568"/>
      <c r="F7631" s="208"/>
      <c r="G7631" s="209"/>
      <c r="H7631" s="210">
        <f>SUM(H7628:H7630)</f>
        <v>600</v>
      </c>
      <c r="L7631" s="200"/>
      <c r="M7631" s="200"/>
      <c r="N7631" s="200"/>
      <c r="O7631" s="200"/>
      <c r="P7631" s="200"/>
    </row>
    <row r="7632" spans="3:20" s="517" customFormat="1" ht="31.2" customHeight="1">
      <c r="C7632" s="195" t="s">
        <v>1215</v>
      </c>
      <c r="D7632" s="196" t="s">
        <v>1216</v>
      </c>
      <c r="E7632" s="203"/>
      <c r="F7632" s="197"/>
      <c r="G7632" s="197"/>
      <c r="H7632" s="198"/>
      <c r="L7632" s="200"/>
      <c r="M7632" s="200"/>
      <c r="N7632" s="200"/>
      <c r="O7632" s="200"/>
      <c r="P7632" s="200"/>
    </row>
    <row r="7633" spans="3:20" s="517" customFormat="1" ht="31.2" customHeight="1">
      <c r="C7633" s="518">
        <v>1</v>
      </c>
      <c r="D7633" s="196" t="s">
        <v>7654</v>
      </c>
      <c r="E7633" s="203" t="s">
        <v>7685</v>
      </c>
      <c r="F7633" s="786">
        <v>5.7000000000000002E-3</v>
      </c>
      <c r="G7633" s="205">
        <f>VLOOKUP(D7633,upahbahan,3,FALSE)</f>
        <v>350000</v>
      </c>
      <c r="H7633" s="210">
        <f t="shared" ref="H7633" si="591">F7633*G7633</f>
        <v>1995</v>
      </c>
      <c r="L7633" s="200"/>
      <c r="M7633" s="200"/>
      <c r="N7633" s="200"/>
      <c r="O7633" s="200"/>
      <c r="P7633" s="200"/>
    </row>
    <row r="7634" spans="3:20" s="517" customFormat="1" ht="31.2" customHeight="1">
      <c r="C7634" s="207" t="s">
        <v>1217</v>
      </c>
      <c r="D7634" s="208"/>
      <c r="E7634" s="208"/>
      <c r="F7634" s="208"/>
      <c r="G7634" s="209"/>
      <c r="H7634" s="770">
        <f>SUM(H7633)</f>
        <v>1995</v>
      </c>
      <c r="L7634" s="200"/>
      <c r="M7634" s="200"/>
      <c r="N7634" s="200"/>
      <c r="O7634" s="200"/>
      <c r="P7634" s="200"/>
    </row>
    <row r="7635" spans="3:20" s="517" customFormat="1" ht="31.2" customHeight="1">
      <c r="C7635" s="223" t="s">
        <v>1218</v>
      </c>
      <c r="D7635" s="224" t="s">
        <v>1219</v>
      </c>
      <c r="E7635" s="225"/>
      <c r="F7635" s="225"/>
      <c r="G7635" s="226"/>
      <c r="H7635" s="210">
        <f>H7634+H7631+H7627</f>
        <v>3311.2999999999997</v>
      </c>
      <c r="L7635" s="200"/>
      <c r="M7635" s="200"/>
      <c r="N7635" s="200"/>
      <c r="O7635" s="200"/>
      <c r="P7635" s="200"/>
    </row>
    <row r="7636" spans="3:20" s="517" customFormat="1" ht="31.2" customHeight="1">
      <c r="C7636" s="223" t="s">
        <v>1220</v>
      </c>
      <c r="D7636" s="224" t="s">
        <v>1321</v>
      </c>
      <c r="E7636" s="225"/>
      <c r="F7636" s="226"/>
      <c r="G7636" s="228">
        <v>0.1</v>
      </c>
      <c r="H7636" s="210">
        <f>H7635*G7636</f>
        <v>331.13</v>
      </c>
      <c r="L7636" s="200"/>
      <c r="M7636" s="200"/>
      <c r="N7636" s="200"/>
      <c r="O7636" s="200"/>
      <c r="P7636" s="200"/>
    </row>
    <row r="7637" spans="3:20" s="517" customFormat="1" ht="31.2" customHeight="1" thickBot="1">
      <c r="C7637" s="229" t="s">
        <v>1221</v>
      </c>
      <c r="D7637" s="230" t="s">
        <v>1222</v>
      </c>
      <c r="E7637" s="231"/>
      <c r="F7637" s="231"/>
      <c r="G7637" s="232"/>
      <c r="H7637" s="233">
        <f>SUM(H7635:H7636)</f>
        <v>3642.43</v>
      </c>
      <c r="L7637" s="200"/>
      <c r="M7637" s="200"/>
      <c r="N7637" s="200"/>
      <c r="O7637" s="200"/>
      <c r="P7637" s="200"/>
    </row>
    <row r="7638" spans="3:20" ht="31.2" customHeight="1" thickTop="1">
      <c r="C7638" s="788" t="s">
        <v>7667</v>
      </c>
      <c r="D7638" s="758" t="s">
        <v>7678</v>
      </c>
    </row>
    <row r="7639" spans="3:20" ht="31.2" customHeight="1"/>
    <row r="7640" spans="3:20" s="517" customFormat="1" ht="31.2" customHeight="1" thickBot="1">
      <c r="C7640" s="513" t="s">
        <v>5707</v>
      </c>
      <c r="D7640" s="748" t="s">
        <v>7686</v>
      </c>
      <c r="E7640" s="749"/>
      <c r="F7640" s="748"/>
      <c r="G7640" s="748"/>
      <c r="H7640" s="532"/>
      <c r="I7640" s="532"/>
      <c r="J7640" s="532"/>
      <c r="K7640" s="532"/>
      <c r="M7640" s="189"/>
      <c r="N7640" s="189"/>
      <c r="O7640" s="189"/>
      <c r="P7640" s="189"/>
      <c r="R7640" s="189">
        <f>ROUNDDOWN(H7655,-2)</f>
        <v>900</v>
      </c>
      <c r="S7640" s="517" t="s">
        <v>6451</v>
      </c>
      <c r="T7640" s="517" t="s">
        <v>7684</v>
      </c>
    </row>
    <row r="7641" spans="3:20" s="517" customFormat="1" ht="31.2" customHeight="1" thickTop="1">
      <c r="C7641" s="190" t="s">
        <v>1195</v>
      </c>
      <c r="D7641" s="191" t="s">
        <v>1196</v>
      </c>
      <c r="E7641" s="191" t="s">
        <v>1197</v>
      </c>
      <c r="F7641" s="191" t="s">
        <v>1198</v>
      </c>
      <c r="G7641" s="191" t="s">
        <v>1199</v>
      </c>
      <c r="H7641" s="192" t="s">
        <v>1200</v>
      </c>
      <c r="L7641" s="200"/>
      <c r="M7641" s="200"/>
      <c r="N7641" s="200"/>
      <c r="O7641" s="200"/>
      <c r="P7641" s="200"/>
    </row>
    <row r="7642" spans="3:20" s="517" customFormat="1" ht="31.2" customHeight="1">
      <c r="C7642" s="518" t="s">
        <v>1201</v>
      </c>
      <c r="D7642" s="196" t="s">
        <v>1202</v>
      </c>
      <c r="E7642" s="197"/>
      <c r="F7642" s="197"/>
      <c r="G7642" s="197"/>
      <c r="H7642" s="198"/>
      <c r="L7642" s="200"/>
      <c r="M7642" s="200"/>
      <c r="N7642" s="200"/>
      <c r="O7642" s="200"/>
      <c r="P7642" s="200"/>
    </row>
    <row r="7643" spans="3:20" s="517" customFormat="1" ht="31.2" customHeight="1">
      <c r="C7643" s="518">
        <v>1</v>
      </c>
      <c r="D7643" s="196" t="s">
        <v>7672</v>
      </c>
      <c r="E7643" s="203" t="s">
        <v>2102</v>
      </c>
      <c r="F7643" s="257">
        <v>5.2999999999999998E-4</v>
      </c>
      <c r="G7643" s="205">
        <f>VLOOKUP(D7643,upahbahan,3,FALSE)</f>
        <v>114999.99999999999</v>
      </c>
      <c r="H7643" s="210">
        <f t="shared" ref="H7643:H7644" si="592">F7643*G7643</f>
        <v>60.949999999999989</v>
      </c>
      <c r="L7643" s="200"/>
      <c r="M7643" s="200"/>
      <c r="N7643" s="200"/>
      <c r="O7643" s="200"/>
      <c r="P7643" s="200"/>
    </row>
    <row r="7644" spans="3:20" s="517" customFormat="1" ht="31.2" customHeight="1">
      <c r="C7644" s="518">
        <v>2</v>
      </c>
      <c r="D7644" s="196" t="s">
        <v>19</v>
      </c>
      <c r="E7644" s="203" t="s">
        <v>2102</v>
      </c>
      <c r="F7644" s="786">
        <v>3.4999999999999997E-5</v>
      </c>
      <c r="G7644" s="205">
        <f>VLOOKUP(D7644,upahbahan,3,FALSE)</f>
        <v>160000</v>
      </c>
      <c r="H7644" s="210">
        <f t="shared" si="592"/>
        <v>5.6</v>
      </c>
      <c r="L7644" s="200"/>
      <c r="M7644" s="200"/>
      <c r="N7644" s="200"/>
      <c r="O7644" s="200"/>
      <c r="P7644" s="200"/>
    </row>
    <row r="7645" spans="3:20" s="517" customFormat="1" ht="31.2" customHeight="1">
      <c r="C7645" s="207" t="s">
        <v>1208</v>
      </c>
      <c r="D7645" s="208"/>
      <c r="E7645" s="208"/>
      <c r="F7645" s="521"/>
      <c r="G7645" s="522"/>
      <c r="H7645" s="210">
        <f>SUM(H7643:H7644)</f>
        <v>66.549999999999983</v>
      </c>
      <c r="L7645" s="523"/>
      <c r="M7645" s="523"/>
      <c r="N7645" s="523"/>
      <c r="O7645" s="523"/>
      <c r="P7645" s="523"/>
    </row>
    <row r="7646" spans="3:20" s="517" customFormat="1" ht="31.2" customHeight="1">
      <c r="C7646" s="543" t="s">
        <v>1209</v>
      </c>
      <c r="D7646" s="750" t="s">
        <v>1210</v>
      </c>
      <c r="E7646" s="197"/>
      <c r="F7646" s="751"/>
      <c r="G7646" s="197"/>
      <c r="H7646" s="752"/>
      <c r="L7646" s="200"/>
      <c r="M7646" s="200"/>
      <c r="N7646" s="200"/>
      <c r="O7646" s="200"/>
      <c r="P7646" s="200"/>
    </row>
    <row r="7647" spans="3:20" s="517" customFormat="1" ht="31.2" customHeight="1">
      <c r="C7647" s="518">
        <v>1</v>
      </c>
      <c r="D7647" s="196" t="s">
        <v>5706</v>
      </c>
      <c r="E7647" s="203" t="s">
        <v>2102</v>
      </c>
      <c r="F7647" s="257">
        <v>1E-3</v>
      </c>
      <c r="G7647" s="205">
        <f>VLOOKUP(D7647,upahbahan,3,FALSE)</f>
        <v>0</v>
      </c>
      <c r="H7647" s="210">
        <f t="shared" ref="H7647:H7648" si="593">F7647*G7647</f>
        <v>0</v>
      </c>
      <c r="L7647" s="200"/>
      <c r="M7647" s="200"/>
      <c r="N7647" s="200"/>
      <c r="O7647" s="200"/>
      <c r="P7647" s="200"/>
    </row>
    <row r="7648" spans="3:20" s="517" customFormat="1" ht="31.2" customHeight="1">
      <c r="C7648" s="518">
        <v>2</v>
      </c>
      <c r="D7648" s="196" t="s">
        <v>960</v>
      </c>
      <c r="E7648" s="203" t="s">
        <v>2102</v>
      </c>
      <c r="F7648" s="786">
        <v>3</v>
      </c>
      <c r="G7648" s="205">
        <f>VLOOKUP(D7648,upahbahan,3,FALSE)</f>
        <v>200</v>
      </c>
      <c r="H7648" s="210">
        <f t="shared" si="593"/>
        <v>600</v>
      </c>
      <c r="L7648" s="200"/>
      <c r="M7648" s="200"/>
      <c r="N7648" s="200"/>
      <c r="O7648" s="200"/>
      <c r="P7648" s="200"/>
    </row>
    <row r="7649" spans="3:20" s="517" customFormat="1" ht="31.2" customHeight="1">
      <c r="C7649" s="207" t="s">
        <v>1214</v>
      </c>
      <c r="D7649" s="208"/>
      <c r="E7649" s="568"/>
      <c r="F7649" s="208"/>
      <c r="G7649" s="209"/>
      <c r="H7649" s="210">
        <f>SUM(H7646:H7648)</f>
        <v>600</v>
      </c>
      <c r="L7649" s="200"/>
      <c r="M7649" s="200"/>
      <c r="N7649" s="200"/>
      <c r="O7649" s="200"/>
      <c r="P7649" s="200"/>
    </row>
    <row r="7650" spans="3:20" s="517" customFormat="1" ht="31.2" customHeight="1">
      <c r="C7650" s="195" t="s">
        <v>1215</v>
      </c>
      <c r="D7650" s="196" t="s">
        <v>1216</v>
      </c>
      <c r="E7650" s="203"/>
      <c r="F7650" s="197"/>
      <c r="G7650" s="197"/>
      <c r="H7650" s="198"/>
      <c r="L7650" s="200"/>
      <c r="M7650" s="200"/>
      <c r="N7650" s="200"/>
      <c r="O7650" s="200"/>
      <c r="P7650" s="200"/>
    </row>
    <row r="7651" spans="3:20" s="517" customFormat="1" ht="31.2" customHeight="1">
      <c r="C7651" s="518">
        <v>1</v>
      </c>
      <c r="D7651" s="196" t="s">
        <v>7654</v>
      </c>
      <c r="E7651" s="203" t="s">
        <v>7685</v>
      </c>
      <c r="F7651" s="786">
        <v>5.2999999999999998E-4</v>
      </c>
      <c r="G7651" s="205">
        <f>VLOOKUP(D7651,upahbahan,3,FALSE)</f>
        <v>350000</v>
      </c>
      <c r="H7651" s="210">
        <f t="shared" ref="H7651" si="594">F7651*G7651</f>
        <v>185.5</v>
      </c>
      <c r="L7651" s="200"/>
      <c r="M7651" s="200"/>
      <c r="N7651" s="200"/>
      <c r="O7651" s="200"/>
      <c r="P7651" s="200"/>
    </row>
    <row r="7652" spans="3:20" s="517" customFormat="1" ht="31.2" customHeight="1">
      <c r="C7652" s="207" t="s">
        <v>1217</v>
      </c>
      <c r="D7652" s="208"/>
      <c r="E7652" s="208"/>
      <c r="F7652" s="208"/>
      <c r="G7652" s="209"/>
      <c r="H7652" s="770">
        <f>SUM(H7651)</f>
        <v>185.5</v>
      </c>
      <c r="L7652" s="200"/>
      <c r="M7652" s="200"/>
      <c r="N7652" s="200"/>
      <c r="O7652" s="200"/>
      <c r="P7652" s="200"/>
    </row>
    <row r="7653" spans="3:20" s="517" customFormat="1" ht="31.2" customHeight="1">
      <c r="C7653" s="223" t="s">
        <v>1218</v>
      </c>
      <c r="D7653" s="224" t="s">
        <v>1219</v>
      </c>
      <c r="E7653" s="225"/>
      <c r="F7653" s="225"/>
      <c r="G7653" s="226"/>
      <c r="H7653" s="210">
        <f>H7652+H7649+H7645</f>
        <v>852.05</v>
      </c>
      <c r="L7653" s="200"/>
      <c r="M7653" s="200"/>
      <c r="N7653" s="200"/>
      <c r="O7653" s="200"/>
      <c r="P7653" s="200"/>
    </row>
    <row r="7654" spans="3:20" s="517" customFormat="1" ht="31.2" customHeight="1">
      <c r="C7654" s="223" t="s">
        <v>1220</v>
      </c>
      <c r="D7654" s="224" t="s">
        <v>1321</v>
      </c>
      <c r="E7654" s="225"/>
      <c r="F7654" s="226"/>
      <c r="G7654" s="228">
        <v>0.1</v>
      </c>
      <c r="H7654" s="210">
        <f>H7653*G7654</f>
        <v>85.204999999999998</v>
      </c>
      <c r="L7654" s="200"/>
      <c r="M7654" s="200"/>
      <c r="N7654" s="200"/>
      <c r="O7654" s="200"/>
      <c r="P7654" s="200"/>
    </row>
    <row r="7655" spans="3:20" s="517" customFormat="1" ht="31.2" customHeight="1" thickBot="1">
      <c r="C7655" s="229" t="s">
        <v>1221</v>
      </c>
      <c r="D7655" s="230" t="s">
        <v>1222</v>
      </c>
      <c r="E7655" s="231"/>
      <c r="F7655" s="231"/>
      <c r="G7655" s="232"/>
      <c r="H7655" s="233">
        <f>SUM(H7653:H7654)</f>
        <v>937.255</v>
      </c>
      <c r="L7655" s="200"/>
      <c r="M7655" s="200"/>
      <c r="N7655" s="200"/>
      <c r="O7655" s="200"/>
      <c r="P7655" s="200"/>
    </row>
    <row r="7656" spans="3:20" ht="31.2" customHeight="1" thickTop="1">
      <c r="C7656" s="788" t="s">
        <v>7667</v>
      </c>
      <c r="D7656" s="758" t="s">
        <v>7678</v>
      </c>
    </row>
    <row r="7657" spans="3:20" ht="31.2" customHeight="1"/>
    <row r="7658" spans="3:20" s="517" customFormat="1" ht="31.2" customHeight="1" thickBot="1">
      <c r="C7658" s="513" t="s">
        <v>7687</v>
      </c>
      <c r="D7658" s="748" t="s">
        <v>7688</v>
      </c>
      <c r="E7658" s="749"/>
      <c r="F7658" s="748"/>
      <c r="G7658" s="748"/>
      <c r="H7658" s="532"/>
      <c r="I7658" s="532"/>
      <c r="J7658" s="532"/>
      <c r="K7658" s="532"/>
      <c r="M7658" s="189"/>
      <c r="N7658" s="189"/>
      <c r="O7658" s="189"/>
      <c r="P7658" s="189"/>
      <c r="R7658" s="189">
        <f>ROUNDDOWN(H7673,-2)</f>
        <v>700</v>
      </c>
      <c r="S7658" s="517" t="s">
        <v>6451</v>
      </c>
      <c r="T7658" s="517" t="s">
        <v>6811</v>
      </c>
    </row>
    <row r="7659" spans="3:20" s="517" customFormat="1" ht="31.2" customHeight="1" thickTop="1">
      <c r="C7659" s="190" t="s">
        <v>1195</v>
      </c>
      <c r="D7659" s="191" t="s">
        <v>1196</v>
      </c>
      <c r="E7659" s="191" t="s">
        <v>1197</v>
      </c>
      <c r="F7659" s="191" t="s">
        <v>1198</v>
      </c>
      <c r="G7659" s="191" t="s">
        <v>1199</v>
      </c>
      <c r="H7659" s="192" t="s">
        <v>1200</v>
      </c>
      <c r="L7659" s="200"/>
      <c r="M7659" s="200"/>
      <c r="N7659" s="200"/>
      <c r="O7659" s="200"/>
      <c r="P7659" s="200"/>
    </row>
    <row r="7660" spans="3:20" s="517" customFormat="1" ht="31.2" customHeight="1">
      <c r="C7660" s="518" t="s">
        <v>1201</v>
      </c>
      <c r="D7660" s="196" t="s">
        <v>1202</v>
      </c>
      <c r="E7660" s="197"/>
      <c r="F7660" s="197"/>
      <c r="G7660" s="197"/>
      <c r="H7660" s="198"/>
      <c r="L7660" s="200"/>
      <c r="M7660" s="200"/>
      <c r="N7660" s="200"/>
      <c r="O7660" s="200"/>
      <c r="P7660" s="200"/>
    </row>
    <row r="7661" spans="3:20" s="517" customFormat="1" ht="31.2" customHeight="1">
      <c r="C7661" s="518">
        <v>1</v>
      </c>
      <c r="D7661" s="196" t="s">
        <v>7672</v>
      </c>
      <c r="E7661" s="203" t="s">
        <v>2102</v>
      </c>
      <c r="F7661" s="257">
        <v>2.5000000000000001E-4</v>
      </c>
      <c r="G7661" s="205">
        <f>VLOOKUP(D7661,upahbahan,3,FALSE)</f>
        <v>114999.99999999999</v>
      </c>
      <c r="H7661" s="210">
        <f t="shared" ref="H7661:H7662" si="595">F7661*G7661</f>
        <v>28.749999999999996</v>
      </c>
      <c r="L7661" s="200"/>
      <c r="M7661" s="200"/>
      <c r="N7661" s="200"/>
      <c r="O7661" s="200"/>
      <c r="P7661" s="200"/>
    </row>
    <row r="7662" spans="3:20" s="517" customFormat="1" ht="31.2" customHeight="1">
      <c r="C7662" s="518">
        <v>2</v>
      </c>
      <c r="D7662" s="196" t="s">
        <v>19</v>
      </c>
      <c r="E7662" s="203" t="s">
        <v>2102</v>
      </c>
      <c r="F7662" s="786">
        <v>1.7E-5</v>
      </c>
      <c r="G7662" s="205">
        <f>VLOOKUP(D7662,upahbahan,3,FALSE)</f>
        <v>160000</v>
      </c>
      <c r="H7662" s="210">
        <f t="shared" si="595"/>
        <v>2.72</v>
      </c>
      <c r="L7662" s="200"/>
      <c r="M7662" s="200"/>
      <c r="N7662" s="200"/>
      <c r="O7662" s="200"/>
      <c r="P7662" s="200"/>
    </row>
    <row r="7663" spans="3:20" s="517" customFormat="1" ht="31.2" customHeight="1">
      <c r="C7663" s="207" t="s">
        <v>1208</v>
      </c>
      <c r="D7663" s="208"/>
      <c r="E7663" s="208"/>
      <c r="F7663" s="521"/>
      <c r="G7663" s="522"/>
      <c r="H7663" s="210">
        <f>SUM(H7661:H7662)</f>
        <v>31.469999999999995</v>
      </c>
      <c r="L7663" s="523"/>
      <c r="M7663" s="523"/>
      <c r="N7663" s="523"/>
      <c r="O7663" s="523"/>
      <c r="P7663" s="523"/>
    </row>
    <row r="7664" spans="3:20" s="517" customFormat="1" ht="31.2" customHeight="1">
      <c r="C7664" s="543" t="s">
        <v>1209</v>
      </c>
      <c r="D7664" s="750" t="s">
        <v>1210</v>
      </c>
      <c r="E7664" s="197"/>
      <c r="F7664" s="751"/>
      <c r="G7664" s="197"/>
      <c r="H7664" s="752"/>
      <c r="L7664" s="200"/>
      <c r="M7664" s="200"/>
      <c r="N7664" s="200"/>
      <c r="O7664" s="200"/>
      <c r="P7664" s="200"/>
    </row>
    <row r="7665" spans="3:20" s="517" customFormat="1" ht="31.2" customHeight="1">
      <c r="C7665" s="518">
        <v>1</v>
      </c>
      <c r="D7665" s="196" t="s">
        <v>5706</v>
      </c>
      <c r="E7665" s="203" t="s">
        <v>2102</v>
      </c>
      <c r="F7665" s="257">
        <v>1E-3</v>
      </c>
      <c r="G7665" s="205">
        <f>VLOOKUP(D7665,upahbahan,3,FALSE)</f>
        <v>0</v>
      </c>
      <c r="H7665" s="210">
        <f t="shared" ref="H7665:H7666" si="596">F7665*G7665</f>
        <v>0</v>
      </c>
      <c r="L7665" s="200"/>
      <c r="M7665" s="200"/>
      <c r="N7665" s="200"/>
      <c r="O7665" s="200"/>
      <c r="P7665" s="200"/>
    </row>
    <row r="7666" spans="3:20" s="517" customFormat="1" ht="31.2" customHeight="1">
      <c r="C7666" s="518">
        <v>2</v>
      </c>
      <c r="D7666" s="196" t="s">
        <v>960</v>
      </c>
      <c r="E7666" s="203" t="s">
        <v>2102</v>
      </c>
      <c r="F7666" s="786">
        <v>3</v>
      </c>
      <c r="G7666" s="205">
        <f>VLOOKUP(D7666,upahbahan,3,FALSE)</f>
        <v>200</v>
      </c>
      <c r="H7666" s="210">
        <f t="shared" si="596"/>
        <v>600</v>
      </c>
      <c r="L7666" s="200"/>
      <c r="M7666" s="200"/>
      <c r="N7666" s="200"/>
      <c r="O7666" s="200"/>
      <c r="P7666" s="200"/>
    </row>
    <row r="7667" spans="3:20" s="517" customFormat="1" ht="31.2" customHeight="1">
      <c r="C7667" s="207" t="s">
        <v>1214</v>
      </c>
      <c r="D7667" s="208"/>
      <c r="E7667" s="568"/>
      <c r="F7667" s="208"/>
      <c r="G7667" s="209"/>
      <c r="H7667" s="210">
        <f>SUM(H7664:H7666)</f>
        <v>600</v>
      </c>
      <c r="L7667" s="200"/>
      <c r="M7667" s="200"/>
      <c r="N7667" s="200"/>
      <c r="O7667" s="200"/>
      <c r="P7667" s="200"/>
    </row>
    <row r="7668" spans="3:20" s="517" customFormat="1" ht="31.2" customHeight="1">
      <c r="C7668" s="195" t="s">
        <v>1215</v>
      </c>
      <c r="D7668" s="196" t="s">
        <v>1216</v>
      </c>
      <c r="E7668" s="203"/>
      <c r="F7668" s="197"/>
      <c r="G7668" s="197"/>
      <c r="H7668" s="198"/>
      <c r="L7668" s="200"/>
      <c r="M7668" s="200"/>
      <c r="N7668" s="200"/>
      <c r="O7668" s="200"/>
      <c r="P7668" s="200"/>
    </row>
    <row r="7669" spans="3:20" s="517" customFormat="1" ht="31.2" customHeight="1">
      <c r="C7669" s="518">
        <v>1</v>
      </c>
      <c r="D7669" s="196" t="s">
        <v>7654</v>
      </c>
      <c r="E7669" s="203" t="s">
        <v>7685</v>
      </c>
      <c r="F7669" s="786">
        <v>2.5000000000000001E-4</v>
      </c>
      <c r="G7669" s="205">
        <f>VLOOKUP(D7669,upahbahan,3,FALSE)</f>
        <v>350000</v>
      </c>
      <c r="H7669" s="210">
        <f t="shared" ref="H7669" si="597">F7669*G7669</f>
        <v>87.5</v>
      </c>
      <c r="L7669" s="200"/>
      <c r="M7669" s="200"/>
      <c r="N7669" s="200"/>
      <c r="O7669" s="200"/>
      <c r="P7669" s="200"/>
    </row>
    <row r="7670" spans="3:20" s="517" customFormat="1" ht="31.2" customHeight="1">
      <c r="C7670" s="207" t="s">
        <v>1217</v>
      </c>
      <c r="D7670" s="208"/>
      <c r="E7670" s="208"/>
      <c r="F7670" s="208"/>
      <c r="G7670" s="209"/>
      <c r="H7670" s="770">
        <f>SUM(H7669)</f>
        <v>87.5</v>
      </c>
      <c r="L7670" s="200"/>
      <c r="M7670" s="200"/>
      <c r="N7670" s="200"/>
      <c r="O7670" s="200"/>
      <c r="P7670" s="200"/>
    </row>
    <row r="7671" spans="3:20" s="517" customFormat="1" ht="31.2" customHeight="1">
      <c r="C7671" s="223" t="s">
        <v>1218</v>
      </c>
      <c r="D7671" s="224" t="s">
        <v>1219</v>
      </c>
      <c r="E7671" s="225"/>
      <c r="F7671" s="225"/>
      <c r="G7671" s="226"/>
      <c r="H7671" s="210">
        <f>H7670+H7667+H7663</f>
        <v>718.97</v>
      </c>
      <c r="L7671" s="200"/>
      <c r="M7671" s="200"/>
      <c r="N7671" s="200"/>
      <c r="O7671" s="200"/>
      <c r="P7671" s="200"/>
    </row>
    <row r="7672" spans="3:20" s="517" customFormat="1" ht="31.2" customHeight="1">
      <c r="C7672" s="223" t="s">
        <v>1220</v>
      </c>
      <c r="D7672" s="224" t="s">
        <v>1321</v>
      </c>
      <c r="E7672" s="225"/>
      <c r="F7672" s="226"/>
      <c r="G7672" s="228">
        <v>0.1</v>
      </c>
      <c r="H7672" s="210">
        <f>H7671*G7672</f>
        <v>71.897000000000006</v>
      </c>
      <c r="L7672" s="200"/>
      <c r="M7672" s="200"/>
      <c r="N7672" s="200"/>
      <c r="O7672" s="200"/>
      <c r="P7672" s="200"/>
    </row>
    <row r="7673" spans="3:20" s="517" customFormat="1" ht="31.2" customHeight="1" thickBot="1">
      <c r="C7673" s="229" t="s">
        <v>1221</v>
      </c>
      <c r="D7673" s="230" t="s">
        <v>1222</v>
      </c>
      <c r="E7673" s="231"/>
      <c r="F7673" s="231"/>
      <c r="G7673" s="232"/>
      <c r="H7673" s="233">
        <f>SUM(H7671:H7672)</f>
        <v>790.86700000000008</v>
      </c>
      <c r="L7673" s="200"/>
      <c r="M7673" s="200"/>
      <c r="N7673" s="200"/>
      <c r="O7673" s="200"/>
      <c r="P7673" s="200"/>
    </row>
    <row r="7674" spans="3:20" ht="31.2" customHeight="1" thickTop="1">
      <c r="C7674" s="788" t="s">
        <v>7667</v>
      </c>
      <c r="D7674" s="758" t="s">
        <v>7678</v>
      </c>
    </row>
    <row r="7675" spans="3:20" ht="31.2" customHeight="1"/>
    <row r="7676" spans="3:20" ht="31.2" customHeight="1">
      <c r="C7676" s="765" t="s">
        <v>5708</v>
      </c>
      <c r="D7676" s="766" t="s">
        <v>7689</v>
      </c>
    </row>
    <row r="7677" spans="3:20" s="517" customFormat="1" ht="31.2" customHeight="1" thickBot="1">
      <c r="C7677" s="513" t="s">
        <v>7690</v>
      </c>
      <c r="D7677" s="748" t="s">
        <v>5709</v>
      </c>
      <c r="E7677" s="749"/>
      <c r="F7677" s="748"/>
      <c r="G7677" s="748"/>
      <c r="H7677" s="532"/>
      <c r="I7677" s="532"/>
      <c r="J7677" s="532"/>
      <c r="K7677" s="532"/>
      <c r="M7677" s="189"/>
      <c r="N7677" s="189"/>
      <c r="O7677" s="189"/>
      <c r="P7677" s="189"/>
      <c r="R7677" s="189">
        <f>ROUNDDOWN(H7689,-2)</f>
        <v>0</v>
      </c>
      <c r="S7677" s="517" t="s">
        <v>6451</v>
      </c>
      <c r="T7677" s="517" t="s">
        <v>7691</v>
      </c>
    </row>
    <row r="7678" spans="3:20" s="517" customFormat="1" ht="31.2" customHeight="1" thickTop="1">
      <c r="C7678" s="190" t="s">
        <v>1195</v>
      </c>
      <c r="D7678" s="191" t="s">
        <v>1196</v>
      </c>
      <c r="E7678" s="191" t="s">
        <v>1197</v>
      </c>
      <c r="F7678" s="191" t="s">
        <v>1198</v>
      </c>
      <c r="G7678" s="191" t="s">
        <v>1199</v>
      </c>
      <c r="H7678" s="192" t="s">
        <v>1200</v>
      </c>
      <c r="L7678" s="200"/>
      <c r="M7678" s="200"/>
      <c r="N7678" s="200"/>
      <c r="O7678" s="200"/>
      <c r="P7678" s="200"/>
    </row>
    <row r="7679" spans="3:20" s="517" customFormat="1" ht="31.2" customHeight="1">
      <c r="C7679" s="518" t="s">
        <v>1201</v>
      </c>
      <c r="D7679" s="196" t="s">
        <v>1202</v>
      </c>
      <c r="E7679" s="197"/>
      <c r="F7679" s="197"/>
      <c r="G7679" s="197"/>
      <c r="H7679" s="198"/>
      <c r="L7679" s="200"/>
      <c r="M7679" s="200"/>
      <c r="N7679" s="200"/>
      <c r="O7679" s="200"/>
      <c r="P7679" s="200"/>
    </row>
    <row r="7680" spans="3:20" s="517" customFormat="1" ht="31.2" customHeight="1">
      <c r="C7680" s="518">
        <v>1</v>
      </c>
      <c r="D7680" s="196" t="s">
        <v>5</v>
      </c>
      <c r="E7680" s="203" t="s">
        <v>2102</v>
      </c>
      <c r="F7680" s="257">
        <v>2.5000000000000001E-4</v>
      </c>
      <c r="G7680" s="205">
        <f>VLOOKUP(D7680,upahbahan,3,FALSE)</f>
        <v>100000</v>
      </c>
      <c r="H7680" s="210">
        <f t="shared" ref="H7680:H7681" si="598">F7680*G7680</f>
        <v>25</v>
      </c>
      <c r="L7680" s="200"/>
      <c r="M7680" s="200"/>
      <c r="N7680" s="200"/>
      <c r="O7680" s="200"/>
      <c r="P7680" s="200"/>
    </row>
    <row r="7681" spans="3:20" s="517" customFormat="1" ht="31.2" customHeight="1">
      <c r="C7681" s="518">
        <v>2</v>
      </c>
      <c r="D7681" s="196" t="s">
        <v>19</v>
      </c>
      <c r="E7681" s="203" t="s">
        <v>2102</v>
      </c>
      <c r="F7681" s="786">
        <v>1.7E-5</v>
      </c>
      <c r="G7681" s="205">
        <f>VLOOKUP(D7681,upahbahan,3,FALSE)</f>
        <v>160000</v>
      </c>
      <c r="H7681" s="210">
        <f t="shared" si="598"/>
        <v>2.72</v>
      </c>
      <c r="L7681" s="200"/>
      <c r="M7681" s="200"/>
      <c r="N7681" s="200"/>
      <c r="O7681" s="200"/>
      <c r="P7681" s="200"/>
    </row>
    <row r="7682" spans="3:20" s="517" customFormat="1" ht="31.2" customHeight="1">
      <c r="C7682" s="207" t="s">
        <v>1208</v>
      </c>
      <c r="D7682" s="208"/>
      <c r="E7682" s="208"/>
      <c r="F7682" s="521"/>
      <c r="G7682" s="522"/>
      <c r="H7682" s="210">
        <f>SUM(H7680:H7681)</f>
        <v>27.72</v>
      </c>
      <c r="L7682" s="523"/>
      <c r="M7682" s="523"/>
      <c r="N7682" s="523"/>
      <c r="O7682" s="523"/>
      <c r="P7682" s="523"/>
    </row>
    <row r="7683" spans="3:20" s="517" customFormat="1" ht="31.2" customHeight="1">
      <c r="C7683" s="543" t="s">
        <v>1209</v>
      </c>
      <c r="D7683" s="750" t="s">
        <v>1210</v>
      </c>
      <c r="E7683" s="197"/>
      <c r="F7683" s="751"/>
      <c r="G7683" s="197"/>
      <c r="H7683" s="752"/>
      <c r="L7683" s="200"/>
      <c r="M7683" s="200"/>
      <c r="N7683" s="200"/>
      <c r="O7683" s="200"/>
      <c r="P7683" s="200"/>
    </row>
    <row r="7684" spans="3:20" s="517" customFormat="1" ht="31.2" customHeight="1">
      <c r="C7684" s="207" t="s">
        <v>1214</v>
      </c>
      <c r="D7684" s="208"/>
      <c r="E7684" s="568"/>
      <c r="F7684" s="208"/>
      <c r="G7684" s="209"/>
      <c r="H7684" s="210">
        <f>SUM(H7683:H7683)</f>
        <v>0</v>
      </c>
      <c r="L7684" s="200"/>
      <c r="M7684" s="200"/>
      <c r="N7684" s="200"/>
      <c r="O7684" s="200"/>
      <c r="P7684" s="200"/>
    </row>
    <row r="7685" spans="3:20" s="517" customFormat="1" ht="31.2" customHeight="1">
      <c r="C7685" s="195" t="s">
        <v>1215</v>
      </c>
      <c r="D7685" s="196" t="s">
        <v>1216</v>
      </c>
      <c r="E7685" s="203"/>
      <c r="F7685" s="197"/>
      <c r="G7685" s="197"/>
      <c r="H7685" s="198"/>
      <c r="L7685" s="200"/>
      <c r="M7685" s="200"/>
      <c r="N7685" s="200"/>
      <c r="O7685" s="200"/>
      <c r="P7685" s="200"/>
    </row>
    <row r="7686" spans="3:20" s="517" customFormat="1" ht="31.2" customHeight="1">
      <c r="C7686" s="207" t="s">
        <v>1217</v>
      </c>
      <c r="D7686" s="208"/>
      <c r="E7686" s="208"/>
      <c r="F7686" s="208"/>
      <c r="G7686" s="209"/>
      <c r="H7686" s="770">
        <f>SUM(H7685)</f>
        <v>0</v>
      </c>
      <c r="L7686" s="200"/>
      <c r="M7686" s="200"/>
      <c r="N7686" s="200"/>
      <c r="O7686" s="200"/>
      <c r="P7686" s="200"/>
    </row>
    <row r="7687" spans="3:20" s="517" customFormat="1" ht="31.2" customHeight="1">
      <c r="C7687" s="223" t="s">
        <v>1218</v>
      </c>
      <c r="D7687" s="224" t="s">
        <v>1219</v>
      </c>
      <c r="E7687" s="225"/>
      <c r="F7687" s="225"/>
      <c r="G7687" s="226"/>
      <c r="H7687" s="210">
        <f>H7686+H7684+H7682</f>
        <v>27.72</v>
      </c>
      <c r="L7687" s="200"/>
      <c r="M7687" s="200"/>
      <c r="N7687" s="200"/>
      <c r="O7687" s="200"/>
      <c r="P7687" s="200"/>
    </row>
    <row r="7688" spans="3:20" s="517" customFormat="1" ht="31.2" customHeight="1">
      <c r="C7688" s="223" t="s">
        <v>1220</v>
      </c>
      <c r="D7688" s="224" t="s">
        <v>1321</v>
      </c>
      <c r="E7688" s="225"/>
      <c r="F7688" s="226"/>
      <c r="G7688" s="228">
        <v>0.1</v>
      </c>
      <c r="H7688" s="210">
        <f>H7687*G7688</f>
        <v>2.7720000000000002</v>
      </c>
      <c r="L7688" s="200"/>
      <c r="M7688" s="200"/>
      <c r="N7688" s="200"/>
      <c r="O7688" s="200"/>
      <c r="P7688" s="200"/>
    </row>
    <row r="7689" spans="3:20" s="517" customFormat="1" ht="31.2" customHeight="1" thickBot="1">
      <c r="C7689" s="229" t="s">
        <v>1221</v>
      </c>
      <c r="D7689" s="230" t="s">
        <v>1222</v>
      </c>
      <c r="E7689" s="231"/>
      <c r="F7689" s="231"/>
      <c r="G7689" s="232"/>
      <c r="H7689" s="233">
        <f>SUM(H7687:H7688)</f>
        <v>30.491999999999997</v>
      </c>
      <c r="L7689" s="200"/>
      <c r="M7689" s="200"/>
      <c r="N7689" s="200"/>
      <c r="O7689" s="200"/>
      <c r="P7689" s="200"/>
    </row>
    <row r="7690" spans="3:20" ht="31.2" customHeight="1" thickTop="1">
      <c r="C7690" s="788"/>
      <c r="D7690" s="758"/>
    </row>
    <row r="7691" spans="3:20" ht="31.2" customHeight="1"/>
    <row r="7692" spans="3:20" ht="31.2" customHeight="1">
      <c r="C7692" s="765" t="s">
        <v>7692</v>
      </c>
      <c r="D7692" s="766" t="s">
        <v>7693</v>
      </c>
    </row>
    <row r="7693" spans="3:20" s="517" customFormat="1" ht="31.2" customHeight="1" thickBot="1">
      <c r="C7693" s="513" t="s">
        <v>7694</v>
      </c>
      <c r="D7693" s="748" t="s">
        <v>7695</v>
      </c>
      <c r="E7693" s="749"/>
      <c r="F7693" s="748"/>
      <c r="G7693" s="748"/>
      <c r="H7693" s="532"/>
      <c r="I7693" s="532"/>
      <c r="J7693" s="532"/>
      <c r="K7693" s="532"/>
      <c r="M7693" s="189"/>
      <c r="N7693" s="189"/>
      <c r="O7693" s="189"/>
      <c r="P7693" s="189"/>
      <c r="R7693" s="189">
        <f>ROUNDDOWN(H7705,-2)</f>
        <v>2600</v>
      </c>
      <c r="S7693" s="517" t="s">
        <v>6451</v>
      </c>
      <c r="T7693" s="517" t="s">
        <v>6811</v>
      </c>
    </row>
    <row r="7694" spans="3:20" s="517" customFormat="1" ht="31.2" customHeight="1" thickTop="1">
      <c r="C7694" s="190" t="s">
        <v>1195</v>
      </c>
      <c r="D7694" s="191" t="s">
        <v>1196</v>
      </c>
      <c r="E7694" s="191" t="s">
        <v>1197</v>
      </c>
      <c r="F7694" s="191" t="s">
        <v>1198</v>
      </c>
      <c r="G7694" s="191" t="s">
        <v>1199</v>
      </c>
      <c r="H7694" s="192" t="s">
        <v>1200</v>
      </c>
      <c r="L7694" s="200"/>
      <c r="M7694" s="200"/>
      <c r="N7694" s="200"/>
      <c r="O7694" s="200"/>
      <c r="P7694" s="200"/>
    </row>
    <row r="7695" spans="3:20" s="517" customFormat="1" ht="31.2" customHeight="1">
      <c r="C7695" s="518" t="s">
        <v>1201</v>
      </c>
      <c r="D7695" s="196" t="s">
        <v>1202</v>
      </c>
      <c r="E7695" s="197"/>
      <c r="F7695" s="197"/>
      <c r="G7695" s="197"/>
      <c r="H7695" s="198"/>
      <c r="L7695" s="200"/>
      <c r="M7695" s="200"/>
      <c r="N7695" s="200"/>
      <c r="O7695" s="200"/>
      <c r="P7695" s="200"/>
    </row>
    <row r="7696" spans="3:20" s="517" customFormat="1" ht="31.2" customHeight="1">
      <c r="C7696" s="518">
        <v>1</v>
      </c>
      <c r="D7696" s="196" t="s">
        <v>7672</v>
      </c>
      <c r="E7696" s="203" t="s">
        <v>2102</v>
      </c>
      <c r="F7696" s="257">
        <v>0.02</v>
      </c>
      <c r="G7696" s="205">
        <f>VLOOKUP(D7696,upahbahan,3,FALSE)</f>
        <v>114999.99999999999</v>
      </c>
      <c r="H7696" s="210">
        <f t="shared" ref="H7696:H7697" si="599">F7696*G7696</f>
        <v>2299.9999999999995</v>
      </c>
      <c r="L7696" s="200"/>
      <c r="M7696" s="200"/>
      <c r="N7696" s="200"/>
      <c r="O7696" s="200"/>
      <c r="P7696" s="200"/>
    </row>
    <row r="7697" spans="3:20" s="517" customFormat="1" ht="31.2" customHeight="1">
      <c r="C7697" s="518">
        <v>2</v>
      </c>
      <c r="D7697" s="196" t="s">
        <v>19</v>
      </c>
      <c r="E7697" s="203" t="s">
        <v>2102</v>
      </c>
      <c r="F7697" s="786">
        <v>8.9999999999999998E-4</v>
      </c>
      <c r="G7697" s="205">
        <f>VLOOKUP(D7697,upahbahan,3,FALSE)</f>
        <v>160000</v>
      </c>
      <c r="H7697" s="210">
        <f t="shared" si="599"/>
        <v>144</v>
      </c>
      <c r="L7697" s="200"/>
      <c r="M7697" s="200"/>
      <c r="N7697" s="200"/>
      <c r="O7697" s="200"/>
      <c r="P7697" s="200"/>
    </row>
    <row r="7698" spans="3:20" s="517" customFormat="1" ht="31.2" customHeight="1">
      <c r="C7698" s="207" t="s">
        <v>1208</v>
      </c>
      <c r="D7698" s="208"/>
      <c r="E7698" s="208"/>
      <c r="F7698" s="521"/>
      <c r="G7698" s="522"/>
      <c r="H7698" s="210">
        <f>SUM(H7696:H7697)</f>
        <v>2443.9999999999995</v>
      </c>
      <c r="L7698" s="523"/>
      <c r="M7698" s="523"/>
      <c r="N7698" s="523"/>
      <c r="O7698" s="523"/>
      <c r="P7698" s="523"/>
    </row>
    <row r="7699" spans="3:20" s="517" customFormat="1" ht="31.2" customHeight="1">
      <c r="C7699" s="543" t="s">
        <v>1209</v>
      </c>
      <c r="D7699" s="750" t="s">
        <v>1210</v>
      </c>
      <c r="E7699" s="197"/>
      <c r="F7699" s="751"/>
      <c r="G7699" s="197"/>
      <c r="H7699" s="752"/>
      <c r="L7699" s="200"/>
      <c r="M7699" s="200"/>
      <c r="N7699" s="200"/>
      <c r="O7699" s="200"/>
      <c r="P7699" s="200"/>
    </row>
    <row r="7700" spans="3:20" s="517" customFormat="1" ht="31.2" customHeight="1">
      <c r="C7700" s="207" t="s">
        <v>1214</v>
      </c>
      <c r="D7700" s="208"/>
      <c r="E7700" s="568"/>
      <c r="F7700" s="208"/>
      <c r="G7700" s="209"/>
      <c r="H7700" s="210">
        <f>SUM(H7699:H7699)</f>
        <v>0</v>
      </c>
      <c r="L7700" s="200"/>
      <c r="M7700" s="200"/>
      <c r="N7700" s="200"/>
      <c r="O7700" s="200"/>
      <c r="P7700" s="200"/>
    </row>
    <row r="7701" spans="3:20" s="517" customFormat="1" ht="31.2" customHeight="1">
      <c r="C7701" s="195" t="s">
        <v>1215</v>
      </c>
      <c r="D7701" s="196" t="s">
        <v>1216</v>
      </c>
      <c r="E7701" s="203"/>
      <c r="F7701" s="197"/>
      <c r="G7701" s="197"/>
      <c r="H7701" s="198"/>
      <c r="L7701" s="200"/>
      <c r="M7701" s="200"/>
      <c r="N7701" s="200"/>
      <c r="O7701" s="200"/>
      <c r="P7701" s="200"/>
    </row>
    <row r="7702" spans="3:20" s="517" customFormat="1" ht="31.2" customHeight="1">
      <c r="C7702" s="207" t="s">
        <v>1217</v>
      </c>
      <c r="D7702" s="208"/>
      <c r="E7702" s="208"/>
      <c r="F7702" s="208"/>
      <c r="G7702" s="209"/>
      <c r="H7702" s="770">
        <f>SUM(H7701)</f>
        <v>0</v>
      </c>
      <c r="L7702" s="200"/>
      <c r="M7702" s="200"/>
      <c r="N7702" s="200"/>
      <c r="O7702" s="200"/>
      <c r="P7702" s="200"/>
    </row>
    <row r="7703" spans="3:20" s="517" customFormat="1" ht="31.2" customHeight="1">
      <c r="C7703" s="223" t="s">
        <v>1218</v>
      </c>
      <c r="D7703" s="224" t="s">
        <v>1219</v>
      </c>
      <c r="E7703" s="225"/>
      <c r="F7703" s="225"/>
      <c r="G7703" s="226"/>
      <c r="H7703" s="210">
        <f>H7702+H7700+H7698</f>
        <v>2443.9999999999995</v>
      </c>
      <c r="L7703" s="200"/>
      <c r="M7703" s="200"/>
      <c r="N7703" s="200"/>
      <c r="O7703" s="200"/>
      <c r="P7703" s="200"/>
    </row>
    <row r="7704" spans="3:20" s="517" customFormat="1" ht="31.2" customHeight="1">
      <c r="C7704" s="223" t="s">
        <v>1220</v>
      </c>
      <c r="D7704" s="224" t="s">
        <v>1321</v>
      </c>
      <c r="E7704" s="225"/>
      <c r="F7704" s="226"/>
      <c r="G7704" s="228">
        <v>0.1</v>
      </c>
      <c r="H7704" s="210">
        <f>H7703*G7704</f>
        <v>244.39999999999998</v>
      </c>
      <c r="L7704" s="200"/>
      <c r="M7704" s="200"/>
      <c r="N7704" s="200"/>
      <c r="O7704" s="200"/>
      <c r="P7704" s="200"/>
    </row>
    <row r="7705" spans="3:20" s="517" customFormat="1" ht="31.2" customHeight="1" thickBot="1">
      <c r="C7705" s="229" t="s">
        <v>1221</v>
      </c>
      <c r="D7705" s="230" t="s">
        <v>1222</v>
      </c>
      <c r="E7705" s="231"/>
      <c r="F7705" s="231"/>
      <c r="G7705" s="232"/>
      <c r="H7705" s="233">
        <f>SUM(H7703:H7704)</f>
        <v>2688.3999999999996</v>
      </c>
      <c r="L7705" s="200"/>
      <c r="M7705" s="200"/>
      <c r="N7705" s="200"/>
      <c r="O7705" s="200"/>
      <c r="P7705" s="200"/>
    </row>
    <row r="7706" spans="3:20" ht="31.2" customHeight="1" thickTop="1">
      <c r="C7706" s="788" t="s">
        <v>5693</v>
      </c>
      <c r="D7706" s="758"/>
    </row>
    <row r="7707" spans="3:20" ht="31.2" customHeight="1"/>
    <row r="7708" spans="3:20" ht="31.2" customHeight="1"/>
    <row r="7709" spans="3:20" s="517" customFormat="1" ht="31.2" customHeight="1" thickBot="1">
      <c r="C7709" s="513" t="s">
        <v>7696</v>
      </c>
      <c r="D7709" s="748" t="s">
        <v>7697</v>
      </c>
      <c r="E7709" s="749"/>
      <c r="F7709" s="748"/>
      <c r="G7709" s="748"/>
      <c r="H7709" s="532"/>
      <c r="I7709" s="532"/>
      <c r="J7709" s="532"/>
      <c r="K7709" s="532"/>
      <c r="M7709" s="189"/>
      <c r="N7709" s="189"/>
      <c r="O7709" s="189"/>
      <c r="P7709" s="189"/>
      <c r="R7709" s="189">
        <f>ROUNDDOWN(H7721,-2)</f>
        <v>1600</v>
      </c>
      <c r="S7709" s="517" t="s">
        <v>6451</v>
      </c>
      <c r="T7709" s="517" t="s">
        <v>6811</v>
      </c>
    </row>
    <row r="7710" spans="3:20" s="517" customFormat="1" ht="31.2" customHeight="1" thickTop="1">
      <c r="C7710" s="190" t="s">
        <v>1195</v>
      </c>
      <c r="D7710" s="191" t="s">
        <v>1196</v>
      </c>
      <c r="E7710" s="191" t="s">
        <v>1197</v>
      </c>
      <c r="F7710" s="191" t="s">
        <v>1198</v>
      </c>
      <c r="G7710" s="191" t="s">
        <v>1199</v>
      </c>
      <c r="H7710" s="192" t="s">
        <v>1200</v>
      </c>
      <c r="L7710" s="200"/>
      <c r="M7710" s="200"/>
      <c r="N7710" s="200"/>
      <c r="O7710" s="200"/>
      <c r="P7710" s="200"/>
    </row>
    <row r="7711" spans="3:20" s="517" customFormat="1" ht="31.2" customHeight="1">
      <c r="C7711" s="518" t="s">
        <v>1201</v>
      </c>
      <c r="D7711" s="196" t="s">
        <v>1202</v>
      </c>
      <c r="E7711" s="197"/>
      <c r="F7711" s="197"/>
      <c r="G7711" s="197"/>
      <c r="H7711" s="198"/>
      <c r="L7711" s="200"/>
      <c r="M7711" s="200"/>
      <c r="N7711" s="200"/>
      <c r="O7711" s="200"/>
      <c r="P7711" s="200"/>
    </row>
    <row r="7712" spans="3:20" s="517" customFormat="1" ht="31.2" customHeight="1">
      <c r="C7712" s="518">
        <v>1</v>
      </c>
      <c r="D7712" s="196" t="s">
        <v>7672</v>
      </c>
      <c r="E7712" s="203" t="s">
        <v>2102</v>
      </c>
      <c r="F7712" s="257">
        <v>1.2E-2</v>
      </c>
      <c r="G7712" s="205">
        <f>VLOOKUP(D7712,upahbahan,3,FALSE)</f>
        <v>114999.99999999999</v>
      </c>
      <c r="H7712" s="210">
        <f t="shared" ref="H7712:H7713" si="600">F7712*G7712</f>
        <v>1379.9999999999998</v>
      </c>
      <c r="L7712" s="200"/>
      <c r="M7712" s="200"/>
      <c r="N7712" s="200"/>
      <c r="O7712" s="200"/>
      <c r="P7712" s="200"/>
    </row>
    <row r="7713" spans="3:18" s="517" customFormat="1" ht="31.2" customHeight="1">
      <c r="C7713" s="518">
        <v>2</v>
      </c>
      <c r="D7713" s="196" t="s">
        <v>19</v>
      </c>
      <c r="E7713" s="203" t="s">
        <v>2102</v>
      </c>
      <c r="F7713" s="786">
        <v>5.9999999999999995E-4</v>
      </c>
      <c r="G7713" s="205">
        <f>VLOOKUP(D7713,upahbahan,3,FALSE)</f>
        <v>160000</v>
      </c>
      <c r="H7713" s="210">
        <f t="shared" si="600"/>
        <v>95.999999999999986</v>
      </c>
      <c r="L7713" s="200"/>
      <c r="M7713" s="200"/>
      <c r="N7713" s="200"/>
      <c r="O7713" s="200"/>
      <c r="P7713" s="200"/>
    </row>
    <row r="7714" spans="3:18" s="517" customFormat="1" ht="31.2" customHeight="1">
      <c r="C7714" s="207" t="s">
        <v>1208</v>
      </c>
      <c r="D7714" s="208"/>
      <c r="E7714" s="208"/>
      <c r="F7714" s="521"/>
      <c r="G7714" s="522"/>
      <c r="H7714" s="210">
        <f>SUM(H7712:H7713)</f>
        <v>1475.9999999999998</v>
      </c>
      <c r="L7714" s="523"/>
      <c r="M7714" s="523"/>
      <c r="N7714" s="523"/>
      <c r="O7714" s="523"/>
      <c r="P7714" s="523"/>
    </row>
    <row r="7715" spans="3:18" s="517" customFormat="1" ht="31.2" customHeight="1">
      <c r="C7715" s="543" t="s">
        <v>1209</v>
      </c>
      <c r="D7715" s="750" t="s">
        <v>1210</v>
      </c>
      <c r="E7715" s="197"/>
      <c r="F7715" s="751"/>
      <c r="G7715" s="197"/>
      <c r="H7715" s="752"/>
      <c r="L7715" s="200"/>
      <c r="M7715" s="200"/>
      <c r="N7715" s="200"/>
      <c r="O7715" s="200"/>
      <c r="P7715" s="200"/>
    </row>
    <row r="7716" spans="3:18" s="517" customFormat="1" ht="31.2" customHeight="1">
      <c r="C7716" s="207" t="s">
        <v>1214</v>
      </c>
      <c r="D7716" s="208"/>
      <c r="E7716" s="568"/>
      <c r="F7716" s="208"/>
      <c r="G7716" s="209"/>
      <c r="H7716" s="210">
        <f>SUM(H7715:H7715)</f>
        <v>0</v>
      </c>
      <c r="L7716" s="200"/>
      <c r="M7716" s="200"/>
      <c r="N7716" s="200"/>
      <c r="O7716" s="200"/>
      <c r="P7716" s="200"/>
    </row>
    <row r="7717" spans="3:18" s="517" customFormat="1" ht="31.2" customHeight="1">
      <c r="C7717" s="195" t="s">
        <v>1215</v>
      </c>
      <c r="D7717" s="196" t="s">
        <v>1216</v>
      </c>
      <c r="E7717" s="203"/>
      <c r="F7717" s="197"/>
      <c r="G7717" s="197"/>
      <c r="H7717" s="198"/>
      <c r="L7717" s="200"/>
      <c r="M7717" s="200"/>
      <c r="N7717" s="200"/>
      <c r="O7717" s="200"/>
      <c r="P7717" s="200"/>
    </row>
    <row r="7718" spans="3:18" s="517" customFormat="1" ht="31.2" customHeight="1">
      <c r="C7718" s="207" t="s">
        <v>1217</v>
      </c>
      <c r="D7718" s="208"/>
      <c r="E7718" s="208"/>
      <c r="F7718" s="208"/>
      <c r="G7718" s="209"/>
      <c r="H7718" s="770">
        <f>SUM(H7717)</f>
        <v>0</v>
      </c>
      <c r="L7718" s="200"/>
      <c r="M7718" s="200"/>
      <c r="N7718" s="200"/>
      <c r="O7718" s="200"/>
      <c r="P7718" s="200"/>
    </row>
    <row r="7719" spans="3:18" s="517" customFormat="1" ht="31.2" customHeight="1">
      <c r="C7719" s="223" t="s">
        <v>1218</v>
      </c>
      <c r="D7719" s="224" t="s">
        <v>1219</v>
      </c>
      <c r="E7719" s="225"/>
      <c r="F7719" s="225"/>
      <c r="G7719" s="226"/>
      <c r="H7719" s="210">
        <f>H7718+H7716+H7714</f>
        <v>1475.9999999999998</v>
      </c>
      <c r="L7719" s="200"/>
      <c r="M7719" s="200"/>
      <c r="N7719" s="200"/>
      <c r="O7719" s="200"/>
      <c r="P7719" s="200"/>
    </row>
    <row r="7720" spans="3:18" s="517" customFormat="1" ht="31.2" customHeight="1">
      <c r="C7720" s="223" t="s">
        <v>1220</v>
      </c>
      <c r="D7720" s="224" t="s">
        <v>1321</v>
      </c>
      <c r="E7720" s="225"/>
      <c r="F7720" s="226"/>
      <c r="G7720" s="228">
        <v>0.1</v>
      </c>
      <c r="H7720" s="210">
        <f>H7719*G7720</f>
        <v>147.6</v>
      </c>
      <c r="L7720" s="200"/>
      <c r="M7720" s="200"/>
      <c r="N7720" s="200"/>
      <c r="O7720" s="200"/>
      <c r="P7720" s="200"/>
    </row>
    <row r="7721" spans="3:18" s="517" customFormat="1" ht="31.2" customHeight="1" thickBot="1">
      <c r="C7721" s="229" t="s">
        <v>1221</v>
      </c>
      <c r="D7721" s="230" t="s">
        <v>1222</v>
      </c>
      <c r="E7721" s="231"/>
      <c r="F7721" s="231"/>
      <c r="G7721" s="232"/>
      <c r="H7721" s="233">
        <f>SUM(H7719:H7720)</f>
        <v>1623.5999999999997</v>
      </c>
      <c r="L7721" s="200"/>
      <c r="M7721" s="200"/>
      <c r="N7721" s="200"/>
      <c r="O7721" s="200"/>
      <c r="P7721" s="200"/>
    </row>
    <row r="7722" spans="3:18" ht="31.2" customHeight="1" thickTop="1">
      <c r="C7722" s="788" t="s">
        <v>5693</v>
      </c>
      <c r="D7722" s="758"/>
    </row>
    <row r="7723" spans="3:18" ht="31.2" customHeight="1"/>
    <row r="7724" spans="3:18" ht="31.2" customHeight="1"/>
    <row r="7725" spans="3:18" ht="31.2" customHeight="1"/>
    <row r="7726" spans="3:18" ht="31.2" customHeight="1">
      <c r="C7726" s="765" t="s">
        <v>5710</v>
      </c>
      <c r="D7726" s="766" t="s">
        <v>5711</v>
      </c>
      <c r="E7726" s="767"/>
      <c r="F7726" s="766"/>
      <c r="G7726" s="766"/>
    </row>
    <row r="7727" spans="3:18" s="517" customFormat="1" ht="31.2" customHeight="1" thickBot="1">
      <c r="C7727" s="513" t="s">
        <v>5712</v>
      </c>
      <c r="D7727" s="748" t="s">
        <v>5713</v>
      </c>
      <c r="E7727" s="749"/>
      <c r="F7727" s="748"/>
      <c r="G7727" s="748"/>
      <c r="H7727" s="532"/>
      <c r="I7727" s="532"/>
      <c r="J7727" s="532"/>
      <c r="K7727" s="532"/>
      <c r="M7727" s="189"/>
      <c r="N7727" s="189"/>
      <c r="O7727" s="189"/>
      <c r="P7727" s="189"/>
      <c r="R7727" s="189">
        <f>ROUNDDOWN(H7745,-2)</f>
        <v>16100</v>
      </c>
    </row>
    <row r="7728" spans="3:18" s="517" customFormat="1" ht="31.2" customHeight="1" thickTop="1">
      <c r="C7728" s="190" t="s">
        <v>1195</v>
      </c>
      <c r="D7728" s="191" t="s">
        <v>1196</v>
      </c>
      <c r="E7728" s="191" t="s">
        <v>1197</v>
      </c>
      <c r="F7728" s="191" t="s">
        <v>1198</v>
      </c>
      <c r="G7728" s="191" t="s">
        <v>1199</v>
      </c>
      <c r="H7728" s="192" t="s">
        <v>1200</v>
      </c>
      <c r="L7728" s="200"/>
      <c r="M7728" s="200"/>
      <c r="N7728" s="200"/>
      <c r="O7728" s="200"/>
      <c r="P7728" s="200"/>
    </row>
    <row r="7729" spans="3:16" s="517" customFormat="1" ht="31.2" customHeight="1">
      <c r="C7729" s="518" t="s">
        <v>1201</v>
      </c>
      <c r="D7729" s="196" t="s">
        <v>1202</v>
      </c>
      <c r="E7729" s="197"/>
      <c r="F7729" s="197"/>
      <c r="G7729" s="197"/>
      <c r="H7729" s="198"/>
      <c r="L7729" s="200"/>
      <c r="M7729" s="200"/>
      <c r="N7729" s="200"/>
      <c r="O7729" s="200"/>
      <c r="P7729" s="200"/>
    </row>
    <row r="7730" spans="3:16" s="517" customFormat="1" ht="31.2" customHeight="1">
      <c r="C7730" s="518">
        <v>1</v>
      </c>
      <c r="D7730" s="196" t="s">
        <v>5</v>
      </c>
      <c r="E7730" s="203" t="s">
        <v>2102</v>
      </c>
      <c r="F7730" s="257">
        <v>0.05</v>
      </c>
      <c r="G7730" s="205">
        <f>VLOOKUP(D7730,upahbahan,3,FALSE)</f>
        <v>100000</v>
      </c>
      <c r="H7730" s="210">
        <f t="shared" ref="H7730:H7733" si="601">F7730*G7730</f>
        <v>5000</v>
      </c>
      <c r="L7730" s="200"/>
      <c r="M7730" s="200"/>
      <c r="N7730" s="200"/>
      <c r="O7730" s="200"/>
      <c r="P7730" s="200"/>
    </row>
    <row r="7731" spans="3:16" s="517" customFormat="1" ht="31.2" customHeight="1">
      <c r="C7731" s="518">
        <v>2</v>
      </c>
      <c r="D7731" s="196" t="s">
        <v>12</v>
      </c>
      <c r="E7731" s="203" t="s">
        <v>2102</v>
      </c>
      <c r="F7731" s="257">
        <v>0.05</v>
      </c>
      <c r="G7731" s="205">
        <f>VLOOKUP(D7731,upahbahan,3,FALSE)</f>
        <v>135000</v>
      </c>
      <c r="H7731" s="210">
        <f t="shared" si="601"/>
        <v>6750</v>
      </c>
      <c r="L7731" s="200"/>
      <c r="M7731" s="200"/>
      <c r="N7731" s="200"/>
      <c r="O7731" s="200"/>
      <c r="P7731" s="200"/>
    </row>
    <row r="7732" spans="3:16" s="517" customFormat="1" ht="31.2" customHeight="1">
      <c r="C7732" s="518">
        <v>3</v>
      </c>
      <c r="D7732" s="196" t="s">
        <v>1310</v>
      </c>
      <c r="E7732" s="203" t="s">
        <v>2102</v>
      </c>
      <c r="F7732" s="257">
        <v>5.0000000000000001E-3</v>
      </c>
      <c r="G7732" s="205">
        <f>VLOOKUP(D7732,upahbahan,3,FALSE)</f>
        <v>150000</v>
      </c>
      <c r="H7732" s="210">
        <f t="shared" si="601"/>
        <v>750</v>
      </c>
      <c r="L7732" s="200"/>
      <c r="M7732" s="200"/>
      <c r="N7732" s="200"/>
      <c r="O7732" s="200"/>
      <c r="P7732" s="200"/>
    </row>
    <row r="7733" spans="3:16" s="517" customFormat="1" ht="31.2" customHeight="1">
      <c r="C7733" s="518">
        <v>4</v>
      </c>
      <c r="D7733" s="196" t="s">
        <v>19</v>
      </c>
      <c r="E7733" s="203" t="s">
        <v>2102</v>
      </c>
      <c r="F7733" s="257">
        <v>1.6999999999999999E-3</v>
      </c>
      <c r="G7733" s="205">
        <f>VLOOKUP(D7733,upahbahan,3,FALSE)</f>
        <v>160000</v>
      </c>
      <c r="H7733" s="210">
        <f t="shared" si="601"/>
        <v>272</v>
      </c>
      <c r="L7733" s="200"/>
      <c r="M7733" s="200"/>
      <c r="N7733" s="200"/>
      <c r="O7733" s="200"/>
      <c r="P7733" s="200"/>
    </row>
    <row r="7734" spans="3:16" s="517" customFormat="1" ht="31.2" customHeight="1">
      <c r="C7734" s="207" t="s">
        <v>1208</v>
      </c>
      <c r="D7734" s="208"/>
      <c r="E7734" s="208"/>
      <c r="F7734" s="521"/>
      <c r="G7734" s="522"/>
      <c r="H7734" s="210">
        <f>SUM(H7730:H7733)</f>
        <v>12772</v>
      </c>
      <c r="L7734" s="523"/>
      <c r="M7734" s="523"/>
      <c r="N7734" s="523"/>
      <c r="O7734" s="523"/>
      <c r="P7734" s="523"/>
    </row>
    <row r="7735" spans="3:16" s="517" customFormat="1" ht="31.2" customHeight="1">
      <c r="C7735" s="543" t="s">
        <v>1209</v>
      </c>
      <c r="D7735" s="750" t="s">
        <v>1210</v>
      </c>
      <c r="E7735" s="197"/>
      <c r="F7735" s="751"/>
      <c r="G7735" s="197"/>
      <c r="H7735" s="752"/>
      <c r="L7735" s="200"/>
      <c r="M7735" s="200"/>
      <c r="N7735" s="200"/>
      <c r="O7735" s="200"/>
      <c r="P7735" s="200"/>
    </row>
    <row r="7736" spans="3:16" s="517" customFormat="1" ht="31.2" customHeight="1">
      <c r="C7736" s="543">
        <v>1</v>
      </c>
      <c r="D7736" s="750" t="s">
        <v>5714</v>
      </c>
      <c r="E7736" s="203" t="s">
        <v>44</v>
      </c>
      <c r="F7736" s="769">
        <v>1</v>
      </c>
      <c r="G7736" s="205">
        <f>VLOOKUP(D7736,upahbahan,3,FALSE)</f>
        <v>0</v>
      </c>
      <c r="H7736" s="210">
        <f>F7736*G7736</f>
        <v>0</v>
      </c>
      <c r="L7736" s="200"/>
      <c r="M7736" s="200"/>
      <c r="N7736" s="200"/>
      <c r="O7736" s="200"/>
      <c r="P7736" s="200"/>
    </row>
    <row r="7737" spans="3:16" s="517" customFormat="1" ht="31.2" customHeight="1">
      <c r="C7737" s="543">
        <v>2</v>
      </c>
      <c r="D7737" s="750" t="s">
        <v>5715</v>
      </c>
      <c r="E7737" s="203" t="s">
        <v>1300</v>
      </c>
      <c r="F7737" s="769">
        <v>4</v>
      </c>
      <c r="G7737" s="205">
        <f>VLOOKUP(D7737,upahbahan,3,FALSE)</f>
        <v>0</v>
      </c>
      <c r="H7737" s="210">
        <f t="shared" ref="H7737:H7739" si="602">F7737*G7737</f>
        <v>0</v>
      </c>
      <c r="L7737" s="200"/>
      <c r="M7737" s="200"/>
      <c r="N7737" s="200"/>
      <c r="O7737" s="200"/>
      <c r="P7737" s="200"/>
    </row>
    <row r="7738" spans="3:16" s="517" customFormat="1" ht="31.2" customHeight="1">
      <c r="C7738" s="543">
        <v>3</v>
      </c>
      <c r="D7738" s="750" t="s">
        <v>254</v>
      </c>
      <c r="E7738" s="203" t="s">
        <v>5717</v>
      </c>
      <c r="F7738" s="769">
        <v>2.9000000000000001E-2</v>
      </c>
      <c r="G7738" s="205">
        <f>VLOOKUP(D7738,upahbahan,3,FALSE)</f>
        <v>66600</v>
      </c>
      <c r="H7738" s="210">
        <f t="shared" si="602"/>
        <v>1931.4</v>
      </c>
      <c r="L7738" s="200"/>
      <c r="M7738" s="200"/>
      <c r="N7738" s="200"/>
      <c r="O7738" s="200"/>
      <c r="P7738" s="200"/>
    </row>
    <row r="7739" spans="3:16" s="517" customFormat="1" ht="31.2" customHeight="1">
      <c r="C7739" s="543">
        <v>4</v>
      </c>
      <c r="D7739" s="750" t="s">
        <v>5716</v>
      </c>
      <c r="E7739" s="203" t="s">
        <v>529</v>
      </c>
      <c r="F7739" s="769">
        <v>7.6999999999999999E-2</v>
      </c>
      <c r="G7739" s="205">
        <f>VLOOKUP(D7739,upahbahan,3,FALSE)</f>
        <v>0</v>
      </c>
      <c r="H7739" s="210">
        <f t="shared" si="602"/>
        <v>0</v>
      </c>
      <c r="L7739" s="200"/>
      <c r="M7739" s="200"/>
      <c r="N7739" s="200"/>
      <c r="O7739" s="200"/>
      <c r="P7739" s="200"/>
    </row>
    <row r="7740" spans="3:16" s="517" customFormat="1" ht="31.2" customHeight="1">
      <c r="C7740" s="207" t="s">
        <v>1214</v>
      </c>
      <c r="D7740" s="208"/>
      <c r="E7740" s="568"/>
      <c r="F7740" s="208"/>
      <c r="G7740" s="209"/>
      <c r="H7740" s="210">
        <f>SUM(H7736:H7739)</f>
        <v>1931.4</v>
      </c>
      <c r="L7740" s="200"/>
      <c r="M7740" s="200"/>
      <c r="N7740" s="200"/>
      <c r="O7740" s="200"/>
      <c r="P7740" s="200"/>
    </row>
    <row r="7741" spans="3:16" s="517" customFormat="1" ht="31.2" customHeight="1">
      <c r="C7741" s="195" t="s">
        <v>1215</v>
      </c>
      <c r="D7741" s="196" t="s">
        <v>1216</v>
      </c>
      <c r="E7741" s="203"/>
      <c r="F7741" s="197"/>
      <c r="G7741" s="197"/>
      <c r="H7741" s="198"/>
      <c r="L7741" s="200"/>
      <c r="M7741" s="200"/>
      <c r="N7741" s="200"/>
      <c r="O7741" s="200"/>
      <c r="P7741" s="200"/>
    </row>
    <row r="7742" spans="3:16" s="517" customFormat="1" ht="31.2" customHeight="1">
      <c r="C7742" s="207" t="s">
        <v>1217</v>
      </c>
      <c r="D7742" s="208"/>
      <c r="E7742" s="208"/>
      <c r="F7742" s="208"/>
      <c r="G7742" s="209"/>
      <c r="H7742" s="770">
        <f>SUM(H7741:H7741)</f>
        <v>0</v>
      </c>
      <c r="L7742" s="200"/>
      <c r="M7742" s="200"/>
      <c r="N7742" s="200"/>
      <c r="O7742" s="200"/>
      <c r="P7742" s="200"/>
    </row>
    <row r="7743" spans="3:16" s="517" customFormat="1" ht="31.2" customHeight="1">
      <c r="C7743" s="223" t="s">
        <v>1218</v>
      </c>
      <c r="D7743" s="224" t="s">
        <v>1219</v>
      </c>
      <c r="E7743" s="225"/>
      <c r="F7743" s="225"/>
      <c r="G7743" s="226"/>
      <c r="H7743" s="210">
        <f>H7742+H7740+H7734</f>
        <v>14703.4</v>
      </c>
      <c r="L7743" s="200"/>
      <c r="M7743" s="200"/>
      <c r="N7743" s="200"/>
      <c r="O7743" s="200"/>
      <c r="P7743" s="200"/>
    </row>
    <row r="7744" spans="3:16" s="517" customFormat="1" ht="31.2" customHeight="1">
      <c r="C7744" s="223" t="s">
        <v>1220</v>
      </c>
      <c r="D7744" s="224" t="s">
        <v>1321</v>
      </c>
      <c r="E7744" s="225"/>
      <c r="F7744" s="226"/>
      <c r="G7744" s="228">
        <v>0.1</v>
      </c>
      <c r="H7744" s="210">
        <f>H7743*G7744</f>
        <v>1470.3400000000001</v>
      </c>
      <c r="L7744" s="200"/>
      <c r="M7744" s="200"/>
      <c r="N7744" s="200"/>
      <c r="O7744" s="200"/>
      <c r="P7744" s="200"/>
    </row>
    <row r="7745" spans="3:16" s="517" customFormat="1" ht="31.2" customHeight="1" thickBot="1">
      <c r="C7745" s="229" t="s">
        <v>1221</v>
      </c>
      <c r="D7745" s="230" t="s">
        <v>1222</v>
      </c>
      <c r="E7745" s="231"/>
      <c r="F7745" s="231"/>
      <c r="G7745" s="232"/>
      <c r="H7745" s="233">
        <f>SUM(H7743:H7744)</f>
        <v>16173.74</v>
      </c>
      <c r="L7745" s="200"/>
      <c r="M7745" s="200"/>
      <c r="N7745" s="200"/>
      <c r="O7745" s="200"/>
      <c r="P7745" s="200"/>
    </row>
    <row r="7746" spans="3:16" ht="24" customHeight="1" thickTop="1"/>
  </sheetData>
  <mergeCells count="86">
    <mergeCell ref="L799:L800"/>
    <mergeCell ref="D826:G826"/>
    <mergeCell ref="L842:L843"/>
    <mergeCell ref="D712:G712"/>
    <mergeCell ref="L727:L728"/>
    <mergeCell ref="L741:L742"/>
    <mergeCell ref="D770:G770"/>
    <mergeCell ref="L785:L786"/>
    <mergeCell ref="L610:L611"/>
    <mergeCell ref="L624:L625"/>
    <mergeCell ref="D654:G654"/>
    <mergeCell ref="L669:L670"/>
    <mergeCell ref="L683:L684"/>
    <mergeCell ref="L502:L503"/>
    <mergeCell ref="D536:G536"/>
    <mergeCell ref="L551:L552"/>
    <mergeCell ref="L565:L566"/>
    <mergeCell ref="D595:G595"/>
    <mergeCell ref="D412:G412"/>
    <mergeCell ref="L427:L428"/>
    <mergeCell ref="L440:L441"/>
    <mergeCell ref="D474:G474"/>
    <mergeCell ref="L489:L490"/>
    <mergeCell ref="L303:L304"/>
    <mergeCell ref="L316:L317"/>
    <mergeCell ref="D350:G350"/>
    <mergeCell ref="L365:L366"/>
    <mergeCell ref="L378:L379"/>
    <mergeCell ref="L199:L200"/>
    <mergeCell ref="D229:G229"/>
    <mergeCell ref="L244:L245"/>
    <mergeCell ref="L258:L259"/>
    <mergeCell ref="D288:G288"/>
    <mergeCell ref="D109:G109"/>
    <mergeCell ref="L124:L125"/>
    <mergeCell ref="L138:L139"/>
    <mergeCell ref="D170:G170"/>
    <mergeCell ref="L185:L186"/>
    <mergeCell ref="M23:M24"/>
    <mergeCell ref="P20:P21"/>
    <mergeCell ref="N23:N24"/>
    <mergeCell ref="O23:O24"/>
    <mergeCell ref="P23:P24"/>
    <mergeCell ref="L10:L11"/>
    <mergeCell ref="L20:L21"/>
    <mergeCell ref="M20:M21"/>
    <mergeCell ref="M10:M11"/>
    <mergeCell ref="J9:P9"/>
    <mergeCell ref="N10:N11"/>
    <mergeCell ref="N20:N21"/>
    <mergeCell ref="O20:O21"/>
    <mergeCell ref="O10:O11"/>
    <mergeCell ref="P10:P11"/>
    <mergeCell ref="K10:K11"/>
    <mergeCell ref="I11:J12"/>
    <mergeCell ref="L63:L64"/>
    <mergeCell ref="L77:L78"/>
    <mergeCell ref="C20:C21"/>
    <mergeCell ref="D20:D21"/>
    <mergeCell ref="C22:C25"/>
    <mergeCell ref="H23:H24"/>
    <mergeCell ref="I23:J24"/>
    <mergeCell ref="K23:K24"/>
    <mergeCell ref="D26:F26"/>
    <mergeCell ref="L23:L24"/>
    <mergeCell ref="E20:E21"/>
    <mergeCell ref="H20:H21"/>
    <mergeCell ref="K20:K21"/>
    <mergeCell ref="I20:J21"/>
    <mergeCell ref="D48:G48"/>
    <mergeCell ref="O8:Q8"/>
    <mergeCell ref="D6688:D6693"/>
    <mergeCell ref="D6682:L6682"/>
    <mergeCell ref="G6688:G6693"/>
    <mergeCell ref="G6686:L6686"/>
    <mergeCell ref="H6688:H6693"/>
    <mergeCell ref="I6684:K6684"/>
    <mergeCell ref="I6685:K6685"/>
    <mergeCell ref="I6687:K6687"/>
    <mergeCell ref="I6688:K6693"/>
    <mergeCell ref="L6688:L6693"/>
    <mergeCell ref="E6684:F6684"/>
    <mergeCell ref="E6685:F6685"/>
    <mergeCell ref="E6686:F6686"/>
    <mergeCell ref="E6687:F6687"/>
    <mergeCell ref="E6688:F6693"/>
  </mergeCells>
  <phoneticPr fontId="19" type="noConversion"/>
  <dataValidations disablePrompts="1" count="1">
    <dataValidation type="list" allowBlank="1" showInputMessage="1" showErrorMessage="1" sqref="D1691:D1693 D1354:D1356 D3544:D3546 D6327:D6330 D6701 D6882 D6898 D6916 D89:D90 D150:D151 D210:D211 D269:D270 D330:D331 D392:D393 D454:D455 D516:D517 D576:D577 D635:D636 D694:D695 D752:D753 D810:D811 D876:D878 D904:D906 D932:D934 D960:D962 D988:D990 D1016:D1018 D1044:D1046 D1072:D1074 D1100:D1102 D1128:D1130 D1156:D1158 D1184:D1186 D1212:D1214 D1240:D1242 D1268:D1270 D1296:D1298 D1324:D1326 D1382:D1384 D1410:D1412 D1438:D1440 D1467:D1469 D1495:D1497 D1523:D1525 D1551:D1553 D1579:D1581 D1607:D1609 D1635:D1637 D1663:D1665 D1721:D1723 D1750:D1752 D1779:D1781 D1808:D1810 D1837:D1839 D1866:D1868 D1895:D1897 D1924:D1926 D1953:D1955 D1982:D1984 D2011:D2013 D2041:D2043 D2070:D2072 D2099:D2101 D2128:D2130 D2157:D2159 D2186:D2188 D2215:D2217 D2244:D2246 D2273:D2275 D2302:D2304 D2331:D2333 D2360:D2362 D2389:D2391 D2418:D2420 D2447:D2449 D2476:D2478 D2505:D2507 D2534:D2536 D2564:D2566 D2593:D2595 D2622:D2624 D2651:D2653 D2680:D2682 D2710:D2712 D2739:D2741 D2768:D2770 D2797:D2799 D2826:D2828 D2855:D2857 D2884:D2886 D2913:D2915 D2942:D2944 D2972:D2974 D3002:D3004 D3032:D3034 D3062:D3064 D3092:D3094 D3122:D3124 D3152:D3154 D3182:D3184 D3213:D3215 D3243:D3245 D3273:D3275 D3303:D3305 D3333:D3335 D3363:D3365 D3393:D3395 D3424:D3426 D3454:D3456 D3484:D3486 D3514:D3516 D3574:D3576 D3604:D3606 D3638:D3640 D3667:D3669 D3696:D3698 D3725:D3727 D3754:D3756 D3783:D3785 D3812:D3814 D3842:D3844 D3871:D3873 D3900:D3902 D3929:D3931 D3958:D3960 D3987:D3989 D4016:D4018 D4046:D4048 D4076:D4078 D4106:D4108 D4136:D4138 D4166:D4168 D4197:D4199 D4227:D4229 D4257:D4259 D4287:D4289 D4317:D4319 D4348:D4350 D4378:D4380 D4408:D4410 D4438:D4440 D4468:D4470 D4499:D4501 D4529:D4531 D4559:D4561 D4589:D4591 D4619:D4621 D4650:D4652 D4675:D4677 D4700:D4702 D4725:D4727 D4750:D4752 D4775:D4777 D4800:D4802 D4825:D4827 D4850:D4852 D4875:D4877 D4900:D4902 D4925:D4927 D4950:D4952 D4975:D4977 D5001:D5003 D5026:D5028 D5051:D5053 D5076:D5078 D5102:D5104 D5127:D5129 D5152:D5154 D5177:D5179 D5202:D5204 D5227:D5229 D5252:D5254 D5277:D5279 D5302:D5304 D5327:D5329 D5352:D5354 D5377:D5379 D5402:D5404 D5427:D5429 D5452:D5454 D5477:D5479 D5502:D5504 D5527:D5529 D5552:D5554 D5577:D5579 D5602:D5604 D5627:D5629 D5653:D5655 D5678:D5680 D5703:D5705 D5728:D5730 D5753:D5755 D5778:D5780 D5803:D5805 D5828:D5830 D5853:D5855 D5878:D5880 D5903:D5905 D5928:D5930 D5953:D5955 D5978:D5980 D6003:D6005 D6028:D6030 D6053:D6055 D6078:D6080 D6103:D6105 D6129:D6131 D6154:D6156 D6179:D6181 D6204:D6206 D6229:D6231 D6255:D6258 D6279:D6282 D6303:D6306 D6353:D6355 D6381:D6383 D6408:D6410 D6436:D6438 D6463:D6465 D6491:D6493 D6518:D6520 D6546:D6548 D6573:D6575 D6601:D6603 D6628:D6630 D6656:D6658 D6719 D6737 D6755 D6773 D6791 D6810 D6828 D6846 D6863" xr:uid="{00000000-0002-0000-1B00-000000000000}">
      <formula1>TENAGA</formula1>
    </dataValidation>
  </dataValidation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1:M9334"/>
  <sheetViews>
    <sheetView topLeftCell="A4701" zoomScale="69" zoomScaleNormal="69" workbookViewId="0">
      <selection activeCell="D1168" sqref="D1168"/>
    </sheetView>
  </sheetViews>
  <sheetFormatPr defaultColWidth="8.88671875" defaultRowHeight="14.4"/>
  <cols>
    <col min="1" max="2" width="4.44140625" style="517" customWidth="1"/>
    <col min="3" max="3" width="13.44140625" style="530" customWidth="1"/>
    <col min="4" max="4" width="30.33203125" style="530" customWidth="1"/>
    <col min="5" max="5" width="9.33203125" style="530" customWidth="1"/>
    <col min="6" max="6" width="14.21875" style="530" customWidth="1"/>
    <col min="7" max="7" width="20.88671875" style="530" customWidth="1"/>
    <col min="8" max="8" width="22" style="530" customWidth="1"/>
    <col min="9" max="9" width="21.109375" style="571" customWidth="1"/>
    <col min="10" max="10" width="19.6640625" style="517" customWidth="1"/>
    <col min="11" max="11" width="14" style="517" customWidth="1"/>
    <col min="12" max="12" width="11.33203125" style="517" customWidth="1"/>
    <col min="13" max="16384" width="8.88671875" style="517"/>
  </cols>
  <sheetData>
    <row r="1" spans="3:13" ht="27.6" customHeight="1"/>
    <row r="2" spans="3:13" ht="25.8" customHeight="1">
      <c r="C2" s="512">
        <v>5</v>
      </c>
      <c r="D2" s="571" t="s">
        <v>3215</v>
      </c>
    </row>
    <row r="3" spans="3:13" ht="22.2" customHeight="1">
      <c r="C3" s="573" t="s">
        <v>3216</v>
      </c>
      <c r="D3" s="513" t="s">
        <v>3217</v>
      </c>
      <c r="E3" s="513"/>
      <c r="F3" s="513"/>
      <c r="G3" s="513"/>
      <c r="H3" s="513"/>
    </row>
    <row r="4" spans="3:13" ht="22.2" customHeight="1">
      <c r="C4" s="573" t="s">
        <v>3219</v>
      </c>
      <c r="D4" s="513" t="s">
        <v>3218</v>
      </c>
      <c r="E4" s="513"/>
      <c r="F4" s="513"/>
      <c r="G4" s="513"/>
      <c r="H4" s="513"/>
    </row>
    <row r="5" spans="3:13" ht="22.2" customHeight="1">
      <c r="C5" s="573" t="s">
        <v>3220</v>
      </c>
      <c r="D5" s="513" t="s">
        <v>3221</v>
      </c>
      <c r="E5" s="513"/>
      <c r="F5" s="513"/>
      <c r="G5" s="513"/>
      <c r="H5" s="513"/>
    </row>
    <row r="6" spans="3:13" ht="22.2" customHeight="1">
      <c r="C6" s="512" t="s">
        <v>5302</v>
      </c>
      <c r="D6" s="817" t="s">
        <v>1628</v>
      </c>
      <c r="E6" s="803"/>
      <c r="F6" s="803"/>
      <c r="G6" s="803"/>
      <c r="H6" s="803"/>
      <c r="I6" s="533">
        <f>ROUNDDOWN(H21,-2)</f>
        <v>9400</v>
      </c>
    </row>
    <row r="7" spans="3:13" ht="25.8" customHeight="1">
      <c r="C7" s="716" t="s">
        <v>1195</v>
      </c>
      <c r="D7" s="716" t="s">
        <v>1196</v>
      </c>
      <c r="E7" s="716" t="s">
        <v>1197</v>
      </c>
      <c r="F7" s="716" t="s">
        <v>1198</v>
      </c>
      <c r="G7" s="716" t="s">
        <v>1199</v>
      </c>
      <c r="H7" s="716" t="s">
        <v>1200</v>
      </c>
    </row>
    <row r="8" spans="3:13" ht="25.8" customHeight="1">
      <c r="C8" s="213" t="s">
        <v>1201</v>
      </c>
      <c r="D8" s="212" t="s">
        <v>1202</v>
      </c>
      <c r="E8" s="534"/>
      <c r="F8" s="534"/>
      <c r="G8" s="534"/>
      <c r="H8" s="534"/>
      <c r="J8" s="536" t="s">
        <v>1247</v>
      </c>
    </row>
    <row r="9" spans="3:13" ht="25.8" customHeight="1">
      <c r="C9" s="818">
        <v>1</v>
      </c>
      <c r="D9" s="212" t="s">
        <v>5</v>
      </c>
      <c r="E9" s="212" t="s">
        <v>6</v>
      </c>
      <c r="F9" s="538">
        <v>2.4E-2</v>
      </c>
      <c r="G9" s="539">
        <f>VLOOKUP(D9,upahbahan,3,FALSE)</f>
        <v>100000</v>
      </c>
      <c r="H9" s="539">
        <f t="shared" ref="H9:H12" si="0">F9*G9</f>
        <v>2400</v>
      </c>
      <c r="J9" s="536" t="s">
        <v>1248</v>
      </c>
      <c r="M9" s="541">
        <v>0.1</v>
      </c>
    </row>
    <row r="10" spans="3:13" ht="25.8" customHeight="1">
      <c r="C10" s="818">
        <v>2</v>
      </c>
      <c r="D10" s="212" t="s">
        <v>17</v>
      </c>
      <c r="E10" s="212" t="s">
        <v>6</v>
      </c>
      <c r="F10" s="538">
        <v>0.04</v>
      </c>
      <c r="G10" s="539">
        <f>VLOOKUP(D10,upahbahan,3,FALSE)</f>
        <v>135000</v>
      </c>
      <c r="H10" s="539">
        <f t="shared" si="0"/>
        <v>5400</v>
      </c>
    </row>
    <row r="11" spans="3:13" ht="25.8" customHeight="1">
      <c r="C11" s="818">
        <v>3</v>
      </c>
      <c r="D11" s="212" t="s">
        <v>18</v>
      </c>
      <c r="E11" s="212" t="s">
        <v>6</v>
      </c>
      <c r="F11" s="538">
        <v>4.0000000000000001E-3</v>
      </c>
      <c r="G11" s="539">
        <f>VLOOKUP(D11,upahbahan,3,FALSE)</f>
        <v>150000</v>
      </c>
      <c r="H11" s="539">
        <f t="shared" si="0"/>
        <v>600</v>
      </c>
    </row>
    <row r="12" spans="3:13" ht="25.8" customHeight="1">
      <c r="C12" s="818">
        <v>4</v>
      </c>
      <c r="D12" s="212" t="s">
        <v>19</v>
      </c>
      <c r="E12" s="212" t="s">
        <v>6</v>
      </c>
      <c r="F12" s="538">
        <v>1E-3</v>
      </c>
      <c r="G12" s="539">
        <f>VLOOKUP(D12,upahbahan,3,FALSE)</f>
        <v>160000</v>
      </c>
      <c r="H12" s="539">
        <f t="shared" si="0"/>
        <v>160</v>
      </c>
    </row>
    <row r="13" spans="3:13" ht="25.8" customHeight="1">
      <c r="C13" s="702" t="s">
        <v>1208</v>
      </c>
      <c r="D13" s="208"/>
      <c r="E13" s="208"/>
      <c r="F13" s="521"/>
      <c r="G13" s="522"/>
      <c r="H13" s="539">
        <f>SUM(H9:H12)</f>
        <v>8560</v>
      </c>
      <c r="I13" s="819"/>
    </row>
    <row r="14" spans="3:13" ht="25.8" customHeight="1">
      <c r="C14" s="213" t="s">
        <v>1209</v>
      </c>
      <c r="D14" s="212" t="s">
        <v>1210</v>
      </c>
      <c r="E14" s="534"/>
      <c r="F14" s="534"/>
      <c r="G14" s="534"/>
      <c r="H14" s="534"/>
    </row>
    <row r="15" spans="3:13" ht="25.8" customHeight="1">
      <c r="C15" s="818">
        <v>1</v>
      </c>
      <c r="D15" s="820" t="s">
        <v>912</v>
      </c>
      <c r="E15" s="807" t="s">
        <v>113</v>
      </c>
      <c r="F15" s="538">
        <v>1.1499999999999999</v>
      </c>
      <c r="G15" s="539">
        <f>VLOOKUP(D15,upahbahan,3,FALSE)</f>
        <v>0</v>
      </c>
      <c r="H15" s="539">
        <f t="shared" ref="H15" si="1">F15*G15</f>
        <v>0</v>
      </c>
    </row>
    <row r="16" spans="3:13" ht="25.8" customHeight="1">
      <c r="C16" s="702" t="s">
        <v>1214</v>
      </c>
      <c r="D16" s="208"/>
      <c r="E16" s="208"/>
      <c r="F16" s="208"/>
      <c r="G16" s="209"/>
      <c r="H16" s="539">
        <f>SUM(H15:H15)</f>
        <v>0</v>
      </c>
    </row>
    <row r="17" spans="3:11" ht="25.8" customHeight="1">
      <c r="C17" s="213" t="s">
        <v>1215</v>
      </c>
      <c r="D17" s="212" t="s">
        <v>1216</v>
      </c>
      <c r="E17" s="534"/>
      <c r="F17" s="534"/>
      <c r="G17" s="534"/>
      <c r="H17" s="534"/>
    </row>
    <row r="18" spans="3:11" ht="25.8" customHeight="1">
      <c r="C18" s="702" t="s">
        <v>1217</v>
      </c>
      <c r="D18" s="208"/>
      <c r="E18" s="208"/>
      <c r="F18" s="208"/>
      <c r="G18" s="209"/>
      <c r="H18" s="821">
        <v>0</v>
      </c>
    </row>
    <row r="19" spans="3:11" ht="25.8" customHeight="1">
      <c r="C19" s="566" t="s">
        <v>1218</v>
      </c>
      <c r="D19" s="552" t="s">
        <v>1219</v>
      </c>
      <c r="E19" s="553"/>
      <c r="F19" s="553"/>
      <c r="G19" s="554"/>
      <c r="H19" s="539">
        <f>H18+H16+H13</f>
        <v>8560</v>
      </c>
    </row>
    <row r="20" spans="3:11" ht="25.8" customHeight="1">
      <c r="C20" s="566" t="s">
        <v>1220</v>
      </c>
      <c r="D20" s="552" t="s">
        <v>1321</v>
      </c>
      <c r="E20" s="553"/>
      <c r="F20" s="554"/>
      <c r="G20" s="555">
        <f>$M$9</f>
        <v>0.1</v>
      </c>
      <c r="H20" s="539">
        <f>H19*G20</f>
        <v>856</v>
      </c>
    </row>
    <row r="21" spans="3:11" ht="25.8" customHeight="1">
      <c r="C21" s="566" t="s">
        <v>1221</v>
      </c>
      <c r="D21" s="552" t="s">
        <v>1222</v>
      </c>
      <c r="E21" s="553"/>
      <c r="F21" s="553"/>
      <c r="G21" s="554"/>
      <c r="H21" s="822">
        <f>SUM(H19:H20)</f>
        <v>9416</v>
      </c>
    </row>
    <row r="22" spans="3:11" ht="25.8" customHeight="1">
      <c r="C22" s="562"/>
      <c r="D22" s="562"/>
      <c r="E22" s="562"/>
      <c r="F22" s="562"/>
      <c r="G22" s="562"/>
      <c r="H22" s="823"/>
    </row>
    <row r="23" spans="3:11" ht="25.8" customHeight="1">
      <c r="C23" s="517" t="s">
        <v>3222</v>
      </c>
      <c r="D23" s="817" t="s">
        <v>1629</v>
      </c>
      <c r="E23" s="803"/>
      <c r="F23" s="803"/>
      <c r="G23" s="803"/>
      <c r="H23" s="803"/>
      <c r="I23" s="533">
        <f>ROUNDDOWN(H38,-2)</f>
        <v>9400</v>
      </c>
      <c r="J23" s="536"/>
      <c r="K23" s="824"/>
    </row>
    <row r="24" spans="3:11" ht="25.8" customHeight="1">
      <c r="C24" s="716" t="s">
        <v>1195</v>
      </c>
      <c r="D24" s="716" t="s">
        <v>1196</v>
      </c>
      <c r="E24" s="716" t="s">
        <v>1197</v>
      </c>
      <c r="F24" s="716" t="s">
        <v>1198</v>
      </c>
      <c r="G24" s="716" t="s">
        <v>1199</v>
      </c>
      <c r="H24" s="716" t="s">
        <v>1200</v>
      </c>
      <c r="J24" s="536"/>
    </row>
    <row r="25" spans="3:11" ht="25.8" customHeight="1">
      <c r="C25" s="213" t="s">
        <v>1201</v>
      </c>
      <c r="D25" s="212" t="s">
        <v>1202</v>
      </c>
      <c r="E25" s="534"/>
      <c r="F25" s="534"/>
      <c r="G25" s="534"/>
      <c r="H25" s="534"/>
      <c r="J25" s="536"/>
    </row>
    <row r="26" spans="3:11" ht="25.8" customHeight="1">
      <c r="C26" s="818">
        <v>1</v>
      </c>
      <c r="D26" s="212" t="s">
        <v>5</v>
      </c>
      <c r="E26" s="212" t="s">
        <v>6</v>
      </c>
      <c r="F26" s="538">
        <v>2.4E-2</v>
      </c>
      <c r="G26" s="539">
        <f>VLOOKUP(D26,upahbahan,3,FALSE)</f>
        <v>100000</v>
      </c>
      <c r="H26" s="539">
        <f t="shared" ref="H26:H29" si="2">F26*G26</f>
        <v>2400</v>
      </c>
      <c r="J26" s="536"/>
    </row>
    <row r="27" spans="3:11" ht="25.8" customHeight="1">
      <c r="C27" s="818">
        <v>2</v>
      </c>
      <c r="D27" s="212" t="str">
        <f>D10</f>
        <v>Tukang listrik</v>
      </c>
      <c r="E27" s="212" t="s">
        <v>6</v>
      </c>
      <c r="F27" s="538">
        <v>0.04</v>
      </c>
      <c r="G27" s="539">
        <f>VLOOKUP(D27,upahbahan,3,FALSE)</f>
        <v>135000</v>
      </c>
      <c r="H27" s="539">
        <f t="shared" si="2"/>
        <v>5400</v>
      </c>
      <c r="J27" s="536"/>
    </row>
    <row r="28" spans="3:11" ht="25.8" customHeight="1">
      <c r="C28" s="818">
        <v>3</v>
      </c>
      <c r="D28" s="212" t="s">
        <v>18</v>
      </c>
      <c r="E28" s="212" t="s">
        <v>6</v>
      </c>
      <c r="F28" s="538">
        <v>4.0000000000000001E-3</v>
      </c>
      <c r="G28" s="539">
        <f>VLOOKUP(D28,upahbahan,3,FALSE)</f>
        <v>150000</v>
      </c>
      <c r="H28" s="539">
        <f t="shared" si="2"/>
        <v>600</v>
      </c>
      <c r="J28" s="536"/>
    </row>
    <row r="29" spans="3:11" ht="25.8" customHeight="1">
      <c r="C29" s="818">
        <v>4</v>
      </c>
      <c r="D29" s="212" t="s">
        <v>19</v>
      </c>
      <c r="E29" s="212" t="s">
        <v>6</v>
      </c>
      <c r="F29" s="538">
        <v>1E-3</v>
      </c>
      <c r="G29" s="539">
        <f>VLOOKUP(D29,upahbahan,3,FALSE)</f>
        <v>160000</v>
      </c>
      <c r="H29" s="539">
        <f t="shared" si="2"/>
        <v>160</v>
      </c>
      <c r="J29" s="536"/>
    </row>
    <row r="30" spans="3:11" ht="25.8" customHeight="1">
      <c r="C30" s="702" t="s">
        <v>1208</v>
      </c>
      <c r="D30" s="208"/>
      <c r="E30" s="208"/>
      <c r="F30" s="521"/>
      <c r="G30" s="522"/>
      <c r="H30" s="539">
        <f>SUM(H26:H29)</f>
        <v>8560</v>
      </c>
      <c r="I30" s="819"/>
      <c r="J30" s="536"/>
    </row>
    <row r="31" spans="3:11" ht="25.8" customHeight="1">
      <c r="C31" s="213" t="s">
        <v>1209</v>
      </c>
      <c r="D31" s="212" t="s">
        <v>1210</v>
      </c>
      <c r="E31" s="534"/>
      <c r="F31" s="534"/>
      <c r="G31" s="534"/>
      <c r="H31" s="534"/>
      <c r="J31" s="536"/>
    </row>
    <row r="32" spans="3:11" ht="25.8" customHeight="1">
      <c r="C32" s="818">
        <v>1</v>
      </c>
      <c r="D32" s="820" t="s">
        <v>916</v>
      </c>
      <c r="E32" s="807" t="s">
        <v>113</v>
      </c>
      <c r="F32" s="538">
        <v>1.1499999999999999</v>
      </c>
      <c r="G32" s="539">
        <f>VLOOKUP(D32,upahbahan,3,FALSE)</f>
        <v>0</v>
      </c>
      <c r="H32" s="539">
        <f>F32*G32</f>
        <v>0</v>
      </c>
      <c r="J32" s="536"/>
    </row>
    <row r="33" spans="3:11" ht="25.8" customHeight="1">
      <c r="C33" s="702" t="s">
        <v>1214</v>
      </c>
      <c r="D33" s="208"/>
      <c r="E33" s="208"/>
      <c r="F33" s="208"/>
      <c r="G33" s="209"/>
      <c r="H33" s="539">
        <f>SUM(H32:H32)</f>
        <v>0</v>
      </c>
      <c r="J33" s="536"/>
    </row>
    <row r="34" spans="3:11" ht="25.8" customHeight="1">
      <c r="C34" s="213" t="s">
        <v>1215</v>
      </c>
      <c r="D34" s="212" t="s">
        <v>1216</v>
      </c>
      <c r="E34" s="534"/>
      <c r="F34" s="534"/>
      <c r="G34" s="534"/>
      <c r="H34" s="534"/>
      <c r="J34" s="536"/>
    </row>
    <row r="35" spans="3:11" ht="25.8" customHeight="1">
      <c r="C35" s="702" t="s">
        <v>1217</v>
      </c>
      <c r="D35" s="208"/>
      <c r="E35" s="208"/>
      <c r="F35" s="208"/>
      <c r="G35" s="209"/>
      <c r="H35" s="821">
        <v>0</v>
      </c>
      <c r="J35" s="536"/>
    </row>
    <row r="36" spans="3:11" ht="25.8" customHeight="1">
      <c r="C36" s="566" t="s">
        <v>1218</v>
      </c>
      <c r="D36" s="552" t="s">
        <v>1219</v>
      </c>
      <c r="E36" s="553"/>
      <c r="F36" s="553"/>
      <c r="G36" s="554"/>
      <c r="H36" s="539">
        <f>H35+H33+H30</f>
        <v>8560</v>
      </c>
      <c r="J36" s="536"/>
    </row>
    <row r="37" spans="3:11" ht="25.8" customHeight="1">
      <c r="C37" s="566" t="s">
        <v>1220</v>
      </c>
      <c r="D37" s="552" t="s">
        <v>1321</v>
      </c>
      <c r="E37" s="553"/>
      <c r="F37" s="554"/>
      <c r="G37" s="555">
        <f>$M$9</f>
        <v>0.1</v>
      </c>
      <c r="H37" s="539">
        <f>H36*G37</f>
        <v>856</v>
      </c>
      <c r="J37" s="536"/>
    </row>
    <row r="38" spans="3:11" ht="25.8" customHeight="1">
      <c r="C38" s="566" t="s">
        <v>1221</v>
      </c>
      <c r="D38" s="552" t="s">
        <v>1222</v>
      </c>
      <c r="E38" s="553"/>
      <c r="F38" s="553"/>
      <c r="G38" s="554"/>
      <c r="H38" s="822">
        <f>SUM(H36:H37)</f>
        <v>9416</v>
      </c>
      <c r="J38" s="536"/>
    </row>
    <row r="39" spans="3:11" ht="25.8" customHeight="1">
      <c r="C39" s="562"/>
      <c r="D39" s="562"/>
      <c r="E39" s="562"/>
      <c r="F39" s="562"/>
      <c r="G39" s="562"/>
      <c r="H39" s="823"/>
      <c r="J39" s="536"/>
    </row>
    <row r="40" spans="3:11" ht="25.8" customHeight="1">
      <c r="C40" s="513" t="s">
        <v>3223</v>
      </c>
      <c r="D40" s="817" t="s">
        <v>1630</v>
      </c>
      <c r="E40" s="803"/>
      <c r="F40" s="803"/>
      <c r="G40" s="803"/>
      <c r="H40" s="803"/>
      <c r="I40" s="533">
        <f>ROUNDDOWN(H55,-2)</f>
        <v>9400</v>
      </c>
      <c r="J40" s="536"/>
      <c r="K40" s="824"/>
    </row>
    <row r="41" spans="3:11" ht="25.8" customHeight="1">
      <c r="C41" s="716" t="s">
        <v>1195</v>
      </c>
      <c r="D41" s="716" t="s">
        <v>1196</v>
      </c>
      <c r="E41" s="716" t="s">
        <v>1197</v>
      </c>
      <c r="F41" s="716" t="s">
        <v>1198</v>
      </c>
      <c r="G41" s="716" t="s">
        <v>1199</v>
      </c>
      <c r="H41" s="716" t="s">
        <v>1200</v>
      </c>
      <c r="J41" s="536"/>
      <c r="K41" s="824"/>
    </row>
    <row r="42" spans="3:11" ht="25.8" customHeight="1">
      <c r="C42" s="213" t="s">
        <v>1201</v>
      </c>
      <c r="D42" s="212" t="s">
        <v>1202</v>
      </c>
      <c r="E42" s="534"/>
      <c r="F42" s="534"/>
      <c r="G42" s="534"/>
      <c r="H42" s="534"/>
      <c r="J42" s="536"/>
      <c r="K42" s="824"/>
    </row>
    <row r="43" spans="3:11" ht="25.8" customHeight="1">
      <c r="C43" s="818">
        <v>1</v>
      </c>
      <c r="D43" s="212" t="s">
        <v>5</v>
      </c>
      <c r="E43" s="213" t="s">
        <v>6</v>
      </c>
      <c r="F43" s="538">
        <v>2.4E-2</v>
      </c>
      <c r="G43" s="539">
        <f>VLOOKUP(D43,upahbahan,3,FALSE)</f>
        <v>100000</v>
      </c>
      <c r="H43" s="539">
        <f>F43*G43</f>
        <v>2400</v>
      </c>
      <c r="J43" s="536"/>
      <c r="K43" s="824"/>
    </row>
    <row r="44" spans="3:11" ht="25.8" customHeight="1">
      <c r="C44" s="818">
        <v>2</v>
      </c>
      <c r="D44" s="212" t="str">
        <f>D27</f>
        <v>Tukang listrik</v>
      </c>
      <c r="E44" s="213" t="s">
        <v>6</v>
      </c>
      <c r="F44" s="538">
        <v>0.04</v>
      </c>
      <c r="G44" s="539">
        <f>VLOOKUP(D44,upahbahan,3,FALSE)</f>
        <v>135000</v>
      </c>
      <c r="H44" s="539">
        <f t="shared" ref="H44:H46" si="3">F44*G44</f>
        <v>5400</v>
      </c>
      <c r="J44" s="536"/>
      <c r="K44" s="824"/>
    </row>
    <row r="45" spans="3:11" ht="25.8" customHeight="1">
      <c r="C45" s="818">
        <v>3</v>
      </c>
      <c r="D45" s="212" t="s">
        <v>18</v>
      </c>
      <c r="E45" s="213" t="s">
        <v>6</v>
      </c>
      <c r="F45" s="538">
        <v>4.0000000000000001E-3</v>
      </c>
      <c r="G45" s="539">
        <f>VLOOKUP(D45,upahbahan,3,FALSE)</f>
        <v>150000</v>
      </c>
      <c r="H45" s="539">
        <f t="shared" si="3"/>
        <v>600</v>
      </c>
      <c r="J45" s="536"/>
      <c r="K45" s="824"/>
    </row>
    <row r="46" spans="3:11" ht="25.8" customHeight="1">
      <c r="C46" s="818">
        <v>4</v>
      </c>
      <c r="D46" s="212" t="s">
        <v>19</v>
      </c>
      <c r="E46" s="213" t="s">
        <v>6</v>
      </c>
      <c r="F46" s="538">
        <v>1E-3</v>
      </c>
      <c r="G46" s="539">
        <f>VLOOKUP(D46,upahbahan,3,FALSE)</f>
        <v>160000</v>
      </c>
      <c r="H46" s="539">
        <f t="shared" si="3"/>
        <v>160</v>
      </c>
      <c r="J46" s="536"/>
      <c r="K46" s="824"/>
    </row>
    <row r="47" spans="3:11" ht="25.8" customHeight="1">
      <c r="C47" s="702" t="s">
        <v>1208</v>
      </c>
      <c r="D47" s="208"/>
      <c r="E47" s="208"/>
      <c r="F47" s="521"/>
      <c r="G47" s="522"/>
      <c r="H47" s="539">
        <f>SUM(H43:H46)</f>
        <v>8560</v>
      </c>
      <c r="I47" s="819"/>
      <c r="J47" s="536"/>
      <c r="K47" s="824"/>
    </row>
    <row r="48" spans="3:11" ht="25.8" customHeight="1">
      <c r="C48" s="213" t="s">
        <v>1209</v>
      </c>
      <c r="D48" s="212" t="s">
        <v>1210</v>
      </c>
      <c r="E48" s="234"/>
      <c r="F48" s="534"/>
      <c r="G48" s="534"/>
      <c r="H48" s="534"/>
      <c r="J48" s="536"/>
      <c r="K48" s="824"/>
    </row>
    <row r="49" spans="3:11" ht="25.8" customHeight="1">
      <c r="C49" s="818">
        <v>1</v>
      </c>
      <c r="D49" s="820" t="s">
        <v>903</v>
      </c>
      <c r="E49" s="807" t="s">
        <v>113</v>
      </c>
      <c r="F49" s="538">
        <v>1.1499999999999999</v>
      </c>
      <c r="G49" s="539">
        <f>VLOOKUP(D49,upahbahan,3,FALSE)</f>
        <v>0</v>
      </c>
      <c r="H49" s="539">
        <f>F49*G49</f>
        <v>0</v>
      </c>
      <c r="J49" s="536"/>
      <c r="K49" s="824"/>
    </row>
    <row r="50" spans="3:11" ht="25.8" customHeight="1">
      <c r="C50" s="702" t="s">
        <v>1214</v>
      </c>
      <c r="D50" s="208"/>
      <c r="E50" s="208"/>
      <c r="F50" s="208"/>
      <c r="G50" s="209"/>
      <c r="H50" s="539">
        <f>SUM(H49:H49)</f>
        <v>0</v>
      </c>
      <c r="J50" s="536"/>
      <c r="K50" s="824"/>
    </row>
    <row r="51" spans="3:11" ht="25.8" customHeight="1">
      <c r="C51" s="213" t="s">
        <v>1215</v>
      </c>
      <c r="D51" s="212" t="s">
        <v>1216</v>
      </c>
      <c r="E51" s="534"/>
      <c r="F51" s="534"/>
      <c r="G51" s="534"/>
      <c r="H51" s="534"/>
      <c r="J51" s="536"/>
      <c r="K51" s="824"/>
    </row>
    <row r="52" spans="3:11" ht="25.8" customHeight="1">
      <c r="C52" s="702" t="s">
        <v>1217</v>
      </c>
      <c r="D52" s="208"/>
      <c r="E52" s="208"/>
      <c r="F52" s="208"/>
      <c r="G52" s="209"/>
      <c r="H52" s="821">
        <v>0</v>
      </c>
      <c r="J52" s="536"/>
      <c r="K52" s="824"/>
    </row>
    <row r="53" spans="3:11" ht="25.8" customHeight="1">
      <c r="C53" s="566" t="s">
        <v>1218</v>
      </c>
      <c r="D53" s="552" t="s">
        <v>1219</v>
      </c>
      <c r="E53" s="553"/>
      <c r="F53" s="553"/>
      <c r="G53" s="554"/>
      <c r="H53" s="539">
        <f>H52+H50+H47</f>
        <v>8560</v>
      </c>
      <c r="J53" s="536"/>
      <c r="K53" s="824"/>
    </row>
    <row r="54" spans="3:11" ht="25.8" customHeight="1">
      <c r="C54" s="566" t="s">
        <v>1220</v>
      </c>
      <c r="D54" s="552" t="s">
        <v>1321</v>
      </c>
      <c r="E54" s="553"/>
      <c r="F54" s="554"/>
      <c r="G54" s="555">
        <f>$M$9</f>
        <v>0.1</v>
      </c>
      <c r="H54" s="539">
        <f>H53*G54</f>
        <v>856</v>
      </c>
      <c r="J54" s="536"/>
      <c r="K54" s="824"/>
    </row>
    <row r="55" spans="3:11" ht="25.8" customHeight="1">
      <c r="C55" s="566" t="s">
        <v>1221</v>
      </c>
      <c r="D55" s="552" t="s">
        <v>1222</v>
      </c>
      <c r="E55" s="553"/>
      <c r="F55" s="553"/>
      <c r="G55" s="554"/>
      <c r="H55" s="822">
        <f>SUM(H53:H54)</f>
        <v>9416</v>
      </c>
      <c r="J55" s="536"/>
      <c r="K55" s="824"/>
    </row>
    <row r="56" spans="3:11" ht="25.8" customHeight="1">
      <c r="J56" s="536"/>
      <c r="K56" s="824"/>
    </row>
    <row r="57" spans="3:11" ht="25.8" customHeight="1">
      <c r="C57" s="513" t="s">
        <v>3224</v>
      </c>
      <c r="D57" s="817" t="s">
        <v>1631</v>
      </c>
      <c r="E57" s="803"/>
      <c r="F57" s="803"/>
      <c r="G57" s="803"/>
      <c r="H57" s="803"/>
      <c r="I57" s="533">
        <f>ROUNDDOWN(H72,-2)</f>
        <v>9400</v>
      </c>
      <c r="J57" s="536"/>
      <c r="K57" s="824"/>
    </row>
    <row r="58" spans="3:11" ht="25.8" customHeight="1">
      <c r="C58" s="716" t="s">
        <v>1195</v>
      </c>
      <c r="D58" s="716" t="s">
        <v>1196</v>
      </c>
      <c r="E58" s="716" t="s">
        <v>1197</v>
      </c>
      <c r="F58" s="716" t="s">
        <v>1198</v>
      </c>
      <c r="G58" s="716" t="s">
        <v>1199</v>
      </c>
      <c r="H58" s="716" t="s">
        <v>1200</v>
      </c>
      <c r="J58" s="536"/>
      <c r="K58" s="824"/>
    </row>
    <row r="59" spans="3:11" ht="25.8" customHeight="1">
      <c r="C59" s="212" t="s">
        <v>1201</v>
      </c>
      <c r="D59" s="212" t="s">
        <v>1202</v>
      </c>
      <c r="E59" s="534"/>
      <c r="F59" s="534"/>
      <c r="G59" s="534"/>
      <c r="H59" s="534"/>
      <c r="J59" s="536"/>
      <c r="K59" s="824"/>
    </row>
    <row r="60" spans="3:11" ht="25.8" customHeight="1">
      <c r="C60" s="825">
        <v>1</v>
      </c>
      <c r="D60" s="212" t="s">
        <v>5</v>
      </c>
      <c r="E60" s="213" t="s">
        <v>6</v>
      </c>
      <c r="F60" s="538">
        <v>2.4E-2</v>
      </c>
      <c r="G60" s="539">
        <f>VLOOKUP(D60,upahbahan,3,FALSE)</f>
        <v>100000</v>
      </c>
      <c r="H60" s="539">
        <f t="shared" ref="H60:H63" si="4">F60*G60</f>
        <v>2400</v>
      </c>
      <c r="J60" s="536"/>
      <c r="K60" s="824"/>
    </row>
    <row r="61" spans="3:11" ht="25.8" customHeight="1">
      <c r="C61" s="825">
        <v>2</v>
      </c>
      <c r="D61" s="212" t="str">
        <f>D44</f>
        <v>Tukang listrik</v>
      </c>
      <c r="E61" s="213" t="s">
        <v>6</v>
      </c>
      <c r="F61" s="538">
        <v>0.04</v>
      </c>
      <c r="G61" s="539">
        <f>VLOOKUP(D61,upahbahan,3,FALSE)</f>
        <v>135000</v>
      </c>
      <c r="H61" s="539">
        <f t="shared" si="4"/>
        <v>5400</v>
      </c>
      <c r="J61" s="536"/>
      <c r="K61" s="824"/>
    </row>
    <row r="62" spans="3:11" ht="25.8" customHeight="1">
      <c r="C62" s="825">
        <v>3</v>
      </c>
      <c r="D62" s="212" t="s">
        <v>18</v>
      </c>
      <c r="E62" s="213" t="s">
        <v>6</v>
      </c>
      <c r="F62" s="538">
        <v>4.0000000000000001E-3</v>
      </c>
      <c r="G62" s="539">
        <f>VLOOKUP(D62,upahbahan,3,FALSE)</f>
        <v>150000</v>
      </c>
      <c r="H62" s="539">
        <f t="shared" si="4"/>
        <v>600</v>
      </c>
      <c r="J62" s="536"/>
      <c r="K62" s="824"/>
    </row>
    <row r="63" spans="3:11" ht="25.8" customHeight="1">
      <c r="C63" s="825">
        <v>4</v>
      </c>
      <c r="D63" s="212" t="s">
        <v>19</v>
      </c>
      <c r="E63" s="213" t="s">
        <v>6</v>
      </c>
      <c r="F63" s="538">
        <v>1E-3</v>
      </c>
      <c r="G63" s="539">
        <f>VLOOKUP(D63,upahbahan,3,FALSE)</f>
        <v>160000</v>
      </c>
      <c r="H63" s="539">
        <f t="shared" si="4"/>
        <v>160</v>
      </c>
      <c r="J63" s="536"/>
      <c r="K63" s="824"/>
    </row>
    <row r="64" spans="3:11" ht="25.8" customHeight="1">
      <c r="C64" s="702" t="s">
        <v>1208</v>
      </c>
      <c r="D64" s="208"/>
      <c r="E64" s="208"/>
      <c r="F64" s="521"/>
      <c r="G64" s="522"/>
      <c r="H64" s="539">
        <f>SUM(H60:H63)</f>
        <v>8560</v>
      </c>
      <c r="I64" s="819"/>
      <c r="J64" s="536"/>
      <c r="K64" s="824"/>
    </row>
    <row r="65" spans="3:11" ht="25.8" customHeight="1">
      <c r="C65" s="213" t="s">
        <v>1209</v>
      </c>
      <c r="D65" s="212" t="s">
        <v>1210</v>
      </c>
      <c r="E65" s="534"/>
      <c r="F65" s="534"/>
      <c r="G65" s="534"/>
      <c r="H65" s="534"/>
      <c r="J65" s="536"/>
      <c r="K65" s="824"/>
    </row>
    <row r="66" spans="3:11" ht="25.8" customHeight="1">
      <c r="C66" s="818">
        <v>1</v>
      </c>
      <c r="D66" s="820" t="s">
        <v>906</v>
      </c>
      <c r="E66" s="213" t="s">
        <v>113</v>
      </c>
      <c r="F66" s="538">
        <v>1.1499999999999999</v>
      </c>
      <c r="G66" s="539">
        <f>VLOOKUP(D66,upahbahan,3,FALSE)</f>
        <v>0</v>
      </c>
      <c r="H66" s="539">
        <f t="shared" ref="H66" si="5">F66*G66</f>
        <v>0</v>
      </c>
      <c r="J66" s="536"/>
      <c r="K66" s="824"/>
    </row>
    <row r="67" spans="3:11" ht="25.8" customHeight="1">
      <c r="C67" s="702" t="s">
        <v>1214</v>
      </c>
      <c r="D67" s="208"/>
      <c r="E67" s="208"/>
      <c r="F67" s="208"/>
      <c r="G67" s="209"/>
      <c r="H67" s="539">
        <f>SUM(H66:H66)</f>
        <v>0</v>
      </c>
      <c r="J67" s="536"/>
      <c r="K67" s="824"/>
    </row>
    <row r="68" spans="3:11" ht="25.8" customHeight="1">
      <c r="C68" s="213" t="s">
        <v>1215</v>
      </c>
      <c r="D68" s="212" t="s">
        <v>1216</v>
      </c>
      <c r="E68" s="534"/>
      <c r="F68" s="534"/>
      <c r="G68" s="534"/>
      <c r="H68" s="534"/>
      <c r="J68" s="536"/>
      <c r="K68" s="824"/>
    </row>
    <row r="69" spans="3:11" ht="25.8" customHeight="1">
      <c r="C69" s="702" t="s">
        <v>1217</v>
      </c>
      <c r="D69" s="208"/>
      <c r="E69" s="208"/>
      <c r="F69" s="208"/>
      <c r="G69" s="209"/>
      <c r="H69" s="821">
        <v>0</v>
      </c>
      <c r="J69" s="536"/>
      <c r="K69" s="824"/>
    </row>
    <row r="70" spans="3:11" ht="25.8" customHeight="1">
      <c r="C70" s="566" t="s">
        <v>1218</v>
      </c>
      <c r="D70" s="552" t="s">
        <v>1219</v>
      </c>
      <c r="E70" s="553"/>
      <c r="F70" s="553"/>
      <c r="G70" s="554"/>
      <c r="H70" s="826">
        <f>H69+H67+H64</f>
        <v>8560</v>
      </c>
      <c r="I70" s="827"/>
      <c r="J70" s="536"/>
      <c r="K70" s="824"/>
    </row>
    <row r="71" spans="3:11" ht="25.8" customHeight="1">
      <c r="C71" s="566" t="s">
        <v>1220</v>
      </c>
      <c r="D71" s="552" t="s">
        <v>1321</v>
      </c>
      <c r="E71" s="553"/>
      <c r="F71" s="554"/>
      <c r="G71" s="555">
        <f>$M$9</f>
        <v>0.1</v>
      </c>
      <c r="H71" s="539">
        <f>H70*G71</f>
        <v>856</v>
      </c>
      <c r="I71" s="827"/>
      <c r="J71" s="536"/>
      <c r="K71" s="824"/>
    </row>
    <row r="72" spans="3:11" ht="25.8" customHeight="1">
      <c r="C72" s="566" t="s">
        <v>1221</v>
      </c>
      <c r="D72" s="552" t="s">
        <v>1222</v>
      </c>
      <c r="E72" s="553"/>
      <c r="F72" s="553"/>
      <c r="G72" s="554"/>
      <c r="H72" s="828">
        <f>SUM(H70:H71)</f>
        <v>9416</v>
      </c>
      <c r="I72" s="827"/>
      <c r="J72" s="536"/>
      <c r="K72" s="824"/>
    </row>
    <row r="73" spans="3:11" ht="25.8" customHeight="1">
      <c r="C73" s="562"/>
      <c r="D73" s="562"/>
      <c r="E73" s="562"/>
      <c r="F73" s="562"/>
      <c r="G73" s="562"/>
      <c r="H73" s="823"/>
      <c r="J73" s="536"/>
      <c r="K73" s="824"/>
    </row>
    <row r="74" spans="3:11" ht="25.8" customHeight="1">
      <c r="C74" s="513" t="s">
        <v>5303</v>
      </c>
      <c r="D74" s="817" t="s">
        <v>1632</v>
      </c>
      <c r="E74" s="803"/>
      <c r="F74" s="803"/>
      <c r="G74" s="803"/>
      <c r="H74" s="803"/>
      <c r="I74" s="533">
        <f>ROUNDDOWN(H89,-2)</f>
        <v>11400</v>
      </c>
      <c r="J74" s="536"/>
      <c r="K74" s="824"/>
    </row>
    <row r="75" spans="3:11" ht="25.8" customHeight="1">
      <c r="C75" s="716" t="s">
        <v>1195</v>
      </c>
      <c r="D75" s="716" t="s">
        <v>1196</v>
      </c>
      <c r="E75" s="716" t="s">
        <v>1197</v>
      </c>
      <c r="F75" s="716" t="s">
        <v>1198</v>
      </c>
      <c r="G75" s="716" t="s">
        <v>1199</v>
      </c>
      <c r="H75" s="716" t="s">
        <v>1200</v>
      </c>
      <c r="J75" s="536"/>
      <c r="K75" s="824"/>
    </row>
    <row r="76" spans="3:11" ht="25.8" customHeight="1">
      <c r="C76" s="212" t="s">
        <v>1201</v>
      </c>
      <c r="D76" s="212" t="s">
        <v>1202</v>
      </c>
      <c r="E76" s="534"/>
      <c r="F76" s="534"/>
      <c r="G76" s="534"/>
      <c r="H76" s="534"/>
      <c r="J76" s="536"/>
      <c r="K76" s="824"/>
    </row>
    <row r="77" spans="3:11" ht="25.8" customHeight="1">
      <c r="C77" s="825">
        <v>1</v>
      </c>
      <c r="D77" s="212" t="s">
        <v>5</v>
      </c>
      <c r="E77" s="213" t="s">
        <v>6</v>
      </c>
      <c r="F77" s="829">
        <v>2.9000000000000001E-2</v>
      </c>
      <c r="G77" s="539">
        <f>VLOOKUP(D77,upahbahan,3,FALSE)</f>
        <v>100000</v>
      </c>
      <c r="H77" s="539">
        <f t="shared" ref="H77:H80" si="6">F77*G77</f>
        <v>2900</v>
      </c>
      <c r="J77" s="536"/>
      <c r="K77" s="824"/>
    </row>
    <row r="78" spans="3:11" ht="25.8" customHeight="1">
      <c r="C78" s="825">
        <v>2</v>
      </c>
      <c r="D78" s="212" t="str">
        <f>D61</f>
        <v>Tukang listrik</v>
      </c>
      <c r="E78" s="213" t="s">
        <v>6</v>
      </c>
      <c r="F78" s="829">
        <v>4.8000000000000001E-2</v>
      </c>
      <c r="G78" s="539">
        <f>VLOOKUP(D78,upahbahan,3,FALSE)</f>
        <v>135000</v>
      </c>
      <c r="H78" s="539">
        <f t="shared" si="6"/>
        <v>6480</v>
      </c>
      <c r="J78" s="536"/>
      <c r="K78" s="824"/>
    </row>
    <row r="79" spans="3:11" ht="25.8" customHeight="1">
      <c r="C79" s="825">
        <v>3</v>
      </c>
      <c r="D79" s="212" t="s">
        <v>18</v>
      </c>
      <c r="E79" s="213" t="s">
        <v>6</v>
      </c>
      <c r="F79" s="829">
        <v>5.0000000000000001E-3</v>
      </c>
      <c r="G79" s="539">
        <f>VLOOKUP(D79,upahbahan,3,FALSE)</f>
        <v>150000</v>
      </c>
      <c r="H79" s="539">
        <f t="shared" si="6"/>
        <v>750</v>
      </c>
      <c r="J79" s="536"/>
      <c r="K79" s="824"/>
    </row>
    <row r="80" spans="3:11" ht="25.8" customHeight="1">
      <c r="C80" s="825">
        <v>4</v>
      </c>
      <c r="D80" s="212" t="s">
        <v>19</v>
      </c>
      <c r="E80" s="213" t="s">
        <v>6</v>
      </c>
      <c r="F80" s="829">
        <v>2E-3</v>
      </c>
      <c r="G80" s="539">
        <f>VLOOKUP(D80,upahbahan,3,FALSE)</f>
        <v>160000</v>
      </c>
      <c r="H80" s="539">
        <f t="shared" si="6"/>
        <v>320</v>
      </c>
      <c r="J80" s="536"/>
      <c r="K80" s="824"/>
    </row>
    <row r="81" spans="3:11" ht="25.8" customHeight="1">
      <c r="C81" s="702" t="s">
        <v>1208</v>
      </c>
      <c r="D81" s="208"/>
      <c r="E81" s="208"/>
      <c r="F81" s="521"/>
      <c r="G81" s="522"/>
      <c r="H81" s="539">
        <f>SUM(H77:H80)</f>
        <v>10450</v>
      </c>
      <c r="I81" s="819"/>
      <c r="J81" s="536"/>
      <c r="K81" s="824"/>
    </row>
    <row r="82" spans="3:11" ht="25.8" customHeight="1">
      <c r="C82" s="213" t="s">
        <v>1209</v>
      </c>
      <c r="D82" s="212" t="s">
        <v>1210</v>
      </c>
      <c r="E82" s="534"/>
      <c r="F82" s="534"/>
      <c r="G82" s="534"/>
      <c r="H82" s="534"/>
      <c r="J82" s="536"/>
      <c r="K82" s="824"/>
    </row>
    <row r="83" spans="3:11" ht="25.8" customHeight="1">
      <c r="C83" s="818">
        <v>1</v>
      </c>
      <c r="D83" s="820" t="s">
        <v>908</v>
      </c>
      <c r="E83" s="213" t="s">
        <v>113</v>
      </c>
      <c r="F83" s="538">
        <v>1.1499999999999999</v>
      </c>
      <c r="G83" s="539">
        <f>VLOOKUP(D83,upahbahan,3,FALSE)</f>
        <v>0</v>
      </c>
      <c r="H83" s="539">
        <f t="shared" ref="H83" si="7">F83*G83</f>
        <v>0</v>
      </c>
      <c r="J83" s="536"/>
      <c r="K83" s="824"/>
    </row>
    <row r="84" spans="3:11" ht="25.8" customHeight="1">
      <c r="C84" s="702" t="s">
        <v>1214</v>
      </c>
      <c r="D84" s="208"/>
      <c r="E84" s="208"/>
      <c r="F84" s="208"/>
      <c r="G84" s="209"/>
      <c r="H84" s="539">
        <f>SUM(H83:H83)</f>
        <v>0</v>
      </c>
      <c r="J84" s="536"/>
      <c r="K84" s="824"/>
    </row>
    <row r="85" spans="3:11" ht="25.8" customHeight="1">
      <c r="C85" s="213" t="s">
        <v>1215</v>
      </c>
      <c r="D85" s="212" t="s">
        <v>1216</v>
      </c>
      <c r="E85" s="534"/>
      <c r="F85" s="534"/>
      <c r="G85" s="534"/>
      <c r="H85" s="534"/>
      <c r="J85" s="536"/>
      <c r="K85" s="824"/>
    </row>
    <row r="86" spans="3:11" ht="25.8" customHeight="1">
      <c r="C86" s="702" t="s">
        <v>1217</v>
      </c>
      <c r="D86" s="208"/>
      <c r="E86" s="208"/>
      <c r="F86" s="208"/>
      <c r="G86" s="209"/>
      <c r="H86" s="821">
        <v>0</v>
      </c>
      <c r="J86" s="536"/>
      <c r="K86" s="824"/>
    </row>
    <row r="87" spans="3:11" ht="25.8" customHeight="1">
      <c r="C87" s="566" t="s">
        <v>1218</v>
      </c>
      <c r="D87" s="552" t="s">
        <v>1219</v>
      </c>
      <c r="E87" s="553"/>
      <c r="F87" s="553"/>
      <c r="G87" s="554"/>
      <c r="H87" s="826">
        <f>H86+H84+H81</f>
        <v>10450</v>
      </c>
      <c r="I87" s="827"/>
      <c r="J87" s="536"/>
      <c r="K87" s="824"/>
    </row>
    <row r="88" spans="3:11" ht="25.8" customHeight="1">
      <c r="C88" s="566" t="s">
        <v>1220</v>
      </c>
      <c r="D88" s="552" t="s">
        <v>1321</v>
      </c>
      <c r="E88" s="553"/>
      <c r="F88" s="554"/>
      <c r="G88" s="555">
        <f>$M$9</f>
        <v>0.1</v>
      </c>
      <c r="H88" s="539">
        <f>H87*G88</f>
        <v>1045</v>
      </c>
      <c r="I88" s="827"/>
      <c r="J88" s="536"/>
      <c r="K88" s="824"/>
    </row>
    <row r="89" spans="3:11" ht="25.8" customHeight="1">
      <c r="C89" s="566" t="s">
        <v>1221</v>
      </c>
      <c r="D89" s="552" t="s">
        <v>1222</v>
      </c>
      <c r="E89" s="553"/>
      <c r="F89" s="553"/>
      <c r="G89" s="554"/>
      <c r="H89" s="828">
        <f>SUM(H87:H88)</f>
        <v>11495</v>
      </c>
      <c r="I89" s="827"/>
      <c r="J89" s="536"/>
      <c r="K89" s="824"/>
    </row>
    <row r="90" spans="3:11" ht="25.8" customHeight="1">
      <c r="C90" s="572"/>
      <c r="D90" s="575"/>
      <c r="E90" s="575"/>
      <c r="F90" s="575"/>
      <c r="G90" s="575"/>
      <c r="H90" s="830"/>
      <c r="J90" s="536"/>
      <c r="K90" s="824"/>
    </row>
    <row r="91" spans="3:11" ht="25.8" customHeight="1">
      <c r="C91" s="517" t="s">
        <v>3226</v>
      </c>
      <c r="D91" s="817" t="s">
        <v>1633</v>
      </c>
      <c r="E91" s="803"/>
      <c r="F91" s="803"/>
      <c r="G91" s="803"/>
      <c r="H91" s="803"/>
      <c r="I91" s="533">
        <f>ROUNDDOWN(H106,-2)</f>
        <v>14200</v>
      </c>
      <c r="J91" s="536"/>
      <c r="K91" s="824"/>
    </row>
    <row r="92" spans="3:11" ht="25.8" customHeight="1">
      <c r="C92" s="716" t="s">
        <v>1195</v>
      </c>
      <c r="D92" s="716" t="s">
        <v>1196</v>
      </c>
      <c r="E92" s="716" t="s">
        <v>1197</v>
      </c>
      <c r="F92" s="716" t="s">
        <v>1198</v>
      </c>
      <c r="G92" s="716" t="s">
        <v>1199</v>
      </c>
      <c r="H92" s="716" t="s">
        <v>1200</v>
      </c>
      <c r="J92" s="536"/>
      <c r="K92" s="824"/>
    </row>
    <row r="93" spans="3:11" ht="25.8" customHeight="1">
      <c r="C93" s="212" t="s">
        <v>1201</v>
      </c>
      <c r="D93" s="212" t="s">
        <v>1202</v>
      </c>
      <c r="E93" s="234"/>
      <c r="F93" s="534"/>
      <c r="G93" s="534"/>
      <c r="H93" s="534"/>
      <c r="J93" s="536"/>
      <c r="K93" s="824"/>
    </row>
    <row r="94" spans="3:11" ht="25.8" customHeight="1">
      <c r="C94" s="825">
        <v>1</v>
      </c>
      <c r="D94" s="212" t="s">
        <v>5</v>
      </c>
      <c r="E94" s="213" t="s">
        <v>6</v>
      </c>
      <c r="F94" s="538">
        <v>3.5999999999999997E-2</v>
      </c>
      <c r="G94" s="539">
        <f>VLOOKUP(D94,upahbahan,3,FALSE)</f>
        <v>100000</v>
      </c>
      <c r="H94" s="539">
        <f t="shared" ref="H94:H97" si="8">F94*G94</f>
        <v>3599.9999999999995</v>
      </c>
      <c r="J94" s="536"/>
      <c r="K94" s="824"/>
    </row>
    <row r="95" spans="3:11" ht="25.8" customHeight="1">
      <c r="C95" s="825">
        <v>2</v>
      </c>
      <c r="D95" s="212" t="str">
        <f>D78</f>
        <v>Tukang listrik</v>
      </c>
      <c r="E95" s="213" t="s">
        <v>6</v>
      </c>
      <c r="F95" s="538">
        <v>0.06</v>
      </c>
      <c r="G95" s="539">
        <f>VLOOKUP(D95,upahbahan,3,FALSE)</f>
        <v>135000</v>
      </c>
      <c r="H95" s="539">
        <f t="shared" si="8"/>
        <v>8100</v>
      </c>
      <c r="J95" s="536"/>
      <c r="K95" s="824"/>
    </row>
    <row r="96" spans="3:11" ht="25.8" customHeight="1">
      <c r="C96" s="825">
        <v>3</v>
      </c>
      <c r="D96" s="212" t="s">
        <v>18</v>
      </c>
      <c r="E96" s="213" t="s">
        <v>6</v>
      </c>
      <c r="F96" s="538">
        <v>6.0000000000000001E-3</v>
      </c>
      <c r="G96" s="539">
        <f>VLOOKUP(D96,upahbahan,3,FALSE)</f>
        <v>150000</v>
      </c>
      <c r="H96" s="539">
        <f t="shared" si="8"/>
        <v>900</v>
      </c>
      <c r="J96" s="536"/>
      <c r="K96" s="824"/>
    </row>
    <row r="97" spans="3:11" ht="25.8" customHeight="1">
      <c r="C97" s="825">
        <v>4</v>
      </c>
      <c r="D97" s="212" t="s">
        <v>19</v>
      </c>
      <c r="E97" s="213" t="s">
        <v>6</v>
      </c>
      <c r="F97" s="538">
        <v>2E-3</v>
      </c>
      <c r="G97" s="539">
        <f>VLOOKUP(D97,upahbahan,3,FALSE)</f>
        <v>160000</v>
      </c>
      <c r="H97" s="539">
        <f t="shared" si="8"/>
        <v>320</v>
      </c>
      <c r="J97" s="536"/>
      <c r="K97" s="824"/>
    </row>
    <row r="98" spans="3:11" ht="25.8" customHeight="1">
      <c r="C98" s="702" t="s">
        <v>1208</v>
      </c>
      <c r="D98" s="208"/>
      <c r="E98" s="208"/>
      <c r="F98" s="521"/>
      <c r="G98" s="522"/>
      <c r="H98" s="539">
        <f>SUM(H94:H97)</f>
        <v>12920</v>
      </c>
      <c r="I98" s="819"/>
      <c r="J98" s="536"/>
      <c r="K98" s="824"/>
    </row>
    <row r="99" spans="3:11" ht="25.8" customHeight="1">
      <c r="C99" s="213" t="s">
        <v>1209</v>
      </c>
      <c r="D99" s="212" t="s">
        <v>1210</v>
      </c>
      <c r="E99" s="534"/>
      <c r="F99" s="534"/>
      <c r="G99" s="534"/>
      <c r="H99" s="534"/>
      <c r="J99" s="536"/>
      <c r="K99" s="824"/>
    </row>
    <row r="100" spans="3:11" ht="25.8" customHeight="1">
      <c r="C100" s="818">
        <v>1</v>
      </c>
      <c r="D100" s="820" t="s">
        <v>911</v>
      </c>
      <c r="E100" s="213" t="s">
        <v>113</v>
      </c>
      <c r="F100" s="538">
        <f>F83</f>
        <v>1.1499999999999999</v>
      </c>
      <c r="G100" s="539">
        <f>VLOOKUP(D100,upahbahan,3,FALSE)</f>
        <v>0</v>
      </c>
      <c r="H100" s="539">
        <f t="shared" ref="H100" si="9">F100*G100</f>
        <v>0</v>
      </c>
      <c r="J100" s="536"/>
      <c r="K100" s="824"/>
    </row>
    <row r="101" spans="3:11" ht="25.8" customHeight="1">
      <c r="C101" s="702" t="s">
        <v>1214</v>
      </c>
      <c r="D101" s="208"/>
      <c r="E101" s="208"/>
      <c r="F101" s="208"/>
      <c r="G101" s="209"/>
      <c r="H101" s="539">
        <f>SUM(H100:H100)</f>
        <v>0</v>
      </c>
      <c r="J101" s="536"/>
      <c r="K101" s="824"/>
    </row>
    <row r="102" spans="3:11" ht="25.8" customHeight="1">
      <c r="C102" s="213" t="s">
        <v>1215</v>
      </c>
      <c r="D102" s="212" t="s">
        <v>1216</v>
      </c>
      <c r="E102" s="534"/>
      <c r="F102" s="534"/>
      <c r="G102" s="534"/>
      <c r="H102" s="534"/>
      <c r="J102" s="536"/>
      <c r="K102" s="824"/>
    </row>
    <row r="103" spans="3:11" ht="25.8" customHeight="1">
      <c r="C103" s="702" t="s">
        <v>1217</v>
      </c>
      <c r="D103" s="208"/>
      <c r="E103" s="208"/>
      <c r="F103" s="208"/>
      <c r="G103" s="209"/>
      <c r="H103" s="821">
        <v>0</v>
      </c>
      <c r="J103" s="536"/>
      <c r="K103" s="824"/>
    </row>
    <row r="104" spans="3:11" ht="25.8" customHeight="1">
      <c r="C104" s="566" t="s">
        <v>1218</v>
      </c>
      <c r="D104" s="552" t="s">
        <v>1219</v>
      </c>
      <c r="E104" s="553"/>
      <c r="F104" s="553"/>
      <c r="G104" s="554"/>
      <c r="H104" s="826">
        <f>H103+H101+H98</f>
        <v>12920</v>
      </c>
      <c r="I104" s="827"/>
      <c r="J104" s="536"/>
      <c r="K104" s="824"/>
    </row>
    <row r="105" spans="3:11" ht="25.8" customHeight="1">
      <c r="C105" s="566" t="s">
        <v>1220</v>
      </c>
      <c r="D105" s="552" t="s">
        <v>1321</v>
      </c>
      <c r="E105" s="553"/>
      <c r="F105" s="554"/>
      <c r="G105" s="555">
        <f>$M$9</f>
        <v>0.1</v>
      </c>
      <c r="H105" s="539">
        <f>H104*G105</f>
        <v>1292</v>
      </c>
      <c r="I105" s="827"/>
      <c r="J105" s="536"/>
      <c r="K105" s="824"/>
    </row>
    <row r="106" spans="3:11" ht="25.8" customHeight="1">
      <c r="C106" s="566" t="s">
        <v>1221</v>
      </c>
      <c r="D106" s="552" t="s">
        <v>1222</v>
      </c>
      <c r="E106" s="553"/>
      <c r="F106" s="553"/>
      <c r="G106" s="554"/>
      <c r="H106" s="828">
        <f>SUM(H104:H105)</f>
        <v>14212</v>
      </c>
      <c r="I106" s="827"/>
      <c r="J106" s="536"/>
      <c r="K106" s="824"/>
    </row>
    <row r="107" spans="3:11" ht="25.8" customHeight="1">
      <c r="C107" s="572"/>
      <c r="D107" s="575"/>
      <c r="E107" s="575"/>
      <c r="F107" s="575"/>
      <c r="G107" s="575"/>
      <c r="H107" s="830"/>
      <c r="J107" s="536"/>
      <c r="K107" s="824"/>
    </row>
    <row r="108" spans="3:11" ht="25.8" customHeight="1">
      <c r="C108" s="513" t="s">
        <v>3227</v>
      </c>
      <c r="D108" s="817" t="s">
        <v>1634</v>
      </c>
      <c r="E108" s="803"/>
      <c r="F108" s="803"/>
      <c r="G108" s="803"/>
      <c r="H108" s="803"/>
      <c r="I108" s="533">
        <f>ROUNDDOWN(H123,-2)</f>
        <v>14200</v>
      </c>
      <c r="J108" s="536"/>
      <c r="K108" s="824"/>
    </row>
    <row r="109" spans="3:11" ht="25.8" customHeight="1">
      <c r="C109" s="716" t="s">
        <v>1195</v>
      </c>
      <c r="D109" s="716" t="s">
        <v>1196</v>
      </c>
      <c r="E109" s="716" t="s">
        <v>1197</v>
      </c>
      <c r="F109" s="716" t="s">
        <v>1198</v>
      </c>
      <c r="G109" s="716" t="s">
        <v>1199</v>
      </c>
      <c r="H109" s="716" t="s">
        <v>1200</v>
      </c>
      <c r="J109" s="536"/>
      <c r="K109" s="824"/>
    </row>
    <row r="110" spans="3:11" ht="25.8" customHeight="1">
      <c r="C110" s="212" t="s">
        <v>1201</v>
      </c>
      <c r="D110" s="212" t="s">
        <v>1202</v>
      </c>
      <c r="E110" s="234"/>
      <c r="F110" s="534"/>
      <c r="G110" s="534"/>
      <c r="H110" s="534"/>
      <c r="J110" s="536"/>
      <c r="K110" s="824"/>
    </row>
    <row r="111" spans="3:11" ht="25.8" customHeight="1">
      <c r="C111" s="825">
        <v>1</v>
      </c>
      <c r="D111" s="212" t="s">
        <v>5</v>
      </c>
      <c r="E111" s="213" t="s">
        <v>6</v>
      </c>
      <c r="F111" s="538">
        <v>3.5999999999999997E-2</v>
      </c>
      <c r="G111" s="539">
        <f>VLOOKUP(D111,upahbahan,3,FALSE)</f>
        <v>100000</v>
      </c>
      <c r="H111" s="539">
        <f t="shared" ref="H111:H114" si="10">F111*G111</f>
        <v>3599.9999999999995</v>
      </c>
      <c r="J111" s="536"/>
      <c r="K111" s="824"/>
    </row>
    <row r="112" spans="3:11" ht="25.8" customHeight="1">
      <c r="C112" s="825">
        <v>2</v>
      </c>
      <c r="D112" s="212" t="str">
        <f>D95</f>
        <v>Tukang listrik</v>
      </c>
      <c r="E112" s="213" t="s">
        <v>6</v>
      </c>
      <c r="F112" s="538">
        <v>0.06</v>
      </c>
      <c r="G112" s="539">
        <f>VLOOKUP(D112,upahbahan,3,FALSE)</f>
        <v>135000</v>
      </c>
      <c r="H112" s="539">
        <f t="shared" si="10"/>
        <v>8100</v>
      </c>
      <c r="J112" s="536"/>
      <c r="K112" s="824"/>
    </row>
    <row r="113" spans="3:11" ht="25.8" customHeight="1">
      <c r="C113" s="825">
        <v>3</v>
      </c>
      <c r="D113" s="212" t="s">
        <v>18</v>
      </c>
      <c r="E113" s="213" t="s">
        <v>6</v>
      </c>
      <c r="F113" s="538">
        <v>6.0000000000000001E-3</v>
      </c>
      <c r="G113" s="539">
        <f>VLOOKUP(D113,upahbahan,3,FALSE)</f>
        <v>150000</v>
      </c>
      <c r="H113" s="539">
        <f t="shared" si="10"/>
        <v>900</v>
      </c>
      <c r="J113" s="536"/>
      <c r="K113" s="824"/>
    </row>
    <row r="114" spans="3:11" ht="25.8" customHeight="1">
      <c r="C114" s="825">
        <v>4</v>
      </c>
      <c r="D114" s="212" t="s">
        <v>19</v>
      </c>
      <c r="E114" s="213" t="s">
        <v>6</v>
      </c>
      <c r="F114" s="538">
        <v>2E-3</v>
      </c>
      <c r="G114" s="539">
        <f>VLOOKUP(D114,upahbahan,3,FALSE)</f>
        <v>160000</v>
      </c>
      <c r="H114" s="539">
        <f t="shared" si="10"/>
        <v>320</v>
      </c>
      <c r="J114" s="536"/>
      <c r="K114" s="824"/>
    </row>
    <row r="115" spans="3:11" ht="25.8" customHeight="1">
      <c r="C115" s="702" t="s">
        <v>1208</v>
      </c>
      <c r="D115" s="208"/>
      <c r="E115" s="208"/>
      <c r="F115" s="521"/>
      <c r="G115" s="522"/>
      <c r="H115" s="539">
        <f>SUM(H111:H114)</f>
        <v>12920</v>
      </c>
      <c r="I115" s="819"/>
      <c r="J115" s="536"/>
      <c r="K115" s="824"/>
    </row>
    <row r="116" spans="3:11" ht="25.8" customHeight="1">
      <c r="C116" s="213" t="s">
        <v>1209</v>
      </c>
      <c r="D116" s="212" t="s">
        <v>1210</v>
      </c>
      <c r="E116" s="534"/>
      <c r="F116" s="534"/>
      <c r="G116" s="534"/>
      <c r="H116" s="534"/>
      <c r="J116" s="536"/>
      <c r="K116" s="824"/>
    </row>
    <row r="117" spans="3:11" ht="25.8" customHeight="1">
      <c r="C117" s="818">
        <v>1</v>
      </c>
      <c r="D117" s="820" t="s">
        <v>914</v>
      </c>
      <c r="E117" s="213" t="s">
        <v>113</v>
      </c>
      <c r="F117" s="538">
        <f>F100</f>
        <v>1.1499999999999999</v>
      </c>
      <c r="G117" s="539">
        <f>VLOOKUP(D117,upahbahan,3,FALSE)</f>
        <v>0</v>
      </c>
      <c r="H117" s="539">
        <f t="shared" ref="H117" si="11">F117*G117</f>
        <v>0</v>
      </c>
      <c r="J117" s="536"/>
      <c r="K117" s="824"/>
    </row>
    <row r="118" spans="3:11" ht="25.8" customHeight="1">
      <c r="C118" s="702" t="s">
        <v>1214</v>
      </c>
      <c r="D118" s="208"/>
      <c r="E118" s="208"/>
      <c r="F118" s="208"/>
      <c r="G118" s="209"/>
      <c r="H118" s="539">
        <f>SUM(H117:H117)</f>
        <v>0</v>
      </c>
      <c r="J118" s="536"/>
      <c r="K118" s="824"/>
    </row>
    <row r="119" spans="3:11" ht="25.8" customHeight="1">
      <c r="C119" s="213" t="s">
        <v>1215</v>
      </c>
      <c r="D119" s="212" t="s">
        <v>1216</v>
      </c>
      <c r="E119" s="534"/>
      <c r="F119" s="534"/>
      <c r="G119" s="534"/>
      <c r="H119" s="534"/>
      <c r="J119" s="536"/>
      <c r="K119" s="824"/>
    </row>
    <row r="120" spans="3:11" ht="25.8" customHeight="1">
      <c r="C120" s="702" t="s">
        <v>1217</v>
      </c>
      <c r="D120" s="208"/>
      <c r="E120" s="208"/>
      <c r="F120" s="208"/>
      <c r="G120" s="209"/>
      <c r="H120" s="821">
        <v>0</v>
      </c>
      <c r="J120" s="536"/>
      <c r="K120" s="824"/>
    </row>
    <row r="121" spans="3:11" ht="25.8" customHeight="1">
      <c r="C121" s="566" t="s">
        <v>1218</v>
      </c>
      <c r="D121" s="552" t="s">
        <v>1219</v>
      </c>
      <c r="E121" s="553"/>
      <c r="F121" s="553"/>
      <c r="G121" s="554"/>
      <c r="H121" s="826">
        <f>H120+H118+H115</f>
        <v>12920</v>
      </c>
      <c r="I121" s="827"/>
      <c r="J121" s="536"/>
      <c r="K121" s="824"/>
    </row>
    <row r="122" spans="3:11" ht="25.8" customHeight="1">
      <c r="C122" s="566" t="s">
        <v>1220</v>
      </c>
      <c r="D122" s="552" t="s">
        <v>1321</v>
      </c>
      <c r="E122" s="553"/>
      <c r="F122" s="554"/>
      <c r="G122" s="555">
        <f>$M$9</f>
        <v>0.1</v>
      </c>
      <c r="H122" s="539">
        <f>H121*G122</f>
        <v>1292</v>
      </c>
      <c r="I122" s="827"/>
      <c r="J122" s="536"/>
      <c r="K122" s="824"/>
    </row>
    <row r="123" spans="3:11" ht="25.8" customHeight="1">
      <c r="C123" s="566" t="s">
        <v>1221</v>
      </c>
      <c r="D123" s="552" t="s">
        <v>1222</v>
      </c>
      <c r="E123" s="553"/>
      <c r="F123" s="553"/>
      <c r="G123" s="554"/>
      <c r="H123" s="828">
        <f>SUM(H121:H122)</f>
        <v>14212</v>
      </c>
      <c r="I123" s="827"/>
      <c r="J123" s="536"/>
      <c r="K123" s="824"/>
    </row>
    <row r="124" spans="3:11" ht="25.8" customHeight="1">
      <c r="C124" s="572"/>
      <c r="D124" s="575"/>
      <c r="E124" s="575"/>
      <c r="F124" s="575"/>
      <c r="G124" s="575"/>
      <c r="H124" s="830"/>
      <c r="J124" s="536"/>
      <c r="K124" s="824"/>
    </row>
    <row r="125" spans="3:11" ht="25.8" customHeight="1">
      <c r="C125" s="513" t="s">
        <v>3228</v>
      </c>
      <c r="D125" s="817" t="s">
        <v>1635</v>
      </c>
      <c r="E125" s="803"/>
      <c r="F125" s="803"/>
      <c r="G125" s="803"/>
      <c r="H125" s="803"/>
      <c r="I125" s="533">
        <f>ROUNDDOWN(H140,-2)</f>
        <v>23400</v>
      </c>
      <c r="J125" s="536"/>
      <c r="K125" s="824"/>
    </row>
    <row r="126" spans="3:11" ht="25.8" customHeight="1">
      <c r="C126" s="716" t="s">
        <v>1195</v>
      </c>
      <c r="D126" s="716" t="s">
        <v>1196</v>
      </c>
      <c r="E126" s="716" t="s">
        <v>1197</v>
      </c>
      <c r="F126" s="716" t="s">
        <v>1198</v>
      </c>
      <c r="G126" s="716" t="s">
        <v>1199</v>
      </c>
      <c r="H126" s="716" t="s">
        <v>1200</v>
      </c>
      <c r="J126" s="536"/>
      <c r="K126" s="824"/>
    </row>
    <row r="127" spans="3:11" ht="25.8" customHeight="1">
      <c r="C127" s="212" t="s">
        <v>1201</v>
      </c>
      <c r="D127" s="212" t="s">
        <v>1202</v>
      </c>
      <c r="E127" s="234"/>
      <c r="F127" s="534"/>
      <c r="G127" s="534"/>
      <c r="H127" s="534"/>
      <c r="J127" s="536"/>
      <c r="K127" s="824"/>
    </row>
    <row r="128" spans="3:11" ht="25.8" customHeight="1">
      <c r="C128" s="825">
        <v>1</v>
      </c>
      <c r="D128" s="212" t="s">
        <v>5</v>
      </c>
      <c r="E128" s="213" t="s">
        <v>6</v>
      </c>
      <c r="F128" s="538">
        <v>0.06</v>
      </c>
      <c r="G128" s="539">
        <f>VLOOKUP(D128,upahbahan,3,FALSE)</f>
        <v>100000</v>
      </c>
      <c r="H128" s="539">
        <f t="shared" ref="H128:H131" si="12">F128*G128</f>
        <v>6000</v>
      </c>
      <c r="J128" s="536"/>
      <c r="K128" s="824"/>
    </row>
    <row r="129" spans="3:11" ht="25.8" customHeight="1">
      <c r="C129" s="825">
        <v>2</v>
      </c>
      <c r="D129" s="212" t="str">
        <f>D112</f>
        <v>Tukang listrik</v>
      </c>
      <c r="E129" s="213" t="s">
        <v>6</v>
      </c>
      <c r="F129" s="538">
        <v>9.9000000000000005E-2</v>
      </c>
      <c r="G129" s="539">
        <f>VLOOKUP(D129,upahbahan,3,FALSE)</f>
        <v>135000</v>
      </c>
      <c r="H129" s="539">
        <f t="shared" si="12"/>
        <v>13365</v>
      </c>
      <c r="J129" s="536"/>
      <c r="K129" s="824"/>
    </row>
    <row r="130" spans="3:11" ht="25.8" customHeight="1">
      <c r="C130" s="825">
        <v>3</v>
      </c>
      <c r="D130" s="212" t="s">
        <v>18</v>
      </c>
      <c r="E130" s="213" t="s">
        <v>6</v>
      </c>
      <c r="F130" s="538">
        <v>0.01</v>
      </c>
      <c r="G130" s="539">
        <f>VLOOKUP(D130,upahbahan,3,FALSE)</f>
        <v>150000</v>
      </c>
      <c r="H130" s="539">
        <f t="shared" si="12"/>
        <v>1500</v>
      </c>
      <c r="J130" s="536"/>
      <c r="K130" s="824"/>
    </row>
    <row r="131" spans="3:11" ht="25.8" customHeight="1">
      <c r="C131" s="825">
        <v>4</v>
      </c>
      <c r="D131" s="212" t="s">
        <v>19</v>
      </c>
      <c r="E131" s="213" t="s">
        <v>6</v>
      </c>
      <c r="F131" s="538">
        <v>3.0000000000000001E-3</v>
      </c>
      <c r="G131" s="539">
        <f>VLOOKUP(D131,upahbahan,3,FALSE)</f>
        <v>160000</v>
      </c>
      <c r="H131" s="539">
        <f t="shared" si="12"/>
        <v>480</v>
      </c>
      <c r="J131" s="536"/>
      <c r="K131" s="824"/>
    </row>
    <row r="132" spans="3:11" ht="25.8" customHeight="1">
      <c r="C132" s="702" t="s">
        <v>1208</v>
      </c>
      <c r="D132" s="208"/>
      <c r="E132" s="208"/>
      <c r="F132" s="811"/>
      <c r="G132" s="522"/>
      <c r="H132" s="539">
        <f>SUM(H128:H131)</f>
        <v>21345</v>
      </c>
      <c r="I132" s="819"/>
      <c r="J132" s="536"/>
      <c r="K132" s="824"/>
    </row>
    <row r="133" spans="3:11" ht="25.8" customHeight="1">
      <c r="C133" s="213" t="s">
        <v>1209</v>
      </c>
      <c r="D133" s="212" t="s">
        <v>1210</v>
      </c>
      <c r="E133" s="534"/>
      <c r="F133" s="831"/>
      <c r="G133" s="534"/>
      <c r="H133" s="534"/>
      <c r="J133" s="536"/>
      <c r="K133" s="824"/>
    </row>
    <row r="134" spans="3:11" ht="25.8" customHeight="1">
      <c r="C134" s="818">
        <v>1</v>
      </c>
      <c r="D134" s="820" t="s">
        <v>918</v>
      </c>
      <c r="E134" s="213" t="s">
        <v>113</v>
      </c>
      <c r="F134" s="538">
        <v>1.1499999999999999</v>
      </c>
      <c r="G134" s="539">
        <f>VLOOKUP(D134,upahbahan,3,FALSE)</f>
        <v>0</v>
      </c>
      <c r="H134" s="539">
        <f t="shared" ref="H134" si="13">F134*G134</f>
        <v>0</v>
      </c>
      <c r="J134" s="536"/>
      <c r="K134" s="824"/>
    </row>
    <row r="135" spans="3:11" ht="25.8" customHeight="1">
      <c r="C135" s="702" t="s">
        <v>1214</v>
      </c>
      <c r="D135" s="208"/>
      <c r="E135" s="208"/>
      <c r="F135" s="208"/>
      <c r="G135" s="209"/>
      <c r="H135" s="539">
        <f>SUM(H134:H134)</f>
        <v>0</v>
      </c>
      <c r="J135" s="536"/>
      <c r="K135" s="824"/>
    </row>
    <row r="136" spans="3:11" ht="25.8" customHeight="1">
      <c r="C136" s="213" t="s">
        <v>1215</v>
      </c>
      <c r="D136" s="212" t="s">
        <v>1216</v>
      </c>
      <c r="E136" s="534"/>
      <c r="F136" s="534"/>
      <c r="G136" s="534"/>
      <c r="H136" s="534"/>
      <c r="J136" s="536"/>
      <c r="K136" s="824"/>
    </row>
    <row r="137" spans="3:11" ht="25.8" customHeight="1">
      <c r="C137" s="702" t="s">
        <v>1217</v>
      </c>
      <c r="D137" s="208"/>
      <c r="E137" s="208"/>
      <c r="F137" s="208"/>
      <c r="G137" s="209"/>
      <c r="H137" s="821">
        <v>0</v>
      </c>
      <c r="J137" s="536"/>
      <c r="K137" s="824"/>
    </row>
    <row r="138" spans="3:11" ht="25.8" customHeight="1">
      <c r="C138" s="566" t="s">
        <v>1218</v>
      </c>
      <c r="D138" s="552" t="s">
        <v>1219</v>
      </c>
      <c r="E138" s="553"/>
      <c r="F138" s="553"/>
      <c r="G138" s="554"/>
      <c r="H138" s="826">
        <f>H137+H135+H132</f>
        <v>21345</v>
      </c>
      <c r="I138" s="827"/>
      <c r="J138" s="536"/>
      <c r="K138" s="824"/>
    </row>
    <row r="139" spans="3:11" ht="25.8" customHeight="1">
      <c r="C139" s="566" t="s">
        <v>1220</v>
      </c>
      <c r="D139" s="552" t="s">
        <v>1321</v>
      </c>
      <c r="E139" s="553"/>
      <c r="F139" s="554"/>
      <c r="G139" s="555">
        <f>$M$9</f>
        <v>0.1</v>
      </c>
      <c r="H139" s="539">
        <f>H138*G139</f>
        <v>2134.5</v>
      </c>
      <c r="I139" s="827"/>
      <c r="J139" s="536"/>
      <c r="K139" s="824"/>
    </row>
    <row r="140" spans="3:11" ht="25.8" customHeight="1">
      <c r="C140" s="566" t="s">
        <v>1221</v>
      </c>
      <c r="D140" s="552" t="s">
        <v>1222</v>
      </c>
      <c r="E140" s="553"/>
      <c r="F140" s="553"/>
      <c r="G140" s="554"/>
      <c r="H140" s="828">
        <f>SUM(H138:H139)</f>
        <v>23479.5</v>
      </c>
      <c r="I140" s="827"/>
      <c r="J140" s="536"/>
      <c r="K140" s="824"/>
    </row>
    <row r="141" spans="3:11" ht="25.8" customHeight="1">
      <c r="C141" s="572"/>
      <c r="D141" s="575"/>
      <c r="E141" s="575"/>
      <c r="F141" s="575"/>
      <c r="G141" s="575"/>
      <c r="H141" s="830"/>
      <c r="J141" s="536"/>
      <c r="K141" s="824"/>
    </row>
    <row r="142" spans="3:11" ht="25.8" customHeight="1">
      <c r="C142" s="513" t="s">
        <v>3229</v>
      </c>
      <c r="D142" s="817" t="s">
        <v>1636</v>
      </c>
      <c r="E142" s="803"/>
      <c r="F142" s="803"/>
      <c r="G142" s="803"/>
      <c r="H142" s="803"/>
      <c r="I142" s="533">
        <f>ROUNDDOWN(H157,-2)</f>
        <v>23400</v>
      </c>
      <c r="J142" s="536"/>
      <c r="K142" s="824"/>
    </row>
    <row r="143" spans="3:11" ht="25.8" customHeight="1">
      <c r="C143" s="716" t="s">
        <v>1195</v>
      </c>
      <c r="D143" s="716" t="s">
        <v>1196</v>
      </c>
      <c r="E143" s="716" t="s">
        <v>1197</v>
      </c>
      <c r="F143" s="716" t="s">
        <v>1198</v>
      </c>
      <c r="G143" s="716" t="s">
        <v>1199</v>
      </c>
      <c r="H143" s="716" t="s">
        <v>1200</v>
      </c>
      <c r="J143" s="536"/>
      <c r="K143" s="824"/>
    </row>
    <row r="144" spans="3:11" ht="25.8" customHeight="1">
      <c r="C144" s="212" t="s">
        <v>1201</v>
      </c>
      <c r="D144" s="212" t="s">
        <v>1202</v>
      </c>
      <c r="E144" s="234"/>
      <c r="F144" s="534"/>
      <c r="G144" s="534"/>
      <c r="H144" s="534"/>
      <c r="J144" s="536"/>
      <c r="K144" s="824"/>
    </row>
    <row r="145" spans="3:11" ht="25.8" customHeight="1">
      <c r="C145" s="825">
        <v>1</v>
      </c>
      <c r="D145" s="212" t="s">
        <v>5</v>
      </c>
      <c r="E145" s="213" t="s">
        <v>6</v>
      </c>
      <c r="F145" s="538">
        <v>0.06</v>
      </c>
      <c r="G145" s="539">
        <f>VLOOKUP(D145,upahbahan,3,FALSE)</f>
        <v>100000</v>
      </c>
      <c r="H145" s="539">
        <f t="shared" ref="H145:H148" si="14">F145*G145</f>
        <v>6000</v>
      </c>
      <c r="J145" s="536"/>
      <c r="K145" s="824"/>
    </row>
    <row r="146" spans="3:11" ht="25.8" customHeight="1">
      <c r="C146" s="825">
        <v>2</v>
      </c>
      <c r="D146" s="212" t="str">
        <f>D129</f>
        <v>Tukang listrik</v>
      </c>
      <c r="E146" s="213" t="s">
        <v>6</v>
      </c>
      <c r="F146" s="538">
        <v>9.9000000000000005E-2</v>
      </c>
      <c r="G146" s="539">
        <f>VLOOKUP(D146,upahbahan,3,FALSE)</f>
        <v>135000</v>
      </c>
      <c r="H146" s="539">
        <f t="shared" si="14"/>
        <v>13365</v>
      </c>
      <c r="J146" s="536"/>
      <c r="K146" s="824"/>
    </row>
    <row r="147" spans="3:11" ht="25.8" customHeight="1">
      <c r="C147" s="825">
        <v>3</v>
      </c>
      <c r="D147" s="212" t="s">
        <v>18</v>
      </c>
      <c r="E147" s="213" t="s">
        <v>6</v>
      </c>
      <c r="F147" s="538">
        <v>0.01</v>
      </c>
      <c r="G147" s="539">
        <f>VLOOKUP(D147,upahbahan,3,FALSE)</f>
        <v>150000</v>
      </c>
      <c r="H147" s="539">
        <f t="shared" si="14"/>
        <v>1500</v>
      </c>
      <c r="J147" s="536"/>
      <c r="K147" s="824"/>
    </row>
    <row r="148" spans="3:11" ht="25.8" customHeight="1">
      <c r="C148" s="825">
        <v>4</v>
      </c>
      <c r="D148" s="212" t="s">
        <v>19</v>
      </c>
      <c r="E148" s="213" t="s">
        <v>6</v>
      </c>
      <c r="F148" s="538">
        <v>3.0000000000000001E-3</v>
      </c>
      <c r="G148" s="539">
        <f>VLOOKUP(D148,upahbahan,3,FALSE)</f>
        <v>160000</v>
      </c>
      <c r="H148" s="539">
        <f t="shared" si="14"/>
        <v>480</v>
      </c>
      <c r="J148" s="536"/>
      <c r="K148" s="824"/>
    </row>
    <row r="149" spans="3:11" ht="25.8" customHeight="1">
      <c r="C149" s="702" t="s">
        <v>1208</v>
      </c>
      <c r="D149" s="208"/>
      <c r="E149" s="208"/>
      <c r="F149" s="811"/>
      <c r="G149" s="522"/>
      <c r="H149" s="539">
        <f>SUM(H145:H148)</f>
        <v>21345</v>
      </c>
      <c r="I149" s="819"/>
      <c r="J149" s="536"/>
      <c r="K149" s="824"/>
    </row>
    <row r="150" spans="3:11" ht="25.8" customHeight="1">
      <c r="C150" s="213" t="s">
        <v>1209</v>
      </c>
      <c r="D150" s="212" t="s">
        <v>1210</v>
      </c>
      <c r="E150" s="534"/>
      <c r="F150" s="831"/>
      <c r="G150" s="534"/>
      <c r="H150" s="534"/>
      <c r="J150" s="536"/>
      <c r="K150" s="824"/>
    </row>
    <row r="151" spans="3:11" ht="25.8" customHeight="1">
      <c r="C151" s="818">
        <v>1</v>
      </c>
      <c r="D151" s="820" t="s">
        <v>919</v>
      </c>
      <c r="E151" s="213" t="s">
        <v>113</v>
      </c>
      <c r="F151" s="538">
        <v>1.1499999999999999</v>
      </c>
      <c r="G151" s="539">
        <f>VLOOKUP(D151,upahbahan,3,FALSE)</f>
        <v>0</v>
      </c>
      <c r="H151" s="539">
        <f t="shared" ref="H151" si="15">F151*G151</f>
        <v>0</v>
      </c>
      <c r="J151" s="536"/>
      <c r="K151" s="824"/>
    </row>
    <row r="152" spans="3:11" ht="25.8" customHeight="1">
      <c r="C152" s="702" t="s">
        <v>1214</v>
      </c>
      <c r="D152" s="208"/>
      <c r="E152" s="208"/>
      <c r="F152" s="208"/>
      <c r="G152" s="209"/>
      <c r="H152" s="539">
        <f>SUM(H151:H151)</f>
        <v>0</v>
      </c>
      <c r="J152" s="536"/>
      <c r="K152" s="824"/>
    </row>
    <row r="153" spans="3:11" ht="25.8" customHeight="1">
      <c r="C153" s="213" t="s">
        <v>1215</v>
      </c>
      <c r="D153" s="212" t="s">
        <v>1216</v>
      </c>
      <c r="E153" s="534"/>
      <c r="F153" s="534"/>
      <c r="G153" s="534"/>
      <c r="H153" s="534"/>
      <c r="J153" s="536"/>
      <c r="K153" s="824"/>
    </row>
    <row r="154" spans="3:11" ht="25.8" customHeight="1">
      <c r="C154" s="702" t="s">
        <v>1217</v>
      </c>
      <c r="D154" s="208"/>
      <c r="E154" s="208"/>
      <c r="F154" s="208"/>
      <c r="G154" s="209"/>
      <c r="H154" s="821">
        <v>0</v>
      </c>
      <c r="J154" s="536"/>
      <c r="K154" s="824"/>
    </row>
    <row r="155" spans="3:11" ht="25.8" customHeight="1">
      <c r="C155" s="566" t="s">
        <v>1218</v>
      </c>
      <c r="D155" s="552" t="s">
        <v>1219</v>
      </c>
      <c r="E155" s="553"/>
      <c r="F155" s="553"/>
      <c r="G155" s="554"/>
      <c r="H155" s="826">
        <f>H154+H152+H149</f>
        <v>21345</v>
      </c>
      <c r="I155" s="827"/>
      <c r="J155" s="536"/>
      <c r="K155" s="824"/>
    </row>
    <row r="156" spans="3:11" ht="25.8" customHeight="1">
      <c r="C156" s="566" t="s">
        <v>1220</v>
      </c>
      <c r="D156" s="552" t="s">
        <v>1321</v>
      </c>
      <c r="E156" s="553"/>
      <c r="F156" s="554"/>
      <c r="G156" s="555">
        <f>$M$9</f>
        <v>0.1</v>
      </c>
      <c r="H156" s="539">
        <f>H155*G156</f>
        <v>2134.5</v>
      </c>
      <c r="I156" s="827"/>
      <c r="J156" s="536"/>
      <c r="K156" s="824"/>
    </row>
    <row r="157" spans="3:11" ht="25.8" customHeight="1">
      <c r="C157" s="566" t="s">
        <v>1221</v>
      </c>
      <c r="D157" s="552" t="s">
        <v>1222</v>
      </c>
      <c r="E157" s="553"/>
      <c r="F157" s="553"/>
      <c r="G157" s="554"/>
      <c r="H157" s="828">
        <f>SUM(H155:H156)</f>
        <v>23479.5</v>
      </c>
      <c r="I157" s="827"/>
      <c r="J157" s="536"/>
      <c r="K157" s="824"/>
    </row>
    <row r="158" spans="3:11" ht="25.8" customHeight="1">
      <c r="C158" s="572"/>
      <c r="D158" s="575"/>
      <c r="E158" s="575"/>
      <c r="F158" s="575"/>
      <c r="G158" s="575"/>
      <c r="H158" s="830"/>
      <c r="J158" s="536"/>
      <c r="K158" s="824"/>
    </row>
    <row r="159" spans="3:11" ht="25.8" customHeight="1">
      <c r="C159" s="513" t="s">
        <v>3230</v>
      </c>
      <c r="D159" s="817" t="s">
        <v>1637</v>
      </c>
      <c r="E159" s="803"/>
      <c r="F159" s="803"/>
      <c r="G159" s="803"/>
      <c r="H159" s="803"/>
      <c r="I159" s="533">
        <f>ROUNDDOWN(H174,-2)</f>
        <v>23400</v>
      </c>
      <c r="J159" s="536"/>
      <c r="K159" s="824"/>
    </row>
    <row r="160" spans="3:11" ht="25.8" customHeight="1">
      <c r="C160" s="716" t="s">
        <v>1195</v>
      </c>
      <c r="D160" s="716" t="s">
        <v>1196</v>
      </c>
      <c r="E160" s="716" t="s">
        <v>1197</v>
      </c>
      <c r="F160" s="716" t="s">
        <v>1198</v>
      </c>
      <c r="G160" s="716" t="s">
        <v>1199</v>
      </c>
      <c r="H160" s="716" t="s">
        <v>1200</v>
      </c>
      <c r="J160" s="536"/>
      <c r="K160" s="824"/>
    </row>
    <row r="161" spans="3:11" ht="25.8" customHeight="1">
      <c r="C161" s="212" t="s">
        <v>1201</v>
      </c>
      <c r="D161" s="212" t="s">
        <v>1202</v>
      </c>
      <c r="E161" s="234"/>
      <c r="F161" s="534"/>
      <c r="G161" s="534"/>
      <c r="H161" s="534"/>
      <c r="J161" s="536"/>
      <c r="K161" s="824"/>
    </row>
    <row r="162" spans="3:11" ht="25.8" customHeight="1">
      <c r="C162" s="825">
        <v>1</v>
      </c>
      <c r="D162" s="212" t="s">
        <v>5</v>
      </c>
      <c r="E162" s="213" t="s">
        <v>6</v>
      </c>
      <c r="F162" s="538">
        <v>0.06</v>
      </c>
      <c r="G162" s="539">
        <f>VLOOKUP(D162,upahbahan,3,FALSE)</f>
        <v>100000</v>
      </c>
      <c r="H162" s="539">
        <f t="shared" ref="H162:H165" si="16">F162*G162</f>
        <v>6000</v>
      </c>
      <c r="J162" s="536"/>
      <c r="K162" s="824"/>
    </row>
    <row r="163" spans="3:11" ht="25.8" customHeight="1">
      <c r="C163" s="825">
        <v>2</v>
      </c>
      <c r="D163" s="212" t="str">
        <f>D146</f>
        <v>Tukang listrik</v>
      </c>
      <c r="E163" s="213" t="s">
        <v>6</v>
      </c>
      <c r="F163" s="538">
        <v>9.9000000000000005E-2</v>
      </c>
      <c r="G163" s="539">
        <f>VLOOKUP(D163,upahbahan,3,FALSE)</f>
        <v>135000</v>
      </c>
      <c r="H163" s="539">
        <f t="shared" si="16"/>
        <v>13365</v>
      </c>
      <c r="J163" s="536"/>
      <c r="K163" s="824"/>
    </row>
    <row r="164" spans="3:11" ht="25.8" customHeight="1">
      <c r="C164" s="825">
        <v>3</v>
      </c>
      <c r="D164" s="212" t="s">
        <v>18</v>
      </c>
      <c r="E164" s="213" t="s">
        <v>6</v>
      </c>
      <c r="F164" s="538">
        <v>0.01</v>
      </c>
      <c r="G164" s="539">
        <f>VLOOKUP(D164,upahbahan,3,FALSE)</f>
        <v>150000</v>
      </c>
      <c r="H164" s="539">
        <f t="shared" si="16"/>
        <v>1500</v>
      </c>
      <c r="J164" s="536"/>
      <c r="K164" s="824"/>
    </row>
    <row r="165" spans="3:11" ht="25.8" customHeight="1">
      <c r="C165" s="825">
        <v>4</v>
      </c>
      <c r="D165" s="212" t="s">
        <v>19</v>
      </c>
      <c r="E165" s="213" t="s">
        <v>6</v>
      </c>
      <c r="F165" s="538">
        <v>3.0000000000000001E-3</v>
      </c>
      <c r="G165" s="539">
        <f>VLOOKUP(D165,upahbahan,3,FALSE)</f>
        <v>160000</v>
      </c>
      <c r="H165" s="539">
        <f t="shared" si="16"/>
        <v>480</v>
      </c>
      <c r="J165" s="536"/>
      <c r="K165" s="824"/>
    </row>
    <row r="166" spans="3:11" ht="25.8" customHeight="1">
      <c r="C166" s="702" t="s">
        <v>1208</v>
      </c>
      <c r="D166" s="208"/>
      <c r="E166" s="208"/>
      <c r="F166" s="811"/>
      <c r="G166" s="522"/>
      <c r="H166" s="539">
        <f>SUM(H162:H165)</f>
        <v>21345</v>
      </c>
      <c r="I166" s="819"/>
      <c r="J166" s="536"/>
      <c r="K166" s="824"/>
    </row>
    <row r="167" spans="3:11" ht="25.8" customHeight="1">
      <c r="C167" s="213" t="s">
        <v>1209</v>
      </c>
      <c r="D167" s="212" t="s">
        <v>1210</v>
      </c>
      <c r="E167" s="534"/>
      <c r="F167" s="831"/>
      <c r="G167" s="534"/>
      <c r="H167" s="534"/>
      <c r="J167" s="536"/>
      <c r="K167" s="824"/>
    </row>
    <row r="168" spans="3:11" ht="25.8" customHeight="1">
      <c r="C168" s="818">
        <v>1</v>
      </c>
      <c r="D168" s="820" t="s">
        <v>904</v>
      </c>
      <c r="E168" s="213" t="s">
        <v>113</v>
      </c>
      <c r="F168" s="538">
        <v>1.1499999999999999</v>
      </c>
      <c r="G168" s="539">
        <f>VLOOKUP(D168,upahbahan,3,FALSE)</f>
        <v>0</v>
      </c>
      <c r="H168" s="539">
        <f t="shared" ref="H168" si="17">F168*G168</f>
        <v>0</v>
      </c>
      <c r="J168" s="536"/>
      <c r="K168" s="824"/>
    </row>
    <row r="169" spans="3:11" ht="25.8" customHeight="1">
      <c r="C169" s="702" t="s">
        <v>1214</v>
      </c>
      <c r="D169" s="208"/>
      <c r="E169" s="208"/>
      <c r="F169" s="208"/>
      <c r="G169" s="209"/>
      <c r="H169" s="539">
        <f>SUM(H168:H168)</f>
        <v>0</v>
      </c>
      <c r="J169" s="536"/>
      <c r="K169" s="824"/>
    </row>
    <row r="170" spans="3:11" ht="25.8" customHeight="1">
      <c r="C170" s="213" t="s">
        <v>1215</v>
      </c>
      <c r="D170" s="212" t="s">
        <v>1216</v>
      </c>
      <c r="E170" s="534"/>
      <c r="F170" s="534"/>
      <c r="G170" s="534"/>
      <c r="H170" s="534"/>
      <c r="J170" s="536"/>
      <c r="K170" s="824"/>
    </row>
    <row r="171" spans="3:11" ht="25.8" customHeight="1">
      <c r="C171" s="702" t="s">
        <v>1217</v>
      </c>
      <c r="D171" s="208"/>
      <c r="E171" s="208"/>
      <c r="F171" s="208"/>
      <c r="G171" s="209"/>
      <c r="H171" s="821">
        <v>0</v>
      </c>
      <c r="J171" s="536"/>
      <c r="K171" s="824"/>
    </row>
    <row r="172" spans="3:11" ht="25.8" customHeight="1">
      <c r="C172" s="566" t="s">
        <v>1218</v>
      </c>
      <c r="D172" s="552" t="s">
        <v>1219</v>
      </c>
      <c r="E172" s="553"/>
      <c r="F172" s="553"/>
      <c r="G172" s="554"/>
      <c r="H172" s="826">
        <f>H171+H169+H166</f>
        <v>21345</v>
      </c>
      <c r="I172" s="827"/>
      <c r="J172" s="536"/>
      <c r="K172" s="824"/>
    </row>
    <row r="173" spans="3:11" ht="25.8" customHeight="1">
      <c r="C173" s="566" t="s">
        <v>1220</v>
      </c>
      <c r="D173" s="552" t="s">
        <v>1321</v>
      </c>
      <c r="E173" s="553"/>
      <c r="F173" s="554"/>
      <c r="G173" s="555">
        <f>$M$9</f>
        <v>0.1</v>
      </c>
      <c r="H173" s="539">
        <f>H172*G173</f>
        <v>2134.5</v>
      </c>
      <c r="I173" s="827"/>
      <c r="J173" s="536"/>
      <c r="K173" s="824"/>
    </row>
    <row r="174" spans="3:11" ht="25.8" customHeight="1">
      <c r="C174" s="566" t="s">
        <v>1221</v>
      </c>
      <c r="D174" s="552" t="s">
        <v>1222</v>
      </c>
      <c r="E174" s="553"/>
      <c r="F174" s="553"/>
      <c r="G174" s="554"/>
      <c r="H174" s="828">
        <f>SUM(H172:H173)</f>
        <v>23479.5</v>
      </c>
      <c r="I174" s="827"/>
      <c r="J174" s="536"/>
      <c r="K174" s="824"/>
    </row>
    <row r="175" spans="3:11" ht="25.8" customHeight="1">
      <c r="C175" s="572"/>
      <c r="D175" s="575"/>
      <c r="E175" s="575"/>
      <c r="F175" s="575"/>
      <c r="G175" s="575"/>
      <c r="H175" s="830"/>
      <c r="J175" s="536"/>
      <c r="K175" s="824"/>
    </row>
    <row r="176" spans="3:11" ht="25.8" customHeight="1">
      <c r="C176" s="513" t="s">
        <v>3231</v>
      </c>
      <c r="D176" s="817" t="s">
        <v>1638</v>
      </c>
      <c r="E176" s="803"/>
      <c r="F176" s="803"/>
      <c r="G176" s="803"/>
      <c r="H176" s="803"/>
      <c r="I176" s="533">
        <f>ROUNDDOWN(H191,-2)</f>
        <v>23400</v>
      </c>
      <c r="J176" s="536"/>
      <c r="K176" s="824"/>
    </row>
    <row r="177" spans="3:11" ht="25.8" customHeight="1">
      <c r="C177" s="716" t="s">
        <v>1195</v>
      </c>
      <c r="D177" s="716" t="s">
        <v>1196</v>
      </c>
      <c r="E177" s="716" t="s">
        <v>1197</v>
      </c>
      <c r="F177" s="716" t="s">
        <v>1198</v>
      </c>
      <c r="G177" s="716" t="s">
        <v>1199</v>
      </c>
      <c r="H177" s="716" t="s">
        <v>1200</v>
      </c>
      <c r="J177" s="536"/>
      <c r="K177" s="824"/>
    </row>
    <row r="178" spans="3:11" ht="25.8" customHeight="1">
      <c r="C178" s="212" t="s">
        <v>1201</v>
      </c>
      <c r="D178" s="212" t="s">
        <v>1202</v>
      </c>
      <c r="E178" s="234"/>
      <c r="F178" s="534"/>
      <c r="G178" s="534"/>
      <c r="H178" s="534"/>
      <c r="J178" s="536"/>
      <c r="K178" s="824"/>
    </row>
    <row r="179" spans="3:11" ht="25.8" customHeight="1">
      <c r="C179" s="825">
        <v>1</v>
      </c>
      <c r="D179" s="212" t="s">
        <v>5</v>
      </c>
      <c r="E179" s="213" t="s">
        <v>6</v>
      </c>
      <c r="F179" s="538">
        <v>0.06</v>
      </c>
      <c r="G179" s="539">
        <f>VLOOKUP(D179,upahbahan,3,FALSE)</f>
        <v>100000</v>
      </c>
      <c r="H179" s="539">
        <f t="shared" ref="H179:H182" si="18">F179*G179</f>
        <v>6000</v>
      </c>
      <c r="J179" s="536"/>
      <c r="K179" s="824"/>
    </row>
    <row r="180" spans="3:11" ht="25.8" customHeight="1">
      <c r="C180" s="825">
        <v>2</v>
      </c>
      <c r="D180" s="212" t="str">
        <f>D163</f>
        <v>Tukang listrik</v>
      </c>
      <c r="E180" s="213" t="s">
        <v>6</v>
      </c>
      <c r="F180" s="538">
        <v>9.9000000000000005E-2</v>
      </c>
      <c r="G180" s="539">
        <f>VLOOKUP(D180,upahbahan,3,FALSE)</f>
        <v>135000</v>
      </c>
      <c r="H180" s="539">
        <f t="shared" si="18"/>
        <v>13365</v>
      </c>
      <c r="J180" s="536"/>
      <c r="K180" s="824"/>
    </row>
    <row r="181" spans="3:11" ht="25.8" customHeight="1">
      <c r="C181" s="825">
        <v>3</v>
      </c>
      <c r="D181" s="212" t="s">
        <v>18</v>
      </c>
      <c r="E181" s="213" t="s">
        <v>6</v>
      </c>
      <c r="F181" s="538">
        <v>0.01</v>
      </c>
      <c r="G181" s="539">
        <f>VLOOKUP(D181,upahbahan,3,FALSE)</f>
        <v>150000</v>
      </c>
      <c r="H181" s="539">
        <f t="shared" si="18"/>
        <v>1500</v>
      </c>
      <c r="J181" s="536"/>
      <c r="K181" s="824"/>
    </row>
    <row r="182" spans="3:11" ht="25.8" customHeight="1">
      <c r="C182" s="825">
        <v>4</v>
      </c>
      <c r="D182" s="212" t="s">
        <v>19</v>
      </c>
      <c r="E182" s="213" t="s">
        <v>6</v>
      </c>
      <c r="F182" s="538">
        <v>3.0000000000000001E-3</v>
      </c>
      <c r="G182" s="539">
        <f>VLOOKUP(D182,upahbahan,3,FALSE)</f>
        <v>160000</v>
      </c>
      <c r="H182" s="539">
        <f t="shared" si="18"/>
        <v>480</v>
      </c>
      <c r="J182" s="536"/>
      <c r="K182" s="824"/>
    </row>
    <row r="183" spans="3:11" ht="25.8" customHeight="1">
      <c r="C183" s="702" t="s">
        <v>1208</v>
      </c>
      <c r="D183" s="208"/>
      <c r="E183" s="208"/>
      <c r="F183" s="811"/>
      <c r="G183" s="522"/>
      <c r="H183" s="539">
        <f>SUM(H179:H182)</f>
        <v>21345</v>
      </c>
      <c r="I183" s="819"/>
      <c r="J183" s="536"/>
      <c r="K183" s="824"/>
    </row>
    <row r="184" spans="3:11" ht="25.8" customHeight="1">
      <c r="C184" s="213" t="s">
        <v>1209</v>
      </c>
      <c r="D184" s="212" t="s">
        <v>1210</v>
      </c>
      <c r="E184" s="534"/>
      <c r="F184" s="831"/>
      <c r="G184" s="534"/>
      <c r="H184" s="534"/>
      <c r="J184" s="536"/>
      <c r="K184" s="824"/>
    </row>
    <row r="185" spans="3:11" ht="25.8" customHeight="1">
      <c r="C185" s="818">
        <v>1</v>
      </c>
      <c r="D185" s="820" t="s">
        <v>905</v>
      </c>
      <c r="E185" s="213" t="s">
        <v>113</v>
      </c>
      <c r="F185" s="538">
        <v>1.1499999999999999</v>
      </c>
      <c r="G185" s="539">
        <f>VLOOKUP(D185,upahbahan,3,FALSE)</f>
        <v>0</v>
      </c>
      <c r="H185" s="539">
        <f t="shared" ref="H185" si="19">F185*G185</f>
        <v>0</v>
      </c>
      <c r="J185" s="536"/>
      <c r="K185" s="824"/>
    </row>
    <row r="186" spans="3:11" ht="25.8" customHeight="1">
      <c r="C186" s="702" t="s">
        <v>1214</v>
      </c>
      <c r="D186" s="208"/>
      <c r="E186" s="208"/>
      <c r="F186" s="208"/>
      <c r="G186" s="209"/>
      <c r="H186" s="539">
        <f>SUM(H185:H185)</f>
        <v>0</v>
      </c>
      <c r="J186" s="536"/>
      <c r="K186" s="824"/>
    </row>
    <row r="187" spans="3:11" ht="25.8" customHeight="1">
      <c r="C187" s="213" t="s">
        <v>1215</v>
      </c>
      <c r="D187" s="212" t="s">
        <v>1216</v>
      </c>
      <c r="E187" s="534"/>
      <c r="F187" s="534"/>
      <c r="G187" s="534"/>
      <c r="H187" s="534"/>
      <c r="J187" s="536"/>
      <c r="K187" s="824"/>
    </row>
    <row r="188" spans="3:11" ht="25.8" customHeight="1">
      <c r="C188" s="702" t="s">
        <v>1217</v>
      </c>
      <c r="D188" s="208"/>
      <c r="E188" s="208"/>
      <c r="F188" s="208"/>
      <c r="G188" s="209"/>
      <c r="H188" s="821">
        <v>0</v>
      </c>
      <c r="J188" s="536"/>
      <c r="K188" s="824"/>
    </row>
    <row r="189" spans="3:11" ht="25.8" customHeight="1">
      <c r="C189" s="566" t="s">
        <v>1218</v>
      </c>
      <c r="D189" s="552" t="s">
        <v>1219</v>
      </c>
      <c r="E189" s="553"/>
      <c r="F189" s="553"/>
      <c r="G189" s="554"/>
      <c r="H189" s="826">
        <f>H188+H186+H183</f>
        <v>21345</v>
      </c>
      <c r="I189" s="827"/>
      <c r="J189" s="536"/>
      <c r="K189" s="824"/>
    </row>
    <row r="190" spans="3:11" ht="25.8" customHeight="1">
      <c r="C190" s="566" t="s">
        <v>1220</v>
      </c>
      <c r="D190" s="552" t="s">
        <v>1321</v>
      </c>
      <c r="E190" s="553"/>
      <c r="F190" s="554"/>
      <c r="G190" s="555">
        <f>$M$9</f>
        <v>0.1</v>
      </c>
      <c r="H190" s="539">
        <f>H189*G190</f>
        <v>2134.5</v>
      </c>
      <c r="I190" s="827"/>
      <c r="J190" s="536"/>
      <c r="K190" s="824"/>
    </row>
    <row r="191" spans="3:11" ht="25.8" customHeight="1">
      <c r="C191" s="566" t="s">
        <v>1221</v>
      </c>
      <c r="D191" s="552" t="s">
        <v>1222</v>
      </c>
      <c r="E191" s="553"/>
      <c r="F191" s="553"/>
      <c r="G191" s="554"/>
      <c r="H191" s="828">
        <f>SUM(H189:H190)</f>
        <v>23479.5</v>
      </c>
      <c r="I191" s="827"/>
      <c r="J191" s="536"/>
      <c r="K191" s="824"/>
    </row>
    <row r="192" spans="3:11" ht="25.8" customHeight="1">
      <c r="C192" s="572"/>
      <c r="D192" s="575"/>
      <c r="E192" s="575"/>
      <c r="F192" s="575"/>
      <c r="G192" s="575"/>
      <c r="H192" s="830"/>
      <c r="J192" s="536"/>
      <c r="K192" s="824"/>
    </row>
    <row r="193" spans="3:11" ht="25.8" customHeight="1">
      <c r="C193" s="513" t="s">
        <v>3232</v>
      </c>
      <c r="D193" s="817" t="s">
        <v>1639</v>
      </c>
      <c r="E193" s="803"/>
      <c r="F193" s="803"/>
      <c r="G193" s="803"/>
      <c r="H193" s="803"/>
      <c r="I193" s="533">
        <f>ROUNDDOWN(H208,-2)</f>
        <v>28100</v>
      </c>
      <c r="J193" s="536"/>
      <c r="K193" s="824"/>
    </row>
    <row r="194" spans="3:11" ht="25.8" customHeight="1">
      <c r="C194" s="716" t="s">
        <v>1195</v>
      </c>
      <c r="D194" s="716" t="s">
        <v>1196</v>
      </c>
      <c r="E194" s="716" t="s">
        <v>1197</v>
      </c>
      <c r="F194" s="716" t="s">
        <v>1198</v>
      </c>
      <c r="G194" s="716" t="s">
        <v>1199</v>
      </c>
      <c r="H194" s="716" t="s">
        <v>1200</v>
      </c>
      <c r="J194" s="536"/>
      <c r="K194" s="824"/>
    </row>
    <row r="195" spans="3:11" ht="25.8" customHeight="1">
      <c r="C195" s="212" t="s">
        <v>1201</v>
      </c>
      <c r="D195" s="212" t="s">
        <v>1202</v>
      </c>
      <c r="E195" s="234"/>
      <c r="F195" s="534"/>
      <c r="G195" s="534"/>
      <c r="H195" s="534"/>
      <c r="J195" s="536"/>
      <c r="K195" s="824"/>
    </row>
    <row r="196" spans="3:11" ht="25.8" customHeight="1">
      <c r="C196" s="825">
        <v>1</v>
      </c>
      <c r="D196" s="212" t="s">
        <v>5</v>
      </c>
      <c r="E196" s="213" t="s">
        <v>6</v>
      </c>
      <c r="F196" s="829">
        <v>7.0999999999999994E-2</v>
      </c>
      <c r="G196" s="539">
        <f>VLOOKUP(D196,upahbahan,3,FALSE)</f>
        <v>100000</v>
      </c>
      <c r="H196" s="539">
        <f t="shared" ref="H196:H199" si="20">F196*G196</f>
        <v>7099.9999999999991</v>
      </c>
      <c r="J196" s="536"/>
      <c r="K196" s="824"/>
    </row>
    <row r="197" spans="3:11" ht="25.8" customHeight="1">
      <c r="C197" s="825">
        <v>2</v>
      </c>
      <c r="D197" s="212" t="str">
        <f>D180</f>
        <v>Tukang listrik</v>
      </c>
      <c r="E197" s="213" t="s">
        <v>6</v>
      </c>
      <c r="F197" s="829">
        <v>0.11899999999999999</v>
      </c>
      <c r="G197" s="539">
        <f>VLOOKUP(D197,upahbahan,3,FALSE)</f>
        <v>135000</v>
      </c>
      <c r="H197" s="539">
        <f t="shared" si="20"/>
        <v>16065</v>
      </c>
      <c r="J197" s="536"/>
      <c r="K197" s="824"/>
    </row>
    <row r="198" spans="3:11" ht="25.8" customHeight="1">
      <c r="C198" s="825">
        <v>3</v>
      </c>
      <c r="D198" s="212" t="s">
        <v>18</v>
      </c>
      <c r="E198" s="213" t="s">
        <v>6</v>
      </c>
      <c r="F198" s="829">
        <v>1.2E-2</v>
      </c>
      <c r="G198" s="539">
        <f>VLOOKUP(D198,upahbahan,3,FALSE)</f>
        <v>150000</v>
      </c>
      <c r="H198" s="539">
        <f t="shared" si="20"/>
        <v>1800</v>
      </c>
      <c r="J198" s="536"/>
      <c r="K198" s="824"/>
    </row>
    <row r="199" spans="3:11" ht="25.8" customHeight="1">
      <c r="C199" s="825">
        <v>4</v>
      </c>
      <c r="D199" s="212" t="s">
        <v>19</v>
      </c>
      <c r="E199" s="213" t="s">
        <v>6</v>
      </c>
      <c r="F199" s="829">
        <v>4.0000000000000001E-3</v>
      </c>
      <c r="G199" s="539">
        <f>VLOOKUP(D199,upahbahan,3,FALSE)</f>
        <v>160000</v>
      </c>
      <c r="H199" s="539">
        <f t="shared" si="20"/>
        <v>640</v>
      </c>
      <c r="J199" s="536"/>
      <c r="K199" s="824"/>
    </row>
    <row r="200" spans="3:11" ht="25.8" customHeight="1">
      <c r="C200" s="702" t="s">
        <v>1208</v>
      </c>
      <c r="D200" s="208"/>
      <c r="E200" s="208"/>
      <c r="F200" s="521"/>
      <c r="G200" s="522"/>
      <c r="H200" s="539">
        <f>SUM(H196:H199)</f>
        <v>25605</v>
      </c>
      <c r="I200" s="819"/>
      <c r="J200" s="536"/>
      <c r="K200" s="824"/>
    </row>
    <row r="201" spans="3:11" ht="25.8" customHeight="1">
      <c r="C201" s="213" t="s">
        <v>1209</v>
      </c>
      <c r="D201" s="212" t="s">
        <v>1210</v>
      </c>
      <c r="E201" s="534"/>
      <c r="F201" s="534"/>
      <c r="G201" s="534"/>
      <c r="H201" s="534"/>
      <c r="J201" s="536"/>
      <c r="K201" s="824"/>
    </row>
    <row r="202" spans="3:11" ht="25.8" customHeight="1">
      <c r="C202" s="818">
        <v>1</v>
      </c>
      <c r="D202" s="820" t="s">
        <v>907</v>
      </c>
      <c r="E202" s="213" t="s">
        <v>113</v>
      </c>
      <c r="F202" s="538">
        <v>1.1499999999999999</v>
      </c>
      <c r="G202" s="539">
        <f>VLOOKUP(D202,upahbahan,3,FALSE)</f>
        <v>0</v>
      </c>
      <c r="H202" s="539">
        <f t="shared" ref="H202" si="21">F202*G202</f>
        <v>0</v>
      </c>
      <c r="J202" s="536"/>
      <c r="K202" s="824"/>
    </row>
    <row r="203" spans="3:11" ht="25.8" customHeight="1">
      <c r="C203" s="702" t="s">
        <v>1214</v>
      </c>
      <c r="D203" s="208"/>
      <c r="E203" s="208"/>
      <c r="F203" s="208"/>
      <c r="G203" s="209"/>
      <c r="H203" s="539">
        <f>SUM(H202:H202)</f>
        <v>0</v>
      </c>
      <c r="J203" s="536"/>
      <c r="K203" s="824"/>
    </row>
    <row r="204" spans="3:11" ht="25.8" customHeight="1">
      <c r="C204" s="213" t="s">
        <v>1215</v>
      </c>
      <c r="D204" s="212" t="s">
        <v>1216</v>
      </c>
      <c r="E204" s="534"/>
      <c r="F204" s="534"/>
      <c r="G204" s="534"/>
      <c r="H204" s="534"/>
      <c r="J204" s="536"/>
      <c r="K204" s="824"/>
    </row>
    <row r="205" spans="3:11" ht="25.8" customHeight="1">
      <c r="C205" s="702" t="s">
        <v>1217</v>
      </c>
      <c r="D205" s="208"/>
      <c r="E205" s="208"/>
      <c r="F205" s="208"/>
      <c r="G205" s="209"/>
      <c r="H205" s="821">
        <v>0</v>
      </c>
      <c r="J205" s="536"/>
      <c r="K205" s="824"/>
    </row>
    <row r="206" spans="3:11" ht="25.8" customHeight="1">
      <c r="C206" s="566" t="s">
        <v>1218</v>
      </c>
      <c r="D206" s="552" t="s">
        <v>1219</v>
      </c>
      <c r="E206" s="553"/>
      <c r="F206" s="553"/>
      <c r="G206" s="554"/>
      <c r="H206" s="826">
        <f>H205+H203+H200</f>
        <v>25605</v>
      </c>
      <c r="I206" s="827"/>
      <c r="J206" s="536"/>
      <c r="K206" s="824"/>
    </row>
    <row r="207" spans="3:11" ht="25.8" customHeight="1">
      <c r="C207" s="566" t="s">
        <v>1220</v>
      </c>
      <c r="D207" s="552" t="s">
        <v>1321</v>
      </c>
      <c r="E207" s="553"/>
      <c r="F207" s="554"/>
      <c r="G207" s="555">
        <f>$M$9</f>
        <v>0.1</v>
      </c>
      <c r="H207" s="539">
        <f>H206*G207</f>
        <v>2560.5</v>
      </c>
      <c r="I207" s="827"/>
      <c r="J207" s="536"/>
      <c r="K207" s="824"/>
    </row>
    <row r="208" spans="3:11" ht="25.8" customHeight="1">
      <c r="C208" s="566" t="s">
        <v>1221</v>
      </c>
      <c r="D208" s="552" t="s">
        <v>1222</v>
      </c>
      <c r="E208" s="553"/>
      <c r="F208" s="553"/>
      <c r="G208" s="554"/>
      <c r="H208" s="828">
        <f>SUM(H206:H207)</f>
        <v>28165.5</v>
      </c>
      <c r="I208" s="827"/>
      <c r="J208" s="536"/>
      <c r="K208" s="824"/>
    </row>
    <row r="209" spans="3:11" ht="25.8" customHeight="1">
      <c r="C209" s="572"/>
      <c r="D209" s="575"/>
      <c r="E209" s="575"/>
      <c r="F209" s="575"/>
      <c r="G209" s="575"/>
      <c r="H209" s="830"/>
      <c r="J209" s="536"/>
      <c r="K209" s="824"/>
    </row>
    <row r="210" spans="3:11" ht="25.8" customHeight="1">
      <c r="C210" s="513" t="s">
        <v>3233</v>
      </c>
      <c r="D210" s="817" t="s">
        <v>1640</v>
      </c>
      <c r="E210" s="803"/>
      <c r="F210" s="803"/>
      <c r="G210" s="803"/>
      <c r="H210" s="803"/>
      <c r="I210" s="533">
        <f>ROUNDDOWN(H225,-2)</f>
        <v>28100</v>
      </c>
      <c r="J210" s="536"/>
      <c r="K210" s="824"/>
    </row>
    <row r="211" spans="3:11" ht="25.8" customHeight="1">
      <c r="C211" s="716" t="s">
        <v>1195</v>
      </c>
      <c r="D211" s="716" t="s">
        <v>1196</v>
      </c>
      <c r="E211" s="716" t="s">
        <v>1197</v>
      </c>
      <c r="F211" s="716" t="s">
        <v>1198</v>
      </c>
      <c r="G211" s="716" t="s">
        <v>1199</v>
      </c>
      <c r="H211" s="716" t="s">
        <v>1200</v>
      </c>
      <c r="J211" s="536"/>
      <c r="K211" s="824"/>
    </row>
    <row r="212" spans="3:11" ht="25.8" customHeight="1">
      <c r="C212" s="212" t="s">
        <v>1201</v>
      </c>
      <c r="D212" s="212" t="s">
        <v>1202</v>
      </c>
      <c r="E212" s="234"/>
      <c r="F212" s="534"/>
      <c r="G212" s="534"/>
      <c r="H212" s="534"/>
      <c r="J212" s="536"/>
      <c r="K212" s="824"/>
    </row>
    <row r="213" spans="3:11" ht="25.8" customHeight="1">
      <c r="C213" s="825">
        <v>1</v>
      </c>
      <c r="D213" s="212" t="s">
        <v>5</v>
      </c>
      <c r="E213" s="213" t="s">
        <v>6</v>
      </c>
      <c r="F213" s="829">
        <v>7.0999999999999994E-2</v>
      </c>
      <c r="G213" s="539">
        <f>VLOOKUP(D213,upahbahan,3,FALSE)</f>
        <v>100000</v>
      </c>
      <c r="H213" s="539">
        <f t="shared" ref="H213:H216" si="22">F213*G213</f>
        <v>7099.9999999999991</v>
      </c>
      <c r="J213" s="536"/>
      <c r="K213" s="824"/>
    </row>
    <row r="214" spans="3:11" ht="25.8" customHeight="1">
      <c r="C214" s="825">
        <v>2</v>
      </c>
      <c r="D214" s="212" t="str">
        <f>D197</f>
        <v>Tukang listrik</v>
      </c>
      <c r="E214" s="213" t="s">
        <v>6</v>
      </c>
      <c r="F214" s="829">
        <v>0.11899999999999999</v>
      </c>
      <c r="G214" s="539">
        <f>VLOOKUP(D214,upahbahan,3,FALSE)</f>
        <v>135000</v>
      </c>
      <c r="H214" s="539">
        <f t="shared" si="22"/>
        <v>16065</v>
      </c>
      <c r="J214" s="536"/>
      <c r="K214" s="824"/>
    </row>
    <row r="215" spans="3:11" ht="25.8" customHeight="1">
      <c r="C215" s="825">
        <v>3</v>
      </c>
      <c r="D215" s="212" t="s">
        <v>18</v>
      </c>
      <c r="E215" s="213" t="s">
        <v>6</v>
      </c>
      <c r="F215" s="829">
        <v>1.2E-2</v>
      </c>
      <c r="G215" s="539">
        <f>VLOOKUP(D215,upahbahan,3,FALSE)</f>
        <v>150000</v>
      </c>
      <c r="H215" s="539">
        <f t="shared" si="22"/>
        <v>1800</v>
      </c>
      <c r="J215" s="536"/>
      <c r="K215" s="824"/>
    </row>
    <row r="216" spans="3:11" ht="25.8" customHeight="1">
      <c r="C216" s="825">
        <v>4</v>
      </c>
      <c r="D216" s="212" t="s">
        <v>19</v>
      </c>
      <c r="E216" s="213" t="s">
        <v>6</v>
      </c>
      <c r="F216" s="829">
        <v>4.0000000000000001E-3</v>
      </c>
      <c r="G216" s="539">
        <f>VLOOKUP(D216,upahbahan,3,FALSE)</f>
        <v>160000</v>
      </c>
      <c r="H216" s="539">
        <f t="shared" si="22"/>
        <v>640</v>
      </c>
      <c r="J216" s="536"/>
      <c r="K216" s="824"/>
    </row>
    <row r="217" spans="3:11" ht="25.8" customHeight="1">
      <c r="C217" s="702" t="s">
        <v>1208</v>
      </c>
      <c r="D217" s="208"/>
      <c r="E217" s="208"/>
      <c r="F217" s="521"/>
      <c r="G217" s="522"/>
      <c r="H217" s="539">
        <f>SUM(H213:H216)</f>
        <v>25605</v>
      </c>
      <c r="I217" s="819"/>
      <c r="J217" s="536"/>
      <c r="K217" s="824"/>
    </row>
    <row r="218" spans="3:11" ht="25.8" customHeight="1">
      <c r="C218" s="213" t="s">
        <v>1209</v>
      </c>
      <c r="D218" s="212" t="s">
        <v>1210</v>
      </c>
      <c r="E218" s="534"/>
      <c r="F218" s="534"/>
      <c r="G218" s="534"/>
      <c r="H218" s="534"/>
      <c r="J218" s="536"/>
      <c r="K218" s="824"/>
    </row>
    <row r="219" spans="3:11" ht="25.8" customHeight="1">
      <c r="C219" s="818">
        <v>1</v>
      </c>
      <c r="D219" s="820" t="s">
        <v>909</v>
      </c>
      <c r="E219" s="213" t="s">
        <v>113</v>
      </c>
      <c r="F219" s="538">
        <v>1.1499999999999999</v>
      </c>
      <c r="G219" s="539">
        <f>VLOOKUP(D219,upahbahan,3,FALSE)</f>
        <v>0</v>
      </c>
      <c r="H219" s="539">
        <f t="shared" ref="H219" si="23">F219*G219</f>
        <v>0</v>
      </c>
      <c r="J219" s="536"/>
      <c r="K219" s="824"/>
    </row>
    <row r="220" spans="3:11" ht="25.8" customHeight="1">
      <c r="C220" s="702" t="s">
        <v>1214</v>
      </c>
      <c r="D220" s="208"/>
      <c r="E220" s="208"/>
      <c r="F220" s="208"/>
      <c r="G220" s="209"/>
      <c r="H220" s="539">
        <f>SUM(H219:H219)</f>
        <v>0</v>
      </c>
      <c r="J220" s="536"/>
      <c r="K220" s="824"/>
    </row>
    <row r="221" spans="3:11" ht="25.8" customHeight="1">
      <c r="C221" s="213" t="s">
        <v>1215</v>
      </c>
      <c r="D221" s="212" t="s">
        <v>1216</v>
      </c>
      <c r="E221" s="534"/>
      <c r="F221" s="534"/>
      <c r="G221" s="534"/>
      <c r="H221" s="534"/>
      <c r="J221" s="536"/>
      <c r="K221" s="824"/>
    </row>
    <row r="222" spans="3:11" ht="25.8" customHeight="1">
      <c r="C222" s="702" t="s">
        <v>1217</v>
      </c>
      <c r="D222" s="208"/>
      <c r="E222" s="208"/>
      <c r="F222" s="208"/>
      <c r="G222" s="209"/>
      <c r="H222" s="821">
        <v>0</v>
      </c>
      <c r="J222" s="536"/>
      <c r="K222" s="824"/>
    </row>
    <row r="223" spans="3:11" ht="25.8" customHeight="1">
      <c r="C223" s="566" t="s">
        <v>1218</v>
      </c>
      <c r="D223" s="552" t="s">
        <v>1219</v>
      </c>
      <c r="E223" s="553"/>
      <c r="F223" s="553"/>
      <c r="G223" s="554"/>
      <c r="H223" s="826">
        <f>H222+H220+H217</f>
        <v>25605</v>
      </c>
      <c r="I223" s="827"/>
      <c r="J223" s="536"/>
      <c r="K223" s="824"/>
    </row>
    <row r="224" spans="3:11" ht="25.8" customHeight="1">
      <c r="C224" s="566" t="s">
        <v>1220</v>
      </c>
      <c r="D224" s="552" t="s">
        <v>1321</v>
      </c>
      <c r="E224" s="553"/>
      <c r="F224" s="554"/>
      <c r="G224" s="555">
        <f>$M$9</f>
        <v>0.1</v>
      </c>
      <c r="H224" s="539">
        <f>H223*G224</f>
        <v>2560.5</v>
      </c>
      <c r="I224" s="827"/>
      <c r="J224" s="536"/>
      <c r="K224" s="824"/>
    </row>
    <row r="225" spans="3:11" ht="25.8" customHeight="1">
      <c r="C225" s="566" t="s">
        <v>1221</v>
      </c>
      <c r="D225" s="552" t="s">
        <v>1222</v>
      </c>
      <c r="E225" s="553"/>
      <c r="F225" s="553"/>
      <c r="G225" s="554"/>
      <c r="H225" s="828">
        <f>SUM(H223:H224)</f>
        <v>28165.5</v>
      </c>
      <c r="I225" s="827"/>
      <c r="J225" s="536"/>
      <c r="K225" s="824"/>
    </row>
    <row r="226" spans="3:11" ht="25.8" customHeight="1">
      <c r="C226" s="572"/>
      <c r="D226" s="575"/>
      <c r="E226" s="575"/>
      <c r="F226" s="575"/>
      <c r="G226" s="575"/>
      <c r="H226" s="830"/>
      <c r="J226" s="536"/>
      <c r="K226" s="824"/>
    </row>
    <row r="227" spans="3:11" ht="25.8" customHeight="1">
      <c r="C227" s="513" t="s">
        <v>8061</v>
      </c>
      <c r="D227" s="817" t="s">
        <v>1641</v>
      </c>
      <c r="E227" s="803"/>
      <c r="F227" s="803"/>
      <c r="G227" s="803"/>
      <c r="H227" s="803"/>
      <c r="I227" s="533">
        <f>ROUNDDOWN(H242,-2)</f>
        <v>32900</v>
      </c>
      <c r="J227" s="536"/>
      <c r="K227" s="824"/>
    </row>
    <row r="228" spans="3:11" ht="25.8" customHeight="1">
      <c r="C228" s="716" t="s">
        <v>1195</v>
      </c>
      <c r="D228" s="716" t="s">
        <v>1196</v>
      </c>
      <c r="E228" s="716" t="s">
        <v>1197</v>
      </c>
      <c r="F228" s="716" t="s">
        <v>1198</v>
      </c>
      <c r="G228" s="716" t="s">
        <v>1199</v>
      </c>
      <c r="H228" s="716" t="s">
        <v>1200</v>
      </c>
      <c r="J228" s="536"/>
      <c r="K228" s="824"/>
    </row>
    <row r="229" spans="3:11" ht="25.8" customHeight="1">
      <c r="C229" s="212" t="s">
        <v>1201</v>
      </c>
      <c r="D229" s="212" t="s">
        <v>1202</v>
      </c>
      <c r="E229" s="234"/>
      <c r="F229" s="534"/>
      <c r="G229" s="534"/>
      <c r="H229" s="534"/>
      <c r="J229" s="536"/>
      <c r="K229" s="824"/>
    </row>
    <row r="230" spans="3:11" ht="25.8" customHeight="1">
      <c r="C230" s="825">
        <v>1</v>
      </c>
      <c r="D230" s="212" t="s">
        <v>5</v>
      </c>
      <c r="E230" s="213" t="s">
        <v>6</v>
      </c>
      <c r="F230" s="538">
        <v>8.3000000000000004E-2</v>
      </c>
      <c r="G230" s="539">
        <f>VLOOKUP(D230,upahbahan,3,FALSE)</f>
        <v>100000</v>
      </c>
      <c r="H230" s="539">
        <f t="shared" ref="H230:H233" si="24">F230*G230</f>
        <v>8300</v>
      </c>
      <c r="J230" s="536"/>
      <c r="K230" s="824"/>
    </row>
    <row r="231" spans="3:11" ht="25.8" customHeight="1">
      <c r="C231" s="825">
        <v>2</v>
      </c>
      <c r="D231" s="212" t="str">
        <f>D214</f>
        <v>Tukang listrik</v>
      </c>
      <c r="E231" s="213" t="s">
        <v>6</v>
      </c>
      <c r="F231" s="538">
        <v>0.13900000000000001</v>
      </c>
      <c r="G231" s="539">
        <f>VLOOKUP(D231,upahbahan,3,FALSE)</f>
        <v>135000</v>
      </c>
      <c r="H231" s="539">
        <f t="shared" si="24"/>
        <v>18765</v>
      </c>
      <c r="J231" s="536"/>
      <c r="K231" s="824"/>
    </row>
    <row r="232" spans="3:11" ht="25.8" customHeight="1">
      <c r="C232" s="825">
        <v>3</v>
      </c>
      <c r="D232" s="212" t="s">
        <v>18</v>
      </c>
      <c r="E232" s="213" t="s">
        <v>6</v>
      </c>
      <c r="F232" s="538">
        <v>1.4E-2</v>
      </c>
      <c r="G232" s="539">
        <f>VLOOKUP(D232,upahbahan,3,FALSE)</f>
        <v>150000</v>
      </c>
      <c r="H232" s="539">
        <f t="shared" si="24"/>
        <v>2100</v>
      </c>
      <c r="J232" s="536"/>
      <c r="K232" s="824"/>
    </row>
    <row r="233" spans="3:11" ht="25.8" customHeight="1">
      <c r="C233" s="825">
        <v>4</v>
      </c>
      <c r="D233" s="212" t="s">
        <v>19</v>
      </c>
      <c r="E233" s="213" t="s">
        <v>6</v>
      </c>
      <c r="F233" s="538">
        <v>5.0000000000000001E-3</v>
      </c>
      <c r="G233" s="539">
        <f>VLOOKUP(D233,upahbahan,3,FALSE)</f>
        <v>160000</v>
      </c>
      <c r="H233" s="539">
        <f t="shared" si="24"/>
        <v>800</v>
      </c>
      <c r="J233" s="536"/>
      <c r="K233" s="824"/>
    </row>
    <row r="234" spans="3:11" ht="25.8" customHeight="1">
      <c r="C234" s="702" t="s">
        <v>1208</v>
      </c>
      <c r="D234" s="208"/>
      <c r="E234" s="208"/>
      <c r="F234" s="811"/>
      <c r="G234" s="522"/>
      <c r="H234" s="539">
        <f>SUM(H230:H233)</f>
        <v>29965</v>
      </c>
      <c r="I234" s="819"/>
      <c r="J234" s="536"/>
      <c r="K234" s="824"/>
    </row>
    <row r="235" spans="3:11" ht="25.8" customHeight="1">
      <c r="C235" s="213" t="s">
        <v>1209</v>
      </c>
      <c r="D235" s="212" t="s">
        <v>1210</v>
      </c>
      <c r="E235" s="534"/>
      <c r="F235" s="831"/>
      <c r="G235" s="534"/>
      <c r="H235" s="534"/>
      <c r="J235" s="536"/>
      <c r="K235" s="824"/>
    </row>
    <row r="236" spans="3:11" ht="25.8" customHeight="1">
      <c r="C236" s="818">
        <v>1</v>
      </c>
      <c r="D236" s="820" t="s">
        <v>910</v>
      </c>
      <c r="E236" s="213" t="s">
        <v>113</v>
      </c>
      <c r="F236" s="538">
        <v>1.1499999999999999</v>
      </c>
      <c r="G236" s="539">
        <f>VLOOKUP(D236,upahbahan,3,FALSE)</f>
        <v>0</v>
      </c>
      <c r="H236" s="539">
        <f>F236*G236</f>
        <v>0</v>
      </c>
      <c r="J236" s="536"/>
      <c r="K236" s="824"/>
    </row>
    <row r="237" spans="3:11" ht="25.8" customHeight="1">
      <c r="C237" s="702" t="s">
        <v>1214</v>
      </c>
      <c r="D237" s="208"/>
      <c r="E237" s="208"/>
      <c r="F237" s="208"/>
      <c r="G237" s="209"/>
      <c r="H237" s="539">
        <f>SUM(H236:H236)</f>
        <v>0</v>
      </c>
      <c r="J237" s="536"/>
      <c r="K237" s="824"/>
    </row>
    <row r="238" spans="3:11" ht="25.8" customHeight="1">
      <c r="C238" s="213" t="s">
        <v>1215</v>
      </c>
      <c r="D238" s="212" t="s">
        <v>1216</v>
      </c>
      <c r="E238" s="534"/>
      <c r="F238" s="534"/>
      <c r="G238" s="534"/>
      <c r="H238" s="534"/>
      <c r="J238" s="536"/>
      <c r="K238" s="824"/>
    </row>
    <row r="239" spans="3:11" ht="25.8" customHeight="1">
      <c r="C239" s="702" t="s">
        <v>1217</v>
      </c>
      <c r="D239" s="208"/>
      <c r="E239" s="208"/>
      <c r="F239" s="208"/>
      <c r="G239" s="209"/>
      <c r="H239" s="821">
        <v>0</v>
      </c>
      <c r="J239" s="536"/>
      <c r="K239" s="824"/>
    </row>
    <row r="240" spans="3:11" ht="25.8" customHeight="1">
      <c r="C240" s="566" t="s">
        <v>1218</v>
      </c>
      <c r="D240" s="552" t="s">
        <v>1219</v>
      </c>
      <c r="E240" s="553"/>
      <c r="F240" s="553"/>
      <c r="G240" s="554"/>
      <c r="H240" s="826">
        <f>H239+H237+H234</f>
        <v>29965</v>
      </c>
      <c r="I240" s="827"/>
      <c r="J240" s="536"/>
      <c r="K240" s="824"/>
    </row>
    <row r="241" spans="3:11" ht="25.8" customHeight="1">
      <c r="C241" s="566" t="s">
        <v>1220</v>
      </c>
      <c r="D241" s="552" t="s">
        <v>1321</v>
      </c>
      <c r="E241" s="553"/>
      <c r="F241" s="554"/>
      <c r="G241" s="555">
        <f>$M$9</f>
        <v>0.1</v>
      </c>
      <c r="H241" s="539">
        <f>H240*G241</f>
        <v>2996.5</v>
      </c>
      <c r="I241" s="827"/>
      <c r="J241" s="536"/>
      <c r="K241" s="824"/>
    </row>
    <row r="242" spans="3:11" ht="25.8" customHeight="1">
      <c r="C242" s="566" t="s">
        <v>1221</v>
      </c>
      <c r="D242" s="552" t="s">
        <v>1222</v>
      </c>
      <c r="E242" s="553"/>
      <c r="F242" s="553"/>
      <c r="G242" s="554"/>
      <c r="H242" s="828">
        <f>SUM(H240:H241)</f>
        <v>32961.5</v>
      </c>
      <c r="I242" s="827"/>
      <c r="J242" s="536"/>
      <c r="K242" s="824"/>
    </row>
    <row r="243" spans="3:11" ht="25.8" customHeight="1">
      <c r="C243" s="572"/>
      <c r="D243" s="575"/>
      <c r="E243" s="575"/>
      <c r="F243" s="575"/>
      <c r="G243" s="575"/>
      <c r="H243" s="830"/>
      <c r="J243" s="536"/>
      <c r="K243" s="824"/>
    </row>
    <row r="244" spans="3:11" ht="25.8" customHeight="1">
      <c r="C244" s="513" t="s">
        <v>3234</v>
      </c>
      <c r="D244" s="817" t="s">
        <v>1642</v>
      </c>
      <c r="E244" s="803"/>
      <c r="F244" s="803"/>
      <c r="G244" s="803"/>
      <c r="H244" s="803"/>
      <c r="I244" s="533">
        <f>ROUNDDOWN(H259,-2)</f>
        <v>37500</v>
      </c>
      <c r="J244" s="536"/>
      <c r="K244" s="824"/>
    </row>
    <row r="245" spans="3:11" ht="25.8" customHeight="1">
      <c r="C245" s="716" t="s">
        <v>1195</v>
      </c>
      <c r="D245" s="716" t="s">
        <v>1196</v>
      </c>
      <c r="E245" s="716" t="s">
        <v>1197</v>
      </c>
      <c r="F245" s="716" t="s">
        <v>1198</v>
      </c>
      <c r="G245" s="716" t="s">
        <v>1199</v>
      </c>
      <c r="H245" s="716" t="s">
        <v>1200</v>
      </c>
      <c r="J245" s="536"/>
      <c r="K245" s="824"/>
    </row>
    <row r="246" spans="3:11" ht="25.8" customHeight="1">
      <c r="C246" s="212" t="s">
        <v>1201</v>
      </c>
      <c r="D246" s="212" t="s">
        <v>1202</v>
      </c>
      <c r="E246" s="234"/>
      <c r="F246" s="534"/>
      <c r="G246" s="534"/>
      <c r="H246" s="534"/>
      <c r="J246" s="536"/>
      <c r="K246" s="824"/>
    </row>
    <row r="247" spans="3:11" ht="25.8" customHeight="1">
      <c r="C247" s="825">
        <v>1</v>
      </c>
      <c r="D247" s="212" t="s">
        <v>5</v>
      </c>
      <c r="E247" s="213" t="s">
        <v>6</v>
      </c>
      <c r="F247" s="829">
        <v>9.5000000000000001E-2</v>
      </c>
      <c r="G247" s="539">
        <f>VLOOKUP(D247,upahbahan,3,FALSE)</f>
        <v>100000</v>
      </c>
      <c r="H247" s="539">
        <f t="shared" ref="H247:H250" si="25">F247*G247</f>
        <v>9500</v>
      </c>
      <c r="J247" s="536"/>
      <c r="K247" s="824"/>
    </row>
    <row r="248" spans="3:11" ht="25.8" customHeight="1">
      <c r="C248" s="825">
        <v>2</v>
      </c>
      <c r="D248" s="212" t="str">
        <f>D231</f>
        <v>Tukang listrik</v>
      </c>
      <c r="E248" s="213" t="s">
        <v>6</v>
      </c>
      <c r="F248" s="829">
        <v>0.159</v>
      </c>
      <c r="G248" s="539">
        <f>VLOOKUP(D248,upahbahan,3,FALSE)</f>
        <v>135000</v>
      </c>
      <c r="H248" s="539">
        <f t="shared" si="25"/>
        <v>21465</v>
      </c>
      <c r="J248" s="536"/>
      <c r="K248" s="824"/>
    </row>
    <row r="249" spans="3:11" ht="25.8" customHeight="1">
      <c r="C249" s="825">
        <v>3</v>
      </c>
      <c r="D249" s="212" t="s">
        <v>18</v>
      </c>
      <c r="E249" s="213" t="s">
        <v>6</v>
      </c>
      <c r="F249" s="829">
        <v>1.6E-2</v>
      </c>
      <c r="G249" s="539">
        <f>VLOOKUP(D249,upahbahan,3,FALSE)</f>
        <v>150000</v>
      </c>
      <c r="H249" s="539">
        <f t="shared" si="25"/>
        <v>2400</v>
      </c>
      <c r="J249" s="536"/>
      <c r="K249" s="824"/>
    </row>
    <row r="250" spans="3:11" ht="25.8" customHeight="1">
      <c r="C250" s="825">
        <v>4</v>
      </c>
      <c r="D250" s="212" t="s">
        <v>19</v>
      </c>
      <c r="E250" s="213" t="s">
        <v>6</v>
      </c>
      <c r="F250" s="829">
        <v>5.0000000000000001E-3</v>
      </c>
      <c r="G250" s="539">
        <f>VLOOKUP(D250,upahbahan,3,FALSE)</f>
        <v>160000</v>
      </c>
      <c r="H250" s="539">
        <f t="shared" si="25"/>
        <v>800</v>
      </c>
      <c r="J250" s="536"/>
      <c r="K250" s="824"/>
    </row>
    <row r="251" spans="3:11" ht="25.8" customHeight="1">
      <c r="C251" s="702" t="s">
        <v>1208</v>
      </c>
      <c r="D251" s="208"/>
      <c r="E251" s="208"/>
      <c r="F251" s="521"/>
      <c r="G251" s="522"/>
      <c r="H251" s="539">
        <f>SUM(H247:H250)</f>
        <v>34165</v>
      </c>
      <c r="I251" s="819"/>
      <c r="J251" s="536"/>
      <c r="K251" s="824"/>
    </row>
    <row r="252" spans="3:11" ht="25.8" customHeight="1">
      <c r="C252" s="213" t="s">
        <v>1209</v>
      </c>
      <c r="D252" s="212" t="s">
        <v>1210</v>
      </c>
      <c r="E252" s="534"/>
      <c r="F252" s="534"/>
      <c r="G252" s="534"/>
      <c r="H252" s="534"/>
      <c r="J252" s="536"/>
      <c r="K252" s="824"/>
    </row>
    <row r="253" spans="3:11" ht="25.8" customHeight="1">
      <c r="C253" s="818">
        <v>1</v>
      </c>
      <c r="D253" s="820" t="s">
        <v>913</v>
      </c>
      <c r="E253" s="213" t="s">
        <v>113</v>
      </c>
      <c r="F253" s="538">
        <v>1.1499999999999999</v>
      </c>
      <c r="G253" s="539">
        <f>VLOOKUP(D253,upahbahan,3,FALSE)</f>
        <v>0</v>
      </c>
      <c r="H253" s="539">
        <f t="shared" ref="H253" si="26">F253*G253</f>
        <v>0</v>
      </c>
      <c r="J253" s="536"/>
      <c r="K253" s="824"/>
    </row>
    <row r="254" spans="3:11" ht="25.8" customHeight="1">
      <c r="C254" s="702" t="s">
        <v>1214</v>
      </c>
      <c r="D254" s="208"/>
      <c r="E254" s="208"/>
      <c r="F254" s="208"/>
      <c r="G254" s="209"/>
      <c r="H254" s="539">
        <f>SUM(H253:H253)</f>
        <v>0</v>
      </c>
      <c r="J254" s="536"/>
      <c r="K254" s="824"/>
    </row>
    <row r="255" spans="3:11" ht="25.8" customHeight="1">
      <c r="C255" s="213" t="s">
        <v>1215</v>
      </c>
      <c r="D255" s="212" t="s">
        <v>1216</v>
      </c>
      <c r="E255" s="534"/>
      <c r="F255" s="534"/>
      <c r="G255" s="534"/>
      <c r="H255" s="534"/>
      <c r="J255" s="536"/>
      <c r="K255" s="824"/>
    </row>
    <row r="256" spans="3:11" ht="25.8" customHeight="1">
      <c r="C256" s="702" t="s">
        <v>1217</v>
      </c>
      <c r="D256" s="208"/>
      <c r="E256" s="208"/>
      <c r="F256" s="208"/>
      <c r="G256" s="209"/>
      <c r="H256" s="821">
        <v>0</v>
      </c>
      <c r="J256" s="536"/>
      <c r="K256" s="824"/>
    </row>
    <row r="257" spans="3:11" ht="25.8" customHeight="1">
      <c r="C257" s="566" t="s">
        <v>1218</v>
      </c>
      <c r="D257" s="552" t="s">
        <v>1219</v>
      </c>
      <c r="E257" s="553"/>
      <c r="F257" s="553"/>
      <c r="G257" s="554"/>
      <c r="H257" s="826">
        <f>H256+H254+H251</f>
        <v>34165</v>
      </c>
      <c r="I257" s="827"/>
      <c r="J257" s="536"/>
      <c r="K257" s="824"/>
    </row>
    <row r="258" spans="3:11" ht="25.8" customHeight="1">
      <c r="C258" s="566" t="s">
        <v>1220</v>
      </c>
      <c r="D258" s="552" t="s">
        <v>1321</v>
      </c>
      <c r="E258" s="553"/>
      <c r="F258" s="554"/>
      <c r="G258" s="555">
        <f>$M$9</f>
        <v>0.1</v>
      </c>
      <c r="H258" s="539">
        <f>H257*G258</f>
        <v>3416.5</v>
      </c>
      <c r="I258" s="827"/>
      <c r="J258" s="536"/>
      <c r="K258" s="824"/>
    </row>
    <row r="259" spans="3:11" ht="25.8" customHeight="1">
      <c r="C259" s="566" t="s">
        <v>1221</v>
      </c>
      <c r="D259" s="552" t="s">
        <v>1222</v>
      </c>
      <c r="E259" s="553"/>
      <c r="F259" s="553"/>
      <c r="G259" s="554"/>
      <c r="H259" s="828">
        <f>SUM(H257:H258)</f>
        <v>37581.5</v>
      </c>
      <c r="I259" s="827"/>
      <c r="J259" s="536"/>
      <c r="K259" s="824"/>
    </row>
    <row r="260" spans="3:11" ht="25.8" customHeight="1">
      <c r="C260" s="572"/>
      <c r="D260" s="575"/>
      <c r="E260" s="575"/>
      <c r="F260" s="575"/>
      <c r="G260" s="575"/>
      <c r="H260" s="830"/>
      <c r="J260" s="536"/>
      <c r="K260" s="824"/>
    </row>
    <row r="261" spans="3:11" ht="25.8" customHeight="1">
      <c r="C261" s="513" t="s">
        <v>3235</v>
      </c>
      <c r="D261" s="817" t="s">
        <v>1643</v>
      </c>
      <c r="E261" s="803"/>
      <c r="F261" s="803"/>
      <c r="G261" s="803"/>
      <c r="H261" s="803"/>
      <c r="I261" s="533">
        <f>ROUNDDOWN(H276,-2)</f>
        <v>47100</v>
      </c>
      <c r="J261" s="536"/>
      <c r="K261" s="824"/>
    </row>
    <row r="262" spans="3:11" ht="25.8" customHeight="1">
      <c r="C262" s="716" t="s">
        <v>1195</v>
      </c>
      <c r="D262" s="716" t="s">
        <v>1196</v>
      </c>
      <c r="E262" s="716" t="s">
        <v>1197</v>
      </c>
      <c r="F262" s="716" t="s">
        <v>1198</v>
      </c>
      <c r="G262" s="716" t="s">
        <v>1199</v>
      </c>
      <c r="H262" s="716" t="s">
        <v>1200</v>
      </c>
      <c r="J262" s="536"/>
      <c r="K262" s="824"/>
    </row>
    <row r="263" spans="3:11" ht="25.8" customHeight="1">
      <c r="C263" s="212" t="s">
        <v>1201</v>
      </c>
      <c r="D263" s="212" t="s">
        <v>1202</v>
      </c>
      <c r="E263" s="234"/>
      <c r="F263" s="534"/>
      <c r="G263" s="534"/>
      <c r="H263" s="534"/>
      <c r="J263" s="536"/>
      <c r="K263" s="824"/>
    </row>
    <row r="264" spans="3:11" ht="25.8" customHeight="1">
      <c r="C264" s="825">
        <v>1</v>
      </c>
      <c r="D264" s="212" t="s">
        <v>5</v>
      </c>
      <c r="E264" s="213" t="s">
        <v>6</v>
      </c>
      <c r="F264" s="538">
        <v>0.11899999999999999</v>
      </c>
      <c r="G264" s="539">
        <f>VLOOKUP(D264,upahbahan,3,FALSE)</f>
        <v>100000</v>
      </c>
      <c r="H264" s="539">
        <f t="shared" ref="H264:H267" si="27">F264*G264</f>
        <v>11900</v>
      </c>
      <c r="J264" s="536"/>
      <c r="K264" s="824"/>
    </row>
    <row r="265" spans="3:11" ht="25.8" customHeight="1">
      <c r="C265" s="825">
        <v>2</v>
      </c>
      <c r="D265" s="212" t="str">
        <f>D248</f>
        <v>Tukang listrik</v>
      </c>
      <c r="E265" s="213" t="s">
        <v>6</v>
      </c>
      <c r="F265" s="538">
        <v>0.19900000000000001</v>
      </c>
      <c r="G265" s="539">
        <f>VLOOKUP(D265,upahbahan,3,FALSE)</f>
        <v>135000</v>
      </c>
      <c r="H265" s="539">
        <f t="shared" si="27"/>
        <v>26865</v>
      </c>
      <c r="J265" s="536"/>
      <c r="K265" s="824"/>
    </row>
    <row r="266" spans="3:11" ht="25.8" customHeight="1">
      <c r="C266" s="825">
        <v>3</v>
      </c>
      <c r="D266" s="212" t="s">
        <v>18</v>
      </c>
      <c r="E266" s="213" t="s">
        <v>6</v>
      </c>
      <c r="F266" s="538">
        <v>0.02</v>
      </c>
      <c r="G266" s="539">
        <f>VLOOKUP(D266,upahbahan,3,FALSE)</f>
        <v>150000</v>
      </c>
      <c r="H266" s="539">
        <f t="shared" si="27"/>
        <v>3000</v>
      </c>
      <c r="J266" s="536"/>
      <c r="K266" s="824"/>
    </row>
    <row r="267" spans="3:11" ht="25.8" customHeight="1">
      <c r="C267" s="825">
        <v>4</v>
      </c>
      <c r="D267" s="212" t="s">
        <v>19</v>
      </c>
      <c r="E267" s="213" t="s">
        <v>6</v>
      </c>
      <c r="F267" s="538">
        <v>7.0000000000000001E-3</v>
      </c>
      <c r="G267" s="539">
        <f>VLOOKUP(D267,upahbahan,3,FALSE)</f>
        <v>160000</v>
      </c>
      <c r="H267" s="539">
        <f t="shared" si="27"/>
        <v>1120</v>
      </c>
      <c r="J267" s="536"/>
      <c r="K267" s="824"/>
    </row>
    <row r="268" spans="3:11" ht="25.8" customHeight="1">
      <c r="C268" s="702" t="s">
        <v>1208</v>
      </c>
      <c r="D268" s="208"/>
      <c r="E268" s="208"/>
      <c r="F268" s="811"/>
      <c r="G268" s="522"/>
      <c r="H268" s="539">
        <f>SUM(H264:H267)</f>
        <v>42885</v>
      </c>
      <c r="I268" s="819"/>
      <c r="J268" s="536"/>
      <c r="K268" s="824"/>
    </row>
    <row r="269" spans="3:11" ht="25.8" customHeight="1">
      <c r="C269" s="213" t="s">
        <v>1209</v>
      </c>
      <c r="D269" s="212" t="s">
        <v>1210</v>
      </c>
      <c r="E269" s="534"/>
      <c r="F269" s="831"/>
      <c r="G269" s="534"/>
      <c r="H269" s="534"/>
      <c r="J269" s="536"/>
      <c r="K269" s="824"/>
    </row>
    <row r="270" spans="3:11" ht="25.8" customHeight="1">
      <c r="C270" s="818">
        <v>1</v>
      </c>
      <c r="D270" s="820" t="s">
        <v>915</v>
      </c>
      <c r="E270" s="213" t="s">
        <v>113</v>
      </c>
      <c r="F270" s="538">
        <v>1.1499999999999999</v>
      </c>
      <c r="G270" s="539">
        <f>VLOOKUP(D270,upahbahan,3,FALSE)</f>
        <v>0</v>
      </c>
      <c r="H270" s="539">
        <f t="shared" ref="H270" si="28">F270*G270</f>
        <v>0</v>
      </c>
      <c r="J270" s="536"/>
      <c r="K270" s="824"/>
    </row>
    <row r="271" spans="3:11" ht="25.8" customHeight="1">
      <c r="C271" s="702" t="s">
        <v>1214</v>
      </c>
      <c r="D271" s="208"/>
      <c r="E271" s="208"/>
      <c r="F271" s="208"/>
      <c r="G271" s="209"/>
      <c r="H271" s="539">
        <f>SUM(H270:H270)</f>
        <v>0</v>
      </c>
      <c r="J271" s="536"/>
      <c r="K271" s="824"/>
    </row>
    <row r="272" spans="3:11" ht="25.8" customHeight="1">
      <c r="C272" s="213" t="s">
        <v>1215</v>
      </c>
      <c r="D272" s="212" t="s">
        <v>1216</v>
      </c>
      <c r="E272" s="534"/>
      <c r="F272" s="534"/>
      <c r="G272" s="534"/>
      <c r="H272" s="534"/>
      <c r="J272" s="536"/>
      <c r="K272" s="824"/>
    </row>
    <row r="273" spans="3:11" ht="25.8" customHeight="1">
      <c r="C273" s="702" t="s">
        <v>1217</v>
      </c>
      <c r="D273" s="208"/>
      <c r="E273" s="208"/>
      <c r="F273" s="208"/>
      <c r="G273" s="209"/>
      <c r="H273" s="821">
        <v>0</v>
      </c>
      <c r="J273" s="536"/>
      <c r="K273" s="824"/>
    </row>
    <row r="274" spans="3:11" ht="25.8" customHeight="1">
      <c r="C274" s="566" t="s">
        <v>1218</v>
      </c>
      <c r="D274" s="552" t="s">
        <v>1219</v>
      </c>
      <c r="E274" s="553"/>
      <c r="F274" s="553"/>
      <c r="G274" s="554"/>
      <c r="H274" s="826">
        <f>H273+H271+H268</f>
        <v>42885</v>
      </c>
      <c r="I274" s="827"/>
      <c r="J274" s="536"/>
      <c r="K274" s="824"/>
    </row>
    <row r="275" spans="3:11" ht="25.8" customHeight="1">
      <c r="C275" s="566" t="s">
        <v>1220</v>
      </c>
      <c r="D275" s="552" t="s">
        <v>1321</v>
      </c>
      <c r="E275" s="553"/>
      <c r="F275" s="554"/>
      <c r="G275" s="555">
        <f>$M$9</f>
        <v>0.1</v>
      </c>
      <c r="H275" s="539">
        <f>H274*G275</f>
        <v>4288.5</v>
      </c>
      <c r="I275" s="827"/>
      <c r="J275" s="536"/>
      <c r="K275" s="824"/>
    </row>
    <row r="276" spans="3:11" ht="25.8" customHeight="1">
      <c r="C276" s="566" t="s">
        <v>1221</v>
      </c>
      <c r="D276" s="552" t="s">
        <v>1222</v>
      </c>
      <c r="E276" s="553"/>
      <c r="F276" s="553"/>
      <c r="G276" s="554"/>
      <c r="H276" s="828">
        <f>SUM(H274:H275)</f>
        <v>47173.5</v>
      </c>
      <c r="I276" s="827"/>
      <c r="J276" s="536"/>
      <c r="K276" s="824"/>
    </row>
    <row r="277" spans="3:11" ht="25.8" customHeight="1">
      <c r="C277" s="572"/>
      <c r="D277" s="575"/>
      <c r="E277" s="575"/>
      <c r="F277" s="575"/>
      <c r="G277" s="575"/>
      <c r="H277" s="830"/>
      <c r="J277" s="536"/>
      <c r="K277" s="824"/>
    </row>
    <row r="278" spans="3:11" ht="25.8" customHeight="1">
      <c r="C278" s="513" t="s">
        <v>3236</v>
      </c>
      <c r="D278" s="817" t="s">
        <v>1644</v>
      </c>
      <c r="E278" s="803"/>
      <c r="F278" s="803"/>
      <c r="G278" s="803"/>
      <c r="H278" s="803"/>
      <c r="I278" s="533">
        <f>ROUNDDOWN(H293,-2)</f>
        <v>56500</v>
      </c>
      <c r="J278" s="536"/>
      <c r="K278" s="824"/>
    </row>
    <row r="279" spans="3:11" ht="25.8" customHeight="1">
      <c r="C279" s="716" t="s">
        <v>1195</v>
      </c>
      <c r="D279" s="716" t="s">
        <v>1196</v>
      </c>
      <c r="E279" s="716" t="s">
        <v>1197</v>
      </c>
      <c r="F279" s="716" t="s">
        <v>1198</v>
      </c>
      <c r="G279" s="716" t="s">
        <v>1199</v>
      </c>
      <c r="H279" s="716" t="s">
        <v>1200</v>
      </c>
      <c r="J279" s="536"/>
      <c r="K279" s="824"/>
    </row>
    <row r="280" spans="3:11" ht="25.8" customHeight="1">
      <c r="C280" s="212" t="s">
        <v>1201</v>
      </c>
      <c r="D280" s="212" t="s">
        <v>1202</v>
      </c>
      <c r="E280" s="234"/>
      <c r="F280" s="534"/>
      <c r="G280" s="534"/>
      <c r="H280" s="534"/>
      <c r="J280" s="536"/>
      <c r="K280" s="824"/>
    </row>
    <row r="281" spans="3:11" ht="25.8" customHeight="1">
      <c r="C281" s="825">
        <v>1</v>
      </c>
      <c r="D281" s="212" t="s">
        <v>5</v>
      </c>
      <c r="E281" s="213" t="s">
        <v>6</v>
      </c>
      <c r="F281" s="829">
        <v>0.14299999999999999</v>
      </c>
      <c r="G281" s="539">
        <f>VLOOKUP(D281,upahbahan,3,FALSE)</f>
        <v>100000</v>
      </c>
      <c r="H281" s="539">
        <f t="shared" ref="H281:H284" si="29">F281*G281</f>
        <v>14299.999999999998</v>
      </c>
      <c r="J281" s="536"/>
      <c r="K281" s="824"/>
    </row>
    <row r="282" spans="3:11" ht="25.8" customHeight="1">
      <c r="C282" s="825">
        <v>2</v>
      </c>
      <c r="D282" s="212" t="str">
        <f>D265</f>
        <v>Tukang listrik</v>
      </c>
      <c r="E282" s="213" t="s">
        <v>6</v>
      </c>
      <c r="F282" s="829">
        <v>0.23899999999999999</v>
      </c>
      <c r="G282" s="539">
        <f>VLOOKUP(D282,upahbahan,3,FALSE)</f>
        <v>135000</v>
      </c>
      <c r="H282" s="539">
        <f t="shared" si="29"/>
        <v>32265</v>
      </c>
      <c r="J282" s="536"/>
      <c r="K282" s="824"/>
    </row>
    <row r="283" spans="3:11" ht="25.8" customHeight="1">
      <c r="C283" s="825">
        <v>3</v>
      </c>
      <c r="D283" s="212" t="s">
        <v>18</v>
      </c>
      <c r="E283" s="213" t="s">
        <v>6</v>
      </c>
      <c r="F283" s="829">
        <v>2.4E-2</v>
      </c>
      <c r="G283" s="539">
        <f>VLOOKUP(D283,upahbahan,3,FALSE)</f>
        <v>150000</v>
      </c>
      <c r="H283" s="539">
        <f t="shared" si="29"/>
        <v>3600</v>
      </c>
      <c r="J283" s="536"/>
      <c r="K283" s="824"/>
    </row>
    <row r="284" spans="3:11" ht="25.8" customHeight="1">
      <c r="C284" s="825">
        <v>4</v>
      </c>
      <c r="D284" s="212" t="s">
        <v>19</v>
      </c>
      <c r="E284" s="213" t="s">
        <v>6</v>
      </c>
      <c r="F284" s="829">
        <v>8.0000000000000002E-3</v>
      </c>
      <c r="G284" s="539">
        <f>VLOOKUP(D284,upahbahan,3,FALSE)</f>
        <v>160000</v>
      </c>
      <c r="H284" s="539">
        <f t="shared" si="29"/>
        <v>1280</v>
      </c>
      <c r="J284" s="536"/>
      <c r="K284" s="824"/>
    </row>
    <row r="285" spans="3:11" ht="25.8" customHeight="1">
      <c r="C285" s="702" t="s">
        <v>1208</v>
      </c>
      <c r="D285" s="208"/>
      <c r="E285" s="208"/>
      <c r="F285" s="521"/>
      <c r="G285" s="522"/>
      <c r="H285" s="539">
        <f>SUM(H281:H284)</f>
        <v>51445</v>
      </c>
      <c r="I285" s="819"/>
      <c r="J285" s="536"/>
      <c r="K285" s="824"/>
    </row>
    <row r="286" spans="3:11" ht="25.8" customHeight="1">
      <c r="C286" s="213" t="s">
        <v>1209</v>
      </c>
      <c r="D286" s="212" t="s">
        <v>1210</v>
      </c>
      <c r="E286" s="534"/>
      <c r="F286" s="534"/>
      <c r="G286" s="534"/>
      <c r="H286" s="534"/>
      <c r="J286" s="536"/>
      <c r="K286" s="824"/>
    </row>
    <row r="287" spans="3:11" ht="25.8" customHeight="1">
      <c r="C287" s="818">
        <v>1</v>
      </c>
      <c r="D287" s="820" t="s">
        <v>917</v>
      </c>
      <c r="E287" s="213" t="s">
        <v>113</v>
      </c>
      <c r="F287" s="538">
        <f>F270</f>
        <v>1.1499999999999999</v>
      </c>
      <c r="G287" s="539">
        <f>VLOOKUP(D287,upahbahan,3,FALSE)</f>
        <v>0</v>
      </c>
      <c r="H287" s="539">
        <f t="shared" ref="H287" si="30">F287*G287</f>
        <v>0</v>
      </c>
      <c r="J287" s="536"/>
      <c r="K287" s="824"/>
    </row>
    <row r="288" spans="3:11" ht="25.8" customHeight="1">
      <c r="C288" s="702" t="s">
        <v>1214</v>
      </c>
      <c r="D288" s="208"/>
      <c r="E288" s="208"/>
      <c r="F288" s="208"/>
      <c r="G288" s="209"/>
      <c r="H288" s="539">
        <f>SUM(H287:H287)</f>
        <v>0</v>
      </c>
      <c r="J288" s="536"/>
      <c r="K288" s="824"/>
    </row>
    <row r="289" spans="3:11" ht="25.8" customHeight="1">
      <c r="C289" s="213" t="s">
        <v>1215</v>
      </c>
      <c r="D289" s="212" t="s">
        <v>1216</v>
      </c>
      <c r="E289" s="534"/>
      <c r="F289" s="534"/>
      <c r="G289" s="534"/>
      <c r="H289" s="534"/>
      <c r="J289" s="536"/>
      <c r="K289" s="824"/>
    </row>
    <row r="290" spans="3:11" ht="25.8" customHeight="1">
      <c r="C290" s="702" t="s">
        <v>1217</v>
      </c>
      <c r="D290" s="208"/>
      <c r="E290" s="208"/>
      <c r="F290" s="208"/>
      <c r="G290" s="209"/>
      <c r="H290" s="821">
        <v>0</v>
      </c>
      <c r="J290" s="536"/>
      <c r="K290" s="824"/>
    </row>
    <row r="291" spans="3:11" ht="25.8" customHeight="1">
      <c r="C291" s="566" t="s">
        <v>1218</v>
      </c>
      <c r="D291" s="552" t="s">
        <v>1219</v>
      </c>
      <c r="E291" s="553"/>
      <c r="F291" s="553"/>
      <c r="G291" s="554"/>
      <c r="H291" s="826">
        <f>H290+H288+H285</f>
        <v>51445</v>
      </c>
      <c r="I291" s="827"/>
      <c r="J291" s="536"/>
      <c r="K291" s="824"/>
    </row>
    <row r="292" spans="3:11" ht="25.8" customHeight="1">
      <c r="C292" s="566" t="s">
        <v>1220</v>
      </c>
      <c r="D292" s="552" t="s">
        <v>1321</v>
      </c>
      <c r="E292" s="553"/>
      <c r="F292" s="554"/>
      <c r="G292" s="555">
        <f>$M$9</f>
        <v>0.1</v>
      </c>
      <c r="H292" s="539">
        <f>H291*G292</f>
        <v>5144.5</v>
      </c>
      <c r="I292" s="827"/>
      <c r="J292" s="536"/>
      <c r="K292" s="824"/>
    </row>
    <row r="293" spans="3:11" ht="25.8" customHeight="1">
      <c r="C293" s="566" t="s">
        <v>1221</v>
      </c>
      <c r="D293" s="552" t="s">
        <v>1222</v>
      </c>
      <c r="E293" s="553"/>
      <c r="F293" s="553"/>
      <c r="G293" s="554"/>
      <c r="H293" s="828">
        <f>SUM(H291:H292)</f>
        <v>56589.5</v>
      </c>
      <c r="I293" s="827"/>
      <c r="J293" s="536"/>
      <c r="K293" s="824"/>
    </row>
    <row r="294" spans="3:11" ht="25.8" customHeight="1">
      <c r="C294" s="572"/>
      <c r="D294" s="575"/>
      <c r="E294" s="575"/>
      <c r="F294" s="575"/>
      <c r="G294" s="575"/>
      <c r="H294" s="830"/>
      <c r="J294" s="536"/>
      <c r="K294" s="824"/>
    </row>
    <row r="295" spans="3:11" ht="25.8" customHeight="1">
      <c r="C295" s="513" t="s">
        <v>3237</v>
      </c>
      <c r="D295" s="817" t="s">
        <v>1645</v>
      </c>
      <c r="E295" s="803"/>
      <c r="F295" s="803"/>
      <c r="G295" s="803"/>
      <c r="H295" s="803"/>
      <c r="I295" s="533">
        <f>ROUNDDOWN(H310,-2)</f>
        <v>9400</v>
      </c>
      <c r="J295" s="536"/>
      <c r="K295" s="824"/>
    </row>
    <row r="296" spans="3:11" ht="25.8" customHeight="1">
      <c r="C296" s="716" t="s">
        <v>1195</v>
      </c>
      <c r="D296" s="716" t="s">
        <v>1196</v>
      </c>
      <c r="E296" s="716" t="s">
        <v>1197</v>
      </c>
      <c r="F296" s="716" t="s">
        <v>1198</v>
      </c>
      <c r="G296" s="716" t="s">
        <v>1199</v>
      </c>
      <c r="H296" s="716" t="s">
        <v>1200</v>
      </c>
      <c r="J296" s="536"/>
      <c r="K296" s="824"/>
    </row>
    <row r="297" spans="3:11" ht="25.8" customHeight="1">
      <c r="C297" s="212" t="s">
        <v>1201</v>
      </c>
      <c r="D297" s="212" t="s">
        <v>1202</v>
      </c>
      <c r="E297" s="534"/>
      <c r="F297" s="534"/>
      <c r="G297" s="534"/>
      <c r="H297" s="534"/>
      <c r="J297" s="536"/>
      <c r="K297" s="824"/>
    </row>
    <row r="298" spans="3:11" ht="25.8" customHeight="1">
      <c r="C298" s="825">
        <v>1</v>
      </c>
      <c r="D298" s="212" t="s">
        <v>5</v>
      </c>
      <c r="E298" s="212" t="s">
        <v>6</v>
      </c>
      <c r="F298" s="538">
        <v>2.4E-2</v>
      </c>
      <c r="G298" s="539">
        <f>VLOOKUP(D298,upahbahan,3,FALSE)</f>
        <v>100000</v>
      </c>
      <c r="H298" s="539">
        <f t="shared" ref="H298:H301" si="31">F298*G298</f>
        <v>2400</v>
      </c>
      <c r="J298" s="536"/>
      <c r="K298" s="824"/>
    </row>
    <row r="299" spans="3:11" ht="25.8" customHeight="1">
      <c r="C299" s="825">
        <v>2</v>
      </c>
      <c r="D299" s="212" t="str">
        <f>D282</f>
        <v>Tukang listrik</v>
      </c>
      <c r="E299" s="212" t="s">
        <v>6</v>
      </c>
      <c r="F299" s="538">
        <v>0.04</v>
      </c>
      <c r="G299" s="539">
        <f>VLOOKUP(D299,upahbahan,3,FALSE)</f>
        <v>135000</v>
      </c>
      <c r="H299" s="539">
        <f t="shared" si="31"/>
        <v>5400</v>
      </c>
      <c r="J299" s="536"/>
      <c r="K299" s="824"/>
    </row>
    <row r="300" spans="3:11" ht="25.8" customHeight="1">
      <c r="C300" s="825">
        <v>3</v>
      </c>
      <c r="D300" s="212" t="s">
        <v>18</v>
      </c>
      <c r="E300" s="212" t="s">
        <v>6</v>
      </c>
      <c r="F300" s="538">
        <v>4.0000000000000001E-3</v>
      </c>
      <c r="G300" s="539">
        <f>VLOOKUP(D300,upahbahan,3,FALSE)</f>
        <v>150000</v>
      </c>
      <c r="H300" s="539">
        <f t="shared" si="31"/>
        <v>600</v>
      </c>
      <c r="J300" s="536"/>
      <c r="K300" s="824"/>
    </row>
    <row r="301" spans="3:11" ht="25.8" customHeight="1">
      <c r="C301" s="825">
        <v>4</v>
      </c>
      <c r="D301" s="212" t="s">
        <v>19</v>
      </c>
      <c r="E301" s="212" t="s">
        <v>6</v>
      </c>
      <c r="F301" s="538">
        <v>1E-3</v>
      </c>
      <c r="G301" s="539">
        <f>VLOOKUP(D301,upahbahan,3,FALSE)</f>
        <v>160000</v>
      </c>
      <c r="H301" s="539">
        <f t="shared" si="31"/>
        <v>160</v>
      </c>
      <c r="J301" s="536"/>
      <c r="K301" s="824"/>
    </row>
    <row r="302" spans="3:11" ht="25.8" customHeight="1">
      <c r="C302" s="702" t="s">
        <v>1208</v>
      </c>
      <c r="D302" s="208"/>
      <c r="E302" s="208"/>
      <c r="F302" s="811"/>
      <c r="G302" s="522"/>
      <c r="H302" s="539">
        <f>SUM(H298:H301)</f>
        <v>8560</v>
      </c>
      <c r="I302" s="819"/>
      <c r="J302" s="536"/>
      <c r="K302" s="824"/>
    </row>
    <row r="303" spans="3:11" ht="25.8" customHeight="1">
      <c r="C303" s="212" t="s">
        <v>1209</v>
      </c>
      <c r="D303" s="212" t="s">
        <v>1210</v>
      </c>
      <c r="E303" s="534"/>
      <c r="F303" s="831"/>
      <c r="G303" s="534"/>
      <c r="H303" s="534"/>
      <c r="J303" s="536"/>
      <c r="K303" s="824"/>
    </row>
    <row r="304" spans="3:11" ht="25.8" customHeight="1">
      <c r="C304" s="825">
        <v>1</v>
      </c>
      <c r="D304" s="820" t="s">
        <v>920</v>
      </c>
      <c r="E304" s="807" t="s">
        <v>113</v>
      </c>
      <c r="F304" s="538">
        <v>1.1499999999999999</v>
      </c>
      <c r="G304" s="539">
        <f>VLOOKUP(D304,upahbahan,3,FALSE)</f>
        <v>0</v>
      </c>
      <c r="H304" s="539">
        <f t="shared" ref="H304" si="32">F304*G304</f>
        <v>0</v>
      </c>
      <c r="J304" s="536"/>
      <c r="K304" s="824"/>
    </row>
    <row r="305" spans="3:11" ht="25.8" customHeight="1">
      <c r="C305" s="702" t="s">
        <v>1214</v>
      </c>
      <c r="D305" s="208"/>
      <c r="E305" s="208"/>
      <c r="F305" s="208"/>
      <c r="G305" s="209"/>
      <c r="H305" s="539">
        <f>SUM(H304:H304)</f>
        <v>0</v>
      </c>
      <c r="J305" s="536"/>
      <c r="K305" s="824"/>
    </row>
    <row r="306" spans="3:11" ht="25.8" customHeight="1">
      <c r="C306" s="213" t="s">
        <v>1215</v>
      </c>
      <c r="D306" s="212" t="s">
        <v>1216</v>
      </c>
      <c r="E306" s="534"/>
      <c r="F306" s="534"/>
      <c r="G306" s="534"/>
      <c r="H306" s="534"/>
      <c r="J306" s="536"/>
      <c r="K306" s="824"/>
    </row>
    <row r="307" spans="3:11" ht="25.8" customHeight="1">
      <c r="C307" s="702" t="s">
        <v>1217</v>
      </c>
      <c r="D307" s="208"/>
      <c r="E307" s="208"/>
      <c r="F307" s="208"/>
      <c r="G307" s="209"/>
      <c r="H307" s="821">
        <v>0</v>
      </c>
      <c r="J307" s="536"/>
      <c r="K307" s="824"/>
    </row>
    <row r="308" spans="3:11" ht="25.8" customHeight="1">
      <c r="C308" s="566" t="s">
        <v>1218</v>
      </c>
      <c r="D308" s="552" t="s">
        <v>1219</v>
      </c>
      <c r="E308" s="553"/>
      <c r="F308" s="553"/>
      <c r="G308" s="554"/>
      <c r="H308" s="826">
        <f>H307+H305+H302</f>
        <v>8560</v>
      </c>
      <c r="I308" s="827"/>
      <c r="J308" s="536"/>
      <c r="K308" s="824"/>
    </row>
    <row r="309" spans="3:11" ht="25.8" customHeight="1">
      <c r="C309" s="566" t="s">
        <v>1220</v>
      </c>
      <c r="D309" s="552" t="s">
        <v>1321</v>
      </c>
      <c r="E309" s="553"/>
      <c r="F309" s="554"/>
      <c r="G309" s="555">
        <f>$M$9</f>
        <v>0.1</v>
      </c>
      <c r="H309" s="539">
        <f>H308*G309</f>
        <v>856</v>
      </c>
      <c r="I309" s="827"/>
      <c r="J309" s="536"/>
      <c r="K309" s="824"/>
    </row>
    <row r="310" spans="3:11" ht="25.8" customHeight="1">
      <c r="C310" s="566" t="s">
        <v>1221</v>
      </c>
      <c r="D310" s="552" t="s">
        <v>1222</v>
      </c>
      <c r="E310" s="553"/>
      <c r="F310" s="553"/>
      <c r="G310" s="554"/>
      <c r="H310" s="828">
        <f>SUM(H308:H309)</f>
        <v>9416</v>
      </c>
      <c r="I310" s="827"/>
      <c r="J310" s="536"/>
      <c r="K310" s="824"/>
    </row>
    <row r="311" spans="3:11" ht="25.8" customHeight="1">
      <c r="C311" s="562"/>
      <c r="D311" s="562"/>
      <c r="E311" s="562"/>
      <c r="F311" s="562"/>
      <c r="G311" s="562"/>
      <c r="H311" s="823"/>
      <c r="J311" s="536"/>
      <c r="K311" s="824"/>
    </row>
    <row r="312" spans="3:11" ht="25.8" customHeight="1">
      <c r="C312" s="513" t="s">
        <v>3238</v>
      </c>
      <c r="D312" s="817" t="s">
        <v>1646</v>
      </c>
      <c r="E312" s="803"/>
      <c r="F312" s="803"/>
      <c r="G312" s="803"/>
      <c r="H312" s="803"/>
      <c r="I312" s="533">
        <f>ROUNDDOWN(H327,-2)</f>
        <v>9400</v>
      </c>
      <c r="J312" s="536"/>
      <c r="K312" s="824"/>
    </row>
    <row r="313" spans="3:11" ht="25.8" customHeight="1">
      <c r="C313" s="716" t="s">
        <v>1195</v>
      </c>
      <c r="D313" s="716" t="s">
        <v>1196</v>
      </c>
      <c r="E313" s="716" t="s">
        <v>1197</v>
      </c>
      <c r="F313" s="716" t="s">
        <v>1198</v>
      </c>
      <c r="G313" s="716" t="s">
        <v>1199</v>
      </c>
      <c r="H313" s="716" t="s">
        <v>1200</v>
      </c>
      <c r="J313" s="536"/>
      <c r="K313" s="824"/>
    </row>
    <row r="314" spans="3:11" ht="25.8" customHeight="1">
      <c r="C314" s="212" t="s">
        <v>1201</v>
      </c>
      <c r="D314" s="212" t="s">
        <v>1202</v>
      </c>
      <c r="E314" s="534"/>
      <c r="F314" s="534"/>
      <c r="G314" s="534"/>
      <c r="H314" s="534"/>
      <c r="J314" s="536"/>
      <c r="K314" s="824"/>
    </row>
    <row r="315" spans="3:11" ht="25.8" customHeight="1">
      <c r="C315" s="825">
        <v>1</v>
      </c>
      <c r="D315" s="212" t="s">
        <v>5</v>
      </c>
      <c r="E315" s="212" t="s">
        <v>6</v>
      </c>
      <c r="F315" s="538">
        <v>2.4E-2</v>
      </c>
      <c r="G315" s="539">
        <f>VLOOKUP(D315,upahbahan,3,FALSE)</f>
        <v>100000</v>
      </c>
      <c r="H315" s="539">
        <f t="shared" ref="H315:H318" si="33">F315*G315</f>
        <v>2400</v>
      </c>
      <c r="J315" s="536"/>
      <c r="K315" s="824"/>
    </row>
    <row r="316" spans="3:11" ht="25.8" customHeight="1">
      <c r="C316" s="825">
        <v>2</v>
      </c>
      <c r="D316" s="212" t="str">
        <f>D299</f>
        <v>Tukang listrik</v>
      </c>
      <c r="E316" s="212" t="s">
        <v>6</v>
      </c>
      <c r="F316" s="538">
        <v>0.04</v>
      </c>
      <c r="G316" s="539">
        <f>VLOOKUP(D316,upahbahan,3,FALSE)</f>
        <v>135000</v>
      </c>
      <c r="H316" s="539">
        <f t="shared" si="33"/>
        <v>5400</v>
      </c>
      <c r="J316" s="536"/>
      <c r="K316" s="824"/>
    </row>
    <row r="317" spans="3:11" ht="25.8" customHeight="1">
      <c r="C317" s="825">
        <v>3</v>
      </c>
      <c r="D317" s="212" t="s">
        <v>18</v>
      </c>
      <c r="E317" s="212" t="s">
        <v>6</v>
      </c>
      <c r="F317" s="538">
        <v>4.0000000000000001E-3</v>
      </c>
      <c r="G317" s="539">
        <f>VLOOKUP(D317,upahbahan,3,FALSE)</f>
        <v>150000</v>
      </c>
      <c r="H317" s="539">
        <f t="shared" si="33"/>
        <v>600</v>
      </c>
      <c r="J317" s="536"/>
      <c r="K317" s="824"/>
    </row>
    <row r="318" spans="3:11" ht="25.8" customHeight="1">
      <c r="C318" s="825">
        <v>4</v>
      </c>
      <c r="D318" s="212" t="s">
        <v>19</v>
      </c>
      <c r="E318" s="212" t="s">
        <v>6</v>
      </c>
      <c r="F318" s="538">
        <v>1E-3</v>
      </c>
      <c r="G318" s="539">
        <f>VLOOKUP(D318,upahbahan,3,FALSE)</f>
        <v>160000</v>
      </c>
      <c r="H318" s="539">
        <f t="shared" si="33"/>
        <v>160</v>
      </c>
      <c r="J318" s="536"/>
      <c r="K318" s="824"/>
    </row>
    <row r="319" spans="3:11" ht="25.8" customHeight="1">
      <c r="C319" s="702" t="s">
        <v>1208</v>
      </c>
      <c r="D319" s="208"/>
      <c r="E319" s="208"/>
      <c r="F319" s="811"/>
      <c r="G319" s="522"/>
      <c r="H319" s="539">
        <f>SUM(H315:H318)</f>
        <v>8560</v>
      </c>
      <c r="I319" s="819"/>
      <c r="J319" s="536"/>
      <c r="K319" s="824"/>
    </row>
    <row r="320" spans="3:11" ht="25.8" customHeight="1">
      <c r="C320" s="212" t="s">
        <v>1209</v>
      </c>
      <c r="D320" s="212" t="s">
        <v>1210</v>
      </c>
      <c r="E320" s="534"/>
      <c r="F320" s="831"/>
      <c r="G320" s="534"/>
      <c r="H320" s="534"/>
      <c r="J320" s="536"/>
      <c r="K320" s="824"/>
    </row>
    <row r="321" spans="3:11" ht="25.8" customHeight="1">
      <c r="C321" s="825">
        <v>1</v>
      </c>
      <c r="D321" s="820" t="s">
        <v>923</v>
      </c>
      <c r="E321" s="807" t="s">
        <v>113</v>
      </c>
      <c r="F321" s="538">
        <v>1.1499999999999999</v>
      </c>
      <c r="G321" s="539">
        <f>VLOOKUP(D321,upahbahan,3,FALSE)</f>
        <v>0</v>
      </c>
      <c r="H321" s="539">
        <f>F321*G321</f>
        <v>0</v>
      </c>
      <c r="J321" s="536"/>
      <c r="K321" s="824"/>
    </row>
    <row r="322" spans="3:11" ht="25.8" customHeight="1">
      <c r="C322" s="702" t="s">
        <v>1214</v>
      </c>
      <c r="D322" s="208"/>
      <c r="E322" s="208"/>
      <c r="F322" s="208"/>
      <c r="G322" s="209"/>
      <c r="H322" s="539">
        <f>SUM(H321:H321)</f>
        <v>0</v>
      </c>
      <c r="J322" s="536"/>
      <c r="K322" s="824"/>
    </row>
    <row r="323" spans="3:11" ht="25.8" customHeight="1">
      <c r="C323" s="213" t="s">
        <v>1215</v>
      </c>
      <c r="D323" s="212" t="s">
        <v>1216</v>
      </c>
      <c r="E323" s="534"/>
      <c r="F323" s="534"/>
      <c r="G323" s="534"/>
      <c r="H323" s="534"/>
      <c r="J323" s="536"/>
      <c r="K323" s="824"/>
    </row>
    <row r="324" spans="3:11" ht="25.8" customHeight="1">
      <c r="C324" s="702" t="s">
        <v>1217</v>
      </c>
      <c r="D324" s="208"/>
      <c r="E324" s="208"/>
      <c r="F324" s="208"/>
      <c r="G324" s="209"/>
      <c r="H324" s="821">
        <v>0</v>
      </c>
      <c r="J324" s="536"/>
      <c r="K324" s="824"/>
    </row>
    <row r="325" spans="3:11" ht="25.8" customHeight="1">
      <c r="C325" s="566" t="s">
        <v>1218</v>
      </c>
      <c r="D325" s="552" t="s">
        <v>1219</v>
      </c>
      <c r="E325" s="553"/>
      <c r="F325" s="553"/>
      <c r="G325" s="554"/>
      <c r="H325" s="826">
        <f>H324+H322+H319</f>
        <v>8560</v>
      </c>
      <c r="I325" s="827"/>
      <c r="J325" s="536"/>
      <c r="K325" s="824"/>
    </row>
    <row r="326" spans="3:11" ht="25.8" customHeight="1">
      <c r="C326" s="566" t="s">
        <v>1220</v>
      </c>
      <c r="D326" s="552" t="s">
        <v>1321</v>
      </c>
      <c r="E326" s="553"/>
      <c r="F326" s="554"/>
      <c r="G326" s="555">
        <f>$M$9</f>
        <v>0.1</v>
      </c>
      <c r="H326" s="539">
        <f>H325*G326</f>
        <v>856</v>
      </c>
      <c r="I326" s="827"/>
      <c r="J326" s="536"/>
      <c r="K326" s="824"/>
    </row>
    <row r="327" spans="3:11" ht="25.8" customHeight="1">
      <c r="C327" s="566" t="s">
        <v>1221</v>
      </c>
      <c r="D327" s="552" t="s">
        <v>1222</v>
      </c>
      <c r="E327" s="553"/>
      <c r="F327" s="553"/>
      <c r="G327" s="554"/>
      <c r="H327" s="828">
        <f>SUM(H325:H326)</f>
        <v>9416</v>
      </c>
      <c r="I327" s="827"/>
      <c r="J327" s="536"/>
      <c r="K327" s="824"/>
    </row>
    <row r="328" spans="3:11" ht="25.8" customHeight="1">
      <c r="C328" s="572"/>
      <c r="D328" s="575"/>
      <c r="E328" s="575"/>
      <c r="F328" s="575"/>
      <c r="G328" s="575"/>
      <c r="H328" s="830"/>
      <c r="J328" s="536"/>
      <c r="K328" s="824"/>
    </row>
    <row r="329" spans="3:11" ht="25.8" customHeight="1">
      <c r="C329" s="513" t="s">
        <v>3239</v>
      </c>
      <c r="D329" s="817" t="s">
        <v>1647</v>
      </c>
      <c r="E329" s="803"/>
      <c r="F329" s="803"/>
      <c r="G329" s="803"/>
      <c r="H329" s="803"/>
      <c r="I329" s="533">
        <f>ROUNDDOWN(H344,-2)</f>
        <v>9400</v>
      </c>
      <c r="J329" s="536"/>
      <c r="K329" s="824"/>
    </row>
    <row r="330" spans="3:11" ht="25.8" customHeight="1">
      <c r="C330" s="716" t="s">
        <v>1195</v>
      </c>
      <c r="D330" s="716" t="s">
        <v>1196</v>
      </c>
      <c r="E330" s="716" t="s">
        <v>1197</v>
      </c>
      <c r="F330" s="716" t="s">
        <v>1198</v>
      </c>
      <c r="G330" s="716" t="s">
        <v>1199</v>
      </c>
      <c r="H330" s="716" t="s">
        <v>1200</v>
      </c>
      <c r="J330" s="536"/>
      <c r="K330" s="824"/>
    </row>
    <row r="331" spans="3:11" ht="25.8" customHeight="1">
      <c r="C331" s="212" t="s">
        <v>1201</v>
      </c>
      <c r="D331" s="212" t="s">
        <v>1202</v>
      </c>
      <c r="E331" s="534"/>
      <c r="F331" s="534"/>
      <c r="G331" s="534"/>
      <c r="H331" s="534"/>
      <c r="J331" s="536"/>
      <c r="K331" s="824"/>
    </row>
    <row r="332" spans="3:11" ht="25.8" customHeight="1">
      <c r="C332" s="825">
        <v>1</v>
      </c>
      <c r="D332" s="212" t="s">
        <v>5</v>
      </c>
      <c r="E332" s="212" t="s">
        <v>6</v>
      </c>
      <c r="F332" s="538">
        <v>2.4E-2</v>
      </c>
      <c r="G332" s="539">
        <f>VLOOKUP(D332,upahbahan,3,FALSE)</f>
        <v>100000</v>
      </c>
      <c r="H332" s="539">
        <f t="shared" ref="H332:H335" si="34">F332*G332</f>
        <v>2400</v>
      </c>
      <c r="J332" s="536"/>
      <c r="K332" s="824"/>
    </row>
    <row r="333" spans="3:11" ht="25.8" customHeight="1">
      <c r="C333" s="825">
        <v>2</v>
      </c>
      <c r="D333" s="212" t="str">
        <f>D316</f>
        <v>Tukang listrik</v>
      </c>
      <c r="E333" s="212" t="s">
        <v>6</v>
      </c>
      <c r="F333" s="538">
        <v>0.04</v>
      </c>
      <c r="G333" s="539">
        <f>VLOOKUP(D333,upahbahan,3,FALSE)</f>
        <v>135000</v>
      </c>
      <c r="H333" s="539">
        <f t="shared" si="34"/>
        <v>5400</v>
      </c>
      <c r="J333" s="536"/>
      <c r="K333" s="824"/>
    </row>
    <row r="334" spans="3:11" ht="25.8" customHeight="1">
      <c r="C334" s="825">
        <v>3</v>
      </c>
      <c r="D334" s="212" t="s">
        <v>18</v>
      </c>
      <c r="E334" s="212" t="s">
        <v>6</v>
      </c>
      <c r="F334" s="538">
        <v>4.0000000000000001E-3</v>
      </c>
      <c r="G334" s="539">
        <f>VLOOKUP(D334,upahbahan,3,FALSE)</f>
        <v>150000</v>
      </c>
      <c r="H334" s="539">
        <f t="shared" si="34"/>
        <v>600</v>
      </c>
      <c r="J334" s="536"/>
      <c r="K334" s="824"/>
    </row>
    <row r="335" spans="3:11" ht="25.8" customHeight="1">
      <c r="C335" s="825">
        <v>4</v>
      </c>
      <c r="D335" s="212" t="s">
        <v>19</v>
      </c>
      <c r="E335" s="212" t="s">
        <v>6</v>
      </c>
      <c r="F335" s="538">
        <v>1E-3</v>
      </c>
      <c r="G335" s="539">
        <f>VLOOKUP(D335,upahbahan,3,FALSE)</f>
        <v>160000</v>
      </c>
      <c r="H335" s="539">
        <f t="shared" si="34"/>
        <v>160</v>
      </c>
      <c r="J335" s="536"/>
      <c r="K335" s="824"/>
    </row>
    <row r="336" spans="3:11" ht="25.8" customHeight="1">
      <c r="C336" s="702" t="s">
        <v>1208</v>
      </c>
      <c r="D336" s="208"/>
      <c r="E336" s="208"/>
      <c r="F336" s="811"/>
      <c r="G336" s="522"/>
      <c r="H336" s="539">
        <f>SUM(H332:H335)</f>
        <v>8560</v>
      </c>
      <c r="I336" s="819"/>
      <c r="J336" s="536"/>
      <c r="K336" s="824"/>
    </row>
    <row r="337" spans="3:11" ht="25.8" customHeight="1">
      <c r="C337" s="212" t="s">
        <v>1209</v>
      </c>
      <c r="D337" s="212" t="s">
        <v>1210</v>
      </c>
      <c r="E337" s="534"/>
      <c r="F337" s="831"/>
      <c r="G337" s="534"/>
      <c r="H337" s="534"/>
      <c r="J337" s="536"/>
      <c r="K337" s="824"/>
    </row>
    <row r="338" spans="3:11" ht="25.8" customHeight="1">
      <c r="C338" s="825">
        <v>1</v>
      </c>
      <c r="D338" s="820" t="s">
        <v>924</v>
      </c>
      <c r="E338" s="807" t="s">
        <v>113</v>
      </c>
      <c r="F338" s="538">
        <v>1.1499999999999999</v>
      </c>
      <c r="G338" s="539">
        <f>VLOOKUP(D338,upahbahan,3,FALSE)</f>
        <v>0</v>
      </c>
      <c r="H338" s="539">
        <f t="shared" ref="H338" si="35">F338*G338</f>
        <v>0</v>
      </c>
      <c r="J338" s="536"/>
      <c r="K338" s="824"/>
    </row>
    <row r="339" spans="3:11" ht="25.8" customHeight="1">
      <c r="C339" s="702" t="s">
        <v>1214</v>
      </c>
      <c r="D339" s="208"/>
      <c r="E339" s="208"/>
      <c r="F339" s="208"/>
      <c r="G339" s="209"/>
      <c r="H339" s="539">
        <f>SUM(H338:H338)</f>
        <v>0</v>
      </c>
      <c r="J339" s="536"/>
      <c r="K339" s="824"/>
    </row>
    <row r="340" spans="3:11" ht="25.8" customHeight="1">
      <c r="C340" s="213" t="s">
        <v>1215</v>
      </c>
      <c r="D340" s="212" t="s">
        <v>1216</v>
      </c>
      <c r="E340" s="534"/>
      <c r="F340" s="534"/>
      <c r="G340" s="534"/>
      <c r="H340" s="534"/>
      <c r="J340" s="536"/>
      <c r="K340" s="824"/>
    </row>
    <row r="341" spans="3:11" ht="25.8" customHeight="1">
      <c r="C341" s="702" t="s">
        <v>1217</v>
      </c>
      <c r="D341" s="208"/>
      <c r="E341" s="208"/>
      <c r="F341" s="208"/>
      <c r="G341" s="209"/>
      <c r="H341" s="821">
        <v>0</v>
      </c>
      <c r="J341" s="536"/>
      <c r="K341" s="824"/>
    </row>
    <row r="342" spans="3:11" ht="25.8" customHeight="1">
      <c r="C342" s="566" t="s">
        <v>1218</v>
      </c>
      <c r="D342" s="552" t="s">
        <v>1219</v>
      </c>
      <c r="E342" s="553"/>
      <c r="F342" s="553"/>
      <c r="G342" s="554"/>
      <c r="H342" s="826">
        <f>H341+H339+H336</f>
        <v>8560</v>
      </c>
      <c r="I342" s="827"/>
      <c r="J342" s="536"/>
      <c r="K342" s="824"/>
    </row>
    <row r="343" spans="3:11" ht="25.8" customHeight="1">
      <c r="C343" s="566" t="s">
        <v>1220</v>
      </c>
      <c r="D343" s="552" t="s">
        <v>1321</v>
      </c>
      <c r="E343" s="553"/>
      <c r="F343" s="554"/>
      <c r="G343" s="555">
        <f>$M$9</f>
        <v>0.1</v>
      </c>
      <c r="H343" s="539">
        <f>H342*G343</f>
        <v>856</v>
      </c>
      <c r="I343" s="827"/>
      <c r="J343" s="536"/>
      <c r="K343" s="824"/>
    </row>
    <row r="344" spans="3:11" ht="25.8" customHeight="1">
      <c r="C344" s="566" t="s">
        <v>1221</v>
      </c>
      <c r="D344" s="552" t="s">
        <v>1222</v>
      </c>
      <c r="E344" s="553"/>
      <c r="F344" s="553"/>
      <c r="G344" s="554"/>
      <c r="H344" s="828">
        <f>SUM(H342:H343)</f>
        <v>9416</v>
      </c>
      <c r="I344" s="827"/>
      <c r="J344" s="536"/>
      <c r="K344" s="824"/>
    </row>
    <row r="345" spans="3:11" ht="25.8" customHeight="1">
      <c r="C345" s="572"/>
      <c r="D345" s="575"/>
      <c r="E345" s="575"/>
      <c r="F345" s="575"/>
      <c r="G345" s="575"/>
      <c r="H345" s="830"/>
      <c r="J345" s="536"/>
      <c r="K345" s="824"/>
    </row>
    <row r="346" spans="3:11" ht="25.8" customHeight="1">
      <c r="C346" s="513" t="s">
        <v>3240</v>
      </c>
      <c r="D346" s="817" t="s">
        <v>1648</v>
      </c>
      <c r="E346" s="803"/>
      <c r="F346" s="803"/>
      <c r="G346" s="803"/>
      <c r="H346" s="803"/>
      <c r="I346" s="533">
        <f>ROUNDDOWN(H361,-2)</f>
        <v>9400</v>
      </c>
      <c r="J346" s="536"/>
      <c r="K346" s="824"/>
    </row>
    <row r="347" spans="3:11" ht="25.8" customHeight="1">
      <c r="C347" s="716" t="s">
        <v>1195</v>
      </c>
      <c r="D347" s="716" t="s">
        <v>1196</v>
      </c>
      <c r="E347" s="716" t="s">
        <v>1197</v>
      </c>
      <c r="F347" s="716" t="s">
        <v>1198</v>
      </c>
      <c r="G347" s="716" t="s">
        <v>1199</v>
      </c>
      <c r="H347" s="716" t="s">
        <v>1200</v>
      </c>
      <c r="J347" s="536"/>
      <c r="K347" s="824"/>
    </row>
    <row r="348" spans="3:11" ht="25.8" customHeight="1">
      <c r="C348" s="213" t="s">
        <v>1201</v>
      </c>
      <c r="D348" s="212" t="s">
        <v>1202</v>
      </c>
      <c r="E348" s="534"/>
      <c r="F348" s="534"/>
      <c r="G348" s="534"/>
      <c r="H348" s="534"/>
      <c r="J348" s="536"/>
      <c r="K348" s="824"/>
    </row>
    <row r="349" spans="3:11" ht="25.8" customHeight="1">
      <c r="C349" s="818">
        <v>1</v>
      </c>
      <c r="D349" s="212" t="s">
        <v>5</v>
      </c>
      <c r="E349" s="212" t="s">
        <v>6</v>
      </c>
      <c r="F349" s="538">
        <v>2.4E-2</v>
      </c>
      <c r="G349" s="539">
        <f>VLOOKUP(D349,upahbahan,3,FALSE)</f>
        <v>100000</v>
      </c>
      <c r="H349" s="539">
        <f t="shared" ref="H349:H352" si="36">F349*G349</f>
        <v>2400</v>
      </c>
      <c r="J349" s="536"/>
      <c r="K349" s="824"/>
    </row>
    <row r="350" spans="3:11" ht="25.8" customHeight="1">
      <c r="C350" s="818">
        <v>2</v>
      </c>
      <c r="D350" s="212" t="str">
        <f>D333</f>
        <v>Tukang listrik</v>
      </c>
      <c r="E350" s="212" t="s">
        <v>6</v>
      </c>
      <c r="F350" s="538">
        <v>0.04</v>
      </c>
      <c r="G350" s="539">
        <f>VLOOKUP(D350,upahbahan,3,FALSE)</f>
        <v>135000</v>
      </c>
      <c r="H350" s="539">
        <f t="shared" si="36"/>
        <v>5400</v>
      </c>
      <c r="J350" s="536"/>
      <c r="K350" s="824"/>
    </row>
    <row r="351" spans="3:11" ht="25.8" customHeight="1">
      <c r="C351" s="818">
        <v>3</v>
      </c>
      <c r="D351" s="212" t="s">
        <v>18</v>
      </c>
      <c r="E351" s="212" t="s">
        <v>6</v>
      </c>
      <c r="F351" s="538">
        <v>4.0000000000000001E-3</v>
      </c>
      <c r="G351" s="539">
        <f>VLOOKUP(D351,upahbahan,3,FALSE)</f>
        <v>150000</v>
      </c>
      <c r="H351" s="539">
        <f t="shared" si="36"/>
        <v>600</v>
      </c>
      <c r="J351" s="536"/>
      <c r="K351" s="824"/>
    </row>
    <row r="352" spans="3:11" ht="25.8" customHeight="1">
      <c r="C352" s="818">
        <v>4</v>
      </c>
      <c r="D352" s="212" t="s">
        <v>19</v>
      </c>
      <c r="E352" s="212" t="s">
        <v>6</v>
      </c>
      <c r="F352" s="538">
        <v>1E-3</v>
      </c>
      <c r="G352" s="539">
        <f>VLOOKUP(D352,upahbahan,3,FALSE)</f>
        <v>160000</v>
      </c>
      <c r="H352" s="539">
        <f t="shared" si="36"/>
        <v>160</v>
      </c>
      <c r="J352" s="536"/>
      <c r="K352" s="824"/>
    </row>
    <row r="353" spans="3:11" ht="25.8" customHeight="1">
      <c r="C353" s="702" t="s">
        <v>1208</v>
      </c>
      <c r="D353" s="208"/>
      <c r="E353" s="208"/>
      <c r="F353" s="811"/>
      <c r="G353" s="522"/>
      <c r="H353" s="539">
        <f>SUM(H349:H352)</f>
        <v>8560</v>
      </c>
      <c r="I353" s="819"/>
      <c r="J353" s="536"/>
      <c r="K353" s="824"/>
    </row>
    <row r="354" spans="3:11" ht="25.8" customHeight="1">
      <c r="C354" s="213" t="s">
        <v>1209</v>
      </c>
      <c r="D354" s="212" t="s">
        <v>1210</v>
      </c>
      <c r="E354" s="534"/>
      <c r="F354" s="831"/>
      <c r="G354" s="534"/>
      <c r="H354" s="534"/>
      <c r="J354" s="536"/>
      <c r="K354" s="824"/>
    </row>
    <row r="355" spans="3:11" ht="25.8" customHeight="1">
      <c r="C355" s="818">
        <v>1</v>
      </c>
      <c r="D355" s="820" t="s">
        <v>925</v>
      </c>
      <c r="E355" s="807" t="s">
        <v>113</v>
      </c>
      <c r="F355" s="538">
        <v>1.1499999999999999</v>
      </c>
      <c r="G355" s="539">
        <f>VLOOKUP(D355,upahbahan,3,FALSE)</f>
        <v>0</v>
      </c>
      <c r="H355" s="539">
        <f t="shared" ref="H355" si="37">F355*G355</f>
        <v>0</v>
      </c>
      <c r="J355" s="536"/>
      <c r="K355" s="824"/>
    </row>
    <row r="356" spans="3:11" ht="25.8" customHeight="1">
      <c r="C356" s="702" t="s">
        <v>1214</v>
      </c>
      <c r="D356" s="208"/>
      <c r="E356" s="208"/>
      <c r="F356" s="208"/>
      <c r="G356" s="209"/>
      <c r="H356" s="539">
        <f>SUM(H355:H355)</f>
        <v>0</v>
      </c>
      <c r="J356" s="536"/>
      <c r="K356" s="824"/>
    </row>
    <row r="357" spans="3:11" ht="25.8" customHeight="1">
      <c r="C357" s="213" t="s">
        <v>1215</v>
      </c>
      <c r="D357" s="212" t="s">
        <v>1216</v>
      </c>
      <c r="E357" s="534"/>
      <c r="F357" s="534"/>
      <c r="G357" s="534"/>
      <c r="H357" s="534"/>
      <c r="J357" s="536"/>
      <c r="K357" s="824"/>
    </row>
    <row r="358" spans="3:11" ht="25.8" customHeight="1">
      <c r="C358" s="702" t="s">
        <v>1217</v>
      </c>
      <c r="D358" s="208"/>
      <c r="E358" s="208"/>
      <c r="F358" s="208"/>
      <c r="G358" s="209"/>
      <c r="H358" s="821">
        <v>0</v>
      </c>
      <c r="J358" s="536"/>
      <c r="K358" s="824"/>
    </row>
    <row r="359" spans="3:11" ht="25.8" customHeight="1">
      <c r="C359" s="566" t="s">
        <v>1218</v>
      </c>
      <c r="D359" s="552" t="s">
        <v>1219</v>
      </c>
      <c r="E359" s="553"/>
      <c r="F359" s="553"/>
      <c r="G359" s="554"/>
      <c r="H359" s="826">
        <f>H358+H356+H353</f>
        <v>8560</v>
      </c>
      <c r="I359" s="827"/>
      <c r="J359" s="536"/>
      <c r="K359" s="824"/>
    </row>
    <row r="360" spans="3:11" ht="25.8" customHeight="1">
      <c r="C360" s="566" t="s">
        <v>1220</v>
      </c>
      <c r="D360" s="552" t="s">
        <v>1321</v>
      </c>
      <c r="E360" s="553"/>
      <c r="F360" s="554"/>
      <c r="G360" s="555">
        <f>$M$9</f>
        <v>0.1</v>
      </c>
      <c r="H360" s="539">
        <f>H359*G360</f>
        <v>856</v>
      </c>
      <c r="I360" s="827"/>
      <c r="J360" s="536"/>
      <c r="K360" s="824"/>
    </row>
    <row r="361" spans="3:11" ht="25.8" customHeight="1">
      <c r="C361" s="566" t="s">
        <v>1221</v>
      </c>
      <c r="D361" s="552" t="s">
        <v>1222</v>
      </c>
      <c r="E361" s="553"/>
      <c r="F361" s="553"/>
      <c r="G361" s="554"/>
      <c r="H361" s="828">
        <f>SUM(H359:H360)</f>
        <v>9416</v>
      </c>
      <c r="I361" s="827"/>
      <c r="J361" s="536"/>
      <c r="K361" s="824"/>
    </row>
    <row r="362" spans="3:11" ht="25.8" customHeight="1">
      <c r="C362" s="572"/>
      <c r="D362" s="575"/>
      <c r="E362" s="575"/>
      <c r="F362" s="575"/>
      <c r="G362" s="575"/>
      <c r="H362" s="830"/>
      <c r="J362" s="536"/>
      <c r="K362" s="824"/>
    </row>
    <row r="363" spans="3:11" ht="25.8" customHeight="1">
      <c r="C363" s="513" t="s">
        <v>3241</v>
      </c>
      <c r="D363" s="817" t="s">
        <v>1649</v>
      </c>
      <c r="E363" s="803"/>
      <c r="F363" s="803"/>
      <c r="G363" s="803"/>
      <c r="H363" s="803"/>
      <c r="I363" s="533">
        <f>ROUNDDOWN(H378,-2)</f>
        <v>9400</v>
      </c>
      <c r="J363" s="536"/>
      <c r="K363" s="824"/>
    </row>
    <row r="364" spans="3:11" ht="25.8" customHeight="1">
      <c r="C364" s="716" t="s">
        <v>1195</v>
      </c>
      <c r="D364" s="716" t="s">
        <v>1196</v>
      </c>
      <c r="E364" s="716" t="s">
        <v>1197</v>
      </c>
      <c r="F364" s="716" t="s">
        <v>1198</v>
      </c>
      <c r="G364" s="716" t="s">
        <v>1199</v>
      </c>
      <c r="H364" s="716" t="s">
        <v>1200</v>
      </c>
      <c r="J364" s="536"/>
      <c r="K364" s="824"/>
    </row>
    <row r="365" spans="3:11" ht="25.8" customHeight="1">
      <c r="C365" s="212" t="s">
        <v>1201</v>
      </c>
      <c r="D365" s="212" t="s">
        <v>1202</v>
      </c>
      <c r="E365" s="534"/>
      <c r="F365" s="534"/>
      <c r="G365" s="534"/>
      <c r="H365" s="534"/>
      <c r="J365" s="536"/>
      <c r="K365" s="824"/>
    </row>
    <row r="366" spans="3:11" ht="25.8" customHeight="1">
      <c r="C366" s="825">
        <v>1</v>
      </c>
      <c r="D366" s="212" t="s">
        <v>5</v>
      </c>
      <c r="E366" s="212" t="s">
        <v>6</v>
      </c>
      <c r="F366" s="538">
        <v>2.4E-2</v>
      </c>
      <c r="G366" s="539">
        <f>VLOOKUP(D366,upahbahan,3,FALSE)</f>
        <v>100000</v>
      </c>
      <c r="H366" s="539">
        <f t="shared" ref="H366:H369" si="38">F366*G366</f>
        <v>2400</v>
      </c>
      <c r="J366" s="536"/>
      <c r="K366" s="824"/>
    </row>
    <row r="367" spans="3:11" ht="25.8" customHeight="1">
      <c r="C367" s="825">
        <v>2</v>
      </c>
      <c r="D367" s="212" t="str">
        <f>D350</f>
        <v>Tukang listrik</v>
      </c>
      <c r="E367" s="212" t="s">
        <v>6</v>
      </c>
      <c r="F367" s="538">
        <v>0.04</v>
      </c>
      <c r="G367" s="539">
        <f>VLOOKUP(D367,upahbahan,3,FALSE)</f>
        <v>135000</v>
      </c>
      <c r="H367" s="539">
        <f t="shared" si="38"/>
        <v>5400</v>
      </c>
      <c r="J367" s="536"/>
      <c r="K367" s="824"/>
    </row>
    <row r="368" spans="3:11" ht="25.8" customHeight="1">
      <c r="C368" s="825">
        <v>3</v>
      </c>
      <c r="D368" s="212" t="s">
        <v>18</v>
      </c>
      <c r="E368" s="212" t="s">
        <v>6</v>
      </c>
      <c r="F368" s="538">
        <v>4.0000000000000001E-3</v>
      </c>
      <c r="G368" s="539">
        <f>VLOOKUP(D368,upahbahan,3,FALSE)</f>
        <v>150000</v>
      </c>
      <c r="H368" s="539">
        <f t="shared" si="38"/>
        <v>600</v>
      </c>
      <c r="J368" s="536"/>
      <c r="K368" s="824"/>
    </row>
    <row r="369" spans="3:11" ht="25.8" customHeight="1">
      <c r="C369" s="825">
        <v>4</v>
      </c>
      <c r="D369" s="212" t="s">
        <v>19</v>
      </c>
      <c r="E369" s="212" t="s">
        <v>6</v>
      </c>
      <c r="F369" s="538">
        <v>1E-3</v>
      </c>
      <c r="G369" s="539">
        <f>VLOOKUP(D369,upahbahan,3,FALSE)</f>
        <v>160000</v>
      </c>
      <c r="H369" s="539">
        <f t="shared" si="38"/>
        <v>160</v>
      </c>
      <c r="J369" s="536"/>
      <c r="K369" s="824"/>
    </row>
    <row r="370" spans="3:11" ht="25.8" customHeight="1">
      <c r="C370" s="702" t="s">
        <v>1208</v>
      </c>
      <c r="D370" s="208"/>
      <c r="E370" s="208"/>
      <c r="F370" s="811"/>
      <c r="G370" s="522"/>
      <c r="H370" s="539">
        <f>SUM(H366:H369)</f>
        <v>8560</v>
      </c>
      <c r="I370" s="819"/>
      <c r="J370" s="536"/>
      <c r="K370" s="824"/>
    </row>
    <row r="371" spans="3:11" ht="25.8" customHeight="1">
      <c r="C371" s="212" t="s">
        <v>1209</v>
      </c>
      <c r="D371" s="212" t="s">
        <v>1210</v>
      </c>
      <c r="E371" s="534"/>
      <c r="F371" s="831"/>
      <c r="G371" s="534"/>
      <c r="H371" s="534"/>
      <c r="J371" s="536"/>
      <c r="K371" s="824"/>
    </row>
    <row r="372" spans="3:11" ht="25.8" customHeight="1">
      <c r="C372" s="825">
        <v>1</v>
      </c>
      <c r="D372" s="820" t="s">
        <v>921</v>
      </c>
      <c r="E372" s="807" t="s">
        <v>113</v>
      </c>
      <c r="F372" s="538">
        <v>1.1499999999999999</v>
      </c>
      <c r="G372" s="539">
        <f>VLOOKUP(D372,upahbahan,3,FALSE)</f>
        <v>0</v>
      </c>
      <c r="H372" s="539">
        <f t="shared" ref="H372" si="39">F372*G372</f>
        <v>0</v>
      </c>
      <c r="J372" s="536"/>
      <c r="K372" s="824"/>
    </row>
    <row r="373" spans="3:11" ht="25.8" customHeight="1">
      <c r="C373" s="702" t="s">
        <v>1214</v>
      </c>
      <c r="D373" s="208"/>
      <c r="E373" s="208"/>
      <c r="F373" s="208"/>
      <c r="G373" s="209"/>
      <c r="H373" s="539">
        <f>SUM(H372:H372)</f>
        <v>0</v>
      </c>
      <c r="J373" s="536"/>
      <c r="K373" s="824"/>
    </row>
    <row r="374" spans="3:11" ht="25.8" customHeight="1">
      <c r="C374" s="213" t="s">
        <v>1215</v>
      </c>
      <c r="D374" s="212" t="s">
        <v>1216</v>
      </c>
      <c r="E374" s="534"/>
      <c r="F374" s="534"/>
      <c r="G374" s="534"/>
      <c r="H374" s="534"/>
      <c r="J374" s="536"/>
      <c r="K374" s="824"/>
    </row>
    <row r="375" spans="3:11" ht="25.8" customHeight="1">
      <c r="C375" s="702" t="s">
        <v>1217</v>
      </c>
      <c r="D375" s="208"/>
      <c r="E375" s="208"/>
      <c r="F375" s="208"/>
      <c r="G375" s="209"/>
      <c r="H375" s="821">
        <v>0</v>
      </c>
      <c r="J375" s="536"/>
      <c r="K375" s="824"/>
    </row>
    <row r="376" spans="3:11" ht="25.8" customHeight="1">
      <c r="C376" s="566" t="s">
        <v>1218</v>
      </c>
      <c r="D376" s="552" t="s">
        <v>1219</v>
      </c>
      <c r="E376" s="553"/>
      <c r="F376" s="553"/>
      <c r="G376" s="554"/>
      <c r="H376" s="826">
        <f>H375+H373+H370</f>
        <v>8560</v>
      </c>
      <c r="I376" s="827"/>
      <c r="J376" s="536"/>
      <c r="K376" s="824"/>
    </row>
    <row r="377" spans="3:11" ht="25.8" customHeight="1">
      <c r="C377" s="566" t="s">
        <v>1220</v>
      </c>
      <c r="D377" s="552" t="s">
        <v>1321</v>
      </c>
      <c r="E377" s="553"/>
      <c r="F377" s="554"/>
      <c r="G377" s="555">
        <f>$M$9</f>
        <v>0.1</v>
      </c>
      <c r="H377" s="539">
        <f>H376*G377</f>
        <v>856</v>
      </c>
      <c r="I377" s="827"/>
      <c r="J377" s="536"/>
      <c r="K377" s="824"/>
    </row>
    <row r="378" spans="3:11" ht="25.8" customHeight="1">
      <c r="C378" s="566" t="s">
        <v>1221</v>
      </c>
      <c r="D378" s="552" t="s">
        <v>1222</v>
      </c>
      <c r="E378" s="553"/>
      <c r="F378" s="553"/>
      <c r="G378" s="554"/>
      <c r="H378" s="828">
        <f>SUM(H376:H377)</f>
        <v>9416</v>
      </c>
      <c r="I378" s="827"/>
      <c r="J378" s="536"/>
      <c r="K378" s="824"/>
    </row>
    <row r="379" spans="3:11" ht="25.8" customHeight="1">
      <c r="C379" s="572"/>
      <c r="D379" s="575"/>
      <c r="E379" s="575"/>
      <c r="F379" s="575"/>
      <c r="G379" s="575"/>
      <c r="H379" s="830"/>
      <c r="J379" s="536"/>
      <c r="K379" s="824"/>
    </row>
    <row r="380" spans="3:11" ht="25.8" customHeight="1">
      <c r="C380" s="513" t="s">
        <v>3242</v>
      </c>
      <c r="D380" s="817" t="s">
        <v>1650</v>
      </c>
      <c r="E380" s="803"/>
      <c r="F380" s="803"/>
      <c r="G380" s="803"/>
      <c r="H380" s="803"/>
      <c r="I380" s="533">
        <f>ROUNDDOWN(H395,-2)</f>
        <v>9400</v>
      </c>
      <c r="J380" s="536"/>
      <c r="K380" s="824"/>
    </row>
    <row r="381" spans="3:11" ht="25.8" customHeight="1">
      <c r="C381" s="716" t="s">
        <v>1195</v>
      </c>
      <c r="D381" s="716" t="s">
        <v>1196</v>
      </c>
      <c r="E381" s="716" t="s">
        <v>1197</v>
      </c>
      <c r="F381" s="716" t="s">
        <v>1198</v>
      </c>
      <c r="G381" s="716" t="s">
        <v>1199</v>
      </c>
      <c r="H381" s="716" t="s">
        <v>1200</v>
      </c>
      <c r="J381" s="536"/>
      <c r="K381" s="824"/>
    </row>
    <row r="382" spans="3:11" ht="25.8" customHeight="1">
      <c r="C382" s="212" t="s">
        <v>1201</v>
      </c>
      <c r="D382" s="212" t="s">
        <v>1202</v>
      </c>
      <c r="E382" s="534"/>
      <c r="F382" s="534"/>
      <c r="G382" s="534"/>
      <c r="H382" s="534"/>
      <c r="J382" s="536"/>
      <c r="K382" s="824"/>
    </row>
    <row r="383" spans="3:11" ht="25.8" customHeight="1">
      <c r="C383" s="825">
        <v>1</v>
      </c>
      <c r="D383" s="212" t="s">
        <v>5</v>
      </c>
      <c r="E383" s="212" t="s">
        <v>6</v>
      </c>
      <c r="F383" s="538">
        <v>2.4E-2</v>
      </c>
      <c r="G383" s="539">
        <f>VLOOKUP(D383,upahbahan,3,FALSE)</f>
        <v>100000</v>
      </c>
      <c r="H383" s="539">
        <f t="shared" ref="H383:H386" si="40">F383*G383</f>
        <v>2400</v>
      </c>
      <c r="J383" s="536"/>
      <c r="K383" s="824"/>
    </row>
    <row r="384" spans="3:11" ht="25.8" customHeight="1">
      <c r="C384" s="825">
        <v>2</v>
      </c>
      <c r="D384" s="212" t="str">
        <f>D367</f>
        <v>Tukang listrik</v>
      </c>
      <c r="E384" s="212" t="s">
        <v>6</v>
      </c>
      <c r="F384" s="538">
        <v>0.04</v>
      </c>
      <c r="G384" s="539">
        <f>VLOOKUP(D384,upahbahan,3,FALSE)</f>
        <v>135000</v>
      </c>
      <c r="H384" s="539">
        <f t="shared" si="40"/>
        <v>5400</v>
      </c>
      <c r="J384" s="536"/>
      <c r="K384" s="824"/>
    </row>
    <row r="385" spans="3:11" ht="25.8" customHeight="1">
      <c r="C385" s="825">
        <v>3</v>
      </c>
      <c r="D385" s="212" t="s">
        <v>18</v>
      </c>
      <c r="E385" s="212" t="s">
        <v>6</v>
      </c>
      <c r="F385" s="538">
        <v>4.0000000000000001E-3</v>
      </c>
      <c r="G385" s="539">
        <f>VLOOKUP(D385,upahbahan,3,FALSE)</f>
        <v>150000</v>
      </c>
      <c r="H385" s="539">
        <f t="shared" si="40"/>
        <v>600</v>
      </c>
      <c r="J385" s="536"/>
      <c r="K385" s="824"/>
    </row>
    <row r="386" spans="3:11" ht="25.8" customHeight="1">
      <c r="C386" s="825">
        <v>4</v>
      </c>
      <c r="D386" s="212" t="s">
        <v>19</v>
      </c>
      <c r="E386" s="212" t="s">
        <v>6</v>
      </c>
      <c r="F386" s="538">
        <v>1E-3</v>
      </c>
      <c r="G386" s="539">
        <f>VLOOKUP(D386,upahbahan,3,FALSE)</f>
        <v>160000</v>
      </c>
      <c r="H386" s="539">
        <f t="shared" si="40"/>
        <v>160</v>
      </c>
      <c r="J386" s="536"/>
      <c r="K386" s="824"/>
    </row>
    <row r="387" spans="3:11" ht="25.8" customHeight="1">
      <c r="C387" s="702" t="s">
        <v>1208</v>
      </c>
      <c r="D387" s="208"/>
      <c r="E387" s="208"/>
      <c r="F387" s="811"/>
      <c r="G387" s="522"/>
      <c r="H387" s="539">
        <f>SUM(H383:H386)</f>
        <v>8560</v>
      </c>
      <c r="I387" s="819"/>
      <c r="J387" s="536"/>
      <c r="K387" s="824"/>
    </row>
    <row r="388" spans="3:11" ht="25.8" customHeight="1">
      <c r="C388" s="212" t="s">
        <v>1209</v>
      </c>
      <c r="D388" s="212" t="s">
        <v>1210</v>
      </c>
      <c r="E388" s="534"/>
      <c r="F388" s="831"/>
      <c r="G388" s="534"/>
      <c r="H388" s="534"/>
      <c r="J388" s="536"/>
      <c r="K388" s="824"/>
    </row>
    <row r="389" spans="3:11" ht="25.8" customHeight="1">
      <c r="C389" s="825">
        <v>1</v>
      </c>
      <c r="D389" s="820" t="s">
        <v>922</v>
      </c>
      <c r="E389" s="807" t="s">
        <v>113</v>
      </c>
      <c r="F389" s="538">
        <v>1.1499999999999999</v>
      </c>
      <c r="G389" s="539">
        <f>VLOOKUP(D389,upahbahan,3,FALSE)</f>
        <v>0</v>
      </c>
      <c r="H389" s="539">
        <f t="shared" ref="H389" si="41">F389*G389</f>
        <v>0</v>
      </c>
      <c r="J389" s="536"/>
      <c r="K389" s="824"/>
    </row>
    <row r="390" spans="3:11" ht="25.8" customHeight="1">
      <c r="C390" s="702" t="s">
        <v>1214</v>
      </c>
      <c r="D390" s="208"/>
      <c r="E390" s="208"/>
      <c r="F390" s="208"/>
      <c r="G390" s="209"/>
      <c r="H390" s="539">
        <f>SUM(H389:H389)</f>
        <v>0</v>
      </c>
      <c r="J390" s="536"/>
      <c r="K390" s="824"/>
    </row>
    <row r="391" spans="3:11" ht="25.8" customHeight="1">
      <c r="C391" s="213" t="s">
        <v>1215</v>
      </c>
      <c r="D391" s="212" t="s">
        <v>1216</v>
      </c>
      <c r="E391" s="534"/>
      <c r="F391" s="534"/>
      <c r="G391" s="534"/>
      <c r="H391" s="534"/>
      <c r="J391" s="536"/>
      <c r="K391" s="824"/>
    </row>
    <row r="392" spans="3:11" ht="25.8" customHeight="1">
      <c r="C392" s="702" t="s">
        <v>1217</v>
      </c>
      <c r="D392" s="208"/>
      <c r="E392" s="208"/>
      <c r="F392" s="208"/>
      <c r="G392" s="209"/>
      <c r="H392" s="821">
        <v>0</v>
      </c>
      <c r="J392" s="536"/>
      <c r="K392" s="824"/>
    </row>
    <row r="393" spans="3:11" ht="25.8" customHeight="1">
      <c r="C393" s="566" t="s">
        <v>1218</v>
      </c>
      <c r="D393" s="552" t="s">
        <v>1219</v>
      </c>
      <c r="E393" s="553"/>
      <c r="F393" s="553"/>
      <c r="G393" s="554"/>
      <c r="H393" s="826">
        <f>H392+H390+H387</f>
        <v>8560</v>
      </c>
      <c r="I393" s="827"/>
      <c r="J393" s="536"/>
      <c r="K393" s="824"/>
    </row>
    <row r="394" spans="3:11" ht="25.8" customHeight="1">
      <c r="C394" s="566" t="s">
        <v>1220</v>
      </c>
      <c r="D394" s="552" t="s">
        <v>1321</v>
      </c>
      <c r="E394" s="553"/>
      <c r="F394" s="554"/>
      <c r="G394" s="555">
        <f>$M$9</f>
        <v>0.1</v>
      </c>
      <c r="H394" s="539">
        <f>H393*G394</f>
        <v>856</v>
      </c>
      <c r="I394" s="827"/>
      <c r="J394" s="536"/>
      <c r="K394" s="824"/>
    </row>
    <row r="395" spans="3:11" ht="25.8" customHeight="1">
      <c r="C395" s="566" t="s">
        <v>1221</v>
      </c>
      <c r="D395" s="552" t="s">
        <v>1222</v>
      </c>
      <c r="E395" s="553"/>
      <c r="F395" s="553"/>
      <c r="G395" s="554"/>
      <c r="H395" s="828">
        <f>SUM(H393:H394)</f>
        <v>9416</v>
      </c>
      <c r="I395" s="827"/>
      <c r="J395" s="536"/>
      <c r="K395" s="824"/>
    </row>
    <row r="396" spans="3:11" ht="25.8" customHeight="1">
      <c r="C396" s="572"/>
      <c r="D396" s="575"/>
      <c r="E396" s="575"/>
      <c r="F396" s="575"/>
      <c r="G396" s="575"/>
      <c r="H396" s="830"/>
      <c r="J396" s="536"/>
      <c r="K396" s="824"/>
    </row>
    <row r="397" spans="3:11" ht="25.8" customHeight="1">
      <c r="C397" s="513" t="s">
        <v>3243</v>
      </c>
      <c r="D397" s="817" t="s">
        <v>1651</v>
      </c>
      <c r="E397" s="803"/>
      <c r="F397" s="803"/>
      <c r="G397" s="803"/>
      <c r="H397" s="803"/>
      <c r="I397" s="533">
        <f>ROUNDDOWN(H412,-2)</f>
        <v>28300</v>
      </c>
      <c r="J397" s="536"/>
      <c r="K397" s="824"/>
    </row>
    <row r="398" spans="3:11" ht="25.8" customHeight="1">
      <c r="C398" s="716" t="s">
        <v>1195</v>
      </c>
      <c r="D398" s="716" t="s">
        <v>1196</v>
      </c>
      <c r="E398" s="716" t="s">
        <v>1197</v>
      </c>
      <c r="F398" s="716" t="s">
        <v>1198</v>
      </c>
      <c r="G398" s="716" t="s">
        <v>1199</v>
      </c>
      <c r="H398" s="716" t="s">
        <v>1200</v>
      </c>
      <c r="J398" s="536"/>
      <c r="K398" s="824"/>
    </row>
    <row r="399" spans="3:11" ht="25.8" customHeight="1">
      <c r="C399" s="212" t="s">
        <v>1201</v>
      </c>
      <c r="D399" s="212" t="s">
        <v>1202</v>
      </c>
      <c r="E399" s="534"/>
      <c r="F399" s="534"/>
      <c r="G399" s="534"/>
      <c r="H399" s="534"/>
      <c r="J399" s="536"/>
      <c r="K399" s="824"/>
    </row>
    <row r="400" spans="3:11" ht="25.8" customHeight="1">
      <c r="C400" s="825">
        <v>1</v>
      </c>
      <c r="D400" s="212" t="s">
        <v>5</v>
      </c>
      <c r="E400" s="212" t="s">
        <v>6</v>
      </c>
      <c r="F400" s="538">
        <v>2.4E-2</v>
      </c>
      <c r="G400" s="539">
        <f>VLOOKUP(D400,upahbahan,3,FALSE)</f>
        <v>100000</v>
      </c>
      <c r="H400" s="539">
        <f>F400*G400</f>
        <v>2400</v>
      </c>
      <c r="J400" s="536"/>
      <c r="K400" s="824"/>
    </row>
    <row r="401" spans="3:11" ht="25.8" customHeight="1">
      <c r="C401" s="825">
        <v>2</v>
      </c>
      <c r="D401" s="212" t="str">
        <f>D384</f>
        <v>Tukang listrik</v>
      </c>
      <c r="E401" s="212" t="s">
        <v>6</v>
      </c>
      <c r="F401" s="538">
        <v>0.04</v>
      </c>
      <c r="G401" s="539">
        <f>VLOOKUP(D401,upahbahan,3,FALSE)</f>
        <v>135000</v>
      </c>
      <c r="H401" s="539">
        <f t="shared" ref="H401:H403" si="42">F401*G401</f>
        <v>5400</v>
      </c>
      <c r="J401" s="536"/>
      <c r="K401" s="824"/>
    </row>
    <row r="402" spans="3:11" ht="25.8" customHeight="1">
      <c r="C402" s="825">
        <v>3</v>
      </c>
      <c r="D402" s="212" t="s">
        <v>18</v>
      </c>
      <c r="E402" s="212" t="s">
        <v>6</v>
      </c>
      <c r="F402" s="538">
        <v>4.0000000000000001E-3</v>
      </c>
      <c r="G402" s="539">
        <f>VLOOKUP(D402,upahbahan,3,FALSE)</f>
        <v>150000</v>
      </c>
      <c r="H402" s="539">
        <f t="shared" si="42"/>
        <v>600</v>
      </c>
      <c r="J402" s="536"/>
      <c r="K402" s="824"/>
    </row>
    <row r="403" spans="3:11" ht="25.8" customHeight="1">
      <c r="C403" s="825">
        <v>4</v>
      </c>
      <c r="D403" s="212" t="s">
        <v>19</v>
      </c>
      <c r="E403" s="212" t="s">
        <v>6</v>
      </c>
      <c r="F403" s="538">
        <v>1E-3</v>
      </c>
      <c r="G403" s="539">
        <f>VLOOKUP(D403,upahbahan,3,FALSE)</f>
        <v>160000</v>
      </c>
      <c r="H403" s="539">
        <f t="shared" si="42"/>
        <v>160</v>
      </c>
      <c r="J403" s="536"/>
      <c r="K403" s="824"/>
    </row>
    <row r="404" spans="3:11" ht="25.8" customHeight="1">
      <c r="C404" s="702" t="s">
        <v>1208</v>
      </c>
      <c r="D404" s="208"/>
      <c r="E404" s="208"/>
      <c r="F404" s="811"/>
      <c r="G404" s="522"/>
      <c r="H404" s="539">
        <f>SUM(H400:H403)</f>
        <v>8560</v>
      </c>
      <c r="I404" s="819"/>
      <c r="J404" s="536"/>
      <c r="K404" s="824"/>
    </row>
    <row r="405" spans="3:11" ht="25.8" customHeight="1">
      <c r="C405" s="212" t="s">
        <v>1209</v>
      </c>
      <c r="D405" s="212" t="s">
        <v>1210</v>
      </c>
      <c r="E405" s="534"/>
      <c r="F405" s="831"/>
      <c r="G405" s="534"/>
      <c r="H405" s="534"/>
      <c r="J405" s="536"/>
      <c r="K405" s="824"/>
    </row>
    <row r="406" spans="3:11" ht="25.8" customHeight="1">
      <c r="C406" s="825">
        <v>1</v>
      </c>
      <c r="D406" s="820" t="s">
        <v>926</v>
      </c>
      <c r="E406" s="807" t="s">
        <v>113</v>
      </c>
      <c r="F406" s="538">
        <v>1.1499999999999999</v>
      </c>
      <c r="G406" s="539">
        <f>VLOOKUP(D406,upahbahan,3,FALSE)</f>
        <v>15000</v>
      </c>
      <c r="H406" s="539">
        <f t="shared" ref="H406" si="43">F406*G406</f>
        <v>17250</v>
      </c>
      <c r="J406" s="536"/>
      <c r="K406" s="824"/>
    </row>
    <row r="407" spans="3:11" ht="25.8" customHeight="1">
      <c r="C407" s="702" t="s">
        <v>1214</v>
      </c>
      <c r="D407" s="208"/>
      <c r="E407" s="208"/>
      <c r="F407" s="208"/>
      <c r="G407" s="209"/>
      <c r="H407" s="539">
        <f>SUM(H406:H406)</f>
        <v>17250</v>
      </c>
      <c r="J407" s="536"/>
      <c r="K407" s="824"/>
    </row>
    <row r="408" spans="3:11" ht="25.8" customHeight="1">
      <c r="C408" s="213" t="s">
        <v>1215</v>
      </c>
      <c r="D408" s="212" t="s">
        <v>1216</v>
      </c>
      <c r="E408" s="534"/>
      <c r="F408" s="534"/>
      <c r="G408" s="534"/>
      <c r="H408" s="534"/>
      <c r="J408" s="536"/>
      <c r="K408" s="824"/>
    </row>
    <row r="409" spans="3:11" ht="25.8" customHeight="1">
      <c r="C409" s="702" t="s">
        <v>1217</v>
      </c>
      <c r="D409" s="208"/>
      <c r="E409" s="208"/>
      <c r="F409" s="208"/>
      <c r="G409" s="209"/>
      <c r="H409" s="821">
        <v>0</v>
      </c>
      <c r="J409" s="536"/>
      <c r="K409" s="824"/>
    </row>
    <row r="410" spans="3:11" ht="25.8" customHeight="1">
      <c r="C410" s="566" t="s">
        <v>1218</v>
      </c>
      <c r="D410" s="552" t="s">
        <v>1219</v>
      </c>
      <c r="E410" s="553"/>
      <c r="F410" s="553"/>
      <c r="G410" s="554"/>
      <c r="H410" s="826">
        <f>H409+H407+H404</f>
        <v>25810</v>
      </c>
      <c r="I410" s="827"/>
      <c r="J410" s="536"/>
      <c r="K410" s="824"/>
    </row>
    <row r="411" spans="3:11" ht="25.8" customHeight="1">
      <c r="C411" s="566" t="s">
        <v>1220</v>
      </c>
      <c r="D411" s="552" t="s">
        <v>1321</v>
      </c>
      <c r="E411" s="553"/>
      <c r="F411" s="554"/>
      <c r="G411" s="555">
        <f>$M$9</f>
        <v>0.1</v>
      </c>
      <c r="H411" s="539">
        <f>H410*G411</f>
        <v>2581</v>
      </c>
      <c r="I411" s="827"/>
      <c r="J411" s="536"/>
      <c r="K411" s="824"/>
    </row>
    <row r="412" spans="3:11" ht="25.8" customHeight="1">
      <c r="C412" s="566" t="s">
        <v>1221</v>
      </c>
      <c r="D412" s="552" t="s">
        <v>1222</v>
      </c>
      <c r="E412" s="553"/>
      <c r="F412" s="553"/>
      <c r="G412" s="554"/>
      <c r="H412" s="828">
        <f>SUM(H410:H411)</f>
        <v>28391</v>
      </c>
      <c r="I412" s="827"/>
      <c r="J412" s="536"/>
      <c r="K412" s="824"/>
    </row>
    <row r="413" spans="3:11" ht="25.8" customHeight="1">
      <c r="C413" s="572"/>
      <c r="D413" s="575"/>
      <c r="E413" s="575"/>
      <c r="F413" s="575"/>
      <c r="G413" s="575"/>
      <c r="H413" s="830"/>
      <c r="J413" s="536"/>
      <c r="K413" s="824"/>
    </row>
    <row r="414" spans="3:11" ht="25.8" customHeight="1">
      <c r="C414" s="513" t="s">
        <v>3244</v>
      </c>
      <c r="D414" s="817" t="s">
        <v>1652</v>
      </c>
      <c r="E414" s="803"/>
      <c r="F414" s="803"/>
      <c r="G414" s="803"/>
      <c r="H414" s="803"/>
      <c r="I414" s="533">
        <f>ROUNDDOWN(H429,-2)</f>
        <v>9400</v>
      </c>
      <c r="J414" s="536"/>
      <c r="K414" s="824"/>
    </row>
    <row r="415" spans="3:11" ht="25.8" customHeight="1">
      <c r="C415" s="716" t="s">
        <v>1195</v>
      </c>
      <c r="D415" s="716" t="s">
        <v>1196</v>
      </c>
      <c r="E415" s="716" t="s">
        <v>1197</v>
      </c>
      <c r="F415" s="716" t="s">
        <v>1198</v>
      </c>
      <c r="G415" s="716" t="s">
        <v>1199</v>
      </c>
      <c r="H415" s="716" t="s">
        <v>1200</v>
      </c>
      <c r="J415" s="536"/>
      <c r="K415" s="824"/>
    </row>
    <row r="416" spans="3:11" ht="25.8" customHeight="1">
      <c r="C416" s="212" t="s">
        <v>1201</v>
      </c>
      <c r="D416" s="212" t="s">
        <v>1202</v>
      </c>
      <c r="E416" s="534"/>
      <c r="F416" s="534"/>
      <c r="G416" s="534"/>
      <c r="H416" s="534"/>
      <c r="J416" s="536"/>
      <c r="K416" s="824"/>
    </row>
    <row r="417" spans="3:11" ht="25.8" customHeight="1">
      <c r="C417" s="825">
        <v>1</v>
      </c>
      <c r="D417" s="212" t="s">
        <v>5</v>
      </c>
      <c r="E417" s="212" t="s">
        <v>6</v>
      </c>
      <c r="F417" s="538">
        <v>2.4E-2</v>
      </c>
      <c r="G417" s="539">
        <f>VLOOKUP(D417,upahbahan,3,FALSE)</f>
        <v>100000</v>
      </c>
      <c r="H417" s="539">
        <f t="shared" ref="H417:H420" si="44">F417*G417</f>
        <v>2400</v>
      </c>
      <c r="J417" s="536"/>
      <c r="K417" s="824"/>
    </row>
    <row r="418" spans="3:11" ht="25.8" customHeight="1">
      <c r="C418" s="825">
        <v>2</v>
      </c>
      <c r="D418" s="212" t="str">
        <f>D401</f>
        <v>Tukang listrik</v>
      </c>
      <c r="E418" s="212" t="s">
        <v>6</v>
      </c>
      <c r="F418" s="538">
        <v>0.04</v>
      </c>
      <c r="G418" s="539">
        <f>VLOOKUP(D418,upahbahan,3,FALSE)</f>
        <v>135000</v>
      </c>
      <c r="H418" s="539">
        <f t="shared" si="44"/>
        <v>5400</v>
      </c>
      <c r="J418" s="536"/>
      <c r="K418" s="824"/>
    </row>
    <row r="419" spans="3:11" ht="25.8" customHeight="1">
      <c r="C419" s="825">
        <v>3</v>
      </c>
      <c r="D419" s="212" t="s">
        <v>18</v>
      </c>
      <c r="E419" s="212" t="s">
        <v>6</v>
      </c>
      <c r="F419" s="538">
        <v>4.0000000000000001E-3</v>
      </c>
      <c r="G419" s="539">
        <f>VLOOKUP(D419,upahbahan,3,FALSE)</f>
        <v>150000</v>
      </c>
      <c r="H419" s="539">
        <f t="shared" si="44"/>
        <v>600</v>
      </c>
      <c r="J419" s="536"/>
      <c r="K419" s="824"/>
    </row>
    <row r="420" spans="3:11" ht="25.8" customHeight="1">
      <c r="C420" s="825">
        <v>4</v>
      </c>
      <c r="D420" s="212" t="s">
        <v>19</v>
      </c>
      <c r="E420" s="212" t="s">
        <v>6</v>
      </c>
      <c r="F420" s="538">
        <v>1E-3</v>
      </c>
      <c r="G420" s="539">
        <f>VLOOKUP(D420,upahbahan,3,FALSE)</f>
        <v>160000</v>
      </c>
      <c r="H420" s="539">
        <f t="shared" si="44"/>
        <v>160</v>
      </c>
      <c r="J420" s="536"/>
      <c r="K420" s="824"/>
    </row>
    <row r="421" spans="3:11" ht="25.8" customHeight="1">
      <c r="C421" s="702" t="s">
        <v>1208</v>
      </c>
      <c r="D421" s="208"/>
      <c r="E421" s="208"/>
      <c r="F421" s="811"/>
      <c r="G421" s="522"/>
      <c r="H421" s="539">
        <f>SUM(H417:H420)</f>
        <v>8560</v>
      </c>
      <c r="I421" s="819"/>
      <c r="J421" s="536"/>
      <c r="K421" s="824"/>
    </row>
    <row r="422" spans="3:11" ht="25.8" customHeight="1">
      <c r="C422" s="212" t="s">
        <v>1209</v>
      </c>
      <c r="D422" s="212" t="s">
        <v>1210</v>
      </c>
      <c r="E422" s="534"/>
      <c r="F422" s="831"/>
      <c r="G422" s="534"/>
      <c r="H422" s="534"/>
      <c r="J422" s="536"/>
      <c r="K422" s="824"/>
    </row>
    <row r="423" spans="3:11" ht="25.8" customHeight="1">
      <c r="C423" s="825">
        <v>1</v>
      </c>
      <c r="D423" s="820" t="s">
        <v>929</v>
      </c>
      <c r="E423" s="807" t="s">
        <v>113</v>
      </c>
      <c r="F423" s="538">
        <v>1.1499999999999999</v>
      </c>
      <c r="G423" s="539">
        <f>VLOOKUP(D423,upahbahan,3,FALSE)</f>
        <v>0</v>
      </c>
      <c r="H423" s="539">
        <f t="shared" ref="H423" si="45">F423*G423</f>
        <v>0</v>
      </c>
      <c r="J423" s="536"/>
      <c r="K423" s="824"/>
    </row>
    <row r="424" spans="3:11" ht="25.8" customHeight="1">
      <c r="C424" s="702" t="s">
        <v>1214</v>
      </c>
      <c r="D424" s="208"/>
      <c r="E424" s="208"/>
      <c r="F424" s="208"/>
      <c r="G424" s="209"/>
      <c r="H424" s="539">
        <f>SUM(H423:H423)</f>
        <v>0</v>
      </c>
      <c r="J424" s="536"/>
      <c r="K424" s="824"/>
    </row>
    <row r="425" spans="3:11" ht="25.8" customHeight="1">
      <c r="C425" s="213" t="s">
        <v>1215</v>
      </c>
      <c r="D425" s="212" t="s">
        <v>1216</v>
      </c>
      <c r="E425" s="534"/>
      <c r="F425" s="534"/>
      <c r="G425" s="534"/>
      <c r="H425" s="534"/>
      <c r="J425" s="536"/>
      <c r="K425" s="824"/>
    </row>
    <row r="426" spans="3:11" ht="25.8" customHeight="1">
      <c r="C426" s="702" t="s">
        <v>1217</v>
      </c>
      <c r="D426" s="208"/>
      <c r="E426" s="208"/>
      <c r="F426" s="208"/>
      <c r="G426" s="209"/>
      <c r="H426" s="821">
        <v>0</v>
      </c>
      <c r="J426" s="536"/>
      <c r="K426" s="824"/>
    </row>
    <row r="427" spans="3:11" ht="25.8" customHeight="1">
      <c r="C427" s="566" t="s">
        <v>1218</v>
      </c>
      <c r="D427" s="552" t="s">
        <v>1219</v>
      </c>
      <c r="E427" s="553"/>
      <c r="F427" s="553"/>
      <c r="G427" s="554"/>
      <c r="H427" s="826">
        <f>H426+H424+H421</f>
        <v>8560</v>
      </c>
      <c r="I427" s="827"/>
      <c r="J427" s="536"/>
      <c r="K427" s="824"/>
    </row>
    <row r="428" spans="3:11" ht="25.8" customHeight="1">
      <c r="C428" s="566" t="s">
        <v>1220</v>
      </c>
      <c r="D428" s="552" t="s">
        <v>1321</v>
      </c>
      <c r="E428" s="553"/>
      <c r="F428" s="554"/>
      <c r="G428" s="555">
        <f>$M$9</f>
        <v>0.1</v>
      </c>
      <c r="H428" s="539">
        <f>H427*G428</f>
        <v>856</v>
      </c>
      <c r="I428" s="827"/>
      <c r="J428" s="536"/>
      <c r="K428" s="824"/>
    </row>
    <row r="429" spans="3:11" ht="25.8" customHeight="1">
      <c r="C429" s="566" t="s">
        <v>1221</v>
      </c>
      <c r="D429" s="552" t="s">
        <v>1222</v>
      </c>
      <c r="E429" s="553"/>
      <c r="F429" s="553"/>
      <c r="G429" s="554"/>
      <c r="H429" s="828">
        <f>SUM(H427:H428)</f>
        <v>9416</v>
      </c>
      <c r="I429" s="827"/>
      <c r="J429" s="536"/>
      <c r="K429" s="824"/>
    </row>
    <row r="430" spans="3:11" ht="25.8" customHeight="1">
      <c r="C430" s="572"/>
      <c r="D430" s="575"/>
      <c r="E430" s="575"/>
      <c r="F430" s="575"/>
      <c r="G430" s="575"/>
      <c r="H430" s="830"/>
      <c r="J430" s="536"/>
      <c r="K430" s="824"/>
    </row>
    <row r="431" spans="3:11" ht="25.8" customHeight="1">
      <c r="C431" s="513" t="s">
        <v>3245</v>
      </c>
      <c r="D431" s="817" t="s">
        <v>1653</v>
      </c>
      <c r="E431" s="803"/>
      <c r="F431" s="803"/>
      <c r="G431" s="803"/>
      <c r="H431" s="803"/>
      <c r="I431" s="533">
        <f>ROUNDDOWN(H446,-2)</f>
        <v>11400</v>
      </c>
      <c r="J431" s="536"/>
      <c r="K431" s="824"/>
    </row>
    <row r="432" spans="3:11" ht="25.8" customHeight="1">
      <c r="C432" s="716" t="s">
        <v>1195</v>
      </c>
      <c r="D432" s="716" t="s">
        <v>1196</v>
      </c>
      <c r="E432" s="716" t="s">
        <v>1197</v>
      </c>
      <c r="F432" s="716" t="s">
        <v>1198</v>
      </c>
      <c r="G432" s="716" t="s">
        <v>1199</v>
      </c>
      <c r="H432" s="716" t="s">
        <v>1200</v>
      </c>
      <c r="J432" s="536"/>
      <c r="K432" s="824"/>
    </row>
    <row r="433" spans="3:11" ht="25.8" customHeight="1">
      <c r="C433" s="212" t="s">
        <v>1201</v>
      </c>
      <c r="D433" s="212" t="s">
        <v>1202</v>
      </c>
      <c r="E433" s="534"/>
      <c r="F433" s="534"/>
      <c r="G433" s="534"/>
      <c r="H433" s="534"/>
      <c r="J433" s="536"/>
      <c r="K433" s="824"/>
    </row>
    <row r="434" spans="3:11" ht="25.8" customHeight="1">
      <c r="C434" s="825">
        <v>1</v>
      </c>
      <c r="D434" s="212" t="s">
        <v>5</v>
      </c>
      <c r="E434" s="212" t="s">
        <v>6</v>
      </c>
      <c r="F434" s="829">
        <v>2.9000000000000001E-2</v>
      </c>
      <c r="G434" s="539">
        <f>VLOOKUP(D434,upahbahan,3,FALSE)</f>
        <v>100000</v>
      </c>
      <c r="H434" s="539">
        <f t="shared" ref="H434:H437" si="46">F434*G434</f>
        <v>2900</v>
      </c>
      <c r="J434" s="536"/>
      <c r="K434" s="824"/>
    </row>
    <row r="435" spans="3:11" ht="25.8" customHeight="1">
      <c r="C435" s="825">
        <v>2</v>
      </c>
      <c r="D435" s="212" t="str">
        <f>D418</f>
        <v>Tukang listrik</v>
      </c>
      <c r="E435" s="212" t="s">
        <v>6</v>
      </c>
      <c r="F435" s="829">
        <v>4.8000000000000001E-2</v>
      </c>
      <c r="G435" s="539">
        <f>VLOOKUP(D435,upahbahan,3,FALSE)</f>
        <v>135000</v>
      </c>
      <c r="H435" s="539">
        <f t="shared" si="46"/>
        <v>6480</v>
      </c>
      <c r="J435" s="536"/>
      <c r="K435" s="824"/>
    </row>
    <row r="436" spans="3:11" ht="25.8" customHeight="1">
      <c r="C436" s="825">
        <v>3</v>
      </c>
      <c r="D436" s="212" t="s">
        <v>18</v>
      </c>
      <c r="E436" s="212" t="s">
        <v>6</v>
      </c>
      <c r="F436" s="829">
        <v>5.0000000000000001E-3</v>
      </c>
      <c r="G436" s="539">
        <f>VLOOKUP(D436,upahbahan,3,FALSE)</f>
        <v>150000</v>
      </c>
      <c r="H436" s="539">
        <f t="shared" si="46"/>
        <v>750</v>
      </c>
      <c r="J436" s="536"/>
      <c r="K436" s="824"/>
    </row>
    <row r="437" spans="3:11" ht="25.8" customHeight="1">
      <c r="C437" s="825">
        <v>4</v>
      </c>
      <c r="D437" s="212" t="s">
        <v>19</v>
      </c>
      <c r="E437" s="212" t="s">
        <v>6</v>
      </c>
      <c r="F437" s="829">
        <v>2E-3</v>
      </c>
      <c r="G437" s="539">
        <f>VLOOKUP(D437,upahbahan,3,FALSE)</f>
        <v>160000</v>
      </c>
      <c r="H437" s="539">
        <f t="shared" si="46"/>
        <v>320</v>
      </c>
      <c r="J437" s="536"/>
      <c r="K437" s="824"/>
    </row>
    <row r="438" spans="3:11" ht="25.8" customHeight="1">
      <c r="C438" s="702" t="s">
        <v>1208</v>
      </c>
      <c r="D438" s="208"/>
      <c r="E438" s="208"/>
      <c r="F438" s="521"/>
      <c r="G438" s="522"/>
      <c r="H438" s="539">
        <f>SUM(H434:H437)</f>
        <v>10450</v>
      </c>
      <c r="I438" s="819"/>
      <c r="J438" s="536"/>
      <c r="K438" s="824"/>
    </row>
    <row r="439" spans="3:11" ht="25.8" customHeight="1">
      <c r="C439" s="212" t="s">
        <v>1209</v>
      </c>
      <c r="D439" s="212" t="s">
        <v>1210</v>
      </c>
      <c r="E439" s="534"/>
      <c r="F439" s="534"/>
      <c r="G439" s="534"/>
      <c r="H439" s="534"/>
      <c r="J439" s="536"/>
      <c r="K439" s="824"/>
    </row>
    <row r="440" spans="3:11" ht="25.8" customHeight="1">
      <c r="C440" s="825">
        <v>1</v>
      </c>
      <c r="D440" s="820" t="s">
        <v>932</v>
      </c>
      <c r="E440" s="807" t="s">
        <v>113</v>
      </c>
      <c r="F440" s="832">
        <f>F423</f>
        <v>1.1499999999999999</v>
      </c>
      <c r="G440" s="539">
        <f>VLOOKUP(D440,upahbahan,3,FALSE)</f>
        <v>0</v>
      </c>
      <c r="H440" s="539">
        <f t="shared" ref="H440" si="47">F440*G440</f>
        <v>0</v>
      </c>
      <c r="J440" s="536"/>
      <c r="K440" s="824"/>
    </row>
    <row r="441" spans="3:11" ht="25.8" customHeight="1">
      <c r="C441" s="702" t="s">
        <v>1214</v>
      </c>
      <c r="D441" s="208"/>
      <c r="E441" s="208"/>
      <c r="F441" s="208"/>
      <c r="G441" s="209"/>
      <c r="H441" s="539">
        <f>SUM(H440:H440)</f>
        <v>0</v>
      </c>
      <c r="J441" s="536"/>
      <c r="K441" s="824"/>
    </row>
    <row r="442" spans="3:11" ht="25.8" customHeight="1">
      <c r="C442" s="213" t="s">
        <v>1215</v>
      </c>
      <c r="D442" s="212" t="s">
        <v>1216</v>
      </c>
      <c r="E442" s="534"/>
      <c r="F442" s="534"/>
      <c r="G442" s="534"/>
      <c r="H442" s="534"/>
      <c r="J442" s="536"/>
      <c r="K442" s="824"/>
    </row>
    <row r="443" spans="3:11" ht="25.8" customHeight="1">
      <c r="C443" s="702" t="s">
        <v>1217</v>
      </c>
      <c r="D443" s="208"/>
      <c r="E443" s="208"/>
      <c r="F443" s="208"/>
      <c r="G443" s="209"/>
      <c r="H443" s="821">
        <v>0</v>
      </c>
      <c r="J443" s="536"/>
      <c r="K443" s="824"/>
    </row>
    <row r="444" spans="3:11" ht="25.8" customHeight="1">
      <c r="C444" s="566" t="s">
        <v>1218</v>
      </c>
      <c r="D444" s="552" t="s">
        <v>1219</v>
      </c>
      <c r="E444" s="553"/>
      <c r="F444" s="553"/>
      <c r="G444" s="554"/>
      <c r="H444" s="826">
        <f>H443+H441+H438</f>
        <v>10450</v>
      </c>
      <c r="I444" s="827"/>
      <c r="J444" s="536"/>
      <c r="K444" s="824"/>
    </row>
    <row r="445" spans="3:11" ht="25.8" customHeight="1">
      <c r="C445" s="566" t="s">
        <v>1220</v>
      </c>
      <c r="D445" s="552" t="s">
        <v>1321</v>
      </c>
      <c r="E445" s="553"/>
      <c r="F445" s="554"/>
      <c r="G445" s="555">
        <f>$M$9</f>
        <v>0.1</v>
      </c>
      <c r="H445" s="539">
        <f>H444*G445</f>
        <v>1045</v>
      </c>
      <c r="I445" s="827"/>
      <c r="J445" s="536"/>
      <c r="K445" s="824"/>
    </row>
    <row r="446" spans="3:11" ht="25.8" customHeight="1">
      <c r="C446" s="566" t="s">
        <v>1221</v>
      </c>
      <c r="D446" s="552" t="s">
        <v>1222</v>
      </c>
      <c r="E446" s="553"/>
      <c r="F446" s="553"/>
      <c r="G446" s="554"/>
      <c r="H446" s="828">
        <f>SUM(H444:H445)</f>
        <v>11495</v>
      </c>
      <c r="I446" s="827"/>
      <c r="J446" s="536"/>
      <c r="K446" s="824"/>
    </row>
    <row r="447" spans="3:11" ht="25.8" customHeight="1">
      <c r="C447" s="572"/>
      <c r="D447" s="575"/>
      <c r="E447" s="575"/>
      <c r="F447" s="575"/>
      <c r="G447" s="575"/>
      <c r="H447" s="830"/>
      <c r="J447" s="536"/>
      <c r="K447" s="824"/>
    </row>
    <row r="448" spans="3:11" ht="25.8" customHeight="1">
      <c r="C448" s="513" t="s">
        <v>3246</v>
      </c>
      <c r="D448" s="817" t="s">
        <v>1654</v>
      </c>
      <c r="E448" s="803"/>
      <c r="F448" s="803"/>
      <c r="G448" s="803"/>
      <c r="H448" s="803"/>
      <c r="I448" s="533">
        <f>ROUNDDOWN(H463,-2)</f>
        <v>11400</v>
      </c>
      <c r="J448" s="536"/>
      <c r="K448" s="824"/>
    </row>
    <row r="449" spans="3:11" ht="25.8" customHeight="1">
      <c r="C449" s="716" t="s">
        <v>1195</v>
      </c>
      <c r="D449" s="716" t="s">
        <v>1196</v>
      </c>
      <c r="E449" s="716" t="s">
        <v>1197</v>
      </c>
      <c r="F449" s="716" t="s">
        <v>1198</v>
      </c>
      <c r="G449" s="716" t="s">
        <v>1199</v>
      </c>
      <c r="H449" s="716" t="s">
        <v>1200</v>
      </c>
      <c r="J449" s="536"/>
      <c r="K449" s="824"/>
    </row>
    <row r="450" spans="3:11" ht="25.8" customHeight="1">
      <c r="C450" s="213" t="s">
        <v>1201</v>
      </c>
      <c r="D450" s="212" t="s">
        <v>1202</v>
      </c>
      <c r="E450" s="534"/>
      <c r="F450" s="534"/>
      <c r="G450" s="534"/>
      <c r="H450" s="534"/>
      <c r="J450" s="536"/>
      <c r="K450" s="824"/>
    </row>
    <row r="451" spans="3:11" ht="25.8" customHeight="1">
      <c r="C451" s="818">
        <v>1</v>
      </c>
      <c r="D451" s="212" t="s">
        <v>5</v>
      </c>
      <c r="E451" s="212" t="s">
        <v>6</v>
      </c>
      <c r="F451" s="829">
        <v>2.9000000000000001E-2</v>
      </c>
      <c r="G451" s="539">
        <f>VLOOKUP(D451,upahbahan,3,FALSE)</f>
        <v>100000</v>
      </c>
      <c r="H451" s="539">
        <f>F451*G451</f>
        <v>2900</v>
      </c>
      <c r="J451" s="536"/>
      <c r="K451" s="824"/>
    </row>
    <row r="452" spans="3:11" ht="25.8" customHeight="1">
      <c r="C452" s="818">
        <v>2</v>
      </c>
      <c r="D452" s="212" t="str">
        <f>D435</f>
        <v>Tukang listrik</v>
      </c>
      <c r="E452" s="212" t="s">
        <v>6</v>
      </c>
      <c r="F452" s="829">
        <v>4.8000000000000001E-2</v>
      </c>
      <c r="G452" s="539">
        <f>VLOOKUP(D452,upahbahan,3,FALSE)</f>
        <v>135000</v>
      </c>
      <c r="H452" s="539">
        <f t="shared" ref="H452:H454" si="48">F452*G452</f>
        <v>6480</v>
      </c>
      <c r="J452" s="536"/>
      <c r="K452" s="824"/>
    </row>
    <row r="453" spans="3:11" ht="25.8" customHeight="1">
      <c r="C453" s="818">
        <v>3</v>
      </c>
      <c r="D453" s="212" t="s">
        <v>18</v>
      </c>
      <c r="E453" s="212" t="s">
        <v>6</v>
      </c>
      <c r="F453" s="829">
        <v>5.0000000000000001E-3</v>
      </c>
      <c r="G453" s="539">
        <f>VLOOKUP(D453,upahbahan,3,FALSE)</f>
        <v>150000</v>
      </c>
      <c r="H453" s="539">
        <f t="shared" si="48"/>
        <v>750</v>
      </c>
      <c r="J453" s="536"/>
      <c r="K453" s="824"/>
    </row>
    <row r="454" spans="3:11" ht="25.8" customHeight="1">
      <c r="C454" s="818">
        <v>4</v>
      </c>
      <c r="D454" s="212" t="s">
        <v>19</v>
      </c>
      <c r="E454" s="212" t="s">
        <v>6</v>
      </c>
      <c r="F454" s="829">
        <v>2E-3</v>
      </c>
      <c r="G454" s="539">
        <f>VLOOKUP(D454,upahbahan,3,FALSE)</f>
        <v>160000</v>
      </c>
      <c r="H454" s="539">
        <f t="shared" si="48"/>
        <v>320</v>
      </c>
      <c r="J454" s="536"/>
      <c r="K454" s="824"/>
    </row>
    <row r="455" spans="3:11" ht="25.8" customHeight="1">
      <c r="C455" s="702" t="s">
        <v>1208</v>
      </c>
      <c r="D455" s="208"/>
      <c r="E455" s="208"/>
      <c r="F455" s="521"/>
      <c r="G455" s="522"/>
      <c r="H455" s="539">
        <f>SUM(H451:H454)</f>
        <v>10450</v>
      </c>
      <c r="I455" s="819"/>
      <c r="J455" s="536"/>
      <c r="K455" s="824"/>
    </row>
    <row r="456" spans="3:11" ht="25.8" customHeight="1">
      <c r="C456" s="213" t="s">
        <v>1209</v>
      </c>
      <c r="D456" s="212" t="s">
        <v>1210</v>
      </c>
      <c r="E456" s="534"/>
      <c r="F456" s="534"/>
      <c r="G456" s="534"/>
      <c r="H456" s="534"/>
      <c r="J456" s="536"/>
      <c r="K456" s="824"/>
    </row>
    <row r="457" spans="3:11" ht="25.8" customHeight="1">
      <c r="C457" s="818">
        <v>1</v>
      </c>
      <c r="D457" s="820" t="s">
        <v>934</v>
      </c>
      <c r="E457" s="807" t="s">
        <v>113</v>
      </c>
      <c r="F457" s="832">
        <f>F440</f>
        <v>1.1499999999999999</v>
      </c>
      <c r="G457" s="539">
        <f>VLOOKUP(D457,upahbahan,3,FALSE)</f>
        <v>0</v>
      </c>
      <c r="H457" s="539">
        <f t="shared" ref="H457" si="49">F457*G457</f>
        <v>0</v>
      </c>
      <c r="J457" s="536"/>
      <c r="K457" s="824"/>
    </row>
    <row r="458" spans="3:11" ht="25.8" customHeight="1">
      <c r="C458" s="702" t="s">
        <v>1214</v>
      </c>
      <c r="D458" s="208"/>
      <c r="E458" s="208"/>
      <c r="F458" s="208"/>
      <c r="G458" s="209"/>
      <c r="H458" s="539">
        <f>SUM(H457:H457)</f>
        <v>0</v>
      </c>
      <c r="J458" s="536"/>
      <c r="K458" s="824"/>
    </row>
    <row r="459" spans="3:11" ht="25.8" customHeight="1">
      <c r="C459" s="213" t="s">
        <v>1215</v>
      </c>
      <c r="D459" s="212" t="s">
        <v>1216</v>
      </c>
      <c r="E459" s="534"/>
      <c r="F459" s="534"/>
      <c r="G459" s="534"/>
      <c r="H459" s="534"/>
      <c r="J459" s="536"/>
      <c r="K459" s="824"/>
    </row>
    <row r="460" spans="3:11" ht="25.8" customHeight="1">
      <c r="C460" s="702" t="s">
        <v>1217</v>
      </c>
      <c r="D460" s="208"/>
      <c r="E460" s="208"/>
      <c r="F460" s="208"/>
      <c r="G460" s="209"/>
      <c r="H460" s="821">
        <v>0</v>
      </c>
      <c r="J460" s="536"/>
      <c r="K460" s="824"/>
    </row>
    <row r="461" spans="3:11" ht="25.8" customHeight="1">
      <c r="C461" s="566" t="s">
        <v>1218</v>
      </c>
      <c r="D461" s="552" t="s">
        <v>1219</v>
      </c>
      <c r="E461" s="553"/>
      <c r="F461" s="553"/>
      <c r="G461" s="554"/>
      <c r="H461" s="826">
        <f>H460+H458+H455</f>
        <v>10450</v>
      </c>
      <c r="I461" s="827"/>
      <c r="J461" s="536"/>
      <c r="K461" s="824"/>
    </row>
    <row r="462" spans="3:11" ht="25.8" customHeight="1">
      <c r="C462" s="566" t="s">
        <v>1220</v>
      </c>
      <c r="D462" s="552" t="s">
        <v>1321</v>
      </c>
      <c r="E462" s="553"/>
      <c r="F462" s="554"/>
      <c r="G462" s="555">
        <f>$M$9</f>
        <v>0.1</v>
      </c>
      <c r="H462" s="539">
        <f>H461*G462</f>
        <v>1045</v>
      </c>
      <c r="I462" s="827"/>
      <c r="J462" s="536"/>
      <c r="K462" s="824"/>
    </row>
    <row r="463" spans="3:11" ht="25.8" customHeight="1">
      <c r="C463" s="566" t="s">
        <v>1221</v>
      </c>
      <c r="D463" s="552" t="s">
        <v>1222</v>
      </c>
      <c r="E463" s="553"/>
      <c r="F463" s="553"/>
      <c r="G463" s="554"/>
      <c r="H463" s="828">
        <f>SUM(H461:H462)</f>
        <v>11495</v>
      </c>
      <c r="I463" s="827"/>
      <c r="J463" s="536"/>
      <c r="K463" s="824"/>
    </row>
    <row r="464" spans="3:11" ht="25.8" customHeight="1">
      <c r="C464" s="572"/>
      <c r="D464" s="575"/>
      <c r="E464" s="575"/>
      <c r="F464" s="575"/>
      <c r="G464" s="575"/>
      <c r="H464" s="830"/>
      <c r="J464" s="536"/>
      <c r="K464" s="824"/>
    </row>
    <row r="465" spans="3:11" ht="25.8" customHeight="1">
      <c r="C465" s="513" t="s">
        <v>3247</v>
      </c>
      <c r="D465" s="817" t="s">
        <v>1655</v>
      </c>
      <c r="E465" s="803"/>
      <c r="F465" s="803"/>
      <c r="G465" s="803"/>
      <c r="H465" s="803"/>
      <c r="I465" s="533">
        <f>ROUNDDOWN(H480,-2)</f>
        <v>14200</v>
      </c>
      <c r="J465" s="536"/>
      <c r="K465" s="824"/>
    </row>
    <row r="466" spans="3:11" ht="25.8" customHeight="1">
      <c r="C466" s="716" t="s">
        <v>1195</v>
      </c>
      <c r="D466" s="716" t="s">
        <v>1196</v>
      </c>
      <c r="E466" s="716" t="s">
        <v>1197</v>
      </c>
      <c r="F466" s="716" t="s">
        <v>1198</v>
      </c>
      <c r="G466" s="716" t="s">
        <v>1199</v>
      </c>
      <c r="H466" s="716" t="s">
        <v>1200</v>
      </c>
      <c r="J466" s="536"/>
      <c r="K466" s="824"/>
    </row>
    <row r="467" spans="3:11" ht="25.8" customHeight="1">
      <c r="C467" s="213" t="s">
        <v>1201</v>
      </c>
      <c r="D467" s="212" t="s">
        <v>1202</v>
      </c>
      <c r="E467" s="534"/>
      <c r="F467" s="534"/>
      <c r="G467" s="534"/>
      <c r="H467" s="534"/>
      <c r="J467" s="536"/>
      <c r="K467" s="824"/>
    </row>
    <row r="468" spans="3:11" ht="25.8" customHeight="1">
      <c r="C468" s="818">
        <v>1</v>
      </c>
      <c r="D468" s="212" t="s">
        <v>5</v>
      </c>
      <c r="E468" s="212" t="s">
        <v>6</v>
      </c>
      <c r="F468" s="538">
        <v>3.5999999999999997E-2</v>
      </c>
      <c r="G468" s="539">
        <f>VLOOKUP(D468,upahbahan,3,FALSE)</f>
        <v>100000</v>
      </c>
      <c r="H468" s="539">
        <f t="shared" ref="H468:H471" si="50">F468*G468</f>
        <v>3599.9999999999995</v>
      </c>
      <c r="J468" s="536"/>
      <c r="K468" s="824"/>
    </row>
    <row r="469" spans="3:11" ht="25.8" customHeight="1">
      <c r="C469" s="818">
        <v>2</v>
      </c>
      <c r="D469" s="212" t="str">
        <f>D452</f>
        <v>Tukang listrik</v>
      </c>
      <c r="E469" s="212" t="s">
        <v>6</v>
      </c>
      <c r="F469" s="538">
        <v>0.06</v>
      </c>
      <c r="G469" s="539">
        <f>VLOOKUP(D469,upahbahan,3,FALSE)</f>
        <v>135000</v>
      </c>
      <c r="H469" s="539">
        <f t="shared" si="50"/>
        <v>8100</v>
      </c>
      <c r="J469" s="536"/>
      <c r="K469" s="824"/>
    </row>
    <row r="470" spans="3:11" ht="25.8" customHeight="1">
      <c r="C470" s="818">
        <v>3</v>
      </c>
      <c r="D470" s="212" t="s">
        <v>18</v>
      </c>
      <c r="E470" s="212" t="s">
        <v>6</v>
      </c>
      <c r="F470" s="538">
        <v>6.0000000000000001E-3</v>
      </c>
      <c r="G470" s="539">
        <f>VLOOKUP(D470,upahbahan,3,FALSE)</f>
        <v>150000</v>
      </c>
      <c r="H470" s="539">
        <f t="shared" si="50"/>
        <v>900</v>
      </c>
      <c r="J470" s="536"/>
      <c r="K470" s="824"/>
    </row>
    <row r="471" spans="3:11" ht="25.8" customHeight="1">
      <c r="C471" s="818">
        <v>4</v>
      </c>
      <c r="D471" s="212" t="s">
        <v>19</v>
      </c>
      <c r="E471" s="212" t="s">
        <v>6</v>
      </c>
      <c r="F471" s="538">
        <v>2E-3</v>
      </c>
      <c r="G471" s="539">
        <f>VLOOKUP(D471,upahbahan,3,FALSE)</f>
        <v>160000</v>
      </c>
      <c r="H471" s="539">
        <f t="shared" si="50"/>
        <v>320</v>
      </c>
      <c r="J471" s="536"/>
      <c r="K471" s="824"/>
    </row>
    <row r="472" spans="3:11" ht="25.8" customHeight="1">
      <c r="C472" s="702" t="s">
        <v>1208</v>
      </c>
      <c r="D472" s="208"/>
      <c r="E472" s="208"/>
      <c r="F472" s="811"/>
      <c r="G472" s="522"/>
      <c r="H472" s="539">
        <f>SUM(H468:H471)</f>
        <v>12920</v>
      </c>
      <c r="I472" s="819"/>
      <c r="J472" s="536"/>
      <c r="K472" s="824"/>
    </row>
    <row r="473" spans="3:11" ht="25.8" customHeight="1">
      <c r="C473" s="213" t="s">
        <v>1209</v>
      </c>
      <c r="D473" s="212" t="s">
        <v>1210</v>
      </c>
      <c r="E473" s="534"/>
      <c r="F473" s="831"/>
      <c r="G473" s="534"/>
      <c r="H473" s="534"/>
      <c r="J473" s="536"/>
      <c r="K473" s="824"/>
    </row>
    <row r="474" spans="3:11" ht="25.8" customHeight="1">
      <c r="C474" s="818">
        <v>1</v>
      </c>
      <c r="D474" s="820" t="s">
        <v>927</v>
      </c>
      <c r="E474" s="807" t="s">
        <v>113</v>
      </c>
      <c r="F474" s="538">
        <v>1.1499999999999999</v>
      </c>
      <c r="G474" s="539">
        <f>VLOOKUP(D474,upahbahan,3,FALSE)</f>
        <v>0</v>
      </c>
      <c r="H474" s="539">
        <f t="shared" ref="H474" si="51">F474*G474</f>
        <v>0</v>
      </c>
      <c r="J474" s="536"/>
      <c r="K474" s="824"/>
    </row>
    <row r="475" spans="3:11" ht="25.8" customHeight="1">
      <c r="C475" s="702" t="s">
        <v>1214</v>
      </c>
      <c r="D475" s="208"/>
      <c r="E475" s="208"/>
      <c r="F475" s="208"/>
      <c r="G475" s="209"/>
      <c r="H475" s="539">
        <f>SUM(H474:H474)</f>
        <v>0</v>
      </c>
      <c r="J475" s="536"/>
      <c r="K475" s="824"/>
    </row>
    <row r="476" spans="3:11" ht="25.8" customHeight="1">
      <c r="C476" s="213" t="s">
        <v>1215</v>
      </c>
      <c r="D476" s="212" t="s">
        <v>1216</v>
      </c>
      <c r="E476" s="534"/>
      <c r="F476" s="534"/>
      <c r="G476" s="534"/>
      <c r="H476" s="534"/>
      <c r="J476" s="536"/>
      <c r="K476" s="824"/>
    </row>
    <row r="477" spans="3:11" ht="25.8" customHeight="1">
      <c r="C477" s="702" t="s">
        <v>1217</v>
      </c>
      <c r="D477" s="208"/>
      <c r="E477" s="208"/>
      <c r="F477" s="208"/>
      <c r="G477" s="209"/>
      <c r="H477" s="821">
        <v>0</v>
      </c>
      <c r="J477" s="536"/>
      <c r="K477" s="824"/>
    </row>
    <row r="478" spans="3:11" ht="25.8" customHeight="1">
      <c r="C478" s="566" t="s">
        <v>1218</v>
      </c>
      <c r="D478" s="552" t="s">
        <v>1219</v>
      </c>
      <c r="E478" s="553"/>
      <c r="F478" s="553"/>
      <c r="G478" s="554"/>
      <c r="H478" s="826">
        <f>H477+H475+H472</f>
        <v>12920</v>
      </c>
      <c r="I478" s="827"/>
      <c r="J478" s="536"/>
      <c r="K478" s="824"/>
    </row>
    <row r="479" spans="3:11" ht="25.8" customHeight="1">
      <c r="C479" s="566" t="s">
        <v>1220</v>
      </c>
      <c r="D479" s="552" t="s">
        <v>1321</v>
      </c>
      <c r="E479" s="553"/>
      <c r="F479" s="554"/>
      <c r="G479" s="555">
        <f>$M$9</f>
        <v>0.1</v>
      </c>
      <c r="H479" s="539">
        <f>H478*G479</f>
        <v>1292</v>
      </c>
      <c r="I479" s="827"/>
      <c r="J479" s="536"/>
      <c r="K479" s="824"/>
    </row>
    <row r="480" spans="3:11" ht="25.8" customHeight="1">
      <c r="C480" s="566" t="s">
        <v>1221</v>
      </c>
      <c r="D480" s="552" t="s">
        <v>1222</v>
      </c>
      <c r="E480" s="553"/>
      <c r="F480" s="553"/>
      <c r="G480" s="554"/>
      <c r="H480" s="828">
        <f>SUM(H478:H479)</f>
        <v>14212</v>
      </c>
      <c r="I480" s="827"/>
      <c r="J480" s="536"/>
      <c r="K480" s="824"/>
    </row>
    <row r="481" spans="3:11" ht="25.8" customHeight="1">
      <c r="C481" s="572"/>
      <c r="D481" s="575"/>
      <c r="E481" s="575"/>
      <c r="F481" s="575"/>
      <c r="G481" s="575"/>
      <c r="H481" s="830"/>
      <c r="J481" s="536"/>
      <c r="K481" s="824"/>
    </row>
    <row r="482" spans="3:11" ht="25.8" customHeight="1">
      <c r="C482" s="513" t="s">
        <v>3248</v>
      </c>
      <c r="D482" s="817" t="s">
        <v>1656</v>
      </c>
      <c r="E482" s="803"/>
      <c r="F482" s="803"/>
      <c r="G482" s="803"/>
      <c r="H482" s="803"/>
      <c r="I482" s="533">
        <f>ROUNDDOWN(H497,-2)</f>
        <v>14200</v>
      </c>
      <c r="J482" s="536"/>
      <c r="K482" s="824"/>
    </row>
    <row r="483" spans="3:11" ht="25.8" customHeight="1">
      <c r="C483" s="716" t="s">
        <v>1195</v>
      </c>
      <c r="D483" s="716" t="s">
        <v>1196</v>
      </c>
      <c r="E483" s="716" t="s">
        <v>1197</v>
      </c>
      <c r="F483" s="716" t="s">
        <v>1198</v>
      </c>
      <c r="G483" s="716" t="s">
        <v>1199</v>
      </c>
      <c r="H483" s="716" t="s">
        <v>1200</v>
      </c>
      <c r="J483" s="536"/>
      <c r="K483" s="824"/>
    </row>
    <row r="484" spans="3:11" ht="25.8" customHeight="1">
      <c r="C484" s="212" t="s">
        <v>1201</v>
      </c>
      <c r="D484" s="212" t="s">
        <v>1202</v>
      </c>
      <c r="E484" s="534"/>
      <c r="F484" s="534"/>
      <c r="G484" s="534"/>
      <c r="H484" s="534"/>
      <c r="J484" s="536"/>
      <c r="K484" s="824"/>
    </row>
    <row r="485" spans="3:11" ht="25.8" customHeight="1">
      <c r="C485" s="825">
        <v>1</v>
      </c>
      <c r="D485" s="212" t="s">
        <v>5</v>
      </c>
      <c r="E485" s="212" t="s">
        <v>6</v>
      </c>
      <c r="F485" s="538">
        <v>3.5999999999999997E-2</v>
      </c>
      <c r="G485" s="539">
        <f>VLOOKUP(D485,upahbahan,3,FALSE)</f>
        <v>100000</v>
      </c>
      <c r="H485" s="539">
        <f>F485*G485</f>
        <v>3599.9999999999995</v>
      </c>
      <c r="J485" s="536"/>
      <c r="K485" s="824"/>
    </row>
    <row r="486" spans="3:11" ht="25.8" customHeight="1">
      <c r="C486" s="825">
        <v>2</v>
      </c>
      <c r="D486" s="212" t="str">
        <f>D469</f>
        <v>Tukang listrik</v>
      </c>
      <c r="E486" s="212" t="s">
        <v>6</v>
      </c>
      <c r="F486" s="538">
        <v>0.06</v>
      </c>
      <c r="G486" s="539">
        <f>VLOOKUP(D486,upahbahan,3,FALSE)</f>
        <v>135000</v>
      </c>
      <c r="H486" s="539">
        <f t="shared" ref="H486:H488" si="52">F486*G486</f>
        <v>8100</v>
      </c>
      <c r="J486" s="536"/>
      <c r="K486" s="824"/>
    </row>
    <row r="487" spans="3:11" ht="25.8" customHeight="1">
      <c r="C487" s="825">
        <v>3</v>
      </c>
      <c r="D487" s="212" t="s">
        <v>18</v>
      </c>
      <c r="E487" s="212" t="s">
        <v>6</v>
      </c>
      <c r="F487" s="538">
        <v>6.0000000000000001E-3</v>
      </c>
      <c r="G487" s="539">
        <f>VLOOKUP(D487,upahbahan,3,FALSE)</f>
        <v>150000</v>
      </c>
      <c r="H487" s="539">
        <f t="shared" si="52"/>
        <v>900</v>
      </c>
      <c r="J487" s="536"/>
      <c r="K487" s="824"/>
    </row>
    <row r="488" spans="3:11" ht="25.8" customHeight="1">
      <c r="C488" s="825">
        <v>4</v>
      </c>
      <c r="D488" s="212" t="s">
        <v>19</v>
      </c>
      <c r="E488" s="212" t="s">
        <v>6</v>
      </c>
      <c r="F488" s="538">
        <v>2E-3</v>
      </c>
      <c r="G488" s="539">
        <f>VLOOKUP(D488,upahbahan,3,FALSE)</f>
        <v>160000</v>
      </c>
      <c r="H488" s="539">
        <f t="shared" si="52"/>
        <v>320</v>
      </c>
      <c r="J488" s="536"/>
      <c r="K488" s="824"/>
    </row>
    <row r="489" spans="3:11" ht="25.8" customHeight="1">
      <c r="C489" s="702" t="s">
        <v>1208</v>
      </c>
      <c r="D489" s="208"/>
      <c r="E489" s="208"/>
      <c r="F489" s="811"/>
      <c r="G489" s="522"/>
      <c r="H489" s="539">
        <f>SUM(H485:H488)</f>
        <v>12920</v>
      </c>
      <c r="I489" s="819"/>
      <c r="J489" s="536"/>
      <c r="K489" s="824"/>
    </row>
    <row r="490" spans="3:11" ht="25.8" customHeight="1">
      <c r="C490" s="212" t="s">
        <v>1209</v>
      </c>
      <c r="D490" s="212" t="s">
        <v>1210</v>
      </c>
      <c r="E490" s="534"/>
      <c r="F490" s="831"/>
      <c r="G490" s="534"/>
      <c r="H490" s="534"/>
      <c r="J490" s="536"/>
      <c r="K490" s="824"/>
    </row>
    <row r="491" spans="3:11" ht="25.8" customHeight="1">
      <c r="C491" s="825">
        <v>1</v>
      </c>
      <c r="D491" s="820" t="s">
        <v>928</v>
      </c>
      <c r="E491" s="807" t="s">
        <v>113</v>
      </c>
      <c r="F491" s="538">
        <v>1.1499999999999999</v>
      </c>
      <c r="G491" s="539">
        <f>VLOOKUP(D491,upahbahan,3,FALSE)</f>
        <v>0</v>
      </c>
      <c r="H491" s="539">
        <f t="shared" ref="H491" si="53">F491*G491</f>
        <v>0</v>
      </c>
      <c r="J491" s="536"/>
      <c r="K491" s="824"/>
    </row>
    <row r="492" spans="3:11" ht="25.8" customHeight="1">
      <c r="C492" s="702" t="s">
        <v>1214</v>
      </c>
      <c r="D492" s="208"/>
      <c r="E492" s="208"/>
      <c r="F492" s="208"/>
      <c r="G492" s="209"/>
      <c r="H492" s="539">
        <f>SUM(H491:H491)</f>
        <v>0</v>
      </c>
      <c r="J492" s="536"/>
      <c r="K492" s="824"/>
    </row>
    <row r="493" spans="3:11" ht="25.8" customHeight="1">
      <c r="C493" s="213" t="s">
        <v>1215</v>
      </c>
      <c r="D493" s="212" t="s">
        <v>1216</v>
      </c>
      <c r="E493" s="534"/>
      <c r="F493" s="534"/>
      <c r="G493" s="534"/>
      <c r="H493" s="534"/>
      <c r="J493" s="536"/>
      <c r="K493" s="824"/>
    </row>
    <row r="494" spans="3:11" ht="25.8" customHeight="1">
      <c r="C494" s="702" t="s">
        <v>1217</v>
      </c>
      <c r="D494" s="208"/>
      <c r="E494" s="208"/>
      <c r="F494" s="208"/>
      <c r="G494" s="209"/>
      <c r="H494" s="821">
        <v>0</v>
      </c>
      <c r="J494" s="536"/>
      <c r="K494" s="824"/>
    </row>
    <row r="495" spans="3:11" ht="25.8" customHeight="1">
      <c r="C495" s="566" t="s">
        <v>1218</v>
      </c>
      <c r="D495" s="552" t="s">
        <v>1219</v>
      </c>
      <c r="E495" s="553"/>
      <c r="F495" s="553"/>
      <c r="G495" s="554"/>
      <c r="H495" s="826">
        <f>H494+H492+H489</f>
        <v>12920</v>
      </c>
      <c r="I495" s="827"/>
      <c r="J495" s="536"/>
      <c r="K495" s="824"/>
    </row>
    <row r="496" spans="3:11" ht="25.8" customHeight="1">
      <c r="C496" s="566" t="s">
        <v>1220</v>
      </c>
      <c r="D496" s="552" t="s">
        <v>1321</v>
      </c>
      <c r="E496" s="553"/>
      <c r="F496" s="554"/>
      <c r="G496" s="555">
        <f>$M$9</f>
        <v>0.1</v>
      </c>
      <c r="H496" s="539">
        <f>H495*G496</f>
        <v>1292</v>
      </c>
      <c r="I496" s="827"/>
      <c r="J496" s="536"/>
      <c r="K496" s="824"/>
    </row>
    <row r="497" spans="3:11" ht="25.8" customHeight="1">
      <c r="C497" s="566" t="s">
        <v>1221</v>
      </c>
      <c r="D497" s="552" t="s">
        <v>1222</v>
      </c>
      <c r="E497" s="553"/>
      <c r="F497" s="553"/>
      <c r="G497" s="554"/>
      <c r="H497" s="828">
        <f>SUM(H495:H496)</f>
        <v>14212</v>
      </c>
      <c r="I497" s="827"/>
      <c r="J497" s="536"/>
      <c r="K497" s="824"/>
    </row>
    <row r="498" spans="3:11" ht="25.8" customHeight="1">
      <c r="C498" s="572"/>
      <c r="D498" s="575"/>
      <c r="E498" s="575"/>
      <c r="F498" s="575"/>
      <c r="G498" s="575"/>
      <c r="H498" s="830"/>
      <c r="J498" s="536"/>
      <c r="K498" s="824"/>
    </row>
    <row r="499" spans="3:11" ht="25.8" customHeight="1">
      <c r="C499" s="513" t="s">
        <v>3249</v>
      </c>
      <c r="D499" s="817" t="s">
        <v>1657</v>
      </c>
      <c r="E499" s="803"/>
      <c r="F499" s="803"/>
      <c r="G499" s="803"/>
      <c r="H499" s="803"/>
      <c r="I499" s="533">
        <f>ROUNDDOWN(H514,-2)</f>
        <v>14200</v>
      </c>
      <c r="J499" s="536"/>
      <c r="K499" s="824"/>
    </row>
    <row r="500" spans="3:11" ht="25.8" customHeight="1">
      <c r="C500" s="716" t="s">
        <v>1195</v>
      </c>
      <c r="D500" s="716" t="s">
        <v>1196</v>
      </c>
      <c r="E500" s="716" t="s">
        <v>1197</v>
      </c>
      <c r="F500" s="716" t="s">
        <v>1198</v>
      </c>
      <c r="G500" s="716" t="s">
        <v>1199</v>
      </c>
      <c r="H500" s="716" t="s">
        <v>1200</v>
      </c>
      <c r="J500" s="536"/>
      <c r="K500" s="824"/>
    </row>
    <row r="501" spans="3:11" ht="25.8" customHeight="1">
      <c r="C501" s="212" t="s">
        <v>1201</v>
      </c>
      <c r="D501" s="212" t="s">
        <v>1202</v>
      </c>
      <c r="E501" s="534"/>
      <c r="F501" s="534"/>
      <c r="G501" s="534"/>
      <c r="H501" s="534"/>
      <c r="J501" s="536"/>
      <c r="K501" s="824"/>
    </row>
    <row r="502" spans="3:11" ht="25.8" customHeight="1">
      <c r="C502" s="825">
        <v>1</v>
      </c>
      <c r="D502" s="212" t="s">
        <v>5</v>
      </c>
      <c r="E502" s="212" t="s">
        <v>6</v>
      </c>
      <c r="F502" s="538">
        <v>3.5999999999999997E-2</v>
      </c>
      <c r="G502" s="539">
        <f>VLOOKUP(D502,upahbahan,3,FALSE)</f>
        <v>100000</v>
      </c>
      <c r="H502" s="539">
        <f t="shared" ref="H502:H505" si="54">F502*G502</f>
        <v>3599.9999999999995</v>
      </c>
      <c r="J502" s="536"/>
      <c r="K502" s="824"/>
    </row>
    <row r="503" spans="3:11" ht="25.8" customHeight="1">
      <c r="C503" s="825">
        <v>2</v>
      </c>
      <c r="D503" s="212" t="str">
        <f>D486</f>
        <v>Tukang listrik</v>
      </c>
      <c r="E503" s="212" t="s">
        <v>6</v>
      </c>
      <c r="F503" s="538">
        <v>0.06</v>
      </c>
      <c r="G503" s="539">
        <f>VLOOKUP(D503,upahbahan,3,FALSE)</f>
        <v>135000</v>
      </c>
      <c r="H503" s="539">
        <f t="shared" si="54"/>
        <v>8100</v>
      </c>
      <c r="J503" s="536"/>
      <c r="K503" s="824"/>
    </row>
    <row r="504" spans="3:11" ht="25.8" customHeight="1">
      <c r="C504" s="825">
        <v>3</v>
      </c>
      <c r="D504" s="212" t="s">
        <v>18</v>
      </c>
      <c r="E504" s="212" t="s">
        <v>6</v>
      </c>
      <c r="F504" s="538">
        <v>6.0000000000000001E-3</v>
      </c>
      <c r="G504" s="539">
        <f>VLOOKUP(D504,upahbahan,3,FALSE)</f>
        <v>150000</v>
      </c>
      <c r="H504" s="539">
        <f t="shared" si="54"/>
        <v>900</v>
      </c>
      <c r="J504" s="536"/>
      <c r="K504" s="824"/>
    </row>
    <row r="505" spans="3:11" ht="25.8" customHeight="1">
      <c r="C505" s="825">
        <v>4</v>
      </c>
      <c r="D505" s="212" t="s">
        <v>19</v>
      </c>
      <c r="E505" s="212" t="s">
        <v>6</v>
      </c>
      <c r="F505" s="538">
        <v>2E-3</v>
      </c>
      <c r="G505" s="539">
        <f>VLOOKUP(D505,upahbahan,3,FALSE)</f>
        <v>160000</v>
      </c>
      <c r="H505" s="539">
        <f t="shared" si="54"/>
        <v>320</v>
      </c>
      <c r="J505" s="536"/>
      <c r="K505" s="824"/>
    </row>
    <row r="506" spans="3:11" ht="25.8" customHeight="1">
      <c r="C506" s="702" t="s">
        <v>1208</v>
      </c>
      <c r="D506" s="208"/>
      <c r="E506" s="208"/>
      <c r="F506" s="811"/>
      <c r="G506" s="522"/>
      <c r="H506" s="539">
        <f>SUM(H502:H505)</f>
        <v>12920</v>
      </c>
      <c r="I506" s="819"/>
      <c r="J506" s="536"/>
      <c r="K506" s="824"/>
    </row>
    <row r="507" spans="3:11" ht="25.8" customHeight="1">
      <c r="C507" s="212" t="s">
        <v>1209</v>
      </c>
      <c r="D507" s="212" t="s">
        <v>1210</v>
      </c>
      <c r="E507" s="534"/>
      <c r="F507" s="831"/>
      <c r="G507" s="534"/>
      <c r="H507" s="534"/>
      <c r="J507" s="536"/>
      <c r="K507" s="824"/>
    </row>
    <row r="508" spans="3:11" ht="25.8" customHeight="1">
      <c r="C508" s="825">
        <v>1</v>
      </c>
      <c r="D508" s="820" t="s">
        <v>930</v>
      </c>
      <c r="E508" s="807" t="s">
        <v>113</v>
      </c>
      <c r="F508" s="538">
        <v>1.1499999999999999</v>
      </c>
      <c r="G508" s="539">
        <f>VLOOKUP(D508,upahbahan,3,FALSE)</f>
        <v>0</v>
      </c>
      <c r="H508" s="539">
        <f t="shared" ref="H508" si="55">F508*G508</f>
        <v>0</v>
      </c>
      <c r="J508" s="536"/>
      <c r="K508" s="824"/>
    </row>
    <row r="509" spans="3:11" ht="25.8" customHeight="1">
      <c r="C509" s="702" t="s">
        <v>1214</v>
      </c>
      <c r="D509" s="208"/>
      <c r="E509" s="208"/>
      <c r="F509" s="208"/>
      <c r="G509" s="209"/>
      <c r="H509" s="539">
        <f>SUM(H508:H508)</f>
        <v>0</v>
      </c>
      <c r="J509" s="536"/>
      <c r="K509" s="824"/>
    </row>
    <row r="510" spans="3:11" ht="25.8" customHeight="1">
      <c r="C510" s="213" t="s">
        <v>1215</v>
      </c>
      <c r="D510" s="212" t="s">
        <v>1216</v>
      </c>
      <c r="E510" s="534"/>
      <c r="F510" s="534"/>
      <c r="G510" s="534"/>
      <c r="H510" s="534"/>
      <c r="J510" s="536"/>
      <c r="K510" s="824"/>
    </row>
    <row r="511" spans="3:11" ht="25.8" customHeight="1">
      <c r="C511" s="702" t="s">
        <v>1217</v>
      </c>
      <c r="D511" s="208"/>
      <c r="E511" s="208"/>
      <c r="F511" s="208"/>
      <c r="G511" s="209"/>
      <c r="H511" s="821">
        <v>0</v>
      </c>
      <c r="J511" s="536"/>
      <c r="K511" s="824"/>
    </row>
    <row r="512" spans="3:11" ht="25.8" customHeight="1">
      <c r="C512" s="566" t="s">
        <v>1218</v>
      </c>
      <c r="D512" s="552" t="s">
        <v>1219</v>
      </c>
      <c r="E512" s="553"/>
      <c r="F512" s="553"/>
      <c r="G512" s="554"/>
      <c r="H512" s="826">
        <f>H511+H509+H506</f>
        <v>12920</v>
      </c>
      <c r="I512" s="827"/>
      <c r="J512" s="536"/>
      <c r="K512" s="824"/>
    </row>
    <row r="513" spans="3:11" ht="25.8" customHeight="1">
      <c r="C513" s="566" t="s">
        <v>1220</v>
      </c>
      <c r="D513" s="552" t="s">
        <v>1321</v>
      </c>
      <c r="E513" s="553"/>
      <c r="F513" s="554"/>
      <c r="G513" s="555">
        <f>$M$9</f>
        <v>0.1</v>
      </c>
      <c r="H513" s="539">
        <f>H512*G513</f>
        <v>1292</v>
      </c>
      <c r="I513" s="827"/>
      <c r="J513" s="536"/>
      <c r="K513" s="824"/>
    </row>
    <row r="514" spans="3:11" ht="25.8" customHeight="1">
      <c r="C514" s="566" t="s">
        <v>1221</v>
      </c>
      <c r="D514" s="552" t="s">
        <v>1222</v>
      </c>
      <c r="E514" s="553"/>
      <c r="F514" s="553"/>
      <c r="G514" s="554"/>
      <c r="H514" s="828">
        <f>SUM(H512:H513)</f>
        <v>14212</v>
      </c>
      <c r="I514" s="827"/>
      <c r="J514" s="536"/>
      <c r="K514" s="824"/>
    </row>
    <row r="515" spans="3:11" ht="25.8" customHeight="1">
      <c r="J515" s="536"/>
      <c r="K515" s="824"/>
    </row>
    <row r="516" spans="3:11" ht="25.8" customHeight="1">
      <c r="C516" s="513" t="s">
        <v>3250</v>
      </c>
      <c r="D516" s="817" t="s">
        <v>1658</v>
      </c>
      <c r="E516" s="803"/>
      <c r="F516" s="803"/>
      <c r="G516" s="803"/>
      <c r="H516" s="803"/>
      <c r="I516" s="533">
        <f>ROUNDDOWN(H531,-2)</f>
        <v>16900</v>
      </c>
      <c r="J516" s="536"/>
      <c r="K516" s="824"/>
    </row>
    <row r="517" spans="3:11" ht="25.8" customHeight="1">
      <c r="C517" s="716" t="s">
        <v>1195</v>
      </c>
      <c r="D517" s="716" t="s">
        <v>1196</v>
      </c>
      <c r="E517" s="716" t="s">
        <v>1197</v>
      </c>
      <c r="F517" s="716" t="s">
        <v>1198</v>
      </c>
      <c r="G517" s="716" t="s">
        <v>1199</v>
      </c>
      <c r="H517" s="716" t="s">
        <v>1200</v>
      </c>
      <c r="J517" s="536"/>
      <c r="K517" s="824"/>
    </row>
    <row r="518" spans="3:11" ht="25.8" customHeight="1">
      <c r="C518" s="213" t="s">
        <v>1201</v>
      </c>
      <c r="D518" s="212" t="s">
        <v>1202</v>
      </c>
      <c r="E518" s="534"/>
      <c r="F518" s="534"/>
      <c r="G518" s="534"/>
      <c r="H518" s="534"/>
      <c r="J518" s="536"/>
      <c r="K518" s="824"/>
    </row>
    <row r="519" spans="3:11" ht="25.8" customHeight="1">
      <c r="C519" s="818">
        <v>1</v>
      </c>
      <c r="D519" s="212" t="s">
        <v>5</v>
      </c>
      <c r="E519" s="212" t="s">
        <v>6</v>
      </c>
      <c r="F519" s="829">
        <v>4.2999999999999997E-2</v>
      </c>
      <c r="G519" s="539">
        <f>VLOOKUP(D519,upahbahan,3,FALSE)</f>
        <v>100000</v>
      </c>
      <c r="H519" s="539">
        <f t="shared" ref="H519:H522" si="56">F519*G519</f>
        <v>4300</v>
      </c>
      <c r="J519" s="536"/>
      <c r="K519" s="824"/>
    </row>
    <row r="520" spans="3:11" ht="25.8" customHeight="1">
      <c r="C520" s="818">
        <v>2</v>
      </c>
      <c r="D520" s="212" t="str">
        <f>D503</f>
        <v>Tukang listrik</v>
      </c>
      <c r="E520" s="212" t="s">
        <v>6</v>
      </c>
      <c r="F520" s="829">
        <v>7.1999999999999995E-2</v>
      </c>
      <c r="G520" s="539">
        <f>VLOOKUP(D520,upahbahan,3,FALSE)</f>
        <v>135000</v>
      </c>
      <c r="H520" s="539">
        <f t="shared" si="56"/>
        <v>9720</v>
      </c>
      <c r="J520" s="536"/>
      <c r="K520" s="824"/>
    </row>
    <row r="521" spans="3:11" ht="25.8" customHeight="1">
      <c r="C521" s="818">
        <v>3</v>
      </c>
      <c r="D521" s="212" t="s">
        <v>18</v>
      </c>
      <c r="E521" s="212" t="s">
        <v>6</v>
      </c>
      <c r="F521" s="829">
        <v>7.0000000000000001E-3</v>
      </c>
      <c r="G521" s="539">
        <f>VLOOKUP(D521,upahbahan,3,FALSE)</f>
        <v>150000</v>
      </c>
      <c r="H521" s="539">
        <f t="shared" si="56"/>
        <v>1050</v>
      </c>
      <c r="J521" s="536"/>
      <c r="K521" s="824"/>
    </row>
    <row r="522" spans="3:11" ht="25.8" customHeight="1">
      <c r="C522" s="818">
        <v>4</v>
      </c>
      <c r="D522" s="212" t="s">
        <v>19</v>
      </c>
      <c r="E522" s="212" t="s">
        <v>6</v>
      </c>
      <c r="F522" s="829">
        <v>2E-3</v>
      </c>
      <c r="G522" s="539">
        <f>VLOOKUP(D522,upahbahan,3,FALSE)</f>
        <v>160000</v>
      </c>
      <c r="H522" s="539">
        <f t="shared" si="56"/>
        <v>320</v>
      </c>
      <c r="J522" s="536"/>
      <c r="K522" s="824"/>
    </row>
    <row r="523" spans="3:11" ht="25.8" customHeight="1">
      <c r="C523" s="702" t="s">
        <v>1208</v>
      </c>
      <c r="D523" s="208"/>
      <c r="E523" s="208"/>
      <c r="F523" s="811"/>
      <c r="G523" s="522"/>
      <c r="H523" s="539">
        <f>SUM(H519:H522)</f>
        <v>15390</v>
      </c>
      <c r="I523" s="819"/>
      <c r="J523" s="536"/>
      <c r="K523" s="824"/>
    </row>
    <row r="524" spans="3:11" ht="25.8" customHeight="1">
      <c r="C524" s="213" t="s">
        <v>1209</v>
      </c>
      <c r="D524" s="212" t="s">
        <v>1210</v>
      </c>
      <c r="E524" s="534"/>
      <c r="F524" s="831"/>
      <c r="G524" s="534"/>
      <c r="H524" s="534"/>
      <c r="J524" s="536"/>
      <c r="K524" s="824"/>
    </row>
    <row r="525" spans="3:11" ht="25.8" customHeight="1">
      <c r="C525" s="818">
        <v>1</v>
      </c>
      <c r="D525" s="820" t="s">
        <v>931</v>
      </c>
      <c r="E525" s="807" t="s">
        <v>113</v>
      </c>
      <c r="F525" s="538">
        <v>1.1499999999999999</v>
      </c>
      <c r="G525" s="539">
        <f>VLOOKUP(D525,upahbahan,3,FALSE)</f>
        <v>0</v>
      </c>
      <c r="H525" s="539">
        <f t="shared" ref="H525" si="57">F525*G525</f>
        <v>0</v>
      </c>
      <c r="J525" s="536"/>
      <c r="K525" s="824"/>
    </row>
    <row r="526" spans="3:11" ht="25.8" customHeight="1">
      <c r="C526" s="702" t="s">
        <v>1214</v>
      </c>
      <c r="D526" s="208"/>
      <c r="E526" s="208"/>
      <c r="F526" s="208"/>
      <c r="G526" s="209"/>
      <c r="H526" s="539">
        <f>SUM(H525:H525)</f>
        <v>0</v>
      </c>
      <c r="J526" s="536"/>
      <c r="K526" s="824"/>
    </row>
    <row r="527" spans="3:11" ht="25.8" customHeight="1">
      <c r="C527" s="213" t="s">
        <v>1215</v>
      </c>
      <c r="D527" s="212" t="s">
        <v>1216</v>
      </c>
      <c r="E527" s="534"/>
      <c r="F527" s="534"/>
      <c r="G527" s="534"/>
      <c r="H527" s="534"/>
      <c r="J527" s="536"/>
      <c r="K527" s="824"/>
    </row>
    <row r="528" spans="3:11" ht="25.8" customHeight="1">
      <c r="C528" s="702" t="s">
        <v>1217</v>
      </c>
      <c r="D528" s="208"/>
      <c r="E528" s="208"/>
      <c r="F528" s="208"/>
      <c r="G528" s="209"/>
      <c r="H528" s="821">
        <v>0</v>
      </c>
      <c r="J528" s="536"/>
      <c r="K528" s="824"/>
    </row>
    <row r="529" spans="3:11" ht="25.8" customHeight="1">
      <c r="C529" s="566" t="s">
        <v>1218</v>
      </c>
      <c r="D529" s="552" t="s">
        <v>1219</v>
      </c>
      <c r="E529" s="553"/>
      <c r="F529" s="553"/>
      <c r="G529" s="554"/>
      <c r="H529" s="826">
        <f>H528+H526+H523</f>
        <v>15390</v>
      </c>
      <c r="I529" s="827"/>
      <c r="J529" s="536"/>
      <c r="K529" s="824"/>
    </row>
    <row r="530" spans="3:11" ht="25.8" customHeight="1">
      <c r="C530" s="566" t="s">
        <v>1220</v>
      </c>
      <c r="D530" s="552" t="s">
        <v>1321</v>
      </c>
      <c r="E530" s="553"/>
      <c r="F530" s="554"/>
      <c r="G530" s="555">
        <f>$M$9</f>
        <v>0.1</v>
      </c>
      <c r="H530" s="539">
        <f>H529*G530</f>
        <v>1539</v>
      </c>
      <c r="I530" s="827"/>
      <c r="J530" s="536"/>
      <c r="K530" s="824"/>
    </row>
    <row r="531" spans="3:11" ht="25.8" customHeight="1">
      <c r="C531" s="566" t="s">
        <v>1221</v>
      </c>
      <c r="D531" s="552" t="s">
        <v>1222</v>
      </c>
      <c r="E531" s="553"/>
      <c r="F531" s="553"/>
      <c r="G531" s="554"/>
      <c r="H531" s="828">
        <f>SUM(H529:H530)</f>
        <v>16929</v>
      </c>
      <c r="I531" s="827"/>
      <c r="J531" s="536"/>
      <c r="K531" s="824"/>
    </row>
    <row r="532" spans="3:11" ht="25.8" customHeight="1">
      <c r="J532" s="536"/>
      <c r="K532" s="824"/>
    </row>
    <row r="533" spans="3:11" ht="25.8" customHeight="1">
      <c r="C533" s="513" t="s">
        <v>3251</v>
      </c>
      <c r="D533" s="817" t="s">
        <v>1659</v>
      </c>
      <c r="E533" s="803"/>
      <c r="F533" s="803"/>
      <c r="G533" s="803"/>
      <c r="H533" s="803"/>
      <c r="I533" s="533">
        <f>ROUNDDOWN(H548,-2)</f>
        <v>19000</v>
      </c>
      <c r="J533" s="536"/>
      <c r="K533" s="824"/>
    </row>
    <row r="534" spans="3:11" ht="25.8" customHeight="1">
      <c r="C534" s="716" t="s">
        <v>1195</v>
      </c>
      <c r="D534" s="716" t="s">
        <v>1196</v>
      </c>
      <c r="E534" s="716" t="s">
        <v>1197</v>
      </c>
      <c r="F534" s="716" t="s">
        <v>1198</v>
      </c>
      <c r="G534" s="716" t="s">
        <v>1199</v>
      </c>
      <c r="H534" s="716" t="s">
        <v>1200</v>
      </c>
      <c r="J534" s="536"/>
      <c r="K534" s="824"/>
    </row>
    <row r="535" spans="3:11" ht="25.8" customHeight="1">
      <c r="C535" s="212" t="s">
        <v>1201</v>
      </c>
      <c r="D535" s="212" t="s">
        <v>1202</v>
      </c>
      <c r="E535" s="534"/>
      <c r="F535" s="534"/>
      <c r="G535" s="534"/>
      <c r="H535" s="534"/>
      <c r="J535" s="536"/>
      <c r="K535" s="824"/>
    </row>
    <row r="536" spans="3:11" ht="25.8" customHeight="1">
      <c r="C536" s="825">
        <v>1</v>
      </c>
      <c r="D536" s="212" t="s">
        <v>5</v>
      </c>
      <c r="E536" s="212" t="s">
        <v>6</v>
      </c>
      <c r="F536" s="538">
        <v>4.8000000000000001E-2</v>
      </c>
      <c r="G536" s="539">
        <f>VLOOKUP(D536,upahbahan,3,FALSE)</f>
        <v>100000</v>
      </c>
      <c r="H536" s="539">
        <f t="shared" ref="H536:H539" si="58">F536*G536</f>
        <v>4800</v>
      </c>
      <c r="J536" s="536"/>
      <c r="K536" s="824"/>
    </row>
    <row r="537" spans="3:11" ht="25.8" customHeight="1">
      <c r="C537" s="825">
        <v>2</v>
      </c>
      <c r="D537" s="212" t="str">
        <f>D520</f>
        <v>Tukang listrik</v>
      </c>
      <c r="E537" s="212" t="s">
        <v>6</v>
      </c>
      <c r="F537" s="538">
        <v>0.08</v>
      </c>
      <c r="G537" s="539">
        <f>VLOOKUP(D537,upahbahan,3,FALSE)</f>
        <v>135000</v>
      </c>
      <c r="H537" s="539">
        <f t="shared" si="58"/>
        <v>10800</v>
      </c>
      <c r="J537" s="536"/>
      <c r="K537" s="824"/>
    </row>
    <row r="538" spans="3:11" ht="25.8" customHeight="1">
      <c r="C538" s="825">
        <v>3</v>
      </c>
      <c r="D538" s="212" t="s">
        <v>18</v>
      </c>
      <c r="E538" s="212" t="s">
        <v>6</v>
      </c>
      <c r="F538" s="538">
        <v>8.0000000000000002E-3</v>
      </c>
      <c r="G538" s="539">
        <f>VLOOKUP(D538,upahbahan,3,FALSE)</f>
        <v>150000</v>
      </c>
      <c r="H538" s="539">
        <f t="shared" si="58"/>
        <v>1200</v>
      </c>
      <c r="J538" s="536"/>
      <c r="K538" s="824"/>
    </row>
    <row r="539" spans="3:11" ht="25.8" customHeight="1">
      <c r="C539" s="825">
        <v>4</v>
      </c>
      <c r="D539" s="212" t="s">
        <v>19</v>
      </c>
      <c r="E539" s="212" t="s">
        <v>6</v>
      </c>
      <c r="F539" s="538">
        <v>3.0000000000000001E-3</v>
      </c>
      <c r="G539" s="539">
        <f>VLOOKUP(D539,upahbahan,3,FALSE)</f>
        <v>160000</v>
      </c>
      <c r="H539" s="539">
        <f t="shared" si="58"/>
        <v>480</v>
      </c>
      <c r="J539" s="536"/>
      <c r="K539" s="824"/>
    </row>
    <row r="540" spans="3:11" ht="25.8" customHeight="1">
      <c r="C540" s="702" t="s">
        <v>1208</v>
      </c>
      <c r="D540" s="208"/>
      <c r="E540" s="208"/>
      <c r="F540" s="811"/>
      <c r="G540" s="522"/>
      <c r="H540" s="539">
        <f>SUM(H536:H539)</f>
        <v>17280</v>
      </c>
      <c r="I540" s="819"/>
      <c r="J540" s="536"/>
      <c r="K540" s="824"/>
    </row>
    <row r="541" spans="3:11" ht="25.8" customHeight="1">
      <c r="C541" s="212" t="s">
        <v>1209</v>
      </c>
      <c r="D541" s="212" t="s">
        <v>1210</v>
      </c>
      <c r="E541" s="534"/>
      <c r="F541" s="831"/>
      <c r="G541" s="534"/>
      <c r="H541" s="534"/>
      <c r="J541" s="536"/>
      <c r="K541" s="824"/>
    </row>
    <row r="542" spans="3:11" ht="25.8" customHeight="1">
      <c r="C542" s="825">
        <v>1</v>
      </c>
      <c r="D542" s="820" t="s">
        <v>933</v>
      </c>
      <c r="E542" s="807" t="s">
        <v>113</v>
      </c>
      <c r="F542" s="538">
        <v>1.1499999999999999</v>
      </c>
      <c r="G542" s="539">
        <f>VLOOKUP(D542,upahbahan,3,FALSE)</f>
        <v>0</v>
      </c>
      <c r="H542" s="539">
        <f t="shared" ref="H542" si="59">F542*G542</f>
        <v>0</v>
      </c>
      <c r="J542" s="536"/>
      <c r="K542" s="824"/>
    </row>
    <row r="543" spans="3:11" ht="25.8" customHeight="1">
      <c r="C543" s="702" t="s">
        <v>1214</v>
      </c>
      <c r="D543" s="208"/>
      <c r="E543" s="208"/>
      <c r="F543" s="208"/>
      <c r="G543" s="209"/>
      <c r="H543" s="539">
        <f>SUM(H542:H542)</f>
        <v>0</v>
      </c>
      <c r="J543" s="536"/>
      <c r="K543" s="824"/>
    </row>
    <row r="544" spans="3:11" ht="25.8" customHeight="1">
      <c r="C544" s="213" t="s">
        <v>1215</v>
      </c>
      <c r="D544" s="212" t="s">
        <v>1216</v>
      </c>
      <c r="E544" s="534"/>
      <c r="F544" s="534"/>
      <c r="G544" s="534"/>
      <c r="H544" s="534"/>
      <c r="J544" s="536"/>
      <c r="K544" s="824"/>
    </row>
    <row r="545" spans="3:11" ht="25.8" customHeight="1">
      <c r="C545" s="702" t="s">
        <v>1217</v>
      </c>
      <c r="D545" s="208"/>
      <c r="E545" s="208"/>
      <c r="F545" s="208"/>
      <c r="G545" s="209"/>
      <c r="H545" s="821">
        <v>0</v>
      </c>
      <c r="J545" s="536"/>
      <c r="K545" s="824"/>
    </row>
    <row r="546" spans="3:11" ht="25.8" customHeight="1">
      <c r="C546" s="566" t="s">
        <v>1218</v>
      </c>
      <c r="D546" s="552" t="s">
        <v>1219</v>
      </c>
      <c r="E546" s="553"/>
      <c r="F546" s="553"/>
      <c r="G546" s="554"/>
      <c r="H546" s="826">
        <f>H545+H543+H540</f>
        <v>17280</v>
      </c>
      <c r="I546" s="827"/>
      <c r="J546" s="536"/>
      <c r="K546" s="824"/>
    </row>
    <row r="547" spans="3:11" ht="25.8" customHeight="1">
      <c r="C547" s="566" t="s">
        <v>1220</v>
      </c>
      <c r="D547" s="552" t="s">
        <v>1321</v>
      </c>
      <c r="E547" s="553"/>
      <c r="F547" s="554"/>
      <c r="G547" s="555">
        <f>$M$9</f>
        <v>0.1</v>
      </c>
      <c r="H547" s="539">
        <f>H546*G547</f>
        <v>1728</v>
      </c>
      <c r="I547" s="827"/>
      <c r="J547" s="536"/>
      <c r="K547" s="824"/>
    </row>
    <row r="548" spans="3:11" ht="25.8" customHeight="1">
      <c r="C548" s="566" t="s">
        <v>1221</v>
      </c>
      <c r="D548" s="552" t="s">
        <v>1222</v>
      </c>
      <c r="E548" s="553"/>
      <c r="F548" s="553"/>
      <c r="G548" s="554"/>
      <c r="H548" s="828">
        <f>SUM(H546:H547)</f>
        <v>19008</v>
      </c>
      <c r="I548" s="827"/>
      <c r="J548" s="536"/>
      <c r="K548" s="824"/>
    </row>
    <row r="549" spans="3:11" ht="25.8" customHeight="1">
      <c r="J549" s="536"/>
      <c r="K549" s="824"/>
    </row>
    <row r="550" spans="3:11" ht="25.8" customHeight="1">
      <c r="C550" s="513" t="s">
        <v>3252</v>
      </c>
      <c r="D550" s="817" t="s">
        <v>1660</v>
      </c>
      <c r="E550" s="803"/>
      <c r="F550" s="803"/>
      <c r="G550" s="803"/>
      <c r="H550" s="803"/>
      <c r="I550" s="533">
        <f>ROUNDDOWN(H565,-2)</f>
        <v>9400</v>
      </c>
      <c r="J550" s="536"/>
      <c r="K550" s="824"/>
    </row>
    <row r="551" spans="3:11" ht="25.8" customHeight="1">
      <c r="C551" s="716" t="s">
        <v>1195</v>
      </c>
      <c r="D551" s="716" t="s">
        <v>1196</v>
      </c>
      <c r="E551" s="716" t="s">
        <v>1197</v>
      </c>
      <c r="F551" s="716" t="s">
        <v>1198</v>
      </c>
      <c r="G551" s="716" t="s">
        <v>1199</v>
      </c>
      <c r="H551" s="716" t="s">
        <v>1200</v>
      </c>
      <c r="J551" s="536"/>
      <c r="K551" s="824"/>
    </row>
    <row r="552" spans="3:11" ht="25.8" customHeight="1">
      <c r="C552" s="212" t="s">
        <v>1201</v>
      </c>
      <c r="D552" s="212" t="s">
        <v>1202</v>
      </c>
      <c r="E552" s="534"/>
      <c r="F552" s="534"/>
      <c r="G552" s="534"/>
      <c r="H552" s="534"/>
      <c r="J552" s="536"/>
      <c r="K552" s="824"/>
    </row>
    <row r="553" spans="3:11" ht="25.8" customHeight="1">
      <c r="C553" s="825">
        <v>1</v>
      </c>
      <c r="D553" s="212" t="s">
        <v>5</v>
      </c>
      <c r="E553" s="212" t="s">
        <v>6</v>
      </c>
      <c r="F553" s="538">
        <v>2.4E-2</v>
      </c>
      <c r="G553" s="539">
        <f>VLOOKUP(D553,upahbahan,3,FALSE)</f>
        <v>100000</v>
      </c>
      <c r="H553" s="539">
        <f t="shared" ref="H553:H556" si="60">F553*G553</f>
        <v>2400</v>
      </c>
      <c r="J553" s="536"/>
      <c r="K553" s="824"/>
    </row>
    <row r="554" spans="3:11" ht="25.8" customHeight="1">
      <c r="C554" s="825">
        <v>2</v>
      </c>
      <c r="D554" s="212" t="str">
        <f>D537</f>
        <v>Tukang listrik</v>
      </c>
      <c r="E554" s="212" t="s">
        <v>6</v>
      </c>
      <c r="F554" s="538">
        <v>0.04</v>
      </c>
      <c r="G554" s="539">
        <f>VLOOKUP(D554,upahbahan,3,FALSE)</f>
        <v>135000</v>
      </c>
      <c r="H554" s="539">
        <f t="shared" si="60"/>
        <v>5400</v>
      </c>
      <c r="J554" s="536"/>
      <c r="K554" s="824"/>
    </row>
    <row r="555" spans="3:11" ht="25.8" customHeight="1">
      <c r="C555" s="825">
        <v>3</v>
      </c>
      <c r="D555" s="212" t="s">
        <v>18</v>
      </c>
      <c r="E555" s="212" t="s">
        <v>6</v>
      </c>
      <c r="F555" s="538">
        <v>4.0000000000000001E-3</v>
      </c>
      <c r="G555" s="539">
        <f>VLOOKUP(D555,upahbahan,3,FALSE)</f>
        <v>150000</v>
      </c>
      <c r="H555" s="539">
        <f t="shared" si="60"/>
        <v>600</v>
      </c>
      <c r="J555" s="536"/>
      <c r="K555" s="824"/>
    </row>
    <row r="556" spans="3:11" ht="25.8" customHeight="1">
      <c r="C556" s="825">
        <v>4</v>
      </c>
      <c r="D556" s="212" t="s">
        <v>19</v>
      </c>
      <c r="E556" s="212" t="s">
        <v>6</v>
      </c>
      <c r="F556" s="538">
        <v>1E-3</v>
      </c>
      <c r="G556" s="539">
        <f>VLOOKUP(D556,upahbahan,3,FALSE)</f>
        <v>160000</v>
      </c>
      <c r="H556" s="539">
        <f t="shared" si="60"/>
        <v>160</v>
      </c>
      <c r="J556" s="536"/>
      <c r="K556" s="824"/>
    </row>
    <row r="557" spans="3:11" ht="25.8" customHeight="1">
      <c r="C557" s="702" t="s">
        <v>1208</v>
      </c>
      <c r="D557" s="208"/>
      <c r="E557" s="208"/>
      <c r="F557" s="811"/>
      <c r="G557" s="522"/>
      <c r="H557" s="539">
        <f>SUM(H553:H556)</f>
        <v>8560</v>
      </c>
      <c r="I557" s="819"/>
      <c r="J557" s="536"/>
      <c r="K557" s="824"/>
    </row>
    <row r="558" spans="3:11" ht="25.8" customHeight="1">
      <c r="C558" s="212" t="s">
        <v>1209</v>
      </c>
      <c r="D558" s="212" t="s">
        <v>1210</v>
      </c>
      <c r="E558" s="534"/>
      <c r="F558" s="831"/>
      <c r="G558" s="534"/>
      <c r="H558" s="534"/>
      <c r="J558" s="536"/>
      <c r="K558" s="824"/>
    </row>
    <row r="559" spans="3:11" ht="25.8" customHeight="1">
      <c r="C559" s="825">
        <v>1</v>
      </c>
      <c r="D559" s="820" t="s">
        <v>935</v>
      </c>
      <c r="E559" s="807" t="s">
        <v>113</v>
      </c>
      <c r="F559" s="538">
        <v>1.1499999999999999</v>
      </c>
      <c r="G559" s="539">
        <f>VLOOKUP(D559,upahbahan,3,FALSE)</f>
        <v>0</v>
      </c>
      <c r="H559" s="539">
        <f>F559*G559</f>
        <v>0</v>
      </c>
      <c r="J559" s="536"/>
      <c r="K559" s="824"/>
    </row>
    <row r="560" spans="3:11" ht="25.8" customHeight="1">
      <c r="C560" s="702" t="s">
        <v>1214</v>
      </c>
      <c r="D560" s="208"/>
      <c r="E560" s="208"/>
      <c r="F560" s="208"/>
      <c r="G560" s="209"/>
      <c r="H560" s="539">
        <f>SUM(H559:H559)</f>
        <v>0</v>
      </c>
      <c r="J560" s="536"/>
      <c r="K560" s="824"/>
    </row>
    <row r="561" spans="3:11" ht="25.8" customHeight="1">
      <c r="C561" s="213" t="s">
        <v>1215</v>
      </c>
      <c r="D561" s="212" t="s">
        <v>1216</v>
      </c>
      <c r="E561" s="534"/>
      <c r="F561" s="534"/>
      <c r="G561" s="534"/>
      <c r="H561" s="534"/>
      <c r="J561" s="536"/>
      <c r="K561" s="824"/>
    </row>
    <row r="562" spans="3:11" ht="25.8" customHeight="1">
      <c r="C562" s="702" t="s">
        <v>1217</v>
      </c>
      <c r="D562" s="208"/>
      <c r="E562" s="208"/>
      <c r="F562" s="208"/>
      <c r="G562" s="209"/>
      <c r="H562" s="821">
        <v>0</v>
      </c>
      <c r="J562" s="536"/>
      <c r="K562" s="824"/>
    </row>
    <row r="563" spans="3:11" ht="25.8" customHeight="1">
      <c r="C563" s="566" t="s">
        <v>1218</v>
      </c>
      <c r="D563" s="552" t="s">
        <v>1219</v>
      </c>
      <c r="E563" s="553"/>
      <c r="F563" s="553"/>
      <c r="G563" s="554"/>
      <c r="H563" s="826">
        <f>H562+H560+H557</f>
        <v>8560</v>
      </c>
      <c r="I563" s="827"/>
      <c r="J563" s="536"/>
      <c r="K563" s="824"/>
    </row>
    <row r="564" spans="3:11" ht="25.8" customHeight="1">
      <c r="C564" s="566" t="s">
        <v>1220</v>
      </c>
      <c r="D564" s="552" t="s">
        <v>1321</v>
      </c>
      <c r="E564" s="553"/>
      <c r="F564" s="554"/>
      <c r="G564" s="555">
        <f>$M$9</f>
        <v>0.1</v>
      </c>
      <c r="H564" s="539">
        <f>H563*G564</f>
        <v>856</v>
      </c>
      <c r="I564" s="827"/>
      <c r="J564" s="536"/>
      <c r="K564" s="824"/>
    </row>
    <row r="565" spans="3:11" ht="25.8" customHeight="1">
      <c r="C565" s="566" t="s">
        <v>1221</v>
      </c>
      <c r="D565" s="552" t="s">
        <v>1222</v>
      </c>
      <c r="E565" s="553"/>
      <c r="F565" s="553"/>
      <c r="G565" s="554"/>
      <c r="H565" s="828">
        <f>SUM(H563:H564)</f>
        <v>9416</v>
      </c>
      <c r="I565" s="827"/>
      <c r="J565" s="536"/>
      <c r="K565" s="824"/>
    </row>
    <row r="566" spans="3:11" ht="25.8" customHeight="1">
      <c r="J566" s="536"/>
      <c r="K566" s="824"/>
    </row>
    <row r="567" spans="3:11" ht="25.8" customHeight="1">
      <c r="C567" s="513" t="s">
        <v>3253</v>
      </c>
      <c r="D567" s="817" t="s">
        <v>1661</v>
      </c>
      <c r="E567" s="803"/>
      <c r="F567" s="803"/>
      <c r="G567" s="803"/>
      <c r="H567" s="803"/>
      <c r="I567" s="533">
        <f>ROUNDDOWN(H582,-2)</f>
        <v>9400</v>
      </c>
      <c r="J567" s="536"/>
      <c r="K567" s="824"/>
    </row>
    <row r="568" spans="3:11" ht="25.8" customHeight="1">
      <c r="C568" s="716" t="s">
        <v>1195</v>
      </c>
      <c r="D568" s="716" t="s">
        <v>1196</v>
      </c>
      <c r="E568" s="716" t="s">
        <v>1197</v>
      </c>
      <c r="F568" s="716" t="s">
        <v>1198</v>
      </c>
      <c r="G568" s="716" t="s">
        <v>1199</v>
      </c>
      <c r="H568" s="716" t="s">
        <v>1200</v>
      </c>
      <c r="J568" s="536"/>
      <c r="K568" s="824"/>
    </row>
    <row r="569" spans="3:11" ht="25.8" customHeight="1">
      <c r="C569" s="212" t="s">
        <v>1201</v>
      </c>
      <c r="D569" s="212" t="s">
        <v>1202</v>
      </c>
      <c r="E569" s="534"/>
      <c r="F569" s="534"/>
      <c r="G569" s="534"/>
      <c r="H569" s="534"/>
      <c r="J569" s="536"/>
      <c r="K569" s="824"/>
    </row>
    <row r="570" spans="3:11" ht="25.8" customHeight="1">
      <c r="C570" s="825">
        <v>1</v>
      </c>
      <c r="D570" s="212" t="s">
        <v>5</v>
      </c>
      <c r="E570" s="212" t="s">
        <v>6</v>
      </c>
      <c r="F570" s="538">
        <v>2.4E-2</v>
      </c>
      <c r="G570" s="539">
        <f>VLOOKUP(D570,upahbahan,3,FALSE)</f>
        <v>100000</v>
      </c>
      <c r="H570" s="539">
        <f t="shared" ref="H570:H573" si="61">F570*G570</f>
        <v>2400</v>
      </c>
      <c r="J570" s="536"/>
      <c r="K570" s="824"/>
    </row>
    <row r="571" spans="3:11" ht="25.8" customHeight="1">
      <c r="C571" s="825">
        <v>2</v>
      </c>
      <c r="D571" s="212" t="str">
        <f>D554</f>
        <v>Tukang listrik</v>
      </c>
      <c r="E571" s="212" t="s">
        <v>6</v>
      </c>
      <c r="F571" s="538">
        <v>0.04</v>
      </c>
      <c r="G571" s="539">
        <f>VLOOKUP(D571,upahbahan,3,FALSE)</f>
        <v>135000</v>
      </c>
      <c r="H571" s="539">
        <f t="shared" si="61"/>
        <v>5400</v>
      </c>
      <c r="J571" s="536"/>
      <c r="K571" s="824"/>
    </row>
    <row r="572" spans="3:11" ht="25.8" customHeight="1">
      <c r="C572" s="825">
        <v>3</v>
      </c>
      <c r="D572" s="212" t="s">
        <v>18</v>
      </c>
      <c r="E572" s="212" t="s">
        <v>6</v>
      </c>
      <c r="F572" s="538">
        <v>4.0000000000000001E-3</v>
      </c>
      <c r="G572" s="539">
        <f>VLOOKUP(D572,upahbahan,3,FALSE)</f>
        <v>150000</v>
      </c>
      <c r="H572" s="539">
        <f t="shared" si="61"/>
        <v>600</v>
      </c>
      <c r="J572" s="536"/>
      <c r="K572" s="824"/>
    </row>
    <row r="573" spans="3:11" ht="25.8" customHeight="1">
      <c r="C573" s="825">
        <v>4</v>
      </c>
      <c r="D573" s="212" t="s">
        <v>19</v>
      </c>
      <c r="E573" s="212" t="s">
        <v>6</v>
      </c>
      <c r="F573" s="538">
        <v>1E-3</v>
      </c>
      <c r="G573" s="539">
        <f>VLOOKUP(D573,upahbahan,3,FALSE)</f>
        <v>160000</v>
      </c>
      <c r="H573" s="539">
        <f t="shared" si="61"/>
        <v>160</v>
      </c>
      <c r="J573" s="536"/>
      <c r="K573" s="824"/>
    </row>
    <row r="574" spans="3:11" ht="25.8" customHeight="1">
      <c r="C574" s="702" t="s">
        <v>1208</v>
      </c>
      <c r="D574" s="208"/>
      <c r="E574" s="208"/>
      <c r="F574" s="811"/>
      <c r="G574" s="522"/>
      <c r="H574" s="539">
        <f>SUM(H570:H573)</f>
        <v>8560</v>
      </c>
      <c r="I574" s="819"/>
      <c r="J574" s="536"/>
      <c r="K574" s="824"/>
    </row>
    <row r="575" spans="3:11" ht="25.8" customHeight="1">
      <c r="C575" s="212" t="s">
        <v>1209</v>
      </c>
      <c r="D575" s="212" t="s">
        <v>1210</v>
      </c>
      <c r="E575" s="534"/>
      <c r="F575" s="831"/>
      <c r="G575" s="534"/>
      <c r="H575" s="534"/>
      <c r="J575" s="536"/>
      <c r="K575" s="824"/>
    </row>
    <row r="576" spans="3:11" ht="25.8" customHeight="1">
      <c r="C576" s="825">
        <v>1</v>
      </c>
      <c r="D576" s="820" t="s">
        <v>941</v>
      </c>
      <c r="E576" s="807" t="s">
        <v>113</v>
      </c>
      <c r="F576" s="538">
        <v>1.1499999999999999</v>
      </c>
      <c r="G576" s="539">
        <f>VLOOKUP(D576,upahbahan,3,FALSE)</f>
        <v>0</v>
      </c>
      <c r="H576" s="539">
        <f>F576*G576</f>
        <v>0</v>
      </c>
      <c r="J576" s="536"/>
      <c r="K576" s="824"/>
    </row>
    <row r="577" spans="3:11" ht="25.8" customHeight="1">
      <c r="C577" s="702" t="s">
        <v>1214</v>
      </c>
      <c r="D577" s="208"/>
      <c r="E577" s="208"/>
      <c r="F577" s="208"/>
      <c r="G577" s="209"/>
      <c r="H577" s="539">
        <f>SUM(H576:H576)</f>
        <v>0</v>
      </c>
      <c r="J577" s="536"/>
      <c r="K577" s="824"/>
    </row>
    <row r="578" spans="3:11" ht="25.8" customHeight="1">
      <c r="C578" s="213" t="s">
        <v>1215</v>
      </c>
      <c r="D578" s="212" t="s">
        <v>1216</v>
      </c>
      <c r="E578" s="534"/>
      <c r="F578" s="534"/>
      <c r="G578" s="534"/>
      <c r="H578" s="534"/>
      <c r="J578" s="536"/>
      <c r="K578" s="824"/>
    </row>
    <row r="579" spans="3:11" ht="25.8" customHeight="1">
      <c r="C579" s="702" t="s">
        <v>1217</v>
      </c>
      <c r="D579" s="208"/>
      <c r="E579" s="208"/>
      <c r="F579" s="208"/>
      <c r="G579" s="209"/>
      <c r="H579" s="821">
        <v>0</v>
      </c>
      <c r="J579" s="536"/>
      <c r="K579" s="824"/>
    </row>
    <row r="580" spans="3:11" ht="25.8" customHeight="1">
      <c r="C580" s="566" t="s">
        <v>1218</v>
      </c>
      <c r="D580" s="552" t="s">
        <v>1219</v>
      </c>
      <c r="E580" s="553"/>
      <c r="F580" s="553"/>
      <c r="G580" s="554"/>
      <c r="H580" s="826">
        <f>H579+H577+H574</f>
        <v>8560</v>
      </c>
      <c r="I580" s="827"/>
      <c r="J580" s="536"/>
      <c r="K580" s="824"/>
    </row>
    <row r="581" spans="3:11" ht="25.8" customHeight="1">
      <c r="C581" s="566" t="s">
        <v>1220</v>
      </c>
      <c r="D581" s="552" t="s">
        <v>1321</v>
      </c>
      <c r="E581" s="553"/>
      <c r="F581" s="554"/>
      <c r="G581" s="555">
        <f>$M$9</f>
        <v>0.1</v>
      </c>
      <c r="H581" s="539">
        <f>H580*G581</f>
        <v>856</v>
      </c>
      <c r="I581" s="827"/>
      <c r="J581" s="536"/>
      <c r="K581" s="824"/>
    </row>
    <row r="582" spans="3:11" ht="25.8" customHeight="1">
      <c r="C582" s="566" t="s">
        <v>1221</v>
      </c>
      <c r="D582" s="552" t="s">
        <v>1222</v>
      </c>
      <c r="E582" s="553"/>
      <c r="F582" s="553"/>
      <c r="G582" s="554"/>
      <c r="H582" s="828">
        <f>SUM(H580:H581)</f>
        <v>9416</v>
      </c>
      <c r="I582" s="827"/>
      <c r="J582" s="536"/>
      <c r="K582" s="824"/>
    </row>
    <row r="583" spans="3:11" ht="25.8" customHeight="1">
      <c r="J583" s="536"/>
      <c r="K583" s="824"/>
    </row>
    <row r="584" spans="3:11" ht="25.8" customHeight="1">
      <c r="C584" s="513" t="s">
        <v>3254</v>
      </c>
      <c r="D584" s="817" t="s">
        <v>1662</v>
      </c>
      <c r="E584" s="803"/>
      <c r="F584" s="803"/>
      <c r="G584" s="803"/>
      <c r="H584" s="803"/>
      <c r="I584" s="533">
        <f>ROUNDDOWN(H599,-2)</f>
        <v>11400</v>
      </c>
      <c r="J584" s="536"/>
      <c r="K584" s="824"/>
    </row>
    <row r="585" spans="3:11" ht="25.8" customHeight="1">
      <c r="C585" s="716" t="s">
        <v>1195</v>
      </c>
      <c r="D585" s="716" t="s">
        <v>1196</v>
      </c>
      <c r="E585" s="716" t="s">
        <v>1197</v>
      </c>
      <c r="F585" s="716" t="s">
        <v>1198</v>
      </c>
      <c r="G585" s="716" t="s">
        <v>1199</v>
      </c>
      <c r="H585" s="716" t="s">
        <v>1200</v>
      </c>
      <c r="J585" s="536"/>
      <c r="K585" s="824"/>
    </row>
    <row r="586" spans="3:11" ht="25.8" customHeight="1">
      <c r="C586" s="212" t="s">
        <v>1201</v>
      </c>
      <c r="D586" s="212" t="s">
        <v>1202</v>
      </c>
      <c r="E586" s="534"/>
      <c r="F586" s="534"/>
      <c r="G586" s="534"/>
      <c r="H586" s="534"/>
      <c r="J586" s="536"/>
      <c r="K586" s="824"/>
    </row>
    <row r="587" spans="3:11" ht="25.8" customHeight="1">
      <c r="C587" s="825">
        <v>1</v>
      </c>
      <c r="D587" s="212" t="s">
        <v>5</v>
      </c>
      <c r="E587" s="212" t="s">
        <v>6</v>
      </c>
      <c r="F587" s="829">
        <v>2.9000000000000001E-2</v>
      </c>
      <c r="G587" s="539">
        <f>VLOOKUP(D587,upahbahan,3,FALSE)</f>
        <v>100000</v>
      </c>
      <c r="H587" s="539">
        <f t="shared" ref="H587:H590" si="62">F587*G587</f>
        <v>2900</v>
      </c>
      <c r="J587" s="536"/>
      <c r="K587" s="824"/>
    </row>
    <row r="588" spans="3:11" ht="25.8" customHeight="1">
      <c r="C588" s="825">
        <v>2</v>
      </c>
      <c r="D588" s="212" t="str">
        <f>D571</f>
        <v>Tukang listrik</v>
      </c>
      <c r="E588" s="212" t="s">
        <v>6</v>
      </c>
      <c r="F588" s="829">
        <v>4.8000000000000001E-2</v>
      </c>
      <c r="G588" s="539">
        <f>VLOOKUP(D588,upahbahan,3,FALSE)</f>
        <v>135000</v>
      </c>
      <c r="H588" s="539">
        <f t="shared" si="62"/>
        <v>6480</v>
      </c>
      <c r="J588" s="536"/>
      <c r="K588" s="824"/>
    </row>
    <row r="589" spans="3:11" ht="25.8" customHeight="1">
      <c r="C589" s="825">
        <v>3</v>
      </c>
      <c r="D589" s="212" t="s">
        <v>18</v>
      </c>
      <c r="E589" s="212" t="s">
        <v>6</v>
      </c>
      <c r="F589" s="829">
        <v>5.0000000000000001E-3</v>
      </c>
      <c r="G589" s="539">
        <f>VLOOKUP(D589,upahbahan,3,FALSE)</f>
        <v>150000</v>
      </c>
      <c r="H589" s="539">
        <f t="shared" si="62"/>
        <v>750</v>
      </c>
      <c r="J589" s="536"/>
      <c r="K589" s="824"/>
    </row>
    <row r="590" spans="3:11" ht="25.8" customHeight="1">
      <c r="C590" s="825">
        <v>4</v>
      </c>
      <c r="D590" s="212" t="s">
        <v>19</v>
      </c>
      <c r="E590" s="212" t="s">
        <v>6</v>
      </c>
      <c r="F590" s="829">
        <v>2E-3</v>
      </c>
      <c r="G590" s="539">
        <f>VLOOKUP(D590,upahbahan,3,FALSE)</f>
        <v>160000</v>
      </c>
      <c r="H590" s="539">
        <f t="shared" si="62"/>
        <v>320</v>
      </c>
      <c r="J590" s="536"/>
      <c r="K590" s="824"/>
    </row>
    <row r="591" spans="3:11" ht="25.8" customHeight="1">
      <c r="C591" s="702" t="s">
        <v>1208</v>
      </c>
      <c r="D591" s="208"/>
      <c r="E591" s="208"/>
      <c r="F591" s="811"/>
      <c r="G591" s="522"/>
      <c r="H591" s="539">
        <f>SUM(H587:H590)</f>
        <v>10450</v>
      </c>
      <c r="I591" s="819"/>
      <c r="J591" s="536"/>
      <c r="K591" s="824"/>
    </row>
    <row r="592" spans="3:11" ht="25.8" customHeight="1">
      <c r="C592" s="212" t="s">
        <v>1209</v>
      </c>
      <c r="D592" s="212" t="s">
        <v>1210</v>
      </c>
      <c r="E592" s="534"/>
      <c r="F592" s="831"/>
      <c r="G592" s="534"/>
      <c r="H592" s="534"/>
      <c r="J592" s="536"/>
      <c r="K592" s="824"/>
    </row>
    <row r="593" spans="3:11" ht="25.8" customHeight="1">
      <c r="C593" s="825">
        <v>1</v>
      </c>
      <c r="D593" s="820" t="s">
        <v>946</v>
      </c>
      <c r="E593" s="807" t="s">
        <v>113</v>
      </c>
      <c r="F593" s="538">
        <v>1.1499999999999999</v>
      </c>
      <c r="G593" s="539">
        <f>VLOOKUP(D593,upahbahan,3,FALSE)</f>
        <v>0</v>
      </c>
      <c r="H593" s="539">
        <f t="shared" ref="H593" si="63">F593*G593</f>
        <v>0</v>
      </c>
      <c r="J593" s="536"/>
      <c r="K593" s="824"/>
    </row>
    <row r="594" spans="3:11" ht="25.8" customHeight="1">
      <c r="C594" s="702" t="s">
        <v>1214</v>
      </c>
      <c r="D594" s="208"/>
      <c r="E594" s="208"/>
      <c r="F594" s="208"/>
      <c r="G594" s="209"/>
      <c r="H594" s="539">
        <f>SUM(H593:H593)</f>
        <v>0</v>
      </c>
      <c r="J594" s="536"/>
      <c r="K594" s="824"/>
    </row>
    <row r="595" spans="3:11" ht="25.8" customHeight="1">
      <c r="C595" s="213" t="s">
        <v>1215</v>
      </c>
      <c r="D595" s="212" t="s">
        <v>1216</v>
      </c>
      <c r="E595" s="534"/>
      <c r="F595" s="534"/>
      <c r="G595" s="534"/>
      <c r="H595" s="534"/>
      <c r="J595" s="536"/>
      <c r="K595" s="824"/>
    </row>
    <row r="596" spans="3:11" ht="25.8" customHeight="1">
      <c r="C596" s="702" t="s">
        <v>1217</v>
      </c>
      <c r="D596" s="208"/>
      <c r="E596" s="208"/>
      <c r="F596" s="208"/>
      <c r="G596" s="209"/>
      <c r="H596" s="821">
        <v>0</v>
      </c>
      <c r="J596" s="536"/>
      <c r="K596" s="824"/>
    </row>
    <row r="597" spans="3:11" ht="25.8" customHeight="1">
      <c r="C597" s="566" t="s">
        <v>1218</v>
      </c>
      <c r="D597" s="552" t="s">
        <v>1219</v>
      </c>
      <c r="E597" s="553"/>
      <c r="F597" s="553"/>
      <c r="G597" s="554"/>
      <c r="H597" s="826">
        <f>H596+H594+H591</f>
        <v>10450</v>
      </c>
      <c r="I597" s="827"/>
      <c r="J597" s="536"/>
      <c r="K597" s="824"/>
    </row>
    <row r="598" spans="3:11" ht="25.8" customHeight="1">
      <c r="C598" s="566" t="s">
        <v>1220</v>
      </c>
      <c r="D598" s="552" t="s">
        <v>1321</v>
      </c>
      <c r="E598" s="553"/>
      <c r="F598" s="554"/>
      <c r="G598" s="555">
        <f>$M$9</f>
        <v>0.1</v>
      </c>
      <c r="H598" s="539">
        <f>H597*G598</f>
        <v>1045</v>
      </c>
      <c r="I598" s="827"/>
      <c r="J598" s="536"/>
      <c r="K598" s="824"/>
    </row>
    <row r="599" spans="3:11" ht="25.8" customHeight="1">
      <c r="C599" s="566" t="s">
        <v>1221</v>
      </c>
      <c r="D599" s="552" t="s">
        <v>1222</v>
      </c>
      <c r="E599" s="553"/>
      <c r="F599" s="553"/>
      <c r="G599" s="554"/>
      <c r="H599" s="828">
        <f>SUM(H597:H598)</f>
        <v>11495</v>
      </c>
      <c r="I599" s="827"/>
      <c r="J599" s="536"/>
      <c r="K599" s="824"/>
    </row>
    <row r="600" spans="3:11" ht="25.8" customHeight="1">
      <c r="J600" s="536"/>
      <c r="K600" s="824"/>
    </row>
    <row r="601" spans="3:11" ht="25.8" customHeight="1">
      <c r="C601" s="513" t="s">
        <v>3255</v>
      </c>
      <c r="D601" s="817" t="s">
        <v>1663</v>
      </c>
      <c r="E601" s="803"/>
      <c r="F601" s="803"/>
      <c r="G601" s="803"/>
      <c r="H601" s="803"/>
      <c r="I601" s="533">
        <f>ROUNDDOWN(H616,-2)</f>
        <v>11400</v>
      </c>
      <c r="J601" s="536"/>
      <c r="K601" s="824"/>
    </row>
    <row r="602" spans="3:11" ht="25.8" customHeight="1">
      <c r="C602" s="716" t="s">
        <v>1195</v>
      </c>
      <c r="D602" s="716" t="s">
        <v>1196</v>
      </c>
      <c r="E602" s="716" t="s">
        <v>1197</v>
      </c>
      <c r="F602" s="716" t="s">
        <v>1198</v>
      </c>
      <c r="G602" s="716" t="s">
        <v>1199</v>
      </c>
      <c r="H602" s="716" t="s">
        <v>1200</v>
      </c>
      <c r="J602" s="536"/>
      <c r="K602" s="824"/>
    </row>
    <row r="603" spans="3:11" ht="25.8" customHeight="1">
      <c r="C603" s="212" t="s">
        <v>1201</v>
      </c>
      <c r="D603" s="212" t="s">
        <v>1202</v>
      </c>
      <c r="E603" s="534"/>
      <c r="F603" s="534"/>
      <c r="G603" s="534"/>
      <c r="H603" s="534"/>
      <c r="J603" s="536"/>
      <c r="K603" s="824"/>
    </row>
    <row r="604" spans="3:11" ht="25.8" customHeight="1">
      <c r="C604" s="825">
        <v>1</v>
      </c>
      <c r="D604" s="212" t="s">
        <v>5</v>
      </c>
      <c r="E604" s="212" t="s">
        <v>6</v>
      </c>
      <c r="F604" s="829">
        <v>2.9000000000000001E-2</v>
      </c>
      <c r="G604" s="539">
        <f>VLOOKUP(D604,upahbahan,3,FALSE)</f>
        <v>100000</v>
      </c>
      <c r="H604" s="539">
        <f t="shared" ref="H604:H607" si="64">F604*G604</f>
        <v>2900</v>
      </c>
      <c r="J604" s="536"/>
      <c r="K604" s="824"/>
    </row>
    <row r="605" spans="3:11" ht="25.8" customHeight="1">
      <c r="C605" s="825">
        <v>2</v>
      </c>
      <c r="D605" s="212" t="str">
        <f>D588</f>
        <v>Tukang listrik</v>
      </c>
      <c r="E605" s="212" t="s">
        <v>6</v>
      </c>
      <c r="F605" s="829">
        <v>4.8000000000000001E-2</v>
      </c>
      <c r="G605" s="539">
        <f>VLOOKUP(D605,upahbahan,3,FALSE)</f>
        <v>135000</v>
      </c>
      <c r="H605" s="539">
        <f t="shared" si="64"/>
        <v>6480</v>
      </c>
      <c r="J605" s="536"/>
      <c r="K605" s="824"/>
    </row>
    <row r="606" spans="3:11" ht="25.8" customHeight="1">
      <c r="C606" s="825">
        <v>3</v>
      </c>
      <c r="D606" s="212" t="s">
        <v>18</v>
      </c>
      <c r="E606" s="212" t="s">
        <v>6</v>
      </c>
      <c r="F606" s="829">
        <v>5.0000000000000001E-3</v>
      </c>
      <c r="G606" s="539">
        <f>VLOOKUP(D606,upahbahan,3,FALSE)</f>
        <v>150000</v>
      </c>
      <c r="H606" s="539">
        <f t="shared" si="64"/>
        <v>750</v>
      </c>
      <c r="J606" s="536"/>
      <c r="K606" s="824"/>
    </row>
    <row r="607" spans="3:11" ht="25.8" customHeight="1">
      <c r="C607" s="825">
        <v>4</v>
      </c>
      <c r="D607" s="212" t="s">
        <v>19</v>
      </c>
      <c r="E607" s="212" t="s">
        <v>6</v>
      </c>
      <c r="F607" s="829">
        <v>2E-3</v>
      </c>
      <c r="G607" s="539">
        <f>VLOOKUP(D607,upahbahan,3,FALSE)</f>
        <v>160000</v>
      </c>
      <c r="H607" s="539">
        <f t="shared" si="64"/>
        <v>320</v>
      </c>
      <c r="J607" s="536"/>
      <c r="K607" s="824"/>
    </row>
    <row r="608" spans="3:11" ht="25.8" customHeight="1">
      <c r="C608" s="702" t="s">
        <v>1208</v>
      </c>
      <c r="D608" s="208"/>
      <c r="E608" s="208"/>
      <c r="F608" s="811"/>
      <c r="G608" s="522"/>
      <c r="H608" s="539">
        <f>SUM(H604:H607)</f>
        <v>10450</v>
      </c>
      <c r="I608" s="819"/>
      <c r="J608" s="536"/>
      <c r="K608" s="824"/>
    </row>
    <row r="609" spans="3:11" ht="25.8" customHeight="1">
      <c r="C609" s="212" t="s">
        <v>1209</v>
      </c>
      <c r="D609" s="212" t="s">
        <v>1210</v>
      </c>
      <c r="E609" s="534"/>
      <c r="F609" s="831"/>
      <c r="G609" s="534"/>
      <c r="H609" s="534"/>
      <c r="J609" s="536"/>
      <c r="K609" s="824"/>
    </row>
    <row r="610" spans="3:11" ht="25.8" customHeight="1">
      <c r="C610" s="825">
        <v>1</v>
      </c>
      <c r="D610" s="820" t="s">
        <v>948</v>
      </c>
      <c r="E610" s="807" t="s">
        <v>113</v>
      </c>
      <c r="F610" s="538">
        <v>1.1499999999999999</v>
      </c>
      <c r="G610" s="539">
        <f>VLOOKUP(D610,upahbahan,3,FALSE)</f>
        <v>0</v>
      </c>
      <c r="H610" s="539">
        <f t="shared" ref="H610" si="65">F610*G610</f>
        <v>0</v>
      </c>
      <c r="J610" s="536"/>
      <c r="K610" s="824"/>
    </row>
    <row r="611" spans="3:11" ht="25.8" customHeight="1">
      <c r="C611" s="702" t="s">
        <v>1214</v>
      </c>
      <c r="D611" s="208"/>
      <c r="E611" s="208"/>
      <c r="F611" s="208"/>
      <c r="G611" s="209"/>
      <c r="H611" s="539">
        <f>SUM(H610:H610)</f>
        <v>0</v>
      </c>
      <c r="J611" s="536"/>
      <c r="K611" s="824"/>
    </row>
    <row r="612" spans="3:11" ht="25.8" customHeight="1">
      <c r="C612" s="213" t="s">
        <v>1215</v>
      </c>
      <c r="D612" s="212" t="s">
        <v>1216</v>
      </c>
      <c r="E612" s="534"/>
      <c r="F612" s="534"/>
      <c r="G612" s="534"/>
      <c r="H612" s="534"/>
      <c r="J612" s="536"/>
      <c r="K612" s="824"/>
    </row>
    <row r="613" spans="3:11" ht="25.8" customHeight="1">
      <c r="C613" s="702" t="s">
        <v>1217</v>
      </c>
      <c r="D613" s="208"/>
      <c r="E613" s="208"/>
      <c r="F613" s="208"/>
      <c r="G613" s="209"/>
      <c r="H613" s="821">
        <v>0</v>
      </c>
      <c r="J613" s="536"/>
      <c r="K613" s="824"/>
    </row>
    <row r="614" spans="3:11" ht="25.8" customHeight="1">
      <c r="C614" s="566" t="s">
        <v>1218</v>
      </c>
      <c r="D614" s="552" t="s">
        <v>1219</v>
      </c>
      <c r="E614" s="553"/>
      <c r="F614" s="553"/>
      <c r="G614" s="554"/>
      <c r="H614" s="826">
        <f>H613+H611+H608</f>
        <v>10450</v>
      </c>
      <c r="I614" s="827"/>
      <c r="J614" s="536"/>
      <c r="K614" s="824"/>
    </row>
    <row r="615" spans="3:11" ht="25.8" customHeight="1">
      <c r="C615" s="566" t="s">
        <v>1220</v>
      </c>
      <c r="D615" s="552" t="s">
        <v>1321</v>
      </c>
      <c r="E615" s="553"/>
      <c r="F615" s="554"/>
      <c r="G615" s="555">
        <f>$M$9</f>
        <v>0.1</v>
      </c>
      <c r="H615" s="539">
        <f>H614*G615</f>
        <v>1045</v>
      </c>
      <c r="I615" s="827"/>
      <c r="J615" s="536"/>
      <c r="K615" s="824"/>
    </row>
    <row r="616" spans="3:11" ht="25.8" customHeight="1">
      <c r="C616" s="566" t="s">
        <v>1221</v>
      </c>
      <c r="D616" s="552" t="s">
        <v>1222</v>
      </c>
      <c r="E616" s="553"/>
      <c r="F616" s="553"/>
      <c r="G616" s="554"/>
      <c r="H616" s="828">
        <f>SUM(H614:H615)</f>
        <v>11495</v>
      </c>
      <c r="I616" s="827"/>
      <c r="J616" s="536"/>
      <c r="K616" s="824"/>
    </row>
    <row r="617" spans="3:11" ht="25.8" customHeight="1">
      <c r="J617" s="536"/>
      <c r="K617" s="824"/>
    </row>
    <row r="618" spans="3:11" ht="25.8" customHeight="1">
      <c r="C618" s="513" t="s">
        <v>3256</v>
      </c>
      <c r="D618" s="817" t="s">
        <v>1664</v>
      </c>
      <c r="E618" s="803"/>
      <c r="F618" s="803"/>
      <c r="G618" s="803"/>
      <c r="H618" s="803"/>
      <c r="I618" s="533">
        <f>ROUNDDOWN(H633,-2)</f>
        <v>14200</v>
      </c>
      <c r="J618" s="536"/>
      <c r="K618" s="824"/>
    </row>
    <row r="619" spans="3:11" ht="25.8" customHeight="1">
      <c r="C619" s="716" t="s">
        <v>1195</v>
      </c>
      <c r="D619" s="716" t="s">
        <v>1196</v>
      </c>
      <c r="E619" s="716" t="s">
        <v>1197</v>
      </c>
      <c r="F619" s="716" t="s">
        <v>1198</v>
      </c>
      <c r="G619" s="716" t="s">
        <v>1199</v>
      </c>
      <c r="H619" s="716" t="s">
        <v>1200</v>
      </c>
      <c r="J619" s="536"/>
      <c r="K619" s="824"/>
    </row>
    <row r="620" spans="3:11" ht="25.8" customHeight="1">
      <c r="C620" s="212" t="s">
        <v>1201</v>
      </c>
      <c r="D620" s="212" t="s">
        <v>1202</v>
      </c>
      <c r="E620" s="534"/>
      <c r="F620" s="534"/>
      <c r="G620" s="534"/>
      <c r="H620" s="534"/>
      <c r="J620" s="536"/>
      <c r="K620" s="824"/>
    </row>
    <row r="621" spans="3:11" ht="25.8" customHeight="1">
      <c r="C621" s="825">
        <v>1</v>
      </c>
      <c r="D621" s="212" t="s">
        <v>5</v>
      </c>
      <c r="E621" s="212" t="s">
        <v>6</v>
      </c>
      <c r="F621" s="538">
        <v>3.5999999999999997E-2</v>
      </c>
      <c r="G621" s="539">
        <f>VLOOKUP(D621,upahbahan,3,FALSE)</f>
        <v>100000</v>
      </c>
      <c r="H621" s="539">
        <f t="shared" ref="H621:H624" si="66">F621*G621</f>
        <v>3599.9999999999995</v>
      </c>
      <c r="J621" s="536"/>
      <c r="K621" s="824"/>
    </row>
    <row r="622" spans="3:11" ht="25.8" customHeight="1">
      <c r="C622" s="825">
        <v>2</v>
      </c>
      <c r="D622" s="212" t="str">
        <f>D605</f>
        <v>Tukang listrik</v>
      </c>
      <c r="E622" s="212" t="s">
        <v>6</v>
      </c>
      <c r="F622" s="538">
        <v>0.06</v>
      </c>
      <c r="G622" s="539">
        <f>VLOOKUP(D622,upahbahan,3,FALSE)</f>
        <v>135000</v>
      </c>
      <c r="H622" s="539">
        <f t="shared" si="66"/>
        <v>8100</v>
      </c>
      <c r="J622" s="536"/>
      <c r="K622" s="824"/>
    </row>
    <row r="623" spans="3:11" ht="25.8" customHeight="1">
      <c r="C623" s="825">
        <v>3</v>
      </c>
      <c r="D623" s="212" t="s">
        <v>18</v>
      </c>
      <c r="E623" s="212" t="s">
        <v>6</v>
      </c>
      <c r="F623" s="538">
        <v>6.0000000000000001E-3</v>
      </c>
      <c r="G623" s="539">
        <f>VLOOKUP(D623,upahbahan,3,FALSE)</f>
        <v>150000</v>
      </c>
      <c r="H623" s="539">
        <f t="shared" si="66"/>
        <v>900</v>
      </c>
      <c r="J623" s="536"/>
      <c r="K623" s="824"/>
    </row>
    <row r="624" spans="3:11" ht="25.8" customHeight="1">
      <c r="C624" s="825">
        <v>4</v>
      </c>
      <c r="D624" s="212" t="s">
        <v>19</v>
      </c>
      <c r="E624" s="212" t="s">
        <v>6</v>
      </c>
      <c r="F624" s="538">
        <v>2E-3</v>
      </c>
      <c r="G624" s="539">
        <f>VLOOKUP(D624,upahbahan,3,FALSE)</f>
        <v>160000</v>
      </c>
      <c r="H624" s="539">
        <f t="shared" si="66"/>
        <v>320</v>
      </c>
      <c r="J624" s="536"/>
      <c r="K624" s="824"/>
    </row>
    <row r="625" spans="3:11" ht="25.8" customHeight="1">
      <c r="C625" s="702" t="s">
        <v>1208</v>
      </c>
      <c r="D625" s="208"/>
      <c r="E625" s="208"/>
      <c r="F625" s="811"/>
      <c r="G625" s="522"/>
      <c r="H625" s="539">
        <f>SUM(H621:H624)</f>
        <v>12920</v>
      </c>
      <c r="I625" s="819"/>
      <c r="J625" s="536"/>
      <c r="K625" s="824"/>
    </row>
    <row r="626" spans="3:11" ht="25.8" customHeight="1">
      <c r="C626" s="212" t="s">
        <v>1209</v>
      </c>
      <c r="D626" s="212" t="s">
        <v>1210</v>
      </c>
      <c r="E626" s="534"/>
      <c r="F626" s="831"/>
      <c r="G626" s="534"/>
      <c r="H626" s="534"/>
      <c r="J626" s="536"/>
      <c r="K626" s="824"/>
    </row>
    <row r="627" spans="3:11" ht="25.8" customHeight="1">
      <c r="C627" s="825">
        <v>1</v>
      </c>
      <c r="D627" s="820" t="s">
        <v>936</v>
      </c>
      <c r="E627" s="807" t="s">
        <v>113</v>
      </c>
      <c r="F627" s="538">
        <v>1.1499999999999999</v>
      </c>
      <c r="G627" s="539">
        <f>VLOOKUP(D627,upahbahan,3,FALSE)</f>
        <v>0</v>
      </c>
      <c r="H627" s="539">
        <f t="shared" ref="H627" si="67">F627*G627</f>
        <v>0</v>
      </c>
      <c r="J627" s="536"/>
      <c r="K627" s="824"/>
    </row>
    <row r="628" spans="3:11" ht="25.8" customHeight="1">
      <c r="C628" s="702" t="s">
        <v>1214</v>
      </c>
      <c r="D628" s="208"/>
      <c r="E628" s="208"/>
      <c r="F628" s="208"/>
      <c r="G628" s="209"/>
      <c r="H628" s="539">
        <f>SUM(H627:H627)</f>
        <v>0</v>
      </c>
      <c r="J628" s="536"/>
      <c r="K628" s="824"/>
    </row>
    <row r="629" spans="3:11" ht="25.8" customHeight="1">
      <c r="C629" s="213" t="s">
        <v>1215</v>
      </c>
      <c r="D629" s="212" t="s">
        <v>1216</v>
      </c>
      <c r="E629" s="534"/>
      <c r="F629" s="534"/>
      <c r="G629" s="534"/>
      <c r="H629" s="534"/>
      <c r="J629" s="536"/>
      <c r="K629" s="824"/>
    </row>
    <row r="630" spans="3:11" ht="25.8" customHeight="1">
      <c r="C630" s="702" t="s">
        <v>1217</v>
      </c>
      <c r="D630" s="208"/>
      <c r="E630" s="208"/>
      <c r="F630" s="208"/>
      <c r="G630" s="209"/>
      <c r="H630" s="821">
        <v>0</v>
      </c>
      <c r="J630" s="536"/>
      <c r="K630" s="824"/>
    </row>
    <row r="631" spans="3:11" ht="25.8" customHeight="1">
      <c r="C631" s="566" t="s">
        <v>1218</v>
      </c>
      <c r="D631" s="552" t="s">
        <v>1219</v>
      </c>
      <c r="E631" s="553"/>
      <c r="F631" s="553"/>
      <c r="G631" s="554"/>
      <c r="H631" s="826">
        <f>H630+H628+H625</f>
        <v>12920</v>
      </c>
      <c r="I631" s="827"/>
      <c r="J631" s="536"/>
      <c r="K631" s="824"/>
    </row>
    <row r="632" spans="3:11" ht="25.8" customHeight="1">
      <c r="C632" s="566" t="s">
        <v>1220</v>
      </c>
      <c r="D632" s="552" t="s">
        <v>1321</v>
      </c>
      <c r="E632" s="553"/>
      <c r="F632" s="554"/>
      <c r="G632" s="555">
        <f>$M$9</f>
        <v>0.1</v>
      </c>
      <c r="H632" s="539">
        <f>H631*G632</f>
        <v>1292</v>
      </c>
      <c r="I632" s="827"/>
      <c r="J632" s="536"/>
      <c r="K632" s="824"/>
    </row>
    <row r="633" spans="3:11" ht="25.8" customHeight="1">
      <c r="C633" s="566" t="s">
        <v>1221</v>
      </c>
      <c r="D633" s="552" t="s">
        <v>1222</v>
      </c>
      <c r="E633" s="553"/>
      <c r="F633" s="553"/>
      <c r="G633" s="554"/>
      <c r="H633" s="828">
        <f>SUM(H631:H632)</f>
        <v>14212</v>
      </c>
      <c r="I633" s="827"/>
      <c r="J633" s="536"/>
      <c r="K633" s="824"/>
    </row>
    <row r="634" spans="3:11" ht="25.8" customHeight="1">
      <c r="J634" s="536"/>
      <c r="K634" s="824"/>
    </row>
    <row r="635" spans="3:11" ht="25.8" customHeight="1">
      <c r="C635" s="513" t="s">
        <v>3257</v>
      </c>
      <c r="D635" s="817" t="s">
        <v>1665</v>
      </c>
      <c r="E635" s="803"/>
      <c r="F635" s="803"/>
      <c r="G635" s="803"/>
      <c r="H635" s="803"/>
      <c r="I635" s="533">
        <f>ROUNDDOWN(H650,-2)</f>
        <v>14200</v>
      </c>
      <c r="J635" s="536"/>
      <c r="K635" s="824"/>
    </row>
    <row r="636" spans="3:11" ht="25.8" customHeight="1">
      <c r="C636" s="716" t="s">
        <v>1195</v>
      </c>
      <c r="D636" s="716" t="s">
        <v>1196</v>
      </c>
      <c r="E636" s="716" t="s">
        <v>1197</v>
      </c>
      <c r="F636" s="716" t="s">
        <v>1198</v>
      </c>
      <c r="G636" s="716" t="s">
        <v>1199</v>
      </c>
      <c r="H636" s="716" t="s">
        <v>1200</v>
      </c>
      <c r="J636" s="536"/>
      <c r="K636" s="824"/>
    </row>
    <row r="637" spans="3:11" ht="25.8" customHeight="1">
      <c r="C637" s="212" t="s">
        <v>1201</v>
      </c>
      <c r="D637" s="212" t="s">
        <v>1202</v>
      </c>
      <c r="E637" s="534"/>
      <c r="F637" s="534"/>
      <c r="G637" s="534"/>
      <c r="H637" s="534"/>
      <c r="J637" s="536"/>
      <c r="K637" s="824"/>
    </row>
    <row r="638" spans="3:11" ht="25.8" customHeight="1">
      <c r="C638" s="825">
        <v>1</v>
      </c>
      <c r="D638" s="212" t="s">
        <v>5</v>
      </c>
      <c r="E638" s="212" t="s">
        <v>6</v>
      </c>
      <c r="F638" s="538">
        <v>3.5999999999999997E-2</v>
      </c>
      <c r="G638" s="539">
        <f>VLOOKUP(D638,upahbahan,3,FALSE)</f>
        <v>100000</v>
      </c>
      <c r="H638" s="539">
        <f t="shared" ref="H638:H641" si="68">F638*G638</f>
        <v>3599.9999999999995</v>
      </c>
      <c r="J638" s="536"/>
      <c r="K638" s="824"/>
    </row>
    <row r="639" spans="3:11" ht="25.8" customHeight="1">
      <c r="C639" s="825">
        <v>2</v>
      </c>
      <c r="D639" s="212" t="str">
        <f>D622</f>
        <v>Tukang listrik</v>
      </c>
      <c r="E639" s="212" t="s">
        <v>6</v>
      </c>
      <c r="F639" s="538">
        <v>0.06</v>
      </c>
      <c r="G639" s="539">
        <f>VLOOKUP(D639,upahbahan,3,FALSE)</f>
        <v>135000</v>
      </c>
      <c r="H639" s="539">
        <f t="shared" si="68"/>
        <v>8100</v>
      </c>
      <c r="J639" s="536"/>
      <c r="K639" s="824"/>
    </row>
    <row r="640" spans="3:11" ht="25.8" customHeight="1">
      <c r="C640" s="825">
        <v>3</v>
      </c>
      <c r="D640" s="212" t="s">
        <v>18</v>
      </c>
      <c r="E640" s="212" t="s">
        <v>6</v>
      </c>
      <c r="F640" s="538">
        <v>6.0000000000000001E-3</v>
      </c>
      <c r="G640" s="539">
        <f>VLOOKUP(D640,upahbahan,3,FALSE)</f>
        <v>150000</v>
      </c>
      <c r="H640" s="539">
        <f t="shared" si="68"/>
        <v>900</v>
      </c>
      <c r="J640" s="536"/>
      <c r="K640" s="824"/>
    </row>
    <row r="641" spans="3:11" ht="25.8" customHeight="1">
      <c r="C641" s="825">
        <v>4</v>
      </c>
      <c r="D641" s="212" t="s">
        <v>19</v>
      </c>
      <c r="E641" s="212" t="s">
        <v>6</v>
      </c>
      <c r="F641" s="538">
        <v>2E-3</v>
      </c>
      <c r="G641" s="539">
        <f>VLOOKUP(D641,upahbahan,3,FALSE)</f>
        <v>160000</v>
      </c>
      <c r="H641" s="539">
        <f t="shared" si="68"/>
        <v>320</v>
      </c>
      <c r="J641" s="536"/>
      <c r="K641" s="824"/>
    </row>
    <row r="642" spans="3:11" ht="25.8" customHeight="1">
      <c r="C642" s="702" t="s">
        <v>1208</v>
      </c>
      <c r="D642" s="208"/>
      <c r="E642" s="208"/>
      <c r="F642" s="811"/>
      <c r="G642" s="522"/>
      <c r="H642" s="539">
        <f>SUM(H638:H641)</f>
        <v>12920</v>
      </c>
      <c r="I642" s="819"/>
      <c r="J642" s="536"/>
      <c r="K642" s="824"/>
    </row>
    <row r="643" spans="3:11" ht="25.8" customHeight="1">
      <c r="C643" s="212" t="s">
        <v>1209</v>
      </c>
      <c r="D643" s="212" t="s">
        <v>1210</v>
      </c>
      <c r="E643" s="534"/>
      <c r="F643" s="831"/>
      <c r="G643" s="534"/>
      <c r="H643" s="534"/>
      <c r="J643" s="536"/>
      <c r="K643" s="824"/>
    </row>
    <row r="644" spans="3:11" ht="25.8" customHeight="1">
      <c r="C644" s="825">
        <v>1</v>
      </c>
      <c r="D644" s="820" t="s">
        <v>939</v>
      </c>
      <c r="E644" s="807" t="s">
        <v>113</v>
      </c>
      <c r="F644" s="538">
        <v>1.1499999999999999</v>
      </c>
      <c r="G644" s="539">
        <f>VLOOKUP(D644,upahbahan,3,FALSE)</f>
        <v>0</v>
      </c>
      <c r="H644" s="539">
        <f>F644*G644</f>
        <v>0</v>
      </c>
      <c r="J644" s="536"/>
      <c r="K644" s="824"/>
    </row>
    <row r="645" spans="3:11" ht="25.8" customHeight="1">
      <c r="C645" s="702" t="s">
        <v>1214</v>
      </c>
      <c r="D645" s="208"/>
      <c r="E645" s="208"/>
      <c r="F645" s="208"/>
      <c r="G645" s="209"/>
      <c r="H645" s="539">
        <f>SUM(H644:H644)</f>
        <v>0</v>
      </c>
      <c r="J645" s="536"/>
      <c r="K645" s="824"/>
    </row>
    <row r="646" spans="3:11" ht="25.8" customHeight="1">
      <c r="C646" s="213" t="s">
        <v>1215</v>
      </c>
      <c r="D646" s="212" t="s">
        <v>1216</v>
      </c>
      <c r="E646" s="534"/>
      <c r="F646" s="534"/>
      <c r="G646" s="534"/>
      <c r="H646" s="534"/>
      <c r="J646" s="536"/>
      <c r="K646" s="824"/>
    </row>
    <row r="647" spans="3:11" ht="25.8" customHeight="1">
      <c r="C647" s="702" t="s">
        <v>1217</v>
      </c>
      <c r="D647" s="208"/>
      <c r="E647" s="208"/>
      <c r="F647" s="208"/>
      <c r="G647" s="209"/>
      <c r="H647" s="821">
        <v>0</v>
      </c>
      <c r="J647" s="536"/>
      <c r="K647" s="824"/>
    </row>
    <row r="648" spans="3:11" ht="25.8" customHeight="1">
      <c r="C648" s="566" t="s">
        <v>1218</v>
      </c>
      <c r="D648" s="552" t="s">
        <v>1219</v>
      </c>
      <c r="E648" s="553"/>
      <c r="F648" s="553"/>
      <c r="G648" s="554"/>
      <c r="H648" s="826">
        <f>H647+H645+H642</f>
        <v>12920</v>
      </c>
      <c r="I648" s="827"/>
      <c r="J648" s="536"/>
      <c r="K648" s="824"/>
    </row>
    <row r="649" spans="3:11" ht="25.8" customHeight="1">
      <c r="C649" s="566" t="s">
        <v>1220</v>
      </c>
      <c r="D649" s="552" t="s">
        <v>1321</v>
      </c>
      <c r="E649" s="553"/>
      <c r="F649" s="554"/>
      <c r="G649" s="555">
        <f>$M$9</f>
        <v>0.1</v>
      </c>
      <c r="H649" s="539">
        <f>H648*G649</f>
        <v>1292</v>
      </c>
      <c r="I649" s="827"/>
      <c r="J649" s="536"/>
      <c r="K649" s="824"/>
    </row>
    <row r="650" spans="3:11" ht="25.8" customHeight="1">
      <c r="C650" s="566" t="s">
        <v>1221</v>
      </c>
      <c r="D650" s="552" t="s">
        <v>1222</v>
      </c>
      <c r="E650" s="553"/>
      <c r="F650" s="553"/>
      <c r="G650" s="554"/>
      <c r="H650" s="828">
        <f>SUM(H648:H649)</f>
        <v>14212</v>
      </c>
      <c r="I650" s="827"/>
      <c r="J650" s="536"/>
      <c r="K650" s="824"/>
    </row>
    <row r="651" spans="3:11" ht="25.8" customHeight="1">
      <c r="J651" s="536"/>
      <c r="K651" s="824"/>
    </row>
    <row r="652" spans="3:11" ht="25.8" customHeight="1">
      <c r="C652" s="513" t="s">
        <v>3258</v>
      </c>
      <c r="D652" s="817" t="s">
        <v>1666</v>
      </c>
      <c r="E652" s="803"/>
      <c r="F652" s="803"/>
      <c r="G652" s="803"/>
      <c r="H652" s="803"/>
      <c r="I652" s="533">
        <f>ROUNDDOWN(H667,-2)</f>
        <v>19000</v>
      </c>
      <c r="J652" s="536"/>
      <c r="K652" s="824"/>
    </row>
    <row r="653" spans="3:11" ht="25.8" customHeight="1">
      <c r="C653" s="716" t="s">
        <v>1195</v>
      </c>
      <c r="D653" s="716" t="s">
        <v>1196</v>
      </c>
      <c r="E653" s="716" t="s">
        <v>1197</v>
      </c>
      <c r="F653" s="716" t="s">
        <v>1198</v>
      </c>
      <c r="G653" s="716" t="s">
        <v>1199</v>
      </c>
      <c r="H653" s="716" t="s">
        <v>1200</v>
      </c>
      <c r="J653" s="536"/>
      <c r="K653" s="824"/>
    </row>
    <row r="654" spans="3:11" ht="25.8" customHeight="1">
      <c r="C654" s="212" t="s">
        <v>1201</v>
      </c>
      <c r="D654" s="212" t="s">
        <v>1202</v>
      </c>
      <c r="E654" s="534"/>
      <c r="F654" s="534"/>
      <c r="G654" s="534"/>
      <c r="H654" s="534"/>
      <c r="J654" s="536"/>
      <c r="K654" s="824"/>
    </row>
    <row r="655" spans="3:11" ht="25.8" customHeight="1">
      <c r="C655" s="825">
        <v>1</v>
      </c>
      <c r="D655" s="212" t="s">
        <v>5</v>
      </c>
      <c r="E655" s="212" t="s">
        <v>6</v>
      </c>
      <c r="F655" s="538">
        <v>4.8000000000000001E-2</v>
      </c>
      <c r="G655" s="539">
        <f>VLOOKUP(D655,upahbahan,3,FALSE)</f>
        <v>100000</v>
      </c>
      <c r="H655" s="539">
        <f t="shared" ref="H655:H658" si="69">F655*G655</f>
        <v>4800</v>
      </c>
      <c r="J655" s="536"/>
      <c r="K655" s="824"/>
    </row>
    <row r="656" spans="3:11" ht="25.8" customHeight="1">
      <c r="C656" s="825">
        <v>2</v>
      </c>
      <c r="D656" s="212" t="str">
        <f>D639</f>
        <v>Tukang listrik</v>
      </c>
      <c r="E656" s="212" t="s">
        <v>6</v>
      </c>
      <c r="F656" s="538">
        <v>0.08</v>
      </c>
      <c r="G656" s="539">
        <f>VLOOKUP(D656,upahbahan,3,FALSE)</f>
        <v>135000</v>
      </c>
      <c r="H656" s="539">
        <f t="shared" si="69"/>
        <v>10800</v>
      </c>
      <c r="J656" s="536"/>
      <c r="K656" s="824"/>
    </row>
    <row r="657" spans="3:11" ht="25.8" customHeight="1">
      <c r="C657" s="825">
        <v>3</v>
      </c>
      <c r="D657" s="212" t="s">
        <v>18</v>
      </c>
      <c r="E657" s="212" t="s">
        <v>6</v>
      </c>
      <c r="F657" s="538">
        <v>8.0000000000000002E-3</v>
      </c>
      <c r="G657" s="539">
        <f>VLOOKUP(D657,upahbahan,3,FALSE)</f>
        <v>150000</v>
      </c>
      <c r="H657" s="539">
        <f t="shared" si="69"/>
        <v>1200</v>
      </c>
      <c r="J657" s="536"/>
      <c r="K657" s="824"/>
    </row>
    <row r="658" spans="3:11" ht="25.8" customHeight="1">
      <c r="C658" s="825">
        <v>4</v>
      </c>
      <c r="D658" s="212" t="s">
        <v>19</v>
      </c>
      <c r="E658" s="212" t="s">
        <v>6</v>
      </c>
      <c r="F658" s="538">
        <v>3.0000000000000001E-3</v>
      </c>
      <c r="G658" s="539">
        <f>VLOOKUP(D658,upahbahan,3,FALSE)</f>
        <v>160000</v>
      </c>
      <c r="H658" s="539">
        <f t="shared" si="69"/>
        <v>480</v>
      </c>
      <c r="J658" s="536"/>
      <c r="K658" s="824"/>
    </row>
    <row r="659" spans="3:11" ht="25.8" customHeight="1">
      <c r="C659" s="702" t="s">
        <v>1208</v>
      </c>
      <c r="D659" s="208"/>
      <c r="E659" s="208"/>
      <c r="F659" s="811"/>
      <c r="G659" s="522"/>
      <c r="H659" s="539">
        <f>SUM(H655:H658)</f>
        <v>17280</v>
      </c>
      <c r="I659" s="819"/>
      <c r="J659" s="536"/>
      <c r="K659" s="824"/>
    </row>
    <row r="660" spans="3:11" ht="25.8" customHeight="1">
      <c r="C660" s="212" t="s">
        <v>1209</v>
      </c>
      <c r="D660" s="212" t="s">
        <v>1210</v>
      </c>
      <c r="E660" s="534"/>
      <c r="F660" s="831"/>
      <c r="G660" s="534"/>
      <c r="H660" s="534"/>
      <c r="J660" s="536"/>
      <c r="K660" s="824"/>
    </row>
    <row r="661" spans="3:11" ht="25.8" customHeight="1">
      <c r="C661" s="825">
        <v>1</v>
      </c>
      <c r="D661" s="820" t="s">
        <v>943</v>
      </c>
      <c r="E661" s="807" t="s">
        <v>113</v>
      </c>
      <c r="F661" s="538">
        <v>1.1499999999999999</v>
      </c>
      <c r="G661" s="539">
        <f>VLOOKUP(D661,upahbahan,3,FALSE)</f>
        <v>0</v>
      </c>
      <c r="H661" s="539">
        <f>F661*G661</f>
        <v>0</v>
      </c>
      <c r="J661" s="536"/>
      <c r="K661" s="824"/>
    </row>
    <row r="662" spans="3:11" ht="25.8" customHeight="1">
      <c r="C662" s="702" t="s">
        <v>1214</v>
      </c>
      <c r="D662" s="208"/>
      <c r="E662" s="208"/>
      <c r="F662" s="208"/>
      <c r="G662" s="209"/>
      <c r="H662" s="539">
        <f>SUM(H661:H661)</f>
        <v>0</v>
      </c>
      <c r="J662" s="536"/>
      <c r="K662" s="824"/>
    </row>
    <row r="663" spans="3:11" ht="25.8" customHeight="1">
      <c r="C663" s="213" t="s">
        <v>1215</v>
      </c>
      <c r="D663" s="212" t="s">
        <v>1216</v>
      </c>
      <c r="E663" s="534"/>
      <c r="F663" s="534"/>
      <c r="G663" s="534"/>
      <c r="H663" s="534"/>
      <c r="J663" s="536"/>
      <c r="K663" s="824"/>
    </row>
    <row r="664" spans="3:11" ht="25.8" customHeight="1">
      <c r="C664" s="702" t="s">
        <v>1217</v>
      </c>
      <c r="D664" s="208"/>
      <c r="E664" s="208"/>
      <c r="F664" s="208"/>
      <c r="G664" s="209"/>
      <c r="H664" s="821">
        <v>0</v>
      </c>
      <c r="J664" s="536"/>
      <c r="K664" s="824"/>
    </row>
    <row r="665" spans="3:11" ht="25.8" customHeight="1">
      <c r="C665" s="566" t="s">
        <v>1218</v>
      </c>
      <c r="D665" s="552" t="s">
        <v>1219</v>
      </c>
      <c r="E665" s="553"/>
      <c r="F665" s="553"/>
      <c r="G665" s="554"/>
      <c r="H665" s="826">
        <f>H664+H662+H659</f>
        <v>17280</v>
      </c>
      <c r="I665" s="827"/>
      <c r="J665" s="536"/>
      <c r="K665" s="824"/>
    </row>
    <row r="666" spans="3:11" ht="25.8" customHeight="1">
      <c r="C666" s="566" t="s">
        <v>1220</v>
      </c>
      <c r="D666" s="552" t="s">
        <v>1321</v>
      </c>
      <c r="E666" s="553"/>
      <c r="F666" s="554"/>
      <c r="G666" s="555">
        <f>$M$9</f>
        <v>0.1</v>
      </c>
      <c r="H666" s="539">
        <f>H665*G666</f>
        <v>1728</v>
      </c>
      <c r="I666" s="827"/>
      <c r="J666" s="536"/>
      <c r="K666" s="824"/>
    </row>
    <row r="667" spans="3:11" ht="25.8" customHeight="1">
      <c r="C667" s="566" t="s">
        <v>1221</v>
      </c>
      <c r="D667" s="552" t="s">
        <v>1222</v>
      </c>
      <c r="E667" s="553"/>
      <c r="F667" s="553"/>
      <c r="G667" s="554"/>
      <c r="H667" s="828">
        <f>SUM(H665:H666)</f>
        <v>19008</v>
      </c>
      <c r="I667" s="827"/>
      <c r="J667" s="536"/>
      <c r="K667" s="824"/>
    </row>
    <row r="668" spans="3:11" ht="25.8" customHeight="1">
      <c r="J668" s="536"/>
      <c r="K668" s="824"/>
    </row>
    <row r="669" spans="3:11" ht="25.8" customHeight="1">
      <c r="C669" s="513" t="s">
        <v>3259</v>
      </c>
      <c r="D669" s="817" t="s">
        <v>1667</v>
      </c>
      <c r="E669" s="803"/>
      <c r="F669" s="803"/>
      <c r="G669" s="803"/>
      <c r="H669" s="803"/>
      <c r="I669" s="533">
        <f>ROUNDDOWN(H684,-2)</f>
        <v>23400</v>
      </c>
      <c r="J669" s="536"/>
      <c r="K669" s="824"/>
    </row>
    <row r="670" spans="3:11" ht="25.8" customHeight="1">
      <c r="C670" s="716" t="s">
        <v>1195</v>
      </c>
      <c r="D670" s="716" t="s">
        <v>1196</v>
      </c>
      <c r="E670" s="716" t="s">
        <v>1197</v>
      </c>
      <c r="F670" s="716" t="s">
        <v>1198</v>
      </c>
      <c r="G670" s="716" t="s">
        <v>1199</v>
      </c>
      <c r="H670" s="716" t="s">
        <v>1200</v>
      </c>
      <c r="J670" s="536"/>
      <c r="K670" s="824"/>
    </row>
    <row r="671" spans="3:11" ht="25.8" customHeight="1">
      <c r="C671" s="212" t="s">
        <v>1201</v>
      </c>
      <c r="D671" s="212" t="s">
        <v>1202</v>
      </c>
      <c r="E671" s="534"/>
      <c r="F671" s="534"/>
      <c r="G671" s="534"/>
      <c r="H671" s="534"/>
      <c r="J671" s="536"/>
      <c r="K671" s="824"/>
    </row>
    <row r="672" spans="3:11" ht="25.8" customHeight="1">
      <c r="C672" s="825">
        <v>1</v>
      </c>
      <c r="D672" s="212" t="s">
        <v>5</v>
      </c>
      <c r="E672" s="212" t="s">
        <v>6</v>
      </c>
      <c r="F672" s="538">
        <v>0.06</v>
      </c>
      <c r="G672" s="539">
        <f>VLOOKUP(D672,upahbahan,3,FALSE)</f>
        <v>100000</v>
      </c>
      <c r="H672" s="539">
        <f t="shared" ref="H672:H675" si="70">F672*G672</f>
        <v>6000</v>
      </c>
      <c r="J672" s="536"/>
      <c r="K672" s="824"/>
    </row>
    <row r="673" spans="3:11" ht="25.8" customHeight="1">
      <c r="C673" s="825">
        <v>2</v>
      </c>
      <c r="D673" s="212" t="str">
        <f>D656</f>
        <v>Tukang listrik</v>
      </c>
      <c r="E673" s="212" t="s">
        <v>6</v>
      </c>
      <c r="F673" s="538">
        <v>9.9000000000000005E-2</v>
      </c>
      <c r="G673" s="539">
        <f>VLOOKUP(D673,upahbahan,3,FALSE)</f>
        <v>135000</v>
      </c>
      <c r="H673" s="539">
        <f t="shared" si="70"/>
        <v>13365</v>
      </c>
      <c r="J673" s="536"/>
      <c r="K673" s="824"/>
    </row>
    <row r="674" spans="3:11" ht="25.8" customHeight="1">
      <c r="C674" s="825">
        <v>3</v>
      </c>
      <c r="D674" s="212" t="s">
        <v>18</v>
      </c>
      <c r="E674" s="212" t="s">
        <v>6</v>
      </c>
      <c r="F674" s="538">
        <v>0.01</v>
      </c>
      <c r="G674" s="539">
        <f>VLOOKUP(D674,upahbahan,3,FALSE)</f>
        <v>150000</v>
      </c>
      <c r="H674" s="539">
        <f t="shared" si="70"/>
        <v>1500</v>
      </c>
      <c r="J674" s="536"/>
      <c r="K674" s="824"/>
    </row>
    <row r="675" spans="3:11" ht="25.8" customHeight="1">
      <c r="C675" s="825">
        <v>4</v>
      </c>
      <c r="D675" s="212" t="s">
        <v>19</v>
      </c>
      <c r="E675" s="212" t="s">
        <v>6</v>
      </c>
      <c r="F675" s="538">
        <v>3.0000000000000001E-3</v>
      </c>
      <c r="G675" s="539">
        <f>VLOOKUP(D675,upahbahan,3,FALSE)</f>
        <v>160000</v>
      </c>
      <c r="H675" s="539">
        <f t="shared" si="70"/>
        <v>480</v>
      </c>
      <c r="J675" s="536"/>
      <c r="K675" s="824"/>
    </row>
    <row r="676" spans="3:11" ht="25.8" customHeight="1">
      <c r="C676" s="702" t="s">
        <v>1208</v>
      </c>
      <c r="D676" s="208"/>
      <c r="E676" s="208"/>
      <c r="F676" s="811"/>
      <c r="G676" s="522"/>
      <c r="H676" s="539">
        <f>SUM(H672:H675)</f>
        <v>21345</v>
      </c>
      <c r="I676" s="819"/>
      <c r="J676" s="536"/>
      <c r="K676" s="824"/>
    </row>
    <row r="677" spans="3:11" ht="25.8" customHeight="1">
      <c r="C677" s="212" t="s">
        <v>1209</v>
      </c>
      <c r="D677" s="212" t="s">
        <v>1210</v>
      </c>
      <c r="E677" s="534"/>
      <c r="F677" s="831"/>
      <c r="G677" s="534"/>
      <c r="H677" s="534"/>
      <c r="J677" s="536"/>
      <c r="K677" s="824"/>
    </row>
    <row r="678" spans="3:11" ht="25.8" customHeight="1">
      <c r="C678" s="825">
        <v>1</v>
      </c>
      <c r="D678" s="820" t="s">
        <v>945</v>
      </c>
      <c r="E678" s="807" t="s">
        <v>113</v>
      </c>
      <c r="F678" s="538">
        <v>1.1499999999999999</v>
      </c>
      <c r="G678" s="539">
        <f>VLOOKUP(D678,upahbahan,3,FALSE)</f>
        <v>0</v>
      </c>
      <c r="H678" s="539">
        <f t="shared" ref="H678" si="71">F678*G678</f>
        <v>0</v>
      </c>
      <c r="J678" s="536"/>
      <c r="K678" s="824"/>
    </row>
    <row r="679" spans="3:11" ht="25.8" customHeight="1">
      <c r="C679" s="702" t="s">
        <v>1214</v>
      </c>
      <c r="D679" s="208"/>
      <c r="E679" s="208"/>
      <c r="F679" s="208"/>
      <c r="G679" s="209"/>
      <c r="H679" s="539">
        <f>SUM(H678:H678)</f>
        <v>0</v>
      </c>
      <c r="J679" s="536"/>
      <c r="K679" s="824"/>
    </row>
    <row r="680" spans="3:11" ht="25.8" customHeight="1">
      <c r="C680" s="213" t="s">
        <v>1215</v>
      </c>
      <c r="D680" s="212" t="s">
        <v>1216</v>
      </c>
      <c r="E680" s="534"/>
      <c r="F680" s="534"/>
      <c r="G680" s="534"/>
      <c r="H680" s="534"/>
      <c r="J680" s="536"/>
      <c r="K680" s="824"/>
    </row>
    <row r="681" spans="3:11" ht="25.8" customHeight="1">
      <c r="C681" s="702" t="s">
        <v>1217</v>
      </c>
      <c r="D681" s="208"/>
      <c r="E681" s="208"/>
      <c r="F681" s="208"/>
      <c r="G681" s="209"/>
      <c r="H681" s="821">
        <v>0</v>
      </c>
      <c r="J681" s="536"/>
      <c r="K681" s="824"/>
    </row>
    <row r="682" spans="3:11" ht="25.8" customHeight="1">
      <c r="C682" s="566" t="s">
        <v>1218</v>
      </c>
      <c r="D682" s="552" t="s">
        <v>1219</v>
      </c>
      <c r="E682" s="553"/>
      <c r="F682" s="553"/>
      <c r="G682" s="554"/>
      <c r="H682" s="826">
        <f>H681+H679+H676</f>
        <v>21345</v>
      </c>
      <c r="I682" s="827"/>
      <c r="J682" s="536"/>
      <c r="K682" s="824"/>
    </row>
    <row r="683" spans="3:11" ht="25.8" customHeight="1">
      <c r="C683" s="566" t="s">
        <v>1220</v>
      </c>
      <c r="D683" s="552" t="s">
        <v>1321</v>
      </c>
      <c r="E683" s="553"/>
      <c r="F683" s="554"/>
      <c r="G683" s="555">
        <f>$M$9</f>
        <v>0.1</v>
      </c>
      <c r="H683" s="539">
        <f>H682*G683</f>
        <v>2134.5</v>
      </c>
      <c r="I683" s="827"/>
      <c r="J683" s="536"/>
      <c r="K683" s="824"/>
    </row>
    <row r="684" spans="3:11" ht="25.8" customHeight="1">
      <c r="C684" s="566" t="s">
        <v>1221</v>
      </c>
      <c r="D684" s="552" t="s">
        <v>1222</v>
      </c>
      <c r="E684" s="553"/>
      <c r="F684" s="553"/>
      <c r="G684" s="554"/>
      <c r="H684" s="828">
        <f>SUM(H682:H683)</f>
        <v>23479.5</v>
      </c>
      <c r="I684" s="827"/>
      <c r="J684" s="536"/>
      <c r="K684" s="824"/>
    </row>
    <row r="685" spans="3:11" ht="25.8" customHeight="1">
      <c r="J685" s="536"/>
      <c r="K685" s="824"/>
    </row>
    <row r="686" spans="3:11" ht="25.8" customHeight="1">
      <c r="C686" s="513" t="s">
        <v>3260</v>
      </c>
      <c r="D686" s="817" t="s">
        <v>1668</v>
      </c>
      <c r="E686" s="803"/>
      <c r="F686" s="803"/>
      <c r="G686" s="803"/>
      <c r="H686" s="803"/>
      <c r="I686" s="533">
        <f>ROUNDDOWN(H701,-2)</f>
        <v>28100</v>
      </c>
      <c r="J686" s="536"/>
      <c r="K686" s="824"/>
    </row>
    <row r="687" spans="3:11" ht="25.8" customHeight="1">
      <c r="C687" s="716" t="s">
        <v>1195</v>
      </c>
      <c r="D687" s="716" t="s">
        <v>1196</v>
      </c>
      <c r="E687" s="716" t="s">
        <v>1197</v>
      </c>
      <c r="F687" s="716" t="s">
        <v>1198</v>
      </c>
      <c r="G687" s="716" t="s">
        <v>1199</v>
      </c>
      <c r="H687" s="716" t="s">
        <v>1200</v>
      </c>
      <c r="J687" s="536"/>
      <c r="K687" s="824"/>
    </row>
    <row r="688" spans="3:11" ht="25.8" customHeight="1">
      <c r="C688" s="212" t="s">
        <v>1201</v>
      </c>
      <c r="D688" s="212" t="s">
        <v>1202</v>
      </c>
      <c r="E688" s="534"/>
      <c r="F688" s="534"/>
      <c r="G688" s="534"/>
      <c r="H688" s="534"/>
      <c r="J688" s="536"/>
      <c r="K688" s="824"/>
    </row>
    <row r="689" spans="3:11" ht="25.8" customHeight="1">
      <c r="C689" s="825">
        <v>1</v>
      </c>
      <c r="D689" s="212" t="s">
        <v>5</v>
      </c>
      <c r="E689" s="212" t="s">
        <v>6</v>
      </c>
      <c r="F689" s="829">
        <v>7.0999999999999994E-2</v>
      </c>
      <c r="G689" s="539">
        <f>VLOOKUP(D689,upahbahan,3,FALSE)</f>
        <v>100000</v>
      </c>
      <c r="H689" s="539">
        <f t="shared" ref="H689:H692" si="72">F689*G689</f>
        <v>7099.9999999999991</v>
      </c>
      <c r="J689" s="536"/>
      <c r="K689" s="824"/>
    </row>
    <row r="690" spans="3:11" ht="25.8" customHeight="1">
      <c r="C690" s="825">
        <v>2</v>
      </c>
      <c r="D690" s="212" t="str">
        <f>D673</f>
        <v>Tukang listrik</v>
      </c>
      <c r="E690" s="212" t="s">
        <v>6</v>
      </c>
      <c r="F690" s="829">
        <v>0.11899999999999999</v>
      </c>
      <c r="G690" s="539">
        <f>VLOOKUP(D690,upahbahan,3,FALSE)</f>
        <v>135000</v>
      </c>
      <c r="H690" s="539">
        <f t="shared" si="72"/>
        <v>16065</v>
      </c>
      <c r="J690" s="536"/>
      <c r="K690" s="824"/>
    </row>
    <row r="691" spans="3:11" ht="25.8" customHeight="1">
      <c r="C691" s="825">
        <v>3</v>
      </c>
      <c r="D691" s="212" t="s">
        <v>18</v>
      </c>
      <c r="E691" s="212" t="s">
        <v>6</v>
      </c>
      <c r="F691" s="829">
        <v>1.2E-2</v>
      </c>
      <c r="G691" s="539">
        <f>VLOOKUP(D691,upahbahan,3,FALSE)</f>
        <v>150000</v>
      </c>
      <c r="H691" s="539">
        <f t="shared" si="72"/>
        <v>1800</v>
      </c>
      <c r="J691" s="536"/>
      <c r="K691" s="824"/>
    </row>
    <row r="692" spans="3:11" ht="25.8" customHeight="1">
      <c r="C692" s="825">
        <v>4</v>
      </c>
      <c r="D692" s="212" t="s">
        <v>19</v>
      </c>
      <c r="E692" s="212" t="s">
        <v>6</v>
      </c>
      <c r="F692" s="829">
        <v>4.0000000000000001E-3</v>
      </c>
      <c r="G692" s="539">
        <f>VLOOKUP(D692,upahbahan,3,FALSE)</f>
        <v>160000</v>
      </c>
      <c r="H692" s="539">
        <f t="shared" si="72"/>
        <v>640</v>
      </c>
      <c r="J692" s="536"/>
      <c r="K692" s="824"/>
    </row>
    <row r="693" spans="3:11" ht="25.8" customHeight="1">
      <c r="C693" s="702" t="s">
        <v>1208</v>
      </c>
      <c r="D693" s="208"/>
      <c r="E693" s="208"/>
      <c r="F693" s="811"/>
      <c r="G693" s="522"/>
      <c r="H693" s="539">
        <f>SUM(H689:H692)</f>
        <v>25605</v>
      </c>
      <c r="I693" s="819"/>
      <c r="J693" s="536"/>
      <c r="K693" s="824"/>
    </row>
    <row r="694" spans="3:11" ht="25.8" customHeight="1">
      <c r="C694" s="212" t="s">
        <v>1209</v>
      </c>
      <c r="D694" s="212" t="s">
        <v>1210</v>
      </c>
      <c r="E694" s="534"/>
      <c r="F694" s="831"/>
      <c r="G694" s="534"/>
      <c r="H694" s="534"/>
      <c r="J694" s="536"/>
      <c r="K694" s="824"/>
    </row>
    <row r="695" spans="3:11" ht="25.8" customHeight="1">
      <c r="C695" s="825">
        <v>1</v>
      </c>
      <c r="D695" s="820" t="s">
        <v>947</v>
      </c>
      <c r="E695" s="807" t="s">
        <v>113</v>
      </c>
      <c r="F695" s="538">
        <v>1.1499999999999999</v>
      </c>
      <c r="G695" s="539">
        <f>VLOOKUP(D695,upahbahan,3,FALSE)</f>
        <v>0</v>
      </c>
      <c r="H695" s="539">
        <f t="shared" ref="H695" si="73">F695*G695</f>
        <v>0</v>
      </c>
      <c r="J695" s="536"/>
      <c r="K695" s="824"/>
    </row>
    <row r="696" spans="3:11" ht="25.8" customHeight="1">
      <c r="C696" s="702" t="s">
        <v>1214</v>
      </c>
      <c r="D696" s="208"/>
      <c r="E696" s="208"/>
      <c r="F696" s="208"/>
      <c r="G696" s="209"/>
      <c r="H696" s="539">
        <f>SUM(H695:H695)</f>
        <v>0</v>
      </c>
      <c r="J696" s="536"/>
      <c r="K696" s="824"/>
    </row>
    <row r="697" spans="3:11" ht="25.8" customHeight="1">
      <c r="C697" s="213" t="s">
        <v>1215</v>
      </c>
      <c r="D697" s="212" t="s">
        <v>1216</v>
      </c>
      <c r="E697" s="534"/>
      <c r="F697" s="534"/>
      <c r="G697" s="534"/>
      <c r="H697" s="534"/>
      <c r="J697" s="536"/>
      <c r="K697" s="824"/>
    </row>
    <row r="698" spans="3:11" ht="25.8" customHeight="1">
      <c r="C698" s="702" t="s">
        <v>1217</v>
      </c>
      <c r="D698" s="208"/>
      <c r="E698" s="208"/>
      <c r="F698" s="208"/>
      <c r="G698" s="209"/>
      <c r="H698" s="821">
        <v>0</v>
      </c>
      <c r="J698" s="536"/>
      <c r="K698" s="824"/>
    </row>
    <row r="699" spans="3:11" ht="25.8" customHeight="1">
      <c r="C699" s="566" t="s">
        <v>1218</v>
      </c>
      <c r="D699" s="552" t="s">
        <v>1219</v>
      </c>
      <c r="E699" s="553"/>
      <c r="F699" s="553"/>
      <c r="G699" s="554"/>
      <c r="H699" s="826">
        <f>H698+H696+H693</f>
        <v>25605</v>
      </c>
      <c r="I699" s="827"/>
      <c r="J699" s="536"/>
      <c r="K699" s="824"/>
    </row>
    <row r="700" spans="3:11" ht="25.8" customHeight="1">
      <c r="C700" s="566" t="s">
        <v>1220</v>
      </c>
      <c r="D700" s="552" t="s">
        <v>1321</v>
      </c>
      <c r="E700" s="553"/>
      <c r="F700" s="554"/>
      <c r="G700" s="555">
        <f>$M$9</f>
        <v>0.1</v>
      </c>
      <c r="H700" s="539">
        <f>H699*G700</f>
        <v>2560.5</v>
      </c>
      <c r="I700" s="827"/>
      <c r="J700" s="536"/>
      <c r="K700" s="824"/>
    </row>
    <row r="701" spans="3:11" ht="25.8" customHeight="1">
      <c r="C701" s="566" t="s">
        <v>1221</v>
      </c>
      <c r="D701" s="552" t="s">
        <v>1222</v>
      </c>
      <c r="E701" s="553"/>
      <c r="F701" s="553"/>
      <c r="G701" s="554"/>
      <c r="H701" s="828">
        <f>SUM(H699:H700)</f>
        <v>28165.5</v>
      </c>
      <c r="I701" s="827"/>
      <c r="J701" s="536"/>
      <c r="K701" s="824"/>
    </row>
    <row r="702" spans="3:11" ht="25.8" customHeight="1">
      <c r="J702" s="536"/>
      <c r="K702" s="824"/>
    </row>
    <row r="703" spans="3:11" ht="25.8" customHeight="1">
      <c r="C703" s="513" t="s">
        <v>3261</v>
      </c>
      <c r="D703" s="817" t="s">
        <v>1669</v>
      </c>
      <c r="E703" s="803"/>
      <c r="F703" s="803"/>
      <c r="G703" s="803"/>
      <c r="H703" s="803"/>
      <c r="I703" s="533">
        <f>ROUNDDOWN(H718,-2)</f>
        <v>42300</v>
      </c>
      <c r="J703" s="536"/>
      <c r="K703" s="824"/>
    </row>
    <row r="704" spans="3:11" ht="25.8" customHeight="1">
      <c r="C704" s="716" t="s">
        <v>1195</v>
      </c>
      <c r="D704" s="716" t="s">
        <v>1196</v>
      </c>
      <c r="E704" s="716" t="s">
        <v>1197</v>
      </c>
      <c r="F704" s="716" t="s">
        <v>1198</v>
      </c>
      <c r="G704" s="716" t="s">
        <v>1199</v>
      </c>
      <c r="H704" s="716" t="s">
        <v>1200</v>
      </c>
      <c r="J704" s="536"/>
      <c r="K704" s="824"/>
    </row>
    <row r="705" spans="3:11" ht="25.8" customHeight="1">
      <c r="C705" s="212" t="s">
        <v>1201</v>
      </c>
      <c r="D705" s="212" t="s">
        <v>1202</v>
      </c>
      <c r="E705" s="534"/>
      <c r="F705" s="534"/>
      <c r="G705" s="534"/>
      <c r="H705" s="534"/>
      <c r="J705" s="536"/>
      <c r="K705" s="824"/>
    </row>
    <row r="706" spans="3:11" ht="25.8" customHeight="1">
      <c r="C706" s="825">
        <v>1</v>
      </c>
      <c r="D706" s="212" t="s">
        <v>5</v>
      </c>
      <c r="E706" s="212" t="s">
        <v>6</v>
      </c>
      <c r="F706" s="829">
        <v>0.107</v>
      </c>
      <c r="G706" s="539">
        <f>VLOOKUP(D706,upahbahan,3,FALSE)</f>
        <v>100000</v>
      </c>
      <c r="H706" s="539">
        <f t="shared" ref="H706:H709" si="74">F706*G706</f>
        <v>10700</v>
      </c>
      <c r="J706" s="536"/>
      <c r="K706" s="824"/>
    </row>
    <row r="707" spans="3:11" ht="25.8" customHeight="1">
      <c r="C707" s="825">
        <v>2</v>
      </c>
      <c r="D707" s="212" t="str">
        <f>D690</f>
        <v>Tukang listrik</v>
      </c>
      <c r="E707" s="212" t="s">
        <v>6</v>
      </c>
      <c r="F707" s="829">
        <v>0.17899999999999999</v>
      </c>
      <c r="G707" s="539">
        <f>VLOOKUP(D707,upahbahan,3,FALSE)</f>
        <v>135000</v>
      </c>
      <c r="H707" s="539">
        <f t="shared" si="74"/>
        <v>24165</v>
      </c>
      <c r="J707" s="536"/>
      <c r="K707" s="824"/>
    </row>
    <row r="708" spans="3:11" ht="25.8" customHeight="1">
      <c r="C708" s="825">
        <v>3</v>
      </c>
      <c r="D708" s="212" t="s">
        <v>18</v>
      </c>
      <c r="E708" s="212" t="s">
        <v>6</v>
      </c>
      <c r="F708" s="829">
        <v>1.7999999999999999E-2</v>
      </c>
      <c r="G708" s="539">
        <f>VLOOKUP(D708,upahbahan,3,FALSE)</f>
        <v>150000</v>
      </c>
      <c r="H708" s="539">
        <f t="shared" si="74"/>
        <v>2700</v>
      </c>
      <c r="J708" s="536"/>
      <c r="K708" s="824"/>
    </row>
    <row r="709" spans="3:11" ht="25.8" customHeight="1">
      <c r="C709" s="825">
        <v>4</v>
      </c>
      <c r="D709" s="212" t="s">
        <v>19</v>
      </c>
      <c r="E709" s="212" t="s">
        <v>6</v>
      </c>
      <c r="F709" s="829">
        <v>6.0000000000000001E-3</v>
      </c>
      <c r="G709" s="539">
        <f>VLOOKUP(D709,upahbahan,3,FALSE)</f>
        <v>160000</v>
      </c>
      <c r="H709" s="539">
        <f t="shared" si="74"/>
        <v>960</v>
      </c>
      <c r="J709" s="536"/>
      <c r="K709" s="824"/>
    </row>
    <row r="710" spans="3:11" ht="25.8" customHeight="1">
      <c r="C710" s="702" t="s">
        <v>1208</v>
      </c>
      <c r="D710" s="208"/>
      <c r="E710" s="208"/>
      <c r="F710" s="811"/>
      <c r="G710" s="522"/>
      <c r="H710" s="539">
        <f>SUM(H706:H709)</f>
        <v>38525</v>
      </c>
      <c r="I710" s="819"/>
      <c r="J710" s="536"/>
      <c r="K710" s="824"/>
    </row>
    <row r="711" spans="3:11" ht="25.8" customHeight="1">
      <c r="C711" s="212" t="s">
        <v>1209</v>
      </c>
      <c r="D711" s="212" t="s">
        <v>1210</v>
      </c>
      <c r="E711" s="534"/>
      <c r="F711" s="831"/>
      <c r="G711" s="534"/>
      <c r="H711" s="534"/>
      <c r="J711" s="536"/>
      <c r="K711" s="824"/>
    </row>
    <row r="712" spans="3:11" ht="25.8" customHeight="1">
      <c r="C712" s="825">
        <v>1</v>
      </c>
      <c r="D712" s="820" t="s">
        <v>949</v>
      </c>
      <c r="E712" s="807" t="s">
        <v>113</v>
      </c>
      <c r="F712" s="538">
        <v>1.1499999999999999</v>
      </c>
      <c r="G712" s="539">
        <f>VLOOKUP(D712,upahbahan,3,FALSE)</f>
        <v>0</v>
      </c>
      <c r="H712" s="539">
        <f>F712*G712</f>
        <v>0</v>
      </c>
      <c r="J712" s="536"/>
      <c r="K712" s="824"/>
    </row>
    <row r="713" spans="3:11" ht="25.8" customHeight="1">
      <c r="C713" s="702" t="s">
        <v>1214</v>
      </c>
      <c r="D713" s="208"/>
      <c r="E713" s="208"/>
      <c r="F713" s="208"/>
      <c r="G713" s="209"/>
      <c r="H713" s="539">
        <f>SUM(H712:H712)</f>
        <v>0</v>
      </c>
      <c r="J713" s="536"/>
      <c r="K713" s="824"/>
    </row>
    <row r="714" spans="3:11" ht="25.8" customHeight="1">
      <c r="C714" s="213" t="s">
        <v>1215</v>
      </c>
      <c r="D714" s="212" t="s">
        <v>1216</v>
      </c>
      <c r="E714" s="534"/>
      <c r="F714" s="534"/>
      <c r="G714" s="534"/>
      <c r="H714" s="534"/>
      <c r="J714" s="536"/>
      <c r="K714" s="824"/>
    </row>
    <row r="715" spans="3:11" ht="25.8" customHeight="1">
      <c r="C715" s="702" t="s">
        <v>1217</v>
      </c>
      <c r="D715" s="208"/>
      <c r="E715" s="208"/>
      <c r="F715" s="208"/>
      <c r="G715" s="209"/>
      <c r="H715" s="821">
        <v>0</v>
      </c>
      <c r="J715" s="536"/>
      <c r="K715" s="824"/>
    </row>
    <row r="716" spans="3:11" ht="25.8" customHeight="1">
      <c r="C716" s="566" t="s">
        <v>1218</v>
      </c>
      <c r="D716" s="552" t="s">
        <v>1219</v>
      </c>
      <c r="E716" s="553"/>
      <c r="F716" s="553"/>
      <c r="G716" s="554"/>
      <c r="H716" s="826">
        <f>H715+H713+H710</f>
        <v>38525</v>
      </c>
      <c r="I716" s="827"/>
      <c r="J716" s="536"/>
      <c r="K716" s="824"/>
    </row>
    <row r="717" spans="3:11" ht="25.8" customHeight="1">
      <c r="C717" s="566" t="s">
        <v>1220</v>
      </c>
      <c r="D717" s="552" t="s">
        <v>1321</v>
      </c>
      <c r="E717" s="553"/>
      <c r="F717" s="554"/>
      <c r="G717" s="555">
        <f>$M$9</f>
        <v>0.1</v>
      </c>
      <c r="H717" s="539">
        <f>H716*G717</f>
        <v>3852.5</v>
      </c>
      <c r="I717" s="827"/>
      <c r="J717" s="536"/>
      <c r="K717" s="824"/>
    </row>
    <row r="718" spans="3:11" ht="25.8" customHeight="1">
      <c r="C718" s="566" t="s">
        <v>1221</v>
      </c>
      <c r="D718" s="552" t="s">
        <v>1222</v>
      </c>
      <c r="E718" s="553"/>
      <c r="F718" s="553"/>
      <c r="G718" s="554"/>
      <c r="H718" s="828">
        <f>SUM(H716:H717)</f>
        <v>42377.5</v>
      </c>
      <c r="I718" s="827"/>
      <c r="J718" s="536"/>
      <c r="K718" s="824"/>
    </row>
    <row r="719" spans="3:11" ht="25.8" customHeight="1">
      <c r="J719" s="536"/>
      <c r="K719" s="824"/>
    </row>
    <row r="720" spans="3:11" ht="25.8" customHeight="1">
      <c r="C720" s="513" t="s">
        <v>3262</v>
      </c>
      <c r="D720" s="817" t="s">
        <v>1670</v>
      </c>
      <c r="E720" s="803"/>
      <c r="F720" s="803"/>
      <c r="G720" s="803"/>
      <c r="H720" s="803"/>
      <c r="I720" s="533">
        <f>ROUNDDOWN(H735,-2)</f>
        <v>56500</v>
      </c>
      <c r="J720" s="536"/>
      <c r="K720" s="824"/>
    </row>
    <row r="721" spans="3:11" ht="25.8" customHeight="1">
      <c r="C721" s="716" t="s">
        <v>1195</v>
      </c>
      <c r="D721" s="716" t="s">
        <v>1196</v>
      </c>
      <c r="E721" s="716" t="s">
        <v>1197</v>
      </c>
      <c r="F721" s="716" t="s">
        <v>1198</v>
      </c>
      <c r="G721" s="716" t="s">
        <v>1199</v>
      </c>
      <c r="H721" s="716" t="s">
        <v>1200</v>
      </c>
      <c r="J721" s="536"/>
      <c r="K721" s="824"/>
    </row>
    <row r="722" spans="3:11" ht="25.8" customHeight="1">
      <c r="C722" s="212" t="s">
        <v>1201</v>
      </c>
      <c r="D722" s="212" t="s">
        <v>1202</v>
      </c>
      <c r="E722" s="534"/>
      <c r="F722" s="534"/>
      <c r="G722" s="539"/>
      <c r="H722" s="534"/>
      <c r="J722" s="536"/>
      <c r="K722" s="824"/>
    </row>
    <row r="723" spans="3:11" ht="25.8" customHeight="1">
      <c r="C723" s="825">
        <v>1</v>
      </c>
      <c r="D723" s="212" t="s">
        <v>5</v>
      </c>
      <c r="E723" s="212" t="s">
        <v>6</v>
      </c>
      <c r="F723" s="829">
        <v>0.14299999999999999</v>
      </c>
      <c r="G723" s="539">
        <f>VLOOKUP(D723,upahbahan,3,FALSE)</f>
        <v>100000</v>
      </c>
      <c r="H723" s="539">
        <f t="shared" ref="H723:H726" si="75">F723*G723</f>
        <v>14299.999999999998</v>
      </c>
      <c r="J723" s="536"/>
      <c r="K723" s="824"/>
    </row>
    <row r="724" spans="3:11" ht="25.8" customHeight="1">
      <c r="C724" s="825">
        <v>2</v>
      </c>
      <c r="D724" s="212" t="str">
        <f>D707</f>
        <v>Tukang listrik</v>
      </c>
      <c r="E724" s="212" t="s">
        <v>6</v>
      </c>
      <c r="F724" s="829">
        <v>0.23899999999999999</v>
      </c>
      <c r="G724" s="539">
        <f>VLOOKUP(D724,upahbahan,3,FALSE)</f>
        <v>135000</v>
      </c>
      <c r="H724" s="539">
        <f t="shared" si="75"/>
        <v>32265</v>
      </c>
      <c r="J724" s="536"/>
      <c r="K724" s="824"/>
    </row>
    <row r="725" spans="3:11" ht="25.8" customHeight="1">
      <c r="C725" s="825">
        <v>3</v>
      </c>
      <c r="D725" s="212" t="s">
        <v>18</v>
      </c>
      <c r="E725" s="212" t="s">
        <v>6</v>
      </c>
      <c r="F725" s="829">
        <v>2.4E-2</v>
      </c>
      <c r="G725" s="539">
        <f>VLOOKUP(D725,upahbahan,3,FALSE)</f>
        <v>150000</v>
      </c>
      <c r="H725" s="539">
        <f t="shared" si="75"/>
        <v>3600</v>
      </c>
      <c r="J725" s="536"/>
      <c r="K725" s="824"/>
    </row>
    <row r="726" spans="3:11" ht="25.8" customHeight="1">
      <c r="C726" s="825">
        <v>4</v>
      </c>
      <c r="D726" s="212" t="s">
        <v>19</v>
      </c>
      <c r="E726" s="212" t="s">
        <v>6</v>
      </c>
      <c r="F726" s="829">
        <v>8.0000000000000002E-3</v>
      </c>
      <c r="G726" s="539">
        <f>VLOOKUP(D726,upahbahan,3,FALSE)</f>
        <v>160000</v>
      </c>
      <c r="H726" s="539">
        <f t="shared" si="75"/>
        <v>1280</v>
      </c>
      <c r="J726" s="536"/>
      <c r="K726" s="824"/>
    </row>
    <row r="727" spans="3:11" ht="25.8" customHeight="1">
      <c r="C727" s="702" t="s">
        <v>1208</v>
      </c>
      <c r="D727" s="208"/>
      <c r="E727" s="208"/>
      <c r="F727" s="811"/>
      <c r="G727" s="522"/>
      <c r="H727" s="539">
        <f>SUM(H723:H726)</f>
        <v>51445</v>
      </c>
      <c r="I727" s="819"/>
      <c r="J727" s="536"/>
      <c r="K727" s="824"/>
    </row>
    <row r="728" spans="3:11" ht="25.8" customHeight="1">
      <c r="C728" s="212" t="s">
        <v>1209</v>
      </c>
      <c r="D728" s="212" t="s">
        <v>1210</v>
      </c>
      <c r="E728" s="534"/>
      <c r="F728" s="831"/>
      <c r="G728" s="534"/>
      <c r="H728" s="534"/>
      <c r="J728" s="536"/>
      <c r="K728" s="824"/>
    </row>
    <row r="729" spans="3:11" ht="25.8" customHeight="1">
      <c r="C729" s="825">
        <v>1</v>
      </c>
      <c r="D729" s="820" t="s">
        <v>950</v>
      </c>
      <c r="E729" s="807" t="s">
        <v>113</v>
      </c>
      <c r="F729" s="538">
        <v>1.1499999999999999</v>
      </c>
      <c r="G729" s="539">
        <f>VLOOKUP(D729,upahbahan,3,FALSE)</f>
        <v>0</v>
      </c>
      <c r="H729" s="539">
        <f>F729*G729</f>
        <v>0</v>
      </c>
      <c r="J729" s="536"/>
      <c r="K729" s="824"/>
    </row>
    <row r="730" spans="3:11" ht="25.8" customHeight="1">
      <c r="C730" s="702" t="s">
        <v>1214</v>
      </c>
      <c r="D730" s="208"/>
      <c r="E730" s="208"/>
      <c r="F730" s="208"/>
      <c r="G730" s="209"/>
      <c r="H730" s="539">
        <f>SUM(H729:H729)</f>
        <v>0</v>
      </c>
      <c r="J730" s="536"/>
      <c r="K730" s="824"/>
    </row>
    <row r="731" spans="3:11" ht="25.8" customHeight="1">
      <c r="C731" s="213" t="s">
        <v>1215</v>
      </c>
      <c r="D731" s="212" t="s">
        <v>1216</v>
      </c>
      <c r="E731" s="534"/>
      <c r="F731" s="534"/>
      <c r="G731" s="534"/>
      <c r="H731" s="534"/>
      <c r="J731" s="536"/>
      <c r="K731" s="824"/>
    </row>
    <row r="732" spans="3:11" ht="25.8" customHeight="1">
      <c r="C732" s="702" t="s">
        <v>1217</v>
      </c>
      <c r="D732" s="208"/>
      <c r="E732" s="208"/>
      <c r="F732" s="208"/>
      <c r="G732" s="209"/>
      <c r="H732" s="821">
        <v>0</v>
      </c>
      <c r="J732" s="536"/>
      <c r="K732" s="824"/>
    </row>
    <row r="733" spans="3:11" ht="25.8" customHeight="1">
      <c r="C733" s="566" t="s">
        <v>1218</v>
      </c>
      <c r="D733" s="552" t="s">
        <v>1219</v>
      </c>
      <c r="E733" s="553"/>
      <c r="F733" s="553"/>
      <c r="G733" s="554"/>
      <c r="H733" s="826">
        <f>H732+H730+H727</f>
        <v>51445</v>
      </c>
      <c r="I733" s="827"/>
      <c r="J733" s="536"/>
      <c r="K733" s="824"/>
    </row>
    <row r="734" spans="3:11" ht="25.8" customHeight="1">
      <c r="C734" s="566" t="s">
        <v>1220</v>
      </c>
      <c r="D734" s="552" t="s">
        <v>1321</v>
      </c>
      <c r="E734" s="553"/>
      <c r="F734" s="554"/>
      <c r="G734" s="555">
        <f>$M$9</f>
        <v>0.1</v>
      </c>
      <c r="H734" s="539">
        <f>H733*G734</f>
        <v>5144.5</v>
      </c>
      <c r="I734" s="827"/>
      <c r="J734" s="536"/>
      <c r="K734" s="824"/>
    </row>
    <row r="735" spans="3:11" ht="25.8" customHeight="1">
      <c r="C735" s="566" t="s">
        <v>1221</v>
      </c>
      <c r="D735" s="552" t="s">
        <v>1222</v>
      </c>
      <c r="E735" s="553"/>
      <c r="F735" s="553"/>
      <c r="G735" s="554"/>
      <c r="H735" s="828">
        <f>SUM(H733:H734)</f>
        <v>56589.5</v>
      </c>
      <c r="I735" s="827"/>
      <c r="J735" s="536"/>
      <c r="K735" s="824"/>
    </row>
    <row r="736" spans="3:11" ht="25.8" customHeight="1">
      <c r="J736" s="536"/>
      <c r="K736" s="824"/>
    </row>
    <row r="737" spans="3:11" ht="25.8" customHeight="1">
      <c r="C737" s="513" t="s">
        <v>3263</v>
      </c>
      <c r="D737" s="817" t="s">
        <v>1671</v>
      </c>
      <c r="E737" s="803"/>
      <c r="F737" s="803"/>
      <c r="G737" s="803"/>
      <c r="H737" s="803"/>
      <c r="I737" s="533">
        <f>ROUNDDOWN(H752,-2)</f>
        <v>56500</v>
      </c>
      <c r="J737" s="536"/>
      <c r="K737" s="824"/>
    </row>
    <row r="738" spans="3:11" ht="25.8" customHeight="1">
      <c r="C738" s="716" t="s">
        <v>1195</v>
      </c>
      <c r="D738" s="716" t="s">
        <v>1196</v>
      </c>
      <c r="E738" s="716" t="s">
        <v>1197</v>
      </c>
      <c r="F738" s="716" t="s">
        <v>1198</v>
      </c>
      <c r="G738" s="716" t="s">
        <v>1199</v>
      </c>
      <c r="H738" s="716" t="s">
        <v>1200</v>
      </c>
      <c r="J738" s="536"/>
      <c r="K738" s="824"/>
    </row>
    <row r="739" spans="3:11" ht="25.8" customHeight="1">
      <c r="C739" s="212" t="s">
        <v>1201</v>
      </c>
      <c r="D739" s="212" t="s">
        <v>1202</v>
      </c>
      <c r="E739" s="534"/>
      <c r="F739" s="534"/>
      <c r="G739" s="534"/>
      <c r="H739" s="534"/>
      <c r="J739" s="536"/>
      <c r="K739" s="824"/>
    </row>
    <row r="740" spans="3:11" ht="25.8" customHeight="1">
      <c r="C740" s="825">
        <v>1</v>
      </c>
      <c r="D740" s="212" t="s">
        <v>5</v>
      </c>
      <c r="E740" s="212" t="s">
        <v>6</v>
      </c>
      <c r="F740" s="829">
        <v>0.14299999999999999</v>
      </c>
      <c r="G740" s="539">
        <f>VLOOKUP(D740,upahbahan,3,FALSE)</f>
        <v>100000</v>
      </c>
      <c r="H740" s="539">
        <f t="shared" ref="H740:H743" si="76">F740*G740</f>
        <v>14299.999999999998</v>
      </c>
      <c r="J740" s="536"/>
      <c r="K740" s="824"/>
    </row>
    <row r="741" spans="3:11" ht="25.8" customHeight="1">
      <c r="C741" s="825">
        <v>2</v>
      </c>
      <c r="D741" s="212" t="str">
        <f>D724</f>
        <v>Tukang listrik</v>
      </c>
      <c r="E741" s="212" t="s">
        <v>6</v>
      </c>
      <c r="F741" s="829">
        <v>0.23899999999999999</v>
      </c>
      <c r="G741" s="539">
        <f>VLOOKUP(D741,upahbahan,3,FALSE)</f>
        <v>135000</v>
      </c>
      <c r="H741" s="539">
        <f t="shared" si="76"/>
        <v>32265</v>
      </c>
      <c r="J741" s="536"/>
      <c r="K741" s="824"/>
    </row>
    <row r="742" spans="3:11" ht="25.8" customHeight="1">
      <c r="C742" s="825">
        <v>3</v>
      </c>
      <c r="D742" s="212" t="s">
        <v>18</v>
      </c>
      <c r="E742" s="212" t="s">
        <v>6</v>
      </c>
      <c r="F742" s="829">
        <v>2.4E-2</v>
      </c>
      <c r="G742" s="539">
        <f>VLOOKUP(D742,upahbahan,3,FALSE)</f>
        <v>150000</v>
      </c>
      <c r="H742" s="539">
        <f t="shared" si="76"/>
        <v>3600</v>
      </c>
      <c r="J742" s="536"/>
      <c r="K742" s="824"/>
    </row>
    <row r="743" spans="3:11" ht="25.8" customHeight="1">
      <c r="C743" s="825">
        <v>4</v>
      </c>
      <c r="D743" s="212" t="s">
        <v>19</v>
      </c>
      <c r="E743" s="212" t="s">
        <v>6</v>
      </c>
      <c r="F743" s="829">
        <v>8.0000000000000002E-3</v>
      </c>
      <c r="G743" s="539">
        <f>VLOOKUP(D743,upahbahan,3,FALSE)</f>
        <v>160000</v>
      </c>
      <c r="H743" s="539">
        <f t="shared" si="76"/>
        <v>1280</v>
      </c>
      <c r="J743" s="536"/>
      <c r="K743" s="824"/>
    </row>
    <row r="744" spans="3:11" ht="25.8" customHeight="1">
      <c r="C744" s="702" t="s">
        <v>1208</v>
      </c>
      <c r="D744" s="208"/>
      <c r="E744" s="208"/>
      <c r="F744" s="811"/>
      <c r="G744" s="522"/>
      <c r="H744" s="539">
        <f>SUM(H740:H743)</f>
        <v>51445</v>
      </c>
      <c r="I744" s="819"/>
      <c r="J744" s="536"/>
      <c r="K744" s="824"/>
    </row>
    <row r="745" spans="3:11" ht="25.8" customHeight="1">
      <c r="C745" s="212" t="s">
        <v>1209</v>
      </c>
      <c r="D745" s="212" t="s">
        <v>1210</v>
      </c>
      <c r="E745" s="534"/>
      <c r="F745" s="831"/>
      <c r="G745" s="534"/>
      <c r="H745" s="534"/>
      <c r="J745" s="536"/>
      <c r="K745" s="824"/>
    </row>
    <row r="746" spans="3:11" ht="25.8" customHeight="1">
      <c r="C746" s="825">
        <v>1</v>
      </c>
      <c r="D746" s="820" t="s">
        <v>937</v>
      </c>
      <c r="E746" s="807" t="s">
        <v>113</v>
      </c>
      <c r="F746" s="538">
        <v>1.1499999999999999</v>
      </c>
      <c r="G746" s="539">
        <f>VLOOKUP(D746,upahbahan,3,FALSE)</f>
        <v>0</v>
      </c>
      <c r="H746" s="539">
        <f>F746*G746</f>
        <v>0</v>
      </c>
      <c r="J746" s="536"/>
      <c r="K746" s="824"/>
    </row>
    <row r="747" spans="3:11" ht="25.8" customHeight="1">
      <c r="C747" s="702" t="s">
        <v>1214</v>
      </c>
      <c r="D747" s="208"/>
      <c r="E747" s="208"/>
      <c r="F747" s="208"/>
      <c r="G747" s="209"/>
      <c r="H747" s="539">
        <f>SUM(H746:H746)</f>
        <v>0</v>
      </c>
      <c r="J747" s="536"/>
      <c r="K747" s="824"/>
    </row>
    <row r="748" spans="3:11" ht="25.8" customHeight="1">
      <c r="C748" s="213" t="s">
        <v>1215</v>
      </c>
      <c r="D748" s="212" t="s">
        <v>1216</v>
      </c>
      <c r="E748" s="534"/>
      <c r="F748" s="534"/>
      <c r="G748" s="534"/>
      <c r="H748" s="534"/>
      <c r="J748" s="536"/>
      <c r="K748" s="824"/>
    </row>
    <row r="749" spans="3:11" ht="25.8" customHeight="1">
      <c r="C749" s="702" t="s">
        <v>1217</v>
      </c>
      <c r="D749" s="208"/>
      <c r="E749" s="208"/>
      <c r="F749" s="208"/>
      <c r="G749" s="209"/>
      <c r="H749" s="821">
        <v>0</v>
      </c>
      <c r="J749" s="536"/>
      <c r="K749" s="824"/>
    </row>
    <row r="750" spans="3:11" ht="25.8" customHeight="1">
      <c r="C750" s="566" t="s">
        <v>1218</v>
      </c>
      <c r="D750" s="552" t="s">
        <v>1219</v>
      </c>
      <c r="E750" s="553"/>
      <c r="F750" s="553"/>
      <c r="G750" s="554"/>
      <c r="H750" s="826">
        <f>H749+H747+H744</f>
        <v>51445</v>
      </c>
      <c r="I750" s="827"/>
      <c r="J750" s="536"/>
      <c r="K750" s="824"/>
    </row>
    <row r="751" spans="3:11" ht="25.8" customHeight="1">
      <c r="C751" s="566" t="s">
        <v>1220</v>
      </c>
      <c r="D751" s="552" t="s">
        <v>1321</v>
      </c>
      <c r="E751" s="553"/>
      <c r="F751" s="554"/>
      <c r="G751" s="555">
        <f>$M$9</f>
        <v>0.1</v>
      </c>
      <c r="H751" s="539">
        <f>H750*G751</f>
        <v>5144.5</v>
      </c>
      <c r="I751" s="827"/>
      <c r="J751" s="536"/>
      <c r="K751" s="824"/>
    </row>
    <row r="752" spans="3:11" ht="25.8" customHeight="1">
      <c r="C752" s="566" t="s">
        <v>1221</v>
      </c>
      <c r="D752" s="552" t="s">
        <v>1222</v>
      </c>
      <c r="E752" s="553"/>
      <c r="F752" s="553"/>
      <c r="G752" s="554"/>
      <c r="H752" s="828">
        <f>SUM(H750:H751)</f>
        <v>56589.5</v>
      </c>
      <c r="I752" s="827"/>
      <c r="J752" s="536"/>
      <c r="K752" s="824"/>
    </row>
    <row r="753" spans="3:11" ht="25.8" customHeight="1">
      <c r="J753" s="536"/>
      <c r="K753" s="824"/>
    </row>
    <row r="754" spans="3:11" ht="25.8" customHeight="1">
      <c r="C754" s="513" t="s">
        <v>3264</v>
      </c>
      <c r="D754" s="817" t="s">
        <v>1672</v>
      </c>
      <c r="E754" s="803"/>
      <c r="F754" s="803"/>
      <c r="G754" s="803"/>
      <c r="H754" s="803"/>
      <c r="I754" s="533">
        <f>ROUNDDOWN(H769,-2)</f>
        <v>70600</v>
      </c>
      <c r="J754" s="536"/>
      <c r="K754" s="824"/>
    </row>
    <row r="755" spans="3:11" ht="25.8" customHeight="1">
      <c r="C755" s="716" t="s">
        <v>1195</v>
      </c>
      <c r="D755" s="716" t="s">
        <v>1196</v>
      </c>
      <c r="E755" s="716" t="s">
        <v>1197</v>
      </c>
      <c r="F755" s="716" t="s">
        <v>1198</v>
      </c>
      <c r="G755" s="716" t="s">
        <v>1199</v>
      </c>
      <c r="H755" s="716" t="s">
        <v>1200</v>
      </c>
      <c r="J755" s="536"/>
      <c r="K755" s="824"/>
    </row>
    <row r="756" spans="3:11" ht="25.8" customHeight="1">
      <c r="C756" s="212" t="s">
        <v>1201</v>
      </c>
      <c r="D756" s="212" t="s">
        <v>1202</v>
      </c>
      <c r="E756" s="534"/>
      <c r="F756" s="534"/>
      <c r="G756" s="534"/>
      <c r="H756" s="534"/>
      <c r="J756" s="536"/>
      <c r="K756" s="824"/>
    </row>
    <row r="757" spans="3:11" ht="25.8" customHeight="1">
      <c r="C757" s="825">
        <v>1</v>
      </c>
      <c r="D757" s="212" t="s">
        <v>5</v>
      </c>
      <c r="E757" s="212" t="s">
        <v>6</v>
      </c>
      <c r="F757" s="538">
        <v>0.17899999999999999</v>
      </c>
      <c r="G757" s="539">
        <f>VLOOKUP(D757,upahbahan,3,FALSE)</f>
        <v>100000</v>
      </c>
      <c r="H757" s="539">
        <f t="shared" ref="H757:H760" si="77">F757*G757</f>
        <v>17900</v>
      </c>
      <c r="J757" s="536"/>
      <c r="K757" s="824"/>
    </row>
    <row r="758" spans="3:11" ht="25.8" customHeight="1">
      <c r="C758" s="825">
        <v>2</v>
      </c>
      <c r="D758" s="212" t="str">
        <f>D741</f>
        <v>Tukang listrik</v>
      </c>
      <c r="E758" s="212" t="s">
        <v>6</v>
      </c>
      <c r="F758" s="538">
        <v>0.29799999999999999</v>
      </c>
      <c r="G758" s="539">
        <f>VLOOKUP(D758,upahbahan,3,FALSE)</f>
        <v>135000</v>
      </c>
      <c r="H758" s="539">
        <f t="shared" si="77"/>
        <v>40230</v>
      </c>
      <c r="J758" s="536"/>
      <c r="K758" s="824"/>
    </row>
    <row r="759" spans="3:11" ht="25.8" customHeight="1">
      <c r="C759" s="825">
        <v>3</v>
      </c>
      <c r="D759" s="212" t="s">
        <v>18</v>
      </c>
      <c r="E759" s="212" t="s">
        <v>6</v>
      </c>
      <c r="F759" s="538">
        <v>0.03</v>
      </c>
      <c r="G759" s="539">
        <f>VLOOKUP(D759,upahbahan,3,FALSE)</f>
        <v>150000</v>
      </c>
      <c r="H759" s="539">
        <f t="shared" si="77"/>
        <v>4500</v>
      </c>
      <c r="J759" s="536"/>
      <c r="K759" s="824"/>
    </row>
    <row r="760" spans="3:11" ht="25.8" customHeight="1">
      <c r="C760" s="825">
        <v>4</v>
      </c>
      <c r="D760" s="212" t="s">
        <v>19</v>
      </c>
      <c r="E760" s="212" t="s">
        <v>6</v>
      </c>
      <c r="F760" s="538">
        <v>0.01</v>
      </c>
      <c r="G760" s="539">
        <f>VLOOKUP(D760,upahbahan,3,FALSE)</f>
        <v>160000</v>
      </c>
      <c r="H760" s="539">
        <f t="shared" si="77"/>
        <v>1600</v>
      </c>
      <c r="J760" s="536"/>
      <c r="K760" s="824"/>
    </row>
    <row r="761" spans="3:11" ht="25.8" customHeight="1">
      <c r="C761" s="702" t="s">
        <v>1208</v>
      </c>
      <c r="D761" s="208"/>
      <c r="E761" s="208"/>
      <c r="F761" s="811"/>
      <c r="G761" s="522"/>
      <c r="H761" s="539">
        <f>SUM(H757:H760)</f>
        <v>64230</v>
      </c>
      <c r="I761" s="819"/>
      <c r="J761" s="536"/>
      <c r="K761" s="824"/>
    </row>
    <row r="762" spans="3:11" ht="25.8" customHeight="1">
      <c r="C762" s="212" t="s">
        <v>1209</v>
      </c>
      <c r="D762" s="212" t="s">
        <v>1210</v>
      </c>
      <c r="E762" s="534"/>
      <c r="F762" s="831"/>
      <c r="G762" s="534"/>
      <c r="H762" s="534"/>
      <c r="J762" s="536"/>
      <c r="K762" s="824"/>
    </row>
    <row r="763" spans="3:11" ht="25.8" customHeight="1">
      <c r="C763" s="825">
        <v>1</v>
      </c>
      <c r="D763" s="820" t="s">
        <v>938</v>
      </c>
      <c r="E763" s="807" t="s">
        <v>113</v>
      </c>
      <c r="F763" s="538">
        <v>1.1499999999999999</v>
      </c>
      <c r="G763" s="539">
        <f>VLOOKUP(D763,upahbahan,3,FALSE)</f>
        <v>0</v>
      </c>
      <c r="H763" s="539">
        <f t="shared" ref="H763" si="78">F763*G763</f>
        <v>0</v>
      </c>
      <c r="J763" s="536"/>
      <c r="K763" s="824"/>
    </row>
    <row r="764" spans="3:11" ht="25.8" customHeight="1">
      <c r="C764" s="702" t="s">
        <v>1214</v>
      </c>
      <c r="D764" s="208"/>
      <c r="E764" s="208"/>
      <c r="F764" s="208"/>
      <c r="G764" s="209"/>
      <c r="H764" s="539">
        <f>SUM(H763:H763)</f>
        <v>0</v>
      </c>
      <c r="J764" s="536"/>
      <c r="K764" s="824"/>
    </row>
    <row r="765" spans="3:11" ht="25.8" customHeight="1">
      <c r="C765" s="213" t="s">
        <v>1215</v>
      </c>
      <c r="D765" s="212" t="s">
        <v>1216</v>
      </c>
      <c r="E765" s="534"/>
      <c r="F765" s="534"/>
      <c r="G765" s="534"/>
      <c r="H765" s="534"/>
      <c r="J765" s="536"/>
      <c r="K765" s="824"/>
    </row>
    <row r="766" spans="3:11" ht="25.8" customHeight="1">
      <c r="C766" s="702" t="s">
        <v>1217</v>
      </c>
      <c r="D766" s="208"/>
      <c r="E766" s="208"/>
      <c r="F766" s="208"/>
      <c r="G766" s="209"/>
      <c r="H766" s="821">
        <v>0</v>
      </c>
      <c r="J766" s="536"/>
      <c r="K766" s="824"/>
    </row>
    <row r="767" spans="3:11" ht="25.8" customHeight="1">
      <c r="C767" s="566" t="s">
        <v>1218</v>
      </c>
      <c r="D767" s="552" t="s">
        <v>1219</v>
      </c>
      <c r="E767" s="553"/>
      <c r="F767" s="553"/>
      <c r="G767" s="554"/>
      <c r="H767" s="826">
        <f>H766+H764+H761</f>
        <v>64230</v>
      </c>
      <c r="I767" s="827"/>
      <c r="J767" s="536"/>
      <c r="K767" s="824"/>
    </row>
    <row r="768" spans="3:11" ht="25.8" customHeight="1">
      <c r="C768" s="566" t="s">
        <v>1220</v>
      </c>
      <c r="D768" s="552" t="s">
        <v>1321</v>
      </c>
      <c r="E768" s="553"/>
      <c r="F768" s="554"/>
      <c r="G768" s="555">
        <f>$M$9</f>
        <v>0.1</v>
      </c>
      <c r="H768" s="539">
        <f>H767*G768</f>
        <v>6423</v>
      </c>
      <c r="I768" s="827"/>
      <c r="J768" s="536"/>
      <c r="K768" s="824"/>
    </row>
    <row r="769" spans="3:11" ht="25.8" customHeight="1">
      <c r="C769" s="566" t="s">
        <v>1221</v>
      </c>
      <c r="D769" s="552" t="s">
        <v>1222</v>
      </c>
      <c r="E769" s="553"/>
      <c r="F769" s="553"/>
      <c r="G769" s="554"/>
      <c r="H769" s="828">
        <f>SUM(H767:H768)</f>
        <v>70653</v>
      </c>
      <c r="I769" s="827"/>
      <c r="J769" s="536"/>
      <c r="K769" s="824"/>
    </row>
    <row r="770" spans="3:11" ht="25.8" customHeight="1">
      <c r="J770" s="536"/>
      <c r="K770" s="824"/>
    </row>
    <row r="771" spans="3:11" ht="25.8" customHeight="1">
      <c r="C771" s="513" t="s">
        <v>3265</v>
      </c>
      <c r="D771" s="817" t="s">
        <v>1673</v>
      </c>
      <c r="E771" s="803"/>
      <c r="F771" s="803"/>
      <c r="G771" s="803"/>
      <c r="H771" s="803"/>
      <c r="I771" s="533">
        <f>ROUNDDOWN(H786,-2)</f>
        <v>70600</v>
      </c>
      <c r="J771" s="536"/>
      <c r="K771" s="824"/>
    </row>
    <row r="772" spans="3:11" ht="25.8" customHeight="1">
      <c r="C772" s="716" t="s">
        <v>1195</v>
      </c>
      <c r="D772" s="716" t="s">
        <v>1196</v>
      </c>
      <c r="E772" s="716" t="s">
        <v>1197</v>
      </c>
      <c r="F772" s="716" t="s">
        <v>1198</v>
      </c>
      <c r="G772" s="716" t="s">
        <v>1199</v>
      </c>
      <c r="H772" s="716" t="s">
        <v>1200</v>
      </c>
      <c r="J772" s="536"/>
      <c r="K772" s="824"/>
    </row>
    <row r="773" spans="3:11" ht="25.8" customHeight="1">
      <c r="C773" s="212" t="s">
        <v>1201</v>
      </c>
      <c r="D773" s="212" t="s">
        <v>1202</v>
      </c>
      <c r="E773" s="534"/>
      <c r="F773" s="534"/>
      <c r="G773" s="534"/>
      <c r="H773" s="534"/>
      <c r="J773" s="536"/>
      <c r="K773" s="824"/>
    </row>
    <row r="774" spans="3:11" ht="25.8" customHeight="1">
      <c r="C774" s="825">
        <v>1</v>
      </c>
      <c r="D774" s="212" t="s">
        <v>5</v>
      </c>
      <c r="E774" s="212" t="s">
        <v>6</v>
      </c>
      <c r="F774" s="538">
        <v>0.17899999999999999</v>
      </c>
      <c r="G774" s="539">
        <f>VLOOKUP(D774,upahbahan,3,FALSE)</f>
        <v>100000</v>
      </c>
      <c r="H774" s="539">
        <f>F774*G774</f>
        <v>17900</v>
      </c>
      <c r="J774" s="536"/>
      <c r="K774" s="824"/>
    </row>
    <row r="775" spans="3:11" ht="25.8" customHeight="1">
      <c r="C775" s="825">
        <v>2</v>
      </c>
      <c r="D775" s="212" t="str">
        <f>D758</f>
        <v>Tukang listrik</v>
      </c>
      <c r="E775" s="212" t="s">
        <v>6</v>
      </c>
      <c r="F775" s="538">
        <v>0.29799999999999999</v>
      </c>
      <c r="G775" s="539">
        <f>VLOOKUP(D775,upahbahan,3,FALSE)</f>
        <v>135000</v>
      </c>
      <c r="H775" s="539">
        <f t="shared" ref="H775:H777" si="79">F775*G775</f>
        <v>40230</v>
      </c>
      <c r="J775" s="536"/>
      <c r="K775" s="824"/>
    </row>
    <row r="776" spans="3:11" ht="25.8" customHeight="1">
      <c r="C776" s="825">
        <v>3</v>
      </c>
      <c r="D776" s="212" t="s">
        <v>18</v>
      </c>
      <c r="E776" s="212" t="s">
        <v>6</v>
      </c>
      <c r="F776" s="538">
        <v>0.03</v>
      </c>
      <c r="G776" s="539">
        <f>VLOOKUP(D776,upahbahan,3,FALSE)</f>
        <v>150000</v>
      </c>
      <c r="H776" s="539">
        <f t="shared" si="79"/>
        <v>4500</v>
      </c>
      <c r="J776" s="536"/>
      <c r="K776" s="824"/>
    </row>
    <row r="777" spans="3:11" ht="25.8" customHeight="1">
      <c r="C777" s="825">
        <v>4</v>
      </c>
      <c r="D777" s="212" t="s">
        <v>19</v>
      </c>
      <c r="E777" s="212" t="s">
        <v>6</v>
      </c>
      <c r="F777" s="538">
        <v>0.01</v>
      </c>
      <c r="G777" s="539">
        <f>VLOOKUP(D777,upahbahan,3,FALSE)</f>
        <v>160000</v>
      </c>
      <c r="H777" s="539">
        <f t="shared" si="79"/>
        <v>1600</v>
      </c>
      <c r="J777" s="536"/>
      <c r="K777" s="824"/>
    </row>
    <row r="778" spans="3:11" ht="25.8" customHeight="1">
      <c r="C778" s="702" t="s">
        <v>1208</v>
      </c>
      <c r="D778" s="208"/>
      <c r="E778" s="208"/>
      <c r="F778" s="811"/>
      <c r="G778" s="522"/>
      <c r="H778" s="539">
        <f>SUM(H774:H777)</f>
        <v>64230</v>
      </c>
      <c r="I778" s="819"/>
      <c r="J778" s="536"/>
      <c r="K778" s="824"/>
    </row>
    <row r="779" spans="3:11" ht="25.8" customHeight="1">
      <c r="C779" s="212" t="s">
        <v>1209</v>
      </c>
      <c r="D779" s="212" t="s">
        <v>1210</v>
      </c>
      <c r="E779" s="534"/>
      <c r="F779" s="831"/>
      <c r="G779" s="534"/>
      <c r="H779" s="534"/>
      <c r="J779" s="536"/>
      <c r="K779" s="824"/>
    </row>
    <row r="780" spans="3:11" ht="25.8" customHeight="1">
      <c r="C780" s="825">
        <v>1</v>
      </c>
      <c r="D780" s="820" t="s">
        <v>940</v>
      </c>
      <c r="E780" s="807" t="s">
        <v>113</v>
      </c>
      <c r="F780" s="538">
        <v>1.1499999999999999</v>
      </c>
      <c r="G780" s="539">
        <f>VLOOKUP(D780,upahbahan,3,FALSE)</f>
        <v>0</v>
      </c>
      <c r="H780" s="539">
        <f>F780*G780</f>
        <v>0</v>
      </c>
      <c r="J780" s="536"/>
      <c r="K780" s="824"/>
    </row>
    <row r="781" spans="3:11" ht="25.8" customHeight="1">
      <c r="C781" s="702" t="s">
        <v>1214</v>
      </c>
      <c r="D781" s="208"/>
      <c r="E781" s="208"/>
      <c r="F781" s="208"/>
      <c r="G781" s="209"/>
      <c r="H781" s="539">
        <f>SUM(H780:H780)</f>
        <v>0</v>
      </c>
      <c r="J781" s="536"/>
      <c r="K781" s="824"/>
    </row>
    <row r="782" spans="3:11" ht="25.8" customHeight="1">
      <c r="C782" s="213" t="s">
        <v>1215</v>
      </c>
      <c r="D782" s="212" t="s">
        <v>1216</v>
      </c>
      <c r="E782" s="534"/>
      <c r="F782" s="534"/>
      <c r="G782" s="534"/>
      <c r="H782" s="534"/>
      <c r="J782" s="536"/>
      <c r="K782" s="824"/>
    </row>
    <row r="783" spans="3:11" ht="25.8" customHeight="1">
      <c r="C783" s="702" t="s">
        <v>1217</v>
      </c>
      <c r="D783" s="208"/>
      <c r="E783" s="208"/>
      <c r="F783" s="208"/>
      <c r="G783" s="209"/>
      <c r="H783" s="821">
        <v>0</v>
      </c>
      <c r="J783" s="536"/>
      <c r="K783" s="824"/>
    </row>
    <row r="784" spans="3:11" ht="25.8" customHeight="1">
      <c r="C784" s="566" t="s">
        <v>1218</v>
      </c>
      <c r="D784" s="552" t="s">
        <v>1219</v>
      </c>
      <c r="E784" s="553"/>
      <c r="F784" s="553"/>
      <c r="G784" s="554"/>
      <c r="H784" s="826">
        <f>H783+H781+H778</f>
        <v>64230</v>
      </c>
      <c r="I784" s="827"/>
      <c r="J784" s="536"/>
      <c r="K784" s="824"/>
    </row>
    <row r="785" spans="3:11" ht="25.8" customHeight="1">
      <c r="C785" s="566" t="s">
        <v>1220</v>
      </c>
      <c r="D785" s="552" t="s">
        <v>1321</v>
      </c>
      <c r="E785" s="553"/>
      <c r="F785" s="554"/>
      <c r="G785" s="555">
        <f>$M$9</f>
        <v>0.1</v>
      </c>
      <c r="H785" s="539">
        <f>H784*G785</f>
        <v>6423</v>
      </c>
      <c r="I785" s="827"/>
      <c r="J785" s="536"/>
      <c r="K785" s="824"/>
    </row>
    <row r="786" spans="3:11" ht="25.8" customHeight="1">
      <c r="C786" s="566" t="s">
        <v>1221</v>
      </c>
      <c r="D786" s="552" t="s">
        <v>1222</v>
      </c>
      <c r="E786" s="553"/>
      <c r="F786" s="553"/>
      <c r="G786" s="554"/>
      <c r="H786" s="828">
        <f>SUM(H784:H785)</f>
        <v>70653</v>
      </c>
      <c r="I786" s="827"/>
      <c r="J786" s="536"/>
      <c r="K786" s="824"/>
    </row>
    <row r="787" spans="3:11" ht="25.8" customHeight="1">
      <c r="J787" s="536"/>
      <c r="K787" s="824"/>
    </row>
    <row r="788" spans="3:11" ht="25.8" customHeight="1">
      <c r="C788" s="513" t="s">
        <v>3266</v>
      </c>
      <c r="D788" s="817" t="s">
        <v>1674</v>
      </c>
      <c r="E788" s="803"/>
      <c r="F788" s="803"/>
      <c r="G788" s="803"/>
      <c r="H788" s="803"/>
      <c r="I788" s="533">
        <f>ROUNDDOWN(H803,-2)</f>
        <v>94100</v>
      </c>
      <c r="J788" s="536"/>
      <c r="K788" s="824"/>
    </row>
    <row r="789" spans="3:11" ht="25.8" customHeight="1">
      <c r="C789" s="716" t="s">
        <v>1195</v>
      </c>
      <c r="D789" s="716" t="s">
        <v>1196</v>
      </c>
      <c r="E789" s="716" t="s">
        <v>1197</v>
      </c>
      <c r="F789" s="716" t="s">
        <v>1198</v>
      </c>
      <c r="G789" s="716" t="s">
        <v>1199</v>
      </c>
      <c r="H789" s="716" t="s">
        <v>1200</v>
      </c>
      <c r="J789" s="536"/>
      <c r="K789" s="824"/>
    </row>
    <row r="790" spans="3:11" ht="25.8" customHeight="1">
      <c r="C790" s="212" t="s">
        <v>1201</v>
      </c>
      <c r="D790" s="212" t="s">
        <v>1202</v>
      </c>
      <c r="E790" s="534"/>
      <c r="F790" s="534"/>
      <c r="G790" s="534"/>
      <c r="H790" s="534"/>
      <c r="J790" s="536"/>
      <c r="K790" s="824"/>
    </row>
    <row r="791" spans="3:11" ht="25.8" customHeight="1">
      <c r="C791" s="825">
        <v>1</v>
      </c>
      <c r="D791" s="212" t="s">
        <v>5</v>
      </c>
      <c r="E791" s="212" t="s">
        <v>6</v>
      </c>
      <c r="F791" s="538">
        <v>0.23799999999999999</v>
      </c>
      <c r="G791" s="539">
        <f>VLOOKUP(D791,upahbahan,3,FALSE)</f>
        <v>100000</v>
      </c>
      <c r="H791" s="539">
        <f t="shared" ref="H791:H794" si="80">F791*G791</f>
        <v>23800</v>
      </c>
      <c r="J791" s="536"/>
      <c r="K791" s="824"/>
    </row>
    <row r="792" spans="3:11" ht="25.8" customHeight="1">
      <c r="C792" s="825">
        <v>2</v>
      </c>
      <c r="D792" s="212" t="str">
        <f>D775</f>
        <v>Tukang listrik</v>
      </c>
      <c r="E792" s="212" t="s">
        <v>6</v>
      </c>
      <c r="F792" s="538">
        <v>0.39800000000000002</v>
      </c>
      <c r="G792" s="539">
        <f>VLOOKUP(D792,upahbahan,3,FALSE)</f>
        <v>135000</v>
      </c>
      <c r="H792" s="539">
        <f t="shared" si="80"/>
        <v>53730</v>
      </c>
      <c r="J792" s="536"/>
      <c r="K792" s="824"/>
    </row>
    <row r="793" spans="3:11" ht="25.8" customHeight="1">
      <c r="C793" s="825">
        <v>3</v>
      </c>
      <c r="D793" s="212" t="s">
        <v>18</v>
      </c>
      <c r="E793" s="212" t="s">
        <v>6</v>
      </c>
      <c r="F793" s="538">
        <v>0.04</v>
      </c>
      <c r="G793" s="539">
        <f>VLOOKUP(D793,upahbahan,3,FALSE)</f>
        <v>150000</v>
      </c>
      <c r="H793" s="539">
        <f t="shared" si="80"/>
        <v>6000</v>
      </c>
      <c r="J793" s="536"/>
      <c r="K793" s="824"/>
    </row>
    <row r="794" spans="3:11" ht="25.8" customHeight="1">
      <c r="C794" s="825">
        <v>4</v>
      </c>
      <c r="D794" s="212" t="s">
        <v>19</v>
      </c>
      <c r="E794" s="212" t="s">
        <v>6</v>
      </c>
      <c r="F794" s="538">
        <v>1.2999999999999999E-2</v>
      </c>
      <c r="G794" s="539">
        <f>VLOOKUP(D794,upahbahan,3,FALSE)</f>
        <v>160000</v>
      </c>
      <c r="H794" s="539">
        <f t="shared" si="80"/>
        <v>2080</v>
      </c>
      <c r="J794" s="536"/>
      <c r="K794" s="824"/>
    </row>
    <row r="795" spans="3:11" ht="25.8" customHeight="1">
      <c r="C795" s="702" t="s">
        <v>1208</v>
      </c>
      <c r="D795" s="208"/>
      <c r="E795" s="208"/>
      <c r="F795" s="811"/>
      <c r="G795" s="522"/>
      <c r="H795" s="539">
        <f>SUM(H791:H794)</f>
        <v>85610</v>
      </c>
      <c r="I795" s="819"/>
      <c r="J795" s="536"/>
      <c r="K795" s="824"/>
    </row>
    <row r="796" spans="3:11" ht="25.8" customHeight="1">
      <c r="C796" s="212" t="s">
        <v>1209</v>
      </c>
      <c r="D796" s="212" t="s">
        <v>1210</v>
      </c>
      <c r="E796" s="534"/>
      <c r="F796" s="831"/>
      <c r="G796" s="534"/>
      <c r="H796" s="534"/>
      <c r="J796" s="536"/>
      <c r="K796" s="824"/>
    </row>
    <row r="797" spans="3:11" ht="25.8" customHeight="1">
      <c r="C797" s="825">
        <v>1</v>
      </c>
      <c r="D797" s="820" t="s">
        <v>942</v>
      </c>
      <c r="E797" s="807" t="s">
        <v>113</v>
      </c>
      <c r="F797" s="538">
        <v>1.1499999999999999</v>
      </c>
      <c r="G797" s="539">
        <f>VLOOKUP(D797,upahbahan,3,FALSE)</f>
        <v>0</v>
      </c>
      <c r="H797" s="539">
        <f>F797*G797</f>
        <v>0</v>
      </c>
      <c r="J797" s="536"/>
      <c r="K797" s="824"/>
    </row>
    <row r="798" spans="3:11" ht="25.8" customHeight="1">
      <c r="C798" s="702" t="s">
        <v>1214</v>
      </c>
      <c r="D798" s="208"/>
      <c r="E798" s="208"/>
      <c r="F798" s="208"/>
      <c r="G798" s="209"/>
      <c r="H798" s="539">
        <f>SUM(H797:H797)</f>
        <v>0</v>
      </c>
      <c r="J798" s="536"/>
      <c r="K798" s="824"/>
    </row>
    <row r="799" spans="3:11" ht="25.8" customHeight="1">
      <c r="C799" s="213" t="s">
        <v>1215</v>
      </c>
      <c r="D799" s="212" t="s">
        <v>1216</v>
      </c>
      <c r="E799" s="534"/>
      <c r="F799" s="534"/>
      <c r="G799" s="534"/>
      <c r="H799" s="534"/>
      <c r="J799" s="536"/>
      <c r="K799" s="824"/>
    </row>
    <row r="800" spans="3:11" ht="25.8" customHeight="1">
      <c r="C800" s="702" t="s">
        <v>1217</v>
      </c>
      <c r="D800" s="208"/>
      <c r="E800" s="208"/>
      <c r="F800" s="208"/>
      <c r="G800" s="209"/>
      <c r="H800" s="821">
        <v>0</v>
      </c>
      <c r="J800" s="536"/>
      <c r="K800" s="824"/>
    </row>
    <row r="801" spans="3:11" ht="25.8" customHeight="1">
      <c r="C801" s="566" t="s">
        <v>1218</v>
      </c>
      <c r="D801" s="552" t="s">
        <v>1219</v>
      </c>
      <c r="E801" s="553"/>
      <c r="F801" s="553"/>
      <c r="G801" s="554"/>
      <c r="H801" s="826">
        <f>H800+H798+H795</f>
        <v>85610</v>
      </c>
      <c r="I801" s="827"/>
      <c r="J801" s="536"/>
      <c r="K801" s="824"/>
    </row>
    <row r="802" spans="3:11" ht="25.8" customHeight="1">
      <c r="C802" s="566" t="s">
        <v>1220</v>
      </c>
      <c r="D802" s="552" t="s">
        <v>1321</v>
      </c>
      <c r="E802" s="553"/>
      <c r="F802" s="554"/>
      <c r="G802" s="555">
        <f>$M$9</f>
        <v>0.1</v>
      </c>
      <c r="H802" s="539">
        <f>H801*G802</f>
        <v>8561</v>
      </c>
      <c r="I802" s="827"/>
      <c r="J802" s="536"/>
      <c r="K802" s="824"/>
    </row>
    <row r="803" spans="3:11" ht="25.8" customHeight="1">
      <c r="C803" s="566" t="s">
        <v>1221</v>
      </c>
      <c r="D803" s="552" t="s">
        <v>1222</v>
      </c>
      <c r="E803" s="553"/>
      <c r="F803" s="553"/>
      <c r="G803" s="554"/>
      <c r="H803" s="828">
        <f>SUM(H801:H802)</f>
        <v>94171</v>
      </c>
      <c r="I803" s="827"/>
      <c r="J803" s="536"/>
      <c r="K803" s="824"/>
    </row>
    <row r="804" spans="3:11" ht="25.8" customHeight="1">
      <c r="J804" s="536"/>
      <c r="K804" s="824"/>
    </row>
    <row r="805" spans="3:11" ht="25.8" customHeight="1">
      <c r="C805" s="513" t="s">
        <v>3267</v>
      </c>
      <c r="D805" s="817" t="s">
        <v>1675</v>
      </c>
      <c r="E805" s="803"/>
      <c r="F805" s="803"/>
      <c r="G805" s="803"/>
      <c r="H805" s="803"/>
      <c r="I805" s="533">
        <f>ROUNDDOWN(H820,-2)</f>
        <v>94100</v>
      </c>
      <c r="J805" s="536"/>
      <c r="K805" s="824"/>
    </row>
    <row r="806" spans="3:11" ht="25.8" customHeight="1">
      <c r="C806" s="716" t="s">
        <v>1195</v>
      </c>
      <c r="D806" s="716" t="s">
        <v>1196</v>
      </c>
      <c r="E806" s="716" t="s">
        <v>1197</v>
      </c>
      <c r="F806" s="716" t="s">
        <v>1198</v>
      </c>
      <c r="G806" s="716" t="s">
        <v>1199</v>
      </c>
      <c r="H806" s="716" t="s">
        <v>1200</v>
      </c>
      <c r="J806" s="536"/>
      <c r="K806" s="824"/>
    </row>
    <row r="807" spans="3:11" ht="25.8" customHeight="1">
      <c r="C807" s="212" t="s">
        <v>1201</v>
      </c>
      <c r="D807" s="212" t="s">
        <v>1202</v>
      </c>
      <c r="E807" s="534"/>
      <c r="F807" s="534"/>
      <c r="G807" s="534"/>
      <c r="H807" s="534"/>
      <c r="J807" s="536"/>
      <c r="K807" s="824"/>
    </row>
    <row r="808" spans="3:11" ht="25.8" customHeight="1">
      <c r="C808" s="825">
        <v>1</v>
      </c>
      <c r="D808" s="212" t="s">
        <v>5</v>
      </c>
      <c r="E808" s="212" t="s">
        <v>6</v>
      </c>
      <c r="F808" s="538">
        <v>0.23799999999999999</v>
      </c>
      <c r="G808" s="539">
        <f>VLOOKUP(D808,upahbahan,3,FALSE)</f>
        <v>100000</v>
      </c>
      <c r="H808" s="539">
        <f t="shared" ref="H808:H811" si="81">F808*G808</f>
        <v>23800</v>
      </c>
      <c r="J808" s="536"/>
      <c r="K808" s="824"/>
    </row>
    <row r="809" spans="3:11" ht="25.8" customHeight="1">
      <c r="C809" s="825">
        <v>2</v>
      </c>
      <c r="D809" s="212" t="str">
        <f>D792</f>
        <v>Tukang listrik</v>
      </c>
      <c r="E809" s="212" t="s">
        <v>6</v>
      </c>
      <c r="F809" s="538">
        <v>0.39800000000000002</v>
      </c>
      <c r="G809" s="539">
        <f>VLOOKUP(D809,upahbahan,3,FALSE)</f>
        <v>135000</v>
      </c>
      <c r="H809" s="539">
        <f t="shared" si="81"/>
        <v>53730</v>
      </c>
      <c r="J809" s="536"/>
      <c r="K809" s="824"/>
    </row>
    <row r="810" spans="3:11" ht="25.8" customHeight="1">
      <c r="C810" s="825">
        <v>3</v>
      </c>
      <c r="D810" s="212" t="s">
        <v>18</v>
      </c>
      <c r="E810" s="212" t="s">
        <v>6</v>
      </c>
      <c r="F810" s="538">
        <v>0.04</v>
      </c>
      <c r="G810" s="539">
        <f>VLOOKUP(D810,upahbahan,3,FALSE)</f>
        <v>150000</v>
      </c>
      <c r="H810" s="539">
        <f t="shared" si="81"/>
        <v>6000</v>
      </c>
      <c r="J810" s="536"/>
      <c r="K810" s="824"/>
    </row>
    <row r="811" spans="3:11" ht="25.8" customHeight="1">
      <c r="C811" s="825">
        <v>4</v>
      </c>
      <c r="D811" s="212" t="s">
        <v>19</v>
      </c>
      <c r="E811" s="212" t="s">
        <v>6</v>
      </c>
      <c r="F811" s="538">
        <v>1.2999999999999999E-2</v>
      </c>
      <c r="G811" s="539">
        <f>VLOOKUP(D811,upahbahan,3,FALSE)</f>
        <v>160000</v>
      </c>
      <c r="H811" s="539">
        <f t="shared" si="81"/>
        <v>2080</v>
      </c>
      <c r="J811" s="536"/>
      <c r="K811" s="824"/>
    </row>
    <row r="812" spans="3:11" ht="25.8" customHeight="1">
      <c r="C812" s="702" t="s">
        <v>1208</v>
      </c>
      <c r="D812" s="208"/>
      <c r="E812" s="208"/>
      <c r="F812" s="811"/>
      <c r="G812" s="522"/>
      <c r="H812" s="539">
        <f>SUM(H808:H811)</f>
        <v>85610</v>
      </c>
      <c r="I812" s="819"/>
      <c r="J812" s="536"/>
      <c r="K812" s="824"/>
    </row>
    <row r="813" spans="3:11" ht="25.8" customHeight="1">
      <c r="C813" s="212" t="s">
        <v>1209</v>
      </c>
      <c r="D813" s="212" t="s">
        <v>1210</v>
      </c>
      <c r="E813" s="534"/>
      <c r="F813" s="831"/>
      <c r="G813" s="534"/>
      <c r="H813" s="534"/>
      <c r="J813" s="536"/>
      <c r="K813" s="824"/>
    </row>
    <row r="814" spans="3:11" ht="25.8" customHeight="1">
      <c r="C814" s="825">
        <v>1</v>
      </c>
      <c r="D814" s="820" t="s">
        <v>944</v>
      </c>
      <c r="E814" s="807" t="s">
        <v>113</v>
      </c>
      <c r="F814" s="538">
        <v>1.1499999999999999</v>
      </c>
      <c r="G814" s="539">
        <f>VLOOKUP(D814,upahbahan,3,FALSE)</f>
        <v>0</v>
      </c>
      <c r="H814" s="539">
        <f t="shared" ref="H814" si="82">F814*G814</f>
        <v>0</v>
      </c>
      <c r="J814" s="536"/>
      <c r="K814" s="824"/>
    </row>
    <row r="815" spans="3:11" ht="25.8" customHeight="1">
      <c r="C815" s="702" t="s">
        <v>1214</v>
      </c>
      <c r="D815" s="208"/>
      <c r="E815" s="208"/>
      <c r="F815" s="208"/>
      <c r="G815" s="209"/>
      <c r="H815" s="539">
        <f>SUM(H814:H814)</f>
        <v>0</v>
      </c>
      <c r="J815" s="536"/>
      <c r="K815" s="824"/>
    </row>
    <row r="816" spans="3:11" ht="25.8" customHeight="1">
      <c r="C816" s="213" t="s">
        <v>1215</v>
      </c>
      <c r="D816" s="212" t="s">
        <v>1216</v>
      </c>
      <c r="E816" s="534"/>
      <c r="F816" s="534"/>
      <c r="G816" s="534"/>
      <c r="H816" s="534"/>
      <c r="J816" s="536"/>
      <c r="K816" s="824"/>
    </row>
    <row r="817" spans="3:11" ht="25.8" customHeight="1">
      <c r="C817" s="702" t="s">
        <v>1217</v>
      </c>
      <c r="D817" s="208"/>
      <c r="E817" s="208"/>
      <c r="F817" s="208"/>
      <c r="G817" s="209"/>
      <c r="H817" s="821">
        <v>0</v>
      </c>
      <c r="J817" s="536"/>
      <c r="K817" s="824"/>
    </row>
    <row r="818" spans="3:11" ht="25.8" customHeight="1">
      <c r="C818" s="566" t="s">
        <v>1218</v>
      </c>
      <c r="D818" s="552" t="s">
        <v>1219</v>
      </c>
      <c r="E818" s="553"/>
      <c r="F818" s="553"/>
      <c r="G818" s="554"/>
      <c r="H818" s="826">
        <f>H817+H815+H812</f>
        <v>85610</v>
      </c>
      <c r="I818" s="827"/>
      <c r="J818" s="536"/>
      <c r="K818" s="824"/>
    </row>
    <row r="819" spans="3:11" ht="25.8" customHeight="1">
      <c r="C819" s="566" t="s">
        <v>1220</v>
      </c>
      <c r="D819" s="552" t="s">
        <v>1321</v>
      </c>
      <c r="E819" s="553"/>
      <c r="F819" s="554"/>
      <c r="G819" s="555">
        <f>$M$9</f>
        <v>0.1</v>
      </c>
      <c r="H819" s="539">
        <f>H818*G819</f>
        <v>8561</v>
      </c>
      <c r="I819" s="827"/>
      <c r="J819" s="536"/>
      <c r="K819" s="824"/>
    </row>
    <row r="820" spans="3:11" ht="25.8" customHeight="1">
      <c r="C820" s="566" t="s">
        <v>1221</v>
      </c>
      <c r="D820" s="552" t="s">
        <v>1222</v>
      </c>
      <c r="E820" s="553"/>
      <c r="F820" s="553"/>
      <c r="G820" s="554"/>
      <c r="H820" s="828">
        <f>SUM(H818:H819)</f>
        <v>94171</v>
      </c>
      <c r="I820" s="827"/>
      <c r="J820" s="536"/>
      <c r="K820" s="824"/>
    </row>
    <row r="821" spans="3:11" ht="25.8" customHeight="1">
      <c r="J821" s="536"/>
      <c r="K821" s="824"/>
    </row>
    <row r="822" spans="3:11" ht="25.8" customHeight="1">
      <c r="C822" s="571" t="s">
        <v>3268</v>
      </c>
      <c r="D822" s="571" t="s">
        <v>3269</v>
      </c>
      <c r="J822" s="536"/>
      <c r="K822" s="824"/>
    </row>
    <row r="823" spans="3:11" ht="25.8" customHeight="1">
      <c r="C823" s="513" t="s">
        <v>3270</v>
      </c>
      <c r="D823" s="817" t="s">
        <v>1676</v>
      </c>
      <c r="E823" s="803"/>
      <c r="F823" s="803"/>
      <c r="G823" s="803"/>
      <c r="H823" s="803"/>
      <c r="I823" s="533">
        <f>ROUNDDOWN(H838,-2)</f>
        <v>8800</v>
      </c>
      <c r="J823" s="536"/>
      <c r="K823" s="824"/>
    </row>
    <row r="824" spans="3:11" ht="25.8" customHeight="1">
      <c r="C824" s="716" t="s">
        <v>1195</v>
      </c>
      <c r="D824" s="716" t="s">
        <v>1196</v>
      </c>
      <c r="E824" s="716" t="s">
        <v>1197</v>
      </c>
      <c r="F824" s="716" t="s">
        <v>1198</v>
      </c>
      <c r="G824" s="716" t="s">
        <v>1199</v>
      </c>
      <c r="H824" s="716" t="s">
        <v>1200</v>
      </c>
      <c r="J824" s="536"/>
      <c r="K824" s="824"/>
    </row>
    <row r="825" spans="3:11" ht="25.8" customHeight="1">
      <c r="C825" s="213" t="s">
        <v>1201</v>
      </c>
      <c r="D825" s="212" t="s">
        <v>1202</v>
      </c>
      <c r="E825" s="534"/>
      <c r="F825" s="534"/>
      <c r="G825" s="534"/>
      <c r="H825" s="534"/>
      <c r="J825" s="536"/>
      <c r="K825" s="824"/>
    </row>
    <row r="826" spans="3:11" ht="25.8" customHeight="1">
      <c r="C826" s="818">
        <v>1</v>
      </c>
      <c r="D826" s="212" t="s">
        <v>5</v>
      </c>
      <c r="E826" s="212" t="s">
        <v>6</v>
      </c>
      <c r="F826" s="538">
        <v>1.2E-2</v>
      </c>
      <c r="G826" s="539">
        <f>VLOOKUP(D826,upahbahan,3,FALSE)</f>
        <v>100000</v>
      </c>
      <c r="H826" s="539">
        <f>F826*G826</f>
        <v>1200</v>
      </c>
      <c r="J826" s="536"/>
      <c r="K826" s="824"/>
    </row>
    <row r="827" spans="3:11" ht="25.8" customHeight="1">
      <c r="C827" s="818">
        <v>2</v>
      </c>
      <c r="D827" s="212" t="str">
        <f>D809</f>
        <v>Tukang listrik</v>
      </c>
      <c r="E827" s="212" t="s">
        <v>6</v>
      </c>
      <c r="F827" s="538">
        <v>0.02</v>
      </c>
      <c r="G827" s="539">
        <f>VLOOKUP(D827,upahbahan,3,FALSE)</f>
        <v>135000</v>
      </c>
      <c r="H827" s="539">
        <f t="shared" ref="H827:H829" si="83">F827*G827</f>
        <v>2700</v>
      </c>
      <c r="J827" s="536"/>
      <c r="K827" s="824"/>
    </row>
    <row r="828" spans="3:11" ht="25.8" customHeight="1">
      <c r="C828" s="818">
        <v>3</v>
      </c>
      <c r="D828" s="212" t="s">
        <v>18</v>
      </c>
      <c r="E828" s="212" t="s">
        <v>6</v>
      </c>
      <c r="F828" s="538">
        <v>2E-3</v>
      </c>
      <c r="G828" s="539">
        <f>VLOOKUP(D828,upahbahan,3,FALSE)</f>
        <v>150000</v>
      </c>
      <c r="H828" s="539">
        <f t="shared" si="83"/>
        <v>300</v>
      </c>
      <c r="J828" s="536"/>
      <c r="K828" s="824"/>
    </row>
    <row r="829" spans="3:11" ht="25.8" customHeight="1">
      <c r="C829" s="818">
        <v>4</v>
      </c>
      <c r="D829" s="212" t="s">
        <v>19</v>
      </c>
      <c r="E829" s="212" t="s">
        <v>6</v>
      </c>
      <c r="F829" s="538">
        <v>1E-3</v>
      </c>
      <c r="G829" s="539">
        <f>VLOOKUP(D829,upahbahan,3,FALSE)</f>
        <v>160000</v>
      </c>
      <c r="H829" s="539">
        <f t="shared" si="83"/>
        <v>160</v>
      </c>
      <c r="J829" s="536"/>
      <c r="K829" s="824"/>
    </row>
    <row r="830" spans="3:11" ht="25.8" customHeight="1">
      <c r="C830" s="702" t="s">
        <v>1208</v>
      </c>
      <c r="D830" s="208"/>
      <c r="E830" s="208"/>
      <c r="F830" s="811"/>
      <c r="G830" s="522"/>
      <c r="H830" s="539">
        <f>SUM(H826:H829)</f>
        <v>4360</v>
      </c>
      <c r="I830" s="819"/>
      <c r="J830" s="536"/>
      <c r="K830" s="824"/>
    </row>
    <row r="831" spans="3:11" ht="25.8" customHeight="1">
      <c r="C831" s="213" t="s">
        <v>1209</v>
      </c>
      <c r="D831" s="212" t="s">
        <v>1210</v>
      </c>
      <c r="E831" s="534"/>
      <c r="F831" s="831"/>
      <c r="G831" s="534"/>
      <c r="H831" s="534"/>
      <c r="J831" s="536"/>
      <c r="K831" s="824"/>
    </row>
    <row r="832" spans="3:11" ht="25.8" customHeight="1">
      <c r="C832" s="818">
        <v>1</v>
      </c>
      <c r="D832" s="820" t="s">
        <v>846</v>
      </c>
      <c r="E832" s="807" t="s">
        <v>113</v>
      </c>
      <c r="F832" s="538">
        <v>1.1499999999999999</v>
      </c>
      <c r="G832" s="539">
        <f>VLOOKUP(D832,upahbahan,3,FALSE)</f>
        <v>3200</v>
      </c>
      <c r="H832" s="539">
        <f t="shared" ref="H832" si="84">F832*G832</f>
        <v>3679.9999999999995</v>
      </c>
      <c r="J832" s="536"/>
      <c r="K832" s="824"/>
    </row>
    <row r="833" spans="3:11" ht="25.8" customHeight="1">
      <c r="C833" s="702" t="s">
        <v>1214</v>
      </c>
      <c r="D833" s="208"/>
      <c r="E833" s="208"/>
      <c r="F833" s="208"/>
      <c r="G833" s="209"/>
      <c r="H833" s="539">
        <f>SUM(H832:H832)</f>
        <v>3679.9999999999995</v>
      </c>
      <c r="J833" s="536"/>
      <c r="K833" s="824"/>
    </row>
    <row r="834" spans="3:11" ht="25.8" customHeight="1">
      <c r="C834" s="213" t="s">
        <v>1215</v>
      </c>
      <c r="D834" s="212" t="s">
        <v>1216</v>
      </c>
      <c r="E834" s="534"/>
      <c r="F834" s="534"/>
      <c r="G834" s="534"/>
      <c r="H834" s="534"/>
      <c r="J834" s="536"/>
      <c r="K834" s="824"/>
    </row>
    <row r="835" spans="3:11" ht="25.8" customHeight="1">
      <c r="C835" s="702" t="s">
        <v>1217</v>
      </c>
      <c r="D835" s="208"/>
      <c r="E835" s="208"/>
      <c r="F835" s="208"/>
      <c r="G835" s="209"/>
      <c r="H835" s="821">
        <v>0</v>
      </c>
      <c r="J835" s="536"/>
      <c r="K835" s="824"/>
    </row>
    <row r="836" spans="3:11" ht="25.8" customHeight="1">
      <c r="C836" s="566" t="s">
        <v>1218</v>
      </c>
      <c r="D836" s="552" t="s">
        <v>1219</v>
      </c>
      <c r="E836" s="553"/>
      <c r="F836" s="553"/>
      <c r="G836" s="554"/>
      <c r="H836" s="826">
        <f>H835+H833+H830</f>
        <v>8040</v>
      </c>
      <c r="I836" s="827"/>
      <c r="J836" s="536"/>
      <c r="K836" s="824"/>
    </row>
    <row r="837" spans="3:11" ht="25.8" customHeight="1">
      <c r="C837" s="566" t="s">
        <v>1220</v>
      </c>
      <c r="D837" s="552" t="s">
        <v>1321</v>
      </c>
      <c r="E837" s="553"/>
      <c r="F837" s="554"/>
      <c r="G837" s="555">
        <f>$M$9</f>
        <v>0.1</v>
      </c>
      <c r="H837" s="539">
        <f>H836*G837</f>
        <v>804</v>
      </c>
      <c r="I837" s="827"/>
      <c r="J837" s="536"/>
      <c r="K837" s="824"/>
    </row>
    <row r="838" spans="3:11" ht="25.8" customHeight="1">
      <c r="C838" s="566" t="s">
        <v>1221</v>
      </c>
      <c r="D838" s="552" t="s">
        <v>1222</v>
      </c>
      <c r="E838" s="553"/>
      <c r="F838" s="553"/>
      <c r="G838" s="554"/>
      <c r="H838" s="828">
        <f>SUM(H836:H837)</f>
        <v>8844</v>
      </c>
      <c r="I838" s="827"/>
      <c r="J838" s="536"/>
      <c r="K838" s="824"/>
    </row>
    <row r="839" spans="3:11" ht="25.8" customHeight="1">
      <c r="J839" s="536"/>
      <c r="K839" s="824"/>
    </row>
    <row r="840" spans="3:11" ht="25.8" customHeight="1">
      <c r="C840" s="513" t="s">
        <v>3271</v>
      </c>
      <c r="D840" s="817" t="s">
        <v>1677</v>
      </c>
      <c r="E840" s="803"/>
      <c r="F840" s="803"/>
      <c r="G840" s="803"/>
      <c r="H840" s="803"/>
      <c r="I840" s="533">
        <f>ROUNDDOWN(H855,-2)</f>
        <v>11500</v>
      </c>
      <c r="J840" s="536"/>
      <c r="K840" s="824"/>
    </row>
    <row r="841" spans="3:11" ht="25.8" customHeight="1">
      <c r="C841" s="716" t="s">
        <v>1195</v>
      </c>
      <c r="D841" s="716" t="s">
        <v>1196</v>
      </c>
      <c r="E841" s="716" t="s">
        <v>1197</v>
      </c>
      <c r="F841" s="716" t="s">
        <v>1198</v>
      </c>
      <c r="G841" s="716" t="s">
        <v>1199</v>
      </c>
      <c r="H841" s="716" t="s">
        <v>1200</v>
      </c>
      <c r="J841" s="536"/>
      <c r="K841" s="824"/>
    </row>
    <row r="842" spans="3:11" ht="25.8" customHeight="1">
      <c r="C842" s="212" t="s">
        <v>1201</v>
      </c>
      <c r="D842" s="212" t="s">
        <v>1202</v>
      </c>
      <c r="E842" s="534"/>
      <c r="F842" s="534"/>
      <c r="G842" s="534"/>
      <c r="H842" s="534"/>
      <c r="J842" s="536"/>
      <c r="K842" s="824"/>
    </row>
    <row r="843" spans="3:11" ht="25.8" customHeight="1">
      <c r="C843" s="825">
        <v>1</v>
      </c>
      <c r="D843" s="212" t="s">
        <v>5</v>
      </c>
      <c r="E843" s="212" t="s">
        <v>6</v>
      </c>
      <c r="F843" s="538">
        <v>1.2E-2</v>
      </c>
      <c r="G843" s="539">
        <f>VLOOKUP(D843,upahbahan,3,FALSE)</f>
        <v>100000</v>
      </c>
      <c r="H843" s="539">
        <f>F843*G843</f>
        <v>1200</v>
      </c>
      <c r="J843" s="536"/>
      <c r="K843" s="824"/>
    </row>
    <row r="844" spans="3:11" ht="25.8" customHeight="1">
      <c r="C844" s="825">
        <v>2</v>
      </c>
      <c r="D844" s="212" t="str">
        <f>D827</f>
        <v>Tukang listrik</v>
      </c>
      <c r="E844" s="212" t="s">
        <v>6</v>
      </c>
      <c r="F844" s="538">
        <v>0.02</v>
      </c>
      <c r="G844" s="539">
        <f>VLOOKUP(D844,upahbahan,3,FALSE)</f>
        <v>135000</v>
      </c>
      <c r="H844" s="539">
        <f t="shared" ref="H844:H846" si="85">F844*G844</f>
        <v>2700</v>
      </c>
      <c r="J844" s="536"/>
      <c r="K844" s="824"/>
    </row>
    <row r="845" spans="3:11" ht="25.8" customHeight="1">
      <c r="C845" s="825">
        <v>3</v>
      </c>
      <c r="D845" s="212" t="s">
        <v>18</v>
      </c>
      <c r="E845" s="212" t="s">
        <v>6</v>
      </c>
      <c r="F845" s="538">
        <v>2E-3</v>
      </c>
      <c r="G845" s="539">
        <f>VLOOKUP(D845,upahbahan,3,FALSE)</f>
        <v>150000</v>
      </c>
      <c r="H845" s="539">
        <f t="shared" si="85"/>
        <v>300</v>
      </c>
      <c r="J845" s="536"/>
      <c r="K845" s="824"/>
    </row>
    <row r="846" spans="3:11" ht="25.8" customHeight="1">
      <c r="C846" s="825">
        <v>4</v>
      </c>
      <c r="D846" s="212" t="s">
        <v>19</v>
      </c>
      <c r="E846" s="212" t="s">
        <v>6</v>
      </c>
      <c r="F846" s="538">
        <v>1E-3</v>
      </c>
      <c r="G846" s="539">
        <f>VLOOKUP(D846,upahbahan,3,FALSE)</f>
        <v>160000</v>
      </c>
      <c r="H846" s="539">
        <f t="shared" si="85"/>
        <v>160</v>
      </c>
      <c r="J846" s="536"/>
      <c r="K846" s="824"/>
    </row>
    <row r="847" spans="3:11" ht="25.8" customHeight="1">
      <c r="C847" s="702" t="s">
        <v>1208</v>
      </c>
      <c r="D847" s="208"/>
      <c r="E847" s="208"/>
      <c r="F847" s="811"/>
      <c r="G847" s="522"/>
      <c r="H847" s="539">
        <f>SUM(H843:H846)</f>
        <v>4360</v>
      </c>
      <c r="I847" s="819"/>
      <c r="J847" s="536"/>
      <c r="K847" s="824"/>
    </row>
    <row r="848" spans="3:11" ht="25.8" customHeight="1">
      <c r="C848" s="212" t="s">
        <v>1209</v>
      </c>
      <c r="D848" s="212" t="s">
        <v>1210</v>
      </c>
      <c r="E848" s="534"/>
      <c r="F848" s="831"/>
      <c r="G848" s="534"/>
      <c r="H848" s="534"/>
      <c r="J848" s="536"/>
      <c r="K848" s="824"/>
    </row>
    <row r="849" spans="3:11" ht="25.8" customHeight="1">
      <c r="C849" s="825">
        <v>1</v>
      </c>
      <c r="D849" s="820" t="s">
        <v>849</v>
      </c>
      <c r="E849" s="807" t="s">
        <v>113</v>
      </c>
      <c r="F849" s="538">
        <v>1.1499999999999999</v>
      </c>
      <c r="G849" s="539">
        <f>VLOOKUP(D849,upahbahan,3,FALSE)</f>
        <v>5300</v>
      </c>
      <c r="H849" s="539">
        <f t="shared" ref="H849" si="86">F849*G849</f>
        <v>6094.9999999999991</v>
      </c>
      <c r="J849" s="536"/>
      <c r="K849" s="824"/>
    </row>
    <row r="850" spans="3:11" ht="25.8" customHeight="1">
      <c r="C850" s="702" t="s">
        <v>1214</v>
      </c>
      <c r="D850" s="208"/>
      <c r="E850" s="208"/>
      <c r="F850" s="208"/>
      <c r="G850" s="209"/>
      <c r="H850" s="539">
        <f>SUM(H849:H849)</f>
        <v>6094.9999999999991</v>
      </c>
      <c r="J850" s="536"/>
      <c r="K850" s="824"/>
    </row>
    <row r="851" spans="3:11" ht="25.8" customHeight="1">
      <c r="C851" s="213" t="s">
        <v>1215</v>
      </c>
      <c r="D851" s="212" t="s">
        <v>1216</v>
      </c>
      <c r="E851" s="534"/>
      <c r="F851" s="534"/>
      <c r="G851" s="534"/>
      <c r="H851" s="534"/>
      <c r="J851" s="536"/>
      <c r="K851" s="824"/>
    </row>
    <row r="852" spans="3:11" ht="25.8" customHeight="1">
      <c r="C852" s="702" t="s">
        <v>1217</v>
      </c>
      <c r="D852" s="208"/>
      <c r="E852" s="208"/>
      <c r="F852" s="208"/>
      <c r="G852" s="209"/>
      <c r="H852" s="821">
        <v>0</v>
      </c>
      <c r="J852" s="536"/>
      <c r="K852" s="824"/>
    </row>
    <row r="853" spans="3:11" ht="25.8" customHeight="1">
      <c r="C853" s="566" t="s">
        <v>1218</v>
      </c>
      <c r="D853" s="552" t="s">
        <v>1219</v>
      </c>
      <c r="E853" s="553"/>
      <c r="F853" s="553"/>
      <c r="G853" s="554"/>
      <c r="H853" s="826">
        <f>H852+H850+H847</f>
        <v>10455</v>
      </c>
      <c r="I853" s="827"/>
      <c r="J853" s="536"/>
      <c r="K853" s="824"/>
    </row>
    <row r="854" spans="3:11" ht="25.8" customHeight="1">
      <c r="C854" s="566" t="s">
        <v>1220</v>
      </c>
      <c r="D854" s="552" t="s">
        <v>1321</v>
      </c>
      <c r="E854" s="553"/>
      <c r="F854" s="554"/>
      <c r="G854" s="555">
        <f>$M$9</f>
        <v>0.1</v>
      </c>
      <c r="H854" s="539">
        <f>H853*G854</f>
        <v>1045.5</v>
      </c>
      <c r="I854" s="827"/>
      <c r="J854" s="536"/>
      <c r="K854" s="824"/>
    </row>
    <row r="855" spans="3:11" ht="25.8" customHeight="1">
      <c r="C855" s="566" t="s">
        <v>1221</v>
      </c>
      <c r="D855" s="552" t="s">
        <v>1222</v>
      </c>
      <c r="E855" s="553"/>
      <c r="F855" s="553"/>
      <c r="G855" s="554"/>
      <c r="H855" s="828">
        <f>SUM(H853:H854)</f>
        <v>11500.5</v>
      </c>
      <c r="I855" s="827"/>
      <c r="J855" s="536"/>
      <c r="K855" s="824"/>
    </row>
    <row r="856" spans="3:11" ht="25.8" customHeight="1">
      <c r="J856" s="536"/>
      <c r="K856" s="824"/>
    </row>
    <row r="857" spans="3:11" ht="25.8" customHeight="1">
      <c r="C857" s="513" t="s">
        <v>3272</v>
      </c>
      <c r="D857" s="817" t="s">
        <v>1678</v>
      </c>
      <c r="E857" s="803"/>
      <c r="F857" s="803"/>
      <c r="G857" s="803"/>
      <c r="H857" s="803"/>
      <c r="I857" s="533">
        <f>ROUNDDOWN(H872,-2)</f>
        <v>18000</v>
      </c>
      <c r="J857" s="536"/>
      <c r="K857" s="824"/>
    </row>
    <row r="858" spans="3:11" ht="25.8" customHeight="1">
      <c r="C858" s="716" t="s">
        <v>1195</v>
      </c>
      <c r="D858" s="716" t="s">
        <v>1196</v>
      </c>
      <c r="E858" s="716" t="s">
        <v>1197</v>
      </c>
      <c r="F858" s="716" t="s">
        <v>1198</v>
      </c>
      <c r="G858" s="716" t="s">
        <v>1199</v>
      </c>
      <c r="H858" s="716" t="s">
        <v>1200</v>
      </c>
      <c r="J858" s="536"/>
      <c r="K858" s="824"/>
    </row>
    <row r="859" spans="3:11" ht="25.8" customHeight="1">
      <c r="C859" s="212" t="s">
        <v>1201</v>
      </c>
      <c r="D859" s="212" t="s">
        <v>1202</v>
      </c>
      <c r="E859" s="534"/>
      <c r="F859" s="534"/>
      <c r="G859" s="534"/>
      <c r="H859" s="534"/>
      <c r="J859" s="536"/>
      <c r="K859" s="824"/>
    </row>
    <row r="860" spans="3:11" ht="25.8" customHeight="1">
      <c r="C860" s="825">
        <v>1</v>
      </c>
      <c r="D860" s="212" t="s">
        <v>5</v>
      </c>
      <c r="E860" s="212" t="s">
        <v>6</v>
      </c>
      <c r="F860" s="829">
        <v>1.9E-2</v>
      </c>
      <c r="G860" s="539">
        <f>VLOOKUP(D860,upahbahan,3,FALSE)</f>
        <v>100000</v>
      </c>
      <c r="H860" s="539">
        <f t="shared" ref="H860:H863" si="87">F860*G860</f>
        <v>1900</v>
      </c>
      <c r="J860" s="536"/>
      <c r="K860" s="824"/>
    </row>
    <row r="861" spans="3:11" ht="25.8" customHeight="1">
      <c r="C861" s="825">
        <v>2</v>
      </c>
      <c r="D861" s="212" t="str">
        <f>D844</f>
        <v>Tukang listrik</v>
      </c>
      <c r="E861" s="212" t="s">
        <v>6</v>
      </c>
      <c r="F861" s="829">
        <v>3.2000000000000001E-2</v>
      </c>
      <c r="G861" s="539">
        <f>VLOOKUP(D861,upahbahan,3,FALSE)</f>
        <v>135000</v>
      </c>
      <c r="H861" s="539">
        <f t="shared" si="87"/>
        <v>4320</v>
      </c>
      <c r="J861" s="536"/>
      <c r="K861" s="824"/>
    </row>
    <row r="862" spans="3:11" ht="25.8" customHeight="1">
      <c r="C862" s="825">
        <v>3</v>
      </c>
      <c r="D862" s="212" t="s">
        <v>18</v>
      </c>
      <c r="E862" s="212" t="s">
        <v>6</v>
      </c>
      <c r="F862" s="829">
        <v>3.0000000000000001E-3</v>
      </c>
      <c r="G862" s="539">
        <f>VLOOKUP(D862,upahbahan,3,FALSE)</f>
        <v>150000</v>
      </c>
      <c r="H862" s="539">
        <f t="shared" si="87"/>
        <v>450</v>
      </c>
      <c r="J862" s="536"/>
      <c r="K862" s="824"/>
    </row>
    <row r="863" spans="3:11" ht="25.8" customHeight="1">
      <c r="C863" s="825">
        <v>4</v>
      </c>
      <c r="D863" s="212" t="s">
        <v>19</v>
      </c>
      <c r="E863" s="212" t="s">
        <v>6</v>
      </c>
      <c r="F863" s="829">
        <v>1E-3</v>
      </c>
      <c r="G863" s="539">
        <f>VLOOKUP(D863,upahbahan,3,FALSE)</f>
        <v>160000</v>
      </c>
      <c r="H863" s="539">
        <f t="shared" si="87"/>
        <v>160</v>
      </c>
      <c r="J863" s="536"/>
      <c r="K863" s="824"/>
    </row>
    <row r="864" spans="3:11" ht="25.8" customHeight="1">
      <c r="C864" s="702" t="s">
        <v>1208</v>
      </c>
      <c r="D864" s="208"/>
      <c r="E864" s="208"/>
      <c r="F864" s="811"/>
      <c r="G864" s="522"/>
      <c r="H864" s="539">
        <f>SUM(H860:H863)</f>
        <v>6830</v>
      </c>
      <c r="I864" s="819"/>
      <c r="J864" s="536"/>
      <c r="K864" s="824"/>
    </row>
    <row r="865" spans="3:11" ht="25.8" customHeight="1">
      <c r="C865" s="212" t="s">
        <v>1209</v>
      </c>
      <c r="D865" s="212" t="s">
        <v>1210</v>
      </c>
      <c r="E865" s="534"/>
      <c r="F865" s="831"/>
      <c r="G865" s="534"/>
      <c r="H865" s="534"/>
      <c r="J865" s="536"/>
      <c r="K865" s="824"/>
    </row>
    <row r="866" spans="3:11" ht="25.8" customHeight="1">
      <c r="C866" s="825">
        <v>1</v>
      </c>
      <c r="D866" s="820" t="s">
        <v>850</v>
      </c>
      <c r="E866" s="807" t="s">
        <v>113</v>
      </c>
      <c r="F866" s="538">
        <v>1.1499999999999999</v>
      </c>
      <c r="G866" s="539">
        <f>VLOOKUP(D866,upahbahan,3,FALSE)</f>
        <v>8300</v>
      </c>
      <c r="H866" s="539">
        <f t="shared" ref="H866" si="88">F866*G866</f>
        <v>9545</v>
      </c>
      <c r="J866" s="536"/>
      <c r="K866" s="824"/>
    </row>
    <row r="867" spans="3:11" ht="25.8" customHeight="1">
      <c r="C867" s="702" t="s">
        <v>1214</v>
      </c>
      <c r="D867" s="208"/>
      <c r="E867" s="208"/>
      <c r="F867" s="208"/>
      <c r="G867" s="209"/>
      <c r="H867" s="539">
        <f>SUM(H866:H866)</f>
        <v>9545</v>
      </c>
      <c r="J867" s="536"/>
      <c r="K867" s="824"/>
    </row>
    <row r="868" spans="3:11" ht="25.8" customHeight="1">
      <c r="C868" s="213" t="s">
        <v>1215</v>
      </c>
      <c r="D868" s="212" t="s">
        <v>1216</v>
      </c>
      <c r="E868" s="534"/>
      <c r="F868" s="534"/>
      <c r="G868" s="534"/>
      <c r="H868" s="534"/>
      <c r="J868" s="536"/>
      <c r="K868" s="824"/>
    </row>
    <row r="869" spans="3:11" ht="25.8" customHeight="1">
      <c r="C869" s="702" t="s">
        <v>1217</v>
      </c>
      <c r="D869" s="208"/>
      <c r="E869" s="208"/>
      <c r="F869" s="208"/>
      <c r="G869" s="209"/>
      <c r="H869" s="821">
        <v>0</v>
      </c>
      <c r="J869" s="536"/>
      <c r="K869" s="824"/>
    </row>
    <row r="870" spans="3:11" ht="25.8" customHeight="1">
      <c r="C870" s="566" t="s">
        <v>1218</v>
      </c>
      <c r="D870" s="552" t="s">
        <v>1219</v>
      </c>
      <c r="E870" s="553"/>
      <c r="F870" s="553"/>
      <c r="G870" s="554"/>
      <c r="H870" s="826">
        <f>H869+H867+H864</f>
        <v>16375</v>
      </c>
      <c r="I870" s="827"/>
      <c r="J870" s="536"/>
      <c r="K870" s="824"/>
    </row>
    <row r="871" spans="3:11" ht="25.8" customHeight="1">
      <c r="C871" s="566" t="s">
        <v>1220</v>
      </c>
      <c r="D871" s="552" t="s">
        <v>1321</v>
      </c>
      <c r="E871" s="553"/>
      <c r="F871" s="554"/>
      <c r="G871" s="555">
        <f>$M$9</f>
        <v>0.1</v>
      </c>
      <c r="H871" s="539">
        <f>H870*G871</f>
        <v>1637.5</v>
      </c>
      <c r="I871" s="827"/>
      <c r="J871" s="536"/>
      <c r="K871" s="824"/>
    </row>
    <row r="872" spans="3:11" ht="25.8" customHeight="1">
      <c r="C872" s="566" t="s">
        <v>1221</v>
      </c>
      <c r="D872" s="552" t="s">
        <v>1222</v>
      </c>
      <c r="E872" s="553"/>
      <c r="F872" s="553"/>
      <c r="G872" s="554"/>
      <c r="H872" s="828">
        <f>SUM(H870:H871)</f>
        <v>18012.5</v>
      </c>
      <c r="I872" s="827"/>
      <c r="J872" s="536"/>
      <c r="K872" s="824"/>
    </row>
    <row r="873" spans="3:11" ht="25.8" customHeight="1">
      <c r="J873" s="536"/>
      <c r="K873" s="824"/>
    </row>
    <row r="874" spans="3:11" ht="25.8" customHeight="1">
      <c r="C874" s="513" t="s">
        <v>3273</v>
      </c>
      <c r="D874" s="817" t="s">
        <v>1679</v>
      </c>
      <c r="E874" s="803"/>
      <c r="F874" s="803"/>
      <c r="G874" s="803"/>
      <c r="H874" s="803"/>
      <c r="I874" s="533">
        <f>ROUNDDOWN(H889,-2)</f>
        <v>22900</v>
      </c>
      <c r="J874" s="536"/>
      <c r="K874" s="824"/>
    </row>
    <row r="875" spans="3:11" ht="25.8" customHeight="1">
      <c r="C875" s="716" t="s">
        <v>1195</v>
      </c>
      <c r="D875" s="716" t="s">
        <v>1196</v>
      </c>
      <c r="E875" s="716" t="s">
        <v>1197</v>
      </c>
      <c r="F875" s="716" t="s">
        <v>1198</v>
      </c>
      <c r="G875" s="716" t="s">
        <v>1199</v>
      </c>
      <c r="H875" s="716" t="s">
        <v>1200</v>
      </c>
      <c r="J875" s="536"/>
      <c r="K875" s="824"/>
    </row>
    <row r="876" spans="3:11" ht="25.8" customHeight="1">
      <c r="C876" s="212" t="s">
        <v>1201</v>
      </c>
      <c r="D876" s="212" t="s">
        <v>1202</v>
      </c>
      <c r="E876" s="534"/>
      <c r="F876" s="534"/>
      <c r="G876" s="534"/>
      <c r="H876" s="534"/>
      <c r="J876" s="536"/>
      <c r="K876" s="824"/>
    </row>
    <row r="877" spans="3:11" ht="25.8" customHeight="1">
      <c r="C877" s="825">
        <v>1</v>
      </c>
      <c r="D877" s="212" t="s">
        <v>5</v>
      </c>
      <c r="E877" s="212" t="s">
        <v>6</v>
      </c>
      <c r="F877" s="829">
        <v>1.9E-2</v>
      </c>
      <c r="G877" s="539">
        <f>VLOOKUP(D877,upahbahan,3,FALSE)</f>
        <v>100000</v>
      </c>
      <c r="H877" s="539">
        <f>F877*G877</f>
        <v>1900</v>
      </c>
      <c r="J877" s="536"/>
      <c r="K877" s="824"/>
    </row>
    <row r="878" spans="3:11" ht="25.8" customHeight="1">
      <c r="C878" s="825">
        <v>2</v>
      </c>
      <c r="D878" s="212" t="str">
        <f>D861</f>
        <v>Tukang listrik</v>
      </c>
      <c r="E878" s="212" t="s">
        <v>6</v>
      </c>
      <c r="F878" s="829">
        <v>3.2000000000000001E-2</v>
      </c>
      <c r="G878" s="539">
        <f>VLOOKUP(D878,upahbahan,3,FALSE)</f>
        <v>135000</v>
      </c>
      <c r="H878" s="539">
        <f t="shared" ref="H878:H880" si="89">F878*G878</f>
        <v>4320</v>
      </c>
      <c r="J878" s="536"/>
      <c r="K878" s="824"/>
    </row>
    <row r="879" spans="3:11" ht="25.8" customHeight="1">
      <c r="C879" s="825">
        <v>3</v>
      </c>
      <c r="D879" s="212" t="s">
        <v>18</v>
      </c>
      <c r="E879" s="212" t="s">
        <v>6</v>
      </c>
      <c r="F879" s="829">
        <v>3.0000000000000001E-3</v>
      </c>
      <c r="G879" s="539">
        <f>VLOOKUP(D879,upahbahan,3,FALSE)</f>
        <v>150000</v>
      </c>
      <c r="H879" s="539">
        <f t="shared" si="89"/>
        <v>450</v>
      </c>
      <c r="J879" s="536"/>
      <c r="K879" s="824"/>
    </row>
    <row r="880" spans="3:11" ht="25.8" customHeight="1">
      <c r="C880" s="825">
        <v>4</v>
      </c>
      <c r="D880" s="212" t="s">
        <v>19</v>
      </c>
      <c r="E880" s="212" t="s">
        <v>6</v>
      </c>
      <c r="F880" s="829">
        <v>1E-3</v>
      </c>
      <c r="G880" s="539">
        <f>VLOOKUP(D880,upahbahan,3,FALSE)</f>
        <v>160000</v>
      </c>
      <c r="H880" s="539">
        <f t="shared" si="89"/>
        <v>160</v>
      </c>
      <c r="J880" s="536"/>
      <c r="K880" s="824"/>
    </row>
    <row r="881" spans="3:11" ht="25.8" customHeight="1">
      <c r="C881" s="702" t="s">
        <v>1208</v>
      </c>
      <c r="D881" s="208"/>
      <c r="E881" s="208"/>
      <c r="F881" s="811"/>
      <c r="G881" s="522"/>
      <c r="H881" s="539">
        <f>SUM(H877:H880)</f>
        <v>6830</v>
      </c>
      <c r="I881" s="819"/>
      <c r="J881" s="536"/>
      <c r="K881" s="824"/>
    </row>
    <row r="882" spans="3:11" ht="25.8" customHeight="1">
      <c r="C882" s="212" t="s">
        <v>1209</v>
      </c>
      <c r="D882" s="212" t="s">
        <v>1210</v>
      </c>
      <c r="E882" s="534"/>
      <c r="F882" s="831"/>
      <c r="G882" s="534"/>
      <c r="H882" s="534"/>
      <c r="J882" s="536"/>
      <c r="K882" s="824"/>
    </row>
    <row r="883" spans="3:11" ht="25.8" customHeight="1">
      <c r="C883" s="825">
        <v>1</v>
      </c>
      <c r="D883" s="820" t="s">
        <v>851</v>
      </c>
      <c r="E883" s="807" t="s">
        <v>113</v>
      </c>
      <c r="F883" s="538">
        <v>1.1499999999999999</v>
      </c>
      <c r="G883" s="539">
        <f>VLOOKUP(D883,upahbahan,3,FALSE)</f>
        <v>12200</v>
      </c>
      <c r="H883" s="539">
        <f>F883*G883</f>
        <v>14029.999999999998</v>
      </c>
      <c r="J883" s="536"/>
      <c r="K883" s="824"/>
    </row>
    <row r="884" spans="3:11" ht="25.8" customHeight="1">
      <c r="C884" s="702" t="s">
        <v>1214</v>
      </c>
      <c r="D884" s="208"/>
      <c r="E884" s="208"/>
      <c r="F884" s="208"/>
      <c r="G884" s="209"/>
      <c r="H884" s="539">
        <f>SUM(H883:H883)</f>
        <v>14029.999999999998</v>
      </c>
      <c r="J884" s="536"/>
      <c r="K884" s="824"/>
    </row>
    <row r="885" spans="3:11" ht="25.8" customHeight="1">
      <c r="C885" s="213" t="s">
        <v>1215</v>
      </c>
      <c r="D885" s="212" t="s">
        <v>1216</v>
      </c>
      <c r="E885" s="534"/>
      <c r="F885" s="534"/>
      <c r="G885" s="534"/>
      <c r="H885" s="534"/>
      <c r="J885" s="536"/>
      <c r="K885" s="824"/>
    </row>
    <row r="886" spans="3:11" ht="25.8" customHeight="1">
      <c r="C886" s="702" t="s">
        <v>1217</v>
      </c>
      <c r="D886" s="208"/>
      <c r="E886" s="208"/>
      <c r="F886" s="208"/>
      <c r="G886" s="209"/>
      <c r="H886" s="821">
        <v>0</v>
      </c>
      <c r="J886" s="536"/>
      <c r="K886" s="824"/>
    </row>
    <row r="887" spans="3:11" ht="25.8" customHeight="1">
      <c r="C887" s="566" t="s">
        <v>1218</v>
      </c>
      <c r="D887" s="552" t="s">
        <v>1219</v>
      </c>
      <c r="E887" s="553"/>
      <c r="F887" s="553"/>
      <c r="G887" s="554"/>
      <c r="H887" s="826">
        <f>H886+H884+H881</f>
        <v>20860</v>
      </c>
      <c r="I887" s="827"/>
      <c r="J887" s="536"/>
      <c r="K887" s="824"/>
    </row>
    <row r="888" spans="3:11" ht="25.8" customHeight="1">
      <c r="C888" s="566" t="s">
        <v>1220</v>
      </c>
      <c r="D888" s="552" t="s">
        <v>1321</v>
      </c>
      <c r="E888" s="553"/>
      <c r="F888" s="554"/>
      <c r="G888" s="555">
        <f>$M$9</f>
        <v>0.1</v>
      </c>
      <c r="H888" s="539">
        <f>H887*G888</f>
        <v>2086</v>
      </c>
      <c r="I888" s="827"/>
      <c r="J888" s="536"/>
      <c r="K888" s="824"/>
    </row>
    <row r="889" spans="3:11" ht="25.8" customHeight="1">
      <c r="C889" s="566" t="s">
        <v>1221</v>
      </c>
      <c r="D889" s="552" t="s">
        <v>1222</v>
      </c>
      <c r="E889" s="553"/>
      <c r="F889" s="553"/>
      <c r="G889" s="554"/>
      <c r="H889" s="828">
        <f>SUM(H887:H888)</f>
        <v>22946</v>
      </c>
      <c r="I889" s="827"/>
      <c r="J889" s="536"/>
      <c r="K889" s="824"/>
    </row>
    <row r="890" spans="3:11" ht="25.8" customHeight="1">
      <c r="J890" s="536"/>
      <c r="K890" s="824"/>
    </row>
    <row r="891" spans="3:11" ht="25.8" customHeight="1">
      <c r="C891" s="513" t="s">
        <v>3274</v>
      </c>
      <c r="D891" s="817" t="s">
        <v>1680</v>
      </c>
      <c r="E891" s="803"/>
      <c r="F891" s="803"/>
      <c r="G891" s="803"/>
      <c r="H891" s="803"/>
      <c r="I891" s="533">
        <f>ROUNDDOWN(H906,-2)</f>
        <v>34700</v>
      </c>
      <c r="J891" s="536"/>
      <c r="K891" s="824"/>
    </row>
    <row r="892" spans="3:11" ht="25.8" customHeight="1">
      <c r="C892" s="716" t="s">
        <v>1195</v>
      </c>
      <c r="D892" s="716" t="s">
        <v>1196</v>
      </c>
      <c r="E892" s="716" t="s">
        <v>1197</v>
      </c>
      <c r="F892" s="716" t="s">
        <v>1198</v>
      </c>
      <c r="G892" s="716" t="s">
        <v>1199</v>
      </c>
      <c r="H892" s="716" t="s">
        <v>1200</v>
      </c>
      <c r="J892" s="536"/>
      <c r="K892" s="824"/>
    </row>
    <row r="893" spans="3:11" ht="25.8" customHeight="1">
      <c r="C893" s="212" t="s">
        <v>1201</v>
      </c>
      <c r="D893" s="212" t="s">
        <v>1202</v>
      </c>
      <c r="E893" s="534"/>
      <c r="F893" s="534"/>
      <c r="G893" s="534"/>
      <c r="H893" s="534"/>
      <c r="J893" s="536"/>
      <c r="K893" s="824"/>
    </row>
    <row r="894" spans="3:11" ht="25.8" customHeight="1">
      <c r="C894" s="825">
        <v>1</v>
      </c>
      <c r="D894" s="212" t="s">
        <v>5</v>
      </c>
      <c r="E894" s="212" t="s">
        <v>6</v>
      </c>
      <c r="F894" s="538">
        <v>2.4E-2</v>
      </c>
      <c r="G894" s="539">
        <f>VLOOKUP(D894,upahbahan,3,FALSE)</f>
        <v>100000</v>
      </c>
      <c r="H894" s="539">
        <f t="shared" ref="H894:H897" si="90">F894*G894</f>
        <v>2400</v>
      </c>
      <c r="J894" s="536"/>
      <c r="K894" s="824"/>
    </row>
    <row r="895" spans="3:11" ht="25.8" customHeight="1">
      <c r="C895" s="825">
        <v>2</v>
      </c>
      <c r="D895" s="212" t="str">
        <f>D878</f>
        <v>Tukang listrik</v>
      </c>
      <c r="E895" s="212" t="s">
        <v>6</v>
      </c>
      <c r="F895" s="538">
        <v>0.04</v>
      </c>
      <c r="G895" s="539">
        <f>VLOOKUP(D895,upahbahan,3,FALSE)</f>
        <v>135000</v>
      </c>
      <c r="H895" s="539">
        <f t="shared" si="90"/>
        <v>5400</v>
      </c>
      <c r="J895" s="536"/>
      <c r="K895" s="824"/>
    </row>
    <row r="896" spans="3:11" ht="25.8" customHeight="1">
      <c r="C896" s="825">
        <v>3</v>
      </c>
      <c r="D896" s="212" t="s">
        <v>18</v>
      </c>
      <c r="E896" s="212" t="s">
        <v>6</v>
      </c>
      <c r="F896" s="538">
        <v>4.0000000000000001E-3</v>
      </c>
      <c r="G896" s="539">
        <f>VLOOKUP(D896,upahbahan,3,FALSE)</f>
        <v>150000</v>
      </c>
      <c r="H896" s="539">
        <f t="shared" si="90"/>
        <v>600</v>
      </c>
      <c r="J896" s="536"/>
      <c r="K896" s="824"/>
    </row>
    <row r="897" spans="3:11" ht="25.8" customHeight="1">
      <c r="C897" s="825">
        <v>4</v>
      </c>
      <c r="D897" s="212" t="s">
        <v>19</v>
      </c>
      <c r="E897" s="212" t="s">
        <v>6</v>
      </c>
      <c r="F897" s="538">
        <v>1E-3</v>
      </c>
      <c r="G897" s="539">
        <f>VLOOKUP(D897,upahbahan,3,FALSE)</f>
        <v>160000</v>
      </c>
      <c r="H897" s="539">
        <f t="shared" si="90"/>
        <v>160</v>
      </c>
      <c r="J897" s="536"/>
      <c r="K897" s="824"/>
    </row>
    <row r="898" spans="3:11" ht="25.8" customHeight="1">
      <c r="C898" s="702" t="s">
        <v>1208</v>
      </c>
      <c r="D898" s="208"/>
      <c r="E898" s="208"/>
      <c r="F898" s="811"/>
      <c r="G898" s="522"/>
      <c r="H898" s="539">
        <f>SUM(H894:H897)</f>
        <v>8560</v>
      </c>
      <c r="I898" s="819"/>
      <c r="J898" s="536"/>
      <c r="K898" s="824"/>
    </row>
    <row r="899" spans="3:11" ht="25.8" customHeight="1">
      <c r="C899" s="212" t="s">
        <v>1209</v>
      </c>
      <c r="D899" s="212" t="s">
        <v>1210</v>
      </c>
      <c r="E899" s="534"/>
      <c r="F899" s="831"/>
      <c r="G899" s="534"/>
      <c r="H899" s="534"/>
      <c r="J899" s="536"/>
      <c r="K899" s="824"/>
    </row>
    <row r="900" spans="3:11" ht="25.8" customHeight="1">
      <c r="C900" s="825">
        <v>1</v>
      </c>
      <c r="D900" s="820" t="s">
        <v>847</v>
      </c>
      <c r="E900" s="807" t="s">
        <v>113</v>
      </c>
      <c r="F900" s="538">
        <v>1.1499999999999999</v>
      </c>
      <c r="G900" s="539">
        <f>VLOOKUP(D900,upahbahan,3,FALSE)</f>
        <v>20000</v>
      </c>
      <c r="H900" s="539">
        <f t="shared" ref="H900" si="91">F900*G900</f>
        <v>23000</v>
      </c>
      <c r="J900" s="536"/>
      <c r="K900" s="824"/>
    </row>
    <row r="901" spans="3:11" ht="25.8" customHeight="1">
      <c r="C901" s="702" t="s">
        <v>1214</v>
      </c>
      <c r="D901" s="208"/>
      <c r="E901" s="208"/>
      <c r="F901" s="208"/>
      <c r="G901" s="209"/>
      <c r="H901" s="539">
        <f>SUM(H900:H900)</f>
        <v>23000</v>
      </c>
      <c r="J901" s="536"/>
      <c r="K901" s="824"/>
    </row>
    <row r="902" spans="3:11" ht="25.8" customHeight="1">
      <c r="C902" s="213" t="s">
        <v>1215</v>
      </c>
      <c r="D902" s="212" t="s">
        <v>1216</v>
      </c>
      <c r="E902" s="534"/>
      <c r="F902" s="534"/>
      <c r="G902" s="534"/>
      <c r="H902" s="534"/>
      <c r="J902" s="536"/>
      <c r="K902" s="824"/>
    </row>
    <row r="903" spans="3:11" ht="25.8" customHeight="1">
      <c r="C903" s="702" t="s">
        <v>1217</v>
      </c>
      <c r="D903" s="208"/>
      <c r="E903" s="208"/>
      <c r="F903" s="208"/>
      <c r="G903" s="209"/>
      <c r="H903" s="821">
        <v>0</v>
      </c>
      <c r="J903" s="536"/>
      <c r="K903" s="824"/>
    </row>
    <row r="904" spans="3:11" ht="25.8" customHeight="1">
      <c r="C904" s="566" t="s">
        <v>1218</v>
      </c>
      <c r="D904" s="552" t="s">
        <v>1219</v>
      </c>
      <c r="E904" s="553"/>
      <c r="F904" s="553"/>
      <c r="G904" s="554"/>
      <c r="H904" s="826">
        <f>H903+H901+H898</f>
        <v>31560</v>
      </c>
      <c r="I904" s="827"/>
      <c r="J904" s="536"/>
      <c r="K904" s="824"/>
    </row>
    <row r="905" spans="3:11" ht="25.8" customHeight="1">
      <c r="C905" s="566" t="s">
        <v>1220</v>
      </c>
      <c r="D905" s="552" t="s">
        <v>1321</v>
      </c>
      <c r="E905" s="553"/>
      <c r="F905" s="554"/>
      <c r="G905" s="555">
        <f>$M$9</f>
        <v>0.1</v>
      </c>
      <c r="H905" s="539">
        <f>H904*G905</f>
        <v>3156</v>
      </c>
      <c r="I905" s="827"/>
      <c r="J905" s="536"/>
      <c r="K905" s="824"/>
    </row>
    <row r="906" spans="3:11" ht="25.8" customHeight="1">
      <c r="C906" s="566" t="s">
        <v>1221</v>
      </c>
      <c r="D906" s="552" t="s">
        <v>1222</v>
      </c>
      <c r="E906" s="553"/>
      <c r="F906" s="553"/>
      <c r="G906" s="554"/>
      <c r="H906" s="828">
        <f>SUM(H904:H905)</f>
        <v>34716</v>
      </c>
      <c r="I906" s="827"/>
      <c r="J906" s="536"/>
      <c r="K906" s="824"/>
    </row>
    <row r="907" spans="3:11" ht="25.8" customHeight="1">
      <c r="J907" s="536"/>
      <c r="K907" s="824"/>
    </row>
    <row r="908" spans="3:11" ht="25.8" customHeight="1">
      <c r="C908" s="513" t="s">
        <v>3275</v>
      </c>
      <c r="D908" s="817" t="s">
        <v>1681</v>
      </c>
      <c r="E908" s="803"/>
      <c r="F908" s="803"/>
      <c r="G908" s="803"/>
      <c r="H908" s="803"/>
      <c r="I908" s="533">
        <f>ROUNDDOWN(H923,-2)</f>
        <v>51100</v>
      </c>
      <c r="J908" s="536"/>
      <c r="K908" s="824"/>
    </row>
    <row r="909" spans="3:11" ht="25.8" customHeight="1">
      <c r="C909" s="716" t="s">
        <v>1195</v>
      </c>
      <c r="D909" s="716" t="s">
        <v>1196</v>
      </c>
      <c r="E909" s="716" t="s">
        <v>1197</v>
      </c>
      <c r="F909" s="716" t="s">
        <v>1198</v>
      </c>
      <c r="G909" s="716" t="s">
        <v>1199</v>
      </c>
      <c r="H909" s="716" t="s">
        <v>1200</v>
      </c>
      <c r="J909" s="536"/>
      <c r="K909" s="824"/>
    </row>
    <row r="910" spans="3:11" ht="25.8" customHeight="1">
      <c r="C910" s="212" t="s">
        <v>1201</v>
      </c>
      <c r="D910" s="212" t="s">
        <v>1202</v>
      </c>
      <c r="E910" s="534"/>
      <c r="F910" s="534"/>
      <c r="G910" s="534"/>
      <c r="H910" s="534"/>
      <c r="J910" s="536"/>
      <c r="K910" s="824"/>
    </row>
    <row r="911" spans="3:11" ht="25.8" customHeight="1">
      <c r="C911" s="825">
        <v>1</v>
      </c>
      <c r="D911" s="212" t="s">
        <v>5</v>
      </c>
      <c r="E911" s="212" t="s">
        <v>6</v>
      </c>
      <c r="F911" s="538">
        <v>2.4E-2</v>
      </c>
      <c r="G911" s="539">
        <f>VLOOKUP(D911,upahbahan,3,FALSE)</f>
        <v>100000</v>
      </c>
      <c r="H911" s="539">
        <f t="shared" ref="H911:H914" si="92">F911*G911</f>
        <v>2400</v>
      </c>
      <c r="J911" s="536"/>
      <c r="K911" s="824"/>
    </row>
    <row r="912" spans="3:11" ht="25.8" customHeight="1">
      <c r="C912" s="825">
        <v>2</v>
      </c>
      <c r="D912" s="212" t="str">
        <f>D895</f>
        <v>Tukang listrik</v>
      </c>
      <c r="E912" s="212" t="s">
        <v>6</v>
      </c>
      <c r="F912" s="538">
        <v>0.04</v>
      </c>
      <c r="G912" s="539">
        <f>VLOOKUP(D912,upahbahan,3,FALSE)</f>
        <v>135000</v>
      </c>
      <c r="H912" s="539">
        <f t="shared" si="92"/>
        <v>5400</v>
      </c>
      <c r="J912" s="536"/>
      <c r="K912" s="824"/>
    </row>
    <row r="913" spans="3:11" ht="25.8" customHeight="1">
      <c r="C913" s="825">
        <v>3</v>
      </c>
      <c r="D913" s="212" t="s">
        <v>18</v>
      </c>
      <c r="E913" s="212" t="s">
        <v>6</v>
      </c>
      <c r="F913" s="538">
        <v>4.0000000000000001E-3</v>
      </c>
      <c r="G913" s="539">
        <f>VLOOKUP(D913,upahbahan,3,FALSE)</f>
        <v>150000</v>
      </c>
      <c r="H913" s="539">
        <f t="shared" si="92"/>
        <v>600</v>
      </c>
      <c r="J913" s="536"/>
      <c r="K913" s="824"/>
    </row>
    <row r="914" spans="3:11" ht="25.8" customHeight="1">
      <c r="C914" s="825">
        <v>4</v>
      </c>
      <c r="D914" s="212" t="s">
        <v>19</v>
      </c>
      <c r="E914" s="212" t="s">
        <v>6</v>
      </c>
      <c r="F914" s="538">
        <v>1E-3</v>
      </c>
      <c r="G914" s="539">
        <f>VLOOKUP(D914,upahbahan,3,FALSE)</f>
        <v>160000</v>
      </c>
      <c r="H914" s="539">
        <f t="shared" si="92"/>
        <v>160</v>
      </c>
      <c r="J914" s="536"/>
      <c r="K914" s="824"/>
    </row>
    <row r="915" spans="3:11" ht="25.8" customHeight="1">
      <c r="C915" s="702" t="s">
        <v>1208</v>
      </c>
      <c r="D915" s="208"/>
      <c r="E915" s="208"/>
      <c r="F915" s="811"/>
      <c r="G915" s="522"/>
      <c r="H915" s="539">
        <f>SUM(H911:H914)</f>
        <v>8560</v>
      </c>
      <c r="I915" s="819"/>
      <c r="J915" s="536"/>
      <c r="K915" s="824"/>
    </row>
    <row r="916" spans="3:11" ht="25.8" customHeight="1">
      <c r="C916" s="212" t="s">
        <v>1209</v>
      </c>
      <c r="D916" s="212" t="s">
        <v>1210</v>
      </c>
      <c r="E916" s="534"/>
      <c r="F916" s="831"/>
      <c r="G916" s="534"/>
      <c r="H916" s="534"/>
      <c r="J916" s="536"/>
      <c r="K916" s="824"/>
    </row>
    <row r="917" spans="3:11" ht="25.8" customHeight="1">
      <c r="C917" s="825">
        <v>1</v>
      </c>
      <c r="D917" s="820" t="s">
        <v>848</v>
      </c>
      <c r="E917" s="807" t="s">
        <v>113</v>
      </c>
      <c r="F917" s="538">
        <v>1.1499999999999999</v>
      </c>
      <c r="G917" s="539">
        <f>VLOOKUP(D917,upahbahan,3,FALSE)</f>
        <v>33000</v>
      </c>
      <c r="H917" s="539">
        <f t="shared" ref="H917" si="93">F917*G917</f>
        <v>37950</v>
      </c>
      <c r="J917" s="536"/>
      <c r="K917" s="824"/>
    </row>
    <row r="918" spans="3:11" ht="25.8" customHeight="1">
      <c r="C918" s="702" t="s">
        <v>1214</v>
      </c>
      <c r="D918" s="208"/>
      <c r="E918" s="208"/>
      <c r="F918" s="208"/>
      <c r="G918" s="209"/>
      <c r="H918" s="539">
        <f>SUM(H917:H917)</f>
        <v>37950</v>
      </c>
      <c r="J918" s="536"/>
      <c r="K918" s="824"/>
    </row>
    <row r="919" spans="3:11" ht="25.8" customHeight="1">
      <c r="C919" s="213" t="s">
        <v>1215</v>
      </c>
      <c r="D919" s="212" t="s">
        <v>1216</v>
      </c>
      <c r="E919" s="534"/>
      <c r="F919" s="534"/>
      <c r="G919" s="534"/>
      <c r="H919" s="534"/>
      <c r="J919" s="536"/>
      <c r="K919" s="824"/>
    </row>
    <row r="920" spans="3:11" ht="25.8" customHeight="1">
      <c r="C920" s="702" t="s">
        <v>1217</v>
      </c>
      <c r="D920" s="208"/>
      <c r="E920" s="208"/>
      <c r="F920" s="208"/>
      <c r="G920" s="209"/>
      <c r="H920" s="821">
        <v>0</v>
      </c>
      <c r="J920" s="536"/>
      <c r="K920" s="824"/>
    </row>
    <row r="921" spans="3:11" ht="25.8" customHeight="1">
      <c r="C921" s="566" t="s">
        <v>1218</v>
      </c>
      <c r="D921" s="552" t="s">
        <v>1219</v>
      </c>
      <c r="E921" s="553"/>
      <c r="F921" s="553"/>
      <c r="G921" s="554"/>
      <c r="H921" s="826">
        <f>H920+H918+H915</f>
        <v>46510</v>
      </c>
      <c r="I921" s="827"/>
      <c r="J921" s="536"/>
      <c r="K921" s="824"/>
    </row>
    <row r="922" spans="3:11" ht="25.8" customHeight="1">
      <c r="C922" s="566" t="s">
        <v>1220</v>
      </c>
      <c r="D922" s="552" t="s">
        <v>1321</v>
      </c>
      <c r="E922" s="553"/>
      <c r="F922" s="554"/>
      <c r="G922" s="555">
        <f>$M$9</f>
        <v>0.1</v>
      </c>
      <c r="H922" s="539">
        <f>H921*G922</f>
        <v>4651</v>
      </c>
      <c r="I922" s="827"/>
      <c r="J922" s="536"/>
      <c r="K922" s="824"/>
    </row>
    <row r="923" spans="3:11" ht="25.8" customHeight="1">
      <c r="C923" s="566" t="s">
        <v>1221</v>
      </c>
      <c r="D923" s="552" t="s">
        <v>1222</v>
      </c>
      <c r="E923" s="553"/>
      <c r="F923" s="553"/>
      <c r="G923" s="554"/>
      <c r="H923" s="828">
        <f>SUM(H921:H922)</f>
        <v>51161</v>
      </c>
      <c r="I923" s="827"/>
      <c r="J923" s="536"/>
      <c r="K923" s="824"/>
    </row>
    <row r="924" spans="3:11" ht="25.8" customHeight="1">
      <c r="J924" s="536"/>
      <c r="K924" s="824"/>
    </row>
    <row r="925" spans="3:11" ht="25.8" customHeight="1">
      <c r="C925" s="513" t="s">
        <v>3276</v>
      </c>
      <c r="D925" s="817" t="s">
        <v>1682</v>
      </c>
      <c r="E925" s="803"/>
      <c r="F925" s="803"/>
      <c r="G925" s="803"/>
      <c r="H925" s="803"/>
      <c r="I925" s="533">
        <f>ROUNDDOWN(H941,-2)</f>
        <v>21000</v>
      </c>
      <c r="J925" s="536"/>
      <c r="K925" s="824"/>
    </row>
    <row r="926" spans="3:11" ht="25.8" customHeight="1">
      <c r="C926" s="716" t="s">
        <v>1195</v>
      </c>
      <c r="D926" s="716" t="s">
        <v>1196</v>
      </c>
      <c r="E926" s="716" t="s">
        <v>1197</v>
      </c>
      <c r="F926" s="716" t="s">
        <v>1198</v>
      </c>
      <c r="G926" s="716" t="s">
        <v>1199</v>
      </c>
      <c r="H926" s="716" t="s">
        <v>1200</v>
      </c>
      <c r="J926" s="536"/>
      <c r="K926" s="824"/>
    </row>
    <row r="927" spans="3:11" ht="25.8" customHeight="1">
      <c r="C927" s="213" t="s">
        <v>1201</v>
      </c>
      <c r="D927" s="212" t="s">
        <v>1202</v>
      </c>
      <c r="E927" s="534"/>
      <c r="F927" s="534"/>
      <c r="G927" s="534"/>
      <c r="H927" s="534"/>
      <c r="J927" s="536"/>
      <c r="K927" s="824"/>
    </row>
    <row r="928" spans="3:11" ht="25.8" customHeight="1">
      <c r="C928" s="818">
        <v>1</v>
      </c>
      <c r="D928" s="212" t="s">
        <v>5</v>
      </c>
      <c r="E928" s="212" t="s">
        <v>6</v>
      </c>
      <c r="F928" s="538">
        <v>2.4E-2</v>
      </c>
      <c r="G928" s="539">
        <f>VLOOKUP(D928,upahbahan,3,FALSE)</f>
        <v>100000</v>
      </c>
      <c r="H928" s="539">
        <f t="shared" ref="H928:H931" si="94">F928*G928</f>
        <v>2400</v>
      </c>
      <c r="J928" s="536"/>
      <c r="K928" s="824"/>
    </row>
    <row r="929" spans="3:11" ht="25.8" customHeight="1">
      <c r="C929" s="818">
        <v>2</v>
      </c>
      <c r="D929" s="212" t="str">
        <f>D912</f>
        <v>Tukang listrik</v>
      </c>
      <c r="E929" s="212" t="s">
        <v>6</v>
      </c>
      <c r="F929" s="538">
        <v>0.04</v>
      </c>
      <c r="G929" s="539">
        <f>VLOOKUP(D929,upahbahan,3,FALSE)</f>
        <v>135000</v>
      </c>
      <c r="H929" s="539">
        <f t="shared" si="94"/>
        <v>5400</v>
      </c>
      <c r="J929" s="536"/>
      <c r="K929" s="824"/>
    </row>
    <row r="930" spans="3:11" ht="25.8" customHeight="1">
      <c r="C930" s="818">
        <v>3</v>
      </c>
      <c r="D930" s="212" t="s">
        <v>18</v>
      </c>
      <c r="E930" s="212" t="s">
        <v>6</v>
      </c>
      <c r="F930" s="538">
        <v>4.0000000000000001E-3</v>
      </c>
      <c r="G930" s="539">
        <f>VLOOKUP(D930,upahbahan,3,FALSE)</f>
        <v>150000</v>
      </c>
      <c r="H930" s="539">
        <f t="shared" si="94"/>
        <v>600</v>
      </c>
      <c r="J930" s="536"/>
      <c r="K930" s="824"/>
    </row>
    <row r="931" spans="3:11" ht="25.8" customHeight="1">
      <c r="C931" s="818">
        <v>4</v>
      </c>
      <c r="D931" s="212" t="s">
        <v>19</v>
      </c>
      <c r="E931" s="212" t="s">
        <v>6</v>
      </c>
      <c r="F931" s="538">
        <v>1E-3</v>
      </c>
      <c r="G931" s="539">
        <f>VLOOKUP(D931,upahbahan,3,FALSE)</f>
        <v>160000</v>
      </c>
      <c r="H931" s="539">
        <f t="shared" si="94"/>
        <v>160</v>
      </c>
      <c r="J931" s="536"/>
      <c r="K931" s="824"/>
    </row>
    <row r="932" spans="3:11" ht="25.8" customHeight="1">
      <c r="C932" s="702" t="s">
        <v>1208</v>
      </c>
      <c r="D932" s="208"/>
      <c r="E932" s="208"/>
      <c r="F932" s="811"/>
      <c r="G932" s="522"/>
      <c r="H932" s="539">
        <f>SUM(H928:H931)</f>
        <v>8560</v>
      </c>
      <c r="I932" s="819"/>
      <c r="J932" s="536"/>
      <c r="K932" s="824"/>
    </row>
    <row r="933" spans="3:11" ht="25.8" customHeight="1">
      <c r="C933" s="213" t="s">
        <v>1209</v>
      </c>
      <c r="D933" s="212" t="s">
        <v>1210</v>
      </c>
      <c r="E933" s="534"/>
      <c r="F933" s="831"/>
      <c r="G933" s="534"/>
      <c r="H933" s="534"/>
      <c r="J933" s="536"/>
      <c r="K933" s="824"/>
    </row>
    <row r="934" spans="3:11" ht="25.8" customHeight="1">
      <c r="C934" s="833" t="s">
        <v>1203</v>
      </c>
      <c r="D934" s="820" t="s">
        <v>852</v>
      </c>
      <c r="E934" s="807" t="s">
        <v>113</v>
      </c>
      <c r="F934" s="538">
        <v>1.1499999999999999</v>
      </c>
      <c r="G934" s="539">
        <f>VLOOKUP(D934,upahbahan,3,FALSE)</f>
        <v>9200</v>
      </c>
      <c r="H934" s="539">
        <f t="shared" ref="H934:H935" si="95">F934*G934</f>
        <v>10580</v>
      </c>
      <c r="J934" s="536"/>
      <c r="K934" s="824"/>
    </row>
    <row r="935" spans="3:11" ht="25.8" customHeight="1">
      <c r="C935" s="833" t="s">
        <v>1204</v>
      </c>
      <c r="D935" s="820" t="s">
        <v>958</v>
      </c>
      <c r="E935" s="807" t="s">
        <v>113</v>
      </c>
      <c r="F935" s="538">
        <v>1.1499999999999999</v>
      </c>
      <c r="G935" s="539">
        <f>VLOOKUP(D935,upahbahan,3,FALSE)</f>
        <v>0</v>
      </c>
      <c r="H935" s="539">
        <f t="shared" si="95"/>
        <v>0</v>
      </c>
      <c r="J935" s="536"/>
      <c r="K935" s="824"/>
    </row>
    <row r="936" spans="3:11" ht="25.8" customHeight="1">
      <c r="C936" s="702" t="s">
        <v>1214</v>
      </c>
      <c r="D936" s="208"/>
      <c r="E936" s="208"/>
      <c r="F936" s="208"/>
      <c r="G936" s="209"/>
      <c r="H936" s="539">
        <f>SUM(H934:H935)</f>
        <v>10580</v>
      </c>
      <c r="J936" s="536"/>
      <c r="K936" s="824"/>
    </row>
    <row r="937" spans="3:11" ht="25.8" customHeight="1">
      <c r="C937" s="213" t="s">
        <v>1215</v>
      </c>
      <c r="D937" s="212" t="s">
        <v>1216</v>
      </c>
      <c r="E937" s="534"/>
      <c r="F937" s="534"/>
      <c r="G937" s="534"/>
      <c r="H937" s="534"/>
      <c r="J937" s="536"/>
      <c r="K937" s="824"/>
    </row>
    <row r="938" spans="3:11" ht="25.8" customHeight="1">
      <c r="C938" s="702" t="s">
        <v>1217</v>
      </c>
      <c r="D938" s="208"/>
      <c r="E938" s="208"/>
      <c r="F938" s="208"/>
      <c r="G938" s="209"/>
      <c r="H938" s="821">
        <v>0</v>
      </c>
      <c r="J938" s="536"/>
      <c r="K938" s="824"/>
    </row>
    <row r="939" spans="3:11" ht="25.8" customHeight="1">
      <c r="C939" s="566" t="s">
        <v>1218</v>
      </c>
      <c r="D939" s="552" t="s">
        <v>1219</v>
      </c>
      <c r="E939" s="553"/>
      <c r="F939" s="553"/>
      <c r="G939" s="554"/>
      <c r="H939" s="826">
        <f>H938+H936+H932</f>
        <v>19140</v>
      </c>
      <c r="I939" s="827"/>
      <c r="J939" s="536"/>
      <c r="K939" s="824"/>
    </row>
    <row r="940" spans="3:11" ht="25.8" customHeight="1">
      <c r="C940" s="566" t="s">
        <v>1220</v>
      </c>
      <c r="D940" s="552" t="s">
        <v>1321</v>
      </c>
      <c r="E940" s="553"/>
      <c r="F940" s="554"/>
      <c r="G940" s="555">
        <f>$M$9</f>
        <v>0.1</v>
      </c>
      <c r="H940" s="539">
        <f>H939*G940</f>
        <v>1914</v>
      </c>
      <c r="I940" s="827"/>
      <c r="J940" s="536"/>
      <c r="K940" s="824"/>
    </row>
    <row r="941" spans="3:11" ht="25.8" customHeight="1">
      <c r="C941" s="566" t="s">
        <v>1221</v>
      </c>
      <c r="D941" s="552" t="s">
        <v>1222</v>
      </c>
      <c r="E941" s="553"/>
      <c r="F941" s="553"/>
      <c r="G941" s="554"/>
      <c r="H941" s="828">
        <f>SUM(H939:H940)</f>
        <v>21054</v>
      </c>
      <c r="I941" s="827"/>
      <c r="J941" s="536"/>
      <c r="K941" s="824"/>
    </row>
    <row r="942" spans="3:11" ht="25.8" customHeight="1">
      <c r="J942" s="536"/>
      <c r="K942" s="824"/>
    </row>
    <row r="943" spans="3:11" ht="25.8" customHeight="1">
      <c r="C943" s="513" t="s">
        <v>3277</v>
      </c>
      <c r="D943" s="817" t="s">
        <v>1683</v>
      </c>
      <c r="E943" s="803"/>
      <c r="F943" s="803"/>
      <c r="G943" s="803"/>
      <c r="H943" s="803"/>
      <c r="I943" s="533">
        <f>ROUNDDOWN(H959,-2)</f>
        <v>27100</v>
      </c>
      <c r="J943" s="536"/>
      <c r="K943" s="824"/>
    </row>
    <row r="944" spans="3:11" ht="25.8" customHeight="1">
      <c r="C944" s="716" t="s">
        <v>1195</v>
      </c>
      <c r="D944" s="716" t="s">
        <v>1196</v>
      </c>
      <c r="E944" s="716" t="s">
        <v>1197</v>
      </c>
      <c r="F944" s="716" t="s">
        <v>1198</v>
      </c>
      <c r="G944" s="716" t="s">
        <v>1199</v>
      </c>
      <c r="H944" s="716" t="s">
        <v>1200</v>
      </c>
      <c r="J944" s="536"/>
      <c r="K944" s="824"/>
    </row>
    <row r="945" spans="3:11" ht="25.8" customHeight="1">
      <c r="C945" s="213" t="s">
        <v>1201</v>
      </c>
      <c r="D945" s="212" t="s">
        <v>1202</v>
      </c>
      <c r="E945" s="534"/>
      <c r="F945" s="534"/>
      <c r="G945" s="534"/>
      <c r="H945" s="534"/>
      <c r="J945" s="536"/>
      <c r="K945" s="824"/>
    </row>
    <row r="946" spans="3:11" ht="25.8" customHeight="1">
      <c r="C946" s="818">
        <v>1</v>
      </c>
      <c r="D946" s="212" t="s">
        <v>5</v>
      </c>
      <c r="E946" s="212" t="s">
        <v>6</v>
      </c>
      <c r="F946" s="538">
        <v>2.4E-2</v>
      </c>
      <c r="G946" s="539">
        <f>VLOOKUP(D946,upahbahan,3,FALSE)</f>
        <v>100000</v>
      </c>
      <c r="H946" s="539">
        <f t="shared" ref="H946:H949" si="96">F946*G946</f>
        <v>2400</v>
      </c>
      <c r="J946" s="536"/>
      <c r="K946" s="824"/>
    </row>
    <row r="947" spans="3:11" ht="25.8" customHeight="1">
      <c r="C947" s="818">
        <v>2</v>
      </c>
      <c r="D947" s="212" t="str">
        <f>D929</f>
        <v>Tukang listrik</v>
      </c>
      <c r="E947" s="212" t="s">
        <v>6</v>
      </c>
      <c r="F947" s="538">
        <v>0.04</v>
      </c>
      <c r="G947" s="539">
        <f>VLOOKUP(D947,upahbahan,3,FALSE)</f>
        <v>135000</v>
      </c>
      <c r="H947" s="539">
        <f t="shared" si="96"/>
        <v>5400</v>
      </c>
      <c r="J947" s="536"/>
      <c r="K947" s="824"/>
    </row>
    <row r="948" spans="3:11" ht="25.8" customHeight="1">
      <c r="C948" s="818">
        <v>3</v>
      </c>
      <c r="D948" s="212" t="s">
        <v>18</v>
      </c>
      <c r="E948" s="212" t="s">
        <v>6</v>
      </c>
      <c r="F948" s="538">
        <v>4.0000000000000001E-3</v>
      </c>
      <c r="G948" s="539">
        <f>VLOOKUP(D948,upahbahan,3,FALSE)</f>
        <v>150000</v>
      </c>
      <c r="H948" s="539">
        <f t="shared" si="96"/>
        <v>600</v>
      </c>
      <c r="J948" s="536"/>
      <c r="K948" s="824"/>
    </row>
    <row r="949" spans="3:11" ht="25.8" customHeight="1">
      <c r="C949" s="818">
        <v>4</v>
      </c>
      <c r="D949" s="212" t="s">
        <v>19</v>
      </c>
      <c r="E949" s="212" t="s">
        <v>6</v>
      </c>
      <c r="F949" s="538">
        <v>1E-3</v>
      </c>
      <c r="G949" s="539">
        <f>VLOOKUP(D949,upahbahan,3,FALSE)</f>
        <v>160000</v>
      </c>
      <c r="H949" s="539">
        <f t="shared" si="96"/>
        <v>160</v>
      </c>
      <c r="J949" s="536"/>
      <c r="K949" s="824"/>
    </row>
    <row r="950" spans="3:11" ht="25.8" customHeight="1">
      <c r="C950" s="702" t="s">
        <v>1208</v>
      </c>
      <c r="D950" s="208"/>
      <c r="E950" s="208"/>
      <c r="F950" s="811"/>
      <c r="G950" s="522"/>
      <c r="H950" s="539">
        <f>SUM(H946:H949)</f>
        <v>8560</v>
      </c>
      <c r="I950" s="819"/>
      <c r="J950" s="536"/>
      <c r="K950" s="824"/>
    </row>
    <row r="951" spans="3:11" ht="25.8" customHeight="1">
      <c r="C951" s="213" t="s">
        <v>1209</v>
      </c>
      <c r="D951" s="212" t="s">
        <v>1210</v>
      </c>
      <c r="E951" s="534"/>
      <c r="F951" s="831"/>
      <c r="G951" s="534"/>
      <c r="H951" s="534"/>
      <c r="J951" s="536"/>
      <c r="K951" s="824"/>
    </row>
    <row r="952" spans="3:11" ht="25.8" customHeight="1">
      <c r="C952" s="833" t="s">
        <v>1203</v>
      </c>
      <c r="D952" s="820" t="s">
        <v>853</v>
      </c>
      <c r="E952" s="807" t="s">
        <v>113</v>
      </c>
      <c r="F952" s="538">
        <v>1.1499999999999999</v>
      </c>
      <c r="G952" s="539">
        <f>VLOOKUP(D952,upahbahan,3,FALSE)</f>
        <v>14000</v>
      </c>
      <c r="H952" s="539">
        <f t="shared" ref="H952:H953" si="97">F952*G952</f>
        <v>16099.999999999998</v>
      </c>
      <c r="J952" s="536"/>
      <c r="K952" s="824"/>
    </row>
    <row r="953" spans="3:11" ht="25.8" customHeight="1">
      <c r="C953" s="833" t="s">
        <v>1204</v>
      </c>
      <c r="D953" s="820" t="s">
        <v>958</v>
      </c>
      <c r="E953" s="807" t="s">
        <v>113</v>
      </c>
      <c r="F953" s="538">
        <v>1.1499999999999999</v>
      </c>
      <c r="G953" s="539">
        <f>VLOOKUP(D953,upahbahan,3,FALSE)</f>
        <v>0</v>
      </c>
      <c r="H953" s="539">
        <f t="shared" si="97"/>
        <v>0</v>
      </c>
      <c r="J953" s="536"/>
      <c r="K953" s="824"/>
    </row>
    <row r="954" spans="3:11" ht="25.8" customHeight="1">
      <c r="C954" s="702" t="s">
        <v>1214</v>
      </c>
      <c r="D954" s="208"/>
      <c r="E954" s="208"/>
      <c r="F954" s="208"/>
      <c r="G954" s="209"/>
      <c r="H954" s="539">
        <f>SUM(H952:H953)</f>
        <v>16099.999999999998</v>
      </c>
      <c r="J954" s="536"/>
      <c r="K954" s="824"/>
    </row>
    <row r="955" spans="3:11" ht="25.8" customHeight="1">
      <c r="C955" s="213" t="s">
        <v>1215</v>
      </c>
      <c r="D955" s="212" t="s">
        <v>1216</v>
      </c>
      <c r="E955" s="534"/>
      <c r="F955" s="534"/>
      <c r="G955" s="534"/>
      <c r="H955" s="534"/>
      <c r="J955" s="536"/>
      <c r="K955" s="824"/>
    </row>
    <row r="956" spans="3:11" ht="25.8" customHeight="1">
      <c r="C956" s="702" t="s">
        <v>1217</v>
      </c>
      <c r="D956" s="208"/>
      <c r="E956" s="208"/>
      <c r="F956" s="208"/>
      <c r="G956" s="209"/>
      <c r="H956" s="821">
        <v>0</v>
      </c>
      <c r="J956" s="536"/>
      <c r="K956" s="824"/>
    </row>
    <row r="957" spans="3:11" ht="25.8" customHeight="1">
      <c r="C957" s="566" t="s">
        <v>1218</v>
      </c>
      <c r="D957" s="552" t="s">
        <v>1219</v>
      </c>
      <c r="E957" s="553"/>
      <c r="F957" s="553"/>
      <c r="G957" s="554"/>
      <c r="H957" s="826">
        <f>H956+H954+H950</f>
        <v>24660</v>
      </c>
      <c r="I957" s="827"/>
      <c r="J957" s="536"/>
      <c r="K957" s="824"/>
    </row>
    <row r="958" spans="3:11" ht="25.8" customHeight="1">
      <c r="C958" s="566" t="s">
        <v>1220</v>
      </c>
      <c r="D958" s="552" t="s">
        <v>1321</v>
      </c>
      <c r="E958" s="553"/>
      <c r="F958" s="554"/>
      <c r="G958" s="555">
        <f>$M$9</f>
        <v>0.1</v>
      </c>
      <c r="H958" s="539">
        <f>H957*G958</f>
        <v>2466</v>
      </c>
      <c r="I958" s="827"/>
      <c r="J958" s="536"/>
      <c r="K958" s="824"/>
    </row>
    <row r="959" spans="3:11" ht="25.8" customHeight="1">
      <c r="C959" s="566" t="s">
        <v>1221</v>
      </c>
      <c r="D959" s="552" t="s">
        <v>1222</v>
      </c>
      <c r="E959" s="553"/>
      <c r="F959" s="553"/>
      <c r="G959" s="554"/>
      <c r="H959" s="828">
        <f>SUM(H957:H958)</f>
        <v>27126</v>
      </c>
      <c r="I959" s="827"/>
      <c r="J959" s="536"/>
      <c r="K959" s="824"/>
    </row>
    <row r="960" spans="3:11" ht="25.8" customHeight="1">
      <c r="J960" s="536"/>
      <c r="K960" s="824"/>
    </row>
    <row r="961" spans="3:11" ht="25.8" customHeight="1">
      <c r="C961" s="513" t="s">
        <v>3278</v>
      </c>
      <c r="D961" s="817" t="s">
        <v>3279</v>
      </c>
      <c r="E961" s="803"/>
      <c r="F961" s="803"/>
      <c r="G961" s="803"/>
      <c r="H961" s="803"/>
      <c r="I961" s="533">
        <f>ROUNDDOWN(H977,-2)</f>
        <v>34000</v>
      </c>
      <c r="J961" s="536"/>
      <c r="K961" s="824"/>
    </row>
    <row r="962" spans="3:11" ht="25.8" customHeight="1">
      <c r="C962" s="716" t="s">
        <v>1195</v>
      </c>
      <c r="D962" s="716" t="s">
        <v>1196</v>
      </c>
      <c r="E962" s="716" t="s">
        <v>1197</v>
      </c>
      <c r="F962" s="716" t="s">
        <v>1198</v>
      </c>
      <c r="G962" s="716" t="s">
        <v>1199</v>
      </c>
      <c r="H962" s="716" t="s">
        <v>1200</v>
      </c>
      <c r="J962" s="536"/>
      <c r="K962" s="824"/>
    </row>
    <row r="963" spans="3:11" ht="25.8" customHeight="1">
      <c r="C963" s="213" t="s">
        <v>1201</v>
      </c>
      <c r="D963" s="212" t="s">
        <v>1202</v>
      </c>
      <c r="E963" s="534"/>
      <c r="F963" s="534"/>
      <c r="G963" s="534"/>
      <c r="H963" s="534"/>
      <c r="J963" s="536"/>
      <c r="K963" s="824"/>
    </row>
    <row r="964" spans="3:11" ht="25.8" customHeight="1">
      <c r="C964" s="818">
        <v>1</v>
      </c>
      <c r="D964" s="212" t="s">
        <v>5</v>
      </c>
      <c r="E964" s="212" t="s">
        <v>6</v>
      </c>
      <c r="F964" s="538">
        <v>2.4E-2</v>
      </c>
      <c r="G964" s="539">
        <f>VLOOKUP(D964,upahbahan,3,FALSE)</f>
        <v>100000</v>
      </c>
      <c r="H964" s="539">
        <f t="shared" ref="H964:H967" si="98">F964*G964</f>
        <v>2400</v>
      </c>
      <c r="J964" s="536"/>
      <c r="K964" s="824"/>
    </row>
    <row r="965" spans="3:11" ht="25.8" customHeight="1">
      <c r="C965" s="818">
        <v>2</v>
      </c>
      <c r="D965" s="212" t="str">
        <f>D947</f>
        <v>Tukang listrik</v>
      </c>
      <c r="E965" s="212" t="s">
        <v>6</v>
      </c>
      <c r="F965" s="538">
        <v>0.04</v>
      </c>
      <c r="G965" s="539">
        <f>VLOOKUP(D965,upahbahan,3,FALSE)</f>
        <v>135000</v>
      </c>
      <c r="H965" s="539">
        <f t="shared" si="98"/>
        <v>5400</v>
      </c>
      <c r="J965" s="536"/>
      <c r="K965" s="824"/>
    </row>
    <row r="966" spans="3:11" ht="25.8" customHeight="1">
      <c r="C966" s="818">
        <v>3</v>
      </c>
      <c r="D966" s="212" t="s">
        <v>18</v>
      </c>
      <c r="E966" s="212" t="s">
        <v>6</v>
      </c>
      <c r="F966" s="538">
        <v>4.0000000000000001E-3</v>
      </c>
      <c r="G966" s="539">
        <f>VLOOKUP(D966,upahbahan,3,FALSE)</f>
        <v>150000</v>
      </c>
      <c r="H966" s="539">
        <f t="shared" si="98"/>
        <v>600</v>
      </c>
      <c r="J966" s="536"/>
      <c r="K966" s="824"/>
    </row>
    <row r="967" spans="3:11" ht="25.8" customHeight="1">
      <c r="C967" s="818">
        <v>4</v>
      </c>
      <c r="D967" s="212" t="s">
        <v>19</v>
      </c>
      <c r="E967" s="212" t="s">
        <v>6</v>
      </c>
      <c r="F967" s="538">
        <v>1E-3</v>
      </c>
      <c r="G967" s="539">
        <f>VLOOKUP(D967,upahbahan,3,FALSE)</f>
        <v>160000</v>
      </c>
      <c r="H967" s="539">
        <f t="shared" si="98"/>
        <v>160</v>
      </c>
      <c r="J967" s="536"/>
      <c r="K967" s="824"/>
    </row>
    <row r="968" spans="3:11" ht="25.8" customHeight="1">
      <c r="C968" s="702" t="s">
        <v>1208</v>
      </c>
      <c r="D968" s="208"/>
      <c r="E968" s="208"/>
      <c r="F968" s="811"/>
      <c r="G968" s="522"/>
      <c r="H968" s="539">
        <f>SUM(H964:H967)</f>
        <v>8560</v>
      </c>
      <c r="I968" s="819"/>
      <c r="J968" s="536"/>
      <c r="K968" s="824"/>
    </row>
    <row r="969" spans="3:11" ht="25.8" customHeight="1">
      <c r="C969" s="213" t="s">
        <v>1209</v>
      </c>
      <c r="D969" s="212" t="s">
        <v>1210</v>
      </c>
      <c r="E969" s="534"/>
      <c r="F969" s="831"/>
      <c r="G969" s="534"/>
      <c r="H969" s="534"/>
      <c r="J969" s="536"/>
      <c r="K969" s="824"/>
    </row>
    <row r="970" spans="3:11" ht="25.8" customHeight="1">
      <c r="C970" s="833" t="s">
        <v>1203</v>
      </c>
      <c r="D970" s="820" t="s">
        <v>3280</v>
      </c>
      <c r="E970" s="807" t="s">
        <v>113</v>
      </c>
      <c r="F970" s="538">
        <v>1.1499999999999999</v>
      </c>
      <c r="G970" s="539">
        <f>VLOOKUP(D970,upahbahan,3,FALSE)</f>
        <v>19448</v>
      </c>
      <c r="H970" s="539">
        <f>F970*G970</f>
        <v>22365.199999999997</v>
      </c>
      <c r="J970" s="536"/>
      <c r="K970" s="824"/>
    </row>
    <row r="971" spans="3:11" ht="25.8" customHeight="1">
      <c r="C971" s="833" t="s">
        <v>1204</v>
      </c>
      <c r="D971" s="820" t="s">
        <v>958</v>
      </c>
      <c r="E971" s="807" t="s">
        <v>113</v>
      </c>
      <c r="F971" s="538">
        <v>1.1499999999999999</v>
      </c>
      <c r="G971" s="539">
        <f>VLOOKUP(D971,upahbahan,3,FALSE)</f>
        <v>0</v>
      </c>
      <c r="H971" s="539">
        <f t="shared" ref="H971" si="99">F971*G971</f>
        <v>0</v>
      </c>
      <c r="J971" s="536"/>
      <c r="K971" s="824"/>
    </row>
    <row r="972" spans="3:11" ht="25.8" customHeight="1">
      <c r="C972" s="702" t="s">
        <v>1214</v>
      </c>
      <c r="D972" s="208"/>
      <c r="E972" s="208"/>
      <c r="F972" s="208"/>
      <c r="G972" s="209"/>
      <c r="H972" s="539">
        <f>SUM(H970:H971)</f>
        <v>22365.199999999997</v>
      </c>
      <c r="J972" s="536"/>
      <c r="K972" s="824"/>
    </row>
    <row r="973" spans="3:11" ht="25.8" customHeight="1">
      <c r="C973" s="213" t="s">
        <v>1215</v>
      </c>
      <c r="D973" s="212" t="s">
        <v>1216</v>
      </c>
      <c r="E973" s="534"/>
      <c r="F973" s="534"/>
      <c r="G973" s="534"/>
      <c r="H973" s="534"/>
      <c r="J973" s="536"/>
      <c r="K973" s="824"/>
    </row>
    <row r="974" spans="3:11" ht="25.8" customHeight="1">
      <c r="C974" s="702" t="s">
        <v>1217</v>
      </c>
      <c r="D974" s="208"/>
      <c r="E974" s="208"/>
      <c r="F974" s="208"/>
      <c r="G974" s="209"/>
      <c r="H974" s="821">
        <v>0</v>
      </c>
      <c r="J974" s="536"/>
      <c r="K974" s="824"/>
    </row>
    <row r="975" spans="3:11" ht="25.8" customHeight="1">
      <c r="C975" s="566" t="s">
        <v>1218</v>
      </c>
      <c r="D975" s="552" t="s">
        <v>1219</v>
      </c>
      <c r="E975" s="553"/>
      <c r="F975" s="553"/>
      <c r="G975" s="554"/>
      <c r="H975" s="826">
        <f>H974+H972+H968</f>
        <v>30925.199999999997</v>
      </c>
      <c r="I975" s="827"/>
      <c r="J975" s="536"/>
      <c r="K975" s="824"/>
    </row>
    <row r="976" spans="3:11" ht="25.8" customHeight="1">
      <c r="C976" s="566" t="s">
        <v>1220</v>
      </c>
      <c r="D976" s="552" t="s">
        <v>1321</v>
      </c>
      <c r="E976" s="553"/>
      <c r="F976" s="554"/>
      <c r="G976" s="555">
        <f>$M$9</f>
        <v>0.1</v>
      </c>
      <c r="H976" s="539">
        <f>H975*G976</f>
        <v>3092.52</v>
      </c>
      <c r="I976" s="827"/>
      <c r="J976" s="536"/>
      <c r="K976" s="824"/>
    </row>
    <row r="977" spans="3:11" ht="25.8" customHeight="1">
      <c r="C977" s="566" t="s">
        <v>1221</v>
      </c>
      <c r="D977" s="552" t="s">
        <v>1222</v>
      </c>
      <c r="E977" s="553"/>
      <c r="F977" s="553"/>
      <c r="G977" s="554"/>
      <c r="H977" s="828">
        <f>SUM(H975:H976)</f>
        <v>34017.719999999994</v>
      </c>
      <c r="I977" s="827"/>
      <c r="J977" s="536"/>
      <c r="K977" s="824"/>
    </row>
    <row r="978" spans="3:11" ht="25.8" customHeight="1">
      <c r="C978" s="572"/>
      <c r="D978" s="834"/>
      <c r="E978" s="834"/>
      <c r="F978" s="834"/>
      <c r="G978" s="834"/>
      <c r="H978" s="835"/>
      <c r="J978" s="536"/>
      <c r="K978" s="824"/>
    </row>
    <row r="979" spans="3:11" ht="25.8" customHeight="1">
      <c r="C979" s="572"/>
      <c r="D979" s="834"/>
      <c r="E979" s="834"/>
      <c r="F979" s="834"/>
      <c r="G979" s="834"/>
      <c r="H979" s="835"/>
      <c r="J979" s="536"/>
      <c r="K979" s="824"/>
    </row>
    <row r="980" spans="3:11" ht="25.8" customHeight="1">
      <c r="C980" s="513" t="s">
        <v>3281</v>
      </c>
      <c r="D980" s="817" t="s">
        <v>3282</v>
      </c>
      <c r="E980" s="803"/>
      <c r="F980" s="803"/>
      <c r="G980" s="803"/>
      <c r="H980" s="803"/>
      <c r="I980" s="533">
        <f>ROUNDDOWN(H996,-2)</f>
        <v>34000</v>
      </c>
      <c r="J980" s="536"/>
      <c r="K980" s="824"/>
    </row>
    <row r="981" spans="3:11" ht="25.8" customHeight="1">
      <c r="C981" s="716" t="s">
        <v>1195</v>
      </c>
      <c r="D981" s="716" t="s">
        <v>1196</v>
      </c>
      <c r="E981" s="716" t="s">
        <v>1197</v>
      </c>
      <c r="F981" s="716" t="s">
        <v>1198</v>
      </c>
      <c r="G981" s="716" t="s">
        <v>1199</v>
      </c>
      <c r="H981" s="716" t="s">
        <v>1200</v>
      </c>
      <c r="J981" s="536"/>
      <c r="K981" s="824"/>
    </row>
    <row r="982" spans="3:11" ht="25.8" customHeight="1">
      <c r="C982" s="213" t="s">
        <v>1201</v>
      </c>
      <c r="D982" s="212" t="s">
        <v>1202</v>
      </c>
      <c r="E982" s="534"/>
      <c r="F982" s="534"/>
      <c r="G982" s="534"/>
      <c r="H982" s="534"/>
      <c r="J982" s="536"/>
      <c r="K982" s="824"/>
    </row>
    <row r="983" spans="3:11" ht="25.8" customHeight="1">
      <c r="C983" s="818">
        <v>1</v>
      </c>
      <c r="D983" s="212" t="s">
        <v>5</v>
      </c>
      <c r="E983" s="212" t="s">
        <v>6</v>
      </c>
      <c r="F983" s="538">
        <v>2.4E-2</v>
      </c>
      <c r="G983" s="539">
        <f>VLOOKUP(D983,upahbahan,3,FALSE)</f>
        <v>100000</v>
      </c>
      <c r="H983" s="539">
        <f t="shared" ref="H983:H986" si="100">F983*G983</f>
        <v>2400</v>
      </c>
      <c r="J983" s="536"/>
      <c r="K983" s="824"/>
    </row>
    <row r="984" spans="3:11" ht="25.8" customHeight="1">
      <c r="C984" s="818">
        <v>2</v>
      </c>
      <c r="D984" s="212" t="s">
        <v>3295</v>
      </c>
      <c r="E984" s="212" t="s">
        <v>6</v>
      </c>
      <c r="F984" s="538">
        <v>0.04</v>
      </c>
      <c r="G984" s="539">
        <f>VLOOKUP(D984,upahbahan,3,FALSE)</f>
        <v>135000</v>
      </c>
      <c r="H984" s="539">
        <f t="shared" si="100"/>
        <v>5400</v>
      </c>
      <c r="J984" s="536"/>
      <c r="K984" s="824"/>
    </row>
    <row r="985" spans="3:11" ht="25.8" customHeight="1">
      <c r="C985" s="818">
        <v>3</v>
      </c>
      <c r="D985" s="212" t="s">
        <v>18</v>
      </c>
      <c r="E985" s="212" t="s">
        <v>6</v>
      </c>
      <c r="F985" s="538">
        <v>4.0000000000000001E-3</v>
      </c>
      <c r="G985" s="539">
        <f>VLOOKUP(D985,upahbahan,3,FALSE)</f>
        <v>150000</v>
      </c>
      <c r="H985" s="539">
        <f t="shared" si="100"/>
        <v>600</v>
      </c>
      <c r="J985" s="536"/>
      <c r="K985" s="824"/>
    </row>
    <row r="986" spans="3:11" ht="25.8" customHeight="1">
      <c r="C986" s="818">
        <v>4</v>
      </c>
      <c r="D986" s="212" t="s">
        <v>19</v>
      </c>
      <c r="E986" s="212" t="s">
        <v>6</v>
      </c>
      <c r="F986" s="538">
        <v>1E-3</v>
      </c>
      <c r="G986" s="539">
        <f>VLOOKUP(D986,upahbahan,3,FALSE)</f>
        <v>160000</v>
      </c>
      <c r="H986" s="539">
        <f t="shared" si="100"/>
        <v>160</v>
      </c>
      <c r="J986" s="536"/>
      <c r="K986" s="824"/>
    </row>
    <row r="987" spans="3:11" ht="25.8" customHeight="1">
      <c r="C987" s="702" t="s">
        <v>1208</v>
      </c>
      <c r="D987" s="208"/>
      <c r="E987" s="208"/>
      <c r="F987" s="811"/>
      <c r="G987" s="522"/>
      <c r="H987" s="539">
        <f>SUM(H983:H986)</f>
        <v>8560</v>
      </c>
      <c r="I987" s="819"/>
      <c r="J987" s="536"/>
      <c r="K987" s="824"/>
    </row>
    <row r="988" spans="3:11" ht="25.8" customHeight="1">
      <c r="C988" s="213" t="s">
        <v>1209</v>
      </c>
      <c r="D988" s="212" t="s">
        <v>1210</v>
      </c>
      <c r="E988" s="534"/>
      <c r="F988" s="831"/>
      <c r="G988" s="534"/>
      <c r="H988" s="534"/>
      <c r="J988" s="536"/>
      <c r="K988" s="824"/>
    </row>
    <row r="989" spans="3:11" ht="25.8" customHeight="1">
      <c r="C989" s="833" t="s">
        <v>1203</v>
      </c>
      <c r="D989" s="820" t="s">
        <v>3280</v>
      </c>
      <c r="E989" s="807" t="s">
        <v>113</v>
      </c>
      <c r="F989" s="538">
        <v>1.1499999999999999</v>
      </c>
      <c r="G989" s="539">
        <f>VLOOKUP(D989,upahbahan,3,FALSE)</f>
        <v>19448</v>
      </c>
      <c r="H989" s="539">
        <f>F989*G989</f>
        <v>22365.199999999997</v>
      </c>
      <c r="J989" s="536"/>
      <c r="K989" s="824"/>
    </row>
    <row r="990" spans="3:11" ht="25.8" customHeight="1">
      <c r="C990" s="833" t="s">
        <v>1204</v>
      </c>
      <c r="D990" s="820" t="s">
        <v>3283</v>
      </c>
      <c r="E990" s="807" t="s">
        <v>113</v>
      </c>
      <c r="F990" s="538">
        <v>1.1499999999999999</v>
      </c>
      <c r="G990" s="539">
        <f>VLOOKUP(D990,upahbahan,3,FALSE)</f>
        <v>0</v>
      </c>
      <c r="H990" s="539">
        <f t="shared" ref="H990" si="101">F990*G990</f>
        <v>0</v>
      </c>
      <c r="J990" s="536"/>
      <c r="K990" s="824"/>
    </row>
    <row r="991" spans="3:11" ht="25.8" customHeight="1">
      <c r="C991" s="702" t="s">
        <v>1214</v>
      </c>
      <c r="D991" s="208"/>
      <c r="E991" s="208"/>
      <c r="F991" s="208"/>
      <c r="G991" s="209"/>
      <c r="H991" s="539">
        <f>SUM(H989:H990)</f>
        <v>22365.199999999997</v>
      </c>
      <c r="J991" s="536"/>
      <c r="K991" s="824"/>
    </row>
    <row r="992" spans="3:11" ht="25.8" customHeight="1">
      <c r="C992" s="213" t="s">
        <v>1215</v>
      </c>
      <c r="D992" s="212" t="s">
        <v>1216</v>
      </c>
      <c r="E992" s="534"/>
      <c r="F992" s="534"/>
      <c r="G992" s="534"/>
      <c r="H992" s="534"/>
      <c r="J992" s="536"/>
      <c r="K992" s="824"/>
    </row>
    <row r="993" spans="3:11" ht="25.8" customHeight="1">
      <c r="C993" s="702" t="s">
        <v>1217</v>
      </c>
      <c r="D993" s="208"/>
      <c r="E993" s="208"/>
      <c r="F993" s="208"/>
      <c r="G993" s="209"/>
      <c r="H993" s="821">
        <v>0</v>
      </c>
      <c r="J993" s="536"/>
      <c r="K993" s="824"/>
    </row>
    <row r="994" spans="3:11" ht="25.8" customHeight="1">
      <c r="C994" s="566" t="s">
        <v>1218</v>
      </c>
      <c r="D994" s="552" t="s">
        <v>1219</v>
      </c>
      <c r="E994" s="553"/>
      <c r="F994" s="553"/>
      <c r="G994" s="554"/>
      <c r="H994" s="826">
        <f>H993+H991+H987</f>
        <v>30925.199999999997</v>
      </c>
      <c r="I994" s="827"/>
      <c r="J994" s="536"/>
      <c r="K994" s="824"/>
    </row>
    <row r="995" spans="3:11" ht="25.8" customHeight="1">
      <c r="C995" s="566" t="s">
        <v>1220</v>
      </c>
      <c r="D995" s="552" t="s">
        <v>1321</v>
      </c>
      <c r="E995" s="553"/>
      <c r="F995" s="554"/>
      <c r="G995" s="555">
        <f>$M$9</f>
        <v>0.1</v>
      </c>
      <c r="H995" s="539">
        <f>H994*G995</f>
        <v>3092.52</v>
      </c>
      <c r="I995" s="827"/>
      <c r="J995" s="536"/>
      <c r="K995" s="824"/>
    </row>
    <row r="996" spans="3:11" ht="25.8" customHeight="1">
      <c r="C996" s="566" t="s">
        <v>1221</v>
      </c>
      <c r="D996" s="552" t="s">
        <v>1222</v>
      </c>
      <c r="E996" s="553"/>
      <c r="F996" s="553"/>
      <c r="G996" s="554"/>
      <c r="H996" s="828">
        <f>SUM(H994:H995)</f>
        <v>34017.719999999994</v>
      </c>
      <c r="I996" s="827"/>
      <c r="J996" s="536"/>
      <c r="K996" s="824"/>
    </row>
    <row r="997" spans="3:11" ht="25.8" customHeight="1">
      <c r="C997" s="572"/>
      <c r="D997" s="834"/>
      <c r="E997" s="834"/>
      <c r="F997" s="834"/>
      <c r="G997" s="834"/>
      <c r="H997" s="835"/>
      <c r="J997" s="536"/>
      <c r="K997" s="824"/>
    </row>
    <row r="998" spans="3:11" ht="25.8" customHeight="1">
      <c r="C998" s="572"/>
      <c r="D998" s="834"/>
      <c r="E998" s="834"/>
      <c r="F998" s="834"/>
      <c r="G998" s="834"/>
      <c r="H998" s="835"/>
      <c r="J998" s="536"/>
      <c r="K998" s="824"/>
    </row>
    <row r="999" spans="3:11" ht="25.8" customHeight="1">
      <c r="C999" s="513" t="s">
        <v>3285</v>
      </c>
      <c r="D999" s="817" t="s">
        <v>3286</v>
      </c>
      <c r="E999" s="803"/>
      <c r="F999" s="803"/>
      <c r="G999" s="803"/>
      <c r="H999" s="803"/>
      <c r="I999" s="533">
        <f>ROUNDDOWN(H1015,-2)</f>
        <v>74500</v>
      </c>
      <c r="J999" s="536"/>
      <c r="K999" s="824"/>
    </row>
    <row r="1000" spans="3:11" ht="25.8" customHeight="1">
      <c r="C1000" s="716" t="s">
        <v>1195</v>
      </c>
      <c r="D1000" s="716" t="s">
        <v>1196</v>
      </c>
      <c r="E1000" s="716" t="s">
        <v>1197</v>
      </c>
      <c r="F1000" s="716" t="s">
        <v>1198</v>
      </c>
      <c r="G1000" s="716" t="s">
        <v>1199</v>
      </c>
      <c r="H1000" s="716" t="s">
        <v>1200</v>
      </c>
      <c r="J1000" s="536"/>
      <c r="K1000" s="824"/>
    </row>
    <row r="1001" spans="3:11" ht="25.8" customHeight="1">
      <c r="C1001" s="213" t="s">
        <v>1201</v>
      </c>
      <c r="D1001" s="212" t="s">
        <v>1202</v>
      </c>
      <c r="E1001" s="534"/>
      <c r="F1001" s="534"/>
      <c r="G1001" s="534"/>
      <c r="H1001" s="534"/>
      <c r="J1001" s="536"/>
      <c r="K1001" s="824"/>
    </row>
    <row r="1002" spans="3:11" ht="25.8" customHeight="1">
      <c r="C1002" s="818">
        <v>1</v>
      </c>
      <c r="D1002" s="212" t="s">
        <v>5</v>
      </c>
      <c r="E1002" s="212" t="s">
        <v>6</v>
      </c>
      <c r="F1002" s="538">
        <v>2.4E-2</v>
      </c>
      <c r="G1002" s="539">
        <f>VLOOKUP(D1002,upahbahan,3,FALSE)</f>
        <v>100000</v>
      </c>
      <c r="H1002" s="539">
        <f t="shared" ref="H1002:H1005" si="102">F1002*G1002</f>
        <v>2400</v>
      </c>
      <c r="J1002" s="536"/>
      <c r="K1002" s="824"/>
    </row>
    <row r="1003" spans="3:11" ht="25.8" customHeight="1">
      <c r="C1003" s="818">
        <v>2</v>
      </c>
      <c r="D1003" s="212" t="s">
        <v>3295</v>
      </c>
      <c r="E1003" s="212" t="s">
        <v>6</v>
      </c>
      <c r="F1003" s="538">
        <v>0.04</v>
      </c>
      <c r="G1003" s="539">
        <f>VLOOKUP(D1003,upahbahan,3,FALSE)</f>
        <v>135000</v>
      </c>
      <c r="H1003" s="539">
        <f t="shared" si="102"/>
        <v>5400</v>
      </c>
      <c r="J1003" s="536"/>
      <c r="K1003" s="824"/>
    </row>
    <row r="1004" spans="3:11" ht="25.8" customHeight="1">
      <c r="C1004" s="818">
        <v>3</v>
      </c>
      <c r="D1004" s="212" t="s">
        <v>18</v>
      </c>
      <c r="E1004" s="212" t="s">
        <v>6</v>
      </c>
      <c r="F1004" s="538">
        <v>4.0000000000000001E-3</v>
      </c>
      <c r="G1004" s="539">
        <f>VLOOKUP(D1004,upahbahan,3,FALSE)</f>
        <v>150000</v>
      </c>
      <c r="H1004" s="539">
        <f t="shared" si="102"/>
        <v>600</v>
      </c>
      <c r="J1004" s="536"/>
      <c r="K1004" s="824"/>
    </row>
    <row r="1005" spans="3:11" ht="25.8" customHeight="1">
      <c r="C1005" s="818">
        <v>4</v>
      </c>
      <c r="D1005" s="212" t="s">
        <v>19</v>
      </c>
      <c r="E1005" s="212" t="s">
        <v>6</v>
      </c>
      <c r="F1005" s="538">
        <v>1E-3</v>
      </c>
      <c r="G1005" s="539">
        <f>VLOOKUP(D1005,upahbahan,3,FALSE)</f>
        <v>160000</v>
      </c>
      <c r="H1005" s="539">
        <f t="shared" si="102"/>
        <v>160</v>
      </c>
      <c r="J1005" s="536"/>
      <c r="K1005" s="824"/>
    </row>
    <row r="1006" spans="3:11" ht="25.8" customHeight="1">
      <c r="C1006" s="702" t="s">
        <v>1208</v>
      </c>
      <c r="D1006" s="208"/>
      <c r="E1006" s="208"/>
      <c r="F1006" s="811"/>
      <c r="G1006" s="522"/>
      <c r="H1006" s="539">
        <f>SUM(H1002:H1005)</f>
        <v>8560</v>
      </c>
      <c r="I1006" s="819"/>
      <c r="J1006" s="536"/>
      <c r="K1006" s="824"/>
    </row>
    <row r="1007" spans="3:11" ht="25.8" customHeight="1">
      <c r="C1007" s="213" t="s">
        <v>1209</v>
      </c>
      <c r="D1007" s="212" t="s">
        <v>1210</v>
      </c>
      <c r="E1007" s="534"/>
      <c r="F1007" s="831"/>
      <c r="G1007" s="534"/>
      <c r="H1007" s="534"/>
      <c r="J1007" s="536"/>
      <c r="K1007" s="824"/>
    </row>
    <row r="1008" spans="3:11" ht="25.8" customHeight="1">
      <c r="C1008" s="833" t="s">
        <v>1203</v>
      </c>
      <c r="D1008" s="820" t="s">
        <v>3287</v>
      </c>
      <c r="E1008" s="807" t="s">
        <v>113</v>
      </c>
      <c r="F1008" s="538">
        <v>1.1499999999999999</v>
      </c>
      <c r="G1008" s="539">
        <f>VLOOKUP(D1008,upahbahan,3,FALSE)</f>
        <v>51500</v>
      </c>
      <c r="H1008" s="539">
        <f>F1008*G1008</f>
        <v>59224.999999999993</v>
      </c>
      <c r="J1008" s="536"/>
      <c r="K1008" s="824"/>
    </row>
    <row r="1009" spans="3:11" ht="25.8" customHeight="1">
      <c r="C1009" s="833" t="s">
        <v>1204</v>
      </c>
      <c r="D1009" s="820" t="s">
        <v>958</v>
      </c>
      <c r="E1009" s="807" t="s">
        <v>113</v>
      </c>
      <c r="F1009" s="538">
        <v>1.1499999999999999</v>
      </c>
      <c r="G1009" s="539">
        <f>VLOOKUP(D1009,upahbahan,3,FALSE)</f>
        <v>0</v>
      </c>
      <c r="H1009" s="539">
        <f t="shared" ref="H1009" si="103">F1009*G1009</f>
        <v>0</v>
      </c>
      <c r="J1009" s="536"/>
      <c r="K1009" s="824"/>
    </row>
    <row r="1010" spans="3:11" ht="25.8" customHeight="1">
      <c r="C1010" s="702" t="s">
        <v>1214</v>
      </c>
      <c r="D1010" s="208"/>
      <c r="E1010" s="208"/>
      <c r="F1010" s="208"/>
      <c r="G1010" s="209"/>
      <c r="H1010" s="539">
        <f>SUM(H1008:H1009)</f>
        <v>59224.999999999993</v>
      </c>
      <c r="J1010" s="536"/>
      <c r="K1010" s="824"/>
    </row>
    <row r="1011" spans="3:11" ht="25.8" customHeight="1">
      <c r="C1011" s="213" t="s">
        <v>1215</v>
      </c>
      <c r="D1011" s="212" t="s">
        <v>1216</v>
      </c>
      <c r="E1011" s="534"/>
      <c r="F1011" s="534"/>
      <c r="G1011" s="534"/>
      <c r="H1011" s="534"/>
      <c r="J1011" s="536"/>
      <c r="K1011" s="824"/>
    </row>
    <row r="1012" spans="3:11" ht="25.8" customHeight="1">
      <c r="C1012" s="702" t="s">
        <v>1217</v>
      </c>
      <c r="D1012" s="208"/>
      <c r="E1012" s="208"/>
      <c r="F1012" s="208"/>
      <c r="G1012" s="209"/>
      <c r="H1012" s="821">
        <v>0</v>
      </c>
      <c r="J1012" s="536"/>
      <c r="K1012" s="824"/>
    </row>
    <row r="1013" spans="3:11" ht="25.8" customHeight="1">
      <c r="C1013" s="566" t="s">
        <v>1218</v>
      </c>
      <c r="D1013" s="552" t="s">
        <v>1219</v>
      </c>
      <c r="E1013" s="553"/>
      <c r="F1013" s="553"/>
      <c r="G1013" s="554"/>
      <c r="H1013" s="826">
        <f>H1012+H1010+H1006</f>
        <v>67785</v>
      </c>
      <c r="I1013" s="827"/>
      <c r="J1013" s="536"/>
      <c r="K1013" s="824"/>
    </row>
    <row r="1014" spans="3:11" ht="25.8" customHeight="1">
      <c r="C1014" s="566" t="s">
        <v>1220</v>
      </c>
      <c r="D1014" s="552" t="s">
        <v>1321</v>
      </c>
      <c r="E1014" s="553"/>
      <c r="F1014" s="554"/>
      <c r="G1014" s="555">
        <f>$M$9</f>
        <v>0.1</v>
      </c>
      <c r="H1014" s="539">
        <f>H1013*G1014</f>
        <v>6778.5</v>
      </c>
      <c r="I1014" s="827"/>
      <c r="J1014" s="536"/>
      <c r="K1014" s="824"/>
    </row>
    <row r="1015" spans="3:11" ht="25.8" customHeight="1">
      <c r="C1015" s="566" t="s">
        <v>1221</v>
      </c>
      <c r="D1015" s="552" t="s">
        <v>1222</v>
      </c>
      <c r="E1015" s="553"/>
      <c r="F1015" s="553"/>
      <c r="G1015" s="554"/>
      <c r="H1015" s="828">
        <f>SUM(H1013:H1014)</f>
        <v>74563.5</v>
      </c>
      <c r="I1015" s="827"/>
      <c r="J1015" s="536"/>
      <c r="K1015" s="824"/>
    </row>
    <row r="1016" spans="3:11" ht="25.8" customHeight="1">
      <c r="C1016" s="572"/>
      <c r="D1016" s="834"/>
      <c r="E1016" s="834"/>
      <c r="F1016" s="834"/>
      <c r="G1016" s="834"/>
      <c r="H1016" s="835"/>
      <c r="J1016" s="536"/>
      <c r="K1016" s="824"/>
    </row>
    <row r="1017" spans="3:11" ht="25.8" customHeight="1">
      <c r="C1017" s="572"/>
      <c r="D1017" s="834"/>
      <c r="E1017" s="834"/>
      <c r="F1017" s="834"/>
      <c r="G1017" s="834"/>
      <c r="H1017" s="835"/>
      <c r="J1017" s="536"/>
      <c r="K1017" s="824"/>
    </row>
    <row r="1018" spans="3:11" ht="25.8" customHeight="1">
      <c r="C1018" s="513" t="s">
        <v>3288</v>
      </c>
      <c r="D1018" s="817" t="s">
        <v>3289</v>
      </c>
      <c r="E1018" s="803"/>
      <c r="F1018" s="803"/>
      <c r="G1018" s="803"/>
      <c r="H1018" s="803"/>
      <c r="I1018" s="533">
        <f>ROUNDDOWN(H1034,-2)</f>
        <v>74500</v>
      </c>
      <c r="J1018" s="536"/>
      <c r="K1018" s="824"/>
    </row>
    <row r="1019" spans="3:11" ht="25.8" customHeight="1">
      <c r="C1019" s="716" t="s">
        <v>1195</v>
      </c>
      <c r="D1019" s="716" t="s">
        <v>1196</v>
      </c>
      <c r="E1019" s="716" t="s">
        <v>1197</v>
      </c>
      <c r="F1019" s="716" t="s">
        <v>1198</v>
      </c>
      <c r="G1019" s="716" t="s">
        <v>1199</v>
      </c>
      <c r="H1019" s="716" t="s">
        <v>1200</v>
      </c>
      <c r="J1019" s="536"/>
      <c r="K1019" s="824"/>
    </row>
    <row r="1020" spans="3:11" ht="25.8" customHeight="1">
      <c r="C1020" s="213" t="s">
        <v>1201</v>
      </c>
      <c r="D1020" s="212" t="s">
        <v>1202</v>
      </c>
      <c r="E1020" s="534"/>
      <c r="F1020" s="534"/>
      <c r="G1020" s="534"/>
      <c r="H1020" s="534"/>
      <c r="J1020" s="536"/>
      <c r="K1020" s="824"/>
    </row>
    <row r="1021" spans="3:11" ht="25.8" customHeight="1">
      <c r="C1021" s="818">
        <v>1</v>
      </c>
      <c r="D1021" s="212" t="s">
        <v>5</v>
      </c>
      <c r="E1021" s="212" t="s">
        <v>6</v>
      </c>
      <c r="F1021" s="538">
        <v>2.4E-2</v>
      </c>
      <c r="G1021" s="539">
        <f>VLOOKUP(D1021,upahbahan,3,FALSE)</f>
        <v>100000</v>
      </c>
      <c r="H1021" s="539">
        <f t="shared" ref="H1021:H1024" si="104">F1021*G1021</f>
        <v>2400</v>
      </c>
      <c r="J1021" s="536"/>
      <c r="K1021" s="824"/>
    </row>
    <row r="1022" spans="3:11" ht="25.8" customHeight="1">
      <c r="C1022" s="818">
        <v>2</v>
      </c>
      <c r="D1022" s="212" t="s">
        <v>3295</v>
      </c>
      <c r="E1022" s="212" t="s">
        <v>6</v>
      </c>
      <c r="F1022" s="538">
        <v>0.04</v>
      </c>
      <c r="G1022" s="539">
        <f>VLOOKUP(D1022,upahbahan,3,FALSE)</f>
        <v>135000</v>
      </c>
      <c r="H1022" s="539">
        <f t="shared" si="104"/>
        <v>5400</v>
      </c>
      <c r="J1022" s="536"/>
      <c r="K1022" s="824"/>
    </row>
    <row r="1023" spans="3:11" ht="25.8" customHeight="1">
      <c r="C1023" s="818">
        <v>3</v>
      </c>
      <c r="D1023" s="212" t="s">
        <v>18</v>
      </c>
      <c r="E1023" s="212" t="s">
        <v>6</v>
      </c>
      <c r="F1023" s="538">
        <v>4.0000000000000001E-3</v>
      </c>
      <c r="G1023" s="539">
        <f>VLOOKUP(D1023,upahbahan,3,FALSE)</f>
        <v>150000</v>
      </c>
      <c r="H1023" s="539">
        <f t="shared" si="104"/>
        <v>600</v>
      </c>
      <c r="J1023" s="536"/>
      <c r="K1023" s="824"/>
    </row>
    <row r="1024" spans="3:11" ht="25.8" customHeight="1">
      <c r="C1024" s="818">
        <v>4</v>
      </c>
      <c r="D1024" s="212" t="s">
        <v>19</v>
      </c>
      <c r="E1024" s="212" t="s">
        <v>6</v>
      </c>
      <c r="F1024" s="538">
        <v>1E-3</v>
      </c>
      <c r="G1024" s="539">
        <f>VLOOKUP(D1024,upahbahan,3,FALSE)</f>
        <v>160000</v>
      </c>
      <c r="H1024" s="539">
        <f t="shared" si="104"/>
        <v>160</v>
      </c>
      <c r="J1024" s="536"/>
      <c r="K1024" s="824"/>
    </row>
    <row r="1025" spans="3:11" ht="25.8" customHeight="1">
      <c r="C1025" s="702" t="s">
        <v>1208</v>
      </c>
      <c r="D1025" s="208"/>
      <c r="E1025" s="208"/>
      <c r="F1025" s="811"/>
      <c r="G1025" s="522"/>
      <c r="H1025" s="539">
        <f>SUM(H1021:H1024)</f>
        <v>8560</v>
      </c>
      <c r="I1025" s="819"/>
      <c r="J1025" s="536"/>
      <c r="K1025" s="824"/>
    </row>
    <row r="1026" spans="3:11" ht="25.8" customHeight="1">
      <c r="C1026" s="213" t="s">
        <v>1209</v>
      </c>
      <c r="D1026" s="212" t="s">
        <v>1210</v>
      </c>
      <c r="E1026" s="534"/>
      <c r="F1026" s="831"/>
      <c r="G1026" s="534"/>
      <c r="H1026" s="534"/>
      <c r="J1026" s="536"/>
      <c r="K1026" s="824"/>
    </row>
    <row r="1027" spans="3:11" ht="25.8" customHeight="1">
      <c r="C1027" s="833" t="s">
        <v>1203</v>
      </c>
      <c r="D1027" s="820" t="s">
        <v>3287</v>
      </c>
      <c r="E1027" s="807" t="s">
        <v>113</v>
      </c>
      <c r="F1027" s="538">
        <v>1.1499999999999999</v>
      </c>
      <c r="G1027" s="539">
        <f>VLOOKUP(D1027,upahbahan,3,FALSE)</f>
        <v>51500</v>
      </c>
      <c r="H1027" s="539">
        <f>F1027*G1027</f>
        <v>59224.999999999993</v>
      </c>
      <c r="J1027" s="536"/>
      <c r="K1027" s="824"/>
    </row>
    <row r="1028" spans="3:11" ht="25.8" customHeight="1">
      <c r="C1028" s="833" t="s">
        <v>1204</v>
      </c>
      <c r="D1028" s="820" t="s">
        <v>3283</v>
      </c>
      <c r="E1028" s="807" t="s">
        <v>113</v>
      </c>
      <c r="F1028" s="538">
        <v>1.1499999999999999</v>
      </c>
      <c r="G1028" s="539">
        <f>VLOOKUP(D1028,upahbahan,3,FALSE)</f>
        <v>0</v>
      </c>
      <c r="H1028" s="539">
        <f t="shared" ref="H1028" si="105">F1028*G1028</f>
        <v>0</v>
      </c>
      <c r="J1028" s="536"/>
      <c r="K1028" s="824"/>
    </row>
    <row r="1029" spans="3:11" ht="25.8" customHeight="1">
      <c r="C1029" s="702" t="s">
        <v>1214</v>
      </c>
      <c r="D1029" s="208"/>
      <c r="E1029" s="208"/>
      <c r="F1029" s="208"/>
      <c r="G1029" s="209"/>
      <c r="H1029" s="539">
        <f>SUM(H1027:H1028)</f>
        <v>59224.999999999993</v>
      </c>
      <c r="J1029" s="536"/>
      <c r="K1029" s="824"/>
    </row>
    <row r="1030" spans="3:11" ht="25.8" customHeight="1">
      <c r="C1030" s="213" t="s">
        <v>1215</v>
      </c>
      <c r="D1030" s="212" t="s">
        <v>1216</v>
      </c>
      <c r="E1030" s="534"/>
      <c r="F1030" s="534"/>
      <c r="G1030" s="534"/>
      <c r="H1030" s="534"/>
      <c r="J1030" s="536"/>
      <c r="K1030" s="824"/>
    </row>
    <row r="1031" spans="3:11" ht="25.8" customHeight="1">
      <c r="C1031" s="702" t="s">
        <v>1217</v>
      </c>
      <c r="D1031" s="208"/>
      <c r="E1031" s="208"/>
      <c r="F1031" s="208"/>
      <c r="G1031" s="209"/>
      <c r="H1031" s="821">
        <v>0</v>
      </c>
      <c r="J1031" s="536"/>
      <c r="K1031" s="824"/>
    </row>
    <row r="1032" spans="3:11" ht="25.8" customHeight="1">
      <c r="C1032" s="566" t="s">
        <v>1218</v>
      </c>
      <c r="D1032" s="552" t="s">
        <v>1219</v>
      </c>
      <c r="E1032" s="553"/>
      <c r="F1032" s="553"/>
      <c r="G1032" s="554"/>
      <c r="H1032" s="826">
        <f>H1031+H1029+H1025</f>
        <v>67785</v>
      </c>
      <c r="I1032" s="827"/>
      <c r="J1032" s="536"/>
      <c r="K1032" s="824"/>
    </row>
    <row r="1033" spans="3:11" ht="25.8" customHeight="1">
      <c r="C1033" s="566" t="s">
        <v>1220</v>
      </c>
      <c r="D1033" s="552" t="s">
        <v>1321</v>
      </c>
      <c r="E1033" s="553"/>
      <c r="F1033" s="554"/>
      <c r="G1033" s="555">
        <f>$M$9</f>
        <v>0.1</v>
      </c>
      <c r="H1033" s="539">
        <f>H1032*G1033</f>
        <v>6778.5</v>
      </c>
      <c r="I1033" s="827"/>
      <c r="J1033" s="536"/>
      <c r="K1033" s="824"/>
    </row>
    <row r="1034" spans="3:11" ht="25.8" customHeight="1">
      <c r="C1034" s="566" t="s">
        <v>1221</v>
      </c>
      <c r="D1034" s="552" t="s">
        <v>1222</v>
      </c>
      <c r="E1034" s="553"/>
      <c r="F1034" s="553"/>
      <c r="G1034" s="554"/>
      <c r="H1034" s="828">
        <f>SUM(H1032:H1033)</f>
        <v>74563.5</v>
      </c>
      <c r="I1034" s="827"/>
      <c r="J1034" s="536"/>
      <c r="K1034" s="824"/>
    </row>
    <row r="1035" spans="3:11" ht="25.8" customHeight="1">
      <c r="C1035" s="572"/>
      <c r="D1035" s="834"/>
      <c r="E1035" s="834"/>
      <c r="F1035" s="834"/>
      <c r="G1035" s="834"/>
      <c r="H1035" s="835"/>
      <c r="J1035" s="536"/>
      <c r="K1035" s="824"/>
    </row>
    <row r="1036" spans="3:11" ht="25.8" customHeight="1">
      <c r="C1036" s="513" t="s">
        <v>3290</v>
      </c>
      <c r="D1036" s="817" t="s">
        <v>3291</v>
      </c>
      <c r="E1036" s="803"/>
      <c r="F1036" s="803"/>
      <c r="G1036" s="803"/>
      <c r="H1036" s="803"/>
      <c r="I1036" s="533">
        <f>ROUNDDOWN(H1051,-2)</f>
        <v>104300</v>
      </c>
      <c r="J1036" s="536"/>
      <c r="K1036" s="824"/>
    </row>
    <row r="1037" spans="3:11" ht="25.8" customHeight="1">
      <c r="C1037" s="716" t="s">
        <v>1195</v>
      </c>
      <c r="D1037" s="716" t="s">
        <v>1196</v>
      </c>
      <c r="E1037" s="716" t="s">
        <v>1197</v>
      </c>
      <c r="F1037" s="716" t="s">
        <v>1198</v>
      </c>
      <c r="G1037" s="716" t="s">
        <v>1199</v>
      </c>
      <c r="H1037" s="716" t="s">
        <v>1200</v>
      </c>
      <c r="J1037" s="536"/>
      <c r="K1037" s="824"/>
    </row>
    <row r="1038" spans="3:11" ht="25.8" customHeight="1">
      <c r="C1038" s="213" t="s">
        <v>1201</v>
      </c>
      <c r="D1038" s="212" t="s">
        <v>1202</v>
      </c>
      <c r="E1038" s="534"/>
      <c r="F1038" s="534"/>
      <c r="G1038" s="534"/>
      <c r="H1038" s="534"/>
      <c r="J1038" s="536"/>
      <c r="K1038" s="824"/>
    </row>
    <row r="1039" spans="3:11" ht="25.8" customHeight="1">
      <c r="C1039" s="818">
        <v>1</v>
      </c>
      <c r="D1039" s="212" t="s">
        <v>5</v>
      </c>
      <c r="E1039" s="212" t="s">
        <v>6</v>
      </c>
      <c r="F1039" s="538">
        <v>3.5999999999999997E-2</v>
      </c>
      <c r="G1039" s="539">
        <f>VLOOKUP(D1039,upahbahan,3,FALSE)</f>
        <v>100000</v>
      </c>
      <c r="H1039" s="539">
        <f t="shared" ref="H1039:H1042" si="106">F1039*G1039</f>
        <v>3599.9999999999995</v>
      </c>
      <c r="J1039" s="536"/>
      <c r="K1039" s="824"/>
    </row>
    <row r="1040" spans="3:11" ht="25.8" customHeight="1">
      <c r="C1040" s="818">
        <v>2</v>
      </c>
      <c r="D1040" s="212" t="str">
        <f>D1022</f>
        <v>Tukang Listrik</v>
      </c>
      <c r="E1040" s="212" t="s">
        <v>6</v>
      </c>
      <c r="F1040" s="538">
        <v>0.06</v>
      </c>
      <c r="G1040" s="539">
        <f>VLOOKUP(D1040,upahbahan,3,FALSE)</f>
        <v>135000</v>
      </c>
      <c r="H1040" s="539">
        <f t="shared" si="106"/>
        <v>8100</v>
      </c>
      <c r="J1040" s="536"/>
      <c r="K1040" s="824"/>
    </row>
    <row r="1041" spans="3:11" ht="25.8" customHeight="1">
      <c r="C1041" s="818">
        <v>3</v>
      </c>
      <c r="D1041" s="212" t="s">
        <v>18</v>
      </c>
      <c r="E1041" s="212" t="s">
        <v>6</v>
      </c>
      <c r="F1041" s="538">
        <v>6.0000000000000001E-3</v>
      </c>
      <c r="G1041" s="539">
        <f>VLOOKUP(D1041,upahbahan,3,FALSE)</f>
        <v>150000</v>
      </c>
      <c r="H1041" s="539">
        <f t="shared" si="106"/>
        <v>900</v>
      </c>
      <c r="J1041" s="536"/>
      <c r="K1041" s="824"/>
    </row>
    <row r="1042" spans="3:11" ht="25.8" customHeight="1">
      <c r="C1042" s="818">
        <v>4</v>
      </c>
      <c r="D1042" s="212" t="s">
        <v>19</v>
      </c>
      <c r="E1042" s="212" t="s">
        <v>6</v>
      </c>
      <c r="F1042" s="538">
        <v>2E-3</v>
      </c>
      <c r="G1042" s="539">
        <f>VLOOKUP(D1042,upahbahan,3,FALSE)</f>
        <v>160000</v>
      </c>
      <c r="H1042" s="539">
        <f t="shared" si="106"/>
        <v>320</v>
      </c>
      <c r="J1042" s="536"/>
      <c r="K1042" s="824"/>
    </row>
    <row r="1043" spans="3:11" ht="25.8" customHeight="1">
      <c r="C1043" s="702" t="s">
        <v>1208</v>
      </c>
      <c r="D1043" s="208"/>
      <c r="E1043" s="208"/>
      <c r="F1043" s="811"/>
      <c r="G1043" s="522"/>
      <c r="H1043" s="539">
        <f>SUM(H1039:H1042)</f>
        <v>12920</v>
      </c>
      <c r="I1043" s="819"/>
      <c r="J1043" s="536"/>
      <c r="K1043" s="824"/>
    </row>
    <row r="1044" spans="3:11" ht="25.8" customHeight="1">
      <c r="C1044" s="213" t="s">
        <v>1209</v>
      </c>
      <c r="D1044" s="212" t="s">
        <v>1210</v>
      </c>
      <c r="E1044" s="534"/>
      <c r="F1044" s="831"/>
      <c r="G1044" s="534"/>
      <c r="H1044" s="534"/>
      <c r="J1044" s="536"/>
      <c r="K1044" s="824"/>
    </row>
    <row r="1045" spans="3:11" ht="25.8" customHeight="1">
      <c r="C1045" s="833" t="s">
        <v>1203</v>
      </c>
      <c r="D1045" s="820" t="s">
        <v>3292</v>
      </c>
      <c r="E1045" s="807" t="s">
        <v>113</v>
      </c>
      <c r="F1045" s="538">
        <v>1.1499999999999999</v>
      </c>
      <c r="G1045" s="539">
        <f>VLOOKUP(D1045,upahbahan,3,FALSE)</f>
        <v>71250</v>
      </c>
      <c r="H1045" s="539">
        <f>F1045*G1045</f>
        <v>81937.5</v>
      </c>
      <c r="J1045" s="536"/>
      <c r="K1045" s="824"/>
    </row>
    <row r="1046" spans="3:11" ht="25.8" customHeight="1">
      <c r="C1046" s="702" t="s">
        <v>1214</v>
      </c>
      <c r="D1046" s="208"/>
      <c r="E1046" s="208"/>
      <c r="F1046" s="208"/>
      <c r="G1046" s="209"/>
      <c r="H1046" s="539">
        <f>SUM(H1045:H1045)</f>
        <v>81937.5</v>
      </c>
      <c r="J1046" s="536"/>
      <c r="K1046" s="824"/>
    </row>
    <row r="1047" spans="3:11" ht="25.8" customHeight="1">
      <c r="C1047" s="213" t="s">
        <v>1215</v>
      </c>
      <c r="D1047" s="212" t="s">
        <v>1216</v>
      </c>
      <c r="E1047" s="534"/>
      <c r="F1047" s="534"/>
      <c r="G1047" s="534"/>
      <c r="H1047" s="534"/>
      <c r="J1047" s="536"/>
      <c r="K1047" s="824"/>
    </row>
    <row r="1048" spans="3:11" ht="25.8" customHeight="1">
      <c r="C1048" s="702" t="s">
        <v>1217</v>
      </c>
      <c r="D1048" s="208"/>
      <c r="E1048" s="208"/>
      <c r="F1048" s="208"/>
      <c r="G1048" s="209"/>
      <c r="H1048" s="821">
        <v>0</v>
      </c>
      <c r="J1048" s="536"/>
      <c r="K1048" s="824"/>
    </row>
    <row r="1049" spans="3:11" ht="25.8" customHeight="1">
      <c r="C1049" s="566" t="s">
        <v>1218</v>
      </c>
      <c r="D1049" s="552" t="s">
        <v>1219</v>
      </c>
      <c r="E1049" s="553"/>
      <c r="F1049" s="553"/>
      <c r="G1049" s="554"/>
      <c r="H1049" s="826">
        <f>H1048+H1046+H1043</f>
        <v>94857.5</v>
      </c>
      <c r="I1049" s="827"/>
      <c r="J1049" s="536"/>
      <c r="K1049" s="824"/>
    </row>
    <row r="1050" spans="3:11" ht="25.8" customHeight="1">
      <c r="C1050" s="566" t="s">
        <v>1220</v>
      </c>
      <c r="D1050" s="552" t="s">
        <v>1321</v>
      </c>
      <c r="E1050" s="553"/>
      <c r="F1050" s="554"/>
      <c r="G1050" s="555">
        <f>$M$9</f>
        <v>0.1</v>
      </c>
      <c r="H1050" s="539">
        <f>H1049*G1050</f>
        <v>9485.75</v>
      </c>
      <c r="I1050" s="827"/>
      <c r="J1050" s="536"/>
      <c r="K1050" s="824"/>
    </row>
    <row r="1051" spans="3:11" ht="25.8" customHeight="1">
      <c r="C1051" s="566" t="s">
        <v>1221</v>
      </c>
      <c r="D1051" s="552" t="s">
        <v>1222</v>
      </c>
      <c r="E1051" s="553"/>
      <c r="F1051" s="553"/>
      <c r="G1051" s="554"/>
      <c r="H1051" s="828">
        <f>SUM(H1049:H1050)</f>
        <v>104343.25</v>
      </c>
      <c r="I1051" s="827"/>
      <c r="J1051" s="536"/>
      <c r="K1051" s="824"/>
    </row>
    <row r="1052" spans="3:11" ht="25.8" customHeight="1">
      <c r="C1052" s="572"/>
      <c r="D1052" s="834"/>
      <c r="E1052" s="834"/>
      <c r="F1052" s="834"/>
      <c r="G1052" s="834"/>
      <c r="H1052" s="835"/>
      <c r="J1052" s="536"/>
      <c r="K1052" s="824"/>
    </row>
    <row r="1053" spans="3:11" ht="25.8" customHeight="1">
      <c r="C1053" s="513" t="s">
        <v>3293</v>
      </c>
      <c r="D1053" s="817" t="s">
        <v>3294</v>
      </c>
      <c r="E1053" s="803"/>
      <c r="F1053" s="803"/>
      <c r="G1053" s="803"/>
      <c r="H1053" s="803"/>
      <c r="I1053" s="533">
        <f>ROUNDDOWN(H1068,-2)</f>
        <v>252400</v>
      </c>
      <c r="J1053" s="536"/>
      <c r="K1053" s="824"/>
    </row>
    <row r="1054" spans="3:11" ht="25.8" customHeight="1">
      <c r="C1054" s="716" t="s">
        <v>1195</v>
      </c>
      <c r="D1054" s="716" t="s">
        <v>1196</v>
      </c>
      <c r="E1054" s="716" t="s">
        <v>1197</v>
      </c>
      <c r="F1054" s="716" t="s">
        <v>1198</v>
      </c>
      <c r="G1054" s="716" t="s">
        <v>1199</v>
      </c>
      <c r="H1054" s="716" t="s">
        <v>1200</v>
      </c>
      <c r="J1054" s="536"/>
      <c r="K1054" s="824"/>
    </row>
    <row r="1055" spans="3:11" ht="25.8" customHeight="1">
      <c r="C1055" s="213" t="s">
        <v>1201</v>
      </c>
      <c r="D1055" s="212" t="s">
        <v>1202</v>
      </c>
      <c r="E1055" s="534"/>
      <c r="F1055" s="534"/>
      <c r="G1055" s="534"/>
      <c r="H1055" s="534"/>
      <c r="J1055" s="536"/>
      <c r="K1055" s="824"/>
    </row>
    <row r="1056" spans="3:11" ht="25.8" customHeight="1">
      <c r="C1056" s="818">
        <v>1</v>
      </c>
      <c r="D1056" s="212" t="s">
        <v>5</v>
      </c>
      <c r="E1056" s="212" t="s">
        <v>6</v>
      </c>
      <c r="F1056" s="538">
        <v>0.06</v>
      </c>
      <c r="G1056" s="539">
        <f>VLOOKUP(D1056,upahbahan,3,FALSE)</f>
        <v>100000</v>
      </c>
      <c r="H1056" s="539">
        <f t="shared" ref="H1056:H1059" si="107">F1056*G1056</f>
        <v>6000</v>
      </c>
      <c r="J1056" s="536"/>
      <c r="K1056" s="824"/>
    </row>
    <row r="1057" spans="3:11" ht="25.8" customHeight="1">
      <c r="C1057" s="818">
        <v>2</v>
      </c>
      <c r="D1057" s="212" t="s">
        <v>3295</v>
      </c>
      <c r="E1057" s="212" t="s">
        <v>6</v>
      </c>
      <c r="F1057" s="538">
        <v>9.9000000000000005E-2</v>
      </c>
      <c r="G1057" s="539">
        <f>VLOOKUP(D1057,upahbahan,3,FALSE)</f>
        <v>135000</v>
      </c>
      <c r="H1057" s="539">
        <f t="shared" si="107"/>
        <v>13365</v>
      </c>
      <c r="J1057" s="536"/>
      <c r="K1057" s="824"/>
    </row>
    <row r="1058" spans="3:11" ht="25.8" customHeight="1">
      <c r="C1058" s="818">
        <v>3</v>
      </c>
      <c r="D1058" s="212" t="s">
        <v>18</v>
      </c>
      <c r="E1058" s="212" t="s">
        <v>6</v>
      </c>
      <c r="F1058" s="538">
        <v>0.01</v>
      </c>
      <c r="G1058" s="539">
        <f>VLOOKUP(D1058,upahbahan,3,FALSE)</f>
        <v>150000</v>
      </c>
      <c r="H1058" s="539">
        <f t="shared" si="107"/>
        <v>1500</v>
      </c>
      <c r="J1058" s="536"/>
      <c r="K1058" s="824"/>
    </row>
    <row r="1059" spans="3:11" ht="25.8" customHeight="1">
      <c r="C1059" s="818">
        <v>4</v>
      </c>
      <c r="D1059" s="212" t="s">
        <v>19</v>
      </c>
      <c r="E1059" s="212" t="s">
        <v>6</v>
      </c>
      <c r="F1059" s="538">
        <v>3.0000000000000001E-3</v>
      </c>
      <c r="G1059" s="539">
        <f>VLOOKUP(D1059,upahbahan,3,FALSE)</f>
        <v>160000</v>
      </c>
      <c r="H1059" s="539">
        <f t="shared" si="107"/>
        <v>480</v>
      </c>
      <c r="J1059" s="536"/>
      <c r="K1059" s="824"/>
    </row>
    <row r="1060" spans="3:11" ht="25.8" customHeight="1">
      <c r="C1060" s="702" t="s">
        <v>1208</v>
      </c>
      <c r="D1060" s="208"/>
      <c r="E1060" s="208"/>
      <c r="F1060" s="811"/>
      <c r="G1060" s="522"/>
      <c r="H1060" s="539">
        <f>SUM(H1056:H1059)</f>
        <v>21345</v>
      </c>
      <c r="I1060" s="819"/>
      <c r="J1060" s="536"/>
      <c r="K1060" s="824"/>
    </row>
    <row r="1061" spans="3:11" ht="25.8" customHeight="1">
      <c r="C1061" s="213" t="s">
        <v>1209</v>
      </c>
      <c r="D1061" s="212" t="s">
        <v>1210</v>
      </c>
      <c r="E1061" s="534"/>
      <c r="F1061" s="831"/>
      <c r="G1061" s="534"/>
      <c r="H1061" s="534"/>
      <c r="J1061" s="536"/>
      <c r="K1061" s="824"/>
    </row>
    <row r="1062" spans="3:11" ht="25.8" customHeight="1">
      <c r="C1062" s="833" t="s">
        <v>1203</v>
      </c>
      <c r="D1062" s="820" t="s">
        <v>3296</v>
      </c>
      <c r="E1062" s="807" t="s">
        <v>113</v>
      </c>
      <c r="F1062" s="538">
        <v>1.1499999999999999</v>
      </c>
      <c r="G1062" s="539">
        <f>VLOOKUP(D1062,upahbahan,3,FALSE)</f>
        <v>181000</v>
      </c>
      <c r="H1062" s="539">
        <f>F1062*G1062</f>
        <v>208149.99999999997</v>
      </c>
      <c r="J1062" s="536"/>
      <c r="K1062" s="824"/>
    </row>
    <row r="1063" spans="3:11" ht="25.8" customHeight="1">
      <c r="C1063" s="702" t="s">
        <v>1214</v>
      </c>
      <c r="D1063" s="208"/>
      <c r="E1063" s="208"/>
      <c r="F1063" s="208"/>
      <c r="G1063" s="209"/>
      <c r="H1063" s="539">
        <f>SUM(H1062:H1062)</f>
        <v>208149.99999999997</v>
      </c>
      <c r="J1063" s="536"/>
      <c r="K1063" s="824"/>
    </row>
    <row r="1064" spans="3:11" ht="25.8" customHeight="1">
      <c r="C1064" s="213" t="s">
        <v>1215</v>
      </c>
      <c r="D1064" s="212" t="s">
        <v>1216</v>
      </c>
      <c r="E1064" s="534"/>
      <c r="F1064" s="534"/>
      <c r="G1064" s="534"/>
      <c r="H1064" s="534"/>
      <c r="J1064" s="536"/>
      <c r="K1064" s="824"/>
    </row>
    <row r="1065" spans="3:11" ht="25.8" customHeight="1">
      <c r="C1065" s="702" t="s">
        <v>1217</v>
      </c>
      <c r="D1065" s="208"/>
      <c r="E1065" s="208"/>
      <c r="F1065" s="208"/>
      <c r="G1065" s="209"/>
      <c r="H1065" s="821">
        <v>0</v>
      </c>
      <c r="J1065" s="536"/>
      <c r="K1065" s="824"/>
    </row>
    <row r="1066" spans="3:11" ht="25.8" customHeight="1">
      <c r="C1066" s="566" t="s">
        <v>1218</v>
      </c>
      <c r="D1066" s="552" t="s">
        <v>1219</v>
      </c>
      <c r="E1066" s="553"/>
      <c r="F1066" s="553"/>
      <c r="G1066" s="554"/>
      <c r="H1066" s="826">
        <f>H1065+H1063+H1060</f>
        <v>229494.99999999997</v>
      </c>
      <c r="I1066" s="827"/>
      <c r="J1066" s="536"/>
      <c r="K1066" s="824"/>
    </row>
    <row r="1067" spans="3:11" ht="25.8" customHeight="1">
      <c r="C1067" s="566" t="s">
        <v>1220</v>
      </c>
      <c r="D1067" s="552" t="s">
        <v>1321</v>
      </c>
      <c r="E1067" s="553"/>
      <c r="F1067" s="554"/>
      <c r="G1067" s="555">
        <f>$M$9</f>
        <v>0.1</v>
      </c>
      <c r="H1067" s="539">
        <f>H1066*G1067</f>
        <v>22949.5</v>
      </c>
      <c r="I1067" s="827"/>
      <c r="J1067" s="536"/>
      <c r="K1067" s="824"/>
    </row>
    <row r="1068" spans="3:11" ht="25.8" customHeight="1">
      <c r="C1068" s="566" t="s">
        <v>1221</v>
      </c>
      <c r="D1068" s="552" t="s">
        <v>1222</v>
      </c>
      <c r="E1068" s="553"/>
      <c r="F1068" s="553"/>
      <c r="G1068" s="554"/>
      <c r="H1068" s="828">
        <f>SUM(H1066:H1067)</f>
        <v>252444.49999999997</v>
      </c>
      <c r="I1068" s="827"/>
      <c r="J1068" s="536"/>
      <c r="K1068" s="824"/>
    </row>
    <row r="1069" spans="3:11" ht="25.8" customHeight="1">
      <c r="C1069" s="572"/>
      <c r="D1069" s="834"/>
      <c r="E1069" s="834"/>
      <c r="F1069" s="834"/>
      <c r="G1069" s="834"/>
      <c r="H1069" s="835"/>
      <c r="J1069" s="536"/>
      <c r="K1069" s="824"/>
    </row>
    <row r="1070" spans="3:11" ht="25.8" customHeight="1">
      <c r="C1070" s="512" t="s">
        <v>3297</v>
      </c>
      <c r="D1070" s="836" t="s">
        <v>3298</v>
      </c>
      <c r="E1070" s="834"/>
      <c r="F1070" s="834"/>
      <c r="G1070" s="834"/>
      <c r="H1070" s="835"/>
      <c r="J1070" s="536"/>
      <c r="K1070" s="824"/>
    </row>
    <row r="1071" spans="3:11" ht="25.8" customHeight="1">
      <c r="C1071" s="513" t="s">
        <v>3299</v>
      </c>
      <c r="D1071" s="817" t="s">
        <v>1684</v>
      </c>
      <c r="E1071" s="803"/>
      <c r="F1071" s="803"/>
      <c r="G1071" s="803"/>
      <c r="H1071" s="803"/>
      <c r="I1071" s="533">
        <f>ROUNDDOWN(H1086,-2)</f>
        <v>21100</v>
      </c>
      <c r="J1071" s="536"/>
      <c r="K1071" s="824"/>
    </row>
    <row r="1072" spans="3:11" ht="25.8" customHeight="1">
      <c r="C1072" s="716" t="s">
        <v>1195</v>
      </c>
      <c r="D1072" s="716" t="s">
        <v>1196</v>
      </c>
      <c r="E1072" s="716" t="s">
        <v>1197</v>
      </c>
      <c r="F1072" s="716" t="s">
        <v>1198</v>
      </c>
      <c r="G1072" s="716" t="s">
        <v>1199</v>
      </c>
      <c r="H1072" s="716" t="s">
        <v>1200</v>
      </c>
      <c r="J1072" s="536"/>
      <c r="K1072" s="824"/>
    </row>
    <row r="1073" spans="3:11" ht="25.8" customHeight="1">
      <c r="C1073" s="213" t="s">
        <v>1201</v>
      </c>
      <c r="D1073" s="212" t="s">
        <v>1202</v>
      </c>
      <c r="E1073" s="534"/>
      <c r="F1073" s="534"/>
      <c r="G1073" s="534"/>
      <c r="H1073" s="534"/>
      <c r="J1073" s="536"/>
      <c r="K1073" s="824"/>
    </row>
    <row r="1074" spans="3:11" ht="25.8" customHeight="1">
      <c r="C1074" s="818">
        <v>1</v>
      </c>
      <c r="D1074" s="212" t="s">
        <v>5</v>
      </c>
      <c r="E1074" s="212" t="s">
        <v>6</v>
      </c>
      <c r="F1074" s="538">
        <v>2.4E-2</v>
      </c>
      <c r="G1074" s="539">
        <f>VLOOKUP(D1074,upahbahan,3,FALSE)</f>
        <v>100000</v>
      </c>
      <c r="H1074" s="539">
        <f t="shared" ref="H1074:H1077" si="108">F1074*G1074</f>
        <v>2400</v>
      </c>
      <c r="J1074" s="536"/>
      <c r="K1074" s="824"/>
    </row>
    <row r="1075" spans="3:11" ht="25.8" customHeight="1">
      <c r="C1075" s="818">
        <v>2</v>
      </c>
      <c r="D1075" s="212" t="str">
        <f>D947</f>
        <v>Tukang listrik</v>
      </c>
      <c r="E1075" s="212" t="s">
        <v>6</v>
      </c>
      <c r="F1075" s="538">
        <v>0.04</v>
      </c>
      <c r="G1075" s="539">
        <f>VLOOKUP(D1075,upahbahan,3,FALSE)</f>
        <v>135000</v>
      </c>
      <c r="H1075" s="539">
        <f t="shared" si="108"/>
        <v>5400</v>
      </c>
      <c r="J1075" s="536"/>
      <c r="K1075" s="824"/>
    </row>
    <row r="1076" spans="3:11" ht="25.8" customHeight="1">
      <c r="C1076" s="818">
        <v>3</v>
      </c>
      <c r="D1076" s="212" t="s">
        <v>18</v>
      </c>
      <c r="E1076" s="212" t="s">
        <v>6</v>
      </c>
      <c r="F1076" s="538">
        <v>4.0000000000000001E-3</v>
      </c>
      <c r="G1076" s="539">
        <f>VLOOKUP(D1076,upahbahan,3,FALSE)</f>
        <v>150000</v>
      </c>
      <c r="H1076" s="539">
        <f t="shared" si="108"/>
        <v>600</v>
      </c>
      <c r="J1076" s="536"/>
      <c r="K1076" s="824"/>
    </row>
    <row r="1077" spans="3:11" ht="25.8" customHeight="1">
      <c r="C1077" s="818">
        <v>4</v>
      </c>
      <c r="D1077" s="212" t="s">
        <v>19</v>
      </c>
      <c r="E1077" s="212" t="s">
        <v>6</v>
      </c>
      <c r="F1077" s="538">
        <v>1E-3</v>
      </c>
      <c r="G1077" s="539">
        <f>VLOOKUP(D1077,upahbahan,3,FALSE)</f>
        <v>160000</v>
      </c>
      <c r="H1077" s="539">
        <f t="shared" si="108"/>
        <v>160</v>
      </c>
      <c r="J1077" s="536"/>
      <c r="K1077" s="824"/>
    </row>
    <row r="1078" spans="3:11" ht="25.8" customHeight="1">
      <c r="C1078" s="702" t="s">
        <v>1208</v>
      </c>
      <c r="D1078" s="208"/>
      <c r="E1078" s="208"/>
      <c r="F1078" s="811"/>
      <c r="G1078" s="522"/>
      <c r="H1078" s="539">
        <f>SUM(H1074:H1077)</f>
        <v>8560</v>
      </c>
      <c r="I1078" s="819"/>
      <c r="J1078" s="536"/>
      <c r="K1078" s="824"/>
    </row>
    <row r="1079" spans="3:11" ht="25.8" customHeight="1">
      <c r="C1079" s="213" t="s">
        <v>1209</v>
      </c>
      <c r="D1079" s="212" t="s">
        <v>1210</v>
      </c>
      <c r="E1079" s="534"/>
      <c r="F1079" s="831"/>
      <c r="G1079" s="534"/>
      <c r="H1079" s="534"/>
      <c r="J1079" s="536"/>
      <c r="K1079" s="824"/>
    </row>
    <row r="1080" spans="3:11" ht="25.8" customHeight="1">
      <c r="C1080" s="833" t="s">
        <v>1203</v>
      </c>
      <c r="D1080" s="820" t="s">
        <v>882</v>
      </c>
      <c r="E1080" s="807" t="s">
        <v>113</v>
      </c>
      <c r="F1080" s="538">
        <v>1.2</v>
      </c>
      <c r="G1080" s="539">
        <f>VLOOKUP(D1080,upahbahan,3,FALSE)</f>
        <v>8880</v>
      </c>
      <c r="H1080" s="539">
        <f t="shared" ref="H1080" si="109">F1080*G1080</f>
        <v>10656</v>
      </c>
      <c r="J1080" s="536"/>
      <c r="K1080" s="824"/>
    </row>
    <row r="1081" spans="3:11" ht="25.8" customHeight="1">
      <c r="C1081" s="702" t="s">
        <v>1214</v>
      </c>
      <c r="D1081" s="208"/>
      <c r="E1081" s="208"/>
      <c r="F1081" s="208"/>
      <c r="G1081" s="209"/>
      <c r="H1081" s="539">
        <f>SUM(H1080:H1080)</f>
        <v>10656</v>
      </c>
      <c r="J1081" s="536"/>
      <c r="K1081" s="824"/>
    </row>
    <row r="1082" spans="3:11" ht="25.8" customHeight="1">
      <c r="C1082" s="213" t="s">
        <v>1215</v>
      </c>
      <c r="D1082" s="212" t="s">
        <v>1216</v>
      </c>
      <c r="E1082" s="534"/>
      <c r="F1082" s="534"/>
      <c r="G1082" s="534"/>
      <c r="H1082" s="534"/>
      <c r="J1082" s="536"/>
      <c r="K1082" s="824"/>
    </row>
    <row r="1083" spans="3:11" ht="25.8" customHeight="1">
      <c r="C1083" s="702" t="s">
        <v>1217</v>
      </c>
      <c r="D1083" s="208"/>
      <c r="E1083" s="208"/>
      <c r="F1083" s="208"/>
      <c r="G1083" s="209"/>
      <c r="H1083" s="821">
        <v>0</v>
      </c>
      <c r="J1083" s="536"/>
      <c r="K1083" s="824"/>
    </row>
    <row r="1084" spans="3:11" ht="25.8" customHeight="1">
      <c r="C1084" s="566" t="s">
        <v>1218</v>
      </c>
      <c r="D1084" s="552" t="s">
        <v>1219</v>
      </c>
      <c r="E1084" s="553"/>
      <c r="F1084" s="553"/>
      <c r="G1084" s="554"/>
      <c r="H1084" s="826">
        <f>H1083+H1081+H1078</f>
        <v>19216</v>
      </c>
      <c r="I1084" s="827"/>
      <c r="J1084" s="536"/>
      <c r="K1084" s="824"/>
    </row>
    <row r="1085" spans="3:11" ht="25.8" customHeight="1">
      <c r="C1085" s="566" t="s">
        <v>1220</v>
      </c>
      <c r="D1085" s="552" t="s">
        <v>1321</v>
      </c>
      <c r="E1085" s="553"/>
      <c r="F1085" s="554"/>
      <c r="G1085" s="555">
        <f>$M$9</f>
        <v>0.1</v>
      </c>
      <c r="H1085" s="539">
        <f>H1084*G1085</f>
        <v>1921.6000000000001</v>
      </c>
      <c r="I1085" s="827"/>
      <c r="J1085" s="536"/>
      <c r="K1085" s="824"/>
    </row>
    <row r="1086" spans="3:11" ht="25.8" customHeight="1">
      <c r="C1086" s="566" t="s">
        <v>1221</v>
      </c>
      <c r="D1086" s="552" t="s">
        <v>1222</v>
      </c>
      <c r="E1086" s="553"/>
      <c r="F1086" s="553"/>
      <c r="G1086" s="554"/>
      <c r="H1086" s="828">
        <f>SUM(H1084:H1085)</f>
        <v>21137.599999999999</v>
      </c>
      <c r="I1086" s="827"/>
      <c r="J1086" s="536"/>
      <c r="K1086" s="824"/>
    </row>
    <row r="1087" spans="3:11" ht="25.8" customHeight="1">
      <c r="J1087" s="536"/>
      <c r="K1087" s="824"/>
    </row>
    <row r="1088" spans="3:11" ht="25.8" customHeight="1">
      <c r="C1088" s="513" t="s">
        <v>3300</v>
      </c>
      <c r="D1088" s="817" t="s">
        <v>1685</v>
      </c>
      <c r="E1088" s="803"/>
      <c r="F1088" s="803"/>
      <c r="G1088" s="803"/>
      <c r="H1088" s="803"/>
      <c r="I1088" s="533">
        <f>ROUNDDOWN(H1103,-2)</f>
        <v>26900</v>
      </c>
      <c r="J1088" s="536"/>
      <c r="K1088" s="824"/>
    </row>
    <row r="1089" spans="3:11" ht="25.8" customHeight="1">
      <c r="C1089" s="716" t="s">
        <v>1195</v>
      </c>
      <c r="D1089" s="716" t="s">
        <v>1196</v>
      </c>
      <c r="E1089" s="716" t="s">
        <v>1197</v>
      </c>
      <c r="F1089" s="716" t="s">
        <v>1198</v>
      </c>
      <c r="G1089" s="716" t="s">
        <v>1199</v>
      </c>
      <c r="H1089" s="716" t="s">
        <v>1200</v>
      </c>
      <c r="J1089" s="536"/>
      <c r="K1089" s="824"/>
    </row>
    <row r="1090" spans="3:11" ht="25.8" customHeight="1">
      <c r="C1090" s="213" t="s">
        <v>1201</v>
      </c>
      <c r="D1090" s="212" t="s">
        <v>1202</v>
      </c>
      <c r="E1090" s="534"/>
      <c r="F1090" s="534"/>
      <c r="G1090" s="534"/>
      <c r="H1090" s="534"/>
      <c r="J1090" s="536"/>
      <c r="K1090" s="824"/>
    </row>
    <row r="1091" spans="3:11" ht="25.8" customHeight="1">
      <c r="C1091" s="818">
        <v>1</v>
      </c>
      <c r="D1091" s="212" t="s">
        <v>5</v>
      </c>
      <c r="E1091" s="212" t="s">
        <v>6</v>
      </c>
      <c r="F1091" s="538">
        <v>2.4E-2</v>
      </c>
      <c r="G1091" s="539">
        <f>VLOOKUP(D1091,upahbahan,3,FALSE)</f>
        <v>100000</v>
      </c>
      <c r="H1091" s="539">
        <f t="shared" ref="H1091:H1094" si="110">F1091*G1091</f>
        <v>2400</v>
      </c>
      <c r="J1091" s="536"/>
      <c r="K1091" s="824"/>
    </row>
    <row r="1092" spans="3:11" ht="25.8" customHeight="1">
      <c r="C1092" s="818">
        <v>2</v>
      </c>
      <c r="D1092" s="212" t="str">
        <f>D1075</f>
        <v>Tukang listrik</v>
      </c>
      <c r="E1092" s="212" t="s">
        <v>6</v>
      </c>
      <c r="F1092" s="538">
        <v>0.04</v>
      </c>
      <c r="G1092" s="539">
        <f>VLOOKUP(D1092,upahbahan,3,FALSE)</f>
        <v>135000</v>
      </c>
      <c r="H1092" s="539">
        <f t="shared" si="110"/>
        <v>5400</v>
      </c>
      <c r="J1092" s="536"/>
      <c r="K1092" s="824"/>
    </row>
    <row r="1093" spans="3:11" ht="25.8" customHeight="1">
      <c r="C1093" s="818">
        <v>3</v>
      </c>
      <c r="D1093" s="212" t="s">
        <v>18</v>
      </c>
      <c r="E1093" s="212" t="s">
        <v>6</v>
      </c>
      <c r="F1093" s="538">
        <v>4.0000000000000001E-3</v>
      </c>
      <c r="G1093" s="539">
        <f>VLOOKUP(D1093,upahbahan,3,FALSE)</f>
        <v>150000</v>
      </c>
      <c r="H1093" s="539">
        <f t="shared" si="110"/>
        <v>600</v>
      </c>
      <c r="J1093" s="536"/>
      <c r="K1093" s="824"/>
    </row>
    <row r="1094" spans="3:11" ht="25.8" customHeight="1">
      <c r="C1094" s="818">
        <v>4</v>
      </c>
      <c r="D1094" s="212" t="s">
        <v>19</v>
      </c>
      <c r="E1094" s="212" t="s">
        <v>6</v>
      </c>
      <c r="F1094" s="538">
        <v>1E-3</v>
      </c>
      <c r="G1094" s="539">
        <f>VLOOKUP(D1094,upahbahan,3,FALSE)</f>
        <v>160000</v>
      </c>
      <c r="H1094" s="539">
        <f t="shared" si="110"/>
        <v>160</v>
      </c>
      <c r="J1094" s="536"/>
      <c r="K1094" s="824"/>
    </row>
    <row r="1095" spans="3:11" ht="25.8" customHeight="1">
      <c r="C1095" s="702" t="s">
        <v>1208</v>
      </c>
      <c r="D1095" s="208"/>
      <c r="E1095" s="208"/>
      <c r="F1095" s="811"/>
      <c r="G1095" s="522"/>
      <c r="H1095" s="539">
        <f>SUM(H1091:H1094)</f>
        <v>8560</v>
      </c>
      <c r="I1095" s="819"/>
      <c r="J1095" s="536"/>
      <c r="K1095" s="824"/>
    </row>
    <row r="1096" spans="3:11" ht="25.8" customHeight="1">
      <c r="C1096" s="213" t="s">
        <v>1209</v>
      </c>
      <c r="D1096" s="212" t="s">
        <v>1210</v>
      </c>
      <c r="E1096" s="534"/>
      <c r="F1096" s="831"/>
      <c r="G1096" s="534"/>
      <c r="H1096" s="534"/>
      <c r="J1096" s="536"/>
      <c r="K1096" s="824"/>
    </row>
    <row r="1097" spans="3:11" ht="25.8" customHeight="1">
      <c r="C1097" s="833" t="s">
        <v>1203</v>
      </c>
      <c r="D1097" s="820" t="s">
        <v>884</v>
      </c>
      <c r="E1097" s="807" t="s">
        <v>113</v>
      </c>
      <c r="F1097" s="538">
        <v>1.2</v>
      </c>
      <c r="G1097" s="539">
        <f>VLOOKUP(D1097,upahbahan,3,FALSE)</f>
        <v>13250</v>
      </c>
      <c r="H1097" s="539">
        <f t="shared" ref="H1097" si="111">F1097*G1097</f>
        <v>15900</v>
      </c>
      <c r="J1097" s="536"/>
      <c r="K1097" s="824"/>
    </row>
    <row r="1098" spans="3:11" ht="25.8" customHeight="1">
      <c r="C1098" s="702" t="s">
        <v>1214</v>
      </c>
      <c r="D1098" s="208"/>
      <c r="E1098" s="208"/>
      <c r="F1098" s="208"/>
      <c r="G1098" s="209"/>
      <c r="H1098" s="539">
        <f>SUM(H1097:H1097)</f>
        <v>15900</v>
      </c>
      <c r="J1098" s="536"/>
      <c r="K1098" s="824"/>
    </row>
    <row r="1099" spans="3:11" ht="25.8" customHeight="1">
      <c r="C1099" s="213" t="s">
        <v>1215</v>
      </c>
      <c r="D1099" s="212" t="s">
        <v>1216</v>
      </c>
      <c r="E1099" s="534"/>
      <c r="F1099" s="534"/>
      <c r="G1099" s="534"/>
      <c r="H1099" s="534"/>
      <c r="J1099" s="536"/>
      <c r="K1099" s="824"/>
    </row>
    <row r="1100" spans="3:11" ht="25.8" customHeight="1">
      <c r="C1100" s="702" t="s">
        <v>1217</v>
      </c>
      <c r="D1100" s="208"/>
      <c r="E1100" s="208"/>
      <c r="F1100" s="208"/>
      <c r="G1100" s="209"/>
      <c r="H1100" s="821">
        <v>0</v>
      </c>
      <c r="J1100" s="536"/>
      <c r="K1100" s="824"/>
    </row>
    <row r="1101" spans="3:11" ht="25.8" customHeight="1">
      <c r="C1101" s="566" t="s">
        <v>1218</v>
      </c>
      <c r="D1101" s="552" t="s">
        <v>1219</v>
      </c>
      <c r="E1101" s="553"/>
      <c r="F1101" s="553"/>
      <c r="G1101" s="554"/>
      <c r="H1101" s="826">
        <f>H1100+H1098+H1095</f>
        <v>24460</v>
      </c>
      <c r="I1101" s="827"/>
      <c r="J1101" s="536"/>
      <c r="K1101" s="824"/>
    </row>
    <row r="1102" spans="3:11" ht="25.8" customHeight="1">
      <c r="C1102" s="566" t="s">
        <v>1220</v>
      </c>
      <c r="D1102" s="552" t="s">
        <v>1321</v>
      </c>
      <c r="E1102" s="553"/>
      <c r="F1102" s="554"/>
      <c r="G1102" s="555">
        <f>$M$9</f>
        <v>0.1</v>
      </c>
      <c r="H1102" s="539">
        <f>H1101*G1102</f>
        <v>2446</v>
      </c>
      <c r="I1102" s="827"/>
      <c r="J1102" s="536"/>
      <c r="K1102" s="824"/>
    </row>
    <row r="1103" spans="3:11" ht="25.8" customHeight="1">
      <c r="C1103" s="566" t="s">
        <v>1221</v>
      </c>
      <c r="D1103" s="552" t="s">
        <v>1222</v>
      </c>
      <c r="E1103" s="553"/>
      <c r="F1103" s="553"/>
      <c r="G1103" s="554"/>
      <c r="H1103" s="828">
        <f>SUM(H1101:H1102)</f>
        <v>26906</v>
      </c>
      <c r="I1103" s="827"/>
      <c r="J1103" s="536"/>
      <c r="K1103" s="824"/>
    </row>
    <row r="1104" spans="3:11" ht="25.8" customHeight="1">
      <c r="J1104" s="536"/>
      <c r="K1104" s="824"/>
    </row>
    <row r="1105" spans="3:11" ht="25.8" customHeight="1">
      <c r="C1105" s="513" t="s">
        <v>3301</v>
      </c>
      <c r="D1105" s="817" t="s">
        <v>1686</v>
      </c>
      <c r="E1105" s="803"/>
      <c r="F1105" s="803"/>
      <c r="G1105" s="803"/>
      <c r="H1105" s="803"/>
      <c r="I1105" s="533">
        <f>ROUNDDOWN(H1120,-2)</f>
        <v>35700</v>
      </c>
      <c r="J1105" s="536"/>
      <c r="K1105" s="824"/>
    </row>
    <row r="1106" spans="3:11" ht="25.8" customHeight="1">
      <c r="C1106" s="716" t="s">
        <v>1195</v>
      </c>
      <c r="D1106" s="716" t="s">
        <v>1196</v>
      </c>
      <c r="E1106" s="716" t="s">
        <v>1197</v>
      </c>
      <c r="F1106" s="716" t="s">
        <v>1198</v>
      </c>
      <c r="G1106" s="716" t="s">
        <v>1199</v>
      </c>
      <c r="H1106" s="716" t="s">
        <v>1200</v>
      </c>
      <c r="J1106" s="536"/>
      <c r="K1106" s="824"/>
    </row>
    <row r="1107" spans="3:11" ht="25.8" customHeight="1">
      <c r="C1107" s="213" t="s">
        <v>1201</v>
      </c>
      <c r="D1107" s="212" t="s">
        <v>1202</v>
      </c>
      <c r="E1107" s="534"/>
      <c r="F1107" s="534"/>
      <c r="G1107" s="534"/>
      <c r="H1107" s="534"/>
      <c r="J1107" s="536"/>
      <c r="K1107" s="824"/>
    </row>
    <row r="1108" spans="3:11" ht="25.8" customHeight="1">
      <c r="C1108" s="818">
        <v>1</v>
      </c>
      <c r="D1108" s="212" t="s">
        <v>5</v>
      </c>
      <c r="E1108" s="212" t="s">
        <v>6</v>
      </c>
      <c r="F1108" s="538">
        <v>2.4E-2</v>
      </c>
      <c r="G1108" s="539">
        <f>VLOOKUP(D1108,upahbahan,3,FALSE)</f>
        <v>100000</v>
      </c>
      <c r="H1108" s="539">
        <f t="shared" ref="H1108:H1111" si="112">F1108*G1108</f>
        <v>2400</v>
      </c>
      <c r="J1108" s="536"/>
      <c r="K1108" s="824"/>
    </row>
    <row r="1109" spans="3:11" ht="25.8" customHeight="1">
      <c r="C1109" s="818">
        <v>2</v>
      </c>
      <c r="D1109" s="212" t="str">
        <f>D1092</f>
        <v>Tukang listrik</v>
      </c>
      <c r="E1109" s="212" t="s">
        <v>6</v>
      </c>
      <c r="F1109" s="538">
        <v>0.04</v>
      </c>
      <c r="G1109" s="539">
        <f>VLOOKUP(D1109,upahbahan,3,FALSE)</f>
        <v>135000</v>
      </c>
      <c r="H1109" s="539">
        <f t="shared" si="112"/>
        <v>5400</v>
      </c>
      <c r="J1109" s="536"/>
      <c r="K1109" s="824"/>
    </row>
    <row r="1110" spans="3:11" ht="25.8" customHeight="1">
      <c r="C1110" s="818">
        <v>3</v>
      </c>
      <c r="D1110" s="212" t="s">
        <v>18</v>
      </c>
      <c r="E1110" s="212" t="s">
        <v>6</v>
      </c>
      <c r="F1110" s="538">
        <v>4.0000000000000001E-3</v>
      </c>
      <c r="G1110" s="539">
        <f>VLOOKUP(D1110,upahbahan,3,FALSE)</f>
        <v>150000</v>
      </c>
      <c r="H1110" s="539">
        <f t="shared" si="112"/>
        <v>600</v>
      </c>
      <c r="J1110" s="536"/>
      <c r="K1110" s="824"/>
    </row>
    <row r="1111" spans="3:11" ht="25.8" customHeight="1">
      <c r="C1111" s="818">
        <v>4</v>
      </c>
      <c r="D1111" s="212" t="s">
        <v>19</v>
      </c>
      <c r="E1111" s="212" t="s">
        <v>6</v>
      </c>
      <c r="F1111" s="538">
        <v>1E-3</v>
      </c>
      <c r="G1111" s="539">
        <f>VLOOKUP(D1111,upahbahan,3,FALSE)</f>
        <v>160000</v>
      </c>
      <c r="H1111" s="539">
        <f t="shared" si="112"/>
        <v>160</v>
      </c>
      <c r="J1111" s="536"/>
      <c r="K1111" s="824"/>
    </row>
    <row r="1112" spans="3:11" ht="25.8" customHeight="1">
      <c r="C1112" s="702" t="s">
        <v>1208</v>
      </c>
      <c r="D1112" s="208"/>
      <c r="E1112" s="208"/>
      <c r="F1112" s="811"/>
      <c r="G1112" s="522"/>
      <c r="H1112" s="539">
        <f>SUM(H1108:H1111)</f>
        <v>8560</v>
      </c>
      <c r="I1112" s="819"/>
      <c r="J1112" s="536"/>
      <c r="K1112" s="824"/>
    </row>
    <row r="1113" spans="3:11" ht="25.8" customHeight="1">
      <c r="C1113" s="213" t="s">
        <v>1209</v>
      </c>
      <c r="D1113" s="212" t="s">
        <v>1210</v>
      </c>
      <c r="E1113" s="534"/>
      <c r="F1113" s="831"/>
      <c r="G1113" s="534"/>
      <c r="H1113" s="534"/>
      <c r="J1113" s="536"/>
      <c r="K1113" s="824"/>
    </row>
    <row r="1114" spans="3:11" ht="25.8" customHeight="1">
      <c r="C1114" s="833" t="s">
        <v>1203</v>
      </c>
      <c r="D1114" s="820" t="s">
        <v>885</v>
      </c>
      <c r="E1114" s="807" t="s">
        <v>113</v>
      </c>
      <c r="F1114" s="538">
        <v>1.2</v>
      </c>
      <c r="G1114" s="539">
        <f>VLOOKUP(D1114,upahbahan,3,FALSE)</f>
        <v>19950</v>
      </c>
      <c r="H1114" s="539">
        <f>F1114*G1114</f>
        <v>23940</v>
      </c>
      <c r="J1114" s="536"/>
      <c r="K1114" s="824"/>
    </row>
    <row r="1115" spans="3:11" ht="25.8" customHeight="1">
      <c r="C1115" s="702" t="s">
        <v>1214</v>
      </c>
      <c r="D1115" s="208"/>
      <c r="E1115" s="208"/>
      <c r="F1115" s="208"/>
      <c r="G1115" s="209"/>
      <c r="H1115" s="539">
        <f>SUM(H1114:H1114)</f>
        <v>23940</v>
      </c>
      <c r="J1115" s="536"/>
      <c r="K1115" s="824"/>
    </row>
    <row r="1116" spans="3:11" ht="25.8" customHeight="1">
      <c r="C1116" s="213" t="s">
        <v>1215</v>
      </c>
      <c r="D1116" s="212" t="s">
        <v>1216</v>
      </c>
      <c r="E1116" s="534"/>
      <c r="F1116" s="534"/>
      <c r="G1116" s="534"/>
      <c r="H1116" s="534"/>
      <c r="J1116" s="536"/>
      <c r="K1116" s="824"/>
    </row>
    <row r="1117" spans="3:11" ht="25.8" customHeight="1">
      <c r="C1117" s="702" t="s">
        <v>1217</v>
      </c>
      <c r="D1117" s="208"/>
      <c r="E1117" s="208"/>
      <c r="F1117" s="208"/>
      <c r="G1117" s="209"/>
      <c r="H1117" s="821">
        <v>0</v>
      </c>
      <c r="J1117" s="536"/>
      <c r="K1117" s="824"/>
    </row>
    <row r="1118" spans="3:11" ht="25.8" customHeight="1">
      <c r="C1118" s="566" t="s">
        <v>1218</v>
      </c>
      <c r="D1118" s="552" t="s">
        <v>1219</v>
      </c>
      <c r="E1118" s="553"/>
      <c r="F1118" s="553"/>
      <c r="G1118" s="554"/>
      <c r="H1118" s="826">
        <f>H1117+H1115+H1112</f>
        <v>32500</v>
      </c>
      <c r="I1118" s="827"/>
      <c r="J1118" s="536"/>
      <c r="K1118" s="824"/>
    </row>
    <row r="1119" spans="3:11" ht="25.8" customHeight="1">
      <c r="C1119" s="566" t="s">
        <v>1220</v>
      </c>
      <c r="D1119" s="552" t="s">
        <v>1321</v>
      </c>
      <c r="E1119" s="553"/>
      <c r="F1119" s="554"/>
      <c r="G1119" s="555">
        <f>$M$9</f>
        <v>0.1</v>
      </c>
      <c r="H1119" s="539">
        <f>H1118*G1119</f>
        <v>3250</v>
      </c>
      <c r="I1119" s="827"/>
      <c r="J1119" s="536"/>
      <c r="K1119" s="824"/>
    </row>
    <row r="1120" spans="3:11" ht="25.8" customHeight="1">
      <c r="C1120" s="566" t="s">
        <v>1221</v>
      </c>
      <c r="D1120" s="552" t="s">
        <v>1222</v>
      </c>
      <c r="E1120" s="553"/>
      <c r="F1120" s="553"/>
      <c r="G1120" s="554"/>
      <c r="H1120" s="828">
        <f>SUM(H1118:H1119)</f>
        <v>35750</v>
      </c>
      <c r="I1120" s="827"/>
      <c r="J1120" s="536"/>
      <c r="K1120" s="824"/>
    </row>
    <row r="1121" spans="3:11" ht="25.8" customHeight="1">
      <c r="J1121" s="536"/>
      <c r="K1121" s="824"/>
    </row>
    <row r="1122" spans="3:11" ht="25.8" customHeight="1">
      <c r="C1122" s="513" t="s">
        <v>3302</v>
      </c>
      <c r="D1122" s="817" t="s">
        <v>1687</v>
      </c>
      <c r="E1122" s="803"/>
      <c r="F1122" s="803"/>
      <c r="G1122" s="803"/>
      <c r="H1122" s="803"/>
      <c r="I1122" s="533">
        <f>ROUNDDOWN(H1137,-2)</f>
        <v>47600</v>
      </c>
      <c r="J1122" s="536"/>
      <c r="K1122" s="824"/>
    </row>
    <row r="1123" spans="3:11" ht="25.8" customHeight="1">
      <c r="C1123" s="716" t="s">
        <v>1195</v>
      </c>
      <c r="D1123" s="716" t="s">
        <v>1196</v>
      </c>
      <c r="E1123" s="716" t="s">
        <v>1197</v>
      </c>
      <c r="F1123" s="716" t="s">
        <v>1198</v>
      </c>
      <c r="G1123" s="716" t="s">
        <v>1199</v>
      </c>
      <c r="H1123" s="716" t="s">
        <v>1200</v>
      </c>
      <c r="J1123" s="536"/>
      <c r="K1123" s="824"/>
    </row>
    <row r="1124" spans="3:11" ht="25.8" customHeight="1">
      <c r="C1124" s="213" t="s">
        <v>1201</v>
      </c>
      <c r="D1124" s="212" t="s">
        <v>1202</v>
      </c>
      <c r="E1124" s="534"/>
      <c r="F1124" s="534"/>
      <c r="G1124" s="534"/>
      <c r="H1124" s="534"/>
      <c r="J1124" s="536"/>
      <c r="K1124" s="824"/>
    </row>
    <row r="1125" spans="3:11" ht="25.8" customHeight="1">
      <c r="C1125" s="818">
        <v>1</v>
      </c>
      <c r="D1125" s="212" t="s">
        <v>5</v>
      </c>
      <c r="E1125" s="212" t="s">
        <v>6</v>
      </c>
      <c r="F1125" s="538">
        <v>2.4E-2</v>
      </c>
      <c r="G1125" s="539">
        <f>VLOOKUP(D1125,upahbahan,3,FALSE)</f>
        <v>100000</v>
      </c>
      <c r="H1125" s="539">
        <f t="shared" ref="H1125:H1128" si="113">F1125*G1125</f>
        <v>2400</v>
      </c>
      <c r="J1125" s="536"/>
      <c r="K1125" s="824"/>
    </row>
    <row r="1126" spans="3:11" ht="25.8" customHeight="1">
      <c r="C1126" s="818">
        <v>2</v>
      </c>
      <c r="D1126" s="212" t="str">
        <f>D1109</f>
        <v>Tukang listrik</v>
      </c>
      <c r="E1126" s="212" t="s">
        <v>6</v>
      </c>
      <c r="F1126" s="538">
        <v>0.04</v>
      </c>
      <c r="G1126" s="539">
        <f>VLOOKUP(D1126,upahbahan,3,FALSE)</f>
        <v>135000</v>
      </c>
      <c r="H1126" s="539">
        <f t="shared" si="113"/>
        <v>5400</v>
      </c>
      <c r="J1126" s="536"/>
      <c r="K1126" s="824"/>
    </row>
    <row r="1127" spans="3:11" ht="25.8" customHeight="1">
      <c r="C1127" s="818">
        <v>3</v>
      </c>
      <c r="D1127" s="212" t="s">
        <v>18</v>
      </c>
      <c r="E1127" s="212" t="s">
        <v>6</v>
      </c>
      <c r="F1127" s="538">
        <v>4.0000000000000001E-3</v>
      </c>
      <c r="G1127" s="539">
        <f>VLOOKUP(D1127,upahbahan,3,FALSE)</f>
        <v>150000</v>
      </c>
      <c r="H1127" s="539">
        <f t="shared" si="113"/>
        <v>600</v>
      </c>
      <c r="J1127" s="536"/>
      <c r="K1127" s="824"/>
    </row>
    <row r="1128" spans="3:11" ht="25.8" customHeight="1">
      <c r="C1128" s="818">
        <v>4</v>
      </c>
      <c r="D1128" s="212" t="s">
        <v>19</v>
      </c>
      <c r="E1128" s="212" t="s">
        <v>6</v>
      </c>
      <c r="F1128" s="538">
        <v>1E-3</v>
      </c>
      <c r="G1128" s="539">
        <f>VLOOKUP(D1128,upahbahan,3,FALSE)</f>
        <v>160000</v>
      </c>
      <c r="H1128" s="539">
        <f t="shared" si="113"/>
        <v>160</v>
      </c>
      <c r="J1128" s="536"/>
      <c r="K1128" s="824"/>
    </row>
    <row r="1129" spans="3:11" ht="25.8" customHeight="1">
      <c r="C1129" s="702" t="s">
        <v>1208</v>
      </c>
      <c r="D1129" s="208"/>
      <c r="E1129" s="208"/>
      <c r="F1129" s="811"/>
      <c r="G1129" s="522"/>
      <c r="H1129" s="539">
        <f>SUM(H1125:H1128)</f>
        <v>8560</v>
      </c>
      <c r="I1129" s="819"/>
      <c r="J1129" s="536"/>
      <c r="K1129" s="824"/>
    </row>
    <row r="1130" spans="3:11" ht="25.8" customHeight="1">
      <c r="C1130" s="213" t="s">
        <v>1209</v>
      </c>
      <c r="D1130" s="212" t="s">
        <v>1210</v>
      </c>
      <c r="E1130" s="534"/>
      <c r="F1130" s="831"/>
      <c r="G1130" s="534"/>
      <c r="H1130" s="534"/>
      <c r="J1130" s="536"/>
      <c r="K1130" s="824"/>
    </row>
    <row r="1131" spans="3:11" ht="25.8" customHeight="1">
      <c r="C1131" s="833" t="s">
        <v>1203</v>
      </c>
      <c r="D1131" s="820" t="s">
        <v>886</v>
      </c>
      <c r="E1131" s="807" t="s">
        <v>113</v>
      </c>
      <c r="F1131" s="538">
        <v>1.2</v>
      </c>
      <c r="G1131" s="539">
        <f>VLOOKUP(D1131,upahbahan,3,FALSE)</f>
        <v>29000</v>
      </c>
      <c r="H1131" s="539">
        <f t="shared" ref="H1131" si="114">F1131*G1131</f>
        <v>34800</v>
      </c>
      <c r="J1131" s="536"/>
      <c r="K1131" s="824"/>
    </row>
    <row r="1132" spans="3:11" ht="25.8" customHeight="1">
      <c r="C1132" s="702" t="s">
        <v>1214</v>
      </c>
      <c r="D1132" s="208"/>
      <c r="E1132" s="208"/>
      <c r="F1132" s="208"/>
      <c r="G1132" s="209"/>
      <c r="H1132" s="539">
        <f>SUM(H1131:H1131)</f>
        <v>34800</v>
      </c>
      <c r="J1132" s="536"/>
      <c r="K1132" s="824"/>
    </row>
    <row r="1133" spans="3:11" ht="25.8" customHeight="1">
      <c r="C1133" s="213" t="s">
        <v>1215</v>
      </c>
      <c r="D1133" s="212" t="s">
        <v>1216</v>
      </c>
      <c r="E1133" s="534"/>
      <c r="F1133" s="534"/>
      <c r="G1133" s="534"/>
      <c r="H1133" s="534"/>
      <c r="J1133" s="536"/>
      <c r="K1133" s="824"/>
    </row>
    <row r="1134" spans="3:11" ht="25.8" customHeight="1">
      <c r="C1134" s="702" t="s">
        <v>1217</v>
      </c>
      <c r="D1134" s="208"/>
      <c r="E1134" s="208"/>
      <c r="F1134" s="208"/>
      <c r="G1134" s="209"/>
      <c r="H1134" s="821">
        <v>0</v>
      </c>
      <c r="J1134" s="536"/>
      <c r="K1134" s="824"/>
    </row>
    <row r="1135" spans="3:11" ht="25.8" customHeight="1">
      <c r="C1135" s="566" t="s">
        <v>1218</v>
      </c>
      <c r="D1135" s="552" t="s">
        <v>1219</v>
      </c>
      <c r="E1135" s="553"/>
      <c r="F1135" s="553"/>
      <c r="G1135" s="554"/>
      <c r="H1135" s="826">
        <f>H1134+H1132+H1129</f>
        <v>43360</v>
      </c>
      <c r="I1135" s="827"/>
      <c r="J1135" s="536"/>
      <c r="K1135" s="824"/>
    </row>
    <row r="1136" spans="3:11" ht="25.8" customHeight="1">
      <c r="C1136" s="566" t="s">
        <v>1220</v>
      </c>
      <c r="D1136" s="552" t="s">
        <v>1321</v>
      </c>
      <c r="E1136" s="553"/>
      <c r="F1136" s="554"/>
      <c r="G1136" s="555">
        <f>$M$9</f>
        <v>0.1</v>
      </c>
      <c r="H1136" s="539">
        <f>H1135*G1136</f>
        <v>4336</v>
      </c>
      <c r="I1136" s="827"/>
      <c r="J1136" s="536"/>
      <c r="K1136" s="824"/>
    </row>
    <row r="1137" spans="3:11" ht="25.8" customHeight="1">
      <c r="C1137" s="566" t="s">
        <v>1221</v>
      </c>
      <c r="D1137" s="552" t="s">
        <v>1222</v>
      </c>
      <c r="E1137" s="553"/>
      <c r="F1137" s="553"/>
      <c r="G1137" s="554"/>
      <c r="H1137" s="828">
        <f>SUM(H1135:H1136)</f>
        <v>47696</v>
      </c>
      <c r="I1137" s="827"/>
      <c r="J1137" s="536"/>
      <c r="K1137" s="824"/>
    </row>
    <row r="1138" spans="3:11" ht="25.8" customHeight="1">
      <c r="J1138" s="536"/>
      <c r="K1138" s="824"/>
    </row>
    <row r="1139" spans="3:11" ht="25.8" customHeight="1">
      <c r="C1139" s="513" t="s">
        <v>3303</v>
      </c>
      <c r="D1139" s="817" t="s">
        <v>1688</v>
      </c>
      <c r="E1139" s="803"/>
      <c r="F1139" s="803"/>
      <c r="G1139" s="803"/>
      <c r="H1139" s="803"/>
      <c r="I1139" s="533">
        <f>ROUNDDOWN(H1154,-2)</f>
        <v>74000</v>
      </c>
      <c r="J1139" s="536"/>
      <c r="K1139" s="824"/>
    </row>
    <row r="1140" spans="3:11" ht="25.8" customHeight="1">
      <c r="C1140" s="716" t="s">
        <v>1195</v>
      </c>
      <c r="D1140" s="716" t="s">
        <v>1196</v>
      </c>
      <c r="E1140" s="716" t="s">
        <v>1197</v>
      </c>
      <c r="F1140" s="716" t="s">
        <v>1198</v>
      </c>
      <c r="G1140" s="716" t="s">
        <v>1199</v>
      </c>
      <c r="H1140" s="716" t="s">
        <v>1200</v>
      </c>
      <c r="J1140" s="536"/>
      <c r="K1140" s="824"/>
    </row>
    <row r="1141" spans="3:11" ht="25.8" customHeight="1">
      <c r="C1141" s="213" t="s">
        <v>1201</v>
      </c>
      <c r="D1141" s="212" t="s">
        <v>1202</v>
      </c>
      <c r="E1141" s="534"/>
      <c r="F1141" s="534"/>
      <c r="G1141" s="534"/>
      <c r="H1141" s="534"/>
      <c r="J1141" s="536"/>
      <c r="K1141" s="824"/>
    </row>
    <row r="1142" spans="3:11" ht="25.8" customHeight="1">
      <c r="C1142" s="818">
        <v>1</v>
      </c>
      <c r="D1142" s="212" t="s">
        <v>5</v>
      </c>
      <c r="E1142" s="212" t="s">
        <v>6</v>
      </c>
      <c r="F1142" s="538">
        <v>2.4E-2</v>
      </c>
      <c r="G1142" s="539">
        <f>VLOOKUP(D1142,upahbahan,3,FALSE)</f>
        <v>100000</v>
      </c>
      <c r="H1142" s="539">
        <f t="shared" ref="H1142:H1145" si="115">F1142*G1142</f>
        <v>2400</v>
      </c>
      <c r="J1142" s="536"/>
      <c r="K1142" s="824"/>
    </row>
    <row r="1143" spans="3:11" ht="25.8" customHeight="1">
      <c r="C1143" s="818">
        <v>2</v>
      </c>
      <c r="D1143" s="212" t="str">
        <f>D1126</f>
        <v>Tukang listrik</v>
      </c>
      <c r="E1143" s="212" t="s">
        <v>6</v>
      </c>
      <c r="F1143" s="538">
        <v>0.04</v>
      </c>
      <c r="G1143" s="539">
        <f>VLOOKUP(D1143,upahbahan,3,FALSE)</f>
        <v>135000</v>
      </c>
      <c r="H1143" s="539">
        <f t="shared" si="115"/>
        <v>5400</v>
      </c>
      <c r="J1143" s="536"/>
      <c r="K1143" s="824"/>
    </row>
    <row r="1144" spans="3:11" ht="25.8" customHeight="1">
      <c r="C1144" s="818">
        <v>3</v>
      </c>
      <c r="D1144" s="212" t="s">
        <v>18</v>
      </c>
      <c r="E1144" s="212" t="s">
        <v>6</v>
      </c>
      <c r="F1144" s="538">
        <v>4.0000000000000001E-3</v>
      </c>
      <c r="G1144" s="539">
        <f>VLOOKUP(D1144,upahbahan,3,FALSE)</f>
        <v>150000</v>
      </c>
      <c r="H1144" s="539">
        <f t="shared" si="115"/>
        <v>600</v>
      </c>
      <c r="J1144" s="536"/>
      <c r="K1144" s="824"/>
    </row>
    <row r="1145" spans="3:11" ht="25.8" customHeight="1">
      <c r="C1145" s="818">
        <v>4</v>
      </c>
      <c r="D1145" s="212" t="s">
        <v>19</v>
      </c>
      <c r="E1145" s="212" t="s">
        <v>6</v>
      </c>
      <c r="F1145" s="538">
        <v>1E-3</v>
      </c>
      <c r="G1145" s="539">
        <f>VLOOKUP(D1145,upahbahan,3,FALSE)</f>
        <v>160000</v>
      </c>
      <c r="H1145" s="539">
        <f t="shared" si="115"/>
        <v>160</v>
      </c>
      <c r="J1145" s="536"/>
      <c r="K1145" s="824"/>
    </row>
    <row r="1146" spans="3:11" ht="25.8" customHeight="1">
      <c r="C1146" s="702" t="s">
        <v>1208</v>
      </c>
      <c r="D1146" s="208"/>
      <c r="E1146" s="208"/>
      <c r="F1146" s="811"/>
      <c r="G1146" s="522"/>
      <c r="H1146" s="539">
        <f>SUM(H1142:H1145)</f>
        <v>8560</v>
      </c>
      <c r="I1146" s="819"/>
      <c r="J1146" s="536"/>
      <c r="K1146" s="824"/>
    </row>
    <row r="1147" spans="3:11" ht="25.8" customHeight="1">
      <c r="C1147" s="213" t="s">
        <v>1209</v>
      </c>
      <c r="D1147" s="212" t="s">
        <v>1210</v>
      </c>
      <c r="E1147" s="534"/>
      <c r="F1147" s="831"/>
      <c r="G1147" s="534"/>
      <c r="H1147" s="534"/>
      <c r="J1147" s="536"/>
      <c r="K1147" s="824"/>
    </row>
    <row r="1148" spans="3:11" ht="25.8" customHeight="1">
      <c r="C1148" s="833" t="s">
        <v>1203</v>
      </c>
      <c r="D1148" s="820" t="s">
        <v>883</v>
      </c>
      <c r="E1148" s="807" t="s">
        <v>113</v>
      </c>
      <c r="F1148" s="538">
        <v>1.2</v>
      </c>
      <c r="G1148" s="539">
        <f>VLOOKUP(D1148,upahbahan,3,FALSE)</f>
        <v>49000</v>
      </c>
      <c r="H1148" s="539">
        <f t="shared" ref="H1148" si="116">F1148*G1148</f>
        <v>58800</v>
      </c>
      <c r="J1148" s="536"/>
      <c r="K1148" s="824"/>
    </row>
    <row r="1149" spans="3:11" ht="25.8" customHeight="1">
      <c r="C1149" s="702" t="s">
        <v>1214</v>
      </c>
      <c r="D1149" s="208"/>
      <c r="E1149" s="208"/>
      <c r="F1149" s="208"/>
      <c r="G1149" s="209"/>
      <c r="H1149" s="539">
        <f>SUM(H1148:H1148)</f>
        <v>58800</v>
      </c>
      <c r="J1149" s="536"/>
      <c r="K1149" s="824"/>
    </row>
    <row r="1150" spans="3:11" ht="25.8" customHeight="1">
      <c r="C1150" s="213" t="s">
        <v>1215</v>
      </c>
      <c r="D1150" s="212" t="s">
        <v>1216</v>
      </c>
      <c r="E1150" s="534"/>
      <c r="F1150" s="534"/>
      <c r="G1150" s="534"/>
      <c r="H1150" s="534"/>
      <c r="J1150" s="536"/>
      <c r="K1150" s="824"/>
    </row>
    <row r="1151" spans="3:11" ht="25.8" customHeight="1">
      <c r="C1151" s="702" t="s">
        <v>1217</v>
      </c>
      <c r="D1151" s="208"/>
      <c r="E1151" s="208"/>
      <c r="F1151" s="208"/>
      <c r="G1151" s="209"/>
      <c r="H1151" s="821">
        <v>0</v>
      </c>
      <c r="J1151" s="536"/>
      <c r="K1151" s="824"/>
    </row>
    <row r="1152" spans="3:11" ht="25.8" customHeight="1">
      <c r="C1152" s="566" t="s">
        <v>1218</v>
      </c>
      <c r="D1152" s="552" t="s">
        <v>1219</v>
      </c>
      <c r="E1152" s="553"/>
      <c r="F1152" s="553"/>
      <c r="G1152" s="554"/>
      <c r="H1152" s="826">
        <f>H1151+H1149+H1146</f>
        <v>67360</v>
      </c>
      <c r="I1152" s="827"/>
      <c r="J1152" s="536"/>
      <c r="K1152" s="824"/>
    </row>
    <row r="1153" spans="3:11" ht="25.8" customHeight="1">
      <c r="C1153" s="566" t="s">
        <v>1220</v>
      </c>
      <c r="D1153" s="552" t="s">
        <v>1321</v>
      </c>
      <c r="E1153" s="553"/>
      <c r="F1153" s="554"/>
      <c r="G1153" s="555">
        <f>$M$9</f>
        <v>0.1</v>
      </c>
      <c r="H1153" s="539">
        <f>H1152*G1153</f>
        <v>6736</v>
      </c>
      <c r="I1153" s="827"/>
      <c r="J1153" s="536"/>
      <c r="K1153" s="824"/>
    </row>
    <row r="1154" spans="3:11" ht="25.8" customHeight="1">
      <c r="C1154" s="566" t="s">
        <v>1221</v>
      </c>
      <c r="D1154" s="552" t="s">
        <v>1222</v>
      </c>
      <c r="E1154" s="553"/>
      <c r="F1154" s="553"/>
      <c r="G1154" s="554"/>
      <c r="H1154" s="828">
        <f>SUM(H1152:H1153)</f>
        <v>74096</v>
      </c>
      <c r="I1154" s="827"/>
      <c r="J1154" s="536"/>
      <c r="K1154" s="824"/>
    </row>
    <row r="1155" spans="3:11" ht="25.8" customHeight="1">
      <c r="J1155" s="536"/>
      <c r="K1155" s="824"/>
    </row>
    <row r="1156" spans="3:11" ht="25.8" customHeight="1">
      <c r="C1156" s="513" t="s">
        <v>3304</v>
      </c>
      <c r="D1156" s="817" t="s">
        <v>1689</v>
      </c>
      <c r="E1156" s="803"/>
      <c r="F1156" s="803"/>
      <c r="G1156" s="803"/>
      <c r="H1156" s="803"/>
      <c r="I1156" s="533">
        <f>ROUNDDOWN(H1171,-2)</f>
        <v>24400</v>
      </c>
      <c r="J1156" s="536"/>
      <c r="K1156" s="824"/>
    </row>
    <row r="1157" spans="3:11" ht="25.8" customHeight="1">
      <c r="C1157" s="716" t="s">
        <v>1195</v>
      </c>
      <c r="D1157" s="716" t="s">
        <v>1196</v>
      </c>
      <c r="E1157" s="716" t="s">
        <v>1197</v>
      </c>
      <c r="F1157" s="716" t="s">
        <v>1198</v>
      </c>
      <c r="G1157" s="716" t="s">
        <v>1199</v>
      </c>
      <c r="H1157" s="716" t="s">
        <v>1200</v>
      </c>
      <c r="J1157" s="536"/>
      <c r="K1157" s="824"/>
    </row>
    <row r="1158" spans="3:11" ht="25.8" customHeight="1">
      <c r="C1158" s="213" t="s">
        <v>1201</v>
      </c>
      <c r="D1158" s="212" t="s">
        <v>1202</v>
      </c>
      <c r="E1158" s="534"/>
      <c r="F1158" s="534"/>
      <c r="G1158" s="534"/>
      <c r="H1158" s="534"/>
      <c r="J1158" s="536"/>
      <c r="K1158" s="824"/>
    </row>
    <row r="1159" spans="3:11" ht="25.8" customHeight="1">
      <c r="C1159" s="818">
        <v>1</v>
      </c>
      <c r="D1159" s="212" t="s">
        <v>5</v>
      </c>
      <c r="E1159" s="212" t="s">
        <v>6</v>
      </c>
      <c r="F1159" s="538">
        <v>2.4E-2</v>
      </c>
      <c r="G1159" s="539">
        <f>VLOOKUP(D1159,upahbahan,3,FALSE)</f>
        <v>100000</v>
      </c>
      <c r="H1159" s="539">
        <f t="shared" ref="H1159:H1162" si="117">F1159*G1159</f>
        <v>2400</v>
      </c>
      <c r="J1159" s="536"/>
      <c r="K1159" s="824"/>
    </row>
    <row r="1160" spans="3:11" ht="25.8" customHeight="1">
      <c r="C1160" s="818">
        <v>2</v>
      </c>
      <c r="D1160" s="212" t="str">
        <f>D1143</f>
        <v>Tukang listrik</v>
      </c>
      <c r="E1160" s="212" t="s">
        <v>6</v>
      </c>
      <c r="F1160" s="538">
        <v>0.04</v>
      </c>
      <c r="G1160" s="539">
        <f>VLOOKUP(D1160,upahbahan,3,FALSE)</f>
        <v>135000</v>
      </c>
      <c r="H1160" s="539">
        <f t="shared" si="117"/>
        <v>5400</v>
      </c>
      <c r="J1160" s="536"/>
      <c r="K1160" s="824"/>
    </row>
    <row r="1161" spans="3:11" ht="25.8" customHeight="1">
      <c r="C1161" s="818">
        <v>3</v>
      </c>
      <c r="D1161" s="212" t="s">
        <v>18</v>
      </c>
      <c r="E1161" s="212" t="s">
        <v>6</v>
      </c>
      <c r="F1161" s="538">
        <v>4.0000000000000001E-3</v>
      </c>
      <c r="G1161" s="539">
        <f>VLOOKUP(D1161,upahbahan,3,FALSE)</f>
        <v>150000</v>
      </c>
      <c r="H1161" s="539">
        <f t="shared" si="117"/>
        <v>600</v>
      </c>
      <c r="J1161" s="536"/>
      <c r="K1161" s="824"/>
    </row>
    <row r="1162" spans="3:11" ht="25.8" customHeight="1">
      <c r="C1162" s="818">
        <v>4</v>
      </c>
      <c r="D1162" s="212" t="s">
        <v>19</v>
      </c>
      <c r="E1162" s="212" t="s">
        <v>6</v>
      </c>
      <c r="F1162" s="538">
        <v>1E-3</v>
      </c>
      <c r="G1162" s="539">
        <f>VLOOKUP(D1162,upahbahan,3,FALSE)</f>
        <v>160000</v>
      </c>
      <c r="H1162" s="539">
        <f t="shared" si="117"/>
        <v>160</v>
      </c>
      <c r="J1162" s="536"/>
      <c r="K1162" s="824"/>
    </row>
    <row r="1163" spans="3:11" ht="25.8" customHeight="1">
      <c r="C1163" s="702" t="s">
        <v>1208</v>
      </c>
      <c r="D1163" s="208"/>
      <c r="E1163" s="208"/>
      <c r="F1163" s="811"/>
      <c r="G1163" s="522"/>
      <c r="H1163" s="539">
        <f>SUM(H1159:H1162)</f>
        <v>8560</v>
      </c>
      <c r="I1163" s="819"/>
      <c r="J1163" s="536"/>
      <c r="K1163" s="824"/>
    </row>
    <row r="1164" spans="3:11" ht="25.8" customHeight="1">
      <c r="C1164" s="213" t="s">
        <v>1209</v>
      </c>
      <c r="D1164" s="212" t="s">
        <v>1210</v>
      </c>
      <c r="E1164" s="534"/>
      <c r="F1164" s="831"/>
      <c r="G1164" s="534"/>
      <c r="H1164" s="534"/>
      <c r="J1164" s="536"/>
      <c r="K1164" s="824"/>
    </row>
    <row r="1165" spans="3:11" ht="25.8" customHeight="1">
      <c r="C1165" s="833" t="s">
        <v>1203</v>
      </c>
      <c r="D1165" s="820" t="s">
        <v>887</v>
      </c>
      <c r="E1165" s="807" t="s">
        <v>113</v>
      </c>
      <c r="F1165" s="538">
        <v>1.2</v>
      </c>
      <c r="G1165" s="539">
        <f>VLOOKUP(D1165,upahbahan,3,FALSE)</f>
        <v>11400</v>
      </c>
      <c r="H1165" s="539">
        <f t="shared" ref="H1165" si="118">F1165*G1165</f>
        <v>13680</v>
      </c>
      <c r="J1165" s="536"/>
      <c r="K1165" s="824"/>
    </row>
    <row r="1166" spans="3:11" ht="25.8" customHeight="1">
      <c r="C1166" s="702" t="s">
        <v>1214</v>
      </c>
      <c r="D1166" s="208"/>
      <c r="E1166" s="208"/>
      <c r="F1166" s="208"/>
      <c r="G1166" s="209"/>
      <c r="H1166" s="539">
        <f>SUM(H1165:H1165)</f>
        <v>13680</v>
      </c>
      <c r="J1166" s="536"/>
      <c r="K1166" s="824"/>
    </row>
    <row r="1167" spans="3:11" ht="25.8" customHeight="1">
      <c r="C1167" s="213" t="s">
        <v>1215</v>
      </c>
      <c r="D1167" s="212" t="s">
        <v>1216</v>
      </c>
      <c r="E1167" s="534"/>
      <c r="F1167" s="534"/>
      <c r="G1167" s="534"/>
      <c r="H1167" s="534"/>
      <c r="J1167" s="536"/>
      <c r="K1167" s="824"/>
    </row>
    <row r="1168" spans="3:11" ht="25.8" customHeight="1">
      <c r="C1168" s="702" t="s">
        <v>1217</v>
      </c>
      <c r="D1168" s="208"/>
      <c r="E1168" s="208"/>
      <c r="F1168" s="208"/>
      <c r="G1168" s="209"/>
      <c r="H1168" s="821">
        <v>0</v>
      </c>
      <c r="J1168" s="536"/>
      <c r="K1168" s="824"/>
    </row>
    <row r="1169" spans="3:11" ht="25.8" customHeight="1">
      <c r="C1169" s="566" t="s">
        <v>1218</v>
      </c>
      <c r="D1169" s="552" t="s">
        <v>1219</v>
      </c>
      <c r="E1169" s="553"/>
      <c r="F1169" s="553"/>
      <c r="G1169" s="554"/>
      <c r="H1169" s="826">
        <f>H1168+H1166+H1163</f>
        <v>22240</v>
      </c>
      <c r="I1169" s="827"/>
      <c r="J1169" s="536"/>
      <c r="K1169" s="824"/>
    </row>
    <row r="1170" spans="3:11" ht="25.8" customHeight="1">
      <c r="C1170" s="566" t="s">
        <v>1220</v>
      </c>
      <c r="D1170" s="552" t="s">
        <v>1321</v>
      </c>
      <c r="E1170" s="553"/>
      <c r="F1170" s="554"/>
      <c r="G1170" s="555">
        <f>$M$9</f>
        <v>0.1</v>
      </c>
      <c r="H1170" s="539">
        <f>H1169*G1170</f>
        <v>2224</v>
      </c>
      <c r="I1170" s="827"/>
      <c r="J1170" s="536"/>
      <c r="K1170" s="824"/>
    </row>
    <row r="1171" spans="3:11" ht="25.8" customHeight="1">
      <c r="C1171" s="566" t="s">
        <v>1221</v>
      </c>
      <c r="D1171" s="552" t="s">
        <v>1222</v>
      </c>
      <c r="E1171" s="553"/>
      <c r="F1171" s="553"/>
      <c r="G1171" s="554"/>
      <c r="H1171" s="828">
        <f>SUM(H1169:H1170)</f>
        <v>24464</v>
      </c>
      <c r="I1171" s="827"/>
      <c r="J1171" s="536"/>
      <c r="K1171" s="824"/>
    </row>
    <row r="1172" spans="3:11" ht="25.8" customHeight="1">
      <c r="J1172" s="536"/>
      <c r="K1172" s="824"/>
    </row>
    <row r="1173" spans="3:11" ht="25.8" customHeight="1">
      <c r="C1173" s="513" t="s">
        <v>3305</v>
      </c>
      <c r="D1173" s="817" t="s">
        <v>1690</v>
      </c>
      <c r="E1173" s="803"/>
      <c r="F1173" s="803"/>
      <c r="G1173" s="803"/>
      <c r="H1173" s="803"/>
      <c r="I1173" s="533">
        <f>ROUNDDOWN(H1188,-2)</f>
        <v>30600</v>
      </c>
      <c r="J1173" s="536"/>
      <c r="K1173" s="824"/>
    </row>
    <row r="1174" spans="3:11" ht="25.8" customHeight="1">
      <c r="C1174" s="716" t="s">
        <v>1195</v>
      </c>
      <c r="D1174" s="716" t="s">
        <v>1196</v>
      </c>
      <c r="E1174" s="716" t="s">
        <v>1197</v>
      </c>
      <c r="F1174" s="716" t="s">
        <v>1198</v>
      </c>
      <c r="G1174" s="716" t="s">
        <v>1199</v>
      </c>
      <c r="H1174" s="716" t="s">
        <v>1200</v>
      </c>
      <c r="J1174" s="536"/>
      <c r="K1174" s="824"/>
    </row>
    <row r="1175" spans="3:11" ht="25.8" customHeight="1">
      <c r="C1175" s="213" t="s">
        <v>1201</v>
      </c>
      <c r="D1175" s="212" t="s">
        <v>1202</v>
      </c>
      <c r="E1175" s="534"/>
      <c r="F1175" s="534"/>
      <c r="G1175" s="534"/>
      <c r="H1175" s="534"/>
      <c r="J1175" s="536"/>
      <c r="K1175" s="824"/>
    </row>
    <row r="1176" spans="3:11" ht="25.8" customHeight="1">
      <c r="C1176" s="818">
        <v>1</v>
      </c>
      <c r="D1176" s="212" t="s">
        <v>5</v>
      </c>
      <c r="E1176" s="212" t="s">
        <v>6</v>
      </c>
      <c r="F1176" s="538">
        <v>2.4E-2</v>
      </c>
      <c r="G1176" s="539">
        <f>VLOOKUP(D1176,upahbahan,3,FALSE)</f>
        <v>100000</v>
      </c>
      <c r="H1176" s="539">
        <f t="shared" ref="H1176:H1179" si="119">F1176*G1176</f>
        <v>2400</v>
      </c>
      <c r="J1176" s="536"/>
      <c r="K1176" s="824"/>
    </row>
    <row r="1177" spans="3:11" ht="25.8" customHeight="1">
      <c r="C1177" s="818">
        <v>2</v>
      </c>
      <c r="D1177" s="212" t="str">
        <f>D1160</f>
        <v>Tukang listrik</v>
      </c>
      <c r="E1177" s="212" t="s">
        <v>6</v>
      </c>
      <c r="F1177" s="538">
        <v>0.04</v>
      </c>
      <c r="G1177" s="539">
        <f>VLOOKUP(D1177,upahbahan,3,FALSE)</f>
        <v>135000</v>
      </c>
      <c r="H1177" s="539">
        <f t="shared" si="119"/>
        <v>5400</v>
      </c>
      <c r="J1177" s="536"/>
      <c r="K1177" s="824"/>
    </row>
    <row r="1178" spans="3:11" ht="25.8" customHeight="1">
      <c r="C1178" s="818">
        <v>3</v>
      </c>
      <c r="D1178" s="212" t="s">
        <v>18</v>
      </c>
      <c r="E1178" s="212" t="s">
        <v>6</v>
      </c>
      <c r="F1178" s="538">
        <v>4.0000000000000001E-3</v>
      </c>
      <c r="G1178" s="539">
        <f>VLOOKUP(D1178,upahbahan,3,FALSE)</f>
        <v>150000</v>
      </c>
      <c r="H1178" s="539">
        <f t="shared" si="119"/>
        <v>600</v>
      </c>
      <c r="J1178" s="536"/>
      <c r="K1178" s="824"/>
    </row>
    <row r="1179" spans="3:11" ht="25.8" customHeight="1">
      <c r="C1179" s="818">
        <v>4</v>
      </c>
      <c r="D1179" s="212" t="s">
        <v>19</v>
      </c>
      <c r="E1179" s="212" t="s">
        <v>6</v>
      </c>
      <c r="F1179" s="538">
        <v>1E-3</v>
      </c>
      <c r="G1179" s="539">
        <f>VLOOKUP(D1179,upahbahan,3,FALSE)</f>
        <v>160000</v>
      </c>
      <c r="H1179" s="539">
        <f t="shared" si="119"/>
        <v>160</v>
      </c>
      <c r="J1179" s="536"/>
      <c r="K1179" s="824"/>
    </row>
    <row r="1180" spans="3:11" ht="25.8" customHeight="1">
      <c r="C1180" s="702" t="s">
        <v>1208</v>
      </c>
      <c r="D1180" s="208"/>
      <c r="E1180" s="208"/>
      <c r="F1180" s="811"/>
      <c r="G1180" s="522"/>
      <c r="H1180" s="539">
        <f>SUM(H1176:H1179)</f>
        <v>8560</v>
      </c>
      <c r="I1180" s="819"/>
      <c r="J1180" s="536"/>
      <c r="K1180" s="824"/>
    </row>
    <row r="1181" spans="3:11" ht="25.8" customHeight="1">
      <c r="C1181" s="213" t="s">
        <v>1209</v>
      </c>
      <c r="D1181" s="212" t="s">
        <v>1210</v>
      </c>
      <c r="E1181" s="534"/>
      <c r="F1181" s="831"/>
      <c r="G1181" s="534"/>
      <c r="H1181" s="534"/>
      <c r="J1181" s="536"/>
      <c r="K1181" s="824"/>
    </row>
    <row r="1182" spans="3:11" ht="25.8" customHeight="1">
      <c r="C1182" s="833" t="s">
        <v>1203</v>
      </c>
      <c r="D1182" s="820" t="s">
        <v>889</v>
      </c>
      <c r="E1182" s="807" t="s">
        <v>113</v>
      </c>
      <c r="F1182" s="538">
        <v>1.2</v>
      </c>
      <c r="G1182" s="539">
        <f>VLOOKUP(D1182,upahbahan,3,FALSE)</f>
        <v>16110</v>
      </c>
      <c r="H1182" s="539">
        <f t="shared" ref="H1182" si="120">F1182*G1182</f>
        <v>19332</v>
      </c>
      <c r="J1182" s="536"/>
      <c r="K1182" s="824"/>
    </row>
    <row r="1183" spans="3:11" ht="25.8" customHeight="1">
      <c r="C1183" s="702" t="s">
        <v>1214</v>
      </c>
      <c r="D1183" s="208"/>
      <c r="E1183" s="208"/>
      <c r="F1183" s="208"/>
      <c r="G1183" s="209"/>
      <c r="H1183" s="539">
        <f>SUM(H1182:H1182)</f>
        <v>19332</v>
      </c>
      <c r="J1183" s="536"/>
      <c r="K1183" s="824"/>
    </row>
    <row r="1184" spans="3:11" ht="25.8" customHeight="1">
      <c r="C1184" s="213" t="s">
        <v>1215</v>
      </c>
      <c r="D1184" s="212" t="s">
        <v>1216</v>
      </c>
      <c r="E1184" s="534"/>
      <c r="F1184" s="534"/>
      <c r="G1184" s="534"/>
      <c r="H1184" s="534"/>
      <c r="J1184" s="536"/>
      <c r="K1184" s="824"/>
    </row>
    <row r="1185" spans="3:11" ht="25.8" customHeight="1">
      <c r="C1185" s="702" t="s">
        <v>1217</v>
      </c>
      <c r="D1185" s="208"/>
      <c r="E1185" s="208"/>
      <c r="F1185" s="208"/>
      <c r="G1185" s="209"/>
      <c r="H1185" s="821">
        <v>0</v>
      </c>
      <c r="J1185" s="536"/>
      <c r="K1185" s="824"/>
    </row>
    <row r="1186" spans="3:11" ht="25.8" customHeight="1">
      <c r="C1186" s="566" t="s">
        <v>1218</v>
      </c>
      <c r="D1186" s="552" t="s">
        <v>1219</v>
      </c>
      <c r="E1186" s="553"/>
      <c r="F1186" s="553"/>
      <c r="G1186" s="554"/>
      <c r="H1186" s="826">
        <f>H1185+H1183+H1180</f>
        <v>27892</v>
      </c>
      <c r="I1186" s="827"/>
      <c r="J1186" s="536"/>
      <c r="K1186" s="824"/>
    </row>
    <row r="1187" spans="3:11" ht="25.8" customHeight="1">
      <c r="C1187" s="566" t="s">
        <v>1220</v>
      </c>
      <c r="D1187" s="552" t="s">
        <v>1321</v>
      </c>
      <c r="E1187" s="553"/>
      <c r="F1187" s="554"/>
      <c r="G1187" s="555">
        <f>$M$9</f>
        <v>0.1</v>
      </c>
      <c r="H1187" s="539">
        <f>H1186*G1187</f>
        <v>2789.2000000000003</v>
      </c>
      <c r="I1187" s="827"/>
      <c r="J1187" s="536"/>
      <c r="K1187" s="824"/>
    </row>
    <row r="1188" spans="3:11" ht="25.8" customHeight="1">
      <c r="C1188" s="566" t="s">
        <v>1221</v>
      </c>
      <c r="D1188" s="552" t="s">
        <v>1222</v>
      </c>
      <c r="E1188" s="553"/>
      <c r="F1188" s="553"/>
      <c r="G1188" s="554"/>
      <c r="H1188" s="828">
        <f>SUM(H1186:H1187)</f>
        <v>30681.200000000001</v>
      </c>
      <c r="I1188" s="827"/>
      <c r="J1188" s="536"/>
      <c r="K1188" s="824"/>
    </row>
    <row r="1189" spans="3:11" ht="25.8" customHeight="1">
      <c r="J1189" s="536"/>
      <c r="K1189" s="824"/>
    </row>
    <row r="1190" spans="3:11" ht="25.8" customHeight="1">
      <c r="C1190" s="513" t="s">
        <v>3306</v>
      </c>
      <c r="D1190" s="817" t="s">
        <v>1691</v>
      </c>
      <c r="E1190" s="803"/>
      <c r="F1190" s="803"/>
      <c r="G1190" s="803"/>
      <c r="H1190" s="803"/>
      <c r="I1190" s="533">
        <f>ROUNDDOWN(H1205,-2)</f>
        <v>11400</v>
      </c>
      <c r="J1190" s="536"/>
      <c r="K1190" s="824"/>
    </row>
    <row r="1191" spans="3:11" ht="25.8" customHeight="1">
      <c r="C1191" s="716" t="s">
        <v>1195</v>
      </c>
      <c r="D1191" s="716" t="s">
        <v>1196</v>
      </c>
      <c r="E1191" s="716" t="s">
        <v>1197</v>
      </c>
      <c r="F1191" s="716" t="s">
        <v>1198</v>
      </c>
      <c r="G1191" s="716" t="s">
        <v>1199</v>
      </c>
      <c r="H1191" s="716" t="s">
        <v>1200</v>
      </c>
      <c r="J1191" s="536"/>
      <c r="K1191" s="824"/>
    </row>
    <row r="1192" spans="3:11" ht="25.8" customHeight="1">
      <c r="C1192" s="213" t="s">
        <v>1201</v>
      </c>
      <c r="D1192" s="212" t="s">
        <v>1202</v>
      </c>
      <c r="E1192" s="534"/>
      <c r="F1192" s="534"/>
      <c r="G1192" s="534"/>
      <c r="H1192" s="534"/>
      <c r="J1192" s="536"/>
      <c r="K1192" s="824"/>
    </row>
    <row r="1193" spans="3:11" ht="25.8" customHeight="1">
      <c r="C1193" s="818">
        <v>1</v>
      </c>
      <c r="D1193" s="212" t="s">
        <v>5</v>
      </c>
      <c r="E1193" s="212" t="s">
        <v>6</v>
      </c>
      <c r="F1193" s="829">
        <v>2.9000000000000001E-2</v>
      </c>
      <c r="G1193" s="539">
        <f>VLOOKUP(D1193,upahbahan,3,FALSE)</f>
        <v>100000</v>
      </c>
      <c r="H1193" s="539">
        <f t="shared" ref="H1193:H1196" si="121">F1193*G1193</f>
        <v>2900</v>
      </c>
      <c r="J1193" s="536"/>
      <c r="K1193" s="824"/>
    </row>
    <row r="1194" spans="3:11" ht="25.8" customHeight="1">
      <c r="C1194" s="818">
        <v>2</v>
      </c>
      <c r="D1194" s="212" t="str">
        <f>D1177</f>
        <v>Tukang listrik</v>
      </c>
      <c r="E1194" s="212" t="s">
        <v>6</v>
      </c>
      <c r="F1194" s="829">
        <v>4.8000000000000001E-2</v>
      </c>
      <c r="G1194" s="539">
        <f>VLOOKUP(D1194,upahbahan,3,FALSE)</f>
        <v>135000</v>
      </c>
      <c r="H1194" s="539">
        <f t="shared" si="121"/>
        <v>6480</v>
      </c>
      <c r="J1194" s="536"/>
      <c r="K1194" s="824"/>
    </row>
    <row r="1195" spans="3:11" ht="25.8" customHeight="1">
      <c r="C1195" s="818">
        <v>3</v>
      </c>
      <c r="D1195" s="212" t="s">
        <v>18</v>
      </c>
      <c r="E1195" s="212" t="s">
        <v>6</v>
      </c>
      <c r="F1195" s="829">
        <v>5.0000000000000001E-3</v>
      </c>
      <c r="G1195" s="539">
        <f>VLOOKUP(D1195,upahbahan,3,FALSE)</f>
        <v>150000</v>
      </c>
      <c r="H1195" s="539">
        <f t="shared" si="121"/>
        <v>750</v>
      </c>
      <c r="J1195" s="536"/>
      <c r="K1195" s="824"/>
    </row>
    <row r="1196" spans="3:11" ht="25.8" customHeight="1">
      <c r="C1196" s="818">
        <v>4</v>
      </c>
      <c r="D1196" s="212" t="s">
        <v>19</v>
      </c>
      <c r="E1196" s="212" t="s">
        <v>6</v>
      </c>
      <c r="F1196" s="829">
        <v>2E-3</v>
      </c>
      <c r="G1196" s="539">
        <f>VLOOKUP(D1196,upahbahan,3,FALSE)</f>
        <v>160000</v>
      </c>
      <c r="H1196" s="539">
        <f t="shared" si="121"/>
        <v>320</v>
      </c>
      <c r="J1196" s="536"/>
      <c r="K1196" s="824"/>
    </row>
    <row r="1197" spans="3:11" ht="25.8" customHeight="1">
      <c r="C1197" s="702" t="s">
        <v>1208</v>
      </c>
      <c r="D1197" s="208"/>
      <c r="E1197" s="208"/>
      <c r="F1197" s="811"/>
      <c r="G1197" s="522"/>
      <c r="H1197" s="539">
        <f>SUM(H1193:H1196)</f>
        <v>10450</v>
      </c>
      <c r="I1197" s="819"/>
      <c r="J1197" s="536"/>
      <c r="K1197" s="824"/>
    </row>
    <row r="1198" spans="3:11" ht="25.8" customHeight="1">
      <c r="C1198" s="213" t="s">
        <v>1209</v>
      </c>
      <c r="D1198" s="212" t="s">
        <v>1210</v>
      </c>
      <c r="E1198" s="534"/>
      <c r="F1198" s="831"/>
      <c r="G1198" s="534"/>
      <c r="H1198" s="534"/>
      <c r="J1198" s="536"/>
      <c r="K1198" s="824"/>
    </row>
    <row r="1199" spans="3:11" ht="25.8" customHeight="1">
      <c r="C1199" s="833" t="s">
        <v>1203</v>
      </c>
      <c r="D1199" s="820" t="s">
        <v>890</v>
      </c>
      <c r="E1199" s="807" t="s">
        <v>113</v>
      </c>
      <c r="F1199" s="538">
        <v>1.2</v>
      </c>
      <c r="G1199" s="539">
        <f>VLOOKUP(D1199,upahbahan,3,FALSE)</f>
        <v>0</v>
      </c>
      <c r="H1199" s="539">
        <f t="shared" ref="H1199" si="122">F1199*G1199</f>
        <v>0</v>
      </c>
      <c r="J1199" s="536"/>
      <c r="K1199" s="824"/>
    </row>
    <row r="1200" spans="3:11" ht="25.8" customHeight="1">
      <c r="C1200" s="702" t="s">
        <v>1214</v>
      </c>
      <c r="D1200" s="208"/>
      <c r="E1200" s="208"/>
      <c r="F1200" s="208"/>
      <c r="G1200" s="209"/>
      <c r="H1200" s="539">
        <f>SUM(H1199:H1199)</f>
        <v>0</v>
      </c>
      <c r="J1200" s="536"/>
      <c r="K1200" s="824"/>
    </row>
    <row r="1201" spans="3:11" ht="25.8" customHeight="1">
      <c r="C1201" s="213" t="s">
        <v>1215</v>
      </c>
      <c r="D1201" s="212" t="s">
        <v>1216</v>
      </c>
      <c r="E1201" s="534"/>
      <c r="F1201" s="534"/>
      <c r="G1201" s="534"/>
      <c r="H1201" s="534"/>
      <c r="J1201" s="536"/>
      <c r="K1201" s="824"/>
    </row>
    <row r="1202" spans="3:11" ht="25.8" customHeight="1">
      <c r="C1202" s="702" t="s">
        <v>1217</v>
      </c>
      <c r="D1202" s="208"/>
      <c r="E1202" s="208"/>
      <c r="F1202" s="208"/>
      <c r="G1202" s="209"/>
      <c r="H1202" s="821">
        <v>0</v>
      </c>
      <c r="J1202" s="536"/>
      <c r="K1202" s="824"/>
    </row>
    <row r="1203" spans="3:11" ht="25.8" customHeight="1">
      <c r="C1203" s="566" t="s">
        <v>1218</v>
      </c>
      <c r="D1203" s="552" t="s">
        <v>1219</v>
      </c>
      <c r="E1203" s="553"/>
      <c r="F1203" s="553"/>
      <c r="G1203" s="554"/>
      <c r="H1203" s="826">
        <f>H1202+H1200+H1197</f>
        <v>10450</v>
      </c>
      <c r="I1203" s="827"/>
      <c r="J1203" s="536"/>
      <c r="K1203" s="824"/>
    </row>
    <row r="1204" spans="3:11" ht="25.8" customHeight="1">
      <c r="C1204" s="566" t="s">
        <v>1220</v>
      </c>
      <c r="D1204" s="552" t="s">
        <v>1321</v>
      </c>
      <c r="E1204" s="553"/>
      <c r="F1204" s="554"/>
      <c r="G1204" s="555">
        <f>$M$9</f>
        <v>0.1</v>
      </c>
      <c r="H1204" s="539">
        <f>H1203*G1204</f>
        <v>1045</v>
      </c>
      <c r="I1204" s="827"/>
      <c r="J1204" s="536"/>
      <c r="K1204" s="824"/>
    </row>
    <row r="1205" spans="3:11" ht="25.8" customHeight="1">
      <c r="C1205" s="566" t="s">
        <v>1221</v>
      </c>
      <c r="D1205" s="552" t="s">
        <v>1222</v>
      </c>
      <c r="E1205" s="553"/>
      <c r="F1205" s="553"/>
      <c r="G1205" s="554"/>
      <c r="H1205" s="828">
        <f>SUM(H1203:H1204)</f>
        <v>11495</v>
      </c>
      <c r="I1205" s="827"/>
      <c r="J1205" s="536"/>
      <c r="K1205" s="824"/>
    </row>
    <row r="1206" spans="3:11" ht="25.8" customHeight="1">
      <c r="J1206" s="536"/>
      <c r="K1206" s="824"/>
    </row>
    <row r="1207" spans="3:11" ht="25.8" customHeight="1">
      <c r="C1207" s="571" t="s">
        <v>3307</v>
      </c>
      <c r="D1207" s="817" t="s">
        <v>1692</v>
      </c>
      <c r="E1207" s="803"/>
      <c r="F1207" s="803"/>
      <c r="G1207" s="803"/>
      <c r="H1207" s="803"/>
      <c r="I1207" s="533">
        <f>ROUNDDOWN(H1222,-2)</f>
        <v>11400</v>
      </c>
      <c r="J1207" s="536"/>
      <c r="K1207" s="824"/>
    </row>
    <row r="1208" spans="3:11" ht="25.8" customHeight="1">
      <c r="C1208" s="716" t="s">
        <v>1195</v>
      </c>
      <c r="D1208" s="716" t="s">
        <v>1196</v>
      </c>
      <c r="E1208" s="716" t="s">
        <v>1197</v>
      </c>
      <c r="F1208" s="716" t="s">
        <v>1198</v>
      </c>
      <c r="G1208" s="716" t="s">
        <v>1199</v>
      </c>
      <c r="H1208" s="716" t="s">
        <v>1200</v>
      </c>
      <c r="J1208" s="536"/>
      <c r="K1208" s="824"/>
    </row>
    <row r="1209" spans="3:11" ht="25.8" customHeight="1">
      <c r="C1209" s="213" t="s">
        <v>1201</v>
      </c>
      <c r="D1209" s="212" t="s">
        <v>1202</v>
      </c>
      <c r="E1209" s="534"/>
      <c r="F1209" s="534"/>
      <c r="G1209" s="534"/>
      <c r="H1209" s="534"/>
      <c r="J1209" s="536"/>
      <c r="K1209" s="824"/>
    </row>
    <row r="1210" spans="3:11" ht="25.8" customHeight="1">
      <c r="C1210" s="818">
        <v>1</v>
      </c>
      <c r="D1210" s="212" t="s">
        <v>5</v>
      </c>
      <c r="E1210" s="212" t="s">
        <v>6</v>
      </c>
      <c r="F1210" s="829">
        <v>2.9000000000000001E-2</v>
      </c>
      <c r="G1210" s="539">
        <f>VLOOKUP(D1210,upahbahan,3,FALSE)</f>
        <v>100000</v>
      </c>
      <c r="H1210" s="539">
        <f t="shared" ref="H1210:H1213" si="123">F1210*G1210</f>
        <v>2900</v>
      </c>
      <c r="J1210" s="536"/>
      <c r="K1210" s="824"/>
    </row>
    <row r="1211" spans="3:11" ht="25.8" customHeight="1">
      <c r="C1211" s="818">
        <v>2</v>
      </c>
      <c r="D1211" s="212" t="str">
        <f>D1194</f>
        <v>Tukang listrik</v>
      </c>
      <c r="E1211" s="212" t="s">
        <v>6</v>
      </c>
      <c r="F1211" s="829">
        <v>4.8000000000000001E-2</v>
      </c>
      <c r="G1211" s="539">
        <f>VLOOKUP(D1211,upahbahan,3,FALSE)</f>
        <v>135000</v>
      </c>
      <c r="H1211" s="539">
        <f t="shared" si="123"/>
        <v>6480</v>
      </c>
      <c r="J1211" s="536"/>
      <c r="K1211" s="824"/>
    </row>
    <row r="1212" spans="3:11" ht="25.8" customHeight="1">
      <c r="C1212" s="818">
        <v>3</v>
      </c>
      <c r="D1212" s="212" t="s">
        <v>18</v>
      </c>
      <c r="E1212" s="212" t="s">
        <v>6</v>
      </c>
      <c r="F1212" s="829">
        <v>5.0000000000000001E-3</v>
      </c>
      <c r="G1212" s="539">
        <f>VLOOKUP(D1212,upahbahan,3,FALSE)</f>
        <v>150000</v>
      </c>
      <c r="H1212" s="539">
        <f t="shared" si="123"/>
        <v>750</v>
      </c>
      <c r="J1212" s="536"/>
      <c r="K1212" s="824"/>
    </row>
    <row r="1213" spans="3:11" ht="25.8" customHeight="1">
      <c r="C1213" s="818">
        <v>4</v>
      </c>
      <c r="D1213" s="212" t="s">
        <v>19</v>
      </c>
      <c r="E1213" s="212" t="s">
        <v>6</v>
      </c>
      <c r="F1213" s="829">
        <v>2E-3</v>
      </c>
      <c r="G1213" s="539">
        <f>VLOOKUP(D1213,upahbahan,3,FALSE)</f>
        <v>160000</v>
      </c>
      <c r="H1213" s="539">
        <f t="shared" si="123"/>
        <v>320</v>
      </c>
      <c r="J1213" s="536"/>
      <c r="K1213" s="824"/>
    </row>
    <row r="1214" spans="3:11" ht="25.8" customHeight="1">
      <c r="C1214" s="702" t="s">
        <v>1208</v>
      </c>
      <c r="D1214" s="208"/>
      <c r="E1214" s="208"/>
      <c r="F1214" s="811"/>
      <c r="G1214" s="522"/>
      <c r="H1214" s="539">
        <f>SUM(H1210:H1213)</f>
        <v>10450</v>
      </c>
      <c r="I1214" s="819"/>
      <c r="J1214" s="536"/>
      <c r="K1214" s="824"/>
    </row>
    <row r="1215" spans="3:11" ht="25.8" customHeight="1">
      <c r="C1215" s="213" t="s">
        <v>1209</v>
      </c>
      <c r="D1215" s="212" t="s">
        <v>1210</v>
      </c>
      <c r="E1215" s="534"/>
      <c r="F1215" s="831"/>
      <c r="G1215" s="534"/>
      <c r="H1215" s="534"/>
      <c r="J1215" s="536"/>
      <c r="K1215" s="824"/>
    </row>
    <row r="1216" spans="3:11" ht="25.8" customHeight="1">
      <c r="C1216" s="833" t="s">
        <v>1203</v>
      </c>
      <c r="D1216" s="820" t="s">
        <v>891</v>
      </c>
      <c r="E1216" s="807" t="s">
        <v>113</v>
      </c>
      <c r="F1216" s="538">
        <v>1.2</v>
      </c>
      <c r="G1216" s="539">
        <f>VLOOKUP(D1216,upahbahan,3,FALSE)</f>
        <v>0</v>
      </c>
      <c r="H1216" s="539">
        <f t="shared" ref="H1216" si="124">F1216*G1216</f>
        <v>0</v>
      </c>
      <c r="J1216" s="536"/>
      <c r="K1216" s="824"/>
    </row>
    <row r="1217" spans="3:11" ht="25.8" customHeight="1">
      <c r="C1217" s="702" t="s">
        <v>1214</v>
      </c>
      <c r="D1217" s="208"/>
      <c r="E1217" s="208"/>
      <c r="F1217" s="208"/>
      <c r="G1217" s="209"/>
      <c r="H1217" s="539">
        <f>SUM(H1216:H1216)</f>
        <v>0</v>
      </c>
      <c r="J1217" s="536"/>
      <c r="K1217" s="824"/>
    </row>
    <row r="1218" spans="3:11" ht="25.8" customHeight="1">
      <c r="C1218" s="213" t="s">
        <v>1215</v>
      </c>
      <c r="D1218" s="212" t="s">
        <v>1216</v>
      </c>
      <c r="E1218" s="534"/>
      <c r="F1218" s="534"/>
      <c r="G1218" s="534"/>
      <c r="H1218" s="534"/>
      <c r="J1218" s="536"/>
      <c r="K1218" s="824"/>
    </row>
    <row r="1219" spans="3:11" ht="25.8" customHeight="1">
      <c r="C1219" s="702" t="s">
        <v>1217</v>
      </c>
      <c r="D1219" s="208"/>
      <c r="E1219" s="208"/>
      <c r="F1219" s="208"/>
      <c r="G1219" s="209"/>
      <c r="H1219" s="821">
        <v>0</v>
      </c>
      <c r="J1219" s="536"/>
      <c r="K1219" s="824"/>
    </row>
    <row r="1220" spans="3:11" ht="25.8" customHeight="1">
      <c r="C1220" s="566" t="s">
        <v>1218</v>
      </c>
      <c r="D1220" s="552" t="s">
        <v>1219</v>
      </c>
      <c r="E1220" s="553"/>
      <c r="F1220" s="553"/>
      <c r="G1220" s="554"/>
      <c r="H1220" s="826">
        <f>H1219+H1217+H1214</f>
        <v>10450</v>
      </c>
      <c r="I1220" s="827"/>
      <c r="J1220" s="536"/>
      <c r="K1220" s="824"/>
    </row>
    <row r="1221" spans="3:11" ht="25.8" customHeight="1">
      <c r="C1221" s="566" t="s">
        <v>1220</v>
      </c>
      <c r="D1221" s="552" t="s">
        <v>1321</v>
      </c>
      <c r="E1221" s="553"/>
      <c r="F1221" s="554"/>
      <c r="G1221" s="555">
        <f>$M$9</f>
        <v>0.1</v>
      </c>
      <c r="H1221" s="539">
        <f>H1220*G1221</f>
        <v>1045</v>
      </c>
      <c r="I1221" s="827"/>
      <c r="J1221" s="536"/>
      <c r="K1221" s="824"/>
    </row>
    <row r="1222" spans="3:11" ht="25.8" customHeight="1">
      <c r="C1222" s="566" t="s">
        <v>1221</v>
      </c>
      <c r="D1222" s="552" t="s">
        <v>1222</v>
      </c>
      <c r="E1222" s="553"/>
      <c r="F1222" s="553"/>
      <c r="G1222" s="554"/>
      <c r="H1222" s="828">
        <f>SUM(H1220:H1221)</f>
        <v>11495</v>
      </c>
      <c r="I1222" s="827"/>
      <c r="J1222" s="536"/>
      <c r="K1222" s="824"/>
    </row>
    <row r="1223" spans="3:11" ht="25.8" customHeight="1">
      <c r="J1223" s="536"/>
      <c r="K1223" s="824"/>
    </row>
    <row r="1224" spans="3:11" ht="25.8" customHeight="1">
      <c r="C1224" s="571" t="s">
        <v>3308</v>
      </c>
      <c r="D1224" s="817" t="s">
        <v>1693</v>
      </c>
      <c r="E1224" s="803"/>
      <c r="F1224" s="803"/>
      <c r="G1224" s="803"/>
      <c r="H1224" s="803"/>
      <c r="I1224" s="533">
        <f>ROUNDDOWN(H1239,-2)</f>
        <v>105500</v>
      </c>
      <c r="J1224" s="536"/>
      <c r="K1224" s="824"/>
    </row>
    <row r="1225" spans="3:11" ht="25.8" customHeight="1">
      <c r="C1225" s="716" t="s">
        <v>1195</v>
      </c>
      <c r="D1225" s="716" t="s">
        <v>1196</v>
      </c>
      <c r="E1225" s="716" t="s">
        <v>1197</v>
      </c>
      <c r="F1225" s="716" t="s">
        <v>1198</v>
      </c>
      <c r="G1225" s="716" t="s">
        <v>1199</v>
      </c>
      <c r="H1225" s="716" t="s">
        <v>1200</v>
      </c>
      <c r="J1225" s="536"/>
      <c r="K1225" s="824"/>
    </row>
    <row r="1226" spans="3:11" ht="25.8" customHeight="1">
      <c r="C1226" s="213" t="s">
        <v>1201</v>
      </c>
      <c r="D1226" s="212" t="s">
        <v>1202</v>
      </c>
      <c r="E1226" s="534"/>
      <c r="F1226" s="534"/>
      <c r="G1226" s="534"/>
      <c r="H1226" s="534"/>
      <c r="J1226" s="536"/>
      <c r="K1226" s="824"/>
    </row>
    <row r="1227" spans="3:11" ht="25.8" customHeight="1">
      <c r="C1227" s="818">
        <v>1</v>
      </c>
      <c r="D1227" s="212" t="s">
        <v>5</v>
      </c>
      <c r="E1227" s="212" t="s">
        <v>6</v>
      </c>
      <c r="F1227" s="538">
        <v>3.5999999999999997E-2</v>
      </c>
      <c r="G1227" s="539">
        <f>VLOOKUP(D1227,upahbahan,3,FALSE)</f>
        <v>100000</v>
      </c>
      <c r="H1227" s="539">
        <f t="shared" ref="H1227:H1230" si="125">F1227*G1227</f>
        <v>3599.9999999999995</v>
      </c>
      <c r="J1227" s="536"/>
      <c r="K1227" s="824"/>
    </row>
    <row r="1228" spans="3:11" ht="25.8" customHeight="1">
      <c r="C1228" s="818">
        <v>2</v>
      </c>
      <c r="D1228" s="212" t="str">
        <f>D1211</f>
        <v>Tukang listrik</v>
      </c>
      <c r="E1228" s="212" t="s">
        <v>6</v>
      </c>
      <c r="F1228" s="538">
        <v>0.06</v>
      </c>
      <c r="G1228" s="539">
        <f>VLOOKUP(D1228,upahbahan,3,FALSE)</f>
        <v>135000</v>
      </c>
      <c r="H1228" s="539">
        <f t="shared" si="125"/>
        <v>8100</v>
      </c>
      <c r="J1228" s="536"/>
      <c r="K1228" s="824"/>
    </row>
    <row r="1229" spans="3:11" ht="25.8" customHeight="1">
      <c r="C1229" s="818">
        <v>3</v>
      </c>
      <c r="D1229" s="212" t="s">
        <v>18</v>
      </c>
      <c r="E1229" s="212" t="s">
        <v>6</v>
      </c>
      <c r="F1229" s="538">
        <v>6.0000000000000001E-3</v>
      </c>
      <c r="G1229" s="539">
        <f>VLOOKUP(D1229,upahbahan,3,FALSE)</f>
        <v>150000</v>
      </c>
      <c r="H1229" s="539">
        <f t="shared" si="125"/>
        <v>900</v>
      </c>
      <c r="J1229" s="536"/>
      <c r="K1229" s="824"/>
    </row>
    <row r="1230" spans="3:11" ht="25.8" customHeight="1">
      <c r="C1230" s="818">
        <v>4</v>
      </c>
      <c r="D1230" s="212" t="s">
        <v>19</v>
      </c>
      <c r="E1230" s="212" t="s">
        <v>6</v>
      </c>
      <c r="F1230" s="538">
        <v>2E-3</v>
      </c>
      <c r="G1230" s="539">
        <f>VLOOKUP(D1230,upahbahan,3,FALSE)</f>
        <v>160000</v>
      </c>
      <c r="H1230" s="539">
        <f t="shared" si="125"/>
        <v>320</v>
      </c>
      <c r="J1230" s="536"/>
      <c r="K1230" s="824"/>
    </row>
    <row r="1231" spans="3:11" ht="25.8" customHeight="1">
      <c r="C1231" s="702" t="s">
        <v>1208</v>
      </c>
      <c r="D1231" s="208"/>
      <c r="E1231" s="208"/>
      <c r="F1231" s="811"/>
      <c r="G1231" s="522"/>
      <c r="H1231" s="539">
        <f>SUM(H1227:H1230)</f>
        <v>12920</v>
      </c>
      <c r="I1231" s="819"/>
      <c r="J1231" s="536"/>
      <c r="K1231" s="824"/>
    </row>
    <row r="1232" spans="3:11" ht="25.8" customHeight="1">
      <c r="C1232" s="213" t="s">
        <v>1209</v>
      </c>
      <c r="D1232" s="212" t="s">
        <v>1210</v>
      </c>
      <c r="E1232" s="534"/>
      <c r="F1232" s="831"/>
      <c r="G1232" s="534"/>
      <c r="H1232" s="534"/>
      <c r="J1232" s="536"/>
      <c r="K1232" s="824"/>
    </row>
    <row r="1233" spans="3:11" ht="25.8" customHeight="1">
      <c r="C1233" s="833" t="s">
        <v>1203</v>
      </c>
      <c r="D1233" s="820" t="s">
        <v>888</v>
      </c>
      <c r="E1233" s="807" t="s">
        <v>113</v>
      </c>
      <c r="F1233" s="538">
        <v>1.2</v>
      </c>
      <c r="G1233" s="539">
        <f>VLOOKUP(D1233,upahbahan,3,FALSE)</f>
        <v>69200</v>
      </c>
      <c r="H1233" s="539">
        <f t="shared" ref="H1233" si="126">F1233*G1233</f>
        <v>83040</v>
      </c>
      <c r="J1233" s="536"/>
      <c r="K1233" s="824"/>
    </row>
    <row r="1234" spans="3:11" ht="25.8" customHeight="1">
      <c r="C1234" s="702" t="s">
        <v>1214</v>
      </c>
      <c r="D1234" s="208"/>
      <c r="E1234" s="208"/>
      <c r="F1234" s="208"/>
      <c r="G1234" s="209"/>
      <c r="H1234" s="539">
        <f>SUM(H1233:H1233)</f>
        <v>83040</v>
      </c>
      <c r="J1234" s="536"/>
      <c r="K1234" s="824"/>
    </row>
    <row r="1235" spans="3:11" ht="25.8" customHeight="1">
      <c r="C1235" s="213" t="s">
        <v>1215</v>
      </c>
      <c r="D1235" s="212" t="s">
        <v>1216</v>
      </c>
      <c r="E1235" s="534"/>
      <c r="F1235" s="534"/>
      <c r="G1235" s="534"/>
      <c r="H1235" s="534"/>
      <c r="J1235" s="536"/>
      <c r="K1235" s="824"/>
    </row>
    <row r="1236" spans="3:11" ht="25.8" customHeight="1">
      <c r="C1236" s="702" t="s">
        <v>1217</v>
      </c>
      <c r="D1236" s="208"/>
      <c r="E1236" s="208"/>
      <c r="F1236" s="208"/>
      <c r="G1236" s="209"/>
      <c r="H1236" s="821">
        <v>0</v>
      </c>
      <c r="J1236" s="536"/>
      <c r="K1236" s="824"/>
    </row>
    <row r="1237" spans="3:11" ht="25.8" customHeight="1">
      <c r="C1237" s="566" t="s">
        <v>1218</v>
      </c>
      <c r="D1237" s="552" t="s">
        <v>1219</v>
      </c>
      <c r="E1237" s="553"/>
      <c r="F1237" s="553"/>
      <c r="G1237" s="554"/>
      <c r="H1237" s="826">
        <f>H1236+H1234+H1231</f>
        <v>95960</v>
      </c>
      <c r="I1237" s="827"/>
      <c r="J1237" s="536"/>
      <c r="K1237" s="824"/>
    </row>
    <row r="1238" spans="3:11" ht="25.8" customHeight="1">
      <c r="C1238" s="566" t="s">
        <v>1220</v>
      </c>
      <c r="D1238" s="552" t="s">
        <v>1321</v>
      </c>
      <c r="E1238" s="553"/>
      <c r="F1238" s="554"/>
      <c r="G1238" s="555">
        <f>$M$9</f>
        <v>0.1</v>
      </c>
      <c r="H1238" s="539">
        <f>H1237*G1238</f>
        <v>9596</v>
      </c>
      <c r="I1238" s="827"/>
      <c r="J1238" s="536"/>
      <c r="K1238" s="824"/>
    </row>
    <row r="1239" spans="3:11" ht="25.8" customHeight="1">
      <c r="C1239" s="566" t="s">
        <v>1221</v>
      </c>
      <c r="D1239" s="552" t="s">
        <v>1222</v>
      </c>
      <c r="E1239" s="553"/>
      <c r="F1239" s="553"/>
      <c r="G1239" s="554"/>
      <c r="H1239" s="828">
        <f>SUM(H1237:H1238)</f>
        <v>105556</v>
      </c>
      <c r="I1239" s="827"/>
      <c r="J1239" s="536"/>
      <c r="K1239" s="824"/>
    </row>
    <row r="1240" spans="3:11" ht="25.8" customHeight="1">
      <c r="J1240" s="536"/>
      <c r="K1240" s="824"/>
    </row>
    <row r="1241" spans="3:11" ht="25.8" customHeight="1">
      <c r="C1241" s="571" t="s">
        <v>3309</v>
      </c>
      <c r="D1241" s="817" t="s">
        <v>1694</v>
      </c>
      <c r="E1241" s="803"/>
      <c r="F1241" s="803"/>
      <c r="G1241" s="803"/>
      <c r="H1241" s="803"/>
      <c r="I1241" s="533">
        <f>ROUNDDOWN(H1256,-2)</f>
        <v>9400</v>
      </c>
      <c r="J1241" s="536"/>
      <c r="K1241" s="824"/>
    </row>
    <row r="1242" spans="3:11" ht="25.8" customHeight="1">
      <c r="C1242" s="716" t="s">
        <v>1195</v>
      </c>
      <c r="D1242" s="716" t="s">
        <v>1196</v>
      </c>
      <c r="E1242" s="716" t="s">
        <v>1197</v>
      </c>
      <c r="F1242" s="716" t="s">
        <v>1198</v>
      </c>
      <c r="G1242" s="716" t="s">
        <v>1199</v>
      </c>
      <c r="H1242" s="716" t="s">
        <v>1200</v>
      </c>
      <c r="J1242" s="536"/>
      <c r="K1242" s="824"/>
    </row>
    <row r="1243" spans="3:11" ht="25.8" customHeight="1">
      <c r="C1243" s="213" t="s">
        <v>1201</v>
      </c>
      <c r="D1243" s="212" t="s">
        <v>1202</v>
      </c>
      <c r="E1243" s="534"/>
      <c r="F1243" s="534"/>
      <c r="G1243" s="534"/>
      <c r="H1243" s="534"/>
      <c r="J1243" s="536"/>
      <c r="K1243" s="824"/>
    </row>
    <row r="1244" spans="3:11" ht="25.8" customHeight="1">
      <c r="C1244" s="818">
        <v>1</v>
      </c>
      <c r="D1244" s="212" t="s">
        <v>5</v>
      </c>
      <c r="E1244" s="212" t="s">
        <v>6</v>
      </c>
      <c r="F1244" s="538">
        <v>2.4E-2</v>
      </c>
      <c r="G1244" s="539">
        <f>VLOOKUP(D1244,upahbahan,3,FALSE)</f>
        <v>100000</v>
      </c>
      <c r="H1244" s="539">
        <f>F1244*G1244</f>
        <v>2400</v>
      </c>
      <c r="J1244" s="536"/>
      <c r="K1244" s="824"/>
    </row>
    <row r="1245" spans="3:11" ht="25.8" customHeight="1">
      <c r="C1245" s="818">
        <v>2</v>
      </c>
      <c r="D1245" s="212" t="str">
        <f>D1228</f>
        <v>Tukang listrik</v>
      </c>
      <c r="E1245" s="212" t="s">
        <v>6</v>
      </c>
      <c r="F1245" s="538">
        <v>0.04</v>
      </c>
      <c r="G1245" s="539">
        <f>VLOOKUP(D1245,upahbahan,3,FALSE)</f>
        <v>135000</v>
      </c>
      <c r="H1245" s="539">
        <f t="shared" ref="H1245:H1247" si="127">F1245*G1245</f>
        <v>5400</v>
      </c>
      <c r="J1245" s="536"/>
      <c r="K1245" s="824"/>
    </row>
    <row r="1246" spans="3:11" ht="25.8" customHeight="1">
      <c r="C1246" s="818">
        <v>3</v>
      </c>
      <c r="D1246" s="212" t="s">
        <v>18</v>
      </c>
      <c r="E1246" s="212" t="s">
        <v>6</v>
      </c>
      <c r="F1246" s="538">
        <v>4.0000000000000001E-3</v>
      </c>
      <c r="G1246" s="539">
        <f>VLOOKUP(D1246,upahbahan,3,FALSE)</f>
        <v>150000</v>
      </c>
      <c r="H1246" s="539">
        <f t="shared" si="127"/>
        <v>600</v>
      </c>
      <c r="J1246" s="536"/>
      <c r="K1246" s="824"/>
    </row>
    <row r="1247" spans="3:11" ht="25.8" customHeight="1">
      <c r="C1247" s="818">
        <v>4</v>
      </c>
      <c r="D1247" s="212" t="s">
        <v>19</v>
      </c>
      <c r="E1247" s="212" t="s">
        <v>6</v>
      </c>
      <c r="F1247" s="538">
        <v>1E-3</v>
      </c>
      <c r="G1247" s="539">
        <f>VLOOKUP(D1247,upahbahan,3,FALSE)</f>
        <v>160000</v>
      </c>
      <c r="H1247" s="539">
        <f t="shared" si="127"/>
        <v>160</v>
      </c>
      <c r="J1247" s="536"/>
      <c r="K1247" s="824"/>
    </row>
    <row r="1248" spans="3:11" ht="25.8" customHeight="1">
      <c r="C1248" s="702" t="s">
        <v>1208</v>
      </c>
      <c r="D1248" s="208"/>
      <c r="E1248" s="208"/>
      <c r="F1248" s="811"/>
      <c r="G1248" s="522"/>
      <c r="H1248" s="539">
        <f>SUM(H1244:H1247)</f>
        <v>8560</v>
      </c>
      <c r="I1248" s="819"/>
      <c r="J1248" s="536"/>
      <c r="K1248" s="824"/>
    </row>
    <row r="1249" spans="3:11" ht="25.8" customHeight="1">
      <c r="C1249" s="213" t="s">
        <v>1209</v>
      </c>
      <c r="D1249" s="212" t="s">
        <v>1210</v>
      </c>
      <c r="E1249" s="534"/>
      <c r="F1249" s="831"/>
      <c r="G1249" s="534"/>
      <c r="H1249" s="534"/>
      <c r="J1249" s="536"/>
      <c r="K1249" s="824"/>
    </row>
    <row r="1250" spans="3:11" ht="25.8" customHeight="1">
      <c r="C1250" s="833" t="s">
        <v>1203</v>
      </c>
      <c r="D1250" s="820" t="s">
        <v>892</v>
      </c>
      <c r="E1250" s="807" t="s">
        <v>113</v>
      </c>
      <c r="F1250" s="538">
        <v>1.2</v>
      </c>
      <c r="G1250" s="539">
        <f>VLOOKUP(D1250,upahbahan,3,FALSE)</f>
        <v>0</v>
      </c>
      <c r="H1250" s="539">
        <f t="shared" ref="H1250" si="128">F1250*G1250</f>
        <v>0</v>
      </c>
      <c r="J1250" s="536"/>
      <c r="K1250" s="824"/>
    </row>
    <row r="1251" spans="3:11" ht="25.8" customHeight="1">
      <c r="C1251" s="702" t="s">
        <v>1214</v>
      </c>
      <c r="D1251" s="208"/>
      <c r="E1251" s="208"/>
      <c r="F1251" s="208"/>
      <c r="G1251" s="209"/>
      <c r="H1251" s="539">
        <f>SUM(H1250:H1250)</f>
        <v>0</v>
      </c>
      <c r="J1251" s="536"/>
      <c r="K1251" s="824"/>
    </row>
    <row r="1252" spans="3:11" ht="25.8" customHeight="1">
      <c r="C1252" s="213" t="s">
        <v>1215</v>
      </c>
      <c r="D1252" s="212" t="s">
        <v>1216</v>
      </c>
      <c r="E1252" s="534"/>
      <c r="F1252" s="534"/>
      <c r="G1252" s="534"/>
      <c r="H1252" s="534"/>
      <c r="J1252" s="536"/>
      <c r="K1252" s="824"/>
    </row>
    <row r="1253" spans="3:11" ht="25.8" customHeight="1">
      <c r="C1253" s="702" t="s">
        <v>1217</v>
      </c>
      <c r="D1253" s="208"/>
      <c r="E1253" s="208"/>
      <c r="F1253" s="208"/>
      <c r="G1253" s="209"/>
      <c r="H1253" s="821">
        <v>0</v>
      </c>
      <c r="J1253" s="536"/>
      <c r="K1253" s="824"/>
    </row>
    <row r="1254" spans="3:11" ht="25.8" customHeight="1">
      <c r="C1254" s="566" t="s">
        <v>1218</v>
      </c>
      <c r="D1254" s="552" t="s">
        <v>1219</v>
      </c>
      <c r="E1254" s="553"/>
      <c r="F1254" s="553"/>
      <c r="G1254" s="554"/>
      <c r="H1254" s="826">
        <f>H1253+H1251+H1248</f>
        <v>8560</v>
      </c>
      <c r="I1254" s="827"/>
      <c r="J1254" s="536"/>
      <c r="K1254" s="824"/>
    </row>
    <row r="1255" spans="3:11" ht="25.8" customHeight="1">
      <c r="C1255" s="566" t="s">
        <v>1220</v>
      </c>
      <c r="D1255" s="552" t="s">
        <v>1321</v>
      </c>
      <c r="E1255" s="553"/>
      <c r="F1255" s="554"/>
      <c r="G1255" s="555">
        <f>$M$9</f>
        <v>0.1</v>
      </c>
      <c r="H1255" s="539">
        <f>H1254*G1255</f>
        <v>856</v>
      </c>
      <c r="I1255" s="827"/>
      <c r="J1255" s="536"/>
      <c r="K1255" s="824"/>
    </row>
    <row r="1256" spans="3:11" ht="25.8" customHeight="1">
      <c r="C1256" s="566" t="s">
        <v>1221</v>
      </c>
      <c r="D1256" s="552" t="s">
        <v>1222</v>
      </c>
      <c r="E1256" s="553"/>
      <c r="F1256" s="553"/>
      <c r="G1256" s="554"/>
      <c r="H1256" s="828">
        <f>SUM(H1254:H1255)</f>
        <v>9416</v>
      </c>
      <c r="I1256" s="827"/>
      <c r="J1256" s="536"/>
      <c r="K1256" s="824"/>
    </row>
    <row r="1257" spans="3:11" ht="25.8" customHeight="1">
      <c r="J1257" s="536"/>
      <c r="K1257" s="824"/>
    </row>
    <row r="1258" spans="3:11" ht="25.8" customHeight="1">
      <c r="C1258" s="571" t="s">
        <v>3310</v>
      </c>
      <c r="D1258" s="817" t="s">
        <v>1695</v>
      </c>
      <c r="E1258" s="803"/>
      <c r="F1258" s="803"/>
      <c r="G1258" s="803"/>
      <c r="H1258" s="803"/>
      <c r="I1258" s="533">
        <f>ROUNDDOWN(H1273,-2)</f>
        <v>9400</v>
      </c>
      <c r="J1258" s="536"/>
      <c r="K1258" s="824"/>
    </row>
    <row r="1259" spans="3:11" ht="25.8" customHeight="1">
      <c r="C1259" s="716" t="s">
        <v>1195</v>
      </c>
      <c r="D1259" s="716" t="s">
        <v>1196</v>
      </c>
      <c r="E1259" s="716" t="s">
        <v>1197</v>
      </c>
      <c r="F1259" s="716" t="s">
        <v>1198</v>
      </c>
      <c r="G1259" s="716" t="s">
        <v>1199</v>
      </c>
      <c r="H1259" s="716" t="s">
        <v>1200</v>
      </c>
      <c r="J1259" s="536"/>
      <c r="K1259" s="824"/>
    </row>
    <row r="1260" spans="3:11" ht="25.8" customHeight="1">
      <c r="C1260" s="213" t="s">
        <v>1201</v>
      </c>
      <c r="D1260" s="212" t="s">
        <v>1202</v>
      </c>
      <c r="E1260" s="534"/>
      <c r="F1260" s="534"/>
      <c r="G1260" s="534"/>
      <c r="H1260" s="534"/>
      <c r="J1260" s="536"/>
      <c r="K1260" s="824"/>
    </row>
    <row r="1261" spans="3:11" ht="25.8" customHeight="1">
      <c r="C1261" s="818">
        <v>1</v>
      </c>
      <c r="D1261" s="212" t="s">
        <v>5</v>
      </c>
      <c r="E1261" s="212" t="s">
        <v>6</v>
      </c>
      <c r="F1261" s="538">
        <v>2.4E-2</v>
      </c>
      <c r="G1261" s="539">
        <f>VLOOKUP(D1261,upahbahan,3,FALSE)</f>
        <v>100000</v>
      </c>
      <c r="H1261" s="539">
        <f t="shared" ref="H1261:H1264" si="129">F1261*G1261</f>
        <v>2400</v>
      </c>
      <c r="J1261" s="536"/>
      <c r="K1261" s="824"/>
    </row>
    <row r="1262" spans="3:11" ht="25.8" customHeight="1">
      <c r="C1262" s="818">
        <v>2</v>
      </c>
      <c r="D1262" s="212" t="str">
        <f>D1245</f>
        <v>Tukang listrik</v>
      </c>
      <c r="E1262" s="212" t="s">
        <v>6</v>
      </c>
      <c r="F1262" s="538">
        <v>0.04</v>
      </c>
      <c r="G1262" s="539">
        <f>VLOOKUP(D1262,upahbahan,3,FALSE)</f>
        <v>135000</v>
      </c>
      <c r="H1262" s="539">
        <f t="shared" si="129"/>
        <v>5400</v>
      </c>
      <c r="J1262" s="536"/>
      <c r="K1262" s="824"/>
    </row>
    <row r="1263" spans="3:11" ht="25.8" customHeight="1">
      <c r="C1263" s="818">
        <v>3</v>
      </c>
      <c r="D1263" s="212" t="s">
        <v>18</v>
      </c>
      <c r="E1263" s="212" t="s">
        <v>6</v>
      </c>
      <c r="F1263" s="538">
        <v>4.0000000000000001E-3</v>
      </c>
      <c r="G1263" s="539">
        <f>VLOOKUP(D1263,upahbahan,3,FALSE)</f>
        <v>150000</v>
      </c>
      <c r="H1263" s="539">
        <f t="shared" si="129"/>
        <v>600</v>
      </c>
      <c r="J1263" s="536"/>
      <c r="K1263" s="824"/>
    </row>
    <row r="1264" spans="3:11" ht="25.8" customHeight="1">
      <c r="C1264" s="818">
        <v>4</v>
      </c>
      <c r="D1264" s="212" t="s">
        <v>19</v>
      </c>
      <c r="E1264" s="212" t="s">
        <v>6</v>
      </c>
      <c r="F1264" s="538">
        <v>1E-3</v>
      </c>
      <c r="G1264" s="539">
        <f>VLOOKUP(D1264,upahbahan,3,FALSE)</f>
        <v>160000</v>
      </c>
      <c r="H1264" s="539">
        <f t="shared" si="129"/>
        <v>160</v>
      </c>
      <c r="J1264" s="536"/>
      <c r="K1264" s="824"/>
    </row>
    <row r="1265" spans="3:11" ht="25.8" customHeight="1">
      <c r="C1265" s="702" t="s">
        <v>1208</v>
      </c>
      <c r="D1265" s="208"/>
      <c r="E1265" s="208"/>
      <c r="F1265" s="811"/>
      <c r="G1265" s="522"/>
      <c r="H1265" s="539">
        <f>SUM(H1261:H1264)</f>
        <v>8560</v>
      </c>
      <c r="I1265" s="819"/>
      <c r="J1265" s="536"/>
      <c r="K1265" s="824"/>
    </row>
    <row r="1266" spans="3:11" ht="25.8" customHeight="1">
      <c r="C1266" s="213" t="s">
        <v>1209</v>
      </c>
      <c r="D1266" s="212" t="s">
        <v>1210</v>
      </c>
      <c r="E1266" s="534"/>
      <c r="F1266" s="831"/>
      <c r="G1266" s="534"/>
      <c r="H1266" s="534"/>
      <c r="J1266" s="536"/>
      <c r="K1266" s="824"/>
    </row>
    <row r="1267" spans="3:11" ht="25.8" customHeight="1">
      <c r="C1267" s="833" t="s">
        <v>1203</v>
      </c>
      <c r="D1267" s="820" t="s">
        <v>895</v>
      </c>
      <c r="E1267" s="807" t="s">
        <v>113</v>
      </c>
      <c r="F1267" s="538">
        <v>1.2</v>
      </c>
      <c r="G1267" s="539">
        <f>VLOOKUP(D1267,upahbahan,3,FALSE)</f>
        <v>0</v>
      </c>
      <c r="H1267" s="539">
        <f>F1267*G1267</f>
        <v>0</v>
      </c>
      <c r="J1267" s="536"/>
      <c r="K1267" s="824"/>
    </row>
    <row r="1268" spans="3:11" ht="25.8" customHeight="1">
      <c r="C1268" s="702" t="s">
        <v>1214</v>
      </c>
      <c r="D1268" s="208"/>
      <c r="E1268" s="208"/>
      <c r="F1268" s="208"/>
      <c r="G1268" s="209"/>
      <c r="H1268" s="539">
        <f>SUM(H1267:H1267)</f>
        <v>0</v>
      </c>
      <c r="J1268" s="536"/>
      <c r="K1268" s="824"/>
    </row>
    <row r="1269" spans="3:11" ht="25.8" customHeight="1">
      <c r="C1269" s="213" t="s">
        <v>1215</v>
      </c>
      <c r="D1269" s="212" t="s">
        <v>1216</v>
      </c>
      <c r="E1269" s="534"/>
      <c r="F1269" s="534"/>
      <c r="G1269" s="534"/>
      <c r="H1269" s="534"/>
      <c r="J1269" s="536"/>
      <c r="K1269" s="824"/>
    </row>
    <row r="1270" spans="3:11" ht="25.8" customHeight="1">
      <c r="C1270" s="702" t="s">
        <v>1217</v>
      </c>
      <c r="D1270" s="208"/>
      <c r="E1270" s="208"/>
      <c r="F1270" s="208"/>
      <c r="G1270" s="209"/>
      <c r="H1270" s="821">
        <v>0</v>
      </c>
      <c r="J1270" s="536"/>
      <c r="K1270" s="824"/>
    </row>
    <row r="1271" spans="3:11" ht="25.8" customHeight="1">
      <c r="C1271" s="566" t="s">
        <v>1218</v>
      </c>
      <c r="D1271" s="552" t="s">
        <v>1219</v>
      </c>
      <c r="E1271" s="553"/>
      <c r="F1271" s="553"/>
      <c r="G1271" s="554"/>
      <c r="H1271" s="826">
        <f>H1270+H1268+H1265</f>
        <v>8560</v>
      </c>
      <c r="I1271" s="827"/>
      <c r="J1271" s="536"/>
      <c r="K1271" s="824"/>
    </row>
    <row r="1272" spans="3:11" ht="25.8" customHeight="1">
      <c r="C1272" s="566" t="s">
        <v>1220</v>
      </c>
      <c r="D1272" s="552" t="s">
        <v>1321</v>
      </c>
      <c r="E1272" s="553"/>
      <c r="F1272" s="554"/>
      <c r="G1272" s="555">
        <f>$M$9</f>
        <v>0.1</v>
      </c>
      <c r="H1272" s="539">
        <f>H1271*G1272</f>
        <v>856</v>
      </c>
      <c r="I1272" s="827"/>
      <c r="J1272" s="536"/>
      <c r="K1272" s="824"/>
    </row>
    <row r="1273" spans="3:11" ht="25.8" customHeight="1">
      <c r="C1273" s="566" t="s">
        <v>1221</v>
      </c>
      <c r="D1273" s="552" t="s">
        <v>1222</v>
      </c>
      <c r="E1273" s="553"/>
      <c r="F1273" s="553"/>
      <c r="G1273" s="554"/>
      <c r="H1273" s="828">
        <f>SUM(H1271:H1272)</f>
        <v>9416</v>
      </c>
      <c r="I1273" s="827"/>
      <c r="J1273" s="536"/>
      <c r="K1273" s="824"/>
    </row>
    <row r="1274" spans="3:11" ht="25.8" customHeight="1">
      <c r="J1274" s="536"/>
      <c r="K1274" s="824"/>
    </row>
    <row r="1275" spans="3:11" ht="25.8" customHeight="1">
      <c r="C1275" s="571" t="s">
        <v>3311</v>
      </c>
      <c r="D1275" s="817" t="s">
        <v>1696</v>
      </c>
      <c r="E1275" s="803"/>
      <c r="F1275" s="803"/>
      <c r="G1275" s="803"/>
      <c r="H1275" s="803"/>
      <c r="I1275" s="533">
        <f>ROUNDDOWN(H1290,-2)</f>
        <v>11400</v>
      </c>
      <c r="J1275" s="536"/>
      <c r="K1275" s="824"/>
    </row>
    <row r="1276" spans="3:11" ht="25.8" customHeight="1">
      <c r="C1276" s="716" t="s">
        <v>1195</v>
      </c>
      <c r="D1276" s="716" t="s">
        <v>1196</v>
      </c>
      <c r="E1276" s="716" t="s">
        <v>1197</v>
      </c>
      <c r="F1276" s="716" t="s">
        <v>1198</v>
      </c>
      <c r="G1276" s="716" t="s">
        <v>1199</v>
      </c>
      <c r="H1276" s="716" t="s">
        <v>1200</v>
      </c>
      <c r="J1276" s="536"/>
      <c r="K1276" s="824"/>
    </row>
    <row r="1277" spans="3:11" ht="25.8" customHeight="1">
      <c r="C1277" s="213" t="s">
        <v>1201</v>
      </c>
      <c r="D1277" s="212" t="s">
        <v>1202</v>
      </c>
      <c r="E1277" s="534"/>
      <c r="F1277" s="534"/>
      <c r="G1277" s="534"/>
      <c r="H1277" s="534"/>
      <c r="J1277" s="536"/>
      <c r="K1277" s="824"/>
    </row>
    <row r="1278" spans="3:11" ht="25.8" customHeight="1">
      <c r="C1278" s="818">
        <v>1</v>
      </c>
      <c r="D1278" s="212" t="s">
        <v>5</v>
      </c>
      <c r="E1278" s="212" t="s">
        <v>6</v>
      </c>
      <c r="F1278" s="829">
        <v>2.9000000000000001E-2</v>
      </c>
      <c r="G1278" s="539">
        <f>VLOOKUP(D1278,upahbahan,3,FALSE)</f>
        <v>100000</v>
      </c>
      <c r="H1278" s="539">
        <f t="shared" ref="H1278:H1281" si="130">F1278*G1278</f>
        <v>2900</v>
      </c>
      <c r="J1278" s="536"/>
      <c r="K1278" s="824"/>
    </row>
    <row r="1279" spans="3:11" ht="25.8" customHeight="1">
      <c r="C1279" s="818">
        <v>2</v>
      </c>
      <c r="D1279" s="212" t="str">
        <f>D1262</f>
        <v>Tukang listrik</v>
      </c>
      <c r="E1279" s="212" t="s">
        <v>6</v>
      </c>
      <c r="F1279" s="829">
        <v>4.8000000000000001E-2</v>
      </c>
      <c r="G1279" s="539">
        <f>VLOOKUP(D1279,upahbahan,3,FALSE)</f>
        <v>135000</v>
      </c>
      <c r="H1279" s="539">
        <f t="shared" si="130"/>
        <v>6480</v>
      </c>
      <c r="J1279" s="536"/>
      <c r="K1279" s="824"/>
    </row>
    <row r="1280" spans="3:11" ht="25.8" customHeight="1">
      <c r="C1280" s="818">
        <v>3</v>
      </c>
      <c r="D1280" s="212" t="s">
        <v>18</v>
      </c>
      <c r="E1280" s="212" t="s">
        <v>6</v>
      </c>
      <c r="F1280" s="829">
        <v>5.0000000000000001E-3</v>
      </c>
      <c r="G1280" s="539">
        <f>VLOOKUP(D1280,upahbahan,3,FALSE)</f>
        <v>150000</v>
      </c>
      <c r="H1280" s="539">
        <f t="shared" si="130"/>
        <v>750</v>
      </c>
      <c r="J1280" s="536"/>
      <c r="K1280" s="824"/>
    </row>
    <row r="1281" spans="3:11" ht="25.8" customHeight="1">
      <c r="C1281" s="818">
        <v>4</v>
      </c>
      <c r="D1281" s="212" t="s">
        <v>19</v>
      </c>
      <c r="E1281" s="212" t="s">
        <v>6</v>
      </c>
      <c r="F1281" s="829">
        <v>2E-3</v>
      </c>
      <c r="G1281" s="539">
        <f>VLOOKUP(D1281,upahbahan,3,FALSE)</f>
        <v>160000</v>
      </c>
      <c r="H1281" s="539">
        <f t="shared" si="130"/>
        <v>320</v>
      </c>
      <c r="J1281" s="536"/>
      <c r="K1281" s="824"/>
    </row>
    <row r="1282" spans="3:11" ht="25.8" customHeight="1">
      <c r="C1282" s="702" t="s">
        <v>1208</v>
      </c>
      <c r="D1282" s="208"/>
      <c r="E1282" s="208"/>
      <c r="F1282" s="811"/>
      <c r="G1282" s="522"/>
      <c r="H1282" s="539">
        <f>SUM(H1278:H1281)</f>
        <v>10450</v>
      </c>
      <c r="I1282" s="819"/>
      <c r="J1282" s="536"/>
      <c r="K1282" s="824"/>
    </row>
    <row r="1283" spans="3:11" ht="25.8" customHeight="1">
      <c r="C1283" s="213" t="s">
        <v>1209</v>
      </c>
      <c r="D1283" s="212" t="s">
        <v>1210</v>
      </c>
      <c r="E1283" s="534"/>
      <c r="F1283" s="831"/>
      <c r="G1283" s="534"/>
      <c r="H1283" s="534"/>
      <c r="J1283" s="536"/>
      <c r="K1283" s="824"/>
    </row>
    <row r="1284" spans="3:11" ht="25.8" customHeight="1">
      <c r="C1284" s="833" t="s">
        <v>1203</v>
      </c>
      <c r="D1284" s="820" t="s">
        <v>896</v>
      </c>
      <c r="E1284" s="807" t="s">
        <v>113</v>
      </c>
      <c r="F1284" s="538">
        <v>1.2</v>
      </c>
      <c r="G1284" s="539">
        <f>VLOOKUP(D1284,upahbahan,3,FALSE)</f>
        <v>0</v>
      </c>
      <c r="H1284" s="539">
        <f t="shared" ref="H1284" si="131">F1284*G1284</f>
        <v>0</v>
      </c>
      <c r="J1284" s="536"/>
      <c r="K1284" s="824"/>
    </row>
    <row r="1285" spans="3:11" ht="25.8" customHeight="1">
      <c r="C1285" s="702" t="s">
        <v>1214</v>
      </c>
      <c r="D1285" s="208"/>
      <c r="E1285" s="208"/>
      <c r="F1285" s="208"/>
      <c r="G1285" s="209"/>
      <c r="H1285" s="539">
        <f>SUM(H1284:H1284)</f>
        <v>0</v>
      </c>
      <c r="J1285" s="536"/>
      <c r="K1285" s="824"/>
    </row>
    <row r="1286" spans="3:11" ht="25.8" customHeight="1">
      <c r="C1286" s="213" t="s">
        <v>1215</v>
      </c>
      <c r="D1286" s="212" t="s">
        <v>1216</v>
      </c>
      <c r="E1286" s="534"/>
      <c r="F1286" s="534"/>
      <c r="G1286" s="534"/>
      <c r="H1286" s="534"/>
      <c r="J1286" s="536"/>
      <c r="K1286" s="824"/>
    </row>
    <row r="1287" spans="3:11" ht="25.8" customHeight="1">
      <c r="C1287" s="702" t="s">
        <v>1217</v>
      </c>
      <c r="D1287" s="208"/>
      <c r="E1287" s="208"/>
      <c r="F1287" s="208"/>
      <c r="G1287" s="209"/>
      <c r="H1287" s="821">
        <v>0</v>
      </c>
      <c r="J1287" s="536"/>
      <c r="K1287" s="824"/>
    </row>
    <row r="1288" spans="3:11" ht="25.8" customHeight="1">
      <c r="C1288" s="566" t="s">
        <v>1218</v>
      </c>
      <c r="D1288" s="552" t="s">
        <v>1219</v>
      </c>
      <c r="E1288" s="553"/>
      <c r="F1288" s="553"/>
      <c r="G1288" s="554"/>
      <c r="H1288" s="826">
        <f>H1287+H1285+H1282</f>
        <v>10450</v>
      </c>
      <c r="I1288" s="827"/>
      <c r="J1288" s="536"/>
      <c r="K1288" s="824"/>
    </row>
    <row r="1289" spans="3:11" ht="25.8" customHeight="1">
      <c r="C1289" s="566" t="s">
        <v>1220</v>
      </c>
      <c r="D1289" s="552" t="s">
        <v>1321</v>
      </c>
      <c r="E1289" s="553"/>
      <c r="F1289" s="554"/>
      <c r="G1289" s="555">
        <f>$M$9</f>
        <v>0.1</v>
      </c>
      <c r="H1289" s="539">
        <f>H1288*G1289</f>
        <v>1045</v>
      </c>
      <c r="I1289" s="827"/>
      <c r="J1289" s="536"/>
      <c r="K1289" s="824"/>
    </row>
    <row r="1290" spans="3:11" ht="25.8" customHeight="1">
      <c r="C1290" s="566" t="s">
        <v>1221</v>
      </c>
      <c r="D1290" s="552" t="s">
        <v>1222</v>
      </c>
      <c r="E1290" s="553"/>
      <c r="F1290" s="553"/>
      <c r="G1290" s="554"/>
      <c r="H1290" s="828">
        <f>SUM(H1288:H1289)</f>
        <v>11495</v>
      </c>
      <c r="I1290" s="827"/>
      <c r="J1290" s="536"/>
      <c r="K1290" s="824"/>
    </row>
    <row r="1291" spans="3:11" ht="25.8" customHeight="1">
      <c r="J1291" s="536"/>
      <c r="K1291" s="824"/>
    </row>
    <row r="1292" spans="3:11" ht="25.8" customHeight="1">
      <c r="C1292" s="571" t="s">
        <v>3312</v>
      </c>
      <c r="D1292" s="817" t="s">
        <v>1697</v>
      </c>
      <c r="E1292" s="803"/>
      <c r="F1292" s="803"/>
      <c r="G1292" s="803"/>
      <c r="H1292" s="803"/>
      <c r="I1292" s="533">
        <f>ROUNDDOWN(H1307,-2)</f>
        <v>11400</v>
      </c>
      <c r="J1292" s="536"/>
      <c r="K1292" s="824"/>
    </row>
    <row r="1293" spans="3:11" ht="25.8" customHeight="1">
      <c r="C1293" s="716" t="s">
        <v>1195</v>
      </c>
      <c r="D1293" s="716" t="s">
        <v>1196</v>
      </c>
      <c r="E1293" s="716" t="s">
        <v>1197</v>
      </c>
      <c r="F1293" s="716" t="s">
        <v>1198</v>
      </c>
      <c r="G1293" s="716" t="s">
        <v>1199</v>
      </c>
      <c r="H1293" s="716" t="s">
        <v>1200</v>
      </c>
      <c r="J1293" s="536"/>
      <c r="K1293" s="824"/>
    </row>
    <row r="1294" spans="3:11" ht="25.8" customHeight="1">
      <c r="C1294" s="213" t="s">
        <v>1201</v>
      </c>
      <c r="D1294" s="212" t="s">
        <v>1202</v>
      </c>
      <c r="E1294" s="534"/>
      <c r="F1294" s="534"/>
      <c r="G1294" s="534"/>
      <c r="H1294" s="534"/>
      <c r="J1294" s="536"/>
      <c r="K1294" s="824"/>
    </row>
    <row r="1295" spans="3:11" ht="25.8" customHeight="1">
      <c r="C1295" s="818">
        <v>1</v>
      </c>
      <c r="D1295" s="212" t="s">
        <v>5</v>
      </c>
      <c r="E1295" s="212" t="s">
        <v>6</v>
      </c>
      <c r="F1295" s="829">
        <v>2.9000000000000001E-2</v>
      </c>
      <c r="G1295" s="539">
        <f>VLOOKUP(D1295,upahbahan,3,FALSE)</f>
        <v>100000</v>
      </c>
      <c r="H1295" s="539">
        <f t="shared" ref="H1295:H1298" si="132">F1295*G1295</f>
        <v>2900</v>
      </c>
      <c r="J1295" s="536"/>
      <c r="K1295" s="824"/>
    </row>
    <row r="1296" spans="3:11" ht="25.8" customHeight="1">
      <c r="C1296" s="818">
        <v>2</v>
      </c>
      <c r="D1296" s="212" t="str">
        <f>D1279</f>
        <v>Tukang listrik</v>
      </c>
      <c r="E1296" s="212" t="s">
        <v>6</v>
      </c>
      <c r="F1296" s="829">
        <v>4.8000000000000001E-2</v>
      </c>
      <c r="G1296" s="539">
        <f>VLOOKUP(D1296,upahbahan,3,FALSE)</f>
        <v>135000</v>
      </c>
      <c r="H1296" s="539">
        <f t="shared" si="132"/>
        <v>6480</v>
      </c>
      <c r="J1296" s="536"/>
      <c r="K1296" s="824"/>
    </row>
    <row r="1297" spans="3:11" ht="25.8" customHeight="1">
      <c r="C1297" s="818">
        <v>3</v>
      </c>
      <c r="D1297" s="212" t="s">
        <v>18</v>
      </c>
      <c r="E1297" s="212" t="s">
        <v>6</v>
      </c>
      <c r="F1297" s="829">
        <v>5.0000000000000001E-3</v>
      </c>
      <c r="G1297" s="539">
        <f>VLOOKUP(D1297,upahbahan,3,FALSE)</f>
        <v>150000</v>
      </c>
      <c r="H1297" s="539">
        <f t="shared" si="132"/>
        <v>750</v>
      </c>
      <c r="J1297" s="536"/>
      <c r="K1297" s="824"/>
    </row>
    <row r="1298" spans="3:11" ht="25.8" customHeight="1">
      <c r="C1298" s="818">
        <v>4</v>
      </c>
      <c r="D1298" s="212" t="s">
        <v>19</v>
      </c>
      <c r="E1298" s="212" t="s">
        <v>6</v>
      </c>
      <c r="F1298" s="829">
        <v>2E-3</v>
      </c>
      <c r="G1298" s="539">
        <f>VLOOKUP(D1298,upahbahan,3,FALSE)</f>
        <v>160000</v>
      </c>
      <c r="H1298" s="539">
        <f t="shared" si="132"/>
        <v>320</v>
      </c>
      <c r="J1298" s="536"/>
      <c r="K1298" s="824"/>
    </row>
    <row r="1299" spans="3:11" ht="25.8" customHeight="1">
      <c r="C1299" s="702" t="s">
        <v>1208</v>
      </c>
      <c r="D1299" s="208"/>
      <c r="E1299" s="208"/>
      <c r="F1299" s="811"/>
      <c r="G1299" s="522"/>
      <c r="H1299" s="539">
        <f>SUM(H1295:H1298)</f>
        <v>10450</v>
      </c>
      <c r="I1299" s="819"/>
      <c r="J1299" s="536"/>
      <c r="K1299" s="824"/>
    </row>
    <row r="1300" spans="3:11" ht="25.8" customHeight="1">
      <c r="C1300" s="213" t="s">
        <v>1209</v>
      </c>
      <c r="D1300" s="212" t="s">
        <v>1210</v>
      </c>
      <c r="E1300" s="534"/>
      <c r="F1300" s="831"/>
      <c r="G1300" s="534"/>
      <c r="H1300" s="534"/>
      <c r="J1300" s="536"/>
      <c r="K1300" s="824"/>
    </row>
    <row r="1301" spans="3:11" ht="25.8" customHeight="1">
      <c r="C1301" s="833" t="s">
        <v>1203</v>
      </c>
      <c r="D1301" s="820" t="s">
        <v>897</v>
      </c>
      <c r="E1301" s="807" t="s">
        <v>113</v>
      </c>
      <c r="F1301" s="538">
        <v>1.2</v>
      </c>
      <c r="G1301" s="539">
        <f>VLOOKUP(D1301,upahbahan,3,FALSE)</f>
        <v>0</v>
      </c>
      <c r="H1301" s="539">
        <f t="shared" ref="H1301" si="133">F1301*G1301</f>
        <v>0</v>
      </c>
      <c r="J1301" s="536"/>
      <c r="K1301" s="824"/>
    </row>
    <row r="1302" spans="3:11" ht="25.8" customHeight="1">
      <c r="C1302" s="702" t="s">
        <v>1214</v>
      </c>
      <c r="D1302" s="208"/>
      <c r="E1302" s="208"/>
      <c r="F1302" s="208"/>
      <c r="G1302" s="209"/>
      <c r="H1302" s="539">
        <f>SUM(H1301:H1301)</f>
        <v>0</v>
      </c>
      <c r="J1302" s="536"/>
      <c r="K1302" s="824"/>
    </row>
    <row r="1303" spans="3:11" ht="25.8" customHeight="1">
      <c r="C1303" s="213" t="s">
        <v>1215</v>
      </c>
      <c r="D1303" s="212" t="s">
        <v>1216</v>
      </c>
      <c r="E1303" s="534"/>
      <c r="F1303" s="534"/>
      <c r="G1303" s="534"/>
      <c r="H1303" s="534"/>
      <c r="J1303" s="536"/>
      <c r="K1303" s="824"/>
    </row>
    <row r="1304" spans="3:11" ht="25.8" customHeight="1">
      <c r="C1304" s="702" t="s">
        <v>1217</v>
      </c>
      <c r="D1304" s="208"/>
      <c r="E1304" s="208"/>
      <c r="F1304" s="208"/>
      <c r="G1304" s="209"/>
      <c r="H1304" s="821">
        <v>0</v>
      </c>
      <c r="J1304" s="536"/>
      <c r="K1304" s="824"/>
    </row>
    <row r="1305" spans="3:11" ht="25.8" customHeight="1">
      <c r="C1305" s="566" t="s">
        <v>1218</v>
      </c>
      <c r="D1305" s="552" t="s">
        <v>1219</v>
      </c>
      <c r="E1305" s="553"/>
      <c r="F1305" s="553"/>
      <c r="G1305" s="554"/>
      <c r="H1305" s="826">
        <f>H1304+H1302+H1299</f>
        <v>10450</v>
      </c>
      <c r="I1305" s="827"/>
      <c r="J1305" s="536"/>
      <c r="K1305" s="824"/>
    </row>
    <row r="1306" spans="3:11" ht="25.8" customHeight="1">
      <c r="C1306" s="566" t="s">
        <v>1220</v>
      </c>
      <c r="D1306" s="552" t="s">
        <v>1321</v>
      </c>
      <c r="E1306" s="553"/>
      <c r="F1306" s="554"/>
      <c r="G1306" s="555">
        <f>$M$9</f>
        <v>0.1</v>
      </c>
      <c r="H1306" s="539">
        <f>H1305*G1306</f>
        <v>1045</v>
      </c>
      <c r="I1306" s="827"/>
      <c r="J1306" s="536"/>
      <c r="K1306" s="824"/>
    </row>
    <row r="1307" spans="3:11" ht="25.8" customHeight="1">
      <c r="C1307" s="566" t="s">
        <v>1221</v>
      </c>
      <c r="D1307" s="552" t="s">
        <v>1222</v>
      </c>
      <c r="E1307" s="553"/>
      <c r="F1307" s="553"/>
      <c r="G1307" s="554"/>
      <c r="H1307" s="828">
        <f>SUM(H1305:H1306)</f>
        <v>11495</v>
      </c>
      <c r="I1307" s="827"/>
      <c r="J1307" s="536"/>
      <c r="K1307" s="824"/>
    </row>
    <row r="1308" spans="3:11" ht="25.8" customHeight="1">
      <c r="J1308" s="536"/>
      <c r="K1308" s="824"/>
    </row>
    <row r="1309" spans="3:11" ht="25.8" customHeight="1">
      <c r="C1309" s="571" t="s">
        <v>3313</v>
      </c>
      <c r="D1309" s="817" t="s">
        <v>1698</v>
      </c>
      <c r="E1309" s="803"/>
      <c r="F1309" s="803"/>
      <c r="G1309" s="803"/>
      <c r="H1309" s="803"/>
      <c r="I1309" s="533">
        <f>ROUNDDOWN(H1324,-2)</f>
        <v>14200</v>
      </c>
      <c r="J1309" s="536"/>
      <c r="K1309" s="824"/>
    </row>
    <row r="1310" spans="3:11" ht="25.8" customHeight="1">
      <c r="C1310" s="716" t="s">
        <v>1195</v>
      </c>
      <c r="D1310" s="716" t="s">
        <v>1196</v>
      </c>
      <c r="E1310" s="716" t="s">
        <v>1197</v>
      </c>
      <c r="F1310" s="716" t="s">
        <v>1198</v>
      </c>
      <c r="G1310" s="716" t="s">
        <v>1199</v>
      </c>
      <c r="H1310" s="716" t="s">
        <v>1200</v>
      </c>
      <c r="J1310" s="536"/>
      <c r="K1310" s="824"/>
    </row>
    <row r="1311" spans="3:11" ht="25.8" customHeight="1">
      <c r="C1311" s="213" t="s">
        <v>1201</v>
      </c>
      <c r="D1311" s="212" t="s">
        <v>1202</v>
      </c>
      <c r="E1311" s="534"/>
      <c r="F1311" s="534"/>
      <c r="G1311" s="534"/>
      <c r="H1311" s="534"/>
      <c r="J1311" s="536"/>
      <c r="K1311" s="824"/>
    </row>
    <row r="1312" spans="3:11" ht="25.8" customHeight="1">
      <c r="C1312" s="818">
        <v>1</v>
      </c>
      <c r="D1312" s="212" t="s">
        <v>5</v>
      </c>
      <c r="E1312" s="212" t="s">
        <v>6</v>
      </c>
      <c r="F1312" s="538">
        <v>3.5999999999999997E-2</v>
      </c>
      <c r="G1312" s="539">
        <f>VLOOKUP(D1312,upahbahan,3,FALSE)</f>
        <v>100000</v>
      </c>
      <c r="H1312" s="539">
        <f t="shared" ref="H1312:H1315" si="134">F1312*G1312</f>
        <v>3599.9999999999995</v>
      </c>
      <c r="J1312" s="536"/>
      <c r="K1312" s="824"/>
    </row>
    <row r="1313" spans="3:11" ht="25.8" customHeight="1">
      <c r="C1313" s="818">
        <v>2</v>
      </c>
      <c r="D1313" s="212" t="str">
        <f>D1296</f>
        <v>Tukang listrik</v>
      </c>
      <c r="E1313" s="212" t="s">
        <v>6</v>
      </c>
      <c r="F1313" s="538">
        <v>0.06</v>
      </c>
      <c r="G1313" s="539">
        <f>VLOOKUP(D1313,upahbahan,3,FALSE)</f>
        <v>135000</v>
      </c>
      <c r="H1313" s="539">
        <f t="shared" si="134"/>
        <v>8100</v>
      </c>
      <c r="J1313" s="536"/>
      <c r="K1313" s="824"/>
    </row>
    <row r="1314" spans="3:11" ht="25.8" customHeight="1">
      <c r="C1314" s="818">
        <v>3</v>
      </c>
      <c r="D1314" s="212" t="s">
        <v>18</v>
      </c>
      <c r="E1314" s="212" t="s">
        <v>6</v>
      </c>
      <c r="F1314" s="538">
        <v>6.0000000000000001E-3</v>
      </c>
      <c r="G1314" s="539">
        <f>VLOOKUP(D1314,upahbahan,3,FALSE)</f>
        <v>150000</v>
      </c>
      <c r="H1314" s="539">
        <f t="shared" si="134"/>
        <v>900</v>
      </c>
      <c r="J1314" s="536"/>
      <c r="K1314" s="824"/>
    </row>
    <row r="1315" spans="3:11" ht="25.8" customHeight="1">
      <c r="C1315" s="818">
        <v>4</v>
      </c>
      <c r="D1315" s="212" t="s">
        <v>19</v>
      </c>
      <c r="E1315" s="212" t="s">
        <v>6</v>
      </c>
      <c r="F1315" s="538">
        <v>2E-3</v>
      </c>
      <c r="G1315" s="539">
        <f>VLOOKUP(D1315,upahbahan,3,FALSE)</f>
        <v>160000</v>
      </c>
      <c r="H1315" s="539">
        <f t="shared" si="134"/>
        <v>320</v>
      </c>
      <c r="J1315" s="536"/>
      <c r="K1315" s="824"/>
    </row>
    <row r="1316" spans="3:11" ht="25.8" customHeight="1">
      <c r="C1316" s="702" t="s">
        <v>1208</v>
      </c>
      <c r="D1316" s="208"/>
      <c r="E1316" s="208"/>
      <c r="F1316" s="811"/>
      <c r="G1316" s="522"/>
      <c r="H1316" s="539">
        <f>SUM(H1312:H1315)</f>
        <v>12920</v>
      </c>
      <c r="I1316" s="819"/>
      <c r="J1316" s="536"/>
      <c r="K1316" s="824"/>
    </row>
    <row r="1317" spans="3:11" ht="25.8" customHeight="1">
      <c r="C1317" s="213" t="s">
        <v>1209</v>
      </c>
      <c r="D1317" s="212" t="s">
        <v>1210</v>
      </c>
      <c r="E1317" s="534"/>
      <c r="F1317" s="831"/>
      <c r="G1317" s="534"/>
      <c r="H1317" s="534"/>
      <c r="J1317" s="536"/>
      <c r="K1317" s="824"/>
    </row>
    <row r="1318" spans="3:11" ht="25.8" customHeight="1">
      <c r="C1318" s="833" t="s">
        <v>1203</v>
      </c>
      <c r="D1318" s="820" t="s">
        <v>893</v>
      </c>
      <c r="E1318" s="807" t="s">
        <v>113</v>
      </c>
      <c r="F1318" s="538">
        <v>1.2</v>
      </c>
      <c r="G1318" s="539">
        <f>VLOOKUP(D1318,upahbahan,3,FALSE)</f>
        <v>0</v>
      </c>
      <c r="H1318" s="539">
        <f>F1318*G1318</f>
        <v>0</v>
      </c>
      <c r="J1318" s="536"/>
      <c r="K1318" s="824"/>
    </row>
    <row r="1319" spans="3:11" ht="25.8" customHeight="1">
      <c r="C1319" s="702" t="s">
        <v>1214</v>
      </c>
      <c r="D1319" s="208"/>
      <c r="E1319" s="208"/>
      <c r="F1319" s="208"/>
      <c r="G1319" s="209"/>
      <c r="H1319" s="539">
        <f>SUM(H1318:H1318)</f>
        <v>0</v>
      </c>
      <c r="J1319" s="536"/>
      <c r="K1319" s="824"/>
    </row>
    <row r="1320" spans="3:11" ht="25.8" customHeight="1">
      <c r="C1320" s="213" t="s">
        <v>1215</v>
      </c>
      <c r="D1320" s="212" t="s">
        <v>1216</v>
      </c>
      <c r="E1320" s="534"/>
      <c r="F1320" s="534"/>
      <c r="G1320" s="534"/>
      <c r="H1320" s="534"/>
      <c r="J1320" s="536"/>
      <c r="K1320" s="824"/>
    </row>
    <row r="1321" spans="3:11" ht="25.8" customHeight="1">
      <c r="C1321" s="702" t="s">
        <v>1217</v>
      </c>
      <c r="D1321" s="208"/>
      <c r="E1321" s="208"/>
      <c r="F1321" s="208"/>
      <c r="G1321" s="209"/>
      <c r="H1321" s="821">
        <v>0</v>
      </c>
      <c r="J1321" s="536"/>
      <c r="K1321" s="824"/>
    </row>
    <row r="1322" spans="3:11" ht="25.8" customHeight="1">
      <c r="C1322" s="566" t="s">
        <v>1218</v>
      </c>
      <c r="D1322" s="552" t="s">
        <v>1219</v>
      </c>
      <c r="E1322" s="553"/>
      <c r="F1322" s="553"/>
      <c r="G1322" s="554"/>
      <c r="H1322" s="826">
        <f>H1321+H1319+H1316</f>
        <v>12920</v>
      </c>
      <c r="I1322" s="827"/>
      <c r="J1322" s="536"/>
      <c r="K1322" s="824"/>
    </row>
    <row r="1323" spans="3:11" ht="25.8" customHeight="1">
      <c r="C1323" s="566" t="s">
        <v>1220</v>
      </c>
      <c r="D1323" s="552" t="s">
        <v>1321</v>
      </c>
      <c r="E1323" s="553"/>
      <c r="F1323" s="554"/>
      <c r="G1323" s="555">
        <f>$M$9</f>
        <v>0.1</v>
      </c>
      <c r="H1323" s="539">
        <f>H1322*G1323</f>
        <v>1292</v>
      </c>
      <c r="I1323" s="827"/>
      <c r="J1323" s="536"/>
      <c r="K1323" s="824"/>
    </row>
    <row r="1324" spans="3:11" ht="25.8" customHeight="1">
      <c r="C1324" s="566" t="s">
        <v>1221</v>
      </c>
      <c r="D1324" s="552" t="s">
        <v>1222</v>
      </c>
      <c r="E1324" s="553"/>
      <c r="F1324" s="553"/>
      <c r="G1324" s="554"/>
      <c r="H1324" s="828">
        <f>SUM(H1322:H1323)</f>
        <v>14212</v>
      </c>
      <c r="I1324" s="827"/>
      <c r="J1324" s="536"/>
      <c r="K1324" s="824"/>
    </row>
    <row r="1325" spans="3:11" ht="25.8" customHeight="1">
      <c r="J1325" s="536"/>
      <c r="K1325" s="824"/>
    </row>
    <row r="1326" spans="3:11" ht="25.8" customHeight="1">
      <c r="C1326" s="530" t="s">
        <v>3314</v>
      </c>
      <c r="D1326" s="817" t="s">
        <v>1699</v>
      </c>
      <c r="E1326" s="803"/>
      <c r="F1326" s="803"/>
      <c r="G1326" s="803"/>
      <c r="H1326" s="803"/>
      <c r="I1326" s="533">
        <f>ROUNDDOWN(H1341,-2)</f>
        <v>14200</v>
      </c>
      <c r="J1326" s="536"/>
      <c r="K1326" s="824"/>
    </row>
    <row r="1327" spans="3:11" ht="25.8" customHeight="1">
      <c r="C1327" s="716" t="s">
        <v>1195</v>
      </c>
      <c r="D1327" s="716" t="s">
        <v>1196</v>
      </c>
      <c r="E1327" s="716" t="s">
        <v>1197</v>
      </c>
      <c r="F1327" s="716" t="s">
        <v>1198</v>
      </c>
      <c r="G1327" s="716" t="s">
        <v>1199</v>
      </c>
      <c r="H1327" s="716" t="s">
        <v>1200</v>
      </c>
      <c r="J1327" s="536"/>
      <c r="K1327" s="824"/>
    </row>
    <row r="1328" spans="3:11" ht="25.8" customHeight="1">
      <c r="C1328" s="213" t="s">
        <v>1201</v>
      </c>
      <c r="D1328" s="212" t="s">
        <v>1202</v>
      </c>
      <c r="E1328" s="534"/>
      <c r="F1328" s="534"/>
      <c r="G1328" s="534"/>
      <c r="H1328" s="534"/>
      <c r="J1328" s="536"/>
      <c r="K1328" s="824"/>
    </row>
    <row r="1329" spans="3:11" ht="25.8" customHeight="1">
      <c r="C1329" s="818">
        <v>1</v>
      </c>
      <c r="D1329" s="212" t="s">
        <v>5</v>
      </c>
      <c r="E1329" s="212" t="s">
        <v>6</v>
      </c>
      <c r="F1329" s="538">
        <v>3.5999999999999997E-2</v>
      </c>
      <c r="G1329" s="539">
        <f>VLOOKUP(D1329,upahbahan,3,FALSE)</f>
        <v>100000</v>
      </c>
      <c r="H1329" s="539">
        <f t="shared" ref="H1329:H1332" si="135">F1329*G1329</f>
        <v>3599.9999999999995</v>
      </c>
      <c r="J1329" s="536"/>
      <c r="K1329" s="824"/>
    </row>
    <row r="1330" spans="3:11" ht="25.8" customHeight="1">
      <c r="C1330" s="818">
        <v>2</v>
      </c>
      <c r="D1330" s="212" t="str">
        <f>D1313</f>
        <v>Tukang listrik</v>
      </c>
      <c r="E1330" s="212" t="s">
        <v>6</v>
      </c>
      <c r="F1330" s="538">
        <v>0.06</v>
      </c>
      <c r="G1330" s="539">
        <f>VLOOKUP(D1330,upahbahan,3,FALSE)</f>
        <v>135000</v>
      </c>
      <c r="H1330" s="539">
        <f t="shared" si="135"/>
        <v>8100</v>
      </c>
      <c r="J1330" s="536"/>
      <c r="K1330" s="824"/>
    </row>
    <row r="1331" spans="3:11" ht="25.8" customHeight="1">
      <c r="C1331" s="818">
        <v>3</v>
      </c>
      <c r="D1331" s="212" t="s">
        <v>18</v>
      </c>
      <c r="E1331" s="212" t="s">
        <v>6</v>
      </c>
      <c r="F1331" s="538">
        <v>6.0000000000000001E-3</v>
      </c>
      <c r="G1331" s="539">
        <f>VLOOKUP(D1331,upahbahan,3,FALSE)</f>
        <v>150000</v>
      </c>
      <c r="H1331" s="539">
        <f t="shared" si="135"/>
        <v>900</v>
      </c>
      <c r="J1331" s="536"/>
      <c r="K1331" s="824"/>
    </row>
    <row r="1332" spans="3:11" ht="25.8" customHeight="1">
      <c r="C1332" s="818">
        <v>4</v>
      </c>
      <c r="D1332" s="212" t="s">
        <v>19</v>
      </c>
      <c r="E1332" s="212" t="s">
        <v>6</v>
      </c>
      <c r="F1332" s="538">
        <v>2E-3</v>
      </c>
      <c r="G1332" s="539">
        <f>VLOOKUP(D1332,upahbahan,3,FALSE)</f>
        <v>160000</v>
      </c>
      <c r="H1332" s="539">
        <f t="shared" si="135"/>
        <v>320</v>
      </c>
      <c r="J1332" s="536"/>
      <c r="K1332" s="824"/>
    </row>
    <row r="1333" spans="3:11" ht="25.8" customHeight="1">
      <c r="C1333" s="702" t="s">
        <v>1208</v>
      </c>
      <c r="D1333" s="208"/>
      <c r="E1333" s="208"/>
      <c r="F1333" s="811"/>
      <c r="G1333" s="522"/>
      <c r="H1333" s="539">
        <f>SUM(H1329:H1332)</f>
        <v>12920</v>
      </c>
      <c r="I1333" s="819"/>
      <c r="J1333" s="536"/>
      <c r="K1333" s="824"/>
    </row>
    <row r="1334" spans="3:11" ht="25.8" customHeight="1">
      <c r="C1334" s="213" t="s">
        <v>1209</v>
      </c>
      <c r="D1334" s="212" t="s">
        <v>1210</v>
      </c>
      <c r="E1334" s="534"/>
      <c r="F1334" s="831"/>
      <c r="G1334" s="534"/>
      <c r="H1334" s="534"/>
      <c r="J1334" s="536"/>
      <c r="K1334" s="824"/>
    </row>
    <row r="1335" spans="3:11" ht="25.8" customHeight="1">
      <c r="C1335" s="833" t="s">
        <v>1203</v>
      </c>
      <c r="D1335" s="820" t="s">
        <v>894</v>
      </c>
      <c r="E1335" s="807" t="s">
        <v>113</v>
      </c>
      <c r="F1335" s="538">
        <v>1.2</v>
      </c>
      <c r="G1335" s="539">
        <f>VLOOKUP(D1335,upahbahan,3,FALSE)</f>
        <v>0</v>
      </c>
      <c r="H1335" s="539">
        <f t="shared" ref="H1335" si="136">F1335*G1335</f>
        <v>0</v>
      </c>
      <c r="J1335" s="536"/>
      <c r="K1335" s="824"/>
    </row>
    <row r="1336" spans="3:11" ht="25.8" customHeight="1">
      <c r="C1336" s="702" t="s">
        <v>1214</v>
      </c>
      <c r="D1336" s="208"/>
      <c r="E1336" s="208"/>
      <c r="F1336" s="208"/>
      <c r="G1336" s="209"/>
      <c r="H1336" s="539">
        <f>SUM(H1335:H1335)</f>
        <v>0</v>
      </c>
      <c r="J1336" s="536"/>
      <c r="K1336" s="824"/>
    </row>
    <row r="1337" spans="3:11" ht="25.8" customHeight="1">
      <c r="C1337" s="213" t="s">
        <v>1215</v>
      </c>
      <c r="D1337" s="212" t="s">
        <v>1216</v>
      </c>
      <c r="E1337" s="534"/>
      <c r="F1337" s="534"/>
      <c r="G1337" s="534"/>
      <c r="H1337" s="534"/>
      <c r="J1337" s="536"/>
      <c r="K1337" s="824"/>
    </row>
    <row r="1338" spans="3:11" ht="25.8" customHeight="1">
      <c r="C1338" s="702" t="s">
        <v>1217</v>
      </c>
      <c r="D1338" s="208"/>
      <c r="E1338" s="208"/>
      <c r="F1338" s="208"/>
      <c r="G1338" s="209"/>
      <c r="H1338" s="821">
        <v>0</v>
      </c>
      <c r="J1338" s="536"/>
      <c r="K1338" s="824"/>
    </row>
    <row r="1339" spans="3:11" ht="25.8" customHeight="1">
      <c r="C1339" s="566" t="s">
        <v>1218</v>
      </c>
      <c r="D1339" s="552" t="s">
        <v>1219</v>
      </c>
      <c r="E1339" s="553"/>
      <c r="F1339" s="553"/>
      <c r="G1339" s="554"/>
      <c r="H1339" s="826">
        <f>H1338+H1336+H1333</f>
        <v>12920</v>
      </c>
      <c r="I1339" s="827"/>
      <c r="J1339" s="536"/>
      <c r="K1339" s="824"/>
    </row>
    <row r="1340" spans="3:11" ht="25.8" customHeight="1">
      <c r="C1340" s="566" t="s">
        <v>1220</v>
      </c>
      <c r="D1340" s="552" t="s">
        <v>1321</v>
      </c>
      <c r="E1340" s="553"/>
      <c r="F1340" s="554"/>
      <c r="G1340" s="555">
        <f>$M$9</f>
        <v>0.1</v>
      </c>
      <c r="H1340" s="539">
        <f>H1339*G1340</f>
        <v>1292</v>
      </c>
      <c r="I1340" s="827"/>
      <c r="J1340" s="536"/>
      <c r="K1340" s="824"/>
    </row>
    <row r="1341" spans="3:11" ht="25.8" customHeight="1">
      <c r="C1341" s="566" t="s">
        <v>1221</v>
      </c>
      <c r="D1341" s="552" t="s">
        <v>1222</v>
      </c>
      <c r="E1341" s="553"/>
      <c r="F1341" s="553"/>
      <c r="G1341" s="554"/>
      <c r="H1341" s="828">
        <f>SUM(H1339:H1340)</f>
        <v>14212</v>
      </c>
      <c r="I1341" s="827"/>
      <c r="J1341" s="536"/>
      <c r="K1341" s="824"/>
    </row>
    <row r="1342" spans="3:11" ht="25.8" customHeight="1">
      <c r="J1342" s="536"/>
      <c r="K1342" s="824"/>
    </row>
    <row r="1343" spans="3:11" ht="25.8" customHeight="1">
      <c r="C1343" s="571" t="s">
        <v>3315</v>
      </c>
      <c r="D1343" s="571" t="s">
        <v>3316</v>
      </c>
      <c r="J1343" s="536"/>
      <c r="K1343" s="824"/>
    </row>
    <row r="1344" spans="3:11" ht="25.8" customHeight="1">
      <c r="C1344" s="571" t="s">
        <v>3317</v>
      </c>
      <c r="D1344" s="817" t="s">
        <v>1700</v>
      </c>
      <c r="E1344" s="803"/>
      <c r="F1344" s="803"/>
      <c r="G1344" s="803"/>
      <c r="H1344" s="803"/>
      <c r="I1344" s="533">
        <f>ROUNDDOWN(H1359,-2)</f>
        <v>9400</v>
      </c>
      <c r="J1344" s="536"/>
      <c r="K1344" s="824"/>
    </row>
    <row r="1345" spans="3:11" ht="25.8" customHeight="1">
      <c r="C1345" s="716" t="s">
        <v>1195</v>
      </c>
      <c r="D1345" s="716" t="s">
        <v>1196</v>
      </c>
      <c r="E1345" s="716" t="s">
        <v>1197</v>
      </c>
      <c r="F1345" s="716" t="s">
        <v>1198</v>
      </c>
      <c r="G1345" s="716" t="s">
        <v>1199</v>
      </c>
      <c r="H1345" s="716" t="s">
        <v>1200</v>
      </c>
      <c r="J1345" s="536"/>
      <c r="K1345" s="824"/>
    </row>
    <row r="1346" spans="3:11" ht="25.8" customHeight="1">
      <c r="C1346" s="213" t="s">
        <v>1201</v>
      </c>
      <c r="D1346" s="212" t="s">
        <v>1202</v>
      </c>
      <c r="E1346" s="534"/>
      <c r="F1346" s="534"/>
      <c r="G1346" s="534"/>
      <c r="H1346" s="534"/>
      <c r="J1346" s="536"/>
      <c r="K1346" s="824"/>
    </row>
    <row r="1347" spans="3:11" ht="25.8" customHeight="1">
      <c r="C1347" s="818">
        <v>1</v>
      </c>
      <c r="D1347" s="212" t="s">
        <v>5</v>
      </c>
      <c r="E1347" s="212" t="s">
        <v>6</v>
      </c>
      <c r="F1347" s="538">
        <v>2.4E-2</v>
      </c>
      <c r="G1347" s="539">
        <f>VLOOKUP(D1347,upahbahan,3,FALSE)</f>
        <v>100000</v>
      </c>
      <c r="H1347" s="539">
        <f t="shared" ref="H1347:H1350" si="137">F1347*G1347</f>
        <v>2400</v>
      </c>
      <c r="J1347" s="536"/>
      <c r="K1347" s="824"/>
    </row>
    <row r="1348" spans="3:11" ht="25.8" customHeight="1">
      <c r="C1348" s="818">
        <v>2</v>
      </c>
      <c r="D1348" s="212" t="str">
        <f>D1330</f>
        <v>Tukang listrik</v>
      </c>
      <c r="E1348" s="212" t="s">
        <v>6</v>
      </c>
      <c r="F1348" s="538">
        <v>0.04</v>
      </c>
      <c r="G1348" s="539">
        <f>VLOOKUP(D1348,upahbahan,3,FALSE)</f>
        <v>135000</v>
      </c>
      <c r="H1348" s="539">
        <f t="shared" si="137"/>
        <v>5400</v>
      </c>
      <c r="J1348" s="536"/>
      <c r="K1348" s="824"/>
    </row>
    <row r="1349" spans="3:11" ht="25.8" customHeight="1">
      <c r="C1349" s="818">
        <v>3</v>
      </c>
      <c r="D1349" s="212" t="s">
        <v>18</v>
      </c>
      <c r="E1349" s="212" t="s">
        <v>6</v>
      </c>
      <c r="F1349" s="538">
        <v>4.0000000000000001E-3</v>
      </c>
      <c r="G1349" s="539">
        <f>VLOOKUP(D1349,upahbahan,3,FALSE)</f>
        <v>150000</v>
      </c>
      <c r="H1349" s="539">
        <f t="shared" si="137"/>
        <v>600</v>
      </c>
      <c r="J1349" s="536"/>
      <c r="K1349" s="824"/>
    </row>
    <row r="1350" spans="3:11" ht="25.8" customHeight="1">
      <c r="C1350" s="818">
        <v>4</v>
      </c>
      <c r="D1350" s="212" t="s">
        <v>19</v>
      </c>
      <c r="E1350" s="212" t="s">
        <v>6</v>
      </c>
      <c r="F1350" s="538">
        <v>1E-3</v>
      </c>
      <c r="G1350" s="539">
        <f>VLOOKUP(D1350,upahbahan,3,FALSE)</f>
        <v>160000</v>
      </c>
      <c r="H1350" s="539">
        <f t="shared" si="137"/>
        <v>160</v>
      </c>
      <c r="J1350" s="536"/>
      <c r="K1350" s="824"/>
    </row>
    <row r="1351" spans="3:11" ht="25.8" customHeight="1">
      <c r="C1351" s="702" t="s">
        <v>1208</v>
      </c>
      <c r="D1351" s="208"/>
      <c r="E1351" s="208"/>
      <c r="F1351" s="811"/>
      <c r="G1351" s="522"/>
      <c r="H1351" s="539">
        <f>SUM(H1347:H1350)</f>
        <v>8560</v>
      </c>
      <c r="I1351" s="819"/>
      <c r="J1351" s="536"/>
      <c r="K1351" s="824"/>
    </row>
    <row r="1352" spans="3:11" ht="25.8" customHeight="1">
      <c r="C1352" s="213" t="s">
        <v>1209</v>
      </c>
      <c r="D1352" s="212" t="s">
        <v>1210</v>
      </c>
      <c r="E1352" s="534"/>
      <c r="F1352" s="831"/>
      <c r="G1352" s="534"/>
      <c r="H1352" s="534"/>
      <c r="J1352" s="536"/>
      <c r="K1352" s="824"/>
    </row>
    <row r="1353" spans="3:11" ht="25.8" customHeight="1">
      <c r="C1353" s="833" t="s">
        <v>1203</v>
      </c>
      <c r="D1353" s="820" t="s">
        <v>898</v>
      </c>
      <c r="E1353" s="807" t="s">
        <v>113</v>
      </c>
      <c r="F1353" s="538">
        <v>1.2</v>
      </c>
      <c r="G1353" s="539">
        <f>VLOOKUP(D1353,upahbahan,3,FALSE)</f>
        <v>0</v>
      </c>
      <c r="H1353" s="539">
        <f t="shared" ref="H1353" si="138">F1353*G1353</f>
        <v>0</v>
      </c>
      <c r="J1353" s="536"/>
      <c r="K1353" s="824"/>
    </row>
    <row r="1354" spans="3:11" ht="25.8" customHeight="1">
      <c r="C1354" s="702" t="s">
        <v>1214</v>
      </c>
      <c r="D1354" s="208"/>
      <c r="E1354" s="208"/>
      <c r="F1354" s="208"/>
      <c r="G1354" s="209"/>
      <c r="H1354" s="539">
        <f>SUM(H1353:H1353)</f>
        <v>0</v>
      </c>
      <c r="J1354" s="536"/>
      <c r="K1354" s="824"/>
    </row>
    <row r="1355" spans="3:11" ht="25.8" customHeight="1">
      <c r="C1355" s="213" t="s">
        <v>1215</v>
      </c>
      <c r="D1355" s="212" t="s">
        <v>1216</v>
      </c>
      <c r="E1355" s="534"/>
      <c r="F1355" s="534"/>
      <c r="G1355" s="534"/>
      <c r="H1355" s="534"/>
      <c r="J1355" s="536"/>
      <c r="K1355" s="824"/>
    </row>
    <row r="1356" spans="3:11" ht="25.8" customHeight="1">
      <c r="C1356" s="702" t="s">
        <v>1217</v>
      </c>
      <c r="D1356" s="208"/>
      <c r="E1356" s="208"/>
      <c r="F1356" s="208"/>
      <c r="G1356" s="209"/>
      <c r="H1356" s="821">
        <v>0</v>
      </c>
      <c r="J1356" s="536"/>
      <c r="K1356" s="824"/>
    </row>
    <row r="1357" spans="3:11" ht="25.8" customHeight="1">
      <c r="C1357" s="566" t="s">
        <v>1218</v>
      </c>
      <c r="D1357" s="552" t="s">
        <v>1219</v>
      </c>
      <c r="E1357" s="553"/>
      <c r="F1357" s="553"/>
      <c r="G1357" s="554"/>
      <c r="H1357" s="826">
        <f>H1356+H1354+H1351</f>
        <v>8560</v>
      </c>
      <c r="I1357" s="827"/>
      <c r="J1357" s="536"/>
      <c r="K1357" s="824"/>
    </row>
    <row r="1358" spans="3:11" ht="25.8" customHeight="1">
      <c r="C1358" s="566" t="s">
        <v>1220</v>
      </c>
      <c r="D1358" s="552" t="s">
        <v>1321</v>
      </c>
      <c r="E1358" s="553"/>
      <c r="F1358" s="554"/>
      <c r="G1358" s="555">
        <f>$M$9</f>
        <v>0.1</v>
      </c>
      <c r="H1358" s="539">
        <f>H1357*G1358</f>
        <v>856</v>
      </c>
      <c r="I1358" s="827"/>
      <c r="J1358" s="536"/>
      <c r="K1358" s="824"/>
    </row>
    <row r="1359" spans="3:11" ht="25.8" customHeight="1">
      <c r="C1359" s="566" t="s">
        <v>1221</v>
      </c>
      <c r="D1359" s="552" t="s">
        <v>1222</v>
      </c>
      <c r="E1359" s="553"/>
      <c r="F1359" s="553"/>
      <c r="G1359" s="554"/>
      <c r="H1359" s="828">
        <f>SUM(H1357:H1358)</f>
        <v>9416</v>
      </c>
      <c r="I1359" s="827"/>
      <c r="J1359" s="536"/>
      <c r="K1359" s="824"/>
    </row>
    <row r="1360" spans="3:11" ht="25.8" customHeight="1">
      <c r="J1360" s="536"/>
      <c r="K1360" s="824"/>
    </row>
    <row r="1361" spans="3:11" ht="25.8" customHeight="1">
      <c r="C1361" s="571" t="s">
        <v>3318</v>
      </c>
      <c r="D1361" s="817" t="s">
        <v>1701</v>
      </c>
      <c r="E1361" s="803"/>
      <c r="F1361" s="803"/>
      <c r="G1361" s="803"/>
      <c r="H1361" s="803"/>
      <c r="I1361" s="533">
        <f>ROUNDDOWN(H1376,-2)</f>
        <v>9400</v>
      </c>
      <c r="J1361" s="536"/>
      <c r="K1361" s="824"/>
    </row>
    <row r="1362" spans="3:11" ht="25.8" customHeight="1">
      <c r="C1362" s="716" t="s">
        <v>1195</v>
      </c>
      <c r="D1362" s="716" t="s">
        <v>1196</v>
      </c>
      <c r="E1362" s="716" t="s">
        <v>1197</v>
      </c>
      <c r="F1362" s="716" t="s">
        <v>1198</v>
      </c>
      <c r="G1362" s="716" t="s">
        <v>1199</v>
      </c>
      <c r="H1362" s="716" t="s">
        <v>1200</v>
      </c>
      <c r="J1362" s="536"/>
      <c r="K1362" s="824"/>
    </row>
    <row r="1363" spans="3:11" ht="25.8" customHeight="1">
      <c r="C1363" s="213" t="s">
        <v>1201</v>
      </c>
      <c r="D1363" s="212" t="s">
        <v>1202</v>
      </c>
      <c r="E1363" s="534"/>
      <c r="F1363" s="534"/>
      <c r="G1363" s="534"/>
      <c r="H1363" s="534"/>
      <c r="J1363" s="536"/>
      <c r="K1363" s="824"/>
    </row>
    <row r="1364" spans="3:11" ht="25.8" customHeight="1">
      <c r="C1364" s="818">
        <v>1</v>
      </c>
      <c r="D1364" s="212" t="s">
        <v>5</v>
      </c>
      <c r="E1364" s="212" t="s">
        <v>6</v>
      </c>
      <c r="F1364" s="538">
        <v>2.4E-2</v>
      </c>
      <c r="G1364" s="539">
        <f>VLOOKUP(D1364,upahbahan,3,FALSE)</f>
        <v>100000</v>
      </c>
      <c r="H1364" s="539">
        <f t="shared" ref="H1364:H1367" si="139">F1364*G1364</f>
        <v>2400</v>
      </c>
      <c r="J1364" s="536"/>
      <c r="K1364" s="824"/>
    </row>
    <row r="1365" spans="3:11" ht="25.8" customHeight="1">
      <c r="C1365" s="818">
        <v>2</v>
      </c>
      <c r="D1365" s="212" t="str">
        <f>D1348</f>
        <v>Tukang listrik</v>
      </c>
      <c r="E1365" s="212" t="s">
        <v>6</v>
      </c>
      <c r="F1365" s="538">
        <v>0.04</v>
      </c>
      <c r="G1365" s="539">
        <f>VLOOKUP(D1365,upahbahan,3,FALSE)</f>
        <v>135000</v>
      </c>
      <c r="H1365" s="539">
        <f t="shared" si="139"/>
        <v>5400</v>
      </c>
      <c r="J1365" s="536"/>
      <c r="K1365" s="824"/>
    </row>
    <row r="1366" spans="3:11" ht="25.8" customHeight="1">
      <c r="C1366" s="818">
        <v>3</v>
      </c>
      <c r="D1366" s="212" t="s">
        <v>18</v>
      </c>
      <c r="E1366" s="212" t="s">
        <v>6</v>
      </c>
      <c r="F1366" s="538">
        <v>4.0000000000000001E-3</v>
      </c>
      <c r="G1366" s="539">
        <f>VLOOKUP(D1366,upahbahan,3,FALSE)</f>
        <v>150000</v>
      </c>
      <c r="H1366" s="539">
        <f t="shared" si="139"/>
        <v>600</v>
      </c>
      <c r="J1366" s="536"/>
      <c r="K1366" s="824"/>
    </row>
    <row r="1367" spans="3:11" ht="25.8" customHeight="1">
      <c r="C1367" s="818">
        <v>4</v>
      </c>
      <c r="D1367" s="212" t="s">
        <v>19</v>
      </c>
      <c r="E1367" s="212" t="s">
        <v>6</v>
      </c>
      <c r="F1367" s="538">
        <v>1E-3</v>
      </c>
      <c r="G1367" s="539">
        <f>VLOOKUP(D1367,upahbahan,3,FALSE)</f>
        <v>160000</v>
      </c>
      <c r="H1367" s="539">
        <f t="shared" si="139"/>
        <v>160</v>
      </c>
      <c r="J1367" s="536"/>
      <c r="K1367" s="824"/>
    </row>
    <row r="1368" spans="3:11" ht="25.8" customHeight="1">
      <c r="C1368" s="702" t="s">
        <v>1208</v>
      </c>
      <c r="D1368" s="208"/>
      <c r="E1368" s="208"/>
      <c r="F1368" s="811"/>
      <c r="G1368" s="522"/>
      <c r="H1368" s="539">
        <f>SUM(H1364:H1367)</f>
        <v>8560</v>
      </c>
      <c r="I1368" s="819"/>
      <c r="J1368" s="536"/>
      <c r="K1368" s="824"/>
    </row>
    <row r="1369" spans="3:11" ht="25.8" customHeight="1">
      <c r="C1369" s="213" t="s">
        <v>1209</v>
      </c>
      <c r="D1369" s="212" t="s">
        <v>1210</v>
      </c>
      <c r="E1369" s="534"/>
      <c r="F1369" s="831"/>
      <c r="G1369" s="534"/>
      <c r="H1369" s="534"/>
      <c r="J1369" s="536"/>
      <c r="K1369" s="824"/>
    </row>
    <row r="1370" spans="3:11" ht="25.8" customHeight="1">
      <c r="C1370" s="833" t="s">
        <v>1203</v>
      </c>
      <c r="D1370" s="820" t="s">
        <v>899</v>
      </c>
      <c r="E1370" s="807" t="s">
        <v>113</v>
      </c>
      <c r="F1370" s="538">
        <v>1.2</v>
      </c>
      <c r="G1370" s="539">
        <f>VLOOKUP(D1370,upahbahan,3,FALSE)</f>
        <v>0</v>
      </c>
      <c r="H1370" s="539">
        <f>F1370*G1370</f>
        <v>0</v>
      </c>
      <c r="J1370" s="536"/>
      <c r="K1370" s="824"/>
    </row>
    <row r="1371" spans="3:11" ht="25.8" customHeight="1">
      <c r="C1371" s="702" t="s">
        <v>1214</v>
      </c>
      <c r="D1371" s="208"/>
      <c r="E1371" s="208"/>
      <c r="F1371" s="208"/>
      <c r="G1371" s="209"/>
      <c r="H1371" s="539">
        <f>SUM(H1370:H1370)</f>
        <v>0</v>
      </c>
      <c r="J1371" s="536"/>
      <c r="K1371" s="824"/>
    </row>
    <row r="1372" spans="3:11" ht="25.8" customHeight="1">
      <c r="C1372" s="213" t="s">
        <v>1215</v>
      </c>
      <c r="D1372" s="212" t="s">
        <v>1216</v>
      </c>
      <c r="E1372" s="534"/>
      <c r="F1372" s="534"/>
      <c r="G1372" s="534"/>
      <c r="H1372" s="534"/>
      <c r="J1372" s="536"/>
      <c r="K1372" s="824"/>
    </row>
    <row r="1373" spans="3:11" ht="25.8" customHeight="1">
      <c r="C1373" s="702" t="s">
        <v>1217</v>
      </c>
      <c r="D1373" s="208"/>
      <c r="E1373" s="208"/>
      <c r="F1373" s="208"/>
      <c r="G1373" s="209"/>
      <c r="H1373" s="821">
        <v>0</v>
      </c>
      <c r="J1373" s="536"/>
      <c r="K1373" s="824"/>
    </row>
    <row r="1374" spans="3:11" ht="25.8" customHeight="1">
      <c r="C1374" s="566" t="s">
        <v>1218</v>
      </c>
      <c r="D1374" s="552" t="s">
        <v>1219</v>
      </c>
      <c r="E1374" s="553"/>
      <c r="F1374" s="553"/>
      <c r="G1374" s="554"/>
      <c r="H1374" s="826">
        <f>H1373+H1371+H1368</f>
        <v>8560</v>
      </c>
      <c r="I1374" s="827"/>
      <c r="J1374" s="536"/>
      <c r="K1374" s="824"/>
    </row>
    <row r="1375" spans="3:11" ht="25.8" customHeight="1">
      <c r="C1375" s="566" t="s">
        <v>1220</v>
      </c>
      <c r="D1375" s="552" t="s">
        <v>1321</v>
      </c>
      <c r="E1375" s="553"/>
      <c r="F1375" s="554"/>
      <c r="G1375" s="555">
        <f>$M$9</f>
        <v>0.1</v>
      </c>
      <c r="H1375" s="539">
        <f>H1374*G1375</f>
        <v>856</v>
      </c>
      <c r="I1375" s="827"/>
      <c r="J1375" s="536"/>
      <c r="K1375" s="824"/>
    </row>
    <row r="1376" spans="3:11" ht="25.8" customHeight="1">
      <c r="C1376" s="566" t="s">
        <v>1221</v>
      </c>
      <c r="D1376" s="552" t="s">
        <v>1222</v>
      </c>
      <c r="E1376" s="553"/>
      <c r="F1376" s="553"/>
      <c r="G1376" s="554"/>
      <c r="H1376" s="828">
        <f>SUM(H1374:H1375)</f>
        <v>9416</v>
      </c>
      <c r="I1376" s="827"/>
      <c r="J1376" s="536"/>
      <c r="K1376" s="824"/>
    </row>
    <row r="1377" spans="3:11" ht="25.8" customHeight="1">
      <c r="J1377" s="536"/>
      <c r="K1377" s="824"/>
    </row>
    <row r="1378" spans="3:11" ht="25.8" customHeight="1">
      <c r="C1378" s="571" t="s">
        <v>3319</v>
      </c>
      <c r="D1378" s="817" t="s">
        <v>1702</v>
      </c>
      <c r="E1378" s="803"/>
      <c r="F1378" s="803"/>
      <c r="G1378" s="803"/>
      <c r="H1378" s="803"/>
      <c r="I1378" s="533">
        <f>ROUNDDOWN(H1393,-2)</f>
        <v>9400</v>
      </c>
      <c r="J1378" s="536"/>
      <c r="K1378" s="824"/>
    </row>
    <row r="1379" spans="3:11" ht="25.8" customHeight="1">
      <c r="C1379" s="716" t="s">
        <v>1195</v>
      </c>
      <c r="D1379" s="716" t="s">
        <v>1196</v>
      </c>
      <c r="E1379" s="716" t="s">
        <v>1197</v>
      </c>
      <c r="F1379" s="716" t="s">
        <v>1198</v>
      </c>
      <c r="G1379" s="716" t="s">
        <v>1199</v>
      </c>
      <c r="H1379" s="716" t="s">
        <v>1200</v>
      </c>
      <c r="J1379" s="536"/>
      <c r="K1379" s="824"/>
    </row>
    <row r="1380" spans="3:11" ht="25.8" customHeight="1">
      <c r="C1380" s="213" t="s">
        <v>1201</v>
      </c>
      <c r="D1380" s="212" t="s">
        <v>1202</v>
      </c>
      <c r="E1380" s="534"/>
      <c r="F1380" s="534"/>
      <c r="G1380" s="534"/>
      <c r="H1380" s="534"/>
      <c r="J1380" s="536"/>
      <c r="K1380" s="824"/>
    </row>
    <row r="1381" spans="3:11" ht="25.8" customHeight="1">
      <c r="C1381" s="818">
        <v>1</v>
      </c>
      <c r="D1381" s="212" t="s">
        <v>5</v>
      </c>
      <c r="E1381" s="212" t="s">
        <v>6</v>
      </c>
      <c r="F1381" s="538">
        <v>2.4E-2</v>
      </c>
      <c r="G1381" s="539">
        <f>VLOOKUP(D1381,upahbahan,3,FALSE)</f>
        <v>100000</v>
      </c>
      <c r="H1381" s="539">
        <f>F1381*G1381</f>
        <v>2400</v>
      </c>
      <c r="J1381" s="536"/>
      <c r="K1381" s="824"/>
    </row>
    <row r="1382" spans="3:11" ht="25.8" customHeight="1">
      <c r="C1382" s="818">
        <v>2</v>
      </c>
      <c r="D1382" s="212" t="str">
        <f>D1365</f>
        <v>Tukang listrik</v>
      </c>
      <c r="E1382" s="212" t="s">
        <v>6</v>
      </c>
      <c r="F1382" s="538">
        <v>0.04</v>
      </c>
      <c r="G1382" s="539">
        <f>VLOOKUP(D1382,upahbahan,3,FALSE)</f>
        <v>135000</v>
      </c>
      <c r="H1382" s="539">
        <f t="shared" ref="H1382:H1384" si="140">F1382*G1382</f>
        <v>5400</v>
      </c>
      <c r="J1382" s="536"/>
      <c r="K1382" s="824"/>
    </row>
    <row r="1383" spans="3:11" ht="25.8" customHeight="1">
      <c r="C1383" s="818">
        <v>3</v>
      </c>
      <c r="D1383" s="212" t="s">
        <v>18</v>
      </c>
      <c r="E1383" s="212" t="s">
        <v>6</v>
      </c>
      <c r="F1383" s="538">
        <v>4.0000000000000001E-3</v>
      </c>
      <c r="G1383" s="539">
        <f>VLOOKUP(D1383,upahbahan,3,FALSE)</f>
        <v>150000</v>
      </c>
      <c r="H1383" s="539">
        <f t="shared" si="140"/>
        <v>600</v>
      </c>
      <c r="J1383" s="536"/>
      <c r="K1383" s="824"/>
    </row>
    <row r="1384" spans="3:11" ht="25.8" customHeight="1">
      <c r="C1384" s="818">
        <v>4</v>
      </c>
      <c r="D1384" s="212" t="s">
        <v>19</v>
      </c>
      <c r="E1384" s="212" t="s">
        <v>6</v>
      </c>
      <c r="F1384" s="538">
        <v>1E-3</v>
      </c>
      <c r="G1384" s="539">
        <f>VLOOKUP(D1384,upahbahan,3,FALSE)</f>
        <v>160000</v>
      </c>
      <c r="H1384" s="539">
        <f t="shared" si="140"/>
        <v>160</v>
      </c>
      <c r="J1384" s="536"/>
      <c r="K1384" s="824"/>
    </row>
    <row r="1385" spans="3:11" ht="25.8" customHeight="1">
      <c r="C1385" s="702" t="s">
        <v>1208</v>
      </c>
      <c r="D1385" s="208"/>
      <c r="E1385" s="208"/>
      <c r="F1385" s="811"/>
      <c r="G1385" s="522"/>
      <c r="H1385" s="539">
        <f>SUM(H1381:H1384)</f>
        <v>8560</v>
      </c>
      <c r="I1385" s="819"/>
      <c r="J1385" s="536"/>
      <c r="K1385" s="824"/>
    </row>
    <row r="1386" spans="3:11" ht="25.8" customHeight="1">
      <c r="C1386" s="213" t="s">
        <v>1209</v>
      </c>
      <c r="D1386" s="212" t="s">
        <v>1210</v>
      </c>
      <c r="E1386" s="534"/>
      <c r="F1386" s="831"/>
      <c r="G1386" s="534"/>
      <c r="H1386" s="534"/>
      <c r="J1386" s="536"/>
      <c r="K1386" s="824"/>
    </row>
    <row r="1387" spans="3:11" ht="25.8" customHeight="1">
      <c r="C1387" s="833" t="s">
        <v>1203</v>
      </c>
      <c r="D1387" s="820" t="s">
        <v>900</v>
      </c>
      <c r="E1387" s="807" t="s">
        <v>113</v>
      </c>
      <c r="F1387" s="538">
        <v>1.2</v>
      </c>
      <c r="G1387" s="539">
        <f>VLOOKUP(D1387,upahbahan,3,FALSE)</f>
        <v>0</v>
      </c>
      <c r="H1387" s="539">
        <f>F1387*G1387</f>
        <v>0</v>
      </c>
      <c r="J1387" s="536"/>
      <c r="K1387" s="824"/>
    </row>
    <row r="1388" spans="3:11" ht="25.8" customHeight="1">
      <c r="C1388" s="702" t="s">
        <v>1214</v>
      </c>
      <c r="D1388" s="208"/>
      <c r="E1388" s="208"/>
      <c r="F1388" s="208"/>
      <c r="G1388" s="209"/>
      <c r="H1388" s="539">
        <f>SUM(H1387:H1387)</f>
        <v>0</v>
      </c>
      <c r="J1388" s="536"/>
      <c r="K1388" s="824"/>
    </row>
    <row r="1389" spans="3:11" ht="25.8" customHeight="1">
      <c r="C1389" s="213" t="s">
        <v>1215</v>
      </c>
      <c r="D1389" s="212" t="s">
        <v>1216</v>
      </c>
      <c r="E1389" s="534"/>
      <c r="F1389" s="534"/>
      <c r="G1389" s="534"/>
      <c r="H1389" s="534"/>
      <c r="J1389" s="536"/>
      <c r="K1389" s="824"/>
    </row>
    <row r="1390" spans="3:11" ht="25.8" customHeight="1">
      <c r="C1390" s="702" t="s">
        <v>1217</v>
      </c>
      <c r="D1390" s="208"/>
      <c r="E1390" s="208"/>
      <c r="F1390" s="208"/>
      <c r="G1390" s="209"/>
      <c r="H1390" s="821">
        <v>0</v>
      </c>
      <c r="J1390" s="536"/>
      <c r="K1390" s="824"/>
    </row>
    <row r="1391" spans="3:11" ht="25.8" customHeight="1">
      <c r="C1391" s="566" t="s">
        <v>1218</v>
      </c>
      <c r="D1391" s="552" t="s">
        <v>1219</v>
      </c>
      <c r="E1391" s="553"/>
      <c r="F1391" s="553"/>
      <c r="G1391" s="554"/>
      <c r="H1391" s="826">
        <f>H1390+H1388+H1385</f>
        <v>8560</v>
      </c>
      <c r="I1391" s="827"/>
      <c r="J1391" s="536"/>
      <c r="K1391" s="824"/>
    </row>
    <row r="1392" spans="3:11" ht="25.8" customHeight="1">
      <c r="C1392" s="566" t="s">
        <v>1220</v>
      </c>
      <c r="D1392" s="552" t="s">
        <v>1321</v>
      </c>
      <c r="E1392" s="553"/>
      <c r="F1392" s="554"/>
      <c r="G1392" s="555">
        <f>$M$9</f>
        <v>0.1</v>
      </c>
      <c r="H1392" s="539">
        <f>H1391*G1392</f>
        <v>856</v>
      </c>
      <c r="I1392" s="827"/>
      <c r="J1392" s="536"/>
      <c r="K1392" s="824"/>
    </row>
    <row r="1393" spans="3:11" ht="25.8" customHeight="1">
      <c r="C1393" s="566" t="s">
        <v>1221</v>
      </c>
      <c r="D1393" s="552" t="s">
        <v>1222</v>
      </c>
      <c r="E1393" s="553"/>
      <c r="F1393" s="553"/>
      <c r="G1393" s="554"/>
      <c r="H1393" s="828">
        <f>SUM(H1391:H1392)</f>
        <v>9416</v>
      </c>
      <c r="I1393" s="827"/>
      <c r="J1393" s="536"/>
      <c r="K1393" s="824"/>
    </row>
    <row r="1394" spans="3:11" ht="25.8" customHeight="1">
      <c r="J1394" s="536"/>
      <c r="K1394" s="824"/>
    </row>
    <row r="1395" spans="3:11" ht="25.8" customHeight="1">
      <c r="C1395" s="571" t="s">
        <v>3320</v>
      </c>
      <c r="D1395" s="817" t="s">
        <v>1703</v>
      </c>
      <c r="E1395" s="803"/>
      <c r="F1395" s="803"/>
      <c r="G1395" s="803"/>
      <c r="H1395" s="803"/>
      <c r="I1395" s="533">
        <f>ROUNDDOWN(H1410,-2)</f>
        <v>9400</v>
      </c>
      <c r="J1395" s="536"/>
      <c r="K1395" s="824"/>
    </row>
    <row r="1396" spans="3:11" ht="25.8" customHeight="1">
      <c r="C1396" s="716" t="s">
        <v>1195</v>
      </c>
      <c r="D1396" s="716" t="s">
        <v>1196</v>
      </c>
      <c r="E1396" s="716" t="s">
        <v>1197</v>
      </c>
      <c r="F1396" s="716" t="s">
        <v>1198</v>
      </c>
      <c r="G1396" s="716" t="s">
        <v>1199</v>
      </c>
      <c r="H1396" s="716" t="s">
        <v>1200</v>
      </c>
      <c r="J1396" s="536"/>
      <c r="K1396" s="824"/>
    </row>
    <row r="1397" spans="3:11" ht="25.8" customHeight="1">
      <c r="C1397" s="213" t="s">
        <v>1201</v>
      </c>
      <c r="D1397" s="212" t="s">
        <v>1202</v>
      </c>
      <c r="E1397" s="534"/>
      <c r="F1397" s="534"/>
      <c r="G1397" s="534"/>
      <c r="H1397" s="534"/>
      <c r="J1397" s="536"/>
      <c r="K1397" s="824"/>
    </row>
    <row r="1398" spans="3:11" ht="25.8" customHeight="1">
      <c r="C1398" s="818">
        <v>1</v>
      </c>
      <c r="D1398" s="212" t="s">
        <v>5</v>
      </c>
      <c r="E1398" s="212" t="s">
        <v>6</v>
      </c>
      <c r="F1398" s="538">
        <v>2.4E-2</v>
      </c>
      <c r="G1398" s="539">
        <f>VLOOKUP(D1398,upahbahan,3,FALSE)</f>
        <v>100000</v>
      </c>
      <c r="H1398" s="539">
        <f>F1398*G1398</f>
        <v>2400</v>
      </c>
      <c r="J1398" s="536"/>
      <c r="K1398" s="824"/>
    </row>
    <row r="1399" spans="3:11" ht="25.8" customHeight="1">
      <c r="C1399" s="818">
        <v>2</v>
      </c>
      <c r="D1399" s="212" t="str">
        <f>D1382</f>
        <v>Tukang listrik</v>
      </c>
      <c r="E1399" s="212" t="s">
        <v>6</v>
      </c>
      <c r="F1399" s="538">
        <v>0.04</v>
      </c>
      <c r="G1399" s="539">
        <f>VLOOKUP(D1399,upahbahan,3,FALSE)</f>
        <v>135000</v>
      </c>
      <c r="H1399" s="539">
        <f t="shared" ref="H1399:H1401" si="141">F1399*G1399</f>
        <v>5400</v>
      </c>
      <c r="J1399" s="536"/>
      <c r="K1399" s="824"/>
    </row>
    <row r="1400" spans="3:11" ht="25.8" customHeight="1">
      <c r="C1400" s="818">
        <v>3</v>
      </c>
      <c r="D1400" s="212" t="s">
        <v>18</v>
      </c>
      <c r="E1400" s="212" t="s">
        <v>6</v>
      </c>
      <c r="F1400" s="538">
        <v>4.0000000000000001E-3</v>
      </c>
      <c r="G1400" s="539">
        <f>VLOOKUP(D1400,upahbahan,3,FALSE)</f>
        <v>150000</v>
      </c>
      <c r="H1400" s="539">
        <f t="shared" si="141"/>
        <v>600</v>
      </c>
      <c r="J1400" s="536"/>
      <c r="K1400" s="824"/>
    </row>
    <row r="1401" spans="3:11" ht="25.8" customHeight="1">
      <c r="C1401" s="818">
        <v>4</v>
      </c>
      <c r="D1401" s="212" t="s">
        <v>19</v>
      </c>
      <c r="E1401" s="212" t="s">
        <v>6</v>
      </c>
      <c r="F1401" s="538">
        <v>1E-3</v>
      </c>
      <c r="G1401" s="539">
        <f>VLOOKUP(D1401,upahbahan,3,FALSE)</f>
        <v>160000</v>
      </c>
      <c r="H1401" s="539">
        <f t="shared" si="141"/>
        <v>160</v>
      </c>
      <c r="J1401" s="536"/>
      <c r="K1401" s="824"/>
    </row>
    <row r="1402" spans="3:11" ht="25.8" customHeight="1">
      <c r="C1402" s="702" t="s">
        <v>1208</v>
      </c>
      <c r="D1402" s="208"/>
      <c r="E1402" s="208"/>
      <c r="F1402" s="811"/>
      <c r="G1402" s="522"/>
      <c r="H1402" s="539">
        <f>SUM(H1398:H1401)</f>
        <v>8560</v>
      </c>
      <c r="I1402" s="819"/>
      <c r="J1402" s="536"/>
      <c r="K1402" s="824"/>
    </row>
    <row r="1403" spans="3:11" ht="25.8" customHeight="1">
      <c r="C1403" s="213" t="s">
        <v>1209</v>
      </c>
      <c r="D1403" s="212" t="s">
        <v>1210</v>
      </c>
      <c r="E1403" s="534"/>
      <c r="F1403" s="831"/>
      <c r="G1403" s="534"/>
      <c r="H1403" s="534"/>
      <c r="J1403" s="536"/>
      <c r="K1403" s="824"/>
    </row>
    <row r="1404" spans="3:11" ht="25.8" customHeight="1">
      <c r="C1404" s="833" t="s">
        <v>1203</v>
      </c>
      <c r="D1404" s="820" t="s">
        <v>901</v>
      </c>
      <c r="E1404" s="807" t="s">
        <v>113</v>
      </c>
      <c r="F1404" s="538">
        <v>1.2</v>
      </c>
      <c r="G1404" s="539">
        <f>VLOOKUP(D1404,upahbahan,3,FALSE)</f>
        <v>0</v>
      </c>
      <c r="H1404" s="539">
        <f>F1404*G1404</f>
        <v>0</v>
      </c>
      <c r="J1404" s="536"/>
      <c r="K1404" s="824"/>
    </row>
    <row r="1405" spans="3:11" ht="25.8" customHeight="1">
      <c r="C1405" s="702" t="s">
        <v>1214</v>
      </c>
      <c r="D1405" s="208"/>
      <c r="E1405" s="208"/>
      <c r="F1405" s="208"/>
      <c r="G1405" s="209"/>
      <c r="H1405" s="539">
        <f>SUM(H1404:H1404)</f>
        <v>0</v>
      </c>
      <c r="J1405" s="536"/>
      <c r="K1405" s="824"/>
    </row>
    <row r="1406" spans="3:11" ht="25.8" customHeight="1">
      <c r="C1406" s="213" t="s">
        <v>1215</v>
      </c>
      <c r="D1406" s="212" t="s">
        <v>1216</v>
      </c>
      <c r="E1406" s="534"/>
      <c r="F1406" s="534"/>
      <c r="G1406" s="534"/>
      <c r="H1406" s="534"/>
      <c r="J1406" s="536"/>
      <c r="K1406" s="824"/>
    </row>
    <row r="1407" spans="3:11" ht="25.8" customHeight="1">
      <c r="C1407" s="702" t="s">
        <v>1217</v>
      </c>
      <c r="D1407" s="208"/>
      <c r="E1407" s="208"/>
      <c r="F1407" s="208"/>
      <c r="G1407" s="209"/>
      <c r="H1407" s="821">
        <v>0</v>
      </c>
      <c r="J1407" s="536"/>
      <c r="K1407" s="824"/>
    </row>
    <row r="1408" spans="3:11" ht="25.8" customHeight="1">
      <c r="C1408" s="566" t="s">
        <v>1218</v>
      </c>
      <c r="D1408" s="552" t="s">
        <v>1219</v>
      </c>
      <c r="E1408" s="553"/>
      <c r="F1408" s="553"/>
      <c r="G1408" s="554"/>
      <c r="H1408" s="826">
        <f>H1407+H1405+H1402</f>
        <v>8560</v>
      </c>
      <c r="I1408" s="827"/>
      <c r="J1408" s="536"/>
      <c r="K1408" s="824"/>
    </row>
    <row r="1409" spans="3:11" ht="25.8" customHeight="1">
      <c r="C1409" s="566" t="s">
        <v>1220</v>
      </c>
      <c r="D1409" s="552" t="s">
        <v>1321</v>
      </c>
      <c r="E1409" s="553"/>
      <c r="F1409" s="554"/>
      <c r="G1409" s="555">
        <f>$M$9</f>
        <v>0.1</v>
      </c>
      <c r="H1409" s="539">
        <f>H1408*G1409</f>
        <v>856</v>
      </c>
      <c r="I1409" s="827"/>
      <c r="J1409" s="536"/>
      <c r="K1409" s="824"/>
    </row>
    <row r="1410" spans="3:11" ht="25.8" customHeight="1">
      <c r="C1410" s="566" t="s">
        <v>1221</v>
      </c>
      <c r="D1410" s="552" t="s">
        <v>1222</v>
      </c>
      <c r="E1410" s="553"/>
      <c r="F1410" s="553"/>
      <c r="G1410" s="554"/>
      <c r="H1410" s="828">
        <f>SUM(H1408:H1409)</f>
        <v>9416</v>
      </c>
      <c r="I1410" s="827"/>
      <c r="J1410" s="536"/>
      <c r="K1410" s="824"/>
    </row>
    <row r="1411" spans="3:11" ht="25.8" customHeight="1">
      <c r="J1411" s="536"/>
      <c r="K1411" s="824"/>
    </row>
    <row r="1412" spans="3:11" ht="25.8" customHeight="1">
      <c r="C1412" s="571" t="s">
        <v>3321</v>
      </c>
      <c r="D1412" s="817" t="s">
        <v>1704</v>
      </c>
      <c r="E1412" s="803"/>
      <c r="F1412" s="803"/>
      <c r="G1412" s="803"/>
      <c r="H1412" s="803"/>
      <c r="I1412" s="533">
        <f>ROUNDDOWN(H1427,-2)</f>
        <v>9400</v>
      </c>
      <c r="J1412" s="536"/>
      <c r="K1412" s="824"/>
    </row>
    <row r="1413" spans="3:11" ht="25.8" customHeight="1">
      <c r="C1413" s="716" t="s">
        <v>1195</v>
      </c>
      <c r="D1413" s="716" t="s">
        <v>1196</v>
      </c>
      <c r="E1413" s="716" t="s">
        <v>1197</v>
      </c>
      <c r="F1413" s="716" t="s">
        <v>1198</v>
      </c>
      <c r="G1413" s="716" t="s">
        <v>1199</v>
      </c>
      <c r="H1413" s="716" t="s">
        <v>1200</v>
      </c>
      <c r="J1413" s="536"/>
      <c r="K1413" s="824"/>
    </row>
    <row r="1414" spans="3:11" ht="25.8" customHeight="1">
      <c r="C1414" s="213" t="s">
        <v>1201</v>
      </c>
      <c r="D1414" s="212" t="s">
        <v>1202</v>
      </c>
      <c r="E1414" s="534"/>
      <c r="F1414" s="534"/>
      <c r="G1414" s="534"/>
      <c r="H1414" s="534"/>
      <c r="J1414" s="536"/>
      <c r="K1414" s="824"/>
    </row>
    <row r="1415" spans="3:11" ht="25.8" customHeight="1">
      <c r="C1415" s="818">
        <v>1</v>
      </c>
      <c r="D1415" s="212" t="s">
        <v>5</v>
      </c>
      <c r="E1415" s="212" t="s">
        <v>6</v>
      </c>
      <c r="F1415" s="538">
        <v>2.4E-2</v>
      </c>
      <c r="G1415" s="539">
        <f>VLOOKUP(D1415,upahbahan,3,FALSE)</f>
        <v>100000</v>
      </c>
      <c r="H1415" s="539">
        <f t="shared" ref="H1415:H1418" si="142">F1415*G1415</f>
        <v>2400</v>
      </c>
      <c r="J1415" s="536"/>
      <c r="K1415" s="824"/>
    </row>
    <row r="1416" spans="3:11" ht="25.8" customHeight="1">
      <c r="C1416" s="818">
        <v>2</v>
      </c>
      <c r="D1416" s="212" t="str">
        <f>D1399</f>
        <v>Tukang listrik</v>
      </c>
      <c r="E1416" s="212" t="s">
        <v>6</v>
      </c>
      <c r="F1416" s="538">
        <v>0.04</v>
      </c>
      <c r="G1416" s="539">
        <f>VLOOKUP(D1416,upahbahan,3,FALSE)</f>
        <v>135000</v>
      </c>
      <c r="H1416" s="539">
        <f t="shared" si="142"/>
        <v>5400</v>
      </c>
      <c r="J1416" s="536"/>
      <c r="K1416" s="824"/>
    </row>
    <row r="1417" spans="3:11" ht="25.8" customHeight="1">
      <c r="C1417" s="818">
        <v>3</v>
      </c>
      <c r="D1417" s="212" t="s">
        <v>18</v>
      </c>
      <c r="E1417" s="212" t="s">
        <v>6</v>
      </c>
      <c r="F1417" s="538">
        <v>4.0000000000000001E-3</v>
      </c>
      <c r="G1417" s="539">
        <f>VLOOKUP(D1417,upahbahan,3,FALSE)</f>
        <v>150000</v>
      </c>
      <c r="H1417" s="539">
        <f t="shared" si="142"/>
        <v>600</v>
      </c>
      <c r="J1417" s="536"/>
      <c r="K1417" s="824"/>
    </row>
    <row r="1418" spans="3:11" ht="25.8" customHeight="1">
      <c r="C1418" s="818">
        <v>4</v>
      </c>
      <c r="D1418" s="212" t="s">
        <v>19</v>
      </c>
      <c r="E1418" s="212" t="s">
        <v>6</v>
      </c>
      <c r="F1418" s="538">
        <v>1E-3</v>
      </c>
      <c r="G1418" s="539">
        <f>VLOOKUP(D1418,upahbahan,3,FALSE)</f>
        <v>160000</v>
      </c>
      <c r="H1418" s="539">
        <f t="shared" si="142"/>
        <v>160</v>
      </c>
      <c r="J1418" s="536"/>
      <c r="K1418" s="824"/>
    </row>
    <row r="1419" spans="3:11" ht="25.8" customHeight="1">
      <c r="C1419" s="702" t="s">
        <v>1208</v>
      </c>
      <c r="D1419" s="208"/>
      <c r="E1419" s="208"/>
      <c r="F1419" s="811"/>
      <c r="G1419" s="522"/>
      <c r="H1419" s="539">
        <f>SUM(H1415:H1418)</f>
        <v>8560</v>
      </c>
      <c r="I1419" s="819"/>
      <c r="J1419" s="536"/>
      <c r="K1419" s="824"/>
    </row>
    <row r="1420" spans="3:11" ht="25.8" customHeight="1">
      <c r="C1420" s="213" t="s">
        <v>1209</v>
      </c>
      <c r="D1420" s="212" t="s">
        <v>1210</v>
      </c>
      <c r="E1420" s="534"/>
      <c r="F1420" s="831"/>
      <c r="G1420" s="534"/>
      <c r="H1420" s="534"/>
      <c r="J1420" s="536"/>
      <c r="K1420" s="824"/>
    </row>
    <row r="1421" spans="3:11" ht="25.8" customHeight="1">
      <c r="C1421" s="833" t="s">
        <v>1203</v>
      </c>
      <c r="D1421" s="820" t="s">
        <v>902</v>
      </c>
      <c r="E1421" s="807" t="s">
        <v>113</v>
      </c>
      <c r="F1421" s="538">
        <v>1.2</v>
      </c>
      <c r="G1421" s="539">
        <f>VLOOKUP(D1421,upahbahan,3,FALSE)</f>
        <v>0</v>
      </c>
      <c r="H1421" s="539">
        <f t="shared" ref="H1421" si="143">F1421*G1421</f>
        <v>0</v>
      </c>
      <c r="J1421" s="536"/>
      <c r="K1421" s="824"/>
    </row>
    <row r="1422" spans="3:11" ht="25.8" customHeight="1">
      <c r="C1422" s="702" t="s">
        <v>1214</v>
      </c>
      <c r="D1422" s="208"/>
      <c r="E1422" s="208"/>
      <c r="F1422" s="208"/>
      <c r="G1422" s="209"/>
      <c r="H1422" s="539">
        <f>SUM(H1421:H1421)</f>
        <v>0</v>
      </c>
      <c r="J1422" s="536"/>
      <c r="K1422" s="824"/>
    </row>
    <row r="1423" spans="3:11" ht="25.8" customHeight="1">
      <c r="C1423" s="213" t="s">
        <v>1215</v>
      </c>
      <c r="D1423" s="212" t="s">
        <v>1216</v>
      </c>
      <c r="E1423" s="534"/>
      <c r="F1423" s="534"/>
      <c r="G1423" s="534"/>
      <c r="H1423" s="534"/>
      <c r="J1423" s="536"/>
      <c r="K1423" s="824"/>
    </row>
    <row r="1424" spans="3:11" ht="25.8" customHeight="1">
      <c r="C1424" s="702" t="s">
        <v>1217</v>
      </c>
      <c r="D1424" s="208"/>
      <c r="E1424" s="208"/>
      <c r="F1424" s="208"/>
      <c r="G1424" s="209"/>
      <c r="H1424" s="821">
        <v>0</v>
      </c>
      <c r="J1424" s="536"/>
      <c r="K1424" s="824"/>
    </row>
    <row r="1425" spans="3:11" ht="25.8" customHeight="1">
      <c r="C1425" s="566" t="s">
        <v>1218</v>
      </c>
      <c r="D1425" s="552" t="s">
        <v>1219</v>
      </c>
      <c r="E1425" s="553"/>
      <c r="F1425" s="553"/>
      <c r="G1425" s="554"/>
      <c r="H1425" s="826">
        <f>H1424+H1422+H1419</f>
        <v>8560</v>
      </c>
      <c r="I1425" s="827"/>
      <c r="J1425" s="536"/>
      <c r="K1425" s="824"/>
    </row>
    <row r="1426" spans="3:11" ht="25.8" customHeight="1">
      <c r="C1426" s="566" t="s">
        <v>1220</v>
      </c>
      <c r="D1426" s="552" t="s">
        <v>1321</v>
      </c>
      <c r="E1426" s="553"/>
      <c r="F1426" s="554"/>
      <c r="G1426" s="555">
        <f>$M$9</f>
        <v>0.1</v>
      </c>
      <c r="H1426" s="539">
        <f>H1425*G1426</f>
        <v>856</v>
      </c>
      <c r="I1426" s="827"/>
      <c r="J1426" s="536"/>
      <c r="K1426" s="824"/>
    </row>
    <row r="1427" spans="3:11" ht="25.8" customHeight="1">
      <c r="C1427" s="566" t="s">
        <v>1221</v>
      </c>
      <c r="D1427" s="552" t="s">
        <v>1222</v>
      </c>
      <c r="E1427" s="553"/>
      <c r="F1427" s="553"/>
      <c r="G1427" s="554"/>
      <c r="H1427" s="828">
        <f>SUM(H1425:H1426)</f>
        <v>9416</v>
      </c>
      <c r="I1427" s="827"/>
      <c r="J1427" s="536"/>
      <c r="K1427" s="824"/>
    </row>
    <row r="1428" spans="3:11" ht="25.8" customHeight="1">
      <c r="J1428" s="536"/>
      <c r="K1428" s="824"/>
    </row>
    <row r="1429" spans="3:11" ht="25.8" customHeight="1">
      <c r="C1429" s="571" t="s">
        <v>3322</v>
      </c>
      <c r="D1429" s="817" t="s">
        <v>1705</v>
      </c>
      <c r="E1429" s="803"/>
      <c r="F1429" s="803"/>
      <c r="G1429" s="803"/>
      <c r="H1429" s="803"/>
      <c r="I1429" s="533">
        <f>ROUNDDOWN(H1444,-2)</f>
        <v>9400</v>
      </c>
      <c r="J1429" s="536" t="s">
        <v>6451</v>
      </c>
      <c r="K1429" s="824" t="s">
        <v>7716</v>
      </c>
    </row>
    <row r="1430" spans="3:11" ht="25.8" customHeight="1">
      <c r="C1430" s="716" t="s">
        <v>1195</v>
      </c>
      <c r="D1430" s="716" t="s">
        <v>1196</v>
      </c>
      <c r="E1430" s="716" t="s">
        <v>1197</v>
      </c>
      <c r="F1430" s="716" t="s">
        <v>1198</v>
      </c>
      <c r="G1430" s="716" t="s">
        <v>1199</v>
      </c>
      <c r="H1430" s="716" t="s">
        <v>1200</v>
      </c>
      <c r="J1430" s="536"/>
      <c r="K1430" s="824"/>
    </row>
    <row r="1431" spans="3:11" ht="25.8" customHeight="1">
      <c r="C1431" s="213" t="s">
        <v>1201</v>
      </c>
      <c r="D1431" s="212" t="s">
        <v>1202</v>
      </c>
      <c r="E1431" s="534"/>
      <c r="F1431" s="534"/>
      <c r="G1431" s="534"/>
      <c r="H1431" s="534"/>
      <c r="J1431" s="536"/>
      <c r="K1431" s="824"/>
    </row>
    <row r="1432" spans="3:11" ht="25.8" customHeight="1">
      <c r="C1432" s="818">
        <v>1</v>
      </c>
      <c r="D1432" s="212" t="s">
        <v>5</v>
      </c>
      <c r="E1432" s="212" t="s">
        <v>6</v>
      </c>
      <c r="F1432" s="538">
        <v>2.4E-2</v>
      </c>
      <c r="G1432" s="539">
        <f>VLOOKUP(D1432,upahbahan,3,FALSE)</f>
        <v>100000</v>
      </c>
      <c r="H1432" s="539">
        <f t="shared" ref="H1432:H1435" si="144">F1432*G1432</f>
        <v>2400</v>
      </c>
      <c r="J1432" s="536"/>
      <c r="K1432" s="824"/>
    </row>
    <row r="1433" spans="3:11" ht="25.8" customHeight="1">
      <c r="C1433" s="818">
        <v>2</v>
      </c>
      <c r="D1433" s="212" t="str">
        <f>D1416</f>
        <v>Tukang listrik</v>
      </c>
      <c r="E1433" s="212" t="s">
        <v>6</v>
      </c>
      <c r="F1433" s="538">
        <v>0.04</v>
      </c>
      <c r="G1433" s="539">
        <f>VLOOKUP(D1433,upahbahan,3,FALSE)</f>
        <v>135000</v>
      </c>
      <c r="H1433" s="539">
        <f t="shared" si="144"/>
        <v>5400</v>
      </c>
      <c r="J1433" s="536"/>
      <c r="K1433" s="824"/>
    </row>
    <row r="1434" spans="3:11" ht="25.8" customHeight="1">
      <c r="C1434" s="818">
        <v>3</v>
      </c>
      <c r="D1434" s="212" t="s">
        <v>18</v>
      </c>
      <c r="E1434" s="212" t="s">
        <v>6</v>
      </c>
      <c r="F1434" s="538">
        <v>4.0000000000000001E-3</v>
      </c>
      <c r="G1434" s="539">
        <f>VLOOKUP(D1434,upahbahan,3,FALSE)</f>
        <v>150000</v>
      </c>
      <c r="H1434" s="539">
        <f t="shared" si="144"/>
        <v>600</v>
      </c>
      <c r="J1434" s="536"/>
      <c r="K1434" s="824"/>
    </row>
    <row r="1435" spans="3:11" ht="25.8" customHeight="1">
      <c r="C1435" s="818">
        <v>4</v>
      </c>
      <c r="D1435" s="212" t="s">
        <v>19</v>
      </c>
      <c r="E1435" s="212" t="s">
        <v>6</v>
      </c>
      <c r="F1435" s="538">
        <v>1E-3</v>
      </c>
      <c r="G1435" s="539">
        <f>VLOOKUP(D1435,upahbahan,3,FALSE)</f>
        <v>160000</v>
      </c>
      <c r="H1435" s="539">
        <f t="shared" si="144"/>
        <v>160</v>
      </c>
      <c r="J1435" s="536"/>
      <c r="K1435" s="824"/>
    </row>
    <row r="1436" spans="3:11" ht="25.8" customHeight="1">
      <c r="C1436" s="702" t="s">
        <v>1208</v>
      </c>
      <c r="D1436" s="208"/>
      <c r="E1436" s="208"/>
      <c r="F1436" s="811"/>
      <c r="G1436" s="522"/>
      <c r="H1436" s="539">
        <f>SUM(H1432:H1435)</f>
        <v>8560</v>
      </c>
      <c r="I1436" s="819"/>
      <c r="J1436" s="536"/>
      <c r="K1436" s="824"/>
    </row>
    <row r="1437" spans="3:11" ht="25.8" customHeight="1">
      <c r="C1437" s="213" t="s">
        <v>1209</v>
      </c>
      <c r="D1437" s="212" t="s">
        <v>1210</v>
      </c>
      <c r="E1437" s="534"/>
      <c r="F1437" s="831"/>
      <c r="G1437" s="534"/>
      <c r="H1437" s="534"/>
      <c r="J1437" s="536"/>
      <c r="K1437" s="824"/>
    </row>
    <row r="1438" spans="3:11" ht="25.8" customHeight="1">
      <c r="C1438" s="833" t="s">
        <v>1203</v>
      </c>
      <c r="D1438" s="212" t="s">
        <v>7715</v>
      </c>
      <c r="E1438" s="807" t="s">
        <v>113</v>
      </c>
      <c r="F1438" s="538">
        <v>1.2</v>
      </c>
      <c r="G1438" s="539">
        <f>VLOOKUP(D1438,upahbahan,3,FALSE)</f>
        <v>0</v>
      </c>
      <c r="H1438" s="539">
        <f>F1438*G1438</f>
        <v>0</v>
      </c>
      <c r="J1438" s="536"/>
      <c r="K1438" s="824"/>
    </row>
    <row r="1439" spans="3:11" ht="25.8" customHeight="1">
      <c r="C1439" s="702" t="s">
        <v>1214</v>
      </c>
      <c r="D1439" s="208"/>
      <c r="E1439" s="208"/>
      <c r="F1439" s="208"/>
      <c r="G1439" s="209"/>
      <c r="H1439" s="539">
        <f>SUM(H1438:H1438)</f>
        <v>0</v>
      </c>
      <c r="J1439" s="536"/>
      <c r="K1439" s="824"/>
    </row>
    <row r="1440" spans="3:11" ht="25.8" customHeight="1">
      <c r="C1440" s="213" t="s">
        <v>1215</v>
      </c>
      <c r="D1440" s="212" t="s">
        <v>1216</v>
      </c>
      <c r="E1440" s="534"/>
      <c r="F1440" s="534"/>
      <c r="G1440" s="534"/>
      <c r="H1440" s="534"/>
      <c r="J1440" s="536"/>
      <c r="K1440" s="824"/>
    </row>
    <row r="1441" spans="3:11" ht="25.8" customHeight="1">
      <c r="C1441" s="702" t="s">
        <v>1217</v>
      </c>
      <c r="D1441" s="208"/>
      <c r="E1441" s="208"/>
      <c r="F1441" s="208"/>
      <c r="G1441" s="209"/>
      <c r="H1441" s="821">
        <v>0</v>
      </c>
      <c r="J1441" s="536"/>
      <c r="K1441" s="824"/>
    </row>
    <row r="1442" spans="3:11" ht="25.8" customHeight="1">
      <c r="C1442" s="566" t="s">
        <v>1218</v>
      </c>
      <c r="D1442" s="552" t="s">
        <v>1219</v>
      </c>
      <c r="E1442" s="553"/>
      <c r="F1442" s="553"/>
      <c r="G1442" s="554"/>
      <c r="H1442" s="826">
        <f>H1441+H1439+H1436</f>
        <v>8560</v>
      </c>
      <c r="I1442" s="827"/>
      <c r="J1442" s="536"/>
      <c r="K1442" s="824"/>
    </row>
    <row r="1443" spans="3:11" ht="25.8" customHeight="1">
      <c r="C1443" s="566" t="s">
        <v>1220</v>
      </c>
      <c r="D1443" s="552" t="s">
        <v>1321</v>
      </c>
      <c r="E1443" s="553"/>
      <c r="F1443" s="554"/>
      <c r="G1443" s="555">
        <f>$M$9</f>
        <v>0.1</v>
      </c>
      <c r="H1443" s="539">
        <f>H1442*G1443</f>
        <v>856</v>
      </c>
      <c r="I1443" s="827"/>
      <c r="J1443" s="536"/>
      <c r="K1443" s="824"/>
    </row>
    <row r="1444" spans="3:11" ht="25.8" customHeight="1">
      <c r="C1444" s="566" t="s">
        <v>1221</v>
      </c>
      <c r="D1444" s="552" t="s">
        <v>1222</v>
      </c>
      <c r="E1444" s="553"/>
      <c r="F1444" s="553"/>
      <c r="G1444" s="554"/>
      <c r="H1444" s="828">
        <f>SUM(H1442:H1443)</f>
        <v>9416</v>
      </c>
      <c r="I1444" s="827"/>
      <c r="J1444" s="536"/>
      <c r="K1444" s="824"/>
    </row>
    <row r="1445" spans="3:11" ht="25.8" customHeight="1">
      <c r="J1445" s="536"/>
      <c r="K1445" s="824"/>
    </row>
    <row r="1446" spans="3:11" ht="25.8" customHeight="1">
      <c r="C1446" s="571" t="s">
        <v>3323</v>
      </c>
      <c r="D1446" s="817" t="s">
        <v>1706</v>
      </c>
      <c r="E1446" s="803"/>
      <c r="F1446" s="803"/>
      <c r="G1446" s="803"/>
      <c r="H1446" s="803"/>
      <c r="I1446" s="533">
        <f>ROUNDDOWN(H1461,-2)</f>
        <v>12300</v>
      </c>
      <c r="J1446" s="536" t="s">
        <v>6451</v>
      </c>
      <c r="K1446" s="824" t="s">
        <v>7716</v>
      </c>
    </row>
    <row r="1447" spans="3:11" ht="25.8" customHeight="1">
      <c r="C1447" s="716" t="s">
        <v>1195</v>
      </c>
      <c r="D1447" s="716" t="s">
        <v>1196</v>
      </c>
      <c r="E1447" s="716" t="s">
        <v>1197</v>
      </c>
      <c r="F1447" s="716" t="s">
        <v>1198</v>
      </c>
      <c r="G1447" s="716" t="s">
        <v>1199</v>
      </c>
      <c r="H1447" s="716" t="s">
        <v>1200</v>
      </c>
      <c r="J1447" s="536"/>
      <c r="K1447" s="824"/>
    </row>
    <row r="1448" spans="3:11" ht="25.8" customHeight="1">
      <c r="C1448" s="213" t="s">
        <v>1201</v>
      </c>
      <c r="D1448" s="212" t="s">
        <v>1202</v>
      </c>
      <c r="E1448" s="534"/>
      <c r="F1448" s="534"/>
      <c r="G1448" s="534"/>
      <c r="H1448" s="534"/>
      <c r="J1448" s="536"/>
      <c r="K1448" s="824"/>
    </row>
    <row r="1449" spans="3:11" ht="25.8" customHeight="1">
      <c r="C1449" s="818">
        <v>1</v>
      </c>
      <c r="D1449" s="212" t="s">
        <v>5</v>
      </c>
      <c r="E1449" s="212" t="s">
        <v>6</v>
      </c>
      <c r="F1449" s="829">
        <v>3.1E-2</v>
      </c>
      <c r="G1449" s="539">
        <f>VLOOKUP(D1449,upahbahan,3,FALSE)</f>
        <v>100000</v>
      </c>
      <c r="H1449" s="539">
        <f>F1449*G1449</f>
        <v>3100</v>
      </c>
      <c r="J1449" s="536"/>
      <c r="K1449" s="824"/>
    </row>
    <row r="1450" spans="3:11" ht="25.8" customHeight="1">
      <c r="C1450" s="818">
        <v>2</v>
      </c>
      <c r="D1450" s="212" t="str">
        <f>D1433</f>
        <v>Tukang listrik</v>
      </c>
      <c r="E1450" s="212" t="s">
        <v>6</v>
      </c>
      <c r="F1450" s="829">
        <v>5.1999999999999998E-2</v>
      </c>
      <c r="G1450" s="539">
        <f>VLOOKUP(D1450,upahbahan,3,FALSE)</f>
        <v>135000</v>
      </c>
      <c r="H1450" s="539">
        <f t="shared" ref="H1450:H1452" si="145">F1450*G1450</f>
        <v>7020</v>
      </c>
      <c r="J1450" s="536"/>
      <c r="K1450" s="824"/>
    </row>
    <row r="1451" spans="3:11" ht="25.8" customHeight="1">
      <c r="C1451" s="818">
        <v>3</v>
      </c>
      <c r="D1451" s="212" t="s">
        <v>18</v>
      </c>
      <c r="E1451" s="212" t="s">
        <v>6</v>
      </c>
      <c r="F1451" s="829">
        <v>5.0000000000000001E-3</v>
      </c>
      <c r="G1451" s="539">
        <f>VLOOKUP(D1451,upahbahan,3,FALSE)</f>
        <v>150000</v>
      </c>
      <c r="H1451" s="539">
        <f t="shared" si="145"/>
        <v>750</v>
      </c>
      <c r="J1451" s="536"/>
      <c r="K1451" s="824"/>
    </row>
    <row r="1452" spans="3:11" ht="25.8" customHeight="1">
      <c r="C1452" s="818">
        <v>4</v>
      </c>
      <c r="D1452" s="212" t="s">
        <v>19</v>
      </c>
      <c r="E1452" s="212" t="s">
        <v>6</v>
      </c>
      <c r="F1452" s="829">
        <v>2E-3</v>
      </c>
      <c r="G1452" s="539">
        <f>VLOOKUP(D1452,upahbahan,3,FALSE)</f>
        <v>160000</v>
      </c>
      <c r="H1452" s="539">
        <f t="shared" si="145"/>
        <v>320</v>
      </c>
      <c r="J1452" s="536"/>
      <c r="K1452" s="824"/>
    </row>
    <row r="1453" spans="3:11" ht="25.8" customHeight="1">
      <c r="C1453" s="702" t="s">
        <v>1208</v>
      </c>
      <c r="D1453" s="208"/>
      <c r="E1453" s="208"/>
      <c r="F1453" s="811"/>
      <c r="G1453" s="522"/>
      <c r="H1453" s="539">
        <f>SUM(H1449:H1452)</f>
        <v>11190</v>
      </c>
      <c r="I1453" s="819"/>
      <c r="J1453" s="536"/>
      <c r="K1453" s="824"/>
    </row>
    <row r="1454" spans="3:11" ht="25.8" customHeight="1">
      <c r="C1454" s="213" t="s">
        <v>1209</v>
      </c>
      <c r="D1454" s="212" t="s">
        <v>1210</v>
      </c>
      <c r="E1454" s="534"/>
      <c r="F1454" s="831"/>
      <c r="G1454" s="534"/>
      <c r="H1454" s="534"/>
      <c r="J1454" s="536"/>
      <c r="K1454" s="824"/>
    </row>
    <row r="1455" spans="3:11" ht="25.8" customHeight="1">
      <c r="C1455" s="833" t="s">
        <v>1203</v>
      </c>
      <c r="D1455" s="212" t="s">
        <v>7717</v>
      </c>
      <c r="E1455" s="807" t="s">
        <v>113</v>
      </c>
      <c r="F1455" s="538">
        <v>1.2</v>
      </c>
      <c r="G1455" s="539">
        <f>VLOOKUP(D1455,upahbahan,3,FALSE)</f>
        <v>0</v>
      </c>
      <c r="H1455" s="539">
        <f>F1455*G1455</f>
        <v>0</v>
      </c>
      <c r="J1455" s="536"/>
      <c r="K1455" s="824"/>
    </row>
    <row r="1456" spans="3:11" ht="25.8" customHeight="1">
      <c r="C1456" s="702" t="s">
        <v>1214</v>
      </c>
      <c r="D1456" s="208"/>
      <c r="E1456" s="208"/>
      <c r="F1456" s="208"/>
      <c r="G1456" s="209"/>
      <c r="H1456" s="539">
        <f>SUM(H1455:H1455)</f>
        <v>0</v>
      </c>
      <c r="J1456" s="536"/>
      <c r="K1456" s="824"/>
    </row>
    <row r="1457" spans="3:11" ht="25.8" customHeight="1">
      <c r="C1457" s="213" t="s">
        <v>1215</v>
      </c>
      <c r="D1457" s="212" t="s">
        <v>1216</v>
      </c>
      <c r="E1457" s="534"/>
      <c r="F1457" s="534"/>
      <c r="G1457" s="534"/>
      <c r="H1457" s="534"/>
      <c r="J1457" s="536"/>
      <c r="K1457" s="824"/>
    </row>
    <row r="1458" spans="3:11" ht="25.8" customHeight="1">
      <c r="C1458" s="702" t="s">
        <v>1217</v>
      </c>
      <c r="D1458" s="208"/>
      <c r="E1458" s="208"/>
      <c r="F1458" s="208"/>
      <c r="G1458" s="209"/>
      <c r="H1458" s="821">
        <v>0</v>
      </c>
      <c r="J1458" s="536"/>
      <c r="K1458" s="824"/>
    </row>
    <row r="1459" spans="3:11" ht="25.8" customHeight="1">
      <c r="C1459" s="566" t="s">
        <v>1218</v>
      </c>
      <c r="D1459" s="552" t="s">
        <v>1219</v>
      </c>
      <c r="E1459" s="553"/>
      <c r="F1459" s="553"/>
      <c r="G1459" s="554"/>
      <c r="H1459" s="826">
        <f>H1458+H1456+H1453</f>
        <v>11190</v>
      </c>
      <c r="I1459" s="827"/>
      <c r="J1459" s="536"/>
      <c r="K1459" s="824"/>
    </row>
    <row r="1460" spans="3:11" ht="25.8" customHeight="1">
      <c r="C1460" s="566" t="s">
        <v>1220</v>
      </c>
      <c r="D1460" s="552" t="s">
        <v>1321</v>
      </c>
      <c r="E1460" s="553"/>
      <c r="F1460" s="554"/>
      <c r="G1460" s="555">
        <f>$M$9</f>
        <v>0.1</v>
      </c>
      <c r="H1460" s="539">
        <f>H1459*G1460</f>
        <v>1119</v>
      </c>
      <c r="I1460" s="827"/>
      <c r="J1460" s="536"/>
      <c r="K1460" s="824"/>
    </row>
    <row r="1461" spans="3:11" ht="25.8" customHeight="1">
      <c r="C1461" s="566" t="s">
        <v>1221</v>
      </c>
      <c r="D1461" s="552" t="s">
        <v>1222</v>
      </c>
      <c r="E1461" s="553"/>
      <c r="F1461" s="553"/>
      <c r="G1461" s="554"/>
      <c r="H1461" s="828">
        <f>SUM(H1459:H1460)</f>
        <v>12309</v>
      </c>
      <c r="I1461" s="827"/>
      <c r="J1461" s="536"/>
      <c r="K1461" s="824"/>
    </row>
    <row r="1462" spans="3:11" ht="25.8" customHeight="1">
      <c r="J1462" s="536"/>
      <c r="K1462" s="824"/>
    </row>
    <row r="1463" spans="3:11" ht="25.8" customHeight="1">
      <c r="C1463" s="571" t="s">
        <v>3225</v>
      </c>
      <c r="D1463" s="571" t="s">
        <v>3324</v>
      </c>
      <c r="J1463" s="536"/>
      <c r="K1463" s="824"/>
    </row>
    <row r="1464" spans="3:11" ht="25.8" customHeight="1">
      <c r="C1464" s="571" t="s">
        <v>3325</v>
      </c>
      <c r="D1464" s="817" t="s">
        <v>1707</v>
      </c>
      <c r="E1464" s="803"/>
      <c r="F1464" s="803"/>
      <c r="G1464" s="803"/>
      <c r="H1464" s="803"/>
      <c r="I1464" s="533">
        <f>ROUNDDOWN(H1479,-2)</f>
        <v>39400</v>
      </c>
      <c r="J1464" s="536"/>
      <c r="K1464" s="824"/>
    </row>
    <row r="1465" spans="3:11" ht="25.8" customHeight="1">
      <c r="C1465" s="716" t="s">
        <v>1195</v>
      </c>
      <c r="D1465" s="716" t="s">
        <v>1196</v>
      </c>
      <c r="E1465" s="716" t="s">
        <v>1197</v>
      </c>
      <c r="F1465" s="716" t="s">
        <v>1198</v>
      </c>
      <c r="G1465" s="716" t="s">
        <v>1199</v>
      </c>
      <c r="H1465" s="716" t="s">
        <v>1200</v>
      </c>
      <c r="J1465" s="536"/>
      <c r="K1465" s="824"/>
    </row>
    <row r="1466" spans="3:11" ht="25.8" customHeight="1">
      <c r="C1466" s="213" t="s">
        <v>1201</v>
      </c>
      <c r="D1466" s="212" t="s">
        <v>1202</v>
      </c>
      <c r="E1466" s="534"/>
      <c r="F1466" s="534"/>
      <c r="G1466" s="534"/>
      <c r="H1466" s="534"/>
      <c r="J1466" s="536"/>
      <c r="K1466" s="824"/>
    </row>
    <row r="1467" spans="3:11" ht="25.8" customHeight="1">
      <c r="C1467" s="818">
        <v>1</v>
      </c>
      <c r="D1467" s="212" t="s">
        <v>5</v>
      </c>
      <c r="E1467" s="212" t="s">
        <v>6</v>
      </c>
      <c r="F1467" s="538">
        <v>2.4E-2</v>
      </c>
      <c r="G1467" s="539">
        <f>VLOOKUP(D1467,upahbahan,3,FALSE)</f>
        <v>100000</v>
      </c>
      <c r="H1467" s="539">
        <f t="shared" ref="H1467:H1470" si="146">F1467*G1467</f>
        <v>2400</v>
      </c>
      <c r="J1467" s="536"/>
      <c r="K1467" s="824"/>
    </row>
    <row r="1468" spans="3:11" ht="25.8" customHeight="1">
      <c r="C1468" s="818">
        <v>2</v>
      </c>
      <c r="D1468" s="212" t="str">
        <f>D1450</f>
        <v>Tukang listrik</v>
      </c>
      <c r="E1468" s="212" t="s">
        <v>6</v>
      </c>
      <c r="F1468" s="538">
        <v>0.04</v>
      </c>
      <c r="G1468" s="539">
        <f>VLOOKUP(D1468,upahbahan,3,FALSE)</f>
        <v>135000</v>
      </c>
      <c r="H1468" s="539">
        <f t="shared" si="146"/>
        <v>5400</v>
      </c>
      <c r="J1468" s="536"/>
      <c r="K1468" s="824"/>
    </row>
    <row r="1469" spans="3:11" ht="25.8" customHeight="1">
      <c r="C1469" s="818">
        <v>3</v>
      </c>
      <c r="D1469" s="212" t="s">
        <v>18</v>
      </c>
      <c r="E1469" s="212" t="s">
        <v>6</v>
      </c>
      <c r="F1469" s="538">
        <v>4.0000000000000001E-3</v>
      </c>
      <c r="G1469" s="539">
        <f>VLOOKUP(D1469,upahbahan,3,FALSE)</f>
        <v>150000</v>
      </c>
      <c r="H1469" s="539">
        <f t="shared" si="146"/>
        <v>600</v>
      </c>
      <c r="J1469" s="536"/>
      <c r="K1469" s="824"/>
    </row>
    <row r="1470" spans="3:11" ht="25.8" customHeight="1">
      <c r="C1470" s="818">
        <v>4</v>
      </c>
      <c r="D1470" s="212" t="s">
        <v>19</v>
      </c>
      <c r="E1470" s="212" t="s">
        <v>6</v>
      </c>
      <c r="F1470" s="538">
        <v>1E-3</v>
      </c>
      <c r="G1470" s="539">
        <f>VLOOKUP(D1470,upahbahan,3,FALSE)</f>
        <v>160000</v>
      </c>
      <c r="H1470" s="539">
        <f t="shared" si="146"/>
        <v>160</v>
      </c>
      <c r="J1470" s="536"/>
      <c r="K1470" s="824"/>
    </row>
    <row r="1471" spans="3:11" ht="25.8" customHeight="1">
      <c r="C1471" s="702" t="s">
        <v>1208</v>
      </c>
      <c r="D1471" s="208"/>
      <c r="E1471" s="208"/>
      <c r="F1471" s="811"/>
      <c r="G1471" s="522"/>
      <c r="H1471" s="539">
        <f>SUM(H1467:H1470)</f>
        <v>8560</v>
      </c>
      <c r="I1471" s="819"/>
      <c r="J1471" s="536"/>
      <c r="K1471" s="824"/>
    </row>
    <row r="1472" spans="3:11" ht="25.8" customHeight="1">
      <c r="C1472" s="213" t="s">
        <v>1209</v>
      </c>
      <c r="D1472" s="212" t="s">
        <v>1210</v>
      </c>
      <c r="E1472" s="534"/>
      <c r="F1472" s="831"/>
      <c r="G1472" s="534"/>
      <c r="H1472" s="534"/>
      <c r="J1472" s="536"/>
      <c r="K1472" s="824"/>
    </row>
    <row r="1473" spans="3:11" ht="25.8" customHeight="1">
      <c r="C1473" s="833" t="s">
        <v>1203</v>
      </c>
      <c r="D1473" s="820" t="s">
        <v>854</v>
      </c>
      <c r="E1473" s="807" t="s">
        <v>113</v>
      </c>
      <c r="F1473" s="538">
        <v>1.2</v>
      </c>
      <c r="G1473" s="539">
        <f>VLOOKUP(D1473,upahbahan,3,FALSE)</f>
        <v>22750</v>
      </c>
      <c r="H1473" s="539">
        <f t="shared" ref="H1473" si="147">F1473*G1473</f>
        <v>27300</v>
      </c>
      <c r="J1473" s="536"/>
      <c r="K1473" s="824"/>
    </row>
    <row r="1474" spans="3:11" ht="25.8" customHeight="1">
      <c r="C1474" s="702" t="s">
        <v>1214</v>
      </c>
      <c r="D1474" s="208"/>
      <c r="E1474" s="208"/>
      <c r="F1474" s="208"/>
      <c r="G1474" s="209"/>
      <c r="H1474" s="539">
        <f>SUM(H1473:H1473)</f>
        <v>27300</v>
      </c>
      <c r="J1474" s="536"/>
      <c r="K1474" s="824"/>
    </row>
    <row r="1475" spans="3:11" ht="25.8" customHeight="1">
      <c r="C1475" s="213" t="s">
        <v>1215</v>
      </c>
      <c r="D1475" s="212" t="s">
        <v>1216</v>
      </c>
      <c r="E1475" s="534"/>
      <c r="F1475" s="534"/>
      <c r="G1475" s="534"/>
      <c r="H1475" s="534"/>
      <c r="J1475" s="536"/>
      <c r="K1475" s="824"/>
    </row>
    <row r="1476" spans="3:11" ht="25.8" customHeight="1">
      <c r="C1476" s="702" t="s">
        <v>1217</v>
      </c>
      <c r="D1476" s="208"/>
      <c r="E1476" s="208"/>
      <c r="F1476" s="208"/>
      <c r="G1476" s="209"/>
      <c r="H1476" s="821">
        <v>0</v>
      </c>
      <c r="J1476" s="536"/>
      <c r="K1476" s="824"/>
    </row>
    <row r="1477" spans="3:11" ht="25.8" customHeight="1">
      <c r="C1477" s="566" t="s">
        <v>1218</v>
      </c>
      <c r="D1477" s="552" t="s">
        <v>1219</v>
      </c>
      <c r="E1477" s="553"/>
      <c r="F1477" s="553"/>
      <c r="G1477" s="554"/>
      <c r="H1477" s="826">
        <f>H1476+H1474+H1471</f>
        <v>35860</v>
      </c>
      <c r="I1477" s="827"/>
      <c r="J1477" s="536"/>
      <c r="K1477" s="824"/>
    </row>
    <row r="1478" spans="3:11" ht="25.8" customHeight="1">
      <c r="C1478" s="566" t="s">
        <v>1220</v>
      </c>
      <c r="D1478" s="552" t="s">
        <v>1321</v>
      </c>
      <c r="E1478" s="553"/>
      <c r="F1478" s="554"/>
      <c r="G1478" s="555">
        <f>$M$9</f>
        <v>0.1</v>
      </c>
      <c r="H1478" s="539">
        <f>H1477*G1478</f>
        <v>3586</v>
      </c>
      <c r="I1478" s="827"/>
      <c r="J1478" s="536"/>
      <c r="K1478" s="824"/>
    </row>
    <row r="1479" spans="3:11" ht="25.8" customHeight="1">
      <c r="C1479" s="566" t="s">
        <v>1221</v>
      </c>
      <c r="D1479" s="552" t="s">
        <v>1222</v>
      </c>
      <c r="E1479" s="553"/>
      <c r="F1479" s="553"/>
      <c r="G1479" s="554"/>
      <c r="H1479" s="828">
        <f>SUM(H1477:H1478)</f>
        <v>39446</v>
      </c>
      <c r="I1479" s="827"/>
      <c r="J1479" s="536"/>
      <c r="K1479" s="824"/>
    </row>
    <row r="1480" spans="3:11" ht="25.8" customHeight="1">
      <c r="J1480" s="536"/>
      <c r="K1480" s="824"/>
    </row>
    <row r="1481" spans="3:11" ht="25.8" customHeight="1">
      <c r="C1481" s="513" t="s">
        <v>3326</v>
      </c>
      <c r="D1481" s="817" t="s">
        <v>1708</v>
      </c>
      <c r="E1481" s="803"/>
      <c r="F1481" s="803"/>
      <c r="G1481" s="803"/>
      <c r="H1481" s="803"/>
      <c r="I1481" s="533">
        <f>ROUNDDOWN(H1496,-2)</f>
        <v>49600</v>
      </c>
      <c r="J1481" s="536"/>
      <c r="K1481" s="824"/>
    </row>
    <row r="1482" spans="3:11" ht="25.8" customHeight="1">
      <c r="C1482" s="716" t="s">
        <v>1195</v>
      </c>
      <c r="D1482" s="716" t="s">
        <v>1196</v>
      </c>
      <c r="E1482" s="716" t="s">
        <v>1197</v>
      </c>
      <c r="F1482" s="716" t="s">
        <v>1198</v>
      </c>
      <c r="G1482" s="716" t="s">
        <v>1199</v>
      </c>
      <c r="H1482" s="716" t="s">
        <v>1200</v>
      </c>
      <c r="J1482" s="536"/>
      <c r="K1482" s="824"/>
    </row>
    <row r="1483" spans="3:11" ht="25.8" customHeight="1">
      <c r="C1483" s="213" t="s">
        <v>1201</v>
      </c>
      <c r="D1483" s="212" t="s">
        <v>1202</v>
      </c>
      <c r="E1483" s="534"/>
      <c r="F1483" s="534"/>
      <c r="G1483" s="534"/>
      <c r="H1483" s="534"/>
      <c r="J1483" s="536"/>
      <c r="K1483" s="824"/>
    </row>
    <row r="1484" spans="3:11" ht="25.8" customHeight="1">
      <c r="C1484" s="818">
        <v>1</v>
      </c>
      <c r="D1484" s="212" t="s">
        <v>5</v>
      </c>
      <c r="E1484" s="212" t="s">
        <v>6</v>
      </c>
      <c r="F1484" s="538">
        <v>2.4E-2</v>
      </c>
      <c r="G1484" s="539">
        <f>VLOOKUP(D1484,upahbahan,3,FALSE)</f>
        <v>100000</v>
      </c>
      <c r="H1484" s="539">
        <f>F1484*G1484</f>
        <v>2400</v>
      </c>
      <c r="J1484" s="536"/>
      <c r="K1484" s="824"/>
    </row>
    <row r="1485" spans="3:11" ht="25.8" customHeight="1">
      <c r="C1485" s="818">
        <v>2</v>
      </c>
      <c r="D1485" s="212" t="str">
        <f>D1468</f>
        <v>Tukang listrik</v>
      </c>
      <c r="E1485" s="212" t="s">
        <v>6</v>
      </c>
      <c r="F1485" s="538">
        <v>0.04</v>
      </c>
      <c r="G1485" s="539">
        <f>VLOOKUP(D1485,upahbahan,3,FALSE)</f>
        <v>135000</v>
      </c>
      <c r="H1485" s="539">
        <f t="shared" ref="H1485:H1487" si="148">F1485*G1485</f>
        <v>5400</v>
      </c>
      <c r="J1485" s="536"/>
      <c r="K1485" s="824"/>
    </row>
    <row r="1486" spans="3:11" ht="25.8" customHeight="1">
      <c r="C1486" s="818">
        <v>3</v>
      </c>
      <c r="D1486" s="212" t="s">
        <v>18</v>
      </c>
      <c r="E1486" s="212" t="s">
        <v>6</v>
      </c>
      <c r="F1486" s="538">
        <v>4.0000000000000001E-3</v>
      </c>
      <c r="G1486" s="539">
        <f>VLOOKUP(D1486,upahbahan,3,FALSE)</f>
        <v>150000</v>
      </c>
      <c r="H1486" s="539">
        <f t="shared" si="148"/>
        <v>600</v>
      </c>
      <c r="J1486" s="536"/>
      <c r="K1486" s="824"/>
    </row>
    <row r="1487" spans="3:11" ht="25.8" customHeight="1">
      <c r="C1487" s="818">
        <v>4</v>
      </c>
      <c r="D1487" s="212" t="s">
        <v>19</v>
      </c>
      <c r="E1487" s="212" t="s">
        <v>6</v>
      </c>
      <c r="F1487" s="538">
        <v>1E-3</v>
      </c>
      <c r="G1487" s="539">
        <f>VLOOKUP(D1487,upahbahan,3,FALSE)</f>
        <v>160000</v>
      </c>
      <c r="H1487" s="539">
        <f t="shared" si="148"/>
        <v>160</v>
      </c>
      <c r="J1487" s="536"/>
      <c r="K1487" s="824"/>
    </row>
    <row r="1488" spans="3:11" ht="25.8" customHeight="1">
      <c r="C1488" s="702" t="s">
        <v>1208</v>
      </c>
      <c r="D1488" s="208"/>
      <c r="E1488" s="208"/>
      <c r="F1488" s="811"/>
      <c r="G1488" s="539"/>
      <c r="H1488" s="539">
        <f>SUM(H1484:H1487)</f>
        <v>8560</v>
      </c>
      <c r="I1488" s="819"/>
      <c r="J1488" s="536"/>
      <c r="K1488" s="824"/>
    </row>
    <row r="1489" spans="3:11" ht="25.8" customHeight="1">
      <c r="C1489" s="213" t="s">
        <v>1209</v>
      </c>
      <c r="D1489" s="212" t="s">
        <v>1210</v>
      </c>
      <c r="E1489" s="534"/>
      <c r="F1489" s="831"/>
      <c r="G1489" s="534"/>
      <c r="H1489" s="534"/>
      <c r="J1489" s="536"/>
      <c r="K1489" s="824"/>
    </row>
    <row r="1490" spans="3:11" ht="25.8" customHeight="1">
      <c r="C1490" s="833" t="s">
        <v>1203</v>
      </c>
      <c r="D1490" s="820" t="s">
        <v>857</v>
      </c>
      <c r="E1490" s="807" t="s">
        <v>113</v>
      </c>
      <c r="F1490" s="538">
        <v>1.2</v>
      </c>
      <c r="G1490" s="539">
        <f>VLOOKUP(D1490,upahbahan,3,FALSE)</f>
        <v>30500</v>
      </c>
      <c r="H1490" s="539">
        <f>F1490*G1490</f>
        <v>36600</v>
      </c>
      <c r="J1490" s="536"/>
      <c r="K1490" s="824"/>
    </row>
    <row r="1491" spans="3:11" ht="25.8" customHeight="1">
      <c r="C1491" s="702" t="s">
        <v>1214</v>
      </c>
      <c r="D1491" s="208"/>
      <c r="E1491" s="208"/>
      <c r="F1491" s="208"/>
      <c r="G1491" s="209"/>
      <c r="H1491" s="539">
        <f>SUM(H1490:H1490)</f>
        <v>36600</v>
      </c>
      <c r="J1491" s="536"/>
      <c r="K1491" s="824"/>
    </row>
    <row r="1492" spans="3:11" ht="25.8" customHeight="1">
      <c r="C1492" s="213" t="s">
        <v>1215</v>
      </c>
      <c r="D1492" s="212" t="s">
        <v>1216</v>
      </c>
      <c r="E1492" s="534"/>
      <c r="F1492" s="534"/>
      <c r="G1492" s="534"/>
      <c r="H1492" s="534"/>
      <c r="J1492" s="536"/>
      <c r="K1492" s="824"/>
    </row>
    <row r="1493" spans="3:11" ht="25.8" customHeight="1">
      <c r="C1493" s="702" t="s">
        <v>1217</v>
      </c>
      <c r="D1493" s="208"/>
      <c r="E1493" s="208"/>
      <c r="F1493" s="208"/>
      <c r="G1493" s="209"/>
      <c r="H1493" s="821">
        <v>0</v>
      </c>
      <c r="J1493" s="536"/>
      <c r="K1493" s="824"/>
    </row>
    <row r="1494" spans="3:11" ht="25.8" customHeight="1">
      <c r="C1494" s="566" t="s">
        <v>1218</v>
      </c>
      <c r="D1494" s="552" t="s">
        <v>1219</v>
      </c>
      <c r="E1494" s="553"/>
      <c r="F1494" s="553"/>
      <c r="G1494" s="554"/>
      <c r="H1494" s="826">
        <f>H1493+H1491+H1488</f>
        <v>45160</v>
      </c>
      <c r="I1494" s="827"/>
      <c r="J1494" s="536"/>
      <c r="K1494" s="824"/>
    </row>
    <row r="1495" spans="3:11" ht="25.8" customHeight="1">
      <c r="C1495" s="566" t="s">
        <v>1220</v>
      </c>
      <c r="D1495" s="552" t="s">
        <v>1321</v>
      </c>
      <c r="E1495" s="553"/>
      <c r="F1495" s="554"/>
      <c r="G1495" s="555">
        <f>$M$9</f>
        <v>0.1</v>
      </c>
      <c r="H1495" s="539">
        <f>H1494*G1495</f>
        <v>4516</v>
      </c>
      <c r="I1495" s="827"/>
      <c r="J1495" s="536"/>
      <c r="K1495" s="824"/>
    </row>
    <row r="1496" spans="3:11" ht="25.8" customHeight="1">
      <c r="C1496" s="566" t="s">
        <v>1221</v>
      </c>
      <c r="D1496" s="552" t="s">
        <v>1222</v>
      </c>
      <c r="E1496" s="553"/>
      <c r="F1496" s="553"/>
      <c r="G1496" s="554"/>
      <c r="H1496" s="828">
        <f>SUM(H1494:H1495)</f>
        <v>49676</v>
      </c>
      <c r="I1496" s="827"/>
      <c r="J1496" s="536"/>
      <c r="K1496" s="824"/>
    </row>
    <row r="1497" spans="3:11" ht="25.8" customHeight="1">
      <c r="J1497" s="536"/>
      <c r="K1497" s="824"/>
    </row>
    <row r="1498" spans="3:11" ht="25.8" customHeight="1">
      <c r="C1498" s="513" t="s">
        <v>3327</v>
      </c>
      <c r="D1498" s="817" t="s">
        <v>1709</v>
      </c>
      <c r="E1498" s="803"/>
      <c r="F1498" s="803"/>
      <c r="G1498" s="803"/>
      <c r="H1498" s="803"/>
      <c r="I1498" s="533">
        <f>ROUNDDOWN(H1513,-2)</f>
        <v>55800</v>
      </c>
      <c r="J1498" s="536"/>
      <c r="K1498" s="824"/>
    </row>
    <row r="1499" spans="3:11" ht="25.8" customHeight="1">
      <c r="C1499" s="716" t="s">
        <v>1195</v>
      </c>
      <c r="D1499" s="716" t="s">
        <v>1196</v>
      </c>
      <c r="E1499" s="716" t="s">
        <v>1197</v>
      </c>
      <c r="F1499" s="716" t="s">
        <v>1198</v>
      </c>
      <c r="G1499" s="716" t="s">
        <v>1199</v>
      </c>
      <c r="H1499" s="716" t="s">
        <v>1200</v>
      </c>
      <c r="J1499" s="536"/>
      <c r="K1499" s="824"/>
    </row>
    <row r="1500" spans="3:11" ht="25.8" customHeight="1">
      <c r="C1500" s="213" t="s">
        <v>1201</v>
      </c>
      <c r="D1500" s="212" t="s">
        <v>1202</v>
      </c>
      <c r="E1500" s="534"/>
      <c r="F1500" s="534"/>
      <c r="G1500" s="534"/>
      <c r="H1500" s="534"/>
      <c r="J1500" s="536"/>
      <c r="K1500" s="824"/>
    </row>
    <row r="1501" spans="3:11" ht="25.8" customHeight="1">
      <c r="C1501" s="818">
        <v>1</v>
      </c>
      <c r="D1501" s="212" t="s">
        <v>5</v>
      </c>
      <c r="E1501" s="212" t="s">
        <v>6</v>
      </c>
      <c r="F1501" s="538">
        <v>2.4E-2</v>
      </c>
      <c r="G1501" s="539">
        <f>VLOOKUP(D1501,upahbahan,3,FALSE)</f>
        <v>100000</v>
      </c>
      <c r="H1501" s="539">
        <f>F1501*G1501</f>
        <v>2400</v>
      </c>
      <c r="J1501" s="536"/>
      <c r="K1501" s="824"/>
    </row>
    <row r="1502" spans="3:11" ht="25.8" customHeight="1">
      <c r="C1502" s="818">
        <v>2</v>
      </c>
      <c r="D1502" s="212" t="str">
        <f>D1485</f>
        <v>Tukang listrik</v>
      </c>
      <c r="E1502" s="212" t="s">
        <v>6</v>
      </c>
      <c r="F1502" s="538">
        <v>0.04</v>
      </c>
      <c r="G1502" s="539">
        <f>VLOOKUP(D1502,upahbahan,3,FALSE)</f>
        <v>135000</v>
      </c>
      <c r="H1502" s="539">
        <f t="shared" ref="H1502:H1504" si="149">F1502*G1502</f>
        <v>5400</v>
      </c>
      <c r="J1502" s="536"/>
      <c r="K1502" s="824"/>
    </row>
    <row r="1503" spans="3:11" ht="25.8" customHeight="1">
      <c r="C1503" s="818">
        <v>3</v>
      </c>
      <c r="D1503" s="212" t="s">
        <v>18</v>
      </c>
      <c r="E1503" s="212" t="s">
        <v>6</v>
      </c>
      <c r="F1503" s="538">
        <v>4.0000000000000001E-3</v>
      </c>
      <c r="G1503" s="539">
        <f>VLOOKUP(D1503,upahbahan,3,FALSE)</f>
        <v>150000</v>
      </c>
      <c r="H1503" s="539">
        <f t="shared" si="149"/>
        <v>600</v>
      </c>
      <c r="J1503" s="536"/>
      <c r="K1503" s="824"/>
    </row>
    <row r="1504" spans="3:11" ht="25.8" customHeight="1">
      <c r="C1504" s="818">
        <v>4</v>
      </c>
      <c r="D1504" s="212" t="s">
        <v>19</v>
      </c>
      <c r="E1504" s="212" t="s">
        <v>6</v>
      </c>
      <c r="F1504" s="538">
        <v>1E-3</v>
      </c>
      <c r="G1504" s="539">
        <f>VLOOKUP(D1504,upahbahan,3,FALSE)</f>
        <v>160000</v>
      </c>
      <c r="H1504" s="539">
        <f t="shared" si="149"/>
        <v>160</v>
      </c>
      <c r="J1504" s="536"/>
      <c r="K1504" s="824"/>
    </row>
    <row r="1505" spans="3:11" ht="25.8" customHeight="1">
      <c r="C1505" s="702" t="s">
        <v>1208</v>
      </c>
      <c r="D1505" s="208"/>
      <c r="E1505" s="208"/>
      <c r="F1505" s="811"/>
      <c r="G1505" s="522"/>
      <c r="H1505" s="539">
        <f>SUM(H1501:H1504)</f>
        <v>8560</v>
      </c>
      <c r="I1505" s="819"/>
      <c r="J1505" s="536"/>
      <c r="K1505" s="824"/>
    </row>
    <row r="1506" spans="3:11" ht="25.8" customHeight="1">
      <c r="C1506" s="213" t="s">
        <v>1209</v>
      </c>
      <c r="D1506" s="212" t="s">
        <v>1210</v>
      </c>
      <c r="E1506" s="534"/>
      <c r="F1506" s="831"/>
      <c r="G1506" s="534"/>
      <c r="H1506" s="534"/>
      <c r="J1506" s="536"/>
      <c r="K1506" s="824"/>
    </row>
    <row r="1507" spans="3:11" ht="25.8" customHeight="1">
      <c r="C1507" s="833" t="s">
        <v>1203</v>
      </c>
      <c r="D1507" s="820" t="s">
        <v>858</v>
      </c>
      <c r="E1507" s="807" t="s">
        <v>113</v>
      </c>
      <c r="F1507" s="538">
        <v>1.2</v>
      </c>
      <c r="G1507" s="539">
        <f>VLOOKUP(D1507,upahbahan,3,FALSE)</f>
        <v>35200</v>
      </c>
      <c r="H1507" s="539">
        <f>F1507*G1507</f>
        <v>42240</v>
      </c>
      <c r="J1507" s="536"/>
      <c r="K1507" s="824"/>
    </row>
    <row r="1508" spans="3:11" ht="25.8" customHeight="1">
      <c r="C1508" s="702" t="s">
        <v>1214</v>
      </c>
      <c r="D1508" s="208"/>
      <c r="E1508" s="208"/>
      <c r="F1508" s="208"/>
      <c r="G1508" s="209"/>
      <c r="H1508" s="539">
        <f>SUM(H1507:H1507)</f>
        <v>42240</v>
      </c>
      <c r="J1508" s="536"/>
      <c r="K1508" s="824"/>
    </row>
    <row r="1509" spans="3:11" ht="25.8" customHeight="1">
      <c r="C1509" s="213" t="s">
        <v>1215</v>
      </c>
      <c r="D1509" s="212" t="s">
        <v>1216</v>
      </c>
      <c r="E1509" s="534"/>
      <c r="F1509" s="534"/>
      <c r="G1509" s="534"/>
      <c r="H1509" s="534"/>
      <c r="J1509" s="536"/>
      <c r="K1509" s="824"/>
    </row>
    <row r="1510" spans="3:11" ht="25.8" customHeight="1">
      <c r="C1510" s="702" t="s">
        <v>1217</v>
      </c>
      <c r="D1510" s="208"/>
      <c r="E1510" s="208"/>
      <c r="F1510" s="208"/>
      <c r="G1510" s="209"/>
      <c r="H1510" s="821">
        <v>0</v>
      </c>
      <c r="J1510" s="536"/>
      <c r="K1510" s="824"/>
    </row>
    <row r="1511" spans="3:11" ht="25.8" customHeight="1">
      <c r="C1511" s="566" t="s">
        <v>1218</v>
      </c>
      <c r="D1511" s="552" t="s">
        <v>1219</v>
      </c>
      <c r="E1511" s="553"/>
      <c r="F1511" s="553"/>
      <c r="G1511" s="554"/>
      <c r="H1511" s="826">
        <f>H1510+H1508+H1505</f>
        <v>50800</v>
      </c>
      <c r="I1511" s="827"/>
      <c r="J1511" s="536"/>
      <c r="K1511" s="824"/>
    </row>
    <row r="1512" spans="3:11" ht="25.8" customHeight="1">
      <c r="C1512" s="566" t="s">
        <v>1220</v>
      </c>
      <c r="D1512" s="552" t="s">
        <v>1321</v>
      </c>
      <c r="E1512" s="553"/>
      <c r="F1512" s="554"/>
      <c r="G1512" s="555">
        <f>$M$9</f>
        <v>0.1</v>
      </c>
      <c r="H1512" s="539">
        <f>H1511*G1512</f>
        <v>5080</v>
      </c>
      <c r="I1512" s="827"/>
      <c r="J1512" s="536"/>
      <c r="K1512" s="824"/>
    </row>
    <row r="1513" spans="3:11" ht="25.8" customHeight="1">
      <c r="C1513" s="566" t="s">
        <v>1221</v>
      </c>
      <c r="D1513" s="552" t="s">
        <v>1222</v>
      </c>
      <c r="E1513" s="553"/>
      <c r="F1513" s="553"/>
      <c r="G1513" s="554"/>
      <c r="H1513" s="828">
        <f>SUM(H1511:H1512)</f>
        <v>55880</v>
      </c>
      <c r="I1513" s="827"/>
      <c r="J1513" s="536"/>
      <c r="K1513" s="824"/>
    </row>
    <row r="1514" spans="3:11" ht="25.8" customHeight="1">
      <c r="J1514" s="536"/>
      <c r="K1514" s="824"/>
    </row>
    <row r="1515" spans="3:11" ht="25.8" customHeight="1">
      <c r="C1515" s="513" t="s">
        <v>3328</v>
      </c>
      <c r="D1515" s="817" t="s">
        <v>1710</v>
      </c>
      <c r="E1515" s="803"/>
      <c r="F1515" s="803"/>
      <c r="G1515" s="803"/>
      <c r="H1515" s="803"/>
      <c r="I1515" s="533">
        <f>ROUNDDOWN(H1530,-2)</f>
        <v>66600</v>
      </c>
      <c r="J1515" s="536"/>
      <c r="K1515" s="824"/>
    </row>
    <row r="1516" spans="3:11" ht="25.8" customHeight="1">
      <c r="C1516" s="716" t="s">
        <v>1195</v>
      </c>
      <c r="D1516" s="716" t="s">
        <v>1196</v>
      </c>
      <c r="E1516" s="716" t="s">
        <v>1197</v>
      </c>
      <c r="F1516" s="716" t="s">
        <v>1198</v>
      </c>
      <c r="G1516" s="716" t="s">
        <v>1199</v>
      </c>
      <c r="H1516" s="716" t="s">
        <v>1200</v>
      </c>
      <c r="J1516" s="536"/>
      <c r="K1516" s="824"/>
    </row>
    <row r="1517" spans="3:11" ht="25.8" customHeight="1">
      <c r="C1517" s="213" t="s">
        <v>1201</v>
      </c>
      <c r="D1517" s="212" t="s">
        <v>1202</v>
      </c>
      <c r="E1517" s="534"/>
      <c r="F1517" s="534"/>
      <c r="G1517" s="534"/>
      <c r="H1517" s="534"/>
      <c r="J1517" s="536"/>
      <c r="K1517" s="824"/>
    </row>
    <row r="1518" spans="3:11" ht="25.8" customHeight="1">
      <c r="C1518" s="818">
        <v>1</v>
      </c>
      <c r="D1518" s="212" t="s">
        <v>5</v>
      </c>
      <c r="E1518" s="212" t="s">
        <v>6</v>
      </c>
      <c r="F1518" s="538">
        <v>2.4E-2</v>
      </c>
      <c r="G1518" s="539">
        <f>VLOOKUP(D1518,upahbahan,3,FALSE)</f>
        <v>100000</v>
      </c>
      <c r="H1518" s="539">
        <f>F1518*G1518</f>
        <v>2400</v>
      </c>
      <c r="J1518" s="536"/>
      <c r="K1518" s="824"/>
    </row>
    <row r="1519" spans="3:11" ht="25.8" customHeight="1">
      <c r="C1519" s="818">
        <v>2</v>
      </c>
      <c r="D1519" s="212" t="str">
        <f>D1502</f>
        <v>Tukang listrik</v>
      </c>
      <c r="E1519" s="212" t="s">
        <v>6</v>
      </c>
      <c r="F1519" s="538">
        <v>0.04</v>
      </c>
      <c r="G1519" s="539">
        <f>VLOOKUP(D1519,upahbahan,3,FALSE)</f>
        <v>135000</v>
      </c>
      <c r="H1519" s="539">
        <f t="shared" ref="H1519:H1521" si="150">F1519*G1519</f>
        <v>5400</v>
      </c>
      <c r="J1519" s="536"/>
      <c r="K1519" s="824"/>
    </row>
    <row r="1520" spans="3:11" ht="25.8" customHeight="1">
      <c r="C1520" s="818">
        <v>3</v>
      </c>
      <c r="D1520" s="212" t="s">
        <v>18</v>
      </c>
      <c r="E1520" s="212" t="s">
        <v>6</v>
      </c>
      <c r="F1520" s="538">
        <v>4.0000000000000001E-3</v>
      </c>
      <c r="G1520" s="539">
        <f>VLOOKUP(D1520,upahbahan,3,FALSE)</f>
        <v>150000</v>
      </c>
      <c r="H1520" s="539">
        <f t="shared" si="150"/>
        <v>600</v>
      </c>
      <c r="J1520" s="536"/>
      <c r="K1520" s="824"/>
    </row>
    <row r="1521" spans="3:11" ht="25.8" customHeight="1">
      <c r="C1521" s="818">
        <v>4</v>
      </c>
      <c r="D1521" s="212" t="s">
        <v>19</v>
      </c>
      <c r="E1521" s="212" t="s">
        <v>6</v>
      </c>
      <c r="F1521" s="538">
        <v>1E-3</v>
      </c>
      <c r="G1521" s="539">
        <f>VLOOKUP(D1521,upahbahan,3,FALSE)</f>
        <v>160000</v>
      </c>
      <c r="H1521" s="539">
        <f t="shared" si="150"/>
        <v>160</v>
      </c>
      <c r="J1521" s="536"/>
      <c r="K1521" s="824"/>
    </row>
    <row r="1522" spans="3:11" ht="25.8" customHeight="1">
      <c r="C1522" s="702" t="s">
        <v>1208</v>
      </c>
      <c r="D1522" s="208"/>
      <c r="E1522" s="208"/>
      <c r="F1522" s="811"/>
      <c r="G1522" s="522"/>
      <c r="H1522" s="539">
        <f>SUM(H1518:H1521)</f>
        <v>8560</v>
      </c>
      <c r="I1522" s="819"/>
      <c r="J1522" s="536"/>
      <c r="K1522" s="824"/>
    </row>
    <row r="1523" spans="3:11" ht="25.8" customHeight="1">
      <c r="C1523" s="213" t="s">
        <v>1209</v>
      </c>
      <c r="D1523" s="212" t="s">
        <v>1210</v>
      </c>
      <c r="E1523" s="534"/>
      <c r="F1523" s="831"/>
      <c r="G1523" s="534"/>
      <c r="H1523" s="534"/>
      <c r="J1523" s="536"/>
      <c r="K1523" s="824"/>
    </row>
    <row r="1524" spans="3:11" ht="25.8" customHeight="1">
      <c r="C1524" s="833" t="s">
        <v>1203</v>
      </c>
      <c r="D1524" s="820" t="s">
        <v>859</v>
      </c>
      <c r="E1524" s="807" t="s">
        <v>113</v>
      </c>
      <c r="F1524" s="538">
        <v>1.2</v>
      </c>
      <c r="G1524" s="539">
        <f>VLOOKUP(D1524,upahbahan,3,FALSE)</f>
        <v>43350</v>
      </c>
      <c r="H1524" s="539">
        <f>F1524*G1524</f>
        <v>52020</v>
      </c>
      <c r="J1524" s="536"/>
      <c r="K1524" s="824"/>
    </row>
    <row r="1525" spans="3:11" ht="25.8" customHeight="1">
      <c r="C1525" s="702" t="s">
        <v>1214</v>
      </c>
      <c r="D1525" s="208"/>
      <c r="E1525" s="208"/>
      <c r="F1525" s="208"/>
      <c r="G1525" s="209"/>
      <c r="H1525" s="539">
        <f>SUM(H1524:H1524)</f>
        <v>52020</v>
      </c>
      <c r="J1525" s="536"/>
      <c r="K1525" s="824"/>
    </row>
    <row r="1526" spans="3:11" ht="25.8" customHeight="1">
      <c r="C1526" s="213" t="s">
        <v>1215</v>
      </c>
      <c r="D1526" s="212" t="s">
        <v>1216</v>
      </c>
      <c r="E1526" s="534"/>
      <c r="F1526" s="534"/>
      <c r="G1526" s="534"/>
      <c r="H1526" s="534"/>
      <c r="J1526" s="536"/>
      <c r="K1526" s="824"/>
    </row>
    <row r="1527" spans="3:11" ht="25.8" customHeight="1">
      <c r="C1527" s="702" t="s">
        <v>1217</v>
      </c>
      <c r="D1527" s="208"/>
      <c r="E1527" s="208"/>
      <c r="F1527" s="208"/>
      <c r="G1527" s="209"/>
      <c r="H1527" s="821">
        <v>0</v>
      </c>
      <c r="J1527" s="536"/>
      <c r="K1527" s="824"/>
    </row>
    <row r="1528" spans="3:11" ht="25.8" customHeight="1">
      <c r="C1528" s="566" t="s">
        <v>1218</v>
      </c>
      <c r="D1528" s="552" t="s">
        <v>1219</v>
      </c>
      <c r="E1528" s="553"/>
      <c r="F1528" s="553"/>
      <c r="G1528" s="554"/>
      <c r="H1528" s="826">
        <f>H1527+H1525+H1522</f>
        <v>60580</v>
      </c>
      <c r="I1528" s="827"/>
      <c r="J1528" s="536"/>
      <c r="K1528" s="824"/>
    </row>
    <row r="1529" spans="3:11" ht="25.8" customHeight="1">
      <c r="C1529" s="566" t="s">
        <v>1220</v>
      </c>
      <c r="D1529" s="552" t="s">
        <v>1321</v>
      </c>
      <c r="E1529" s="553"/>
      <c r="F1529" s="554"/>
      <c r="G1529" s="555">
        <f>$M$9</f>
        <v>0.1</v>
      </c>
      <c r="H1529" s="539">
        <f>H1528*G1529</f>
        <v>6058</v>
      </c>
      <c r="I1529" s="827"/>
      <c r="J1529" s="536"/>
      <c r="K1529" s="824"/>
    </row>
    <row r="1530" spans="3:11" ht="25.8" customHeight="1">
      <c r="C1530" s="566" t="s">
        <v>1221</v>
      </c>
      <c r="D1530" s="552" t="s">
        <v>1222</v>
      </c>
      <c r="E1530" s="553"/>
      <c r="F1530" s="553"/>
      <c r="G1530" s="554"/>
      <c r="H1530" s="828">
        <f>SUM(H1528:H1529)</f>
        <v>66638</v>
      </c>
      <c r="I1530" s="827"/>
      <c r="J1530" s="536"/>
      <c r="K1530" s="824"/>
    </row>
    <row r="1531" spans="3:11" ht="25.8" customHeight="1">
      <c r="J1531" s="536"/>
      <c r="K1531" s="824"/>
    </row>
    <row r="1532" spans="3:11" ht="25.8" customHeight="1">
      <c r="C1532" s="513" t="s">
        <v>3329</v>
      </c>
      <c r="D1532" s="817" t="s">
        <v>1711</v>
      </c>
      <c r="E1532" s="803"/>
      <c r="F1532" s="803"/>
      <c r="G1532" s="803"/>
      <c r="H1532" s="803"/>
      <c r="I1532" s="533">
        <f>ROUNDDOWN(H1547,-2)</f>
        <v>89600</v>
      </c>
      <c r="J1532" s="536"/>
      <c r="K1532" s="824"/>
    </row>
    <row r="1533" spans="3:11" ht="25.8" customHeight="1">
      <c r="C1533" s="716" t="s">
        <v>1195</v>
      </c>
      <c r="D1533" s="716" t="s">
        <v>1196</v>
      </c>
      <c r="E1533" s="716" t="s">
        <v>1197</v>
      </c>
      <c r="F1533" s="716" t="s">
        <v>1198</v>
      </c>
      <c r="G1533" s="716" t="s">
        <v>1199</v>
      </c>
      <c r="H1533" s="716" t="s">
        <v>1200</v>
      </c>
      <c r="J1533" s="536"/>
      <c r="K1533" s="824"/>
    </row>
    <row r="1534" spans="3:11" ht="25.8" customHeight="1">
      <c r="C1534" s="213" t="s">
        <v>1201</v>
      </c>
      <c r="D1534" s="212" t="s">
        <v>1202</v>
      </c>
      <c r="E1534" s="534"/>
      <c r="F1534" s="534"/>
      <c r="G1534" s="534"/>
      <c r="H1534" s="534"/>
      <c r="J1534" s="536"/>
      <c r="K1534" s="824"/>
    </row>
    <row r="1535" spans="3:11" ht="25.8" customHeight="1">
      <c r="C1535" s="818">
        <v>1</v>
      </c>
      <c r="D1535" s="212" t="s">
        <v>5</v>
      </c>
      <c r="E1535" s="212" t="s">
        <v>6</v>
      </c>
      <c r="F1535" s="538">
        <v>2.4E-2</v>
      </c>
      <c r="G1535" s="539">
        <f>VLOOKUP(D1535,upahbahan,3,FALSE)</f>
        <v>100000</v>
      </c>
      <c r="H1535" s="539">
        <f>F1535*G1535</f>
        <v>2400</v>
      </c>
      <c r="J1535" s="536"/>
      <c r="K1535" s="824"/>
    </row>
    <row r="1536" spans="3:11" ht="25.8" customHeight="1">
      <c r="C1536" s="818">
        <v>2</v>
      </c>
      <c r="D1536" s="212" t="str">
        <f>D1519</f>
        <v>Tukang listrik</v>
      </c>
      <c r="E1536" s="212" t="s">
        <v>6</v>
      </c>
      <c r="F1536" s="538">
        <v>0.04</v>
      </c>
      <c r="G1536" s="539">
        <f>VLOOKUP(D1536,upahbahan,3,FALSE)</f>
        <v>135000</v>
      </c>
      <c r="H1536" s="539">
        <f>F1536*G1536</f>
        <v>5400</v>
      </c>
      <c r="J1536" s="536"/>
      <c r="K1536" s="824"/>
    </row>
    <row r="1537" spans="3:11" ht="25.8" customHeight="1">
      <c r="C1537" s="818">
        <v>3</v>
      </c>
      <c r="D1537" s="212" t="s">
        <v>18</v>
      </c>
      <c r="E1537" s="212" t="s">
        <v>6</v>
      </c>
      <c r="F1537" s="538">
        <v>4.0000000000000001E-3</v>
      </c>
      <c r="G1537" s="539">
        <f>VLOOKUP(D1537,upahbahan,3,FALSE)</f>
        <v>150000</v>
      </c>
      <c r="H1537" s="539">
        <f t="shared" ref="H1537:H1538" si="151">F1537*G1537</f>
        <v>600</v>
      </c>
      <c r="J1537" s="536"/>
      <c r="K1537" s="824"/>
    </row>
    <row r="1538" spans="3:11" ht="25.8" customHeight="1">
      <c r="C1538" s="818">
        <v>4</v>
      </c>
      <c r="D1538" s="212" t="s">
        <v>19</v>
      </c>
      <c r="E1538" s="212" t="s">
        <v>6</v>
      </c>
      <c r="F1538" s="538">
        <v>1E-3</v>
      </c>
      <c r="G1538" s="539">
        <f>VLOOKUP(D1538,upahbahan,3,FALSE)</f>
        <v>160000</v>
      </c>
      <c r="H1538" s="539">
        <f t="shared" si="151"/>
        <v>160</v>
      </c>
      <c r="J1538" s="536"/>
      <c r="K1538" s="824"/>
    </row>
    <row r="1539" spans="3:11" ht="25.8" customHeight="1">
      <c r="C1539" s="702" t="s">
        <v>1208</v>
      </c>
      <c r="D1539" s="208"/>
      <c r="E1539" s="208"/>
      <c r="F1539" s="811"/>
      <c r="G1539" s="522"/>
      <c r="H1539" s="539">
        <f>SUM(H1535:H1538)</f>
        <v>8560</v>
      </c>
      <c r="I1539" s="819"/>
      <c r="J1539" s="536"/>
      <c r="K1539" s="824"/>
    </row>
    <row r="1540" spans="3:11" ht="25.8" customHeight="1">
      <c r="C1540" s="213" t="s">
        <v>1209</v>
      </c>
      <c r="D1540" s="212" t="s">
        <v>1210</v>
      </c>
      <c r="E1540" s="534"/>
      <c r="F1540" s="831"/>
      <c r="G1540" s="534"/>
      <c r="H1540" s="534"/>
      <c r="J1540" s="536"/>
      <c r="K1540" s="824"/>
    </row>
    <row r="1541" spans="3:11" ht="25.8" customHeight="1">
      <c r="C1541" s="833" t="s">
        <v>1203</v>
      </c>
      <c r="D1541" s="820" t="s">
        <v>855</v>
      </c>
      <c r="E1541" s="807" t="s">
        <v>113</v>
      </c>
      <c r="F1541" s="538">
        <v>1.2</v>
      </c>
      <c r="G1541" s="539">
        <f>VLOOKUP(D1541,upahbahan,3,FALSE)</f>
        <v>60750</v>
      </c>
      <c r="H1541" s="539">
        <f t="shared" ref="H1541" si="152">F1541*G1541</f>
        <v>72900</v>
      </c>
      <c r="J1541" s="536"/>
      <c r="K1541" s="824"/>
    </row>
    <row r="1542" spans="3:11" ht="25.8" customHeight="1">
      <c r="C1542" s="702" t="s">
        <v>1214</v>
      </c>
      <c r="D1542" s="208"/>
      <c r="E1542" s="208"/>
      <c r="F1542" s="208"/>
      <c r="G1542" s="209"/>
      <c r="H1542" s="539">
        <f>SUM(H1541:H1541)</f>
        <v>72900</v>
      </c>
      <c r="J1542" s="536"/>
      <c r="K1542" s="824"/>
    </row>
    <row r="1543" spans="3:11" ht="25.8" customHeight="1">
      <c r="C1543" s="213" t="s">
        <v>1215</v>
      </c>
      <c r="D1543" s="212" t="s">
        <v>1216</v>
      </c>
      <c r="E1543" s="534"/>
      <c r="F1543" s="534"/>
      <c r="G1543" s="534"/>
      <c r="H1543" s="534"/>
      <c r="J1543" s="536"/>
      <c r="K1543" s="824"/>
    </row>
    <row r="1544" spans="3:11" ht="25.8" customHeight="1">
      <c r="C1544" s="702" t="s">
        <v>1217</v>
      </c>
      <c r="D1544" s="208"/>
      <c r="E1544" s="208"/>
      <c r="F1544" s="208"/>
      <c r="G1544" s="209"/>
      <c r="H1544" s="821">
        <v>0</v>
      </c>
      <c r="J1544" s="536"/>
      <c r="K1544" s="824"/>
    </row>
    <row r="1545" spans="3:11" ht="25.8" customHeight="1">
      <c r="C1545" s="566" t="s">
        <v>1218</v>
      </c>
      <c r="D1545" s="552" t="s">
        <v>1219</v>
      </c>
      <c r="E1545" s="553"/>
      <c r="F1545" s="553"/>
      <c r="G1545" s="554"/>
      <c r="H1545" s="826">
        <f>H1544+H1542+H1539</f>
        <v>81460</v>
      </c>
      <c r="I1545" s="827"/>
      <c r="J1545" s="536"/>
      <c r="K1545" s="824"/>
    </row>
    <row r="1546" spans="3:11" ht="25.8" customHeight="1">
      <c r="C1546" s="566" t="s">
        <v>1220</v>
      </c>
      <c r="D1546" s="552" t="s">
        <v>1321</v>
      </c>
      <c r="E1546" s="553"/>
      <c r="F1546" s="554"/>
      <c r="G1546" s="555">
        <f>$M$9</f>
        <v>0.1</v>
      </c>
      <c r="H1546" s="539">
        <f>H1545*G1546</f>
        <v>8146</v>
      </c>
      <c r="I1546" s="827"/>
      <c r="J1546" s="536"/>
      <c r="K1546" s="824"/>
    </row>
    <row r="1547" spans="3:11" ht="25.8" customHeight="1">
      <c r="C1547" s="566" t="s">
        <v>1221</v>
      </c>
      <c r="D1547" s="552" t="s">
        <v>1222</v>
      </c>
      <c r="E1547" s="553"/>
      <c r="F1547" s="553"/>
      <c r="G1547" s="554"/>
      <c r="H1547" s="828">
        <f>SUM(H1545:H1546)</f>
        <v>89606</v>
      </c>
      <c r="I1547" s="827"/>
      <c r="J1547" s="536"/>
      <c r="K1547" s="824"/>
    </row>
    <row r="1548" spans="3:11" ht="25.8" customHeight="1">
      <c r="J1548" s="536"/>
      <c r="K1548" s="824"/>
    </row>
    <row r="1549" spans="3:11" ht="25.8" customHeight="1">
      <c r="C1549" s="513" t="s">
        <v>3330</v>
      </c>
      <c r="D1549" s="817" t="s">
        <v>1712</v>
      </c>
      <c r="E1549" s="803"/>
      <c r="F1549" s="803"/>
      <c r="G1549" s="803"/>
      <c r="H1549" s="803"/>
      <c r="I1549" s="533">
        <f>ROUNDDOWN(H1564,-2)</f>
        <v>117600</v>
      </c>
      <c r="J1549" s="536"/>
      <c r="K1549" s="824"/>
    </row>
    <row r="1550" spans="3:11" ht="25.8" customHeight="1">
      <c r="C1550" s="716" t="s">
        <v>1195</v>
      </c>
      <c r="D1550" s="716" t="s">
        <v>1196</v>
      </c>
      <c r="E1550" s="716" t="s">
        <v>1197</v>
      </c>
      <c r="F1550" s="716" t="s">
        <v>1198</v>
      </c>
      <c r="G1550" s="716" t="s">
        <v>1199</v>
      </c>
      <c r="H1550" s="716" t="s">
        <v>1200</v>
      </c>
      <c r="J1550" s="536"/>
      <c r="K1550" s="824"/>
    </row>
    <row r="1551" spans="3:11" ht="25.8" customHeight="1">
      <c r="C1551" s="213" t="s">
        <v>1201</v>
      </c>
      <c r="D1551" s="212" t="s">
        <v>1202</v>
      </c>
      <c r="E1551" s="534"/>
      <c r="F1551" s="534"/>
      <c r="G1551" s="534"/>
      <c r="H1551" s="534"/>
      <c r="J1551" s="536"/>
      <c r="K1551" s="824"/>
    </row>
    <row r="1552" spans="3:11" ht="25.8" customHeight="1">
      <c r="C1552" s="818">
        <v>1</v>
      </c>
      <c r="D1552" s="212" t="s">
        <v>5</v>
      </c>
      <c r="E1552" s="212" t="s">
        <v>6</v>
      </c>
      <c r="F1552" s="538">
        <v>2.4E-2</v>
      </c>
      <c r="G1552" s="539">
        <f>VLOOKUP(D1552,upahbahan,3,FALSE)</f>
        <v>100000</v>
      </c>
      <c r="H1552" s="539">
        <f t="shared" ref="H1552:H1555" si="153">F1552*G1552</f>
        <v>2400</v>
      </c>
      <c r="J1552" s="536"/>
      <c r="K1552" s="824"/>
    </row>
    <row r="1553" spans="3:11" ht="25.8" customHeight="1">
      <c r="C1553" s="818">
        <v>2</v>
      </c>
      <c r="D1553" s="212" t="str">
        <f>D1536</f>
        <v>Tukang listrik</v>
      </c>
      <c r="E1553" s="212" t="s">
        <v>6</v>
      </c>
      <c r="F1553" s="538">
        <v>0.04</v>
      </c>
      <c r="G1553" s="539">
        <f>VLOOKUP(D1553,upahbahan,3,FALSE)</f>
        <v>135000</v>
      </c>
      <c r="H1553" s="539">
        <f t="shared" si="153"/>
        <v>5400</v>
      </c>
      <c r="J1553" s="536"/>
      <c r="K1553" s="824"/>
    </row>
    <row r="1554" spans="3:11" ht="25.8" customHeight="1">
      <c r="C1554" s="818">
        <v>3</v>
      </c>
      <c r="D1554" s="212" t="s">
        <v>18</v>
      </c>
      <c r="E1554" s="212" t="s">
        <v>6</v>
      </c>
      <c r="F1554" s="538">
        <v>4.0000000000000001E-3</v>
      </c>
      <c r="G1554" s="539">
        <f>VLOOKUP(D1554,upahbahan,3,FALSE)</f>
        <v>150000</v>
      </c>
      <c r="H1554" s="539">
        <f t="shared" si="153"/>
        <v>600</v>
      </c>
      <c r="J1554" s="536"/>
      <c r="K1554" s="824"/>
    </row>
    <row r="1555" spans="3:11" ht="25.8" customHeight="1">
      <c r="C1555" s="818">
        <v>4</v>
      </c>
      <c r="D1555" s="212" t="s">
        <v>19</v>
      </c>
      <c r="E1555" s="212" t="s">
        <v>6</v>
      </c>
      <c r="F1555" s="538">
        <v>1E-3</v>
      </c>
      <c r="G1555" s="539">
        <f>VLOOKUP(D1555,upahbahan,3,FALSE)</f>
        <v>160000</v>
      </c>
      <c r="H1555" s="539">
        <f t="shared" si="153"/>
        <v>160</v>
      </c>
      <c r="J1555" s="536"/>
      <c r="K1555" s="824"/>
    </row>
    <row r="1556" spans="3:11" ht="25.8" customHeight="1">
      <c r="C1556" s="702" t="s">
        <v>1208</v>
      </c>
      <c r="D1556" s="208"/>
      <c r="E1556" s="208"/>
      <c r="F1556" s="811"/>
      <c r="G1556" s="522"/>
      <c r="H1556" s="539">
        <f>SUM(H1552:H1555)</f>
        <v>8560</v>
      </c>
      <c r="I1556" s="819"/>
      <c r="J1556" s="536"/>
      <c r="K1556" s="824"/>
    </row>
    <row r="1557" spans="3:11" ht="25.8" customHeight="1">
      <c r="C1557" s="213" t="s">
        <v>1209</v>
      </c>
      <c r="D1557" s="212" t="s">
        <v>1210</v>
      </c>
      <c r="E1557" s="534"/>
      <c r="F1557" s="831"/>
      <c r="G1557" s="534"/>
      <c r="H1557" s="534"/>
      <c r="J1557" s="536"/>
      <c r="K1557" s="824"/>
    </row>
    <row r="1558" spans="3:11" ht="25.8" customHeight="1">
      <c r="C1558" s="833" t="s">
        <v>1203</v>
      </c>
      <c r="D1558" s="820" t="s">
        <v>856</v>
      </c>
      <c r="E1558" s="807" t="s">
        <v>113</v>
      </c>
      <c r="F1558" s="538">
        <v>1.2</v>
      </c>
      <c r="G1558" s="539">
        <f>VLOOKUP(D1558,upahbahan,3,FALSE)</f>
        <v>82000</v>
      </c>
      <c r="H1558" s="539">
        <f t="shared" ref="H1558" si="154">F1558*G1558</f>
        <v>98400</v>
      </c>
      <c r="J1558" s="536"/>
      <c r="K1558" s="824"/>
    </row>
    <row r="1559" spans="3:11" ht="25.8" customHeight="1">
      <c r="C1559" s="702" t="s">
        <v>1214</v>
      </c>
      <c r="D1559" s="208"/>
      <c r="E1559" s="208"/>
      <c r="F1559" s="208"/>
      <c r="G1559" s="209"/>
      <c r="H1559" s="539">
        <f>SUM(H1558:H1558)</f>
        <v>98400</v>
      </c>
      <c r="J1559" s="536"/>
      <c r="K1559" s="824"/>
    </row>
    <row r="1560" spans="3:11" ht="25.8" customHeight="1">
      <c r="C1560" s="213" t="s">
        <v>1215</v>
      </c>
      <c r="D1560" s="212" t="s">
        <v>1216</v>
      </c>
      <c r="E1560" s="534"/>
      <c r="F1560" s="534"/>
      <c r="G1560" s="534"/>
      <c r="H1560" s="534"/>
      <c r="J1560" s="536"/>
      <c r="K1560" s="824"/>
    </row>
    <row r="1561" spans="3:11" ht="25.8" customHeight="1">
      <c r="C1561" s="702" t="s">
        <v>1217</v>
      </c>
      <c r="D1561" s="208"/>
      <c r="E1561" s="208"/>
      <c r="F1561" s="208"/>
      <c r="G1561" s="209"/>
      <c r="H1561" s="821">
        <v>0</v>
      </c>
      <c r="J1561" s="536"/>
      <c r="K1561" s="824"/>
    </row>
    <row r="1562" spans="3:11" ht="25.8" customHeight="1">
      <c r="C1562" s="566" t="s">
        <v>1218</v>
      </c>
      <c r="D1562" s="552" t="s">
        <v>1219</v>
      </c>
      <c r="E1562" s="553"/>
      <c r="F1562" s="553"/>
      <c r="G1562" s="554"/>
      <c r="H1562" s="826">
        <f>H1561+H1559+H1556</f>
        <v>106960</v>
      </c>
      <c r="I1562" s="827"/>
      <c r="J1562" s="536"/>
      <c r="K1562" s="824"/>
    </row>
    <row r="1563" spans="3:11" ht="25.8" customHeight="1">
      <c r="C1563" s="566" t="s">
        <v>1220</v>
      </c>
      <c r="D1563" s="552" t="s">
        <v>1321</v>
      </c>
      <c r="E1563" s="553"/>
      <c r="F1563" s="554"/>
      <c r="G1563" s="555">
        <f>$M$9</f>
        <v>0.1</v>
      </c>
      <c r="H1563" s="539">
        <f>H1562*G1563</f>
        <v>10696</v>
      </c>
      <c r="I1563" s="827"/>
      <c r="J1563" s="536"/>
      <c r="K1563" s="824"/>
    </row>
    <row r="1564" spans="3:11" ht="25.8" customHeight="1">
      <c r="C1564" s="566" t="s">
        <v>1221</v>
      </c>
      <c r="D1564" s="552" t="s">
        <v>1222</v>
      </c>
      <c r="E1564" s="553"/>
      <c r="F1564" s="553"/>
      <c r="G1564" s="554"/>
      <c r="H1564" s="828">
        <f>SUM(H1562:H1563)</f>
        <v>117656</v>
      </c>
      <c r="I1564" s="827"/>
      <c r="J1564" s="536"/>
      <c r="K1564" s="824"/>
    </row>
    <row r="1565" spans="3:11" ht="25.8" customHeight="1">
      <c r="J1565" s="536"/>
      <c r="K1565" s="824"/>
    </row>
    <row r="1566" spans="3:11" ht="25.8" customHeight="1">
      <c r="C1566" s="513" t="s">
        <v>3331</v>
      </c>
      <c r="D1566" s="817" t="s">
        <v>1713</v>
      </c>
      <c r="E1566" s="803"/>
      <c r="F1566" s="803"/>
      <c r="G1566" s="803"/>
      <c r="H1566" s="803"/>
      <c r="I1566" s="533">
        <f>ROUNDDOWN(H1581,-2)</f>
        <v>47000</v>
      </c>
      <c r="J1566" s="536"/>
      <c r="K1566" s="824"/>
    </row>
    <row r="1567" spans="3:11" ht="25.8" customHeight="1">
      <c r="C1567" s="716" t="s">
        <v>1195</v>
      </c>
      <c r="D1567" s="716" t="s">
        <v>1196</v>
      </c>
      <c r="E1567" s="716" t="s">
        <v>1197</v>
      </c>
      <c r="F1567" s="716" t="s">
        <v>1198</v>
      </c>
      <c r="G1567" s="716" t="s">
        <v>1199</v>
      </c>
      <c r="H1567" s="716" t="s">
        <v>1200</v>
      </c>
      <c r="J1567" s="536"/>
      <c r="K1567" s="824"/>
    </row>
    <row r="1568" spans="3:11" ht="25.8" customHeight="1">
      <c r="C1568" s="213" t="s">
        <v>1201</v>
      </c>
      <c r="D1568" s="212" t="s">
        <v>1202</v>
      </c>
      <c r="E1568" s="534"/>
      <c r="F1568" s="534"/>
      <c r="G1568" s="534"/>
      <c r="H1568" s="534"/>
      <c r="J1568" s="536"/>
      <c r="K1568" s="824"/>
    </row>
    <row r="1569" spans="3:11" ht="25.8" customHeight="1">
      <c r="C1569" s="818">
        <v>1</v>
      </c>
      <c r="D1569" s="212" t="s">
        <v>5</v>
      </c>
      <c r="E1569" s="212" t="s">
        <v>6</v>
      </c>
      <c r="F1569" s="538">
        <v>2.4E-2</v>
      </c>
      <c r="G1569" s="539">
        <f>VLOOKUP(D1569,upahbahan,3,FALSE)</f>
        <v>100000</v>
      </c>
      <c r="H1569" s="539">
        <f t="shared" ref="H1569:H1572" si="155">F1569*G1569</f>
        <v>2400</v>
      </c>
      <c r="J1569" s="536"/>
      <c r="K1569" s="824"/>
    </row>
    <row r="1570" spans="3:11" ht="25.8" customHeight="1">
      <c r="C1570" s="818">
        <v>2</v>
      </c>
      <c r="D1570" s="212" t="str">
        <f>D1553</f>
        <v>Tukang listrik</v>
      </c>
      <c r="E1570" s="212" t="s">
        <v>6</v>
      </c>
      <c r="F1570" s="538">
        <v>0.04</v>
      </c>
      <c r="G1570" s="539">
        <f>VLOOKUP(D1570,upahbahan,3,FALSE)</f>
        <v>135000</v>
      </c>
      <c r="H1570" s="539">
        <f t="shared" si="155"/>
        <v>5400</v>
      </c>
      <c r="J1570" s="536"/>
      <c r="K1570" s="824"/>
    </row>
    <row r="1571" spans="3:11" ht="25.8" customHeight="1">
      <c r="C1571" s="818">
        <v>3</v>
      </c>
      <c r="D1571" s="212" t="s">
        <v>18</v>
      </c>
      <c r="E1571" s="212" t="s">
        <v>6</v>
      </c>
      <c r="F1571" s="538">
        <v>4.0000000000000001E-3</v>
      </c>
      <c r="G1571" s="539">
        <f>VLOOKUP(D1571,upahbahan,3,FALSE)</f>
        <v>150000</v>
      </c>
      <c r="H1571" s="539">
        <f t="shared" si="155"/>
        <v>600</v>
      </c>
      <c r="J1571" s="536"/>
      <c r="K1571" s="824"/>
    </row>
    <row r="1572" spans="3:11" ht="25.8" customHeight="1">
      <c r="C1572" s="818">
        <v>4</v>
      </c>
      <c r="D1572" s="212" t="s">
        <v>19</v>
      </c>
      <c r="E1572" s="212" t="s">
        <v>6</v>
      </c>
      <c r="F1572" s="538">
        <v>1E-3</v>
      </c>
      <c r="G1572" s="539">
        <f>VLOOKUP(D1572,upahbahan,3,FALSE)</f>
        <v>160000</v>
      </c>
      <c r="H1572" s="539">
        <f t="shared" si="155"/>
        <v>160</v>
      </c>
      <c r="J1572" s="536"/>
      <c r="K1572" s="824"/>
    </row>
    <row r="1573" spans="3:11" ht="25.8" customHeight="1">
      <c r="C1573" s="702" t="s">
        <v>1208</v>
      </c>
      <c r="D1573" s="208"/>
      <c r="E1573" s="208"/>
      <c r="F1573" s="811"/>
      <c r="G1573" s="522"/>
      <c r="H1573" s="539">
        <f>SUM(H1569:H1572)</f>
        <v>8560</v>
      </c>
      <c r="I1573" s="819"/>
      <c r="J1573" s="536"/>
      <c r="K1573" s="824"/>
    </row>
    <row r="1574" spans="3:11" ht="25.8" customHeight="1">
      <c r="C1574" s="213" t="s">
        <v>1209</v>
      </c>
      <c r="D1574" s="212" t="s">
        <v>1210</v>
      </c>
      <c r="E1574" s="534"/>
      <c r="F1574" s="831"/>
      <c r="G1574" s="534"/>
      <c r="H1574" s="534"/>
      <c r="J1574" s="536"/>
      <c r="K1574" s="824"/>
    </row>
    <row r="1575" spans="3:11" ht="25.8" customHeight="1">
      <c r="C1575" s="833" t="s">
        <v>1203</v>
      </c>
      <c r="D1575" s="820" t="s">
        <v>860</v>
      </c>
      <c r="E1575" s="807" t="s">
        <v>113</v>
      </c>
      <c r="F1575" s="538">
        <v>1.2</v>
      </c>
      <c r="G1575" s="539">
        <f>VLOOKUP(D1575,upahbahan,3,FALSE)</f>
        <v>28500</v>
      </c>
      <c r="H1575" s="539">
        <f t="shared" ref="H1575" si="156">F1575*G1575</f>
        <v>34200</v>
      </c>
      <c r="J1575" s="536"/>
      <c r="K1575" s="824"/>
    </row>
    <row r="1576" spans="3:11" ht="25.8" customHeight="1">
      <c r="C1576" s="702" t="s">
        <v>1214</v>
      </c>
      <c r="D1576" s="208"/>
      <c r="E1576" s="208"/>
      <c r="F1576" s="208"/>
      <c r="G1576" s="209"/>
      <c r="H1576" s="539">
        <f>SUM(H1575:H1575)</f>
        <v>34200</v>
      </c>
      <c r="J1576" s="536"/>
      <c r="K1576" s="824"/>
    </row>
    <row r="1577" spans="3:11" ht="25.8" customHeight="1">
      <c r="C1577" s="213" t="s">
        <v>1215</v>
      </c>
      <c r="D1577" s="212" t="s">
        <v>1216</v>
      </c>
      <c r="E1577" s="534"/>
      <c r="F1577" s="534"/>
      <c r="G1577" s="534"/>
      <c r="H1577" s="534"/>
      <c r="J1577" s="536"/>
      <c r="K1577" s="824"/>
    </row>
    <row r="1578" spans="3:11" ht="25.8" customHeight="1">
      <c r="C1578" s="702" t="s">
        <v>1217</v>
      </c>
      <c r="D1578" s="208"/>
      <c r="E1578" s="208"/>
      <c r="F1578" s="208"/>
      <c r="G1578" s="209"/>
      <c r="H1578" s="821">
        <v>0</v>
      </c>
      <c r="J1578" s="536"/>
      <c r="K1578" s="824"/>
    </row>
    <row r="1579" spans="3:11" ht="25.8" customHeight="1">
      <c r="C1579" s="566" t="s">
        <v>1218</v>
      </c>
      <c r="D1579" s="552" t="s">
        <v>1219</v>
      </c>
      <c r="E1579" s="553"/>
      <c r="F1579" s="553"/>
      <c r="G1579" s="554"/>
      <c r="H1579" s="826">
        <f>H1578+H1576+H1573</f>
        <v>42760</v>
      </c>
      <c r="I1579" s="827"/>
      <c r="J1579" s="536"/>
      <c r="K1579" s="824"/>
    </row>
    <row r="1580" spans="3:11" ht="25.8" customHeight="1">
      <c r="C1580" s="566" t="s">
        <v>1220</v>
      </c>
      <c r="D1580" s="552" t="s">
        <v>1321</v>
      </c>
      <c r="E1580" s="553"/>
      <c r="F1580" s="554"/>
      <c r="G1580" s="555">
        <f>$M$9</f>
        <v>0.1</v>
      </c>
      <c r="H1580" s="539">
        <f>H1579*G1580</f>
        <v>4276</v>
      </c>
      <c r="I1580" s="827"/>
      <c r="J1580" s="536"/>
      <c r="K1580" s="824"/>
    </row>
    <row r="1581" spans="3:11" ht="25.8" customHeight="1">
      <c r="C1581" s="566" t="s">
        <v>1221</v>
      </c>
      <c r="D1581" s="552" t="s">
        <v>1222</v>
      </c>
      <c r="E1581" s="553"/>
      <c r="F1581" s="553"/>
      <c r="G1581" s="554"/>
      <c r="H1581" s="828">
        <f>SUM(H1579:H1580)</f>
        <v>47036</v>
      </c>
      <c r="I1581" s="827"/>
      <c r="J1581" s="536"/>
      <c r="K1581" s="824"/>
    </row>
    <row r="1582" spans="3:11" ht="25.8" customHeight="1">
      <c r="J1582" s="536"/>
      <c r="K1582" s="824"/>
    </row>
    <row r="1583" spans="3:11" ht="25.8" customHeight="1">
      <c r="C1583" s="513" t="s">
        <v>3332</v>
      </c>
      <c r="D1583" s="817" t="s">
        <v>1714</v>
      </c>
      <c r="E1583" s="803"/>
      <c r="F1583" s="803"/>
      <c r="G1583" s="803"/>
      <c r="H1583" s="803"/>
      <c r="I1583" s="533">
        <f>ROUNDDOWN(H1598,-2)</f>
        <v>54900</v>
      </c>
      <c r="J1583" s="536"/>
      <c r="K1583" s="824"/>
    </row>
    <row r="1584" spans="3:11" ht="25.8" customHeight="1">
      <c r="C1584" s="716" t="s">
        <v>1195</v>
      </c>
      <c r="D1584" s="716" t="s">
        <v>1196</v>
      </c>
      <c r="E1584" s="716" t="s">
        <v>1197</v>
      </c>
      <c r="F1584" s="716" t="s">
        <v>1198</v>
      </c>
      <c r="G1584" s="716" t="s">
        <v>1199</v>
      </c>
      <c r="H1584" s="716" t="s">
        <v>1200</v>
      </c>
      <c r="J1584" s="536"/>
      <c r="K1584" s="824"/>
    </row>
    <row r="1585" spans="3:11" ht="25.8" customHeight="1">
      <c r="C1585" s="213" t="s">
        <v>1201</v>
      </c>
      <c r="D1585" s="212" t="s">
        <v>1202</v>
      </c>
      <c r="E1585" s="534"/>
      <c r="F1585" s="534"/>
      <c r="G1585" s="534"/>
      <c r="H1585" s="534"/>
      <c r="J1585" s="536"/>
      <c r="K1585" s="824"/>
    </row>
    <row r="1586" spans="3:11" ht="25.8" customHeight="1">
      <c r="C1586" s="818">
        <v>1</v>
      </c>
      <c r="D1586" s="212" t="s">
        <v>5</v>
      </c>
      <c r="E1586" s="212" t="s">
        <v>6</v>
      </c>
      <c r="F1586" s="829">
        <v>2.9000000000000001E-2</v>
      </c>
      <c r="G1586" s="539">
        <f>VLOOKUP(D1586,upahbahan,3,FALSE)</f>
        <v>100000</v>
      </c>
      <c r="H1586" s="539">
        <f t="shared" ref="H1586:H1589" si="157">F1586*G1586</f>
        <v>2900</v>
      </c>
      <c r="J1586" s="536"/>
      <c r="K1586" s="824"/>
    </row>
    <row r="1587" spans="3:11" ht="25.8" customHeight="1">
      <c r="C1587" s="818">
        <v>2</v>
      </c>
      <c r="D1587" s="212" t="str">
        <f>D1570</f>
        <v>Tukang listrik</v>
      </c>
      <c r="E1587" s="212" t="s">
        <v>6</v>
      </c>
      <c r="F1587" s="829">
        <v>4.8000000000000001E-2</v>
      </c>
      <c r="G1587" s="539">
        <f>VLOOKUP(D1587,upahbahan,3,FALSE)</f>
        <v>135000</v>
      </c>
      <c r="H1587" s="539">
        <f t="shared" si="157"/>
        <v>6480</v>
      </c>
      <c r="J1587" s="536"/>
      <c r="K1587" s="824"/>
    </row>
    <row r="1588" spans="3:11" ht="25.8" customHeight="1">
      <c r="C1588" s="818">
        <v>3</v>
      </c>
      <c r="D1588" s="212" t="s">
        <v>18</v>
      </c>
      <c r="E1588" s="212" t="s">
        <v>6</v>
      </c>
      <c r="F1588" s="829">
        <v>5.0000000000000001E-3</v>
      </c>
      <c r="G1588" s="539">
        <f>VLOOKUP(D1588,upahbahan,3,FALSE)</f>
        <v>150000</v>
      </c>
      <c r="H1588" s="539">
        <f t="shared" si="157"/>
        <v>750</v>
      </c>
      <c r="J1588" s="536"/>
      <c r="K1588" s="824"/>
    </row>
    <row r="1589" spans="3:11" ht="25.8" customHeight="1">
      <c r="C1589" s="818">
        <v>4</v>
      </c>
      <c r="D1589" s="212" t="s">
        <v>19</v>
      </c>
      <c r="E1589" s="212" t="s">
        <v>6</v>
      </c>
      <c r="F1589" s="829">
        <v>2E-3</v>
      </c>
      <c r="G1589" s="539">
        <f>VLOOKUP(D1589,upahbahan,3,FALSE)</f>
        <v>160000</v>
      </c>
      <c r="H1589" s="539">
        <f t="shared" si="157"/>
        <v>320</v>
      </c>
      <c r="J1589" s="536"/>
      <c r="K1589" s="824"/>
    </row>
    <row r="1590" spans="3:11" ht="25.8" customHeight="1">
      <c r="C1590" s="702" t="s">
        <v>1208</v>
      </c>
      <c r="D1590" s="208"/>
      <c r="E1590" s="208"/>
      <c r="F1590" s="811"/>
      <c r="G1590" s="522"/>
      <c r="H1590" s="539">
        <f>SUM(H1586:H1589)</f>
        <v>10450</v>
      </c>
      <c r="I1590" s="819"/>
      <c r="J1590" s="536"/>
      <c r="K1590" s="824"/>
    </row>
    <row r="1591" spans="3:11" ht="25.8" customHeight="1">
      <c r="C1591" s="213" t="s">
        <v>1209</v>
      </c>
      <c r="D1591" s="212" t="s">
        <v>1210</v>
      </c>
      <c r="E1591" s="534"/>
      <c r="F1591" s="831"/>
      <c r="G1591" s="534"/>
      <c r="H1591" s="534"/>
      <c r="J1591" s="536"/>
      <c r="K1591" s="824"/>
    </row>
    <row r="1592" spans="3:11" ht="25.8" customHeight="1">
      <c r="C1592" s="833" t="s">
        <v>1203</v>
      </c>
      <c r="D1592" s="820" t="s">
        <v>863</v>
      </c>
      <c r="E1592" s="807" t="s">
        <v>113</v>
      </c>
      <c r="F1592" s="538">
        <v>1.2</v>
      </c>
      <c r="G1592" s="539">
        <f>VLOOKUP(D1592,upahbahan,3,FALSE)</f>
        <v>32900</v>
      </c>
      <c r="H1592" s="539">
        <f>F1592*G1592</f>
        <v>39480</v>
      </c>
      <c r="J1592" s="536"/>
      <c r="K1592" s="824"/>
    </row>
    <row r="1593" spans="3:11" ht="25.8" customHeight="1">
      <c r="C1593" s="702" t="s">
        <v>1214</v>
      </c>
      <c r="D1593" s="208"/>
      <c r="E1593" s="208"/>
      <c r="F1593" s="208"/>
      <c r="G1593" s="209"/>
      <c r="H1593" s="539">
        <f>SUM(H1592:H1592)</f>
        <v>39480</v>
      </c>
      <c r="J1593" s="536"/>
      <c r="K1593" s="824"/>
    </row>
    <row r="1594" spans="3:11" ht="25.8" customHeight="1">
      <c r="C1594" s="213" t="s">
        <v>1215</v>
      </c>
      <c r="D1594" s="212" t="s">
        <v>1216</v>
      </c>
      <c r="E1594" s="534"/>
      <c r="F1594" s="534"/>
      <c r="G1594" s="534"/>
      <c r="H1594" s="534"/>
      <c r="J1594" s="536"/>
      <c r="K1594" s="824"/>
    </row>
    <row r="1595" spans="3:11" ht="25.8" customHeight="1">
      <c r="C1595" s="702" t="s">
        <v>1217</v>
      </c>
      <c r="D1595" s="208"/>
      <c r="E1595" s="208"/>
      <c r="F1595" s="208"/>
      <c r="G1595" s="209"/>
      <c r="H1595" s="821">
        <v>0</v>
      </c>
      <c r="J1595" s="536"/>
      <c r="K1595" s="824"/>
    </row>
    <row r="1596" spans="3:11" ht="25.8" customHeight="1">
      <c r="C1596" s="566" t="s">
        <v>1218</v>
      </c>
      <c r="D1596" s="552" t="s">
        <v>1219</v>
      </c>
      <c r="E1596" s="553"/>
      <c r="F1596" s="553"/>
      <c r="G1596" s="554"/>
      <c r="H1596" s="826">
        <f>H1595+H1593+H1590</f>
        <v>49930</v>
      </c>
      <c r="I1596" s="827"/>
      <c r="J1596" s="536"/>
      <c r="K1596" s="824"/>
    </row>
    <row r="1597" spans="3:11" ht="25.8" customHeight="1">
      <c r="C1597" s="566" t="s">
        <v>1220</v>
      </c>
      <c r="D1597" s="552" t="s">
        <v>1321</v>
      </c>
      <c r="E1597" s="553"/>
      <c r="F1597" s="554"/>
      <c r="G1597" s="555">
        <f>$M$9</f>
        <v>0.1</v>
      </c>
      <c r="H1597" s="539">
        <f>H1596*G1597</f>
        <v>4993</v>
      </c>
      <c r="I1597" s="827"/>
      <c r="J1597" s="536"/>
      <c r="K1597" s="824"/>
    </row>
    <row r="1598" spans="3:11" ht="25.8" customHeight="1">
      <c r="C1598" s="566" t="s">
        <v>1221</v>
      </c>
      <c r="D1598" s="552" t="s">
        <v>1222</v>
      </c>
      <c r="E1598" s="553"/>
      <c r="F1598" s="553"/>
      <c r="G1598" s="554"/>
      <c r="H1598" s="828">
        <f>SUM(H1596:H1597)</f>
        <v>54923</v>
      </c>
      <c r="I1598" s="827"/>
      <c r="J1598" s="536"/>
      <c r="K1598" s="824"/>
    </row>
    <row r="1599" spans="3:11" ht="25.8" customHeight="1">
      <c r="J1599" s="536"/>
      <c r="K1599" s="824"/>
    </row>
    <row r="1600" spans="3:11" ht="25.8" customHeight="1">
      <c r="C1600" s="513" t="s">
        <v>3333</v>
      </c>
      <c r="D1600" s="817" t="s">
        <v>1715</v>
      </c>
      <c r="E1600" s="803"/>
      <c r="F1600" s="803"/>
      <c r="G1600" s="803"/>
      <c r="H1600" s="803"/>
      <c r="I1600" s="533">
        <f>ROUNDDOWN(H1615,-2)</f>
        <v>76100</v>
      </c>
      <c r="J1600" s="536"/>
      <c r="K1600" s="824"/>
    </row>
    <row r="1601" spans="3:11" ht="25.8" customHeight="1">
      <c r="C1601" s="716" t="s">
        <v>1195</v>
      </c>
      <c r="D1601" s="716" t="s">
        <v>1196</v>
      </c>
      <c r="E1601" s="716" t="s">
        <v>1197</v>
      </c>
      <c r="F1601" s="716" t="s">
        <v>1198</v>
      </c>
      <c r="G1601" s="716" t="s">
        <v>1199</v>
      </c>
      <c r="H1601" s="716" t="s">
        <v>1200</v>
      </c>
      <c r="J1601" s="536"/>
      <c r="K1601" s="824"/>
    </row>
    <row r="1602" spans="3:11" ht="25.8" customHeight="1">
      <c r="C1602" s="213" t="s">
        <v>1201</v>
      </c>
      <c r="D1602" s="212" t="s">
        <v>1202</v>
      </c>
      <c r="E1602" s="534"/>
      <c r="F1602" s="534"/>
      <c r="G1602" s="534"/>
      <c r="H1602" s="534"/>
      <c r="J1602" s="536"/>
      <c r="K1602" s="824"/>
    </row>
    <row r="1603" spans="3:11" ht="25.8" customHeight="1">
      <c r="C1603" s="818">
        <v>1</v>
      </c>
      <c r="D1603" s="212" t="s">
        <v>5</v>
      </c>
      <c r="E1603" s="212" t="s">
        <v>6</v>
      </c>
      <c r="F1603" s="829">
        <v>2.9000000000000001E-2</v>
      </c>
      <c r="G1603" s="539">
        <f>VLOOKUP(D1603,upahbahan,3,FALSE)</f>
        <v>100000</v>
      </c>
      <c r="H1603" s="539">
        <f>F1603*G1603</f>
        <v>2900</v>
      </c>
      <c r="J1603" s="536"/>
      <c r="K1603" s="824"/>
    </row>
    <row r="1604" spans="3:11" ht="25.8" customHeight="1">
      <c r="C1604" s="818">
        <v>2</v>
      </c>
      <c r="D1604" s="212" t="str">
        <f>D1587</f>
        <v>Tukang listrik</v>
      </c>
      <c r="E1604" s="212" t="s">
        <v>6</v>
      </c>
      <c r="F1604" s="829">
        <v>4.8000000000000001E-2</v>
      </c>
      <c r="G1604" s="539">
        <f>VLOOKUP(D1604,upahbahan,3,FALSE)</f>
        <v>135000</v>
      </c>
      <c r="H1604" s="539">
        <f t="shared" ref="H1604:H1606" si="158">F1604*G1604</f>
        <v>6480</v>
      </c>
      <c r="J1604" s="536"/>
      <c r="K1604" s="824"/>
    </row>
    <row r="1605" spans="3:11" ht="25.8" customHeight="1">
      <c r="C1605" s="818">
        <v>3</v>
      </c>
      <c r="D1605" s="212" t="s">
        <v>18</v>
      </c>
      <c r="E1605" s="212" t="s">
        <v>6</v>
      </c>
      <c r="F1605" s="829">
        <v>5.0000000000000001E-3</v>
      </c>
      <c r="G1605" s="539">
        <f>VLOOKUP(D1605,upahbahan,3,FALSE)</f>
        <v>150000</v>
      </c>
      <c r="H1605" s="539">
        <f t="shared" si="158"/>
        <v>750</v>
      </c>
      <c r="J1605" s="536"/>
      <c r="K1605" s="824"/>
    </row>
    <row r="1606" spans="3:11" ht="25.8" customHeight="1">
      <c r="C1606" s="818">
        <v>4</v>
      </c>
      <c r="D1606" s="212" t="s">
        <v>19</v>
      </c>
      <c r="E1606" s="212" t="s">
        <v>6</v>
      </c>
      <c r="F1606" s="829">
        <v>2E-3</v>
      </c>
      <c r="G1606" s="539">
        <f>VLOOKUP(D1606,upahbahan,3,FALSE)</f>
        <v>160000</v>
      </c>
      <c r="H1606" s="539">
        <f t="shared" si="158"/>
        <v>320</v>
      </c>
      <c r="J1606" s="536"/>
      <c r="K1606" s="824"/>
    </row>
    <row r="1607" spans="3:11" ht="25.8" customHeight="1">
      <c r="C1607" s="702" t="s">
        <v>1208</v>
      </c>
      <c r="D1607" s="208"/>
      <c r="E1607" s="208"/>
      <c r="F1607" s="811"/>
      <c r="G1607" s="522"/>
      <c r="H1607" s="539">
        <f>SUM(H1603:H1606)</f>
        <v>10450</v>
      </c>
      <c r="I1607" s="819"/>
      <c r="J1607" s="536"/>
      <c r="K1607" s="824"/>
    </row>
    <row r="1608" spans="3:11" ht="25.8" customHeight="1">
      <c r="C1608" s="213" t="s">
        <v>1209</v>
      </c>
      <c r="D1608" s="212" t="s">
        <v>1210</v>
      </c>
      <c r="E1608" s="534"/>
      <c r="F1608" s="831"/>
      <c r="G1608" s="534"/>
      <c r="H1608" s="534"/>
      <c r="J1608" s="536"/>
      <c r="K1608" s="824"/>
    </row>
    <row r="1609" spans="3:11" ht="25.8" customHeight="1">
      <c r="C1609" s="833" t="s">
        <v>1203</v>
      </c>
      <c r="D1609" s="820" t="s">
        <v>864</v>
      </c>
      <c r="E1609" s="807" t="s">
        <v>113</v>
      </c>
      <c r="F1609" s="538">
        <v>1.2</v>
      </c>
      <c r="G1609" s="539">
        <f>VLOOKUP(D1609,upahbahan,3,FALSE)</f>
        <v>49000</v>
      </c>
      <c r="H1609" s="539">
        <f>F1609*G1609</f>
        <v>58800</v>
      </c>
      <c r="J1609" s="536"/>
      <c r="K1609" s="824"/>
    </row>
    <row r="1610" spans="3:11" ht="25.8" customHeight="1">
      <c r="C1610" s="702" t="s">
        <v>1214</v>
      </c>
      <c r="D1610" s="208"/>
      <c r="E1610" s="208"/>
      <c r="F1610" s="208"/>
      <c r="G1610" s="209"/>
      <c r="H1610" s="539">
        <f>SUM(H1609:H1609)</f>
        <v>58800</v>
      </c>
      <c r="J1610" s="536"/>
      <c r="K1610" s="824"/>
    </row>
    <row r="1611" spans="3:11" ht="25.8" customHeight="1">
      <c r="C1611" s="213" t="s">
        <v>1215</v>
      </c>
      <c r="D1611" s="212" t="s">
        <v>1216</v>
      </c>
      <c r="E1611" s="534"/>
      <c r="F1611" s="534"/>
      <c r="G1611" s="534"/>
      <c r="H1611" s="534"/>
      <c r="J1611" s="536"/>
      <c r="K1611" s="824"/>
    </row>
    <row r="1612" spans="3:11" ht="25.8" customHeight="1">
      <c r="C1612" s="702" t="s">
        <v>1217</v>
      </c>
      <c r="D1612" s="208"/>
      <c r="E1612" s="208"/>
      <c r="F1612" s="208"/>
      <c r="G1612" s="209"/>
      <c r="H1612" s="821">
        <v>0</v>
      </c>
      <c r="J1612" s="536"/>
      <c r="K1612" s="824"/>
    </row>
    <row r="1613" spans="3:11" ht="25.8" customHeight="1">
      <c r="C1613" s="566" t="s">
        <v>1218</v>
      </c>
      <c r="D1613" s="552" t="s">
        <v>1219</v>
      </c>
      <c r="E1613" s="553"/>
      <c r="F1613" s="553"/>
      <c r="G1613" s="554"/>
      <c r="H1613" s="826">
        <f>H1612+H1610+H1607</f>
        <v>69250</v>
      </c>
      <c r="I1613" s="827"/>
      <c r="J1613" s="536"/>
      <c r="K1613" s="824"/>
    </row>
    <row r="1614" spans="3:11" ht="25.8" customHeight="1">
      <c r="C1614" s="566" t="s">
        <v>1220</v>
      </c>
      <c r="D1614" s="552" t="s">
        <v>1321</v>
      </c>
      <c r="E1614" s="553"/>
      <c r="F1614" s="554"/>
      <c r="G1614" s="555">
        <f>$M$9</f>
        <v>0.1</v>
      </c>
      <c r="H1614" s="539">
        <f>H1613*G1614</f>
        <v>6925</v>
      </c>
      <c r="I1614" s="827"/>
      <c r="J1614" s="536"/>
      <c r="K1614" s="824"/>
    </row>
    <row r="1615" spans="3:11" ht="25.8" customHeight="1">
      <c r="C1615" s="566" t="s">
        <v>1221</v>
      </c>
      <c r="D1615" s="552" t="s">
        <v>1222</v>
      </c>
      <c r="E1615" s="553"/>
      <c r="F1615" s="553"/>
      <c r="G1615" s="554"/>
      <c r="H1615" s="828">
        <f>SUM(H1613:H1614)</f>
        <v>76175</v>
      </c>
      <c r="I1615" s="827"/>
      <c r="J1615" s="536"/>
      <c r="K1615" s="824"/>
    </row>
    <row r="1616" spans="3:11" ht="25.8" customHeight="1">
      <c r="J1616" s="536"/>
      <c r="K1616" s="824"/>
    </row>
    <row r="1617" spans="3:11" ht="25.8" customHeight="1">
      <c r="C1617" s="513" t="s">
        <v>3334</v>
      </c>
      <c r="D1617" s="817" t="s">
        <v>1716</v>
      </c>
      <c r="E1617" s="803"/>
      <c r="F1617" s="803"/>
      <c r="G1617" s="803"/>
      <c r="H1617" s="803"/>
      <c r="I1617" s="533">
        <f>ROUNDDOWN(H1632,-2)</f>
        <v>98000</v>
      </c>
      <c r="J1617" s="536"/>
      <c r="K1617" s="824"/>
    </row>
    <row r="1618" spans="3:11" ht="25.8" customHeight="1">
      <c r="C1618" s="716" t="s">
        <v>1195</v>
      </c>
      <c r="D1618" s="716" t="s">
        <v>1196</v>
      </c>
      <c r="E1618" s="716" t="s">
        <v>1197</v>
      </c>
      <c r="F1618" s="716" t="s">
        <v>1198</v>
      </c>
      <c r="G1618" s="716" t="s">
        <v>1199</v>
      </c>
      <c r="H1618" s="716" t="s">
        <v>1200</v>
      </c>
      <c r="J1618" s="536"/>
      <c r="K1618" s="824"/>
    </row>
    <row r="1619" spans="3:11" ht="25.8" customHeight="1">
      <c r="C1619" s="213" t="s">
        <v>1201</v>
      </c>
      <c r="D1619" s="212" t="s">
        <v>1202</v>
      </c>
      <c r="E1619" s="534"/>
      <c r="F1619" s="534"/>
      <c r="G1619" s="534"/>
      <c r="H1619" s="534"/>
      <c r="J1619" s="536"/>
      <c r="K1619" s="824"/>
    </row>
    <row r="1620" spans="3:11" ht="25.8" customHeight="1">
      <c r="C1620" s="818">
        <v>1</v>
      </c>
      <c r="D1620" s="212" t="s">
        <v>5</v>
      </c>
      <c r="E1620" s="212" t="s">
        <v>6</v>
      </c>
      <c r="F1620" s="538">
        <v>3.5999999999999997E-2</v>
      </c>
      <c r="G1620" s="539">
        <f>VLOOKUP(D1620,upahbahan,3,FALSE)</f>
        <v>100000</v>
      </c>
      <c r="H1620" s="539">
        <f t="shared" ref="H1620:H1623" si="159">F1620*G1620</f>
        <v>3599.9999999999995</v>
      </c>
      <c r="J1620" s="536"/>
      <c r="K1620" s="824"/>
    </row>
    <row r="1621" spans="3:11" ht="25.8" customHeight="1">
      <c r="C1621" s="818">
        <v>2</v>
      </c>
      <c r="D1621" s="212" t="str">
        <f>D1604</f>
        <v>Tukang listrik</v>
      </c>
      <c r="E1621" s="212" t="s">
        <v>6</v>
      </c>
      <c r="F1621" s="538">
        <v>0.06</v>
      </c>
      <c r="G1621" s="539">
        <f>VLOOKUP(D1621,upahbahan,3,FALSE)</f>
        <v>135000</v>
      </c>
      <c r="H1621" s="539">
        <f t="shared" si="159"/>
        <v>8100</v>
      </c>
      <c r="J1621" s="536"/>
      <c r="K1621" s="824"/>
    </row>
    <row r="1622" spans="3:11" ht="25.8" customHeight="1">
      <c r="C1622" s="818">
        <v>3</v>
      </c>
      <c r="D1622" s="212" t="s">
        <v>18</v>
      </c>
      <c r="E1622" s="212" t="s">
        <v>6</v>
      </c>
      <c r="F1622" s="538">
        <v>6.0000000000000001E-3</v>
      </c>
      <c r="G1622" s="539">
        <f>VLOOKUP(D1622,upahbahan,3,FALSE)</f>
        <v>150000</v>
      </c>
      <c r="H1622" s="539">
        <f t="shared" si="159"/>
        <v>900</v>
      </c>
      <c r="J1622" s="536"/>
      <c r="K1622" s="824"/>
    </row>
    <row r="1623" spans="3:11" ht="25.8" customHeight="1">
      <c r="C1623" s="818">
        <v>4</v>
      </c>
      <c r="D1623" s="212" t="s">
        <v>19</v>
      </c>
      <c r="E1623" s="212" t="s">
        <v>6</v>
      </c>
      <c r="F1623" s="538">
        <v>2E-3</v>
      </c>
      <c r="G1623" s="539">
        <f>VLOOKUP(D1623,upahbahan,3,FALSE)</f>
        <v>160000</v>
      </c>
      <c r="H1623" s="539">
        <f t="shared" si="159"/>
        <v>320</v>
      </c>
      <c r="J1623" s="536"/>
      <c r="K1623" s="824"/>
    </row>
    <row r="1624" spans="3:11" ht="25.8" customHeight="1">
      <c r="C1624" s="702" t="s">
        <v>1208</v>
      </c>
      <c r="D1624" s="208"/>
      <c r="E1624" s="208"/>
      <c r="F1624" s="811"/>
      <c r="G1624" s="522"/>
      <c r="H1624" s="539">
        <f>SUM(H1620:H1623)</f>
        <v>12920</v>
      </c>
      <c r="I1624" s="819"/>
      <c r="J1624" s="536"/>
      <c r="K1624" s="824"/>
    </row>
    <row r="1625" spans="3:11" ht="25.8" customHeight="1">
      <c r="C1625" s="213" t="s">
        <v>1209</v>
      </c>
      <c r="D1625" s="212" t="s">
        <v>1210</v>
      </c>
      <c r="E1625" s="534"/>
      <c r="F1625" s="831"/>
      <c r="G1625" s="534"/>
      <c r="H1625" s="534"/>
      <c r="J1625" s="536"/>
      <c r="K1625" s="824"/>
    </row>
    <row r="1626" spans="3:11" ht="25.8" customHeight="1">
      <c r="C1626" s="833" t="s">
        <v>1203</v>
      </c>
      <c r="D1626" s="820" t="s">
        <v>865</v>
      </c>
      <c r="E1626" s="807" t="s">
        <v>113</v>
      </c>
      <c r="F1626" s="538">
        <v>1.2</v>
      </c>
      <c r="G1626" s="539">
        <f>VLOOKUP(D1626,upahbahan,3,FALSE)</f>
        <v>63500</v>
      </c>
      <c r="H1626" s="539">
        <f>F1626*G1626</f>
        <v>76200</v>
      </c>
      <c r="J1626" s="536"/>
      <c r="K1626" s="824"/>
    </row>
    <row r="1627" spans="3:11" ht="25.8" customHeight="1">
      <c r="C1627" s="702" t="s">
        <v>1214</v>
      </c>
      <c r="D1627" s="208"/>
      <c r="E1627" s="208"/>
      <c r="F1627" s="208"/>
      <c r="G1627" s="209"/>
      <c r="H1627" s="539">
        <f>SUM(H1626:H1626)</f>
        <v>76200</v>
      </c>
      <c r="J1627" s="536"/>
      <c r="K1627" s="824"/>
    </row>
    <row r="1628" spans="3:11" ht="25.8" customHeight="1">
      <c r="C1628" s="213" t="s">
        <v>1215</v>
      </c>
      <c r="D1628" s="212" t="s">
        <v>1216</v>
      </c>
      <c r="E1628" s="534"/>
      <c r="F1628" s="534"/>
      <c r="G1628" s="534"/>
      <c r="H1628" s="534"/>
      <c r="J1628" s="536"/>
      <c r="K1628" s="824"/>
    </row>
    <row r="1629" spans="3:11" ht="25.8" customHeight="1">
      <c r="C1629" s="702" t="s">
        <v>1217</v>
      </c>
      <c r="D1629" s="208"/>
      <c r="E1629" s="208"/>
      <c r="F1629" s="208"/>
      <c r="G1629" s="209"/>
      <c r="H1629" s="821">
        <v>0</v>
      </c>
      <c r="J1629" s="536"/>
      <c r="K1629" s="824"/>
    </row>
    <row r="1630" spans="3:11" ht="25.8" customHeight="1">
      <c r="C1630" s="566" t="s">
        <v>1218</v>
      </c>
      <c r="D1630" s="552" t="s">
        <v>1219</v>
      </c>
      <c r="E1630" s="553"/>
      <c r="F1630" s="553"/>
      <c r="G1630" s="554"/>
      <c r="H1630" s="826">
        <f>H1629+H1627+H1624</f>
        <v>89120</v>
      </c>
      <c r="I1630" s="827"/>
      <c r="J1630" s="536"/>
      <c r="K1630" s="824"/>
    </row>
    <row r="1631" spans="3:11" ht="25.8" customHeight="1">
      <c r="C1631" s="566" t="s">
        <v>1220</v>
      </c>
      <c r="D1631" s="552" t="s">
        <v>1321</v>
      </c>
      <c r="E1631" s="553"/>
      <c r="F1631" s="554"/>
      <c r="G1631" s="555">
        <f>$M$9</f>
        <v>0.1</v>
      </c>
      <c r="H1631" s="539">
        <f>H1630*G1631</f>
        <v>8912</v>
      </c>
      <c r="I1631" s="827"/>
      <c r="J1631" s="536"/>
      <c r="K1631" s="824"/>
    </row>
    <row r="1632" spans="3:11" ht="25.8" customHeight="1">
      <c r="C1632" s="566" t="s">
        <v>1221</v>
      </c>
      <c r="D1632" s="552" t="s">
        <v>1222</v>
      </c>
      <c r="E1632" s="553"/>
      <c r="F1632" s="553"/>
      <c r="G1632" s="554"/>
      <c r="H1632" s="828">
        <f>SUM(H1630:H1631)</f>
        <v>98032</v>
      </c>
      <c r="I1632" s="827"/>
      <c r="J1632" s="536"/>
      <c r="K1632" s="824"/>
    </row>
    <row r="1633" spans="3:11" ht="25.8" customHeight="1">
      <c r="J1633" s="536"/>
      <c r="K1633" s="824"/>
    </row>
    <row r="1634" spans="3:11" ht="25.8" customHeight="1">
      <c r="C1634" s="513" t="s">
        <v>3335</v>
      </c>
      <c r="D1634" s="817" t="s">
        <v>1717</v>
      </c>
      <c r="E1634" s="803"/>
      <c r="F1634" s="803"/>
      <c r="G1634" s="803"/>
      <c r="H1634" s="803"/>
      <c r="I1634" s="533">
        <f>ROUNDDOWN(H1649,-2)</f>
        <v>119200</v>
      </c>
      <c r="J1634" s="536"/>
      <c r="K1634" s="824"/>
    </row>
    <row r="1635" spans="3:11" ht="25.8" customHeight="1">
      <c r="C1635" s="716" t="s">
        <v>1195</v>
      </c>
      <c r="D1635" s="716" t="s">
        <v>1196</v>
      </c>
      <c r="E1635" s="716" t="s">
        <v>1197</v>
      </c>
      <c r="F1635" s="716" t="s">
        <v>1198</v>
      </c>
      <c r="G1635" s="716" t="s">
        <v>1199</v>
      </c>
      <c r="H1635" s="716" t="s">
        <v>1200</v>
      </c>
      <c r="J1635" s="536"/>
      <c r="K1635" s="824"/>
    </row>
    <row r="1636" spans="3:11" ht="25.8" customHeight="1">
      <c r="C1636" s="213" t="s">
        <v>1201</v>
      </c>
      <c r="D1636" s="212" t="s">
        <v>1202</v>
      </c>
      <c r="E1636" s="534"/>
      <c r="F1636" s="534"/>
      <c r="G1636" s="534"/>
      <c r="H1636" s="534"/>
      <c r="J1636" s="536"/>
      <c r="K1636" s="824"/>
    </row>
    <row r="1637" spans="3:11" ht="25.8" customHeight="1">
      <c r="C1637" s="818">
        <v>1</v>
      </c>
      <c r="D1637" s="212" t="s">
        <v>5</v>
      </c>
      <c r="E1637" s="212" t="s">
        <v>6</v>
      </c>
      <c r="F1637" s="538">
        <v>3.5999999999999997E-2</v>
      </c>
      <c r="G1637" s="539">
        <f>VLOOKUP(D1637,upahbahan,3,FALSE)</f>
        <v>100000</v>
      </c>
      <c r="H1637" s="539">
        <f t="shared" ref="H1637:H1640" si="160">F1637*G1637</f>
        <v>3599.9999999999995</v>
      </c>
      <c r="J1637" s="536"/>
      <c r="K1637" s="824"/>
    </row>
    <row r="1638" spans="3:11" ht="25.8" customHeight="1">
      <c r="C1638" s="818">
        <v>2</v>
      </c>
      <c r="D1638" s="212" t="str">
        <f>D1621</f>
        <v>Tukang listrik</v>
      </c>
      <c r="E1638" s="212" t="s">
        <v>6</v>
      </c>
      <c r="F1638" s="538">
        <v>0.06</v>
      </c>
      <c r="G1638" s="539">
        <f>VLOOKUP(D1638,upahbahan,3,FALSE)</f>
        <v>135000</v>
      </c>
      <c r="H1638" s="539">
        <f t="shared" si="160"/>
        <v>8100</v>
      </c>
      <c r="J1638" s="536"/>
      <c r="K1638" s="824"/>
    </row>
    <row r="1639" spans="3:11" ht="25.8" customHeight="1">
      <c r="C1639" s="818">
        <v>3</v>
      </c>
      <c r="D1639" s="212" t="s">
        <v>18</v>
      </c>
      <c r="E1639" s="212" t="s">
        <v>6</v>
      </c>
      <c r="F1639" s="538">
        <v>6.0000000000000001E-3</v>
      </c>
      <c r="G1639" s="539">
        <f>VLOOKUP(D1639,upahbahan,3,FALSE)</f>
        <v>150000</v>
      </c>
      <c r="H1639" s="539">
        <f t="shared" si="160"/>
        <v>900</v>
      </c>
      <c r="J1639" s="536"/>
      <c r="K1639" s="824"/>
    </row>
    <row r="1640" spans="3:11" ht="25.8" customHeight="1">
      <c r="C1640" s="818">
        <v>4</v>
      </c>
      <c r="D1640" s="212" t="s">
        <v>19</v>
      </c>
      <c r="E1640" s="212" t="s">
        <v>6</v>
      </c>
      <c r="F1640" s="538">
        <v>2E-3</v>
      </c>
      <c r="G1640" s="539">
        <f>VLOOKUP(D1640,upahbahan,3,FALSE)</f>
        <v>160000</v>
      </c>
      <c r="H1640" s="539">
        <f t="shared" si="160"/>
        <v>320</v>
      </c>
      <c r="J1640" s="536"/>
      <c r="K1640" s="824"/>
    </row>
    <row r="1641" spans="3:11" ht="25.8" customHeight="1">
      <c r="C1641" s="702" t="s">
        <v>1208</v>
      </c>
      <c r="D1641" s="208"/>
      <c r="E1641" s="208"/>
      <c r="F1641" s="811"/>
      <c r="G1641" s="522"/>
      <c r="H1641" s="539">
        <f>SUM(H1637:H1640)</f>
        <v>12920</v>
      </c>
      <c r="I1641" s="819"/>
      <c r="J1641" s="536"/>
      <c r="K1641" s="824"/>
    </row>
    <row r="1642" spans="3:11" ht="25.8" customHeight="1">
      <c r="C1642" s="213" t="s">
        <v>1209</v>
      </c>
      <c r="D1642" s="212" t="s">
        <v>1210</v>
      </c>
      <c r="E1642" s="534"/>
      <c r="F1642" s="831"/>
      <c r="G1642" s="534"/>
      <c r="H1642" s="534"/>
      <c r="J1642" s="536"/>
      <c r="K1642" s="824"/>
    </row>
    <row r="1643" spans="3:11" ht="25.8" customHeight="1">
      <c r="C1643" s="833" t="s">
        <v>1203</v>
      </c>
      <c r="D1643" s="820" t="s">
        <v>861</v>
      </c>
      <c r="E1643" s="807" t="s">
        <v>113</v>
      </c>
      <c r="F1643" s="538">
        <v>1.2</v>
      </c>
      <c r="G1643" s="539">
        <f>VLOOKUP(D1643,upahbahan,3,FALSE)</f>
        <v>79600</v>
      </c>
      <c r="H1643" s="539">
        <f>F1643*G1643</f>
        <v>95520</v>
      </c>
      <c r="J1643" s="536"/>
      <c r="K1643" s="824"/>
    </row>
    <row r="1644" spans="3:11" ht="25.8" customHeight="1">
      <c r="C1644" s="702" t="s">
        <v>1214</v>
      </c>
      <c r="D1644" s="208"/>
      <c r="E1644" s="208"/>
      <c r="F1644" s="208"/>
      <c r="G1644" s="209"/>
      <c r="H1644" s="539">
        <f>SUM(H1643:H1643)</f>
        <v>95520</v>
      </c>
      <c r="J1644" s="536"/>
      <c r="K1644" s="824"/>
    </row>
    <row r="1645" spans="3:11" ht="25.8" customHeight="1">
      <c r="C1645" s="213" t="s">
        <v>1215</v>
      </c>
      <c r="D1645" s="212" t="s">
        <v>1216</v>
      </c>
      <c r="E1645" s="534"/>
      <c r="F1645" s="534"/>
      <c r="G1645" s="534"/>
      <c r="H1645" s="534"/>
      <c r="J1645" s="536"/>
      <c r="K1645" s="824"/>
    </row>
    <row r="1646" spans="3:11" ht="25.8" customHeight="1">
      <c r="C1646" s="702" t="s">
        <v>1217</v>
      </c>
      <c r="D1646" s="208"/>
      <c r="E1646" s="208"/>
      <c r="F1646" s="208"/>
      <c r="G1646" s="209"/>
      <c r="H1646" s="821">
        <v>0</v>
      </c>
      <c r="J1646" s="536"/>
      <c r="K1646" s="824"/>
    </row>
    <row r="1647" spans="3:11" ht="25.8" customHeight="1">
      <c r="C1647" s="566" t="s">
        <v>1218</v>
      </c>
      <c r="D1647" s="552" t="s">
        <v>1219</v>
      </c>
      <c r="E1647" s="553"/>
      <c r="F1647" s="553"/>
      <c r="G1647" s="554"/>
      <c r="H1647" s="826">
        <f>H1646+H1644+H1641</f>
        <v>108440</v>
      </c>
      <c r="I1647" s="827"/>
      <c r="J1647" s="536"/>
      <c r="K1647" s="824"/>
    </row>
    <row r="1648" spans="3:11" ht="25.8" customHeight="1">
      <c r="C1648" s="566" t="s">
        <v>1220</v>
      </c>
      <c r="D1648" s="552" t="s">
        <v>1321</v>
      </c>
      <c r="E1648" s="553"/>
      <c r="F1648" s="554"/>
      <c r="G1648" s="555">
        <f>$M$9</f>
        <v>0.1</v>
      </c>
      <c r="H1648" s="539">
        <f>H1647*G1648</f>
        <v>10844</v>
      </c>
      <c r="I1648" s="827"/>
      <c r="J1648" s="536"/>
      <c r="K1648" s="824"/>
    </row>
    <row r="1649" spans="3:11" ht="25.8" customHeight="1">
      <c r="C1649" s="566" t="s">
        <v>1221</v>
      </c>
      <c r="D1649" s="552" t="s">
        <v>1222</v>
      </c>
      <c r="E1649" s="553"/>
      <c r="F1649" s="553"/>
      <c r="G1649" s="554"/>
      <c r="H1649" s="828">
        <f>SUM(H1647:H1648)</f>
        <v>119284</v>
      </c>
      <c r="I1649" s="827"/>
      <c r="J1649" s="536"/>
      <c r="K1649" s="824"/>
    </row>
    <row r="1650" spans="3:11" ht="25.8" customHeight="1">
      <c r="J1650" s="536"/>
      <c r="K1650" s="824"/>
    </row>
    <row r="1651" spans="3:11" ht="25.8" customHeight="1">
      <c r="C1651" s="513" t="s">
        <v>3336</v>
      </c>
      <c r="D1651" s="817" t="s">
        <v>1718</v>
      </c>
      <c r="E1651" s="803"/>
      <c r="F1651" s="803"/>
      <c r="G1651" s="803"/>
      <c r="H1651" s="803"/>
      <c r="I1651" s="533">
        <f>ROUNDDOWN(H1666,-2)</f>
        <v>184300</v>
      </c>
      <c r="J1651" s="536"/>
      <c r="K1651" s="824"/>
    </row>
    <row r="1652" spans="3:11" ht="25.8" customHeight="1">
      <c r="C1652" s="716" t="s">
        <v>1195</v>
      </c>
      <c r="D1652" s="716" t="s">
        <v>1196</v>
      </c>
      <c r="E1652" s="716" t="s">
        <v>1197</v>
      </c>
      <c r="F1652" s="716" t="s">
        <v>1198</v>
      </c>
      <c r="G1652" s="716" t="s">
        <v>1199</v>
      </c>
      <c r="H1652" s="716" t="s">
        <v>1200</v>
      </c>
      <c r="J1652" s="536"/>
      <c r="K1652" s="824"/>
    </row>
    <row r="1653" spans="3:11" ht="25.8" customHeight="1">
      <c r="C1653" s="213" t="s">
        <v>1201</v>
      </c>
      <c r="D1653" s="212" t="s">
        <v>1202</v>
      </c>
      <c r="E1653" s="534"/>
      <c r="F1653" s="534"/>
      <c r="G1653" s="534"/>
      <c r="H1653" s="534"/>
      <c r="J1653" s="536"/>
      <c r="K1653" s="824"/>
    </row>
    <row r="1654" spans="3:11" ht="25.8" customHeight="1">
      <c r="C1654" s="818">
        <v>1</v>
      </c>
      <c r="D1654" s="212" t="s">
        <v>5</v>
      </c>
      <c r="E1654" s="212" t="s">
        <v>6</v>
      </c>
      <c r="F1654" s="538">
        <v>3.5999999999999997E-2</v>
      </c>
      <c r="G1654" s="539">
        <f>VLOOKUP(D1654,upahbahan,3,FALSE)</f>
        <v>100000</v>
      </c>
      <c r="H1654" s="539">
        <f t="shared" ref="H1654:H1657" si="161">F1654*G1654</f>
        <v>3599.9999999999995</v>
      </c>
      <c r="J1654" s="536"/>
      <c r="K1654" s="824"/>
    </row>
    <row r="1655" spans="3:11" ht="25.8" customHeight="1">
      <c r="C1655" s="818">
        <v>2</v>
      </c>
      <c r="D1655" s="212" t="str">
        <f>D1638</f>
        <v>Tukang listrik</v>
      </c>
      <c r="E1655" s="212" t="s">
        <v>6</v>
      </c>
      <c r="F1655" s="538">
        <v>0.06</v>
      </c>
      <c r="G1655" s="539">
        <f>VLOOKUP(D1655,upahbahan,3,FALSE)</f>
        <v>135000</v>
      </c>
      <c r="H1655" s="539">
        <f t="shared" si="161"/>
        <v>8100</v>
      </c>
      <c r="J1655" s="536"/>
      <c r="K1655" s="824"/>
    </row>
    <row r="1656" spans="3:11" ht="25.8" customHeight="1">
      <c r="C1656" s="818">
        <v>3</v>
      </c>
      <c r="D1656" s="212" t="s">
        <v>18</v>
      </c>
      <c r="E1656" s="212" t="s">
        <v>6</v>
      </c>
      <c r="F1656" s="538">
        <v>6.0000000000000001E-3</v>
      </c>
      <c r="G1656" s="539">
        <f>VLOOKUP(D1656,upahbahan,3,FALSE)</f>
        <v>150000</v>
      </c>
      <c r="H1656" s="539">
        <f t="shared" si="161"/>
        <v>900</v>
      </c>
      <c r="J1656" s="536"/>
      <c r="K1656" s="824"/>
    </row>
    <row r="1657" spans="3:11" ht="25.8" customHeight="1">
      <c r="C1657" s="818">
        <v>4</v>
      </c>
      <c r="D1657" s="212" t="s">
        <v>19</v>
      </c>
      <c r="E1657" s="212" t="s">
        <v>6</v>
      </c>
      <c r="F1657" s="538">
        <v>2E-3</v>
      </c>
      <c r="G1657" s="539">
        <f>VLOOKUP(D1657,upahbahan,3,FALSE)</f>
        <v>160000</v>
      </c>
      <c r="H1657" s="539">
        <f t="shared" si="161"/>
        <v>320</v>
      </c>
      <c r="J1657" s="536"/>
      <c r="K1657" s="824"/>
    </row>
    <row r="1658" spans="3:11" ht="25.8" customHeight="1">
      <c r="C1658" s="702" t="s">
        <v>1208</v>
      </c>
      <c r="D1658" s="208"/>
      <c r="E1658" s="208"/>
      <c r="F1658" s="811"/>
      <c r="G1658" s="522"/>
      <c r="H1658" s="539">
        <f>SUM(H1654:H1657)</f>
        <v>12920</v>
      </c>
      <c r="I1658" s="819"/>
      <c r="J1658" s="536"/>
      <c r="K1658" s="824"/>
    </row>
    <row r="1659" spans="3:11" ht="25.8" customHeight="1">
      <c r="C1659" s="213" t="s">
        <v>1209</v>
      </c>
      <c r="D1659" s="212" t="s">
        <v>1210</v>
      </c>
      <c r="E1659" s="534"/>
      <c r="F1659" s="831"/>
      <c r="G1659" s="534"/>
      <c r="H1659" s="534"/>
      <c r="J1659" s="536"/>
      <c r="K1659" s="824"/>
    </row>
    <row r="1660" spans="3:11" ht="25.8" customHeight="1">
      <c r="C1660" s="833" t="s">
        <v>1203</v>
      </c>
      <c r="D1660" s="820" t="s">
        <v>862</v>
      </c>
      <c r="E1660" s="807" t="s">
        <v>113</v>
      </c>
      <c r="F1660" s="538">
        <v>1.2</v>
      </c>
      <c r="G1660" s="539">
        <f>VLOOKUP(D1660,upahbahan,3,FALSE)</f>
        <v>128900</v>
      </c>
      <c r="H1660" s="539">
        <f t="shared" ref="H1660" si="162">F1660*G1660</f>
        <v>154680</v>
      </c>
      <c r="J1660" s="536"/>
      <c r="K1660" s="824"/>
    </row>
    <row r="1661" spans="3:11" ht="25.8" customHeight="1">
      <c r="C1661" s="702" t="s">
        <v>1214</v>
      </c>
      <c r="D1661" s="208"/>
      <c r="E1661" s="208"/>
      <c r="F1661" s="208"/>
      <c r="G1661" s="209"/>
      <c r="H1661" s="539">
        <f>SUM(H1660:H1660)</f>
        <v>154680</v>
      </c>
      <c r="J1661" s="536"/>
      <c r="K1661" s="824"/>
    </row>
    <row r="1662" spans="3:11" ht="25.8" customHeight="1">
      <c r="C1662" s="213" t="s">
        <v>1215</v>
      </c>
      <c r="D1662" s="212" t="s">
        <v>1216</v>
      </c>
      <c r="E1662" s="534"/>
      <c r="F1662" s="534"/>
      <c r="G1662" s="534"/>
      <c r="H1662" s="534"/>
      <c r="J1662" s="536"/>
      <c r="K1662" s="824"/>
    </row>
    <row r="1663" spans="3:11" ht="25.8" customHeight="1">
      <c r="C1663" s="702" t="s">
        <v>1217</v>
      </c>
      <c r="D1663" s="208"/>
      <c r="E1663" s="208"/>
      <c r="F1663" s="208"/>
      <c r="G1663" s="209"/>
      <c r="H1663" s="821">
        <v>0</v>
      </c>
      <c r="J1663" s="536"/>
      <c r="K1663" s="824"/>
    </row>
    <row r="1664" spans="3:11" ht="25.8" customHeight="1">
      <c r="C1664" s="566" t="s">
        <v>1218</v>
      </c>
      <c r="D1664" s="552" t="s">
        <v>1219</v>
      </c>
      <c r="E1664" s="553"/>
      <c r="F1664" s="553"/>
      <c r="G1664" s="554"/>
      <c r="H1664" s="826">
        <f>H1663+H1661+H1658</f>
        <v>167600</v>
      </c>
      <c r="I1664" s="827"/>
      <c r="J1664" s="536"/>
      <c r="K1664" s="824"/>
    </row>
    <row r="1665" spans="3:11" ht="25.8" customHeight="1">
      <c r="C1665" s="566" t="s">
        <v>1220</v>
      </c>
      <c r="D1665" s="552" t="s">
        <v>1321</v>
      </c>
      <c r="E1665" s="553"/>
      <c r="F1665" s="554"/>
      <c r="G1665" s="555">
        <f>$M$9</f>
        <v>0.1</v>
      </c>
      <c r="H1665" s="539">
        <f>H1664*G1665</f>
        <v>16760</v>
      </c>
      <c r="I1665" s="827"/>
      <c r="J1665" s="536"/>
      <c r="K1665" s="824"/>
    </row>
    <row r="1666" spans="3:11" ht="25.8" customHeight="1">
      <c r="C1666" s="566" t="s">
        <v>1221</v>
      </c>
      <c r="D1666" s="552" t="s">
        <v>1222</v>
      </c>
      <c r="E1666" s="553"/>
      <c r="F1666" s="553"/>
      <c r="G1666" s="554"/>
      <c r="H1666" s="828">
        <f>SUM(H1664:H1665)</f>
        <v>184360</v>
      </c>
      <c r="I1666" s="827"/>
      <c r="J1666" s="536"/>
      <c r="K1666" s="824"/>
    </row>
    <row r="1667" spans="3:11" ht="25.8" customHeight="1">
      <c r="J1667" s="536"/>
      <c r="K1667" s="824"/>
    </row>
    <row r="1668" spans="3:11" ht="25.8" customHeight="1">
      <c r="C1668" s="513" t="s">
        <v>3337</v>
      </c>
      <c r="D1668" s="817" t="s">
        <v>1719</v>
      </c>
      <c r="E1668" s="803"/>
      <c r="F1668" s="803"/>
      <c r="G1668" s="803"/>
      <c r="H1668" s="803"/>
      <c r="I1668" s="533">
        <f>ROUNDDOWN(H1683,-2)</f>
        <v>48200</v>
      </c>
      <c r="J1668" s="536"/>
      <c r="K1668" s="824"/>
    </row>
    <row r="1669" spans="3:11" ht="25.8" customHeight="1">
      <c r="C1669" s="716" t="s">
        <v>1195</v>
      </c>
      <c r="D1669" s="716" t="s">
        <v>1196</v>
      </c>
      <c r="E1669" s="716" t="s">
        <v>1197</v>
      </c>
      <c r="F1669" s="716" t="s">
        <v>1198</v>
      </c>
      <c r="G1669" s="716" t="s">
        <v>1199</v>
      </c>
      <c r="H1669" s="716" t="s">
        <v>1200</v>
      </c>
      <c r="J1669" s="536"/>
      <c r="K1669" s="824"/>
    </row>
    <row r="1670" spans="3:11" ht="25.8" customHeight="1">
      <c r="C1670" s="213" t="s">
        <v>1201</v>
      </c>
      <c r="D1670" s="212" t="s">
        <v>1202</v>
      </c>
      <c r="E1670" s="534"/>
      <c r="F1670" s="534"/>
      <c r="G1670" s="534"/>
      <c r="H1670" s="534"/>
      <c r="J1670" s="536"/>
      <c r="K1670" s="824"/>
    </row>
    <row r="1671" spans="3:11" ht="25.8" customHeight="1">
      <c r="C1671" s="818">
        <v>1</v>
      </c>
      <c r="D1671" s="212" t="s">
        <v>5</v>
      </c>
      <c r="E1671" s="212" t="s">
        <v>6</v>
      </c>
      <c r="F1671" s="538">
        <v>2.4E-2</v>
      </c>
      <c r="G1671" s="539">
        <f>VLOOKUP(D1671,upahbahan,3,FALSE)</f>
        <v>100000</v>
      </c>
      <c r="H1671" s="539">
        <f t="shared" ref="H1671:H1674" si="163">F1671*G1671</f>
        <v>2400</v>
      </c>
      <c r="J1671" s="536"/>
      <c r="K1671" s="824"/>
    </row>
    <row r="1672" spans="3:11" ht="25.8" customHeight="1">
      <c r="C1672" s="818">
        <v>2</v>
      </c>
      <c r="D1672" s="212" t="str">
        <f>D1655</f>
        <v>Tukang listrik</v>
      </c>
      <c r="E1672" s="212" t="s">
        <v>6</v>
      </c>
      <c r="F1672" s="538">
        <v>0.04</v>
      </c>
      <c r="G1672" s="539">
        <f>VLOOKUP(D1672,upahbahan,3,FALSE)</f>
        <v>135000</v>
      </c>
      <c r="H1672" s="539">
        <f t="shared" si="163"/>
        <v>5400</v>
      </c>
      <c r="J1672" s="536"/>
      <c r="K1672" s="824"/>
    </row>
    <row r="1673" spans="3:11" ht="25.8" customHeight="1">
      <c r="C1673" s="818">
        <v>3</v>
      </c>
      <c r="D1673" s="212" t="s">
        <v>18</v>
      </c>
      <c r="E1673" s="212" t="s">
        <v>6</v>
      </c>
      <c r="F1673" s="538">
        <v>4.0000000000000001E-3</v>
      </c>
      <c r="G1673" s="539">
        <f>VLOOKUP(D1673,upahbahan,3,FALSE)</f>
        <v>150000</v>
      </c>
      <c r="H1673" s="539">
        <f t="shared" si="163"/>
        <v>600</v>
      </c>
      <c r="J1673" s="536"/>
      <c r="K1673" s="824"/>
    </row>
    <row r="1674" spans="3:11" ht="25.8" customHeight="1">
      <c r="C1674" s="818">
        <v>4</v>
      </c>
      <c r="D1674" s="212" t="s">
        <v>19</v>
      </c>
      <c r="E1674" s="212" t="s">
        <v>6</v>
      </c>
      <c r="F1674" s="538">
        <v>1E-3</v>
      </c>
      <c r="G1674" s="539">
        <f>VLOOKUP(D1674,upahbahan,3,FALSE)</f>
        <v>160000</v>
      </c>
      <c r="H1674" s="539">
        <f t="shared" si="163"/>
        <v>160</v>
      </c>
      <c r="J1674" s="536"/>
      <c r="K1674" s="824"/>
    </row>
    <row r="1675" spans="3:11" ht="25.8" customHeight="1">
      <c r="C1675" s="702" t="s">
        <v>1208</v>
      </c>
      <c r="D1675" s="208"/>
      <c r="E1675" s="208"/>
      <c r="F1675" s="811"/>
      <c r="G1675" s="522"/>
      <c r="H1675" s="539">
        <f>SUM(H1671:H1674)</f>
        <v>8560</v>
      </c>
      <c r="I1675" s="819"/>
      <c r="J1675" s="536"/>
      <c r="K1675" s="824"/>
    </row>
    <row r="1676" spans="3:11" ht="25.8" customHeight="1">
      <c r="C1676" s="213" t="s">
        <v>1209</v>
      </c>
      <c r="D1676" s="212" t="s">
        <v>1210</v>
      </c>
      <c r="E1676" s="534"/>
      <c r="F1676" s="831"/>
      <c r="G1676" s="534"/>
      <c r="H1676" s="534"/>
      <c r="J1676" s="536"/>
      <c r="K1676" s="824"/>
    </row>
    <row r="1677" spans="3:11" ht="25.8" customHeight="1">
      <c r="C1677" s="833" t="s">
        <v>1203</v>
      </c>
      <c r="D1677" s="820" t="s">
        <v>866</v>
      </c>
      <c r="E1677" s="807" t="s">
        <v>113</v>
      </c>
      <c r="F1677" s="538">
        <v>1.2</v>
      </c>
      <c r="G1677" s="539">
        <f>VLOOKUP(D1677,upahbahan,3,FALSE)</f>
        <v>29400</v>
      </c>
      <c r="H1677" s="539">
        <f t="shared" ref="H1677" si="164">F1677*G1677</f>
        <v>35280</v>
      </c>
      <c r="J1677" s="536"/>
      <c r="K1677" s="824"/>
    </row>
    <row r="1678" spans="3:11" ht="25.8" customHeight="1">
      <c r="C1678" s="702" t="s">
        <v>1214</v>
      </c>
      <c r="D1678" s="208"/>
      <c r="E1678" s="208"/>
      <c r="F1678" s="208"/>
      <c r="G1678" s="209"/>
      <c r="H1678" s="539">
        <f>SUM(H1677:H1677)</f>
        <v>35280</v>
      </c>
      <c r="J1678" s="536"/>
      <c r="K1678" s="824"/>
    </row>
    <row r="1679" spans="3:11" ht="25.8" customHeight="1">
      <c r="C1679" s="213" t="s">
        <v>1215</v>
      </c>
      <c r="D1679" s="212" t="s">
        <v>1216</v>
      </c>
      <c r="E1679" s="534"/>
      <c r="F1679" s="534"/>
      <c r="G1679" s="534"/>
      <c r="H1679" s="534"/>
      <c r="J1679" s="536"/>
      <c r="K1679" s="824"/>
    </row>
    <row r="1680" spans="3:11" ht="25.8" customHeight="1">
      <c r="C1680" s="702" t="s">
        <v>1217</v>
      </c>
      <c r="D1680" s="208"/>
      <c r="E1680" s="208"/>
      <c r="F1680" s="208"/>
      <c r="G1680" s="209"/>
      <c r="H1680" s="821">
        <v>0</v>
      </c>
      <c r="J1680" s="536"/>
      <c r="K1680" s="824"/>
    </row>
    <row r="1681" spans="3:11" ht="25.8" customHeight="1">
      <c r="C1681" s="566" t="s">
        <v>1218</v>
      </c>
      <c r="D1681" s="552" t="s">
        <v>1219</v>
      </c>
      <c r="E1681" s="553"/>
      <c r="F1681" s="553"/>
      <c r="G1681" s="554"/>
      <c r="H1681" s="826">
        <f>H1680+H1678+H1675</f>
        <v>43840</v>
      </c>
      <c r="I1681" s="827"/>
      <c r="J1681" s="536"/>
      <c r="K1681" s="824"/>
    </row>
    <row r="1682" spans="3:11" ht="25.8" customHeight="1">
      <c r="C1682" s="566" t="s">
        <v>1220</v>
      </c>
      <c r="D1682" s="552" t="s">
        <v>1321</v>
      </c>
      <c r="E1682" s="553"/>
      <c r="F1682" s="554"/>
      <c r="G1682" s="555">
        <f>$M$9</f>
        <v>0.1</v>
      </c>
      <c r="H1682" s="539">
        <f>H1681*G1682</f>
        <v>4384</v>
      </c>
      <c r="I1682" s="827"/>
      <c r="J1682" s="536"/>
      <c r="K1682" s="824"/>
    </row>
    <row r="1683" spans="3:11" ht="25.8" customHeight="1">
      <c r="C1683" s="566" t="s">
        <v>1221</v>
      </c>
      <c r="D1683" s="552" t="s">
        <v>1222</v>
      </c>
      <c r="E1683" s="553"/>
      <c r="F1683" s="553"/>
      <c r="G1683" s="554"/>
      <c r="H1683" s="828">
        <f>SUM(H1681:H1682)</f>
        <v>48224</v>
      </c>
      <c r="I1683" s="827"/>
      <c r="J1683" s="536"/>
      <c r="K1683" s="824"/>
    </row>
    <row r="1684" spans="3:11" ht="25.8" customHeight="1">
      <c r="J1684" s="536"/>
      <c r="K1684" s="824"/>
    </row>
    <row r="1685" spans="3:11" ht="25.8" customHeight="1">
      <c r="C1685" s="513" t="s">
        <v>3338</v>
      </c>
      <c r="D1685" s="817" t="s">
        <v>1720</v>
      </c>
      <c r="E1685" s="803"/>
      <c r="F1685" s="803"/>
      <c r="G1685" s="803"/>
      <c r="H1685" s="803"/>
      <c r="I1685" s="533">
        <f>ROUNDDOWN(H1700,-2)</f>
        <v>62400</v>
      </c>
      <c r="J1685" s="536"/>
      <c r="K1685" s="824"/>
    </row>
    <row r="1686" spans="3:11" ht="25.8" customHeight="1">
      <c r="C1686" s="716" t="s">
        <v>1195</v>
      </c>
      <c r="D1686" s="716" t="s">
        <v>1196</v>
      </c>
      <c r="E1686" s="716" t="s">
        <v>1197</v>
      </c>
      <c r="F1686" s="716" t="s">
        <v>1198</v>
      </c>
      <c r="G1686" s="716" t="s">
        <v>1199</v>
      </c>
      <c r="H1686" s="716" t="s">
        <v>1200</v>
      </c>
      <c r="J1686" s="536"/>
      <c r="K1686" s="824"/>
    </row>
    <row r="1687" spans="3:11" ht="25.8" customHeight="1">
      <c r="C1687" s="213" t="s">
        <v>1201</v>
      </c>
      <c r="D1687" s="212" t="s">
        <v>1202</v>
      </c>
      <c r="E1687" s="534"/>
      <c r="F1687" s="534"/>
      <c r="G1687" s="534"/>
      <c r="H1687" s="534"/>
      <c r="J1687" s="536"/>
      <c r="K1687" s="824"/>
    </row>
    <row r="1688" spans="3:11" ht="25.8" customHeight="1">
      <c r="C1688" s="818">
        <v>1</v>
      </c>
      <c r="D1688" s="212" t="s">
        <v>5</v>
      </c>
      <c r="E1688" s="212" t="s">
        <v>6</v>
      </c>
      <c r="F1688" s="829">
        <v>2.9000000000000001E-2</v>
      </c>
      <c r="G1688" s="539">
        <f>VLOOKUP(D1688,upahbahan,3,FALSE)</f>
        <v>100000</v>
      </c>
      <c r="H1688" s="539">
        <f t="shared" ref="H1688:H1691" si="165">F1688*G1688</f>
        <v>2900</v>
      </c>
      <c r="J1688" s="536"/>
      <c r="K1688" s="824"/>
    </row>
    <row r="1689" spans="3:11" ht="25.8" customHeight="1">
      <c r="C1689" s="818">
        <v>2</v>
      </c>
      <c r="D1689" s="212" t="str">
        <f>D1672</f>
        <v>Tukang listrik</v>
      </c>
      <c r="E1689" s="212" t="s">
        <v>6</v>
      </c>
      <c r="F1689" s="829">
        <v>4.8000000000000001E-2</v>
      </c>
      <c r="G1689" s="539">
        <f>VLOOKUP(D1689,upahbahan,3,FALSE)</f>
        <v>135000</v>
      </c>
      <c r="H1689" s="539">
        <f t="shared" si="165"/>
        <v>6480</v>
      </c>
      <c r="J1689" s="536"/>
      <c r="K1689" s="824"/>
    </row>
    <row r="1690" spans="3:11" ht="25.8" customHeight="1">
      <c r="C1690" s="818">
        <v>3</v>
      </c>
      <c r="D1690" s="212" t="s">
        <v>18</v>
      </c>
      <c r="E1690" s="212" t="s">
        <v>6</v>
      </c>
      <c r="F1690" s="829">
        <v>5.0000000000000001E-3</v>
      </c>
      <c r="G1690" s="539">
        <f>VLOOKUP(D1690,upahbahan,3,FALSE)</f>
        <v>150000</v>
      </c>
      <c r="H1690" s="539">
        <f t="shared" si="165"/>
        <v>750</v>
      </c>
      <c r="J1690" s="536"/>
      <c r="K1690" s="824"/>
    </row>
    <row r="1691" spans="3:11" ht="25.8" customHeight="1">
      <c r="C1691" s="818">
        <v>4</v>
      </c>
      <c r="D1691" s="212" t="s">
        <v>19</v>
      </c>
      <c r="E1691" s="212" t="s">
        <v>6</v>
      </c>
      <c r="F1691" s="829">
        <v>2E-3</v>
      </c>
      <c r="G1691" s="539">
        <f>VLOOKUP(D1691,upahbahan,3,FALSE)</f>
        <v>160000</v>
      </c>
      <c r="H1691" s="539">
        <f t="shared" si="165"/>
        <v>320</v>
      </c>
      <c r="J1691" s="536"/>
      <c r="K1691" s="824"/>
    </row>
    <row r="1692" spans="3:11" ht="25.8" customHeight="1">
      <c r="C1692" s="702" t="s">
        <v>1208</v>
      </c>
      <c r="D1692" s="208"/>
      <c r="E1692" s="208"/>
      <c r="F1692" s="811"/>
      <c r="G1692" s="522"/>
      <c r="H1692" s="539">
        <f>SUM(H1688:H1691)</f>
        <v>10450</v>
      </c>
      <c r="I1692" s="819"/>
      <c r="J1692" s="536"/>
      <c r="K1692" s="824"/>
    </row>
    <row r="1693" spans="3:11" ht="25.8" customHeight="1">
      <c r="C1693" s="213" t="s">
        <v>1209</v>
      </c>
      <c r="D1693" s="212" t="s">
        <v>1210</v>
      </c>
      <c r="E1693" s="534"/>
      <c r="F1693" s="831"/>
      <c r="G1693" s="534"/>
      <c r="H1693" s="534"/>
      <c r="J1693" s="536"/>
      <c r="K1693" s="824"/>
    </row>
    <row r="1694" spans="3:11" ht="25.8" customHeight="1">
      <c r="C1694" s="833" t="s">
        <v>1203</v>
      </c>
      <c r="D1694" s="820" t="s">
        <v>872</v>
      </c>
      <c r="E1694" s="807" t="s">
        <v>113</v>
      </c>
      <c r="F1694" s="538">
        <v>1.2</v>
      </c>
      <c r="G1694" s="539">
        <f>VLOOKUP(D1694,upahbahan,3,FALSE)</f>
        <v>38600</v>
      </c>
      <c r="H1694" s="539">
        <f t="shared" ref="H1694" si="166">F1694*G1694</f>
        <v>46320</v>
      </c>
      <c r="J1694" s="536"/>
      <c r="K1694" s="824"/>
    </row>
    <row r="1695" spans="3:11" ht="25.8" customHeight="1">
      <c r="C1695" s="702" t="s">
        <v>1214</v>
      </c>
      <c r="D1695" s="208"/>
      <c r="E1695" s="208"/>
      <c r="F1695" s="208"/>
      <c r="G1695" s="209"/>
      <c r="H1695" s="539">
        <f>SUM(H1694:H1694)</f>
        <v>46320</v>
      </c>
      <c r="J1695" s="536"/>
      <c r="K1695" s="824"/>
    </row>
    <row r="1696" spans="3:11" ht="25.8" customHeight="1">
      <c r="C1696" s="213" t="s">
        <v>1215</v>
      </c>
      <c r="D1696" s="212" t="s">
        <v>1216</v>
      </c>
      <c r="E1696" s="534"/>
      <c r="F1696" s="534"/>
      <c r="G1696" s="534"/>
      <c r="H1696" s="534"/>
      <c r="J1696" s="536"/>
      <c r="K1696" s="824"/>
    </row>
    <row r="1697" spans="3:11" ht="25.8" customHeight="1">
      <c r="C1697" s="702" t="s">
        <v>1217</v>
      </c>
      <c r="D1697" s="208"/>
      <c r="E1697" s="208"/>
      <c r="F1697" s="208"/>
      <c r="G1697" s="209"/>
      <c r="H1697" s="821">
        <v>0</v>
      </c>
      <c r="J1697" s="536"/>
      <c r="K1697" s="824"/>
    </row>
    <row r="1698" spans="3:11" ht="25.8" customHeight="1">
      <c r="C1698" s="566" t="s">
        <v>1218</v>
      </c>
      <c r="D1698" s="552" t="s">
        <v>1219</v>
      </c>
      <c r="E1698" s="553"/>
      <c r="F1698" s="553"/>
      <c r="G1698" s="554"/>
      <c r="H1698" s="826">
        <f>H1697+H1695+H1692</f>
        <v>56770</v>
      </c>
      <c r="I1698" s="827"/>
      <c r="J1698" s="536"/>
      <c r="K1698" s="824"/>
    </row>
    <row r="1699" spans="3:11" ht="25.8" customHeight="1">
      <c r="C1699" s="566" t="s">
        <v>1220</v>
      </c>
      <c r="D1699" s="552" t="s">
        <v>1321</v>
      </c>
      <c r="E1699" s="553"/>
      <c r="F1699" s="554"/>
      <c r="G1699" s="555">
        <f>$M$9</f>
        <v>0.1</v>
      </c>
      <c r="H1699" s="539">
        <f>H1698*G1699</f>
        <v>5677</v>
      </c>
      <c r="I1699" s="827"/>
      <c r="J1699" s="536"/>
      <c r="K1699" s="824"/>
    </row>
    <row r="1700" spans="3:11" ht="25.8" customHeight="1">
      <c r="C1700" s="566" t="s">
        <v>1221</v>
      </c>
      <c r="D1700" s="552" t="s">
        <v>1222</v>
      </c>
      <c r="E1700" s="553"/>
      <c r="F1700" s="553"/>
      <c r="G1700" s="554"/>
      <c r="H1700" s="828">
        <f>SUM(H1698:H1699)</f>
        <v>62447</v>
      </c>
      <c r="I1700" s="827"/>
      <c r="J1700" s="536"/>
      <c r="K1700" s="824"/>
    </row>
    <row r="1701" spans="3:11" ht="25.8" customHeight="1">
      <c r="J1701" s="536"/>
      <c r="K1701" s="824"/>
    </row>
    <row r="1702" spans="3:11" ht="25.8" customHeight="1">
      <c r="C1702" s="513" t="s">
        <v>3339</v>
      </c>
      <c r="D1702" s="817" t="s">
        <v>1721</v>
      </c>
      <c r="E1702" s="803"/>
      <c r="F1702" s="803"/>
      <c r="G1702" s="803"/>
      <c r="H1702" s="803"/>
      <c r="I1702" s="533">
        <f>ROUNDDOWN(H1717,-2)</f>
        <v>98600</v>
      </c>
      <c r="J1702" s="536"/>
      <c r="K1702" s="824"/>
    </row>
    <row r="1703" spans="3:11" ht="25.8" customHeight="1">
      <c r="C1703" s="716" t="s">
        <v>1195</v>
      </c>
      <c r="D1703" s="716" t="s">
        <v>1196</v>
      </c>
      <c r="E1703" s="716" t="s">
        <v>1197</v>
      </c>
      <c r="F1703" s="716" t="s">
        <v>1198</v>
      </c>
      <c r="G1703" s="716" t="s">
        <v>1199</v>
      </c>
      <c r="H1703" s="716" t="s">
        <v>1200</v>
      </c>
      <c r="J1703" s="536"/>
      <c r="K1703" s="824"/>
    </row>
    <row r="1704" spans="3:11" ht="25.8" customHeight="1">
      <c r="C1704" s="213" t="s">
        <v>1201</v>
      </c>
      <c r="D1704" s="212" t="s">
        <v>1202</v>
      </c>
      <c r="E1704" s="534"/>
      <c r="F1704" s="534"/>
      <c r="G1704" s="534"/>
      <c r="H1704" s="534"/>
      <c r="J1704" s="536"/>
      <c r="K1704" s="824"/>
    </row>
    <row r="1705" spans="3:11" ht="25.8" customHeight="1">
      <c r="C1705" s="818">
        <v>1</v>
      </c>
      <c r="D1705" s="212" t="s">
        <v>5</v>
      </c>
      <c r="E1705" s="212" t="s">
        <v>6</v>
      </c>
      <c r="F1705" s="829">
        <v>2.9000000000000001E-2</v>
      </c>
      <c r="G1705" s="539">
        <f>VLOOKUP(D1705,upahbahan,3,FALSE)</f>
        <v>100000</v>
      </c>
      <c r="H1705" s="539">
        <f t="shared" ref="H1705:H1708" si="167">F1705*G1705</f>
        <v>2900</v>
      </c>
      <c r="J1705" s="536"/>
      <c r="K1705" s="824"/>
    </row>
    <row r="1706" spans="3:11" ht="25.8" customHeight="1">
      <c r="C1706" s="818">
        <v>2</v>
      </c>
      <c r="D1706" s="212" t="str">
        <f>D1689</f>
        <v>Tukang listrik</v>
      </c>
      <c r="E1706" s="212" t="s">
        <v>6</v>
      </c>
      <c r="F1706" s="829">
        <v>4.8000000000000001E-2</v>
      </c>
      <c r="G1706" s="539">
        <f>VLOOKUP(D1706,upahbahan,3,FALSE)</f>
        <v>135000</v>
      </c>
      <c r="H1706" s="539">
        <f t="shared" si="167"/>
        <v>6480</v>
      </c>
      <c r="J1706" s="536"/>
      <c r="K1706" s="824"/>
    </row>
    <row r="1707" spans="3:11" ht="25.8" customHeight="1">
      <c r="C1707" s="818">
        <v>3</v>
      </c>
      <c r="D1707" s="212" t="s">
        <v>18</v>
      </c>
      <c r="E1707" s="212" t="s">
        <v>6</v>
      </c>
      <c r="F1707" s="829">
        <v>5.0000000000000001E-3</v>
      </c>
      <c r="G1707" s="539">
        <f>VLOOKUP(D1707,upahbahan,3,FALSE)</f>
        <v>150000</v>
      </c>
      <c r="H1707" s="539">
        <f t="shared" si="167"/>
        <v>750</v>
      </c>
      <c r="J1707" s="536"/>
      <c r="K1707" s="824"/>
    </row>
    <row r="1708" spans="3:11" ht="25.8" customHeight="1">
      <c r="C1708" s="818">
        <v>4</v>
      </c>
      <c r="D1708" s="212" t="s">
        <v>19</v>
      </c>
      <c r="E1708" s="212" t="s">
        <v>6</v>
      </c>
      <c r="F1708" s="829">
        <v>2E-3</v>
      </c>
      <c r="G1708" s="539">
        <f>VLOOKUP(D1708,upahbahan,3,FALSE)</f>
        <v>160000</v>
      </c>
      <c r="H1708" s="539">
        <f t="shared" si="167"/>
        <v>320</v>
      </c>
      <c r="J1708" s="536"/>
      <c r="K1708" s="824"/>
    </row>
    <row r="1709" spans="3:11" ht="25.8" customHeight="1">
      <c r="C1709" s="702" t="s">
        <v>1208</v>
      </c>
      <c r="D1709" s="208"/>
      <c r="E1709" s="208"/>
      <c r="F1709" s="811"/>
      <c r="G1709" s="522"/>
      <c r="H1709" s="539">
        <f>SUM(H1705:H1708)</f>
        <v>10450</v>
      </c>
      <c r="I1709" s="819"/>
      <c r="J1709" s="536"/>
      <c r="K1709" s="824"/>
    </row>
    <row r="1710" spans="3:11" ht="25.8" customHeight="1">
      <c r="C1710" s="213" t="s">
        <v>1209</v>
      </c>
      <c r="D1710" s="212" t="s">
        <v>1210</v>
      </c>
      <c r="E1710" s="534"/>
      <c r="F1710" s="831"/>
      <c r="G1710" s="534"/>
      <c r="H1710" s="534"/>
      <c r="J1710" s="536"/>
      <c r="K1710" s="824"/>
    </row>
    <row r="1711" spans="3:11" ht="25.8" customHeight="1">
      <c r="C1711" s="833" t="s">
        <v>1203</v>
      </c>
      <c r="D1711" s="820" t="s">
        <v>877</v>
      </c>
      <c r="E1711" s="807" t="s">
        <v>113</v>
      </c>
      <c r="F1711" s="538">
        <v>1.2</v>
      </c>
      <c r="G1711" s="539">
        <f>VLOOKUP(D1711,upahbahan,3,FALSE)</f>
        <v>66000</v>
      </c>
      <c r="H1711" s="539">
        <f t="shared" ref="H1711" si="168">F1711*G1711</f>
        <v>79200</v>
      </c>
      <c r="J1711" s="536"/>
      <c r="K1711" s="824"/>
    </row>
    <row r="1712" spans="3:11" ht="25.8" customHeight="1">
      <c r="C1712" s="702" t="s">
        <v>1214</v>
      </c>
      <c r="D1712" s="208"/>
      <c r="E1712" s="208"/>
      <c r="F1712" s="208"/>
      <c r="G1712" s="209"/>
      <c r="H1712" s="539">
        <f>SUM(H1711:H1711)</f>
        <v>79200</v>
      </c>
      <c r="J1712" s="536"/>
      <c r="K1712" s="824"/>
    </row>
    <row r="1713" spans="3:11" ht="25.8" customHeight="1">
      <c r="C1713" s="213" t="s">
        <v>1215</v>
      </c>
      <c r="D1713" s="212" t="s">
        <v>1216</v>
      </c>
      <c r="E1713" s="534"/>
      <c r="F1713" s="534"/>
      <c r="G1713" s="534"/>
      <c r="H1713" s="534"/>
      <c r="J1713" s="536"/>
      <c r="K1713" s="824"/>
    </row>
    <row r="1714" spans="3:11" ht="25.8" customHeight="1">
      <c r="C1714" s="702" t="s">
        <v>1217</v>
      </c>
      <c r="D1714" s="208"/>
      <c r="E1714" s="208"/>
      <c r="F1714" s="208"/>
      <c r="G1714" s="209"/>
      <c r="H1714" s="821">
        <v>0</v>
      </c>
      <c r="J1714" s="536"/>
      <c r="K1714" s="824"/>
    </row>
    <row r="1715" spans="3:11" ht="25.8" customHeight="1">
      <c r="C1715" s="566" t="s">
        <v>1218</v>
      </c>
      <c r="D1715" s="552" t="s">
        <v>1219</v>
      </c>
      <c r="E1715" s="553"/>
      <c r="F1715" s="553"/>
      <c r="G1715" s="554"/>
      <c r="H1715" s="826">
        <f>H1714+H1712+H1709</f>
        <v>89650</v>
      </c>
      <c r="I1715" s="827"/>
      <c r="J1715" s="536"/>
      <c r="K1715" s="824"/>
    </row>
    <row r="1716" spans="3:11" ht="25.8" customHeight="1">
      <c r="C1716" s="566" t="s">
        <v>1220</v>
      </c>
      <c r="D1716" s="552" t="s">
        <v>1321</v>
      </c>
      <c r="E1716" s="553"/>
      <c r="F1716" s="554"/>
      <c r="G1716" s="555">
        <f>$M$9</f>
        <v>0.1</v>
      </c>
      <c r="H1716" s="539">
        <f>H1715*G1716</f>
        <v>8965</v>
      </c>
      <c r="I1716" s="827"/>
      <c r="J1716" s="536"/>
      <c r="K1716" s="824"/>
    </row>
    <row r="1717" spans="3:11" ht="25.8" customHeight="1">
      <c r="C1717" s="566" t="s">
        <v>1221</v>
      </c>
      <c r="D1717" s="552" t="s">
        <v>1222</v>
      </c>
      <c r="E1717" s="553"/>
      <c r="F1717" s="553"/>
      <c r="G1717" s="554"/>
      <c r="H1717" s="828">
        <f>SUM(H1715:H1716)</f>
        <v>98615</v>
      </c>
      <c r="I1717" s="827"/>
      <c r="J1717" s="536"/>
      <c r="K1717" s="824"/>
    </row>
    <row r="1718" spans="3:11" ht="25.8" customHeight="1">
      <c r="J1718" s="536"/>
      <c r="K1718" s="824"/>
    </row>
    <row r="1719" spans="3:11" ht="25.8" customHeight="1">
      <c r="C1719" s="513" t="s">
        <v>3340</v>
      </c>
      <c r="D1719" s="817" t="s">
        <v>1722</v>
      </c>
      <c r="E1719" s="803"/>
      <c r="F1719" s="803"/>
      <c r="G1719" s="803"/>
      <c r="H1719" s="803"/>
      <c r="I1719" s="533">
        <f>ROUNDDOWN(H1734,-2)</f>
        <v>106800</v>
      </c>
      <c r="J1719" s="536"/>
      <c r="K1719" s="824"/>
    </row>
    <row r="1720" spans="3:11" ht="25.8" customHeight="1">
      <c r="C1720" s="716" t="s">
        <v>1195</v>
      </c>
      <c r="D1720" s="716" t="s">
        <v>1196</v>
      </c>
      <c r="E1720" s="716" t="s">
        <v>1197</v>
      </c>
      <c r="F1720" s="716" t="s">
        <v>1198</v>
      </c>
      <c r="G1720" s="716" t="s">
        <v>1199</v>
      </c>
      <c r="H1720" s="716" t="s">
        <v>1200</v>
      </c>
      <c r="J1720" s="536"/>
      <c r="K1720" s="824"/>
    </row>
    <row r="1721" spans="3:11" ht="25.8" customHeight="1">
      <c r="C1721" s="213" t="s">
        <v>1201</v>
      </c>
      <c r="D1721" s="212" t="s">
        <v>1202</v>
      </c>
      <c r="E1721" s="534"/>
      <c r="F1721" s="534"/>
      <c r="G1721" s="534"/>
      <c r="H1721" s="534"/>
      <c r="J1721" s="536"/>
      <c r="K1721" s="824"/>
    </row>
    <row r="1722" spans="3:11" ht="25.8" customHeight="1">
      <c r="C1722" s="818">
        <v>1</v>
      </c>
      <c r="D1722" s="212" t="s">
        <v>5</v>
      </c>
      <c r="E1722" s="212" t="s">
        <v>6</v>
      </c>
      <c r="F1722" s="538">
        <v>3.5999999999999997E-2</v>
      </c>
      <c r="G1722" s="539">
        <f>VLOOKUP(D1722,upahbahan,3,FALSE)</f>
        <v>100000</v>
      </c>
      <c r="H1722" s="539">
        <f t="shared" ref="H1722:H1725" si="169">F1722*G1722</f>
        <v>3599.9999999999995</v>
      </c>
      <c r="J1722" s="536"/>
      <c r="K1722" s="824"/>
    </row>
    <row r="1723" spans="3:11" ht="25.8" customHeight="1">
      <c r="C1723" s="818">
        <v>2</v>
      </c>
      <c r="D1723" s="212" t="str">
        <f>D1706</f>
        <v>Tukang listrik</v>
      </c>
      <c r="E1723" s="212" t="s">
        <v>6</v>
      </c>
      <c r="F1723" s="538">
        <v>0.06</v>
      </c>
      <c r="G1723" s="539">
        <f>VLOOKUP(D1723,upahbahan,3,FALSE)</f>
        <v>135000</v>
      </c>
      <c r="H1723" s="539">
        <f t="shared" si="169"/>
        <v>8100</v>
      </c>
      <c r="J1723" s="536"/>
      <c r="K1723" s="824"/>
    </row>
    <row r="1724" spans="3:11" ht="25.8" customHeight="1">
      <c r="C1724" s="818">
        <v>3</v>
      </c>
      <c r="D1724" s="212" t="s">
        <v>18</v>
      </c>
      <c r="E1724" s="212" t="s">
        <v>6</v>
      </c>
      <c r="F1724" s="538">
        <v>6.0000000000000001E-3</v>
      </c>
      <c r="G1724" s="539">
        <f>VLOOKUP(D1724,upahbahan,3,FALSE)</f>
        <v>150000</v>
      </c>
      <c r="H1724" s="539">
        <f t="shared" si="169"/>
        <v>900</v>
      </c>
      <c r="J1724" s="536"/>
      <c r="K1724" s="824"/>
    </row>
    <row r="1725" spans="3:11" ht="25.8" customHeight="1">
      <c r="C1725" s="818">
        <v>4</v>
      </c>
      <c r="D1725" s="212" t="s">
        <v>19</v>
      </c>
      <c r="E1725" s="212" t="s">
        <v>6</v>
      </c>
      <c r="F1725" s="538">
        <v>2E-3</v>
      </c>
      <c r="G1725" s="539">
        <f>VLOOKUP(D1725,upahbahan,3,FALSE)</f>
        <v>160000</v>
      </c>
      <c r="H1725" s="539">
        <f t="shared" si="169"/>
        <v>320</v>
      </c>
      <c r="J1725" s="536"/>
      <c r="K1725" s="824"/>
    </row>
    <row r="1726" spans="3:11" ht="25.8" customHeight="1">
      <c r="C1726" s="702" t="s">
        <v>1208</v>
      </c>
      <c r="D1726" s="208"/>
      <c r="E1726" s="208"/>
      <c r="F1726" s="811"/>
      <c r="G1726" s="522"/>
      <c r="H1726" s="539">
        <f>SUM(H1722:H1725)</f>
        <v>12920</v>
      </c>
      <c r="I1726" s="819"/>
      <c r="J1726" s="536"/>
      <c r="K1726" s="824"/>
    </row>
    <row r="1727" spans="3:11" ht="25.8" customHeight="1">
      <c r="C1727" s="213" t="s">
        <v>1209</v>
      </c>
      <c r="D1727" s="212" t="s">
        <v>1210</v>
      </c>
      <c r="E1727" s="534"/>
      <c r="F1727" s="831"/>
      <c r="G1727" s="534"/>
      <c r="H1727" s="534"/>
      <c r="J1727" s="536"/>
      <c r="K1727" s="824"/>
    </row>
    <row r="1728" spans="3:11" ht="25.8" customHeight="1">
      <c r="C1728" s="833" t="s">
        <v>1203</v>
      </c>
      <c r="D1728" s="820" t="s">
        <v>879</v>
      </c>
      <c r="E1728" s="807" t="s">
        <v>113</v>
      </c>
      <c r="F1728" s="538">
        <v>1.2</v>
      </c>
      <c r="G1728" s="539">
        <f>VLOOKUP(D1728,upahbahan,3,FALSE)</f>
        <v>70200</v>
      </c>
      <c r="H1728" s="539">
        <f t="shared" ref="H1728" si="170">F1728*G1728</f>
        <v>84240</v>
      </c>
      <c r="J1728" s="536"/>
      <c r="K1728" s="824"/>
    </row>
    <row r="1729" spans="3:11" ht="25.8" customHeight="1">
      <c r="C1729" s="702" t="s">
        <v>1214</v>
      </c>
      <c r="D1729" s="208"/>
      <c r="E1729" s="208"/>
      <c r="F1729" s="208"/>
      <c r="G1729" s="209"/>
      <c r="H1729" s="539">
        <f>SUM(H1728:H1728)</f>
        <v>84240</v>
      </c>
      <c r="J1729" s="536"/>
      <c r="K1729" s="824"/>
    </row>
    <row r="1730" spans="3:11" ht="25.8" customHeight="1">
      <c r="C1730" s="213" t="s">
        <v>1215</v>
      </c>
      <c r="D1730" s="212" t="s">
        <v>1216</v>
      </c>
      <c r="E1730" s="534"/>
      <c r="F1730" s="534"/>
      <c r="G1730" s="534"/>
      <c r="H1730" s="534"/>
      <c r="J1730" s="536"/>
      <c r="K1730" s="824"/>
    </row>
    <row r="1731" spans="3:11" ht="25.8" customHeight="1">
      <c r="C1731" s="702" t="s">
        <v>1217</v>
      </c>
      <c r="D1731" s="208"/>
      <c r="E1731" s="208"/>
      <c r="F1731" s="208"/>
      <c r="G1731" s="209"/>
      <c r="H1731" s="821">
        <v>0</v>
      </c>
      <c r="J1731" s="536"/>
      <c r="K1731" s="824"/>
    </row>
    <row r="1732" spans="3:11" ht="25.8" customHeight="1">
      <c r="C1732" s="566" t="s">
        <v>1218</v>
      </c>
      <c r="D1732" s="552" t="s">
        <v>1219</v>
      </c>
      <c r="E1732" s="553"/>
      <c r="F1732" s="553"/>
      <c r="G1732" s="554"/>
      <c r="H1732" s="826">
        <f>H1731+H1729+H1726</f>
        <v>97160</v>
      </c>
      <c r="I1732" s="827"/>
      <c r="J1732" s="536"/>
      <c r="K1732" s="824"/>
    </row>
    <row r="1733" spans="3:11" ht="25.8" customHeight="1">
      <c r="C1733" s="566" t="s">
        <v>1220</v>
      </c>
      <c r="D1733" s="552" t="s">
        <v>1321</v>
      </c>
      <c r="E1733" s="553"/>
      <c r="F1733" s="554"/>
      <c r="G1733" s="555">
        <f>$M$9</f>
        <v>0.1</v>
      </c>
      <c r="H1733" s="539">
        <f>H1732*G1733</f>
        <v>9716</v>
      </c>
      <c r="I1733" s="827"/>
      <c r="J1733" s="536"/>
      <c r="K1733" s="824"/>
    </row>
    <row r="1734" spans="3:11" ht="25.8" customHeight="1">
      <c r="C1734" s="566" t="s">
        <v>1221</v>
      </c>
      <c r="D1734" s="552" t="s">
        <v>1222</v>
      </c>
      <c r="E1734" s="553"/>
      <c r="F1734" s="553"/>
      <c r="G1734" s="554"/>
      <c r="H1734" s="828">
        <f>SUM(H1732:H1733)</f>
        <v>106876</v>
      </c>
      <c r="I1734" s="827"/>
      <c r="J1734" s="536"/>
      <c r="K1734" s="824"/>
    </row>
    <row r="1735" spans="3:11" ht="25.8" customHeight="1">
      <c r="J1735" s="536"/>
      <c r="K1735" s="824"/>
    </row>
    <row r="1736" spans="3:11" ht="25.8" customHeight="1">
      <c r="C1736" s="513" t="s">
        <v>3341</v>
      </c>
      <c r="D1736" s="817" t="s">
        <v>1723</v>
      </c>
      <c r="E1736" s="803"/>
      <c r="F1736" s="803"/>
      <c r="G1736" s="803"/>
      <c r="H1736" s="803"/>
      <c r="I1736" s="533">
        <f>ROUNDDOWN(H1751,-2)</f>
        <v>147000</v>
      </c>
      <c r="J1736" s="536"/>
      <c r="K1736" s="824"/>
    </row>
    <row r="1737" spans="3:11" ht="25.8" customHeight="1">
      <c r="C1737" s="716" t="s">
        <v>1195</v>
      </c>
      <c r="D1737" s="716" t="s">
        <v>1196</v>
      </c>
      <c r="E1737" s="716" t="s">
        <v>1197</v>
      </c>
      <c r="F1737" s="716" t="s">
        <v>1198</v>
      </c>
      <c r="G1737" s="716" t="s">
        <v>1199</v>
      </c>
      <c r="H1737" s="716" t="s">
        <v>1200</v>
      </c>
      <c r="J1737" s="536"/>
      <c r="K1737" s="824"/>
    </row>
    <row r="1738" spans="3:11" ht="25.8" customHeight="1">
      <c r="C1738" s="213" t="s">
        <v>1201</v>
      </c>
      <c r="D1738" s="212" t="s">
        <v>1202</v>
      </c>
      <c r="E1738" s="534"/>
      <c r="F1738" s="534"/>
      <c r="G1738" s="534"/>
      <c r="H1738" s="534"/>
      <c r="J1738" s="536"/>
      <c r="K1738" s="824"/>
    </row>
    <row r="1739" spans="3:11" ht="25.8" customHeight="1">
      <c r="C1739" s="818">
        <v>1</v>
      </c>
      <c r="D1739" s="212" t="s">
        <v>5</v>
      </c>
      <c r="E1739" s="212" t="s">
        <v>6</v>
      </c>
      <c r="F1739" s="538">
        <v>3.5999999999999997E-2</v>
      </c>
      <c r="G1739" s="539">
        <f>VLOOKUP(D1739,upahbahan,3,FALSE)</f>
        <v>100000</v>
      </c>
      <c r="H1739" s="539">
        <f t="shared" ref="H1739:H1742" si="171">F1739*G1739</f>
        <v>3599.9999999999995</v>
      </c>
      <c r="J1739" s="536"/>
      <c r="K1739" s="824"/>
    </row>
    <row r="1740" spans="3:11" ht="25.8" customHeight="1">
      <c r="C1740" s="818">
        <v>2</v>
      </c>
      <c r="D1740" s="212" t="str">
        <f>D1723</f>
        <v>Tukang listrik</v>
      </c>
      <c r="E1740" s="212" t="s">
        <v>6</v>
      </c>
      <c r="F1740" s="538">
        <v>0.06</v>
      </c>
      <c r="G1740" s="539">
        <f>VLOOKUP(D1740,upahbahan,3,FALSE)</f>
        <v>135000</v>
      </c>
      <c r="H1740" s="539">
        <f t="shared" si="171"/>
        <v>8100</v>
      </c>
      <c r="J1740" s="536"/>
      <c r="K1740" s="824"/>
    </row>
    <row r="1741" spans="3:11" ht="25.8" customHeight="1">
      <c r="C1741" s="818">
        <v>3</v>
      </c>
      <c r="D1741" s="212" t="s">
        <v>18</v>
      </c>
      <c r="E1741" s="212" t="s">
        <v>6</v>
      </c>
      <c r="F1741" s="538">
        <v>6.0000000000000001E-3</v>
      </c>
      <c r="G1741" s="539">
        <f>VLOOKUP(D1741,upahbahan,3,FALSE)</f>
        <v>150000</v>
      </c>
      <c r="H1741" s="539">
        <f t="shared" si="171"/>
        <v>900</v>
      </c>
      <c r="J1741" s="536"/>
      <c r="K1741" s="824"/>
    </row>
    <row r="1742" spans="3:11" ht="25.8" customHeight="1">
      <c r="C1742" s="818">
        <v>4</v>
      </c>
      <c r="D1742" s="212" t="s">
        <v>19</v>
      </c>
      <c r="E1742" s="212" t="s">
        <v>6</v>
      </c>
      <c r="F1742" s="538">
        <v>2E-3</v>
      </c>
      <c r="G1742" s="539">
        <f>VLOOKUP(D1742,upahbahan,3,FALSE)</f>
        <v>160000</v>
      </c>
      <c r="H1742" s="539">
        <f t="shared" si="171"/>
        <v>320</v>
      </c>
      <c r="J1742" s="536"/>
      <c r="K1742" s="824"/>
    </row>
    <row r="1743" spans="3:11" ht="25.8" customHeight="1">
      <c r="C1743" s="702" t="s">
        <v>1208</v>
      </c>
      <c r="D1743" s="208"/>
      <c r="E1743" s="208"/>
      <c r="F1743" s="811"/>
      <c r="G1743" s="522"/>
      <c r="H1743" s="539">
        <f>SUM(H1739:H1742)</f>
        <v>12920</v>
      </c>
      <c r="I1743" s="819"/>
      <c r="J1743" s="536"/>
      <c r="K1743" s="824"/>
    </row>
    <row r="1744" spans="3:11" ht="25.8" customHeight="1">
      <c r="C1744" s="213" t="s">
        <v>1209</v>
      </c>
      <c r="D1744" s="212" t="s">
        <v>1210</v>
      </c>
      <c r="E1744" s="534"/>
      <c r="F1744" s="831"/>
      <c r="G1744" s="534"/>
      <c r="H1744" s="534"/>
      <c r="J1744" s="536"/>
      <c r="K1744" s="824"/>
    </row>
    <row r="1745" spans="3:11" ht="25.8" customHeight="1">
      <c r="C1745" s="833" t="s">
        <v>1203</v>
      </c>
      <c r="D1745" s="820" t="s">
        <v>867</v>
      </c>
      <c r="E1745" s="807" t="s">
        <v>113</v>
      </c>
      <c r="F1745" s="538">
        <v>1.2</v>
      </c>
      <c r="G1745" s="539">
        <f>VLOOKUP(D1745,upahbahan,3,FALSE)</f>
        <v>100600</v>
      </c>
      <c r="H1745" s="539">
        <f>F1745*G1745</f>
        <v>120720</v>
      </c>
      <c r="J1745" s="536"/>
      <c r="K1745" s="824"/>
    </row>
    <row r="1746" spans="3:11" ht="25.8" customHeight="1">
      <c r="C1746" s="702" t="s">
        <v>1214</v>
      </c>
      <c r="D1746" s="208"/>
      <c r="E1746" s="208"/>
      <c r="F1746" s="208"/>
      <c r="G1746" s="209"/>
      <c r="H1746" s="539">
        <f>SUM(H1745:H1745)</f>
        <v>120720</v>
      </c>
      <c r="J1746" s="536"/>
      <c r="K1746" s="824"/>
    </row>
    <row r="1747" spans="3:11" ht="25.8" customHeight="1">
      <c r="C1747" s="213" t="s">
        <v>1215</v>
      </c>
      <c r="D1747" s="212" t="s">
        <v>1216</v>
      </c>
      <c r="E1747" s="534"/>
      <c r="F1747" s="534"/>
      <c r="G1747" s="534"/>
      <c r="H1747" s="534"/>
      <c r="J1747" s="536"/>
      <c r="K1747" s="824"/>
    </row>
    <row r="1748" spans="3:11" ht="25.8" customHeight="1">
      <c r="C1748" s="702" t="s">
        <v>1217</v>
      </c>
      <c r="D1748" s="208"/>
      <c r="E1748" s="208"/>
      <c r="F1748" s="208"/>
      <c r="G1748" s="209"/>
      <c r="H1748" s="821">
        <v>0</v>
      </c>
      <c r="J1748" s="536"/>
      <c r="K1748" s="824"/>
    </row>
    <row r="1749" spans="3:11" ht="25.8" customHeight="1">
      <c r="C1749" s="566" t="s">
        <v>1218</v>
      </c>
      <c r="D1749" s="552" t="s">
        <v>1219</v>
      </c>
      <c r="E1749" s="553"/>
      <c r="F1749" s="553"/>
      <c r="G1749" s="554"/>
      <c r="H1749" s="826">
        <f>H1748+H1746+H1743</f>
        <v>133640</v>
      </c>
      <c r="I1749" s="827"/>
      <c r="J1749" s="536"/>
      <c r="K1749" s="824"/>
    </row>
    <row r="1750" spans="3:11" ht="25.8" customHeight="1">
      <c r="C1750" s="566" t="s">
        <v>1220</v>
      </c>
      <c r="D1750" s="552" t="s">
        <v>1321</v>
      </c>
      <c r="E1750" s="553"/>
      <c r="F1750" s="554"/>
      <c r="G1750" s="555">
        <f>$M$9</f>
        <v>0.1</v>
      </c>
      <c r="H1750" s="539">
        <f>H1749*G1750</f>
        <v>13364</v>
      </c>
      <c r="I1750" s="827"/>
      <c r="J1750" s="536"/>
      <c r="K1750" s="824"/>
    </row>
    <row r="1751" spans="3:11" ht="25.8" customHeight="1">
      <c r="C1751" s="566" t="s">
        <v>1221</v>
      </c>
      <c r="D1751" s="552" t="s">
        <v>1222</v>
      </c>
      <c r="E1751" s="553"/>
      <c r="F1751" s="553"/>
      <c r="G1751" s="554"/>
      <c r="H1751" s="828">
        <f>SUM(H1749:H1750)</f>
        <v>147004</v>
      </c>
      <c r="I1751" s="827"/>
      <c r="J1751" s="536"/>
      <c r="K1751" s="824"/>
    </row>
    <row r="1752" spans="3:11" ht="25.8" customHeight="1">
      <c r="J1752" s="536"/>
      <c r="K1752" s="824"/>
    </row>
    <row r="1753" spans="3:11" ht="25.8" customHeight="1">
      <c r="C1753" s="513" t="s">
        <v>3342</v>
      </c>
      <c r="D1753" s="817" t="s">
        <v>1724</v>
      </c>
      <c r="E1753" s="803"/>
      <c r="F1753" s="803"/>
      <c r="G1753" s="803"/>
      <c r="H1753" s="803"/>
      <c r="I1753" s="533">
        <f>ROUNDDOWN(H1768,-2)</f>
        <v>229200</v>
      </c>
      <c r="J1753" s="536"/>
      <c r="K1753" s="824"/>
    </row>
    <row r="1754" spans="3:11" ht="25.8" customHeight="1">
      <c r="C1754" s="716" t="s">
        <v>1195</v>
      </c>
      <c r="D1754" s="716" t="s">
        <v>1196</v>
      </c>
      <c r="E1754" s="716" t="s">
        <v>1197</v>
      </c>
      <c r="F1754" s="716" t="s">
        <v>1198</v>
      </c>
      <c r="G1754" s="716" t="s">
        <v>1199</v>
      </c>
      <c r="H1754" s="716" t="s">
        <v>1200</v>
      </c>
      <c r="J1754" s="536"/>
      <c r="K1754" s="824"/>
    </row>
    <row r="1755" spans="3:11" ht="25.8" customHeight="1">
      <c r="C1755" s="213" t="s">
        <v>1201</v>
      </c>
      <c r="D1755" s="212" t="s">
        <v>1202</v>
      </c>
      <c r="E1755" s="534"/>
      <c r="F1755" s="534"/>
      <c r="G1755" s="534"/>
      <c r="H1755" s="534"/>
      <c r="J1755" s="536"/>
      <c r="K1755" s="824"/>
    </row>
    <row r="1756" spans="3:11" ht="25.8" customHeight="1">
      <c r="C1756" s="818">
        <v>1</v>
      </c>
      <c r="D1756" s="212" t="s">
        <v>5</v>
      </c>
      <c r="E1756" s="212" t="s">
        <v>6</v>
      </c>
      <c r="F1756" s="538">
        <v>4.8000000000000001E-2</v>
      </c>
      <c r="G1756" s="539">
        <f>VLOOKUP(D1756,upahbahan,3,FALSE)</f>
        <v>100000</v>
      </c>
      <c r="H1756" s="539">
        <f t="shared" ref="H1756:H1759" si="172">F1756*G1756</f>
        <v>4800</v>
      </c>
      <c r="J1756" s="536"/>
      <c r="K1756" s="824"/>
    </row>
    <row r="1757" spans="3:11" ht="25.8" customHeight="1">
      <c r="C1757" s="818">
        <v>2</v>
      </c>
      <c r="D1757" s="212" t="str">
        <f>D1740</f>
        <v>Tukang listrik</v>
      </c>
      <c r="E1757" s="212" t="s">
        <v>6</v>
      </c>
      <c r="F1757" s="538">
        <v>0.08</v>
      </c>
      <c r="G1757" s="539">
        <f>VLOOKUP(D1757,upahbahan,3,FALSE)</f>
        <v>135000</v>
      </c>
      <c r="H1757" s="539">
        <f t="shared" si="172"/>
        <v>10800</v>
      </c>
      <c r="J1757" s="536"/>
      <c r="K1757" s="824"/>
    </row>
    <row r="1758" spans="3:11" ht="25.8" customHeight="1">
      <c r="C1758" s="818">
        <v>3</v>
      </c>
      <c r="D1758" s="212" t="s">
        <v>18</v>
      </c>
      <c r="E1758" s="212" t="s">
        <v>6</v>
      </c>
      <c r="F1758" s="538">
        <v>8.0000000000000002E-3</v>
      </c>
      <c r="G1758" s="539">
        <f>VLOOKUP(D1758,upahbahan,3,FALSE)</f>
        <v>150000</v>
      </c>
      <c r="H1758" s="539">
        <f t="shared" si="172"/>
        <v>1200</v>
      </c>
      <c r="J1758" s="536"/>
      <c r="K1758" s="824"/>
    </row>
    <row r="1759" spans="3:11" ht="25.8" customHeight="1">
      <c r="C1759" s="818">
        <v>4</v>
      </c>
      <c r="D1759" s="212" t="s">
        <v>19</v>
      </c>
      <c r="E1759" s="212" t="s">
        <v>6</v>
      </c>
      <c r="F1759" s="538">
        <v>3.0000000000000001E-3</v>
      </c>
      <c r="G1759" s="539">
        <f>VLOOKUP(D1759,upahbahan,3,FALSE)</f>
        <v>160000</v>
      </c>
      <c r="H1759" s="539">
        <f t="shared" si="172"/>
        <v>480</v>
      </c>
      <c r="J1759" s="536"/>
      <c r="K1759" s="824"/>
    </row>
    <row r="1760" spans="3:11" ht="25.8" customHeight="1">
      <c r="C1760" s="702" t="s">
        <v>1208</v>
      </c>
      <c r="D1760" s="208"/>
      <c r="E1760" s="208"/>
      <c r="F1760" s="811"/>
      <c r="G1760" s="522"/>
      <c r="H1760" s="539">
        <f>SUM(H1756:H1759)</f>
        <v>17280</v>
      </c>
      <c r="I1760" s="819"/>
      <c r="J1760" s="536"/>
      <c r="K1760" s="824"/>
    </row>
    <row r="1761" spans="3:11" ht="25.8" customHeight="1">
      <c r="C1761" s="213" t="s">
        <v>1209</v>
      </c>
      <c r="D1761" s="212" t="s">
        <v>1210</v>
      </c>
      <c r="E1761" s="534"/>
      <c r="F1761" s="831"/>
      <c r="G1761" s="534"/>
      <c r="H1761" s="534"/>
      <c r="J1761" s="536"/>
      <c r="K1761" s="824"/>
    </row>
    <row r="1762" spans="3:11" ht="25.8" customHeight="1">
      <c r="C1762" s="833" t="s">
        <v>1203</v>
      </c>
      <c r="D1762" s="820" t="s">
        <v>870</v>
      </c>
      <c r="E1762" s="807" t="s">
        <v>113</v>
      </c>
      <c r="F1762" s="538">
        <v>1.2</v>
      </c>
      <c r="G1762" s="539">
        <f>VLOOKUP(D1762,upahbahan,3,FALSE)</f>
        <v>159300</v>
      </c>
      <c r="H1762" s="539">
        <f t="shared" ref="H1762" si="173">F1762*G1762</f>
        <v>191160</v>
      </c>
      <c r="J1762" s="536"/>
      <c r="K1762" s="824"/>
    </row>
    <row r="1763" spans="3:11" ht="25.8" customHeight="1">
      <c r="C1763" s="702" t="s">
        <v>1214</v>
      </c>
      <c r="D1763" s="208"/>
      <c r="E1763" s="208"/>
      <c r="F1763" s="208"/>
      <c r="G1763" s="209"/>
      <c r="H1763" s="539">
        <f>SUM(H1762:H1762)</f>
        <v>191160</v>
      </c>
      <c r="J1763" s="536"/>
      <c r="K1763" s="824"/>
    </row>
    <row r="1764" spans="3:11" ht="25.8" customHeight="1">
      <c r="C1764" s="213" t="s">
        <v>1215</v>
      </c>
      <c r="D1764" s="212" t="s">
        <v>1216</v>
      </c>
      <c r="E1764" s="534"/>
      <c r="F1764" s="534"/>
      <c r="G1764" s="534"/>
      <c r="H1764" s="534"/>
      <c r="J1764" s="536"/>
      <c r="K1764" s="824"/>
    </row>
    <row r="1765" spans="3:11" ht="25.8" customHeight="1">
      <c r="C1765" s="702" t="s">
        <v>1217</v>
      </c>
      <c r="D1765" s="208"/>
      <c r="E1765" s="208"/>
      <c r="F1765" s="208"/>
      <c r="G1765" s="209"/>
      <c r="H1765" s="821">
        <v>0</v>
      </c>
      <c r="J1765" s="536"/>
      <c r="K1765" s="824"/>
    </row>
    <row r="1766" spans="3:11" ht="25.8" customHeight="1">
      <c r="C1766" s="566" t="s">
        <v>1218</v>
      </c>
      <c r="D1766" s="552" t="s">
        <v>1219</v>
      </c>
      <c r="E1766" s="553"/>
      <c r="F1766" s="553"/>
      <c r="G1766" s="554"/>
      <c r="H1766" s="826">
        <f>H1765+H1763+H1760</f>
        <v>208440</v>
      </c>
      <c r="I1766" s="827"/>
      <c r="J1766" s="536"/>
      <c r="K1766" s="824"/>
    </row>
    <row r="1767" spans="3:11" ht="25.8" customHeight="1">
      <c r="C1767" s="566" t="s">
        <v>1220</v>
      </c>
      <c r="D1767" s="552" t="s">
        <v>1321</v>
      </c>
      <c r="E1767" s="553"/>
      <c r="F1767" s="554"/>
      <c r="G1767" s="555">
        <f>$M$9</f>
        <v>0.1</v>
      </c>
      <c r="H1767" s="539">
        <f>H1766*G1767</f>
        <v>20844</v>
      </c>
      <c r="I1767" s="827"/>
      <c r="J1767" s="536"/>
      <c r="K1767" s="824"/>
    </row>
    <row r="1768" spans="3:11" ht="25.8" customHeight="1">
      <c r="C1768" s="566" t="s">
        <v>1221</v>
      </c>
      <c r="D1768" s="552" t="s">
        <v>1222</v>
      </c>
      <c r="E1768" s="553"/>
      <c r="F1768" s="553"/>
      <c r="G1768" s="554"/>
      <c r="H1768" s="828">
        <f>SUM(H1766:H1767)</f>
        <v>229284</v>
      </c>
      <c r="I1768" s="827"/>
      <c r="J1768" s="536"/>
      <c r="K1768" s="824"/>
    </row>
    <row r="1769" spans="3:11" ht="25.8" customHeight="1">
      <c r="J1769" s="536"/>
      <c r="K1769" s="824"/>
    </row>
    <row r="1770" spans="3:11" ht="25.8" customHeight="1">
      <c r="C1770" s="513" t="s">
        <v>3343</v>
      </c>
      <c r="D1770" s="817" t="s">
        <v>1725</v>
      </c>
      <c r="E1770" s="803"/>
      <c r="F1770" s="803"/>
      <c r="G1770" s="803"/>
      <c r="H1770" s="803"/>
      <c r="I1770" s="533">
        <f>ROUNDDOWN(H1785,-2)</f>
        <v>349700</v>
      </c>
      <c r="J1770" s="536"/>
      <c r="K1770" s="824"/>
    </row>
    <row r="1771" spans="3:11" ht="25.8" customHeight="1">
      <c r="C1771" s="716" t="s">
        <v>1195</v>
      </c>
      <c r="D1771" s="716" t="s">
        <v>1196</v>
      </c>
      <c r="E1771" s="716" t="s">
        <v>1197</v>
      </c>
      <c r="F1771" s="716" t="s">
        <v>1198</v>
      </c>
      <c r="G1771" s="716" t="s">
        <v>1199</v>
      </c>
      <c r="H1771" s="716" t="s">
        <v>1200</v>
      </c>
      <c r="J1771" s="536"/>
      <c r="K1771" s="824"/>
    </row>
    <row r="1772" spans="3:11" ht="25.8" customHeight="1">
      <c r="C1772" s="213" t="s">
        <v>1201</v>
      </c>
      <c r="D1772" s="212" t="s">
        <v>1202</v>
      </c>
      <c r="E1772" s="534"/>
      <c r="F1772" s="534"/>
      <c r="G1772" s="534"/>
      <c r="H1772" s="534"/>
      <c r="J1772" s="536"/>
      <c r="K1772" s="824"/>
    </row>
    <row r="1773" spans="3:11" ht="25.8" customHeight="1">
      <c r="C1773" s="818">
        <v>1</v>
      </c>
      <c r="D1773" s="212" t="s">
        <v>5</v>
      </c>
      <c r="E1773" s="212" t="s">
        <v>6</v>
      </c>
      <c r="F1773" s="538">
        <v>0.06</v>
      </c>
      <c r="G1773" s="539">
        <f>VLOOKUP(D1773,upahbahan,3,FALSE)</f>
        <v>100000</v>
      </c>
      <c r="H1773" s="539">
        <f t="shared" ref="H1773:H1776" si="174">F1773*G1773</f>
        <v>6000</v>
      </c>
      <c r="J1773" s="536"/>
      <c r="K1773" s="824"/>
    </row>
    <row r="1774" spans="3:11" ht="25.8" customHeight="1">
      <c r="C1774" s="818">
        <v>2</v>
      </c>
      <c r="D1774" s="212" t="str">
        <f>D1757</f>
        <v>Tukang listrik</v>
      </c>
      <c r="E1774" s="212" t="s">
        <v>6</v>
      </c>
      <c r="F1774" s="538">
        <v>9.9000000000000005E-2</v>
      </c>
      <c r="G1774" s="539">
        <f>VLOOKUP(D1774,upahbahan,3,FALSE)</f>
        <v>135000</v>
      </c>
      <c r="H1774" s="539">
        <f t="shared" si="174"/>
        <v>13365</v>
      </c>
      <c r="J1774" s="536"/>
      <c r="K1774" s="824"/>
    </row>
    <row r="1775" spans="3:11" ht="25.8" customHeight="1">
      <c r="C1775" s="818">
        <v>3</v>
      </c>
      <c r="D1775" s="212" t="s">
        <v>18</v>
      </c>
      <c r="E1775" s="212" t="s">
        <v>6</v>
      </c>
      <c r="F1775" s="538">
        <v>0.01</v>
      </c>
      <c r="G1775" s="539">
        <f>VLOOKUP(D1775,upahbahan,3,FALSE)</f>
        <v>150000</v>
      </c>
      <c r="H1775" s="539">
        <f t="shared" si="174"/>
        <v>1500</v>
      </c>
      <c r="J1775" s="536"/>
      <c r="K1775" s="824"/>
    </row>
    <row r="1776" spans="3:11" ht="25.8" customHeight="1">
      <c r="C1776" s="818">
        <v>4</v>
      </c>
      <c r="D1776" s="212" t="s">
        <v>19</v>
      </c>
      <c r="E1776" s="212" t="s">
        <v>6</v>
      </c>
      <c r="F1776" s="538">
        <v>3.0000000000000001E-3</v>
      </c>
      <c r="G1776" s="539">
        <f>VLOOKUP(D1776,upahbahan,3,FALSE)</f>
        <v>160000</v>
      </c>
      <c r="H1776" s="539">
        <f t="shared" si="174"/>
        <v>480</v>
      </c>
      <c r="J1776" s="536"/>
      <c r="K1776" s="824"/>
    </row>
    <row r="1777" spans="3:11" ht="25.8" customHeight="1">
      <c r="C1777" s="702" t="s">
        <v>1208</v>
      </c>
      <c r="D1777" s="208"/>
      <c r="E1777" s="208"/>
      <c r="F1777" s="811"/>
      <c r="G1777" s="522"/>
      <c r="H1777" s="539">
        <f>SUM(H1773:H1776)</f>
        <v>21345</v>
      </c>
      <c r="I1777" s="819"/>
      <c r="J1777" s="536"/>
      <c r="K1777" s="824"/>
    </row>
    <row r="1778" spans="3:11" ht="25.8" customHeight="1">
      <c r="C1778" s="213" t="s">
        <v>1209</v>
      </c>
      <c r="D1778" s="212" t="s">
        <v>1210</v>
      </c>
      <c r="E1778" s="534"/>
      <c r="F1778" s="831"/>
      <c r="G1778" s="534"/>
      <c r="H1778" s="534"/>
      <c r="J1778" s="536"/>
      <c r="K1778" s="824"/>
    </row>
    <row r="1779" spans="3:11" ht="25.8" customHeight="1">
      <c r="C1779" s="833" t="s">
        <v>1203</v>
      </c>
      <c r="D1779" s="820" t="s">
        <v>874</v>
      </c>
      <c r="E1779" s="807" t="s">
        <v>113</v>
      </c>
      <c r="F1779" s="538">
        <v>1.2</v>
      </c>
      <c r="G1779" s="539">
        <f>VLOOKUP(D1779,upahbahan,3,FALSE)</f>
        <v>247200</v>
      </c>
      <c r="H1779" s="539">
        <f t="shared" ref="H1779" si="175">F1779*G1779</f>
        <v>296640</v>
      </c>
      <c r="J1779" s="536"/>
      <c r="K1779" s="824"/>
    </row>
    <row r="1780" spans="3:11" ht="25.8" customHeight="1">
      <c r="C1780" s="702" t="s">
        <v>1214</v>
      </c>
      <c r="D1780" s="208"/>
      <c r="E1780" s="208"/>
      <c r="F1780" s="208"/>
      <c r="G1780" s="209"/>
      <c r="H1780" s="539">
        <f>SUM(H1779:H1779)</f>
        <v>296640</v>
      </c>
      <c r="J1780" s="536"/>
      <c r="K1780" s="824"/>
    </row>
    <row r="1781" spans="3:11" ht="25.8" customHeight="1">
      <c r="C1781" s="213" t="s">
        <v>1215</v>
      </c>
      <c r="D1781" s="212" t="s">
        <v>1216</v>
      </c>
      <c r="E1781" s="534"/>
      <c r="F1781" s="534"/>
      <c r="G1781" s="534"/>
      <c r="H1781" s="534"/>
      <c r="J1781" s="536"/>
      <c r="K1781" s="824"/>
    </row>
    <row r="1782" spans="3:11" ht="25.8" customHeight="1">
      <c r="C1782" s="702" t="s">
        <v>1217</v>
      </c>
      <c r="D1782" s="208"/>
      <c r="E1782" s="208"/>
      <c r="F1782" s="208"/>
      <c r="G1782" s="209"/>
      <c r="H1782" s="821">
        <v>0</v>
      </c>
      <c r="J1782" s="536"/>
      <c r="K1782" s="824"/>
    </row>
    <row r="1783" spans="3:11" ht="25.8" customHeight="1">
      <c r="C1783" s="566" t="s">
        <v>1218</v>
      </c>
      <c r="D1783" s="552" t="s">
        <v>1219</v>
      </c>
      <c r="E1783" s="553"/>
      <c r="F1783" s="553"/>
      <c r="G1783" s="554"/>
      <c r="H1783" s="826">
        <f>H1782+H1780+H1777</f>
        <v>317985</v>
      </c>
      <c r="I1783" s="827"/>
      <c r="J1783" s="536"/>
      <c r="K1783" s="824"/>
    </row>
    <row r="1784" spans="3:11" ht="25.8" customHeight="1">
      <c r="C1784" s="566" t="s">
        <v>1220</v>
      </c>
      <c r="D1784" s="552" t="s">
        <v>1321</v>
      </c>
      <c r="E1784" s="553"/>
      <c r="F1784" s="554"/>
      <c r="G1784" s="555">
        <f>$M$9</f>
        <v>0.1</v>
      </c>
      <c r="H1784" s="539">
        <f>H1783*G1784</f>
        <v>31798.5</v>
      </c>
      <c r="I1784" s="827"/>
      <c r="J1784" s="536"/>
      <c r="K1784" s="824"/>
    </row>
    <row r="1785" spans="3:11" ht="25.8" customHeight="1">
      <c r="C1785" s="566" t="s">
        <v>1221</v>
      </c>
      <c r="D1785" s="552" t="s">
        <v>1222</v>
      </c>
      <c r="E1785" s="553"/>
      <c r="F1785" s="553"/>
      <c r="G1785" s="554"/>
      <c r="H1785" s="828">
        <f>SUM(H1783:H1784)</f>
        <v>349783.5</v>
      </c>
      <c r="I1785" s="827"/>
      <c r="J1785" s="536"/>
      <c r="K1785" s="824"/>
    </row>
    <row r="1786" spans="3:11" ht="25.8" customHeight="1">
      <c r="J1786" s="536"/>
      <c r="K1786" s="824"/>
    </row>
    <row r="1787" spans="3:11" ht="25.8" customHeight="1">
      <c r="C1787" s="513" t="s">
        <v>3344</v>
      </c>
      <c r="D1787" s="817" t="s">
        <v>1726</v>
      </c>
      <c r="E1787" s="803"/>
      <c r="F1787" s="803"/>
      <c r="G1787" s="803"/>
      <c r="H1787" s="803"/>
      <c r="I1787" s="533">
        <f>ROUNDDOWN(H1802,-2)</f>
        <v>443600</v>
      </c>
      <c r="J1787" s="536"/>
      <c r="K1787" s="824"/>
    </row>
    <row r="1788" spans="3:11" ht="25.8" customHeight="1">
      <c r="C1788" s="716" t="s">
        <v>1195</v>
      </c>
      <c r="D1788" s="716" t="s">
        <v>1196</v>
      </c>
      <c r="E1788" s="716" t="s">
        <v>1197</v>
      </c>
      <c r="F1788" s="716" t="s">
        <v>1198</v>
      </c>
      <c r="G1788" s="716" t="s">
        <v>1199</v>
      </c>
      <c r="H1788" s="716" t="s">
        <v>1200</v>
      </c>
      <c r="J1788" s="536"/>
      <c r="K1788" s="824"/>
    </row>
    <row r="1789" spans="3:11" ht="25.8" customHeight="1">
      <c r="C1789" s="213" t="s">
        <v>1201</v>
      </c>
      <c r="D1789" s="212" t="s">
        <v>1202</v>
      </c>
      <c r="E1789" s="534"/>
      <c r="F1789" s="534"/>
      <c r="G1789" s="534"/>
      <c r="H1789" s="534"/>
      <c r="J1789" s="536"/>
      <c r="K1789" s="824"/>
    </row>
    <row r="1790" spans="3:11" ht="25.8" customHeight="1">
      <c r="C1790" s="818">
        <v>1</v>
      </c>
      <c r="D1790" s="212" t="s">
        <v>5</v>
      </c>
      <c r="E1790" s="212" t="s">
        <v>6</v>
      </c>
      <c r="F1790" s="829">
        <v>7.0999999999999994E-2</v>
      </c>
      <c r="G1790" s="539">
        <f>VLOOKUP(D1790,upahbahan,3,FALSE)</f>
        <v>100000</v>
      </c>
      <c r="H1790" s="539">
        <f t="shared" ref="H1790:H1793" si="176">F1790*G1790</f>
        <v>7099.9999999999991</v>
      </c>
      <c r="J1790" s="536"/>
      <c r="K1790" s="824"/>
    </row>
    <row r="1791" spans="3:11" ht="25.8" customHeight="1">
      <c r="C1791" s="818">
        <v>2</v>
      </c>
      <c r="D1791" s="212" t="str">
        <f>D1774</f>
        <v>Tukang listrik</v>
      </c>
      <c r="E1791" s="212" t="s">
        <v>6</v>
      </c>
      <c r="F1791" s="829">
        <v>0.11899999999999999</v>
      </c>
      <c r="G1791" s="539">
        <f>VLOOKUP(D1791,upahbahan,3,FALSE)</f>
        <v>135000</v>
      </c>
      <c r="H1791" s="539">
        <f t="shared" si="176"/>
        <v>16065</v>
      </c>
      <c r="J1791" s="536"/>
      <c r="K1791" s="824"/>
    </row>
    <row r="1792" spans="3:11" ht="25.8" customHeight="1">
      <c r="C1792" s="818">
        <v>3</v>
      </c>
      <c r="D1792" s="212" t="s">
        <v>18</v>
      </c>
      <c r="E1792" s="212" t="s">
        <v>6</v>
      </c>
      <c r="F1792" s="829">
        <v>1.2E-2</v>
      </c>
      <c r="G1792" s="539">
        <f>VLOOKUP(D1792,upahbahan,3,FALSE)</f>
        <v>150000</v>
      </c>
      <c r="H1792" s="539">
        <f t="shared" si="176"/>
        <v>1800</v>
      </c>
      <c r="J1792" s="536"/>
      <c r="K1792" s="824"/>
    </row>
    <row r="1793" spans="3:11" ht="25.8" customHeight="1">
      <c r="C1793" s="818">
        <v>4</v>
      </c>
      <c r="D1793" s="212" t="s">
        <v>19</v>
      </c>
      <c r="E1793" s="212" t="s">
        <v>6</v>
      </c>
      <c r="F1793" s="829">
        <v>4.0000000000000001E-3</v>
      </c>
      <c r="G1793" s="539">
        <f>VLOOKUP(D1793,upahbahan,3,FALSE)</f>
        <v>160000</v>
      </c>
      <c r="H1793" s="539">
        <f t="shared" si="176"/>
        <v>640</v>
      </c>
      <c r="J1793" s="536"/>
      <c r="K1793" s="824"/>
    </row>
    <row r="1794" spans="3:11" ht="25.8" customHeight="1">
      <c r="C1794" s="702" t="s">
        <v>1208</v>
      </c>
      <c r="D1794" s="208"/>
      <c r="E1794" s="208"/>
      <c r="F1794" s="811"/>
      <c r="G1794" s="522"/>
      <c r="H1794" s="539">
        <f>SUM(H1790:H1793)</f>
        <v>25605</v>
      </c>
      <c r="I1794" s="819"/>
      <c r="J1794" s="536"/>
      <c r="K1794" s="824"/>
    </row>
    <row r="1795" spans="3:11" ht="25.8" customHeight="1">
      <c r="C1795" s="213" t="s">
        <v>1209</v>
      </c>
      <c r="D1795" s="212" t="s">
        <v>1210</v>
      </c>
      <c r="E1795" s="534"/>
      <c r="F1795" s="831"/>
      <c r="G1795" s="534"/>
      <c r="H1795" s="534"/>
      <c r="J1795" s="536"/>
      <c r="K1795" s="824"/>
    </row>
    <row r="1796" spans="3:11" ht="25.8" customHeight="1">
      <c r="C1796" s="833" t="s">
        <v>1203</v>
      </c>
      <c r="D1796" s="820" t="s">
        <v>876</v>
      </c>
      <c r="E1796" s="807" t="s">
        <v>113</v>
      </c>
      <c r="F1796" s="538">
        <v>1.2</v>
      </c>
      <c r="G1796" s="539">
        <f>VLOOKUP(D1796,upahbahan,3,FALSE)</f>
        <v>314750</v>
      </c>
      <c r="H1796" s="539">
        <f t="shared" ref="H1796" si="177">F1796*G1796</f>
        <v>377700</v>
      </c>
      <c r="J1796" s="536"/>
      <c r="K1796" s="824"/>
    </row>
    <row r="1797" spans="3:11" ht="25.8" customHeight="1">
      <c r="C1797" s="702" t="s">
        <v>1214</v>
      </c>
      <c r="D1797" s="208"/>
      <c r="E1797" s="208"/>
      <c r="F1797" s="208"/>
      <c r="G1797" s="209"/>
      <c r="H1797" s="539">
        <f>SUM(H1796:H1796)</f>
        <v>377700</v>
      </c>
      <c r="J1797" s="536"/>
      <c r="K1797" s="824"/>
    </row>
    <row r="1798" spans="3:11" ht="25.8" customHeight="1">
      <c r="C1798" s="213" t="s">
        <v>1215</v>
      </c>
      <c r="D1798" s="212" t="s">
        <v>1216</v>
      </c>
      <c r="E1798" s="534"/>
      <c r="F1798" s="534"/>
      <c r="G1798" s="534"/>
      <c r="H1798" s="534"/>
      <c r="J1798" s="536"/>
      <c r="K1798" s="824"/>
    </row>
    <row r="1799" spans="3:11" ht="25.8" customHeight="1">
      <c r="C1799" s="702" t="s">
        <v>1217</v>
      </c>
      <c r="D1799" s="208"/>
      <c r="E1799" s="208"/>
      <c r="F1799" s="208"/>
      <c r="G1799" s="209"/>
      <c r="H1799" s="821">
        <v>0</v>
      </c>
      <c r="J1799" s="536"/>
      <c r="K1799" s="824"/>
    </row>
    <row r="1800" spans="3:11" ht="25.8" customHeight="1">
      <c r="C1800" s="566" t="s">
        <v>1218</v>
      </c>
      <c r="D1800" s="552" t="s">
        <v>1219</v>
      </c>
      <c r="E1800" s="553"/>
      <c r="F1800" s="553"/>
      <c r="G1800" s="554"/>
      <c r="H1800" s="826">
        <f>H1799+H1797+H1794</f>
        <v>403305</v>
      </c>
      <c r="I1800" s="827"/>
      <c r="J1800" s="536"/>
      <c r="K1800" s="824"/>
    </row>
    <row r="1801" spans="3:11" ht="25.8" customHeight="1">
      <c r="C1801" s="566" t="s">
        <v>1220</v>
      </c>
      <c r="D1801" s="552" t="s">
        <v>1321</v>
      </c>
      <c r="E1801" s="553"/>
      <c r="F1801" s="554"/>
      <c r="G1801" s="555">
        <f>$M$9</f>
        <v>0.1</v>
      </c>
      <c r="H1801" s="539">
        <f>H1800*G1801</f>
        <v>40330.5</v>
      </c>
      <c r="I1801" s="827"/>
      <c r="J1801" s="536"/>
      <c r="K1801" s="824"/>
    </row>
    <row r="1802" spans="3:11" ht="25.8" customHeight="1">
      <c r="C1802" s="566" t="s">
        <v>1221</v>
      </c>
      <c r="D1802" s="552" t="s">
        <v>1222</v>
      </c>
      <c r="E1802" s="553"/>
      <c r="F1802" s="553"/>
      <c r="G1802" s="554"/>
      <c r="H1802" s="828">
        <f>SUM(H1800:H1801)</f>
        <v>443635.5</v>
      </c>
      <c r="I1802" s="827"/>
      <c r="J1802" s="536"/>
      <c r="K1802" s="824"/>
    </row>
    <row r="1803" spans="3:11" ht="25.8" customHeight="1">
      <c r="J1803" s="536"/>
      <c r="K1803" s="824"/>
    </row>
    <row r="1804" spans="3:11" ht="25.8" customHeight="1">
      <c r="C1804" s="513" t="s">
        <v>3345</v>
      </c>
      <c r="D1804" s="817" t="s">
        <v>1727</v>
      </c>
      <c r="E1804" s="803"/>
      <c r="F1804" s="803"/>
      <c r="G1804" s="803"/>
      <c r="H1804" s="803"/>
      <c r="I1804" s="533">
        <f>ROUNDDOWN(H1819,-2)</f>
        <v>585600</v>
      </c>
      <c r="J1804" s="536"/>
      <c r="K1804" s="824"/>
    </row>
    <row r="1805" spans="3:11" ht="25.8" customHeight="1">
      <c r="C1805" s="716" t="s">
        <v>1195</v>
      </c>
      <c r="D1805" s="716" t="s">
        <v>1196</v>
      </c>
      <c r="E1805" s="716" t="s">
        <v>1197</v>
      </c>
      <c r="F1805" s="716" t="s">
        <v>1198</v>
      </c>
      <c r="G1805" s="716" t="s">
        <v>1199</v>
      </c>
      <c r="H1805" s="716" t="s">
        <v>1200</v>
      </c>
      <c r="J1805" s="536"/>
      <c r="K1805" s="824"/>
    </row>
    <row r="1806" spans="3:11" ht="25.8" customHeight="1">
      <c r="C1806" s="213" t="s">
        <v>1201</v>
      </c>
      <c r="D1806" s="212" t="s">
        <v>1202</v>
      </c>
      <c r="E1806" s="534"/>
      <c r="F1806" s="534"/>
      <c r="G1806" s="534"/>
      <c r="H1806" s="534"/>
      <c r="J1806" s="536"/>
      <c r="K1806" s="824"/>
    </row>
    <row r="1807" spans="3:11" ht="25.8" customHeight="1">
      <c r="C1807" s="818">
        <v>1</v>
      </c>
      <c r="D1807" s="212" t="s">
        <v>5</v>
      </c>
      <c r="E1807" s="212" t="s">
        <v>6</v>
      </c>
      <c r="F1807" s="829">
        <v>0.107</v>
      </c>
      <c r="G1807" s="539">
        <f>VLOOKUP(D1807,upahbahan,3,FALSE)</f>
        <v>100000</v>
      </c>
      <c r="H1807" s="539">
        <f t="shared" ref="H1807:H1810" si="178">F1807*G1807</f>
        <v>10700</v>
      </c>
      <c r="J1807" s="536"/>
      <c r="K1807" s="824"/>
    </row>
    <row r="1808" spans="3:11" ht="25.8" customHeight="1">
      <c r="C1808" s="818">
        <v>2</v>
      </c>
      <c r="D1808" s="212" t="str">
        <f>D1791</f>
        <v>Tukang listrik</v>
      </c>
      <c r="E1808" s="212" t="s">
        <v>6</v>
      </c>
      <c r="F1808" s="829">
        <v>0.17899999999999999</v>
      </c>
      <c r="G1808" s="539">
        <f>VLOOKUP(D1808,upahbahan,3,FALSE)</f>
        <v>135000</v>
      </c>
      <c r="H1808" s="539">
        <f t="shared" si="178"/>
        <v>24165</v>
      </c>
      <c r="J1808" s="536"/>
      <c r="K1808" s="824"/>
    </row>
    <row r="1809" spans="3:11" ht="25.8" customHeight="1">
      <c r="C1809" s="818">
        <v>3</v>
      </c>
      <c r="D1809" s="212" t="s">
        <v>18</v>
      </c>
      <c r="E1809" s="212" t="s">
        <v>6</v>
      </c>
      <c r="F1809" s="829">
        <v>1.7999999999999999E-2</v>
      </c>
      <c r="G1809" s="539">
        <f>VLOOKUP(D1809,upahbahan,3,FALSE)</f>
        <v>150000</v>
      </c>
      <c r="H1809" s="539">
        <f t="shared" si="178"/>
        <v>2700</v>
      </c>
      <c r="J1809" s="536"/>
      <c r="K1809" s="824"/>
    </row>
    <row r="1810" spans="3:11" ht="25.8" customHeight="1">
      <c r="C1810" s="818">
        <v>4</v>
      </c>
      <c r="D1810" s="212" t="s">
        <v>19</v>
      </c>
      <c r="E1810" s="212" t="s">
        <v>6</v>
      </c>
      <c r="F1810" s="829">
        <v>6.0000000000000001E-3</v>
      </c>
      <c r="G1810" s="539">
        <f>VLOOKUP(D1810,upahbahan,3,FALSE)</f>
        <v>160000</v>
      </c>
      <c r="H1810" s="539">
        <f t="shared" si="178"/>
        <v>960</v>
      </c>
      <c r="J1810" s="536"/>
      <c r="K1810" s="824"/>
    </row>
    <row r="1811" spans="3:11" ht="25.8" customHeight="1">
      <c r="C1811" s="702" t="s">
        <v>1208</v>
      </c>
      <c r="D1811" s="208"/>
      <c r="E1811" s="208"/>
      <c r="F1811" s="811"/>
      <c r="G1811" s="522"/>
      <c r="H1811" s="539">
        <f>SUM(H1807:H1810)</f>
        <v>38525</v>
      </c>
      <c r="I1811" s="819"/>
      <c r="J1811" s="536"/>
      <c r="K1811" s="824"/>
    </row>
    <row r="1812" spans="3:11" ht="25.8" customHeight="1">
      <c r="C1812" s="213" t="s">
        <v>1209</v>
      </c>
      <c r="D1812" s="212" t="s">
        <v>1210</v>
      </c>
      <c r="E1812" s="534"/>
      <c r="F1812" s="831"/>
      <c r="G1812" s="534"/>
      <c r="H1812" s="534"/>
      <c r="J1812" s="536"/>
      <c r="K1812" s="824"/>
    </row>
    <row r="1813" spans="3:11" ht="25.8" customHeight="1">
      <c r="C1813" s="833" t="s">
        <v>1203</v>
      </c>
      <c r="D1813" s="820" t="s">
        <v>878</v>
      </c>
      <c r="E1813" s="807" t="s">
        <v>113</v>
      </c>
      <c r="F1813" s="538">
        <v>1.2</v>
      </c>
      <c r="G1813" s="539">
        <f>VLOOKUP(D1813,upahbahan,3,FALSE)</f>
        <v>411600</v>
      </c>
      <c r="H1813" s="539">
        <f t="shared" ref="H1813" si="179">F1813*G1813</f>
        <v>493920</v>
      </c>
      <c r="J1813" s="536"/>
      <c r="K1813" s="824"/>
    </row>
    <row r="1814" spans="3:11" ht="25.8" customHeight="1">
      <c r="C1814" s="702" t="s">
        <v>1214</v>
      </c>
      <c r="D1814" s="208"/>
      <c r="E1814" s="208"/>
      <c r="F1814" s="208"/>
      <c r="G1814" s="209"/>
      <c r="H1814" s="539">
        <f>SUM(H1813:H1813)</f>
        <v>493920</v>
      </c>
      <c r="J1814" s="536"/>
      <c r="K1814" s="824"/>
    </row>
    <row r="1815" spans="3:11" ht="25.8" customHeight="1">
      <c r="C1815" s="213" t="s">
        <v>1215</v>
      </c>
      <c r="D1815" s="212" t="s">
        <v>1216</v>
      </c>
      <c r="E1815" s="534"/>
      <c r="F1815" s="534"/>
      <c r="G1815" s="534"/>
      <c r="H1815" s="534"/>
      <c r="J1815" s="536"/>
      <c r="K1815" s="824"/>
    </row>
    <row r="1816" spans="3:11" ht="25.8" customHeight="1">
      <c r="C1816" s="702" t="s">
        <v>1217</v>
      </c>
      <c r="D1816" s="208"/>
      <c r="E1816" s="208"/>
      <c r="F1816" s="208"/>
      <c r="G1816" s="209"/>
      <c r="H1816" s="821">
        <v>0</v>
      </c>
      <c r="J1816" s="536"/>
      <c r="K1816" s="824"/>
    </row>
    <row r="1817" spans="3:11" ht="25.8" customHeight="1">
      <c r="C1817" s="566" t="s">
        <v>1218</v>
      </c>
      <c r="D1817" s="552" t="s">
        <v>1219</v>
      </c>
      <c r="E1817" s="553"/>
      <c r="F1817" s="553"/>
      <c r="G1817" s="554"/>
      <c r="H1817" s="826">
        <f>H1816+H1814+H1811</f>
        <v>532445</v>
      </c>
      <c r="I1817" s="827"/>
      <c r="J1817" s="536"/>
      <c r="K1817" s="824"/>
    </row>
    <row r="1818" spans="3:11" ht="25.8" customHeight="1">
      <c r="C1818" s="566" t="s">
        <v>1220</v>
      </c>
      <c r="D1818" s="552" t="s">
        <v>1321</v>
      </c>
      <c r="E1818" s="553"/>
      <c r="F1818" s="554"/>
      <c r="G1818" s="555">
        <f>$M$9</f>
        <v>0.1</v>
      </c>
      <c r="H1818" s="539">
        <f>H1817*G1818</f>
        <v>53244.5</v>
      </c>
      <c r="I1818" s="827"/>
      <c r="J1818" s="536"/>
      <c r="K1818" s="824"/>
    </row>
    <row r="1819" spans="3:11" ht="25.8" customHeight="1">
      <c r="C1819" s="566" t="s">
        <v>1221</v>
      </c>
      <c r="D1819" s="552" t="s">
        <v>1222</v>
      </c>
      <c r="E1819" s="553"/>
      <c r="F1819" s="553"/>
      <c r="G1819" s="554"/>
      <c r="H1819" s="828">
        <f>SUM(H1817:H1818)</f>
        <v>585689.5</v>
      </c>
      <c r="I1819" s="827"/>
      <c r="J1819" s="536"/>
      <c r="K1819" s="824"/>
    </row>
    <row r="1820" spans="3:11" ht="25.8" customHeight="1">
      <c r="J1820" s="536"/>
      <c r="K1820" s="824"/>
    </row>
    <row r="1821" spans="3:11" ht="25.8" customHeight="1">
      <c r="C1821" s="513" t="s">
        <v>3346</v>
      </c>
      <c r="D1821" s="817" t="s">
        <v>1728</v>
      </c>
      <c r="E1821" s="803"/>
      <c r="F1821" s="803"/>
      <c r="G1821" s="803"/>
      <c r="H1821" s="803"/>
      <c r="I1821" s="533">
        <f>ROUNDDOWN(H1836,-2)</f>
        <v>815900</v>
      </c>
      <c r="J1821" s="536"/>
      <c r="K1821" s="824"/>
    </row>
    <row r="1822" spans="3:11" ht="25.8" customHeight="1">
      <c r="C1822" s="716" t="s">
        <v>1195</v>
      </c>
      <c r="D1822" s="716" t="s">
        <v>1196</v>
      </c>
      <c r="E1822" s="716" t="s">
        <v>1197</v>
      </c>
      <c r="F1822" s="716" t="s">
        <v>1198</v>
      </c>
      <c r="G1822" s="716" t="s">
        <v>1199</v>
      </c>
      <c r="H1822" s="716" t="s">
        <v>1200</v>
      </c>
      <c r="J1822" s="536"/>
      <c r="K1822" s="824"/>
    </row>
    <row r="1823" spans="3:11" ht="25.8" customHeight="1">
      <c r="C1823" s="213" t="s">
        <v>1201</v>
      </c>
      <c r="D1823" s="212" t="s">
        <v>1202</v>
      </c>
      <c r="E1823" s="534"/>
      <c r="F1823" s="534"/>
      <c r="G1823" s="534"/>
      <c r="H1823" s="534"/>
      <c r="J1823" s="536"/>
      <c r="K1823" s="824"/>
    </row>
    <row r="1824" spans="3:11" ht="25.8" customHeight="1">
      <c r="C1824" s="818">
        <v>1</v>
      </c>
      <c r="D1824" s="212" t="s">
        <v>5</v>
      </c>
      <c r="E1824" s="212" t="s">
        <v>6</v>
      </c>
      <c r="F1824" s="829">
        <v>0.14299999999999999</v>
      </c>
      <c r="G1824" s="539">
        <f>VLOOKUP(D1824,upahbahan,3,FALSE)</f>
        <v>100000</v>
      </c>
      <c r="H1824" s="539">
        <f t="shared" ref="H1824:H1827" si="180">F1824*G1824</f>
        <v>14299.999999999998</v>
      </c>
      <c r="J1824" s="536"/>
      <c r="K1824" s="824"/>
    </row>
    <row r="1825" spans="3:11" ht="25.8" customHeight="1">
      <c r="C1825" s="818">
        <v>2</v>
      </c>
      <c r="D1825" s="212" t="str">
        <f>D1808</f>
        <v>Tukang listrik</v>
      </c>
      <c r="E1825" s="212" t="s">
        <v>6</v>
      </c>
      <c r="F1825" s="829">
        <v>0.23899999999999999</v>
      </c>
      <c r="G1825" s="539">
        <f>VLOOKUP(D1825,upahbahan,3,FALSE)</f>
        <v>135000</v>
      </c>
      <c r="H1825" s="539">
        <f t="shared" si="180"/>
        <v>32265</v>
      </c>
      <c r="J1825" s="536"/>
      <c r="K1825" s="824"/>
    </row>
    <row r="1826" spans="3:11" ht="25.8" customHeight="1">
      <c r="C1826" s="818">
        <v>3</v>
      </c>
      <c r="D1826" s="212" t="s">
        <v>18</v>
      </c>
      <c r="E1826" s="212" t="s">
        <v>6</v>
      </c>
      <c r="F1826" s="829">
        <v>2.4E-2</v>
      </c>
      <c r="G1826" s="539">
        <f>VLOOKUP(D1826,upahbahan,3,FALSE)</f>
        <v>150000</v>
      </c>
      <c r="H1826" s="539">
        <f t="shared" si="180"/>
        <v>3600</v>
      </c>
      <c r="J1826" s="536"/>
      <c r="K1826" s="824"/>
    </row>
    <row r="1827" spans="3:11" ht="25.8" customHeight="1">
      <c r="C1827" s="818">
        <v>4</v>
      </c>
      <c r="D1827" s="212" t="s">
        <v>19</v>
      </c>
      <c r="E1827" s="212" t="s">
        <v>6</v>
      </c>
      <c r="F1827" s="829">
        <v>8.0000000000000002E-3</v>
      </c>
      <c r="G1827" s="539">
        <f>VLOOKUP(D1827,upahbahan,3,FALSE)</f>
        <v>160000</v>
      </c>
      <c r="H1827" s="539">
        <f t="shared" si="180"/>
        <v>1280</v>
      </c>
      <c r="J1827" s="536"/>
      <c r="K1827" s="824"/>
    </row>
    <row r="1828" spans="3:11" ht="25.8" customHeight="1">
      <c r="C1828" s="702" t="s">
        <v>1208</v>
      </c>
      <c r="D1828" s="208"/>
      <c r="E1828" s="208"/>
      <c r="F1828" s="811"/>
      <c r="G1828" s="522"/>
      <c r="H1828" s="539">
        <f>SUM(H1824:H1827)</f>
        <v>51445</v>
      </c>
      <c r="I1828" s="819"/>
      <c r="J1828" s="536"/>
      <c r="K1828" s="824"/>
    </row>
    <row r="1829" spans="3:11" ht="25.8" customHeight="1">
      <c r="C1829" s="213" t="s">
        <v>1209</v>
      </c>
      <c r="D1829" s="212" t="s">
        <v>1210</v>
      </c>
      <c r="E1829" s="534"/>
      <c r="F1829" s="831"/>
      <c r="G1829" s="534"/>
      <c r="H1829" s="534"/>
      <c r="J1829" s="536"/>
      <c r="K1829" s="824"/>
    </row>
    <row r="1830" spans="3:11" ht="25.8" customHeight="1">
      <c r="C1830" s="833" t="s">
        <v>1203</v>
      </c>
      <c r="D1830" s="820" t="s">
        <v>880</v>
      </c>
      <c r="E1830" s="807" t="s">
        <v>113</v>
      </c>
      <c r="F1830" s="538">
        <v>1.2</v>
      </c>
      <c r="G1830" s="539">
        <f>VLOOKUP(D1830,upahbahan,3,FALSE)</f>
        <v>575250</v>
      </c>
      <c r="H1830" s="539">
        <f t="shared" ref="H1830" si="181">F1830*G1830</f>
        <v>690300</v>
      </c>
      <c r="J1830" s="536"/>
      <c r="K1830" s="824"/>
    </row>
    <row r="1831" spans="3:11" ht="25.8" customHeight="1">
      <c r="C1831" s="702" t="s">
        <v>1214</v>
      </c>
      <c r="D1831" s="208"/>
      <c r="E1831" s="208"/>
      <c r="F1831" s="208"/>
      <c r="G1831" s="209"/>
      <c r="H1831" s="539">
        <f>SUM(H1830:H1830)</f>
        <v>690300</v>
      </c>
      <c r="J1831" s="536"/>
      <c r="K1831" s="824"/>
    </row>
    <row r="1832" spans="3:11" ht="25.8" customHeight="1">
      <c r="C1832" s="213" t="s">
        <v>1215</v>
      </c>
      <c r="D1832" s="212" t="s">
        <v>1216</v>
      </c>
      <c r="E1832" s="534"/>
      <c r="F1832" s="534"/>
      <c r="G1832" s="534"/>
      <c r="H1832" s="534"/>
      <c r="J1832" s="536"/>
      <c r="K1832" s="824"/>
    </row>
    <row r="1833" spans="3:11" ht="25.8" customHeight="1">
      <c r="C1833" s="702" t="s">
        <v>1217</v>
      </c>
      <c r="D1833" s="208"/>
      <c r="E1833" s="208"/>
      <c r="F1833" s="208"/>
      <c r="G1833" s="209"/>
      <c r="H1833" s="821">
        <v>0</v>
      </c>
      <c r="J1833" s="536"/>
      <c r="K1833" s="824"/>
    </row>
    <row r="1834" spans="3:11" ht="25.8" customHeight="1">
      <c r="C1834" s="566" t="s">
        <v>1218</v>
      </c>
      <c r="D1834" s="552" t="s">
        <v>1219</v>
      </c>
      <c r="E1834" s="553"/>
      <c r="F1834" s="553"/>
      <c r="G1834" s="554"/>
      <c r="H1834" s="826">
        <f>H1833+H1831+H1828</f>
        <v>741745</v>
      </c>
      <c r="I1834" s="827"/>
      <c r="J1834" s="536"/>
      <c r="K1834" s="824"/>
    </row>
    <row r="1835" spans="3:11" ht="25.8" customHeight="1">
      <c r="C1835" s="566" t="s">
        <v>1220</v>
      </c>
      <c r="D1835" s="552" t="s">
        <v>1321</v>
      </c>
      <c r="E1835" s="553"/>
      <c r="F1835" s="554"/>
      <c r="G1835" s="555">
        <f>$M$9</f>
        <v>0.1</v>
      </c>
      <c r="H1835" s="539">
        <f>H1834*G1835</f>
        <v>74174.5</v>
      </c>
      <c r="I1835" s="827"/>
      <c r="J1835" s="536"/>
      <c r="K1835" s="824"/>
    </row>
    <row r="1836" spans="3:11" ht="25.8" customHeight="1">
      <c r="C1836" s="566" t="s">
        <v>1221</v>
      </c>
      <c r="D1836" s="552" t="s">
        <v>1222</v>
      </c>
      <c r="E1836" s="553"/>
      <c r="F1836" s="553"/>
      <c r="G1836" s="554"/>
      <c r="H1836" s="828">
        <f>SUM(H1834:H1835)</f>
        <v>815919.5</v>
      </c>
      <c r="I1836" s="827"/>
      <c r="J1836" s="536"/>
      <c r="K1836" s="824"/>
    </row>
    <row r="1837" spans="3:11" ht="25.8" customHeight="1">
      <c r="J1837" s="536"/>
      <c r="K1837" s="824"/>
    </row>
    <row r="1838" spans="3:11" ht="25.8" customHeight="1">
      <c r="C1838" s="513" t="s">
        <v>3347</v>
      </c>
      <c r="D1838" s="817" t="s">
        <v>1729</v>
      </c>
      <c r="E1838" s="803"/>
      <c r="F1838" s="803"/>
      <c r="G1838" s="803"/>
      <c r="H1838" s="803"/>
      <c r="I1838" s="533">
        <f>ROUNDDOWN(H1853,-2)</f>
        <v>1038300</v>
      </c>
      <c r="J1838" s="536"/>
      <c r="K1838" s="824"/>
    </row>
    <row r="1839" spans="3:11" ht="25.8" customHeight="1">
      <c r="C1839" s="716" t="s">
        <v>1195</v>
      </c>
      <c r="D1839" s="716" t="s">
        <v>1196</v>
      </c>
      <c r="E1839" s="716" t="s">
        <v>1197</v>
      </c>
      <c r="F1839" s="716" t="s">
        <v>1198</v>
      </c>
      <c r="G1839" s="716" t="s">
        <v>1199</v>
      </c>
      <c r="H1839" s="716" t="s">
        <v>1200</v>
      </c>
      <c r="J1839" s="536"/>
      <c r="K1839" s="824"/>
    </row>
    <row r="1840" spans="3:11" ht="25.8" customHeight="1">
      <c r="C1840" s="213" t="s">
        <v>1201</v>
      </c>
      <c r="D1840" s="212" t="s">
        <v>1202</v>
      </c>
      <c r="E1840" s="534"/>
      <c r="F1840" s="534"/>
      <c r="G1840" s="534"/>
      <c r="H1840" s="534"/>
      <c r="J1840" s="536"/>
      <c r="K1840" s="824"/>
    </row>
    <row r="1841" spans="3:11" ht="25.8" customHeight="1">
      <c r="C1841" s="818">
        <v>1</v>
      </c>
      <c r="D1841" s="212" t="s">
        <v>5</v>
      </c>
      <c r="E1841" s="212" t="s">
        <v>6</v>
      </c>
      <c r="F1841" s="829">
        <v>0.14299999999999999</v>
      </c>
      <c r="G1841" s="539">
        <f>VLOOKUP(D1841,upahbahan,3,FALSE)</f>
        <v>100000</v>
      </c>
      <c r="H1841" s="539">
        <f t="shared" ref="H1841:H1844" si="182">F1841*G1841</f>
        <v>14299.999999999998</v>
      </c>
      <c r="J1841" s="536"/>
      <c r="K1841" s="824"/>
    </row>
    <row r="1842" spans="3:11" ht="25.8" customHeight="1">
      <c r="C1842" s="818">
        <v>2</v>
      </c>
      <c r="D1842" s="212" t="str">
        <f>D1825</f>
        <v>Tukang listrik</v>
      </c>
      <c r="E1842" s="212" t="s">
        <v>6</v>
      </c>
      <c r="F1842" s="829">
        <v>0.23899999999999999</v>
      </c>
      <c r="G1842" s="539">
        <f>VLOOKUP(D1842,upahbahan,3,FALSE)</f>
        <v>135000</v>
      </c>
      <c r="H1842" s="539">
        <f t="shared" si="182"/>
        <v>32265</v>
      </c>
      <c r="J1842" s="536"/>
      <c r="K1842" s="824"/>
    </row>
    <row r="1843" spans="3:11" ht="25.8" customHeight="1">
      <c r="C1843" s="818">
        <v>3</v>
      </c>
      <c r="D1843" s="212" t="s">
        <v>18</v>
      </c>
      <c r="E1843" s="212" t="s">
        <v>6</v>
      </c>
      <c r="F1843" s="829">
        <v>2.4E-2</v>
      </c>
      <c r="G1843" s="539">
        <f>VLOOKUP(D1843,upahbahan,3,FALSE)</f>
        <v>150000</v>
      </c>
      <c r="H1843" s="539">
        <f t="shared" si="182"/>
        <v>3600</v>
      </c>
      <c r="J1843" s="536"/>
      <c r="K1843" s="824"/>
    </row>
    <row r="1844" spans="3:11" ht="25.8" customHeight="1">
      <c r="C1844" s="818">
        <v>4</v>
      </c>
      <c r="D1844" s="212" t="s">
        <v>19</v>
      </c>
      <c r="E1844" s="212" t="s">
        <v>6</v>
      </c>
      <c r="F1844" s="829">
        <v>8.0000000000000002E-3</v>
      </c>
      <c r="G1844" s="539">
        <f>VLOOKUP(D1844,upahbahan,3,FALSE)</f>
        <v>160000</v>
      </c>
      <c r="H1844" s="539">
        <f t="shared" si="182"/>
        <v>1280</v>
      </c>
      <c r="J1844" s="536"/>
      <c r="K1844" s="824"/>
    </row>
    <row r="1845" spans="3:11" ht="25.8" customHeight="1">
      <c r="C1845" s="702" t="s">
        <v>1208</v>
      </c>
      <c r="D1845" s="208"/>
      <c r="E1845" s="208"/>
      <c r="F1845" s="811"/>
      <c r="G1845" s="522"/>
      <c r="H1845" s="539">
        <f>SUM(H1841:H1844)</f>
        <v>51445</v>
      </c>
      <c r="I1845" s="819"/>
      <c r="J1845" s="536"/>
      <c r="K1845" s="824"/>
    </row>
    <row r="1846" spans="3:11" ht="25.8" customHeight="1">
      <c r="C1846" s="213" t="s">
        <v>1209</v>
      </c>
      <c r="D1846" s="212" t="s">
        <v>1210</v>
      </c>
      <c r="E1846" s="534"/>
      <c r="F1846" s="831"/>
      <c r="G1846" s="534"/>
      <c r="H1846" s="534"/>
      <c r="J1846" s="536"/>
      <c r="K1846" s="824"/>
    </row>
    <row r="1847" spans="3:11" ht="25.8" customHeight="1">
      <c r="C1847" s="833" t="s">
        <v>1203</v>
      </c>
      <c r="D1847" s="820" t="s">
        <v>881</v>
      </c>
      <c r="E1847" s="807" t="s">
        <v>113</v>
      </c>
      <c r="F1847" s="538">
        <v>1.2</v>
      </c>
      <c r="G1847" s="539">
        <f>VLOOKUP(D1847,upahbahan,3,FALSE)</f>
        <v>743750</v>
      </c>
      <c r="H1847" s="539">
        <f t="shared" ref="H1847" si="183">F1847*G1847</f>
        <v>892500</v>
      </c>
      <c r="J1847" s="536"/>
      <c r="K1847" s="824"/>
    </row>
    <row r="1848" spans="3:11" ht="25.8" customHeight="1">
      <c r="C1848" s="702" t="s">
        <v>1214</v>
      </c>
      <c r="D1848" s="208"/>
      <c r="E1848" s="208"/>
      <c r="F1848" s="208"/>
      <c r="G1848" s="209"/>
      <c r="H1848" s="539">
        <f>SUM(H1847:H1847)</f>
        <v>892500</v>
      </c>
      <c r="J1848" s="536"/>
      <c r="K1848" s="824"/>
    </row>
    <row r="1849" spans="3:11" ht="25.8" customHeight="1">
      <c r="C1849" s="213" t="s">
        <v>1215</v>
      </c>
      <c r="D1849" s="212" t="s">
        <v>1216</v>
      </c>
      <c r="E1849" s="534"/>
      <c r="F1849" s="534"/>
      <c r="G1849" s="534"/>
      <c r="H1849" s="534"/>
      <c r="J1849" s="536"/>
      <c r="K1849" s="824"/>
    </row>
    <row r="1850" spans="3:11" ht="25.8" customHeight="1">
      <c r="C1850" s="702" t="s">
        <v>1217</v>
      </c>
      <c r="D1850" s="208"/>
      <c r="E1850" s="208"/>
      <c r="F1850" s="208"/>
      <c r="G1850" s="209"/>
      <c r="H1850" s="821">
        <v>0</v>
      </c>
      <c r="J1850" s="536"/>
      <c r="K1850" s="824"/>
    </row>
    <row r="1851" spans="3:11" ht="25.8" customHeight="1">
      <c r="C1851" s="566" t="s">
        <v>1218</v>
      </c>
      <c r="D1851" s="552" t="s">
        <v>1219</v>
      </c>
      <c r="E1851" s="553"/>
      <c r="F1851" s="553"/>
      <c r="G1851" s="554"/>
      <c r="H1851" s="826">
        <f>H1850+H1848+H1845</f>
        <v>943945</v>
      </c>
      <c r="I1851" s="827"/>
      <c r="J1851" s="536"/>
      <c r="K1851" s="824"/>
    </row>
    <row r="1852" spans="3:11" ht="25.8" customHeight="1">
      <c r="C1852" s="566" t="s">
        <v>1220</v>
      </c>
      <c r="D1852" s="552" t="s">
        <v>1321</v>
      </c>
      <c r="E1852" s="553"/>
      <c r="F1852" s="554"/>
      <c r="G1852" s="555">
        <f>$M$9</f>
        <v>0.1</v>
      </c>
      <c r="H1852" s="539">
        <f>H1851*G1852</f>
        <v>94394.5</v>
      </c>
      <c r="I1852" s="827"/>
      <c r="J1852" s="536"/>
      <c r="K1852" s="824"/>
    </row>
    <row r="1853" spans="3:11" ht="25.8" customHeight="1">
      <c r="C1853" s="566" t="s">
        <v>1221</v>
      </c>
      <c r="D1853" s="552" t="s">
        <v>1222</v>
      </c>
      <c r="E1853" s="553"/>
      <c r="F1853" s="553"/>
      <c r="G1853" s="554"/>
      <c r="H1853" s="828">
        <f>SUM(H1851:H1852)</f>
        <v>1038339.5</v>
      </c>
      <c r="I1853" s="827"/>
      <c r="J1853" s="536"/>
      <c r="K1853" s="824"/>
    </row>
    <row r="1854" spans="3:11" ht="25.8" customHeight="1">
      <c r="J1854" s="536"/>
      <c r="K1854" s="824"/>
    </row>
    <row r="1855" spans="3:11" ht="25.8" customHeight="1">
      <c r="C1855" s="513" t="s">
        <v>3348</v>
      </c>
      <c r="D1855" s="817" t="s">
        <v>1730</v>
      </c>
      <c r="E1855" s="803"/>
      <c r="F1855" s="803"/>
      <c r="G1855" s="803"/>
      <c r="H1855" s="803"/>
      <c r="I1855" s="533">
        <f>ROUNDDOWN(H1870,-2)</f>
        <v>1350300</v>
      </c>
      <c r="J1855" s="536"/>
      <c r="K1855" s="824"/>
    </row>
    <row r="1856" spans="3:11" ht="25.8" customHeight="1">
      <c r="C1856" s="716" t="s">
        <v>1195</v>
      </c>
      <c r="D1856" s="716" t="s">
        <v>1196</v>
      </c>
      <c r="E1856" s="716" t="s">
        <v>1197</v>
      </c>
      <c r="F1856" s="716" t="s">
        <v>1198</v>
      </c>
      <c r="G1856" s="716" t="s">
        <v>1199</v>
      </c>
      <c r="H1856" s="716" t="s">
        <v>1200</v>
      </c>
      <c r="J1856" s="536"/>
      <c r="K1856" s="824"/>
    </row>
    <row r="1857" spans="3:11" ht="25.8" customHeight="1">
      <c r="C1857" s="213" t="s">
        <v>1201</v>
      </c>
      <c r="D1857" s="212" t="s">
        <v>1202</v>
      </c>
      <c r="E1857" s="534"/>
      <c r="F1857" s="534"/>
      <c r="G1857" s="534"/>
      <c r="H1857" s="534"/>
      <c r="J1857" s="536"/>
      <c r="K1857" s="824"/>
    </row>
    <row r="1858" spans="3:11" ht="25.8" customHeight="1">
      <c r="C1858" s="818">
        <v>1</v>
      </c>
      <c r="D1858" s="212" t="s">
        <v>5</v>
      </c>
      <c r="E1858" s="212" t="s">
        <v>6</v>
      </c>
      <c r="F1858" s="538">
        <v>0.17899999999999999</v>
      </c>
      <c r="G1858" s="539">
        <f>VLOOKUP(D1858,upahbahan,3,FALSE)</f>
        <v>100000</v>
      </c>
      <c r="H1858" s="539">
        <f t="shared" ref="H1858:H1861" si="184">F1858*G1858</f>
        <v>17900</v>
      </c>
      <c r="J1858" s="536"/>
      <c r="K1858" s="824"/>
    </row>
    <row r="1859" spans="3:11" ht="25.8" customHeight="1">
      <c r="C1859" s="818">
        <v>2</v>
      </c>
      <c r="D1859" s="212" t="str">
        <f>D1842</f>
        <v>Tukang listrik</v>
      </c>
      <c r="E1859" s="212" t="s">
        <v>6</v>
      </c>
      <c r="F1859" s="538">
        <v>0.29799999999999999</v>
      </c>
      <c r="G1859" s="539">
        <f>VLOOKUP(D1859,upahbahan,3,FALSE)</f>
        <v>135000</v>
      </c>
      <c r="H1859" s="539">
        <f t="shared" si="184"/>
        <v>40230</v>
      </c>
      <c r="J1859" s="536"/>
      <c r="K1859" s="824"/>
    </row>
    <row r="1860" spans="3:11" ht="25.8" customHeight="1">
      <c r="C1860" s="818">
        <v>3</v>
      </c>
      <c r="D1860" s="212" t="s">
        <v>18</v>
      </c>
      <c r="E1860" s="212" t="s">
        <v>6</v>
      </c>
      <c r="F1860" s="538">
        <v>0.03</v>
      </c>
      <c r="G1860" s="539">
        <f>VLOOKUP(D1860,upahbahan,3,FALSE)</f>
        <v>150000</v>
      </c>
      <c r="H1860" s="539">
        <f t="shared" si="184"/>
        <v>4500</v>
      </c>
      <c r="J1860" s="536"/>
      <c r="K1860" s="824"/>
    </row>
    <row r="1861" spans="3:11" ht="25.8" customHeight="1">
      <c r="C1861" s="818">
        <v>4</v>
      </c>
      <c r="D1861" s="212" t="s">
        <v>19</v>
      </c>
      <c r="E1861" s="212" t="s">
        <v>6</v>
      </c>
      <c r="F1861" s="538">
        <v>0.01</v>
      </c>
      <c r="G1861" s="539">
        <f>VLOOKUP(D1861,upahbahan,3,FALSE)</f>
        <v>160000</v>
      </c>
      <c r="H1861" s="539">
        <f t="shared" si="184"/>
        <v>1600</v>
      </c>
      <c r="J1861" s="536"/>
      <c r="K1861" s="824"/>
    </row>
    <row r="1862" spans="3:11" ht="25.8" customHeight="1">
      <c r="C1862" s="702" t="s">
        <v>1208</v>
      </c>
      <c r="D1862" s="208"/>
      <c r="E1862" s="208"/>
      <c r="F1862" s="811"/>
      <c r="G1862" s="522"/>
      <c r="H1862" s="539">
        <f>SUM(H1858:H1861)</f>
        <v>64230</v>
      </c>
      <c r="I1862" s="819"/>
      <c r="J1862" s="536"/>
      <c r="K1862" s="824"/>
    </row>
    <row r="1863" spans="3:11" ht="25.8" customHeight="1">
      <c r="C1863" s="213" t="s">
        <v>1209</v>
      </c>
      <c r="D1863" s="212" t="s">
        <v>1210</v>
      </c>
      <c r="E1863" s="534"/>
      <c r="F1863" s="831"/>
      <c r="G1863" s="534"/>
      <c r="H1863" s="534"/>
      <c r="J1863" s="536"/>
      <c r="K1863" s="824"/>
    </row>
    <row r="1864" spans="3:11" ht="25.8" customHeight="1">
      <c r="C1864" s="833" t="s">
        <v>1203</v>
      </c>
      <c r="D1864" s="820" t="s">
        <v>868</v>
      </c>
      <c r="E1864" s="807" t="s">
        <v>113</v>
      </c>
      <c r="F1864" s="538">
        <v>1.2</v>
      </c>
      <c r="G1864" s="539">
        <f>VLOOKUP(D1864,upahbahan,3,FALSE)</f>
        <v>969500</v>
      </c>
      <c r="H1864" s="539">
        <f>F1864*G1864</f>
        <v>1163400</v>
      </c>
      <c r="J1864" s="536"/>
      <c r="K1864" s="824"/>
    </row>
    <row r="1865" spans="3:11" ht="25.8" customHeight="1">
      <c r="C1865" s="702" t="s">
        <v>1214</v>
      </c>
      <c r="D1865" s="208"/>
      <c r="E1865" s="208"/>
      <c r="F1865" s="208"/>
      <c r="G1865" s="209"/>
      <c r="H1865" s="539">
        <f>SUM(H1864:H1864)</f>
        <v>1163400</v>
      </c>
      <c r="J1865" s="536"/>
      <c r="K1865" s="824"/>
    </row>
    <row r="1866" spans="3:11" ht="25.8" customHeight="1">
      <c r="C1866" s="213" t="s">
        <v>1215</v>
      </c>
      <c r="D1866" s="212" t="s">
        <v>1216</v>
      </c>
      <c r="E1866" s="534"/>
      <c r="F1866" s="534"/>
      <c r="G1866" s="534"/>
      <c r="H1866" s="534"/>
      <c r="J1866" s="536"/>
      <c r="K1866" s="824"/>
    </row>
    <row r="1867" spans="3:11" ht="25.8" customHeight="1">
      <c r="C1867" s="702" t="s">
        <v>1217</v>
      </c>
      <c r="D1867" s="208"/>
      <c r="E1867" s="208"/>
      <c r="F1867" s="208"/>
      <c r="G1867" s="209"/>
      <c r="H1867" s="821">
        <v>0</v>
      </c>
      <c r="J1867" s="536"/>
      <c r="K1867" s="824"/>
    </row>
    <row r="1868" spans="3:11" ht="25.8" customHeight="1">
      <c r="C1868" s="566" t="s">
        <v>1218</v>
      </c>
      <c r="D1868" s="552" t="s">
        <v>1219</v>
      </c>
      <c r="E1868" s="553"/>
      <c r="F1868" s="553"/>
      <c r="G1868" s="554"/>
      <c r="H1868" s="826">
        <f>H1867+H1865+H1862</f>
        <v>1227630</v>
      </c>
      <c r="I1868" s="827"/>
      <c r="J1868" s="536"/>
      <c r="K1868" s="824"/>
    </row>
    <row r="1869" spans="3:11" ht="25.8" customHeight="1">
      <c r="C1869" s="566" t="s">
        <v>1220</v>
      </c>
      <c r="D1869" s="552" t="s">
        <v>1321</v>
      </c>
      <c r="E1869" s="553"/>
      <c r="F1869" s="554"/>
      <c r="G1869" s="555">
        <f>$M$9</f>
        <v>0.1</v>
      </c>
      <c r="H1869" s="539">
        <f>H1868*G1869</f>
        <v>122763</v>
      </c>
      <c r="I1869" s="827"/>
      <c r="J1869" s="536"/>
      <c r="K1869" s="824"/>
    </row>
    <row r="1870" spans="3:11" ht="25.8" customHeight="1">
      <c r="C1870" s="566" t="s">
        <v>1221</v>
      </c>
      <c r="D1870" s="552" t="s">
        <v>1222</v>
      </c>
      <c r="E1870" s="553"/>
      <c r="F1870" s="553"/>
      <c r="G1870" s="554"/>
      <c r="H1870" s="828">
        <f>SUM(H1868:H1869)</f>
        <v>1350393</v>
      </c>
      <c r="I1870" s="827"/>
      <c r="J1870" s="536"/>
      <c r="K1870" s="824"/>
    </row>
    <row r="1871" spans="3:11" ht="25.8" customHeight="1">
      <c r="J1871" s="536"/>
      <c r="K1871" s="824"/>
    </row>
    <row r="1872" spans="3:11" ht="25.8" customHeight="1">
      <c r="C1872" s="513" t="s">
        <v>3349</v>
      </c>
      <c r="D1872" s="817" t="s">
        <v>1731</v>
      </c>
      <c r="E1872" s="803"/>
      <c r="F1872" s="803"/>
      <c r="G1872" s="803"/>
      <c r="H1872" s="803"/>
      <c r="I1872" s="533">
        <f>ROUNDDOWN(H1887,-2)</f>
        <v>1638300</v>
      </c>
      <c r="J1872" s="536"/>
      <c r="K1872" s="824"/>
    </row>
    <row r="1873" spans="3:11" ht="25.8" customHeight="1">
      <c r="C1873" s="716" t="s">
        <v>1195</v>
      </c>
      <c r="D1873" s="716" t="s">
        <v>1196</v>
      </c>
      <c r="E1873" s="716" t="s">
        <v>1197</v>
      </c>
      <c r="F1873" s="716" t="s">
        <v>1198</v>
      </c>
      <c r="G1873" s="716" t="s">
        <v>1199</v>
      </c>
      <c r="H1873" s="716" t="s">
        <v>1200</v>
      </c>
      <c r="J1873" s="536"/>
      <c r="K1873" s="824"/>
    </row>
    <row r="1874" spans="3:11" ht="25.8" customHeight="1">
      <c r="C1874" s="213" t="s">
        <v>1201</v>
      </c>
      <c r="D1874" s="212" t="s">
        <v>1202</v>
      </c>
      <c r="E1874" s="534"/>
      <c r="F1874" s="534"/>
      <c r="G1874" s="534"/>
      <c r="H1874" s="534"/>
      <c r="J1874" s="536"/>
      <c r="K1874" s="824"/>
    </row>
    <row r="1875" spans="3:11" ht="25.8" customHeight="1">
      <c r="C1875" s="818">
        <v>1</v>
      </c>
      <c r="D1875" s="212" t="s">
        <v>5</v>
      </c>
      <c r="E1875" s="212" t="s">
        <v>6</v>
      </c>
      <c r="F1875" s="538">
        <v>0.17899999999999999</v>
      </c>
      <c r="G1875" s="539">
        <f>VLOOKUP(D1875,upahbahan,3,FALSE)</f>
        <v>100000</v>
      </c>
      <c r="H1875" s="539">
        <f t="shared" ref="H1875:H1878" si="185">F1875*G1875</f>
        <v>17900</v>
      </c>
      <c r="J1875" s="536"/>
      <c r="K1875" s="824"/>
    </row>
    <row r="1876" spans="3:11" ht="25.8" customHeight="1">
      <c r="C1876" s="818">
        <v>2</v>
      </c>
      <c r="D1876" s="212" t="str">
        <f>D1859</f>
        <v>Tukang listrik</v>
      </c>
      <c r="E1876" s="212" t="s">
        <v>6</v>
      </c>
      <c r="F1876" s="538">
        <v>0.29799999999999999</v>
      </c>
      <c r="G1876" s="539">
        <f>VLOOKUP(D1876,upahbahan,3,FALSE)</f>
        <v>135000</v>
      </c>
      <c r="H1876" s="539">
        <f t="shared" si="185"/>
        <v>40230</v>
      </c>
      <c r="J1876" s="536"/>
      <c r="K1876" s="824"/>
    </row>
    <row r="1877" spans="3:11" ht="25.8" customHeight="1">
      <c r="C1877" s="818">
        <v>3</v>
      </c>
      <c r="D1877" s="212" t="s">
        <v>18</v>
      </c>
      <c r="E1877" s="212" t="s">
        <v>6</v>
      </c>
      <c r="F1877" s="538">
        <v>0.03</v>
      </c>
      <c r="G1877" s="539">
        <f>VLOOKUP(D1877,upahbahan,3,FALSE)</f>
        <v>150000</v>
      </c>
      <c r="H1877" s="539">
        <f t="shared" si="185"/>
        <v>4500</v>
      </c>
      <c r="J1877" s="536"/>
      <c r="K1877" s="824"/>
    </row>
    <row r="1878" spans="3:11" ht="25.8" customHeight="1">
      <c r="C1878" s="818">
        <v>4</v>
      </c>
      <c r="D1878" s="212" t="s">
        <v>19</v>
      </c>
      <c r="E1878" s="212" t="s">
        <v>6</v>
      </c>
      <c r="F1878" s="538">
        <v>0.01</v>
      </c>
      <c r="G1878" s="539">
        <f>VLOOKUP(D1878,upahbahan,3,FALSE)</f>
        <v>160000</v>
      </c>
      <c r="H1878" s="539">
        <f t="shared" si="185"/>
        <v>1600</v>
      </c>
      <c r="J1878" s="536"/>
      <c r="K1878" s="824"/>
    </row>
    <row r="1879" spans="3:11" ht="25.8" customHeight="1">
      <c r="C1879" s="702" t="s">
        <v>1208</v>
      </c>
      <c r="D1879" s="208"/>
      <c r="E1879" s="208"/>
      <c r="F1879" s="811"/>
      <c r="G1879" s="522"/>
      <c r="H1879" s="539">
        <f>SUM(H1875:H1878)</f>
        <v>64230</v>
      </c>
      <c r="I1879" s="819"/>
      <c r="J1879" s="536"/>
      <c r="K1879" s="824"/>
    </row>
    <row r="1880" spans="3:11" ht="25.8" customHeight="1">
      <c r="C1880" s="213" t="s">
        <v>1209</v>
      </c>
      <c r="D1880" s="212" t="s">
        <v>1210</v>
      </c>
      <c r="E1880" s="534"/>
      <c r="F1880" s="831"/>
      <c r="G1880" s="534"/>
      <c r="H1880" s="534"/>
      <c r="J1880" s="536"/>
      <c r="K1880" s="824"/>
    </row>
    <row r="1881" spans="3:11" ht="25.8" customHeight="1">
      <c r="C1881" s="833" t="s">
        <v>1203</v>
      </c>
      <c r="D1881" s="820" t="s">
        <v>869</v>
      </c>
      <c r="E1881" s="807" t="s">
        <v>113</v>
      </c>
      <c r="F1881" s="538">
        <v>1.2</v>
      </c>
      <c r="G1881" s="539">
        <f>VLOOKUP(D1881,upahbahan,3,FALSE)</f>
        <v>1187650</v>
      </c>
      <c r="H1881" s="539">
        <f t="shared" ref="H1881" si="186">F1881*G1881</f>
        <v>1425180</v>
      </c>
      <c r="J1881" s="536"/>
      <c r="K1881" s="824"/>
    </row>
    <row r="1882" spans="3:11" ht="25.8" customHeight="1">
      <c r="C1882" s="702" t="s">
        <v>1214</v>
      </c>
      <c r="D1882" s="208"/>
      <c r="E1882" s="208"/>
      <c r="F1882" s="208"/>
      <c r="G1882" s="209"/>
      <c r="H1882" s="539">
        <f>SUM(H1881:H1881)</f>
        <v>1425180</v>
      </c>
      <c r="J1882" s="536"/>
      <c r="K1882" s="824"/>
    </row>
    <row r="1883" spans="3:11" ht="25.8" customHeight="1">
      <c r="C1883" s="213" t="s">
        <v>1215</v>
      </c>
      <c r="D1883" s="212" t="s">
        <v>1216</v>
      </c>
      <c r="E1883" s="534"/>
      <c r="F1883" s="534"/>
      <c r="G1883" s="534"/>
      <c r="H1883" s="534"/>
      <c r="J1883" s="536"/>
      <c r="K1883" s="824"/>
    </row>
    <row r="1884" spans="3:11" ht="25.8" customHeight="1">
      <c r="C1884" s="702" t="s">
        <v>1217</v>
      </c>
      <c r="D1884" s="208"/>
      <c r="E1884" s="208"/>
      <c r="F1884" s="208"/>
      <c r="G1884" s="209"/>
      <c r="H1884" s="821">
        <v>0</v>
      </c>
      <c r="J1884" s="536"/>
      <c r="K1884" s="824"/>
    </row>
    <row r="1885" spans="3:11" ht="25.8" customHeight="1">
      <c r="C1885" s="566" t="s">
        <v>1218</v>
      </c>
      <c r="D1885" s="552" t="s">
        <v>1219</v>
      </c>
      <c r="E1885" s="553"/>
      <c r="F1885" s="553"/>
      <c r="G1885" s="554"/>
      <c r="H1885" s="826">
        <f>H1884+H1882+H1879</f>
        <v>1489410</v>
      </c>
      <c r="I1885" s="827"/>
      <c r="J1885" s="536"/>
      <c r="K1885" s="824"/>
    </row>
    <row r="1886" spans="3:11" ht="25.8" customHeight="1">
      <c r="C1886" s="566" t="s">
        <v>1220</v>
      </c>
      <c r="D1886" s="552" t="s">
        <v>1321</v>
      </c>
      <c r="E1886" s="553"/>
      <c r="F1886" s="554"/>
      <c r="G1886" s="555">
        <f>$M$9</f>
        <v>0.1</v>
      </c>
      <c r="H1886" s="539">
        <f>H1885*G1886</f>
        <v>148941</v>
      </c>
      <c r="I1886" s="827"/>
      <c r="J1886" s="536"/>
      <c r="K1886" s="824"/>
    </row>
    <row r="1887" spans="3:11" ht="25.8" customHeight="1">
      <c r="C1887" s="566" t="s">
        <v>1221</v>
      </c>
      <c r="D1887" s="552" t="s">
        <v>1222</v>
      </c>
      <c r="E1887" s="553"/>
      <c r="F1887" s="553"/>
      <c r="G1887" s="554"/>
      <c r="H1887" s="828">
        <f>SUM(H1885:H1886)</f>
        <v>1638351</v>
      </c>
      <c r="I1887" s="827"/>
      <c r="J1887" s="536"/>
      <c r="K1887" s="824"/>
    </row>
    <row r="1888" spans="3:11" ht="25.8" customHeight="1">
      <c r="J1888" s="536"/>
      <c r="K1888" s="824"/>
    </row>
    <row r="1889" spans="3:11" ht="25.8" customHeight="1">
      <c r="C1889" s="513" t="s">
        <v>3350</v>
      </c>
      <c r="D1889" s="817" t="s">
        <v>1732</v>
      </c>
      <c r="E1889" s="803"/>
      <c r="F1889" s="803"/>
      <c r="G1889" s="803"/>
      <c r="H1889" s="803"/>
      <c r="I1889" s="533">
        <f>ROUNDDOWN(H1904,-2)</f>
        <v>2035400</v>
      </c>
      <c r="J1889" s="536"/>
      <c r="K1889" s="824"/>
    </row>
    <row r="1890" spans="3:11" ht="25.8" customHeight="1">
      <c r="C1890" s="716" t="s">
        <v>1195</v>
      </c>
      <c r="D1890" s="716" t="s">
        <v>1196</v>
      </c>
      <c r="E1890" s="716" t="s">
        <v>1197</v>
      </c>
      <c r="F1890" s="716" t="s">
        <v>1198</v>
      </c>
      <c r="G1890" s="716" t="s">
        <v>1199</v>
      </c>
      <c r="H1890" s="716" t="s">
        <v>1200</v>
      </c>
      <c r="J1890" s="536"/>
      <c r="K1890" s="824"/>
    </row>
    <row r="1891" spans="3:11" ht="25.8" customHeight="1">
      <c r="C1891" s="213" t="s">
        <v>1201</v>
      </c>
      <c r="D1891" s="212" t="s">
        <v>1202</v>
      </c>
      <c r="E1891" s="534"/>
      <c r="F1891" s="534"/>
      <c r="G1891" s="534"/>
      <c r="H1891" s="534"/>
      <c r="J1891" s="536"/>
      <c r="K1891" s="824"/>
    </row>
    <row r="1892" spans="3:11" ht="25.8" customHeight="1">
      <c r="C1892" s="818">
        <v>1</v>
      </c>
      <c r="D1892" s="212" t="s">
        <v>5</v>
      </c>
      <c r="E1892" s="212" t="s">
        <v>6</v>
      </c>
      <c r="F1892" s="538">
        <v>0.23799999999999999</v>
      </c>
      <c r="G1892" s="539">
        <f>VLOOKUP(D1892,upahbahan,3,FALSE)</f>
        <v>100000</v>
      </c>
      <c r="H1892" s="539">
        <f t="shared" ref="H1892:H1895" si="187">F1892*G1892</f>
        <v>23800</v>
      </c>
      <c r="J1892" s="536"/>
      <c r="K1892" s="824"/>
    </row>
    <row r="1893" spans="3:11" ht="25.8" customHeight="1">
      <c r="C1893" s="818">
        <v>2</v>
      </c>
      <c r="D1893" s="212" t="str">
        <f>D1876</f>
        <v>Tukang listrik</v>
      </c>
      <c r="E1893" s="212" t="s">
        <v>6</v>
      </c>
      <c r="F1893" s="538">
        <v>0.39800000000000002</v>
      </c>
      <c r="G1893" s="539">
        <f>VLOOKUP(D1893,upahbahan,3,FALSE)</f>
        <v>135000</v>
      </c>
      <c r="H1893" s="539">
        <f t="shared" si="187"/>
        <v>53730</v>
      </c>
      <c r="J1893" s="536"/>
      <c r="K1893" s="824"/>
    </row>
    <row r="1894" spans="3:11" ht="25.8" customHeight="1">
      <c r="C1894" s="818">
        <v>3</v>
      </c>
      <c r="D1894" s="212" t="s">
        <v>18</v>
      </c>
      <c r="E1894" s="212" t="s">
        <v>6</v>
      </c>
      <c r="F1894" s="538">
        <v>0.04</v>
      </c>
      <c r="G1894" s="539">
        <f>VLOOKUP(D1894,upahbahan,3,FALSE)</f>
        <v>150000</v>
      </c>
      <c r="H1894" s="539">
        <f t="shared" si="187"/>
        <v>6000</v>
      </c>
      <c r="J1894" s="536"/>
      <c r="K1894" s="824"/>
    </row>
    <row r="1895" spans="3:11" ht="25.8" customHeight="1">
      <c r="C1895" s="818">
        <v>4</v>
      </c>
      <c r="D1895" s="212" t="s">
        <v>19</v>
      </c>
      <c r="E1895" s="212" t="s">
        <v>6</v>
      </c>
      <c r="F1895" s="538">
        <v>1.2999999999999999E-2</v>
      </c>
      <c r="G1895" s="539">
        <f>VLOOKUP(D1895,upahbahan,3,FALSE)</f>
        <v>160000</v>
      </c>
      <c r="H1895" s="539">
        <f t="shared" si="187"/>
        <v>2080</v>
      </c>
      <c r="J1895" s="536"/>
      <c r="K1895" s="824"/>
    </row>
    <row r="1896" spans="3:11" ht="25.8" customHeight="1">
      <c r="C1896" s="702" t="s">
        <v>1208</v>
      </c>
      <c r="D1896" s="208"/>
      <c r="E1896" s="208"/>
      <c r="F1896" s="811"/>
      <c r="G1896" s="522"/>
      <c r="H1896" s="539">
        <f>SUM(H1892:H1895)</f>
        <v>85610</v>
      </c>
      <c r="I1896" s="819"/>
      <c r="J1896" s="536"/>
      <c r="K1896" s="824"/>
    </row>
    <row r="1897" spans="3:11" ht="25.8" customHeight="1">
      <c r="C1897" s="213" t="s">
        <v>1209</v>
      </c>
      <c r="D1897" s="212" t="s">
        <v>1210</v>
      </c>
      <c r="E1897" s="534"/>
      <c r="F1897" s="831"/>
      <c r="G1897" s="534"/>
      <c r="H1897" s="534"/>
      <c r="J1897" s="536"/>
      <c r="K1897" s="824"/>
    </row>
    <row r="1898" spans="3:11" ht="25.8" customHeight="1">
      <c r="C1898" s="833" t="s">
        <v>1203</v>
      </c>
      <c r="D1898" s="820" t="s">
        <v>871</v>
      </c>
      <c r="E1898" s="807" t="s">
        <v>113</v>
      </c>
      <c r="F1898" s="538">
        <v>1.2</v>
      </c>
      <c r="G1898" s="539">
        <f>VLOOKUP(D1898,upahbahan,3,FALSE)</f>
        <v>1470650</v>
      </c>
      <c r="H1898" s="539">
        <f t="shared" ref="H1898" si="188">F1898*G1898</f>
        <v>1764780</v>
      </c>
      <c r="J1898" s="536"/>
      <c r="K1898" s="824"/>
    </row>
    <row r="1899" spans="3:11" ht="25.8" customHeight="1">
      <c r="C1899" s="702" t="s">
        <v>1214</v>
      </c>
      <c r="D1899" s="208"/>
      <c r="E1899" s="208"/>
      <c r="F1899" s="208"/>
      <c r="G1899" s="209"/>
      <c r="H1899" s="539">
        <f>SUM(H1898:H1898)</f>
        <v>1764780</v>
      </c>
      <c r="J1899" s="536"/>
      <c r="K1899" s="824"/>
    </row>
    <row r="1900" spans="3:11" ht="25.8" customHeight="1">
      <c r="C1900" s="213" t="s">
        <v>1215</v>
      </c>
      <c r="D1900" s="212" t="s">
        <v>1216</v>
      </c>
      <c r="E1900" s="534"/>
      <c r="F1900" s="534"/>
      <c r="G1900" s="534"/>
      <c r="H1900" s="534"/>
      <c r="J1900" s="536"/>
      <c r="K1900" s="824"/>
    </row>
    <row r="1901" spans="3:11" ht="25.8" customHeight="1">
      <c r="C1901" s="702" t="s">
        <v>1217</v>
      </c>
      <c r="D1901" s="208"/>
      <c r="E1901" s="208"/>
      <c r="F1901" s="208"/>
      <c r="G1901" s="209"/>
      <c r="H1901" s="821">
        <v>0</v>
      </c>
      <c r="J1901" s="536"/>
      <c r="K1901" s="824"/>
    </row>
    <row r="1902" spans="3:11" ht="25.8" customHeight="1">
      <c r="C1902" s="566" t="s">
        <v>1218</v>
      </c>
      <c r="D1902" s="552" t="s">
        <v>1219</v>
      </c>
      <c r="E1902" s="553"/>
      <c r="F1902" s="553"/>
      <c r="G1902" s="554"/>
      <c r="H1902" s="826">
        <f>H1901+H1899+H1896</f>
        <v>1850390</v>
      </c>
      <c r="I1902" s="827"/>
      <c r="J1902" s="536"/>
      <c r="K1902" s="824"/>
    </row>
    <row r="1903" spans="3:11" ht="25.8" customHeight="1">
      <c r="C1903" s="566" t="s">
        <v>1220</v>
      </c>
      <c r="D1903" s="552" t="s">
        <v>1321</v>
      </c>
      <c r="E1903" s="553"/>
      <c r="F1903" s="554"/>
      <c r="G1903" s="555">
        <f>$M$9</f>
        <v>0.1</v>
      </c>
      <c r="H1903" s="539">
        <f>H1902*G1903</f>
        <v>185039</v>
      </c>
      <c r="I1903" s="827"/>
      <c r="J1903" s="536"/>
      <c r="K1903" s="824"/>
    </row>
    <row r="1904" spans="3:11" ht="25.8" customHeight="1">
      <c r="C1904" s="566" t="s">
        <v>1221</v>
      </c>
      <c r="D1904" s="552" t="s">
        <v>1222</v>
      </c>
      <c r="E1904" s="553"/>
      <c r="F1904" s="553"/>
      <c r="G1904" s="554"/>
      <c r="H1904" s="828">
        <f>SUM(H1902:H1903)</f>
        <v>2035429</v>
      </c>
      <c r="I1904" s="827"/>
      <c r="J1904" s="536"/>
      <c r="K1904" s="824"/>
    </row>
    <row r="1905" spans="3:11" ht="25.8" customHeight="1">
      <c r="J1905" s="536"/>
      <c r="K1905" s="824"/>
    </row>
    <row r="1906" spans="3:11" ht="25.8" customHeight="1">
      <c r="C1906" s="513" t="s">
        <v>3351</v>
      </c>
      <c r="D1906" s="817" t="s">
        <v>1733</v>
      </c>
      <c r="E1906" s="803"/>
      <c r="F1906" s="803"/>
      <c r="G1906" s="803"/>
      <c r="H1906" s="803"/>
      <c r="I1906" s="533">
        <f>ROUNDDOWN(H1921,-2)</f>
        <v>2630500</v>
      </c>
      <c r="J1906" s="536"/>
      <c r="K1906" s="824"/>
    </row>
    <row r="1907" spans="3:11" ht="25.8" customHeight="1">
      <c r="C1907" s="716" t="s">
        <v>1195</v>
      </c>
      <c r="D1907" s="716" t="s">
        <v>1196</v>
      </c>
      <c r="E1907" s="716" t="s">
        <v>1197</v>
      </c>
      <c r="F1907" s="716" t="s">
        <v>1198</v>
      </c>
      <c r="G1907" s="716" t="s">
        <v>1199</v>
      </c>
      <c r="H1907" s="716" t="s">
        <v>1200</v>
      </c>
      <c r="J1907" s="536"/>
      <c r="K1907" s="824"/>
    </row>
    <row r="1908" spans="3:11" ht="25.8" customHeight="1">
      <c r="C1908" s="213" t="s">
        <v>1201</v>
      </c>
      <c r="D1908" s="212" t="s">
        <v>1202</v>
      </c>
      <c r="E1908" s="534"/>
      <c r="F1908" s="534"/>
      <c r="G1908" s="534"/>
      <c r="H1908" s="534"/>
      <c r="J1908" s="536"/>
      <c r="K1908" s="824"/>
    </row>
    <row r="1909" spans="3:11" ht="25.8" customHeight="1">
      <c r="C1909" s="818">
        <v>1</v>
      </c>
      <c r="D1909" s="212" t="s">
        <v>5</v>
      </c>
      <c r="E1909" s="212" t="s">
        <v>6</v>
      </c>
      <c r="F1909" s="538">
        <v>0.23799999999999999</v>
      </c>
      <c r="G1909" s="539">
        <f>VLOOKUP(D1909,upahbahan,3,FALSE)</f>
        <v>100000</v>
      </c>
      <c r="H1909" s="539">
        <f t="shared" ref="H1909:H1912" si="189">F1909*G1909</f>
        <v>23800</v>
      </c>
      <c r="J1909" s="536"/>
      <c r="K1909" s="824"/>
    </row>
    <row r="1910" spans="3:11" ht="25.8" customHeight="1">
      <c r="C1910" s="818">
        <v>2</v>
      </c>
      <c r="D1910" s="212" t="str">
        <f>D1893</f>
        <v>Tukang listrik</v>
      </c>
      <c r="E1910" s="212" t="s">
        <v>6</v>
      </c>
      <c r="F1910" s="538">
        <v>0.39800000000000002</v>
      </c>
      <c r="G1910" s="539">
        <f>VLOOKUP(D1910,upahbahan,3,FALSE)</f>
        <v>135000</v>
      </c>
      <c r="H1910" s="539">
        <f t="shared" si="189"/>
        <v>53730</v>
      </c>
      <c r="J1910" s="536"/>
      <c r="K1910" s="824"/>
    </row>
    <row r="1911" spans="3:11" ht="25.8" customHeight="1">
      <c r="C1911" s="818">
        <v>3</v>
      </c>
      <c r="D1911" s="212" t="s">
        <v>18</v>
      </c>
      <c r="E1911" s="212" t="s">
        <v>6</v>
      </c>
      <c r="F1911" s="538">
        <v>0.04</v>
      </c>
      <c r="G1911" s="539">
        <f>VLOOKUP(D1911,upahbahan,3,FALSE)</f>
        <v>150000</v>
      </c>
      <c r="H1911" s="539">
        <f t="shared" si="189"/>
        <v>6000</v>
      </c>
      <c r="J1911" s="536"/>
      <c r="K1911" s="824"/>
    </row>
    <row r="1912" spans="3:11" ht="25.8" customHeight="1">
      <c r="C1912" s="818">
        <v>4</v>
      </c>
      <c r="D1912" s="212" t="s">
        <v>19</v>
      </c>
      <c r="E1912" s="212" t="s">
        <v>6</v>
      </c>
      <c r="F1912" s="538">
        <v>1.2999999999999999E-2</v>
      </c>
      <c r="G1912" s="539">
        <f>VLOOKUP(D1912,upahbahan,3,FALSE)</f>
        <v>160000</v>
      </c>
      <c r="H1912" s="539">
        <f t="shared" si="189"/>
        <v>2080</v>
      </c>
      <c r="J1912" s="536"/>
      <c r="K1912" s="824"/>
    </row>
    <row r="1913" spans="3:11" ht="25.8" customHeight="1">
      <c r="C1913" s="702" t="s">
        <v>1208</v>
      </c>
      <c r="D1913" s="208"/>
      <c r="E1913" s="208"/>
      <c r="F1913" s="811"/>
      <c r="G1913" s="522"/>
      <c r="H1913" s="539">
        <f>SUM(H1909:H1912)</f>
        <v>85610</v>
      </c>
      <c r="I1913" s="819"/>
      <c r="J1913" s="536"/>
      <c r="K1913" s="824"/>
    </row>
    <row r="1914" spans="3:11" ht="25.8" customHeight="1">
      <c r="C1914" s="213" t="s">
        <v>1209</v>
      </c>
      <c r="D1914" s="212" t="s">
        <v>1210</v>
      </c>
      <c r="E1914" s="534"/>
      <c r="F1914" s="831"/>
      <c r="G1914" s="534"/>
      <c r="H1914" s="534"/>
      <c r="J1914" s="536"/>
      <c r="K1914" s="824"/>
    </row>
    <row r="1915" spans="3:11" ht="25.8" customHeight="1">
      <c r="C1915" s="833" t="s">
        <v>1203</v>
      </c>
      <c r="D1915" s="820" t="s">
        <v>873</v>
      </c>
      <c r="E1915" s="807" t="s">
        <v>113</v>
      </c>
      <c r="F1915" s="538">
        <v>1.2</v>
      </c>
      <c r="G1915" s="539">
        <f>VLOOKUP(D1915,upahbahan,3,FALSE)</f>
        <v>1921500</v>
      </c>
      <c r="H1915" s="539">
        <f t="shared" ref="H1915" si="190">F1915*G1915</f>
        <v>2305800</v>
      </c>
      <c r="J1915" s="536"/>
      <c r="K1915" s="824"/>
    </row>
    <row r="1916" spans="3:11" ht="25.8" customHeight="1">
      <c r="C1916" s="702" t="s">
        <v>1214</v>
      </c>
      <c r="D1916" s="208"/>
      <c r="E1916" s="208"/>
      <c r="F1916" s="208"/>
      <c r="G1916" s="209"/>
      <c r="H1916" s="539">
        <f>SUM(H1915:H1915)</f>
        <v>2305800</v>
      </c>
      <c r="J1916" s="536"/>
      <c r="K1916" s="824"/>
    </row>
    <row r="1917" spans="3:11" ht="25.8" customHeight="1">
      <c r="C1917" s="213" t="s">
        <v>1215</v>
      </c>
      <c r="D1917" s="212" t="s">
        <v>1216</v>
      </c>
      <c r="E1917" s="534"/>
      <c r="F1917" s="534"/>
      <c r="G1917" s="534"/>
      <c r="H1917" s="534"/>
      <c r="J1917" s="536"/>
      <c r="K1917" s="824"/>
    </row>
    <row r="1918" spans="3:11" ht="25.8" customHeight="1">
      <c r="C1918" s="702" t="s">
        <v>1217</v>
      </c>
      <c r="D1918" s="208"/>
      <c r="E1918" s="208"/>
      <c r="F1918" s="208"/>
      <c r="G1918" s="209"/>
      <c r="H1918" s="821">
        <v>0</v>
      </c>
      <c r="J1918" s="536"/>
      <c r="K1918" s="824"/>
    </row>
    <row r="1919" spans="3:11" ht="25.8" customHeight="1">
      <c r="C1919" s="566" t="s">
        <v>1218</v>
      </c>
      <c r="D1919" s="552" t="s">
        <v>1219</v>
      </c>
      <c r="E1919" s="553"/>
      <c r="F1919" s="553"/>
      <c r="G1919" s="554"/>
      <c r="H1919" s="826">
        <f>H1918+H1916+H1913</f>
        <v>2391410</v>
      </c>
      <c r="I1919" s="827"/>
      <c r="J1919" s="536"/>
      <c r="K1919" s="824"/>
    </row>
    <row r="1920" spans="3:11" ht="25.8" customHeight="1">
      <c r="C1920" s="566" t="s">
        <v>1220</v>
      </c>
      <c r="D1920" s="552" t="s">
        <v>1321</v>
      </c>
      <c r="E1920" s="553"/>
      <c r="F1920" s="554"/>
      <c r="G1920" s="555">
        <f>$M$9</f>
        <v>0.1</v>
      </c>
      <c r="H1920" s="539">
        <f>H1919*G1920</f>
        <v>239141</v>
      </c>
      <c r="I1920" s="827"/>
      <c r="J1920" s="536"/>
      <c r="K1920" s="824"/>
    </row>
    <row r="1921" spans="3:11" ht="25.8" customHeight="1">
      <c r="C1921" s="566" t="s">
        <v>1221</v>
      </c>
      <c r="D1921" s="552" t="s">
        <v>1222</v>
      </c>
      <c r="E1921" s="553"/>
      <c r="F1921" s="553"/>
      <c r="G1921" s="554"/>
      <c r="H1921" s="828">
        <f>SUM(H1919:H1920)</f>
        <v>2630551</v>
      </c>
      <c r="I1921" s="827"/>
      <c r="J1921" s="536"/>
      <c r="K1921" s="824"/>
    </row>
    <row r="1922" spans="3:11" ht="25.8" customHeight="1">
      <c r="J1922" s="536"/>
      <c r="K1922" s="824"/>
    </row>
    <row r="1923" spans="3:11" ht="25.8" customHeight="1">
      <c r="C1923" s="513" t="s">
        <v>3352</v>
      </c>
      <c r="D1923" s="817" t="s">
        <v>1734</v>
      </c>
      <c r="E1923" s="803"/>
      <c r="F1923" s="803"/>
      <c r="G1923" s="803"/>
      <c r="H1923" s="803"/>
      <c r="I1923" s="533">
        <f>ROUNDDOWN(H1938,-2)</f>
        <v>3251900</v>
      </c>
      <c r="J1923" s="536"/>
      <c r="K1923" s="824"/>
    </row>
    <row r="1924" spans="3:11" ht="25.8" customHeight="1">
      <c r="C1924" s="716" t="s">
        <v>1195</v>
      </c>
      <c r="D1924" s="716" t="s">
        <v>1196</v>
      </c>
      <c r="E1924" s="716" t="s">
        <v>1197</v>
      </c>
      <c r="F1924" s="716" t="s">
        <v>1198</v>
      </c>
      <c r="G1924" s="716" t="s">
        <v>1199</v>
      </c>
      <c r="H1924" s="716" t="s">
        <v>1200</v>
      </c>
      <c r="J1924" s="536"/>
      <c r="K1924" s="824"/>
    </row>
    <row r="1925" spans="3:11" ht="25.8" customHeight="1">
      <c r="C1925" s="213" t="s">
        <v>1201</v>
      </c>
      <c r="D1925" s="212" t="s">
        <v>1202</v>
      </c>
      <c r="E1925" s="534"/>
      <c r="F1925" s="534"/>
      <c r="G1925" s="534"/>
      <c r="H1925" s="534"/>
      <c r="J1925" s="536"/>
      <c r="K1925" s="824"/>
    </row>
    <row r="1926" spans="3:11" ht="25.8" customHeight="1">
      <c r="C1926" s="818">
        <v>1</v>
      </c>
      <c r="D1926" s="212" t="s">
        <v>5</v>
      </c>
      <c r="E1926" s="212" t="s">
        <v>6</v>
      </c>
      <c r="F1926" s="538">
        <v>0.23799999999999999</v>
      </c>
      <c r="G1926" s="539">
        <f>VLOOKUP(D1926,upahbahan,3,FALSE)</f>
        <v>100000</v>
      </c>
      <c r="H1926" s="539">
        <f t="shared" ref="H1926:H1929" si="191">F1926*G1926</f>
        <v>23800</v>
      </c>
      <c r="J1926" s="536"/>
      <c r="K1926" s="824"/>
    </row>
    <row r="1927" spans="3:11" ht="25.8" customHeight="1">
      <c r="C1927" s="818">
        <v>2</v>
      </c>
      <c r="D1927" s="212" t="str">
        <f>D1910</f>
        <v>Tukang listrik</v>
      </c>
      <c r="E1927" s="212" t="s">
        <v>6</v>
      </c>
      <c r="F1927" s="538">
        <v>0.39800000000000002</v>
      </c>
      <c r="G1927" s="539">
        <f>VLOOKUP(D1927,upahbahan,3,FALSE)</f>
        <v>135000</v>
      </c>
      <c r="H1927" s="539">
        <f t="shared" si="191"/>
        <v>53730</v>
      </c>
      <c r="J1927" s="536"/>
      <c r="K1927" s="824"/>
    </row>
    <row r="1928" spans="3:11" ht="25.8" customHeight="1">
      <c r="C1928" s="818">
        <v>3</v>
      </c>
      <c r="D1928" s="212" t="s">
        <v>18</v>
      </c>
      <c r="E1928" s="212" t="s">
        <v>6</v>
      </c>
      <c r="F1928" s="538">
        <v>0.04</v>
      </c>
      <c r="G1928" s="539">
        <f>VLOOKUP(D1928,upahbahan,3,FALSE)</f>
        <v>150000</v>
      </c>
      <c r="H1928" s="539">
        <f t="shared" si="191"/>
        <v>6000</v>
      </c>
      <c r="J1928" s="536"/>
      <c r="K1928" s="824"/>
    </row>
    <row r="1929" spans="3:11" ht="25.8" customHeight="1">
      <c r="C1929" s="818">
        <v>4</v>
      </c>
      <c r="D1929" s="212" t="s">
        <v>19</v>
      </c>
      <c r="E1929" s="212" t="s">
        <v>6</v>
      </c>
      <c r="F1929" s="538">
        <v>1.2999999999999999E-2</v>
      </c>
      <c r="G1929" s="539">
        <f>VLOOKUP(D1929,upahbahan,3,FALSE)</f>
        <v>160000</v>
      </c>
      <c r="H1929" s="539">
        <f t="shared" si="191"/>
        <v>2080</v>
      </c>
      <c r="J1929" s="536"/>
      <c r="K1929" s="824"/>
    </row>
    <row r="1930" spans="3:11" ht="25.8" customHeight="1">
      <c r="C1930" s="702" t="s">
        <v>1208</v>
      </c>
      <c r="D1930" s="208"/>
      <c r="E1930" s="208"/>
      <c r="F1930" s="811"/>
      <c r="G1930" s="522"/>
      <c r="H1930" s="539">
        <f>SUM(H1926:H1929)</f>
        <v>85610</v>
      </c>
      <c r="I1930" s="819"/>
      <c r="J1930" s="536"/>
      <c r="K1930" s="824"/>
    </row>
    <row r="1931" spans="3:11" ht="25.8" customHeight="1">
      <c r="C1931" s="213" t="s">
        <v>1209</v>
      </c>
      <c r="D1931" s="212" t="s">
        <v>1210</v>
      </c>
      <c r="E1931" s="534"/>
      <c r="F1931" s="831"/>
      <c r="G1931" s="534"/>
      <c r="H1931" s="534"/>
      <c r="J1931" s="536"/>
      <c r="K1931" s="824"/>
    </row>
    <row r="1932" spans="3:11" ht="25.8" customHeight="1">
      <c r="C1932" s="833" t="s">
        <v>1203</v>
      </c>
      <c r="D1932" s="820" t="s">
        <v>875</v>
      </c>
      <c r="E1932" s="807" t="s">
        <v>113</v>
      </c>
      <c r="F1932" s="538">
        <v>1.2</v>
      </c>
      <c r="G1932" s="539">
        <f>VLOOKUP(D1932,upahbahan,3,FALSE)</f>
        <v>2392250</v>
      </c>
      <c r="H1932" s="539">
        <f t="shared" ref="H1932" si="192">F1932*G1932</f>
        <v>2870700</v>
      </c>
      <c r="J1932" s="536"/>
      <c r="K1932" s="824"/>
    </row>
    <row r="1933" spans="3:11" ht="25.8" customHeight="1">
      <c r="C1933" s="702" t="s">
        <v>1214</v>
      </c>
      <c r="D1933" s="208"/>
      <c r="E1933" s="208"/>
      <c r="F1933" s="208"/>
      <c r="G1933" s="209"/>
      <c r="H1933" s="539">
        <f>SUM(H1932:H1932)</f>
        <v>2870700</v>
      </c>
      <c r="J1933" s="536"/>
      <c r="K1933" s="824"/>
    </row>
    <row r="1934" spans="3:11" ht="25.8" customHeight="1">
      <c r="C1934" s="213" t="s">
        <v>1215</v>
      </c>
      <c r="D1934" s="212" t="s">
        <v>1216</v>
      </c>
      <c r="E1934" s="534"/>
      <c r="F1934" s="534"/>
      <c r="G1934" s="534"/>
      <c r="H1934" s="534"/>
      <c r="J1934" s="536"/>
      <c r="K1934" s="824"/>
    </row>
    <row r="1935" spans="3:11" ht="25.8" customHeight="1">
      <c r="C1935" s="702" t="s">
        <v>1217</v>
      </c>
      <c r="D1935" s="208"/>
      <c r="E1935" s="208"/>
      <c r="F1935" s="208"/>
      <c r="G1935" s="209"/>
      <c r="H1935" s="821">
        <v>0</v>
      </c>
      <c r="J1935" s="536"/>
      <c r="K1935" s="824"/>
    </row>
    <row r="1936" spans="3:11" ht="25.8" customHeight="1">
      <c r="C1936" s="566" t="s">
        <v>1218</v>
      </c>
      <c r="D1936" s="552" t="s">
        <v>1219</v>
      </c>
      <c r="E1936" s="553"/>
      <c r="F1936" s="553"/>
      <c r="G1936" s="554"/>
      <c r="H1936" s="826">
        <f>H1935+H1933+H1930</f>
        <v>2956310</v>
      </c>
      <c r="I1936" s="827"/>
      <c r="J1936" s="536"/>
      <c r="K1936" s="824"/>
    </row>
    <row r="1937" spans="3:11" ht="25.8" customHeight="1">
      <c r="C1937" s="566" t="s">
        <v>1220</v>
      </c>
      <c r="D1937" s="552" t="s">
        <v>1321</v>
      </c>
      <c r="E1937" s="553"/>
      <c r="F1937" s="554"/>
      <c r="G1937" s="555">
        <f>$M$9</f>
        <v>0.1</v>
      </c>
      <c r="H1937" s="539">
        <f>H1936*G1937</f>
        <v>295631</v>
      </c>
      <c r="I1937" s="827"/>
      <c r="J1937" s="536"/>
      <c r="K1937" s="824"/>
    </row>
    <row r="1938" spans="3:11" ht="25.8" customHeight="1">
      <c r="C1938" s="566" t="s">
        <v>1221</v>
      </c>
      <c r="D1938" s="552" t="s">
        <v>1222</v>
      </c>
      <c r="E1938" s="553"/>
      <c r="F1938" s="553"/>
      <c r="G1938" s="554"/>
      <c r="H1938" s="828">
        <f>SUM(H1936:H1937)</f>
        <v>3251941</v>
      </c>
      <c r="I1938" s="827"/>
      <c r="J1938" s="536"/>
      <c r="K1938" s="824"/>
    </row>
    <row r="1939" spans="3:11" ht="25.8" customHeight="1">
      <c r="J1939" s="536"/>
      <c r="K1939" s="824"/>
    </row>
    <row r="1940" spans="3:11" ht="25.8" customHeight="1">
      <c r="C1940" s="571" t="s">
        <v>3353</v>
      </c>
      <c r="D1940" s="571" t="s">
        <v>842</v>
      </c>
      <c r="J1940" s="536"/>
      <c r="K1940" s="824"/>
    </row>
    <row r="1941" spans="3:11" ht="25.8" customHeight="1">
      <c r="C1941" s="513" t="s">
        <v>3354</v>
      </c>
      <c r="D1941" s="817" t="s">
        <v>1735</v>
      </c>
      <c r="E1941" s="803"/>
      <c r="F1941" s="803"/>
      <c r="G1941" s="803"/>
      <c r="H1941" s="803"/>
      <c r="I1941" s="533">
        <f>ROUNDDOWN(H1956,-2)</f>
        <v>60000</v>
      </c>
      <c r="J1941" s="536"/>
      <c r="K1941" s="824"/>
    </row>
    <row r="1942" spans="3:11" ht="25.8" customHeight="1">
      <c r="C1942" s="716" t="s">
        <v>1195</v>
      </c>
      <c r="D1942" s="716" t="s">
        <v>1196</v>
      </c>
      <c r="E1942" s="716" t="s">
        <v>1197</v>
      </c>
      <c r="F1942" s="716" t="s">
        <v>1198</v>
      </c>
      <c r="G1942" s="716" t="s">
        <v>1199</v>
      </c>
      <c r="H1942" s="716" t="s">
        <v>1200</v>
      </c>
      <c r="J1942" s="536"/>
      <c r="K1942" s="824"/>
    </row>
    <row r="1943" spans="3:11" ht="25.8" customHeight="1">
      <c r="C1943" s="213" t="s">
        <v>1201</v>
      </c>
      <c r="D1943" s="212" t="s">
        <v>1202</v>
      </c>
      <c r="E1943" s="534"/>
      <c r="F1943" s="534"/>
      <c r="G1943" s="534"/>
      <c r="H1943" s="534"/>
      <c r="J1943" s="536"/>
      <c r="K1943" s="824"/>
    </row>
    <row r="1944" spans="3:11" ht="25.8" customHeight="1">
      <c r="C1944" s="818">
        <v>1</v>
      </c>
      <c r="D1944" s="212" t="s">
        <v>5</v>
      </c>
      <c r="E1944" s="212" t="s">
        <v>6</v>
      </c>
      <c r="F1944" s="538">
        <v>2.4E-2</v>
      </c>
      <c r="G1944" s="539">
        <f>VLOOKUP(D1944,upahbahan,3,FALSE)</f>
        <v>100000</v>
      </c>
      <c r="H1944" s="539">
        <f t="shared" ref="H1944:H1947" si="193">F1944*G1944</f>
        <v>2400</v>
      </c>
      <c r="J1944" s="536"/>
      <c r="K1944" s="824"/>
    </row>
    <row r="1945" spans="3:11" ht="25.8" customHeight="1">
      <c r="C1945" s="818">
        <v>2</v>
      </c>
      <c r="D1945" s="212" t="str">
        <f>D1927</f>
        <v>Tukang listrik</v>
      </c>
      <c r="E1945" s="212" t="s">
        <v>6</v>
      </c>
      <c r="F1945" s="538">
        <v>0.04</v>
      </c>
      <c r="G1945" s="539">
        <f>VLOOKUP(D1945,upahbahan,3,FALSE)</f>
        <v>135000</v>
      </c>
      <c r="H1945" s="539">
        <f t="shared" si="193"/>
        <v>5400</v>
      </c>
      <c r="J1945" s="536"/>
      <c r="K1945" s="824"/>
    </row>
    <row r="1946" spans="3:11" ht="25.8" customHeight="1">
      <c r="C1946" s="818">
        <v>3</v>
      </c>
      <c r="D1946" s="212" t="s">
        <v>18</v>
      </c>
      <c r="E1946" s="212" t="s">
        <v>6</v>
      </c>
      <c r="F1946" s="538">
        <v>4.0000000000000001E-3</v>
      </c>
      <c r="G1946" s="539">
        <f>VLOOKUP(D1946,upahbahan,3,FALSE)</f>
        <v>150000</v>
      </c>
      <c r="H1946" s="539">
        <f t="shared" si="193"/>
        <v>600</v>
      </c>
      <c r="J1946" s="536"/>
      <c r="K1946" s="824"/>
    </row>
    <row r="1947" spans="3:11" ht="25.8" customHeight="1">
      <c r="C1947" s="818">
        <v>4</v>
      </c>
      <c r="D1947" s="212" t="s">
        <v>19</v>
      </c>
      <c r="E1947" s="212" t="s">
        <v>6</v>
      </c>
      <c r="F1947" s="538">
        <v>1E-3</v>
      </c>
      <c r="G1947" s="539">
        <f>VLOOKUP(D1947,upahbahan,3,FALSE)</f>
        <v>160000</v>
      </c>
      <c r="H1947" s="539">
        <f t="shared" si="193"/>
        <v>160</v>
      </c>
      <c r="J1947" s="536"/>
      <c r="K1947" s="824"/>
    </row>
    <row r="1948" spans="3:11" ht="25.8" customHeight="1">
      <c r="C1948" s="702" t="s">
        <v>1208</v>
      </c>
      <c r="D1948" s="208"/>
      <c r="E1948" s="208"/>
      <c r="F1948" s="811"/>
      <c r="G1948" s="522"/>
      <c r="H1948" s="539">
        <f>SUM(H1944:H1947)</f>
        <v>8560</v>
      </c>
      <c r="I1948" s="819"/>
      <c r="J1948" s="536"/>
      <c r="K1948" s="824"/>
    </row>
    <row r="1949" spans="3:11" ht="25.8" customHeight="1">
      <c r="C1949" s="213" t="s">
        <v>1209</v>
      </c>
      <c r="D1949" s="212" t="s">
        <v>1210</v>
      </c>
      <c r="E1949" s="534"/>
      <c r="F1949" s="831"/>
      <c r="G1949" s="534"/>
      <c r="H1949" s="534"/>
      <c r="J1949" s="536"/>
      <c r="K1949" s="824"/>
    </row>
    <row r="1950" spans="3:11" ht="25.8" customHeight="1">
      <c r="C1950" s="833" t="s">
        <v>1203</v>
      </c>
      <c r="D1950" s="820" t="s">
        <v>842</v>
      </c>
      <c r="E1950" s="807" t="s">
        <v>113</v>
      </c>
      <c r="F1950" s="538">
        <v>1.1499999999999999</v>
      </c>
      <c r="G1950" s="539">
        <f>VLOOKUP(D1950,upahbahan,3,FALSE)</f>
        <v>40000</v>
      </c>
      <c r="H1950" s="539">
        <f t="shared" ref="H1950" si="194">F1950*G1950</f>
        <v>46000</v>
      </c>
      <c r="J1950" s="536"/>
      <c r="K1950" s="824"/>
    </row>
    <row r="1951" spans="3:11" ht="25.8" customHeight="1">
      <c r="C1951" s="702" t="s">
        <v>1214</v>
      </c>
      <c r="D1951" s="208"/>
      <c r="E1951" s="208"/>
      <c r="F1951" s="208"/>
      <c r="G1951" s="209"/>
      <c r="H1951" s="539">
        <f>SUM(H1950:H1950)</f>
        <v>46000</v>
      </c>
      <c r="J1951" s="536"/>
      <c r="K1951" s="824"/>
    </row>
    <row r="1952" spans="3:11" ht="25.8" customHeight="1">
      <c r="C1952" s="213" t="s">
        <v>1215</v>
      </c>
      <c r="D1952" s="212" t="s">
        <v>1216</v>
      </c>
      <c r="E1952" s="534"/>
      <c r="F1952" s="534"/>
      <c r="G1952" s="534"/>
      <c r="H1952" s="534"/>
      <c r="J1952" s="536"/>
      <c r="K1952" s="824"/>
    </row>
    <row r="1953" spans="3:11" ht="25.8" customHeight="1">
      <c r="C1953" s="702" t="s">
        <v>1217</v>
      </c>
      <c r="D1953" s="208"/>
      <c r="E1953" s="208"/>
      <c r="F1953" s="208"/>
      <c r="G1953" s="209"/>
      <c r="H1953" s="821">
        <v>0</v>
      </c>
      <c r="J1953" s="536"/>
      <c r="K1953" s="824"/>
    </row>
    <row r="1954" spans="3:11" ht="25.8" customHeight="1">
      <c r="C1954" s="566" t="s">
        <v>1218</v>
      </c>
      <c r="D1954" s="552" t="s">
        <v>1219</v>
      </c>
      <c r="E1954" s="553"/>
      <c r="F1954" s="553"/>
      <c r="G1954" s="554"/>
      <c r="H1954" s="826">
        <f>H1953+H1951+H1948</f>
        <v>54560</v>
      </c>
      <c r="I1954" s="827"/>
      <c r="J1954" s="536"/>
      <c r="K1954" s="824"/>
    </row>
    <row r="1955" spans="3:11" ht="25.8" customHeight="1">
      <c r="C1955" s="566" t="s">
        <v>1220</v>
      </c>
      <c r="D1955" s="552" t="s">
        <v>1321</v>
      </c>
      <c r="E1955" s="553"/>
      <c r="F1955" s="554"/>
      <c r="G1955" s="555">
        <f>$M$9</f>
        <v>0.1</v>
      </c>
      <c r="H1955" s="539">
        <f>H1954*G1955</f>
        <v>5456</v>
      </c>
      <c r="I1955" s="827"/>
      <c r="J1955" s="536"/>
      <c r="K1955" s="824"/>
    </row>
    <row r="1956" spans="3:11" ht="25.8" customHeight="1">
      <c r="C1956" s="566" t="s">
        <v>1221</v>
      </c>
      <c r="D1956" s="552" t="s">
        <v>1222</v>
      </c>
      <c r="E1956" s="553"/>
      <c r="F1956" s="553"/>
      <c r="G1956" s="554"/>
      <c r="H1956" s="828">
        <f>SUM(H1954:H1955)</f>
        <v>60016</v>
      </c>
      <c r="I1956" s="827"/>
      <c r="J1956" s="536"/>
      <c r="K1956" s="824"/>
    </row>
    <row r="1957" spans="3:11" ht="25.8" customHeight="1">
      <c r="J1957" s="536"/>
      <c r="K1957" s="824"/>
    </row>
    <row r="1958" spans="3:11" ht="25.8" customHeight="1">
      <c r="C1958" s="513" t="s">
        <v>3355</v>
      </c>
      <c r="D1958" s="817" t="s">
        <v>1736</v>
      </c>
      <c r="E1958" s="803"/>
      <c r="F1958" s="803"/>
      <c r="G1958" s="803"/>
      <c r="H1958" s="803"/>
      <c r="I1958" s="533">
        <f>ROUNDDOWN(H1973,-2)</f>
        <v>125300</v>
      </c>
      <c r="J1958" s="536"/>
      <c r="K1958" s="824"/>
    </row>
    <row r="1959" spans="3:11" ht="25.8" customHeight="1">
      <c r="C1959" s="716" t="s">
        <v>1195</v>
      </c>
      <c r="D1959" s="716" t="s">
        <v>1196</v>
      </c>
      <c r="E1959" s="716" t="s">
        <v>1197</v>
      </c>
      <c r="F1959" s="716" t="s">
        <v>1198</v>
      </c>
      <c r="G1959" s="716" t="s">
        <v>1199</v>
      </c>
      <c r="H1959" s="716" t="s">
        <v>1200</v>
      </c>
      <c r="J1959" s="536"/>
      <c r="K1959" s="824"/>
    </row>
    <row r="1960" spans="3:11" ht="25.8" customHeight="1">
      <c r="C1960" s="213" t="s">
        <v>1201</v>
      </c>
      <c r="D1960" s="212" t="s">
        <v>1202</v>
      </c>
      <c r="E1960" s="534"/>
      <c r="F1960" s="534"/>
      <c r="G1960" s="534"/>
      <c r="H1960" s="534"/>
      <c r="J1960" s="536"/>
      <c r="K1960" s="824"/>
    </row>
    <row r="1961" spans="3:11" ht="25.8" customHeight="1">
      <c r="C1961" s="818">
        <v>1</v>
      </c>
      <c r="D1961" s="212" t="s">
        <v>5</v>
      </c>
      <c r="E1961" s="212" t="s">
        <v>6</v>
      </c>
      <c r="F1961" s="829">
        <v>2.9000000000000001E-2</v>
      </c>
      <c r="G1961" s="539">
        <f>VLOOKUP(D1961,upahbahan,3,FALSE)</f>
        <v>100000</v>
      </c>
      <c r="H1961" s="539">
        <f t="shared" ref="H1961:H1964" si="195">F1961*G1961</f>
        <v>2900</v>
      </c>
      <c r="J1961" s="536"/>
      <c r="K1961" s="824"/>
    </row>
    <row r="1962" spans="3:11" ht="25.8" customHeight="1">
      <c r="C1962" s="818">
        <v>2</v>
      </c>
      <c r="D1962" s="212" t="str">
        <f>D1945</f>
        <v>Tukang listrik</v>
      </c>
      <c r="E1962" s="212" t="s">
        <v>6</v>
      </c>
      <c r="F1962" s="829">
        <v>4.8000000000000001E-2</v>
      </c>
      <c r="G1962" s="539">
        <f>VLOOKUP(D1962,upahbahan,3,FALSE)</f>
        <v>135000</v>
      </c>
      <c r="H1962" s="539">
        <f t="shared" si="195"/>
        <v>6480</v>
      </c>
      <c r="J1962" s="536"/>
      <c r="K1962" s="824"/>
    </row>
    <row r="1963" spans="3:11" ht="25.8" customHeight="1">
      <c r="C1963" s="818">
        <v>3</v>
      </c>
      <c r="D1963" s="212" t="s">
        <v>18</v>
      </c>
      <c r="E1963" s="212" t="s">
        <v>6</v>
      </c>
      <c r="F1963" s="829">
        <v>5.0000000000000001E-3</v>
      </c>
      <c r="G1963" s="539">
        <f>VLOOKUP(D1963,upahbahan,3,FALSE)</f>
        <v>150000</v>
      </c>
      <c r="H1963" s="539">
        <f t="shared" si="195"/>
        <v>750</v>
      </c>
      <c r="J1963" s="536"/>
      <c r="K1963" s="824"/>
    </row>
    <row r="1964" spans="3:11" ht="25.8" customHeight="1">
      <c r="C1964" s="818">
        <v>4</v>
      </c>
      <c r="D1964" s="212" t="s">
        <v>19</v>
      </c>
      <c r="E1964" s="212" t="s">
        <v>6</v>
      </c>
      <c r="F1964" s="829">
        <v>2E-3</v>
      </c>
      <c r="G1964" s="539">
        <f>VLOOKUP(D1964,upahbahan,3,FALSE)</f>
        <v>160000</v>
      </c>
      <c r="H1964" s="539">
        <f t="shared" si="195"/>
        <v>320</v>
      </c>
      <c r="J1964" s="536"/>
      <c r="K1964" s="824"/>
    </row>
    <row r="1965" spans="3:11" ht="25.8" customHeight="1">
      <c r="C1965" s="702" t="s">
        <v>1208</v>
      </c>
      <c r="D1965" s="208"/>
      <c r="E1965" s="208"/>
      <c r="F1965" s="811"/>
      <c r="G1965" s="522"/>
      <c r="H1965" s="539">
        <f>SUM(H1961:H1964)</f>
        <v>10450</v>
      </c>
      <c r="I1965" s="819"/>
      <c r="J1965" s="536"/>
      <c r="K1965" s="824"/>
    </row>
    <row r="1966" spans="3:11" ht="25.8" customHeight="1">
      <c r="C1966" s="213" t="s">
        <v>1209</v>
      </c>
      <c r="D1966" s="212" t="s">
        <v>1210</v>
      </c>
      <c r="E1966" s="534"/>
      <c r="F1966" s="831"/>
      <c r="G1966" s="534"/>
      <c r="H1966" s="534"/>
      <c r="J1966" s="536"/>
      <c r="K1966" s="824"/>
    </row>
    <row r="1967" spans="3:11" ht="25.8" customHeight="1">
      <c r="C1967" s="833" t="s">
        <v>1203</v>
      </c>
      <c r="D1967" s="820" t="s">
        <v>844</v>
      </c>
      <c r="E1967" s="807" t="s">
        <v>113</v>
      </c>
      <c r="F1967" s="829">
        <v>1.1499999999999999</v>
      </c>
      <c r="G1967" s="539">
        <f>VLOOKUP(D1967,upahbahan,3,FALSE)</f>
        <v>90000</v>
      </c>
      <c r="H1967" s="539">
        <f t="shared" ref="H1967" si="196">F1967*G1967</f>
        <v>103499.99999999999</v>
      </c>
      <c r="J1967" s="536"/>
      <c r="K1967" s="824"/>
    </row>
    <row r="1968" spans="3:11" ht="25.8" customHeight="1">
      <c r="C1968" s="702" t="s">
        <v>1214</v>
      </c>
      <c r="D1968" s="208"/>
      <c r="E1968" s="208"/>
      <c r="F1968" s="208"/>
      <c r="G1968" s="209"/>
      <c r="H1968" s="539">
        <f>SUM(H1967:H1967)</f>
        <v>103499.99999999999</v>
      </c>
      <c r="J1968" s="536"/>
      <c r="K1968" s="824"/>
    </row>
    <row r="1969" spans="3:11" ht="25.8" customHeight="1">
      <c r="C1969" s="213" t="s">
        <v>1215</v>
      </c>
      <c r="D1969" s="212" t="s">
        <v>1216</v>
      </c>
      <c r="E1969" s="534"/>
      <c r="F1969" s="534"/>
      <c r="G1969" s="534"/>
      <c r="H1969" s="534"/>
      <c r="J1969" s="536"/>
      <c r="K1969" s="824"/>
    </row>
    <row r="1970" spans="3:11" ht="25.8" customHeight="1">
      <c r="C1970" s="702" t="s">
        <v>1217</v>
      </c>
      <c r="D1970" s="208"/>
      <c r="E1970" s="208"/>
      <c r="F1970" s="208"/>
      <c r="G1970" s="209"/>
      <c r="H1970" s="821">
        <v>0</v>
      </c>
      <c r="J1970" s="536"/>
      <c r="K1970" s="824"/>
    </row>
    <row r="1971" spans="3:11" ht="25.8" customHeight="1">
      <c r="C1971" s="566" t="s">
        <v>1218</v>
      </c>
      <c r="D1971" s="552" t="s">
        <v>1219</v>
      </c>
      <c r="E1971" s="553"/>
      <c r="F1971" s="553"/>
      <c r="G1971" s="554"/>
      <c r="H1971" s="826">
        <f>H1970+H1968+H1965</f>
        <v>113949.99999999999</v>
      </c>
      <c r="I1971" s="827"/>
      <c r="J1971" s="536"/>
      <c r="K1971" s="824"/>
    </row>
    <row r="1972" spans="3:11" ht="25.8" customHeight="1">
      <c r="C1972" s="566" t="s">
        <v>1220</v>
      </c>
      <c r="D1972" s="552" t="s">
        <v>1321</v>
      </c>
      <c r="E1972" s="553"/>
      <c r="F1972" s="554"/>
      <c r="G1972" s="555">
        <f>$M$9</f>
        <v>0.1</v>
      </c>
      <c r="H1972" s="539">
        <f>H1971*G1972</f>
        <v>11395</v>
      </c>
      <c r="I1972" s="827"/>
      <c r="J1972" s="536"/>
      <c r="K1972" s="824"/>
    </row>
    <row r="1973" spans="3:11" ht="25.8" customHeight="1">
      <c r="C1973" s="566" t="s">
        <v>1221</v>
      </c>
      <c r="D1973" s="552" t="s">
        <v>1222</v>
      </c>
      <c r="E1973" s="553"/>
      <c r="F1973" s="553"/>
      <c r="G1973" s="554"/>
      <c r="H1973" s="828">
        <f>SUM(H1971:H1972)</f>
        <v>125344.99999999999</v>
      </c>
      <c r="I1973" s="827"/>
      <c r="J1973" s="536"/>
      <c r="K1973" s="824"/>
    </row>
    <row r="1974" spans="3:11" ht="25.8" customHeight="1">
      <c r="J1974" s="536"/>
      <c r="K1974" s="824"/>
    </row>
    <row r="1975" spans="3:11" ht="25.8" customHeight="1">
      <c r="C1975" s="513" t="s">
        <v>3356</v>
      </c>
      <c r="D1975" s="817" t="s">
        <v>1737</v>
      </c>
      <c r="E1975" s="803"/>
      <c r="F1975" s="803"/>
      <c r="G1975" s="803"/>
      <c r="H1975" s="803"/>
      <c r="I1975" s="533">
        <f>ROUNDDOWN(H1990,-2)</f>
        <v>150600</v>
      </c>
      <c r="J1975" s="536"/>
      <c r="K1975" s="824"/>
    </row>
    <row r="1976" spans="3:11" ht="25.8" customHeight="1">
      <c r="C1976" s="716" t="s">
        <v>1195</v>
      </c>
      <c r="D1976" s="716" t="s">
        <v>1196</v>
      </c>
      <c r="E1976" s="716" t="s">
        <v>1197</v>
      </c>
      <c r="F1976" s="716" t="s">
        <v>1198</v>
      </c>
      <c r="G1976" s="716" t="s">
        <v>1199</v>
      </c>
      <c r="H1976" s="716" t="s">
        <v>1200</v>
      </c>
      <c r="J1976" s="536"/>
      <c r="K1976" s="824"/>
    </row>
    <row r="1977" spans="3:11" ht="25.8" customHeight="1">
      <c r="C1977" s="213" t="s">
        <v>1201</v>
      </c>
      <c r="D1977" s="212" t="s">
        <v>1202</v>
      </c>
      <c r="E1977" s="534"/>
      <c r="F1977" s="534"/>
      <c r="G1977" s="534"/>
      <c r="H1977" s="534"/>
      <c r="J1977" s="536"/>
      <c r="K1977" s="824"/>
    </row>
    <row r="1978" spans="3:11" ht="25.8" customHeight="1">
      <c r="C1978" s="818">
        <v>1</v>
      </c>
      <c r="D1978" s="212" t="s">
        <v>5</v>
      </c>
      <c r="E1978" s="212" t="s">
        <v>6</v>
      </c>
      <c r="F1978" s="829">
        <v>2.9000000000000001E-2</v>
      </c>
      <c r="G1978" s="539">
        <f>VLOOKUP(D1978,upahbahan,3,FALSE)</f>
        <v>100000</v>
      </c>
      <c r="H1978" s="539">
        <f t="shared" ref="H1978:H1981" si="197">F1978*G1978</f>
        <v>2900</v>
      </c>
      <c r="J1978" s="536"/>
      <c r="K1978" s="824"/>
    </row>
    <row r="1979" spans="3:11" ht="25.8" customHeight="1">
      <c r="C1979" s="818">
        <v>2</v>
      </c>
      <c r="D1979" s="212" t="str">
        <f>D1962</f>
        <v>Tukang listrik</v>
      </c>
      <c r="E1979" s="212" t="s">
        <v>6</v>
      </c>
      <c r="F1979" s="829">
        <v>4.8000000000000001E-2</v>
      </c>
      <c r="G1979" s="539">
        <f>VLOOKUP(D1979,upahbahan,3,FALSE)</f>
        <v>135000</v>
      </c>
      <c r="H1979" s="539">
        <f t="shared" si="197"/>
        <v>6480</v>
      </c>
      <c r="J1979" s="536"/>
      <c r="K1979" s="824"/>
    </row>
    <row r="1980" spans="3:11" ht="25.8" customHeight="1">
      <c r="C1980" s="818">
        <v>3</v>
      </c>
      <c r="D1980" s="212" t="s">
        <v>18</v>
      </c>
      <c r="E1980" s="212" t="s">
        <v>6</v>
      </c>
      <c r="F1980" s="829">
        <v>5.0000000000000001E-3</v>
      </c>
      <c r="G1980" s="539">
        <f>VLOOKUP(D1980,upahbahan,3,FALSE)</f>
        <v>150000</v>
      </c>
      <c r="H1980" s="539">
        <f t="shared" si="197"/>
        <v>750</v>
      </c>
      <c r="J1980" s="536"/>
      <c r="K1980" s="824"/>
    </row>
    <row r="1981" spans="3:11" ht="25.8" customHeight="1">
      <c r="C1981" s="818">
        <v>4</v>
      </c>
      <c r="D1981" s="212" t="s">
        <v>19</v>
      </c>
      <c r="E1981" s="212" t="s">
        <v>6</v>
      </c>
      <c r="F1981" s="829">
        <v>2E-3</v>
      </c>
      <c r="G1981" s="539">
        <f>VLOOKUP(D1981,upahbahan,3,FALSE)</f>
        <v>160000</v>
      </c>
      <c r="H1981" s="539">
        <f t="shared" si="197"/>
        <v>320</v>
      </c>
      <c r="J1981" s="536"/>
      <c r="K1981" s="824"/>
    </row>
    <row r="1982" spans="3:11" ht="25.8" customHeight="1">
      <c r="C1982" s="702" t="s">
        <v>1208</v>
      </c>
      <c r="D1982" s="208"/>
      <c r="E1982" s="208"/>
      <c r="F1982" s="811"/>
      <c r="G1982" s="522"/>
      <c r="H1982" s="539">
        <f>SUM(H1978:H1981)</f>
        <v>10450</v>
      </c>
      <c r="I1982" s="819"/>
      <c r="J1982" s="536"/>
      <c r="K1982" s="824"/>
    </row>
    <row r="1983" spans="3:11" ht="25.8" customHeight="1">
      <c r="C1983" s="213" t="s">
        <v>1209</v>
      </c>
      <c r="D1983" s="212" t="s">
        <v>1210</v>
      </c>
      <c r="E1983" s="534"/>
      <c r="F1983" s="831"/>
      <c r="G1983" s="534"/>
      <c r="H1983" s="534"/>
      <c r="J1983" s="536"/>
      <c r="K1983" s="824"/>
    </row>
    <row r="1984" spans="3:11" ht="25.8" customHeight="1">
      <c r="C1984" s="833" t="s">
        <v>1203</v>
      </c>
      <c r="D1984" s="820" t="s">
        <v>845</v>
      </c>
      <c r="E1984" s="807" t="s">
        <v>113</v>
      </c>
      <c r="F1984" s="829">
        <v>1.1499999999999999</v>
      </c>
      <c r="G1984" s="539">
        <f>VLOOKUP(D1984,upahbahan,3,FALSE)</f>
        <v>110000</v>
      </c>
      <c r="H1984" s="539">
        <f t="shared" ref="H1984" si="198">F1984*G1984</f>
        <v>126499.99999999999</v>
      </c>
      <c r="J1984" s="536"/>
      <c r="K1984" s="824"/>
    </row>
    <row r="1985" spans="3:11" ht="25.8" customHeight="1">
      <c r="C1985" s="702" t="s">
        <v>1214</v>
      </c>
      <c r="D1985" s="208"/>
      <c r="E1985" s="208"/>
      <c r="F1985" s="208"/>
      <c r="G1985" s="209"/>
      <c r="H1985" s="539">
        <f>SUM(H1984:H1984)</f>
        <v>126499.99999999999</v>
      </c>
      <c r="J1985" s="536"/>
      <c r="K1985" s="824"/>
    </row>
    <row r="1986" spans="3:11" ht="25.8" customHeight="1">
      <c r="C1986" s="213" t="s">
        <v>1215</v>
      </c>
      <c r="D1986" s="212" t="s">
        <v>1216</v>
      </c>
      <c r="E1986" s="534"/>
      <c r="F1986" s="534"/>
      <c r="G1986" s="534"/>
      <c r="H1986" s="534"/>
      <c r="J1986" s="536"/>
      <c r="K1986" s="824"/>
    </row>
    <row r="1987" spans="3:11" ht="25.8" customHeight="1">
      <c r="C1987" s="702" t="s">
        <v>1217</v>
      </c>
      <c r="D1987" s="208"/>
      <c r="E1987" s="208"/>
      <c r="F1987" s="208"/>
      <c r="G1987" s="209"/>
      <c r="H1987" s="821">
        <v>0</v>
      </c>
      <c r="J1987" s="536"/>
      <c r="K1987" s="824"/>
    </row>
    <row r="1988" spans="3:11" ht="25.8" customHeight="1">
      <c r="C1988" s="566" t="s">
        <v>1218</v>
      </c>
      <c r="D1988" s="552" t="s">
        <v>1219</v>
      </c>
      <c r="E1988" s="553"/>
      <c r="F1988" s="553"/>
      <c r="G1988" s="554"/>
      <c r="H1988" s="826">
        <f>H1987+H1985+H1982</f>
        <v>136950</v>
      </c>
      <c r="I1988" s="827"/>
      <c r="J1988" s="536"/>
      <c r="K1988" s="824"/>
    </row>
    <row r="1989" spans="3:11" ht="25.8" customHeight="1">
      <c r="C1989" s="566" t="s">
        <v>1220</v>
      </c>
      <c r="D1989" s="552" t="s">
        <v>1321</v>
      </c>
      <c r="E1989" s="553"/>
      <c r="F1989" s="554"/>
      <c r="G1989" s="555">
        <f>$M$9</f>
        <v>0.1</v>
      </c>
      <c r="H1989" s="539">
        <f>H1988*G1989</f>
        <v>13695</v>
      </c>
      <c r="I1989" s="827"/>
      <c r="J1989" s="536"/>
      <c r="K1989" s="824"/>
    </row>
    <row r="1990" spans="3:11" ht="25.8" customHeight="1">
      <c r="C1990" s="566" t="s">
        <v>1221</v>
      </c>
      <c r="D1990" s="552" t="s">
        <v>1222</v>
      </c>
      <c r="E1990" s="553"/>
      <c r="F1990" s="553"/>
      <c r="G1990" s="554"/>
      <c r="H1990" s="828">
        <f>SUM(H1988:H1989)</f>
        <v>150645</v>
      </c>
      <c r="I1990" s="827"/>
      <c r="J1990" s="536"/>
      <c r="K1990" s="824"/>
    </row>
    <row r="1991" spans="3:11" ht="25.8" customHeight="1">
      <c r="J1991" s="536"/>
      <c r="K1991" s="824"/>
    </row>
    <row r="1992" spans="3:11" ht="25.8" customHeight="1">
      <c r="C1992" s="513" t="s">
        <v>3357</v>
      </c>
      <c r="D1992" s="817" t="s">
        <v>1738</v>
      </c>
      <c r="E1992" s="803"/>
      <c r="F1992" s="803"/>
      <c r="G1992" s="803"/>
      <c r="H1992" s="803"/>
      <c r="I1992" s="533">
        <f>ROUNDDOWN(H2007,-2)</f>
        <v>2104000</v>
      </c>
      <c r="J1992" s="536"/>
      <c r="K1992" s="824"/>
    </row>
    <row r="1993" spans="3:11" ht="25.8" customHeight="1">
      <c r="C1993" s="716" t="s">
        <v>1195</v>
      </c>
      <c r="D1993" s="716" t="s">
        <v>1196</v>
      </c>
      <c r="E1993" s="716" t="s">
        <v>1197</v>
      </c>
      <c r="F1993" s="716" t="s">
        <v>1198</v>
      </c>
      <c r="G1993" s="716" t="s">
        <v>1199</v>
      </c>
      <c r="H1993" s="716" t="s">
        <v>1200</v>
      </c>
      <c r="J1993" s="536"/>
      <c r="K1993" s="824"/>
    </row>
    <row r="1994" spans="3:11" ht="25.8" customHeight="1">
      <c r="C1994" s="213" t="s">
        <v>1201</v>
      </c>
      <c r="D1994" s="212" t="s">
        <v>1202</v>
      </c>
      <c r="E1994" s="534"/>
      <c r="F1994" s="534"/>
      <c r="G1994" s="534"/>
      <c r="H1994" s="534"/>
      <c r="J1994" s="536"/>
      <c r="K1994" s="824"/>
    </row>
    <row r="1995" spans="3:11" ht="25.8" customHeight="1">
      <c r="C1995" s="818">
        <v>1</v>
      </c>
      <c r="D1995" s="212" t="s">
        <v>5</v>
      </c>
      <c r="E1995" s="212" t="s">
        <v>6</v>
      </c>
      <c r="F1995" s="538">
        <v>0.17899999999999999</v>
      </c>
      <c r="G1995" s="539">
        <f>VLOOKUP(D1995,upahbahan,3,FALSE)</f>
        <v>100000</v>
      </c>
      <c r="H1995" s="539">
        <f t="shared" ref="H1995:H1998" si="199">F1995*G1995</f>
        <v>17900</v>
      </c>
      <c r="J1995" s="536"/>
      <c r="K1995" s="824"/>
    </row>
    <row r="1996" spans="3:11" ht="25.8" customHeight="1">
      <c r="C1996" s="818">
        <v>2</v>
      </c>
      <c r="D1996" s="212" t="str">
        <f>D1979</f>
        <v>Tukang listrik</v>
      </c>
      <c r="E1996" s="212" t="s">
        <v>6</v>
      </c>
      <c r="F1996" s="538">
        <v>0.29799999999999999</v>
      </c>
      <c r="G1996" s="539">
        <f>VLOOKUP(D1996,upahbahan,3,FALSE)</f>
        <v>135000</v>
      </c>
      <c r="H1996" s="539">
        <f t="shared" si="199"/>
        <v>40230</v>
      </c>
      <c r="J1996" s="536"/>
      <c r="K1996" s="824"/>
    </row>
    <row r="1997" spans="3:11" ht="25.8" customHeight="1">
      <c r="C1997" s="818">
        <v>3</v>
      </c>
      <c r="D1997" s="212" t="s">
        <v>18</v>
      </c>
      <c r="E1997" s="212" t="s">
        <v>6</v>
      </c>
      <c r="F1997" s="538">
        <v>0.03</v>
      </c>
      <c r="G1997" s="539">
        <f>VLOOKUP(D1997,upahbahan,3,FALSE)</f>
        <v>150000</v>
      </c>
      <c r="H1997" s="539">
        <f t="shared" si="199"/>
        <v>4500</v>
      </c>
      <c r="J1997" s="536"/>
      <c r="K1997" s="824"/>
    </row>
    <row r="1998" spans="3:11" ht="25.8" customHeight="1">
      <c r="C1998" s="818">
        <v>4</v>
      </c>
      <c r="D1998" s="212" t="s">
        <v>19</v>
      </c>
      <c r="E1998" s="212" t="s">
        <v>6</v>
      </c>
      <c r="F1998" s="538">
        <v>0.01</v>
      </c>
      <c r="G1998" s="539">
        <f>VLOOKUP(D1998,upahbahan,3,FALSE)</f>
        <v>160000</v>
      </c>
      <c r="H1998" s="539">
        <f t="shared" si="199"/>
        <v>1600</v>
      </c>
      <c r="J1998" s="536"/>
      <c r="K1998" s="824"/>
    </row>
    <row r="1999" spans="3:11" ht="25.8" customHeight="1">
      <c r="C1999" s="702" t="s">
        <v>1208</v>
      </c>
      <c r="D1999" s="208"/>
      <c r="E1999" s="208"/>
      <c r="F1999" s="811"/>
      <c r="G1999" s="522"/>
      <c r="H1999" s="539">
        <f>SUM(H1995:H1998)</f>
        <v>64230</v>
      </c>
      <c r="I1999" s="819"/>
      <c r="J1999" s="536"/>
      <c r="K1999" s="824"/>
    </row>
    <row r="2000" spans="3:11" ht="25.8" customHeight="1">
      <c r="C2000" s="213" t="s">
        <v>1209</v>
      </c>
      <c r="D2000" s="212" t="s">
        <v>1210</v>
      </c>
      <c r="E2000" s="534"/>
      <c r="F2000" s="831"/>
      <c r="G2000" s="534"/>
      <c r="H2000" s="534"/>
      <c r="J2000" s="536"/>
      <c r="K2000" s="824"/>
    </row>
    <row r="2001" spans="3:11" ht="25.8" customHeight="1">
      <c r="C2001" s="833" t="s">
        <v>1203</v>
      </c>
      <c r="D2001" s="820" t="s">
        <v>843</v>
      </c>
      <c r="E2001" s="807" t="s">
        <v>113</v>
      </c>
      <c r="F2001" s="829">
        <v>1.1499999999999999</v>
      </c>
      <c r="G2001" s="539">
        <f>VLOOKUP(D2001,upahbahan,3,FALSE)</f>
        <v>1607400</v>
      </c>
      <c r="H2001" s="539">
        <f t="shared" ref="H2001" si="200">F2001*G2001</f>
        <v>1848509.9999999998</v>
      </c>
      <c r="J2001" s="536"/>
      <c r="K2001" s="824"/>
    </row>
    <row r="2002" spans="3:11" ht="25.8" customHeight="1">
      <c r="C2002" s="702" t="s">
        <v>1214</v>
      </c>
      <c r="D2002" s="208"/>
      <c r="E2002" s="208"/>
      <c r="F2002" s="208"/>
      <c r="G2002" s="209"/>
      <c r="H2002" s="539">
        <f>SUM(H2001:H2001)</f>
        <v>1848509.9999999998</v>
      </c>
      <c r="J2002" s="536"/>
      <c r="K2002" s="824"/>
    </row>
    <row r="2003" spans="3:11" ht="25.8" customHeight="1">
      <c r="C2003" s="213" t="s">
        <v>1215</v>
      </c>
      <c r="D2003" s="212" t="s">
        <v>1216</v>
      </c>
      <c r="E2003" s="534"/>
      <c r="F2003" s="534"/>
      <c r="G2003" s="534"/>
      <c r="H2003" s="534"/>
      <c r="J2003" s="536"/>
      <c r="K2003" s="824"/>
    </row>
    <row r="2004" spans="3:11" ht="25.8" customHeight="1">
      <c r="C2004" s="702" t="s">
        <v>1217</v>
      </c>
      <c r="D2004" s="208"/>
      <c r="E2004" s="208"/>
      <c r="F2004" s="208"/>
      <c r="G2004" s="209"/>
      <c r="H2004" s="821">
        <v>0</v>
      </c>
      <c r="J2004" s="536"/>
      <c r="K2004" s="824"/>
    </row>
    <row r="2005" spans="3:11" ht="25.8" customHeight="1">
      <c r="C2005" s="566" t="s">
        <v>1218</v>
      </c>
      <c r="D2005" s="552" t="s">
        <v>1219</v>
      </c>
      <c r="E2005" s="553"/>
      <c r="F2005" s="553"/>
      <c r="G2005" s="554"/>
      <c r="H2005" s="826">
        <f>H2004+H2002+H1999</f>
        <v>1912739.9999999998</v>
      </c>
      <c r="I2005" s="827"/>
      <c r="J2005" s="536"/>
      <c r="K2005" s="824"/>
    </row>
    <row r="2006" spans="3:11" ht="25.8" customHeight="1">
      <c r="C2006" s="566" t="s">
        <v>1220</v>
      </c>
      <c r="D2006" s="552" t="s">
        <v>1321</v>
      </c>
      <c r="E2006" s="553"/>
      <c r="F2006" s="554"/>
      <c r="G2006" s="555">
        <f>$M$9</f>
        <v>0.1</v>
      </c>
      <c r="H2006" s="539">
        <f>H2005*G2006</f>
        <v>191274</v>
      </c>
      <c r="I2006" s="827"/>
      <c r="J2006" s="536"/>
      <c r="K2006" s="824"/>
    </row>
    <row r="2007" spans="3:11" ht="25.8" customHeight="1">
      <c r="C2007" s="566" t="s">
        <v>1221</v>
      </c>
      <c r="D2007" s="552" t="s">
        <v>1222</v>
      </c>
      <c r="E2007" s="553"/>
      <c r="F2007" s="553"/>
      <c r="G2007" s="554"/>
      <c r="H2007" s="828">
        <f>SUM(H2005:H2006)</f>
        <v>2104014</v>
      </c>
      <c r="I2007" s="827"/>
      <c r="J2007" s="536"/>
      <c r="K2007" s="824"/>
    </row>
    <row r="2008" spans="3:11" ht="25.8" customHeight="1">
      <c r="J2008" s="536"/>
      <c r="K2008" s="824"/>
    </row>
    <row r="2009" spans="3:11" ht="25.8" customHeight="1">
      <c r="C2009" s="513" t="s">
        <v>3358</v>
      </c>
      <c r="D2009" s="817" t="s">
        <v>1739</v>
      </c>
      <c r="E2009" s="803"/>
      <c r="F2009" s="803"/>
      <c r="G2009" s="803"/>
      <c r="H2009" s="803"/>
      <c r="I2009" s="533">
        <f>ROUNDDOWN(H2024,-2)</f>
        <v>404400</v>
      </c>
      <c r="J2009" s="536"/>
      <c r="K2009" s="824"/>
    </row>
    <row r="2010" spans="3:11" ht="25.8" customHeight="1">
      <c r="C2010" s="716" t="s">
        <v>1195</v>
      </c>
      <c r="D2010" s="716" t="s">
        <v>1196</v>
      </c>
      <c r="E2010" s="716" t="s">
        <v>1197</v>
      </c>
      <c r="F2010" s="716" t="s">
        <v>1198</v>
      </c>
      <c r="G2010" s="716" t="s">
        <v>1199</v>
      </c>
      <c r="H2010" s="716" t="s">
        <v>1200</v>
      </c>
      <c r="J2010" s="536"/>
      <c r="K2010" s="824"/>
    </row>
    <row r="2011" spans="3:11" ht="25.8" customHeight="1">
      <c r="C2011" s="213" t="s">
        <v>1201</v>
      </c>
      <c r="D2011" s="212" t="s">
        <v>1202</v>
      </c>
      <c r="E2011" s="534"/>
      <c r="F2011" s="534"/>
      <c r="G2011" s="534"/>
      <c r="H2011" s="534"/>
      <c r="J2011" s="536"/>
      <c r="K2011" s="824"/>
    </row>
    <row r="2012" spans="3:11" ht="25.8" customHeight="1">
      <c r="C2012" s="818">
        <v>1</v>
      </c>
      <c r="D2012" s="212" t="s">
        <v>5</v>
      </c>
      <c r="E2012" s="212" t="s">
        <v>6</v>
      </c>
      <c r="F2012" s="829">
        <v>0.14299999999999999</v>
      </c>
      <c r="G2012" s="539">
        <f>VLOOKUP(D2012,upahbahan,3,FALSE)</f>
        <v>100000</v>
      </c>
      <c r="H2012" s="539">
        <f t="shared" ref="H2012:H2015" si="201">F2012*G2012</f>
        <v>14299.999999999998</v>
      </c>
      <c r="J2012" s="536"/>
      <c r="K2012" s="824"/>
    </row>
    <row r="2013" spans="3:11" ht="25.8" customHeight="1">
      <c r="C2013" s="818">
        <v>2</v>
      </c>
      <c r="D2013" s="212" t="str">
        <f>D1996</f>
        <v>Tukang listrik</v>
      </c>
      <c r="E2013" s="212" t="s">
        <v>6</v>
      </c>
      <c r="F2013" s="829">
        <v>0.23899999999999999</v>
      </c>
      <c r="G2013" s="539">
        <f>VLOOKUP(D2013,upahbahan,3,FALSE)</f>
        <v>135000</v>
      </c>
      <c r="H2013" s="539">
        <f t="shared" si="201"/>
        <v>32265</v>
      </c>
      <c r="J2013" s="536"/>
      <c r="K2013" s="824"/>
    </row>
    <row r="2014" spans="3:11" ht="25.8" customHeight="1">
      <c r="C2014" s="818">
        <v>3</v>
      </c>
      <c r="D2014" s="212" t="s">
        <v>18</v>
      </c>
      <c r="E2014" s="212" t="s">
        <v>6</v>
      </c>
      <c r="F2014" s="829">
        <v>2.4E-2</v>
      </c>
      <c r="G2014" s="539">
        <f>VLOOKUP(D2014,upahbahan,3,FALSE)</f>
        <v>150000</v>
      </c>
      <c r="H2014" s="539">
        <f t="shared" si="201"/>
        <v>3600</v>
      </c>
      <c r="J2014" s="536"/>
      <c r="K2014" s="824"/>
    </row>
    <row r="2015" spans="3:11" ht="25.8" customHeight="1">
      <c r="C2015" s="818">
        <v>4</v>
      </c>
      <c r="D2015" s="212" t="s">
        <v>19</v>
      </c>
      <c r="E2015" s="212" t="s">
        <v>6</v>
      </c>
      <c r="F2015" s="829">
        <v>8.0000000000000002E-3</v>
      </c>
      <c r="G2015" s="539">
        <f>VLOOKUP(D2015,upahbahan,3,FALSE)</f>
        <v>160000</v>
      </c>
      <c r="H2015" s="539">
        <f t="shared" si="201"/>
        <v>1280</v>
      </c>
      <c r="J2015" s="536"/>
      <c r="K2015" s="824"/>
    </row>
    <row r="2016" spans="3:11" ht="25.8" customHeight="1">
      <c r="C2016" s="702" t="s">
        <v>1208</v>
      </c>
      <c r="D2016" s="208"/>
      <c r="E2016" s="208"/>
      <c r="F2016" s="811"/>
      <c r="G2016" s="522"/>
      <c r="H2016" s="539">
        <f>SUM(H2012:H2015)</f>
        <v>51445</v>
      </c>
      <c r="I2016" s="819"/>
      <c r="J2016" s="536"/>
      <c r="K2016" s="824"/>
    </row>
    <row r="2017" spans="3:11" ht="25.8" customHeight="1">
      <c r="C2017" s="213" t="s">
        <v>1209</v>
      </c>
      <c r="D2017" s="212" t="s">
        <v>1210</v>
      </c>
      <c r="E2017" s="534"/>
      <c r="F2017" s="831"/>
      <c r="G2017" s="534"/>
      <c r="H2017" s="534"/>
      <c r="J2017" s="536"/>
      <c r="K2017" s="824"/>
    </row>
    <row r="2018" spans="3:11" ht="25.8" customHeight="1">
      <c r="C2018" s="833" t="s">
        <v>1203</v>
      </c>
      <c r="D2018" s="820" t="s">
        <v>839</v>
      </c>
      <c r="E2018" s="807" t="s">
        <v>113</v>
      </c>
      <c r="F2018" s="829">
        <v>1.1499999999999999</v>
      </c>
      <c r="G2018" s="539">
        <f>VLOOKUP(D2018,upahbahan,3,FALSE)</f>
        <v>275000</v>
      </c>
      <c r="H2018" s="539">
        <f t="shared" ref="H2018" si="202">F2018*G2018</f>
        <v>316250</v>
      </c>
      <c r="J2018" s="536"/>
      <c r="K2018" s="824"/>
    </row>
    <row r="2019" spans="3:11" ht="25.8" customHeight="1">
      <c r="C2019" s="702" t="s">
        <v>1214</v>
      </c>
      <c r="D2019" s="208"/>
      <c r="E2019" s="208"/>
      <c r="F2019" s="208"/>
      <c r="G2019" s="209"/>
      <c r="H2019" s="539">
        <f>SUM(H2018:H2018)</f>
        <v>316250</v>
      </c>
      <c r="J2019" s="536"/>
      <c r="K2019" s="824"/>
    </row>
    <row r="2020" spans="3:11" ht="25.8" customHeight="1">
      <c r="C2020" s="213" t="s">
        <v>1215</v>
      </c>
      <c r="D2020" s="212" t="s">
        <v>1216</v>
      </c>
      <c r="E2020" s="534"/>
      <c r="F2020" s="534"/>
      <c r="G2020" s="534"/>
      <c r="H2020" s="534"/>
      <c r="J2020" s="536"/>
      <c r="K2020" s="824"/>
    </row>
    <row r="2021" spans="3:11" ht="25.8" customHeight="1">
      <c r="C2021" s="702" t="s">
        <v>1217</v>
      </c>
      <c r="D2021" s="208"/>
      <c r="E2021" s="208"/>
      <c r="F2021" s="208"/>
      <c r="G2021" s="209"/>
      <c r="H2021" s="821">
        <v>0</v>
      </c>
      <c r="J2021" s="536"/>
      <c r="K2021" s="824"/>
    </row>
    <row r="2022" spans="3:11" ht="25.8" customHeight="1">
      <c r="C2022" s="566" t="s">
        <v>1218</v>
      </c>
      <c r="D2022" s="552" t="s">
        <v>1219</v>
      </c>
      <c r="E2022" s="553"/>
      <c r="F2022" s="553"/>
      <c r="G2022" s="554"/>
      <c r="H2022" s="826">
        <f>H2021+H2019+H2016</f>
        <v>367695</v>
      </c>
      <c r="I2022" s="827"/>
      <c r="J2022" s="536"/>
      <c r="K2022" s="824"/>
    </row>
    <row r="2023" spans="3:11" ht="25.8" customHeight="1">
      <c r="C2023" s="566" t="s">
        <v>1220</v>
      </c>
      <c r="D2023" s="552" t="s">
        <v>1321</v>
      </c>
      <c r="E2023" s="553"/>
      <c r="F2023" s="554"/>
      <c r="G2023" s="555">
        <f>$M$9</f>
        <v>0.1</v>
      </c>
      <c r="H2023" s="539">
        <f>H2022*G2023</f>
        <v>36769.5</v>
      </c>
      <c r="I2023" s="827"/>
      <c r="J2023" s="536"/>
      <c r="K2023" s="824"/>
    </row>
    <row r="2024" spans="3:11" ht="25.8" customHeight="1">
      <c r="C2024" s="566" t="s">
        <v>1221</v>
      </c>
      <c r="D2024" s="552" t="s">
        <v>1222</v>
      </c>
      <c r="E2024" s="553"/>
      <c r="F2024" s="553"/>
      <c r="G2024" s="554"/>
      <c r="H2024" s="828">
        <f>SUM(H2022:H2023)</f>
        <v>404464.5</v>
      </c>
      <c r="I2024" s="827"/>
      <c r="J2024" s="536"/>
      <c r="K2024" s="824"/>
    </row>
    <row r="2025" spans="3:11" ht="25.8" customHeight="1">
      <c r="J2025" s="536"/>
      <c r="K2025" s="824"/>
    </row>
    <row r="2026" spans="3:11" ht="25.8" customHeight="1">
      <c r="C2026" s="513" t="s">
        <v>3359</v>
      </c>
      <c r="D2026" s="817" t="s">
        <v>8796</v>
      </c>
      <c r="E2026" s="803"/>
      <c r="F2026" s="803"/>
      <c r="G2026" s="803"/>
      <c r="H2026" s="803"/>
      <c r="I2026" s="533">
        <f>ROUNDDOWN(H2041,-2)</f>
        <v>43600</v>
      </c>
      <c r="J2026" s="536" t="s">
        <v>6451</v>
      </c>
      <c r="K2026" s="824" t="s">
        <v>7719</v>
      </c>
    </row>
    <row r="2027" spans="3:11" ht="25.8" customHeight="1">
      <c r="C2027" s="716" t="s">
        <v>1195</v>
      </c>
      <c r="D2027" s="716" t="s">
        <v>1196</v>
      </c>
      <c r="E2027" s="716" t="s">
        <v>1197</v>
      </c>
      <c r="F2027" s="716" t="s">
        <v>1198</v>
      </c>
      <c r="G2027" s="716" t="s">
        <v>1199</v>
      </c>
      <c r="H2027" s="716" t="s">
        <v>1200</v>
      </c>
      <c r="J2027" s="536"/>
      <c r="K2027" s="824"/>
    </row>
    <row r="2028" spans="3:11" ht="25.8" customHeight="1">
      <c r="C2028" s="213" t="s">
        <v>1201</v>
      </c>
      <c r="D2028" s="212" t="s">
        <v>1202</v>
      </c>
      <c r="E2028" s="534"/>
      <c r="F2028" s="534"/>
      <c r="G2028" s="534"/>
      <c r="H2028" s="534"/>
      <c r="J2028" s="536"/>
      <c r="K2028" s="824"/>
    </row>
    <row r="2029" spans="3:11" ht="25.8" customHeight="1">
      <c r="C2029" s="818">
        <v>1</v>
      </c>
      <c r="D2029" s="212" t="s">
        <v>5</v>
      </c>
      <c r="E2029" s="212" t="s">
        <v>6</v>
      </c>
      <c r="F2029" s="538">
        <v>2.4E-2</v>
      </c>
      <c r="G2029" s="539">
        <f>VLOOKUP(D2029,upahbahan,3,FALSE)</f>
        <v>100000</v>
      </c>
      <c r="H2029" s="539">
        <f t="shared" ref="H2029:H2032" si="203">F2029*G2029</f>
        <v>2400</v>
      </c>
      <c r="J2029" s="536"/>
      <c r="K2029" s="824"/>
    </row>
    <row r="2030" spans="3:11" ht="25.8" customHeight="1">
      <c r="C2030" s="818">
        <v>2</v>
      </c>
      <c r="D2030" s="212" t="str">
        <f>D2013</f>
        <v>Tukang listrik</v>
      </c>
      <c r="E2030" s="212" t="s">
        <v>6</v>
      </c>
      <c r="F2030" s="538">
        <v>0.04</v>
      </c>
      <c r="G2030" s="539">
        <f>VLOOKUP(D2030,upahbahan,3,FALSE)</f>
        <v>135000</v>
      </c>
      <c r="H2030" s="539">
        <f t="shared" si="203"/>
        <v>5400</v>
      </c>
      <c r="J2030" s="536"/>
      <c r="K2030" s="824"/>
    </row>
    <row r="2031" spans="3:11" ht="25.8" customHeight="1">
      <c r="C2031" s="818">
        <v>3</v>
      </c>
      <c r="D2031" s="212" t="s">
        <v>18</v>
      </c>
      <c r="E2031" s="212" t="s">
        <v>6</v>
      </c>
      <c r="F2031" s="538">
        <v>4.0000000000000001E-3</v>
      </c>
      <c r="G2031" s="539">
        <f>VLOOKUP(D2031,upahbahan,3,FALSE)</f>
        <v>150000</v>
      </c>
      <c r="H2031" s="539">
        <f t="shared" si="203"/>
        <v>600</v>
      </c>
      <c r="J2031" s="536"/>
      <c r="K2031" s="824"/>
    </row>
    <row r="2032" spans="3:11" ht="25.8" customHeight="1">
      <c r="C2032" s="818">
        <v>4</v>
      </c>
      <c r="D2032" s="212" t="s">
        <v>19</v>
      </c>
      <c r="E2032" s="212" t="s">
        <v>6</v>
      </c>
      <c r="F2032" s="538">
        <v>1E-3</v>
      </c>
      <c r="G2032" s="539">
        <f>VLOOKUP(D2032,upahbahan,3,FALSE)</f>
        <v>160000</v>
      </c>
      <c r="H2032" s="539">
        <f t="shared" si="203"/>
        <v>160</v>
      </c>
      <c r="J2032" s="536"/>
      <c r="K2032" s="824"/>
    </row>
    <row r="2033" spans="3:11" ht="25.8" customHeight="1">
      <c r="C2033" s="702" t="s">
        <v>1208</v>
      </c>
      <c r="D2033" s="208"/>
      <c r="E2033" s="208"/>
      <c r="F2033" s="811"/>
      <c r="G2033" s="522"/>
      <c r="H2033" s="539">
        <f>SUM(H2029:H2032)</f>
        <v>8560</v>
      </c>
      <c r="I2033" s="819"/>
      <c r="J2033" s="536"/>
      <c r="K2033" s="824"/>
    </row>
    <row r="2034" spans="3:11" ht="25.8" customHeight="1">
      <c r="C2034" s="213" t="s">
        <v>1209</v>
      </c>
      <c r="D2034" s="212" t="s">
        <v>1210</v>
      </c>
      <c r="E2034" s="534"/>
      <c r="F2034" s="831"/>
      <c r="G2034" s="534"/>
      <c r="H2034" s="534"/>
      <c r="J2034" s="536"/>
      <c r="K2034" s="824"/>
    </row>
    <row r="2035" spans="3:11" ht="25.8" customHeight="1">
      <c r="C2035" s="833" t="s">
        <v>1203</v>
      </c>
      <c r="D2035" s="820" t="s">
        <v>7718</v>
      </c>
      <c r="E2035" s="807" t="s">
        <v>113</v>
      </c>
      <c r="F2035" s="829">
        <v>1.1499999999999999</v>
      </c>
      <c r="G2035" s="539">
        <f>VLOOKUP(D2035,upahbahan,3,FALSE)</f>
        <v>27100</v>
      </c>
      <c r="H2035" s="539">
        <f t="shared" ref="H2035" si="204">F2035*G2035</f>
        <v>31164.999999999996</v>
      </c>
      <c r="J2035" s="536"/>
      <c r="K2035" s="824"/>
    </row>
    <row r="2036" spans="3:11" ht="25.8" customHeight="1">
      <c r="C2036" s="702" t="s">
        <v>1214</v>
      </c>
      <c r="D2036" s="208"/>
      <c r="E2036" s="208"/>
      <c r="F2036" s="208"/>
      <c r="G2036" s="209"/>
      <c r="H2036" s="539">
        <f>SUM(H2035:H2035)</f>
        <v>31164.999999999996</v>
      </c>
      <c r="J2036" s="536"/>
      <c r="K2036" s="824"/>
    </row>
    <row r="2037" spans="3:11" ht="25.8" customHeight="1">
      <c r="C2037" s="213" t="s">
        <v>1215</v>
      </c>
      <c r="D2037" s="212" t="s">
        <v>1216</v>
      </c>
      <c r="E2037" s="534"/>
      <c r="F2037" s="534"/>
      <c r="G2037" s="534"/>
      <c r="H2037" s="534"/>
      <c r="J2037" s="536"/>
      <c r="K2037" s="824"/>
    </row>
    <row r="2038" spans="3:11" ht="25.8" customHeight="1">
      <c r="C2038" s="702" t="s">
        <v>1217</v>
      </c>
      <c r="D2038" s="208"/>
      <c r="E2038" s="208"/>
      <c r="F2038" s="208"/>
      <c r="G2038" s="209"/>
      <c r="H2038" s="821">
        <v>0</v>
      </c>
      <c r="J2038" s="536"/>
      <c r="K2038" s="824"/>
    </row>
    <row r="2039" spans="3:11" ht="25.8" customHeight="1">
      <c r="C2039" s="566" t="s">
        <v>1218</v>
      </c>
      <c r="D2039" s="552" t="s">
        <v>1219</v>
      </c>
      <c r="E2039" s="553"/>
      <c r="F2039" s="553"/>
      <c r="G2039" s="554"/>
      <c r="H2039" s="826">
        <f>H2038+H2036+H2033</f>
        <v>39725</v>
      </c>
      <c r="I2039" s="827"/>
      <c r="J2039" s="536"/>
      <c r="K2039" s="824"/>
    </row>
    <row r="2040" spans="3:11" ht="25.8" customHeight="1">
      <c r="C2040" s="566" t="s">
        <v>1220</v>
      </c>
      <c r="D2040" s="552" t="s">
        <v>1321</v>
      </c>
      <c r="E2040" s="553"/>
      <c r="F2040" s="554"/>
      <c r="G2040" s="555">
        <f>$M$9</f>
        <v>0.1</v>
      </c>
      <c r="H2040" s="539">
        <f>H2039*G2040</f>
        <v>3972.5</v>
      </c>
      <c r="I2040" s="827"/>
      <c r="J2040" s="536"/>
      <c r="K2040" s="824"/>
    </row>
    <row r="2041" spans="3:11" ht="25.8" customHeight="1">
      <c r="C2041" s="566" t="s">
        <v>1221</v>
      </c>
      <c r="D2041" s="552" t="s">
        <v>1222</v>
      </c>
      <c r="E2041" s="553"/>
      <c r="F2041" s="553"/>
      <c r="G2041" s="554"/>
      <c r="H2041" s="828">
        <f>SUM(H2039:H2040)</f>
        <v>43697.5</v>
      </c>
      <c r="I2041" s="827"/>
      <c r="J2041" s="536"/>
      <c r="K2041" s="824"/>
    </row>
    <row r="2042" spans="3:11" ht="25.8" customHeight="1">
      <c r="J2042" s="536"/>
      <c r="K2042" s="824"/>
    </row>
    <row r="2043" spans="3:11" ht="25.8" customHeight="1">
      <c r="C2043" s="571" t="s">
        <v>3360</v>
      </c>
      <c r="D2043" s="817" t="s">
        <v>8797</v>
      </c>
      <c r="E2043" s="803"/>
      <c r="F2043" s="803"/>
      <c r="G2043" s="803"/>
      <c r="H2043" s="803"/>
      <c r="I2043" s="533">
        <f>ROUNDDOWN(H2058,-2)</f>
        <v>85100</v>
      </c>
      <c r="J2043" s="536" t="s">
        <v>6451</v>
      </c>
      <c r="K2043" s="824" t="s">
        <v>7721</v>
      </c>
    </row>
    <row r="2044" spans="3:11" ht="25.8" customHeight="1">
      <c r="C2044" s="716" t="s">
        <v>1195</v>
      </c>
      <c r="D2044" s="716" t="s">
        <v>1196</v>
      </c>
      <c r="E2044" s="716" t="s">
        <v>1197</v>
      </c>
      <c r="F2044" s="716" t="s">
        <v>1198</v>
      </c>
      <c r="G2044" s="716" t="s">
        <v>1199</v>
      </c>
      <c r="H2044" s="716" t="s">
        <v>1200</v>
      </c>
      <c r="J2044" s="536"/>
      <c r="K2044" s="824"/>
    </row>
    <row r="2045" spans="3:11" ht="25.8" customHeight="1">
      <c r="C2045" s="213" t="s">
        <v>1201</v>
      </c>
      <c r="D2045" s="212" t="s">
        <v>1202</v>
      </c>
      <c r="E2045" s="534"/>
      <c r="F2045" s="534"/>
      <c r="G2045" s="534"/>
      <c r="H2045" s="534"/>
      <c r="J2045" s="536"/>
      <c r="K2045" s="824"/>
    </row>
    <row r="2046" spans="3:11" ht="25.8" customHeight="1">
      <c r="C2046" s="818">
        <v>1</v>
      </c>
      <c r="D2046" s="212" t="s">
        <v>5</v>
      </c>
      <c r="E2046" s="212" t="s">
        <v>6</v>
      </c>
      <c r="F2046" s="829">
        <v>9.5000000000000001E-2</v>
      </c>
      <c r="G2046" s="539">
        <f>VLOOKUP(D2046,upahbahan,3,FALSE)</f>
        <v>100000</v>
      </c>
      <c r="H2046" s="539">
        <f t="shared" ref="H2046:H2049" si="205">F2046*G2046</f>
        <v>9500</v>
      </c>
      <c r="J2046" s="536"/>
      <c r="K2046" s="824"/>
    </row>
    <row r="2047" spans="3:11" ht="25.8" customHeight="1">
      <c r="C2047" s="818">
        <v>2</v>
      </c>
      <c r="D2047" s="212" t="str">
        <f>D2030</f>
        <v>Tukang listrik</v>
      </c>
      <c r="E2047" s="212" t="s">
        <v>6</v>
      </c>
      <c r="F2047" s="829">
        <v>0.159</v>
      </c>
      <c r="G2047" s="539">
        <f>VLOOKUP(D2047,upahbahan,3,FALSE)</f>
        <v>135000</v>
      </c>
      <c r="H2047" s="539">
        <f t="shared" si="205"/>
        <v>21465</v>
      </c>
      <c r="J2047" s="536"/>
      <c r="K2047" s="824"/>
    </row>
    <row r="2048" spans="3:11" ht="25.8" customHeight="1">
      <c r="C2048" s="818">
        <v>3</v>
      </c>
      <c r="D2048" s="212" t="s">
        <v>18</v>
      </c>
      <c r="E2048" s="212" t="s">
        <v>6</v>
      </c>
      <c r="F2048" s="829">
        <v>1.6E-2</v>
      </c>
      <c r="G2048" s="539">
        <f>VLOOKUP(D2048,upahbahan,3,FALSE)</f>
        <v>150000</v>
      </c>
      <c r="H2048" s="539">
        <f t="shared" si="205"/>
        <v>2400</v>
      </c>
      <c r="J2048" s="536"/>
      <c r="K2048" s="824"/>
    </row>
    <row r="2049" spans="3:11" ht="25.8" customHeight="1">
      <c r="C2049" s="818">
        <v>4</v>
      </c>
      <c r="D2049" s="212" t="s">
        <v>19</v>
      </c>
      <c r="E2049" s="212" t="s">
        <v>6</v>
      </c>
      <c r="F2049" s="829">
        <v>5.0000000000000001E-3</v>
      </c>
      <c r="G2049" s="539">
        <f>VLOOKUP(D2049,upahbahan,3,FALSE)</f>
        <v>160000</v>
      </c>
      <c r="H2049" s="539">
        <f t="shared" si="205"/>
        <v>800</v>
      </c>
      <c r="J2049" s="536"/>
      <c r="K2049" s="824"/>
    </row>
    <row r="2050" spans="3:11" ht="25.8" customHeight="1">
      <c r="C2050" s="702" t="s">
        <v>1208</v>
      </c>
      <c r="D2050" s="208"/>
      <c r="E2050" s="208"/>
      <c r="F2050" s="811"/>
      <c r="G2050" s="522"/>
      <c r="H2050" s="539">
        <f>SUM(H2046:H2049)</f>
        <v>34165</v>
      </c>
      <c r="I2050" s="819"/>
      <c r="J2050" s="536"/>
      <c r="K2050" s="824"/>
    </row>
    <row r="2051" spans="3:11" ht="25.8" customHeight="1">
      <c r="C2051" s="213" t="s">
        <v>1209</v>
      </c>
      <c r="D2051" s="212" t="s">
        <v>1210</v>
      </c>
      <c r="E2051" s="534"/>
      <c r="F2051" s="831"/>
      <c r="G2051" s="534"/>
      <c r="H2051" s="534"/>
      <c r="J2051" s="536"/>
      <c r="K2051" s="824"/>
    </row>
    <row r="2052" spans="3:11" ht="25.8" customHeight="1">
      <c r="C2052" s="833" t="s">
        <v>1203</v>
      </c>
      <c r="D2052" s="820" t="s">
        <v>7720</v>
      </c>
      <c r="E2052" s="807" t="s">
        <v>113</v>
      </c>
      <c r="F2052" s="829">
        <v>1.1499999999999999</v>
      </c>
      <c r="G2052" s="539">
        <f>VLOOKUP(D2052,upahbahan,3,FALSE)</f>
        <v>37600</v>
      </c>
      <c r="H2052" s="539">
        <f t="shared" ref="H2052" si="206">F2052*G2052</f>
        <v>43240</v>
      </c>
      <c r="J2052" s="536"/>
      <c r="K2052" s="824"/>
    </row>
    <row r="2053" spans="3:11" ht="25.8" customHeight="1">
      <c r="C2053" s="702" t="s">
        <v>1214</v>
      </c>
      <c r="D2053" s="208"/>
      <c r="E2053" s="208"/>
      <c r="F2053" s="208"/>
      <c r="G2053" s="209"/>
      <c r="H2053" s="539">
        <f>SUM(H2052:H2052)</f>
        <v>43240</v>
      </c>
      <c r="J2053" s="536"/>
      <c r="K2053" s="824"/>
    </row>
    <row r="2054" spans="3:11" ht="25.8" customHeight="1">
      <c r="C2054" s="213" t="s">
        <v>1215</v>
      </c>
      <c r="D2054" s="212" t="s">
        <v>1216</v>
      </c>
      <c r="E2054" s="534"/>
      <c r="F2054" s="534"/>
      <c r="G2054" s="534"/>
      <c r="H2054" s="534"/>
      <c r="J2054" s="536"/>
      <c r="K2054" s="824"/>
    </row>
    <row r="2055" spans="3:11" ht="25.8" customHeight="1">
      <c r="C2055" s="702" t="s">
        <v>1217</v>
      </c>
      <c r="D2055" s="208"/>
      <c r="E2055" s="208"/>
      <c r="F2055" s="208"/>
      <c r="G2055" s="209"/>
      <c r="H2055" s="821">
        <v>0</v>
      </c>
      <c r="J2055" s="536"/>
      <c r="K2055" s="824"/>
    </row>
    <row r="2056" spans="3:11" ht="25.8" customHeight="1">
      <c r="C2056" s="566" t="s">
        <v>1218</v>
      </c>
      <c r="D2056" s="552" t="s">
        <v>1219</v>
      </c>
      <c r="E2056" s="553"/>
      <c r="F2056" s="553"/>
      <c r="G2056" s="554"/>
      <c r="H2056" s="826">
        <f>H2055+H2053+H2050</f>
        <v>77405</v>
      </c>
      <c r="I2056" s="827"/>
      <c r="J2056" s="536"/>
      <c r="K2056" s="824"/>
    </row>
    <row r="2057" spans="3:11" ht="25.8" customHeight="1">
      <c r="C2057" s="566" t="s">
        <v>1220</v>
      </c>
      <c r="D2057" s="552" t="s">
        <v>1321</v>
      </c>
      <c r="E2057" s="553"/>
      <c r="F2057" s="554"/>
      <c r="G2057" s="555">
        <f>$M$9</f>
        <v>0.1</v>
      </c>
      <c r="H2057" s="539">
        <f>H2056*G2057</f>
        <v>7740.5</v>
      </c>
      <c r="I2057" s="827"/>
      <c r="J2057" s="536"/>
      <c r="K2057" s="824"/>
    </row>
    <row r="2058" spans="3:11" ht="25.8" customHeight="1">
      <c r="C2058" s="566" t="s">
        <v>1221</v>
      </c>
      <c r="D2058" s="552" t="s">
        <v>1222</v>
      </c>
      <c r="E2058" s="553"/>
      <c r="F2058" s="553"/>
      <c r="G2058" s="554"/>
      <c r="H2058" s="828">
        <f>SUM(H2056:H2057)</f>
        <v>85145.5</v>
      </c>
      <c r="I2058" s="827"/>
      <c r="J2058" s="536"/>
      <c r="K2058" s="824"/>
    </row>
    <row r="2059" spans="3:11" ht="25.8" customHeight="1">
      <c r="J2059" s="536"/>
      <c r="K2059" s="824"/>
    </row>
    <row r="2060" spans="3:11" ht="25.8" customHeight="1">
      <c r="C2060" s="571" t="s">
        <v>3361</v>
      </c>
      <c r="D2060" s="571" t="s">
        <v>3362</v>
      </c>
      <c r="J2060" s="536"/>
      <c r="K2060" s="824"/>
    </row>
    <row r="2061" spans="3:11" ht="25.8" customHeight="1">
      <c r="C2061" s="513" t="s">
        <v>3363</v>
      </c>
      <c r="D2061" s="817" t="s">
        <v>1740</v>
      </c>
      <c r="E2061" s="803"/>
      <c r="F2061" s="803"/>
      <c r="G2061" s="803"/>
      <c r="H2061" s="803"/>
      <c r="I2061" s="533">
        <f>ROUNDDOWN(H2076,-2)</f>
        <v>22600</v>
      </c>
      <c r="J2061" s="536"/>
      <c r="K2061" s="824"/>
    </row>
    <row r="2062" spans="3:11" ht="25.8" customHeight="1">
      <c r="C2062" s="716" t="s">
        <v>1195</v>
      </c>
      <c r="D2062" s="716" t="s">
        <v>1196</v>
      </c>
      <c r="E2062" s="716" t="s">
        <v>1197</v>
      </c>
      <c r="F2062" s="716" t="s">
        <v>1198</v>
      </c>
      <c r="G2062" s="716" t="s">
        <v>1199</v>
      </c>
      <c r="H2062" s="716" t="s">
        <v>1200</v>
      </c>
      <c r="J2062" s="536"/>
      <c r="K2062" s="824"/>
    </row>
    <row r="2063" spans="3:11" ht="25.8" customHeight="1">
      <c r="C2063" s="213" t="s">
        <v>1201</v>
      </c>
      <c r="D2063" s="212" t="s">
        <v>1202</v>
      </c>
      <c r="E2063" s="534"/>
      <c r="F2063" s="534"/>
      <c r="G2063" s="534"/>
      <c r="H2063" s="534"/>
      <c r="J2063" s="536"/>
      <c r="K2063" s="824"/>
    </row>
    <row r="2064" spans="3:11" ht="25.8" customHeight="1">
      <c r="C2064" s="818">
        <v>1</v>
      </c>
      <c r="D2064" s="212" t="s">
        <v>5</v>
      </c>
      <c r="E2064" s="212" t="s">
        <v>6</v>
      </c>
      <c r="F2064" s="829">
        <v>1.9E-2</v>
      </c>
      <c r="G2064" s="539">
        <f>VLOOKUP(D2064,upahbahan,3,FALSE)</f>
        <v>100000</v>
      </c>
      <c r="H2064" s="539">
        <f t="shared" ref="H2064:H2067" si="207">F2064*G2064</f>
        <v>1900</v>
      </c>
      <c r="J2064" s="536"/>
      <c r="K2064" s="824"/>
    </row>
    <row r="2065" spans="3:11" ht="25.8" customHeight="1">
      <c r="C2065" s="818">
        <v>2</v>
      </c>
      <c r="D2065" s="212" t="str">
        <f>D2047</f>
        <v>Tukang listrik</v>
      </c>
      <c r="E2065" s="212" t="s">
        <v>6</v>
      </c>
      <c r="F2065" s="829">
        <v>3.2000000000000001E-2</v>
      </c>
      <c r="G2065" s="539">
        <f>VLOOKUP(D2065,upahbahan,3,FALSE)</f>
        <v>135000</v>
      </c>
      <c r="H2065" s="539">
        <f t="shared" si="207"/>
        <v>4320</v>
      </c>
      <c r="J2065" s="536"/>
      <c r="K2065" s="824"/>
    </row>
    <row r="2066" spans="3:11" ht="25.8" customHeight="1">
      <c r="C2066" s="818">
        <v>3</v>
      </c>
      <c r="D2066" s="212" t="s">
        <v>18</v>
      </c>
      <c r="E2066" s="212" t="s">
        <v>6</v>
      </c>
      <c r="F2066" s="829">
        <v>3.0000000000000001E-3</v>
      </c>
      <c r="G2066" s="539">
        <f>VLOOKUP(D2066,upahbahan,3,FALSE)</f>
        <v>150000</v>
      </c>
      <c r="H2066" s="539">
        <f t="shared" si="207"/>
        <v>450</v>
      </c>
      <c r="J2066" s="536"/>
      <c r="K2066" s="824"/>
    </row>
    <row r="2067" spans="3:11" ht="25.8" customHeight="1">
      <c r="C2067" s="818">
        <v>4</v>
      </c>
      <c r="D2067" s="212" t="s">
        <v>19</v>
      </c>
      <c r="E2067" s="212" t="s">
        <v>6</v>
      </c>
      <c r="F2067" s="829">
        <v>1E-3</v>
      </c>
      <c r="G2067" s="539">
        <f>VLOOKUP(D2067,upahbahan,3,FALSE)</f>
        <v>160000</v>
      </c>
      <c r="H2067" s="539">
        <f t="shared" si="207"/>
        <v>160</v>
      </c>
      <c r="J2067" s="536"/>
      <c r="K2067" s="824"/>
    </row>
    <row r="2068" spans="3:11" ht="25.8" customHeight="1">
      <c r="C2068" s="702" t="s">
        <v>1208</v>
      </c>
      <c r="D2068" s="208"/>
      <c r="E2068" s="208"/>
      <c r="F2068" s="811"/>
      <c r="G2068" s="522"/>
      <c r="H2068" s="539">
        <f>SUM(H2064:H2067)</f>
        <v>6830</v>
      </c>
      <c r="I2068" s="819"/>
      <c r="J2068" s="536"/>
      <c r="K2068" s="824"/>
    </row>
    <row r="2069" spans="3:11" ht="25.8" customHeight="1">
      <c r="C2069" s="213" t="s">
        <v>1209</v>
      </c>
      <c r="D2069" s="212" t="s">
        <v>1210</v>
      </c>
      <c r="E2069" s="534"/>
      <c r="F2069" s="831"/>
      <c r="G2069" s="534"/>
      <c r="H2069" s="534"/>
      <c r="J2069" s="536"/>
      <c r="K2069" s="824"/>
    </row>
    <row r="2070" spans="3:11" ht="25.8" customHeight="1">
      <c r="C2070" s="833" t="s">
        <v>1203</v>
      </c>
      <c r="D2070" s="820" t="s">
        <v>834</v>
      </c>
      <c r="E2070" s="807" t="s">
        <v>113</v>
      </c>
      <c r="F2070" s="829">
        <v>1.1499999999999999</v>
      </c>
      <c r="G2070" s="539">
        <f>VLOOKUP(D2070,upahbahan,3,FALSE)</f>
        <v>12000</v>
      </c>
      <c r="H2070" s="539">
        <f t="shared" ref="H2070" si="208">F2070*G2070</f>
        <v>13799.999999999998</v>
      </c>
      <c r="J2070" s="536"/>
      <c r="K2070" s="824"/>
    </row>
    <row r="2071" spans="3:11" ht="25.8" customHeight="1">
      <c r="C2071" s="702" t="s">
        <v>1214</v>
      </c>
      <c r="D2071" s="208"/>
      <c r="E2071" s="208"/>
      <c r="F2071" s="208"/>
      <c r="G2071" s="209"/>
      <c r="H2071" s="539">
        <f>SUM(H2070:H2070)</f>
        <v>13799.999999999998</v>
      </c>
      <c r="J2071" s="536"/>
      <c r="K2071" s="824"/>
    </row>
    <row r="2072" spans="3:11" ht="25.8" customHeight="1">
      <c r="C2072" s="213" t="s">
        <v>1215</v>
      </c>
      <c r="D2072" s="212" t="s">
        <v>1216</v>
      </c>
      <c r="E2072" s="534"/>
      <c r="F2072" s="534"/>
      <c r="G2072" s="534"/>
      <c r="H2072" s="534"/>
      <c r="J2072" s="536"/>
      <c r="K2072" s="824"/>
    </row>
    <row r="2073" spans="3:11" ht="25.8" customHeight="1">
      <c r="C2073" s="702" t="s">
        <v>1217</v>
      </c>
      <c r="D2073" s="208"/>
      <c r="E2073" s="208"/>
      <c r="F2073" s="208"/>
      <c r="G2073" s="209"/>
      <c r="H2073" s="821">
        <v>0</v>
      </c>
      <c r="J2073" s="536"/>
      <c r="K2073" s="824"/>
    </row>
    <row r="2074" spans="3:11" ht="25.8" customHeight="1">
      <c r="C2074" s="566" t="s">
        <v>1218</v>
      </c>
      <c r="D2074" s="552" t="s">
        <v>1219</v>
      </c>
      <c r="E2074" s="553"/>
      <c r="F2074" s="553"/>
      <c r="G2074" s="554"/>
      <c r="H2074" s="826">
        <f>H2073+H2071+H2068</f>
        <v>20630</v>
      </c>
      <c r="I2074" s="827"/>
      <c r="J2074" s="536"/>
      <c r="K2074" s="824"/>
    </row>
    <row r="2075" spans="3:11" ht="25.8" customHeight="1">
      <c r="C2075" s="566" t="s">
        <v>1220</v>
      </c>
      <c r="D2075" s="552" t="s">
        <v>1321</v>
      </c>
      <c r="E2075" s="553"/>
      <c r="F2075" s="554"/>
      <c r="G2075" s="555">
        <f>$M$9</f>
        <v>0.1</v>
      </c>
      <c r="H2075" s="539">
        <f>H2074*G2075</f>
        <v>2063</v>
      </c>
      <c r="I2075" s="827"/>
      <c r="J2075" s="536"/>
      <c r="K2075" s="824"/>
    </row>
    <row r="2076" spans="3:11" ht="25.8" customHeight="1">
      <c r="C2076" s="566" t="s">
        <v>1221</v>
      </c>
      <c r="D2076" s="552" t="s">
        <v>1222</v>
      </c>
      <c r="E2076" s="553"/>
      <c r="F2076" s="553"/>
      <c r="G2076" s="554"/>
      <c r="H2076" s="828">
        <f>SUM(H2074:H2075)</f>
        <v>22693</v>
      </c>
      <c r="I2076" s="827"/>
      <c r="J2076" s="536"/>
      <c r="K2076" s="824"/>
    </row>
    <row r="2077" spans="3:11" ht="25.8" customHeight="1">
      <c r="J2077" s="536"/>
      <c r="K2077" s="824"/>
    </row>
    <row r="2078" spans="3:11" ht="25.8" customHeight="1">
      <c r="C2078" s="513" t="s">
        <v>3364</v>
      </c>
      <c r="D2078" s="817" t="s">
        <v>1741</v>
      </c>
      <c r="E2078" s="803"/>
      <c r="F2078" s="803"/>
      <c r="G2078" s="803"/>
      <c r="H2078" s="803"/>
      <c r="I2078" s="533">
        <f>ROUNDDOWN(H2093,-2)</f>
        <v>55900</v>
      </c>
      <c r="J2078" s="536" t="s">
        <v>6451</v>
      </c>
      <c r="K2078" s="824" t="s">
        <v>7723</v>
      </c>
    </row>
    <row r="2079" spans="3:11" ht="25.8" customHeight="1">
      <c r="C2079" s="716" t="s">
        <v>1195</v>
      </c>
      <c r="D2079" s="716" t="s">
        <v>1196</v>
      </c>
      <c r="E2079" s="716" t="s">
        <v>1197</v>
      </c>
      <c r="F2079" s="716" t="s">
        <v>1198</v>
      </c>
      <c r="G2079" s="716" t="s">
        <v>1199</v>
      </c>
      <c r="H2079" s="716" t="s">
        <v>1200</v>
      </c>
      <c r="J2079" s="536"/>
      <c r="K2079" s="824"/>
    </row>
    <row r="2080" spans="3:11" ht="25.8" customHeight="1">
      <c r="C2080" s="213" t="s">
        <v>1201</v>
      </c>
      <c r="D2080" s="212" t="s">
        <v>1202</v>
      </c>
      <c r="E2080" s="534"/>
      <c r="F2080" s="534"/>
      <c r="G2080" s="534"/>
      <c r="H2080" s="534"/>
      <c r="J2080" s="536"/>
      <c r="K2080" s="824"/>
    </row>
    <row r="2081" spans="3:11" ht="25.8" customHeight="1">
      <c r="C2081" s="818">
        <v>1</v>
      </c>
      <c r="D2081" s="212" t="s">
        <v>5</v>
      </c>
      <c r="E2081" s="212" t="s">
        <v>6</v>
      </c>
      <c r="F2081" s="829">
        <v>1.9E-2</v>
      </c>
      <c r="G2081" s="539">
        <f>VLOOKUP(D2081,upahbahan,3,FALSE)</f>
        <v>100000</v>
      </c>
      <c r="H2081" s="539">
        <f t="shared" ref="H2081:H2084" si="209">F2081*G2081</f>
        <v>1900</v>
      </c>
      <c r="J2081" s="536"/>
      <c r="K2081" s="824"/>
    </row>
    <row r="2082" spans="3:11" ht="25.8" customHeight="1">
      <c r="C2082" s="818">
        <v>2</v>
      </c>
      <c r="D2082" s="212" t="str">
        <f>D2065</f>
        <v>Tukang listrik</v>
      </c>
      <c r="E2082" s="212" t="s">
        <v>6</v>
      </c>
      <c r="F2082" s="829">
        <v>3.2000000000000001E-2</v>
      </c>
      <c r="G2082" s="539">
        <f>VLOOKUP(D2082,upahbahan,3,FALSE)</f>
        <v>135000</v>
      </c>
      <c r="H2082" s="539">
        <f t="shared" si="209"/>
        <v>4320</v>
      </c>
      <c r="J2082" s="536"/>
      <c r="K2082" s="824"/>
    </row>
    <row r="2083" spans="3:11" ht="25.8" customHeight="1">
      <c r="C2083" s="818">
        <v>3</v>
      </c>
      <c r="D2083" s="212" t="s">
        <v>18</v>
      </c>
      <c r="E2083" s="212" t="s">
        <v>6</v>
      </c>
      <c r="F2083" s="829">
        <v>3.0000000000000001E-3</v>
      </c>
      <c r="G2083" s="539">
        <f>VLOOKUP(D2083,upahbahan,3,FALSE)</f>
        <v>150000</v>
      </c>
      <c r="H2083" s="539">
        <f t="shared" si="209"/>
        <v>450</v>
      </c>
      <c r="J2083" s="536"/>
      <c r="K2083" s="824"/>
    </row>
    <row r="2084" spans="3:11" ht="25.8" customHeight="1">
      <c r="C2084" s="818">
        <v>4</v>
      </c>
      <c r="D2084" s="212" t="s">
        <v>19</v>
      </c>
      <c r="E2084" s="212" t="s">
        <v>6</v>
      </c>
      <c r="F2084" s="829">
        <v>1E-3</v>
      </c>
      <c r="G2084" s="539">
        <f>VLOOKUP(D2084,upahbahan,3,FALSE)</f>
        <v>160000</v>
      </c>
      <c r="H2084" s="539">
        <f t="shared" si="209"/>
        <v>160</v>
      </c>
      <c r="J2084" s="536"/>
      <c r="K2084" s="824"/>
    </row>
    <row r="2085" spans="3:11" ht="25.8" customHeight="1">
      <c r="C2085" s="702" t="s">
        <v>1208</v>
      </c>
      <c r="D2085" s="208"/>
      <c r="E2085" s="208"/>
      <c r="F2085" s="811"/>
      <c r="G2085" s="522"/>
      <c r="H2085" s="539">
        <f>SUM(H2081:H2084)</f>
        <v>6830</v>
      </c>
      <c r="I2085" s="819"/>
      <c r="J2085" s="536"/>
      <c r="K2085" s="824"/>
    </row>
    <row r="2086" spans="3:11" ht="25.8" customHeight="1">
      <c r="C2086" s="213" t="s">
        <v>1209</v>
      </c>
      <c r="D2086" s="212" t="s">
        <v>1210</v>
      </c>
      <c r="E2086" s="534"/>
      <c r="F2086" s="831"/>
      <c r="G2086" s="534"/>
      <c r="H2086" s="534"/>
      <c r="J2086" s="536"/>
      <c r="K2086" s="824"/>
    </row>
    <row r="2087" spans="3:11" ht="25.8" customHeight="1">
      <c r="C2087" s="833" t="s">
        <v>1203</v>
      </c>
      <c r="D2087" s="820" t="s">
        <v>7722</v>
      </c>
      <c r="E2087" s="807" t="s">
        <v>113</v>
      </c>
      <c r="F2087" s="829">
        <v>1.1499999999999999</v>
      </c>
      <c r="G2087" s="539">
        <f>VLOOKUP(D2087,upahbahan,3,FALSE)</f>
        <v>38300</v>
      </c>
      <c r="H2087" s="539">
        <f t="shared" ref="H2087" si="210">F2087*G2087</f>
        <v>44045</v>
      </c>
      <c r="J2087" s="536"/>
      <c r="K2087" s="824"/>
    </row>
    <row r="2088" spans="3:11" ht="25.8" customHeight="1">
      <c r="C2088" s="702" t="s">
        <v>1214</v>
      </c>
      <c r="D2088" s="208"/>
      <c r="E2088" s="208"/>
      <c r="F2088" s="208"/>
      <c r="G2088" s="209"/>
      <c r="H2088" s="539">
        <f>SUM(H2087:H2087)</f>
        <v>44045</v>
      </c>
      <c r="J2088" s="536"/>
      <c r="K2088" s="824"/>
    </row>
    <row r="2089" spans="3:11" ht="25.8" customHeight="1">
      <c r="C2089" s="213" t="s">
        <v>1215</v>
      </c>
      <c r="D2089" s="212" t="s">
        <v>1216</v>
      </c>
      <c r="E2089" s="534"/>
      <c r="F2089" s="534"/>
      <c r="G2089" s="534"/>
      <c r="H2089" s="534"/>
      <c r="J2089" s="536"/>
      <c r="K2089" s="824"/>
    </row>
    <row r="2090" spans="3:11" ht="25.8" customHeight="1">
      <c r="C2090" s="702" t="s">
        <v>1217</v>
      </c>
      <c r="D2090" s="208"/>
      <c r="E2090" s="208"/>
      <c r="F2090" s="208"/>
      <c r="G2090" s="209"/>
      <c r="H2090" s="821">
        <v>0</v>
      </c>
      <c r="J2090" s="536"/>
      <c r="K2090" s="824"/>
    </row>
    <row r="2091" spans="3:11" ht="25.8" customHeight="1">
      <c r="C2091" s="566" t="s">
        <v>1218</v>
      </c>
      <c r="D2091" s="552" t="s">
        <v>1219</v>
      </c>
      <c r="E2091" s="553"/>
      <c r="F2091" s="553"/>
      <c r="G2091" s="554"/>
      <c r="H2091" s="826">
        <f>H2090+H2088+H2085</f>
        <v>50875</v>
      </c>
      <c r="I2091" s="827"/>
      <c r="J2091" s="536"/>
      <c r="K2091" s="824"/>
    </row>
    <row r="2092" spans="3:11" ht="25.8" customHeight="1">
      <c r="C2092" s="566" t="s">
        <v>1220</v>
      </c>
      <c r="D2092" s="552" t="s">
        <v>1321</v>
      </c>
      <c r="E2092" s="553"/>
      <c r="F2092" s="554"/>
      <c r="G2092" s="555">
        <f>$M$9</f>
        <v>0.1</v>
      </c>
      <c r="H2092" s="539">
        <f>H2091*G2092</f>
        <v>5087.5</v>
      </c>
      <c r="I2092" s="827"/>
      <c r="J2092" s="536"/>
      <c r="K2092" s="824"/>
    </row>
    <row r="2093" spans="3:11" ht="25.8" customHeight="1">
      <c r="C2093" s="566" t="s">
        <v>1221</v>
      </c>
      <c r="D2093" s="552" t="s">
        <v>1222</v>
      </c>
      <c r="E2093" s="553"/>
      <c r="F2093" s="553"/>
      <c r="G2093" s="554"/>
      <c r="H2093" s="828">
        <f>SUM(H2091:H2092)</f>
        <v>55962.5</v>
      </c>
      <c r="I2093" s="827"/>
      <c r="J2093" s="536"/>
      <c r="K2093" s="824"/>
    </row>
    <row r="2094" spans="3:11" ht="25.8" customHeight="1">
      <c r="J2094" s="536"/>
      <c r="K2094" s="824"/>
    </row>
    <row r="2095" spans="3:11" ht="25.8" customHeight="1">
      <c r="C2095" s="513" t="s">
        <v>3365</v>
      </c>
      <c r="D2095" s="817" t="s">
        <v>1742</v>
      </c>
      <c r="E2095" s="803"/>
      <c r="F2095" s="803"/>
      <c r="G2095" s="803"/>
      <c r="H2095" s="803"/>
      <c r="I2095" s="533">
        <f>ROUNDDOWN(H2110,-2)</f>
        <v>46100</v>
      </c>
      <c r="J2095" s="536"/>
      <c r="K2095" s="824"/>
    </row>
    <row r="2096" spans="3:11" ht="25.8" customHeight="1">
      <c r="C2096" s="716" t="s">
        <v>1195</v>
      </c>
      <c r="D2096" s="716" t="s">
        <v>1196</v>
      </c>
      <c r="E2096" s="716" t="s">
        <v>1197</v>
      </c>
      <c r="F2096" s="716" t="s">
        <v>1198</v>
      </c>
      <c r="G2096" s="716" t="s">
        <v>1199</v>
      </c>
      <c r="H2096" s="716" t="s">
        <v>1200</v>
      </c>
      <c r="J2096" s="536"/>
      <c r="K2096" s="824"/>
    </row>
    <row r="2097" spans="3:11" ht="25.8" customHeight="1">
      <c r="C2097" s="213" t="s">
        <v>1201</v>
      </c>
      <c r="D2097" s="212" t="s">
        <v>1202</v>
      </c>
      <c r="E2097" s="534"/>
      <c r="F2097" s="534"/>
      <c r="G2097" s="534"/>
      <c r="H2097" s="534"/>
      <c r="J2097" s="536"/>
      <c r="K2097" s="824"/>
    </row>
    <row r="2098" spans="3:11" ht="25.8" customHeight="1">
      <c r="C2098" s="818">
        <v>1</v>
      </c>
      <c r="D2098" s="212" t="s">
        <v>5</v>
      </c>
      <c r="E2098" s="212" t="s">
        <v>6</v>
      </c>
      <c r="F2098" s="538">
        <v>2.4E-2</v>
      </c>
      <c r="G2098" s="539">
        <f>VLOOKUP(D2098,upahbahan,3,FALSE)</f>
        <v>100000</v>
      </c>
      <c r="H2098" s="539">
        <f t="shared" ref="H2098:H2101" si="211">F2098*G2098</f>
        <v>2400</v>
      </c>
      <c r="J2098" s="536"/>
      <c r="K2098" s="824"/>
    </row>
    <row r="2099" spans="3:11" ht="25.8" customHeight="1">
      <c r="C2099" s="818">
        <v>2</v>
      </c>
      <c r="D2099" s="212" t="str">
        <f>D2082</f>
        <v>Tukang listrik</v>
      </c>
      <c r="E2099" s="212" t="s">
        <v>6</v>
      </c>
      <c r="F2099" s="538">
        <v>0.04</v>
      </c>
      <c r="G2099" s="539">
        <f>VLOOKUP(D2099,upahbahan,3,FALSE)</f>
        <v>135000</v>
      </c>
      <c r="H2099" s="539">
        <f t="shared" si="211"/>
        <v>5400</v>
      </c>
      <c r="J2099" s="536"/>
      <c r="K2099" s="824"/>
    </row>
    <row r="2100" spans="3:11" ht="25.8" customHeight="1">
      <c r="C2100" s="818">
        <v>3</v>
      </c>
      <c r="D2100" s="212" t="s">
        <v>18</v>
      </c>
      <c r="E2100" s="212" t="s">
        <v>6</v>
      </c>
      <c r="F2100" s="538">
        <v>4.0000000000000001E-3</v>
      </c>
      <c r="G2100" s="539">
        <f>VLOOKUP(D2100,upahbahan,3,FALSE)</f>
        <v>150000</v>
      </c>
      <c r="H2100" s="539">
        <f t="shared" si="211"/>
        <v>600</v>
      </c>
      <c r="J2100" s="536"/>
      <c r="K2100" s="824"/>
    </row>
    <row r="2101" spans="3:11" ht="25.8" customHeight="1">
      <c r="C2101" s="818">
        <v>4</v>
      </c>
      <c r="D2101" s="212" t="s">
        <v>19</v>
      </c>
      <c r="E2101" s="212" t="s">
        <v>6</v>
      </c>
      <c r="F2101" s="538">
        <v>1E-3</v>
      </c>
      <c r="G2101" s="539">
        <f>VLOOKUP(D2101,upahbahan,3,FALSE)</f>
        <v>160000</v>
      </c>
      <c r="H2101" s="539">
        <f t="shared" si="211"/>
        <v>160</v>
      </c>
      <c r="J2101" s="536"/>
      <c r="K2101" s="824"/>
    </row>
    <row r="2102" spans="3:11" ht="25.8" customHeight="1">
      <c r="C2102" s="702" t="s">
        <v>1208</v>
      </c>
      <c r="D2102" s="208"/>
      <c r="E2102" s="208"/>
      <c r="F2102" s="811"/>
      <c r="G2102" s="522"/>
      <c r="H2102" s="539">
        <f>SUM(H2098:H2101)</f>
        <v>8560</v>
      </c>
      <c r="I2102" s="819"/>
      <c r="J2102" s="536"/>
      <c r="K2102" s="824"/>
    </row>
    <row r="2103" spans="3:11" ht="25.8" customHeight="1">
      <c r="C2103" s="213" t="s">
        <v>1209</v>
      </c>
      <c r="D2103" s="212" t="s">
        <v>1210</v>
      </c>
      <c r="E2103" s="534"/>
      <c r="F2103" s="831"/>
      <c r="G2103" s="534"/>
      <c r="H2103" s="534"/>
      <c r="J2103" s="536"/>
      <c r="K2103" s="824"/>
    </row>
    <row r="2104" spans="3:11" ht="25.8" customHeight="1">
      <c r="C2104" s="833" t="s">
        <v>1203</v>
      </c>
      <c r="D2104" s="820" t="s">
        <v>830</v>
      </c>
      <c r="E2104" s="807" t="s">
        <v>113</v>
      </c>
      <c r="F2104" s="829">
        <v>1.1499999999999999</v>
      </c>
      <c r="G2104" s="539">
        <f>VLOOKUP(D2104,upahbahan,3,FALSE)</f>
        <v>29000</v>
      </c>
      <c r="H2104" s="539">
        <f t="shared" ref="H2104" si="212">F2104*G2104</f>
        <v>33350</v>
      </c>
      <c r="J2104" s="536"/>
      <c r="K2104" s="824"/>
    </row>
    <row r="2105" spans="3:11" ht="25.8" customHeight="1">
      <c r="C2105" s="702" t="s">
        <v>1214</v>
      </c>
      <c r="D2105" s="208"/>
      <c r="E2105" s="208"/>
      <c r="F2105" s="208"/>
      <c r="G2105" s="209"/>
      <c r="H2105" s="539">
        <f>SUM(H2104:H2104)</f>
        <v>33350</v>
      </c>
      <c r="J2105" s="536"/>
      <c r="K2105" s="824"/>
    </row>
    <row r="2106" spans="3:11" ht="25.8" customHeight="1">
      <c r="C2106" s="213" t="s">
        <v>1215</v>
      </c>
      <c r="D2106" s="212" t="s">
        <v>1216</v>
      </c>
      <c r="E2106" s="534"/>
      <c r="F2106" s="534"/>
      <c r="G2106" s="534"/>
      <c r="H2106" s="534"/>
      <c r="J2106" s="536"/>
      <c r="K2106" s="824"/>
    </row>
    <row r="2107" spans="3:11" ht="25.8" customHeight="1">
      <c r="C2107" s="702" t="s">
        <v>1217</v>
      </c>
      <c r="D2107" s="208"/>
      <c r="E2107" s="208"/>
      <c r="F2107" s="208"/>
      <c r="G2107" s="209"/>
      <c r="H2107" s="821">
        <v>0</v>
      </c>
      <c r="J2107" s="536"/>
      <c r="K2107" s="824"/>
    </row>
    <row r="2108" spans="3:11" ht="25.8" customHeight="1">
      <c r="C2108" s="566" t="s">
        <v>1218</v>
      </c>
      <c r="D2108" s="552" t="s">
        <v>1219</v>
      </c>
      <c r="E2108" s="553"/>
      <c r="F2108" s="553"/>
      <c r="G2108" s="554"/>
      <c r="H2108" s="826">
        <f>H2107+H2105+H2102</f>
        <v>41910</v>
      </c>
      <c r="I2108" s="827"/>
      <c r="J2108" s="536"/>
      <c r="K2108" s="824"/>
    </row>
    <row r="2109" spans="3:11" ht="25.8" customHeight="1">
      <c r="C2109" s="566" t="s">
        <v>1220</v>
      </c>
      <c r="D2109" s="552" t="s">
        <v>1321</v>
      </c>
      <c r="E2109" s="553"/>
      <c r="F2109" s="554"/>
      <c r="G2109" s="555">
        <f>$M$9</f>
        <v>0.1</v>
      </c>
      <c r="H2109" s="539">
        <f>H2108*G2109</f>
        <v>4191</v>
      </c>
      <c r="I2109" s="827"/>
      <c r="J2109" s="536"/>
      <c r="K2109" s="824"/>
    </row>
    <row r="2110" spans="3:11" ht="25.8" customHeight="1">
      <c r="C2110" s="566" t="s">
        <v>1221</v>
      </c>
      <c r="D2110" s="552" t="s">
        <v>1222</v>
      </c>
      <c r="E2110" s="553"/>
      <c r="F2110" s="553"/>
      <c r="G2110" s="554"/>
      <c r="H2110" s="828">
        <f>SUM(H2108:H2109)</f>
        <v>46101</v>
      </c>
      <c r="I2110" s="827"/>
      <c r="J2110" s="536"/>
      <c r="K2110" s="824"/>
    </row>
    <row r="2111" spans="3:11" ht="25.8" customHeight="1">
      <c r="J2111" s="536"/>
      <c r="K2111" s="824"/>
    </row>
    <row r="2112" spans="3:11" ht="25.8" customHeight="1">
      <c r="C2112" s="513" t="s">
        <v>3366</v>
      </c>
      <c r="D2112" s="817" t="s">
        <v>1743</v>
      </c>
      <c r="E2112" s="803"/>
      <c r="F2112" s="803"/>
      <c r="G2112" s="803"/>
      <c r="H2112" s="803"/>
      <c r="I2112" s="533">
        <f>ROUNDDOWN(H2127,-2)</f>
        <v>51100</v>
      </c>
      <c r="J2112" s="536"/>
      <c r="K2112" s="824"/>
    </row>
    <row r="2113" spans="3:11" ht="25.8" customHeight="1">
      <c r="C2113" s="716" t="s">
        <v>1195</v>
      </c>
      <c r="D2113" s="716" t="s">
        <v>1196</v>
      </c>
      <c r="E2113" s="716" t="s">
        <v>1197</v>
      </c>
      <c r="F2113" s="716" t="s">
        <v>1198</v>
      </c>
      <c r="G2113" s="716" t="s">
        <v>1199</v>
      </c>
      <c r="H2113" s="716" t="s">
        <v>1200</v>
      </c>
      <c r="J2113" s="536"/>
      <c r="K2113" s="824"/>
    </row>
    <row r="2114" spans="3:11" ht="25.8" customHeight="1">
      <c r="C2114" s="213" t="s">
        <v>1201</v>
      </c>
      <c r="D2114" s="212" t="s">
        <v>1202</v>
      </c>
      <c r="E2114" s="534"/>
      <c r="F2114" s="534"/>
      <c r="G2114" s="534"/>
      <c r="H2114" s="534"/>
      <c r="J2114" s="536"/>
      <c r="K2114" s="824"/>
    </row>
    <row r="2115" spans="3:11" ht="25.8" customHeight="1">
      <c r="C2115" s="818">
        <v>1</v>
      </c>
      <c r="D2115" s="212" t="s">
        <v>5</v>
      </c>
      <c r="E2115" s="212" t="s">
        <v>6</v>
      </c>
      <c r="F2115" s="538">
        <v>2.4E-2</v>
      </c>
      <c r="G2115" s="539">
        <f>VLOOKUP(D2115,upahbahan,3,FALSE)</f>
        <v>100000</v>
      </c>
      <c r="H2115" s="539">
        <f t="shared" ref="H2115:H2118" si="213">F2115*G2115</f>
        <v>2400</v>
      </c>
      <c r="J2115" s="536"/>
      <c r="K2115" s="824"/>
    </row>
    <row r="2116" spans="3:11" ht="25.8" customHeight="1">
      <c r="C2116" s="818">
        <v>2</v>
      </c>
      <c r="D2116" s="212" t="str">
        <f>D2099</f>
        <v>Tukang listrik</v>
      </c>
      <c r="E2116" s="212" t="s">
        <v>6</v>
      </c>
      <c r="F2116" s="538">
        <v>0.04</v>
      </c>
      <c r="G2116" s="539">
        <f>VLOOKUP(D2116,upahbahan,3,FALSE)</f>
        <v>135000</v>
      </c>
      <c r="H2116" s="539">
        <f t="shared" si="213"/>
        <v>5400</v>
      </c>
      <c r="J2116" s="536"/>
      <c r="K2116" s="824"/>
    </row>
    <row r="2117" spans="3:11" ht="25.8" customHeight="1">
      <c r="C2117" s="818">
        <v>3</v>
      </c>
      <c r="D2117" s="212" t="s">
        <v>18</v>
      </c>
      <c r="E2117" s="212" t="s">
        <v>6</v>
      </c>
      <c r="F2117" s="538">
        <v>4.0000000000000001E-3</v>
      </c>
      <c r="G2117" s="539">
        <f>VLOOKUP(D2117,upahbahan,3,FALSE)</f>
        <v>150000</v>
      </c>
      <c r="H2117" s="539">
        <f t="shared" si="213"/>
        <v>600</v>
      </c>
      <c r="J2117" s="536"/>
      <c r="K2117" s="824"/>
    </row>
    <row r="2118" spans="3:11" ht="25.8" customHeight="1">
      <c r="C2118" s="818">
        <v>4</v>
      </c>
      <c r="D2118" s="212" t="s">
        <v>19</v>
      </c>
      <c r="E2118" s="212" t="s">
        <v>6</v>
      </c>
      <c r="F2118" s="538">
        <v>1E-3</v>
      </c>
      <c r="G2118" s="539">
        <f>VLOOKUP(D2118,upahbahan,3,FALSE)</f>
        <v>160000</v>
      </c>
      <c r="H2118" s="539">
        <f t="shared" si="213"/>
        <v>160</v>
      </c>
      <c r="J2118" s="536"/>
      <c r="K2118" s="824"/>
    </row>
    <row r="2119" spans="3:11" ht="25.8" customHeight="1">
      <c r="C2119" s="702" t="s">
        <v>1208</v>
      </c>
      <c r="D2119" s="208"/>
      <c r="E2119" s="208"/>
      <c r="F2119" s="811"/>
      <c r="G2119" s="522"/>
      <c r="H2119" s="539">
        <f>SUM(H2115:H2118)</f>
        <v>8560</v>
      </c>
      <c r="I2119" s="819"/>
      <c r="J2119" s="536"/>
      <c r="K2119" s="824"/>
    </row>
    <row r="2120" spans="3:11" ht="25.8" customHeight="1">
      <c r="C2120" s="213" t="s">
        <v>1209</v>
      </c>
      <c r="D2120" s="212" t="s">
        <v>1210</v>
      </c>
      <c r="E2120" s="534"/>
      <c r="F2120" s="831"/>
      <c r="G2120" s="534"/>
      <c r="H2120" s="534"/>
      <c r="J2120" s="536"/>
      <c r="K2120" s="824"/>
    </row>
    <row r="2121" spans="3:11" ht="25.8" customHeight="1">
      <c r="C2121" s="833" t="s">
        <v>1203</v>
      </c>
      <c r="D2121" s="820" t="s">
        <v>831</v>
      </c>
      <c r="E2121" s="807" t="s">
        <v>113</v>
      </c>
      <c r="F2121" s="829">
        <v>1.1499999999999999</v>
      </c>
      <c r="G2121" s="539">
        <f>VLOOKUP(D2121,upahbahan,3,FALSE)</f>
        <v>33000</v>
      </c>
      <c r="H2121" s="539">
        <f t="shared" ref="H2121" si="214">F2121*G2121</f>
        <v>37950</v>
      </c>
      <c r="J2121" s="536"/>
      <c r="K2121" s="824"/>
    </row>
    <row r="2122" spans="3:11" ht="25.8" customHeight="1">
      <c r="C2122" s="702" t="s">
        <v>1214</v>
      </c>
      <c r="D2122" s="208"/>
      <c r="E2122" s="208"/>
      <c r="F2122" s="208"/>
      <c r="G2122" s="209"/>
      <c r="H2122" s="539">
        <f>SUM(H2121:H2121)</f>
        <v>37950</v>
      </c>
      <c r="J2122" s="536"/>
      <c r="K2122" s="824"/>
    </row>
    <row r="2123" spans="3:11" ht="25.8" customHeight="1">
      <c r="C2123" s="213" t="s">
        <v>1215</v>
      </c>
      <c r="D2123" s="212" t="s">
        <v>1216</v>
      </c>
      <c r="E2123" s="534"/>
      <c r="F2123" s="534"/>
      <c r="G2123" s="534"/>
      <c r="H2123" s="534"/>
      <c r="J2123" s="536"/>
      <c r="K2123" s="824"/>
    </row>
    <row r="2124" spans="3:11" ht="25.8" customHeight="1">
      <c r="C2124" s="702" t="s">
        <v>1217</v>
      </c>
      <c r="D2124" s="208"/>
      <c r="E2124" s="208"/>
      <c r="F2124" s="208"/>
      <c r="G2124" s="209"/>
      <c r="H2124" s="821">
        <v>0</v>
      </c>
      <c r="J2124" s="536"/>
      <c r="K2124" s="824"/>
    </row>
    <row r="2125" spans="3:11" ht="25.8" customHeight="1">
      <c r="C2125" s="566" t="s">
        <v>1218</v>
      </c>
      <c r="D2125" s="552" t="s">
        <v>1219</v>
      </c>
      <c r="E2125" s="553"/>
      <c r="F2125" s="553"/>
      <c r="G2125" s="554"/>
      <c r="H2125" s="826">
        <f>H2124+H2122+H2119</f>
        <v>46510</v>
      </c>
      <c r="I2125" s="827"/>
      <c r="J2125" s="536"/>
      <c r="K2125" s="824"/>
    </row>
    <row r="2126" spans="3:11" ht="25.8" customHeight="1">
      <c r="C2126" s="566" t="s">
        <v>1220</v>
      </c>
      <c r="D2126" s="552" t="s">
        <v>1321</v>
      </c>
      <c r="E2126" s="553"/>
      <c r="F2126" s="554"/>
      <c r="G2126" s="555">
        <f>$M$9</f>
        <v>0.1</v>
      </c>
      <c r="H2126" s="539">
        <f>H2125*G2126</f>
        <v>4651</v>
      </c>
      <c r="I2126" s="827"/>
      <c r="J2126" s="536"/>
      <c r="K2126" s="824"/>
    </row>
    <row r="2127" spans="3:11" ht="25.8" customHeight="1">
      <c r="C2127" s="566" t="s">
        <v>1221</v>
      </c>
      <c r="D2127" s="552" t="s">
        <v>1222</v>
      </c>
      <c r="E2127" s="553"/>
      <c r="F2127" s="553"/>
      <c r="G2127" s="554"/>
      <c r="H2127" s="828">
        <f>SUM(H2125:H2126)</f>
        <v>51161</v>
      </c>
      <c r="I2127" s="827"/>
      <c r="J2127" s="536"/>
      <c r="K2127" s="824"/>
    </row>
    <row r="2128" spans="3:11" ht="25.8" customHeight="1">
      <c r="J2128" s="536"/>
      <c r="K2128" s="824"/>
    </row>
    <row r="2129" spans="3:11" ht="25.8" customHeight="1">
      <c r="C2129" s="513" t="s">
        <v>3367</v>
      </c>
      <c r="D2129" s="817" t="s">
        <v>1744</v>
      </c>
      <c r="E2129" s="803"/>
      <c r="F2129" s="803"/>
      <c r="G2129" s="803"/>
      <c r="H2129" s="803"/>
      <c r="I2129" s="533">
        <f>ROUNDDOWN(H2144,-2)</f>
        <v>78500</v>
      </c>
      <c r="J2129" s="536"/>
      <c r="K2129" s="824"/>
    </row>
    <row r="2130" spans="3:11" ht="25.8" customHeight="1">
      <c r="C2130" s="716" t="s">
        <v>1195</v>
      </c>
      <c r="D2130" s="716" t="s">
        <v>1196</v>
      </c>
      <c r="E2130" s="716" t="s">
        <v>1197</v>
      </c>
      <c r="F2130" s="716" t="s">
        <v>1198</v>
      </c>
      <c r="G2130" s="716" t="s">
        <v>1199</v>
      </c>
      <c r="H2130" s="716" t="s">
        <v>1200</v>
      </c>
      <c r="J2130" s="536"/>
      <c r="K2130" s="824"/>
    </row>
    <row r="2131" spans="3:11" ht="25.8" customHeight="1">
      <c r="C2131" s="213" t="s">
        <v>1201</v>
      </c>
      <c r="D2131" s="212" t="s">
        <v>1202</v>
      </c>
      <c r="E2131" s="534"/>
      <c r="F2131" s="534"/>
      <c r="G2131" s="534"/>
      <c r="H2131" s="534"/>
      <c r="J2131" s="536"/>
      <c r="K2131" s="824"/>
    </row>
    <row r="2132" spans="3:11" ht="25.8" customHeight="1">
      <c r="C2132" s="818">
        <v>1</v>
      </c>
      <c r="D2132" s="212" t="s">
        <v>5</v>
      </c>
      <c r="E2132" s="212" t="s">
        <v>6</v>
      </c>
      <c r="F2132" s="829">
        <v>2.9000000000000001E-2</v>
      </c>
      <c r="G2132" s="539">
        <f>VLOOKUP(D2132,upahbahan,3,FALSE)</f>
        <v>100000</v>
      </c>
      <c r="H2132" s="539">
        <f t="shared" ref="H2132:H2135" si="215">F2132*G2132</f>
        <v>2900</v>
      </c>
      <c r="J2132" s="536"/>
      <c r="K2132" s="824"/>
    </row>
    <row r="2133" spans="3:11" ht="25.8" customHeight="1">
      <c r="C2133" s="818">
        <v>2</v>
      </c>
      <c r="D2133" s="212" t="str">
        <f>D2116</f>
        <v>Tukang listrik</v>
      </c>
      <c r="E2133" s="212" t="s">
        <v>6</v>
      </c>
      <c r="F2133" s="829">
        <v>4.8000000000000001E-2</v>
      </c>
      <c r="G2133" s="539">
        <f>VLOOKUP(D2133,upahbahan,3,FALSE)</f>
        <v>135000</v>
      </c>
      <c r="H2133" s="539">
        <f t="shared" si="215"/>
        <v>6480</v>
      </c>
      <c r="J2133" s="536"/>
      <c r="K2133" s="824"/>
    </row>
    <row r="2134" spans="3:11" ht="25.8" customHeight="1">
      <c r="C2134" s="818">
        <v>3</v>
      </c>
      <c r="D2134" s="212" t="s">
        <v>18</v>
      </c>
      <c r="E2134" s="212" t="s">
        <v>6</v>
      </c>
      <c r="F2134" s="829">
        <v>5.0000000000000001E-3</v>
      </c>
      <c r="G2134" s="539">
        <f>VLOOKUP(D2134,upahbahan,3,FALSE)</f>
        <v>150000</v>
      </c>
      <c r="H2134" s="539">
        <f t="shared" si="215"/>
        <v>750</v>
      </c>
      <c r="J2134" s="536"/>
      <c r="K2134" s="824"/>
    </row>
    <row r="2135" spans="3:11" ht="25.8" customHeight="1">
      <c r="C2135" s="818">
        <v>4</v>
      </c>
      <c r="D2135" s="212" t="s">
        <v>19</v>
      </c>
      <c r="E2135" s="212" t="s">
        <v>6</v>
      </c>
      <c r="F2135" s="829">
        <v>2E-3</v>
      </c>
      <c r="G2135" s="539">
        <f>VLOOKUP(D2135,upahbahan,3,FALSE)</f>
        <v>160000</v>
      </c>
      <c r="H2135" s="539">
        <f t="shared" si="215"/>
        <v>320</v>
      </c>
      <c r="J2135" s="536"/>
      <c r="K2135" s="824"/>
    </row>
    <row r="2136" spans="3:11" ht="25.8" customHeight="1">
      <c r="C2136" s="702" t="s">
        <v>1208</v>
      </c>
      <c r="D2136" s="208"/>
      <c r="E2136" s="208"/>
      <c r="F2136" s="811"/>
      <c r="G2136" s="522"/>
      <c r="H2136" s="539">
        <f>SUM(H2132:H2135)</f>
        <v>10450</v>
      </c>
      <c r="I2136" s="819"/>
      <c r="J2136" s="536"/>
      <c r="K2136" s="824"/>
    </row>
    <row r="2137" spans="3:11" ht="25.8" customHeight="1">
      <c r="C2137" s="213" t="s">
        <v>1209</v>
      </c>
      <c r="D2137" s="212" t="s">
        <v>1210</v>
      </c>
      <c r="E2137" s="534"/>
      <c r="F2137" s="831"/>
      <c r="G2137" s="534"/>
      <c r="H2137" s="534"/>
      <c r="J2137" s="536"/>
      <c r="K2137" s="824"/>
    </row>
    <row r="2138" spans="3:11" ht="25.8" customHeight="1">
      <c r="C2138" s="833" t="s">
        <v>1203</v>
      </c>
      <c r="D2138" s="820" t="s">
        <v>832</v>
      </c>
      <c r="E2138" s="807" t="s">
        <v>113</v>
      </c>
      <c r="F2138" s="829">
        <v>1.1499999999999999</v>
      </c>
      <c r="G2138" s="539">
        <f>VLOOKUP(D2138,upahbahan,3,FALSE)</f>
        <v>53000</v>
      </c>
      <c r="H2138" s="539">
        <f t="shared" ref="H2138" si="216">F2138*G2138</f>
        <v>60949.999999999993</v>
      </c>
      <c r="J2138" s="536"/>
      <c r="K2138" s="824"/>
    </row>
    <row r="2139" spans="3:11" ht="25.8" customHeight="1">
      <c r="C2139" s="702" t="s">
        <v>1214</v>
      </c>
      <c r="D2139" s="208"/>
      <c r="E2139" s="208"/>
      <c r="F2139" s="208"/>
      <c r="G2139" s="209"/>
      <c r="H2139" s="539">
        <f>SUM(H2138:H2138)</f>
        <v>60949.999999999993</v>
      </c>
      <c r="J2139" s="536"/>
      <c r="K2139" s="824"/>
    </row>
    <row r="2140" spans="3:11" ht="25.8" customHeight="1">
      <c r="C2140" s="213" t="s">
        <v>1215</v>
      </c>
      <c r="D2140" s="212" t="s">
        <v>1216</v>
      </c>
      <c r="E2140" s="534"/>
      <c r="F2140" s="534"/>
      <c r="G2140" s="534"/>
      <c r="H2140" s="534"/>
      <c r="J2140" s="536"/>
      <c r="K2140" s="824"/>
    </row>
    <row r="2141" spans="3:11" ht="25.8" customHeight="1">
      <c r="C2141" s="702" t="s">
        <v>1217</v>
      </c>
      <c r="D2141" s="208"/>
      <c r="E2141" s="208"/>
      <c r="F2141" s="208"/>
      <c r="G2141" s="209"/>
      <c r="H2141" s="821">
        <v>0</v>
      </c>
      <c r="J2141" s="536"/>
      <c r="K2141" s="824"/>
    </row>
    <row r="2142" spans="3:11" ht="25.8" customHeight="1">
      <c r="C2142" s="566" t="s">
        <v>1218</v>
      </c>
      <c r="D2142" s="552" t="s">
        <v>1219</v>
      </c>
      <c r="E2142" s="553"/>
      <c r="F2142" s="553"/>
      <c r="G2142" s="554"/>
      <c r="H2142" s="826">
        <f>H2141+H2139+H2136</f>
        <v>71400</v>
      </c>
      <c r="I2142" s="827"/>
      <c r="J2142" s="536"/>
      <c r="K2142" s="824"/>
    </row>
    <row r="2143" spans="3:11" ht="25.8" customHeight="1">
      <c r="C2143" s="566" t="s">
        <v>1220</v>
      </c>
      <c r="D2143" s="552" t="s">
        <v>1321</v>
      </c>
      <c r="E2143" s="553"/>
      <c r="F2143" s="554"/>
      <c r="G2143" s="555">
        <f>$M$9</f>
        <v>0.1</v>
      </c>
      <c r="H2143" s="539">
        <f>H2142*G2143</f>
        <v>7140</v>
      </c>
      <c r="I2143" s="827"/>
      <c r="J2143" s="536"/>
      <c r="K2143" s="824"/>
    </row>
    <row r="2144" spans="3:11" ht="25.8" customHeight="1">
      <c r="C2144" s="566" t="s">
        <v>1221</v>
      </c>
      <c r="D2144" s="552" t="s">
        <v>1222</v>
      </c>
      <c r="E2144" s="553"/>
      <c r="F2144" s="553"/>
      <c r="G2144" s="554"/>
      <c r="H2144" s="828">
        <f>SUM(H2142:H2143)</f>
        <v>78540</v>
      </c>
      <c r="I2144" s="827"/>
      <c r="J2144" s="536"/>
      <c r="K2144" s="824"/>
    </row>
    <row r="2145" spans="3:11" ht="25.8" customHeight="1">
      <c r="J2145" s="536"/>
      <c r="K2145" s="824"/>
    </row>
    <row r="2146" spans="3:11" ht="25.8" customHeight="1">
      <c r="C2146" s="513" t="s">
        <v>3368</v>
      </c>
      <c r="D2146" s="817" t="s">
        <v>1745</v>
      </c>
      <c r="E2146" s="803"/>
      <c r="F2146" s="803"/>
      <c r="G2146" s="803"/>
      <c r="H2146" s="803"/>
      <c r="I2146" s="533">
        <f>ROUNDDOWN(H2161,-2)</f>
        <v>105200</v>
      </c>
      <c r="J2146" s="536"/>
      <c r="K2146" s="824"/>
    </row>
    <row r="2147" spans="3:11" ht="25.8" customHeight="1">
      <c r="C2147" s="716" t="s">
        <v>1195</v>
      </c>
      <c r="D2147" s="716" t="s">
        <v>1196</v>
      </c>
      <c r="E2147" s="716" t="s">
        <v>1197</v>
      </c>
      <c r="F2147" s="716" t="s">
        <v>1198</v>
      </c>
      <c r="G2147" s="716" t="s">
        <v>1199</v>
      </c>
      <c r="H2147" s="716" t="s">
        <v>1200</v>
      </c>
      <c r="J2147" s="536"/>
      <c r="K2147" s="824"/>
    </row>
    <row r="2148" spans="3:11" ht="25.8" customHeight="1">
      <c r="C2148" s="213" t="s">
        <v>1201</v>
      </c>
      <c r="D2148" s="212" t="s">
        <v>1202</v>
      </c>
      <c r="E2148" s="534"/>
      <c r="F2148" s="534"/>
      <c r="G2148" s="534"/>
      <c r="H2148" s="534"/>
      <c r="J2148" s="536"/>
      <c r="K2148" s="824"/>
    </row>
    <row r="2149" spans="3:11" ht="25.8" customHeight="1">
      <c r="C2149" s="818">
        <v>1</v>
      </c>
      <c r="D2149" s="212" t="s">
        <v>5</v>
      </c>
      <c r="E2149" s="212" t="s">
        <v>6</v>
      </c>
      <c r="F2149" s="538">
        <v>3.5999999999999997E-2</v>
      </c>
      <c r="G2149" s="539">
        <f>VLOOKUP(D2149,upahbahan,3,FALSE)</f>
        <v>100000</v>
      </c>
      <c r="H2149" s="539">
        <f t="shared" ref="H2149:H2152" si="217">F2149*G2149</f>
        <v>3599.9999999999995</v>
      </c>
      <c r="J2149" s="536"/>
      <c r="K2149" s="824"/>
    </row>
    <row r="2150" spans="3:11" ht="25.8" customHeight="1">
      <c r="C2150" s="818">
        <v>2</v>
      </c>
      <c r="D2150" s="212" t="str">
        <f>D2133</f>
        <v>Tukang listrik</v>
      </c>
      <c r="E2150" s="212" t="s">
        <v>6</v>
      </c>
      <c r="F2150" s="538">
        <v>0.06</v>
      </c>
      <c r="G2150" s="539">
        <f>VLOOKUP(D2150,upahbahan,3,FALSE)</f>
        <v>135000</v>
      </c>
      <c r="H2150" s="539">
        <f t="shared" si="217"/>
        <v>8100</v>
      </c>
      <c r="J2150" s="536"/>
      <c r="K2150" s="824"/>
    </row>
    <row r="2151" spans="3:11" ht="25.8" customHeight="1">
      <c r="C2151" s="818">
        <v>3</v>
      </c>
      <c r="D2151" s="212" t="s">
        <v>18</v>
      </c>
      <c r="E2151" s="212" t="s">
        <v>6</v>
      </c>
      <c r="F2151" s="538">
        <v>6.0000000000000001E-3</v>
      </c>
      <c r="G2151" s="539">
        <f>VLOOKUP(D2151,upahbahan,3,FALSE)</f>
        <v>150000</v>
      </c>
      <c r="H2151" s="539">
        <f t="shared" si="217"/>
        <v>900</v>
      </c>
      <c r="J2151" s="536"/>
      <c r="K2151" s="824"/>
    </row>
    <row r="2152" spans="3:11" ht="25.8" customHeight="1">
      <c r="C2152" s="818">
        <v>4</v>
      </c>
      <c r="D2152" s="212" t="s">
        <v>19</v>
      </c>
      <c r="E2152" s="212" t="s">
        <v>6</v>
      </c>
      <c r="F2152" s="538">
        <v>2E-3</v>
      </c>
      <c r="G2152" s="539">
        <f>VLOOKUP(D2152,upahbahan,3,FALSE)</f>
        <v>160000</v>
      </c>
      <c r="H2152" s="539">
        <f t="shared" si="217"/>
        <v>320</v>
      </c>
      <c r="J2152" s="536"/>
      <c r="K2152" s="824"/>
    </row>
    <row r="2153" spans="3:11" ht="25.8" customHeight="1">
      <c r="C2153" s="702" t="s">
        <v>1208</v>
      </c>
      <c r="D2153" s="208"/>
      <c r="E2153" s="208"/>
      <c r="F2153" s="811"/>
      <c r="G2153" s="522"/>
      <c r="H2153" s="539">
        <f>SUM(H2149:H2152)</f>
        <v>12920</v>
      </c>
      <c r="I2153" s="819"/>
      <c r="J2153" s="536"/>
      <c r="K2153" s="824"/>
    </row>
    <row r="2154" spans="3:11" ht="25.8" customHeight="1">
      <c r="C2154" s="213" t="s">
        <v>1209</v>
      </c>
      <c r="D2154" s="212" t="s">
        <v>1210</v>
      </c>
      <c r="E2154" s="534"/>
      <c r="F2154" s="831"/>
      <c r="G2154" s="534"/>
      <c r="H2154" s="534"/>
      <c r="J2154" s="536"/>
      <c r="K2154" s="824"/>
    </row>
    <row r="2155" spans="3:11" ht="25.8" customHeight="1">
      <c r="C2155" s="833" t="s">
        <v>1203</v>
      </c>
      <c r="D2155" s="820" t="s">
        <v>833</v>
      </c>
      <c r="E2155" s="807" t="s">
        <v>113</v>
      </c>
      <c r="F2155" s="829">
        <v>1.1499999999999999</v>
      </c>
      <c r="G2155" s="539">
        <f>VLOOKUP(D2155,upahbahan,3,FALSE)</f>
        <v>72000</v>
      </c>
      <c r="H2155" s="539">
        <f t="shared" ref="H2155" si="218">F2155*G2155</f>
        <v>82800</v>
      </c>
      <c r="J2155" s="536"/>
      <c r="K2155" s="824"/>
    </row>
    <row r="2156" spans="3:11" ht="25.8" customHeight="1">
      <c r="C2156" s="702" t="s">
        <v>1214</v>
      </c>
      <c r="D2156" s="208"/>
      <c r="E2156" s="208"/>
      <c r="F2156" s="208"/>
      <c r="G2156" s="209"/>
      <c r="H2156" s="539">
        <f>SUM(H2155:H2155)</f>
        <v>82800</v>
      </c>
      <c r="J2156" s="536"/>
      <c r="K2156" s="824"/>
    </row>
    <row r="2157" spans="3:11" ht="25.8" customHeight="1">
      <c r="C2157" s="213" t="s">
        <v>1215</v>
      </c>
      <c r="D2157" s="212" t="s">
        <v>1216</v>
      </c>
      <c r="E2157" s="534"/>
      <c r="F2157" s="534"/>
      <c r="G2157" s="534"/>
      <c r="H2157" s="534"/>
      <c r="J2157" s="536"/>
      <c r="K2157" s="824"/>
    </row>
    <row r="2158" spans="3:11" ht="25.8" customHeight="1">
      <c r="C2158" s="702" t="s">
        <v>1217</v>
      </c>
      <c r="D2158" s="208"/>
      <c r="E2158" s="208"/>
      <c r="F2158" s="208"/>
      <c r="G2158" s="209"/>
      <c r="H2158" s="821">
        <v>0</v>
      </c>
      <c r="J2158" s="536"/>
      <c r="K2158" s="824"/>
    </row>
    <row r="2159" spans="3:11" ht="25.8" customHeight="1">
      <c r="C2159" s="566" t="s">
        <v>1218</v>
      </c>
      <c r="D2159" s="552" t="s">
        <v>1219</v>
      </c>
      <c r="E2159" s="553"/>
      <c r="F2159" s="553"/>
      <c r="G2159" s="554"/>
      <c r="H2159" s="826">
        <f>H2158+H2156+H2153</f>
        <v>95720</v>
      </c>
      <c r="I2159" s="827"/>
      <c r="J2159" s="536"/>
      <c r="K2159" s="824"/>
    </row>
    <row r="2160" spans="3:11" ht="25.8" customHeight="1">
      <c r="C2160" s="566" t="s">
        <v>1220</v>
      </c>
      <c r="D2160" s="552" t="s">
        <v>1321</v>
      </c>
      <c r="E2160" s="553"/>
      <c r="F2160" s="554"/>
      <c r="G2160" s="555">
        <f>$M$9</f>
        <v>0.1</v>
      </c>
      <c r="H2160" s="539">
        <f>H2159*G2160</f>
        <v>9572</v>
      </c>
      <c r="I2160" s="827"/>
      <c r="J2160" s="536"/>
      <c r="K2160" s="824"/>
    </row>
    <row r="2161" spans="3:11" ht="25.8" customHeight="1">
      <c r="C2161" s="566" t="s">
        <v>1221</v>
      </c>
      <c r="D2161" s="552" t="s">
        <v>1222</v>
      </c>
      <c r="E2161" s="553"/>
      <c r="F2161" s="553"/>
      <c r="G2161" s="554"/>
      <c r="H2161" s="828">
        <f>SUM(H2159:H2160)</f>
        <v>105292</v>
      </c>
      <c r="I2161" s="827"/>
      <c r="J2161" s="536"/>
      <c r="K2161" s="824"/>
    </row>
    <row r="2162" spans="3:11" ht="25.8" customHeight="1">
      <c r="J2162" s="536"/>
      <c r="K2162" s="824"/>
    </row>
    <row r="2163" spans="3:11" ht="25.8" customHeight="1">
      <c r="C2163" s="513" t="s">
        <v>3369</v>
      </c>
      <c r="D2163" s="817" t="s">
        <v>1746</v>
      </c>
      <c r="E2163" s="803"/>
      <c r="F2163" s="803"/>
      <c r="G2163" s="803"/>
      <c r="H2163" s="803"/>
      <c r="I2163" s="533">
        <f>ROUNDDOWN(H2178,-2)</f>
        <v>135000</v>
      </c>
      <c r="J2163" s="536"/>
      <c r="K2163" s="824"/>
    </row>
    <row r="2164" spans="3:11" ht="25.8" customHeight="1">
      <c r="C2164" s="716" t="s">
        <v>1195</v>
      </c>
      <c r="D2164" s="716" t="s">
        <v>1196</v>
      </c>
      <c r="E2164" s="716" t="s">
        <v>1197</v>
      </c>
      <c r="F2164" s="716" t="s">
        <v>1198</v>
      </c>
      <c r="G2164" s="716" t="s">
        <v>1199</v>
      </c>
      <c r="H2164" s="716" t="s">
        <v>1200</v>
      </c>
      <c r="J2164" s="536"/>
      <c r="K2164" s="824"/>
    </row>
    <row r="2165" spans="3:11" ht="25.8" customHeight="1">
      <c r="C2165" s="213" t="s">
        <v>1201</v>
      </c>
      <c r="D2165" s="212" t="s">
        <v>1202</v>
      </c>
      <c r="E2165" s="534"/>
      <c r="F2165" s="534"/>
      <c r="G2165" s="534"/>
      <c r="H2165" s="534"/>
      <c r="J2165" s="536"/>
      <c r="K2165" s="824"/>
    </row>
    <row r="2166" spans="3:11" ht="25.8" customHeight="1">
      <c r="C2166" s="818">
        <v>1</v>
      </c>
      <c r="D2166" s="212" t="s">
        <v>5</v>
      </c>
      <c r="E2166" s="212" t="s">
        <v>6</v>
      </c>
      <c r="F2166" s="538">
        <v>3.5999999999999997E-2</v>
      </c>
      <c r="G2166" s="539">
        <f>VLOOKUP(D2166,upahbahan,3,FALSE)</f>
        <v>100000</v>
      </c>
      <c r="H2166" s="539">
        <f t="shared" ref="H2166:H2169" si="219">F2166*G2166</f>
        <v>3599.9999999999995</v>
      </c>
      <c r="J2166" s="536"/>
      <c r="K2166" s="824"/>
    </row>
    <row r="2167" spans="3:11" ht="25.8" customHeight="1">
      <c r="C2167" s="818">
        <v>2</v>
      </c>
      <c r="D2167" s="212" t="str">
        <f>D2150</f>
        <v>Tukang listrik</v>
      </c>
      <c r="E2167" s="212" t="s">
        <v>6</v>
      </c>
      <c r="F2167" s="538">
        <v>0.06</v>
      </c>
      <c r="G2167" s="539">
        <f>VLOOKUP(D2167,upahbahan,3,FALSE)</f>
        <v>135000</v>
      </c>
      <c r="H2167" s="539">
        <f t="shared" si="219"/>
        <v>8100</v>
      </c>
      <c r="J2167" s="536"/>
      <c r="K2167" s="824"/>
    </row>
    <row r="2168" spans="3:11" ht="25.8" customHeight="1">
      <c r="C2168" s="818">
        <v>3</v>
      </c>
      <c r="D2168" s="212" t="s">
        <v>18</v>
      </c>
      <c r="E2168" s="212" t="s">
        <v>6</v>
      </c>
      <c r="F2168" s="538">
        <v>6.0000000000000001E-3</v>
      </c>
      <c r="G2168" s="539">
        <f>VLOOKUP(D2168,upahbahan,3,FALSE)</f>
        <v>150000</v>
      </c>
      <c r="H2168" s="539">
        <f t="shared" si="219"/>
        <v>900</v>
      </c>
      <c r="J2168" s="536"/>
      <c r="K2168" s="824"/>
    </row>
    <row r="2169" spans="3:11" ht="25.8" customHeight="1">
      <c r="C2169" s="818">
        <v>4</v>
      </c>
      <c r="D2169" s="212" t="s">
        <v>19</v>
      </c>
      <c r="E2169" s="212" t="s">
        <v>6</v>
      </c>
      <c r="F2169" s="538">
        <v>2E-3</v>
      </c>
      <c r="G2169" s="539">
        <f>VLOOKUP(D2169,upahbahan,3,FALSE)</f>
        <v>160000</v>
      </c>
      <c r="H2169" s="539">
        <f t="shared" si="219"/>
        <v>320</v>
      </c>
      <c r="J2169" s="536"/>
      <c r="K2169" s="824"/>
    </row>
    <row r="2170" spans="3:11" ht="25.8" customHeight="1">
      <c r="C2170" s="702" t="s">
        <v>1208</v>
      </c>
      <c r="D2170" s="208"/>
      <c r="E2170" s="208"/>
      <c r="F2170" s="811"/>
      <c r="G2170" s="522"/>
      <c r="H2170" s="539">
        <f>SUM(H2166:H2169)</f>
        <v>12920</v>
      </c>
      <c r="I2170" s="819"/>
      <c r="J2170" s="536"/>
      <c r="K2170" s="824"/>
    </row>
    <row r="2171" spans="3:11" ht="25.8" customHeight="1">
      <c r="C2171" s="213" t="s">
        <v>1209</v>
      </c>
      <c r="D2171" s="212" t="s">
        <v>1210</v>
      </c>
      <c r="E2171" s="534"/>
      <c r="F2171" s="831"/>
      <c r="G2171" s="534"/>
      <c r="H2171" s="534"/>
      <c r="J2171" s="536"/>
      <c r="K2171" s="824"/>
    </row>
    <row r="2172" spans="3:11" ht="25.8" customHeight="1">
      <c r="C2172" s="833" t="s">
        <v>1203</v>
      </c>
      <c r="D2172" s="820" t="s">
        <v>835</v>
      </c>
      <c r="E2172" s="807" t="s">
        <v>113</v>
      </c>
      <c r="F2172" s="829">
        <v>1.1499999999999999</v>
      </c>
      <c r="G2172" s="539">
        <f>VLOOKUP(D2172,upahbahan,3,FALSE)</f>
        <v>95500</v>
      </c>
      <c r="H2172" s="539">
        <f t="shared" ref="H2172" si="220">F2172*G2172</f>
        <v>109824.99999999999</v>
      </c>
      <c r="J2172" s="536"/>
      <c r="K2172" s="824"/>
    </row>
    <row r="2173" spans="3:11" ht="25.8" customHeight="1">
      <c r="C2173" s="702" t="s">
        <v>1214</v>
      </c>
      <c r="D2173" s="208"/>
      <c r="E2173" s="208"/>
      <c r="F2173" s="208"/>
      <c r="G2173" s="209"/>
      <c r="H2173" s="539">
        <f>SUM(H2172:H2172)</f>
        <v>109824.99999999999</v>
      </c>
      <c r="J2173" s="536"/>
      <c r="K2173" s="824"/>
    </row>
    <row r="2174" spans="3:11" ht="25.8" customHeight="1">
      <c r="C2174" s="213" t="s">
        <v>1215</v>
      </c>
      <c r="D2174" s="212" t="s">
        <v>1216</v>
      </c>
      <c r="E2174" s="534"/>
      <c r="F2174" s="534"/>
      <c r="G2174" s="534"/>
      <c r="H2174" s="534"/>
      <c r="J2174" s="536"/>
      <c r="K2174" s="824"/>
    </row>
    <row r="2175" spans="3:11" ht="25.8" customHeight="1">
      <c r="C2175" s="702" t="s">
        <v>1217</v>
      </c>
      <c r="D2175" s="208"/>
      <c r="E2175" s="208"/>
      <c r="F2175" s="208"/>
      <c r="G2175" s="209"/>
      <c r="H2175" s="821">
        <v>0</v>
      </c>
      <c r="J2175" s="536"/>
      <c r="K2175" s="824"/>
    </row>
    <row r="2176" spans="3:11" ht="25.8" customHeight="1">
      <c r="C2176" s="566" t="s">
        <v>1218</v>
      </c>
      <c r="D2176" s="552" t="s">
        <v>1219</v>
      </c>
      <c r="E2176" s="553"/>
      <c r="F2176" s="553"/>
      <c r="G2176" s="554"/>
      <c r="H2176" s="826">
        <f>H2175+H2173+H2170</f>
        <v>122744.99999999999</v>
      </c>
      <c r="I2176" s="827"/>
      <c r="J2176" s="536"/>
      <c r="K2176" s="824"/>
    </row>
    <row r="2177" spans="3:11" ht="25.8" customHeight="1">
      <c r="C2177" s="566" t="s">
        <v>1220</v>
      </c>
      <c r="D2177" s="552" t="s">
        <v>1321</v>
      </c>
      <c r="E2177" s="553"/>
      <c r="F2177" s="554"/>
      <c r="G2177" s="555">
        <f>$M$9</f>
        <v>0.1</v>
      </c>
      <c r="H2177" s="539">
        <f>H2176*G2177</f>
        <v>12274.5</v>
      </c>
      <c r="I2177" s="827"/>
      <c r="J2177" s="536"/>
      <c r="K2177" s="824"/>
    </row>
    <row r="2178" spans="3:11" ht="25.8" customHeight="1">
      <c r="C2178" s="566" t="s">
        <v>1221</v>
      </c>
      <c r="D2178" s="552" t="s">
        <v>1222</v>
      </c>
      <c r="E2178" s="553"/>
      <c r="F2178" s="553"/>
      <c r="G2178" s="554"/>
      <c r="H2178" s="828">
        <f>SUM(H2176:H2177)</f>
        <v>135019.5</v>
      </c>
      <c r="I2178" s="827"/>
      <c r="J2178" s="536"/>
      <c r="K2178" s="824"/>
    </row>
    <row r="2179" spans="3:11" ht="25.8" customHeight="1">
      <c r="J2179" s="536"/>
      <c r="K2179" s="824"/>
    </row>
    <row r="2180" spans="3:11" ht="25.8" customHeight="1">
      <c r="C2180" s="513" t="s">
        <v>3370</v>
      </c>
      <c r="D2180" s="817" t="s">
        <v>1747</v>
      </c>
      <c r="E2180" s="803"/>
      <c r="F2180" s="803"/>
      <c r="G2180" s="803"/>
      <c r="H2180" s="803"/>
      <c r="I2180" s="533">
        <f>ROUNDDOWN(H2195,-2)</f>
        <v>195500</v>
      </c>
      <c r="J2180" s="536"/>
      <c r="K2180" s="824"/>
    </row>
    <row r="2181" spans="3:11" ht="25.8" customHeight="1">
      <c r="C2181" s="716" t="s">
        <v>1195</v>
      </c>
      <c r="D2181" s="716" t="s">
        <v>1196</v>
      </c>
      <c r="E2181" s="716" t="s">
        <v>1197</v>
      </c>
      <c r="F2181" s="716" t="s">
        <v>1198</v>
      </c>
      <c r="G2181" s="716" t="s">
        <v>1199</v>
      </c>
      <c r="H2181" s="716" t="s">
        <v>1200</v>
      </c>
      <c r="J2181" s="536"/>
      <c r="K2181" s="824"/>
    </row>
    <row r="2182" spans="3:11" ht="25.8" customHeight="1">
      <c r="C2182" s="213" t="s">
        <v>1201</v>
      </c>
      <c r="D2182" s="212" t="s">
        <v>1202</v>
      </c>
      <c r="E2182" s="534"/>
      <c r="F2182" s="534"/>
      <c r="G2182" s="534"/>
      <c r="H2182" s="534"/>
      <c r="J2182" s="536"/>
      <c r="K2182" s="824"/>
    </row>
    <row r="2183" spans="3:11" ht="25.8" customHeight="1">
      <c r="C2183" s="818">
        <v>1</v>
      </c>
      <c r="D2183" s="212" t="s">
        <v>5</v>
      </c>
      <c r="E2183" s="212" t="s">
        <v>6</v>
      </c>
      <c r="F2183" s="538">
        <v>0.06</v>
      </c>
      <c r="G2183" s="539">
        <f>VLOOKUP(D2183,upahbahan,3,FALSE)</f>
        <v>100000</v>
      </c>
      <c r="H2183" s="539">
        <f t="shared" ref="H2183:H2186" si="221">F2183*G2183</f>
        <v>6000</v>
      </c>
      <c r="J2183" s="536"/>
      <c r="K2183" s="824"/>
    </row>
    <row r="2184" spans="3:11" ht="25.8" customHeight="1">
      <c r="C2184" s="818">
        <v>2</v>
      </c>
      <c r="D2184" s="212" t="str">
        <f>D2167</f>
        <v>Tukang listrik</v>
      </c>
      <c r="E2184" s="212" t="s">
        <v>6</v>
      </c>
      <c r="F2184" s="538">
        <v>9.9000000000000005E-2</v>
      </c>
      <c r="G2184" s="539">
        <f>VLOOKUP(D2184,upahbahan,3,FALSE)</f>
        <v>135000</v>
      </c>
      <c r="H2184" s="539">
        <f t="shared" si="221"/>
        <v>13365</v>
      </c>
      <c r="J2184" s="536"/>
      <c r="K2184" s="824"/>
    </row>
    <row r="2185" spans="3:11" ht="25.8" customHeight="1">
      <c r="C2185" s="818">
        <v>3</v>
      </c>
      <c r="D2185" s="212" t="s">
        <v>18</v>
      </c>
      <c r="E2185" s="212" t="s">
        <v>6</v>
      </c>
      <c r="F2185" s="538">
        <v>0.01</v>
      </c>
      <c r="G2185" s="539">
        <f>VLOOKUP(D2185,upahbahan,3,FALSE)</f>
        <v>150000</v>
      </c>
      <c r="H2185" s="539">
        <f t="shared" si="221"/>
        <v>1500</v>
      </c>
      <c r="J2185" s="536"/>
      <c r="K2185" s="824"/>
    </row>
    <row r="2186" spans="3:11" ht="25.8" customHeight="1">
      <c r="C2186" s="818">
        <v>4</v>
      </c>
      <c r="D2186" s="212" t="s">
        <v>19</v>
      </c>
      <c r="E2186" s="212" t="s">
        <v>6</v>
      </c>
      <c r="F2186" s="538">
        <v>3.0000000000000001E-3</v>
      </c>
      <c r="G2186" s="539">
        <f>VLOOKUP(D2186,upahbahan,3,FALSE)</f>
        <v>160000</v>
      </c>
      <c r="H2186" s="539">
        <f t="shared" si="221"/>
        <v>480</v>
      </c>
      <c r="J2186" s="536"/>
      <c r="K2186" s="824"/>
    </row>
    <row r="2187" spans="3:11" ht="25.8" customHeight="1">
      <c r="C2187" s="702" t="s">
        <v>1208</v>
      </c>
      <c r="D2187" s="208"/>
      <c r="E2187" s="208"/>
      <c r="F2187" s="811"/>
      <c r="G2187" s="522"/>
      <c r="H2187" s="539">
        <f>SUM(H2183:H2186)</f>
        <v>21345</v>
      </c>
      <c r="I2187" s="819"/>
      <c r="J2187" s="536"/>
      <c r="K2187" s="824"/>
    </row>
    <row r="2188" spans="3:11" ht="25.8" customHeight="1">
      <c r="C2188" s="213" t="s">
        <v>1209</v>
      </c>
      <c r="D2188" s="212" t="s">
        <v>1210</v>
      </c>
      <c r="E2188" s="534"/>
      <c r="F2188" s="831"/>
      <c r="G2188" s="534"/>
      <c r="H2188" s="534"/>
      <c r="J2188" s="536"/>
      <c r="K2188" s="824"/>
    </row>
    <row r="2189" spans="3:11" ht="25.8" customHeight="1">
      <c r="C2189" s="833" t="s">
        <v>1203</v>
      </c>
      <c r="D2189" s="820" t="s">
        <v>837</v>
      </c>
      <c r="E2189" s="807" t="s">
        <v>113</v>
      </c>
      <c r="F2189" s="829">
        <v>1.1499999999999999</v>
      </c>
      <c r="G2189" s="539">
        <f>VLOOKUP(D2189,upahbahan,3,FALSE)</f>
        <v>136000</v>
      </c>
      <c r="H2189" s="539">
        <f t="shared" ref="H2189" si="222">F2189*G2189</f>
        <v>156400</v>
      </c>
      <c r="J2189" s="536"/>
      <c r="K2189" s="824"/>
    </row>
    <row r="2190" spans="3:11" ht="25.8" customHeight="1">
      <c r="C2190" s="702" t="s">
        <v>1214</v>
      </c>
      <c r="D2190" s="208"/>
      <c r="E2190" s="208"/>
      <c r="F2190" s="208"/>
      <c r="G2190" s="209"/>
      <c r="H2190" s="539">
        <f>SUM(H2189:H2189)</f>
        <v>156400</v>
      </c>
      <c r="J2190" s="536"/>
      <c r="K2190" s="824"/>
    </row>
    <row r="2191" spans="3:11" ht="25.8" customHeight="1">
      <c r="C2191" s="213" t="s">
        <v>1215</v>
      </c>
      <c r="D2191" s="212" t="s">
        <v>1216</v>
      </c>
      <c r="E2191" s="534"/>
      <c r="F2191" s="534"/>
      <c r="G2191" s="534"/>
      <c r="H2191" s="534"/>
      <c r="J2191" s="536"/>
      <c r="K2191" s="824"/>
    </row>
    <row r="2192" spans="3:11" ht="25.8" customHeight="1">
      <c r="C2192" s="702" t="s">
        <v>1217</v>
      </c>
      <c r="D2192" s="208"/>
      <c r="E2192" s="208"/>
      <c r="F2192" s="208"/>
      <c r="G2192" s="209"/>
      <c r="H2192" s="821">
        <v>0</v>
      </c>
      <c r="J2192" s="536"/>
      <c r="K2192" s="824"/>
    </row>
    <row r="2193" spans="3:11" ht="25.8" customHeight="1">
      <c r="C2193" s="566" t="s">
        <v>1218</v>
      </c>
      <c r="D2193" s="552" t="s">
        <v>1219</v>
      </c>
      <c r="E2193" s="553"/>
      <c r="F2193" s="553"/>
      <c r="G2193" s="554"/>
      <c r="H2193" s="826">
        <f>H2192+H2190+H2187</f>
        <v>177745</v>
      </c>
      <c r="I2193" s="827"/>
      <c r="J2193" s="536"/>
      <c r="K2193" s="824"/>
    </row>
    <row r="2194" spans="3:11" ht="25.8" customHeight="1">
      <c r="C2194" s="566" t="s">
        <v>1220</v>
      </c>
      <c r="D2194" s="552" t="s">
        <v>1402</v>
      </c>
      <c r="E2194" s="553"/>
      <c r="F2194" s="554"/>
      <c r="G2194" s="837" t="s">
        <v>1403</v>
      </c>
      <c r="H2194" s="826">
        <f>H2193*10%</f>
        <v>17774.5</v>
      </c>
      <c r="I2194" s="827"/>
      <c r="J2194" s="536"/>
      <c r="K2194" s="824"/>
    </row>
    <row r="2195" spans="3:11" ht="25.8" customHeight="1">
      <c r="C2195" s="566" t="s">
        <v>1221</v>
      </c>
      <c r="D2195" s="552" t="s">
        <v>1222</v>
      </c>
      <c r="E2195" s="553"/>
      <c r="F2195" s="553"/>
      <c r="G2195" s="554"/>
      <c r="H2195" s="828">
        <f>SUM(H2193:H2194)</f>
        <v>195519.5</v>
      </c>
      <c r="I2195" s="827"/>
      <c r="J2195" s="536"/>
      <c r="K2195" s="824"/>
    </row>
    <row r="2196" spans="3:11" ht="25.8" customHeight="1">
      <c r="J2196" s="536"/>
      <c r="K2196" s="824"/>
    </row>
    <row r="2197" spans="3:11" ht="25.8" customHeight="1">
      <c r="C2197" s="513" t="s">
        <v>3371</v>
      </c>
      <c r="D2197" s="817" t="s">
        <v>1748</v>
      </c>
      <c r="E2197" s="803"/>
      <c r="F2197" s="803"/>
      <c r="G2197" s="803"/>
      <c r="H2197" s="803"/>
      <c r="I2197" s="533">
        <f>ROUNDDOWN(H2212,-2)</f>
        <v>257500</v>
      </c>
      <c r="J2197" s="536"/>
      <c r="K2197" s="824"/>
    </row>
    <row r="2198" spans="3:11" ht="25.8" customHeight="1">
      <c r="C2198" s="716" t="s">
        <v>1195</v>
      </c>
      <c r="D2198" s="716" t="s">
        <v>1196</v>
      </c>
      <c r="E2198" s="716" t="s">
        <v>1197</v>
      </c>
      <c r="F2198" s="716" t="s">
        <v>1198</v>
      </c>
      <c r="G2198" s="716" t="s">
        <v>1199</v>
      </c>
      <c r="H2198" s="716" t="s">
        <v>1200</v>
      </c>
      <c r="J2198" s="536"/>
      <c r="K2198" s="824"/>
    </row>
    <row r="2199" spans="3:11" ht="25.8" customHeight="1">
      <c r="C2199" s="213" t="s">
        <v>1201</v>
      </c>
      <c r="D2199" s="212" t="s">
        <v>1202</v>
      </c>
      <c r="E2199" s="534"/>
      <c r="F2199" s="534"/>
      <c r="G2199" s="534"/>
      <c r="H2199" s="534"/>
      <c r="J2199" s="536"/>
      <c r="K2199" s="824"/>
    </row>
    <row r="2200" spans="3:11" ht="25.8" customHeight="1">
      <c r="C2200" s="818">
        <v>1</v>
      </c>
      <c r="D2200" s="212" t="s">
        <v>5</v>
      </c>
      <c r="E2200" s="212" t="s">
        <v>6</v>
      </c>
      <c r="F2200" s="538">
        <v>0.06</v>
      </c>
      <c r="G2200" s="539">
        <f>VLOOKUP(D2200,upahbahan,3,FALSE)</f>
        <v>100000</v>
      </c>
      <c r="H2200" s="539">
        <f t="shared" ref="H2200:H2203" si="223">F2200*G2200</f>
        <v>6000</v>
      </c>
      <c r="J2200" s="536"/>
      <c r="K2200" s="824"/>
    </row>
    <row r="2201" spans="3:11" ht="25.8" customHeight="1">
      <c r="C2201" s="818">
        <v>2</v>
      </c>
      <c r="D2201" s="212" t="str">
        <f>D2184</f>
        <v>Tukang listrik</v>
      </c>
      <c r="E2201" s="212" t="s">
        <v>6</v>
      </c>
      <c r="F2201" s="538">
        <v>9.9000000000000005E-2</v>
      </c>
      <c r="G2201" s="539">
        <f>VLOOKUP(D2201,upahbahan,3,FALSE)</f>
        <v>135000</v>
      </c>
      <c r="H2201" s="539">
        <f t="shared" si="223"/>
        <v>13365</v>
      </c>
      <c r="J2201" s="536"/>
      <c r="K2201" s="824"/>
    </row>
    <row r="2202" spans="3:11" ht="25.8" customHeight="1">
      <c r="C2202" s="818">
        <v>3</v>
      </c>
      <c r="D2202" s="212" t="s">
        <v>18</v>
      </c>
      <c r="E2202" s="212" t="s">
        <v>6</v>
      </c>
      <c r="F2202" s="538">
        <v>0.01</v>
      </c>
      <c r="G2202" s="539">
        <f>VLOOKUP(D2202,upahbahan,3,FALSE)</f>
        <v>150000</v>
      </c>
      <c r="H2202" s="539">
        <f t="shared" si="223"/>
        <v>1500</v>
      </c>
      <c r="J2202" s="536"/>
      <c r="K2202" s="824"/>
    </row>
    <row r="2203" spans="3:11" ht="25.8" customHeight="1">
      <c r="C2203" s="818">
        <v>4</v>
      </c>
      <c r="D2203" s="212" t="s">
        <v>19</v>
      </c>
      <c r="E2203" s="212" t="s">
        <v>6</v>
      </c>
      <c r="F2203" s="538">
        <v>3.0000000000000001E-3</v>
      </c>
      <c r="G2203" s="539">
        <f>VLOOKUP(D2203,upahbahan,3,FALSE)</f>
        <v>160000</v>
      </c>
      <c r="H2203" s="539">
        <f t="shared" si="223"/>
        <v>480</v>
      </c>
      <c r="J2203" s="536"/>
      <c r="K2203" s="824"/>
    </row>
    <row r="2204" spans="3:11" ht="25.8" customHeight="1">
      <c r="C2204" s="702" t="s">
        <v>1208</v>
      </c>
      <c r="D2204" s="208"/>
      <c r="E2204" s="208"/>
      <c r="F2204" s="811"/>
      <c r="G2204" s="522"/>
      <c r="H2204" s="539">
        <f>SUM(H2200:H2203)</f>
        <v>21345</v>
      </c>
      <c r="I2204" s="819"/>
      <c r="J2204" s="536"/>
      <c r="K2204" s="824"/>
    </row>
    <row r="2205" spans="3:11" ht="25.8" customHeight="1">
      <c r="C2205" s="213" t="s">
        <v>1209</v>
      </c>
      <c r="D2205" s="212" t="s">
        <v>1210</v>
      </c>
      <c r="E2205" s="534"/>
      <c r="F2205" s="831"/>
      <c r="G2205" s="534"/>
      <c r="H2205" s="534"/>
      <c r="J2205" s="536"/>
      <c r="K2205" s="824"/>
    </row>
    <row r="2206" spans="3:11" ht="25.8" customHeight="1">
      <c r="C2206" s="833" t="s">
        <v>1203</v>
      </c>
      <c r="D2206" s="820" t="s">
        <v>838</v>
      </c>
      <c r="E2206" s="807" t="s">
        <v>113</v>
      </c>
      <c r="F2206" s="829">
        <v>1.1499999999999999</v>
      </c>
      <c r="G2206" s="539">
        <f>VLOOKUP(D2206,upahbahan,3,FALSE)</f>
        <v>185000</v>
      </c>
      <c r="H2206" s="539">
        <f t="shared" ref="H2206" si="224">F2206*G2206</f>
        <v>212749.99999999997</v>
      </c>
      <c r="J2206" s="536"/>
      <c r="K2206" s="824"/>
    </row>
    <row r="2207" spans="3:11" ht="25.8" customHeight="1">
      <c r="C2207" s="702" t="s">
        <v>1214</v>
      </c>
      <c r="D2207" s="208"/>
      <c r="E2207" s="208"/>
      <c r="F2207" s="208"/>
      <c r="G2207" s="209"/>
      <c r="H2207" s="539">
        <f>SUM(H2206:H2206)</f>
        <v>212749.99999999997</v>
      </c>
      <c r="J2207" s="536"/>
      <c r="K2207" s="824"/>
    </row>
    <row r="2208" spans="3:11" ht="25.8" customHeight="1">
      <c r="C2208" s="213" t="s">
        <v>1215</v>
      </c>
      <c r="D2208" s="212" t="s">
        <v>1216</v>
      </c>
      <c r="E2208" s="534"/>
      <c r="F2208" s="534"/>
      <c r="G2208" s="534"/>
      <c r="H2208" s="534"/>
      <c r="J2208" s="536"/>
      <c r="K2208" s="824"/>
    </row>
    <row r="2209" spans="3:11" ht="25.8" customHeight="1">
      <c r="C2209" s="702" t="s">
        <v>1217</v>
      </c>
      <c r="D2209" s="208"/>
      <c r="E2209" s="208"/>
      <c r="F2209" s="208"/>
      <c r="G2209" s="209"/>
      <c r="H2209" s="821">
        <v>0</v>
      </c>
      <c r="J2209" s="536"/>
      <c r="K2209" s="824"/>
    </row>
    <row r="2210" spans="3:11" ht="25.8" customHeight="1">
      <c r="C2210" s="566" t="s">
        <v>1218</v>
      </c>
      <c r="D2210" s="552" t="s">
        <v>1219</v>
      </c>
      <c r="E2210" s="553"/>
      <c r="F2210" s="553"/>
      <c r="G2210" s="554"/>
      <c r="H2210" s="826">
        <f>H2209+H2207+H2204</f>
        <v>234094.99999999997</v>
      </c>
      <c r="I2210" s="827"/>
      <c r="J2210" s="536"/>
      <c r="K2210" s="824"/>
    </row>
    <row r="2211" spans="3:11" ht="25.8" customHeight="1">
      <c r="C2211" s="566" t="s">
        <v>1220</v>
      </c>
      <c r="D2211" s="552" t="s">
        <v>1321</v>
      </c>
      <c r="E2211" s="553"/>
      <c r="F2211" s="554"/>
      <c r="G2211" s="555">
        <f>$M$9</f>
        <v>0.1</v>
      </c>
      <c r="H2211" s="539">
        <f>H2210*G2211</f>
        <v>23409.5</v>
      </c>
      <c r="I2211" s="827"/>
      <c r="J2211" s="536"/>
      <c r="K2211" s="824"/>
    </row>
    <row r="2212" spans="3:11" ht="25.8" customHeight="1">
      <c r="C2212" s="566" t="s">
        <v>1221</v>
      </c>
      <c r="D2212" s="552" t="s">
        <v>1222</v>
      </c>
      <c r="E2212" s="553"/>
      <c r="F2212" s="553"/>
      <c r="G2212" s="554"/>
      <c r="H2212" s="828">
        <f>SUM(H2210:H2211)</f>
        <v>257504.49999999997</v>
      </c>
      <c r="I2212" s="827"/>
      <c r="J2212" s="536"/>
      <c r="K2212" s="824"/>
    </row>
    <row r="2213" spans="3:11" ht="25.8" customHeight="1">
      <c r="J2213" s="536"/>
      <c r="K2213" s="824"/>
    </row>
    <row r="2214" spans="3:11" ht="25.8" customHeight="1">
      <c r="C2214" s="571" t="s">
        <v>3372</v>
      </c>
      <c r="D2214" s="571" t="s">
        <v>3373</v>
      </c>
      <c r="J2214" s="536"/>
      <c r="K2214" s="824"/>
    </row>
    <row r="2215" spans="3:11" ht="25.8" customHeight="1">
      <c r="C2215" s="513" t="s">
        <v>3374</v>
      </c>
      <c r="D2215" s="817" t="s">
        <v>3375</v>
      </c>
      <c r="E2215" s="803"/>
      <c r="F2215" s="803"/>
      <c r="G2215" s="803"/>
      <c r="H2215" s="803"/>
      <c r="I2215" s="533">
        <f>ROUNDDOWN(H2230,-2)</f>
        <v>9400</v>
      </c>
      <c r="J2215" s="536" t="s">
        <v>6451</v>
      </c>
      <c r="K2215" s="824" t="s">
        <v>7725</v>
      </c>
    </row>
    <row r="2216" spans="3:11" ht="25.8" customHeight="1">
      <c r="C2216" s="716" t="s">
        <v>1195</v>
      </c>
      <c r="D2216" s="716" t="s">
        <v>1196</v>
      </c>
      <c r="E2216" s="716" t="s">
        <v>1197</v>
      </c>
      <c r="F2216" s="716" t="s">
        <v>1198</v>
      </c>
      <c r="G2216" s="716" t="s">
        <v>1199</v>
      </c>
      <c r="H2216" s="716" t="s">
        <v>1200</v>
      </c>
      <c r="J2216" s="536"/>
      <c r="K2216" s="824"/>
    </row>
    <row r="2217" spans="3:11" ht="25.8" customHeight="1">
      <c r="C2217" s="213" t="s">
        <v>1201</v>
      </c>
      <c r="D2217" s="212" t="s">
        <v>1202</v>
      </c>
      <c r="E2217" s="534"/>
      <c r="F2217" s="534"/>
      <c r="G2217" s="534"/>
      <c r="H2217" s="534"/>
      <c r="J2217" s="536"/>
      <c r="K2217" s="824"/>
    </row>
    <row r="2218" spans="3:11" ht="25.8" customHeight="1">
      <c r="C2218" s="818">
        <v>1</v>
      </c>
      <c r="D2218" s="212" t="s">
        <v>5</v>
      </c>
      <c r="E2218" s="212" t="s">
        <v>6</v>
      </c>
      <c r="F2218" s="538">
        <v>2.4E-2</v>
      </c>
      <c r="G2218" s="539">
        <f>VLOOKUP(D2218,upahbahan,3,FALSE)</f>
        <v>100000</v>
      </c>
      <c r="H2218" s="539">
        <f t="shared" ref="H2218:H2221" si="225">F2218*G2218</f>
        <v>2400</v>
      </c>
      <c r="J2218" s="536"/>
      <c r="K2218" s="824"/>
    </row>
    <row r="2219" spans="3:11" ht="25.8" customHeight="1">
      <c r="C2219" s="818">
        <v>2</v>
      </c>
      <c r="D2219" s="212" t="s">
        <v>3295</v>
      </c>
      <c r="E2219" s="212" t="s">
        <v>6</v>
      </c>
      <c r="F2219" s="538">
        <v>0.04</v>
      </c>
      <c r="G2219" s="539">
        <f>VLOOKUP(D2219,upahbahan,3,FALSE)</f>
        <v>135000</v>
      </c>
      <c r="H2219" s="539">
        <f t="shared" si="225"/>
        <v>5400</v>
      </c>
      <c r="J2219" s="536"/>
      <c r="K2219" s="824"/>
    </row>
    <row r="2220" spans="3:11" ht="25.8" customHeight="1">
      <c r="C2220" s="818">
        <v>3</v>
      </c>
      <c r="D2220" s="212" t="s">
        <v>18</v>
      </c>
      <c r="E2220" s="212" t="s">
        <v>6</v>
      </c>
      <c r="F2220" s="538">
        <v>4.0000000000000001E-3</v>
      </c>
      <c r="G2220" s="539">
        <f>VLOOKUP(D2220,upahbahan,3,FALSE)</f>
        <v>150000</v>
      </c>
      <c r="H2220" s="539">
        <f t="shared" si="225"/>
        <v>600</v>
      </c>
      <c r="J2220" s="536"/>
      <c r="K2220" s="824"/>
    </row>
    <row r="2221" spans="3:11" ht="25.8" customHeight="1">
      <c r="C2221" s="818">
        <v>4</v>
      </c>
      <c r="D2221" s="212" t="s">
        <v>19</v>
      </c>
      <c r="E2221" s="212" t="s">
        <v>6</v>
      </c>
      <c r="F2221" s="538">
        <v>1E-3</v>
      </c>
      <c r="G2221" s="539">
        <f>VLOOKUP(D2221,upahbahan,3,FALSE)</f>
        <v>160000</v>
      </c>
      <c r="H2221" s="539">
        <f t="shared" si="225"/>
        <v>160</v>
      </c>
      <c r="J2221" s="536"/>
      <c r="K2221" s="824"/>
    </row>
    <row r="2222" spans="3:11" ht="25.8" customHeight="1">
      <c r="C2222" s="702" t="s">
        <v>1208</v>
      </c>
      <c r="D2222" s="208"/>
      <c r="E2222" s="208"/>
      <c r="F2222" s="811"/>
      <c r="G2222" s="522"/>
      <c r="H2222" s="539">
        <f>SUM(H2218:H2221)</f>
        <v>8560</v>
      </c>
      <c r="I2222" s="819"/>
      <c r="J2222" s="536"/>
      <c r="K2222" s="824"/>
    </row>
    <row r="2223" spans="3:11" ht="25.8" customHeight="1">
      <c r="C2223" s="213" t="s">
        <v>1209</v>
      </c>
      <c r="D2223" s="212" t="s">
        <v>1210</v>
      </c>
      <c r="E2223" s="534"/>
      <c r="F2223" s="831"/>
      <c r="G2223" s="534"/>
      <c r="H2223" s="534"/>
      <c r="J2223" s="536"/>
      <c r="K2223" s="824"/>
    </row>
    <row r="2224" spans="3:11" ht="25.8" customHeight="1">
      <c r="C2224" s="838" t="s">
        <v>1203</v>
      </c>
      <c r="D2224" s="839" t="s">
        <v>7724</v>
      </c>
      <c r="E2224" s="840" t="s">
        <v>113</v>
      </c>
      <c r="F2224" s="841">
        <v>1.1499999999999999</v>
      </c>
      <c r="G2224" s="842">
        <f>VLOOKUP(D2224,upahbahan,3,FALSE)</f>
        <v>0</v>
      </c>
      <c r="H2224" s="539">
        <f t="shared" ref="H2224" si="226">F2224*G2224</f>
        <v>0</v>
      </c>
      <c r="J2224" s="536"/>
      <c r="K2224" s="824"/>
    </row>
    <row r="2225" spans="3:11" ht="25.8" customHeight="1">
      <c r="C2225" s="814" t="s">
        <v>1214</v>
      </c>
      <c r="D2225" s="815"/>
      <c r="E2225" s="815"/>
      <c r="F2225" s="815"/>
      <c r="G2225" s="816"/>
      <c r="H2225" s="539">
        <f>SUM(H2224:H2224)</f>
        <v>0</v>
      </c>
      <c r="J2225" s="536"/>
      <c r="K2225" s="824"/>
    </row>
    <row r="2226" spans="3:11" ht="25.8" customHeight="1">
      <c r="C2226" s="213" t="s">
        <v>1215</v>
      </c>
      <c r="D2226" s="212" t="s">
        <v>1216</v>
      </c>
      <c r="E2226" s="534"/>
      <c r="F2226" s="534"/>
      <c r="G2226" s="534"/>
      <c r="H2226" s="534"/>
      <c r="J2226" s="536"/>
      <c r="K2226" s="824"/>
    </row>
    <row r="2227" spans="3:11" ht="25.8" customHeight="1">
      <c r="C2227" s="702" t="s">
        <v>1217</v>
      </c>
      <c r="D2227" s="208"/>
      <c r="E2227" s="208"/>
      <c r="F2227" s="208"/>
      <c r="G2227" s="209"/>
      <c r="H2227" s="821">
        <v>0</v>
      </c>
      <c r="J2227" s="536"/>
      <c r="K2227" s="824"/>
    </row>
    <row r="2228" spans="3:11" ht="25.8" customHeight="1">
      <c r="C2228" s="566" t="s">
        <v>1218</v>
      </c>
      <c r="D2228" s="552" t="s">
        <v>1219</v>
      </c>
      <c r="E2228" s="553"/>
      <c r="F2228" s="553"/>
      <c r="G2228" s="554"/>
      <c r="H2228" s="826">
        <f>H2227+H2225+H2222</f>
        <v>8560</v>
      </c>
      <c r="I2228" s="827"/>
      <c r="J2228" s="536"/>
      <c r="K2228" s="824"/>
    </row>
    <row r="2229" spans="3:11" ht="25.8" customHeight="1">
      <c r="C2229" s="566" t="s">
        <v>1220</v>
      </c>
      <c r="D2229" s="552" t="s">
        <v>1321</v>
      </c>
      <c r="E2229" s="553"/>
      <c r="F2229" s="554"/>
      <c r="G2229" s="555">
        <f>$M$9</f>
        <v>0.1</v>
      </c>
      <c r="H2229" s="539">
        <f>H2228*G2229</f>
        <v>856</v>
      </c>
      <c r="I2229" s="827"/>
      <c r="J2229" s="536"/>
      <c r="K2229" s="824"/>
    </row>
    <row r="2230" spans="3:11" ht="25.8" customHeight="1">
      <c r="C2230" s="566" t="s">
        <v>1221</v>
      </c>
      <c r="D2230" s="552" t="s">
        <v>1222</v>
      </c>
      <c r="E2230" s="553"/>
      <c r="F2230" s="553"/>
      <c r="G2230" s="554"/>
      <c r="H2230" s="828">
        <f>SUM(H2228:H2229)</f>
        <v>9416</v>
      </c>
      <c r="I2230" s="827"/>
      <c r="J2230" s="536"/>
      <c r="K2230" s="824"/>
    </row>
    <row r="2231" spans="3:11" ht="25.8" customHeight="1">
      <c r="C2231" s="571"/>
      <c r="D2231" s="571"/>
      <c r="J2231" s="536"/>
      <c r="K2231" s="824"/>
    </row>
    <row r="2232" spans="3:11" ht="25.8" customHeight="1">
      <c r="C2232" s="571" t="s">
        <v>3377</v>
      </c>
      <c r="D2232" s="571" t="s">
        <v>3378</v>
      </c>
      <c r="J2232" s="536"/>
      <c r="K2232" s="824"/>
    </row>
    <row r="2233" spans="3:11" ht="25.8" customHeight="1">
      <c r="C2233" s="571" t="s">
        <v>3379</v>
      </c>
      <c r="D2233" s="571" t="s">
        <v>3380</v>
      </c>
      <c r="I2233" s="533">
        <f>ROUNDDOWN(H2248,-2)</f>
        <v>9400</v>
      </c>
      <c r="J2233" s="536" t="s">
        <v>6451</v>
      </c>
      <c r="K2233" s="824" t="s">
        <v>7727</v>
      </c>
    </row>
    <row r="2234" spans="3:11" ht="25.8" customHeight="1">
      <c r="C2234" s="716" t="s">
        <v>1195</v>
      </c>
      <c r="D2234" s="716" t="s">
        <v>1196</v>
      </c>
      <c r="E2234" s="716" t="s">
        <v>1197</v>
      </c>
      <c r="F2234" s="716" t="s">
        <v>1198</v>
      </c>
      <c r="G2234" s="716" t="s">
        <v>1199</v>
      </c>
      <c r="H2234" s="716" t="s">
        <v>1200</v>
      </c>
      <c r="J2234" s="536"/>
      <c r="K2234" s="824"/>
    </row>
    <row r="2235" spans="3:11" ht="25.8" customHeight="1">
      <c r="C2235" s="213" t="s">
        <v>1201</v>
      </c>
      <c r="D2235" s="212" t="s">
        <v>1202</v>
      </c>
      <c r="E2235" s="534"/>
      <c r="F2235" s="534"/>
      <c r="G2235" s="534"/>
      <c r="H2235" s="534"/>
      <c r="J2235" s="536"/>
      <c r="K2235" s="824"/>
    </row>
    <row r="2236" spans="3:11" ht="25.8" customHeight="1">
      <c r="C2236" s="818">
        <v>1</v>
      </c>
      <c r="D2236" s="212" t="s">
        <v>5</v>
      </c>
      <c r="E2236" s="212" t="s">
        <v>6</v>
      </c>
      <c r="F2236" s="538">
        <v>2.4E-2</v>
      </c>
      <c r="G2236" s="539">
        <f>VLOOKUP(D2236,upahbahan,3,FALSE)</f>
        <v>100000</v>
      </c>
      <c r="H2236" s="539">
        <f t="shared" ref="H2236:H2239" si="227">F2236*G2236</f>
        <v>2400</v>
      </c>
      <c r="J2236" s="536"/>
      <c r="K2236" s="824"/>
    </row>
    <row r="2237" spans="3:11" ht="25.8" customHeight="1">
      <c r="C2237" s="818">
        <v>2</v>
      </c>
      <c r="D2237" s="212" t="s">
        <v>3295</v>
      </c>
      <c r="E2237" s="212" t="s">
        <v>6</v>
      </c>
      <c r="F2237" s="538">
        <v>0.04</v>
      </c>
      <c r="G2237" s="539">
        <f>VLOOKUP(D2237,upahbahan,3,FALSE)</f>
        <v>135000</v>
      </c>
      <c r="H2237" s="539">
        <f t="shared" si="227"/>
        <v>5400</v>
      </c>
      <c r="J2237" s="536"/>
      <c r="K2237" s="824"/>
    </row>
    <row r="2238" spans="3:11" ht="25.8" customHeight="1">
      <c r="C2238" s="818">
        <v>3</v>
      </c>
      <c r="D2238" s="212" t="s">
        <v>18</v>
      </c>
      <c r="E2238" s="212" t="s">
        <v>6</v>
      </c>
      <c r="F2238" s="538">
        <v>4.0000000000000001E-3</v>
      </c>
      <c r="G2238" s="539">
        <f>VLOOKUP(D2238,upahbahan,3,FALSE)</f>
        <v>150000</v>
      </c>
      <c r="H2238" s="539">
        <f t="shared" si="227"/>
        <v>600</v>
      </c>
      <c r="J2238" s="536"/>
      <c r="K2238" s="824"/>
    </row>
    <row r="2239" spans="3:11" ht="25.8" customHeight="1">
      <c r="C2239" s="818">
        <v>4</v>
      </c>
      <c r="D2239" s="212" t="s">
        <v>19</v>
      </c>
      <c r="E2239" s="212" t="s">
        <v>6</v>
      </c>
      <c r="F2239" s="538">
        <v>1E-3</v>
      </c>
      <c r="G2239" s="539">
        <f>VLOOKUP(D2239,upahbahan,3,FALSE)</f>
        <v>160000</v>
      </c>
      <c r="H2239" s="539">
        <f t="shared" si="227"/>
        <v>160</v>
      </c>
      <c r="J2239" s="536"/>
      <c r="K2239" s="824"/>
    </row>
    <row r="2240" spans="3:11" ht="25.8" customHeight="1">
      <c r="C2240" s="702" t="s">
        <v>1208</v>
      </c>
      <c r="D2240" s="208"/>
      <c r="E2240" s="208"/>
      <c r="F2240" s="811"/>
      <c r="G2240" s="522"/>
      <c r="H2240" s="539">
        <f>SUM(H2236:H2239)</f>
        <v>8560</v>
      </c>
      <c r="I2240" s="819"/>
      <c r="J2240" s="536"/>
      <c r="K2240" s="824"/>
    </row>
    <row r="2241" spans="3:11" ht="25.8" customHeight="1">
      <c r="C2241" s="213" t="s">
        <v>1209</v>
      </c>
      <c r="D2241" s="212" t="s">
        <v>1210</v>
      </c>
      <c r="E2241" s="534"/>
      <c r="F2241" s="831"/>
      <c r="G2241" s="534"/>
      <c r="H2241" s="534"/>
      <c r="J2241" s="536"/>
      <c r="K2241" s="824"/>
    </row>
    <row r="2242" spans="3:11" ht="25.8" customHeight="1">
      <c r="C2242" s="838" t="s">
        <v>1203</v>
      </c>
      <c r="D2242" s="839" t="s">
        <v>7726</v>
      </c>
      <c r="E2242" s="840" t="s">
        <v>113</v>
      </c>
      <c r="F2242" s="841">
        <v>1.125</v>
      </c>
      <c r="G2242" s="842">
        <f>VLOOKUP(D2242,upahbahan,3,FALSE)</f>
        <v>0</v>
      </c>
      <c r="H2242" s="539">
        <f t="shared" ref="H2242" si="228">F2242*G2242</f>
        <v>0</v>
      </c>
      <c r="J2242" s="536"/>
      <c r="K2242" s="824"/>
    </row>
    <row r="2243" spans="3:11" ht="25.8" customHeight="1">
      <c r="C2243" s="814" t="s">
        <v>1214</v>
      </c>
      <c r="D2243" s="815"/>
      <c r="E2243" s="815"/>
      <c r="F2243" s="815"/>
      <c r="G2243" s="816"/>
      <c r="H2243" s="539">
        <f>SUM(H2242:H2242)</f>
        <v>0</v>
      </c>
      <c r="J2243" s="536"/>
      <c r="K2243" s="824"/>
    </row>
    <row r="2244" spans="3:11" ht="25.8" customHeight="1">
      <c r="C2244" s="213" t="s">
        <v>1215</v>
      </c>
      <c r="D2244" s="212" t="s">
        <v>1216</v>
      </c>
      <c r="E2244" s="534"/>
      <c r="F2244" s="534"/>
      <c r="G2244" s="534"/>
      <c r="H2244" s="534"/>
      <c r="J2244" s="536"/>
      <c r="K2244" s="824"/>
    </row>
    <row r="2245" spans="3:11" ht="25.8" customHeight="1">
      <c r="C2245" s="702" t="s">
        <v>1217</v>
      </c>
      <c r="D2245" s="208"/>
      <c r="E2245" s="208"/>
      <c r="F2245" s="208"/>
      <c r="G2245" s="209"/>
      <c r="H2245" s="821">
        <v>0</v>
      </c>
      <c r="J2245" s="536"/>
      <c r="K2245" s="824"/>
    </row>
    <row r="2246" spans="3:11" ht="25.8" customHeight="1">
      <c r="C2246" s="566" t="s">
        <v>1218</v>
      </c>
      <c r="D2246" s="552" t="s">
        <v>1219</v>
      </c>
      <c r="E2246" s="553"/>
      <c r="F2246" s="553"/>
      <c r="G2246" s="554"/>
      <c r="H2246" s="826">
        <f>H2245+H2243+H2240</f>
        <v>8560</v>
      </c>
      <c r="I2246" s="827"/>
      <c r="J2246" s="536"/>
      <c r="K2246" s="824"/>
    </row>
    <row r="2247" spans="3:11" ht="25.8" customHeight="1">
      <c r="C2247" s="566" t="s">
        <v>1220</v>
      </c>
      <c r="D2247" s="552" t="s">
        <v>1321</v>
      </c>
      <c r="E2247" s="553"/>
      <c r="F2247" s="554"/>
      <c r="G2247" s="555">
        <f>$M$9</f>
        <v>0.1</v>
      </c>
      <c r="H2247" s="539">
        <f>H2246*G2247</f>
        <v>856</v>
      </c>
      <c r="I2247" s="827"/>
      <c r="J2247" s="536"/>
      <c r="K2247" s="824"/>
    </row>
    <row r="2248" spans="3:11" ht="25.8" customHeight="1">
      <c r="C2248" s="566" t="s">
        <v>1221</v>
      </c>
      <c r="D2248" s="552" t="s">
        <v>1222</v>
      </c>
      <c r="E2248" s="553"/>
      <c r="F2248" s="553"/>
      <c r="G2248" s="554"/>
      <c r="H2248" s="828">
        <f>SUM(H2246:H2247)</f>
        <v>9416</v>
      </c>
      <c r="I2248" s="827"/>
      <c r="J2248" s="536"/>
      <c r="K2248" s="824"/>
    </row>
    <row r="2249" spans="3:11" ht="25.8" customHeight="1">
      <c r="C2249" s="571"/>
      <c r="D2249" s="571"/>
      <c r="J2249" s="536"/>
      <c r="K2249" s="824"/>
    </row>
    <row r="2250" spans="3:11" ht="25.8" customHeight="1">
      <c r="C2250" s="571" t="s">
        <v>3382</v>
      </c>
      <c r="D2250" s="571" t="s">
        <v>3383</v>
      </c>
      <c r="J2250" s="536"/>
      <c r="K2250" s="824"/>
    </row>
    <row r="2251" spans="3:11" ht="25.8" customHeight="1">
      <c r="C2251" s="571" t="s">
        <v>3388</v>
      </c>
      <c r="D2251" s="571" t="s">
        <v>3384</v>
      </c>
      <c r="I2251" s="533">
        <f>ROUNDDOWN(H2267,-2)</f>
        <v>9400</v>
      </c>
      <c r="J2251" s="536"/>
      <c r="K2251" s="824"/>
    </row>
    <row r="2252" spans="3:11" ht="25.8" customHeight="1">
      <c r="C2252" s="716" t="s">
        <v>1195</v>
      </c>
      <c r="D2252" s="716" t="s">
        <v>1196</v>
      </c>
      <c r="E2252" s="716" t="s">
        <v>1197</v>
      </c>
      <c r="F2252" s="716" t="s">
        <v>1198</v>
      </c>
      <c r="G2252" s="716" t="s">
        <v>1199</v>
      </c>
      <c r="H2252" s="716" t="s">
        <v>1200</v>
      </c>
      <c r="J2252" s="536"/>
      <c r="K2252" s="824"/>
    </row>
    <row r="2253" spans="3:11" ht="25.8" customHeight="1">
      <c r="C2253" s="213" t="s">
        <v>1201</v>
      </c>
      <c r="D2253" s="212" t="s">
        <v>1202</v>
      </c>
      <c r="E2253" s="534"/>
      <c r="F2253" s="534"/>
      <c r="G2253" s="534"/>
      <c r="H2253" s="534"/>
      <c r="J2253" s="536"/>
      <c r="K2253" s="824"/>
    </row>
    <row r="2254" spans="3:11" ht="25.8" customHeight="1">
      <c r="C2254" s="818">
        <v>1</v>
      </c>
      <c r="D2254" s="212" t="s">
        <v>5</v>
      </c>
      <c r="E2254" s="212" t="s">
        <v>6</v>
      </c>
      <c r="F2254" s="538">
        <v>2.4E-2</v>
      </c>
      <c r="G2254" s="539">
        <f>VLOOKUP(D2254,upahbahan,3,FALSE)</f>
        <v>100000</v>
      </c>
      <c r="H2254" s="539">
        <f t="shared" ref="H2254:H2257" si="229">F2254*G2254</f>
        <v>2400</v>
      </c>
      <c r="J2254" s="536"/>
      <c r="K2254" s="824"/>
    </row>
    <row r="2255" spans="3:11" ht="25.8" customHeight="1">
      <c r="C2255" s="818">
        <v>2</v>
      </c>
      <c r="D2255" s="212" t="s">
        <v>3295</v>
      </c>
      <c r="E2255" s="212" t="s">
        <v>6</v>
      </c>
      <c r="F2255" s="538">
        <v>0.04</v>
      </c>
      <c r="G2255" s="539">
        <f>VLOOKUP(D2255,upahbahan,3,FALSE)</f>
        <v>135000</v>
      </c>
      <c r="H2255" s="539">
        <f t="shared" si="229"/>
        <v>5400</v>
      </c>
      <c r="J2255" s="536"/>
      <c r="K2255" s="824"/>
    </row>
    <row r="2256" spans="3:11" ht="25.8" customHeight="1">
      <c r="C2256" s="818">
        <v>3</v>
      </c>
      <c r="D2256" s="212" t="s">
        <v>18</v>
      </c>
      <c r="E2256" s="212" t="s">
        <v>6</v>
      </c>
      <c r="F2256" s="538">
        <v>4.0000000000000001E-3</v>
      </c>
      <c r="G2256" s="539">
        <f>VLOOKUP(D2256,upahbahan,3,FALSE)</f>
        <v>150000</v>
      </c>
      <c r="H2256" s="539">
        <f t="shared" si="229"/>
        <v>600</v>
      </c>
      <c r="J2256" s="536"/>
      <c r="K2256" s="824"/>
    </row>
    <row r="2257" spans="3:11" ht="25.8" customHeight="1">
      <c r="C2257" s="818">
        <v>4</v>
      </c>
      <c r="D2257" s="212" t="s">
        <v>19</v>
      </c>
      <c r="E2257" s="212" t="s">
        <v>6</v>
      </c>
      <c r="F2257" s="538">
        <v>1E-3</v>
      </c>
      <c r="G2257" s="539">
        <f>VLOOKUP(D2257,upahbahan,3,FALSE)</f>
        <v>160000</v>
      </c>
      <c r="H2257" s="539">
        <f t="shared" si="229"/>
        <v>160</v>
      </c>
      <c r="J2257" s="536"/>
      <c r="K2257" s="824"/>
    </row>
    <row r="2258" spans="3:11" ht="25.8" customHeight="1">
      <c r="C2258" s="702" t="s">
        <v>1208</v>
      </c>
      <c r="D2258" s="208"/>
      <c r="E2258" s="208"/>
      <c r="F2258" s="811"/>
      <c r="G2258" s="522"/>
      <c r="H2258" s="539">
        <f>SUM(H2254:H2257)</f>
        <v>8560</v>
      </c>
      <c r="I2258" s="819"/>
      <c r="J2258" s="536"/>
      <c r="K2258" s="824"/>
    </row>
    <row r="2259" spans="3:11" ht="25.8" customHeight="1">
      <c r="C2259" s="213" t="s">
        <v>1209</v>
      </c>
      <c r="D2259" s="212" t="s">
        <v>1210</v>
      </c>
      <c r="E2259" s="534"/>
      <c r="F2259" s="831"/>
      <c r="G2259" s="534"/>
      <c r="H2259" s="534"/>
      <c r="J2259" s="536"/>
      <c r="K2259" s="824"/>
    </row>
    <row r="2260" spans="3:11" ht="25.8" customHeight="1">
      <c r="C2260" s="838" t="s">
        <v>1203</v>
      </c>
      <c r="D2260" s="839" t="s">
        <v>3385</v>
      </c>
      <c r="E2260" s="840" t="s">
        <v>113</v>
      </c>
      <c r="F2260" s="841">
        <v>1.1499999999999999</v>
      </c>
      <c r="G2260" s="842">
        <f>VLOOKUP(D2260,upahbahan,3,FALSE)</f>
        <v>0</v>
      </c>
      <c r="H2260" s="539">
        <f t="shared" ref="H2260:H2261" si="230">F2260*G2260</f>
        <v>0</v>
      </c>
      <c r="J2260" s="536"/>
      <c r="K2260" s="824"/>
    </row>
    <row r="2261" spans="3:11" ht="25.8" customHeight="1">
      <c r="C2261" s="843">
        <v>2</v>
      </c>
      <c r="D2261" s="844" t="s">
        <v>958</v>
      </c>
      <c r="E2261" s="845" t="s">
        <v>113</v>
      </c>
      <c r="F2261" s="846">
        <v>1.1499999999999999</v>
      </c>
      <c r="G2261" s="842">
        <f>VLOOKUP(D2261,upahbahan,3,FALSE)</f>
        <v>0</v>
      </c>
      <c r="H2261" s="539">
        <f t="shared" si="230"/>
        <v>0</v>
      </c>
      <c r="J2261" s="536"/>
      <c r="K2261" s="824"/>
    </row>
    <row r="2262" spans="3:11" ht="25.8" customHeight="1">
      <c r="C2262" s="814" t="s">
        <v>1214</v>
      </c>
      <c r="D2262" s="815"/>
      <c r="E2262" s="815"/>
      <c r="F2262" s="815"/>
      <c r="G2262" s="816"/>
      <c r="H2262" s="539">
        <f>SUM(H2260:H2261)</f>
        <v>0</v>
      </c>
      <c r="J2262" s="536"/>
      <c r="K2262" s="824"/>
    </row>
    <row r="2263" spans="3:11" ht="25.8" customHeight="1">
      <c r="C2263" s="213" t="s">
        <v>1215</v>
      </c>
      <c r="D2263" s="212" t="s">
        <v>1216</v>
      </c>
      <c r="E2263" s="534"/>
      <c r="F2263" s="534"/>
      <c r="G2263" s="534"/>
      <c r="H2263" s="534"/>
      <c r="J2263" s="536"/>
      <c r="K2263" s="824"/>
    </row>
    <row r="2264" spans="3:11" ht="25.8" customHeight="1">
      <c r="C2264" s="702" t="s">
        <v>1217</v>
      </c>
      <c r="D2264" s="208"/>
      <c r="E2264" s="208"/>
      <c r="F2264" s="208"/>
      <c r="G2264" s="209"/>
      <c r="H2264" s="821">
        <v>0</v>
      </c>
      <c r="J2264" s="536"/>
      <c r="K2264" s="824"/>
    </row>
    <row r="2265" spans="3:11" ht="25.8" customHeight="1">
      <c r="C2265" s="566" t="s">
        <v>1218</v>
      </c>
      <c r="D2265" s="552" t="s">
        <v>1219</v>
      </c>
      <c r="E2265" s="553"/>
      <c r="F2265" s="553"/>
      <c r="G2265" s="554"/>
      <c r="H2265" s="826">
        <f>H2264+H2262+H2258</f>
        <v>8560</v>
      </c>
      <c r="I2265" s="827"/>
      <c r="J2265" s="536"/>
      <c r="K2265" s="824"/>
    </row>
    <row r="2266" spans="3:11" ht="25.8" customHeight="1">
      <c r="C2266" s="566" t="s">
        <v>1220</v>
      </c>
      <c r="D2266" s="552" t="s">
        <v>1321</v>
      </c>
      <c r="E2266" s="553"/>
      <c r="F2266" s="554"/>
      <c r="G2266" s="555">
        <f>$M$9</f>
        <v>0.1</v>
      </c>
      <c r="H2266" s="539">
        <f>H2265*G2266</f>
        <v>856</v>
      </c>
      <c r="I2266" s="827"/>
      <c r="J2266" s="536"/>
      <c r="K2266" s="824"/>
    </row>
    <row r="2267" spans="3:11" ht="25.8" customHeight="1">
      <c r="C2267" s="566" t="s">
        <v>1221</v>
      </c>
      <c r="D2267" s="552" t="s">
        <v>1222</v>
      </c>
      <c r="E2267" s="553"/>
      <c r="F2267" s="553"/>
      <c r="G2267" s="554"/>
      <c r="H2267" s="828">
        <f>SUM(H2265:H2266)</f>
        <v>9416</v>
      </c>
      <c r="I2267" s="827"/>
      <c r="J2267" s="536"/>
      <c r="K2267" s="824"/>
    </row>
    <row r="2268" spans="3:11" ht="25.8" customHeight="1">
      <c r="C2268" s="571"/>
      <c r="D2268" s="571"/>
      <c r="J2268" s="536"/>
      <c r="K2268" s="824"/>
    </row>
    <row r="2269" spans="3:11" ht="25.8" customHeight="1">
      <c r="C2269" s="571" t="s">
        <v>3387</v>
      </c>
      <c r="D2269" s="571" t="s">
        <v>3386</v>
      </c>
      <c r="J2269" s="536"/>
      <c r="K2269" s="824"/>
    </row>
    <row r="2270" spans="3:11" ht="25.8" customHeight="1">
      <c r="C2270" s="571" t="s">
        <v>3420</v>
      </c>
      <c r="D2270" s="571" t="s">
        <v>3389</v>
      </c>
      <c r="I2270" s="533">
        <f>ROUNDDOWN(H2285,-2)</f>
        <v>12300</v>
      </c>
      <c r="J2270" s="536"/>
      <c r="K2270" s="824"/>
    </row>
    <row r="2271" spans="3:11" ht="25.8" customHeight="1">
      <c r="C2271" s="716" t="s">
        <v>1195</v>
      </c>
      <c r="D2271" s="716" t="s">
        <v>1196</v>
      </c>
      <c r="E2271" s="716" t="s">
        <v>1197</v>
      </c>
      <c r="F2271" s="716" t="s">
        <v>1198</v>
      </c>
      <c r="G2271" s="716" t="s">
        <v>1199</v>
      </c>
      <c r="H2271" s="716" t="s">
        <v>1200</v>
      </c>
      <c r="J2271" s="536"/>
      <c r="K2271" s="824"/>
    </row>
    <row r="2272" spans="3:11" ht="25.8" customHeight="1">
      <c r="C2272" s="213" t="s">
        <v>1201</v>
      </c>
      <c r="D2272" s="212" t="s">
        <v>1202</v>
      </c>
      <c r="E2272" s="534"/>
      <c r="F2272" s="534"/>
      <c r="G2272" s="534"/>
      <c r="H2272" s="534"/>
      <c r="J2272" s="536"/>
      <c r="K2272" s="824"/>
    </row>
    <row r="2273" spans="3:11" ht="25.8" customHeight="1">
      <c r="C2273" s="818">
        <v>1</v>
      </c>
      <c r="D2273" s="212" t="s">
        <v>5</v>
      </c>
      <c r="E2273" s="212" t="s">
        <v>6</v>
      </c>
      <c r="F2273" s="538">
        <v>3.1E-2</v>
      </c>
      <c r="G2273" s="539">
        <f>VLOOKUP(D2273,upahbahan,3,FALSE)</f>
        <v>100000</v>
      </c>
      <c r="H2273" s="539">
        <f t="shared" ref="H2273:H2276" si="231">F2273*G2273</f>
        <v>3100</v>
      </c>
      <c r="J2273" s="536"/>
      <c r="K2273" s="824"/>
    </row>
    <row r="2274" spans="3:11" ht="25.8" customHeight="1">
      <c r="C2274" s="818">
        <v>2</v>
      </c>
      <c r="D2274" s="212" t="s">
        <v>3295</v>
      </c>
      <c r="E2274" s="212" t="s">
        <v>6</v>
      </c>
      <c r="F2274" s="538">
        <v>5.1999999999999998E-2</v>
      </c>
      <c r="G2274" s="539">
        <f>VLOOKUP(D2274,upahbahan,3,FALSE)</f>
        <v>135000</v>
      </c>
      <c r="H2274" s="539">
        <f t="shared" si="231"/>
        <v>7020</v>
      </c>
      <c r="J2274" s="536"/>
      <c r="K2274" s="824"/>
    </row>
    <row r="2275" spans="3:11" ht="25.8" customHeight="1">
      <c r="C2275" s="818">
        <v>3</v>
      </c>
      <c r="D2275" s="212" t="s">
        <v>18</v>
      </c>
      <c r="E2275" s="212" t="s">
        <v>6</v>
      </c>
      <c r="F2275" s="538">
        <v>5.0000000000000001E-3</v>
      </c>
      <c r="G2275" s="539">
        <f>VLOOKUP(D2275,upahbahan,3,FALSE)</f>
        <v>150000</v>
      </c>
      <c r="H2275" s="539">
        <f t="shared" si="231"/>
        <v>750</v>
      </c>
      <c r="J2275" s="536"/>
      <c r="K2275" s="824"/>
    </row>
    <row r="2276" spans="3:11" ht="25.8" customHeight="1">
      <c r="C2276" s="818">
        <v>4</v>
      </c>
      <c r="D2276" s="212" t="s">
        <v>19</v>
      </c>
      <c r="E2276" s="212" t="s">
        <v>6</v>
      </c>
      <c r="F2276" s="538">
        <v>2E-3</v>
      </c>
      <c r="G2276" s="539">
        <f>VLOOKUP(D2276,upahbahan,3,FALSE)</f>
        <v>160000</v>
      </c>
      <c r="H2276" s="539">
        <f t="shared" si="231"/>
        <v>320</v>
      </c>
      <c r="J2276" s="536"/>
      <c r="K2276" s="824"/>
    </row>
    <row r="2277" spans="3:11" ht="25.8" customHeight="1">
      <c r="C2277" s="702" t="s">
        <v>1208</v>
      </c>
      <c r="D2277" s="208"/>
      <c r="E2277" s="208"/>
      <c r="F2277" s="811"/>
      <c r="G2277" s="522"/>
      <c r="H2277" s="539">
        <f>SUM(H2273:H2276)</f>
        <v>11190</v>
      </c>
      <c r="I2277" s="819"/>
      <c r="J2277" s="536"/>
      <c r="K2277" s="824"/>
    </row>
    <row r="2278" spans="3:11" ht="25.8" customHeight="1">
      <c r="C2278" s="213" t="s">
        <v>1209</v>
      </c>
      <c r="D2278" s="212" t="s">
        <v>1210</v>
      </c>
      <c r="E2278" s="534"/>
      <c r="F2278" s="831"/>
      <c r="G2278" s="534"/>
      <c r="H2278" s="534"/>
      <c r="J2278" s="536"/>
      <c r="K2278" s="824"/>
    </row>
    <row r="2279" spans="3:11" ht="25.8" customHeight="1">
      <c r="C2279" s="838" t="s">
        <v>1203</v>
      </c>
      <c r="D2279" s="839" t="s">
        <v>3390</v>
      </c>
      <c r="E2279" s="840" t="s">
        <v>113</v>
      </c>
      <c r="F2279" s="841">
        <v>1.1499999999999999</v>
      </c>
      <c r="G2279" s="842">
        <f>VLOOKUP(D2279,upahbahan,3,FALSE)</f>
        <v>0</v>
      </c>
      <c r="H2279" s="539">
        <f t="shared" ref="H2279" si="232">F2279*G2279</f>
        <v>0</v>
      </c>
      <c r="J2279" s="536"/>
      <c r="K2279" s="824"/>
    </row>
    <row r="2280" spans="3:11" ht="25.8" customHeight="1">
      <c r="C2280" s="814" t="s">
        <v>1214</v>
      </c>
      <c r="D2280" s="815"/>
      <c r="E2280" s="815"/>
      <c r="F2280" s="815"/>
      <c r="G2280" s="816"/>
      <c r="H2280" s="539">
        <f>SUM(H2279:H2279)</f>
        <v>0</v>
      </c>
      <c r="J2280" s="536"/>
      <c r="K2280" s="824"/>
    </row>
    <row r="2281" spans="3:11" ht="25.8" customHeight="1">
      <c r="C2281" s="213" t="s">
        <v>1215</v>
      </c>
      <c r="D2281" s="212" t="s">
        <v>1216</v>
      </c>
      <c r="E2281" s="534"/>
      <c r="F2281" s="534"/>
      <c r="G2281" s="534"/>
      <c r="H2281" s="534"/>
      <c r="J2281" s="536"/>
      <c r="K2281" s="824"/>
    </row>
    <row r="2282" spans="3:11" ht="25.8" customHeight="1">
      <c r="C2282" s="702" t="s">
        <v>1217</v>
      </c>
      <c r="D2282" s="208"/>
      <c r="E2282" s="208"/>
      <c r="F2282" s="208"/>
      <c r="G2282" s="209"/>
      <c r="H2282" s="821">
        <v>0</v>
      </c>
      <c r="J2282" s="536"/>
      <c r="K2282" s="824"/>
    </row>
    <row r="2283" spans="3:11" ht="25.8" customHeight="1">
      <c r="C2283" s="566" t="s">
        <v>1218</v>
      </c>
      <c r="D2283" s="552" t="s">
        <v>1219</v>
      </c>
      <c r="E2283" s="553"/>
      <c r="F2283" s="553"/>
      <c r="G2283" s="554"/>
      <c r="H2283" s="826">
        <f>H2282+H2280+H2277</f>
        <v>11190</v>
      </c>
      <c r="I2283" s="827"/>
      <c r="J2283" s="536"/>
      <c r="K2283" s="824"/>
    </row>
    <row r="2284" spans="3:11" ht="25.8" customHeight="1">
      <c r="C2284" s="566" t="s">
        <v>1220</v>
      </c>
      <c r="D2284" s="552" t="s">
        <v>1321</v>
      </c>
      <c r="E2284" s="553"/>
      <c r="F2284" s="554"/>
      <c r="G2284" s="555">
        <f>$M$9</f>
        <v>0.1</v>
      </c>
      <c r="H2284" s="539">
        <f>H2283*G2284</f>
        <v>1119</v>
      </c>
      <c r="I2284" s="827"/>
      <c r="J2284" s="536"/>
      <c r="K2284" s="824"/>
    </row>
    <row r="2285" spans="3:11" ht="25.8" customHeight="1">
      <c r="C2285" s="566" t="s">
        <v>1221</v>
      </c>
      <c r="D2285" s="552" t="s">
        <v>1222</v>
      </c>
      <c r="E2285" s="553"/>
      <c r="F2285" s="553"/>
      <c r="G2285" s="554"/>
      <c r="H2285" s="828">
        <f>SUM(H2283:H2284)</f>
        <v>12309</v>
      </c>
      <c r="I2285" s="827"/>
      <c r="J2285" s="536"/>
      <c r="K2285" s="824"/>
    </row>
    <row r="2286" spans="3:11" ht="25.8" customHeight="1">
      <c r="C2286" s="571"/>
      <c r="D2286" s="571"/>
      <c r="J2286" s="536"/>
      <c r="K2286" s="824"/>
    </row>
    <row r="2287" spans="3:11" ht="25.8" customHeight="1">
      <c r="C2287" s="571" t="s">
        <v>3391</v>
      </c>
      <c r="D2287" s="571" t="s">
        <v>3392</v>
      </c>
      <c r="J2287" s="536"/>
      <c r="K2287" s="824"/>
    </row>
    <row r="2288" spans="3:11" ht="25.8" customHeight="1">
      <c r="C2288" s="513" t="s">
        <v>3393</v>
      </c>
      <c r="D2288" s="817" t="s">
        <v>3394</v>
      </c>
      <c r="E2288" s="803"/>
      <c r="F2288" s="803"/>
      <c r="G2288" s="803"/>
      <c r="H2288" s="803"/>
      <c r="I2288" s="533">
        <f>ROUNDDOWN(H2303,-2)</f>
        <v>47100</v>
      </c>
      <c r="J2288" s="536"/>
      <c r="K2288" s="824"/>
    </row>
    <row r="2289" spans="3:11" ht="25.8" customHeight="1">
      <c r="C2289" s="716" t="s">
        <v>1195</v>
      </c>
      <c r="D2289" s="716" t="s">
        <v>1196</v>
      </c>
      <c r="E2289" s="716" t="s">
        <v>1197</v>
      </c>
      <c r="F2289" s="716" t="s">
        <v>1198</v>
      </c>
      <c r="G2289" s="716" t="s">
        <v>1199</v>
      </c>
      <c r="H2289" s="716" t="s">
        <v>1200</v>
      </c>
      <c r="J2289" s="536"/>
      <c r="K2289" s="824"/>
    </row>
    <row r="2290" spans="3:11" ht="25.8" customHeight="1">
      <c r="C2290" s="213" t="s">
        <v>1201</v>
      </c>
      <c r="D2290" s="212" t="s">
        <v>1202</v>
      </c>
      <c r="E2290" s="534"/>
      <c r="F2290" s="534"/>
      <c r="G2290" s="534"/>
      <c r="H2290" s="534"/>
      <c r="J2290" s="536"/>
      <c r="K2290" s="824"/>
    </row>
    <row r="2291" spans="3:11" ht="25.8" customHeight="1">
      <c r="C2291" s="818">
        <v>1</v>
      </c>
      <c r="D2291" s="212" t="s">
        <v>5</v>
      </c>
      <c r="E2291" s="212" t="s">
        <v>6</v>
      </c>
      <c r="F2291" s="538">
        <v>0.11899999999999999</v>
      </c>
      <c r="G2291" s="539">
        <f>VLOOKUP(D2291,upahbahan,3,FALSE)</f>
        <v>100000</v>
      </c>
      <c r="H2291" s="539">
        <f t="shared" ref="H2291:H2294" si="233">F2291*G2291</f>
        <v>11900</v>
      </c>
      <c r="J2291" s="536"/>
      <c r="K2291" s="824"/>
    </row>
    <row r="2292" spans="3:11" ht="25.8" customHeight="1">
      <c r="C2292" s="818">
        <v>2</v>
      </c>
      <c r="D2292" s="212" t="str">
        <f>D2201</f>
        <v>Tukang listrik</v>
      </c>
      <c r="E2292" s="212" t="s">
        <v>6</v>
      </c>
      <c r="F2292" s="538">
        <v>0.19900000000000001</v>
      </c>
      <c r="G2292" s="539">
        <f>VLOOKUP(D2292,upahbahan,3,FALSE)</f>
        <v>135000</v>
      </c>
      <c r="H2292" s="539">
        <f t="shared" si="233"/>
        <v>26865</v>
      </c>
      <c r="J2292" s="536"/>
      <c r="K2292" s="824"/>
    </row>
    <row r="2293" spans="3:11" ht="25.8" customHeight="1">
      <c r="C2293" s="818">
        <v>3</v>
      </c>
      <c r="D2293" s="212" t="s">
        <v>18</v>
      </c>
      <c r="E2293" s="212" t="s">
        <v>6</v>
      </c>
      <c r="F2293" s="538">
        <v>0.02</v>
      </c>
      <c r="G2293" s="539">
        <f>VLOOKUP(D2293,upahbahan,3,FALSE)</f>
        <v>150000</v>
      </c>
      <c r="H2293" s="539">
        <f t="shared" si="233"/>
        <v>3000</v>
      </c>
      <c r="J2293" s="536"/>
      <c r="K2293" s="824"/>
    </row>
    <row r="2294" spans="3:11" ht="25.8" customHeight="1">
      <c r="C2294" s="818">
        <v>4</v>
      </c>
      <c r="D2294" s="212" t="s">
        <v>19</v>
      </c>
      <c r="E2294" s="212" t="s">
        <v>6</v>
      </c>
      <c r="F2294" s="538">
        <v>7.0000000000000001E-3</v>
      </c>
      <c r="G2294" s="539">
        <f>VLOOKUP(D2294,upahbahan,3,FALSE)</f>
        <v>160000</v>
      </c>
      <c r="H2294" s="539">
        <f t="shared" si="233"/>
        <v>1120</v>
      </c>
      <c r="J2294" s="536"/>
      <c r="K2294" s="824"/>
    </row>
    <row r="2295" spans="3:11" ht="25.8" customHeight="1">
      <c r="C2295" s="702" t="s">
        <v>1208</v>
      </c>
      <c r="D2295" s="208"/>
      <c r="E2295" s="208"/>
      <c r="F2295" s="811"/>
      <c r="G2295" s="522"/>
      <c r="H2295" s="539">
        <f>SUM(H2291:H2294)</f>
        <v>42885</v>
      </c>
      <c r="I2295" s="819"/>
      <c r="J2295" s="536"/>
      <c r="K2295" s="824"/>
    </row>
    <row r="2296" spans="3:11" ht="25.8" customHeight="1">
      <c r="C2296" s="213" t="s">
        <v>1209</v>
      </c>
      <c r="D2296" s="212" t="s">
        <v>1210</v>
      </c>
      <c r="E2296" s="534"/>
      <c r="F2296" s="831"/>
      <c r="G2296" s="534"/>
      <c r="H2296" s="534"/>
      <c r="J2296" s="536"/>
      <c r="K2296" s="824"/>
    </row>
    <row r="2297" spans="3:11" ht="25.8" customHeight="1">
      <c r="C2297" s="833" t="s">
        <v>1203</v>
      </c>
      <c r="D2297" s="820" t="s">
        <v>955</v>
      </c>
      <c r="E2297" s="807" t="s">
        <v>113</v>
      </c>
      <c r="F2297" s="829">
        <v>1.25</v>
      </c>
      <c r="G2297" s="539">
        <f>VLOOKUP(D2297,upahbahan,3,FALSE)</f>
        <v>0</v>
      </c>
      <c r="H2297" s="539">
        <f t="shared" ref="H2297" si="234">F2297*G2297</f>
        <v>0</v>
      </c>
      <c r="J2297" s="536"/>
      <c r="K2297" s="824"/>
    </row>
    <row r="2298" spans="3:11" ht="25.8" customHeight="1">
      <c r="C2298" s="702" t="s">
        <v>1214</v>
      </c>
      <c r="D2298" s="208"/>
      <c r="E2298" s="208"/>
      <c r="F2298" s="208"/>
      <c r="G2298" s="209"/>
      <c r="H2298" s="539">
        <f>SUM(H2297:H2297)</f>
        <v>0</v>
      </c>
      <c r="J2298" s="536"/>
      <c r="K2298" s="824"/>
    </row>
    <row r="2299" spans="3:11" ht="25.8" customHeight="1">
      <c r="C2299" s="213" t="s">
        <v>1215</v>
      </c>
      <c r="D2299" s="212" t="s">
        <v>1216</v>
      </c>
      <c r="E2299" s="534"/>
      <c r="F2299" s="534"/>
      <c r="G2299" s="534"/>
      <c r="H2299" s="534"/>
      <c r="J2299" s="536"/>
      <c r="K2299" s="824"/>
    </row>
    <row r="2300" spans="3:11" ht="25.8" customHeight="1">
      <c r="C2300" s="702" t="s">
        <v>1217</v>
      </c>
      <c r="D2300" s="208"/>
      <c r="E2300" s="208"/>
      <c r="F2300" s="208"/>
      <c r="G2300" s="209"/>
      <c r="H2300" s="821">
        <v>0</v>
      </c>
      <c r="J2300" s="536"/>
      <c r="K2300" s="824"/>
    </row>
    <row r="2301" spans="3:11" ht="25.8" customHeight="1">
      <c r="C2301" s="566" t="s">
        <v>1218</v>
      </c>
      <c r="D2301" s="552" t="s">
        <v>1219</v>
      </c>
      <c r="E2301" s="553"/>
      <c r="F2301" s="553"/>
      <c r="G2301" s="554"/>
      <c r="H2301" s="826">
        <f>H2300+H2298+H2295</f>
        <v>42885</v>
      </c>
      <c r="I2301" s="827"/>
      <c r="J2301" s="536"/>
      <c r="K2301" s="824"/>
    </row>
    <row r="2302" spans="3:11" ht="25.8" customHeight="1">
      <c r="C2302" s="566" t="s">
        <v>1220</v>
      </c>
      <c r="D2302" s="552" t="s">
        <v>1321</v>
      </c>
      <c r="E2302" s="553"/>
      <c r="F2302" s="554"/>
      <c r="G2302" s="555">
        <f>$M$9</f>
        <v>0.1</v>
      </c>
      <c r="H2302" s="539">
        <f>H2301*G2302</f>
        <v>4288.5</v>
      </c>
      <c r="I2302" s="827"/>
      <c r="J2302" s="536"/>
      <c r="K2302" s="824"/>
    </row>
    <row r="2303" spans="3:11" ht="25.8" customHeight="1">
      <c r="C2303" s="566" t="s">
        <v>1221</v>
      </c>
      <c r="D2303" s="552" t="s">
        <v>1222</v>
      </c>
      <c r="E2303" s="553"/>
      <c r="F2303" s="553"/>
      <c r="G2303" s="554"/>
      <c r="H2303" s="828">
        <f>SUM(H2301:H2302)</f>
        <v>47173.5</v>
      </c>
      <c r="I2303" s="827"/>
      <c r="J2303" s="536"/>
      <c r="K2303" s="824"/>
    </row>
    <row r="2304" spans="3:11" ht="25.8" customHeight="1">
      <c r="J2304" s="536"/>
      <c r="K2304" s="824"/>
    </row>
    <row r="2305" spans="3:11" ht="25.8" customHeight="1">
      <c r="C2305" s="517" t="s">
        <v>3395</v>
      </c>
      <c r="D2305" s="817" t="s">
        <v>1749</v>
      </c>
      <c r="E2305" s="803"/>
      <c r="F2305" s="803"/>
      <c r="G2305" s="803"/>
      <c r="H2305" s="803"/>
      <c r="I2305" s="533">
        <f>ROUNDDOWN(H2320,-2)</f>
        <v>47100</v>
      </c>
      <c r="J2305" s="536"/>
      <c r="K2305" s="824"/>
    </row>
    <row r="2306" spans="3:11" ht="25.8" customHeight="1">
      <c r="C2306" s="716" t="s">
        <v>1195</v>
      </c>
      <c r="D2306" s="716" t="s">
        <v>1196</v>
      </c>
      <c r="E2306" s="716" t="s">
        <v>1197</v>
      </c>
      <c r="F2306" s="716" t="s">
        <v>1198</v>
      </c>
      <c r="G2306" s="716" t="s">
        <v>1199</v>
      </c>
      <c r="H2306" s="716" t="s">
        <v>1200</v>
      </c>
      <c r="J2306" s="536"/>
      <c r="K2306" s="824"/>
    </row>
    <row r="2307" spans="3:11" ht="25.8" customHeight="1">
      <c r="C2307" s="213" t="s">
        <v>1201</v>
      </c>
      <c r="D2307" s="212" t="s">
        <v>1202</v>
      </c>
      <c r="E2307" s="534"/>
      <c r="F2307" s="534"/>
      <c r="G2307" s="534"/>
      <c r="H2307" s="534"/>
      <c r="J2307" s="536"/>
      <c r="K2307" s="824"/>
    </row>
    <row r="2308" spans="3:11" ht="25.8" customHeight="1">
      <c r="C2308" s="818">
        <v>1</v>
      </c>
      <c r="D2308" s="212" t="s">
        <v>5</v>
      </c>
      <c r="E2308" s="212" t="s">
        <v>6</v>
      </c>
      <c r="F2308" s="538">
        <v>0.11899999999999999</v>
      </c>
      <c r="G2308" s="539">
        <f>VLOOKUP(D2308,upahbahan,3,FALSE)</f>
        <v>100000</v>
      </c>
      <c r="H2308" s="539">
        <f t="shared" ref="H2308:H2311" si="235">F2308*G2308</f>
        <v>11900</v>
      </c>
      <c r="J2308" s="536"/>
      <c r="K2308" s="824"/>
    </row>
    <row r="2309" spans="3:11" ht="25.8" customHeight="1">
      <c r="C2309" s="818">
        <v>2</v>
      </c>
      <c r="D2309" s="212" t="str">
        <f>D2292</f>
        <v>Tukang listrik</v>
      </c>
      <c r="E2309" s="212" t="s">
        <v>6</v>
      </c>
      <c r="F2309" s="538">
        <v>0.19900000000000001</v>
      </c>
      <c r="G2309" s="539">
        <f>VLOOKUP(D2309,upahbahan,3,FALSE)</f>
        <v>135000</v>
      </c>
      <c r="H2309" s="539">
        <f t="shared" si="235"/>
        <v>26865</v>
      </c>
      <c r="J2309" s="536"/>
      <c r="K2309" s="824"/>
    </row>
    <row r="2310" spans="3:11" ht="25.8" customHeight="1">
      <c r="C2310" s="818">
        <v>3</v>
      </c>
      <c r="D2310" s="212" t="s">
        <v>18</v>
      </c>
      <c r="E2310" s="212" t="s">
        <v>6</v>
      </c>
      <c r="F2310" s="538">
        <v>0.02</v>
      </c>
      <c r="G2310" s="539">
        <f>VLOOKUP(D2310,upahbahan,3,FALSE)</f>
        <v>150000</v>
      </c>
      <c r="H2310" s="539">
        <f t="shared" si="235"/>
        <v>3000</v>
      </c>
      <c r="J2310" s="536"/>
      <c r="K2310" s="824"/>
    </row>
    <row r="2311" spans="3:11" ht="25.8" customHeight="1">
      <c r="C2311" s="818">
        <v>4</v>
      </c>
      <c r="D2311" s="212" t="s">
        <v>19</v>
      </c>
      <c r="E2311" s="212" t="s">
        <v>6</v>
      </c>
      <c r="F2311" s="538">
        <v>7.0000000000000001E-3</v>
      </c>
      <c r="G2311" s="539">
        <f>VLOOKUP(D2311,upahbahan,3,FALSE)</f>
        <v>160000</v>
      </c>
      <c r="H2311" s="539">
        <f t="shared" si="235"/>
        <v>1120</v>
      </c>
      <c r="J2311" s="536"/>
      <c r="K2311" s="824"/>
    </row>
    <row r="2312" spans="3:11" ht="25.8" customHeight="1">
      <c r="C2312" s="702" t="s">
        <v>1208</v>
      </c>
      <c r="D2312" s="208"/>
      <c r="E2312" s="208"/>
      <c r="F2312" s="811"/>
      <c r="G2312" s="522"/>
      <c r="H2312" s="539">
        <f>SUM(H2308:H2311)</f>
        <v>42885</v>
      </c>
      <c r="I2312" s="819"/>
      <c r="J2312" s="536"/>
      <c r="K2312" s="824"/>
    </row>
    <row r="2313" spans="3:11" ht="25.8" customHeight="1">
      <c r="C2313" s="213" t="s">
        <v>1209</v>
      </c>
      <c r="D2313" s="212" t="s">
        <v>1210</v>
      </c>
      <c r="E2313" s="534"/>
      <c r="F2313" s="831"/>
      <c r="G2313" s="534"/>
      <c r="H2313" s="534"/>
      <c r="J2313" s="536"/>
      <c r="K2313" s="824"/>
    </row>
    <row r="2314" spans="3:11" ht="25.8" customHeight="1">
      <c r="C2314" s="833" t="s">
        <v>1203</v>
      </c>
      <c r="D2314" s="820" t="s">
        <v>954</v>
      </c>
      <c r="E2314" s="807" t="s">
        <v>113</v>
      </c>
      <c r="F2314" s="829">
        <v>1.25</v>
      </c>
      <c r="G2314" s="539">
        <f>VLOOKUP(D2314,upahbahan,3,FALSE)</f>
        <v>0</v>
      </c>
      <c r="H2314" s="539">
        <f t="shared" ref="H2314" si="236">F2314*G2314</f>
        <v>0</v>
      </c>
      <c r="J2314" s="536"/>
      <c r="K2314" s="824"/>
    </row>
    <row r="2315" spans="3:11" ht="25.8" customHeight="1">
      <c r="C2315" s="702" t="s">
        <v>1214</v>
      </c>
      <c r="D2315" s="208"/>
      <c r="E2315" s="208"/>
      <c r="F2315" s="208"/>
      <c r="G2315" s="209"/>
      <c r="H2315" s="539">
        <f>SUM(H2314:H2314)</f>
        <v>0</v>
      </c>
      <c r="J2315" s="536"/>
      <c r="K2315" s="824"/>
    </row>
    <row r="2316" spans="3:11" ht="25.8" customHeight="1">
      <c r="C2316" s="213" t="s">
        <v>1215</v>
      </c>
      <c r="D2316" s="212" t="s">
        <v>1216</v>
      </c>
      <c r="E2316" s="534"/>
      <c r="F2316" s="534"/>
      <c r="G2316" s="534"/>
      <c r="H2316" s="534"/>
      <c r="J2316" s="536"/>
      <c r="K2316" s="824"/>
    </row>
    <row r="2317" spans="3:11" ht="25.8" customHeight="1">
      <c r="C2317" s="702" t="s">
        <v>1217</v>
      </c>
      <c r="D2317" s="208"/>
      <c r="E2317" s="208"/>
      <c r="F2317" s="208"/>
      <c r="G2317" s="209"/>
      <c r="H2317" s="821">
        <v>0</v>
      </c>
      <c r="J2317" s="536"/>
      <c r="K2317" s="824"/>
    </row>
    <row r="2318" spans="3:11" ht="25.8" customHeight="1">
      <c r="C2318" s="566" t="s">
        <v>1218</v>
      </c>
      <c r="D2318" s="552" t="s">
        <v>1219</v>
      </c>
      <c r="E2318" s="553"/>
      <c r="F2318" s="553"/>
      <c r="G2318" s="554"/>
      <c r="H2318" s="826">
        <f>H2317+H2315+H2312</f>
        <v>42885</v>
      </c>
      <c r="I2318" s="827"/>
      <c r="J2318" s="536"/>
      <c r="K2318" s="824"/>
    </row>
    <row r="2319" spans="3:11" ht="25.8" customHeight="1">
      <c r="C2319" s="566" t="s">
        <v>1220</v>
      </c>
      <c r="D2319" s="552" t="s">
        <v>1321</v>
      </c>
      <c r="E2319" s="553"/>
      <c r="F2319" s="554"/>
      <c r="G2319" s="555">
        <f>$M$9</f>
        <v>0.1</v>
      </c>
      <c r="H2319" s="539">
        <f>H2318*G2319</f>
        <v>4288.5</v>
      </c>
      <c r="I2319" s="827"/>
      <c r="J2319" s="536"/>
      <c r="K2319" s="824"/>
    </row>
    <row r="2320" spans="3:11" ht="25.8" customHeight="1">
      <c r="C2320" s="566" t="s">
        <v>1221</v>
      </c>
      <c r="D2320" s="552" t="s">
        <v>1222</v>
      </c>
      <c r="E2320" s="553"/>
      <c r="F2320" s="553"/>
      <c r="G2320" s="554"/>
      <c r="H2320" s="828">
        <f>SUM(H2318:H2319)</f>
        <v>47173.5</v>
      </c>
      <c r="I2320" s="827"/>
      <c r="J2320" s="536"/>
      <c r="K2320" s="824"/>
    </row>
    <row r="2321" spans="3:11" ht="25.8" customHeight="1">
      <c r="J2321" s="536"/>
      <c r="K2321" s="824"/>
    </row>
    <row r="2322" spans="3:11" ht="25.8" customHeight="1">
      <c r="C2322" s="517" t="s">
        <v>3396</v>
      </c>
      <c r="D2322" s="817" t="s">
        <v>1750</v>
      </c>
      <c r="E2322" s="803"/>
      <c r="F2322" s="803"/>
      <c r="G2322" s="803"/>
      <c r="H2322" s="803"/>
      <c r="I2322" s="533">
        <f>ROUNDDOWN(H2337,-2)</f>
        <v>47100</v>
      </c>
      <c r="J2322" s="536"/>
      <c r="K2322" s="824"/>
    </row>
    <row r="2323" spans="3:11" ht="25.8" customHeight="1">
      <c r="C2323" s="716" t="s">
        <v>1195</v>
      </c>
      <c r="D2323" s="716" t="s">
        <v>1196</v>
      </c>
      <c r="E2323" s="716" t="s">
        <v>1197</v>
      </c>
      <c r="F2323" s="716" t="s">
        <v>1198</v>
      </c>
      <c r="G2323" s="716" t="s">
        <v>1199</v>
      </c>
      <c r="H2323" s="716" t="s">
        <v>1200</v>
      </c>
      <c r="J2323" s="536"/>
      <c r="K2323" s="824"/>
    </row>
    <row r="2324" spans="3:11" ht="25.8" customHeight="1">
      <c r="C2324" s="213" t="s">
        <v>1201</v>
      </c>
      <c r="D2324" s="212" t="s">
        <v>1202</v>
      </c>
      <c r="E2324" s="534"/>
      <c r="F2324" s="534"/>
      <c r="G2324" s="534"/>
      <c r="H2324" s="534"/>
      <c r="J2324" s="536"/>
      <c r="K2324" s="824"/>
    </row>
    <row r="2325" spans="3:11" ht="25.8" customHeight="1">
      <c r="C2325" s="818">
        <v>1</v>
      </c>
      <c r="D2325" s="212" t="s">
        <v>5</v>
      </c>
      <c r="E2325" s="212" t="s">
        <v>6</v>
      </c>
      <c r="F2325" s="538">
        <v>0.11899999999999999</v>
      </c>
      <c r="G2325" s="539">
        <f>VLOOKUP(D2325,upahbahan,3,FALSE)</f>
        <v>100000</v>
      </c>
      <c r="H2325" s="539">
        <f t="shared" ref="H2325:H2328" si="237">F2325*G2325</f>
        <v>11900</v>
      </c>
      <c r="J2325" s="536"/>
      <c r="K2325" s="824"/>
    </row>
    <row r="2326" spans="3:11" ht="25.8" customHeight="1">
      <c r="C2326" s="818">
        <v>2</v>
      </c>
      <c r="D2326" s="212" t="str">
        <f>D2309</f>
        <v>Tukang listrik</v>
      </c>
      <c r="E2326" s="212" t="s">
        <v>6</v>
      </c>
      <c r="F2326" s="538">
        <v>0.19900000000000001</v>
      </c>
      <c r="G2326" s="539">
        <f>VLOOKUP(D2326,upahbahan,3,FALSE)</f>
        <v>135000</v>
      </c>
      <c r="H2326" s="539">
        <f t="shared" si="237"/>
        <v>26865</v>
      </c>
      <c r="J2326" s="536"/>
      <c r="K2326" s="824"/>
    </row>
    <row r="2327" spans="3:11" ht="25.8" customHeight="1">
      <c r="C2327" s="818">
        <v>3</v>
      </c>
      <c r="D2327" s="212" t="s">
        <v>18</v>
      </c>
      <c r="E2327" s="212" t="s">
        <v>6</v>
      </c>
      <c r="F2327" s="538">
        <v>0.02</v>
      </c>
      <c r="G2327" s="539">
        <f>VLOOKUP(D2327,upahbahan,3,FALSE)</f>
        <v>150000</v>
      </c>
      <c r="H2327" s="539">
        <f t="shared" si="237"/>
        <v>3000</v>
      </c>
      <c r="J2327" s="536"/>
      <c r="K2327" s="824"/>
    </row>
    <row r="2328" spans="3:11" ht="25.8" customHeight="1">
      <c r="C2328" s="818">
        <v>4</v>
      </c>
      <c r="D2328" s="212" t="s">
        <v>19</v>
      </c>
      <c r="E2328" s="212" t="s">
        <v>6</v>
      </c>
      <c r="F2328" s="538">
        <v>7.0000000000000001E-3</v>
      </c>
      <c r="G2328" s="539">
        <f>VLOOKUP(D2328,upahbahan,3,FALSE)</f>
        <v>160000</v>
      </c>
      <c r="H2328" s="539">
        <f t="shared" si="237"/>
        <v>1120</v>
      </c>
      <c r="J2328" s="536"/>
      <c r="K2328" s="824"/>
    </row>
    <row r="2329" spans="3:11" ht="25.8" customHeight="1">
      <c r="C2329" s="702" t="s">
        <v>1208</v>
      </c>
      <c r="D2329" s="208"/>
      <c r="E2329" s="208"/>
      <c r="F2329" s="811"/>
      <c r="G2329" s="522"/>
      <c r="H2329" s="539">
        <f>SUM(H2325:H2328)</f>
        <v>42885</v>
      </c>
      <c r="I2329" s="819"/>
      <c r="J2329" s="536"/>
      <c r="K2329" s="824"/>
    </row>
    <row r="2330" spans="3:11" ht="25.8" customHeight="1">
      <c r="C2330" s="213" t="s">
        <v>1209</v>
      </c>
      <c r="D2330" s="212" t="s">
        <v>1210</v>
      </c>
      <c r="E2330" s="534"/>
      <c r="F2330" s="831"/>
      <c r="G2330" s="534"/>
      <c r="H2330" s="534"/>
      <c r="J2330" s="536"/>
      <c r="K2330" s="824"/>
    </row>
    <row r="2331" spans="3:11" ht="25.8" customHeight="1">
      <c r="C2331" s="833" t="s">
        <v>1203</v>
      </c>
      <c r="D2331" s="820" t="s">
        <v>953</v>
      </c>
      <c r="E2331" s="807" t="s">
        <v>113</v>
      </c>
      <c r="F2331" s="829">
        <v>1.25</v>
      </c>
      <c r="G2331" s="539">
        <f>VLOOKUP(D2331,upahbahan,3,FALSE)</f>
        <v>0</v>
      </c>
      <c r="H2331" s="539">
        <f t="shared" ref="H2331" si="238">F2331*G2331</f>
        <v>0</v>
      </c>
      <c r="J2331" s="536"/>
      <c r="K2331" s="824"/>
    </row>
    <row r="2332" spans="3:11" ht="25.8" customHeight="1">
      <c r="C2332" s="702" t="s">
        <v>1214</v>
      </c>
      <c r="D2332" s="208"/>
      <c r="E2332" s="208"/>
      <c r="F2332" s="208"/>
      <c r="G2332" s="209"/>
      <c r="H2332" s="539">
        <f>SUM(H2331:H2331)</f>
        <v>0</v>
      </c>
      <c r="J2332" s="536"/>
      <c r="K2332" s="824"/>
    </row>
    <row r="2333" spans="3:11" ht="25.8" customHeight="1">
      <c r="C2333" s="213" t="s">
        <v>1215</v>
      </c>
      <c r="D2333" s="212" t="s">
        <v>1216</v>
      </c>
      <c r="E2333" s="534"/>
      <c r="F2333" s="534"/>
      <c r="G2333" s="534"/>
      <c r="H2333" s="534"/>
      <c r="J2333" s="536"/>
      <c r="K2333" s="824"/>
    </row>
    <row r="2334" spans="3:11" ht="25.8" customHeight="1">
      <c r="C2334" s="702" t="s">
        <v>1217</v>
      </c>
      <c r="D2334" s="208"/>
      <c r="E2334" s="208"/>
      <c r="F2334" s="208"/>
      <c r="G2334" s="209"/>
      <c r="H2334" s="821">
        <v>0</v>
      </c>
      <c r="J2334" s="536"/>
      <c r="K2334" s="824"/>
    </row>
    <row r="2335" spans="3:11" ht="25.8" customHeight="1">
      <c r="C2335" s="566" t="s">
        <v>1218</v>
      </c>
      <c r="D2335" s="552" t="s">
        <v>1219</v>
      </c>
      <c r="E2335" s="553"/>
      <c r="F2335" s="553"/>
      <c r="G2335" s="554"/>
      <c r="H2335" s="826">
        <f>H2334+H2332+H2329</f>
        <v>42885</v>
      </c>
      <c r="I2335" s="827"/>
      <c r="J2335" s="536"/>
      <c r="K2335" s="824"/>
    </row>
    <row r="2336" spans="3:11" ht="25.8" customHeight="1">
      <c r="C2336" s="566" t="s">
        <v>1220</v>
      </c>
      <c r="D2336" s="552" t="s">
        <v>1321</v>
      </c>
      <c r="E2336" s="553"/>
      <c r="F2336" s="554"/>
      <c r="G2336" s="555">
        <f>$M$9</f>
        <v>0.1</v>
      </c>
      <c r="H2336" s="539">
        <f>H2335*G2336</f>
        <v>4288.5</v>
      </c>
      <c r="I2336" s="827"/>
      <c r="J2336" s="536"/>
      <c r="K2336" s="824"/>
    </row>
    <row r="2337" spans="3:11" ht="25.8" customHeight="1">
      <c r="C2337" s="566" t="s">
        <v>1221</v>
      </c>
      <c r="D2337" s="552" t="s">
        <v>1222</v>
      </c>
      <c r="E2337" s="553"/>
      <c r="F2337" s="553"/>
      <c r="G2337" s="554"/>
      <c r="H2337" s="828">
        <f>SUM(H2335:H2336)</f>
        <v>47173.5</v>
      </c>
      <c r="I2337" s="827"/>
      <c r="J2337" s="536"/>
      <c r="K2337" s="824"/>
    </row>
    <row r="2338" spans="3:11" ht="25.8" customHeight="1">
      <c r="J2338" s="536"/>
      <c r="K2338" s="824"/>
    </row>
    <row r="2339" spans="3:11" ht="25.8" customHeight="1">
      <c r="C2339" s="517" t="s">
        <v>3397</v>
      </c>
      <c r="D2339" s="817" t="s">
        <v>1751</v>
      </c>
      <c r="E2339" s="803"/>
      <c r="F2339" s="803"/>
      <c r="G2339" s="803"/>
      <c r="H2339" s="803"/>
      <c r="I2339" s="533">
        <f>ROUNDDOWN(H2354,-2)</f>
        <v>47100</v>
      </c>
      <c r="J2339" s="536"/>
      <c r="K2339" s="824"/>
    </row>
    <row r="2340" spans="3:11" ht="25.8" customHeight="1">
      <c r="C2340" s="716" t="s">
        <v>1195</v>
      </c>
      <c r="D2340" s="716" t="s">
        <v>1196</v>
      </c>
      <c r="E2340" s="716" t="s">
        <v>1197</v>
      </c>
      <c r="F2340" s="716" t="s">
        <v>1198</v>
      </c>
      <c r="G2340" s="716" t="s">
        <v>1199</v>
      </c>
      <c r="H2340" s="716" t="s">
        <v>1200</v>
      </c>
      <c r="J2340" s="536"/>
      <c r="K2340" s="824"/>
    </row>
    <row r="2341" spans="3:11" ht="25.8" customHeight="1">
      <c r="C2341" s="213" t="s">
        <v>1201</v>
      </c>
      <c r="D2341" s="212" t="s">
        <v>1202</v>
      </c>
      <c r="E2341" s="534"/>
      <c r="F2341" s="534"/>
      <c r="G2341" s="534"/>
      <c r="H2341" s="534"/>
      <c r="J2341" s="536"/>
      <c r="K2341" s="824"/>
    </row>
    <row r="2342" spans="3:11" ht="25.8" customHeight="1">
      <c r="C2342" s="818">
        <v>1</v>
      </c>
      <c r="D2342" s="212" t="s">
        <v>5</v>
      </c>
      <c r="E2342" s="212" t="s">
        <v>6</v>
      </c>
      <c r="F2342" s="538">
        <v>0.11899999999999999</v>
      </c>
      <c r="G2342" s="539">
        <f>VLOOKUP(D2342,upahbahan,3,FALSE)</f>
        <v>100000</v>
      </c>
      <c r="H2342" s="539">
        <f t="shared" ref="H2342:H2345" si="239">F2342*G2342</f>
        <v>11900</v>
      </c>
      <c r="J2342" s="536"/>
      <c r="K2342" s="824"/>
    </row>
    <row r="2343" spans="3:11" ht="25.8" customHeight="1">
      <c r="C2343" s="818">
        <v>2</v>
      </c>
      <c r="D2343" s="212" t="str">
        <f>D2326</f>
        <v>Tukang listrik</v>
      </c>
      <c r="E2343" s="212" t="s">
        <v>6</v>
      </c>
      <c r="F2343" s="538">
        <v>0.19900000000000001</v>
      </c>
      <c r="G2343" s="539">
        <f>VLOOKUP(D2343,upahbahan,3,FALSE)</f>
        <v>135000</v>
      </c>
      <c r="H2343" s="539">
        <f t="shared" si="239"/>
        <v>26865</v>
      </c>
      <c r="J2343" s="536"/>
      <c r="K2343" s="824"/>
    </row>
    <row r="2344" spans="3:11" ht="25.8" customHeight="1">
      <c r="C2344" s="818">
        <v>3</v>
      </c>
      <c r="D2344" s="212" t="s">
        <v>18</v>
      </c>
      <c r="E2344" s="212" t="s">
        <v>6</v>
      </c>
      <c r="F2344" s="538">
        <v>0.02</v>
      </c>
      <c r="G2344" s="539">
        <f>VLOOKUP(D2344,upahbahan,3,FALSE)</f>
        <v>150000</v>
      </c>
      <c r="H2344" s="539">
        <f t="shared" si="239"/>
        <v>3000</v>
      </c>
      <c r="J2344" s="536"/>
      <c r="K2344" s="824"/>
    </row>
    <row r="2345" spans="3:11" ht="25.8" customHeight="1">
      <c r="C2345" s="818">
        <v>4</v>
      </c>
      <c r="D2345" s="212" t="s">
        <v>19</v>
      </c>
      <c r="E2345" s="212" t="s">
        <v>6</v>
      </c>
      <c r="F2345" s="538">
        <v>7.0000000000000001E-3</v>
      </c>
      <c r="G2345" s="539">
        <f>VLOOKUP(D2345,upahbahan,3,FALSE)</f>
        <v>160000</v>
      </c>
      <c r="H2345" s="539">
        <f t="shared" si="239"/>
        <v>1120</v>
      </c>
      <c r="J2345" s="536"/>
      <c r="K2345" s="824"/>
    </row>
    <row r="2346" spans="3:11" ht="25.8" customHeight="1">
      <c r="C2346" s="702" t="s">
        <v>1208</v>
      </c>
      <c r="D2346" s="208"/>
      <c r="E2346" s="208"/>
      <c r="F2346" s="811"/>
      <c r="G2346" s="522"/>
      <c r="H2346" s="539">
        <f>SUM(H2342:H2345)</f>
        <v>42885</v>
      </c>
      <c r="I2346" s="819"/>
      <c r="J2346" s="536"/>
      <c r="K2346" s="824"/>
    </row>
    <row r="2347" spans="3:11" ht="25.8" customHeight="1">
      <c r="C2347" s="213" t="s">
        <v>1209</v>
      </c>
      <c r="D2347" s="212" t="s">
        <v>1210</v>
      </c>
      <c r="E2347" s="534"/>
      <c r="F2347" s="831"/>
      <c r="G2347" s="534"/>
      <c r="H2347" s="534"/>
      <c r="J2347" s="536"/>
      <c r="K2347" s="824"/>
    </row>
    <row r="2348" spans="3:11" ht="25.8" customHeight="1">
      <c r="C2348" s="833" t="s">
        <v>1203</v>
      </c>
      <c r="D2348" s="820" t="s">
        <v>952</v>
      </c>
      <c r="E2348" s="807" t="s">
        <v>113</v>
      </c>
      <c r="F2348" s="829">
        <v>1.25</v>
      </c>
      <c r="G2348" s="539">
        <f>VLOOKUP(D2348,upahbahan,3,FALSE)</f>
        <v>0</v>
      </c>
      <c r="H2348" s="539">
        <f t="shared" ref="H2348" si="240">F2348*G2348</f>
        <v>0</v>
      </c>
      <c r="J2348" s="536"/>
      <c r="K2348" s="824"/>
    </row>
    <row r="2349" spans="3:11" ht="25.8" customHeight="1">
      <c r="C2349" s="702" t="s">
        <v>1214</v>
      </c>
      <c r="D2349" s="208"/>
      <c r="E2349" s="208"/>
      <c r="F2349" s="208"/>
      <c r="G2349" s="209"/>
      <c r="H2349" s="539">
        <f>SUM(H2348:H2348)</f>
        <v>0</v>
      </c>
      <c r="J2349" s="536"/>
      <c r="K2349" s="824"/>
    </row>
    <row r="2350" spans="3:11" ht="25.8" customHeight="1">
      <c r="C2350" s="213" t="s">
        <v>1215</v>
      </c>
      <c r="D2350" s="212" t="s">
        <v>1216</v>
      </c>
      <c r="E2350" s="534"/>
      <c r="F2350" s="534"/>
      <c r="G2350" s="534"/>
      <c r="H2350" s="534"/>
      <c r="J2350" s="536"/>
      <c r="K2350" s="824"/>
    </row>
    <row r="2351" spans="3:11" ht="25.8" customHeight="1">
      <c r="C2351" s="702" t="s">
        <v>1217</v>
      </c>
      <c r="D2351" s="208"/>
      <c r="E2351" s="208"/>
      <c r="F2351" s="208"/>
      <c r="G2351" s="209"/>
      <c r="H2351" s="821">
        <v>0</v>
      </c>
      <c r="J2351" s="536"/>
      <c r="K2351" s="824"/>
    </row>
    <row r="2352" spans="3:11" ht="25.8" customHeight="1">
      <c r="C2352" s="566" t="s">
        <v>1218</v>
      </c>
      <c r="D2352" s="552" t="s">
        <v>1219</v>
      </c>
      <c r="E2352" s="553"/>
      <c r="F2352" s="553"/>
      <c r="G2352" s="554"/>
      <c r="H2352" s="826">
        <f>H2351+H2349+H2346</f>
        <v>42885</v>
      </c>
      <c r="I2352" s="827"/>
      <c r="J2352" s="536"/>
      <c r="K2352" s="824"/>
    </row>
    <row r="2353" spans="3:11" ht="25.8" customHeight="1">
      <c r="C2353" s="566" t="s">
        <v>1220</v>
      </c>
      <c r="D2353" s="552" t="s">
        <v>1321</v>
      </c>
      <c r="E2353" s="553"/>
      <c r="F2353" s="554"/>
      <c r="G2353" s="555">
        <f>$M$9</f>
        <v>0.1</v>
      </c>
      <c r="H2353" s="539">
        <f>H2352*G2353</f>
        <v>4288.5</v>
      </c>
      <c r="I2353" s="827"/>
      <c r="J2353" s="536"/>
      <c r="K2353" s="824"/>
    </row>
    <row r="2354" spans="3:11" ht="25.8" customHeight="1">
      <c r="C2354" s="566" t="s">
        <v>1221</v>
      </c>
      <c r="D2354" s="552" t="s">
        <v>1222</v>
      </c>
      <c r="E2354" s="553"/>
      <c r="F2354" s="553"/>
      <c r="G2354" s="554"/>
      <c r="H2354" s="828">
        <f>SUM(H2352:H2353)</f>
        <v>47173.5</v>
      </c>
      <c r="I2354" s="827"/>
      <c r="J2354" s="536"/>
      <c r="K2354" s="824"/>
    </row>
    <row r="2355" spans="3:11" ht="25.8" customHeight="1">
      <c r="C2355" s="572"/>
      <c r="D2355" s="575"/>
      <c r="E2355" s="575"/>
      <c r="F2355" s="575"/>
      <c r="G2355" s="575"/>
      <c r="H2355" s="830"/>
      <c r="J2355" s="536"/>
      <c r="K2355" s="824"/>
    </row>
    <row r="2356" spans="3:11" ht="25.8" customHeight="1">
      <c r="C2356" s="517" t="s">
        <v>3398</v>
      </c>
      <c r="D2356" s="817" t="s">
        <v>1752</v>
      </c>
      <c r="E2356" s="803"/>
      <c r="F2356" s="803"/>
      <c r="G2356" s="803"/>
      <c r="H2356" s="803"/>
      <c r="I2356" s="533">
        <f>ROUNDDOWN(H2371,-2)</f>
        <v>47100</v>
      </c>
      <c r="J2356" s="536"/>
      <c r="K2356" s="824"/>
    </row>
    <row r="2357" spans="3:11" ht="25.8" customHeight="1">
      <c r="C2357" s="716" t="s">
        <v>1195</v>
      </c>
      <c r="D2357" s="716" t="s">
        <v>1196</v>
      </c>
      <c r="E2357" s="716" t="s">
        <v>1197</v>
      </c>
      <c r="F2357" s="716" t="s">
        <v>1198</v>
      </c>
      <c r="G2357" s="716" t="s">
        <v>1199</v>
      </c>
      <c r="H2357" s="716" t="s">
        <v>1200</v>
      </c>
      <c r="J2357" s="536"/>
      <c r="K2357" s="824"/>
    </row>
    <row r="2358" spans="3:11" ht="25.8" customHeight="1">
      <c r="C2358" s="213" t="s">
        <v>1201</v>
      </c>
      <c r="D2358" s="212" t="s">
        <v>1202</v>
      </c>
      <c r="E2358" s="534"/>
      <c r="F2358" s="534"/>
      <c r="G2358" s="534"/>
      <c r="H2358" s="534"/>
      <c r="J2358" s="536"/>
      <c r="K2358" s="824"/>
    </row>
    <row r="2359" spans="3:11" ht="25.8" customHeight="1">
      <c r="C2359" s="818">
        <v>1</v>
      </c>
      <c r="D2359" s="212" t="s">
        <v>5</v>
      </c>
      <c r="E2359" s="212" t="s">
        <v>6</v>
      </c>
      <c r="F2359" s="538">
        <v>0.11899999999999999</v>
      </c>
      <c r="G2359" s="539">
        <f>VLOOKUP(D2359,upahbahan,3,FALSE)</f>
        <v>100000</v>
      </c>
      <c r="H2359" s="539">
        <f t="shared" ref="H2359:H2362" si="241">F2359*G2359</f>
        <v>11900</v>
      </c>
      <c r="J2359" s="536"/>
      <c r="K2359" s="824"/>
    </row>
    <row r="2360" spans="3:11" ht="25.8" customHeight="1">
      <c r="C2360" s="818">
        <v>2</v>
      </c>
      <c r="D2360" s="212" t="str">
        <f>D2343</f>
        <v>Tukang listrik</v>
      </c>
      <c r="E2360" s="212" t="s">
        <v>6</v>
      </c>
      <c r="F2360" s="538">
        <v>0.19900000000000001</v>
      </c>
      <c r="G2360" s="539">
        <f>VLOOKUP(D2360,upahbahan,3,FALSE)</f>
        <v>135000</v>
      </c>
      <c r="H2360" s="539">
        <f t="shared" si="241"/>
        <v>26865</v>
      </c>
      <c r="J2360" s="536"/>
      <c r="K2360" s="824"/>
    </row>
    <row r="2361" spans="3:11" ht="25.8" customHeight="1">
      <c r="C2361" s="818">
        <v>3</v>
      </c>
      <c r="D2361" s="212" t="s">
        <v>18</v>
      </c>
      <c r="E2361" s="212" t="s">
        <v>6</v>
      </c>
      <c r="F2361" s="538">
        <v>0.02</v>
      </c>
      <c r="G2361" s="539">
        <f>VLOOKUP(D2361,upahbahan,3,FALSE)</f>
        <v>150000</v>
      </c>
      <c r="H2361" s="539">
        <f t="shared" si="241"/>
        <v>3000</v>
      </c>
      <c r="J2361" s="536"/>
      <c r="K2361" s="824"/>
    </row>
    <row r="2362" spans="3:11" ht="25.8" customHeight="1">
      <c r="C2362" s="818">
        <v>4</v>
      </c>
      <c r="D2362" s="212" t="s">
        <v>19</v>
      </c>
      <c r="E2362" s="212" t="s">
        <v>6</v>
      </c>
      <c r="F2362" s="538">
        <v>7.0000000000000001E-3</v>
      </c>
      <c r="G2362" s="539">
        <f>VLOOKUP(D2362,upahbahan,3,FALSE)</f>
        <v>160000</v>
      </c>
      <c r="H2362" s="539">
        <f t="shared" si="241"/>
        <v>1120</v>
      </c>
      <c r="J2362" s="536"/>
      <c r="K2362" s="824"/>
    </row>
    <row r="2363" spans="3:11" ht="25.8" customHeight="1">
      <c r="C2363" s="702" t="s">
        <v>1208</v>
      </c>
      <c r="D2363" s="208"/>
      <c r="E2363" s="208"/>
      <c r="F2363" s="811"/>
      <c r="G2363" s="522"/>
      <c r="H2363" s="539">
        <f>SUM(H2359:H2362)</f>
        <v>42885</v>
      </c>
      <c r="I2363" s="819"/>
      <c r="J2363" s="536"/>
      <c r="K2363" s="824"/>
    </row>
    <row r="2364" spans="3:11" ht="25.8" customHeight="1">
      <c r="C2364" s="213" t="s">
        <v>1209</v>
      </c>
      <c r="D2364" s="212" t="s">
        <v>1210</v>
      </c>
      <c r="E2364" s="534"/>
      <c r="F2364" s="831"/>
      <c r="G2364" s="534"/>
      <c r="H2364" s="534"/>
      <c r="J2364" s="536"/>
      <c r="K2364" s="824"/>
    </row>
    <row r="2365" spans="3:11" ht="25.8" customHeight="1">
      <c r="C2365" s="833" t="s">
        <v>1203</v>
      </c>
      <c r="D2365" s="820" t="s">
        <v>951</v>
      </c>
      <c r="E2365" s="807" t="s">
        <v>113</v>
      </c>
      <c r="F2365" s="829">
        <v>1.25</v>
      </c>
      <c r="G2365" s="539">
        <f>VLOOKUP(D2365,upahbahan,3,FALSE)</f>
        <v>0</v>
      </c>
      <c r="H2365" s="539">
        <f t="shared" ref="H2365" si="242">F2365*G2365</f>
        <v>0</v>
      </c>
      <c r="J2365" s="536"/>
      <c r="K2365" s="824"/>
    </row>
    <row r="2366" spans="3:11" ht="25.8" customHeight="1">
      <c r="C2366" s="702" t="s">
        <v>1214</v>
      </c>
      <c r="D2366" s="208"/>
      <c r="E2366" s="208"/>
      <c r="F2366" s="208"/>
      <c r="G2366" s="209"/>
      <c r="H2366" s="539">
        <f>SUM(H2365:H2365)</f>
        <v>0</v>
      </c>
      <c r="J2366" s="536"/>
      <c r="K2366" s="824"/>
    </row>
    <row r="2367" spans="3:11" ht="25.8" customHeight="1">
      <c r="C2367" s="213" t="s">
        <v>1215</v>
      </c>
      <c r="D2367" s="212" t="s">
        <v>1216</v>
      </c>
      <c r="E2367" s="534"/>
      <c r="F2367" s="534"/>
      <c r="G2367" s="534"/>
      <c r="H2367" s="534"/>
      <c r="J2367" s="536"/>
      <c r="K2367" s="824"/>
    </row>
    <row r="2368" spans="3:11" ht="25.8" customHeight="1">
      <c r="C2368" s="702" t="s">
        <v>1217</v>
      </c>
      <c r="D2368" s="208"/>
      <c r="E2368" s="208"/>
      <c r="F2368" s="208"/>
      <c r="G2368" s="209"/>
      <c r="H2368" s="821">
        <v>0</v>
      </c>
      <c r="J2368" s="536"/>
      <c r="K2368" s="824"/>
    </row>
    <row r="2369" spans="3:11" ht="25.8" customHeight="1">
      <c r="C2369" s="566" t="s">
        <v>1218</v>
      </c>
      <c r="D2369" s="552" t="s">
        <v>1219</v>
      </c>
      <c r="E2369" s="553"/>
      <c r="F2369" s="553"/>
      <c r="G2369" s="554"/>
      <c r="H2369" s="826">
        <f>H2368+H2366+H2363</f>
        <v>42885</v>
      </c>
      <c r="I2369" s="827"/>
      <c r="J2369" s="536"/>
      <c r="K2369" s="824"/>
    </row>
    <row r="2370" spans="3:11" ht="25.8" customHeight="1">
      <c r="C2370" s="566" t="s">
        <v>1220</v>
      </c>
      <c r="D2370" s="552" t="s">
        <v>1321</v>
      </c>
      <c r="E2370" s="553"/>
      <c r="F2370" s="554"/>
      <c r="G2370" s="555">
        <f>$M$9</f>
        <v>0.1</v>
      </c>
      <c r="H2370" s="539">
        <f>H2369*G2370</f>
        <v>4288.5</v>
      </c>
      <c r="I2370" s="827"/>
      <c r="J2370" s="536"/>
      <c r="K2370" s="824"/>
    </row>
    <row r="2371" spans="3:11" ht="25.8" customHeight="1">
      <c r="C2371" s="566" t="s">
        <v>1221</v>
      </c>
      <c r="D2371" s="552" t="s">
        <v>1222</v>
      </c>
      <c r="E2371" s="553"/>
      <c r="F2371" s="553"/>
      <c r="G2371" s="554"/>
      <c r="H2371" s="828">
        <f>SUM(H2369:H2370)</f>
        <v>47173.5</v>
      </c>
      <c r="I2371" s="827"/>
      <c r="J2371" s="536"/>
      <c r="K2371" s="824"/>
    </row>
    <row r="2372" spans="3:11" ht="25.8" customHeight="1">
      <c r="C2372" s="572"/>
      <c r="D2372" s="575"/>
      <c r="E2372" s="575"/>
      <c r="F2372" s="575"/>
      <c r="G2372" s="575"/>
      <c r="H2372" s="830"/>
      <c r="J2372" s="536"/>
      <c r="K2372" s="824"/>
    </row>
    <row r="2373" spans="3:11" ht="25.8" customHeight="1">
      <c r="C2373" s="517" t="s">
        <v>3399</v>
      </c>
      <c r="D2373" s="817" t="s">
        <v>1753</v>
      </c>
      <c r="E2373" s="803"/>
      <c r="F2373" s="803"/>
      <c r="G2373" s="803"/>
      <c r="H2373" s="803"/>
      <c r="I2373" s="533">
        <f>ROUNDDOWN(H2388,-2)</f>
        <v>47100</v>
      </c>
      <c r="J2373" s="536"/>
      <c r="K2373" s="824"/>
    </row>
    <row r="2374" spans="3:11" ht="25.8" customHeight="1">
      <c r="C2374" s="716" t="s">
        <v>1195</v>
      </c>
      <c r="D2374" s="716" t="s">
        <v>1196</v>
      </c>
      <c r="E2374" s="716" t="s">
        <v>1197</v>
      </c>
      <c r="F2374" s="716" t="s">
        <v>1198</v>
      </c>
      <c r="G2374" s="716" t="s">
        <v>1199</v>
      </c>
      <c r="H2374" s="716" t="s">
        <v>1200</v>
      </c>
      <c r="J2374" s="536"/>
      <c r="K2374" s="824"/>
    </row>
    <row r="2375" spans="3:11" ht="25.8" customHeight="1">
      <c r="C2375" s="213" t="s">
        <v>1201</v>
      </c>
      <c r="D2375" s="212" t="s">
        <v>1202</v>
      </c>
      <c r="E2375" s="534"/>
      <c r="F2375" s="534"/>
      <c r="G2375" s="534"/>
      <c r="H2375" s="534"/>
      <c r="J2375" s="536"/>
      <c r="K2375" s="824"/>
    </row>
    <row r="2376" spans="3:11" ht="25.8" customHeight="1">
      <c r="C2376" s="818">
        <v>1</v>
      </c>
      <c r="D2376" s="212" t="s">
        <v>5</v>
      </c>
      <c r="E2376" s="212" t="s">
        <v>6</v>
      </c>
      <c r="F2376" s="538">
        <v>0.11899999999999999</v>
      </c>
      <c r="G2376" s="539">
        <f>VLOOKUP(D2376,upahbahan,3,FALSE)</f>
        <v>100000</v>
      </c>
      <c r="H2376" s="539">
        <f t="shared" ref="H2376:H2379" si="243">F2376*G2376</f>
        <v>11900</v>
      </c>
      <c r="J2376" s="536"/>
      <c r="K2376" s="824"/>
    </row>
    <row r="2377" spans="3:11" ht="25.8" customHeight="1">
      <c r="C2377" s="818">
        <v>2</v>
      </c>
      <c r="D2377" s="212" t="str">
        <f>D2326</f>
        <v>Tukang listrik</v>
      </c>
      <c r="E2377" s="212" t="s">
        <v>6</v>
      </c>
      <c r="F2377" s="538">
        <v>0.19900000000000001</v>
      </c>
      <c r="G2377" s="539">
        <f>VLOOKUP(D2377,upahbahan,3,FALSE)</f>
        <v>135000</v>
      </c>
      <c r="H2377" s="539">
        <f t="shared" si="243"/>
        <v>26865</v>
      </c>
      <c r="J2377" s="536"/>
      <c r="K2377" s="824"/>
    </row>
    <row r="2378" spans="3:11" ht="25.8" customHeight="1">
      <c r="C2378" s="818">
        <v>3</v>
      </c>
      <c r="D2378" s="212" t="s">
        <v>18</v>
      </c>
      <c r="E2378" s="212" t="s">
        <v>6</v>
      </c>
      <c r="F2378" s="538">
        <v>0.02</v>
      </c>
      <c r="G2378" s="539">
        <f>VLOOKUP(D2378,upahbahan,3,FALSE)</f>
        <v>150000</v>
      </c>
      <c r="H2378" s="539">
        <f t="shared" si="243"/>
        <v>3000</v>
      </c>
      <c r="J2378" s="536"/>
      <c r="K2378" s="824"/>
    </row>
    <row r="2379" spans="3:11" ht="25.8" customHeight="1">
      <c r="C2379" s="818">
        <v>4</v>
      </c>
      <c r="D2379" s="212" t="s">
        <v>19</v>
      </c>
      <c r="E2379" s="212" t="s">
        <v>6</v>
      </c>
      <c r="F2379" s="538">
        <v>7.0000000000000001E-3</v>
      </c>
      <c r="G2379" s="539">
        <f>VLOOKUP(D2379,upahbahan,3,FALSE)</f>
        <v>160000</v>
      </c>
      <c r="H2379" s="539">
        <f t="shared" si="243"/>
        <v>1120</v>
      </c>
      <c r="J2379" s="536"/>
      <c r="K2379" s="824"/>
    </row>
    <row r="2380" spans="3:11" ht="25.8" customHeight="1">
      <c r="C2380" s="702" t="s">
        <v>1208</v>
      </c>
      <c r="D2380" s="208"/>
      <c r="E2380" s="208"/>
      <c r="F2380" s="811"/>
      <c r="G2380" s="522"/>
      <c r="H2380" s="539">
        <f>SUM(H2376:H2379)</f>
        <v>42885</v>
      </c>
      <c r="I2380" s="819"/>
      <c r="J2380" s="536"/>
      <c r="K2380" s="824"/>
    </row>
    <row r="2381" spans="3:11" ht="25.8" customHeight="1">
      <c r="C2381" s="213" t="s">
        <v>1209</v>
      </c>
      <c r="D2381" s="212" t="s">
        <v>1210</v>
      </c>
      <c r="E2381" s="534"/>
      <c r="F2381" s="831"/>
      <c r="G2381" s="534"/>
      <c r="H2381" s="534"/>
      <c r="J2381" s="536"/>
      <c r="K2381" s="824"/>
    </row>
    <row r="2382" spans="3:11" ht="25.8" customHeight="1">
      <c r="C2382" s="833" t="s">
        <v>1203</v>
      </c>
      <c r="D2382" s="820" t="s">
        <v>955</v>
      </c>
      <c r="E2382" s="807" t="s">
        <v>113</v>
      </c>
      <c r="F2382" s="832">
        <v>1.2</v>
      </c>
      <c r="G2382" s="539">
        <f>VLOOKUP(D2382,upahbahan,3,FALSE)</f>
        <v>0</v>
      </c>
      <c r="H2382" s="539">
        <f t="shared" ref="H2382" si="244">F2382*G2382</f>
        <v>0</v>
      </c>
      <c r="J2382" s="536"/>
      <c r="K2382" s="824"/>
    </row>
    <row r="2383" spans="3:11" ht="25.8" customHeight="1">
      <c r="C2383" s="702" t="s">
        <v>1214</v>
      </c>
      <c r="D2383" s="208"/>
      <c r="E2383" s="208"/>
      <c r="F2383" s="208"/>
      <c r="G2383" s="209"/>
      <c r="H2383" s="539">
        <f>SUM(H2382:H2382)</f>
        <v>0</v>
      </c>
      <c r="J2383" s="536"/>
      <c r="K2383" s="824"/>
    </row>
    <row r="2384" spans="3:11" ht="25.8" customHeight="1">
      <c r="C2384" s="213" t="s">
        <v>1215</v>
      </c>
      <c r="D2384" s="212" t="s">
        <v>1216</v>
      </c>
      <c r="E2384" s="534"/>
      <c r="F2384" s="534"/>
      <c r="G2384" s="534"/>
      <c r="H2384" s="534"/>
      <c r="J2384" s="536"/>
      <c r="K2384" s="824"/>
    </row>
    <row r="2385" spans="3:11" ht="25.8" customHeight="1">
      <c r="C2385" s="702" t="s">
        <v>1217</v>
      </c>
      <c r="D2385" s="208"/>
      <c r="E2385" s="208"/>
      <c r="F2385" s="208"/>
      <c r="G2385" s="209"/>
      <c r="H2385" s="821">
        <v>0</v>
      </c>
      <c r="J2385" s="536"/>
      <c r="K2385" s="824"/>
    </row>
    <row r="2386" spans="3:11" ht="25.8" customHeight="1">
      <c r="C2386" s="566" t="s">
        <v>1218</v>
      </c>
      <c r="D2386" s="552" t="s">
        <v>1219</v>
      </c>
      <c r="E2386" s="553"/>
      <c r="F2386" s="553"/>
      <c r="G2386" s="554"/>
      <c r="H2386" s="826">
        <f>H2385+H2383+H2380</f>
        <v>42885</v>
      </c>
      <c r="I2386" s="827"/>
      <c r="J2386" s="536"/>
      <c r="K2386" s="824"/>
    </row>
    <row r="2387" spans="3:11" ht="25.8" customHeight="1">
      <c r="C2387" s="566" t="s">
        <v>1220</v>
      </c>
      <c r="D2387" s="552" t="s">
        <v>1321</v>
      </c>
      <c r="E2387" s="553"/>
      <c r="F2387" s="554"/>
      <c r="G2387" s="555">
        <f>$M$9</f>
        <v>0.1</v>
      </c>
      <c r="H2387" s="539">
        <f>H2386*G2387</f>
        <v>4288.5</v>
      </c>
      <c r="I2387" s="827"/>
      <c r="J2387" s="536"/>
      <c r="K2387" s="824"/>
    </row>
    <row r="2388" spans="3:11" ht="25.8" customHeight="1">
      <c r="C2388" s="566" t="s">
        <v>1221</v>
      </c>
      <c r="D2388" s="552" t="s">
        <v>1222</v>
      </c>
      <c r="E2388" s="553"/>
      <c r="F2388" s="553"/>
      <c r="G2388" s="554"/>
      <c r="H2388" s="828">
        <f>SUM(H2386:H2387)</f>
        <v>47173.5</v>
      </c>
      <c r="I2388" s="827"/>
      <c r="J2388" s="536"/>
      <c r="K2388" s="824"/>
    </row>
    <row r="2389" spans="3:11" ht="25.8" customHeight="1">
      <c r="J2389" s="536"/>
      <c r="K2389" s="824"/>
    </row>
    <row r="2390" spans="3:11" ht="25.8" customHeight="1">
      <c r="C2390" s="517" t="s">
        <v>3400</v>
      </c>
      <c r="D2390" s="817" t="s">
        <v>1754</v>
      </c>
      <c r="E2390" s="803"/>
      <c r="F2390" s="803"/>
      <c r="G2390" s="803"/>
      <c r="H2390" s="803"/>
      <c r="I2390" s="533">
        <f>ROUNDDOWN(H2405,-2)</f>
        <v>47100</v>
      </c>
      <c r="J2390" s="536"/>
      <c r="K2390" s="824"/>
    </row>
    <row r="2391" spans="3:11" ht="25.8" customHeight="1">
      <c r="C2391" s="716" t="s">
        <v>1195</v>
      </c>
      <c r="D2391" s="716" t="s">
        <v>1196</v>
      </c>
      <c r="E2391" s="716" t="s">
        <v>1197</v>
      </c>
      <c r="F2391" s="716" t="s">
        <v>1198</v>
      </c>
      <c r="G2391" s="716" t="s">
        <v>1199</v>
      </c>
      <c r="H2391" s="716" t="s">
        <v>1200</v>
      </c>
      <c r="J2391" s="536"/>
      <c r="K2391" s="824"/>
    </row>
    <row r="2392" spans="3:11" ht="25.8" customHeight="1">
      <c r="C2392" s="213" t="s">
        <v>1201</v>
      </c>
      <c r="D2392" s="212" t="s">
        <v>1202</v>
      </c>
      <c r="E2392" s="534"/>
      <c r="F2392" s="534"/>
      <c r="G2392" s="534"/>
      <c r="H2392" s="534"/>
      <c r="J2392" s="536"/>
      <c r="K2392" s="824"/>
    </row>
    <row r="2393" spans="3:11" ht="25.8" customHeight="1">
      <c r="C2393" s="818">
        <v>1</v>
      </c>
      <c r="D2393" s="212" t="s">
        <v>5</v>
      </c>
      <c r="E2393" s="212" t="s">
        <v>6</v>
      </c>
      <c r="F2393" s="538">
        <v>0.11899999999999999</v>
      </c>
      <c r="G2393" s="539">
        <f>VLOOKUP(D2393,upahbahan,3,FALSE)</f>
        <v>100000</v>
      </c>
      <c r="H2393" s="539">
        <f t="shared" ref="H2393:H2396" si="245">F2393*G2393</f>
        <v>11900</v>
      </c>
      <c r="J2393" s="536"/>
      <c r="K2393" s="824"/>
    </row>
    <row r="2394" spans="3:11" ht="25.8" customHeight="1">
      <c r="C2394" s="818">
        <v>2</v>
      </c>
      <c r="D2394" s="212" t="str">
        <f>D2343</f>
        <v>Tukang listrik</v>
      </c>
      <c r="E2394" s="212" t="s">
        <v>6</v>
      </c>
      <c r="F2394" s="538">
        <v>0.19900000000000001</v>
      </c>
      <c r="G2394" s="539">
        <f>VLOOKUP(D2394,upahbahan,3,FALSE)</f>
        <v>135000</v>
      </c>
      <c r="H2394" s="539">
        <f t="shared" si="245"/>
        <v>26865</v>
      </c>
      <c r="J2394" s="536"/>
      <c r="K2394" s="824"/>
    </row>
    <row r="2395" spans="3:11" ht="25.8" customHeight="1">
      <c r="C2395" s="818">
        <v>3</v>
      </c>
      <c r="D2395" s="212" t="s">
        <v>18</v>
      </c>
      <c r="E2395" s="212" t="s">
        <v>6</v>
      </c>
      <c r="F2395" s="538">
        <v>0.02</v>
      </c>
      <c r="G2395" s="539">
        <f>VLOOKUP(D2395,upahbahan,3,FALSE)</f>
        <v>150000</v>
      </c>
      <c r="H2395" s="539">
        <f t="shared" si="245"/>
        <v>3000</v>
      </c>
      <c r="J2395" s="536"/>
      <c r="K2395" s="824"/>
    </row>
    <row r="2396" spans="3:11" ht="25.8" customHeight="1">
      <c r="C2396" s="818">
        <v>4</v>
      </c>
      <c r="D2396" s="212" t="s">
        <v>19</v>
      </c>
      <c r="E2396" s="212" t="s">
        <v>6</v>
      </c>
      <c r="F2396" s="538">
        <v>7.0000000000000001E-3</v>
      </c>
      <c r="G2396" s="539">
        <f>VLOOKUP(D2396,upahbahan,3,FALSE)</f>
        <v>160000</v>
      </c>
      <c r="H2396" s="539">
        <f t="shared" si="245"/>
        <v>1120</v>
      </c>
      <c r="J2396" s="536"/>
      <c r="K2396" s="824"/>
    </row>
    <row r="2397" spans="3:11" ht="25.8" customHeight="1">
      <c r="C2397" s="702" t="s">
        <v>1208</v>
      </c>
      <c r="D2397" s="208"/>
      <c r="E2397" s="208"/>
      <c r="F2397" s="811"/>
      <c r="G2397" s="522"/>
      <c r="H2397" s="539">
        <f>SUM(H2393:H2396)</f>
        <v>42885</v>
      </c>
      <c r="I2397" s="819"/>
      <c r="J2397" s="536"/>
      <c r="K2397" s="824"/>
    </row>
    <row r="2398" spans="3:11" ht="25.8" customHeight="1">
      <c r="C2398" s="213" t="s">
        <v>1209</v>
      </c>
      <c r="D2398" s="212" t="s">
        <v>1210</v>
      </c>
      <c r="E2398" s="534"/>
      <c r="F2398" s="831"/>
      <c r="G2398" s="534"/>
      <c r="H2398" s="534"/>
      <c r="J2398" s="536"/>
      <c r="K2398" s="824"/>
    </row>
    <row r="2399" spans="3:11" ht="25.8" customHeight="1">
      <c r="C2399" s="833" t="s">
        <v>1203</v>
      </c>
      <c r="D2399" s="820" t="s">
        <v>954</v>
      </c>
      <c r="E2399" s="807" t="s">
        <v>113</v>
      </c>
      <c r="F2399" s="832">
        <v>1.2</v>
      </c>
      <c r="G2399" s="539">
        <f>VLOOKUP(D2399,upahbahan,3,FALSE)</f>
        <v>0</v>
      </c>
      <c r="H2399" s="539">
        <f>F2399*G2399</f>
        <v>0</v>
      </c>
      <c r="J2399" s="536"/>
      <c r="K2399" s="824"/>
    </row>
    <row r="2400" spans="3:11" ht="25.8" customHeight="1">
      <c r="C2400" s="702" t="s">
        <v>1214</v>
      </c>
      <c r="D2400" s="208"/>
      <c r="E2400" s="208"/>
      <c r="F2400" s="208"/>
      <c r="G2400" s="209"/>
      <c r="H2400" s="539">
        <f>SUM(H2399:H2399)</f>
        <v>0</v>
      </c>
      <c r="J2400" s="536"/>
      <c r="K2400" s="824"/>
    </row>
    <row r="2401" spans="3:11" ht="25.8" customHeight="1">
      <c r="C2401" s="213" t="s">
        <v>1215</v>
      </c>
      <c r="D2401" s="212" t="s">
        <v>1216</v>
      </c>
      <c r="E2401" s="534"/>
      <c r="F2401" s="534"/>
      <c r="G2401" s="534"/>
      <c r="H2401" s="534"/>
      <c r="J2401" s="536"/>
      <c r="K2401" s="824"/>
    </row>
    <row r="2402" spans="3:11" ht="25.8" customHeight="1">
      <c r="C2402" s="702" t="s">
        <v>1217</v>
      </c>
      <c r="D2402" s="208"/>
      <c r="E2402" s="208"/>
      <c r="F2402" s="208"/>
      <c r="G2402" s="209"/>
      <c r="H2402" s="821">
        <v>0</v>
      </c>
      <c r="J2402" s="536"/>
      <c r="K2402" s="824"/>
    </row>
    <row r="2403" spans="3:11" ht="25.8" customHeight="1">
      <c r="C2403" s="566" t="s">
        <v>1218</v>
      </c>
      <c r="D2403" s="552" t="s">
        <v>1219</v>
      </c>
      <c r="E2403" s="553"/>
      <c r="F2403" s="553"/>
      <c r="G2403" s="554"/>
      <c r="H2403" s="826">
        <f>H2402+H2400+H2397</f>
        <v>42885</v>
      </c>
      <c r="I2403" s="827"/>
      <c r="J2403" s="536"/>
      <c r="K2403" s="824"/>
    </row>
    <row r="2404" spans="3:11" ht="25.8" customHeight="1">
      <c r="C2404" s="566" t="s">
        <v>1220</v>
      </c>
      <c r="D2404" s="552" t="s">
        <v>1321</v>
      </c>
      <c r="E2404" s="553"/>
      <c r="F2404" s="554"/>
      <c r="G2404" s="555">
        <f>$M$9</f>
        <v>0.1</v>
      </c>
      <c r="H2404" s="539">
        <f>H2403*G2404</f>
        <v>4288.5</v>
      </c>
      <c r="I2404" s="827"/>
      <c r="J2404" s="536"/>
      <c r="K2404" s="824"/>
    </row>
    <row r="2405" spans="3:11" ht="25.8" customHeight="1">
      <c r="C2405" s="566" t="s">
        <v>1221</v>
      </c>
      <c r="D2405" s="552" t="s">
        <v>1222</v>
      </c>
      <c r="E2405" s="553"/>
      <c r="F2405" s="553"/>
      <c r="G2405" s="554"/>
      <c r="H2405" s="828">
        <f>SUM(H2403:H2404)</f>
        <v>47173.5</v>
      </c>
      <c r="I2405" s="827"/>
      <c r="J2405" s="536"/>
      <c r="K2405" s="824"/>
    </row>
    <row r="2406" spans="3:11" ht="25.8" customHeight="1">
      <c r="J2406" s="536"/>
      <c r="K2406" s="824"/>
    </row>
    <row r="2407" spans="3:11" ht="25.8" customHeight="1">
      <c r="C2407" s="517" t="s">
        <v>3401</v>
      </c>
      <c r="D2407" s="817" t="s">
        <v>1755</v>
      </c>
      <c r="E2407" s="803"/>
      <c r="F2407" s="803"/>
      <c r="G2407" s="803"/>
      <c r="H2407" s="803"/>
      <c r="I2407" s="533">
        <f>ROUNDDOWN(H2422,-2)</f>
        <v>47100</v>
      </c>
      <c r="J2407" s="536"/>
      <c r="K2407" s="824"/>
    </row>
    <row r="2408" spans="3:11" ht="25.8" customHeight="1">
      <c r="C2408" s="716" t="s">
        <v>1195</v>
      </c>
      <c r="D2408" s="716" t="s">
        <v>1196</v>
      </c>
      <c r="E2408" s="716" t="s">
        <v>1197</v>
      </c>
      <c r="F2408" s="716" t="s">
        <v>1198</v>
      </c>
      <c r="G2408" s="716" t="s">
        <v>1199</v>
      </c>
      <c r="H2408" s="716" t="s">
        <v>1200</v>
      </c>
      <c r="J2408" s="536"/>
      <c r="K2408" s="824"/>
    </row>
    <row r="2409" spans="3:11" ht="25.8" customHeight="1">
      <c r="C2409" s="213" t="s">
        <v>1201</v>
      </c>
      <c r="D2409" s="212" t="s">
        <v>1202</v>
      </c>
      <c r="E2409" s="534"/>
      <c r="F2409" s="534"/>
      <c r="G2409" s="534"/>
      <c r="H2409" s="534"/>
      <c r="J2409" s="536"/>
      <c r="K2409" s="824"/>
    </row>
    <row r="2410" spans="3:11" ht="25.8" customHeight="1">
      <c r="C2410" s="818">
        <v>1</v>
      </c>
      <c r="D2410" s="212" t="s">
        <v>5</v>
      </c>
      <c r="E2410" s="212" t="s">
        <v>6</v>
      </c>
      <c r="F2410" s="538">
        <v>0.11899999999999999</v>
      </c>
      <c r="G2410" s="539">
        <f>VLOOKUP(D2410,upahbahan,3,FALSE)</f>
        <v>100000</v>
      </c>
      <c r="H2410" s="539">
        <f t="shared" ref="H2410:H2413" si="246">F2410*G2410</f>
        <v>11900</v>
      </c>
      <c r="J2410" s="536"/>
      <c r="K2410" s="824"/>
    </row>
    <row r="2411" spans="3:11" ht="25.8" customHeight="1">
      <c r="C2411" s="818">
        <v>2</v>
      </c>
      <c r="D2411" s="212" t="str">
        <f>D2360</f>
        <v>Tukang listrik</v>
      </c>
      <c r="E2411" s="212" t="s">
        <v>6</v>
      </c>
      <c r="F2411" s="538">
        <v>0.19900000000000001</v>
      </c>
      <c r="G2411" s="539">
        <f>VLOOKUP(D2411,upahbahan,3,FALSE)</f>
        <v>135000</v>
      </c>
      <c r="H2411" s="539">
        <f t="shared" si="246"/>
        <v>26865</v>
      </c>
      <c r="J2411" s="536"/>
      <c r="K2411" s="824"/>
    </row>
    <row r="2412" spans="3:11" ht="25.8" customHeight="1">
      <c r="C2412" s="818">
        <v>3</v>
      </c>
      <c r="D2412" s="212" t="s">
        <v>18</v>
      </c>
      <c r="E2412" s="212" t="s">
        <v>6</v>
      </c>
      <c r="F2412" s="538">
        <v>0.02</v>
      </c>
      <c r="G2412" s="539">
        <f>VLOOKUP(D2412,upahbahan,3,FALSE)</f>
        <v>150000</v>
      </c>
      <c r="H2412" s="539">
        <f t="shared" si="246"/>
        <v>3000</v>
      </c>
      <c r="J2412" s="536"/>
      <c r="K2412" s="824"/>
    </row>
    <row r="2413" spans="3:11" ht="25.8" customHeight="1">
      <c r="C2413" s="818">
        <v>4</v>
      </c>
      <c r="D2413" s="212" t="s">
        <v>19</v>
      </c>
      <c r="E2413" s="212" t="s">
        <v>6</v>
      </c>
      <c r="F2413" s="538">
        <v>7.0000000000000001E-3</v>
      </c>
      <c r="G2413" s="539">
        <f>VLOOKUP(D2413,upahbahan,3,FALSE)</f>
        <v>160000</v>
      </c>
      <c r="H2413" s="539">
        <f t="shared" si="246"/>
        <v>1120</v>
      </c>
      <c r="J2413" s="536"/>
      <c r="K2413" s="824"/>
    </row>
    <row r="2414" spans="3:11" ht="25.8" customHeight="1">
      <c r="C2414" s="702" t="s">
        <v>1208</v>
      </c>
      <c r="D2414" s="208"/>
      <c r="E2414" s="208"/>
      <c r="F2414" s="811"/>
      <c r="G2414" s="522"/>
      <c r="H2414" s="539">
        <f>SUM(H2410:H2413)</f>
        <v>42885</v>
      </c>
      <c r="I2414" s="819"/>
      <c r="J2414" s="536"/>
      <c r="K2414" s="824"/>
    </row>
    <row r="2415" spans="3:11" ht="25.8" customHeight="1">
      <c r="C2415" s="213" t="s">
        <v>1209</v>
      </c>
      <c r="D2415" s="212" t="s">
        <v>1210</v>
      </c>
      <c r="E2415" s="534"/>
      <c r="F2415" s="831"/>
      <c r="G2415" s="534"/>
      <c r="H2415" s="534"/>
      <c r="J2415" s="536"/>
      <c r="K2415" s="824"/>
    </row>
    <row r="2416" spans="3:11" ht="25.8" customHeight="1">
      <c r="C2416" s="833" t="s">
        <v>1203</v>
      </c>
      <c r="D2416" s="820" t="s">
        <v>953</v>
      </c>
      <c r="E2416" s="807" t="s">
        <v>113</v>
      </c>
      <c r="F2416" s="832">
        <v>1.2</v>
      </c>
      <c r="G2416" s="539">
        <f>VLOOKUP(D2416,upahbahan,3,FALSE)</f>
        <v>0</v>
      </c>
      <c r="H2416" s="539">
        <f t="shared" ref="H2416" si="247">F2416*G2416</f>
        <v>0</v>
      </c>
      <c r="J2416" s="536"/>
      <c r="K2416" s="824"/>
    </row>
    <row r="2417" spans="3:11" ht="25.8" customHeight="1">
      <c r="C2417" s="702" t="s">
        <v>1214</v>
      </c>
      <c r="D2417" s="208"/>
      <c r="E2417" s="208"/>
      <c r="F2417" s="208"/>
      <c r="G2417" s="209"/>
      <c r="H2417" s="539">
        <f>SUM(H2416:H2416)</f>
        <v>0</v>
      </c>
      <c r="J2417" s="536"/>
      <c r="K2417" s="824"/>
    </row>
    <row r="2418" spans="3:11" ht="25.8" customHeight="1">
      <c r="C2418" s="213" t="s">
        <v>1215</v>
      </c>
      <c r="D2418" s="212" t="s">
        <v>1216</v>
      </c>
      <c r="E2418" s="534"/>
      <c r="F2418" s="534"/>
      <c r="G2418" s="534"/>
      <c r="H2418" s="534"/>
      <c r="J2418" s="536"/>
      <c r="K2418" s="824"/>
    </row>
    <row r="2419" spans="3:11" ht="25.8" customHeight="1">
      <c r="C2419" s="702" t="s">
        <v>1217</v>
      </c>
      <c r="D2419" s="208"/>
      <c r="E2419" s="208"/>
      <c r="F2419" s="208"/>
      <c r="G2419" s="209"/>
      <c r="H2419" s="821">
        <v>0</v>
      </c>
      <c r="J2419" s="536"/>
      <c r="K2419" s="824"/>
    </row>
    <row r="2420" spans="3:11" ht="25.8" customHeight="1">
      <c r="C2420" s="566" t="s">
        <v>1218</v>
      </c>
      <c r="D2420" s="552" t="s">
        <v>1219</v>
      </c>
      <c r="E2420" s="553"/>
      <c r="F2420" s="553"/>
      <c r="G2420" s="554"/>
      <c r="H2420" s="826">
        <f>H2419+H2417+H2414</f>
        <v>42885</v>
      </c>
      <c r="I2420" s="827"/>
      <c r="J2420" s="536"/>
      <c r="K2420" s="824"/>
    </row>
    <row r="2421" spans="3:11" ht="25.8" customHeight="1">
      <c r="C2421" s="566" t="s">
        <v>1220</v>
      </c>
      <c r="D2421" s="552" t="s">
        <v>1321</v>
      </c>
      <c r="E2421" s="553"/>
      <c r="F2421" s="554"/>
      <c r="G2421" s="555">
        <f>$M$9</f>
        <v>0.1</v>
      </c>
      <c r="H2421" s="539">
        <f>H2420*G2421</f>
        <v>4288.5</v>
      </c>
      <c r="I2421" s="827"/>
      <c r="J2421" s="536"/>
      <c r="K2421" s="824"/>
    </row>
    <row r="2422" spans="3:11" ht="25.8" customHeight="1">
      <c r="C2422" s="566" t="s">
        <v>1221</v>
      </c>
      <c r="D2422" s="552" t="s">
        <v>1222</v>
      </c>
      <c r="E2422" s="553"/>
      <c r="F2422" s="553"/>
      <c r="G2422" s="554"/>
      <c r="H2422" s="828">
        <f>SUM(H2420:H2421)</f>
        <v>47173.5</v>
      </c>
      <c r="I2422" s="827"/>
      <c r="J2422" s="536"/>
      <c r="K2422" s="824"/>
    </row>
    <row r="2423" spans="3:11" ht="25.8" customHeight="1">
      <c r="J2423" s="536"/>
      <c r="K2423" s="824"/>
    </row>
    <row r="2424" spans="3:11" ht="25.8" customHeight="1">
      <c r="C2424" s="817" t="s">
        <v>3402</v>
      </c>
      <c r="D2424" s="817" t="s">
        <v>1756</v>
      </c>
      <c r="E2424" s="803"/>
      <c r="F2424" s="803"/>
      <c r="G2424" s="803"/>
      <c r="H2424" s="803"/>
      <c r="I2424" s="533">
        <f>ROUNDDOWN(H2439,-2)</f>
        <v>47100</v>
      </c>
      <c r="J2424" s="536"/>
      <c r="K2424" s="824"/>
    </row>
    <row r="2425" spans="3:11" ht="25.8" customHeight="1">
      <c r="C2425" s="716" t="s">
        <v>1195</v>
      </c>
      <c r="D2425" s="716" t="s">
        <v>1196</v>
      </c>
      <c r="E2425" s="716" t="s">
        <v>1197</v>
      </c>
      <c r="F2425" s="716" t="s">
        <v>1198</v>
      </c>
      <c r="G2425" s="716" t="s">
        <v>1199</v>
      </c>
      <c r="H2425" s="716" t="s">
        <v>1200</v>
      </c>
      <c r="J2425" s="536"/>
      <c r="K2425" s="824"/>
    </row>
    <row r="2426" spans="3:11" ht="25.8" customHeight="1">
      <c r="C2426" s="213" t="s">
        <v>1201</v>
      </c>
      <c r="D2426" s="212" t="s">
        <v>1202</v>
      </c>
      <c r="E2426" s="534"/>
      <c r="F2426" s="534"/>
      <c r="G2426" s="534"/>
      <c r="H2426" s="534"/>
      <c r="J2426" s="536"/>
      <c r="K2426" s="824"/>
    </row>
    <row r="2427" spans="3:11" ht="25.8" customHeight="1">
      <c r="C2427" s="818">
        <v>1</v>
      </c>
      <c r="D2427" s="212" t="s">
        <v>5</v>
      </c>
      <c r="E2427" s="212" t="s">
        <v>6</v>
      </c>
      <c r="F2427" s="538">
        <v>0.11899999999999999</v>
      </c>
      <c r="G2427" s="539">
        <f>VLOOKUP(D2427,upahbahan,3,FALSE)</f>
        <v>100000</v>
      </c>
      <c r="H2427" s="539">
        <f t="shared" ref="H2427:H2430" si="248">F2427*G2427</f>
        <v>11900</v>
      </c>
      <c r="J2427" s="536"/>
      <c r="K2427" s="824"/>
    </row>
    <row r="2428" spans="3:11" ht="25.8" customHeight="1">
      <c r="C2428" s="818">
        <v>2</v>
      </c>
      <c r="D2428" s="212" t="str">
        <f>D2377</f>
        <v>Tukang listrik</v>
      </c>
      <c r="E2428" s="212" t="s">
        <v>6</v>
      </c>
      <c r="F2428" s="538">
        <v>0.19900000000000001</v>
      </c>
      <c r="G2428" s="539">
        <f>VLOOKUP(D2428,upahbahan,3,FALSE)</f>
        <v>135000</v>
      </c>
      <c r="H2428" s="539">
        <f t="shared" si="248"/>
        <v>26865</v>
      </c>
      <c r="J2428" s="536"/>
      <c r="K2428" s="824"/>
    </row>
    <row r="2429" spans="3:11" ht="25.8" customHeight="1">
      <c r="C2429" s="818">
        <v>3</v>
      </c>
      <c r="D2429" s="212" t="s">
        <v>18</v>
      </c>
      <c r="E2429" s="212" t="s">
        <v>6</v>
      </c>
      <c r="F2429" s="538">
        <v>0.02</v>
      </c>
      <c r="G2429" s="539">
        <f>VLOOKUP(D2429,upahbahan,3,FALSE)</f>
        <v>150000</v>
      </c>
      <c r="H2429" s="539">
        <f t="shared" si="248"/>
        <v>3000</v>
      </c>
      <c r="J2429" s="536"/>
      <c r="K2429" s="824"/>
    </row>
    <row r="2430" spans="3:11" ht="25.8" customHeight="1">
      <c r="C2430" s="818">
        <v>4</v>
      </c>
      <c r="D2430" s="212" t="s">
        <v>19</v>
      </c>
      <c r="E2430" s="212" t="s">
        <v>6</v>
      </c>
      <c r="F2430" s="538">
        <v>7.0000000000000001E-3</v>
      </c>
      <c r="G2430" s="539">
        <f>VLOOKUP(D2430,upahbahan,3,FALSE)</f>
        <v>160000</v>
      </c>
      <c r="H2430" s="539">
        <f t="shared" si="248"/>
        <v>1120</v>
      </c>
      <c r="J2430" s="536"/>
      <c r="K2430" s="824"/>
    </row>
    <row r="2431" spans="3:11" ht="25.8" customHeight="1">
      <c r="C2431" s="702" t="s">
        <v>1208</v>
      </c>
      <c r="D2431" s="208"/>
      <c r="E2431" s="208"/>
      <c r="F2431" s="811"/>
      <c r="G2431" s="522"/>
      <c r="H2431" s="539">
        <f>SUM(H2427:H2430)</f>
        <v>42885</v>
      </c>
      <c r="I2431" s="819"/>
      <c r="J2431" s="536"/>
      <c r="K2431" s="824"/>
    </row>
    <row r="2432" spans="3:11" ht="25.8" customHeight="1">
      <c r="C2432" s="213" t="s">
        <v>1209</v>
      </c>
      <c r="D2432" s="212" t="s">
        <v>1210</v>
      </c>
      <c r="E2432" s="534"/>
      <c r="F2432" s="831"/>
      <c r="G2432" s="534"/>
      <c r="H2432" s="534"/>
      <c r="J2432" s="536"/>
      <c r="K2432" s="824"/>
    </row>
    <row r="2433" spans="3:11" ht="25.8" customHeight="1">
      <c r="C2433" s="833" t="s">
        <v>1203</v>
      </c>
      <c r="D2433" s="820" t="s">
        <v>952</v>
      </c>
      <c r="E2433" s="807" t="s">
        <v>113</v>
      </c>
      <c r="F2433" s="832">
        <v>1.2</v>
      </c>
      <c r="G2433" s="539">
        <f>VLOOKUP(D2433,upahbahan,3,FALSE)</f>
        <v>0</v>
      </c>
      <c r="H2433" s="539">
        <f>F2433*G2433</f>
        <v>0</v>
      </c>
      <c r="J2433" s="536"/>
      <c r="K2433" s="824"/>
    </row>
    <row r="2434" spans="3:11" ht="25.8" customHeight="1">
      <c r="C2434" s="702" t="s">
        <v>1214</v>
      </c>
      <c r="D2434" s="208"/>
      <c r="E2434" s="208"/>
      <c r="F2434" s="208"/>
      <c r="G2434" s="209"/>
      <c r="H2434" s="539">
        <f>SUM(H2433:H2433)</f>
        <v>0</v>
      </c>
      <c r="J2434" s="536"/>
      <c r="K2434" s="824"/>
    </row>
    <row r="2435" spans="3:11" ht="25.8" customHeight="1">
      <c r="C2435" s="213" t="s">
        <v>1215</v>
      </c>
      <c r="D2435" s="212" t="s">
        <v>1216</v>
      </c>
      <c r="E2435" s="534"/>
      <c r="F2435" s="534"/>
      <c r="G2435" s="534"/>
      <c r="H2435" s="534"/>
      <c r="J2435" s="536"/>
      <c r="K2435" s="824"/>
    </row>
    <row r="2436" spans="3:11" ht="25.8" customHeight="1">
      <c r="C2436" s="702" t="s">
        <v>1217</v>
      </c>
      <c r="D2436" s="208"/>
      <c r="E2436" s="208"/>
      <c r="F2436" s="208"/>
      <c r="G2436" s="209"/>
      <c r="H2436" s="821">
        <v>0</v>
      </c>
      <c r="J2436" s="536"/>
      <c r="K2436" s="824"/>
    </row>
    <row r="2437" spans="3:11" ht="25.8" customHeight="1">
      <c r="C2437" s="566" t="s">
        <v>1218</v>
      </c>
      <c r="D2437" s="552" t="s">
        <v>1219</v>
      </c>
      <c r="E2437" s="553"/>
      <c r="F2437" s="553"/>
      <c r="G2437" s="554"/>
      <c r="H2437" s="826">
        <f>H2436+H2434+H2431</f>
        <v>42885</v>
      </c>
      <c r="I2437" s="827"/>
      <c r="J2437" s="536"/>
      <c r="K2437" s="824"/>
    </row>
    <row r="2438" spans="3:11" ht="25.8" customHeight="1">
      <c r="C2438" s="566" t="s">
        <v>1220</v>
      </c>
      <c r="D2438" s="552" t="s">
        <v>1321</v>
      </c>
      <c r="E2438" s="553"/>
      <c r="F2438" s="554"/>
      <c r="G2438" s="555">
        <f>$M$9</f>
        <v>0.1</v>
      </c>
      <c r="H2438" s="539">
        <f>H2437*G2438</f>
        <v>4288.5</v>
      </c>
      <c r="I2438" s="827"/>
      <c r="J2438" s="536"/>
      <c r="K2438" s="824"/>
    </row>
    <row r="2439" spans="3:11" ht="25.8" customHeight="1">
      <c r="C2439" s="566" t="s">
        <v>1221</v>
      </c>
      <c r="D2439" s="552" t="s">
        <v>1222</v>
      </c>
      <c r="E2439" s="553"/>
      <c r="F2439" s="553"/>
      <c r="G2439" s="554"/>
      <c r="H2439" s="828">
        <f>SUM(H2437:H2438)</f>
        <v>47173.5</v>
      </c>
      <c r="I2439" s="827"/>
      <c r="J2439" s="536"/>
      <c r="K2439" s="824"/>
    </row>
    <row r="2440" spans="3:11" ht="25.8" customHeight="1">
      <c r="J2440" s="536"/>
      <c r="K2440" s="824"/>
    </row>
    <row r="2441" spans="3:11" ht="25.8" customHeight="1">
      <c r="C2441" s="517" t="s">
        <v>3403</v>
      </c>
      <c r="D2441" s="817" t="s">
        <v>1757</v>
      </c>
      <c r="E2441" s="803"/>
      <c r="F2441" s="803"/>
      <c r="G2441" s="803"/>
      <c r="H2441" s="803"/>
      <c r="I2441" s="533">
        <f>ROUNDDOWN(H2456,-2)</f>
        <v>47100</v>
      </c>
      <c r="J2441" s="536"/>
      <c r="K2441" s="824"/>
    </row>
    <row r="2442" spans="3:11" ht="25.8" customHeight="1">
      <c r="C2442" s="716" t="s">
        <v>1195</v>
      </c>
      <c r="D2442" s="716" t="s">
        <v>1196</v>
      </c>
      <c r="E2442" s="716" t="s">
        <v>1197</v>
      </c>
      <c r="F2442" s="716" t="s">
        <v>1198</v>
      </c>
      <c r="G2442" s="716" t="s">
        <v>1199</v>
      </c>
      <c r="H2442" s="716" t="s">
        <v>1200</v>
      </c>
      <c r="J2442" s="536"/>
      <c r="K2442" s="824"/>
    </row>
    <row r="2443" spans="3:11" ht="25.8" customHeight="1">
      <c r="C2443" s="213" t="s">
        <v>1201</v>
      </c>
      <c r="D2443" s="212" t="s">
        <v>1202</v>
      </c>
      <c r="E2443" s="534"/>
      <c r="F2443" s="534"/>
      <c r="G2443" s="534"/>
      <c r="H2443" s="534"/>
      <c r="J2443" s="536"/>
      <c r="K2443" s="824"/>
    </row>
    <row r="2444" spans="3:11" ht="25.8" customHeight="1">
      <c r="C2444" s="818">
        <v>1</v>
      </c>
      <c r="D2444" s="212" t="s">
        <v>5</v>
      </c>
      <c r="E2444" s="212" t="s">
        <v>6</v>
      </c>
      <c r="F2444" s="538">
        <v>0.11899999999999999</v>
      </c>
      <c r="G2444" s="539">
        <f>VLOOKUP(D2444,upahbahan,3,FALSE)</f>
        <v>100000</v>
      </c>
      <c r="H2444" s="539">
        <f t="shared" ref="H2444:H2447" si="249">F2444*G2444</f>
        <v>11900</v>
      </c>
      <c r="J2444" s="536"/>
      <c r="K2444" s="824"/>
    </row>
    <row r="2445" spans="3:11" ht="25.8" customHeight="1">
      <c r="C2445" s="818">
        <v>2</v>
      </c>
      <c r="D2445" s="212" t="str">
        <f>D2394</f>
        <v>Tukang listrik</v>
      </c>
      <c r="E2445" s="212" t="s">
        <v>6</v>
      </c>
      <c r="F2445" s="538">
        <v>0.19900000000000001</v>
      </c>
      <c r="G2445" s="539">
        <f>VLOOKUP(D2445,upahbahan,3,FALSE)</f>
        <v>135000</v>
      </c>
      <c r="H2445" s="539">
        <f t="shared" si="249"/>
        <v>26865</v>
      </c>
      <c r="J2445" s="536"/>
      <c r="K2445" s="824"/>
    </row>
    <row r="2446" spans="3:11" ht="25.8" customHeight="1">
      <c r="C2446" s="818">
        <v>3</v>
      </c>
      <c r="D2446" s="212" t="s">
        <v>18</v>
      </c>
      <c r="E2446" s="212" t="s">
        <v>6</v>
      </c>
      <c r="F2446" s="538">
        <v>0.02</v>
      </c>
      <c r="G2446" s="539">
        <f>VLOOKUP(D2446,upahbahan,3,FALSE)</f>
        <v>150000</v>
      </c>
      <c r="H2446" s="539">
        <f t="shared" si="249"/>
        <v>3000</v>
      </c>
      <c r="J2446" s="536"/>
      <c r="K2446" s="824"/>
    </row>
    <row r="2447" spans="3:11" ht="25.8" customHeight="1">
      <c r="C2447" s="818">
        <v>4</v>
      </c>
      <c r="D2447" s="212" t="s">
        <v>19</v>
      </c>
      <c r="E2447" s="212" t="s">
        <v>6</v>
      </c>
      <c r="F2447" s="538">
        <v>7.0000000000000001E-3</v>
      </c>
      <c r="G2447" s="539">
        <f>VLOOKUP(D2447,upahbahan,3,FALSE)</f>
        <v>160000</v>
      </c>
      <c r="H2447" s="539">
        <f t="shared" si="249"/>
        <v>1120</v>
      </c>
      <c r="J2447" s="536"/>
      <c r="K2447" s="824"/>
    </row>
    <row r="2448" spans="3:11" ht="25.8" customHeight="1">
      <c r="C2448" s="702" t="s">
        <v>1208</v>
      </c>
      <c r="D2448" s="208"/>
      <c r="E2448" s="208"/>
      <c r="F2448" s="811"/>
      <c r="G2448" s="522"/>
      <c r="H2448" s="539">
        <f>SUM(H2444:H2447)</f>
        <v>42885</v>
      </c>
      <c r="I2448" s="819"/>
      <c r="J2448" s="536"/>
      <c r="K2448" s="824"/>
    </row>
    <row r="2449" spans="3:11" ht="25.8" customHeight="1">
      <c r="C2449" s="213" t="s">
        <v>1209</v>
      </c>
      <c r="D2449" s="212" t="s">
        <v>1210</v>
      </c>
      <c r="E2449" s="534"/>
      <c r="F2449" s="831"/>
      <c r="G2449" s="534"/>
      <c r="H2449" s="534"/>
      <c r="J2449" s="536"/>
      <c r="K2449" s="824"/>
    </row>
    <row r="2450" spans="3:11" ht="25.8" customHeight="1">
      <c r="C2450" s="833" t="s">
        <v>1203</v>
      </c>
      <c r="D2450" s="820" t="s">
        <v>951</v>
      </c>
      <c r="E2450" s="807" t="s">
        <v>113</v>
      </c>
      <c r="F2450" s="832">
        <v>1.2</v>
      </c>
      <c r="G2450" s="539">
        <f>VLOOKUP(D2450,upahbahan,3,FALSE)</f>
        <v>0</v>
      </c>
      <c r="H2450" s="539">
        <f>F2450*G2450</f>
        <v>0</v>
      </c>
      <c r="J2450" s="536"/>
      <c r="K2450" s="824"/>
    </row>
    <row r="2451" spans="3:11" ht="25.8" customHeight="1">
      <c r="C2451" s="702" t="s">
        <v>1214</v>
      </c>
      <c r="D2451" s="208"/>
      <c r="E2451" s="208"/>
      <c r="F2451" s="208"/>
      <c r="G2451" s="209"/>
      <c r="H2451" s="539">
        <f>SUM(H2450:H2450)</f>
        <v>0</v>
      </c>
      <c r="J2451" s="536"/>
      <c r="K2451" s="824"/>
    </row>
    <row r="2452" spans="3:11" ht="25.8" customHeight="1">
      <c r="C2452" s="213" t="s">
        <v>1215</v>
      </c>
      <c r="D2452" s="212" t="s">
        <v>1216</v>
      </c>
      <c r="E2452" s="534"/>
      <c r="F2452" s="534"/>
      <c r="G2452" s="534"/>
      <c r="H2452" s="534"/>
      <c r="J2452" s="536"/>
      <c r="K2452" s="824"/>
    </row>
    <row r="2453" spans="3:11" ht="25.8" customHeight="1">
      <c r="C2453" s="702" t="s">
        <v>1217</v>
      </c>
      <c r="D2453" s="208"/>
      <c r="E2453" s="208"/>
      <c r="F2453" s="208"/>
      <c r="G2453" s="209"/>
      <c r="H2453" s="821">
        <v>0</v>
      </c>
      <c r="J2453" s="536"/>
      <c r="K2453" s="824"/>
    </row>
    <row r="2454" spans="3:11" ht="25.8" customHeight="1">
      <c r="C2454" s="566" t="s">
        <v>1218</v>
      </c>
      <c r="D2454" s="552" t="s">
        <v>1219</v>
      </c>
      <c r="E2454" s="553"/>
      <c r="F2454" s="553"/>
      <c r="G2454" s="554"/>
      <c r="H2454" s="826">
        <f>H2453+H2451+H2448</f>
        <v>42885</v>
      </c>
      <c r="I2454" s="827"/>
      <c r="J2454" s="536"/>
      <c r="K2454" s="824"/>
    </row>
    <row r="2455" spans="3:11" ht="25.8" customHeight="1">
      <c r="C2455" s="566" t="s">
        <v>1220</v>
      </c>
      <c r="D2455" s="552" t="s">
        <v>1321</v>
      </c>
      <c r="E2455" s="553"/>
      <c r="F2455" s="554"/>
      <c r="G2455" s="555">
        <f>$M$9</f>
        <v>0.1</v>
      </c>
      <c r="H2455" s="539">
        <f>H2454*G2455</f>
        <v>4288.5</v>
      </c>
      <c r="I2455" s="827"/>
      <c r="J2455" s="536"/>
      <c r="K2455" s="824"/>
    </row>
    <row r="2456" spans="3:11" ht="25.8" customHeight="1">
      <c r="C2456" s="566" t="s">
        <v>1221</v>
      </c>
      <c r="D2456" s="552" t="s">
        <v>1222</v>
      </c>
      <c r="E2456" s="553"/>
      <c r="F2456" s="553"/>
      <c r="G2456" s="554"/>
      <c r="H2456" s="828">
        <f>SUM(H2454:H2455)</f>
        <v>47173.5</v>
      </c>
      <c r="I2456" s="827"/>
      <c r="J2456" s="536"/>
      <c r="K2456" s="824"/>
    </row>
    <row r="2457" spans="3:11" ht="25.8" customHeight="1">
      <c r="J2457" s="536"/>
      <c r="K2457" s="824"/>
    </row>
    <row r="2458" spans="3:11" ht="25.8" customHeight="1">
      <c r="J2458" s="536"/>
      <c r="K2458" s="824"/>
    </row>
    <row r="2459" spans="3:11" ht="25.8" customHeight="1">
      <c r="C2459" s="517" t="s">
        <v>3404</v>
      </c>
      <c r="D2459" s="817" t="s">
        <v>3405</v>
      </c>
      <c r="E2459" s="803"/>
      <c r="F2459" s="803"/>
      <c r="G2459" s="803"/>
      <c r="H2459" s="803"/>
      <c r="I2459" s="533">
        <f>ROUNDDOWN(H2474,-2)</f>
        <v>50400</v>
      </c>
      <c r="J2459" s="536"/>
      <c r="K2459" s="824"/>
    </row>
    <row r="2460" spans="3:11" ht="25.8" customHeight="1">
      <c r="C2460" s="716" t="s">
        <v>1195</v>
      </c>
      <c r="D2460" s="716" t="s">
        <v>1196</v>
      </c>
      <c r="E2460" s="716" t="s">
        <v>1197</v>
      </c>
      <c r="F2460" s="716" t="s">
        <v>1198</v>
      </c>
      <c r="G2460" s="716" t="s">
        <v>1199</v>
      </c>
      <c r="H2460" s="716" t="s">
        <v>1200</v>
      </c>
      <c r="J2460" s="536"/>
      <c r="K2460" s="824"/>
    </row>
    <row r="2461" spans="3:11" ht="25.8" customHeight="1">
      <c r="C2461" s="213" t="s">
        <v>1201</v>
      </c>
      <c r="D2461" s="212" t="s">
        <v>1202</v>
      </c>
      <c r="E2461" s="534"/>
      <c r="F2461" s="534"/>
      <c r="G2461" s="534"/>
      <c r="H2461" s="534"/>
      <c r="J2461" s="536"/>
      <c r="K2461" s="824"/>
    </row>
    <row r="2462" spans="3:11" ht="25.8" customHeight="1">
      <c r="C2462" s="818">
        <v>1</v>
      </c>
      <c r="D2462" s="212" t="s">
        <v>5</v>
      </c>
      <c r="E2462" s="212" t="s">
        <v>6</v>
      </c>
      <c r="F2462" s="538">
        <v>0.11899999999999999</v>
      </c>
      <c r="G2462" s="539">
        <f>VLOOKUP(D2462,upahbahan,3,FALSE)</f>
        <v>100000</v>
      </c>
      <c r="H2462" s="539">
        <f t="shared" ref="H2462:H2465" si="250">F2462*G2462</f>
        <v>11900</v>
      </c>
      <c r="J2462" s="536"/>
      <c r="K2462" s="824"/>
    </row>
    <row r="2463" spans="3:11" ht="25.8" customHeight="1">
      <c r="C2463" s="818">
        <v>2</v>
      </c>
      <c r="D2463" s="212" t="str">
        <f>D2412</f>
        <v>Kepala tukang</v>
      </c>
      <c r="E2463" s="212" t="s">
        <v>6</v>
      </c>
      <c r="F2463" s="538">
        <v>0.19900000000000001</v>
      </c>
      <c r="G2463" s="539">
        <f>VLOOKUP(D2463,upahbahan,3,FALSE)</f>
        <v>150000</v>
      </c>
      <c r="H2463" s="539">
        <f t="shared" si="250"/>
        <v>29850</v>
      </c>
      <c r="J2463" s="536"/>
      <c r="K2463" s="824"/>
    </row>
    <row r="2464" spans="3:11" ht="25.8" customHeight="1">
      <c r="C2464" s="818">
        <v>3</v>
      </c>
      <c r="D2464" s="212" t="s">
        <v>18</v>
      </c>
      <c r="E2464" s="212" t="s">
        <v>6</v>
      </c>
      <c r="F2464" s="538">
        <v>0.02</v>
      </c>
      <c r="G2464" s="539">
        <f>VLOOKUP(D2464,upahbahan,3,FALSE)</f>
        <v>150000</v>
      </c>
      <c r="H2464" s="539">
        <f t="shared" si="250"/>
        <v>3000</v>
      </c>
      <c r="J2464" s="536"/>
      <c r="K2464" s="824"/>
    </row>
    <row r="2465" spans="3:11" ht="25.8" customHeight="1">
      <c r="C2465" s="818">
        <v>4</v>
      </c>
      <c r="D2465" s="212" t="s">
        <v>19</v>
      </c>
      <c r="E2465" s="212" t="s">
        <v>6</v>
      </c>
      <c r="F2465" s="538">
        <v>7.0000000000000001E-3</v>
      </c>
      <c r="G2465" s="539">
        <f>VLOOKUP(D2465,upahbahan,3,FALSE)</f>
        <v>160000</v>
      </c>
      <c r="H2465" s="539">
        <f t="shared" si="250"/>
        <v>1120</v>
      </c>
      <c r="J2465" s="536"/>
      <c r="K2465" s="824"/>
    </row>
    <row r="2466" spans="3:11" ht="25.8" customHeight="1">
      <c r="C2466" s="702" t="s">
        <v>1208</v>
      </c>
      <c r="D2466" s="208"/>
      <c r="E2466" s="208"/>
      <c r="F2466" s="811"/>
      <c r="G2466" s="522"/>
      <c r="H2466" s="539">
        <f>SUM(H2462:H2465)</f>
        <v>45870</v>
      </c>
      <c r="I2466" s="819"/>
      <c r="J2466" s="536"/>
      <c r="K2466" s="824"/>
    </row>
    <row r="2467" spans="3:11" ht="25.8" customHeight="1">
      <c r="C2467" s="213" t="s">
        <v>1209</v>
      </c>
      <c r="D2467" s="212" t="s">
        <v>1210</v>
      </c>
      <c r="E2467" s="534"/>
      <c r="F2467" s="831"/>
      <c r="G2467" s="534"/>
      <c r="H2467" s="534"/>
      <c r="J2467" s="536"/>
      <c r="K2467" s="824"/>
    </row>
    <row r="2468" spans="3:11" ht="25.8" customHeight="1">
      <c r="C2468" s="833" t="s">
        <v>1203</v>
      </c>
      <c r="D2468" s="820" t="s">
        <v>3406</v>
      </c>
      <c r="E2468" s="807" t="s">
        <v>113</v>
      </c>
      <c r="F2468" s="832">
        <v>1.2</v>
      </c>
      <c r="G2468" s="539">
        <f>VLOOKUP(D2468,upahbahan,3,FALSE)</f>
        <v>0</v>
      </c>
      <c r="H2468" s="539">
        <f>F2468*G2468</f>
        <v>0</v>
      </c>
      <c r="J2468" s="536"/>
      <c r="K2468" s="824"/>
    </row>
    <row r="2469" spans="3:11" ht="25.8" customHeight="1">
      <c r="C2469" s="702" t="s">
        <v>1214</v>
      </c>
      <c r="D2469" s="208"/>
      <c r="E2469" s="208"/>
      <c r="F2469" s="208"/>
      <c r="G2469" s="209"/>
      <c r="H2469" s="539">
        <f>SUM(H2468:H2468)</f>
        <v>0</v>
      </c>
      <c r="J2469" s="536"/>
      <c r="K2469" s="824"/>
    </row>
    <row r="2470" spans="3:11" ht="25.8" customHeight="1">
      <c r="C2470" s="213" t="s">
        <v>1215</v>
      </c>
      <c r="D2470" s="212" t="s">
        <v>1216</v>
      </c>
      <c r="E2470" s="534"/>
      <c r="F2470" s="534"/>
      <c r="G2470" s="534"/>
      <c r="H2470" s="534"/>
      <c r="J2470" s="536"/>
      <c r="K2470" s="824"/>
    </row>
    <row r="2471" spans="3:11" ht="25.8" customHeight="1">
      <c r="C2471" s="702" t="s">
        <v>1217</v>
      </c>
      <c r="D2471" s="208"/>
      <c r="E2471" s="208"/>
      <c r="F2471" s="208"/>
      <c r="G2471" s="209"/>
      <c r="H2471" s="821">
        <v>0</v>
      </c>
      <c r="J2471" s="536"/>
      <c r="K2471" s="824"/>
    </row>
    <row r="2472" spans="3:11" ht="25.8" customHeight="1">
      <c r="C2472" s="566" t="s">
        <v>1218</v>
      </c>
      <c r="D2472" s="552" t="s">
        <v>1219</v>
      </c>
      <c r="E2472" s="553"/>
      <c r="F2472" s="553"/>
      <c r="G2472" s="554"/>
      <c r="H2472" s="826">
        <f>H2471+H2469+H2466</f>
        <v>45870</v>
      </c>
      <c r="I2472" s="827"/>
      <c r="J2472" s="536"/>
      <c r="K2472" s="824"/>
    </row>
    <row r="2473" spans="3:11" ht="25.8" customHeight="1">
      <c r="C2473" s="566" t="s">
        <v>1220</v>
      </c>
      <c r="D2473" s="552" t="s">
        <v>1321</v>
      </c>
      <c r="E2473" s="553"/>
      <c r="F2473" s="554"/>
      <c r="G2473" s="555">
        <f>$M$9</f>
        <v>0.1</v>
      </c>
      <c r="H2473" s="539">
        <f>H2472*G2473</f>
        <v>4587</v>
      </c>
      <c r="I2473" s="827"/>
      <c r="J2473" s="536"/>
      <c r="K2473" s="824"/>
    </row>
    <row r="2474" spans="3:11" ht="25.8" customHeight="1">
      <c r="C2474" s="566" t="s">
        <v>1221</v>
      </c>
      <c r="D2474" s="552" t="s">
        <v>1222</v>
      </c>
      <c r="E2474" s="553"/>
      <c r="F2474" s="553"/>
      <c r="G2474" s="554"/>
      <c r="H2474" s="828">
        <f>SUM(H2472:H2473)</f>
        <v>50457</v>
      </c>
      <c r="I2474" s="827"/>
      <c r="J2474" s="536"/>
      <c r="K2474" s="824"/>
    </row>
    <row r="2475" spans="3:11" ht="25.8" customHeight="1">
      <c r="J2475" s="536"/>
      <c r="K2475" s="824"/>
    </row>
    <row r="2476" spans="3:11" ht="25.8" customHeight="1">
      <c r="C2476" s="517" t="s">
        <v>3407</v>
      </c>
      <c r="D2476" s="817" t="s">
        <v>3408</v>
      </c>
      <c r="E2476" s="803"/>
      <c r="F2476" s="803"/>
      <c r="G2476" s="803"/>
      <c r="H2476" s="803"/>
      <c r="I2476" s="533">
        <f>ROUNDDOWN(H2491,-2)</f>
        <v>50400</v>
      </c>
      <c r="J2476" s="536"/>
      <c r="K2476" s="824"/>
    </row>
    <row r="2477" spans="3:11" ht="25.8" customHeight="1">
      <c r="C2477" s="716" t="s">
        <v>1195</v>
      </c>
      <c r="D2477" s="716" t="s">
        <v>1196</v>
      </c>
      <c r="E2477" s="716" t="s">
        <v>1197</v>
      </c>
      <c r="F2477" s="716" t="s">
        <v>1198</v>
      </c>
      <c r="G2477" s="716" t="s">
        <v>1199</v>
      </c>
      <c r="H2477" s="716" t="s">
        <v>1200</v>
      </c>
      <c r="J2477" s="536"/>
      <c r="K2477" s="824"/>
    </row>
    <row r="2478" spans="3:11" ht="25.8" customHeight="1">
      <c r="C2478" s="213" t="s">
        <v>1201</v>
      </c>
      <c r="D2478" s="212" t="s">
        <v>1202</v>
      </c>
      <c r="E2478" s="534"/>
      <c r="F2478" s="534"/>
      <c r="G2478" s="534"/>
      <c r="H2478" s="534"/>
      <c r="J2478" s="536"/>
      <c r="K2478" s="824"/>
    </row>
    <row r="2479" spans="3:11" ht="25.8" customHeight="1">
      <c r="C2479" s="818">
        <v>1</v>
      </c>
      <c r="D2479" s="212" t="s">
        <v>5</v>
      </c>
      <c r="E2479" s="212" t="s">
        <v>6</v>
      </c>
      <c r="F2479" s="538">
        <v>0.11899999999999999</v>
      </c>
      <c r="G2479" s="539">
        <f>VLOOKUP(D2479,upahbahan,3,FALSE)</f>
        <v>100000</v>
      </c>
      <c r="H2479" s="539">
        <f t="shared" ref="H2479:H2482" si="251">F2479*G2479</f>
        <v>11900</v>
      </c>
      <c r="J2479" s="536"/>
      <c r="K2479" s="824"/>
    </row>
    <row r="2480" spans="3:11" ht="25.8" customHeight="1">
      <c r="C2480" s="818">
        <v>2</v>
      </c>
      <c r="D2480" s="212" t="str">
        <f>D2429</f>
        <v>Kepala tukang</v>
      </c>
      <c r="E2480" s="212" t="s">
        <v>6</v>
      </c>
      <c r="F2480" s="538">
        <v>0.19900000000000001</v>
      </c>
      <c r="G2480" s="539">
        <f>VLOOKUP(D2480,upahbahan,3,FALSE)</f>
        <v>150000</v>
      </c>
      <c r="H2480" s="539">
        <f t="shared" si="251"/>
        <v>29850</v>
      </c>
      <c r="J2480" s="536"/>
      <c r="K2480" s="824"/>
    </row>
    <row r="2481" spans="3:11" ht="25.8" customHeight="1">
      <c r="C2481" s="818">
        <v>3</v>
      </c>
      <c r="D2481" s="212" t="s">
        <v>18</v>
      </c>
      <c r="E2481" s="212" t="s">
        <v>6</v>
      </c>
      <c r="F2481" s="538">
        <v>0.02</v>
      </c>
      <c r="G2481" s="539">
        <f>VLOOKUP(D2481,upahbahan,3,FALSE)</f>
        <v>150000</v>
      </c>
      <c r="H2481" s="539">
        <f t="shared" si="251"/>
        <v>3000</v>
      </c>
      <c r="J2481" s="536"/>
      <c r="K2481" s="824"/>
    </row>
    <row r="2482" spans="3:11" ht="25.8" customHeight="1">
      <c r="C2482" s="818">
        <v>4</v>
      </c>
      <c r="D2482" s="212" t="s">
        <v>19</v>
      </c>
      <c r="E2482" s="212" t="s">
        <v>6</v>
      </c>
      <c r="F2482" s="538">
        <v>7.0000000000000001E-3</v>
      </c>
      <c r="G2482" s="539">
        <f>VLOOKUP(D2482,upahbahan,3,FALSE)</f>
        <v>160000</v>
      </c>
      <c r="H2482" s="539">
        <f t="shared" si="251"/>
        <v>1120</v>
      </c>
      <c r="J2482" s="536"/>
      <c r="K2482" s="824"/>
    </row>
    <row r="2483" spans="3:11" ht="25.8" customHeight="1">
      <c r="C2483" s="702" t="s">
        <v>1208</v>
      </c>
      <c r="D2483" s="208"/>
      <c r="E2483" s="208"/>
      <c r="F2483" s="811"/>
      <c r="G2483" s="522"/>
      <c r="H2483" s="539">
        <f>SUM(H2479:H2482)</f>
        <v>45870</v>
      </c>
      <c r="I2483" s="819"/>
      <c r="J2483" s="536"/>
      <c r="K2483" s="824"/>
    </row>
    <row r="2484" spans="3:11" ht="25.8" customHeight="1">
      <c r="C2484" s="213" t="s">
        <v>1209</v>
      </c>
      <c r="D2484" s="212" t="s">
        <v>1210</v>
      </c>
      <c r="E2484" s="534"/>
      <c r="F2484" s="831"/>
      <c r="G2484" s="534"/>
      <c r="H2484" s="534"/>
      <c r="J2484" s="536"/>
      <c r="K2484" s="824"/>
    </row>
    <row r="2485" spans="3:11" ht="25.8" customHeight="1">
      <c r="C2485" s="833" t="s">
        <v>1203</v>
      </c>
      <c r="D2485" s="820" t="s">
        <v>3410</v>
      </c>
      <c r="E2485" s="807" t="s">
        <v>113</v>
      </c>
      <c r="F2485" s="832">
        <v>1.2</v>
      </c>
      <c r="G2485" s="539">
        <f>VLOOKUP(D2485,upahbahan,3,FALSE)</f>
        <v>0</v>
      </c>
      <c r="H2485" s="539">
        <f>F2485*G2485</f>
        <v>0</v>
      </c>
      <c r="J2485" s="536"/>
      <c r="K2485" s="824"/>
    </row>
    <row r="2486" spans="3:11" ht="25.8" customHeight="1">
      <c r="C2486" s="702" t="s">
        <v>1214</v>
      </c>
      <c r="D2486" s="208"/>
      <c r="E2486" s="208"/>
      <c r="F2486" s="208"/>
      <c r="G2486" s="209"/>
      <c r="H2486" s="539">
        <f>SUM(H2485:H2485)</f>
        <v>0</v>
      </c>
      <c r="J2486" s="536"/>
      <c r="K2486" s="824"/>
    </row>
    <row r="2487" spans="3:11" ht="25.8" customHeight="1">
      <c r="C2487" s="213" t="s">
        <v>1215</v>
      </c>
      <c r="D2487" s="212" t="s">
        <v>1216</v>
      </c>
      <c r="E2487" s="534"/>
      <c r="F2487" s="534"/>
      <c r="G2487" s="534"/>
      <c r="H2487" s="534"/>
      <c r="J2487" s="536"/>
      <c r="K2487" s="824"/>
    </row>
    <row r="2488" spans="3:11" ht="25.8" customHeight="1">
      <c r="C2488" s="702" t="s">
        <v>1217</v>
      </c>
      <c r="D2488" s="208"/>
      <c r="E2488" s="208"/>
      <c r="F2488" s="208"/>
      <c r="G2488" s="209"/>
      <c r="H2488" s="821">
        <v>0</v>
      </c>
      <c r="J2488" s="536"/>
      <c r="K2488" s="824"/>
    </row>
    <row r="2489" spans="3:11" ht="25.8" customHeight="1">
      <c r="C2489" s="566" t="s">
        <v>1218</v>
      </c>
      <c r="D2489" s="552" t="s">
        <v>1219</v>
      </c>
      <c r="E2489" s="553"/>
      <c r="F2489" s="553"/>
      <c r="G2489" s="554"/>
      <c r="H2489" s="826">
        <f>H2488+H2486+H2483</f>
        <v>45870</v>
      </c>
      <c r="I2489" s="827"/>
      <c r="J2489" s="536"/>
      <c r="K2489" s="824"/>
    </row>
    <row r="2490" spans="3:11" ht="25.8" customHeight="1">
      <c r="C2490" s="566" t="s">
        <v>1220</v>
      </c>
      <c r="D2490" s="552" t="s">
        <v>1321</v>
      </c>
      <c r="E2490" s="553"/>
      <c r="F2490" s="554"/>
      <c r="G2490" s="555">
        <f>$M$9</f>
        <v>0.1</v>
      </c>
      <c r="H2490" s="539">
        <f>H2489*G2490</f>
        <v>4587</v>
      </c>
      <c r="I2490" s="827"/>
      <c r="J2490" s="536"/>
      <c r="K2490" s="824"/>
    </row>
    <row r="2491" spans="3:11" ht="25.8" customHeight="1">
      <c r="C2491" s="566" t="s">
        <v>1221</v>
      </c>
      <c r="D2491" s="552" t="s">
        <v>1222</v>
      </c>
      <c r="E2491" s="553"/>
      <c r="F2491" s="553"/>
      <c r="G2491" s="554"/>
      <c r="H2491" s="828">
        <f>SUM(H2489:H2490)</f>
        <v>50457</v>
      </c>
      <c r="I2491" s="827"/>
      <c r="J2491" s="536"/>
      <c r="K2491" s="824"/>
    </row>
    <row r="2492" spans="3:11" ht="25.8" customHeight="1">
      <c r="J2492" s="536"/>
      <c r="K2492" s="824"/>
    </row>
    <row r="2493" spans="3:11" ht="25.8" customHeight="1">
      <c r="C2493" s="517" t="s">
        <v>3411</v>
      </c>
      <c r="D2493" s="817" t="s">
        <v>3412</v>
      </c>
      <c r="E2493" s="803"/>
      <c r="F2493" s="803"/>
      <c r="G2493" s="803"/>
      <c r="H2493" s="803"/>
      <c r="I2493" s="533">
        <f>ROUNDDOWN(H2508,-2)</f>
        <v>50400</v>
      </c>
      <c r="J2493" s="536"/>
      <c r="K2493" s="824"/>
    </row>
    <row r="2494" spans="3:11" ht="25.8" customHeight="1">
      <c r="C2494" s="716" t="s">
        <v>1195</v>
      </c>
      <c r="D2494" s="716" t="s">
        <v>1196</v>
      </c>
      <c r="E2494" s="716" t="s">
        <v>1197</v>
      </c>
      <c r="F2494" s="716" t="s">
        <v>1198</v>
      </c>
      <c r="G2494" s="716" t="s">
        <v>1199</v>
      </c>
      <c r="H2494" s="716" t="s">
        <v>1200</v>
      </c>
      <c r="J2494" s="536"/>
      <c r="K2494" s="824"/>
    </row>
    <row r="2495" spans="3:11" ht="25.8" customHeight="1">
      <c r="C2495" s="213" t="s">
        <v>1201</v>
      </c>
      <c r="D2495" s="212" t="s">
        <v>1202</v>
      </c>
      <c r="E2495" s="534"/>
      <c r="F2495" s="534"/>
      <c r="G2495" s="534"/>
      <c r="H2495" s="534"/>
      <c r="J2495" s="536"/>
      <c r="K2495" s="824"/>
    </row>
    <row r="2496" spans="3:11" ht="25.8" customHeight="1">
      <c r="C2496" s="818">
        <v>1</v>
      </c>
      <c r="D2496" s="212" t="s">
        <v>5</v>
      </c>
      <c r="E2496" s="212" t="s">
        <v>6</v>
      </c>
      <c r="F2496" s="538">
        <v>0.11899999999999999</v>
      </c>
      <c r="G2496" s="539">
        <f>VLOOKUP(D2496,upahbahan,3,FALSE)</f>
        <v>100000</v>
      </c>
      <c r="H2496" s="539">
        <f t="shared" ref="H2496:H2499" si="252">F2496*G2496</f>
        <v>11900</v>
      </c>
      <c r="J2496" s="536"/>
      <c r="K2496" s="824"/>
    </row>
    <row r="2497" spans="3:11" ht="25.8" customHeight="1">
      <c r="C2497" s="818">
        <v>2</v>
      </c>
      <c r="D2497" s="212" t="str">
        <f>D2446</f>
        <v>Kepala tukang</v>
      </c>
      <c r="E2497" s="212" t="s">
        <v>6</v>
      </c>
      <c r="F2497" s="538">
        <v>0.19900000000000001</v>
      </c>
      <c r="G2497" s="539">
        <f>VLOOKUP(D2497,upahbahan,3,FALSE)</f>
        <v>150000</v>
      </c>
      <c r="H2497" s="539">
        <f t="shared" si="252"/>
        <v>29850</v>
      </c>
      <c r="J2497" s="536"/>
      <c r="K2497" s="824"/>
    </row>
    <row r="2498" spans="3:11" ht="25.8" customHeight="1">
      <c r="C2498" s="818">
        <v>3</v>
      </c>
      <c r="D2498" s="212" t="s">
        <v>18</v>
      </c>
      <c r="E2498" s="212" t="s">
        <v>6</v>
      </c>
      <c r="F2498" s="538">
        <v>0.02</v>
      </c>
      <c r="G2498" s="539">
        <f>VLOOKUP(D2498,upahbahan,3,FALSE)</f>
        <v>150000</v>
      </c>
      <c r="H2498" s="539">
        <f t="shared" si="252"/>
        <v>3000</v>
      </c>
      <c r="J2498" s="536"/>
      <c r="K2498" s="824"/>
    </row>
    <row r="2499" spans="3:11" ht="25.8" customHeight="1">
      <c r="C2499" s="818">
        <v>4</v>
      </c>
      <c r="D2499" s="212" t="s">
        <v>19</v>
      </c>
      <c r="E2499" s="212" t="s">
        <v>6</v>
      </c>
      <c r="F2499" s="538">
        <v>7.0000000000000001E-3</v>
      </c>
      <c r="G2499" s="539">
        <f>VLOOKUP(D2499,upahbahan,3,FALSE)</f>
        <v>160000</v>
      </c>
      <c r="H2499" s="539">
        <f t="shared" si="252"/>
        <v>1120</v>
      </c>
      <c r="J2499" s="536"/>
      <c r="K2499" s="824"/>
    </row>
    <row r="2500" spans="3:11" ht="25.8" customHeight="1">
      <c r="C2500" s="702" t="s">
        <v>1208</v>
      </c>
      <c r="D2500" s="208"/>
      <c r="E2500" s="208"/>
      <c r="F2500" s="811"/>
      <c r="G2500" s="522"/>
      <c r="H2500" s="539">
        <f>SUM(H2496:H2499)</f>
        <v>45870</v>
      </c>
      <c r="I2500" s="819"/>
      <c r="J2500" s="536"/>
      <c r="K2500" s="824"/>
    </row>
    <row r="2501" spans="3:11" ht="25.8" customHeight="1">
      <c r="C2501" s="213" t="s">
        <v>1209</v>
      </c>
      <c r="D2501" s="212" t="s">
        <v>1210</v>
      </c>
      <c r="E2501" s="534"/>
      <c r="F2501" s="831"/>
      <c r="G2501" s="534"/>
      <c r="H2501" s="534"/>
      <c r="J2501" s="536"/>
      <c r="K2501" s="824"/>
    </row>
    <row r="2502" spans="3:11" ht="25.8" customHeight="1">
      <c r="C2502" s="833" t="s">
        <v>1203</v>
      </c>
      <c r="D2502" s="820" t="s">
        <v>3413</v>
      </c>
      <c r="E2502" s="807" t="s">
        <v>113</v>
      </c>
      <c r="F2502" s="832">
        <v>1.2</v>
      </c>
      <c r="G2502" s="539">
        <f>VLOOKUP(D2502,upahbahan,3,FALSE)</f>
        <v>0</v>
      </c>
      <c r="H2502" s="539">
        <f>F2502*G2502</f>
        <v>0</v>
      </c>
      <c r="J2502" s="536"/>
      <c r="K2502" s="824"/>
    </row>
    <row r="2503" spans="3:11" ht="25.8" customHeight="1">
      <c r="C2503" s="702" t="s">
        <v>1214</v>
      </c>
      <c r="D2503" s="208"/>
      <c r="E2503" s="208"/>
      <c r="F2503" s="208"/>
      <c r="G2503" s="209"/>
      <c r="H2503" s="539">
        <f>SUM(H2502:H2502)</f>
        <v>0</v>
      </c>
      <c r="J2503" s="536"/>
      <c r="K2503" s="824"/>
    </row>
    <row r="2504" spans="3:11" ht="25.8" customHeight="1">
      <c r="C2504" s="213" t="s">
        <v>1215</v>
      </c>
      <c r="D2504" s="212" t="s">
        <v>1216</v>
      </c>
      <c r="E2504" s="534"/>
      <c r="F2504" s="534"/>
      <c r="G2504" s="534"/>
      <c r="H2504" s="534"/>
      <c r="J2504" s="536"/>
      <c r="K2504" s="824"/>
    </row>
    <row r="2505" spans="3:11" ht="25.8" customHeight="1">
      <c r="C2505" s="702" t="s">
        <v>1217</v>
      </c>
      <c r="D2505" s="208"/>
      <c r="E2505" s="208"/>
      <c r="F2505" s="208"/>
      <c r="G2505" s="209"/>
      <c r="H2505" s="821">
        <v>0</v>
      </c>
      <c r="J2505" s="536"/>
      <c r="K2505" s="824"/>
    </row>
    <row r="2506" spans="3:11" ht="25.8" customHeight="1">
      <c r="C2506" s="566" t="s">
        <v>1218</v>
      </c>
      <c r="D2506" s="552" t="s">
        <v>1219</v>
      </c>
      <c r="E2506" s="553"/>
      <c r="F2506" s="553"/>
      <c r="G2506" s="554"/>
      <c r="H2506" s="826">
        <f>H2505+H2503+H2500</f>
        <v>45870</v>
      </c>
      <c r="I2506" s="827"/>
      <c r="J2506" s="536"/>
      <c r="K2506" s="824"/>
    </row>
    <row r="2507" spans="3:11" ht="25.8" customHeight="1">
      <c r="C2507" s="566" t="s">
        <v>1220</v>
      </c>
      <c r="D2507" s="552" t="s">
        <v>1321</v>
      </c>
      <c r="E2507" s="553"/>
      <c r="F2507" s="554"/>
      <c r="G2507" s="555">
        <f>$M$9</f>
        <v>0.1</v>
      </c>
      <c r="H2507" s="539">
        <f>H2506*G2507</f>
        <v>4587</v>
      </c>
      <c r="I2507" s="827"/>
      <c r="J2507" s="536"/>
      <c r="K2507" s="824"/>
    </row>
    <row r="2508" spans="3:11" ht="25.8" customHeight="1">
      <c r="C2508" s="566" t="s">
        <v>1221</v>
      </c>
      <c r="D2508" s="552" t="s">
        <v>1222</v>
      </c>
      <c r="E2508" s="553"/>
      <c r="F2508" s="553"/>
      <c r="G2508" s="554"/>
      <c r="H2508" s="828">
        <f>SUM(H2506:H2507)</f>
        <v>50457</v>
      </c>
      <c r="I2508" s="827"/>
      <c r="J2508" s="536"/>
      <c r="K2508" s="824"/>
    </row>
    <row r="2509" spans="3:11" ht="25.8" customHeight="1">
      <c r="J2509" s="536"/>
      <c r="K2509" s="824"/>
    </row>
    <row r="2510" spans="3:11" ht="25.8" customHeight="1">
      <c r="J2510" s="536"/>
      <c r="K2510" s="824"/>
    </row>
    <row r="2511" spans="3:11" ht="25.8" customHeight="1">
      <c r="C2511" s="517" t="s">
        <v>3414</v>
      </c>
      <c r="D2511" s="817" t="s">
        <v>1758</v>
      </c>
      <c r="E2511" s="803"/>
      <c r="F2511" s="803"/>
      <c r="G2511" s="803"/>
      <c r="H2511" s="803"/>
      <c r="I2511" s="533">
        <f>ROUNDDOWN(H2529,-2)</f>
        <v>410200</v>
      </c>
      <c r="J2511" s="536"/>
      <c r="K2511" s="824"/>
    </row>
    <row r="2512" spans="3:11" ht="25.8" customHeight="1">
      <c r="C2512" s="716" t="s">
        <v>1195</v>
      </c>
      <c r="D2512" s="716" t="s">
        <v>1196</v>
      </c>
      <c r="E2512" s="716" t="s">
        <v>1197</v>
      </c>
      <c r="F2512" s="716" t="s">
        <v>1198</v>
      </c>
      <c r="G2512" s="716" t="s">
        <v>1199</v>
      </c>
      <c r="H2512" s="716" t="s">
        <v>1200</v>
      </c>
    </row>
    <row r="2513" spans="3:9" ht="25.8" customHeight="1">
      <c r="C2513" s="213" t="s">
        <v>1201</v>
      </c>
      <c r="D2513" s="212" t="s">
        <v>1202</v>
      </c>
      <c r="E2513" s="534"/>
      <c r="F2513" s="534"/>
      <c r="G2513" s="534"/>
      <c r="H2513" s="534"/>
    </row>
    <row r="2514" spans="3:9" ht="25.8" customHeight="1">
      <c r="C2514" s="818">
        <v>1</v>
      </c>
      <c r="D2514" s="212" t="s">
        <v>5</v>
      </c>
      <c r="E2514" s="212" t="s">
        <v>6</v>
      </c>
      <c r="F2514" s="538">
        <v>3.5999999999999997E-2</v>
      </c>
      <c r="G2514" s="539">
        <f>VLOOKUP(D2514,upahbahan,3,FALSE)</f>
        <v>100000</v>
      </c>
      <c r="H2514" s="539">
        <f t="shared" ref="H2514:H2517" si="253">F2514*G2514</f>
        <v>3599.9999999999995</v>
      </c>
    </row>
    <row r="2515" spans="3:9" ht="25.8" customHeight="1">
      <c r="C2515" s="818">
        <v>2</v>
      </c>
      <c r="D2515" s="212" t="str">
        <f>D2411</f>
        <v>Tukang listrik</v>
      </c>
      <c r="E2515" s="212" t="s">
        <v>6</v>
      </c>
      <c r="F2515" s="538">
        <v>0.06</v>
      </c>
      <c r="G2515" s="539">
        <f>VLOOKUP(D2515,upahbahan,3,FALSE)</f>
        <v>135000</v>
      </c>
      <c r="H2515" s="539">
        <f t="shared" si="253"/>
        <v>8100</v>
      </c>
    </row>
    <row r="2516" spans="3:9" ht="25.8" customHeight="1">
      <c r="C2516" s="818">
        <v>3</v>
      </c>
      <c r="D2516" s="212" t="s">
        <v>18</v>
      </c>
      <c r="E2516" s="212" t="s">
        <v>6</v>
      </c>
      <c r="F2516" s="538">
        <v>6.0000000000000001E-3</v>
      </c>
      <c r="G2516" s="539">
        <f>VLOOKUP(D2516,upahbahan,3,FALSE)</f>
        <v>150000</v>
      </c>
      <c r="H2516" s="539">
        <f t="shared" si="253"/>
        <v>900</v>
      </c>
    </row>
    <row r="2517" spans="3:9" ht="25.8" customHeight="1">
      <c r="C2517" s="818">
        <v>4</v>
      </c>
      <c r="D2517" s="212" t="s">
        <v>19</v>
      </c>
      <c r="E2517" s="212" t="s">
        <v>6</v>
      </c>
      <c r="F2517" s="538">
        <v>2E-3</v>
      </c>
      <c r="G2517" s="539">
        <f>VLOOKUP(D2517,upahbahan,3,FALSE)</f>
        <v>160000</v>
      </c>
      <c r="H2517" s="539">
        <f t="shared" si="253"/>
        <v>320</v>
      </c>
    </row>
    <row r="2518" spans="3:9" ht="25.8" customHeight="1">
      <c r="C2518" s="702" t="s">
        <v>1208</v>
      </c>
      <c r="D2518" s="208"/>
      <c r="E2518" s="208"/>
      <c r="F2518" s="811"/>
      <c r="G2518" s="522"/>
      <c r="H2518" s="539">
        <f>SUM(H2514:H2517)</f>
        <v>12920</v>
      </c>
      <c r="I2518" s="819"/>
    </row>
    <row r="2519" spans="3:9" ht="25.8" customHeight="1">
      <c r="C2519" s="213" t="s">
        <v>1209</v>
      </c>
      <c r="D2519" s="212" t="s">
        <v>1210</v>
      </c>
      <c r="E2519" s="534"/>
      <c r="F2519" s="831"/>
      <c r="G2519" s="534"/>
      <c r="H2519" s="534"/>
    </row>
    <row r="2520" spans="3:9" ht="25.8" customHeight="1">
      <c r="C2520" s="833" t="s">
        <v>1203</v>
      </c>
      <c r="D2520" s="820" t="s">
        <v>1759</v>
      </c>
      <c r="E2520" s="807" t="s">
        <v>113</v>
      </c>
      <c r="F2520" s="832">
        <v>1.1000000000000001</v>
      </c>
      <c r="G2520" s="539">
        <f>VLOOKUP(D2520,upahbahan,3,FALSE)</f>
        <v>0</v>
      </c>
      <c r="H2520" s="539">
        <f t="shared" ref="H2520:H2523" si="254">F2520*G2520</f>
        <v>0</v>
      </c>
    </row>
    <row r="2521" spans="3:9" ht="25.8" customHeight="1">
      <c r="C2521" s="833" t="s">
        <v>1204</v>
      </c>
      <c r="D2521" s="820" t="s">
        <v>829</v>
      </c>
      <c r="E2521" s="807" t="s">
        <v>44</v>
      </c>
      <c r="F2521" s="832">
        <v>1.2</v>
      </c>
      <c r="G2521" s="539">
        <f>VLOOKUP(D2521,upahbahan,3,FALSE)</f>
        <v>300000</v>
      </c>
      <c r="H2521" s="539">
        <f t="shared" si="254"/>
        <v>360000</v>
      </c>
    </row>
    <row r="2522" spans="3:9" ht="25.8" customHeight="1">
      <c r="C2522" s="833" t="s">
        <v>1205</v>
      </c>
      <c r="D2522" s="820" t="s">
        <v>957</v>
      </c>
      <c r="E2522" s="807" t="s">
        <v>44</v>
      </c>
      <c r="F2522" s="832">
        <v>2</v>
      </c>
      <c r="G2522" s="539">
        <f>VLOOKUP(D2522,upahbahan,3,FALSE)</f>
        <v>0</v>
      </c>
      <c r="H2522" s="539">
        <f t="shared" si="254"/>
        <v>0</v>
      </c>
    </row>
    <row r="2523" spans="3:9" ht="25.8" customHeight="1">
      <c r="C2523" s="833" t="s">
        <v>1206</v>
      </c>
      <c r="D2523" s="820" t="s">
        <v>956</v>
      </c>
      <c r="E2523" s="807" t="s">
        <v>44</v>
      </c>
      <c r="F2523" s="832">
        <v>1</v>
      </c>
      <c r="G2523" s="539">
        <f>VLOOKUP(D2523,upahbahan,3,FALSE)</f>
        <v>0</v>
      </c>
      <c r="H2523" s="539">
        <f t="shared" si="254"/>
        <v>0</v>
      </c>
    </row>
    <row r="2524" spans="3:9" ht="25.8" customHeight="1">
      <c r="C2524" s="702" t="s">
        <v>1214</v>
      </c>
      <c r="D2524" s="208"/>
      <c r="E2524" s="208"/>
      <c r="F2524" s="208"/>
      <c r="G2524" s="209"/>
      <c r="H2524" s="539">
        <f>SUM(H2520:H2523)</f>
        <v>360000</v>
      </c>
    </row>
    <row r="2525" spans="3:9" ht="25.8" customHeight="1">
      <c r="C2525" s="213" t="s">
        <v>1215</v>
      </c>
      <c r="D2525" s="212" t="s">
        <v>1216</v>
      </c>
      <c r="E2525" s="534"/>
      <c r="F2525" s="534"/>
      <c r="G2525" s="534"/>
      <c r="H2525" s="534"/>
    </row>
    <row r="2526" spans="3:9" ht="25.8" customHeight="1">
      <c r="C2526" s="702" t="s">
        <v>1217</v>
      </c>
      <c r="D2526" s="208"/>
      <c r="E2526" s="208"/>
      <c r="F2526" s="208"/>
      <c r="G2526" s="209"/>
      <c r="H2526" s="821">
        <v>0</v>
      </c>
    </row>
    <row r="2527" spans="3:9" ht="25.8" customHeight="1">
      <c r="C2527" s="566" t="s">
        <v>1218</v>
      </c>
      <c r="D2527" s="552" t="s">
        <v>1219</v>
      </c>
      <c r="E2527" s="553"/>
      <c r="F2527" s="553"/>
      <c r="G2527" s="554"/>
      <c r="H2527" s="826">
        <f>H2526+H2524+H2518</f>
        <v>372920</v>
      </c>
      <c r="I2527" s="827"/>
    </row>
    <row r="2528" spans="3:9" ht="25.8" customHeight="1">
      <c r="C2528" s="566" t="s">
        <v>1220</v>
      </c>
      <c r="D2528" s="552" t="s">
        <v>1321</v>
      </c>
      <c r="E2528" s="553"/>
      <c r="F2528" s="554"/>
      <c r="G2528" s="555">
        <f>$M$9</f>
        <v>0.1</v>
      </c>
      <c r="H2528" s="539">
        <f>H2527*G2528</f>
        <v>37292</v>
      </c>
      <c r="I2528" s="827"/>
    </row>
    <row r="2529" spans="3:11" ht="25.8" customHeight="1">
      <c r="C2529" s="566" t="s">
        <v>1221</v>
      </c>
      <c r="D2529" s="552" t="s">
        <v>1222</v>
      </c>
      <c r="E2529" s="553"/>
      <c r="F2529" s="553"/>
      <c r="G2529" s="554"/>
      <c r="H2529" s="828">
        <f>SUM(H2527:H2528)</f>
        <v>410212</v>
      </c>
      <c r="I2529" s="827"/>
    </row>
    <row r="2530" spans="3:11" ht="25.8" customHeight="1"/>
    <row r="2531" spans="3:11" ht="25.8" customHeight="1">
      <c r="C2531" s="513" t="s">
        <v>3415</v>
      </c>
      <c r="D2531" s="817" t="s">
        <v>7728</v>
      </c>
      <c r="E2531" s="803"/>
      <c r="F2531" s="803"/>
      <c r="G2531" s="803"/>
      <c r="H2531" s="803"/>
      <c r="I2531" s="533">
        <f>ROUNDDOWN(H2546,-2)</f>
        <v>70600</v>
      </c>
      <c r="J2531" s="536" t="s">
        <v>6760</v>
      </c>
      <c r="K2531" s="824"/>
    </row>
    <row r="2532" spans="3:11" ht="25.8" customHeight="1">
      <c r="C2532" s="716" t="s">
        <v>1195</v>
      </c>
      <c r="D2532" s="716" t="s">
        <v>1196</v>
      </c>
      <c r="E2532" s="716" t="s">
        <v>1197</v>
      </c>
      <c r="F2532" s="716" t="s">
        <v>1198</v>
      </c>
      <c r="G2532" s="716" t="s">
        <v>1199</v>
      </c>
      <c r="H2532" s="716" t="s">
        <v>1200</v>
      </c>
    </row>
    <row r="2533" spans="3:11" ht="25.8" customHeight="1">
      <c r="C2533" s="213" t="s">
        <v>1201</v>
      </c>
      <c r="D2533" s="212" t="s">
        <v>1202</v>
      </c>
      <c r="E2533" s="534"/>
      <c r="F2533" s="534"/>
      <c r="G2533" s="534"/>
      <c r="H2533" s="534"/>
    </row>
    <row r="2534" spans="3:11" ht="25.8" customHeight="1">
      <c r="C2534" s="818">
        <v>1</v>
      </c>
      <c r="D2534" s="212" t="s">
        <v>5</v>
      </c>
      <c r="E2534" s="212" t="s">
        <v>6</v>
      </c>
      <c r="F2534" s="538">
        <v>0.17899999999999999</v>
      </c>
      <c r="G2534" s="539">
        <f>VLOOKUP(D2534,upahbahan,3,FALSE)</f>
        <v>100000</v>
      </c>
      <c r="H2534" s="539">
        <f t="shared" ref="H2534:H2537" si="255">F2534*G2534</f>
        <v>17900</v>
      </c>
    </row>
    <row r="2535" spans="3:11" ht="25.8" customHeight="1">
      <c r="C2535" s="818">
        <v>2</v>
      </c>
      <c r="D2535" s="212" t="s">
        <v>3295</v>
      </c>
      <c r="E2535" s="212" t="s">
        <v>6</v>
      </c>
      <c r="F2535" s="538">
        <v>0.29799999999999999</v>
      </c>
      <c r="G2535" s="539">
        <f>VLOOKUP(D2535,upahbahan,3,FALSE)</f>
        <v>135000</v>
      </c>
      <c r="H2535" s="539">
        <f t="shared" si="255"/>
        <v>40230</v>
      </c>
    </row>
    <row r="2536" spans="3:11" ht="25.8" customHeight="1">
      <c r="C2536" s="818">
        <v>3</v>
      </c>
      <c r="D2536" s="212" t="s">
        <v>18</v>
      </c>
      <c r="E2536" s="212" t="s">
        <v>6</v>
      </c>
      <c r="F2536" s="538">
        <v>0.03</v>
      </c>
      <c r="G2536" s="539">
        <f>VLOOKUP(D2536,upahbahan,3,FALSE)</f>
        <v>150000</v>
      </c>
      <c r="H2536" s="539">
        <f t="shared" si="255"/>
        <v>4500</v>
      </c>
    </row>
    <row r="2537" spans="3:11" ht="25.8" customHeight="1">
      <c r="C2537" s="818">
        <v>4</v>
      </c>
      <c r="D2537" s="212" t="s">
        <v>19</v>
      </c>
      <c r="E2537" s="212" t="s">
        <v>6</v>
      </c>
      <c r="F2537" s="538">
        <v>0.01</v>
      </c>
      <c r="G2537" s="539">
        <f>VLOOKUP(D2537,upahbahan,3,FALSE)</f>
        <v>160000</v>
      </c>
      <c r="H2537" s="539">
        <f t="shared" si="255"/>
        <v>1600</v>
      </c>
    </row>
    <row r="2538" spans="3:11" ht="25.8" customHeight="1">
      <c r="C2538" s="702" t="s">
        <v>1208</v>
      </c>
      <c r="D2538" s="208"/>
      <c r="E2538" s="208"/>
      <c r="F2538" s="811"/>
      <c r="G2538" s="522"/>
      <c r="H2538" s="539">
        <f>SUM(H2534:H2537)</f>
        <v>64230</v>
      </c>
      <c r="I2538" s="819"/>
    </row>
    <row r="2539" spans="3:11" ht="25.8" customHeight="1">
      <c r="C2539" s="213" t="s">
        <v>1209</v>
      </c>
      <c r="D2539" s="212" t="s">
        <v>1210</v>
      </c>
      <c r="E2539" s="534"/>
      <c r="F2539" s="831"/>
      <c r="G2539" s="534"/>
      <c r="H2539" s="534"/>
    </row>
    <row r="2540" spans="3:11" ht="25.8" customHeight="1">
      <c r="C2540" s="833" t="s">
        <v>1203</v>
      </c>
      <c r="D2540" s="820" t="s">
        <v>7729</v>
      </c>
      <c r="E2540" s="807" t="s">
        <v>113</v>
      </c>
      <c r="F2540" s="832">
        <v>1.25</v>
      </c>
      <c r="G2540" s="539">
        <f>VLOOKUP(D2540,upahbahan,3,FALSE)</f>
        <v>0</v>
      </c>
      <c r="H2540" s="539">
        <f t="shared" ref="H2540" si="256">F2540*G2540</f>
        <v>0</v>
      </c>
    </row>
    <row r="2541" spans="3:11" ht="25.8" customHeight="1">
      <c r="C2541" s="702" t="s">
        <v>1214</v>
      </c>
      <c r="D2541" s="208"/>
      <c r="E2541" s="208"/>
      <c r="F2541" s="208"/>
      <c r="G2541" s="209"/>
      <c r="H2541" s="539">
        <f>SUM(H2540:H2540)</f>
        <v>0</v>
      </c>
    </row>
    <row r="2542" spans="3:11" ht="25.8" customHeight="1">
      <c r="C2542" s="213" t="s">
        <v>1215</v>
      </c>
      <c r="D2542" s="212" t="s">
        <v>1216</v>
      </c>
      <c r="E2542" s="534"/>
      <c r="F2542" s="534"/>
      <c r="G2542" s="534"/>
      <c r="H2542" s="534"/>
    </row>
    <row r="2543" spans="3:11" ht="25.8" customHeight="1">
      <c r="C2543" s="702" t="s">
        <v>1217</v>
      </c>
      <c r="D2543" s="208"/>
      <c r="E2543" s="208"/>
      <c r="F2543" s="208"/>
      <c r="G2543" s="209"/>
      <c r="H2543" s="821">
        <v>0</v>
      </c>
    </row>
    <row r="2544" spans="3:11" ht="25.8" customHeight="1">
      <c r="C2544" s="566" t="s">
        <v>1218</v>
      </c>
      <c r="D2544" s="552" t="s">
        <v>1219</v>
      </c>
      <c r="E2544" s="553"/>
      <c r="F2544" s="553"/>
      <c r="G2544" s="554"/>
      <c r="H2544" s="826">
        <f>H2543+H2541+H2538</f>
        <v>64230</v>
      </c>
      <c r="I2544" s="827"/>
    </row>
    <row r="2545" spans="3:11" ht="25.8" customHeight="1">
      <c r="C2545" s="566" t="s">
        <v>1220</v>
      </c>
      <c r="D2545" s="552" t="s">
        <v>1321</v>
      </c>
      <c r="E2545" s="553"/>
      <c r="F2545" s="554"/>
      <c r="G2545" s="555">
        <f>$M$9</f>
        <v>0.1</v>
      </c>
      <c r="H2545" s="539">
        <f>H2544*G2545</f>
        <v>6423</v>
      </c>
      <c r="I2545" s="827"/>
    </row>
    <row r="2546" spans="3:11" ht="25.8" customHeight="1">
      <c r="C2546" s="566" t="s">
        <v>1221</v>
      </c>
      <c r="D2546" s="552" t="s">
        <v>1222</v>
      </c>
      <c r="E2546" s="553"/>
      <c r="F2546" s="553"/>
      <c r="G2546" s="554"/>
      <c r="H2546" s="828">
        <f>SUM(H2544:H2545)</f>
        <v>70653</v>
      </c>
      <c r="I2546" s="827"/>
    </row>
    <row r="2547" spans="3:11" ht="25.8" customHeight="1"/>
    <row r="2548" spans="3:11" ht="25.8" customHeight="1">
      <c r="C2548" s="513" t="s">
        <v>3421</v>
      </c>
      <c r="D2548" s="817" t="s">
        <v>7730</v>
      </c>
      <c r="E2548" s="803"/>
      <c r="F2548" s="803"/>
      <c r="G2548" s="803"/>
      <c r="H2548" s="803"/>
      <c r="I2548" s="533">
        <f>ROUNDDOWN(H2563,-2)</f>
        <v>70600</v>
      </c>
      <c r="J2548" s="536" t="s">
        <v>6760</v>
      </c>
      <c r="K2548" s="824"/>
    </row>
    <row r="2549" spans="3:11" ht="25.8" customHeight="1">
      <c r="C2549" s="716" t="s">
        <v>1195</v>
      </c>
      <c r="D2549" s="716" t="s">
        <v>1196</v>
      </c>
      <c r="E2549" s="716" t="s">
        <v>1197</v>
      </c>
      <c r="F2549" s="716" t="s">
        <v>1198</v>
      </c>
      <c r="G2549" s="716" t="s">
        <v>1199</v>
      </c>
      <c r="H2549" s="716" t="s">
        <v>1200</v>
      </c>
    </row>
    <row r="2550" spans="3:11" ht="25.8" customHeight="1">
      <c r="C2550" s="213" t="s">
        <v>1201</v>
      </c>
      <c r="D2550" s="212" t="s">
        <v>1202</v>
      </c>
      <c r="E2550" s="534"/>
      <c r="F2550" s="534"/>
      <c r="G2550" s="534"/>
      <c r="H2550" s="534"/>
    </row>
    <row r="2551" spans="3:11" ht="25.8" customHeight="1">
      <c r="C2551" s="818">
        <v>1</v>
      </c>
      <c r="D2551" s="212" t="s">
        <v>5</v>
      </c>
      <c r="E2551" s="212" t="s">
        <v>6</v>
      </c>
      <c r="F2551" s="538">
        <v>0.17899999999999999</v>
      </c>
      <c r="G2551" s="539">
        <f>VLOOKUP(D2551,upahbahan,3,FALSE)</f>
        <v>100000</v>
      </c>
      <c r="H2551" s="539">
        <f t="shared" ref="H2551:H2554" si="257">F2551*G2551</f>
        <v>17900</v>
      </c>
    </row>
    <row r="2552" spans="3:11" ht="25.8" customHeight="1">
      <c r="C2552" s="818">
        <v>2</v>
      </c>
      <c r="D2552" s="212" t="s">
        <v>3295</v>
      </c>
      <c r="E2552" s="212" t="s">
        <v>6</v>
      </c>
      <c r="F2552" s="538">
        <v>0.29799999999999999</v>
      </c>
      <c r="G2552" s="539">
        <f>VLOOKUP(D2552,upahbahan,3,FALSE)</f>
        <v>135000</v>
      </c>
      <c r="H2552" s="539">
        <f t="shared" si="257"/>
        <v>40230</v>
      </c>
    </row>
    <row r="2553" spans="3:11" ht="25.8" customHeight="1">
      <c r="C2553" s="818">
        <v>3</v>
      </c>
      <c r="D2553" s="212" t="s">
        <v>18</v>
      </c>
      <c r="E2553" s="212" t="s">
        <v>6</v>
      </c>
      <c r="F2553" s="538">
        <v>0.03</v>
      </c>
      <c r="G2553" s="539">
        <f>VLOOKUP(D2553,upahbahan,3,FALSE)</f>
        <v>150000</v>
      </c>
      <c r="H2553" s="539">
        <f t="shared" si="257"/>
        <v>4500</v>
      </c>
    </row>
    <row r="2554" spans="3:11" ht="25.8" customHeight="1">
      <c r="C2554" s="818">
        <v>4</v>
      </c>
      <c r="D2554" s="212" t="s">
        <v>19</v>
      </c>
      <c r="E2554" s="212" t="s">
        <v>6</v>
      </c>
      <c r="F2554" s="538">
        <v>0.01</v>
      </c>
      <c r="G2554" s="539">
        <f>VLOOKUP(D2554,upahbahan,3,FALSE)</f>
        <v>160000</v>
      </c>
      <c r="H2554" s="539">
        <f t="shared" si="257"/>
        <v>1600</v>
      </c>
    </row>
    <row r="2555" spans="3:11" ht="25.8" customHeight="1">
      <c r="C2555" s="702" t="s">
        <v>1208</v>
      </c>
      <c r="D2555" s="208"/>
      <c r="E2555" s="208"/>
      <c r="F2555" s="811"/>
      <c r="G2555" s="522"/>
      <c r="H2555" s="539">
        <f>SUM(H2551:H2554)</f>
        <v>64230</v>
      </c>
      <c r="I2555" s="819"/>
    </row>
    <row r="2556" spans="3:11" ht="25.8" customHeight="1">
      <c r="C2556" s="213" t="s">
        <v>1209</v>
      </c>
      <c r="D2556" s="212" t="s">
        <v>1210</v>
      </c>
      <c r="E2556" s="534"/>
      <c r="F2556" s="831"/>
      <c r="G2556" s="534"/>
      <c r="H2556" s="534"/>
    </row>
    <row r="2557" spans="3:11" ht="25.8" customHeight="1">
      <c r="C2557" s="833" t="s">
        <v>1203</v>
      </c>
      <c r="D2557" s="820" t="s">
        <v>7731</v>
      </c>
      <c r="E2557" s="807" t="s">
        <v>113</v>
      </c>
      <c r="F2557" s="832">
        <v>1.25</v>
      </c>
      <c r="G2557" s="539">
        <f>VLOOKUP(D2557,upahbahan,3,FALSE)</f>
        <v>0</v>
      </c>
      <c r="H2557" s="539">
        <f t="shared" ref="H2557" si="258">F2557*G2557</f>
        <v>0</v>
      </c>
    </row>
    <row r="2558" spans="3:11" ht="25.8" customHeight="1">
      <c r="C2558" s="702" t="s">
        <v>1214</v>
      </c>
      <c r="D2558" s="208"/>
      <c r="E2558" s="208"/>
      <c r="F2558" s="208"/>
      <c r="G2558" s="209"/>
      <c r="H2558" s="539">
        <f>SUM(H2557:H2557)</f>
        <v>0</v>
      </c>
    </row>
    <row r="2559" spans="3:11" ht="25.8" customHeight="1">
      <c r="C2559" s="213" t="s">
        <v>1215</v>
      </c>
      <c r="D2559" s="212" t="s">
        <v>1216</v>
      </c>
      <c r="E2559" s="534"/>
      <c r="F2559" s="534"/>
      <c r="G2559" s="534"/>
      <c r="H2559" s="534"/>
    </row>
    <row r="2560" spans="3:11" ht="25.8" customHeight="1">
      <c r="C2560" s="702" t="s">
        <v>1217</v>
      </c>
      <c r="D2560" s="208"/>
      <c r="E2560" s="208"/>
      <c r="F2560" s="208"/>
      <c r="G2560" s="209"/>
      <c r="H2560" s="821">
        <v>0</v>
      </c>
    </row>
    <row r="2561" spans="3:11" ht="25.8" customHeight="1">
      <c r="C2561" s="566" t="s">
        <v>1218</v>
      </c>
      <c r="D2561" s="552" t="s">
        <v>1219</v>
      </c>
      <c r="E2561" s="553"/>
      <c r="F2561" s="553"/>
      <c r="G2561" s="554"/>
      <c r="H2561" s="826">
        <f>H2560+H2558+H2555</f>
        <v>64230</v>
      </c>
      <c r="I2561" s="827"/>
    </row>
    <row r="2562" spans="3:11" ht="25.8" customHeight="1">
      <c r="C2562" s="566" t="s">
        <v>1220</v>
      </c>
      <c r="D2562" s="552" t="s">
        <v>1321</v>
      </c>
      <c r="E2562" s="553"/>
      <c r="F2562" s="554"/>
      <c r="G2562" s="555">
        <f>$M$9</f>
        <v>0.1</v>
      </c>
      <c r="H2562" s="539">
        <f>H2561*G2562</f>
        <v>6423</v>
      </c>
      <c r="I2562" s="827"/>
    </row>
    <row r="2563" spans="3:11" ht="25.8" customHeight="1">
      <c r="C2563" s="566" t="s">
        <v>1221</v>
      </c>
      <c r="D2563" s="552" t="s">
        <v>1222</v>
      </c>
      <c r="E2563" s="553"/>
      <c r="F2563" s="553"/>
      <c r="G2563" s="554"/>
      <c r="H2563" s="828">
        <f>SUM(H2561:H2562)</f>
        <v>70653</v>
      </c>
      <c r="I2563" s="827"/>
    </row>
    <row r="2564" spans="3:11" ht="25.8" customHeight="1"/>
    <row r="2565" spans="3:11" ht="25.8" customHeight="1">
      <c r="C2565" s="513" t="s">
        <v>3423</v>
      </c>
      <c r="D2565" s="817" t="s">
        <v>7732</v>
      </c>
      <c r="E2565" s="803"/>
      <c r="F2565" s="803"/>
      <c r="G2565" s="803"/>
      <c r="H2565" s="803"/>
      <c r="I2565" s="533">
        <f>ROUNDDOWN(H2580,-2)</f>
        <v>70600</v>
      </c>
      <c r="J2565" s="536" t="s">
        <v>6760</v>
      </c>
      <c r="K2565" s="824"/>
    </row>
    <row r="2566" spans="3:11" ht="25.8" customHeight="1">
      <c r="C2566" s="716" t="s">
        <v>1195</v>
      </c>
      <c r="D2566" s="716" t="s">
        <v>1196</v>
      </c>
      <c r="E2566" s="716" t="s">
        <v>1197</v>
      </c>
      <c r="F2566" s="716" t="s">
        <v>1198</v>
      </c>
      <c r="G2566" s="716" t="s">
        <v>1199</v>
      </c>
      <c r="H2566" s="716" t="s">
        <v>1200</v>
      </c>
    </row>
    <row r="2567" spans="3:11" ht="25.8" customHeight="1">
      <c r="C2567" s="213" t="s">
        <v>1201</v>
      </c>
      <c r="D2567" s="212" t="s">
        <v>1202</v>
      </c>
      <c r="E2567" s="534"/>
      <c r="F2567" s="534"/>
      <c r="G2567" s="534"/>
      <c r="H2567" s="534"/>
    </row>
    <row r="2568" spans="3:11" ht="25.8" customHeight="1">
      <c r="C2568" s="818">
        <v>1</v>
      </c>
      <c r="D2568" s="212" t="s">
        <v>5</v>
      </c>
      <c r="E2568" s="212" t="s">
        <v>6</v>
      </c>
      <c r="F2568" s="538">
        <v>0.17899999999999999</v>
      </c>
      <c r="G2568" s="539">
        <f>VLOOKUP(D2568,upahbahan,3,FALSE)</f>
        <v>100000</v>
      </c>
      <c r="H2568" s="539">
        <f t="shared" ref="H2568:H2571" si="259">F2568*G2568</f>
        <v>17900</v>
      </c>
    </row>
    <row r="2569" spans="3:11" ht="25.8" customHeight="1">
      <c r="C2569" s="818">
        <v>2</v>
      </c>
      <c r="D2569" s="212" t="s">
        <v>3295</v>
      </c>
      <c r="E2569" s="212" t="s">
        <v>6</v>
      </c>
      <c r="F2569" s="538">
        <v>0.29799999999999999</v>
      </c>
      <c r="G2569" s="539">
        <f>VLOOKUP(D2569,upahbahan,3,FALSE)</f>
        <v>135000</v>
      </c>
      <c r="H2569" s="539">
        <f t="shared" si="259"/>
        <v>40230</v>
      </c>
    </row>
    <row r="2570" spans="3:11" ht="25.8" customHeight="1">
      <c r="C2570" s="818">
        <v>3</v>
      </c>
      <c r="D2570" s="212" t="s">
        <v>18</v>
      </c>
      <c r="E2570" s="212" t="s">
        <v>6</v>
      </c>
      <c r="F2570" s="538">
        <v>0.03</v>
      </c>
      <c r="G2570" s="539">
        <f>VLOOKUP(D2570,upahbahan,3,FALSE)</f>
        <v>150000</v>
      </c>
      <c r="H2570" s="539">
        <f t="shared" si="259"/>
        <v>4500</v>
      </c>
    </row>
    <row r="2571" spans="3:11" ht="25.8" customHeight="1">
      <c r="C2571" s="818">
        <v>4</v>
      </c>
      <c r="D2571" s="212" t="s">
        <v>19</v>
      </c>
      <c r="E2571" s="212" t="s">
        <v>6</v>
      </c>
      <c r="F2571" s="538">
        <v>0.01</v>
      </c>
      <c r="G2571" s="539">
        <f>VLOOKUP(D2571,upahbahan,3,FALSE)</f>
        <v>160000</v>
      </c>
      <c r="H2571" s="539">
        <f t="shared" si="259"/>
        <v>1600</v>
      </c>
    </row>
    <row r="2572" spans="3:11" ht="25.8" customHeight="1">
      <c r="C2572" s="702" t="s">
        <v>1208</v>
      </c>
      <c r="D2572" s="208"/>
      <c r="E2572" s="208"/>
      <c r="F2572" s="811"/>
      <c r="G2572" s="522"/>
      <c r="H2572" s="539">
        <f>SUM(H2568:H2571)</f>
        <v>64230</v>
      </c>
      <c r="I2572" s="819"/>
    </row>
    <row r="2573" spans="3:11" ht="25.8" customHeight="1">
      <c r="C2573" s="213" t="s">
        <v>1209</v>
      </c>
      <c r="D2573" s="212" t="s">
        <v>1210</v>
      </c>
      <c r="E2573" s="534"/>
      <c r="F2573" s="831"/>
      <c r="G2573" s="534"/>
      <c r="H2573" s="534"/>
    </row>
    <row r="2574" spans="3:11" ht="25.8" customHeight="1">
      <c r="C2574" s="833" t="s">
        <v>1203</v>
      </c>
      <c r="D2574" s="820" t="s">
        <v>7733</v>
      </c>
      <c r="E2574" s="807" t="s">
        <v>113</v>
      </c>
      <c r="F2574" s="832">
        <v>1.25</v>
      </c>
      <c r="G2574" s="539">
        <f>VLOOKUP(D2574,upahbahan,3,FALSE)</f>
        <v>0</v>
      </c>
      <c r="H2574" s="539">
        <f t="shared" ref="H2574" si="260">F2574*G2574</f>
        <v>0</v>
      </c>
    </row>
    <row r="2575" spans="3:11" ht="25.8" customHeight="1">
      <c r="C2575" s="702" t="s">
        <v>1214</v>
      </c>
      <c r="D2575" s="208"/>
      <c r="E2575" s="208"/>
      <c r="F2575" s="208"/>
      <c r="G2575" s="209"/>
      <c r="H2575" s="539">
        <f>SUM(H2574:H2574)</f>
        <v>0</v>
      </c>
    </row>
    <row r="2576" spans="3:11" ht="25.8" customHeight="1">
      <c r="C2576" s="213" t="s">
        <v>1215</v>
      </c>
      <c r="D2576" s="212" t="s">
        <v>1216</v>
      </c>
      <c r="E2576" s="534"/>
      <c r="F2576" s="534"/>
      <c r="G2576" s="534"/>
      <c r="H2576" s="534"/>
    </row>
    <row r="2577" spans="3:11" ht="25.8" customHeight="1">
      <c r="C2577" s="702" t="s">
        <v>1217</v>
      </c>
      <c r="D2577" s="208"/>
      <c r="E2577" s="208"/>
      <c r="F2577" s="208"/>
      <c r="G2577" s="209"/>
      <c r="H2577" s="821">
        <v>0</v>
      </c>
    </row>
    <row r="2578" spans="3:11" ht="25.8" customHeight="1">
      <c r="C2578" s="566" t="s">
        <v>1218</v>
      </c>
      <c r="D2578" s="552" t="s">
        <v>1219</v>
      </c>
      <c r="E2578" s="553"/>
      <c r="F2578" s="553"/>
      <c r="G2578" s="554"/>
      <c r="H2578" s="826">
        <f>H2577+H2575+H2572</f>
        <v>64230</v>
      </c>
      <c r="I2578" s="827"/>
    </row>
    <row r="2579" spans="3:11" ht="25.8" customHeight="1">
      <c r="C2579" s="566" t="s">
        <v>1220</v>
      </c>
      <c r="D2579" s="552" t="s">
        <v>1321</v>
      </c>
      <c r="E2579" s="553"/>
      <c r="F2579" s="554"/>
      <c r="G2579" s="555">
        <f>$M$9</f>
        <v>0.1</v>
      </c>
      <c r="H2579" s="539">
        <f>H2578*G2579</f>
        <v>6423</v>
      </c>
      <c r="I2579" s="827"/>
    </row>
    <row r="2580" spans="3:11" ht="25.8" customHeight="1">
      <c r="C2580" s="566" t="s">
        <v>1221</v>
      </c>
      <c r="D2580" s="552" t="s">
        <v>1222</v>
      </c>
      <c r="E2580" s="553"/>
      <c r="F2580" s="553"/>
      <c r="G2580" s="554"/>
      <c r="H2580" s="828">
        <f>SUM(H2578:H2579)</f>
        <v>70653</v>
      </c>
      <c r="I2580" s="827"/>
    </row>
    <row r="2581" spans="3:11" ht="25.8" customHeight="1"/>
    <row r="2582" spans="3:11" ht="25.8" customHeight="1">
      <c r="C2582" s="513" t="s">
        <v>7734</v>
      </c>
      <c r="D2582" s="817" t="s">
        <v>7735</v>
      </c>
      <c r="E2582" s="803"/>
      <c r="F2582" s="803"/>
      <c r="G2582" s="803"/>
      <c r="H2582" s="803"/>
      <c r="I2582" s="533">
        <f>ROUNDDOWN(H2597,-2)</f>
        <v>70600</v>
      </c>
      <c r="J2582" s="536" t="s">
        <v>6760</v>
      </c>
      <c r="K2582" s="824"/>
    </row>
    <row r="2583" spans="3:11" ht="25.8" customHeight="1">
      <c r="C2583" s="716" t="s">
        <v>1195</v>
      </c>
      <c r="D2583" s="716" t="s">
        <v>1196</v>
      </c>
      <c r="E2583" s="716" t="s">
        <v>1197</v>
      </c>
      <c r="F2583" s="716" t="s">
        <v>1198</v>
      </c>
      <c r="G2583" s="716" t="s">
        <v>1199</v>
      </c>
      <c r="H2583" s="716" t="s">
        <v>1200</v>
      </c>
    </row>
    <row r="2584" spans="3:11" ht="25.8" customHeight="1">
      <c r="C2584" s="213" t="s">
        <v>1201</v>
      </c>
      <c r="D2584" s="212" t="s">
        <v>1202</v>
      </c>
      <c r="E2584" s="534"/>
      <c r="F2584" s="534"/>
      <c r="G2584" s="534"/>
      <c r="H2584" s="534"/>
    </row>
    <row r="2585" spans="3:11" ht="25.8" customHeight="1">
      <c r="C2585" s="818">
        <v>1</v>
      </c>
      <c r="D2585" s="212" t="s">
        <v>5</v>
      </c>
      <c r="E2585" s="212" t="s">
        <v>6</v>
      </c>
      <c r="F2585" s="538">
        <v>0.17899999999999999</v>
      </c>
      <c r="G2585" s="539">
        <f>VLOOKUP(D2585,upahbahan,3,FALSE)</f>
        <v>100000</v>
      </c>
      <c r="H2585" s="539">
        <f t="shared" ref="H2585:H2588" si="261">F2585*G2585</f>
        <v>17900</v>
      </c>
    </row>
    <row r="2586" spans="3:11" ht="25.8" customHeight="1">
      <c r="C2586" s="818">
        <v>2</v>
      </c>
      <c r="D2586" s="212" t="s">
        <v>3295</v>
      </c>
      <c r="E2586" s="212" t="s">
        <v>6</v>
      </c>
      <c r="F2586" s="538">
        <v>0.29799999999999999</v>
      </c>
      <c r="G2586" s="539">
        <f>VLOOKUP(D2586,upahbahan,3,FALSE)</f>
        <v>135000</v>
      </c>
      <c r="H2586" s="539">
        <f t="shared" si="261"/>
        <v>40230</v>
      </c>
    </row>
    <row r="2587" spans="3:11" ht="25.8" customHeight="1">
      <c r="C2587" s="818">
        <v>3</v>
      </c>
      <c r="D2587" s="212" t="s">
        <v>18</v>
      </c>
      <c r="E2587" s="212" t="s">
        <v>6</v>
      </c>
      <c r="F2587" s="538">
        <v>0.03</v>
      </c>
      <c r="G2587" s="539">
        <f>VLOOKUP(D2587,upahbahan,3,FALSE)</f>
        <v>150000</v>
      </c>
      <c r="H2587" s="539">
        <f t="shared" si="261"/>
        <v>4500</v>
      </c>
    </row>
    <row r="2588" spans="3:11" ht="25.8" customHeight="1">
      <c r="C2588" s="818">
        <v>4</v>
      </c>
      <c r="D2588" s="212" t="s">
        <v>19</v>
      </c>
      <c r="E2588" s="212" t="s">
        <v>6</v>
      </c>
      <c r="F2588" s="538">
        <v>0.01</v>
      </c>
      <c r="G2588" s="539">
        <f>VLOOKUP(D2588,upahbahan,3,FALSE)</f>
        <v>160000</v>
      </c>
      <c r="H2588" s="539">
        <f t="shared" si="261"/>
        <v>1600</v>
      </c>
    </row>
    <row r="2589" spans="3:11" ht="25.8" customHeight="1">
      <c r="C2589" s="702" t="s">
        <v>1208</v>
      </c>
      <c r="D2589" s="208"/>
      <c r="E2589" s="208"/>
      <c r="F2589" s="811"/>
      <c r="G2589" s="522"/>
      <c r="H2589" s="539">
        <f>SUM(H2585:H2588)</f>
        <v>64230</v>
      </c>
      <c r="I2589" s="819"/>
    </row>
    <row r="2590" spans="3:11" ht="25.8" customHeight="1">
      <c r="C2590" s="213" t="s">
        <v>1209</v>
      </c>
      <c r="D2590" s="212" t="s">
        <v>1210</v>
      </c>
      <c r="E2590" s="534"/>
      <c r="F2590" s="831"/>
      <c r="G2590" s="534"/>
      <c r="H2590" s="534"/>
    </row>
    <row r="2591" spans="3:11" ht="25.8" customHeight="1">
      <c r="C2591" s="833" t="s">
        <v>1203</v>
      </c>
      <c r="D2591" s="820" t="s">
        <v>7736</v>
      </c>
      <c r="E2591" s="807" t="s">
        <v>113</v>
      </c>
      <c r="F2591" s="832">
        <v>1.25</v>
      </c>
      <c r="G2591" s="539">
        <f>VLOOKUP(D2591,upahbahan,3,FALSE)</f>
        <v>0</v>
      </c>
      <c r="H2591" s="539">
        <f t="shared" ref="H2591" si="262">F2591*G2591</f>
        <v>0</v>
      </c>
    </row>
    <row r="2592" spans="3:11" ht="25.8" customHeight="1">
      <c r="C2592" s="702" t="s">
        <v>1214</v>
      </c>
      <c r="D2592" s="208"/>
      <c r="E2592" s="208"/>
      <c r="F2592" s="208"/>
      <c r="G2592" s="209"/>
      <c r="H2592" s="539">
        <f>SUM(H2591:H2591)</f>
        <v>0</v>
      </c>
    </row>
    <row r="2593" spans="3:11" ht="25.8" customHeight="1">
      <c r="C2593" s="213" t="s">
        <v>1215</v>
      </c>
      <c r="D2593" s="212" t="s">
        <v>1216</v>
      </c>
      <c r="E2593" s="534"/>
      <c r="F2593" s="534"/>
      <c r="G2593" s="534"/>
      <c r="H2593" s="534"/>
    </row>
    <row r="2594" spans="3:11" ht="25.8" customHeight="1">
      <c r="C2594" s="702" t="s">
        <v>1217</v>
      </c>
      <c r="D2594" s="208"/>
      <c r="E2594" s="208"/>
      <c r="F2594" s="208"/>
      <c r="G2594" s="209"/>
      <c r="H2594" s="821">
        <v>0</v>
      </c>
    </row>
    <row r="2595" spans="3:11" ht="25.8" customHeight="1">
      <c r="C2595" s="566" t="s">
        <v>1218</v>
      </c>
      <c r="D2595" s="552" t="s">
        <v>1219</v>
      </c>
      <c r="E2595" s="553"/>
      <c r="F2595" s="553"/>
      <c r="G2595" s="554"/>
      <c r="H2595" s="826">
        <f>H2594+H2592+H2589</f>
        <v>64230</v>
      </c>
      <c r="I2595" s="827"/>
    </row>
    <row r="2596" spans="3:11" ht="25.8" customHeight="1">
      <c r="C2596" s="566" t="s">
        <v>1220</v>
      </c>
      <c r="D2596" s="552" t="s">
        <v>1321</v>
      </c>
      <c r="E2596" s="553"/>
      <c r="F2596" s="554"/>
      <c r="G2596" s="555">
        <f>$M$9</f>
        <v>0.1</v>
      </c>
      <c r="H2596" s="539">
        <f>H2595*G2596</f>
        <v>6423</v>
      </c>
      <c r="I2596" s="827"/>
    </row>
    <row r="2597" spans="3:11" ht="25.8" customHeight="1">
      <c r="C2597" s="566" t="s">
        <v>1221</v>
      </c>
      <c r="D2597" s="552" t="s">
        <v>1222</v>
      </c>
      <c r="E2597" s="553"/>
      <c r="F2597" s="553"/>
      <c r="G2597" s="554"/>
      <c r="H2597" s="828">
        <f>SUM(H2595:H2596)</f>
        <v>70653</v>
      </c>
      <c r="I2597" s="827"/>
    </row>
    <row r="2598" spans="3:11" ht="25.8" customHeight="1"/>
    <row r="2599" spans="3:11" ht="25.8" customHeight="1">
      <c r="C2599" s="513" t="s">
        <v>7737</v>
      </c>
      <c r="D2599" s="817" t="s">
        <v>7738</v>
      </c>
      <c r="E2599" s="803"/>
      <c r="F2599" s="803"/>
      <c r="G2599" s="803"/>
      <c r="H2599" s="803"/>
      <c r="I2599" s="533">
        <f>ROUNDDOWN(H2614,-2)</f>
        <v>70600</v>
      </c>
      <c r="J2599" s="536" t="s">
        <v>6760</v>
      </c>
      <c r="K2599" s="824"/>
    </row>
    <row r="2600" spans="3:11" ht="25.8" customHeight="1">
      <c r="C2600" s="716" t="s">
        <v>1195</v>
      </c>
      <c r="D2600" s="716" t="s">
        <v>1196</v>
      </c>
      <c r="E2600" s="716" t="s">
        <v>1197</v>
      </c>
      <c r="F2600" s="716" t="s">
        <v>1198</v>
      </c>
      <c r="G2600" s="716" t="s">
        <v>1199</v>
      </c>
      <c r="H2600" s="716" t="s">
        <v>1200</v>
      </c>
    </row>
    <row r="2601" spans="3:11" ht="25.8" customHeight="1">
      <c r="C2601" s="213" t="s">
        <v>1201</v>
      </c>
      <c r="D2601" s="212" t="s">
        <v>1202</v>
      </c>
      <c r="E2601" s="534"/>
      <c r="F2601" s="534"/>
      <c r="G2601" s="534"/>
      <c r="H2601" s="534"/>
    </row>
    <row r="2602" spans="3:11" ht="25.8" customHeight="1">
      <c r="C2602" s="818">
        <v>1</v>
      </c>
      <c r="D2602" s="212" t="s">
        <v>5</v>
      </c>
      <c r="E2602" s="212" t="s">
        <v>6</v>
      </c>
      <c r="F2602" s="538">
        <v>0.17899999999999999</v>
      </c>
      <c r="G2602" s="539">
        <f>VLOOKUP(D2602,upahbahan,3,FALSE)</f>
        <v>100000</v>
      </c>
      <c r="H2602" s="539">
        <f t="shared" ref="H2602:H2605" si="263">F2602*G2602</f>
        <v>17900</v>
      </c>
    </row>
    <row r="2603" spans="3:11" ht="25.8" customHeight="1">
      <c r="C2603" s="818">
        <v>2</v>
      </c>
      <c r="D2603" s="212" t="s">
        <v>3295</v>
      </c>
      <c r="E2603" s="212" t="s">
        <v>6</v>
      </c>
      <c r="F2603" s="538">
        <v>0.29799999999999999</v>
      </c>
      <c r="G2603" s="539">
        <f>VLOOKUP(D2603,upahbahan,3,FALSE)</f>
        <v>135000</v>
      </c>
      <c r="H2603" s="539">
        <f t="shared" si="263"/>
        <v>40230</v>
      </c>
    </row>
    <row r="2604" spans="3:11" ht="25.8" customHeight="1">
      <c r="C2604" s="818">
        <v>3</v>
      </c>
      <c r="D2604" s="212" t="s">
        <v>18</v>
      </c>
      <c r="E2604" s="212" t="s">
        <v>6</v>
      </c>
      <c r="F2604" s="538">
        <v>0.03</v>
      </c>
      <c r="G2604" s="539">
        <f>VLOOKUP(D2604,upahbahan,3,FALSE)</f>
        <v>150000</v>
      </c>
      <c r="H2604" s="539">
        <f t="shared" si="263"/>
        <v>4500</v>
      </c>
    </row>
    <row r="2605" spans="3:11" ht="25.8" customHeight="1">
      <c r="C2605" s="818">
        <v>4</v>
      </c>
      <c r="D2605" s="212" t="s">
        <v>19</v>
      </c>
      <c r="E2605" s="212" t="s">
        <v>6</v>
      </c>
      <c r="F2605" s="538">
        <v>0.01</v>
      </c>
      <c r="G2605" s="539">
        <f>VLOOKUP(D2605,upahbahan,3,FALSE)</f>
        <v>160000</v>
      </c>
      <c r="H2605" s="539">
        <f t="shared" si="263"/>
        <v>1600</v>
      </c>
    </row>
    <row r="2606" spans="3:11" ht="25.8" customHeight="1">
      <c r="C2606" s="702" t="s">
        <v>1208</v>
      </c>
      <c r="D2606" s="208"/>
      <c r="E2606" s="208"/>
      <c r="F2606" s="811"/>
      <c r="G2606" s="522"/>
      <c r="H2606" s="539">
        <f>SUM(H2602:H2605)</f>
        <v>64230</v>
      </c>
      <c r="I2606" s="819"/>
    </row>
    <row r="2607" spans="3:11" ht="25.8" customHeight="1">
      <c r="C2607" s="213" t="s">
        <v>1209</v>
      </c>
      <c r="D2607" s="212" t="s">
        <v>1210</v>
      </c>
      <c r="E2607" s="534"/>
      <c r="F2607" s="831"/>
      <c r="G2607" s="534"/>
      <c r="H2607" s="534"/>
    </row>
    <row r="2608" spans="3:11" ht="25.8" customHeight="1">
      <c r="C2608" s="833" t="s">
        <v>1203</v>
      </c>
      <c r="D2608" s="820" t="s">
        <v>7739</v>
      </c>
      <c r="E2608" s="807" t="s">
        <v>113</v>
      </c>
      <c r="F2608" s="832">
        <v>1.25</v>
      </c>
      <c r="G2608" s="539">
        <f>VLOOKUP(D2608,upahbahan,3,FALSE)</f>
        <v>0</v>
      </c>
      <c r="H2608" s="539">
        <f t="shared" ref="H2608" si="264">F2608*G2608</f>
        <v>0</v>
      </c>
    </row>
    <row r="2609" spans="3:11" ht="25.8" customHeight="1">
      <c r="C2609" s="702" t="s">
        <v>1214</v>
      </c>
      <c r="D2609" s="208"/>
      <c r="E2609" s="208"/>
      <c r="F2609" s="208"/>
      <c r="G2609" s="209"/>
      <c r="H2609" s="539">
        <f>SUM(H2608:H2608)</f>
        <v>0</v>
      </c>
    </row>
    <row r="2610" spans="3:11" ht="25.8" customHeight="1">
      <c r="C2610" s="213" t="s">
        <v>1215</v>
      </c>
      <c r="D2610" s="212" t="s">
        <v>1216</v>
      </c>
      <c r="E2610" s="534"/>
      <c r="F2610" s="534"/>
      <c r="G2610" s="534"/>
      <c r="H2610" s="534"/>
    </row>
    <row r="2611" spans="3:11" ht="25.8" customHeight="1">
      <c r="C2611" s="702" t="s">
        <v>1217</v>
      </c>
      <c r="D2611" s="208"/>
      <c r="E2611" s="208"/>
      <c r="F2611" s="208"/>
      <c r="G2611" s="209"/>
      <c r="H2611" s="821">
        <v>0</v>
      </c>
    </row>
    <row r="2612" spans="3:11" ht="25.8" customHeight="1">
      <c r="C2612" s="566" t="s">
        <v>1218</v>
      </c>
      <c r="D2612" s="552" t="s">
        <v>1219</v>
      </c>
      <c r="E2612" s="553"/>
      <c r="F2612" s="553"/>
      <c r="G2612" s="554"/>
      <c r="H2612" s="826">
        <f>H2611+H2609+H2606</f>
        <v>64230</v>
      </c>
      <c r="I2612" s="827"/>
    </row>
    <row r="2613" spans="3:11" ht="25.8" customHeight="1">
      <c r="C2613" s="566" t="s">
        <v>1220</v>
      </c>
      <c r="D2613" s="552" t="s">
        <v>1321</v>
      </c>
      <c r="E2613" s="553"/>
      <c r="F2613" s="554"/>
      <c r="G2613" s="555">
        <f>$M$9</f>
        <v>0.1</v>
      </c>
      <c r="H2613" s="539">
        <f>H2612*G2613</f>
        <v>6423</v>
      </c>
      <c r="I2613" s="827"/>
    </row>
    <row r="2614" spans="3:11" ht="25.8" customHeight="1">
      <c r="C2614" s="566" t="s">
        <v>1221</v>
      </c>
      <c r="D2614" s="552" t="s">
        <v>1222</v>
      </c>
      <c r="E2614" s="553"/>
      <c r="F2614" s="553"/>
      <c r="G2614" s="554"/>
      <c r="H2614" s="828">
        <f>SUM(H2612:H2613)</f>
        <v>70653</v>
      </c>
      <c r="I2614" s="827"/>
    </row>
    <row r="2615" spans="3:11" ht="25.8" customHeight="1"/>
    <row r="2616" spans="3:11" ht="25.8" customHeight="1"/>
    <row r="2617" spans="3:11" ht="25.8" customHeight="1">
      <c r="C2617" s="513" t="s">
        <v>7740</v>
      </c>
      <c r="D2617" s="817" t="s">
        <v>7741</v>
      </c>
      <c r="E2617" s="803"/>
      <c r="F2617" s="803"/>
      <c r="G2617" s="803"/>
      <c r="H2617" s="803"/>
      <c r="I2617" s="533">
        <f>ROUNDDOWN(H2632,-2)</f>
        <v>70600</v>
      </c>
      <c r="J2617" s="536" t="s">
        <v>6760</v>
      </c>
      <c r="K2617" s="824"/>
    </row>
    <row r="2618" spans="3:11" ht="25.8" customHeight="1">
      <c r="C2618" s="716" t="s">
        <v>1195</v>
      </c>
      <c r="D2618" s="716" t="s">
        <v>1196</v>
      </c>
      <c r="E2618" s="716" t="s">
        <v>1197</v>
      </c>
      <c r="F2618" s="716" t="s">
        <v>1198</v>
      </c>
      <c r="G2618" s="716" t="s">
        <v>1199</v>
      </c>
      <c r="H2618" s="716" t="s">
        <v>1200</v>
      </c>
    </row>
    <row r="2619" spans="3:11" ht="25.8" customHeight="1">
      <c r="C2619" s="213" t="s">
        <v>1201</v>
      </c>
      <c r="D2619" s="212" t="s">
        <v>1202</v>
      </c>
      <c r="E2619" s="534"/>
      <c r="F2619" s="534"/>
      <c r="G2619" s="534"/>
      <c r="H2619" s="534"/>
    </row>
    <row r="2620" spans="3:11" ht="25.8" customHeight="1">
      <c r="C2620" s="818">
        <v>1</v>
      </c>
      <c r="D2620" s="212" t="s">
        <v>5</v>
      </c>
      <c r="E2620" s="212" t="s">
        <v>6</v>
      </c>
      <c r="F2620" s="538">
        <v>0.17899999999999999</v>
      </c>
      <c r="G2620" s="539">
        <f>VLOOKUP(D2620,upahbahan,3,FALSE)</f>
        <v>100000</v>
      </c>
      <c r="H2620" s="539">
        <f t="shared" ref="H2620:H2623" si="265">F2620*G2620</f>
        <v>17900</v>
      </c>
    </row>
    <row r="2621" spans="3:11" ht="25.8" customHeight="1">
      <c r="C2621" s="818">
        <v>2</v>
      </c>
      <c r="D2621" s="212" t="s">
        <v>3295</v>
      </c>
      <c r="E2621" s="212" t="s">
        <v>6</v>
      </c>
      <c r="F2621" s="538">
        <v>0.29799999999999999</v>
      </c>
      <c r="G2621" s="539">
        <f>VLOOKUP(D2621,upahbahan,3,FALSE)</f>
        <v>135000</v>
      </c>
      <c r="H2621" s="539">
        <f t="shared" si="265"/>
        <v>40230</v>
      </c>
    </row>
    <row r="2622" spans="3:11" ht="25.8" customHeight="1">
      <c r="C2622" s="818">
        <v>3</v>
      </c>
      <c r="D2622" s="212" t="s">
        <v>18</v>
      </c>
      <c r="E2622" s="212" t="s">
        <v>6</v>
      </c>
      <c r="F2622" s="538">
        <v>0.03</v>
      </c>
      <c r="G2622" s="539">
        <f>VLOOKUP(D2622,upahbahan,3,FALSE)</f>
        <v>150000</v>
      </c>
      <c r="H2622" s="539">
        <f t="shared" si="265"/>
        <v>4500</v>
      </c>
    </row>
    <row r="2623" spans="3:11" ht="25.8" customHeight="1">
      <c r="C2623" s="818">
        <v>4</v>
      </c>
      <c r="D2623" s="212" t="s">
        <v>19</v>
      </c>
      <c r="E2623" s="212" t="s">
        <v>6</v>
      </c>
      <c r="F2623" s="538">
        <v>0.01</v>
      </c>
      <c r="G2623" s="539">
        <f>VLOOKUP(D2623,upahbahan,3,FALSE)</f>
        <v>160000</v>
      </c>
      <c r="H2623" s="539">
        <f t="shared" si="265"/>
        <v>1600</v>
      </c>
    </row>
    <row r="2624" spans="3:11" ht="25.8" customHeight="1">
      <c r="C2624" s="702" t="s">
        <v>1208</v>
      </c>
      <c r="D2624" s="208"/>
      <c r="E2624" s="208"/>
      <c r="F2624" s="811"/>
      <c r="G2624" s="522"/>
      <c r="H2624" s="539">
        <f>SUM(H2620:H2623)</f>
        <v>64230</v>
      </c>
      <c r="I2624" s="819"/>
    </row>
    <row r="2625" spans="3:11" ht="25.8" customHeight="1">
      <c r="C2625" s="213" t="s">
        <v>1209</v>
      </c>
      <c r="D2625" s="212" t="s">
        <v>1210</v>
      </c>
      <c r="E2625" s="534"/>
      <c r="F2625" s="831"/>
      <c r="G2625" s="534"/>
      <c r="H2625" s="534"/>
    </row>
    <row r="2626" spans="3:11" ht="25.8" customHeight="1">
      <c r="C2626" s="833" t="s">
        <v>1203</v>
      </c>
      <c r="D2626" s="820" t="s">
        <v>7742</v>
      </c>
      <c r="E2626" s="807" t="s">
        <v>113</v>
      </c>
      <c r="F2626" s="832">
        <v>1.25</v>
      </c>
      <c r="G2626" s="539">
        <f>VLOOKUP(D2626,upahbahan,3,FALSE)</f>
        <v>0</v>
      </c>
      <c r="H2626" s="539">
        <f t="shared" ref="H2626" si="266">F2626*G2626</f>
        <v>0</v>
      </c>
    </row>
    <row r="2627" spans="3:11" ht="25.8" customHeight="1">
      <c r="C2627" s="702" t="s">
        <v>1214</v>
      </c>
      <c r="D2627" s="208"/>
      <c r="E2627" s="208"/>
      <c r="F2627" s="208"/>
      <c r="G2627" s="209"/>
      <c r="H2627" s="539">
        <f>SUM(H2626:H2626)</f>
        <v>0</v>
      </c>
    </row>
    <row r="2628" spans="3:11" ht="25.8" customHeight="1">
      <c r="C2628" s="213" t="s">
        <v>1215</v>
      </c>
      <c r="D2628" s="212" t="s">
        <v>1216</v>
      </c>
      <c r="E2628" s="534"/>
      <c r="F2628" s="534"/>
      <c r="G2628" s="534"/>
      <c r="H2628" s="534"/>
    </row>
    <row r="2629" spans="3:11" ht="25.8" customHeight="1">
      <c r="C2629" s="702" t="s">
        <v>1217</v>
      </c>
      <c r="D2629" s="208"/>
      <c r="E2629" s="208"/>
      <c r="F2629" s="208"/>
      <c r="G2629" s="209"/>
      <c r="H2629" s="821">
        <v>0</v>
      </c>
    </row>
    <row r="2630" spans="3:11" ht="25.8" customHeight="1">
      <c r="C2630" s="566" t="s">
        <v>1218</v>
      </c>
      <c r="D2630" s="552" t="s">
        <v>1219</v>
      </c>
      <c r="E2630" s="553"/>
      <c r="F2630" s="553"/>
      <c r="G2630" s="554"/>
      <c r="H2630" s="826">
        <f>H2629+H2627+H2624</f>
        <v>64230</v>
      </c>
      <c r="I2630" s="827"/>
    </row>
    <row r="2631" spans="3:11" ht="25.8" customHeight="1">
      <c r="C2631" s="566" t="s">
        <v>1220</v>
      </c>
      <c r="D2631" s="552" t="s">
        <v>1321</v>
      </c>
      <c r="E2631" s="553"/>
      <c r="F2631" s="554"/>
      <c r="G2631" s="555">
        <f>$M$9</f>
        <v>0.1</v>
      </c>
      <c r="H2631" s="539">
        <f>H2630*G2631</f>
        <v>6423</v>
      </c>
      <c r="I2631" s="827"/>
    </row>
    <row r="2632" spans="3:11" ht="25.8" customHeight="1">
      <c r="C2632" s="566" t="s">
        <v>1221</v>
      </c>
      <c r="D2632" s="552" t="s">
        <v>1222</v>
      </c>
      <c r="E2632" s="553"/>
      <c r="F2632" s="553"/>
      <c r="G2632" s="554"/>
      <c r="H2632" s="828">
        <f>SUM(H2630:H2631)</f>
        <v>70653</v>
      </c>
      <c r="I2632" s="827"/>
    </row>
    <row r="2633" spans="3:11" ht="25.8" customHeight="1"/>
    <row r="2634" spans="3:11" ht="25.8" customHeight="1">
      <c r="C2634" s="513" t="s">
        <v>7743</v>
      </c>
      <c r="D2634" s="817" t="s">
        <v>7744</v>
      </c>
      <c r="E2634" s="803"/>
      <c r="F2634" s="803"/>
      <c r="G2634" s="803"/>
      <c r="H2634" s="803"/>
      <c r="I2634" s="533">
        <f>ROUNDDOWN(H2649,-2)</f>
        <v>70600</v>
      </c>
      <c r="J2634" s="536" t="s">
        <v>6760</v>
      </c>
      <c r="K2634" s="824"/>
    </row>
    <row r="2635" spans="3:11" ht="25.8" customHeight="1">
      <c r="C2635" s="716" t="s">
        <v>1195</v>
      </c>
      <c r="D2635" s="716" t="s">
        <v>1196</v>
      </c>
      <c r="E2635" s="716" t="s">
        <v>1197</v>
      </c>
      <c r="F2635" s="716" t="s">
        <v>1198</v>
      </c>
      <c r="G2635" s="716" t="s">
        <v>1199</v>
      </c>
      <c r="H2635" s="716" t="s">
        <v>1200</v>
      </c>
    </row>
    <row r="2636" spans="3:11" ht="25.8" customHeight="1">
      <c r="C2636" s="213" t="s">
        <v>1201</v>
      </c>
      <c r="D2636" s="212" t="s">
        <v>1202</v>
      </c>
      <c r="E2636" s="534"/>
      <c r="F2636" s="534"/>
      <c r="G2636" s="534"/>
      <c r="H2636" s="534"/>
    </row>
    <row r="2637" spans="3:11" ht="25.8" customHeight="1">
      <c r="C2637" s="818">
        <v>1</v>
      </c>
      <c r="D2637" s="212" t="s">
        <v>5</v>
      </c>
      <c r="E2637" s="212" t="s">
        <v>6</v>
      </c>
      <c r="F2637" s="538">
        <v>0.17899999999999999</v>
      </c>
      <c r="G2637" s="539">
        <f>VLOOKUP(D2637,upahbahan,3,FALSE)</f>
        <v>100000</v>
      </c>
      <c r="H2637" s="539">
        <f t="shared" ref="H2637:H2640" si="267">F2637*G2637</f>
        <v>17900</v>
      </c>
    </row>
    <row r="2638" spans="3:11" ht="25.8" customHeight="1">
      <c r="C2638" s="818">
        <v>2</v>
      </c>
      <c r="D2638" s="212" t="s">
        <v>3295</v>
      </c>
      <c r="E2638" s="212" t="s">
        <v>6</v>
      </c>
      <c r="F2638" s="538">
        <v>0.29799999999999999</v>
      </c>
      <c r="G2638" s="539">
        <f>VLOOKUP(D2638,upahbahan,3,FALSE)</f>
        <v>135000</v>
      </c>
      <c r="H2638" s="539">
        <f t="shared" si="267"/>
        <v>40230</v>
      </c>
    </row>
    <row r="2639" spans="3:11" ht="25.8" customHeight="1">
      <c r="C2639" s="818">
        <v>3</v>
      </c>
      <c r="D2639" s="212" t="s">
        <v>18</v>
      </c>
      <c r="E2639" s="212" t="s">
        <v>6</v>
      </c>
      <c r="F2639" s="538">
        <v>0.03</v>
      </c>
      <c r="G2639" s="539">
        <f>VLOOKUP(D2639,upahbahan,3,FALSE)</f>
        <v>150000</v>
      </c>
      <c r="H2639" s="539">
        <f t="shared" si="267"/>
        <v>4500</v>
      </c>
    </row>
    <row r="2640" spans="3:11" ht="25.8" customHeight="1">
      <c r="C2640" s="818">
        <v>4</v>
      </c>
      <c r="D2640" s="212" t="s">
        <v>19</v>
      </c>
      <c r="E2640" s="212" t="s">
        <v>6</v>
      </c>
      <c r="F2640" s="538">
        <v>0.01</v>
      </c>
      <c r="G2640" s="539">
        <f>VLOOKUP(D2640,upahbahan,3,FALSE)</f>
        <v>160000</v>
      </c>
      <c r="H2640" s="539">
        <f t="shared" si="267"/>
        <v>1600</v>
      </c>
    </row>
    <row r="2641" spans="3:11" ht="25.8" customHeight="1">
      <c r="C2641" s="702" t="s">
        <v>1208</v>
      </c>
      <c r="D2641" s="208"/>
      <c r="E2641" s="208"/>
      <c r="F2641" s="811"/>
      <c r="G2641" s="522"/>
      <c r="H2641" s="539">
        <f>SUM(H2637:H2640)</f>
        <v>64230</v>
      </c>
      <c r="I2641" s="819"/>
    </row>
    <row r="2642" spans="3:11" ht="25.8" customHeight="1">
      <c r="C2642" s="213" t="s">
        <v>1209</v>
      </c>
      <c r="D2642" s="212" t="s">
        <v>1210</v>
      </c>
      <c r="E2642" s="534"/>
      <c r="F2642" s="831"/>
      <c r="G2642" s="534"/>
      <c r="H2642" s="534"/>
    </row>
    <row r="2643" spans="3:11" ht="25.8" customHeight="1">
      <c r="C2643" s="833" t="s">
        <v>1203</v>
      </c>
      <c r="D2643" s="820" t="s">
        <v>7745</v>
      </c>
      <c r="E2643" s="807" t="s">
        <v>113</v>
      </c>
      <c r="F2643" s="832">
        <v>1.25</v>
      </c>
      <c r="G2643" s="539">
        <f>VLOOKUP(D2643,upahbahan,3,FALSE)</f>
        <v>0</v>
      </c>
      <c r="H2643" s="539">
        <f t="shared" ref="H2643" si="268">F2643*G2643</f>
        <v>0</v>
      </c>
    </row>
    <row r="2644" spans="3:11" ht="25.8" customHeight="1">
      <c r="C2644" s="702" t="s">
        <v>1214</v>
      </c>
      <c r="D2644" s="208"/>
      <c r="E2644" s="208"/>
      <c r="F2644" s="208"/>
      <c r="G2644" s="209"/>
      <c r="H2644" s="539">
        <f>SUM(H2643:H2643)</f>
        <v>0</v>
      </c>
    </row>
    <row r="2645" spans="3:11" ht="25.8" customHeight="1">
      <c r="C2645" s="213" t="s">
        <v>1215</v>
      </c>
      <c r="D2645" s="212" t="s">
        <v>1216</v>
      </c>
      <c r="E2645" s="534"/>
      <c r="F2645" s="534"/>
      <c r="G2645" s="534"/>
      <c r="H2645" s="534"/>
    </row>
    <row r="2646" spans="3:11" ht="25.8" customHeight="1">
      <c r="C2646" s="702" t="s">
        <v>1217</v>
      </c>
      <c r="D2646" s="208"/>
      <c r="E2646" s="208"/>
      <c r="F2646" s="208"/>
      <c r="G2646" s="209"/>
      <c r="H2646" s="821">
        <v>0</v>
      </c>
    </row>
    <row r="2647" spans="3:11" ht="25.8" customHeight="1">
      <c r="C2647" s="566" t="s">
        <v>1218</v>
      </c>
      <c r="D2647" s="552" t="s">
        <v>1219</v>
      </c>
      <c r="E2647" s="553"/>
      <c r="F2647" s="553"/>
      <c r="G2647" s="554"/>
      <c r="H2647" s="826">
        <f>H2646+H2644+H2641</f>
        <v>64230</v>
      </c>
      <c r="I2647" s="827"/>
    </row>
    <row r="2648" spans="3:11" ht="25.8" customHeight="1">
      <c r="C2648" s="566" t="s">
        <v>1220</v>
      </c>
      <c r="D2648" s="552" t="s">
        <v>1321</v>
      </c>
      <c r="E2648" s="553"/>
      <c r="F2648" s="554"/>
      <c r="G2648" s="555">
        <f>$M$9</f>
        <v>0.1</v>
      </c>
      <c r="H2648" s="539">
        <f>H2647*G2648</f>
        <v>6423</v>
      </c>
      <c r="I2648" s="827"/>
    </row>
    <row r="2649" spans="3:11" ht="25.8" customHeight="1">
      <c r="C2649" s="566" t="s">
        <v>1221</v>
      </c>
      <c r="D2649" s="552" t="s">
        <v>1222</v>
      </c>
      <c r="E2649" s="553"/>
      <c r="F2649" s="553"/>
      <c r="G2649" s="554"/>
      <c r="H2649" s="828">
        <f>SUM(H2647:H2648)</f>
        <v>70653</v>
      </c>
      <c r="I2649" s="827"/>
    </row>
    <row r="2650" spans="3:11" ht="25.8" customHeight="1"/>
    <row r="2651" spans="3:11" ht="25.8" customHeight="1">
      <c r="C2651" s="513" t="s">
        <v>7746</v>
      </c>
      <c r="D2651" s="817" t="s">
        <v>7747</v>
      </c>
      <c r="E2651" s="803"/>
      <c r="F2651" s="803"/>
      <c r="G2651" s="803"/>
      <c r="H2651" s="803"/>
      <c r="I2651" s="533">
        <f>ROUNDDOWN(H2666,-2)</f>
        <v>70600</v>
      </c>
      <c r="J2651" s="536" t="s">
        <v>6760</v>
      </c>
      <c r="K2651" s="824"/>
    </row>
    <row r="2652" spans="3:11" ht="25.8" customHeight="1">
      <c r="C2652" s="716" t="s">
        <v>1195</v>
      </c>
      <c r="D2652" s="716" t="s">
        <v>1196</v>
      </c>
      <c r="E2652" s="716" t="s">
        <v>1197</v>
      </c>
      <c r="F2652" s="716" t="s">
        <v>1198</v>
      </c>
      <c r="G2652" s="716" t="s">
        <v>1199</v>
      </c>
      <c r="H2652" s="716" t="s">
        <v>1200</v>
      </c>
    </row>
    <row r="2653" spans="3:11" ht="25.8" customHeight="1">
      <c r="C2653" s="213" t="s">
        <v>1201</v>
      </c>
      <c r="D2653" s="212" t="s">
        <v>1202</v>
      </c>
      <c r="E2653" s="534"/>
      <c r="F2653" s="534"/>
      <c r="G2653" s="534"/>
      <c r="H2653" s="534"/>
    </row>
    <row r="2654" spans="3:11" ht="25.8" customHeight="1">
      <c r="C2654" s="818">
        <v>1</v>
      </c>
      <c r="D2654" s="212" t="s">
        <v>5</v>
      </c>
      <c r="E2654" s="212" t="s">
        <v>6</v>
      </c>
      <c r="F2654" s="538">
        <v>0.17899999999999999</v>
      </c>
      <c r="G2654" s="539">
        <f>VLOOKUP(D2654,upahbahan,3,FALSE)</f>
        <v>100000</v>
      </c>
      <c r="H2654" s="539">
        <f t="shared" ref="H2654:H2657" si="269">F2654*G2654</f>
        <v>17900</v>
      </c>
    </row>
    <row r="2655" spans="3:11" ht="25.8" customHeight="1">
      <c r="C2655" s="818">
        <v>2</v>
      </c>
      <c r="D2655" s="212" t="s">
        <v>3295</v>
      </c>
      <c r="E2655" s="212" t="s">
        <v>6</v>
      </c>
      <c r="F2655" s="538">
        <v>0.29799999999999999</v>
      </c>
      <c r="G2655" s="539">
        <f>VLOOKUP(D2655,upahbahan,3,FALSE)</f>
        <v>135000</v>
      </c>
      <c r="H2655" s="539">
        <f t="shared" si="269"/>
        <v>40230</v>
      </c>
    </row>
    <row r="2656" spans="3:11" ht="25.8" customHeight="1">
      <c r="C2656" s="818">
        <v>3</v>
      </c>
      <c r="D2656" s="212" t="s">
        <v>18</v>
      </c>
      <c r="E2656" s="212" t="s">
        <v>6</v>
      </c>
      <c r="F2656" s="538">
        <v>0.03</v>
      </c>
      <c r="G2656" s="539">
        <f>VLOOKUP(D2656,upahbahan,3,FALSE)</f>
        <v>150000</v>
      </c>
      <c r="H2656" s="539">
        <f t="shared" si="269"/>
        <v>4500</v>
      </c>
    </row>
    <row r="2657" spans="3:11" ht="25.8" customHeight="1">
      <c r="C2657" s="818">
        <v>4</v>
      </c>
      <c r="D2657" s="212" t="s">
        <v>19</v>
      </c>
      <c r="E2657" s="212" t="s">
        <v>6</v>
      </c>
      <c r="F2657" s="538">
        <v>0.01</v>
      </c>
      <c r="G2657" s="539">
        <f>VLOOKUP(D2657,upahbahan,3,FALSE)</f>
        <v>160000</v>
      </c>
      <c r="H2657" s="539">
        <f t="shared" si="269"/>
        <v>1600</v>
      </c>
    </row>
    <row r="2658" spans="3:11" ht="25.8" customHeight="1">
      <c r="C2658" s="702" t="s">
        <v>1208</v>
      </c>
      <c r="D2658" s="208"/>
      <c r="E2658" s="208"/>
      <c r="F2658" s="811"/>
      <c r="G2658" s="522"/>
      <c r="H2658" s="539">
        <f>SUM(H2654:H2657)</f>
        <v>64230</v>
      </c>
      <c r="I2658" s="819"/>
    </row>
    <row r="2659" spans="3:11" ht="25.8" customHeight="1">
      <c r="C2659" s="213" t="s">
        <v>1209</v>
      </c>
      <c r="D2659" s="212" t="s">
        <v>1210</v>
      </c>
      <c r="E2659" s="534"/>
      <c r="F2659" s="831"/>
      <c r="G2659" s="534"/>
      <c r="H2659" s="534"/>
    </row>
    <row r="2660" spans="3:11" ht="25.8" customHeight="1">
      <c r="C2660" s="833" t="s">
        <v>1203</v>
      </c>
      <c r="D2660" s="212" t="s">
        <v>7748</v>
      </c>
      <c r="E2660" s="807" t="s">
        <v>113</v>
      </c>
      <c r="F2660" s="832">
        <v>1.25</v>
      </c>
      <c r="G2660" s="539">
        <f>VLOOKUP(D2660,upahbahan,3,FALSE)</f>
        <v>0</v>
      </c>
      <c r="H2660" s="539">
        <f t="shared" ref="H2660" si="270">F2660*G2660</f>
        <v>0</v>
      </c>
    </row>
    <row r="2661" spans="3:11" ht="25.8" customHeight="1">
      <c r="C2661" s="702" t="s">
        <v>1214</v>
      </c>
      <c r="D2661" s="208"/>
      <c r="E2661" s="208"/>
      <c r="F2661" s="208"/>
      <c r="G2661" s="209"/>
      <c r="H2661" s="539">
        <f>SUM(H2660:H2660)</f>
        <v>0</v>
      </c>
    </row>
    <row r="2662" spans="3:11" ht="25.8" customHeight="1">
      <c r="C2662" s="213" t="s">
        <v>1215</v>
      </c>
      <c r="D2662" s="212" t="s">
        <v>1216</v>
      </c>
      <c r="E2662" s="534"/>
      <c r="F2662" s="534"/>
      <c r="G2662" s="534"/>
      <c r="H2662" s="534"/>
    </row>
    <row r="2663" spans="3:11" ht="25.8" customHeight="1">
      <c r="C2663" s="702" t="s">
        <v>1217</v>
      </c>
      <c r="D2663" s="208"/>
      <c r="E2663" s="208"/>
      <c r="F2663" s="208"/>
      <c r="G2663" s="209"/>
      <c r="H2663" s="821">
        <v>0</v>
      </c>
    </row>
    <row r="2664" spans="3:11" ht="25.8" customHeight="1">
      <c r="C2664" s="566" t="s">
        <v>1218</v>
      </c>
      <c r="D2664" s="552" t="s">
        <v>1219</v>
      </c>
      <c r="E2664" s="553"/>
      <c r="F2664" s="553"/>
      <c r="G2664" s="554"/>
      <c r="H2664" s="826">
        <f>H2663+H2661+H2658</f>
        <v>64230</v>
      </c>
      <c r="I2664" s="827"/>
    </row>
    <row r="2665" spans="3:11" ht="25.8" customHeight="1">
      <c r="C2665" s="566" t="s">
        <v>1220</v>
      </c>
      <c r="D2665" s="552" t="s">
        <v>1321</v>
      </c>
      <c r="E2665" s="553"/>
      <c r="F2665" s="554"/>
      <c r="G2665" s="555">
        <f>$M$9</f>
        <v>0.1</v>
      </c>
      <c r="H2665" s="539">
        <f>H2664*G2665</f>
        <v>6423</v>
      </c>
      <c r="I2665" s="827"/>
    </row>
    <row r="2666" spans="3:11" ht="25.8" customHeight="1">
      <c r="C2666" s="566" t="s">
        <v>1221</v>
      </c>
      <c r="D2666" s="552" t="s">
        <v>1222</v>
      </c>
      <c r="E2666" s="553"/>
      <c r="F2666" s="553"/>
      <c r="G2666" s="554"/>
      <c r="H2666" s="828">
        <f>SUM(H2664:H2665)</f>
        <v>70653</v>
      </c>
      <c r="I2666" s="827"/>
    </row>
    <row r="2667" spans="3:11" ht="25.8" customHeight="1"/>
    <row r="2668" spans="3:11" ht="25.8" customHeight="1">
      <c r="C2668" s="513" t="s">
        <v>7749</v>
      </c>
      <c r="D2668" s="817" t="s">
        <v>7750</v>
      </c>
      <c r="E2668" s="803"/>
      <c r="F2668" s="803"/>
      <c r="G2668" s="803"/>
      <c r="H2668" s="803"/>
      <c r="I2668" s="533">
        <f>ROUNDDOWN(H2683,-2)</f>
        <v>70600</v>
      </c>
      <c r="J2668" s="536" t="s">
        <v>6760</v>
      </c>
      <c r="K2668" s="824"/>
    </row>
    <row r="2669" spans="3:11" ht="25.8" customHeight="1">
      <c r="C2669" s="716" t="s">
        <v>1195</v>
      </c>
      <c r="D2669" s="716" t="s">
        <v>1196</v>
      </c>
      <c r="E2669" s="716" t="s">
        <v>1197</v>
      </c>
      <c r="F2669" s="716" t="s">
        <v>1198</v>
      </c>
      <c r="G2669" s="716" t="s">
        <v>1199</v>
      </c>
      <c r="H2669" s="716" t="s">
        <v>1200</v>
      </c>
    </row>
    <row r="2670" spans="3:11" ht="25.8" customHeight="1">
      <c r="C2670" s="213" t="s">
        <v>1201</v>
      </c>
      <c r="D2670" s="212" t="s">
        <v>1202</v>
      </c>
      <c r="E2670" s="534"/>
      <c r="F2670" s="534"/>
      <c r="G2670" s="534"/>
      <c r="H2670" s="534"/>
    </row>
    <row r="2671" spans="3:11" ht="25.8" customHeight="1">
      <c r="C2671" s="818">
        <v>1</v>
      </c>
      <c r="D2671" s="212" t="s">
        <v>5</v>
      </c>
      <c r="E2671" s="212" t="s">
        <v>6</v>
      </c>
      <c r="F2671" s="538">
        <v>0.17899999999999999</v>
      </c>
      <c r="G2671" s="539">
        <f>VLOOKUP(D2671,upahbahan,3,FALSE)</f>
        <v>100000</v>
      </c>
      <c r="H2671" s="539">
        <f t="shared" ref="H2671:H2674" si="271">F2671*G2671</f>
        <v>17900</v>
      </c>
    </row>
    <row r="2672" spans="3:11" ht="25.8" customHeight="1">
      <c r="C2672" s="818">
        <v>2</v>
      </c>
      <c r="D2672" s="212" t="s">
        <v>3295</v>
      </c>
      <c r="E2672" s="212" t="s">
        <v>6</v>
      </c>
      <c r="F2672" s="538">
        <v>0.29799999999999999</v>
      </c>
      <c r="G2672" s="539">
        <f>VLOOKUP(D2672,upahbahan,3,FALSE)</f>
        <v>135000</v>
      </c>
      <c r="H2672" s="539">
        <f t="shared" si="271"/>
        <v>40230</v>
      </c>
    </row>
    <row r="2673" spans="3:11" ht="25.8" customHeight="1">
      <c r="C2673" s="818">
        <v>3</v>
      </c>
      <c r="D2673" s="212" t="s">
        <v>18</v>
      </c>
      <c r="E2673" s="212" t="s">
        <v>6</v>
      </c>
      <c r="F2673" s="538">
        <v>0.03</v>
      </c>
      <c r="G2673" s="539">
        <f>VLOOKUP(D2673,upahbahan,3,FALSE)</f>
        <v>150000</v>
      </c>
      <c r="H2673" s="539">
        <f t="shared" si="271"/>
        <v>4500</v>
      </c>
    </row>
    <row r="2674" spans="3:11" ht="25.8" customHeight="1">
      <c r="C2674" s="818">
        <v>4</v>
      </c>
      <c r="D2674" s="212" t="s">
        <v>19</v>
      </c>
      <c r="E2674" s="212" t="s">
        <v>6</v>
      </c>
      <c r="F2674" s="538">
        <v>0.01</v>
      </c>
      <c r="G2674" s="539">
        <f>VLOOKUP(D2674,upahbahan,3,FALSE)</f>
        <v>160000</v>
      </c>
      <c r="H2674" s="539">
        <f t="shared" si="271"/>
        <v>1600</v>
      </c>
    </row>
    <row r="2675" spans="3:11" ht="25.8" customHeight="1">
      <c r="C2675" s="702" t="s">
        <v>1208</v>
      </c>
      <c r="D2675" s="208"/>
      <c r="E2675" s="208"/>
      <c r="F2675" s="811"/>
      <c r="G2675" s="522"/>
      <c r="H2675" s="539">
        <f>SUM(H2671:H2674)</f>
        <v>64230</v>
      </c>
      <c r="I2675" s="819"/>
    </row>
    <row r="2676" spans="3:11" ht="25.8" customHeight="1">
      <c r="C2676" s="213" t="s">
        <v>1209</v>
      </c>
      <c r="D2676" s="212" t="s">
        <v>1210</v>
      </c>
      <c r="E2676" s="534"/>
      <c r="F2676" s="831"/>
      <c r="G2676" s="534"/>
      <c r="H2676" s="534"/>
    </row>
    <row r="2677" spans="3:11" ht="25.8" customHeight="1">
      <c r="C2677" s="833" t="s">
        <v>1203</v>
      </c>
      <c r="D2677" s="212" t="s">
        <v>7751</v>
      </c>
      <c r="E2677" s="807" t="s">
        <v>113</v>
      </c>
      <c r="F2677" s="832">
        <v>1.25</v>
      </c>
      <c r="G2677" s="539">
        <f>VLOOKUP(D2677,upahbahan,3,FALSE)</f>
        <v>0</v>
      </c>
      <c r="H2677" s="539">
        <f t="shared" ref="H2677" si="272">F2677*G2677</f>
        <v>0</v>
      </c>
    </row>
    <row r="2678" spans="3:11" ht="25.8" customHeight="1">
      <c r="C2678" s="702" t="s">
        <v>1214</v>
      </c>
      <c r="D2678" s="208"/>
      <c r="E2678" s="208"/>
      <c r="F2678" s="208"/>
      <c r="G2678" s="209"/>
      <c r="H2678" s="539">
        <f>SUM(H2677:H2677)</f>
        <v>0</v>
      </c>
    </row>
    <row r="2679" spans="3:11" ht="25.8" customHeight="1">
      <c r="C2679" s="213" t="s">
        <v>1215</v>
      </c>
      <c r="D2679" s="212" t="s">
        <v>1216</v>
      </c>
      <c r="E2679" s="534"/>
      <c r="F2679" s="534"/>
      <c r="G2679" s="534"/>
      <c r="H2679" s="534"/>
    </row>
    <row r="2680" spans="3:11" ht="25.8" customHeight="1">
      <c r="C2680" s="702" t="s">
        <v>1217</v>
      </c>
      <c r="D2680" s="208"/>
      <c r="E2680" s="208"/>
      <c r="F2680" s="208"/>
      <c r="G2680" s="209"/>
      <c r="H2680" s="821">
        <v>0</v>
      </c>
    </row>
    <row r="2681" spans="3:11" ht="25.8" customHeight="1">
      <c r="C2681" s="566" t="s">
        <v>1218</v>
      </c>
      <c r="D2681" s="552" t="s">
        <v>1219</v>
      </c>
      <c r="E2681" s="553"/>
      <c r="F2681" s="553"/>
      <c r="G2681" s="554"/>
      <c r="H2681" s="826">
        <f>H2680+H2678+H2675</f>
        <v>64230</v>
      </c>
      <c r="I2681" s="827"/>
    </row>
    <row r="2682" spans="3:11" ht="25.8" customHeight="1">
      <c r="C2682" s="566" t="s">
        <v>1220</v>
      </c>
      <c r="D2682" s="552" t="s">
        <v>1321</v>
      </c>
      <c r="E2682" s="553"/>
      <c r="F2682" s="554"/>
      <c r="G2682" s="555">
        <f>$M$9</f>
        <v>0.1</v>
      </c>
      <c r="H2682" s="539">
        <f>H2681*G2682</f>
        <v>6423</v>
      </c>
      <c r="I2682" s="827"/>
    </row>
    <row r="2683" spans="3:11" ht="25.8" customHeight="1">
      <c r="C2683" s="566" t="s">
        <v>1221</v>
      </c>
      <c r="D2683" s="552" t="s">
        <v>1222</v>
      </c>
      <c r="E2683" s="553"/>
      <c r="F2683" s="553"/>
      <c r="G2683" s="554"/>
      <c r="H2683" s="828">
        <f>SUM(H2681:H2682)</f>
        <v>70653</v>
      </c>
      <c r="I2683" s="827"/>
    </row>
    <row r="2684" spans="3:11" ht="25.8" customHeight="1"/>
    <row r="2685" spans="3:11" ht="25.8" customHeight="1">
      <c r="C2685" s="513" t="s">
        <v>7752</v>
      </c>
      <c r="D2685" s="817" t="s">
        <v>7753</v>
      </c>
      <c r="E2685" s="803"/>
      <c r="F2685" s="803"/>
      <c r="G2685" s="803"/>
      <c r="H2685" s="803"/>
      <c r="I2685" s="533">
        <f>ROUNDDOWN(H2700,-2)</f>
        <v>70600</v>
      </c>
      <c r="J2685" s="536" t="s">
        <v>6760</v>
      </c>
      <c r="K2685" s="824"/>
    </row>
    <row r="2686" spans="3:11" ht="25.8" customHeight="1">
      <c r="C2686" s="716" t="s">
        <v>1195</v>
      </c>
      <c r="D2686" s="716" t="s">
        <v>1196</v>
      </c>
      <c r="E2686" s="716" t="s">
        <v>1197</v>
      </c>
      <c r="F2686" s="716" t="s">
        <v>1198</v>
      </c>
      <c r="G2686" s="716" t="s">
        <v>1199</v>
      </c>
      <c r="H2686" s="716" t="s">
        <v>1200</v>
      </c>
    </row>
    <row r="2687" spans="3:11" ht="25.8" customHeight="1">
      <c r="C2687" s="213" t="s">
        <v>1201</v>
      </c>
      <c r="D2687" s="212" t="s">
        <v>1202</v>
      </c>
      <c r="E2687" s="534"/>
      <c r="F2687" s="534"/>
      <c r="G2687" s="534"/>
      <c r="H2687" s="534"/>
    </row>
    <row r="2688" spans="3:11" ht="25.8" customHeight="1">
      <c r="C2688" s="818">
        <v>1</v>
      </c>
      <c r="D2688" s="212" t="s">
        <v>5</v>
      </c>
      <c r="E2688" s="212" t="s">
        <v>6</v>
      </c>
      <c r="F2688" s="538">
        <v>0.17899999999999999</v>
      </c>
      <c r="G2688" s="539">
        <f>VLOOKUP(D2688,upahbahan,3,FALSE)</f>
        <v>100000</v>
      </c>
      <c r="H2688" s="539">
        <f t="shared" ref="H2688:H2691" si="273">F2688*G2688</f>
        <v>17900</v>
      </c>
    </row>
    <row r="2689" spans="3:11" ht="25.8" customHeight="1">
      <c r="C2689" s="818">
        <v>2</v>
      </c>
      <c r="D2689" s="212" t="s">
        <v>3295</v>
      </c>
      <c r="E2689" s="212" t="s">
        <v>6</v>
      </c>
      <c r="F2689" s="538">
        <v>0.29799999999999999</v>
      </c>
      <c r="G2689" s="539">
        <f>VLOOKUP(D2689,upahbahan,3,FALSE)</f>
        <v>135000</v>
      </c>
      <c r="H2689" s="539">
        <f t="shared" si="273"/>
        <v>40230</v>
      </c>
    </row>
    <row r="2690" spans="3:11" ht="25.8" customHeight="1">
      <c r="C2690" s="818">
        <v>3</v>
      </c>
      <c r="D2690" s="212" t="s">
        <v>18</v>
      </c>
      <c r="E2690" s="212" t="s">
        <v>6</v>
      </c>
      <c r="F2690" s="538">
        <v>0.03</v>
      </c>
      <c r="G2690" s="539">
        <f>VLOOKUP(D2690,upahbahan,3,FALSE)</f>
        <v>150000</v>
      </c>
      <c r="H2690" s="539">
        <f t="shared" si="273"/>
        <v>4500</v>
      </c>
    </row>
    <row r="2691" spans="3:11" ht="25.8" customHeight="1">
      <c r="C2691" s="818">
        <v>4</v>
      </c>
      <c r="D2691" s="212" t="s">
        <v>19</v>
      </c>
      <c r="E2691" s="212" t="s">
        <v>6</v>
      </c>
      <c r="F2691" s="538">
        <v>0.01</v>
      </c>
      <c r="G2691" s="539">
        <f>VLOOKUP(D2691,upahbahan,3,FALSE)</f>
        <v>160000</v>
      </c>
      <c r="H2691" s="539">
        <f t="shared" si="273"/>
        <v>1600</v>
      </c>
    </row>
    <row r="2692" spans="3:11" ht="25.8" customHeight="1">
      <c r="C2692" s="702" t="s">
        <v>1208</v>
      </c>
      <c r="D2692" s="208"/>
      <c r="E2692" s="208"/>
      <c r="F2692" s="811"/>
      <c r="G2692" s="522"/>
      <c r="H2692" s="539">
        <f>SUM(H2688:H2691)</f>
        <v>64230</v>
      </c>
      <c r="I2692" s="819"/>
    </row>
    <row r="2693" spans="3:11" ht="25.8" customHeight="1">
      <c r="C2693" s="213" t="s">
        <v>1209</v>
      </c>
      <c r="D2693" s="212" t="s">
        <v>1210</v>
      </c>
      <c r="E2693" s="534"/>
      <c r="F2693" s="831"/>
      <c r="G2693" s="534"/>
      <c r="H2693" s="534"/>
    </row>
    <row r="2694" spans="3:11" ht="25.8" customHeight="1">
      <c r="C2694" s="833" t="s">
        <v>1203</v>
      </c>
      <c r="D2694" s="212" t="s">
        <v>7754</v>
      </c>
      <c r="E2694" s="807" t="s">
        <v>113</v>
      </c>
      <c r="F2694" s="832">
        <v>1.25</v>
      </c>
      <c r="G2694" s="539">
        <f>VLOOKUP(D2694,upahbahan,3,FALSE)</f>
        <v>0</v>
      </c>
      <c r="H2694" s="539">
        <f t="shared" ref="H2694" si="274">F2694*G2694</f>
        <v>0</v>
      </c>
    </row>
    <row r="2695" spans="3:11" ht="25.8" customHeight="1">
      <c r="C2695" s="702" t="s">
        <v>1214</v>
      </c>
      <c r="D2695" s="208"/>
      <c r="E2695" s="208"/>
      <c r="F2695" s="208"/>
      <c r="G2695" s="209"/>
      <c r="H2695" s="539">
        <f>SUM(H2694:H2694)</f>
        <v>0</v>
      </c>
    </row>
    <row r="2696" spans="3:11" ht="25.8" customHeight="1">
      <c r="C2696" s="213" t="s">
        <v>1215</v>
      </c>
      <c r="D2696" s="212" t="s">
        <v>1216</v>
      </c>
      <c r="E2696" s="534"/>
      <c r="F2696" s="534"/>
      <c r="G2696" s="534"/>
      <c r="H2696" s="534"/>
    </row>
    <row r="2697" spans="3:11" ht="25.8" customHeight="1">
      <c r="C2697" s="702" t="s">
        <v>1217</v>
      </c>
      <c r="D2697" s="208"/>
      <c r="E2697" s="208"/>
      <c r="F2697" s="208"/>
      <c r="G2697" s="209"/>
      <c r="H2697" s="821">
        <v>0</v>
      </c>
    </row>
    <row r="2698" spans="3:11" ht="25.8" customHeight="1">
      <c r="C2698" s="566" t="s">
        <v>1218</v>
      </c>
      <c r="D2698" s="552" t="s">
        <v>1219</v>
      </c>
      <c r="E2698" s="553"/>
      <c r="F2698" s="553"/>
      <c r="G2698" s="554"/>
      <c r="H2698" s="826">
        <f>H2697+H2695+H2692</f>
        <v>64230</v>
      </c>
      <c r="I2698" s="827"/>
    </row>
    <row r="2699" spans="3:11" ht="25.8" customHeight="1">
      <c r="C2699" s="566" t="s">
        <v>1220</v>
      </c>
      <c r="D2699" s="552" t="s">
        <v>1321</v>
      </c>
      <c r="E2699" s="553"/>
      <c r="F2699" s="554"/>
      <c r="G2699" s="555">
        <f>$M$9</f>
        <v>0.1</v>
      </c>
      <c r="H2699" s="539">
        <f>H2698*G2699</f>
        <v>6423</v>
      </c>
      <c r="I2699" s="827"/>
    </row>
    <row r="2700" spans="3:11" ht="25.8" customHeight="1">
      <c r="C2700" s="566" t="s">
        <v>1221</v>
      </c>
      <c r="D2700" s="552" t="s">
        <v>1222</v>
      </c>
      <c r="E2700" s="553"/>
      <c r="F2700" s="553"/>
      <c r="G2700" s="554"/>
      <c r="H2700" s="828">
        <f>SUM(H2698:H2699)</f>
        <v>70653</v>
      </c>
      <c r="I2700" s="827"/>
    </row>
    <row r="2701" spans="3:11" ht="25.8" customHeight="1"/>
    <row r="2702" spans="3:11" ht="25.8" customHeight="1">
      <c r="C2702" s="513" t="s">
        <v>7755</v>
      </c>
      <c r="D2702" s="817" t="s">
        <v>7756</v>
      </c>
      <c r="E2702" s="803"/>
      <c r="F2702" s="803"/>
      <c r="G2702" s="803"/>
      <c r="H2702" s="803"/>
      <c r="I2702" s="533">
        <f>ROUNDDOWN(H2717,-2)</f>
        <v>70600</v>
      </c>
      <c r="J2702" s="536" t="s">
        <v>6760</v>
      </c>
      <c r="K2702" s="824"/>
    </row>
    <row r="2703" spans="3:11" ht="25.8" customHeight="1">
      <c r="C2703" s="716" t="s">
        <v>1195</v>
      </c>
      <c r="D2703" s="716" t="s">
        <v>1196</v>
      </c>
      <c r="E2703" s="716" t="s">
        <v>1197</v>
      </c>
      <c r="F2703" s="716" t="s">
        <v>1198</v>
      </c>
      <c r="G2703" s="716" t="s">
        <v>1199</v>
      </c>
      <c r="H2703" s="716" t="s">
        <v>1200</v>
      </c>
    </row>
    <row r="2704" spans="3:11" ht="25.8" customHeight="1">
      <c r="C2704" s="213" t="s">
        <v>1201</v>
      </c>
      <c r="D2704" s="212" t="s">
        <v>1202</v>
      </c>
      <c r="E2704" s="534"/>
      <c r="F2704" s="534"/>
      <c r="G2704" s="534"/>
      <c r="H2704" s="534"/>
    </row>
    <row r="2705" spans="3:11" ht="25.8" customHeight="1">
      <c r="C2705" s="818">
        <v>1</v>
      </c>
      <c r="D2705" s="212" t="s">
        <v>5</v>
      </c>
      <c r="E2705" s="212" t="s">
        <v>6</v>
      </c>
      <c r="F2705" s="538">
        <v>0.17899999999999999</v>
      </c>
      <c r="G2705" s="539">
        <f>VLOOKUP(D2705,upahbahan,3,FALSE)</f>
        <v>100000</v>
      </c>
      <c r="H2705" s="539">
        <f t="shared" ref="H2705:H2708" si="275">F2705*G2705</f>
        <v>17900</v>
      </c>
    </row>
    <row r="2706" spans="3:11" ht="25.8" customHeight="1">
      <c r="C2706" s="818">
        <v>2</v>
      </c>
      <c r="D2706" s="212" t="s">
        <v>3295</v>
      </c>
      <c r="E2706" s="212" t="s">
        <v>6</v>
      </c>
      <c r="F2706" s="538">
        <v>0.29799999999999999</v>
      </c>
      <c r="G2706" s="539">
        <f>VLOOKUP(D2706,upahbahan,3,FALSE)</f>
        <v>135000</v>
      </c>
      <c r="H2706" s="539">
        <f t="shared" si="275"/>
        <v>40230</v>
      </c>
    </row>
    <row r="2707" spans="3:11" ht="25.8" customHeight="1">
      <c r="C2707" s="818">
        <v>3</v>
      </c>
      <c r="D2707" s="212" t="s">
        <v>18</v>
      </c>
      <c r="E2707" s="212" t="s">
        <v>6</v>
      </c>
      <c r="F2707" s="538">
        <v>0.03</v>
      </c>
      <c r="G2707" s="539">
        <f>VLOOKUP(D2707,upahbahan,3,FALSE)</f>
        <v>150000</v>
      </c>
      <c r="H2707" s="539">
        <f t="shared" si="275"/>
        <v>4500</v>
      </c>
    </row>
    <row r="2708" spans="3:11" ht="25.8" customHeight="1">
      <c r="C2708" s="818">
        <v>4</v>
      </c>
      <c r="D2708" s="212" t="s">
        <v>19</v>
      </c>
      <c r="E2708" s="212" t="s">
        <v>6</v>
      </c>
      <c r="F2708" s="538">
        <v>0.01</v>
      </c>
      <c r="G2708" s="539">
        <f>VLOOKUP(D2708,upahbahan,3,FALSE)</f>
        <v>160000</v>
      </c>
      <c r="H2708" s="539">
        <f t="shared" si="275"/>
        <v>1600</v>
      </c>
    </row>
    <row r="2709" spans="3:11" ht="25.8" customHeight="1">
      <c r="C2709" s="702" t="s">
        <v>1208</v>
      </c>
      <c r="D2709" s="208"/>
      <c r="E2709" s="208"/>
      <c r="F2709" s="811"/>
      <c r="G2709" s="522"/>
      <c r="H2709" s="539">
        <f>SUM(H2705:H2708)</f>
        <v>64230</v>
      </c>
      <c r="I2709" s="819"/>
    </row>
    <row r="2710" spans="3:11" ht="25.8" customHeight="1">
      <c r="C2710" s="213" t="s">
        <v>1209</v>
      </c>
      <c r="D2710" s="212" t="s">
        <v>1210</v>
      </c>
      <c r="E2710" s="534"/>
      <c r="F2710" s="831"/>
      <c r="G2710" s="534"/>
      <c r="H2710" s="534"/>
    </row>
    <row r="2711" spans="3:11" ht="25.8" customHeight="1">
      <c r="C2711" s="833" t="s">
        <v>1203</v>
      </c>
      <c r="D2711" s="212" t="s">
        <v>7757</v>
      </c>
      <c r="E2711" s="807" t="s">
        <v>113</v>
      </c>
      <c r="F2711" s="832">
        <v>1.25</v>
      </c>
      <c r="G2711" s="539">
        <f>VLOOKUP(D2711,upahbahan,3,FALSE)</f>
        <v>0</v>
      </c>
      <c r="H2711" s="539">
        <f t="shared" ref="H2711" si="276">F2711*G2711</f>
        <v>0</v>
      </c>
    </row>
    <row r="2712" spans="3:11" ht="25.8" customHeight="1">
      <c r="C2712" s="702" t="s">
        <v>1214</v>
      </c>
      <c r="D2712" s="208"/>
      <c r="E2712" s="208"/>
      <c r="F2712" s="208"/>
      <c r="G2712" s="209"/>
      <c r="H2712" s="539">
        <f>SUM(H2711:H2711)</f>
        <v>0</v>
      </c>
    </row>
    <row r="2713" spans="3:11" ht="25.8" customHeight="1">
      <c r="C2713" s="213" t="s">
        <v>1215</v>
      </c>
      <c r="D2713" s="212" t="s">
        <v>1216</v>
      </c>
      <c r="E2713" s="534"/>
      <c r="F2713" s="534"/>
      <c r="G2713" s="534"/>
      <c r="H2713" s="534"/>
    </row>
    <row r="2714" spans="3:11" ht="25.8" customHeight="1">
      <c r="C2714" s="702" t="s">
        <v>1217</v>
      </c>
      <c r="D2714" s="208"/>
      <c r="E2714" s="208"/>
      <c r="F2714" s="208"/>
      <c r="G2714" s="209"/>
      <c r="H2714" s="821">
        <v>0</v>
      </c>
    </row>
    <row r="2715" spans="3:11" ht="25.8" customHeight="1">
      <c r="C2715" s="566" t="s">
        <v>1218</v>
      </c>
      <c r="D2715" s="552" t="s">
        <v>1219</v>
      </c>
      <c r="E2715" s="553"/>
      <c r="F2715" s="553"/>
      <c r="G2715" s="554"/>
      <c r="H2715" s="826">
        <f>H2714+H2712+H2709</f>
        <v>64230</v>
      </c>
      <c r="I2715" s="827"/>
    </row>
    <row r="2716" spans="3:11" ht="25.8" customHeight="1">
      <c r="C2716" s="566" t="s">
        <v>1220</v>
      </c>
      <c r="D2716" s="552" t="s">
        <v>1321</v>
      </c>
      <c r="E2716" s="553"/>
      <c r="F2716" s="554"/>
      <c r="G2716" s="555">
        <f>$M$9</f>
        <v>0.1</v>
      </c>
      <c r="H2716" s="539">
        <f>H2715*G2716</f>
        <v>6423</v>
      </c>
      <c r="I2716" s="827"/>
    </row>
    <row r="2717" spans="3:11" ht="25.8" customHeight="1">
      <c r="C2717" s="566" t="s">
        <v>1221</v>
      </c>
      <c r="D2717" s="552" t="s">
        <v>1222</v>
      </c>
      <c r="E2717" s="553"/>
      <c r="F2717" s="553"/>
      <c r="G2717" s="554"/>
      <c r="H2717" s="828">
        <f>SUM(H2715:H2716)</f>
        <v>70653</v>
      </c>
      <c r="I2717" s="827"/>
    </row>
    <row r="2718" spans="3:11" ht="25.8" customHeight="1"/>
    <row r="2719" spans="3:11" ht="25.8" customHeight="1">
      <c r="C2719" s="513" t="s">
        <v>7758</v>
      </c>
      <c r="D2719" s="817" t="s">
        <v>7759</v>
      </c>
      <c r="E2719" s="803"/>
      <c r="F2719" s="803"/>
      <c r="G2719" s="803"/>
      <c r="H2719" s="803"/>
      <c r="I2719" s="533">
        <f>ROUNDDOWN(H2734,-2)</f>
        <v>70600</v>
      </c>
      <c r="J2719" s="536" t="s">
        <v>6760</v>
      </c>
      <c r="K2719" s="824"/>
    </row>
    <row r="2720" spans="3:11" ht="25.8" customHeight="1">
      <c r="C2720" s="716" t="s">
        <v>1195</v>
      </c>
      <c r="D2720" s="716" t="s">
        <v>1196</v>
      </c>
      <c r="E2720" s="716" t="s">
        <v>1197</v>
      </c>
      <c r="F2720" s="716" t="s">
        <v>1198</v>
      </c>
      <c r="G2720" s="716" t="s">
        <v>1199</v>
      </c>
      <c r="H2720" s="716" t="s">
        <v>1200</v>
      </c>
    </row>
    <row r="2721" spans="3:11" ht="25.8" customHeight="1">
      <c r="C2721" s="213" t="s">
        <v>1201</v>
      </c>
      <c r="D2721" s="212" t="s">
        <v>1202</v>
      </c>
      <c r="E2721" s="534"/>
      <c r="F2721" s="534"/>
      <c r="G2721" s="534"/>
      <c r="H2721" s="534"/>
    </row>
    <row r="2722" spans="3:11" ht="25.8" customHeight="1">
      <c r="C2722" s="818">
        <v>1</v>
      </c>
      <c r="D2722" s="212" t="s">
        <v>5</v>
      </c>
      <c r="E2722" s="212" t="s">
        <v>6</v>
      </c>
      <c r="F2722" s="538">
        <v>0.17899999999999999</v>
      </c>
      <c r="G2722" s="539">
        <f>VLOOKUP(D2722,upahbahan,3,FALSE)</f>
        <v>100000</v>
      </c>
      <c r="H2722" s="539">
        <f t="shared" ref="H2722:H2725" si="277">F2722*G2722</f>
        <v>17900</v>
      </c>
    </row>
    <row r="2723" spans="3:11" ht="25.8" customHeight="1">
      <c r="C2723" s="818">
        <v>2</v>
      </c>
      <c r="D2723" s="212" t="s">
        <v>3295</v>
      </c>
      <c r="E2723" s="212" t="s">
        <v>6</v>
      </c>
      <c r="F2723" s="538">
        <v>0.29799999999999999</v>
      </c>
      <c r="G2723" s="539">
        <f>VLOOKUP(D2723,upahbahan,3,FALSE)</f>
        <v>135000</v>
      </c>
      <c r="H2723" s="539">
        <f t="shared" si="277"/>
        <v>40230</v>
      </c>
    </row>
    <row r="2724" spans="3:11" ht="25.8" customHeight="1">
      <c r="C2724" s="818">
        <v>3</v>
      </c>
      <c r="D2724" s="212" t="s">
        <v>18</v>
      </c>
      <c r="E2724" s="212" t="s">
        <v>6</v>
      </c>
      <c r="F2724" s="538">
        <v>0.03</v>
      </c>
      <c r="G2724" s="539">
        <f>VLOOKUP(D2724,upahbahan,3,FALSE)</f>
        <v>150000</v>
      </c>
      <c r="H2724" s="539">
        <f t="shared" si="277"/>
        <v>4500</v>
      </c>
    </row>
    <row r="2725" spans="3:11" ht="25.8" customHeight="1">
      <c r="C2725" s="818">
        <v>4</v>
      </c>
      <c r="D2725" s="212" t="s">
        <v>19</v>
      </c>
      <c r="E2725" s="212" t="s">
        <v>6</v>
      </c>
      <c r="F2725" s="538">
        <v>0.01</v>
      </c>
      <c r="G2725" s="539">
        <f>VLOOKUP(D2725,upahbahan,3,FALSE)</f>
        <v>160000</v>
      </c>
      <c r="H2725" s="539">
        <f t="shared" si="277"/>
        <v>1600</v>
      </c>
    </row>
    <row r="2726" spans="3:11" ht="25.8" customHeight="1">
      <c r="C2726" s="702" t="s">
        <v>1208</v>
      </c>
      <c r="D2726" s="208"/>
      <c r="E2726" s="208"/>
      <c r="F2726" s="811"/>
      <c r="G2726" s="522"/>
      <c r="H2726" s="539">
        <f>SUM(H2722:H2725)</f>
        <v>64230</v>
      </c>
      <c r="I2726" s="819"/>
    </row>
    <row r="2727" spans="3:11" ht="25.8" customHeight="1">
      <c r="C2727" s="213" t="s">
        <v>1209</v>
      </c>
      <c r="D2727" s="212" t="s">
        <v>1210</v>
      </c>
      <c r="E2727" s="534"/>
      <c r="F2727" s="831"/>
      <c r="G2727" s="534"/>
      <c r="H2727" s="534"/>
    </row>
    <row r="2728" spans="3:11" ht="25.8" customHeight="1">
      <c r="C2728" s="833" t="s">
        <v>1203</v>
      </c>
      <c r="D2728" s="212" t="s">
        <v>7760</v>
      </c>
      <c r="E2728" s="807" t="s">
        <v>113</v>
      </c>
      <c r="F2728" s="832">
        <v>1.25</v>
      </c>
      <c r="G2728" s="539">
        <f>VLOOKUP(D2728,upahbahan,3,FALSE)</f>
        <v>0</v>
      </c>
      <c r="H2728" s="539">
        <f t="shared" ref="H2728" si="278">F2728*G2728</f>
        <v>0</v>
      </c>
    </row>
    <row r="2729" spans="3:11" ht="25.8" customHeight="1">
      <c r="C2729" s="702" t="s">
        <v>1214</v>
      </c>
      <c r="D2729" s="208"/>
      <c r="E2729" s="208"/>
      <c r="F2729" s="208"/>
      <c r="G2729" s="209"/>
      <c r="H2729" s="539">
        <f>SUM(H2728:H2728)</f>
        <v>0</v>
      </c>
    </row>
    <row r="2730" spans="3:11" ht="25.8" customHeight="1">
      <c r="C2730" s="213" t="s">
        <v>1215</v>
      </c>
      <c r="D2730" s="212" t="s">
        <v>1216</v>
      </c>
      <c r="E2730" s="534"/>
      <c r="F2730" s="534"/>
      <c r="G2730" s="534"/>
      <c r="H2730" s="534"/>
    </row>
    <row r="2731" spans="3:11" ht="25.8" customHeight="1">
      <c r="C2731" s="702" t="s">
        <v>1217</v>
      </c>
      <c r="D2731" s="208"/>
      <c r="E2731" s="208"/>
      <c r="F2731" s="208"/>
      <c r="G2731" s="209"/>
      <c r="H2731" s="821">
        <v>0</v>
      </c>
    </row>
    <row r="2732" spans="3:11" ht="25.8" customHeight="1">
      <c r="C2732" s="566" t="s">
        <v>1218</v>
      </c>
      <c r="D2732" s="552" t="s">
        <v>1219</v>
      </c>
      <c r="E2732" s="553"/>
      <c r="F2732" s="553"/>
      <c r="G2732" s="554"/>
      <c r="H2732" s="826">
        <f>H2731+H2729+H2726</f>
        <v>64230</v>
      </c>
      <c r="I2732" s="827"/>
    </row>
    <row r="2733" spans="3:11" ht="25.8" customHeight="1">
      <c r="C2733" s="566" t="s">
        <v>1220</v>
      </c>
      <c r="D2733" s="552" t="s">
        <v>1321</v>
      </c>
      <c r="E2733" s="553"/>
      <c r="F2733" s="554"/>
      <c r="G2733" s="555">
        <f>$M$9</f>
        <v>0.1</v>
      </c>
      <c r="H2733" s="539">
        <f>H2732*G2733</f>
        <v>6423</v>
      </c>
      <c r="I2733" s="827"/>
    </row>
    <row r="2734" spans="3:11" ht="25.8" customHeight="1">
      <c r="C2734" s="566" t="s">
        <v>1221</v>
      </c>
      <c r="D2734" s="552" t="s">
        <v>1222</v>
      </c>
      <c r="E2734" s="553"/>
      <c r="F2734" s="553"/>
      <c r="G2734" s="554"/>
      <c r="H2734" s="828">
        <f>SUM(H2732:H2733)</f>
        <v>70653</v>
      </c>
      <c r="I2734" s="827"/>
    </row>
    <row r="2735" spans="3:11" ht="25.8" customHeight="1"/>
    <row r="2736" spans="3:11" ht="25.8" customHeight="1">
      <c r="C2736" s="513" t="s">
        <v>7761</v>
      </c>
      <c r="D2736" s="817" t="s">
        <v>7762</v>
      </c>
      <c r="E2736" s="803"/>
      <c r="F2736" s="803"/>
      <c r="G2736" s="803"/>
      <c r="H2736" s="803"/>
      <c r="I2736" s="533">
        <f>ROUNDDOWN(H2751,-2)</f>
        <v>70600</v>
      </c>
      <c r="J2736" s="536" t="s">
        <v>6760</v>
      </c>
      <c r="K2736" s="824"/>
    </row>
    <row r="2737" spans="3:9" ht="25.8" customHeight="1">
      <c r="C2737" s="716" t="s">
        <v>1195</v>
      </c>
      <c r="D2737" s="716" t="s">
        <v>1196</v>
      </c>
      <c r="E2737" s="716" t="s">
        <v>1197</v>
      </c>
      <c r="F2737" s="716" t="s">
        <v>1198</v>
      </c>
      <c r="G2737" s="716" t="s">
        <v>1199</v>
      </c>
      <c r="H2737" s="716" t="s">
        <v>1200</v>
      </c>
    </row>
    <row r="2738" spans="3:9" ht="25.8" customHeight="1">
      <c r="C2738" s="213" t="s">
        <v>1201</v>
      </c>
      <c r="D2738" s="212" t="s">
        <v>1202</v>
      </c>
      <c r="E2738" s="534"/>
      <c r="F2738" s="534"/>
      <c r="G2738" s="534"/>
      <c r="H2738" s="534"/>
    </row>
    <row r="2739" spans="3:9" ht="25.8" customHeight="1">
      <c r="C2739" s="818">
        <v>1</v>
      </c>
      <c r="D2739" s="212" t="s">
        <v>5</v>
      </c>
      <c r="E2739" s="212" t="s">
        <v>6</v>
      </c>
      <c r="F2739" s="538">
        <v>0.17899999999999999</v>
      </c>
      <c r="G2739" s="539">
        <f>VLOOKUP(D2739,upahbahan,3,FALSE)</f>
        <v>100000</v>
      </c>
      <c r="H2739" s="539">
        <f t="shared" ref="H2739:H2742" si="279">F2739*G2739</f>
        <v>17900</v>
      </c>
    </row>
    <row r="2740" spans="3:9" ht="25.8" customHeight="1">
      <c r="C2740" s="818">
        <v>2</v>
      </c>
      <c r="D2740" s="212" t="s">
        <v>3295</v>
      </c>
      <c r="E2740" s="212" t="s">
        <v>6</v>
      </c>
      <c r="F2740" s="538">
        <v>0.29799999999999999</v>
      </c>
      <c r="G2740" s="539">
        <f>VLOOKUP(D2740,upahbahan,3,FALSE)</f>
        <v>135000</v>
      </c>
      <c r="H2740" s="539">
        <f t="shared" si="279"/>
        <v>40230</v>
      </c>
    </row>
    <row r="2741" spans="3:9" ht="25.8" customHeight="1">
      <c r="C2741" s="818">
        <v>3</v>
      </c>
      <c r="D2741" s="212" t="s">
        <v>18</v>
      </c>
      <c r="E2741" s="212" t="s">
        <v>6</v>
      </c>
      <c r="F2741" s="538">
        <v>0.03</v>
      </c>
      <c r="G2741" s="539">
        <f>VLOOKUP(D2741,upahbahan,3,FALSE)</f>
        <v>150000</v>
      </c>
      <c r="H2741" s="539">
        <f t="shared" si="279"/>
        <v>4500</v>
      </c>
    </row>
    <row r="2742" spans="3:9" ht="25.8" customHeight="1">
      <c r="C2742" s="818">
        <v>4</v>
      </c>
      <c r="D2742" s="212" t="s">
        <v>19</v>
      </c>
      <c r="E2742" s="212" t="s">
        <v>6</v>
      </c>
      <c r="F2742" s="538">
        <v>0.01</v>
      </c>
      <c r="G2742" s="539">
        <f>VLOOKUP(D2742,upahbahan,3,FALSE)</f>
        <v>160000</v>
      </c>
      <c r="H2742" s="539">
        <f t="shared" si="279"/>
        <v>1600</v>
      </c>
    </row>
    <row r="2743" spans="3:9" ht="25.8" customHeight="1">
      <c r="C2743" s="702" t="s">
        <v>1208</v>
      </c>
      <c r="D2743" s="208"/>
      <c r="E2743" s="208"/>
      <c r="F2743" s="811"/>
      <c r="G2743" s="522"/>
      <c r="H2743" s="539">
        <f>SUM(H2739:H2742)</f>
        <v>64230</v>
      </c>
      <c r="I2743" s="819"/>
    </row>
    <row r="2744" spans="3:9" ht="25.8" customHeight="1">
      <c r="C2744" s="213" t="s">
        <v>1209</v>
      </c>
      <c r="D2744" s="212" t="s">
        <v>1210</v>
      </c>
      <c r="E2744" s="534"/>
      <c r="F2744" s="831"/>
      <c r="G2744" s="534"/>
      <c r="H2744" s="534"/>
    </row>
    <row r="2745" spans="3:9" ht="25.8" customHeight="1">
      <c r="C2745" s="833" t="s">
        <v>1203</v>
      </c>
      <c r="D2745" s="212" t="s">
        <v>7763</v>
      </c>
      <c r="E2745" s="807" t="s">
        <v>113</v>
      </c>
      <c r="F2745" s="832">
        <v>1.25</v>
      </c>
      <c r="G2745" s="539">
        <f>VLOOKUP(D2745,upahbahan,3,FALSE)</f>
        <v>0</v>
      </c>
      <c r="H2745" s="539">
        <f t="shared" ref="H2745" si="280">F2745*G2745</f>
        <v>0</v>
      </c>
    </row>
    <row r="2746" spans="3:9" ht="25.8" customHeight="1">
      <c r="C2746" s="702" t="s">
        <v>1214</v>
      </c>
      <c r="D2746" s="208"/>
      <c r="E2746" s="208"/>
      <c r="F2746" s="208"/>
      <c r="G2746" s="209"/>
      <c r="H2746" s="539">
        <f>SUM(H2745:H2745)</f>
        <v>0</v>
      </c>
    </row>
    <row r="2747" spans="3:9" ht="25.8" customHeight="1">
      <c r="C2747" s="213" t="s">
        <v>1215</v>
      </c>
      <c r="D2747" s="212" t="s">
        <v>1216</v>
      </c>
      <c r="E2747" s="534"/>
      <c r="F2747" s="534"/>
      <c r="G2747" s="534"/>
      <c r="H2747" s="534"/>
    </row>
    <row r="2748" spans="3:9" ht="25.8" customHeight="1">
      <c r="C2748" s="702" t="s">
        <v>1217</v>
      </c>
      <c r="D2748" s="208"/>
      <c r="E2748" s="208"/>
      <c r="F2748" s="208"/>
      <c r="G2748" s="209"/>
      <c r="H2748" s="821">
        <v>0</v>
      </c>
    </row>
    <row r="2749" spans="3:9" ht="25.8" customHeight="1">
      <c r="C2749" s="566" t="s">
        <v>1218</v>
      </c>
      <c r="D2749" s="552" t="s">
        <v>1219</v>
      </c>
      <c r="E2749" s="553"/>
      <c r="F2749" s="553"/>
      <c r="G2749" s="554"/>
      <c r="H2749" s="826">
        <f>H2748+H2746+H2743</f>
        <v>64230</v>
      </c>
      <c r="I2749" s="827"/>
    </row>
    <row r="2750" spans="3:9" ht="25.8" customHeight="1">
      <c r="C2750" s="566" t="s">
        <v>1220</v>
      </c>
      <c r="D2750" s="552" t="s">
        <v>1321</v>
      </c>
      <c r="E2750" s="553"/>
      <c r="F2750" s="554"/>
      <c r="G2750" s="555">
        <f>$M$9</f>
        <v>0.1</v>
      </c>
      <c r="H2750" s="539">
        <f>H2749*G2750</f>
        <v>6423</v>
      </c>
      <c r="I2750" s="827"/>
    </row>
    <row r="2751" spans="3:9" ht="25.8" customHeight="1">
      <c r="C2751" s="566" t="s">
        <v>1221</v>
      </c>
      <c r="D2751" s="552" t="s">
        <v>1222</v>
      </c>
      <c r="E2751" s="553"/>
      <c r="F2751" s="553"/>
      <c r="G2751" s="554"/>
      <c r="H2751" s="828">
        <f>SUM(H2749:H2750)</f>
        <v>70653</v>
      </c>
      <c r="I2751" s="827"/>
    </row>
    <row r="2752" spans="3:9" ht="25.8" customHeight="1"/>
    <row r="2753" spans="3:11" ht="25.8" customHeight="1">
      <c r="C2753" s="513" t="s">
        <v>7764</v>
      </c>
      <c r="D2753" s="817" t="s">
        <v>7765</v>
      </c>
      <c r="E2753" s="803"/>
      <c r="F2753" s="803"/>
      <c r="G2753" s="803"/>
      <c r="H2753" s="803"/>
      <c r="I2753" s="533">
        <f>ROUNDDOWN(H2768,-2)</f>
        <v>70600</v>
      </c>
      <c r="J2753" s="536" t="s">
        <v>6760</v>
      </c>
      <c r="K2753" s="824"/>
    </row>
    <row r="2754" spans="3:11" ht="25.8" customHeight="1">
      <c r="C2754" s="716" t="s">
        <v>1195</v>
      </c>
      <c r="D2754" s="716" t="s">
        <v>1196</v>
      </c>
      <c r="E2754" s="716" t="s">
        <v>1197</v>
      </c>
      <c r="F2754" s="716" t="s">
        <v>1198</v>
      </c>
      <c r="G2754" s="716" t="s">
        <v>1199</v>
      </c>
      <c r="H2754" s="716" t="s">
        <v>1200</v>
      </c>
    </row>
    <row r="2755" spans="3:11" ht="25.8" customHeight="1">
      <c r="C2755" s="213" t="s">
        <v>1201</v>
      </c>
      <c r="D2755" s="212" t="s">
        <v>1202</v>
      </c>
      <c r="E2755" s="534"/>
      <c r="F2755" s="534"/>
      <c r="G2755" s="534"/>
      <c r="H2755" s="534"/>
    </row>
    <row r="2756" spans="3:11" ht="25.8" customHeight="1">
      <c r="C2756" s="818">
        <v>1</v>
      </c>
      <c r="D2756" s="212" t="s">
        <v>5</v>
      </c>
      <c r="E2756" s="212" t="s">
        <v>6</v>
      </c>
      <c r="F2756" s="538">
        <v>0.17899999999999999</v>
      </c>
      <c r="G2756" s="539">
        <f>VLOOKUP(D2756,upahbahan,3,FALSE)</f>
        <v>100000</v>
      </c>
      <c r="H2756" s="539">
        <f t="shared" ref="H2756:H2759" si="281">F2756*G2756</f>
        <v>17900</v>
      </c>
    </row>
    <row r="2757" spans="3:11" ht="25.8" customHeight="1">
      <c r="C2757" s="818">
        <v>2</v>
      </c>
      <c r="D2757" s="212" t="s">
        <v>3295</v>
      </c>
      <c r="E2757" s="212" t="s">
        <v>6</v>
      </c>
      <c r="F2757" s="538">
        <v>0.29799999999999999</v>
      </c>
      <c r="G2757" s="539">
        <f>VLOOKUP(D2757,upahbahan,3,FALSE)</f>
        <v>135000</v>
      </c>
      <c r="H2757" s="539">
        <f t="shared" si="281"/>
        <v>40230</v>
      </c>
    </row>
    <row r="2758" spans="3:11" ht="25.8" customHeight="1">
      <c r="C2758" s="818">
        <v>3</v>
      </c>
      <c r="D2758" s="212" t="s">
        <v>18</v>
      </c>
      <c r="E2758" s="212" t="s">
        <v>6</v>
      </c>
      <c r="F2758" s="538">
        <v>0.03</v>
      </c>
      <c r="G2758" s="539">
        <f>VLOOKUP(D2758,upahbahan,3,FALSE)</f>
        <v>150000</v>
      </c>
      <c r="H2758" s="539">
        <f t="shared" si="281"/>
        <v>4500</v>
      </c>
    </row>
    <row r="2759" spans="3:11" ht="25.8" customHeight="1">
      <c r="C2759" s="818">
        <v>4</v>
      </c>
      <c r="D2759" s="212" t="s">
        <v>19</v>
      </c>
      <c r="E2759" s="212" t="s">
        <v>6</v>
      </c>
      <c r="F2759" s="538">
        <v>0.01</v>
      </c>
      <c r="G2759" s="539">
        <f>VLOOKUP(D2759,upahbahan,3,FALSE)</f>
        <v>160000</v>
      </c>
      <c r="H2759" s="539">
        <f t="shared" si="281"/>
        <v>1600</v>
      </c>
    </row>
    <row r="2760" spans="3:11" ht="25.8" customHeight="1">
      <c r="C2760" s="702" t="s">
        <v>1208</v>
      </c>
      <c r="D2760" s="208"/>
      <c r="E2760" s="208"/>
      <c r="F2760" s="811"/>
      <c r="G2760" s="522"/>
      <c r="H2760" s="539">
        <f>SUM(H2756:H2759)</f>
        <v>64230</v>
      </c>
      <c r="I2760" s="819"/>
    </row>
    <row r="2761" spans="3:11" ht="25.8" customHeight="1">
      <c r="C2761" s="213" t="s">
        <v>1209</v>
      </c>
      <c r="D2761" s="212" t="s">
        <v>1210</v>
      </c>
      <c r="E2761" s="534"/>
      <c r="F2761" s="831"/>
      <c r="G2761" s="534"/>
      <c r="H2761" s="534"/>
    </row>
    <row r="2762" spans="3:11" ht="25.8" customHeight="1">
      <c r="C2762" s="833" t="s">
        <v>1203</v>
      </c>
      <c r="D2762" s="212" t="s">
        <v>7766</v>
      </c>
      <c r="E2762" s="807" t="s">
        <v>113</v>
      </c>
      <c r="F2762" s="832">
        <v>1.25</v>
      </c>
      <c r="G2762" s="539">
        <f>VLOOKUP(D2762,upahbahan,3,FALSE)</f>
        <v>0</v>
      </c>
      <c r="H2762" s="539">
        <f t="shared" ref="H2762" si="282">F2762*G2762</f>
        <v>0</v>
      </c>
    </row>
    <row r="2763" spans="3:11" ht="25.8" customHeight="1">
      <c r="C2763" s="702" t="s">
        <v>1214</v>
      </c>
      <c r="D2763" s="208"/>
      <c r="E2763" s="208"/>
      <c r="F2763" s="208"/>
      <c r="G2763" s="209"/>
      <c r="H2763" s="539">
        <f>SUM(H2762:H2762)</f>
        <v>0</v>
      </c>
    </row>
    <row r="2764" spans="3:11" ht="25.8" customHeight="1">
      <c r="C2764" s="213" t="s">
        <v>1215</v>
      </c>
      <c r="D2764" s="212" t="s">
        <v>1216</v>
      </c>
      <c r="E2764" s="534"/>
      <c r="F2764" s="534"/>
      <c r="G2764" s="534"/>
      <c r="H2764" s="534"/>
    </row>
    <row r="2765" spans="3:11" ht="25.8" customHeight="1">
      <c r="C2765" s="702" t="s">
        <v>1217</v>
      </c>
      <c r="D2765" s="208"/>
      <c r="E2765" s="208"/>
      <c r="F2765" s="208"/>
      <c r="G2765" s="209"/>
      <c r="H2765" s="821">
        <v>0</v>
      </c>
    </row>
    <row r="2766" spans="3:11" ht="25.8" customHeight="1">
      <c r="C2766" s="566" t="s">
        <v>1218</v>
      </c>
      <c r="D2766" s="552" t="s">
        <v>1219</v>
      </c>
      <c r="E2766" s="553"/>
      <c r="F2766" s="553"/>
      <c r="G2766" s="554"/>
      <c r="H2766" s="826">
        <f>H2765+H2763+H2760</f>
        <v>64230</v>
      </c>
      <c r="I2766" s="827"/>
    </row>
    <row r="2767" spans="3:11" ht="25.8" customHeight="1">
      <c r="C2767" s="566" t="s">
        <v>1220</v>
      </c>
      <c r="D2767" s="552" t="s">
        <v>1321</v>
      </c>
      <c r="E2767" s="553"/>
      <c r="F2767" s="554"/>
      <c r="G2767" s="555">
        <f>$M$9</f>
        <v>0.1</v>
      </c>
      <c r="H2767" s="539">
        <f>H2766*G2767</f>
        <v>6423</v>
      </c>
      <c r="I2767" s="827"/>
    </row>
    <row r="2768" spans="3:11" ht="25.8" customHeight="1">
      <c r="C2768" s="566" t="s">
        <v>1221</v>
      </c>
      <c r="D2768" s="552" t="s">
        <v>1222</v>
      </c>
      <c r="E2768" s="553"/>
      <c r="F2768" s="553"/>
      <c r="G2768" s="554"/>
      <c r="H2768" s="828">
        <f>SUM(H2766:H2767)</f>
        <v>70653</v>
      </c>
      <c r="I2768" s="827"/>
    </row>
    <row r="2769" spans="3:11" ht="25.8" customHeight="1"/>
    <row r="2770" spans="3:11" ht="25.8" customHeight="1">
      <c r="C2770" s="513" t="s">
        <v>7767</v>
      </c>
      <c r="D2770" s="817" t="s">
        <v>7768</v>
      </c>
      <c r="E2770" s="803"/>
      <c r="F2770" s="803"/>
      <c r="G2770" s="803"/>
      <c r="H2770" s="803"/>
      <c r="I2770" s="533">
        <f>ROUNDDOWN(H2785,-2)</f>
        <v>70600</v>
      </c>
      <c r="J2770" s="536" t="s">
        <v>6760</v>
      </c>
      <c r="K2770" s="824"/>
    </row>
    <row r="2771" spans="3:11" ht="25.8" customHeight="1">
      <c r="C2771" s="716" t="s">
        <v>1195</v>
      </c>
      <c r="D2771" s="716" t="s">
        <v>1196</v>
      </c>
      <c r="E2771" s="716" t="s">
        <v>1197</v>
      </c>
      <c r="F2771" s="716" t="s">
        <v>1198</v>
      </c>
      <c r="G2771" s="716" t="s">
        <v>1199</v>
      </c>
      <c r="H2771" s="716" t="s">
        <v>1200</v>
      </c>
    </row>
    <row r="2772" spans="3:11" ht="25.8" customHeight="1">
      <c r="C2772" s="213" t="s">
        <v>1201</v>
      </c>
      <c r="D2772" s="212" t="s">
        <v>1202</v>
      </c>
      <c r="E2772" s="534"/>
      <c r="F2772" s="534"/>
      <c r="G2772" s="534"/>
      <c r="H2772" s="534"/>
    </row>
    <row r="2773" spans="3:11" ht="25.8" customHeight="1">
      <c r="C2773" s="818">
        <v>1</v>
      </c>
      <c r="D2773" s="212" t="s">
        <v>5</v>
      </c>
      <c r="E2773" s="212" t="s">
        <v>6</v>
      </c>
      <c r="F2773" s="538">
        <v>0.17899999999999999</v>
      </c>
      <c r="G2773" s="539">
        <f>VLOOKUP(D2773,upahbahan,3,FALSE)</f>
        <v>100000</v>
      </c>
      <c r="H2773" s="539">
        <f t="shared" ref="H2773:H2776" si="283">F2773*G2773</f>
        <v>17900</v>
      </c>
    </row>
    <row r="2774" spans="3:11" ht="25.8" customHeight="1">
      <c r="C2774" s="818">
        <v>2</v>
      </c>
      <c r="D2774" s="212" t="s">
        <v>3295</v>
      </c>
      <c r="E2774" s="212" t="s">
        <v>6</v>
      </c>
      <c r="F2774" s="538">
        <v>0.29799999999999999</v>
      </c>
      <c r="G2774" s="539">
        <f>VLOOKUP(D2774,upahbahan,3,FALSE)</f>
        <v>135000</v>
      </c>
      <c r="H2774" s="539">
        <f t="shared" si="283"/>
        <v>40230</v>
      </c>
    </row>
    <row r="2775" spans="3:11" ht="25.8" customHeight="1">
      <c r="C2775" s="818">
        <v>3</v>
      </c>
      <c r="D2775" s="212" t="s">
        <v>18</v>
      </c>
      <c r="E2775" s="212" t="s">
        <v>6</v>
      </c>
      <c r="F2775" s="538">
        <v>0.03</v>
      </c>
      <c r="G2775" s="539">
        <f>VLOOKUP(D2775,upahbahan,3,FALSE)</f>
        <v>150000</v>
      </c>
      <c r="H2775" s="539">
        <f t="shared" si="283"/>
        <v>4500</v>
      </c>
    </row>
    <row r="2776" spans="3:11" ht="25.8" customHeight="1">
      <c r="C2776" s="818">
        <v>4</v>
      </c>
      <c r="D2776" s="212" t="s">
        <v>19</v>
      </c>
      <c r="E2776" s="212" t="s">
        <v>6</v>
      </c>
      <c r="F2776" s="538">
        <v>0.01</v>
      </c>
      <c r="G2776" s="539">
        <f>VLOOKUP(D2776,upahbahan,3,FALSE)</f>
        <v>160000</v>
      </c>
      <c r="H2776" s="539">
        <f t="shared" si="283"/>
        <v>1600</v>
      </c>
    </row>
    <row r="2777" spans="3:11" ht="25.8" customHeight="1">
      <c r="C2777" s="702" t="s">
        <v>1208</v>
      </c>
      <c r="D2777" s="208"/>
      <c r="E2777" s="208"/>
      <c r="F2777" s="811"/>
      <c r="G2777" s="522"/>
      <c r="H2777" s="539">
        <f>SUM(H2773:H2776)</f>
        <v>64230</v>
      </c>
      <c r="I2777" s="819"/>
    </row>
    <row r="2778" spans="3:11" ht="25.8" customHeight="1">
      <c r="C2778" s="213" t="s">
        <v>1209</v>
      </c>
      <c r="D2778" s="212" t="s">
        <v>1210</v>
      </c>
      <c r="E2778" s="534"/>
      <c r="F2778" s="831"/>
      <c r="G2778" s="534"/>
      <c r="H2778" s="534"/>
    </row>
    <row r="2779" spans="3:11" ht="25.8" customHeight="1">
      <c r="C2779" s="833" t="s">
        <v>1203</v>
      </c>
      <c r="D2779" s="212" t="s">
        <v>7769</v>
      </c>
      <c r="E2779" s="807" t="s">
        <v>113</v>
      </c>
      <c r="F2779" s="832">
        <v>1.25</v>
      </c>
      <c r="G2779" s="539">
        <f>VLOOKUP(D2779,upahbahan,3,FALSE)</f>
        <v>0</v>
      </c>
      <c r="H2779" s="539">
        <f t="shared" ref="H2779" si="284">F2779*G2779</f>
        <v>0</v>
      </c>
    </row>
    <row r="2780" spans="3:11" ht="25.8" customHeight="1">
      <c r="C2780" s="702" t="s">
        <v>1214</v>
      </c>
      <c r="D2780" s="208"/>
      <c r="E2780" s="208"/>
      <c r="F2780" s="208"/>
      <c r="G2780" s="209"/>
      <c r="H2780" s="539">
        <f>SUM(H2779:H2779)</f>
        <v>0</v>
      </c>
    </row>
    <row r="2781" spans="3:11" ht="25.8" customHeight="1">
      <c r="C2781" s="213" t="s">
        <v>1215</v>
      </c>
      <c r="D2781" s="212" t="s">
        <v>1216</v>
      </c>
      <c r="E2781" s="534"/>
      <c r="F2781" s="534"/>
      <c r="G2781" s="534"/>
      <c r="H2781" s="534"/>
    </row>
    <row r="2782" spans="3:11" ht="25.8" customHeight="1">
      <c r="C2782" s="702" t="s">
        <v>1217</v>
      </c>
      <c r="D2782" s="208"/>
      <c r="E2782" s="208"/>
      <c r="F2782" s="208"/>
      <c r="G2782" s="209"/>
      <c r="H2782" s="821">
        <v>0</v>
      </c>
    </row>
    <row r="2783" spans="3:11" ht="25.8" customHeight="1">
      <c r="C2783" s="566" t="s">
        <v>1218</v>
      </c>
      <c r="D2783" s="552" t="s">
        <v>1219</v>
      </c>
      <c r="E2783" s="553"/>
      <c r="F2783" s="553"/>
      <c r="G2783" s="554"/>
      <c r="H2783" s="826">
        <f>H2782+H2780+H2777</f>
        <v>64230</v>
      </c>
      <c r="I2783" s="827"/>
    </row>
    <row r="2784" spans="3:11" ht="25.8" customHeight="1">
      <c r="C2784" s="566" t="s">
        <v>1220</v>
      </c>
      <c r="D2784" s="552" t="s">
        <v>1321</v>
      </c>
      <c r="E2784" s="553"/>
      <c r="F2784" s="554"/>
      <c r="G2784" s="555">
        <f>$M$9</f>
        <v>0.1</v>
      </c>
      <c r="H2784" s="539">
        <f>H2783*G2784</f>
        <v>6423</v>
      </c>
      <c r="I2784" s="827"/>
    </row>
    <row r="2785" spans="3:11" ht="25.8" customHeight="1">
      <c r="C2785" s="566" t="s">
        <v>1221</v>
      </c>
      <c r="D2785" s="552" t="s">
        <v>1222</v>
      </c>
      <c r="E2785" s="553"/>
      <c r="F2785" s="553"/>
      <c r="G2785" s="554"/>
      <c r="H2785" s="828">
        <f>SUM(H2783:H2784)</f>
        <v>70653</v>
      </c>
      <c r="I2785" s="827"/>
    </row>
    <row r="2786" spans="3:11" ht="25.8" customHeight="1"/>
    <row r="2787" spans="3:11" ht="25.8" customHeight="1">
      <c r="C2787" s="513" t="s">
        <v>7770</v>
      </c>
      <c r="D2787" s="817" t="s">
        <v>7771</v>
      </c>
      <c r="E2787" s="803"/>
      <c r="F2787" s="803"/>
      <c r="G2787" s="803"/>
      <c r="H2787" s="803"/>
      <c r="I2787" s="533">
        <f>ROUNDDOWN(H2802,-2)</f>
        <v>70600</v>
      </c>
      <c r="J2787" s="536" t="s">
        <v>6760</v>
      </c>
      <c r="K2787" s="824"/>
    </row>
    <row r="2788" spans="3:11" ht="25.8" customHeight="1">
      <c r="C2788" s="716" t="s">
        <v>1195</v>
      </c>
      <c r="D2788" s="716" t="s">
        <v>1196</v>
      </c>
      <c r="E2788" s="716" t="s">
        <v>1197</v>
      </c>
      <c r="F2788" s="716" t="s">
        <v>1198</v>
      </c>
      <c r="G2788" s="716" t="s">
        <v>1199</v>
      </c>
      <c r="H2788" s="716" t="s">
        <v>1200</v>
      </c>
    </row>
    <row r="2789" spans="3:11" ht="25.8" customHeight="1">
      <c r="C2789" s="213" t="s">
        <v>1201</v>
      </c>
      <c r="D2789" s="212" t="s">
        <v>1202</v>
      </c>
      <c r="E2789" s="534"/>
      <c r="F2789" s="534"/>
      <c r="G2789" s="534"/>
      <c r="H2789" s="534"/>
    </row>
    <row r="2790" spans="3:11" ht="25.8" customHeight="1">
      <c r="C2790" s="818">
        <v>1</v>
      </c>
      <c r="D2790" s="212" t="s">
        <v>5</v>
      </c>
      <c r="E2790" s="212" t="s">
        <v>6</v>
      </c>
      <c r="F2790" s="538">
        <v>0.17899999999999999</v>
      </c>
      <c r="G2790" s="539">
        <f>VLOOKUP(D2790,upahbahan,3,FALSE)</f>
        <v>100000</v>
      </c>
      <c r="H2790" s="539">
        <f t="shared" ref="H2790:H2793" si="285">F2790*G2790</f>
        <v>17900</v>
      </c>
    </row>
    <row r="2791" spans="3:11" ht="25.8" customHeight="1">
      <c r="C2791" s="818">
        <v>2</v>
      </c>
      <c r="D2791" s="212" t="s">
        <v>3295</v>
      </c>
      <c r="E2791" s="212" t="s">
        <v>6</v>
      </c>
      <c r="F2791" s="538">
        <v>0.29799999999999999</v>
      </c>
      <c r="G2791" s="539">
        <f>VLOOKUP(D2791,upahbahan,3,FALSE)</f>
        <v>135000</v>
      </c>
      <c r="H2791" s="539">
        <f t="shared" si="285"/>
        <v>40230</v>
      </c>
    </row>
    <row r="2792" spans="3:11" ht="25.8" customHeight="1">
      <c r="C2792" s="818">
        <v>3</v>
      </c>
      <c r="D2792" s="212" t="s">
        <v>18</v>
      </c>
      <c r="E2792" s="212" t="s">
        <v>6</v>
      </c>
      <c r="F2792" s="538">
        <v>0.03</v>
      </c>
      <c r="G2792" s="539">
        <f>VLOOKUP(D2792,upahbahan,3,FALSE)</f>
        <v>150000</v>
      </c>
      <c r="H2792" s="539">
        <f t="shared" si="285"/>
        <v>4500</v>
      </c>
    </row>
    <row r="2793" spans="3:11" ht="25.8" customHeight="1">
      <c r="C2793" s="818">
        <v>4</v>
      </c>
      <c r="D2793" s="212" t="s">
        <v>19</v>
      </c>
      <c r="E2793" s="212" t="s">
        <v>6</v>
      </c>
      <c r="F2793" s="538">
        <v>0.01</v>
      </c>
      <c r="G2793" s="539">
        <f>VLOOKUP(D2793,upahbahan,3,FALSE)</f>
        <v>160000</v>
      </c>
      <c r="H2793" s="539">
        <f t="shared" si="285"/>
        <v>1600</v>
      </c>
    </row>
    <row r="2794" spans="3:11" ht="25.8" customHeight="1">
      <c r="C2794" s="702" t="s">
        <v>1208</v>
      </c>
      <c r="D2794" s="208"/>
      <c r="E2794" s="208"/>
      <c r="F2794" s="811"/>
      <c r="G2794" s="522"/>
      <c r="H2794" s="539">
        <f>SUM(H2790:H2793)</f>
        <v>64230</v>
      </c>
      <c r="I2794" s="819"/>
    </row>
    <row r="2795" spans="3:11" ht="25.8" customHeight="1">
      <c r="C2795" s="213" t="s">
        <v>1209</v>
      </c>
      <c r="D2795" s="212" t="s">
        <v>1210</v>
      </c>
      <c r="E2795" s="534"/>
      <c r="F2795" s="831"/>
      <c r="G2795" s="534"/>
      <c r="H2795" s="534"/>
    </row>
    <row r="2796" spans="3:11" ht="25.8" customHeight="1">
      <c r="C2796" s="833" t="s">
        <v>1203</v>
      </c>
      <c r="D2796" s="212" t="s">
        <v>7772</v>
      </c>
      <c r="E2796" s="807" t="s">
        <v>113</v>
      </c>
      <c r="F2796" s="832">
        <v>1.25</v>
      </c>
      <c r="G2796" s="539">
        <f>VLOOKUP(D2796,upahbahan,3,FALSE)</f>
        <v>0</v>
      </c>
      <c r="H2796" s="539">
        <f t="shared" ref="H2796" si="286">F2796*G2796</f>
        <v>0</v>
      </c>
    </row>
    <row r="2797" spans="3:11" ht="25.8" customHeight="1">
      <c r="C2797" s="702" t="s">
        <v>1214</v>
      </c>
      <c r="D2797" s="208"/>
      <c r="E2797" s="208"/>
      <c r="F2797" s="208"/>
      <c r="G2797" s="209"/>
      <c r="H2797" s="539">
        <f>SUM(H2796:H2796)</f>
        <v>0</v>
      </c>
    </row>
    <row r="2798" spans="3:11" ht="25.8" customHeight="1">
      <c r="C2798" s="213" t="s">
        <v>1215</v>
      </c>
      <c r="D2798" s="212" t="s">
        <v>1216</v>
      </c>
      <c r="E2798" s="534"/>
      <c r="F2798" s="534"/>
      <c r="G2798" s="534"/>
      <c r="H2798" s="534"/>
    </row>
    <row r="2799" spans="3:11" ht="25.8" customHeight="1">
      <c r="C2799" s="702" t="s">
        <v>1217</v>
      </c>
      <c r="D2799" s="208"/>
      <c r="E2799" s="208"/>
      <c r="F2799" s="208"/>
      <c r="G2799" s="209"/>
      <c r="H2799" s="821">
        <v>0</v>
      </c>
    </row>
    <row r="2800" spans="3:11" ht="25.8" customHeight="1">
      <c r="C2800" s="566" t="s">
        <v>1218</v>
      </c>
      <c r="D2800" s="552" t="s">
        <v>1219</v>
      </c>
      <c r="E2800" s="553"/>
      <c r="F2800" s="553"/>
      <c r="G2800" s="554"/>
      <c r="H2800" s="826">
        <f>H2799+H2797+H2794</f>
        <v>64230</v>
      </c>
      <c r="I2800" s="827"/>
    </row>
    <row r="2801" spans="3:11" ht="25.8" customHeight="1">
      <c r="C2801" s="566" t="s">
        <v>1220</v>
      </c>
      <c r="D2801" s="552" t="s">
        <v>1321</v>
      </c>
      <c r="E2801" s="553"/>
      <c r="F2801" s="554"/>
      <c r="G2801" s="555">
        <f>$M$9</f>
        <v>0.1</v>
      </c>
      <c r="H2801" s="539">
        <f>H2800*G2801</f>
        <v>6423</v>
      </c>
      <c r="I2801" s="827"/>
    </row>
    <row r="2802" spans="3:11" ht="25.8" customHeight="1">
      <c r="C2802" s="566" t="s">
        <v>1221</v>
      </c>
      <c r="D2802" s="552" t="s">
        <v>1222</v>
      </c>
      <c r="E2802" s="553"/>
      <c r="F2802" s="553"/>
      <c r="G2802" s="554"/>
      <c r="H2802" s="828">
        <f>SUM(H2800:H2801)</f>
        <v>70653</v>
      </c>
      <c r="I2802" s="827"/>
    </row>
    <row r="2803" spans="3:11" ht="25.8" customHeight="1"/>
    <row r="2804" spans="3:11" ht="25.8" customHeight="1">
      <c r="C2804" s="513" t="s">
        <v>7773</v>
      </c>
      <c r="D2804" s="817" t="s">
        <v>7774</v>
      </c>
      <c r="E2804" s="803"/>
      <c r="F2804" s="803"/>
      <c r="G2804" s="803"/>
      <c r="H2804" s="803"/>
      <c r="I2804" s="533">
        <f>ROUNDDOWN(H2819,-2)</f>
        <v>70600</v>
      </c>
      <c r="J2804" s="536" t="s">
        <v>6760</v>
      </c>
      <c r="K2804" s="824"/>
    </row>
    <row r="2805" spans="3:11" ht="25.8" customHeight="1">
      <c r="C2805" s="716" t="s">
        <v>1195</v>
      </c>
      <c r="D2805" s="716" t="s">
        <v>1196</v>
      </c>
      <c r="E2805" s="716" t="s">
        <v>1197</v>
      </c>
      <c r="F2805" s="716" t="s">
        <v>1198</v>
      </c>
      <c r="G2805" s="716" t="s">
        <v>1199</v>
      </c>
      <c r="H2805" s="716" t="s">
        <v>1200</v>
      </c>
    </row>
    <row r="2806" spans="3:11" ht="25.8" customHeight="1">
      <c r="C2806" s="213" t="s">
        <v>1201</v>
      </c>
      <c r="D2806" s="212" t="s">
        <v>1202</v>
      </c>
      <c r="E2806" s="534"/>
      <c r="F2806" s="534"/>
      <c r="G2806" s="534"/>
      <c r="H2806" s="534"/>
    </row>
    <row r="2807" spans="3:11" ht="25.8" customHeight="1">
      <c r="C2807" s="818">
        <v>1</v>
      </c>
      <c r="D2807" s="212" t="s">
        <v>5</v>
      </c>
      <c r="E2807" s="212" t="s">
        <v>6</v>
      </c>
      <c r="F2807" s="538">
        <v>0.17899999999999999</v>
      </c>
      <c r="G2807" s="539">
        <f>VLOOKUP(D2807,upahbahan,3,FALSE)</f>
        <v>100000</v>
      </c>
      <c r="H2807" s="539">
        <f t="shared" ref="H2807:H2810" si="287">F2807*G2807</f>
        <v>17900</v>
      </c>
    </row>
    <row r="2808" spans="3:11" ht="25.8" customHeight="1">
      <c r="C2808" s="818">
        <v>2</v>
      </c>
      <c r="D2808" s="212" t="s">
        <v>3295</v>
      </c>
      <c r="E2808" s="212" t="s">
        <v>6</v>
      </c>
      <c r="F2808" s="538">
        <v>0.29799999999999999</v>
      </c>
      <c r="G2808" s="539">
        <f>VLOOKUP(D2808,upahbahan,3,FALSE)</f>
        <v>135000</v>
      </c>
      <c r="H2808" s="539">
        <f t="shared" si="287"/>
        <v>40230</v>
      </c>
    </row>
    <row r="2809" spans="3:11" ht="25.8" customHeight="1">
      <c r="C2809" s="818">
        <v>3</v>
      </c>
      <c r="D2809" s="212" t="s">
        <v>18</v>
      </c>
      <c r="E2809" s="212" t="s">
        <v>6</v>
      </c>
      <c r="F2809" s="538">
        <v>0.03</v>
      </c>
      <c r="G2809" s="539">
        <f>VLOOKUP(D2809,upahbahan,3,FALSE)</f>
        <v>150000</v>
      </c>
      <c r="H2809" s="539">
        <f t="shared" si="287"/>
        <v>4500</v>
      </c>
    </row>
    <row r="2810" spans="3:11" ht="25.8" customHeight="1">
      <c r="C2810" s="818">
        <v>4</v>
      </c>
      <c r="D2810" s="212" t="s">
        <v>19</v>
      </c>
      <c r="E2810" s="212" t="s">
        <v>6</v>
      </c>
      <c r="F2810" s="538">
        <v>0.01</v>
      </c>
      <c r="G2810" s="539">
        <f>VLOOKUP(D2810,upahbahan,3,FALSE)</f>
        <v>160000</v>
      </c>
      <c r="H2810" s="539">
        <f t="shared" si="287"/>
        <v>1600</v>
      </c>
    </row>
    <row r="2811" spans="3:11" ht="25.8" customHeight="1">
      <c r="C2811" s="702" t="s">
        <v>1208</v>
      </c>
      <c r="D2811" s="208"/>
      <c r="E2811" s="208"/>
      <c r="F2811" s="811"/>
      <c r="G2811" s="522"/>
      <c r="H2811" s="539">
        <f>SUM(H2807:H2810)</f>
        <v>64230</v>
      </c>
      <c r="I2811" s="819"/>
    </row>
    <row r="2812" spans="3:11" ht="25.8" customHeight="1">
      <c r="C2812" s="213" t="s">
        <v>1209</v>
      </c>
      <c r="D2812" s="212" t="s">
        <v>1210</v>
      </c>
      <c r="E2812" s="534"/>
      <c r="F2812" s="831"/>
      <c r="G2812" s="534"/>
      <c r="H2812" s="534"/>
    </row>
    <row r="2813" spans="3:11" ht="25.8" customHeight="1">
      <c r="C2813" s="833" t="s">
        <v>1203</v>
      </c>
      <c r="D2813" s="212" t="s">
        <v>7775</v>
      </c>
      <c r="E2813" s="807" t="s">
        <v>113</v>
      </c>
      <c r="F2813" s="832">
        <v>1.25</v>
      </c>
      <c r="G2813" s="539">
        <f>VLOOKUP(D2813,upahbahan,3,FALSE)</f>
        <v>0</v>
      </c>
      <c r="H2813" s="539">
        <f t="shared" ref="H2813" si="288">F2813*G2813</f>
        <v>0</v>
      </c>
    </row>
    <row r="2814" spans="3:11" ht="25.8" customHeight="1">
      <c r="C2814" s="702" t="s">
        <v>1214</v>
      </c>
      <c r="D2814" s="208"/>
      <c r="E2814" s="208"/>
      <c r="F2814" s="208"/>
      <c r="G2814" s="209"/>
      <c r="H2814" s="539">
        <f>SUM(H2813:H2813)</f>
        <v>0</v>
      </c>
    </row>
    <row r="2815" spans="3:11" ht="25.8" customHeight="1">
      <c r="C2815" s="213" t="s">
        <v>1215</v>
      </c>
      <c r="D2815" s="212" t="s">
        <v>1216</v>
      </c>
      <c r="E2815" s="534"/>
      <c r="F2815" s="534"/>
      <c r="G2815" s="534"/>
      <c r="H2815" s="534"/>
    </row>
    <row r="2816" spans="3:11" ht="25.8" customHeight="1">
      <c r="C2816" s="702" t="s">
        <v>1217</v>
      </c>
      <c r="D2816" s="208"/>
      <c r="E2816" s="208"/>
      <c r="F2816" s="208"/>
      <c r="G2816" s="209"/>
      <c r="H2816" s="821">
        <v>0</v>
      </c>
    </row>
    <row r="2817" spans="3:11" ht="25.8" customHeight="1">
      <c r="C2817" s="566" t="s">
        <v>1218</v>
      </c>
      <c r="D2817" s="552" t="s">
        <v>1219</v>
      </c>
      <c r="E2817" s="553"/>
      <c r="F2817" s="553"/>
      <c r="G2817" s="554"/>
      <c r="H2817" s="826">
        <f>H2816+H2814+H2811</f>
        <v>64230</v>
      </c>
      <c r="I2817" s="827"/>
    </row>
    <row r="2818" spans="3:11" ht="25.8" customHeight="1">
      <c r="C2818" s="566" t="s">
        <v>1220</v>
      </c>
      <c r="D2818" s="552" t="s">
        <v>1321</v>
      </c>
      <c r="E2818" s="553"/>
      <c r="F2818" s="554"/>
      <c r="G2818" s="555">
        <f>$M$9</f>
        <v>0.1</v>
      </c>
      <c r="H2818" s="539">
        <f>H2817*G2818</f>
        <v>6423</v>
      </c>
      <c r="I2818" s="827"/>
    </row>
    <row r="2819" spans="3:11" ht="25.8" customHeight="1">
      <c r="C2819" s="566" t="s">
        <v>1221</v>
      </c>
      <c r="D2819" s="552" t="s">
        <v>1222</v>
      </c>
      <c r="E2819" s="553"/>
      <c r="F2819" s="553"/>
      <c r="G2819" s="554"/>
      <c r="H2819" s="828">
        <f>SUM(H2817:H2818)</f>
        <v>70653</v>
      </c>
      <c r="I2819" s="827"/>
    </row>
    <row r="2820" spans="3:11" ht="25.8" customHeight="1"/>
    <row r="2821" spans="3:11" ht="25.8" customHeight="1">
      <c r="C2821" s="513" t="s">
        <v>7776</v>
      </c>
      <c r="D2821" s="817" t="s">
        <v>7777</v>
      </c>
      <c r="E2821" s="803"/>
      <c r="F2821" s="803"/>
      <c r="G2821" s="803"/>
      <c r="H2821" s="803"/>
      <c r="I2821" s="533">
        <f>ROUNDDOWN(H2836,-2)</f>
        <v>70600</v>
      </c>
      <c r="J2821" s="536" t="s">
        <v>6760</v>
      </c>
      <c r="K2821" s="824"/>
    </row>
    <row r="2822" spans="3:11" ht="25.8" customHeight="1">
      <c r="C2822" s="716" t="s">
        <v>1195</v>
      </c>
      <c r="D2822" s="716" t="s">
        <v>1196</v>
      </c>
      <c r="E2822" s="716" t="s">
        <v>1197</v>
      </c>
      <c r="F2822" s="716" t="s">
        <v>1198</v>
      </c>
      <c r="G2822" s="716" t="s">
        <v>1199</v>
      </c>
      <c r="H2822" s="716" t="s">
        <v>1200</v>
      </c>
    </row>
    <row r="2823" spans="3:11" ht="25.8" customHeight="1">
      <c r="C2823" s="213" t="s">
        <v>1201</v>
      </c>
      <c r="D2823" s="212" t="s">
        <v>1202</v>
      </c>
      <c r="E2823" s="534"/>
      <c r="F2823" s="534"/>
      <c r="G2823" s="534"/>
      <c r="H2823" s="534"/>
    </row>
    <row r="2824" spans="3:11" ht="25.8" customHeight="1">
      <c r="C2824" s="818">
        <v>1</v>
      </c>
      <c r="D2824" s="212" t="s">
        <v>5</v>
      </c>
      <c r="E2824" s="212" t="s">
        <v>6</v>
      </c>
      <c r="F2824" s="538">
        <v>0.17899999999999999</v>
      </c>
      <c r="G2824" s="539">
        <f>VLOOKUP(D2824,upahbahan,3,FALSE)</f>
        <v>100000</v>
      </c>
      <c r="H2824" s="539">
        <f t="shared" ref="H2824:H2827" si="289">F2824*G2824</f>
        <v>17900</v>
      </c>
    </row>
    <row r="2825" spans="3:11" ht="25.8" customHeight="1">
      <c r="C2825" s="818">
        <v>2</v>
      </c>
      <c r="D2825" s="212" t="s">
        <v>3295</v>
      </c>
      <c r="E2825" s="212" t="s">
        <v>6</v>
      </c>
      <c r="F2825" s="538">
        <v>0.29799999999999999</v>
      </c>
      <c r="G2825" s="539">
        <f>VLOOKUP(D2825,upahbahan,3,FALSE)</f>
        <v>135000</v>
      </c>
      <c r="H2825" s="539">
        <f t="shared" si="289"/>
        <v>40230</v>
      </c>
    </row>
    <row r="2826" spans="3:11" ht="25.8" customHeight="1">
      <c r="C2826" s="818">
        <v>3</v>
      </c>
      <c r="D2826" s="212" t="s">
        <v>18</v>
      </c>
      <c r="E2826" s="212" t="s">
        <v>6</v>
      </c>
      <c r="F2826" s="538">
        <v>0.03</v>
      </c>
      <c r="G2826" s="539">
        <f>VLOOKUP(D2826,upahbahan,3,FALSE)</f>
        <v>150000</v>
      </c>
      <c r="H2826" s="539">
        <f t="shared" si="289"/>
        <v>4500</v>
      </c>
    </row>
    <row r="2827" spans="3:11" ht="25.8" customHeight="1">
      <c r="C2827" s="818">
        <v>4</v>
      </c>
      <c r="D2827" s="212" t="s">
        <v>19</v>
      </c>
      <c r="E2827" s="212" t="s">
        <v>6</v>
      </c>
      <c r="F2827" s="538">
        <v>0.01</v>
      </c>
      <c r="G2827" s="539">
        <f>VLOOKUP(D2827,upahbahan,3,FALSE)</f>
        <v>160000</v>
      </c>
      <c r="H2827" s="539">
        <f t="shared" si="289"/>
        <v>1600</v>
      </c>
    </row>
    <row r="2828" spans="3:11" ht="25.8" customHeight="1">
      <c r="C2828" s="702" t="s">
        <v>1208</v>
      </c>
      <c r="D2828" s="208"/>
      <c r="E2828" s="208"/>
      <c r="F2828" s="811"/>
      <c r="G2828" s="522"/>
      <c r="H2828" s="539">
        <f>SUM(H2824:H2827)</f>
        <v>64230</v>
      </c>
      <c r="I2828" s="819"/>
    </row>
    <row r="2829" spans="3:11" ht="25.8" customHeight="1">
      <c r="C2829" s="213" t="s">
        <v>1209</v>
      </c>
      <c r="D2829" s="212" t="s">
        <v>1210</v>
      </c>
      <c r="E2829" s="534"/>
      <c r="F2829" s="831"/>
      <c r="G2829" s="534"/>
      <c r="H2829" s="534"/>
    </row>
    <row r="2830" spans="3:11" ht="25.8" customHeight="1">
      <c r="C2830" s="833" t="s">
        <v>1203</v>
      </c>
      <c r="D2830" s="212" t="s">
        <v>7778</v>
      </c>
      <c r="E2830" s="807" t="s">
        <v>113</v>
      </c>
      <c r="F2830" s="832">
        <v>1.25</v>
      </c>
      <c r="G2830" s="539">
        <f>VLOOKUP(D2830,upahbahan,3,FALSE)</f>
        <v>0</v>
      </c>
      <c r="H2830" s="539">
        <f t="shared" ref="H2830" si="290">F2830*G2830</f>
        <v>0</v>
      </c>
    </row>
    <row r="2831" spans="3:11" ht="25.8" customHeight="1">
      <c r="C2831" s="702" t="s">
        <v>1214</v>
      </c>
      <c r="D2831" s="208"/>
      <c r="E2831" s="208"/>
      <c r="F2831" s="208"/>
      <c r="G2831" s="209"/>
      <c r="H2831" s="539">
        <f>SUM(H2830:H2830)</f>
        <v>0</v>
      </c>
    </row>
    <row r="2832" spans="3:11" ht="25.8" customHeight="1">
      <c r="C2832" s="213" t="s">
        <v>1215</v>
      </c>
      <c r="D2832" s="212" t="s">
        <v>1216</v>
      </c>
      <c r="E2832" s="534"/>
      <c r="F2832" s="534"/>
      <c r="G2832" s="534"/>
      <c r="H2832" s="534"/>
    </row>
    <row r="2833" spans="3:11" ht="25.8" customHeight="1">
      <c r="C2833" s="702" t="s">
        <v>1217</v>
      </c>
      <c r="D2833" s="208"/>
      <c r="E2833" s="208"/>
      <c r="F2833" s="208"/>
      <c r="G2833" s="209"/>
      <c r="H2833" s="821">
        <v>0</v>
      </c>
    </row>
    <row r="2834" spans="3:11" ht="25.8" customHeight="1">
      <c r="C2834" s="566" t="s">
        <v>1218</v>
      </c>
      <c r="D2834" s="552" t="s">
        <v>1219</v>
      </c>
      <c r="E2834" s="553"/>
      <c r="F2834" s="553"/>
      <c r="G2834" s="554"/>
      <c r="H2834" s="826">
        <f>H2833+H2831+H2828</f>
        <v>64230</v>
      </c>
      <c r="I2834" s="827"/>
    </row>
    <row r="2835" spans="3:11" ht="25.8" customHeight="1">
      <c r="C2835" s="566" t="s">
        <v>1220</v>
      </c>
      <c r="D2835" s="552" t="s">
        <v>1321</v>
      </c>
      <c r="E2835" s="553"/>
      <c r="F2835" s="554"/>
      <c r="G2835" s="555">
        <f>$M$9</f>
        <v>0.1</v>
      </c>
      <c r="H2835" s="539">
        <f>H2834*G2835</f>
        <v>6423</v>
      </c>
      <c r="I2835" s="827"/>
    </row>
    <row r="2836" spans="3:11" ht="25.8" customHeight="1">
      <c r="C2836" s="566" t="s">
        <v>1221</v>
      </c>
      <c r="D2836" s="552" t="s">
        <v>1222</v>
      </c>
      <c r="E2836" s="553"/>
      <c r="F2836" s="553"/>
      <c r="G2836" s="554"/>
      <c r="H2836" s="828">
        <f>SUM(H2834:H2835)</f>
        <v>70653</v>
      </c>
      <c r="I2836" s="827"/>
    </row>
    <row r="2837" spans="3:11" ht="25.8" customHeight="1"/>
    <row r="2838" spans="3:11" ht="25.8" customHeight="1">
      <c r="C2838" s="513" t="s">
        <v>7779</v>
      </c>
      <c r="D2838" s="817" t="s">
        <v>7780</v>
      </c>
      <c r="E2838" s="803"/>
      <c r="F2838" s="803"/>
      <c r="G2838" s="803"/>
      <c r="H2838" s="803"/>
      <c r="I2838" s="533">
        <f>ROUNDDOWN(H2853,-2)</f>
        <v>47100</v>
      </c>
      <c r="J2838" s="536" t="s">
        <v>6760</v>
      </c>
      <c r="K2838" s="824"/>
    </row>
    <row r="2839" spans="3:11" ht="25.8" customHeight="1">
      <c r="C2839" s="716" t="s">
        <v>1195</v>
      </c>
      <c r="D2839" s="716" t="s">
        <v>1196</v>
      </c>
      <c r="E2839" s="716" t="s">
        <v>1197</v>
      </c>
      <c r="F2839" s="716" t="s">
        <v>1198</v>
      </c>
      <c r="G2839" s="716" t="s">
        <v>1199</v>
      </c>
      <c r="H2839" s="716" t="s">
        <v>1200</v>
      </c>
    </row>
    <row r="2840" spans="3:11" ht="25.8" customHeight="1">
      <c r="C2840" s="213" t="s">
        <v>1201</v>
      </c>
      <c r="D2840" s="212" t="s">
        <v>1202</v>
      </c>
      <c r="E2840" s="534"/>
      <c r="F2840" s="534"/>
      <c r="G2840" s="534"/>
      <c r="H2840" s="534"/>
    </row>
    <row r="2841" spans="3:11" ht="25.8" customHeight="1">
      <c r="C2841" s="818">
        <v>1</v>
      </c>
      <c r="D2841" s="212" t="s">
        <v>5</v>
      </c>
      <c r="E2841" s="212" t="s">
        <v>6</v>
      </c>
      <c r="F2841" s="538">
        <v>0.11899999999999999</v>
      </c>
      <c r="G2841" s="539">
        <f>VLOOKUP(D2841,upahbahan,3,FALSE)</f>
        <v>100000</v>
      </c>
      <c r="H2841" s="539">
        <f t="shared" ref="H2841:H2844" si="291">F2841*G2841</f>
        <v>11900</v>
      </c>
    </row>
    <row r="2842" spans="3:11" ht="25.8" customHeight="1">
      <c r="C2842" s="818">
        <v>2</v>
      </c>
      <c r="D2842" s="212" t="s">
        <v>3295</v>
      </c>
      <c r="E2842" s="212" t="s">
        <v>6</v>
      </c>
      <c r="F2842" s="538">
        <v>0.19900000000000001</v>
      </c>
      <c r="G2842" s="539">
        <f>VLOOKUP(D2842,upahbahan,3,FALSE)</f>
        <v>135000</v>
      </c>
      <c r="H2842" s="539">
        <f t="shared" si="291"/>
        <v>26865</v>
      </c>
    </row>
    <row r="2843" spans="3:11" ht="25.8" customHeight="1">
      <c r="C2843" s="818">
        <v>3</v>
      </c>
      <c r="D2843" s="212" t="s">
        <v>18</v>
      </c>
      <c r="E2843" s="212" t="s">
        <v>6</v>
      </c>
      <c r="F2843" s="538">
        <v>0.02</v>
      </c>
      <c r="G2843" s="539">
        <f>VLOOKUP(D2843,upahbahan,3,FALSE)</f>
        <v>150000</v>
      </c>
      <c r="H2843" s="539">
        <f t="shared" si="291"/>
        <v>3000</v>
      </c>
    </row>
    <row r="2844" spans="3:11" ht="25.8" customHeight="1">
      <c r="C2844" s="818">
        <v>4</v>
      </c>
      <c r="D2844" s="212" t="s">
        <v>19</v>
      </c>
      <c r="E2844" s="212" t="s">
        <v>6</v>
      </c>
      <c r="F2844" s="538">
        <v>7.0000000000000001E-3</v>
      </c>
      <c r="G2844" s="539">
        <f>VLOOKUP(D2844,upahbahan,3,FALSE)</f>
        <v>160000</v>
      </c>
      <c r="H2844" s="539">
        <f t="shared" si="291"/>
        <v>1120</v>
      </c>
    </row>
    <row r="2845" spans="3:11" ht="25.8" customHeight="1">
      <c r="C2845" s="702" t="s">
        <v>1208</v>
      </c>
      <c r="D2845" s="208"/>
      <c r="E2845" s="208"/>
      <c r="F2845" s="811"/>
      <c r="G2845" s="522"/>
      <c r="H2845" s="539">
        <f>SUM(H2841:H2844)</f>
        <v>42885</v>
      </c>
      <c r="I2845" s="819"/>
    </row>
    <row r="2846" spans="3:11" ht="25.8" customHeight="1">
      <c r="C2846" s="213" t="s">
        <v>1209</v>
      </c>
      <c r="D2846" s="212" t="s">
        <v>1210</v>
      </c>
      <c r="E2846" s="534"/>
      <c r="F2846" s="831"/>
      <c r="G2846" s="534"/>
      <c r="H2846" s="534"/>
    </row>
    <row r="2847" spans="3:11" ht="25.8" customHeight="1">
      <c r="C2847" s="833" t="s">
        <v>1203</v>
      </c>
      <c r="D2847" s="212" t="s">
        <v>7781</v>
      </c>
      <c r="E2847" s="807" t="s">
        <v>113</v>
      </c>
      <c r="F2847" s="832">
        <v>1.25</v>
      </c>
      <c r="G2847" s="539">
        <f>VLOOKUP(D2847,upahbahan,3,FALSE)</f>
        <v>0</v>
      </c>
      <c r="H2847" s="539">
        <f t="shared" ref="H2847" si="292">F2847*G2847</f>
        <v>0</v>
      </c>
    </row>
    <row r="2848" spans="3:11" ht="25.8" customHeight="1">
      <c r="C2848" s="702" t="s">
        <v>1214</v>
      </c>
      <c r="D2848" s="208"/>
      <c r="E2848" s="208"/>
      <c r="F2848" s="208"/>
      <c r="G2848" s="209"/>
      <c r="H2848" s="539">
        <f>SUM(H2847:H2847)</f>
        <v>0</v>
      </c>
    </row>
    <row r="2849" spans="3:11" ht="25.8" customHeight="1">
      <c r="C2849" s="213" t="s">
        <v>1215</v>
      </c>
      <c r="D2849" s="212" t="s">
        <v>1216</v>
      </c>
      <c r="E2849" s="534"/>
      <c r="F2849" s="534"/>
      <c r="G2849" s="534"/>
      <c r="H2849" s="534"/>
    </row>
    <row r="2850" spans="3:11" ht="25.8" customHeight="1">
      <c r="C2850" s="702" t="s">
        <v>1217</v>
      </c>
      <c r="D2850" s="208"/>
      <c r="E2850" s="208"/>
      <c r="F2850" s="208"/>
      <c r="G2850" s="209"/>
      <c r="H2850" s="821">
        <v>0</v>
      </c>
    </row>
    <row r="2851" spans="3:11" ht="25.8" customHeight="1">
      <c r="C2851" s="566" t="s">
        <v>1218</v>
      </c>
      <c r="D2851" s="552" t="s">
        <v>1219</v>
      </c>
      <c r="E2851" s="553"/>
      <c r="F2851" s="553"/>
      <c r="G2851" s="554"/>
      <c r="H2851" s="826">
        <f>H2850+H2848+H2845</f>
        <v>42885</v>
      </c>
      <c r="I2851" s="827"/>
    </row>
    <row r="2852" spans="3:11" ht="25.8" customHeight="1">
      <c r="C2852" s="566" t="s">
        <v>1220</v>
      </c>
      <c r="D2852" s="552" t="s">
        <v>1321</v>
      </c>
      <c r="E2852" s="553"/>
      <c r="F2852" s="554"/>
      <c r="G2852" s="555">
        <f>$M$9</f>
        <v>0.1</v>
      </c>
      <c r="H2852" s="539">
        <f>H2851*G2852</f>
        <v>4288.5</v>
      </c>
      <c r="I2852" s="827"/>
    </row>
    <row r="2853" spans="3:11" ht="25.8" customHeight="1">
      <c r="C2853" s="566" t="s">
        <v>1221</v>
      </c>
      <c r="D2853" s="552" t="s">
        <v>1222</v>
      </c>
      <c r="E2853" s="553"/>
      <c r="F2853" s="553"/>
      <c r="G2853" s="554"/>
      <c r="H2853" s="828">
        <f>SUM(H2851:H2852)</f>
        <v>47173.5</v>
      </c>
      <c r="I2853" s="827"/>
    </row>
    <row r="2854" spans="3:11" ht="25.8" customHeight="1"/>
    <row r="2855" spans="3:11" ht="25.8" customHeight="1">
      <c r="C2855" s="513" t="s">
        <v>7782</v>
      </c>
      <c r="D2855" s="817" t="s">
        <v>7783</v>
      </c>
      <c r="E2855" s="803"/>
      <c r="F2855" s="803"/>
      <c r="G2855" s="803"/>
      <c r="H2855" s="803"/>
      <c r="I2855" s="533">
        <f>ROUNDDOWN(H2870,-2)</f>
        <v>47100</v>
      </c>
      <c r="J2855" s="536" t="s">
        <v>6760</v>
      </c>
      <c r="K2855" s="824"/>
    </row>
    <row r="2856" spans="3:11" ht="25.8" customHeight="1">
      <c r="C2856" s="716" t="s">
        <v>1195</v>
      </c>
      <c r="D2856" s="716" t="s">
        <v>1196</v>
      </c>
      <c r="E2856" s="716" t="s">
        <v>1197</v>
      </c>
      <c r="F2856" s="716" t="s">
        <v>1198</v>
      </c>
      <c r="G2856" s="716" t="s">
        <v>1199</v>
      </c>
      <c r="H2856" s="716" t="s">
        <v>1200</v>
      </c>
    </row>
    <row r="2857" spans="3:11" ht="25.8" customHeight="1">
      <c r="C2857" s="213" t="s">
        <v>1201</v>
      </c>
      <c r="D2857" s="212" t="s">
        <v>1202</v>
      </c>
      <c r="E2857" s="534"/>
      <c r="F2857" s="534"/>
      <c r="G2857" s="534"/>
      <c r="H2857" s="534"/>
    </row>
    <row r="2858" spans="3:11" ht="25.8" customHeight="1">
      <c r="C2858" s="818">
        <v>1</v>
      </c>
      <c r="D2858" s="212" t="s">
        <v>5</v>
      </c>
      <c r="E2858" s="212" t="s">
        <v>6</v>
      </c>
      <c r="F2858" s="538">
        <v>0.11899999999999999</v>
      </c>
      <c r="G2858" s="539">
        <f>VLOOKUP(D2858,upahbahan,3,FALSE)</f>
        <v>100000</v>
      </c>
      <c r="H2858" s="539">
        <f t="shared" ref="H2858:H2861" si="293">F2858*G2858</f>
        <v>11900</v>
      </c>
    </row>
    <row r="2859" spans="3:11" ht="25.8" customHeight="1">
      <c r="C2859" s="818">
        <v>2</v>
      </c>
      <c r="D2859" s="212" t="s">
        <v>3295</v>
      </c>
      <c r="E2859" s="212" t="s">
        <v>6</v>
      </c>
      <c r="F2859" s="538">
        <v>0.19900000000000001</v>
      </c>
      <c r="G2859" s="539">
        <f>VLOOKUP(D2859,upahbahan,3,FALSE)</f>
        <v>135000</v>
      </c>
      <c r="H2859" s="539">
        <f t="shared" si="293"/>
        <v>26865</v>
      </c>
    </row>
    <row r="2860" spans="3:11" ht="25.8" customHeight="1">
      <c r="C2860" s="818">
        <v>3</v>
      </c>
      <c r="D2860" s="212" t="s">
        <v>18</v>
      </c>
      <c r="E2860" s="212" t="s">
        <v>6</v>
      </c>
      <c r="F2860" s="538">
        <v>0.02</v>
      </c>
      <c r="G2860" s="539">
        <f>VLOOKUP(D2860,upahbahan,3,FALSE)</f>
        <v>150000</v>
      </c>
      <c r="H2860" s="539">
        <f t="shared" si="293"/>
        <v>3000</v>
      </c>
    </row>
    <row r="2861" spans="3:11" ht="25.8" customHeight="1">
      <c r="C2861" s="818">
        <v>4</v>
      </c>
      <c r="D2861" s="212" t="s">
        <v>19</v>
      </c>
      <c r="E2861" s="212" t="s">
        <v>6</v>
      </c>
      <c r="F2861" s="538">
        <v>7.0000000000000001E-3</v>
      </c>
      <c r="G2861" s="539">
        <f>VLOOKUP(D2861,upahbahan,3,FALSE)</f>
        <v>160000</v>
      </c>
      <c r="H2861" s="539">
        <f t="shared" si="293"/>
        <v>1120</v>
      </c>
    </row>
    <row r="2862" spans="3:11" ht="25.8" customHeight="1">
      <c r="C2862" s="702" t="s">
        <v>1208</v>
      </c>
      <c r="D2862" s="208"/>
      <c r="E2862" s="208"/>
      <c r="F2862" s="811"/>
      <c r="G2862" s="522"/>
      <c r="H2862" s="539">
        <f>SUM(H2858:H2861)</f>
        <v>42885</v>
      </c>
      <c r="I2862" s="819"/>
    </row>
    <row r="2863" spans="3:11" ht="25.8" customHeight="1">
      <c r="C2863" s="213" t="s">
        <v>1209</v>
      </c>
      <c r="D2863" s="212" t="s">
        <v>1210</v>
      </c>
      <c r="E2863" s="534"/>
      <c r="F2863" s="831"/>
      <c r="G2863" s="534"/>
      <c r="H2863" s="534"/>
    </row>
    <row r="2864" spans="3:11" ht="25.8" customHeight="1">
      <c r="C2864" s="833" t="s">
        <v>1203</v>
      </c>
      <c r="D2864" s="212" t="s">
        <v>7784</v>
      </c>
      <c r="E2864" s="807" t="s">
        <v>113</v>
      </c>
      <c r="F2864" s="832">
        <v>1.25</v>
      </c>
      <c r="G2864" s="539">
        <f>VLOOKUP(D2864,upahbahan,3,FALSE)</f>
        <v>0</v>
      </c>
      <c r="H2864" s="539">
        <f t="shared" ref="H2864" si="294">F2864*G2864</f>
        <v>0</v>
      </c>
    </row>
    <row r="2865" spans="3:11" ht="25.8" customHeight="1">
      <c r="C2865" s="702" t="s">
        <v>1214</v>
      </c>
      <c r="D2865" s="208"/>
      <c r="E2865" s="208"/>
      <c r="F2865" s="208"/>
      <c r="G2865" s="209"/>
      <c r="H2865" s="539">
        <f>SUM(H2864:H2864)</f>
        <v>0</v>
      </c>
    </row>
    <row r="2866" spans="3:11" ht="25.8" customHeight="1">
      <c r="C2866" s="213" t="s">
        <v>1215</v>
      </c>
      <c r="D2866" s="212" t="s">
        <v>1216</v>
      </c>
      <c r="E2866" s="534"/>
      <c r="F2866" s="534"/>
      <c r="G2866" s="534"/>
      <c r="H2866" s="534"/>
    </row>
    <row r="2867" spans="3:11" ht="25.8" customHeight="1">
      <c r="C2867" s="702" t="s">
        <v>1217</v>
      </c>
      <c r="D2867" s="208"/>
      <c r="E2867" s="208"/>
      <c r="F2867" s="208"/>
      <c r="G2867" s="209"/>
      <c r="H2867" s="821">
        <v>0</v>
      </c>
    </row>
    <row r="2868" spans="3:11" ht="25.8" customHeight="1">
      <c r="C2868" s="566" t="s">
        <v>1218</v>
      </c>
      <c r="D2868" s="552" t="s">
        <v>1219</v>
      </c>
      <c r="E2868" s="553"/>
      <c r="F2868" s="553"/>
      <c r="G2868" s="554"/>
      <c r="H2868" s="826">
        <f>H2867+H2865+H2862</f>
        <v>42885</v>
      </c>
      <c r="I2868" s="827"/>
    </row>
    <row r="2869" spans="3:11" ht="25.8" customHeight="1">
      <c r="C2869" s="566" t="s">
        <v>1220</v>
      </c>
      <c r="D2869" s="552" t="s">
        <v>1321</v>
      </c>
      <c r="E2869" s="553"/>
      <c r="F2869" s="554"/>
      <c r="G2869" s="555">
        <f>$M$9</f>
        <v>0.1</v>
      </c>
      <c r="H2869" s="539">
        <f>H2868*G2869</f>
        <v>4288.5</v>
      </c>
      <c r="I2869" s="827"/>
    </row>
    <row r="2870" spans="3:11" ht="25.8" customHeight="1">
      <c r="C2870" s="566" t="s">
        <v>1221</v>
      </c>
      <c r="D2870" s="552" t="s">
        <v>1222</v>
      </c>
      <c r="E2870" s="553"/>
      <c r="F2870" s="553"/>
      <c r="G2870" s="554"/>
      <c r="H2870" s="828">
        <f>SUM(H2868:H2869)</f>
        <v>47173.5</v>
      </c>
      <c r="I2870" s="827"/>
    </row>
    <row r="2871" spans="3:11" ht="25.8" customHeight="1"/>
    <row r="2872" spans="3:11" ht="25.8" customHeight="1">
      <c r="C2872" s="513" t="s">
        <v>7785</v>
      </c>
      <c r="D2872" s="817" t="s">
        <v>7786</v>
      </c>
      <c r="E2872" s="803"/>
      <c r="F2872" s="803"/>
      <c r="G2872" s="803"/>
      <c r="H2872" s="803"/>
      <c r="I2872" s="533">
        <f>ROUNDDOWN(H2887,-2)</f>
        <v>47100</v>
      </c>
      <c r="J2872" s="536" t="s">
        <v>6760</v>
      </c>
      <c r="K2872" s="824"/>
    </row>
    <row r="2873" spans="3:11" ht="25.8" customHeight="1">
      <c r="C2873" s="716" t="s">
        <v>1195</v>
      </c>
      <c r="D2873" s="716" t="s">
        <v>1196</v>
      </c>
      <c r="E2873" s="716" t="s">
        <v>1197</v>
      </c>
      <c r="F2873" s="716" t="s">
        <v>1198</v>
      </c>
      <c r="G2873" s="716" t="s">
        <v>1199</v>
      </c>
      <c r="H2873" s="716" t="s">
        <v>1200</v>
      </c>
    </row>
    <row r="2874" spans="3:11" ht="25.8" customHeight="1">
      <c r="C2874" s="213" t="s">
        <v>1201</v>
      </c>
      <c r="D2874" s="212" t="s">
        <v>1202</v>
      </c>
      <c r="E2874" s="534"/>
      <c r="F2874" s="534"/>
      <c r="G2874" s="534"/>
      <c r="H2874" s="534"/>
    </row>
    <row r="2875" spans="3:11" ht="25.8" customHeight="1">
      <c r="C2875" s="818">
        <v>1</v>
      </c>
      <c r="D2875" s="212" t="s">
        <v>5</v>
      </c>
      <c r="E2875" s="212" t="s">
        <v>6</v>
      </c>
      <c r="F2875" s="538">
        <v>0.11899999999999999</v>
      </c>
      <c r="G2875" s="539">
        <f>VLOOKUP(D2875,upahbahan,3,FALSE)</f>
        <v>100000</v>
      </c>
      <c r="H2875" s="539">
        <f t="shared" ref="H2875:H2878" si="295">F2875*G2875</f>
        <v>11900</v>
      </c>
    </row>
    <row r="2876" spans="3:11" ht="25.8" customHeight="1">
      <c r="C2876" s="818">
        <v>2</v>
      </c>
      <c r="D2876" s="212" t="s">
        <v>3295</v>
      </c>
      <c r="E2876" s="212" t="s">
        <v>6</v>
      </c>
      <c r="F2876" s="538">
        <v>0.19900000000000001</v>
      </c>
      <c r="G2876" s="539">
        <f>VLOOKUP(D2876,upahbahan,3,FALSE)</f>
        <v>135000</v>
      </c>
      <c r="H2876" s="539">
        <f t="shared" si="295"/>
        <v>26865</v>
      </c>
    </row>
    <row r="2877" spans="3:11" ht="25.8" customHeight="1">
      <c r="C2877" s="818">
        <v>3</v>
      </c>
      <c r="D2877" s="212" t="s">
        <v>18</v>
      </c>
      <c r="E2877" s="212" t="s">
        <v>6</v>
      </c>
      <c r="F2877" s="538">
        <v>0.02</v>
      </c>
      <c r="G2877" s="539">
        <f>VLOOKUP(D2877,upahbahan,3,FALSE)</f>
        <v>150000</v>
      </c>
      <c r="H2877" s="539">
        <f t="shared" si="295"/>
        <v>3000</v>
      </c>
    </row>
    <row r="2878" spans="3:11" ht="25.8" customHeight="1">
      <c r="C2878" s="818">
        <v>4</v>
      </c>
      <c r="D2878" s="212" t="s">
        <v>19</v>
      </c>
      <c r="E2878" s="212" t="s">
        <v>6</v>
      </c>
      <c r="F2878" s="538">
        <v>7.0000000000000001E-3</v>
      </c>
      <c r="G2878" s="539">
        <f>VLOOKUP(D2878,upahbahan,3,FALSE)</f>
        <v>160000</v>
      </c>
      <c r="H2878" s="539">
        <f t="shared" si="295"/>
        <v>1120</v>
      </c>
    </row>
    <row r="2879" spans="3:11" ht="25.8" customHeight="1">
      <c r="C2879" s="702" t="s">
        <v>1208</v>
      </c>
      <c r="D2879" s="208"/>
      <c r="E2879" s="208"/>
      <c r="F2879" s="811"/>
      <c r="G2879" s="522"/>
      <c r="H2879" s="539">
        <f>SUM(H2875:H2878)</f>
        <v>42885</v>
      </c>
      <c r="I2879" s="819"/>
    </row>
    <row r="2880" spans="3:11" ht="25.8" customHeight="1">
      <c r="C2880" s="213" t="s">
        <v>1209</v>
      </c>
      <c r="D2880" s="212" t="s">
        <v>1210</v>
      </c>
      <c r="E2880" s="534"/>
      <c r="F2880" s="831"/>
      <c r="G2880" s="534"/>
      <c r="H2880" s="534"/>
    </row>
    <row r="2881" spans="3:11" ht="25.8" customHeight="1">
      <c r="C2881" s="833" t="s">
        <v>1203</v>
      </c>
      <c r="D2881" s="212" t="s">
        <v>7787</v>
      </c>
      <c r="E2881" s="807" t="s">
        <v>113</v>
      </c>
      <c r="F2881" s="832">
        <v>1.25</v>
      </c>
      <c r="G2881" s="539">
        <f>VLOOKUP(D2881,upahbahan,3,FALSE)</f>
        <v>0</v>
      </c>
      <c r="H2881" s="539">
        <f t="shared" ref="H2881" si="296">F2881*G2881</f>
        <v>0</v>
      </c>
    </row>
    <row r="2882" spans="3:11" ht="25.8" customHeight="1">
      <c r="C2882" s="702" t="s">
        <v>1214</v>
      </c>
      <c r="D2882" s="208"/>
      <c r="E2882" s="208"/>
      <c r="F2882" s="208"/>
      <c r="G2882" s="209"/>
      <c r="H2882" s="539">
        <f>SUM(H2881:H2881)</f>
        <v>0</v>
      </c>
    </row>
    <row r="2883" spans="3:11" ht="25.8" customHeight="1">
      <c r="C2883" s="213" t="s">
        <v>1215</v>
      </c>
      <c r="D2883" s="212" t="s">
        <v>1216</v>
      </c>
      <c r="E2883" s="534"/>
      <c r="F2883" s="534"/>
      <c r="G2883" s="534"/>
      <c r="H2883" s="534"/>
    </row>
    <row r="2884" spans="3:11" ht="25.8" customHeight="1">
      <c r="C2884" s="702" t="s">
        <v>1217</v>
      </c>
      <c r="D2884" s="208"/>
      <c r="E2884" s="208"/>
      <c r="F2884" s="208"/>
      <c r="G2884" s="209"/>
      <c r="H2884" s="821">
        <v>0</v>
      </c>
    </row>
    <row r="2885" spans="3:11" ht="25.8" customHeight="1">
      <c r="C2885" s="566" t="s">
        <v>1218</v>
      </c>
      <c r="D2885" s="552" t="s">
        <v>1219</v>
      </c>
      <c r="E2885" s="553"/>
      <c r="F2885" s="553"/>
      <c r="G2885" s="554"/>
      <c r="H2885" s="826">
        <f>H2884+H2882+H2879</f>
        <v>42885</v>
      </c>
      <c r="I2885" s="827"/>
    </row>
    <row r="2886" spans="3:11" ht="25.8" customHeight="1">
      <c r="C2886" s="566" t="s">
        <v>1220</v>
      </c>
      <c r="D2886" s="552" t="s">
        <v>1321</v>
      </c>
      <c r="E2886" s="553"/>
      <c r="F2886" s="554"/>
      <c r="G2886" s="555">
        <f>$M$9</f>
        <v>0.1</v>
      </c>
      <c r="H2886" s="539">
        <f>H2885*G2886</f>
        <v>4288.5</v>
      </c>
      <c r="I2886" s="827"/>
    </row>
    <row r="2887" spans="3:11" ht="25.8" customHeight="1">
      <c r="C2887" s="566" t="s">
        <v>1221</v>
      </c>
      <c r="D2887" s="552" t="s">
        <v>1222</v>
      </c>
      <c r="E2887" s="553"/>
      <c r="F2887" s="553"/>
      <c r="G2887" s="554"/>
      <c r="H2887" s="828">
        <f>SUM(H2885:H2886)</f>
        <v>47173.5</v>
      </c>
      <c r="I2887" s="827"/>
    </row>
    <row r="2888" spans="3:11" ht="25.8" customHeight="1"/>
    <row r="2889" spans="3:11" ht="25.8" customHeight="1">
      <c r="C2889" s="513" t="s">
        <v>7788</v>
      </c>
      <c r="D2889" s="817" t="s">
        <v>7789</v>
      </c>
      <c r="E2889" s="803"/>
      <c r="F2889" s="803"/>
      <c r="G2889" s="803"/>
      <c r="H2889" s="803"/>
      <c r="I2889" s="533">
        <f>ROUNDDOWN(H2904,-2)</f>
        <v>47100</v>
      </c>
      <c r="J2889" s="536" t="s">
        <v>6760</v>
      </c>
      <c r="K2889" s="824"/>
    </row>
    <row r="2890" spans="3:11" ht="25.8" customHeight="1">
      <c r="C2890" s="716" t="s">
        <v>1195</v>
      </c>
      <c r="D2890" s="716" t="s">
        <v>1196</v>
      </c>
      <c r="E2890" s="716" t="s">
        <v>1197</v>
      </c>
      <c r="F2890" s="716" t="s">
        <v>1198</v>
      </c>
      <c r="G2890" s="716" t="s">
        <v>1199</v>
      </c>
      <c r="H2890" s="716" t="s">
        <v>1200</v>
      </c>
    </row>
    <row r="2891" spans="3:11" ht="25.8" customHeight="1">
      <c r="C2891" s="213" t="s">
        <v>1201</v>
      </c>
      <c r="D2891" s="212" t="s">
        <v>1202</v>
      </c>
      <c r="E2891" s="534"/>
      <c r="F2891" s="534"/>
      <c r="G2891" s="534"/>
      <c r="H2891" s="534"/>
    </row>
    <row r="2892" spans="3:11" ht="25.8" customHeight="1">
      <c r="C2892" s="818">
        <v>1</v>
      </c>
      <c r="D2892" s="212" t="s">
        <v>5</v>
      </c>
      <c r="E2892" s="212" t="s">
        <v>6</v>
      </c>
      <c r="F2892" s="538">
        <v>0.11899999999999999</v>
      </c>
      <c r="G2892" s="539">
        <f>VLOOKUP(D2892,upahbahan,3,FALSE)</f>
        <v>100000</v>
      </c>
      <c r="H2892" s="539">
        <f t="shared" ref="H2892:H2895" si="297">F2892*G2892</f>
        <v>11900</v>
      </c>
    </row>
    <row r="2893" spans="3:11" ht="25.8" customHeight="1">
      <c r="C2893" s="818">
        <v>2</v>
      </c>
      <c r="D2893" s="212" t="s">
        <v>3295</v>
      </c>
      <c r="E2893" s="212" t="s">
        <v>6</v>
      </c>
      <c r="F2893" s="538">
        <v>0.19900000000000001</v>
      </c>
      <c r="G2893" s="539">
        <f>VLOOKUP(D2893,upahbahan,3,FALSE)</f>
        <v>135000</v>
      </c>
      <c r="H2893" s="539">
        <f t="shared" si="297"/>
        <v>26865</v>
      </c>
    </row>
    <row r="2894" spans="3:11" ht="25.8" customHeight="1">
      <c r="C2894" s="818">
        <v>3</v>
      </c>
      <c r="D2894" s="212" t="s">
        <v>18</v>
      </c>
      <c r="E2894" s="212" t="s">
        <v>6</v>
      </c>
      <c r="F2894" s="538">
        <v>0.02</v>
      </c>
      <c r="G2894" s="539">
        <f>VLOOKUP(D2894,upahbahan,3,FALSE)</f>
        <v>150000</v>
      </c>
      <c r="H2894" s="539">
        <f t="shared" si="297"/>
        <v>3000</v>
      </c>
    </row>
    <row r="2895" spans="3:11" ht="25.8" customHeight="1">
      <c r="C2895" s="818">
        <v>4</v>
      </c>
      <c r="D2895" s="212" t="s">
        <v>19</v>
      </c>
      <c r="E2895" s="212" t="s">
        <v>6</v>
      </c>
      <c r="F2895" s="538">
        <v>7.0000000000000001E-3</v>
      </c>
      <c r="G2895" s="539">
        <f>VLOOKUP(D2895,upahbahan,3,FALSE)</f>
        <v>160000</v>
      </c>
      <c r="H2895" s="539">
        <f t="shared" si="297"/>
        <v>1120</v>
      </c>
    </row>
    <row r="2896" spans="3:11" ht="25.8" customHeight="1">
      <c r="C2896" s="702" t="s">
        <v>1208</v>
      </c>
      <c r="D2896" s="208"/>
      <c r="E2896" s="208"/>
      <c r="F2896" s="811"/>
      <c r="G2896" s="522"/>
      <c r="H2896" s="539">
        <f>SUM(H2892:H2895)</f>
        <v>42885</v>
      </c>
      <c r="I2896" s="819"/>
    </row>
    <row r="2897" spans="3:11" ht="25.8" customHeight="1">
      <c r="C2897" s="213" t="s">
        <v>1209</v>
      </c>
      <c r="D2897" s="212" t="s">
        <v>1210</v>
      </c>
      <c r="E2897" s="534"/>
      <c r="F2897" s="831"/>
      <c r="G2897" s="534"/>
      <c r="H2897" s="534"/>
    </row>
    <row r="2898" spans="3:11" ht="25.8" customHeight="1">
      <c r="C2898" s="833" t="s">
        <v>1203</v>
      </c>
      <c r="D2898" s="212" t="s">
        <v>7790</v>
      </c>
      <c r="E2898" s="807" t="s">
        <v>113</v>
      </c>
      <c r="F2898" s="832">
        <v>1.25</v>
      </c>
      <c r="G2898" s="539">
        <f>VLOOKUP(D2898,upahbahan,3,FALSE)</f>
        <v>0</v>
      </c>
      <c r="H2898" s="539">
        <f t="shared" ref="H2898" si="298">F2898*G2898</f>
        <v>0</v>
      </c>
    </row>
    <row r="2899" spans="3:11" ht="25.8" customHeight="1">
      <c r="C2899" s="702" t="s">
        <v>1214</v>
      </c>
      <c r="D2899" s="208"/>
      <c r="E2899" s="208"/>
      <c r="F2899" s="208"/>
      <c r="G2899" s="209"/>
      <c r="H2899" s="539">
        <f>SUM(H2898:H2898)</f>
        <v>0</v>
      </c>
    </row>
    <row r="2900" spans="3:11" ht="25.8" customHeight="1">
      <c r="C2900" s="213" t="s">
        <v>1215</v>
      </c>
      <c r="D2900" s="212" t="s">
        <v>1216</v>
      </c>
      <c r="E2900" s="534"/>
      <c r="F2900" s="534"/>
      <c r="G2900" s="534"/>
      <c r="H2900" s="534"/>
    </row>
    <row r="2901" spans="3:11" ht="25.8" customHeight="1">
      <c r="C2901" s="702" t="s">
        <v>1217</v>
      </c>
      <c r="D2901" s="208"/>
      <c r="E2901" s="208"/>
      <c r="F2901" s="208"/>
      <c r="G2901" s="209"/>
      <c r="H2901" s="821">
        <v>0</v>
      </c>
    </row>
    <row r="2902" spans="3:11" ht="25.8" customHeight="1">
      <c r="C2902" s="566" t="s">
        <v>1218</v>
      </c>
      <c r="D2902" s="552" t="s">
        <v>1219</v>
      </c>
      <c r="E2902" s="553"/>
      <c r="F2902" s="553"/>
      <c r="G2902" s="554"/>
      <c r="H2902" s="826">
        <f>H2901+H2899+H2896</f>
        <v>42885</v>
      </c>
      <c r="I2902" s="827"/>
    </row>
    <row r="2903" spans="3:11" ht="25.8" customHeight="1">
      <c r="C2903" s="566" t="s">
        <v>1220</v>
      </c>
      <c r="D2903" s="552" t="s">
        <v>1321</v>
      </c>
      <c r="E2903" s="553"/>
      <c r="F2903" s="554"/>
      <c r="G2903" s="555">
        <f>$M$9</f>
        <v>0.1</v>
      </c>
      <c r="H2903" s="539">
        <f>H2902*G2903</f>
        <v>4288.5</v>
      </c>
      <c r="I2903" s="827"/>
    </row>
    <row r="2904" spans="3:11" ht="25.8" customHeight="1">
      <c r="C2904" s="566" t="s">
        <v>1221</v>
      </c>
      <c r="D2904" s="552" t="s">
        <v>1222</v>
      </c>
      <c r="E2904" s="553"/>
      <c r="F2904" s="553"/>
      <c r="G2904" s="554"/>
      <c r="H2904" s="828">
        <f>SUM(H2902:H2903)</f>
        <v>47173.5</v>
      </c>
      <c r="I2904" s="827"/>
    </row>
    <row r="2905" spans="3:11" ht="25.8" customHeight="1"/>
    <row r="2906" spans="3:11" ht="25.8" customHeight="1">
      <c r="C2906" s="513" t="s">
        <v>7791</v>
      </c>
      <c r="D2906" s="817" t="s">
        <v>7792</v>
      </c>
      <c r="E2906" s="803"/>
      <c r="F2906" s="803"/>
      <c r="G2906" s="803"/>
      <c r="H2906" s="803"/>
      <c r="I2906" s="533">
        <f>ROUNDDOWN(H2921,-2)</f>
        <v>47100</v>
      </c>
      <c r="J2906" s="536" t="s">
        <v>6760</v>
      </c>
      <c r="K2906" s="824"/>
    </row>
    <row r="2907" spans="3:11" ht="25.8" customHeight="1">
      <c r="C2907" s="716" t="s">
        <v>1195</v>
      </c>
      <c r="D2907" s="716" t="s">
        <v>1196</v>
      </c>
      <c r="E2907" s="716" t="s">
        <v>1197</v>
      </c>
      <c r="F2907" s="716" t="s">
        <v>1198</v>
      </c>
      <c r="G2907" s="716" t="s">
        <v>1199</v>
      </c>
      <c r="H2907" s="716" t="s">
        <v>1200</v>
      </c>
    </row>
    <row r="2908" spans="3:11" ht="25.8" customHeight="1">
      <c r="C2908" s="213" t="s">
        <v>1201</v>
      </c>
      <c r="D2908" s="212" t="s">
        <v>1202</v>
      </c>
      <c r="E2908" s="534"/>
      <c r="F2908" s="534"/>
      <c r="G2908" s="534"/>
      <c r="H2908" s="534"/>
    </row>
    <row r="2909" spans="3:11" ht="25.8" customHeight="1">
      <c r="C2909" s="818">
        <v>1</v>
      </c>
      <c r="D2909" s="212" t="s">
        <v>5</v>
      </c>
      <c r="E2909" s="212" t="s">
        <v>6</v>
      </c>
      <c r="F2909" s="538">
        <v>0.11899999999999999</v>
      </c>
      <c r="G2909" s="539">
        <f>VLOOKUP(D2909,upahbahan,3,FALSE)</f>
        <v>100000</v>
      </c>
      <c r="H2909" s="539">
        <f t="shared" ref="H2909:H2912" si="299">F2909*G2909</f>
        <v>11900</v>
      </c>
    </row>
    <row r="2910" spans="3:11" ht="25.8" customHeight="1">
      <c r="C2910" s="818">
        <v>2</v>
      </c>
      <c r="D2910" s="212" t="s">
        <v>3295</v>
      </c>
      <c r="E2910" s="212" t="s">
        <v>6</v>
      </c>
      <c r="F2910" s="538">
        <v>0.19900000000000001</v>
      </c>
      <c r="G2910" s="539">
        <f>VLOOKUP(D2910,upahbahan,3,FALSE)</f>
        <v>135000</v>
      </c>
      <c r="H2910" s="539">
        <f t="shared" si="299"/>
        <v>26865</v>
      </c>
    </row>
    <row r="2911" spans="3:11" ht="25.8" customHeight="1">
      <c r="C2911" s="818">
        <v>3</v>
      </c>
      <c r="D2911" s="212" t="s">
        <v>18</v>
      </c>
      <c r="E2911" s="212" t="s">
        <v>6</v>
      </c>
      <c r="F2911" s="538">
        <v>0.02</v>
      </c>
      <c r="G2911" s="539">
        <f>VLOOKUP(D2911,upahbahan,3,FALSE)</f>
        <v>150000</v>
      </c>
      <c r="H2911" s="539">
        <f t="shared" si="299"/>
        <v>3000</v>
      </c>
    </row>
    <row r="2912" spans="3:11" ht="25.8" customHeight="1">
      <c r="C2912" s="818">
        <v>4</v>
      </c>
      <c r="D2912" s="212" t="s">
        <v>19</v>
      </c>
      <c r="E2912" s="212" t="s">
        <v>6</v>
      </c>
      <c r="F2912" s="538">
        <v>7.0000000000000001E-3</v>
      </c>
      <c r="G2912" s="539">
        <f>VLOOKUP(D2912,upahbahan,3,FALSE)</f>
        <v>160000</v>
      </c>
      <c r="H2912" s="539">
        <f t="shared" si="299"/>
        <v>1120</v>
      </c>
    </row>
    <row r="2913" spans="3:11" ht="25.8" customHeight="1">
      <c r="C2913" s="702" t="s">
        <v>1208</v>
      </c>
      <c r="D2913" s="208"/>
      <c r="E2913" s="208"/>
      <c r="F2913" s="811"/>
      <c r="G2913" s="522"/>
      <c r="H2913" s="539">
        <f>SUM(H2909:H2912)</f>
        <v>42885</v>
      </c>
      <c r="I2913" s="819"/>
    </row>
    <row r="2914" spans="3:11" ht="25.8" customHeight="1">
      <c r="C2914" s="213" t="s">
        <v>1209</v>
      </c>
      <c r="D2914" s="212" t="s">
        <v>1210</v>
      </c>
      <c r="E2914" s="534"/>
      <c r="F2914" s="831"/>
      <c r="G2914" s="534"/>
      <c r="H2914" s="534"/>
    </row>
    <row r="2915" spans="3:11" ht="25.8" customHeight="1">
      <c r="C2915" s="833" t="s">
        <v>1203</v>
      </c>
      <c r="D2915" s="212" t="s">
        <v>7793</v>
      </c>
      <c r="E2915" s="807" t="s">
        <v>113</v>
      </c>
      <c r="F2915" s="832">
        <v>1.25</v>
      </c>
      <c r="G2915" s="539">
        <f>VLOOKUP(D2915,upahbahan,3,FALSE)</f>
        <v>0</v>
      </c>
      <c r="H2915" s="539">
        <f t="shared" ref="H2915" si="300">F2915*G2915</f>
        <v>0</v>
      </c>
    </row>
    <row r="2916" spans="3:11" ht="25.8" customHeight="1">
      <c r="C2916" s="702" t="s">
        <v>1214</v>
      </c>
      <c r="D2916" s="208"/>
      <c r="E2916" s="208"/>
      <c r="F2916" s="208"/>
      <c r="G2916" s="209"/>
      <c r="H2916" s="539">
        <f>SUM(H2915:H2915)</f>
        <v>0</v>
      </c>
    </row>
    <row r="2917" spans="3:11" ht="25.8" customHeight="1">
      <c r="C2917" s="213" t="s">
        <v>1215</v>
      </c>
      <c r="D2917" s="212" t="s">
        <v>1216</v>
      </c>
      <c r="E2917" s="534"/>
      <c r="F2917" s="534"/>
      <c r="G2917" s="534"/>
      <c r="H2917" s="534"/>
    </row>
    <row r="2918" spans="3:11" ht="25.8" customHeight="1">
      <c r="C2918" s="702" t="s">
        <v>1217</v>
      </c>
      <c r="D2918" s="208"/>
      <c r="E2918" s="208"/>
      <c r="F2918" s="208"/>
      <c r="G2918" s="209"/>
      <c r="H2918" s="821">
        <v>0</v>
      </c>
    </row>
    <row r="2919" spans="3:11" ht="25.8" customHeight="1">
      <c r="C2919" s="566" t="s">
        <v>1218</v>
      </c>
      <c r="D2919" s="552" t="s">
        <v>1219</v>
      </c>
      <c r="E2919" s="553"/>
      <c r="F2919" s="553"/>
      <c r="G2919" s="554"/>
      <c r="H2919" s="826">
        <f>H2918+H2916+H2913</f>
        <v>42885</v>
      </c>
      <c r="I2919" s="827"/>
    </row>
    <row r="2920" spans="3:11" ht="25.8" customHeight="1">
      <c r="C2920" s="566" t="s">
        <v>1220</v>
      </c>
      <c r="D2920" s="552" t="s">
        <v>1321</v>
      </c>
      <c r="E2920" s="553"/>
      <c r="F2920" s="554"/>
      <c r="G2920" s="555">
        <f>$M$9</f>
        <v>0.1</v>
      </c>
      <c r="H2920" s="539">
        <f>H2919*G2920</f>
        <v>4288.5</v>
      </c>
      <c r="I2920" s="827"/>
    </row>
    <row r="2921" spans="3:11" ht="25.8" customHeight="1">
      <c r="C2921" s="566" t="s">
        <v>1221</v>
      </c>
      <c r="D2921" s="552" t="s">
        <v>1222</v>
      </c>
      <c r="E2921" s="553"/>
      <c r="F2921" s="553"/>
      <c r="G2921" s="554"/>
      <c r="H2921" s="828">
        <f>SUM(H2919:H2920)</f>
        <v>47173.5</v>
      </c>
      <c r="I2921" s="827"/>
    </row>
    <row r="2922" spans="3:11" ht="25.8" customHeight="1"/>
    <row r="2923" spans="3:11" ht="25.8" customHeight="1">
      <c r="C2923" s="513" t="s">
        <v>7794</v>
      </c>
      <c r="D2923" s="817" t="s">
        <v>7795</v>
      </c>
      <c r="E2923" s="803"/>
      <c r="F2923" s="803"/>
      <c r="G2923" s="803"/>
      <c r="H2923" s="803"/>
      <c r="I2923" s="533">
        <f>ROUNDDOWN(H2938,-2)</f>
        <v>47100</v>
      </c>
      <c r="J2923" s="536" t="s">
        <v>6760</v>
      </c>
      <c r="K2923" s="824"/>
    </row>
    <row r="2924" spans="3:11" ht="25.8" customHeight="1">
      <c r="C2924" s="716" t="s">
        <v>1195</v>
      </c>
      <c r="D2924" s="716" t="s">
        <v>1196</v>
      </c>
      <c r="E2924" s="716" t="s">
        <v>1197</v>
      </c>
      <c r="F2924" s="716" t="s">
        <v>1198</v>
      </c>
      <c r="G2924" s="716" t="s">
        <v>1199</v>
      </c>
      <c r="H2924" s="716" t="s">
        <v>1200</v>
      </c>
    </row>
    <row r="2925" spans="3:11" ht="25.8" customHeight="1">
      <c r="C2925" s="213" t="s">
        <v>1201</v>
      </c>
      <c r="D2925" s="212" t="s">
        <v>1202</v>
      </c>
      <c r="E2925" s="534"/>
      <c r="F2925" s="534"/>
      <c r="G2925" s="534"/>
      <c r="H2925" s="534"/>
    </row>
    <row r="2926" spans="3:11" ht="25.8" customHeight="1">
      <c r="C2926" s="818">
        <v>1</v>
      </c>
      <c r="D2926" s="212" t="s">
        <v>5</v>
      </c>
      <c r="E2926" s="212" t="s">
        <v>6</v>
      </c>
      <c r="F2926" s="538">
        <v>0.11899999999999999</v>
      </c>
      <c r="G2926" s="539">
        <f>VLOOKUP(D2926,upahbahan,3,FALSE)</f>
        <v>100000</v>
      </c>
      <c r="H2926" s="539">
        <f t="shared" ref="H2926:H2929" si="301">F2926*G2926</f>
        <v>11900</v>
      </c>
    </row>
    <row r="2927" spans="3:11" ht="25.8" customHeight="1">
      <c r="C2927" s="818">
        <v>2</v>
      </c>
      <c r="D2927" s="212" t="s">
        <v>3295</v>
      </c>
      <c r="E2927" s="212" t="s">
        <v>6</v>
      </c>
      <c r="F2927" s="538">
        <v>0.19900000000000001</v>
      </c>
      <c r="G2927" s="539">
        <f>VLOOKUP(D2927,upahbahan,3,FALSE)</f>
        <v>135000</v>
      </c>
      <c r="H2927" s="539">
        <f t="shared" si="301"/>
        <v>26865</v>
      </c>
    </row>
    <row r="2928" spans="3:11" ht="25.8" customHeight="1">
      <c r="C2928" s="818">
        <v>3</v>
      </c>
      <c r="D2928" s="212" t="s">
        <v>18</v>
      </c>
      <c r="E2928" s="212" t="s">
        <v>6</v>
      </c>
      <c r="F2928" s="538">
        <v>0.02</v>
      </c>
      <c r="G2928" s="539">
        <f>VLOOKUP(D2928,upahbahan,3,FALSE)</f>
        <v>150000</v>
      </c>
      <c r="H2928" s="539">
        <f t="shared" si="301"/>
        <v>3000</v>
      </c>
    </row>
    <row r="2929" spans="3:11" ht="25.8" customHeight="1">
      <c r="C2929" s="818">
        <v>4</v>
      </c>
      <c r="D2929" s="212" t="s">
        <v>19</v>
      </c>
      <c r="E2929" s="212" t="s">
        <v>6</v>
      </c>
      <c r="F2929" s="538">
        <v>7.0000000000000001E-3</v>
      </c>
      <c r="G2929" s="539">
        <f>VLOOKUP(D2929,upahbahan,3,FALSE)</f>
        <v>160000</v>
      </c>
      <c r="H2929" s="539">
        <f t="shared" si="301"/>
        <v>1120</v>
      </c>
    </row>
    <row r="2930" spans="3:11" ht="25.8" customHeight="1">
      <c r="C2930" s="702" t="s">
        <v>1208</v>
      </c>
      <c r="D2930" s="208"/>
      <c r="E2930" s="208"/>
      <c r="F2930" s="811"/>
      <c r="G2930" s="522"/>
      <c r="H2930" s="539">
        <f>SUM(H2926:H2929)</f>
        <v>42885</v>
      </c>
      <c r="I2930" s="819"/>
    </row>
    <row r="2931" spans="3:11" ht="25.8" customHeight="1">
      <c r="C2931" s="213" t="s">
        <v>1209</v>
      </c>
      <c r="D2931" s="212" t="s">
        <v>1210</v>
      </c>
      <c r="E2931" s="534"/>
      <c r="F2931" s="831"/>
      <c r="G2931" s="534"/>
      <c r="H2931" s="534"/>
    </row>
    <row r="2932" spans="3:11" ht="25.8" customHeight="1">
      <c r="C2932" s="833" t="s">
        <v>1203</v>
      </c>
      <c r="D2932" s="212" t="s">
        <v>7796</v>
      </c>
      <c r="E2932" s="807" t="s">
        <v>113</v>
      </c>
      <c r="F2932" s="832">
        <v>1.25</v>
      </c>
      <c r="G2932" s="539">
        <f>VLOOKUP(D2932,upahbahan,3,FALSE)</f>
        <v>0</v>
      </c>
      <c r="H2932" s="539">
        <f t="shared" ref="H2932" si="302">F2932*G2932</f>
        <v>0</v>
      </c>
    </row>
    <row r="2933" spans="3:11" ht="25.8" customHeight="1">
      <c r="C2933" s="702" t="s">
        <v>1214</v>
      </c>
      <c r="D2933" s="208"/>
      <c r="E2933" s="208"/>
      <c r="F2933" s="208"/>
      <c r="G2933" s="209"/>
      <c r="H2933" s="539">
        <f>SUM(H2932:H2932)</f>
        <v>0</v>
      </c>
    </row>
    <row r="2934" spans="3:11" ht="25.8" customHeight="1">
      <c r="C2934" s="213" t="s">
        <v>1215</v>
      </c>
      <c r="D2934" s="212" t="s">
        <v>1216</v>
      </c>
      <c r="E2934" s="534"/>
      <c r="F2934" s="534"/>
      <c r="G2934" s="534"/>
      <c r="H2934" s="534"/>
    </row>
    <row r="2935" spans="3:11" ht="25.8" customHeight="1">
      <c r="C2935" s="702" t="s">
        <v>1217</v>
      </c>
      <c r="D2935" s="208"/>
      <c r="E2935" s="208"/>
      <c r="F2935" s="208"/>
      <c r="G2935" s="209"/>
      <c r="H2935" s="821">
        <v>0</v>
      </c>
    </row>
    <row r="2936" spans="3:11" ht="25.8" customHeight="1">
      <c r="C2936" s="566" t="s">
        <v>1218</v>
      </c>
      <c r="D2936" s="552" t="s">
        <v>1219</v>
      </c>
      <c r="E2936" s="553"/>
      <c r="F2936" s="553"/>
      <c r="G2936" s="554"/>
      <c r="H2936" s="826">
        <f>H2935+H2933+H2930</f>
        <v>42885</v>
      </c>
      <c r="I2936" s="827"/>
    </row>
    <row r="2937" spans="3:11" ht="25.8" customHeight="1">
      <c r="C2937" s="566" t="s">
        <v>1220</v>
      </c>
      <c r="D2937" s="552" t="s">
        <v>1321</v>
      </c>
      <c r="E2937" s="553"/>
      <c r="F2937" s="554"/>
      <c r="G2937" s="555">
        <f>$M$9</f>
        <v>0.1</v>
      </c>
      <c r="H2937" s="539">
        <f>H2936*G2937</f>
        <v>4288.5</v>
      </c>
      <c r="I2937" s="827"/>
    </row>
    <row r="2938" spans="3:11" ht="25.8" customHeight="1">
      <c r="C2938" s="566" t="s">
        <v>1221</v>
      </c>
      <c r="D2938" s="552" t="s">
        <v>1222</v>
      </c>
      <c r="E2938" s="553"/>
      <c r="F2938" s="553"/>
      <c r="G2938" s="554"/>
      <c r="H2938" s="828">
        <f>SUM(H2936:H2937)</f>
        <v>47173.5</v>
      </c>
      <c r="I2938" s="827"/>
    </row>
    <row r="2939" spans="3:11" ht="25.8" customHeight="1"/>
    <row r="2940" spans="3:11" ht="25.8" customHeight="1"/>
    <row r="2941" spans="3:11" ht="25.8" customHeight="1">
      <c r="C2941" s="513" t="s">
        <v>7797</v>
      </c>
      <c r="D2941" s="817" t="s">
        <v>3416</v>
      </c>
      <c r="E2941" s="803"/>
      <c r="F2941" s="803"/>
      <c r="G2941" s="803"/>
      <c r="H2941" s="803"/>
      <c r="I2941" s="533">
        <f>ROUNDDOWN(H2956,-2)</f>
        <v>47100</v>
      </c>
      <c r="J2941" s="536"/>
      <c r="K2941" s="824"/>
    </row>
    <row r="2942" spans="3:11" ht="25.8" customHeight="1">
      <c r="C2942" s="716" t="s">
        <v>1195</v>
      </c>
      <c r="D2942" s="716" t="s">
        <v>1196</v>
      </c>
      <c r="E2942" s="716" t="s">
        <v>1197</v>
      </c>
      <c r="F2942" s="716" t="s">
        <v>1198</v>
      </c>
      <c r="G2942" s="716" t="s">
        <v>1199</v>
      </c>
      <c r="H2942" s="716" t="s">
        <v>1200</v>
      </c>
    </row>
    <row r="2943" spans="3:11" ht="25.8" customHeight="1">
      <c r="C2943" s="213" t="s">
        <v>1201</v>
      </c>
      <c r="D2943" s="212" t="s">
        <v>1202</v>
      </c>
      <c r="E2943" s="534"/>
      <c r="F2943" s="534"/>
      <c r="G2943" s="534"/>
      <c r="H2943" s="534"/>
    </row>
    <row r="2944" spans="3:11" ht="25.8" customHeight="1">
      <c r="C2944" s="818">
        <v>1</v>
      </c>
      <c r="D2944" s="212" t="s">
        <v>5</v>
      </c>
      <c r="E2944" s="212" t="s">
        <v>6</v>
      </c>
      <c r="F2944" s="538">
        <v>0.11899999999999999</v>
      </c>
      <c r="G2944" s="539">
        <f>VLOOKUP(D2944,upahbahan,3,FALSE)</f>
        <v>100000</v>
      </c>
      <c r="H2944" s="539">
        <f t="shared" ref="H2944:H2947" si="303">F2944*G2944</f>
        <v>11900</v>
      </c>
    </row>
    <row r="2945" spans="3:11" ht="25.8" customHeight="1">
      <c r="C2945" s="818">
        <v>2</v>
      </c>
      <c r="D2945" s="212" t="s">
        <v>3295</v>
      </c>
      <c r="E2945" s="212" t="s">
        <v>6</v>
      </c>
      <c r="F2945" s="538">
        <v>0.19900000000000001</v>
      </c>
      <c r="G2945" s="539">
        <f>VLOOKUP(D2945,upahbahan,3,FALSE)</f>
        <v>135000</v>
      </c>
      <c r="H2945" s="539">
        <f t="shared" si="303"/>
        <v>26865</v>
      </c>
    </row>
    <row r="2946" spans="3:11" ht="25.8" customHeight="1">
      <c r="C2946" s="818">
        <v>3</v>
      </c>
      <c r="D2946" s="212" t="s">
        <v>18</v>
      </c>
      <c r="E2946" s="212" t="s">
        <v>6</v>
      </c>
      <c r="F2946" s="538">
        <v>0.02</v>
      </c>
      <c r="G2946" s="539">
        <f>VLOOKUP(D2946,upahbahan,3,FALSE)</f>
        <v>150000</v>
      </c>
      <c r="H2946" s="539">
        <f t="shared" si="303"/>
        <v>3000</v>
      </c>
    </row>
    <row r="2947" spans="3:11" ht="25.8" customHeight="1">
      <c r="C2947" s="818">
        <v>4</v>
      </c>
      <c r="D2947" s="212" t="s">
        <v>19</v>
      </c>
      <c r="E2947" s="212" t="s">
        <v>6</v>
      </c>
      <c r="F2947" s="538">
        <v>7.0000000000000001E-3</v>
      </c>
      <c r="G2947" s="539">
        <f>VLOOKUP(D2947,upahbahan,3,FALSE)</f>
        <v>160000</v>
      </c>
      <c r="H2947" s="539">
        <f t="shared" si="303"/>
        <v>1120</v>
      </c>
    </row>
    <row r="2948" spans="3:11" ht="25.8" customHeight="1">
      <c r="C2948" s="702" t="s">
        <v>1208</v>
      </c>
      <c r="D2948" s="208"/>
      <c r="E2948" s="208"/>
      <c r="F2948" s="811"/>
      <c r="G2948" s="522"/>
      <c r="H2948" s="539">
        <f>SUM(H2944:H2947)</f>
        <v>42885</v>
      </c>
      <c r="I2948" s="819"/>
    </row>
    <row r="2949" spans="3:11" ht="25.8" customHeight="1">
      <c r="C2949" s="213" t="s">
        <v>1209</v>
      </c>
      <c r="D2949" s="212" t="s">
        <v>1210</v>
      </c>
      <c r="E2949" s="534"/>
      <c r="F2949" s="831"/>
      <c r="G2949" s="534"/>
      <c r="H2949" s="534"/>
    </row>
    <row r="2950" spans="3:11" ht="25.8" customHeight="1">
      <c r="C2950" s="833" t="s">
        <v>1203</v>
      </c>
      <c r="D2950" s="820" t="s">
        <v>3417</v>
      </c>
      <c r="E2950" s="807" t="s">
        <v>113</v>
      </c>
      <c r="F2950" s="832">
        <v>1.25</v>
      </c>
      <c r="G2950" s="539">
        <f>VLOOKUP(D2950,upahbahan,3,FALSE)</f>
        <v>0</v>
      </c>
      <c r="H2950" s="539">
        <f t="shared" ref="H2950" si="304">F2950*G2950</f>
        <v>0</v>
      </c>
    </row>
    <row r="2951" spans="3:11" ht="25.8" customHeight="1">
      <c r="C2951" s="702" t="s">
        <v>1214</v>
      </c>
      <c r="D2951" s="208"/>
      <c r="E2951" s="208"/>
      <c r="F2951" s="208"/>
      <c r="G2951" s="209"/>
      <c r="H2951" s="539">
        <f>SUM(H2950:H2950)</f>
        <v>0</v>
      </c>
    </row>
    <row r="2952" spans="3:11" ht="25.8" customHeight="1">
      <c r="C2952" s="213" t="s">
        <v>1215</v>
      </c>
      <c r="D2952" s="212" t="s">
        <v>1216</v>
      </c>
      <c r="E2952" s="534"/>
      <c r="F2952" s="534"/>
      <c r="G2952" s="534"/>
      <c r="H2952" s="534"/>
    </row>
    <row r="2953" spans="3:11" ht="25.8" customHeight="1">
      <c r="C2953" s="702" t="s">
        <v>1217</v>
      </c>
      <c r="D2953" s="208"/>
      <c r="E2953" s="208"/>
      <c r="F2953" s="208"/>
      <c r="G2953" s="209"/>
      <c r="H2953" s="821">
        <v>0</v>
      </c>
    </row>
    <row r="2954" spans="3:11" ht="25.8" customHeight="1">
      <c r="C2954" s="566" t="s">
        <v>1218</v>
      </c>
      <c r="D2954" s="552" t="s">
        <v>1219</v>
      </c>
      <c r="E2954" s="553"/>
      <c r="F2954" s="553"/>
      <c r="G2954" s="554"/>
      <c r="H2954" s="826">
        <f>H2953+H2951+H2948</f>
        <v>42885</v>
      </c>
      <c r="I2954" s="827"/>
    </row>
    <row r="2955" spans="3:11" ht="25.8" customHeight="1">
      <c r="C2955" s="566" t="s">
        <v>1220</v>
      </c>
      <c r="D2955" s="552" t="s">
        <v>1321</v>
      </c>
      <c r="E2955" s="553"/>
      <c r="F2955" s="554"/>
      <c r="G2955" s="555">
        <f>$M$9</f>
        <v>0.1</v>
      </c>
      <c r="H2955" s="539">
        <f>H2954*G2955</f>
        <v>4288.5</v>
      </c>
      <c r="I2955" s="827"/>
    </row>
    <row r="2956" spans="3:11" ht="25.8" customHeight="1">
      <c r="C2956" s="566" t="s">
        <v>1221</v>
      </c>
      <c r="D2956" s="552" t="s">
        <v>1222</v>
      </c>
      <c r="E2956" s="553"/>
      <c r="F2956" s="553"/>
      <c r="G2956" s="554"/>
      <c r="H2956" s="828">
        <f>SUM(H2954:H2955)</f>
        <v>47173.5</v>
      </c>
      <c r="I2956" s="827"/>
    </row>
    <row r="2957" spans="3:11" ht="25.8" customHeight="1"/>
    <row r="2958" spans="3:11" ht="25.8" customHeight="1">
      <c r="C2958" s="513" t="s">
        <v>7799</v>
      </c>
      <c r="D2958" s="817" t="s">
        <v>3422</v>
      </c>
      <c r="E2958" s="803"/>
      <c r="F2958" s="803"/>
      <c r="G2958" s="803"/>
      <c r="H2958" s="803"/>
      <c r="I2958" s="533">
        <f>ROUNDDOWN(H2973,-2)</f>
        <v>47100</v>
      </c>
      <c r="J2958" s="536"/>
      <c r="K2958" s="824"/>
    </row>
    <row r="2959" spans="3:11" ht="25.8" customHeight="1">
      <c r="C2959" s="716" t="s">
        <v>1195</v>
      </c>
      <c r="D2959" s="716" t="s">
        <v>1196</v>
      </c>
      <c r="E2959" s="716" t="s">
        <v>1197</v>
      </c>
      <c r="F2959" s="716" t="s">
        <v>1198</v>
      </c>
      <c r="G2959" s="716" t="s">
        <v>1199</v>
      </c>
      <c r="H2959" s="716" t="s">
        <v>1200</v>
      </c>
    </row>
    <row r="2960" spans="3:11" ht="25.8" customHeight="1">
      <c r="C2960" s="213" t="s">
        <v>1201</v>
      </c>
      <c r="D2960" s="212" t="s">
        <v>1202</v>
      </c>
      <c r="E2960" s="534"/>
      <c r="F2960" s="534"/>
      <c r="G2960" s="534"/>
      <c r="H2960" s="534"/>
    </row>
    <row r="2961" spans="3:11" ht="25.8" customHeight="1">
      <c r="C2961" s="818">
        <v>1</v>
      </c>
      <c r="D2961" s="212" t="s">
        <v>5</v>
      </c>
      <c r="E2961" s="212" t="s">
        <v>6</v>
      </c>
      <c r="F2961" s="538">
        <v>0.11899999999999999</v>
      </c>
      <c r="G2961" s="539">
        <f>VLOOKUP(D2961,upahbahan,3,FALSE)</f>
        <v>100000</v>
      </c>
      <c r="H2961" s="539">
        <f t="shared" ref="H2961:H2964" si="305">F2961*G2961</f>
        <v>11900</v>
      </c>
    </row>
    <row r="2962" spans="3:11" ht="25.8" customHeight="1">
      <c r="C2962" s="818">
        <v>2</v>
      </c>
      <c r="D2962" s="212" t="s">
        <v>3295</v>
      </c>
      <c r="E2962" s="212" t="s">
        <v>6</v>
      </c>
      <c r="F2962" s="538">
        <v>0.19900000000000001</v>
      </c>
      <c r="G2962" s="539">
        <f>VLOOKUP(D2962,upahbahan,3,FALSE)</f>
        <v>135000</v>
      </c>
      <c r="H2962" s="539">
        <f t="shared" si="305"/>
        <v>26865</v>
      </c>
    </row>
    <row r="2963" spans="3:11" ht="25.8" customHeight="1">
      <c r="C2963" s="818">
        <v>3</v>
      </c>
      <c r="D2963" s="212" t="s">
        <v>18</v>
      </c>
      <c r="E2963" s="212" t="s">
        <v>6</v>
      </c>
      <c r="F2963" s="538">
        <v>0.02</v>
      </c>
      <c r="G2963" s="539">
        <f>VLOOKUP(D2963,upahbahan,3,FALSE)</f>
        <v>150000</v>
      </c>
      <c r="H2963" s="539">
        <f t="shared" si="305"/>
        <v>3000</v>
      </c>
    </row>
    <row r="2964" spans="3:11" ht="25.8" customHeight="1">
      <c r="C2964" s="818">
        <v>4</v>
      </c>
      <c r="D2964" s="212" t="s">
        <v>19</v>
      </c>
      <c r="E2964" s="212" t="s">
        <v>6</v>
      </c>
      <c r="F2964" s="538">
        <v>7.0000000000000001E-3</v>
      </c>
      <c r="G2964" s="539">
        <f>VLOOKUP(D2964,upahbahan,3,FALSE)</f>
        <v>160000</v>
      </c>
      <c r="H2964" s="539">
        <f t="shared" si="305"/>
        <v>1120</v>
      </c>
    </row>
    <row r="2965" spans="3:11" ht="25.8" customHeight="1">
      <c r="C2965" s="702" t="s">
        <v>1208</v>
      </c>
      <c r="D2965" s="208"/>
      <c r="E2965" s="208"/>
      <c r="F2965" s="811"/>
      <c r="G2965" s="522"/>
      <c r="H2965" s="539">
        <f>SUM(H2961:H2964)</f>
        <v>42885</v>
      </c>
      <c r="I2965" s="819"/>
    </row>
    <row r="2966" spans="3:11" ht="25.8" customHeight="1">
      <c r="C2966" s="213" t="s">
        <v>1209</v>
      </c>
      <c r="D2966" s="212" t="s">
        <v>1210</v>
      </c>
      <c r="E2966" s="534"/>
      <c r="F2966" s="831"/>
      <c r="G2966" s="534"/>
      <c r="H2966" s="534"/>
    </row>
    <row r="2967" spans="3:11" ht="25.8" customHeight="1">
      <c r="C2967" s="833" t="s">
        <v>1203</v>
      </c>
      <c r="D2967" s="820" t="s">
        <v>3418</v>
      </c>
      <c r="E2967" s="807" t="s">
        <v>113</v>
      </c>
      <c r="F2967" s="832">
        <v>1.25</v>
      </c>
      <c r="G2967" s="539">
        <f>VLOOKUP(D2967,upahbahan,3,FALSE)</f>
        <v>0</v>
      </c>
      <c r="H2967" s="539">
        <f t="shared" ref="H2967" si="306">F2967*G2967</f>
        <v>0</v>
      </c>
    </row>
    <row r="2968" spans="3:11" ht="25.8" customHeight="1">
      <c r="C2968" s="702" t="s">
        <v>1214</v>
      </c>
      <c r="D2968" s="208"/>
      <c r="E2968" s="208"/>
      <c r="F2968" s="208"/>
      <c r="G2968" s="209"/>
      <c r="H2968" s="539">
        <f>SUM(H2967:H2967)</f>
        <v>0</v>
      </c>
    </row>
    <row r="2969" spans="3:11" ht="25.8" customHeight="1">
      <c r="C2969" s="213" t="s">
        <v>1215</v>
      </c>
      <c r="D2969" s="212" t="s">
        <v>1216</v>
      </c>
      <c r="E2969" s="534"/>
      <c r="F2969" s="534"/>
      <c r="G2969" s="534"/>
      <c r="H2969" s="534"/>
    </row>
    <row r="2970" spans="3:11" ht="25.8" customHeight="1">
      <c r="C2970" s="702" t="s">
        <v>1217</v>
      </c>
      <c r="D2970" s="208"/>
      <c r="E2970" s="208"/>
      <c r="F2970" s="208"/>
      <c r="G2970" s="209"/>
      <c r="H2970" s="821">
        <v>0</v>
      </c>
    </row>
    <row r="2971" spans="3:11" ht="25.8" customHeight="1">
      <c r="C2971" s="566" t="s">
        <v>1218</v>
      </c>
      <c r="D2971" s="552" t="s">
        <v>1219</v>
      </c>
      <c r="E2971" s="553"/>
      <c r="F2971" s="553"/>
      <c r="G2971" s="554"/>
      <c r="H2971" s="826">
        <f>H2970+H2968+H2965</f>
        <v>42885</v>
      </c>
      <c r="I2971" s="827"/>
    </row>
    <row r="2972" spans="3:11" ht="25.8" customHeight="1">
      <c r="C2972" s="566" t="s">
        <v>1220</v>
      </c>
      <c r="D2972" s="552" t="s">
        <v>1321</v>
      </c>
      <c r="E2972" s="553"/>
      <c r="F2972" s="554"/>
      <c r="G2972" s="555">
        <f>$M$9</f>
        <v>0.1</v>
      </c>
      <c r="H2972" s="539">
        <f>H2971*G2972</f>
        <v>4288.5</v>
      </c>
      <c r="I2972" s="827"/>
    </row>
    <row r="2973" spans="3:11" ht="25.8" customHeight="1">
      <c r="C2973" s="566" t="s">
        <v>1221</v>
      </c>
      <c r="D2973" s="552" t="s">
        <v>1222</v>
      </c>
      <c r="E2973" s="553"/>
      <c r="F2973" s="553"/>
      <c r="G2973" s="554"/>
      <c r="H2973" s="828">
        <f>SUM(H2971:H2972)</f>
        <v>47173.5</v>
      </c>
      <c r="I2973" s="827"/>
    </row>
    <row r="2974" spans="3:11" ht="25.8" customHeight="1"/>
    <row r="2975" spans="3:11" ht="25.8" customHeight="1">
      <c r="C2975" s="513" t="s">
        <v>7800</v>
      </c>
      <c r="D2975" s="817" t="s">
        <v>3424</v>
      </c>
      <c r="E2975" s="803"/>
      <c r="F2975" s="803"/>
      <c r="G2975" s="803"/>
      <c r="H2975" s="803"/>
      <c r="I2975" s="533">
        <f>ROUNDDOWN(H2990,-2)</f>
        <v>47100</v>
      </c>
      <c r="J2975" s="536"/>
      <c r="K2975" s="824"/>
    </row>
    <row r="2976" spans="3:11" ht="25.8" customHeight="1">
      <c r="C2976" s="716" t="s">
        <v>1195</v>
      </c>
      <c r="D2976" s="716" t="s">
        <v>1196</v>
      </c>
      <c r="E2976" s="716" t="s">
        <v>1197</v>
      </c>
      <c r="F2976" s="716" t="s">
        <v>1198</v>
      </c>
      <c r="G2976" s="716" t="s">
        <v>1199</v>
      </c>
      <c r="H2976" s="716" t="s">
        <v>1200</v>
      </c>
    </row>
    <row r="2977" spans="3:11" ht="25.8" customHeight="1">
      <c r="C2977" s="213" t="s">
        <v>1201</v>
      </c>
      <c r="D2977" s="212" t="s">
        <v>1202</v>
      </c>
      <c r="E2977" s="534"/>
      <c r="F2977" s="534"/>
      <c r="G2977" s="534"/>
      <c r="H2977" s="534"/>
    </row>
    <row r="2978" spans="3:11" ht="25.8" customHeight="1">
      <c r="C2978" s="818">
        <v>1</v>
      </c>
      <c r="D2978" s="212" t="s">
        <v>5</v>
      </c>
      <c r="E2978" s="212" t="s">
        <v>6</v>
      </c>
      <c r="F2978" s="538">
        <v>0.11899999999999999</v>
      </c>
      <c r="G2978" s="539">
        <f>VLOOKUP(D2978,upahbahan,3,FALSE)</f>
        <v>100000</v>
      </c>
      <c r="H2978" s="539">
        <f t="shared" ref="H2978:H2981" si="307">F2978*G2978</f>
        <v>11900</v>
      </c>
    </row>
    <row r="2979" spans="3:11" ht="25.8" customHeight="1">
      <c r="C2979" s="818">
        <v>2</v>
      </c>
      <c r="D2979" s="212" t="s">
        <v>3295</v>
      </c>
      <c r="E2979" s="212" t="s">
        <v>6</v>
      </c>
      <c r="F2979" s="538">
        <v>0.19900000000000001</v>
      </c>
      <c r="G2979" s="539">
        <f>VLOOKUP(D2979,upahbahan,3,FALSE)</f>
        <v>135000</v>
      </c>
      <c r="H2979" s="539">
        <f t="shared" si="307"/>
        <v>26865</v>
      </c>
    </row>
    <row r="2980" spans="3:11" ht="25.8" customHeight="1">
      <c r="C2980" s="818">
        <v>3</v>
      </c>
      <c r="D2980" s="212" t="s">
        <v>18</v>
      </c>
      <c r="E2980" s="212" t="s">
        <v>6</v>
      </c>
      <c r="F2980" s="538">
        <v>0.02</v>
      </c>
      <c r="G2980" s="539">
        <f>VLOOKUP(D2980,upahbahan,3,FALSE)</f>
        <v>150000</v>
      </c>
      <c r="H2980" s="539">
        <f t="shared" si="307"/>
        <v>3000</v>
      </c>
    </row>
    <row r="2981" spans="3:11" ht="25.8" customHeight="1">
      <c r="C2981" s="818">
        <v>4</v>
      </c>
      <c r="D2981" s="212" t="s">
        <v>19</v>
      </c>
      <c r="E2981" s="212" t="s">
        <v>6</v>
      </c>
      <c r="F2981" s="538">
        <v>7.0000000000000001E-3</v>
      </c>
      <c r="G2981" s="539">
        <f>VLOOKUP(D2981,upahbahan,3,FALSE)</f>
        <v>160000</v>
      </c>
      <c r="H2981" s="539">
        <f t="shared" si="307"/>
        <v>1120</v>
      </c>
    </row>
    <row r="2982" spans="3:11" ht="25.8" customHeight="1">
      <c r="C2982" s="702" t="s">
        <v>1208</v>
      </c>
      <c r="D2982" s="208"/>
      <c r="E2982" s="208"/>
      <c r="F2982" s="811"/>
      <c r="G2982" s="522"/>
      <c r="H2982" s="539">
        <f>SUM(H2978:H2981)</f>
        <v>42885</v>
      </c>
      <c r="I2982" s="819"/>
    </row>
    <row r="2983" spans="3:11" ht="25.8" customHeight="1">
      <c r="C2983" s="213" t="s">
        <v>1209</v>
      </c>
      <c r="D2983" s="212" t="s">
        <v>1210</v>
      </c>
      <c r="E2983" s="534"/>
      <c r="F2983" s="831"/>
      <c r="G2983" s="534"/>
      <c r="H2983" s="534"/>
    </row>
    <row r="2984" spans="3:11" ht="25.8" customHeight="1">
      <c r="C2984" s="833" t="s">
        <v>1203</v>
      </c>
      <c r="D2984" s="820" t="s">
        <v>3419</v>
      </c>
      <c r="E2984" s="807" t="s">
        <v>113</v>
      </c>
      <c r="F2984" s="832">
        <v>1.25</v>
      </c>
      <c r="G2984" s="539">
        <f>VLOOKUP(D2984,upahbahan,3,FALSE)</f>
        <v>0</v>
      </c>
      <c r="H2984" s="539">
        <f t="shared" ref="H2984" si="308">F2984*G2984</f>
        <v>0</v>
      </c>
    </row>
    <row r="2985" spans="3:11" ht="25.8" customHeight="1">
      <c r="C2985" s="702" t="s">
        <v>1214</v>
      </c>
      <c r="D2985" s="208"/>
      <c r="E2985" s="208"/>
      <c r="F2985" s="208"/>
      <c r="G2985" s="209"/>
      <c r="H2985" s="539">
        <f>SUM(H2984:H2984)</f>
        <v>0</v>
      </c>
    </row>
    <row r="2986" spans="3:11" ht="25.8" customHeight="1">
      <c r="C2986" s="213" t="s">
        <v>1215</v>
      </c>
      <c r="D2986" s="212" t="s">
        <v>1216</v>
      </c>
      <c r="E2986" s="534"/>
      <c r="F2986" s="534"/>
      <c r="G2986" s="534"/>
      <c r="H2986" s="534"/>
    </row>
    <row r="2987" spans="3:11" ht="25.8" customHeight="1">
      <c r="C2987" s="702" t="s">
        <v>1217</v>
      </c>
      <c r="D2987" s="208"/>
      <c r="E2987" s="208"/>
      <c r="F2987" s="208"/>
      <c r="G2987" s="209"/>
      <c r="H2987" s="821">
        <v>0</v>
      </c>
    </row>
    <row r="2988" spans="3:11" ht="25.8" customHeight="1">
      <c r="C2988" s="566" t="s">
        <v>1218</v>
      </c>
      <c r="D2988" s="552" t="s">
        <v>1219</v>
      </c>
      <c r="E2988" s="553"/>
      <c r="F2988" s="553"/>
      <c r="G2988" s="554"/>
      <c r="H2988" s="826">
        <f>H2987+H2985+H2982</f>
        <v>42885</v>
      </c>
      <c r="I2988" s="827"/>
    </row>
    <row r="2989" spans="3:11" ht="25.8" customHeight="1">
      <c r="C2989" s="566" t="s">
        <v>1220</v>
      </c>
      <c r="D2989" s="552" t="s">
        <v>1321</v>
      </c>
      <c r="E2989" s="553"/>
      <c r="F2989" s="554"/>
      <c r="G2989" s="555">
        <f>$M$9</f>
        <v>0.1</v>
      </c>
      <c r="H2989" s="539">
        <f>H2988*G2989</f>
        <v>4288.5</v>
      </c>
      <c r="I2989" s="827"/>
    </row>
    <row r="2990" spans="3:11" ht="25.8" customHeight="1">
      <c r="C2990" s="566" t="s">
        <v>1221</v>
      </c>
      <c r="D2990" s="552" t="s">
        <v>1222</v>
      </c>
      <c r="E2990" s="553"/>
      <c r="F2990" s="553"/>
      <c r="G2990" s="554"/>
      <c r="H2990" s="828">
        <f>SUM(H2988:H2989)</f>
        <v>47173.5</v>
      </c>
      <c r="I2990" s="827"/>
    </row>
    <row r="2991" spans="3:11" ht="25.8" customHeight="1"/>
    <row r="2992" spans="3:11" ht="25.8" customHeight="1">
      <c r="C2992" s="513" t="s">
        <v>7801</v>
      </c>
      <c r="D2992" s="817" t="s">
        <v>7802</v>
      </c>
      <c r="E2992" s="803"/>
      <c r="F2992" s="803"/>
      <c r="G2992" s="803"/>
      <c r="H2992" s="803"/>
      <c r="I2992" s="533">
        <f>ROUNDDOWN(H3007,-2)</f>
        <v>47100</v>
      </c>
      <c r="J2992" s="536" t="s">
        <v>7804</v>
      </c>
      <c r="K2992" s="824"/>
    </row>
    <row r="2993" spans="3:9" ht="25.8" customHeight="1">
      <c r="C2993" s="716" t="s">
        <v>1195</v>
      </c>
      <c r="D2993" s="716" t="s">
        <v>1196</v>
      </c>
      <c r="E2993" s="716" t="s">
        <v>1197</v>
      </c>
      <c r="F2993" s="716" t="s">
        <v>1198</v>
      </c>
      <c r="G2993" s="716" t="s">
        <v>1199</v>
      </c>
      <c r="H2993" s="716" t="s">
        <v>1200</v>
      </c>
    </row>
    <row r="2994" spans="3:9" ht="25.8" customHeight="1">
      <c r="C2994" s="213" t="s">
        <v>1201</v>
      </c>
      <c r="D2994" s="212" t="s">
        <v>1202</v>
      </c>
      <c r="E2994" s="534"/>
      <c r="F2994" s="534"/>
      <c r="G2994" s="534"/>
      <c r="H2994" s="534"/>
    </row>
    <row r="2995" spans="3:9" ht="25.8" customHeight="1">
      <c r="C2995" s="818">
        <v>1</v>
      </c>
      <c r="D2995" s="212" t="s">
        <v>5</v>
      </c>
      <c r="E2995" s="212" t="s">
        <v>6</v>
      </c>
      <c r="F2995" s="538">
        <v>0.11899999999999999</v>
      </c>
      <c r="G2995" s="539">
        <f>VLOOKUP(D2995,upahbahan,3,FALSE)</f>
        <v>100000</v>
      </c>
      <c r="H2995" s="539">
        <f t="shared" ref="H2995:H2998" si="309">F2995*G2995</f>
        <v>11900</v>
      </c>
    </row>
    <row r="2996" spans="3:9" ht="25.8" customHeight="1">
      <c r="C2996" s="818">
        <v>2</v>
      </c>
      <c r="D2996" s="212" t="s">
        <v>3295</v>
      </c>
      <c r="E2996" s="212" t="s">
        <v>6</v>
      </c>
      <c r="F2996" s="538">
        <v>0.19900000000000001</v>
      </c>
      <c r="G2996" s="539">
        <f>VLOOKUP(D2996,upahbahan,3,FALSE)</f>
        <v>135000</v>
      </c>
      <c r="H2996" s="539">
        <f t="shared" si="309"/>
        <v>26865</v>
      </c>
    </row>
    <row r="2997" spans="3:9" ht="25.8" customHeight="1">
      <c r="C2997" s="818">
        <v>3</v>
      </c>
      <c r="D2997" s="212" t="s">
        <v>18</v>
      </c>
      <c r="E2997" s="212" t="s">
        <v>6</v>
      </c>
      <c r="F2997" s="538">
        <v>0.02</v>
      </c>
      <c r="G2997" s="539">
        <f>VLOOKUP(D2997,upahbahan,3,FALSE)</f>
        <v>150000</v>
      </c>
      <c r="H2997" s="539">
        <f t="shared" si="309"/>
        <v>3000</v>
      </c>
    </row>
    <row r="2998" spans="3:9" ht="25.8" customHeight="1">
      <c r="C2998" s="818">
        <v>4</v>
      </c>
      <c r="D2998" s="212" t="s">
        <v>19</v>
      </c>
      <c r="E2998" s="212" t="s">
        <v>6</v>
      </c>
      <c r="F2998" s="538">
        <v>7.0000000000000001E-3</v>
      </c>
      <c r="G2998" s="539">
        <f>VLOOKUP(D2998,upahbahan,3,FALSE)</f>
        <v>160000</v>
      </c>
      <c r="H2998" s="539">
        <f t="shared" si="309"/>
        <v>1120</v>
      </c>
    </row>
    <row r="2999" spans="3:9" ht="25.8" customHeight="1">
      <c r="C2999" s="702" t="s">
        <v>1208</v>
      </c>
      <c r="D2999" s="208"/>
      <c r="E2999" s="208"/>
      <c r="F2999" s="811"/>
      <c r="G2999" s="522"/>
      <c r="H2999" s="539">
        <f>SUM(H2995:H2998)</f>
        <v>42885</v>
      </c>
      <c r="I2999" s="819"/>
    </row>
    <row r="3000" spans="3:9" ht="25.8" customHeight="1">
      <c r="C3000" s="213" t="s">
        <v>1209</v>
      </c>
      <c r="D3000" s="212" t="s">
        <v>1210</v>
      </c>
      <c r="E3000" s="534"/>
      <c r="F3000" s="831"/>
      <c r="G3000" s="534"/>
      <c r="H3000" s="534"/>
    </row>
    <row r="3001" spans="3:9" ht="25.8" customHeight="1">
      <c r="C3001" s="833" t="s">
        <v>1203</v>
      </c>
      <c r="D3001" s="820" t="s">
        <v>7803</v>
      </c>
      <c r="E3001" s="807" t="s">
        <v>113</v>
      </c>
      <c r="F3001" s="832">
        <v>1.25</v>
      </c>
      <c r="G3001" s="539">
        <f>VLOOKUP(D3001,upahbahan,3,FALSE)</f>
        <v>0</v>
      </c>
      <c r="H3001" s="539">
        <f t="shared" ref="H3001" si="310">F3001*G3001</f>
        <v>0</v>
      </c>
    </row>
    <row r="3002" spans="3:9" ht="25.8" customHeight="1">
      <c r="C3002" s="702" t="s">
        <v>1214</v>
      </c>
      <c r="D3002" s="208"/>
      <c r="E3002" s="208"/>
      <c r="F3002" s="208"/>
      <c r="G3002" s="209"/>
      <c r="H3002" s="539">
        <f>SUM(H3001:H3001)</f>
        <v>0</v>
      </c>
    </row>
    <row r="3003" spans="3:9" ht="25.8" customHeight="1">
      <c r="C3003" s="213" t="s">
        <v>1215</v>
      </c>
      <c r="D3003" s="212" t="s">
        <v>1216</v>
      </c>
      <c r="E3003" s="534"/>
      <c r="F3003" s="534"/>
      <c r="G3003" s="534"/>
      <c r="H3003" s="534"/>
    </row>
    <row r="3004" spans="3:9" ht="25.8" customHeight="1">
      <c r="C3004" s="702" t="s">
        <v>1217</v>
      </c>
      <c r="D3004" s="208"/>
      <c r="E3004" s="208"/>
      <c r="F3004" s="208"/>
      <c r="G3004" s="209"/>
      <c r="H3004" s="821">
        <v>0</v>
      </c>
    </row>
    <row r="3005" spans="3:9" ht="25.8" customHeight="1">
      <c r="C3005" s="566" t="s">
        <v>1218</v>
      </c>
      <c r="D3005" s="552" t="s">
        <v>1219</v>
      </c>
      <c r="E3005" s="553"/>
      <c r="F3005" s="553"/>
      <c r="G3005" s="554"/>
      <c r="H3005" s="826">
        <f>H3004+H3002+H2999</f>
        <v>42885</v>
      </c>
      <c r="I3005" s="827"/>
    </row>
    <row r="3006" spans="3:9" ht="25.8" customHeight="1">
      <c r="C3006" s="566" t="s">
        <v>1220</v>
      </c>
      <c r="D3006" s="552" t="s">
        <v>1321</v>
      </c>
      <c r="E3006" s="553"/>
      <c r="F3006" s="554"/>
      <c r="G3006" s="555">
        <f>$M$9</f>
        <v>0.1</v>
      </c>
      <c r="H3006" s="539">
        <f>H3005*G3006</f>
        <v>4288.5</v>
      </c>
      <c r="I3006" s="827"/>
    </row>
    <row r="3007" spans="3:9" ht="25.8" customHeight="1">
      <c r="C3007" s="566" t="s">
        <v>1221</v>
      </c>
      <c r="D3007" s="552" t="s">
        <v>1222</v>
      </c>
      <c r="E3007" s="553"/>
      <c r="F3007" s="553"/>
      <c r="G3007" s="554"/>
      <c r="H3007" s="828">
        <f>SUM(H3005:H3006)</f>
        <v>47173.5</v>
      </c>
      <c r="I3007" s="827"/>
    </row>
    <row r="3008" spans="3:9" ht="25.8" customHeight="1"/>
    <row r="3009" spans="3:11" ht="25.8" customHeight="1">
      <c r="C3009" s="513" t="s">
        <v>7805</v>
      </c>
      <c r="D3009" s="817" t="s">
        <v>7806</v>
      </c>
      <c r="E3009" s="803"/>
      <c r="F3009" s="803"/>
      <c r="G3009" s="803"/>
      <c r="H3009" s="803"/>
      <c r="I3009" s="533">
        <f>ROUNDDOWN(H3024,-2)</f>
        <v>47100</v>
      </c>
      <c r="J3009" s="536" t="s">
        <v>7804</v>
      </c>
      <c r="K3009" s="824"/>
    </row>
    <row r="3010" spans="3:11" ht="25.8" customHeight="1">
      <c r="C3010" s="716" t="s">
        <v>1195</v>
      </c>
      <c r="D3010" s="716" t="s">
        <v>1196</v>
      </c>
      <c r="E3010" s="716" t="s">
        <v>1197</v>
      </c>
      <c r="F3010" s="716" t="s">
        <v>1198</v>
      </c>
      <c r="G3010" s="716" t="s">
        <v>1199</v>
      </c>
      <c r="H3010" s="716" t="s">
        <v>1200</v>
      </c>
    </row>
    <row r="3011" spans="3:11" ht="25.8" customHeight="1">
      <c r="C3011" s="213" t="s">
        <v>1201</v>
      </c>
      <c r="D3011" s="212" t="s">
        <v>1202</v>
      </c>
      <c r="E3011" s="534"/>
      <c r="F3011" s="534"/>
      <c r="G3011" s="534"/>
      <c r="H3011" s="534"/>
    </row>
    <row r="3012" spans="3:11" ht="25.8" customHeight="1">
      <c r="C3012" s="818">
        <v>1</v>
      </c>
      <c r="D3012" s="212" t="s">
        <v>5</v>
      </c>
      <c r="E3012" s="212" t="s">
        <v>6</v>
      </c>
      <c r="F3012" s="538">
        <v>0.11899999999999999</v>
      </c>
      <c r="G3012" s="539">
        <f>VLOOKUP(D3012,upahbahan,3,FALSE)</f>
        <v>100000</v>
      </c>
      <c r="H3012" s="539">
        <f t="shared" ref="H3012:H3015" si="311">F3012*G3012</f>
        <v>11900</v>
      </c>
    </row>
    <row r="3013" spans="3:11" ht="25.8" customHeight="1">
      <c r="C3013" s="818">
        <v>2</v>
      </c>
      <c r="D3013" s="212" t="s">
        <v>3295</v>
      </c>
      <c r="E3013" s="212" t="s">
        <v>6</v>
      </c>
      <c r="F3013" s="538">
        <v>0.19900000000000001</v>
      </c>
      <c r="G3013" s="539">
        <f>VLOOKUP(D3013,upahbahan,3,FALSE)</f>
        <v>135000</v>
      </c>
      <c r="H3013" s="539">
        <f t="shared" si="311"/>
        <v>26865</v>
      </c>
    </row>
    <row r="3014" spans="3:11" ht="25.8" customHeight="1">
      <c r="C3014" s="818">
        <v>3</v>
      </c>
      <c r="D3014" s="212" t="s">
        <v>18</v>
      </c>
      <c r="E3014" s="212" t="s">
        <v>6</v>
      </c>
      <c r="F3014" s="538">
        <v>0.02</v>
      </c>
      <c r="G3014" s="539">
        <f>VLOOKUP(D3014,upahbahan,3,FALSE)</f>
        <v>150000</v>
      </c>
      <c r="H3014" s="539">
        <f t="shared" si="311"/>
        <v>3000</v>
      </c>
    </row>
    <row r="3015" spans="3:11" ht="25.8" customHeight="1">
      <c r="C3015" s="818">
        <v>4</v>
      </c>
      <c r="D3015" s="212" t="s">
        <v>19</v>
      </c>
      <c r="E3015" s="212" t="s">
        <v>6</v>
      </c>
      <c r="F3015" s="538">
        <v>7.0000000000000001E-3</v>
      </c>
      <c r="G3015" s="539">
        <f>VLOOKUP(D3015,upahbahan,3,FALSE)</f>
        <v>160000</v>
      </c>
      <c r="H3015" s="539">
        <f t="shared" si="311"/>
        <v>1120</v>
      </c>
    </row>
    <row r="3016" spans="3:11" ht="25.8" customHeight="1">
      <c r="C3016" s="702" t="s">
        <v>1208</v>
      </c>
      <c r="D3016" s="208"/>
      <c r="E3016" s="208"/>
      <c r="F3016" s="811"/>
      <c r="G3016" s="522"/>
      <c r="H3016" s="539">
        <f>SUM(H3012:H3015)</f>
        <v>42885</v>
      </c>
      <c r="I3016" s="819"/>
    </row>
    <row r="3017" spans="3:11" ht="25.8" customHeight="1">
      <c r="C3017" s="213" t="s">
        <v>1209</v>
      </c>
      <c r="D3017" s="212" t="s">
        <v>1210</v>
      </c>
      <c r="E3017" s="534"/>
      <c r="F3017" s="831"/>
      <c r="G3017" s="534"/>
      <c r="H3017" s="534"/>
    </row>
    <row r="3018" spans="3:11" ht="25.8" customHeight="1">
      <c r="C3018" s="833" t="s">
        <v>1203</v>
      </c>
      <c r="D3018" s="820" t="s">
        <v>7806</v>
      </c>
      <c r="E3018" s="807" t="s">
        <v>113</v>
      </c>
      <c r="F3018" s="832">
        <v>1.25</v>
      </c>
      <c r="G3018" s="539">
        <f>VLOOKUP(D3018,upahbahan,3,FALSE)</f>
        <v>0</v>
      </c>
      <c r="H3018" s="539">
        <f t="shared" ref="H3018" si="312">F3018*G3018</f>
        <v>0</v>
      </c>
    </row>
    <row r="3019" spans="3:11" ht="25.8" customHeight="1">
      <c r="C3019" s="702" t="s">
        <v>1214</v>
      </c>
      <c r="D3019" s="208"/>
      <c r="E3019" s="208"/>
      <c r="F3019" s="208"/>
      <c r="G3019" s="209"/>
      <c r="H3019" s="539">
        <f>SUM(H3018:H3018)</f>
        <v>0</v>
      </c>
    </row>
    <row r="3020" spans="3:11" ht="25.8" customHeight="1">
      <c r="C3020" s="213" t="s">
        <v>1215</v>
      </c>
      <c r="D3020" s="212" t="s">
        <v>1216</v>
      </c>
      <c r="E3020" s="534"/>
      <c r="F3020" s="534"/>
      <c r="G3020" s="534"/>
      <c r="H3020" s="534"/>
    </row>
    <row r="3021" spans="3:11" ht="25.8" customHeight="1">
      <c r="C3021" s="702" t="s">
        <v>1217</v>
      </c>
      <c r="D3021" s="208"/>
      <c r="E3021" s="208"/>
      <c r="F3021" s="208"/>
      <c r="G3021" s="209"/>
      <c r="H3021" s="821">
        <v>0</v>
      </c>
    </row>
    <row r="3022" spans="3:11" ht="25.8" customHeight="1">
      <c r="C3022" s="566" t="s">
        <v>1218</v>
      </c>
      <c r="D3022" s="552" t="s">
        <v>1219</v>
      </c>
      <c r="E3022" s="553"/>
      <c r="F3022" s="553"/>
      <c r="G3022" s="554"/>
      <c r="H3022" s="826">
        <f>H3021+H3019+H3016</f>
        <v>42885</v>
      </c>
      <c r="I3022" s="827"/>
    </row>
    <row r="3023" spans="3:11" ht="25.8" customHeight="1">
      <c r="C3023" s="566" t="s">
        <v>1220</v>
      </c>
      <c r="D3023" s="552" t="s">
        <v>1321</v>
      </c>
      <c r="E3023" s="553"/>
      <c r="F3023" s="554"/>
      <c r="G3023" s="555">
        <f>$M$9</f>
        <v>0.1</v>
      </c>
      <c r="H3023" s="539">
        <f>H3022*G3023</f>
        <v>4288.5</v>
      </c>
      <c r="I3023" s="827"/>
    </row>
    <row r="3024" spans="3:11" ht="25.8" customHeight="1">
      <c r="C3024" s="566" t="s">
        <v>1221</v>
      </c>
      <c r="D3024" s="552" t="s">
        <v>1222</v>
      </c>
      <c r="E3024" s="553"/>
      <c r="F3024" s="553"/>
      <c r="G3024" s="554"/>
      <c r="H3024" s="828">
        <f>SUM(H3022:H3023)</f>
        <v>47173.5</v>
      </c>
      <c r="I3024" s="827"/>
    </row>
    <row r="3025" spans="3:11" ht="25.8" customHeight="1"/>
    <row r="3026" spans="3:11" ht="25.8" customHeight="1">
      <c r="C3026" s="513" t="s">
        <v>7807</v>
      </c>
      <c r="D3026" s="817" t="s">
        <v>7808</v>
      </c>
      <c r="E3026" s="803"/>
      <c r="F3026" s="803"/>
      <c r="G3026" s="803"/>
      <c r="H3026" s="803"/>
      <c r="I3026" s="533">
        <f>ROUNDDOWN(H3041,-2)</f>
        <v>47100</v>
      </c>
      <c r="J3026" s="536" t="s">
        <v>7804</v>
      </c>
      <c r="K3026" s="824"/>
    </row>
    <row r="3027" spans="3:11" ht="25.8" customHeight="1">
      <c r="C3027" s="716" t="s">
        <v>1195</v>
      </c>
      <c r="D3027" s="716" t="s">
        <v>1196</v>
      </c>
      <c r="E3027" s="716" t="s">
        <v>1197</v>
      </c>
      <c r="F3027" s="716" t="s">
        <v>1198</v>
      </c>
      <c r="G3027" s="716" t="s">
        <v>1199</v>
      </c>
      <c r="H3027" s="716" t="s">
        <v>1200</v>
      </c>
    </row>
    <row r="3028" spans="3:11" ht="25.8" customHeight="1">
      <c r="C3028" s="213" t="s">
        <v>1201</v>
      </c>
      <c r="D3028" s="212" t="s">
        <v>1202</v>
      </c>
      <c r="E3028" s="534"/>
      <c r="F3028" s="534"/>
      <c r="G3028" s="534"/>
      <c r="H3028" s="534"/>
    </row>
    <row r="3029" spans="3:11" ht="25.8" customHeight="1">
      <c r="C3029" s="818">
        <v>1</v>
      </c>
      <c r="D3029" s="212" t="s">
        <v>5</v>
      </c>
      <c r="E3029" s="212" t="s">
        <v>6</v>
      </c>
      <c r="F3029" s="538">
        <v>0.11899999999999999</v>
      </c>
      <c r="G3029" s="539">
        <f>VLOOKUP(D3029,upahbahan,3,FALSE)</f>
        <v>100000</v>
      </c>
      <c r="H3029" s="539">
        <f t="shared" ref="H3029:H3032" si="313">F3029*G3029</f>
        <v>11900</v>
      </c>
    </row>
    <row r="3030" spans="3:11" ht="25.8" customHeight="1">
      <c r="C3030" s="818">
        <v>2</v>
      </c>
      <c r="D3030" s="212" t="s">
        <v>3295</v>
      </c>
      <c r="E3030" s="212" t="s">
        <v>6</v>
      </c>
      <c r="F3030" s="538">
        <v>0.19900000000000001</v>
      </c>
      <c r="G3030" s="539">
        <f>VLOOKUP(D3030,upahbahan,3,FALSE)</f>
        <v>135000</v>
      </c>
      <c r="H3030" s="539">
        <f t="shared" si="313"/>
        <v>26865</v>
      </c>
    </row>
    <row r="3031" spans="3:11" ht="25.8" customHeight="1">
      <c r="C3031" s="818">
        <v>3</v>
      </c>
      <c r="D3031" s="212" t="s">
        <v>18</v>
      </c>
      <c r="E3031" s="212" t="s">
        <v>6</v>
      </c>
      <c r="F3031" s="538">
        <v>0.02</v>
      </c>
      <c r="G3031" s="539">
        <f>VLOOKUP(D3031,upahbahan,3,FALSE)</f>
        <v>150000</v>
      </c>
      <c r="H3031" s="539">
        <f t="shared" si="313"/>
        <v>3000</v>
      </c>
    </row>
    <row r="3032" spans="3:11" ht="25.8" customHeight="1">
      <c r="C3032" s="818">
        <v>4</v>
      </c>
      <c r="D3032" s="212" t="s">
        <v>19</v>
      </c>
      <c r="E3032" s="212" t="s">
        <v>6</v>
      </c>
      <c r="F3032" s="538">
        <v>7.0000000000000001E-3</v>
      </c>
      <c r="G3032" s="539">
        <f>VLOOKUP(D3032,upahbahan,3,FALSE)</f>
        <v>160000</v>
      </c>
      <c r="H3032" s="539">
        <f t="shared" si="313"/>
        <v>1120</v>
      </c>
    </row>
    <row r="3033" spans="3:11" ht="25.8" customHeight="1">
      <c r="C3033" s="702" t="s">
        <v>1208</v>
      </c>
      <c r="D3033" s="208"/>
      <c r="E3033" s="208"/>
      <c r="F3033" s="811"/>
      <c r="G3033" s="522"/>
      <c r="H3033" s="539">
        <f>SUM(H3029:H3032)</f>
        <v>42885</v>
      </c>
      <c r="I3033" s="819"/>
    </row>
    <row r="3034" spans="3:11" ht="25.8" customHeight="1">
      <c r="C3034" s="213" t="s">
        <v>1209</v>
      </c>
      <c r="D3034" s="212" t="s">
        <v>1210</v>
      </c>
      <c r="E3034" s="534"/>
      <c r="F3034" s="831"/>
      <c r="G3034" s="534"/>
      <c r="H3034" s="534"/>
    </row>
    <row r="3035" spans="3:11" ht="25.8" customHeight="1">
      <c r="C3035" s="833" t="s">
        <v>1203</v>
      </c>
      <c r="D3035" s="820" t="s">
        <v>7809</v>
      </c>
      <c r="E3035" s="807" t="s">
        <v>113</v>
      </c>
      <c r="F3035" s="832">
        <v>1.25</v>
      </c>
      <c r="G3035" s="539">
        <f>VLOOKUP(D3035,upahbahan,3,FALSE)</f>
        <v>0</v>
      </c>
      <c r="H3035" s="539">
        <f t="shared" ref="H3035" si="314">F3035*G3035</f>
        <v>0</v>
      </c>
    </row>
    <row r="3036" spans="3:11" ht="25.8" customHeight="1">
      <c r="C3036" s="702" t="s">
        <v>1214</v>
      </c>
      <c r="D3036" s="208"/>
      <c r="E3036" s="208"/>
      <c r="F3036" s="208"/>
      <c r="G3036" s="209"/>
      <c r="H3036" s="539">
        <f>SUM(H3035:H3035)</f>
        <v>0</v>
      </c>
    </row>
    <row r="3037" spans="3:11" ht="25.8" customHeight="1">
      <c r="C3037" s="213" t="s">
        <v>1215</v>
      </c>
      <c r="D3037" s="212" t="s">
        <v>1216</v>
      </c>
      <c r="E3037" s="534"/>
      <c r="F3037" s="534"/>
      <c r="G3037" s="534"/>
      <c r="H3037" s="534"/>
    </row>
    <row r="3038" spans="3:11" ht="25.8" customHeight="1">
      <c r="C3038" s="702" t="s">
        <v>1217</v>
      </c>
      <c r="D3038" s="208"/>
      <c r="E3038" s="208"/>
      <c r="F3038" s="208"/>
      <c r="G3038" s="209"/>
      <c r="H3038" s="821">
        <v>0</v>
      </c>
    </row>
    <row r="3039" spans="3:11" ht="25.8" customHeight="1">
      <c r="C3039" s="566" t="s">
        <v>1218</v>
      </c>
      <c r="D3039" s="552" t="s">
        <v>1219</v>
      </c>
      <c r="E3039" s="553"/>
      <c r="F3039" s="553"/>
      <c r="G3039" s="554"/>
      <c r="H3039" s="826">
        <f>H3038+H3036+H3033</f>
        <v>42885</v>
      </c>
      <c r="I3039" s="827"/>
    </row>
    <row r="3040" spans="3:11" ht="25.8" customHeight="1">
      <c r="C3040" s="566" t="s">
        <v>1220</v>
      </c>
      <c r="D3040" s="552" t="s">
        <v>1321</v>
      </c>
      <c r="E3040" s="553"/>
      <c r="F3040" s="554"/>
      <c r="G3040" s="555">
        <f>$M$9</f>
        <v>0.1</v>
      </c>
      <c r="H3040" s="539">
        <f>H3039*G3040</f>
        <v>4288.5</v>
      </c>
      <c r="I3040" s="827"/>
    </row>
    <row r="3041" spans="3:11" ht="25.8" customHeight="1">
      <c r="C3041" s="566" t="s">
        <v>1221</v>
      </c>
      <c r="D3041" s="552" t="s">
        <v>1222</v>
      </c>
      <c r="E3041" s="553"/>
      <c r="F3041" s="553"/>
      <c r="G3041" s="554"/>
      <c r="H3041" s="828">
        <f>SUM(H3039:H3040)</f>
        <v>47173.5</v>
      </c>
      <c r="I3041" s="827"/>
    </row>
    <row r="3042" spans="3:11" ht="25.8" customHeight="1"/>
    <row r="3043" spans="3:11" ht="25.8" customHeight="1">
      <c r="C3043" s="513" t="s">
        <v>7810</v>
      </c>
      <c r="D3043" s="817" t="s">
        <v>7811</v>
      </c>
      <c r="E3043" s="803"/>
      <c r="F3043" s="803"/>
      <c r="G3043" s="803"/>
      <c r="H3043" s="803"/>
      <c r="I3043" s="533">
        <f>ROUNDDOWN(H3058,-2)</f>
        <v>47100</v>
      </c>
      <c r="J3043" s="536" t="s">
        <v>7804</v>
      </c>
      <c r="K3043" s="824"/>
    </row>
    <row r="3044" spans="3:11" ht="25.8" customHeight="1">
      <c r="C3044" s="716" t="s">
        <v>1195</v>
      </c>
      <c r="D3044" s="716" t="s">
        <v>1196</v>
      </c>
      <c r="E3044" s="716" t="s">
        <v>1197</v>
      </c>
      <c r="F3044" s="716" t="s">
        <v>1198</v>
      </c>
      <c r="G3044" s="716" t="s">
        <v>1199</v>
      </c>
      <c r="H3044" s="716" t="s">
        <v>1200</v>
      </c>
    </row>
    <row r="3045" spans="3:11" ht="25.8" customHeight="1">
      <c r="C3045" s="213" t="s">
        <v>1201</v>
      </c>
      <c r="D3045" s="212" t="s">
        <v>1202</v>
      </c>
      <c r="E3045" s="534"/>
      <c r="F3045" s="534"/>
      <c r="G3045" s="534"/>
      <c r="H3045" s="534"/>
    </row>
    <row r="3046" spans="3:11" ht="25.8" customHeight="1">
      <c r="C3046" s="818">
        <v>1</v>
      </c>
      <c r="D3046" s="212" t="s">
        <v>5</v>
      </c>
      <c r="E3046" s="212" t="s">
        <v>6</v>
      </c>
      <c r="F3046" s="538">
        <v>0.11899999999999999</v>
      </c>
      <c r="G3046" s="539">
        <f>VLOOKUP(D3046,upahbahan,3,FALSE)</f>
        <v>100000</v>
      </c>
      <c r="H3046" s="539">
        <f t="shared" ref="H3046:H3049" si="315">F3046*G3046</f>
        <v>11900</v>
      </c>
    </row>
    <row r="3047" spans="3:11" ht="25.8" customHeight="1">
      <c r="C3047" s="818">
        <v>2</v>
      </c>
      <c r="D3047" s="212" t="s">
        <v>3295</v>
      </c>
      <c r="E3047" s="212" t="s">
        <v>6</v>
      </c>
      <c r="F3047" s="538">
        <v>0.19900000000000001</v>
      </c>
      <c r="G3047" s="539">
        <f>VLOOKUP(D3047,upahbahan,3,FALSE)</f>
        <v>135000</v>
      </c>
      <c r="H3047" s="539">
        <f t="shared" si="315"/>
        <v>26865</v>
      </c>
    </row>
    <row r="3048" spans="3:11" ht="25.8" customHeight="1">
      <c r="C3048" s="818">
        <v>3</v>
      </c>
      <c r="D3048" s="212" t="s">
        <v>18</v>
      </c>
      <c r="E3048" s="212" t="s">
        <v>6</v>
      </c>
      <c r="F3048" s="538">
        <v>0.02</v>
      </c>
      <c r="G3048" s="539">
        <f>VLOOKUP(D3048,upahbahan,3,FALSE)</f>
        <v>150000</v>
      </c>
      <c r="H3048" s="539">
        <f t="shared" si="315"/>
        <v>3000</v>
      </c>
    </row>
    <row r="3049" spans="3:11" ht="25.8" customHeight="1">
      <c r="C3049" s="818">
        <v>4</v>
      </c>
      <c r="D3049" s="212" t="s">
        <v>19</v>
      </c>
      <c r="E3049" s="212" t="s">
        <v>6</v>
      </c>
      <c r="F3049" s="538">
        <v>7.0000000000000001E-3</v>
      </c>
      <c r="G3049" s="539">
        <f>VLOOKUP(D3049,upahbahan,3,FALSE)</f>
        <v>160000</v>
      </c>
      <c r="H3049" s="539">
        <f t="shared" si="315"/>
        <v>1120</v>
      </c>
    </row>
    <row r="3050" spans="3:11" ht="25.8" customHeight="1">
      <c r="C3050" s="702" t="s">
        <v>1208</v>
      </c>
      <c r="D3050" s="208"/>
      <c r="E3050" s="208"/>
      <c r="F3050" s="811"/>
      <c r="G3050" s="522"/>
      <c r="H3050" s="539">
        <f>SUM(H3046:H3049)</f>
        <v>42885</v>
      </c>
      <c r="I3050" s="819"/>
    </row>
    <row r="3051" spans="3:11" ht="25.8" customHeight="1">
      <c r="C3051" s="213" t="s">
        <v>1209</v>
      </c>
      <c r="D3051" s="212" t="s">
        <v>1210</v>
      </c>
      <c r="E3051" s="534"/>
      <c r="F3051" s="831"/>
      <c r="G3051" s="534"/>
      <c r="H3051" s="534"/>
    </row>
    <row r="3052" spans="3:11" ht="25.8" customHeight="1">
      <c r="C3052" s="833" t="s">
        <v>1203</v>
      </c>
      <c r="D3052" s="820" t="s">
        <v>7812</v>
      </c>
      <c r="E3052" s="807" t="s">
        <v>113</v>
      </c>
      <c r="F3052" s="832">
        <v>1.25</v>
      </c>
      <c r="G3052" s="539">
        <f>VLOOKUP(D3052,upahbahan,3,FALSE)</f>
        <v>0</v>
      </c>
      <c r="H3052" s="539">
        <f t="shared" ref="H3052" si="316">F3052*G3052</f>
        <v>0</v>
      </c>
    </row>
    <row r="3053" spans="3:11" ht="25.8" customHeight="1">
      <c r="C3053" s="702" t="s">
        <v>1214</v>
      </c>
      <c r="D3053" s="208"/>
      <c r="E3053" s="208"/>
      <c r="F3053" s="208"/>
      <c r="G3053" s="209"/>
      <c r="H3053" s="539">
        <f>SUM(H3052:H3052)</f>
        <v>0</v>
      </c>
    </row>
    <row r="3054" spans="3:11" ht="25.8" customHeight="1">
      <c r="C3054" s="213" t="s">
        <v>1215</v>
      </c>
      <c r="D3054" s="212" t="s">
        <v>1216</v>
      </c>
      <c r="E3054" s="534"/>
      <c r="F3054" s="534"/>
      <c r="G3054" s="534"/>
      <c r="H3054" s="534"/>
    </row>
    <row r="3055" spans="3:11" ht="25.8" customHeight="1">
      <c r="C3055" s="702" t="s">
        <v>1217</v>
      </c>
      <c r="D3055" s="208"/>
      <c r="E3055" s="208"/>
      <c r="F3055" s="208"/>
      <c r="G3055" s="209"/>
      <c r="H3055" s="821">
        <v>0</v>
      </c>
    </row>
    <row r="3056" spans="3:11" ht="25.8" customHeight="1">
      <c r="C3056" s="566" t="s">
        <v>1218</v>
      </c>
      <c r="D3056" s="552" t="s">
        <v>1219</v>
      </c>
      <c r="E3056" s="553"/>
      <c r="F3056" s="553"/>
      <c r="G3056" s="554"/>
      <c r="H3056" s="826">
        <f>H3055+H3053+H3050</f>
        <v>42885</v>
      </c>
      <c r="I3056" s="827"/>
    </row>
    <row r="3057" spans="3:11" ht="25.8" customHeight="1">
      <c r="C3057" s="566" t="s">
        <v>1220</v>
      </c>
      <c r="D3057" s="552" t="s">
        <v>1321</v>
      </c>
      <c r="E3057" s="553"/>
      <c r="F3057" s="554"/>
      <c r="G3057" s="555">
        <f>$M$9</f>
        <v>0.1</v>
      </c>
      <c r="H3057" s="539">
        <f>H3056*G3057</f>
        <v>4288.5</v>
      </c>
      <c r="I3057" s="827"/>
    </row>
    <row r="3058" spans="3:11" ht="25.8" customHeight="1">
      <c r="C3058" s="566" t="s">
        <v>1221</v>
      </c>
      <c r="D3058" s="552" t="s">
        <v>1222</v>
      </c>
      <c r="E3058" s="553"/>
      <c r="F3058" s="553"/>
      <c r="G3058" s="554"/>
      <c r="H3058" s="828">
        <f>SUM(H3056:H3057)</f>
        <v>47173.5</v>
      </c>
      <c r="I3058" s="827"/>
    </row>
    <row r="3059" spans="3:11" ht="25.8" customHeight="1"/>
    <row r="3060" spans="3:11" ht="25.8" customHeight="1">
      <c r="C3060" s="513" t="s">
        <v>7813</v>
      </c>
      <c r="D3060" s="817" t="s">
        <v>7814</v>
      </c>
      <c r="E3060" s="803"/>
      <c r="F3060" s="803"/>
      <c r="G3060" s="803"/>
      <c r="H3060" s="803"/>
      <c r="I3060" s="533">
        <f>ROUNDDOWN(H3075,-2)</f>
        <v>47100</v>
      </c>
      <c r="J3060" s="536" t="s">
        <v>7804</v>
      </c>
      <c r="K3060" s="824"/>
    </row>
    <row r="3061" spans="3:11" ht="25.8" customHeight="1">
      <c r="C3061" s="716" t="s">
        <v>1195</v>
      </c>
      <c r="D3061" s="716" t="s">
        <v>1196</v>
      </c>
      <c r="E3061" s="716" t="s">
        <v>1197</v>
      </c>
      <c r="F3061" s="716" t="s">
        <v>1198</v>
      </c>
      <c r="G3061" s="716" t="s">
        <v>1199</v>
      </c>
      <c r="H3061" s="716" t="s">
        <v>1200</v>
      </c>
    </row>
    <row r="3062" spans="3:11" ht="25.8" customHeight="1">
      <c r="C3062" s="213" t="s">
        <v>1201</v>
      </c>
      <c r="D3062" s="212" t="s">
        <v>1202</v>
      </c>
      <c r="E3062" s="534"/>
      <c r="F3062" s="534"/>
      <c r="G3062" s="534"/>
      <c r="H3062" s="534"/>
    </row>
    <row r="3063" spans="3:11" ht="25.8" customHeight="1">
      <c r="C3063" s="818">
        <v>1</v>
      </c>
      <c r="D3063" s="212" t="s">
        <v>5</v>
      </c>
      <c r="E3063" s="212" t="s">
        <v>6</v>
      </c>
      <c r="F3063" s="538">
        <v>0.11899999999999999</v>
      </c>
      <c r="G3063" s="539">
        <f>VLOOKUP(D3063,upahbahan,3,FALSE)</f>
        <v>100000</v>
      </c>
      <c r="H3063" s="539">
        <f t="shared" ref="H3063:H3066" si="317">F3063*G3063</f>
        <v>11900</v>
      </c>
    </row>
    <row r="3064" spans="3:11" ht="25.8" customHeight="1">
      <c r="C3064" s="818">
        <v>2</v>
      </c>
      <c r="D3064" s="212" t="s">
        <v>3295</v>
      </c>
      <c r="E3064" s="212" t="s">
        <v>6</v>
      </c>
      <c r="F3064" s="538">
        <v>0.19900000000000001</v>
      </c>
      <c r="G3064" s="539">
        <f>VLOOKUP(D3064,upahbahan,3,FALSE)</f>
        <v>135000</v>
      </c>
      <c r="H3064" s="539">
        <f t="shared" si="317"/>
        <v>26865</v>
      </c>
    </row>
    <row r="3065" spans="3:11" ht="25.8" customHeight="1">
      <c r="C3065" s="818">
        <v>3</v>
      </c>
      <c r="D3065" s="212" t="s">
        <v>18</v>
      </c>
      <c r="E3065" s="212" t="s">
        <v>6</v>
      </c>
      <c r="F3065" s="538">
        <v>0.02</v>
      </c>
      <c r="G3065" s="539">
        <f>VLOOKUP(D3065,upahbahan,3,FALSE)</f>
        <v>150000</v>
      </c>
      <c r="H3065" s="539">
        <f t="shared" si="317"/>
        <v>3000</v>
      </c>
    </row>
    <row r="3066" spans="3:11" ht="25.8" customHeight="1">
      <c r="C3066" s="818">
        <v>4</v>
      </c>
      <c r="D3066" s="212" t="s">
        <v>19</v>
      </c>
      <c r="E3066" s="212" t="s">
        <v>6</v>
      </c>
      <c r="F3066" s="538">
        <v>7.0000000000000001E-3</v>
      </c>
      <c r="G3066" s="539">
        <f>VLOOKUP(D3066,upahbahan,3,FALSE)</f>
        <v>160000</v>
      </c>
      <c r="H3066" s="539">
        <f t="shared" si="317"/>
        <v>1120</v>
      </c>
    </row>
    <row r="3067" spans="3:11" ht="25.8" customHeight="1">
      <c r="C3067" s="702" t="s">
        <v>1208</v>
      </c>
      <c r="D3067" s="208"/>
      <c r="E3067" s="208"/>
      <c r="F3067" s="811"/>
      <c r="G3067" s="522"/>
      <c r="H3067" s="539">
        <f>SUM(H3063:H3066)</f>
        <v>42885</v>
      </c>
      <c r="I3067" s="819"/>
    </row>
    <row r="3068" spans="3:11" ht="25.8" customHeight="1">
      <c r="C3068" s="213" t="s">
        <v>1209</v>
      </c>
      <c r="D3068" s="212" t="s">
        <v>1210</v>
      </c>
      <c r="E3068" s="534"/>
      <c r="F3068" s="831"/>
      <c r="G3068" s="534"/>
      <c r="H3068" s="534"/>
    </row>
    <row r="3069" spans="3:11" ht="25.8" customHeight="1">
      <c r="C3069" s="833" t="s">
        <v>1203</v>
      </c>
      <c r="D3069" s="820" t="s">
        <v>7815</v>
      </c>
      <c r="E3069" s="807" t="s">
        <v>113</v>
      </c>
      <c r="F3069" s="832">
        <v>1.25</v>
      </c>
      <c r="G3069" s="539">
        <f>VLOOKUP(D3069,upahbahan,3,FALSE)</f>
        <v>0</v>
      </c>
      <c r="H3069" s="539">
        <f t="shared" ref="H3069" si="318">F3069*G3069</f>
        <v>0</v>
      </c>
    </row>
    <row r="3070" spans="3:11" ht="25.8" customHeight="1">
      <c r="C3070" s="702" t="s">
        <v>1214</v>
      </c>
      <c r="D3070" s="208"/>
      <c r="E3070" s="208"/>
      <c r="F3070" s="208"/>
      <c r="G3070" s="209"/>
      <c r="H3070" s="539">
        <f>SUM(H3069:H3069)</f>
        <v>0</v>
      </c>
    </row>
    <row r="3071" spans="3:11" ht="25.8" customHeight="1">
      <c r="C3071" s="213" t="s">
        <v>1215</v>
      </c>
      <c r="D3071" s="212" t="s">
        <v>1216</v>
      </c>
      <c r="E3071" s="534"/>
      <c r="F3071" s="534"/>
      <c r="G3071" s="534"/>
      <c r="H3071" s="534"/>
    </row>
    <row r="3072" spans="3:11" ht="25.8" customHeight="1">
      <c r="C3072" s="702" t="s">
        <v>1217</v>
      </c>
      <c r="D3072" s="208"/>
      <c r="E3072" s="208"/>
      <c r="F3072" s="208"/>
      <c r="G3072" s="209"/>
      <c r="H3072" s="821">
        <v>0</v>
      </c>
    </row>
    <row r="3073" spans="3:11" ht="25.8" customHeight="1">
      <c r="C3073" s="566" t="s">
        <v>1218</v>
      </c>
      <c r="D3073" s="552" t="s">
        <v>1219</v>
      </c>
      <c r="E3073" s="553"/>
      <c r="F3073" s="553"/>
      <c r="G3073" s="554"/>
      <c r="H3073" s="826">
        <f>H3072+H3070+H3067</f>
        <v>42885</v>
      </c>
      <c r="I3073" s="827"/>
    </row>
    <row r="3074" spans="3:11" ht="25.8" customHeight="1">
      <c r="C3074" s="566" t="s">
        <v>1220</v>
      </c>
      <c r="D3074" s="552" t="s">
        <v>1321</v>
      </c>
      <c r="E3074" s="553"/>
      <c r="F3074" s="554"/>
      <c r="G3074" s="555">
        <f>$M$9</f>
        <v>0.1</v>
      </c>
      <c r="H3074" s="539">
        <f>H3073*G3074</f>
        <v>4288.5</v>
      </c>
      <c r="I3074" s="827"/>
    </row>
    <row r="3075" spans="3:11" ht="25.8" customHeight="1">
      <c r="C3075" s="566" t="s">
        <v>1221</v>
      </c>
      <c r="D3075" s="552" t="s">
        <v>1222</v>
      </c>
      <c r="E3075" s="553"/>
      <c r="F3075" s="553"/>
      <c r="G3075" s="554"/>
      <c r="H3075" s="828">
        <f>SUM(H3073:H3074)</f>
        <v>47173.5</v>
      </c>
      <c r="I3075" s="827"/>
    </row>
    <row r="3076" spans="3:11" ht="25.8" customHeight="1"/>
    <row r="3077" spans="3:11" ht="25.8" customHeight="1">
      <c r="C3077" s="513" t="s">
        <v>7816</v>
      </c>
      <c r="D3077" s="817" t="s">
        <v>7817</v>
      </c>
      <c r="E3077" s="803"/>
      <c r="F3077" s="803"/>
      <c r="G3077" s="803"/>
      <c r="H3077" s="803"/>
      <c r="I3077" s="533">
        <f>ROUNDDOWN(H3092,-2)</f>
        <v>47100</v>
      </c>
      <c r="J3077" s="536" t="s">
        <v>7804</v>
      </c>
      <c r="K3077" s="824"/>
    </row>
    <row r="3078" spans="3:11" ht="25.8" customHeight="1">
      <c r="C3078" s="716" t="s">
        <v>1195</v>
      </c>
      <c r="D3078" s="716" t="s">
        <v>1196</v>
      </c>
      <c r="E3078" s="716" t="s">
        <v>1197</v>
      </c>
      <c r="F3078" s="716" t="s">
        <v>1198</v>
      </c>
      <c r="G3078" s="716" t="s">
        <v>1199</v>
      </c>
      <c r="H3078" s="716" t="s">
        <v>1200</v>
      </c>
    </row>
    <row r="3079" spans="3:11" ht="25.8" customHeight="1">
      <c r="C3079" s="213" t="s">
        <v>1201</v>
      </c>
      <c r="D3079" s="212" t="s">
        <v>1202</v>
      </c>
      <c r="E3079" s="534"/>
      <c r="F3079" s="534"/>
      <c r="G3079" s="534"/>
      <c r="H3079" s="534"/>
    </row>
    <row r="3080" spans="3:11" ht="25.8" customHeight="1">
      <c r="C3080" s="818">
        <v>1</v>
      </c>
      <c r="D3080" s="212" t="s">
        <v>5</v>
      </c>
      <c r="E3080" s="212" t="s">
        <v>6</v>
      </c>
      <c r="F3080" s="538">
        <v>0.11899999999999999</v>
      </c>
      <c r="G3080" s="539">
        <f>VLOOKUP(D3080,upahbahan,3,FALSE)</f>
        <v>100000</v>
      </c>
      <c r="H3080" s="539">
        <f t="shared" ref="H3080:H3083" si="319">F3080*G3080</f>
        <v>11900</v>
      </c>
    </row>
    <row r="3081" spans="3:11" ht="25.8" customHeight="1">
      <c r="C3081" s="818">
        <v>2</v>
      </c>
      <c r="D3081" s="212" t="s">
        <v>3295</v>
      </c>
      <c r="E3081" s="212" t="s">
        <v>6</v>
      </c>
      <c r="F3081" s="538">
        <v>0.19900000000000001</v>
      </c>
      <c r="G3081" s="539">
        <f>VLOOKUP(D3081,upahbahan,3,FALSE)</f>
        <v>135000</v>
      </c>
      <c r="H3081" s="539">
        <f t="shared" si="319"/>
        <v>26865</v>
      </c>
    </row>
    <row r="3082" spans="3:11" ht="25.8" customHeight="1">
      <c r="C3082" s="818">
        <v>3</v>
      </c>
      <c r="D3082" s="212" t="s">
        <v>18</v>
      </c>
      <c r="E3082" s="212" t="s">
        <v>6</v>
      </c>
      <c r="F3082" s="538">
        <v>0.02</v>
      </c>
      <c r="G3082" s="539">
        <f>VLOOKUP(D3082,upahbahan,3,FALSE)</f>
        <v>150000</v>
      </c>
      <c r="H3082" s="539">
        <f t="shared" si="319"/>
        <v>3000</v>
      </c>
    </row>
    <row r="3083" spans="3:11" ht="25.8" customHeight="1">
      <c r="C3083" s="818">
        <v>4</v>
      </c>
      <c r="D3083" s="212" t="s">
        <v>19</v>
      </c>
      <c r="E3083" s="212" t="s">
        <v>6</v>
      </c>
      <c r="F3083" s="538">
        <v>7.0000000000000001E-3</v>
      </c>
      <c r="G3083" s="539">
        <f>VLOOKUP(D3083,upahbahan,3,FALSE)</f>
        <v>160000</v>
      </c>
      <c r="H3083" s="539">
        <f t="shared" si="319"/>
        <v>1120</v>
      </c>
    </row>
    <row r="3084" spans="3:11" ht="25.8" customHeight="1">
      <c r="C3084" s="702" t="s">
        <v>1208</v>
      </c>
      <c r="D3084" s="208"/>
      <c r="E3084" s="208"/>
      <c r="F3084" s="811"/>
      <c r="G3084" s="522"/>
      <c r="H3084" s="539">
        <f>SUM(H3080:H3083)</f>
        <v>42885</v>
      </c>
      <c r="I3084" s="819"/>
    </row>
    <row r="3085" spans="3:11" ht="25.8" customHeight="1">
      <c r="C3085" s="213" t="s">
        <v>1209</v>
      </c>
      <c r="D3085" s="212" t="s">
        <v>1210</v>
      </c>
      <c r="E3085" s="534"/>
      <c r="F3085" s="831"/>
      <c r="G3085" s="534"/>
      <c r="H3085" s="534"/>
    </row>
    <row r="3086" spans="3:11" ht="25.8" customHeight="1">
      <c r="C3086" s="833" t="s">
        <v>1203</v>
      </c>
      <c r="D3086" s="820" t="s">
        <v>7818</v>
      </c>
      <c r="E3086" s="807" t="s">
        <v>113</v>
      </c>
      <c r="F3086" s="832">
        <v>1.25</v>
      </c>
      <c r="G3086" s="539">
        <f>VLOOKUP(D3086,upahbahan,3,FALSE)</f>
        <v>0</v>
      </c>
      <c r="H3086" s="539">
        <f t="shared" ref="H3086" si="320">F3086*G3086</f>
        <v>0</v>
      </c>
    </row>
    <row r="3087" spans="3:11" ht="25.8" customHeight="1">
      <c r="C3087" s="702" t="s">
        <v>1214</v>
      </c>
      <c r="D3087" s="208"/>
      <c r="E3087" s="208"/>
      <c r="F3087" s="208"/>
      <c r="G3087" s="209"/>
      <c r="H3087" s="539">
        <f>SUM(H3086:H3086)</f>
        <v>0</v>
      </c>
    </row>
    <row r="3088" spans="3:11" ht="25.8" customHeight="1">
      <c r="C3088" s="213" t="s">
        <v>1215</v>
      </c>
      <c r="D3088" s="212" t="s">
        <v>1216</v>
      </c>
      <c r="E3088" s="534"/>
      <c r="F3088" s="534"/>
      <c r="G3088" s="534"/>
      <c r="H3088" s="534"/>
    </row>
    <row r="3089" spans="3:11" ht="25.8" customHeight="1">
      <c r="C3089" s="702" t="s">
        <v>1217</v>
      </c>
      <c r="D3089" s="208"/>
      <c r="E3089" s="208"/>
      <c r="F3089" s="208"/>
      <c r="G3089" s="209"/>
      <c r="H3089" s="821">
        <v>0</v>
      </c>
    </row>
    <row r="3090" spans="3:11" ht="25.8" customHeight="1">
      <c r="C3090" s="566" t="s">
        <v>1218</v>
      </c>
      <c r="D3090" s="552" t="s">
        <v>1219</v>
      </c>
      <c r="E3090" s="553"/>
      <c r="F3090" s="553"/>
      <c r="G3090" s="554"/>
      <c r="H3090" s="826">
        <f>H3089+H3087+H3084</f>
        <v>42885</v>
      </c>
      <c r="I3090" s="827"/>
    </row>
    <row r="3091" spans="3:11" ht="25.8" customHeight="1">
      <c r="C3091" s="566" t="s">
        <v>1220</v>
      </c>
      <c r="D3091" s="552" t="s">
        <v>1321</v>
      </c>
      <c r="E3091" s="553"/>
      <c r="F3091" s="554"/>
      <c r="G3091" s="555">
        <f>$M$9</f>
        <v>0.1</v>
      </c>
      <c r="H3091" s="539">
        <f>H3090*G3091</f>
        <v>4288.5</v>
      </c>
      <c r="I3091" s="827"/>
    </row>
    <row r="3092" spans="3:11" ht="25.8" customHeight="1">
      <c r="C3092" s="566" t="s">
        <v>1221</v>
      </c>
      <c r="D3092" s="552" t="s">
        <v>1222</v>
      </c>
      <c r="E3092" s="553"/>
      <c r="F3092" s="553"/>
      <c r="G3092" s="554"/>
      <c r="H3092" s="828">
        <f>SUM(H3090:H3091)</f>
        <v>47173.5</v>
      </c>
      <c r="I3092" s="827"/>
    </row>
    <row r="3093" spans="3:11" ht="25.8" customHeight="1"/>
    <row r="3094" spans="3:11" ht="25.8" customHeight="1">
      <c r="C3094" s="513" t="s">
        <v>7819</v>
      </c>
      <c r="D3094" s="817" t="s">
        <v>7820</v>
      </c>
      <c r="E3094" s="803"/>
      <c r="F3094" s="803"/>
      <c r="G3094" s="803"/>
      <c r="H3094" s="803"/>
      <c r="I3094" s="533">
        <f>ROUNDDOWN(H3109,-2)</f>
        <v>47100</v>
      </c>
      <c r="J3094" s="536" t="s">
        <v>7804</v>
      </c>
      <c r="K3094" s="824"/>
    </row>
    <row r="3095" spans="3:11" ht="25.8" customHeight="1">
      <c r="C3095" s="716" t="s">
        <v>1195</v>
      </c>
      <c r="D3095" s="716" t="s">
        <v>1196</v>
      </c>
      <c r="E3095" s="716" t="s">
        <v>1197</v>
      </c>
      <c r="F3095" s="716" t="s">
        <v>1198</v>
      </c>
      <c r="G3095" s="716" t="s">
        <v>1199</v>
      </c>
      <c r="H3095" s="716" t="s">
        <v>1200</v>
      </c>
    </row>
    <row r="3096" spans="3:11" ht="25.8" customHeight="1">
      <c r="C3096" s="213" t="s">
        <v>1201</v>
      </c>
      <c r="D3096" s="212" t="s">
        <v>1202</v>
      </c>
      <c r="E3096" s="534"/>
      <c r="F3096" s="534"/>
      <c r="G3096" s="534"/>
      <c r="H3096" s="534"/>
    </row>
    <row r="3097" spans="3:11" ht="25.8" customHeight="1">
      <c r="C3097" s="818">
        <v>1</v>
      </c>
      <c r="D3097" s="212" t="s">
        <v>5</v>
      </c>
      <c r="E3097" s="212" t="s">
        <v>6</v>
      </c>
      <c r="F3097" s="538">
        <v>0.11899999999999999</v>
      </c>
      <c r="G3097" s="539">
        <f>VLOOKUP(D3097,upahbahan,3,FALSE)</f>
        <v>100000</v>
      </c>
      <c r="H3097" s="539">
        <f t="shared" ref="H3097:H3100" si="321">F3097*G3097</f>
        <v>11900</v>
      </c>
    </row>
    <row r="3098" spans="3:11" ht="25.8" customHeight="1">
      <c r="C3098" s="818">
        <v>2</v>
      </c>
      <c r="D3098" s="212" t="s">
        <v>3295</v>
      </c>
      <c r="E3098" s="212" t="s">
        <v>6</v>
      </c>
      <c r="F3098" s="538">
        <v>0.19900000000000001</v>
      </c>
      <c r="G3098" s="539">
        <f>VLOOKUP(D3098,upahbahan,3,FALSE)</f>
        <v>135000</v>
      </c>
      <c r="H3098" s="539">
        <f t="shared" si="321"/>
        <v>26865</v>
      </c>
    </row>
    <row r="3099" spans="3:11" ht="25.8" customHeight="1">
      <c r="C3099" s="818">
        <v>3</v>
      </c>
      <c r="D3099" s="212" t="s">
        <v>18</v>
      </c>
      <c r="E3099" s="212" t="s">
        <v>6</v>
      </c>
      <c r="F3099" s="538">
        <v>0.02</v>
      </c>
      <c r="G3099" s="539">
        <f>VLOOKUP(D3099,upahbahan,3,FALSE)</f>
        <v>150000</v>
      </c>
      <c r="H3099" s="539">
        <f t="shared" si="321"/>
        <v>3000</v>
      </c>
    </row>
    <row r="3100" spans="3:11" ht="25.8" customHeight="1">
      <c r="C3100" s="818">
        <v>4</v>
      </c>
      <c r="D3100" s="212" t="s">
        <v>19</v>
      </c>
      <c r="E3100" s="212" t="s">
        <v>6</v>
      </c>
      <c r="F3100" s="538">
        <v>7.0000000000000001E-3</v>
      </c>
      <c r="G3100" s="539">
        <f>VLOOKUP(D3100,upahbahan,3,FALSE)</f>
        <v>160000</v>
      </c>
      <c r="H3100" s="539">
        <f t="shared" si="321"/>
        <v>1120</v>
      </c>
    </row>
    <row r="3101" spans="3:11" ht="25.8" customHeight="1">
      <c r="C3101" s="702" t="s">
        <v>1208</v>
      </c>
      <c r="D3101" s="208"/>
      <c r="E3101" s="208"/>
      <c r="F3101" s="811"/>
      <c r="G3101" s="522"/>
      <c r="H3101" s="539">
        <f>SUM(H3097:H3100)</f>
        <v>42885</v>
      </c>
      <c r="I3101" s="819"/>
    </row>
    <row r="3102" spans="3:11" ht="25.8" customHeight="1">
      <c r="C3102" s="213" t="s">
        <v>1209</v>
      </c>
      <c r="D3102" s="212" t="s">
        <v>1210</v>
      </c>
      <c r="E3102" s="534"/>
      <c r="F3102" s="831"/>
      <c r="G3102" s="534"/>
      <c r="H3102" s="534"/>
    </row>
    <row r="3103" spans="3:11" ht="25.8" customHeight="1">
      <c r="C3103" s="833" t="s">
        <v>1203</v>
      </c>
      <c r="D3103" s="820" t="s">
        <v>7821</v>
      </c>
      <c r="E3103" s="807" t="s">
        <v>113</v>
      </c>
      <c r="F3103" s="832">
        <v>1.25</v>
      </c>
      <c r="G3103" s="539">
        <f>VLOOKUP(D3103,upahbahan,3,FALSE)</f>
        <v>0</v>
      </c>
      <c r="H3103" s="539">
        <f t="shared" ref="H3103" si="322">F3103*G3103</f>
        <v>0</v>
      </c>
    </row>
    <row r="3104" spans="3:11" ht="25.8" customHeight="1">
      <c r="C3104" s="702" t="s">
        <v>1214</v>
      </c>
      <c r="D3104" s="208"/>
      <c r="E3104" s="208"/>
      <c r="F3104" s="208"/>
      <c r="G3104" s="209"/>
      <c r="H3104" s="539">
        <f>SUM(H3103:H3103)</f>
        <v>0</v>
      </c>
    </row>
    <row r="3105" spans="3:11" ht="25.8" customHeight="1">
      <c r="C3105" s="213" t="s">
        <v>1215</v>
      </c>
      <c r="D3105" s="212" t="s">
        <v>1216</v>
      </c>
      <c r="E3105" s="534"/>
      <c r="F3105" s="534"/>
      <c r="G3105" s="534"/>
      <c r="H3105" s="534"/>
    </row>
    <row r="3106" spans="3:11" ht="25.8" customHeight="1">
      <c r="C3106" s="702" t="s">
        <v>1217</v>
      </c>
      <c r="D3106" s="208"/>
      <c r="E3106" s="208"/>
      <c r="F3106" s="208"/>
      <c r="G3106" s="209"/>
      <c r="H3106" s="821">
        <v>0</v>
      </c>
    </row>
    <row r="3107" spans="3:11" ht="25.8" customHeight="1">
      <c r="C3107" s="566" t="s">
        <v>1218</v>
      </c>
      <c r="D3107" s="552" t="s">
        <v>1219</v>
      </c>
      <c r="E3107" s="553"/>
      <c r="F3107" s="553"/>
      <c r="G3107" s="554"/>
      <c r="H3107" s="826">
        <f>H3106+H3104+H3101</f>
        <v>42885</v>
      </c>
      <c r="I3107" s="827"/>
    </row>
    <row r="3108" spans="3:11" ht="25.8" customHeight="1">
      <c r="C3108" s="566" t="s">
        <v>1220</v>
      </c>
      <c r="D3108" s="552" t="s">
        <v>1321</v>
      </c>
      <c r="E3108" s="553"/>
      <c r="F3108" s="554"/>
      <c r="G3108" s="555">
        <f>$M$9</f>
        <v>0.1</v>
      </c>
      <c r="H3108" s="539">
        <f>H3107*G3108</f>
        <v>4288.5</v>
      </c>
      <c r="I3108" s="827"/>
    </row>
    <row r="3109" spans="3:11" ht="25.8" customHeight="1">
      <c r="C3109" s="566" t="s">
        <v>1221</v>
      </c>
      <c r="D3109" s="552" t="s">
        <v>1222</v>
      </c>
      <c r="E3109" s="553"/>
      <c r="F3109" s="553"/>
      <c r="G3109" s="554"/>
      <c r="H3109" s="828">
        <f>SUM(H3107:H3108)</f>
        <v>47173.5</v>
      </c>
      <c r="I3109" s="827"/>
    </row>
    <row r="3110" spans="3:11" ht="25.8" customHeight="1"/>
    <row r="3111" spans="3:11" ht="25.8" customHeight="1">
      <c r="C3111" s="513" t="s">
        <v>7822</v>
      </c>
      <c r="D3111" s="817" t="s">
        <v>7823</v>
      </c>
      <c r="E3111" s="803"/>
      <c r="F3111" s="803"/>
      <c r="G3111" s="803"/>
      <c r="H3111" s="803"/>
      <c r="I3111" s="533">
        <f>ROUNDDOWN(H3126,-2)</f>
        <v>47100</v>
      </c>
      <c r="J3111" s="536" t="s">
        <v>7804</v>
      </c>
      <c r="K3111" s="824"/>
    </row>
    <row r="3112" spans="3:11" ht="25.8" customHeight="1">
      <c r="C3112" s="716" t="s">
        <v>1195</v>
      </c>
      <c r="D3112" s="716" t="s">
        <v>1196</v>
      </c>
      <c r="E3112" s="716" t="s">
        <v>1197</v>
      </c>
      <c r="F3112" s="716" t="s">
        <v>1198</v>
      </c>
      <c r="G3112" s="716" t="s">
        <v>1199</v>
      </c>
      <c r="H3112" s="716" t="s">
        <v>1200</v>
      </c>
    </row>
    <row r="3113" spans="3:11" ht="25.8" customHeight="1">
      <c r="C3113" s="213" t="s">
        <v>1201</v>
      </c>
      <c r="D3113" s="212" t="s">
        <v>1202</v>
      </c>
      <c r="E3113" s="534"/>
      <c r="F3113" s="534"/>
      <c r="G3113" s="534"/>
      <c r="H3113" s="534"/>
    </row>
    <row r="3114" spans="3:11" ht="25.8" customHeight="1">
      <c r="C3114" s="818">
        <v>1</v>
      </c>
      <c r="D3114" s="212" t="s">
        <v>5</v>
      </c>
      <c r="E3114" s="212" t="s">
        <v>6</v>
      </c>
      <c r="F3114" s="538">
        <v>0.11899999999999999</v>
      </c>
      <c r="G3114" s="539">
        <f>VLOOKUP(D3114,upahbahan,3,FALSE)</f>
        <v>100000</v>
      </c>
      <c r="H3114" s="539">
        <f t="shared" ref="H3114:H3117" si="323">F3114*G3114</f>
        <v>11900</v>
      </c>
    </row>
    <row r="3115" spans="3:11" ht="25.8" customHeight="1">
      <c r="C3115" s="818">
        <v>2</v>
      </c>
      <c r="D3115" s="212" t="s">
        <v>3295</v>
      </c>
      <c r="E3115" s="212" t="s">
        <v>6</v>
      </c>
      <c r="F3115" s="538">
        <v>0.19900000000000001</v>
      </c>
      <c r="G3115" s="539">
        <f>VLOOKUP(D3115,upahbahan,3,FALSE)</f>
        <v>135000</v>
      </c>
      <c r="H3115" s="539">
        <f t="shared" si="323"/>
        <v>26865</v>
      </c>
    </row>
    <row r="3116" spans="3:11" ht="25.8" customHeight="1">
      <c r="C3116" s="818">
        <v>3</v>
      </c>
      <c r="D3116" s="212" t="s">
        <v>18</v>
      </c>
      <c r="E3116" s="212" t="s">
        <v>6</v>
      </c>
      <c r="F3116" s="538">
        <v>0.02</v>
      </c>
      <c r="G3116" s="539">
        <f>VLOOKUP(D3116,upahbahan,3,FALSE)</f>
        <v>150000</v>
      </c>
      <c r="H3116" s="539">
        <f t="shared" si="323"/>
        <v>3000</v>
      </c>
    </row>
    <row r="3117" spans="3:11" ht="25.8" customHeight="1">
      <c r="C3117" s="818">
        <v>4</v>
      </c>
      <c r="D3117" s="212" t="s">
        <v>19</v>
      </c>
      <c r="E3117" s="212" t="s">
        <v>6</v>
      </c>
      <c r="F3117" s="538">
        <v>7.0000000000000001E-3</v>
      </c>
      <c r="G3117" s="539">
        <f>VLOOKUP(D3117,upahbahan,3,FALSE)</f>
        <v>160000</v>
      </c>
      <c r="H3117" s="539">
        <f t="shared" si="323"/>
        <v>1120</v>
      </c>
    </row>
    <row r="3118" spans="3:11" ht="25.8" customHeight="1">
      <c r="C3118" s="702" t="s">
        <v>1208</v>
      </c>
      <c r="D3118" s="208"/>
      <c r="E3118" s="208"/>
      <c r="F3118" s="811"/>
      <c r="G3118" s="522"/>
      <c r="H3118" s="539">
        <f>SUM(H3114:H3117)</f>
        <v>42885</v>
      </c>
      <c r="I3118" s="819"/>
    </row>
    <row r="3119" spans="3:11" ht="25.8" customHeight="1">
      <c r="C3119" s="213" t="s">
        <v>1209</v>
      </c>
      <c r="D3119" s="212" t="s">
        <v>1210</v>
      </c>
      <c r="E3119" s="534"/>
      <c r="F3119" s="831"/>
      <c r="G3119" s="534"/>
      <c r="H3119" s="534"/>
    </row>
    <row r="3120" spans="3:11" ht="25.8" customHeight="1">
      <c r="C3120" s="833" t="s">
        <v>1203</v>
      </c>
      <c r="D3120" s="820" t="s">
        <v>7824</v>
      </c>
      <c r="E3120" s="807" t="s">
        <v>135</v>
      </c>
      <c r="F3120" s="832">
        <v>1.25</v>
      </c>
      <c r="G3120" s="539">
        <f>VLOOKUP(D3120,upahbahan,3,FALSE)</f>
        <v>0</v>
      </c>
      <c r="H3120" s="539">
        <f t="shared" ref="H3120" si="324">F3120*G3120</f>
        <v>0</v>
      </c>
    </row>
    <row r="3121" spans="3:11" ht="25.8" customHeight="1">
      <c r="C3121" s="702" t="s">
        <v>1214</v>
      </c>
      <c r="D3121" s="208"/>
      <c r="E3121" s="208"/>
      <c r="F3121" s="208"/>
      <c r="G3121" s="209"/>
      <c r="H3121" s="539">
        <f>SUM(H3120:H3120)</f>
        <v>0</v>
      </c>
    </row>
    <row r="3122" spans="3:11" ht="25.8" customHeight="1">
      <c r="C3122" s="213" t="s">
        <v>1215</v>
      </c>
      <c r="D3122" s="212" t="s">
        <v>1216</v>
      </c>
      <c r="E3122" s="534"/>
      <c r="F3122" s="534"/>
      <c r="G3122" s="534"/>
      <c r="H3122" s="534"/>
    </row>
    <row r="3123" spans="3:11" ht="25.8" customHeight="1">
      <c r="C3123" s="702" t="s">
        <v>1217</v>
      </c>
      <c r="D3123" s="208"/>
      <c r="E3123" s="208"/>
      <c r="F3123" s="208"/>
      <c r="G3123" s="209"/>
      <c r="H3123" s="821">
        <v>0</v>
      </c>
    </row>
    <row r="3124" spans="3:11" ht="25.8" customHeight="1">
      <c r="C3124" s="566" t="s">
        <v>1218</v>
      </c>
      <c r="D3124" s="552" t="s">
        <v>1219</v>
      </c>
      <c r="E3124" s="553"/>
      <c r="F3124" s="553"/>
      <c r="G3124" s="554"/>
      <c r="H3124" s="826">
        <f>H3123+H3121+H3118</f>
        <v>42885</v>
      </c>
      <c r="I3124" s="827"/>
    </row>
    <row r="3125" spans="3:11" ht="25.8" customHeight="1">
      <c r="C3125" s="566" t="s">
        <v>1220</v>
      </c>
      <c r="D3125" s="552" t="s">
        <v>1321</v>
      </c>
      <c r="E3125" s="553"/>
      <c r="F3125" s="554"/>
      <c r="G3125" s="555">
        <f>$M$9</f>
        <v>0.1</v>
      </c>
      <c r="H3125" s="539">
        <f>H3124*G3125</f>
        <v>4288.5</v>
      </c>
      <c r="I3125" s="827"/>
    </row>
    <row r="3126" spans="3:11" ht="25.8" customHeight="1">
      <c r="C3126" s="566" t="s">
        <v>1221</v>
      </c>
      <c r="D3126" s="552" t="s">
        <v>1222</v>
      </c>
      <c r="E3126" s="553"/>
      <c r="F3126" s="553"/>
      <c r="G3126" s="554"/>
      <c r="H3126" s="828">
        <f>SUM(H3124:H3125)</f>
        <v>47173.5</v>
      </c>
      <c r="I3126" s="827"/>
    </row>
    <row r="3127" spans="3:11" ht="25.8" customHeight="1"/>
    <row r="3128" spans="3:11" ht="25.8" customHeight="1">
      <c r="C3128" s="513" t="s">
        <v>7825</v>
      </c>
      <c r="D3128" s="817" t="s">
        <v>7826</v>
      </c>
      <c r="E3128" s="803"/>
      <c r="F3128" s="803"/>
      <c r="G3128" s="803"/>
      <c r="H3128" s="803"/>
      <c r="I3128" s="533">
        <f>ROUNDDOWN(H3143,-2)</f>
        <v>47100</v>
      </c>
      <c r="J3128" s="536" t="s">
        <v>7804</v>
      </c>
      <c r="K3128" s="824"/>
    </row>
    <row r="3129" spans="3:11" ht="25.8" customHeight="1">
      <c r="C3129" s="716" t="s">
        <v>1195</v>
      </c>
      <c r="D3129" s="716" t="s">
        <v>1196</v>
      </c>
      <c r="E3129" s="716" t="s">
        <v>1197</v>
      </c>
      <c r="F3129" s="716" t="s">
        <v>1198</v>
      </c>
      <c r="G3129" s="716" t="s">
        <v>1199</v>
      </c>
      <c r="H3129" s="716" t="s">
        <v>1200</v>
      </c>
    </row>
    <row r="3130" spans="3:11" ht="25.8" customHeight="1">
      <c r="C3130" s="213" t="s">
        <v>1201</v>
      </c>
      <c r="D3130" s="212" t="s">
        <v>1202</v>
      </c>
      <c r="E3130" s="534"/>
      <c r="F3130" s="534"/>
      <c r="G3130" s="534"/>
      <c r="H3130" s="534"/>
    </row>
    <row r="3131" spans="3:11" ht="25.8" customHeight="1">
      <c r="C3131" s="818">
        <v>1</v>
      </c>
      <c r="D3131" s="212" t="s">
        <v>5</v>
      </c>
      <c r="E3131" s="212" t="s">
        <v>6</v>
      </c>
      <c r="F3131" s="538">
        <v>0.11899999999999999</v>
      </c>
      <c r="G3131" s="539">
        <f>VLOOKUP(D3131,upahbahan,3,FALSE)</f>
        <v>100000</v>
      </c>
      <c r="H3131" s="539">
        <f t="shared" ref="H3131:H3134" si="325">F3131*G3131</f>
        <v>11900</v>
      </c>
    </row>
    <row r="3132" spans="3:11" ht="25.8" customHeight="1">
      <c r="C3132" s="818">
        <v>2</v>
      </c>
      <c r="D3132" s="212" t="s">
        <v>3295</v>
      </c>
      <c r="E3132" s="212" t="s">
        <v>6</v>
      </c>
      <c r="F3132" s="538">
        <v>0.19900000000000001</v>
      </c>
      <c r="G3132" s="539">
        <f>VLOOKUP(D3132,upahbahan,3,FALSE)</f>
        <v>135000</v>
      </c>
      <c r="H3132" s="539">
        <f t="shared" si="325"/>
        <v>26865</v>
      </c>
    </row>
    <row r="3133" spans="3:11" ht="25.8" customHeight="1">
      <c r="C3133" s="818">
        <v>3</v>
      </c>
      <c r="D3133" s="212" t="s">
        <v>18</v>
      </c>
      <c r="E3133" s="212" t="s">
        <v>6</v>
      </c>
      <c r="F3133" s="538">
        <v>0.02</v>
      </c>
      <c r="G3133" s="539">
        <f>VLOOKUP(D3133,upahbahan,3,FALSE)</f>
        <v>150000</v>
      </c>
      <c r="H3133" s="539">
        <f t="shared" si="325"/>
        <v>3000</v>
      </c>
    </row>
    <row r="3134" spans="3:11" ht="25.8" customHeight="1">
      <c r="C3134" s="818">
        <v>4</v>
      </c>
      <c r="D3134" s="212" t="s">
        <v>19</v>
      </c>
      <c r="E3134" s="212" t="s">
        <v>6</v>
      </c>
      <c r="F3134" s="538">
        <v>7.0000000000000001E-3</v>
      </c>
      <c r="G3134" s="539">
        <f>VLOOKUP(D3134,upahbahan,3,FALSE)</f>
        <v>160000</v>
      </c>
      <c r="H3134" s="539">
        <f t="shared" si="325"/>
        <v>1120</v>
      </c>
    </row>
    <row r="3135" spans="3:11" ht="25.8" customHeight="1">
      <c r="C3135" s="702" t="s">
        <v>1208</v>
      </c>
      <c r="D3135" s="208"/>
      <c r="E3135" s="208"/>
      <c r="F3135" s="811"/>
      <c r="G3135" s="522"/>
      <c r="H3135" s="539">
        <f>SUM(H3131:H3134)</f>
        <v>42885</v>
      </c>
      <c r="I3135" s="819"/>
    </row>
    <row r="3136" spans="3:11" ht="25.8" customHeight="1">
      <c r="C3136" s="213" t="s">
        <v>1209</v>
      </c>
      <c r="D3136" s="212" t="s">
        <v>1210</v>
      </c>
      <c r="E3136" s="534"/>
      <c r="F3136" s="831"/>
      <c r="G3136" s="534"/>
      <c r="H3136" s="534"/>
    </row>
    <row r="3137" spans="3:11" ht="25.8" customHeight="1">
      <c r="C3137" s="833" t="s">
        <v>1203</v>
      </c>
      <c r="D3137" s="820" t="s">
        <v>7824</v>
      </c>
      <c r="E3137" s="807" t="s">
        <v>135</v>
      </c>
      <c r="F3137" s="832">
        <v>1.25</v>
      </c>
      <c r="G3137" s="539">
        <f>VLOOKUP(D3137,upahbahan,3,FALSE)</f>
        <v>0</v>
      </c>
      <c r="H3137" s="539">
        <f t="shared" ref="H3137" si="326">F3137*G3137</f>
        <v>0</v>
      </c>
    </row>
    <row r="3138" spans="3:11" ht="25.8" customHeight="1">
      <c r="C3138" s="702" t="s">
        <v>1214</v>
      </c>
      <c r="D3138" s="208"/>
      <c r="E3138" s="208"/>
      <c r="F3138" s="208"/>
      <c r="G3138" s="209"/>
      <c r="H3138" s="539">
        <f>SUM(H3137:H3137)</f>
        <v>0</v>
      </c>
    </row>
    <row r="3139" spans="3:11" ht="25.8" customHeight="1">
      <c r="C3139" s="213" t="s">
        <v>1215</v>
      </c>
      <c r="D3139" s="212" t="s">
        <v>1216</v>
      </c>
      <c r="E3139" s="534"/>
      <c r="F3139" s="534"/>
      <c r="G3139" s="534"/>
      <c r="H3139" s="534"/>
    </row>
    <row r="3140" spans="3:11" ht="25.8" customHeight="1">
      <c r="C3140" s="702" t="s">
        <v>1217</v>
      </c>
      <c r="D3140" s="208"/>
      <c r="E3140" s="208"/>
      <c r="F3140" s="208"/>
      <c r="G3140" s="209"/>
      <c r="H3140" s="821">
        <v>0</v>
      </c>
    </row>
    <row r="3141" spans="3:11" ht="25.8" customHeight="1">
      <c r="C3141" s="566" t="s">
        <v>1218</v>
      </c>
      <c r="D3141" s="552" t="s">
        <v>1219</v>
      </c>
      <c r="E3141" s="553"/>
      <c r="F3141" s="553"/>
      <c r="G3141" s="554"/>
      <c r="H3141" s="826">
        <f>H3140+H3138+H3135</f>
        <v>42885</v>
      </c>
      <c r="I3141" s="827"/>
    </row>
    <row r="3142" spans="3:11" ht="25.8" customHeight="1">
      <c r="C3142" s="566" t="s">
        <v>1220</v>
      </c>
      <c r="D3142" s="552" t="s">
        <v>1321</v>
      </c>
      <c r="E3142" s="553"/>
      <c r="F3142" s="554"/>
      <c r="G3142" s="555">
        <f>$M$9</f>
        <v>0.1</v>
      </c>
      <c r="H3142" s="539">
        <f>H3141*G3142</f>
        <v>4288.5</v>
      </c>
      <c r="I3142" s="827"/>
    </row>
    <row r="3143" spans="3:11" ht="25.8" customHeight="1">
      <c r="C3143" s="566" t="s">
        <v>1221</v>
      </c>
      <c r="D3143" s="552" t="s">
        <v>1222</v>
      </c>
      <c r="E3143" s="553"/>
      <c r="F3143" s="553"/>
      <c r="G3143" s="554"/>
      <c r="H3143" s="828">
        <f>SUM(H3141:H3142)</f>
        <v>47173.5</v>
      </c>
      <c r="I3143" s="827"/>
    </row>
    <row r="3144" spans="3:11" ht="25.8" customHeight="1"/>
    <row r="3145" spans="3:11" ht="25.8" customHeight="1">
      <c r="C3145" s="513" t="s">
        <v>7828</v>
      </c>
      <c r="D3145" s="817" t="s">
        <v>7829</v>
      </c>
      <c r="E3145" s="803"/>
      <c r="F3145" s="803"/>
      <c r="G3145" s="803"/>
      <c r="H3145" s="803"/>
      <c r="I3145" s="533">
        <f>ROUNDDOWN(H3160,-2)</f>
        <v>47100</v>
      </c>
      <c r="J3145" s="536" t="s">
        <v>7804</v>
      </c>
      <c r="K3145" s="824"/>
    </row>
    <row r="3146" spans="3:11" ht="25.8" customHeight="1">
      <c r="C3146" s="716" t="s">
        <v>1195</v>
      </c>
      <c r="D3146" s="716" t="s">
        <v>1196</v>
      </c>
      <c r="E3146" s="716" t="s">
        <v>1197</v>
      </c>
      <c r="F3146" s="716" t="s">
        <v>1198</v>
      </c>
      <c r="G3146" s="716" t="s">
        <v>1199</v>
      </c>
      <c r="H3146" s="716" t="s">
        <v>1200</v>
      </c>
    </row>
    <row r="3147" spans="3:11" ht="25.8" customHeight="1">
      <c r="C3147" s="213" t="s">
        <v>1201</v>
      </c>
      <c r="D3147" s="212" t="s">
        <v>1202</v>
      </c>
      <c r="E3147" s="534"/>
      <c r="F3147" s="534"/>
      <c r="G3147" s="534"/>
      <c r="H3147" s="534"/>
    </row>
    <row r="3148" spans="3:11" ht="25.8" customHeight="1">
      <c r="C3148" s="818">
        <v>1</v>
      </c>
      <c r="D3148" s="212" t="s">
        <v>5</v>
      </c>
      <c r="E3148" s="212" t="s">
        <v>6</v>
      </c>
      <c r="F3148" s="538">
        <v>0.11899999999999999</v>
      </c>
      <c r="G3148" s="539">
        <f>VLOOKUP(D3148,upahbahan,3,FALSE)</f>
        <v>100000</v>
      </c>
      <c r="H3148" s="539">
        <f t="shared" ref="H3148:H3151" si="327">F3148*G3148</f>
        <v>11900</v>
      </c>
    </row>
    <row r="3149" spans="3:11" ht="25.8" customHeight="1">
      <c r="C3149" s="818">
        <v>2</v>
      </c>
      <c r="D3149" s="212" t="s">
        <v>3295</v>
      </c>
      <c r="E3149" s="212" t="s">
        <v>6</v>
      </c>
      <c r="F3149" s="538">
        <v>0.19900000000000001</v>
      </c>
      <c r="G3149" s="539">
        <f>VLOOKUP(D3149,upahbahan,3,FALSE)</f>
        <v>135000</v>
      </c>
      <c r="H3149" s="539">
        <f t="shared" si="327"/>
        <v>26865</v>
      </c>
    </row>
    <row r="3150" spans="3:11" ht="25.8" customHeight="1">
      <c r="C3150" s="818">
        <v>3</v>
      </c>
      <c r="D3150" s="212" t="s">
        <v>18</v>
      </c>
      <c r="E3150" s="212" t="s">
        <v>6</v>
      </c>
      <c r="F3150" s="538">
        <v>0.02</v>
      </c>
      <c r="G3150" s="539">
        <f>VLOOKUP(D3150,upahbahan,3,FALSE)</f>
        <v>150000</v>
      </c>
      <c r="H3150" s="539">
        <f t="shared" si="327"/>
        <v>3000</v>
      </c>
    </row>
    <row r="3151" spans="3:11" ht="25.8" customHeight="1">
      <c r="C3151" s="818">
        <v>4</v>
      </c>
      <c r="D3151" s="212" t="s">
        <v>19</v>
      </c>
      <c r="E3151" s="212" t="s">
        <v>6</v>
      </c>
      <c r="F3151" s="538">
        <v>7.0000000000000001E-3</v>
      </c>
      <c r="G3151" s="539">
        <f>VLOOKUP(D3151,upahbahan,3,FALSE)</f>
        <v>160000</v>
      </c>
      <c r="H3151" s="539">
        <f t="shared" si="327"/>
        <v>1120</v>
      </c>
    </row>
    <row r="3152" spans="3:11" ht="25.8" customHeight="1">
      <c r="C3152" s="702" t="s">
        <v>1208</v>
      </c>
      <c r="D3152" s="208"/>
      <c r="E3152" s="208"/>
      <c r="F3152" s="811"/>
      <c r="G3152" s="522"/>
      <c r="H3152" s="539">
        <f>SUM(H3148:H3151)</f>
        <v>42885</v>
      </c>
      <c r="I3152" s="819"/>
    </row>
    <row r="3153" spans="3:11" ht="25.8" customHeight="1">
      <c r="C3153" s="213" t="s">
        <v>1209</v>
      </c>
      <c r="D3153" s="212" t="s">
        <v>1210</v>
      </c>
      <c r="E3153" s="534"/>
      <c r="F3153" s="831"/>
      <c r="G3153" s="534"/>
      <c r="H3153" s="534"/>
    </row>
    <row r="3154" spans="3:11" ht="25.8" customHeight="1">
      <c r="C3154" s="833" t="s">
        <v>1203</v>
      </c>
      <c r="D3154" s="820" t="s">
        <v>7830</v>
      </c>
      <c r="E3154" s="807" t="s">
        <v>135</v>
      </c>
      <c r="F3154" s="832">
        <v>1.25</v>
      </c>
      <c r="G3154" s="539">
        <f>VLOOKUP(D3154,upahbahan,3,FALSE)</f>
        <v>0</v>
      </c>
      <c r="H3154" s="539">
        <f t="shared" ref="H3154" si="328">F3154*G3154</f>
        <v>0</v>
      </c>
    </row>
    <row r="3155" spans="3:11" ht="25.8" customHeight="1">
      <c r="C3155" s="702" t="s">
        <v>1214</v>
      </c>
      <c r="D3155" s="208"/>
      <c r="E3155" s="208"/>
      <c r="F3155" s="208"/>
      <c r="G3155" s="209"/>
      <c r="H3155" s="539">
        <f>SUM(H3154:H3154)</f>
        <v>0</v>
      </c>
    </row>
    <row r="3156" spans="3:11" ht="25.8" customHeight="1">
      <c r="C3156" s="213" t="s">
        <v>1215</v>
      </c>
      <c r="D3156" s="212" t="s">
        <v>1216</v>
      </c>
      <c r="E3156" s="534"/>
      <c r="F3156" s="534"/>
      <c r="G3156" s="534"/>
      <c r="H3156" s="534"/>
    </row>
    <row r="3157" spans="3:11" ht="25.8" customHeight="1">
      <c r="C3157" s="702" t="s">
        <v>1217</v>
      </c>
      <c r="D3157" s="208"/>
      <c r="E3157" s="208"/>
      <c r="F3157" s="208"/>
      <c r="G3157" s="209"/>
      <c r="H3157" s="821">
        <v>0</v>
      </c>
    </row>
    <row r="3158" spans="3:11" ht="25.8" customHeight="1">
      <c r="C3158" s="566" t="s">
        <v>1218</v>
      </c>
      <c r="D3158" s="552" t="s">
        <v>1219</v>
      </c>
      <c r="E3158" s="553"/>
      <c r="F3158" s="553"/>
      <c r="G3158" s="554"/>
      <c r="H3158" s="826">
        <f>H3157+H3155+H3152</f>
        <v>42885</v>
      </c>
      <c r="I3158" s="827"/>
    </row>
    <row r="3159" spans="3:11" ht="25.8" customHeight="1">
      <c r="C3159" s="566" t="s">
        <v>1220</v>
      </c>
      <c r="D3159" s="552" t="s">
        <v>1321</v>
      </c>
      <c r="E3159" s="553"/>
      <c r="F3159" s="554"/>
      <c r="G3159" s="555">
        <f>$M$9</f>
        <v>0.1</v>
      </c>
      <c r="H3159" s="539">
        <f>H3158*G3159</f>
        <v>4288.5</v>
      </c>
      <c r="I3159" s="827"/>
    </row>
    <row r="3160" spans="3:11" ht="25.8" customHeight="1">
      <c r="C3160" s="566" t="s">
        <v>1221</v>
      </c>
      <c r="D3160" s="552" t="s">
        <v>1222</v>
      </c>
      <c r="E3160" s="553"/>
      <c r="F3160" s="553"/>
      <c r="G3160" s="554"/>
      <c r="H3160" s="828">
        <f>SUM(H3158:H3159)</f>
        <v>47173.5</v>
      </c>
      <c r="I3160" s="827"/>
    </row>
    <row r="3161" spans="3:11" ht="25.8" customHeight="1"/>
    <row r="3162" spans="3:11" ht="25.8" customHeight="1">
      <c r="C3162" s="513" t="s">
        <v>7831</v>
      </c>
      <c r="D3162" s="817" t="s">
        <v>7832</v>
      </c>
      <c r="E3162" s="803"/>
      <c r="F3162" s="803"/>
      <c r="G3162" s="803"/>
      <c r="H3162" s="803"/>
      <c r="I3162" s="533">
        <f>ROUNDDOWN(H3177,-2)</f>
        <v>47100</v>
      </c>
      <c r="J3162" s="536" t="s">
        <v>7804</v>
      </c>
      <c r="K3162" s="824"/>
    </row>
    <row r="3163" spans="3:11" ht="25.8" customHeight="1">
      <c r="C3163" s="716" t="s">
        <v>1195</v>
      </c>
      <c r="D3163" s="716" t="s">
        <v>1196</v>
      </c>
      <c r="E3163" s="716" t="s">
        <v>1197</v>
      </c>
      <c r="F3163" s="716" t="s">
        <v>1198</v>
      </c>
      <c r="G3163" s="716" t="s">
        <v>1199</v>
      </c>
      <c r="H3163" s="716" t="s">
        <v>1200</v>
      </c>
    </row>
    <row r="3164" spans="3:11" ht="25.8" customHeight="1">
      <c r="C3164" s="213" t="s">
        <v>1201</v>
      </c>
      <c r="D3164" s="212" t="s">
        <v>1202</v>
      </c>
      <c r="E3164" s="534"/>
      <c r="F3164" s="534"/>
      <c r="G3164" s="534"/>
      <c r="H3164" s="534"/>
    </row>
    <row r="3165" spans="3:11" ht="25.8" customHeight="1">
      <c r="C3165" s="818">
        <v>1</v>
      </c>
      <c r="D3165" s="212" t="s">
        <v>5</v>
      </c>
      <c r="E3165" s="212" t="s">
        <v>6</v>
      </c>
      <c r="F3165" s="538">
        <v>0.11899999999999999</v>
      </c>
      <c r="G3165" s="539">
        <f>VLOOKUP(D3165,upahbahan,3,FALSE)</f>
        <v>100000</v>
      </c>
      <c r="H3165" s="539">
        <f t="shared" ref="H3165:H3168" si="329">F3165*G3165</f>
        <v>11900</v>
      </c>
    </row>
    <row r="3166" spans="3:11" ht="25.8" customHeight="1">
      <c r="C3166" s="818">
        <v>2</v>
      </c>
      <c r="D3166" s="212" t="s">
        <v>3295</v>
      </c>
      <c r="E3166" s="212" t="s">
        <v>6</v>
      </c>
      <c r="F3166" s="538">
        <v>0.19900000000000001</v>
      </c>
      <c r="G3166" s="539">
        <f>VLOOKUP(D3166,upahbahan,3,FALSE)</f>
        <v>135000</v>
      </c>
      <c r="H3166" s="539">
        <f t="shared" si="329"/>
        <v>26865</v>
      </c>
    </row>
    <row r="3167" spans="3:11" ht="25.8" customHeight="1">
      <c r="C3167" s="818">
        <v>3</v>
      </c>
      <c r="D3167" s="212" t="s">
        <v>18</v>
      </c>
      <c r="E3167" s="212" t="s">
        <v>6</v>
      </c>
      <c r="F3167" s="538">
        <v>0.02</v>
      </c>
      <c r="G3167" s="539">
        <f>VLOOKUP(D3167,upahbahan,3,FALSE)</f>
        <v>150000</v>
      </c>
      <c r="H3167" s="539">
        <f t="shared" si="329"/>
        <v>3000</v>
      </c>
    </row>
    <row r="3168" spans="3:11" ht="25.8" customHeight="1">
      <c r="C3168" s="818">
        <v>4</v>
      </c>
      <c r="D3168" s="212" t="s">
        <v>19</v>
      </c>
      <c r="E3168" s="212" t="s">
        <v>6</v>
      </c>
      <c r="F3168" s="538">
        <v>7.0000000000000001E-3</v>
      </c>
      <c r="G3168" s="539">
        <f>VLOOKUP(D3168,upahbahan,3,FALSE)</f>
        <v>160000</v>
      </c>
      <c r="H3168" s="539">
        <f t="shared" si="329"/>
        <v>1120</v>
      </c>
    </row>
    <row r="3169" spans="3:11" ht="25.8" customHeight="1">
      <c r="C3169" s="702" t="s">
        <v>1208</v>
      </c>
      <c r="D3169" s="208"/>
      <c r="E3169" s="208"/>
      <c r="F3169" s="811"/>
      <c r="G3169" s="522"/>
      <c r="H3169" s="539">
        <f>SUM(H3165:H3168)</f>
        <v>42885</v>
      </c>
      <c r="I3169" s="819"/>
    </row>
    <row r="3170" spans="3:11" ht="25.8" customHeight="1">
      <c r="C3170" s="213" t="s">
        <v>1209</v>
      </c>
      <c r="D3170" s="212" t="s">
        <v>1210</v>
      </c>
      <c r="E3170" s="534"/>
      <c r="F3170" s="831"/>
      <c r="G3170" s="534"/>
      <c r="H3170" s="534"/>
    </row>
    <row r="3171" spans="3:11" ht="25.8" customHeight="1">
      <c r="C3171" s="833" t="s">
        <v>1203</v>
      </c>
      <c r="D3171" s="820" t="s">
        <v>7833</v>
      </c>
      <c r="E3171" s="807" t="s">
        <v>135</v>
      </c>
      <c r="F3171" s="832">
        <v>1.25</v>
      </c>
      <c r="G3171" s="539">
        <f>VLOOKUP(D3171,upahbahan,3,FALSE)</f>
        <v>0</v>
      </c>
      <c r="H3171" s="539">
        <f t="shared" ref="H3171" si="330">F3171*G3171</f>
        <v>0</v>
      </c>
    </row>
    <row r="3172" spans="3:11" ht="25.8" customHeight="1">
      <c r="C3172" s="702" t="s">
        <v>1214</v>
      </c>
      <c r="D3172" s="208"/>
      <c r="E3172" s="208"/>
      <c r="F3172" s="208"/>
      <c r="G3172" s="209"/>
      <c r="H3172" s="539">
        <f>SUM(H3171:H3171)</f>
        <v>0</v>
      </c>
    </row>
    <row r="3173" spans="3:11" ht="25.8" customHeight="1">
      <c r="C3173" s="213" t="s">
        <v>1215</v>
      </c>
      <c r="D3173" s="212" t="s">
        <v>1216</v>
      </c>
      <c r="E3173" s="534"/>
      <c r="F3173" s="534"/>
      <c r="G3173" s="534"/>
      <c r="H3173" s="534"/>
    </row>
    <row r="3174" spans="3:11" ht="25.8" customHeight="1">
      <c r="C3174" s="702" t="s">
        <v>1217</v>
      </c>
      <c r="D3174" s="208"/>
      <c r="E3174" s="208"/>
      <c r="F3174" s="208"/>
      <c r="G3174" s="209"/>
      <c r="H3174" s="821">
        <v>0</v>
      </c>
    </row>
    <row r="3175" spans="3:11" ht="25.8" customHeight="1">
      <c r="C3175" s="566" t="s">
        <v>1218</v>
      </c>
      <c r="D3175" s="552" t="s">
        <v>1219</v>
      </c>
      <c r="E3175" s="553"/>
      <c r="F3175" s="553"/>
      <c r="G3175" s="554"/>
      <c r="H3175" s="826">
        <f>H3174+H3172+H3169</f>
        <v>42885</v>
      </c>
      <c r="I3175" s="827"/>
    </row>
    <row r="3176" spans="3:11" ht="25.8" customHeight="1">
      <c r="C3176" s="566" t="s">
        <v>1220</v>
      </c>
      <c r="D3176" s="552" t="s">
        <v>1321</v>
      </c>
      <c r="E3176" s="553"/>
      <c r="F3176" s="554"/>
      <c r="G3176" s="555">
        <f>$M$9</f>
        <v>0.1</v>
      </c>
      <c r="H3176" s="539">
        <f>H3175*G3176</f>
        <v>4288.5</v>
      </c>
      <c r="I3176" s="827"/>
    </row>
    <row r="3177" spans="3:11" ht="25.8" customHeight="1">
      <c r="C3177" s="566" t="s">
        <v>1221</v>
      </c>
      <c r="D3177" s="552" t="s">
        <v>1222</v>
      </c>
      <c r="E3177" s="553"/>
      <c r="F3177" s="553"/>
      <c r="G3177" s="554"/>
      <c r="H3177" s="828">
        <f>SUM(H3175:H3176)</f>
        <v>47173.5</v>
      </c>
      <c r="I3177" s="827"/>
    </row>
    <row r="3178" spans="3:11" ht="25.8" customHeight="1"/>
    <row r="3179" spans="3:11" ht="25.8" customHeight="1">
      <c r="C3179" s="513" t="s">
        <v>7834</v>
      </c>
      <c r="D3179" s="817" t="s">
        <v>7835</v>
      </c>
      <c r="E3179" s="803"/>
      <c r="F3179" s="803"/>
      <c r="G3179" s="803"/>
      <c r="H3179" s="803"/>
      <c r="I3179" s="533">
        <f>ROUNDDOWN(H3194,-2)</f>
        <v>47100</v>
      </c>
      <c r="J3179" s="536" t="s">
        <v>7804</v>
      </c>
      <c r="K3179" s="824"/>
    </row>
    <row r="3180" spans="3:11" ht="25.8" customHeight="1">
      <c r="C3180" s="716" t="s">
        <v>1195</v>
      </c>
      <c r="D3180" s="716" t="s">
        <v>1196</v>
      </c>
      <c r="E3180" s="716" t="s">
        <v>1197</v>
      </c>
      <c r="F3180" s="716" t="s">
        <v>1198</v>
      </c>
      <c r="G3180" s="716" t="s">
        <v>1199</v>
      </c>
      <c r="H3180" s="716" t="s">
        <v>1200</v>
      </c>
    </row>
    <row r="3181" spans="3:11" ht="25.8" customHeight="1">
      <c r="C3181" s="213" t="s">
        <v>1201</v>
      </c>
      <c r="D3181" s="212" t="s">
        <v>1202</v>
      </c>
      <c r="E3181" s="534"/>
      <c r="F3181" s="534"/>
      <c r="G3181" s="534"/>
      <c r="H3181" s="534"/>
    </row>
    <row r="3182" spans="3:11" ht="25.8" customHeight="1">
      <c r="C3182" s="818">
        <v>1</v>
      </c>
      <c r="D3182" s="212" t="s">
        <v>5</v>
      </c>
      <c r="E3182" s="212" t="s">
        <v>6</v>
      </c>
      <c r="F3182" s="538">
        <v>0.11899999999999999</v>
      </c>
      <c r="G3182" s="539">
        <f>VLOOKUP(D3182,upahbahan,3,FALSE)</f>
        <v>100000</v>
      </c>
      <c r="H3182" s="539">
        <f t="shared" ref="H3182:H3185" si="331">F3182*G3182</f>
        <v>11900</v>
      </c>
    </row>
    <row r="3183" spans="3:11" ht="25.8" customHeight="1">
      <c r="C3183" s="818">
        <v>2</v>
      </c>
      <c r="D3183" s="212" t="s">
        <v>3295</v>
      </c>
      <c r="E3183" s="212" t="s">
        <v>6</v>
      </c>
      <c r="F3183" s="538">
        <v>0.19900000000000001</v>
      </c>
      <c r="G3183" s="539">
        <f>VLOOKUP(D3183,upahbahan,3,FALSE)</f>
        <v>135000</v>
      </c>
      <c r="H3183" s="539">
        <f t="shared" si="331"/>
        <v>26865</v>
      </c>
    </row>
    <row r="3184" spans="3:11" ht="25.8" customHeight="1">
      <c r="C3184" s="818">
        <v>3</v>
      </c>
      <c r="D3184" s="212" t="s">
        <v>18</v>
      </c>
      <c r="E3184" s="212" t="s">
        <v>6</v>
      </c>
      <c r="F3184" s="538">
        <v>0.02</v>
      </c>
      <c r="G3184" s="539">
        <f>VLOOKUP(D3184,upahbahan,3,FALSE)</f>
        <v>150000</v>
      </c>
      <c r="H3184" s="539">
        <f t="shared" si="331"/>
        <v>3000</v>
      </c>
    </row>
    <row r="3185" spans="3:11" ht="25.8" customHeight="1">
      <c r="C3185" s="818">
        <v>4</v>
      </c>
      <c r="D3185" s="212" t="s">
        <v>19</v>
      </c>
      <c r="E3185" s="212" t="s">
        <v>6</v>
      </c>
      <c r="F3185" s="538">
        <v>7.0000000000000001E-3</v>
      </c>
      <c r="G3185" s="539">
        <f>VLOOKUP(D3185,upahbahan,3,FALSE)</f>
        <v>160000</v>
      </c>
      <c r="H3185" s="539">
        <f t="shared" si="331"/>
        <v>1120</v>
      </c>
    </row>
    <row r="3186" spans="3:11" ht="25.8" customHeight="1">
      <c r="C3186" s="702" t="s">
        <v>1208</v>
      </c>
      <c r="D3186" s="208"/>
      <c r="E3186" s="208"/>
      <c r="F3186" s="811"/>
      <c r="G3186" s="522"/>
      <c r="H3186" s="539">
        <f>SUM(H3182:H3185)</f>
        <v>42885</v>
      </c>
      <c r="I3186" s="819"/>
    </row>
    <row r="3187" spans="3:11" ht="25.8" customHeight="1">
      <c r="C3187" s="213" t="s">
        <v>1209</v>
      </c>
      <c r="D3187" s="212" t="s">
        <v>1210</v>
      </c>
      <c r="E3187" s="534"/>
      <c r="F3187" s="831"/>
      <c r="G3187" s="534"/>
      <c r="H3187" s="534"/>
    </row>
    <row r="3188" spans="3:11" ht="25.8" customHeight="1">
      <c r="C3188" s="833" t="s">
        <v>1203</v>
      </c>
      <c r="D3188" s="820" t="s">
        <v>7836</v>
      </c>
      <c r="E3188" s="807" t="s">
        <v>135</v>
      </c>
      <c r="F3188" s="832">
        <v>1.25</v>
      </c>
      <c r="G3188" s="539">
        <f>VLOOKUP(D3188,upahbahan,3,FALSE)</f>
        <v>0</v>
      </c>
      <c r="H3188" s="539">
        <f t="shared" ref="H3188" si="332">F3188*G3188</f>
        <v>0</v>
      </c>
    </row>
    <row r="3189" spans="3:11" ht="25.8" customHeight="1">
      <c r="C3189" s="702" t="s">
        <v>1214</v>
      </c>
      <c r="D3189" s="208"/>
      <c r="E3189" s="208"/>
      <c r="F3189" s="208"/>
      <c r="G3189" s="209"/>
      <c r="H3189" s="539">
        <f>SUM(H3188:H3188)</f>
        <v>0</v>
      </c>
    </row>
    <row r="3190" spans="3:11" ht="25.8" customHeight="1">
      <c r="C3190" s="213" t="s">
        <v>1215</v>
      </c>
      <c r="D3190" s="212" t="s">
        <v>1216</v>
      </c>
      <c r="E3190" s="534"/>
      <c r="F3190" s="534"/>
      <c r="G3190" s="534"/>
      <c r="H3190" s="534"/>
    </row>
    <row r="3191" spans="3:11" ht="25.8" customHeight="1">
      <c r="C3191" s="702" t="s">
        <v>1217</v>
      </c>
      <c r="D3191" s="208"/>
      <c r="E3191" s="208"/>
      <c r="F3191" s="208"/>
      <c r="G3191" s="209"/>
      <c r="H3191" s="821">
        <v>0</v>
      </c>
    </row>
    <row r="3192" spans="3:11" ht="25.8" customHeight="1">
      <c r="C3192" s="566" t="s">
        <v>1218</v>
      </c>
      <c r="D3192" s="552" t="s">
        <v>1219</v>
      </c>
      <c r="E3192" s="553"/>
      <c r="F3192" s="553"/>
      <c r="G3192" s="554"/>
      <c r="H3192" s="826">
        <f>H3191+H3189+H3186</f>
        <v>42885</v>
      </c>
      <c r="I3192" s="827"/>
    </row>
    <row r="3193" spans="3:11" ht="25.8" customHeight="1">
      <c r="C3193" s="566" t="s">
        <v>1220</v>
      </c>
      <c r="D3193" s="552" t="s">
        <v>1321</v>
      </c>
      <c r="E3193" s="553"/>
      <c r="F3193" s="554"/>
      <c r="G3193" s="555">
        <f>$M$9</f>
        <v>0.1</v>
      </c>
      <c r="H3193" s="539">
        <f>H3192*G3193</f>
        <v>4288.5</v>
      </c>
      <c r="I3193" s="827"/>
    </row>
    <row r="3194" spans="3:11" ht="25.8" customHeight="1">
      <c r="C3194" s="566" t="s">
        <v>1221</v>
      </c>
      <c r="D3194" s="552" t="s">
        <v>1222</v>
      </c>
      <c r="E3194" s="553"/>
      <c r="F3194" s="553"/>
      <c r="G3194" s="554"/>
      <c r="H3194" s="828">
        <f>SUM(H3192:H3193)</f>
        <v>47173.5</v>
      </c>
      <c r="I3194" s="827"/>
    </row>
    <row r="3195" spans="3:11" ht="25.8" customHeight="1">
      <c r="C3195" s="572"/>
      <c r="D3195" s="575"/>
      <c r="E3195" s="575"/>
      <c r="F3195" s="575"/>
      <c r="G3195" s="575"/>
      <c r="H3195" s="830"/>
    </row>
    <row r="3196" spans="3:11" ht="25.8" customHeight="1">
      <c r="C3196" s="513" t="s">
        <v>7837</v>
      </c>
      <c r="D3196" s="817" t="s">
        <v>7838</v>
      </c>
      <c r="E3196" s="803"/>
      <c r="F3196" s="803"/>
      <c r="G3196" s="803"/>
      <c r="H3196" s="803"/>
      <c r="I3196" s="533">
        <f>ROUNDDOWN(H3211,-2)</f>
        <v>47100</v>
      </c>
      <c r="J3196" s="536" t="s">
        <v>7804</v>
      </c>
      <c r="K3196" s="824"/>
    </row>
    <row r="3197" spans="3:11" ht="25.8" customHeight="1">
      <c r="C3197" s="716" t="s">
        <v>1195</v>
      </c>
      <c r="D3197" s="716" t="s">
        <v>1196</v>
      </c>
      <c r="E3197" s="716" t="s">
        <v>1197</v>
      </c>
      <c r="F3197" s="716" t="s">
        <v>1198</v>
      </c>
      <c r="G3197" s="716" t="s">
        <v>1199</v>
      </c>
      <c r="H3197" s="716" t="s">
        <v>1200</v>
      </c>
    </row>
    <row r="3198" spans="3:11" ht="25.8" customHeight="1">
      <c r="C3198" s="213" t="s">
        <v>1201</v>
      </c>
      <c r="D3198" s="212" t="s">
        <v>1202</v>
      </c>
      <c r="E3198" s="534"/>
      <c r="F3198" s="534"/>
      <c r="G3198" s="534"/>
      <c r="H3198" s="534"/>
    </row>
    <row r="3199" spans="3:11" ht="25.8" customHeight="1">
      <c r="C3199" s="818">
        <v>1</v>
      </c>
      <c r="D3199" s="212" t="s">
        <v>5</v>
      </c>
      <c r="E3199" s="212" t="s">
        <v>6</v>
      </c>
      <c r="F3199" s="538">
        <v>0.11899999999999999</v>
      </c>
      <c r="G3199" s="539">
        <f>VLOOKUP(D3199,upahbahan,3,FALSE)</f>
        <v>100000</v>
      </c>
      <c r="H3199" s="539">
        <f t="shared" ref="H3199:H3202" si="333">F3199*G3199</f>
        <v>11900</v>
      </c>
    </row>
    <row r="3200" spans="3:11" ht="25.8" customHeight="1">
      <c r="C3200" s="818">
        <v>2</v>
      </c>
      <c r="D3200" s="212" t="s">
        <v>3295</v>
      </c>
      <c r="E3200" s="212" t="s">
        <v>6</v>
      </c>
      <c r="F3200" s="538">
        <v>0.19900000000000001</v>
      </c>
      <c r="G3200" s="539">
        <f>VLOOKUP(D3200,upahbahan,3,FALSE)</f>
        <v>135000</v>
      </c>
      <c r="H3200" s="539">
        <f t="shared" si="333"/>
        <v>26865</v>
      </c>
    </row>
    <row r="3201" spans="3:11" ht="25.8" customHeight="1">
      <c r="C3201" s="818">
        <v>3</v>
      </c>
      <c r="D3201" s="212" t="s">
        <v>18</v>
      </c>
      <c r="E3201" s="212" t="s">
        <v>6</v>
      </c>
      <c r="F3201" s="538">
        <v>0.02</v>
      </c>
      <c r="G3201" s="539">
        <f>VLOOKUP(D3201,upahbahan,3,FALSE)</f>
        <v>150000</v>
      </c>
      <c r="H3201" s="539">
        <f t="shared" si="333"/>
        <v>3000</v>
      </c>
    </row>
    <row r="3202" spans="3:11" ht="25.8" customHeight="1">
      <c r="C3202" s="818">
        <v>4</v>
      </c>
      <c r="D3202" s="212" t="s">
        <v>19</v>
      </c>
      <c r="E3202" s="212" t="s">
        <v>6</v>
      </c>
      <c r="F3202" s="538">
        <v>7.0000000000000001E-3</v>
      </c>
      <c r="G3202" s="539">
        <f>VLOOKUP(D3202,upahbahan,3,FALSE)</f>
        <v>160000</v>
      </c>
      <c r="H3202" s="539">
        <f t="shared" si="333"/>
        <v>1120</v>
      </c>
    </row>
    <row r="3203" spans="3:11" ht="25.8" customHeight="1">
      <c r="C3203" s="702" t="s">
        <v>1208</v>
      </c>
      <c r="D3203" s="208"/>
      <c r="E3203" s="208"/>
      <c r="F3203" s="811"/>
      <c r="G3203" s="522"/>
      <c r="H3203" s="539">
        <f>SUM(H3199:H3202)</f>
        <v>42885</v>
      </c>
      <c r="I3203" s="819"/>
    </row>
    <row r="3204" spans="3:11" ht="25.8" customHeight="1">
      <c r="C3204" s="213" t="s">
        <v>1209</v>
      </c>
      <c r="D3204" s="212" t="s">
        <v>1210</v>
      </c>
      <c r="E3204" s="534"/>
      <c r="F3204" s="831"/>
      <c r="G3204" s="534"/>
      <c r="H3204" s="534"/>
    </row>
    <row r="3205" spans="3:11" ht="25.8" customHeight="1">
      <c r="C3205" s="833" t="s">
        <v>1203</v>
      </c>
      <c r="D3205" s="820" t="s">
        <v>7839</v>
      </c>
      <c r="E3205" s="807" t="s">
        <v>135</v>
      </c>
      <c r="F3205" s="832">
        <v>1.25</v>
      </c>
      <c r="G3205" s="539">
        <f>VLOOKUP(D3205,upahbahan,3,FALSE)</f>
        <v>0</v>
      </c>
      <c r="H3205" s="539">
        <f t="shared" ref="H3205" si="334">F3205*G3205</f>
        <v>0</v>
      </c>
    </row>
    <row r="3206" spans="3:11" ht="25.8" customHeight="1">
      <c r="C3206" s="702" t="s">
        <v>1214</v>
      </c>
      <c r="D3206" s="208"/>
      <c r="E3206" s="208"/>
      <c r="F3206" s="208"/>
      <c r="G3206" s="209"/>
      <c r="H3206" s="539">
        <f>SUM(H3205:H3205)</f>
        <v>0</v>
      </c>
    </row>
    <row r="3207" spans="3:11" ht="25.8" customHeight="1">
      <c r="C3207" s="213" t="s">
        <v>1215</v>
      </c>
      <c r="D3207" s="212" t="s">
        <v>1216</v>
      </c>
      <c r="E3207" s="534"/>
      <c r="F3207" s="534"/>
      <c r="G3207" s="534"/>
      <c r="H3207" s="534"/>
    </row>
    <row r="3208" spans="3:11" ht="25.8" customHeight="1">
      <c r="C3208" s="702" t="s">
        <v>1217</v>
      </c>
      <c r="D3208" s="208"/>
      <c r="E3208" s="208"/>
      <c r="F3208" s="208"/>
      <c r="G3208" s="209"/>
      <c r="H3208" s="821">
        <v>0</v>
      </c>
    </row>
    <row r="3209" spans="3:11" ht="25.8" customHeight="1">
      <c r="C3209" s="566" t="s">
        <v>1218</v>
      </c>
      <c r="D3209" s="552" t="s">
        <v>1219</v>
      </c>
      <c r="E3209" s="553"/>
      <c r="F3209" s="553"/>
      <c r="G3209" s="554"/>
      <c r="H3209" s="826">
        <f>H3208+H3206+H3203</f>
        <v>42885</v>
      </c>
      <c r="I3209" s="827"/>
    </row>
    <row r="3210" spans="3:11" ht="25.8" customHeight="1">
      <c r="C3210" s="566" t="s">
        <v>1220</v>
      </c>
      <c r="D3210" s="552" t="s">
        <v>1321</v>
      </c>
      <c r="E3210" s="553"/>
      <c r="F3210" s="554"/>
      <c r="G3210" s="555">
        <f>$M$9</f>
        <v>0.1</v>
      </c>
      <c r="H3210" s="539">
        <f>H3209*G3210</f>
        <v>4288.5</v>
      </c>
      <c r="I3210" s="827"/>
    </row>
    <row r="3211" spans="3:11" ht="25.8" customHeight="1">
      <c r="C3211" s="566" t="s">
        <v>1221</v>
      </c>
      <c r="D3211" s="552" t="s">
        <v>1222</v>
      </c>
      <c r="E3211" s="553"/>
      <c r="F3211" s="553"/>
      <c r="G3211" s="554"/>
      <c r="H3211" s="828">
        <f>SUM(H3209:H3210)</f>
        <v>47173.5</v>
      </c>
      <c r="I3211" s="827"/>
    </row>
    <row r="3212" spans="3:11" ht="25.8" customHeight="1">
      <c r="C3212" s="572"/>
      <c r="D3212" s="575"/>
      <c r="E3212" s="575"/>
      <c r="F3212" s="575"/>
      <c r="G3212" s="575"/>
      <c r="H3212" s="830"/>
    </row>
    <row r="3213" spans="3:11" ht="25.8" customHeight="1">
      <c r="C3213" s="513" t="s">
        <v>7840</v>
      </c>
      <c r="D3213" s="817" t="s">
        <v>7841</v>
      </c>
      <c r="E3213" s="803"/>
      <c r="F3213" s="803"/>
      <c r="G3213" s="803"/>
      <c r="H3213" s="803"/>
      <c r="I3213" s="533">
        <f>ROUNDDOWN(H3228,-2)</f>
        <v>47100</v>
      </c>
      <c r="J3213" s="536" t="s">
        <v>7804</v>
      </c>
      <c r="K3213" s="824"/>
    </row>
    <row r="3214" spans="3:11" ht="25.8" customHeight="1">
      <c r="C3214" s="716" t="s">
        <v>1195</v>
      </c>
      <c r="D3214" s="716" t="s">
        <v>1196</v>
      </c>
      <c r="E3214" s="716" t="s">
        <v>1197</v>
      </c>
      <c r="F3214" s="716" t="s">
        <v>1198</v>
      </c>
      <c r="G3214" s="716" t="s">
        <v>1199</v>
      </c>
      <c r="H3214" s="716" t="s">
        <v>1200</v>
      </c>
    </row>
    <row r="3215" spans="3:11" ht="25.8" customHeight="1">
      <c r="C3215" s="213" t="s">
        <v>1201</v>
      </c>
      <c r="D3215" s="212" t="s">
        <v>1202</v>
      </c>
      <c r="E3215" s="534"/>
      <c r="F3215" s="534"/>
      <c r="G3215" s="534"/>
      <c r="H3215" s="534"/>
    </row>
    <row r="3216" spans="3:11" ht="25.8" customHeight="1">
      <c r="C3216" s="818">
        <v>1</v>
      </c>
      <c r="D3216" s="212" t="s">
        <v>5</v>
      </c>
      <c r="E3216" s="212" t="s">
        <v>6</v>
      </c>
      <c r="F3216" s="538">
        <v>0.11899999999999999</v>
      </c>
      <c r="G3216" s="539">
        <f>VLOOKUP(D3216,upahbahan,3,FALSE)</f>
        <v>100000</v>
      </c>
      <c r="H3216" s="539">
        <f t="shared" ref="H3216:H3219" si="335">F3216*G3216</f>
        <v>11900</v>
      </c>
    </row>
    <row r="3217" spans="3:11" ht="25.8" customHeight="1">
      <c r="C3217" s="818">
        <v>2</v>
      </c>
      <c r="D3217" s="212" t="s">
        <v>3295</v>
      </c>
      <c r="E3217" s="212" t="s">
        <v>6</v>
      </c>
      <c r="F3217" s="538">
        <v>0.19900000000000001</v>
      </c>
      <c r="G3217" s="539">
        <f>VLOOKUP(D3217,upahbahan,3,FALSE)</f>
        <v>135000</v>
      </c>
      <c r="H3217" s="539">
        <f t="shared" si="335"/>
        <v>26865</v>
      </c>
    </row>
    <row r="3218" spans="3:11" ht="25.8" customHeight="1">
      <c r="C3218" s="818">
        <v>3</v>
      </c>
      <c r="D3218" s="212" t="s">
        <v>18</v>
      </c>
      <c r="E3218" s="212" t="s">
        <v>6</v>
      </c>
      <c r="F3218" s="538">
        <v>0.02</v>
      </c>
      <c r="G3218" s="539">
        <f>VLOOKUP(D3218,upahbahan,3,FALSE)</f>
        <v>150000</v>
      </c>
      <c r="H3218" s="539">
        <f t="shared" si="335"/>
        <v>3000</v>
      </c>
    </row>
    <row r="3219" spans="3:11" ht="25.8" customHeight="1">
      <c r="C3219" s="818">
        <v>4</v>
      </c>
      <c r="D3219" s="212" t="s">
        <v>19</v>
      </c>
      <c r="E3219" s="212" t="s">
        <v>6</v>
      </c>
      <c r="F3219" s="538">
        <v>7.0000000000000001E-3</v>
      </c>
      <c r="G3219" s="539">
        <f>VLOOKUP(D3219,upahbahan,3,FALSE)</f>
        <v>160000</v>
      </c>
      <c r="H3219" s="539">
        <f t="shared" si="335"/>
        <v>1120</v>
      </c>
    </row>
    <row r="3220" spans="3:11" ht="25.8" customHeight="1">
      <c r="C3220" s="702" t="s">
        <v>1208</v>
      </c>
      <c r="D3220" s="208"/>
      <c r="E3220" s="208"/>
      <c r="F3220" s="811"/>
      <c r="G3220" s="522"/>
      <c r="H3220" s="539">
        <f>SUM(H3216:H3219)</f>
        <v>42885</v>
      </c>
      <c r="I3220" s="819"/>
    </row>
    <row r="3221" spans="3:11" ht="25.8" customHeight="1">
      <c r="C3221" s="213" t="s">
        <v>1209</v>
      </c>
      <c r="D3221" s="212" t="s">
        <v>1210</v>
      </c>
      <c r="E3221" s="534"/>
      <c r="F3221" s="831"/>
      <c r="G3221" s="534"/>
      <c r="H3221" s="534"/>
    </row>
    <row r="3222" spans="3:11" ht="25.8" customHeight="1">
      <c r="C3222" s="833" t="s">
        <v>1203</v>
      </c>
      <c r="D3222" s="820" t="s">
        <v>7842</v>
      </c>
      <c r="E3222" s="807" t="s">
        <v>135</v>
      </c>
      <c r="F3222" s="832">
        <v>1.25</v>
      </c>
      <c r="G3222" s="539">
        <f>VLOOKUP(D3222,upahbahan,3,FALSE)</f>
        <v>0</v>
      </c>
      <c r="H3222" s="539">
        <f t="shared" ref="H3222" si="336">F3222*G3222</f>
        <v>0</v>
      </c>
    </row>
    <row r="3223" spans="3:11" ht="25.8" customHeight="1">
      <c r="C3223" s="702" t="s">
        <v>1214</v>
      </c>
      <c r="D3223" s="208"/>
      <c r="E3223" s="208"/>
      <c r="F3223" s="208"/>
      <c r="G3223" s="209"/>
      <c r="H3223" s="539">
        <f>SUM(H3222:H3222)</f>
        <v>0</v>
      </c>
    </row>
    <row r="3224" spans="3:11" ht="25.8" customHeight="1">
      <c r="C3224" s="213" t="s">
        <v>1215</v>
      </c>
      <c r="D3224" s="212" t="s">
        <v>1216</v>
      </c>
      <c r="E3224" s="534"/>
      <c r="F3224" s="534"/>
      <c r="G3224" s="534"/>
      <c r="H3224" s="534"/>
    </row>
    <row r="3225" spans="3:11" ht="25.8" customHeight="1">
      <c r="C3225" s="702" t="s">
        <v>1217</v>
      </c>
      <c r="D3225" s="208"/>
      <c r="E3225" s="208"/>
      <c r="F3225" s="208"/>
      <c r="G3225" s="209"/>
      <c r="H3225" s="821">
        <v>0</v>
      </c>
    </row>
    <row r="3226" spans="3:11" ht="25.8" customHeight="1">
      <c r="C3226" s="566" t="s">
        <v>1218</v>
      </c>
      <c r="D3226" s="552" t="s">
        <v>1219</v>
      </c>
      <c r="E3226" s="553"/>
      <c r="F3226" s="553"/>
      <c r="G3226" s="554"/>
      <c r="H3226" s="826">
        <f>H3225+H3223+H3220</f>
        <v>42885</v>
      </c>
      <c r="I3226" s="827"/>
    </row>
    <row r="3227" spans="3:11" ht="25.8" customHeight="1">
      <c r="C3227" s="566" t="s">
        <v>1220</v>
      </c>
      <c r="D3227" s="552" t="s">
        <v>1321</v>
      </c>
      <c r="E3227" s="553"/>
      <c r="F3227" s="554"/>
      <c r="G3227" s="555">
        <f>$M$9</f>
        <v>0.1</v>
      </c>
      <c r="H3227" s="539">
        <f>H3226*G3227</f>
        <v>4288.5</v>
      </c>
      <c r="I3227" s="827"/>
    </row>
    <row r="3228" spans="3:11" ht="25.8" customHeight="1">
      <c r="C3228" s="566" t="s">
        <v>1221</v>
      </c>
      <c r="D3228" s="552" t="s">
        <v>1222</v>
      </c>
      <c r="E3228" s="553"/>
      <c r="F3228" s="553"/>
      <c r="G3228" s="554"/>
      <c r="H3228" s="828">
        <f>SUM(H3226:H3227)</f>
        <v>47173.5</v>
      </c>
      <c r="I3228" s="827"/>
    </row>
    <row r="3229" spans="3:11" ht="25.8" customHeight="1">
      <c r="C3229" s="572"/>
      <c r="D3229" s="575"/>
      <c r="E3229" s="575"/>
      <c r="F3229" s="575"/>
      <c r="G3229" s="575"/>
      <c r="H3229" s="830"/>
    </row>
    <row r="3230" spans="3:11" ht="25.8" customHeight="1">
      <c r="C3230" s="513" t="s">
        <v>7843</v>
      </c>
      <c r="D3230" s="817" t="s">
        <v>7844</v>
      </c>
      <c r="E3230" s="803"/>
      <c r="F3230" s="803"/>
      <c r="G3230" s="803"/>
      <c r="H3230" s="803"/>
      <c r="I3230" s="533">
        <f>ROUNDDOWN(H3245,-2)</f>
        <v>47100</v>
      </c>
      <c r="J3230" s="536" t="s">
        <v>7804</v>
      </c>
      <c r="K3230" s="824"/>
    </row>
    <row r="3231" spans="3:11" ht="25.8" customHeight="1">
      <c r="C3231" s="716" t="s">
        <v>1195</v>
      </c>
      <c r="D3231" s="716" t="s">
        <v>1196</v>
      </c>
      <c r="E3231" s="716" t="s">
        <v>1197</v>
      </c>
      <c r="F3231" s="716" t="s">
        <v>1198</v>
      </c>
      <c r="G3231" s="716" t="s">
        <v>1199</v>
      </c>
      <c r="H3231" s="716" t="s">
        <v>1200</v>
      </c>
    </row>
    <row r="3232" spans="3:11" ht="25.8" customHeight="1">
      <c r="C3232" s="213" t="s">
        <v>1201</v>
      </c>
      <c r="D3232" s="212" t="s">
        <v>1202</v>
      </c>
      <c r="E3232" s="534"/>
      <c r="F3232" s="534"/>
      <c r="G3232" s="534"/>
      <c r="H3232" s="534"/>
    </row>
    <row r="3233" spans="3:11" ht="25.8" customHeight="1">
      <c r="C3233" s="818">
        <v>1</v>
      </c>
      <c r="D3233" s="212" t="s">
        <v>5</v>
      </c>
      <c r="E3233" s="212" t="s">
        <v>6</v>
      </c>
      <c r="F3233" s="538">
        <v>0.11899999999999999</v>
      </c>
      <c r="G3233" s="539">
        <f>VLOOKUP(D3233,upahbahan,3,FALSE)</f>
        <v>100000</v>
      </c>
      <c r="H3233" s="539">
        <f t="shared" ref="H3233:H3236" si="337">F3233*G3233</f>
        <v>11900</v>
      </c>
    </row>
    <row r="3234" spans="3:11" ht="25.8" customHeight="1">
      <c r="C3234" s="818">
        <v>2</v>
      </c>
      <c r="D3234" s="212" t="s">
        <v>3295</v>
      </c>
      <c r="E3234" s="212" t="s">
        <v>6</v>
      </c>
      <c r="F3234" s="538">
        <v>0.19900000000000001</v>
      </c>
      <c r="G3234" s="539">
        <f>VLOOKUP(D3234,upahbahan,3,FALSE)</f>
        <v>135000</v>
      </c>
      <c r="H3234" s="539">
        <f t="shared" si="337"/>
        <v>26865</v>
      </c>
    </row>
    <row r="3235" spans="3:11" ht="25.8" customHeight="1">
      <c r="C3235" s="818">
        <v>3</v>
      </c>
      <c r="D3235" s="212" t="s">
        <v>18</v>
      </c>
      <c r="E3235" s="212" t="s">
        <v>6</v>
      </c>
      <c r="F3235" s="538">
        <v>0.02</v>
      </c>
      <c r="G3235" s="539">
        <f>VLOOKUP(D3235,upahbahan,3,FALSE)</f>
        <v>150000</v>
      </c>
      <c r="H3235" s="539">
        <f t="shared" si="337"/>
        <v>3000</v>
      </c>
    </row>
    <row r="3236" spans="3:11" ht="25.8" customHeight="1">
      <c r="C3236" s="818">
        <v>4</v>
      </c>
      <c r="D3236" s="212" t="s">
        <v>19</v>
      </c>
      <c r="E3236" s="212" t="s">
        <v>6</v>
      </c>
      <c r="F3236" s="538">
        <v>7.0000000000000001E-3</v>
      </c>
      <c r="G3236" s="539">
        <f>VLOOKUP(D3236,upahbahan,3,FALSE)</f>
        <v>160000</v>
      </c>
      <c r="H3236" s="539">
        <f t="shared" si="337"/>
        <v>1120</v>
      </c>
    </row>
    <row r="3237" spans="3:11" ht="25.8" customHeight="1">
      <c r="C3237" s="702" t="s">
        <v>1208</v>
      </c>
      <c r="D3237" s="208"/>
      <c r="E3237" s="208"/>
      <c r="F3237" s="811"/>
      <c r="G3237" s="522"/>
      <c r="H3237" s="539">
        <f>SUM(H3233:H3236)</f>
        <v>42885</v>
      </c>
      <c r="I3237" s="819"/>
    </row>
    <row r="3238" spans="3:11" ht="25.8" customHeight="1">
      <c r="C3238" s="213" t="s">
        <v>1209</v>
      </c>
      <c r="D3238" s="212" t="s">
        <v>1210</v>
      </c>
      <c r="E3238" s="534"/>
      <c r="F3238" s="831"/>
      <c r="G3238" s="534"/>
      <c r="H3238" s="534"/>
    </row>
    <row r="3239" spans="3:11" ht="25.8" customHeight="1">
      <c r="C3239" s="833" t="s">
        <v>1203</v>
      </c>
      <c r="D3239" s="820" t="s">
        <v>7845</v>
      </c>
      <c r="E3239" s="807" t="s">
        <v>135</v>
      </c>
      <c r="F3239" s="832">
        <v>1.25</v>
      </c>
      <c r="G3239" s="539">
        <f>VLOOKUP(D3239,upahbahan,3,FALSE)</f>
        <v>0</v>
      </c>
      <c r="H3239" s="539">
        <f t="shared" ref="H3239" si="338">F3239*G3239</f>
        <v>0</v>
      </c>
    </row>
    <row r="3240" spans="3:11" ht="25.8" customHeight="1">
      <c r="C3240" s="702" t="s">
        <v>1214</v>
      </c>
      <c r="D3240" s="208"/>
      <c r="E3240" s="208"/>
      <c r="F3240" s="208"/>
      <c r="G3240" s="209"/>
      <c r="H3240" s="539">
        <f>SUM(H3239:H3239)</f>
        <v>0</v>
      </c>
    </row>
    <row r="3241" spans="3:11" ht="25.8" customHeight="1">
      <c r="C3241" s="213" t="s">
        <v>1215</v>
      </c>
      <c r="D3241" s="212" t="s">
        <v>1216</v>
      </c>
      <c r="E3241" s="534"/>
      <c r="F3241" s="534"/>
      <c r="G3241" s="534"/>
      <c r="H3241" s="534"/>
    </row>
    <row r="3242" spans="3:11" ht="25.8" customHeight="1">
      <c r="C3242" s="702" t="s">
        <v>1217</v>
      </c>
      <c r="D3242" s="208"/>
      <c r="E3242" s="208"/>
      <c r="F3242" s="208"/>
      <c r="G3242" s="209"/>
      <c r="H3242" s="821">
        <v>0</v>
      </c>
    </row>
    <row r="3243" spans="3:11" ht="25.8" customHeight="1">
      <c r="C3243" s="566" t="s">
        <v>1218</v>
      </c>
      <c r="D3243" s="552" t="s">
        <v>1219</v>
      </c>
      <c r="E3243" s="553"/>
      <c r="F3243" s="553"/>
      <c r="G3243" s="554"/>
      <c r="H3243" s="826">
        <f>H3242+H3240+H3237</f>
        <v>42885</v>
      </c>
      <c r="I3243" s="827"/>
    </row>
    <row r="3244" spans="3:11" ht="25.8" customHeight="1">
      <c r="C3244" s="566" t="s">
        <v>1220</v>
      </c>
      <c r="D3244" s="552" t="s">
        <v>1321</v>
      </c>
      <c r="E3244" s="553"/>
      <c r="F3244" s="554"/>
      <c r="G3244" s="555">
        <f>$M$9</f>
        <v>0.1</v>
      </c>
      <c r="H3244" s="539">
        <f>H3243*G3244</f>
        <v>4288.5</v>
      </c>
      <c r="I3244" s="827"/>
    </row>
    <row r="3245" spans="3:11" ht="25.8" customHeight="1">
      <c r="C3245" s="566" t="s">
        <v>1221</v>
      </c>
      <c r="D3245" s="552" t="s">
        <v>1222</v>
      </c>
      <c r="E3245" s="553"/>
      <c r="F3245" s="553"/>
      <c r="G3245" s="554"/>
      <c r="H3245" s="828">
        <f>SUM(H3243:H3244)</f>
        <v>47173.5</v>
      </c>
      <c r="I3245" s="827"/>
    </row>
    <row r="3246" spans="3:11" ht="25.8" customHeight="1">
      <c r="C3246" s="572"/>
      <c r="D3246" s="575"/>
      <c r="E3246" s="575"/>
      <c r="F3246" s="575"/>
      <c r="G3246" s="575"/>
      <c r="H3246" s="830"/>
    </row>
    <row r="3247" spans="3:11" ht="25.8" customHeight="1">
      <c r="C3247" s="513" t="s">
        <v>7846</v>
      </c>
      <c r="D3247" s="817" t="s">
        <v>7847</v>
      </c>
      <c r="E3247" s="803"/>
      <c r="F3247" s="803"/>
      <c r="G3247" s="803"/>
      <c r="H3247" s="803"/>
      <c r="I3247" s="533">
        <f>ROUNDDOWN(H3262,-2)</f>
        <v>47100</v>
      </c>
      <c r="J3247" s="536" t="s">
        <v>7804</v>
      </c>
      <c r="K3247" s="824"/>
    </row>
    <row r="3248" spans="3:11" ht="25.8" customHeight="1">
      <c r="C3248" s="716" t="s">
        <v>1195</v>
      </c>
      <c r="D3248" s="716" t="s">
        <v>1196</v>
      </c>
      <c r="E3248" s="716" t="s">
        <v>1197</v>
      </c>
      <c r="F3248" s="716" t="s">
        <v>1198</v>
      </c>
      <c r="G3248" s="716" t="s">
        <v>1199</v>
      </c>
      <c r="H3248" s="716" t="s">
        <v>1200</v>
      </c>
    </row>
    <row r="3249" spans="3:11" ht="25.8" customHeight="1">
      <c r="C3249" s="213" t="s">
        <v>1201</v>
      </c>
      <c r="D3249" s="212" t="s">
        <v>1202</v>
      </c>
      <c r="E3249" s="534"/>
      <c r="F3249" s="534"/>
      <c r="G3249" s="534"/>
      <c r="H3249" s="534"/>
    </row>
    <row r="3250" spans="3:11" ht="25.8" customHeight="1">
      <c r="C3250" s="818">
        <v>1</v>
      </c>
      <c r="D3250" s="212" t="s">
        <v>5</v>
      </c>
      <c r="E3250" s="212" t="s">
        <v>6</v>
      </c>
      <c r="F3250" s="538">
        <v>0.11899999999999999</v>
      </c>
      <c r="G3250" s="539">
        <f>VLOOKUP(D3250,upahbahan,3,FALSE)</f>
        <v>100000</v>
      </c>
      <c r="H3250" s="539">
        <f t="shared" ref="H3250:H3253" si="339">F3250*G3250</f>
        <v>11900</v>
      </c>
    </row>
    <row r="3251" spans="3:11" ht="25.8" customHeight="1">
      <c r="C3251" s="818">
        <v>2</v>
      </c>
      <c r="D3251" s="212" t="s">
        <v>3295</v>
      </c>
      <c r="E3251" s="212" t="s">
        <v>6</v>
      </c>
      <c r="F3251" s="538">
        <v>0.19900000000000001</v>
      </c>
      <c r="G3251" s="539">
        <f>VLOOKUP(D3251,upahbahan,3,FALSE)</f>
        <v>135000</v>
      </c>
      <c r="H3251" s="539">
        <f t="shared" si="339"/>
        <v>26865</v>
      </c>
    </row>
    <row r="3252" spans="3:11" ht="25.8" customHeight="1">
      <c r="C3252" s="818">
        <v>3</v>
      </c>
      <c r="D3252" s="212" t="s">
        <v>18</v>
      </c>
      <c r="E3252" s="212" t="s">
        <v>6</v>
      </c>
      <c r="F3252" s="538">
        <v>0.02</v>
      </c>
      <c r="G3252" s="539">
        <f>VLOOKUP(D3252,upahbahan,3,FALSE)</f>
        <v>150000</v>
      </c>
      <c r="H3252" s="539">
        <f t="shared" si="339"/>
        <v>3000</v>
      </c>
    </row>
    <row r="3253" spans="3:11" ht="25.8" customHeight="1">
      <c r="C3253" s="818">
        <v>4</v>
      </c>
      <c r="D3253" s="212" t="s">
        <v>19</v>
      </c>
      <c r="E3253" s="212" t="s">
        <v>6</v>
      </c>
      <c r="F3253" s="538">
        <v>7.0000000000000001E-3</v>
      </c>
      <c r="G3253" s="539">
        <f>VLOOKUP(D3253,upahbahan,3,FALSE)</f>
        <v>160000</v>
      </c>
      <c r="H3253" s="539">
        <f t="shared" si="339"/>
        <v>1120</v>
      </c>
    </row>
    <row r="3254" spans="3:11" ht="25.8" customHeight="1">
      <c r="C3254" s="702" t="s">
        <v>1208</v>
      </c>
      <c r="D3254" s="208"/>
      <c r="E3254" s="208"/>
      <c r="F3254" s="811"/>
      <c r="G3254" s="522"/>
      <c r="H3254" s="539">
        <f>SUM(H3250:H3253)</f>
        <v>42885</v>
      </c>
      <c r="I3254" s="819"/>
    </row>
    <row r="3255" spans="3:11" ht="25.8" customHeight="1">
      <c r="C3255" s="213" t="s">
        <v>1209</v>
      </c>
      <c r="D3255" s="212" t="s">
        <v>1210</v>
      </c>
      <c r="E3255" s="534"/>
      <c r="F3255" s="831"/>
      <c r="G3255" s="534"/>
      <c r="H3255" s="534"/>
    </row>
    <row r="3256" spans="3:11" ht="25.8" customHeight="1">
      <c r="C3256" s="833" t="s">
        <v>1203</v>
      </c>
      <c r="D3256" s="820" t="s">
        <v>7848</v>
      </c>
      <c r="E3256" s="807" t="s">
        <v>135</v>
      </c>
      <c r="F3256" s="832">
        <v>1.25</v>
      </c>
      <c r="G3256" s="539">
        <f>VLOOKUP(D3256,upahbahan,3,FALSE)</f>
        <v>0</v>
      </c>
      <c r="H3256" s="539">
        <f t="shared" ref="H3256" si="340">F3256*G3256</f>
        <v>0</v>
      </c>
    </row>
    <row r="3257" spans="3:11" ht="25.8" customHeight="1">
      <c r="C3257" s="702" t="s">
        <v>1214</v>
      </c>
      <c r="D3257" s="208"/>
      <c r="E3257" s="208"/>
      <c r="F3257" s="208"/>
      <c r="G3257" s="209"/>
      <c r="H3257" s="539">
        <f>SUM(H3256:H3256)</f>
        <v>0</v>
      </c>
    </row>
    <row r="3258" spans="3:11" ht="25.8" customHeight="1">
      <c r="C3258" s="213" t="s">
        <v>1215</v>
      </c>
      <c r="D3258" s="212" t="s">
        <v>1216</v>
      </c>
      <c r="E3258" s="534"/>
      <c r="F3258" s="534"/>
      <c r="G3258" s="534"/>
      <c r="H3258" s="534"/>
    </row>
    <row r="3259" spans="3:11" ht="25.8" customHeight="1">
      <c r="C3259" s="702" t="s">
        <v>1217</v>
      </c>
      <c r="D3259" s="208"/>
      <c r="E3259" s="208"/>
      <c r="F3259" s="208"/>
      <c r="G3259" s="209"/>
      <c r="H3259" s="821">
        <v>0</v>
      </c>
    </row>
    <row r="3260" spans="3:11" ht="25.8" customHeight="1">
      <c r="C3260" s="566" t="s">
        <v>1218</v>
      </c>
      <c r="D3260" s="552" t="s">
        <v>1219</v>
      </c>
      <c r="E3260" s="553"/>
      <c r="F3260" s="553"/>
      <c r="G3260" s="554"/>
      <c r="H3260" s="826">
        <f>H3259+H3257+H3254</f>
        <v>42885</v>
      </c>
      <c r="I3260" s="827"/>
    </row>
    <row r="3261" spans="3:11" ht="25.8" customHeight="1">
      <c r="C3261" s="566" t="s">
        <v>1220</v>
      </c>
      <c r="D3261" s="552" t="s">
        <v>1321</v>
      </c>
      <c r="E3261" s="553"/>
      <c r="F3261" s="554"/>
      <c r="G3261" s="555">
        <f>$M$9</f>
        <v>0.1</v>
      </c>
      <c r="H3261" s="539">
        <f>H3260*G3261</f>
        <v>4288.5</v>
      </c>
      <c r="I3261" s="827"/>
    </row>
    <row r="3262" spans="3:11" ht="25.8" customHeight="1">
      <c r="C3262" s="566" t="s">
        <v>1221</v>
      </c>
      <c r="D3262" s="552" t="s">
        <v>1222</v>
      </c>
      <c r="E3262" s="553"/>
      <c r="F3262" s="553"/>
      <c r="G3262" s="554"/>
      <c r="H3262" s="828">
        <f>SUM(H3260:H3261)</f>
        <v>47173.5</v>
      </c>
      <c r="I3262" s="827"/>
    </row>
    <row r="3263" spans="3:11" ht="25.8" customHeight="1">
      <c r="C3263" s="572"/>
      <c r="D3263" s="575"/>
      <c r="E3263" s="575"/>
      <c r="F3263" s="575"/>
      <c r="G3263" s="575"/>
      <c r="H3263" s="830"/>
    </row>
    <row r="3264" spans="3:11" ht="25.8" customHeight="1">
      <c r="C3264" s="513" t="s">
        <v>7849</v>
      </c>
      <c r="D3264" s="817" t="s">
        <v>7850</v>
      </c>
      <c r="E3264" s="803"/>
      <c r="F3264" s="803"/>
      <c r="G3264" s="803"/>
      <c r="H3264" s="803"/>
      <c r="I3264" s="533">
        <f>ROUNDDOWN(H3279,-2)</f>
        <v>47100</v>
      </c>
      <c r="J3264" s="536" t="s">
        <v>7804</v>
      </c>
      <c r="K3264" s="824"/>
    </row>
    <row r="3265" spans="3:9" ht="25.8" customHeight="1">
      <c r="C3265" s="716" t="s">
        <v>1195</v>
      </c>
      <c r="D3265" s="716" t="s">
        <v>1196</v>
      </c>
      <c r="E3265" s="716" t="s">
        <v>1197</v>
      </c>
      <c r="F3265" s="716" t="s">
        <v>1198</v>
      </c>
      <c r="G3265" s="716" t="s">
        <v>1199</v>
      </c>
      <c r="H3265" s="716" t="s">
        <v>1200</v>
      </c>
    </row>
    <row r="3266" spans="3:9" ht="25.8" customHeight="1">
      <c r="C3266" s="213" t="s">
        <v>1201</v>
      </c>
      <c r="D3266" s="212" t="s">
        <v>1202</v>
      </c>
      <c r="E3266" s="534"/>
      <c r="F3266" s="534"/>
      <c r="G3266" s="534"/>
      <c r="H3266" s="534"/>
    </row>
    <row r="3267" spans="3:9" ht="25.8" customHeight="1">
      <c r="C3267" s="818">
        <v>1</v>
      </c>
      <c r="D3267" s="212" t="s">
        <v>5</v>
      </c>
      <c r="E3267" s="212" t="s">
        <v>6</v>
      </c>
      <c r="F3267" s="538">
        <v>0.11899999999999999</v>
      </c>
      <c r="G3267" s="539">
        <f>VLOOKUP(D3267,upahbahan,3,FALSE)</f>
        <v>100000</v>
      </c>
      <c r="H3267" s="539">
        <f t="shared" ref="H3267:H3270" si="341">F3267*G3267</f>
        <v>11900</v>
      </c>
    </row>
    <row r="3268" spans="3:9" ht="25.8" customHeight="1">
      <c r="C3268" s="818">
        <v>2</v>
      </c>
      <c r="D3268" s="212" t="s">
        <v>3295</v>
      </c>
      <c r="E3268" s="212" t="s">
        <v>6</v>
      </c>
      <c r="F3268" s="538">
        <v>0.19900000000000001</v>
      </c>
      <c r="G3268" s="539">
        <f>VLOOKUP(D3268,upahbahan,3,FALSE)</f>
        <v>135000</v>
      </c>
      <c r="H3268" s="539">
        <f t="shared" si="341"/>
        <v>26865</v>
      </c>
    </row>
    <row r="3269" spans="3:9" ht="25.8" customHeight="1">
      <c r="C3269" s="818">
        <v>3</v>
      </c>
      <c r="D3269" s="212" t="s">
        <v>18</v>
      </c>
      <c r="E3269" s="212" t="s">
        <v>6</v>
      </c>
      <c r="F3269" s="538">
        <v>0.02</v>
      </c>
      <c r="G3269" s="539">
        <f>VLOOKUP(D3269,upahbahan,3,FALSE)</f>
        <v>150000</v>
      </c>
      <c r="H3269" s="539">
        <f t="shared" si="341"/>
        <v>3000</v>
      </c>
    </row>
    <row r="3270" spans="3:9" ht="25.8" customHeight="1">
      <c r="C3270" s="818">
        <v>4</v>
      </c>
      <c r="D3270" s="212" t="s">
        <v>19</v>
      </c>
      <c r="E3270" s="212" t="s">
        <v>6</v>
      </c>
      <c r="F3270" s="538">
        <v>7.0000000000000001E-3</v>
      </c>
      <c r="G3270" s="539">
        <f>VLOOKUP(D3270,upahbahan,3,FALSE)</f>
        <v>160000</v>
      </c>
      <c r="H3270" s="539">
        <f t="shared" si="341"/>
        <v>1120</v>
      </c>
    </row>
    <row r="3271" spans="3:9" ht="25.8" customHeight="1">
      <c r="C3271" s="702" t="s">
        <v>1208</v>
      </c>
      <c r="D3271" s="208"/>
      <c r="E3271" s="208"/>
      <c r="F3271" s="811"/>
      <c r="G3271" s="522"/>
      <c r="H3271" s="539">
        <f>SUM(H3267:H3270)</f>
        <v>42885</v>
      </c>
      <c r="I3271" s="819"/>
    </row>
    <row r="3272" spans="3:9" ht="25.8" customHeight="1">
      <c r="C3272" s="213" t="s">
        <v>1209</v>
      </c>
      <c r="D3272" s="212" t="s">
        <v>1210</v>
      </c>
      <c r="E3272" s="534"/>
      <c r="F3272" s="831"/>
      <c r="G3272" s="534"/>
      <c r="H3272" s="534"/>
    </row>
    <row r="3273" spans="3:9" ht="25.8" customHeight="1">
      <c r="C3273" s="833" t="s">
        <v>1203</v>
      </c>
      <c r="D3273" s="820" t="s">
        <v>7851</v>
      </c>
      <c r="E3273" s="807" t="s">
        <v>135</v>
      </c>
      <c r="F3273" s="832">
        <v>1.25</v>
      </c>
      <c r="G3273" s="539">
        <f>VLOOKUP(D3273,upahbahan,3,FALSE)</f>
        <v>0</v>
      </c>
      <c r="H3273" s="539">
        <f t="shared" ref="H3273" si="342">F3273*G3273</f>
        <v>0</v>
      </c>
    </row>
    <row r="3274" spans="3:9" ht="25.8" customHeight="1">
      <c r="C3274" s="702" t="s">
        <v>1214</v>
      </c>
      <c r="D3274" s="208"/>
      <c r="E3274" s="208"/>
      <c r="F3274" s="208"/>
      <c r="G3274" s="209"/>
      <c r="H3274" s="539">
        <f>SUM(H3273:H3273)</f>
        <v>0</v>
      </c>
    </row>
    <row r="3275" spans="3:9" ht="25.8" customHeight="1">
      <c r="C3275" s="213" t="s">
        <v>1215</v>
      </c>
      <c r="D3275" s="212" t="s">
        <v>1216</v>
      </c>
      <c r="E3275" s="534"/>
      <c r="F3275" s="534"/>
      <c r="G3275" s="534"/>
      <c r="H3275" s="534"/>
    </row>
    <row r="3276" spans="3:9" ht="25.8" customHeight="1">
      <c r="C3276" s="702" t="s">
        <v>1217</v>
      </c>
      <c r="D3276" s="208"/>
      <c r="E3276" s="208"/>
      <c r="F3276" s="208"/>
      <c r="G3276" s="209"/>
      <c r="H3276" s="821">
        <v>0</v>
      </c>
    </row>
    <row r="3277" spans="3:9" ht="25.8" customHeight="1">
      <c r="C3277" s="566" t="s">
        <v>1218</v>
      </c>
      <c r="D3277" s="552" t="s">
        <v>1219</v>
      </c>
      <c r="E3277" s="553"/>
      <c r="F3277" s="553"/>
      <c r="G3277" s="554"/>
      <c r="H3277" s="826">
        <f>H3276+H3274+H3271</f>
        <v>42885</v>
      </c>
      <c r="I3277" s="827"/>
    </row>
    <row r="3278" spans="3:9" ht="25.8" customHeight="1">
      <c r="C3278" s="566" t="s">
        <v>1220</v>
      </c>
      <c r="D3278" s="552" t="s">
        <v>1321</v>
      </c>
      <c r="E3278" s="553"/>
      <c r="F3278" s="554"/>
      <c r="G3278" s="555">
        <f>$M$9</f>
        <v>0.1</v>
      </c>
      <c r="H3278" s="539">
        <f>H3277*G3278</f>
        <v>4288.5</v>
      </c>
      <c r="I3278" s="827"/>
    </row>
    <row r="3279" spans="3:9" ht="25.8" customHeight="1">
      <c r="C3279" s="566" t="s">
        <v>1221</v>
      </c>
      <c r="D3279" s="552" t="s">
        <v>1222</v>
      </c>
      <c r="E3279" s="553"/>
      <c r="F3279" s="553"/>
      <c r="G3279" s="554"/>
      <c r="H3279" s="828">
        <f>SUM(H3277:H3278)</f>
        <v>47173.5</v>
      </c>
      <c r="I3279" s="827"/>
    </row>
    <row r="3280" spans="3:9" ht="25.8" customHeight="1">
      <c r="C3280" s="572"/>
      <c r="D3280" s="575"/>
      <c r="E3280" s="575"/>
      <c r="F3280" s="575"/>
      <c r="G3280" s="575"/>
      <c r="H3280" s="830"/>
    </row>
    <row r="3281" spans="3:11" ht="25.8" customHeight="1">
      <c r="C3281" s="513" t="s">
        <v>7852</v>
      </c>
      <c r="D3281" s="817" t="s">
        <v>7853</v>
      </c>
      <c r="E3281" s="803"/>
      <c r="F3281" s="803"/>
      <c r="G3281" s="803"/>
      <c r="H3281" s="803"/>
      <c r="I3281" s="533">
        <f>ROUNDDOWN(H3296,-2)</f>
        <v>47100</v>
      </c>
      <c r="J3281" s="536" t="s">
        <v>7804</v>
      </c>
      <c r="K3281" s="824"/>
    </row>
    <row r="3282" spans="3:11" ht="25.8" customHeight="1">
      <c r="C3282" s="716" t="s">
        <v>1195</v>
      </c>
      <c r="D3282" s="716" t="s">
        <v>1196</v>
      </c>
      <c r="E3282" s="716" t="s">
        <v>1197</v>
      </c>
      <c r="F3282" s="716" t="s">
        <v>1198</v>
      </c>
      <c r="G3282" s="716" t="s">
        <v>1199</v>
      </c>
      <c r="H3282" s="716" t="s">
        <v>1200</v>
      </c>
    </row>
    <row r="3283" spans="3:11" ht="25.8" customHeight="1">
      <c r="C3283" s="213" t="s">
        <v>1201</v>
      </c>
      <c r="D3283" s="212" t="s">
        <v>1202</v>
      </c>
      <c r="E3283" s="534"/>
      <c r="F3283" s="534"/>
      <c r="G3283" s="534"/>
      <c r="H3283" s="534"/>
    </row>
    <row r="3284" spans="3:11" ht="25.8" customHeight="1">
      <c r="C3284" s="818">
        <v>1</v>
      </c>
      <c r="D3284" s="212" t="s">
        <v>5</v>
      </c>
      <c r="E3284" s="212" t="s">
        <v>6</v>
      </c>
      <c r="F3284" s="538">
        <v>0.11899999999999999</v>
      </c>
      <c r="G3284" s="539">
        <f>VLOOKUP(D3284,upahbahan,3,FALSE)</f>
        <v>100000</v>
      </c>
      <c r="H3284" s="539">
        <f t="shared" ref="H3284:H3287" si="343">F3284*G3284</f>
        <v>11900</v>
      </c>
    </row>
    <row r="3285" spans="3:11" ht="25.8" customHeight="1">
      <c r="C3285" s="818">
        <v>2</v>
      </c>
      <c r="D3285" s="212" t="s">
        <v>3295</v>
      </c>
      <c r="E3285" s="212" t="s">
        <v>6</v>
      </c>
      <c r="F3285" s="538">
        <v>0.19900000000000001</v>
      </c>
      <c r="G3285" s="539">
        <f>VLOOKUP(D3285,upahbahan,3,FALSE)</f>
        <v>135000</v>
      </c>
      <c r="H3285" s="539">
        <f t="shared" si="343"/>
        <v>26865</v>
      </c>
    </row>
    <row r="3286" spans="3:11" ht="25.8" customHeight="1">
      <c r="C3286" s="818">
        <v>3</v>
      </c>
      <c r="D3286" s="212" t="s">
        <v>18</v>
      </c>
      <c r="E3286" s="212" t="s">
        <v>6</v>
      </c>
      <c r="F3286" s="538">
        <v>0.02</v>
      </c>
      <c r="G3286" s="539">
        <f>VLOOKUP(D3286,upahbahan,3,FALSE)</f>
        <v>150000</v>
      </c>
      <c r="H3286" s="539">
        <f t="shared" si="343"/>
        <v>3000</v>
      </c>
    </row>
    <row r="3287" spans="3:11" ht="25.8" customHeight="1">
      <c r="C3287" s="818">
        <v>4</v>
      </c>
      <c r="D3287" s="212" t="s">
        <v>19</v>
      </c>
      <c r="E3287" s="212" t="s">
        <v>6</v>
      </c>
      <c r="F3287" s="538">
        <v>7.0000000000000001E-3</v>
      </c>
      <c r="G3287" s="539">
        <f>VLOOKUP(D3287,upahbahan,3,FALSE)</f>
        <v>160000</v>
      </c>
      <c r="H3287" s="539">
        <f t="shared" si="343"/>
        <v>1120</v>
      </c>
    </row>
    <row r="3288" spans="3:11" ht="25.8" customHeight="1">
      <c r="C3288" s="702" t="s">
        <v>1208</v>
      </c>
      <c r="D3288" s="208"/>
      <c r="E3288" s="208"/>
      <c r="F3288" s="811"/>
      <c r="G3288" s="522"/>
      <c r="H3288" s="539">
        <f>SUM(H3284:H3287)</f>
        <v>42885</v>
      </c>
      <c r="I3288" s="819"/>
    </row>
    <row r="3289" spans="3:11" ht="25.8" customHeight="1">
      <c r="C3289" s="213" t="s">
        <v>1209</v>
      </c>
      <c r="D3289" s="212" t="s">
        <v>1210</v>
      </c>
      <c r="E3289" s="534"/>
      <c r="F3289" s="831"/>
      <c r="G3289" s="534"/>
      <c r="H3289" s="534"/>
    </row>
    <row r="3290" spans="3:11" ht="25.8" customHeight="1">
      <c r="C3290" s="833" t="s">
        <v>1203</v>
      </c>
      <c r="D3290" s="820" t="s">
        <v>7854</v>
      </c>
      <c r="E3290" s="807" t="s">
        <v>135</v>
      </c>
      <c r="F3290" s="832">
        <v>1.25</v>
      </c>
      <c r="G3290" s="539">
        <f>VLOOKUP(D3290,upahbahan,3,FALSE)</f>
        <v>0</v>
      </c>
      <c r="H3290" s="539">
        <f t="shared" ref="H3290" si="344">F3290*G3290</f>
        <v>0</v>
      </c>
    </row>
    <row r="3291" spans="3:11" ht="25.8" customHeight="1">
      <c r="C3291" s="702" t="s">
        <v>1214</v>
      </c>
      <c r="D3291" s="208"/>
      <c r="E3291" s="208"/>
      <c r="F3291" s="208"/>
      <c r="G3291" s="209"/>
      <c r="H3291" s="539">
        <f>SUM(H3290:H3290)</f>
        <v>0</v>
      </c>
    </row>
    <row r="3292" spans="3:11" ht="25.8" customHeight="1">
      <c r="C3292" s="213" t="s">
        <v>1215</v>
      </c>
      <c r="D3292" s="212" t="s">
        <v>1216</v>
      </c>
      <c r="E3292" s="534"/>
      <c r="F3292" s="534"/>
      <c r="G3292" s="534"/>
      <c r="H3292" s="534"/>
    </row>
    <row r="3293" spans="3:11" ht="25.8" customHeight="1">
      <c r="C3293" s="702" t="s">
        <v>1217</v>
      </c>
      <c r="D3293" s="208"/>
      <c r="E3293" s="208"/>
      <c r="F3293" s="208"/>
      <c r="G3293" s="209"/>
      <c r="H3293" s="821">
        <v>0</v>
      </c>
    </row>
    <row r="3294" spans="3:11" ht="25.8" customHeight="1">
      <c r="C3294" s="566" t="s">
        <v>1218</v>
      </c>
      <c r="D3294" s="552" t="s">
        <v>1219</v>
      </c>
      <c r="E3294" s="553"/>
      <c r="F3294" s="553"/>
      <c r="G3294" s="554"/>
      <c r="H3294" s="826">
        <f>H3293+H3291+H3288</f>
        <v>42885</v>
      </c>
      <c r="I3294" s="827"/>
    </row>
    <row r="3295" spans="3:11" ht="25.8" customHeight="1">
      <c r="C3295" s="566" t="s">
        <v>1220</v>
      </c>
      <c r="D3295" s="552" t="s">
        <v>1321</v>
      </c>
      <c r="E3295" s="553"/>
      <c r="F3295" s="554"/>
      <c r="G3295" s="555">
        <f>$M$9</f>
        <v>0.1</v>
      </c>
      <c r="H3295" s="539">
        <f>H3294*G3295</f>
        <v>4288.5</v>
      </c>
      <c r="I3295" s="827"/>
    </row>
    <row r="3296" spans="3:11" ht="25.8" customHeight="1">
      <c r="C3296" s="566" t="s">
        <v>1221</v>
      </c>
      <c r="D3296" s="552" t="s">
        <v>1222</v>
      </c>
      <c r="E3296" s="553"/>
      <c r="F3296" s="553"/>
      <c r="G3296" s="554"/>
      <c r="H3296" s="828">
        <f>SUM(H3294:H3295)</f>
        <v>47173.5</v>
      </c>
      <c r="I3296" s="827"/>
    </row>
    <row r="3297" spans="3:11" ht="25.8" customHeight="1">
      <c r="C3297" s="572"/>
      <c r="D3297" s="575"/>
      <c r="E3297" s="575"/>
      <c r="F3297" s="575"/>
      <c r="G3297" s="575"/>
      <c r="H3297" s="830"/>
    </row>
    <row r="3298" spans="3:11" ht="25.8" customHeight="1">
      <c r="C3298" s="513" t="s">
        <v>7855</v>
      </c>
      <c r="D3298" s="817" t="s">
        <v>7856</v>
      </c>
      <c r="E3298" s="803"/>
      <c r="F3298" s="803"/>
      <c r="G3298" s="803"/>
      <c r="H3298" s="803"/>
      <c r="I3298" s="533">
        <f>ROUNDDOWN(H3313,-2)</f>
        <v>47100</v>
      </c>
      <c r="J3298" s="536" t="s">
        <v>7804</v>
      </c>
      <c r="K3298" s="824"/>
    </row>
    <row r="3299" spans="3:11" ht="25.8" customHeight="1">
      <c r="C3299" s="716" t="s">
        <v>1195</v>
      </c>
      <c r="D3299" s="716" t="s">
        <v>1196</v>
      </c>
      <c r="E3299" s="716" t="s">
        <v>1197</v>
      </c>
      <c r="F3299" s="716" t="s">
        <v>1198</v>
      </c>
      <c r="G3299" s="716" t="s">
        <v>1199</v>
      </c>
      <c r="H3299" s="716" t="s">
        <v>1200</v>
      </c>
    </row>
    <row r="3300" spans="3:11" ht="25.8" customHeight="1">
      <c r="C3300" s="213" t="s">
        <v>1201</v>
      </c>
      <c r="D3300" s="212" t="s">
        <v>1202</v>
      </c>
      <c r="E3300" s="534"/>
      <c r="F3300" s="534"/>
      <c r="G3300" s="534"/>
      <c r="H3300" s="534"/>
    </row>
    <row r="3301" spans="3:11" ht="25.8" customHeight="1">
      <c r="C3301" s="818">
        <v>1</v>
      </c>
      <c r="D3301" s="212" t="s">
        <v>5</v>
      </c>
      <c r="E3301" s="212" t="s">
        <v>6</v>
      </c>
      <c r="F3301" s="538">
        <v>0.11899999999999999</v>
      </c>
      <c r="G3301" s="539">
        <f>VLOOKUP(D3301,upahbahan,3,FALSE)</f>
        <v>100000</v>
      </c>
      <c r="H3301" s="539">
        <f t="shared" ref="H3301:H3304" si="345">F3301*G3301</f>
        <v>11900</v>
      </c>
    </row>
    <row r="3302" spans="3:11" ht="25.8" customHeight="1">
      <c r="C3302" s="818">
        <v>2</v>
      </c>
      <c r="D3302" s="212" t="s">
        <v>3295</v>
      </c>
      <c r="E3302" s="212" t="s">
        <v>6</v>
      </c>
      <c r="F3302" s="538">
        <v>0.19900000000000001</v>
      </c>
      <c r="G3302" s="539">
        <f>VLOOKUP(D3302,upahbahan,3,FALSE)</f>
        <v>135000</v>
      </c>
      <c r="H3302" s="539">
        <f t="shared" si="345"/>
        <v>26865</v>
      </c>
    </row>
    <row r="3303" spans="3:11" ht="25.8" customHeight="1">
      <c r="C3303" s="818">
        <v>3</v>
      </c>
      <c r="D3303" s="212" t="s">
        <v>18</v>
      </c>
      <c r="E3303" s="212" t="s">
        <v>6</v>
      </c>
      <c r="F3303" s="538">
        <v>0.02</v>
      </c>
      <c r="G3303" s="539">
        <f>VLOOKUP(D3303,upahbahan,3,FALSE)</f>
        <v>150000</v>
      </c>
      <c r="H3303" s="539">
        <f t="shared" si="345"/>
        <v>3000</v>
      </c>
    </row>
    <row r="3304" spans="3:11" ht="25.8" customHeight="1">
      <c r="C3304" s="818">
        <v>4</v>
      </c>
      <c r="D3304" s="212" t="s">
        <v>19</v>
      </c>
      <c r="E3304" s="212" t="s">
        <v>6</v>
      </c>
      <c r="F3304" s="538">
        <v>7.0000000000000001E-3</v>
      </c>
      <c r="G3304" s="539">
        <f>VLOOKUP(D3304,upahbahan,3,FALSE)</f>
        <v>160000</v>
      </c>
      <c r="H3304" s="539">
        <f t="shared" si="345"/>
        <v>1120</v>
      </c>
    </row>
    <row r="3305" spans="3:11" ht="25.8" customHeight="1">
      <c r="C3305" s="702" t="s">
        <v>1208</v>
      </c>
      <c r="D3305" s="208"/>
      <c r="E3305" s="208"/>
      <c r="F3305" s="811"/>
      <c r="G3305" s="522"/>
      <c r="H3305" s="539">
        <f>SUM(H3301:H3304)</f>
        <v>42885</v>
      </c>
      <c r="I3305" s="819"/>
    </row>
    <row r="3306" spans="3:11" ht="25.8" customHeight="1">
      <c r="C3306" s="213" t="s">
        <v>1209</v>
      </c>
      <c r="D3306" s="212" t="s">
        <v>1210</v>
      </c>
      <c r="E3306" s="534"/>
      <c r="F3306" s="831"/>
      <c r="G3306" s="534"/>
      <c r="H3306" s="534"/>
    </row>
    <row r="3307" spans="3:11" ht="25.8" customHeight="1">
      <c r="C3307" s="833" t="s">
        <v>1203</v>
      </c>
      <c r="D3307" s="820" t="s">
        <v>7857</v>
      </c>
      <c r="E3307" s="807" t="s">
        <v>135</v>
      </c>
      <c r="F3307" s="832">
        <v>1.25</v>
      </c>
      <c r="G3307" s="539">
        <f>VLOOKUP(D3307,upahbahan,3,FALSE)</f>
        <v>0</v>
      </c>
      <c r="H3307" s="539">
        <f t="shared" ref="H3307" si="346">F3307*G3307</f>
        <v>0</v>
      </c>
    </row>
    <row r="3308" spans="3:11" ht="25.8" customHeight="1">
      <c r="C3308" s="702" t="s">
        <v>1214</v>
      </c>
      <c r="D3308" s="208"/>
      <c r="E3308" s="208"/>
      <c r="F3308" s="208"/>
      <c r="G3308" s="209"/>
      <c r="H3308" s="539">
        <f>SUM(H3307:H3307)</f>
        <v>0</v>
      </c>
    </row>
    <row r="3309" spans="3:11" ht="25.8" customHeight="1">
      <c r="C3309" s="213" t="s">
        <v>1215</v>
      </c>
      <c r="D3309" s="212" t="s">
        <v>1216</v>
      </c>
      <c r="E3309" s="534"/>
      <c r="F3309" s="534"/>
      <c r="G3309" s="534"/>
      <c r="H3309" s="534"/>
    </row>
    <row r="3310" spans="3:11" ht="25.8" customHeight="1">
      <c r="C3310" s="702" t="s">
        <v>1217</v>
      </c>
      <c r="D3310" s="208"/>
      <c r="E3310" s="208"/>
      <c r="F3310" s="208"/>
      <c r="G3310" s="209"/>
      <c r="H3310" s="821">
        <v>0</v>
      </c>
    </row>
    <row r="3311" spans="3:11" ht="25.8" customHeight="1">
      <c r="C3311" s="566" t="s">
        <v>1218</v>
      </c>
      <c r="D3311" s="552" t="s">
        <v>1219</v>
      </c>
      <c r="E3311" s="553"/>
      <c r="F3311" s="553"/>
      <c r="G3311" s="554"/>
      <c r="H3311" s="826">
        <f>H3310+H3308+H3305</f>
        <v>42885</v>
      </c>
      <c r="I3311" s="827"/>
    </row>
    <row r="3312" spans="3:11" ht="25.8" customHeight="1">
      <c r="C3312" s="566" t="s">
        <v>1220</v>
      </c>
      <c r="D3312" s="552" t="s">
        <v>1321</v>
      </c>
      <c r="E3312" s="553"/>
      <c r="F3312" s="554"/>
      <c r="G3312" s="555">
        <f>$M$9</f>
        <v>0.1</v>
      </c>
      <c r="H3312" s="539">
        <f>H3311*G3312</f>
        <v>4288.5</v>
      </c>
      <c r="I3312" s="827"/>
    </row>
    <row r="3313" spans="3:11" ht="25.8" customHeight="1">
      <c r="C3313" s="566" t="s">
        <v>1221</v>
      </c>
      <c r="D3313" s="552" t="s">
        <v>1222</v>
      </c>
      <c r="E3313" s="553"/>
      <c r="F3313" s="553"/>
      <c r="G3313" s="554"/>
      <c r="H3313" s="828">
        <f>SUM(H3311:H3312)</f>
        <v>47173.5</v>
      </c>
      <c r="I3313" s="827"/>
    </row>
    <row r="3314" spans="3:11" ht="25.8" customHeight="1">
      <c r="C3314" s="572"/>
      <c r="D3314" s="575"/>
      <c r="E3314" s="575"/>
      <c r="F3314" s="575"/>
      <c r="G3314" s="575"/>
      <c r="H3314" s="830"/>
    </row>
    <row r="3315" spans="3:11" ht="25.8" customHeight="1">
      <c r="C3315" s="513" t="s">
        <v>7858</v>
      </c>
      <c r="D3315" s="817" t="s">
        <v>7859</v>
      </c>
      <c r="E3315" s="803"/>
      <c r="F3315" s="803"/>
      <c r="G3315" s="803"/>
      <c r="H3315" s="803"/>
      <c r="I3315" s="533">
        <f>ROUNDDOWN(H3330,-2)</f>
        <v>47100</v>
      </c>
      <c r="J3315" s="536" t="s">
        <v>7804</v>
      </c>
      <c r="K3315" s="824"/>
    </row>
    <row r="3316" spans="3:11" ht="25.8" customHeight="1">
      <c r="C3316" s="716" t="s">
        <v>1195</v>
      </c>
      <c r="D3316" s="716" t="s">
        <v>1196</v>
      </c>
      <c r="E3316" s="716" t="s">
        <v>1197</v>
      </c>
      <c r="F3316" s="716" t="s">
        <v>1198</v>
      </c>
      <c r="G3316" s="716" t="s">
        <v>1199</v>
      </c>
      <c r="H3316" s="716" t="s">
        <v>1200</v>
      </c>
    </row>
    <row r="3317" spans="3:11" ht="25.8" customHeight="1">
      <c r="C3317" s="213" t="s">
        <v>1201</v>
      </c>
      <c r="D3317" s="212" t="s">
        <v>1202</v>
      </c>
      <c r="E3317" s="534"/>
      <c r="F3317" s="534"/>
      <c r="G3317" s="534"/>
      <c r="H3317" s="534"/>
    </row>
    <row r="3318" spans="3:11" ht="25.8" customHeight="1">
      <c r="C3318" s="818">
        <v>1</v>
      </c>
      <c r="D3318" s="212" t="s">
        <v>5</v>
      </c>
      <c r="E3318" s="212" t="s">
        <v>6</v>
      </c>
      <c r="F3318" s="538">
        <v>0.11899999999999999</v>
      </c>
      <c r="G3318" s="539">
        <f>VLOOKUP(D3318,upahbahan,3,FALSE)</f>
        <v>100000</v>
      </c>
      <c r="H3318" s="539">
        <f t="shared" ref="H3318:H3321" si="347">F3318*G3318</f>
        <v>11900</v>
      </c>
    </row>
    <row r="3319" spans="3:11" ht="25.8" customHeight="1">
      <c r="C3319" s="818">
        <v>2</v>
      </c>
      <c r="D3319" s="212" t="s">
        <v>3295</v>
      </c>
      <c r="E3319" s="212" t="s">
        <v>6</v>
      </c>
      <c r="F3319" s="538">
        <v>0.19900000000000001</v>
      </c>
      <c r="G3319" s="539">
        <f>VLOOKUP(D3319,upahbahan,3,FALSE)</f>
        <v>135000</v>
      </c>
      <c r="H3319" s="539">
        <f t="shared" si="347"/>
        <v>26865</v>
      </c>
    </row>
    <row r="3320" spans="3:11" ht="25.8" customHeight="1">
      <c r="C3320" s="818">
        <v>3</v>
      </c>
      <c r="D3320" s="212" t="s">
        <v>18</v>
      </c>
      <c r="E3320" s="212" t="s">
        <v>6</v>
      </c>
      <c r="F3320" s="538">
        <v>0.02</v>
      </c>
      <c r="G3320" s="539">
        <f>VLOOKUP(D3320,upahbahan,3,FALSE)</f>
        <v>150000</v>
      </c>
      <c r="H3320" s="539">
        <f t="shared" si="347"/>
        <v>3000</v>
      </c>
    </row>
    <row r="3321" spans="3:11" ht="25.8" customHeight="1">
      <c r="C3321" s="818">
        <v>4</v>
      </c>
      <c r="D3321" s="212" t="s">
        <v>19</v>
      </c>
      <c r="E3321" s="212" t="s">
        <v>6</v>
      </c>
      <c r="F3321" s="538">
        <v>7.0000000000000001E-3</v>
      </c>
      <c r="G3321" s="539">
        <f>VLOOKUP(D3321,upahbahan,3,FALSE)</f>
        <v>160000</v>
      </c>
      <c r="H3321" s="539">
        <f t="shared" si="347"/>
        <v>1120</v>
      </c>
    </row>
    <row r="3322" spans="3:11" ht="25.8" customHeight="1">
      <c r="C3322" s="702" t="s">
        <v>1208</v>
      </c>
      <c r="D3322" s="208"/>
      <c r="E3322" s="208"/>
      <c r="F3322" s="811"/>
      <c r="G3322" s="522"/>
      <c r="H3322" s="539">
        <f>SUM(H3318:H3321)</f>
        <v>42885</v>
      </c>
      <c r="I3322" s="819"/>
    </row>
    <row r="3323" spans="3:11" ht="25.8" customHeight="1">
      <c r="C3323" s="213" t="s">
        <v>1209</v>
      </c>
      <c r="D3323" s="212" t="s">
        <v>1210</v>
      </c>
      <c r="E3323" s="534"/>
      <c r="F3323" s="831"/>
      <c r="G3323" s="534"/>
      <c r="H3323" s="534"/>
    </row>
    <row r="3324" spans="3:11" ht="25.8" customHeight="1">
      <c r="C3324" s="833" t="s">
        <v>1203</v>
      </c>
      <c r="D3324" s="820" t="s">
        <v>7861</v>
      </c>
      <c r="E3324" s="807" t="s">
        <v>135</v>
      </c>
      <c r="F3324" s="832">
        <v>1.25</v>
      </c>
      <c r="G3324" s="539">
        <f>VLOOKUP(D3324,upahbahan,3,FALSE)</f>
        <v>0</v>
      </c>
      <c r="H3324" s="539">
        <f t="shared" ref="H3324" si="348">F3324*G3324</f>
        <v>0</v>
      </c>
    </row>
    <row r="3325" spans="3:11" ht="25.8" customHeight="1">
      <c r="C3325" s="702" t="s">
        <v>1214</v>
      </c>
      <c r="D3325" s="208"/>
      <c r="E3325" s="208"/>
      <c r="F3325" s="208"/>
      <c r="G3325" s="209"/>
      <c r="H3325" s="539">
        <f>SUM(H3324:H3324)</f>
        <v>0</v>
      </c>
    </row>
    <row r="3326" spans="3:11" ht="25.8" customHeight="1">
      <c r="C3326" s="213" t="s">
        <v>1215</v>
      </c>
      <c r="D3326" s="212" t="s">
        <v>1216</v>
      </c>
      <c r="E3326" s="534"/>
      <c r="F3326" s="534"/>
      <c r="G3326" s="534"/>
      <c r="H3326" s="534"/>
    </row>
    <row r="3327" spans="3:11" ht="25.8" customHeight="1">
      <c r="C3327" s="702" t="s">
        <v>1217</v>
      </c>
      <c r="D3327" s="208"/>
      <c r="E3327" s="208"/>
      <c r="F3327" s="208"/>
      <c r="G3327" s="209"/>
      <c r="H3327" s="821">
        <v>0</v>
      </c>
    </row>
    <row r="3328" spans="3:11" ht="25.8" customHeight="1">
      <c r="C3328" s="566" t="s">
        <v>1218</v>
      </c>
      <c r="D3328" s="552" t="s">
        <v>1219</v>
      </c>
      <c r="E3328" s="553"/>
      <c r="F3328" s="553"/>
      <c r="G3328" s="554"/>
      <c r="H3328" s="826">
        <f>H3327+H3325+H3322</f>
        <v>42885</v>
      </c>
      <c r="I3328" s="827"/>
    </row>
    <row r="3329" spans="3:11" ht="25.8" customHeight="1">
      <c r="C3329" s="566" t="s">
        <v>1220</v>
      </c>
      <c r="D3329" s="552" t="s">
        <v>1321</v>
      </c>
      <c r="E3329" s="553"/>
      <c r="F3329" s="554"/>
      <c r="G3329" s="555">
        <f>$M$9</f>
        <v>0.1</v>
      </c>
      <c r="H3329" s="539">
        <f>H3328*G3329</f>
        <v>4288.5</v>
      </c>
      <c r="I3329" s="827"/>
    </row>
    <row r="3330" spans="3:11" ht="25.8" customHeight="1">
      <c r="C3330" s="566" t="s">
        <v>1221</v>
      </c>
      <c r="D3330" s="552" t="s">
        <v>1222</v>
      </c>
      <c r="E3330" s="553"/>
      <c r="F3330" s="553"/>
      <c r="G3330" s="554"/>
      <c r="H3330" s="828">
        <f>SUM(H3328:H3329)</f>
        <v>47173.5</v>
      </c>
      <c r="I3330" s="827"/>
    </row>
    <row r="3331" spans="3:11" ht="25.8" customHeight="1">
      <c r="C3331" s="572"/>
      <c r="D3331" s="575"/>
      <c r="E3331" s="575"/>
      <c r="F3331" s="575"/>
      <c r="G3331" s="575"/>
      <c r="H3331" s="830"/>
    </row>
    <row r="3332" spans="3:11" ht="25.8" customHeight="1">
      <c r="C3332" s="513" t="s">
        <v>7860</v>
      </c>
      <c r="D3332" s="817" t="s">
        <v>7862</v>
      </c>
      <c r="E3332" s="803"/>
      <c r="F3332" s="803"/>
      <c r="G3332" s="803"/>
      <c r="H3332" s="803"/>
      <c r="I3332" s="533">
        <f>ROUNDDOWN(H3347,-2)</f>
        <v>47100</v>
      </c>
      <c r="J3332" s="536" t="s">
        <v>7804</v>
      </c>
      <c r="K3332" s="824"/>
    </row>
    <row r="3333" spans="3:11" ht="25.8" customHeight="1">
      <c r="C3333" s="716" t="s">
        <v>1195</v>
      </c>
      <c r="D3333" s="716" t="s">
        <v>1196</v>
      </c>
      <c r="E3333" s="716" t="s">
        <v>1197</v>
      </c>
      <c r="F3333" s="716" t="s">
        <v>1198</v>
      </c>
      <c r="G3333" s="716" t="s">
        <v>1199</v>
      </c>
      <c r="H3333" s="716" t="s">
        <v>1200</v>
      </c>
    </row>
    <row r="3334" spans="3:11" ht="25.8" customHeight="1">
      <c r="C3334" s="213" t="s">
        <v>1201</v>
      </c>
      <c r="D3334" s="212" t="s">
        <v>1202</v>
      </c>
      <c r="E3334" s="534"/>
      <c r="F3334" s="534"/>
      <c r="G3334" s="534"/>
      <c r="H3334" s="534"/>
    </row>
    <row r="3335" spans="3:11" ht="25.8" customHeight="1">
      <c r="C3335" s="818">
        <v>1</v>
      </c>
      <c r="D3335" s="212" t="s">
        <v>5</v>
      </c>
      <c r="E3335" s="212" t="s">
        <v>6</v>
      </c>
      <c r="F3335" s="538">
        <v>0.11899999999999999</v>
      </c>
      <c r="G3335" s="539">
        <f>VLOOKUP(D3335,upahbahan,3,FALSE)</f>
        <v>100000</v>
      </c>
      <c r="H3335" s="539">
        <f t="shared" ref="H3335:H3338" si="349">F3335*G3335</f>
        <v>11900</v>
      </c>
    </row>
    <row r="3336" spans="3:11" ht="25.8" customHeight="1">
      <c r="C3336" s="818">
        <v>2</v>
      </c>
      <c r="D3336" s="212" t="s">
        <v>3295</v>
      </c>
      <c r="E3336" s="212" t="s">
        <v>6</v>
      </c>
      <c r="F3336" s="538">
        <v>0.19900000000000001</v>
      </c>
      <c r="G3336" s="539">
        <f>VLOOKUP(D3336,upahbahan,3,FALSE)</f>
        <v>135000</v>
      </c>
      <c r="H3336" s="539">
        <f t="shared" si="349"/>
        <v>26865</v>
      </c>
    </row>
    <row r="3337" spans="3:11" ht="25.8" customHeight="1">
      <c r="C3337" s="818">
        <v>3</v>
      </c>
      <c r="D3337" s="212" t="s">
        <v>18</v>
      </c>
      <c r="E3337" s="212" t="s">
        <v>6</v>
      </c>
      <c r="F3337" s="538">
        <v>0.02</v>
      </c>
      <c r="G3337" s="539">
        <f>VLOOKUP(D3337,upahbahan,3,FALSE)</f>
        <v>150000</v>
      </c>
      <c r="H3337" s="539">
        <f t="shared" si="349"/>
        <v>3000</v>
      </c>
    </row>
    <row r="3338" spans="3:11" ht="25.8" customHeight="1">
      <c r="C3338" s="818">
        <v>4</v>
      </c>
      <c r="D3338" s="212" t="s">
        <v>19</v>
      </c>
      <c r="E3338" s="212" t="s">
        <v>6</v>
      </c>
      <c r="F3338" s="538">
        <v>7.0000000000000001E-3</v>
      </c>
      <c r="G3338" s="539">
        <f>VLOOKUP(D3338,upahbahan,3,FALSE)</f>
        <v>160000</v>
      </c>
      <c r="H3338" s="539">
        <f t="shared" si="349"/>
        <v>1120</v>
      </c>
    </row>
    <row r="3339" spans="3:11" ht="25.8" customHeight="1">
      <c r="C3339" s="702" t="s">
        <v>1208</v>
      </c>
      <c r="D3339" s="208"/>
      <c r="E3339" s="208"/>
      <c r="F3339" s="811"/>
      <c r="G3339" s="522"/>
      <c r="H3339" s="539">
        <f>SUM(H3335:H3338)</f>
        <v>42885</v>
      </c>
      <c r="I3339" s="819"/>
    </row>
    <row r="3340" spans="3:11" ht="25.8" customHeight="1">
      <c r="C3340" s="213" t="s">
        <v>1209</v>
      </c>
      <c r="D3340" s="212" t="s">
        <v>1210</v>
      </c>
      <c r="E3340" s="534"/>
      <c r="F3340" s="831"/>
      <c r="G3340" s="534"/>
      <c r="H3340" s="534"/>
    </row>
    <row r="3341" spans="3:11" ht="25.8" customHeight="1">
      <c r="C3341" s="833" t="s">
        <v>1203</v>
      </c>
      <c r="D3341" s="820" t="s">
        <v>7863</v>
      </c>
      <c r="E3341" s="807" t="s">
        <v>135</v>
      </c>
      <c r="F3341" s="832">
        <v>1.25</v>
      </c>
      <c r="G3341" s="539">
        <f>VLOOKUP(D3341,upahbahan,3,FALSE)</f>
        <v>0</v>
      </c>
      <c r="H3341" s="539">
        <f t="shared" ref="H3341" si="350">F3341*G3341</f>
        <v>0</v>
      </c>
    </row>
    <row r="3342" spans="3:11" ht="25.8" customHeight="1">
      <c r="C3342" s="702" t="s">
        <v>1214</v>
      </c>
      <c r="D3342" s="208"/>
      <c r="E3342" s="208"/>
      <c r="F3342" s="208"/>
      <c r="G3342" s="209"/>
      <c r="H3342" s="539">
        <f>SUM(H3341:H3341)</f>
        <v>0</v>
      </c>
    </row>
    <row r="3343" spans="3:11" ht="25.8" customHeight="1">
      <c r="C3343" s="213" t="s">
        <v>1215</v>
      </c>
      <c r="D3343" s="212" t="s">
        <v>1216</v>
      </c>
      <c r="E3343" s="534"/>
      <c r="F3343" s="534"/>
      <c r="G3343" s="534"/>
      <c r="H3343" s="534"/>
    </row>
    <row r="3344" spans="3:11" ht="25.8" customHeight="1">
      <c r="C3344" s="702" t="s">
        <v>1217</v>
      </c>
      <c r="D3344" s="208"/>
      <c r="E3344" s="208"/>
      <c r="F3344" s="208"/>
      <c r="G3344" s="209"/>
      <c r="H3344" s="821">
        <v>0</v>
      </c>
    </row>
    <row r="3345" spans="3:11" ht="25.8" customHeight="1">
      <c r="C3345" s="566" t="s">
        <v>1218</v>
      </c>
      <c r="D3345" s="552" t="s">
        <v>1219</v>
      </c>
      <c r="E3345" s="553"/>
      <c r="F3345" s="553"/>
      <c r="G3345" s="554"/>
      <c r="H3345" s="826">
        <f>H3344+H3342+H3339</f>
        <v>42885</v>
      </c>
      <c r="I3345" s="827"/>
    </row>
    <row r="3346" spans="3:11" ht="25.8" customHeight="1">
      <c r="C3346" s="566" t="s">
        <v>1220</v>
      </c>
      <c r="D3346" s="552" t="s">
        <v>1321</v>
      </c>
      <c r="E3346" s="553"/>
      <c r="F3346" s="554"/>
      <c r="G3346" s="555">
        <f>$M$9</f>
        <v>0.1</v>
      </c>
      <c r="H3346" s="539">
        <f>H3345*G3346</f>
        <v>4288.5</v>
      </c>
      <c r="I3346" s="827"/>
    </row>
    <row r="3347" spans="3:11" ht="25.8" customHeight="1">
      <c r="C3347" s="566" t="s">
        <v>1221</v>
      </c>
      <c r="D3347" s="552" t="s">
        <v>1222</v>
      </c>
      <c r="E3347" s="553"/>
      <c r="F3347" s="553"/>
      <c r="G3347" s="554"/>
      <c r="H3347" s="828">
        <f>SUM(H3345:H3346)</f>
        <v>47173.5</v>
      </c>
      <c r="I3347" s="827"/>
    </row>
    <row r="3348" spans="3:11" ht="25.8" customHeight="1">
      <c r="C3348" s="572"/>
      <c r="D3348" s="575"/>
      <c r="E3348" s="575"/>
      <c r="F3348" s="575"/>
      <c r="G3348" s="575"/>
      <c r="H3348" s="830"/>
    </row>
    <row r="3349" spans="3:11" ht="25.8" customHeight="1">
      <c r="C3349" s="513" t="s">
        <v>7864</v>
      </c>
      <c r="D3349" s="817" t="s">
        <v>7865</v>
      </c>
      <c r="E3349" s="803"/>
      <c r="F3349" s="803"/>
      <c r="G3349" s="803"/>
      <c r="H3349" s="803"/>
      <c r="I3349" s="533">
        <f>ROUNDDOWN(H3364,-2)</f>
        <v>47100</v>
      </c>
      <c r="J3349" s="536" t="s">
        <v>7804</v>
      </c>
      <c r="K3349" s="824"/>
    </row>
    <row r="3350" spans="3:11" ht="25.8" customHeight="1">
      <c r="C3350" s="716" t="s">
        <v>1195</v>
      </c>
      <c r="D3350" s="716" t="s">
        <v>1196</v>
      </c>
      <c r="E3350" s="716" t="s">
        <v>1197</v>
      </c>
      <c r="F3350" s="716" t="s">
        <v>1198</v>
      </c>
      <c r="G3350" s="716" t="s">
        <v>1199</v>
      </c>
      <c r="H3350" s="716" t="s">
        <v>1200</v>
      </c>
    </row>
    <row r="3351" spans="3:11" ht="25.8" customHeight="1">
      <c r="C3351" s="213" t="s">
        <v>1201</v>
      </c>
      <c r="D3351" s="212" t="s">
        <v>1202</v>
      </c>
      <c r="E3351" s="534"/>
      <c r="F3351" s="534"/>
      <c r="G3351" s="534"/>
      <c r="H3351" s="534"/>
    </row>
    <row r="3352" spans="3:11" ht="25.8" customHeight="1">
      <c r="C3352" s="818">
        <v>1</v>
      </c>
      <c r="D3352" s="212" t="s">
        <v>5</v>
      </c>
      <c r="E3352" s="212" t="s">
        <v>6</v>
      </c>
      <c r="F3352" s="538">
        <v>0.11899999999999999</v>
      </c>
      <c r="G3352" s="539">
        <f>VLOOKUP(D3352,upahbahan,3,FALSE)</f>
        <v>100000</v>
      </c>
      <c r="H3352" s="539">
        <f t="shared" ref="H3352:H3355" si="351">F3352*G3352</f>
        <v>11900</v>
      </c>
    </row>
    <row r="3353" spans="3:11" ht="25.8" customHeight="1">
      <c r="C3353" s="818">
        <v>2</v>
      </c>
      <c r="D3353" s="212" t="s">
        <v>3295</v>
      </c>
      <c r="E3353" s="212" t="s">
        <v>6</v>
      </c>
      <c r="F3353" s="538">
        <v>0.19900000000000001</v>
      </c>
      <c r="G3353" s="539">
        <f>VLOOKUP(D3353,upahbahan,3,FALSE)</f>
        <v>135000</v>
      </c>
      <c r="H3353" s="539">
        <f t="shared" si="351"/>
        <v>26865</v>
      </c>
    </row>
    <row r="3354" spans="3:11" ht="25.8" customHeight="1">
      <c r="C3354" s="818">
        <v>3</v>
      </c>
      <c r="D3354" s="212" t="s">
        <v>18</v>
      </c>
      <c r="E3354" s="212" t="s">
        <v>6</v>
      </c>
      <c r="F3354" s="538">
        <v>0.02</v>
      </c>
      <c r="G3354" s="539">
        <f>VLOOKUP(D3354,upahbahan,3,FALSE)</f>
        <v>150000</v>
      </c>
      <c r="H3354" s="539">
        <f t="shared" si="351"/>
        <v>3000</v>
      </c>
    </row>
    <row r="3355" spans="3:11" ht="25.8" customHeight="1">
      <c r="C3355" s="818">
        <v>4</v>
      </c>
      <c r="D3355" s="212" t="s">
        <v>19</v>
      </c>
      <c r="E3355" s="212" t="s">
        <v>6</v>
      </c>
      <c r="F3355" s="538">
        <v>7.0000000000000001E-3</v>
      </c>
      <c r="G3355" s="539">
        <f>VLOOKUP(D3355,upahbahan,3,FALSE)</f>
        <v>160000</v>
      </c>
      <c r="H3355" s="539">
        <f t="shared" si="351"/>
        <v>1120</v>
      </c>
    </row>
    <row r="3356" spans="3:11" ht="25.8" customHeight="1">
      <c r="C3356" s="702" t="s">
        <v>1208</v>
      </c>
      <c r="D3356" s="208"/>
      <c r="E3356" s="208"/>
      <c r="F3356" s="811"/>
      <c r="G3356" s="522"/>
      <c r="H3356" s="539">
        <f>SUM(H3352:H3355)</f>
        <v>42885</v>
      </c>
      <c r="I3356" s="819"/>
    </row>
    <row r="3357" spans="3:11" ht="25.8" customHeight="1">
      <c r="C3357" s="213" t="s">
        <v>1209</v>
      </c>
      <c r="D3357" s="212" t="s">
        <v>1210</v>
      </c>
      <c r="E3357" s="534"/>
      <c r="F3357" s="831"/>
      <c r="G3357" s="534"/>
      <c r="H3357" s="534"/>
    </row>
    <row r="3358" spans="3:11" ht="25.8" customHeight="1">
      <c r="C3358" s="833" t="s">
        <v>1203</v>
      </c>
      <c r="D3358" s="820" t="s">
        <v>7866</v>
      </c>
      <c r="E3358" s="807" t="s">
        <v>135</v>
      </c>
      <c r="F3358" s="832">
        <v>1.25</v>
      </c>
      <c r="G3358" s="539">
        <f>VLOOKUP(D3358,upahbahan,3,FALSE)</f>
        <v>0</v>
      </c>
      <c r="H3358" s="539">
        <f t="shared" ref="H3358" si="352">F3358*G3358</f>
        <v>0</v>
      </c>
    </row>
    <row r="3359" spans="3:11" ht="25.8" customHeight="1">
      <c r="C3359" s="702" t="s">
        <v>1214</v>
      </c>
      <c r="D3359" s="208"/>
      <c r="E3359" s="208"/>
      <c r="F3359" s="208"/>
      <c r="G3359" s="209"/>
      <c r="H3359" s="539">
        <f>SUM(H3358:H3358)</f>
        <v>0</v>
      </c>
    </row>
    <row r="3360" spans="3:11" ht="25.8" customHeight="1">
      <c r="C3360" s="213" t="s">
        <v>1215</v>
      </c>
      <c r="D3360" s="212" t="s">
        <v>1216</v>
      </c>
      <c r="E3360" s="534"/>
      <c r="F3360" s="534"/>
      <c r="G3360" s="534"/>
      <c r="H3360" s="534"/>
    </row>
    <row r="3361" spans="3:11" ht="25.8" customHeight="1">
      <c r="C3361" s="702" t="s">
        <v>1217</v>
      </c>
      <c r="D3361" s="208"/>
      <c r="E3361" s="208"/>
      <c r="F3361" s="208"/>
      <c r="G3361" s="209"/>
      <c r="H3361" s="821">
        <v>0</v>
      </c>
    </row>
    <row r="3362" spans="3:11" ht="25.8" customHeight="1">
      <c r="C3362" s="566" t="s">
        <v>1218</v>
      </c>
      <c r="D3362" s="552" t="s">
        <v>1219</v>
      </c>
      <c r="E3362" s="553"/>
      <c r="F3362" s="553"/>
      <c r="G3362" s="554"/>
      <c r="H3362" s="826">
        <f>H3361+H3359+H3356</f>
        <v>42885</v>
      </c>
      <c r="I3362" s="827"/>
    </row>
    <row r="3363" spans="3:11" ht="25.8" customHeight="1">
      <c r="C3363" s="566" t="s">
        <v>1220</v>
      </c>
      <c r="D3363" s="552" t="s">
        <v>1321</v>
      </c>
      <c r="E3363" s="553"/>
      <c r="F3363" s="554"/>
      <c r="G3363" s="555">
        <f>$M$9</f>
        <v>0.1</v>
      </c>
      <c r="H3363" s="539">
        <f>H3362*G3363</f>
        <v>4288.5</v>
      </c>
      <c r="I3363" s="827"/>
    </row>
    <row r="3364" spans="3:11" ht="25.8" customHeight="1">
      <c r="C3364" s="566" t="s">
        <v>1221</v>
      </c>
      <c r="D3364" s="552" t="s">
        <v>1222</v>
      </c>
      <c r="E3364" s="553"/>
      <c r="F3364" s="553"/>
      <c r="G3364" s="554"/>
      <c r="H3364" s="828">
        <f>SUM(H3362:H3363)</f>
        <v>47173.5</v>
      </c>
      <c r="I3364" s="827"/>
    </row>
    <row r="3365" spans="3:11" ht="25.8" customHeight="1">
      <c r="C3365" s="572"/>
      <c r="D3365" s="575"/>
      <c r="E3365" s="575"/>
      <c r="F3365" s="575"/>
      <c r="G3365" s="575"/>
      <c r="H3365" s="830"/>
    </row>
    <row r="3366" spans="3:11" ht="25.8" customHeight="1">
      <c r="C3366" s="513" t="s">
        <v>7867</v>
      </c>
      <c r="D3366" s="817" t="s">
        <v>7868</v>
      </c>
      <c r="E3366" s="803"/>
      <c r="F3366" s="803"/>
      <c r="G3366" s="803"/>
      <c r="H3366" s="803"/>
      <c r="I3366" s="533">
        <f>ROUNDDOWN(H3381,-2)</f>
        <v>47100</v>
      </c>
      <c r="J3366" s="536" t="s">
        <v>7804</v>
      </c>
      <c r="K3366" s="824"/>
    </row>
    <row r="3367" spans="3:11" ht="25.8" customHeight="1">
      <c r="C3367" s="716" t="s">
        <v>1195</v>
      </c>
      <c r="D3367" s="716" t="s">
        <v>1196</v>
      </c>
      <c r="E3367" s="716" t="s">
        <v>1197</v>
      </c>
      <c r="F3367" s="716" t="s">
        <v>1198</v>
      </c>
      <c r="G3367" s="716" t="s">
        <v>1199</v>
      </c>
      <c r="H3367" s="716" t="s">
        <v>1200</v>
      </c>
    </row>
    <row r="3368" spans="3:11" ht="25.8" customHeight="1">
      <c r="C3368" s="213" t="s">
        <v>1201</v>
      </c>
      <c r="D3368" s="212" t="s">
        <v>1202</v>
      </c>
      <c r="E3368" s="534"/>
      <c r="F3368" s="534"/>
      <c r="G3368" s="534"/>
      <c r="H3368" s="534"/>
    </row>
    <row r="3369" spans="3:11" ht="25.8" customHeight="1">
      <c r="C3369" s="818">
        <v>1</v>
      </c>
      <c r="D3369" s="212" t="s">
        <v>5</v>
      </c>
      <c r="E3369" s="212" t="s">
        <v>6</v>
      </c>
      <c r="F3369" s="538">
        <v>0.11899999999999999</v>
      </c>
      <c r="G3369" s="539">
        <f>VLOOKUP(D3369,upahbahan,3,FALSE)</f>
        <v>100000</v>
      </c>
      <c r="H3369" s="539">
        <f t="shared" ref="H3369:H3372" si="353">F3369*G3369</f>
        <v>11900</v>
      </c>
    </row>
    <row r="3370" spans="3:11" ht="25.8" customHeight="1">
      <c r="C3370" s="818">
        <v>2</v>
      </c>
      <c r="D3370" s="212" t="s">
        <v>3295</v>
      </c>
      <c r="E3370" s="212" t="s">
        <v>6</v>
      </c>
      <c r="F3370" s="538">
        <v>0.19900000000000001</v>
      </c>
      <c r="G3370" s="539">
        <f>VLOOKUP(D3370,upahbahan,3,FALSE)</f>
        <v>135000</v>
      </c>
      <c r="H3370" s="539">
        <f t="shared" si="353"/>
        <v>26865</v>
      </c>
    </row>
    <row r="3371" spans="3:11" ht="25.8" customHeight="1">
      <c r="C3371" s="818">
        <v>3</v>
      </c>
      <c r="D3371" s="212" t="s">
        <v>18</v>
      </c>
      <c r="E3371" s="212" t="s">
        <v>6</v>
      </c>
      <c r="F3371" s="538">
        <v>0.02</v>
      </c>
      <c r="G3371" s="539">
        <f>VLOOKUP(D3371,upahbahan,3,FALSE)</f>
        <v>150000</v>
      </c>
      <c r="H3371" s="539">
        <f t="shared" si="353"/>
        <v>3000</v>
      </c>
    </row>
    <row r="3372" spans="3:11" ht="25.8" customHeight="1">
      <c r="C3372" s="818">
        <v>4</v>
      </c>
      <c r="D3372" s="212" t="s">
        <v>19</v>
      </c>
      <c r="E3372" s="212" t="s">
        <v>6</v>
      </c>
      <c r="F3372" s="538">
        <v>7.0000000000000001E-3</v>
      </c>
      <c r="G3372" s="539">
        <f>VLOOKUP(D3372,upahbahan,3,FALSE)</f>
        <v>160000</v>
      </c>
      <c r="H3372" s="539">
        <f t="shared" si="353"/>
        <v>1120</v>
      </c>
    </row>
    <row r="3373" spans="3:11" ht="25.8" customHeight="1">
      <c r="C3373" s="702" t="s">
        <v>1208</v>
      </c>
      <c r="D3373" s="208"/>
      <c r="E3373" s="208"/>
      <c r="F3373" s="811"/>
      <c r="G3373" s="522"/>
      <c r="H3373" s="539">
        <f>SUM(H3369:H3372)</f>
        <v>42885</v>
      </c>
      <c r="I3373" s="819"/>
    </row>
    <row r="3374" spans="3:11" ht="25.8" customHeight="1">
      <c r="C3374" s="213" t="s">
        <v>1209</v>
      </c>
      <c r="D3374" s="212" t="s">
        <v>1210</v>
      </c>
      <c r="E3374" s="534"/>
      <c r="F3374" s="831"/>
      <c r="G3374" s="534"/>
      <c r="H3374" s="534"/>
    </row>
    <row r="3375" spans="3:11" ht="25.8" customHeight="1">
      <c r="C3375" s="833" t="s">
        <v>1203</v>
      </c>
      <c r="D3375" s="820" t="s">
        <v>7869</v>
      </c>
      <c r="E3375" s="807" t="s">
        <v>135</v>
      </c>
      <c r="F3375" s="832">
        <v>1.25</v>
      </c>
      <c r="G3375" s="539">
        <f>VLOOKUP(D3375,upahbahan,3,FALSE)</f>
        <v>0</v>
      </c>
      <c r="H3375" s="539">
        <f t="shared" ref="H3375" si="354">F3375*G3375</f>
        <v>0</v>
      </c>
    </row>
    <row r="3376" spans="3:11" ht="25.8" customHeight="1">
      <c r="C3376" s="702" t="s">
        <v>1214</v>
      </c>
      <c r="D3376" s="208"/>
      <c r="E3376" s="208"/>
      <c r="F3376" s="208"/>
      <c r="G3376" s="209"/>
      <c r="H3376" s="539">
        <f>SUM(H3375:H3375)</f>
        <v>0</v>
      </c>
    </row>
    <row r="3377" spans="3:11" ht="25.8" customHeight="1">
      <c r="C3377" s="213" t="s">
        <v>1215</v>
      </c>
      <c r="D3377" s="212" t="s">
        <v>1216</v>
      </c>
      <c r="E3377" s="534"/>
      <c r="F3377" s="534"/>
      <c r="G3377" s="534"/>
      <c r="H3377" s="534"/>
    </row>
    <row r="3378" spans="3:11" ht="25.8" customHeight="1">
      <c r="C3378" s="702" t="s">
        <v>1217</v>
      </c>
      <c r="D3378" s="208"/>
      <c r="E3378" s="208"/>
      <c r="F3378" s="208"/>
      <c r="G3378" s="209"/>
      <c r="H3378" s="821">
        <v>0</v>
      </c>
    </row>
    <row r="3379" spans="3:11" ht="25.8" customHeight="1">
      <c r="C3379" s="566" t="s">
        <v>1218</v>
      </c>
      <c r="D3379" s="552" t="s">
        <v>1219</v>
      </c>
      <c r="E3379" s="553"/>
      <c r="F3379" s="553"/>
      <c r="G3379" s="554"/>
      <c r="H3379" s="826">
        <f>H3378+H3376+H3373</f>
        <v>42885</v>
      </c>
      <c r="I3379" s="827"/>
    </row>
    <row r="3380" spans="3:11" ht="25.8" customHeight="1">
      <c r="C3380" s="566" t="s">
        <v>1220</v>
      </c>
      <c r="D3380" s="552" t="s">
        <v>1321</v>
      </c>
      <c r="E3380" s="553"/>
      <c r="F3380" s="554"/>
      <c r="G3380" s="555">
        <f>$M$9</f>
        <v>0.1</v>
      </c>
      <c r="H3380" s="539">
        <f>H3379*G3380</f>
        <v>4288.5</v>
      </c>
      <c r="I3380" s="827"/>
    </row>
    <row r="3381" spans="3:11" ht="25.8" customHeight="1">
      <c r="C3381" s="566" t="s">
        <v>1221</v>
      </c>
      <c r="D3381" s="552" t="s">
        <v>1222</v>
      </c>
      <c r="E3381" s="553"/>
      <c r="F3381" s="553"/>
      <c r="G3381" s="554"/>
      <c r="H3381" s="828">
        <f>SUM(H3379:H3380)</f>
        <v>47173.5</v>
      </c>
      <c r="I3381" s="827"/>
    </row>
    <row r="3382" spans="3:11" ht="25.8" customHeight="1">
      <c r="C3382" s="572"/>
      <c r="D3382" s="575"/>
      <c r="E3382" s="575"/>
      <c r="F3382" s="575"/>
      <c r="G3382" s="575"/>
      <c r="H3382" s="830"/>
    </row>
    <row r="3383" spans="3:11" ht="25.8" customHeight="1">
      <c r="C3383" s="513" t="s">
        <v>7870</v>
      </c>
      <c r="D3383" s="817" t="s">
        <v>7871</v>
      </c>
      <c r="E3383" s="803"/>
      <c r="F3383" s="803"/>
      <c r="G3383" s="803"/>
      <c r="H3383" s="803"/>
      <c r="I3383" s="533">
        <f>ROUNDDOWN(H3398,-2)</f>
        <v>47100</v>
      </c>
      <c r="J3383" s="536" t="s">
        <v>7804</v>
      </c>
      <c r="K3383" s="824"/>
    </row>
    <row r="3384" spans="3:11" ht="25.8" customHeight="1">
      <c r="C3384" s="716" t="s">
        <v>1195</v>
      </c>
      <c r="D3384" s="716" t="s">
        <v>1196</v>
      </c>
      <c r="E3384" s="716" t="s">
        <v>1197</v>
      </c>
      <c r="F3384" s="716" t="s">
        <v>1198</v>
      </c>
      <c r="G3384" s="716" t="s">
        <v>1199</v>
      </c>
      <c r="H3384" s="716" t="s">
        <v>1200</v>
      </c>
    </row>
    <row r="3385" spans="3:11" ht="25.8" customHeight="1">
      <c r="C3385" s="213" t="s">
        <v>1201</v>
      </c>
      <c r="D3385" s="212" t="s">
        <v>1202</v>
      </c>
      <c r="E3385" s="534"/>
      <c r="F3385" s="534"/>
      <c r="G3385" s="534"/>
      <c r="H3385" s="534"/>
    </row>
    <row r="3386" spans="3:11" ht="25.8" customHeight="1">
      <c r="C3386" s="818">
        <v>1</v>
      </c>
      <c r="D3386" s="212" t="s">
        <v>5</v>
      </c>
      <c r="E3386" s="212" t="s">
        <v>6</v>
      </c>
      <c r="F3386" s="538">
        <v>0.11899999999999999</v>
      </c>
      <c r="G3386" s="539">
        <f>VLOOKUP(D3386,upahbahan,3,FALSE)</f>
        <v>100000</v>
      </c>
      <c r="H3386" s="539">
        <f t="shared" ref="H3386:H3389" si="355">F3386*G3386</f>
        <v>11900</v>
      </c>
    </row>
    <row r="3387" spans="3:11" ht="25.8" customHeight="1">
      <c r="C3387" s="818">
        <v>2</v>
      </c>
      <c r="D3387" s="212" t="s">
        <v>3295</v>
      </c>
      <c r="E3387" s="212" t="s">
        <v>6</v>
      </c>
      <c r="F3387" s="538">
        <v>0.19900000000000001</v>
      </c>
      <c r="G3387" s="539">
        <f>VLOOKUP(D3387,upahbahan,3,FALSE)</f>
        <v>135000</v>
      </c>
      <c r="H3387" s="539">
        <f t="shared" si="355"/>
        <v>26865</v>
      </c>
    </row>
    <row r="3388" spans="3:11" ht="25.8" customHeight="1">
      <c r="C3388" s="818">
        <v>3</v>
      </c>
      <c r="D3388" s="212" t="s">
        <v>18</v>
      </c>
      <c r="E3388" s="212" t="s">
        <v>6</v>
      </c>
      <c r="F3388" s="538">
        <v>0.02</v>
      </c>
      <c r="G3388" s="539">
        <f>VLOOKUP(D3388,upahbahan,3,FALSE)</f>
        <v>150000</v>
      </c>
      <c r="H3388" s="539">
        <f t="shared" si="355"/>
        <v>3000</v>
      </c>
    </row>
    <row r="3389" spans="3:11" ht="25.8" customHeight="1">
      <c r="C3389" s="818">
        <v>4</v>
      </c>
      <c r="D3389" s="212" t="s">
        <v>19</v>
      </c>
      <c r="E3389" s="212" t="s">
        <v>6</v>
      </c>
      <c r="F3389" s="538">
        <v>7.0000000000000001E-3</v>
      </c>
      <c r="G3389" s="539">
        <f>VLOOKUP(D3389,upahbahan,3,FALSE)</f>
        <v>160000</v>
      </c>
      <c r="H3389" s="539">
        <f t="shared" si="355"/>
        <v>1120</v>
      </c>
    </row>
    <row r="3390" spans="3:11" ht="25.8" customHeight="1">
      <c r="C3390" s="702" t="s">
        <v>1208</v>
      </c>
      <c r="D3390" s="208"/>
      <c r="E3390" s="208"/>
      <c r="F3390" s="811"/>
      <c r="G3390" s="522"/>
      <c r="H3390" s="539">
        <f>SUM(H3386:H3389)</f>
        <v>42885</v>
      </c>
      <c r="I3390" s="819"/>
    </row>
    <row r="3391" spans="3:11" ht="25.8" customHeight="1">
      <c r="C3391" s="213" t="s">
        <v>1209</v>
      </c>
      <c r="D3391" s="212" t="s">
        <v>1210</v>
      </c>
      <c r="E3391" s="534"/>
      <c r="F3391" s="831"/>
      <c r="G3391" s="534"/>
      <c r="H3391" s="534"/>
    </row>
    <row r="3392" spans="3:11" ht="25.8" customHeight="1">
      <c r="C3392" s="833" t="s">
        <v>1203</v>
      </c>
      <c r="D3392" s="820" t="s">
        <v>7872</v>
      </c>
      <c r="E3392" s="807" t="s">
        <v>135</v>
      </c>
      <c r="F3392" s="832">
        <v>1.25</v>
      </c>
      <c r="G3392" s="539">
        <f>VLOOKUP(D3392,upahbahan,3,FALSE)</f>
        <v>0</v>
      </c>
      <c r="H3392" s="539">
        <f t="shared" ref="H3392" si="356">F3392*G3392</f>
        <v>0</v>
      </c>
    </row>
    <row r="3393" spans="3:11" ht="25.8" customHeight="1">
      <c r="C3393" s="702" t="s">
        <v>1214</v>
      </c>
      <c r="D3393" s="208"/>
      <c r="E3393" s="208"/>
      <c r="F3393" s="208"/>
      <c r="G3393" s="209"/>
      <c r="H3393" s="539">
        <f>SUM(H3392:H3392)</f>
        <v>0</v>
      </c>
    </row>
    <row r="3394" spans="3:11" ht="25.8" customHeight="1">
      <c r="C3394" s="213" t="s">
        <v>1215</v>
      </c>
      <c r="D3394" s="212" t="s">
        <v>1216</v>
      </c>
      <c r="E3394" s="534"/>
      <c r="F3394" s="534"/>
      <c r="G3394" s="534"/>
      <c r="H3394" s="534"/>
    </row>
    <row r="3395" spans="3:11" ht="25.8" customHeight="1">
      <c r="C3395" s="702" t="s">
        <v>1217</v>
      </c>
      <c r="D3395" s="208"/>
      <c r="E3395" s="208"/>
      <c r="F3395" s="208"/>
      <c r="G3395" s="209"/>
      <c r="H3395" s="821">
        <v>0</v>
      </c>
    </row>
    <row r="3396" spans="3:11" ht="25.8" customHeight="1">
      <c r="C3396" s="566" t="s">
        <v>1218</v>
      </c>
      <c r="D3396" s="552" t="s">
        <v>1219</v>
      </c>
      <c r="E3396" s="553"/>
      <c r="F3396" s="553"/>
      <c r="G3396" s="554"/>
      <c r="H3396" s="826">
        <f>H3395+H3393+H3390</f>
        <v>42885</v>
      </c>
      <c r="I3396" s="827"/>
    </row>
    <row r="3397" spans="3:11" ht="25.8" customHeight="1">
      <c r="C3397" s="566" t="s">
        <v>1220</v>
      </c>
      <c r="D3397" s="552" t="s">
        <v>1321</v>
      </c>
      <c r="E3397" s="553"/>
      <c r="F3397" s="554"/>
      <c r="G3397" s="555">
        <f>$M$9</f>
        <v>0.1</v>
      </c>
      <c r="H3397" s="539">
        <f>H3396*G3397</f>
        <v>4288.5</v>
      </c>
      <c r="I3397" s="827"/>
    </row>
    <row r="3398" spans="3:11" ht="25.8" customHeight="1">
      <c r="C3398" s="566" t="s">
        <v>1221</v>
      </c>
      <c r="D3398" s="552" t="s">
        <v>1222</v>
      </c>
      <c r="E3398" s="553"/>
      <c r="F3398" s="553"/>
      <c r="G3398" s="554"/>
      <c r="H3398" s="828">
        <f>SUM(H3396:H3397)</f>
        <v>47173.5</v>
      </c>
      <c r="I3398" s="827"/>
    </row>
    <row r="3399" spans="3:11" ht="25.8" customHeight="1">
      <c r="C3399" s="572"/>
      <c r="D3399" s="575"/>
      <c r="E3399" s="575"/>
      <c r="F3399" s="575"/>
      <c r="G3399" s="575"/>
      <c r="H3399" s="830"/>
    </row>
    <row r="3400" spans="3:11" ht="25.8" customHeight="1">
      <c r="C3400" s="513" t="s">
        <v>7873</v>
      </c>
      <c r="D3400" s="817" t="s">
        <v>7874</v>
      </c>
      <c r="E3400" s="803"/>
      <c r="F3400" s="803"/>
      <c r="G3400" s="803"/>
      <c r="H3400" s="803"/>
      <c r="I3400" s="533">
        <f>ROUNDDOWN(H3415,-2)</f>
        <v>47100</v>
      </c>
      <c r="J3400" s="536" t="s">
        <v>7804</v>
      </c>
      <c r="K3400" s="824"/>
    </row>
    <row r="3401" spans="3:11" ht="25.8" customHeight="1">
      <c r="C3401" s="716" t="s">
        <v>1195</v>
      </c>
      <c r="D3401" s="716" t="s">
        <v>1196</v>
      </c>
      <c r="E3401" s="716" t="s">
        <v>1197</v>
      </c>
      <c r="F3401" s="716" t="s">
        <v>1198</v>
      </c>
      <c r="G3401" s="716" t="s">
        <v>1199</v>
      </c>
      <c r="H3401" s="716" t="s">
        <v>1200</v>
      </c>
    </row>
    <row r="3402" spans="3:11" ht="25.8" customHeight="1">
      <c r="C3402" s="213" t="s">
        <v>1201</v>
      </c>
      <c r="D3402" s="212" t="s">
        <v>1202</v>
      </c>
      <c r="E3402" s="534"/>
      <c r="F3402" s="534"/>
      <c r="G3402" s="534"/>
      <c r="H3402" s="534"/>
    </row>
    <row r="3403" spans="3:11" ht="25.8" customHeight="1">
      <c r="C3403" s="818">
        <v>1</v>
      </c>
      <c r="D3403" s="212" t="s">
        <v>5</v>
      </c>
      <c r="E3403" s="212" t="s">
        <v>6</v>
      </c>
      <c r="F3403" s="538">
        <v>0.11899999999999999</v>
      </c>
      <c r="G3403" s="539">
        <f>VLOOKUP(D3403,upahbahan,3,FALSE)</f>
        <v>100000</v>
      </c>
      <c r="H3403" s="539">
        <f t="shared" ref="H3403:H3406" si="357">F3403*G3403</f>
        <v>11900</v>
      </c>
    </row>
    <row r="3404" spans="3:11" ht="25.8" customHeight="1">
      <c r="C3404" s="818">
        <v>2</v>
      </c>
      <c r="D3404" s="212" t="s">
        <v>3295</v>
      </c>
      <c r="E3404" s="212" t="s">
        <v>6</v>
      </c>
      <c r="F3404" s="538">
        <v>0.19900000000000001</v>
      </c>
      <c r="G3404" s="539">
        <f>VLOOKUP(D3404,upahbahan,3,FALSE)</f>
        <v>135000</v>
      </c>
      <c r="H3404" s="539">
        <f t="shared" si="357"/>
        <v>26865</v>
      </c>
    </row>
    <row r="3405" spans="3:11" ht="25.8" customHeight="1">
      <c r="C3405" s="818">
        <v>3</v>
      </c>
      <c r="D3405" s="212" t="s">
        <v>18</v>
      </c>
      <c r="E3405" s="212" t="s">
        <v>6</v>
      </c>
      <c r="F3405" s="538">
        <v>0.02</v>
      </c>
      <c r="G3405" s="539">
        <f>VLOOKUP(D3405,upahbahan,3,FALSE)</f>
        <v>150000</v>
      </c>
      <c r="H3405" s="539">
        <f t="shared" si="357"/>
        <v>3000</v>
      </c>
    </row>
    <row r="3406" spans="3:11" ht="25.8" customHeight="1">
      <c r="C3406" s="818">
        <v>4</v>
      </c>
      <c r="D3406" s="212" t="s">
        <v>19</v>
      </c>
      <c r="E3406" s="212" t="s">
        <v>6</v>
      </c>
      <c r="F3406" s="538">
        <v>7.0000000000000001E-3</v>
      </c>
      <c r="G3406" s="539">
        <f>VLOOKUP(D3406,upahbahan,3,FALSE)</f>
        <v>160000</v>
      </c>
      <c r="H3406" s="539">
        <f t="shared" si="357"/>
        <v>1120</v>
      </c>
    </row>
    <row r="3407" spans="3:11" ht="25.8" customHeight="1">
      <c r="C3407" s="702" t="s">
        <v>1208</v>
      </c>
      <c r="D3407" s="208"/>
      <c r="E3407" s="208"/>
      <c r="F3407" s="811"/>
      <c r="G3407" s="522"/>
      <c r="H3407" s="539">
        <f>SUM(H3403:H3406)</f>
        <v>42885</v>
      </c>
      <c r="I3407" s="819"/>
    </row>
    <row r="3408" spans="3:11" ht="25.8" customHeight="1">
      <c r="C3408" s="213" t="s">
        <v>1209</v>
      </c>
      <c r="D3408" s="212" t="s">
        <v>1210</v>
      </c>
      <c r="E3408" s="534"/>
      <c r="F3408" s="831"/>
      <c r="G3408" s="534"/>
      <c r="H3408" s="534"/>
    </row>
    <row r="3409" spans="3:11" ht="25.8" customHeight="1">
      <c r="C3409" s="833" t="s">
        <v>1203</v>
      </c>
      <c r="D3409" s="820" t="s">
        <v>7875</v>
      </c>
      <c r="E3409" s="807" t="s">
        <v>135</v>
      </c>
      <c r="F3409" s="832">
        <v>1.25</v>
      </c>
      <c r="G3409" s="539">
        <f>VLOOKUP(D3409,upahbahan,3,FALSE)</f>
        <v>0</v>
      </c>
      <c r="H3409" s="539">
        <f t="shared" ref="H3409" si="358">F3409*G3409</f>
        <v>0</v>
      </c>
    </row>
    <row r="3410" spans="3:11" ht="25.8" customHeight="1">
      <c r="C3410" s="702" t="s">
        <v>1214</v>
      </c>
      <c r="D3410" s="208"/>
      <c r="E3410" s="208"/>
      <c r="F3410" s="208"/>
      <c r="G3410" s="209"/>
      <c r="H3410" s="539">
        <f>SUM(H3409:H3409)</f>
        <v>0</v>
      </c>
    </row>
    <row r="3411" spans="3:11" ht="25.8" customHeight="1">
      <c r="C3411" s="213" t="s">
        <v>1215</v>
      </c>
      <c r="D3411" s="212" t="s">
        <v>1216</v>
      </c>
      <c r="E3411" s="534"/>
      <c r="F3411" s="534"/>
      <c r="G3411" s="534"/>
      <c r="H3411" s="534"/>
    </row>
    <row r="3412" spans="3:11" ht="25.8" customHeight="1">
      <c r="C3412" s="702" t="s">
        <v>1217</v>
      </c>
      <c r="D3412" s="208"/>
      <c r="E3412" s="208"/>
      <c r="F3412" s="208"/>
      <c r="G3412" s="209"/>
      <c r="H3412" s="821">
        <v>0</v>
      </c>
    </row>
    <row r="3413" spans="3:11" ht="25.8" customHeight="1">
      <c r="C3413" s="566" t="s">
        <v>1218</v>
      </c>
      <c r="D3413" s="552" t="s">
        <v>1219</v>
      </c>
      <c r="E3413" s="553"/>
      <c r="F3413" s="553"/>
      <c r="G3413" s="554"/>
      <c r="H3413" s="826">
        <f>H3412+H3410+H3407</f>
        <v>42885</v>
      </c>
      <c r="I3413" s="827"/>
    </row>
    <row r="3414" spans="3:11" ht="25.8" customHeight="1">
      <c r="C3414" s="566" t="s">
        <v>1220</v>
      </c>
      <c r="D3414" s="552" t="s">
        <v>1321</v>
      </c>
      <c r="E3414" s="553"/>
      <c r="F3414" s="554"/>
      <c r="G3414" s="555">
        <f>$M$9</f>
        <v>0.1</v>
      </c>
      <c r="H3414" s="539">
        <f>H3413*G3414</f>
        <v>4288.5</v>
      </c>
      <c r="I3414" s="827"/>
    </row>
    <row r="3415" spans="3:11" ht="25.8" customHeight="1">
      <c r="C3415" s="566" t="s">
        <v>1221</v>
      </c>
      <c r="D3415" s="552" t="s">
        <v>1222</v>
      </c>
      <c r="E3415" s="553"/>
      <c r="F3415" s="553"/>
      <c r="G3415" s="554"/>
      <c r="H3415" s="828">
        <f>SUM(H3413:H3414)</f>
        <v>47173.5</v>
      </c>
      <c r="I3415" s="827"/>
    </row>
    <row r="3416" spans="3:11" ht="25.8" customHeight="1">
      <c r="C3416" s="572"/>
      <c r="D3416" s="575"/>
      <c r="E3416" s="575"/>
      <c r="F3416" s="575"/>
      <c r="G3416" s="575"/>
      <c r="H3416" s="830"/>
    </row>
    <row r="3417" spans="3:11" ht="25.8" customHeight="1">
      <c r="C3417" s="513" t="s">
        <v>7876</v>
      </c>
      <c r="D3417" s="817" t="s">
        <v>7880</v>
      </c>
      <c r="E3417" s="803"/>
      <c r="F3417" s="803"/>
      <c r="G3417" s="803"/>
      <c r="H3417" s="803"/>
      <c r="I3417" s="533">
        <f>ROUNDDOWN(H3432,-2)</f>
        <v>47100</v>
      </c>
      <c r="J3417" s="536" t="s">
        <v>7804</v>
      </c>
      <c r="K3417" s="824"/>
    </row>
    <row r="3418" spans="3:11" ht="25.8" customHeight="1">
      <c r="C3418" s="716" t="s">
        <v>1195</v>
      </c>
      <c r="D3418" s="716" t="s">
        <v>1196</v>
      </c>
      <c r="E3418" s="716" t="s">
        <v>1197</v>
      </c>
      <c r="F3418" s="716" t="s">
        <v>1198</v>
      </c>
      <c r="G3418" s="716" t="s">
        <v>1199</v>
      </c>
      <c r="H3418" s="716" t="s">
        <v>1200</v>
      </c>
    </row>
    <row r="3419" spans="3:11" ht="25.8" customHeight="1">
      <c r="C3419" s="213" t="s">
        <v>1201</v>
      </c>
      <c r="D3419" s="212" t="s">
        <v>1202</v>
      </c>
      <c r="E3419" s="534"/>
      <c r="F3419" s="534"/>
      <c r="G3419" s="534"/>
      <c r="H3419" s="534"/>
    </row>
    <row r="3420" spans="3:11" ht="25.8" customHeight="1">
      <c r="C3420" s="818">
        <v>1</v>
      </c>
      <c r="D3420" s="212" t="s">
        <v>5</v>
      </c>
      <c r="E3420" s="212" t="s">
        <v>6</v>
      </c>
      <c r="F3420" s="538">
        <v>0.11899999999999999</v>
      </c>
      <c r="G3420" s="539">
        <f>VLOOKUP(D3420,upahbahan,3,FALSE)</f>
        <v>100000</v>
      </c>
      <c r="H3420" s="539">
        <f t="shared" ref="H3420:H3423" si="359">F3420*G3420</f>
        <v>11900</v>
      </c>
    </row>
    <row r="3421" spans="3:11" ht="25.8" customHeight="1">
      <c r="C3421" s="818">
        <v>2</v>
      </c>
      <c r="D3421" s="212" t="s">
        <v>3295</v>
      </c>
      <c r="E3421" s="212" t="s">
        <v>6</v>
      </c>
      <c r="F3421" s="538">
        <v>0.19900000000000001</v>
      </c>
      <c r="G3421" s="539">
        <f>VLOOKUP(D3421,upahbahan,3,FALSE)</f>
        <v>135000</v>
      </c>
      <c r="H3421" s="539">
        <f t="shared" si="359"/>
        <v>26865</v>
      </c>
    </row>
    <row r="3422" spans="3:11" ht="25.8" customHeight="1">
      <c r="C3422" s="818">
        <v>3</v>
      </c>
      <c r="D3422" s="212" t="s">
        <v>18</v>
      </c>
      <c r="E3422" s="212" t="s">
        <v>6</v>
      </c>
      <c r="F3422" s="538">
        <v>0.02</v>
      </c>
      <c r="G3422" s="539">
        <f>VLOOKUP(D3422,upahbahan,3,FALSE)</f>
        <v>150000</v>
      </c>
      <c r="H3422" s="539">
        <f t="shared" si="359"/>
        <v>3000</v>
      </c>
    </row>
    <row r="3423" spans="3:11" ht="25.8" customHeight="1">
      <c r="C3423" s="818">
        <v>4</v>
      </c>
      <c r="D3423" s="212" t="s">
        <v>19</v>
      </c>
      <c r="E3423" s="212" t="s">
        <v>6</v>
      </c>
      <c r="F3423" s="538">
        <v>7.0000000000000001E-3</v>
      </c>
      <c r="G3423" s="539">
        <f>VLOOKUP(D3423,upahbahan,3,FALSE)</f>
        <v>160000</v>
      </c>
      <c r="H3423" s="539">
        <f t="shared" si="359"/>
        <v>1120</v>
      </c>
    </row>
    <row r="3424" spans="3:11" ht="25.8" customHeight="1">
      <c r="C3424" s="702" t="s">
        <v>1208</v>
      </c>
      <c r="D3424" s="208"/>
      <c r="E3424" s="208"/>
      <c r="F3424" s="811"/>
      <c r="G3424" s="522"/>
      <c r="H3424" s="539">
        <f>SUM(H3420:H3423)</f>
        <v>42885</v>
      </c>
      <c r="I3424" s="819"/>
    </row>
    <row r="3425" spans="3:11" ht="25.8" customHeight="1">
      <c r="C3425" s="213" t="s">
        <v>1209</v>
      </c>
      <c r="D3425" s="212" t="s">
        <v>1210</v>
      </c>
      <c r="E3425" s="534"/>
      <c r="F3425" s="831"/>
      <c r="G3425" s="534"/>
      <c r="H3425" s="534"/>
    </row>
    <row r="3426" spans="3:11" ht="25.8" customHeight="1">
      <c r="C3426" s="833" t="s">
        <v>1203</v>
      </c>
      <c r="D3426" s="820" t="s">
        <v>7877</v>
      </c>
      <c r="E3426" s="807" t="s">
        <v>135</v>
      </c>
      <c r="F3426" s="832">
        <v>1.25</v>
      </c>
      <c r="G3426" s="539">
        <f>VLOOKUP(D3426,upahbahan,3,FALSE)</f>
        <v>0</v>
      </c>
      <c r="H3426" s="539">
        <f t="shared" ref="H3426" si="360">F3426*G3426</f>
        <v>0</v>
      </c>
    </row>
    <row r="3427" spans="3:11" ht="25.8" customHeight="1">
      <c r="C3427" s="702" t="s">
        <v>1214</v>
      </c>
      <c r="D3427" s="208"/>
      <c r="E3427" s="208"/>
      <c r="F3427" s="208"/>
      <c r="G3427" s="209"/>
      <c r="H3427" s="539">
        <f>SUM(H3426:H3426)</f>
        <v>0</v>
      </c>
    </row>
    <row r="3428" spans="3:11" ht="25.8" customHeight="1">
      <c r="C3428" s="213" t="s">
        <v>1215</v>
      </c>
      <c r="D3428" s="212" t="s">
        <v>1216</v>
      </c>
      <c r="E3428" s="534"/>
      <c r="F3428" s="534"/>
      <c r="G3428" s="534"/>
      <c r="H3428" s="534"/>
    </row>
    <row r="3429" spans="3:11" ht="25.8" customHeight="1">
      <c r="C3429" s="702" t="s">
        <v>1217</v>
      </c>
      <c r="D3429" s="208"/>
      <c r="E3429" s="208"/>
      <c r="F3429" s="208"/>
      <c r="G3429" s="209"/>
      <c r="H3429" s="821">
        <v>0</v>
      </c>
    </row>
    <row r="3430" spans="3:11" ht="25.8" customHeight="1">
      <c r="C3430" s="566" t="s">
        <v>1218</v>
      </c>
      <c r="D3430" s="552" t="s">
        <v>1219</v>
      </c>
      <c r="E3430" s="553"/>
      <c r="F3430" s="553"/>
      <c r="G3430" s="554"/>
      <c r="H3430" s="826">
        <f>H3429+H3427+H3424</f>
        <v>42885</v>
      </c>
      <c r="I3430" s="827"/>
    </row>
    <row r="3431" spans="3:11" ht="25.8" customHeight="1">
      <c r="C3431" s="566" t="s">
        <v>1220</v>
      </c>
      <c r="D3431" s="552" t="s">
        <v>1321</v>
      </c>
      <c r="E3431" s="553"/>
      <c r="F3431" s="554"/>
      <c r="G3431" s="555">
        <f>$M$9</f>
        <v>0.1</v>
      </c>
      <c r="H3431" s="539">
        <f>H3430*G3431</f>
        <v>4288.5</v>
      </c>
      <c r="I3431" s="827"/>
    </row>
    <row r="3432" spans="3:11" ht="25.8" customHeight="1">
      <c r="C3432" s="566" t="s">
        <v>1221</v>
      </c>
      <c r="D3432" s="552" t="s">
        <v>1222</v>
      </c>
      <c r="E3432" s="553"/>
      <c r="F3432" s="553"/>
      <c r="G3432" s="554"/>
      <c r="H3432" s="828">
        <f>SUM(H3430:H3431)</f>
        <v>47173.5</v>
      </c>
      <c r="I3432" s="827"/>
    </row>
    <row r="3433" spans="3:11" ht="25.8" customHeight="1">
      <c r="C3433" s="572"/>
      <c r="D3433" s="575"/>
      <c r="E3433" s="575"/>
      <c r="F3433" s="575"/>
      <c r="G3433" s="575"/>
      <c r="H3433" s="830"/>
    </row>
    <row r="3434" spans="3:11" ht="25.8" customHeight="1">
      <c r="C3434" s="513" t="s">
        <v>7878</v>
      </c>
      <c r="D3434" s="817" t="s">
        <v>7879</v>
      </c>
      <c r="E3434" s="803"/>
      <c r="F3434" s="803"/>
      <c r="G3434" s="803"/>
      <c r="H3434" s="803"/>
      <c r="I3434" s="533">
        <f>ROUNDDOWN(H3449,-2)</f>
        <v>47100</v>
      </c>
      <c r="J3434" s="536" t="s">
        <v>7804</v>
      </c>
      <c r="K3434" s="824"/>
    </row>
    <row r="3435" spans="3:11" ht="25.8" customHeight="1">
      <c r="C3435" s="716" t="s">
        <v>1195</v>
      </c>
      <c r="D3435" s="716" t="s">
        <v>1196</v>
      </c>
      <c r="E3435" s="716" t="s">
        <v>1197</v>
      </c>
      <c r="F3435" s="716" t="s">
        <v>1198</v>
      </c>
      <c r="G3435" s="716" t="s">
        <v>1199</v>
      </c>
      <c r="H3435" s="716" t="s">
        <v>1200</v>
      </c>
    </row>
    <row r="3436" spans="3:11" ht="25.8" customHeight="1">
      <c r="C3436" s="213" t="s">
        <v>1201</v>
      </c>
      <c r="D3436" s="212" t="s">
        <v>1202</v>
      </c>
      <c r="E3436" s="534"/>
      <c r="F3436" s="534"/>
      <c r="G3436" s="534"/>
      <c r="H3436" s="534"/>
    </row>
    <row r="3437" spans="3:11" ht="25.8" customHeight="1">
      <c r="C3437" s="818">
        <v>1</v>
      </c>
      <c r="D3437" s="212" t="s">
        <v>5</v>
      </c>
      <c r="E3437" s="212" t="s">
        <v>6</v>
      </c>
      <c r="F3437" s="538">
        <v>0.11899999999999999</v>
      </c>
      <c r="G3437" s="539">
        <f>VLOOKUP(D3437,upahbahan,3,FALSE)</f>
        <v>100000</v>
      </c>
      <c r="H3437" s="539">
        <f t="shared" ref="H3437:H3440" si="361">F3437*G3437</f>
        <v>11900</v>
      </c>
    </row>
    <row r="3438" spans="3:11" ht="25.8" customHeight="1">
      <c r="C3438" s="818">
        <v>2</v>
      </c>
      <c r="D3438" s="212" t="s">
        <v>3295</v>
      </c>
      <c r="E3438" s="212" t="s">
        <v>6</v>
      </c>
      <c r="F3438" s="538">
        <v>0.19900000000000001</v>
      </c>
      <c r="G3438" s="539">
        <f>VLOOKUP(D3438,upahbahan,3,FALSE)</f>
        <v>135000</v>
      </c>
      <c r="H3438" s="539">
        <f t="shared" si="361"/>
        <v>26865</v>
      </c>
    </row>
    <row r="3439" spans="3:11" ht="25.8" customHeight="1">
      <c r="C3439" s="818">
        <v>3</v>
      </c>
      <c r="D3439" s="212" t="s">
        <v>18</v>
      </c>
      <c r="E3439" s="212" t="s">
        <v>6</v>
      </c>
      <c r="F3439" s="538">
        <v>0.02</v>
      </c>
      <c r="G3439" s="539">
        <f>VLOOKUP(D3439,upahbahan,3,FALSE)</f>
        <v>150000</v>
      </c>
      <c r="H3439" s="539">
        <f t="shared" si="361"/>
        <v>3000</v>
      </c>
    </row>
    <row r="3440" spans="3:11" ht="25.8" customHeight="1">
      <c r="C3440" s="818">
        <v>4</v>
      </c>
      <c r="D3440" s="212" t="s">
        <v>19</v>
      </c>
      <c r="E3440" s="212" t="s">
        <v>6</v>
      </c>
      <c r="F3440" s="538">
        <v>7.0000000000000001E-3</v>
      </c>
      <c r="G3440" s="539">
        <f>VLOOKUP(D3440,upahbahan,3,FALSE)</f>
        <v>160000</v>
      </c>
      <c r="H3440" s="539">
        <f t="shared" si="361"/>
        <v>1120</v>
      </c>
    </row>
    <row r="3441" spans="3:11" ht="25.8" customHeight="1">
      <c r="C3441" s="702" t="s">
        <v>1208</v>
      </c>
      <c r="D3441" s="208"/>
      <c r="E3441" s="208"/>
      <c r="F3441" s="811"/>
      <c r="G3441" s="522"/>
      <c r="H3441" s="539">
        <f>SUM(H3437:H3440)</f>
        <v>42885</v>
      </c>
      <c r="I3441" s="819"/>
    </row>
    <row r="3442" spans="3:11" ht="25.8" customHeight="1">
      <c r="C3442" s="213" t="s">
        <v>1209</v>
      </c>
      <c r="D3442" s="212" t="s">
        <v>1210</v>
      </c>
      <c r="E3442" s="534"/>
      <c r="F3442" s="831"/>
      <c r="G3442" s="534"/>
      <c r="H3442" s="534"/>
    </row>
    <row r="3443" spans="3:11" ht="25.8" customHeight="1">
      <c r="C3443" s="833" t="s">
        <v>1203</v>
      </c>
      <c r="D3443" s="820" t="s">
        <v>7881</v>
      </c>
      <c r="E3443" s="807" t="s">
        <v>135</v>
      </c>
      <c r="F3443" s="832">
        <v>1.25</v>
      </c>
      <c r="G3443" s="539">
        <f>VLOOKUP(D3443,upahbahan,3,FALSE)</f>
        <v>0</v>
      </c>
      <c r="H3443" s="539">
        <f t="shared" ref="H3443" si="362">F3443*G3443</f>
        <v>0</v>
      </c>
    </row>
    <row r="3444" spans="3:11" ht="25.8" customHeight="1">
      <c r="C3444" s="702" t="s">
        <v>1214</v>
      </c>
      <c r="D3444" s="208"/>
      <c r="E3444" s="208"/>
      <c r="F3444" s="208"/>
      <c r="G3444" s="209"/>
      <c r="H3444" s="539">
        <f>SUM(H3443:H3443)</f>
        <v>0</v>
      </c>
    </row>
    <row r="3445" spans="3:11" ht="25.8" customHeight="1">
      <c r="C3445" s="213" t="s">
        <v>1215</v>
      </c>
      <c r="D3445" s="212" t="s">
        <v>1216</v>
      </c>
      <c r="E3445" s="534"/>
      <c r="F3445" s="534"/>
      <c r="G3445" s="534"/>
      <c r="H3445" s="534"/>
    </row>
    <row r="3446" spans="3:11" ht="25.8" customHeight="1">
      <c r="C3446" s="702" t="s">
        <v>1217</v>
      </c>
      <c r="D3446" s="208"/>
      <c r="E3446" s="208"/>
      <c r="F3446" s="208"/>
      <c r="G3446" s="209"/>
      <c r="H3446" s="821">
        <v>0</v>
      </c>
    </row>
    <row r="3447" spans="3:11" ht="25.8" customHeight="1">
      <c r="C3447" s="566" t="s">
        <v>1218</v>
      </c>
      <c r="D3447" s="552" t="s">
        <v>1219</v>
      </c>
      <c r="E3447" s="553"/>
      <c r="F3447" s="553"/>
      <c r="G3447" s="554"/>
      <c r="H3447" s="826">
        <f>H3446+H3444+H3441</f>
        <v>42885</v>
      </c>
      <c r="I3447" s="827"/>
    </row>
    <row r="3448" spans="3:11" ht="25.8" customHeight="1">
      <c r="C3448" s="566" t="s">
        <v>1220</v>
      </c>
      <c r="D3448" s="552" t="s">
        <v>1321</v>
      </c>
      <c r="E3448" s="553"/>
      <c r="F3448" s="554"/>
      <c r="G3448" s="555">
        <f>$M$9</f>
        <v>0.1</v>
      </c>
      <c r="H3448" s="539">
        <f>H3447*G3448</f>
        <v>4288.5</v>
      </c>
      <c r="I3448" s="827"/>
    </row>
    <row r="3449" spans="3:11" ht="25.8" customHeight="1">
      <c r="C3449" s="566" t="s">
        <v>1221</v>
      </c>
      <c r="D3449" s="552" t="s">
        <v>1222</v>
      </c>
      <c r="E3449" s="553"/>
      <c r="F3449" s="553"/>
      <c r="G3449" s="554"/>
      <c r="H3449" s="828">
        <f>SUM(H3447:H3448)</f>
        <v>47173.5</v>
      </c>
      <c r="I3449" s="827"/>
    </row>
    <row r="3450" spans="3:11" ht="25.8" customHeight="1">
      <c r="C3450" s="572"/>
      <c r="D3450" s="575"/>
      <c r="E3450" s="575"/>
      <c r="F3450" s="575"/>
      <c r="G3450" s="575"/>
      <c r="H3450" s="830"/>
    </row>
    <row r="3451" spans="3:11" ht="25.8" customHeight="1">
      <c r="C3451" s="513" t="s">
        <v>7882</v>
      </c>
      <c r="D3451" s="817" t="s">
        <v>7883</v>
      </c>
      <c r="E3451" s="803"/>
      <c r="F3451" s="803"/>
      <c r="G3451" s="803"/>
      <c r="H3451" s="803"/>
      <c r="I3451" s="533">
        <f>ROUNDDOWN(H3466,-2)</f>
        <v>70600</v>
      </c>
      <c r="J3451" s="536" t="s">
        <v>7804</v>
      </c>
      <c r="K3451" s="824"/>
    </row>
    <row r="3452" spans="3:11" ht="25.8" customHeight="1">
      <c r="C3452" s="716" t="s">
        <v>1195</v>
      </c>
      <c r="D3452" s="716" t="s">
        <v>1196</v>
      </c>
      <c r="E3452" s="716" t="s">
        <v>1197</v>
      </c>
      <c r="F3452" s="716" t="s">
        <v>1198</v>
      </c>
      <c r="G3452" s="716" t="s">
        <v>1199</v>
      </c>
      <c r="H3452" s="716" t="s">
        <v>1200</v>
      </c>
    </row>
    <row r="3453" spans="3:11" ht="25.8" customHeight="1">
      <c r="C3453" s="213" t="s">
        <v>1201</v>
      </c>
      <c r="D3453" s="212" t="s">
        <v>1202</v>
      </c>
      <c r="E3453" s="534"/>
      <c r="F3453" s="534"/>
      <c r="G3453" s="534"/>
      <c r="H3453" s="534"/>
    </row>
    <row r="3454" spans="3:11" ht="25.8" customHeight="1">
      <c r="C3454" s="818">
        <v>1</v>
      </c>
      <c r="D3454" s="212" t="s">
        <v>5</v>
      </c>
      <c r="E3454" s="212" t="s">
        <v>6</v>
      </c>
      <c r="F3454" s="538">
        <v>0.17899999999999999</v>
      </c>
      <c r="G3454" s="539">
        <f>VLOOKUP(D3454,upahbahan,3,FALSE)</f>
        <v>100000</v>
      </c>
      <c r="H3454" s="539">
        <f t="shared" ref="H3454:H3457" si="363">F3454*G3454</f>
        <v>17900</v>
      </c>
    </row>
    <row r="3455" spans="3:11" ht="25.8" customHeight="1">
      <c r="C3455" s="818">
        <v>2</v>
      </c>
      <c r="D3455" s="212" t="s">
        <v>3295</v>
      </c>
      <c r="E3455" s="212" t="s">
        <v>6</v>
      </c>
      <c r="F3455" s="538">
        <v>0.29799999999999999</v>
      </c>
      <c r="G3455" s="539">
        <f>VLOOKUP(D3455,upahbahan,3,FALSE)</f>
        <v>135000</v>
      </c>
      <c r="H3455" s="539">
        <f t="shared" si="363"/>
        <v>40230</v>
      </c>
    </row>
    <row r="3456" spans="3:11" ht="25.8" customHeight="1">
      <c r="C3456" s="818">
        <v>3</v>
      </c>
      <c r="D3456" s="212" t="s">
        <v>18</v>
      </c>
      <c r="E3456" s="212" t="s">
        <v>6</v>
      </c>
      <c r="F3456" s="538">
        <v>0.03</v>
      </c>
      <c r="G3456" s="539">
        <f>VLOOKUP(D3456,upahbahan,3,FALSE)</f>
        <v>150000</v>
      </c>
      <c r="H3456" s="539">
        <f t="shared" si="363"/>
        <v>4500</v>
      </c>
    </row>
    <row r="3457" spans="3:11" ht="25.8" customHeight="1">
      <c r="C3457" s="818">
        <v>4</v>
      </c>
      <c r="D3457" s="212" t="s">
        <v>19</v>
      </c>
      <c r="E3457" s="212" t="s">
        <v>6</v>
      </c>
      <c r="F3457" s="538">
        <v>0.01</v>
      </c>
      <c r="G3457" s="539">
        <f>VLOOKUP(D3457,upahbahan,3,FALSE)</f>
        <v>160000</v>
      </c>
      <c r="H3457" s="539">
        <f t="shared" si="363"/>
        <v>1600</v>
      </c>
    </row>
    <row r="3458" spans="3:11" ht="25.8" customHeight="1">
      <c r="C3458" s="702" t="s">
        <v>1208</v>
      </c>
      <c r="D3458" s="208"/>
      <c r="E3458" s="208"/>
      <c r="F3458" s="811"/>
      <c r="G3458" s="522"/>
      <c r="H3458" s="539">
        <f>SUM(H3454:H3457)</f>
        <v>64230</v>
      </c>
      <c r="I3458" s="819"/>
    </row>
    <row r="3459" spans="3:11" ht="25.8" customHeight="1">
      <c r="C3459" s="213" t="s">
        <v>1209</v>
      </c>
      <c r="D3459" s="212" t="s">
        <v>1210</v>
      </c>
      <c r="E3459" s="534"/>
      <c r="F3459" s="831">
        <v>1.2</v>
      </c>
      <c r="G3459" s="534"/>
      <c r="H3459" s="534"/>
    </row>
    <row r="3460" spans="3:11" ht="25.8" customHeight="1">
      <c r="C3460" s="833" t="s">
        <v>1203</v>
      </c>
      <c r="D3460" s="820" t="s">
        <v>7887</v>
      </c>
      <c r="E3460" s="807" t="s">
        <v>135</v>
      </c>
      <c r="F3460" s="832">
        <v>1.25</v>
      </c>
      <c r="G3460" s="539">
        <f>VLOOKUP(D3460,upahbahan,3,FALSE)</f>
        <v>0</v>
      </c>
      <c r="H3460" s="539">
        <f t="shared" ref="H3460" si="364">F3460*G3460</f>
        <v>0</v>
      </c>
    </row>
    <row r="3461" spans="3:11" ht="25.8" customHeight="1">
      <c r="C3461" s="702" t="s">
        <v>1214</v>
      </c>
      <c r="D3461" s="208"/>
      <c r="E3461" s="208"/>
      <c r="F3461" s="208"/>
      <c r="G3461" s="209"/>
      <c r="H3461" s="539">
        <f>SUM(H3460:H3460)</f>
        <v>0</v>
      </c>
    </row>
    <row r="3462" spans="3:11" ht="25.8" customHeight="1">
      <c r="C3462" s="213" t="s">
        <v>1215</v>
      </c>
      <c r="D3462" s="212" t="s">
        <v>1216</v>
      </c>
      <c r="E3462" s="534"/>
      <c r="F3462" s="534"/>
      <c r="G3462" s="534"/>
      <c r="H3462" s="534"/>
    </row>
    <row r="3463" spans="3:11" ht="25.8" customHeight="1">
      <c r="C3463" s="702" t="s">
        <v>1217</v>
      </c>
      <c r="D3463" s="208"/>
      <c r="E3463" s="208"/>
      <c r="F3463" s="208"/>
      <c r="G3463" s="209"/>
      <c r="H3463" s="821">
        <v>0</v>
      </c>
    </row>
    <row r="3464" spans="3:11" ht="25.8" customHeight="1">
      <c r="C3464" s="566" t="s">
        <v>1218</v>
      </c>
      <c r="D3464" s="552" t="s">
        <v>1219</v>
      </c>
      <c r="E3464" s="553"/>
      <c r="F3464" s="553"/>
      <c r="G3464" s="554"/>
      <c r="H3464" s="826">
        <f>H3463+H3461+H3458</f>
        <v>64230</v>
      </c>
      <c r="I3464" s="827"/>
    </row>
    <row r="3465" spans="3:11" ht="25.8" customHeight="1">
      <c r="C3465" s="566" t="s">
        <v>1220</v>
      </c>
      <c r="D3465" s="552" t="s">
        <v>1321</v>
      </c>
      <c r="E3465" s="553"/>
      <c r="F3465" s="554"/>
      <c r="G3465" s="555">
        <f>$M$9</f>
        <v>0.1</v>
      </c>
      <c r="H3465" s="539">
        <f>H3464*G3465</f>
        <v>6423</v>
      </c>
      <c r="I3465" s="827"/>
    </row>
    <row r="3466" spans="3:11" ht="25.8" customHeight="1">
      <c r="C3466" s="566" t="s">
        <v>1221</v>
      </c>
      <c r="D3466" s="552" t="s">
        <v>1222</v>
      </c>
      <c r="E3466" s="553"/>
      <c r="F3466" s="553"/>
      <c r="G3466" s="554"/>
      <c r="H3466" s="828">
        <f>SUM(H3464:H3465)</f>
        <v>70653</v>
      </c>
      <c r="I3466" s="827"/>
    </row>
    <row r="3467" spans="3:11" ht="25.8" customHeight="1">
      <c r="C3467" s="572"/>
      <c r="D3467" s="575"/>
      <c r="E3467" s="575"/>
      <c r="F3467" s="575"/>
      <c r="G3467" s="575"/>
      <c r="H3467" s="830"/>
    </row>
    <row r="3468" spans="3:11" ht="25.8" customHeight="1">
      <c r="C3468" s="513" t="s">
        <v>7885</v>
      </c>
      <c r="D3468" s="817" t="s">
        <v>7886</v>
      </c>
      <c r="E3468" s="803"/>
      <c r="F3468" s="803"/>
      <c r="G3468" s="803"/>
      <c r="H3468" s="803"/>
      <c r="I3468" s="533">
        <f>ROUNDDOWN(H3483,-2)</f>
        <v>47100</v>
      </c>
      <c r="J3468" s="536" t="s">
        <v>7804</v>
      </c>
      <c r="K3468" s="824"/>
    </row>
    <row r="3469" spans="3:11" ht="25.8" customHeight="1">
      <c r="C3469" s="716" t="s">
        <v>1195</v>
      </c>
      <c r="D3469" s="716" t="s">
        <v>1196</v>
      </c>
      <c r="E3469" s="716" t="s">
        <v>1197</v>
      </c>
      <c r="F3469" s="716" t="s">
        <v>1198</v>
      </c>
      <c r="G3469" s="716" t="s">
        <v>1199</v>
      </c>
      <c r="H3469" s="716" t="s">
        <v>1200</v>
      </c>
    </row>
    <row r="3470" spans="3:11" ht="25.8" customHeight="1">
      <c r="C3470" s="213" t="s">
        <v>1201</v>
      </c>
      <c r="D3470" s="212" t="s">
        <v>1202</v>
      </c>
      <c r="E3470" s="534"/>
      <c r="F3470" s="534"/>
      <c r="G3470" s="534"/>
      <c r="H3470" s="534"/>
    </row>
    <row r="3471" spans="3:11" ht="25.8" customHeight="1">
      <c r="C3471" s="818">
        <v>1</v>
      </c>
      <c r="D3471" s="212" t="s">
        <v>5</v>
      </c>
      <c r="E3471" s="212" t="s">
        <v>6</v>
      </c>
      <c r="F3471" s="538">
        <v>0.11899999999999999</v>
      </c>
      <c r="G3471" s="539">
        <f>VLOOKUP(D3471,upahbahan,3,FALSE)</f>
        <v>100000</v>
      </c>
      <c r="H3471" s="539">
        <f t="shared" ref="H3471:H3474" si="365">F3471*G3471</f>
        <v>11900</v>
      </c>
    </row>
    <row r="3472" spans="3:11" ht="25.8" customHeight="1">
      <c r="C3472" s="818">
        <v>2</v>
      </c>
      <c r="D3472" s="212" t="s">
        <v>3295</v>
      </c>
      <c r="E3472" s="212" t="s">
        <v>6</v>
      </c>
      <c r="F3472" s="538">
        <v>0.19900000000000001</v>
      </c>
      <c r="G3472" s="539">
        <f>VLOOKUP(D3472,upahbahan,3,FALSE)</f>
        <v>135000</v>
      </c>
      <c r="H3472" s="539">
        <f t="shared" si="365"/>
        <v>26865</v>
      </c>
    </row>
    <row r="3473" spans="3:11" ht="25.8" customHeight="1">
      <c r="C3473" s="818">
        <v>3</v>
      </c>
      <c r="D3473" s="212" t="s">
        <v>18</v>
      </c>
      <c r="E3473" s="212" t="s">
        <v>6</v>
      </c>
      <c r="F3473" s="538">
        <v>0.02</v>
      </c>
      <c r="G3473" s="539">
        <f>VLOOKUP(D3473,upahbahan,3,FALSE)</f>
        <v>150000</v>
      </c>
      <c r="H3473" s="539">
        <f t="shared" si="365"/>
        <v>3000</v>
      </c>
    </row>
    <row r="3474" spans="3:11" ht="25.8" customHeight="1">
      <c r="C3474" s="818">
        <v>4</v>
      </c>
      <c r="D3474" s="212" t="s">
        <v>19</v>
      </c>
      <c r="E3474" s="212" t="s">
        <v>6</v>
      </c>
      <c r="F3474" s="538">
        <v>7.0000000000000001E-3</v>
      </c>
      <c r="G3474" s="539">
        <f>VLOOKUP(D3474,upahbahan,3,FALSE)</f>
        <v>160000</v>
      </c>
      <c r="H3474" s="539">
        <f t="shared" si="365"/>
        <v>1120</v>
      </c>
    </row>
    <row r="3475" spans="3:11" ht="25.8" customHeight="1">
      <c r="C3475" s="702" t="s">
        <v>1208</v>
      </c>
      <c r="D3475" s="208"/>
      <c r="E3475" s="208"/>
      <c r="F3475" s="811"/>
      <c r="G3475" s="522"/>
      <c r="H3475" s="539">
        <f>SUM(H3471:H3474)</f>
        <v>42885</v>
      </c>
      <c r="I3475" s="819"/>
    </row>
    <row r="3476" spans="3:11" ht="25.8" customHeight="1">
      <c r="C3476" s="213" t="s">
        <v>1209</v>
      </c>
      <c r="D3476" s="212" t="s">
        <v>1210</v>
      </c>
      <c r="E3476" s="534"/>
      <c r="F3476" s="831"/>
      <c r="G3476" s="534"/>
      <c r="H3476" s="534"/>
    </row>
    <row r="3477" spans="3:11" ht="25.8" customHeight="1">
      <c r="C3477" s="833" t="s">
        <v>1203</v>
      </c>
      <c r="D3477" s="820" t="s">
        <v>7887</v>
      </c>
      <c r="E3477" s="807" t="s">
        <v>135</v>
      </c>
      <c r="F3477" s="832">
        <v>1.25</v>
      </c>
      <c r="G3477" s="539">
        <f>VLOOKUP(D3477,upahbahan,3,FALSE)</f>
        <v>0</v>
      </c>
      <c r="H3477" s="539">
        <f t="shared" ref="H3477" si="366">F3477*G3477</f>
        <v>0</v>
      </c>
    </row>
    <row r="3478" spans="3:11" ht="25.8" customHeight="1">
      <c r="C3478" s="702" t="s">
        <v>1214</v>
      </c>
      <c r="D3478" s="208"/>
      <c r="E3478" s="208"/>
      <c r="F3478" s="208"/>
      <c r="G3478" s="209"/>
      <c r="H3478" s="539">
        <f>SUM(H3477:H3477)</f>
        <v>0</v>
      </c>
    </row>
    <row r="3479" spans="3:11" ht="25.8" customHeight="1">
      <c r="C3479" s="213" t="s">
        <v>1215</v>
      </c>
      <c r="D3479" s="212" t="s">
        <v>1216</v>
      </c>
      <c r="E3479" s="534"/>
      <c r="F3479" s="534"/>
      <c r="G3479" s="534"/>
      <c r="H3479" s="534"/>
    </row>
    <row r="3480" spans="3:11" ht="25.8" customHeight="1">
      <c r="C3480" s="702" t="s">
        <v>1217</v>
      </c>
      <c r="D3480" s="208"/>
      <c r="E3480" s="208"/>
      <c r="F3480" s="208"/>
      <c r="G3480" s="209"/>
      <c r="H3480" s="821">
        <v>0</v>
      </c>
    </row>
    <row r="3481" spans="3:11" ht="25.8" customHeight="1">
      <c r="C3481" s="566" t="s">
        <v>1218</v>
      </c>
      <c r="D3481" s="552" t="s">
        <v>1219</v>
      </c>
      <c r="E3481" s="553"/>
      <c r="F3481" s="553"/>
      <c r="G3481" s="554"/>
      <c r="H3481" s="826">
        <f>H3480+H3478+H3475</f>
        <v>42885</v>
      </c>
      <c r="I3481" s="827"/>
    </row>
    <row r="3482" spans="3:11" ht="25.8" customHeight="1">
      <c r="C3482" s="566" t="s">
        <v>1220</v>
      </c>
      <c r="D3482" s="552" t="s">
        <v>1321</v>
      </c>
      <c r="E3482" s="553"/>
      <c r="F3482" s="554"/>
      <c r="G3482" s="555">
        <f>$M$9</f>
        <v>0.1</v>
      </c>
      <c r="H3482" s="539">
        <f>H3481*G3482</f>
        <v>4288.5</v>
      </c>
      <c r="I3482" s="827"/>
    </row>
    <row r="3483" spans="3:11" ht="25.8" customHeight="1">
      <c r="C3483" s="566" t="s">
        <v>1221</v>
      </c>
      <c r="D3483" s="552" t="s">
        <v>1222</v>
      </c>
      <c r="E3483" s="553"/>
      <c r="F3483" s="553"/>
      <c r="G3483" s="554"/>
      <c r="H3483" s="828">
        <f>SUM(H3481:H3482)</f>
        <v>47173.5</v>
      </c>
      <c r="I3483" s="827"/>
    </row>
    <row r="3484" spans="3:11" ht="25.8" customHeight="1">
      <c r="C3484" s="572"/>
      <c r="D3484" s="575"/>
      <c r="E3484" s="575"/>
      <c r="F3484" s="575"/>
      <c r="G3484" s="575"/>
      <c r="H3484" s="830"/>
    </row>
    <row r="3485" spans="3:11" ht="25.8" customHeight="1">
      <c r="C3485" s="513" t="s">
        <v>7892</v>
      </c>
      <c r="D3485" s="817" t="s">
        <v>7888</v>
      </c>
      <c r="E3485" s="803"/>
      <c r="F3485" s="803"/>
      <c r="G3485" s="803"/>
      <c r="H3485" s="803"/>
      <c r="I3485" s="533">
        <f>ROUNDDOWN(H3500,-2)</f>
        <v>70600</v>
      </c>
      <c r="J3485" s="536" t="s">
        <v>7804</v>
      </c>
      <c r="K3485" s="824"/>
    </row>
    <row r="3486" spans="3:11" ht="25.8" customHeight="1">
      <c r="C3486" s="716" t="s">
        <v>1195</v>
      </c>
      <c r="D3486" s="716" t="s">
        <v>1196</v>
      </c>
      <c r="E3486" s="716" t="s">
        <v>1197</v>
      </c>
      <c r="F3486" s="716" t="s">
        <v>1198</v>
      </c>
      <c r="G3486" s="716" t="s">
        <v>1199</v>
      </c>
      <c r="H3486" s="716" t="s">
        <v>1200</v>
      </c>
    </row>
    <row r="3487" spans="3:11" ht="25.8" customHeight="1">
      <c r="C3487" s="213" t="s">
        <v>1201</v>
      </c>
      <c r="D3487" s="212" t="s">
        <v>1202</v>
      </c>
      <c r="E3487" s="534"/>
      <c r="F3487" s="534"/>
      <c r="G3487" s="534"/>
      <c r="H3487" s="534"/>
    </row>
    <row r="3488" spans="3:11" ht="25.8" customHeight="1">
      <c r="C3488" s="818">
        <v>1</v>
      </c>
      <c r="D3488" s="212" t="s">
        <v>5</v>
      </c>
      <c r="E3488" s="212" t="s">
        <v>6</v>
      </c>
      <c r="F3488" s="538">
        <v>0.17899999999999999</v>
      </c>
      <c r="G3488" s="539">
        <f>VLOOKUP(D3488,upahbahan,3,FALSE)</f>
        <v>100000</v>
      </c>
      <c r="H3488" s="539">
        <f t="shared" ref="H3488:H3491" si="367">F3488*G3488</f>
        <v>17900</v>
      </c>
    </row>
    <row r="3489" spans="3:11" ht="25.8" customHeight="1">
      <c r="C3489" s="818">
        <v>2</v>
      </c>
      <c r="D3489" s="212" t="s">
        <v>3295</v>
      </c>
      <c r="E3489" s="212" t="s">
        <v>6</v>
      </c>
      <c r="F3489" s="538">
        <v>0.29799999999999999</v>
      </c>
      <c r="G3489" s="539">
        <f>VLOOKUP(D3489,upahbahan,3,FALSE)</f>
        <v>135000</v>
      </c>
      <c r="H3489" s="539">
        <f t="shared" si="367"/>
        <v>40230</v>
      </c>
    </row>
    <row r="3490" spans="3:11" ht="25.8" customHeight="1">
      <c r="C3490" s="818">
        <v>3</v>
      </c>
      <c r="D3490" s="212" t="s">
        <v>18</v>
      </c>
      <c r="E3490" s="212" t="s">
        <v>6</v>
      </c>
      <c r="F3490" s="538">
        <v>0.03</v>
      </c>
      <c r="G3490" s="539">
        <f>VLOOKUP(D3490,upahbahan,3,FALSE)</f>
        <v>150000</v>
      </c>
      <c r="H3490" s="539">
        <f t="shared" si="367"/>
        <v>4500</v>
      </c>
    </row>
    <row r="3491" spans="3:11" ht="25.8" customHeight="1">
      <c r="C3491" s="818">
        <v>4</v>
      </c>
      <c r="D3491" s="212" t="s">
        <v>19</v>
      </c>
      <c r="E3491" s="212" t="s">
        <v>6</v>
      </c>
      <c r="F3491" s="538">
        <v>0.01</v>
      </c>
      <c r="G3491" s="539">
        <f>VLOOKUP(D3491,upahbahan,3,FALSE)</f>
        <v>160000</v>
      </c>
      <c r="H3491" s="539">
        <f t="shared" si="367"/>
        <v>1600</v>
      </c>
    </row>
    <row r="3492" spans="3:11" ht="25.8" customHeight="1">
      <c r="C3492" s="702" t="s">
        <v>1208</v>
      </c>
      <c r="D3492" s="208"/>
      <c r="E3492" s="208"/>
      <c r="F3492" s="811"/>
      <c r="G3492" s="522"/>
      <c r="H3492" s="539">
        <f>SUM(H3488:H3491)</f>
        <v>64230</v>
      </c>
      <c r="I3492" s="819"/>
    </row>
    <row r="3493" spans="3:11" ht="25.8" customHeight="1">
      <c r="C3493" s="213" t="s">
        <v>1209</v>
      </c>
      <c r="D3493" s="212" t="s">
        <v>1210</v>
      </c>
      <c r="E3493" s="534"/>
      <c r="F3493" s="831"/>
      <c r="G3493" s="534"/>
      <c r="H3493" s="534"/>
    </row>
    <row r="3494" spans="3:11" ht="25.8" customHeight="1">
      <c r="C3494" s="833" t="s">
        <v>1203</v>
      </c>
      <c r="D3494" s="820" t="s">
        <v>7889</v>
      </c>
      <c r="E3494" s="807" t="s">
        <v>135</v>
      </c>
      <c r="F3494" s="832">
        <v>1.2</v>
      </c>
      <c r="G3494" s="539">
        <f>VLOOKUP(D3494,upahbahan,3,FALSE)</f>
        <v>0</v>
      </c>
      <c r="H3494" s="539">
        <f t="shared" ref="H3494" si="368">F3494*G3494</f>
        <v>0</v>
      </c>
    </row>
    <row r="3495" spans="3:11" ht="25.8" customHeight="1">
      <c r="C3495" s="702" t="s">
        <v>1214</v>
      </c>
      <c r="D3495" s="208"/>
      <c r="E3495" s="208"/>
      <c r="F3495" s="208"/>
      <c r="G3495" s="209"/>
      <c r="H3495" s="539">
        <f>SUM(H3494:H3494)</f>
        <v>0</v>
      </c>
    </row>
    <row r="3496" spans="3:11" ht="25.8" customHeight="1">
      <c r="C3496" s="213" t="s">
        <v>1215</v>
      </c>
      <c r="D3496" s="212" t="s">
        <v>1216</v>
      </c>
      <c r="E3496" s="534"/>
      <c r="F3496" s="534"/>
      <c r="G3496" s="534"/>
      <c r="H3496" s="534"/>
    </row>
    <row r="3497" spans="3:11" ht="25.8" customHeight="1">
      <c r="C3497" s="702" t="s">
        <v>1217</v>
      </c>
      <c r="D3497" s="208"/>
      <c r="E3497" s="208"/>
      <c r="F3497" s="208"/>
      <c r="G3497" s="209"/>
      <c r="H3497" s="821">
        <v>0</v>
      </c>
    </row>
    <row r="3498" spans="3:11" ht="25.8" customHeight="1">
      <c r="C3498" s="566" t="s">
        <v>1218</v>
      </c>
      <c r="D3498" s="552" t="s">
        <v>1219</v>
      </c>
      <c r="E3498" s="553"/>
      <c r="F3498" s="553"/>
      <c r="G3498" s="554"/>
      <c r="H3498" s="826">
        <f>H3497+H3495+H3492</f>
        <v>64230</v>
      </c>
      <c r="I3498" s="827"/>
    </row>
    <row r="3499" spans="3:11" ht="25.8" customHeight="1">
      <c r="C3499" s="566" t="s">
        <v>1220</v>
      </c>
      <c r="D3499" s="552" t="s">
        <v>1321</v>
      </c>
      <c r="E3499" s="553"/>
      <c r="F3499" s="554"/>
      <c r="G3499" s="555">
        <f>$M$9</f>
        <v>0.1</v>
      </c>
      <c r="H3499" s="539">
        <f>H3498*G3499</f>
        <v>6423</v>
      </c>
      <c r="I3499" s="827"/>
    </row>
    <row r="3500" spans="3:11" ht="25.8" customHeight="1">
      <c r="C3500" s="566" t="s">
        <v>1221</v>
      </c>
      <c r="D3500" s="552" t="s">
        <v>1222</v>
      </c>
      <c r="E3500" s="553"/>
      <c r="F3500" s="553"/>
      <c r="G3500" s="554"/>
      <c r="H3500" s="828">
        <f>SUM(H3498:H3499)</f>
        <v>70653</v>
      </c>
      <c r="I3500" s="827"/>
    </row>
    <row r="3501" spans="3:11" ht="25.8" customHeight="1">
      <c r="C3501" s="572"/>
      <c r="D3501" s="575"/>
      <c r="E3501" s="575"/>
      <c r="F3501" s="575"/>
      <c r="G3501" s="575"/>
      <c r="H3501" s="830"/>
    </row>
    <row r="3502" spans="3:11" ht="25.8" customHeight="1">
      <c r="C3502" s="513" t="s">
        <v>7893</v>
      </c>
      <c r="D3502" s="817" t="s">
        <v>7890</v>
      </c>
      <c r="E3502" s="803"/>
      <c r="F3502" s="803"/>
      <c r="G3502" s="803"/>
      <c r="H3502" s="803"/>
      <c r="I3502" s="533">
        <f>ROUNDDOWN(H3517,-2)</f>
        <v>70600</v>
      </c>
      <c r="J3502" s="536" t="s">
        <v>7804</v>
      </c>
      <c r="K3502" s="824"/>
    </row>
    <row r="3503" spans="3:11" ht="25.8" customHeight="1">
      <c r="C3503" s="716" t="s">
        <v>1195</v>
      </c>
      <c r="D3503" s="716" t="s">
        <v>1196</v>
      </c>
      <c r="E3503" s="716" t="s">
        <v>1197</v>
      </c>
      <c r="F3503" s="716" t="s">
        <v>1198</v>
      </c>
      <c r="G3503" s="716" t="s">
        <v>1199</v>
      </c>
      <c r="H3503" s="716" t="s">
        <v>1200</v>
      </c>
    </row>
    <row r="3504" spans="3:11" ht="25.8" customHeight="1">
      <c r="C3504" s="213" t="s">
        <v>1201</v>
      </c>
      <c r="D3504" s="212" t="s">
        <v>1202</v>
      </c>
      <c r="E3504" s="534"/>
      <c r="F3504" s="534"/>
      <c r="G3504" s="534"/>
      <c r="H3504" s="534"/>
    </row>
    <row r="3505" spans="3:11" ht="25.8" customHeight="1">
      <c r="C3505" s="818">
        <v>1</v>
      </c>
      <c r="D3505" s="212" t="s">
        <v>5</v>
      </c>
      <c r="E3505" s="212" t="s">
        <v>6</v>
      </c>
      <c r="F3505" s="538">
        <v>0.17899999999999999</v>
      </c>
      <c r="G3505" s="539">
        <f>VLOOKUP(D3505,upahbahan,3,FALSE)</f>
        <v>100000</v>
      </c>
      <c r="H3505" s="539">
        <f t="shared" ref="H3505:H3508" si="369">F3505*G3505</f>
        <v>17900</v>
      </c>
    </row>
    <row r="3506" spans="3:11" ht="25.8" customHeight="1">
      <c r="C3506" s="818">
        <v>2</v>
      </c>
      <c r="D3506" s="212" t="s">
        <v>3295</v>
      </c>
      <c r="E3506" s="212" t="s">
        <v>6</v>
      </c>
      <c r="F3506" s="538">
        <v>0.29799999999999999</v>
      </c>
      <c r="G3506" s="539">
        <f>VLOOKUP(D3506,upahbahan,3,FALSE)</f>
        <v>135000</v>
      </c>
      <c r="H3506" s="539">
        <f t="shared" si="369"/>
        <v>40230</v>
      </c>
    </row>
    <row r="3507" spans="3:11" ht="25.8" customHeight="1">
      <c r="C3507" s="818">
        <v>3</v>
      </c>
      <c r="D3507" s="212" t="s">
        <v>18</v>
      </c>
      <c r="E3507" s="212" t="s">
        <v>6</v>
      </c>
      <c r="F3507" s="538">
        <v>0.03</v>
      </c>
      <c r="G3507" s="539">
        <f>VLOOKUP(D3507,upahbahan,3,FALSE)</f>
        <v>150000</v>
      </c>
      <c r="H3507" s="539">
        <f t="shared" si="369"/>
        <v>4500</v>
      </c>
    </row>
    <row r="3508" spans="3:11" ht="25.8" customHeight="1">
      <c r="C3508" s="818">
        <v>4</v>
      </c>
      <c r="D3508" s="212" t="s">
        <v>19</v>
      </c>
      <c r="E3508" s="212" t="s">
        <v>6</v>
      </c>
      <c r="F3508" s="538">
        <v>0.01</v>
      </c>
      <c r="G3508" s="539">
        <f>VLOOKUP(D3508,upahbahan,3,FALSE)</f>
        <v>160000</v>
      </c>
      <c r="H3508" s="539">
        <f t="shared" si="369"/>
        <v>1600</v>
      </c>
    </row>
    <row r="3509" spans="3:11" ht="25.8" customHeight="1">
      <c r="C3509" s="702" t="s">
        <v>1208</v>
      </c>
      <c r="D3509" s="208"/>
      <c r="E3509" s="208"/>
      <c r="F3509" s="811"/>
      <c r="G3509" s="522"/>
      <c r="H3509" s="539">
        <f>SUM(H3505:H3508)</f>
        <v>64230</v>
      </c>
      <c r="I3509" s="819"/>
    </row>
    <row r="3510" spans="3:11" ht="25.8" customHeight="1">
      <c r="C3510" s="213" t="s">
        <v>1209</v>
      </c>
      <c r="D3510" s="212" t="s">
        <v>1210</v>
      </c>
      <c r="E3510" s="534"/>
      <c r="F3510" s="831"/>
      <c r="G3510" s="534"/>
      <c r="H3510" s="534"/>
    </row>
    <row r="3511" spans="3:11" ht="25.8" customHeight="1">
      <c r="C3511" s="833" t="s">
        <v>1203</v>
      </c>
      <c r="D3511" s="820" t="s">
        <v>7891</v>
      </c>
      <c r="E3511" s="807" t="s">
        <v>135</v>
      </c>
      <c r="F3511" s="832">
        <v>1.2</v>
      </c>
      <c r="G3511" s="539">
        <f>VLOOKUP(D3511,upahbahan,3,FALSE)</f>
        <v>0</v>
      </c>
      <c r="H3511" s="539">
        <f t="shared" ref="H3511" si="370">F3511*G3511</f>
        <v>0</v>
      </c>
    </row>
    <row r="3512" spans="3:11" ht="25.8" customHeight="1">
      <c r="C3512" s="702" t="s">
        <v>1214</v>
      </c>
      <c r="D3512" s="208"/>
      <c r="E3512" s="208"/>
      <c r="F3512" s="208"/>
      <c r="G3512" s="209"/>
      <c r="H3512" s="539">
        <f>SUM(H3511:H3511)</f>
        <v>0</v>
      </c>
    </row>
    <row r="3513" spans="3:11" ht="25.8" customHeight="1">
      <c r="C3513" s="213" t="s">
        <v>1215</v>
      </c>
      <c r="D3513" s="212" t="s">
        <v>1216</v>
      </c>
      <c r="E3513" s="534"/>
      <c r="F3513" s="534"/>
      <c r="G3513" s="534"/>
      <c r="H3513" s="534"/>
    </row>
    <row r="3514" spans="3:11" ht="25.8" customHeight="1">
      <c r="C3514" s="702" t="s">
        <v>1217</v>
      </c>
      <c r="D3514" s="208"/>
      <c r="E3514" s="208"/>
      <c r="F3514" s="208"/>
      <c r="G3514" s="209"/>
      <c r="H3514" s="821">
        <v>0</v>
      </c>
    </row>
    <row r="3515" spans="3:11" ht="25.8" customHeight="1">
      <c r="C3515" s="566" t="s">
        <v>1218</v>
      </c>
      <c r="D3515" s="552" t="s">
        <v>1219</v>
      </c>
      <c r="E3515" s="553"/>
      <c r="F3515" s="553"/>
      <c r="G3515" s="554"/>
      <c r="H3515" s="826">
        <f>H3514+H3512+H3509</f>
        <v>64230</v>
      </c>
      <c r="I3515" s="827"/>
    </row>
    <row r="3516" spans="3:11" ht="25.8" customHeight="1">
      <c r="C3516" s="566" t="s">
        <v>1220</v>
      </c>
      <c r="D3516" s="552" t="s">
        <v>1321</v>
      </c>
      <c r="E3516" s="553"/>
      <c r="F3516" s="554"/>
      <c r="G3516" s="555">
        <f>$M$9</f>
        <v>0.1</v>
      </c>
      <c r="H3516" s="539">
        <f>H3515*G3516</f>
        <v>6423</v>
      </c>
      <c r="I3516" s="827"/>
    </row>
    <row r="3517" spans="3:11" ht="25.8" customHeight="1">
      <c r="C3517" s="566" t="s">
        <v>1221</v>
      </c>
      <c r="D3517" s="552" t="s">
        <v>1222</v>
      </c>
      <c r="E3517" s="553"/>
      <c r="F3517" s="553"/>
      <c r="G3517" s="554"/>
      <c r="H3517" s="828">
        <f>SUM(H3515:H3516)</f>
        <v>70653</v>
      </c>
      <c r="I3517" s="827"/>
    </row>
    <row r="3518" spans="3:11" ht="25.8" customHeight="1">
      <c r="C3518" s="572"/>
      <c r="D3518" s="575"/>
      <c r="E3518" s="575"/>
      <c r="F3518" s="575"/>
      <c r="G3518" s="575"/>
      <c r="H3518" s="830"/>
    </row>
    <row r="3519" spans="3:11" ht="25.8" customHeight="1">
      <c r="C3519" s="513" t="s">
        <v>7894</v>
      </c>
      <c r="D3519" s="817" t="s">
        <v>7895</v>
      </c>
      <c r="E3519" s="803"/>
      <c r="F3519" s="803"/>
      <c r="G3519" s="803"/>
      <c r="H3519" s="803"/>
      <c r="I3519" s="533">
        <f>ROUNDDOWN(H3534,-2)</f>
        <v>70600</v>
      </c>
      <c r="J3519" s="536" t="s">
        <v>7804</v>
      </c>
      <c r="K3519" s="824"/>
    </row>
    <row r="3520" spans="3:11" ht="25.8" customHeight="1">
      <c r="C3520" s="716" t="s">
        <v>1195</v>
      </c>
      <c r="D3520" s="716" t="s">
        <v>1196</v>
      </c>
      <c r="E3520" s="716" t="s">
        <v>1197</v>
      </c>
      <c r="F3520" s="716" t="s">
        <v>1198</v>
      </c>
      <c r="G3520" s="716" t="s">
        <v>1199</v>
      </c>
      <c r="H3520" s="716" t="s">
        <v>1200</v>
      </c>
    </row>
    <row r="3521" spans="3:11" ht="25.8" customHeight="1">
      <c r="C3521" s="213" t="s">
        <v>1201</v>
      </c>
      <c r="D3521" s="212" t="s">
        <v>1202</v>
      </c>
      <c r="E3521" s="534"/>
      <c r="F3521" s="534"/>
      <c r="G3521" s="534"/>
      <c r="H3521" s="534"/>
    </row>
    <row r="3522" spans="3:11" ht="25.8" customHeight="1">
      <c r="C3522" s="818">
        <v>1</v>
      </c>
      <c r="D3522" s="212" t="s">
        <v>5</v>
      </c>
      <c r="E3522" s="212" t="s">
        <v>6</v>
      </c>
      <c r="F3522" s="538">
        <v>0.17899999999999999</v>
      </c>
      <c r="G3522" s="539">
        <f>VLOOKUP(D3522,upahbahan,3,FALSE)</f>
        <v>100000</v>
      </c>
      <c r="H3522" s="539">
        <f t="shared" ref="H3522:H3525" si="371">F3522*G3522</f>
        <v>17900</v>
      </c>
    </row>
    <row r="3523" spans="3:11" ht="25.8" customHeight="1">
      <c r="C3523" s="818">
        <v>2</v>
      </c>
      <c r="D3523" s="212" t="s">
        <v>3295</v>
      </c>
      <c r="E3523" s="212" t="s">
        <v>6</v>
      </c>
      <c r="F3523" s="538">
        <v>0.29799999999999999</v>
      </c>
      <c r="G3523" s="539">
        <f>VLOOKUP(D3523,upahbahan,3,FALSE)</f>
        <v>135000</v>
      </c>
      <c r="H3523" s="539">
        <f t="shared" si="371"/>
        <v>40230</v>
      </c>
    </row>
    <row r="3524" spans="3:11" ht="25.8" customHeight="1">
      <c r="C3524" s="818">
        <v>3</v>
      </c>
      <c r="D3524" s="212" t="s">
        <v>18</v>
      </c>
      <c r="E3524" s="212" t="s">
        <v>6</v>
      </c>
      <c r="F3524" s="538">
        <v>0.03</v>
      </c>
      <c r="G3524" s="539">
        <f>VLOOKUP(D3524,upahbahan,3,FALSE)</f>
        <v>150000</v>
      </c>
      <c r="H3524" s="539">
        <f t="shared" si="371"/>
        <v>4500</v>
      </c>
    </row>
    <row r="3525" spans="3:11" ht="25.8" customHeight="1">
      <c r="C3525" s="818">
        <v>4</v>
      </c>
      <c r="D3525" s="212" t="s">
        <v>19</v>
      </c>
      <c r="E3525" s="212" t="s">
        <v>6</v>
      </c>
      <c r="F3525" s="538">
        <v>0.01</v>
      </c>
      <c r="G3525" s="539">
        <f>VLOOKUP(D3525,upahbahan,3,FALSE)</f>
        <v>160000</v>
      </c>
      <c r="H3525" s="539">
        <f t="shared" si="371"/>
        <v>1600</v>
      </c>
    </row>
    <row r="3526" spans="3:11" ht="25.8" customHeight="1">
      <c r="C3526" s="702" t="s">
        <v>1208</v>
      </c>
      <c r="D3526" s="208"/>
      <c r="E3526" s="208"/>
      <c r="F3526" s="811"/>
      <c r="G3526" s="522"/>
      <c r="H3526" s="539">
        <f>SUM(H3522:H3525)</f>
        <v>64230</v>
      </c>
      <c r="I3526" s="819"/>
    </row>
    <row r="3527" spans="3:11" ht="25.8" customHeight="1">
      <c r="C3527" s="213" t="s">
        <v>1209</v>
      </c>
      <c r="D3527" s="212" t="s">
        <v>1210</v>
      </c>
      <c r="E3527" s="534"/>
      <c r="F3527" s="831"/>
      <c r="G3527" s="534"/>
      <c r="H3527" s="534"/>
    </row>
    <row r="3528" spans="3:11" ht="25.8" customHeight="1">
      <c r="C3528" s="833" t="s">
        <v>1203</v>
      </c>
      <c r="D3528" s="820" t="s">
        <v>7896</v>
      </c>
      <c r="E3528" s="807" t="s">
        <v>135</v>
      </c>
      <c r="F3528" s="832">
        <v>1.2</v>
      </c>
      <c r="G3528" s="539">
        <f>VLOOKUP(D3528,upahbahan,3,FALSE)</f>
        <v>0</v>
      </c>
      <c r="H3528" s="539">
        <f t="shared" ref="H3528" si="372">F3528*G3528</f>
        <v>0</v>
      </c>
    </row>
    <row r="3529" spans="3:11" ht="25.8" customHeight="1">
      <c r="C3529" s="702" t="s">
        <v>1214</v>
      </c>
      <c r="D3529" s="208"/>
      <c r="E3529" s="208"/>
      <c r="F3529" s="208"/>
      <c r="G3529" s="209"/>
      <c r="H3529" s="539">
        <f>SUM(H3528:H3528)</f>
        <v>0</v>
      </c>
    </row>
    <row r="3530" spans="3:11" ht="25.8" customHeight="1">
      <c r="C3530" s="213" t="s">
        <v>1215</v>
      </c>
      <c r="D3530" s="212" t="s">
        <v>1216</v>
      </c>
      <c r="E3530" s="534"/>
      <c r="F3530" s="534"/>
      <c r="G3530" s="534"/>
      <c r="H3530" s="534"/>
    </row>
    <row r="3531" spans="3:11" ht="25.8" customHeight="1">
      <c r="C3531" s="702" t="s">
        <v>1217</v>
      </c>
      <c r="D3531" s="208"/>
      <c r="E3531" s="208"/>
      <c r="F3531" s="208"/>
      <c r="G3531" s="209"/>
      <c r="H3531" s="821">
        <v>0</v>
      </c>
    </row>
    <row r="3532" spans="3:11" ht="25.8" customHeight="1">
      <c r="C3532" s="566" t="s">
        <v>1218</v>
      </c>
      <c r="D3532" s="552" t="s">
        <v>1219</v>
      </c>
      <c r="E3532" s="553"/>
      <c r="F3532" s="553"/>
      <c r="G3532" s="554"/>
      <c r="H3532" s="826">
        <f>H3531+H3529+H3526</f>
        <v>64230</v>
      </c>
      <c r="I3532" s="827"/>
    </row>
    <row r="3533" spans="3:11" ht="25.8" customHeight="1">
      <c r="C3533" s="566" t="s">
        <v>1220</v>
      </c>
      <c r="D3533" s="552" t="s">
        <v>1321</v>
      </c>
      <c r="E3533" s="553"/>
      <c r="F3533" s="554"/>
      <c r="G3533" s="555">
        <f>$M$9</f>
        <v>0.1</v>
      </c>
      <c r="H3533" s="539">
        <f>H3532*G3533</f>
        <v>6423</v>
      </c>
      <c r="I3533" s="827"/>
    </row>
    <row r="3534" spans="3:11" ht="25.8" customHeight="1">
      <c r="C3534" s="566" t="s">
        <v>1221</v>
      </c>
      <c r="D3534" s="552" t="s">
        <v>1222</v>
      </c>
      <c r="E3534" s="553"/>
      <c r="F3534" s="553"/>
      <c r="G3534" s="554"/>
      <c r="H3534" s="828">
        <f>SUM(H3532:H3533)</f>
        <v>70653</v>
      </c>
      <c r="I3534" s="827"/>
    </row>
    <row r="3535" spans="3:11" ht="25.8" customHeight="1">
      <c r="C3535" s="572"/>
      <c r="D3535" s="575"/>
      <c r="E3535" s="575"/>
      <c r="F3535" s="575"/>
      <c r="G3535" s="575"/>
      <c r="H3535" s="830"/>
    </row>
    <row r="3536" spans="3:11" ht="25.8" customHeight="1">
      <c r="C3536" s="513" t="s">
        <v>7897</v>
      </c>
      <c r="D3536" s="817" t="s">
        <v>7898</v>
      </c>
      <c r="E3536" s="803"/>
      <c r="F3536" s="803"/>
      <c r="G3536" s="803"/>
      <c r="H3536" s="803"/>
      <c r="I3536" s="533">
        <f>ROUNDDOWN(H3551,-2)</f>
        <v>70600</v>
      </c>
      <c r="J3536" s="536" t="s">
        <v>7804</v>
      </c>
      <c r="K3536" s="824"/>
    </row>
    <row r="3537" spans="3:9" ht="25.8" customHeight="1">
      <c r="C3537" s="716" t="s">
        <v>1195</v>
      </c>
      <c r="D3537" s="716" t="s">
        <v>1196</v>
      </c>
      <c r="E3537" s="716" t="s">
        <v>1197</v>
      </c>
      <c r="F3537" s="716" t="s">
        <v>1198</v>
      </c>
      <c r="G3537" s="716" t="s">
        <v>1199</v>
      </c>
      <c r="H3537" s="716" t="s">
        <v>1200</v>
      </c>
    </row>
    <row r="3538" spans="3:9" ht="25.8" customHeight="1">
      <c r="C3538" s="213" t="s">
        <v>1201</v>
      </c>
      <c r="D3538" s="212" t="s">
        <v>1202</v>
      </c>
      <c r="E3538" s="534"/>
      <c r="F3538" s="534"/>
      <c r="G3538" s="534"/>
      <c r="H3538" s="534"/>
    </row>
    <row r="3539" spans="3:9" ht="25.8" customHeight="1">
      <c r="C3539" s="818">
        <v>1</v>
      </c>
      <c r="D3539" s="212" t="s">
        <v>5</v>
      </c>
      <c r="E3539" s="212" t="s">
        <v>6</v>
      </c>
      <c r="F3539" s="538">
        <v>0.17899999999999999</v>
      </c>
      <c r="G3539" s="539">
        <f>VLOOKUP(D3539,upahbahan,3,FALSE)</f>
        <v>100000</v>
      </c>
      <c r="H3539" s="539">
        <f t="shared" ref="H3539:H3542" si="373">F3539*G3539</f>
        <v>17900</v>
      </c>
    </row>
    <row r="3540" spans="3:9" ht="25.8" customHeight="1">
      <c r="C3540" s="818">
        <v>2</v>
      </c>
      <c r="D3540" s="212" t="s">
        <v>3295</v>
      </c>
      <c r="E3540" s="212" t="s">
        <v>6</v>
      </c>
      <c r="F3540" s="538">
        <v>0.29799999999999999</v>
      </c>
      <c r="G3540" s="539">
        <f>VLOOKUP(D3540,upahbahan,3,FALSE)</f>
        <v>135000</v>
      </c>
      <c r="H3540" s="539">
        <f t="shared" si="373"/>
        <v>40230</v>
      </c>
    </row>
    <row r="3541" spans="3:9" ht="25.8" customHeight="1">
      <c r="C3541" s="818">
        <v>3</v>
      </c>
      <c r="D3541" s="212" t="s">
        <v>18</v>
      </c>
      <c r="E3541" s="212" t="s">
        <v>6</v>
      </c>
      <c r="F3541" s="538">
        <v>0.03</v>
      </c>
      <c r="G3541" s="539">
        <f>VLOOKUP(D3541,upahbahan,3,FALSE)</f>
        <v>150000</v>
      </c>
      <c r="H3541" s="539">
        <f t="shared" si="373"/>
        <v>4500</v>
      </c>
    </row>
    <row r="3542" spans="3:9" ht="25.8" customHeight="1">
      <c r="C3542" s="818">
        <v>4</v>
      </c>
      <c r="D3542" s="212" t="s">
        <v>19</v>
      </c>
      <c r="E3542" s="212" t="s">
        <v>6</v>
      </c>
      <c r="F3542" s="538">
        <v>0.01</v>
      </c>
      <c r="G3542" s="539">
        <f>VLOOKUP(D3542,upahbahan,3,FALSE)</f>
        <v>160000</v>
      </c>
      <c r="H3542" s="539">
        <f t="shared" si="373"/>
        <v>1600</v>
      </c>
    </row>
    <row r="3543" spans="3:9" ht="25.8" customHeight="1">
      <c r="C3543" s="702" t="s">
        <v>1208</v>
      </c>
      <c r="D3543" s="208"/>
      <c r="E3543" s="208"/>
      <c r="F3543" s="811"/>
      <c r="G3543" s="522"/>
      <c r="H3543" s="539">
        <f>SUM(H3539:H3542)</f>
        <v>64230</v>
      </c>
      <c r="I3543" s="819"/>
    </row>
    <row r="3544" spans="3:9" ht="25.8" customHeight="1">
      <c r="C3544" s="213" t="s">
        <v>1209</v>
      </c>
      <c r="D3544" s="212" t="s">
        <v>1210</v>
      </c>
      <c r="E3544" s="534"/>
      <c r="F3544" s="831"/>
      <c r="G3544" s="534"/>
      <c r="H3544" s="534"/>
    </row>
    <row r="3545" spans="3:9" ht="25.8" customHeight="1">
      <c r="C3545" s="833" t="s">
        <v>1203</v>
      </c>
      <c r="D3545" s="820" t="s">
        <v>7899</v>
      </c>
      <c r="E3545" s="807" t="s">
        <v>135</v>
      </c>
      <c r="F3545" s="832">
        <v>1.2</v>
      </c>
      <c r="G3545" s="539">
        <f>VLOOKUP(D3545,upahbahan,3,FALSE)</f>
        <v>0</v>
      </c>
      <c r="H3545" s="539">
        <f t="shared" ref="H3545" si="374">F3545*G3545</f>
        <v>0</v>
      </c>
    </row>
    <row r="3546" spans="3:9" ht="25.8" customHeight="1">
      <c r="C3546" s="702" t="s">
        <v>1214</v>
      </c>
      <c r="D3546" s="208"/>
      <c r="E3546" s="208"/>
      <c r="F3546" s="208"/>
      <c r="G3546" s="209"/>
      <c r="H3546" s="539">
        <f>SUM(H3545:H3545)</f>
        <v>0</v>
      </c>
    </row>
    <row r="3547" spans="3:9" ht="25.8" customHeight="1">
      <c r="C3547" s="213" t="s">
        <v>1215</v>
      </c>
      <c r="D3547" s="212" t="s">
        <v>1216</v>
      </c>
      <c r="E3547" s="534"/>
      <c r="F3547" s="534"/>
      <c r="G3547" s="534"/>
      <c r="H3547" s="534"/>
    </row>
    <row r="3548" spans="3:9" ht="25.8" customHeight="1">
      <c r="C3548" s="702" t="s">
        <v>1217</v>
      </c>
      <c r="D3548" s="208"/>
      <c r="E3548" s="208"/>
      <c r="F3548" s="208"/>
      <c r="G3548" s="209"/>
      <c r="H3548" s="821">
        <v>0</v>
      </c>
    </row>
    <row r="3549" spans="3:9" ht="25.8" customHeight="1">
      <c r="C3549" s="566" t="s">
        <v>1218</v>
      </c>
      <c r="D3549" s="552" t="s">
        <v>1219</v>
      </c>
      <c r="E3549" s="553"/>
      <c r="F3549" s="553"/>
      <c r="G3549" s="554"/>
      <c r="H3549" s="826">
        <f>H3548+H3546+H3543</f>
        <v>64230</v>
      </c>
      <c r="I3549" s="827"/>
    </row>
    <row r="3550" spans="3:9" ht="25.8" customHeight="1">
      <c r="C3550" s="566" t="s">
        <v>1220</v>
      </c>
      <c r="D3550" s="552" t="s">
        <v>1321</v>
      </c>
      <c r="E3550" s="553"/>
      <c r="F3550" s="554"/>
      <c r="G3550" s="555">
        <f>$M$9</f>
        <v>0.1</v>
      </c>
      <c r="H3550" s="539">
        <f>H3549*G3550</f>
        <v>6423</v>
      </c>
      <c r="I3550" s="827"/>
    </row>
    <row r="3551" spans="3:9" ht="25.8" customHeight="1">
      <c r="C3551" s="566" t="s">
        <v>1221</v>
      </c>
      <c r="D3551" s="552" t="s">
        <v>1222</v>
      </c>
      <c r="E3551" s="553"/>
      <c r="F3551" s="553"/>
      <c r="G3551" s="554"/>
      <c r="H3551" s="828">
        <f>SUM(H3549:H3550)</f>
        <v>70653</v>
      </c>
      <c r="I3551" s="827"/>
    </row>
    <row r="3552" spans="3:9" ht="25.8" customHeight="1">
      <c r="C3552" s="572"/>
      <c r="D3552" s="575"/>
      <c r="E3552" s="575"/>
      <c r="F3552" s="575"/>
      <c r="G3552" s="575"/>
      <c r="H3552" s="830"/>
    </row>
    <row r="3553" spans="3:11" ht="25.8" customHeight="1">
      <c r="C3553" s="513" t="s">
        <v>7900</v>
      </c>
      <c r="D3553" s="817" t="s">
        <v>7901</v>
      </c>
      <c r="E3553" s="803"/>
      <c r="F3553" s="803"/>
      <c r="G3553" s="803"/>
      <c r="H3553" s="803"/>
      <c r="I3553" s="533">
        <f>ROUNDDOWN(H3568,-2)</f>
        <v>70600</v>
      </c>
      <c r="J3553" s="536" t="s">
        <v>7804</v>
      </c>
      <c r="K3553" s="824"/>
    </row>
    <row r="3554" spans="3:11" ht="25.8" customHeight="1">
      <c r="C3554" s="716" t="s">
        <v>1195</v>
      </c>
      <c r="D3554" s="716" t="s">
        <v>1196</v>
      </c>
      <c r="E3554" s="716" t="s">
        <v>1197</v>
      </c>
      <c r="F3554" s="716" t="s">
        <v>1198</v>
      </c>
      <c r="G3554" s="716" t="s">
        <v>1199</v>
      </c>
      <c r="H3554" s="716" t="s">
        <v>1200</v>
      </c>
    </row>
    <row r="3555" spans="3:11" ht="25.8" customHeight="1">
      <c r="C3555" s="213" t="s">
        <v>1201</v>
      </c>
      <c r="D3555" s="212" t="s">
        <v>1202</v>
      </c>
      <c r="E3555" s="534"/>
      <c r="F3555" s="534"/>
      <c r="G3555" s="534"/>
      <c r="H3555" s="534"/>
    </row>
    <row r="3556" spans="3:11" ht="25.8" customHeight="1">
      <c r="C3556" s="818">
        <v>1</v>
      </c>
      <c r="D3556" s="212" t="s">
        <v>5</v>
      </c>
      <c r="E3556" s="212" t="s">
        <v>6</v>
      </c>
      <c r="F3556" s="538">
        <v>0.17899999999999999</v>
      </c>
      <c r="G3556" s="539">
        <f>VLOOKUP(D3556,upahbahan,3,FALSE)</f>
        <v>100000</v>
      </c>
      <c r="H3556" s="539">
        <f t="shared" ref="H3556:H3559" si="375">F3556*G3556</f>
        <v>17900</v>
      </c>
    </row>
    <row r="3557" spans="3:11" ht="25.8" customHeight="1">
      <c r="C3557" s="818">
        <v>2</v>
      </c>
      <c r="D3557" s="212" t="s">
        <v>3295</v>
      </c>
      <c r="E3557" s="212" t="s">
        <v>6</v>
      </c>
      <c r="F3557" s="538">
        <v>0.29799999999999999</v>
      </c>
      <c r="G3557" s="539">
        <f>VLOOKUP(D3557,upahbahan,3,FALSE)</f>
        <v>135000</v>
      </c>
      <c r="H3557" s="539">
        <f t="shared" si="375"/>
        <v>40230</v>
      </c>
    </row>
    <row r="3558" spans="3:11" ht="25.8" customHeight="1">
      <c r="C3558" s="818">
        <v>3</v>
      </c>
      <c r="D3558" s="212" t="s">
        <v>18</v>
      </c>
      <c r="E3558" s="212" t="s">
        <v>6</v>
      </c>
      <c r="F3558" s="538">
        <v>0.03</v>
      </c>
      <c r="G3558" s="539">
        <f>VLOOKUP(D3558,upahbahan,3,FALSE)</f>
        <v>150000</v>
      </c>
      <c r="H3558" s="539">
        <f t="shared" si="375"/>
        <v>4500</v>
      </c>
    </row>
    <row r="3559" spans="3:11" ht="25.8" customHeight="1">
      <c r="C3559" s="818">
        <v>4</v>
      </c>
      <c r="D3559" s="212" t="s">
        <v>19</v>
      </c>
      <c r="E3559" s="212" t="s">
        <v>6</v>
      </c>
      <c r="F3559" s="538">
        <v>0.01</v>
      </c>
      <c r="G3559" s="539">
        <f>VLOOKUP(D3559,upahbahan,3,FALSE)</f>
        <v>160000</v>
      </c>
      <c r="H3559" s="539">
        <f t="shared" si="375"/>
        <v>1600</v>
      </c>
    </row>
    <row r="3560" spans="3:11" ht="25.8" customHeight="1">
      <c r="C3560" s="702" t="s">
        <v>1208</v>
      </c>
      <c r="D3560" s="208"/>
      <c r="E3560" s="208"/>
      <c r="F3560" s="811"/>
      <c r="G3560" s="522"/>
      <c r="H3560" s="539">
        <f>SUM(H3556:H3559)</f>
        <v>64230</v>
      </c>
      <c r="I3560" s="819"/>
    </row>
    <row r="3561" spans="3:11" ht="25.8" customHeight="1">
      <c r="C3561" s="213" t="s">
        <v>1209</v>
      </c>
      <c r="D3561" s="212" t="s">
        <v>1210</v>
      </c>
      <c r="E3561" s="534"/>
      <c r="F3561" s="831"/>
      <c r="G3561" s="534"/>
      <c r="H3561" s="534"/>
    </row>
    <row r="3562" spans="3:11" ht="25.8" customHeight="1">
      <c r="C3562" s="833" t="s">
        <v>1203</v>
      </c>
      <c r="D3562" s="820" t="s">
        <v>7902</v>
      </c>
      <c r="E3562" s="807" t="s">
        <v>135</v>
      </c>
      <c r="F3562" s="832">
        <v>1.2</v>
      </c>
      <c r="G3562" s="539">
        <f>VLOOKUP(D3562,upahbahan,3,FALSE)</f>
        <v>0</v>
      </c>
      <c r="H3562" s="539">
        <f t="shared" ref="H3562" si="376">F3562*G3562</f>
        <v>0</v>
      </c>
    </row>
    <row r="3563" spans="3:11" ht="25.8" customHeight="1">
      <c r="C3563" s="702" t="s">
        <v>1214</v>
      </c>
      <c r="D3563" s="208"/>
      <c r="E3563" s="208"/>
      <c r="F3563" s="208"/>
      <c r="G3563" s="209"/>
      <c r="H3563" s="539">
        <f>SUM(H3562:H3562)</f>
        <v>0</v>
      </c>
    </row>
    <row r="3564" spans="3:11" ht="25.8" customHeight="1">
      <c r="C3564" s="213" t="s">
        <v>1215</v>
      </c>
      <c r="D3564" s="212" t="s">
        <v>1216</v>
      </c>
      <c r="E3564" s="534"/>
      <c r="F3564" s="534"/>
      <c r="G3564" s="534"/>
      <c r="H3564" s="534"/>
    </row>
    <row r="3565" spans="3:11" ht="25.8" customHeight="1">
      <c r="C3565" s="702" t="s">
        <v>1217</v>
      </c>
      <c r="D3565" s="208"/>
      <c r="E3565" s="208"/>
      <c r="F3565" s="208"/>
      <c r="G3565" s="209"/>
      <c r="H3565" s="821">
        <v>0</v>
      </c>
    </row>
    <row r="3566" spans="3:11" ht="25.8" customHeight="1">
      <c r="C3566" s="566" t="s">
        <v>1218</v>
      </c>
      <c r="D3566" s="552" t="s">
        <v>1219</v>
      </c>
      <c r="E3566" s="553"/>
      <c r="F3566" s="553"/>
      <c r="G3566" s="554"/>
      <c r="H3566" s="826">
        <f>H3565+H3563+H3560</f>
        <v>64230</v>
      </c>
      <c r="I3566" s="827"/>
    </row>
    <row r="3567" spans="3:11" ht="25.8" customHeight="1">
      <c r="C3567" s="566" t="s">
        <v>1220</v>
      </c>
      <c r="D3567" s="552" t="s">
        <v>1321</v>
      </c>
      <c r="E3567" s="553"/>
      <c r="F3567" s="554"/>
      <c r="G3567" s="555">
        <f>$M$9</f>
        <v>0.1</v>
      </c>
      <c r="H3567" s="539">
        <f>H3566*G3567</f>
        <v>6423</v>
      </c>
      <c r="I3567" s="827"/>
    </row>
    <row r="3568" spans="3:11" ht="25.8" customHeight="1">
      <c r="C3568" s="566" t="s">
        <v>1221</v>
      </c>
      <c r="D3568" s="552" t="s">
        <v>1222</v>
      </c>
      <c r="E3568" s="553"/>
      <c r="F3568" s="553"/>
      <c r="G3568" s="554"/>
      <c r="H3568" s="828">
        <f>SUM(H3566:H3567)</f>
        <v>70653</v>
      </c>
      <c r="I3568" s="827"/>
    </row>
    <row r="3569" spans="3:11" ht="25.8" customHeight="1">
      <c r="C3569" s="572"/>
      <c r="D3569" s="575"/>
      <c r="E3569" s="575"/>
      <c r="F3569" s="575"/>
      <c r="G3569" s="575"/>
      <c r="H3569" s="830"/>
    </row>
    <row r="3570" spans="3:11" ht="25.8" customHeight="1">
      <c r="C3570" s="513" t="s">
        <v>7903</v>
      </c>
      <c r="D3570" s="817" t="s">
        <v>7904</v>
      </c>
      <c r="E3570" s="803"/>
      <c r="F3570" s="803"/>
      <c r="G3570" s="803"/>
      <c r="H3570" s="803"/>
      <c r="I3570" s="533">
        <f>ROUNDDOWN(H3585,-2)</f>
        <v>70600</v>
      </c>
      <c r="J3570" s="536" t="s">
        <v>7804</v>
      </c>
      <c r="K3570" s="824"/>
    </row>
    <row r="3571" spans="3:11" ht="25.8" customHeight="1">
      <c r="C3571" s="716" t="s">
        <v>1195</v>
      </c>
      <c r="D3571" s="716" t="s">
        <v>1196</v>
      </c>
      <c r="E3571" s="716" t="s">
        <v>1197</v>
      </c>
      <c r="F3571" s="716" t="s">
        <v>1198</v>
      </c>
      <c r="G3571" s="716" t="s">
        <v>1199</v>
      </c>
      <c r="H3571" s="716" t="s">
        <v>1200</v>
      </c>
    </row>
    <row r="3572" spans="3:11" ht="25.8" customHeight="1">
      <c r="C3572" s="213" t="s">
        <v>1201</v>
      </c>
      <c r="D3572" s="212" t="s">
        <v>1202</v>
      </c>
      <c r="E3572" s="534"/>
      <c r="F3572" s="534"/>
      <c r="G3572" s="534"/>
      <c r="H3572" s="534"/>
    </row>
    <row r="3573" spans="3:11" ht="25.8" customHeight="1">
      <c r="C3573" s="818">
        <v>1</v>
      </c>
      <c r="D3573" s="212" t="s">
        <v>5</v>
      </c>
      <c r="E3573" s="212" t="s">
        <v>6</v>
      </c>
      <c r="F3573" s="538">
        <v>0.17899999999999999</v>
      </c>
      <c r="G3573" s="539">
        <f>VLOOKUP(D3573,upahbahan,3,FALSE)</f>
        <v>100000</v>
      </c>
      <c r="H3573" s="539">
        <f t="shared" ref="H3573:H3576" si="377">F3573*G3573</f>
        <v>17900</v>
      </c>
    </row>
    <row r="3574" spans="3:11" ht="25.8" customHeight="1">
      <c r="C3574" s="818">
        <v>2</v>
      </c>
      <c r="D3574" s="212" t="s">
        <v>3295</v>
      </c>
      <c r="E3574" s="212" t="s">
        <v>6</v>
      </c>
      <c r="F3574" s="538">
        <v>0.29799999999999999</v>
      </c>
      <c r="G3574" s="539">
        <f>VLOOKUP(D3574,upahbahan,3,FALSE)</f>
        <v>135000</v>
      </c>
      <c r="H3574" s="539">
        <f t="shared" si="377"/>
        <v>40230</v>
      </c>
    </row>
    <row r="3575" spans="3:11" ht="25.8" customHeight="1">
      <c r="C3575" s="818">
        <v>3</v>
      </c>
      <c r="D3575" s="212" t="s">
        <v>18</v>
      </c>
      <c r="E3575" s="212" t="s">
        <v>6</v>
      </c>
      <c r="F3575" s="538">
        <v>0.03</v>
      </c>
      <c r="G3575" s="539">
        <f>VLOOKUP(D3575,upahbahan,3,FALSE)</f>
        <v>150000</v>
      </c>
      <c r="H3575" s="539">
        <f t="shared" si="377"/>
        <v>4500</v>
      </c>
    </row>
    <row r="3576" spans="3:11" ht="25.8" customHeight="1">
      <c r="C3576" s="818">
        <v>4</v>
      </c>
      <c r="D3576" s="212" t="s">
        <v>19</v>
      </c>
      <c r="E3576" s="212" t="s">
        <v>6</v>
      </c>
      <c r="F3576" s="538">
        <v>0.01</v>
      </c>
      <c r="G3576" s="539">
        <f>VLOOKUP(D3576,upahbahan,3,FALSE)</f>
        <v>160000</v>
      </c>
      <c r="H3576" s="539">
        <f t="shared" si="377"/>
        <v>1600</v>
      </c>
    </row>
    <row r="3577" spans="3:11" ht="25.8" customHeight="1">
      <c r="C3577" s="702" t="s">
        <v>1208</v>
      </c>
      <c r="D3577" s="208"/>
      <c r="E3577" s="208"/>
      <c r="F3577" s="811"/>
      <c r="G3577" s="522"/>
      <c r="H3577" s="539">
        <f>SUM(H3573:H3576)</f>
        <v>64230</v>
      </c>
      <c r="I3577" s="819"/>
    </row>
    <row r="3578" spans="3:11" ht="25.8" customHeight="1">
      <c r="C3578" s="213" t="s">
        <v>1209</v>
      </c>
      <c r="D3578" s="212" t="s">
        <v>1210</v>
      </c>
      <c r="E3578" s="534"/>
      <c r="F3578" s="831"/>
      <c r="G3578" s="534"/>
      <c r="H3578" s="534"/>
    </row>
    <row r="3579" spans="3:11" ht="25.8" customHeight="1">
      <c r="C3579" s="833" t="s">
        <v>1203</v>
      </c>
      <c r="D3579" s="820" t="s">
        <v>7905</v>
      </c>
      <c r="E3579" s="807" t="s">
        <v>135</v>
      </c>
      <c r="F3579" s="832">
        <v>1.2</v>
      </c>
      <c r="G3579" s="539">
        <f>VLOOKUP(D3579,upahbahan,3,FALSE)</f>
        <v>0</v>
      </c>
      <c r="H3579" s="539">
        <f t="shared" ref="H3579" si="378">F3579*G3579</f>
        <v>0</v>
      </c>
    </row>
    <row r="3580" spans="3:11" ht="25.8" customHeight="1">
      <c r="C3580" s="702" t="s">
        <v>1214</v>
      </c>
      <c r="D3580" s="208"/>
      <c r="E3580" s="208"/>
      <c r="F3580" s="208"/>
      <c r="G3580" s="209"/>
      <c r="H3580" s="539">
        <f>SUM(H3579:H3579)</f>
        <v>0</v>
      </c>
    </row>
    <row r="3581" spans="3:11" ht="25.8" customHeight="1">
      <c r="C3581" s="213" t="s">
        <v>1215</v>
      </c>
      <c r="D3581" s="212" t="s">
        <v>1216</v>
      </c>
      <c r="E3581" s="534"/>
      <c r="F3581" s="534"/>
      <c r="G3581" s="534"/>
      <c r="H3581" s="534"/>
    </row>
    <row r="3582" spans="3:11" ht="25.8" customHeight="1">
      <c r="C3582" s="702" t="s">
        <v>1217</v>
      </c>
      <c r="D3582" s="208"/>
      <c r="E3582" s="208"/>
      <c r="F3582" s="208"/>
      <c r="G3582" s="209"/>
      <c r="H3582" s="821">
        <v>0</v>
      </c>
    </row>
    <row r="3583" spans="3:11" ht="25.8" customHeight="1">
      <c r="C3583" s="566" t="s">
        <v>1218</v>
      </c>
      <c r="D3583" s="552" t="s">
        <v>1219</v>
      </c>
      <c r="E3583" s="553"/>
      <c r="F3583" s="553"/>
      <c r="G3583" s="554"/>
      <c r="H3583" s="826">
        <f>H3582+H3580+H3577</f>
        <v>64230</v>
      </c>
      <c r="I3583" s="827"/>
    </row>
    <row r="3584" spans="3:11" ht="25.8" customHeight="1">
      <c r="C3584" s="566" t="s">
        <v>1220</v>
      </c>
      <c r="D3584" s="552" t="s">
        <v>1321</v>
      </c>
      <c r="E3584" s="553"/>
      <c r="F3584" s="554"/>
      <c r="G3584" s="555">
        <f>$M$9</f>
        <v>0.1</v>
      </c>
      <c r="H3584" s="539">
        <f>H3583*G3584</f>
        <v>6423</v>
      </c>
      <c r="I3584" s="827"/>
    </row>
    <row r="3585" spans="3:11" ht="25.8" customHeight="1">
      <c r="C3585" s="566" t="s">
        <v>1221</v>
      </c>
      <c r="D3585" s="552" t="s">
        <v>1222</v>
      </c>
      <c r="E3585" s="553"/>
      <c r="F3585" s="553"/>
      <c r="G3585" s="554"/>
      <c r="H3585" s="828">
        <f>SUM(H3583:H3584)</f>
        <v>70653</v>
      </c>
      <c r="I3585" s="827"/>
    </row>
    <row r="3586" spans="3:11" ht="25.8" customHeight="1">
      <c r="C3586" s="572"/>
      <c r="D3586" s="575"/>
      <c r="E3586" s="575"/>
      <c r="F3586" s="575"/>
      <c r="G3586" s="575"/>
      <c r="H3586" s="830"/>
    </row>
    <row r="3587" spans="3:11" ht="25.8" customHeight="1">
      <c r="C3587" s="513" t="s">
        <v>7906</v>
      </c>
      <c r="D3587" s="817" t="s">
        <v>7907</v>
      </c>
      <c r="E3587" s="803"/>
      <c r="F3587" s="803"/>
      <c r="G3587" s="803"/>
      <c r="H3587" s="803"/>
      <c r="I3587" s="533">
        <f>ROUNDDOWN(H3602,-2)</f>
        <v>70600</v>
      </c>
      <c r="J3587" s="536" t="s">
        <v>7804</v>
      </c>
      <c r="K3587" s="824"/>
    </row>
    <row r="3588" spans="3:11" ht="25.8" customHeight="1">
      <c r="C3588" s="716" t="s">
        <v>1195</v>
      </c>
      <c r="D3588" s="716" t="s">
        <v>1196</v>
      </c>
      <c r="E3588" s="716" t="s">
        <v>1197</v>
      </c>
      <c r="F3588" s="716" t="s">
        <v>1198</v>
      </c>
      <c r="G3588" s="716" t="s">
        <v>1199</v>
      </c>
      <c r="H3588" s="716" t="s">
        <v>1200</v>
      </c>
    </row>
    <row r="3589" spans="3:11" ht="25.8" customHeight="1">
      <c r="C3589" s="213" t="s">
        <v>1201</v>
      </c>
      <c r="D3589" s="212" t="s">
        <v>1202</v>
      </c>
      <c r="E3589" s="534"/>
      <c r="F3589" s="534"/>
      <c r="G3589" s="534"/>
      <c r="H3589" s="534"/>
    </row>
    <row r="3590" spans="3:11" ht="25.8" customHeight="1">
      <c r="C3590" s="818">
        <v>1</v>
      </c>
      <c r="D3590" s="212" t="s">
        <v>5</v>
      </c>
      <c r="E3590" s="212" t="s">
        <v>6</v>
      </c>
      <c r="F3590" s="538">
        <v>0.17899999999999999</v>
      </c>
      <c r="G3590" s="539">
        <f>VLOOKUP(D3590,upahbahan,3,FALSE)</f>
        <v>100000</v>
      </c>
      <c r="H3590" s="539">
        <f t="shared" ref="H3590:H3593" si="379">F3590*G3590</f>
        <v>17900</v>
      </c>
    </row>
    <row r="3591" spans="3:11" ht="25.8" customHeight="1">
      <c r="C3591" s="818">
        <v>2</v>
      </c>
      <c r="D3591" s="212" t="s">
        <v>3295</v>
      </c>
      <c r="E3591" s="212" t="s">
        <v>6</v>
      </c>
      <c r="F3591" s="538">
        <v>0.29799999999999999</v>
      </c>
      <c r="G3591" s="539">
        <f>VLOOKUP(D3591,upahbahan,3,FALSE)</f>
        <v>135000</v>
      </c>
      <c r="H3591" s="539">
        <f t="shared" si="379"/>
        <v>40230</v>
      </c>
    </row>
    <row r="3592" spans="3:11" ht="25.8" customHeight="1">
      <c r="C3592" s="818">
        <v>3</v>
      </c>
      <c r="D3592" s="212" t="s">
        <v>18</v>
      </c>
      <c r="E3592" s="212" t="s">
        <v>6</v>
      </c>
      <c r="F3592" s="538">
        <v>0.03</v>
      </c>
      <c r="G3592" s="539">
        <f>VLOOKUP(D3592,upahbahan,3,FALSE)</f>
        <v>150000</v>
      </c>
      <c r="H3592" s="539">
        <f t="shared" si="379"/>
        <v>4500</v>
      </c>
    </row>
    <row r="3593" spans="3:11" ht="25.8" customHeight="1">
      <c r="C3593" s="818">
        <v>4</v>
      </c>
      <c r="D3593" s="212" t="s">
        <v>19</v>
      </c>
      <c r="E3593" s="212" t="s">
        <v>6</v>
      </c>
      <c r="F3593" s="538">
        <v>0.01</v>
      </c>
      <c r="G3593" s="539">
        <f>VLOOKUP(D3593,upahbahan,3,FALSE)</f>
        <v>160000</v>
      </c>
      <c r="H3593" s="539">
        <f t="shared" si="379"/>
        <v>1600</v>
      </c>
    </row>
    <row r="3594" spans="3:11" ht="25.8" customHeight="1">
      <c r="C3594" s="702" t="s">
        <v>1208</v>
      </c>
      <c r="D3594" s="208"/>
      <c r="E3594" s="208"/>
      <c r="F3594" s="811"/>
      <c r="G3594" s="522"/>
      <c r="H3594" s="539">
        <f>SUM(H3590:H3593)</f>
        <v>64230</v>
      </c>
      <c r="I3594" s="819"/>
    </row>
    <row r="3595" spans="3:11" ht="25.8" customHeight="1">
      <c r="C3595" s="213" t="s">
        <v>1209</v>
      </c>
      <c r="D3595" s="212" t="s">
        <v>1210</v>
      </c>
      <c r="E3595" s="534"/>
      <c r="F3595" s="831"/>
      <c r="G3595" s="534"/>
      <c r="H3595" s="534"/>
    </row>
    <row r="3596" spans="3:11" ht="25.8" customHeight="1">
      <c r="C3596" s="833" t="s">
        <v>1203</v>
      </c>
      <c r="D3596" s="820" t="s">
        <v>7908</v>
      </c>
      <c r="E3596" s="807" t="s">
        <v>135</v>
      </c>
      <c r="F3596" s="832">
        <v>1.2</v>
      </c>
      <c r="G3596" s="539">
        <f>VLOOKUP(D3596,upahbahan,3,FALSE)</f>
        <v>0</v>
      </c>
      <c r="H3596" s="539">
        <f t="shared" ref="H3596" si="380">F3596*G3596</f>
        <v>0</v>
      </c>
    </row>
    <row r="3597" spans="3:11" ht="25.8" customHeight="1">
      <c r="C3597" s="702" t="s">
        <v>1214</v>
      </c>
      <c r="D3597" s="208"/>
      <c r="E3597" s="208"/>
      <c r="F3597" s="208"/>
      <c r="G3597" s="209"/>
      <c r="H3597" s="539">
        <f>SUM(H3596:H3596)</f>
        <v>0</v>
      </c>
    </row>
    <row r="3598" spans="3:11" ht="25.8" customHeight="1">
      <c r="C3598" s="213" t="s">
        <v>1215</v>
      </c>
      <c r="D3598" s="212" t="s">
        <v>1216</v>
      </c>
      <c r="E3598" s="534"/>
      <c r="F3598" s="534"/>
      <c r="G3598" s="534"/>
      <c r="H3598" s="534"/>
    </row>
    <row r="3599" spans="3:11" ht="25.8" customHeight="1">
      <c r="C3599" s="702" t="s">
        <v>1217</v>
      </c>
      <c r="D3599" s="208"/>
      <c r="E3599" s="208"/>
      <c r="F3599" s="208"/>
      <c r="G3599" s="209"/>
      <c r="H3599" s="821">
        <v>0</v>
      </c>
    </row>
    <row r="3600" spans="3:11" ht="25.8" customHeight="1">
      <c r="C3600" s="566" t="s">
        <v>1218</v>
      </c>
      <c r="D3600" s="552" t="s">
        <v>1219</v>
      </c>
      <c r="E3600" s="553"/>
      <c r="F3600" s="553"/>
      <c r="G3600" s="554"/>
      <c r="H3600" s="826">
        <f>H3599+H3597+H3594</f>
        <v>64230</v>
      </c>
      <c r="I3600" s="827"/>
    </row>
    <row r="3601" spans="3:11" ht="25.8" customHeight="1">
      <c r="C3601" s="566" t="s">
        <v>1220</v>
      </c>
      <c r="D3601" s="552" t="s">
        <v>1321</v>
      </c>
      <c r="E3601" s="553"/>
      <c r="F3601" s="554"/>
      <c r="G3601" s="555">
        <f>$M$9</f>
        <v>0.1</v>
      </c>
      <c r="H3601" s="539">
        <f>H3600*G3601</f>
        <v>6423</v>
      </c>
      <c r="I3601" s="827"/>
    </row>
    <row r="3602" spans="3:11" ht="25.8" customHeight="1">
      <c r="C3602" s="566" t="s">
        <v>1221</v>
      </c>
      <c r="D3602" s="552" t="s">
        <v>1222</v>
      </c>
      <c r="E3602" s="553"/>
      <c r="F3602" s="553"/>
      <c r="G3602" s="554"/>
      <c r="H3602" s="828">
        <f>SUM(H3600:H3601)</f>
        <v>70653</v>
      </c>
      <c r="I3602" s="827"/>
    </row>
    <row r="3603" spans="3:11" ht="25.8" customHeight="1">
      <c r="C3603" s="572"/>
      <c r="D3603" s="575"/>
      <c r="E3603" s="575"/>
      <c r="F3603" s="575"/>
      <c r="G3603" s="575"/>
      <c r="H3603" s="830"/>
    </row>
    <row r="3604" spans="3:11" ht="25.8" customHeight="1">
      <c r="C3604" s="513" t="s">
        <v>7909</v>
      </c>
      <c r="D3604" s="817" t="s">
        <v>7910</v>
      </c>
      <c r="E3604" s="803"/>
      <c r="F3604" s="803"/>
      <c r="G3604" s="803"/>
      <c r="H3604" s="803"/>
      <c r="I3604" s="533">
        <f>ROUNDDOWN(H3619,-2)</f>
        <v>70600</v>
      </c>
      <c r="J3604" s="536" t="s">
        <v>7804</v>
      </c>
      <c r="K3604" s="824"/>
    </row>
    <row r="3605" spans="3:11" ht="25.8" customHeight="1">
      <c r="C3605" s="716" t="s">
        <v>1195</v>
      </c>
      <c r="D3605" s="716" t="s">
        <v>1196</v>
      </c>
      <c r="E3605" s="716" t="s">
        <v>1197</v>
      </c>
      <c r="F3605" s="716" t="s">
        <v>1198</v>
      </c>
      <c r="G3605" s="716" t="s">
        <v>1199</v>
      </c>
      <c r="H3605" s="716" t="s">
        <v>1200</v>
      </c>
    </row>
    <row r="3606" spans="3:11" ht="25.8" customHeight="1">
      <c r="C3606" s="213" t="s">
        <v>1201</v>
      </c>
      <c r="D3606" s="212" t="s">
        <v>1202</v>
      </c>
      <c r="E3606" s="534"/>
      <c r="F3606" s="534"/>
      <c r="G3606" s="534"/>
      <c r="H3606" s="534"/>
    </row>
    <row r="3607" spans="3:11" ht="25.8" customHeight="1">
      <c r="C3607" s="818">
        <v>1</v>
      </c>
      <c r="D3607" s="212" t="s">
        <v>5</v>
      </c>
      <c r="E3607" s="212" t="s">
        <v>6</v>
      </c>
      <c r="F3607" s="538">
        <v>0.17899999999999999</v>
      </c>
      <c r="G3607" s="539">
        <f>VLOOKUP(D3607,upahbahan,3,FALSE)</f>
        <v>100000</v>
      </c>
      <c r="H3607" s="539">
        <f t="shared" ref="H3607:H3610" si="381">F3607*G3607</f>
        <v>17900</v>
      </c>
    </row>
    <row r="3608" spans="3:11" ht="25.8" customHeight="1">
      <c r="C3608" s="818">
        <v>2</v>
      </c>
      <c r="D3608" s="212" t="s">
        <v>3295</v>
      </c>
      <c r="E3608" s="212" t="s">
        <v>6</v>
      </c>
      <c r="F3608" s="538">
        <v>0.29799999999999999</v>
      </c>
      <c r="G3608" s="539">
        <f>VLOOKUP(D3608,upahbahan,3,FALSE)</f>
        <v>135000</v>
      </c>
      <c r="H3608" s="539">
        <f t="shared" si="381"/>
        <v>40230</v>
      </c>
    </row>
    <row r="3609" spans="3:11" ht="25.8" customHeight="1">
      <c r="C3609" s="818">
        <v>3</v>
      </c>
      <c r="D3609" s="212" t="s">
        <v>18</v>
      </c>
      <c r="E3609" s="212" t="s">
        <v>6</v>
      </c>
      <c r="F3609" s="538">
        <v>0.03</v>
      </c>
      <c r="G3609" s="539">
        <f>VLOOKUP(D3609,upahbahan,3,FALSE)</f>
        <v>150000</v>
      </c>
      <c r="H3609" s="539">
        <f t="shared" si="381"/>
        <v>4500</v>
      </c>
    </row>
    <row r="3610" spans="3:11" ht="25.8" customHeight="1">
      <c r="C3610" s="818">
        <v>4</v>
      </c>
      <c r="D3610" s="212" t="s">
        <v>19</v>
      </c>
      <c r="E3610" s="212" t="s">
        <v>6</v>
      </c>
      <c r="F3610" s="538">
        <v>0.01</v>
      </c>
      <c r="G3610" s="539">
        <f>VLOOKUP(D3610,upahbahan,3,FALSE)</f>
        <v>160000</v>
      </c>
      <c r="H3610" s="539">
        <f t="shared" si="381"/>
        <v>1600</v>
      </c>
    </row>
    <row r="3611" spans="3:11" ht="25.8" customHeight="1">
      <c r="C3611" s="702" t="s">
        <v>1208</v>
      </c>
      <c r="D3611" s="208"/>
      <c r="E3611" s="208"/>
      <c r="F3611" s="811"/>
      <c r="G3611" s="522"/>
      <c r="H3611" s="539">
        <f>SUM(H3607:H3610)</f>
        <v>64230</v>
      </c>
      <c r="I3611" s="819"/>
    </row>
    <row r="3612" spans="3:11" ht="25.8" customHeight="1">
      <c r="C3612" s="213" t="s">
        <v>1209</v>
      </c>
      <c r="D3612" s="212" t="s">
        <v>1210</v>
      </c>
      <c r="E3612" s="534"/>
      <c r="F3612" s="831"/>
      <c r="G3612" s="534"/>
      <c r="H3612" s="534"/>
    </row>
    <row r="3613" spans="3:11" ht="25.8" customHeight="1">
      <c r="C3613" s="833" t="s">
        <v>1203</v>
      </c>
      <c r="D3613" s="820" t="s">
        <v>7911</v>
      </c>
      <c r="E3613" s="807" t="s">
        <v>135</v>
      </c>
      <c r="F3613" s="832">
        <v>1.2</v>
      </c>
      <c r="G3613" s="539">
        <f>VLOOKUP(D3613,upahbahan,3,FALSE)</f>
        <v>0</v>
      </c>
      <c r="H3613" s="539">
        <f t="shared" ref="H3613" si="382">F3613*G3613</f>
        <v>0</v>
      </c>
    </row>
    <row r="3614" spans="3:11" ht="25.8" customHeight="1">
      <c r="C3614" s="702" t="s">
        <v>1214</v>
      </c>
      <c r="D3614" s="208"/>
      <c r="E3614" s="208"/>
      <c r="F3614" s="208"/>
      <c r="G3614" s="209"/>
      <c r="H3614" s="539">
        <f>SUM(H3613:H3613)</f>
        <v>0</v>
      </c>
    </row>
    <row r="3615" spans="3:11" ht="25.8" customHeight="1">
      <c r="C3615" s="213" t="s">
        <v>1215</v>
      </c>
      <c r="D3615" s="212" t="s">
        <v>1216</v>
      </c>
      <c r="E3615" s="534"/>
      <c r="F3615" s="534"/>
      <c r="G3615" s="534"/>
      <c r="H3615" s="534"/>
    </row>
    <row r="3616" spans="3:11" ht="25.8" customHeight="1">
      <c r="C3616" s="702" t="s">
        <v>1217</v>
      </c>
      <c r="D3616" s="208"/>
      <c r="E3616" s="208"/>
      <c r="F3616" s="208"/>
      <c r="G3616" s="209"/>
      <c r="H3616" s="821">
        <v>0</v>
      </c>
    </row>
    <row r="3617" spans="3:11" ht="25.8" customHeight="1">
      <c r="C3617" s="566" t="s">
        <v>1218</v>
      </c>
      <c r="D3617" s="552" t="s">
        <v>1219</v>
      </c>
      <c r="E3617" s="553"/>
      <c r="F3617" s="553"/>
      <c r="G3617" s="554"/>
      <c r="H3617" s="826">
        <f>H3616+H3614+H3611</f>
        <v>64230</v>
      </c>
      <c r="I3617" s="827"/>
    </row>
    <row r="3618" spans="3:11" ht="25.8" customHeight="1">
      <c r="C3618" s="566" t="s">
        <v>1220</v>
      </c>
      <c r="D3618" s="552" t="s">
        <v>1321</v>
      </c>
      <c r="E3618" s="553"/>
      <c r="F3618" s="554"/>
      <c r="G3618" s="555">
        <f>$M$9</f>
        <v>0.1</v>
      </c>
      <c r="H3618" s="539">
        <f>H3617*G3618</f>
        <v>6423</v>
      </c>
      <c r="I3618" s="827"/>
    </row>
    <row r="3619" spans="3:11" ht="25.8" customHeight="1">
      <c r="C3619" s="566" t="s">
        <v>1221</v>
      </c>
      <c r="D3619" s="552" t="s">
        <v>1222</v>
      </c>
      <c r="E3619" s="553"/>
      <c r="F3619" s="553"/>
      <c r="G3619" s="554"/>
      <c r="H3619" s="828">
        <f>SUM(H3617:H3618)</f>
        <v>70653</v>
      </c>
      <c r="I3619" s="827"/>
    </row>
    <row r="3620" spans="3:11" ht="25.8" customHeight="1">
      <c r="C3620" s="572"/>
      <c r="D3620" s="575"/>
      <c r="E3620" s="575"/>
      <c r="F3620" s="575"/>
      <c r="G3620" s="575"/>
      <c r="H3620" s="830"/>
    </row>
    <row r="3621" spans="3:11" ht="25.8" customHeight="1">
      <c r="C3621" s="513" t="s">
        <v>7912</v>
      </c>
      <c r="D3621" s="817" t="s">
        <v>7913</v>
      </c>
      <c r="E3621" s="803"/>
      <c r="F3621" s="803"/>
      <c r="G3621" s="803"/>
      <c r="H3621" s="803"/>
      <c r="I3621" s="533">
        <f>ROUNDDOWN(H3636,-2)</f>
        <v>70600</v>
      </c>
      <c r="J3621" s="536" t="s">
        <v>7804</v>
      </c>
      <c r="K3621" s="824"/>
    </row>
    <row r="3622" spans="3:11" ht="25.8" customHeight="1">
      <c r="C3622" s="716" t="s">
        <v>1195</v>
      </c>
      <c r="D3622" s="716" t="s">
        <v>1196</v>
      </c>
      <c r="E3622" s="716" t="s">
        <v>1197</v>
      </c>
      <c r="F3622" s="716" t="s">
        <v>1198</v>
      </c>
      <c r="G3622" s="716" t="s">
        <v>1199</v>
      </c>
      <c r="H3622" s="716" t="s">
        <v>1200</v>
      </c>
    </row>
    <row r="3623" spans="3:11" ht="25.8" customHeight="1">
      <c r="C3623" s="213" t="s">
        <v>1201</v>
      </c>
      <c r="D3623" s="212" t="s">
        <v>1202</v>
      </c>
      <c r="E3623" s="534"/>
      <c r="F3623" s="534"/>
      <c r="G3623" s="534"/>
      <c r="H3623" s="534"/>
    </row>
    <row r="3624" spans="3:11" ht="25.8" customHeight="1">
      <c r="C3624" s="818">
        <v>1</v>
      </c>
      <c r="D3624" s="212" t="s">
        <v>5</v>
      </c>
      <c r="E3624" s="212" t="s">
        <v>6</v>
      </c>
      <c r="F3624" s="538">
        <v>0.17899999999999999</v>
      </c>
      <c r="G3624" s="539">
        <f>VLOOKUP(D3624,upahbahan,3,FALSE)</f>
        <v>100000</v>
      </c>
      <c r="H3624" s="539">
        <f t="shared" ref="H3624:H3627" si="383">F3624*G3624</f>
        <v>17900</v>
      </c>
    </row>
    <row r="3625" spans="3:11" ht="25.8" customHeight="1">
      <c r="C3625" s="818">
        <v>2</v>
      </c>
      <c r="D3625" s="212" t="s">
        <v>3295</v>
      </c>
      <c r="E3625" s="212" t="s">
        <v>6</v>
      </c>
      <c r="F3625" s="538">
        <v>0.29799999999999999</v>
      </c>
      <c r="G3625" s="539">
        <f>VLOOKUP(D3625,upahbahan,3,FALSE)</f>
        <v>135000</v>
      </c>
      <c r="H3625" s="539">
        <f t="shared" si="383"/>
        <v>40230</v>
      </c>
    </row>
    <row r="3626" spans="3:11" ht="25.8" customHeight="1">
      <c r="C3626" s="818">
        <v>3</v>
      </c>
      <c r="D3626" s="212" t="s">
        <v>18</v>
      </c>
      <c r="E3626" s="212" t="s">
        <v>6</v>
      </c>
      <c r="F3626" s="538">
        <v>0.03</v>
      </c>
      <c r="G3626" s="539">
        <f>VLOOKUP(D3626,upahbahan,3,FALSE)</f>
        <v>150000</v>
      </c>
      <c r="H3626" s="539">
        <f t="shared" si="383"/>
        <v>4500</v>
      </c>
    </row>
    <row r="3627" spans="3:11" ht="25.8" customHeight="1">
      <c r="C3627" s="818">
        <v>4</v>
      </c>
      <c r="D3627" s="212" t="s">
        <v>19</v>
      </c>
      <c r="E3627" s="212" t="s">
        <v>6</v>
      </c>
      <c r="F3627" s="538">
        <v>0.01</v>
      </c>
      <c r="G3627" s="539">
        <f>VLOOKUP(D3627,upahbahan,3,FALSE)</f>
        <v>160000</v>
      </c>
      <c r="H3627" s="539">
        <f t="shared" si="383"/>
        <v>1600</v>
      </c>
    </row>
    <row r="3628" spans="3:11" ht="25.8" customHeight="1">
      <c r="C3628" s="702" t="s">
        <v>1208</v>
      </c>
      <c r="D3628" s="208"/>
      <c r="E3628" s="208"/>
      <c r="F3628" s="811"/>
      <c r="G3628" s="522"/>
      <c r="H3628" s="539">
        <f>SUM(H3624:H3627)</f>
        <v>64230</v>
      </c>
      <c r="I3628" s="819"/>
    </row>
    <row r="3629" spans="3:11" ht="25.8" customHeight="1">
      <c r="C3629" s="213" t="s">
        <v>1209</v>
      </c>
      <c r="D3629" s="212" t="s">
        <v>1210</v>
      </c>
      <c r="E3629" s="534"/>
      <c r="F3629" s="831"/>
      <c r="G3629" s="534"/>
      <c r="H3629" s="534"/>
    </row>
    <row r="3630" spans="3:11" ht="25.8" customHeight="1">
      <c r="C3630" s="833" t="s">
        <v>1203</v>
      </c>
      <c r="D3630" s="820" t="s">
        <v>7914</v>
      </c>
      <c r="E3630" s="807" t="s">
        <v>135</v>
      </c>
      <c r="F3630" s="832">
        <v>1.2</v>
      </c>
      <c r="G3630" s="539">
        <f>VLOOKUP(D3630,upahbahan,3,FALSE)</f>
        <v>0</v>
      </c>
      <c r="H3630" s="539">
        <f t="shared" ref="H3630" si="384">F3630*G3630</f>
        <v>0</v>
      </c>
    </row>
    <row r="3631" spans="3:11" ht="25.8" customHeight="1">
      <c r="C3631" s="702" t="s">
        <v>1214</v>
      </c>
      <c r="D3631" s="208"/>
      <c r="E3631" s="208"/>
      <c r="F3631" s="208"/>
      <c r="G3631" s="209"/>
      <c r="H3631" s="539">
        <f>SUM(H3630:H3630)</f>
        <v>0</v>
      </c>
    </row>
    <row r="3632" spans="3:11" ht="25.8" customHeight="1">
      <c r="C3632" s="213" t="s">
        <v>1215</v>
      </c>
      <c r="D3632" s="212" t="s">
        <v>1216</v>
      </c>
      <c r="E3632" s="534"/>
      <c r="F3632" s="534"/>
      <c r="G3632" s="534"/>
      <c r="H3632" s="534"/>
    </row>
    <row r="3633" spans="3:11" ht="25.8" customHeight="1">
      <c r="C3633" s="702" t="s">
        <v>1217</v>
      </c>
      <c r="D3633" s="208"/>
      <c r="E3633" s="208"/>
      <c r="F3633" s="208"/>
      <c r="G3633" s="209"/>
      <c r="H3633" s="821">
        <v>0</v>
      </c>
    </row>
    <row r="3634" spans="3:11" ht="25.8" customHeight="1">
      <c r="C3634" s="566" t="s">
        <v>1218</v>
      </c>
      <c r="D3634" s="552" t="s">
        <v>1219</v>
      </c>
      <c r="E3634" s="553"/>
      <c r="F3634" s="553"/>
      <c r="G3634" s="554"/>
      <c r="H3634" s="826">
        <f>H3633+H3631+H3628</f>
        <v>64230</v>
      </c>
      <c r="I3634" s="827"/>
    </row>
    <row r="3635" spans="3:11" ht="25.8" customHeight="1">
      <c r="C3635" s="566" t="s">
        <v>1220</v>
      </c>
      <c r="D3635" s="552" t="s">
        <v>1321</v>
      </c>
      <c r="E3635" s="553"/>
      <c r="F3635" s="554"/>
      <c r="G3635" s="555">
        <f>$M$9</f>
        <v>0.1</v>
      </c>
      <c r="H3635" s="539">
        <f>H3634*G3635</f>
        <v>6423</v>
      </c>
      <c r="I3635" s="827"/>
    </row>
    <row r="3636" spans="3:11" ht="25.8" customHeight="1">
      <c r="C3636" s="566" t="s">
        <v>1221</v>
      </c>
      <c r="D3636" s="552" t="s">
        <v>1222</v>
      </c>
      <c r="E3636" s="553"/>
      <c r="F3636" s="553"/>
      <c r="G3636" s="554"/>
      <c r="H3636" s="828">
        <f>SUM(H3634:H3635)</f>
        <v>70653</v>
      </c>
      <c r="I3636" s="827"/>
    </row>
    <row r="3637" spans="3:11" ht="25.8" customHeight="1">
      <c r="C3637" s="572"/>
      <c r="D3637" s="575"/>
      <c r="E3637" s="575"/>
      <c r="F3637" s="575"/>
      <c r="G3637" s="575"/>
      <c r="H3637" s="830"/>
    </row>
    <row r="3638" spans="3:11" ht="25.8" customHeight="1">
      <c r="C3638" s="513" t="s">
        <v>7915</v>
      </c>
      <c r="D3638" s="817" t="s">
        <v>7916</v>
      </c>
      <c r="E3638" s="803"/>
      <c r="F3638" s="803"/>
      <c r="G3638" s="803"/>
      <c r="H3638" s="803"/>
      <c r="I3638" s="533">
        <f>ROUNDDOWN(H3653,-2)</f>
        <v>70600</v>
      </c>
      <c r="J3638" s="536" t="s">
        <v>7804</v>
      </c>
      <c r="K3638" s="824"/>
    </row>
    <row r="3639" spans="3:11" ht="25.8" customHeight="1">
      <c r="C3639" s="716" t="s">
        <v>1195</v>
      </c>
      <c r="D3639" s="716" t="s">
        <v>1196</v>
      </c>
      <c r="E3639" s="716" t="s">
        <v>1197</v>
      </c>
      <c r="F3639" s="716" t="s">
        <v>1198</v>
      </c>
      <c r="G3639" s="716" t="s">
        <v>1199</v>
      </c>
      <c r="H3639" s="716" t="s">
        <v>1200</v>
      </c>
    </row>
    <row r="3640" spans="3:11" ht="25.8" customHeight="1">
      <c r="C3640" s="213" t="s">
        <v>1201</v>
      </c>
      <c r="D3640" s="212" t="s">
        <v>1202</v>
      </c>
      <c r="E3640" s="534"/>
      <c r="F3640" s="534"/>
      <c r="G3640" s="534"/>
      <c r="H3640" s="534"/>
    </row>
    <row r="3641" spans="3:11" ht="25.8" customHeight="1">
      <c r="C3641" s="818">
        <v>1</v>
      </c>
      <c r="D3641" s="212" t="s">
        <v>5</v>
      </c>
      <c r="E3641" s="212" t="s">
        <v>6</v>
      </c>
      <c r="F3641" s="538">
        <v>0.17899999999999999</v>
      </c>
      <c r="G3641" s="539">
        <f>VLOOKUP(D3641,upahbahan,3,FALSE)</f>
        <v>100000</v>
      </c>
      <c r="H3641" s="539">
        <f t="shared" ref="H3641:H3644" si="385">F3641*G3641</f>
        <v>17900</v>
      </c>
    </row>
    <row r="3642" spans="3:11" ht="25.8" customHeight="1">
      <c r="C3642" s="818">
        <v>2</v>
      </c>
      <c r="D3642" s="212" t="s">
        <v>3295</v>
      </c>
      <c r="E3642" s="212" t="s">
        <v>6</v>
      </c>
      <c r="F3642" s="538">
        <v>0.29799999999999999</v>
      </c>
      <c r="G3642" s="539">
        <f>VLOOKUP(D3642,upahbahan,3,FALSE)</f>
        <v>135000</v>
      </c>
      <c r="H3642" s="539">
        <f t="shared" si="385"/>
        <v>40230</v>
      </c>
    </row>
    <row r="3643" spans="3:11" ht="25.8" customHeight="1">
      <c r="C3643" s="818">
        <v>3</v>
      </c>
      <c r="D3643" s="212" t="s">
        <v>18</v>
      </c>
      <c r="E3643" s="212" t="s">
        <v>6</v>
      </c>
      <c r="F3643" s="538">
        <v>0.03</v>
      </c>
      <c r="G3643" s="539">
        <f>VLOOKUP(D3643,upahbahan,3,FALSE)</f>
        <v>150000</v>
      </c>
      <c r="H3643" s="539">
        <f t="shared" si="385"/>
        <v>4500</v>
      </c>
    </row>
    <row r="3644" spans="3:11" ht="25.8" customHeight="1">
      <c r="C3644" s="818">
        <v>4</v>
      </c>
      <c r="D3644" s="212" t="s">
        <v>19</v>
      </c>
      <c r="E3644" s="212" t="s">
        <v>6</v>
      </c>
      <c r="F3644" s="538">
        <v>0.01</v>
      </c>
      <c r="G3644" s="539">
        <f>VLOOKUP(D3644,upahbahan,3,FALSE)</f>
        <v>160000</v>
      </c>
      <c r="H3644" s="539">
        <f t="shared" si="385"/>
        <v>1600</v>
      </c>
    </row>
    <row r="3645" spans="3:11" ht="25.8" customHeight="1">
      <c r="C3645" s="702" t="s">
        <v>1208</v>
      </c>
      <c r="D3645" s="208"/>
      <c r="E3645" s="208"/>
      <c r="F3645" s="811"/>
      <c r="G3645" s="522"/>
      <c r="H3645" s="539">
        <f>SUM(H3641:H3644)</f>
        <v>64230</v>
      </c>
      <c r="I3645" s="819"/>
    </row>
    <row r="3646" spans="3:11" ht="25.8" customHeight="1">
      <c r="C3646" s="213" t="s">
        <v>1209</v>
      </c>
      <c r="D3646" s="212" t="s">
        <v>1210</v>
      </c>
      <c r="E3646" s="534"/>
      <c r="F3646" s="831"/>
      <c r="G3646" s="534"/>
      <c r="H3646" s="534"/>
    </row>
    <row r="3647" spans="3:11" ht="25.8" customHeight="1">
      <c r="C3647" s="833" t="s">
        <v>1203</v>
      </c>
      <c r="D3647" s="820" t="s">
        <v>7917</v>
      </c>
      <c r="E3647" s="807" t="s">
        <v>135</v>
      </c>
      <c r="F3647" s="832">
        <v>1.2</v>
      </c>
      <c r="G3647" s="539">
        <f>VLOOKUP(D3647,upahbahan,3,FALSE)</f>
        <v>0</v>
      </c>
      <c r="H3647" s="539">
        <f t="shared" ref="H3647" si="386">F3647*G3647</f>
        <v>0</v>
      </c>
    </row>
    <row r="3648" spans="3:11" ht="25.8" customHeight="1">
      <c r="C3648" s="702" t="s">
        <v>1214</v>
      </c>
      <c r="D3648" s="208"/>
      <c r="E3648" s="208"/>
      <c r="F3648" s="208"/>
      <c r="G3648" s="209"/>
      <c r="H3648" s="539">
        <f>SUM(H3647:H3647)</f>
        <v>0</v>
      </c>
    </row>
    <row r="3649" spans="3:11" ht="25.8" customHeight="1">
      <c r="C3649" s="213" t="s">
        <v>1215</v>
      </c>
      <c r="D3649" s="212" t="s">
        <v>1216</v>
      </c>
      <c r="E3649" s="534"/>
      <c r="F3649" s="534"/>
      <c r="G3649" s="534"/>
      <c r="H3649" s="534"/>
    </row>
    <row r="3650" spans="3:11" ht="25.8" customHeight="1">
      <c r="C3650" s="702" t="s">
        <v>1217</v>
      </c>
      <c r="D3650" s="208"/>
      <c r="E3650" s="208"/>
      <c r="F3650" s="208"/>
      <c r="G3650" s="209"/>
      <c r="H3650" s="821">
        <v>0</v>
      </c>
    </row>
    <row r="3651" spans="3:11" ht="25.8" customHeight="1">
      <c r="C3651" s="566" t="s">
        <v>1218</v>
      </c>
      <c r="D3651" s="552" t="s">
        <v>1219</v>
      </c>
      <c r="E3651" s="553"/>
      <c r="F3651" s="553"/>
      <c r="G3651" s="554"/>
      <c r="H3651" s="826">
        <f>H3650+H3648+H3645</f>
        <v>64230</v>
      </c>
      <c r="I3651" s="827"/>
    </row>
    <row r="3652" spans="3:11" ht="25.8" customHeight="1">
      <c r="C3652" s="566" t="s">
        <v>1220</v>
      </c>
      <c r="D3652" s="552" t="s">
        <v>1321</v>
      </c>
      <c r="E3652" s="553"/>
      <c r="F3652" s="554"/>
      <c r="G3652" s="555">
        <f>$M$9</f>
        <v>0.1</v>
      </c>
      <c r="H3652" s="539">
        <f>H3651*G3652</f>
        <v>6423</v>
      </c>
      <c r="I3652" s="827"/>
    </row>
    <row r="3653" spans="3:11" ht="25.8" customHeight="1">
      <c r="C3653" s="566" t="s">
        <v>1221</v>
      </c>
      <c r="D3653" s="552" t="s">
        <v>1222</v>
      </c>
      <c r="E3653" s="553"/>
      <c r="F3653" s="553"/>
      <c r="G3653" s="554"/>
      <c r="H3653" s="828">
        <f>SUM(H3651:H3652)</f>
        <v>70653</v>
      </c>
      <c r="I3653" s="827"/>
    </row>
    <row r="3654" spans="3:11" ht="25.8" customHeight="1">
      <c r="C3654" s="572"/>
      <c r="D3654" s="575"/>
      <c r="E3654" s="575"/>
      <c r="F3654" s="575"/>
      <c r="G3654" s="575"/>
      <c r="H3654" s="830"/>
    </row>
    <row r="3655" spans="3:11" ht="25.8" customHeight="1">
      <c r="C3655" s="513" t="s">
        <v>7918</v>
      </c>
      <c r="D3655" s="817" t="s">
        <v>7919</v>
      </c>
      <c r="E3655" s="803"/>
      <c r="F3655" s="803"/>
      <c r="G3655" s="803"/>
      <c r="H3655" s="803"/>
      <c r="I3655" s="533">
        <f>ROUNDDOWN(H3670,-2)</f>
        <v>70600</v>
      </c>
      <c r="J3655" s="536" t="s">
        <v>7804</v>
      </c>
      <c r="K3655" s="824"/>
    </row>
    <row r="3656" spans="3:11" ht="25.8" customHeight="1">
      <c r="C3656" s="716" t="s">
        <v>1195</v>
      </c>
      <c r="D3656" s="716" t="s">
        <v>1196</v>
      </c>
      <c r="E3656" s="716" t="s">
        <v>1197</v>
      </c>
      <c r="F3656" s="716" t="s">
        <v>1198</v>
      </c>
      <c r="G3656" s="716" t="s">
        <v>1199</v>
      </c>
      <c r="H3656" s="716" t="s">
        <v>1200</v>
      </c>
    </row>
    <row r="3657" spans="3:11" ht="25.8" customHeight="1">
      <c r="C3657" s="213" t="s">
        <v>1201</v>
      </c>
      <c r="D3657" s="212" t="s">
        <v>1202</v>
      </c>
      <c r="E3657" s="534"/>
      <c r="F3657" s="534"/>
      <c r="G3657" s="534"/>
      <c r="H3657" s="534"/>
    </row>
    <row r="3658" spans="3:11" ht="25.8" customHeight="1">
      <c r="C3658" s="818">
        <v>1</v>
      </c>
      <c r="D3658" s="212" t="s">
        <v>5</v>
      </c>
      <c r="E3658" s="212" t="s">
        <v>6</v>
      </c>
      <c r="F3658" s="538">
        <v>0.17899999999999999</v>
      </c>
      <c r="G3658" s="539">
        <f>VLOOKUP(D3658,upahbahan,3,FALSE)</f>
        <v>100000</v>
      </c>
      <c r="H3658" s="539">
        <f t="shared" ref="H3658:H3661" si="387">F3658*G3658</f>
        <v>17900</v>
      </c>
    </row>
    <row r="3659" spans="3:11" ht="25.8" customHeight="1">
      <c r="C3659" s="818">
        <v>2</v>
      </c>
      <c r="D3659" s="212" t="s">
        <v>3295</v>
      </c>
      <c r="E3659" s="212" t="s">
        <v>6</v>
      </c>
      <c r="F3659" s="538">
        <v>0.29799999999999999</v>
      </c>
      <c r="G3659" s="539">
        <f>VLOOKUP(D3659,upahbahan,3,FALSE)</f>
        <v>135000</v>
      </c>
      <c r="H3659" s="539">
        <f t="shared" si="387"/>
        <v>40230</v>
      </c>
    </row>
    <row r="3660" spans="3:11" ht="25.8" customHeight="1">
      <c r="C3660" s="818">
        <v>3</v>
      </c>
      <c r="D3660" s="212" t="s">
        <v>18</v>
      </c>
      <c r="E3660" s="212" t="s">
        <v>6</v>
      </c>
      <c r="F3660" s="538">
        <v>0.03</v>
      </c>
      <c r="G3660" s="539">
        <f>VLOOKUP(D3660,upahbahan,3,FALSE)</f>
        <v>150000</v>
      </c>
      <c r="H3660" s="539">
        <f t="shared" si="387"/>
        <v>4500</v>
      </c>
    </row>
    <row r="3661" spans="3:11" ht="25.8" customHeight="1">
      <c r="C3661" s="818">
        <v>4</v>
      </c>
      <c r="D3661" s="212" t="s">
        <v>19</v>
      </c>
      <c r="E3661" s="212" t="s">
        <v>6</v>
      </c>
      <c r="F3661" s="538">
        <v>0.01</v>
      </c>
      <c r="G3661" s="539">
        <f>VLOOKUP(D3661,upahbahan,3,FALSE)</f>
        <v>160000</v>
      </c>
      <c r="H3661" s="539">
        <f t="shared" si="387"/>
        <v>1600</v>
      </c>
    </row>
    <row r="3662" spans="3:11" ht="25.8" customHeight="1">
      <c r="C3662" s="702" t="s">
        <v>1208</v>
      </c>
      <c r="D3662" s="208"/>
      <c r="E3662" s="208"/>
      <c r="F3662" s="811"/>
      <c r="G3662" s="522"/>
      <c r="H3662" s="539">
        <f>SUM(H3658:H3661)</f>
        <v>64230</v>
      </c>
      <c r="I3662" s="819"/>
    </row>
    <row r="3663" spans="3:11" ht="25.8" customHeight="1">
      <c r="C3663" s="213" t="s">
        <v>1209</v>
      </c>
      <c r="D3663" s="212" t="s">
        <v>1210</v>
      </c>
      <c r="E3663" s="534"/>
      <c r="F3663" s="831"/>
      <c r="G3663" s="534"/>
      <c r="H3663" s="534"/>
    </row>
    <row r="3664" spans="3:11" ht="25.8" customHeight="1">
      <c r="C3664" s="833" t="s">
        <v>1203</v>
      </c>
      <c r="D3664" s="820" t="s">
        <v>7920</v>
      </c>
      <c r="E3664" s="807" t="s">
        <v>135</v>
      </c>
      <c r="F3664" s="832">
        <v>1.2</v>
      </c>
      <c r="G3664" s="539">
        <f>VLOOKUP(D3664,upahbahan,3,FALSE)</f>
        <v>0</v>
      </c>
      <c r="H3664" s="539">
        <f t="shared" ref="H3664" si="388">F3664*G3664</f>
        <v>0</v>
      </c>
    </row>
    <row r="3665" spans="3:11" ht="25.8" customHeight="1">
      <c r="C3665" s="702" t="s">
        <v>1214</v>
      </c>
      <c r="D3665" s="208"/>
      <c r="E3665" s="208"/>
      <c r="F3665" s="208"/>
      <c r="G3665" s="209"/>
      <c r="H3665" s="539">
        <f>SUM(H3664:H3664)</f>
        <v>0</v>
      </c>
    </row>
    <row r="3666" spans="3:11" ht="25.8" customHeight="1">
      <c r="C3666" s="213" t="s">
        <v>1215</v>
      </c>
      <c r="D3666" s="212" t="s">
        <v>1216</v>
      </c>
      <c r="E3666" s="534"/>
      <c r="F3666" s="534"/>
      <c r="G3666" s="534"/>
      <c r="H3666" s="534"/>
    </row>
    <row r="3667" spans="3:11" ht="25.8" customHeight="1">
      <c r="C3667" s="702" t="s">
        <v>1217</v>
      </c>
      <c r="D3667" s="208"/>
      <c r="E3667" s="208"/>
      <c r="F3667" s="208"/>
      <c r="G3667" s="209"/>
      <c r="H3667" s="821">
        <v>0</v>
      </c>
    </row>
    <row r="3668" spans="3:11" ht="25.8" customHeight="1">
      <c r="C3668" s="566" t="s">
        <v>1218</v>
      </c>
      <c r="D3668" s="552" t="s">
        <v>1219</v>
      </c>
      <c r="E3668" s="553"/>
      <c r="F3668" s="553"/>
      <c r="G3668" s="554"/>
      <c r="H3668" s="826">
        <f>H3667+H3665+H3662</f>
        <v>64230</v>
      </c>
      <c r="I3668" s="827"/>
    </row>
    <row r="3669" spans="3:11" ht="25.8" customHeight="1">
      <c r="C3669" s="566" t="s">
        <v>1220</v>
      </c>
      <c r="D3669" s="552" t="s">
        <v>1321</v>
      </c>
      <c r="E3669" s="553"/>
      <c r="F3669" s="554"/>
      <c r="G3669" s="555">
        <f>$M$9</f>
        <v>0.1</v>
      </c>
      <c r="H3669" s="539">
        <f>H3668*G3669</f>
        <v>6423</v>
      </c>
      <c r="I3669" s="827"/>
    </row>
    <row r="3670" spans="3:11" ht="25.8" customHeight="1">
      <c r="C3670" s="566" t="s">
        <v>1221</v>
      </c>
      <c r="D3670" s="552" t="s">
        <v>1222</v>
      </c>
      <c r="E3670" s="553"/>
      <c r="F3670" s="553"/>
      <c r="G3670" s="554"/>
      <c r="H3670" s="828">
        <f>SUM(H3668:H3669)</f>
        <v>70653</v>
      </c>
      <c r="I3670" s="827"/>
    </row>
    <row r="3671" spans="3:11" ht="25.8" customHeight="1">
      <c r="C3671" s="572"/>
      <c r="D3671" s="575"/>
      <c r="E3671" s="575"/>
      <c r="F3671" s="575"/>
      <c r="G3671" s="575"/>
      <c r="H3671" s="830"/>
    </row>
    <row r="3672" spans="3:11" ht="25.8" customHeight="1">
      <c r="C3672" s="513" t="s">
        <v>7921</v>
      </c>
      <c r="D3672" s="817" t="s">
        <v>7922</v>
      </c>
      <c r="E3672" s="803"/>
      <c r="F3672" s="803"/>
      <c r="G3672" s="803"/>
      <c r="H3672" s="803"/>
      <c r="I3672" s="533">
        <f>ROUNDDOWN(H3687,-2)</f>
        <v>70600</v>
      </c>
      <c r="J3672" s="536" t="s">
        <v>7804</v>
      </c>
      <c r="K3672" s="824"/>
    </row>
    <row r="3673" spans="3:11" ht="25.8" customHeight="1">
      <c r="C3673" s="716" t="s">
        <v>1195</v>
      </c>
      <c r="D3673" s="716" t="s">
        <v>1196</v>
      </c>
      <c r="E3673" s="716" t="s">
        <v>1197</v>
      </c>
      <c r="F3673" s="716" t="s">
        <v>1198</v>
      </c>
      <c r="G3673" s="716" t="s">
        <v>1199</v>
      </c>
      <c r="H3673" s="716" t="s">
        <v>1200</v>
      </c>
    </row>
    <row r="3674" spans="3:11" ht="25.8" customHeight="1">
      <c r="C3674" s="213" t="s">
        <v>1201</v>
      </c>
      <c r="D3674" s="212" t="s">
        <v>1202</v>
      </c>
      <c r="E3674" s="534"/>
      <c r="F3674" s="534"/>
      <c r="G3674" s="534"/>
      <c r="H3674" s="534"/>
    </row>
    <row r="3675" spans="3:11" ht="25.8" customHeight="1">
      <c r="C3675" s="818">
        <v>1</v>
      </c>
      <c r="D3675" s="212" t="s">
        <v>5</v>
      </c>
      <c r="E3675" s="212" t="s">
        <v>6</v>
      </c>
      <c r="F3675" s="538">
        <v>0.17899999999999999</v>
      </c>
      <c r="G3675" s="539">
        <f>VLOOKUP(D3675,upahbahan,3,FALSE)</f>
        <v>100000</v>
      </c>
      <c r="H3675" s="539">
        <f t="shared" ref="H3675:H3678" si="389">F3675*G3675</f>
        <v>17900</v>
      </c>
    </row>
    <row r="3676" spans="3:11" ht="25.8" customHeight="1">
      <c r="C3676" s="818">
        <v>2</v>
      </c>
      <c r="D3676" s="212" t="s">
        <v>3295</v>
      </c>
      <c r="E3676" s="212" t="s">
        <v>6</v>
      </c>
      <c r="F3676" s="538">
        <v>0.29799999999999999</v>
      </c>
      <c r="G3676" s="539">
        <f>VLOOKUP(D3676,upahbahan,3,FALSE)</f>
        <v>135000</v>
      </c>
      <c r="H3676" s="539">
        <f t="shared" si="389"/>
        <v>40230</v>
      </c>
    </row>
    <row r="3677" spans="3:11" ht="25.8" customHeight="1">
      <c r="C3677" s="818">
        <v>3</v>
      </c>
      <c r="D3677" s="212" t="s">
        <v>18</v>
      </c>
      <c r="E3677" s="212" t="s">
        <v>6</v>
      </c>
      <c r="F3677" s="538">
        <v>0.03</v>
      </c>
      <c r="G3677" s="539">
        <f>VLOOKUP(D3677,upahbahan,3,FALSE)</f>
        <v>150000</v>
      </c>
      <c r="H3677" s="539">
        <f t="shared" si="389"/>
        <v>4500</v>
      </c>
    </row>
    <row r="3678" spans="3:11" ht="25.8" customHeight="1">
      <c r="C3678" s="818">
        <v>4</v>
      </c>
      <c r="D3678" s="212" t="s">
        <v>19</v>
      </c>
      <c r="E3678" s="212" t="s">
        <v>6</v>
      </c>
      <c r="F3678" s="538">
        <v>0.01</v>
      </c>
      <c r="G3678" s="539">
        <f>VLOOKUP(D3678,upahbahan,3,FALSE)</f>
        <v>160000</v>
      </c>
      <c r="H3678" s="539">
        <f t="shared" si="389"/>
        <v>1600</v>
      </c>
    </row>
    <row r="3679" spans="3:11" ht="25.8" customHeight="1">
      <c r="C3679" s="702" t="s">
        <v>1208</v>
      </c>
      <c r="D3679" s="208"/>
      <c r="E3679" s="208"/>
      <c r="F3679" s="811"/>
      <c r="G3679" s="522"/>
      <c r="H3679" s="539">
        <f>SUM(H3675:H3678)</f>
        <v>64230</v>
      </c>
      <c r="I3679" s="819"/>
    </row>
    <row r="3680" spans="3:11" ht="25.8" customHeight="1">
      <c r="C3680" s="213" t="s">
        <v>1209</v>
      </c>
      <c r="D3680" s="212" t="s">
        <v>1210</v>
      </c>
      <c r="E3680" s="534"/>
      <c r="F3680" s="831"/>
      <c r="G3680" s="534"/>
      <c r="H3680" s="534"/>
    </row>
    <row r="3681" spans="3:11" ht="25.8" customHeight="1">
      <c r="C3681" s="833" t="s">
        <v>1203</v>
      </c>
      <c r="D3681" s="820" t="s">
        <v>7923</v>
      </c>
      <c r="E3681" s="807" t="s">
        <v>135</v>
      </c>
      <c r="F3681" s="832">
        <v>1.2</v>
      </c>
      <c r="G3681" s="539">
        <f>VLOOKUP(D3681,upahbahan,3,FALSE)</f>
        <v>0</v>
      </c>
      <c r="H3681" s="539">
        <f t="shared" ref="H3681" si="390">F3681*G3681</f>
        <v>0</v>
      </c>
    </row>
    <row r="3682" spans="3:11" ht="25.8" customHeight="1">
      <c r="C3682" s="702" t="s">
        <v>1214</v>
      </c>
      <c r="D3682" s="208"/>
      <c r="E3682" s="208"/>
      <c r="F3682" s="208"/>
      <c r="G3682" s="209"/>
      <c r="H3682" s="539">
        <f>SUM(H3681:H3681)</f>
        <v>0</v>
      </c>
    </row>
    <row r="3683" spans="3:11" ht="25.8" customHeight="1">
      <c r="C3683" s="213" t="s">
        <v>1215</v>
      </c>
      <c r="D3683" s="212" t="s">
        <v>1216</v>
      </c>
      <c r="E3683" s="534"/>
      <c r="F3683" s="534"/>
      <c r="G3683" s="534"/>
      <c r="H3683" s="534"/>
    </row>
    <row r="3684" spans="3:11" ht="25.8" customHeight="1">
      <c r="C3684" s="702" t="s">
        <v>1217</v>
      </c>
      <c r="D3684" s="208"/>
      <c r="E3684" s="208"/>
      <c r="F3684" s="208"/>
      <c r="G3684" s="209"/>
      <c r="H3684" s="821">
        <v>0</v>
      </c>
    </row>
    <row r="3685" spans="3:11" ht="25.8" customHeight="1">
      <c r="C3685" s="566" t="s">
        <v>1218</v>
      </c>
      <c r="D3685" s="552" t="s">
        <v>1219</v>
      </c>
      <c r="E3685" s="553"/>
      <c r="F3685" s="553"/>
      <c r="G3685" s="554"/>
      <c r="H3685" s="826">
        <f>H3684+H3682+H3679</f>
        <v>64230</v>
      </c>
      <c r="I3685" s="827"/>
    </row>
    <row r="3686" spans="3:11" ht="25.8" customHeight="1">
      <c r="C3686" s="566" t="s">
        <v>1220</v>
      </c>
      <c r="D3686" s="552" t="s">
        <v>1321</v>
      </c>
      <c r="E3686" s="553"/>
      <c r="F3686" s="554"/>
      <c r="G3686" s="555">
        <f>$M$9</f>
        <v>0.1</v>
      </c>
      <c r="H3686" s="539">
        <f>H3685*G3686</f>
        <v>6423</v>
      </c>
      <c r="I3686" s="827"/>
    </row>
    <row r="3687" spans="3:11" ht="25.8" customHeight="1">
      <c r="C3687" s="566" t="s">
        <v>1221</v>
      </c>
      <c r="D3687" s="552" t="s">
        <v>1222</v>
      </c>
      <c r="E3687" s="553"/>
      <c r="F3687" s="553"/>
      <c r="G3687" s="554"/>
      <c r="H3687" s="828">
        <f>SUM(H3685:H3686)</f>
        <v>70653</v>
      </c>
      <c r="I3687" s="827"/>
    </row>
    <row r="3688" spans="3:11" ht="25.8" customHeight="1">
      <c r="C3688" s="572"/>
      <c r="D3688" s="575"/>
      <c r="E3688" s="575"/>
      <c r="F3688" s="575"/>
      <c r="G3688" s="575"/>
      <c r="H3688" s="830"/>
    </row>
    <row r="3689" spans="3:11" ht="25.8" customHeight="1">
      <c r="C3689" s="513" t="s">
        <v>7924</v>
      </c>
      <c r="D3689" s="817" t="s">
        <v>7925</v>
      </c>
      <c r="E3689" s="803"/>
      <c r="F3689" s="803"/>
      <c r="G3689" s="803"/>
      <c r="H3689" s="803"/>
      <c r="I3689" s="533">
        <f>ROUNDDOWN(H3704,-2)</f>
        <v>70600</v>
      </c>
      <c r="J3689" s="536" t="s">
        <v>7804</v>
      </c>
      <c r="K3689" s="824"/>
    </row>
    <row r="3690" spans="3:11" ht="25.8" customHeight="1">
      <c r="C3690" s="716" t="s">
        <v>1195</v>
      </c>
      <c r="D3690" s="716" t="s">
        <v>1196</v>
      </c>
      <c r="E3690" s="716" t="s">
        <v>1197</v>
      </c>
      <c r="F3690" s="716" t="s">
        <v>1198</v>
      </c>
      <c r="G3690" s="716" t="s">
        <v>1199</v>
      </c>
      <c r="H3690" s="716" t="s">
        <v>1200</v>
      </c>
    </row>
    <row r="3691" spans="3:11" ht="25.8" customHeight="1">
      <c r="C3691" s="213" t="s">
        <v>1201</v>
      </c>
      <c r="D3691" s="212" t="s">
        <v>1202</v>
      </c>
      <c r="E3691" s="534"/>
      <c r="F3691" s="534"/>
      <c r="G3691" s="534"/>
      <c r="H3691" s="534"/>
    </row>
    <row r="3692" spans="3:11" ht="25.8" customHeight="1">
      <c r="C3692" s="818">
        <v>1</v>
      </c>
      <c r="D3692" s="212" t="s">
        <v>5</v>
      </c>
      <c r="E3692" s="212" t="s">
        <v>6</v>
      </c>
      <c r="F3692" s="538">
        <v>0.17899999999999999</v>
      </c>
      <c r="G3692" s="539">
        <f>VLOOKUP(D3692,upahbahan,3,FALSE)</f>
        <v>100000</v>
      </c>
      <c r="H3692" s="539">
        <f t="shared" ref="H3692:H3695" si="391">F3692*G3692</f>
        <v>17900</v>
      </c>
    </row>
    <row r="3693" spans="3:11" ht="25.8" customHeight="1">
      <c r="C3693" s="818">
        <v>2</v>
      </c>
      <c r="D3693" s="212" t="s">
        <v>3295</v>
      </c>
      <c r="E3693" s="212" t="s">
        <v>6</v>
      </c>
      <c r="F3693" s="538">
        <v>0.29799999999999999</v>
      </c>
      <c r="G3693" s="539">
        <f>VLOOKUP(D3693,upahbahan,3,FALSE)</f>
        <v>135000</v>
      </c>
      <c r="H3693" s="539">
        <f t="shared" si="391"/>
        <v>40230</v>
      </c>
    </row>
    <row r="3694" spans="3:11" ht="25.8" customHeight="1">
      <c r="C3694" s="818">
        <v>3</v>
      </c>
      <c r="D3694" s="212" t="s">
        <v>18</v>
      </c>
      <c r="E3694" s="212" t="s">
        <v>6</v>
      </c>
      <c r="F3694" s="538">
        <v>0.03</v>
      </c>
      <c r="G3694" s="539">
        <f>VLOOKUP(D3694,upahbahan,3,FALSE)</f>
        <v>150000</v>
      </c>
      <c r="H3694" s="539">
        <f t="shared" si="391"/>
        <v>4500</v>
      </c>
    </row>
    <row r="3695" spans="3:11" ht="25.8" customHeight="1">
      <c r="C3695" s="818">
        <v>4</v>
      </c>
      <c r="D3695" s="212" t="s">
        <v>19</v>
      </c>
      <c r="E3695" s="212" t="s">
        <v>6</v>
      </c>
      <c r="F3695" s="538">
        <v>0.01</v>
      </c>
      <c r="G3695" s="539">
        <f>VLOOKUP(D3695,upahbahan,3,FALSE)</f>
        <v>160000</v>
      </c>
      <c r="H3695" s="539">
        <f t="shared" si="391"/>
        <v>1600</v>
      </c>
    </row>
    <row r="3696" spans="3:11" ht="25.8" customHeight="1">
      <c r="C3696" s="702" t="s">
        <v>1208</v>
      </c>
      <c r="D3696" s="208"/>
      <c r="E3696" s="208"/>
      <c r="F3696" s="811"/>
      <c r="G3696" s="522"/>
      <c r="H3696" s="539">
        <f>SUM(H3692:H3695)</f>
        <v>64230</v>
      </c>
      <c r="I3696" s="819"/>
    </row>
    <row r="3697" spans="3:11" ht="25.8" customHeight="1">
      <c r="C3697" s="213" t="s">
        <v>1209</v>
      </c>
      <c r="D3697" s="212" t="s">
        <v>1210</v>
      </c>
      <c r="E3697" s="534"/>
      <c r="F3697" s="831"/>
      <c r="G3697" s="534"/>
      <c r="H3697" s="534"/>
    </row>
    <row r="3698" spans="3:11" ht="25.8" customHeight="1">
      <c r="C3698" s="833" t="s">
        <v>1203</v>
      </c>
      <c r="D3698" s="820" t="s">
        <v>7926</v>
      </c>
      <c r="E3698" s="807" t="s">
        <v>135</v>
      </c>
      <c r="F3698" s="832">
        <v>1.2</v>
      </c>
      <c r="G3698" s="539">
        <f>VLOOKUP(D3698,upahbahan,3,FALSE)</f>
        <v>0</v>
      </c>
      <c r="H3698" s="539">
        <f t="shared" ref="H3698" si="392">F3698*G3698</f>
        <v>0</v>
      </c>
    </row>
    <row r="3699" spans="3:11" ht="25.8" customHeight="1">
      <c r="C3699" s="702" t="s">
        <v>1214</v>
      </c>
      <c r="D3699" s="208"/>
      <c r="E3699" s="208"/>
      <c r="F3699" s="208"/>
      <c r="G3699" s="209"/>
      <c r="H3699" s="539">
        <f>SUM(H3698:H3698)</f>
        <v>0</v>
      </c>
    </row>
    <row r="3700" spans="3:11" ht="25.8" customHeight="1">
      <c r="C3700" s="213" t="s">
        <v>1215</v>
      </c>
      <c r="D3700" s="212" t="s">
        <v>1216</v>
      </c>
      <c r="E3700" s="534"/>
      <c r="F3700" s="534"/>
      <c r="G3700" s="534"/>
      <c r="H3700" s="534"/>
    </row>
    <row r="3701" spans="3:11" ht="25.8" customHeight="1">
      <c r="C3701" s="702" t="s">
        <v>1217</v>
      </c>
      <c r="D3701" s="208"/>
      <c r="E3701" s="208"/>
      <c r="F3701" s="208"/>
      <c r="G3701" s="209"/>
      <c r="H3701" s="821">
        <v>0</v>
      </c>
    </row>
    <row r="3702" spans="3:11" ht="25.8" customHeight="1">
      <c r="C3702" s="566" t="s">
        <v>1218</v>
      </c>
      <c r="D3702" s="552" t="s">
        <v>1219</v>
      </c>
      <c r="E3702" s="553"/>
      <c r="F3702" s="553"/>
      <c r="G3702" s="554"/>
      <c r="H3702" s="826">
        <f>H3701+H3699+H3696</f>
        <v>64230</v>
      </c>
      <c r="I3702" s="827"/>
    </row>
    <row r="3703" spans="3:11" ht="25.8" customHeight="1">
      <c r="C3703" s="566" t="s">
        <v>1220</v>
      </c>
      <c r="D3703" s="552" t="s">
        <v>1321</v>
      </c>
      <c r="E3703" s="553"/>
      <c r="F3703" s="554"/>
      <c r="G3703" s="555">
        <f>$M$9</f>
        <v>0.1</v>
      </c>
      <c r="H3703" s="539">
        <f>H3702*G3703</f>
        <v>6423</v>
      </c>
      <c r="I3703" s="827"/>
    </row>
    <row r="3704" spans="3:11" ht="25.8" customHeight="1">
      <c r="C3704" s="566" t="s">
        <v>1221</v>
      </c>
      <c r="D3704" s="552" t="s">
        <v>1222</v>
      </c>
      <c r="E3704" s="553"/>
      <c r="F3704" s="553"/>
      <c r="G3704" s="554"/>
      <c r="H3704" s="828">
        <f>SUM(H3702:H3703)</f>
        <v>70653</v>
      </c>
      <c r="I3704" s="827"/>
    </row>
    <row r="3705" spans="3:11" ht="25.8" customHeight="1">
      <c r="C3705" s="572"/>
      <c r="D3705" s="575"/>
      <c r="E3705" s="575"/>
      <c r="F3705" s="575"/>
      <c r="G3705" s="575"/>
      <c r="H3705" s="830"/>
    </row>
    <row r="3706" spans="3:11" ht="25.8" customHeight="1">
      <c r="C3706" s="513" t="s">
        <v>7927</v>
      </c>
      <c r="D3706" s="817" t="s">
        <v>7928</v>
      </c>
      <c r="E3706" s="803"/>
      <c r="F3706" s="803"/>
      <c r="G3706" s="803"/>
      <c r="H3706" s="803"/>
      <c r="I3706" s="533">
        <f>ROUNDDOWN(H3721,-2)</f>
        <v>70600</v>
      </c>
      <c r="J3706" s="536" t="s">
        <v>7804</v>
      </c>
      <c r="K3706" s="824"/>
    </row>
    <row r="3707" spans="3:11" ht="25.8" customHeight="1">
      <c r="C3707" s="716" t="s">
        <v>1195</v>
      </c>
      <c r="D3707" s="716" t="s">
        <v>1196</v>
      </c>
      <c r="E3707" s="716" t="s">
        <v>1197</v>
      </c>
      <c r="F3707" s="716" t="s">
        <v>1198</v>
      </c>
      <c r="G3707" s="716" t="s">
        <v>1199</v>
      </c>
      <c r="H3707" s="716" t="s">
        <v>1200</v>
      </c>
    </row>
    <row r="3708" spans="3:11" ht="25.8" customHeight="1">
      <c r="C3708" s="213" t="s">
        <v>1201</v>
      </c>
      <c r="D3708" s="212" t="s">
        <v>1202</v>
      </c>
      <c r="E3708" s="534"/>
      <c r="F3708" s="534"/>
      <c r="G3708" s="534"/>
      <c r="H3708" s="534"/>
    </row>
    <row r="3709" spans="3:11" ht="25.8" customHeight="1">
      <c r="C3709" s="818">
        <v>1</v>
      </c>
      <c r="D3709" s="212" t="s">
        <v>5</v>
      </c>
      <c r="E3709" s="212" t="s">
        <v>6</v>
      </c>
      <c r="F3709" s="538">
        <v>0.17899999999999999</v>
      </c>
      <c r="G3709" s="539">
        <f>VLOOKUP(D3709,upahbahan,3,FALSE)</f>
        <v>100000</v>
      </c>
      <c r="H3709" s="539">
        <f t="shared" ref="H3709:H3712" si="393">F3709*G3709</f>
        <v>17900</v>
      </c>
    </row>
    <row r="3710" spans="3:11" ht="25.8" customHeight="1">
      <c r="C3710" s="818">
        <v>2</v>
      </c>
      <c r="D3710" s="212" t="s">
        <v>3295</v>
      </c>
      <c r="E3710" s="212" t="s">
        <v>6</v>
      </c>
      <c r="F3710" s="538">
        <v>0.29799999999999999</v>
      </c>
      <c r="G3710" s="539">
        <f>VLOOKUP(D3710,upahbahan,3,FALSE)</f>
        <v>135000</v>
      </c>
      <c r="H3710" s="539">
        <f t="shared" si="393"/>
        <v>40230</v>
      </c>
    </row>
    <row r="3711" spans="3:11" ht="25.8" customHeight="1">
      <c r="C3711" s="818">
        <v>3</v>
      </c>
      <c r="D3711" s="212" t="s">
        <v>18</v>
      </c>
      <c r="E3711" s="212" t="s">
        <v>6</v>
      </c>
      <c r="F3711" s="538">
        <v>0.03</v>
      </c>
      <c r="G3711" s="539">
        <f>VLOOKUP(D3711,upahbahan,3,FALSE)</f>
        <v>150000</v>
      </c>
      <c r="H3711" s="539">
        <f t="shared" si="393"/>
        <v>4500</v>
      </c>
    </row>
    <row r="3712" spans="3:11" ht="25.8" customHeight="1">
      <c r="C3712" s="818">
        <v>4</v>
      </c>
      <c r="D3712" s="212" t="s">
        <v>19</v>
      </c>
      <c r="E3712" s="212" t="s">
        <v>6</v>
      </c>
      <c r="F3712" s="538">
        <v>0.01</v>
      </c>
      <c r="G3712" s="539">
        <f>VLOOKUP(D3712,upahbahan,3,FALSE)</f>
        <v>160000</v>
      </c>
      <c r="H3712" s="539">
        <f t="shared" si="393"/>
        <v>1600</v>
      </c>
    </row>
    <row r="3713" spans="3:11" ht="25.8" customHeight="1">
      <c r="C3713" s="702" t="s">
        <v>1208</v>
      </c>
      <c r="D3713" s="208"/>
      <c r="E3713" s="208"/>
      <c r="F3713" s="811"/>
      <c r="G3713" s="522"/>
      <c r="H3713" s="539">
        <f>SUM(H3709:H3712)</f>
        <v>64230</v>
      </c>
      <c r="I3713" s="819"/>
    </row>
    <row r="3714" spans="3:11" ht="25.8" customHeight="1">
      <c r="C3714" s="213" t="s">
        <v>1209</v>
      </c>
      <c r="D3714" s="212" t="s">
        <v>1210</v>
      </c>
      <c r="E3714" s="534"/>
      <c r="F3714" s="831"/>
      <c r="G3714" s="534"/>
      <c r="H3714" s="534"/>
    </row>
    <row r="3715" spans="3:11" ht="25.8" customHeight="1">
      <c r="C3715" s="833" t="s">
        <v>1203</v>
      </c>
      <c r="D3715" s="820" t="s">
        <v>7929</v>
      </c>
      <c r="E3715" s="807" t="s">
        <v>135</v>
      </c>
      <c r="F3715" s="832">
        <v>1.2</v>
      </c>
      <c r="G3715" s="539">
        <f>VLOOKUP(D3715,upahbahan,3,FALSE)</f>
        <v>0</v>
      </c>
      <c r="H3715" s="539">
        <f t="shared" ref="H3715" si="394">F3715*G3715</f>
        <v>0</v>
      </c>
    </row>
    <row r="3716" spans="3:11" ht="25.8" customHeight="1">
      <c r="C3716" s="702" t="s">
        <v>1214</v>
      </c>
      <c r="D3716" s="208"/>
      <c r="E3716" s="208"/>
      <c r="F3716" s="208"/>
      <c r="G3716" s="209"/>
      <c r="H3716" s="539">
        <f>SUM(H3715:H3715)</f>
        <v>0</v>
      </c>
    </row>
    <row r="3717" spans="3:11" ht="25.8" customHeight="1">
      <c r="C3717" s="213" t="s">
        <v>1215</v>
      </c>
      <c r="D3717" s="212" t="s">
        <v>1216</v>
      </c>
      <c r="E3717" s="534"/>
      <c r="F3717" s="534"/>
      <c r="G3717" s="534"/>
      <c r="H3717" s="534"/>
    </row>
    <row r="3718" spans="3:11" ht="25.8" customHeight="1">
      <c r="C3718" s="702" t="s">
        <v>1217</v>
      </c>
      <c r="D3718" s="208"/>
      <c r="E3718" s="208"/>
      <c r="F3718" s="208"/>
      <c r="G3718" s="209"/>
      <c r="H3718" s="821">
        <v>0</v>
      </c>
    </row>
    <row r="3719" spans="3:11" ht="25.8" customHeight="1">
      <c r="C3719" s="566" t="s">
        <v>1218</v>
      </c>
      <c r="D3719" s="552" t="s">
        <v>1219</v>
      </c>
      <c r="E3719" s="553"/>
      <c r="F3719" s="553"/>
      <c r="G3719" s="554"/>
      <c r="H3719" s="826">
        <f>H3718+H3716+H3713</f>
        <v>64230</v>
      </c>
      <c r="I3719" s="827"/>
    </row>
    <row r="3720" spans="3:11" ht="25.8" customHeight="1">
      <c r="C3720" s="566" t="s">
        <v>1220</v>
      </c>
      <c r="D3720" s="552" t="s">
        <v>1321</v>
      </c>
      <c r="E3720" s="553"/>
      <c r="F3720" s="554"/>
      <c r="G3720" s="555">
        <f>$M$9</f>
        <v>0.1</v>
      </c>
      <c r="H3720" s="539">
        <f>H3719*G3720</f>
        <v>6423</v>
      </c>
      <c r="I3720" s="827"/>
    </row>
    <row r="3721" spans="3:11" ht="25.8" customHeight="1">
      <c r="C3721" s="566" t="s">
        <v>1221</v>
      </c>
      <c r="D3721" s="552" t="s">
        <v>1222</v>
      </c>
      <c r="E3721" s="553"/>
      <c r="F3721" s="553"/>
      <c r="G3721" s="554"/>
      <c r="H3721" s="828">
        <f>SUM(H3719:H3720)</f>
        <v>70653</v>
      </c>
      <c r="I3721" s="827"/>
    </row>
    <row r="3722" spans="3:11" ht="25.8" customHeight="1">
      <c r="C3722" s="572"/>
      <c r="D3722" s="575"/>
      <c r="E3722" s="575"/>
      <c r="F3722" s="575"/>
      <c r="G3722" s="575"/>
      <c r="H3722" s="830"/>
    </row>
    <row r="3723" spans="3:11" ht="25.8" customHeight="1">
      <c r="C3723" s="513" t="s">
        <v>7930</v>
      </c>
      <c r="D3723" s="817" t="s">
        <v>7931</v>
      </c>
      <c r="E3723" s="803"/>
      <c r="F3723" s="803"/>
      <c r="G3723" s="803"/>
      <c r="H3723" s="803"/>
      <c r="I3723" s="533">
        <f>ROUNDDOWN(H3738,-2)</f>
        <v>70600</v>
      </c>
      <c r="J3723" s="536" t="s">
        <v>7804</v>
      </c>
      <c r="K3723" s="824"/>
    </row>
    <row r="3724" spans="3:11" ht="25.8" customHeight="1">
      <c r="C3724" s="716" t="s">
        <v>1195</v>
      </c>
      <c r="D3724" s="716" t="s">
        <v>1196</v>
      </c>
      <c r="E3724" s="716" t="s">
        <v>1197</v>
      </c>
      <c r="F3724" s="716" t="s">
        <v>1198</v>
      </c>
      <c r="G3724" s="716" t="s">
        <v>1199</v>
      </c>
      <c r="H3724" s="716" t="s">
        <v>1200</v>
      </c>
    </row>
    <row r="3725" spans="3:11" ht="25.8" customHeight="1">
      <c r="C3725" s="213" t="s">
        <v>1201</v>
      </c>
      <c r="D3725" s="212" t="s">
        <v>1202</v>
      </c>
      <c r="E3725" s="534"/>
      <c r="F3725" s="534"/>
      <c r="G3725" s="534"/>
      <c r="H3725" s="534"/>
    </row>
    <row r="3726" spans="3:11" ht="25.8" customHeight="1">
      <c r="C3726" s="818">
        <v>1</v>
      </c>
      <c r="D3726" s="212" t="s">
        <v>5</v>
      </c>
      <c r="E3726" s="212" t="s">
        <v>6</v>
      </c>
      <c r="F3726" s="538">
        <v>0.17899999999999999</v>
      </c>
      <c r="G3726" s="539">
        <f>VLOOKUP(D3726,upahbahan,3,FALSE)</f>
        <v>100000</v>
      </c>
      <c r="H3726" s="539">
        <f t="shared" ref="H3726:H3729" si="395">F3726*G3726</f>
        <v>17900</v>
      </c>
    </row>
    <row r="3727" spans="3:11" ht="25.8" customHeight="1">
      <c r="C3727" s="818">
        <v>2</v>
      </c>
      <c r="D3727" s="212" t="s">
        <v>3295</v>
      </c>
      <c r="E3727" s="212" t="s">
        <v>6</v>
      </c>
      <c r="F3727" s="538">
        <v>0.29799999999999999</v>
      </c>
      <c r="G3727" s="539">
        <f>VLOOKUP(D3727,upahbahan,3,FALSE)</f>
        <v>135000</v>
      </c>
      <c r="H3727" s="539">
        <f t="shared" si="395"/>
        <v>40230</v>
      </c>
    </row>
    <row r="3728" spans="3:11" ht="25.8" customHeight="1">
      <c r="C3728" s="818">
        <v>3</v>
      </c>
      <c r="D3728" s="212" t="s">
        <v>18</v>
      </c>
      <c r="E3728" s="212" t="s">
        <v>6</v>
      </c>
      <c r="F3728" s="538">
        <v>0.03</v>
      </c>
      <c r="G3728" s="539">
        <f>VLOOKUP(D3728,upahbahan,3,FALSE)</f>
        <v>150000</v>
      </c>
      <c r="H3728" s="539">
        <f t="shared" si="395"/>
        <v>4500</v>
      </c>
    </row>
    <row r="3729" spans="3:11" ht="25.8" customHeight="1">
      <c r="C3729" s="818">
        <v>4</v>
      </c>
      <c r="D3729" s="212" t="s">
        <v>19</v>
      </c>
      <c r="E3729" s="212" t="s">
        <v>6</v>
      </c>
      <c r="F3729" s="538">
        <v>0.01</v>
      </c>
      <c r="G3729" s="539">
        <f>VLOOKUP(D3729,upahbahan,3,FALSE)</f>
        <v>160000</v>
      </c>
      <c r="H3729" s="539">
        <f t="shared" si="395"/>
        <v>1600</v>
      </c>
    </row>
    <row r="3730" spans="3:11" ht="25.8" customHeight="1">
      <c r="C3730" s="702" t="s">
        <v>1208</v>
      </c>
      <c r="D3730" s="208"/>
      <c r="E3730" s="208"/>
      <c r="F3730" s="811"/>
      <c r="G3730" s="522"/>
      <c r="H3730" s="539">
        <f>SUM(H3726:H3729)</f>
        <v>64230</v>
      </c>
      <c r="I3730" s="819"/>
    </row>
    <row r="3731" spans="3:11" ht="25.8" customHeight="1">
      <c r="C3731" s="213" t="s">
        <v>1209</v>
      </c>
      <c r="D3731" s="212" t="s">
        <v>1210</v>
      </c>
      <c r="E3731" s="534"/>
      <c r="F3731" s="831"/>
      <c r="G3731" s="534"/>
      <c r="H3731" s="534"/>
    </row>
    <row r="3732" spans="3:11" ht="25.8" customHeight="1">
      <c r="C3732" s="833" t="s">
        <v>1203</v>
      </c>
      <c r="D3732" s="820" t="s">
        <v>7932</v>
      </c>
      <c r="E3732" s="807" t="s">
        <v>135</v>
      </c>
      <c r="F3732" s="832">
        <v>1.2</v>
      </c>
      <c r="G3732" s="539">
        <f>VLOOKUP(D3732,upahbahan,3,FALSE)</f>
        <v>0</v>
      </c>
      <c r="H3732" s="539">
        <f t="shared" ref="H3732" si="396">F3732*G3732</f>
        <v>0</v>
      </c>
    </row>
    <row r="3733" spans="3:11" ht="25.8" customHeight="1">
      <c r="C3733" s="702" t="s">
        <v>1214</v>
      </c>
      <c r="D3733" s="208"/>
      <c r="E3733" s="208"/>
      <c r="F3733" s="208"/>
      <c r="G3733" s="209"/>
      <c r="H3733" s="539">
        <f>SUM(H3732:H3732)</f>
        <v>0</v>
      </c>
    </row>
    <row r="3734" spans="3:11" ht="25.8" customHeight="1">
      <c r="C3734" s="213" t="s">
        <v>1215</v>
      </c>
      <c r="D3734" s="212" t="s">
        <v>1216</v>
      </c>
      <c r="E3734" s="534"/>
      <c r="F3734" s="534"/>
      <c r="G3734" s="534"/>
      <c r="H3734" s="534"/>
    </row>
    <row r="3735" spans="3:11" ht="25.8" customHeight="1">
      <c r="C3735" s="702" t="s">
        <v>1217</v>
      </c>
      <c r="D3735" s="208"/>
      <c r="E3735" s="208"/>
      <c r="F3735" s="208"/>
      <c r="G3735" s="209"/>
      <c r="H3735" s="821">
        <v>0</v>
      </c>
    </row>
    <row r="3736" spans="3:11" ht="25.8" customHeight="1">
      <c r="C3736" s="566" t="s">
        <v>1218</v>
      </c>
      <c r="D3736" s="552" t="s">
        <v>1219</v>
      </c>
      <c r="E3736" s="553"/>
      <c r="F3736" s="553"/>
      <c r="G3736" s="554"/>
      <c r="H3736" s="826">
        <f>H3735+H3733+H3730</f>
        <v>64230</v>
      </c>
      <c r="I3736" s="827"/>
    </row>
    <row r="3737" spans="3:11" ht="25.8" customHeight="1">
      <c r="C3737" s="566" t="s">
        <v>1220</v>
      </c>
      <c r="D3737" s="552" t="s">
        <v>1321</v>
      </c>
      <c r="E3737" s="553"/>
      <c r="F3737" s="554"/>
      <c r="G3737" s="555">
        <f>$M$9</f>
        <v>0.1</v>
      </c>
      <c r="H3737" s="539">
        <f>H3736*G3737</f>
        <v>6423</v>
      </c>
      <c r="I3737" s="827"/>
    </row>
    <row r="3738" spans="3:11" ht="25.8" customHeight="1">
      <c r="C3738" s="566" t="s">
        <v>1221</v>
      </c>
      <c r="D3738" s="552" t="s">
        <v>1222</v>
      </c>
      <c r="E3738" s="553"/>
      <c r="F3738" s="553"/>
      <c r="G3738" s="554"/>
      <c r="H3738" s="828">
        <f>SUM(H3736:H3737)</f>
        <v>70653</v>
      </c>
      <c r="I3738" s="827"/>
    </row>
    <row r="3739" spans="3:11" ht="25.8" customHeight="1">
      <c r="C3739" s="572"/>
      <c r="D3739" s="575"/>
      <c r="E3739" s="575"/>
      <c r="F3739" s="575"/>
      <c r="G3739" s="575"/>
      <c r="H3739" s="830"/>
    </row>
    <row r="3740" spans="3:11" ht="25.8" customHeight="1">
      <c r="C3740" s="513" t="s">
        <v>7933</v>
      </c>
      <c r="D3740" s="817" t="s">
        <v>7934</v>
      </c>
      <c r="E3740" s="803"/>
      <c r="F3740" s="803"/>
      <c r="G3740" s="803"/>
      <c r="H3740" s="803"/>
      <c r="I3740" s="533">
        <f>ROUNDDOWN(H3755,-2)</f>
        <v>70600</v>
      </c>
      <c r="J3740" s="536" t="s">
        <v>7804</v>
      </c>
      <c r="K3740" s="824"/>
    </row>
    <row r="3741" spans="3:11" ht="25.8" customHeight="1">
      <c r="C3741" s="716" t="s">
        <v>1195</v>
      </c>
      <c r="D3741" s="716" t="s">
        <v>1196</v>
      </c>
      <c r="E3741" s="716" t="s">
        <v>1197</v>
      </c>
      <c r="F3741" s="716" t="s">
        <v>1198</v>
      </c>
      <c r="G3741" s="716" t="s">
        <v>1199</v>
      </c>
      <c r="H3741" s="716" t="s">
        <v>1200</v>
      </c>
    </row>
    <row r="3742" spans="3:11" ht="25.8" customHeight="1">
      <c r="C3742" s="213" t="s">
        <v>1201</v>
      </c>
      <c r="D3742" s="212" t="s">
        <v>1202</v>
      </c>
      <c r="E3742" s="534"/>
      <c r="F3742" s="534"/>
      <c r="G3742" s="534"/>
      <c r="H3742" s="534"/>
    </row>
    <row r="3743" spans="3:11" ht="25.8" customHeight="1">
      <c r="C3743" s="818">
        <v>1</v>
      </c>
      <c r="D3743" s="212" t="s">
        <v>5</v>
      </c>
      <c r="E3743" s="212" t="s">
        <v>6</v>
      </c>
      <c r="F3743" s="538">
        <v>0.17899999999999999</v>
      </c>
      <c r="G3743" s="539">
        <f>VLOOKUP(D3743,upahbahan,3,FALSE)</f>
        <v>100000</v>
      </c>
      <c r="H3743" s="539">
        <f t="shared" ref="H3743:H3746" si="397">F3743*G3743</f>
        <v>17900</v>
      </c>
    </row>
    <row r="3744" spans="3:11" ht="25.8" customHeight="1">
      <c r="C3744" s="818">
        <v>2</v>
      </c>
      <c r="D3744" s="212" t="s">
        <v>3295</v>
      </c>
      <c r="E3744" s="212" t="s">
        <v>6</v>
      </c>
      <c r="F3744" s="538">
        <v>0.29799999999999999</v>
      </c>
      <c r="G3744" s="539">
        <f>VLOOKUP(D3744,upahbahan,3,FALSE)</f>
        <v>135000</v>
      </c>
      <c r="H3744" s="539">
        <f t="shared" si="397"/>
        <v>40230</v>
      </c>
    </row>
    <row r="3745" spans="3:11" ht="25.8" customHeight="1">
      <c r="C3745" s="818">
        <v>3</v>
      </c>
      <c r="D3745" s="212" t="s">
        <v>18</v>
      </c>
      <c r="E3745" s="212" t="s">
        <v>6</v>
      </c>
      <c r="F3745" s="538">
        <v>0.03</v>
      </c>
      <c r="G3745" s="539">
        <f>VLOOKUP(D3745,upahbahan,3,FALSE)</f>
        <v>150000</v>
      </c>
      <c r="H3745" s="539">
        <f t="shared" si="397"/>
        <v>4500</v>
      </c>
    </row>
    <row r="3746" spans="3:11" ht="25.8" customHeight="1">
      <c r="C3746" s="818">
        <v>4</v>
      </c>
      <c r="D3746" s="212" t="s">
        <v>19</v>
      </c>
      <c r="E3746" s="212" t="s">
        <v>6</v>
      </c>
      <c r="F3746" s="538">
        <v>0.01</v>
      </c>
      <c r="G3746" s="539">
        <f>VLOOKUP(D3746,upahbahan,3,FALSE)</f>
        <v>160000</v>
      </c>
      <c r="H3746" s="539">
        <f t="shared" si="397"/>
        <v>1600</v>
      </c>
    </row>
    <row r="3747" spans="3:11" ht="25.8" customHeight="1">
      <c r="C3747" s="702" t="s">
        <v>1208</v>
      </c>
      <c r="D3747" s="208"/>
      <c r="E3747" s="208"/>
      <c r="F3747" s="811"/>
      <c r="G3747" s="522"/>
      <c r="H3747" s="539">
        <f>SUM(H3743:H3746)</f>
        <v>64230</v>
      </c>
      <c r="I3747" s="819"/>
    </row>
    <row r="3748" spans="3:11" ht="25.8" customHeight="1">
      <c r="C3748" s="213" t="s">
        <v>1209</v>
      </c>
      <c r="D3748" s="212" t="s">
        <v>1210</v>
      </c>
      <c r="E3748" s="534"/>
      <c r="F3748" s="831"/>
      <c r="G3748" s="534"/>
      <c r="H3748" s="534"/>
    </row>
    <row r="3749" spans="3:11" ht="25.8" customHeight="1">
      <c r="C3749" s="833" t="s">
        <v>1203</v>
      </c>
      <c r="D3749" s="820" t="s">
        <v>7935</v>
      </c>
      <c r="E3749" s="807" t="s">
        <v>135</v>
      </c>
      <c r="F3749" s="832">
        <v>1.2</v>
      </c>
      <c r="G3749" s="539">
        <f>VLOOKUP(D3749,upahbahan,3,FALSE)</f>
        <v>0</v>
      </c>
      <c r="H3749" s="539">
        <f t="shared" ref="H3749" si="398">F3749*G3749</f>
        <v>0</v>
      </c>
    </row>
    <row r="3750" spans="3:11" ht="25.8" customHeight="1">
      <c r="C3750" s="702" t="s">
        <v>1214</v>
      </c>
      <c r="D3750" s="208"/>
      <c r="E3750" s="208"/>
      <c r="F3750" s="208"/>
      <c r="G3750" s="209"/>
      <c r="H3750" s="539">
        <f>SUM(H3749:H3749)</f>
        <v>0</v>
      </c>
    </row>
    <row r="3751" spans="3:11" ht="25.8" customHeight="1">
      <c r="C3751" s="213" t="s">
        <v>1215</v>
      </c>
      <c r="D3751" s="212" t="s">
        <v>1216</v>
      </c>
      <c r="E3751" s="534"/>
      <c r="F3751" s="534"/>
      <c r="G3751" s="534"/>
      <c r="H3751" s="534"/>
    </row>
    <row r="3752" spans="3:11" ht="25.8" customHeight="1">
      <c r="C3752" s="702" t="s">
        <v>1217</v>
      </c>
      <c r="D3752" s="208"/>
      <c r="E3752" s="208"/>
      <c r="F3752" s="208"/>
      <c r="G3752" s="209"/>
      <c r="H3752" s="821">
        <v>0</v>
      </c>
    </row>
    <row r="3753" spans="3:11" ht="25.8" customHeight="1">
      <c r="C3753" s="566" t="s">
        <v>1218</v>
      </c>
      <c r="D3753" s="552" t="s">
        <v>1219</v>
      </c>
      <c r="E3753" s="553"/>
      <c r="F3753" s="553"/>
      <c r="G3753" s="554"/>
      <c r="H3753" s="826">
        <f>H3752+H3750+H3747</f>
        <v>64230</v>
      </c>
      <c r="I3753" s="827"/>
    </row>
    <row r="3754" spans="3:11" ht="25.8" customHeight="1">
      <c r="C3754" s="566" t="s">
        <v>1220</v>
      </c>
      <c r="D3754" s="552" t="s">
        <v>1321</v>
      </c>
      <c r="E3754" s="553"/>
      <c r="F3754" s="554"/>
      <c r="G3754" s="555">
        <f>$M$9</f>
        <v>0.1</v>
      </c>
      <c r="H3754" s="539">
        <f>H3753*G3754</f>
        <v>6423</v>
      </c>
      <c r="I3754" s="827"/>
    </row>
    <row r="3755" spans="3:11" ht="25.8" customHeight="1">
      <c r="C3755" s="566" t="s">
        <v>1221</v>
      </c>
      <c r="D3755" s="552" t="s">
        <v>1222</v>
      </c>
      <c r="E3755" s="553"/>
      <c r="F3755" s="553"/>
      <c r="G3755" s="554"/>
      <c r="H3755" s="828">
        <f>SUM(H3753:H3754)</f>
        <v>70653</v>
      </c>
      <c r="I3755" s="827"/>
    </row>
    <row r="3756" spans="3:11" ht="25.8" customHeight="1">
      <c r="C3756" s="572"/>
      <c r="D3756" s="575"/>
      <c r="E3756" s="575"/>
      <c r="F3756" s="575"/>
      <c r="G3756" s="575"/>
      <c r="H3756" s="830"/>
    </row>
    <row r="3757" spans="3:11" ht="25.8" customHeight="1">
      <c r="C3757" s="513" t="s">
        <v>7936</v>
      </c>
      <c r="D3757" s="817" t="s">
        <v>7937</v>
      </c>
      <c r="E3757" s="803"/>
      <c r="F3757" s="803"/>
      <c r="G3757" s="803"/>
      <c r="H3757" s="803"/>
      <c r="I3757" s="533">
        <f>ROUNDDOWN(H3772,-2)</f>
        <v>70600</v>
      </c>
      <c r="J3757" s="536" t="s">
        <v>7804</v>
      </c>
      <c r="K3757" s="824"/>
    </row>
    <row r="3758" spans="3:11" ht="25.8" customHeight="1">
      <c r="C3758" s="716" t="s">
        <v>1195</v>
      </c>
      <c r="D3758" s="716" t="s">
        <v>1196</v>
      </c>
      <c r="E3758" s="716" t="s">
        <v>1197</v>
      </c>
      <c r="F3758" s="716" t="s">
        <v>1198</v>
      </c>
      <c r="G3758" s="716" t="s">
        <v>1199</v>
      </c>
      <c r="H3758" s="716" t="s">
        <v>1200</v>
      </c>
    </row>
    <row r="3759" spans="3:11" ht="25.8" customHeight="1">
      <c r="C3759" s="213" t="s">
        <v>1201</v>
      </c>
      <c r="D3759" s="212" t="s">
        <v>1202</v>
      </c>
      <c r="E3759" s="534"/>
      <c r="F3759" s="534"/>
      <c r="G3759" s="534"/>
      <c r="H3759" s="534"/>
    </row>
    <row r="3760" spans="3:11" ht="25.8" customHeight="1">
      <c r="C3760" s="818">
        <v>1</v>
      </c>
      <c r="D3760" s="212" t="s">
        <v>5</v>
      </c>
      <c r="E3760" s="212" t="s">
        <v>6</v>
      </c>
      <c r="F3760" s="538">
        <v>0.17899999999999999</v>
      </c>
      <c r="G3760" s="539">
        <f>VLOOKUP(D3760,upahbahan,3,FALSE)</f>
        <v>100000</v>
      </c>
      <c r="H3760" s="539">
        <f t="shared" ref="H3760:H3763" si="399">F3760*G3760</f>
        <v>17900</v>
      </c>
    </row>
    <row r="3761" spans="3:11" ht="25.8" customHeight="1">
      <c r="C3761" s="818">
        <v>2</v>
      </c>
      <c r="D3761" s="212" t="s">
        <v>3295</v>
      </c>
      <c r="E3761" s="212" t="s">
        <v>6</v>
      </c>
      <c r="F3761" s="538">
        <v>0.29799999999999999</v>
      </c>
      <c r="G3761" s="539">
        <f>VLOOKUP(D3761,upahbahan,3,FALSE)</f>
        <v>135000</v>
      </c>
      <c r="H3761" s="539">
        <f t="shared" si="399"/>
        <v>40230</v>
      </c>
    </row>
    <row r="3762" spans="3:11" ht="25.8" customHeight="1">
      <c r="C3762" s="818">
        <v>3</v>
      </c>
      <c r="D3762" s="212" t="s">
        <v>18</v>
      </c>
      <c r="E3762" s="212" t="s">
        <v>6</v>
      </c>
      <c r="F3762" s="538">
        <v>0.03</v>
      </c>
      <c r="G3762" s="539">
        <f>VLOOKUP(D3762,upahbahan,3,FALSE)</f>
        <v>150000</v>
      </c>
      <c r="H3762" s="539">
        <f t="shared" si="399"/>
        <v>4500</v>
      </c>
    </row>
    <row r="3763" spans="3:11" ht="25.8" customHeight="1">
      <c r="C3763" s="818">
        <v>4</v>
      </c>
      <c r="D3763" s="212" t="s">
        <v>19</v>
      </c>
      <c r="E3763" s="212" t="s">
        <v>6</v>
      </c>
      <c r="F3763" s="538">
        <v>0.01</v>
      </c>
      <c r="G3763" s="539">
        <f>VLOOKUP(D3763,upahbahan,3,FALSE)</f>
        <v>160000</v>
      </c>
      <c r="H3763" s="539">
        <f t="shared" si="399"/>
        <v>1600</v>
      </c>
    </row>
    <row r="3764" spans="3:11" ht="25.8" customHeight="1">
      <c r="C3764" s="702" t="s">
        <v>1208</v>
      </c>
      <c r="D3764" s="208"/>
      <c r="E3764" s="208"/>
      <c r="F3764" s="811"/>
      <c r="G3764" s="522"/>
      <c r="H3764" s="539">
        <f>SUM(H3760:H3763)</f>
        <v>64230</v>
      </c>
      <c r="I3764" s="819"/>
    </row>
    <row r="3765" spans="3:11" ht="25.8" customHeight="1">
      <c r="C3765" s="213" t="s">
        <v>1209</v>
      </c>
      <c r="D3765" s="212" t="s">
        <v>1210</v>
      </c>
      <c r="E3765" s="534"/>
      <c r="F3765" s="831"/>
      <c r="G3765" s="534"/>
      <c r="H3765" s="534"/>
    </row>
    <row r="3766" spans="3:11" ht="25.8" customHeight="1">
      <c r="C3766" s="833" t="s">
        <v>1203</v>
      </c>
      <c r="D3766" s="820" t="s">
        <v>7938</v>
      </c>
      <c r="E3766" s="807" t="s">
        <v>135</v>
      </c>
      <c r="F3766" s="832">
        <v>1.2</v>
      </c>
      <c r="G3766" s="539">
        <f>VLOOKUP(D3766,upahbahan,3,FALSE)</f>
        <v>0</v>
      </c>
      <c r="H3766" s="539">
        <f t="shared" ref="H3766" si="400">F3766*G3766</f>
        <v>0</v>
      </c>
    </row>
    <row r="3767" spans="3:11" ht="25.8" customHeight="1">
      <c r="C3767" s="702" t="s">
        <v>1214</v>
      </c>
      <c r="D3767" s="208"/>
      <c r="E3767" s="208"/>
      <c r="F3767" s="208"/>
      <c r="G3767" s="209"/>
      <c r="H3767" s="539">
        <f>SUM(H3766:H3766)</f>
        <v>0</v>
      </c>
    </row>
    <row r="3768" spans="3:11" ht="25.8" customHeight="1">
      <c r="C3768" s="213" t="s">
        <v>1215</v>
      </c>
      <c r="D3768" s="212" t="s">
        <v>1216</v>
      </c>
      <c r="E3768" s="534"/>
      <c r="F3768" s="534"/>
      <c r="G3768" s="534"/>
      <c r="H3768" s="534"/>
    </row>
    <row r="3769" spans="3:11" ht="25.8" customHeight="1">
      <c r="C3769" s="702" t="s">
        <v>1217</v>
      </c>
      <c r="D3769" s="208"/>
      <c r="E3769" s="208"/>
      <c r="F3769" s="208"/>
      <c r="G3769" s="209"/>
      <c r="H3769" s="821">
        <v>0</v>
      </c>
    </row>
    <row r="3770" spans="3:11" ht="25.8" customHeight="1">
      <c r="C3770" s="566" t="s">
        <v>1218</v>
      </c>
      <c r="D3770" s="552" t="s">
        <v>1219</v>
      </c>
      <c r="E3770" s="553"/>
      <c r="F3770" s="553"/>
      <c r="G3770" s="554"/>
      <c r="H3770" s="826">
        <f>H3769+H3767+H3764</f>
        <v>64230</v>
      </c>
      <c r="I3770" s="827"/>
    </row>
    <row r="3771" spans="3:11" ht="25.8" customHeight="1">
      <c r="C3771" s="566" t="s">
        <v>1220</v>
      </c>
      <c r="D3771" s="552" t="s">
        <v>1321</v>
      </c>
      <c r="E3771" s="553"/>
      <c r="F3771" s="554"/>
      <c r="G3771" s="555">
        <f>$M$9</f>
        <v>0.1</v>
      </c>
      <c r="H3771" s="539">
        <f>H3770*G3771</f>
        <v>6423</v>
      </c>
      <c r="I3771" s="827"/>
    </row>
    <row r="3772" spans="3:11" ht="25.8" customHeight="1">
      <c r="C3772" s="566" t="s">
        <v>1221</v>
      </c>
      <c r="D3772" s="552" t="s">
        <v>1222</v>
      </c>
      <c r="E3772" s="553"/>
      <c r="F3772" s="553"/>
      <c r="G3772" s="554"/>
      <c r="H3772" s="828">
        <f>SUM(H3770:H3771)</f>
        <v>70653</v>
      </c>
      <c r="I3772" s="827"/>
    </row>
    <row r="3773" spans="3:11" ht="25.8" customHeight="1">
      <c r="C3773" s="572"/>
      <c r="D3773" s="575"/>
      <c r="E3773" s="575"/>
      <c r="F3773" s="575"/>
      <c r="G3773" s="575"/>
      <c r="H3773" s="830"/>
    </row>
    <row r="3774" spans="3:11" ht="25.8" customHeight="1">
      <c r="C3774" s="513" t="s">
        <v>7939</v>
      </c>
      <c r="D3774" s="817" t="s">
        <v>7940</v>
      </c>
      <c r="E3774" s="803"/>
      <c r="F3774" s="803"/>
      <c r="G3774" s="803"/>
      <c r="H3774" s="803"/>
      <c r="I3774" s="533">
        <f>ROUNDDOWN(H3789,-2)</f>
        <v>47100</v>
      </c>
      <c r="J3774" s="536" t="s">
        <v>7804</v>
      </c>
      <c r="K3774" s="824"/>
    </row>
    <row r="3775" spans="3:11" ht="25.8" customHeight="1">
      <c r="C3775" s="716" t="s">
        <v>1195</v>
      </c>
      <c r="D3775" s="716" t="s">
        <v>1196</v>
      </c>
      <c r="E3775" s="716" t="s">
        <v>1197</v>
      </c>
      <c r="F3775" s="716" t="s">
        <v>1198</v>
      </c>
      <c r="G3775" s="716" t="s">
        <v>1199</v>
      </c>
      <c r="H3775" s="716" t="s">
        <v>1200</v>
      </c>
    </row>
    <row r="3776" spans="3:11" ht="25.8" customHeight="1">
      <c r="C3776" s="213" t="s">
        <v>1201</v>
      </c>
      <c r="D3776" s="212" t="s">
        <v>1202</v>
      </c>
      <c r="E3776" s="534"/>
      <c r="F3776" s="534"/>
      <c r="G3776" s="534"/>
      <c r="H3776" s="534"/>
    </row>
    <row r="3777" spans="3:11" ht="25.8" customHeight="1">
      <c r="C3777" s="818">
        <v>1</v>
      </c>
      <c r="D3777" s="212" t="s">
        <v>5</v>
      </c>
      <c r="E3777" s="212" t="s">
        <v>6</v>
      </c>
      <c r="F3777" s="538">
        <v>0.11899999999999999</v>
      </c>
      <c r="G3777" s="539">
        <f>VLOOKUP(D3777,upahbahan,3,FALSE)</f>
        <v>100000</v>
      </c>
      <c r="H3777" s="539">
        <f t="shared" ref="H3777:H3780" si="401">F3777*G3777</f>
        <v>11900</v>
      </c>
    </row>
    <row r="3778" spans="3:11" ht="25.8" customHeight="1">
      <c r="C3778" s="818">
        <v>2</v>
      </c>
      <c r="D3778" s="212" t="s">
        <v>3295</v>
      </c>
      <c r="E3778" s="212" t="s">
        <v>6</v>
      </c>
      <c r="F3778" s="538">
        <v>0.19900000000000001</v>
      </c>
      <c r="G3778" s="539">
        <f>VLOOKUP(D3778,upahbahan,3,FALSE)</f>
        <v>135000</v>
      </c>
      <c r="H3778" s="539">
        <f t="shared" si="401"/>
        <v>26865</v>
      </c>
    </row>
    <row r="3779" spans="3:11" ht="25.8" customHeight="1">
      <c r="C3779" s="818">
        <v>3</v>
      </c>
      <c r="D3779" s="212" t="s">
        <v>18</v>
      </c>
      <c r="E3779" s="212" t="s">
        <v>6</v>
      </c>
      <c r="F3779" s="538">
        <v>0.02</v>
      </c>
      <c r="G3779" s="539">
        <f>VLOOKUP(D3779,upahbahan,3,FALSE)</f>
        <v>150000</v>
      </c>
      <c r="H3779" s="539">
        <f t="shared" si="401"/>
        <v>3000</v>
      </c>
    </row>
    <row r="3780" spans="3:11" ht="25.8" customHeight="1">
      <c r="C3780" s="818">
        <v>4</v>
      </c>
      <c r="D3780" s="212" t="s">
        <v>19</v>
      </c>
      <c r="E3780" s="212" t="s">
        <v>6</v>
      </c>
      <c r="F3780" s="538">
        <v>7.0000000000000001E-3</v>
      </c>
      <c r="G3780" s="539">
        <f>VLOOKUP(D3780,upahbahan,3,FALSE)</f>
        <v>160000</v>
      </c>
      <c r="H3780" s="539">
        <f t="shared" si="401"/>
        <v>1120</v>
      </c>
    </row>
    <row r="3781" spans="3:11" ht="25.8" customHeight="1">
      <c r="C3781" s="702" t="s">
        <v>1208</v>
      </c>
      <c r="D3781" s="208"/>
      <c r="E3781" s="208"/>
      <c r="F3781" s="811"/>
      <c r="G3781" s="522"/>
      <c r="H3781" s="539">
        <f>SUM(H3777:H3780)</f>
        <v>42885</v>
      </c>
      <c r="I3781" s="819"/>
    </row>
    <row r="3782" spans="3:11" ht="25.8" customHeight="1">
      <c r="C3782" s="213" t="s">
        <v>1209</v>
      </c>
      <c r="D3782" s="212" t="s">
        <v>1210</v>
      </c>
      <c r="E3782" s="534"/>
      <c r="F3782" s="831"/>
      <c r="G3782" s="534"/>
      <c r="H3782" s="534"/>
    </row>
    <row r="3783" spans="3:11" ht="25.8" customHeight="1">
      <c r="C3783" s="833" t="s">
        <v>1203</v>
      </c>
      <c r="D3783" s="820" t="s">
        <v>7941</v>
      </c>
      <c r="E3783" s="807" t="s">
        <v>135</v>
      </c>
      <c r="F3783" s="832">
        <v>1.2</v>
      </c>
      <c r="G3783" s="539">
        <f>VLOOKUP(D3783,upahbahan,3,FALSE)</f>
        <v>0</v>
      </c>
      <c r="H3783" s="539">
        <f t="shared" ref="H3783" si="402">F3783*G3783</f>
        <v>0</v>
      </c>
    </row>
    <row r="3784" spans="3:11" ht="25.8" customHeight="1">
      <c r="C3784" s="702" t="s">
        <v>1214</v>
      </c>
      <c r="D3784" s="208"/>
      <c r="E3784" s="208"/>
      <c r="F3784" s="208"/>
      <c r="G3784" s="209"/>
      <c r="H3784" s="539">
        <f>SUM(H3783:H3783)</f>
        <v>0</v>
      </c>
    </row>
    <row r="3785" spans="3:11" ht="25.8" customHeight="1">
      <c r="C3785" s="213" t="s">
        <v>1215</v>
      </c>
      <c r="D3785" s="212" t="s">
        <v>1216</v>
      </c>
      <c r="E3785" s="534"/>
      <c r="F3785" s="534"/>
      <c r="G3785" s="534"/>
      <c r="H3785" s="534"/>
    </row>
    <row r="3786" spans="3:11" ht="25.8" customHeight="1">
      <c r="C3786" s="702" t="s">
        <v>1217</v>
      </c>
      <c r="D3786" s="208"/>
      <c r="E3786" s="208"/>
      <c r="F3786" s="208"/>
      <c r="G3786" s="209"/>
      <c r="H3786" s="821">
        <v>0</v>
      </c>
    </row>
    <row r="3787" spans="3:11" ht="25.8" customHeight="1">
      <c r="C3787" s="566" t="s">
        <v>1218</v>
      </c>
      <c r="D3787" s="552" t="s">
        <v>1219</v>
      </c>
      <c r="E3787" s="553"/>
      <c r="F3787" s="553"/>
      <c r="G3787" s="554"/>
      <c r="H3787" s="826">
        <f>H3786+H3784+H3781</f>
        <v>42885</v>
      </c>
      <c r="I3787" s="827"/>
    </row>
    <row r="3788" spans="3:11" ht="25.8" customHeight="1">
      <c r="C3788" s="566" t="s">
        <v>1220</v>
      </c>
      <c r="D3788" s="552" t="s">
        <v>1321</v>
      </c>
      <c r="E3788" s="553"/>
      <c r="F3788" s="554"/>
      <c r="G3788" s="555">
        <f>$M$9</f>
        <v>0.1</v>
      </c>
      <c r="H3788" s="539">
        <f>H3787*G3788</f>
        <v>4288.5</v>
      </c>
      <c r="I3788" s="827"/>
    </row>
    <row r="3789" spans="3:11" ht="25.8" customHeight="1">
      <c r="C3789" s="566" t="s">
        <v>1221</v>
      </c>
      <c r="D3789" s="552" t="s">
        <v>1222</v>
      </c>
      <c r="E3789" s="553"/>
      <c r="F3789" s="553"/>
      <c r="G3789" s="554"/>
      <c r="H3789" s="828">
        <f>SUM(H3787:H3788)</f>
        <v>47173.5</v>
      </c>
      <c r="I3789" s="827"/>
    </row>
    <row r="3790" spans="3:11" ht="25.8" customHeight="1">
      <c r="C3790" s="572"/>
      <c r="D3790" s="575"/>
      <c r="E3790" s="575"/>
      <c r="F3790" s="575"/>
      <c r="G3790" s="575"/>
      <c r="H3790" s="830"/>
    </row>
    <row r="3791" spans="3:11" ht="25.8" customHeight="1">
      <c r="C3791" s="513" t="s">
        <v>7942</v>
      </c>
      <c r="D3791" s="817" t="s">
        <v>7943</v>
      </c>
      <c r="E3791" s="803"/>
      <c r="F3791" s="803"/>
      <c r="G3791" s="803"/>
      <c r="H3791" s="803"/>
      <c r="I3791" s="533">
        <f>ROUNDDOWN(H3806,-2)</f>
        <v>47100</v>
      </c>
      <c r="J3791" s="536" t="s">
        <v>7804</v>
      </c>
      <c r="K3791" s="824"/>
    </row>
    <row r="3792" spans="3:11" ht="25.8" customHeight="1">
      <c r="C3792" s="716" t="s">
        <v>1195</v>
      </c>
      <c r="D3792" s="716" t="s">
        <v>1196</v>
      </c>
      <c r="E3792" s="716" t="s">
        <v>1197</v>
      </c>
      <c r="F3792" s="716" t="s">
        <v>1198</v>
      </c>
      <c r="G3792" s="716" t="s">
        <v>1199</v>
      </c>
      <c r="H3792" s="716" t="s">
        <v>1200</v>
      </c>
    </row>
    <row r="3793" spans="3:11" ht="25.8" customHeight="1">
      <c r="C3793" s="213" t="s">
        <v>1201</v>
      </c>
      <c r="D3793" s="212" t="s">
        <v>1202</v>
      </c>
      <c r="E3793" s="534"/>
      <c r="F3793" s="534"/>
      <c r="G3793" s="534"/>
      <c r="H3793" s="534"/>
    </row>
    <row r="3794" spans="3:11" ht="25.8" customHeight="1">
      <c r="C3794" s="818">
        <v>1</v>
      </c>
      <c r="D3794" s="212" t="s">
        <v>5</v>
      </c>
      <c r="E3794" s="212" t="s">
        <v>6</v>
      </c>
      <c r="F3794" s="538">
        <v>0.11899999999999999</v>
      </c>
      <c r="G3794" s="539">
        <f>VLOOKUP(D3794,upahbahan,3,FALSE)</f>
        <v>100000</v>
      </c>
      <c r="H3794" s="539">
        <f t="shared" ref="H3794:H3797" si="403">F3794*G3794</f>
        <v>11900</v>
      </c>
    </row>
    <row r="3795" spans="3:11" ht="25.8" customHeight="1">
      <c r="C3795" s="818">
        <v>2</v>
      </c>
      <c r="D3795" s="212" t="s">
        <v>3295</v>
      </c>
      <c r="E3795" s="212" t="s">
        <v>6</v>
      </c>
      <c r="F3795" s="538">
        <v>0.19900000000000001</v>
      </c>
      <c r="G3795" s="539">
        <f>VLOOKUP(D3795,upahbahan,3,FALSE)</f>
        <v>135000</v>
      </c>
      <c r="H3795" s="539">
        <f t="shared" si="403"/>
        <v>26865</v>
      </c>
    </row>
    <row r="3796" spans="3:11" ht="25.8" customHeight="1">
      <c r="C3796" s="818">
        <v>3</v>
      </c>
      <c r="D3796" s="212" t="s">
        <v>18</v>
      </c>
      <c r="E3796" s="212" t="s">
        <v>6</v>
      </c>
      <c r="F3796" s="538">
        <v>0.02</v>
      </c>
      <c r="G3796" s="539">
        <f>VLOOKUP(D3796,upahbahan,3,FALSE)</f>
        <v>150000</v>
      </c>
      <c r="H3796" s="539">
        <f t="shared" si="403"/>
        <v>3000</v>
      </c>
    </row>
    <row r="3797" spans="3:11" ht="25.8" customHeight="1">
      <c r="C3797" s="818">
        <v>4</v>
      </c>
      <c r="D3797" s="212" t="s">
        <v>19</v>
      </c>
      <c r="E3797" s="212" t="s">
        <v>6</v>
      </c>
      <c r="F3797" s="538">
        <v>7.0000000000000001E-3</v>
      </c>
      <c r="G3797" s="539">
        <f>VLOOKUP(D3797,upahbahan,3,FALSE)</f>
        <v>160000</v>
      </c>
      <c r="H3797" s="539">
        <f t="shared" si="403"/>
        <v>1120</v>
      </c>
    </row>
    <row r="3798" spans="3:11" ht="25.8" customHeight="1">
      <c r="C3798" s="702" t="s">
        <v>1208</v>
      </c>
      <c r="D3798" s="208"/>
      <c r="E3798" s="208"/>
      <c r="F3798" s="811"/>
      <c r="G3798" s="522"/>
      <c r="H3798" s="539">
        <f>SUM(H3794:H3797)</f>
        <v>42885</v>
      </c>
      <c r="I3798" s="819"/>
    </row>
    <row r="3799" spans="3:11" ht="25.8" customHeight="1">
      <c r="C3799" s="213" t="s">
        <v>1209</v>
      </c>
      <c r="D3799" s="212" t="s">
        <v>1210</v>
      </c>
      <c r="E3799" s="534"/>
      <c r="F3799" s="831"/>
      <c r="G3799" s="534"/>
      <c r="H3799" s="534"/>
    </row>
    <row r="3800" spans="3:11" ht="25.8" customHeight="1">
      <c r="C3800" s="833" t="s">
        <v>1203</v>
      </c>
      <c r="D3800" s="820" t="s">
        <v>7944</v>
      </c>
      <c r="E3800" s="807" t="s">
        <v>135</v>
      </c>
      <c r="F3800" s="832">
        <v>1.2</v>
      </c>
      <c r="G3800" s="539">
        <f>VLOOKUP(D3800,upahbahan,3,FALSE)</f>
        <v>0</v>
      </c>
      <c r="H3800" s="539">
        <f t="shared" ref="H3800" si="404">F3800*G3800</f>
        <v>0</v>
      </c>
    </row>
    <row r="3801" spans="3:11" ht="25.8" customHeight="1">
      <c r="C3801" s="702" t="s">
        <v>1214</v>
      </c>
      <c r="D3801" s="208"/>
      <c r="E3801" s="208"/>
      <c r="F3801" s="208"/>
      <c r="G3801" s="209"/>
      <c r="H3801" s="539">
        <f>SUM(H3800:H3800)</f>
        <v>0</v>
      </c>
    </row>
    <row r="3802" spans="3:11" ht="25.8" customHeight="1">
      <c r="C3802" s="213" t="s">
        <v>1215</v>
      </c>
      <c r="D3802" s="212" t="s">
        <v>1216</v>
      </c>
      <c r="E3802" s="534"/>
      <c r="F3802" s="534"/>
      <c r="G3802" s="534"/>
      <c r="H3802" s="534"/>
    </row>
    <row r="3803" spans="3:11" ht="25.8" customHeight="1">
      <c r="C3803" s="702" t="s">
        <v>1217</v>
      </c>
      <c r="D3803" s="208"/>
      <c r="E3803" s="208"/>
      <c r="F3803" s="208"/>
      <c r="G3803" s="209"/>
      <c r="H3803" s="821">
        <v>0</v>
      </c>
    </row>
    <row r="3804" spans="3:11" ht="25.8" customHeight="1">
      <c r="C3804" s="566" t="s">
        <v>1218</v>
      </c>
      <c r="D3804" s="552" t="s">
        <v>1219</v>
      </c>
      <c r="E3804" s="553"/>
      <c r="F3804" s="553"/>
      <c r="G3804" s="554"/>
      <c r="H3804" s="826">
        <f>H3803+H3801+H3798</f>
        <v>42885</v>
      </c>
      <c r="I3804" s="827"/>
    </row>
    <row r="3805" spans="3:11" ht="25.8" customHeight="1">
      <c r="C3805" s="566" t="s">
        <v>1220</v>
      </c>
      <c r="D3805" s="552" t="s">
        <v>1321</v>
      </c>
      <c r="E3805" s="553"/>
      <c r="F3805" s="554"/>
      <c r="G3805" s="555">
        <f>$M$9</f>
        <v>0.1</v>
      </c>
      <c r="H3805" s="539">
        <f>H3804*G3805</f>
        <v>4288.5</v>
      </c>
      <c r="I3805" s="827"/>
    </row>
    <row r="3806" spans="3:11" ht="25.8" customHeight="1">
      <c r="C3806" s="566" t="s">
        <v>1221</v>
      </c>
      <c r="D3806" s="552" t="s">
        <v>1222</v>
      </c>
      <c r="E3806" s="553"/>
      <c r="F3806" s="553"/>
      <c r="G3806" s="554"/>
      <c r="H3806" s="828">
        <f>SUM(H3804:H3805)</f>
        <v>47173.5</v>
      </c>
      <c r="I3806" s="827"/>
    </row>
    <row r="3807" spans="3:11" ht="25.8" customHeight="1">
      <c r="C3807" s="572"/>
      <c r="D3807" s="575"/>
      <c r="E3807" s="575"/>
      <c r="F3807" s="575"/>
      <c r="G3807" s="575"/>
      <c r="H3807" s="830"/>
    </row>
    <row r="3808" spans="3:11" ht="25.8" customHeight="1">
      <c r="C3808" s="513" t="s">
        <v>7945</v>
      </c>
      <c r="D3808" s="817" t="s">
        <v>7946</v>
      </c>
      <c r="E3808" s="803"/>
      <c r="F3808" s="803"/>
      <c r="G3808" s="803"/>
      <c r="H3808" s="803"/>
      <c r="I3808" s="533">
        <f>ROUNDDOWN(H3823,-2)</f>
        <v>47100</v>
      </c>
      <c r="J3808" s="536" t="s">
        <v>7804</v>
      </c>
      <c r="K3808" s="824"/>
    </row>
    <row r="3809" spans="3:9" ht="25.8" customHeight="1">
      <c r="C3809" s="716" t="s">
        <v>1195</v>
      </c>
      <c r="D3809" s="716" t="s">
        <v>1196</v>
      </c>
      <c r="E3809" s="716" t="s">
        <v>1197</v>
      </c>
      <c r="F3809" s="716" t="s">
        <v>1198</v>
      </c>
      <c r="G3809" s="716" t="s">
        <v>1199</v>
      </c>
      <c r="H3809" s="716" t="s">
        <v>1200</v>
      </c>
    </row>
    <row r="3810" spans="3:9" ht="25.8" customHeight="1">
      <c r="C3810" s="213" t="s">
        <v>1201</v>
      </c>
      <c r="D3810" s="212" t="s">
        <v>1202</v>
      </c>
      <c r="E3810" s="534"/>
      <c r="F3810" s="534"/>
      <c r="G3810" s="534"/>
      <c r="H3810" s="534"/>
    </row>
    <row r="3811" spans="3:9" ht="25.8" customHeight="1">
      <c r="C3811" s="818">
        <v>1</v>
      </c>
      <c r="D3811" s="212" t="s">
        <v>5</v>
      </c>
      <c r="E3811" s="212" t="s">
        <v>6</v>
      </c>
      <c r="F3811" s="538">
        <v>0.11899999999999999</v>
      </c>
      <c r="G3811" s="539">
        <f>VLOOKUP(D3811,upahbahan,3,FALSE)</f>
        <v>100000</v>
      </c>
      <c r="H3811" s="539">
        <f t="shared" ref="H3811:H3814" si="405">F3811*G3811</f>
        <v>11900</v>
      </c>
    </row>
    <row r="3812" spans="3:9" ht="25.8" customHeight="1">
      <c r="C3812" s="818">
        <v>2</v>
      </c>
      <c r="D3812" s="212" t="s">
        <v>3295</v>
      </c>
      <c r="E3812" s="212" t="s">
        <v>6</v>
      </c>
      <c r="F3812" s="538">
        <v>0.19900000000000001</v>
      </c>
      <c r="G3812" s="539">
        <f>VLOOKUP(D3812,upahbahan,3,FALSE)</f>
        <v>135000</v>
      </c>
      <c r="H3812" s="539">
        <f t="shared" si="405"/>
        <v>26865</v>
      </c>
    </row>
    <row r="3813" spans="3:9" ht="25.8" customHeight="1">
      <c r="C3813" s="818">
        <v>3</v>
      </c>
      <c r="D3813" s="212" t="s">
        <v>18</v>
      </c>
      <c r="E3813" s="212" t="s">
        <v>6</v>
      </c>
      <c r="F3813" s="538">
        <v>0.02</v>
      </c>
      <c r="G3813" s="539">
        <f>VLOOKUP(D3813,upahbahan,3,FALSE)</f>
        <v>150000</v>
      </c>
      <c r="H3813" s="539">
        <f t="shared" si="405"/>
        <v>3000</v>
      </c>
    </row>
    <row r="3814" spans="3:9" ht="25.8" customHeight="1">
      <c r="C3814" s="818">
        <v>4</v>
      </c>
      <c r="D3814" s="212" t="s">
        <v>19</v>
      </c>
      <c r="E3814" s="212" t="s">
        <v>6</v>
      </c>
      <c r="F3814" s="538">
        <v>7.0000000000000001E-3</v>
      </c>
      <c r="G3814" s="539">
        <f>VLOOKUP(D3814,upahbahan,3,FALSE)</f>
        <v>160000</v>
      </c>
      <c r="H3814" s="539">
        <f t="shared" si="405"/>
        <v>1120</v>
      </c>
    </row>
    <row r="3815" spans="3:9" ht="25.8" customHeight="1">
      <c r="C3815" s="702" t="s">
        <v>1208</v>
      </c>
      <c r="D3815" s="208"/>
      <c r="E3815" s="208"/>
      <c r="F3815" s="811"/>
      <c r="G3815" s="522"/>
      <c r="H3815" s="539">
        <f>SUM(H3811:H3814)</f>
        <v>42885</v>
      </c>
      <c r="I3815" s="819"/>
    </row>
    <row r="3816" spans="3:9" ht="25.8" customHeight="1">
      <c r="C3816" s="213" t="s">
        <v>1209</v>
      </c>
      <c r="D3816" s="212" t="s">
        <v>1210</v>
      </c>
      <c r="E3816" s="534"/>
      <c r="F3816" s="831"/>
      <c r="G3816" s="534"/>
      <c r="H3816" s="534"/>
    </row>
    <row r="3817" spans="3:9" ht="25.8" customHeight="1">
      <c r="C3817" s="833" t="s">
        <v>1203</v>
      </c>
      <c r="D3817" s="820" t="s">
        <v>7947</v>
      </c>
      <c r="E3817" s="807" t="s">
        <v>135</v>
      </c>
      <c r="F3817" s="832">
        <v>1.2</v>
      </c>
      <c r="G3817" s="539">
        <f>VLOOKUP(D3817,upahbahan,3,FALSE)</f>
        <v>0</v>
      </c>
      <c r="H3817" s="539">
        <f t="shared" ref="H3817" si="406">F3817*G3817</f>
        <v>0</v>
      </c>
    </row>
    <row r="3818" spans="3:9" ht="25.8" customHeight="1">
      <c r="C3818" s="702" t="s">
        <v>1214</v>
      </c>
      <c r="D3818" s="208"/>
      <c r="E3818" s="208"/>
      <c r="F3818" s="208"/>
      <c r="G3818" s="209"/>
      <c r="H3818" s="539">
        <f>SUM(H3817:H3817)</f>
        <v>0</v>
      </c>
    </row>
    <row r="3819" spans="3:9" ht="25.8" customHeight="1">
      <c r="C3819" s="213" t="s">
        <v>1215</v>
      </c>
      <c r="D3819" s="212" t="s">
        <v>1216</v>
      </c>
      <c r="E3819" s="534"/>
      <c r="F3819" s="534"/>
      <c r="G3819" s="534"/>
      <c r="H3819" s="534"/>
    </row>
    <row r="3820" spans="3:9" ht="25.8" customHeight="1">
      <c r="C3820" s="702" t="s">
        <v>1217</v>
      </c>
      <c r="D3820" s="208"/>
      <c r="E3820" s="208"/>
      <c r="F3820" s="208"/>
      <c r="G3820" s="209"/>
      <c r="H3820" s="821">
        <v>0</v>
      </c>
    </row>
    <row r="3821" spans="3:9" ht="25.8" customHeight="1">
      <c r="C3821" s="566" t="s">
        <v>1218</v>
      </c>
      <c r="D3821" s="552" t="s">
        <v>1219</v>
      </c>
      <c r="E3821" s="553"/>
      <c r="F3821" s="553"/>
      <c r="G3821" s="554"/>
      <c r="H3821" s="826">
        <f>H3820+H3818+H3815</f>
        <v>42885</v>
      </c>
      <c r="I3821" s="827"/>
    </row>
    <row r="3822" spans="3:9" ht="25.8" customHeight="1">
      <c r="C3822" s="566" t="s">
        <v>1220</v>
      </c>
      <c r="D3822" s="552" t="s">
        <v>1321</v>
      </c>
      <c r="E3822" s="553"/>
      <c r="F3822" s="554"/>
      <c r="G3822" s="555">
        <f>$M$9</f>
        <v>0.1</v>
      </c>
      <c r="H3822" s="539">
        <f>H3821*G3822</f>
        <v>4288.5</v>
      </c>
      <c r="I3822" s="827"/>
    </row>
    <row r="3823" spans="3:9" ht="25.8" customHeight="1">
      <c r="C3823" s="566" t="s">
        <v>1221</v>
      </c>
      <c r="D3823" s="552" t="s">
        <v>1222</v>
      </c>
      <c r="E3823" s="553"/>
      <c r="F3823" s="553"/>
      <c r="G3823" s="554"/>
      <c r="H3823" s="828">
        <f>SUM(H3821:H3822)</f>
        <v>47173.5</v>
      </c>
      <c r="I3823" s="827"/>
    </row>
    <row r="3824" spans="3:9" ht="25.8" customHeight="1">
      <c r="C3824" s="572"/>
      <c r="D3824" s="575"/>
      <c r="E3824" s="575"/>
      <c r="F3824" s="575"/>
      <c r="G3824" s="575"/>
      <c r="H3824" s="830"/>
    </row>
    <row r="3825" spans="3:11" ht="25.8" customHeight="1">
      <c r="C3825" s="513" t="s">
        <v>7948</v>
      </c>
      <c r="D3825" s="817" t="s">
        <v>7949</v>
      </c>
      <c r="E3825" s="803"/>
      <c r="F3825" s="803"/>
      <c r="G3825" s="803"/>
      <c r="H3825" s="803"/>
      <c r="I3825" s="533">
        <f>ROUNDDOWN(H3840,-2)</f>
        <v>47100</v>
      </c>
      <c r="J3825" s="536" t="s">
        <v>7804</v>
      </c>
      <c r="K3825" s="824"/>
    </row>
    <row r="3826" spans="3:11" ht="25.8" customHeight="1">
      <c r="C3826" s="716" t="s">
        <v>1195</v>
      </c>
      <c r="D3826" s="716" t="s">
        <v>1196</v>
      </c>
      <c r="E3826" s="716" t="s">
        <v>1197</v>
      </c>
      <c r="F3826" s="716" t="s">
        <v>1198</v>
      </c>
      <c r="G3826" s="716" t="s">
        <v>1199</v>
      </c>
      <c r="H3826" s="716" t="s">
        <v>1200</v>
      </c>
    </row>
    <row r="3827" spans="3:11" ht="25.8" customHeight="1">
      <c r="C3827" s="213" t="s">
        <v>1201</v>
      </c>
      <c r="D3827" s="212" t="s">
        <v>1202</v>
      </c>
      <c r="E3827" s="534"/>
      <c r="F3827" s="534"/>
      <c r="G3827" s="534"/>
      <c r="H3827" s="534"/>
    </row>
    <row r="3828" spans="3:11" ht="25.8" customHeight="1">
      <c r="C3828" s="818">
        <v>1</v>
      </c>
      <c r="D3828" s="212" t="s">
        <v>5</v>
      </c>
      <c r="E3828" s="212" t="s">
        <v>6</v>
      </c>
      <c r="F3828" s="538">
        <v>0.11899999999999999</v>
      </c>
      <c r="G3828" s="539">
        <f>VLOOKUP(D3828,upahbahan,3,FALSE)</f>
        <v>100000</v>
      </c>
      <c r="H3828" s="539">
        <f t="shared" ref="H3828:H3831" si="407">F3828*G3828</f>
        <v>11900</v>
      </c>
    </row>
    <row r="3829" spans="3:11" ht="25.8" customHeight="1">
      <c r="C3829" s="818">
        <v>2</v>
      </c>
      <c r="D3829" s="212" t="s">
        <v>3295</v>
      </c>
      <c r="E3829" s="212" t="s">
        <v>6</v>
      </c>
      <c r="F3829" s="538">
        <v>0.19900000000000001</v>
      </c>
      <c r="G3829" s="539">
        <f>VLOOKUP(D3829,upahbahan,3,FALSE)</f>
        <v>135000</v>
      </c>
      <c r="H3829" s="539">
        <f t="shared" si="407"/>
        <v>26865</v>
      </c>
    </row>
    <row r="3830" spans="3:11" ht="25.8" customHeight="1">
      <c r="C3830" s="818">
        <v>3</v>
      </c>
      <c r="D3830" s="212" t="s">
        <v>18</v>
      </c>
      <c r="E3830" s="212" t="s">
        <v>6</v>
      </c>
      <c r="F3830" s="538">
        <v>0.02</v>
      </c>
      <c r="G3830" s="539">
        <f>VLOOKUP(D3830,upahbahan,3,FALSE)</f>
        <v>150000</v>
      </c>
      <c r="H3830" s="539">
        <f t="shared" si="407"/>
        <v>3000</v>
      </c>
    </row>
    <row r="3831" spans="3:11" ht="25.8" customHeight="1">
      <c r="C3831" s="818">
        <v>4</v>
      </c>
      <c r="D3831" s="212" t="s">
        <v>19</v>
      </c>
      <c r="E3831" s="212" t="s">
        <v>6</v>
      </c>
      <c r="F3831" s="538">
        <v>7.0000000000000001E-3</v>
      </c>
      <c r="G3831" s="539">
        <f>VLOOKUP(D3831,upahbahan,3,FALSE)</f>
        <v>160000</v>
      </c>
      <c r="H3831" s="539">
        <f t="shared" si="407"/>
        <v>1120</v>
      </c>
    </row>
    <row r="3832" spans="3:11" ht="25.8" customHeight="1">
      <c r="C3832" s="702" t="s">
        <v>1208</v>
      </c>
      <c r="D3832" s="208"/>
      <c r="E3832" s="208"/>
      <c r="F3832" s="811"/>
      <c r="G3832" s="522"/>
      <c r="H3832" s="539">
        <f>SUM(H3828:H3831)</f>
        <v>42885</v>
      </c>
      <c r="I3832" s="819"/>
    </row>
    <row r="3833" spans="3:11" ht="25.8" customHeight="1">
      <c r="C3833" s="213" t="s">
        <v>1209</v>
      </c>
      <c r="D3833" s="212" t="s">
        <v>1210</v>
      </c>
      <c r="E3833" s="534"/>
      <c r="F3833" s="831"/>
      <c r="G3833" s="534"/>
      <c r="H3833" s="534"/>
    </row>
    <row r="3834" spans="3:11" ht="25.8" customHeight="1">
      <c r="C3834" s="833" t="s">
        <v>1203</v>
      </c>
      <c r="D3834" s="820" t="s">
        <v>7950</v>
      </c>
      <c r="E3834" s="807" t="s">
        <v>135</v>
      </c>
      <c r="F3834" s="832">
        <v>1.2</v>
      </c>
      <c r="G3834" s="539">
        <f>VLOOKUP(D3834,upahbahan,3,FALSE)</f>
        <v>0</v>
      </c>
      <c r="H3834" s="539">
        <f t="shared" ref="H3834" si="408">F3834*G3834</f>
        <v>0</v>
      </c>
    </row>
    <row r="3835" spans="3:11" ht="25.8" customHeight="1">
      <c r="C3835" s="702" t="s">
        <v>1214</v>
      </c>
      <c r="D3835" s="208"/>
      <c r="E3835" s="208"/>
      <c r="F3835" s="208"/>
      <c r="G3835" s="209"/>
      <c r="H3835" s="539">
        <f>SUM(H3834:H3834)</f>
        <v>0</v>
      </c>
    </row>
    <row r="3836" spans="3:11" ht="25.8" customHeight="1">
      <c r="C3836" s="213" t="s">
        <v>1215</v>
      </c>
      <c r="D3836" s="212" t="s">
        <v>1216</v>
      </c>
      <c r="E3836" s="534"/>
      <c r="F3836" s="534"/>
      <c r="G3836" s="534"/>
      <c r="H3836" s="534"/>
    </row>
    <row r="3837" spans="3:11" ht="25.8" customHeight="1">
      <c r="C3837" s="702" t="s">
        <v>1217</v>
      </c>
      <c r="D3837" s="208"/>
      <c r="E3837" s="208"/>
      <c r="F3837" s="208"/>
      <c r="G3837" s="209"/>
      <c r="H3837" s="821">
        <v>0</v>
      </c>
    </row>
    <row r="3838" spans="3:11" ht="25.8" customHeight="1">
      <c r="C3838" s="566" t="s">
        <v>1218</v>
      </c>
      <c r="D3838" s="552" t="s">
        <v>1219</v>
      </c>
      <c r="E3838" s="553"/>
      <c r="F3838" s="553"/>
      <c r="G3838" s="554"/>
      <c r="H3838" s="826">
        <f>H3837+H3835+H3832</f>
        <v>42885</v>
      </c>
      <c r="I3838" s="827"/>
    </row>
    <row r="3839" spans="3:11" ht="25.8" customHeight="1">
      <c r="C3839" s="566" t="s">
        <v>1220</v>
      </c>
      <c r="D3839" s="552" t="s">
        <v>1321</v>
      </c>
      <c r="E3839" s="553"/>
      <c r="F3839" s="554"/>
      <c r="G3839" s="555">
        <f>$M$9</f>
        <v>0.1</v>
      </c>
      <c r="H3839" s="539">
        <f>H3838*G3839</f>
        <v>4288.5</v>
      </c>
      <c r="I3839" s="827"/>
    </row>
    <row r="3840" spans="3:11" ht="25.8" customHeight="1">
      <c r="C3840" s="566" t="s">
        <v>1221</v>
      </c>
      <c r="D3840" s="552" t="s">
        <v>1222</v>
      </c>
      <c r="E3840" s="553"/>
      <c r="F3840" s="553"/>
      <c r="G3840" s="554"/>
      <c r="H3840" s="828">
        <f>SUM(H3838:H3839)</f>
        <v>47173.5</v>
      </c>
      <c r="I3840" s="827"/>
    </row>
    <row r="3841" spans="3:11" ht="25.8" customHeight="1">
      <c r="C3841" s="572"/>
      <c r="D3841" s="575"/>
      <c r="E3841" s="575"/>
      <c r="F3841" s="575"/>
      <c r="G3841" s="575"/>
      <c r="H3841" s="830"/>
    </row>
    <row r="3842" spans="3:11" ht="25.8" customHeight="1">
      <c r="C3842" s="513" t="s">
        <v>7951</v>
      </c>
      <c r="D3842" s="817" t="s">
        <v>7952</v>
      </c>
      <c r="E3842" s="803"/>
      <c r="F3842" s="803"/>
      <c r="G3842" s="803"/>
      <c r="H3842" s="803"/>
      <c r="I3842" s="533">
        <f>ROUNDDOWN(H3857,-2)</f>
        <v>47100</v>
      </c>
      <c r="J3842" s="536" t="s">
        <v>7804</v>
      </c>
      <c r="K3842" s="824"/>
    </row>
    <row r="3843" spans="3:11" ht="25.8" customHeight="1">
      <c r="C3843" s="716" t="s">
        <v>1195</v>
      </c>
      <c r="D3843" s="716" t="s">
        <v>1196</v>
      </c>
      <c r="E3843" s="716" t="s">
        <v>1197</v>
      </c>
      <c r="F3843" s="716" t="s">
        <v>1198</v>
      </c>
      <c r="G3843" s="716" t="s">
        <v>1199</v>
      </c>
      <c r="H3843" s="716" t="s">
        <v>1200</v>
      </c>
    </row>
    <row r="3844" spans="3:11" ht="25.8" customHeight="1">
      <c r="C3844" s="213" t="s">
        <v>1201</v>
      </c>
      <c r="D3844" s="212" t="s">
        <v>1202</v>
      </c>
      <c r="E3844" s="534"/>
      <c r="F3844" s="534"/>
      <c r="G3844" s="534"/>
      <c r="H3844" s="534"/>
    </row>
    <row r="3845" spans="3:11" ht="25.8" customHeight="1">
      <c r="C3845" s="818">
        <v>1</v>
      </c>
      <c r="D3845" s="212" t="s">
        <v>5</v>
      </c>
      <c r="E3845" s="212" t="s">
        <v>6</v>
      </c>
      <c r="F3845" s="538">
        <v>0.11899999999999999</v>
      </c>
      <c r="G3845" s="539">
        <f>VLOOKUP(D3845,upahbahan,3,FALSE)</f>
        <v>100000</v>
      </c>
      <c r="H3845" s="539">
        <f t="shared" ref="H3845:H3848" si="409">F3845*G3845</f>
        <v>11900</v>
      </c>
    </row>
    <row r="3846" spans="3:11" ht="25.8" customHeight="1">
      <c r="C3846" s="818">
        <v>2</v>
      </c>
      <c r="D3846" s="212" t="s">
        <v>3295</v>
      </c>
      <c r="E3846" s="212" t="s">
        <v>6</v>
      </c>
      <c r="F3846" s="538">
        <v>0.19900000000000001</v>
      </c>
      <c r="G3846" s="539">
        <f>VLOOKUP(D3846,upahbahan,3,FALSE)</f>
        <v>135000</v>
      </c>
      <c r="H3846" s="539">
        <f t="shared" si="409"/>
        <v>26865</v>
      </c>
    </row>
    <row r="3847" spans="3:11" ht="25.8" customHeight="1">
      <c r="C3847" s="818">
        <v>3</v>
      </c>
      <c r="D3847" s="212" t="s">
        <v>18</v>
      </c>
      <c r="E3847" s="212" t="s">
        <v>6</v>
      </c>
      <c r="F3847" s="538">
        <v>0.02</v>
      </c>
      <c r="G3847" s="539">
        <f>VLOOKUP(D3847,upahbahan,3,FALSE)</f>
        <v>150000</v>
      </c>
      <c r="H3847" s="539">
        <f t="shared" si="409"/>
        <v>3000</v>
      </c>
    </row>
    <row r="3848" spans="3:11" ht="25.8" customHeight="1">
      <c r="C3848" s="818">
        <v>4</v>
      </c>
      <c r="D3848" s="212" t="s">
        <v>19</v>
      </c>
      <c r="E3848" s="212" t="s">
        <v>6</v>
      </c>
      <c r="F3848" s="538">
        <v>7.0000000000000001E-3</v>
      </c>
      <c r="G3848" s="539">
        <f>VLOOKUP(D3848,upahbahan,3,FALSE)</f>
        <v>160000</v>
      </c>
      <c r="H3848" s="539">
        <f t="shared" si="409"/>
        <v>1120</v>
      </c>
    </row>
    <row r="3849" spans="3:11" ht="25.8" customHeight="1">
      <c r="C3849" s="702" t="s">
        <v>1208</v>
      </c>
      <c r="D3849" s="208"/>
      <c r="E3849" s="208"/>
      <c r="F3849" s="811"/>
      <c r="G3849" s="522"/>
      <c r="H3849" s="539">
        <f>SUM(H3845:H3848)</f>
        <v>42885</v>
      </c>
      <c r="I3849" s="819"/>
    </row>
    <row r="3850" spans="3:11" ht="25.8" customHeight="1">
      <c r="C3850" s="213" t="s">
        <v>1209</v>
      </c>
      <c r="D3850" s="212" t="s">
        <v>1210</v>
      </c>
      <c r="E3850" s="534"/>
      <c r="F3850" s="831"/>
      <c r="G3850" s="534"/>
      <c r="H3850" s="534"/>
    </row>
    <row r="3851" spans="3:11" ht="25.8" customHeight="1">
      <c r="C3851" s="833" t="s">
        <v>1203</v>
      </c>
      <c r="D3851" s="820" t="s">
        <v>7953</v>
      </c>
      <c r="E3851" s="807" t="s">
        <v>135</v>
      </c>
      <c r="F3851" s="832">
        <v>1.2</v>
      </c>
      <c r="G3851" s="539">
        <f>VLOOKUP(D3851,upahbahan,3,FALSE)</f>
        <v>0</v>
      </c>
      <c r="H3851" s="539">
        <f t="shared" ref="H3851" si="410">F3851*G3851</f>
        <v>0</v>
      </c>
    </row>
    <row r="3852" spans="3:11" ht="25.8" customHeight="1">
      <c r="C3852" s="702" t="s">
        <v>1214</v>
      </c>
      <c r="D3852" s="208"/>
      <c r="E3852" s="208"/>
      <c r="F3852" s="208"/>
      <c r="G3852" s="209"/>
      <c r="H3852" s="539">
        <f>SUM(H3851:H3851)</f>
        <v>0</v>
      </c>
    </row>
    <row r="3853" spans="3:11" ht="25.8" customHeight="1">
      <c r="C3853" s="213" t="s">
        <v>1215</v>
      </c>
      <c r="D3853" s="212" t="s">
        <v>1216</v>
      </c>
      <c r="E3853" s="534"/>
      <c r="F3853" s="534"/>
      <c r="G3853" s="534"/>
      <c r="H3853" s="534"/>
    </row>
    <row r="3854" spans="3:11" ht="25.8" customHeight="1">
      <c r="C3854" s="702" t="s">
        <v>1217</v>
      </c>
      <c r="D3854" s="208"/>
      <c r="E3854" s="208"/>
      <c r="F3854" s="208"/>
      <c r="G3854" s="209"/>
      <c r="H3854" s="821">
        <v>0</v>
      </c>
    </row>
    <row r="3855" spans="3:11" ht="25.8" customHeight="1">
      <c r="C3855" s="566" t="s">
        <v>1218</v>
      </c>
      <c r="D3855" s="552" t="s">
        <v>1219</v>
      </c>
      <c r="E3855" s="553"/>
      <c r="F3855" s="553"/>
      <c r="G3855" s="554"/>
      <c r="H3855" s="826">
        <f>H3854+H3852+H3849</f>
        <v>42885</v>
      </c>
      <c r="I3855" s="827"/>
    </row>
    <row r="3856" spans="3:11" ht="25.8" customHeight="1">
      <c r="C3856" s="566" t="s">
        <v>1220</v>
      </c>
      <c r="D3856" s="552" t="s">
        <v>1321</v>
      </c>
      <c r="E3856" s="553"/>
      <c r="F3856" s="554"/>
      <c r="G3856" s="555">
        <f>$M$9</f>
        <v>0.1</v>
      </c>
      <c r="H3856" s="539">
        <f>H3855*G3856</f>
        <v>4288.5</v>
      </c>
      <c r="I3856" s="827"/>
    </row>
    <row r="3857" spans="3:11" ht="25.8" customHeight="1">
      <c r="C3857" s="566" t="s">
        <v>1221</v>
      </c>
      <c r="D3857" s="552" t="s">
        <v>1222</v>
      </c>
      <c r="E3857" s="553"/>
      <c r="F3857" s="553"/>
      <c r="G3857" s="554"/>
      <c r="H3857" s="828">
        <f>SUM(H3855:H3856)</f>
        <v>47173.5</v>
      </c>
      <c r="I3857" s="827"/>
    </row>
    <row r="3858" spans="3:11" ht="25.8" customHeight="1">
      <c r="C3858" s="572"/>
      <c r="D3858" s="575"/>
      <c r="E3858" s="575"/>
      <c r="F3858" s="575"/>
      <c r="G3858" s="575"/>
      <c r="H3858" s="830"/>
    </row>
    <row r="3859" spans="3:11" ht="25.8" customHeight="1">
      <c r="C3859" s="513" t="s">
        <v>7954</v>
      </c>
      <c r="D3859" s="817" t="s">
        <v>7955</v>
      </c>
      <c r="E3859" s="803"/>
      <c r="F3859" s="803"/>
      <c r="G3859" s="803"/>
      <c r="H3859" s="803"/>
      <c r="I3859" s="533">
        <f>ROUNDDOWN(H3874,-2)</f>
        <v>47100</v>
      </c>
      <c r="J3859" s="536" t="s">
        <v>7804</v>
      </c>
      <c r="K3859" s="824"/>
    </row>
    <row r="3860" spans="3:11" ht="25.8" customHeight="1">
      <c r="C3860" s="716" t="s">
        <v>1195</v>
      </c>
      <c r="D3860" s="716" t="s">
        <v>1196</v>
      </c>
      <c r="E3860" s="716" t="s">
        <v>1197</v>
      </c>
      <c r="F3860" s="716" t="s">
        <v>1198</v>
      </c>
      <c r="G3860" s="716" t="s">
        <v>1199</v>
      </c>
      <c r="H3860" s="716" t="s">
        <v>1200</v>
      </c>
    </row>
    <row r="3861" spans="3:11" ht="25.8" customHeight="1">
      <c r="C3861" s="213" t="s">
        <v>1201</v>
      </c>
      <c r="D3861" s="212" t="s">
        <v>1202</v>
      </c>
      <c r="E3861" s="534"/>
      <c r="F3861" s="534"/>
      <c r="G3861" s="534"/>
      <c r="H3861" s="534"/>
    </row>
    <row r="3862" spans="3:11" ht="25.8" customHeight="1">
      <c r="C3862" s="818">
        <v>1</v>
      </c>
      <c r="D3862" s="212" t="s">
        <v>5</v>
      </c>
      <c r="E3862" s="212" t="s">
        <v>6</v>
      </c>
      <c r="F3862" s="538">
        <v>0.11899999999999999</v>
      </c>
      <c r="G3862" s="539">
        <f>VLOOKUP(D3862,upahbahan,3,FALSE)</f>
        <v>100000</v>
      </c>
      <c r="H3862" s="539">
        <f t="shared" ref="H3862:H3865" si="411">F3862*G3862</f>
        <v>11900</v>
      </c>
    </row>
    <row r="3863" spans="3:11" ht="25.8" customHeight="1">
      <c r="C3863" s="818">
        <v>2</v>
      </c>
      <c r="D3863" s="212" t="s">
        <v>3295</v>
      </c>
      <c r="E3863" s="212" t="s">
        <v>6</v>
      </c>
      <c r="F3863" s="538">
        <v>0.19900000000000001</v>
      </c>
      <c r="G3863" s="539">
        <f>VLOOKUP(D3863,upahbahan,3,FALSE)</f>
        <v>135000</v>
      </c>
      <c r="H3863" s="539">
        <f t="shared" si="411"/>
        <v>26865</v>
      </c>
    </row>
    <row r="3864" spans="3:11" ht="25.8" customHeight="1">
      <c r="C3864" s="818">
        <v>3</v>
      </c>
      <c r="D3864" s="212" t="s">
        <v>18</v>
      </c>
      <c r="E3864" s="212" t="s">
        <v>6</v>
      </c>
      <c r="F3864" s="538">
        <v>0.02</v>
      </c>
      <c r="G3864" s="539">
        <f>VLOOKUP(D3864,upahbahan,3,FALSE)</f>
        <v>150000</v>
      </c>
      <c r="H3864" s="539">
        <f t="shared" si="411"/>
        <v>3000</v>
      </c>
    </row>
    <row r="3865" spans="3:11" ht="25.8" customHeight="1">
      <c r="C3865" s="818">
        <v>4</v>
      </c>
      <c r="D3865" s="212" t="s">
        <v>19</v>
      </c>
      <c r="E3865" s="212" t="s">
        <v>6</v>
      </c>
      <c r="F3865" s="538">
        <v>7.0000000000000001E-3</v>
      </c>
      <c r="G3865" s="539">
        <f>VLOOKUP(D3865,upahbahan,3,FALSE)</f>
        <v>160000</v>
      </c>
      <c r="H3865" s="539">
        <f t="shared" si="411"/>
        <v>1120</v>
      </c>
    </row>
    <row r="3866" spans="3:11" ht="25.8" customHeight="1">
      <c r="C3866" s="702" t="s">
        <v>1208</v>
      </c>
      <c r="D3866" s="208"/>
      <c r="E3866" s="208"/>
      <c r="F3866" s="811"/>
      <c r="G3866" s="522"/>
      <c r="H3866" s="539">
        <f>SUM(H3862:H3865)</f>
        <v>42885</v>
      </c>
      <c r="I3866" s="819"/>
    </row>
    <row r="3867" spans="3:11" ht="25.8" customHeight="1">
      <c r="C3867" s="213" t="s">
        <v>1209</v>
      </c>
      <c r="D3867" s="212" t="s">
        <v>1210</v>
      </c>
      <c r="E3867" s="534"/>
      <c r="F3867" s="831"/>
      <c r="G3867" s="534"/>
      <c r="H3867" s="534"/>
    </row>
    <row r="3868" spans="3:11" ht="25.8" customHeight="1">
      <c r="C3868" s="833" t="s">
        <v>1203</v>
      </c>
      <c r="D3868" s="820" t="s">
        <v>7956</v>
      </c>
      <c r="E3868" s="807" t="s">
        <v>135</v>
      </c>
      <c r="F3868" s="832">
        <v>1.2</v>
      </c>
      <c r="G3868" s="539">
        <f>VLOOKUP(D3868,upahbahan,3,FALSE)</f>
        <v>0</v>
      </c>
      <c r="H3868" s="539">
        <f t="shared" ref="H3868" si="412">F3868*G3868</f>
        <v>0</v>
      </c>
    </row>
    <row r="3869" spans="3:11" ht="25.8" customHeight="1">
      <c r="C3869" s="702" t="s">
        <v>1214</v>
      </c>
      <c r="D3869" s="208"/>
      <c r="E3869" s="208"/>
      <c r="F3869" s="208"/>
      <c r="G3869" s="209"/>
      <c r="H3869" s="539">
        <f>SUM(H3868:H3868)</f>
        <v>0</v>
      </c>
    </row>
    <row r="3870" spans="3:11" ht="25.8" customHeight="1">
      <c r="C3870" s="213" t="s">
        <v>1215</v>
      </c>
      <c r="D3870" s="212" t="s">
        <v>1216</v>
      </c>
      <c r="E3870" s="534"/>
      <c r="F3870" s="534"/>
      <c r="G3870" s="534"/>
      <c r="H3870" s="534"/>
    </row>
    <row r="3871" spans="3:11" ht="25.8" customHeight="1">
      <c r="C3871" s="702" t="s">
        <v>1217</v>
      </c>
      <c r="D3871" s="208"/>
      <c r="E3871" s="208"/>
      <c r="F3871" s="208"/>
      <c r="G3871" s="209"/>
      <c r="H3871" s="821">
        <v>0</v>
      </c>
    </row>
    <row r="3872" spans="3:11" ht="25.8" customHeight="1">
      <c r="C3872" s="566" t="s">
        <v>1218</v>
      </c>
      <c r="D3872" s="552" t="s">
        <v>1219</v>
      </c>
      <c r="E3872" s="553"/>
      <c r="F3872" s="553"/>
      <c r="G3872" s="554"/>
      <c r="H3872" s="826">
        <f>H3871+H3869+H3866</f>
        <v>42885</v>
      </c>
      <c r="I3872" s="827"/>
    </row>
    <row r="3873" spans="3:11" ht="25.8" customHeight="1">
      <c r="C3873" s="566" t="s">
        <v>1220</v>
      </c>
      <c r="D3873" s="552" t="s">
        <v>1321</v>
      </c>
      <c r="E3873" s="553"/>
      <c r="F3873" s="554"/>
      <c r="G3873" s="555">
        <f>$M$9</f>
        <v>0.1</v>
      </c>
      <c r="H3873" s="539">
        <f>H3872*G3873</f>
        <v>4288.5</v>
      </c>
      <c r="I3873" s="827"/>
    </row>
    <row r="3874" spans="3:11" ht="25.8" customHeight="1">
      <c r="C3874" s="566" t="s">
        <v>1221</v>
      </c>
      <c r="D3874" s="552" t="s">
        <v>1222</v>
      </c>
      <c r="E3874" s="553"/>
      <c r="F3874" s="553"/>
      <c r="G3874" s="554"/>
      <c r="H3874" s="828">
        <f>SUM(H3872:H3873)</f>
        <v>47173.5</v>
      </c>
      <c r="I3874" s="827"/>
    </row>
    <row r="3875" spans="3:11" ht="25.8" customHeight="1">
      <c r="C3875" s="572"/>
      <c r="D3875" s="575"/>
      <c r="E3875" s="575"/>
      <c r="F3875" s="575"/>
      <c r="G3875" s="575"/>
      <c r="H3875" s="830"/>
    </row>
    <row r="3876" spans="3:11" ht="25.8" customHeight="1">
      <c r="C3876" s="513" t="s">
        <v>7957</v>
      </c>
      <c r="D3876" s="817" t="s">
        <v>7958</v>
      </c>
      <c r="E3876" s="803"/>
      <c r="F3876" s="803"/>
      <c r="G3876" s="803"/>
      <c r="H3876" s="803"/>
      <c r="I3876" s="533">
        <f>ROUNDDOWN(H3891,-2)</f>
        <v>47100</v>
      </c>
      <c r="J3876" s="536" t="s">
        <v>7804</v>
      </c>
      <c r="K3876" s="824"/>
    </row>
    <row r="3877" spans="3:11" ht="25.8" customHeight="1">
      <c r="C3877" s="716" t="s">
        <v>1195</v>
      </c>
      <c r="D3877" s="716" t="s">
        <v>1196</v>
      </c>
      <c r="E3877" s="716" t="s">
        <v>1197</v>
      </c>
      <c r="F3877" s="716" t="s">
        <v>1198</v>
      </c>
      <c r="G3877" s="716" t="s">
        <v>1199</v>
      </c>
      <c r="H3877" s="716" t="s">
        <v>1200</v>
      </c>
    </row>
    <row r="3878" spans="3:11" ht="25.8" customHeight="1">
      <c r="C3878" s="213" t="s">
        <v>1201</v>
      </c>
      <c r="D3878" s="212" t="s">
        <v>1202</v>
      </c>
      <c r="E3878" s="534"/>
      <c r="F3878" s="534"/>
      <c r="G3878" s="534"/>
      <c r="H3878" s="534"/>
    </row>
    <row r="3879" spans="3:11" ht="25.8" customHeight="1">
      <c r="C3879" s="818">
        <v>1</v>
      </c>
      <c r="D3879" s="212" t="s">
        <v>5</v>
      </c>
      <c r="E3879" s="212" t="s">
        <v>6</v>
      </c>
      <c r="F3879" s="538">
        <v>0.11899999999999999</v>
      </c>
      <c r="G3879" s="539">
        <f>VLOOKUP(D3879,upahbahan,3,FALSE)</f>
        <v>100000</v>
      </c>
      <c r="H3879" s="539">
        <f t="shared" ref="H3879:H3882" si="413">F3879*G3879</f>
        <v>11900</v>
      </c>
    </row>
    <row r="3880" spans="3:11" ht="25.8" customHeight="1">
      <c r="C3880" s="818">
        <v>2</v>
      </c>
      <c r="D3880" s="212" t="s">
        <v>3295</v>
      </c>
      <c r="E3880" s="212" t="s">
        <v>6</v>
      </c>
      <c r="F3880" s="538">
        <v>0.19900000000000001</v>
      </c>
      <c r="G3880" s="539">
        <f>VLOOKUP(D3880,upahbahan,3,FALSE)</f>
        <v>135000</v>
      </c>
      <c r="H3880" s="539">
        <f t="shared" si="413"/>
        <v>26865</v>
      </c>
    </row>
    <row r="3881" spans="3:11" ht="25.8" customHeight="1">
      <c r="C3881" s="818">
        <v>3</v>
      </c>
      <c r="D3881" s="212" t="s">
        <v>18</v>
      </c>
      <c r="E3881" s="212" t="s">
        <v>6</v>
      </c>
      <c r="F3881" s="538">
        <v>0.02</v>
      </c>
      <c r="G3881" s="539">
        <f>VLOOKUP(D3881,upahbahan,3,FALSE)</f>
        <v>150000</v>
      </c>
      <c r="H3881" s="539">
        <f t="shared" si="413"/>
        <v>3000</v>
      </c>
    </row>
    <row r="3882" spans="3:11" ht="25.8" customHeight="1">
      <c r="C3882" s="818">
        <v>4</v>
      </c>
      <c r="D3882" s="212" t="s">
        <v>19</v>
      </c>
      <c r="E3882" s="212" t="s">
        <v>6</v>
      </c>
      <c r="F3882" s="538">
        <v>7.0000000000000001E-3</v>
      </c>
      <c r="G3882" s="539">
        <f>VLOOKUP(D3882,upahbahan,3,FALSE)</f>
        <v>160000</v>
      </c>
      <c r="H3882" s="539">
        <f t="shared" si="413"/>
        <v>1120</v>
      </c>
    </row>
    <row r="3883" spans="3:11" ht="25.8" customHeight="1">
      <c r="C3883" s="702" t="s">
        <v>1208</v>
      </c>
      <c r="D3883" s="208"/>
      <c r="E3883" s="208"/>
      <c r="F3883" s="811"/>
      <c r="G3883" s="522"/>
      <c r="H3883" s="539">
        <f>SUM(H3879:H3882)</f>
        <v>42885</v>
      </c>
      <c r="I3883" s="819"/>
    </row>
    <row r="3884" spans="3:11" ht="25.8" customHeight="1">
      <c r="C3884" s="213" t="s">
        <v>1209</v>
      </c>
      <c r="D3884" s="212" t="s">
        <v>1210</v>
      </c>
      <c r="E3884" s="534"/>
      <c r="F3884" s="831"/>
      <c r="G3884" s="534"/>
      <c r="H3884" s="534"/>
    </row>
    <row r="3885" spans="3:11" ht="25.8" customHeight="1">
      <c r="C3885" s="833" t="s">
        <v>1203</v>
      </c>
      <c r="D3885" s="820" t="s">
        <v>7959</v>
      </c>
      <c r="E3885" s="807" t="s">
        <v>135</v>
      </c>
      <c r="F3885" s="832">
        <v>1.2</v>
      </c>
      <c r="G3885" s="539">
        <f>VLOOKUP(D3885,upahbahan,3,FALSE)</f>
        <v>0</v>
      </c>
      <c r="H3885" s="539">
        <f t="shared" ref="H3885" si="414">F3885*G3885</f>
        <v>0</v>
      </c>
    </row>
    <row r="3886" spans="3:11" ht="25.8" customHeight="1">
      <c r="C3886" s="702" t="s">
        <v>1214</v>
      </c>
      <c r="D3886" s="208"/>
      <c r="E3886" s="208"/>
      <c r="F3886" s="208"/>
      <c r="G3886" s="209"/>
      <c r="H3886" s="539">
        <f>SUM(H3885:H3885)</f>
        <v>0</v>
      </c>
    </row>
    <row r="3887" spans="3:11" ht="25.8" customHeight="1">
      <c r="C3887" s="213" t="s">
        <v>1215</v>
      </c>
      <c r="D3887" s="212" t="s">
        <v>1216</v>
      </c>
      <c r="E3887" s="534"/>
      <c r="F3887" s="534"/>
      <c r="G3887" s="534"/>
      <c r="H3887" s="534"/>
    </row>
    <row r="3888" spans="3:11" ht="25.8" customHeight="1">
      <c r="C3888" s="702" t="s">
        <v>1217</v>
      </c>
      <c r="D3888" s="208"/>
      <c r="E3888" s="208"/>
      <c r="F3888" s="208"/>
      <c r="G3888" s="209"/>
      <c r="H3888" s="821">
        <v>0</v>
      </c>
    </row>
    <row r="3889" spans="3:11" ht="25.8" customHeight="1">
      <c r="C3889" s="566" t="s">
        <v>1218</v>
      </c>
      <c r="D3889" s="552" t="s">
        <v>1219</v>
      </c>
      <c r="E3889" s="553"/>
      <c r="F3889" s="553"/>
      <c r="G3889" s="554"/>
      <c r="H3889" s="826">
        <f>H3888+H3886+H3883</f>
        <v>42885</v>
      </c>
      <c r="I3889" s="827"/>
    </row>
    <row r="3890" spans="3:11" ht="25.8" customHeight="1">
      <c r="C3890" s="566" t="s">
        <v>1220</v>
      </c>
      <c r="D3890" s="552" t="s">
        <v>1321</v>
      </c>
      <c r="E3890" s="553"/>
      <c r="F3890" s="554"/>
      <c r="G3890" s="555">
        <f>$M$9</f>
        <v>0.1</v>
      </c>
      <c r="H3890" s="539">
        <f>H3889*G3890</f>
        <v>4288.5</v>
      </c>
      <c r="I3890" s="827"/>
    </row>
    <row r="3891" spans="3:11" ht="25.8" customHeight="1">
      <c r="C3891" s="566" t="s">
        <v>1221</v>
      </c>
      <c r="D3891" s="552" t="s">
        <v>1222</v>
      </c>
      <c r="E3891" s="553"/>
      <c r="F3891" s="553"/>
      <c r="G3891" s="554"/>
      <c r="H3891" s="828">
        <f>SUM(H3889:H3890)</f>
        <v>47173.5</v>
      </c>
      <c r="I3891" s="827"/>
    </row>
    <row r="3892" spans="3:11" ht="25.8" customHeight="1">
      <c r="C3892" s="572"/>
      <c r="D3892" s="575"/>
      <c r="E3892" s="575"/>
      <c r="F3892" s="575"/>
      <c r="G3892" s="575"/>
      <c r="H3892" s="830"/>
    </row>
    <row r="3893" spans="3:11" ht="25.8" customHeight="1">
      <c r="C3893" s="513" t="s">
        <v>7960</v>
      </c>
      <c r="D3893" s="817" t="s">
        <v>7961</v>
      </c>
      <c r="E3893" s="803"/>
      <c r="F3893" s="803"/>
      <c r="G3893" s="803"/>
      <c r="H3893" s="803"/>
      <c r="I3893" s="533">
        <f>ROUNDDOWN(H3908,-2)</f>
        <v>47100</v>
      </c>
      <c r="J3893" s="536" t="s">
        <v>7804</v>
      </c>
      <c r="K3893" s="824"/>
    </row>
    <row r="3894" spans="3:11" ht="25.8" customHeight="1">
      <c r="C3894" s="716" t="s">
        <v>1195</v>
      </c>
      <c r="D3894" s="716" t="s">
        <v>1196</v>
      </c>
      <c r="E3894" s="716" t="s">
        <v>1197</v>
      </c>
      <c r="F3894" s="716" t="s">
        <v>1198</v>
      </c>
      <c r="G3894" s="716" t="s">
        <v>1199</v>
      </c>
      <c r="H3894" s="716" t="s">
        <v>1200</v>
      </c>
    </row>
    <row r="3895" spans="3:11" ht="25.8" customHeight="1">
      <c r="C3895" s="213" t="s">
        <v>1201</v>
      </c>
      <c r="D3895" s="212" t="s">
        <v>1202</v>
      </c>
      <c r="E3895" s="534"/>
      <c r="F3895" s="534"/>
      <c r="G3895" s="534"/>
      <c r="H3895" s="534"/>
    </row>
    <row r="3896" spans="3:11" ht="25.8" customHeight="1">
      <c r="C3896" s="818">
        <v>1</v>
      </c>
      <c r="D3896" s="212" t="s">
        <v>5</v>
      </c>
      <c r="E3896" s="212" t="s">
        <v>6</v>
      </c>
      <c r="F3896" s="538">
        <v>0.11899999999999999</v>
      </c>
      <c r="G3896" s="539">
        <f>VLOOKUP(D3896,upahbahan,3,FALSE)</f>
        <v>100000</v>
      </c>
      <c r="H3896" s="539">
        <f t="shared" ref="H3896:H3899" si="415">F3896*G3896</f>
        <v>11900</v>
      </c>
    </row>
    <row r="3897" spans="3:11" ht="25.8" customHeight="1">
      <c r="C3897" s="818">
        <v>2</v>
      </c>
      <c r="D3897" s="212" t="s">
        <v>3295</v>
      </c>
      <c r="E3897" s="212" t="s">
        <v>6</v>
      </c>
      <c r="F3897" s="538">
        <v>0.19900000000000001</v>
      </c>
      <c r="G3897" s="539">
        <f>VLOOKUP(D3897,upahbahan,3,FALSE)</f>
        <v>135000</v>
      </c>
      <c r="H3897" s="539">
        <f t="shared" si="415"/>
        <v>26865</v>
      </c>
    </row>
    <row r="3898" spans="3:11" ht="25.8" customHeight="1">
      <c r="C3898" s="818">
        <v>3</v>
      </c>
      <c r="D3898" s="212" t="s">
        <v>18</v>
      </c>
      <c r="E3898" s="212" t="s">
        <v>6</v>
      </c>
      <c r="F3898" s="538">
        <v>0.02</v>
      </c>
      <c r="G3898" s="539">
        <f>VLOOKUP(D3898,upahbahan,3,FALSE)</f>
        <v>150000</v>
      </c>
      <c r="H3898" s="539">
        <f t="shared" si="415"/>
        <v>3000</v>
      </c>
    </row>
    <row r="3899" spans="3:11" ht="25.8" customHeight="1">
      <c r="C3899" s="818">
        <v>4</v>
      </c>
      <c r="D3899" s="212" t="s">
        <v>19</v>
      </c>
      <c r="E3899" s="212" t="s">
        <v>6</v>
      </c>
      <c r="F3899" s="538">
        <v>7.0000000000000001E-3</v>
      </c>
      <c r="G3899" s="539">
        <f>VLOOKUP(D3899,upahbahan,3,FALSE)</f>
        <v>160000</v>
      </c>
      <c r="H3899" s="539">
        <f t="shared" si="415"/>
        <v>1120</v>
      </c>
    </row>
    <row r="3900" spans="3:11" ht="25.8" customHeight="1">
      <c r="C3900" s="702" t="s">
        <v>1208</v>
      </c>
      <c r="D3900" s="208"/>
      <c r="E3900" s="208"/>
      <c r="F3900" s="811"/>
      <c r="G3900" s="522"/>
      <c r="H3900" s="539">
        <f>SUM(H3896:H3899)</f>
        <v>42885</v>
      </c>
      <c r="I3900" s="819"/>
    </row>
    <row r="3901" spans="3:11" ht="25.8" customHeight="1">
      <c r="C3901" s="213" t="s">
        <v>1209</v>
      </c>
      <c r="D3901" s="212" t="s">
        <v>1210</v>
      </c>
      <c r="E3901" s="534"/>
      <c r="F3901" s="831"/>
      <c r="G3901" s="534"/>
      <c r="H3901" s="534"/>
    </row>
    <row r="3902" spans="3:11" ht="25.8" customHeight="1">
      <c r="C3902" s="833" t="s">
        <v>1203</v>
      </c>
      <c r="D3902" s="820" t="s">
        <v>7962</v>
      </c>
      <c r="E3902" s="807" t="s">
        <v>135</v>
      </c>
      <c r="F3902" s="832">
        <v>1.2</v>
      </c>
      <c r="G3902" s="539">
        <f>VLOOKUP(D3902,upahbahan,3,FALSE)</f>
        <v>0</v>
      </c>
      <c r="H3902" s="539">
        <f t="shared" ref="H3902" si="416">F3902*G3902</f>
        <v>0</v>
      </c>
    </row>
    <row r="3903" spans="3:11" ht="25.8" customHeight="1">
      <c r="C3903" s="702" t="s">
        <v>1214</v>
      </c>
      <c r="D3903" s="208"/>
      <c r="E3903" s="208"/>
      <c r="F3903" s="208"/>
      <c r="G3903" s="209"/>
      <c r="H3903" s="539">
        <f>SUM(H3902:H3902)</f>
        <v>0</v>
      </c>
    </row>
    <row r="3904" spans="3:11" ht="25.8" customHeight="1">
      <c r="C3904" s="213" t="s">
        <v>1215</v>
      </c>
      <c r="D3904" s="212" t="s">
        <v>1216</v>
      </c>
      <c r="E3904" s="534"/>
      <c r="F3904" s="534"/>
      <c r="G3904" s="534"/>
      <c r="H3904" s="534"/>
    </row>
    <row r="3905" spans="3:11" ht="25.8" customHeight="1">
      <c r="C3905" s="702" t="s">
        <v>1217</v>
      </c>
      <c r="D3905" s="208"/>
      <c r="E3905" s="208"/>
      <c r="F3905" s="208"/>
      <c r="G3905" s="209"/>
      <c r="H3905" s="821">
        <v>0</v>
      </c>
    </row>
    <row r="3906" spans="3:11" ht="25.8" customHeight="1">
      <c r="C3906" s="566" t="s">
        <v>1218</v>
      </c>
      <c r="D3906" s="552" t="s">
        <v>1219</v>
      </c>
      <c r="E3906" s="553"/>
      <c r="F3906" s="553"/>
      <c r="G3906" s="554"/>
      <c r="H3906" s="826">
        <f>H3905+H3903+H3900</f>
        <v>42885</v>
      </c>
      <c r="I3906" s="827"/>
    </row>
    <row r="3907" spans="3:11" ht="25.8" customHeight="1">
      <c r="C3907" s="566" t="s">
        <v>1220</v>
      </c>
      <c r="D3907" s="552" t="s">
        <v>1321</v>
      </c>
      <c r="E3907" s="553"/>
      <c r="F3907" s="554"/>
      <c r="G3907" s="555">
        <f>$M$9</f>
        <v>0.1</v>
      </c>
      <c r="H3907" s="539">
        <f>H3906*G3907</f>
        <v>4288.5</v>
      </c>
      <c r="I3907" s="827"/>
    </row>
    <row r="3908" spans="3:11" ht="25.8" customHeight="1">
      <c r="C3908" s="566" t="s">
        <v>1221</v>
      </c>
      <c r="D3908" s="552" t="s">
        <v>1222</v>
      </c>
      <c r="E3908" s="553"/>
      <c r="F3908" s="553"/>
      <c r="G3908" s="554"/>
      <c r="H3908" s="828">
        <f>SUM(H3906:H3907)</f>
        <v>47173.5</v>
      </c>
      <c r="I3908" s="827"/>
    </row>
    <row r="3909" spans="3:11" ht="25.8" customHeight="1">
      <c r="C3909" s="572"/>
      <c r="D3909" s="575"/>
      <c r="E3909" s="575"/>
      <c r="F3909" s="575"/>
      <c r="G3909" s="575"/>
      <c r="H3909" s="830"/>
    </row>
    <row r="3910" spans="3:11" ht="25.8" customHeight="1">
      <c r="C3910" s="513" t="s">
        <v>7963</v>
      </c>
      <c r="D3910" s="817" t="s">
        <v>7964</v>
      </c>
      <c r="E3910" s="803"/>
      <c r="F3910" s="803"/>
      <c r="G3910" s="803"/>
      <c r="H3910" s="803"/>
      <c r="I3910" s="533">
        <f>ROUNDDOWN(H3925,-2)</f>
        <v>47100</v>
      </c>
      <c r="J3910" s="536" t="s">
        <v>7804</v>
      </c>
      <c r="K3910" s="824"/>
    </row>
    <row r="3911" spans="3:11" ht="25.8" customHeight="1">
      <c r="C3911" s="716" t="s">
        <v>1195</v>
      </c>
      <c r="D3911" s="716" t="s">
        <v>1196</v>
      </c>
      <c r="E3911" s="716" t="s">
        <v>1197</v>
      </c>
      <c r="F3911" s="716" t="s">
        <v>1198</v>
      </c>
      <c r="G3911" s="716" t="s">
        <v>1199</v>
      </c>
      <c r="H3911" s="716" t="s">
        <v>1200</v>
      </c>
    </row>
    <row r="3912" spans="3:11" ht="25.8" customHeight="1">
      <c r="C3912" s="213" t="s">
        <v>1201</v>
      </c>
      <c r="D3912" s="212" t="s">
        <v>1202</v>
      </c>
      <c r="E3912" s="534"/>
      <c r="F3912" s="534"/>
      <c r="G3912" s="534"/>
      <c r="H3912" s="534"/>
    </row>
    <row r="3913" spans="3:11" ht="25.8" customHeight="1">
      <c r="C3913" s="818">
        <v>1</v>
      </c>
      <c r="D3913" s="212" t="s">
        <v>5</v>
      </c>
      <c r="E3913" s="212" t="s">
        <v>6</v>
      </c>
      <c r="F3913" s="538">
        <v>0.11899999999999999</v>
      </c>
      <c r="G3913" s="539">
        <f>VLOOKUP(D3913,upahbahan,3,FALSE)</f>
        <v>100000</v>
      </c>
      <c r="H3913" s="539">
        <f t="shared" ref="H3913:H3916" si="417">F3913*G3913</f>
        <v>11900</v>
      </c>
    </row>
    <row r="3914" spans="3:11" ht="25.8" customHeight="1">
      <c r="C3914" s="818">
        <v>2</v>
      </c>
      <c r="D3914" s="212" t="s">
        <v>3295</v>
      </c>
      <c r="E3914" s="212" t="s">
        <v>6</v>
      </c>
      <c r="F3914" s="538">
        <v>0.19900000000000001</v>
      </c>
      <c r="G3914" s="539">
        <f>VLOOKUP(D3914,upahbahan,3,FALSE)</f>
        <v>135000</v>
      </c>
      <c r="H3914" s="539">
        <f t="shared" si="417"/>
        <v>26865</v>
      </c>
    </row>
    <row r="3915" spans="3:11" ht="25.8" customHeight="1">
      <c r="C3915" s="818">
        <v>3</v>
      </c>
      <c r="D3915" s="212" t="s">
        <v>18</v>
      </c>
      <c r="E3915" s="212" t="s">
        <v>6</v>
      </c>
      <c r="F3915" s="538">
        <v>0.02</v>
      </c>
      <c r="G3915" s="539">
        <f>VLOOKUP(D3915,upahbahan,3,FALSE)</f>
        <v>150000</v>
      </c>
      <c r="H3915" s="539">
        <f t="shared" si="417"/>
        <v>3000</v>
      </c>
    </row>
    <row r="3916" spans="3:11" ht="25.8" customHeight="1">
      <c r="C3916" s="818">
        <v>4</v>
      </c>
      <c r="D3916" s="212" t="s">
        <v>19</v>
      </c>
      <c r="E3916" s="212" t="s">
        <v>6</v>
      </c>
      <c r="F3916" s="538">
        <v>7.0000000000000001E-3</v>
      </c>
      <c r="G3916" s="539">
        <f>VLOOKUP(D3916,upahbahan,3,FALSE)</f>
        <v>160000</v>
      </c>
      <c r="H3916" s="539">
        <f t="shared" si="417"/>
        <v>1120</v>
      </c>
    </row>
    <row r="3917" spans="3:11" ht="25.8" customHeight="1">
      <c r="C3917" s="702" t="s">
        <v>1208</v>
      </c>
      <c r="D3917" s="208"/>
      <c r="E3917" s="208"/>
      <c r="F3917" s="811"/>
      <c r="G3917" s="522"/>
      <c r="H3917" s="539">
        <f>SUM(H3913:H3916)</f>
        <v>42885</v>
      </c>
      <c r="I3917" s="819"/>
    </row>
    <row r="3918" spans="3:11" ht="25.8" customHeight="1">
      <c r="C3918" s="213" t="s">
        <v>1209</v>
      </c>
      <c r="D3918" s="212" t="s">
        <v>1210</v>
      </c>
      <c r="E3918" s="534"/>
      <c r="F3918" s="831"/>
      <c r="G3918" s="534"/>
      <c r="H3918" s="534"/>
    </row>
    <row r="3919" spans="3:11" ht="25.8" customHeight="1">
      <c r="C3919" s="833" t="s">
        <v>1203</v>
      </c>
      <c r="D3919" s="212" t="s">
        <v>7965</v>
      </c>
      <c r="E3919" s="807" t="s">
        <v>135</v>
      </c>
      <c r="F3919" s="832">
        <v>1.2</v>
      </c>
      <c r="G3919" s="539">
        <f>VLOOKUP(D3919,upahbahan,3,FALSE)</f>
        <v>0</v>
      </c>
      <c r="H3919" s="539">
        <f t="shared" ref="H3919" si="418">F3919*G3919</f>
        <v>0</v>
      </c>
    </row>
    <row r="3920" spans="3:11" ht="25.8" customHeight="1">
      <c r="C3920" s="702" t="s">
        <v>1214</v>
      </c>
      <c r="D3920" s="208"/>
      <c r="E3920" s="208"/>
      <c r="F3920" s="208"/>
      <c r="G3920" s="209"/>
      <c r="H3920" s="539">
        <f>SUM(H3919:H3919)</f>
        <v>0</v>
      </c>
    </row>
    <row r="3921" spans="3:11" ht="25.8" customHeight="1">
      <c r="C3921" s="213" t="s">
        <v>1215</v>
      </c>
      <c r="D3921" s="212" t="s">
        <v>1216</v>
      </c>
      <c r="E3921" s="534"/>
      <c r="F3921" s="534"/>
      <c r="G3921" s="534"/>
      <c r="H3921" s="534"/>
    </row>
    <row r="3922" spans="3:11" ht="25.8" customHeight="1">
      <c r="C3922" s="702" t="s">
        <v>1217</v>
      </c>
      <c r="D3922" s="208"/>
      <c r="E3922" s="208"/>
      <c r="F3922" s="208"/>
      <c r="G3922" s="209"/>
      <c r="H3922" s="821">
        <v>0</v>
      </c>
    </row>
    <row r="3923" spans="3:11" ht="25.8" customHeight="1">
      <c r="C3923" s="566" t="s">
        <v>1218</v>
      </c>
      <c r="D3923" s="552" t="s">
        <v>1219</v>
      </c>
      <c r="E3923" s="553"/>
      <c r="F3923" s="553"/>
      <c r="G3923" s="554"/>
      <c r="H3923" s="826">
        <f>H3922+H3920+H3917</f>
        <v>42885</v>
      </c>
      <c r="I3923" s="827"/>
    </row>
    <row r="3924" spans="3:11" ht="25.8" customHeight="1">
      <c r="C3924" s="566" t="s">
        <v>1220</v>
      </c>
      <c r="D3924" s="552" t="s">
        <v>1321</v>
      </c>
      <c r="E3924" s="553"/>
      <c r="F3924" s="554"/>
      <c r="G3924" s="555">
        <f>$M$9</f>
        <v>0.1</v>
      </c>
      <c r="H3924" s="539">
        <f>H3923*G3924</f>
        <v>4288.5</v>
      </c>
      <c r="I3924" s="827"/>
    </row>
    <row r="3925" spans="3:11" ht="25.8" customHeight="1">
      <c r="C3925" s="566" t="s">
        <v>1221</v>
      </c>
      <c r="D3925" s="552" t="s">
        <v>1222</v>
      </c>
      <c r="E3925" s="553"/>
      <c r="F3925" s="553"/>
      <c r="G3925" s="554"/>
      <c r="H3925" s="828">
        <f>SUM(H3923:H3924)</f>
        <v>47173.5</v>
      </c>
      <c r="I3925" s="827"/>
    </row>
    <row r="3926" spans="3:11" ht="25.8" customHeight="1">
      <c r="C3926" s="572"/>
      <c r="D3926" s="575"/>
      <c r="E3926" s="575"/>
      <c r="F3926" s="575"/>
      <c r="G3926" s="575"/>
      <c r="H3926" s="830"/>
    </row>
    <row r="3927" spans="3:11" ht="25.8" customHeight="1">
      <c r="C3927" s="513" t="s">
        <v>7966</v>
      </c>
      <c r="D3927" s="817" t="s">
        <v>7967</v>
      </c>
      <c r="E3927" s="803"/>
      <c r="F3927" s="803"/>
      <c r="G3927" s="803"/>
      <c r="H3927" s="803"/>
      <c r="I3927" s="533">
        <f>ROUNDDOWN(H3942,-2)</f>
        <v>47100</v>
      </c>
      <c r="J3927" s="536" t="s">
        <v>7804</v>
      </c>
      <c r="K3927" s="824"/>
    </row>
    <row r="3928" spans="3:11" ht="25.8" customHeight="1">
      <c r="C3928" s="716" t="s">
        <v>1195</v>
      </c>
      <c r="D3928" s="716" t="s">
        <v>1196</v>
      </c>
      <c r="E3928" s="716" t="s">
        <v>1197</v>
      </c>
      <c r="F3928" s="716" t="s">
        <v>1198</v>
      </c>
      <c r="G3928" s="716" t="s">
        <v>1199</v>
      </c>
      <c r="H3928" s="716" t="s">
        <v>1200</v>
      </c>
    </row>
    <row r="3929" spans="3:11" ht="25.8" customHeight="1">
      <c r="C3929" s="213" t="s">
        <v>1201</v>
      </c>
      <c r="D3929" s="212" t="s">
        <v>1202</v>
      </c>
      <c r="E3929" s="534"/>
      <c r="F3929" s="534"/>
      <c r="G3929" s="534"/>
      <c r="H3929" s="534"/>
    </row>
    <row r="3930" spans="3:11" ht="25.8" customHeight="1">
      <c r="C3930" s="818">
        <v>1</v>
      </c>
      <c r="D3930" s="212" t="s">
        <v>5</v>
      </c>
      <c r="E3930" s="212" t="s">
        <v>6</v>
      </c>
      <c r="F3930" s="538">
        <v>0.11899999999999999</v>
      </c>
      <c r="G3930" s="539">
        <f>VLOOKUP(D3930,upahbahan,3,FALSE)</f>
        <v>100000</v>
      </c>
      <c r="H3930" s="539">
        <f t="shared" ref="H3930:H3933" si="419">F3930*G3930</f>
        <v>11900</v>
      </c>
    </row>
    <row r="3931" spans="3:11" ht="25.8" customHeight="1">
      <c r="C3931" s="818">
        <v>2</v>
      </c>
      <c r="D3931" s="212" t="s">
        <v>3295</v>
      </c>
      <c r="E3931" s="212" t="s">
        <v>6</v>
      </c>
      <c r="F3931" s="538">
        <v>0.19900000000000001</v>
      </c>
      <c r="G3931" s="539">
        <f>VLOOKUP(D3931,upahbahan,3,FALSE)</f>
        <v>135000</v>
      </c>
      <c r="H3931" s="539">
        <f t="shared" si="419"/>
        <v>26865</v>
      </c>
    </row>
    <row r="3932" spans="3:11" ht="25.8" customHeight="1">
      <c r="C3932" s="818">
        <v>3</v>
      </c>
      <c r="D3932" s="212" t="s">
        <v>18</v>
      </c>
      <c r="E3932" s="212" t="s">
        <v>6</v>
      </c>
      <c r="F3932" s="538">
        <v>0.02</v>
      </c>
      <c r="G3932" s="539">
        <f>VLOOKUP(D3932,upahbahan,3,FALSE)</f>
        <v>150000</v>
      </c>
      <c r="H3932" s="539">
        <f t="shared" si="419"/>
        <v>3000</v>
      </c>
    </row>
    <row r="3933" spans="3:11" ht="25.8" customHeight="1">
      <c r="C3933" s="818">
        <v>4</v>
      </c>
      <c r="D3933" s="212" t="s">
        <v>19</v>
      </c>
      <c r="E3933" s="212" t="s">
        <v>6</v>
      </c>
      <c r="F3933" s="538">
        <v>7.0000000000000001E-3</v>
      </c>
      <c r="G3933" s="539">
        <f>VLOOKUP(D3933,upahbahan,3,FALSE)</f>
        <v>160000</v>
      </c>
      <c r="H3933" s="539">
        <f t="shared" si="419"/>
        <v>1120</v>
      </c>
    </row>
    <row r="3934" spans="3:11" ht="25.8" customHeight="1">
      <c r="C3934" s="702" t="s">
        <v>1208</v>
      </c>
      <c r="D3934" s="208"/>
      <c r="E3934" s="208"/>
      <c r="F3934" s="811"/>
      <c r="G3934" s="522"/>
      <c r="H3934" s="539">
        <f>SUM(H3930:H3933)</f>
        <v>42885</v>
      </c>
      <c r="I3934" s="819"/>
    </row>
    <row r="3935" spans="3:11" ht="25.8" customHeight="1">
      <c r="C3935" s="213" t="s">
        <v>1209</v>
      </c>
      <c r="D3935" s="212" t="s">
        <v>1210</v>
      </c>
      <c r="E3935" s="534"/>
      <c r="F3935" s="831"/>
      <c r="G3935" s="534"/>
      <c r="H3935" s="534"/>
    </row>
    <row r="3936" spans="3:11" ht="25.8" customHeight="1">
      <c r="C3936" s="833" t="s">
        <v>1203</v>
      </c>
      <c r="D3936" s="212" t="s">
        <v>7968</v>
      </c>
      <c r="E3936" s="807" t="s">
        <v>135</v>
      </c>
      <c r="F3936" s="832">
        <v>1.2</v>
      </c>
      <c r="G3936" s="539">
        <f>VLOOKUP(D3936,upahbahan,3,FALSE)</f>
        <v>0</v>
      </c>
      <c r="H3936" s="539">
        <f t="shared" ref="H3936" si="420">F3936*G3936</f>
        <v>0</v>
      </c>
    </row>
    <row r="3937" spans="3:11" ht="25.8" customHeight="1">
      <c r="C3937" s="702" t="s">
        <v>1214</v>
      </c>
      <c r="D3937" s="208"/>
      <c r="E3937" s="208"/>
      <c r="F3937" s="208"/>
      <c r="G3937" s="209"/>
      <c r="H3937" s="539">
        <f>SUM(H3936:H3936)</f>
        <v>0</v>
      </c>
    </row>
    <row r="3938" spans="3:11" ht="25.8" customHeight="1">
      <c r="C3938" s="213" t="s">
        <v>1215</v>
      </c>
      <c r="D3938" s="212" t="s">
        <v>1216</v>
      </c>
      <c r="E3938" s="534"/>
      <c r="F3938" s="534"/>
      <c r="G3938" s="534"/>
      <c r="H3938" s="534"/>
    </row>
    <row r="3939" spans="3:11" ht="25.8" customHeight="1">
      <c r="C3939" s="702" t="s">
        <v>1217</v>
      </c>
      <c r="D3939" s="208"/>
      <c r="E3939" s="208"/>
      <c r="F3939" s="208"/>
      <c r="G3939" s="209"/>
      <c r="H3939" s="821">
        <v>0</v>
      </c>
    </row>
    <row r="3940" spans="3:11" ht="25.8" customHeight="1">
      <c r="C3940" s="566" t="s">
        <v>1218</v>
      </c>
      <c r="D3940" s="552" t="s">
        <v>1219</v>
      </c>
      <c r="E3940" s="553"/>
      <c r="F3940" s="553"/>
      <c r="G3940" s="554"/>
      <c r="H3940" s="826">
        <f>H3939+H3937+H3934</f>
        <v>42885</v>
      </c>
      <c r="I3940" s="827"/>
    </row>
    <row r="3941" spans="3:11" ht="25.8" customHeight="1">
      <c r="C3941" s="566" t="s">
        <v>1220</v>
      </c>
      <c r="D3941" s="552" t="s">
        <v>1321</v>
      </c>
      <c r="E3941" s="553"/>
      <c r="F3941" s="554"/>
      <c r="G3941" s="555">
        <f>$M$9</f>
        <v>0.1</v>
      </c>
      <c r="H3941" s="539">
        <f>H3940*G3941</f>
        <v>4288.5</v>
      </c>
      <c r="I3941" s="827"/>
    </row>
    <row r="3942" spans="3:11" ht="25.8" customHeight="1">
      <c r="C3942" s="566" t="s">
        <v>1221</v>
      </c>
      <c r="D3942" s="552" t="s">
        <v>1222</v>
      </c>
      <c r="E3942" s="553"/>
      <c r="F3942" s="553"/>
      <c r="G3942" s="554"/>
      <c r="H3942" s="828">
        <f>SUM(H3940:H3941)</f>
        <v>47173.5</v>
      </c>
      <c r="I3942" s="827"/>
    </row>
    <row r="3943" spans="3:11" ht="25.8" customHeight="1">
      <c r="C3943" s="572"/>
      <c r="D3943" s="575"/>
      <c r="E3943" s="575"/>
      <c r="F3943" s="575"/>
      <c r="G3943" s="575"/>
      <c r="H3943" s="830"/>
    </row>
    <row r="3944" spans="3:11" ht="25.8" customHeight="1">
      <c r="C3944" s="513" t="s">
        <v>7969</v>
      </c>
      <c r="D3944" s="817" t="s">
        <v>7970</v>
      </c>
      <c r="E3944" s="803"/>
      <c r="F3944" s="803"/>
      <c r="G3944" s="803"/>
      <c r="H3944" s="803"/>
      <c r="I3944" s="533">
        <f>ROUNDDOWN(H3959,-2)</f>
        <v>47100</v>
      </c>
      <c r="J3944" s="536" t="s">
        <v>7804</v>
      </c>
      <c r="K3944" s="824"/>
    </row>
    <row r="3945" spans="3:11" ht="25.8" customHeight="1">
      <c r="C3945" s="716" t="s">
        <v>1195</v>
      </c>
      <c r="D3945" s="716" t="s">
        <v>1196</v>
      </c>
      <c r="E3945" s="716" t="s">
        <v>1197</v>
      </c>
      <c r="F3945" s="716" t="s">
        <v>1198</v>
      </c>
      <c r="G3945" s="716" t="s">
        <v>1199</v>
      </c>
      <c r="H3945" s="716" t="s">
        <v>1200</v>
      </c>
    </row>
    <row r="3946" spans="3:11" ht="25.8" customHeight="1">
      <c r="C3946" s="213" t="s">
        <v>1201</v>
      </c>
      <c r="D3946" s="212" t="s">
        <v>1202</v>
      </c>
      <c r="E3946" s="534"/>
      <c r="F3946" s="534"/>
      <c r="G3946" s="534"/>
      <c r="H3946" s="534"/>
    </row>
    <row r="3947" spans="3:11" ht="25.8" customHeight="1">
      <c r="C3947" s="818">
        <v>1</v>
      </c>
      <c r="D3947" s="212" t="s">
        <v>5</v>
      </c>
      <c r="E3947" s="212" t="s">
        <v>6</v>
      </c>
      <c r="F3947" s="538">
        <v>0.11899999999999999</v>
      </c>
      <c r="G3947" s="539">
        <f>VLOOKUP(D3947,upahbahan,3,FALSE)</f>
        <v>100000</v>
      </c>
      <c r="H3947" s="539">
        <f t="shared" ref="H3947:H3950" si="421">F3947*G3947</f>
        <v>11900</v>
      </c>
    </row>
    <row r="3948" spans="3:11" ht="25.8" customHeight="1">
      <c r="C3948" s="818">
        <v>2</v>
      </c>
      <c r="D3948" s="212" t="s">
        <v>3295</v>
      </c>
      <c r="E3948" s="212" t="s">
        <v>6</v>
      </c>
      <c r="F3948" s="538">
        <v>0.19900000000000001</v>
      </c>
      <c r="G3948" s="539">
        <f>VLOOKUP(D3948,upahbahan,3,FALSE)</f>
        <v>135000</v>
      </c>
      <c r="H3948" s="539">
        <f t="shared" si="421"/>
        <v>26865</v>
      </c>
    </row>
    <row r="3949" spans="3:11" ht="25.8" customHeight="1">
      <c r="C3949" s="818">
        <v>3</v>
      </c>
      <c r="D3949" s="212" t="s">
        <v>18</v>
      </c>
      <c r="E3949" s="212" t="s">
        <v>6</v>
      </c>
      <c r="F3949" s="538">
        <v>0.02</v>
      </c>
      <c r="G3949" s="539">
        <f>VLOOKUP(D3949,upahbahan,3,FALSE)</f>
        <v>150000</v>
      </c>
      <c r="H3949" s="539">
        <f t="shared" si="421"/>
        <v>3000</v>
      </c>
    </row>
    <row r="3950" spans="3:11" ht="25.8" customHeight="1">
      <c r="C3950" s="818">
        <v>4</v>
      </c>
      <c r="D3950" s="212" t="s">
        <v>19</v>
      </c>
      <c r="E3950" s="212" t="s">
        <v>6</v>
      </c>
      <c r="F3950" s="538">
        <v>7.0000000000000001E-3</v>
      </c>
      <c r="G3950" s="539">
        <f>VLOOKUP(D3950,upahbahan,3,FALSE)</f>
        <v>160000</v>
      </c>
      <c r="H3950" s="539">
        <f t="shared" si="421"/>
        <v>1120</v>
      </c>
    </row>
    <row r="3951" spans="3:11" ht="25.8" customHeight="1">
      <c r="C3951" s="702" t="s">
        <v>1208</v>
      </c>
      <c r="D3951" s="208"/>
      <c r="E3951" s="208"/>
      <c r="F3951" s="811"/>
      <c r="G3951" s="522"/>
      <c r="H3951" s="539">
        <f>SUM(H3947:H3950)</f>
        <v>42885</v>
      </c>
      <c r="I3951" s="819"/>
    </row>
    <row r="3952" spans="3:11" ht="25.8" customHeight="1">
      <c r="C3952" s="213" t="s">
        <v>1209</v>
      </c>
      <c r="D3952" s="212" t="s">
        <v>1210</v>
      </c>
      <c r="E3952" s="534"/>
      <c r="F3952" s="831"/>
      <c r="G3952" s="534"/>
      <c r="H3952" s="534"/>
    </row>
    <row r="3953" spans="3:11" ht="25.8" customHeight="1">
      <c r="C3953" s="833" t="s">
        <v>1203</v>
      </c>
      <c r="D3953" s="212" t="s">
        <v>7971</v>
      </c>
      <c r="E3953" s="807" t="s">
        <v>135</v>
      </c>
      <c r="F3953" s="832">
        <v>1.2</v>
      </c>
      <c r="G3953" s="539">
        <f>VLOOKUP(D3953,upahbahan,3,FALSE)</f>
        <v>0</v>
      </c>
      <c r="H3953" s="539">
        <f t="shared" ref="H3953" si="422">F3953*G3953</f>
        <v>0</v>
      </c>
    </row>
    <row r="3954" spans="3:11" ht="25.8" customHeight="1">
      <c r="C3954" s="702" t="s">
        <v>1214</v>
      </c>
      <c r="D3954" s="208"/>
      <c r="E3954" s="208"/>
      <c r="F3954" s="208"/>
      <c r="G3954" s="209"/>
      <c r="H3954" s="539">
        <f>SUM(H3953:H3953)</f>
        <v>0</v>
      </c>
    </row>
    <row r="3955" spans="3:11" ht="25.8" customHeight="1">
      <c r="C3955" s="213" t="s">
        <v>1215</v>
      </c>
      <c r="D3955" s="212" t="s">
        <v>1216</v>
      </c>
      <c r="E3955" s="534"/>
      <c r="F3955" s="534"/>
      <c r="G3955" s="534"/>
      <c r="H3955" s="534"/>
    </row>
    <row r="3956" spans="3:11" ht="25.8" customHeight="1">
      <c r="C3956" s="702" t="s">
        <v>1217</v>
      </c>
      <c r="D3956" s="208"/>
      <c r="E3956" s="208"/>
      <c r="F3956" s="208"/>
      <c r="G3956" s="209"/>
      <c r="H3956" s="821">
        <v>0</v>
      </c>
    </row>
    <row r="3957" spans="3:11" ht="25.8" customHeight="1">
      <c r="C3957" s="566" t="s">
        <v>1218</v>
      </c>
      <c r="D3957" s="552" t="s">
        <v>1219</v>
      </c>
      <c r="E3957" s="553"/>
      <c r="F3957" s="553"/>
      <c r="G3957" s="554"/>
      <c r="H3957" s="826">
        <f>H3956+H3954+H3951</f>
        <v>42885</v>
      </c>
      <c r="I3957" s="827"/>
    </row>
    <row r="3958" spans="3:11" ht="25.8" customHeight="1">
      <c r="C3958" s="566" t="s">
        <v>1220</v>
      </c>
      <c r="D3958" s="552" t="s">
        <v>1321</v>
      </c>
      <c r="E3958" s="553"/>
      <c r="F3958" s="554"/>
      <c r="G3958" s="555">
        <f>$M$9</f>
        <v>0.1</v>
      </c>
      <c r="H3958" s="539">
        <f>H3957*G3958</f>
        <v>4288.5</v>
      </c>
      <c r="I3958" s="827"/>
    </row>
    <row r="3959" spans="3:11" ht="25.8" customHeight="1">
      <c r="C3959" s="566" t="s">
        <v>1221</v>
      </c>
      <c r="D3959" s="552" t="s">
        <v>1222</v>
      </c>
      <c r="E3959" s="553"/>
      <c r="F3959" s="553"/>
      <c r="G3959" s="554"/>
      <c r="H3959" s="828">
        <f>SUM(H3957:H3958)</f>
        <v>47173.5</v>
      </c>
      <c r="I3959" s="827"/>
    </row>
    <row r="3960" spans="3:11" ht="25.8" customHeight="1">
      <c r="C3960" s="572"/>
      <c r="D3960" s="575"/>
      <c r="E3960" s="575"/>
      <c r="F3960" s="575"/>
      <c r="G3960" s="575"/>
      <c r="H3960" s="830"/>
    </row>
    <row r="3961" spans="3:11" ht="25.8" customHeight="1">
      <c r="C3961" s="513" t="s">
        <v>7972</v>
      </c>
      <c r="D3961" s="817" t="s">
        <v>7973</v>
      </c>
      <c r="E3961" s="803"/>
      <c r="F3961" s="803"/>
      <c r="G3961" s="803"/>
      <c r="H3961" s="803"/>
      <c r="I3961" s="533">
        <f>ROUNDDOWN(H3976,-2)</f>
        <v>47100</v>
      </c>
      <c r="J3961" s="536" t="s">
        <v>7804</v>
      </c>
      <c r="K3961" s="824"/>
    </row>
    <row r="3962" spans="3:11" ht="25.8" customHeight="1">
      <c r="C3962" s="716" t="s">
        <v>1195</v>
      </c>
      <c r="D3962" s="716" t="s">
        <v>1196</v>
      </c>
      <c r="E3962" s="716" t="s">
        <v>1197</v>
      </c>
      <c r="F3962" s="716" t="s">
        <v>1198</v>
      </c>
      <c r="G3962" s="716" t="s">
        <v>1199</v>
      </c>
      <c r="H3962" s="716" t="s">
        <v>1200</v>
      </c>
    </row>
    <row r="3963" spans="3:11" ht="25.8" customHeight="1">
      <c r="C3963" s="213" t="s">
        <v>1201</v>
      </c>
      <c r="D3963" s="212" t="s">
        <v>1202</v>
      </c>
      <c r="E3963" s="534"/>
      <c r="F3963" s="534"/>
      <c r="G3963" s="534"/>
      <c r="H3963" s="534"/>
    </row>
    <row r="3964" spans="3:11" ht="25.8" customHeight="1">
      <c r="C3964" s="818">
        <v>1</v>
      </c>
      <c r="D3964" s="212" t="s">
        <v>5</v>
      </c>
      <c r="E3964" s="212" t="s">
        <v>6</v>
      </c>
      <c r="F3964" s="538">
        <v>0.11899999999999999</v>
      </c>
      <c r="G3964" s="539">
        <f>VLOOKUP(D3964,upahbahan,3,FALSE)</f>
        <v>100000</v>
      </c>
      <c r="H3964" s="539">
        <f t="shared" ref="H3964:H3967" si="423">F3964*G3964</f>
        <v>11900</v>
      </c>
    </row>
    <row r="3965" spans="3:11" ht="25.8" customHeight="1">
      <c r="C3965" s="818">
        <v>2</v>
      </c>
      <c r="D3965" s="212" t="s">
        <v>3295</v>
      </c>
      <c r="E3965" s="212" t="s">
        <v>6</v>
      </c>
      <c r="F3965" s="538">
        <v>0.19900000000000001</v>
      </c>
      <c r="G3965" s="539">
        <f>VLOOKUP(D3965,upahbahan,3,FALSE)</f>
        <v>135000</v>
      </c>
      <c r="H3965" s="539">
        <f t="shared" si="423"/>
        <v>26865</v>
      </c>
    </row>
    <row r="3966" spans="3:11" ht="25.8" customHeight="1">
      <c r="C3966" s="818">
        <v>3</v>
      </c>
      <c r="D3966" s="212" t="s">
        <v>18</v>
      </c>
      <c r="E3966" s="212" t="s">
        <v>6</v>
      </c>
      <c r="F3966" s="538">
        <v>0.02</v>
      </c>
      <c r="G3966" s="539">
        <f>VLOOKUP(D3966,upahbahan,3,FALSE)</f>
        <v>150000</v>
      </c>
      <c r="H3966" s="539">
        <f t="shared" si="423"/>
        <v>3000</v>
      </c>
    </row>
    <row r="3967" spans="3:11" ht="25.8" customHeight="1">
      <c r="C3967" s="818">
        <v>4</v>
      </c>
      <c r="D3967" s="212" t="s">
        <v>19</v>
      </c>
      <c r="E3967" s="212" t="s">
        <v>6</v>
      </c>
      <c r="F3967" s="538">
        <v>7.0000000000000001E-3</v>
      </c>
      <c r="G3967" s="539">
        <f>VLOOKUP(D3967,upahbahan,3,FALSE)</f>
        <v>160000</v>
      </c>
      <c r="H3967" s="539">
        <f t="shared" si="423"/>
        <v>1120</v>
      </c>
    </row>
    <row r="3968" spans="3:11" ht="25.8" customHeight="1">
      <c r="C3968" s="702" t="s">
        <v>1208</v>
      </c>
      <c r="D3968" s="208"/>
      <c r="E3968" s="208"/>
      <c r="F3968" s="811"/>
      <c r="G3968" s="522"/>
      <c r="H3968" s="539">
        <f>SUM(H3964:H3967)</f>
        <v>42885</v>
      </c>
      <c r="I3968" s="819"/>
    </row>
    <row r="3969" spans="3:11" ht="25.8" customHeight="1">
      <c r="C3969" s="213" t="s">
        <v>1209</v>
      </c>
      <c r="D3969" s="212" t="s">
        <v>1210</v>
      </c>
      <c r="E3969" s="534"/>
      <c r="F3969" s="831"/>
      <c r="G3969" s="534"/>
      <c r="H3969" s="534"/>
    </row>
    <row r="3970" spans="3:11" ht="25.8" customHeight="1">
      <c r="C3970" s="833" t="s">
        <v>1203</v>
      </c>
      <c r="D3970" s="212" t="s">
        <v>7974</v>
      </c>
      <c r="E3970" s="807" t="s">
        <v>135</v>
      </c>
      <c r="F3970" s="832">
        <v>1.2</v>
      </c>
      <c r="G3970" s="539">
        <f>VLOOKUP(D3970,upahbahan,3,FALSE)</f>
        <v>0</v>
      </c>
      <c r="H3970" s="539">
        <f t="shared" ref="H3970" si="424">F3970*G3970</f>
        <v>0</v>
      </c>
    </row>
    <row r="3971" spans="3:11" ht="25.8" customHeight="1">
      <c r="C3971" s="702" t="s">
        <v>1214</v>
      </c>
      <c r="D3971" s="208"/>
      <c r="E3971" s="208"/>
      <c r="F3971" s="208"/>
      <c r="G3971" s="209"/>
      <c r="H3971" s="539">
        <f>SUM(H3970:H3970)</f>
        <v>0</v>
      </c>
    </row>
    <row r="3972" spans="3:11" ht="25.8" customHeight="1">
      <c r="C3972" s="213" t="s">
        <v>1215</v>
      </c>
      <c r="D3972" s="212" t="s">
        <v>1216</v>
      </c>
      <c r="E3972" s="534"/>
      <c r="F3972" s="534"/>
      <c r="G3972" s="534"/>
      <c r="H3972" s="534"/>
    </row>
    <row r="3973" spans="3:11" ht="25.8" customHeight="1">
      <c r="C3973" s="702" t="s">
        <v>1217</v>
      </c>
      <c r="D3973" s="208"/>
      <c r="E3973" s="208"/>
      <c r="F3973" s="208"/>
      <c r="G3973" s="209"/>
      <c r="H3973" s="821">
        <v>0</v>
      </c>
    </row>
    <row r="3974" spans="3:11" ht="25.8" customHeight="1">
      <c r="C3974" s="566" t="s">
        <v>1218</v>
      </c>
      <c r="D3974" s="552" t="s">
        <v>1219</v>
      </c>
      <c r="E3974" s="553"/>
      <c r="F3974" s="553"/>
      <c r="G3974" s="554"/>
      <c r="H3974" s="826">
        <f>H3973+H3971+H3968</f>
        <v>42885</v>
      </c>
      <c r="I3974" s="827"/>
    </row>
    <row r="3975" spans="3:11" ht="25.8" customHeight="1">
      <c r="C3975" s="566" t="s">
        <v>1220</v>
      </c>
      <c r="D3975" s="552" t="s">
        <v>1321</v>
      </c>
      <c r="E3975" s="553"/>
      <c r="F3975" s="554"/>
      <c r="G3975" s="555">
        <f>$M$9</f>
        <v>0.1</v>
      </c>
      <c r="H3975" s="539">
        <f>H3974*G3975</f>
        <v>4288.5</v>
      </c>
      <c r="I3975" s="827"/>
    </row>
    <row r="3976" spans="3:11" ht="25.8" customHeight="1">
      <c r="C3976" s="566" t="s">
        <v>1221</v>
      </c>
      <c r="D3976" s="552" t="s">
        <v>1222</v>
      </c>
      <c r="E3976" s="553"/>
      <c r="F3976" s="553"/>
      <c r="G3976" s="554"/>
      <c r="H3976" s="828">
        <f>SUM(H3974:H3975)</f>
        <v>47173.5</v>
      </c>
      <c r="I3976" s="827"/>
    </row>
    <row r="3977" spans="3:11" ht="25.8" customHeight="1">
      <c r="C3977" s="572"/>
      <c r="D3977" s="575"/>
      <c r="E3977" s="575"/>
      <c r="F3977" s="575"/>
      <c r="G3977" s="575"/>
      <c r="H3977" s="830"/>
    </row>
    <row r="3978" spans="3:11" ht="25.8" customHeight="1">
      <c r="C3978" s="513" t="s">
        <v>7975</v>
      </c>
      <c r="D3978" s="817" t="s">
        <v>7976</v>
      </c>
      <c r="E3978" s="803"/>
      <c r="F3978" s="803"/>
      <c r="G3978" s="803"/>
      <c r="H3978" s="803"/>
      <c r="I3978" s="533">
        <f>ROUNDDOWN(H3993,-2)</f>
        <v>47100</v>
      </c>
      <c r="J3978" s="536" t="s">
        <v>7804</v>
      </c>
      <c r="K3978" s="824"/>
    </row>
    <row r="3979" spans="3:11" ht="25.8" customHeight="1">
      <c r="C3979" s="716" t="s">
        <v>1195</v>
      </c>
      <c r="D3979" s="716" t="s">
        <v>1196</v>
      </c>
      <c r="E3979" s="716" t="s">
        <v>1197</v>
      </c>
      <c r="F3979" s="716" t="s">
        <v>1198</v>
      </c>
      <c r="G3979" s="716" t="s">
        <v>1199</v>
      </c>
      <c r="H3979" s="716" t="s">
        <v>1200</v>
      </c>
    </row>
    <row r="3980" spans="3:11" ht="25.8" customHeight="1">
      <c r="C3980" s="213" t="s">
        <v>1201</v>
      </c>
      <c r="D3980" s="212" t="s">
        <v>1202</v>
      </c>
      <c r="E3980" s="534"/>
      <c r="F3980" s="534"/>
      <c r="G3980" s="534"/>
      <c r="H3980" s="534"/>
    </row>
    <row r="3981" spans="3:11" ht="25.8" customHeight="1">
      <c r="C3981" s="818">
        <v>1</v>
      </c>
      <c r="D3981" s="212" t="s">
        <v>5</v>
      </c>
      <c r="E3981" s="212" t="s">
        <v>6</v>
      </c>
      <c r="F3981" s="538">
        <v>0.11899999999999999</v>
      </c>
      <c r="G3981" s="539">
        <f>VLOOKUP(D3981,upahbahan,3,FALSE)</f>
        <v>100000</v>
      </c>
      <c r="H3981" s="539">
        <f t="shared" ref="H3981:H3984" si="425">F3981*G3981</f>
        <v>11900</v>
      </c>
    </row>
    <row r="3982" spans="3:11" ht="25.8" customHeight="1">
      <c r="C3982" s="818">
        <v>2</v>
      </c>
      <c r="D3982" s="212" t="s">
        <v>3295</v>
      </c>
      <c r="E3982" s="212" t="s">
        <v>6</v>
      </c>
      <c r="F3982" s="538">
        <v>0.19900000000000001</v>
      </c>
      <c r="G3982" s="539">
        <f>VLOOKUP(D3982,upahbahan,3,FALSE)</f>
        <v>135000</v>
      </c>
      <c r="H3982" s="539">
        <f t="shared" si="425"/>
        <v>26865</v>
      </c>
    </row>
    <row r="3983" spans="3:11" ht="25.8" customHeight="1">
      <c r="C3983" s="818">
        <v>3</v>
      </c>
      <c r="D3983" s="212" t="s">
        <v>18</v>
      </c>
      <c r="E3983" s="212" t="s">
        <v>6</v>
      </c>
      <c r="F3983" s="538">
        <v>0.02</v>
      </c>
      <c r="G3983" s="539">
        <f>VLOOKUP(D3983,upahbahan,3,FALSE)</f>
        <v>150000</v>
      </c>
      <c r="H3983" s="539">
        <f t="shared" si="425"/>
        <v>3000</v>
      </c>
    </row>
    <row r="3984" spans="3:11" ht="25.8" customHeight="1">
      <c r="C3984" s="818">
        <v>4</v>
      </c>
      <c r="D3984" s="212" t="s">
        <v>19</v>
      </c>
      <c r="E3984" s="212" t="s">
        <v>6</v>
      </c>
      <c r="F3984" s="538">
        <v>7.0000000000000001E-3</v>
      </c>
      <c r="G3984" s="539">
        <f>VLOOKUP(D3984,upahbahan,3,FALSE)</f>
        <v>160000</v>
      </c>
      <c r="H3984" s="539">
        <f t="shared" si="425"/>
        <v>1120</v>
      </c>
    </row>
    <row r="3985" spans="3:11" ht="25.8" customHeight="1">
      <c r="C3985" s="702" t="s">
        <v>1208</v>
      </c>
      <c r="D3985" s="208"/>
      <c r="E3985" s="208"/>
      <c r="F3985" s="811"/>
      <c r="G3985" s="522"/>
      <c r="H3985" s="539">
        <f>SUM(H3981:H3984)</f>
        <v>42885</v>
      </c>
      <c r="I3985" s="819"/>
    </row>
    <row r="3986" spans="3:11" ht="25.8" customHeight="1">
      <c r="C3986" s="213" t="s">
        <v>1209</v>
      </c>
      <c r="D3986" s="212" t="s">
        <v>1210</v>
      </c>
      <c r="E3986" s="534"/>
      <c r="F3986" s="831"/>
      <c r="G3986" s="534"/>
      <c r="H3986" s="534"/>
    </row>
    <row r="3987" spans="3:11" ht="25.8" customHeight="1">
      <c r="C3987" s="833" t="s">
        <v>1203</v>
      </c>
      <c r="D3987" s="212" t="s">
        <v>7977</v>
      </c>
      <c r="E3987" s="807" t="s">
        <v>135</v>
      </c>
      <c r="F3987" s="832">
        <v>1.2</v>
      </c>
      <c r="G3987" s="539">
        <f>VLOOKUP(D3987,upahbahan,3,FALSE)</f>
        <v>0</v>
      </c>
      <c r="H3987" s="539">
        <f t="shared" ref="H3987" si="426">F3987*G3987</f>
        <v>0</v>
      </c>
    </row>
    <row r="3988" spans="3:11" ht="25.8" customHeight="1">
      <c r="C3988" s="702" t="s">
        <v>1214</v>
      </c>
      <c r="D3988" s="208"/>
      <c r="E3988" s="208"/>
      <c r="F3988" s="208"/>
      <c r="G3988" s="209"/>
      <c r="H3988" s="539">
        <f>SUM(H3987:H3987)</f>
        <v>0</v>
      </c>
    </row>
    <row r="3989" spans="3:11" ht="25.8" customHeight="1">
      <c r="C3989" s="213" t="s">
        <v>1215</v>
      </c>
      <c r="D3989" s="212" t="s">
        <v>1216</v>
      </c>
      <c r="E3989" s="534"/>
      <c r="F3989" s="534"/>
      <c r="G3989" s="534"/>
      <c r="H3989" s="534"/>
    </row>
    <row r="3990" spans="3:11" ht="25.8" customHeight="1">
      <c r="C3990" s="702" t="s">
        <v>1217</v>
      </c>
      <c r="D3990" s="208"/>
      <c r="E3990" s="208"/>
      <c r="F3990" s="208"/>
      <c r="G3990" s="209"/>
      <c r="H3990" s="821">
        <v>0</v>
      </c>
    </row>
    <row r="3991" spans="3:11" ht="25.8" customHeight="1">
      <c r="C3991" s="566" t="s">
        <v>1218</v>
      </c>
      <c r="D3991" s="552" t="s">
        <v>1219</v>
      </c>
      <c r="E3991" s="553"/>
      <c r="F3991" s="553"/>
      <c r="G3991" s="554"/>
      <c r="H3991" s="826">
        <f>H3990+H3988+H3985</f>
        <v>42885</v>
      </c>
      <c r="I3991" s="827"/>
    </row>
    <row r="3992" spans="3:11" ht="25.8" customHeight="1">
      <c r="C3992" s="566" t="s">
        <v>1220</v>
      </c>
      <c r="D3992" s="552" t="s">
        <v>1321</v>
      </c>
      <c r="E3992" s="553"/>
      <c r="F3992" s="554"/>
      <c r="G3992" s="555">
        <f>$M$9</f>
        <v>0.1</v>
      </c>
      <c r="H3992" s="539">
        <f>H3991*G3992</f>
        <v>4288.5</v>
      </c>
      <c r="I3992" s="827"/>
    </row>
    <row r="3993" spans="3:11" ht="25.8" customHeight="1">
      <c r="C3993" s="566" t="s">
        <v>1221</v>
      </c>
      <c r="D3993" s="552" t="s">
        <v>1222</v>
      </c>
      <c r="E3993" s="553"/>
      <c r="F3993" s="553"/>
      <c r="G3993" s="554"/>
      <c r="H3993" s="828">
        <f>SUM(H3991:H3992)</f>
        <v>47173.5</v>
      </c>
      <c r="I3993" s="827"/>
    </row>
    <row r="3994" spans="3:11" ht="25.8" customHeight="1">
      <c r="C3994" s="572"/>
      <c r="D3994" s="575"/>
      <c r="E3994" s="575"/>
      <c r="F3994" s="575"/>
      <c r="G3994" s="575"/>
      <c r="H3994" s="830"/>
    </row>
    <row r="3995" spans="3:11" ht="25.8" customHeight="1">
      <c r="C3995" s="513" t="s">
        <v>7978</v>
      </c>
      <c r="D3995" s="817" t="s">
        <v>7979</v>
      </c>
      <c r="E3995" s="803"/>
      <c r="F3995" s="803"/>
      <c r="G3995" s="803"/>
      <c r="H3995" s="803"/>
      <c r="I3995" s="533">
        <f>ROUNDDOWN(H4010,-2)</f>
        <v>47100</v>
      </c>
      <c r="J3995" s="536" t="s">
        <v>7804</v>
      </c>
      <c r="K3995" s="824"/>
    </row>
    <row r="3996" spans="3:11" ht="25.8" customHeight="1">
      <c r="C3996" s="716" t="s">
        <v>1195</v>
      </c>
      <c r="D3996" s="716" t="s">
        <v>1196</v>
      </c>
      <c r="E3996" s="716" t="s">
        <v>1197</v>
      </c>
      <c r="F3996" s="716" t="s">
        <v>1198</v>
      </c>
      <c r="G3996" s="716" t="s">
        <v>1199</v>
      </c>
      <c r="H3996" s="716" t="s">
        <v>1200</v>
      </c>
    </row>
    <row r="3997" spans="3:11" ht="25.8" customHeight="1">
      <c r="C3997" s="213" t="s">
        <v>1201</v>
      </c>
      <c r="D3997" s="212" t="s">
        <v>1202</v>
      </c>
      <c r="E3997" s="534"/>
      <c r="F3997" s="534"/>
      <c r="G3997" s="534"/>
      <c r="H3997" s="534"/>
    </row>
    <row r="3998" spans="3:11" ht="25.8" customHeight="1">
      <c r="C3998" s="818">
        <v>1</v>
      </c>
      <c r="D3998" s="212" t="s">
        <v>5</v>
      </c>
      <c r="E3998" s="212" t="s">
        <v>6</v>
      </c>
      <c r="F3998" s="538">
        <v>0.11899999999999999</v>
      </c>
      <c r="G3998" s="539">
        <f>VLOOKUP(D3998,upahbahan,3,FALSE)</f>
        <v>100000</v>
      </c>
      <c r="H3998" s="539">
        <f t="shared" ref="H3998:H4001" si="427">F3998*G3998</f>
        <v>11900</v>
      </c>
    </row>
    <row r="3999" spans="3:11" ht="25.8" customHeight="1">
      <c r="C3999" s="818">
        <v>2</v>
      </c>
      <c r="D3999" s="212" t="s">
        <v>3295</v>
      </c>
      <c r="E3999" s="212" t="s">
        <v>6</v>
      </c>
      <c r="F3999" s="538">
        <v>0.19900000000000001</v>
      </c>
      <c r="G3999" s="539">
        <f>VLOOKUP(D3999,upahbahan,3,FALSE)</f>
        <v>135000</v>
      </c>
      <c r="H3999" s="539">
        <f t="shared" si="427"/>
        <v>26865</v>
      </c>
    </row>
    <row r="4000" spans="3:11" ht="25.8" customHeight="1">
      <c r="C4000" s="818">
        <v>3</v>
      </c>
      <c r="D4000" s="212" t="s">
        <v>18</v>
      </c>
      <c r="E4000" s="212" t="s">
        <v>6</v>
      </c>
      <c r="F4000" s="538">
        <v>0.02</v>
      </c>
      <c r="G4000" s="539">
        <f>VLOOKUP(D4000,upahbahan,3,FALSE)</f>
        <v>150000</v>
      </c>
      <c r="H4000" s="539">
        <f t="shared" si="427"/>
        <v>3000</v>
      </c>
    </row>
    <row r="4001" spans="3:11" ht="25.8" customHeight="1">
      <c r="C4001" s="818">
        <v>4</v>
      </c>
      <c r="D4001" s="212" t="s">
        <v>19</v>
      </c>
      <c r="E4001" s="212" t="s">
        <v>6</v>
      </c>
      <c r="F4001" s="538">
        <v>7.0000000000000001E-3</v>
      </c>
      <c r="G4001" s="539">
        <f>VLOOKUP(D4001,upahbahan,3,FALSE)</f>
        <v>160000</v>
      </c>
      <c r="H4001" s="539">
        <f t="shared" si="427"/>
        <v>1120</v>
      </c>
    </row>
    <row r="4002" spans="3:11" ht="25.8" customHeight="1">
      <c r="C4002" s="702" t="s">
        <v>1208</v>
      </c>
      <c r="D4002" s="208"/>
      <c r="E4002" s="208"/>
      <c r="F4002" s="811"/>
      <c r="G4002" s="522"/>
      <c r="H4002" s="539">
        <f>SUM(H3998:H4001)</f>
        <v>42885</v>
      </c>
      <c r="I4002" s="819"/>
    </row>
    <row r="4003" spans="3:11" ht="25.8" customHeight="1">
      <c r="C4003" s="213" t="s">
        <v>1209</v>
      </c>
      <c r="D4003" s="212" t="s">
        <v>1210</v>
      </c>
      <c r="E4003" s="534"/>
      <c r="F4003" s="831"/>
      <c r="G4003" s="534"/>
      <c r="H4003" s="534"/>
    </row>
    <row r="4004" spans="3:11" ht="25.8" customHeight="1">
      <c r="C4004" s="833" t="s">
        <v>1203</v>
      </c>
      <c r="D4004" s="212" t="s">
        <v>7980</v>
      </c>
      <c r="E4004" s="807" t="s">
        <v>135</v>
      </c>
      <c r="F4004" s="832">
        <v>1.2</v>
      </c>
      <c r="G4004" s="539">
        <f>VLOOKUP(D4004,upahbahan,3,FALSE)</f>
        <v>0</v>
      </c>
      <c r="H4004" s="539">
        <f t="shared" ref="H4004" si="428">F4004*G4004</f>
        <v>0</v>
      </c>
    </row>
    <row r="4005" spans="3:11" ht="25.8" customHeight="1">
      <c r="C4005" s="702" t="s">
        <v>1214</v>
      </c>
      <c r="D4005" s="208"/>
      <c r="E4005" s="208"/>
      <c r="F4005" s="208"/>
      <c r="G4005" s="209"/>
      <c r="H4005" s="539">
        <f>SUM(H4004:H4004)</f>
        <v>0</v>
      </c>
    </row>
    <row r="4006" spans="3:11" ht="25.8" customHeight="1">
      <c r="C4006" s="213" t="s">
        <v>1215</v>
      </c>
      <c r="D4006" s="212" t="s">
        <v>1216</v>
      </c>
      <c r="E4006" s="534"/>
      <c r="F4006" s="534"/>
      <c r="G4006" s="534"/>
      <c r="H4006" s="534"/>
    </row>
    <row r="4007" spans="3:11" ht="25.8" customHeight="1">
      <c r="C4007" s="702" t="s">
        <v>1217</v>
      </c>
      <c r="D4007" s="208"/>
      <c r="E4007" s="208"/>
      <c r="F4007" s="208"/>
      <c r="G4007" s="209"/>
      <c r="H4007" s="821">
        <v>0</v>
      </c>
    </row>
    <row r="4008" spans="3:11" ht="25.8" customHeight="1">
      <c r="C4008" s="566" t="s">
        <v>1218</v>
      </c>
      <c r="D4008" s="552" t="s">
        <v>1219</v>
      </c>
      <c r="E4008" s="553"/>
      <c r="F4008" s="553"/>
      <c r="G4008" s="554"/>
      <c r="H4008" s="826">
        <f>H4007+H4005+H4002</f>
        <v>42885</v>
      </c>
      <c r="I4008" s="827"/>
    </row>
    <row r="4009" spans="3:11" ht="25.8" customHeight="1">
      <c r="C4009" s="566" t="s">
        <v>1220</v>
      </c>
      <c r="D4009" s="552" t="s">
        <v>1321</v>
      </c>
      <c r="E4009" s="553"/>
      <c r="F4009" s="554"/>
      <c r="G4009" s="555">
        <f>$M$9</f>
        <v>0.1</v>
      </c>
      <c r="H4009" s="539">
        <f>H4008*G4009</f>
        <v>4288.5</v>
      </c>
      <c r="I4009" s="827"/>
    </row>
    <row r="4010" spans="3:11" ht="25.8" customHeight="1">
      <c r="C4010" s="566" t="s">
        <v>1221</v>
      </c>
      <c r="D4010" s="552" t="s">
        <v>1222</v>
      </c>
      <c r="E4010" s="553"/>
      <c r="F4010" s="553"/>
      <c r="G4010" s="554"/>
      <c r="H4010" s="828">
        <f>SUM(H4008:H4009)</f>
        <v>47173.5</v>
      </c>
      <c r="I4010" s="827"/>
    </row>
    <row r="4011" spans="3:11" ht="25.8" customHeight="1">
      <c r="C4011" s="572"/>
      <c r="D4011" s="575"/>
      <c r="E4011" s="575"/>
      <c r="F4011" s="575"/>
      <c r="G4011" s="575"/>
      <c r="H4011" s="830"/>
    </row>
    <row r="4012" spans="3:11" ht="25.8" customHeight="1">
      <c r="C4012" s="513" t="s">
        <v>7981</v>
      </c>
      <c r="D4012" s="817" t="s">
        <v>7982</v>
      </c>
      <c r="E4012" s="803"/>
      <c r="F4012" s="803"/>
      <c r="G4012" s="803"/>
      <c r="H4012" s="803"/>
      <c r="I4012" s="533">
        <f>ROUNDDOWN(H4027,-2)</f>
        <v>47100</v>
      </c>
      <c r="J4012" s="536" t="s">
        <v>7804</v>
      </c>
      <c r="K4012" s="824"/>
    </row>
    <row r="4013" spans="3:11" ht="25.8" customHeight="1">
      <c r="C4013" s="716" t="s">
        <v>1195</v>
      </c>
      <c r="D4013" s="716" t="s">
        <v>1196</v>
      </c>
      <c r="E4013" s="716" t="s">
        <v>1197</v>
      </c>
      <c r="F4013" s="716" t="s">
        <v>1198</v>
      </c>
      <c r="G4013" s="716" t="s">
        <v>1199</v>
      </c>
      <c r="H4013" s="716" t="s">
        <v>1200</v>
      </c>
    </row>
    <row r="4014" spans="3:11" ht="25.8" customHeight="1">
      <c r="C4014" s="213" t="s">
        <v>1201</v>
      </c>
      <c r="D4014" s="212" t="s">
        <v>1202</v>
      </c>
      <c r="E4014" s="534"/>
      <c r="F4014" s="534"/>
      <c r="G4014" s="534"/>
      <c r="H4014" s="534"/>
    </row>
    <row r="4015" spans="3:11" ht="25.8" customHeight="1">
      <c r="C4015" s="818">
        <v>1</v>
      </c>
      <c r="D4015" s="212" t="s">
        <v>5</v>
      </c>
      <c r="E4015" s="212" t="s">
        <v>6</v>
      </c>
      <c r="F4015" s="538">
        <v>0.11899999999999999</v>
      </c>
      <c r="G4015" s="539">
        <f>VLOOKUP(D4015,upahbahan,3,FALSE)</f>
        <v>100000</v>
      </c>
      <c r="H4015" s="539">
        <f t="shared" ref="H4015:H4018" si="429">F4015*G4015</f>
        <v>11900</v>
      </c>
    </row>
    <row r="4016" spans="3:11" ht="25.8" customHeight="1">
      <c r="C4016" s="818">
        <v>2</v>
      </c>
      <c r="D4016" s="212" t="s">
        <v>3295</v>
      </c>
      <c r="E4016" s="212" t="s">
        <v>6</v>
      </c>
      <c r="F4016" s="538">
        <v>0.19900000000000001</v>
      </c>
      <c r="G4016" s="539">
        <f>VLOOKUP(D4016,upahbahan,3,FALSE)</f>
        <v>135000</v>
      </c>
      <c r="H4016" s="539">
        <f t="shared" si="429"/>
        <v>26865</v>
      </c>
    </row>
    <row r="4017" spans="3:11" ht="25.8" customHeight="1">
      <c r="C4017" s="818">
        <v>3</v>
      </c>
      <c r="D4017" s="212" t="s">
        <v>18</v>
      </c>
      <c r="E4017" s="212" t="s">
        <v>6</v>
      </c>
      <c r="F4017" s="538">
        <v>0.02</v>
      </c>
      <c r="G4017" s="539">
        <f>VLOOKUP(D4017,upahbahan,3,FALSE)</f>
        <v>150000</v>
      </c>
      <c r="H4017" s="539">
        <f t="shared" si="429"/>
        <v>3000</v>
      </c>
    </row>
    <row r="4018" spans="3:11" ht="25.8" customHeight="1">
      <c r="C4018" s="818">
        <v>4</v>
      </c>
      <c r="D4018" s="212" t="s">
        <v>19</v>
      </c>
      <c r="E4018" s="212" t="s">
        <v>6</v>
      </c>
      <c r="F4018" s="538">
        <v>7.0000000000000001E-3</v>
      </c>
      <c r="G4018" s="539">
        <f>VLOOKUP(D4018,upahbahan,3,FALSE)</f>
        <v>160000</v>
      </c>
      <c r="H4018" s="539">
        <f t="shared" si="429"/>
        <v>1120</v>
      </c>
    </row>
    <row r="4019" spans="3:11" ht="25.8" customHeight="1">
      <c r="C4019" s="702" t="s">
        <v>1208</v>
      </c>
      <c r="D4019" s="208"/>
      <c r="E4019" s="208"/>
      <c r="F4019" s="811"/>
      <c r="G4019" s="522"/>
      <c r="H4019" s="539">
        <f>SUM(H4015:H4018)</f>
        <v>42885</v>
      </c>
      <c r="I4019" s="819"/>
    </row>
    <row r="4020" spans="3:11" ht="25.8" customHeight="1">
      <c r="C4020" s="213" t="s">
        <v>1209</v>
      </c>
      <c r="D4020" s="212" t="s">
        <v>1210</v>
      </c>
      <c r="E4020" s="534"/>
      <c r="F4020" s="831"/>
      <c r="G4020" s="534"/>
      <c r="H4020" s="534"/>
    </row>
    <row r="4021" spans="3:11" ht="25.8" customHeight="1">
      <c r="C4021" s="833" t="s">
        <v>1203</v>
      </c>
      <c r="D4021" s="212" t="s">
        <v>7983</v>
      </c>
      <c r="E4021" s="807" t="s">
        <v>135</v>
      </c>
      <c r="F4021" s="832">
        <v>1.2</v>
      </c>
      <c r="G4021" s="539">
        <f>VLOOKUP(D4021,upahbahan,3,FALSE)</f>
        <v>0</v>
      </c>
      <c r="H4021" s="539">
        <f t="shared" ref="H4021" si="430">F4021*G4021</f>
        <v>0</v>
      </c>
    </row>
    <row r="4022" spans="3:11" ht="25.8" customHeight="1">
      <c r="C4022" s="702" t="s">
        <v>1214</v>
      </c>
      <c r="D4022" s="208"/>
      <c r="E4022" s="208"/>
      <c r="F4022" s="208"/>
      <c r="G4022" s="209"/>
      <c r="H4022" s="539">
        <f>SUM(H4021:H4021)</f>
        <v>0</v>
      </c>
    </row>
    <row r="4023" spans="3:11" ht="25.8" customHeight="1">
      <c r="C4023" s="213" t="s">
        <v>1215</v>
      </c>
      <c r="D4023" s="212" t="s">
        <v>1216</v>
      </c>
      <c r="E4023" s="534"/>
      <c r="F4023" s="534"/>
      <c r="G4023" s="534"/>
      <c r="H4023" s="534"/>
    </row>
    <row r="4024" spans="3:11" ht="25.8" customHeight="1">
      <c r="C4024" s="702" t="s">
        <v>1217</v>
      </c>
      <c r="D4024" s="208"/>
      <c r="E4024" s="208"/>
      <c r="F4024" s="208"/>
      <c r="G4024" s="209"/>
      <c r="H4024" s="821">
        <v>0</v>
      </c>
    </row>
    <row r="4025" spans="3:11" ht="25.8" customHeight="1">
      <c r="C4025" s="566" t="s">
        <v>1218</v>
      </c>
      <c r="D4025" s="552" t="s">
        <v>1219</v>
      </c>
      <c r="E4025" s="553"/>
      <c r="F4025" s="553"/>
      <c r="G4025" s="554"/>
      <c r="H4025" s="826">
        <f>H4024+H4022+H4019</f>
        <v>42885</v>
      </c>
      <c r="I4025" s="827"/>
    </row>
    <row r="4026" spans="3:11" ht="25.8" customHeight="1">
      <c r="C4026" s="566" t="s">
        <v>1220</v>
      </c>
      <c r="D4026" s="552" t="s">
        <v>1321</v>
      </c>
      <c r="E4026" s="553"/>
      <c r="F4026" s="554"/>
      <c r="G4026" s="555">
        <f>$M$9</f>
        <v>0.1</v>
      </c>
      <c r="H4026" s="539">
        <f>H4025*G4026</f>
        <v>4288.5</v>
      </c>
      <c r="I4026" s="827"/>
    </row>
    <row r="4027" spans="3:11" ht="25.8" customHeight="1">
      <c r="C4027" s="566" t="s">
        <v>1221</v>
      </c>
      <c r="D4027" s="552" t="s">
        <v>1222</v>
      </c>
      <c r="E4027" s="553"/>
      <c r="F4027" s="553"/>
      <c r="G4027" s="554"/>
      <c r="H4027" s="828">
        <f>SUM(H4025:H4026)</f>
        <v>47173.5</v>
      </c>
      <c r="I4027" s="827"/>
    </row>
    <row r="4028" spans="3:11" ht="25.8" customHeight="1">
      <c r="C4028" s="572"/>
      <c r="D4028" s="575"/>
      <c r="E4028" s="575"/>
      <c r="F4028" s="575"/>
      <c r="G4028" s="575"/>
      <c r="H4028" s="830"/>
    </row>
    <row r="4029" spans="3:11" ht="25.8" customHeight="1">
      <c r="C4029" s="513" t="s">
        <v>7984</v>
      </c>
      <c r="D4029" s="817" t="s">
        <v>7985</v>
      </c>
      <c r="E4029" s="803"/>
      <c r="F4029" s="803"/>
      <c r="G4029" s="803"/>
      <c r="H4029" s="803"/>
      <c r="I4029" s="533">
        <f>ROUNDDOWN(H4044,-2)</f>
        <v>47100</v>
      </c>
      <c r="J4029" s="536" t="s">
        <v>7804</v>
      </c>
      <c r="K4029" s="824"/>
    </row>
    <row r="4030" spans="3:11" ht="25.8" customHeight="1">
      <c r="C4030" s="716" t="s">
        <v>1195</v>
      </c>
      <c r="D4030" s="716" t="s">
        <v>1196</v>
      </c>
      <c r="E4030" s="716" t="s">
        <v>1197</v>
      </c>
      <c r="F4030" s="716" t="s">
        <v>1198</v>
      </c>
      <c r="G4030" s="716" t="s">
        <v>1199</v>
      </c>
      <c r="H4030" s="716" t="s">
        <v>1200</v>
      </c>
    </row>
    <row r="4031" spans="3:11" ht="25.8" customHeight="1">
      <c r="C4031" s="213" t="s">
        <v>1201</v>
      </c>
      <c r="D4031" s="212" t="s">
        <v>1202</v>
      </c>
      <c r="E4031" s="534"/>
      <c r="F4031" s="534"/>
      <c r="G4031" s="534"/>
      <c r="H4031" s="534"/>
    </row>
    <row r="4032" spans="3:11" ht="25.8" customHeight="1">
      <c r="C4032" s="818">
        <v>1</v>
      </c>
      <c r="D4032" s="212" t="s">
        <v>5</v>
      </c>
      <c r="E4032" s="212" t="s">
        <v>6</v>
      </c>
      <c r="F4032" s="538">
        <v>0.11899999999999999</v>
      </c>
      <c r="G4032" s="539">
        <f>VLOOKUP(D4032,upahbahan,3,FALSE)</f>
        <v>100000</v>
      </c>
      <c r="H4032" s="539">
        <f t="shared" ref="H4032:H4035" si="431">F4032*G4032</f>
        <v>11900</v>
      </c>
    </row>
    <row r="4033" spans="3:11" ht="25.8" customHeight="1">
      <c r="C4033" s="818">
        <v>2</v>
      </c>
      <c r="D4033" s="212" t="s">
        <v>3295</v>
      </c>
      <c r="E4033" s="212" t="s">
        <v>6</v>
      </c>
      <c r="F4033" s="538">
        <v>0.19900000000000001</v>
      </c>
      <c r="G4033" s="539">
        <f>VLOOKUP(D4033,upahbahan,3,FALSE)</f>
        <v>135000</v>
      </c>
      <c r="H4033" s="539">
        <f t="shared" si="431"/>
        <v>26865</v>
      </c>
    </row>
    <row r="4034" spans="3:11" ht="25.8" customHeight="1">
      <c r="C4034" s="818">
        <v>3</v>
      </c>
      <c r="D4034" s="212" t="s">
        <v>18</v>
      </c>
      <c r="E4034" s="212" t="s">
        <v>6</v>
      </c>
      <c r="F4034" s="538">
        <v>0.02</v>
      </c>
      <c r="G4034" s="539">
        <f>VLOOKUP(D4034,upahbahan,3,FALSE)</f>
        <v>150000</v>
      </c>
      <c r="H4034" s="539">
        <f t="shared" si="431"/>
        <v>3000</v>
      </c>
    </row>
    <row r="4035" spans="3:11" ht="25.8" customHeight="1">
      <c r="C4035" s="818">
        <v>4</v>
      </c>
      <c r="D4035" s="212" t="s">
        <v>19</v>
      </c>
      <c r="E4035" s="212" t="s">
        <v>6</v>
      </c>
      <c r="F4035" s="538">
        <v>7.0000000000000001E-3</v>
      </c>
      <c r="G4035" s="539">
        <f>VLOOKUP(D4035,upahbahan,3,FALSE)</f>
        <v>160000</v>
      </c>
      <c r="H4035" s="539">
        <f t="shared" si="431"/>
        <v>1120</v>
      </c>
    </row>
    <row r="4036" spans="3:11" ht="25.8" customHeight="1">
      <c r="C4036" s="702" t="s">
        <v>1208</v>
      </c>
      <c r="D4036" s="208"/>
      <c r="E4036" s="208"/>
      <c r="F4036" s="811"/>
      <c r="G4036" s="522"/>
      <c r="H4036" s="539">
        <f>SUM(H4032:H4035)</f>
        <v>42885</v>
      </c>
      <c r="I4036" s="819"/>
    </row>
    <row r="4037" spans="3:11" ht="25.8" customHeight="1">
      <c r="C4037" s="213" t="s">
        <v>1209</v>
      </c>
      <c r="D4037" s="212" t="s">
        <v>1210</v>
      </c>
      <c r="E4037" s="534"/>
      <c r="F4037" s="831"/>
      <c r="G4037" s="534"/>
      <c r="H4037" s="534"/>
    </row>
    <row r="4038" spans="3:11" ht="25.8" customHeight="1">
      <c r="C4038" s="833" t="s">
        <v>1203</v>
      </c>
      <c r="D4038" s="212" t="s">
        <v>7986</v>
      </c>
      <c r="E4038" s="807" t="s">
        <v>135</v>
      </c>
      <c r="F4038" s="832">
        <v>1.2</v>
      </c>
      <c r="G4038" s="539">
        <f>VLOOKUP(D4038,upahbahan,3,FALSE)</f>
        <v>0</v>
      </c>
      <c r="H4038" s="539">
        <f t="shared" ref="H4038" si="432">F4038*G4038</f>
        <v>0</v>
      </c>
    </row>
    <row r="4039" spans="3:11" ht="25.8" customHeight="1">
      <c r="C4039" s="702" t="s">
        <v>1214</v>
      </c>
      <c r="D4039" s="208"/>
      <c r="E4039" s="208"/>
      <c r="F4039" s="208"/>
      <c r="G4039" s="209"/>
      <c r="H4039" s="539">
        <f>SUM(H4038:H4038)</f>
        <v>0</v>
      </c>
    </row>
    <row r="4040" spans="3:11" ht="25.8" customHeight="1">
      <c r="C4040" s="213" t="s">
        <v>1215</v>
      </c>
      <c r="D4040" s="212" t="s">
        <v>1216</v>
      </c>
      <c r="E4040" s="534"/>
      <c r="F4040" s="534"/>
      <c r="G4040" s="534"/>
      <c r="H4040" s="534"/>
    </row>
    <row r="4041" spans="3:11" ht="25.8" customHeight="1">
      <c r="C4041" s="702" t="s">
        <v>1217</v>
      </c>
      <c r="D4041" s="208"/>
      <c r="E4041" s="208"/>
      <c r="F4041" s="208"/>
      <c r="G4041" s="209"/>
      <c r="H4041" s="821">
        <v>0</v>
      </c>
    </row>
    <row r="4042" spans="3:11" ht="25.8" customHeight="1">
      <c r="C4042" s="566" t="s">
        <v>1218</v>
      </c>
      <c r="D4042" s="552" t="s">
        <v>1219</v>
      </c>
      <c r="E4042" s="553"/>
      <c r="F4042" s="553"/>
      <c r="G4042" s="554"/>
      <c r="H4042" s="826">
        <f>H4041+H4039+H4036</f>
        <v>42885</v>
      </c>
      <c r="I4042" s="827"/>
    </row>
    <row r="4043" spans="3:11" ht="25.8" customHeight="1">
      <c r="C4043" s="566" t="s">
        <v>1220</v>
      </c>
      <c r="D4043" s="552" t="s">
        <v>1321</v>
      </c>
      <c r="E4043" s="553"/>
      <c r="F4043" s="554"/>
      <c r="G4043" s="555">
        <f>$M$9</f>
        <v>0.1</v>
      </c>
      <c r="H4043" s="539">
        <f>H4042*G4043</f>
        <v>4288.5</v>
      </c>
      <c r="I4043" s="827"/>
    </row>
    <row r="4044" spans="3:11" ht="25.8" customHeight="1">
      <c r="C4044" s="566" t="s">
        <v>1221</v>
      </c>
      <c r="D4044" s="552" t="s">
        <v>1222</v>
      </c>
      <c r="E4044" s="553"/>
      <c r="F4044" s="553"/>
      <c r="G4044" s="554"/>
      <c r="H4044" s="828">
        <f>SUM(H4042:H4043)</f>
        <v>47173.5</v>
      </c>
      <c r="I4044" s="827"/>
    </row>
    <row r="4045" spans="3:11" ht="25.8" customHeight="1">
      <c r="C4045" s="572"/>
      <c r="D4045" s="575"/>
      <c r="E4045" s="575"/>
      <c r="F4045" s="575"/>
      <c r="G4045" s="575"/>
      <c r="H4045" s="830"/>
    </row>
    <row r="4046" spans="3:11" ht="25.8" customHeight="1">
      <c r="C4046" s="513" t="s">
        <v>7987</v>
      </c>
      <c r="D4046" s="817" t="s">
        <v>7988</v>
      </c>
      <c r="E4046" s="803"/>
      <c r="F4046" s="803"/>
      <c r="G4046" s="803"/>
      <c r="H4046" s="803"/>
      <c r="I4046" s="533">
        <f>ROUNDDOWN(H4061,-2)</f>
        <v>47100</v>
      </c>
      <c r="J4046" s="536" t="s">
        <v>7804</v>
      </c>
      <c r="K4046" s="824"/>
    </row>
    <row r="4047" spans="3:11" ht="25.8" customHeight="1">
      <c r="C4047" s="716" t="s">
        <v>1195</v>
      </c>
      <c r="D4047" s="716" t="s">
        <v>1196</v>
      </c>
      <c r="E4047" s="716" t="s">
        <v>1197</v>
      </c>
      <c r="F4047" s="716" t="s">
        <v>1198</v>
      </c>
      <c r="G4047" s="716" t="s">
        <v>1199</v>
      </c>
      <c r="H4047" s="716" t="s">
        <v>1200</v>
      </c>
    </row>
    <row r="4048" spans="3:11" ht="25.8" customHeight="1">
      <c r="C4048" s="213" t="s">
        <v>1201</v>
      </c>
      <c r="D4048" s="212" t="s">
        <v>1202</v>
      </c>
      <c r="E4048" s="534"/>
      <c r="F4048" s="534"/>
      <c r="G4048" s="534"/>
      <c r="H4048" s="534"/>
    </row>
    <row r="4049" spans="3:11" ht="25.8" customHeight="1">
      <c r="C4049" s="818">
        <v>1</v>
      </c>
      <c r="D4049" s="212" t="s">
        <v>5</v>
      </c>
      <c r="E4049" s="212" t="s">
        <v>6</v>
      </c>
      <c r="F4049" s="538">
        <v>0.11899999999999999</v>
      </c>
      <c r="G4049" s="539">
        <f>VLOOKUP(D4049,upahbahan,3,FALSE)</f>
        <v>100000</v>
      </c>
      <c r="H4049" s="539">
        <f t="shared" ref="H4049:H4052" si="433">F4049*G4049</f>
        <v>11900</v>
      </c>
    </row>
    <row r="4050" spans="3:11" ht="25.8" customHeight="1">
      <c r="C4050" s="818">
        <v>2</v>
      </c>
      <c r="D4050" s="212" t="s">
        <v>3295</v>
      </c>
      <c r="E4050" s="212" t="s">
        <v>6</v>
      </c>
      <c r="F4050" s="538">
        <v>0.19900000000000001</v>
      </c>
      <c r="G4050" s="539">
        <f>VLOOKUP(D4050,upahbahan,3,FALSE)</f>
        <v>135000</v>
      </c>
      <c r="H4050" s="539">
        <f t="shared" si="433"/>
        <v>26865</v>
      </c>
    </row>
    <row r="4051" spans="3:11" ht="25.8" customHeight="1">
      <c r="C4051" s="818">
        <v>3</v>
      </c>
      <c r="D4051" s="212" t="s">
        <v>18</v>
      </c>
      <c r="E4051" s="212" t="s">
        <v>6</v>
      </c>
      <c r="F4051" s="538">
        <v>0.02</v>
      </c>
      <c r="G4051" s="539">
        <f>VLOOKUP(D4051,upahbahan,3,FALSE)</f>
        <v>150000</v>
      </c>
      <c r="H4051" s="539">
        <f t="shared" si="433"/>
        <v>3000</v>
      </c>
    </row>
    <row r="4052" spans="3:11" ht="25.8" customHeight="1">
      <c r="C4052" s="818">
        <v>4</v>
      </c>
      <c r="D4052" s="212" t="s">
        <v>19</v>
      </c>
      <c r="E4052" s="212" t="s">
        <v>6</v>
      </c>
      <c r="F4052" s="538">
        <v>7.0000000000000001E-3</v>
      </c>
      <c r="G4052" s="539">
        <f>VLOOKUP(D4052,upahbahan,3,FALSE)</f>
        <v>160000</v>
      </c>
      <c r="H4052" s="539">
        <f t="shared" si="433"/>
        <v>1120</v>
      </c>
    </row>
    <row r="4053" spans="3:11" ht="25.8" customHeight="1">
      <c r="C4053" s="702" t="s">
        <v>1208</v>
      </c>
      <c r="D4053" s="208"/>
      <c r="E4053" s="208"/>
      <c r="F4053" s="811"/>
      <c r="G4053" s="522"/>
      <c r="H4053" s="539">
        <f>SUM(H4049:H4052)</f>
        <v>42885</v>
      </c>
      <c r="I4053" s="819"/>
    </row>
    <row r="4054" spans="3:11" ht="25.8" customHeight="1">
      <c r="C4054" s="213" t="s">
        <v>1209</v>
      </c>
      <c r="D4054" s="212" t="s">
        <v>1210</v>
      </c>
      <c r="E4054" s="534"/>
      <c r="F4054" s="831"/>
      <c r="G4054" s="534"/>
      <c r="H4054" s="534"/>
    </row>
    <row r="4055" spans="3:11" ht="25.8" customHeight="1">
      <c r="C4055" s="833" t="s">
        <v>1203</v>
      </c>
      <c r="D4055" s="212" t="s">
        <v>7989</v>
      </c>
      <c r="E4055" s="807" t="s">
        <v>135</v>
      </c>
      <c r="F4055" s="832">
        <v>1.2</v>
      </c>
      <c r="G4055" s="539">
        <f>VLOOKUP(D4055,upahbahan,3,FALSE)</f>
        <v>0</v>
      </c>
      <c r="H4055" s="539">
        <f t="shared" ref="H4055" si="434">F4055*G4055</f>
        <v>0</v>
      </c>
    </row>
    <row r="4056" spans="3:11" ht="25.8" customHeight="1">
      <c r="C4056" s="702" t="s">
        <v>1214</v>
      </c>
      <c r="D4056" s="208"/>
      <c r="E4056" s="208"/>
      <c r="F4056" s="208"/>
      <c r="G4056" s="209"/>
      <c r="H4056" s="539">
        <f>SUM(H4055:H4055)</f>
        <v>0</v>
      </c>
    </row>
    <row r="4057" spans="3:11" ht="25.8" customHeight="1">
      <c r="C4057" s="213" t="s">
        <v>1215</v>
      </c>
      <c r="D4057" s="212" t="s">
        <v>1216</v>
      </c>
      <c r="E4057" s="534"/>
      <c r="F4057" s="534"/>
      <c r="G4057" s="534"/>
      <c r="H4057" s="534"/>
    </row>
    <row r="4058" spans="3:11" ht="25.8" customHeight="1">
      <c r="C4058" s="702" t="s">
        <v>1217</v>
      </c>
      <c r="D4058" s="208"/>
      <c r="E4058" s="208"/>
      <c r="F4058" s="208"/>
      <c r="G4058" s="209"/>
      <c r="H4058" s="821">
        <v>0</v>
      </c>
    </row>
    <row r="4059" spans="3:11" ht="25.8" customHeight="1">
      <c r="C4059" s="566" t="s">
        <v>1218</v>
      </c>
      <c r="D4059" s="552" t="s">
        <v>1219</v>
      </c>
      <c r="E4059" s="553"/>
      <c r="F4059" s="553"/>
      <c r="G4059" s="554"/>
      <c r="H4059" s="826">
        <f>H4058+H4056+H4053</f>
        <v>42885</v>
      </c>
      <c r="I4059" s="827"/>
    </row>
    <row r="4060" spans="3:11" ht="25.8" customHeight="1">
      <c r="C4060" s="566" t="s">
        <v>1220</v>
      </c>
      <c r="D4060" s="552" t="s">
        <v>1321</v>
      </c>
      <c r="E4060" s="553"/>
      <c r="F4060" s="554"/>
      <c r="G4060" s="555">
        <f>$M$9</f>
        <v>0.1</v>
      </c>
      <c r="H4060" s="539">
        <f>H4059*G4060</f>
        <v>4288.5</v>
      </c>
      <c r="I4060" s="827"/>
    </row>
    <row r="4061" spans="3:11" ht="25.8" customHeight="1">
      <c r="C4061" s="566" t="s">
        <v>1221</v>
      </c>
      <c r="D4061" s="552" t="s">
        <v>1222</v>
      </c>
      <c r="E4061" s="553"/>
      <c r="F4061" s="553"/>
      <c r="G4061" s="554"/>
      <c r="H4061" s="828">
        <f>SUM(H4059:H4060)</f>
        <v>47173.5</v>
      </c>
      <c r="I4061" s="827"/>
    </row>
    <row r="4062" spans="3:11" ht="25.8" customHeight="1">
      <c r="C4062" s="572"/>
      <c r="D4062" s="575"/>
      <c r="E4062" s="575"/>
      <c r="F4062" s="575"/>
      <c r="G4062" s="575"/>
      <c r="H4062" s="830"/>
    </row>
    <row r="4063" spans="3:11" ht="25.8" customHeight="1">
      <c r="C4063" s="513" t="s">
        <v>7990</v>
      </c>
      <c r="D4063" s="817" t="s">
        <v>7991</v>
      </c>
      <c r="E4063" s="803"/>
      <c r="F4063" s="803"/>
      <c r="G4063" s="803"/>
      <c r="H4063" s="803"/>
      <c r="I4063" s="533">
        <f>ROUNDDOWN(H4078,-2)</f>
        <v>47100</v>
      </c>
      <c r="J4063" s="536" t="s">
        <v>7804</v>
      </c>
      <c r="K4063" s="824"/>
    </row>
    <row r="4064" spans="3:11" ht="25.8" customHeight="1">
      <c r="C4064" s="716" t="s">
        <v>1195</v>
      </c>
      <c r="D4064" s="716" t="s">
        <v>1196</v>
      </c>
      <c r="E4064" s="716" t="s">
        <v>1197</v>
      </c>
      <c r="F4064" s="716" t="s">
        <v>1198</v>
      </c>
      <c r="G4064" s="716" t="s">
        <v>1199</v>
      </c>
      <c r="H4064" s="716" t="s">
        <v>1200</v>
      </c>
    </row>
    <row r="4065" spans="3:11" ht="25.8" customHeight="1">
      <c r="C4065" s="213" t="s">
        <v>1201</v>
      </c>
      <c r="D4065" s="212" t="s">
        <v>1202</v>
      </c>
      <c r="E4065" s="534"/>
      <c r="F4065" s="534"/>
      <c r="G4065" s="534"/>
      <c r="H4065" s="534"/>
    </row>
    <row r="4066" spans="3:11" ht="25.8" customHeight="1">
      <c r="C4066" s="818">
        <v>1</v>
      </c>
      <c r="D4066" s="212" t="s">
        <v>5</v>
      </c>
      <c r="E4066" s="212" t="s">
        <v>6</v>
      </c>
      <c r="F4066" s="538">
        <v>0.11899999999999999</v>
      </c>
      <c r="G4066" s="539">
        <f>VLOOKUP(D4066,upahbahan,3,FALSE)</f>
        <v>100000</v>
      </c>
      <c r="H4066" s="539">
        <f t="shared" ref="H4066:H4069" si="435">F4066*G4066</f>
        <v>11900</v>
      </c>
    </row>
    <row r="4067" spans="3:11" ht="25.8" customHeight="1">
      <c r="C4067" s="818">
        <v>2</v>
      </c>
      <c r="D4067" s="212" t="s">
        <v>3295</v>
      </c>
      <c r="E4067" s="212" t="s">
        <v>6</v>
      </c>
      <c r="F4067" s="538">
        <v>0.19900000000000001</v>
      </c>
      <c r="G4067" s="539">
        <f>VLOOKUP(D4067,upahbahan,3,FALSE)</f>
        <v>135000</v>
      </c>
      <c r="H4067" s="539">
        <f t="shared" si="435"/>
        <v>26865</v>
      </c>
    </row>
    <row r="4068" spans="3:11" ht="25.8" customHeight="1">
      <c r="C4068" s="818">
        <v>3</v>
      </c>
      <c r="D4068" s="212" t="s">
        <v>18</v>
      </c>
      <c r="E4068" s="212" t="s">
        <v>6</v>
      </c>
      <c r="F4068" s="538">
        <v>0.02</v>
      </c>
      <c r="G4068" s="539">
        <f>VLOOKUP(D4068,upahbahan,3,FALSE)</f>
        <v>150000</v>
      </c>
      <c r="H4068" s="539">
        <f t="shared" si="435"/>
        <v>3000</v>
      </c>
    </row>
    <row r="4069" spans="3:11" ht="25.8" customHeight="1">
      <c r="C4069" s="818">
        <v>4</v>
      </c>
      <c r="D4069" s="212" t="s">
        <v>19</v>
      </c>
      <c r="E4069" s="212" t="s">
        <v>6</v>
      </c>
      <c r="F4069" s="538">
        <v>7.0000000000000001E-3</v>
      </c>
      <c r="G4069" s="539">
        <f>VLOOKUP(D4069,upahbahan,3,FALSE)</f>
        <v>160000</v>
      </c>
      <c r="H4069" s="539">
        <f t="shared" si="435"/>
        <v>1120</v>
      </c>
    </row>
    <row r="4070" spans="3:11" ht="25.8" customHeight="1">
      <c r="C4070" s="702" t="s">
        <v>1208</v>
      </c>
      <c r="D4070" s="208"/>
      <c r="E4070" s="208"/>
      <c r="F4070" s="811"/>
      <c r="G4070" s="522"/>
      <c r="H4070" s="539">
        <f>SUM(H4066:H4069)</f>
        <v>42885</v>
      </c>
      <c r="I4070" s="819"/>
    </row>
    <row r="4071" spans="3:11" ht="25.8" customHeight="1">
      <c r="C4071" s="213" t="s">
        <v>1209</v>
      </c>
      <c r="D4071" s="212" t="s">
        <v>1210</v>
      </c>
      <c r="E4071" s="534"/>
      <c r="F4071" s="831"/>
      <c r="G4071" s="534"/>
      <c r="H4071" s="534"/>
    </row>
    <row r="4072" spans="3:11" ht="25.8" customHeight="1">
      <c r="C4072" s="833" t="s">
        <v>1203</v>
      </c>
      <c r="D4072" s="212" t="s">
        <v>7992</v>
      </c>
      <c r="E4072" s="807" t="s">
        <v>135</v>
      </c>
      <c r="F4072" s="832">
        <v>1.2</v>
      </c>
      <c r="G4072" s="539">
        <f>VLOOKUP(D4072,upahbahan,3,FALSE)</f>
        <v>0</v>
      </c>
      <c r="H4072" s="539">
        <f t="shared" ref="H4072" si="436">F4072*G4072</f>
        <v>0</v>
      </c>
    </row>
    <row r="4073" spans="3:11" ht="25.8" customHeight="1">
      <c r="C4073" s="702" t="s">
        <v>1214</v>
      </c>
      <c r="D4073" s="208"/>
      <c r="E4073" s="208"/>
      <c r="F4073" s="208"/>
      <c r="G4073" s="209"/>
      <c r="H4073" s="539">
        <f>SUM(H4072:H4072)</f>
        <v>0</v>
      </c>
    </row>
    <row r="4074" spans="3:11" ht="25.8" customHeight="1">
      <c r="C4074" s="213" t="s">
        <v>1215</v>
      </c>
      <c r="D4074" s="212" t="s">
        <v>1216</v>
      </c>
      <c r="E4074" s="534"/>
      <c r="F4074" s="534"/>
      <c r="G4074" s="534"/>
      <c r="H4074" s="534"/>
    </row>
    <row r="4075" spans="3:11" ht="25.8" customHeight="1">
      <c r="C4075" s="702" t="s">
        <v>1217</v>
      </c>
      <c r="D4075" s="208"/>
      <c r="E4075" s="208"/>
      <c r="F4075" s="208"/>
      <c r="G4075" s="209"/>
      <c r="H4075" s="821">
        <v>0</v>
      </c>
    </row>
    <row r="4076" spans="3:11" ht="25.8" customHeight="1">
      <c r="C4076" s="566" t="s">
        <v>1218</v>
      </c>
      <c r="D4076" s="552" t="s">
        <v>1219</v>
      </c>
      <c r="E4076" s="553"/>
      <c r="F4076" s="553"/>
      <c r="G4076" s="554"/>
      <c r="H4076" s="826">
        <f>H4075+H4073+H4070</f>
        <v>42885</v>
      </c>
      <c r="I4076" s="827"/>
    </row>
    <row r="4077" spans="3:11" ht="25.8" customHeight="1">
      <c r="C4077" s="566" t="s">
        <v>1220</v>
      </c>
      <c r="D4077" s="552" t="s">
        <v>1321</v>
      </c>
      <c r="E4077" s="553"/>
      <c r="F4077" s="554"/>
      <c r="G4077" s="555">
        <f>$M$9</f>
        <v>0.1</v>
      </c>
      <c r="H4077" s="539">
        <f>H4076*G4077</f>
        <v>4288.5</v>
      </c>
      <c r="I4077" s="827"/>
    </row>
    <row r="4078" spans="3:11" ht="25.8" customHeight="1">
      <c r="C4078" s="566" t="s">
        <v>1221</v>
      </c>
      <c r="D4078" s="552" t="s">
        <v>1222</v>
      </c>
      <c r="E4078" s="553"/>
      <c r="F4078" s="553"/>
      <c r="G4078" s="554"/>
      <c r="H4078" s="828">
        <f>SUM(H4076:H4077)</f>
        <v>47173.5</v>
      </c>
      <c r="I4078" s="827"/>
    </row>
    <row r="4079" spans="3:11" ht="25.8" customHeight="1">
      <c r="C4079" s="572"/>
      <c r="D4079" s="575"/>
      <c r="E4079" s="575"/>
      <c r="F4079" s="575"/>
      <c r="G4079" s="575"/>
      <c r="H4079" s="830"/>
    </row>
    <row r="4080" spans="3:11" ht="25.8" customHeight="1">
      <c r="C4080" s="513" t="s">
        <v>7993</v>
      </c>
      <c r="D4080" s="817" t="s">
        <v>8007</v>
      </c>
      <c r="E4080" s="803"/>
      <c r="F4080" s="803"/>
      <c r="G4080" s="803"/>
      <c r="H4080" s="803"/>
      <c r="I4080" s="533">
        <f>ROUNDDOWN(H4095,-2)</f>
        <v>47100</v>
      </c>
      <c r="J4080" s="536" t="s">
        <v>7804</v>
      </c>
      <c r="K4080" s="824"/>
    </row>
    <row r="4081" spans="3:9" ht="25.8" customHeight="1">
      <c r="C4081" s="716" t="s">
        <v>1195</v>
      </c>
      <c r="D4081" s="716" t="s">
        <v>1196</v>
      </c>
      <c r="E4081" s="716" t="s">
        <v>1197</v>
      </c>
      <c r="F4081" s="716" t="s">
        <v>1198</v>
      </c>
      <c r="G4081" s="716" t="s">
        <v>1199</v>
      </c>
      <c r="H4081" s="716" t="s">
        <v>1200</v>
      </c>
    </row>
    <row r="4082" spans="3:9" ht="25.8" customHeight="1">
      <c r="C4082" s="213" t="s">
        <v>1201</v>
      </c>
      <c r="D4082" s="212" t="s">
        <v>1202</v>
      </c>
      <c r="E4082" s="534"/>
      <c r="F4082" s="534"/>
      <c r="G4082" s="534"/>
      <c r="H4082" s="534"/>
    </row>
    <row r="4083" spans="3:9" ht="25.8" customHeight="1">
      <c r="C4083" s="818">
        <v>1</v>
      </c>
      <c r="D4083" s="212" t="s">
        <v>5</v>
      </c>
      <c r="E4083" s="212" t="s">
        <v>6</v>
      </c>
      <c r="F4083" s="538">
        <v>0.11899999999999999</v>
      </c>
      <c r="G4083" s="539">
        <f>VLOOKUP(D4083,upahbahan,3,FALSE)</f>
        <v>100000</v>
      </c>
      <c r="H4083" s="539">
        <f t="shared" ref="H4083:H4086" si="437">F4083*G4083</f>
        <v>11900</v>
      </c>
    </row>
    <row r="4084" spans="3:9" ht="25.8" customHeight="1">
      <c r="C4084" s="818">
        <v>2</v>
      </c>
      <c r="D4084" s="212" t="s">
        <v>3295</v>
      </c>
      <c r="E4084" s="212" t="s">
        <v>6</v>
      </c>
      <c r="F4084" s="538">
        <v>0.19900000000000001</v>
      </c>
      <c r="G4084" s="539">
        <f>VLOOKUP(D4084,upahbahan,3,FALSE)</f>
        <v>135000</v>
      </c>
      <c r="H4084" s="539">
        <f t="shared" si="437"/>
        <v>26865</v>
      </c>
    </row>
    <row r="4085" spans="3:9" ht="25.8" customHeight="1">
      <c r="C4085" s="818">
        <v>3</v>
      </c>
      <c r="D4085" s="212" t="s">
        <v>18</v>
      </c>
      <c r="E4085" s="212" t="s">
        <v>6</v>
      </c>
      <c r="F4085" s="538">
        <v>0.02</v>
      </c>
      <c r="G4085" s="539">
        <f>VLOOKUP(D4085,upahbahan,3,FALSE)</f>
        <v>150000</v>
      </c>
      <c r="H4085" s="539">
        <f t="shared" si="437"/>
        <v>3000</v>
      </c>
    </row>
    <row r="4086" spans="3:9" ht="25.8" customHeight="1">
      <c r="C4086" s="818">
        <v>4</v>
      </c>
      <c r="D4086" s="212" t="s">
        <v>19</v>
      </c>
      <c r="E4086" s="212" t="s">
        <v>6</v>
      </c>
      <c r="F4086" s="538">
        <v>7.0000000000000001E-3</v>
      </c>
      <c r="G4086" s="539">
        <f>VLOOKUP(D4086,upahbahan,3,FALSE)</f>
        <v>160000</v>
      </c>
      <c r="H4086" s="539">
        <f t="shared" si="437"/>
        <v>1120</v>
      </c>
    </row>
    <row r="4087" spans="3:9" ht="25.8" customHeight="1">
      <c r="C4087" s="702" t="s">
        <v>1208</v>
      </c>
      <c r="D4087" s="208"/>
      <c r="E4087" s="208"/>
      <c r="F4087" s="811"/>
      <c r="G4087" s="522"/>
      <c r="H4087" s="539">
        <f>SUM(H4083:H4086)</f>
        <v>42885</v>
      </c>
      <c r="I4087" s="819"/>
    </row>
    <row r="4088" spans="3:9" ht="25.8" customHeight="1">
      <c r="C4088" s="213" t="s">
        <v>1209</v>
      </c>
      <c r="D4088" s="212" t="s">
        <v>1210</v>
      </c>
      <c r="E4088" s="534"/>
      <c r="F4088" s="831"/>
      <c r="G4088" s="534"/>
      <c r="H4088" s="534"/>
    </row>
    <row r="4089" spans="3:9" ht="25.8" customHeight="1">
      <c r="C4089" s="833" t="s">
        <v>1203</v>
      </c>
      <c r="D4089" s="212" t="s">
        <v>8008</v>
      </c>
      <c r="E4089" s="807" t="s">
        <v>135</v>
      </c>
      <c r="F4089" s="832">
        <v>1.2</v>
      </c>
      <c r="G4089" s="539">
        <f>VLOOKUP(D4089,upahbahan,3,FALSE)</f>
        <v>0</v>
      </c>
      <c r="H4089" s="539">
        <f t="shared" ref="H4089" si="438">F4089*G4089</f>
        <v>0</v>
      </c>
    </row>
    <row r="4090" spans="3:9" ht="25.8" customHeight="1">
      <c r="C4090" s="702" t="s">
        <v>1214</v>
      </c>
      <c r="D4090" s="208"/>
      <c r="E4090" s="208"/>
      <c r="F4090" s="208"/>
      <c r="G4090" s="209"/>
      <c r="H4090" s="539">
        <f>SUM(H4089:H4089)</f>
        <v>0</v>
      </c>
    </row>
    <row r="4091" spans="3:9" ht="25.8" customHeight="1">
      <c r="C4091" s="213" t="s">
        <v>1215</v>
      </c>
      <c r="D4091" s="212" t="s">
        <v>1216</v>
      </c>
      <c r="E4091" s="534"/>
      <c r="F4091" s="534"/>
      <c r="G4091" s="534"/>
      <c r="H4091" s="534"/>
    </row>
    <row r="4092" spans="3:9" ht="25.8" customHeight="1">
      <c r="C4092" s="702" t="s">
        <v>1217</v>
      </c>
      <c r="D4092" s="208"/>
      <c r="E4092" s="208"/>
      <c r="F4092" s="208"/>
      <c r="G4092" s="209"/>
      <c r="H4092" s="821">
        <v>0</v>
      </c>
    </row>
    <row r="4093" spans="3:9" ht="25.8" customHeight="1">
      <c r="C4093" s="566" t="s">
        <v>1218</v>
      </c>
      <c r="D4093" s="552" t="s">
        <v>1219</v>
      </c>
      <c r="E4093" s="553"/>
      <c r="F4093" s="553"/>
      <c r="G4093" s="554"/>
      <c r="H4093" s="826">
        <f>H4092+H4090+H4087</f>
        <v>42885</v>
      </c>
      <c r="I4093" s="827"/>
    </row>
    <row r="4094" spans="3:9" ht="25.8" customHeight="1">
      <c r="C4094" s="566" t="s">
        <v>1220</v>
      </c>
      <c r="D4094" s="552" t="s">
        <v>1321</v>
      </c>
      <c r="E4094" s="553"/>
      <c r="F4094" s="554"/>
      <c r="G4094" s="555">
        <f>$M$9</f>
        <v>0.1</v>
      </c>
      <c r="H4094" s="539">
        <f>H4093*G4094</f>
        <v>4288.5</v>
      </c>
      <c r="I4094" s="827"/>
    </row>
    <row r="4095" spans="3:9" ht="25.8" customHeight="1">
      <c r="C4095" s="566" t="s">
        <v>1221</v>
      </c>
      <c r="D4095" s="552" t="s">
        <v>1222</v>
      </c>
      <c r="E4095" s="553"/>
      <c r="F4095" s="553"/>
      <c r="G4095" s="554"/>
      <c r="H4095" s="828">
        <f>SUM(H4093:H4094)</f>
        <v>47173.5</v>
      </c>
      <c r="I4095" s="827"/>
    </row>
    <row r="4096" spans="3:9" ht="25.8" customHeight="1">
      <c r="C4096" s="572"/>
      <c r="D4096" s="575"/>
      <c r="E4096" s="575"/>
      <c r="F4096" s="575"/>
      <c r="G4096" s="575"/>
      <c r="H4096" s="830"/>
    </row>
    <row r="4097" spans="3:11" ht="25.8" customHeight="1">
      <c r="C4097" s="513" t="s">
        <v>7994</v>
      </c>
      <c r="D4097" s="817" t="s">
        <v>8009</v>
      </c>
      <c r="E4097" s="803"/>
      <c r="F4097" s="803"/>
      <c r="G4097" s="803"/>
      <c r="H4097" s="803"/>
      <c r="I4097" s="533">
        <f>ROUNDDOWN(H4112,-2)</f>
        <v>47100</v>
      </c>
      <c r="J4097" s="536" t="s">
        <v>7804</v>
      </c>
      <c r="K4097" s="824"/>
    </row>
    <row r="4098" spans="3:11" ht="25.8" customHeight="1">
      <c r="C4098" s="716" t="s">
        <v>1195</v>
      </c>
      <c r="D4098" s="716" t="s">
        <v>1196</v>
      </c>
      <c r="E4098" s="716" t="s">
        <v>1197</v>
      </c>
      <c r="F4098" s="716" t="s">
        <v>1198</v>
      </c>
      <c r="G4098" s="716" t="s">
        <v>1199</v>
      </c>
      <c r="H4098" s="716" t="s">
        <v>1200</v>
      </c>
    </row>
    <row r="4099" spans="3:11" ht="25.8" customHeight="1">
      <c r="C4099" s="213" t="s">
        <v>1201</v>
      </c>
      <c r="D4099" s="212" t="s">
        <v>1202</v>
      </c>
      <c r="E4099" s="534"/>
      <c r="F4099" s="534"/>
      <c r="G4099" s="534"/>
      <c r="H4099" s="534"/>
    </row>
    <row r="4100" spans="3:11" ht="25.8" customHeight="1">
      <c r="C4100" s="818">
        <v>1</v>
      </c>
      <c r="D4100" s="212" t="s">
        <v>5</v>
      </c>
      <c r="E4100" s="212" t="s">
        <v>6</v>
      </c>
      <c r="F4100" s="538">
        <v>0.11899999999999999</v>
      </c>
      <c r="G4100" s="539">
        <f>VLOOKUP(D4100,upahbahan,3,FALSE)</f>
        <v>100000</v>
      </c>
      <c r="H4100" s="539">
        <f t="shared" ref="H4100:H4103" si="439">F4100*G4100</f>
        <v>11900</v>
      </c>
    </row>
    <row r="4101" spans="3:11" ht="25.8" customHeight="1">
      <c r="C4101" s="818">
        <v>2</v>
      </c>
      <c r="D4101" s="212" t="s">
        <v>3295</v>
      </c>
      <c r="E4101" s="212" t="s">
        <v>6</v>
      </c>
      <c r="F4101" s="538">
        <v>0.19900000000000001</v>
      </c>
      <c r="G4101" s="539">
        <f>VLOOKUP(D4101,upahbahan,3,FALSE)</f>
        <v>135000</v>
      </c>
      <c r="H4101" s="539">
        <f t="shared" si="439"/>
        <v>26865</v>
      </c>
    </row>
    <row r="4102" spans="3:11" ht="25.8" customHeight="1">
      <c r="C4102" s="818">
        <v>3</v>
      </c>
      <c r="D4102" s="212" t="s">
        <v>18</v>
      </c>
      <c r="E4102" s="212" t="s">
        <v>6</v>
      </c>
      <c r="F4102" s="538">
        <v>0.02</v>
      </c>
      <c r="G4102" s="539">
        <f>VLOOKUP(D4102,upahbahan,3,FALSE)</f>
        <v>150000</v>
      </c>
      <c r="H4102" s="539">
        <f t="shared" si="439"/>
        <v>3000</v>
      </c>
    </row>
    <row r="4103" spans="3:11" ht="25.8" customHeight="1">
      <c r="C4103" s="818">
        <v>4</v>
      </c>
      <c r="D4103" s="212" t="s">
        <v>19</v>
      </c>
      <c r="E4103" s="212" t="s">
        <v>6</v>
      </c>
      <c r="F4103" s="538">
        <v>7.0000000000000001E-3</v>
      </c>
      <c r="G4103" s="539">
        <f>VLOOKUP(D4103,upahbahan,3,FALSE)</f>
        <v>160000</v>
      </c>
      <c r="H4103" s="539">
        <f t="shared" si="439"/>
        <v>1120</v>
      </c>
    </row>
    <row r="4104" spans="3:11" ht="25.8" customHeight="1">
      <c r="C4104" s="702" t="s">
        <v>1208</v>
      </c>
      <c r="D4104" s="208"/>
      <c r="E4104" s="208"/>
      <c r="F4104" s="811"/>
      <c r="G4104" s="522"/>
      <c r="H4104" s="539">
        <f>SUM(H4100:H4103)</f>
        <v>42885</v>
      </c>
      <c r="I4104" s="819"/>
    </row>
    <row r="4105" spans="3:11" ht="25.8" customHeight="1">
      <c r="C4105" s="213" t="s">
        <v>1209</v>
      </c>
      <c r="D4105" s="212" t="s">
        <v>1210</v>
      </c>
      <c r="E4105" s="534"/>
      <c r="F4105" s="831"/>
      <c r="G4105" s="534"/>
      <c r="H4105" s="534"/>
    </row>
    <row r="4106" spans="3:11" ht="25.8" customHeight="1">
      <c r="C4106" s="833" t="s">
        <v>1203</v>
      </c>
      <c r="D4106" s="212" t="s">
        <v>8010</v>
      </c>
      <c r="E4106" s="807" t="s">
        <v>135</v>
      </c>
      <c r="F4106" s="832">
        <v>1.2</v>
      </c>
      <c r="G4106" s="539">
        <f>VLOOKUP(D4106,upahbahan,3,FALSE)</f>
        <v>0</v>
      </c>
      <c r="H4106" s="539">
        <f t="shared" ref="H4106" si="440">F4106*G4106</f>
        <v>0</v>
      </c>
    </row>
    <row r="4107" spans="3:11" ht="25.8" customHeight="1">
      <c r="C4107" s="702" t="s">
        <v>1214</v>
      </c>
      <c r="D4107" s="208"/>
      <c r="E4107" s="208"/>
      <c r="F4107" s="208"/>
      <c r="G4107" s="209"/>
      <c r="H4107" s="539">
        <f>SUM(H4106:H4106)</f>
        <v>0</v>
      </c>
    </row>
    <row r="4108" spans="3:11" ht="25.8" customHeight="1">
      <c r="C4108" s="213" t="s">
        <v>1215</v>
      </c>
      <c r="D4108" s="212" t="s">
        <v>1216</v>
      </c>
      <c r="E4108" s="534"/>
      <c r="F4108" s="534"/>
      <c r="G4108" s="534"/>
      <c r="H4108" s="534"/>
    </row>
    <row r="4109" spans="3:11" ht="25.8" customHeight="1">
      <c r="C4109" s="702" t="s">
        <v>1217</v>
      </c>
      <c r="D4109" s="208"/>
      <c r="E4109" s="208"/>
      <c r="F4109" s="208"/>
      <c r="G4109" s="209"/>
      <c r="H4109" s="821">
        <v>0</v>
      </c>
    </row>
    <row r="4110" spans="3:11" ht="25.8" customHeight="1">
      <c r="C4110" s="566" t="s">
        <v>1218</v>
      </c>
      <c r="D4110" s="552" t="s">
        <v>1219</v>
      </c>
      <c r="E4110" s="553"/>
      <c r="F4110" s="553"/>
      <c r="G4110" s="554"/>
      <c r="H4110" s="826">
        <f>H4109+H4107+H4104</f>
        <v>42885</v>
      </c>
      <c r="I4110" s="827"/>
    </row>
    <row r="4111" spans="3:11" ht="25.8" customHeight="1">
      <c r="C4111" s="566" t="s">
        <v>1220</v>
      </c>
      <c r="D4111" s="552" t="s">
        <v>1321</v>
      </c>
      <c r="E4111" s="553"/>
      <c r="F4111" s="554"/>
      <c r="G4111" s="555">
        <f>$M$9</f>
        <v>0.1</v>
      </c>
      <c r="H4111" s="539">
        <f>H4110*G4111</f>
        <v>4288.5</v>
      </c>
      <c r="I4111" s="827"/>
    </row>
    <row r="4112" spans="3:11" ht="25.8" customHeight="1">
      <c r="C4112" s="566" t="s">
        <v>1221</v>
      </c>
      <c r="D4112" s="552" t="s">
        <v>1222</v>
      </c>
      <c r="E4112" s="553"/>
      <c r="F4112" s="553"/>
      <c r="G4112" s="554"/>
      <c r="H4112" s="828">
        <f>SUM(H4110:H4111)</f>
        <v>47173.5</v>
      </c>
      <c r="I4112" s="827"/>
    </row>
    <row r="4113" spans="3:11" ht="25.8" customHeight="1">
      <c r="C4113" s="572"/>
      <c r="D4113" s="575"/>
      <c r="E4113" s="575"/>
      <c r="F4113" s="575"/>
      <c r="G4113" s="575"/>
      <c r="H4113" s="830"/>
    </row>
    <row r="4114" spans="3:11" ht="25.8" customHeight="1">
      <c r="C4114" s="513" t="s">
        <v>7995</v>
      </c>
      <c r="D4114" s="817" t="s">
        <v>8011</v>
      </c>
      <c r="E4114" s="803"/>
      <c r="F4114" s="803"/>
      <c r="G4114" s="803"/>
      <c r="H4114" s="803"/>
      <c r="I4114" s="533">
        <f>ROUNDDOWN(H4129,-2)</f>
        <v>47100</v>
      </c>
      <c r="J4114" s="536" t="s">
        <v>7804</v>
      </c>
      <c r="K4114" s="824"/>
    </row>
    <row r="4115" spans="3:11" ht="25.8" customHeight="1">
      <c r="C4115" s="716" t="s">
        <v>1195</v>
      </c>
      <c r="D4115" s="716" t="s">
        <v>1196</v>
      </c>
      <c r="E4115" s="716" t="s">
        <v>1197</v>
      </c>
      <c r="F4115" s="716" t="s">
        <v>1198</v>
      </c>
      <c r="G4115" s="716" t="s">
        <v>1199</v>
      </c>
      <c r="H4115" s="716" t="s">
        <v>1200</v>
      </c>
    </row>
    <row r="4116" spans="3:11" ht="25.8" customHeight="1">
      <c r="C4116" s="213" t="s">
        <v>1201</v>
      </c>
      <c r="D4116" s="212" t="s">
        <v>1202</v>
      </c>
      <c r="E4116" s="534"/>
      <c r="F4116" s="534"/>
      <c r="G4116" s="534"/>
      <c r="H4116" s="534"/>
    </row>
    <row r="4117" spans="3:11" ht="25.8" customHeight="1">
      <c r="C4117" s="818">
        <v>1</v>
      </c>
      <c r="D4117" s="212" t="s">
        <v>5</v>
      </c>
      <c r="E4117" s="212" t="s">
        <v>6</v>
      </c>
      <c r="F4117" s="538">
        <v>0.11899999999999999</v>
      </c>
      <c r="G4117" s="539">
        <f>VLOOKUP(D4117,upahbahan,3,FALSE)</f>
        <v>100000</v>
      </c>
      <c r="H4117" s="539">
        <f t="shared" ref="H4117:H4120" si="441">F4117*G4117</f>
        <v>11900</v>
      </c>
    </row>
    <row r="4118" spans="3:11" ht="25.8" customHeight="1">
      <c r="C4118" s="818">
        <v>2</v>
      </c>
      <c r="D4118" s="212" t="s">
        <v>3295</v>
      </c>
      <c r="E4118" s="212" t="s">
        <v>6</v>
      </c>
      <c r="F4118" s="538">
        <v>0.19900000000000001</v>
      </c>
      <c r="G4118" s="539">
        <f>VLOOKUP(D4118,upahbahan,3,FALSE)</f>
        <v>135000</v>
      </c>
      <c r="H4118" s="539">
        <f t="shared" si="441"/>
        <v>26865</v>
      </c>
    </row>
    <row r="4119" spans="3:11" ht="25.8" customHeight="1">
      <c r="C4119" s="818">
        <v>3</v>
      </c>
      <c r="D4119" s="212" t="s">
        <v>18</v>
      </c>
      <c r="E4119" s="212" t="s">
        <v>6</v>
      </c>
      <c r="F4119" s="538">
        <v>0.02</v>
      </c>
      <c r="G4119" s="539">
        <f>VLOOKUP(D4119,upahbahan,3,FALSE)</f>
        <v>150000</v>
      </c>
      <c r="H4119" s="539">
        <f t="shared" si="441"/>
        <v>3000</v>
      </c>
    </row>
    <row r="4120" spans="3:11" ht="25.8" customHeight="1">
      <c r="C4120" s="818">
        <v>4</v>
      </c>
      <c r="D4120" s="212" t="s">
        <v>19</v>
      </c>
      <c r="E4120" s="212" t="s">
        <v>6</v>
      </c>
      <c r="F4120" s="538">
        <v>7.0000000000000001E-3</v>
      </c>
      <c r="G4120" s="539">
        <f>VLOOKUP(D4120,upahbahan,3,FALSE)</f>
        <v>160000</v>
      </c>
      <c r="H4120" s="539">
        <f t="shared" si="441"/>
        <v>1120</v>
      </c>
    </row>
    <row r="4121" spans="3:11" ht="25.8" customHeight="1">
      <c r="C4121" s="702" t="s">
        <v>1208</v>
      </c>
      <c r="D4121" s="208"/>
      <c r="E4121" s="208"/>
      <c r="F4121" s="811"/>
      <c r="G4121" s="522"/>
      <c r="H4121" s="539">
        <f>SUM(H4117:H4120)</f>
        <v>42885</v>
      </c>
      <c r="I4121" s="819"/>
    </row>
    <row r="4122" spans="3:11" ht="25.8" customHeight="1">
      <c r="C4122" s="213" t="s">
        <v>1209</v>
      </c>
      <c r="D4122" s="212" t="s">
        <v>1210</v>
      </c>
      <c r="E4122" s="534"/>
      <c r="F4122" s="831"/>
      <c r="G4122" s="534"/>
      <c r="H4122" s="534"/>
    </row>
    <row r="4123" spans="3:11" ht="25.8" customHeight="1">
      <c r="C4123" s="833" t="s">
        <v>1203</v>
      </c>
      <c r="D4123" s="212" t="s">
        <v>8012</v>
      </c>
      <c r="E4123" s="807" t="s">
        <v>135</v>
      </c>
      <c r="F4123" s="832">
        <v>1.2</v>
      </c>
      <c r="G4123" s="539">
        <f>VLOOKUP(D4123,upahbahan,3,FALSE)</f>
        <v>0</v>
      </c>
      <c r="H4123" s="539">
        <f t="shared" ref="H4123" si="442">F4123*G4123</f>
        <v>0</v>
      </c>
    </row>
    <row r="4124" spans="3:11" ht="25.8" customHeight="1">
      <c r="C4124" s="702" t="s">
        <v>1214</v>
      </c>
      <c r="D4124" s="208"/>
      <c r="E4124" s="208"/>
      <c r="F4124" s="208"/>
      <c r="G4124" s="209"/>
      <c r="H4124" s="539">
        <f>SUM(H4123:H4123)</f>
        <v>0</v>
      </c>
    </row>
    <row r="4125" spans="3:11" ht="25.8" customHeight="1">
      <c r="C4125" s="213" t="s">
        <v>1215</v>
      </c>
      <c r="D4125" s="212" t="s">
        <v>1216</v>
      </c>
      <c r="E4125" s="534"/>
      <c r="F4125" s="534"/>
      <c r="G4125" s="534"/>
      <c r="H4125" s="534"/>
    </row>
    <row r="4126" spans="3:11" ht="25.8" customHeight="1">
      <c r="C4126" s="702" t="s">
        <v>1217</v>
      </c>
      <c r="D4126" s="208"/>
      <c r="E4126" s="208"/>
      <c r="F4126" s="208"/>
      <c r="G4126" s="209"/>
      <c r="H4126" s="821">
        <v>0</v>
      </c>
    </row>
    <row r="4127" spans="3:11" ht="25.8" customHeight="1">
      <c r="C4127" s="566" t="s">
        <v>1218</v>
      </c>
      <c r="D4127" s="552" t="s">
        <v>1219</v>
      </c>
      <c r="E4127" s="553"/>
      <c r="F4127" s="553"/>
      <c r="G4127" s="554"/>
      <c r="H4127" s="826">
        <f>H4126+H4124+H4121</f>
        <v>42885</v>
      </c>
      <c r="I4127" s="827"/>
    </row>
    <row r="4128" spans="3:11" ht="25.8" customHeight="1">
      <c r="C4128" s="566" t="s">
        <v>1220</v>
      </c>
      <c r="D4128" s="552" t="s">
        <v>1321</v>
      </c>
      <c r="E4128" s="553"/>
      <c r="F4128" s="554"/>
      <c r="G4128" s="555">
        <f>$M$9</f>
        <v>0.1</v>
      </c>
      <c r="H4128" s="539">
        <f>H4127*G4128</f>
        <v>4288.5</v>
      </c>
      <c r="I4128" s="827"/>
    </row>
    <row r="4129" spans="3:11" ht="25.8" customHeight="1">
      <c r="C4129" s="566" t="s">
        <v>1221</v>
      </c>
      <c r="D4129" s="552" t="s">
        <v>1222</v>
      </c>
      <c r="E4129" s="553"/>
      <c r="F4129" s="553"/>
      <c r="G4129" s="554"/>
      <c r="H4129" s="828">
        <f>SUM(H4127:H4128)</f>
        <v>47173.5</v>
      </c>
      <c r="I4129" s="827"/>
    </row>
    <row r="4130" spans="3:11" ht="25.8" customHeight="1">
      <c r="C4130" s="572"/>
      <c r="D4130" s="575"/>
      <c r="E4130" s="575"/>
      <c r="F4130" s="575"/>
      <c r="G4130" s="575"/>
      <c r="H4130" s="830"/>
    </row>
    <row r="4131" spans="3:11" ht="25.8" customHeight="1">
      <c r="C4131" s="513" t="s">
        <v>7996</v>
      </c>
      <c r="D4131" s="817" t="s">
        <v>8013</v>
      </c>
      <c r="E4131" s="803"/>
      <c r="F4131" s="803"/>
      <c r="G4131" s="803"/>
      <c r="H4131" s="803"/>
      <c r="I4131" s="533">
        <f>ROUNDDOWN(H4146,-2)</f>
        <v>47100</v>
      </c>
      <c r="J4131" s="536" t="s">
        <v>7804</v>
      </c>
      <c r="K4131" s="824"/>
    </row>
    <row r="4132" spans="3:11" ht="25.8" customHeight="1">
      <c r="C4132" s="716" t="s">
        <v>1195</v>
      </c>
      <c r="D4132" s="716" t="s">
        <v>1196</v>
      </c>
      <c r="E4132" s="716" t="s">
        <v>1197</v>
      </c>
      <c r="F4132" s="716" t="s">
        <v>1198</v>
      </c>
      <c r="G4132" s="716" t="s">
        <v>1199</v>
      </c>
      <c r="H4132" s="716" t="s">
        <v>1200</v>
      </c>
    </row>
    <row r="4133" spans="3:11" ht="25.8" customHeight="1">
      <c r="C4133" s="213" t="s">
        <v>1201</v>
      </c>
      <c r="D4133" s="212" t="s">
        <v>1202</v>
      </c>
      <c r="E4133" s="534"/>
      <c r="F4133" s="534"/>
      <c r="G4133" s="534"/>
      <c r="H4133" s="534"/>
    </row>
    <row r="4134" spans="3:11" ht="25.8" customHeight="1">
      <c r="C4134" s="818">
        <v>1</v>
      </c>
      <c r="D4134" s="212" t="s">
        <v>5</v>
      </c>
      <c r="E4134" s="212" t="s">
        <v>6</v>
      </c>
      <c r="F4134" s="538">
        <v>0.11899999999999999</v>
      </c>
      <c r="G4134" s="539">
        <f>VLOOKUP(D4134,upahbahan,3,FALSE)</f>
        <v>100000</v>
      </c>
      <c r="H4134" s="539">
        <f t="shared" ref="H4134:H4137" si="443">F4134*G4134</f>
        <v>11900</v>
      </c>
    </row>
    <row r="4135" spans="3:11" ht="25.8" customHeight="1">
      <c r="C4135" s="818">
        <v>2</v>
      </c>
      <c r="D4135" s="212" t="s">
        <v>3295</v>
      </c>
      <c r="E4135" s="212" t="s">
        <v>6</v>
      </c>
      <c r="F4135" s="538">
        <v>0.19900000000000001</v>
      </c>
      <c r="G4135" s="539">
        <f>VLOOKUP(D4135,upahbahan,3,FALSE)</f>
        <v>135000</v>
      </c>
      <c r="H4135" s="539">
        <f t="shared" si="443"/>
        <v>26865</v>
      </c>
    </row>
    <row r="4136" spans="3:11" ht="25.8" customHeight="1">
      <c r="C4136" s="818">
        <v>3</v>
      </c>
      <c r="D4136" s="212" t="s">
        <v>18</v>
      </c>
      <c r="E4136" s="212" t="s">
        <v>6</v>
      </c>
      <c r="F4136" s="538">
        <v>0.02</v>
      </c>
      <c r="G4136" s="539">
        <f>VLOOKUP(D4136,upahbahan,3,FALSE)</f>
        <v>150000</v>
      </c>
      <c r="H4136" s="539">
        <f t="shared" si="443"/>
        <v>3000</v>
      </c>
    </row>
    <row r="4137" spans="3:11" ht="25.8" customHeight="1">
      <c r="C4137" s="818">
        <v>4</v>
      </c>
      <c r="D4137" s="212" t="s">
        <v>19</v>
      </c>
      <c r="E4137" s="212" t="s">
        <v>6</v>
      </c>
      <c r="F4137" s="538">
        <v>7.0000000000000001E-3</v>
      </c>
      <c r="G4137" s="539">
        <f>VLOOKUP(D4137,upahbahan,3,FALSE)</f>
        <v>160000</v>
      </c>
      <c r="H4137" s="539">
        <f t="shared" si="443"/>
        <v>1120</v>
      </c>
    </row>
    <row r="4138" spans="3:11" ht="25.8" customHeight="1">
      <c r="C4138" s="702" t="s">
        <v>1208</v>
      </c>
      <c r="D4138" s="208"/>
      <c r="E4138" s="208"/>
      <c r="F4138" s="811"/>
      <c r="G4138" s="522"/>
      <c r="H4138" s="539">
        <f>SUM(H4134:H4137)</f>
        <v>42885</v>
      </c>
      <c r="I4138" s="819"/>
    </row>
    <row r="4139" spans="3:11" ht="25.8" customHeight="1">
      <c r="C4139" s="213" t="s">
        <v>1209</v>
      </c>
      <c r="D4139" s="212" t="s">
        <v>1210</v>
      </c>
      <c r="E4139" s="534"/>
      <c r="F4139" s="831"/>
      <c r="G4139" s="534"/>
      <c r="H4139" s="534"/>
    </row>
    <row r="4140" spans="3:11" ht="25.8" customHeight="1">
      <c r="C4140" s="833" t="s">
        <v>1203</v>
      </c>
      <c r="D4140" s="212" t="s">
        <v>8014</v>
      </c>
      <c r="E4140" s="807" t="s">
        <v>135</v>
      </c>
      <c r="F4140" s="832">
        <v>1.2</v>
      </c>
      <c r="G4140" s="539">
        <f>VLOOKUP(D4140,upahbahan,3,FALSE)</f>
        <v>0</v>
      </c>
      <c r="H4140" s="539">
        <f t="shared" ref="H4140" si="444">F4140*G4140</f>
        <v>0</v>
      </c>
    </row>
    <row r="4141" spans="3:11" ht="25.8" customHeight="1">
      <c r="C4141" s="702" t="s">
        <v>1214</v>
      </c>
      <c r="D4141" s="208"/>
      <c r="E4141" s="208"/>
      <c r="F4141" s="208"/>
      <c r="G4141" s="209"/>
      <c r="H4141" s="539">
        <f>SUM(H4140:H4140)</f>
        <v>0</v>
      </c>
    </row>
    <row r="4142" spans="3:11" ht="25.8" customHeight="1">
      <c r="C4142" s="213" t="s">
        <v>1215</v>
      </c>
      <c r="D4142" s="212" t="s">
        <v>1216</v>
      </c>
      <c r="E4142" s="534"/>
      <c r="F4142" s="534"/>
      <c r="G4142" s="534"/>
      <c r="H4142" s="534"/>
    </row>
    <row r="4143" spans="3:11" ht="25.8" customHeight="1">
      <c r="C4143" s="702" t="s">
        <v>1217</v>
      </c>
      <c r="D4143" s="208"/>
      <c r="E4143" s="208"/>
      <c r="F4143" s="208"/>
      <c r="G4143" s="209"/>
      <c r="H4143" s="821">
        <v>0</v>
      </c>
    </row>
    <row r="4144" spans="3:11" ht="25.8" customHeight="1">
      <c r="C4144" s="566" t="s">
        <v>1218</v>
      </c>
      <c r="D4144" s="552" t="s">
        <v>1219</v>
      </c>
      <c r="E4144" s="553"/>
      <c r="F4144" s="553"/>
      <c r="G4144" s="554"/>
      <c r="H4144" s="826">
        <f>H4143+H4141+H4138</f>
        <v>42885</v>
      </c>
      <c r="I4144" s="827"/>
    </row>
    <row r="4145" spans="3:11" ht="25.8" customHeight="1">
      <c r="C4145" s="566" t="s">
        <v>1220</v>
      </c>
      <c r="D4145" s="552" t="s">
        <v>1321</v>
      </c>
      <c r="E4145" s="553"/>
      <c r="F4145" s="554"/>
      <c r="G4145" s="555">
        <f>$M$9</f>
        <v>0.1</v>
      </c>
      <c r="H4145" s="539">
        <f>H4144*G4145</f>
        <v>4288.5</v>
      </c>
      <c r="I4145" s="827"/>
    </row>
    <row r="4146" spans="3:11" ht="25.8" customHeight="1">
      <c r="C4146" s="566" t="s">
        <v>1221</v>
      </c>
      <c r="D4146" s="552" t="s">
        <v>1222</v>
      </c>
      <c r="E4146" s="553"/>
      <c r="F4146" s="553"/>
      <c r="G4146" s="554"/>
      <c r="H4146" s="828">
        <f>SUM(H4144:H4145)</f>
        <v>47173.5</v>
      </c>
      <c r="I4146" s="827"/>
    </row>
    <row r="4147" spans="3:11" ht="25.8" customHeight="1">
      <c r="C4147" s="572"/>
      <c r="D4147" s="575"/>
      <c r="E4147" s="575"/>
      <c r="F4147" s="575"/>
      <c r="G4147" s="575"/>
      <c r="H4147" s="830"/>
    </row>
    <row r="4148" spans="3:11" ht="25.8" customHeight="1">
      <c r="C4148" s="513" t="s">
        <v>7997</v>
      </c>
      <c r="D4148" s="817" t="s">
        <v>8015</v>
      </c>
      <c r="E4148" s="803"/>
      <c r="F4148" s="803"/>
      <c r="G4148" s="803"/>
      <c r="H4148" s="803"/>
      <c r="I4148" s="533">
        <f>ROUNDDOWN(H4163,-2)</f>
        <v>47100</v>
      </c>
      <c r="J4148" s="536" t="s">
        <v>7804</v>
      </c>
      <c r="K4148" s="824"/>
    </row>
    <row r="4149" spans="3:11" ht="25.8" customHeight="1">
      <c r="C4149" s="716" t="s">
        <v>1195</v>
      </c>
      <c r="D4149" s="716" t="s">
        <v>1196</v>
      </c>
      <c r="E4149" s="716" t="s">
        <v>1197</v>
      </c>
      <c r="F4149" s="716" t="s">
        <v>1198</v>
      </c>
      <c r="G4149" s="716" t="s">
        <v>1199</v>
      </c>
      <c r="H4149" s="716" t="s">
        <v>1200</v>
      </c>
    </row>
    <row r="4150" spans="3:11" ht="25.8" customHeight="1">
      <c r="C4150" s="213" t="s">
        <v>1201</v>
      </c>
      <c r="D4150" s="212" t="s">
        <v>1202</v>
      </c>
      <c r="E4150" s="534"/>
      <c r="F4150" s="534"/>
      <c r="G4150" s="534"/>
      <c r="H4150" s="534"/>
    </row>
    <row r="4151" spans="3:11" ht="25.8" customHeight="1">
      <c r="C4151" s="818">
        <v>1</v>
      </c>
      <c r="D4151" s="212" t="s">
        <v>5</v>
      </c>
      <c r="E4151" s="212" t="s">
        <v>6</v>
      </c>
      <c r="F4151" s="538">
        <v>0.11899999999999999</v>
      </c>
      <c r="G4151" s="539">
        <f>VLOOKUP(D4151,upahbahan,3,FALSE)</f>
        <v>100000</v>
      </c>
      <c r="H4151" s="539">
        <f t="shared" ref="H4151:H4154" si="445">F4151*G4151</f>
        <v>11900</v>
      </c>
    </row>
    <row r="4152" spans="3:11" ht="25.8" customHeight="1">
      <c r="C4152" s="818">
        <v>2</v>
      </c>
      <c r="D4152" s="212" t="s">
        <v>3295</v>
      </c>
      <c r="E4152" s="212" t="s">
        <v>6</v>
      </c>
      <c r="F4152" s="538">
        <v>0.19900000000000001</v>
      </c>
      <c r="G4152" s="539">
        <f>VLOOKUP(D4152,upahbahan,3,FALSE)</f>
        <v>135000</v>
      </c>
      <c r="H4152" s="539">
        <f t="shared" si="445"/>
        <v>26865</v>
      </c>
    </row>
    <row r="4153" spans="3:11" ht="25.8" customHeight="1">
      <c r="C4153" s="818">
        <v>3</v>
      </c>
      <c r="D4153" s="212" t="s">
        <v>18</v>
      </c>
      <c r="E4153" s="212" t="s">
        <v>6</v>
      </c>
      <c r="F4153" s="538">
        <v>0.02</v>
      </c>
      <c r="G4153" s="539">
        <f>VLOOKUP(D4153,upahbahan,3,FALSE)</f>
        <v>150000</v>
      </c>
      <c r="H4153" s="539">
        <f t="shared" si="445"/>
        <v>3000</v>
      </c>
    </row>
    <row r="4154" spans="3:11" ht="25.8" customHeight="1">
      <c r="C4154" s="818">
        <v>4</v>
      </c>
      <c r="D4154" s="212" t="s">
        <v>19</v>
      </c>
      <c r="E4154" s="212" t="s">
        <v>6</v>
      </c>
      <c r="F4154" s="538">
        <v>7.0000000000000001E-3</v>
      </c>
      <c r="G4154" s="539">
        <f>VLOOKUP(D4154,upahbahan,3,FALSE)</f>
        <v>160000</v>
      </c>
      <c r="H4154" s="539">
        <f t="shared" si="445"/>
        <v>1120</v>
      </c>
    </row>
    <row r="4155" spans="3:11" ht="25.8" customHeight="1">
      <c r="C4155" s="702" t="s">
        <v>1208</v>
      </c>
      <c r="D4155" s="208"/>
      <c r="E4155" s="208"/>
      <c r="F4155" s="811"/>
      <c r="G4155" s="522"/>
      <c r="H4155" s="539">
        <f>SUM(H4151:H4154)</f>
        <v>42885</v>
      </c>
      <c r="I4155" s="819"/>
    </row>
    <row r="4156" spans="3:11" ht="25.8" customHeight="1">
      <c r="C4156" s="213" t="s">
        <v>1209</v>
      </c>
      <c r="D4156" s="212" t="s">
        <v>1210</v>
      </c>
      <c r="E4156" s="534"/>
      <c r="F4156" s="831"/>
      <c r="G4156" s="534"/>
      <c r="H4156" s="534"/>
    </row>
    <row r="4157" spans="3:11" ht="25.8" customHeight="1">
      <c r="C4157" s="833" t="s">
        <v>1203</v>
      </c>
      <c r="D4157" s="212" t="s">
        <v>8016</v>
      </c>
      <c r="E4157" s="807" t="s">
        <v>135</v>
      </c>
      <c r="F4157" s="832">
        <v>1.2</v>
      </c>
      <c r="G4157" s="539">
        <f>VLOOKUP(D4157,upahbahan,3,FALSE)</f>
        <v>0</v>
      </c>
      <c r="H4157" s="539">
        <f t="shared" ref="H4157" si="446">F4157*G4157</f>
        <v>0</v>
      </c>
    </row>
    <row r="4158" spans="3:11" ht="25.8" customHeight="1">
      <c r="C4158" s="702" t="s">
        <v>1214</v>
      </c>
      <c r="D4158" s="208"/>
      <c r="E4158" s="208"/>
      <c r="F4158" s="208"/>
      <c r="G4158" s="209"/>
      <c r="H4158" s="539">
        <f>SUM(H4157:H4157)</f>
        <v>0</v>
      </c>
    </row>
    <row r="4159" spans="3:11" ht="25.8" customHeight="1">
      <c r="C4159" s="213" t="s">
        <v>1215</v>
      </c>
      <c r="D4159" s="212" t="s">
        <v>1216</v>
      </c>
      <c r="E4159" s="534"/>
      <c r="F4159" s="534"/>
      <c r="G4159" s="534"/>
      <c r="H4159" s="534"/>
    </row>
    <row r="4160" spans="3:11" ht="25.8" customHeight="1">
      <c r="C4160" s="702" t="s">
        <v>1217</v>
      </c>
      <c r="D4160" s="208"/>
      <c r="E4160" s="208"/>
      <c r="F4160" s="208"/>
      <c r="G4160" s="209"/>
      <c r="H4160" s="821">
        <v>0</v>
      </c>
    </row>
    <row r="4161" spans="3:11" ht="25.8" customHeight="1">
      <c r="C4161" s="566" t="s">
        <v>1218</v>
      </c>
      <c r="D4161" s="552" t="s">
        <v>1219</v>
      </c>
      <c r="E4161" s="553"/>
      <c r="F4161" s="553"/>
      <c r="G4161" s="554"/>
      <c r="H4161" s="826">
        <f>H4160+H4158+H4155</f>
        <v>42885</v>
      </c>
      <c r="I4161" s="827"/>
    </row>
    <row r="4162" spans="3:11" ht="25.8" customHeight="1">
      <c r="C4162" s="566" t="s">
        <v>1220</v>
      </c>
      <c r="D4162" s="552" t="s">
        <v>1321</v>
      </c>
      <c r="E4162" s="553"/>
      <c r="F4162" s="554"/>
      <c r="G4162" s="555">
        <f>$M$9</f>
        <v>0.1</v>
      </c>
      <c r="H4162" s="539">
        <f>H4161*G4162</f>
        <v>4288.5</v>
      </c>
      <c r="I4162" s="827"/>
    </row>
    <row r="4163" spans="3:11" ht="25.8" customHeight="1">
      <c r="C4163" s="566" t="s">
        <v>1221</v>
      </c>
      <c r="D4163" s="552" t="s">
        <v>1222</v>
      </c>
      <c r="E4163" s="553"/>
      <c r="F4163" s="553"/>
      <c r="G4163" s="554"/>
      <c r="H4163" s="828">
        <f>SUM(H4161:H4162)</f>
        <v>47173.5</v>
      </c>
      <c r="I4163" s="827"/>
    </row>
    <row r="4164" spans="3:11" ht="25.8" customHeight="1">
      <c r="C4164" s="572"/>
      <c r="D4164" s="575"/>
      <c r="E4164" s="575"/>
      <c r="F4164" s="575"/>
      <c r="G4164" s="575"/>
      <c r="H4164" s="830"/>
    </row>
    <row r="4165" spans="3:11" ht="25.8" customHeight="1">
      <c r="C4165" s="513" t="s">
        <v>7998</v>
      </c>
      <c r="D4165" s="817" t="s">
        <v>8017</v>
      </c>
      <c r="E4165" s="803"/>
      <c r="F4165" s="803"/>
      <c r="G4165" s="803"/>
      <c r="H4165" s="803"/>
      <c r="I4165" s="533">
        <f>ROUNDDOWN(H4180,-2)</f>
        <v>47100</v>
      </c>
      <c r="J4165" s="536" t="s">
        <v>7804</v>
      </c>
      <c r="K4165" s="824"/>
    </row>
    <row r="4166" spans="3:11" ht="25.8" customHeight="1">
      <c r="C4166" s="716" t="s">
        <v>1195</v>
      </c>
      <c r="D4166" s="716" t="s">
        <v>1196</v>
      </c>
      <c r="E4166" s="716" t="s">
        <v>1197</v>
      </c>
      <c r="F4166" s="716" t="s">
        <v>1198</v>
      </c>
      <c r="G4166" s="716" t="s">
        <v>1199</v>
      </c>
      <c r="H4166" s="716" t="s">
        <v>1200</v>
      </c>
    </row>
    <row r="4167" spans="3:11" ht="25.8" customHeight="1">
      <c r="C4167" s="213" t="s">
        <v>1201</v>
      </c>
      <c r="D4167" s="212" t="s">
        <v>1202</v>
      </c>
      <c r="E4167" s="534"/>
      <c r="F4167" s="534"/>
      <c r="G4167" s="534"/>
      <c r="H4167" s="534"/>
    </row>
    <row r="4168" spans="3:11" ht="25.8" customHeight="1">
      <c r="C4168" s="818">
        <v>1</v>
      </c>
      <c r="D4168" s="212" t="s">
        <v>5</v>
      </c>
      <c r="E4168" s="212" t="s">
        <v>6</v>
      </c>
      <c r="F4168" s="538">
        <v>0.11899999999999999</v>
      </c>
      <c r="G4168" s="539">
        <f>VLOOKUP(D4168,upahbahan,3,FALSE)</f>
        <v>100000</v>
      </c>
      <c r="H4168" s="539">
        <f t="shared" ref="H4168:H4171" si="447">F4168*G4168</f>
        <v>11900</v>
      </c>
    </row>
    <row r="4169" spans="3:11" ht="25.8" customHeight="1">
      <c r="C4169" s="818">
        <v>2</v>
      </c>
      <c r="D4169" s="212" t="s">
        <v>3295</v>
      </c>
      <c r="E4169" s="212" t="s">
        <v>6</v>
      </c>
      <c r="F4169" s="538">
        <v>0.19900000000000001</v>
      </c>
      <c r="G4169" s="539">
        <f>VLOOKUP(D4169,upahbahan,3,FALSE)</f>
        <v>135000</v>
      </c>
      <c r="H4169" s="539">
        <f t="shared" si="447"/>
        <v>26865</v>
      </c>
    </row>
    <row r="4170" spans="3:11" ht="25.8" customHeight="1">
      <c r="C4170" s="818">
        <v>3</v>
      </c>
      <c r="D4170" s="212" t="s">
        <v>18</v>
      </c>
      <c r="E4170" s="212" t="s">
        <v>6</v>
      </c>
      <c r="F4170" s="538">
        <v>0.02</v>
      </c>
      <c r="G4170" s="539">
        <f>VLOOKUP(D4170,upahbahan,3,FALSE)</f>
        <v>150000</v>
      </c>
      <c r="H4170" s="539">
        <f t="shared" si="447"/>
        <v>3000</v>
      </c>
    </row>
    <row r="4171" spans="3:11" ht="25.8" customHeight="1">
      <c r="C4171" s="818">
        <v>4</v>
      </c>
      <c r="D4171" s="212" t="s">
        <v>19</v>
      </c>
      <c r="E4171" s="212" t="s">
        <v>6</v>
      </c>
      <c r="F4171" s="538">
        <v>7.0000000000000001E-3</v>
      </c>
      <c r="G4171" s="539">
        <f>VLOOKUP(D4171,upahbahan,3,FALSE)</f>
        <v>160000</v>
      </c>
      <c r="H4171" s="539">
        <f t="shared" si="447"/>
        <v>1120</v>
      </c>
    </row>
    <row r="4172" spans="3:11" ht="25.8" customHeight="1">
      <c r="C4172" s="702" t="s">
        <v>1208</v>
      </c>
      <c r="D4172" s="208"/>
      <c r="E4172" s="208"/>
      <c r="F4172" s="811"/>
      <c r="G4172" s="522"/>
      <c r="H4172" s="539">
        <f>SUM(H4168:H4171)</f>
        <v>42885</v>
      </c>
      <c r="I4172" s="819"/>
    </row>
    <row r="4173" spans="3:11" ht="25.8" customHeight="1">
      <c r="C4173" s="213" t="s">
        <v>1209</v>
      </c>
      <c r="D4173" s="212" t="s">
        <v>1210</v>
      </c>
      <c r="E4173" s="534"/>
      <c r="F4173" s="831"/>
      <c r="G4173" s="534"/>
      <c r="H4173" s="534"/>
    </row>
    <row r="4174" spans="3:11" ht="25.8" customHeight="1">
      <c r="C4174" s="833" t="s">
        <v>1203</v>
      </c>
      <c r="D4174" s="212" t="s">
        <v>8018</v>
      </c>
      <c r="E4174" s="807" t="s">
        <v>135</v>
      </c>
      <c r="F4174" s="832">
        <v>1.2</v>
      </c>
      <c r="G4174" s="539">
        <f>VLOOKUP(D4174,upahbahan,3,FALSE)</f>
        <v>0</v>
      </c>
      <c r="H4174" s="539">
        <f t="shared" ref="H4174" si="448">F4174*G4174</f>
        <v>0</v>
      </c>
    </row>
    <row r="4175" spans="3:11" ht="25.8" customHeight="1">
      <c r="C4175" s="702" t="s">
        <v>1214</v>
      </c>
      <c r="D4175" s="208"/>
      <c r="E4175" s="208"/>
      <c r="F4175" s="208"/>
      <c r="G4175" s="209"/>
      <c r="H4175" s="539">
        <f>SUM(H4174:H4174)</f>
        <v>0</v>
      </c>
    </row>
    <row r="4176" spans="3:11" ht="25.8" customHeight="1">
      <c r="C4176" s="213" t="s">
        <v>1215</v>
      </c>
      <c r="D4176" s="212" t="s">
        <v>1216</v>
      </c>
      <c r="E4176" s="534"/>
      <c r="F4176" s="534"/>
      <c r="G4176" s="534"/>
      <c r="H4176" s="534"/>
    </row>
    <row r="4177" spans="3:11" ht="25.8" customHeight="1">
      <c r="C4177" s="702" t="s">
        <v>1217</v>
      </c>
      <c r="D4177" s="208"/>
      <c r="E4177" s="208"/>
      <c r="F4177" s="208"/>
      <c r="G4177" s="209"/>
      <c r="H4177" s="821">
        <v>0</v>
      </c>
    </row>
    <row r="4178" spans="3:11" ht="25.8" customHeight="1">
      <c r="C4178" s="566" t="s">
        <v>1218</v>
      </c>
      <c r="D4178" s="552" t="s">
        <v>1219</v>
      </c>
      <c r="E4178" s="553"/>
      <c r="F4178" s="553"/>
      <c r="G4178" s="554"/>
      <c r="H4178" s="826">
        <f>H4177+H4175+H4172</f>
        <v>42885</v>
      </c>
      <c r="I4178" s="827"/>
    </row>
    <row r="4179" spans="3:11" ht="25.8" customHeight="1">
      <c r="C4179" s="566" t="s">
        <v>1220</v>
      </c>
      <c r="D4179" s="552" t="s">
        <v>1321</v>
      </c>
      <c r="E4179" s="553"/>
      <c r="F4179" s="554"/>
      <c r="G4179" s="555">
        <f>$M$9</f>
        <v>0.1</v>
      </c>
      <c r="H4179" s="539">
        <f>H4178*G4179</f>
        <v>4288.5</v>
      </c>
      <c r="I4179" s="827"/>
    </row>
    <row r="4180" spans="3:11" ht="25.8" customHeight="1">
      <c r="C4180" s="566" t="s">
        <v>1221</v>
      </c>
      <c r="D4180" s="552" t="s">
        <v>1222</v>
      </c>
      <c r="E4180" s="553"/>
      <c r="F4180" s="553"/>
      <c r="G4180" s="554"/>
      <c r="H4180" s="828">
        <f>SUM(H4178:H4179)</f>
        <v>47173.5</v>
      </c>
      <c r="I4180" s="827"/>
    </row>
    <row r="4181" spans="3:11" ht="25.8" customHeight="1">
      <c r="C4181" s="572"/>
      <c r="D4181" s="575"/>
      <c r="E4181" s="575"/>
      <c r="F4181" s="575"/>
      <c r="G4181" s="575"/>
      <c r="H4181" s="830"/>
    </row>
    <row r="4182" spans="3:11" ht="25.8" customHeight="1">
      <c r="C4182" s="513" t="s">
        <v>7999</v>
      </c>
      <c r="D4182" s="817" t="s">
        <v>8019</v>
      </c>
      <c r="E4182" s="803"/>
      <c r="F4182" s="803"/>
      <c r="G4182" s="803"/>
      <c r="H4182" s="803"/>
      <c r="I4182" s="533">
        <f>ROUNDDOWN(H4197,-2)</f>
        <v>47100</v>
      </c>
      <c r="J4182" s="536" t="s">
        <v>7804</v>
      </c>
      <c r="K4182" s="824"/>
    </row>
    <row r="4183" spans="3:11" ht="25.8" customHeight="1">
      <c r="C4183" s="716" t="s">
        <v>1195</v>
      </c>
      <c r="D4183" s="716" t="s">
        <v>1196</v>
      </c>
      <c r="E4183" s="716" t="s">
        <v>1197</v>
      </c>
      <c r="F4183" s="716" t="s">
        <v>1198</v>
      </c>
      <c r="G4183" s="716" t="s">
        <v>1199</v>
      </c>
      <c r="H4183" s="716" t="s">
        <v>1200</v>
      </c>
    </row>
    <row r="4184" spans="3:11" ht="25.8" customHeight="1">
      <c r="C4184" s="213" t="s">
        <v>1201</v>
      </c>
      <c r="D4184" s="212" t="s">
        <v>1202</v>
      </c>
      <c r="E4184" s="534"/>
      <c r="F4184" s="534"/>
      <c r="G4184" s="534"/>
      <c r="H4184" s="534"/>
    </row>
    <row r="4185" spans="3:11" ht="25.8" customHeight="1">
      <c r="C4185" s="818">
        <v>1</v>
      </c>
      <c r="D4185" s="212" t="s">
        <v>5</v>
      </c>
      <c r="E4185" s="212" t="s">
        <v>6</v>
      </c>
      <c r="F4185" s="538">
        <v>0.11899999999999999</v>
      </c>
      <c r="G4185" s="539">
        <f>VLOOKUP(D4185,upahbahan,3,FALSE)</f>
        <v>100000</v>
      </c>
      <c r="H4185" s="539">
        <f t="shared" ref="H4185:H4188" si="449">F4185*G4185</f>
        <v>11900</v>
      </c>
    </row>
    <row r="4186" spans="3:11" ht="25.8" customHeight="1">
      <c r="C4186" s="818">
        <v>2</v>
      </c>
      <c r="D4186" s="212" t="s">
        <v>3295</v>
      </c>
      <c r="E4186" s="212" t="s">
        <v>6</v>
      </c>
      <c r="F4186" s="538">
        <v>0.19900000000000001</v>
      </c>
      <c r="G4186" s="539">
        <f>VLOOKUP(D4186,upahbahan,3,FALSE)</f>
        <v>135000</v>
      </c>
      <c r="H4186" s="539">
        <f t="shared" si="449"/>
        <v>26865</v>
      </c>
    </row>
    <row r="4187" spans="3:11" ht="25.8" customHeight="1">
      <c r="C4187" s="818">
        <v>3</v>
      </c>
      <c r="D4187" s="212" t="s">
        <v>18</v>
      </c>
      <c r="E4187" s="212" t="s">
        <v>6</v>
      </c>
      <c r="F4187" s="538">
        <v>0.02</v>
      </c>
      <c r="G4187" s="539">
        <f>VLOOKUP(D4187,upahbahan,3,FALSE)</f>
        <v>150000</v>
      </c>
      <c r="H4187" s="539">
        <f t="shared" si="449"/>
        <v>3000</v>
      </c>
    </row>
    <row r="4188" spans="3:11" ht="25.8" customHeight="1">
      <c r="C4188" s="818">
        <v>4</v>
      </c>
      <c r="D4188" s="212" t="s">
        <v>19</v>
      </c>
      <c r="E4188" s="212" t="s">
        <v>6</v>
      </c>
      <c r="F4188" s="538">
        <v>7.0000000000000001E-3</v>
      </c>
      <c r="G4188" s="539">
        <f>VLOOKUP(D4188,upahbahan,3,FALSE)</f>
        <v>160000</v>
      </c>
      <c r="H4188" s="539">
        <f t="shared" si="449"/>
        <v>1120</v>
      </c>
    </row>
    <row r="4189" spans="3:11" ht="25.8" customHeight="1">
      <c r="C4189" s="702" t="s">
        <v>1208</v>
      </c>
      <c r="D4189" s="208"/>
      <c r="E4189" s="208"/>
      <c r="F4189" s="811"/>
      <c r="G4189" s="522"/>
      <c r="H4189" s="539">
        <f>SUM(H4185:H4188)</f>
        <v>42885</v>
      </c>
      <c r="I4189" s="819"/>
    </row>
    <row r="4190" spans="3:11" ht="25.8" customHeight="1">
      <c r="C4190" s="213" t="s">
        <v>1209</v>
      </c>
      <c r="D4190" s="212" t="s">
        <v>1210</v>
      </c>
      <c r="E4190" s="534"/>
      <c r="F4190" s="831"/>
      <c r="G4190" s="534"/>
      <c r="H4190" s="534"/>
    </row>
    <row r="4191" spans="3:11" ht="25.8" customHeight="1">
      <c r="C4191" s="833" t="s">
        <v>1203</v>
      </c>
      <c r="D4191" s="212" t="s">
        <v>8020</v>
      </c>
      <c r="E4191" s="807" t="s">
        <v>135</v>
      </c>
      <c r="F4191" s="832">
        <v>1.2</v>
      </c>
      <c r="G4191" s="539">
        <f>VLOOKUP(D4191,upahbahan,3,FALSE)</f>
        <v>0</v>
      </c>
      <c r="H4191" s="539">
        <f t="shared" ref="H4191" si="450">F4191*G4191</f>
        <v>0</v>
      </c>
    </row>
    <row r="4192" spans="3:11" ht="25.8" customHeight="1">
      <c r="C4192" s="702" t="s">
        <v>1214</v>
      </c>
      <c r="D4192" s="208"/>
      <c r="E4192" s="208"/>
      <c r="F4192" s="208"/>
      <c r="G4192" s="209"/>
      <c r="H4192" s="539">
        <f>SUM(H4191:H4191)</f>
        <v>0</v>
      </c>
    </row>
    <row r="4193" spans="3:11" ht="25.8" customHeight="1">
      <c r="C4193" s="213" t="s">
        <v>1215</v>
      </c>
      <c r="D4193" s="212" t="s">
        <v>1216</v>
      </c>
      <c r="E4193" s="534"/>
      <c r="F4193" s="534"/>
      <c r="G4193" s="534"/>
      <c r="H4193" s="534"/>
    </row>
    <row r="4194" spans="3:11" ht="25.8" customHeight="1">
      <c r="C4194" s="702" t="s">
        <v>1217</v>
      </c>
      <c r="D4194" s="208"/>
      <c r="E4194" s="208"/>
      <c r="F4194" s="208"/>
      <c r="G4194" s="209"/>
      <c r="H4194" s="821">
        <v>0</v>
      </c>
    </row>
    <row r="4195" spans="3:11" ht="25.8" customHeight="1">
      <c r="C4195" s="566" t="s">
        <v>1218</v>
      </c>
      <c r="D4195" s="552" t="s">
        <v>1219</v>
      </c>
      <c r="E4195" s="553"/>
      <c r="F4195" s="553"/>
      <c r="G4195" s="554"/>
      <c r="H4195" s="826">
        <f>H4194+H4192+H4189</f>
        <v>42885</v>
      </c>
      <c r="I4195" s="827"/>
    </row>
    <row r="4196" spans="3:11" ht="25.8" customHeight="1">
      <c r="C4196" s="566" t="s">
        <v>1220</v>
      </c>
      <c r="D4196" s="552" t="s">
        <v>1321</v>
      </c>
      <c r="E4196" s="553"/>
      <c r="F4196" s="554"/>
      <c r="G4196" s="555">
        <f>$M$9</f>
        <v>0.1</v>
      </c>
      <c r="H4196" s="539">
        <f>H4195*G4196</f>
        <v>4288.5</v>
      </c>
      <c r="I4196" s="827"/>
    </row>
    <row r="4197" spans="3:11" ht="25.8" customHeight="1">
      <c r="C4197" s="566" t="s">
        <v>1221</v>
      </c>
      <c r="D4197" s="552" t="s">
        <v>1222</v>
      </c>
      <c r="E4197" s="553"/>
      <c r="F4197" s="553"/>
      <c r="G4197" s="554"/>
      <c r="H4197" s="828">
        <f>SUM(H4195:H4196)</f>
        <v>47173.5</v>
      </c>
      <c r="I4197" s="827"/>
    </row>
    <row r="4198" spans="3:11" ht="25.8" customHeight="1">
      <c r="C4198" s="572"/>
      <c r="D4198" s="575"/>
      <c r="E4198" s="575"/>
      <c r="F4198" s="575"/>
      <c r="G4198" s="575"/>
      <c r="H4198" s="830"/>
    </row>
    <row r="4199" spans="3:11" ht="25.8" customHeight="1">
      <c r="C4199" s="513" t="s">
        <v>8000</v>
      </c>
      <c r="D4199" s="817" t="s">
        <v>8021</v>
      </c>
      <c r="E4199" s="803"/>
      <c r="F4199" s="803"/>
      <c r="G4199" s="803"/>
      <c r="H4199" s="803"/>
      <c r="I4199" s="533">
        <f>ROUNDDOWN(H4214,-2)</f>
        <v>47100</v>
      </c>
      <c r="J4199" s="536" t="s">
        <v>7804</v>
      </c>
      <c r="K4199" s="824"/>
    </row>
    <row r="4200" spans="3:11" ht="25.8" customHeight="1">
      <c r="C4200" s="716" t="s">
        <v>1195</v>
      </c>
      <c r="D4200" s="716" t="s">
        <v>1196</v>
      </c>
      <c r="E4200" s="716" t="s">
        <v>1197</v>
      </c>
      <c r="F4200" s="716" t="s">
        <v>1198</v>
      </c>
      <c r="G4200" s="716" t="s">
        <v>1199</v>
      </c>
      <c r="H4200" s="716" t="s">
        <v>1200</v>
      </c>
    </row>
    <row r="4201" spans="3:11" ht="25.8" customHeight="1">
      <c r="C4201" s="213" t="s">
        <v>1201</v>
      </c>
      <c r="D4201" s="212" t="s">
        <v>1202</v>
      </c>
      <c r="E4201" s="534"/>
      <c r="F4201" s="534"/>
      <c r="G4201" s="534"/>
      <c r="H4201" s="534"/>
    </row>
    <row r="4202" spans="3:11" ht="25.8" customHeight="1">
      <c r="C4202" s="818">
        <v>1</v>
      </c>
      <c r="D4202" s="212" t="s">
        <v>5</v>
      </c>
      <c r="E4202" s="212" t="s">
        <v>6</v>
      </c>
      <c r="F4202" s="538">
        <v>0.11899999999999999</v>
      </c>
      <c r="G4202" s="539">
        <f>VLOOKUP(D4202,upahbahan,3,FALSE)</f>
        <v>100000</v>
      </c>
      <c r="H4202" s="539">
        <f t="shared" ref="H4202:H4205" si="451">F4202*G4202</f>
        <v>11900</v>
      </c>
    </row>
    <row r="4203" spans="3:11" ht="25.8" customHeight="1">
      <c r="C4203" s="818">
        <v>2</v>
      </c>
      <c r="D4203" s="212" t="s">
        <v>3295</v>
      </c>
      <c r="E4203" s="212" t="s">
        <v>6</v>
      </c>
      <c r="F4203" s="538">
        <v>0.19900000000000001</v>
      </c>
      <c r="G4203" s="539">
        <f>VLOOKUP(D4203,upahbahan,3,FALSE)</f>
        <v>135000</v>
      </c>
      <c r="H4203" s="539">
        <f t="shared" si="451"/>
        <v>26865</v>
      </c>
    </row>
    <row r="4204" spans="3:11" ht="25.8" customHeight="1">
      <c r="C4204" s="818">
        <v>3</v>
      </c>
      <c r="D4204" s="212" t="s">
        <v>18</v>
      </c>
      <c r="E4204" s="212" t="s">
        <v>6</v>
      </c>
      <c r="F4204" s="538">
        <v>0.02</v>
      </c>
      <c r="G4204" s="539">
        <f>VLOOKUP(D4204,upahbahan,3,FALSE)</f>
        <v>150000</v>
      </c>
      <c r="H4204" s="539">
        <f t="shared" si="451"/>
        <v>3000</v>
      </c>
    </row>
    <row r="4205" spans="3:11" ht="25.8" customHeight="1">
      <c r="C4205" s="818">
        <v>4</v>
      </c>
      <c r="D4205" s="212" t="s">
        <v>19</v>
      </c>
      <c r="E4205" s="212" t="s">
        <v>6</v>
      </c>
      <c r="F4205" s="538">
        <v>7.0000000000000001E-3</v>
      </c>
      <c r="G4205" s="539">
        <f>VLOOKUP(D4205,upahbahan,3,FALSE)</f>
        <v>160000</v>
      </c>
      <c r="H4205" s="539">
        <f t="shared" si="451"/>
        <v>1120</v>
      </c>
    </row>
    <row r="4206" spans="3:11" ht="25.8" customHeight="1">
      <c r="C4206" s="702" t="s">
        <v>1208</v>
      </c>
      <c r="D4206" s="208"/>
      <c r="E4206" s="208"/>
      <c r="F4206" s="811"/>
      <c r="G4206" s="522"/>
      <c r="H4206" s="539">
        <f>SUM(H4202:H4205)</f>
        <v>42885</v>
      </c>
      <c r="I4206" s="819"/>
    </row>
    <row r="4207" spans="3:11" ht="25.8" customHeight="1">
      <c r="C4207" s="213" t="s">
        <v>1209</v>
      </c>
      <c r="D4207" s="212" t="s">
        <v>1210</v>
      </c>
      <c r="E4207" s="534"/>
      <c r="F4207" s="831"/>
      <c r="G4207" s="534"/>
      <c r="H4207" s="534"/>
    </row>
    <row r="4208" spans="3:11" ht="25.8" customHeight="1">
      <c r="C4208" s="833" t="s">
        <v>1203</v>
      </c>
      <c r="D4208" s="212" t="s">
        <v>8022</v>
      </c>
      <c r="E4208" s="807" t="s">
        <v>135</v>
      </c>
      <c r="F4208" s="832">
        <v>1.2</v>
      </c>
      <c r="G4208" s="539">
        <f>VLOOKUP(D4208,upahbahan,3,FALSE)</f>
        <v>0</v>
      </c>
      <c r="H4208" s="539">
        <f t="shared" ref="H4208" si="452">F4208*G4208</f>
        <v>0</v>
      </c>
    </row>
    <row r="4209" spans="3:11" ht="25.8" customHeight="1">
      <c r="C4209" s="702" t="s">
        <v>1214</v>
      </c>
      <c r="D4209" s="208"/>
      <c r="E4209" s="208"/>
      <c r="F4209" s="208"/>
      <c r="G4209" s="209"/>
      <c r="H4209" s="539">
        <f>SUM(H4208:H4208)</f>
        <v>0</v>
      </c>
    </row>
    <row r="4210" spans="3:11" ht="25.8" customHeight="1">
      <c r="C4210" s="213" t="s">
        <v>1215</v>
      </c>
      <c r="D4210" s="212" t="s">
        <v>1216</v>
      </c>
      <c r="E4210" s="534"/>
      <c r="F4210" s="534"/>
      <c r="G4210" s="534"/>
      <c r="H4210" s="534"/>
    </row>
    <row r="4211" spans="3:11" ht="25.8" customHeight="1">
      <c r="C4211" s="702" t="s">
        <v>1217</v>
      </c>
      <c r="D4211" s="208"/>
      <c r="E4211" s="208"/>
      <c r="F4211" s="208"/>
      <c r="G4211" s="209"/>
      <c r="H4211" s="821">
        <v>0</v>
      </c>
    </row>
    <row r="4212" spans="3:11" ht="25.8" customHeight="1">
      <c r="C4212" s="566" t="s">
        <v>1218</v>
      </c>
      <c r="D4212" s="552" t="s">
        <v>1219</v>
      </c>
      <c r="E4212" s="553"/>
      <c r="F4212" s="553"/>
      <c r="G4212" s="554"/>
      <c r="H4212" s="826">
        <f>H4211+H4209+H4206</f>
        <v>42885</v>
      </c>
      <c r="I4212" s="827"/>
    </row>
    <row r="4213" spans="3:11" ht="25.8" customHeight="1">
      <c r="C4213" s="566" t="s">
        <v>1220</v>
      </c>
      <c r="D4213" s="552" t="s">
        <v>1321</v>
      </c>
      <c r="E4213" s="553"/>
      <c r="F4213" s="554"/>
      <c r="G4213" s="555">
        <f>$M$9</f>
        <v>0.1</v>
      </c>
      <c r="H4213" s="539">
        <f>H4212*G4213</f>
        <v>4288.5</v>
      </c>
      <c r="I4213" s="827"/>
    </row>
    <row r="4214" spans="3:11" ht="25.8" customHeight="1">
      <c r="C4214" s="566" t="s">
        <v>1221</v>
      </c>
      <c r="D4214" s="552" t="s">
        <v>1222</v>
      </c>
      <c r="E4214" s="553"/>
      <c r="F4214" s="553"/>
      <c r="G4214" s="554"/>
      <c r="H4214" s="828">
        <f>SUM(H4212:H4213)</f>
        <v>47173.5</v>
      </c>
      <c r="I4214" s="827"/>
    </row>
    <row r="4215" spans="3:11" ht="25.8" customHeight="1">
      <c r="C4215" s="572"/>
      <c r="D4215" s="575"/>
      <c r="E4215" s="575"/>
      <c r="F4215" s="575"/>
      <c r="G4215" s="575"/>
      <c r="H4215" s="830"/>
    </row>
    <row r="4216" spans="3:11" ht="25.8" customHeight="1">
      <c r="C4216" s="513" t="s">
        <v>8001</v>
      </c>
      <c r="D4216" s="817" t="s">
        <v>8028</v>
      </c>
      <c r="E4216" s="803"/>
      <c r="F4216" s="803"/>
      <c r="G4216" s="803"/>
      <c r="H4216" s="803"/>
      <c r="I4216" s="533">
        <f>ROUNDDOWN(H4231,-2)</f>
        <v>47100</v>
      </c>
      <c r="J4216" s="536" t="s">
        <v>7804</v>
      </c>
      <c r="K4216" s="824"/>
    </row>
    <row r="4217" spans="3:11" ht="25.8" customHeight="1">
      <c r="C4217" s="716" t="s">
        <v>1195</v>
      </c>
      <c r="D4217" s="716" t="s">
        <v>1196</v>
      </c>
      <c r="E4217" s="716" t="s">
        <v>1197</v>
      </c>
      <c r="F4217" s="716" t="s">
        <v>1198</v>
      </c>
      <c r="G4217" s="716" t="s">
        <v>1199</v>
      </c>
      <c r="H4217" s="716" t="s">
        <v>1200</v>
      </c>
    </row>
    <row r="4218" spans="3:11" ht="25.8" customHeight="1">
      <c r="C4218" s="213" t="s">
        <v>1201</v>
      </c>
      <c r="D4218" s="212" t="s">
        <v>1202</v>
      </c>
      <c r="E4218" s="534"/>
      <c r="F4218" s="534"/>
      <c r="G4218" s="534"/>
      <c r="H4218" s="534"/>
    </row>
    <row r="4219" spans="3:11" ht="25.8" customHeight="1">
      <c r="C4219" s="818">
        <v>1</v>
      </c>
      <c r="D4219" s="212" t="s">
        <v>5</v>
      </c>
      <c r="E4219" s="212" t="s">
        <v>6</v>
      </c>
      <c r="F4219" s="538">
        <v>0.11899999999999999</v>
      </c>
      <c r="G4219" s="539">
        <f>VLOOKUP(D4219,upahbahan,3,FALSE)</f>
        <v>100000</v>
      </c>
      <c r="H4219" s="539">
        <f t="shared" ref="H4219:H4222" si="453">F4219*G4219</f>
        <v>11900</v>
      </c>
    </row>
    <row r="4220" spans="3:11" ht="25.8" customHeight="1">
      <c r="C4220" s="818">
        <v>2</v>
      </c>
      <c r="D4220" s="212" t="s">
        <v>3295</v>
      </c>
      <c r="E4220" s="212" t="s">
        <v>6</v>
      </c>
      <c r="F4220" s="538">
        <v>0.19900000000000001</v>
      </c>
      <c r="G4220" s="539">
        <f>VLOOKUP(D4220,upahbahan,3,FALSE)</f>
        <v>135000</v>
      </c>
      <c r="H4220" s="539">
        <f t="shared" si="453"/>
        <v>26865</v>
      </c>
    </row>
    <row r="4221" spans="3:11" ht="25.8" customHeight="1">
      <c r="C4221" s="818">
        <v>3</v>
      </c>
      <c r="D4221" s="212" t="s">
        <v>18</v>
      </c>
      <c r="E4221" s="212" t="s">
        <v>6</v>
      </c>
      <c r="F4221" s="538">
        <v>0.02</v>
      </c>
      <c r="G4221" s="539">
        <f>VLOOKUP(D4221,upahbahan,3,FALSE)</f>
        <v>150000</v>
      </c>
      <c r="H4221" s="539">
        <f t="shared" si="453"/>
        <v>3000</v>
      </c>
    </row>
    <row r="4222" spans="3:11" ht="25.8" customHeight="1">
      <c r="C4222" s="818">
        <v>4</v>
      </c>
      <c r="D4222" s="212" t="s">
        <v>19</v>
      </c>
      <c r="E4222" s="212" t="s">
        <v>6</v>
      </c>
      <c r="F4222" s="538">
        <v>7.0000000000000001E-3</v>
      </c>
      <c r="G4222" s="539">
        <f>VLOOKUP(D4222,upahbahan,3,FALSE)</f>
        <v>160000</v>
      </c>
      <c r="H4222" s="539">
        <f t="shared" si="453"/>
        <v>1120</v>
      </c>
    </row>
    <row r="4223" spans="3:11" ht="25.8" customHeight="1">
      <c r="C4223" s="702" t="s">
        <v>1208</v>
      </c>
      <c r="D4223" s="208"/>
      <c r="E4223" s="208"/>
      <c r="F4223" s="811"/>
      <c r="G4223" s="522"/>
      <c r="H4223" s="539">
        <f>SUM(H4219:H4222)</f>
        <v>42885</v>
      </c>
      <c r="I4223" s="819"/>
    </row>
    <row r="4224" spans="3:11" ht="25.8" customHeight="1">
      <c r="C4224" s="213" t="s">
        <v>1209</v>
      </c>
      <c r="D4224" s="212" t="s">
        <v>1210</v>
      </c>
      <c r="E4224" s="534"/>
      <c r="F4224" s="831"/>
      <c r="G4224" s="534"/>
      <c r="H4224" s="534"/>
    </row>
    <row r="4225" spans="3:11" ht="25.8" customHeight="1">
      <c r="C4225" s="833" t="s">
        <v>1203</v>
      </c>
      <c r="D4225" s="212" t="s">
        <v>8029</v>
      </c>
      <c r="E4225" s="807" t="s">
        <v>135</v>
      </c>
      <c r="F4225" s="832">
        <v>1.2</v>
      </c>
      <c r="G4225" s="539">
        <f>VLOOKUP(D4225,upahbahan,3,FALSE)</f>
        <v>0</v>
      </c>
      <c r="H4225" s="539">
        <f t="shared" ref="H4225" si="454">F4225*G4225</f>
        <v>0</v>
      </c>
    </row>
    <row r="4226" spans="3:11" ht="25.8" customHeight="1">
      <c r="C4226" s="702" t="s">
        <v>1214</v>
      </c>
      <c r="D4226" s="208"/>
      <c r="E4226" s="208"/>
      <c r="F4226" s="208"/>
      <c r="G4226" s="209"/>
      <c r="H4226" s="539">
        <f>SUM(H4225:H4225)</f>
        <v>0</v>
      </c>
    </row>
    <row r="4227" spans="3:11" ht="25.8" customHeight="1">
      <c r="C4227" s="213" t="s">
        <v>1215</v>
      </c>
      <c r="D4227" s="212" t="s">
        <v>1216</v>
      </c>
      <c r="E4227" s="534"/>
      <c r="F4227" s="534"/>
      <c r="G4227" s="534"/>
      <c r="H4227" s="534"/>
    </row>
    <row r="4228" spans="3:11" ht="25.8" customHeight="1">
      <c r="C4228" s="702" t="s">
        <v>1217</v>
      </c>
      <c r="D4228" s="208"/>
      <c r="E4228" s="208"/>
      <c r="F4228" s="208"/>
      <c r="G4228" s="209"/>
      <c r="H4228" s="821">
        <v>0</v>
      </c>
    </row>
    <row r="4229" spans="3:11" ht="25.8" customHeight="1">
      <c r="C4229" s="566" t="s">
        <v>1218</v>
      </c>
      <c r="D4229" s="552" t="s">
        <v>1219</v>
      </c>
      <c r="E4229" s="553"/>
      <c r="F4229" s="553"/>
      <c r="G4229" s="554"/>
      <c r="H4229" s="826">
        <f>H4228+H4226+H4223</f>
        <v>42885</v>
      </c>
      <c r="I4229" s="827"/>
    </row>
    <row r="4230" spans="3:11" ht="25.8" customHeight="1">
      <c r="C4230" s="566" t="s">
        <v>1220</v>
      </c>
      <c r="D4230" s="552" t="s">
        <v>1321</v>
      </c>
      <c r="E4230" s="553"/>
      <c r="F4230" s="554"/>
      <c r="G4230" s="555">
        <f>$M$9</f>
        <v>0.1</v>
      </c>
      <c r="H4230" s="539">
        <f>H4229*G4230</f>
        <v>4288.5</v>
      </c>
      <c r="I4230" s="827"/>
    </row>
    <row r="4231" spans="3:11" ht="25.8" customHeight="1">
      <c r="C4231" s="566" t="s">
        <v>1221</v>
      </c>
      <c r="D4231" s="552" t="s">
        <v>1222</v>
      </c>
      <c r="E4231" s="553"/>
      <c r="F4231" s="553"/>
      <c r="G4231" s="554"/>
      <c r="H4231" s="828">
        <f>SUM(H4229:H4230)</f>
        <v>47173.5</v>
      </c>
      <c r="I4231" s="827"/>
    </row>
    <row r="4232" spans="3:11" ht="25.8" customHeight="1">
      <c r="C4232" s="572"/>
      <c r="D4232" s="575"/>
      <c r="E4232" s="575"/>
      <c r="F4232" s="575"/>
      <c r="G4232" s="575"/>
      <c r="H4232" s="830"/>
    </row>
    <row r="4233" spans="3:11" ht="25.8" customHeight="1">
      <c r="C4233" s="513" t="s">
        <v>8002</v>
      </c>
      <c r="D4233" s="817" t="s">
        <v>8030</v>
      </c>
      <c r="E4233" s="803"/>
      <c r="F4233" s="803"/>
      <c r="G4233" s="803"/>
      <c r="H4233" s="803"/>
      <c r="I4233" s="533">
        <f>ROUNDDOWN(H4248,-2)</f>
        <v>47100</v>
      </c>
      <c r="J4233" s="536" t="s">
        <v>7804</v>
      </c>
      <c r="K4233" s="824"/>
    </row>
    <row r="4234" spans="3:11" ht="25.8" customHeight="1">
      <c r="C4234" s="716" t="s">
        <v>1195</v>
      </c>
      <c r="D4234" s="716" t="s">
        <v>1196</v>
      </c>
      <c r="E4234" s="716" t="s">
        <v>1197</v>
      </c>
      <c r="F4234" s="716" t="s">
        <v>1198</v>
      </c>
      <c r="G4234" s="716" t="s">
        <v>1199</v>
      </c>
      <c r="H4234" s="716" t="s">
        <v>1200</v>
      </c>
    </row>
    <row r="4235" spans="3:11" ht="25.8" customHeight="1">
      <c r="C4235" s="213" t="s">
        <v>1201</v>
      </c>
      <c r="D4235" s="212" t="s">
        <v>1202</v>
      </c>
      <c r="E4235" s="534"/>
      <c r="F4235" s="534"/>
      <c r="G4235" s="534"/>
      <c r="H4235" s="534"/>
    </row>
    <row r="4236" spans="3:11" ht="25.8" customHeight="1">
      <c r="C4236" s="818">
        <v>1</v>
      </c>
      <c r="D4236" s="212" t="s">
        <v>5</v>
      </c>
      <c r="E4236" s="212" t="s">
        <v>6</v>
      </c>
      <c r="F4236" s="538">
        <v>0.11899999999999999</v>
      </c>
      <c r="G4236" s="539">
        <f>VLOOKUP(D4236,upahbahan,3,FALSE)</f>
        <v>100000</v>
      </c>
      <c r="H4236" s="539">
        <f t="shared" ref="H4236:H4239" si="455">F4236*G4236</f>
        <v>11900</v>
      </c>
    </row>
    <row r="4237" spans="3:11" ht="25.8" customHeight="1">
      <c r="C4237" s="818">
        <v>2</v>
      </c>
      <c r="D4237" s="212" t="s">
        <v>3295</v>
      </c>
      <c r="E4237" s="212" t="s">
        <v>6</v>
      </c>
      <c r="F4237" s="538">
        <v>0.19900000000000001</v>
      </c>
      <c r="G4237" s="539">
        <f>VLOOKUP(D4237,upahbahan,3,FALSE)</f>
        <v>135000</v>
      </c>
      <c r="H4237" s="539">
        <f t="shared" si="455"/>
        <v>26865</v>
      </c>
    </row>
    <row r="4238" spans="3:11" ht="25.8" customHeight="1">
      <c r="C4238" s="818">
        <v>3</v>
      </c>
      <c r="D4238" s="212" t="s">
        <v>18</v>
      </c>
      <c r="E4238" s="212" t="s">
        <v>6</v>
      </c>
      <c r="F4238" s="538">
        <v>0.02</v>
      </c>
      <c r="G4238" s="539">
        <f>VLOOKUP(D4238,upahbahan,3,FALSE)</f>
        <v>150000</v>
      </c>
      <c r="H4238" s="539">
        <f t="shared" si="455"/>
        <v>3000</v>
      </c>
    </row>
    <row r="4239" spans="3:11" ht="25.8" customHeight="1">
      <c r="C4239" s="818">
        <v>4</v>
      </c>
      <c r="D4239" s="212" t="s">
        <v>19</v>
      </c>
      <c r="E4239" s="212" t="s">
        <v>6</v>
      </c>
      <c r="F4239" s="538">
        <v>7.0000000000000001E-3</v>
      </c>
      <c r="G4239" s="539">
        <f>VLOOKUP(D4239,upahbahan,3,FALSE)</f>
        <v>160000</v>
      </c>
      <c r="H4239" s="539">
        <f t="shared" si="455"/>
        <v>1120</v>
      </c>
    </row>
    <row r="4240" spans="3:11" ht="25.8" customHeight="1">
      <c r="C4240" s="702" t="s">
        <v>1208</v>
      </c>
      <c r="D4240" s="208"/>
      <c r="E4240" s="208"/>
      <c r="F4240" s="811"/>
      <c r="G4240" s="522"/>
      <c r="H4240" s="539">
        <f>SUM(H4236:H4239)</f>
        <v>42885</v>
      </c>
      <c r="I4240" s="819"/>
    </row>
    <row r="4241" spans="3:11" ht="25.8" customHeight="1">
      <c r="C4241" s="213" t="s">
        <v>1209</v>
      </c>
      <c r="D4241" s="212" t="s">
        <v>1210</v>
      </c>
      <c r="E4241" s="534"/>
      <c r="F4241" s="831"/>
      <c r="G4241" s="534"/>
      <c r="H4241" s="534"/>
    </row>
    <row r="4242" spans="3:11" ht="25.8" customHeight="1">
      <c r="C4242" s="833" t="s">
        <v>1203</v>
      </c>
      <c r="D4242" s="212" t="s">
        <v>8031</v>
      </c>
      <c r="E4242" s="807" t="s">
        <v>135</v>
      </c>
      <c r="F4242" s="832">
        <v>1.2</v>
      </c>
      <c r="G4242" s="539">
        <f>VLOOKUP(D4242,upahbahan,3,FALSE)</f>
        <v>0</v>
      </c>
      <c r="H4242" s="539">
        <f t="shared" ref="H4242" si="456">F4242*G4242</f>
        <v>0</v>
      </c>
    </row>
    <row r="4243" spans="3:11" ht="25.8" customHeight="1">
      <c r="C4243" s="702" t="s">
        <v>1214</v>
      </c>
      <c r="D4243" s="208"/>
      <c r="E4243" s="208"/>
      <c r="F4243" s="208"/>
      <c r="G4243" s="209"/>
      <c r="H4243" s="539">
        <f>SUM(H4242:H4242)</f>
        <v>0</v>
      </c>
    </row>
    <row r="4244" spans="3:11" ht="25.8" customHeight="1">
      <c r="C4244" s="213" t="s">
        <v>1215</v>
      </c>
      <c r="D4244" s="212" t="s">
        <v>1216</v>
      </c>
      <c r="E4244" s="534"/>
      <c r="F4244" s="534"/>
      <c r="G4244" s="534"/>
      <c r="H4244" s="534"/>
    </row>
    <row r="4245" spans="3:11" ht="25.8" customHeight="1">
      <c r="C4245" s="702" t="s">
        <v>1217</v>
      </c>
      <c r="D4245" s="208"/>
      <c r="E4245" s="208"/>
      <c r="F4245" s="208"/>
      <c r="G4245" s="209"/>
      <c r="H4245" s="821">
        <v>0</v>
      </c>
    </row>
    <row r="4246" spans="3:11" ht="25.8" customHeight="1">
      <c r="C4246" s="566" t="s">
        <v>1218</v>
      </c>
      <c r="D4246" s="552" t="s">
        <v>1219</v>
      </c>
      <c r="E4246" s="553"/>
      <c r="F4246" s="553"/>
      <c r="G4246" s="554"/>
      <c r="H4246" s="826">
        <f>H4245+H4243+H4240</f>
        <v>42885</v>
      </c>
      <c r="I4246" s="827"/>
    </row>
    <row r="4247" spans="3:11" ht="25.8" customHeight="1">
      <c r="C4247" s="566" t="s">
        <v>1220</v>
      </c>
      <c r="D4247" s="552" t="s">
        <v>1321</v>
      </c>
      <c r="E4247" s="553"/>
      <c r="F4247" s="554"/>
      <c r="G4247" s="555">
        <f>$M$9</f>
        <v>0.1</v>
      </c>
      <c r="H4247" s="539">
        <f>H4246*G4247</f>
        <v>4288.5</v>
      </c>
      <c r="I4247" s="827"/>
    </row>
    <row r="4248" spans="3:11" ht="25.8" customHeight="1">
      <c r="C4248" s="566" t="s">
        <v>1221</v>
      </c>
      <c r="D4248" s="552" t="s">
        <v>1222</v>
      </c>
      <c r="E4248" s="553"/>
      <c r="F4248" s="553"/>
      <c r="G4248" s="554"/>
      <c r="H4248" s="828">
        <f>SUM(H4246:H4247)</f>
        <v>47173.5</v>
      </c>
      <c r="I4248" s="827"/>
    </row>
    <row r="4249" spans="3:11" ht="25.8" customHeight="1">
      <c r="C4249" s="572"/>
      <c r="D4249" s="575"/>
      <c r="E4249" s="575"/>
      <c r="F4249" s="575"/>
      <c r="G4249" s="575"/>
      <c r="H4249" s="830"/>
    </row>
    <row r="4250" spans="3:11" ht="25.8" customHeight="1">
      <c r="C4250" s="513" t="s">
        <v>8003</v>
      </c>
      <c r="D4250" s="817" t="s">
        <v>8032</v>
      </c>
      <c r="E4250" s="803"/>
      <c r="F4250" s="803"/>
      <c r="G4250" s="803"/>
      <c r="H4250" s="803"/>
      <c r="I4250" s="533">
        <f>ROUNDDOWN(H4265,-2)</f>
        <v>47100</v>
      </c>
      <c r="J4250" s="536" t="s">
        <v>7804</v>
      </c>
      <c r="K4250" s="824"/>
    </row>
    <row r="4251" spans="3:11" ht="25.8" customHeight="1">
      <c r="C4251" s="716" t="s">
        <v>1195</v>
      </c>
      <c r="D4251" s="716" t="s">
        <v>1196</v>
      </c>
      <c r="E4251" s="716" t="s">
        <v>1197</v>
      </c>
      <c r="F4251" s="716" t="s">
        <v>1198</v>
      </c>
      <c r="G4251" s="716" t="s">
        <v>1199</v>
      </c>
      <c r="H4251" s="716" t="s">
        <v>1200</v>
      </c>
    </row>
    <row r="4252" spans="3:11" ht="25.8" customHeight="1">
      <c r="C4252" s="213" t="s">
        <v>1201</v>
      </c>
      <c r="D4252" s="212" t="s">
        <v>1202</v>
      </c>
      <c r="E4252" s="534"/>
      <c r="F4252" s="534"/>
      <c r="G4252" s="534"/>
      <c r="H4252" s="534"/>
    </row>
    <row r="4253" spans="3:11" ht="25.8" customHeight="1">
      <c r="C4253" s="818">
        <v>1</v>
      </c>
      <c r="D4253" s="212" t="s">
        <v>5</v>
      </c>
      <c r="E4253" s="212" t="s">
        <v>6</v>
      </c>
      <c r="F4253" s="538">
        <v>0.11899999999999999</v>
      </c>
      <c r="G4253" s="539">
        <f>VLOOKUP(D4253,upahbahan,3,FALSE)</f>
        <v>100000</v>
      </c>
      <c r="H4253" s="539">
        <f t="shared" ref="H4253:H4256" si="457">F4253*G4253</f>
        <v>11900</v>
      </c>
    </row>
    <row r="4254" spans="3:11" ht="25.8" customHeight="1">
      <c r="C4254" s="818">
        <v>2</v>
      </c>
      <c r="D4254" s="212" t="s">
        <v>3295</v>
      </c>
      <c r="E4254" s="212" t="s">
        <v>6</v>
      </c>
      <c r="F4254" s="538">
        <v>0.19900000000000001</v>
      </c>
      <c r="G4254" s="539">
        <f>VLOOKUP(D4254,upahbahan,3,FALSE)</f>
        <v>135000</v>
      </c>
      <c r="H4254" s="539">
        <f t="shared" si="457"/>
        <v>26865</v>
      </c>
    </row>
    <row r="4255" spans="3:11" ht="25.8" customHeight="1">
      <c r="C4255" s="818">
        <v>3</v>
      </c>
      <c r="D4255" s="212" t="s">
        <v>18</v>
      </c>
      <c r="E4255" s="212" t="s">
        <v>6</v>
      </c>
      <c r="F4255" s="538">
        <v>0.02</v>
      </c>
      <c r="G4255" s="539">
        <f>VLOOKUP(D4255,upahbahan,3,FALSE)</f>
        <v>150000</v>
      </c>
      <c r="H4255" s="539">
        <f t="shared" si="457"/>
        <v>3000</v>
      </c>
    </row>
    <row r="4256" spans="3:11" ht="25.8" customHeight="1">
      <c r="C4256" s="818">
        <v>4</v>
      </c>
      <c r="D4256" s="212" t="s">
        <v>19</v>
      </c>
      <c r="E4256" s="212" t="s">
        <v>6</v>
      </c>
      <c r="F4256" s="538">
        <v>7.0000000000000001E-3</v>
      </c>
      <c r="G4256" s="539">
        <f>VLOOKUP(D4256,upahbahan,3,FALSE)</f>
        <v>160000</v>
      </c>
      <c r="H4256" s="539">
        <f t="shared" si="457"/>
        <v>1120</v>
      </c>
    </row>
    <row r="4257" spans="3:11" ht="25.8" customHeight="1">
      <c r="C4257" s="702" t="s">
        <v>1208</v>
      </c>
      <c r="D4257" s="208"/>
      <c r="E4257" s="208"/>
      <c r="F4257" s="811"/>
      <c r="G4257" s="522"/>
      <c r="H4257" s="539">
        <f>SUM(H4253:H4256)</f>
        <v>42885</v>
      </c>
      <c r="I4257" s="819"/>
    </row>
    <row r="4258" spans="3:11" ht="25.8" customHeight="1">
      <c r="C4258" s="213" t="s">
        <v>1209</v>
      </c>
      <c r="D4258" s="212" t="s">
        <v>1210</v>
      </c>
      <c r="E4258" s="534"/>
      <c r="F4258" s="831"/>
      <c r="G4258" s="534"/>
      <c r="H4258" s="534"/>
    </row>
    <row r="4259" spans="3:11" ht="25.8" customHeight="1">
      <c r="C4259" s="833" t="s">
        <v>1203</v>
      </c>
      <c r="D4259" s="212" t="s">
        <v>8033</v>
      </c>
      <c r="E4259" s="807" t="s">
        <v>135</v>
      </c>
      <c r="F4259" s="832">
        <v>1.2</v>
      </c>
      <c r="G4259" s="539">
        <f>VLOOKUP(D4259,upahbahan,3,FALSE)</f>
        <v>0</v>
      </c>
      <c r="H4259" s="539">
        <f t="shared" ref="H4259" si="458">F4259*G4259</f>
        <v>0</v>
      </c>
    </row>
    <row r="4260" spans="3:11" ht="25.8" customHeight="1">
      <c r="C4260" s="702" t="s">
        <v>1214</v>
      </c>
      <c r="D4260" s="208"/>
      <c r="E4260" s="208"/>
      <c r="F4260" s="208"/>
      <c r="G4260" s="209"/>
      <c r="H4260" s="539">
        <f>SUM(H4259:H4259)</f>
        <v>0</v>
      </c>
    </row>
    <row r="4261" spans="3:11" ht="25.8" customHeight="1">
      <c r="C4261" s="213" t="s">
        <v>1215</v>
      </c>
      <c r="D4261" s="212" t="s">
        <v>1216</v>
      </c>
      <c r="E4261" s="534"/>
      <c r="F4261" s="534"/>
      <c r="G4261" s="534"/>
      <c r="H4261" s="534"/>
    </row>
    <row r="4262" spans="3:11" ht="25.8" customHeight="1">
      <c r="C4262" s="702" t="s">
        <v>1217</v>
      </c>
      <c r="D4262" s="208"/>
      <c r="E4262" s="208"/>
      <c r="F4262" s="208"/>
      <c r="G4262" s="209"/>
      <c r="H4262" s="821">
        <v>0</v>
      </c>
    </row>
    <row r="4263" spans="3:11" ht="25.8" customHeight="1">
      <c r="C4263" s="566" t="s">
        <v>1218</v>
      </c>
      <c r="D4263" s="552" t="s">
        <v>1219</v>
      </c>
      <c r="E4263" s="553"/>
      <c r="F4263" s="553"/>
      <c r="G4263" s="554"/>
      <c r="H4263" s="826">
        <f>H4262+H4260+H4257</f>
        <v>42885</v>
      </c>
      <c r="I4263" s="827"/>
    </row>
    <row r="4264" spans="3:11" ht="25.8" customHeight="1">
      <c r="C4264" s="566" t="s">
        <v>1220</v>
      </c>
      <c r="D4264" s="552" t="s">
        <v>1321</v>
      </c>
      <c r="E4264" s="553"/>
      <c r="F4264" s="554"/>
      <c r="G4264" s="555">
        <f>$M$9</f>
        <v>0.1</v>
      </c>
      <c r="H4264" s="539">
        <f>H4263*G4264</f>
        <v>4288.5</v>
      </c>
      <c r="I4264" s="827"/>
    </row>
    <row r="4265" spans="3:11" ht="25.8" customHeight="1">
      <c r="C4265" s="566" t="s">
        <v>1221</v>
      </c>
      <c r="D4265" s="552" t="s">
        <v>1222</v>
      </c>
      <c r="E4265" s="553"/>
      <c r="F4265" s="553"/>
      <c r="G4265" s="554"/>
      <c r="H4265" s="828">
        <f>SUM(H4263:H4264)</f>
        <v>47173.5</v>
      </c>
      <c r="I4265" s="827"/>
    </row>
    <row r="4266" spans="3:11" ht="25.8" customHeight="1">
      <c r="C4266" s="572"/>
      <c r="D4266" s="575"/>
      <c r="E4266" s="575"/>
      <c r="F4266" s="575"/>
      <c r="G4266" s="575"/>
      <c r="H4266" s="830"/>
    </row>
    <row r="4267" spans="3:11" ht="25.8" customHeight="1">
      <c r="C4267" s="513" t="s">
        <v>8004</v>
      </c>
      <c r="D4267" s="817" t="s">
        <v>8034</v>
      </c>
      <c r="E4267" s="803"/>
      <c r="F4267" s="803"/>
      <c r="G4267" s="803"/>
      <c r="H4267" s="803"/>
      <c r="I4267" s="533">
        <f>ROUNDDOWN(H4282,-2)</f>
        <v>47100</v>
      </c>
      <c r="J4267" s="536" t="s">
        <v>7804</v>
      </c>
      <c r="K4267" s="824"/>
    </row>
    <row r="4268" spans="3:11" ht="25.8" customHeight="1">
      <c r="C4268" s="716" t="s">
        <v>1195</v>
      </c>
      <c r="D4268" s="716" t="s">
        <v>1196</v>
      </c>
      <c r="E4268" s="716" t="s">
        <v>1197</v>
      </c>
      <c r="F4268" s="716" t="s">
        <v>1198</v>
      </c>
      <c r="G4268" s="716" t="s">
        <v>1199</v>
      </c>
      <c r="H4268" s="716" t="s">
        <v>1200</v>
      </c>
    </row>
    <row r="4269" spans="3:11" ht="25.8" customHeight="1">
      <c r="C4269" s="213" t="s">
        <v>1201</v>
      </c>
      <c r="D4269" s="212" t="s">
        <v>1202</v>
      </c>
      <c r="E4269" s="534"/>
      <c r="F4269" s="534"/>
      <c r="G4269" s="534"/>
      <c r="H4269" s="534"/>
    </row>
    <row r="4270" spans="3:11" ht="25.8" customHeight="1">
      <c r="C4270" s="818">
        <v>1</v>
      </c>
      <c r="D4270" s="212" t="s">
        <v>5</v>
      </c>
      <c r="E4270" s="212" t="s">
        <v>6</v>
      </c>
      <c r="F4270" s="538">
        <v>0.11899999999999999</v>
      </c>
      <c r="G4270" s="539">
        <f>VLOOKUP(D4270,upahbahan,3,FALSE)</f>
        <v>100000</v>
      </c>
      <c r="H4270" s="539">
        <f t="shared" ref="H4270:H4273" si="459">F4270*G4270</f>
        <v>11900</v>
      </c>
    </row>
    <row r="4271" spans="3:11" ht="25.8" customHeight="1">
      <c r="C4271" s="818">
        <v>2</v>
      </c>
      <c r="D4271" s="212" t="s">
        <v>3295</v>
      </c>
      <c r="E4271" s="212" t="s">
        <v>6</v>
      </c>
      <c r="F4271" s="538">
        <v>0.19900000000000001</v>
      </c>
      <c r="G4271" s="539">
        <f>VLOOKUP(D4271,upahbahan,3,FALSE)</f>
        <v>135000</v>
      </c>
      <c r="H4271" s="539">
        <f t="shared" si="459"/>
        <v>26865</v>
      </c>
    </row>
    <row r="4272" spans="3:11" ht="25.8" customHeight="1">
      <c r="C4272" s="818">
        <v>3</v>
      </c>
      <c r="D4272" s="212" t="s">
        <v>18</v>
      </c>
      <c r="E4272" s="212" t="s">
        <v>6</v>
      </c>
      <c r="F4272" s="538">
        <v>0.02</v>
      </c>
      <c r="G4272" s="539">
        <f>VLOOKUP(D4272,upahbahan,3,FALSE)</f>
        <v>150000</v>
      </c>
      <c r="H4272" s="539">
        <f t="shared" si="459"/>
        <v>3000</v>
      </c>
    </row>
    <row r="4273" spans="3:11" ht="25.8" customHeight="1">
      <c r="C4273" s="818">
        <v>4</v>
      </c>
      <c r="D4273" s="212" t="s">
        <v>19</v>
      </c>
      <c r="E4273" s="212" t="s">
        <v>6</v>
      </c>
      <c r="F4273" s="538">
        <v>7.0000000000000001E-3</v>
      </c>
      <c r="G4273" s="539">
        <f>VLOOKUP(D4273,upahbahan,3,FALSE)</f>
        <v>160000</v>
      </c>
      <c r="H4273" s="539">
        <f t="shared" si="459"/>
        <v>1120</v>
      </c>
    </row>
    <row r="4274" spans="3:11" ht="25.8" customHeight="1">
      <c r="C4274" s="702" t="s">
        <v>1208</v>
      </c>
      <c r="D4274" s="208"/>
      <c r="E4274" s="208"/>
      <c r="F4274" s="811"/>
      <c r="G4274" s="522"/>
      <c r="H4274" s="539">
        <f>SUM(H4270:H4273)</f>
        <v>42885</v>
      </c>
      <c r="I4274" s="819"/>
    </row>
    <row r="4275" spans="3:11" ht="25.8" customHeight="1">
      <c r="C4275" s="213" t="s">
        <v>1209</v>
      </c>
      <c r="D4275" s="212" t="s">
        <v>1210</v>
      </c>
      <c r="E4275" s="534"/>
      <c r="F4275" s="831"/>
      <c r="G4275" s="534"/>
      <c r="H4275" s="534"/>
    </row>
    <row r="4276" spans="3:11" ht="25.8" customHeight="1">
      <c r="C4276" s="833" t="s">
        <v>1203</v>
      </c>
      <c r="D4276" s="212" t="s">
        <v>8035</v>
      </c>
      <c r="E4276" s="807" t="s">
        <v>135</v>
      </c>
      <c r="F4276" s="832">
        <v>1.2</v>
      </c>
      <c r="G4276" s="539">
        <f>VLOOKUP(D4276,upahbahan,3,FALSE)</f>
        <v>0</v>
      </c>
      <c r="H4276" s="539">
        <f t="shared" ref="H4276" si="460">F4276*G4276</f>
        <v>0</v>
      </c>
    </row>
    <row r="4277" spans="3:11" ht="25.8" customHeight="1">
      <c r="C4277" s="702" t="s">
        <v>1214</v>
      </c>
      <c r="D4277" s="208"/>
      <c r="E4277" s="208"/>
      <c r="F4277" s="208"/>
      <c r="G4277" s="209"/>
      <c r="H4277" s="539">
        <f>SUM(H4276:H4276)</f>
        <v>0</v>
      </c>
    </row>
    <row r="4278" spans="3:11" ht="25.8" customHeight="1">
      <c r="C4278" s="213" t="s">
        <v>1215</v>
      </c>
      <c r="D4278" s="212" t="s">
        <v>1216</v>
      </c>
      <c r="E4278" s="534"/>
      <c r="F4278" s="534"/>
      <c r="G4278" s="534"/>
      <c r="H4278" s="534"/>
    </row>
    <row r="4279" spans="3:11" ht="25.8" customHeight="1">
      <c r="C4279" s="702" t="s">
        <v>1217</v>
      </c>
      <c r="D4279" s="208"/>
      <c r="E4279" s="208"/>
      <c r="F4279" s="208"/>
      <c r="G4279" s="209"/>
      <c r="H4279" s="821">
        <v>0</v>
      </c>
    </row>
    <row r="4280" spans="3:11" ht="25.8" customHeight="1">
      <c r="C4280" s="566" t="s">
        <v>1218</v>
      </c>
      <c r="D4280" s="552" t="s">
        <v>1219</v>
      </c>
      <c r="E4280" s="553"/>
      <c r="F4280" s="553"/>
      <c r="G4280" s="554"/>
      <c r="H4280" s="826">
        <f>H4279+H4277+H4274</f>
        <v>42885</v>
      </c>
      <c r="I4280" s="827"/>
    </row>
    <row r="4281" spans="3:11" ht="25.8" customHeight="1">
      <c r="C4281" s="566" t="s">
        <v>1220</v>
      </c>
      <c r="D4281" s="552" t="s">
        <v>1321</v>
      </c>
      <c r="E4281" s="553"/>
      <c r="F4281" s="554"/>
      <c r="G4281" s="555">
        <f>$M$9</f>
        <v>0.1</v>
      </c>
      <c r="H4281" s="539">
        <f>H4280*G4281</f>
        <v>4288.5</v>
      </c>
      <c r="I4281" s="827"/>
    </row>
    <row r="4282" spans="3:11" ht="25.8" customHeight="1">
      <c r="C4282" s="566" t="s">
        <v>1221</v>
      </c>
      <c r="D4282" s="552" t="s">
        <v>1222</v>
      </c>
      <c r="E4282" s="553"/>
      <c r="F4282" s="553"/>
      <c r="G4282" s="554"/>
      <c r="H4282" s="828">
        <f>SUM(H4280:H4281)</f>
        <v>47173.5</v>
      </c>
      <c r="I4282" s="827"/>
    </row>
    <row r="4283" spans="3:11" ht="25.8" customHeight="1">
      <c r="C4283" s="572"/>
      <c r="D4283" s="575"/>
      <c r="E4283" s="575"/>
      <c r="F4283" s="575"/>
      <c r="G4283" s="575"/>
      <c r="H4283" s="830"/>
    </row>
    <row r="4284" spans="3:11" ht="25.8" customHeight="1">
      <c r="C4284" s="513" t="s">
        <v>8005</v>
      </c>
      <c r="D4284" s="817" t="s">
        <v>8036</v>
      </c>
      <c r="E4284" s="803"/>
      <c r="F4284" s="803"/>
      <c r="G4284" s="803"/>
      <c r="H4284" s="803"/>
      <c r="I4284" s="533">
        <f>ROUNDDOWN(H4299,-2)</f>
        <v>47100</v>
      </c>
      <c r="J4284" s="536" t="s">
        <v>7804</v>
      </c>
      <c r="K4284" s="824"/>
    </row>
    <row r="4285" spans="3:11" ht="25.8" customHeight="1">
      <c r="C4285" s="716" t="s">
        <v>1195</v>
      </c>
      <c r="D4285" s="716" t="s">
        <v>1196</v>
      </c>
      <c r="E4285" s="716" t="s">
        <v>1197</v>
      </c>
      <c r="F4285" s="716" t="s">
        <v>1198</v>
      </c>
      <c r="G4285" s="716" t="s">
        <v>1199</v>
      </c>
      <c r="H4285" s="716" t="s">
        <v>1200</v>
      </c>
    </row>
    <row r="4286" spans="3:11" ht="25.8" customHeight="1">
      <c r="C4286" s="213" t="s">
        <v>1201</v>
      </c>
      <c r="D4286" s="212" t="s">
        <v>1202</v>
      </c>
      <c r="E4286" s="534"/>
      <c r="F4286" s="534"/>
      <c r="G4286" s="534"/>
      <c r="H4286" s="534"/>
    </row>
    <row r="4287" spans="3:11" ht="25.8" customHeight="1">
      <c r="C4287" s="818">
        <v>1</v>
      </c>
      <c r="D4287" s="212" t="s">
        <v>5</v>
      </c>
      <c r="E4287" s="212" t="s">
        <v>6</v>
      </c>
      <c r="F4287" s="538">
        <v>0.11899999999999999</v>
      </c>
      <c r="G4287" s="539">
        <f>VLOOKUP(D4287,upahbahan,3,FALSE)</f>
        <v>100000</v>
      </c>
      <c r="H4287" s="539">
        <f t="shared" ref="H4287:H4290" si="461">F4287*G4287</f>
        <v>11900</v>
      </c>
    </row>
    <row r="4288" spans="3:11" ht="25.8" customHeight="1">
      <c r="C4288" s="818">
        <v>2</v>
      </c>
      <c r="D4288" s="212" t="s">
        <v>3295</v>
      </c>
      <c r="E4288" s="212" t="s">
        <v>6</v>
      </c>
      <c r="F4288" s="538">
        <v>0.19900000000000001</v>
      </c>
      <c r="G4288" s="539">
        <f>VLOOKUP(D4288,upahbahan,3,FALSE)</f>
        <v>135000</v>
      </c>
      <c r="H4288" s="539">
        <f t="shared" si="461"/>
        <v>26865</v>
      </c>
    </row>
    <row r="4289" spans="3:11" ht="25.8" customHeight="1">
      <c r="C4289" s="818">
        <v>3</v>
      </c>
      <c r="D4289" s="212" t="s">
        <v>18</v>
      </c>
      <c r="E4289" s="212" t="s">
        <v>6</v>
      </c>
      <c r="F4289" s="538">
        <v>0.02</v>
      </c>
      <c r="G4289" s="539">
        <f>VLOOKUP(D4289,upahbahan,3,FALSE)</f>
        <v>150000</v>
      </c>
      <c r="H4289" s="539">
        <f t="shared" si="461"/>
        <v>3000</v>
      </c>
    </row>
    <row r="4290" spans="3:11" ht="25.8" customHeight="1">
      <c r="C4290" s="818">
        <v>4</v>
      </c>
      <c r="D4290" s="212" t="s">
        <v>19</v>
      </c>
      <c r="E4290" s="212" t="s">
        <v>6</v>
      </c>
      <c r="F4290" s="538">
        <v>7.0000000000000001E-3</v>
      </c>
      <c r="G4290" s="539">
        <f>VLOOKUP(D4290,upahbahan,3,FALSE)</f>
        <v>160000</v>
      </c>
      <c r="H4290" s="539">
        <f t="shared" si="461"/>
        <v>1120</v>
      </c>
    </row>
    <row r="4291" spans="3:11" ht="25.8" customHeight="1">
      <c r="C4291" s="702" t="s">
        <v>1208</v>
      </c>
      <c r="D4291" s="208"/>
      <c r="E4291" s="208"/>
      <c r="F4291" s="811"/>
      <c r="G4291" s="522"/>
      <c r="H4291" s="539">
        <f>SUM(H4287:H4290)</f>
        <v>42885</v>
      </c>
      <c r="I4291" s="819"/>
    </row>
    <row r="4292" spans="3:11" ht="25.8" customHeight="1">
      <c r="C4292" s="213" t="s">
        <v>1209</v>
      </c>
      <c r="D4292" s="212" t="s">
        <v>1210</v>
      </c>
      <c r="E4292" s="534"/>
      <c r="F4292" s="831"/>
      <c r="G4292" s="534"/>
      <c r="H4292" s="534"/>
    </row>
    <row r="4293" spans="3:11" ht="25.8" customHeight="1">
      <c r="C4293" s="833" t="s">
        <v>1203</v>
      </c>
      <c r="D4293" s="212" t="s">
        <v>8037</v>
      </c>
      <c r="E4293" s="807" t="s">
        <v>135</v>
      </c>
      <c r="F4293" s="832">
        <v>1.2</v>
      </c>
      <c r="G4293" s="539">
        <f>VLOOKUP(D4293,upahbahan,3,FALSE)</f>
        <v>0</v>
      </c>
      <c r="H4293" s="539">
        <f t="shared" ref="H4293" si="462">F4293*G4293</f>
        <v>0</v>
      </c>
    </row>
    <row r="4294" spans="3:11" ht="25.8" customHeight="1">
      <c r="C4294" s="702" t="s">
        <v>1214</v>
      </c>
      <c r="D4294" s="208"/>
      <c r="E4294" s="208"/>
      <c r="F4294" s="208"/>
      <c r="G4294" s="209"/>
      <c r="H4294" s="539">
        <f>SUM(H4293:H4293)</f>
        <v>0</v>
      </c>
    </row>
    <row r="4295" spans="3:11" ht="25.8" customHeight="1">
      <c r="C4295" s="213" t="s">
        <v>1215</v>
      </c>
      <c r="D4295" s="212" t="s">
        <v>1216</v>
      </c>
      <c r="E4295" s="534"/>
      <c r="F4295" s="534"/>
      <c r="G4295" s="534"/>
      <c r="H4295" s="534"/>
    </row>
    <row r="4296" spans="3:11" ht="25.8" customHeight="1">
      <c r="C4296" s="702" t="s">
        <v>1217</v>
      </c>
      <c r="D4296" s="208"/>
      <c r="E4296" s="208"/>
      <c r="F4296" s="208"/>
      <c r="G4296" s="209"/>
      <c r="H4296" s="821">
        <v>0</v>
      </c>
    </row>
    <row r="4297" spans="3:11" ht="25.8" customHeight="1">
      <c r="C4297" s="566" t="s">
        <v>1218</v>
      </c>
      <c r="D4297" s="552" t="s">
        <v>1219</v>
      </c>
      <c r="E4297" s="553"/>
      <c r="F4297" s="553"/>
      <c r="G4297" s="554"/>
      <c r="H4297" s="826">
        <f>H4296+H4294+H4291</f>
        <v>42885</v>
      </c>
      <c r="I4297" s="827"/>
    </row>
    <row r="4298" spans="3:11" ht="25.8" customHeight="1">
      <c r="C4298" s="566" t="s">
        <v>1220</v>
      </c>
      <c r="D4298" s="552" t="s">
        <v>1321</v>
      </c>
      <c r="E4298" s="553"/>
      <c r="F4298" s="554"/>
      <c r="G4298" s="555">
        <f>$M$9</f>
        <v>0.1</v>
      </c>
      <c r="H4298" s="539">
        <f>H4297*G4298</f>
        <v>4288.5</v>
      </c>
      <c r="I4298" s="827"/>
    </row>
    <row r="4299" spans="3:11" ht="25.8" customHeight="1">
      <c r="C4299" s="566" t="s">
        <v>1221</v>
      </c>
      <c r="D4299" s="552" t="s">
        <v>1222</v>
      </c>
      <c r="E4299" s="553"/>
      <c r="F4299" s="553"/>
      <c r="G4299" s="554"/>
      <c r="H4299" s="828">
        <f>SUM(H4297:H4298)</f>
        <v>47173.5</v>
      </c>
      <c r="I4299" s="827"/>
    </row>
    <row r="4300" spans="3:11" ht="25.8" customHeight="1">
      <c r="C4300" s="572"/>
      <c r="D4300" s="575"/>
      <c r="E4300" s="575"/>
      <c r="F4300" s="575"/>
      <c r="G4300" s="575"/>
      <c r="H4300" s="830"/>
    </row>
    <row r="4301" spans="3:11" ht="25.8" customHeight="1">
      <c r="C4301" s="513" t="s">
        <v>8006</v>
      </c>
      <c r="D4301" s="817" t="s">
        <v>8038</v>
      </c>
      <c r="E4301" s="803"/>
      <c r="F4301" s="803"/>
      <c r="G4301" s="803"/>
      <c r="H4301" s="803"/>
      <c r="I4301" s="533">
        <f>ROUNDDOWN(H4316,-2)</f>
        <v>47100</v>
      </c>
      <c r="J4301" s="536" t="s">
        <v>7804</v>
      </c>
      <c r="K4301" s="824"/>
    </row>
    <row r="4302" spans="3:11" ht="25.8" customHeight="1">
      <c r="C4302" s="716" t="s">
        <v>1195</v>
      </c>
      <c r="D4302" s="716" t="s">
        <v>1196</v>
      </c>
      <c r="E4302" s="716" t="s">
        <v>1197</v>
      </c>
      <c r="F4302" s="716" t="s">
        <v>1198</v>
      </c>
      <c r="G4302" s="716" t="s">
        <v>1199</v>
      </c>
      <c r="H4302" s="716" t="s">
        <v>1200</v>
      </c>
    </row>
    <row r="4303" spans="3:11" ht="25.8" customHeight="1">
      <c r="C4303" s="213" t="s">
        <v>1201</v>
      </c>
      <c r="D4303" s="212" t="s">
        <v>1202</v>
      </c>
      <c r="E4303" s="534"/>
      <c r="F4303" s="534"/>
      <c r="G4303" s="534"/>
      <c r="H4303" s="534"/>
    </row>
    <row r="4304" spans="3:11" ht="25.8" customHeight="1">
      <c r="C4304" s="818">
        <v>1</v>
      </c>
      <c r="D4304" s="212" t="s">
        <v>5</v>
      </c>
      <c r="E4304" s="212" t="s">
        <v>6</v>
      </c>
      <c r="F4304" s="538">
        <v>0.11899999999999999</v>
      </c>
      <c r="G4304" s="539">
        <f>VLOOKUP(D4304,upahbahan,3,FALSE)</f>
        <v>100000</v>
      </c>
      <c r="H4304" s="539">
        <f t="shared" ref="H4304:H4307" si="463">F4304*G4304</f>
        <v>11900</v>
      </c>
    </row>
    <row r="4305" spans="3:11" ht="25.8" customHeight="1">
      <c r="C4305" s="818">
        <v>2</v>
      </c>
      <c r="D4305" s="212" t="s">
        <v>3295</v>
      </c>
      <c r="E4305" s="212" t="s">
        <v>6</v>
      </c>
      <c r="F4305" s="538">
        <v>0.19900000000000001</v>
      </c>
      <c r="G4305" s="539">
        <f>VLOOKUP(D4305,upahbahan,3,FALSE)</f>
        <v>135000</v>
      </c>
      <c r="H4305" s="539">
        <f t="shared" si="463"/>
        <v>26865</v>
      </c>
    </row>
    <row r="4306" spans="3:11" ht="25.8" customHeight="1">
      <c r="C4306" s="818">
        <v>3</v>
      </c>
      <c r="D4306" s="212" t="s">
        <v>18</v>
      </c>
      <c r="E4306" s="212" t="s">
        <v>6</v>
      </c>
      <c r="F4306" s="538">
        <v>0.02</v>
      </c>
      <c r="G4306" s="539">
        <f>VLOOKUP(D4306,upahbahan,3,FALSE)</f>
        <v>150000</v>
      </c>
      <c r="H4306" s="539">
        <f t="shared" si="463"/>
        <v>3000</v>
      </c>
    </row>
    <row r="4307" spans="3:11" ht="25.8" customHeight="1">
      <c r="C4307" s="818">
        <v>4</v>
      </c>
      <c r="D4307" s="212" t="s">
        <v>19</v>
      </c>
      <c r="E4307" s="212" t="s">
        <v>6</v>
      </c>
      <c r="F4307" s="538">
        <v>7.0000000000000001E-3</v>
      </c>
      <c r="G4307" s="539">
        <f>VLOOKUP(D4307,upahbahan,3,FALSE)</f>
        <v>160000</v>
      </c>
      <c r="H4307" s="539">
        <f t="shared" si="463"/>
        <v>1120</v>
      </c>
    </row>
    <row r="4308" spans="3:11" ht="25.8" customHeight="1">
      <c r="C4308" s="702" t="s">
        <v>1208</v>
      </c>
      <c r="D4308" s="208"/>
      <c r="E4308" s="208"/>
      <c r="F4308" s="811"/>
      <c r="G4308" s="522"/>
      <c r="H4308" s="539">
        <f>SUM(H4304:H4307)</f>
        <v>42885</v>
      </c>
      <c r="I4308" s="819"/>
    </row>
    <row r="4309" spans="3:11" ht="25.8" customHeight="1">
      <c r="C4309" s="213" t="s">
        <v>1209</v>
      </c>
      <c r="D4309" s="212" t="s">
        <v>1210</v>
      </c>
      <c r="E4309" s="534"/>
      <c r="F4309" s="831"/>
      <c r="G4309" s="534"/>
      <c r="H4309" s="534"/>
    </row>
    <row r="4310" spans="3:11" ht="25.8" customHeight="1">
      <c r="C4310" s="833" t="s">
        <v>1203</v>
      </c>
      <c r="D4310" s="212" t="s">
        <v>8039</v>
      </c>
      <c r="E4310" s="807" t="s">
        <v>135</v>
      </c>
      <c r="F4310" s="832">
        <v>1.2</v>
      </c>
      <c r="G4310" s="539">
        <f>VLOOKUP(D4310,upahbahan,3,FALSE)</f>
        <v>0</v>
      </c>
      <c r="H4310" s="539">
        <f t="shared" ref="H4310" si="464">F4310*G4310</f>
        <v>0</v>
      </c>
    </row>
    <row r="4311" spans="3:11" ht="25.8" customHeight="1">
      <c r="C4311" s="702" t="s">
        <v>1214</v>
      </c>
      <c r="D4311" s="208"/>
      <c r="E4311" s="208"/>
      <c r="F4311" s="208"/>
      <c r="G4311" s="209"/>
      <c r="H4311" s="539">
        <f>SUM(H4310:H4310)</f>
        <v>0</v>
      </c>
    </row>
    <row r="4312" spans="3:11" ht="25.8" customHeight="1">
      <c r="C4312" s="213" t="s">
        <v>1215</v>
      </c>
      <c r="D4312" s="212" t="s">
        <v>1216</v>
      </c>
      <c r="E4312" s="534"/>
      <c r="F4312" s="534"/>
      <c r="G4312" s="534"/>
      <c r="H4312" s="534"/>
    </row>
    <row r="4313" spans="3:11" ht="25.8" customHeight="1">
      <c r="C4313" s="702" t="s">
        <v>1217</v>
      </c>
      <c r="D4313" s="208"/>
      <c r="E4313" s="208"/>
      <c r="F4313" s="208"/>
      <c r="G4313" s="209"/>
      <c r="H4313" s="821">
        <v>0</v>
      </c>
    </row>
    <row r="4314" spans="3:11" ht="25.8" customHeight="1">
      <c r="C4314" s="566" t="s">
        <v>1218</v>
      </c>
      <c r="D4314" s="552" t="s">
        <v>1219</v>
      </c>
      <c r="E4314" s="553"/>
      <c r="F4314" s="553"/>
      <c r="G4314" s="554"/>
      <c r="H4314" s="826">
        <f>H4313+H4311+H4308</f>
        <v>42885</v>
      </c>
      <c r="I4314" s="827"/>
    </row>
    <row r="4315" spans="3:11" ht="25.8" customHeight="1">
      <c r="C4315" s="566" t="s">
        <v>1220</v>
      </c>
      <c r="D4315" s="552" t="s">
        <v>1321</v>
      </c>
      <c r="E4315" s="553"/>
      <c r="F4315" s="554"/>
      <c r="G4315" s="555">
        <f>$M$9</f>
        <v>0.1</v>
      </c>
      <c r="H4315" s="539">
        <f>H4314*G4315</f>
        <v>4288.5</v>
      </c>
      <c r="I4315" s="827"/>
    </row>
    <row r="4316" spans="3:11" ht="25.8" customHeight="1">
      <c r="C4316" s="566" t="s">
        <v>1221</v>
      </c>
      <c r="D4316" s="552" t="s">
        <v>1222</v>
      </c>
      <c r="E4316" s="553"/>
      <c r="F4316" s="553"/>
      <c r="G4316" s="554"/>
      <c r="H4316" s="828">
        <f>SUM(H4314:H4315)</f>
        <v>47173.5</v>
      </c>
      <c r="I4316" s="827"/>
    </row>
    <row r="4317" spans="3:11" ht="25.8" customHeight="1">
      <c r="C4317" s="572"/>
      <c r="D4317" s="575"/>
      <c r="E4317" s="575"/>
      <c r="F4317" s="575"/>
      <c r="G4317" s="575"/>
      <c r="H4317" s="830"/>
    </row>
    <row r="4318" spans="3:11" ht="25.8" customHeight="1">
      <c r="C4318" s="513" t="s">
        <v>8023</v>
      </c>
      <c r="D4318" s="817" t="s">
        <v>8040</v>
      </c>
      <c r="E4318" s="803"/>
      <c r="F4318" s="803"/>
      <c r="G4318" s="803"/>
      <c r="H4318" s="803"/>
      <c r="I4318" s="533">
        <f>ROUNDDOWN(H4333,-2)</f>
        <v>47100</v>
      </c>
      <c r="J4318" s="536" t="s">
        <v>7804</v>
      </c>
      <c r="K4318" s="824"/>
    </row>
    <row r="4319" spans="3:11" ht="25.8" customHeight="1">
      <c r="C4319" s="716" t="s">
        <v>1195</v>
      </c>
      <c r="D4319" s="716" t="s">
        <v>1196</v>
      </c>
      <c r="E4319" s="716" t="s">
        <v>1197</v>
      </c>
      <c r="F4319" s="716" t="s">
        <v>1198</v>
      </c>
      <c r="G4319" s="716" t="s">
        <v>1199</v>
      </c>
      <c r="H4319" s="716" t="s">
        <v>1200</v>
      </c>
    </row>
    <row r="4320" spans="3:11" ht="25.8" customHeight="1">
      <c r="C4320" s="213" t="s">
        <v>1201</v>
      </c>
      <c r="D4320" s="212" t="s">
        <v>1202</v>
      </c>
      <c r="E4320" s="534"/>
      <c r="F4320" s="534"/>
      <c r="G4320" s="534"/>
      <c r="H4320" s="534"/>
    </row>
    <row r="4321" spans="3:11" ht="25.8" customHeight="1">
      <c r="C4321" s="818">
        <v>1</v>
      </c>
      <c r="D4321" s="212" t="s">
        <v>5</v>
      </c>
      <c r="E4321" s="212" t="s">
        <v>6</v>
      </c>
      <c r="F4321" s="538">
        <v>0.11899999999999999</v>
      </c>
      <c r="G4321" s="539">
        <f>VLOOKUP(D4321,upahbahan,3,FALSE)</f>
        <v>100000</v>
      </c>
      <c r="H4321" s="539">
        <f t="shared" ref="H4321:H4324" si="465">F4321*G4321</f>
        <v>11900</v>
      </c>
    </row>
    <row r="4322" spans="3:11" ht="25.8" customHeight="1">
      <c r="C4322" s="818">
        <v>2</v>
      </c>
      <c r="D4322" s="212" t="s">
        <v>3295</v>
      </c>
      <c r="E4322" s="212" t="s">
        <v>6</v>
      </c>
      <c r="F4322" s="538">
        <v>0.19900000000000001</v>
      </c>
      <c r="G4322" s="539">
        <f>VLOOKUP(D4322,upahbahan,3,FALSE)</f>
        <v>135000</v>
      </c>
      <c r="H4322" s="539">
        <f t="shared" si="465"/>
        <v>26865</v>
      </c>
    </row>
    <row r="4323" spans="3:11" ht="25.8" customHeight="1">
      <c r="C4323" s="818">
        <v>3</v>
      </c>
      <c r="D4323" s="212" t="s">
        <v>18</v>
      </c>
      <c r="E4323" s="212" t="s">
        <v>6</v>
      </c>
      <c r="F4323" s="538">
        <v>0.02</v>
      </c>
      <c r="G4323" s="539">
        <f>VLOOKUP(D4323,upahbahan,3,FALSE)</f>
        <v>150000</v>
      </c>
      <c r="H4323" s="539">
        <f t="shared" si="465"/>
        <v>3000</v>
      </c>
    </row>
    <row r="4324" spans="3:11" ht="25.8" customHeight="1">
      <c r="C4324" s="818">
        <v>4</v>
      </c>
      <c r="D4324" s="212" t="s">
        <v>19</v>
      </c>
      <c r="E4324" s="212" t="s">
        <v>6</v>
      </c>
      <c r="F4324" s="538">
        <v>7.0000000000000001E-3</v>
      </c>
      <c r="G4324" s="539">
        <f>VLOOKUP(D4324,upahbahan,3,FALSE)</f>
        <v>160000</v>
      </c>
      <c r="H4324" s="539">
        <f t="shared" si="465"/>
        <v>1120</v>
      </c>
    </row>
    <row r="4325" spans="3:11" ht="25.8" customHeight="1">
      <c r="C4325" s="702" t="s">
        <v>1208</v>
      </c>
      <c r="D4325" s="208"/>
      <c r="E4325" s="208"/>
      <c r="F4325" s="811"/>
      <c r="G4325" s="522"/>
      <c r="H4325" s="539">
        <f>SUM(H4321:H4324)</f>
        <v>42885</v>
      </c>
      <c r="I4325" s="819"/>
    </row>
    <row r="4326" spans="3:11" ht="25.8" customHeight="1">
      <c r="C4326" s="213" t="s">
        <v>1209</v>
      </c>
      <c r="D4326" s="212" t="s">
        <v>1210</v>
      </c>
      <c r="E4326" s="534"/>
      <c r="F4326" s="831"/>
      <c r="G4326" s="534"/>
      <c r="H4326" s="534"/>
    </row>
    <row r="4327" spans="3:11" ht="25.8" customHeight="1">
      <c r="C4327" s="833" t="s">
        <v>1203</v>
      </c>
      <c r="D4327" s="212" t="s">
        <v>8041</v>
      </c>
      <c r="E4327" s="807" t="s">
        <v>135</v>
      </c>
      <c r="F4327" s="832">
        <v>1.2</v>
      </c>
      <c r="G4327" s="539">
        <f>VLOOKUP(D4327,upahbahan,3,FALSE)</f>
        <v>0</v>
      </c>
      <c r="H4327" s="539">
        <f t="shared" ref="H4327" si="466">F4327*G4327</f>
        <v>0</v>
      </c>
    </row>
    <row r="4328" spans="3:11" ht="25.8" customHeight="1">
      <c r="C4328" s="702" t="s">
        <v>1214</v>
      </c>
      <c r="D4328" s="208"/>
      <c r="E4328" s="208"/>
      <c r="F4328" s="208"/>
      <c r="G4328" s="209"/>
      <c r="H4328" s="539">
        <f>SUM(H4327:H4327)</f>
        <v>0</v>
      </c>
    </row>
    <row r="4329" spans="3:11" ht="25.8" customHeight="1">
      <c r="C4329" s="213" t="s">
        <v>1215</v>
      </c>
      <c r="D4329" s="212" t="s">
        <v>1216</v>
      </c>
      <c r="E4329" s="534"/>
      <c r="F4329" s="534"/>
      <c r="G4329" s="534"/>
      <c r="H4329" s="534"/>
    </row>
    <row r="4330" spans="3:11" ht="25.8" customHeight="1">
      <c r="C4330" s="702" t="s">
        <v>1217</v>
      </c>
      <c r="D4330" s="208"/>
      <c r="E4330" s="208"/>
      <c r="F4330" s="208"/>
      <c r="G4330" s="209"/>
      <c r="H4330" s="821">
        <v>0</v>
      </c>
    </row>
    <row r="4331" spans="3:11" ht="25.8" customHeight="1">
      <c r="C4331" s="566" t="s">
        <v>1218</v>
      </c>
      <c r="D4331" s="552" t="s">
        <v>1219</v>
      </c>
      <c r="E4331" s="553"/>
      <c r="F4331" s="553"/>
      <c r="G4331" s="554"/>
      <c r="H4331" s="826">
        <f>H4330+H4328+H4325</f>
        <v>42885</v>
      </c>
      <c r="I4331" s="827"/>
    </row>
    <row r="4332" spans="3:11" ht="25.8" customHeight="1">
      <c r="C4332" s="566" t="s">
        <v>1220</v>
      </c>
      <c r="D4332" s="552" t="s">
        <v>1321</v>
      </c>
      <c r="E4332" s="553"/>
      <c r="F4332" s="554"/>
      <c r="G4332" s="555">
        <f>$M$9</f>
        <v>0.1</v>
      </c>
      <c r="H4332" s="539">
        <f>H4331*G4332</f>
        <v>4288.5</v>
      </c>
      <c r="I4332" s="827"/>
    </row>
    <row r="4333" spans="3:11" ht="25.8" customHeight="1">
      <c r="C4333" s="566" t="s">
        <v>1221</v>
      </c>
      <c r="D4333" s="552" t="s">
        <v>1222</v>
      </c>
      <c r="E4333" s="553"/>
      <c r="F4333" s="553"/>
      <c r="G4333" s="554"/>
      <c r="H4333" s="828">
        <f>SUM(H4331:H4332)</f>
        <v>47173.5</v>
      </c>
      <c r="I4333" s="827"/>
    </row>
    <row r="4334" spans="3:11" ht="25.8" customHeight="1">
      <c r="C4334" s="572"/>
      <c r="D4334" s="575"/>
      <c r="E4334" s="575"/>
      <c r="F4334" s="575"/>
      <c r="G4334" s="575"/>
      <c r="H4334" s="830"/>
    </row>
    <row r="4335" spans="3:11" ht="25.8" customHeight="1">
      <c r="C4335" s="513" t="s">
        <v>8024</v>
      </c>
      <c r="D4335" s="817" t="s">
        <v>8042</v>
      </c>
      <c r="E4335" s="803"/>
      <c r="F4335" s="803"/>
      <c r="G4335" s="803"/>
      <c r="H4335" s="803"/>
      <c r="I4335" s="533">
        <f>ROUNDDOWN(H4350,-2)</f>
        <v>47100</v>
      </c>
      <c r="J4335" s="536" t="s">
        <v>7804</v>
      </c>
      <c r="K4335" s="824"/>
    </row>
    <row r="4336" spans="3:11" ht="25.8" customHeight="1">
      <c r="C4336" s="716" t="s">
        <v>1195</v>
      </c>
      <c r="D4336" s="716" t="s">
        <v>1196</v>
      </c>
      <c r="E4336" s="716" t="s">
        <v>1197</v>
      </c>
      <c r="F4336" s="716" t="s">
        <v>1198</v>
      </c>
      <c r="G4336" s="716" t="s">
        <v>1199</v>
      </c>
      <c r="H4336" s="716" t="s">
        <v>1200</v>
      </c>
    </row>
    <row r="4337" spans="3:11" ht="25.8" customHeight="1">
      <c r="C4337" s="213" t="s">
        <v>1201</v>
      </c>
      <c r="D4337" s="212" t="s">
        <v>1202</v>
      </c>
      <c r="E4337" s="534"/>
      <c r="F4337" s="534"/>
      <c r="G4337" s="534"/>
      <c r="H4337" s="534"/>
    </row>
    <row r="4338" spans="3:11" ht="25.8" customHeight="1">
      <c r="C4338" s="818">
        <v>1</v>
      </c>
      <c r="D4338" s="212" t="s">
        <v>5</v>
      </c>
      <c r="E4338" s="212" t="s">
        <v>6</v>
      </c>
      <c r="F4338" s="538">
        <v>0.11899999999999999</v>
      </c>
      <c r="G4338" s="539">
        <f>VLOOKUP(D4338,upahbahan,3,FALSE)</f>
        <v>100000</v>
      </c>
      <c r="H4338" s="539">
        <f t="shared" ref="H4338:H4341" si="467">F4338*G4338</f>
        <v>11900</v>
      </c>
    </row>
    <row r="4339" spans="3:11" ht="25.8" customHeight="1">
      <c r="C4339" s="818">
        <v>2</v>
      </c>
      <c r="D4339" s="212" t="s">
        <v>3295</v>
      </c>
      <c r="E4339" s="212" t="s">
        <v>6</v>
      </c>
      <c r="F4339" s="538">
        <v>0.19900000000000001</v>
      </c>
      <c r="G4339" s="539">
        <f>VLOOKUP(D4339,upahbahan,3,FALSE)</f>
        <v>135000</v>
      </c>
      <c r="H4339" s="539">
        <f t="shared" si="467"/>
        <v>26865</v>
      </c>
    </row>
    <row r="4340" spans="3:11" ht="25.8" customHeight="1">
      <c r="C4340" s="818">
        <v>3</v>
      </c>
      <c r="D4340" s="212" t="s">
        <v>18</v>
      </c>
      <c r="E4340" s="212" t="s">
        <v>6</v>
      </c>
      <c r="F4340" s="538">
        <v>0.02</v>
      </c>
      <c r="G4340" s="539">
        <f>VLOOKUP(D4340,upahbahan,3,FALSE)</f>
        <v>150000</v>
      </c>
      <c r="H4340" s="539">
        <f t="shared" si="467"/>
        <v>3000</v>
      </c>
    </row>
    <row r="4341" spans="3:11" ht="25.8" customHeight="1">
      <c r="C4341" s="818">
        <v>4</v>
      </c>
      <c r="D4341" s="212" t="s">
        <v>19</v>
      </c>
      <c r="E4341" s="212" t="s">
        <v>6</v>
      </c>
      <c r="F4341" s="538">
        <v>7.0000000000000001E-3</v>
      </c>
      <c r="G4341" s="539">
        <f>VLOOKUP(D4341,upahbahan,3,FALSE)</f>
        <v>160000</v>
      </c>
      <c r="H4341" s="539">
        <f t="shared" si="467"/>
        <v>1120</v>
      </c>
    </row>
    <row r="4342" spans="3:11" ht="25.8" customHeight="1">
      <c r="C4342" s="702" t="s">
        <v>1208</v>
      </c>
      <c r="D4342" s="208"/>
      <c r="E4342" s="208"/>
      <c r="F4342" s="811"/>
      <c r="G4342" s="522"/>
      <c r="H4342" s="539">
        <f>SUM(H4338:H4341)</f>
        <v>42885</v>
      </c>
      <c r="I4342" s="819"/>
    </row>
    <row r="4343" spans="3:11" ht="25.8" customHeight="1">
      <c r="C4343" s="213" t="s">
        <v>1209</v>
      </c>
      <c r="D4343" s="212" t="s">
        <v>1210</v>
      </c>
      <c r="E4343" s="534"/>
      <c r="F4343" s="831"/>
      <c r="G4343" s="534"/>
      <c r="H4343" s="534"/>
    </row>
    <row r="4344" spans="3:11" ht="25.8" customHeight="1">
      <c r="C4344" s="833" t="s">
        <v>1203</v>
      </c>
      <c r="D4344" s="212" t="s">
        <v>8043</v>
      </c>
      <c r="E4344" s="807" t="s">
        <v>135</v>
      </c>
      <c r="F4344" s="832">
        <v>1.2</v>
      </c>
      <c r="G4344" s="539">
        <f>VLOOKUP(D4344,upahbahan,3,FALSE)</f>
        <v>0</v>
      </c>
      <c r="H4344" s="539">
        <f t="shared" ref="H4344" si="468">F4344*G4344</f>
        <v>0</v>
      </c>
    </row>
    <row r="4345" spans="3:11" ht="25.8" customHeight="1">
      <c r="C4345" s="702" t="s">
        <v>1214</v>
      </c>
      <c r="D4345" s="208"/>
      <c r="E4345" s="208"/>
      <c r="F4345" s="208"/>
      <c r="G4345" s="209"/>
      <c r="H4345" s="539">
        <f>SUM(H4344:H4344)</f>
        <v>0</v>
      </c>
    </row>
    <row r="4346" spans="3:11" ht="25.8" customHeight="1">
      <c r="C4346" s="213" t="s">
        <v>1215</v>
      </c>
      <c r="D4346" s="212" t="s">
        <v>1216</v>
      </c>
      <c r="E4346" s="534"/>
      <c r="F4346" s="534"/>
      <c r="G4346" s="534"/>
      <c r="H4346" s="534"/>
    </row>
    <row r="4347" spans="3:11" ht="25.8" customHeight="1">
      <c r="C4347" s="702" t="s">
        <v>1217</v>
      </c>
      <c r="D4347" s="208"/>
      <c r="E4347" s="208"/>
      <c r="F4347" s="208"/>
      <c r="G4347" s="209"/>
      <c r="H4347" s="821">
        <v>0</v>
      </c>
    </row>
    <row r="4348" spans="3:11" ht="25.8" customHeight="1">
      <c r="C4348" s="566" t="s">
        <v>1218</v>
      </c>
      <c r="D4348" s="552" t="s">
        <v>1219</v>
      </c>
      <c r="E4348" s="553"/>
      <c r="F4348" s="553"/>
      <c r="G4348" s="554"/>
      <c r="H4348" s="826">
        <f>H4347+H4345+H4342</f>
        <v>42885</v>
      </c>
      <c r="I4348" s="827"/>
    </row>
    <row r="4349" spans="3:11" ht="25.8" customHeight="1">
      <c r="C4349" s="566" t="s">
        <v>1220</v>
      </c>
      <c r="D4349" s="552" t="s">
        <v>1321</v>
      </c>
      <c r="E4349" s="553"/>
      <c r="F4349" s="554"/>
      <c r="G4349" s="555">
        <f>$M$9</f>
        <v>0.1</v>
      </c>
      <c r="H4349" s="539">
        <f>H4348*G4349</f>
        <v>4288.5</v>
      </c>
      <c r="I4349" s="827"/>
    </row>
    <row r="4350" spans="3:11" ht="25.8" customHeight="1">
      <c r="C4350" s="566" t="s">
        <v>1221</v>
      </c>
      <c r="D4350" s="552" t="s">
        <v>1222</v>
      </c>
      <c r="E4350" s="553"/>
      <c r="F4350" s="553"/>
      <c r="G4350" s="554"/>
      <c r="H4350" s="828">
        <f>SUM(H4348:H4349)</f>
        <v>47173.5</v>
      </c>
      <c r="I4350" s="827"/>
    </row>
    <row r="4351" spans="3:11" ht="25.8" customHeight="1">
      <c r="C4351" s="572"/>
      <c r="D4351" s="575"/>
      <c r="E4351" s="575"/>
      <c r="F4351" s="575"/>
      <c r="G4351" s="575"/>
      <c r="H4351" s="830"/>
    </row>
    <row r="4352" spans="3:11" ht="25.8" customHeight="1">
      <c r="C4352" s="513" t="s">
        <v>8025</v>
      </c>
      <c r="D4352" s="817" t="s">
        <v>8044</v>
      </c>
      <c r="E4352" s="803"/>
      <c r="F4352" s="803"/>
      <c r="G4352" s="803"/>
      <c r="H4352" s="803"/>
      <c r="I4352" s="533">
        <f>ROUNDDOWN(H4367,-2)</f>
        <v>47100</v>
      </c>
      <c r="J4352" s="536" t="s">
        <v>7804</v>
      </c>
      <c r="K4352" s="824"/>
    </row>
    <row r="4353" spans="3:9" ht="25.8" customHeight="1">
      <c r="C4353" s="716" t="s">
        <v>1195</v>
      </c>
      <c r="D4353" s="716" t="s">
        <v>1196</v>
      </c>
      <c r="E4353" s="716" t="s">
        <v>1197</v>
      </c>
      <c r="F4353" s="716" t="s">
        <v>1198</v>
      </c>
      <c r="G4353" s="716" t="s">
        <v>1199</v>
      </c>
      <c r="H4353" s="716" t="s">
        <v>1200</v>
      </c>
    </row>
    <row r="4354" spans="3:9" ht="25.8" customHeight="1">
      <c r="C4354" s="213" t="s">
        <v>1201</v>
      </c>
      <c r="D4354" s="212" t="s">
        <v>1202</v>
      </c>
      <c r="E4354" s="534"/>
      <c r="F4354" s="534"/>
      <c r="G4354" s="534"/>
      <c r="H4354" s="534"/>
    </row>
    <row r="4355" spans="3:9" ht="25.8" customHeight="1">
      <c r="C4355" s="818">
        <v>1</v>
      </c>
      <c r="D4355" s="212" t="s">
        <v>5</v>
      </c>
      <c r="E4355" s="212" t="s">
        <v>6</v>
      </c>
      <c r="F4355" s="538">
        <v>0.11899999999999999</v>
      </c>
      <c r="G4355" s="539">
        <f>VLOOKUP(D4355,upahbahan,3,FALSE)</f>
        <v>100000</v>
      </c>
      <c r="H4355" s="539">
        <f t="shared" ref="H4355:H4358" si="469">F4355*G4355</f>
        <v>11900</v>
      </c>
    </row>
    <row r="4356" spans="3:9" ht="25.8" customHeight="1">
      <c r="C4356" s="818">
        <v>2</v>
      </c>
      <c r="D4356" s="212" t="s">
        <v>3295</v>
      </c>
      <c r="E4356" s="212" t="s">
        <v>6</v>
      </c>
      <c r="F4356" s="538">
        <v>0.19900000000000001</v>
      </c>
      <c r="G4356" s="539">
        <f>VLOOKUP(D4356,upahbahan,3,FALSE)</f>
        <v>135000</v>
      </c>
      <c r="H4356" s="539">
        <f t="shared" si="469"/>
        <v>26865</v>
      </c>
    </row>
    <row r="4357" spans="3:9" ht="25.8" customHeight="1">
      <c r="C4357" s="818">
        <v>3</v>
      </c>
      <c r="D4357" s="212" t="s">
        <v>18</v>
      </c>
      <c r="E4357" s="212" t="s">
        <v>6</v>
      </c>
      <c r="F4357" s="538">
        <v>0.02</v>
      </c>
      <c r="G4357" s="539">
        <f>VLOOKUP(D4357,upahbahan,3,FALSE)</f>
        <v>150000</v>
      </c>
      <c r="H4357" s="539">
        <f t="shared" si="469"/>
        <v>3000</v>
      </c>
    </row>
    <row r="4358" spans="3:9" ht="25.8" customHeight="1">
      <c r="C4358" s="818">
        <v>4</v>
      </c>
      <c r="D4358" s="212" t="s">
        <v>19</v>
      </c>
      <c r="E4358" s="212" t="s">
        <v>6</v>
      </c>
      <c r="F4358" s="538">
        <v>7.0000000000000001E-3</v>
      </c>
      <c r="G4358" s="539">
        <f>VLOOKUP(D4358,upahbahan,3,FALSE)</f>
        <v>160000</v>
      </c>
      <c r="H4358" s="539">
        <f t="shared" si="469"/>
        <v>1120</v>
      </c>
    </row>
    <row r="4359" spans="3:9" ht="25.8" customHeight="1">
      <c r="C4359" s="702" t="s">
        <v>1208</v>
      </c>
      <c r="D4359" s="208"/>
      <c r="E4359" s="208"/>
      <c r="F4359" s="811"/>
      <c r="G4359" s="522"/>
      <c r="H4359" s="539">
        <f>SUM(H4355:H4358)</f>
        <v>42885</v>
      </c>
      <c r="I4359" s="819"/>
    </row>
    <row r="4360" spans="3:9" ht="25.8" customHeight="1">
      <c r="C4360" s="213" t="s">
        <v>1209</v>
      </c>
      <c r="D4360" s="212" t="s">
        <v>1210</v>
      </c>
      <c r="E4360" s="534"/>
      <c r="F4360" s="831"/>
      <c r="G4360" s="534"/>
      <c r="H4360" s="534"/>
    </row>
    <row r="4361" spans="3:9" ht="25.8" customHeight="1">
      <c r="C4361" s="833" t="s">
        <v>1203</v>
      </c>
      <c r="D4361" s="212" t="s">
        <v>8045</v>
      </c>
      <c r="E4361" s="807" t="s">
        <v>135</v>
      </c>
      <c r="F4361" s="832">
        <v>1.2</v>
      </c>
      <c r="G4361" s="539">
        <f>VLOOKUP(D4361,upahbahan,3,FALSE)</f>
        <v>0</v>
      </c>
      <c r="H4361" s="539">
        <f t="shared" ref="H4361" si="470">F4361*G4361</f>
        <v>0</v>
      </c>
    </row>
    <row r="4362" spans="3:9" ht="25.8" customHeight="1">
      <c r="C4362" s="702" t="s">
        <v>1214</v>
      </c>
      <c r="D4362" s="208"/>
      <c r="E4362" s="208"/>
      <c r="F4362" s="208"/>
      <c r="G4362" s="209"/>
      <c r="H4362" s="539">
        <f>SUM(H4361:H4361)</f>
        <v>0</v>
      </c>
    </row>
    <row r="4363" spans="3:9" ht="25.8" customHeight="1">
      <c r="C4363" s="213" t="s">
        <v>1215</v>
      </c>
      <c r="D4363" s="212" t="s">
        <v>1216</v>
      </c>
      <c r="E4363" s="534"/>
      <c r="F4363" s="534"/>
      <c r="G4363" s="534"/>
      <c r="H4363" s="534"/>
    </row>
    <row r="4364" spans="3:9" ht="25.8" customHeight="1">
      <c r="C4364" s="702" t="s">
        <v>1217</v>
      </c>
      <c r="D4364" s="208"/>
      <c r="E4364" s="208"/>
      <c r="F4364" s="208"/>
      <c r="G4364" s="209"/>
      <c r="H4364" s="821">
        <v>0</v>
      </c>
    </row>
    <row r="4365" spans="3:9" ht="25.8" customHeight="1">
      <c r="C4365" s="566" t="s">
        <v>1218</v>
      </c>
      <c r="D4365" s="552" t="s">
        <v>1219</v>
      </c>
      <c r="E4365" s="553"/>
      <c r="F4365" s="553"/>
      <c r="G4365" s="554"/>
      <c r="H4365" s="826">
        <f>H4364+H4362+H4359</f>
        <v>42885</v>
      </c>
      <c r="I4365" s="827"/>
    </row>
    <row r="4366" spans="3:9" ht="25.8" customHeight="1">
      <c r="C4366" s="566" t="s">
        <v>1220</v>
      </c>
      <c r="D4366" s="552" t="s">
        <v>1321</v>
      </c>
      <c r="E4366" s="553"/>
      <c r="F4366" s="554"/>
      <c r="G4366" s="555">
        <f>$M$9</f>
        <v>0.1</v>
      </c>
      <c r="H4366" s="539">
        <f>H4365*G4366</f>
        <v>4288.5</v>
      </c>
      <c r="I4366" s="827"/>
    </row>
    <row r="4367" spans="3:9" ht="25.8" customHeight="1">
      <c r="C4367" s="566" t="s">
        <v>1221</v>
      </c>
      <c r="D4367" s="552" t="s">
        <v>1222</v>
      </c>
      <c r="E4367" s="553"/>
      <c r="F4367" s="553"/>
      <c r="G4367" s="554"/>
      <c r="H4367" s="828">
        <f>SUM(H4365:H4366)</f>
        <v>47173.5</v>
      </c>
      <c r="I4367" s="827"/>
    </row>
    <row r="4368" spans="3:9" ht="25.8" customHeight="1">
      <c r="C4368" s="572"/>
      <c r="D4368" s="575"/>
      <c r="E4368" s="575"/>
      <c r="F4368" s="575"/>
      <c r="G4368" s="575"/>
      <c r="H4368" s="830"/>
    </row>
    <row r="4369" spans="3:11" ht="25.8" customHeight="1">
      <c r="C4369" s="513" t="s">
        <v>8026</v>
      </c>
      <c r="D4369" s="817" t="s">
        <v>8046</v>
      </c>
      <c r="E4369" s="803"/>
      <c r="F4369" s="803"/>
      <c r="G4369" s="803"/>
      <c r="H4369" s="803"/>
      <c r="I4369" s="533">
        <f>ROUNDDOWN(H4384,-2)</f>
        <v>47100</v>
      </c>
      <c r="J4369" s="536" t="s">
        <v>7804</v>
      </c>
      <c r="K4369" s="824"/>
    </row>
    <row r="4370" spans="3:11" ht="25.8" customHeight="1">
      <c r="C4370" s="716" t="s">
        <v>1195</v>
      </c>
      <c r="D4370" s="716" t="s">
        <v>1196</v>
      </c>
      <c r="E4370" s="716" t="s">
        <v>1197</v>
      </c>
      <c r="F4370" s="716" t="s">
        <v>1198</v>
      </c>
      <c r="G4370" s="716" t="s">
        <v>1199</v>
      </c>
      <c r="H4370" s="716" t="s">
        <v>1200</v>
      </c>
    </row>
    <row r="4371" spans="3:11" ht="25.8" customHeight="1">
      <c r="C4371" s="213" t="s">
        <v>1201</v>
      </c>
      <c r="D4371" s="212" t="s">
        <v>1202</v>
      </c>
      <c r="E4371" s="534"/>
      <c r="F4371" s="534"/>
      <c r="G4371" s="534"/>
      <c r="H4371" s="534"/>
    </row>
    <row r="4372" spans="3:11" ht="25.8" customHeight="1">
      <c r="C4372" s="818">
        <v>1</v>
      </c>
      <c r="D4372" s="212" t="s">
        <v>5</v>
      </c>
      <c r="E4372" s="212" t="s">
        <v>6</v>
      </c>
      <c r="F4372" s="538">
        <v>0.11899999999999999</v>
      </c>
      <c r="G4372" s="539">
        <f>VLOOKUP(D4372,upahbahan,3,FALSE)</f>
        <v>100000</v>
      </c>
      <c r="H4372" s="539">
        <f t="shared" ref="H4372:H4375" si="471">F4372*G4372</f>
        <v>11900</v>
      </c>
    </row>
    <row r="4373" spans="3:11" ht="25.8" customHeight="1">
      <c r="C4373" s="818">
        <v>2</v>
      </c>
      <c r="D4373" s="212" t="s">
        <v>3295</v>
      </c>
      <c r="E4373" s="212" t="s">
        <v>6</v>
      </c>
      <c r="F4373" s="538">
        <v>0.19900000000000001</v>
      </c>
      <c r="G4373" s="539">
        <f>VLOOKUP(D4373,upahbahan,3,FALSE)</f>
        <v>135000</v>
      </c>
      <c r="H4373" s="539">
        <f t="shared" si="471"/>
        <v>26865</v>
      </c>
    </row>
    <row r="4374" spans="3:11" ht="25.8" customHeight="1">
      <c r="C4374" s="818">
        <v>3</v>
      </c>
      <c r="D4374" s="212" t="s">
        <v>18</v>
      </c>
      <c r="E4374" s="212" t="s">
        <v>6</v>
      </c>
      <c r="F4374" s="538">
        <v>0.02</v>
      </c>
      <c r="G4374" s="539">
        <f>VLOOKUP(D4374,upahbahan,3,FALSE)</f>
        <v>150000</v>
      </c>
      <c r="H4374" s="539">
        <f t="shared" si="471"/>
        <v>3000</v>
      </c>
    </row>
    <row r="4375" spans="3:11" ht="25.8" customHeight="1">
      <c r="C4375" s="818">
        <v>4</v>
      </c>
      <c r="D4375" s="212" t="s">
        <v>19</v>
      </c>
      <c r="E4375" s="212" t="s">
        <v>6</v>
      </c>
      <c r="F4375" s="538">
        <v>7.0000000000000001E-3</v>
      </c>
      <c r="G4375" s="539">
        <f>VLOOKUP(D4375,upahbahan,3,FALSE)</f>
        <v>160000</v>
      </c>
      <c r="H4375" s="539">
        <f t="shared" si="471"/>
        <v>1120</v>
      </c>
    </row>
    <row r="4376" spans="3:11" ht="25.8" customHeight="1">
      <c r="C4376" s="702" t="s">
        <v>1208</v>
      </c>
      <c r="D4376" s="208"/>
      <c r="E4376" s="208"/>
      <c r="F4376" s="811"/>
      <c r="G4376" s="522"/>
      <c r="H4376" s="539">
        <f>SUM(H4372:H4375)</f>
        <v>42885</v>
      </c>
      <c r="I4376" s="819"/>
    </row>
    <row r="4377" spans="3:11" ht="25.8" customHeight="1">
      <c r="C4377" s="213" t="s">
        <v>1209</v>
      </c>
      <c r="D4377" s="212" t="s">
        <v>1210</v>
      </c>
      <c r="E4377" s="534"/>
      <c r="F4377" s="831"/>
      <c r="G4377" s="534"/>
      <c r="H4377" s="534"/>
    </row>
    <row r="4378" spans="3:11" ht="25.8" customHeight="1">
      <c r="C4378" s="833" t="s">
        <v>1203</v>
      </c>
      <c r="D4378" s="212" t="s">
        <v>8047</v>
      </c>
      <c r="E4378" s="807" t="s">
        <v>135</v>
      </c>
      <c r="F4378" s="832">
        <v>1.2</v>
      </c>
      <c r="G4378" s="539">
        <f>VLOOKUP(D4378,upahbahan,3,FALSE)</f>
        <v>0</v>
      </c>
      <c r="H4378" s="539">
        <f t="shared" ref="H4378" si="472">F4378*G4378</f>
        <v>0</v>
      </c>
    </row>
    <row r="4379" spans="3:11" ht="25.8" customHeight="1">
      <c r="C4379" s="702" t="s">
        <v>1214</v>
      </c>
      <c r="D4379" s="208"/>
      <c r="E4379" s="208"/>
      <c r="F4379" s="208"/>
      <c r="G4379" s="209"/>
      <c r="H4379" s="539">
        <f>SUM(H4378:H4378)</f>
        <v>0</v>
      </c>
    </row>
    <row r="4380" spans="3:11" ht="25.8" customHeight="1">
      <c r="C4380" s="213" t="s">
        <v>1215</v>
      </c>
      <c r="D4380" s="212" t="s">
        <v>1216</v>
      </c>
      <c r="E4380" s="534"/>
      <c r="F4380" s="534"/>
      <c r="G4380" s="534"/>
      <c r="H4380" s="534"/>
    </row>
    <row r="4381" spans="3:11" ht="25.8" customHeight="1">
      <c r="C4381" s="702" t="s">
        <v>1217</v>
      </c>
      <c r="D4381" s="208"/>
      <c r="E4381" s="208"/>
      <c r="F4381" s="208"/>
      <c r="G4381" s="209"/>
      <c r="H4381" s="821">
        <v>0</v>
      </c>
    </row>
    <row r="4382" spans="3:11" ht="25.8" customHeight="1">
      <c r="C4382" s="566" t="s">
        <v>1218</v>
      </c>
      <c r="D4382" s="552" t="s">
        <v>1219</v>
      </c>
      <c r="E4382" s="553"/>
      <c r="F4382" s="553"/>
      <c r="G4382" s="554"/>
      <c r="H4382" s="826">
        <f>H4381+H4379+H4376</f>
        <v>42885</v>
      </c>
      <c r="I4382" s="827"/>
    </row>
    <row r="4383" spans="3:11" ht="25.8" customHeight="1">
      <c r="C4383" s="566" t="s">
        <v>1220</v>
      </c>
      <c r="D4383" s="552" t="s">
        <v>1321</v>
      </c>
      <c r="E4383" s="553"/>
      <c r="F4383" s="554"/>
      <c r="G4383" s="555">
        <f>$M$9</f>
        <v>0.1</v>
      </c>
      <c r="H4383" s="539">
        <f>H4382*G4383</f>
        <v>4288.5</v>
      </c>
      <c r="I4383" s="827"/>
    </row>
    <row r="4384" spans="3:11" ht="25.8" customHeight="1">
      <c r="C4384" s="566" t="s">
        <v>1221</v>
      </c>
      <c r="D4384" s="552" t="s">
        <v>1222</v>
      </c>
      <c r="E4384" s="553"/>
      <c r="F4384" s="553"/>
      <c r="G4384" s="554"/>
      <c r="H4384" s="828">
        <f>SUM(H4382:H4383)</f>
        <v>47173.5</v>
      </c>
      <c r="I4384" s="827"/>
    </row>
    <row r="4385" spans="3:11" ht="25.8" customHeight="1">
      <c r="C4385" s="572"/>
      <c r="D4385" s="575"/>
      <c r="E4385" s="575"/>
      <c r="F4385" s="575"/>
      <c r="G4385" s="575"/>
      <c r="H4385" s="830"/>
    </row>
    <row r="4386" spans="3:11" ht="25.8" customHeight="1">
      <c r="C4386" s="513" t="s">
        <v>8027</v>
      </c>
      <c r="D4386" s="817" t="s">
        <v>8048</v>
      </c>
      <c r="E4386" s="803"/>
      <c r="F4386" s="803"/>
      <c r="G4386" s="803"/>
      <c r="H4386" s="803"/>
      <c r="I4386" s="533">
        <f>ROUNDDOWN(H4401,-2)</f>
        <v>47100</v>
      </c>
      <c r="J4386" s="536" t="s">
        <v>7804</v>
      </c>
      <c r="K4386" s="824"/>
    </row>
    <row r="4387" spans="3:11" ht="25.8" customHeight="1">
      <c r="C4387" s="716" t="s">
        <v>1195</v>
      </c>
      <c r="D4387" s="716" t="s">
        <v>1196</v>
      </c>
      <c r="E4387" s="716" t="s">
        <v>1197</v>
      </c>
      <c r="F4387" s="716" t="s">
        <v>1198</v>
      </c>
      <c r="G4387" s="716" t="s">
        <v>1199</v>
      </c>
      <c r="H4387" s="716" t="s">
        <v>1200</v>
      </c>
    </row>
    <row r="4388" spans="3:11" ht="25.8" customHeight="1">
      <c r="C4388" s="213" t="s">
        <v>1201</v>
      </c>
      <c r="D4388" s="212" t="s">
        <v>1202</v>
      </c>
      <c r="E4388" s="534"/>
      <c r="F4388" s="534"/>
      <c r="G4388" s="534"/>
      <c r="H4388" s="534"/>
    </row>
    <row r="4389" spans="3:11" ht="25.8" customHeight="1">
      <c r="C4389" s="818">
        <v>1</v>
      </c>
      <c r="D4389" s="212" t="s">
        <v>5</v>
      </c>
      <c r="E4389" s="212" t="s">
        <v>6</v>
      </c>
      <c r="F4389" s="538">
        <v>0.11899999999999999</v>
      </c>
      <c r="G4389" s="539">
        <f>VLOOKUP(D4389,upahbahan,3,FALSE)</f>
        <v>100000</v>
      </c>
      <c r="H4389" s="539">
        <f t="shared" ref="H4389:H4392" si="473">F4389*G4389</f>
        <v>11900</v>
      </c>
    </row>
    <row r="4390" spans="3:11" ht="25.8" customHeight="1">
      <c r="C4390" s="818">
        <v>2</v>
      </c>
      <c r="D4390" s="212" t="s">
        <v>3295</v>
      </c>
      <c r="E4390" s="212" t="s">
        <v>6</v>
      </c>
      <c r="F4390" s="538">
        <v>0.19900000000000001</v>
      </c>
      <c r="G4390" s="539">
        <f>VLOOKUP(D4390,upahbahan,3,FALSE)</f>
        <v>135000</v>
      </c>
      <c r="H4390" s="539">
        <f t="shared" si="473"/>
        <v>26865</v>
      </c>
    </row>
    <row r="4391" spans="3:11" ht="25.8" customHeight="1">
      <c r="C4391" s="818">
        <v>3</v>
      </c>
      <c r="D4391" s="212" t="s">
        <v>18</v>
      </c>
      <c r="E4391" s="212" t="s">
        <v>6</v>
      </c>
      <c r="F4391" s="538">
        <v>0.02</v>
      </c>
      <c r="G4391" s="539">
        <f>VLOOKUP(D4391,upahbahan,3,FALSE)</f>
        <v>150000</v>
      </c>
      <c r="H4391" s="539">
        <f t="shared" si="473"/>
        <v>3000</v>
      </c>
    </row>
    <row r="4392" spans="3:11" ht="25.8" customHeight="1">
      <c r="C4392" s="818">
        <v>4</v>
      </c>
      <c r="D4392" s="212" t="s">
        <v>19</v>
      </c>
      <c r="E4392" s="212" t="s">
        <v>6</v>
      </c>
      <c r="F4392" s="538">
        <v>7.0000000000000001E-3</v>
      </c>
      <c r="G4392" s="539">
        <f>VLOOKUP(D4392,upahbahan,3,FALSE)</f>
        <v>160000</v>
      </c>
      <c r="H4392" s="539">
        <f t="shared" si="473"/>
        <v>1120</v>
      </c>
    </row>
    <row r="4393" spans="3:11" ht="25.8" customHeight="1">
      <c r="C4393" s="702" t="s">
        <v>1208</v>
      </c>
      <c r="D4393" s="208"/>
      <c r="E4393" s="208"/>
      <c r="F4393" s="811"/>
      <c r="G4393" s="522"/>
      <c r="H4393" s="539">
        <f>SUM(H4389:H4392)</f>
        <v>42885</v>
      </c>
      <c r="I4393" s="819"/>
    </row>
    <row r="4394" spans="3:11" ht="25.8" customHeight="1">
      <c r="C4394" s="213" t="s">
        <v>1209</v>
      </c>
      <c r="D4394" s="212" t="s">
        <v>1210</v>
      </c>
      <c r="E4394" s="534"/>
      <c r="F4394" s="831"/>
      <c r="G4394" s="534"/>
      <c r="H4394" s="534"/>
    </row>
    <row r="4395" spans="3:11" ht="25.8" customHeight="1">
      <c r="C4395" s="833" t="s">
        <v>1203</v>
      </c>
      <c r="D4395" s="212" t="s">
        <v>8049</v>
      </c>
      <c r="E4395" s="807" t="s">
        <v>135</v>
      </c>
      <c r="F4395" s="832">
        <v>1.2</v>
      </c>
      <c r="G4395" s="539">
        <f>VLOOKUP(D4395,upahbahan,3,FALSE)</f>
        <v>0</v>
      </c>
      <c r="H4395" s="539">
        <f t="shared" ref="H4395" si="474">F4395*G4395</f>
        <v>0</v>
      </c>
    </row>
    <row r="4396" spans="3:11" ht="25.8" customHeight="1">
      <c r="C4396" s="702" t="s">
        <v>1214</v>
      </c>
      <c r="D4396" s="208"/>
      <c r="E4396" s="208"/>
      <c r="F4396" s="208"/>
      <c r="G4396" s="209"/>
      <c r="H4396" s="539">
        <f>SUM(H4395:H4395)</f>
        <v>0</v>
      </c>
    </row>
    <row r="4397" spans="3:11" ht="25.8" customHeight="1">
      <c r="C4397" s="213" t="s">
        <v>1215</v>
      </c>
      <c r="D4397" s="212" t="s">
        <v>1216</v>
      </c>
      <c r="E4397" s="534"/>
      <c r="F4397" s="534"/>
      <c r="G4397" s="534"/>
      <c r="H4397" s="534"/>
    </row>
    <row r="4398" spans="3:11" ht="25.8" customHeight="1">
      <c r="C4398" s="702" t="s">
        <v>1217</v>
      </c>
      <c r="D4398" s="208"/>
      <c r="E4398" s="208"/>
      <c r="F4398" s="208"/>
      <c r="G4398" s="209"/>
      <c r="H4398" s="821">
        <v>0</v>
      </c>
    </row>
    <row r="4399" spans="3:11" ht="25.8" customHeight="1">
      <c r="C4399" s="566" t="s">
        <v>1218</v>
      </c>
      <c r="D4399" s="552" t="s">
        <v>1219</v>
      </c>
      <c r="E4399" s="553"/>
      <c r="F4399" s="553"/>
      <c r="G4399" s="554"/>
      <c r="H4399" s="826">
        <f>H4398+H4396+H4393</f>
        <v>42885</v>
      </c>
      <c r="I4399" s="827"/>
    </row>
    <row r="4400" spans="3:11" ht="25.8" customHeight="1">
      <c r="C4400" s="566" t="s">
        <v>1220</v>
      </c>
      <c r="D4400" s="552" t="s">
        <v>1321</v>
      </c>
      <c r="E4400" s="553"/>
      <c r="F4400" s="554"/>
      <c r="G4400" s="555">
        <f>$M$9</f>
        <v>0.1</v>
      </c>
      <c r="H4400" s="539">
        <f>H4399*G4400</f>
        <v>4288.5</v>
      </c>
      <c r="I4400" s="827"/>
    </row>
    <row r="4401" spans="3:11" ht="25.8" customHeight="1">
      <c r="C4401" s="566" t="s">
        <v>1221</v>
      </c>
      <c r="D4401" s="552" t="s">
        <v>1222</v>
      </c>
      <c r="E4401" s="553"/>
      <c r="F4401" s="553"/>
      <c r="G4401" s="554"/>
      <c r="H4401" s="828">
        <f>SUM(H4399:H4400)</f>
        <v>47173.5</v>
      </c>
      <c r="I4401" s="827"/>
    </row>
    <row r="4402" spans="3:11" ht="25.8" customHeight="1">
      <c r="C4402" s="572"/>
      <c r="D4402" s="575"/>
      <c r="E4402" s="575"/>
      <c r="F4402" s="575"/>
      <c r="G4402" s="575"/>
      <c r="H4402" s="830"/>
    </row>
    <row r="4403" spans="3:11" ht="25.8" customHeight="1">
      <c r="C4403" s="572"/>
      <c r="D4403" s="575"/>
      <c r="E4403" s="575"/>
      <c r="F4403" s="575"/>
      <c r="G4403" s="575"/>
      <c r="H4403" s="830"/>
    </row>
    <row r="4404" spans="3:11" ht="25.8" customHeight="1">
      <c r="C4404" s="571" t="s">
        <v>3425</v>
      </c>
      <c r="D4404" s="571" t="s">
        <v>3426</v>
      </c>
    </row>
    <row r="4405" spans="3:11" ht="25.8" customHeight="1">
      <c r="C4405" s="513" t="s">
        <v>3427</v>
      </c>
      <c r="D4405" s="817" t="s">
        <v>3428</v>
      </c>
      <c r="E4405" s="803"/>
      <c r="F4405" s="803"/>
      <c r="G4405" s="803"/>
      <c r="H4405" s="803"/>
      <c r="I4405" s="533">
        <f>ROUNDDOWN(H4420,-2)</f>
        <v>1482600</v>
      </c>
      <c r="J4405" s="536"/>
      <c r="K4405" s="824"/>
    </row>
    <row r="4406" spans="3:11" ht="25.8" customHeight="1">
      <c r="C4406" s="716" t="s">
        <v>1195</v>
      </c>
      <c r="D4406" s="716" t="s">
        <v>1196</v>
      </c>
      <c r="E4406" s="716" t="s">
        <v>1197</v>
      </c>
      <c r="F4406" s="716" t="s">
        <v>1198</v>
      </c>
      <c r="G4406" s="716" t="s">
        <v>1199</v>
      </c>
      <c r="H4406" s="716" t="s">
        <v>1200</v>
      </c>
    </row>
    <row r="4407" spans="3:11" ht="25.8" customHeight="1">
      <c r="C4407" s="213" t="s">
        <v>1201</v>
      </c>
      <c r="D4407" s="212" t="s">
        <v>1202</v>
      </c>
      <c r="E4407" s="534"/>
      <c r="F4407" s="534"/>
      <c r="G4407" s="534"/>
      <c r="H4407" s="534"/>
    </row>
    <row r="4408" spans="3:11" ht="25.8" customHeight="1">
      <c r="C4408" s="818">
        <v>1</v>
      </c>
      <c r="D4408" s="212" t="s">
        <v>5</v>
      </c>
      <c r="E4408" s="212" t="s">
        <v>6</v>
      </c>
      <c r="F4408" s="538">
        <v>3.75</v>
      </c>
      <c r="G4408" s="539">
        <f>VLOOKUP(D4408,upahbahan,3,FALSE)</f>
        <v>100000</v>
      </c>
      <c r="H4408" s="539">
        <f t="shared" ref="H4408:H4411" si="475">F4408*G4408</f>
        <v>375000</v>
      </c>
    </row>
    <row r="4409" spans="3:11" ht="25.8" customHeight="1">
      <c r="C4409" s="818">
        <v>2</v>
      </c>
      <c r="D4409" s="212" t="s">
        <v>3295</v>
      </c>
      <c r="E4409" s="212" t="s">
        <v>6</v>
      </c>
      <c r="F4409" s="538">
        <v>6.2629999999999999</v>
      </c>
      <c r="G4409" s="539">
        <f>VLOOKUP(D4409,upahbahan,3,FALSE)</f>
        <v>135000</v>
      </c>
      <c r="H4409" s="539">
        <f t="shared" si="475"/>
        <v>845505</v>
      </c>
    </row>
    <row r="4410" spans="3:11" ht="25.8" customHeight="1">
      <c r="C4410" s="818">
        <v>3</v>
      </c>
      <c r="D4410" s="212" t="s">
        <v>18</v>
      </c>
      <c r="E4410" s="212" t="s">
        <v>6</v>
      </c>
      <c r="F4410" s="538">
        <v>0.626</v>
      </c>
      <c r="G4410" s="539">
        <f>VLOOKUP(D4410,upahbahan,3,FALSE)</f>
        <v>150000</v>
      </c>
      <c r="H4410" s="539">
        <f t="shared" si="475"/>
        <v>93900</v>
      </c>
    </row>
    <row r="4411" spans="3:11" ht="25.8" customHeight="1">
      <c r="C4411" s="818">
        <v>4</v>
      </c>
      <c r="D4411" s="212" t="s">
        <v>19</v>
      </c>
      <c r="E4411" s="212" t="s">
        <v>6</v>
      </c>
      <c r="F4411" s="538">
        <v>0.20899999999999999</v>
      </c>
      <c r="G4411" s="539">
        <f>VLOOKUP(D4411,upahbahan,3,FALSE)</f>
        <v>160000</v>
      </c>
      <c r="H4411" s="539">
        <f t="shared" si="475"/>
        <v>33440</v>
      </c>
    </row>
    <row r="4412" spans="3:11" ht="25.8" customHeight="1">
      <c r="C4412" s="702" t="s">
        <v>1208</v>
      </c>
      <c r="D4412" s="208"/>
      <c r="E4412" s="208"/>
      <c r="F4412" s="811"/>
      <c r="G4412" s="522"/>
      <c r="H4412" s="539">
        <f>SUM(H4408:H4411)</f>
        <v>1347845</v>
      </c>
      <c r="I4412" s="819"/>
    </row>
    <row r="4413" spans="3:11" ht="25.8" customHeight="1">
      <c r="C4413" s="213" t="s">
        <v>1209</v>
      </c>
      <c r="D4413" s="212" t="s">
        <v>1210</v>
      </c>
      <c r="E4413" s="534"/>
      <c r="F4413" s="831"/>
      <c r="G4413" s="534"/>
      <c r="H4413" s="534"/>
    </row>
    <row r="4414" spans="3:11" s="852" customFormat="1" ht="25.8" customHeight="1">
      <c r="C4414" s="847" t="s">
        <v>1203</v>
      </c>
      <c r="D4414" s="848" t="s">
        <v>5304</v>
      </c>
      <c r="E4414" s="849" t="s">
        <v>3182</v>
      </c>
      <c r="F4414" s="850">
        <v>1</v>
      </c>
      <c r="G4414" s="246">
        <f>VLOOKUP(D4414,upahbahan,3,FALSE)</f>
        <v>0</v>
      </c>
      <c r="H4414" s="246">
        <f t="shared" ref="H4414" si="476">F4414*G4414</f>
        <v>0</v>
      </c>
      <c r="I4414" s="851"/>
      <c r="J4414" s="517"/>
      <c r="K4414" s="517"/>
    </row>
    <row r="4415" spans="3:11" ht="25.8" customHeight="1">
      <c r="C4415" s="702" t="s">
        <v>1214</v>
      </c>
      <c r="D4415" s="208"/>
      <c r="E4415" s="208"/>
      <c r="F4415" s="208"/>
      <c r="G4415" s="209"/>
      <c r="H4415" s="539">
        <f>SUM(H4414:H4414)</f>
        <v>0</v>
      </c>
    </row>
    <row r="4416" spans="3:11" ht="25.8" customHeight="1">
      <c r="C4416" s="213" t="s">
        <v>1215</v>
      </c>
      <c r="D4416" s="212" t="s">
        <v>1216</v>
      </c>
      <c r="E4416" s="534"/>
      <c r="F4416" s="534"/>
      <c r="G4416" s="534"/>
      <c r="H4416" s="534"/>
    </row>
    <row r="4417" spans="3:11" ht="25.8" customHeight="1">
      <c r="C4417" s="702" t="s">
        <v>1217</v>
      </c>
      <c r="D4417" s="208"/>
      <c r="E4417" s="208"/>
      <c r="F4417" s="208"/>
      <c r="G4417" s="209"/>
      <c r="H4417" s="821">
        <v>0</v>
      </c>
    </row>
    <row r="4418" spans="3:11" ht="25.8" customHeight="1">
      <c r="C4418" s="566" t="s">
        <v>1218</v>
      </c>
      <c r="D4418" s="552" t="s">
        <v>1219</v>
      </c>
      <c r="E4418" s="553"/>
      <c r="F4418" s="553"/>
      <c r="G4418" s="554"/>
      <c r="H4418" s="826">
        <f>H4417+H4415+H4412</f>
        <v>1347845</v>
      </c>
      <c r="I4418" s="827"/>
    </row>
    <row r="4419" spans="3:11" ht="25.8" customHeight="1">
      <c r="C4419" s="566" t="s">
        <v>1220</v>
      </c>
      <c r="D4419" s="552" t="s">
        <v>1321</v>
      </c>
      <c r="E4419" s="553"/>
      <c r="F4419" s="554"/>
      <c r="G4419" s="555">
        <f>$M$9</f>
        <v>0.1</v>
      </c>
      <c r="H4419" s="539">
        <f>H4418*G4419</f>
        <v>134784.5</v>
      </c>
      <c r="I4419" s="827"/>
    </row>
    <row r="4420" spans="3:11" ht="25.8" customHeight="1">
      <c r="C4420" s="566" t="s">
        <v>1221</v>
      </c>
      <c r="D4420" s="552" t="s">
        <v>1222</v>
      </c>
      <c r="E4420" s="553"/>
      <c r="F4420" s="553"/>
      <c r="G4420" s="554"/>
      <c r="H4420" s="828">
        <f>SUM(H4418:H4419)</f>
        <v>1482629.5</v>
      </c>
      <c r="I4420" s="827"/>
    </row>
    <row r="4421" spans="3:11" ht="25.8" customHeight="1"/>
    <row r="4422" spans="3:11" ht="25.8" customHeight="1">
      <c r="C4422" s="513" t="s">
        <v>3429</v>
      </c>
      <c r="D4422" s="817" t="s">
        <v>3430</v>
      </c>
      <c r="E4422" s="803"/>
      <c r="F4422" s="803"/>
      <c r="G4422" s="803"/>
      <c r="H4422" s="803"/>
      <c r="I4422" s="533">
        <f>ROUNDDOWN(H4437,-2)</f>
        <v>1317900</v>
      </c>
      <c r="J4422" s="536"/>
      <c r="K4422" s="824"/>
    </row>
    <row r="4423" spans="3:11" ht="25.8" customHeight="1">
      <c r="C4423" s="716" t="s">
        <v>1195</v>
      </c>
      <c r="D4423" s="716" t="s">
        <v>1196</v>
      </c>
      <c r="E4423" s="716" t="s">
        <v>1197</v>
      </c>
      <c r="F4423" s="716" t="s">
        <v>1198</v>
      </c>
      <c r="G4423" s="716" t="s">
        <v>1199</v>
      </c>
      <c r="H4423" s="716" t="s">
        <v>1200</v>
      </c>
    </row>
    <row r="4424" spans="3:11" ht="25.8" customHeight="1">
      <c r="C4424" s="213" t="s">
        <v>1201</v>
      </c>
      <c r="D4424" s="212" t="s">
        <v>1202</v>
      </c>
      <c r="E4424" s="534"/>
      <c r="F4424" s="534"/>
      <c r="G4424" s="534"/>
      <c r="H4424" s="534"/>
    </row>
    <row r="4425" spans="3:11" ht="25.8" customHeight="1">
      <c r="C4425" s="818">
        <v>1</v>
      </c>
      <c r="D4425" s="212" t="s">
        <v>5</v>
      </c>
      <c r="E4425" s="212" t="s">
        <v>6</v>
      </c>
      <c r="F4425" s="538">
        <v>3.3330000000000002</v>
      </c>
      <c r="G4425" s="539">
        <f>VLOOKUP(D4425,upahbahan,3,FALSE)</f>
        <v>100000</v>
      </c>
      <c r="H4425" s="539">
        <f t="shared" ref="H4425:H4428" si="477">F4425*G4425</f>
        <v>333300</v>
      </c>
    </row>
    <row r="4426" spans="3:11" ht="25.8" customHeight="1">
      <c r="C4426" s="818">
        <v>2</v>
      </c>
      <c r="D4426" s="212" t="s">
        <v>3295</v>
      </c>
      <c r="E4426" s="212" t="s">
        <v>6</v>
      </c>
      <c r="F4426" s="538">
        <v>5.5670000000000002</v>
      </c>
      <c r="G4426" s="539">
        <f>VLOOKUP(D4426,upahbahan,3,FALSE)</f>
        <v>135000</v>
      </c>
      <c r="H4426" s="539">
        <f t="shared" si="477"/>
        <v>751545</v>
      </c>
    </row>
    <row r="4427" spans="3:11" ht="25.8" customHeight="1">
      <c r="C4427" s="818">
        <v>3</v>
      </c>
      <c r="D4427" s="212" t="s">
        <v>18</v>
      </c>
      <c r="E4427" s="212" t="s">
        <v>6</v>
      </c>
      <c r="F4427" s="538">
        <v>0.55700000000000005</v>
      </c>
      <c r="G4427" s="539">
        <f>VLOOKUP(D4427,upahbahan,3,FALSE)</f>
        <v>150000</v>
      </c>
      <c r="H4427" s="539">
        <f t="shared" si="477"/>
        <v>83550.000000000015</v>
      </c>
    </row>
    <row r="4428" spans="3:11" ht="25.8" customHeight="1">
      <c r="C4428" s="818">
        <v>4</v>
      </c>
      <c r="D4428" s="212" t="s">
        <v>19</v>
      </c>
      <c r="E4428" s="212" t="s">
        <v>6</v>
      </c>
      <c r="F4428" s="538">
        <v>0.186</v>
      </c>
      <c r="G4428" s="539">
        <f>VLOOKUP(D4428,upahbahan,3,FALSE)</f>
        <v>160000</v>
      </c>
      <c r="H4428" s="539">
        <f t="shared" si="477"/>
        <v>29760</v>
      </c>
    </row>
    <row r="4429" spans="3:11" ht="25.8" customHeight="1">
      <c r="C4429" s="702" t="s">
        <v>1208</v>
      </c>
      <c r="D4429" s="208"/>
      <c r="E4429" s="208"/>
      <c r="F4429" s="811"/>
      <c r="G4429" s="522"/>
      <c r="H4429" s="539">
        <f>SUM(H4425:H4428)</f>
        <v>1198155</v>
      </c>
      <c r="I4429" s="819"/>
    </row>
    <row r="4430" spans="3:11" ht="25.8" customHeight="1">
      <c r="C4430" s="213" t="s">
        <v>1209</v>
      </c>
      <c r="D4430" s="212" t="s">
        <v>1210</v>
      </c>
      <c r="E4430" s="534"/>
      <c r="F4430" s="831"/>
      <c r="G4430" s="534"/>
      <c r="H4430" s="534"/>
    </row>
    <row r="4431" spans="3:11" s="852" customFormat="1" ht="25.8" customHeight="1">
      <c r="C4431" s="847" t="s">
        <v>1203</v>
      </c>
      <c r="D4431" s="848" t="s">
        <v>5305</v>
      </c>
      <c r="E4431" s="849" t="s">
        <v>3182</v>
      </c>
      <c r="F4431" s="850">
        <v>1</v>
      </c>
      <c r="G4431" s="246">
        <f>VLOOKUP(D4431,upahbahan,3,FALSE)</f>
        <v>0</v>
      </c>
      <c r="H4431" s="246">
        <f t="shared" ref="H4431" si="478">F4431*G4431</f>
        <v>0</v>
      </c>
      <c r="I4431" s="851"/>
      <c r="J4431" s="517"/>
      <c r="K4431" s="517"/>
    </row>
    <row r="4432" spans="3:11" ht="25.8" customHeight="1">
      <c r="C4432" s="702" t="s">
        <v>1214</v>
      </c>
      <c r="D4432" s="208"/>
      <c r="E4432" s="208"/>
      <c r="F4432" s="208"/>
      <c r="G4432" s="209"/>
      <c r="H4432" s="539">
        <f>SUM(H4431:H4431)</f>
        <v>0</v>
      </c>
    </row>
    <row r="4433" spans="3:11" ht="25.8" customHeight="1">
      <c r="C4433" s="213" t="s">
        <v>1215</v>
      </c>
      <c r="D4433" s="212" t="s">
        <v>1216</v>
      </c>
      <c r="E4433" s="534"/>
      <c r="F4433" s="534"/>
      <c r="G4433" s="534"/>
      <c r="H4433" s="534"/>
    </row>
    <row r="4434" spans="3:11" ht="25.8" customHeight="1">
      <c r="C4434" s="702" t="s">
        <v>1217</v>
      </c>
      <c r="D4434" s="208"/>
      <c r="E4434" s="208"/>
      <c r="F4434" s="208"/>
      <c r="G4434" s="209"/>
      <c r="H4434" s="821">
        <v>0</v>
      </c>
    </row>
    <row r="4435" spans="3:11" ht="25.8" customHeight="1">
      <c r="C4435" s="566" t="s">
        <v>1218</v>
      </c>
      <c r="D4435" s="552" t="s">
        <v>1219</v>
      </c>
      <c r="E4435" s="553"/>
      <c r="F4435" s="553"/>
      <c r="G4435" s="554"/>
      <c r="H4435" s="826">
        <f>H4434+H4432+H4429</f>
        <v>1198155</v>
      </c>
      <c r="I4435" s="827"/>
    </row>
    <row r="4436" spans="3:11" ht="25.8" customHeight="1">
      <c r="C4436" s="566" t="s">
        <v>1220</v>
      </c>
      <c r="D4436" s="552" t="s">
        <v>1321</v>
      </c>
      <c r="E4436" s="553"/>
      <c r="F4436" s="554"/>
      <c r="G4436" s="555">
        <f>$M$9</f>
        <v>0.1</v>
      </c>
      <c r="H4436" s="539">
        <f>H4435*G4436</f>
        <v>119815.5</v>
      </c>
      <c r="I4436" s="827"/>
    </row>
    <row r="4437" spans="3:11" ht="25.8" customHeight="1">
      <c r="C4437" s="566" t="s">
        <v>1221</v>
      </c>
      <c r="D4437" s="552" t="s">
        <v>1222</v>
      </c>
      <c r="E4437" s="553"/>
      <c r="F4437" s="553"/>
      <c r="G4437" s="554"/>
      <c r="H4437" s="828">
        <f>SUM(H4435:H4436)</f>
        <v>1317970.5</v>
      </c>
      <c r="I4437" s="827"/>
    </row>
    <row r="4438" spans="3:11" ht="25.8" customHeight="1"/>
    <row r="4439" spans="3:11" ht="25.8" customHeight="1">
      <c r="C4439" s="513" t="s">
        <v>3431</v>
      </c>
      <c r="D4439" s="817" t="s">
        <v>3433</v>
      </c>
      <c r="E4439" s="803"/>
      <c r="F4439" s="803"/>
      <c r="G4439" s="803"/>
      <c r="H4439" s="803"/>
      <c r="I4439" s="533">
        <f>ROUNDDOWN(H4454,-2)</f>
        <v>527100</v>
      </c>
      <c r="J4439" s="536"/>
      <c r="K4439" s="824"/>
    </row>
    <row r="4440" spans="3:11" ht="25.8" customHeight="1">
      <c r="C4440" s="716" t="s">
        <v>1195</v>
      </c>
      <c r="D4440" s="716" t="s">
        <v>1196</v>
      </c>
      <c r="E4440" s="716" t="s">
        <v>1197</v>
      </c>
      <c r="F4440" s="716" t="s">
        <v>1198</v>
      </c>
      <c r="G4440" s="716" t="s">
        <v>1199</v>
      </c>
      <c r="H4440" s="716" t="s">
        <v>1200</v>
      </c>
    </row>
    <row r="4441" spans="3:11" ht="25.8" customHeight="1">
      <c r="C4441" s="213" t="s">
        <v>1201</v>
      </c>
      <c r="D4441" s="212" t="s">
        <v>1202</v>
      </c>
      <c r="E4441" s="534"/>
      <c r="F4441" s="534"/>
      <c r="G4441" s="534"/>
      <c r="H4441" s="534"/>
    </row>
    <row r="4442" spans="3:11" ht="25.8" customHeight="1">
      <c r="C4442" s="818">
        <v>1</v>
      </c>
      <c r="D4442" s="212" t="s">
        <v>5</v>
      </c>
      <c r="E4442" s="212" t="s">
        <v>6</v>
      </c>
      <c r="F4442" s="538">
        <v>1.333</v>
      </c>
      <c r="G4442" s="539">
        <f>VLOOKUP(D4442,upahbahan,3,FALSE)</f>
        <v>100000</v>
      </c>
      <c r="H4442" s="539">
        <f t="shared" ref="H4442:H4445" si="479">F4442*G4442</f>
        <v>133300</v>
      </c>
    </row>
    <row r="4443" spans="3:11" ht="25.8" customHeight="1">
      <c r="C4443" s="818">
        <v>2</v>
      </c>
      <c r="D4443" s="212" t="s">
        <v>3295</v>
      </c>
      <c r="E4443" s="212" t="s">
        <v>6</v>
      </c>
      <c r="F4443" s="538">
        <v>2.2269999999999999</v>
      </c>
      <c r="G4443" s="539">
        <f>VLOOKUP(D4443,upahbahan,3,FALSE)</f>
        <v>135000</v>
      </c>
      <c r="H4443" s="539">
        <f t="shared" si="479"/>
        <v>300645</v>
      </c>
    </row>
    <row r="4444" spans="3:11" ht="25.8" customHeight="1">
      <c r="C4444" s="818">
        <v>3</v>
      </c>
      <c r="D4444" s="212" t="s">
        <v>18</v>
      </c>
      <c r="E4444" s="212" t="s">
        <v>6</v>
      </c>
      <c r="F4444" s="538">
        <v>0.223</v>
      </c>
      <c r="G4444" s="539">
        <f>VLOOKUP(D4444,upahbahan,3,FALSE)</f>
        <v>150000</v>
      </c>
      <c r="H4444" s="539">
        <f t="shared" si="479"/>
        <v>33450</v>
      </c>
    </row>
    <row r="4445" spans="3:11" ht="25.8" customHeight="1">
      <c r="C4445" s="818">
        <v>4</v>
      </c>
      <c r="D4445" s="212" t="s">
        <v>19</v>
      </c>
      <c r="E4445" s="212" t="s">
        <v>6</v>
      </c>
      <c r="F4445" s="538">
        <v>7.3999999999999996E-2</v>
      </c>
      <c r="G4445" s="539">
        <f>VLOOKUP(D4445,upahbahan,3,FALSE)</f>
        <v>160000</v>
      </c>
      <c r="H4445" s="539">
        <f t="shared" si="479"/>
        <v>11840</v>
      </c>
    </row>
    <row r="4446" spans="3:11" ht="25.8" customHeight="1">
      <c r="C4446" s="702" t="s">
        <v>1208</v>
      </c>
      <c r="D4446" s="208"/>
      <c r="E4446" s="208"/>
      <c r="F4446" s="811"/>
      <c r="G4446" s="522"/>
      <c r="H4446" s="539">
        <f>SUM(H4442:H4445)</f>
        <v>479235</v>
      </c>
      <c r="I4446" s="819"/>
    </row>
    <row r="4447" spans="3:11" ht="25.8" customHeight="1">
      <c r="C4447" s="213" t="s">
        <v>1209</v>
      </c>
      <c r="D4447" s="212" t="s">
        <v>1210</v>
      </c>
      <c r="E4447" s="534"/>
      <c r="F4447" s="831"/>
      <c r="G4447" s="534"/>
      <c r="H4447" s="534"/>
    </row>
    <row r="4448" spans="3:11" s="852" customFormat="1" ht="25.8" customHeight="1">
      <c r="C4448" s="847" t="s">
        <v>1203</v>
      </c>
      <c r="D4448" s="848" t="s">
        <v>5306</v>
      </c>
      <c r="E4448" s="849" t="s">
        <v>3182</v>
      </c>
      <c r="F4448" s="850">
        <v>1</v>
      </c>
      <c r="G4448" s="246">
        <f>VLOOKUP(D4448,upahbahan,3,FALSE)</f>
        <v>0</v>
      </c>
      <c r="H4448" s="246">
        <f t="shared" ref="H4448" si="480">F4448*G4448</f>
        <v>0</v>
      </c>
      <c r="I4448" s="851"/>
      <c r="J4448" s="517"/>
      <c r="K4448" s="517"/>
    </row>
    <row r="4449" spans="3:11" ht="25.8" customHeight="1">
      <c r="C4449" s="702" t="s">
        <v>1214</v>
      </c>
      <c r="D4449" s="208"/>
      <c r="E4449" s="208"/>
      <c r="F4449" s="208"/>
      <c r="G4449" s="209"/>
      <c r="H4449" s="539">
        <f>SUM(H4448:H4448)</f>
        <v>0</v>
      </c>
    </row>
    <row r="4450" spans="3:11" ht="25.8" customHeight="1">
      <c r="C4450" s="213" t="s">
        <v>1215</v>
      </c>
      <c r="D4450" s="212" t="s">
        <v>1216</v>
      </c>
      <c r="E4450" s="534"/>
      <c r="F4450" s="534"/>
      <c r="G4450" s="534"/>
      <c r="H4450" s="534"/>
    </row>
    <row r="4451" spans="3:11" ht="25.8" customHeight="1">
      <c r="C4451" s="702" t="s">
        <v>1217</v>
      </c>
      <c r="D4451" s="208"/>
      <c r="E4451" s="208"/>
      <c r="F4451" s="208"/>
      <c r="G4451" s="209"/>
      <c r="H4451" s="821">
        <v>0</v>
      </c>
    </row>
    <row r="4452" spans="3:11" ht="25.8" customHeight="1">
      <c r="C4452" s="566" t="s">
        <v>1218</v>
      </c>
      <c r="D4452" s="552" t="s">
        <v>1219</v>
      </c>
      <c r="E4452" s="553"/>
      <c r="F4452" s="553"/>
      <c r="G4452" s="554"/>
      <c r="H4452" s="826">
        <f>H4451+H4449+H4446</f>
        <v>479235</v>
      </c>
      <c r="I4452" s="827"/>
    </row>
    <row r="4453" spans="3:11" ht="25.8" customHeight="1">
      <c r="C4453" s="566" t="s">
        <v>1220</v>
      </c>
      <c r="D4453" s="552" t="s">
        <v>1321</v>
      </c>
      <c r="E4453" s="553"/>
      <c r="F4453" s="554"/>
      <c r="G4453" s="555">
        <f>$M$9</f>
        <v>0.1</v>
      </c>
      <c r="H4453" s="539">
        <f>H4452*G4453</f>
        <v>47923.5</v>
      </c>
      <c r="I4453" s="827"/>
    </row>
    <row r="4454" spans="3:11" ht="25.8" customHeight="1">
      <c r="C4454" s="566" t="s">
        <v>1221</v>
      </c>
      <c r="D4454" s="552" t="s">
        <v>1222</v>
      </c>
      <c r="E4454" s="553"/>
      <c r="F4454" s="553"/>
      <c r="G4454" s="554"/>
      <c r="H4454" s="828">
        <f>SUM(H4452:H4453)</f>
        <v>527158.5</v>
      </c>
      <c r="I4454" s="827"/>
    </row>
    <row r="4455" spans="3:11" ht="25.8" customHeight="1"/>
    <row r="4456" spans="3:11" ht="25.8" customHeight="1">
      <c r="C4456" s="513" t="s">
        <v>3432</v>
      </c>
      <c r="D4456" s="817" t="s">
        <v>3434</v>
      </c>
      <c r="E4456" s="803"/>
      <c r="F4456" s="803"/>
      <c r="G4456" s="803"/>
      <c r="H4456" s="803"/>
      <c r="I4456" s="533">
        <f>ROUNDDOWN(H4471,-2)</f>
        <v>461200</v>
      </c>
      <c r="J4456" s="536"/>
      <c r="K4456" s="824"/>
    </row>
    <row r="4457" spans="3:11" ht="25.8" customHeight="1">
      <c r="C4457" s="716" t="s">
        <v>1195</v>
      </c>
      <c r="D4457" s="716" t="s">
        <v>1196</v>
      </c>
      <c r="E4457" s="716" t="s">
        <v>1197</v>
      </c>
      <c r="F4457" s="716" t="s">
        <v>1198</v>
      </c>
      <c r="G4457" s="716" t="s">
        <v>1199</v>
      </c>
      <c r="H4457" s="716" t="s">
        <v>1200</v>
      </c>
    </row>
    <row r="4458" spans="3:11" ht="25.8" customHeight="1">
      <c r="C4458" s="213" t="s">
        <v>1201</v>
      </c>
      <c r="D4458" s="212" t="s">
        <v>1202</v>
      </c>
      <c r="E4458" s="534"/>
      <c r="F4458" s="534"/>
      <c r="G4458" s="534"/>
      <c r="H4458" s="534"/>
    </row>
    <row r="4459" spans="3:11" ht="25.8" customHeight="1">
      <c r="C4459" s="818">
        <v>1</v>
      </c>
      <c r="D4459" s="212" t="s">
        <v>5</v>
      </c>
      <c r="E4459" s="212" t="s">
        <v>6</v>
      </c>
      <c r="F4459" s="538">
        <v>1.167</v>
      </c>
      <c r="G4459" s="539">
        <f>VLOOKUP(D4459,upahbahan,3,FALSE)</f>
        <v>100000</v>
      </c>
      <c r="H4459" s="539">
        <f t="shared" ref="H4459:H4462" si="481">F4459*G4459</f>
        <v>116700</v>
      </c>
    </row>
    <row r="4460" spans="3:11" ht="25.8" customHeight="1">
      <c r="C4460" s="818">
        <v>2</v>
      </c>
      <c r="D4460" s="212" t="s">
        <v>3295</v>
      </c>
      <c r="E4460" s="212" t="s">
        <v>6</v>
      </c>
      <c r="F4460" s="538">
        <v>1.948</v>
      </c>
      <c r="G4460" s="539">
        <f>VLOOKUP(D4460,upahbahan,3,FALSE)</f>
        <v>135000</v>
      </c>
      <c r="H4460" s="539">
        <f t="shared" si="481"/>
        <v>262980</v>
      </c>
    </row>
    <row r="4461" spans="3:11" ht="25.8" customHeight="1">
      <c r="C4461" s="818">
        <v>3</v>
      </c>
      <c r="D4461" s="212" t="s">
        <v>18</v>
      </c>
      <c r="E4461" s="212" t="s">
        <v>6</v>
      </c>
      <c r="F4461" s="538">
        <v>0.19500000000000001</v>
      </c>
      <c r="G4461" s="539">
        <f>VLOOKUP(D4461,upahbahan,3,FALSE)</f>
        <v>150000</v>
      </c>
      <c r="H4461" s="539">
        <f t="shared" si="481"/>
        <v>29250</v>
      </c>
    </row>
    <row r="4462" spans="3:11" ht="25.8" customHeight="1">
      <c r="C4462" s="818">
        <v>4</v>
      </c>
      <c r="D4462" s="212" t="s">
        <v>19</v>
      </c>
      <c r="E4462" s="212" t="s">
        <v>6</v>
      </c>
      <c r="F4462" s="538">
        <v>6.5000000000000002E-2</v>
      </c>
      <c r="G4462" s="539">
        <f>VLOOKUP(D4462,upahbahan,3,FALSE)</f>
        <v>160000</v>
      </c>
      <c r="H4462" s="539">
        <f t="shared" si="481"/>
        <v>10400</v>
      </c>
    </row>
    <row r="4463" spans="3:11" ht="25.8" customHeight="1">
      <c r="C4463" s="702" t="s">
        <v>1208</v>
      </c>
      <c r="D4463" s="208"/>
      <c r="E4463" s="208"/>
      <c r="F4463" s="811"/>
      <c r="G4463" s="522"/>
      <c r="H4463" s="539">
        <f>SUM(H4459:H4462)</f>
        <v>419330</v>
      </c>
      <c r="I4463" s="819"/>
    </row>
    <row r="4464" spans="3:11" ht="25.8" customHeight="1">
      <c r="C4464" s="213" t="s">
        <v>1209</v>
      </c>
      <c r="D4464" s="212" t="s">
        <v>1210</v>
      </c>
      <c r="E4464" s="534"/>
      <c r="F4464" s="831"/>
      <c r="G4464" s="534"/>
      <c r="H4464" s="534"/>
    </row>
    <row r="4465" spans="3:11" s="852" customFormat="1" ht="25.8" customHeight="1">
      <c r="C4465" s="847" t="s">
        <v>1203</v>
      </c>
      <c r="D4465" s="848" t="s">
        <v>3435</v>
      </c>
      <c r="E4465" s="849" t="s">
        <v>3182</v>
      </c>
      <c r="F4465" s="850">
        <v>1</v>
      </c>
      <c r="G4465" s="246">
        <f>VLOOKUP(D4465,upahbahan,3,FALSE)</f>
        <v>0</v>
      </c>
      <c r="H4465" s="246">
        <f t="shared" ref="H4465" si="482">F4465*G4465</f>
        <v>0</v>
      </c>
      <c r="I4465" s="851"/>
      <c r="J4465" s="517"/>
      <c r="K4465" s="517"/>
    </row>
    <row r="4466" spans="3:11" ht="25.8" customHeight="1">
      <c r="C4466" s="702" t="s">
        <v>1214</v>
      </c>
      <c r="D4466" s="208"/>
      <c r="E4466" s="208"/>
      <c r="F4466" s="208"/>
      <c r="G4466" s="209"/>
      <c r="H4466" s="539">
        <f>SUM(H4465:H4465)</f>
        <v>0</v>
      </c>
    </row>
    <row r="4467" spans="3:11" ht="25.8" customHeight="1">
      <c r="C4467" s="213" t="s">
        <v>1215</v>
      </c>
      <c r="D4467" s="212" t="s">
        <v>1216</v>
      </c>
      <c r="E4467" s="534"/>
      <c r="F4467" s="534"/>
      <c r="G4467" s="534"/>
      <c r="H4467" s="534"/>
    </row>
    <row r="4468" spans="3:11" ht="25.8" customHeight="1">
      <c r="C4468" s="702" t="s">
        <v>1217</v>
      </c>
      <c r="D4468" s="208"/>
      <c r="E4468" s="208"/>
      <c r="F4468" s="208"/>
      <c r="G4468" s="209"/>
      <c r="H4468" s="821">
        <v>0</v>
      </c>
    </row>
    <row r="4469" spans="3:11" ht="25.8" customHeight="1">
      <c r="C4469" s="566" t="s">
        <v>1218</v>
      </c>
      <c r="D4469" s="552" t="s">
        <v>1219</v>
      </c>
      <c r="E4469" s="553"/>
      <c r="F4469" s="553"/>
      <c r="G4469" s="554"/>
      <c r="H4469" s="826">
        <f>H4468+H4466+H4463</f>
        <v>419330</v>
      </c>
      <c r="I4469" s="827"/>
    </row>
    <row r="4470" spans="3:11" ht="25.8" customHeight="1">
      <c r="C4470" s="566" t="s">
        <v>1220</v>
      </c>
      <c r="D4470" s="552" t="s">
        <v>1321</v>
      </c>
      <c r="E4470" s="553"/>
      <c r="F4470" s="554"/>
      <c r="G4470" s="555">
        <f>$M$9</f>
        <v>0.1</v>
      </c>
      <c r="H4470" s="539">
        <f>H4469*G4470</f>
        <v>41933</v>
      </c>
      <c r="I4470" s="827"/>
    </row>
    <row r="4471" spans="3:11" ht="25.8" customHeight="1">
      <c r="C4471" s="566" t="s">
        <v>1221</v>
      </c>
      <c r="D4471" s="552" t="s">
        <v>1222</v>
      </c>
      <c r="E4471" s="553"/>
      <c r="F4471" s="553"/>
      <c r="G4471" s="554"/>
      <c r="H4471" s="828">
        <f>SUM(H4469:H4470)</f>
        <v>461263</v>
      </c>
      <c r="I4471" s="827"/>
    </row>
    <row r="4472" spans="3:11" ht="25.8" customHeight="1"/>
    <row r="4473" spans="3:11" ht="25.8" customHeight="1">
      <c r="C4473" s="513" t="s">
        <v>3436</v>
      </c>
      <c r="D4473" s="817" t="s">
        <v>3437</v>
      </c>
      <c r="E4473" s="803"/>
      <c r="F4473" s="803"/>
      <c r="G4473" s="803"/>
      <c r="H4473" s="803"/>
      <c r="I4473" s="533">
        <f>ROUNDDOWN(H4488,-2)</f>
        <v>425400</v>
      </c>
      <c r="J4473" s="536"/>
      <c r="K4473" s="824"/>
    </row>
    <row r="4474" spans="3:11" ht="25.8" customHeight="1">
      <c r="C4474" s="716" t="s">
        <v>1195</v>
      </c>
      <c r="D4474" s="716" t="s">
        <v>1196</v>
      </c>
      <c r="E4474" s="716" t="s">
        <v>1197</v>
      </c>
      <c r="F4474" s="716" t="s">
        <v>1198</v>
      </c>
      <c r="G4474" s="716" t="s">
        <v>1199</v>
      </c>
      <c r="H4474" s="716" t="s">
        <v>1200</v>
      </c>
    </row>
    <row r="4475" spans="3:11" ht="25.8" customHeight="1">
      <c r="C4475" s="213" t="s">
        <v>1201</v>
      </c>
      <c r="D4475" s="212" t="s">
        <v>1202</v>
      </c>
      <c r="E4475" s="534"/>
      <c r="F4475" s="534"/>
      <c r="G4475" s="534"/>
      <c r="H4475" s="534"/>
    </row>
    <row r="4476" spans="3:11" ht="25.8" customHeight="1">
      <c r="C4476" s="818">
        <v>1</v>
      </c>
      <c r="D4476" s="212" t="s">
        <v>5</v>
      </c>
      <c r="E4476" s="212" t="s">
        <v>6</v>
      </c>
      <c r="F4476" s="538">
        <v>1.0760000000000001</v>
      </c>
      <c r="G4476" s="539">
        <f>VLOOKUP(D4476,upahbahan,3,FALSE)</f>
        <v>100000</v>
      </c>
      <c r="H4476" s="539">
        <f t="shared" ref="H4476:H4479" si="483">F4476*G4476</f>
        <v>107600</v>
      </c>
    </row>
    <row r="4477" spans="3:11" ht="25.8" customHeight="1">
      <c r="C4477" s="818">
        <v>2</v>
      </c>
      <c r="D4477" s="212" t="s">
        <v>3295</v>
      </c>
      <c r="E4477" s="212" t="s">
        <v>6</v>
      </c>
      <c r="F4477" s="538">
        <v>1.7969999999999999</v>
      </c>
      <c r="G4477" s="539">
        <f>VLOOKUP(D4477,upahbahan,3,FALSE)</f>
        <v>135000</v>
      </c>
      <c r="H4477" s="539">
        <f t="shared" si="483"/>
        <v>242595</v>
      </c>
    </row>
    <row r="4478" spans="3:11" ht="25.8" customHeight="1">
      <c r="C4478" s="818">
        <v>3</v>
      </c>
      <c r="D4478" s="212" t="s">
        <v>18</v>
      </c>
      <c r="E4478" s="212" t="s">
        <v>6</v>
      </c>
      <c r="F4478" s="538">
        <v>0.18</v>
      </c>
      <c r="G4478" s="539">
        <f>VLOOKUP(D4478,upahbahan,3,FALSE)</f>
        <v>150000</v>
      </c>
      <c r="H4478" s="539">
        <f t="shared" si="483"/>
        <v>27000</v>
      </c>
    </row>
    <row r="4479" spans="3:11" ht="25.8" customHeight="1">
      <c r="C4479" s="818">
        <v>4</v>
      </c>
      <c r="D4479" s="212" t="s">
        <v>19</v>
      </c>
      <c r="E4479" s="212" t="s">
        <v>6</v>
      </c>
      <c r="F4479" s="538">
        <v>0.06</v>
      </c>
      <c r="G4479" s="539">
        <f>VLOOKUP(D4479,upahbahan,3,FALSE)</f>
        <v>160000</v>
      </c>
      <c r="H4479" s="539">
        <f t="shared" si="483"/>
        <v>9600</v>
      </c>
    </row>
    <row r="4480" spans="3:11" ht="25.8" customHeight="1">
      <c r="C4480" s="702" t="s">
        <v>1208</v>
      </c>
      <c r="D4480" s="208"/>
      <c r="E4480" s="208"/>
      <c r="F4480" s="811"/>
      <c r="G4480" s="522"/>
      <c r="H4480" s="539">
        <f>SUM(H4476:H4479)</f>
        <v>386795</v>
      </c>
      <c r="I4480" s="819"/>
    </row>
    <row r="4481" spans="3:11" ht="25.8" customHeight="1">
      <c r="C4481" s="213" t="s">
        <v>1209</v>
      </c>
      <c r="D4481" s="212" t="s">
        <v>1210</v>
      </c>
      <c r="E4481" s="534"/>
      <c r="F4481" s="831"/>
      <c r="G4481" s="534"/>
      <c r="H4481" s="534"/>
    </row>
    <row r="4482" spans="3:11" s="852" customFormat="1" ht="25.8" customHeight="1">
      <c r="C4482" s="847" t="s">
        <v>1203</v>
      </c>
      <c r="D4482" s="848" t="s">
        <v>3438</v>
      </c>
      <c r="E4482" s="849" t="s">
        <v>3182</v>
      </c>
      <c r="F4482" s="850">
        <v>1</v>
      </c>
      <c r="G4482" s="246">
        <f>VLOOKUP(D4482,upahbahan,3,FALSE)</f>
        <v>0</v>
      </c>
      <c r="H4482" s="246">
        <f t="shared" ref="H4482" si="484">F4482*G4482</f>
        <v>0</v>
      </c>
      <c r="I4482" s="851"/>
      <c r="J4482" s="517"/>
      <c r="K4482" s="517"/>
    </row>
    <row r="4483" spans="3:11" ht="25.8" customHeight="1">
      <c r="C4483" s="702" t="s">
        <v>1214</v>
      </c>
      <c r="D4483" s="208"/>
      <c r="E4483" s="208"/>
      <c r="F4483" s="208"/>
      <c r="G4483" s="209"/>
      <c r="H4483" s="539">
        <f>SUM(H4482:H4482)</f>
        <v>0</v>
      </c>
    </row>
    <row r="4484" spans="3:11" ht="25.8" customHeight="1">
      <c r="C4484" s="213" t="s">
        <v>1215</v>
      </c>
      <c r="D4484" s="212" t="s">
        <v>1216</v>
      </c>
      <c r="E4484" s="534"/>
      <c r="F4484" s="534"/>
      <c r="G4484" s="534"/>
      <c r="H4484" s="534"/>
    </row>
    <row r="4485" spans="3:11" ht="25.8" customHeight="1">
      <c r="C4485" s="702" t="s">
        <v>1217</v>
      </c>
      <c r="D4485" s="208"/>
      <c r="E4485" s="208"/>
      <c r="F4485" s="208"/>
      <c r="G4485" s="209"/>
      <c r="H4485" s="821">
        <v>0</v>
      </c>
    </row>
    <row r="4486" spans="3:11" ht="25.8" customHeight="1">
      <c r="C4486" s="566" t="s">
        <v>1218</v>
      </c>
      <c r="D4486" s="552" t="s">
        <v>1219</v>
      </c>
      <c r="E4486" s="553"/>
      <c r="F4486" s="553"/>
      <c r="G4486" s="554"/>
      <c r="H4486" s="826">
        <f>H4485+H4483+H4480</f>
        <v>386795</v>
      </c>
      <c r="I4486" s="827"/>
    </row>
    <row r="4487" spans="3:11" ht="25.8" customHeight="1">
      <c r="C4487" s="566" t="s">
        <v>1220</v>
      </c>
      <c r="D4487" s="552" t="s">
        <v>1321</v>
      </c>
      <c r="E4487" s="553"/>
      <c r="F4487" s="554"/>
      <c r="G4487" s="555">
        <f>$M$9</f>
        <v>0.1</v>
      </c>
      <c r="H4487" s="539">
        <f>H4486*G4487</f>
        <v>38679.5</v>
      </c>
      <c r="I4487" s="827"/>
    </row>
    <row r="4488" spans="3:11" ht="25.8" customHeight="1">
      <c r="C4488" s="566" t="s">
        <v>1221</v>
      </c>
      <c r="D4488" s="552" t="s">
        <v>1222</v>
      </c>
      <c r="E4488" s="553"/>
      <c r="F4488" s="553"/>
      <c r="G4488" s="554"/>
      <c r="H4488" s="828">
        <f>SUM(H4486:H4487)</f>
        <v>425474.5</v>
      </c>
      <c r="I4488" s="827"/>
    </row>
    <row r="4489" spans="3:11" ht="25.8" customHeight="1"/>
    <row r="4490" spans="3:11" ht="25.8" customHeight="1">
      <c r="C4490" s="513" t="s">
        <v>3439</v>
      </c>
      <c r="D4490" s="817" t="s">
        <v>3440</v>
      </c>
      <c r="E4490" s="803"/>
      <c r="F4490" s="803"/>
      <c r="G4490" s="803"/>
      <c r="H4490" s="803"/>
      <c r="I4490" s="533">
        <f>ROUNDDOWN(H4505,-2)</f>
        <v>354000</v>
      </c>
      <c r="J4490" s="536"/>
      <c r="K4490" s="824"/>
    </row>
    <row r="4491" spans="3:11" ht="25.8" customHeight="1">
      <c r="C4491" s="716" t="s">
        <v>1195</v>
      </c>
      <c r="D4491" s="716" t="s">
        <v>1196</v>
      </c>
      <c r="E4491" s="716" t="s">
        <v>1197</v>
      </c>
      <c r="F4491" s="716" t="s">
        <v>1198</v>
      </c>
      <c r="G4491" s="716" t="s">
        <v>1199</v>
      </c>
      <c r="H4491" s="716" t="s">
        <v>1200</v>
      </c>
    </row>
    <row r="4492" spans="3:11" ht="25.8" customHeight="1">
      <c r="C4492" s="213" t="s">
        <v>1201</v>
      </c>
      <c r="D4492" s="212" t="s">
        <v>1202</v>
      </c>
      <c r="E4492" s="534"/>
      <c r="F4492" s="534"/>
      <c r="G4492" s="534"/>
      <c r="H4492" s="534"/>
    </row>
    <row r="4493" spans="3:11" ht="25.8" customHeight="1">
      <c r="C4493" s="818">
        <v>1</v>
      </c>
      <c r="D4493" s="212" t="s">
        <v>5</v>
      </c>
      <c r="E4493" s="212" t="s">
        <v>6</v>
      </c>
      <c r="F4493" s="538">
        <v>0.89500000000000002</v>
      </c>
      <c r="G4493" s="539">
        <f>VLOOKUP(D4493,upahbahan,3,FALSE)</f>
        <v>100000</v>
      </c>
      <c r="H4493" s="539">
        <f t="shared" ref="H4493:H4496" si="485">F4493*G4493</f>
        <v>89500</v>
      </c>
    </row>
    <row r="4494" spans="3:11" ht="25.8" customHeight="1">
      <c r="C4494" s="818">
        <v>2</v>
      </c>
      <c r="D4494" s="212" t="s">
        <v>3295</v>
      </c>
      <c r="E4494" s="212" t="s">
        <v>6</v>
      </c>
      <c r="F4494" s="538">
        <v>1.4950000000000001</v>
      </c>
      <c r="G4494" s="539">
        <f>VLOOKUP(D4494,upahbahan,3,FALSE)</f>
        <v>135000</v>
      </c>
      <c r="H4494" s="539">
        <f t="shared" si="485"/>
        <v>201825</v>
      </c>
    </row>
    <row r="4495" spans="3:11" ht="25.8" customHeight="1">
      <c r="C4495" s="818">
        <v>3</v>
      </c>
      <c r="D4495" s="212" t="s">
        <v>18</v>
      </c>
      <c r="E4495" s="212" t="s">
        <v>6</v>
      </c>
      <c r="F4495" s="538">
        <v>0.15</v>
      </c>
      <c r="G4495" s="539">
        <f>VLOOKUP(D4495,upahbahan,3,FALSE)</f>
        <v>150000</v>
      </c>
      <c r="H4495" s="539">
        <f t="shared" si="485"/>
        <v>22500</v>
      </c>
    </row>
    <row r="4496" spans="3:11" ht="25.8" customHeight="1">
      <c r="C4496" s="818">
        <v>4</v>
      </c>
      <c r="D4496" s="212" t="s">
        <v>19</v>
      </c>
      <c r="E4496" s="212" t="s">
        <v>6</v>
      </c>
      <c r="F4496" s="538">
        <v>0.05</v>
      </c>
      <c r="G4496" s="539">
        <f>VLOOKUP(D4496,upahbahan,3,FALSE)</f>
        <v>160000</v>
      </c>
      <c r="H4496" s="539">
        <f t="shared" si="485"/>
        <v>8000</v>
      </c>
    </row>
    <row r="4497" spans="3:11" ht="25.8" customHeight="1">
      <c r="C4497" s="702" t="s">
        <v>1208</v>
      </c>
      <c r="D4497" s="208"/>
      <c r="E4497" s="208"/>
      <c r="F4497" s="811"/>
      <c r="G4497" s="522"/>
      <c r="H4497" s="539">
        <f>SUM(H4493:H4496)</f>
        <v>321825</v>
      </c>
      <c r="I4497" s="819"/>
    </row>
    <row r="4498" spans="3:11" ht="25.8" customHeight="1">
      <c r="C4498" s="213" t="s">
        <v>1209</v>
      </c>
      <c r="D4498" s="212" t="s">
        <v>1210</v>
      </c>
      <c r="E4498" s="534"/>
      <c r="F4498" s="831"/>
      <c r="G4498" s="534"/>
      <c r="H4498" s="534"/>
    </row>
    <row r="4499" spans="3:11" s="852" customFormat="1" ht="25.8" customHeight="1">
      <c r="C4499" s="847" t="s">
        <v>1203</v>
      </c>
      <c r="D4499" s="848" t="s">
        <v>3441</v>
      </c>
      <c r="E4499" s="849" t="s">
        <v>3182</v>
      </c>
      <c r="F4499" s="850">
        <v>1</v>
      </c>
      <c r="G4499" s="246">
        <f>VLOOKUP(D4499,upahbahan,3,FALSE)</f>
        <v>0</v>
      </c>
      <c r="H4499" s="246">
        <f t="shared" ref="H4499" si="486">F4499*G4499</f>
        <v>0</v>
      </c>
      <c r="I4499" s="851"/>
      <c r="J4499" s="517"/>
      <c r="K4499" s="517"/>
    </row>
    <row r="4500" spans="3:11" ht="25.8" customHeight="1">
      <c r="C4500" s="702" t="s">
        <v>1214</v>
      </c>
      <c r="D4500" s="208"/>
      <c r="E4500" s="208"/>
      <c r="F4500" s="208"/>
      <c r="G4500" s="209"/>
      <c r="H4500" s="539">
        <f>SUM(H4499:H4499)</f>
        <v>0</v>
      </c>
    </row>
    <row r="4501" spans="3:11" ht="25.8" customHeight="1">
      <c r="C4501" s="213" t="s">
        <v>1215</v>
      </c>
      <c r="D4501" s="212" t="s">
        <v>1216</v>
      </c>
      <c r="E4501" s="534"/>
      <c r="F4501" s="534"/>
      <c r="G4501" s="534"/>
      <c r="H4501" s="534"/>
    </row>
    <row r="4502" spans="3:11" ht="25.8" customHeight="1">
      <c r="C4502" s="702" t="s">
        <v>1217</v>
      </c>
      <c r="D4502" s="208"/>
      <c r="E4502" s="208"/>
      <c r="F4502" s="208"/>
      <c r="G4502" s="209"/>
      <c r="H4502" s="821">
        <v>0</v>
      </c>
    </row>
    <row r="4503" spans="3:11" ht="25.8" customHeight="1">
      <c r="C4503" s="566" t="s">
        <v>1218</v>
      </c>
      <c r="D4503" s="552" t="s">
        <v>1219</v>
      </c>
      <c r="E4503" s="553"/>
      <c r="F4503" s="553"/>
      <c r="G4503" s="554"/>
      <c r="H4503" s="826">
        <f>H4502+H4500+H4497</f>
        <v>321825</v>
      </c>
      <c r="I4503" s="827"/>
    </row>
    <row r="4504" spans="3:11" ht="25.8" customHeight="1">
      <c r="C4504" s="566" t="s">
        <v>1220</v>
      </c>
      <c r="D4504" s="552" t="s">
        <v>1321</v>
      </c>
      <c r="E4504" s="553"/>
      <c r="F4504" s="554"/>
      <c r="G4504" s="555">
        <f>$M$9</f>
        <v>0.1</v>
      </c>
      <c r="H4504" s="539">
        <f>H4503*G4504</f>
        <v>32182.5</v>
      </c>
      <c r="I4504" s="827"/>
    </row>
    <row r="4505" spans="3:11" ht="25.8" customHeight="1">
      <c r="C4505" s="566" t="s">
        <v>1221</v>
      </c>
      <c r="D4505" s="552" t="s">
        <v>1222</v>
      </c>
      <c r="E4505" s="553"/>
      <c r="F4505" s="553"/>
      <c r="G4505" s="554"/>
      <c r="H4505" s="828">
        <f>SUM(H4503:H4504)</f>
        <v>354007.5</v>
      </c>
      <c r="I4505" s="827"/>
    </row>
    <row r="4506" spans="3:11" ht="25.8" customHeight="1"/>
    <row r="4507" spans="3:11" ht="25.8" customHeight="1">
      <c r="C4507" s="513" t="s">
        <v>3442</v>
      </c>
      <c r="D4507" s="817" t="s">
        <v>3443</v>
      </c>
      <c r="E4507" s="803"/>
      <c r="F4507" s="803"/>
      <c r="G4507" s="803"/>
      <c r="H4507" s="803"/>
      <c r="I4507" s="533">
        <f>ROUNDDOWN(H4522,-2)</f>
        <v>247600</v>
      </c>
      <c r="J4507" s="536"/>
      <c r="K4507" s="824"/>
    </row>
    <row r="4508" spans="3:11" ht="25.8" customHeight="1">
      <c r="C4508" s="716" t="s">
        <v>1195</v>
      </c>
      <c r="D4508" s="716" t="s">
        <v>1196</v>
      </c>
      <c r="E4508" s="716" t="s">
        <v>1197</v>
      </c>
      <c r="F4508" s="716" t="s">
        <v>1198</v>
      </c>
      <c r="G4508" s="716" t="s">
        <v>1199</v>
      </c>
      <c r="H4508" s="716" t="s">
        <v>1200</v>
      </c>
    </row>
    <row r="4509" spans="3:11" ht="25.8" customHeight="1">
      <c r="C4509" s="213" t="s">
        <v>1201</v>
      </c>
      <c r="D4509" s="212" t="s">
        <v>1202</v>
      </c>
      <c r="E4509" s="534"/>
      <c r="F4509" s="534"/>
      <c r="G4509" s="534"/>
      <c r="H4509" s="534"/>
    </row>
    <row r="4510" spans="3:11" ht="25.8" customHeight="1">
      <c r="C4510" s="818">
        <v>1</v>
      </c>
      <c r="D4510" s="212" t="s">
        <v>5</v>
      </c>
      <c r="E4510" s="212" t="s">
        <v>6</v>
      </c>
      <c r="F4510" s="538">
        <v>0.626</v>
      </c>
      <c r="G4510" s="539">
        <f>VLOOKUP(D4510,upahbahan,3,FALSE)</f>
        <v>100000</v>
      </c>
      <c r="H4510" s="539">
        <f t="shared" ref="H4510:H4513" si="487">F4510*G4510</f>
        <v>62600</v>
      </c>
    </row>
    <row r="4511" spans="3:11" ht="25.8" customHeight="1">
      <c r="C4511" s="818">
        <v>2</v>
      </c>
      <c r="D4511" s="212" t="s">
        <v>3295</v>
      </c>
      <c r="E4511" s="212" t="s">
        <v>6</v>
      </c>
      <c r="F4511" s="538">
        <v>1.046</v>
      </c>
      <c r="G4511" s="539">
        <f>VLOOKUP(D4511,upahbahan,3,FALSE)</f>
        <v>135000</v>
      </c>
      <c r="H4511" s="539">
        <f t="shared" si="487"/>
        <v>141210</v>
      </c>
    </row>
    <row r="4512" spans="3:11" ht="25.8" customHeight="1">
      <c r="C4512" s="818">
        <v>3</v>
      </c>
      <c r="D4512" s="212" t="s">
        <v>18</v>
      </c>
      <c r="E4512" s="212" t="s">
        <v>6</v>
      </c>
      <c r="F4512" s="538">
        <v>0.105</v>
      </c>
      <c r="G4512" s="539">
        <f>VLOOKUP(D4512,upahbahan,3,FALSE)</f>
        <v>150000</v>
      </c>
      <c r="H4512" s="539">
        <f t="shared" si="487"/>
        <v>15750</v>
      </c>
    </row>
    <row r="4513" spans="3:11" ht="25.8" customHeight="1">
      <c r="C4513" s="818">
        <v>4</v>
      </c>
      <c r="D4513" s="212" t="s">
        <v>19</v>
      </c>
      <c r="E4513" s="212" t="s">
        <v>6</v>
      </c>
      <c r="F4513" s="538">
        <v>3.5000000000000003E-2</v>
      </c>
      <c r="G4513" s="539">
        <f>VLOOKUP(D4513,upahbahan,3,FALSE)</f>
        <v>160000</v>
      </c>
      <c r="H4513" s="539">
        <f t="shared" si="487"/>
        <v>5600.0000000000009</v>
      </c>
    </row>
    <row r="4514" spans="3:11" ht="25.8" customHeight="1">
      <c r="C4514" s="702" t="s">
        <v>1208</v>
      </c>
      <c r="D4514" s="208"/>
      <c r="E4514" s="208"/>
      <c r="F4514" s="811"/>
      <c r="G4514" s="522"/>
      <c r="H4514" s="539">
        <f>SUM(H4510:H4513)</f>
        <v>225160</v>
      </c>
      <c r="I4514" s="819"/>
    </row>
    <row r="4515" spans="3:11" ht="25.8" customHeight="1">
      <c r="C4515" s="213" t="s">
        <v>1209</v>
      </c>
      <c r="D4515" s="212" t="s">
        <v>1210</v>
      </c>
      <c r="E4515" s="534"/>
      <c r="F4515" s="831"/>
      <c r="G4515" s="534"/>
      <c r="H4515" s="534"/>
    </row>
    <row r="4516" spans="3:11" s="852" customFormat="1" ht="25.8" customHeight="1">
      <c r="C4516" s="847" t="s">
        <v>1203</v>
      </c>
      <c r="D4516" s="848" t="s">
        <v>5307</v>
      </c>
      <c r="E4516" s="849" t="s">
        <v>3182</v>
      </c>
      <c r="F4516" s="850">
        <v>1</v>
      </c>
      <c r="G4516" s="246">
        <f>VLOOKUP(D4516,upahbahan,3,FALSE)</f>
        <v>0</v>
      </c>
      <c r="H4516" s="246">
        <f t="shared" ref="H4516" si="488">F4516*G4516</f>
        <v>0</v>
      </c>
      <c r="I4516" s="851"/>
      <c r="J4516" s="517"/>
      <c r="K4516" s="517"/>
    </row>
    <row r="4517" spans="3:11" ht="25.8" customHeight="1">
      <c r="C4517" s="702" t="s">
        <v>1214</v>
      </c>
      <c r="D4517" s="208"/>
      <c r="E4517" s="208"/>
      <c r="F4517" s="208"/>
      <c r="G4517" s="209"/>
      <c r="H4517" s="539">
        <f>SUM(H4516:H4516)</f>
        <v>0</v>
      </c>
    </row>
    <row r="4518" spans="3:11" ht="25.8" customHeight="1">
      <c r="C4518" s="213" t="s">
        <v>1215</v>
      </c>
      <c r="D4518" s="212" t="s">
        <v>1216</v>
      </c>
      <c r="E4518" s="534"/>
      <c r="F4518" s="534"/>
      <c r="G4518" s="534"/>
      <c r="H4518" s="534"/>
    </row>
    <row r="4519" spans="3:11" ht="25.8" customHeight="1">
      <c r="C4519" s="702" t="s">
        <v>1217</v>
      </c>
      <c r="D4519" s="208"/>
      <c r="E4519" s="208"/>
      <c r="F4519" s="208"/>
      <c r="G4519" s="209"/>
      <c r="H4519" s="821">
        <v>0</v>
      </c>
    </row>
    <row r="4520" spans="3:11" ht="25.8" customHeight="1">
      <c r="C4520" s="566" t="s">
        <v>1218</v>
      </c>
      <c r="D4520" s="552" t="s">
        <v>1219</v>
      </c>
      <c r="E4520" s="553"/>
      <c r="F4520" s="553"/>
      <c r="G4520" s="554"/>
      <c r="H4520" s="826">
        <f>H4519+H4517+H4514</f>
        <v>225160</v>
      </c>
      <c r="I4520" s="827"/>
    </row>
    <row r="4521" spans="3:11" ht="25.8" customHeight="1">
      <c r="C4521" s="566" t="s">
        <v>1220</v>
      </c>
      <c r="D4521" s="552" t="s">
        <v>1321</v>
      </c>
      <c r="E4521" s="553"/>
      <c r="F4521" s="554"/>
      <c r="G4521" s="555">
        <f>$M$9</f>
        <v>0.1</v>
      </c>
      <c r="H4521" s="539">
        <f>H4520*G4521</f>
        <v>22516</v>
      </c>
      <c r="I4521" s="827"/>
    </row>
    <row r="4522" spans="3:11" ht="25.8" customHeight="1">
      <c r="C4522" s="566" t="s">
        <v>1221</v>
      </c>
      <c r="D4522" s="552" t="s">
        <v>1222</v>
      </c>
      <c r="E4522" s="553"/>
      <c r="F4522" s="553"/>
      <c r="G4522" s="554"/>
      <c r="H4522" s="828">
        <f>SUM(H4520:H4521)</f>
        <v>247676</v>
      </c>
      <c r="I4522" s="827"/>
    </row>
    <row r="4523" spans="3:11" ht="25.8" customHeight="1"/>
    <row r="4524" spans="3:11" ht="25.8" customHeight="1">
      <c r="C4524" s="513" t="s">
        <v>3445</v>
      </c>
      <c r="D4524" s="817" t="s">
        <v>3444</v>
      </c>
      <c r="E4524" s="803"/>
      <c r="F4524" s="803"/>
      <c r="G4524" s="803"/>
      <c r="H4524" s="803"/>
      <c r="I4524" s="533">
        <f>ROUNDDOWN(H4539,-2)</f>
        <v>222000</v>
      </c>
      <c r="J4524" s="536"/>
      <c r="K4524" s="824"/>
    </row>
    <row r="4525" spans="3:11" ht="25.8" customHeight="1">
      <c r="C4525" s="716" t="s">
        <v>1195</v>
      </c>
      <c r="D4525" s="716" t="s">
        <v>1196</v>
      </c>
      <c r="E4525" s="716" t="s">
        <v>1197</v>
      </c>
      <c r="F4525" s="716" t="s">
        <v>1198</v>
      </c>
      <c r="G4525" s="716" t="s">
        <v>1199</v>
      </c>
      <c r="H4525" s="716" t="s">
        <v>1200</v>
      </c>
    </row>
    <row r="4526" spans="3:11" ht="25.8" customHeight="1">
      <c r="C4526" s="213" t="s">
        <v>1201</v>
      </c>
      <c r="D4526" s="212" t="s">
        <v>1202</v>
      </c>
      <c r="E4526" s="534"/>
      <c r="F4526" s="534"/>
      <c r="G4526" s="534"/>
      <c r="H4526" s="534"/>
    </row>
    <row r="4527" spans="3:11" ht="25.8" customHeight="1">
      <c r="C4527" s="818">
        <v>1</v>
      </c>
      <c r="D4527" s="212" t="s">
        <v>5</v>
      </c>
      <c r="E4527" s="212" t="s">
        <v>6</v>
      </c>
      <c r="F4527" s="538">
        <v>0.56200000000000006</v>
      </c>
      <c r="G4527" s="539">
        <f>VLOOKUP(D4527,upahbahan,3,FALSE)</f>
        <v>100000</v>
      </c>
      <c r="H4527" s="539">
        <f t="shared" ref="H4527:H4530" si="489">F4527*G4527</f>
        <v>56200.000000000007</v>
      </c>
    </row>
    <row r="4528" spans="3:11" ht="25.8" customHeight="1">
      <c r="C4528" s="818">
        <v>2</v>
      </c>
      <c r="D4528" s="212" t="s">
        <v>3295</v>
      </c>
      <c r="E4528" s="212" t="s">
        <v>6</v>
      </c>
      <c r="F4528" s="538">
        <v>0.93799999999999994</v>
      </c>
      <c r="G4528" s="539">
        <f>VLOOKUP(D4528,upahbahan,3,FALSE)</f>
        <v>135000</v>
      </c>
      <c r="H4528" s="539">
        <f t="shared" si="489"/>
        <v>126629.99999999999</v>
      </c>
    </row>
    <row r="4529" spans="3:11" ht="25.8" customHeight="1">
      <c r="C4529" s="818">
        <v>3</v>
      </c>
      <c r="D4529" s="212" t="s">
        <v>18</v>
      </c>
      <c r="E4529" s="212" t="s">
        <v>6</v>
      </c>
      <c r="F4529" s="538">
        <v>9.4E-2</v>
      </c>
      <c r="G4529" s="539">
        <f>VLOOKUP(D4529,upahbahan,3,FALSE)</f>
        <v>150000</v>
      </c>
      <c r="H4529" s="539">
        <f t="shared" si="489"/>
        <v>14100</v>
      </c>
    </row>
    <row r="4530" spans="3:11" ht="25.8" customHeight="1">
      <c r="C4530" s="818">
        <v>4</v>
      </c>
      <c r="D4530" s="212" t="s">
        <v>19</v>
      </c>
      <c r="E4530" s="212" t="s">
        <v>6</v>
      </c>
      <c r="F4530" s="538">
        <v>3.1E-2</v>
      </c>
      <c r="G4530" s="539">
        <f>VLOOKUP(D4530,upahbahan,3,FALSE)</f>
        <v>160000</v>
      </c>
      <c r="H4530" s="539">
        <f t="shared" si="489"/>
        <v>4960</v>
      </c>
    </row>
    <row r="4531" spans="3:11" ht="25.8" customHeight="1">
      <c r="C4531" s="702" t="s">
        <v>1208</v>
      </c>
      <c r="D4531" s="208"/>
      <c r="E4531" s="208"/>
      <c r="F4531" s="811"/>
      <c r="G4531" s="522"/>
      <c r="H4531" s="539">
        <f>SUM(H4527:H4530)</f>
        <v>201890</v>
      </c>
      <c r="I4531" s="819"/>
    </row>
    <row r="4532" spans="3:11" ht="25.8" customHeight="1">
      <c r="C4532" s="213" t="s">
        <v>1209</v>
      </c>
      <c r="D4532" s="212" t="s">
        <v>1210</v>
      </c>
      <c r="E4532" s="534"/>
      <c r="F4532" s="831"/>
      <c r="G4532" s="534"/>
      <c r="H4532" s="534"/>
    </row>
    <row r="4533" spans="3:11" s="852" customFormat="1" ht="25.8" customHeight="1">
      <c r="C4533" s="847" t="s">
        <v>1203</v>
      </c>
      <c r="D4533" s="848" t="s">
        <v>5308</v>
      </c>
      <c r="E4533" s="849" t="s">
        <v>3182</v>
      </c>
      <c r="F4533" s="850">
        <v>1</v>
      </c>
      <c r="G4533" s="246">
        <f>VLOOKUP(D4533,upahbahan,3,FALSE)</f>
        <v>0</v>
      </c>
      <c r="H4533" s="246">
        <f t="shared" ref="H4533" si="490">F4533*G4533</f>
        <v>0</v>
      </c>
      <c r="I4533" s="851"/>
      <c r="J4533" s="517"/>
      <c r="K4533" s="517"/>
    </row>
    <row r="4534" spans="3:11" ht="25.8" customHeight="1">
      <c r="C4534" s="702" t="s">
        <v>1214</v>
      </c>
      <c r="D4534" s="208"/>
      <c r="E4534" s="208"/>
      <c r="F4534" s="208"/>
      <c r="G4534" s="209"/>
      <c r="H4534" s="539">
        <f>SUM(H4533:H4533)</f>
        <v>0</v>
      </c>
    </row>
    <row r="4535" spans="3:11" ht="25.8" customHeight="1">
      <c r="C4535" s="213" t="s">
        <v>1215</v>
      </c>
      <c r="D4535" s="212" t="s">
        <v>1216</v>
      </c>
      <c r="E4535" s="534"/>
      <c r="F4535" s="534"/>
      <c r="G4535" s="534"/>
      <c r="H4535" s="534"/>
    </row>
    <row r="4536" spans="3:11" ht="25.8" customHeight="1">
      <c r="C4536" s="702" t="s">
        <v>1217</v>
      </c>
      <c r="D4536" s="208"/>
      <c r="E4536" s="208"/>
      <c r="F4536" s="208"/>
      <c r="G4536" s="209"/>
      <c r="H4536" s="821">
        <v>0</v>
      </c>
    </row>
    <row r="4537" spans="3:11" ht="25.8" customHeight="1">
      <c r="C4537" s="566" t="s">
        <v>1218</v>
      </c>
      <c r="D4537" s="552" t="s">
        <v>1219</v>
      </c>
      <c r="E4537" s="553"/>
      <c r="F4537" s="553"/>
      <c r="G4537" s="554"/>
      <c r="H4537" s="826">
        <f>H4536+H4534+H4531</f>
        <v>201890</v>
      </c>
      <c r="I4537" s="827"/>
    </row>
    <row r="4538" spans="3:11" ht="25.8" customHeight="1">
      <c r="C4538" s="566" t="s">
        <v>1220</v>
      </c>
      <c r="D4538" s="552" t="s">
        <v>1321</v>
      </c>
      <c r="E4538" s="553"/>
      <c r="F4538" s="554"/>
      <c r="G4538" s="555">
        <f>$M$9</f>
        <v>0.1</v>
      </c>
      <c r="H4538" s="539">
        <f>H4537*G4538</f>
        <v>20189</v>
      </c>
      <c r="I4538" s="827"/>
    </row>
    <row r="4539" spans="3:11" ht="25.8" customHeight="1">
      <c r="C4539" s="566" t="s">
        <v>1221</v>
      </c>
      <c r="D4539" s="552" t="s">
        <v>1222</v>
      </c>
      <c r="E4539" s="553"/>
      <c r="F4539" s="553"/>
      <c r="G4539" s="554"/>
      <c r="H4539" s="828">
        <f>SUM(H4537:H4538)</f>
        <v>222079</v>
      </c>
      <c r="I4539" s="827"/>
    </row>
    <row r="4540" spans="3:11" ht="25.8" customHeight="1"/>
    <row r="4541" spans="3:11" ht="25.8" customHeight="1">
      <c r="C4541" s="513" t="s">
        <v>3446</v>
      </c>
      <c r="D4541" s="817" t="s">
        <v>3447</v>
      </c>
      <c r="E4541" s="803"/>
      <c r="F4541" s="803"/>
      <c r="G4541" s="803"/>
      <c r="H4541" s="803"/>
      <c r="I4541" s="533">
        <f>ROUNDDOWN(H4556,-2)</f>
        <v>425400</v>
      </c>
      <c r="J4541" s="536"/>
      <c r="K4541" s="824"/>
    </row>
    <row r="4542" spans="3:11" ht="25.8" customHeight="1">
      <c r="C4542" s="716" t="s">
        <v>1195</v>
      </c>
      <c r="D4542" s="716" t="s">
        <v>1196</v>
      </c>
      <c r="E4542" s="716" t="s">
        <v>1197</v>
      </c>
      <c r="F4542" s="716" t="s">
        <v>1198</v>
      </c>
      <c r="G4542" s="716" t="s">
        <v>1199</v>
      </c>
      <c r="H4542" s="716" t="s">
        <v>1200</v>
      </c>
    </row>
    <row r="4543" spans="3:11" ht="25.8" customHeight="1">
      <c r="C4543" s="213" t="s">
        <v>1201</v>
      </c>
      <c r="D4543" s="212" t="s">
        <v>1202</v>
      </c>
      <c r="E4543" s="534"/>
      <c r="F4543" s="534"/>
      <c r="G4543" s="534"/>
      <c r="H4543" s="534"/>
    </row>
    <row r="4544" spans="3:11" ht="25.8" customHeight="1">
      <c r="C4544" s="818">
        <v>1</v>
      </c>
      <c r="D4544" s="212" t="s">
        <v>5</v>
      </c>
      <c r="E4544" s="212" t="s">
        <v>6</v>
      </c>
      <c r="F4544" s="538">
        <v>1.0760000000000001</v>
      </c>
      <c r="G4544" s="539">
        <f>VLOOKUP(D4544,upahbahan,3,FALSE)</f>
        <v>100000</v>
      </c>
      <c r="H4544" s="539">
        <f t="shared" ref="H4544:H4547" si="491">F4544*G4544</f>
        <v>107600</v>
      </c>
    </row>
    <row r="4545" spans="3:11" ht="25.8" customHeight="1">
      <c r="C4545" s="818">
        <v>2</v>
      </c>
      <c r="D4545" s="212" t="s">
        <v>3295</v>
      </c>
      <c r="E4545" s="212" t="s">
        <v>6</v>
      </c>
      <c r="F4545" s="538">
        <v>1.7969999999999999</v>
      </c>
      <c r="G4545" s="539">
        <f>VLOOKUP(D4545,upahbahan,3,FALSE)</f>
        <v>135000</v>
      </c>
      <c r="H4545" s="539">
        <f t="shared" si="491"/>
        <v>242595</v>
      </c>
    </row>
    <row r="4546" spans="3:11" ht="25.8" customHeight="1">
      <c r="C4546" s="818">
        <v>3</v>
      </c>
      <c r="D4546" s="212" t="s">
        <v>18</v>
      </c>
      <c r="E4546" s="212" t="s">
        <v>6</v>
      </c>
      <c r="F4546" s="538">
        <v>0.18</v>
      </c>
      <c r="G4546" s="539">
        <f>VLOOKUP(D4546,upahbahan,3,FALSE)</f>
        <v>150000</v>
      </c>
      <c r="H4546" s="539">
        <f t="shared" si="491"/>
        <v>27000</v>
      </c>
    </row>
    <row r="4547" spans="3:11" ht="25.8" customHeight="1">
      <c r="C4547" s="818">
        <v>4</v>
      </c>
      <c r="D4547" s="212" t="s">
        <v>19</v>
      </c>
      <c r="E4547" s="212" t="s">
        <v>6</v>
      </c>
      <c r="F4547" s="538">
        <v>0.06</v>
      </c>
      <c r="G4547" s="539">
        <f>VLOOKUP(D4547,upahbahan,3,FALSE)</f>
        <v>160000</v>
      </c>
      <c r="H4547" s="539">
        <f t="shared" si="491"/>
        <v>9600</v>
      </c>
    </row>
    <row r="4548" spans="3:11" ht="25.8" customHeight="1">
      <c r="C4548" s="702" t="s">
        <v>1208</v>
      </c>
      <c r="D4548" s="208"/>
      <c r="E4548" s="208"/>
      <c r="F4548" s="811"/>
      <c r="G4548" s="522"/>
      <c r="H4548" s="539">
        <f>SUM(H4544:H4547)</f>
        <v>386795</v>
      </c>
      <c r="I4548" s="819"/>
    </row>
    <row r="4549" spans="3:11" ht="25.8" customHeight="1">
      <c r="C4549" s="213" t="s">
        <v>1209</v>
      </c>
      <c r="D4549" s="212" t="s">
        <v>1210</v>
      </c>
      <c r="E4549" s="534"/>
      <c r="F4549" s="831"/>
      <c r="G4549" s="534"/>
      <c r="H4549" s="534"/>
    </row>
    <row r="4550" spans="3:11" s="852" customFormat="1" ht="25.8" customHeight="1">
      <c r="C4550" s="847" t="s">
        <v>1203</v>
      </c>
      <c r="D4550" s="848" t="s">
        <v>3448</v>
      </c>
      <c r="E4550" s="849" t="s">
        <v>3182</v>
      </c>
      <c r="F4550" s="850">
        <v>1</v>
      </c>
      <c r="G4550" s="246">
        <f>VLOOKUP(D4550,upahbahan,3,FALSE)</f>
        <v>0</v>
      </c>
      <c r="H4550" s="246">
        <f t="shared" ref="H4550" si="492">F4550*G4550</f>
        <v>0</v>
      </c>
      <c r="I4550" s="851"/>
      <c r="J4550" s="517"/>
      <c r="K4550" s="517"/>
    </row>
    <row r="4551" spans="3:11" ht="25.8" customHeight="1">
      <c r="C4551" s="702" t="s">
        <v>1214</v>
      </c>
      <c r="D4551" s="208"/>
      <c r="E4551" s="208"/>
      <c r="F4551" s="208"/>
      <c r="G4551" s="209"/>
      <c r="H4551" s="539">
        <f>SUM(H4550:H4550)</f>
        <v>0</v>
      </c>
    </row>
    <row r="4552" spans="3:11" ht="25.8" customHeight="1">
      <c r="C4552" s="213" t="s">
        <v>1215</v>
      </c>
      <c r="D4552" s="212" t="s">
        <v>1216</v>
      </c>
      <c r="E4552" s="534"/>
      <c r="F4552" s="534"/>
      <c r="G4552" s="534"/>
      <c r="H4552" s="534"/>
    </row>
    <row r="4553" spans="3:11" ht="25.8" customHeight="1">
      <c r="C4553" s="702" t="s">
        <v>1217</v>
      </c>
      <c r="D4553" s="208"/>
      <c r="E4553" s="208"/>
      <c r="F4553" s="208"/>
      <c r="G4553" s="209"/>
      <c r="H4553" s="821">
        <v>0</v>
      </c>
    </row>
    <row r="4554" spans="3:11" ht="25.8" customHeight="1">
      <c r="C4554" s="566" t="s">
        <v>1218</v>
      </c>
      <c r="D4554" s="552" t="s">
        <v>1219</v>
      </c>
      <c r="E4554" s="553"/>
      <c r="F4554" s="553"/>
      <c r="G4554" s="554"/>
      <c r="H4554" s="826">
        <f>H4553+H4551+H4548</f>
        <v>386795</v>
      </c>
      <c r="I4554" s="827"/>
    </row>
    <row r="4555" spans="3:11" ht="25.8" customHeight="1">
      <c r="C4555" s="566" t="s">
        <v>1220</v>
      </c>
      <c r="D4555" s="552" t="s">
        <v>1321</v>
      </c>
      <c r="E4555" s="553"/>
      <c r="F4555" s="554"/>
      <c r="G4555" s="555">
        <f>$M$9</f>
        <v>0.1</v>
      </c>
      <c r="H4555" s="539">
        <f>H4554*G4555</f>
        <v>38679.5</v>
      </c>
      <c r="I4555" s="827"/>
    </row>
    <row r="4556" spans="3:11" ht="25.8" customHeight="1">
      <c r="C4556" s="566" t="s">
        <v>1221</v>
      </c>
      <c r="D4556" s="552" t="s">
        <v>1222</v>
      </c>
      <c r="E4556" s="553"/>
      <c r="F4556" s="553"/>
      <c r="G4556" s="554"/>
      <c r="H4556" s="828">
        <f>SUM(H4554:H4555)</f>
        <v>425474.5</v>
      </c>
      <c r="I4556" s="827"/>
    </row>
    <row r="4557" spans="3:11" ht="25.8" customHeight="1"/>
    <row r="4558" spans="3:11" ht="25.8" customHeight="1">
      <c r="C4558" s="513" t="s">
        <v>3449</v>
      </c>
      <c r="D4558" s="817" t="s">
        <v>3450</v>
      </c>
      <c r="E4558" s="803"/>
      <c r="F4558" s="803"/>
      <c r="G4558" s="803"/>
      <c r="H4558" s="803"/>
      <c r="I4558" s="533">
        <f>ROUNDDOWN(H4573,-2)</f>
        <v>181700</v>
      </c>
      <c r="J4558" s="536"/>
      <c r="K4558" s="824"/>
    </row>
    <row r="4559" spans="3:11" ht="25.8" customHeight="1">
      <c r="C4559" s="716" t="s">
        <v>1195</v>
      </c>
      <c r="D4559" s="716" t="s">
        <v>1196</v>
      </c>
      <c r="E4559" s="716" t="s">
        <v>1197</v>
      </c>
      <c r="F4559" s="716" t="s">
        <v>1198</v>
      </c>
      <c r="G4559" s="716" t="s">
        <v>1199</v>
      </c>
      <c r="H4559" s="716" t="s">
        <v>1200</v>
      </c>
    </row>
    <row r="4560" spans="3:11" ht="25.8" customHeight="1">
      <c r="C4560" s="213" t="s">
        <v>1201</v>
      </c>
      <c r="D4560" s="212" t="s">
        <v>1202</v>
      </c>
      <c r="E4560" s="534"/>
      <c r="F4560" s="534"/>
      <c r="G4560" s="534"/>
      <c r="H4560" s="534"/>
    </row>
    <row r="4561" spans="3:11" ht="25.8" customHeight="1">
      <c r="C4561" s="818">
        <v>1</v>
      </c>
      <c r="D4561" s="212" t="s">
        <v>5</v>
      </c>
      <c r="E4561" s="212" t="s">
        <v>6</v>
      </c>
      <c r="F4561" s="538">
        <v>0.46</v>
      </c>
      <c r="G4561" s="539">
        <f>VLOOKUP(D4561,upahbahan,3,FALSE)</f>
        <v>100000</v>
      </c>
      <c r="H4561" s="539">
        <f t="shared" ref="H4561:H4564" si="493">F4561*G4561</f>
        <v>46000</v>
      </c>
    </row>
    <row r="4562" spans="3:11" ht="25.8" customHeight="1">
      <c r="C4562" s="818">
        <v>2</v>
      </c>
      <c r="D4562" s="212" t="s">
        <v>3295</v>
      </c>
      <c r="E4562" s="212" t="s">
        <v>6</v>
      </c>
      <c r="F4562" s="538">
        <v>0.76700000000000002</v>
      </c>
      <c r="G4562" s="539">
        <f>VLOOKUP(D4562,upahbahan,3,FALSE)</f>
        <v>135000</v>
      </c>
      <c r="H4562" s="539">
        <f t="shared" si="493"/>
        <v>103545</v>
      </c>
    </row>
    <row r="4563" spans="3:11" ht="25.8" customHeight="1">
      <c r="C4563" s="818">
        <v>3</v>
      </c>
      <c r="D4563" s="212" t="s">
        <v>18</v>
      </c>
      <c r="E4563" s="212" t="s">
        <v>6</v>
      </c>
      <c r="F4563" s="538">
        <v>7.6999999999999999E-2</v>
      </c>
      <c r="G4563" s="539">
        <f>VLOOKUP(D4563,upahbahan,3,FALSE)</f>
        <v>150000</v>
      </c>
      <c r="H4563" s="539">
        <f t="shared" si="493"/>
        <v>11550</v>
      </c>
    </row>
    <row r="4564" spans="3:11" ht="25.8" customHeight="1">
      <c r="C4564" s="818">
        <v>4</v>
      </c>
      <c r="D4564" s="212" t="s">
        <v>19</v>
      </c>
      <c r="E4564" s="212" t="s">
        <v>6</v>
      </c>
      <c r="F4564" s="538">
        <v>2.5999999999999999E-2</v>
      </c>
      <c r="G4564" s="539">
        <f>VLOOKUP(D4564,upahbahan,3,FALSE)</f>
        <v>160000</v>
      </c>
      <c r="H4564" s="539">
        <f t="shared" si="493"/>
        <v>4160</v>
      </c>
    </row>
    <row r="4565" spans="3:11" ht="25.8" customHeight="1">
      <c r="C4565" s="702" t="s">
        <v>1208</v>
      </c>
      <c r="D4565" s="208"/>
      <c r="E4565" s="208"/>
      <c r="F4565" s="811"/>
      <c r="G4565" s="522"/>
      <c r="H4565" s="539">
        <f>SUM(H4561:H4564)</f>
        <v>165255</v>
      </c>
      <c r="I4565" s="819"/>
    </row>
    <row r="4566" spans="3:11" ht="25.8" customHeight="1">
      <c r="C4566" s="213" t="s">
        <v>1209</v>
      </c>
      <c r="D4566" s="212" t="s">
        <v>1210</v>
      </c>
      <c r="E4566" s="534"/>
      <c r="F4566" s="831"/>
      <c r="G4566" s="534"/>
      <c r="H4566" s="534"/>
    </row>
    <row r="4567" spans="3:11" s="852" customFormat="1" ht="25.8" customHeight="1">
      <c r="C4567" s="847" t="s">
        <v>1203</v>
      </c>
      <c r="D4567" s="848" t="s">
        <v>3451</v>
      </c>
      <c r="E4567" s="849" t="s">
        <v>3182</v>
      </c>
      <c r="F4567" s="850">
        <v>1</v>
      </c>
      <c r="G4567" s="246">
        <f>VLOOKUP(D4567,upahbahan,3,FALSE)</f>
        <v>0</v>
      </c>
      <c r="H4567" s="246">
        <f t="shared" ref="H4567" si="494">F4567*G4567</f>
        <v>0</v>
      </c>
      <c r="I4567" s="851"/>
      <c r="J4567" s="517"/>
      <c r="K4567" s="517"/>
    </row>
    <row r="4568" spans="3:11" ht="25.8" customHeight="1">
      <c r="C4568" s="702" t="s">
        <v>1214</v>
      </c>
      <c r="D4568" s="208"/>
      <c r="E4568" s="208"/>
      <c r="F4568" s="208"/>
      <c r="G4568" s="209"/>
      <c r="H4568" s="539">
        <f>SUM(H4567:H4567)</f>
        <v>0</v>
      </c>
    </row>
    <row r="4569" spans="3:11" ht="25.8" customHeight="1">
      <c r="C4569" s="213" t="s">
        <v>1215</v>
      </c>
      <c r="D4569" s="212" t="s">
        <v>1216</v>
      </c>
      <c r="E4569" s="534"/>
      <c r="F4569" s="534"/>
      <c r="G4569" s="534"/>
      <c r="H4569" s="534"/>
    </row>
    <row r="4570" spans="3:11" ht="25.8" customHeight="1">
      <c r="C4570" s="702" t="s">
        <v>1217</v>
      </c>
      <c r="D4570" s="208"/>
      <c r="E4570" s="208"/>
      <c r="F4570" s="208"/>
      <c r="G4570" s="209"/>
      <c r="H4570" s="821">
        <v>0</v>
      </c>
    </row>
    <row r="4571" spans="3:11" ht="25.8" customHeight="1">
      <c r="C4571" s="566" t="s">
        <v>1218</v>
      </c>
      <c r="D4571" s="552" t="s">
        <v>1219</v>
      </c>
      <c r="E4571" s="553"/>
      <c r="F4571" s="553"/>
      <c r="G4571" s="554"/>
      <c r="H4571" s="826">
        <f>H4570+H4568+H4565</f>
        <v>165255</v>
      </c>
      <c r="I4571" s="827"/>
    </row>
    <row r="4572" spans="3:11" ht="25.8" customHeight="1">
      <c r="C4572" s="566" t="s">
        <v>1220</v>
      </c>
      <c r="D4572" s="552" t="s">
        <v>1321</v>
      </c>
      <c r="E4572" s="553"/>
      <c r="F4572" s="554"/>
      <c r="G4572" s="555">
        <f>$M$9</f>
        <v>0.1</v>
      </c>
      <c r="H4572" s="539">
        <f>H4571*G4572</f>
        <v>16525.5</v>
      </c>
      <c r="I4572" s="827"/>
    </row>
    <row r="4573" spans="3:11" ht="25.8" customHeight="1">
      <c r="C4573" s="566" t="s">
        <v>1221</v>
      </c>
      <c r="D4573" s="552" t="s">
        <v>1222</v>
      </c>
      <c r="E4573" s="553"/>
      <c r="F4573" s="553"/>
      <c r="G4573" s="554"/>
      <c r="H4573" s="828">
        <f>SUM(H4571:H4572)</f>
        <v>181780.5</v>
      </c>
      <c r="I4573" s="827"/>
    </row>
    <row r="4574" spans="3:11" ht="25.8" customHeight="1">
      <c r="C4574" s="853" t="s">
        <v>3452</v>
      </c>
      <c r="D4574" s="530" t="s">
        <v>3453</v>
      </c>
    </row>
    <row r="4575" spans="3:11" ht="25.8" customHeight="1"/>
    <row r="4576" spans="3:11" ht="25.8" customHeight="1">
      <c r="C4576" s="513" t="s">
        <v>3454</v>
      </c>
      <c r="D4576" s="817" t="s">
        <v>8798</v>
      </c>
      <c r="E4576" s="803"/>
      <c r="F4576" s="803"/>
      <c r="G4576" s="803"/>
      <c r="H4576" s="803"/>
      <c r="I4576" s="533">
        <f>ROUNDDOWN(H4591,-2)</f>
        <v>222000</v>
      </c>
      <c r="J4576" s="536"/>
      <c r="K4576" s="824"/>
    </row>
    <row r="4577" spans="3:11" ht="25.8" customHeight="1">
      <c r="C4577" s="716" t="s">
        <v>1195</v>
      </c>
      <c r="D4577" s="716" t="s">
        <v>1196</v>
      </c>
      <c r="E4577" s="716" t="s">
        <v>1197</v>
      </c>
      <c r="F4577" s="716" t="s">
        <v>1198</v>
      </c>
      <c r="G4577" s="716" t="s">
        <v>1199</v>
      </c>
      <c r="H4577" s="716" t="s">
        <v>1200</v>
      </c>
    </row>
    <row r="4578" spans="3:11" ht="25.8" customHeight="1">
      <c r="C4578" s="213" t="s">
        <v>1201</v>
      </c>
      <c r="D4578" s="212" t="s">
        <v>1202</v>
      </c>
      <c r="E4578" s="534"/>
      <c r="F4578" s="534"/>
      <c r="G4578" s="534"/>
      <c r="H4578" s="534"/>
    </row>
    <row r="4579" spans="3:11" ht="25.8" customHeight="1">
      <c r="C4579" s="818">
        <v>1</v>
      </c>
      <c r="D4579" s="212" t="s">
        <v>5</v>
      </c>
      <c r="E4579" s="212" t="s">
        <v>6</v>
      </c>
      <c r="F4579" s="538">
        <v>0.56200000000000006</v>
      </c>
      <c r="G4579" s="539">
        <f>VLOOKUP(D4579,upahbahan,3,FALSE)</f>
        <v>100000</v>
      </c>
      <c r="H4579" s="539">
        <f t="shared" ref="H4579:H4582" si="495">F4579*G4579</f>
        <v>56200.000000000007</v>
      </c>
    </row>
    <row r="4580" spans="3:11" ht="25.8" customHeight="1">
      <c r="C4580" s="818">
        <v>2</v>
      </c>
      <c r="D4580" s="212" t="s">
        <v>3295</v>
      </c>
      <c r="E4580" s="212" t="s">
        <v>6</v>
      </c>
      <c r="F4580" s="538">
        <v>0.93799999999999994</v>
      </c>
      <c r="G4580" s="539">
        <f>VLOOKUP(D4580,upahbahan,3,FALSE)</f>
        <v>135000</v>
      </c>
      <c r="H4580" s="539">
        <f t="shared" si="495"/>
        <v>126629.99999999999</v>
      </c>
    </row>
    <row r="4581" spans="3:11" ht="25.8" customHeight="1">
      <c r="C4581" s="818">
        <v>3</v>
      </c>
      <c r="D4581" s="212" t="s">
        <v>18</v>
      </c>
      <c r="E4581" s="212" t="s">
        <v>6</v>
      </c>
      <c r="F4581" s="538">
        <v>9.4E-2</v>
      </c>
      <c r="G4581" s="539">
        <f>VLOOKUP(D4581,upahbahan,3,FALSE)</f>
        <v>150000</v>
      </c>
      <c r="H4581" s="539">
        <f t="shared" si="495"/>
        <v>14100</v>
      </c>
    </row>
    <row r="4582" spans="3:11" ht="25.8" customHeight="1">
      <c r="C4582" s="818">
        <v>4</v>
      </c>
      <c r="D4582" s="212" t="s">
        <v>19</v>
      </c>
      <c r="E4582" s="212" t="s">
        <v>6</v>
      </c>
      <c r="F4582" s="538">
        <v>3.1E-2</v>
      </c>
      <c r="G4582" s="539">
        <f>VLOOKUP(D4582,upahbahan,3,FALSE)</f>
        <v>160000</v>
      </c>
      <c r="H4582" s="539">
        <f t="shared" si="495"/>
        <v>4960</v>
      </c>
    </row>
    <row r="4583" spans="3:11" ht="25.8" customHeight="1">
      <c r="C4583" s="702" t="s">
        <v>1208</v>
      </c>
      <c r="D4583" s="208"/>
      <c r="E4583" s="208"/>
      <c r="F4583" s="811"/>
      <c r="G4583" s="522"/>
      <c r="H4583" s="539">
        <f>SUM(H4579:H4582)</f>
        <v>201890</v>
      </c>
      <c r="I4583" s="819"/>
    </row>
    <row r="4584" spans="3:11" ht="25.8" customHeight="1">
      <c r="C4584" s="213" t="s">
        <v>1209</v>
      </c>
      <c r="D4584" s="212" t="s">
        <v>1210</v>
      </c>
      <c r="E4584" s="534"/>
      <c r="F4584" s="831"/>
      <c r="G4584" s="534"/>
      <c r="H4584" s="534"/>
    </row>
    <row r="4585" spans="3:11" s="852" customFormat="1" ht="25.8" customHeight="1">
      <c r="C4585" s="847" t="s">
        <v>1203</v>
      </c>
      <c r="D4585" s="848" t="s">
        <v>5311</v>
      </c>
      <c r="E4585" s="849" t="s">
        <v>3182</v>
      </c>
      <c r="F4585" s="850">
        <v>1</v>
      </c>
      <c r="G4585" s="246">
        <f>VLOOKUP(D4585,upahbahan,3,FALSE)</f>
        <v>0</v>
      </c>
      <c r="H4585" s="246">
        <f t="shared" ref="H4585" si="496">F4585*G4585</f>
        <v>0</v>
      </c>
      <c r="I4585" s="851"/>
      <c r="J4585" s="517"/>
      <c r="K4585" s="517"/>
    </row>
    <row r="4586" spans="3:11" ht="25.8" customHeight="1">
      <c r="C4586" s="702" t="s">
        <v>1214</v>
      </c>
      <c r="D4586" s="208"/>
      <c r="E4586" s="208"/>
      <c r="F4586" s="208"/>
      <c r="G4586" s="209"/>
      <c r="H4586" s="539">
        <f>SUM(H4585:H4585)</f>
        <v>0</v>
      </c>
    </row>
    <row r="4587" spans="3:11" ht="25.8" customHeight="1">
      <c r="C4587" s="213" t="s">
        <v>1215</v>
      </c>
      <c r="D4587" s="212" t="s">
        <v>1216</v>
      </c>
      <c r="E4587" s="534"/>
      <c r="F4587" s="534"/>
      <c r="G4587" s="534"/>
      <c r="H4587" s="534"/>
    </row>
    <row r="4588" spans="3:11" ht="25.8" customHeight="1">
      <c r="C4588" s="702" t="s">
        <v>1217</v>
      </c>
      <c r="D4588" s="208"/>
      <c r="E4588" s="208"/>
      <c r="F4588" s="208"/>
      <c r="G4588" s="209"/>
      <c r="H4588" s="821">
        <v>0</v>
      </c>
    </row>
    <row r="4589" spans="3:11" ht="25.8" customHeight="1">
      <c r="C4589" s="566" t="s">
        <v>1218</v>
      </c>
      <c r="D4589" s="552" t="s">
        <v>1219</v>
      </c>
      <c r="E4589" s="553"/>
      <c r="F4589" s="553"/>
      <c r="G4589" s="554"/>
      <c r="H4589" s="826">
        <f>H4588+H4586+H4583</f>
        <v>201890</v>
      </c>
      <c r="I4589" s="827"/>
    </row>
    <row r="4590" spans="3:11" ht="25.8" customHeight="1">
      <c r="C4590" s="566" t="s">
        <v>1220</v>
      </c>
      <c r="D4590" s="552" t="s">
        <v>1321</v>
      </c>
      <c r="E4590" s="553"/>
      <c r="F4590" s="554"/>
      <c r="G4590" s="555">
        <f>$M$9</f>
        <v>0.1</v>
      </c>
      <c r="H4590" s="539">
        <f>H4589*G4590</f>
        <v>20189</v>
      </c>
      <c r="I4590" s="827"/>
    </row>
    <row r="4591" spans="3:11" ht="25.8" customHeight="1">
      <c r="C4591" s="566" t="s">
        <v>1221</v>
      </c>
      <c r="D4591" s="552" t="s">
        <v>1222</v>
      </c>
      <c r="E4591" s="553"/>
      <c r="F4591" s="553"/>
      <c r="G4591" s="554"/>
      <c r="H4591" s="828">
        <f>SUM(H4589:H4590)</f>
        <v>222079</v>
      </c>
      <c r="I4591" s="827"/>
    </row>
    <row r="4592" spans="3:11" ht="25.8" customHeight="1">
      <c r="C4592" s="853" t="s">
        <v>3452</v>
      </c>
      <c r="D4592" s="530" t="s">
        <v>3453</v>
      </c>
    </row>
    <row r="4593" spans="3:11" ht="25.8" customHeight="1"/>
    <row r="4594" spans="3:11" ht="25.8" customHeight="1">
      <c r="C4594" s="513" t="s">
        <v>3455</v>
      </c>
      <c r="D4594" s="817" t="s">
        <v>3456</v>
      </c>
      <c r="E4594" s="803"/>
      <c r="F4594" s="803"/>
      <c r="G4594" s="803"/>
      <c r="H4594" s="803"/>
      <c r="I4594" s="533">
        <f>ROUNDDOWN(H4609,-2)</f>
        <v>181700</v>
      </c>
      <c r="J4594" s="536"/>
      <c r="K4594" s="824"/>
    </row>
    <row r="4595" spans="3:11" ht="25.8" customHeight="1">
      <c r="C4595" s="716" t="s">
        <v>1195</v>
      </c>
      <c r="D4595" s="716" t="s">
        <v>1196</v>
      </c>
      <c r="E4595" s="716" t="s">
        <v>1197</v>
      </c>
      <c r="F4595" s="716" t="s">
        <v>1198</v>
      </c>
      <c r="G4595" s="716" t="s">
        <v>1199</v>
      </c>
      <c r="H4595" s="716" t="s">
        <v>1200</v>
      </c>
    </row>
    <row r="4596" spans="3:11" ht="25.8" customHeight="1">
      <c r="C4596" s="213" t="s">
        <v>1201</v>
      </c>
      <c r="D4596" s="212" t="s">
        <v>1202</v>
      </c>
      <c r="E4596" s="534"/>
      <c r="F4596" s="534"/>
      <c r="G4596" s="534"/>
      <c r="H4596" s="534"/>
    </row>
    <row r="4597" spans="3:11" ht="25.8" customHeight="1">
      <c r="C4597" s="818">
        <v>1</v>
      </c>
      <c r="D4597" s="212" t="s">
        <v>5</v>
      </c>
      <c r="E4597" s="212" t="s">
        <v>6</v>
      </c>
      <c r="F4597" s="538">
        <v>0.46</v>
      </c>
      <c r="G4597" s="539">
        <f>VLOOKUP(D4597,upahbahan,3,FALSE)</f>
        <v>100000</v>
      </c>
      <c r="H4597" s="539">
        <f t="shared" ref="H4597:H4600" si="497">F4597*G4597</f>
        <v>46000</v>
      </c>
    </row>
    <row r="4598" spans="3:11" ht="25.8" customHeight="1">
      <c r="C4598" s="818">
        <v>2</v>
      </c>
      <c r="D4598" s="212" t="s">
        <v>3295</v>
      </c>
      <c r="E4598" s="212" t="s">
        <v>6</v>
      </c>
      <c r="F4598" s="538">
        <v>0.76700000000000002</v>
      </c>
      <c r="G4598" s="539">
        <f>VLOOKUP(D4598,upahbahan,3,FALSE)</f>
        <v>135000</v>
      </c>
      <c r="H4598" s="539">
        <f t="shared" si="497"/>
        <v>103545</v>
      </c>
    </row>
    <row r="4599" spans="3:11" ht="25.8" customHeight="1">
      <c r="C4599" s="818">
        <v>3</v>
      </c>
      <c r="D4599" s="212" t="s">
        <v>18</v>
      </c>
      <c r="E4599" s="212" t="s">
        <v>6</v>
      </c>
      <c r="F4599" s="538">
        <v>7.6999999999999999E-2</v>
      </c>
      <c r="G4599" s="539">
        <f>VLOOKUP(D4599,upahbahan,3,FALSE)</f>
        <v>150000</v>
      </c>
      <c r="H4599" s="539">
        <f t="shared" si="497"/>
        <v>11550</v>
      </c>
    </row>
    <row r="4600" spans="3:11" ht="25.8" customHeight="1">
      <c r="C4600" s="818">
        <v>4</v>
      </c>
      <c r="D4600" s="212" t="s">
        <v>19</v>
      </c>
      <c r="E4600" s="212" t="s">
        <v>6</v>
      </c>
      <c r="F4600" s="538">
        <v>2.5999999999999999E-2</v>
      </c>
      <c r="G4600" s="539">
        <f>VLOOKUP(D4600,upahbahan,3,FALSE)</f>
        <v>160000</v>
      </c>
      <c r="H4600" s="539">
        <f t="shared" si="497"/>
        <v>4160</v>
      </c>
    </row>
    <row r="4601" spans="3:11" ht="25.8" customHeight="1">
      <c r="C4601" s="702" t="s">
        <v>1208</v>
      </c>
      <c r="D4601" s="208"/>
      <c r="E4601" s="208"/>
      <c r="F4601" s="811"/>
      <c r="G4601" s="522"/>
      <c r="H4601" s="539">
        <f>SUM(H4597:H4600)</f>
        <v>165255</v>
      </c>
      <c r="I4601" s="819"/>
    </row>
    <row r="4602" spans="3:11" ht="25.8" customHeight="1">
      <c r="C4602" s="213" t="s">
        <v>1209</v>
      </c>
      <c r="D4602" s="212" t="s">
        <v>1210</v>
      </c>
      <c r="E4602" s="534"/>
      <c r="F4602" s="831"/>
      <c r="G4602" s="534"/>
      <c r="H4602" s="534"/>
    </row>
    <row r="4603" spans="3:11" s="852" customFormat="1" ht="25.8" customHeight="1">
      <c r="C4603" s="847" t="s">
        <v>1203</v>
      </c>
      <c r="D4603" s="848" t="s">
        <v>5309</v>
      </c>
      <c r="E4603" s="849" t="s">
        <v>3182</v>
      </c>
      <c r="F4603" s="850">
        <v>1</v>
      </c>
      <c r="G4603" s="246">
        <f>VLOOKUP(D4603,upahbahan,3,FALSE)</f>
        <v>0</v>
      </c>
      <c r="H4603" s="246">
        <f t="shared" ref="H4603" si="498">F4603*G4603</f>
        <v>0</v>
      </c>
      <c r="I4603" s="851"/>
      <c r="J4603" s="517"/>
      <c r="K4603" s="517"/>
    </row>
    <row r="4604" spans="3:11" ht="25.8" customHeight="1">
      <c r="C4604" s="702" t="s">
        <v>1214</v>
      </c>
      <c r="D4604" s="208"/>
      <c r="E4604" s="208"/>
      <c r="F4604" s="208"/>
      <c r="G4604" s="209"/>
      <c r="H4604" s="539">
        <f>SUM(H4603:H4603)</f>
        <v>0</v>
      </c>
    </row>
    <row r="4605" spans="3:11" ht="25.8" customHeight="1">
      <c r="C4605" s="213" t="s">
        <v>1215</v>
      </c>
      <c r="D4605" s="212" t="s">
        <v>1216</v>
      </c>
      <c r="E4605" s="534"/>
      <c r="F4605" s="534"/>
      <c r="G4605" s="534"/>
      <c r="H4605" s="534"/>
    </row>
    <row r="4606" spans="3:11" ht="25.8" customHeight="1">
      <c r="C4606" s="702" t="s">
        <v>1217</v>
      </c>
      <c r="D4606" s="208"/>
      <c r="E4606" s="208"/>
      <c r="F4606" s="208"/>
      <c r="G4606" s="209"/>
      <c r="H4606" s="821">
        <v>0</v>
      </c>
    </row>
    <row r="4607" spans="3:11" ht="25.8" customHeight="1">
      <c r="C4607" s="566" t="s">
        <v>1218</v>
      </c>
      <c r="D4607" s="552" t="s">
        <v>1219</v>
      </c>
      <c r="E4607" s="553"/>
      <c r="F4607" s="553"/>
      <c r="G4607" s="554"/>
      <c r="H4607" s="826">
        <f>H4606+H4604+H4601</f>
        <v>165255</v>
      </c>
      <c r="I4607" s="827"/>
    </row>
    <row r="4608" spans="3:11" ht="25.8" customHeight="1">
      <c r="C4608" s="566" t="s">
        <v>1220</v>
      </c>
      <c r="D4608" s="552" t="s">
        <v>1321</v>
      </c>
      <c r="E4608" s="553"/>
      <c r="F4608" s="554"/>
      <c r="G4608" s="555">
        <f>$M$9</f>
        <v>0.1</v>
      </c>
      <c r="H4608" s="539">
        <f>H4607*G4608</f>
        <v>16525.5</v>
      </c>
      <c r="I4608" s="827"/>
    </row>
    <row r="4609" spans="3:11" ht="25.8" customHeight="1">
      <c r="C4609" s="566" t="s">
        <v>1221</v>
      </c>
      <c r="D4609" s="552" t="s">
        <v>1222</v>
      </c>
      <c r="E4609" s="553"/>
      <c r="F4609" s="553"/>
      <c r="G4609" s="554"/>
      <c r="H4609" s="828">
        <f>SUM(H4607:H4608)</f>
        <v>181780.5</v>
      </c>
      <c r="I4609" s="827"/>
    </row>
    <row r="4610" spans="3:11" ht="25.8" customHeight="1">
      <c r="C4610" s="853" t="s">
        <v>3452</v>
      </c>
      <c r="D4610" s="530" t="s">
        <v>3453</v>
      </c>
    </row>
    <row r="4611" spans="3:11" ht="25.8" customHeight="1"/>
    <row r="4612" spans="3:11" ht="25.8" customHeight="1">
      <c r="C4612" s="513" t="s">
        <v>3457</v>
      </c>
      <c r="D4612" s="817" t="s">
        <v>3458</v>
      </c>
      <c r="E4612" s="803"/>
      <c r="F4612" s="803"/>
      <c r="G4612" s="803"/>
      <c r="H4612" s="803"/>
      <c r="I4612" s="533">
        <f>ROUNDDOWN(H4627,-2)</f>
        <v>247600</v>
      </c>
      <c r="J4612" s="536"/>
      <c r="K4612" s="824"/>
    </row>
    <row r="4613" spans="3:11" ht="25.8" customHeight="1">
      <c r="C4613" s="716" t="s">
        <v>1195</v>
      </c>
      <c r="D4613" s="716" t="s">
        <v>1196</v>
      </c>
      <c r="E4613" s="716" t="s">
        <v>1197</v>
      </c>
      <c r="F4613" s="716" t="s">
        <v>1198</v>
      </c>
      <c r="G4613" s="716" t="s">
        <v>1199</v>
      </c>
      <c r="H4613" s="716" t="s">
        <v>1200</v>
      </c>
    </row>
    <row r="4614" spans="3:11" ht="25.8" customHeight="1">
      <c r="C4614" s="213" t="s">
        <v>1201</v>
      </c>
      <c r="D4614" s="212" t="s">
        <v>1202</v>
      </c>
      <c r="E4614" s="534"/>
      <c r="F4614" s="534"/>
      <c r="G4614" s="534"/>
      <c r="H4614" s="534"/>
    </row>
    <row r="4615" spans="3:11" ht="25.8" customHeight="1">
      <c r="C4615" s="818">
        <v>1</v>
      </c>
      <c r="D4615" s="212" t="s">
        <v>5</v>
      </c>
      <c r="E4615" s="212" t="s">
        <v>6</v>
      </c>
      <c r="F4615" s="538">
        <v>0.626</v>
      </c>
      <c r="G4615" s="539">
        <f>VLOOKUP(D4615,upahbahan,3,FALSE)</f>
        <v>100000</v>
      </c>
      <c r="H4615" s="539">
        <f t="shared" ref="H4615:H4618" si="499">F4615*G4615</f>
        <v>62600</v>
      </c>
    </row>
    <row r="4616" spans="3:11" ht="25.8" customHeight="1">
      <c r="C4616" s="818">
        <v>2</v>
      </c>
      <c r="D4616" s="212" t="s">
        <v>3295</v>
      </c>
      <c r="E4616" s="212" t="s">
        <v>6</v>
      </c>
      <c r="F4616" s="538">
        <v>1.046</v>
      </c>
      <c r="G4616" s="539">
        <f>VLOOKUP(D4616,upahbahan,3,FALSE)</f>
        <v>135000</v>
      </c>
      <c r="H4616" s="539">
        <f t="shared" si="499"/>
        <v>141210</v>
      </c>
    </row>
    <row r="4617" spans="3:11" ht="25.8" customHeight="1">
      <c r="C4617" s="818">
        <v>3</v>
      </c>
      <c r="D4617" s="212" t="s">
        <v>18</v>
      </c>
      <c r="E4617" s="212" t="s">
        <v>6</v>
      </c>
      <c r="F4617" s="538">
        <v>0.105</v>
      </c>
      <c r="G4617" s="539">
        <f>VLOOKUP(D4617,upahbahan,3,FALSE)</f>
        <v>150000</v>
      </c>
      <c r="H4617" s="539">
        <f t="shared" si="499"/>
        <v>15750</v>
      </c>
    </row>
    <row r="4618" spans="3:11" ht="25.8" customHeight="1">
      <c r="C4618" s="818">
        <v>4</v>
      </c>
      <c r="D4618" s="212" t="s">
        <v>19</v>
      </c>
      <c r="E4618" s="212" t="s">
        <v>6</v>
      </c>
      <c r="F4618" s="538">
        <v>3.5000000000000003E-2</v>
      </c>
      <c r="G4618" s="539">
        <f>VLOOKUP(D4618,upahbahan,3,FALSE)</f>
        <v>160000</v>
      </c>
      <c r="H4618" s="539">
        <f t="shared" si="499"/>
        <v>5600.0000000000009</v>
      </c>
    </row>
    <row r="4619" spans="3:11" ht="25.8" customHeight="1">
      <c r="C4619" s="702" t="s">
        <v>1208</v>
      </c>
      <c r="D4619" s="208"/>
      <c r="E4619" s="208"/>
      <c r="F4619" s="811"/>
      <c r="G4619" s="522"/>
      <c r="H4619" s="539">
        <f>SUM(H4615:H4618)</f>
        <v>225160</v>
      </c>
      <c r="I4619" s="819"/>
    </row>
    <row r="4620" spans="3:11" ht="25.8" customHeight="1">
      <c r="C4620" s="213" t="s">
        <v>1209</v>
      </c>
      <c r="D4620" s="212" t="s">
        <v>1210</v>
      </c>
      <c r="E4620" s="534"/>
      <c r="F4620" s="831"/>
      <c r="G4620" s="534"/>
      <c r="H4620" s="534"/>
    </row>
    <row r="4621" spans="3:11" s="852" customFormat="1" ht="25.8" customHeight="1">
      <c r="C4621" s="847" t="s">
        <v>1203</v>
      </c>
      <c r="D4621" s="848" t="s">
        <v>5310</v>
      </c>
      <c r="E4621" s="849" t="s">
        <v>3182</v>
      </c>
      <c r="F4621" s="850">
        <v>1</v>
      </c>
      <c r="G4621" s="246">
        <f>VLOOKUP(D4621,upahbahan,3,FALSE)</f>
        <v>0</v>
      </c>
      <c r="H4621" s="246">
        <f t="shared" ref="H4621" si="500">F4621*G4621</f>
        <v>0</v>
      </c>
      <c r="I4621" s="851"/>
      <c r="J4621" s="517"/>
      <c r="K4621" s="517"/>
    </row>
    <row r="4622" spans="3:11" ht="25.8" customHeight="1">
      <c r="C4622" s="702" t="s">
        <v>1214</v>
      </c>
      <c r="D4622" s="208"/>
      <c r="E4622" s="208"/>
      <c r="F4622" s="208"/>
      <c r="G4622" s="209"/>
      <c r="H4622" s="539">
        <f>SUM(H4621:H4621)</f>
        <v>0</v>
      </c>
    </row>
    <row r="4623" spans="3:11" ht="25.8" customHeight="1">
      <c r="C4623" s="213" t="s">
        <v>1215</v>
      </c>
      <c r="D4623" s="212" t="s">
        <v>1216</v>
      </c>
      <c r="E4623" s="534"/>
      <c r="F4623" s="534"/>
      <c r="G4623" s="534"/>
      <c r="H4623" s="534"/>
    </row>
    <row r="4624" spans="3:11" ht="25.8" customHeight="1">
      <c r="C4624" s="702" t="s">
        <v>1217</v>
      </c>
      <c r="D4624" s="208"/>
      <c r="E4624" s="208"/>
      <c r="F4624" s="208"/>
      <c r="G4624" s="209"/>
      <c r="H4624" s="821">
        <v>0</v>
      </c>
    </row>
    <row r="4625" spans="3:11" ht="25.8" customHeight="1">
      <c r="C4625" s="566" t="s">
        <v>1218</v>
      </c>
      <c r="D4625" s="552" t="s">
        <v>1219</v>
      </c>
      <c r="E4625" s="553"/>
      <c r="F4625" s="553"/>
      <c r="G4625" s="554"/>
      <c r="H4625" s="826">
        <f>H4624+H4622+H4619</f>
        <v>225160</v>
      </c>
      <c r="I4625" s="827"/>
    </row>
    <row r="4626" spans="3:11" ht="25.8" customHeight="1">
      <c r="C4626" s="566" t="s">
        <v>1220</v>
      </c>
      <c r="D4626" s="552" t="s">
        <v>1321</v>
      </c>
      <c r="E4626" s="553"/>
      <c r="F4626" s="554"/>
      <c r="G4626" s="555">
        <f>$M$9</f>
        <v>0.1</v>
      </c>
      <c r="H4626" s="539">
        <f>H4625*G4626</f>
        <v>22516</v>
      </c>
      <c r="I4626" s="827"/>
    </row>
    <row r="4627" spans="3:11" ht="25.8" customHeight="1">
      <c r="C4627" s="566" t="s">
        <v>1221</v>
      </c>
      <c r="D4627" s="552" t="s">
        <v>1222</v>
      </c>
      <c r="E4627" s="553"/>
      <c r="F4627" s="553"/>
      <c r="G4627" s="554"/>
      <c r="H4627" s="828">
        <f>SUM(H4625:H4626)</f>
        <v>247676</v>
      </c>
      <c r="I4627" s="827"/>
    </row>
    <row r="4628" spans="3:11" ht="25.8" customHeight="1">
      <c r="C4628" s="853" t="s">
        <v>3452</v>
      </c>
      <c r="D4628" s="530" t="s">
        <v>3453</v>
      </c>
    </row>
    <row r="4629" spans="3:11" ht="25.8" customHeight="1">
      <c r="C4629" s="513" t="s">
        <v>3459</v>
      </c>
      <c r="D4629" s="817" t="s">
        <v>3460</v>
      </c>
      <c r="E4629" s="803"/>
      <c r="F4629" s="803"/>
      <c r="G4629" s="803"/>
      <c r="H4629" s="803"/>
      <c r="I4629" s="533">
        <f>ROUNDDOWN(H4644,-2)</f>
        <v>461200</v>
      </c>
      <c r="J4629" s="536"/>
      <c r="K4629" s="824"/>
    </row>
    <row r="4630" spans="3:11" ht="25.8" customHeight="1">
      <c r="C4630" s="716" t="s">
        <v>1195</v>
      </c>
      <c r="D4630" s="716" t="s">
        <v>1196</v>
      </c>
      <c r="E4630" s="716" t="s">
        <v>1197</v>
      </c>
      <c r="F4630" s="716" t="s">
        <v>1198</v>
      </c>
      <c r="G4630" s="716" t="s">
        <v>1199</v>
      </c>
      <c r="H4630" s="716" t="s">
        <v>1200</v>
      </c>
    </row>
    <row r="4631" spans="3:11" ht="25.8" customHeight="1">
      <c r="C4631" s="213" t="s">
        <v>1201</v>
      </c>
      <c r="D4631" s="212" t="s">
        <v>1202</v>
      </c>
      <c r="E4631" s="534"/>
      <c r="F4631" s="534"/>
      <c r="G4631" s="534"/>
      <c r="H4631" s="534"/>
    </row>
    <row r="4632" spans="3:11" ht="25.8" customHeight="1">
      <c r="C4632" s="818">
        <v>1</v>
      </c>
      <c r="D4632" s="212" t="s">
        <v>5</v>
      </c>
      <c r="E4632" s="212" t="s">
        <v>6</v>
      </c>
      <c r="F4632" s="538">
        <v>1.167</v>
      </c>
      <c r="G4632" s="539">
        <f>VLOOKUP(D4632,upahbahan,3,FALSE)</f>
        <v>100000</v>
      </c>
      <c r="H4632" s="539">
        <f t="shared" ref="H4632:H4635" si="501">F4632*G4632</f>
        <v>116700</v>
      </c>
    </row>
    <row r="4633" spans="3:11" ht="25.8" customHeight="1">
      <c r="C4633" s="818">
        <v>2</v>
      </c>
      <c r="D4633" s="212" t="s">
        <v>3295</v>
      </c>
      <c r="E4633" s="212" t="s">
        <v>6</v>
      </c>
      <c r="F4633" s="538">
        <v>1.948</v>
      </c>
      <c r="G4633" s="539">
        <f>VLOOKUP(D4633,upahbahan,3,FALSE)</f>
        <v>135000</v>
      </c>
      <c r="H4633" s="539">
        <f t="shared" si="501"/>
        <v>262980</v>
      </c>
    </row>
    <row r="4634" spans="3:11" ht="25.8" customHeight="1">
      <c r="C4634" s="818">
        <v>3</v>
      </c>
      <c r="D4634" s="212" t="s">
        <v>18</v>
      </c>
      <c r="E4634" s="212" t="s">
        <v>6</v>
      </c>
      <c r="F4634" s="538">
        <v>0.19500000000000001</v>
      </c>
      <c r="G4634" s="539">
        <f>VLOOKUP(D4634,upahbahan,3,FALSE)</f>
        <v>150000</v>
      </c>
      <c r="H4634" s="539">
        <f t="shared" si="501"/>
        <v>29250</v>
      </c>
    </row>
    <row r="4635" spans="3:11" ht="25.8" customHeight="1">
      <c r="C4635" s="818">
        <v>4</v>
      </c>
      <c r="D4635" s="212" t="s">
        <v>19</v>
      </c>
      <c r="E4635" s="212" t="s">
        <v>6</v>
      </c>
      <c r="F4635" s="538">
        <v>6.5000000000000002E-2</v>
      </c>
      <c r="G4635" s="539">
        <f>VLOOKUP(D4635,upahbahan,3,FALSE)</f>
        <v>160000</v>
      </c>
      <c r="H4635" s="539">
        <f t="shared" si="501"/>
        <v>10400</v>
      </c>
    </row>
    <row r="4636" spans="3:11" ht="25.8" customHeight="1">
      <c r="C4636" s="702" t="s">
        <v>1208</v>
      </c>
      <c r="D4636" s="208"/>
      <c r="E4636" s="208"/>
      <c r="F4636" s="811"/>
      <c r="G4636" s="522"/>
      <c r="H4636" s="539">
        <f>SUM(H4632:H4635)</f>
        <v>419330</v>
      </c>
      <c r="I4636" s="819"/>
    </row>
    <row r="4637" spans="3:11" ht="25.8" customHeight="1">
      <c r="C4637" s="213" t="s">
        <v>1209</v>
      </c>
      <c r="D4637" s="212" t="s">
        <v>1210</v>
      </c>
      <c r="E4637" s="534"/>
      <c r="F4637" s="831"/>
      <c r="G4637" s="534"/>
      <c r="H4637" s="534"/>
    </row>
    <row r="4638" spans="3:11" s="852" customFormat="1" ht="25.8" customHeight="1">
      <c r="C4638" s="847" t="s">
        <v>1203</v>
      </c>
      <c r="D4638" s="848" t="s">
        <v>3461</v>
      </c>
      <c r="E4638" s="849" t="s">
        <v>3182</v>
      </c>
      <c r="F4638" s="850">
        <v>1</v>
      </c>
      <c r="G4638" s="246">
        <f>VLOOKUP(D4638,upahbahan,3,FALSE)</f>
        <v>0</v>
      </c>
      <c r="H4638" s="246">
        <f t="shared" ref="H4638" si="502">F4638*G4638</f>
        <v>0</v>
      </c>
      <c r="I4638" s="851"/>
      <c r="J4638" s="517"/>
      <c r="K4638" s="517"/>
    </row>
    <row r="4639" spans="3:11" ht="25.8" customHeight="1">
      <c r="C4639" s="702" t="s">
        <v>1214</v>
      </c>
      <c r="D4639" s="208"/>
      <c r="E4639" s="208"/>
      <c r="F4639" s="208"/>
      <c r="G4639" s="209"/>
      <c r="H4639" s="539">
        <f>SUM(H4638:H4638)</f>
        <v>0</v>
      </c>
    </row>
    <row r="4640" spans="3:11" ht="25.8" customHeight="1">
      <c r="C4640" s="213" t="s">
        <v>1215</v>
      </c>
      <c r="D4640" s="212" t="s">
        <v>1216</v>
      </c>
      <c r="E4640" s="534"/>
      <c r="F4640" s="534"/>
      <c r="G4640" s="534"/>
      <c r="H4640" s="534"/>
    </row>
    <row r="4641" spans="3:11" ht="25.8" customHeight="1">
      <c r="C4641" s="702" t="s">
        <v>1217</v>
      </c>
      <c r="D4641" s="208"/>
      <c r="E4641" s="208"/>
      <c r="F4641" s="208"/>
      <c r="G4641" s="209"/>
      <c r="H4641" s="821">
        <v>0</v>
      </c>
    </row>
    <row r="4642" spans="3:11" ht="25.8" customHeight="1">
      <c r="C4642" s="566" t="s">
        <v>1218</v>
      </c>
      <c r="D4642" s="552" t="s">
        <v>1219</v>
      </c>
      <c r="E4642" s="553"/>
      <c r="F4642" s="553"/>
      <c r="G4642" s="554"/>
      <c r="H4642" s="826">
        <f>H4641+H4639+H4636</f>
        <v>419330</v>
      </c>
      <c r="I4642" s="827"/>
    </row>
    <row r="4643" spans="3:11" ht="25.8" customHeight="1">
      <c r="C4643" s="566" t="s">
        <v>1220</v>
      </c>
      <c r="D4643" s="552" t="s">
        <v>1321</v>
      </c>
      <c r="E4643" s="553"/>
      <c r="F4643" s="554"/>
      <c r="G4643" s="555">
        <f>$M$9</f>
        <v>0.1</v>
      </c>
      <c r="H4643" s="539">
        <f>H4642*G4643</f>
        <v>41933</v>
      </c>
      <c r="I4643" s="827"/>
    </row>
    <row r="4644" spans="3:11" ht="25.8" customHeight="1">
      <c r="C4644" s="566" t="s">
        <v>1221</v>
      </c>
      <c r="D4644" s="552" t="s">
        <v>1222</v>
      </c>
      <c r="E4644" s="553"/>
      <c r="F4644" s="553"/>
      <c r="G4644" s="554"/>
      <c r="H4644" s="828">
        <f>SUM(H4642:H4643)</f>
        <v>461263</v>
      </c>
      <c r="I4644" s="827"/>
    </row>
    <row r="4645" spans="3:11" ht="25.8" customHeight="1">
      <c r="C4645" s="853" t="s">
        <v>3452</v>
      </c>
      <c r="D4645" s="530" t="s">
        <v>3477</v>
      </c>
    </row>
    <row r="4646" spans="3:11" ht="25.8" customHeight="1"/>
    <row r="4647" spans="3:11" ht="25.8" customHeight="1">
      <c r="C4647" s="513" t="s">
        <v>3462</v>
      </c>
      <c r="D4647" s="817" t="s">
        <v>3463</v>
      </c>
      <c r="E4647" s="803"/>
      <c r="F4647" s="803"/>
      <c r="G4647" s="803"/>
      <c r="H4647" s="803"/>
      <c r="I4647" s="533">
        <f>ROUNDDOWN(H4662,-2)</f>
        <v>354000</v>
      </c>
      <c r="J4647" s="536"/>
      <c r="K4647" s="824"/>
    </row>
    <row r="4648" spans="3:11" ht="25.8" customHeight="1">
      <c r="C4648" s="716" t="s">
        <v>1195</v>
      </c>
      <c r="D4648" s="716" t="s">
        <v>1196</v>
      </c>
      <c r="E4648" s="716" t="s">
        <v>1197</v>
      </c>
      <c r="F4648" s="716" t="s">
        <v>1198</v>
      </c>
      <c r="G4648" s="716" t="s">
        <v>1199</v>
      </c>
      <c r="H4648" s="716" t="s">
        <v>1200</v>
      </c>
    </row>
    <row r="4649" spans="3:11" ht="25.8" customHeight="1">
      <c r="C4649" s="213" t="s">
        <v>1201</v>
      </c>
      <c r="D4649" s="212" t="s">
        <v>1202</v>
      </c>
      <c r="E4649" s="534"/>
      <c r="F4649" s="534"/>
      <c r="G4649" s="534"/>
      <c r="H4649" s="534"/>
    </row>
    <row r="4650" spans="3:11" ht="25.8" customHeight="1">
      <c r="C4650" s="818">
        <v>1</v>
      </c>
      <c r="D4650" s="212" t="s">
        <v>5</v>
      </c>
      <c r="E4650" s="212" t="s">
        <v>6</v>
      </c>
      <c r="F4650" s="538">
        <v>0.89500000000000002</v>
      </c>
      <c r="G4650" s="539">
        <f>VLOOKUP(D4650,upahbahan,3,FALSE)</f>
        <v>100000</v>
      </c>
      <c r="H4650" s="539">
        <f t="shared" ref="H4650:H4653" si="503">F4650*G4650</f>
        <v>89500</v>
      </c>
    </row>
    <row r="4651" spans="3:11" ht="25.8" customHeight="1">
      <c r="C4651" s="818">
        <v>2</v>
      </c>
      <c r="D4651" s="212" t="s">
        <v>3295</v>
      </c>
      <c r="E4651" s="212" t="s">
        <v>6</v>
      </c>
      <c r="F4651" s="538">
        <v>1.4950000000000001</v>
      </c>
      <c r="G4651" s="539">
        <f>VLOOKUP(D4651,upahbahan,3,FALSE)</f>
        <v>135000</v>
      </c>
      <c r="H4651" s="539">
        <f t="shared" si="503"/>
        <v>201825</v>
      </c>
    </row>
    <row r="4652" spans="3:11" ht="25.8" customHeight="1">
      <c r="C4652" s="818">
        <v>3</v>
      </c>
      <c r="D4652" s="212" t="s">
        <v>18</v>
      </c>
      <c r="E4652" s="212" t="s">
        <v>6</v>
      </c>
      <c r="F4652" s="538">
        <v>0.15</v>
      </c>
      <c r="G4652" s="539">
        <f>VLOOKUP(D4652,upahbahan,3,FALSE)</f>
        <v>150000</v>
      </c>
      <c r="H4652" s="539">
        <f t="shared" si="503"/>
        <v>22500</v>
      </c>
    </row>
    <row r="4653" spans="3:11" ht="25.8" customHeight="1">
      <c r="C4653" s="818">
        <v>4</v>
      </c>
      <c r="D4653" s="212" t="s">
        <v>19</v>
      </c>
      <c r="E4653" s="212" t="s">
        <v>6</v>
      </c>
      <c r="F4653" s="538">
        <v>0.05</v>
      </c>
      <c r="G4653" s="539">
        <f>VLOOKUP(D4653,upahbahan,3,FALSE)</f>
        <v>160000</v>
      </c>
      <c r="H4653" s="539">
        <f t="shared" si="503"/>
        <v>8000</v>
      </c>
    </row>
    <row r="4654" spans="3:11" ht="25.8" customHeight="1">
      <c r="C4654" s="702" t="s">
        <v>1208</v>
      </c>
      <c r="D4654" s="208"/>
      <c r="E4654" s="208"/>
      <c r="F4654" s="811"/>
      <c r="G4654" s="522"/>
      <c r="H4654" s="539">
        <f>SUM(H4650:H4653)</f>
        <v>321825</v>
      </c>
      <c r="I4654" s="819"/>
    </row>
    <row r="4655" spans="3:11" ht="25.8" customHeight="1">
      <c r="C4655" s="213" t="s">
        <v>1209</v>
      </c>
      <c r="D4655" s="212" t="s">
        <v>1210</v>
      </c>
      <c r="E4655" s="534"/>
      <c r="F4655" s="831"/>
      <c r="G4655" s="534"/>
      <c r="H4655" s="534"/>
    </row>
    <row r="4656" spans="3:11" s="852" customFormat="1" ht="25.8" customHeight="1">
      <c r="C4656" s="847" t="s">
        <v>1203</v>
      </c>
      <c r="D4656" s="848" t="s">
        <v>3464</v>
      </c>
      <c r="E4656" s="849" t="s">
        <v>3182</v>
      </c>
      <c r="F4656" s="850">
        <v>1</v>
      </c>
      <c r="G4656" s="246">
        <f>VLOOKUP(D4656,upahbahan,3,FALSE)</f>
        <v>0</v>
      </c>
      <c r="H4656" s="246">
        <f t="shared" ref="H4656" si="504">F4656*G4656</f>
        <v>0</v>
      </c>
      <c r="I4656" s="851"/>
      <c r="J4656" s="517"/>
      <c r="K4656" s="517"/>
    </row>
    <row r="4657" spans="3:11" ht="25.8" customHeight="1">
      <c r="C4657" s="702" t="s">
        <v>1214</v>
      </c>
      <c r="D4657" s="208"/>
      <c r="E4657" s="208"/>
      <c r="F4657" s="208"/>
      <c r="G4657" s="209"/>
      <c r="H4657" s="539">
        <f>SUM(H4656:H4656)</f>
        <v>0</v>
      </c>
    </row>
    <row r="4658" spans="3:11" ht="25.8" customHeight="1">
      <c r="C4658" s="213" t="s">
        <v>1215</v>
      </c>
      <c r="D4658" s="212" t="s">
        <v>1216</v>
      </c>
      <c r="E4658" s="534"/>
      <c r="F4658" s="534"/>
      <c r="G4658" s="534"/>
      <c r="H4658" s="534"/>
    </row>
    <row r="4659" spans="3:11" ht="25.8" customHeight="1">
      <c r="C4659" s="702" t="s">
        <v>1217</v>
      </c>
      <c r="D4659" s="208"/>
      <c r="E4659" s="208"/>
      <c r="F4659" s="208"/>
      <c r="G4659" s="209"/>
      <c r="H4659" s="821">
        <v>0</v>
      </c>
    </row>
    <row r="4660" spans="3:11" ht="25.8" customHeight="1">
      <c r="C4660" s="566" t="s">
        <v>1218</v>
      </c>
      <c r="D4660" s="552" t="s">
        <v>1219</v>
      </c>
      <c r="E4660" s="553"/>
      <c r="F4660" s="553"/>
      <c r="G4660" s="554"/>
      <c r="H4660" s="826">
        <f>H4659+H4657+H4654</f>
        <v>321825</v>
      </c>
      <c r="I4660" s="827"/>
    </row>
    <row r="4661" spans="3:11" ht="25.8" customHeight="1">
      <c r="C4661" s="566" t="s">
        <v>1220</v>
      </c>
      <c r="D4661" s="552" t="s">
        <v>1321</v>
      </c>
      <c r="E4661" s="553"/>
      <c r="F4661" s="554"/>
      <c r="G4661" s="555">
        <f>$M$9</f>
        <v>0.1</v>
      </c>
      <c r="H4661" s="539">
        <f>H4660*G4661</f>
        <v>32182.5</v>
      </c>
      <c r="I4661" s="827"/>
    </row>
    <row r="4662" spans="3:11" ht="25.8" customHeight="1">
      <c r="C4662" s="566" t="s">
        <v>1221</v>
      </c>
      <c r="D4662" s="552" t="s">
        <v>1222</v>
      </c>
      <c r="E4662" s="553"/>
      <c r="F4662" s="553"/>
      <c r="G4662" s="554"/>
      <c r="H4662" s="828">
        <f>SUM(H4660:H4661)</f>
        <v>354007.5</v>
      </c>
      <c r="I4662" s="827"/>
    </row>
    <row r="4663" spans="3:11" ht="25.8" customHeight="1">
      <c r="C4663" s="853" t="s">
        <v>3452</v>
      </c>
      <c r="D4663" s="530" t="s">
        <v>3476</v>
      </c>
    </row>
    <row r="4664" spans="3:11" ht="25.8" customHeight="1"/>
    <row r="4665" spans="3:11" ht="25.8" customHeight="1">
      <c r="C4665" s="513" t="s">
        <v>3465</v>
      </c>
      <c r="D4665" s="817" t="s">
        <v>3466</v>
      </c>
      <c r="E4665" s="803"/>
      <c r="F4665" s="803"/>
      <c r="G4665" s="803"/>
      <c r="H4665" s="803"/>
      <c r="I4665" s="533">
        <f>ROUNDDOWN(H4680,-2)</f>
        <v>637300</v>
      </c>
      <c r="J4665" s="536"/>
      <c r="K4665" s="824"/>
    </row>
    <row r="4666" spans="3:11" ht="25.8" customHeight="1">
      <c r="C4666" s="716" t="s">
        <v>1195</v>
      </c>
      <c r="D4666" s="716" t="s">
        <v>1196</v>
      </c>
      <c r="E4666" s="716" t="s">
        <v>1197</v>
      </c>
      <c r="F4666" s="716" t="s">
        <v>1198</v>
      </c>
      <c r="G4666" s="716" t="s">
        <v>1199</v>
      </c>
      <c r="H4666" s="716" t="s">
        <v>1200</v>
      </c>
    </row>
    <row r="4667" spans="3:11" ht="25.8" customHeight="1">
      <c r="C4667" s="213" t="s">
        <v>1201</v>
      </c>
      <c r="D4667" s="212" t="s">
        <v>1202</v>
      </c>
      <c r="E4667" s="534"/>
      <c r="F4667" s="534"/>
      <c r="G4667" s="534"/>
      <c r="H4667" s="534"/>
    </row>
    <row r="4668" spans="3:11" ht="25.8" customHeight="1">
      <c r="C4668" s="818">
        <v>1</v>
      </c>
      <c r="D4668" s="212" t="s">
        <v>5</v>
      </c>
      <c r="E4668" s="212" t="s">
        <v>6</v>
      </c>
      <c r="F4668" s="538">
        <v>1.6120000000000001</v>
      </c>
      <c r="G4668" s="539">
        <f>VLOOKUP(D4668,upahbahan,3,FALSE)</f>
        <v>100000</v>
      </c>
      <c r="H4668" s="539">
        <f t="shared" ref="H4668:H4671" si="505">F4668*G4668</f>
        <v>161200</v>
      </c>
    </row>
    <row r="4669" spans="3:11" ht="25.8" customHeight="1">
      <c r="C4669" s="818">
        <v>2</v>
      </c>
      <c r="D4669" s="212" t="s">
        <v>3295</v>
      </c>
      <c r="E4669" s="212" t="s">
        <v>6</v>
      </c>
      <c r="F4669" s="538">
        <v>2.6920000000000002</v>
      </c>
      <c r="G4669" s="539">
        <f>VLOOKUP(D4669,upahbahan,3,FALSE)</f>
        <v>135000</v>
      </c>
      <c r="H4669" s="539">
        <f t="shared" si="505"/>
        <v>363420</v>
      </c>
    </row>
    <row r="4670" spans="3:11" ht="25.8" customHeight="1">
      <c r="C4670" s="818">
        <v>3</v>
      </c>
      <c r="D4670" s="212" t="s">
        <v>18</v>
      </c>
      <c r="E4670" s="212" t="s">
        <v>6</v>
      </c>
      <c r="F4670" s="538">
        <v>0.26900000000000002</v>
      </c>
      <c r="G4670" s="539">
        <f>VLOOKUP(D4670,upahbahan,3,FALSE)</f>
        <v>150000</v>
      </c>
      <c r="H4670" s="539">
        <f t="shared" si="505"/>
        <v>40350</v>
      </c>
    </row>
    <row r="4671" spans="3:11" ht="25.8" customHeight="1">
      <c r="C4671" s="818">
        <v>4</v>
      </c>
      <c r="D4671" s="212" t="s">
        <v>19</v>
      </c>
      <c r="E4671" s="212" t="s">
        <v>6</v>
      </c>
      <c r="F4671" s="538">
        <v>0.09</v>
      </c>
      <c r="G4671" s="539">
        <f>VLOOKUP(D4671,upahbahan,3,FALSE)</f>
        <v>160000</v>
      </c>
      <c r="H4671" s="539">
        <f t="shared" si="505"/>
        <v>14400</v>
      </c>
    </row>
    <row r="4672" spans="3:11" ht="25.8" customHeight="1">
      <c r="C4672" s="702" t="s">
        <v>1208</v>
      </c>
      <c r="D4672" s="208"/>
      <c r="E4672" s="208"/>
      <c r="F4672" s="811"/>
      <c r="G4672" s="522"/>
      <c r="H4672" s="539">
        <f>SUM(H4668:H4671)</f>
        <v>579370</v>
      </c>
      <c r="I4672" s="819"/>
    </row>
    <row r="4673" spans="3:11" ht="25.8" customHeight="1">
      <c r="C4673" s="213" t="s">
        <v>1209</v>
      </c>
      <c r="D4673" s="212" t="s">
        <v>1210</v>
      </c>
      <c r="E4673" s="534"/>
      <c r="F4673" s="831"/>
      <c r="G4673" s="534"/>
      <c r="H4673" s="534"/>
    </row>
    <row r="4674" spans="3:11" s="852" customFormat="1" ht="25.8" customHeight="1">
      <c r="C4674" s="847" t="s">
        <v>1203</v>
      </c>
      <c r="D4674" s="848" t="s">
        <v>3467</v>
      </c>
      <c r="E4674" s="849" t="s">
        <v>3182</v>
      </c>
      <c r="F4674" s="850">
        <v>1</v>
      </c>
      <c r="G4674" s="246">
        <f>VLOOKUP(D4674,upahbahan,3,FALSE)</f>
        <v>0</v>
      </c>
      <c r="H4674" s="246">
        <f t="shared" ref="H4674" si="506">F4674*G4674</f>
        <v>0</v>
      </c>
      <c r="I4674" s="851"/>
      <c r="J4674" s="517"/>
      <c r="K4674" s="517"/>
    </row>
    <row r="4675" spans="3:11" ht="25.8" customHeight="1">
      <c r="C4675" s="702" t="s">
        <v>1214</v>
      </c>
      <c r="D4675" s="208"/>
      <c r="E4675" s="208"/>
      <c r="F4675" s="208"/>
      <c r="G4675" s="209"/>
      <c r="H4675" s="539">
        <f>SUM(H4674:H4674)</f>
        <v>0</v>
      </c>
    </row>
    <row r="4676" spans="3:11" ht="25.8" customHeight="1">
      <c r="C4676" s="213" t="s">
        <v>1215</v>
      </c>
      <c r="D4676" s="212" t="s">
        <v>1216</v>
      </c>
      <c r="E4676" s="534"/>
      <c r="F4676" s="534"/>
      <c r="G4676" s="534"/>
      <c r="H4676" s="534"/>
    </row>
    <row r="4677" spans="3:11" ht="25.8" customHeight="1">
      <c r="C4677" s="702" t="s">
        <v>1217</v>
      </c>
      <c r="D4677" s="208"/>
      <c r="E4677" s="208"/>
      <c r="F4677" s="208"/>
      <c r="G4677" s="209"/>
      <c r="H4677" s="821">
        <v>0</v>
      </c>
    </row>
    <row r="4678" spans="3:11" ht="25.8" customHeight="1">
      <c r="C4678" s="566" t="s">
        <v>1218</v>
      </c>
      <c r="D4678" s="552" t="s">
        <v>1219</v>
      </c>
      <c r="E4678" s="553"/>
      <c r="F4678" s="553"/>
      <c r="G4678" s="554"/>
      <c r="H4678" s="826">
        <f>H4677+H4675+H4672</f>
        <v>579370</v>
      </c>
      <c r="I4678" s="827"/>
    </row>
    <row r="4679" spans="3:11" ht="25.8" customHeight="1">
      <c r="C4679" s="566" t="s">
        <v>1220</v>
      </c>
      <c r="D4679" s="552" t="s">
        <v>1321</v>
      </c>
      <c r="E4679" s="553"/>
      <c r="F4679" s="554"/>
      <c r="G4679" s="555">
        <f>$M$9</f>
        <v>0.1</v>
      </c>
      <c r="H4679" s="539">
        <f>H4678*G4679</f>
        <v>57937</v>
      </c>
      <c r="I4679" s="827"/>
    </row>
    <row r="4680" spans="3:11" ht="25.8" customHeight="1">
      <c r="C4680" s="566" t="s">
        <v>1221</v>
      </c>
      <c r="D4680" s="552" t="s">
        <v>1222</v>
      </c>
      <c r="E4680" s="553"/>
      <c r="F4680" s="553"/>
      <c r="G4680" s="554"/>
      <c r="H4680" s="828">
        <f>SUM(H4678:H4679)</f>
        <v>637307</v>
      </c>
      <c r="I4680" s="827"/>
    </row>
    <row r="4681" spans="3:11" ht="25.8" customHeight="1">
      <c r="C4681" s="853" t="s">
        <v>3452</v>
      </c>
      <c r="D4681" s="530" t="s">
        <v>3476</v>
      </c>
    </row>
    <row r="4682" spans="3:11" ht="25.8" customHeight="1"/>
    <row r="4683" spans="3:11" ht="25.8" customHeight="1">
      <c r="C4683" s="513" t="s">
        <v>3468</v>
      </c>
      <c r="D4683" s="817" t="s">
        <v>3469</v>
      </c>
      <c r="E4683" s="803"/>
      <c r="F4683" s="803"/>
      <c r="G4683" s="803"/>
      <c r="H4683" s="803"/>
      <c r="I4683" s="533">
        <f>ROUNDDOWN(H4698,-2)</f>
        <v>388700</v>
      </c>
      <c r="J4683" s="536"/>
      <c r="K4683" s="824"/>
    </row>
    <row r="4684" spans="3:11" ht="25.8" customHeight="1">
      <c r="C4684" s="716" t="s">
        <v>1195</v>
      </c>
      <c r="D4684" s="716" t="s">
        <v>1196</v>
      </c>
      <c r="E4684" s="716" t="s">
        <v>1197</v>
      </c>
      <c r="F4684" s="716" t="s">
        <v>1198</v>
      </c>
      <c r="G4684" s="716" t="s">
        <v>1199</v>
      </c>
      <c r="H4684" s="716" t="s">
        <v>1200</v>
      </c>
    </row>
    <row r="4685" spans="3:11" ht="25.8" customHeight="1">
      <c r="C4685" s="213" t="s">
        <v>1201</v>
      </c>
      <c r="D4685" s="212" t="s">
        <v>1202</v>
      </c>
      <c r="E4685" s="534"/>
      <c r="F4685" s="534"/>
      <c r="G4685" s="534"/>
      <c r="H4685" s="534"/>
    </row>
    <row r="4686" spans="3:11" ht="25.8" customHeight="1">
      <c r="C4686" s="818">
        <v>1</v>
      </c>
      <c r="D4686" s="212" t="s">
        <v>5</v>
      </c>
      <c r="E4686" s="212" t="s">
        <v>6</v>
      </c>
      <c r="F4686" s="538">
        <v>0.98299999999999998</v>
      </c>
      <c r="G4686" s="539">
        <f>VLOOKUP(D4686,upahbahan,3,FALSE)</f>
        <v>100000</v>
      </c>
      <c r="H4686" s="539">
        <f t="shared" ref="H4686:H4689" si="507">F4686*G4686</f>
        <v>98300</v>
      </c>
    </row>
    <row r="4687" spans="3:11" ht="25.8" customHeight="1">
      <c r="C4687" s="818">
        <v>2</v>
      </c>
      <c r="D4687" s="212" t="s">
        <v>3295</v>
      </c>
      <c r="E4687" s="212" t="s">
        <v>6</v>
      </c>
      <c r="F4687" s="538">
        <v>1.6419999999999999</v>
      </c>
      <c r="G4687" s="539">
        <f>VLOOKUP(D4687,upahbahan,3,FALSE)</f>
        <v>135000</v>
      </c>
      <c r="H4687" s="539">
        <f t="shared" si="507"/>
        <v>221670</v>
      </c>
    </row>
    <row r="4688" spans="3:11" ht="25.8" customHeight="1">
      <c r="C4688" s="818">
        <v>3</v>
      </c>
      <c r="D4688" s="212" t="s">
        <v>18</v>
      </c>
      <c r="E4688" s="212" t="s">
        <v>6</v>
      </c>
      <c r="F4688" s="538">
        <v>0.16400000000000001</v>
      </c>
      <c r="G4688" s="539">
        <f>VLOOKUP(D4688,upahbahan,3,FALSE)</f>
        <v>150000</v>
      </c>
      <c r="H4688" s="539">
        <f t="shared" si="507"/>
        <v>24600</v>
      </c>
    </row>
    <row r="4689" spans="3:11" ht="25.8" customHeight="1">
      <c r="C4689" s="818">
        <v>4</v>
      </c>
      <c r="D4689" s="212" t="s">
        <v>19</v>
      </c>
      <c r="E4689" s="212" t="s">
        <v>6</v>
      </c>
      <c r="F4689" s="538">
        <v>5.5E-2</v>
      </c>
      <c r="G4689" s="539">
        <f>VLOOKUP(D4689,upahbahan,3,FALSE)</f>
        <v>160000</v>
      </c>
      <c r="H4689" s="539">
        <f t="shared" si="507"/>
        <v>8800</v>
      </c>
    </row>
    <row r="4690" spans="3:11" ht="25.8" customHeight="1">
      <c r="C4690" s="702" t="s">
        <v>1208</v>
      </c>
      <c r="D4690" s="208"/>
      <c r="E4690" s="208"/>
      <c r="F4690" s="811"/>
      <c r="G4690" s="522"/>
      <c r="H4690" s="539">
        <f>SUM(H4686:H4689)</f>
        <v>353370</v>
      </c>
      <c r="I4690" s="819"/>
    </row>
    <row r="4691" spans="3:11" ht="25.8" customHeight="1">
      <c r="C4691" s="213" t="s">
        <v>1209</v>
      </c>
      <c r="D4691" s="212" t="s">
        <v>1210</v>
      </c>
      <c r="E4691" s="534"/>
      <c r="F4691" s="831"/>
      <c r="G4691" s="534"/>
      <c r="H4691" s="534"/>
    </row>
    <row r="4692" spans="3:11" s="852" customFormat="1" ht="25.8" customHeight="1">
      <c r="C4692" s="847" t="s">
        <v>1203</v>
      </c>
      <c r="D4692" s="848" t="s">
        <v>5312</v>
      </c>
      <c r="E4692" s="849" t="s">
        <v>3182</v>
      </c>
      <c r="F4692" s="850">
        <v>1</v>
      </c>
      <c r="G4692" s="246">
        <f>VLOOKUP(D4692,upahbahan,3,FALSE)</f>
        <v>0</v>
      </c>
      <c r="H4692" s="246">
        <f t="shared" ref="H4692" si="508">F4692*G4692</f>
        <v>0</v>
      </c>
      <c r="I4692" s="851"/>
      <c r="J4692" s="517"/>
      <c r="K4692" s="517"/>
    </row>
    <row r="4693" spans="3:11" ht="25.8" customHeight="1">
      <c r="C4693" s="702" t="s">
        <v>1214</v>
      </c>
      <c r="D4693" s="208"/>
      <c r="E4693" s="208"/>
      <c r="F4693" s="208"/>
      <c r="G4693" s="209"/>
      <c r="H4693" s="539">
        <f>SUM(H4692:H4692)</f>
        <v>0</v>
      </c>
    </row>
    <row r="4694" spans="3:11" ht="25.8" customHeight="1">
      <c r="C4694" s="213" t="s">
        <v>1215</v>
      </c>
      <c r="D4694" s="212" t="s">
        <v>1216</v>
      </c>
      <c r="E4694" s="534"/>
      <c r="F4694" s="534"/>
      <c r="G4694" s="534"/>
      <c r="H4694" s="534"/>
    </row>
    <row r="4695" spans="3:11" ht="25.8" customHeight="1">
      <c r="C4695" s="702" t="s">
        <v>1217</v>
      </c>
      <c r="D4695" s="208"/>
      <c r="E4695" s="208"/>
      <c r="F4695" s="208"/>
      <c r="G4695" s="209"/>
      <c r="H4695" s="821">
        <v>0</v>
      </c>
    </row>
    <row r="4696" spans="3:11" ht="25.8" customHeight="1">
      <c r="C4696" s="566" t="s">
        <v>1218</v>
      </c>
      <c r="D4696" s="552" t="s">
        <v>1219</v>
      </c>
      <c r="E4696" s="553"/>
      <c r="F4696" s="553"/>
      <c r="G4696" s="554"/>
      <c r="H4696" s="826">
        <f>H4695+H4693+H4690</f>
        <v>353370</v>
      </c>
      <c r="I4696" s="827"/>
    </row>
    <row r="4697" spans="3:11" ht="25.8" customHeight="1">
      <c r="C4697" s="566" t="s">
        <v>1220</v>
      </c>
      <c r="D4697" s="552" t="s">
        <v>1321</v>
      </c>
      <c r="E4697" s="553"/>
      <c r="F4697" s="554"/>
      <c r="G4697" s="555">
        <f>$M$9</f>
        <v>0.1</v>
      </c>
      <c r="H4697" s="539">
        <f>H4696*G4697</f>
        <v>35337</v>
      </c>
      <c r="I4697" s="827"/>
    </row>
    <row r="4698" spans="3:11" ht="25.8" customHeight="1">
      <c r="C4698" s="566" t="s">
        <v>1221</v>
      </c>
      <c r="D4698" s="552" t="s">
        <v>1222</v>
      </c>
      <c r="E4698" s="553"/>
      <c r="F4698" s="553"/>
      <c r="G4698" s="554"/>
      <c r="H4698" s="828">
        <f>SUM(H4696:H4697)</f>
        <v>388707</v>
      </c>
      <c r="I4698" s="827"/>
    </row>
    <row r="4699" spans="3:11" ht="25.8" customHeight="1">
      <c r="C4699" s="853" t="s">
        <v>3452</v>
      </c>
      <c r="D4699" s="530" t="s">
        <v>3476</v>
      </c>
    </row>
    <row r="4700" spans="3:11" ht="25.8" customHeight="1"/>
    <row r="4701" spans="3:11" ht="25.8" customHeight="1">
      <c r="C4701" s="513" t="s">
        <v>3470</v>
      </c>
      <c r="D4701" s="817" t="s">
        <v>3471</v>
      </c>
      <c r="E4701" s="803"/>
      <c r="F4701" s="803"/>
      <c r="G4701" s="803"/>
      <c r="H4701" s="803"/>
      <c r="I4701" s="533">
        <f>ROUNDDOWN(H4716,-2)</f>
        <v>486800</v>
      </c>
      <c r="J4701" s="536"/>
      <c r="K4701" s="824"/>
    </row>
    <row r="4702" spans="3:11" ht="25.8" customHeight="1">
      <c r="C4702" s="716" t="s">
        <v>1195</v>
      </c>
      <c r="D4702" s="716" t="s">
        <v>1196</v>
      </c>
      <c r="E4702" s="716" t="s">
        <v>1197</v>
      </c>
      <c r="F4702" s="716" t="s">
        <v>1198</v>
      </c>
      <c r="G4702" s="716" t="s">
        <v>1199</v>
      </c>
      <c r="H4702" s="716" t="s">
        <v>1200</v>
      </c>
    </row>
    <row r="4703" spans="3:11" ht="25.8" customHeight="1">
      <c r="C4703" s="213" t="s">
        <v>1201</v>
      </c>
      <c r="D4703" s="212" t="s">
        <v>1202</v>
      </c>
      <c r="E4703" s="534"/>
      <c r="F4703" s="534"/>
      <c r="G4703" s="534"/>
      <c r="H4703" s="534"/>
    </row>
    <row r="4704" spans="3:11" ht="25.8" customHeight="1">
      <c r="C4704" s="818">
        <v>1</v>
      </c>
      <c r="D4704" s="212" t="s">
        <v>5</v>
      </c>
      <c r="E4704" s="212" t="s">
        <v>6</v>
      </c>
      <c r="F4704" s="538">
        <v>1.2310000000000001</v>
      </c>
      <c r="G4704" s="539">
        <f>VLOOKUP(D4704,upahbahan,3,FALSE)</f>
        <v>100000</v>
      </c>
      <c r="H4704" s="539">
        <f t="shared" ref="H4704:H4707" si="509">F4704*G4704</f>
        <v>123100.00000000001</v>
      </c>
    </row>
    <row r="4705" spans="3:11" ht="25.8" customHeight="1">
      <c r="C4705" s="818">
        <v>2</v>
      </c>
      <c r="D4705" s="212" t="s">
        <v>3295</v>
      </c>
      <c r="E4705" s="212" t="s">
        <v>6</v>
      </c>
      <c r="F4705" s="538">
        <v>2.056</v>
      </c>
      <c r="G4705" s="539">
        <f>VLOOKUP(D4705,upahbahan,3,FALSE)</f>
        <v>135000</v>
      </c>
      <c r="H4705" s="539">
        <f t="shared" si="509"/>
        <v>277560</v>
      </c>
    </row>
    <row r="4706" spans="3:11" ht="25.8" customHeight="1">
      <c r="C4706" s="818">
        <v>3</v>
      </c>
      <c r="D4706" s="212" t="s">
        <v>18</v>
      </c>
      <c r="E4706" s="212" t="s">
        <v>6</v>
      </c>
      <c r="F4706" s="538">
        <v>0.20599999999999999</v>
      </c>
      <c r="G4706" s="539">
        <f>VLOOKUP(D4706,upahbahan,3,FALSE)</f>
        <v>150000</v>
      </c>
      <c r="H4706" s="539">
        <f t="shared" si="509"/>
        <v>30900</v>
      </c>
    </row>
    <row r="4707" spans="3:11" ht="25.8" customHeight="1">
      <c r="C4707" s="818">
        <v>4</v>
      </c>
      <c r="D4707" s="212" t="s">
        <v>19</v>
      </c>
      <c r="E4707" s="212" t="s">
        <v>6</v>
      </c>
      <c r="F4707" s="538">
        <v>6.9000000000000006E-2</v>
      </c>
      <c r="G4707" s="539">
        <f>VLOOKUP(D4707,upahbahan,3,FALSE)</f>
        <v>160000</v>
      </c>
      <c r="H4707" s="539">
        <f t="shared" si="509"/>
        <v>11040.000000000002</v>
      </c>
    </row>
    <row r="4708" spans="3:11" ht="25.8" customHeight="1">
      <c r="C4708" s="702" t="s">
        <v>1208</v>
      </c>
      <c r="D4708" s="208"/>
      <c r="E4708" s="208"/>
      <c r="F4708" s="811"/>
      <c r="G4708" s="522"/>
      <c r="H4708" s="539">
        <f>SUM(H4704:H4707)</f>
        <v>442600</v>
      </c>
      <c r="I4708" s="819"/>
    </row>
    <row r="4709" spans="3:11" ht="25.8" customHeight="1">
      <c r="C4709" s="213" t="s">
        <v>1209</v>
      </c>
      <c r="D4709" s="212" t="s">
        <v>1210</v>
      </c>
      <c r="E4709" s="534"/>
      <c r="F4709" s="831"/>
      <c r="G4709" s="534"/>
      <c r="H4709" s="534"/>
    </row>
    <row r="4710" spans="3:11" s="852" customFormat="1" ht="25.8" customHeight="1">
      <c r="C4710" s="847" t="s">
        <v>1203</v>
      </c>
      <c r="D4710" s="848" t="s">
        <v>3472</v>
      </c>
      <c r="E4710" s="849" t="s">
        <v>3182</v>
      </c>
      <c r="F4710" s="850">
        <v>1</v>
      </c>
      <c r="G4710" s="246">
        <f>VLOOKUP(D4710,upahbahan,3,FALSE)</f>
        <v>0</v>
      </c>
      <c r="H4710" s="246">
        <f t="shared" ref="H4710" si="510">F4710*G4710</f>
        <v>0</v>
      </c>
      <c r="I4710" s="851"/>
      <c r="J4710" s="517"/>
      <c r="K4710" s="517"/>
    </row>
    <row r="4711" spans="3:11" ht="25.8" customHeight="1">
      <c r="C4711" s="702" t="s">
        <v>1214</v>
      </c>
      <c r="D4711" s="208"/>
      <c r="E4711" s="208"/>
      <c r="F4711" s="208"/>
      <c r="G4711" s="209"/>
      <c r="H4711" s="539">
        <f>SUM(H4710:H4710)</f>
        <v>0</v>
      </c>
    </row>
    <row r="4712" spans="3:11" ht="25.8" customHeight="1">
      <c r="C4712" s="213" t="s">
        <v>1215</v>
      </c>
      <c r="D4712" s="212" t="s">
        <v>1216</v>
      </c>
      <c r="E4712" s="534"/>
      <c r="F4712" s="534"/>
      <c r="G4712" s="534"/>
      <c r="H4712" s="534"/>
    </row>
    <row r="4713" spans="3:11" ht="25.8" customHeight="1">
      <c r="C4713" s="702" t="s">
        <v>1217</v>
      </c>
      <c r="D4713" s="208"/>
      <c r="E4713" s="208"/>
      <c r="F4713" s="208"/>
      <c r="G4713" s="209"/>
      <c r="H4713" s="821">
        <v>0</v>
      </c>
    </row>
    <row r="4714" spans="3:11" ht="25.8" customHeight="1">
      <c r="C4714" s="566" t="s">
        <v>1218</v>
      </c>
      <c r="D4714" s="552" t="s">
        <v>1219</v>
      </c>
      <c r="E4714" s="553"/>
      <c r="F4714" s="553"/>
      <c r="G4714" s="554"/>
      <c r="H4714" s="826">
        <f>H4713+H4711+H4708</f>
        <v>442600</v>
      </c>
      <c r="I4714" s="827"/>
    </row>
    <row r="4715" spans="3:11" ht="25.8" customHeight="1">
      <c r="C4715" s="566" t="s">
        <v>1220</v>
      </c>
      <c r="D4715" s="552" t="s">
        <v>1321</v>
      </c>
      <c r="E4715" s="553"/>
      <c r="F4715" s="554"/>
      <c r="G4715" s="555">
        <f>$M$9</f>
        <v>0.1</v>
      </c>
      <c r="H4715" s="539">
        <f>H4714*G4715</f>
        <v>44260</v>
      </c>
      <c r="I4715" s="827"/>
    </row>
    <row r="4716" spans="3:11" ht="25.8" customHeight="1">
      <c r="C4716" s="566" t="s">
        <v>1221</v>
      </c>
      <c r="D4716" s="552" t="s">
        <v>1222</v>
      </c>
      <c r="E4716" s="553"/>
      <c r="F4716" s="553"/>
      <c r="G4716" s="554"/>
      <c r="H4716" s="828">
        <f>SUM(H4714:H4715)</f>
        <v>486860</v>
      </c>
      <c r="I4716" s="827"/>
    </row>
    <row r="4717" spans="3:11" ht="25.8" customHeight="1">
      <c r="C4717" s="853" t="s">
        <v>3452</v>
      </c>
      <c r="D4717" s="530" t="s">
        <v>3476</v>
      </c>
    </row>
    <row r="4718" spans="3:11" ht="25.8" customHeight="1"/>
    <row r="4719" spans="3:11" ht="25.8" customHeight="1">
      <c r="C4719" s="513" t="s">
        <v>3473</v>
      </c>
      <c r="D4719" s="817" t="s">
        <v>3474</v>
      </c>
      <c r="E4719" s="803"/>
      <c r="F4719" s="803"/>
      <c r="G4719" s="803"/>
      <c r="H4719" s="803"/>
      <c r="I4719" s="533">
        <f>ROUNDDOWN(H4734,-2)</f>
        <v>311600</v>
      </c>
      <c r="J4719" s="536"/>
      <c r="K4719" s="824"/>
    </row>
    <row r="4720" spans="3:11" ht="25.8" customHeight="1">
      <c r="C4720" s="716" t="s">
        <v>1195</v>
      </c>
      <c r="D4720" s="716" t="s">
        <v>1196</v>
      </c>
      <c r="E4720" s="716" t="s">
        <v>1197</v>
      </c>
      <c r="F4720" s="716" t="s">
        <v>1198</v>
      </c>
      <c r="G4720" s="716" t="s">
        <v>1199</v>
      </c>
      <c r="H4720" s="716" t="s">
        <v>1200</v>
      </c>
    </row>
    <row r="4721" spans="3:11" ht="25.8" customHeight="1">
      <c r="C4721" s="213" t="s">
        <v>1201</v>
      </c>
      <c r="D4721" s="212" t="s">
        <v>1202</v>
      </c>
      <c r="E4721" s="534"/>
      <c r="F4721" s="534"/>
      <c r="G4721" s="534"/>
      <c r="H4721" s="534"/>
    </row>
    <row r="4722" spans="3:11" ht="25.8" customHeight="1">
      <c r="C4722" s="818">
        <v>1</v>
      </c>
      <c r="D4722" s="212" t="s">
        <v>5</v>
      </c>
      <c r="E4722" s="212" t="s">
        <v>6</v>
      </c>
      <c r="F4722" s="538">
        <v>0.78800000000000003</v>
      </c>
      <c r="G4722" s="539">
        <f>VLOOKUP(D4722,upahbahan,3,FALSE)</f>
        <v>100000</v>
      </c>
      <c r="H4722" s="539">
        <f t="shared" ref="H4722:H4725" si="511">F4722*G4722</f>
        <v>78800</v>
      </c>
    </row>
    <row r="4723" spans="3:11" ht="25.8" customHeight="1">
      <c r="C4723" s="818">
        <v>2</v>
      </c>
      <c r="D4723" s="212" t="s">
        <v>3295</v>
      </c>
      <c r="E4723" s="212" t="s">
        <v>6</v>
      </c>
      <c r="F4723" s="538">
        <v>1.3160000000000001</v>
      </c>
      <c r="G4723" s="539">
        <f>VLOOKUP(D4723,upahbahan,3,FALSE)</f>
        <v>135000</v>
      </c>
      <c r="H4723" s="539">
        <f t="shared" si="511"/>
        <v>177660</v>
      </c>
    </row>
    <row r="4724" spans="3:11" ht="25.8" customHeight="1">
      <c r="C4724" s="818">
        <v>3</v>
      </c>
      <c r="D4724" s="212" t="s">
        <v>18</v>
      </c>
      <c r="E4724" s="212" t="s">
        <v>6</v>
      </c>
      <c r="F4724" s="538">
        <v>0.13200000000000001</v>
      </c>
      <c r="G4724" s="539">
        <f>VLOOKUP(D4724,upahbahan,3,FALSE)</f>
        <v>150000</v>
      </c>
      <c r="H4724" s="539">
        <f t="shared" si="511"/>
        <v>19800</v>
      </c>
    </row>
    <row r="4725" spans="3:11" ht="25.8" customHeight="1">
      <c r="C4725" s="818">
        <v>4</v>
      </c>
      <c r="D4725" s="212" t="s">
        <v>19</v>
      </c>
      <c r="E4725" s="212" t="s">
        <v>6</v>
      </c>
      <c r="F4725" s="538">
        <v>4.3999999999999997E-2</v>
      </c>
      <c r="G4725" s="539">
        <f>VLOOKUP(D4725,upahbahan,3,FALSE)</f>
        <v>160000</v>
      </c>
      <c r="H4725" s="539">
        <f t="shared" si="511"/>
        <v>7040</v>
      </c>
    </row>
    <row r="4726" spans="3:11" ht="25.8" customHeight="1">
      <c r="C4726" s="702" t="s">
        <v>1208</v>
      </c>
      <c r="D4726" s="208"/>
      <c r="E4726" s="208"/>
      <c r="F4726" s="811"/>
      <c r="G4726" s="522"/>
      <c r="H4726" s="539">
        <f>SUM(H4722:H4725)</f>
        <v>283300</v>
      </c>
      <c r="I4726" s="819"/>
    </row>
    <row r="4727" spans="3:11" ht="25.8" customHeight="1">
      <c r="C4727" s="213" t="s">
        <v>1209</v>
      </c>
      <c r="D4727" s="212" t="s">
        <v>1210</v>
      </c>
      <c r="E4727" s="534"/>
      <c r="F4727" s="831"/>
      <c r="G4727" s="534"/>
      <c r="H4727" s="534"/>
    </row>
    <row r="4728" spans="3:11" s="852" customFormat="1" ht="25.8" customHeight="1">
      <c r="C4728" s="847" t="s">
        <v>1203</v>
      </c>
      <c r="D4728" s="848" t="s">
        <v>5313</v>
      </c>
      <c r="E4728" s="849" t="s">
        <v>3182</v>
      </c>
      <c r="F4728" s="850">
        <v>1</v>
      </c>
      <c r="G4728" s="246">
        <f>VLOOKUP(D4728,upahbahan,3,FALSE)</f>
        <v>0</v>
      </c>
      <c r="H4728" s="246">
        <f t="shared" ref="H4728" si="512">F4728*G4728</f>
        <v>0</v>
      </c>
      <c r="I4728" s="851"/>
      <c r="J4728" s="517"/>
      <c r="K4728" s="517"/>
    </row>
    <row r="4729" spans="3:11" ht="25.8" customHeight="1">
      <c r="C4729" s="702" t="s">
        <v>1214</v>
      </c>
      <c r="D4729" s="208"/>
      <c r="E4729" s="208"/>
      <c r="F4729" s="208"/>
      <c r="G4729" s="209"/>
      <c r="H4729" s="539">
        <f>SUM(H4728:H4728)</f>
        <v>0</v>
      </c>
    </row>
    <row r="4730" spans="3:11" ht="25.8" customHeight="1">
      <c r="C4730" s="213" t="s">
        <v>1215</v>
      </c>
      <c r="D4730" s="212" t="s">
        <v>1216</v>
      </c>
      <c r="E4730" s="534"/>
      <c r="F4730" s="534"/>
      <c r="G4730" s="534"/>
      <c r="H4730" s="534"/>
    </row>
    <row r="4731" spans="3:11" ht="25.8" customHeight="1">
      <c r="C4731" s="702" t="s">
        <v>1217</v>
      </c>
      <c r="D4731" s="208"/>
      <c r="E4731" s="208"/>
      <c r="F4731" s="208"/>
      <c r="G4731" s="209"/>
      <c r="H4731" s="821">
        <v>0</v>
      </c>
    </row>
    <row r="4732" spans="3:11" ht="25.8" customHeight="1">
      <c r="C4732" s="566" t="s">
        <v>1218</v>
      </c>
      <c r="D4732" s="552" t="s">
        <v>1219</v>
      </c>
      <c r="E4732" s="553"/>
      <c r="F4732" s="553"/>
      <c r="G4732" s="554"/>
      <c r="H4732" s="826">
        <f>H4731+H4729+H4726</f>
        <v>283300</v>
      </c>
      <c r="I4732" s="827"/>
    </row>
    <row r="4733" spans="3:11" ht="25.8" customHeight="1">
      <c r="C4733" s="566" t="s">
        <v>1220</v>
      </c>
      <c r="D4733" s="552" t="s">
        <v>1321</v>
      </c>
      <c r="E4733" s="553"/>
      <c r="F4733" s="554"/>
      <c r="G4733" s="555">
        <f>$M$9</f>
        <v>0.1</v>
      </c>
      <c r="H4733" s="539">
        <f>H4732*G4733</f>
        <v>28330</v>
      </c>
      <c r="I4733" s="827"/>
    </row>
    <row r="4734" spans="3:11" ht="25.8" customHeight="1">
      <c r="C4734" s="566" t="s">
        <v>1221</v>
      </c>
      <c r="D4734" s="552" t="s">
        <v>1222</v>
      </c>
      <c r="E4734" s="553"/>
      <c r="F4734" s="553"/>
      <c r="G4734" s="554"/>
      <c r="H4734" s="828">
        <f>SUM(H4732:H4733)</f>
        <v>311630</v>
      </c>
      <c r="I4734" s="827"/>
    </row>
    <row r="4735" spans="3:11" ht="25.8" customHeight="1">
      <c r="C4735" s="853" t="s">
        <v>3452</v>
      </c>
      <c r="D4735" s="530" t="s">
        <v>3475</v>
      </c>
    </row>
    <row r="4736" spans="3:11" ht="25.8" customHeight="1"/>
    <row r="4737" spans="3:11" ht="25.8" customHeight="1">
      <c r="C4737" s="513" t="s">
        <v>3478</v>
      </c>
      <c r="D4737" s="817" t="s">
        <v>3479</v>
      </c>
      <c r="E4737" s="803"/>
      <c r="F4737" s="803"/>
      <c r="G4737" s="803"/>
      <c r="H4737" s="803"/>
      <c r="I4737" s="533">
        <f>ROUNDDOWN(H4752,-2)</f>
        <v>41300</v>
      </c>
      <c r="J4737" s="536"/>
      <c r="K4737" s="824"/>
    </row>
    <row r="4738" spans="3:11" ht="25.8" customHeight="1">
      <c r="C4738" s="716" t="s">
        <v>1195</v>
      </c>
      <c r="D4738" s="716" t="s">
        <v>1196</v>
      </c>
      <c r="E4738" s="716" t="s">
        <v>1197</v>
      </c>
      <c r="F4738" s="716" t="s">
        <v>1198</v>
      </c>
      <c r="G4738" s="716" t="s">
        <v>1199</v>
      </c>
      <c r="H4738" s="716" t="s">
        <v>1200</v>
      </c>
    </row>
    <row r="4739" spans="3:11" ht="25.8" customHeight="1">
      <c r="C4739" s="213" t="s">
        <v>1201</v>
      </c>
      <c r="D4739" s="212" t="s">
        <v>1202</v>
      </c>
      <c r="E4739" s="534"/>
      <c r="F4739" s="534"/>
      <c r="G4739" s="534"/>
      <c r="H4739" s="534"/>
    </row>
    <row r="4740" spans="3:11" ht="25.8" customHeight="1">
      <c r="C4740" s="818">
        <v>1</v>
      </c>
      <c r="D4740" s="212" t="s">
        <v>5</v>
      </c>
      <c r="E4740" s="212" t="s">
        <v>6</v>
      </c>
      <c r="F4740" s="538">
        <v>0.105</v>
      </c>
      <c r="G4740" s="539">
        <f>VLOOKUP(D4740,upahbahan,3,FALSE)</f>
        <v>100000</v>
      </c>
      <c r="H4740" s="539">
        <f t="shared" ref="H4740:H4743" si="513">F4740*G4740</f>
        <v>10500</v>
      </c>
    </row>
    <row r="4741" spans="3:11" ht="25.8" customHeight="1">
      <c r="C4741" s="818">
        <v>2</v>
      </c>
      <c r="D4741" s="212" t="s">
        <v>3295</v>
      </c>
      <c r="E4741" s="212" t="s">
        <v>6</v>
      </c>
      <c r="F4741" s="538">
        <v>0.17499999999999999</v>
      </c>
      <c r="G4741" s="539">
        <f>VLOOKUP(D4741,upahbahan,3,FALSE)</f>
        <v>135000</v>
      </c>
      <c r="H4741" s="539">
        <f t="shared" si="513"/>
        <v>23625</v>
      </c>
    </row>
    <row r="4742" spans="3:11" ht="25.8" customHeight="1">
      <c r="C4742" s="818">
        <v>3</v>
      </c>
      <c r="D4742" s="212" t="s">
        <v>18</v>
      </c>
      <c r="E4742" s="212" t="s">
        <v>6</v>
      </c>
      <c r="F4742" s="538">
        <v>1.7000000000000001E-2</v>
      </c>
      <c r="G4742" s="539">
        <f>VLOOKUP(D4742,upahbahan,3,FALSE)</f>
        <v>150000</v>
      </c>
      <c r="H4742" s="539">
        <f t="shared" si="513"/>
        <v>2550</v>
      </c>
    </row>
    <row r="4743" spans="3:11" ht="25.8" customHeight="1">
      <c r="C4743" s="818">
        <v>4</v>
      </c>
      <c r="D4743" s="212" t="s">
        <v>19</v>
      </c>
      <c r="E4743" s="212" t="s">
        <v>6</v>
      </c>
      <c r="F4743" s="538">
        <v>6.0000000000000001E-3</v>
      </c>
      <c r="G4743" s="539">
        <f>VLOOKUP(D4743,upahbahan,3,FALSE)</f>
        <v>160000</v>
      </c>
      <c r="H4743" s="539">
        <f t="shared" si="513"/>
        <v>960</v>
      </c>
    </row>
    <row r="4744" spans="3:11" ht="25.8" customHeight="1">
      <c r="C4744" s="702" t="s">
        <v>1208</v>
      </c>
      <c r="D4744" s="208"/>
      <c r="E4744" s="208"/>
      <c r="F4744" s="811"/>
      <c r="G4744" s="522"/>
      <c r="H4744" s="539">
        <f>SUM(H4740:H4743)</f>
        <v>37635</v>
      </c>
      <c r="I4744" s="819"/>
    </row>
    <row r="4745" spans="3:11" ht="25.8" customHeight="1">
      <c r="C4745" s="213" t="s">
        <v>1209</v>
      </c>
      <c r="D4745" s="212" t="s">
        <v>1210</v>
      </c>
      <c r="E4745" s="534"/>
      <c r="F4745" s="831"/>
      <c r="G4745" s="534"/>
      <c r="H4745" s="534"/>
    </row>
    <row r="4746" spans="3:11" s="852" customFormat="1" ht="25.8" customHeight="1">
      <c r="C4746" s="847" t="s">
        <v>1203</v>
      </c>
      <c r="D4746" s="848" t="s">
        <v>3480</v>
      </c>
      <c r="E4746" s="849" t="s">
        <v>3182</v>
      </c>
      <c r="F4746" s="850">
        <v>1.03</v>
      </c>
      <c r="G4746" s="246">
        <f>VLOOKUP(D4746,upahbahan,3,FALSE)</f>
        <v>0</v>
      </c>
      <c r="H4746" s="246">
        <f t="shared" ref="H4746" si="514">F4746*G4746</f>
        <v>0</v>
      </c>
      <c r="I4746" s="851"/>
      <c r="J4746" s="517"/>
      <c r="K4746" s="517"/>
    </row>
    <row r="4747" spans="3:11" ht="25.8" customHeight="1">
      <c r="C4747" s="702" t="s">
        <v>1214</v>
      </c>
      <c r="D4747" s="208"/>
      <c r="E4747" s="208"/>
      <c r="F4747" s="208"/>
      <c r="G4747" s="209"/>
      <c r="H4747" s="539">
        <f>SUM(H4746:H4746)</f>
        <v>0</v>
      </c>
    </row>
    <row r="4748" spans="3:11" ht="25.8" customHeight="1">
      <c r="C4748" s="213" t="s">
        <v>1215</v>
      </c>
      <c r="D4748" s="212" t="s">
        <v>1216</v>
      </c>
      <c r="E4748" s="534"/>
      <c r="F4748" s="534"/>
      <c r="G4748" s="534"/>
      <c r="H4748" s="534"/>
    </row>
    <row r="4749" spans="3:11" ht="25.8" customHeight="1">
      <c r="C4749" s="702" t="s">
        <v>1217</v>
      </c>
      <c r="D4749" s="208"/>
      <c r="E4749" s="208"/>
      <c r="F4749" s="208"/>
      <c r="G4749" s="209"/>
      <c r="H4749" s="821">
        <v>0</v>
      </c>
    </row>
    <row r="4750" spans="3:11" ht="25.8" customHeight="1">
      <c r="C4750" s="566" t="s">
        <v>1218</v>
      </c>
      <c r="D4750" s="552" t="s">
        <v>1219</v>
      </c>
      <c r="E4750" s="553"/>
      <c r="F4750" s="553"/>
      <c r="G4750" s="554"/>
      <c r="H4750" s="826">
        <f>H4749+H4747+H4744</f>
        <v>37635</v>
      </c>
      <c r="I4750" s="827"/>
    </row>
    <row r="4751" spans="3:11" ht="25.8" customHeight="1">
      <c r="C4751" s="566" t="s">
        <v>1220</v>
      </c>
      <c r="D4751" s="552" t="s">
        <v>1321</v>
      </c>
      <c r="E4751" s="553"/>
      <c r="F4751" s="554"/>
      <c r="G4751" s="555">
        <f>$M$9</f>
        <v>0.1</v>
      </c>
      <c r="H4751" s="539">
        <f>H4750*G4751</f>
        <v>3763.5</v>
      </c>
      <c r="I4751" s="827"/>
    </row>
    <row r="4752" spans="3:11" ht="25.8" customHeight="1">
      <c r="C4752" s="566" t="s">
        <v>1221</v>
      </c>
      <c r="D4752" s="552" t="s">
        <v>1222</v>
      </c>
      <c r="E4752" s="553"/>
      <c r="F4752" s="553"/>
      <c r="G4752" s="554"/>
      <c r="H4752" s="828">
        <f>SUM(H4750:H4751)</f>
        <v>41398.5</v>
      </c>
      <c r="I4752" s="827"/>
    </row>
    <row r="4753" spans="3:11" ht="25.8" customHeight="1">
      <c r="C4753" s="853" t="s">
        <v>3452</v>
      </c>
      <c r="D4753" s="530" t="s">
        <v>3475</v>
      </c>
    </row>
    <row r="4754" spans="3:11" ht="25.8" customHeight="1"/>
    <row r="4755" spans="3:11" ht="25.8" customHeight="1">
      <c r="C4755" s="571" t="s">
        <v>3481</v>
      </c>
      <c r="D4755" s="571" t="s">
        <v>3482</v>
      </c>
    </row>
    <row r="4756" spans="3:11" ht="25.8" customHeight="1">
      <c r="C4756" s="513" t="s">
        <v>3483</v>
      </c>
      <c r="D4756" s="817" t="s">
        <v>3484</v>
      </c>
      <c r="E4756" s="803"/>
      <c r="F4756" s="803"/>
      <c r="G4756" s="803"/>
      <c r="H4756" s="803"/>
      <c r="I4756" s="533">
        <f>ROUNDDOWN(H4772,-2)</f>
        <v>1114000</v>
      </c>
      <c r="J4756" s="536"/>
      <c r="K4756" s="824"/>
    </row>
    <row r="4757" spans="3:11" ht="25.8" customHeight="1">
      <c r="C4757" s="716" t="s">
        <v>1195</v>
      </c>
      <c r="D4757" s="716" t="s">
        <v>1196</v>
      </c>
      <c r="E4757" s="716" t="s">
        <v>1197</v>
      </c>
      <c r="F4757" s="716" t="s">
        <v>1198</v>
      </c>
      <c r="G4757" s="716" t="s">
        <v>1199</v>
      </c>
      <c r="H4757" s="716" t="s">
        <v>1200</v>
      </c>
    </row>
    <row r="4758" spans="3:11" ht="25.8" customHeight="1">
      <c r="C4758" s="213" t="s">
        <v>1201</v>
      </c>
      <c r="D4758" s="212" t="s">
        <v>1202</v>
      </c>
      <c r="E4758" s="534"/>
      <c r="F4758" s="534"/>
      <c r="G4758" s="534"/>
      <c r="H4758" s="534"/>
    </row>
    <row r="4759" spans="3:11" ht="25.8" customHeight="1">
      <c r="C4759" s="818">
        <v>1</v>
      </c>
      <c r="D4759" s="212" t="s">
        <v>5</v>
      </c>
      <c r="E4759" s="212" t="s">
        <v>6</v>
      </c>
      <c r="F4759" s="538">
        <v>5.25</v>
      </c>
      <c r="G4759" s="539">
        <f>VLOOKUP(D4759,upahbahan,3,FALSE)</f>
        <v>100000</v>
      </c>
      <c r="H4759" s="539">
        <f t="shared" ref="H4759:H4762" si="515">F4759*G4759</f>
        <v>525000</v>
      </c>
    </row>
    <row r="4760" spans="3:11" ht="25.8" customHeight="1">
      <c r="C4760" s="818">
        <v>2</v>
      </c>
      <c r="D4760" s="212" t="s">
        <v>3295</v>
      </c>
      <c r="E4760" s="212" t="s">
        <v>6</v>
      </c>
      <c r="F4760" s="538">
        <v>1.75</v>
      </c>
      <c r="G4760" s="539">
        <f>VLOOKUP(D4760,upahbahan,3,FALSE)</f>
        <v>135000</v>
      </c>
      <c r="H4760" s="539">
        <f t="shared" si="515"/>
        <v>236250</v>
      </c>
    </row>
    <row r="4761" spans="3:11" ht="25.8" customHeight="1">
      <c r="C4761" s="818">
        <v>3</v>
      </c>
      <c r="D4761" s="212" t="s">
        <v>18</v>
      </c>
      <c r="E4761" s="212" t="s">
        <v>6</v>
      </c>
      <c r="F4761" s="538">
        <v>0.17499999999999999</v>
      </c>
      <c r="G4761" s="539">
        <f>VLOOKUP(D4761,upahbahan,3,FALSE)</f>
        <v>150000</v>
      </c>
      <c r="H4761" s="539">
        <f t="shared" si="515"/>
        <v>26250</v>
      </c>
    </row>
    <row r="4762" spans="3:11" ht="25.8" customHeight="1">
      <c r="C4762" s="818">
        <v>4</v>
      </c>
      <c r="D4762" s="212" t="s">
        <v>19</v>
      </c>
      <c r="E4762" s="212" t="s">
        <v>6</v>
      </c>
      <c r="F4762" s="538">
        <v>5.8000000000000003E-2</v>
      </c>
      <c r="G4762" s="539">
        <f>VLOOKUP(D4762,upahbahan,3,FALSE)</f>
        <v>160000</v>
      </c>
      <c r="H4762" s="539">
        <f t="shared" si="515"/>
        <v>9280</v>
      </c>
    </row>
    <row r="4763" spans="3:11" ht="25.8" customHeight="1">
      <c r="C4763" s="702" t="s">
        <v>1208</v>
      </c>
      <c r="D4763" s="208"/>
      <c r="E4763" s="208"/>
      <c r="F4763" s="811"/>
      <c r="G4763" s="522"/>
      <c r="H4763" s="539">
        <f>SUM(H4759:H4762)</f>
        <v>796780</v>
      </c>
      <c r="I4763" s="819"/>
    </row>
    <row r="4764" spans="3:11" ht="25.8" customHeight="1">
      <c r="C4764" s="213" t="s">
        <v>1209</v>
      </c>
      <c r="D4764" s="212" t="s">
        <v>1210</v>
      </c>
      <c r="E4764" s="534"/>
      <c r="F4764" s="831"/>
      <c r="G4764" s="534"/>
      <c r="H4764" s="534"/>
    </row>
    <row r="4765" spans="3:11" s="852" customFormat="1" ht="25.8" customHeight="1">
      <c r="C4765" s="847" t="s">
        <v>1203</v>
      </c>
      <c r="D4765" s="848" t="s">
        <v>3485</v>
      </c>
      <c r="E4765" s="849" t="s">
        <v>3182</v>
      </c>
      <c r="F4765" s="850">
        <v>1.03</v>
      </c>
      <c r="G4765" s="246">
        <f>VLOOKUP(D4765,upahbahan,3,FALSE)</f>
        <v>0</v>
      </c>
      <c r="H4765" s="246">
        <f t="shared" ref="H4765" si="516">F4765*G4765</f>
        <v>0</v>
      </c>
      <c r="I4765" s="851"/>
      <c r="J4765" s="517"/>
      <c r="K4765" s="517"/>
    </row>
    <row r="4766" spans="3:11" ht="25.8" customHeight="1">
      <c r="C4766" s="702" t="s">
        <v>1214</v>
      </c>
      <c r="D4766" s="208"/>
      <c r="E4766" s="208"/>
      <c r="F4766" s="208"/>
      <c r="G4766" s="209"/>
      <c r="H4766" s="539">
        <f>SUM(H4765:H4765)</f>
        <v>0</v>
      </c>
    </row>
    <row r="4767" spans="3:11" ht="25.8" customHeight="1">
      <c r="C4767" s="213" t="s">
        <v>1215</v>
      </c>
      <c r="D4767" s="544" t="s">
        <v>1216</v>
      </c>
      <c r="E4767" s="854"/>
      <c r="F4767" s="854"/>
      <c r="G4767" s="534"/>
      <c r="H4767" s="534"/>
    </row>
    <row r="4768" spans="3:11" ht="25.8" customHeight="1">
      <c r="C4768" s="855">
        <v>1</v>
      </c>
      <c r="D4768" s="856" t="s">
        <v>4770</v>
      </c>
      <c r="E4768" s="857" t="s">
        <v>1974</v>
      </c>
      <c r="F4768" s="858">
        <v>2</v>
      </c>
      <c r="G4768" s="539">
        <f>VLOOKUP(D4768,upahbahan,3,FALSE)</f>
        <v>108000</v>
      </c>
      <c r="H4768" s="539">
        <f t="shared" ref="H4768" si="517">F4768*G4768</f>
        <v>216000</v>
      </c>
    </row>
    <row r="4769" spans="3:11" ht="25.8" customHeight="1">
      <c r="C4769" s="702" t="s">
        <v>1217</v>
      </c>
      <c r="D4769" s="815"/>
      <c r="E4769" s="815"/>
      <c r="F4769" s="815"/>
      <c r="G4769" s="209"/>
      <c r="H4769" s="821">
        <f>SUM(H4768)</f>
        <v>216000</v>
      </c>
    </row>
    <row r="4770" spans="3:11" ht="25.8" customHeight="1">
      <c r="C4770" s="566" t="s">
        <v>1218</v>
      </c>
      <c r="D4770" s="552" t="s">
        <v>1219</v>
      </c>
      <c r="E4770" s="553"/>
      <c r="F4770" s="553"/>
      <c r="G4770" s="554"/>
      <c r="H4770" s="826">
        <f>H4769+H4766+H4763</f>
        <v>1012780</v>
      </c>
      <c r="I4770" s="827"/>
    </row>
    <row r="4771" spans="3:11" ht="25.8" customHeight="1">
      <c r="C4771" s="566" t="s">
        <v>1220</v>
      </c>
      <c r="D4771" s="552" t="s">
        <v>1321</v>
      </c>
      <c r="E4771" s="553"/>
      <c r="F4771" s="554"/>
      <c r="G4771" s="555">
        <f>$M$9</f>
        <v>0.1</v>
      </c>
      <c r="H4771" s="539">
        <f>H4770*G4771</f>
        <v>101278</v>
      </c>
      <c r="I4771" s="827"/>
    </row>
    <row r="4772" spans="3:11" ht="25.8" customHeight="1">
      <c r="C4772" s="566" t="s">
        <v>1221</v>
      </c>
      <c r="D4772" s="552" t="s">
        <v>1222</v>
      </c>
      <c r="E4772" s="553"/>
      <c r="F4772" s="553"/>
      <c r="G4772" s="554"/>
      <c r="H4772" s="828">
        <f>SUM(H4770:H4771)</f>
        <v>1114058</v>
      </c>
      <c r="I4772" s="827"/>
    </row>
    <row r="4773" spans="3:11" ht="25.8" customHeight="1">
      <c r="C4773" s="853" t="s">
        <v>3452</v>
      </c>
    </row>
    <row r="4774" spans="3:11" ht="25.8" customHeight="1">
      <c r="D4774" s="530" t="s">
        <v>3486</v>
      </c>
    </row>
    <row r="4775" spans="3:11" ht="25.8" customHeight="1">
      <c r="D4775" s="530" t="s">
        <v>3487</v>
      </c>
    </row>
    <row r="4776" spans="3:11" ht="25.8" customHeight="1">
      <c r="D4776" s="530" t="s">
        <v>3488</v>
      </c>
    </row>
    <row r="4777" spans="3:11" ht="25.8" customHeight="1">
      <c r="D4777" s="530" t="s">
        <v>3489</v>
      </c>
    </row>
    <row r="4778" spans="3:11" ht="25.8" customHeight="1">
      <c r="D4778" s="530" t="s">
        <v>3490</v>
      </c>
    </row>
    <row r="4779" spans="3:11" ht="25.8" customHeight="1"/>
    <row r="4780" spans="3:11" ht="25.8" customHeight="1">
      <c r="C4780" s="513" t="s">
        <v>3491</v>
      </c>
      <c r="D4780" s="817" t="s">
        <v>3492</v>
      </c>
      <c r="E4780" s="803"/>
      <c r="F4780" s="803"/>
      <c r="G4780" s="803"/>
      <c r="H4780" s="803"/>
      <c r="I4780" s="533">
        <f>ROUNDDOWN(H4796,-2)</f>
        <v>1402800</v>
      </c>
      <c r="J4780" s="536"/>
      <c r="K4780" s="824"/>
    </row>
    <row r="4781" spans="3:11" ht="25.8" customHeight="1">
      <c r="C4781" s="716" t="s">
        <v>1195</v>
      </c>
      <c r="D4781" s="716" t="s">
        <v>1196</v>
      </c>
      <c r="E4781" s="716" t="s">
        <v>1197</v>
      </c>
      <c r="F4781" s="716" t="s">
        <v>1198</v>
      </c>
      <c r="G4781" s="716" t="s">
        <v>1199</v>
      </c>
      <c r="H4781" s="716" t="s">
        <v>1200</v>
      </c>
    </row>
    <row r="4782" spans="3:11" ht="25.8" customHeight="1">
      <c r="C4782" s="213" t="s">
        <v>1201</v>
      </c>
      <c r="D4782" s="212" t="s">
        <v>1202</v>
      </c>
      <c r="E4782" s="534"/>
      <c r="F4782" s="534"/>
      <c r="G4782" s="534"/>
      <c r="H4782" s="534"/>
    </row>
    <row r="4783" spans="3:11" ht="25.8" customHeight="1">
      <c r="C4783" s="818">
        <v>1</v>
      </c>
      <c r="D4783" s="212" t="s">
        <v>5</v>
      </c>
      <c r="E4783" s="212" t="s">
        <v>6</v>
      </c>
      <c r="F4783" s="538">
        <v>7.875</v>
      </c>
      <c r="G4783" s="539">
        <f>VLOOKUP(D4783,upahbahan,3,FALSE)</f>
        <v>100000</v>
      </c>
      <c r="H4783" s="539">
        <f t="shared" ref="H4783:H4786" si="518">F4783*G4783</f>
        <v>787500</v>
      </c>
    </row>
    <row r="4784" spans="3:11" ht="25.8" customHeight="1">
      <c r="C4784" s="818">
        <v>2</v>
      </c>
      <c r="D4784" s="212" t="s">
        <v>3295</v>
      </c>
      <c r="E4784" s="212" t="s">
        <v>6</v>
      </c>
      <c r="F4784" s="538">
        <v>1.75</v>
      </c>
      <c r="G4784" s="539">
        <f>VLOOKUP(D4784,upahbahan,3,FALSE)</f>
        <v>135000</v>
      </c>
      <c r="H4784" s="539">
        <f t="shared" si="518"/>
        <v>236250</v>
      </c>
    </row>
    <row r="4785" spans="3:11" ht="25.8" customHeight="1">
      <c r="C4785" s="818">
        <v>3</v>
      </c>
      <c r="D4785" s="212" t="s">
        <v>18</v>
      </c>
      <c r="E4785" s="212" t="s">
        <v>6</v>
      </c>
      <c r="F4785" s="538">
        <v>0.17499999999999999</v>
      </c>
      <c r="G4785" s="539">
        <f>VLOOKUP(D4785,upahbahan,3,FALSE)</f>
        <v>150000</v>
      </c>
      <c r="H4785" s="539">
        <f t="shared" si="518"/>
        <v>26250</v>
      </c>
    </row>
    <row r="4786" spans="3:11" ht="25.8" customHeight="1">
      <c r="C4786" s="818">
        <v>4</v>
      </c>
      <c r="D4786" s="212" t="s">
        <v>19</v>
      </c>
      <c r="E4786" s="212" t="s">
        <v>6</v>
      </c>
      <c r="F4786" s="538">
        <v>5.8000000000000003E-2</v>
      </c>
      <c r="G4786" s="539">
        <f>VLOOKUP(D4786,upahbahan,3,FALSE)</f>
        <v>160000</v>
      </c>
      <c r="H4786" s="539">
        <f t="shared" si="518"/>
        <v>9280</v>
      </c>
    </row>
    <row r="4787" spans="3:11" ht="25.8" customHeight="1">
      <c r="C4787" s="702" t="s">
        <v>1208</v>
      </c>
      <c r="D4787" s="208"/>
      <c r="E4787" s="208"/>
      <c r="F4787" s="811"/>
      <c r="G4787" s="522"/>
      <c r="H4787" s="539">
        <f>SUM(H4783:H4786)</f>
        <v>1059280</v>
      </c>
      <c r="I4787" s="819"/>
    </row>
    <row r="4788" spans="3:11" ht="25.8" customHeight="1">
      <c r="C4788" s="213" t="s">
        <v>1209</v>
      </c>
      <c r="D4788" s="212" t="s">
        <v>1210</v>
      </c>
      <c r="E4788" s="534"/>
      <c r="F4788" s="831"/>
      <c r="G4788" s="534"/>
      <c r="H4788" s="534"/>
    </row>
    <row r="4789" spans="3:11" s="852" customFormat="1" ht="25.8" customHeight="1">
      <c r="C4789" s="847" t="s">
        <v>1203</v>
      </c>
      <c r="D4789" s="848" t="s">
        <v>3493</v>
      </c>
      <c r="E4789" s="849" t="s">
        <v>3182</v>
      </c>
      <c r="F4789" s="850">
        <v>1.03</v>
      </c>
      <c r="G4789" s="246">
        <f>VLOOKUP(D4789,upahbahan,3,FALSE)</f>
        <v>0</v>
      </c>
      <c r="H4789" s="246">
        <f t="shared" ref="H4789" si="519">F4789*G4789</f>
        <v>0</v>
      </c>
      <c r="I4789" s="851"/>
      <c r="J4789" s="517"/>
      <c r="K4789" s="517"/>
    </row>
    <row r="4790" spans="3:11" ht="25.8" customHeight="1">
      <c r="C4790" s="702" t="s">
        <v>1214</v>
      </c>
      <c r="D4790" s="208"/>
      <c r="E4790" s="208"/>
      <c r="F4790" s="208"/>
      <c r="G4790" s="209"/>
      <c r="H4790" s="539">
        <f>SUM(H4789:H4789)</f>
        <v>0</v>
      </c>
    </row>
    <row r="4791" spans="3:11" ht="25.8" customHeight="1">
      <c r="C4791" s="213" t="s">
        <v>1215</v>
      </c>
      <c r="D4791" s="544" t="s">
        <v>1216</v>
      </c>
      <c r="E4791" s="854"/>
      <c r="F4791" s="854"/>
      <c r="G4791" s="534"/>
      <c r="H4791" s="534"/>
    </row>
    <row r="4792" spans="3:11" ht="25.8" customHeight="1">
      <c r="C4792" s="855">
        <v>1</v>
      </c>
      <c r="D4792" s="856" t="s">
        <v>4770</v>
      </c>
      <c r="E4792" s="857" t="s">
        <v>1974</v>
      </c>
      <c r="F4792" s="858">
        <v>2</v>
      </c>
      <c r="G4792" s="539">
        <f>VLOOKUP(D4792,upahbahan,3,FALSE)</f>
        <v>108000</v>
      </c>
      <c r="H4792" s="539">
        <f t="shared" ref="H4792" si="520">F4792*G4792</f>
        <v>216000</v>
      </c>
    </row>
    <row r="4793" spans="3:11" ht="25.8" customHeight="1">
      <c r="C4793" s="702" t="s">
        <v>1217</v>
      </c>
      <c r="D4793" s="815"/>
      <c r="E4793" s="815"/>
      <c r="F4793" s="815"/>
      <c r="G4793" s="209"/>
      <c r="H4793" s="821">
        <f>SUM(H4792)</f>
        <v>216000</v>
      </c>
    </row>
    <row r="4794" spans="3:11" ht="25.8" customHeight="1">
      <c r="C4794" s="566" t="s">
        <v>1218</v>
      </c>
      <c r="D4794" s="552" t="s">
        <v>1219</v>
      </c>
      <c r="E4794" s="553"/>
      <c r="F4794" s="553"/>
      <c r="G4794" s="554"/>
      <c r="H4794" s="826">
        <f>H4793+H4790+H4787</f>
        <v>1275280</v>
      </c>
      <c r="I4794" s="827"/>
    </row>
    <row r="4795" spans="3:11" ht="25.8" customHeight="1">
      <c r="C4795" s="566" t="s">
        <v>1220</v>
      </c>
      <c r="D4795" s="552" t="s">
        <v>1321</v>
      </c>
      <c r="E4795" s="553"/>
      <c r="F4795" s="554"/>
      <c r="G4795" s="555">
        <f>$M$9</f>
        <v>0.1</v>
      </c>
      <c r="H4795" s="539">
        <f>H4794*G4795</f>
        <v>127528</v>
      </c>
      <c r="I4795" s="827"/>
    </row>
    <row r="4796" spans="3:11" ht="25.8" customHeight="1">
      <c r="C4796" s="566" t="s">
        <v>1221</v>
      </c>
      <c r="D4796" s="552" t="s">
        <v>1222</v>
      </c>
      <c r="E4796" s="553"/>
      <c r="F4796" s="553"/>
      <c r="G4796" s="554"/>
      <c r="H4796" s="828">
        <f>SUM(H4794:H4795)</f>
        <v>1402808</v>
      </c>
      <c r="I4796" s="827"/>
    </row>
    <row r="4797" spans="3:11" ht="25.8" customHeight="1"/>
    <row r="4798" spans="3:11" ht="25.8" customHeight="1">
      <c r="C4798" s="513" t="s">
        <v>3494</v>
      </c>
      <c r="D4798" s="817" t="s">
        <v>3495</v>
      </c>
      <c r="E4798" s="803"/>
      <c r="F4798" s="803"/>
      <c r="G4798" s="803"/>
      <c r="H4798" s="803"/>
      <c r="I4798" s="533">
        <f>ROUNDDOWN(H4814,-2)</f>
        <v>31919400</v>
      </c>
      <c r="J4798" s="536"/>
      <c r="K4798" s="824"/>
    </row>
    <row r="4799" spans="3:11" ht="25.8" customHeight="1">
      <c r="C4799" s="716" t="s">
        <v>1195</v>
      </c>
      <c r="D4799" s="716" t="s">
        <v>1196</v>
      </c>
      <c r="E4799" s="716" t="s">
        <v>1197</v>
      </c>
      <c r="F4799" s="716" t="s">
        <v>1198</v>
      </c>
      <c r="G4799" s="716" t="s">
        <v>1199</v>
      </c>
      <c r="H4799" s="716" t="s">
        <v>1200</v>
      </c>
    </row>
    <row r="4800" spans="3:11" ht="25.8" customHeight="1">
      <c r="C4800" s="213" t="s">
        <v>1201</v>
      </c>
      <c r="D4800" s="212" t="s">
        <v>1202</v>
      </c>
      <c r="E4800" s="534"/>
      <c r="F4800" s="534"/>
      <c r="G4800" s="534"/>
      <c r="H4800" s="534"/>
    </row>
    <row r="4801" spans="3:11" ht="25.8" customHeight="1">
      <c r="C4801" s="818">
        <v>1</v>
      </c>
      <c r="D4801" s="212" t="s">
        <v>5</v>
      </c>
      <c r="E4801" s="212" t="s">
        <v>6</v>
      </c>
      <c r="F4801" s="538">
        <v>11.25</v>
      </c>
      <c r="G4801" s="539">
        <f>VLOOKUP(D4801,upahbahan,3,FALSE)</f>
        <v>100000</v>
      </c>
      <c r="H4801" s="539">
        <f t="shared" ref="H4801:H4804" si="521">F4801*G4801</f>
        <v>1125000</v>
      </c>
    </row>
    <row r="4802" spans="3:11" ht="25.8" customHeight="1">
      <c r="C4802" s="818">
        <v>2</v>
      </c>
      <c r="D4802" s="212" t="s">
        <v>3295</v>
      </c>
      <c r="E4802" s="212" t="s">
        <v>6</v>
      </c>
      <c r="F4802" s="538">
        <v>2.25</v>
      </c>
      <c r="G4802" s="539">
        <f>VLOOKUP(D4802,upahbahan,3,FALSE)</f>
        <v>135000</v>
      </c>
      <c r="H4802" s="539">
        <f t="shared" si="521"/>
        <v>303750</v>
      </c>
    </row>
    <row r="4803" spans="3:11" ht="25.8" customHeight="1">
      <c r="C4803" s="818">
        <v>3</v>
      </c>
      <c r="D4803" s="212" t="s">
        <v>18</v>
      </c>
      <c r="E4803" s="212" t="s">
        <v>6</v>
      </c>
      <c r="F4803" s="538">
        <v>0.22500000000000001</v>
      </c>
      <c r="G4803" s="539">
        <f>VLOOKUP(D4803,upahbahan,3,FALSE)</f>
        <v>150000</v>
      </c>
      <c r="H4803" s="539">
        <f t="shared" si="521"/>
        <v>33750</v>
      </c>
    </row>
    <row r="4804" spans="3:11" ht="25.8" customHeight="1">
      <c r="C4804" s="818">
        <v>4</v>
      </c>
      <c r="D4804" s="212" t="s">
        <v>19</v>
      </c>
      <c r="E4804" s="212" t="s">
        <v>6</v>
      </c>
      <c r="F4804" s="538">
        <v>7.4999999999999997E-2</v>
      </c>
      <c r="G4804" s="539">
        <f>VLOOKUP(D4804,upahbahan,3,FALSE)</f>
        <v>160000</v>
      </c>
      <c r="H4804" s="539">
        <f t="shared" si="521"/>
        <v>12000</v>
      </c>
    </row>
    <row r="4805" spans="3:11" ht="25.8" customHeight="1">
      <c r="C4805" s="702" t="s">
        <v>1208</v>
      </c>
      <c r="D4805" s="208"/>
      <c r="E4805" s="208"/>
      <c r="F4805" s="811"/>
      <c r="G4805" s="522"/>
      <c r="H4805" s="539">
        <f>SUM(H4801:H4804)</f>
        <v>1474500</v>
      </c>
      <c r="I4805" s="819"/>
    </row>
    <row r="4806" spans="3:11" ht="25.8" customHeight="1">
      <c r="C4806" s="213" t="s">
        <v>1209</v>
      </c>
      <c r="D4806" s="212" t="s">
        <v>1210</v>
      </c>
      <c r="E4806" s="534"/>
      <c r="F4806" s="831"/>
      <c r="G4806" s="534"/>
      <c r="H4806" s="534"/>
    </row>
    <row r="4807" spans="3:11" s="852" customFormat="1" ht="25.8" customHeight="1">
      <c r="C4807" s="847" t="s">
        <v>1203</v>
      </c>
      <c r="D4807" s="848" t="s">
        <v>3496</v>
      </c>
      <c r="E4807" s="849" t="s">
        <v>3182</v>
      </c>
      <c r="F4807" s="850">
        <v>1.04</v>
      </c>
      <c r="G4807" s="246">
        <f>VLOOKUP(D4807,upahbahan,3,FALSE)</f>
        <v>0</v>
      </c>
      <c r="H4807" s="246">
        <f t="shared" ref="H4807" si="522">F4807*G4807</f>
        <v>0</v>
      </c>
      <c r="I4807" s="851"/>
      <c r="J4807" s="517"/>
      <c r="K4807" s="517"/>
    </row>
    <row r="4808" spans="3:11" ht="25.8" customHeight="1">
      <c r="C4808" s="702" t="s">
        <v>1214</v>
      </c>
      <c r="D4808" s="208"/>
      <c r="E4808" s="208"/>
      <c r="F4808" s="208"/>
      <c r="G4808" s="209"/>
      <c r="H4808" s="539">
        <f>SUM(H4807:H4807)</f>
        <v>0</v>
      </c>
    </row>
    <row r="4809" spans="3:11" ht="25.8" customHeight="1">
      <c r="C4809" s="213" t="s">
        <v>1215</v>
      </c>
      <c r="D4809" s="544" t="s">
        <v>1216</v>
      </c>
      <c r="E4809" s="854"/>
      <c r="F4809" s="854"/>
      <c r="G4809" s="534"/>
      <c r="H4809" s="534"/>
    </row>
    <row r="4810" spans="3:11" ht="25.8" customHeight="1">
      <c r="C4810" s="855">
        <v>1</v>
      </c>
      <c r="D4810" s="856" t="s">
        <v>2502</v>
      </c>
      <c r="E4810" s="857" t="s">
        <v>1974</v>
      </c>
      <c r="F4810" s="858">
        <v>8</v>
      </c>
      <c r="G4810" s="539">
        <f>VLOOKUP(D4810,upahbahan,3,FALSE)</f>
        <v>3442900</v>
      </c>
      <c r="H4810" s="539">
        <f t="shared" ref="H4810" si="523">F4810*G4810</f>
        <v>27543200</v>
      </c>
    </row>
    <row r="4811" spans="3:11" ht="25.8" customHeight="1">
      <c r="C4811" s="702" t="s">
        <v>1217</v>
      </c>
      <c r="D4811" s="815"/>
      <c r="E4811" s="815"/>
      <c r="F4811" s="815"/>
      <c r="G4811" s="209"/>
      <c r="H4811" s="821">
        <f>SUM(H4810)</f>
        <v>27543200</v>
      </c>
    </row>
    <row r="4812" spans="3:11" ht="25.8" customHeight="1">
      <c r="C4812" s="566" t="s">
        <v>1218</v>
      </c>
      <c r="D4812" s="552" t="s">
        <v>1219</v>
      </c>
      <c r="E4812" s="553"/>
      <c r="F4812" s="553"/>
      <c r="G4812" s="554"/>
      <c r="H4812" s="826">
        <f>H4811+H4808+H4805</f>
        <v>29017700</v>
      </c>
      <c r="I4812" s="827"/>
    </row>
    <row r="4813" spans="3:11" ht="25.8" customHeight="1">
      <c r="C4813" s="566" t="s">
        <v>1220</v>
      </c>
      <c r="D4813" s="552" t="s">
        <v>1321</v>
      </c>
      <c r="E4813" s="553"/>
      <c r="F4813" s="554"/>
      <c r="G4813" s="555">
        <f>$M$9</f>
        <v>0.1</v>
      </c>
      <c r="H4813" s="539">
        <f>H4812*G4813</f>
        <v>2901770</v>
      </c>
      <c r="I4813" s="827"/>
    </row>
    <row r="4814" spans="3:11" ht="25.8" customHeight="1">
      <c r="C4814" s="566" t="s">
        <v>1221</v>
      </c>
      <c r="D4814" s="552" t="s">
        <v>1222</v>
      </c>
      <c r="E4814" s="553"/>
      <c r="F4814" s="553"/>
      <c r="G4814" s="554"/>
      <c r="H4814" s="828">
        <f>SUM(H4812:H4813)</f>
        <v>31919470</v>
      </c>
      <c r="I4814" s="827"/>
    </row>
    <row r="4815" spans="3:11" ht="25.8" customHeight="1"/>
    <row r="4816" spans="3:11" ht="25.8" customHeight="1"/>
    <row r="4817" spans="3:11" ht="25.8" customHeight="1">
      <c r="C4817" s="513" t="s">
        <v>3497</v>
      </c>
      <c r="D4817" s="817" t="s">
        <v>3498</v>
      </c>
      <c r="E4817" s="803"/>
      <c r="F4817" s="803"/>
      <c r="G4817" s="803"/>
      <c r="H4817" s="803"/>
      <c r="I4817" s="533">
        <f>ROUNDDOWN(H4832,-2)</f>
        <v>268600</v>
      </c>
      <c r="J4817" s="536"/>
      <c r="K4817" s="824"/>
    </row>
    <row r="4818" spans="3:11" ht="25.8" customHeight="1">
      <c r="C4818" s="716" t="s">
        <v>1195</v>
      </c>
      <c r="D4818" s="716" t="s">
        <v>1196</v>
      </c>
      <c r="E4818" s="716" t="s">
        <v>1197</v>
      </c>
      <c r="F4818" s="716" t="s">
        <v>1198</v>
      </c>
      <c r="G4818" s="716" t="s">
        <v>1199</v>
      </c>
      <c r="H4818" s="716" t="s">
        <v>1200</v>
      </c>
    </row>
    <row r="4819" spans="3:11" ht="25.8" customHeight="1">
      <c r="C4819" s="213" t="s">
        <v>1201</v>
      </c>
      <c r="D4819" s="212" t="s">
        <v>1202</v>
      </c>
      <c r="E4819" s="534"/>
      <c r="F4819" s="534"/>
      <c r="G4819" s="534"/>
      <c r="H4819" s="534"/>
    </row>
    <row r="4820" spans="3:11" ht="25.8" customHeight="1">
      <c r="C4820" s="818">
        <v>1</v>
      </c>
      <c r="D4820" s="212" t="s">
        <v>5</v>
      </c>
      <c r="E4820" s="212" t="s">
        <v>6</v>
      </c>
      <c r="F4820" s="538">
        <v>0.5</v>
      </c>
      <c r="G4820" s="539">
        <f>VLOOKUP(D4820,upahbahan,3,FALSE)</f>
        <v>100000</v>
      </c>
      <c r="H4820" s="539">
        <f t="shared" ref="H4820:H4823" si="524">F4820*G4820</f>
        <v>50000</v>
      </c>
    </row>
    <row r="4821" spans="3:11" ht="25.8" customHeight="1">
      <c r="C4821" s="818">
        <v>2</v>
      </c>
      <c r="D4821" s="212" t="s">
        <v>3295</v>
      </c>
      <c r="E4821" s="212" t="s">
        <v>6</v>
      </c>
      <c r="F4821" s="538">
        <v>1.25</v>
      </c>
      <c r="G4821" s="539">
        <f>VLOOKUP(D4821,upahbahan,3,FALSE)</f>
        <v>135000</v>
      </c>
      <c r="H4821" s="539">
        <f t="shared" si="524"/>
        <v>168750</v>
      </c>
    </row>
    <row r="4822" spans="3:11" ht="25.8" customHeight="1">
      <c r="C4822" s="818">
        <v>3</v>
      </c>
      <c r="D4822" s="212" t="s">
        <v>18</v>
      </c>
      <c r="E4822" s="212" t="s">
        <v>6</v>
      </c>
      <c r="F4822" s="538">
        <v>0.125</v>
      </c>
      <c r="G4822" s="539">
        <f>VLOOKUP(D4822,upahbahan,3,FALSE)</f>
        <v>150000</v>
      </c>
      <c r="H4822" s="539">
        <f t="shared" si="524"/>
        <v>18750</v>
      </c>
    </row>
    <row r="4823" spans="3:11" ht="25.8" customHeight="1">
      <c r="C4823" s="818">
        <v>4</v>
      </c>
      <c r="D4823" s="212" t="s">
        <v>19</v>
      </c>
      <c r="E4823" s="212" t="s">
        <v>6</v>
      </c>
      <c r="F4823" s="538">
        <v>4.2000000000000003E-2</v>
      </c>
      <c r="G4823" s="539">
        <f>VLOOKUP(D4823,upahbahan,3,FALSE)</f>
        <v>160000</v>
      </c>
      <c r="H4823" s="539">
        <f t="shared" si="524"/>
        <v>6720</v>
      </c>
    </row>
    <row r="4824" spans="3:11" ht="25.8" customHeight="1">
      <c r="C4824" s="702" t="s">
        <v>1208</v>
      </c>
      <c r="D4824" s="208"/>
      <c r="E4824" s="208"/>
      <c r="F4824" s="811"/>
      <c r="G4824" s="522"/>
      <c r="H4824" s="539">
        <f>SUM(H4820:H4823)</f>
        <v>244220</v>
      </c>
      <c r="I4824" s="819"/>
    </row>
    <row r="4825" spans="3:11" ht="25.8" customHeight="1">
      <c r="C4825" s="213" t="s">
        <v>1209</v>
      </c>
      <c r="D4825" s="212" t="s">
        <v>1210</v>
      </c>
      <c r="E4825" s="534"/>
      <c r="F4825" s="831"/>
      <c r="G4825" s="534"/>
      <c r="H4825" s="534"/>
    </row>
    <row r="4826" spans="3:11" s="852" customFormat="1" ht="25.8" customHeight="1">
      <c r="C4826" s="847" t="s">
        <v>1203</v>
      </c>
      <c r="D4826" s="848" t="s">
        <v>3499</v>
      </c>
      <c r="E4826" s="849" t="s">
        <v>3182</v>
      </c>
      <c r="F4826" s="850">
        <v>1.03</v>
      </c>
      <c r="G4826" s="246">
        <f>VLOOKUP(D4826,upahbahan,3,FALSE)</f>
        <v>0</v>
      </c>
      <c r="H4826" s="246">
        <f t="shared" ref="H4826" si="525">F4826*G4826</f>
        <v>0</v>
      </c>
      <c r="I4826" s="851"/>
      <c r="J4826" s="517"/>
      <c r="K4826" s="517"/>
    </row>
    <row r="4827" spans="3:11" ht="25.8" customHeight="1">
      <c r="C4827" s="702" t="s">
        <v>1214</v>
      </c>
      <c r="D4827" s="208"/>
      <c r="E4827" s="208"/>
      <c r="F4827" s="208"/>
      <c r="G4827" s="209"/>
      <c r="H4827" s="539">
        <f>SUM(H4826:H4826)</f>
        <v>0</v>
      </c>
    </row>
    <row r="4828" spans="3:11" ht="25.8" customHeight="1">
      <c r="C4828" s="213" t="s">
        <v>1215</v>
      </c>
      <c r="D4828" s="212" t="s">
        <v>1216</v>
      </c>
      <c r="E4828" s="534"/>
      <c r="F4828" s="534"/>
      <c r="G4828" s="534"/>
      <c r="H4828" s="534"/>
    </row>
    <row r="4829" spans="3:11" ht="25.8" customHeight="1">
      <c r="C4829" s="702" t="s">
        <v>1217</v>
      </c>
      <c r="D4829" s="815"/>
      <c r="E4829" s="815"/>
      <c r="F4829" s="815"/>
      <c r="G4829" s="209"/>
      <c r="H4829" s="821">
        <f>SUM(H4828)</f>
        <v>0</v>
      </c>
    </row>
    <row r="4830" spans="3:11" ht="25.8" customHeight="1">
      <c r="C4830" s="566" t="s">
        <v>1218</v>
      </c>
      <c r="D4830" s="552" t="s">
        <v>1219</v>
      </c>
      <c r="E4830" s="553"/>
      <c r="F4830" s="553"/>
      <c r="G4830" s="554"/>
      <c r="H4830" s="826">
        <f>H4829+H4827+H4824</f>
        <v>244220</v>
      </c>
      <c r="I4830" s="827"/>
    </row>
    <row r="4831" spans="3:11" ht="25.8" customHeight="1">
      <c r="C4831" s="566" t="s">
        <v>1220</v>
      </c>
      <c r="D4831" s="552" t="s">
        <v>1321</v>
      </c>
      <c r="E4831" s="553"/>
      <c r="F4831" s="554"/>
      <c r="G4831" s="555">
        <f>$M$9</f>
        <v>0.1</v>
      </c>
      <c r="H4831" s="539">
        <f>H4830*G4831</f>
        <v>24422</v>
      </c>
      <c r="I4831" s="827"/>
    </row>
    <row r="4832" spans="3:11" ht="25.8" customHeight="1">
      <c r="C4832" s="566" t="s">
        <v>1221</v>
      </c>
      <c r="D4832" s="552" t="s">
        <v>1222</v>
      </c>
      <c r="E4832" s="553"/>
      <c r="F4832" s="553"/>
      <c r="G4832" s="554"/>
      <c r="H4832" s="828">
        <f>SUM(H4830:H4831)</f>
        <v>268642</v>
      </c>
      <c r="I4832" s="827"/>
    </row>
    <row r="4833" spans="3:11" ht="25.8" customHeight="1"/>
    <row r="4834" spans="3:11" ht="25.8" customHeight="1">
      <c r="C4834" s="513" t="s">
        <v>3501</v>
      </c>
      <c r="D4834" s="817" t="s">
        <v>3500</v>
      </c>
      <c r="E4834" s="803"/>
      <c r="F4834" s="803"/>
      <c r="G4834" s="803"/>
      <c r="H4834" s="803"/>
      <c r="I4834" s="533">
        <f>ROUNDDOWN(H4849,-2)</f>
        <v>488600</v>
      </c>
      <c r="J4834" s="536"/>
      <c r="K4834" s="824"/>
    </row>
    <row r="4835" spans="3:11" ht="25.8" customHeight="1">
      <c r="C4835" s="716" t="s">
        <v>1195</v>
      </c>
      <c r="D4835" s="716" t="s">
        <v>1196</v>
      </c>
      <c r="E4835" s="716" t="s">
        <v>1197</v>
      </c>
      <c r="F4835" s="716" t="s">
        <v>1198</v>
      </c>
      <c r="G4835" s="716" t="s">
        <v>1199</v>
      </c>
      <c r="H4835" s="716" t="s">
        <v>1200</v>
      </c>
    </row>
    <row r="4836" spans="3:11" ht="25.8" customHeight="1">
      <c r="C4836" s="213" t="s">
        <v>1201</v>
      </c>
      <c r="D4836" s="212" t="s">
        <v>1202</v>
      </c>
      <c r="E4836" s="534"/>
      <c r="F4836" s="534"/>
      <c r="G4836" s="534"/>
      <c r="H4836" s="534"/>
    </row>
    <row r="4837" spans="3:11" ht="25.8" customHeight="1">
      <c r="C4837" s="818">
        <v>1</v>
      </c>
      <c r="D4837" s="212" t="s">
        <v>5</v>
      </c>
      <c r="E4837" s="212" t="s">
        <v>6</v>
      </c>
      <c r="F4837" s="538">
        <v>2.5</v>
      </c>
      <c r="G4837" s="539">
        <f>VLOOKUP(D4837,upahbahan,3,FALSE)</f>
        <v>100000</v>
      </c>
      <c r="H4837" s="539">
        <f t="shared" ref="H4837:H4840" si="526">F4837*G4837</f>
        <v>250000</v>
      </c>
    </row>
    <row r="4838" spans="3:11" ht="25.8" customHeight="1">
      <c r="C4838" s="818">
        <v>2</v>
      </c>
      <c r="D4838" s="212" t="s">
        <v>3295</v>
      </c>
      <c r="E4838" s="212" t="s">
        <v>6</v>
      </c>
      <c r="F4838" s="538">
        <v>1.25</v>
      </c>
      <c r="G4838" s="539">
        <f>VLOOKUP(D4838,upahbahan,3,FALSE)</f>
        <v>135000</v>
      </c>
      <c r="H4838" s="539">
        <f t="shared" si="526"/>
        <v>168750</v>
      </c>
    </row>
    <row r="4839" spans="3:11" ht="25.8" customHeight="1">
      <c r="C4839" s="818">
        <v>3</v>
      </c>
      <c r="D4839" s="212" t="s">
        <v>18</v>
      </c>
      <c r="E4839" s="212" t="s">
        <v>6</v>
      </c>
      <c r="F4839" s="538">
        <v>0.125</v>
      </c>
      <c r="G4839" s="539">
        <f>VLOOKUP(D4839,upahbahan,3,FALSE)</f>
        <v>150000</v>
      </c>
      <c r="H4839" s="539">
        <f t="shared" si="526"/>
        <v>18750</v>
      </c>
    </row>
    <row r="4840" spans="3:11" ht="25.8" customHeight="1">
      <c r="C4840" s="818">
        <v>4</v>
      </c>
      <c r="D4840" s="212" t="s">
        <v>19</v>
      </c>
      <c r="E4840" s="212" t="s">
        <v>6</v>
      </c>
      <c r="F4840" s="538">
        <v>4.2000000000000003E-2</v>
      </c>
      <c r="G4840" s="539">
        <f>VLOOKUP(D4840,upahbahan,3,FALSE)</f>
        <v>160000</v>
      </c>
      <c r="H4840" s="539">
        <f t="shared" si="526"/>
        <v>6720</v>
      </c>
    </row>
    <row r="4841" spans="3:11" ht="25.8" customHeight="1">
      <c r="C4841" s="702" t="s">
        <v>1208</v>
      </c>
      <c r="D4841" s="208"/>
      <c r="E4841" s="208"/>
      <c r="F4841" s="811"/>
      <c r="G4841" s="522"/>
      <c r="H4841" s="539">
        <f>SUM(H4837:H4840)</f>
        <v>444220</v>
      </c>
      <c r="I4841" s="819"/>
    </row>
    <row r="4842" spans="3:11" ht="25.8" customHeight="1">
      <c r="C4842" s="213" t="s">
        <v>1209</v>
      </c>
      <c r="D4842" s="212" t="s">
        <v>1210</v>
      </c>
      <c r="E4842" s="534"/>
      <c r="F4842" s="831"/>
      <c r="G4842" s="534"/>
      <c r="H4842" s="534"/>
    </row>
    <row r="4843" spans="3:11" s="852" customFormat="1" ht="25.8" customHeight="1">
      <c r="C4843" s="847" t="s">
        <v>1203</v>
      </c>
      <c r="D4843" s="848" t="s">
        <v>3502</v>
      </c>
      <c r="E4843" s="849" t="s">
        <v>3182</v>
      </c>
      <c r="F4843" s="850">
        <v>1.1000000000000001</v>
      </c>
      <c r="G4843" s="246">
        <f>VLOOKUP(D4843,upahbahan,3,FALSE)</f>
        <v>0</v>
      </c>
      <c r="H4843" s="246">
        <f t="shared" ref="H4843" si="527">F4843*G4843</f>
        <v>0</v>
      </c>
      <c r="I4843" s="851"/>
      <c r="J4843" s="517"/>
      <c r="K4843" s="517"/>
    </row>
    <row r="4844" spans="3:11" ht="25.8" customHeight="1">
      <c r="C4844" s="702" t="s">
        <v>1214</v>
      </c>
      <c r="D4844" s="208"/>
      <c r="E4844" s="208"/>
      <c r="F4844" s="208"/>
      <c r="G4844" s="209"/>
      <c r="H4844" s="539">
        <f>SUM(H4843:H4843)</f>
        <v>0</v>
      </c>
    </row>
    <row r="4845" spans="3:11" ht="25.8" customHeight="1">
      <c r="C4845" s="213" t="s">
        <v>1215</v>
      </c>
      <c r="D4845" s="212" t="s">
        <v>1216</v>
      </c>
      <c r="E4845" s="534"/>
      <c r="F4845" s="534"/>
      <c r="G4845" s="534"/>
      <c r="H4845" s="534"/>
    </row>
    <row r="4846" spans="3:11" ht="25.8" customHeight="1">
      <c r="C4846" s="702" t="s">
        <v>1217</v>
      </c>
      <c r="D4846" s="815"/>
      <c r="E4846" s="815"/>
      <c r="F4846" s="815"/>
      <c r="G4846" s="209"/>
      <c r="H4846" s="821">
        <f>SUM(H4845)</f>
        <v>0</v>
      </c>
    </row>
    <row r="4847" spans="3:11" ht="25.8" customHeight="1">
      <c r="C4847" s="566" t="s">
        <v>1218</v>
      </c>
      <c r="D4847" s="552" t="s">
        <v>1219</v>
      </c>
      <c r="E4847" s="553"/>
      <c r="F4847" s="553"/>
      <c r="G4847" s="554"/>
      <c r="H4847" s="826">
        <f>H4846+H4844+H4841</f>
        <v>444220</v>
      </c>
      <c r="I4847" s="827"/>
    </row>
    <row r="4848" spans="3:11" ht="25.8" customHeight="1">
      <c r="C4848" s="566" t="s">
        <v>1220</v>
      </c>
      <c r="D4848" s="552" t="s">
        <v>1321</v>
      </c>
      <c r="E4848" s="553"/>
      <c r="F4848" s="554"/>
      <c r="G4848" s="555">
        <f>$M$9</f>
        <v>0.1</v>
      </c>
      <c r="H4848" s="539">
        <f>H4847*G4848</f>
        <v>44422</v>
      </c>
      <c r="I4848" s="827"/>
    </row>
    <row r="4849" spans="3:11" ht="25.8" customHeight="1">
      <c r="C4849" s="566" t="s">
        <v>1221</v>
      </c>
      <c r="D4849" s="552" t="s">
        <v>1222</v>
      </c>
      <c r="E4849" s="553"/>
      <c r="F4849" s="553"/>
      <c r="G4849" s="554"/>
      <c r="H4849" s="828">
        <f>SUM(H4847:H4848)</f>
        <v>488642</v>
      </c>
      <c r="I4849" s="827"/>
    </row>
    <row r="4850" spans="3:11" ht="25.8" customHeight="1"/>
    <row r="4851" spans="3:11" ht="25.8" customHeight="1">
      <c r="C4851" s="513" t="s">
        <v>8050</v>
      </c>
      <c r="D4851" s="817" t="s">
        <v>8052</v>
      </c>
      <c r="E4851" s="803"/>
      <c r="F4851" s="803"/>
      <c r="G4851" s="803"/>
      <c r="H4851" s="803"/>
      <c r="I4851" s="533">
        <f>ROUNDDOWN(H4866,-2)</f>
        <v>26300</v>
      </c>
      <c r="J4851" s="536" t="s">
        <v>8051</v>
      </c>
      <c r="K4851" s="824"/>
    </row>
    <row r="4852" spans="3:11" ht="25.8" customHeight="1">
      <c r="C4852" s="716" t="s">
        <v>1195</v>
      </c>
      <c r="D4852" s="716" t="s">
        <v>1196</v>
      </c>
      <c r="E4852" s="716" t="s">
        <v>1197</v>
      </c>
      <c r="F4852" s="716" t="s">
        <v>1198</v>
      </c>
      <c r="G4852" s="716" t="s">
        <v>1199</v>
      </c>
      <c r="H4852" s="716" t="s">
        <v>1200</v>
      </c>
    </row>
    <row r="4853" spans="3:11" ht="25.8" customHeight="1">
      <c r="C4853" s="213" t="s">
        <v>1201</v>
      </c>
      <c r="D4853" s="212" t="s">
        <v>1202</v>
      </c>
      <c r="E4853" s="534"/>
      <c r="F4853" s="534"/>
      <c r="G4853" s="534"/>
      <c r="H4853" s="534"/>
    </row>
    <row r="4854" spans="3:11" ht="25.8" customHeight="1">
      <c r="C4854" s="818">
        <v>1</v>
      </c>
      <c r="D4854" s="212" t="s">
        <v>5</v>
      </c>
      <c r="E4854" s="212" t="s">
        <v>6</v>
      </c>
      <c r="F4854" s="538">
        <v>9.4E-2</v>
      </c>
      <c r="G4854" s="539">
        <f>VLOOKUP(D4854,upahbahan,3,FALSE)</f>
        <v>100000</v>
      </c>
      <c r="H4854" s="539">
        <f t="shared" ref="H4854:H4857" si="528">F4854*G4854</f>
        <v>9400</v>
      </c>
    </row>
    <row r="4855" spans="3:11" ht="25.8" customHeight="1">
      <c r="C4855" s="818">
        <v>2</v>
      </c>
      <c r="D4855" s="212" t="s">
        <v>3295</v>
      </c>
      <c r="E4855" s="212" t="s">
        <v>6</v>
      </c>
      <c r="F4855" s="538">
        <v>9.4E-2</v>
      </c>
      <c r="G4855" s="539">
        <f>VLOOKUP(D4855,upahbahan,3,FALSE)</f>
        <v>135000</v>
      </c>
      <c r="H4855" s="539">
        <f t="shared" si="528"/>
        <v>12690</v>
      </c>
    </row>
    <row r="4856" spans="3:11" ht="25.8" customHeight="1">
      <c r="C4856" s="818">
        <v>3</v>
      </c>
      <c r="D4856" s="212" t="s">
        <v>18</v>
      </c>
      <c r="E4856" s="212" t="s">
        <v>6</v>
      </c>
      <c r="F4856" s="538">
        <v>8.9999999999999993E-3</v>
      </c>
      <c r="G4856" s="539">
        <f>VLOOKUP(D4856,upahbahan,3,FALSE)</f>
        <v>150000</v>
      </c>
      <c r="H4856" s="539">
        <f t="shared" si="528"/>
        <v>1350</v>
      </c>
    </row>
    <row r="4857" spans="3:11" ht="25.8" customHeight="1">
      <c r="C4857" s="818">
        <v>4</v>
      </c>
      <c r="D4857" s="212" t="s">
        <v>19</v>
      </c>
      <c r="E4857" s="212" t="s">
        <v>6</v>
      </c>
      <c r="F4857" s="538">
        <v>3.0000000000000001E-3</v>
      </c>
      <c r="G4857" s="539">
        <f>VLOOKUP(D4857,upahbahan,3,FALSE)</f>
        <v>160000</v>
      </c>
      <c r="H4857" s="539">
        <f t="shared" si="528"/>
        <v>480</v>
      </c>
    </row>
    <row r="4858" spans="3:11" ht="25.8" customHeight="1">
      <c r="C4858" s="702" t="s">
        <v>1208</v>
      </c>
      <c r="D4858" s="208"/>
      <c r="E4858" s="208"/>
      <c r="F4858" s="811"/>
      <c r="G4858" s="522"/>
      <c r="H4858" s="539">
        <f>SUM(H4854:H4857)</f>
        <v>23920</v>
      </c>
      <c r="I4858" s="819"/>
    </row>
    <row r="4859" spans="3:11" ht="25.8" customHeight="1">
      <c r="C4859" s="213" t="s">
        <v>1209</v>
      </c>
      <c r="D4859" s="212" t="s">
        <v>1210</v>
      </c>
      <c r="E4859" s="534"/>
      <c r="F4859" s="831"/>
      <c r="G4859" s="534"/>
      <c r="H4859" s="534"/>
    </row>
    <row r="4860" spans="3:11" s="852" customFormat="1" ht="25.8" customHeight="1">
      <c r="C4860" s="847" t="s">
        <v>1203</v>
      </c>
      <c r="D4860" s="242" t="s">
        <v>8053</v>
      </c>
      <c r="E4860" s="849" t="s">
        <v>3182</v>
      </c>
      <c r="F4860" s="850">
        <v>1.1000000000000001</v>
      </c>
      <c r="G4860" s="246">
        <f>VLOOKUP(D4860,upahbahan,3,FALSE)</f>
        <v>0</v>
      </c>
      <c r="H4860" s="246">
        <f t="shared" ref="H4860" si="529">F4860*G4860</f>
        <v>0</v>
      </c>
      <c r="I4860" s="851"/>
      <c r="J4860" s="517"/>
      <c r="K4860" s="517"/>
    </row>
    <row r="4861" spans="3:11" ht="25.8" customHeight="1">
      <c r="C4861" s="702" t="s">
        <v>1214</v>
      </c>
      <c r="D4861" s="208"/>
      <c r="E4861" s="208"/>
      <c r="F4861" s="208"/>
      <c r="G4861" s="209"/>
      <c r="H4861" s="539">
        <f>SUM(H4860:H4860)</f>
        <v>0</v>
      </c>
    </row>
    <row r="4862" spans="3:11" ht="25.8" customHeight="1">
      <c r="C4862" s="213" t="s">
        <v>1215</v>
      </c>
      <c r="D4862" s="212" t="s">
        <v>1216</v>
      </c>
      <c r="E4862" s="534"/>
      <c r="F4862" s="534"/>
      <c r="G4862" s="534"/>
      <c r="H4862" s="534"/>
    </row>
    <row r="4863" spans="3:11" ht="25.8" customHeight="1">
      <c r="C4863" s="702" t="s">
        <v>1217</v>
      </c>
      <c r="D4863" s="815"/>
      <c r="E4863" s="815"/>
      <c r="F4863" s="815"/>
      <c r="G4863" s="209"/>
      <c r="H4863" s="821">
        <f>SUM(H4862)</f>
        <v>0</v>
      </c>
    </row>
    <row r="4864" spans="3:11" ht="25.8" customHeight="1">
      <c r="C4864" s="566" t="s">
        <v>1218</v>
      </c>
      <c r="D4864" s="552" t="s">
        <v>1219</v>
      </c>
      <c r="E4864" s="553"/>
      <c r="F4864" s="553"/>
      <c r="G4864" s="554"/>
      <c r="H4864" s="826">
        <f>H4863+H4861+H4858</f>
        <v>23920</v>
      </c>
      <c r="I4864" s="827"/>
    </row>
    <row r="4865" spans="3:11" ht="25.8" customHeight="1">
      <c r="C4865" s="566" t="s">
        <v>1220</v>
      </c>
      <c r="D4865" s="552" t="s">
        <v>1321</v>
      </c>
      <c r="E4865" s="553"/>
      <c r="F4865" s="554"/>
      <c r="G4865" s="555">
        <f>$M$9</f>
        <v>0.1</v>
      </c>
      <c r="H4865" s="539">
        <f>H4864*G4865</f>
        <v>2392</v>
      </c>
      <c r="I4865" s="827"/>
    </row>
    <row r="4866" spans="3:11" ht="25.8" customHeight="1">
      <c r="C4866" s="566" t="s">
        <v>1221</v>
      </c>
      <c r="D4866" s="552" t="s">
        <v>1222</v>
      </c>
      <c r="E4866" s="553"/>
      <c r="F4866" s="553"/>
      <c r="G4866" s="554"/>
      <c r="H4866" s="828">
        <f>SUM(H4864:H4865)</f>
        <v>26312</v>
      </c>
      <c r="I4866" s="827"/>
    </row>
    <row r="4867" spans="3:11" ht="25.8" customHeight="1"/>
    <row r="4868" spans="3:11" ht="25.8" customHeight="1"/>
    <row r="4869" spans="3:11" ht="25.8" customHeight="1">
      <c r="C4869" s="571" t="s">
        <v>3503</v>
      </c>
      <c r="D4869" s="571" t="s">
        <v>3504</v>
      </c>
    </row>
    <row r="4870" spans="3:11" ht="25.8" customHeight="1">
      <c r="C4870" s="513" t="s">
        <v>3505</v>
      </c>
      <c r="D4870" s="817" t="s">
        <v>3506</v>
      </c>
      <c r="E4870" s="803"/>
      <c r="F4870" s="803"/>
      <c r="G4870" s="803"/>
      <c r="H4870" s="803"/>
      <c r="I4870" s="533">
        <f>ROUNDDOWN(H4885,-2)</f>
        <v>1035600</v>
      </c>
      <c r="J4870" s="536"/>
      <c r="K4870" s="824"/>
    </row>
    <row r="4871" spans="3:11" ht="25.8" customHeight="1">
      <c r="C4871" s="716" t="s">
        <v>1195</v>
      </c>
      <c r="D4871" s="716" t="s">
        <v>1196</v>
      </c>
      <c r="E4871" s="716" t="s">
        <v>1197</v>
      </c>
      <c r="F4871" s="716" t="s">
        <v>1198</v>
      </c>
      <c r="G4871" s="716" t="s">
        <v>1199</v>
      </c>
      <c r="H4871" s="716" t="s">
        <v>1200</v>
      </c>
    </row>
    <row r="4872" spans="3:11" ht="25.8" customHeight="1">
      <c r="C4872" s="213" t="s">
        <v>1201</v>
      </c>
      <c r="D4872" s="212" t="s">
        <v>1202</v>
      </c>
      <c r="E4872" s="534"/>
      <c r="F4872" s="534"/>
      <c r="G4872" s="534"/>
      <c r="H4872" s="534"/>
    </row>
    <row r="4873" spans="3:11" ht="25.8" customHeight="1">
      <c r="C4873" s="818">
        <v>1</v>
      </c>
      <c r="D4873" s="212" t="s">
        <v>5</v>
      </c>
      <c r="E4873" s="212" t="s">
        <v>6</v>
      </c>
      <c r="F4873" s="538">
        <v>2.6259999999999999</v>
      </c>
      <c r="G4873" s="539">
        <f>VLOOKUP(D4873,upahbahan,3,FALSE)</f>
        <v>100000</v>
      </c>
      <c r="H4873" s="539">
        <f t="shared" ref="H4873:H4876" si="530">F4873*G4873</f>
        <v>262600</v>
      </c>
    </row>
    <row r="4874" spans="3:11" ht="25.8" customHeight="1">
      <c r="C4874" s="818">
        <v>2</v>
      </c>
      <c r="D4874" s="212" t="s">
        <v>3295</v>
      </c>
      <c r="E4874" s="212" t="s">
        <v>6</v>
      </c>
      <c r="F4874" s="538">
        <v>4.3860000000000001</v>
      </c>
      <c r="G4874" s="539">
        <f>VLOOKUP(D4874,upahbahan,3,FALSE)</f>
        <v>135000</v>
      </c>
      <c r="H4874" s="539">
        <f t="shared" si="530"/>
        <v>592110</v>
      </c>
    </row>
    <row r="4875" spans="3:11" ht="25.8" customHeight="1">
      <c r="C4875" s="818">
        <v>3</v>
      </c>
      <c r="D4875" s="212" t="s">
        <v>18</v>
      </c>
      <c r="E4875" s="212" t="s">
        <v>6</v>
      </c>
      <c r="F4875" s="538">
        <v>0.439</v>
      </c>
      <c r="G4875" s="539">
        <f>VLOOKUP(D4875,upahbahan,3,FALSE)</f>
        <v>150000</v>
      </c>
      <c r="H4875" s="539">
        <f t="shared" si="530"/>
        <v>65850</v>
      </c>
    </row>
    <row r="4876" spans="3:11" ht="25.8" customHeight="1">
      <c r="C4876" s="818">
        <v>4</v>
      </c>
      <c r="D4876" s="212" t="s">
        <v>19</v>
      </c>
      <c r="E4876" s="212" t="s">
        <v>6</v>
      </c>
      <c r="F4876" s="538">
        <v>0.13100000000000001</v>
      </c>
      <c r="G4876" s="539">
        <f>VLOOKUP(D4876,upahbahan,3,FALSE)</f>
        <v>160000</v>
      </c>
      <c r="H4876" s="539">
        <f t="shared" si="530"/>
        <v>20960</v>
      </c>
    </row>
    <row r="4877" spans="3:11" ht="25.8" customHeight="1">
      <c r="C4877" s="702" t="s">
        <v>1208</v>
      </c>
      <c r="D4877" s="208"/>
      <c r="E4877" s="208"/>
      <c r="F4877" s="811"/>
      <c r="G4877" s="522"/>
      <c r="H4877" s="539">
        <f>SUM(H4873:H4876)</f>
        <v>941520</v>
      </c>
      <c r="I4877" s="819"/>
    </row>
    <row r="4878" spans="3:11" ht="25.8" customHeight="1">
      <c r="C4878" s="213" t="s">
        <v>1209</v>
      </c>
      <c r="D4878" s="212" t="s">
        <v>1210</v>
      </c>
      <c r="E4878" s="534"/>
      <c r="F4878" s="831"/>
      <c r="G4878" s="534"/>
      <c r="H4878" s="534"/>
    </row>
    <row r="4879" spans="3:11" s="852" customFormat="1" ht="25.8" customHeight="1">
      <c r="C4879" s="847" t="s">
        <v>1203</v>
      </c>
      <c r="D4879" s="848" t="s">
        <v>3507</v>
      </c>
      <c r="E4879" s="849" t="s">
        <v>3182</v>
      </c>
      <c r="F4879" s="850">
        <v>1.1000000000000001</v>
      </c>
      <c r="G4879" s="246">
        <f>VLOOKUP(D4879,upahbahan,3,FALSE)</f>
        <v>0</v>
      </c>
      <c r="H4879" s="246">
        <f t="shared" ref="H4879" si="531">F4879*G4879</f>
        <v>0</v>
      </c>
      <c r="I4879" s="851"/>
      <c r="J4879" s="517"/>
      <c r="K4879" s="517"/>
    </row>
    <row r="4880" spans="3:11" ht="25.8" customHeight="1">
      <c r="C4880" s="702" t="s">
        <v>1214</v>
      </c>
      <c r="D4880" s="208"/>
      <c r="E4880" s="208"/>
      <c r="F4880" s="208"/>
      <c r="G4880" s="209"/>
      <c r="H4880" s="539">
        <f>SUM(H4879:H4879)</f>
        <v>0</v>
      </c>
    </row>
    <row r="4881" spans="3:11" ht="25.8" customHeight="1">
      <c r="C4881" s="213" t="s">
        <v>1215</v>
      </c>
      <c r="D4881" s="212" t="s">
        <v>1216</v>
      </c>
      <c r="E4881" s="534"/>
      <c r="F4881" s="534"/>
      <c r="G4881" s="534"/>
      <c r="H4881" s="534"/>
    </row>
    <row r="4882" spans="3:11" ht="25.8" customHeight="1">
      <c r="C4882" s="702" t="s">
        <v>1217</v>
      </c>
      <c r="D4882" s="815"/>
      <c r="E4882" s="815"/>
      <c r="F4882" s="815"/>
      <c r="G4882" s="209"/>
      <c r="H4882" s="821">
        <f>SUM(H4881)</f>
        <v>0</v>
      </c>
    </row>
    <row r="4883" spans="3:11" ht="25.8" customHeight="1">
      <c r="C4883" s="566" t="s">
        <v>1218</v>
      </c>
      <c r="D4883" s="552" t="s">
        <v>1219</v>
      </c>
      <c r="E4883" s="553"/>
      <c r="F4883" s="553"/>
      <c r="G4883" s="554"/>
      <c r="H4883" s="826">
        <f>H4882+H4880+H4877</f>
        <v>941520</v>
      </c>
      <c r="I4883" s="827"/>
    </row>
    <row r="4884" spans="3:11" ht="25.8" customHeight="1">
      <c r="C4884" s="566" t="s">
        <v>1220</v>
      </c>
      <c r="D4884" s="552" t="s">
        <v>1321</v>
      </c>
      <c r="E4884" s="553"/>
      <c r="F4884" s="554"/>
      <c r="G4884" s="555">
        <f>$M$9</f>
        <v>0.1</v>
      </c>
      <c r="H4884" s="539">
        <f>H4883*G4884</f>
        <v>94152</v>
      </c>
      <c r="I4884" s="827"/>
    </row>
    <row r="4885" spans="3:11" ht="25.8" customHeight="1">
      <c r="C4885" s="566" t="s">
        <v>1221</v>
      </c>
      <c r="D4885" s="552" t="s">
        <v>1222</v>
      </c>
      <c r="E4885" s="553"/>
      <c r="F4885" s="553"/>
      <c r="G4885" s="554"/>
      <c r="H4885" s="828">
        <f>SUM(H4883:H4884)</f>
        <v>1035672</v>
      </c>
      <c r="I4885" s="827"/>
    </row>
    <row r="4886" spans="3:11" ht="25.8" customHeight="1"/>
    <row r="4887" spans="3:11" ht="25.8" customHeight="1"/>
    <row r="4888" spans="3:11" ht="25.8" customHeight="1">
      <c r="C4888" s="571" t="s">
        <v>3508</v>
      </c>
      <c r="D4888" s="571" t="s">
        <v>3509</v>
      </c>
    </row>
    <row r="4889" spans="3:11" ht="25.8" customHeight="1">
      <c r="C4889" s="513" t="s">
        <v>3510</v>
      </c>
      <c r="D4889" s="817" t="s">
        <v>3511</v>
      </c>
      <c r="E4889" s="803"/>
      <c r="F4889" s="803"/>
      <c r="G4889" s="803"/>
      <c r="H4889" s="803"/>
      <c r="I4889" s="533">
        <f>ROUNDDOWN(H4904,-2)</f>
        <v>36200</v>
      </c>
      <c r="J4889" s="536"/>
      <c r="K4889" s="824"/>
    </row>
    <row r="4890" spans="3:11" ht="25.8" customHeight="1">
      <c r="C4890" s="716" t="s">
        <v>1195</v>
      </c>
      <c r="D4890" s="716" t="s">
        <v>1196</v>
      </c>
      <c r="E4890" s="716" t="s">
        <v>1197</v>
      </c>
      <c r="F4890" s="716" t="s">
        <v>1198</v>
      </c>
      <c r="G4890" s="716" t="s">
        <v>1199</v>
      </c>
      <c r="H4890" s="716" t="s">
        <v>1200</v>
      </c>
    </row>
    <row r="4891" spans="3:11" ht="25.8" customHeight="1">
      <c r="C4891" s="213" t="s">
        <v>1201</v>
      </c>
      <c r="D4891" s="212" t="s">
        <v>1202</v>
      </c>
      <c r="E4891" s="534"/>
      <c r="F4891" s="534"/>
      <c r="G4891" s="534"/>
      <c r="H4891" s="534"/>
    </row>
    <row r="4892" spans="3:11" ht="25.8" customHeight="1">
      <c r="C4892" s="818">
        <v>1</v>
      </c>
      <c r="D4892" s="212" t="s">
        <v>5</v>
      </c>
      <c r="E4892" s="212" t="s">
        <v>6</v>
      </c>
      <c r="F4892" s="538">
        <v>3.1E-2</v>
      </c>
      <c r="G4892" s="539">
        <f>VLOOKUP(D4892,upahbahan,3,FALSE)</f>
        <v>100000</v>
      </c>
      <c r="H4892" s="539">
        <f t="shared" ref="H4892:H4895" si="532">F4892*G4892</f>
        <v>3100</v>
      </c>
    </row>
    <row r="4893" spans="3:11" ht="25.8" customHeight="1">
      <c r="C4893" s="818">
        <v>2</v>
      </c>
      <c r="D4893" s="212" t="s">
        <v>3295</v>
      </c>
      <c r="E4893" s="212" t="s">
        <v>6</v>
      </c>
      <c r="F4893" s="538">
        <v>5.1999999999999998E-2</v>
      </c>
      <c r="G4893" s="539">
        <f>VLOOKUP(D4893,upahbahan,3,FALSE)</f>
        <v>135000</v>
      </c>
      <c r="H4893" s="539">
        <f t="shared" si="532"/>
        <v>7020</v>
      </c>
    </row>
    <row r="4894" spans="3:11" ht="25.8" customHeight="1">
      <c r="C4894" s="818">
        <v>3</v>
      </c>
      <c r="D4894" s="212" t="s">
        <v>18</v>
      </c>
      <c r="E4894" s="212" t="s">
        <v>6</v>
      </c>
      <c r="F4894" s="538">
        <v>5.0000000000000001E-3</v>
      </c>
      <c r="G4894" s="539">
        <f>VLOOKUP(D4894,upahbahan,3,FALSE)</f>
        <v>150000</v>
      </c>
      <c r="H4894" s="539">
        <f t="shared" si="532"/>
        <v>750</v>
      </c>
    </row>
    <row r="4895" spans="3:11" ht="25.8" customHeight="1">
      <c r="C4895" s="818">
        <v>4</v>
      </c>
      <c r="D4895" s="212" t="s">
        <v>19</v>
      </c>
      <c r="E4895" s="212" t="s">
        <v>6</v>
      </c>
      <c r="F4895" s="538">
        <v>2E-3</v>
      </c>
      <c r="G4895" s="539">
        <f>VLOOKUP(D4895,upahbahan,3,FALSE)</f>
        <v>160000</v>
      </c>
      <c r="H4895" s="539">
        <f t="shared" si="532"/>
        <v>320</v>
      </c>
    </row>
    <row r="4896" spans="3:11" ht="25.8" customHeight="1">
      <c r="C4896" s="702" t="s">
        <v>1208</v>
      </c>
      <c r="D4896" s="208"/>
      <c r="E4896" s="208"/>
      <c r="F4896" s="811"/>
      <c r="G4896" s="522"/>
      <c r="H4896" s="539">
        <f>SUM(H4892:H4895)</f>
        <v>11190</v>
      </c>
      <c r="I4896" s="819"/>
    </row>
    <row r="4897" spans="3:11" ht="25.8" customHeight="1">
      <c r="C4897" s="213" t="s">
        <v>1209</v>
      </c>
      <c r="D4897" s="212" t="s">
        <v>1210</v>
      </c>
      <c r="E4897" s="534"/>
      <c r="F4897" s="831"/>
      <c r="G4897" s="534"/>
      <c r="H4897" s="534"/>
    </row>
    <row r="4898" spans="3:11" s="865" customFormat="1" ht="25.8" customHeight="1">
      <c r="C4898" s="859" t="s">
        <v>1203</v>
      </c>
      <c r="D4898" s="860" t="s">
        <v>3512</v>
      </c>
      <c r="E4898" s="861" t="s">
        <v>2167</v>
      </c>
      <c r="F4898" s="862">
        <v>1.1000000000000001</v>
      </c>
      <c r="G4898" s="863">
        <f>VLOOKUP(D4898,upahbahan,3,FALSE)</f>
        <v>19800</v>
      </c>
      <c r="H4898" s="863">
        <f t="shared" ref="H4898" si="533">F4898*G4898</f>
        <v>21780</v>
      </c>
      <c r="I4898" s="864"/>
      <c r="J4898" s="517"/>
      <c r="K4898" s="517"/>
    </row>
    <row r="4899" spans="3:11" ht="25.8" customHeight="1">
      <c r="C4899" s="702" t="s">
        <v>1214</v>
      </c>
      <c r="D4899" s="208"/>
      <c r="E4899" s="208"/>
      <c r="F4899" s="208"/>
      <c r="G4899" s="209"/>
      <c r="H4899" s="539">
        <f>SUM(H4898:H4898)</f>
        <v>21780</v>
      </c>
    </row>
    <row r="4900" spans="3:11" ht="25.8" customHeight="1">
      <c r="C4900" s="213" t="s">
        <v>1215</v>
      </c>
      <c r="D4900" s="212" t="s">
        <v>1216</v>
      </c>
      <c r="E4900" s="534"/>
      <c r="F4900" s="534"/>
      <c r="G4900" s="534"/>
      <c r="H4900" s="534"/>
    </row>
    <row r="4901" spans="3:11" ht="25.8" customHeight="1">
      <c r="C4901" s="702" t="s">
        <v>1217</v>
      </c>
      <c r="D4901" s="815"/>
      <c r="E4901" s="815"/>
      <c r="F4901" s="815"/>
      <c r="G4901" s="209"/>
      <c r="H4901" s="821">
        <f>SUM(H4900)</f>
        <v>0</v>
      </c>
    </row>
    <row r="4902" spans="3:11" ht="25.8" customHeight="1">
      <c r="C4902" s="566" t="s">
        <v>1218</v>
      </c>
      <c r="D4902" s="552" t="s">
        <v>1219</v>
      </c>
      <c r="E4902" s="553"/>
      <c r="F4902" s="553"/>
      <c r="G4902" s="554"/>
      <c r="H4902" s="826">
        <f>H4901+H4899+H4896</f>
        <v>32970</v>
      </c>
      <c r="I4902" s="827"/>
    </row>
    <row r="4903" spans="3:11" ht="25.8" customHeight="1">
      <c r="C4903" s="566" t="s">
        <v>1220</v>
      </c>
      <c r="D4903" s="552" t="s">
        <v>1321</v>
      </c>
      <c r="E4903" s="553"/>
      <c r="F4903" s="554"/>
      <c r="G4903" s="555">
        <f>$M$9</f>
        <v>0.1</v>
      </c>
      <c r="H4903" s="539">
        <f>H4902*G4903</f>
        <v>3297</v>
      </c>
      <c r="I4903" s="827"/>
    </row>
    <row r="4904" spans="3:11" ht="25.8" customHeight="1">
      <c r="C4904" s="566" t="s">
        <v>1221</v>
      </c>
      <c r="D4904" s="552" t="s">
        <v>1222</v>
      </c>
      <c r="E4904" s="553"/>
      <c r="F4904" s="553"/>
      <c r="G4904" s="554"/>
      <c r="H4904" s="828">
        <f>SUM(H4902:H4903)</f>
        <v>36267</v>
      </c>
      <c r="I4904" s="827"/>
    </row>
    <row r="4905" spans="3:11" ht="25.8" customHeight="1"/>
    <row r="4906" spans="3:11" ht="25.8" customHeight="1">
      <c r="C4906" s="513" t="s">
        <v>3513</v>
      </c>
      <c r="D4906" s="817" t="s">
        <v>3514</v>
      </c>
      <c r="E4906" s="803"/>
      <c r="F4906" s="803"/>
      <c r="G4906" s="803"/>
      <c r="H4906" s="803"/>
      <c r="I4906" s="533">
        <f>ROUNDDOWN(H4921,-2)</f>
        <v>48200</v>
      </c>
      <c r="J4906" s="536"/>
      <c r="K4906" s="824"/>
    </row>
    <row r="4907" spans="3:11" ht="25.8" customHeight="1">
      <c r="C4907" s="716" t="s">
        <v>1195</v>
      </c>
      <c r="D4907" s="716" t="s">
        <v>1196</v>
      </c>
      <c r="E4907" s="716" t="s">
        <v>1197</v>
      </c>
      <c r="F4907" s="716" t="s">
        <v>1198</v>
      </c>
      <c r="G4907" s="716" t="s">
        <v>1199</v>
      </c>
      <c r="H4907" s="716" t="s">
        <v>1200</v>
      </c>
    </row>
    <row r="4908" spans="3:11" ht="25.8" customHeight="1">
      <c r="C4908" s="213" t="s">
        <v>1201</v>
      </c>
      <c r="D4908" s="212" t="s">
        <v>1202</v>
      </c>
      <c r="E4908" s="534"/>
      <c r="F4908" s="534"/>
      <c r="G4908" s="534"/>
      <c r="H4908" s="534"/>
    </row>
    <row r="4909" spans="3:11" ht="25.8" customHeight="1">
      <c r="C4909" s="818">
        <v>1</v>
      </c>
      <c r="D4909" s="212" t="s">
        <v>5</v>
      </c>
      <c r="E4909" s="212" t="s">
        <v>6</v>
      </c>
      <c r="F4909" s="538">
        <v>3.1E-2</v>
      </c>
      <c r="G4909" s="539">
        <f>VLOOKUP(D4909,upahbahan,3,FALSE)</f>
        <v>100000</v>
      </c>
      <c r="H4909" s="539">
        <f t="shared" ref="H4909:H4912" si="534">F4909*G4909</f>
        <v>3100</v>
      </c>
    </row>
    <row r="4910" spans="3:11" ht="25.8" customHeight="1">
      <c r="C4910" s="818">
        <v>2</v>
      </c>
      <c r="D4910" s="212" t="s">
        <v>3295</v>
      </c>
      <c r="E4910" s="212" t="s">
        <v>6</v>
      </c>
      <c r="F4910" s="538">
        <v>5.1999999999999998E-2</v>
      </c>
      <c r="G4910" s="539">
        <f>VLOOKUP(D4910,upahbahan,3,FALSE)</f>
        <v>135000</v>
      </c>
      <c r="H4910" s="539">
        <f t="shared" si="534"/>
        <v>7020</v>
      </c>
    </row>
    <row r="4911" spans="3:11" ht="25.8" customHeight="1">
      <c r="C4911" s="818">
        <v>3</v>
      </c>
      <c r="D4911" s="212" t="s">
        <v>18</v>
      </c>
      <c r="E4911" s="212" t="s">
        <v>6</v>
      </c>
      <c r="F4911" s="538">
        <v>5.0000000000000001E-3</v>
      </c>
      <c r="G4911" s="539">
        <f>VLOOKUP(D4911,upahbahan,3,FALSE)</f>
        <v>150000</v>
      </c>
      <c r="H4911" s="539">
        <f t="shared" si="534"/>
        <v>750</v>
      </c>
    </row>
    <row r="4912" spans="3:11" ht="25.8" customHeight="1">
      <c r="C4912" s="818">
        <v>4</v>
      </c>
      <c r="D4912" s="212" t="s">
        <v>19</v>
      </c>
      <c r="E4912" s="212" t="s">
        <v>6</v>
      </c>
      <c r="F4912" s="538">
        <v>2E-3</v>
      </c>
      <c r="G4912" s="539">
        <f>VLOOKUP(D4912,upahbahan,3,FALSE)</f>
        <v>160000</v>
      </c>
      <c r="H4912" s="539">
        <f t="shared" si="534"/>
        <v>320</v>
      </c>
    </row>
    <row r="4913" spans="3:11" ht="25.8" customHeight="1">
      <c r="C4913" s="702" t="s">
        <v>1208</v>
      </c>
      <c r="D4913" s="208"/>
      <c r="E4913" s="208"/>
      <c r="F4913" s="811"/>
      <c r="G4913" s="522"/>
      <c r="H4913" s="539">
        <f>SUM(H4909:H4912)</f>
        <v>11190</v>
      </c>
      <c r="I4913" s="819"/>
    </row>
    <row r="4914" spans="3:11" ht="25.8" customHeight="1">
      <c r="C4914" s="213" t="s">
        <v>1209</v>
      </c>
      <c r="D4914" s="212" t="s">
        <v>1210</v>
      </c>
      <c r="E4914" s="534"/>
      <c r="F4914" s="831"/>
      <c r="G4914" s="534"/>
      <c r="H4914" s="534"/>
    </row>
    <row r="4915" spans="3:11" s="865" customFormat="1" ht="25.8" customHeight="1">
      <c r="C4915" s="859" t="s">
        <v>1203</v>
      </c>
      <c r="D4915" s="860" t="s">
        <v>3515</v>
      </c>
      <c r="E4915" s="861" t="s">
        <v>2167</v>
      </c>
      <c r="F4915" s="862">
        <v>1.1000000000000001</v>
      </c>
      <c r="G4915" s="863">
        <f>VLOOKUP(D4915,upahbahan,3,FALSE)</f>
        <v>29700</v>
      </c>
      <c r="H4915" s="863">
        <f t="shared" ref="H4915" si="535">F4915*G4915</f>
        <v>32670.000000000004</v>
      </c>
      <c r="I4915" s="864"/>
      <c r="J4915" s="517"/>
      <c r="K4915" s="517"/>
    </row>
    <row r="4916" spans="3:11" ht="25.8" customHeight="1">
      <c r="C4916" s="702" t="s">
        <v>1214</v>
      </c>
      <c r="D4916" s="208"/>
      <c r="E4916" s="208"/>
      <c r="F4916" s="208"/>
      <c r="G4916" s="209"/>
      <c r="H4916" s="539">
        <f>SUM(H4915:H4915)</f>
        <v>32670.000000000004</v>
      </c>
    </row>
    <row r="4917" spans="3:11" ht="25.8" customHeight="1">
      <c r="C4917" s="213" t="s">
        <v>1215</v>
      </c>
      <c r="D4917" s="212" t="s">
        <v>1216</v>
      </c>
      <c r="E4917" s="534"/>
      <c r="F4917" s="534"/>
      <c r="G4917" s="534"/>
      <c r="H4917" s="534"/>
    </row>
    <row r="4918" spans="3:11" ht="25.8" customHeight="1">
      <c r="C4918" s="702" t="s">
        <v>1217</v>
      </c>
      <c r="D4918" s="815"/>
      <c r="E4918" s="815"/>
      <c r="F4918" s="815"/>
      <c r="G4918" s="209"/>
      <c r="H4918" s="821">
        <f>SUM(H4917)</f>
        <v>0</v>
      </c>
    </row>
    <row r="4919" spans="3:11" ht="25.8" customHeight="1">
      <c r="C4919" s="566" t="s">
        <v>1218</v>
      </c>
      <c r="D4919" s="552" t="s">
        <v>1219</v>
      </c>
      <c r="E4919" s="553"/>
      <c r="F4919" s="553"/>
      <c r="G4919" s="554"/>
      <c r="H4919" s="826">
        <f>H4918+H4916+H4913</f>
        <v>43860</v>
      </c>
      <c r="I4919" s="827"/>
    </row>
    <row r="4920" spans="3:11" ht="25.8" customHeight="1">
      <c r="C4920" s="566" t="s">
        <v>1220</v>
      </c>
      <c r="D4920" s="552" t="s">
        <v>1321</v>
      </c>
      <c r="E4920" s="553"/>
      <c r="F4920" s="554"/>
      <c r="G4920" s="555">
        <f>$M$9</f>
        <v>0.1</v>
      </c>
      <c r="H4920" s="539">
        <f>H4919*G4920</f>
        <v>4386</v>
      </c>
      <c r="I4920" s="827"/>
    </row>
    <row r="4921" spans="3:11" ht="25.8" customHeight="1">
      <c r="C4921" s="566" t="s">
        <v>1221</v>
      </c>
      <c r="D4921" s="552" t="s">
        <v>1222</v>
      </c>
      <c r="E4921" s="553"/>
      <c r="F4921" s="553"/>
      <c r="G4921" s="554"/>
      <c r="H4921" s="828">
        <f>SUM(H4919:H4920)</f>
        <v>48246</v>
      </c>
      <c r="I4921" s="827"/>
    </row>
    <row r="4922" spans="3:11" ht="25.8" customHeight="1"/>
    <row r="4923" spans="3:11" ht="25.8" customHeight="1">
      <c r="C4923" s="513" t="s">
        <v>3517</v>
      </c>
      <c r="D4923" s="817" t="s">
        <v>3518</v>
      </c>
      <c r="E4923" s="803"/>
      <c r="F4923" s="803"/>
      <c r="G4923" s="803"/>
      <c r="H4923" s="803"/>
      <c r="I4923" s="533">
        <f>ROUNDDOWN(H4938,-2)</f>
        <v>12300</v>
      </c>
      <c r="J4923" s="536"/>
      <c r="K4923" s="824"/>
    </row>
    <row r="4924" spans="3:11" ht="25.8" customHeight="1">
      <c r="C4924" s="716" t="s">
        <v>1195</v>
      </c>
      <c r="D4924" s="716" t="s">
        <v>1196</v>
      </c>
      <c r="E4924" s="716" t="s">
        <v>1197</v>
      </c>
      <c r="F4924" s="716" t="s">
        <v>1198</v>
      </c>
      <c r="G4924" s="716" t="s">
        <v>1199</v>
      </c>
      <c r="H4924" s="716" t="s">
        <v>1200</v>
      </c>
    </row>
    <row r="4925" spans="3:11" ht="25.8" customHeight="1">
      <c r="C4925" s="213" t="s">
        <v>1201</v>
      </c>
      <c r="D4925" s="212" t="s">
        <v>1202</v>
      </c>
      <c r="E4925" s="534"/>
      <c r="F4925" s="534"/>
      <c r="G4925" s="534"/>
      <c r="H4925" s="534"/>
    </row>
    <row r="4926" spans="3:11" ht="25.8" customHeight="1">
      <c r="C4926" s="818">
        <v>1</v>
      </c>
      <c r="D4926" s="212" t="s">
        <v>5</v>
      </c>
      <c r="E4926" s="212" t="s">
        <v>6</v>
      </c>
      <c r="F4926" s="538">
        <v>3.1E-2</v>
      </c>
      <c r="G4926" s="539">
        <f>VLOOKUP(D4926,upahbahan,3,FALSE)</f>
        <v>100000</v>
      </c>
      <c r="H4926" s="539">
        <f t="shared" ref="H4926:H4929" si="536">F4926*G4926</f>
        <v>3100</v>
      </c>
    </row>
    <row r="4927" spans="3:11" ht="25.8" customHeight="1">
      <c r="C4927" s="818">
        <v>2</v>
      </c>
      <c r="D4927" s="212" t="s">
        <v>3295</v>
      </c>
      <c r="E4927" s="212" t="s">
        <v>6</v>
      </c>
      <c r="F4927" s="538">
        <v>5.1999999999999998E-2</v>
      </c>
      <c r="G4927" s="539">
        <f>VLOOKUP(D4927,upahbahan,3,FALSE)</f>
        <v>135000</v>
      </c>
      <c r="H4927" s="539">
        <f t="shared" si="536"/>
        <v>7020</v>
      </c>
    </row>
    <row r="4928" spans="3:11" ht="25.8" customHeight="1">
      <c r="C4928" s="818">
        <v>3</v>
      </c>
      <c r="D4928" s="212" t="s">
        <v>18</v>
      </c>
      <c r="E4928" s="212" t="s">
        <v>6</v>
      </c>
      <c r="F4928" s="538">
        <v>5.0000000000000001E-3</v>
      </c>
      <c r="G4928" s="539">
        <f>VLOOKUP(D4928,upahbahan,3,FALSE)</f>
        <v>150000</v>
      </c>
      <c r="H4928" s="539">
        <f t="shared" si="536"/>
        <v>750</v>
      </c>
    </row>
    <row r="4929" spans="3:11" ht="25.8" customHeight="1">
      <c r="C4929" s="818">
        <v>4</v>
      </c>
      <c r="D4929" s="212" t="s">
        <v>19</v>
      </c>
      <c r="E4929" s="212" t="s">
        <v>6</v>
      </c>
      <c r="F4929" s="538">
        <v>2E-3</v>
      </c>
      <c r="G4929" s="539">
        <f>VLOOKUP(D4929,upahbahan,3,FALSE)</f>
        <v>160000</v>
      </c>
      <c r="H4929" s="539">
        <f t="shared" si="536"/>
        <v>320</v>
      </c>
    </row>
    <row r="4930" spans="3:11" ht="25.8" customHeight="1">
      <c r="C4930" s="702" t="s">
        <v>1208</v>
      </c>
      <c r="D4930" s="208"/>
      <c r="E4930" s="208"/>
      <c r="F4930" s="811"/>
      <c r="G4930" s="522"/>
      <c r="H4930" s="539">
        <f>SUM(H4926:H4929)</f>
        <v>11190</v>
      </c>
      <c r="I4930" s="819"/>
    </row>
    <row r="4931" spans="3:11" ht="25.8" customHeight="1">
      <c r="C4931" s="213" t="s">
        <v>1209</v>
      </c>
      <c r="D4931" s="212" t="s">
        <v>1210</v>
      </c>
      <c r="E4931" s="534"/>
      <c r="F4931" s="831"/>
      <c r="G4931" s="534"/>
      <c r="H4931" s="534"/>
    </row>
    <row r="4932" spans="3:11" s="865" customFormat="1" ht="25.8" customHeight="1">
      <c r="C4932" s="859" t="s">
        <v>1203</v>
      </c>
      <c r="D4932" s="860" t="s">
        <v>3519</v>
      </c>
      <c r="E4932" s="861" t="s">
        <v>2167</v>
      </c>
      <c r="F4932" s="862">
        <v>1.1000000000000001</v>
      </c>
      <c r="G4932" s="863">
        <f>VLOOKUP(D4932,upahbahan,3,FALSE)</f>
        <v>0</v>
      </c>
      <c r="H4932" s="863">
        <f t="shared" ref="H4932" si="537">F4932*G4932</f>
        <v>0</v>
      </c>
      <c r="I4932" s="864"/>
      <c r="J4932" s="517"/>
      <c r="K4932" s="517"/>
    </row>
    <row r="4933" spans="3:11" ht="25.8" customHeight="1">
      <c r="C4933" s="702" t="s">
        <v>1214</v>
      </c>
      <c r="D4933" s="208"/>
      <c r="E4933" s="208"/>
      <c r="F4933" s="208"/>
      <c r="G4933" s="209"/>
      <c r="H4933" s="539">
        <f>SUM(H4932:H4932)</f>
        <v>0</v>
      </c>
    </row>
    <row r="4934" spans="3:11" ht="25.8" customHeight="1">
      <c r="C4934" s="213" t="s">
        <v>1215</v>
      </c>
      <c r="D4934" s="212" t="s">
        <v>1216</v>
      </c>
      <c r="E4934" s="534"/>
      <c r="F4934" s="534"/>
      <c r="G4934" s="534"/>
      <c r="H4934" s="534"/>
    </row>
    <row r="4935" spans="3:11" ht="25.8" customHeight="1">
      <c r="C4935" s="702" t="s">
        <v>1217</v>
      </c>
      <c r="D4935" s="815"/>
      <c r="E4935" s="815"/>
      <c r="F4935" s="815"/>
      <c r="G4935" s="209"/>
      <c r="H4935" s="821">
        <f>SUM(H4934)</f>
        <v>0</v>
      </c>
    </row>
    <row r="4936" spans="3:11" ht="25.8" customHeight="1">
      <c r="C4936" s="566" t="s">
        <v>1218</v>
      </c>
      <c r="D4936" s="552" t="s">
        <v>1219</v>
      </c>
      <c r="E4936" s="553"/>
      <c r="F4936" s="553"/>
      <c r="G4936" s="554"/>
      <c r="H4936" s="826">
        <f>H4935+H4933+H4930</f>
        <v>11190</v>
      </c>
      <c r="I4936" s="827"/>
    </row>
    <row r="4937" spans="3:11" ht="25.8" customHeight="1">
      <c r="C4937" s="566" t="s">
        <v>1220</v>
      </c>
      <c r="D4937" s="552" t="s">
        <v>1321</v>
      </c>
      <c r="E4937" s="553"/>
      <c r="F4937" s="554"/>
      <c r="G4937" s="555">
        <f>$M$9</f>
        <v>0.1</v>
      </c>
      <c r="H4937" s="539">
        <f>H4936*G4937</f>
        <v>1119</v>
      </c>
      <c r="I4937" s="827"/>
    </row>
    <row r="4938" spans="3:11" ht="25.8" customHeight="1">
      <c r="C4938" s="566" t="s">
        <v>1221</v>
      </c>
      <c r="D4938" s="552" t="s">
        <v>1222</v>
      </c>
      <c r="E4938" s="553"/>
      <c r="F4938" s="553"/>
      <c r="G4938" s="554"/>
      <c r="H4938" s="828">
        <f>SUM(H4936:H4937)</f>
        <v>12309</v>
      </c>
      <c r="I4938" s="827"/>
    </row>
    <row r="4939" spans="3:11" ht="25.8" customHeight="1"/>
    <row r="4940" spans="3:11" ht="25.8" customHeight="1">
      <c r="C4940" s="513" t="s">
        <v>3521</v>
      </c>
      <c r="D4940" s="817" t="s">
        <v>3522</v>
      </c>
      <c r="E4940" s="803"/>
      <c r="F4940" s="803"/>
      <c r="G4940" s="803"/>
      <c r="H4940" s="803"/>
      <c r="I4940" s="533">
        <f>ROUNDDOWN(H4955,-2)</f>
        <v>29000</v>
      </c>
      <c r="J4940" s="536"/>
      <c r="K4940" s="824"/>
    </row>
    <row r="4941" spans="3:11" ht="25.8" customHeight="1">
      <c r="C4941" s="716" t="s">
        <v>1195</v>
      </c>
      <c r="D4941" s="716" t="s">
        <v>1196</v>
      </c>
      <c r="E4941" s="716" t="s">
        <v>1197</v>
      </c>
      <c r="F4941" s="716" t="s">
        <v>1198</v>
      </c>
      <c r="G4941" s="716" t="s">
        <v>1199</v>
      </c>
      <c r="H4941" s="716" t="s">
        <v>1200</v>
      </c>
    </row>
    <row r="4942" spans="3:11" ht="25.8" customHeight="1">
      <c r="C4942" s="213" t="s">
        <v>1201</v>
      </c>
      <c r="D4942" s="212" t="s">
        <v>1202</v>
      </c>
      <c r="E4942" s="534"/>
      <c r="F4942" s="534"/>
      <c r="G4942" s="534"/>
      <c r="H4942" s="534"/>
    </row>
    <row r="4943" spans="3:11" ht="25.8" customHeight="1">
      <c r="C4943" s="818">
        <v>1</v>
      </c>
      <c r="D4943" s="212" t="s">
        <v>5</v>
      </c>
      <c r="E4943" s="212" t="s">
        <v>6</v>
      </c>
      <c r="F4943" s="538">
        <v>7.3999999999999996E-2</v>
      </c>
      <c r="G4943" s="539">
        <f>VLOOKUP(D4943,upahbahan,3,FALSE)</f>
        <v>100000</v>
      </c>
      <c r="H4943" s="539">
        <f t="shared" ref="H4943:H4946" si="538">F4943*G4943</f>
        <v>7400</v>
      </c>
    </row>
    <row r="4944" spans="3:11" ht="25.8" customHeight="1">
      <c r="C4944" s="818">
        <v>2</v>
      </c>
      <c r="D4944" s="212" t="s">
        <v>3295</v>
      </c>
      <c r="E4944" s="212" t="s">
        <v>6</v>
      </c>
      <c r="F4944" s="538">
        <v>0.123</v>
      </c>
      <c r="G4944" s="539">
        <f>VLOOKUP(D4944,upahbahan,3,FALSE)</f>
        <v>135000</v>
      </c>
      <c r="H4944" s="539">
        <f t="shared" si="538"/>
        <v>16605</v>
      </c>
    </row>
    <row r="4945" spans="3:11" ht="25.8" customHeight="1">
      <c r="C4945" s="818">
        <v>3</v>
      </c>
      <c r="D4945" s="212" t="s">
        <v>18</v>
      </c>
      <c r="E4945" s="212" t="s">
        <v>6</v>
      </c>
      <c r="F4945" s="538">
        <v>1.2E-2</v>
      </c>
      <c r="G4945" s="539">
        <f>VLOOKUP(D4945,upahbahan,3,FALSE)</f>
        <v>150000</v>
      </c>
      <c r="H4945" s="539">
        <f t="shared" si="538"/>
        <v>1800</v>
      </c>
    </row>
    <row r="4946" spans="3:11" ht="25.8" customHeight="1">
      <c r="C4946" s="818">
        <v>4</v>
      </c>
      <c r="D4946" s="212" t="s">
        <v>19</v>
      </c>
      <c r="E4946" s="212" t="s">
        <v>6</v>
      </c>
      <c r="F4946" s="538">
        <v>4.0000000000000001E-3</v>
      </c>
      <c r="G4946" s="539">
        <f>VLOOKUP(D4946,upahbahan,3,FALSE)</f>
        <v>160000</v>
      </c>
      <c r="H4946" s="539">
        <f t="shared" si="538"/>
        <v>640</v>
      </c>
    </row>
    <row r="4947" spans="3:11" ht="25.8" customHeight="1">
      <c r="C4947" s="702" t="s">
        <v>1208</v>
      </c>
      <c r="D4947" s="208"/>
      <c r="E4947" s="208"/>
      <c r="F4947" s="811"/>
      <c r="G4947" s="522"/>
      <c r="H4947" s="539">
        <f>SUM(H4943:H4946)</f>
        <v>26445</v>
      </c>
      <c r="I4947" s="819"/>
    </row>
    <row r="4948" spans="3:11" ht="25.8" customHeight="1">
      <c r="C4948" s="213" t="s">
        <v>1209</v>
      </c>
      <c r="D4948" s="212" t="s">
        <v>1210</v>
      </c>
      <c r="E4948" s="534"/>
      <c r="F4948" s="831"/>
      <c r="G4948" s="534"/>
      <c r="H4948" s="534"/>
    </row>
    <row r="4949" spans="3:11" s="865" customFormat="1" ht="25.8" customHeight="1">
      <c r="C4949" s="859" t="s">
        <v>1203</v>
      </c>
      <c r="D4949" s="860" t="s">
        <v>3523</v>
      </c>
      <c r="E4949" s="861" t="s">
        <v>2167</v>
      </c>
      <c r="F4949" s="862">
        <v>1.1000000000000001</v>
      </c>
      <c r="G4949" s="863">
        <f>VLOOKUP(D4949,upahbahan,3,FALSE)</f>
        <v>0</v>
      </c>
      <c r="H4949" s="863">
        <f t="shared" ref="H4949" si="539">F4949*G4949</f>
        <v>0</v>
      </c>
      <c r="I4949" s="864"/>
      <c r="J4949" s="517"/>
      <c r="K4949" s="517"/>
    </row>
    <row r="4950" spans="3:11" ht="25.8" customHeight="1">
      <c r="C4950" s="702" t="s">
        <v>1214</v>
      </c>
      <c r="D4950" s="208"/>
      <c r="E4950" s="208"/>
      <c r="F4950" s="208"/>
      <c r="G4950" s="209"/>
      <c r="H4950" s="539">
        <f>SUM(H4949:H4949)</f>
        <v>0</v>
      </c>
    </row>
    <row r="4951" spans="3:11" ht="25.8" customHeight="1">
      <c r="C4951" s="213" t="s">
        <v>1215</v>
      </c>
      <c r="D4951" s="212" t="s">
        <v>1216</v>
      </c>
      <c r="E4951" s="534"/>
      <c r="F4951" s="534"/>
      <c r="G4951" s="534"/>
      <c r="H4951" s="534"/>
    </row>
    <row r="4952" spans="3:11" ht="25.8" customHeight="1">
      <c r="C4952" s="702" t="s">
        <v>1217</v>
      </c>
      <c r="D4952" s="815"/>
      <c r="E4952" s="815"/>
      <c r="F4952" s="815"/>
      <c r="G4952" s="209"/>
      <c r="H4952" s="821">
        <f>SUM(H4951)</f>
        <v>0</v>
      </c>
    </row>
    <row r="4953" spans="3:11" ht="25.8" customHeight="1">
      <c r="C4953" s="566" t="s">
        <v>1218</v>
      </c>
      <c r="D4953" s="552" t="s">
        <v>1219</v>
      </c>
      <c r="E4953" s="553"/>
      <c r="F4953" s="553"/>
      <c r="G4953" s="554"/>
      <c r="H4953" s="826">
        <f>H4952+H4950+H4947</f>
        <v>26445</v>
      </c>
      <c r="I4953" s="827"/>
    </row>
    <row r="4954" spans="3:11" ht="25.8" customHeight="1">
      <c r="C4954" s="566" t="s">
        <v>1220</v>
      </c>
      <c r="D4954" s="552" t="s">
        <v>1321</v>
      </c>
      <c r="E4954" s="553"/>
      <c r="F4954" s="554"/>
      <c r="G4954" s="555">
        <f>$M$9</f>
        <v>0.1</v>
      </c>
      <c r="H4954" s="539">
        <f>H4953*G4954</f>
        <v>2644.5</v>
      </c>
      <c r="I4954" s="827"/>
    </row>
    <row r="4955" spans="3:11" ht="25.8" customHeight="1">
      <c r="C4955" s="566" t="s">
        <v>1221</v>
      </c>
      <c r="D4955" s="552" t="s">
        <v>1222</v>
      </c>
      <c r="E4955" s="553"/>
      <c r="F4955" s="553"/>
      <c r="G4955" s="554"/>
      <c r="H4955" s="828">
        <f>SUM(H4953:H4954)</f>
        <v>29089.5</v>
      </c>
      <c r="I4955" s="827"/>
    </row>
    <row r="4956" spans="3:11" ht="25.8" customHeight="1"/>
    <row r="4957" spans="3:11" ht="25.8" customHeight="1">
      <c r="C4957" s="513" t="s">
        <v>3524</v>
      </c>
      <c r="D4957" s="817" t="s">
        <v>8799</v>
      </c>
      <c r="E4957" s="803"/>
      <c r="F4957" s="803"/>
      <c r="G4957" s="803"/>
      <c r="H4957" s="803"/>
      <c r="I4957" s="533">
        <f>ROUNDDOWN(H4972,-2)</f>
        <v>57400</v>
      </c>
      <c r="J4957" s="536"/>
      <c r="K4957" s="824"/>
    </row>
    <row r="4958" spans="3:11" ht="25.8" customHeight="1">
      <c r="C4958" s="716" t="s">
        <v>1195</v>
      </c>
      <c r="D4958" s="716" t="s">
        <v>1196</v>
      </c>
      <c r="E4958" s="716" t="s">
        <v>1197</v>
      </c>
      <c r="F4958" s="716" t="s">
        <v>1198</v>
      </c>
      <c r="G4958" s="716" t="s">
        <v>1199</v>
      </c>
      <c r="H4958" s="716" t="s">
        <v>1200</v>
      </c>
    </row>
    <row r="4959" spans="3:11" ht="25.8" customHeight="1">
      <c r="C4959" s="213" t="s">
        <v>1201</v>
      </c>
      <c r="D4959" s="212" t="s">
        <v>1202</v>
      </c>
      <c r="E4959" s="534"/>
      <c r="F4959" s="534"/>
      <c r="G4959" s="534"/>
      <c r="H4959" s="534"/>
    </row>
    <row r="4960" spans="3:11" ht="25.8" customHeight="1">
      <c r="C4960" s="818">
        <v>1</v>
      </c>
      <c r="D4960" s="212" t="s">
        <v>5</v>
      </c>
      <c r="E4960" s="212" t="s">
        <v>6</v>
      </c>
      <c r="F4960" s="538">
        <v>0.14499999999999999</v>
      </c>
      <c r="G4960" s="539">
        <f>VLOOKUP(D4960,upahbahan,3,FALSE)</f>
        <v>100000</v>
      </c>
      <c r="H4960" s="539">
        <f t="shared" ref="H4960:H4963" si="540">F4960*G4960</f>
        <v>14499.999999999998</v>
      </c>
    </row>
    <row r="4961" spans="3:11" ht="25.8" customHeight="1">
      <c r="C4961" s="818">
        <v>2</v>
      </c>
      <c r="D4961" s="212" t="s">
        <v>3295</v>
      </c>
      <c r="E4961" s="212" t="s">
        <v>6</v>
      </c>
      <c r="F4961" s="538">
        <v>0.24299999999999999</v>
      </c>
      <c r="G4961" s="539">
        <f>VLOOKUP(D4961,upahbahan,3,FALSE)</f>
        <v>135000</v>
      </c>
      <c r="H4961" s="539">
        <f t="shared" si="540"/>
        <v>32805</v>
      </c>
    </row>
    <row r="4962" spans="3:11" ht="25.8" customHeight="1">
      <c r="C4962" s="818">
        <v>3</v>
      </c>
      <c r="D4962" s="212" t="s">
        <v>18</v>
      </c>
      <c r="E4962" s="212" t="s">
        <v>6</v>
      </c>
      <c r="F4962" s="538">
        <v>2.4E-2</v>
      </c>
      <c r="G4962" s="539">
        <f>VLOOKUP(D4962,upahbahan,3,FALSE)</f>
        <v>150000</v>
      </c>
      <c r="H4962" s="539">
        <f t="shared" si="540"/>
        <v>3600</v>
      </c>
    </row>
    <row r="4963" spans="3:11" ht="25.8" customHeight="1">
      <c r="C4963" s="818">
        <v>4</v>
      </c>
      <c r="D4963" s="212" t="s">
        <v>19</v>
      </c>
      <c r="E4963" s="212" t="s">
        <v>6</v>
      </c>
      <c r="F4963" s="538">
        <v>8.0000000000000002E-3</v>
      </c>
      <c r="G4963" s="539">
        <f>VLOOKUP(D4963,upahbahan,3,FALSE)</f>
        <v>160000</v>
      </c>
      <c r="H4963" s="539">
        <f t="shared" si="540"/>
        <v>1280</v>
      </c>
    </row>
    <row r="4964" spans="3:11" ht="25.8" customHeight="1">
      <c r="C4964" s="702" t="s">
        <v>1208</v>
      </c>
      <c r="D4964" s="208"/>
      <c r="E4964" s="208"/>
      <c r="F4964" s="811"/>
      <c r="G4964" s="522"/>
      <c r="H4964" s="539">
        <f>SUM(H4960:H4963)</f>
        <v>52185</v>
      </c>
      <c r="I4964" s="819"/>
    </row>
    <row r="4965" spans="3:11" ht="25.8" customHeight="1">
      <c r="C4965" s="213" t="s">
        <v>1209</v>
      </c>
      <c r="D4965" s="212" t="s">
        <v>1210</v>
      </c>
      <c r="E4965" s="534"/>
      <c r="F4965" s="831"/>
      <c r="G4965" s="534"/>
      <c r="H4965" s="534"/>
    </row>
    <row r="4966" spans="3:11" s="865" customFormat="1" ht="25.8" customHeight="1">
      <c r="C4966" s="859" t="s">
        <v>1203</v>
      </c>
      <c r="D4966" s="860" t="s">
        <v>3523</v>
      </c>
      <c r="E4966" s="861" t="s">
        <v>2167</v>
      </c>
      <c r="F4966" s="862">
        <v>1.1000000000000001</v>
      </c>
      <c r="G4966" s="863">
        <f>VLOOKUP(D4966,upahbahan,3,FALSE)</f>
        <v>0</v>
      </c>
      <c r="H4966" s="863">
        <f t="shared" ref="H4966" si="541">F4966*G4966</f>
        <v>0</v>
      </c>
      <c r="I4966" s="864"/>
      <c r="J4966" s="517"/>
      <c r="K4966" s="517"/>
    </row>
    <row r="4967" spans="3:11" ht="25.8" customHeight="1">
      <c r="C4967" s="702" t="s">
        <v>1214</v>
      </c>
      <c r="D4967" s="208"/>
      <c r="E4967" s="208"/>
      <c r="F4967" s="208"/>
      <c r="G4967" s="209"/>
      <c r="H4967" s="539">
        <f>SUM(H4966:H4966)</f>
        <v>0</v>
      </c>
    </row>
    <row r="4968" spans="3:11" ht="25.8" customHeight="1">
      <c r="C4968" s="213" t="s">
        <v>1215</v>
      </c>
      <c r="D4968" s="212" t="s">
        <v>1216</v>
      </c>
      <c r="E4968" s="534"/>
      <c r="F4968" s="534"/>
      <c r="G4968" s="534"/>
      <c r="H4968" s="534"/>
    </row>
    <row r="4969" spans="3:11" ht="25.8" customHeight="1">
      <c r="C4969" s="702" t="s">
        <v>1217</v>
      </c>
      <c r="D4969" s="815"/>
      <c r="E4969" s="815"/>
      <c r="F4969" s="815"/>
      <c r="G4969" s="209"/>
      <c r="H4969" s="821">
        <f>SUM(H4968)</f>
        <v>0</v>
      </c>
    </row>
    <row r="4970" spans="3:11" ht="25.8" customHeight="1">
      <c r="C4970" s="566" t="s">
        <v>1218</v>
      </c>
      <c r="D4970" s="552" t="s">
        <v>1219</v>
      </c>
      <c r="E4970" s="553"/>
      <c r="F4970" s="553"/>
      <c r="G4970" s="554"/>
      <c r="H4970" s="826">
        <f>H4969+H4967+H4964</f>
        <v>52185</v>
      </c>
      <c r="I4970" s="827"/>
    </row>
    <row r="4971" spans="3:11" ht="25.8" customHeight="1">
      <c r="C4971" s="566" t="s">
        <v>1220</v>
      </c>
      <c r="D4971" s="552" t="s">
        <v>1321</v>
      </c>
      <c r="E4971" s="553"/>
      <c r="F4971" s="554"/>
      <c r="G4971" s="555">
        <f>$M$9</f>
        <v>0.1</v>
      </c>
      <c r="H4971" s="539">
        <f>H4970*G4971</f>
        <v>5218.5</v>
      </c>
      <c r="I4971" s="827"/>
    </row>
    <row r="4972" spans="3:11" ht="25.8" customHeight="1">
      <c r="C4972" s="566" t="s">
        <v>1221</v>
      </c>
      <c r="D4972" s="552" t="s">
        <v>1222</v>
      </c>
      <c r="E4972" s="553"/>
      <c r="F4972" s="553"/>
      <c r="G4972" s="554"/>
      <c r="H4972" s="828">
        <f>SUM(H4970:H4971)</f>
        <v>57403.5</v>
      </c>
      <c r="I4972" s="827"/>
    </row>
    <row r="4973" spans="3:11" ht="25.8" customHeight="1"/>
    <row r="4974" spans="3:11" ht="25.8" customHeight="1">
      <c r="C4974" s="513" t="s">
        <v>3525</v>
      </c>
      <c r="D4974" s="817" t="s">
        <v>3526</v>
      </c>
      <c r="E4974" s="803"/>
      <c r="F4974" s="803"/>
      <c r="G4974" s="803"/>
      <c r="H4974" s="803"/>
      <c r="I4974" s="533">
        <f>ROUNDDOWN(H4989,-2)</f>
        <v>86600</v>
      </c>
      <c r="J4974" s="536"/>
      <c r="K4974" s="824"/>
    </row>
    <row r="4975" spans="3:11" ht="25.8" customHeight="1">
      <c r="C4975" s="716" t="s">
        <v>1195</v>
      </c>
      <c r="D4975" s="716" t="s">
        <v>1196</v>
      </c>
      <c r="E4975" s="716" t="s">
        <v>1197</v>
      </c>
      <c r="F4975" s="716" t="s">
        <v>1198</v>
      </c>
      <c r="G4975" s="716" t="s">
        <v>1199</v>
      </c>
      <c r="H4975" s="716" t="s">
        <v>1200</v>
      </c>
    </row>
    <row r="4976" spans="3:11" ht="25.8" customHeight="1">
      <c r="C4976" s="213" t="s">
        <v>1201</v>
      </c>
      <c r="D4976" s="212" t="s">
        <v>1202</v>
      </c>
      <c r="E4976" s="534"/>
      <c r="F4976" s="534"/>
      <c r="G4976" s="534"/>
      <c r="H4976" s="534"/>
    </row>
    <row r="4977" spans="3:11" ht="25.8" customHeight="1">
      <c r="C4977" s="818">
        <v>1</v>
      </c>
      <c r="D4977" s="212" t="s">
        <v>5</v>
      </c>
      <c r="E4977" s="212" t="s">
        <v>6</v>
      </c>
      <c r="F4977" s="538">
        <v>0.219</v>
      </c>
      <c r="G4977" s="539">
        <f>VLOOKUP(D4977,upahbahan,3,FALSE)</f>
        <v>100000</v>
      </c>
      <c r="H4977" s="539">
        <f t="shared" ref="H4977:H4980" si="542">F4977*G4977</f>
        <v>21900</v>
      </c>
    </row>
    <row r="4978" spans="3:11" ht="25.8" customHeight="1">
      <c r="C4978" s="818">
        <v>2</v>
      </c>
      <c r="D4978" s="212" t="s">
        <v>3295</v>
      </c>
      <c r="E4978" s="212" t="s">
        <v>6</v>
      </c>
      <c r="F4978" s="538">
        <v>0.36599999999999999</v>
      </c>
      <c r="G4978" s="539">
        <f>VLOOKUP(D4978,upahbahan,3,FALSE)</f>
        <v>135000</v>
      </c>
      <c r="H4978" s="539">
        <f t="shared" si="542"/>
        <v>49410</v>
      </c>
    </row>
    <row r="4979" spans="3:11" ht="25.8" customHeight="1">
      <c r="C4979" s="818">
        <v>3</v>
      </c>
      <c r="D4979" s="212" t="s">
        <v>18</v>
      </c>
      <c r="E4979" s="212" t="s">
        <v>6</v>
      </c>
      <c r="F4979" s="538">
        <v>3.6999999999999998E-2</v>
      </c>
      <c r="G4979" s="539">
        <f>VLOOKUP(D4979,upahbahan,3,FALSE)</f>
        <v>150000</v>
      </c>
      <c r="H4979" s="539">
        <f t="shared" si="542"/>
        <v>5550</v>
      </c>
    </row>
    <row r="4980" spans="3:11" ht="25.8" customHeight="1">
      <c r="C4980" s="818">
        <v>4</v>
      </c>
      <c r="D4980" s="212" t="s">
        <v>19</v>
      </c>
      <c r="E4980" s="212" t="s">
        <v>6</v>
      </c>
      <c r="F4980" s="538">
        <v>1.2E-2</v>
      </c>
      <c r="G4980" s="539">
        <f>VLOOKUP(D4980,upahbahan,3,FALSE)</f>
        <v>160000</v>
      </c>
      <c r="H4980" s="539">
        <f t="shared" si="542"/>
        <v>1920</v>
      </c>
    </row>
    <row r="4981" spans="3:11" ht="25.8" customHeight="1">
      <c r="C4981" s="702" t="s">
        <v>1208</v>
      </c>
      <c r="D4981" s="208"/>
      <c r="E4981" s="208"/>
      <c r="F4981" s="811"/>
      <c r="G4981" s="522"/>
      <c r="H4981" s="539">
        <f>SUM(H4977:H4980)</f>
        <v>78780</v>
      </c>
      <c r="I4981" s="819"/>
    </row>
    <row r="4982" spans="3:11" ht="25.8" customHeight="1">
      <c r="C4982" s="213" t="s">
        <v>1209</v>
      </c>
      <c r="D4982" s="212" t="s">
        <v>1210</v>
      </c>
      <c r="E4982" s="534"/>
      <c r="F4982" s="831"/>
      <c r="G4982" s="534"/>
      <c r="H4982" s="534"/>
    </row>
    <row r="4983" spans="3:11" s="865" customFormat="1" ht="25.8" customHeight="1">
      <c r="C4983" s="859" t="s">
        <v>1203</v>
      </c>
      <c r="D4983" s="860" t="s">
        <v>3523</v>
      </c>
      <c r="E4983" s="861" t="s">
        <v>2167</v>
      </c>
      <c r="F4983" s="862">
        <v>1.1000000000000001</v>
      </c>
      <c r="G4983" s="863">
        <f>VLOOKUP(D4983,upahbahan,3,FALSE)</f>
        <v>0</v>
      </c>
      <c r="H4983" s="863">
        <f t="shared" ref="H4983" si="543">F4983*G4983</f>
        <v>0</v>
      </c>
      <c r="I4983" s="864"/>
      <c r="J4983" s="517"/>
      <c r="K4983" s="517"/>
    </row>
    <row r="4984" spans="3:11" ht="25.8" customHeight="1">
      <c r="C4984" s="702" t="s">
        <v>1214</v>
      </c>
      <c r="D4984" s="208"/>
      <c r="E4984" s="208"/>
      <c r="F4984" s="208"/>
      <c r="G4984" s="209"/>
      <c r="H4984" s="539">
        <f>SUM(H4983:H4983)</f>
        <v>0</v>
      </c>
    </row>
    <row r="4985" spans="3:11" ht="25.8" customHeight="1">
      <c r="C4985" s="213" t="s">
        <v>1215</v>
      </c>
      <c r="D4985" s="212" t="s">
        <v>1216</v>
      </c>
      <c r="E4985" s="534"/>
      <c r="F4985" s="534"/>
      <c r="G4985" s="534"/>
      <c r="H4985" s="534"/>
    </row>
    <row r="4986" spans="3:11" ht="25.8" customHeight="1">
      <c r="C4986" s="702" t="s">
        <v>1217</v>
      </c>
      <c r="D4986" s="815"/>
      <c r="E4986" s="815"/>
      <c r="F4986" s="815"/>
      <c r="G4986" s="209"/>
      <c r="H4986" s="821">
        <f>SUM(H4985)</f>
        <v>0</v>
      </c>
    </row>
    <row r="4987" spans="3:11" ht="25.8" customHeight="1">
      <c r="C4987" s="566" t="s">
        <v>1218</v>
      </c>
      <c r="D4987" s="552" t="s">
        <v>1219</v>
      </c>
      <c r="E4987" s="553"/>
      <c r="F4987" s="553"/>
      <c r="G4987" s="554"/>
      <c r="H4987" s="826">
        <f>H4986+H4984+H4981</f>
        <v>78780</v>
      </c>
      <c r="I4987" s="827"/>
    </row>
    <row r="4988" spans="3:11" ht="25.8" customHeight="1">
      <c r="C4988" s="566" t="s">
        <v>1220</v>
      </c>
      <c r="D4988" s="552" t="s">
        <v>1321</v>
      </c>
      <c r="E4988" s="553"/>
      <c r="F4988" s="554"/>
      <c r="G4988" s="555">
        <f>$M$9</f>
        <v>0.1</v>
      </c>
      <c r="H4988" s="539">
        <f>H4987*G4988</f>
        <v>7878</v>
      </c>
      <c r="I4988" s="827"/>
    </row>
    <row r="4989" spans="3:11" ht="25.8" customHeight="1">
      <c r="C4989" s="566" t="s">
        <v>1221</v>
      </c>
      <c r="D4989" s="552" t="s">
        <v>1222</v>
      </c>
      <c r="E4989" s="553"/>
      <c r="F4989" s="553"/>
      <c r="G4989" s="554"/>
      <c r="H4989" s="828">
        <f>SUM(H4987:H4988)</f>
        <v>86658</v>
      </c>
      <c r="I4989" s="827"/>
    </row>
    <row r="4990" spans="3:11" ht="25.8" customHeight="1"/>
    <row r="4991" spans="3:11" ht="25.8" customHeight="1">
      <c r="C4991" s="513" t="s">
        <v>3527</v>
      </c>
      <c r="D4991" s="817" t="s">
        <v>3528</v>
      </c>
      <c r="E4991" s="803"/>
      <c r="F4991" s="803"/>
      <c r="G4991" s="803"/>
      <c r="H4991" s="803"/>
      <c r="I4991" s="533">
        <f>ROUNDDOWN(H5006,-2)</f>
        <v>57400</v>
      </c>
      <c r="J4991" s="536"/>
      <c r="K4991" s="824"/>
    </row>
    <row r="4992" spans="3:11" ht="25.8" customHeight="1">
      <c r="C4992" s="716" t="s">
        <v>1195</v>
      </c>
      <c r="D4992" s="716" t="s">
        <v>1196</v>
      </c>
      <c r="E4992" s="716" t="s">
        <v>1197</v>
      </c>
      <c r="F4992" s="716" t="s">
        <v>1198</v>
      </c>
      <c r="G4992" s="716" t="s">
        <v>1199</v>
      </c>
      <c r="H4992" s="716" t="s">
        <v>1200</v>
      </c>
    </row>
    <row r="4993" spans="3:11" ht="25.8" customHeight="1">
      <c r="C4993" s="213" t="s">
        <v>1201</v>
      </c>
      <c r="D4993" s="212" t="s">
        <v>1202</v>
      </c>
      <c r="E4993" s="534"/>
      <c r="F4993" s="534"/>
      <c r="G4993" s="534"/>
      <c r="H4993" s="534"/>
    </row>
    <row r="4994" spans="3:11" ht="25.8" customHeight="1">
      <c r="C4994" s="818">
        <v>1</v>
      </c>
      <c r="D4994" s="212" t="s">
        <v>5</v>
      </c>
      <c r="E4994" s="212" t="s">
        <v>6</v>
      </c>
      <c r="F4994" s="538">
        <v>0.14499999999999999</v>
      </c>
      <c r="G4994" s="539">
        <f>VLOOKUP(D4994,upahbahan,3,FALSE)</f>
        <v>100000</v>
      </c>
      <c r="H4994" s="539">
        <f t="shared" ref="H4994:H4997" si="544">F4994*G4994</f>
        <v>14499.999999999998</v>
      </c>
    </row>
    <row r="4995" spans="3:11" ht="25.8" customHeight="1">
      <c r="C4995" s="818">
        <v>2</v>
      </c>
      <c r="D4995" s="212" t="s">
        <v>3295</v>
      </c>
      <c r="E4995" s="212" t="s">
        <v>6</v>
      </c>
      <c r="F4995" s="538">
        <v>0.24299999999999999</v>
      </c>
      <c r="G4995" s="539">
        <f>VLOOKUP(D4995,upahbahan,3,FALSE)</f>
        <v>135000</v>
      </c>
      <c r="H4995" s="539">
        <f t="shared" si="544"/>
        <v>32805</v>
      </c>
    </row>
    <row r="4996" spans="3:11" ht="25.8" customHeight="1">
      <c r="C4996" s="818">
        <v>3</v>
      </c>
      <c r="D4996" s="212" t="s">
        <v>18</v>
      </c>
      <c r="E4996" s="212" t="s">
        <v>6</v>
      </c>
      <c r="F4996" s="538">
        <v>2.4E-2</v>
      </c>
      <c r="G4996" s="539">
        <f>VLOOKUP(D4996,upahbahan,3,FALSE)</f>
        <v>150000</v>
      </c>
      <c r="H4996" s="539">
        <f t="shared" si="544"/>
        <v>3600</v>
      </c>
    </row>
    <row r="4997" spans="3:11" ht="25.8" customHeight="1">
      <c r="C4997" s="818">
        <v>4</v>
      </c>
      <c r="D4997" s="212" t="s">
        <v>19</v>
      </c>
      <c r="E4997" s="212" t="s">
        <v>6</v>
      </c>
      <c r="F4997" s="538">
        <v>8.0000000000000002E-3</v>
      </c>
      <c r="G4997" s="539">
        <f>VLOOKUP(D4997,upahbahan,3,FALSE)</f>
        <v>160000</v>
      </c>
      <c r="H4997" s="539">
        <f t="shared" si="544"/>
        <v>1280</v>
      </c>
    </row>
    <row r="4998" spans="3:11" ht="25.8" customHeight="1">
      <c r="C4998" s="702" t="s">
        <v>1208</v>
      </c>
      <c r="D4998" s="208"/>
      <c r="E4998" s="208"/>
      <c r="F4998" s="811"/>
      <c r="G4998" s="522"/>
      <c r="H4998" s="539">
        <f>SUM(H4994:H4997)</f>
        <v>52185</v>
      </c>
      <c r="I4998" s="819"/>
    </row>
    <row r="4999" spans="3:11" ht="25.8" customHeight="1">
      <c r="C4999" s="213" t="s">
        <v>1209</v>
      </c>
      <c r="D4999" s="212" t="s">
        <v>1210</v>
      </c>
      <c r="E4999" s="534"/>
      <c r="F4999" s="831"/>
      <c r="G4999" s="534"/>
      <c r="H4999" s="534"/>
    </row>
    <row r="5000" spans="3:11" s="865" customFormat="1" ht="25.8" customHeight="1">
      <c r="C5000" s="859" t="s">
        <v>1203</v>
      </c>
      <c r="D5000" s="860" t="s">
        <v>3529</v>
      </c>
      <c r="E5000" s="861" t="s">
        <v>2167</v>
      </c>
      <c r="F5000" s="862">
        <v>1.1000000000000001</v>
      </c>
      <c r="G5000" s="863">
        <f>VLOOKUP(D5000,upahbahan,3,FALSE)</f>
        <v>0</v>
      </c>
      <c r="H5000" s="863">
        <f t="shared" ref="H5000" si="545">F5000*G5000</f>
        <v>0</v>
      </c>
      <c r="I5000" s="864"/>
      <c r="J5000" s="517"/>
      <c r="K5000" s="517"/>
    </row>
    <row r="5001" spans="3:11" ht="25.8" customHeight="1">
      <c r="C5001" s="702" t="s">
        <v>1214</v>
      </c>
      <c r="D5001" s="208"/>
      <c r="E5001" s="208"/>
      <c r="F5001" s="208"/>
      <c r="G5001" s="209"/>
      <c r="H5001" s="539">
        <f>SUM(H5000:H5000)</f>
        <v>0</v>
      </c>
    </row>
    <row r="5002" spans="3:11" ht="25.8" customHeight="1">
      <c r="C5002" s="213" t="s">
        <v>1215</v>
      </c>
      <c r="D5002" s="212" t="s">
        <v>1216</v>
      </c>
      <c r="E5002" s="534"/>
      <c r="F5002" s="534"/>
      <c r="G5002" s="534"/>
      <c r="H5002" s="534"/>
    </row>
    <row r="5003" spans="3:11" ht="25.8" customHeight="1">
      <c r="C5003" s="702" t="s">
        <v>1217</v>
      </c>
      <c r="D5003" s="815"/>
      <c r="E5003" s="815"/>
      <c r="F5003" s="815"/>
      <c r="G5003" s="209"/>
      <c r="H5003" s="821">
        <f>SUM(H5002)</f>
        <v>0</v>
      </c>
    </row>
    <row r="5004" spans="3:11" ht="25.8" customHeight="1">
      <c r="C5004" s="566" t="s">
        <v>1218</v>
      </c>
      <c r="D5004" s="552" t="s">
        <v>1219</v>
      </c>
      <c r="E5004" s="553"/>
      <c r="F5004" s="553"/>
      <c r="G5004" s="554"/>
      <c r="H5004" s="826">
        <f>H5003+H5001+H4998</f>
        <v>52185</v>
      </c>
      <c r="I5004" s="827"/>
    </row>
    <row r="5005" spans="3:11" ht="25.8" customHeight="1">
      <c r="C5005" s="566" t="s">
        <v>1220</v>
      </c>
      <c r="D5005" s="552" t="s">
        <v>1321</v>
      </c>
      <c r="E5005" s="553"/>
      <c r="F5005" s="554"/>
      <c r="G5005" s="555">
        <f>$M$9</f>
        <v>0.1</v>
      </c>
      <c r="H5005" s="539">
        <f>H5004*G5005</f>
        <v>5218.5</v>
      </c>
      <c r="I5005" s="827"/>
    </row>
    <row r="5006" spans="3:11" ht="25.8" customHeight="1">
      <c r="C5006" s="566" t="s">
        <v>1221</v>
      </c>
      <c r="D5006" s="552" t="s">
        <v>1222</v>
      </c>
      <c r="E5006" s="553"/>
      <c r="F5006" s="553"/>
      <c r="G5006" s="554"/>
      <c r="H5006" s="828">
        <f>SUM(H5004:H5005)</f>
        <v>57403.5</v>
      </c>
      <c r="I5006" s="827"/>
    </row>
    <row r="5007" spans="3:11" ht="25.8" customHeight="1"/>
    <row r="5008" spans="3:11" ht="25.8" customHeight="1">
      <c r="C5008" s="513" t="s">
        <v>3530</v>
      </c>
      <c r="D5008" s="817" t="s">
        <v>8800</v>
      </c>
      <c r="E5008" s="803"/>
      <c r="F5008" s="803"/>
      <c r="G5008" s="803"/>
      <c r="H5008" s="803"/>
      <c r="I5008" s="533">
        <f>ROUNDDOWN(H5023,-2)</f>
        <v>46100</v>
      </c>
      <c r="J5008" s="536"/>
      <c r="K5008" s="824"/>
    </row>
    <row r="5009" spans="3:11" ht="25.8" customHeight="1">
      <c r="C5009" s="716" t="s">
        <v>1195</v>
      </c>
      <c r="D5009" s="716" t="s">
        <v>1196</v>
      </c>
      <c r="E5009" s="716" t="s">
        <v>1197</v>
      </c>
      <c r="F5009" s="716" t="s">
        <v>1198</v>
      </c>
      <c r="G5009" s="716" t="s">
        <v>1199</v>
      </c>
      <c r="H5009" s="716" t="s">
        <v>1200</v>
      </c>
    </row>
    <row r="5010" spans="3:11" ht="25.8" customHeight="1">
      <c r="C5010" s="213" t="s">
        <v>1201</v>
      </c>
      <c r="D5010" s="212" t="s">
        <v>1202</v>
      </c>
      <c r="E5010" s="534"/>
      <c r="F5010" s="534"/>
      <c r="G5010" s="534"/>
      <c r="H5010" s="534"/>
    </row>
    <row r="5011" spans="3:11" ht="25.8" customHeight="1">
      <c r="C5011" s="818">
        <v>1</v>
      </c>
      <c r="D5011" s="212" t="s">
        <v>5</v>
      </c>
      <c r="E5011" s="212" t="s">
        <v>6</v>
      </c>
      <c r="F5011" s="538">
        <v>2.5999999999999999E-2</v>
      </c>
      <c r="G5011" s="539">
        <f>VLOOKUP(D5011,upahbahan,3,FALSE)</f>
        <v>100000</v>
      </c>
      <c r="H5011" s="539">
        <f t="shared" ref="H5011:H5014" si="546">F5011*G5011</f>
        <v>2600</v>
      </c>
    </row>
    <row r="5012" spans="3:11" ht="25.8" customHeight="1">
      <c r="C5012" s="818">
        <v>2</v>
      </c>
      <c r="D5012" s="212" t="s">
        <v>3295</v>
      </c>
      <c r="E5012" s="212" t="s">
        <v>6</v>
      </c>
      <c r="F5012" s="538">
        <v>4.3999999999999997E-2</v>
      </c>
      <c r="G5012" s="539">
        <f>VLOOKUP(D5012,upahbahan,3,FALSE)</f>
        <v>135000</v>
      </c>
      <c r="H5012" s="539">
        <f t="shared" si="546"/>
        <v>5940</v>
      </c>
    </row>
    <row r="5013" spans="3:11" ht="25.8" customHeight="1">
      <c r="C5013" s="818">
        <v>3</v>
      </c>
      <c r="D5013" s="212" t="s">
        <v>18</v>
      </c>
      <c r="E5013" s="212" t="s">
        <v>6</v>
      </c>
      <c r="F5013" s="538">
        <v>4.0000000000000001E-3</v>
      </c>
      <c r="G5013" s="539">
        <f>VLOOKUP(D5013,upahbahan,3,FALSE)</f>
        <v>150000</v>
      </c>
      <c r="H5013" s="539">
        <f t="shared" si="546"/>
        <v>600</v>
      </c>
    </row>
    <row r="5014" spans="3:11" ht="25.8" customHeight="1">
      <c r="C5014" s="818">
        <v>4</v>
      </c>
      <c r="D5014" s="212" t="s">
        <v>19</v>
      </c>
      <c r="E5014" s="212" t="s">
        <v>6</v>
      </c>
      <c r="F5014" s="538">
        <v>1E-3</v>
      </c>
      <c r="G5014" s="539">
        <f>VLOOKUP(D5014,upahbahan,3,FALSE)</f>
        <v>160000</v>
      </c>
      <c r="H5014" s="539">
        <f t="shared" si="546"/>
        <v>160</v>
      </c>
    </row>
    <row r="5015" spans="3:11" ht="25.8" customHeight="1">
      <c r="C5015" s="702" t="s">
        <v>1208</v>
      </c>
      <c r="D5015" s="208"/>
      <c r="E5015" s="208"/>
      <c r="F5015" s="811"/>
      <c r="G5015" s="522"/>
      <c r="H5015" s="539">
        <f>SUM(H5011:H5014)</f>
        <v>9300</v>
      </c>
      <c r="I5015" s="819"/>
    </row>
    <row r="5016" spans="3:11" ht="25.8" customHeight="1">
      <c r="C5016" s="213" t="s">
        <v>1209</v>
      </c>
      <c r="D5016" s="212" t="s">
        <v>1210</v>
      </c>
      <c r="E5016" s="534"/>
      <c r="F5016" s="831"/>
      <c r="G5016" s="534"/>
      <c r="H5016" s="534"/>
    </row>
    <row r="5017" spans="3:11" s="865" customFormat="1" ht="25.8" customHeight="1">
      <c r="C5017" s="859" t="s">
        <v>1203</v>
      </c>
      <c r="D5017" s="860" t="s">
        <v>3531</v>
      </c>
      <c r="E5017" s="861" t="s">
        <v>2167</v>
      </c>
      <c r="F5017" s="862">
        <v>1.1000000000000001</v>
      </c>
      <c r="G5017" s="863">
        <f>VLOOKUP(D5017,upahbahan,3,FALSE)</f>
        <v>29700</v>
      </c>
      <c r="H5017" s="863">
        <f t="shared" ref="H5017" si="547">F5017*G5017</f>
        <v>32670.000000000004</v>
      </c>
      <c r="I5017" s="864"/>
      <c r="J5017" s="517"/>
      <c r="K5017" s="517"/>
    </row>
    <row r="5018" spans="3:11" ht="25.8" customHeight="1">
      <c r="C5018" s="702" t="s">
        <v>1214</v>
      </c>
      <c r="D5018" s="208"/>
      <c r="E5018" s="208"/>
      <c r="F5018" s="208"/>
      <c r="G5018" s="209"/>
      <c r="H5018" s="539">
        <f>SUM(H5017:H5017)</f>
        <v>32670.000000000004</v>
      </c>
    </row>
    <row r="5019" spans="3:11" ht="25.8" customHeight="1">
      <c r="C5019" s="213" t="s">
        <v>1215</v>
      </c>
      <c r="D5019" s="212" t="s">
        <v>1216</v>
      </c>
      <c r="E5019" s="534"/>
      <c r="F5019" s="534"/>
      <c r="G5019" s="534"/>
      <c r="H5019" s="534"/>
    </row>
    <row r="5020" spans="3:11" ht="25.8" customHeight="1">
      <c r="C5020" s="702" t="s">
        <v>1217</v>
      </c>
      <c r="D5020" s="815"/>
      <c r="E5020" s="815"/>
      <c r="F5020" s="815"/>
      <c r="G5020" s="209"/>
      <c r="H5020" s="821">
        <f>SUM(H5019)</f>
        <v>0</v>
      </c>
    </row>
    <row r="5021" spans="3:11" ht="25.8" customHeight="1">
      <c r="C5021" s="566" t="s">
        <v>1218</v>
      </c>
      <c r="D5021" s="552" t="s">
        <v>1219</v>
      </c>
      <c r="E5021" s="553"/>
      <c r="F5021" s="553"/>
      <c r="G5021" s="554"/>
      <c r="H5021" s="826">
        <f>H5020+H5018+H5015</f>
        <v>41970</v>
      </c>
      <c r="I5021" s="827"/>
    </row>
    <row r="5022" spans="3:11" ht="25.8" customHeight="1">
      <c r="C5022" s="566" t="s">
        <v>1220</v>
      </c>
      <c r="D5022" s="552" t="s">
        <v>1321</v>
      </c>
      <c r="E5022" s="553"/>
      <c r="F5022" s="554"/>
      <c r="G5022" s="555">
        <f>$M$9</f>
        <v>0.1</v>
      </c>
      <c r="H5022" s="539">
        <f>H5021*G5022</f>
        <v>4197</v>
      </c>
      <c r="I5022" s="827"/>
    </row>
    <row r="5023" spans="3:11" ht="25.8" customHeight="1">
      <c r="C5023" s="566" t="s">
        <v>1221</v>
      </c>
      <c r="D5023" s="552" t="s">
        <v>1222</v>
      </c>
      <c r="E5023" s="553"/>
      <c r="F5023" s="553"/>
      <c r="G5023" s="554"/>
      <c r="H5023" s="828">
        <f>SUM(H5021:H5022)</f>
        <v>46167</v>
      </c>
      <c r="I5023" s="827"/>
    </row>
    <row r="5024" spans="3:11" ht="25.8" customHeight="1"/>
    <row r="5025" spans="3:11" ht="25.8" customHeight="1">
      <c r="C5025" s="513" t="s">
        <v>3532</v>
      </c>
      <c r="D5025" s="817" t="s">
        <v>3533</v>
      </c>
      <c r="E5025" s="803"/>
      <c r="F5025" s="803"/>
      <c r="G5025" s="803"/>
      <c r="H5025" s="803"/>
      <c r="I5025" s="533">
        <f>ROUNDDOWN(H5040,-2)</f>
        <v>15000</v>
      </c>
      <c r="J5025" s="536"/>
      <c r="K5025" s="824"/>
    </row>
    <row r="5026" spans="3:11" ht="25.8" customHeight="1">
      <c r="C5026" s="716" t="s">
        <v>1195</v>
      </c>
      <c r="D5026" s="716" t="s">
        <v>1196</v>
      </c>
      <c r="E5026" s="716" t="s">
        <v>1197</v>
      </c>
      <c r="F5026" s="716" t="s">
        <v>1198</v>
      </c>
      <c r="G5026" s="716" t="s">
        <v>1199</v>
      </c>
      <c r="H5026" s="716" t="s">
        <v>1200</v>
      </c>
    </row>
    <row r="5027" spans="3:11" ht="25.8" customHeight="1">
      <c r="C5027" s="213" t="s">
        <v>1201</v>
      </c>
      <c r="D5027" s="212" t="s">
        <v>1202</v>
      </c>
      <c r="E5027" s="534"/>
      <c r="F5027" s="534"/>
      <c r="G5027" s="534"/>
      <c r="H5027" s="534"/>
    </row>
    <row r="5028" spans="3:11" ht="25.8" customHeight="1">
      <c r="C5028" s="818">
        <v>1</v>
      </c>
      <c r="D5028" s="212" t="s">
        <v>5</v>
      </c>
      <c r="E5028" s="212" t="s">
        <v>6</v>
      </c>
      <c r="F5028" s="538">
        <v>3.7999999999999999E-2</v>
      </c>
      <c r="G5028" s="539">
        <f>VLOOKUP(D5028,upahbahan,3,FALSE)</f>
        <v>100000</v>
      </c>
      <c r="H5028" s="539">
        <f t="shared" ref="H5028:H5031" si="548">F5028*G5028</f>
        <v>3800</v>
      </c>
    </row>
    <row r="5029" spans="3:11" ht="25.8" customHeight="1">
      <c r="C5029" s="818">
        <v>2</v>
      </c>
      <c r="D5029" s="212" t="s">
        <v>3295</v>
      </c>
      <c r="E5029" s="212" t="s">
        <v>6</v>
      </c>
      <c r="F5029" s="538">
        <v>6.4000000000000001E-2</v>
      </c>
      <c r="G5029" s="539">
        <f>VLOOKUP(D5029,upahbahan,3,FALSE)</f>
        <v>135000</v>
      </c>
      <c r="H5029" s="539">
        <f t="shared" si="548"/>
        <v>8640</v>
      </c>
    </row>
    <row r="5030" spans="3:11" ht="25.8" customHeight="1">
      <c r="C5030" s="818">
        <v>3</v>
      </c>
      <c r="D5030" s="212" t="s">
        <v>18</v>
      </c>
      <c r="E5030" s="212" t="s">
        <v>6</v>
      </c>
      <c r="F5030" s="538">
        <v>6.0000000000000001E-3</v>
      </c>
      <c r="G5030" s="539">
        <f>VLOOKUP(D5030,upahbahan,3,FALSE)</f>
        <v>150000</v>
      </c>
      <c r="H5030" s="539">
        <f t="shared" si="548"/>
        <v>900</v>
      </c>
    </row>
    <row r="5031" spans="3:11" ht="25.8" customHeight="1">
      <c r="C5031" s="818">
        <v>4</v>
      </c>
      <c r="D5031" s="212" t="s">
        <v>19</v>
      </c>
      <c r="E5031" s="212" t="s">
        <v>6</v>
      </c>
      <c r="F5031" s="538">
        <v>2E-3</v>
      </c>
      <c r="G5031" s="539">
        <f>VLOOKUP(D5031,upahbahan,3,FALSE)</f>
        <v>160000</v>
      </c>
      <c r="H5031" s="539">
        <f t="shared" si="548"/>
        <v>320</v>
      </c>
    </row>
    <row r="5032" spans="3:11" ht="25.8" customHeight="1">
      <c r="C5032" s="702" t="s">
        <v>1208</v>
      </c>
      <c r="D5032" s="208"/>
      <c r="E5032" s="208"/>
      <c r="F5032" s="811"/>
      <c r="G5032" s="522"/>
      <c r="H5032" s="539">
        <f>SUM(H5028:H5031)</f>
        <v>13660</v>
      </c>
      <c r="I5032" s="819"/>
    </row>
    <row r="5033" spans="3:11" ht="25.8" customHeight="1">
      <c r="C5033" s="213" t="s">
        <v>1209</v>
      </c>
      <c r="D5033" s="212" t="s">
        <v>1210</v>
      </c>
      <c r="E5033" s="534"/>
      <c r="F5033" s="831"/>
      <c r="G5033" s="534"/>
      <c r="H5033" s="534"/>
    </row>
    <row r="5034" spans="3:11" s="865" customFormat="1" ht="25.8" customHeight="1">
      <c r="C5034" s="859" t="s">
        <v>1203</v>
      </c>
      <c r="D5034" s="860" t="s">
        <v>3534</v>
      </c>
      <c r="E5034" s="861" t="s">
        <v>2167</v>
      </c>
      <c r="F5034" s="862">
        <v>1.1000000000000001</v>
      </c>
      <c r="G5034" s="863">
        <f>VLOOKUP(D5034,upahbahan,3,FALSE)</f>
        <v>0</v>
      </c>
      <c r="H5034" s="863">
        <f t="shared" ref="H5034" si="549">F5034*G5034</f>
        <v>0</v>
      </c>
      <c r="I5034" s="864"/>
      <c r="J5034" s="517"/>
      <c r="K5034" s="517"/>
    </row>
    <row r="5035" spans="3:11" ht="25.8" customHeight="1">
      <c r="C5035" s="702" t="s">
        <v>1214</v>
      </c>
      <c r="D5035" s="208"/>
      <c r="E5035" s="208"/>
      <c r="F5035" s="208"/>
      <c r="G5035" s="209"/>
      <c r="H5035" s="539">
        <f>SUM(H5034:H5034)</f>
        <v>0</v>
      </c>
    </row>
    <row r="5036" spans="3:11" ht="25.8" customHeight="1">
      <c r="C5036" s="213" t="s">
        <v>1215</v>
      </c>
      <c r="D5036" s="212" t="s">
        <v>1216</v>
      </c>
      <c r="E5036" s="534"/>
      <c r="F5036" s="534"/>
      <c r="G5036" s="534"/>
      <c r="H5036" s="534"/>
    </row>
    <row r="5037" spans="3:11" ht="25.8" customHeight="1">
      <c r="C5037" s="702" t="s">
        <v>1217</v>
      </c>
      <c r="D5037" s="815"/>
      <c r="E5037" s="815"/>
      <c r="F5037" s="815"/>
      <c r="G5037" s="209"/>
      <c r="H5037" s="821">
        <f>SUM(H5036)</f>
        <v>0</v>
      </c>
    </row>
    <row r="5038" spans="3:11" ht="25.8" customHeight="1">
      <c r="C5038" s="566" t="s">
        <v>1218</v>
      </c>
      <c r="D5038" s="552" t="s">
        <v>1219</v>
      </c>
      <c r="E5038" s="553"/>
      <c r="F5038" s="553"/>
      <c r="G5038" s="554"/>
      <c r="H5038" s="826">
        <f>H5037+H5035+H5032</f>
        <v>13660</v>
      </c>
      <c r="I5038" s="827"/>
    </row>
    <row r="5039" spans="3:11" ht="25.8" customHeight="1">
      <c r="C5039" s="566" t="s">
        <v>1220</v>
      </c>
      <c r="D5039" s="552" t="s">
        <v>1321</v>
      </c>
      <c r="E5039" s="553"/>
      <c r="F5039" s="554"/>
      <c r="G5039" s="555">
        <f>$M$9</f>
        <v>0.1</v>
      </c>
      <c r="H5039" s="539">
        <f>H5038*G5039</f>
        <v>1366</v>
      </c>
      <c r="I5039" s="827"/>
    </row>
    <row r="5040" spans="3:11" ht="25.8" customHeight="1">
      <c r="C5040" s="566" t="s">
        <v>1221</v>
      </c>
      <c r="D5040" s="552" t="s">
        <v>1222</v>
      </c>
      <c r="E5040" s="553"/>
      <c r="F5040" s="553"/>
      <c r="G5040" s="554"/>
      <c r="H5040" s="828">
        <f>SUM(H5038:H5039)</f>
        <v>15026</v>
      </c>
      <c r="I5040" s="827"/>
    </row>
    <row r="5041" spans="3:11" ht="25.8" customHeight="1"/>
    <row r="5042" spans="3:11" ht="25.8" customHeight="1">
      <c r="C5042" s="513" t="s">
        <v>3535</v>
      </c>
      <c r="D5042" s="817" t="s">
        <v>3536</v>
      </c>
      <c r="E5042" s="803"/>
      <c r="F5042" s="803"/>
      <c r="G5042" s="803"/>
      <c r="H5042" s="803"/>
      <c r="I5042" s="533">
        <f>ROUNDDOWN(H5065,-2)</f>
        <v>812800</v>
      </c>
      <c r="J5042" s="536"/>
      <c r="K5042" s="824"/>
    </row>
    <row r="5043" spans="3:11" ht="25.8" customHeight="1">
      <c r="C5043" s="716" t="s">
        <v>1195</v>
      </c>
      <c r="D5043" s="716" t="s">
        <v>1196</v>
      </c>
      <c r="E5043" s="716" t="s">
        <v>1197</v>
      </c>
      <c r="F5043" s="716" t="s">
        <v>1198</v>
      </c>
      <c r="G5043" s="716" t="s">
        <v>1199</v>
      </c>
      <c r="H5043" s="716" t="s">
        <v>1200</v>
      </c>
    </row>
    <row r="5044" spans="3:11" ht="25.8" customHeight="1">
      <c r="C5044" s="213" t="s">
        <v>1201</v>
      </c>
      <c r="D5044" s="212" t="s">
        <v>1202</v>
      </c>
      <c r="E5044" s="534"/>
      <c r="F5044" s="534"/>
      <c r="G5044" s="534"/>
      <c r="H5044" s="534"/>
    </row>
    <row r="5045" spans="3:11" ht="25.8" customHeight="1">
      <c r="C5045" s="818">
        <v>1</v>
      </c>
      <c r="D5045" s="212" t="s">
        <v>5</v>
      </c>
      <c r="E5045" s="212" t="s">
        <v>6</v>
      </c>
      <c r="F5045" s="538">
        <v>0.20499999999999999</v>
      </c>
      <c r="G5045" s="539">
        <f>VLOOKUP(D5045,upahbahan,3,FALSE)</f>
        <v>100000</v>
      </c>
      <c r="H5045" s="539">
        <f t="shared" ref="H5045:H5048" si="550">F5045*G5045</f>
        <v>20500</v>
      </c>
    </row>
    <row r="5046" spans="3:11" ht="25.8" customHeight="1">
      <c r="C5046" s="818">
        <v>2</v>
      </c>
      <c r="D5046" s="212" t="s">
        <v>3295</v>
      </c>
      <c r="E5046" s="212" t="s">
        <v>6</v>
      </c>
      <c r="F5046" s="538">
        <v>0.34200000000000003</v>
      </c>
      <c r="G5046" s="539">
        <f>VLOOKUP(D5046,upahbahan,3,FALSE)</f>
        <v>135000</v>
      </c>
      <c r="H5046" s="539">
        <f t="shared" si="550"/>
        <v>46170</v>
      </c>
    </row>
    <row r="5047" spans="3:11" ht="25.8" customHeight="1">
      <c r="C5047" s="818">
        <v>3</v>
      </c>
      <c r="D5047" s="212" t="s">
        <v>18</v>
      </c>
      <c r="E5047" s="212" t="s">
        <v>6</v>
      </c>
      <c r="F5047" s="538">
        <v>3.4000000000000002E-2</v>
      </c>
      <c r="G5047" s="539">
        <f>VLOOKUP(D5047,upahbahan,3,FALSE)</f>
        <v>150000</v>
      </c>
      <c r="H5047" s="539">
        <f t="shared" si="550"/>
        <v>5100</v>
      </c>
    </row>
    <row r="5048" spans="3:11" ht="25.8" customHeight="1">
      <c r="C5048" s="818">
        <v>4</v>
      </c>
      <c r="D5048" s="212" t="s">
        <v>19</v>
      </c>
      <c r="E5048" s="212" t="s">
        <v>6</v>
      </c>
      <c r="F5048" s="538">
        <v>1.0999999999999999E-2</v>
      </c>
      <c r="G5048" s="539">
        <f>VLOOKUP(D5048,upahbahan,3,FALSE)</f>
        <v>160000</v>
      </c>
      <c r="H5048" s="539">
        <f t="shared" si="550"/>
        <v>1760</v>
      </c>
    </row>
    <row r="5049" spans="3:11" ht="25.8" customHeight="1">
      <c r="C5049" s="702" t="s">
        <v>1208</v>
      </c>
      <c r="D5049" s="208"/>
      <c r="E5049" s="208"/>
      <c r="F5049" s="811"/>
      <c r="G5049" s="522"/>
      <c r="H5049" s="539">
        <f>SUM(H5045:H5048)</f>
        <v>73530</v>
      </c>
      <c r="I5049" s="819"/>
    </row>
    <row r="5050" spans="3:11" ht="25.8" customHeight="1">
      <c r="C5050" s="213" t="s">
        <v>1209</v>
      </c>
      <c r="D5050" s="212" t="s">
        <v>1210</v>
      </c>
      <c r="E5050" s="534"/>
      <c r="F5050" s="831"/>
      <c r="G5050" s="534"/>
      <c r="H5050" s="534"/>
    </row>
    <row r="5051" spans="3:11" ht="25.8" customHeight="1">
      <c r="C5051" s="213">
        <v>1</v>
      </c>
      <c r="D5051" s="212" t="s">
        <v>889</v>
      </c>
      <c r="E5051" s="234" t="s">
        <v>1300</v>
      </c>
      <c r="F5051" s="831">
        <v>14.3</v>
      </c>
      <c r="G5051" s="539">
        <f t="shared" ref="G5051:G5059" si="551">VLOOKUP(D5051,upahbahan,3,FALSE)</f>
        <v>16110</v>
      </c>
      <c r="H5051" s="539">
        <f t="shared" ref="H5051:H5059" si="552">F5051*G5051</f>
        <v>230373</v>
      </c>
    </row>
    <row r="5052" spans="3:11" ht="25.8" customHeight="1">
      <c r="C5052" s="213">
        <v>2</v>
      </c>
      <c r="D5052" s="212" t="s">
        <v>3542</v>
      </c>
      <c r="E5052" s="234" t="s">
        <v>1300</v>
      </c>
      <c r="F5052" s="831">
        <v>14.3</v>
      </c>
      <c r="G5052" s="539">
        <f t="shared" si="551"/>
        <v>16195.5</v>
      </c>
      <c r="H5052" s="539">
        <f t="shared" si="552"/>
        <v>231595.65000000002</v>
      </c>
    </row>
    <row r="5053" spans="3:11" ht="25.8" customHeight="1">
      <c r="C5053" s="213">
        <v>3</v>
      </c>
      <c r="D5053" s="212" t="s">
        <v>3540</v>
      </c>
      <c r="E5053" s="234" t="s">
        <v>2167</v>
      </c>
      <c r="F5053" s="831">
        <v>1</v>
      </c>
      <c r="G5053" s="539">
        <f t="shared" si="551"/>
        <v>3600</v>
      </c>
      <c r="H5053" s="539">
        <f t="shared" si="552"/>
        <v>3600</v>
      </c>
    </row>
    <row r="5054" spans="3:11" ht="25.8" customHeight="1">
      <c r="C5054" s="213">
        <v>4</v>
      </c>
      <c r="D5054" s="212" t="s">
        <v>3541</v>
      </c>
      <c r="E5054" s="234" t="s">
        <v>2167</v>
      </c>
      <c r="F5054" s="831">
        <v>8</v>
      </c>
      <c r="G5054" s="539">
        <f t="shared" si="551"/>
        <v>700</v>
      </c>
      <c r="H5054" s="539">
        <f t="shared" si="552"/>
        <v>5600</v>
      </c>
    </row>
    <row r="5055" spans="3:11" ht="25.8" customHeight="1">
      <c r="C5055" s="213">
        <v>5</v>
      </c>
      <c r="D5055" s="212" t="s">
        <v>3543</v>
      </c>
      <c r="E5055" s="234" t="s">
        <v>2167</v>
      </c>
      <c r="F5055" s="831">
        <v>8</v>
      </c>
      <c r="G5055" s="539">
        <f t="shared" si="551"/>
        <v>298</v>
      </c>
      <c r="H5055" s="539">
        <f t="shared" si="552"/>
        <v>2384</v>
      </c>
    </row>
    <row r="5056" spans="3:11" ht="25.8" customHeight="1">
      <c r="C5056" s="213">
        <v>6</v>
      </c>
      <c r="D5056" s="212" t="s">
        <v>3545</v>
      </c>
      <c r="E5056" s="234" t="s">
        <v>2167</v>
      </c>
      <c r="F5056" s="831">
        <v>12</v>
      </c>
      <c r="G5056" s="539">
        <f t="shared" si="551"/>
        <v>14850</v>
      </c>
      <c r="H5056" s="539">
        <f t="shared" si="552"/>
        <v>178200</v>
      </c>
    </row>
    <row r="5057" spans="3:11" ht="25.8" customHeight="1">
      <c r="C5057" s="213">
        <v>7</v>
      </c>
      <c r="D5057" s="212" t="s">
        <v>3537</v>
      </c>
      <c r="E5057" s="234" t="s">
        <v>2167</v>
      </c>
      <c r="F5057" s="831">
        <v>4</v>
      </c>
      <c r="G5057" s="539">
        <f t="shared" si="551"/>
        <v>2700</v>
      </c>
      <c r="H5057" s="539">
        <f t="shared" si="552"/>
        <v>10800</v>
      </c>
    </row>
    <row r="5058" spans="3:11" ht="25.8" customHeight="1">
      <c r="C5058" s="213">
        <v>8</v>
      </c>
      <c r="D5058" s="212" t="s">
        <v>3538</v>
      </c>
      <c r="E5058" s="234" t="s">
        <v>1300</v>
      </c>
      <c r="F5058" s="831">
        <v>0.5</v>
      </c>
      <c r="G5058" s="539">
        <f t="shared" si="551"/>
        <v>1080</v>
      </c>
      <c r="H5058" s="539">
        <f t="shared" si="552"/>
        <v>540</v>
      </c>
    </row>
    <row r="5059" spans="3:11" ht="25.8" customHeight="1">
      <c r="C5059" s="213">
        <v>9</v>
      </c>
      <c r="D5059" s="212" t="s">
        <v>3539</v>
      </c>
      <c r="E5059" s="234" t="s">
        <v>2167</v>
      </c>
      <c r="F5059" s="831">
        <v>4</v>
      </c>
      <c r="G5059" s="539">
        <f t="shared" si="551"/>
        <v>580</v>
      </c>
      <c r="H5059" s="539">
        <f t="shared" si="552"/>
        <v>2320</v>
      </c>
    </row>
    <row r="5060" spans="3:11" ht="25.8" customHeight="1">
      <c r="C5060" s="702" t="s">
        <v>1214</v>
      </c>
      <c r="D5060" s="208"/>
      <c r="E5060" s="208"/>
      <c r="F5060" s="208"/>
      <c r="G5060" s="209"/>
      <c r="H5060" s="539">
        <f>SUM(H5051:H5059)</f>
        <v>665412.65</v>
      </c>
    </row>
    <row r="5061" spans="3:11" ht="25.8" customHeight="1">
      <c r="C5061" s="213" t="s">
        <v>1215</v>
      </c>
      <c r="D5061" s="212" t="s">
        <v>1216</v>
      </c>
      <c r="E5061" s="534"/>
      <c r="F5061" s="534"/>
      <c r="G5061" s="534"/>
      <c r="H5061" s="534"/>
    </row>
    <row r="5062" spans="3:11" ht="25.8" customHeight="1">
      <c r="C5062" s="702" t="s">
        <v>1217</v>
      </c>
      <c r="D5062" s="815"/>
      <c r="E5062" s="815"/>
      <c r="F5062" s="815"/>
      <c r="G5062" s="209"/>
      <c r="H5062" s="821">
        <f>SUM(H5061)</f>
        <v>0</v>
      </c>
    </row>
    <row r="5063" spans="3:11" ht="25.8" customHeight="1">
      <c r="C5063" s="566" t="s">
        <v>1218</v>
      </c>
      <c r="D5063" s="552" t="s">
        <v>1219</v>
      </c>
      <c r="E5063" s="553"/>
      <c r="F5063" s="553"/>
      <c r="G5063" s="554"/>
      <c r="H5063" s="826">
        <f>H5062+H5060+H5049</f>
        <v>738942.65</v>
      </c>
      <c r="I5063" s="827"/>
    </row>
    <row r="5064" spans="3:11" ht="25.8" customHeight="1">
      <c r="C5064" s="566" t="s">
        <v>1220</v>
      </c>
      <c r="D5064" s="552" t="s">
        <v>1321</v>
      </c>
      <c r="E5064" s="553"/>
      <c r="F5064" s="554"/>
      <c r="G5064" s="555">
        <f>$M$9</f>
        <v>0.1</v>
      </c>
      <c r="H5064" s="539">
        <f>H5063*G5064</f>
        <v>73894.264999999999</v>
      </c>
      <c r="I5064" s="827"/>
    </row>
    <row r="5065" spans="3:11" ht="25.8" customHeight="1">
      <c r="C5065" s="566" t="s">
        <v>1221</v>
      </c>
      <c r="D5065" s="552" t="s">
        <v>1222</v>
      </c>
      <c r="E5065" s="553"/>
      <c r="F5065" s="553"/>
      <c r="G5065" s="554"/>
      <c r="H5065" s="828">
        <f>SUM(H5063:H5064)</f>
        <v>812836.91500000004</v>
      </c>
      <c r="I5065" s="827"/>
    </row>
    <row r="5066" spans="3:11" ht="25.8" customHeight="1"/>
    <row r="5067" spans="3:11" ht="25.8" customHeight="1">
      <c r="C5067" s="513" t="s">
        <v>8054</v>
      </c>
      <c r="D5067" s="817" t="s">
        <v>8055</v>
      </c>
      <c r="E5067" s="803"/>
      <c r="F5067" s="803"/>
      <c r="G5067" s="803"/>
      <c r="H5067" s="803"/>
      <c r="I5067" s="533">
        <f>ROUNDDOWN(H5090,-2)</f>
        <v>559400</v>
      </c>
      <c r="J5067" s="536"/>
      <c r="K5067" s="824"/>
    </row>
    <row r="5068" spans="3:11" ht="25.8" customHeight="1">
      <c r="C5068" s="716" t="s">
        <v>1195</v>
      </c>
      <c r="D5068" s="716" t="s">
        <v>1196</v>
      </c>
      <c r="E5068" s="716" t="s">
        <v>1197</v>
      </c>
      <c r="F5068" s="716" t="s">
        <v>1198</v>
      </c>
      <c r="G5068" s="716" t="s">
        <v>1199</v>
      </c>
      <c r="H5068" s="716" t="s">
        <v>1200</v>
      </c>
    </row>
    <row r="5069" spans="3:11" ht="25.8" customHeight="1">
      <c r="C5069" s="213" t="s">
        <v>1201</v>
      </c>
      <c r="D5069" s="212" t="s">
        <v>1202</v>
      </c>
      <c r="E5069" s="534"/>
      <c r="F5069" s="534"/>
      <c r="G5069" s="534"/>
      <c r="H5069" s="534"/>
    </row>
    <row r="5070" spans="3:11" ht="25.8" customHeight="1">
      <c r="C5070" s="818">
        <v>1</v>
      </c>
      <c r="D5070" s="212" t="s">
        <v>5</v>
      </c>
      <c r="E5070" s="212" t="s">
        <v>6</v>
      </c>
      <c r="F5070" s="538">
        <v>0.20499999999999999</v>
      </c>
      <c r="G5070" s="539">
        <f>VLOOKUP(D5070,upahbahan,3,FALSE)</f>
        <v>100000</v>
      </c>
      <c r="H5070" s="539">
        <f t="shared" ref="H5070:H5073" si="553">F5070*G5070</f>
        <v>20500</v>
      </c>
    </row>
    <row r="5071" spans="3:11" ht="25.8" customHeight="1">
      <c r="C5071" s="818">
        <v>2</v>
      </c>
      <c r="D5071" s="212" t="s">
        <v>3295</v>
      </c>
      <c r="E5071" s="212" t="s">
        <v>6</v>
      </c>
      <c r="F5071" s="538">
        <v>0.34200000000000003</v>
      </c>
      <c r="G5071" s="539">
        <f>VLOOKUP(D5071,upahbahan,3,FALSE)</f>
        <v>135000</v>
      </c>
      <c r="H5071" s="539">
        <f t="shared" si="553"/>
        <v>46170</v>
      </c>
    </row>
    <row r="5072" spans="3:11" ht="25.8" customHeight="1">
      <c r="C5072" s="818">
        <v>3</v>
      </c>
      <c r="D5072" s="212" t="s">
        <v>18</v>
      </c>
      <c r="E5072" s="212" t="s">
        <v>6</v>
      </c>
      <c r="F5072" s="538">
        <v>3.4000000000000002E-2</v>
      </c>
      <c r="G5072" s="539">
        <f>VLOOKUP(D5072,upahbahan,3,FALSE)</f>
        <v>150000</v>
      </c>
      <c r="H5072" s="539">
        <f t="shared" si="553"/>
        <v>5100</v>
      </c>
    </row>
    <row r="5073" spans="3:9" ht="25.8" customHeight="1">
      <c r="C5073" s="818">
        <v>4</v>
      </c>
      <c r="D5073" s="212" t="s">
        <v>19</v>
      </c>
      <c r="E5073" s="212" t="s">
        <v>6</v>
      </c>
      <c r="F5073" s="538">
        <v>1.0999999999999999E-2</v>
      </c>
      <c r="G5073" s="539">
        <f>VLOOKUP(D5073,upahbahan,3,FALSE)</f>
        <v>160000</v>
      </c>
      <c r="H5073" s="539">
        <f t="shared" si="553"/>
        <v>1760</v>
      </c>
    </row>
    <row r="5074" spans="3:9" ht="25.8" customHeight="1">
      <c r="C5074" s="702" t="s">
        <v>1208</v>
      </c>
      <c r="D5074" s="208"/>
      <c r="E5074" s="208"/>
      <c r="F5074" s="811"/>
      <c r="G5074" s="522"/>
      <c r="H5074" s="539">
        <f>SUM(H5070:H5073)</f>
        <v>73530</v>
      </c>
      <c r="I5074" s="819"/>
    </row>
    <row r="5075" spans="3:9" ht="25.8" customHeight="1">
      <c r="C5075" s="213" t="s">
        <v>1209</v>
      </c>
      <c r="D5075" s="212" t="s">
        <v>1210</v>
      </c>
      <c r="E5075" s="534"/>
      <c r="F5075" s="831"/>
      <c r="G5075" s="534"/>
      <c r="H5075" s="534"/>
    </row>
    <row r="5076" spans="3:9" ht="25.8" customHeight="1">
      <c r="C5076" s="213">
        <v>1</v>
      </c>
      <c r="D5076" s="212" t="s">
        <v>8056</v>
      </c>
      <c r="E5076" s="234" t="s">
        <v>1300</v>
      </c>
      <c r="F5076" s="831">
        <v>14.3</v>
      </c>
      <c r="G5076" s="539">
        <f t="shared" ref="G5076:G5084" si="554">VLOOKUP(D5076,upahbahan,3,FALSE)</f>
        <v>0</v>
      </c>
      <c r="H5076" s="539">
        <f t="shared" ref="H5076:H5084" si="555">F5076*G5076</f>
        <v>0</v>
      </c>
    </row>
    <row r="5077" spans="3:9" ht="25.8" customHeight="1">
      <c r="C5077" s="213">
        <v>2</v>
      </c>
      <c r="D5077" s="212" t="s">
        <v>3542</v>
      </c>
      <c r="E5077" s="234" t="s">
        <v>1300</v>
      </c>
      <c r="F5077" s="831">
        <v>14.3</v>
      </c>
      <c r="G5077" s="539">
        <f t="shared" si="554"/>
        <v>16195.5</v>
      </c>
      <c r="H5077" s="539">
        <f t="shared" si="555"/>
        <v>231595.65000000002</v>
      </c>
    </row>
    <row r="5078" spans="3:9" ht="25.8" customHeight="1">
      <c r="C5078" s="213">
        <v>3</v>
      </c>
      <c r="D5078" s="212" t="s">
        <v>3540</v>
      </c>
      <c r="E5078" s="234" t="s">
        <v>2167</v>
      </c>
      <c r="F5078" s="831">
        <v>1</v>
      </c>
      <c r="G5078" s="539">
        <f t="shared" si="554"/>
        <v>3600</v>
      </c>
      <c r="H5078" s="539">
        <f t="shared" si="555"/>
        <v>3600</v>
      </c>
    </row>
    <row r="5079" spans="3:9" ht="25.8" customHeight="1">
      <c r="C5079" s="213">
        <v>4</v>
      </c>
      <c r="D5079" s="212" t="s">
        <v>3541</v>
      </c>
      <c r="E5079" s="234" t="s">
        <v>2167</v>
      </c>
      <c r="F5079" s="831">
        <v>8</v>
      </c>
      <c r="G5079" s="539">
        <f t="shared" si="554"/>
        <v>700</v>
      </c>
      <c r="H5079" s="539">
        <f t="shared" si="555"/>
        <v>5600</v>
      </c>
    </row>
    <row r="5080" spans="3:9" ht="25.8" customHeight="1">
      <c r="C5080" s="213">
        <v>5</v>
      </c>
      <c r="D5080" s="212" t="s">
        <v>3543</v>
      </c>
      <c r="E5080" s="234" t="s">
        <v>2167</v>
      </c>
      <c r="F5080" s="831">
        <v>8</v>
      </c>
      <c r="G5080" s="539">
        <f t="shared" si="554"/>
        <v>298</v>
      </c>
      <c r="H5080" s="539">
        <f t="shared" si="555"/>
        <v>2384</v>
      </c>
    </row>
    <row r="5081" spans="3:9" ht="25.8" customHeight="1">
      <c r="C5081" s="213">
        <v>6</v>
      </c>
      <c r="D5081" s="212" t="s">
        <v>3545</v>
      </c>
      <c r="E5081" s="234" t="s">
        <v>2167</v>
      </c>
      <c r="F5081" s="831">
        <v>12</v>
      </c>
      <c r="G5081" s="539">
        <f t="shared" si="554"/>
        <v>14850</v>
      </c>
      <c r="H5081" s="539">
        <f t="shared" si="555"/>
        <v>178200</v>
      </c>
    </row>
    <row r="5082" spans="3:9" ht="25.8" customHeight="1">
      <c r="C5082" s="213">
        <v>7</v>
      </c>
      <c r="D5082" s="212" t="s">
        <v>3537</v>
      </c>
      <c r="E5082" s="234" t="s">
        <v>2167</v>
      </c>
      <c r="F5082" s="831">
        <v>4</v>
      </c>
      <c r="G5082" s="539">
        <f t="shared" si="554"/>
        <v>2700</v>
      </c>
      <c r="H5082" s="539">
        <f t="shared" si="555"/>
        <v>10800</v>
      </c>
    </row>
    <row r="5083" spans="3:9" ht="25.8" customHeight="1">
      <c r="C5083" s="213">
        <v>8</v>
      </c>
      <c r="D5083" s="212" t="s">
        <v>3538</v>
      </c>
      <c r="E5083" s="234" t="s">
        <v>1300</v>
      </c>
      <c r="F5083" s="831">
        <v>0.5</v>
      </c>
      <c r="G5083" s="539">
        <f t="shared" si="554"/>
        <v>1080</v>
      </c>
      <c r="H5083" s="539">
        <f t="shared" si="555"/>
        <v>540</v>
      </c>
    </row>
    <row r="5084" spans="3:9" ht="25.8" customHeight="1">
      <c r="C5084" s="213">
        <v>9</v>
      </c>
      <c r="D5084" s="212" t="s">
        <v>3539</v>
      </c>
      <c r="E5084" s="234" t="s">
        <v>2167</v>
      </c>
      <c r="F5084" s="831">
        <v>4</v>
      </c>
      <c r="G5084" s="539">
        <f t="shared" si="554"/>
        <v>580</v>
      </c>
      <c r="H5084" s="539">
        <f t="shared" si="555"/>
        <v>2320</v>
      </c>
    </row>
    <row r="5085" spans="3:9" ht="25.8" customHeight="1">
      <c r="C5085" s="702" t="s">
        <v>1214</v>
      </c>
      <c r="D5085" s="208"/>
      <c r="E5085" s="208"/>
      <c r="F5085" s="208"/>
      <c r="G5085" s="209"/>
      <c r="H5085" s="539">
        <f>SUM(H5076:H5084)</f>
        <v>435039.65</v>
      </c>
    </row>
    <row r="5086" spans="3:9" ht="25.8" customHeight="1">
      <c r="C5086" s="213" t="s">
        <v>1215</v>
      </c>
      <c r="D5086" s="212" t="s">
        <v>1216</v>
      </c>
      <c r="E5086" s="534"/>
      <c r="F5086" s="534"/>
      <c r="G5086" s="534"/>
      <c r="H5086" s="534"/>
    </row>
    <row r="5087" spans="3:9" ht="25.8" customHeight="1">
      <c r="C5087" s="702" t="s">
        <v>1217</v>
      </c>
      <c r="D5087" s="815"/>
      <c r="E5087" s="815"/>
      <c r="F5087" s="815"/>
      <c r="G5087" s="209"/>
      <c r="H5087" s="821">
        <f>SUM(H5086)</f>
        <v>0</v>
      </c>
    </row>
    <row r="5088" spans="3:9" ht="25.8" customHeight="1">
      <c r="C5088" s="566" t="s">
        <v>1218</v>
      </c>
      <c r="D5088" s="552" t="s">
        <v>1219</v>
      </c>
      <c r="E5088" s="553"/>
      <c r="F5088" s="553"/>
      <c r="G5088" s="554"/>
      <c r="H5088" s="826">
        <f>H5087+H5085+H5074</f>
        <v>508569.65</v>
      </c>
      <c r="I5088" s="827"/>
    </row>
    <row r="5089" spans="3:11" ht="25.8" customHeight="1">
      <c r="C5089" s="566" t="s">
        <v>1220</v>
      </c>
      <c r="D5089" s="552" t="s">
        <v>1321</v>
      </c>
      <c r="E5089" s="553"/>
      <c r="F5089" s="554"/>
      <c r="G5089" s="555">
        <f>$M$9</f>
        <v>0.1</v>
      </c>
      <c r="H5089" s="539">
        <f>H5088*G5089</f>
        <v>50856.965000000004</v>
      </c>
      <c r="I5089" s="827"/>
    </row>
    <row r="5090" spans="3:11" ht="25.8" customHeight="1">
      <c r="C5090" s="566" t="s">
        <v>1221</v>
      </c>
      <c r="D5090" s="552" t="s">
        <v>1222</v>
      </c>
      <c r="E5090" s="553"/>
      <c r="F5090" s="553"/>
      <c r="G5090" s="554"/>
      <c r="H5090" s="828">
        <f>SUM(H5088:H5089)</f>
        <v>559426.61499999999</v>
      </c>
      <c r="I5090" s="827"/>
    </row>
    <row r="5091" spans="3:11" ht="25.8" customHeight="1"/>
    <row r="5092" spans="3:11" ht="25.8" customHeight="1"/>
    <row r="5093" spans="3:11" ht="25.8" customHeight="1"/>
    <row r="5094" spans="3:11" ht="25.8" customHeight="1">
      <c r="C5094" s="530" t="s">
        <v>3546</v>
      </c>
      <c r="D5094" s="571" t="s">
        <v>3547</v>
      </c>
    </row>
    <row r="5095" spans="3:11" ht="25.8" customHeight="1">
      <c r="C5095" s="513" t="s">
        <v>3549</v>
      </c>
      <c r="D5095" s="817" t="s">
        <v>3548</v>
      </c>
      <c r="E5095" s="803"/>
      <c r="F5095" s="803"/>
      <c r="G5095" s="803"/>
      <c r="H5095" s="803"/>
      <c r="I5095" s="533">
        <f>ROUNDDOWN(H5110,-2)</f>
        <v>267500</v>
      </c>
      <c r="J5095" s="536"/>
      <c r="K5095" s="824"/>
    </row>
    <row r="5096" spans="3:11" ht="25.8" customHeight="1">
      <c r="C5096" s="716" t="s">
        <v>1195</v>
      </c>
      <c r="D5096" s="716" t="s">
        <v>1196</v>
      </c>
      <c r="E5096" s="716" t="s">
        <v>1197</v>
      </c>
      <c r="F5096" s="716" t="s">
        <v>1198</v>
      </c>
      <c r="G5096" s="716" t="s">
        <v>1199</v>
      </c>
      <c r="H5096" s="716" t="s">
        <v>1200</v>
      </c>
    </row>
    <row r="5097" spans="3:11" ht="25.8" customHeight="1">
      <c r="C5097" s="213" t="s">
        <v>1201</v>
      </c>
      <c r="D5097" s="212" t="s">
        <v>1202</v>
      </c>
      <c r="E5097" s="534"/>
      <c r="F5097" s="534"/>
      <c r="G5097" s="534"/>
      <c r="H5097" s="534"/>
    </row>
    <row r="5098" spans="3:11" ht="25.8" customHeight="1">
      <c r="C5098" s="818">
        <v>1</v>
      </c>
      <c r="D5098" s="212" t="s">
        <v>5</v>
      </c>
      <c r="E5098" s="212" t="s">
        <v>6</v>
      </c>
      <c r="F5098" s="538">
        <v>0.217</v>
      </c>
      <c r="G5098" s="539">
        <f>VLOOKUP(D5098,upahbahan,3,FALSE)</f>
        <v>100000</v>
      </c>
      <c r="H5098" s="539">
        <f t="shared" ref="H5098:H5101" si="556">F5098*G5098</f>
        <v>21700</v>
      </c>
    </row>
    <row r="5099" spans="3:11" ht="25.8" customHeight="1">
      <c r="C5099" s="818">
        <v>2</v>
      </c>
      <c r="D5099" s="212" t="s">
        <v>3295</v>
      </c>
      <c r="E5099" s="212" t="s">
        <v>6</v>
      </c>
      <c r="F5099" s="538">
        <v>0.36199999999999999</v>
      </c>
      <c r="G5099" s="539">
        <f>VLOOKUP(D5099,upahbahan,3,FALSE)</f>
        <v>135000</v>
      </c>
      <c r="H5099" s="539">
        <f t="shared" si="556"/>
        <v>48870</v>
      </c>
    </row>
    <row r="5100" spans="3:11" ht="25.8" customHeight="1">
      <c r="C5100" s="818">
        <v>3</v>
      </c>
      <c r="D5100" s="212" t="s">
        <v>18</v>
      </c>
      <c r="E5100" s="212" t="s">
        <v>6</v>
      </c>
      <c r="F5100" s="538">
        <v>3.5999999999999997E-2</v>
      </c>
      <c r="G5100" s="539">
        <f>VLOOKUP(D5100,upahbahan,3,FALSE)</f>
        <v>150000</v>
      </c>
      <c r="H5100" s="539">
        <f t="shared" si="556"/>
        <v>5400</v>
      </c>
    </row>
    <row r="5101" spans="3:11" ht="25.8" customHeight="1">
      <c r="C5101" s="818">
        <v>4</v>
      </c>
      <c r="D5101" s="212" t="s">
        <v>19</v>
      </c>
      <c r="E5101" s="212" t="s">
        <v>6</v>
      </c>
      <c r="F5101" s="538">
        <v>1.2E-2</v>
      </c>
      <c r="G5101" s="539">
        <f>VLOOKUP(D5101,upahbahan,3,FALSE)</f>
        <v>160000</v>
      </c>
      <c r="H5101" s="539">
        <f t="shared" si="556"/>
        <v>1920</v>
      </c>
    </row>
    <row r="5102" spans="3:11" ht="25.8" customHeight="1">
      <c r="C5102" s="702" t="s">
        <v>1208</v>
      </c>
      <c r="D5102" s="208"/>
      <c r="E5102" s="208"/>
      <c r="F5102" s="811"/>
      <c r="G5102" s="522"/>
      <c r="H5102" s="539">
        <f>SUM(H5098:H5101)</f>
        <v>77890</v>
      </c>
      <c r="I5102" s="819"/>
    </row>
    <row r="5103" spans="3:11" ht="25.8" customHeight="1">
      <c r="C5103" s="213" t="s">
        <v>1209</v>
      </c>
      <c r="D5103" s="212" t="s">
        <v>1210</v>
      </c>
      <c r="E5103" s="534"/>
      <c r="F5103" s="831"/>
      <c r="G5103" s="534"/>
      <c r="H5103" s="534"/>
    </row>
    <row r="5104" spans="3:11" ht="25.8" customHeight="1">
      <c r="C5104" s="213">
        <v>1</v>
      </c>
      <c r="D5104" s="212" t="s">
        <v>3550</v>
      </c>
      <c r="E5104" s="234" t="s">
        <v>135</v>
      </c>
      <c r="F5104" s="831">
        <v>1.03</v>
      </c>
      <c r="G5104" s="539">
        <f>VLOOKUP(D5104,upahbahan,3,FALSE)</f>
        <v>160499.70000000001</v>
      </c>
      <c r="H5104" s="539">
        <f t="shared" ref="H5104" si="557">F5104*G5104</f>
        <v>165314.69100000002</v>
      </c>
    </row>
    <row r="5105" spans="3:11" ht="25.8" customHeight="1">
      <c r="C5105" s="702" t="s">
        <v>1214</v>
      </c>
      <c r="D5105" s="208"/>
      <c r="E5105" s="208"/>
      <c r="F5105" s="208"/>
      <c r="G5105" s="209"/>
      <c r="H5105" s="539">
        <f>SUM(H5104:H5104)</f>
        <v>165314.69100000002</v>
      </c>
    </row>
    <row r="5106" spans="3:11" ht="25.8" customHeight="1">
      <c r="C5106" s="213" t="s">
        <v>1215</v>
      </c>
      <c r="D5106" s="212" t="s">
        <v>1216</v>
      </c>
      <c r="E5106" s="534"/>
      <c r="F5106" s="534"/>
      <c r="G5106" s="534"/>
      <c r="H5106" s="534"/>
    </row>
    <row r="5107" spans="3:11" ht="25.8" customHeight="1">
      <c r="C5107" s="702" t="s">
        <v>1217</v>
      </c>
      <c r="D5107" s="815"/>
      <c r="E5107" s="815"/>
      <c r="F5107" s="815"/>
      <c r="G5107" s="209"/>
      <c r="H5107" s="821">
        <f>SUM(H5106)</f>
        <v>0</v>
      </c>
    </row>
    <row r="5108" spans="3:11" ht="25.8" customHeight="1">
      <c r="C5108" s="566" t="s">
        <v>1218</v>
      </c>
      <c r="D5108" s="552" t="s">
        <v>1219</v>
      </c>
      <c r="E5108" s="553"/>
      <c r="F5108" s="553"/>
      <c r="G5108" s="554"/>
      <c r="H5108" s="826">
        <f>H5107+H5105+H5102</f>
        <v>243204.69100000002</v>
      </c>
      <c r="I5108" s="827"/>
    </row>
    <row r="5109" spans="3:11" ht="25.8" customHeight="1">
      <c r="C5109" s="566" t="s">
        <v>1220</v>
      </c>
      <c r="D5109" s="552" t="s">
        <v>1321</v>
      </c>
      <c r="E5109" s="553"/>
      <c r="F5109" s="554"/>
      <c r="G5109" s="555">
        <f>$M$9</f>
        <v>0.1</v>
      </c>
      <c r="H5109" s="539">
        <f>H5108*G5109</f>
        <v>24320.469100000002</v>
      </c>
      <c r="I5109" s="827"/>
    </row>
    <row r="5110" spans="3:11" ht="25.8" customHeight="1">
      <c r="C5110" s="566" t="s">
        <v>1221</v>
      </c>
      <c r="D5110" s="552" t="s">
        <v>1222</v>
      </c>
      <c r="E5110" s="553"/>
      <c r="F5110" s="553"/>
      <c r="G5110" s="554"/>
      <c r="H5110" s="828">
        <f>SUM(H5108:H5109)</f>
        <v>267525.16010000004</v>
      </c>
      <c r="I5110" s="827"/>
    </row>
    <row r="5111" spans="3:11" ht="25.8" customHeight="1"/>
    <row r="5112" spans="3:11" ht="25.8" customHeight="1">
      <c r="C5112" s="513" t="s">
        <v>3552</v>
      </c>
      <c r="D5112" s="817" t="s">
        <v>3553</v>
      </c>
      <c r="E5112" s="803"/>
      <c r="F5112" s="803"/>
      <c r="G5112" s="803"/>
      <c r="H5112" s="803"/>
      <c r="I5112" s="533">
        <f>ROUNDDOWN(H5127,-2)</f>
        <v>128000</v>
      </c>
      <c r="J5112" s="536"/>
      <c r="K5112" s="824"/>
    </row>
    <row r="5113" spans="3:11" ht="25.8" customHeight="1">
      <c r="C5113" s="716" t="s">
        <v>1195</v>
      </c>
      <c r="D5113" s="716" t="s">
        <v>1196</v>
      </c>
      <c r="E5113" s="716" t="s">
        <v>1197</v>
      </c>
      <c r="F5113" s="716" t="s">
        <v>1198</v>
      </c>
      <c r="G5113" s="716" t="s">
        <v>1199</v>
      </c>
      <c r="H5113" s="716" t="s">
        <v>1200</v>
      </c>
    </row>
    <row r="5114" spans="3:11" ht="25.8" customHeight="1">
      <c r="C5114" s="213" t="s">
        <v>1201</v>
      </c>
      <c r="D5114" s="212" t="s">
        <v>1202</v>
      </c>
      <c r="E5114" s="534"/>
      <c r="F5114" s="534"/>
      <c r="G5114" s="534"/>
      <c r="H5114" s="534"/>
    </row>
    <row r="5115" spans="3:11" ht="25.8" customHeight="1">
      <c r="C5115" s="818">
        <v>1</v>
      </c>
      <c r="D5115" s="212" t="s">
        <v>5</v>
      </c>
      <c r="E5115" s="212" t="s">
        <v>6</v>
      </c>
      <c r="F5115" s="538">
        <v>0.32400000000000001</v>
      </c>
      <c r="G5115" s="539">
        <f>VLOOKUP(D5115,upahbahan,3,FALSE)</f>
        <v>100000</v>
      </c>
      <c r="H5115" s="539">
        <f t="shared" ref="H5115:H5118" si="558">F5115*G5115</f>
        <v>32400</v>
      </c>
    </row>
    <row r="5116" spans="3:11" ht="25.8" customHeight="1">
      <c r="C5116" s="818">
        <v>2</v>
      </c>
      <c r="D5116" s="212" t="s">
        <v>3295</v>
      </c>
      <c r="E5116" s="212" t="s">
        <v>6</v>
      </c>
      <c r="F5116" s="538">
        <v>0.54100000000000004</v>
      </c>
      <c r="G5116" s="539">
        <f>VLOOKUP(D5116,upahbahan,3,FALSE)</f>
        <v>135000</v>
      </c>
      <c r="H5116" s="539">
        <f t="shared" si="558"/>
        <v>73035</v>
      </c>
    </row>
    <row r="5117" spans="3:11" ht="25.8" customHeight="1">
      <c r="C5117" s="818">
        <v>3</v>
      </c>
      <c r="D5117" s="212" t="s">
        <v>18</v>
      </c>
      <c r="E5117" s="212" t="s">
        <v>6</v>
      </c>
      <c r="F5117" s="538">
        <v>5.3999999999999999E-2</v>
      </c>
      <c r="G5117" s="539">
        <f>VLOOKUP(D5117,upahbahan,3,FALSE)</f>
        <v>150000</v>
      </c>
      <c r="H5117" s="539">
        <f t="shared" si="558"/>
        <v>8100</v>
      </c>
    </row>
    <row r="5118" spans="3:11" ht="25.8" customHeight="1">
      <c r="C5118" s="818">
        <v>4</v>
      </c>
      <c r="D5118" s="212" t="s">
        <v>19</v>
      </c>
      <c r="E5118" s="212" t="s">
        <v>6</v>
      </c>
      <c r="F5118" s="538">
        <v>1.7999999999999999E-2</v>
      </c>
      <c r="G5118" s="539">
        <f>VLOOKUP(D5118,upahbahan,3,FALSE)</f>
        <v>160000</v>
      </c>
      <c r="H5118" s="539">
        <f t="shared" si="558"/>
        <v>2880</v>
      </c>
    </row>
    <row r="5119" spans="3:11" ht="25.8" customHeight="1">
      <c r="C5119" s="702" t="s">
        <v>1208</v>
      </c>
      <c r="D5119" s="208"/>
      <c r="E5119" s="208"/>
      <c r="F5119" s="811"/>
      <c r="G5119" s="522"/>
      <c r="H5119" s="539">
        <f>SUM(H5115:H5118)</f>
        <v>116415</v>
      </c>
      <c r="I5119" s="819"/>
    </row>
    <row r="5120" spans="3:11" ht="25.8" customHeight="1">
      <c r="C5120" s="213" t="s">
        <v>1209</v>
      </c>
      <c r="D5120" s="212" t="s">
        <v>1210</v>
      </c>
      <c r="E5120" s="534"/>
      <c r="F5120" s="831"/>
      <c r="G5120" s="534"/>
      <c r="H5120" s="534"/>
    </row>
    <row r="5121" spans="3:11" ht="25.8" customHeight="1">
      <c r="C5121" s="213">
        <v>1</v>
      </c>
      <c r="D5121" s="212" t="s">
        <v>3554</v>
      </c>
      <c r="E5121" s="234" t="s">
        <v>135</v>
      </c>
      <c r="F5121" s="831">
        <v>1.03</v>
      </c>
      <c r="G5121" s="539">
        <f>VLOOKUP(D5121,upahbahan,3,FALSE)</f>
        <v>0</v>
      </c>
      <c r="H5121" s="539">
        <f t="shared" ref="H5121" si="559">F5121*G5121</f>
        <v>0</v>
      </c>
    </row>
    <row r="5122" spans="3:11" ht="25.8" customHeight="1">
      <c r="C5122" s="702" t="s">
        <v>1214</v>
      </c>
      <c r="D5122" s="208"/>
      <c r="E5122" s="208"/>
      <c r="F5122" s="208"/>
      <c r="G5122" s="209"/>
      <c r="H5122" s="539">
        <f>SUM(H5121:H5121)</f>
        <v>0</v>
      </c>
    </row>
    <row r="5123" spans="3:11" ht="25.8" customHeight="1">
      <c r="C5123" s="213" t="s">
        <v>1215</v>
      </c>
      <c r="D5123" s="212" t="s">
        <v>1216</v>
      </c>
      <c r="E5123" s="534"/>
      <c r="F5123" s="534"/>
      <c r="G5123" s="534"/>
      <c r="H5123" s="534"/>
    </row>
    <row r="5124" spans="3:11" ht="25.8" customHeight="1">
      <c r="C5124" s="702" t="s">
        <v>1217</v>
      </c>
      <c r="D5124" s="815"/>
      <c r="E5124" s="815"/>
      <c r="F5124" s="815"/>
      <c r="G5124" s="209"/>
      <c r="H5124" s="821">
        <f>SUM(H5123)</f>
        <v>0</v>
      </c>
    </row>
    <row r="5125" spans="3:11" ht="25.8" customHeight="1">
      <c r="C5125" s="566" t="s">
        <v>1218</v>
      </c>
      <c r="D5125" s="552" t="s">
        <v>1219</v>
      </c>
      <c r="E5125" s="553"/>
      <c r="F5125" s="553"/>
      <c r="G5125" s="554"/>
      <c r="H5125" s="826">
        <f>H5124+H5122+H5119</f>
        <v>116415</v>
      </c>
      <c r="I5125" s="827"/>
    </row>
    <row r="5126" spans="3:11" ht="25.8" customHeight="1">
      <c r="C5126" s="566" t="s">
        <v>1220</v>
      </c>
      <c r="D5126" s="552" t="s">
        <v>1321</v>
      </c>
      <c r="E5126" s="553"/>
      <c r="F5126" s="554"/>
      <c r="G5126" s="555">
        <f>$M$9</f>
        <v>0.1</v>
      </c>
      <c r="H5126" s="539">
        <f>H5125*G5126</f>
        <v>11641.5</v>
      </c>
      <c r="I5126" s="827"/>
    </row>
    <row r="5127" spans="3:11" ht="25.8" customHeight="1">
      <c r="C5127" s="566" t="s">
        <v>1221</v>
      </c>
      <c r="D5127" s="552" t="s">
        <v>1222</v>
      </c>
      <c r="E5127" s="553"/>
      <c r="F5127" s="553"/>
      <c r="G5127" s="554"/>
      <c r="H5127" s="828">
        <f>SUM(H5125:H5126)</f>
        <v>128056.5</v>
      </c>
      <c r="I5127" s="827"/>
    </row>
    <row r="5128" spans="3:11" ht="25.8" customHeight="1"/>
    <row r="5129" spans="3:11" ht="25.8" customHeight="1">
      <c r="C5129" s="513" t="s">
        <v>3556</v>
      </c>
      <c r="D5129" s="817" t="s">
        <v>3557</v>
      </c>
      <c r="E5129" s="803"/>
      <c r="F5129" s="803"/>
      <c r="G5129" s="803"/>
      <c r="H5129" s="803"/>
      <c r="I5129" s="533">
        <f>ROUNDDOWN(H5144,-2)</f>
        <v>251300</v>
      </c>
      <c r="J5129" s="536"/>
      <c r="K5129" s="824"/>
    </row>
    <row r="5130" spans="3:11" ht="25.8" customHeight="1">
      <c r="C5130" s="716" t="s">
        <v>1195</v>
      </c>
      <c r="D5130" s="716" t="s">
        <v>1196</v>
      </c>
      <c r="E5130" s="716" t="s">
        <v>1197</v>
      </c>
      <c r="F5130" s="716" t="s">
        <v>1198</v>
      </c>
      <c r="G5130" s="716" t="s">
        <v>1199</v>
      </c>
      <c r="H5130" s="716" t="s">
        <v>1200</v>
      </c>
    </row>
    <row r="5131" spans="3:11" ht="25.8" customHeight="1">
      <c r="C5131" s="213" t="s">
        <v>1201</v>
      </c>
      <c r="D5131" s="212" t="s">
        <v>1202</v>
      </c>
      <c r="E5131" s="534"/>
      <c r="F5131" s="534"/>
      <c r="G5131" s="534"/>
      <c r="H5131" s="534"/>
    </row>
    <row r="5132" spans="3:11" ht="25.8" customHeight="1">
      <c r="C5132" s="818">
        <v>1</v>
      </c>
      <c r="D5132" s="212" t="s">
        <v>5</v>
      </c>
      <c r="E5132" s="212" t="s">
        <v>6</v>
      </c>
      <c r="F5132" s="538">
        <v>0.63600000000000001</v>
      </c>
      <c r="G5132" s="539">
        <f>VLOOKUP(D5132,upahbahan,3,FALSE)</f>
        <v>100000</v>
      </c>
      <c r="H5132" s="539">
        <f t="shared" ref="H5132:H5135" si="560">F5132*G5132</f>
        <v>63600</v>
      </c>
    </row>
    <row r="5133" spans="3:11" ht="25.8" customHeight="1">
      <c r="C5133" s="818">
        <v>2</v>
      </c>
      <c r="D5133" s="212" t="s">
        <v>3295</v>
      </c>
      <c r="E5133" s="212" t="s">
        <v>6</v>
      </c>
      <c r="F5133" s="538">
        <v>1.0620000000000001</v>
      </c>
      <c r="G5133" s="539">
        <f>VLOOKUP(D5133,upahbahan,3,FALSE)</f>
        <v>135000</v>
      </c>
      <c r="H5133" s="539">
        <f t="shared" si="560"/>
        <v>143370</v>
      </c>
    </row>
    <row r="5134" spans="3:11" ht="25.8" customHeight="1">
      <c r="C5134" s="818">
        <v>3</v>
      </c>
      <c r="D5134" s="212" t="s">
        <v>18</v>
      </c>
      <c r="E5134" s="212" t="s">
        <v>6</v>
      </c>
      <c r="F5134" s="538">
        <v>0.106</v>
      </c>
      <c r="G5134" s="539">
        <f>VLOOKUP(D5134,upahbahan,3,FALSE)</f>
        <v>150000</v>
      </c>
      <c r="H5134" s="539">
        <f t="shared" si="560"/>
        <v>15900</v>
      </c>
    </row>
    <row r="5135" spans="3:11" ht="25.8" customHeight="1">
      <c r="C5135" s="818">
        <v>4</v>
      </c>
      <c r="D5135" s="212" t="s">
        <v>19</v>
      </c>
      <c r="E5135" s="212" t="s">
        <v>6</v>
      </c>
      <c r="F5135" s="538">
        <v>3.5000000000000003E-2</v>
      </c>
      <c r="G5135" s="539">
        <f>VLOOKUP(D5135,upahbahan,3,FALSE)</f>
        <v>160000</v>
      </c>
      <c r="H5135" s="539">
        <f t="shared" si="560"/>
        <v>5600.0000000000009</v>
      </c>
    </row>
    <row r="5136" spans="3:11" ht="25.8" customHeight="1">
      <c r="C5136" s="702" t="s">
        <v>1208</v>
      </c>
      <c r="D5136" s="208"/>
      <c r="E5136" s="208"/>
      <c r="F5136" s="811"/>
      <c r="G5136" s="522"/>
      <c r="H5136" s="539">
        <f>SUM(H5132:H5135)</f>
        <v>228470</v>
      </c>
      <c r="I5136" s="819"/>
    </row>
    <row r="5137" spans="3:11" ht="25.8" customHeight="1">
      <c r="C5137" s="213" t="s">
        <v>1209</v>
      </c>
      <c r="D5137" s="212" t="s">
        <v>1210</v>
      </c>
      <c r="E5137" s="534"/>
      <c r="F5137" s="831"/>
      <c r="G5137" s="534"/>
      <c r="H5137" s="534"/>
    </row>
    <row r="5138" spans="3:11" ht="25.8" customHeight="1">
      <c r="C5138" s="213">
        <v>1</v>
      </c>
      <c r="D5138" s="212" t="s">
        <v>3558</v>
      </c>
      <c r="E5138" s="234" t="s">
        <v>2167</v>
      </c>
      <c r="F5138" s="831">
        <v>1.05</v>
      </c>
      <c r="G5138" s="539">
        <f>VLOOKUP(D5138,upahbahan,3,FALSE)</f>
        <v>0</v>
      </c>
      <c r="H5138" s="539">
        <f t="shared" ref="H5138" si="561">F5138*G5138</f>
        <v>0</v>
      </c>
    </row>
    <row r="5139" spans="3:11" ht="25.8" customHeight="1">
      <c r="C5139" s="702" t="s">
        <v>1214</v>
      </c>
      <c r="D5139" s="208"/>
      <c r="E5139" s="208"/>
      <c r="F5139" s="208"/>
      <c r="G5139" s="209"/>
      <c r="H5139" s="539">
        <f>SUM(H5138:H5138)</f>
        <v>0</v>
      </c>
    </row>
    <row r="5140" spans="3:11" ht="25.8" customHeight="1">
      <c r="C5140" s="213" t="s">
        <v>1215</v>
      </c>
      <c r="D5140" s="212" t="s">
        <v>1216</v>
      </c>
      <c r="E5140" s="534"/>
      <c r="F5140" s="534"/>
      <c r="G5140" s="534"/>
      <c r="H5140" s="534"/>
    </row>
    <row r="5141" spans="3:11" ht="25.8" customHeight="1">
      <c r="C5141" s="702" t="s">
        <v>1217</v>
      </c>
      <c r="D5141" s="815"/>
      <c r="E5141" s="815"/>
      <c r="F5141" s="815"/>
      <c r="G5141" s="209"/>
      <c r="H5141" s="821">
        <f>SUM(H5140)</f>
        <v>0</v>
      </c>
    </row>
    <row r="5142" spans="3:11" ht="25.8" customHeight="1">
      <c r="C5142" s="566" t="s">
        <v>1218</v>
      </c>
      <c r="D5142" s="552" t="s">
        <v>1219</v>
      </c>
      <c r="E5142" s="553"/>
      <c r="F5142" s="553"/>
      <c r="G5142" s="554"/>
      <c r="H5142" s="826">
        <f>H5141+H5139+H5136</f>
        <v>228470</v>
      </c>
      <c r="I5142" s="827"/>
    </row>
    <row r="5143" spans="3:11" ht="25.8" customHeight="1">
      <c r="C5143" s="566" t="s">
        <v>1220</v>
      </c>
      <c r="D5143" s="552" t="s">
        <v>1321</v>
      </c>
      <c r="E5143" s="553"/>
      <c r="F5143" s="554"/>
      <c r="G5143" s="555">
        <f>$M$9</f>
        <v>0.1</v>
      </c>
      <c r="H5143" s="539">
        <f>H5142*G5143</f>
        <v>22847</v>
      </c>
      <c r="I5143" s="827"/>
    </row>
    <row r="5144" spans="3:11" ht="25.8" customHeight="1">
      <c r="C5144" s="566" t="s">
        <v>1221</v>
      </c>
      <c r="D5144" s="552" t="s">
        <v>1222</v>
      </c>
      <c r="E5144" s="553"/>
      <c r="F5144" s="553"/>
      <c r="G5144" s="554"/>
      <c r="H5144" s="828">
        <f>SUM(H5142:H5143)</f>
        <v>251317</v>
      </c>
      <c r="I5144" s="827"/>
    </row>
    <row r="5145" spans="3:11" ht="25.8" customHeight="1"/>
    <row r="5146" spans="3:11" ht="25.8" customHeight="1">
      <c r="C5146" s="513" t="s">
        <v>3559</v>
      </c>
      <c r="D5146" s="817" t="s">
        <v>3560</v>
      </c>
      <c r="E5146" s="803"/>
      <c r="F5146" s="803"/>
      <c r="G5146" s="803"/>
      <c r="H5146" s="803"/>
      <c r="I5146" s="533">
        <f>ROUNDDOWN(H5161,-2)</f>
        <v>251300</v>
      </c>
      <c r="J5146" s="536"/>
      <c r="K5146" s="824"/>
    </row>
    <row r="5147" spans="3:11" ht="25.8" customHeight="1">
      <c r="C5147" s="716" t="s">
        <v>1195</v>
      </c>
      <c r="D5147" s="716" t="s">
        <v>1196</v>
      </c>
      <c r="E5147" s="716" t="s">
        <v>1197</v>
      </c>
      <c r="F5147" s="716" t="s">
        <v>1198</v>
      </c>
      <c r="G5147" s="716" t="s">
        <v>1199</v>
      </c>
      <c r="H5147" s="716" t="s">
        <v>1200</v>
      </c>
    </row>
    <row r="5148" spans="3:11" ht="25.8" customHeight="1">
      <c r="C5148" s="213" t="s">
        <v>1201</v>
      </c>
      <c r="D5148" s="212" t="s">
        <v>1202</v>
      </c>
      <c r="E5148" s="534"/>
      <c r="F5148" s="534"/>
      <c r="G5148" s="534"/>
      <c r="H5148" s="534"/>
    </row>
    <row r="5149" spans="3:11" ht="25.8" customHeight="1">
      <c r="C5149" s="818">
        <v>1</v>
      </c>
      <c r="D5149" s="212" t="s">
        <v>5</v>
      </c>
      <c r="E5149" s="212" t="s">
        <v>6</v>
      </c>
      <c r="F5149" s="538">
        <v>0.63600000000000001</v>
      </c>
      <c r="G5149" s="539">
        <f>VLOOKUP(D5149,upahbahan,3,FALSE)</f>
        <v>100000</v>
      </c>
      <c r="H5149" s="539">
        <f t="shared" ref="H5149:H5152" si="562">F5149*G5149</f>
        <v>63600</v>
      </c>
    </row>
    <row r="5150" spans="3:11" ht="25.8" customHeight="1">
      <c r="C5150" s="818">
        <v>2</v>
      </c>
      <c r="D5150" s="212" t="s">
        <v>3295</v>
      </c>
      <c r="E5150" s="212" t="s">
        <v>6</v>
      </c>
      <c r="F5150" s="538">
        <v>1.0620000000000001</v>
      </c>
      <c r="G5150" s="539">
        <f>VLOOKUP(D5150,upahbahan,3,FALSE)</f>
        <v>135000</v>
      </c>
      <c r="H5150" s="539">
        <f t="shared" si="562"/>
        <v>143370</v>
      </c>
    </row>
    <row r="5151" spans="3:11" ht="25.8" customHeight="1">
      <c r="C5151" s="818">
        <v>3</v>
      </c>
      <c r="D5151" s="212" t="s">
        <v>18</v>
      </c>
      <c r="E5151" s="212" t="s">
        <v>6</v>
      </c>
      <c r="F5151" s="538">
        <v>0.106</v>
      </c>
      <c r="G5151" s="539">
        <f>VLOOKUP(D5151,upahbahan,3,FALSE)</f>
        <v>150000</v>
      </c>
      <c r="H5151" s="539">
        <f t="shared" si="562"/>
        <v>15900</v>
      </c>
    </row>
    <row r="5152" spans="3:11" ht="25.8" customHeight="1">
      <c r="C5152" s="818">
        <v>4</v>
      </c>
      <c r="D5152" s="212" t="s">
        <v>19</v>
      </c>
      <c r="E5152" s="212" t="s">
        <v>6</v>
      </c>
      <c r="F5152" s="538">
        <v>3.5000000000000003E-2</v>
      </c>
      <c r="G5152" s="539">
        <f>VLOOKUP(D5152,upahbahan,3,FALSE)</f>
        <v>160000</v>
      </c>
      <c r="H5152" s="539">
        <f t="shared" si="562"/>
        <v>5600.0000000000009</v>
      </c>
    </row>
    <row r="5153" spans="3:11" ht="25.8" customHeight="1">
      <c r="C5153" s="702" t="s">
        <v>1208</v>
      </c>
      <c r="D5153" s="208"/>
      <c r="E5153" s="208"/>
      <c r="F5153" s="811"/>
      <c r="G5153" s="522"/>
      <c r="H5153" s="539">
        <f>SUM(H5149:H5152)</f>
        <v>228470</v>
      </c>
      <c r="I5153" s="819"/>
    </row>
    <row r="5154" spans="3:11" ht="25.8" customHeight="1">
      <c r="C5154" s="213" t="s">
        <v>1209</v>
      </c>
      <c r="D5154" s="212" t="s">
        <v>1210</v>
      </c>
      <c r="E5154" s="534"/>
      <c r="F5154" s="831"/>
      <c r="G5154" s="534"/>
      <c r="H5154" s="534"/>
    </row>
    <row r="5155" spans="3:11" ht="25.8" customHeight="1">
      <c r="C5155" s="213">
        <v>1</v>
      </c>
      <c r="D5155" s="212" t="s">
        <v>3561</v>
      </c>
      <c r="E5155" s="234" t="s">
        <v>2167</v>
      </c>
      <c r="F5155" s="866">
        <v>1.05</v>
      </c>
      <c r="G5155" s="539">
        <f>VLOOKUP(D5155,upahbahan,3,FALSE)</f>
        <v>0</v>
      </c>
      <c r="H5155" s="539">
        <f t="shared" ref="H5155" si="563">F5155*G5155</f>
        <v>0</v>
      </c>
    </row>
    <row r="5156" spans="3:11" ht="25.8" customHeight="1">
      <c r="C5156" s="702" t="s">
        <v>1214</v>
      </c>
      <c r="D5156" s="208"/>
      <c r="E5156" s="208"/>
      <c r="F5156" s="208"/>
      <c r="G5156" s="209"/>
      <c r="H5156" s="539">
        <f>SUM(H5155:H5155)</f>
        <v>0</v>
      </c>
    </row>
    <row r="5157" spans="3:11" ht="25.8" customHeight="1">
      <c r="C5157" s="213" t="s">
        <v>1215</v>
      </c>
      <c r="D5157" s="212" t="s">
        <v>1216</v>
      </c>
      <c r="E5157" s="534"/>
      <c r="F5157" s="534"/>
      <c r="G5157" s="534"/>
      <c r="H5157" s="534"/>
    </row>
    <row r="5158" spans="3:11" ht="25.8" customHeight="1">
      <c r="C5158" s="702" t="s">
        <v>1217</v>
      </c>
      <c r="D5158" s="815"/>
      <c r="E5158" s="815"/>
      <c r="F5158" s="815"/>
      <c r="G5158" s="209"/>
      <c r="H5158" s="821">
        <f>SUM(H5157)</f>
        <v>0</v>
      </c>
    </row>
    <row r="5159" spans="3:11" ht="25.8" customHeight="1">
      <c r="C5159" s="566" t="s">
        <v>1218</v>
      </c>
      <c r="D5159" s="552" t="s">
        <v>1219</v>
      </c>
      <c r="E5159" s="553"/>
      <c r="F5159" s="553"/>
      <c r="G5159" s="554"/>
      <c r="H5159" s="826">
        <f>H5158+H5156+H5153</f>
        <v>228470</v>
      </c>
      <c r="I5159" s="827"/>
    </row>
    <row r="5160" spans="3:11" ht="25.8" customHeight="1">
      <c r="C5160" s="566" t="s">
        <v>1220</v>
      </c>
      <c r="D5160" s="552" t="s">
        <v>1321</v>
      </c>
      <c r="E5160" s="553"/>
      <c r="F5160" s="554"/>
      <c r="G5160" s="555">
        <f>$M$9</f>
        <v>0.1</v>
      </c>
      <c r="H5160" s="539">
        <f>H5159*G5160</f>
        <v>22847</v>
      </c>
      <c r="I5160" s="827"/>
    </row>
    <row r="5161" spans="3:11" ht="25.8" customHeight="1">
      <c r="C5161" s="566" t="s">
        <v>1221</v>
      </c>
      <c r="D5161" s="552" t="s">
        <v>1222</v>
      </c>
      <c r="E5161" s="553"/>
      <c r="F5161" s="553"/>
      <c r="G5161" s="554"/>
      <c r="H5161" s="828">
        <f>SUM(H5159:H5160)</f>
        <v>251317</v>
      </c>
      <c r="I5161" s="827"/>
    </row>
    <row r="5162" spans="3:11" ht="25.8" customHeight="1"/>
    <row r="5163" spans="3:11" ht="25.8" customHeight="1">
      <c r="C5163" s="571" t="s">
        <v>5314</v>
      </c>
      <c r="D5163" s="571" t="s">
        <v>5315</v>
      </c>
    </row>
    <row r="5164" spans="3:11" ht="25.8" customHeight="1"/>
    <row r="5165" spans="3:11" ht="25.8" customHeight="1">
      <c r="C5165" s="571" t="s">
        <v>3562</v>
      </c>
      <c r="D5165" s="571" t="s">
        <v>3563</v>
      </c>
    </row>
    <row r="5166" spans="3:11" ht="25.8" customHeight="1">
      <c r="C5166" s="513" t="s">
        <v>3564</v>
      </c>
      <c r="D5166" s="817" t="s">
        <v>3565</v>
      </c>
      <c r="E5166" s="803"/>
      <c r="F5166" s="803"/>
      <c r="G5166" s="803"/>
      <c r="H5166" s="803"/>
      <c r="I5166" s="533">
        <f>ROUNDDOWN(H5188,-2)</f>
        <v>14855200</v>
      </c>
      <c r="J5166" s="536"/>
      <c r="K5166" s="824"/>
    </row>
    <row r="5167" spans="3:11" ht="25.8" customHeight="1">
      <c r="C5167" s="716" t="s">
        <v>1195</v>
      </c>
      <c r="D5167" s="716" t="s">
        <v>1196</v>
      </c>
      <c r="E5167" s="716" t="s">
        <v>1197</v>
      </c>
      <c r="F5167" s="716" t="s">
        <v>1198</v>
      </c>
      <c r="G5167" s="716" t="s">
        <v>1199</v>
      </c>
      <c r="H5167" s="716" t="s">
        <v>1200</v>
      </c>
    </row>
    <row r="5168" spans="3:11" ht="25.8" customHeight="1">
      <c r="C5168" s="213" t="s">
        <v>1201</v>
      </c>
      <c r="D5168" s="212" t="s">
        <v>1202</v>
      </c>
      <c r="E5168" s="534"/>
      <c r="F5168" s="534"/>
      <c r="G5168" s="534"/>
      <c r="H5168" s="534"/>
    </row>
    <row r="5169" spans="3:9" ht="25.8" customHeight="1">
      <c r="C5169" s="818">
        <v>1</v>
      </c>
      <c r="D5169" s="212" t="s">
        <v>5</v>
      </c>
      <c r="E5169" s="212" t="s">
        <v>6</v>
      </c>
      <c r="F5169" s="538">
        <v>4</v>
      </c>
      <c r="G5169" s="539">
        <f>VLOOKUP(D5169,upahbahan,3,FALSE)</f>
        <v>100000</v>
      </c>
      <c r="H5169" s="539">
        <f t="shared" ref="H5169:H5172" si="564">F5169*G5169</f>
        <v>400000</v>
      </c>
    </row>
    <row r="5170" spans="3:9" ht="25.8" customHeight="1">
      <c r="C5170" s="818">
        <v>2</v>
      </c>
      <c r="D5170" s="212" t="s">
        <v>3295</v>
      </c>
      <c r="E5170" s="212" t="s">
        <v>6</v>
      </c>
      <c r="F5170" s="538">
        <v>2</v>
      </c>
      <c r="G5170" s="539">
        <f>VLOOKUP(D5170,upahbahan,3,FALSE)</f>
        <v>135000</v>
      </c>
      <c r="H5170" s="539">
        <f t="shared" si="564"/>
        <v>270000</v>
      </c>
    </row>
    <row r="5171" spans="3:9" ht="25.8" customHeight="1">
      <c r="C5171" s="818">
        <v>3</v>
      </c>
      <c r="D5171" s="212" t="s">
        <v>18</v>
      </c>
      <c r="E5171" s="212" t="s">
        <v>6</v>
      </c>
      <c r="F5171" s="538">
        <v>0.2</v>
      </c>
      <c r="G5171" s="539">
        <f>VLOOKUP(D5171,upahbahan,3,FALSE)</f>
        <v>150000</v>
      </c>
      <c r="H5171" s="539">
        <f t="shared" si="564"/>
        <v>30000</v>
      </c>
    </row>
    <row r="5172" spans="3:9" ht="25.8" customHeight="1">
      <c r="C5172" s="818">
        <v>4</v>
      </c>
      <c r="D5172" s="212" t="s">
        <v>19</v>
      </c>
      <c r="E5172" s="212" t="s">
        <v>6</v>
      </c>
      <c r="F5172" s="538">
        <v>6.7000000000000004E-2</v>
      </c>
      <c r="G5172" s="539">
        <f>VLOOKUP(D5172,upahbahan,3,FALSE)</f>
        <v>160000</v>
      </c>
      <c r="H5172" s="539">
        <f t="shared" si="564"/>
        <v>10720</v>
      </c>
    </row>
    <row r="5173" spans="3:9" ht="25.8" customHeight="1">
      <c r="C5173" s="702" t="s">
        <v>1208</v>
      </c>
      <c r="D5173" s="208"/>
      <c r="E5173" s="208"/>
      <c r="F5173" s="811"/>
      <c r="G5173" s="522"/>
      <c r="H5173" s="539">
        <f>SUM(H5169:H5172)</f>
        <v>710720</v>
      </c>
      <c r="I5173" s="819"/>
    </row>
    <row r="5174" spans="3:9" ht="25.8" customHeight="1">
      <c r="C5174" s="213" t="s">
        <v>1209</v>
      </c>
      <c r="D5174" s="212" t="s">
        <v>1210</v>
      </c>
      <c r="E5174" s="534"/>
      <c r="F5174" s="831"/>
      <c r="G5174" s="534"/>
      <c r="H5174" s="534"/>
    </row>
    <row r="5175" spans="3:9" ht="25.8" customHeight="1">
      <c r="C5175" s="213">
        <v>1</v>
      </c>
      <c r="D5175" s="212" t="s">
        <v>5316</v>
      </c>
      <c r="E5175" s="234" t="s">
        <v>2167</v>
      </c>
      <c r="F5175" s="866">
        <v>1</v>
      </c>
      <c r="G5175" s="539">
        <f>VLOOKUP(D5175,upahbahan,3,FALSE)</f>
        <v>829900</v>
      </c>
      <c r="H5175" s="539">
        <f>F5175*G5175</f>
        <v>829900</v>
      </c>
    </row>
    <row r="5176" spans="3:9" ht="25.8" customHeight="1">
      <c r="C5176" s="213">
        <v>2</v>
      </c>
      <c r="D5176" s="212" t="s">
        <v>5723</v>
      </c>
      <c r="E5176" s="234" t="s">
        <v>2167</v>
      </c>
      <c r="F5176" s="866">
        <v>1</v>
      </c>
      <c r="G5176" s="539">
        <f t="shared" ref="G5176:G5182" si="565">VLOOKUP(D5176,upahbahan,3,FALSE)</f>
        <v>135000</v>
      </c>
      <c r="H5176" s="539">
        <f t="shared" ref="H5176:H5182" si="566">F5176*G5176</f>
        <v>135000</v>
      </c>
    </row>
    <row r="5177" spans="3:9" ht="25.8" customHeight="1">
      <c r="C5177" s="213">
        <v>3</v>
      </c>
      <c r="D5177" s="212" t="s">
        <v>5724</v>
      </c>
      <c r="E5177" s="234" t="s">
        <v>106</v>
      </c>
      <c r="F5177" s="866">
        <v>6</v>
      </c>
      <c r="G5177" s="539">
        <f t="shared" si="565"/>
        <v>1135000</v>
      </c>
      <c r="H5177" s="539">
        <f t="shared" si="566"/>
        <v>6810000</v>
      </c>
    </row>
    <row r="5178" spans="3:9" ht="25.8" customHeight="1">
      <c r="C5178" s="213">
        <v>4</v>
      </c>
      <c r="D5178" s="212" t="s">
        <v>5725</v>
      </c>
      <c r="E5178" s="234" t="s">
        <v>5730</v>
      </c>
      <c r="F5178" s="866">
        <v>1</v>
      </c>
      <c r="G5178" s="539">
        <f t="shared" si="565"/>
        <v>245000</v>
      </c>
      <c r="H5178" s="539">
        <f t="shared" si="566"/>
        <v>245000</v>
      </c>
    </row>
    <row r="5179" spans="3:9" ht="25.8" customHeight="1">
      <c r="C5179" s="213">
        <v>5</v>
      </c>
      <c r="D5179" s="212" t="s">
        <v>5726</v>
      </c>
      <c r="E5179" s="234" t="s">
        <v>1300</v>
      </c>
      <c r="F5179" s="866">
        <v>26.4</v>
      </c>
      <c r="G5179" s="539">
        <f t="shared" si="565"/>
        <v>145000</v>
      </c>
      <c r="H5179" s="539">
        <f t="shared" si="566"/>
        <v>3828000</v>
      </c>
    </row>
    <row r="5180" spans="3:9" ht="25.8" customHeight="1">
      <c r="C5180" s="213">
        <v>6</v>
      </c>
      <c r="D5180" s="212" t="s">
        <v>5727</v>
      </c>
      <c r="E5180" s="234" t="s">
        <v>1300</v>
      </c>
      <c r="F5180" s="866">
        <v>4.4000000000000004</v>
      </c>
      <c r="G5180" s="539">
        <f t="shared" si="565"/>
        <v>26400</v>
      </c>
      <c r="H5180" s="539">
        <f t="shared" si="566"/>
        <v>116160.00000000001</v>
      </c>
    </row>
    <row r="5181" spans="3:9" ht="25.8" customHeight="1">
      <c r="C5181" s="213">
        <v>7</v>
      </c>
      <c r="D5181" s="212" t="s">
        <v>5728</v>
      </c>
      <c r="E5181" s="234" t="s">
        <v>2167</v>
      </c>
      <c r="F5181" s="866">
        <v>6</v>
      </c>
      <c r="G5181" s="539">
        <f t="shared" si="565"/>
        <v>130000</v>
      </c>
      <c r="H5181" s="539">
        <f t="shared" si="566"/>
        <v>780000</v>
      </c>
    </row>
    <row r="5182" spans="3:9" ht="25.8" customHeight="1">
      <c r="C5182" s="213">
        <v>8</v>
      </c>
      <c r="D5182" s="212" t="s">
        <v>5729</v>
      </c>
      <c r="E5182" s="234" t="s">
        <v>5731</v>
      </c>
      <c r="F5182" s="866">
        <v>1</v>
      </c>
      <c r="G5182" s="539">
        <f t="shared" si="565"/>
        <v>50000</v>
      </c>
      <c r="H5182" s="539">
        <f t="shared" si="566"/>
        <v>50000</v>
      </c>
    </row>
    <row r="5183" spans="3:9" ht="25.8" customHeight="1">
      <c r="C5183" s="702" t="s">
        <v>1214</v>
      </c>
      <c r="D5183" s="208"/>
      <c r="E5183" s="208"/>
      <c r="F5183" s="208"/>
      <c r="G5183" s="209"/>
      <c r="H5183" s="539">
        <f>SUM(H5175:H5182)</f>
        <v>12794060</v>
      </c>
    </row>
    <row r="5184" spans="3:9" ht="25.8" customHeight="1">
      <c r="C5184" s="213" t="s">
        <v>1215</v>
      </c>
      <c r="D5184" s="212" t="s">
        <v>1216</v>
      </c>
      <c r="E5184" s="534"/>
      <c r="F5184" s="534"/>
      <c r="G5184" s="534"/>
      <c r="H5184" s="534"/>
    </row>
    <row r="5185" spans="3:11" ht="25.8" customHeight="1">
      <c r="C5185" s="702" t="s">
        <v>1217</v>
      </c>
      <c r="D5185" s="815"/>
      <c r="E5185" s="815"/>
      <c r="F5185" s="815"/>
      <c r="G5185" s="209"/>
      <c r="H5185" s="821">
        <f>SUM(H5184)</f>
        <v>0</v>
      </c>
    </row>
    <row r="5186" spans="3:11" ht="25.8" customHeight="1">
      <c r="C5186" s="566" t="s">
        <v>1218</v>
      </c>
      <c r="D5186" s="552" t="s">
        <v>1219</v>
      </c>
      <c r="E5186" s="553"/>
      <c r="F5186" s="553"/>
      <c r="G5186" s="554"/>
      <c r="H5186" s="826">
        <f>H5185+H5183+H5173</f>
        <v>13504780</v>
      </c>
      <c r="I5186" s="827"/>
    </row>
    <row r="5187" spans="3:11" ht="25.8" customHeight="1">
      <c r="C5187" s="566" t="s">
        <v>1220</v>
      </c>
      <c r="D5187" s="552" t="s">
        <v>1321</v>
      </c>
      <c r="E5187" s="553"/>
      <c r="F5187" s="554"/>
      <c r="G5187" s="555">
        <f>$M$9</f>
        <v>0.1</v>
      </c>
      <c r="H5187" s="539">
        <f>H5186*G5187</f>
        <v>1350478</v>
      </c>
      <c r="I5187" s="827"/>
    </row>
    <row r="5188" spans="3:11" ht="25.8" customHeight="1">
      <c r="C5188" s="566" t="s">
        <v>1221</v>
      </c>
      <c r="D5188" s="552" t="s">
        <v>1222</v>
      </c>
      <c r="E5188" s="553"/>
      <c r="F5188" s="553"/>
      <c r="G5188" s="554"/>
      <c r="H5188" s="828">
        <f>SUM(H5186:H5187)</f>
        <v>14855258</v>
      </c>
      <c r="I5188" s="827"/>
    </row>
    <row r="5189" spans="3:11" ht="25.8" customHeight="1"/>
    <row r="5190" spans="3:11" ht="25.8" customHeight="1">
      <c r="C5190" s="513" t="s">
        <v>5733</v>
      </c>
      <c r="D5190" s="817" t="s">
        <v>5734</v>
      </c>
      <c r="E5190" s="803"/>
      <c r="F5190" s="803"/>
      <c r="G5190" s="803"/>
      <c r="H5190" s="803"/>
      <c r="I5190" s="533">
        <f>ROUNDDOWN(H5212,-2)</f>
        <v>18359800</v>
      </c>
      <c r="J5190" s="536"/>
      <c r="K5190" s="824"/>
    </row>
    <row r="5191" spans="3:11" ht="25.8" customHeight="1">
      <c r="C5191" s="716" t="s">
        <v>1195</v>
      </c>
      <c r="D5191" s="716" t="s">
        <v>1196</v>
      </c>
      <c r="E5191" s="716" t="s">
        <v>1197</v>
      </c>
      <c r="F5191" s="716" t="s">
        <v>1198</v>
      </c>
      <c r="G5191" s="716" t="s">
        <v>1199</v>
      </c>
      <c r="H5191" s="716" t="s">
        <v>1200</v>
      </c>
    </row>
    <row r="5192" spans="3:11" ht="25.8" customHeight="1">
      <c r="C5192" s="213" t="s">
        <v>1201</v>
      </c>
      <c r="D5192" s="212" t="s">
        <v>1202</v>
      </c>
      <c r="E5192" s="534"/>
      <c r="F5192" s="534"/>
      <c r="G5192" s="534"/>
      <c r="H5192" s="534"/>
    </row>
    <row r="5193" spans="3:11" ht="25.8" customHeight="1">
      <c r="C5193" s="818">
        <v>1</v>
      </c>
      <c r="D5193" s="212" t="s">
        <v>5</v>
      </c>
      <c r="E5193" s="212" t="s">
        <v>6</v>
      </c>
      <c r="F5193" s="538">
        <v>4</v>
      </c>
      <c r="G5193" s="539">
        <f>VLOOKUP(D5193,upahbahan,3,FALSE)</f>
        <v>100000</v>
      </c>
      <c r="H5193" s="539">
        <f t="shared" ref="H5193:H5196" si="567">F5193*G5193</f>
        <v>400000</v>
      </c>
    </row>
    <row r="5194" spans="3:11" ht="25.8" customHeight="1">
      <c r="C5194" s="818">
        <v>2</v>
      </c>
      <c r="D5194" s="212" t="s">
        <v>3295</v>
      </c>
      <c r="E5194" s="212" t="s">
        <v>6</v>
      </c>
      <c r="F5194" s="538">
        <v>2</v>
      </c>
      <c r="G5194" s="539">
        <f>VLOOKUP(D5194,upahbahan,3,FALSE)</f>
        <v>135000</v>
      </c>
      <c r="H5194" s="539">
        <f t="shared" si="567"/>
        <v>270000</v>
      </c>
    </row>
    <row r="5195" spans="3:11" ht="25.8" customHeight="1">
      <c r="C5195" s="818">
        <v>3</v>
      </c>
      <c r="D5195" s="212" t="s">
        <v>18</v>
      </c>
      <c r="E5195" s="212" t="s">
        <v>6</v>
      </c>
      <c r="F5195" s="538">
        <v>0.2</v>
      </c>
      <c r="G5195" s="539">
        <f>VLOOKUP(D5195,upahbahan,3,FALSE)</f>
        <v>150000</v>
      </c>
      <c r="H5195" s="539">
        <f t="shared" si="567"/>
        <v>30000</v>
      </c>
    </row>
    <row r="5196" spans="3:11" ht="25.8" customHeight="1">
      <c r="C5196" s="818">
        <v>4</v>
      </c>
      <c r="D5196" s="212" t="s">
        <v>19</v>
      </c>
      <c r="E5196" s="212" t="s">
        <v>6</v>
      </c>
      <c r="F5196" s="538">
        <v>6.7000000000000004E-2</v>
      </c>
      <c r="G5196" s="539">
        <f>VLOOKUP(D5196,upahbahan,3,FALSE)</f>
        <v>160000</v>
      </c>
      <c r="H5196" s="539">
        <f t="shared" si="567"/>
        <v>10720</v>
      </c>
    </row>
    <row r="5197" spans="3:11" ht="25.8" customHeight="1">
      <c r="C5197" s="702" t="s">
        <v>1208</v>
      </c>
      <c r="D5197" s="208"/>
      <c r="E5197" s="208"/>
      <c r="F5197" s="811"/>
      <c r="G5197" s="522"/>
      <c r="H5197" s="539">
        <f>SUM(H5193:H5196)</f>
        <v>710720</v>
      </c>
      <c r="I5197" s="819"/>
    </row>
    <row r="5198" spans="3:11" ht="25.8" customHeight="1">
      <c r="C5198" s="213" t="s">
        <v>1209</v>
      </c>
      <c r="D5198" s="212" t="s">
        <v>1210</v>
      </c>
      <c r="E5198" s="534"/>
      <c r="F5198" s="831"/>
      <c r="G5198" s="534"/>
      <c r="H5198" s="534"/>
    </row>
    <row r="5199" spans="3:11" ht="25.8" customHeight="1">
      <c r="C5199" s="213">
        <v>1</v>
      </c>
      <c r="D5199" s="212" t="s">
        <v>5316</v>
      </c>
      <c r="E5199" s="234" t="s">
        <v>2167</v>
      </c>
      <c r="F5199" s="866">
        <v>1</v>
      </c>
      <c r="G5199" s="539">
        <f>VLOOKUP(D5199,upahbahan,3,FALSE)</f>
        <v>829900</v>
      </c>
      <c r="H5199" s="539">
        <f>F5199*G5199</f>
        <v>829900</v>
      </c>
    </row>
    <row r="5200" spans="3:11" ht="25.8" customHeight="1">
      <c r="C5200" s="213">
        <v>2</v>
      </c>
      <c r="D5200" s="212" t="s">
        <v>5723</v>
      </c>
      <c r="E5200" s="234" t="s">
        <v>2167</v>
      </c>
      <c r="F5200" s="866">
        <v>1</v>
      </c>
      <c r="G5200" s="539">
        <f t="shared" ref="G5200:G5206" si="568">VLOOKUP(D5200,upahbahan,3,FALSE)</f>
        <v>135000</v>
      </c>
      <c r="H5200" s="539">
        <f t="shared" ref="H5200:H5206" si="569">F5200*G5200</f>
        <v>135000</v>
      </c>
    </row>
    <row r="5201" spans="3:11" ht="25.8" customHeight="1">
      <c r="C5201" s="213">
        <v>3</v>
      </c>
      <c r="D5201" s="212" t="s">
        <v>5735</v>
      </c>
      <c r="E5201" s="234" t="s">
        <v>106</v>
      </c>
      <c r="F5201" s="866">
        <v>6</v>
      </c>
      <c r="G5201" s="539">
        <f t="shared" si="568"/>
        <v>1666000</v>
      </c>
      <c r="H5201" s="539">
        <f t="shared" si="569"/>
        <v>9996000</v>
      </c>
    </row>
    <row r="5202" spans="3:11" ht="25.8" customHeight="1">
      <c r="C5202" s="213">
        <v>4</v>
      </c>
      <c r="D5202" s="212" t="s">
        <v>5725</v>
      </c>
      <c r="E5202" s="234" t="s">
        <v>5730</v>
      </c>
      <c r="F5202" s="866">
        <v>1</v>
      </c>
      <c r="G5202" s="539">
        <f t="shared" si="568"/>
        <v>245000</v>
      </c>
      <c r="H5202" s="539">
        <f t="shared" si="569"/>
        <v>245000</v>
      </c>
    </row>
    <row r="5203" spans="3:11" ht="25.8" customHeight="1">
      <c r="C5203" s="213">
        <v>5</v>
      </c>
      <c r="D5203" s="212" t="s">
        <v>5726</v>
      </c>
      <c r="E5203" s="234" t="s">
        <v>1300</v>
      </c>
      <c r="F5203" s="866">
        <v>26.4</v>
      </c>
      <c r="G5203" s="539">
        <f t="shared" si="568"/>
        <v>145000</v>
      </c>
      <c r="H5203" s="539">
        <f t="shared" si="569"/>
        <v>3828000</v>
      </c>
    </row>
    <row r="5204" spans="3:11" ht="25.8" customHeight="1">
      <c r="C5204" s="213">
        <v>6</v>
      </c>
      <c r="D5204" s="212" t="s">
        <v>5727</v>
      </c>
      <c r="E5204" s="234" t="s">
        <v>1300</v>
      </c>
      <c r="F5204" s="866">
        <v>4.4000000000000004</v>
      </c>
      <c r="G5204" s="539">
        <f t="shared" si="568"/>
        <v>26400</v>
      </c>
      <c r="H5204" s="539">
        <f t="shared" si="569"/>
        <v>116160.00000000001</v>
      </c>
    </row>
    <row r="5205" spans="3:11" ht="25.8" customHeight="1">
      <c r="C5205" s="213">
        <v>7</v>
      </c>
      <c r="D5205" s="212" t="s">
        <v>5728</v>
      </c>
      <c r="E5205" s="234" t="s">
        <v>2167</v>
      </c>
      <c r="F5205" s="866">
        <v>6</v>
      </c>
      <c r="G5205" s="539">
        <f t="shared" si="568"/>
        <v>130000</v>
      </c>
      <c r="H5205" s="539">
        <f t="shared" si="569"/>
        <v>780000</v>
      </c>
    </row>
    <row r="5206" spans="3:11" ht="25.8" customHeight="1">
      <c r="C5206" s="213">
        <v>8</v>
      </c>
      <c r="D5206" s="212" t="s">
        <v>5729</v>
      </c>
      <c r="E5206" s="234" t="s">
        <v>5731</v>
      </c>
      <c r="F5206" s="866">
        <v>1</v>
      </c>
      <c r="G5206" s="539">
        <f t="shared" si="568"/>
        <v>50000</v>
      </c>
      <c r="H5206" s="539">
        <f t="shared" si="569"/>
        <v>50000</v>
      </c>
    </row>
    <row r="5207" spans="3:11" ht="25.8" customHeight="1">
      <c r="C5207" s="702" t="s">
        <v>1214</v>
      </c>
      <c r="D5207" s="208"/>
      <c r="E5207" s="208"/>
      <c r="F5207" s="208"/>
      <c r="G5207" s="209"/>
      <c r="H5207" s="539">
        <f>SUM(H5199:H5206)</f>
        <v>15980060</v>
      </c>
    </row>
    <row r="5208" spans="3:11" ht="25.8" customHeight="1">
      <c r="C5208" s="213" t="s">
        <v>1215</v>
      </c>
      <c r="D5208" s="212" t="s">
        <v>1216</v>
      </c>
      <c r="E5208" s="534"/>
      <c r="F5208" s="534"/>
      <c r="G5208" s="534"/>
      <c r="H5208" s="534"/>
    </row>
    <row r="5209" spans="3:11" ht="25.8" customHeight="1">
      <c r="C5209" s="702" t="s">
        <v>1217</v>
      </c>
      <c r="D5209" s="815"/>
      <c r="E5209" s="815"/>
      <c r="F5209" s="815"/>
      <c r="G5209" s="209"/>
      <c r="H5209" s="821">
        <f>SUM(H5208)</f>
        <v>0</v>
      </c>
    </row>
    <row r="5210" spans="3:11" ht="25.8" customHeight="1">
      <c r="C5210" s="566" t="s">
        <v>1218</v>
      </c>
      <c r="D5210" s="552" t="s">
        <v>1219</v>
      </c>
      <c r="E5210" s="553"/>
      <c r="F5210" s="553"/>
      <c r="G5210" s="554"/>
      <c r="H5210" s="826">
        <f>H5209+H5207+H5197</f>
        <v>16690780</v>
      </c>
      <c r="I5210" s="827"/>
    </row>
    <row r="5211" spans="3:11" ht="25.8" customHeight="1">
      <c r="C5211" s="566" t="s">
        <v>1220</v>
      </c>
      <c r="D5211" s="552" t="s">
        <v>1321</v>
      </c>
      <c r="E5211" s="553"/>
      <c r="F5211" s="554"/>
      <c r="G5211" s="555">
        <f>$M$9</f>
        <v>0.1</v>
      </c>
      <c r="H5211" s="539">
        <f>H5210*G5211</f>
        <v>1669078</v>
      </c>
      <c r="I5211" s="827"/>
    </row>
    <row r="5212" spans="3:11" ht="25.8" customHeight="1">
      <c r="C5212" s="566" t="s">
        <v>1221</v>
      </c>
      <c r="D5212" s="552" t="s">
        <v>1222</v>
      </c>
      <c r="E5212" s="553"/>
      <c r="F5212" s="553"/>
      <c r="G5212" s="554"/>
      <c r="H5212" s="828">
        <f>SUM(H5210:H5211)</f>
        <v>18359858</v>
      </c>
      <c r="I5212" s="827"/>
    </row>
    <row r="5213" spans="3:11" ht="25.8" customHeight="1"/>
    <row r="5214" spans="3:11" ht="25.8" customHeight="1">
      <c r="C5214" s="571" t="s">
        <v>5736</v>
      </c>
      <c r="D5214" s="571" t="s">
        <v>5737</v>
      </c>
    </row>
    <row r="5215" spans="3:11" ht="25.8" customHeight="1">
      <c r="C5215" s="513" t="s">
        <v>5738</v>
      </c>
      <c r="D5215" s="817" t="s">
        <v>5739</v>
      </c>
      <c r="E5215" s="803"/>
      <c r="F5215" s="803"/>
      <c r="G5215" s="803"/>
      <c r="H5215" s="803"/>
      <c r="I5215" s="533">
        <f>ROUNDDOWN(H5230,-2)</f>
        <v>2052400</v>
      </c>
      <c r="J5215" s="536"/>
      <c r="K5215" s="824"/>
    </row>
    <row r="5216" spans="3:11" ht="25.8" customHeight="1">
      <c r="C5216" s="716" t="s">
        <v>1195</v>
      </c>
      <c r="D5216" s="716" t="s">
        <v>1196</v>
      </c>
      <c r="E5216" s="716" t="s">
        <v>1197</v>
      </c>
      <c r="F5216" s="716" t="s">
        <v>1198</v>
      </c>
      <c r="G5216" s="716" t="s">
        <v>1199</v>
      </c>
      <c r="H5216" s="716" t="s">
        <v>1200</v>
      </c>
    </row>
    <row r="5217" spans="3:9" ht="25.8" customHeight="1">
      <c r="C5217" s="213" t="s">
        <v>1201</v>
      </c>
      <c r="D5217" s="212" t="s">
        <v>1202</v>
      </c>
      <c r="E5217" s="534"/>
      <c r="F5217" s="534"/>
      <c r="G5217" s="534"/>
      <c r="H5217" s="534"/>
    </row>
    <row r="5218" spans="3:9" ht="25.8" customHeight="1">
      <c r="C5218" s="818">
        <v>1</v>
      </c>
      <c r="D5218" s="212" t="s">
        <v>5</v>
      </c>
      <c r="E5218" s="212" t="s">
        <v>6</v>
      </c>
      <c r="F5218" s="538">
        <v>0.19</v>
      </c>
      <c r="G5218" s="539">
        <f>VLOOKUP(D5218,upahbahan,3,FALSE)</f>
        <v>100000</v>
      </c>
      <c r="H5218" s="539">
        <f t="shared" ref="H5218:H5221" si="570">F5218*G5218</f>
        <v>19000</v>
      </c>
    </row>
    <row r="5219" spans="3:9" ht="25.8" customHeight="1">
      <c r="C5219" s="818">
        <v>2</v>
      </c>
      <c r="D5219" s="212" t="s">
        <v>3295</v>
      </c>
      <c r="E5219" s="212" t="s">
        <v>6</v>
      </c>
      <c r="F5219" s="538">
        <v>0.318</v>
      </c>
      <c r="G5219" s="539">
        <f>VLOOKUP(D5219,upahbahan,3,FALSE)</f>
        <v>135000</v>
      </c>
      <c r="H5219" s="539">
        <f t="shared" si="570"/>
        <v>42930</v>
      </c>
    </row>
    <row r="5220" spans="3:9" ht="25.8" customHeight="1">
      <c r="C5220" s="818">
        <v>3</v>
      </c>
      <c r="D5220" s="212" t="s">
        <v>18</v>
      </c>
      <c r="E5220" s="212" t="s">
        <v>6</v>
      </c>
      <c r="F5220" s="538">
        <v>3.2000000000000001E-2</v>
      </c>
      <c r="G5220" s="539">
        <f>VLOOKUP(D5220,upahbahan,3,FALSE)</f>
        <v>150000</v>
      </c>
      <c r="H5220" s="539">
        <f t="shared" si="570"/>
        <v>4800</v>
      </c>
    </row>
    <row r="5221" spans="3:9" ht="25.8" customHeight="1">
      <c r="C5221" s="818">
        <v>4</v>
      </c>
      <c r="D5221" s="212" t="s">
        <v>19</v>
      </c>
      <c r="E5221" s="212" t="s">
        <v>6</v>
      </c>
      <c r="F5221" s="538">
        <v>1.0999999999999999E-2</v>
      </c>
      <c r="G5221" s="539">
        <f>VLOOKUP(D5221,upahbahan,3,FALSE)</f>
        <v>160000</v>
      </c>
      <c r="H5221" s="539">
        <f t="shared" si="570"/>
        <v>1760</v>
      </c>
    </row>
    <row r="5222" spans="3:9" ht="25.8" customHeight="1">
      <c r="C5222" s="702" t="s">
        <v>1208</v>
      </c>
      <c r="D5222" s="208"/>
      <c r="E5222" s="208"/>
      <c r="F5222" s="811"/>
      <c r="G5222" s="522"/>
      <c r="H5222" s="539">
        <f>SUM(H5218:H5221)</f>
        <v>68490</v>
      </c>
      <c r="I5222" s="819"/>
    </row>
    <row r="5223" spans="3:9" ht="25.8" customHeight="1">
      <c r="C5223" s="213" t="s">
        <v>1209</v>
      </c>
      <c r="D5223" s="212" t="s">
        <v>1210</v>
      </c>
      <c r="E5223" s="534"/>
      <c r="F5223" s="831"/>
      <c r="G5223" s="534"/>
      <c r="H5223" s="534"/>
    </row>
    <row r="5224" spans="3:9" ht="25.8" customHeight="1">
      <c r="C5224" s="213">
        <v>1</v>
      </c>
      <c r="D5224" s="212" t="s">
        <v>5740</v>
      </c>
      <c r="E5224" s="234" t="s">
        <v>135</v>
      </c>
      <c r="F5224" s="866">
        <v>1.1000000000000001</v>
      </c>
      <c r="G5224" s="539">
        <f>VLOOKUP(D5224,upahbahan,3,FALSE)</f>
        <v>1634000</v>
      </c>
      <c r="H5224" s="539">
        <f>F5224*G5224</f>
        <v>1797400.0000000002</v>
      </c>
    </row>
    <row r="5225" spans="3:9" ht="25.8" customHeight="1">
      <c r="C5225" s="702" t="s">
        <v>1214</v>
      </c>
      <c r="D5225" s="208"/>
      <c r="E5225" s="208"/>
      <c r="F5225" s="208"/>
      <c r="G5225" s="209"/>
      <c r="H5225" s="539">
        <f>SUM(H5224:H5224)</f>
        <v>1797400.0000000002</v>
      </c>
    </row>
    <row r="5226" spans="3:9" ht="25.8" customHeight="1">
      <c r="C5226" s="213" t="s">
        <v>1215</v>
      </c>
      <c r="D5226" s="212" t="s">
        <v>1216</v>
      </c>
      <c r="E5226" s="534"/>
      <c r="F5226" s="534"/>
      <c r="G5226" s="534"/>
      <c r="H5226" s="534"/>
    </row>
    <row r="5227" spans="3:9" ht="25.8" customHeight="1">
      <c r="C5227" s="702" t="s">
        <v>1217</v>
      </c>
      <c r="D5227" s="815"/>
      <c r="E5227" s="815"/>
      <c r="F5227" s="815"/>
      <c r="G5227" s="209"/>
      <c r="H5227" s="821">
        <f>SUM(H5226)</f>
        <v>0</v>
      </c>
    </row>
    <row r="5228" spans="3:9" ht="25.8" customHeight="1">
      <c r="C5228" s="566" t="s">
        <v>1218</v>
      </c>
      <c r="D5228" s="552" t="s">
        <v>1219</v>
      </c>
      <c r="E5228" s="553"/>
      <c r="F5228" s="553"/>
      <c r="G5228" s="554"/>
      <c r="H5228" s="826">
        <f>H5227+H5225+H5222</f>
        <v>1865890.0000000002</v>
      </c>
      <c r="I5228" s="827"/>
    </row>
    <row r="5229" spans="3:9" ht="25.8" customHeight="1">
      <c r="C5229" s="566" t="s">
        <v>1220</v>
      </c>
      <c r="D5229" s="552" t="s">
        <v>1321</v>
      </c>
      <c r="E5229" s="553"/>
      <c r="F5229" s="554"/>
      <c r="G5229" s="555">
        <f>$M$9</f>
        <v>0.1</v>
      </c>
      <c r="H5229" s="539">
        <f>H5228*G5229</f>
        <v>186589.00000000003</v>
      </c>
      <c r="I5229" s="827"/>
    </row>
    <row r="5230" spans="3:9" ht="25.8" customHeight="1">
      <c r="C5230" s="566" t="s">
        <v>1221</v>
      </c>
      <c r="D5230" s="552" t="s">
        <v>1222</v>
      </c>
      <c r="E5230" s="553"/>
      <c r="F5230" s="553"/>
      <c r="G5230" s="554"/>
      <c r="H5230" s="828">
        <f>SUM(H5228:H5229)</f>
        <v>2052479.0000000002</v>
      </c>
      <c r="I5230" s="827"/>
    </row>
    <row r="5231" spans="3:9" ht="25.8" customHeight="1"/>
    <row r="5232" spans="3:9" ht="25.8" customHeight="1"/>
    <row r="5233" spans="3:11" ht="25.8" customHeight="1">
      <c r="C5233" s="513" t="s">
        <v>5741</v>
      </c>
      <c r="D5233" s="817" t="s">
        <v>5742</v>
      </c>
      <c r="E5233" s="803"/>
      <c r="F5233" s="803"/>
      <c r="G5233" s="803"/>
      <c r="H5233" s="803"/>
      <c r="I5233" s="533">
        <f>ROUNDDOWN(H5248,-2)</f>
        <v>786300</v>
      </c>
      <c r="J5233" s="536"/>
      <c r="K5233" s="824"/>
    </row>
    <row r="5234" spans="3:11" ht="25.8" customHeight="1">
      <c r="C5234" s="716" t="s">
        <v>1195</v>
      </c>
      <c r="D5234" s="716" t="s">
        <v>1196</v>
      </c>
      <c r="E5234" s="716" t="s">
        <v>1197</v>
      </c>
      <c r="F5234" s="716" t="s">
        <v>1198</v>
      </c>
      <c r="G5234" s="716" t="s">
        <v>1199</v>
      </c>
      <c r="H5234" s="716" t="s">
        <v>1200</v>
      </c>
    </row>
    <row r="5235" spans="3:11" ht="25.8" customHeight="1">
      <c r="C5235" s="213" t="s">
        <v>1201</v>
      </c>
      <c r="D5235" s="212" t="s">
        <v>1202</v>
      </c>
      <c r="E5235" s="534"/>
      <c r="F5235" s="534"/>
      <c r="G5235" s="534"/>
      <c r="H5235" s="534"/>
    </row>
    <row r="5236" spans="3:11" ht="25.8" customHeight="1">
      <c r="C5236" s="818">
        <v>1</v>
      </c>
      <c r="D5236" s="212" t="s">
        <v>5</v>
      </c>
      <c r="E5236" s="212" t="s">
        <v>6</v>
      </c>
      <c r="F5236" s="538">
        <v>0.19</v>
      </c>
      <c r="G5236" s="539">
        <f>VLOOKUP(D5236,upahbahan,3,FALSE)</f>
        <v>100000</v>
      </c>
      <c r="H5236" s="539">
        <f t="shared" ref="H5236:H5239" si="571">F5236*G5236</f>
        <v>19000</v>
      </c>
    </row>
    <row r="5237" spans="3:11" ht="25.8" customHeight="1">
      <c r="C5237" s="818">
        <v>2</v>
      </c>
      <c r="D5237" s="212" t="s">
        <v>3295</v>
      </c>
      <c r="E5237" s="212" t="s">
        <v>6</v>
      </c>
      <c r="F5237" s="538">
        <v>0.318</v>
      </c>
      <c r="G5237" s="539">
        <f>VLOOKUP(D5237,upahbahan,3,FALSE)</f>
        <v>135000</v>
      </c>
      <c r="H5237" s="539">
        <f t="shared" si="571"/>
        <v>42930</v>
      </c>
    </row>
    <row r="5238" spans="3:11" ht="25.8" customHeight="1">
      <c r="C5238" s="818">
        <v>3</v>
      </c>
      <c r="D5238" s="212" t="s">
        <v>18</v>
      </c>
      <c r="E5238" s="212" t="s">
        <v>6</v>
      </c>
      <c r="F5238" s="538">
        <v>3.2000000000000001E-2</v>
      </c>
      <c r="G5238" s="539">
        <f>VLOOKUP(D5238,upahbahan,3,FALSE)</f>
        <v>150000</v>
      </c>
      <c r="H5238" s="539">
        <f t="shared" si="571"/>
        <v>4800</v>
      </c>
    </row>
    <row r="5239" spans="3:11" ht="25.8" customHeight="1">
      <c r="C5239" s="818">
        <v>4</v>
      </c>
      <c r="D5239" s="212" t="s">
        <v>19</v>
      </c>
      <c r="E5239" s="212" t="s">
        <v>6</v>
      </c>
      <c r="F5239" s="538">
        <v>1.0999999999999999E-2</v>
      </c>
      <c r="G5239" s="539">
        <f>VLOOKUP(D5239,upahbahan,3,FALSE)</f>
        <v>160000</v>
      </c>
      <c r="H5239" s="539">
        <f t="shared" si="571"/>
        <v>1760</v>
      </c>
    </row>
    <row r="5240" spans="3:11" ht="25.8" customHeight="1">
      <c r="C5240" s="702" t="s">
        <v>1208</v>
      </c>
      <c r="D5240" s="208"/>
      <c r="E5240" s="208"/>
      <c r="F5240" s="811"/>
      <c r="G5240" s="522"/>
      <c r="H5240" s="539">
        <f>SUM(H5236:H5239)</f>
        <v>68490</v>
      </c>
      <c r="I5240" s="819"/>
    </row>
    <row r="5241" spans="3:11" ht="25.8" customHeight="1">
      <c r="C5241" s="213" t="s">
        <v>1209</v>
      </c>
      <c r="D5241" s="212" t="s">
        <v>1210</v>
      </c>
      <c r="E5241" s="534"/>
      <c r="F5241" s="831"/>
      <c r="G5241" s="534"/>
      <c r="H5241" s="534"/>
    </row>
    <row r="5242" spans="3:11" ht="25.8" customHeight="1">
      <c r="C5242" s="213">
        <v>1</v>
      </c>
      <c r="D5242" s="212" t="s">
        <v>5743</v>
      </c>
      <c r="E5242" s="234" t="s">
        <v>135</v>
      </c>
      <c r="F5242" s="866">
        <v>1.1000000000000001</v>
      </c>
      <c r="G5242" s="539">
        <f>VLOOKUP(D5242,upahbahan,3,FALSE)</f>
        <v>587600</v>
      </c>
      <c r="H5242" s="539">
        <f>F5242*G5242</f>
        <v>646360</v>
      </c>
    </row>
    <row r="5243" spans="3:11" ht="25.8" customHeight="1">
      <c r="C5243" s="702" t="s">
        <v>1214</v>
      </c>
      <c r="D5243" s="208"/>
      <c r="E5243" s="208"/>
      <c r="F5243" s="208"/>
      <c r="G5243" s="209"/>
      <c r="H5243" s="539">
        <f>SUM(H5242:H5242)</f>
        <v>646360</v>
      </c>
    </row>
    <row r="5244" spans="3:11" ht="25.8" customHeight="1">
      <c r="C5244" s="213" t="s">
        <v>1215</v>
      </c>
      <c r="D5244" s="212" t="s">
        <v>1216</v>
      </c>
      <c r="E5244" s="534"/>
      <c r="F5244" s="534"/>
      <c r="G5244" s="534"/>
      <c r="H5244" s="534"/>
    </row>
    <row r="5245" spans="3:11" ht="25.8" customHeight="1">
      <c r="C5245" s="702" t="s">
        <v>1217</v>
      </c>
      <c r="D5245" s="815"/>
      <c r="E5245" s="815"/>
      <c r="F5245" s="815"/>
      <c r="G5245" s="209"/>
      <c r="H5245" s="821">
        <f>SUM(H5244)</f>
        <v>0</v>
      </c>
    </row>
    <row r="5246" spans="3:11" ht="25.8" customHeight="1">
      <c r="C5246" s="566" t="s">
        <v>1218</v>
      </c>
      <c r="D5246" s="552" t="s">
        <v>1219</v>
      </c>
      <c r="E5246" s="553"/>
      <c r="F5246" s="553"/>
      <c r="G5246" s="554"/>
      <c r="H5246" s="826">
        <f>H5245+H5243+H5240</f>
        <v>714850</v>
      </c>
      <c r="I5246" s="827"/>
    </row>
    <row r="5247" spans="3:11" ht="25.8" customHeight="1">
      <c r="C5247" s="566" t="s">
        <v>1220</v>
      </c>
      <c r="D5247" s="552" t="s">
        <v>1321</v>
      </c>
      <c r="E5247" s="553"/>
      <c r="F5247" s="554"/>
      <c r="G5247" s="555">
        <f>$M$9</f>
        <v>0.1</v>
      </c>
      <c r="H5247" s="539">
        <f>H5246*G5247</f>
        <v>71485</v>
      </c>
      <c r="I5247" s="827"/>
    </row>
    <row r="5248" spans="3:11" ht="25.8" customHeight="1">
      <c r="C5248" s="566" t="s">
        <v>1221</v>
      </c>
      <c r="D5248" s="552" t="s">
        <v>1222</v>
      </c>
      <c r="E5248" s="553"/>
      <c r="F5248" s="553"/>
      <c r="G5248" s="554"/>
      <c r="H5248" s="828">
        <f>SUM(H5246:H5247)</f>
        <v>786335</v>
      </c>
      <c r="I5248" s="827"/>
    </row>
    <row r="5249" spans="3:11" ht="25.8" customHeight="1"/>
    <row r="5250" spans="3:11" ht="25.8" customHeight="1">
      <c r="C5250" s="513" t="s">
        <v>5744</v>
      </c>
      <c r="D5250" s="817" t="s">
        <v>5745</v>
      </c>
      <c r="E5250" s="803"/>
      <c r="F5250" s="803"/>
      <c r="G5250" s="803"/>
      <c r="H5250" s="803"/>
      <c r="I5250" s="533">
        <f>ROUNDDOWN(H5265,-2)</f>
        <v>91600</v>
      </c>
      <c r="J5250" s="536"/>
      <c r="K5250" s="824"/>
    </row>
    <row r="5251" spans="3:11" ht="25.8" customHeight="1">
      <c r="C5251" s="716" t="s">
        <v>1195</v>
      </c>
      <c r="D5251" s="716" t="s">
        <v>1196</v>
      </c>
      <c r="E5251" s="716" t="s">
        <v>1197</v>
      </c>
      <c r="F5251" s="716" t="s">
        <v>1198</v>
      </c>
      <c r="G5251" s="716" t="s">
        <v>1199</v>
      </c>
      <c r="H5251" s="716" t="s">
        <v>1200</v>
      </c>
    </row>
    <row r="5252" spans="3:11" ht="25.8" customHeight="1">
      <c r="C5252" s="213" t="s">
        <v>1201</v>
      </c>
      <c r="D5252" s="212" t="s">
        <v>1202</v>
      </c>
      <c r="E5252" s="534"/>
      <c r="F5252" s="534"/>
      <c r="G5252" s="534"/>
      <c r="H5252" s="534"/>
    </row>
    <row r="5253" spans="3:11" ht="25.8" customHeight="1">
      <c r="C5253" s="818">
        <v>1</v>
      </c>
      <c r="D5253" s="212" t="s">
        <v>5</v>
      </c>
      <c r="E5253" s="212" t="s">
        <v>6</v>
      </c>
      <c r="F5253" s="538">
        <v>0.19</v>
      </c>
      <c r="G5253" s="539">
        <f>VLOOKUP(D5253,upahbahan,3,FALSE)</f>
        <v>100000</v>
      </c>
      <c r="H5253" s="539">
        <f t="shared" ref="H5253:H5256" si="572">F5253*G5253</f>
        <v>19000</v>
      </c>
    </row>
    <row r="5254" spans="3:11" ht="25.8" customHeight="1">
      <c r="C5254" s="818">
        <v>2</v>
      </c>
      <c r="D5254" s="212" t="s">
        <v>3295</v>
      </c>
      <c r="E5254" s="212" t="s">
        <v>6</v>
      </c>
      <c r="F5254" s="538">
        <v>0.318</v>
      </c>
      <c r="G5254" s="539">
        <f>VLOOKUP(D5254,upahbahan,3,FALSE)</f>
        <v>135000</v>
      </c>
      <c r="H5254" s="539">
        <f t="shared" si="572"/>
        <v>42930</v>
      </c>
    </row>
    <row r="5255" spans="3:11" ht="25.8" customHeight="1">
      <c r="C5255" s="818">
        <v>3</v>
      </c>
      <c r="D5255" s="212" t="s">
        <v>18</v>
      </c>
      <c r="E5255" s="212" t="s">
        <v>6</v>
      </c>
      <c r="F5255" s="538">
        <v>3.2000000000000001E-2</v>
      </c>
      <c r="G5255" s="539">
        <f>VLOOKUP(D5255,upahbahan,3,FALSE)</f>
        <v>150000</v>
      </c>
      <c r="H5255" s="539">
        <f t="shared" si="572"/>
        <v>4800</v>
      </c>
    </row>
    <row r="5256" spans="3:11" ht="25.8" customHeight="1">
      <c r="C5256" s="818">
        <v>4</v>
      </c>
      <c r="D5256" s="212" t="s">
        <v>19</v>
      </c>
      <c r="E5256" s="212" t="s">
        <v>6</v>
      </c>
      <c r="F5256" s="538">
        <v>1.0999999999999999E-2</v>
      </c>
      <c r="G5256" s="539">
        <f>VLOOKUP(D5256,upahbahan,3,FALSE)</f>
        <v>160000</v>
      </c>
      <c r="H5256" s="539">
        <f t="shared" si="572"/>
        <v>1760</v>
      </c>
    </row>
    <row r="5257" spans="3:11" ht="25.8" customHeight="1">
      <c r="C5257" s="702" t="s">
        <v>1208</v>
      </c>
      <c r="D5257" s="208"/>
      <c r="E5257" s="208"/>
      <c r="F5257" s="811"/>
      <c r="G5257" s="522"/>
      <c r="H5257" s="539">
        <f>SUM(H5253:H5256)</f>
        <v>68490</v>
      </c>
      <c r="I5257" s="819"/>
    </row>
    <row r="5258" spans="3:11" ht="25.8" customHeight="1">
      <c r="C5258" s="213" t="s">
        <v>1209</v>
      </c>
      <c r="D5258" s="212" t="s">
        <v>1210</v>
      </c>
      <c r="E5258" s="534"/>
      <c r="F5258" s="831"/>
      <c r="G5258" s="534"/>
      <c r="H5258" s="534"/>
    </row>
    <row r="5259" spans="3:11" ht="25.8" customHeight="1">
      <c r="C5259" s="213">
        <v>1</v>
      </c>
      <c r="D5259" s="212" t="s">
        <v>5746</v>
      </c>
      <c r="E5259" s="234" t="s">
        <v>135</v>
      </c>
      <c r="F5259" s="866">
        <v>1.1000000000000001</v>
      </c>
      <c r="G5259" s="539">
        <f>VLOOKUP(D5259,upahbahan,3,FALSE)</f>
        <v>13500</v>
      </c>
      <c r="H5259" s="539">
        <f>F5259*G5259</f>
        <v>14850.000000000002</v>
      </c>
    </row>
    <row r="5260" spans="3:11" ht="25.8" customHeight="1">
      <c r="C5260" s="702" t="s">
        <v>1214</v>
      </c>
      <c r="D5260" s="208"/>
      <c r="E5260" s="208"/>
      <c r="F5260" s="208"/>
      <c r="G5260" s="209"/>
      <c r="H5260" s="539">
        <f>SUM(H5259:H5259)</f>
        <v>14850.000000000002</v>
      </c>
    </row>
    <row r="5261" spans="3:11" ht="25.8" customHeight="1">
      <c r="C5261" s="213" t="s">
        <v>1215</v>
      </c>
      <c r="D5261" s="212" t="s">
        <v>1216</v>
      </c>
      <c r="E5261" s="534"/>
      <c r="F5261" s="534"/>
      <c r="G5261" s="534"/>
      <c r="H5261" s="534"/>
    </row>
    <row r="5262" spans="3:11" ht="25.8" customHeight="1">
      <c r="C5262" s="702" t="s">
        <v>1217</v>
      </c>
      <c r="D5262" s="815"/>
      <c r="E5262" s="815"/>
      <c r="F5262" s="815"/>
      <c r="G5262" s="209"/>
      <c r="H5262" s="821">
        <f>SUM(H5261)</f>
        <v>0</v>
      </c>
    </row>
    <row r="5263" spans="3:11" ht="25.8" customHeight="1">
      <c r="C5263" s="566" t="s">
        <v>1218</v>
      </c>
      <c r="D5263" s="552" t="s">
        <v>1219</v>
      </c>
      <c r="E5263" s="553"/>
      <c r="F5263" s="553"/>
      <c r="G5263" s="554"/>
      <c r="H5263" s="826">
        <f>H5262+H5260+H5257</f>
        <v>83340</v>
      </c>
      <c r="I5263" s="827"/>
    </row>
    <row r="5264" spans="3:11" ht="25.8" customHeight="1">
      <c r="C5264" s="566" t="s">
        <v>1220</v>
      </c>
      <c r="D5264" s="552" t="s">
        <v>1321</v>
      </c>
      <c r="E5264" s="553"/>
      <c r="F5264" s="554"/>
      <c r="G5264" s="555">
        <f>$M$9</f>
        <v>0.1</v>
      </c>
      <c r="H5264" s="539">
        <f>H5263*G5264</f>
        <v>8334</v>
      </c>
      <c r="I5264" s="827"/>
    </row>
    <row r="5265" spans="3:11" ht="25.8" customHeight="1">
      <c r="C5265" s="566" t="s">
        <v>1221</v>
      </c>
      <c r="D5265" s="552" t="s">
        <v>1222</v>
      </c>
      <c r="E5265" s="553"/>
      <c r="F5265" s="553"/>
      <c r="G5265" s="554"/>
      <c r="H5265" s="828">
        <f>SUM(H5263:H5264)</f>
        <v>91674</v>
      </c>
      <c r="I5265" s="827"/>
    </row>
    <row r="5266" spans="3:11" ht="25.8" customHeight="1"/>
    <row r="5267" spans="3:11" ht="25.8" customHeight="1">
      <c r="C5267" s="513" t="s">
        <v>5747</v>
      </c>
      <c r="D5267" s="817" t="s">
        <v>5748</v>
      </c>
      <c r="E5267" s="803"/>
      <c r="F5267" s="803"/>
      <c r="G5267" s="803"/>
      <c r="H5267" s="803"/>
      <c r="I5267" s="533">
        <f>ROUNDDOWN(H5282,-2)</f>
        <v>111600</v>
      </c>
      <c r="J5267" s="536"/>
      <c r="K5267" s="824"/>
    </row>
    <row r="5268" spans="3:11" ht="25.8" customHeight="1">
      <c r="C5268" s="716" t="s">
        <v>1195</v>
      </c>
      <c r="D5268" s="716" t="s">
        <v>1196</v>
      </c>
      <c r="E5268" s="716" t="s">
        <v>1197</v>
      </c>
      <c r="F5268" s="716" t="s">
        <v>1198</v>
      </c>
      <c r="G5268" s="716" t="s">
        <v>1199</v>
      </c>
      <c r="H5268" s="716" t="s">
        <v>1200</v>
      </c>
    </row>
    <row r="5269" spans="3:11" ht="25.8" customHeight="1">
      <c r="C5269" s="213" t="s">
        <v>1201</v>
      </c>
      <c r="D5269" s="212" t="s">
        <v>1202</v>
      </c>
      <c r="E5269" s="534"/>
      <c r="F5269" s="534"/>
      <c r="G5269" s="534"/>
      <c r="H5269" s="534"/>
    </row>
    <row r="5270" spans="3:11" ht="25.8" customHeight="1">
      <c r="C5270" s="818">
        <v>1</v>
      </c>
      <c r="D5270" s="212" t="s">
        <v>5</v>
      </c>
      <c r="E5270" s="212" t="s">
        <v>6</v>
      </c>
      <c r="F5270" s="538">
        <v>0.114</v>
      </c>
      <c r="G5270" s="539">
        <f>VLOOKUP(D5270,upahbahan,3,FALSE)</f>
        <v>100000</v>
      </c>
      <c r="H5270" s="539">
        <f t="shared" ref="H5270:H5273" si="573">F5270*G5270</f>
        <v>11400</v>
      </c>
    </row>
    <row r="5271" spans="3:11" ht="25.8" customHeight="1">
      <c r="C5271" s="818">
        <v>2</v>
      </c>
      <c r="D5271" s="212" t="s">
        <v>3295</v>
      </c>
      <c r="E5271" s="212" t="s">
        <v>6</v>
      </c>
      <c r="F5271" s="538">
        <v>0.191</v>
      </c>
      <c r="G5271" s="539">
        <f>VLOOKUP(D5271,upahbahan,3,FALSE)</f>
        <v>135000</v>
      </c>
      <c r="H5271" s="539">
        <f t="shared" si="573"/>
        <v>25785</v>
      </c>
    </row>
    <row r="5272" spans="3:11" ht="25.8" customHeight="1">
      <c r="C5272" s="818">
        <v>3</v>
      </c>
      <c r="D5272" s="212" t="s">
        <v>18</v>
      </c>
      <c r="E5272" s="212" t="s">
        <v>6</v>
      </c>
      <c r="F5272" s="538">
        <v>1.9E-2</v>
      </c>
      <c r="G5272" s="539">
        <f>VLOOKUP(D5272,upahbahan,3,FALSE)</f>
        <v>150000</v>
      </c>
      <c r="H5272" s="539">
        <f t="shared" si="573"/>
        <v>2850</v>
      </c>
    </row>
    <row r="5273" spans="3:11" ht="25.8" customHeight="1">
      <c r="C5273" s="818">
        <v>4</v>
      </c>
      <c r="D5273" s="212" t="s">
        <v>19</v>
      </c>
      <c r="E5273" s="212" t="s">
        <v>6</v>
      </c>
      <c r="F5273" s="538">
        <v>6.0000000000000001E-3</v>
      </c>
      <c r="G5273" s="539">
        <f>VLOOKUP(D5273,upahbahan,3,FALSE)</f>
        <v>160000</v>
      </c>
      <c r="H5273" s="539">
        <f t="shared" si="573"/>
        <v>960</v>
      </c>
    </row>
    <row r="5274" spans="3:11" ht="25.8" customHeight="1">
      <c r="C5274" s="702" t="s">
        <v>1208</v>
      </c>
      <c r="D5274" s="208"/>
      <c r="E5274" s="208"/>
      <c r="F5274" s="811"/>
      <c r="G5274" s="522"/>
      <c r="H5274" s="539">
        <f>SUM(H5270:H5273)</f>
        <v>40995</v>
      </c>
      <c r="I5274" s="819"/>
    </row>
    <row r="5275" spans="3:11" ht="25.8" customHeight="1">
      <c r="C5275" s="213" t="s">
        <v>1209</v>
      </c>
      <c r="D5275" s="212" t="s">
        <v>1210</v>
      </c>
      <c r="E5275" s="534"/>
      <c r="F5275" s="831"/>
      <c r="G5275" s="534"/>
      <c r="H5275" s="534"/>
    </row>
    <row r="5276" spans="3:11" ht="25.8" customHeight="1">
      <c r="C5276" s="213">
        <v>1</v>
      </c>
      <c r="D5276" s="212" t="s">
        <v>5749</v>
      </c>
      <c r="E5276" s="234" t="s">
        <v>135</v>
      </c>
      <c r="F5276" s="866">
        <v>1.1000000000000001</v>
      </c>
      <c r="G5276" s="539">
        <f>VLOOKUP(D5276,upahbahan,3,FALSE)</f>
        <v>55000</v>
      </c>
      <c r="H5276" s="539">
        <f>F5276*G5276</f>
        <v>60500.000000000007</v>
      </c>
    </row>
    <row r="5277" spans="3:11" ht="25.8" customHeight="1">
      <c r="C5277" s="702" t="s">
        <v>1214</v>
      </c>
      <c r="D5277" s="208"/>
      <c r="E5277" s="208"/>
      <c r="F5277" s="208"/>
      <c r="G5277" s="209"/>
      <c r="H5277" s="539">
        <f>SUM(H5276:H5276)</f>
        <v>60500.000000000007</v>
      </c>
    </row>
    <row r="5278" spans="3:11" ht="25.8" customHeight="1">
      <c r="C5278" s="213" t="s">
        <v>1215</v>
      </c>
      <c r="D5278" s="212" t="s">
        <v>1216</v>
      </c>
      <c r="E5278" s="534"/>
      <c r="F5278" s="534"/>
      <c r="G5278" s="534"/>
      <c r="H5278" s="534"/>
    </row>
    <row r="5279" spans="3:11" ht="25.8" customHeight="1">
      <c r="C5279" s="702" t="s">
        <v>1217</v>
      </c>
      <c r="D5279" s="815"/>
      <c r="E5279" s="815"/>
      <c r="F5279" s="815"/>
      <c r="G5279" s="209"/>
      <c r="H5279" s="821">
        <f>SUM(H5278)</f>
        <v>0</v>
      </c>
    </row>
    <row r="5280" spans="3:11" ht="25.8" customHeight="1">
      <c r="C5280" s="566" t="s">
        <v>1218</v>
      </c>
      <c r="D5280" s="552" t="s">
        <v>1219</v>
      </c>
      <c r="E5280" s="553"/>
      <c r="F5280" s="553"/>
      <c r="G5280" s="554"/>
      <c r="H5280" s="826">
        <f>H5279+H5277+H5274</f>
        <v>101495</v>
      </c>
      <c r="I5280" s="827"/>
    </row>
    <row r="5281" spans="3:11" ht="25.8" customHeight="1">
      <c r="C5281" s="566" t="s">
        <v>1220</v>
      </c>
      <c r="D5281" s="552" t="s">
        <v>1321</v>
      </c>
      <c r="E5281" s="553"/>
      <c r="F5281" s="554"/>
      <c r="G5281" s="555">
        <f>$M$9</f>
        <v>0.1</v>
      </c>
      <c r="H5281" s="539">
        <f>H5280*G5281</f>
        <v>10149.5</v>
      </c>
      <c r="I5281" s="827"/>
    </row>
    <row r="5282" spans="3:11" ht="25.8" customHeight="1">
      <c r="C5282" s="566" t="s">
        <v>1221</v>
      </c>
      <c r="D5282" s="552" t="s">
        <v>1222</v>
      </c>
      <c r="E5282" s="553"/>
      <c r="F5282" s="553"/>
      <c r="G5282" s="554"/>
      <c r="H5282" s="828">
        <f>SUM(H5280:H5281)</f>
        <v>111644.5</v>
      </c>
      <c r="I5282" s="827"/>
    </row>
    <row r="5283" spans="3:11" ht="25.8" customHeight="1"/>
    <row r="5284" spans="3:11" ht="25.8" customHeight="1">
      <c r="C5284" s="513" t="s">
        <v>5750</v>
      </c>
      <c r="D5284" s="817" t="s">
        <v>5751</v>
      </c>
      <c r="E5284" s="803"/>
      <c r="F5284" s="803"/>
      <c r="G5284" s="803"/>
      <c r="H5284" s="803"/>
      <c r="I5284" s="533">
        <f>ROUNDDOWN(H5299,-2)</f>
        <v>87400</v>
      </c>
      <c r="J5284" s="536"/>
      <c r="K5284" s="824"/>
    </row>
    <row r="5285" spans="3:11" ht="25.8" customHeight="1">
      <c r="C5285" s="716" t="s">
        <v>1195</v>
      </c>
      <c r="D5285" s="716" t="s">
        <v>1196</v>
      </c>
      <c r="E5285" s="716" t="s">
        <v>1197</v>
      </c>
      <c r="F5285" s="716" t="s">
        <v>1198</v>
      </c>
      <c r="G5285" s="716" t="s">
        <v>1199</v>
      </c>
      <c r="H5285" s="716" t="s">
        <v>1200</v>
      </c>
    </row>
    <row r="5286" spans="3:11" ht="25.8" customHeight="1">
      <c r="C5286" s="213" t="s">
        <v>1201</v>
      </c>
      <c r="D5286" s="212" t="s">
        <v>1202</v>
      </c>
      <c r="E5286" s="534"/>
      <c r="F5286" s="534"/>
      <c r="G5286" s="534"/>
      <c r="H5286" s="534"/>
    </row>
    <row r="5287" spans="3:11" ht="25.8" customHeight="1">
      <c r="C5287" s="818">
        <v>1</v>
      </c>
      <c r="D5287" s="212" t="s">
        <v>5</v>
      </c>
      <c r="E5287" s="212" t="s">
        <v>6</v>
      </c>
      <c r="F5287" s="538">
        <v>0.114</v>
      </c>
      <c r="G5287" s="539">
        <f>VLOOKUP(D5287,upahbahan,3,FALSE)</f>
        <v>100000</v>
      </c>
      <c r="H5287" s="539">
        <f t="shared" ref="H5287:H5290" si="574">F5287*G5287</f>
        <v>11400</v>
      </c>
    </row>
    <row r="5288" spans="3:11" ht="25.8" customHeight="1">
      <c r="C5288" s="818">
        <v>2</v>
      </c>
      <c r="D5288" s="212" t="s">
        <v>3295</v>
      </c>
      <c r="E5288" s="212" t="s">
        <v>6</v>
      </c>
      <c r="F5288" s="538">
        <v>0.191</v>
      </c>
      <c r="G5288" s="539">
        <f>VLOOKUP(D5288,upahbahan,3,FALSE)</f>
        <v>135000</v>
      </c>
      <c r="H5288" s="539">
        <f t="shared" si="574"/>
        <v>25785</v>
      </c>
    </row>
    <row r="5289" spans="3:11" ht="25.8" customHeight="1">
      <c r="C5289" s="818">
        <v>3</v>
      </c>
      <c r="D5289" s="212" t="s">
        <v>18</v>
      </c>
      <c r="E5289" s="212" t="s">
        <v>6</v>
      </c>
      <c r="F5289" s="538">
        <v>1.9E-2</v>
      </c>
      <c r="G5289" s="539">
        <f>VLOOKUP(D5289,upahbahan,3,FALSE)</f>
        <v>150000</v>
      </c>
      <c r="H5289" s="539">
        <f t="shared" si="574"/>
        <v>2850</v>
      </c>
    </row>
    <row r="5290" spans="3:11" ht="25.8" customHeight="1">
      <c r="C5290" s="818">
        <v>4</v>
      </c>
      <c r="D5290" s="212" t="s">
        <v>19</v>
      </c>
      <c r="E5290" s="212" t="s">
        <v>6</v>
      </c>
      <c r="F5290" s="538">
        <v>6.0000000000000001E-3</v>
      </c>
      <c r="G5290" s="539">
        <f>VLOOKUP(D5290,upahbahan,3,FALSE)</f>
        <v>160000</v>
      </c>
      <c r="H5290" s="539">
        <f t="shared" si="574"/>
        <v>960</v>
      </c>
    </row>
    <row r="5291" spans="3:11" ht="25.8" customHeight="1">
      <c r="C5291" s="702" t="s">
        <v>1208</v>
      </c>
      <c r="D5291" s="208"/>
      <c r="E5291" s="208"/>
      <c r="F5291" s="811"/>
      <c r="G5291" s="522"/>
      <c r="H5291" s="539">
        <f>SUM(H5287:H5290)</f>
        <v>40995</v>
      </c>
      <c r="I5291" s="819"/>
    </row>
    <row r="5292" spans="3:11" ht="25.8" customHeight="1">
      <c r="C5292" s="213" t="s">
        <v>1209</v>
      </c>
      <c r="D5292" s="212" t="s">
        <v>1210</v>
      </c>
      <c r="E5292" s="534"/>
      <c r="F5292" s="831"/>
      <c r="G5292" s="534"/>
      <c r="H5292" s="534"/>
    </row>
    <row r="5293" spans="3:11" ht="25.8" customHeight="1">
      <c r="C5293" s="213">
        <v>1</v>
      </c>
      <c r="D5293" s="212" t="s">
        <v>5752</v>
      </c>
      <c r="E5293" s="234" t="s">
        <v>135</v>
      </c>
      <c r="F5293" s="866">
        <v>1.1000000000000001</v>
      </c>
      <c r="G5293" s="539">
        <f>VLOOKUP(D5293,upahbahan,3,FALSE)</f>
        <v>35000</v>
      </c>
      <c r="H5293" s="539">
        <f>F5293*G5293</f>
        <v>38500</v>
      </c>
    </row>
    <row r="5294" spans="3:11" ht="25.8" customHeight="1">
      <c r="C5294" s="702" t="s">
        <v>1214</v>
      </c>
      <c r="D5294" s="208"/>
      <c r="E5294" s="208"/>
      <c r="F5294" s="208"/>
      <c r="G5294" s="209"/>
      <c r="H5294" s="539">
        <f>SUM(H5293:H5293)</f>
        <v>38500</v>
      </c>
    </row>
    <row r="5295" spans="3:11" ht="25.8" customHeight="1">
      <c r="C5295" s="213" t="s">
        <v>1215</v>
      </c>
      <c r="D5295" s="212" t="s">
        <v>1216</v>
      </c>
      <c r="E5295" s="534"/>
      <c r="F5295" s="534"/>
      <c r="G5295" s="534"/>
      <c r="H5295" s="534"/>
    </row>
    <row r="5296" spans="3:11" ht="25.8" customHeight="1">
      <c r="C5296" s="702" t="s">
        <v>1217</v>
      </c>
      <c r="D5296" s="815"/>
      <c r="E5296" s="815"/>
      <c r="F5296" s="815"/>
      <c r="G5296" s="209"/>
      <c r="H5296" s="821">
        <f>SUM(H5295)</f>
        <v>0</v>
      </c>
    </row>
    <row r="5297" spans="3:11" ht="25.8" customHeight="1">
      <c r="C5297" s="566" t="s">
        <v>1218</v>
      </c>
      <c r="D5297" s="552" t="s">
        <v>1219</v>
      </c>
      <c r="E5297" s="553"/>
      <c r="F5297" s="553"/>
      <c r="G5297" s="554"/>
      <c r="H5297" s="826">
        <f>H5296+H5294+H5291</f>
        <v>79495</v>
      </c>
      <c r="I5297" s="827"/>
    </row>
    <row r="5298" spans="3:11" ht="25.8" customHeight="1">
      <c r="C5298" s="566" t="s">
        <v>1220</v>
      </c>
      <c r="D5298" s="552" t="s">
        <v>1321</v>
      </c>
      <c r="E5298" s="553"/>
      <c r="F5298" s="554"/>
      <c r="G5298" s="555">
        <f>$M$9</f>
        <v>0.1</v>
      </c>
      <c r="H5298" s="539">
        <f>H5297*G5298</f>
        <v>7949.5</v>
      </c>
      <c r="I5298" s="827"/>
    </row>
    <row r="5299" spans="3:11" ht="25.8" customHeight="1">
      <c r="C5299" s="566" t="s">
        <v>1221</v>
      </c>
      <c r="D5299" s="552" t="s">
        <v>1222</v>
      </c>
      <c r="E5299" s="553"/>
      <c r="F5299" s="553"/>
      <c r="G5299" s="554"/>
      <c r="H5299" s="828">
        <f>SUM(H5297:H5298)</f>
        <v>87444.5</v>
      </c>
      <c r="I5299" s="827"/>
    </row>
    <row r="5300" spans="3:11" ht="25.8" customHeight="1"/>
    <row r="5301" spans="3:11" ht="25.8" customHeight="1">
      <c r="C5301" s="513" t="s">
        <v>5753</v>
      </c>
      <c r="D5301" s="817" t="s">
        <v>5754</v>
      </c>
      <c r="E5301" s="803"/>
      <c r="F5301" s="803"/>
      <c r="G5301" s="803"/>
      <c r="H5301" s="803"/>
      <c r="I5301" s="533">
        <f>ROUNDDOWN(H5316,-2)</f>
        <v>670600</v>
      </c>
      <c r="J5301" s="536"/>
      <c r="K5301" s="824"/>
    </row>
    <row r="5302" spans="3:11" ht="25.8" customHeight="1">
      <c r="C5302" s="716" t="s">
        <v>1195</v>
      </c>
      <c r="D5302" s="716" t="s">
        <v>1196</v>
      </c>
      <c r="E5302" s="716" t="s">
        <v>1197</v>
      </c>
      <c r="F5302" s="716" t="s">
        <v>1198</v>
      </c>
      <c r="G5302" s="716" t="s">
        <v>1199</v>
      </c>
      <c r="H5302" s="716" t="s">
        <v>1200</v>
      </c>
    </row>
    <row r="5303" spans="3:11" ht="25.8" customHeight="1">
      <c r="C5303" s="213" t="s">
        <v>1201</v>
      </c>
      <c r="D5303" s="212" t="s">
        <v>1202</v>
      </c>
      <c r="E5303" s="534"/>
      <c r="F5303" s="534"/>
      <c r="G5303" s="534"/>
      <c r="H5303" s="534"/>
    </row>
    <row r="5304" spans="3:11" ht="25.8" customHeight="1">
      <c r="C5304" s="818">
        <v>1</v>
      </c>
      <c r="D5304" s="212" t="s">
        <v>5</v>
      </c>
      <c r="E5304" s="212" t="s">
        <v>6</v>
      </c>
      <c r="F5304" s="538">
        <v>0.19</v>
      </c>
      <c r="G5304" s="539">
        <f>VLOOKUP(D5304,upahbahan,3,FALSE)</f>
        <v>100000</v>
      </c>
      <c r="H5304" s="539">
        <f t="shared" ref="H5304:H5307" si="575">F5304*G5304</f>
        <v>19000</v>
      </c>
    </row>
    <row r="5305" spans="3:11" ht="25.8" customHeight="1">
      <c r="C5305" s="818">
        <v>2</v>
      </c>
      <c r="D5305" s="212" t="s">
        <v>3295</v>
      </c>
      <c r="E5305" s="212" t="s">
        <v>6</v>
      </c>
      <c r="F5305" s="538">
        <v>0.318</v>
      </c>
      <c r="G5305" s="539">
        <f>VLOOKUP(D5305,upahbahan,3,FALSE)</f>
        <v>135000</v>
      </c>
      <c r="H5305" s="539">
        <f t="shared" si="575"/>
        <v>42930</v>
      </c>
    </row>
    <row r="5306" spans="3:11" ht="25.8" customHeight="1">
      <c r="C5306" s="818">
        <v>3</v>
      </c>
      <c r="D5306" s="212" t="s">
        <v>18</v>
      </c>
      <c r="E5306" s="212" t="s">
        <v>6</v>
      </c>
      <c r="F5306" s="538">
        <v>3.2000000000000001E-2</v>
      </c>
      <c r="G5306" s="539">
        <f>VLOOKUP(D5306,upahbahan,3,FALSE)</f>
        <v>150000</v>
      </c>
      <c r="H5306" s="539">
        <f t="shared" si="575"/>
        <v>4800</v>
      </c>
    </row>
    <row r="5307" spans="3:11" ht="25.8" customHeight="1">
      <c r="C5307" s="818">
        <v>4</v>
      </c>
      <c r="D5307" s="212" t="s">
        <v>19</v>
      </c>
      <c r="E5307" s="212" t="s">
        <v>6</v>
      </c>
      <c r="F5307" s="538">
        <v>1.0999999999999999E-2</v>
      </c>
      <c r="G5307" s="539">
        <f>VLOOKUP(D5307,upahbahan,3,FALSE)</f>
        <v>160000</v>
      </c>
      <c r="H5307" s="539">
        <f t="shared" si="575"/>
        <v>1760</v>
      </c>
    </row>
    <row r="5308" spans="3:11" ht="25.8" customHeight="1">
      <c r="C5308" s="702" t="s">
        <v>1208</v>
      </c>
      <c r="D5308" s="208"/>
      <c r="E5308" s="208"/>
      <c r="F5308" s="811"/>
      <c r="G5308" s="522"/>
      <c r="H5308" s="539">
        <f>SUM(H5304:H5307)</f>
        <v>68490</v>
      </c>
      <c r="I5308" s="819"/>
    </row>
    <row r="5309" spans="3:11" ht="25.8" customHeight="1">
      <c r="C5309" s="213" t="s">
        <v>1209</v>
      </c>
      <c r="D5309" s="212" t="s">
        <v>1210</v>
      </c>
      <c r="E5309" s="534"/>
      <c r="F5309" s="831"/>
      <c r="G5309" s="534"/>
      <c r="H5309" s="534"/>
    </row>
    <row r="5310" spans="3:11" ht="25.8" customHeight="1">
      <c r="C5310" s="213">
        <v>1</v>
      </c>
      <c r="D5310" s="212" t="s">
        <v>5755</v>
      </c>
      <c r="E5310" s="234" t="s">
        <v>135</v>
      </c>
      <c r="F5310" s="866">
        <v>1.1000000000000001</v>
      </c>
      <c r="G5310" s="539">
        <f>VLOOKUP(D5310,upahbahan,3,FALSE)</f>
        <v>492000</v>
      </c>
      <c r="H5310" s="539">
        <f>F5310*G5310</f>
        <v>541200</v>
      </c>
    </row>
    <row r="5311" spans="3:11" ht="25.8" customHeight="1">
      <c r="C5311" s="702" t="s">
        <v>1214</v>
      </c>
      <c r="D5311" s="208"/>
      <c r="E5311" s="208"/>
      <c r="F5311" s="208"/>
      <c r="G5311" s="209"/>
      <c r="H5311" s="539">
        <f>SUM(H5310:H5310)</f>
        <v>541200</v>
      </c>
    </row>
    <row r="5312" spans="3:11" ht="25.8" customHeight="1">
      <c r="C5312" s="213" t="s">
        <v>1215</v>
      </c>
      <c r="D5312" s="212" t="s">
        <v>1216</v>
      </c>
      <c r="E5312" s="534"/>
      <c r="F5312" s="534"/>
      <c r="G5312" s="534"/>
      <c r="H5312" s="534"/>
    </row>
    <row r="5313" spans="3:11" ht="25.8" customHeight="1">
      <c r="C5313" s="702" t="s">
        <v>1217</v>
      </c>
      <c r="D5313" s="815"/>
      <c r="E5313" s="815"/>
      <c r="F5313" s="815"/>
      <c r="G5313" s="209"/>
      <c r="H5313" s="821">
        <f>SUM(H5312)</f>
        <v>0</v>
      </c>
    </row>
    <row r="5314" spans="3:11" ht="25.8" customHeight="1">
      <c r="C5314" s="566" t="s">
        <v>1218</v>
      </c>
      <c r="D5314" s="552" t="s">
        <v>1219</v>
      </c>
      <c r="E5314" s="553"/>
      <c r="F5314" s="553"/>
      <c r="G5314" s="554"/>
      <c r="H5314" s="826">
        <f>H5313+H5311+H5308</f>
        <v>609690</v>
      </c>
      <c r="I5314" s="827"/>
    </row>
    <row r="5315" spans="3:11" ht="25.8" customHeight="1">
      <c r="C5315" s="566" t="s">
        <v>1220</v>
      </c>
      <c r="D5315" s="552" t="s">
        <v>1321</v>
      </c>
      <c r="E5315" s="553"/>
      <c r="F5315" s="554"/>
      <c r="G5315" s="555">
        <f>$M$9</f>
        <v>0.1</v>
      </c>
      <c r="H5315" s="539">
        <f>H5314*G5315</f>
        <v>60969</v>
      </c>
      <c r="I5315" s="827"/>
    </row>
    <row r="5316" spans="3:11" ht="25.8" customHeight="1">
      <c r="C5316" s="566" t="s">
        <v>1221</v>
      </c>
      <c r="D5316" s="552" t="s">
        <v>1222</v>
      </c>
      <c r="E5316" s="553"/>
      <c r="F5316" s="553"/>
      <c r="G5316" s="554"/>
      <c r="H5316" s="828">
        <f>SUM(H5314:H5315)</f>
        <v>670659</v>
      </c>
      <c r="I5316" s="827"/>
    </row>
    <row r="5317" spans="3:11" ht="25.8" customHeight="1"/>
    <row r="5318" spans="3:11" ht="25.8" customHeight="1"/>
    <row r="5319" spans="3:11" ht="25.8" customHeight="1">
      <c r="C5319" s="513" t="s">
        <v>5756</v>
      </c>
      <c r="D5319" s="817" t="s">
        <v>5757</v>
      </c>
      <c r="E5319" s="803"/>
      <c r="F5319" s="803"/>
      <c r="G5319" s="803"/>
      <c r="H5319" s="803"/>
      <c r="I5319" s="533">
        <f>ROUNDDOWN(H5334,-2)</f>
        <v>127300</v>
      </c>
      <c r="J5319" s="536" t="s">
        <v>6451</v>
      </c>
      <c r="K5319" s="824" t="s">
        <v>8058</v>
      </c>
    </row>
    <row r="5320" spans="3:11" ht="25.8" customHeight="1">
      <c r="C5320" s="716" t="s">
        <v>1195</v>
      </c>
      <c r="D5320" s="716" t="s">
        <v>1196</v>
      </c>
      <c r="E5320" s="716" t="s">
        <v>1197</v>
      </c>
      <c r="F5320" s="716" t="s">
        <v>1198</v>
      </c>
      <c r="G5320" s="716" t="s">
        <v>1199</v>
      </c>
      <c r="H5320" s="716" t="s">
        <v>1200</v>
      </c>
    </row>
    <row r="5321" spans="3:11" ht="25.8" customHeight="1">
      <c r="C5321" s="213" t="s">
        <v>1201</v>
      </c>
      <c r="D5321" s="212" t="s">
        <v>1202</v>
      </c>
      <c r="E5321" s="534"/>
      <c r="F5321" s="534"/>
      <c r="G5321" s="534"/>
      <c r="H5321" s="534"/>
    </row>
    <row r="5322" spans="3:11" ht="25.8" customHeight="1">
      <c r="C5322" s="818">
        <v>1</v>
      </c>
      <c r="D5322" s="212" t="s">
        <v>5</v>
      </c>
      <c r="E5322" s="212" t="s">
        <v>6</v>
      </c>
      <c r="F5322" s="538">
        <v>0.19</v>
      </c>
      <c r="G5322" s="539">
        <f>VLOOKUP(D5322,upahbahan,3,FALSE)</f>
        <v>100000</v>
      </c>
      <c r="H5322" s="539">
        <f t="shared" ref="H5322:H5325" si="576">F5322*G5322</f>
        <v>19000</v>
      </c>
    </row>
    <row r="5323" spans="3:11" ht="25.8" customHeight="1">
      <c r="C5323" s="818">
        <v>2</v>
      </c>
      <c r="D5323" s="212" t="s">
        <v>3295</v>
      </c>
      <c r="E5323" s="212" t="s">
        <v>6</v>
      </c>
      <c r="F5323" s="538">
        <v>0.318</v>
      </c>
      <c r="G5323" s="539">
        <f>VLOOKUP(D5323,upahbahan,3,FALSE)</f>
        <v>135000</v>
      </c>
      <c r="H5323" s="539">
        <f t="shared" si="576"/>
        <v>42930</v>
      </c>
    </row>
    <row r="5324" spans="3:11" ht="25.8" customHeight="1">
      <c r="C5324" s="818">
        <v>3</v>
      </c>
      <c r="D5324" s="212" t="s">
        <v>18</v>
      </c>
      <c r="E5324" s="212" t="s">
        <v>6</v>
      </c>
      <c r="F5324" s="538">
        <v>3.2000000000000001E-2</v>
      </c>
      <c r="G5324" s="539">
        <f>VLOOKUP(D5324,upahbahan,3,FALSE)</f>
        <v>150000</v>
      </c>
      <c r="H5324" s="539">
        <f t="shared" si="576"/>
        <v>4800</v>
      </c>
    </row>
    <row r="5325" spans="3:11" ht="25.8" customHeight="1">
      <c r="C5325" s="818">
        <v>4</v>
      </c>
      <c r="D5325" s="212" t="s">
        <v>19</v>
      </c>
      <c r="E5325" s="212" t="s">
        <v>6</v>
      </c>
      <c r="F5325" s="538">
        <v>1.0999999999999999E-2</v>
      </c>
      <c r="G5325" s="539">
        <f>VLOOKUP(D5325,upahbahan,3,FALSE)</f>
        <v>160000</v>
      </c>
      <c r="H5325" s="539">
        <f t="shared" si="576"/>
        <v>1760</v>
      </c>
    </row>
    <row r="5326" spans="3:11" ht="25.8" customHeight="1">
      <c r="C5326" s="702" t="s">
        <v>1208</v>
      </c>
      <c r="D5326" s="208"/>
      <c r="E5326" s="208"/>
      <c r="F5326" s="811"/>
      <c r="G5326" s="522"/>
      <c r="H5326" s="539">
        <f>SUM(H5322:H5325)</f>
        <v>68490</v>
      </c>
      <c r="I5326" s="819"/>
    </row>
    <row r="5327" spans="3:11" ht="25.8" customHeight="1">
      <c r="C5327" s="213" t="s">
        <v>1209</v>
      </c>
      <c r="D5327" s="212" t="s">
        <v>1210</v>
      </c>
      <c r="E5327" s="534"/>
      <c r="F5327" s="831"/>
      <c r="G5327" s="534"/>
      <c r="H5327" s="534"/>
    </row>
    <row r="5328" spans="3:11" ht="25.8" customHeight="1">
      <c r="C5328" s="213">
        <v>1</v>
      </c>
      <c r="D5328" s="212" t="s">
        <v>5758</v>
      </c>
      <c r="E5328" s="234" t="s">
        <v>135</v>
      </c>
      <c r="F5328" s="866">
        <v>1.05</v>
      </c>
      <c r="G5328" s="539">
        <f>VLOOKUP(D5328,upahbahan,3,FALSE)</f>
        <v>45000</v>
      </c>
      <c r="H5328" s="539">
        <f>F5328*G5328</f>
        <v>47250</v>
      </c>
    </row>
    <row r="5329" spans="3:11" ht="25.8" customHeight="1">
      <c r="C5329" s="702" t="s">
        <v>1214</v>
      </c>
      <c r="D5329" s="208"/>
      <c r="E5329" s="208"/>
      <c r="F5329" s="208"/>
      <c r="G5329" s="209"/>
      <c r="H5329" s="539">
        <f>SUM(H5328:H5328)</f>
        <v>47250</v>
      </c>
    </row>
    <row r="5330" spans="3:11" ht="25.8" customHeight="1">
      <c r="C5330" s="213" t="s">
        <v>1215</v>
      </c>
      <c r="D5330" s="212" t="s">
        <v>1216</v>
      </c>
      <c r="E5330" s="534"/>
      <c r="F5330" s="534"/>
      <c r="G5330" s="534"/>
      <c r="H5330" s="534"/>
    </row>
    <row r="5331" spans="3:11" ht="25.8" customHeight="1">
      <c r="C5331" s="702" t="s">
        <v>1217</v>
      </c>
      <c r="D5331" s="815"/>
      <c r="E5331" s="815"/>
      <c r="F5331" s="815"/>
      <c r="G5331" s="209"/>
      <c r="H5331" s="821">
        <f>SUM(H5330)</f>
        <v>0</v>
      </c>
    </row>
    <row r="5332" spans="3:11" ht="25.8" customHeight="1">
      <c r="C5332" s="566" t="s">
        <v>1218</v>
      </c>
      <c r="D5332" s="552" t="s">
        <v>1219</v>
      </c>
      <c r="E5332" s="553"/>
      <c r="F5332" s="553"/>
      <c r="G5332" s="554"/>
      <c r="H5332" s="826">
        <f>H5331+H5329+H5326</f>
        <v>115740</v>
      </c>
      <c r="I5332" s="827"/>
    </row>
    <row r="5333" spans="3:11" ht="25.8" customHeight="1">
      <c r="C5333" s="566" t="s">
        <v>1220</v>
      </c>
      <c r="D5333" s="552" t="s">
        <v>1321</v>
      </c>
      <c r="E5333" s="553"/>
      <c r="F5333" s="554"/>
      <c r="G5333" s="555">
        <f>$M$9</f>
        <v>0.1</v>
      </c>
      <c r="H5333" s="539">
        <f>H5332*G5333</f>
        <v>11574</v>
      </c>
      <c r="I5333" s="827"/>
    </row>
    <row r="5334" spans="3:11" ht="25.8" customHeight="1">
      <c r="C5334" s="566" t="s">
        <v>1221</v>
      </c>
      <c r="D5334" s="552" t="s">
        <v>1222</v>
      </c>
      <c r="E5334" s="553"/>
      <c r="F5334" s="553"/>
      <c r="G5334" s="554"/>
      <c r="H5334" s="828">
        <f>SUM(H5332:H5333)</f>
        <v>127314</v>
      </c>
      <c r="I5334" s="827"/>
    </row>
    <row r="5335" spans="3:11" ht="25.8" customHeight="1"/>
    <row r="5336" spans="3:11" ht="25.8" customHeight="1">
      <c r="C5336" s="513" t="s">
        <v>5759</v>
      </c>
      <c r="D5336" s="817" t="s">
        <v>5760</v>
      </c>
      <c r="E5336" s="803"/>
      <c r="F5336" s="803"/>
      <c r="G5336" s="803"/>
      <c r="H5336" s="803"/>
      <c r="I5336" s="533">
        <f>ROUNDDOWN(H5351,-2)</f>
        <v>119400</v>
      </c>
      <c r="J5336" s="536"/>
      <c r="K5336" s="824"/>
    </row>
    <row r="5337" spans="3:11" ht="25.8" customHeight="1">
      <c r="C5337" s="716" t="s">
        <v>1195</v>
      </c>
      <c r="D5337" s="716" t="s">
        <v>1196</v>
      </c>
      <c r="E5337" s="716" t="s">
        <v>1197</v>
      </c>
      <c r="F5337" s="716" t="s">
        <v>1198</v>
      </c>
      <c r="G5337" s="716" t="s">
        <v>1199</v>
      </c>
      <c r="H5337" s="716" t="s">
        <v>1200</v>
      </c>
    </row>
    <row r="5338" spans="3:11" ht="25.8" customHeight="1">
      <c r="C5338" s="213" t="s">
        <v>1201</v>
      </c>
      <c r="D5338" s="212" t="s">
        <v>1202</v>
      </c>
      <c r="E5338" s="534"/>
      <c r="F5338" s="534"/>
      <c r="G5338" s="534"/>
      <c r="H5338" s="534"/>
    </row>
    <row r="5339" spans="3:11" ht="25.8" customHeight="1">
      <c r="C5339" s="818">
        <v>1</v>
      </c>
      <c r="D5339" s="212" t="s">
        <v>5</v>
      </c>
      <c r="E5339" s="212" t="s">
        <v>6</v>
      </c>
      <c r="F5339" s="538">
        <v>4.8000000000000001E-2</v>
      </c>
      <c r="G5339" s="539">
        <f>VLOOKUP(D5339,upahbahan,3,FALSE)</f>
        <v>100000</v>
      </c>
      <c r="H5339" s="539">
        <f t="shared" ref="H5339:H5342" si="577">F5339*G5339</f>
        <v>4800</v>
      </c>
    </row>
    <row r="5340" spans="3:11" ht="25.8" customHeight="1">
      <c r="C5340" s="818">
        <v>2</v>
      </c>
      <c r="D5340" s="212" t="s">
        <v>3295</v>
      </c>
      <c r="E5340" s="212" t="s">
        <v>6</v>
      </c>
      <c r="F5340" s="538">
        <v>0.08</v>
      </c>
      <c r="G5340" s="539">
        <f>VLOOKUP(D5340,upahbahan,3,FALSE)</f>
        <v>135000</v>
      </c>
      <c r="H5340" s="539">
        <f t="shared" si="577"/>
        <v>10800</v>
      </c>
    </row>
    <row r="5341" spans="3:11" ht="25.8" customHeight="1">
      <c r="C5341" s="818">
        <v>3</v>
      </c>
      <c r="D5341" s="212" t="s">
        <v>18</v>
      </c>
      <c r="E5341" s="212" t="s">
        <v>6</v>
      </c>
      <c r="F5341" s="538">
        <v>8.0000000000000002E-3</v>
      </c>
      <c r="G5341" s="539">
        <f>VLOOKUP(D5341,upahbahan,3,FALSE)</f>
        <v>150000</v>
      </c>
      <c r="H5341" s="539">
        <f t="shared" si="577"/>
        <v>1200</v>
      </c>
    </row>
    <row r="5342" spans="3:11" ht="25.8" customHeight="1">
      <c r="C5342" s="818">
        <v>4</v>
      </c>
      <c r="D5342" s="212" t="s">
        <v>19</v>
      </c>
      <c r="E5342" s="212" t="s">
        <v>6</v>
      </c>
      <c r="F5342" s="538">
        <v>3.0000000000000001E-3</v>
      </c>
      <c r="G5342" s="539">
        <f>VLOOKUP(D5342,upahbahan,3,FALSE)</f>
        <v>160000</v>
      </c>
      <c r="H5342" s="539">
        <f t="shared" si="577"/>
        <v>480</v>
      </c>
    </row>
    <row r="5343" spans="3:11" ht="25.8" customHeight="1">
      <c r="C5343" s="702" t="s">
        <v>1208</v>
      </c>
      <c r="D5343" s="208"/>
      <c r="E5343" s="208"/>
      <c r="F5343" s="811"/>
      <c r="G5343" s="522"/>
      <c r="H5343" s="539">
        <f>SUM(H5339:H5342)</f>
        <v>17280</v>
      </c>
      <c r="I5343" s="819"/>
    </row>
    <row r="5344" spans="3:11" ht="25.8" customHeight="1">
      <c r="C5344" s="213" t="s">
        <v>1209</v>
      </c>
      <c r="D5344" s="212" t="s">
        <v>1210</v>
      </c>
      <c r="E5344" s="534"/>
      <c r="F5344" s="831"/>
      <c r="G5344" s="534"/>
      <c r="H5344" s="534"/>
    </row>
    <row r="5345" spans="3:11" ht="25.8" customHeight="1">
      <c r="C5345" s="213">
        <v>1</v>
      </c>
      <c r="D5345" s="212" t="s">
        <v>5761</v>
      </c>
      <c r="E5345" s="234" t="s">
        <v>135</v>
      </c>
      <c r="F5345" s="866">
        <v>1.1000000000000001</v>
      </c>
      <c r="G5345" s="539">
        <f>VLOOKUP(D5345,upahbahan,3,FALSE)</f>
        <v>83000</v>
      </c>
      <c r="H5345" s="539">
        <f>F5345*G5345</f>
        <v>91300.000000000015</v>
      </c>
    </row>
    <row r="5346" spans="3:11" ht="25.8" customHeight="1">
      <c r="C5346" s="702" t="s">
        <v>1214</v>
      </c>
      <c r="D5346" s="208"/>
      <c r="E5346" s="208"/>
      <c r="F5346" s="208"/>
      <c r="G5346" s="209"/>
      <c r="H5346" s="539">
        <f>SUM(H5345:H5345)</f>
        <v>91300.000000000015</v>
      </c>
    </row>
    <row r="5347" spans="3:11" ht="25.8" customHeight="1">
      <c r="C5347" s="213" t="s">
        <v>1215</v>
      </c>
      <c r="D5347" s="212" t="s">
        <v>1216</v>
      </c>
      <c r="E5347" s="534"/>
      <c r="F5347" s="534"/>
      <c r="G5347" s="534"/>
      <c r="H5347" s="534"/>
    </row>
    <row r="5348" spans="3:11" ht="25.8" customHeight="1">
      <c r="C5348" s="702" t="s">
        <v>1217</v>
      </c>
      <c r="D5348" s="815"/>
      <c r="E5348" s="815"/>
      <c r="F5348" s="815"/>
      <c r="G5348" s="209"/>
      <c r="H5348" s="821">
        <f>SUM(H5347)</f>
        <v>0</v>
      </c>
    </row>
    <row r="5349" spans="3:11" ht="25.8" customHeight="1">
      <c r="C5349" s="566" t="s">
        <v>1218</v>
      </c>
      <c r="D5349" s="552" t="s">
        <v>1219</v>
      </c>
      <c r="E5349" s="553"/>
      <c r="F5349" s="553"/>
      <c r="G5349" s="554"/>
      <c r="H5349" s="826">
        <f>H5348+H5346+H5343</f>
        <v>108580.00000000001</v>
      </c>
      <c r="I5349" s="827"/>
    </row>
    <row r="5350" spans="3:11" ht="25.8" customHeight="1">
      <c r="C5350" s="566" t="s">
        <v>1220</v>
      </c>
      <c r="D5350" s="552" t="s">
        <v>1321</v>
      </c>
      <c r="E5350" s="553"/>
      <c r="F5350" s="554"/>
      <c r="G5350" s="555">
        <f>$M$9</f>
        <v>0.1</v>
      </c>
      <c r="H5350" s="539">
        <f>H5349*G5350</f>
        <v>10858.000000000002</v>
      </c>
      <c r="I5350" s="827"/>
    </row>
    <row r="5351" spans="3:11" ht="25.8" customHeight="1">
      <c r="C5351" s="566" t="s">
        <v>1221</v>
      </c>
      <c r="D5351" s="552" t="s">
        <v>1222</v>
      </c>
      <c r="E5351" s="553"/>
      <c r="F5351" s="553"/>
      <c r="G5351" s="554"/>
      <c r="H5351" s="828">
        <f>SUM(H5349:H5350)</f>
        <v>119438.00000000001</v>
      </c>
      <c r="I5351" s="827"/>
    </row>
    <row r="5352" spans="3:11" ht="25.8" customHeight="1"/>
    <row r="5353" spans="3:11" ht="25.8" customHeight="1">
      <c r="C5353" s="513" t="s">
        <v>5762</v>
      </c>
      <c r="D5353" s="817" t="s">
        <v>5765</v>
      </c>
      <c r="E5353" s="803"/>
      <c r="F5353" s="803"/>
      <c r="G5353" s="803"/>
      <c r="H5353" s="803"/>
      <c r="I5353" s="533">
        <f>ROUNDDOWN(H5368,-2)</f>
        <v>351100</v>
      </c>
      <c r="J5353" s="536"/>
      <c r="K5353" s="824"/>
    </row>
    <row r="5354" spans="3:11" ht="25.8" customHeight="1">
      <c r="C5354" s="716" t="s">
        <v>1195</v>
      </c>
      <c r="D5354" s="716" t="s">
        <v>1196</v>
      </c>
      <c r="E5354" s="716" t="s">
        <v>1197</v>
      </c>
      <c r="F5354" s="716" t="s">
        <v>1198</v>
      </c>
      <c r="G5354" s="716" t="s">
        <v>1199</v>
      </c>
      <c r="H5354" s="716" t="s">
        <v>1200</v>
      </c>
    </row>
    <row r="5355" spans="3:11" ht="25.8" customHeight="1">
      <c r="C5355" s="213" t="s">
        <v>1201</v>
      </c>
      <c r="D5355" s="212" t="s">
        <v>1202</v>
      </c>
      <c r="E5355" s="534"/>
      <c r="F5355" s="534"/>
      <c r="G5355" s="534"/>
      <c r="H5355" s="534"/>
    </row>
    <row r="5356" spans="3:11" ht="25.8" customHeight="1">
      <c r="C5356" s="818">
        <v>1</v>
      </c>
      <c r="D5356" s="212" t="s">
        <v>5</v>
      </c>
      <c r="E5356" s="212" t="s">
        <v>6</v>
      </c>
      <c r="F5356" s="538">
        <v>0.114</v>
      </c>
      <c r="G5356" s="539">
        <f>VLOOKUP(D5356,upahbahan,3,FALSE)</f>
        <v>100000</v>
      </c>
      <c r="H5356" s="539">
        <f t="shared" ref="H5356:H5359" si="578">F5356*G5356</f>
        <v>11400</v>
      </c>
    </row>
    <row r="5357" spans="3:11" ht="25.8" customHeight="1">
      <c r="C5357" s="818">
        <v>2</v>
      </c>
      <c r="D5357" s="212" t="s">
        <v>3295</v>
      </c>
      <c r="E5357" s="212" t="s">
        <v>6</v>
      </c>
      <c r="F5357" s="538">
        <v>0.191</v>
      </c>
      <c r="G5357" s="539">
        <f>VLOOKUP(D5357,upahbahan,3,FALSE)</f>
        <v>135000</v>
      </c>
      <c r="H5357" s="539">
        <f t="shared" si="578"/>
        <v>25785</v>
      </c>
    </row>
    <row r="5358" spans="3:11" ht="25.8" customHeight="1">
      <c r="C5358" s="818">
        <v>3</v>
      </c>
      <c r="D5358" s="212" t="s">
        <v>18</v>
      </c>
      <c r="E5358" s="212" t="s">
        <v>6</v>
      </c>
      <c r="F5358" s="538">
        <v>1.9E-2</v>
      </c>
      <c r="G5358" s="539">
        <f>VLOOKUP(D5358,upahbahan,3,FALSE)</f>
        <v>150000</v>
      </c>
      <c r="H5358" s="539">
        <f t="shared" si="578"/>
        <v>2850</v>
      </c>
    </row>
    <row r="5359" spans="3:11" ht="25.8" customHeight="1">
      <c r="C5359" s="818">
        <v>4</v>
      </c>
      <c r="D5359" s="212" t="s">
        <v>19</v>
      </c>
      <c r="E5359" s="212" t="s">
        <v>6</v>
      </c>
      <c r="F5359" s="538">
        <v>6.0000000000000001E-3</v>
      </c>
      <c r="G5359" s="539">
        <f>VLOOKUP(D5359,upahbahan,3,FALSE)</f>
        <v>160000</v>
      </c>
      <c r="H5359" s="539">
        <f t="shared" si="578"/>
        <v>960</v>
      </c>
    </row>
    <row r="5360" spans="3:11" ht="25.8" customHeight="1">
      <c r="C5360" s="702" t="s">
        <v>1208</v>
      </c>
      <c r="D5360" s="208"/>
      <c r="E5360" s="208"/>
      <c r="F5360" s="811"/>
      <c r="G5360" s="522"/>
      <c r="H5360" s="539">
        <f>SUM(H5356:H5359)</f>
        <v>40995</v>
      </c>
      <c r="I5360" s="819"/>
    </row>
    <row r="5361" spans="3:11" ht="25.8" customHeight="1">
      <c r="C5361" s="213" t="s">
        <v>1209</v>
      </c>
      <c r="D5361" s="212" t="s">
        <v>1210</v>
      </c>
      <c r="E5361" s="534"/>
      <c r="F5361" s="831"/>
      <c r="G5361" s="534"/>
      <c r="H5361" s="534"/>
    </row>
    <row r="5362" spans="3:11" ht="25.8" customHeight="1">
      <c r="C5362" s="213">
        <v>1</v>
      </c>
      <c r="D5362" s="212" t="s">
        <v>5763</v>
      </c>
      <c r="E5362" s="234" t="s">
        <v>135</v>
      </c>
      <c r="F5362" s="866">
        <v>1.1000000000000001</v>
      </c>
      <c r="G5362" s="539">
        <f>VLOOKUP(D5362,upahbahan,3,FALSE)</f>
        <v>252900</v>
      </c>
      <c r="H5362" s="539">
        <f>F5362*G5362</f>
        <v>278190</v>
      </c>
    </row>
    <row r="5363" spans="3:11" ht="25.8" customHeight="1">
      <c r="C5363" s="702" t="s">
        <v>1214</v>
      </c>
      <c r="D5363" s="208"/>
      <c r="E5363" s="208"/>
      <c r="F5363" s="208"/>
      <c r="G5363" s="209"/>
      <c r="H5363" s="539">
        <f>SUM(H5362:H5362)</f>
        <v>278190</v>
      </c>
    </row>
    <row r="5364" spans="3:11" ht="25.8" customHeight="1">
      <c r="C5364" s="213" t="s">
        <v>1215</v>
      </c>
      <c r="D5364" s="212" t="s">
        <v>1216</v>
      </c>
      <c r="E5364" s="534"/>
      <c r="F5364" s="534"/>
      <c r="G5364" s="534"/>
      <c r="H5364" s="534"/>
    </row>
    <row r="5365" spans="3:11" ht="25.8" customHeight="1">
      <c r="C5365" s="702" t="s">
        <v>1217</v>
      </c>
      <c r="D5365" s="815"/>
      <c r="E5365" s="815"/>
      <c r="F5365" s="815"/>
      <c r="G5365" s="209"/>
      <c r="H5365" s="821">
        <f>SUM(H5364)</f>
        <v>0</v>
      </c>
    </row>
    <row r="5366" spans="3:11" ht="25.8" customHeight="1">
      <c r="C5366" s="566" t="s">
        <v>1218</v>
      </c>
      <c r="D5366" s="552" t="s">
        <v>1219</v>
      </c>
      <c r="E5366" s="553"/>
      <c r="F5366" s="553"/>
      <c r="G5366" s="554"/>
      <c r="H5366" s="826">
        <f>H5365+H5363+H5360</f>
        <v>319185</v>
      </c>
      <c r="I5366" s="827"/>
    </row>
    <row r="5367" spans="3:11" ht="25.8" customHeight="1">
      <c r="C5367" s="566" t="s">
        <v>1220</v>
      </c>
      <c r="D5367" s="552" t="s">
        <v>1321</v>
      </c>
      <c r="E5367" s="553"/>
      <c r="F5367" s="554"/>
      <c r="G5367" s="555">
        <f>$M$9</f>
        <v>0.1</v>
      </c>
      <c r="H5367" s="539">
        <f>H5366*G5367</f>
        <v>31918.5</v>
      </c>
      <c r="I5367" s="827"/>
    </row>
    <row r="5368" spans="3:11" ht="25.8" customHeight="1">
      <c r="C5368" s="566" t="s">
        <v>1221</v>
      </c>
      <c r="D5368" s="552" t="s">
        <v>1222</v>
      </c>
      <c r="E5368" s="553"/>
      <c r="F5368" s="553"/>
      <c r="G5368" s="554"/>
      <c r="H5368" s="828">
        <f>SUM(H5366:H5367)</f>
        <v>351103.5</v>
      </c>
      <c r="I5368" s="827"/>
    </row>
    <row r="5369" spans="3:11" ht="25.8" customHeight="1"/>
    <row r="5370" spans="3:11" ht="25.8" customHeight="1">
      <c r="C5370" s="513" t="s">
        <v>5764</v>
      </c>
      <c r="D5370" s="817" t="s">
        <v>5766</v>
      </c>
      <c r="E5370" s="803"/>
      <c r="F5370" s="803"/>
      <c r="G5370" s="803"/>
      <c r="H5370" s="803"/>
      <c r="I5370" s="533">
        <f>ROUNDDOWN(H5385,-2)</f>
        <v>716600</v>
      </c>
      <c r="J5370" s="536"/>
      <c r="K5370" s="824"/>
    </row>
    <row r="5371" spans="3:11" ht="25.8" customHeight="1">
      <c r="C5371" s="716" t="s">
        <v>1195</v>
      </c>
      <c r="D5371" s="716" t="s">
        <v>1196</v>
      </c>
      <c r="E5371" s="716" t="s">
        <v>1197</v>
      </c>
      <c r="F5371" s="716" t="s">
        <v>1198</v>
      </c>
      <c r="G5371" s="716" t="s">
        <v>1199</v>
      </c>
      <c r="H5371" s="716" t="s">
        <v>1200</v>
      </c>
    </row>
    <row r="5372" spans="3:11" ht="25.8" customHeight="1">
      <c r="C5372" s="213" t="s">
        <v>1201</v>
      </c>
      <c r="D5372" s="212" t="s">
        <v>1202</v>
      </c>
      <c r="E5372" s="534"/>
      <c r="F5372" s="534"/>
      <c r="G5372" s="534"/>
      <c r="H5372" s="534"/>
    </row>
    <row r="5373" spans="3:11" ht="25.8" customHeight="1">
      <c r="C5373" s="818">
        <v>1</v>
      </c>
      <c r="D5373" s="212" t="s">
        <v>5</v>
      </c>
      <c r="E5373" s="212" t="s">
        <v>6</v>
      </c>
      <c r="F5373" s="538">
        <v>0.19</v>
      </c>
      <c r="G5373" s="539">
        <f>VLOOKUP(D5373,upahbahan,3,FALSE)</f>
        <v>100000</v>
      </c>
      <c r="H5373" s="539">
        <f t="shared" ref="H5373:H5376" si="579">F5373*G5373</f>
        <v>19000</v>
      </c>
    </row>
    <row r="5374" spans="3:11" ht="25.8" customHeight="1">
      <c r="C5374" s="818">
        <v>2</v>
      </c>
      <c r="D5374" s="212" t="s">
        <v>3295</v>
      </c>
      <c r="E5374" s="212" t="s">
        <v>6</v>
      </c>
      <c r="F5374" s="538">
        <v>0.318</v>
      </c>
      <c r="G5374" s="539">
        <f>VLOOKUP(D5374,upahbahan,3,FALSE)</f>
        <v>135000</v>
      </c>
      <c r="H5374" s="539">
        <f t="shared" si="579"/>
        <v>42930</v>
      </c>
    </row>
    <row r="5375" spans="3:11" ht="25.8" customHeight="1">
      <c r="C5375" s="818">
        <v>3</v>
      </c>
      <c r="D5375" s="212" t="s">
        <v>18</v>
      </c>
      <c r="E5375" s="212" t="s">
        <v>6</v>
      </c>
      <c r="F5375" s="538">
        <v>3.2000000000000001E-2</v>
      </c>
      <c r="G5375" s="539">
        <f>VLOOKUP(D5375,upahbahan,3,FALSE)</f>
        <v>150000</v>
      </c>
      <c r="H5375" s="539">
        <f t="shared" si="579"/>
        <v>4800</v>
      </c>
    </row>
    <row r="5376" spans="3:11" ht="25.8" customHeight="1">
      <c r="C5376" s="818">
        <v>4</v>
      </c>
      <c r="D5376" s="212" t="s">
        <v>19</v>
      </c>
      <c r="E5376" s="212" t="s">
        <v>6</v>
      </c>
      <c r="F5376" s="538">
        <v>1.0999999999999999E-2</v>
      </c>
      <c r="G5376" s="539">
        <f>VLOOKUP(D5376,upahbahan,3,FALSE)</f>
        <v>160000</v>
      </c>
      <c r="H5376" s="539">
        <f t="shared" si="579"/>
        <v>1760</v>
      </c>
    </row>
    <row r="5377" spans="3:11" ht="25.8" customHeight="1">
      <c r="C5377" s="702" t="s">
        <v>1208</v>
      </c>
      <c r="D5377" s="208"/>
      <c r="E5377" s="208"/>
      <c r="F5377" s="811"/>
      <c r="G5377" s="522"/>
      <c r="H5377" s="539">
        <f>SUM(H5373:H5376)</f>
        <v>68490</v>
      </c>
      <c r="I5377" s="819"/>
    </row>
    <row r="5378" spans="3:11" ht="25.8" customHeight="1">
      <c r="C5378" s="213" t="s">
        <v>1209</v>
      </c>
      <c r="D5378" s="212" t="s">
        <v>1210</v>
      </c>
      <c r="E5378" s="534"/>
      <c r="F5378" s="831"/>
      <c r="G5378" s="534"/>
      <c r="H5378" s="534"/>
    </row>
    <row r="5379" spans="3:11" ht="25.8" customHeight="1">
      <c r="C5379" s="213">
        <v>1</v>
      </c>
      <c r="D5379" s="212" t="s">
        <v>5767</v>
      </c>
      <c r="E5379" s="234" t="s">
        <v>135</v>
      </c>
      <c r="F5379" s="866">
        <v>1.1000000000000001</v>
      </c>
      <c r="G5379" s="539">
        <f>VLOOKUP(D5379,upahbahan,3,FALSE)</f>
        <v>530000</v>
      </c>
      <c r="H5379" s="539">
        <f>F5379*G5379</f>
        <v>583000</v>
      </c>
    </row>
    <row r="5380" spans="3:11" ht="25.8" customHeight="1">
      <c r="C5380" s="702" t="s">
        <v>1214</v>
      </c>
      <c r="D5380" s="208"/>
      <c r="E5380" s="208"/>
      <c r="F5380" s="208"/>
      <c r="G5380" s="209"/>
      <c r="H5380" s="539">
        <f>SUM(H5379:H5379)</f>
        <v>583000</v>
      </c>
    </row>
    <row r="5381" spans="3:11" ht="25.8" customHeight="1">
      <c r="C5381" s="213" t="s">
        <v>1215</v>
      </c>
      <c r="D5381" s="212" t="s">
        <v>1216</v>
      </c>
      <c r="E5381" s="534"/>
      <c r="F5381" s="534"/>
      <c r="G5381" s="534"/>
      <c r="H5381" s="534"/>
    </row>
    <row r="5382" spans="3:11" ht="25.8" customHeight="1">
      <c r="C5382" s="702" t="s">
        <v>1217</v>
      </c>
      <c r="D5382" s="815"/>
      <c r="E5382" s="815"/>
      <c r="F5382" s="815"/>
      <c r="G5382" s="209"/>
      <c r="H5382" s="821">
        <f>SUM(H5381)</f>
        <v>0</v>
      </c>
    </row>
    <row r="5383" spans="3:11" ht="25.8" customHeight="1">
      <c r="C5383" s="566" t="s">
        <v>1218</v>
      </c>
      <c r="D5383" s="552" t="s">
        <v>1219</v>
      </c>
      <c r="E5383" s="553"/>
      <c r="F5383" s="553"/>
      <c r="G5383" s="554"/>
      <c r="H5383" s="826">
        <f>H5382+H5380+H5377</f>
        <v>651490</v>
      </c>
      <c r="I5383" s="827"/>
    </row>
    <row r="5384" spans="3:11" ht="25.8" customHeight="1">
      <c r="C5384" s="566" t="s">
        <v>1220</v>
      </c>
      <c r="D5384" s="552" t="s">
        <v>1321</v>
      </c>
      <c r="E5384" s="553"/>
      <c r="F5384" s="554"/>
      <c r="G5384" s="555">
        <f>$M$9</f>
        <v>0.1</v>
      </c>
      <c r="H5384" s="539">
        <f>H5383*G5384</f>
        <v>65149</v>
      </c>
      <c r="I5384" s="827"/>
    </row>
    <row r="5385" spans="3:11" ht="25.8" customHeight="1">
      <c r="C5385" s="566" t="s">
        <v>1221</v>
      </c>
      <c r="D5385" s="552" t="s">
        <v>1222</v>
      </c>
      <c r="E5385" s="553"/>
      <c r="F5385" s="553"/>
      <c r="G5385" s="554"/>
      <c r="H5385" s="828">
        <f>SUM(H5383:H5384)</f>
        <v>716639</v>
      </c>
      <c r="I5385" s="827"/>
    </row>
    <row r="5386" spans="3:11" ht="25.8" customHeight="1"/>
    <row r="5387" spans="3:11" ht="25.8" customHeight="1">
      <c r="C5387" s="513" t="s">
        <v>5768</v>
      </c>
      <c r="D5387" s="817" t="s">
        <v>5769</v>
      </c>
      <c r="E5387" s="803"/>
      <c r="F5387" s="803"/>
      <c r="G5387" s="803"/>
      <c r="H5387" s="803"/>
      <c r="I5387" s="533">
        <f>ROUNDDOWN(H5402,-2)</f>
        <v>2707000</v>
      </c>
      <c r="J5387" s="536"/>
      <c r="K5387" s="824"/>
    </row>
    <row r="5388" spans="3:11" ht="25.8" customHeight="1">
      <c r="C5388" s="716" t="s">
        <v>1195</v>
      </c>
      <c r="D5388" s="716" t="s">
        <v>1196</v>
      </c>
      <c r="E5388" s="716" t="s">
        <v>1197</v>
      </c>
      <c r="F5388" s="716" t="s">
        <v>1198</v>
      </c>
      <c r="G5388" s="716" t="s">
        <v>1199</v>
      </c>
      <c r="H5388" s="716" t="s">
        <v>1200</v>
      </c>
    </row>
    <row r="5389" spans="3:11" ht="25.8" customHeight="1">
      <c r="C5389" s="213" t="s">
        <v>1201</v>
      </c>
      <c r="D5389" s="212" t="s">
        <v>1202</v>
      </c>
      <c r="E5389" s="534"/>
      <c r="F5389" s="534"/>
      <c r="G5389" s="534"/>
      <c r="H5389" s="534"/>
    </row>
    <row r="5390" spans="3:11" ht="25.8" customHeight="1">
      <c r="C5390" s="818">
        <v>1</v>
      </c>
      <c r="D5390" s="212" t="s">
        <v>5</v>
      </c>
      <c r="E5390" s="212" t="s">
        <v>6</v>
      </c>
      <c r="F5390" s="538">
        <v>3.5999999999999997E-2</v>
      </c>
      <c r="G5390" s="539">
        <f>VLOOKUP(D5390,upahbahan,3,FALSE)</f>
        <v>100000</v>
      </c>
      <c r="H5390" s="539">
        <f t="shared" ref="H5390:H5393" si="580">F5390*G5390</f>
        <v>3599.9999999999995</v>
      </c>
    </row>
    <row r="5391" spans="3:11" ht="25.8" customHeight="1">
      <c r="C5391" s="818">
        <v>2</v>
      </c>
      <c r="D5391" s="212" t="s">
        <v>3295</v>
      </c>
      <c r="E5391" s="212" t="s">
        <v>6</v>
      </c>
      <c r="F5391" s="538">
        <v>0.06</v>
      </c>
      <c r="G5391" s="539">
        <f>VLOOKUP(D5391,upahbahan,3,FALSE)</f>
        <v>135000</v>
      </c>
      <c r="H5391" s="539">
        <f t="shared" si="580"/>
        <v>8100</v>
      </c>
    </row>
    <row r="5392" spans="3:11" ht="25.8" customHeight="1">
      <c r="C5392" s="818">
        <v>3</v>
      </c>
      <c r="D5392" s="212" t="s">
        <v>18</v>
      </c>
      <c r="E5392" s="212" t="s">
        <v>6</v>
      </c>
      <c r="F5392" s="538">
        <v>6.0000000000000001E-3</v>
      </c>
      <c r="G5392" s="539">
        <f>VLOOKUP(D5392,upahbahan,3,FALSE)</f>
        <v>150000</v>
      </c>
      <c r="H5392" s="539">
        <f t="shared" si="580"/>
        <v>900</v>
      </c>
    </row>
    <row r="5393" spans="3:11" ht="25.8" customHeight="1">
      <c r="C5393" s="818">
        <v>4</v>
      </c>
      <c r="D5393" s="212" t="s">
        <v>19</v>
      </c>
      <c r="E5393" s="212" t="s">
        <v>6</v>
      </c>
      <c r="F5393" s="538">
        <v>2E-3</v>
      </c>
      <c r="G5393" s="539">
        <f>VLOOKUP(D5393,upahbahan,3,FALSE)</f>
        <v>160000</v>
      </c>
      <c r="H5393" s="539">
        <f t="shared" si="580"/>
        <v>320</v>
      </c>
    </row>
    <row r="5394" spans="3:11" ht="25.8" customHeight="1">
      <c r="C5394" s="702" t="s">
        <v>1208</v>
      </c>
      <c r="D5394" s="208"/>
      <c r="E5394" s="208"/>
      <c r="F5394" s="811"/>
      <c r="G5394" s="522"/>
      <c r="H5394" s="539">
        <f>SUM(H5390:H5393)</f>
        <v>12920</v>
      </c>
      <c r="I5394" s="819"/>
    </row>
    <row r="5395" spans="3:11" ht="25.8" customHeight="1">
      <c r="C5395" s="213" t="s">
        <v>1209</v>
      </c>
      <c r="D5395" s="212" t="s">
        <v>1210</v>
      </c>
      <c r="E5395" s="534"/>
      <c r="F5395" s="831"/>
      <c r="G5395" s="534"/>
      <c r="H5395" s="534"/>
    </row>
    <row r="5396" spans="3:11" ht="25.8" customHeight="1">
      <c r="C5396" s="213">
        <v>1</v>
      </c>
      <c r="D5396" s="212" t="s">
        <v>5770</v>
      </c>
      <c r="E5396" s="234" t="s">
        <v>135</v>
      </c>
      <c r="F5396" s="866">
        <v>1.2</v>
      </c>
      <c r="G5396" s="539">
        <f>VLOOKUP(D5396,upahbahan,3,FALSE)</f>
        <v>2040000</v>
      </c>
      <c r="H5396" s="539">
        <f>F5396*G5396</f>
        <v>2448000</v>
      </c>
    </row>
    <row r="5397" spans="3:11" ht="25.8" customHeight="1">
      <c r="C5397" s="702" t="s">
        <v>1214</v>
      </c>
      <c r="D5397" s="208"/>
      <c r="E5397" s="208"/>
      <c r="F5397" s="208"/>
      <c r="G5397" s="209"/>
      <c r="H5397" s="539">
        <f>SUM(H5396:H5396)</f>
        <v>2448000</v>
      </c>
    </row>
    <row r="5398" spans="3:11" ht="25.8" customHeight="1">
      <c r="C5398" s="213" t="s">
        <v>1215</v>
      </c>
      <c r="D5398" s="212" t="s">
        <v>1216</v>
      </c>
      <c r="E5398" s="534"/>
      <c r="F5398" s="534"/>
      <c r="G5398" s="534"/>
      <c r="H5398" s="534"/>
    </row>
    <row r="5399" spans="3:11" ht="25.8" customHeight="1">
      <c r="C5399" s="702" t="s">
        <v>1217</v>
      </c>
      <c r="D5399" s="815"/>
      <c r="E5399" s="815"/>
      <c r="F5399" s="815"/>
      <c r="G5399" s="209"/>
      <c r="H5399" s="821">
        <f>SUM(H5398)</f>
        <v>0</v>
      </c>
    </row>
    <row r="5400" spans="3:11" ht="25.8" customHeight="1">
      <c r="C5400" s="566" t="s">
        <v>1218</v>
      </c>
      <c r="D5400" s="552" t="s">
        <v>1219</v>
      </c>
      <c r="E5400" s="553"/>
      <c r="F5400" s="553"/>
      <c r="G5400" s="554"/>
      <c r="H5400" s="826">
        <f>H5399+H5397+H5394</f>
        <v>2460920</v>
      </c>
      <c r="I5400" s="827"/>
    </row>
    <row r="5401" spans="3:11" ht="25.8" customHeight="1">
      <c r="C5401" s="566" t="s">
        <v>1220</v>
      </c>
      <c r="D5401" s="552" t="s">
        <v>1321</v>
      </c>
      <c r="E5401" s="553"/>
      <c r="F5401" s="554"/>
      <c r="G5401" s="555">
        <f>$M$9</f>
        <v>0.1</v>
      </c>
      <c r="H5401" s="539">
        <f>H5400*G5401</f>
        <v>246092</v>
      </c>
      <c r="I5401" s="827"/>
    </row>
    <row r="5402" spans="3:11" ht="25.8" customHeight="1">
      <c r="C5402" s="566" t="s">
        <v>1221</v>
      </c>
      <c r="D5402" s="552" t="s">
        <v>1222</v>
      </c>
      <c r="E5402" s="553"/>
      <c r="F5402" s="553"/>
      <c r="G5402" s="554"/>
      <c r="H5402" s="828">
        <f>SUM(H5400:H5401)</f>
        <v>2707012</v>
      </c>
      <c r="I5402" s="827"/>
    </row>
    <row r="5403" spans="3:11" ht="25.8" customHeight="1"/>
    <row r="5404" spans="3:11" ht="25.8" customHeight="1">
      <c r="C5404" s="513" t="s">
        <v>5771</v>
      </c>
      <c r="D5404" s="817" t="s">
        <v>5772</v>
      </c>
      <c r="E5404" s="803"/>
      <c r="F5404" s="803"/>
      <c r="G5404" s="803"/>
      <c r="H5404" s="803"/>
      <c r="I5404" s="533">
        <f>ROUNDDOWN(H5419,-2)</f>
        <v>45000</v>
      </c>
      <c r="J5404" s="536"/>
      <c r="K5404" s="824"/>
    </row>
    <row r="5405" spans="3:11" ht="25.8" customHeight="1">
      <c r="C5405" s="716" t="s">
        <v>1195</v>
      </c>
      <c r="D5405" s="716" t="s">
        <v>1196</v>
      </c>
      <c r="E5405" s="716" t="s">
        <v>1197</v>
      </c>
      <c r="F5405" s="716" t="s">
        <v>1198</v>
      </c>
      <c r="G5405" s="716" t="s">
        <v>1199</v>
      </c>
      <c r="H5405" s="716" t="s">
        <v>1200</v>
      </c>
    </row>
    <row r="5406" spans="3:11" ht="25.8" customHeight="1">
      <c r="C5406" s="213" t="s">
        <v>1201</v>
      </c>
      <c r="D5406" s="212" t="s">
        <v>1202</v>
      </c>
      <c r="E5406" s="534"/>
      <c r="F5406" s="534"/>
      <c r="G5406" s="534"/>
      <c r="H5406" s="534"/>
    </row>
    <row r="5407" spans="3:11" ht="25.8" customHeight="1">
      <c r="C5407" s="818">
        <v>1</v>
      </c>
      <c r="D5407" s="212" t="s">
        <v>5</v>
      </c>
      <c r="E5407" s="212" t="s">
        <v>6</v>
      </c>
      <c r="F5407" s="538">
        <v>3.5999999999999997E-2</v>
      </c>
      <c r="G5407" s="539">
        <f>VLOOKUP(D5407,upahbahan,3,FALSE)</f>
        <v>100000</v>
      </c>
      <c r="H5407" s="539">
        <f t="shared" ref="H5407:H5410" si="581">F5407*G5407</f>
        <v>3599.9999999999995</v>
      </c>
    </row>
    <row r="5408" spans="3:11" ht="25.8" customHeight="1">
      <c r="C5408" s="818">
        <v>2</v>
      </c>
      <c r="D5408" s="212" t="s">
        <v>3295</v>
      </c>
      <c r="E5408" s="212" t="s">
        <v>6</v>
      </c>
      <c r="F5408" s="538">
        <v>0.06</v>
      </c>
      <c r="G5408" s="539">
        <f>VLOOKUP(D5408,upahbahan,3,FALSE)</f>
        <v>135000</v>
      </c>
      <c r="H5408" s="539">
        <f t="shared" si="581"/>
        <v>8100</v>
      </c>
    </row>
    <row r="5409" spans="3:11" ht="25.8" customHeight="1">
      <c r="C5409" s="818">
        <v>3</v>
      </c>
      <c r="D5409" s="212" t="s">
        <v>18</v>
      </c>
      <c r="E5409" s="212" t="s">
        <v>6</v>
      </c>
      <c r="F5409" s="538">
        <v>6.0000000000000001E-3</v>
      </c>
      <c r="G5409" s="539">
        <f>VLOOKUP(D5409,upahbahan,3,FALSE)</f>
        <v>150000</v>
      </c>
      <c r="H5409" s="539">
        <f t="shared" si="581"/>
        <v>900</v>
      </c>
    </row>
    <row r="5410" spans="3:11" ht="25.8" customHeight="1">
      <c r="C5410" s="818">
        <v>4</v>
      </c>
      <c r="D5410" s="212" t="s">
        <v>19</v>
      </c>
      <c r="E5410" s="212" t="s">
        <v>6</v>
      </c>
      <c r="F5410" s="538">
        <v>2E-3</v>
      </c>
      <c r="G5410" s="539">
        <f>VLOOKUP(D5410,upahbahan,3,FALSE)</f>
        <v>160000</v>
      </c>
      <c r="H5410" s="539">
        <f t="shared" si="581"/>
        <v>320</v>
      </c>
    </row>
    <row r="5411" spans="3:11" ht="25.8" customHeight="1">
      <c r="C5411" s="702" t="s">
        <v>1208</v>
      </c>
      <c r="D5411" s="208"/>
      <c r="E5411" s="208"/>
      <c r="F5411" s="811"/>
      <c r="G5411" s="522"/>
      <c r="H5411" s="539">
        <f>SUM(H5407:H5410)</f>
        <v>12920</v>
      </c>
      <c r="I5411" s="819"/>
    </row>
    <row r="5412" spans="3:11" ht="25.8" customHeight="1">
      <c r="C5412" s="213" t="s">
        <v>1209</v>
      </c>
      <c r="D5412" s="212" t="s">
        <v>1210</v>
      </c>
      <c r="E5412" s="534"/>
      <c r="F5412" s="831"/>
      <c r="G5412" s="534"/>
      <c r="H5412" s="534"/>
    </row>
    <row r="5413" spans="3:11" ht="25.8" customHeight="1">
      <c r="C5413" s="213">
        <v>1</v>
      </c>
      <c r="D5413" s="212" t="s">
        <v>5773</v>
      </c>
      <c r="E5413" s="234" t="s">
        <v>135</v>
      </c>
      <c r="F5413" s="866">
        <v>1.1000000000000001</v>
      </c>
      <c r="G5413" s="539">
        <f>VLOOKUP(D5413,upahbahan,3,FALSE)</f>
        <v>25500</v>
      </c>
      <c r="H5413" s="539">
        <f>F5413*G5413</f>
        <v>28050.000000000004</v>
      </c>
    </row>
    <row r="5414" spans="3:11" ht="25.8" customHeight="1">
      <c r="C5414" s="702" t="s">
        <v>1214</v>
      </c>
      <c r="D5414" s="208"/>
      <c r="E5414" s="208"/>
      <c r="F5414" s="208"/>
      <c r="G5414" s="209"/>
      <c r="H5414" s="539">
        <f>SUM(H5413:H5413)</f>
        <v>28050.000000000004</v>
      </c>
    </row>
    <row r="5415" spans="3:11" ht="25.8" customHeight="1">
      <c r="C5415" s="213" t="s">
        <v>1215</v>
      </c>
      <c r="D5415" s="212" t="s">
        <v>1216</v>
      </c>
      <c r="E5415" s="534"/>
      <c r="F5415" s="534"/>
      <c r="G5415" s="534"/>
      <c r="H5415" s="534"/>
    </row>
    <row r="5416" spans="3:11" ht="25.8" customHeight="1">
      <c r="C5416" s="702" t="s">
        <v>1217</v>
      </c>
      <c r="D5416" s="815"/>
      <c r="E5416" s="815"/>
      <c r="F5416" s="815"/>
      <c r="G5416" s="209"/>
      <c r="H5416" s="821">
        <f>SUM(H5415)</f>
        <v>0</v>
      </c>
    </row>
    <row r="5417" spans="3:11" ht="25.8" customHeight="1">
      <c r="C5417" s="566" t="s">
        <v>1218</v>
      </c>
      <c r="D5417" s="552" t="s">
        <v>1219</v>
      </c>
      <c r="E5417" s="553"/>
      <c r="F5417" s="553"/>
      <c r="G5417" s="554"/>
      <c r="H5417" s="826">
        <f>H5416+H5414+H5411</f>
        <v>40970</v>
      </c>
      <c r="I5417" s="827"/>
    </row>
    <row r="5418" spans="3:11" ht="25.8" customHeight="1">
      <c r="C5418" s="566" t="s">
        <v>1220</v>
      </c>
      <c r="D5418" s="552" t="s">
        <v>1321</v>
      </c>
      <c r="E5418" s="553"/>
      <c r="F5418" s="554"/>
      <c r="G5418" s="555">
        <f>$M$9</f>
        <v>0.1</v>
      </c>
      <c r="H5418" s="539">
        <f>H5417*G5418</f>
        <v>4097</v>
      </c>
      <c r="I5418" s="827"/>
    </row>
    <row r="5419" spans="3:11" ht="25.8" customHeight="1">
      <c r="C5419" s="566" t="s">
        <v>1221</v>
      </c>
      <c r="D5419" s="552" t="s">
        <v>1222</v>
      </c>
      <c r="E5419" s="553"/>
      <c r="F5419" s="553"/>
      <c r="G5419" s="554"/>
      <c r="H5419" s="828">
        <f>SUM(H5417:H5418)</f>
        <v>45067</v>
      </c>
      <c r="I5419" s="827"/>
    </row>
    <row r="5420" spans="3:11" ht="25.8" customHeight="1"/>
    <row r="5421" spans="3:11" ht="25.8" customHeight="1">
      <c r="C5421" s="513" t="s">
        <v>5774</v>
      </c>
      <c r="D5421" s="817" t="s">
        <v>5775</v>
      </c>
      <c r="E5421" s="803"/>
      <c r="F5421" s="803"/>
      <c r="G5421" s="803"/>
      <c r="H5421" s="803"/>
      <c r="I5421" s="533">
        <f>ROUNDDOWN(H5436,-2)</f>
        <v>6700</v>
      </c>
      <c r="J5421" s="536"/>
      <c r="K5421" s="824"/>
    </row>
    <row r="5422" spans="3:11" ht="25.8" customHeight="1">
      <c r="C5422" s="716" t="s">
        <v>1195</v>
      </c>
      <c r="D5422" s="716" t="s">
        <v>1196</v>
      </c>
      <c r="E5422" s="716" t="s">
        <v>1197</v>
      </c>
      <c r="F5422" s="716" t="s">
        <v>1198</v>
      </c>
      <c r="G5422" s="716" t="s">
        <v>1199</v>
      </c>
      <c r="H5422" s="716" t="s">
        <v>1200</v>
      </c>
    </row>
    <row r="5423" spans="3:11" ht="25.8" customHeight="1">
      <c r="C5423" s="213" t="s">
        <v>1201</v>
      </c>
      <c r="D5423" s="212" t="s">
        <v>1202</v>
      </c>
      <c r="E5423" s="534"/>
      <c r="F5423" s="534"/>
      <c r="G5423" s="534"/>
      <c r="H5423" s="534"/>
    </row>
    <row r="5424" spans="3:11" ht="25.8" customHeight="1">
      <c r="C5424" s="818">
        <v>1</v>
      </c>
      <c r="D5424" s="212" t="s">
        <v>5</v>
      </c>
      <c r="E5424" s="212" t="s">
        <v>6</v>
      </c>
      <c r="F5424" s="538">
        <v>1.2E-2</v>
      </c>
      <c r="G5424" s="539">
        <f>VLOOKUP(D5424,upahbahan,3,FALSE)</f>
        <v>100000</v>
      </c>
      <c r="H5424" s="539">
        <f t="shared" ref="H5424:H5427" si="582">F5424*G5424</f>
        <v>1200</v>
      </c>
    </row>
    <row r="5425" spans="3:11" ht="25.8" customHeight="1">
      <c r="C5425" s="818">
        <v>2</v>
      </c>
      <c r="D5425" s="212" t="s">
        <v>3295</v>
      </c>
      <c r="E5425" s="212" t="s">
        <v>6</v>
      </c>
      <c r="F5425" s="538">
        <v>0.02</v>
      </c>
      <c r="G5425" s="539">
        <f>VLOOKUP(D5425,upahbahan,3,FALSE)</f>
        <v>135000</v>
      </c>
      <c r="H5425" s="539">
        <f t="shared" si="582"/>
        <v>2700</v>
      </c>
    </row>
    <row r="5426" spans="3:11" ht="25.8" customHeight="1">
      <c r="C5426" s="818">
        <v>3</v>
      </c>
      <c r="D5426" s="212" t="s">
        <v>18</v>
      </c>
      <c r="E5426" s="212" t="s">
        <v>6</v>
      </c>
      <c r="F5426" s="538">
        <v>2E-3</v>
      </c>
      <c r="G5426" s="539">
        <f>VLOOKUP(D5426,upahbahan,3,FALSE)</f>
        <v>150000</v>
      </c>
      <c r="H5426" s="539">
        <f t="shared" si="582"/>
        <v>300</v>
      </c>
    </row>
    <row r="5427" spans="3:11" ht="25.8" customHeight="1">
      <c r="C5427" s="818">
        <v>4</v>
      </c>
      <c r="D5427" s="212" t="s">
        <v>19</v>
      </c>
      <c r="E5427" s="212" t="s">
        <v>6</v>
      </c>
      <c r="F5427" s="538">
        <v>1E-3</v>
      </c>
      <c r="G5427" s="539">
        <f>VLOOKUP(D5427,upahbahan,3,FALSE)</f>
        <v>160000</v>
      </c>
      <c r="H5427" s="539">
        <f t="shared" si="582"/>
        <v>160</v>
      </c>
    </row>
    <row r="5428" spans="3:11" ht="25.8" customHeight="1">
      <c r="C5428" s="702" t="s">
        <v>1208</v>
      </c>
      <c r="D5428" s="208"/>
      <c r="E5428" s="208"/>
      <c r="F5428" s="811"/>
      <c r="G5428" s="522"/>
      <c r="H5428" s="539">
        <f>SUM(H5424:H5427)</f>
        <v>4360</v>
      </c>
      <c r="I5428" s="819"/>
    </row>
    <row r="5429" spans="3:11" ht="25.8" customHeight="1">
      <c r="C5429" s="213" t="s">
        <v>1209</v>
      </c>
      <c r="D5429" s="212" t="s">
        <v>1210</v>
      </c>
      <c r="E5429" s="534"/>
      <c r="F5429" s="831"/>
      <c r="G5429" s="534"/>
      <c r="H5429" s="534"/>
    </row>
    <row r="5430" spans="3:11" ht="25.8" customHeight="1">
      <c r="C5430" s="213">
        <v>1</v>
      </c>
      <c r="D5430" s="212" t="s">
        <v>5776</v>
      </c>
      <c r="E5430" s="234" t="s">
        <v>135</v>
      </c>
      <c r="F5430" s="866">
        <v>1.2</v>
      </c>
      <c r="G5430" s="539">
        <f>VLOOKUP(D5430,upahbahan,3,FALSE)</f>
        <v>1500</v>
      </c>
      <c r="H5430" s="539">
        <f>F5430*G5430</f>
        <v>1800</v>
      </c>
    </row>
    <row r="5431" spans="3:11" ht="25.8" customHeight="1">
      <c r="C5431" s="702" t="s">
        <v>1214</v>
      </c>
      <c r="D5431" s="208"/>
      <c r="E5431" s="208"/>
      <c r="F5431" s="208"/>
      <c r="G5431" s="209"/>
      <c r="H5431" s="539">
        <f>SUM(H5430:H5430)</f>
        <v>1800</v>
      </c>
    </row>
    <row r="5432" spans="3:11" ht="25.8" customHeight="1">
      <c r="C5432" s="213" t="s">
        <v>1215</v>
      </c>
      <c r="D5432" s="212" t="s">
        <v>1216</v>
      </c>
      <c r="E5432" s="534"/>
      <c r="F5432" s="534"/>
      <c r="G5432" s="534"/>
      <c r="H5432" s="534"/>
    </row>
    <row r="5433" spans="3:11" ht="25.8" customHeight="1">
      <c r="C5433" s="702" t="s">
        <v>1217</v>
      </c>
      <c r="D5433" s="815"/>
      <c r="E5433" s="815"/>
      <c r="F5433" s="815"/>
      <c r="G5433" s="209"/>
      <c r="H5433" s="821">
        <f>SUM(H5432)</f>
        <v>0</v>
      </c>
    </row>
    <row r="5434" spans="3:11" ht="25.8" customHeight="1">
      <c r="C5434" s="566" t="s">
        <v>1218</v>
      </c>
      <c r="D5434" s="552" t="s">
        <v>1219</v>
      </c>
      <c r="E5434" s="553"/>
      <c r="F5434" s="553"/>
      <c r="G5434" s="554"/>
      <c r="H5434" s="826">
        <f>H5433+H5431+H5428</f>
        <v>6160</v>
      </c>
      <c r="I5434" s="827"/>
    </row>
    <row r="5435" spans="3:11" ht="25.8" customHeight="1">
      <c r="C5435" s="566" t="s">
        <v>1220</v>
      </c>
      <c r="D5435" s="552" t="s">
        <v>1321</v>
      </c>
      <c r="E5435" s="553"/>
      <c r="F5435" s="554"/>
      <c r="G5435" s="555">
        <f>$M$9</f>
        <v>0.1</v>
      </c>
      <c r="H5435" s="539">
        <f>H5434*G5435</f>
        <v>616</v>
      </c>
      <c r="I5435" s="827"/>
    </row>
    <row r="5436" spans="3:11" ht="25.8" customHeight="1">
      <c r="C5436" s="566" t="s">
        <v>1221</v>
      </c>
      <c r="D5436" s="552" t="s">
        <v>1222</v>
      </c>
      <c r="E5436" s="553"/>
      <c r="F5436" s="553"/>
      <c r="G5436" s="554"/>
      <c r="H5436" s="828">
        <f>SUM(H5434:H5435)</f>
        <v>6776</v>
      </c>
      <c r="I5436" s="827"/>
    </row>
    <row r="5437" spans="3:11" ht="25.8" customHeight="1"/>
    <row r="5438" spans="3:11" ht="25.8" customHeight="1">
      <c r="C5438" s="513" t="s">
        <v>5777</v>
      </c>
      <c r="D5438" s="817" t="s">
        <v>5778</v>
      </c>
      <c r="E5438" s="803"/>
      <c r="F5438" s="803"/>
      <c r="G5438" s="803"/>
      <c r="H5438" s="803"/>
      <c r="I5438" s="533">
        <f>ROUNDDOWN(H5453,-2)</f>
        <v>314300</v>
      </c>
      <c r="J5438" s="536"/>
      <c r="K5438" s="824"/>
    </row>
    <row r="5439" spans="3:11" ht="25.8" customHeight="1">
      <c r="C5439" s="716" t="s">
        <v>1195</v>
      </c>
      <c r="D5439" s="716" t="s">
        <v>1196</v>
      </c>
      <c r="E5439" s="716" t="s">
        <v>1197</v>
      </c>
      <c r="F5439" s="716" t="s">
        <v>1198</v>
      </c>
      <c r="G5439" s="716" t="s">
        <v>1199</v>
      </c>
      <c r="H5439" s="716" t="s">
        <v>1200</v>
      </c>
    </row>
    <row r="5440" spans="3:11" ht="25.8" customHeight="1">
      <c r="C5440" s="213" t="s">
        <v>1201</v>
      </c>
      <c r="D5440" s="212" t="s">
        <v>1202</v>
      </c>
      <c r="E5440" s="534"/>
      <c r="F5440" s="534"/>
      <c r="G5440" s="534"/>
      <c r="H5440" s="534"/>
    </row>
    <row r="5441" spans="3:11" ht="25.8" customHeight="1">
      <c r="C5441" s="818">
        <v>1</v>
      </c>
      <c r="D5441" s="212" t="s">
        <v>5</v>
      </c>
      <c r="E5441" s="212" t="s">
        <v>6</v>
      </c>
      <c r="F5441" s="538">
        <v>0.217</v>
      </c>
      <c r="G5441" s="539">
        <f>VLOOKUP(D5441,upahbahan,3,FALSE)</f>
        <v>100000</v>
      </c>
      <c r="H5441" s="539">
        <f t="shared" ref="H5441:H5444" si="583">F5441*G5441</f>
        <v>21700</v>
      </c>
    </row>
    <row r="5442" spans="3:11" ht="25.8" customHeight="1">
      <c r="C5442" s="818">
        <v>2</v>
      </c>
      <c r="D5442" s="212" t="s">
        <v>3295</v>
      </c>
      <c r="E5442" s="212" t="s">
        <v>6</v>
      </c>
      <c r="F5442" s="538">
        <v>0.36199999999999999</v>
      </c>
      <c r="G5442" s="539">
        <f>VLOOKUP(D5442,upahbahan,3,FALSE)</f>
        <v>135000</v>
      </c>
      <c r="H5442" s="539">
        <f t="shared" si="583"/>
        <v>48870</v>
      </c>
    </row>
    <row r="5443" spans="3:11" ht="25.8" customHeight="1">
      <c r="C5443" s="818">
        <v>3</v>
      </c>
      <c r="D5443" s="212" t="s">
        <v>18</v>
      </c>
      <c r="E5443" s="212" t="s">
        <v>6</v>
      </c>
      <c r="F5443" s="538">
        <v>3.5999999999999997E-2</v>
      </c>
      <c r="G5443" s="539">
        <f>VLOOKUP(D5443,upahbahan,3,FALSE)</f>
        <v>150000</v>
      </c>
      <c r="H5443" s="539">
        <f t="shared" si="583"/>
        <v>5400</v>
      </c>
    </row>
    <row r="5444" spans="3:11" ht="25.8" customHeight="1">
      <c r="C5444" s="818">
        <v>4</v>
      </c>
      <c r="D5444" s="212" t="s">
        <v>19</v>
      </c>
      <c r="E5444" s="212" t="s">
        <v>6</v>
      </c>
      <c r="F5444" s="538">
        <v>1.2E-2</v>
      </c>
      <c r="G5444" s="539">
        <f>VLOOKUP(D5444,upahbahan,3,FALSE)</f>
        <v>160000</v>
      </c>
      <c r="H5444" s="539">
        <f t="shared" si="583"/>
        <v>1920</v>
      </c>
    </row>
    <row r="5445" spans="3:11" ht="25.8" customHeight="1">
      <c r="C5445" s="702" t="s">
        <v>1208</v>
      </c>
      <c r="D5445" s="208"/>
      <c r="E5445" s="208"/>
      <c r="F5445" s="811"/>
      <c r="G5445" s="522"/>
      <c r="H5445" s="539">
        <f>SUM(H5441:H5444)</f>
        <v>77890</v>
      </c>
      <c r="I5445" s="819"/>
    </row>
    <row r="5446" spans="3:11" ht="25.8" customHeight="1">
      <c r="C5446" s="213" t="s">
        <v>1209</v>
      </c>
      <c r="D5446" s="212" t="s">
        <v>1210</v>
      </c>
      <c r="E5446" s="534"/>
      <c r="F5446" s="831"/>
      <c r="G5446" s="534"/>
      <c r="H5446" s="534"/>
    </row>
    <row r="5447" spans="3:11" ht="25.8" customHeight="1">
      <c r="C5447" s="213">
        <v>1</v>
      </c>
      <c r="D5447" s="212" t="s">
        <v>5779</v>
      </c>
      <c r="E5447" s="234" t="s">
        <v>135</v>
      </c>
      <c r="F5447" s="866">
        <v>1.1000000000000001</v>
      </c>
      <c r="G5447" s="539">
        <f>VLOOKUP(D5447,upahbahan,3,FALSE)</f>
        <v>189000</v>
      </c>
      <c r="H5447" s="539">
        <f>F5447*G5447</f>
        <v>207900.00000000003</v>
      </c>
    </row>
    <row r="5448" spans="3:11" ht="25.8" customHeight="1">
      <c r="C5448" s="702" t="s">
        <v>1214</v>
      </c>
      <c r="D5448" s="208"/>
      <c r="E5448" s="208"/>
      <c r="F5448" s="208"/>
      <c r="G5448" s="209"/>
      <c r="H5448" s="539">
        <f>SUM(H5447:H5447)</f>
        <v>207900.00000000003</v>
      </c>
    </row>
    <row r="5449" spans="3:11" ht="25.8" customHeight="1">
      <c r="C5449" s="213" t="s">
        <v>1215</v>
      </c>
      <c r="D5449" s="212" t="s">
        <v>1216</v>
      </c>
      <c r="E5449" s="534"/>
      <c r="F5449" s="534"/>
      <c r="G5449" s="534"/>
      <c r="H5449" s="534"/>
    </row>
    <row r="5450" spans="3:11" ht="25.8" customHeight="1">
      <c r="C5450" s="702" t="s">
        <v>1217</v>
      </c>
      <c r="D5450" s="815"/>
      <c r="E5450" s="815"/>
      <c r="F5450" s="815"/>
      <c r="G5450" s="209"/>
      <c r="H5450" s="821">
        <f>SUM(H5449)</f>
        <v>0</v>
      </c>
    </row>
    <row r="5451" spans="3:11" ht="25.8" customHeight="1">
      <c r="C5451" s="566" t="s">
        <v>1218</v>
      </c>
      <c r="D5451" s="552" t="s">
        <v>1219</v>
      </c>
      <c r="E5451" s="553"/>
      <c r="F5451" s="553"/>
      <c r="G5451" s="554"/>
      <c r="H5451" s="826">
        <f>H5450+H5448+H5445</f>
        <v>285790</v>
      </c>
      <c r="I5451" s="827"/>
    </row>
    <row r="5452" spans="3:11" ht="25.8" customHeight="1">
      <c r="C5452" s="566" t="s">
        <v>1220</v>
      </c>
      <c r="D5452" s="552" t="s">
        <v>1321</v>
      </c>
      <c r="E5452" s="553"/>
      <c r="F5452" s="554"/>
      <c r="G5452" s="555">
        <f>$M$9</f>
        <v>0.1</v>
      </c>
      <c r="H5452" s="539">
        <f>H5451*G5452</f>
        <v>28579</v>
      </c>
      <c r="I5452" s="827"/>
    </row>
    <row r="5453" spans="3:11" ht="25.8" customHeight="1">
      <c r="C5453" s="566" t="s">
        <v>1221</v>
      </c>
      <c r="D5453" s="552" t="s">
        <v>1222</v>
      </c>
      <c r="E5453" s="553"/>
      <c r="F5453" s="553"/>
      <c r="G5453" s="554"/>
      <c r="H5453" s="828">
        <f>SUM(H5451:H5452)</f>
        <v>314369</v>
      </c>
      <c r="I5453" s="827"/>
    </row>
    <row r="5454" spans="3:11" ht="25.8" customHeight="1"/>
    <row r="5455" spans="3:11" ht="25.8" customHeight="1">
      <c r="C5455" s="513" t="s">
        <v>5780</v>
      </c>
      <c r="D5455" s="817" t="s">
        <v>5781</v>
      </c>
      <c r="E5455" s="803"/>
      <c r="F5455" s="803"/>
      <c r="G5455" s="803"/>
      <c r="H5455" s="803"/>
      <c r="I5455" s="533">
        <f>ROUNDDOWN(H5470,-2)</f>
        <v>268900</v>
      </c>
      <c r="J5455" s="536"/>
      <c r="K5455" s="824"/>
    </row>
    <row r="5456" spans="3:11" ht="25.8" customHeight="1">
      <c r="C5456" s="716" t="s">
        <v>1195</v>
      </c>
      <c r="D5456" s="716" t="s">
        <v>1196</v>
      </c>
      <c r="E5456" s="716" t="s">
        <v>1197</v>
      </c>
      <c r="F5456" s="716" t="s">
        <v>1198</v>
      </c>
      <c r="G5456" s="716" t="s">
        <v>1199</v>
      </c>
      <c r="H5456" s="716" t="s">
        <v>1200</v>
      </c>
    </row>
    <row r="5457" spans="3:11" ht="25.8" customHeight="1">
      <c r="C5457" s="213" t="s">
        <v>1201</v>
      </c>
      <c r="D5457" s="212" t="s">
        <v>1202</v>
      </c>
      <c r="E5457" s="534"/>
      <c r="F5457" s="534"/>
      <c r="G5457" s="534"/>
      <c r="H5457" s="534"/>
    </row>
    <row r="5458" spans="3:11" ht="25.8" customHeight="1">
      <c r="C5458" s="818">
        <v>1</v>
      </c>
      <c r="D5458" s="212" t="s">
        <v>5</v>
      </c>
      <c r="E5458" s="212" t="s">
        <v>6</v>
      </c>
      <c r="F5458" s="538">
        <v>0.19</v>
      </c>
      <c r="G5458" s="539">
        <f>VLOOKUP(D5458,upahbahan,3,FALSE)</f>
        <v>100000</v>
      </c>
      <c r="H5458" s="539">
        <f t="shared" ref="H5458:H5461" si="584">F5458*G5458</f>
        <v>19000</v>
      </c>
    </row>
    <row r="5459" spans="3:11" ht="25.8" customHeight="1">
      <c r="C5459" s="818">
        <v>2</v>
      </c>
      <c r="D5459" s="212" t="s">
        <v>3295</v>
      </c>
      <c r="E5459" s="212" t="s">
        <v>6</v>
      </c>
      <c r="F5459" s="538">
        <v>0.318</v>
      </c>
      <c r="G5459" s="539">
        <f>VLOOKUP(D5459,upahbahan,3,FALSE)</f>
        <v>135000</v>
      </c>
      <c r="H5459" s="539">
        <f t="shared" si="584"/>
        <v>42930</v>
      </c>
    </row>
    <row r="5460" spans="3:11" ht="25.8" customHeight="1">
      <c r="C5460" s="818">
        <v>3</v>
      </c>
      <c r="D5460" s="212" t="s">
        <v>18</v>
      </c>
      <c r="E5460" s="212" t="s">
        <v>6</v>
      </c>
      <c r="F5460" s="538">
        <v>3.2000000000000001E-2</v>
      </c>
      <c r="G5460" s="539">
        <f>VLOOKUP(D5460,upahbahan,3,FALSE)</f>
        <v>150000</v>
      </c>
      <c r="H5460" s="539">
        <f t="shared" si="584"/>
        <v>4800</v>
      </c>
    </row>
    <row r="5461" spans="3:11" ht="25.8" customHeight="1">
      <c r="C5461" s="818">
        <v>4</v>
      </c>
      <c r="D5461" s="212" t="s">
        <v>19</v>
      </c>
      <c r="E5461" s="212" t="s">
        <v>6</v>
      </c>
      <c r="F5461" s="538">
        <v>1.0999999999999999E-2</v>
      </c>
      <c r="G5461" s="539">
        <f>VLOOKUP(D5461,upahbahan,3,FALSE)</f>
        <v>160000</v>
      </c>
      <c r="H5461" s="539">
        <f t="shared" si="584"/>
        <v>1760</v>
      </c>
    </row>
    <row r="5462" spans="3:11" ht="25.8" customHeight="1">
      <c r="C5462" s="702" t="s">
        <v>1208</v>
      </c>
      <c r="D5462" s="208"/>
      <c r="E5462" s="208"/>
      <c r="F5462" s="811"/>
      <c r="G5462" s="522"/>
      <c r="H5462" s="539">
        <f>SUM(H5458:H5461)</f>
        <v>68490</v>
      </c>
      <c r="I5462" s="819"/>
    </row>
    <row r="5463" spans="3:11" ht="25.8" customHeight="1">
      <c r="C5463" s="213" t="s">
        <v>1209</v>
      </c>
      <c r="D5463" s="212" t="s">
        <v>1210</v>
      </c>
      <c r="E5463" s="534"/>
      <c r="F5463" s="831"/>
      <c r="G5463" s="534"/>
      <c r="H5463" s="534"/>
    </row>
    <row r="5464" spans="3:11" ht="25.8" customHeight="1">
      <c r="C5464" s="213">
        <v>1</v>
      </c>
      <c r="D5464" s="212" t="s">
        <v>5782</v>
      </c>
      <c r="E5464" s="234" t="s">
        <v>135</v>
      </c>
      <c r="F5464" s="866">
        <v>1.1000000000000001</v>
      </c>
      <c r="G5464" s="539">
        <f>VLOOKUP(D5464,upahbahan,3,FALSE)</f>
        <v>160000</v>
      </c>
      <c r="H5464" s="539">
        <f>F5464*G5464</f>
        <v>176000</v>
      </c>
    </row>
    <row r="5465" spans="3:11" ht="25.8" customHeight="1">
      <c r="C5465" s="702" t="s">
        <v>1214</v>
      </c>
      <c r="D5465" s="208"/>
      <c r="E5465" s="208"/>
      <c r="F5465" s="208"/>
      <c r="G5465" s="209"/>
      <c r="H5465" s="539">
        <f>SUM(H5464:H5464)</f>
        <v>176000</v>
      </c>
    </row>
    <row r="5466" spans="3:11" ht="25.8" customHeight="1">
      <c r="C5466" s="213" t="s">
        <v>1215</v>
      </c>
      <c r="D5466" s="212" t="s">
        <v>1216</v>
      </c>
      <c r="E5466" s="534"/>
      <c r="F5466" s="534"/>
      <c r="G5466" s="534"/>
      <c r="H5466" s="534"/>
    </row>
    <row r="5467" spans="3:11" ht="25.8" customHeight="1">
      <c r="C5467" s="702" t="s">
        <v>1217</v>
      </c>
      <c r="D5467" s="815"/>
      <c r="E5467" s="815"/>
      <c r="F5467" s="815"/>
      <c r="G5467" s="209"/>
      <c r="H5467" s="821">
        <f>SUM(H5466)</f>
        <v>0</v>
      </c>
    </row>
    <row r="5468" spans="3:11" ht="25.8" customHeight="1">
      <c r="C5468" s="566" t="s">
        <v>1218</v>
      </c>
      <c r="D5468" s="552" t="s">
        <v>1219</v>
      </c>
      <c r="E5468" s="553"/>
      <c r="F5468" s="553"/>
      <c r="G5468" s="554"/>
      <c r="H5468" s="826">
        <f>H5467+H5465+H5462</f>
        <v>244490</v>
      </c>
      <c r="I5468" s="827"/>
    </row>
    <row r="5469" spans="3:11" ht="25.8" customHeight="1">
      <c r="C5469" s="566" t="s">
        <v>1220</v>
      </c>
      <c r="D5469" s="552" t="s">
        <v>1321</v>
      </c>
      <c r="E5469" s="553"/>
      <c r="F5469" s="554"/>
      <c r="G5469" s="555">
        <f>$M$9</f>
        <v>0.1</v>
      </c>
      <c r="H5469" s="539">
        <f>H5468*G5469</f>
        <v>24449</v>
      </c>
      <c r="I5469" s="827"/>
    </row>
    <row r="5470" spans="3:11" ht="25.8" customHeight="1">
      <c r="C5470" s="566" t="s">
        <v>1221</v>
      </c>
      <c r="D5470" s="552" t="s">
        <v>1222</v>
      </c>
      <c r="E5470" s="553"/>
      <c r="F5470" s="553"/>
      <c r="G5470" s="554"/>
      <c r="H5470" s="828">
        <f>SUM(H5468:H5469)</f>
        <v>268939</v>
      </c>
      <c r="I5470" s="827"/>
    </row>
    <row r="5471" spans="3:11" ht="25.8" customHeight="1"/>
    <row r="5472" spans="3:11" ht="25.8" customHeight="1">
      <c r="C5472" s="513" t="s">
        <v>5783</v>
      </c>
      <c r="D5472" s="817" t="s">
        <v>5784</v>
      </c>
      <c r="E5472" s="803"/>
      <c r="F5472" s="803"/>
      <c r="G5472" s="803"/>
      <c r="H5472" s="803"/>
      <c r="I5472" s="533">
        <f>ROUNDDOWN(H5487,-2)</f>
        <v>779500</v>
      </c>
      <c r="J5472" s="536"/>
      <c r="K5472" s="824"/>
    </row>
    <row r="5473" spans="3:9" ht="25.8" customHeight="1">
      <c r="C5473" s="716" t="s">
        <v>1195</v>
      </c>
      <c r="D5473" s="716" t="s">
        <v>1196</v>
      </c>
      <c r="E5473" s="716" t="s">
        <v>1197</v>
      </c>
      <c r="F5473" s="716" t="s">
        <v>1198</v>
      </c>
      <c r="G5473" s="716" t="s">
        <v>1199</v>
      </c>
      <c r="H5473" s="716" t="s">
        <v>1200</v>
      </c>
    </row>
    <row r="5474" spans="3:9" ht="25.8" customHeight="1">
      <c r="C5474" s="213" t="s">
        <v>1201</v>
      </c>
      <c r="D5474" s="212" t="s">
        <v>1202</v>
      </c>
      <c r="E5474" s="534"/>
      <c r="F5474" s="534"/>
      <c r="G5474" s="534"/>
      <c r="H5474" s="534"/>
    </row>
    <row r="5475" spans="3:9" ht="25.8" customHeight="1">
      <c r="C5475" s="818">
        <v>1</v>
      </c>
      <c r="D5475" s="212" t="s">
        <v>5</v>
      </c>
      <c r="E5475" s="212" t="s">
        <v>6</v>
      </c>
      <c r="F5475" s="538">
        <v>0.19</v>
      </c>
      <c r="G5475" s="539">
        <f>VLOOKUP(D5475,upahbahan,3,FALSE)</f>
        <v>100000</v>
      </c>
      <c r="H5475" s="539">
        <f t="shared" ref="H5475:H5478" si="585">F5475*G5475</f>
        <v>19000</v>
      </c>
    </row>
    <row r="5476" spans="3:9" ht="25.8" customHeight="1">
      <c r="C5476" s="818">
        <v>2</v>
      </c>
      <c r="D5476" s="212" t="s">
        <v>3295</v>
      </c>
      <c r="E5476" s="212" t="s">
        <v>6</v>
      </c>
      <c r="F5476" s="538">
        <v>0.318</v>
      </c>
      <c r="G5476" s="539">
        <f>VLOOKUP(D5476,upahbahan,3,FALSE)</f>
        <v>135000</v>
      </c>
      <c r="H5476" s="539">
        <f t="shared" si="585"/>
        <v>42930</v>
      </c>
    </row>
    <row r="5477" spans="3:9" ht="25.8" customHeight="1">
      <c r="C5477" s="818">
        <v>3</v>
      </c>
      <c r="D5477" s="212" t="s">
        <v>18</v>
      </c>
      <c r="E5477" s="212" t="s">
        <v>6</v>
      </c>
      <c r="F5477" s="538">
        <v>3.2000000000000001E-2</v>
      </c>
      <c r="G5477" s="539">
        <f>VLOOKUP(D5477,upahbahan,3,FALSE)</f>
        <v>150000</v>
      </c>
      <c r="H5477" s="539">
        <f t="shared" si="585"/>
        <v>4800</v>
      </c>
    </row>
    <row r="5478" spans="3:9" ht="25.8" customHeight="1">
      <c r="C5478" s="818">
        <v>4</v>
      </c>
      <c r="D5478" s="212" t="s">
        <v>19</v>
      </c>
      <c r="E5478" s="212" t="s">
        <v>6</v>
      </c>
      <c r="F5478" s="538">
        <v>1.0999999999999999E-2</v>
      </c>
      <c r="G5478" s="539">
        <f>VLOOKUP(D5478,upahbahan,3,FALSE)</f>
        <v>160000</v>
      </c>
      <c r="H5478" s="539">
        <f t="shared" si="585"/>
        <v>1760</v>
      </c>
    </row>
    <row r="5479" spans="3:9" ht="25.8" customHeight="1">
      <c r="C5479" s="702" t="s">
        <v>1208</v>
      </c>
      <c r="D5479" s="208"/>
      <c r="E5479" s="208"/>
      <c r="F5479" s="811"/>
      <c r="G5479" s="522"/>
      <c r="H5479" s="539">
        <f>SUM(H5475:H5478)</f>
        <v>68490</v>
      </c>
      <c r="I5479" s="819"/>
    </row>
    <row r="5480" spans="3:9" ht="25.8" customHeight="1">
      <c r="C5480" s="213" t="s">
        <v>1209</v>
      </c>
      <c r="D5480" s="212" t="s">
        <v>1210</v>
      </c>
      <c r="E5480" s="534"/>
      <c r="F5480" s="831"/>
      <c r="G5480" s="534"/>
      <c r="H5480" s="534"/>
    </row>
    <row r="5481" spans="3:9" ht="25.8" customHeight="1">
      <c r="C5481" s="213">
        <v>1</v>
      </c>
      <c r="D5481" s="212" t="s">
        <v>5785</v>
      </c>
      <c r="E5481" s="234" t="s">
        <v>135</v>
      </c>
      <c r="F5481" s="866">
        <v>1.1000000000000001</v>
      </c>
      <c r="G5481" s="539">
        <f>VLOOKUP(D5481,upahbahan,3,FALSE)</f>
        <v>582000</v>
      </c>
      <c r="H5481" s="539">
        <f>F5481*G5481</f>
        <v>640200</v>
      </c>
    </row>
    <row r="5482" spans="3:9" ht="25.8" customHeight="1">
      <c r="C5482" s="702" t="s">
        <v>1214</v>
      </c>
      <c r="D5482" s="208"/>
      <c r="E5482" s="208"/>
      <c r="F5482" s="208"/>
      <c r="G5482" s="209"/>
      <c r="H5482" s="539">
        <f>SUM(H5481:H5481)</f>
        <v>640200</v>
      </c>
    </row>
    <row r="5483" spans="3:9" ht="25.8" customHeight="1">
      <c r="C5483" s="213" t="s">
        <v>1215</v>
      </c>
      <c r="D5483" s="212" t="s">
        <v>1216</v>
      </c>
      <c r="E5483" s="534"/>
      <c r="F5483" s="534"/>
      <c r="G5483" s="534"/>
      <c r="H5483" s="534"/>
    </row>
    <row r="5484" spans="3:9" ht="25.8" customHeight="1">
      <c r="C5484" s="702" t="s">
        <v>1217</v>
      </c>
      <c r="D5484" s="815"/>
      <c r="E5484" s="815"/>
      <c r="F5484" s="815"/>
      <c r="G5484" s="209"/>
      <c r="H5484" s="821">
        <f>SUM(H5483)</f>
        <v>0</v>
      </c>
    </row>
    <row r="5485" spans="3:9" ht="25.8" customHeight="1">
      <c r="C5485" s="566" t="s">
        <v>1218</v>
      </c>
      <c r="D5485" s="552" t="s">
        <v>1219</v>
      </c>
      <c r="E5485" s="553"/>
      <c r="F5485" s="553"/>
      <c r="G5485" s="554"/>
      <c r="H5485" s="826">
        <f>H5484+H5482+H5479</f>
        <v>708690</v>
      </c>
      <c r="I5485" s="827"/>
    </row>
    <row r="5486" spans="3:9" ht="25.8" customHeight="1">
      <c r="C5486" s="566" t="s">
        <v>1220</v>
      </c>
      <c r="D5486" s="552" t="s">
        <v>1321</v>
      </c>
      <c r="E5486" s="553"/>
      <c r="F5486" s="554"/>
      <c r="G5486" s="555">
        <f>$M$9</f>
        <v>0.1</v>
      </c>
      <c r="H5486" s="539">
        <f>H5485*G5486</f>
        <v>70869</v>
      </c>
      <c r="I5486" s="827"/>
    </row>
    <row r="5487" spans="3:9" ht="25.8" customHeight="1">
      <c r="C5487" s="566" t="s">
        <v>1221</v>
      </c>
      <c r="D5487" s="552" t="s">
        <v>1222</v>
      </c>
      <c r="E5487" s="553"/>
      <c r="F5487" s="553"/>
      <c r="G5487" s="554"/>
      <c r="H5487" s="828">
        <f>SUM(H5485:H5486)</f>
        <v>779559</v>
      </c>
      <c r="I5487" s="827"/>
    </row>
    <row r="5488" spans="3:9" ht="25.8" customHeight="1"/>
    <row r="5489" spans="3:11" ht="25.8" customHeight="1">
      <c r="C5489" s="513" t="s">
        <v>5786</v>
      </c>
      <c r="D5489" s="817" t="s">
        <v>5787</v>
      </c>
      <c r="E5489" s="803"/>
      <c r="F5489" s="803"/>
      <c r="G5489" s="803"/>
      <c r="H5489" s="803"/>
      <c r="I5489" s="533">
        <f>ROUNDDOWN(H5504,-2)</f>
        <v>146200</v>
      </c>
      <c r="J5489" s="536"/>
      <c r="K5489" s="824"/>
    </row>
    <row r="5490" spans="3:11" ht="25.8" customHeight="1">
      <c r="C5490" s="716" t="s">
        <v>1195</v>
      </c>
      <c r="D5490" s="716" t="s">
        <v>1196</v>
      </c>
      <c r="E5490" s="716" t="s">
        <v>1197</v>
      </c>
      <c r="F5490" s="716" t="s">
        <v>1198</v>
      </c>
      <c r="G5490" s="716" t="s">
        <v>1199</v>
      </c>
      <c r="H5490" s="716" t="s">
        <v>1200</v>
      </c>
    </row>
    <row r="5491" spans="3:11" ht="25.8" customHeight="1">
      <c r="C5491" s="213" t="s">
        <v>1201</v>
      </c>
      <c r="D5491" s="212" t="s">
        <v>1202</v>
      </c>
      <c r="E5491" s="534"/>
      <c r="F5491" s="534"/>
      <c r="G5491" s="534"/>
      <c r="H5491" s="534"/>
    </row>
    <row r="5492" spans="3:11" ht="25.8" customHeight="1">
      <c r="C5492" s="818">
        <v>1</v>
      </c>
      <c r="D5492" s="212" t="s">
        <v>5</v>
      </c>
      <c r="E5492" s="212" t="s">
        <v>6</v>
      </c>
      <c r="F5492" s="538">
        <v>0.19</v>
      </c>
      <c r="G5492" s="539">
        <f>VLOOKUP(D5492,upahbahan,3,FALSE)</f>
        <v>100000</v>
      </c>
      <c r="H5492" s="539">
        <f t="shared" ref="H5492:H5495" si="586">F5492*G5492</f>
        <v>19000</v>
      </c>
    </row>
    <row r="5493" spans="3:11" ht="25.8" customHeight="1">
      <c r="C5493" s="818">
        <v>2</v>
      </c>
      <c r="D5493" s="212" t="s">
        <v>3295</v>
      </c>
      <c r="E5493" s="212" t="s">
        <v>6</v>
      </c>
      <c r="F5493" s="538">
        <v>0.318</v>
      </c>
      <c r="G5493" s="539">
        <f>VLOOKUP(D5493,upahbahan,3,FALSE)</f>
        <v>135000</v>
      </c>
      <c r="H5493" s="539">
        <f t="shared" si="586"/>
        <v>42930</v>
      </c>
    </row>
    <row r="5494" spans="3:11" ht="25.8" customHeight="1">
      <c r="C5494" s="818">
        <v>3</v>
      </c>
      <c r="D5494" s="212" t="s">
        <v>18</v>
      </c>
      <c r="E5494" s="212" t="s">
        <v>6</v>
      </c>
      <c r="F5494" s="538">
        <v>3.2000000000000001E-2</v>
      </c>
      <c r="G5494" s="539">
        <f>VLOOKUP(D5494,upahbahan,3,FALSE)</f>
        <v>150000</v>
      </c>
      <c r="H5494" s="539">
        <f t="shared" si="586"/>
        <v>4800</v>
      </c>
    </row>
    <row r="5495" spans="3:11" ht="25.8" customHeight="1">
      <c r="C5495" s="818">
        <v>4</v>
      </c>
      <c r="D5495" s="212" t="s">
        <v>19</v>
      </c>
      <c r="E5495" s="212" t="s">
        <v>6</v>
      </c>
      <c r="F5495" s="538">
        <v>1.0999999999999999E-2</v>
      </c>
      <c r="G5495" s="539">
        <f>VLOOKUP(D5495,upahbahan,3,FALSE)</f>
        <v>160000</v>
      </c>
      <c r="H5495" s="539">
        <f t="shared" si="586"/>
        <v>1760</v>
      </c>
    </row>
    <row r="5496" spans="3:11" ht="25.8" customHeight="1">
      <c r="C5496" s="702" t="s">
        <v>1208</v>
      </c>
      <c r="D5496" s="208"/>
      <c r="E5496" s="208"/>
      <c r="F5496" s="811"/>
      <c r="G5496" s="522"/>
      <c r="H5496" s="539">
        <f>SUM(H5492:H5495)</f>
        <v>68490</v>
      </c>
      <c r="I5496" s="819"/>
    </row>
    <row r="5497" spans="3:11" ht="25.8" customHeight="1">
      <c r="C5497" s="213" t="s">
        <v>1209</v>
      </c>
      <c r="D5497" s="212" t="s">
        <v>1210</v>
      </c>
      <c r="E5497" s="534"/>
      <c r="F5497" s="831"/>
      <c r="G5497" s="534"/>
      <c r="H5497" s="534"/>
    </row>
    <row r="5498" spans="3:11" ht="25.8" customHeight="1">
      <c r="C5498" s="213">
        <v>1</v>
      </c>
      <c r="D5498" s="212" t="s">
        <v>5788</v>
      </c>
      <c r="E5498" s="234" t="s">
        <v>135</v>
      </c>
      <c r="F5498" s="866">
        <v>1.1000000000000001</v>
      </c>
      <c r="G5498" s="539">
        <f>VLOOKUP(D5498,upahbahan,3,FALSE)</f>
        <v>58620</v>
      </c>
      <c r="H5498" s="539">
        <f>F5498*G5498</f>
        <v>64482.000000000007</v>
      </c>
    </row>
    <row r="5499" spans="3:11" ht="25.8" customHeight="1">
      <c r="C5499" s="702" t="s">
        <v>1214</v>
      </c>
      <c r="D5499" s="208"/>
      <c r="E5499" s="208"/>
      <c r="F5499" s="208"/>
      <c r="G5499" s="209"/>
      <c r="H5499" s="539">
        <f>SUM(H5498:H5498)</f>
        <v>64482.000000000007</v>
      </c>
    </row>
    <row r="5500" spans="3:11" ht="25.8" customHeight="1">
      <c r="C5500" s="213" t="s">
        <v>1215</v>
      </c>
      <c r="D5500" s="212" t="s">
        <v>1216</v>
      </c>
      <c r="E5500" s="534"/>
      <c r="F5500" s="534"/>
      <c r="G5500" s="534"/>
      <c r="H5500" s="534"/>
    </row>
    <row r="5501" spans="3:11" ht="25.8" customHeight="1">
      <c r="C5501" s="702" t="s">
        <v>1217</v>
      </c>
      <c r="D5501" s="815"/>
      <c r="E5501" s="815"/>
      <c r="F5501" s="815"/>
      <c r="G5501" s="209"/>
      <c r="H5501" s="821">
        <f>SUM(H5500)</f>
        <v>0</v>
      </c>
    </row>
    <row r="5502" spans="3:11" ht="25.8" customHeight="1">
      <c r="C5502" s="566" t="s">
        <v>1218</v>
      </c>
      <c r="D5502" s="552" t="s">
        <v>1219</v>
      </c>
      <c r="E5502" s="553"/>
      <c r="F5502" s="553"/>
      <c r="G5502" s="554"/>
      <c r="H5502" s="826">
        <f>H5501+H5499+H5496</f>
        <v>132972</v>
      </c>
      <c r="I5502" s="827"/>
    </row>
    <row r="5503" spans="3:11" ht="25.8" customHeight="1">
      <c r="C5503" s="566" t="s">
        <v>1220</v>
      </c>
      <c r="D5503" s="552" t="s">
        <v>1321</v>
      </c>
      <c r="E5503" s="553"/>
      <c r="F5503" s="554"/>
      <c r="G5503" s="555">
        <f>$M$9</f>
        <v>0.1</v>
      </c>
      <c r="H5503" s="539">
        <f>H5502*G5503</f>
        <v>13297.2</v>
      </c>
      <c r="I5503" s="827"/>
    </row>
    <row r="5504" spans="3:11" ht="25.8" customHeight="1">
      <c r="C5504" s="566" t="s">
        <v>1221</v>
      </c>
      <c r="D5504" s="552" t="s">
        <v>1222</v>
      </c>
      <c r="E5504" s="553"/>
      <c r="F5504" s="553"/>
      <c r="G5504" s="554"/>
      <c r="H5504" s="828">
        <f>SUM(H5502:H5503)</f>
        <v>146269.20000000001</v>
      </c>
      <c r="I5504" s="827"/>
    </row>
    <row r="5505" spans="3:11" ht="25.8" customHeight="1"/>
    <row r="5506" spans="3:11" ht="25.8" customHeight="1"/>
    <row r="5507" spans="3:11" ht="25.8" customHeight="1">
      <c r="C5507" s="513" t="s">
        <v>5789</v>
      </c>
      <c r="D5507" s="817" t="s">
        <v>5790</v>
      </c>
      <c r="E5507" s="803"/>
      <c r="F5507" s="803"/>
      <c r="G5507" s="803"/>
      <c r="H5507" s="803"/>
      <c r="I5507" s="533">
        <f>ROUNDDOWN(H5522,-2)</f>
        <v>675400</v>
      </c>
      <c r="J5507" s="536"/>
      <c r="K5507" s="824"/>
    </row>
    <row r="5508" spans="3:11" ht="25.8" customHeight="1">
      <c r="C5508" s="716" t="s">
        <v>1195</v>
      </c>
      <c r="D5508" s="716" t="s">
        <v>1196</v>
      </c>
      <c r="E5508" s="716" t="s">
        <v>1197</v>
      </c>
      <c r="F5508" s="716" t="s">
        <v>1198</v>
      </c>
      <c r="G5508" s="716" t="s">
        <v>1199</v>
      </c>
      <c r="H5508" s="716" t="s">
        <v>1200</v>
      </c>
    </row>
    <row r="5509" spans="3:11" ht="25.8" customHeight="1">
      <c r="C5509" s="213" t="s">
        <v>1201</v>
      </c>
      <c r="D5509" s="212" t="s">
        <v>1202</v>
      </c>
      <c r="E5509" s="534"/>
      <c r="F5509" s="534"/>
      <c r="G5509" s="534"/>
      <c r="H5509" s="534"/>
    </row>
    <row r="5510" spans="3:11" ht="25.8" customHeight="1">
      <c r="C5510" s="818">
        <v>1</v>
      </c>
      <c r="D5510" s="212" t="s">
        <v>5</v>
      </c>
      <c r="E5510" s="212" t="s">
        <v>6</v>
      </c>
      <c r="F5510" s="538">
        <v>0.19</v>
      </c>
      <c r="G5510" s="539">
        <f>VLOOKUP(D5510,upahbahan,3,FALSE)</f>
        <v>100000</v>
      </c>
      <c r="H5510" s="539">
        <f t="shared" ref="H5510:H5513" si="587">F5510*G5510</f>
        <v>19000</v>
      </c>
    </row>
    <row r="5511" spans="3:11" ht="25.8" customHeight="1">
      <c r="C5511" s="818">
        <v>2</v>
      </c>
      <c r="D5511" s="212" t="s">
        <v>3295</v>
      </c>
      <c r="E5511" s="212" t="s">
        <v>6</v>
      </c>
      <c r="F5511" s="538">
        <v>0.318</v>
      </c>
      <c r="G5511" s="539">
        <f>VLOOKUP(D5511,upahbahan,3,FALSE)</f>
        <v>135000</v>
      </c>
      <c r="H5511" s="539">
        <f t="shared" si="587"/>
        <v>42930</v>
      </c>
    </row>
    <row r="5512" spans="3:11" ht="25.8" customHeight="1">
      <c r="C5512" s="818">
        <v>3</v>
      </c>
      <c r="D5512" s="212" t="s">
        <v>18</v>
      </c>
      <c r="E5512" s="212" t="s">
        <v>6</v>
      </c>
      <c r="F5512" s="538">
        <v>3.2000000000000001E-2</v>
      </c>
      <c r="G5512" s="539">
        <f>VLOOKUP(D5512,upahbahan,3,FALSE)</f>
        <v>150000</v>
      </c>
      <c r="H5512" s="539">
        <f t="shared" si="587"/>
        <v>4800</v>
      </c>
    </row>
    <row r="5513" spans="3:11" ht="25.8" customHeight="1">
      <c r="C5513" s="818">
        <v>4</v>
      </c>
      <c r="D5513" s="212" t="s">
        <v>19</v>
      </c>
      <c r="E5513" s="212" t="s">
        <v>6</v>
      </c>
      <c r="F5513" s="538">
        <v>1.0999999999999999E-2</v>
      </c>
      <c r="G5513" s="539">
        <f>VLOOKUP(D5513,upahbahan,3,FALSE)</f>
        <v>160000</v>
      </c>
      <c r="H5513" s="539">
        <f t="shared" si="587"/>
        <v>1760</v>
      </c>
    </row>
    <row r="5514" spans="3:11" ht="25.8" customHeight="1">
      <c r="C5514" s="702" t="s">
        <v>1208</v>
      </c>
      <c r="D5514" s="208"/>
      <c r="E5514" s="208"/>
      <c r="F5514" s="811"/>
      <c r="G5514" s="522"/>
      <c r="H5514" s="539">
        <f>SUM(H5510:H5513)</f>
        <v>68490</v>
      </c>
      <c r="I5514" s="819"/>
    </row>
    <row r="5515" spans="3:11" ht="25.8" customHeight="1">
      <c r="C5515" s="213" t="s">
        <v>1209</v>
      </c>
      <c r="D5515" s="212" t="s">
        <v>1210</v>
      </c>
      <c r="E5515" s="534"/>
      <c r="F5515" s="831"/>
      <c r="G5515" s="534"/>
      <c r="H5515" s="534"/>
    </row>
    <row r="5516" spans="3:11" ht="25.8" customHeight="1">
      <c r="C5516" s="213">
        <v>1</v>
      </c>
      <c r="D5516" s="212" t="s">
        <v>5791</v>
      </c>
      <c r="E5516" s="234" t="s">
        <v>135</v>
      </c>
      <c r="F5516" s="866">
        <v>1.1000000000000001</v>
      </c>
      <c r="G5516" s="539">
        <f>VLOOKUP(D5516,upahbahan,3,FALSE)</f>
        <v>496000</v>
      </c>
      <c r="H5516" s="539">
        <f>F5516*G5516</f>
        <v>545600</v>
      </c>
    </row>
    <row r="5517" spans="3:11" ht="25.8" customHeight="1">
      <c r="C5517" s="702" t="s">
        <v>1214</v>
      </c>
      <c r="D5517" s="208"/>
      <c r="E5517" s="208"/>
      <c r="F5517" s="208"/>
      <c r="G5517" s="209"/>
      <c r="H5517" s="539">
        <f>SUM(H5516:H5516)</f>
        <v>545600</v>
      </c>
    </row>
    <row r="5518" spans="3:11" ht="25.8" customHeight="1">
      <c r="C5518" s="213" t="s">
        <v>1215</v>
      </c>
      <c r="D5518" s="212" t="s">
        <v>1216</v>
      </c>
      <c r="E5518" s="534"/>
      <c r="F5518" s="534"/>
      <c r="G5518" s="534"/>
      <c r="H5518" s="534"/>
    </row>
    <row r="5519" spans="3:11" ht="25.8" customHeight="1">
      <c r="C5519" s="702" t="s">
        <v>1217</v>
      </c>
      <c r="D5519" s="815"/>
      <c r="E5519" s="815"/>
      <c r="F5519" s="815"/>
      <c r="G5519" s="209"/>
      <c r="H5519" s="821">
        <f>SUM(H5518)</f>
        <v>0</v>
      </c>
    </row>
    <row r="5520" spans="3:11" ht="25.8" customHeight="1">
      <c r="C5520" s="566" t="s">
        <v>1218</v>
      </c>
      <c r="D5520" s="552" t="s">
        <v>1219</v>
      </c>
      <c r="E5520" s="553"/>
      <c r="F5520" s="553"/>
      <c r="G5520" s="554"/>
      <c r="H5520" s="826">
        <f>H5519+H5517+H5514</f>
        <v>614090</v>
      </c>
      <c r="I5520" s="827"/>
    </row>
    <row r="5521" spans="3:11" ht="25.8" customHeight="1">
      <c r="C5521" s="566" t="s">
        <v>1220</v>
      </c>
      <c r="D5521" s="552" t="s">
        <v>1321</v>
      </c>
      <c r="E5521" s="553"/>
      <c r="F5521" s="554"/>
      <c r="G5521" s="555">
        <f>$M$9</f>
        <v>0.1</v>
      </c>
      <c r="H5521" s="539">
        <f>H5520*G5521</f>
        <v>61409</v>
      </c>
      <c r="I5521" s="827"/>
    </row>
    <row r="5522" spans="3:11" ht="25.8" customHeight="1">
      <c r="C5522" s="566" t="s">
        <v>1221</v>
      </c>
      <c r="D5522" s="552" t="s">
        <v>1222</v>
      </c>
      <c r="E5522" s="553"/>
      <c r="F5522" s="553"/>
      <c r="G5522" s="554"/>
      <c r="H5522" s="828">
        <f>SUM(H5520:H5521)</f>
        <v>675499</v>
      </c>
      <c r="I5522" s="827"/>
    </row>
    <row r="5523" spans="3:11" ht="25.8" customHeight="1"/>
    <row r="5524" spans="3:11" ht="25.8" customHeight="1">
      <c r="C5524" s="513" t="s">
        <v>5792</v>
      </c>
      <c r="D5524" s="817" t="s">
        <v>5793</v>
      </c>
      <c r="E5524" s="803"/>
      <c r="F5524" s="803"/>
      <c r="G5524" s="803"/>
      <c r="H5524" s="803"/>
      <c r="I5524" s="533">
        <f>ROUNDDOWN(H5539,-2)</f>
        <v>299100</v>
      </c>
      <c r="J5524" s="536"/>
      <c r="K5524" s="824"/>
    </row>
    <row r="5525" spans="3:11" ht="25.8" customHeight="1">
      <c r="C5525" s="716" t="s">
        <v>1195</v>
      </c>
      <c r="D5525" s="716" t="s">
        <v>1196</v>
      </c>
      <c r="E5525" s="716" t="s">
        <v>1197</v>
      </c>
      <c r="F5525" s="716" t="s">
        <v>1198</v>
      </c>
      <c r="G5525" s="716" t="s">
        <v>1199</v>
      </c>
      <c r="H5525" s="716" t="s">
        <v>1200</v>
      </c>
    </row>
    <row r="5526" spans="3:11" ht="25.8" customHeight="1">
      <c r="C5526" s="213" t="s">
        <v>1201</v>
      </c>
      <c r="D5526" s="212" t="s">
        <v>1202</v>
      </c>
      <c r="E5526" s="534"/>
      <c r="F5526" s="534"/>
      <c r="G5526" s="534"/>
      <c r="H5526" s="534"/>
    </row>
    <row r="5527" spans="3:11" ht="25.8" customHeight="1">
      <c r="C5527" s="818">
        <v>1</v>
      </c>
      <c r="D5527" s="212" t="s">
        <v>5</v>
      </c>
      <c r="E5527" s="212" t="s">
        <v>6</v>
      </c>
      <c r="F5527" s="538">
        <v>0.19</v>
      </c>
      <c r="G5527" s="539">
        <f>VLOOKUP(D5527,upahbahan,3,FALSE)</f>
        <v>100000</v>
      </c>
      <c r="H5527" s="539">
        <f t="shared" ref="H5527:H5530" si="588">F5527*G5527</f>
        <v>19000</v>
      </c>
    </row>
    <row r="5528" spans="3:11" ht="25.8" customHeight="1">
      <c r="C5528" s="818">
        <v>2</v>
      </c>
      <c r="D5528" s="212" t="s">
        <v>3295</v>
      </c>
      <c r="E5528" s="212" t="s">
        <v>6</v>
      </c>
      <c r="F5528" s="538">
        <v>0.318</v>
      </c>
      <c r="G5528" s="539">
        <f>VLOOKUP(D5528,upahbahan,3,FALSE)</f>
        <v>135000</v>
      </c>
      <c r="H5528" s="539">
        <f t="shared" si="588"/>
        <v>42930</v>
      </c>
    </row>
    <row r="5529" spans="3:11" ht="25.8" customHeight="1">
      <c r="C5529" s="818">
        <v>3</v>
      </c>
      <c r="D5529" s="212" t="s">
        <v>18</v>
      </c>
      <c r="E5529" s="212" t="s">
        <v>6</v>
      </c>
      <c r="F5529" s="538">
        <v>3.2000000000000001E-2</v>
      </c>
      <c r="G5529" s="539">
        <f>VLOOKUP(D5529,upahbahan,3,FALSE)</f>
        <v>150000</v>
      </c>
      <c r="H5529" s="539">
        <f t="shared" si="588"/>
        <v>4800</v>
      </c>
    </row>
    <row r="5530" spans="3:11" ht="25.8" customHeight="1">
      <c r="C5530" s="818">
        <v>4</v>
      </c>
      <c r="D5530" s="212" t="s">
        <v>19</v>
      </c>
      <c r="E5530" s="212" t="s">
        <v>6</v>
      </c>
      <c r="F5530" s="538">
        <v>1.0999999999999999E-2</v>
      </c>
      <c r="G5530" s="539">
        <f>VLOOKUP(D5530,upahbahan,3,FALSE)</f>
        <v>160000</v>
      </c>
      <c r="H5530" s="539">
        <f t="shared" si="588"/>
        <v>1760</v>
      </c>
    </row>
    <row r="5531" spans="3:11" ht="25.8" customHeight="1">
      <c r="C5531" s="702" t="s">
        <v>1208</v>
      </c>
      <c r="D5531" s="208"/>
      <c r="E5531" s="208"/>
      <c r="F5531" s="811"/>
      <c r="G5531" s="522"/>
      <c r="H5531" s="539">
        <f>SUM(H5527:H5530)</f>
        <v>68490</v>
      </c>
      <c r="I5531" s="819"/>
    </row>
    <row r="5532" spans="3:11" ht="25.8" customHeight="1">
      <c r="C5532" s="213" t="s">
        <v>1209</v>
      </c>
      <c r="D5532" s="212" t="s">
        <v>1210</v>
      </c>
      <c r="E5532" s="534"/>
      <c r="F5532" s="831"/>
      <c r="G5532" s="534"/>
      <c r="H5532" s="534"/>
    </row>
    <row r="5533" spans="3:11" ht="25.8" customHeight="1">
      <c r="C5533" s="213">
        <v>1</v>
      </c>
      <c r="D5533" s="212" t="s">
        <v>5794</v>
      </c>
      <c r="E5533" s="234" t="s">
        <v>135</v>
      </c>
      <c r="F5533" s="866">
        <v>1.1000000000000001</v>
      </c>
      <c r="G5533" s="539">
        <f>VLOOKUP(D5533,upahbahan,3,FALSE)</f>
        <v>185000</v>
      </c>
      <c r="H5533" s="539">
        <f>F5533*G5533</f>
        <v>203500.00000000003</v>
      </c>
    </row>
    <row r="5534" spans="3:11" ht="25.8" customHeight="1">
      <c r="C5534" s="702" t="s">
        <v>1214</v>
      </c>
      <c r="D5534" s="208"/>
      <c r="E5534" s="208"/>
      <c r="F5534" s="208"/>
      <c r="G5534" s="209"/>
      <c r="H5534" s="539">
        <f>SUM(H5533:H5533)</f>
        <v>203500.00000000003</v>
      </c>
    </row>
    <row r="5535" spans="3:11" ht="25.8" customHeight="1">
      <c r="C5535" s="213" t="s">
        <v>1215</v>
      </c>
      <c r="D5535" s="212" t="s">
        <v>1216</v>
      </c>
      <c r="E5535" s="534"/>
      <c r="F5535" s="534"/>
      <c r="G5535" s="534"/>
      <c r="H5535" s="534"/>
    </row>
    <row r="5536" spans="3:11" ht="25.8" customHeight="1">
      <c r="C5536" s="702" t="s">
        <v>1217</v>
      </c>
      <c r="D5536" s="815"/>
      <c r="E5536" s="815"/>
      <c r="F5536" s="815"/>
      <c r="G5536" s="209"/>
      <c r="H5536" s="821">
        <f>SUM(H5535)</f>
        <v>0</v>
      </c>
    </row>
    <row r="5537" spans="3:11" ht="25.8" customHeight="1">
      <c r="C5537" s="566" t="s">
        <v>1218</v>
      </c>
      <c r="D5537" s="552" t="s">
        <v>1219</v>
      </c>
      <c r="E5537" s="553"/>
      <c r="F5537" s="553"/>
      <c r="G5537" s="554"/>
      <c r="H5537" s="826">
        <f>H5536+H5534+H5531</f>
        <v>271990</v>
      </c>
      <c r="I5537" s="827"/>
    </row>
    <row r="5538" spans="3:11" ht="25.8" customHeight="1">
      <c r="C5538" s="566" t="s">
        <v>1220</v>
      </c>
      <c r="D5538" s="552" t="s">
        <v>1321</v>
      </c>
      <c r="E5538" s="553"/>
      <c r="F5538" s="554"/>
      <c r="G5538" s="555">
        <f>$M$9</f>
        <v>0.1</v>
      </c>
      <c r="H5538" s="539">
        <f>H5537*G5538</f>
        <v>27199</v>
      </c>
      <c r="I5538" s="827"/>
    </row>
    <row r="5539" spans="3:11" ht="25.8" customHeight="1">
      <c r="C5539" s="566" t="s">
        <v>1221</v>
      </c>
      <c r="D5539" s="552" t="s">
        <v>1222</v>
      </c>
      <c r="E5539" s="553"/>
      <c r="F5539" s="553"/>
      <c r="G5539" s="554"/>
      <c r="H5539" s="828">
        <f>SUM(H5537:H5538)</f>
        <v>299189</v>
      </c>
      <c r="I5539" s="827"/>
    </row>
    <row r="5540" spans="3:11" ht="25.8" customHeight="1"/>
    <row r="5541" spans="3:11" ht="25.8" customHeight="1"/>
    <row r="5542" spans="3:11" ht="25.8" customHeight="1">
      <c r="C5542" s="513" t="s">
        <v>5795</v>
      </c>
      <c r="D5542" s="817" t="s">
        <v>5796</v>
      </c>
      <c r="E5542" s="803"/>
      <c r="F5542" s="803"/>
      <c r="G5542" s="803"/>
      <c r="H5542" s="803"/>
      <c r="I5542" s="533">
        <f>ROUNDDOWN(H5557,-2)</f>
        <v>239900</v>
      </c>
      <c r="J5542" s="536"/>
      <c r="K5542" s="824"/>
    </row>
    <row r="5543" spans="3:11" ht="25.8" customHeight="1">
      <c r="C5543" s="716" t="s">
        <v>1195</v>
      </c>
      <c r="D5543" s="716" t="s">
        <v>1196</v>
      </c>
      <c r="E5543" s="716" t="s">
        <v>1197</v>
      </c>
      <c r="F5543" s="716" t="s">
        <v>1198</v>
      </c>
      <c r="G5543" s="716" t="s">
        <v>1199</v>
      </c>
      <c r="H5543" s="716" t="s">
        <v>1200</v>
      </c>
    </row>
    <row r="5544" spans="3:11" ht="25.8" customHeight="1">
      <c r="C5544" s="213" t="s">
        <v>1201</v>
      </c>
      <c r="D5544" s="212" t="s">
        <v>1202</v>
      </c>
      <c r="E5544" s="534"/>
      <c r="F5544" s="534"/>
      <c r="G5544" s="534"/>
      <c r="H5544" s="534"/>
    </row>
    <row r="5545" spans="3:11" ht="25.8" customHeight="1">
      <c r="C5545" s="818">
        <v>1</v>
      </c>
      <c r="D5545" s="212" t="s">
        <v>5</v>
      </c>
      <c r="E5545" s="212" t="s">
        <v>6</v>
      </c>
      <c r="F5545" s="538">
        <v>0.19</v>
      </c>
      <c r="G5545" s="539">
        <f>VLOOKUP(D5545,upahbahan,3,FALSE)</f>
        <v>100000</v>
      </c>
      <c r="H5545" s="539">
        <f t="shared" ref="H5545:H5548" si="589">F5545*G5545</f>
        <v>19000</v>
      </c>
    </row>
    <row r="5546" spans="3:11" ht="25.8" customHeight="1">
      <c r="C5546" s="818">
        <v>2</v>
      </c>
      <c r="D5546" s="212" t="s">
        <v>3295</v>
      </c>
      <c r="E5546" s="212" t="s">
        <v>6</v>
      </c>
      <c r="F5546" s="538">
        <v>0.318</v>
      </c>
      <c r="G5546" s="539">
        <f>VLOOKUP(D5546,upahbahan,3,FALSE)</f>
        <v>135000</v>
      </c>
      <c r="H5546" s="539">
        <f t="shared" si="589"/>
        <v>42930</v>
      </c>
    </row>
    <row r="5547" spans="3:11" ht="25.8" customHeight="1">
      <c r="C5547" s="818">
        <v>3</v>
      </c>
      <c r="D5547" s="212" t="s">
        <v>18</v>
      </c>
      <c r="E5547" s="212" t="s">
        <v>6</v>
      </c>
      <c r="F5547" s="538">
        <v>3.2000000000000001E-2</v>
      </c>
      <c r="G5547" s="539">
        <f>VLOOKUP(D5547,upahbahan,3,FALSE)</f>
        <v>150000</v>
      </c>
      <c r="H5547" s="539">
        <f t="shared" si="589"/>
        <v>4800</v>
      </c>
    </row>
    <row r="5548" spans="3:11" ht="25.8" customHeight="1">
      <c r="C5548" s="818">
        <v>4</v>
      </c>
      <c r="D5548" s="212" t="s">
        <v>19</v>
      </c>
      <c r="E5548" s="212" t="s">
        <v>6</v>
      </c>
      <c r="F5548" s="538">
        <v>1.0999999999999999E-2</v>
      </c>
      <c r="G5548" s="539">
        <f>VLOOKUP(D5548,upahbahan,3,FALSE)</f>
        <v>160000</v>
      </c>
      <c r="H5548" s="539">
        <f t="shared" si="589"/>
        <v>1760</v>
      </c>
    </row>
    <row r="5549" spans="3:11" ht="25.8" customHeight="1">
      <c r="C5549" s="702" t="s">
        <v>1208</v>
      </c>
      <c r="D5549" s="208"/>
      <c r="E5549" s="208"/>
      <c r="F5549" s="811"/>
      <c r="G5549" s="522"/>
      <c r="H5549" s="539">
        <f>SUM(H5545:H5548)</f>
        <v>68490</v>
      </c>
      <c r="I5549" s="819"/>
    </row>
    <row r="5550" spans="3:11" ht="25.8" customHeight="1">
      <c r="C5550" s="213" t="s">
        <v>1209</v>
      </c>
      <c r="D5550" s="212" t="s">
        <v>1210</v>
      </c>
      <c r="E5550" s="534"/>
      <c r="F5550" s="831"/>
      <c r="G5550" s="534"/>
      <c r="H5550" s="534"/>
    </row>
    <row r="5551" spans="3:11" ht="25.8" customHeight="1">
      <c r="C5551" s="213">
        <v>1</v>
      </c>
      <c r="D5551" s="212" t="s">
        <v>5797</v>
      </c>
      <c r="E5551" s="234" t="s">
        <v>135</v>
      </c>
      <c r="F5551" s="866">
        <v>1.05</v>
      </c>
      <c r="G5551" s="539">
        <f>VLOOKUP(D5551,upahbahan,3,FALSE)</f>
        <v>142500</v>
      </c>
      <c r="H5551" s="539">
        <f>F5551*G5551</f>
        <v>149625</v>
      </c>
    </row>
    <row r="5552" spans="3:11" ht="25.8" customHeight="1">
      <c r="C5552" s="702" t="s">
        <v>1214</v>
      </c>
      <c r="D5552" s="208"/>
      <c r="E5552" s="208"/>
      <c r="F5552" s="208"/>
      <c r="G5552" s="209"/>
      <c r="H5552" s="539">
        <f>SUM(H5551:H5551)</f>
        <v>149625</v>
      </c>
    </row>
    <row r="5553" spans="3:11" ht="25.8" customHeight="1">
      <c r="C5553" s="213" t="s">
        <v>1215</v>
      </c>
      <c r="D5553" s="212" t="s">
        <v>1216</v>
      </c>
      <c r="E5553" s="534"/>
      <c r="F5553" s="534"/>
      <c r="G5553" s="534"/>
      <c r="H5553" s="534"/>
    </row>
    <row r="5554" spans="3:11" ht="25.8" customHeight="1">
      <c r="C5554" s="702" t="s">
        <v>1217</v>
      </c>
      <c r="D5554" s="815"/>
      <c r="E5554" s="815"/>
      <c r="F5554" s="815"/>
      <c r="G5554" s="209"/>
      <c r="H5554" s="821">
        <f>SUM(H5553)</f>
        <v>0</v>
      </c>
    </row>
    <row r="5555" spans="3:11" ht="25.8" customHeight="1">
      <c r="C5555" s="566" t="s">
        <v>1218</v>
      </c>
      <c r="D5555" s="552" t="s">
        <v>1219</v>
      </c>
      <c r="E5555" s="553"/>
      <c r="F5555" s="553"/>
      <c r="G5555" s="554"/>
      <c r="H5555" s="826">
        <f>H5554+H5552+H5549</f>
        <v>218115</v>
      </c>
      <c r="I5555" s="827"/>
    </row>
    <row r="5556" spans="3:11" ht="25.8" customHeight="1">
      <c r="C5556" s="566" t="s">
        <v>1220</v>
      </c>
      <c r="D5556" s="552" t="s">
        <v>1321</v>
      </c>
      <c r="E5556" s="553"/>
      <c r="F5556" s="554"/>
      <c r="G5556" s="555">
        <f>$M$9</f>
        <v>0.1</v>
      </c>
      <c r="H5556" s="539">
        <f>H5555*G5556</f>
        <v>21811.5</v>
      </c>
      <c r="I5556" s="827"/>
    </row>
    <row r="5557" spans="3:11" ht="25.8" customHeight="1">
      <c r="C5557" s="566" t="s">
        <v>1221</v>
      </c>
      <c r="D5557" s="552" t="s">
        <v>1222</v>
      </c>
      <c r="E5557" s="553"/>
      <c r="F5557" s="553"/>
      <c r="G5557" s="554"/>
      <c r="H5557" s="828">
        <f>SUM(H5555:H5556)</f>
        <v>239926.5</v>
      </c>
      <c r="I5557" s="827"/>
    </row>
    <row r="5558" spans="3:11" ht="25.8" customHeight="1"/>
    <row r="5559" spans="3:11" ht="25.8" customHeight="1">
      <c r="C5559" s="513" t="s">
        <v>5798</v>
      </c>
      <c r="D5559" s="817" t="s">
        <v>5801</v>
      </c>
      <c r="E5559" s="803"/>
      <c r="F5559" s="803"/>
      <c r="G5559" s="803"/>
      <c r="H5559" s="803"/>
      <c r="I5559" s="533">
        <f>ROUNDDOWN(H5574,-2)</f>
        <v>404500</v>
      </c>
      <c r="J5559" s="536"/>
      <c r="K5559" s="824"/>
    </row>
    <row r="5560" spans="3:11" ht="25.8" customHeight="1">
      <c r="C5560" s="716" t="s">
        <v>1195</v>
      </c>
      <c r="D5560" s="716" t="s">
        <v>1196</v>
      </c>
      <c r="E5560" s="716" t="s">
        <v>1197</v>
      </c>
      <c r="F5560" s="716" t="s">
        <v>1198</v>
      </c>
      <c r="G5560" s="716" t="s">
        <v>1199</v>
      </c>
      <c r="H5560" s="716" t="s">
        <v>1200</v>
      </c>
    </row>
    <row r="5561" spans="3:11" ht="25.8" customHeight="1">
      <c r="C5561" s="213" t="s">
        <v>1201</v>
      </c>
      <c r="D5561" s="212" t="s">
        <v>1202</v>
      </c>
      <c r="E5561" s="534"/>
      <c r="F5561" s="534"/>
      <c r="G5561" s="534"/>
      <c r="H5561" s="534"/>
    </row>
    <row r="5562" spans="3:11" ht="25.8" customHeight="1">
      <c r="C5562" s="818">
        <v>1</v>
      </c>
      <c r="D5562" s="212" t="s">
        <v>5</v>
      </c>
      <c r="E5562" s="212" t="s">
        <v>6</v>
      </c>
      <c r="F5562" s="538">
        <v>0.19</v>
      </c>
      <c r="G5562" s="539">
        <f>VLOOKUP(D5562,upahbahan,3,FALSE)</f>
        <v>100000</v>
      </c>
      <c r="H5562" s="539">
        <f t="shared" ref="H5562:H5565" si="590">F5562*G5562</f>
        <v>19000</v>
      </c>
    </row>
    <row r="5563" spans="3:11" ht="25.8" customHeight="1">
      <c r="C5563" s="818">
        <v>2</v>
      </c>
      <c r="D5563" s="212" t="s">
        <v>3295</v>
      </c>
      <c r="E5563" s="212" t="s">
        <v>6</v>
      </c>
      <c r="F5563" s="538">
        <v>0.318</v>
      </c>
      <c r="G5563" s="539">
        <f>VLOOKUP(D5563,upahbahan,3,FALSE)</f>
        <v>135000</v>
      </c>
      <c r="H5563" s="539">
        <f t="shared" si="590"/>
        <v>42930</v>
      </c>
    </row>
    <row r="5564" spans="3:11" ht="25.8" customHeight="1">
      <c r="C5564" s="818">
        <v>3</v>
      </c>
      <c r="D5564" s="212" t="s">
        <v>18</v>
      </c>
      <c r="E5564" s="212" t="s">
        <v>6</v>
      </c>
      <c r="F5564" s="538">
        <v>3.2000000000000001E-2</v>
      </c>
      <c r="G5564" s="539">
        <f>VLOOKUP(D5564,upahbahan,3,FALSE)</f>
        <v>150000</v>
      </c>
      <c r="H5564" s="539">
        <f t="shared" si="590"/>
        <v>4800</v>
      </c>
    </row>
    <row r="5565" spans="3:11" ht="25.8" customHeight="1">
      <c r="C5565" s="818">
        <v>4</v>
      </c>
      <c r="D5565" s="212" t="s">
        <v>19</v>
      </c>
      <c r="E5565" s="212" t="s">
        <v>6</v>
      </c>
      <c r="F5565" s="538">
        <v>1.0999999999999999E-2</v>
      </c>
      <c r="G5565" s="539">
        <f>VLOOKUP(D5565,upahbahan,3,FALSE)</f>
        <v>160000</v>
      </c>
      <c r="H5565" s="539">
        <f t="shared" si="590"/>
        <v>1760</v>
      </c>
    </row>
    <row r="5566" spans="3:11" ht="25.8" customHeight="1">
      <c r="C5566" s="702" t="s">
        <v>1208</v>
      </c>
      <c r="D5566" s="208"/>
      <c r="E5566" s="208"/>
      <c r="F5566" s="811"/>
      <c r="G5566" s="522"/>
      <c r="H5566" s="539">
        <f>SUM(H5562:H5565)</f>
        <v>68490</v>
      </c>
      <c r="I5566" s="819"/>
    </row>
    <row r="5567" spans="3:11" ht="25.8" customHeight="1">
      <c r="C5567" s="213" t="s">
        <v>1209</v>
      </c>
      <c r="D5567" s="212" t="s">
        <v>1210</v>
      </c>
      <c r="E5567" s="534"/>
      <c r="F5567" s="831"/>
      <c r="G5567" s="534"/>
      <c r="H5567" s="534"/>
    </row>
    <row r="5568" spans="3:11" ht="25.8" customHeight="1">
      <c r="C5568" s="213">
        <v>1</v>
      </c>
      <c r="D5568" s="212" t="s">
        <v>5799</v>
      </c>
      <c r="E5568" s="234" t="s">
        <v>135</v>
      </c>
      <c r="F5568" s="866">
        <v>1.05</v>
      </c>
      <c r="G5568" s="539">
        <f>VLOOKUP(D5568,upahbahan,3,FALSE)</f>
        <v>285000</v>
      </c>
      <c r="H5568" s="539">
        <f>F5568*G5568</f>
        <v>299250</v>
      </c>
    </row>
    <row r="5569" spans="3:11" ht="25.8" customHeight="1">
      <c r="C5569" s="702" t="s">
        <v>1214</v>
      </c>
      <c r="D5569" s="208"/>
      <c r="E5569" s="208"/>
      <c r="F5569" s="208"/>
      <c r="G5569" s="209"/>
      <c r="H5569" s="539">
        <f>SUM(H5568:H5568)</f>
        <v>299250</v>
      </c>
    </row>
    <row r="5570" spans="3:11" ht="25.8" customHeight="1">
      <c r="C5570" s="213" t="s">
        <v>1215</v>
      </c>
      <c r="D5570" s="212" t="s">
        <v>1216</v>
      </c>
      <c r="E5570" s="534"/>
      <c r="F5570" s="534"/>
      <c r="G5570" s="534"/>
      <c r="H5570" s="534"/>
    </row>
    <row r="5571" spans="3:11" ht="25.8" customHeight="1">
      <c r="C5571" s="702" t="s">
        <v>1217</v>
      </c>
      <c r="D5571" s="815"/>
      <c r="E5571" s="815"/>
      <c r="F5571" s="815"/>
      <c r="G5571" s="209"/>
      <c r="H5571" s="821">
        <f>SUM(H5570)</f>
        <v>0</v>
      </c>
    </row>
    <row r="5572" spans="3:11" ht="25.8" customHeight="1">
      <c r="C5572" s="566" t="s">
        <v>1218</v>
      </c>
      <c r="D5572" s="552" t="s">
        <v>1219</v>
      </c>
      <c r="E5572" s="553"/>
      <c r="F5572" s="553"/>
      <c r="G5572" s="554"/>
      <c r="H5572" s="826">
        <f>H5571+H5569+H5566</f>
        <v>367740</v>
      </c>
      <c r="I5572" s="827"/>
    </row>
    <row r="5573" spans="3:11" ht="25.8" customHeight="1">
      <c r="C5573" s="566" t="s">
        <v>1220</v>
      </c>
      <c r="D5573" s="552" t="s">
        <v>1321</v>
      </c>
      <c r="E5573" s="553"/>
      <c r="F5573" s="554"/>
      <c r="G5573" s="555">
        <f>$M$9</f>
        <v>0.1</v>
      </c>
      <c r="H5573" s="539">
        <f>H5572*G5573</f>
        <v>36774</v>
      </c>
      <c r="I5573" s="827"/>
    </row>
    <row r="5574" spans="3:11" ht="25.8" customHeight="1">
      <c r="C5574" s="566" t="s">
        <v>1221</v>
      </c>
      <c r="D5574" s="552" t="s">
        <v>1222</v>
      </c>
      <c r="E5574" s="553"/>
      <c r="F5574" s="553"/>
      <c r="G5574" s="554"/>
      <c r="H5574" s="828">
        <f>SUM(H5572:H5573)</f>
        <v>404514</v>
      </c>
      <c r="I5574" s="827"/>
    </row>
    <row r="5575" spans="3:11" ht="25.8" customHeight="1"/>
    <row r="5576" spans="3:11" ht="25.8" customHeight="1">
      <c r="C5576" s="513" t="s">
        <v>5800</v>
      </c>
      <c r="D5576" s="817" t="s">
        <v>5802</v>
      </c>
      <c r="E5576" s="803"/>
      <c r="F5576" s="803"/>
      <c r="G5576" s="803"/>
      <c r="H5576" s="803"/>
      <c r="I5576" s="533">
        <f>ROUNDDOWN(H5591,-2)</f>
        <v>225400</v>
      </c>
      <c r="J5576" s="536"/>
      <c r="K5576" s="824"/>
    </row>
    <row r="5577" spans="3:11" ht="25.8" customHeight="1">
      <c r="C5577" s="716" t="s">
        <v>1195</v>
      </c>
      <c r="D5577" s="716" t="s">
        <v>1196</v>
      </c>
      <c r="E5577" s="716" t="s">
        <v>1197</v>
      </c>
      <c r="F5577" s="716" t="s">
        <v>1198</v>
      </c>
      <c r="G5577" s="716" t="s">
        <v>1199</v>
      </c>
      <c r="H5577" s="716" t="s">
        <v>1200</v>
      </c>
    </row>
    <row r="5578" spans="3:11" ht="25.8" customHeight="1">
      <c r="C5578" s="213" t="s">
        <v>1201</v>
      </c>
      <c r="D5578" s="212" t="s">
        <v>1202</v>
      </c>
      <c r="E5578" s="534"/>
      <c r="F5578" s="534"/>
      <c r="G5578" s="534"/>
      <c r="H5578" s="534"/>
    </row>
    <row r="5579" spans="3:11" ht="25.8" customHeight="1">
      <c r="C5579" s="818">
        <v>1</v>
      </c>
      <c r="D5579" s="212" t="s">
        <v>5</v>
      </c>
      <c r="E5579" s="212" t="s">
        <v>6</v>
      </c>
      <c r="F5579" s="538">
        <v>0.19</v>
      </c>
      <c r="G5579" s="539">
        <f>VLOOKUP(D5579,upahbahan,3,FALSE)</f>
        <v>100000</v>
      </c>
      <c r="H5579" s="539">
        <f t="shared" ref="H5579:H5582" si="591">F5579*G5579</f>
        <v>19000</v>
      </c>
    </row>
    <row r="5580" spans="3:11" ht="25.8" customHeight="1">
      <c r="C5580" s="818">
        <v>2</v>
      </c>
      <c r="D5580" s="212" t="s">
        <v>3295</v>
      </c>
      <c r="E5580" s="212" t="s">
        <v>6</v>
      </c>
      <c r="F5580" s="538">
        <v>0.318</v>
      </c>
      <c r="G5580" s="539">
        <f>VLOOKUP(D5580,upahbahan,3,FALSE)</f>
        <v>135000</v>
      </c>
      <c r="H5580" s="539">
        <f t="shared" si="591"/>
        <v>42930</v>
      </c>
    </row>
    <row r="5581" spans="3:11" ht="25.8" customHeight="1">
      <c r="C5581" s="818">
        <v>3</v>
      </c>
      <c r="D5581" s="212" t="s">
        <v>18</v>
      </c>
      <c r="E5581" s="212" t="s">
        <v>6</v>
      </c>
      <c r="F5581" s="538">
        <v>3.2000000000000001E-2</v>
      </c>
      <c r="G5581" s="539">
        <f>VLOOKUP(D5581,upahbahan,3,FALSE)</f>
        <v>150000</v>
      </c>
      <c r="H5581" s="539">
        <f t="shared" si="591"/>
        <v>4800</v>
      </c>
    </row>
    <row r="5582" spans="3:11" ht="25.8" customHeight="1">
      <c r="C5582" s="818">
        <v>4</v>
      </c>
      <c r="D5582" s="212" t="s">
        <v>19</v>
      </c>
      <c r="E5582" s="212" t="s">
        <v>6</v>
      </c>
      <c r="F5582" s="538">
        <v>1.0999999999999999E-2</v>
      </c>
      <c r="G5582" s="539">
        <f>VLOOKUP(D5582,upahbahan,3,FALSE)</f>
        <v>160000</v>
      </c>
      <c r="H5582" s="539">
        <f t="shared" si="591"/>
        <v>1760</v>
      </c>
    </row>
    <row r="5583" spans="3:11" ht="25.8" customHeight="1">
      <c r="C5583" s="702" t="s">
        <v>1208</v>
      </c>
      <c r="D5583" s="208"/>
      <c r="E5583" s="208"/>
      <c r="F5583" s="811"/>
      <c r="G5583" s="522"/>
      <c r="H5583" s="539">
        <f>SUM(H5579:H5582)</f>
        <v>68490</v>
      </c>
      <c r="I5583" s="819"/>
    </row>
    <row r="5584" spans="3:11" ht="25.8" customHeight="1">
      <c r="C5584" s="213" t="s">
        <v>1209</v>
      </c>
      <c r="D5584" s="212" t="s">
        <v>1210</v>
      </c>
      <c r="E5584" s="534"/>
      <c r="F5584" s="831"/>
      <c r="G5584" s="534"/>
      <c r="H5584" s="534"/>
    </row>
    <row r="5585" spans="3:11" ht="25.8" customHeight="1">
      <c r="C5585" s="213">
        <v>1</v>
      </c>
      <c r="D5585" s="212" t="s">
        <v>5728</v>
      </c>
      <c r="E5585" s="234" t="s">
        <v>135</v>
      </c>
      <c r="F5585" s="866">
        <v>1.05</v>
      </c>
      <c r="G5585" s="539">
        <f>VLOOKUP(D5585,upahbahan,3,FALSE)</f>
        <v>130000</v>
      </c>
      <c r="H5585" s="539">
        <f>F5585*G5585</f>
        <v>136500</v>
      </c>
    </row>
    <row r="5586" spans="3:11" ht="25.8" customHeight="1">
      <c r="C5586" s="702" t="s">
        <v>1214</v>
      </c>
      <c r="D5586" s="208"/>
      <c r="E5586" s="208"/>
      <c r="F5586" s="208"/>
      <c r="G5586" s="209"/>
      <c r="H5586" s="539">
        <f>SUM(H5585:H5585)</f>
        <v>136500</v>
      </c>
    </row>
    <row r="5587" spans="3:11" ht="25.8" customHeight="1">
      <c r="C5587" s="213" t="s">
        <v>1215</v>
      </c>
      <c r="D5587" s="212" t="s">
        <v>1216</v>
      </c>
      <c r="E5587" s="534"/>
      <c r="F5587" s="534"/>
      <c r="G5587" s="534"/>
      <c r="H5587" s="534"/>
    </row>
    <row r="5588" spans="3:11" ht="25.8" customHeight="1">
      <c r="C5588" s="702" t="s">
        <v>1217</v>
      </c>
      <c r="D5588" s="815"/>
      <c r="E5588" s="815"/>
      <c r="F5588" s="815"/>
      <c r="G5588" s="209"/>
      <c r="H5588" s="821">
        <f>SUM(H5587)</f>
        <v>0</v>
      </c>
    </row>
    <row r="5589" spans="3:11" ht="25.8" customHeight="1">
      <c r="C5589" s="566" t="s">
        <v>1218</v>
      </c>
      <c r="D5589" s="552" t="s">
        <v>1219</v>
      </c>
      <c r="E5589" s="553"/>
      <c r="F5589" s="553"/>
      <c r="G5589" s="554"/>
      <c r="H5589" s="826">
        <f>H5588+H5586+H5583</f>
        <v>204990</v>
      </c>
      <c r="I5589" s="827"/>
    </row>
    <row r="5590" spans="3:11" ht="25.8" customHeight="1">
      <c r="C5590" s="566" t="s">
        <v>1220</v>
      </c>
      <c r="D5590" s="552" t="s">
        <v>1321</v>
      </c>
      <c r="E5590" s="553"/>
      <c r="F5590" s="554"/>
      <c r="G5590" s="555">
        <f>$M$9</f>
        <v>0.1</v>
      </c>
      <c r="H5590" s="539">
        <f>H5589*G5590</f>
        <v>20499</v>
      </c>
      <c r="I5590" s="827"/>
    </row>
    <row r="5591" spans="3:11" ht="25.8" customHeight="1">
      <c r="C5591" s="566" t="s">
        <v>1221</v>
      </c>
      <c r="D5591" s="552" t="s">
        <v>1222</v>
      </c>
      <c r="E5591" s="553"/>
      <c r="F5591" s="553"/>
      <c r="G5591" s="554"/>
      <c r="H5591" s="828">
        <f>SUM(H5589:H5590)</f>
        <v>225489</v>
      </c>
      <c r="I5591" s="827"/>
    </row>
    <row r="5592" spans="3:11" ht="25.8" customHeight="1"/>
    <row r="5593" spans="3:11" ht="25.8" customHeight="1">
      <c r="C5593" s="513" t="s">
        <v>5803</v>
      </c>
      <c r="D5593" s="817" t="s">
        <v>5804</v>
      </c>
      <c r="E5593" s="803"/>
      <c r="F5593" s="803"/>
      <c r="G5593" s="803"/>
      <c r="H5593" s="803"/>
      <c r="I5593" s="533">
        <f>ROUNDDOWN(H5608,-2)</f>
        <v>276400</v>
      </c>
      <c r="J5593" s="536"/>
      <c r="K5593" s="824"/>
    </row>
    <row r="5594" spans="3:11" ht="25.8" customHeight="1">
      <c r="C5594" s="716" t="s">
        <v>1195</v>
      </c>
      <c r="D5594" s="716" t="s">
        <v>1196</v>
      </c>
      <c r="E5594" s="716" t="s">
        <v>1197</v>
      </c>
      <c r="F5594" s="716" t="s">
        <v>1198</v>
      </c>
      <c r="G5594" s="716" t="s">
        <v>1199</v>
      </c>
      <c r="H5594" s="716" t="s">
        <v>1200</v>
      </c>
    </row>
    <row r="5595" spans="3:11" ht="25.8" customHeight="1">
      <c r="C5595" s="213" t="s">
        <v>1201</v>
      </c>
      <c r="D5595" s="212" t="s">
        <v>1202</v>
      </c>
      <c r="E5595" s="534"/>
      <c r="F5595" s="534"/>
      <c r="G5595" s="534"/>
      <c r="H5595" s="534"/>
    </row>
    <row r="5596" spans="3:11" ht="25.8" customHeight="1">
      <c r="C5596" s="818">
        <v>1</v>
      </c>
      <c r="D5596" s="212" t="s">
        <v>5</v>
      </c>
      <c r="E5596" s="212" t="s">
        <v>6</v>
      </c>
      <c r="F5596" s="538">
        <v>0.13300000000000001</v>
      </c>
      <c r="G5596" s="539">
        <f>VLOOKUP(D5596,upahbahan,3,FALSE)</f>
        <v>100000</v>
      </c>
      <c r="H5596" s="539">
        <f t="shared" ref="H5596:H5599" si="592">F5596*G5596</f>
        <v>13300</v>
      </c>
    </row>
    <row r="5597" spans="3:11" ht="25.8" customHeight="1">
      <c r="C5597" s="818">
        <v>2</v>
      </c>
      <c r="D5597" s="212" t="s">
        <v>3295</v>
      </c>
      <c r="E5597" s="212" t="s">
        <v>6</v>
      </c>
      <c r="F5597" s="538">
        <v>0.223</v>
      </c>
      <c r="G5597" s="539">
        <f>VLOOKUP(D5597,upahbahan,3,FALSE)</f>
        <v>135000</v>
      </c>
      <c r="H5597" s="539">
        <f t="shared" si="592"/>
        <v>30105</v>
      </c>
    </row>
    <row r="5598" spans="3:11" ht="25.8" customHeight="1">
      <c r="C5598" s="818">
        <v>3</v>
      </c>
      <c r="D5598" s="212" t="s">
        <v>18</v>
      </c>
      <c r="E5598" s="212" t="s">
        <v>6</v>
      </c>
      <c r="F5598" s="538">
        <v>2.1999999999999999E-2</v>
      </c>
      <c r="G5598" s="539">
        <f>VLOOKUP(D5598,upahbahan,3,FALSE)</f>
        <v>150000</v>
      </c>
      <c r="H5598" s="539">
        <f t="shared" si="592"/>
        <v>3300</v>
      </c>
    </row>
    <row r="5599" spans="3:11" ht="25.8" customHeight="1">
      <c r="C5599" s="818">
        <v>4</v>
      </c>
      <c r="D5599" s="212" t="s">
        <v>19</v>
      </c>
      <c r="E5599" s="212" t="s">
        <v>6</v>
      </c>
      <c r="F5599" s="538">
        <v>7.0000000000000001E-3</v>
      </c>
      <c r="G5599" s="539">
        <f>VLOOKUP(D5599,upahbahan,3,FALSE)</f>
        <v>160000</v>
      </c>
      <c r="H5599" s="539">
        <f t="shared" si="592"/>
        <v>1120</v>
      </c>
    </row>
    <row r="5600" spans="3:11" ht="25.8" customHeight="1">
      <c r="C5600" s="702" t="s">
        <v>1208</v>
      </c>
      <c r="D5600" s="208"/>
      <c r="E5600" s="208"/>
      <c r="F5600" s="811"/>
      <c r="G5600" s="522"/>
      <c r="H5600" s="539">
        <f>SUM(H5596:H5599)</f>
        <v>47825</v>
      </c>
      <c r="I5600" s="819"/>
    </row>
    <row r="5601" spans="3:11" ht="25.8" customHeight="1">
      <c r="C5601" s="213" t="s">
        <v>1209</v>
      </c>
      <c r="D5601" s="212" t="s">
        <v>1210</v>
      </c>
      <c r="E5601" s="534"/>
      <c r="F5601" s="831"/>
      <c r="G5601" s="534"/>
      <c r="H5601" s="534"/>
    </row>
    <row r="5602" spans="3:11" ht="25.8" customHeight="1">
      <c r="C5602" s="213">
        <v>1</v>
      </c>
      <c r="D5602" s="212" t="s">
        <v>5805</v>
      </c>
      <c r="E5602" s="234" t="s">
        <v>135</v>
      </c>
      <c r="F5602" s="866">
        <v>1.1000000000000001</v>
      </c>
      <c r="G5602" s="539">
        <f>VLOOKUP(D5602,upahbahan,3,FALSE)</f>
        <v>185000</v>
      </c>
      <c r="H5602" s="539">
        <f>F5602*G5602</f>
        <v>203500.00000000003</v>
      </c>
    </row>
    <row r="5603" spans="3:11" ht="25.8" customHeight="1">
      <c r="C5603" s="702" t="s">
        <v>1214</v>
      </c>
      <c r="D5603" s="208"/>
      <c r="E5603" s="208"/>
      <c r="F5603" s="208"/>
      <c r="G5603" s="209"/>
      <c r="H5603" s="539">
        <f>SUM(H5602:H5602)</f>
        <v>203500.00000000003</v>
      </c>
    </row>
    <row r="5604" spans="3:11" ht="25.8" customHeight="1">
      <c r="C5604" s="213" t="s">
        <v>1215</v>
      </c>
      <c r="D5604" s="212" t="s">
        <v>1216</v>
      </c>
      <c r="E5604" s="534"/>
      <c r="F5604" s="534"/>
      <c r="G5604" s="534"/>
      <c r="H5604" s="534"/>
    </row>
    <row r="5605" spans="3:11" ht="25.8" customHeight="1">
      <c r="C5605" s="702" t="s">
        <v>1217</v>
      </c>
      <c r="D5605" s="815"/>
      <c r="E5605" s="815"/>
      <c r="F5605" s="815"/>
      <c r="G5605" s="209"/>
      <c r="H5605" s="821">
        <f>SUM(H5604)</f>
        <v>0</v>
      </c>
    </row>
    <row r="5606" spans="3:11" ht="25.8" customHeight="1">
      <c r="C5606" s="566" t="s">
        <v>1218</v>
      </c>
      <c r="D5606" s="552" t="s">
        <v>1219</v>
      </c>
      <c r="E5606" s="553"/>
      <c r="F5606" s="553"/>
      <c r="G5606" s="554"/>
      <c r="H5606" s="826">
        <f>H5605+H5603+H5600</f>
        <v>251325.00000000003</v>
      </c>
      <c r="I5606" s="827"/>
    </row>
    <row r="5607" spans="3:11" ht="25.8" customHeight="1">
      <c r="C5607" s="566" t="s">
        <v>1220</v>
      </c>
      <c r="D5607" s="552" t="s">
        <v>1321</v>
      </c>
      <c r="E5607" s="553"/>
      <c r="F5607" s="554"/>
      <c r="G5607" s="555">
        <f>$M$9</f>
        <v>0.1</v>
      </c>
      <c r="H5607" s="539">
        <f>H5606*G5607</f>
        <v>25132.500000000004</v>
      </c>
      <c r="I5607" s="827"/>
    </row>
    <row r="5608" spans="3:11" ht="25.8" customHeight="1">
      <c r="C5608" s="566" t="s">
        <v>1221</v>
      </c>
      <c r="D5608" s="552" t="s">
        <v>1222</v>
      </c>
      <c r="E5608" s="553"/>
      <c r="F5608" s="553"/>
      <c r="G5608" s="554"/>
      <c r="H5608" s="828">
        <f>SUM(H5606:H5607)</f>
        <v>276457.50000000006</v>
      </c>
      <c r="I5608" s="827"/>
    </row>
    <row r="5609" spans="3:11" ht="25.8" customHeight="1"/>
    <row r="5610" spans="3:11" ht="25.8" customHeight="1">
      <c r="C5610" s="513" t="s">
        <v>5806</v>
      </c>
      <c r="D5610" s="817" t="s">
        <v>5807</v>
      </c>
      <c r="E5610" s="803"/>
      <c r="F5610" s="803"/>
      <c r="G5610" s="803"/>
      <c r="H5610" s="803"/>
      <c r="I5610" s="533">
        <f>ROUNDDOWN(H5625,-2)</f>
        <v>906300</v>
      </c>
      <c r="J5610" s="536"/>
      <c r="K5610" s="824"/>
    </row>
    <row r="5611" spans="3:11" ht="25.8" customHeight="1">
      <c r="C5611" s="716" t="s">
        <v>1195</v>
      </c>
      <c r="D5611" s="716" t="s">
        <v>1196</v>
      </c>
      <c r="E5611" s="716" t="s">
        <v>1197</v>
      </c>
      <c r="F5611" s="716" t="s">
        <v>1198</v>
      </c>
      <c r="G5611" s="716" t="s">
        <v>1199</v>
      </c>
      <c r="H5611" s="716" t="s">
        <v>1200</v>
      </c>
    </row>
    <row r="5612" spans="3:11" ht="25.8" customHeight="1">
      <c r="C5612" s="213" t="s">
        <v>1201</v>
      </c>
      <c r="D5612" s="212" t="s">
        <v>1202</v>
      </c>
      <c r="E5612" s="534"/>
      <c r="F5612" s="534"/>
      <c r="G5612" s="534"/>
      <c r="H5612" s="534"/>
    </row>
    <row r="5613" spans="3:11" ht="25.8" customHeight="1">
      <c r="C5613" s="818">
        <v>1</v>
      </c>
      <c r="D5613" s="212" t="s">
        <v>5</v>
      </c>
      <c r="E5613" s="212" t="s">
        <v>6</v>
      </c>
      <c r="F5613" s="538">
        <v>0.18099999999999999</v>
      </c>
      <c r="G5613" s="539">
        <f>VLOOKUP(D5613,upahbahan,3,FALSE)</f>
        <v>100000</v>
      </c>
      <c r="H5613" s="539">
        <f t="shared" ref="H5613:H5616" si="593">F5613*G5613</f>
        <v>18100</v>
      </c>
    </row>
    <row r="5614" spans="3:11" ht="25.8" customHeight="1">
      <c r="C5614" s="818">
        <v>2</v>
      </c>
      <c r="D5614" s="212" t="s">
        <v>3295</v>
      </c>
      <c r="E5614" s="212" t="s">
        <v>6</v>
      </c>
      <c r="F5614" s="538">
        <v>0.30199999999999999</v>
      </c>
      <c r="G5614" s="539">
        <f>VLOOKUP(D5614,upahbahan,3,FALSE)</f>
        <v>135000</v>
      </c>
      <c r="H5614" s="539">
        <f t="shared" si="593"/>
        <v>40770</v>
      </c>
    </row>
    <row r="5615" spans="3:11" ht="25.8" customHeight="1">
      <c r="C5615" s="818">
        <v>3</v>
      </c>
      <c r="D5615" s="212" t="s">
        <v>18</v>
      </c>
      <c r="E5615" s="212" t="s">
        <v>6</v>
      </c>
      <c r="F5615" s="538">
        <v>0.03</v>
      </c>
      <c r="G5615" s="539">
        <f>VLOOKUP(D5615,upahbahan,3,FALSE)</f>
        <v>150000</v>
      </c>
      <c r="H5615" s="539">
        <f t="shared" si="593"/>
        <v>4500</v>
      </c>
    </row>
    <row r="5616" spans="3:11" ht="25.8" customHeight="1">
      <c r="C5616" s="818">
        <v>4</v>
      </c>
      <c r="D5616" s="212" t="s">
        <v>19</v>
      </c>
      <c r="E5616" s="212" t="s">
        <v>6</v>
      </c>
      <c r="F5616" s="538">
        <v>0.01</v>
      </c>
      <c r="G5616" s="539">
        <f>VLOOKUP(D5616,upahbahan,3,FALSE)</f>
        <v>160000</v>
      </c>
      <c r="H5616" s="539">
        <f t="shared" si="593"/>
        <v>1600</v>
      </c>
    </row>
    <row r="5617" spans="3:11" ht="25.8" customHeight="1">
      <c r="C5617" s="702" t="s">
        <v>1208</v>
      </c>
      <c r="D5617" s="208"/>
      <c r="E5617" s="208"/>
      <c r="F5617" s="811"/>
      <c r="G5617" s="522"/>
      <c r="H5617" s="539">
        <f>SUM(H5613:H5616)</f>
        <v>64970</v>
      </c>
      <c r="I5617" s="819"/>
    </row>
    <row r="5618" spans="3:11" ht="25.8" customHeight="1">
      <c r="C5618" s="213" t="s">
        <v>1209</v>
      </c>
      <c r="D5618" s="212" t="s">
        <v>1210</v>
      </c>
      <c r="E5618" s="534"/>
      <c r="F5618" s="831"/>
      <c r="G5618" s="534"/>
      <c r="H5618" s="534"/>
    </row>
    <row r="5619" spans="3:11" ht="25.8" customHeight="1">
      <c r="C5619" s="213">
        <v>1</v>
      </c>
      <c r="D5619" s="212" t="s">
        <v>5808</v>
      </c>
      <c r="E5619" s="234" t="s">
        <v>135</v>
      </c>
      <c r="F5619" s="866">
        <v>1.1000000000000001</v>
      </c>
      <c r="G5619" s="539">
        <f>VLOOKUP(D5619,upahbahan,3,FALSE)</f>
        <v>690000</v>
      </c>
      <c r="H5619" s="539">
        <f>F5619*G5619</f>
        <v>759000.00000000012</v>
      </c>
    </row>
    <row r="5620" spans="3:11" ht="25.8" customHeight="1">
      <c r="C5620" s="702" t="s">
        <v>1214</v>
      </c>
      <c r="D5620" s="208"/>
      <c r="E5620" s="208"/>
      <c r="F5620" s="208"/>
      <c r="G5620" s="209"/>
      <c r="H5620" s="539">
        <f>SUM(H5619:H5619)</f>
        <v>759000.00000000012</v>
      </c>
    </row>
    <row r="5621" spans="3:11" ht="25.8" customHeight="1">
      <c r="C5621" s="213" t="s">
        <v>1215</v>
      </c>
      <c r="D5621" s="212" t="s">
        <v>1216</v>
      </c>
      <c r="E5621" s="534"/>
      <c r="F5621" s="534"/>
      <c r="G5621" s="534"/>
      <c r="H5621" s="534"/>
    </row>
    <row r="5622" spans="3:11" ht="25.8" customHeight="1">
      <c r="C5622" s="702" t="s">
        <v>1217</v>
      </c>
      <c r="D5622" s="815"/>
      <c r="E5622" s="815"/>
      <c r="F5622" s="815"/>
      <c r="G5622" s="209"/>
      <c r="H5622" s="821">
        <f>SUM(H5621)</f>
        <v>0</v>
      </c>
    </row>
    <row r="5623" spans="3:11" ht="25.8" customHeight="1">
      <c r="C5623" s="566" t="s">
        <v>1218</v>
      </c>
      <c r="D5623" s="552" t="s">
        <v>1219</v>
      </c>
      <c r="E5623" s="553"/>
      <c r="F5623" s="553"/>
      <c r="G5623" s="554"/>
      <c r="H5623" s="826">
        <f>H5622+H5620+H5617</f>
        <v>823970.00000000012</v>
      </c>
      <c r="I5623" s="827"/>
    </row>
    <row r="5624" spans="3:11" ht="25.8" customHeight="1">
      <c r="C5624" s="566" t="s">
        <v>1220</v>
      </c>
      <c r="D5624" s="552" t="s">
        <v>1321</v>
      </c>
      <c r="E5624" s="553"/>
      <c r="F5624" s="554"/>
      <c r="G5624" s="555">
        <f>$M$9</f>
        <v>0.1</v>
      </c>
      <c r="H5624" s="539">
        <f>H5623*G5624</f>
        <v>82397.000000000015</v>
      </c>
      <c r="I5624" s="827"/>
    </row>
    <row r="5625" spans="3:11" ht="25.8" customHeight="1">
      <c r="C5625" s="566" t="s">
        <v>1221</v>
      </c>
      <c r="D5625" s="552" t="s">
        <v>1222</v>
      </c>
      <c r="E5625" s="553"/>
      <c r="F5625" s="553"/>
      <c r="G5625" s="554"/>
      <c r="H5625" s="828">
        <f>SUM(H5623:H5624)</f>
        <v>906367.00000000012</v>
      </c>
      <c r="I5625" s="827"/>
    </row>
    <row r="5626" spans="3:11" ht="25.8" customHeight="1"/>
    <row r="5627" spans="3:11" ht="25.8" customHeight="1">
      <c r="C5627" s="513" t="s">
        <v>5809</v>
      </c>
      <c r="D5627" s="817" t="s">
        <v>5810</v>
      </c>
      <c r="E5627" s="803"/>
      <c r="F5627" s="803"/>
      <c r="G5627" s="803"/>
      <c r="H5627" s="803"/>
      <c r="I5627" s="533">
        <f>ROUNDDOWN(H5642,-2)</f>
        <v>1265500</v>
      </c>
      <c r="J5627" s="536"/>
      <c r="K5627" s="824"/>
    </row>
    <row r="5628" spans="3:11" ht="25.8" customHeight="1">
      <c r="C5628" s="716" t="s">
        <v>1195</v>
      </c>
      <c r="D5628" s="716" t="s">
        <v>1196</v>
      </c>
      <c r="E5628" s="716" t="s">
        <v>1197</v>
      </c>
      <c r="F5628" s="716" t="s">
        <v>1198</v>
      </c>
      <c r="G5628" s="716" t="s">
        <v>1199</v>
      </c>
      <c r="H5628" s="716" t="s">
        <v>1200</v>
      </c>
    </row>
    <row r="5629" spans="3:11" ht="25.8" customHeight="1">
      <c r="C5629" s="213" t="s">
        <v>1201</v>
      </c>
      <c r="D5629" s="212" t="s">
        <v>1202</v>
      </c>
      <c r="E5629" s="534"/>
      <c r="F5629" s="534"/>
      <c r="G5629" s="534"/>
      <c r="H5629" s="534"/>
    </row>
    <row r="5630" spans="3:11" ht="25.8" customHeight="1">
      <c r="C5630" s="818">
        <v>1</v>
      </c>
      <c r="D5630" s="212" t="s">
        <v>5</v>
      </c>
      <c r="E5630" s="212" t="s">
        <v>6</v>
      </c>
      <c r="F5630" s="538">
        <v>0.25700000000000001</v>
      </c>
      <c r="G5630" s="539">
        <f>VLOOKUP(D5630,upahbahan,3,FALSE)</f>
        <v>100000</v>
      </c>
      <c r="H5630" s="539">
        <f t="shared" ref="H5630:H5633" si="594">F5630*G5630</f>
        <v>25700</v>
      </c>
    </row>
    <row r="5631" spans="3:11" ht="25.8" customHeight="1">
      <c r="C5631" s="818">
        <v>2</v>
      </c>
      <c r="D5631" s="212" t="s">
        <v>3295</v>
      </c>
      <c r="E5631" s="212" t="s">
        <v>6</v>
      </c>
      <c r="F5631" s="538">
        <v>0.42899999999999999</v>
      </c>
      <c r="G5631" s="539">
        <f>VLOOKUP(D5631,upahbahan,3,FALSE)</f>
        <v>135000</v>
      </c>
      <c r="H5631" s="539">
        <f t="shared" si="594"/>
        <v>57915</v>
      </c>
    </row>
    <row r="5632" spans="3:11" ht="25.8" customHeight="1">
      <c r="C5632" s="818">
        <v>3</v>
      </c>
      <c r="D5632" s="212" t="s">
        <v>18</v>
      </c>
      <c r="E5632" s="212" t="s">
        <v>6</v>
      </c>
      <c r="F5632" s="538">
        <v>4.2999999999999997E-2</v>
      </c>
      <c r="G5632" s="539">
        <f>VLOOKUP(D5632,upahbahan,3,FALSE)</f>
        <v>150000</v>
      </c>
      <c r="H5632" s="539">
        <f t="shared" si="594"/>
        <v>6449.9999999999991</v>
      </c>
    </row>
    <row r="5633" spans="3:11" ht="25.8" customHeight="1">
      <c r="C5633" s="818">
        <v>4</v>
      </c>
      <c r="D5633" s="212" t="s">
        <v>19</v>
      </c>
      <c r="E5633" s="212" t="s">
        <v>6</v>
      </c>
      <c r="F5633" s="538">
        <v>1.4E-2</v>
      </c>
      <c r="G5633" s="539">
        <f>VLOOKUP(D5633,upahbahan,3,FALSE)</f>
        <v>160000</v>
      </c>
      <c r="H5633" s="539">
        <f t="shared" si="594"/>
        <v>2240</v>
      </c>
    </row>
    <row r="5634" spans="3:11" ht="25.8" customHeight="1">
      <c r="C5634" s="702" t="s">
        <v>1208</v>
      </c>
      <c r="D5634" s="208"/>
      <c r="E5634" s="208"/>
      <c r="F5634" s="811"/>
      <c r="G5634" s="522"/>
      <c r="H5634" s="539">
        <f>SUM(H5630:H5633)</f>
        <v>92305</v>
      </c>
      <c r="I5634" s="819"/>
    </row>
    <row r="5635" spans="3:11" ht="25.8" customHeight="1">
      <c r="C5635" s="213" t="s">
        <v>1209</v>
      </c>
      <c r="D5635" s="212" t="s">
        <v>1210</v>
      </c>
      <c r="E5635" s="534"/>
      <c r="F5635" s="831"/>
      <c r="G5635" s="534"/>
      <c r="H5635" s="534"/>
    </row>
    <row r="5636" spans="3:11" ht="25.8" customHeight="1">
      <c r="C5636" s="213">
        <v>1</v>
      </c>
      <c r="D5636" s="212" t="s">
        <v>5811</v>
      </c>
      <c r="E5636" s="234" t="s">
        <v>135</v>
      </c>
      <c r="F5636" s="866">
        <v>1.1000000000000001</v>
      </c>
      <c r="G5636" s="539">
        <f>VLOOKUP(D5636,upahbahan,3,FALSE)</f>
        <v>962000</v>
      </c>
      <c r="H5636" s="539">
        <f>F5636*G5636</f>
        <v>1058200</v>
      </c>
    </row>
    <row r="5637" spans="3:11" ht="25.8" customHeight="1">
      <c r="C5637" s="702" t="s">
        <v>1214</v>
      </c>
      <c r="D5637" s="208"/>
      <c r="E5637" s="208"/>
      <c r="F5637" s="208"/>
      <c r="G5637" s="209"/>
      <c r="H5637" s="539">
        <f>SUM(H5636:H5636)</f>
        <v>1058200</v>
      </c>
    </row>
    <row r="5638" spans="3:11" ht="25.8" customHeight="1">
      <c r="C5638" s="213" t="s">
        <v>1215</v>
      </c>
      <c r="D5638" s="212" t="s">
        <v>1216</v>
      </c>
      <c r="E5638" s="534"/>
      <c r="F5638" s="534"/>
      <c r="G5638" s="534"/>
      <c r="H5638" s="534"/>
    </row>
    <row r="5639" spans="3:11" ht="25.8" customHeight="1">
      <c r="C5639" s="702" t="s">
        <v>1217</v>
      </c>
      <c r="D5639" s="815"/>
      <c r="E5639" s="815"/>
      <c r="F5639" s="815"/>
      <c r="G5639" s="209"/>
      <c r="H5639" s="821">
        <f>SUM(H5638)</f>
        <v>0</v>
      </c>
    </row>
    <row r="5640" spans="3:11" ht="25.8" customHeight="1">
      <c r="C5640" s="566" t="s">
        <v>1218</v>
      </c>
      <c r="D5640" s="552" t="s">
        <v>1219</v>
      </c>
      <c r="E5640" s="553"/>
      <c r="F5640" s="553"/>
      <c r="G5640" s="554"/>
      <c r="H5640" s="826">
        <f>H5639+H5637+H5634</f>
        <v>1150505</v>
      </c>
      <c r="I5640" s="827"/>
    </row>
    <row r="5641" spans="3:11" ht="25.8" customHeight="1">
      <c r="C5641" s="566" t="s">
        <v>1220</v>
      </c>
      <c r="D5641" s="552" t="s">
        <v>1321</v>
      </c>
      <c r="E5641" s="553"/>
      <c r="F5641" s="554"/>
      <c r="G5641" s="555">
        <f>$M$9</f>
        <v>0.1</v>
      </c>
      <c r="H5641" s="539">
        <f>H5640*G5641</f>
        <v>115050.5</v>
      </c>
      <c r="I5641" s="827"/>
    </row>
    <row r="5642" spans="3:11" ht="25.8" customHeight="1">
      <c r="C5642" s="566" t="s">
        <v>1221</v>
      </c>
      <c r="D5642" s="552" t="s">
        <v>1222</v>
      </c>
      <c r="E5642" s="553"/>
      <c r="F5642" s="553"/>
      <c r="G5642" s="554"/>
      <c r="H5642" s="828">
        <f>SUM(H5640:H5641)</f>
        <v>1265555.5</v>
      </c>
      <c r="I5642" s="827"/>
    </row>
    <row r="5643" spans="3:11" ht="25.8" customHeight="1"/>
    <row r="5644" spans="3:11" ht="25.8" customHeight="1">
      <c r="C5644" s="571" t="s">
        <v>3566</v>
      </c>
      <c r="D5644" s="571" t="s">
        <v>5812</v>
      </c>
    </row>
    <row r="5645" spans="3:11" ht="25.8" customHeight="1">
      <c r="C5645" s="571" t="s">
        <v>3567</v>
      </c>
      <c r="D5645" s="571" t="s">
        <v>5813</v>
      </c>
    </row>
    <row r="5646" spans="3:11" ht="25.8" customHeight="1">
      <c r="C5646" s="513" t="s">
        <v>3568</v>
      </c>
      <c r="D5646" s="817" t="s">
        <v>5814</v>
      </c>
      <c r="E5646" s="803"/>
      <c r="F5646" s="803"/>
      <c r="G5646" s="803"/>
      <c r="H5646" s="803"/>
      <c r="I5646" s="533">
        <f>ROUNDDOWN(H5670,-2)</f>
        <v>666700</v>
      </c>
      <c r="J5646" s="536"/>
      <c r="K5646" s="824"/>
    </row>
    <row r="5647" spans="3:11" ht="25.8" customHeight="1">
      <c r="C5647" s="716" t="s">
        <v>1195</v>
      </c>
      <c r="D5647" s="716" t="s">
        <v>1196</v>
      </c>
      <c r="E5647" s="716" t="s">
        <v>1197</v>
      </c>
      <c r="F5647" s="716" t="s">
        <v>1198</v>
      </c>
      <c r="G5647" s="716" t="s">
        <v>1199</v>
      </c>
      <c r="H5647" s="716" t="s">
        <v>1200</v>
      </c>
    </row>
    <row r="5648" spans="3:11" ht="25.8" customHeight="1">
      <c r="C5648" s="213" t="s">
        <v>1201</v>
      </c>
      <c r="D5648" s="212" t="s">
        <v>1202</v>
      </c>
      <c r="E5648" s="534"/>
      <c r="F5648" s="534"/>
      <c r="G5648" s="534"/>
      <c r="H5648" s="534"/>
    </row>
    <row r="5649" spans="3:9" ht="25.8" customHeight="1">
      <c r="C5649" s="818">
        <v>1</v>
      </c>
      <c r="D5649" s="212" t="s">
        <v>5</v>
      </c>
      <c r="E5649" s="212" t="s">
        <v>6</v>
      </c>
      <c r="F5649" s="538">
        <v>0.19</v>
      </c>
      <c r="G5649" s="539">
        <f>VLOOKUP(D5649,upahbahan,3,FALSE)</f>
        <v>100000</v>
      </c>
      <c r="H5649" s="539">
        <f t="shared" ref="H5649:H5652" si="595">F5649*G5649</f>
        <v>19000</v>
      </c>
    </row>
    <row r="5650" spans="3:9" ht="25.8" customHeight="1">
      <c r="C5650" s="818">
        <v>2</v>
      </c>
      <c r="D5650" s="212" t="s">
        <v>3295</v>
      </c>
      <c r="E5650" s="212" t="s">
        <v>6</v>
      </c>
      <c r="F5650" s="538">
        <v>0.318</v>
      </c>
      <c r="G5650" s="539">
        <f>VLOOKUP(D5650,upahbahan,3,FALSE)</f>
        <v>135000</v>
      </c>
      <c r="H5650" s="539">
        <f t="shared" si="595"/>
        <v>42930</v>
      </c>
    </row>
    <row r="5651" spans="3:9" ht="25.8" customHeight="1">
      <c r="C5651" s="818">
        <v>3</v>
      </c>
      <c r="D5651" s="212" t="s">
        <v>18</v>
      </c>
      <c r="E5651" s="212" t="s">
        <v>6</v>
      </c>
      <c r="F5651" s="538">
        <v>3.2000000000000001E-2</v>
      </c>
      <c r="G5651" s="539">
        <f>VLOOKUP(D5651,upahbahan,3,FALSE)</f>
        <v>150000</v>
      </c>
      <c r="H5651" s="539">
        <f t="shared" si="595"/>
        <v>4800</v>
      </c>
    </row>
    <row r="5652" spans="3:9" ht="25.8" customHeight="1">
      <c r="C5652" s="818">
        <v>4</v>
      </c>
      <c r="D5652" s="212" t="s">
        <v>19</v>
      </c>
      <c r="E5652" s="212" t="s">
        <v>6</v>
      </c>
      <c r="F5652" s="538">
        <v>1.0999999999999999E-2</v>
      </c>
      <c r="G5652" s="539">
        <f>VLOOKUP(D5652,upahbahan,3,FALSE)</f>
        <v>160000</v>
      </c>
      <c r="H5652" s="539">
        <f t="shared" si="595"/>
        <v>1760</v>
      </c>
    </row>
    <row r="5653" spans="3:9" ht="25.8" customHeight="1">
      <c r="C5653" s="702" t="s">
        <v>1208</v>
      </c>
      <c r="D5653" s="208"/>
      <c r="E5653" s="208"/>
      <c r="F5653" s="811"/>
      <c r="G5653" s="522"/>
      <c r="H5653" s="539">
        <f>SUM(H5649:H5652)</f>
        <v>68490</v>
      </c>
      <c r="I5653" s="819"/>
    </row>
    <row r="5654" spans="3:9" ht="25.8" customHeight="1">
      <c r="C5654" s="213" t="s">
        <v>1209</v>
      </c>
      <c r="D5654" s="212" t="s">
        <v>1210</v>
      </c>
      <c r="E5654" s="534"/>
      <c r="F5654" s="831"/>
      <c r="G5654" s="534"/>
      <c r="H5654" s="534"/>
    </row>
    <row r="5655" spans="3:9" ht="25.8" customHeight="1">
      <c r="C5655" s="213">
        <v>1</v>
      </c>
      <c r="D5655" s="212" t="s">
        <v>889</v>
      </c>
      <c r="E5655" s="234" t="s">
        <v>1300</v>
      </c>
      <c r="F5655" s="866">
        <v>8.8000000000000007</v>
      </c>
      <c r="G5655" s="539">
        <f t="shared" ref="G5655:G5664" si="596">VLOOKUP(D5655,upahbahan,3,FALSE)</f>
        <v>16110</v>
      </c>
      <c r="H5655" s="539">
        <f t="shared" ref="H5655:H5664" si="597">F5655*G5655</f>
        <v>141768</v>
      </c>
    </row>
    <row r="5656" spans="3:9" ht="25.8" customHeight="1">
      <c r="C5656" s="213">
        <v>2</v>
      </c>
      <c r="D5656" s="212" t="s">
        <v>3542</v>
      </c>
      <c r="E5656" s="234" t="s">
        <v>1300</v>
      </c>
      <c r="F5656" s="866">
        <v>8.8000000000000007</v>
      </c>
      <c r="G5656" s="539">
        <f t="shared" si="596"/>
        <v>16195.5</v>
      </c>
      <c r="H5656" s="539">
        <f t="shared" si="597"/>
        <v>142520.40000000002</v>
      </c>
    </row>
    <row r="5657" spans="3:9" ht="25.8" customHeight="1">
      <c r="C5657" s="213">
        <v>3</v>
      </c>
      <c r="D5657" s="212" t="s">
        <v>3540</v>
      </c>
      <c r="E5657" s="234" t="s">
        <v>44</v>
      </c>
      <c r="F5657" s="866">
        <v>1</v>
      </c>
      <c r="G5657" s="539">
        <f t="shared" si="596"/>
        <v>3600</v>
      </c>
      <c r="H5657" s="539">
        <f t="shared" si="597"/>
        <v>3600</v>
      </c>
    </row>
    <row r="5658" spans="3:9" ht="25.8" customHeight="1">
      <c r="C5658" s="213">
        <v>4</v>
      </c>
      <c r="D5658" s="212" t="s">
        <v>3541</v>
      </c>
      <c r="E5658" s="234" t="s">
        <v>44</v>
      </c>
      <c r="F5658" s="866">
        <v>5</v>
      </c>
      <c r="G5658" s="539">
        <f t="shared" si="596"/>
        <v>700</v>
      </c>
      <c r="H5658" s="539">
        <f t="shared" si="597"/>
        <v>3500</v>
      </c>
    </row>
    <row r="5659" spans="3:9" ht="25.8" customHeight="1">
      <c r="C5659" s="213">
        <v>5</v>
      </c>
      <c r="D5659" s="212" t="s">
        <v>5816</v>
      </c>
      <c r="E5659" s="234" t="s">
        <v>44</v>
      </c>
      <c r="F5659" s="866">
        <v>10</v>
      </c>
      <c r="G5659" s="539">
        <f t="shared" si="596"/>
        <v>891</v>
      </c>
      <c r="H5659" s="539">
        <f t="shared" si="597"/>
        <v>8910</v>
      </c>
    </row>
    <row r="5660" spans="3:9" ht="25.8" customHeight="1">
      <c r="C5660" s="213">
        <v>6</v>
      </c>
      <c r="D5660" s="212" t="s">
        <v>3545</v>
      </c>
      <c r="E5660" s="234" t="s">
        <v>44</v>
      </c>
      <c r="F5660" s="866">
        <v>15</v>
      </c>
      <c r="G5660" s="539">
        <f t="shared" si="596"/>
        <v>14850</v>
      </c>
      <c r="H5660" s="539">
        <f t="shared" si="597"/>
        <v>222750</v>
      </c>
    </row>
    <row r="5661" spans="3:9" ht="25.8" customHeight="1">
      <c r="C5661" s="213">
        <v>7</v>
      </c>
      <c r="D5661" s="212" t="s">
        <v>5818</v>
      </c>
      <c r="E5661" s="234" t="s">
        <v>1300</v>
      </c>
      <c r="F5661" s="866">
        <v>1</v>
      </c>
      <c r="G5661" s="539">
        <f t="shared" si="596"/>
        <v>952.2</v>
      </c>
      <c r="H5661" s="539">
        <f t="shared" si="597"/>
        <v>952.2</v>
      </c>
    </row>
    <row r="5662" spans="3:9" ht="25.8" customHeight="1">
      <c r="C5662" s="213">
        <v>8</v>
      </c>
      <c r="D5662" s="212" t="s">
        <v>3537</v>
      </c>
      <c r="E5662" s="234" t="s">
        <v>44</v>
      </c>
      <c r="F5662" s="866">
        <v>4</v>
      </c>
      <c r="G5662" s="539">
        <f t="shared" si="596"/>
        <v>2700</v>
      </c>
      <c r="H5662" s="539">
        <f t="shared" si="597"/>
        <v>10800</v>
      </c>
    </row>
    <row r="5663" spans="3:9" ht="25.8" customHeight="1">
      <c r="C5663" s="213">
        <v>9</v>
      </c>
      <c r="D5663" s="212" t="s">
        <v>3538</v>
      </c>
      <c r="E5663" s="234" t="s">
        <v>5815</v>
      </c>
      <c r="F5663" s="866">
        <v>0.5</v>
      </c>
      <c r="G5663" s="539">
        <f t="shared" si="596"/>
        <v>1080</v>
      </c>
      <c r="H5663" s="539">
        <f t="shared" si="597"/>
        <v>540</v>
      </c>
    </row>
    <row r="5664" spans="3:9" ht="25.8" customHeight="1">
      <c r="C5664" s="213">
        <v>10</v>
      </c>
      <c r="D5664" s="212" t="s">
        <v>3544</v>
      </c>
      <c r="E5664" s="234" t="s">
        <v>44</v>
      </c>
      <c r="F5664" s="866">
        <v>4</v>
      </c>
      <c r="G5664" s="539">
        <f t="shared" si="596"/>
        <v>580</v>
      </c>
      <c r="H5664" s="539">
        <f t="shared" si="597"/>
        <v>2320</v>
      </c>
    </row>
    <row r="5665" spans="3:11" ht="25.8" customHeight="1">
      <c r="C5665" s="702" t="s">
        <v>1214</v>
      </c>
      <c r="D5665" s="208"/>
      <c r="E5665" s="208"/>
      <c r="F5665" s="208"/>
      <c r="G5665" s="209"/>
      <c r="H5665" s="539">
        <f>SUM(H5655:H5664)</f>
        <v>537660.60000000009</v>
      </c>
    </row>
    <row r="5666" spans="3:11" ht="25.8" customHeight="1">
      <c r="C5666" s="213" t="s">
        <v>1215</v>
      </c>
      <c r="D5666" s="212" t="s">
        <v>1216</v>
      </c>
      <c r="E5666" s="534"/>
      <c r="F5666" s="534"/>
      <c r="G5666" s="534"/>
      <c r="H5666" s="534"/>
    </row>
    <row r="5667" spans="3:11" ht="25.8" customHeight="1">
      <c r="C5667" s="702" t="s">
        <v>1217</v>
      </c>
      <c r="D5667" s="815"/>
      <c r="E5667" s="815"/>
      <c r="F5667" s="815"/>
      <c r="G5667" s="209"/>
      <c r="H5667" s="821">
        <f>SUM(H5666)</f>
        <v>0</v>
      </c>
    </row>
    <row r="5668" spans="3:11" ht="25.8" customHeight="1">
      <c r="C5668" s="566" t="s">
        <v>1218</v>
      </c>
      <c r="D5668" s="552" t="s">
        <v>1219</v>
      </c>
      <c r="E5668" s="553"/>
      <c r="F5668" s="553"/>
      <c r="G5668" s="554"/>
      <c r="H5668" s="826">
        <f>H5667+H5665+H5653</f>
        <v>606150.60000000009</v>
      </c>
      <c r="I5668" s="827"/>
    </row>
    <row r="5669" spans="3:11" ht="25.8" customHeight="1">
      <c r="C5669" s="566" t="s">
        <v>1220</v>
      </c>
      <c r="D5669" s="552" t="s">
        <v>1321</v>
      </c>
      <c r="E5669" s="553"/>
      <c r="F5669" s="554"/>
      <c r="G5669" s="555">
        <f>$M$9</f>
        <v>0.1</v>
      </c>
      <c r="H5669" s="539">
        <f>H5668*G5669</f>
        <v>60615.060000000012</v>
      </c>
      <c r="I5669" s="827"/>
    </row>
    <row r="5670" spans="3:11" ht="25.8" customHeight="1">
      <c r="C5670" s="566" t="s">
        <v>1221</v>
      </c>
      <c r="D5670" s="552" t="s">
        <v>1222</v>
      </c>
      <c r="E5670" s="553"/>
      <c r="F5670" s="553"/>
      <c r="G5670" s="554"/>
      <c r="H5670" s="828">
        <f>SUM(H5668:H5669)</f>
        <v>666765.66000000015</v>
      </c>
      <c r="I5670" s="827"/>
    </row>
    <row r="5671" spans="3:11" ht="25.8" customHeight="1"/>
    <row r="5672" spans="3:11" ht="25.8" customHeight="1">
      <c r="C5672" s="513" t="s">
        <v>5825</v>
      </c>
      <c r="D5672" s="817" t="s">
        <v>5817</v>
      </c>
      <c r="E5672" s="803"/>
      <c r="F5672" s="803"/>
      <c r="G5672" s="803"/>
      <c r="H5672" s="803"/>
      <c r="I5672" s="533">
        <f>ROUNDDOWN(H5696,-2)</f>
        <v>666700</v>
      </c>
      <c r="J5672" s="536"/>
      <c r="K5672" s="824"/>
    </row>
    <row r="5673" spans="3:11" ht="25.8" customHeight="1">
      <c r="C5673" s="716" t="s">
        <v>1195</v>
      </c>
      <c r="D5673" s="716" t="s">
        <v>1196</v>
      </c>
      <c r="E5673" s="716" t="s">
        <v>1197</v>
      </c>
      <c r="F5673" s="716" t="s">
        <v>1198</v>
      </c>
      <c r="G5673" s="716" t="s">
        <v>1199</v>
      </c>
      <c r="H5673" s="716" t="s">
        <v>1200</v>
      </c>
    </row>
    <row r="5674" spans="3:11" ht="25.8" customHeight="1">
      <c r="C5674" s="213" t="s">
        <v>1201</v>
      </c>
      <c r="D5674" s="212" t="s">
        <v>1202</v>
      </c>
      <c r="E5674" s="534"/>
      <c r="F5674" s="534"/>
      <c r="G5674" s="534"/>
      <c r="H5674" s="534"/>
    </row>
    <row r="5675" spans="3:11" ht="25.8" customHeight="1">
      <c r="C5675" s="818">
        <v>1</v>
      </c>
      <c r="D5675" s="212" t="s">
        <v>5</v>
      </c>
      <c r="E5675" s="212" t="s">
        <v>6</v>
      </c>
      <c r="F5675" s="538">
        <v>0.19</v>
      </c>
      <c r="G5675" s="539">
        <f>VLOOKUP(D5675,upahbahan,3,FALSE)</f>
        <v>100000</v>
      </c>
      <c r="H5675" s="539">
        <f t="shared" ref="H5675:H5678" si="598">F5675*G5675</f>
        <v>19000</v>
      </c>
    </row>
    <row r="5676" spans="3:11" ht="25.8" customHeight="1">
      <c r="C5676" s="818">
        <v>2</v>
      </c>
      <c r="D5676" s="212" t="s">
        <v>3295</v>
      </c>
      <c r="E5676" s="212" t="s">
        <v>6</v>
      </c>
      <c r="F5676" s="538">
        <v>0.318</v>
      </c>
      <c r="G5676" s="539">
        <f>VLOOKUP(D5676,upahbahan,3,FALSE)</f>
        <v>135000</v>
      </c>
      <c r="H5676" s="539">
        <f t="shared" si="598"/>
        <v>42930</v>
      </c>
    </row>
    <row r="5677" spans="3:11" ht="25.8" customHeight="1">
      <c r="C5677" s="818">
        <v>3</v>
      </c>
      <c r="D5677" s="212" t="s">
        <v>18</v>
      </c>
      <c r="E5677" s="212" t="s">
        <v>6</v>
      </c>
      <c r="F5677" s="538">
        <v>3.2000000000000001E-2</v>
      </c>
      <c r="G5677" s="539">
        <f>VLOOKUP(D5677,upahbahan,3,FALSE)</f>
        <v>150000</v>
      </c>
      <c r="H5677" s="539">
        <f t="shared" si="598"/>
        <v>4800</v>
      </c>
    </row>
    <row r="5678" spans="3:11" ht="25.8" customHeight="1">
      <c r="C5678" s="818">
        <v>4</v>
      </c>
      <c r="D5678" s="212" t="s">
        <v>19</v>
      </c>
      <c r="E5678" s="212" t="s">
        <v>6</v>
      </c>
      <c r="F5678" s="538">
        <v>1.0999999999999999E-2</v>
      </c>
      <c r="G5678" s="539">
        <f>VLOOKUP(D5678,upahbahan,3,FALSE)</f>
        <v>160000</v>
      </c>
      <c r="H5678" s="539">
        <f t="shared" si="598"/>
        <v>1760</v>
      </c>
    </row>
    <row r="5679" spans="3:11" ht="25.8" customHeight="1">
      <c r="C5679" s="702" t="s">
        <v>1208</v>
      </c>
      <c r="D5679" s="208"/>
      <c r="E5679" s="208"/>
      <c r="F5679" s="811"/>
      <c r="G5679" s="522"/>
      <c r="H5679" s="539">
        <f>SUM(H5675:H5678)</f>
        <v>68490</v>
      </c>
      <c r="I5679" s="819"/>
    </row>
    <row r="5680" spans="3:11" ht="25.8" customHeight="1">
      <c r="C5680" s="213" t="s">
        <v>1209</v>
      </c>
      <c r="D5680" s="212" t="s">
        <v>1210</v>
      </c>
      <c r="E5680" s="534"/>
      <c r="F5680" s="831"/>
      <c r="G5680" s="534"/>
      <c r="H5680" s="534"/>
    </row>
    <row r="5681" spans="3:9" ht="25.8" customHeight="1">
      <c r="C5681" s="213">
        <v>1</v>
      </c>
      <c r="D5681" s="212" t="s">
        <v>889</v>
      </c>
      <c r="E5681" s="234" t="s">
        <v>1300</v>
      </c>
      <c r="F5681" s="866">
        <v>8.8000000000000007</v>
      </c>
      <c r="G5681" s="539">
        <f t="shared" ref="G5681:G5690" si="599">VLOOKUP(D5681,upahbahan,3,FALSE)</f>
        <v>16110</v>
      </c>
      <c r="H5681" s="539">
        <f t="shared" ref="H5681:H5690" si="600">F5681*G5681</f>
        <v>141768</v>
      </c>
    </row>
    <row r="5682" spans="3:9" ht="25.8" customHeight="1">
      <c r="C5682" s="213">
        <v>2</v>
      </c>
      <c r="D5682" s="212" t="s">
        <v>3542</v>
      </c>
      <c r="E5682" s="234" t="s">
        <v>1300</v>
      </c>
      <c r="F5682" s="866">
        <v>8.8000000000000007</v>
      </c>
      <c r="G5682" s="539">
        <f t="shared" si="599"/>
        <v>16195.5</v>
      </c>
      <c r="H5682" s="539">
        <f t="shared" si="600"/>
        <v>142520.40000000002</v>
      </c>
    </row>
    <row r="5683" spans="3:9" ht="25.8" customHeight="1">
      <c r="C5683" s="213">
        <v>3</v>
      </c>
      <c r="D5683" s="212" t="s">
        <v>3540</v>
      </c>
      <c r="E5683" s="234" t="s">
        <v>44</v>
      </c>
      <c r="F5683" s="866">
        <v>1</v>
      </c>
      <c r="G5683" s="539">
        <f t="shared" si="599"/>
        <v>3600</v>
      </c>
      <c r="H5683" s="539">
        <f t="shared" si="600"/>
        <v>3600</v>
      </c>
    </row>
    <row r="5684" spans="3:9" ht="25.8" customHeight="1">
      <c r="C5684" s="213">
        <v>4</v>
      </c>
      <c r="D5684" s="212" t="s">
        <v>3541</v>
      </c>
      <c r="E5684" s="234" t="s">
        <v>44</v>
      </c>
      <c r="F5684" s="866">
        <v>5</v>
      </c>
      <c r="G5684" s="539">
        <f t="shared" si="599"/>
        <v>700</v>
      </c>
      <c r="H5684" s="539">
        <f t="shared" si="600"/>
        <v>3500</v>
      </c>
    </row>
    <row r="5685" spans="3:9" ht="25.8" customHeight="1">
      <c r="C5685" s="213">
        <v>5</v>
      </c>
      <c r="D5685" s="212" t="s">
        <v>5816</v>
      </c>
      <c r="E5685" s="234" t="s">
        <v>44</v>
      </c>
      <c r="F5685" s="866">
        <v>10</v>
      </c>
      <c r="G5685" s="539">
        <f t="shared" si="599"/>
        <v>891</v>
      </c>
      <c r="H5685" s="539">
        <f t="shared" si="600"/>
        <v>8910</v>
      </c>
    </row>
    <row r="5686" spans="3:9" ht="25.8" customHeight="1">
      <c r="C5686" s="213">
        <v>6</v>
      </c>
      <c r="D5686" s="212" t="s">
        <v>3545</v>
      </c>
      <c r="E5686" s="234" t="s">
        <v>44</v>
      </c>
      <c r="F5686" s="866">
        <v>15</v>
      </c>
      <c r="G5686" s="539">
        <f t="shared" si="599"/>
        <v>14850</v>
      </c>
      <c r="H5686" s="539">
        <f t="shared" si="600"/>
        <v>222750</v>
      </c>
    </row>
    <row r="5687" spans="3:9" ht="25.8" customHeight="1">
      <c r="C5687" s="213">
        <v>7</v>
      </c>
      <c r="D5687" s="212" t="s">
        <v>5818</v>
      </c>
      <c r="E5687" s="234" t="s">
        <v>1300</v>
      </c>
      <c r="F5687" s="866">
        <v>1</v>
      </c>
      <c r="G5687" s="539">
        <f t="shared" si="599"/>
        <v>952.2</v>
      </c>
      <c r="H5687" s="539">
        <f t="shared" si="600"/>
        <v>952.2</v>
      </c>
    </row>
    <row r="5688" spans="3:9" ht="25.8" customHeight="1">
      <c r="C5688" s="213">
        <v>8</v>
      </c>
      <c r="D5688" s="212" t="s">
        <v>3537</v>
      </c>
      <c r="E5688" s="234" t="s">
        <v>44</v>
      </c>
      <c r="F5688" s="866">
        <v>4</v>
      </c>
      <c r="G5688" s="539">
        <f t="shared" si="599"/>
        <v>2700</v>
      </c>
      <c r="H5688" s="539">
        <f t="shared" si="600"/>
        <v>10800</v>
      </c>
    </row>
    <row r="5689" spans="3:9" ht="25.8" customHeight="1">
      <c r="C5689" s="213">
        <v>9</v>
      </c>
      <c r="D5689" s="212" t="s">
        <v>3538</v>
      </c>
      <c r="E5689" s="234" t="s">
        <v>5815</v>
      </c>
      <c r="F5689" s="866">
        <v>0.5</v>
      </c>
      <c r="G5689" s="539">
        <f t="shared" si="599"/>
        <v>1080</v>
      </c>
      <c r="H5689" s="539">
        <f t="shared" si="600"/>
        <v>540</v>
      </c>
    </row>
    <row r="5690" spans="3:9" ht="25.8" customHeight="1">
      <c r="C5690" s="213">
        <v>10</v>
      </c>
      <c r="D5690" s="212" t="s">
        <v>3544</v>
      </c>
      <c r="E5690" s="234" t="s">
        <v>44</v>
      </c>
      <c r="F5690" s="866">
        <v>4</v>
      </c>
      <c r="G5690" s="539">
        <f t="shared" si="599"/>
        <v>580</v>
      </c>
      <c r="H5690" s="539">
        <f t="shared" si="600"/>
        <v>2320</v>
      </c>
    </row>
    <row r="5691" spans="3:9" ht="25.8" customHeight="1">
      <c r="C5691" s="702" t="s">
        <v>1214</v>
      </c>
      <c r="D5691" s="208"/>
      <c r="E5691" s="208"/>
      <c r="F5691" s="208"/>
      <c r="G5691" s="209"/>
      <c r="H5691" s="539">
        <f>SUM(H5681:H5690)</f>
        <v>537660.60000000009</v>
      </c>
    </row>
    <row r="5692" spans="3:9" ht="25.8" customHeight="1">
      <c r="C5692" s="213" t="s">
        <v>1215</v>
      </c>
      <c r="D5692" s="212" t="s">
        <v>1216</v>
      </c>
      <c r="E5692" s="534"/>
      <c r="F5692" s="534"/>
      <c r="G5692" s="534"/>
      <c r="H5692" s="534"/>
    </row>
    <row r="5693" spans="3:9" ht="25.8" customHeight="1">
      <c r="C5693" s="702" t="s">
        <v>1217</v>
      </c>
      <c r="D5693" s="815"/>
      <c r="E5693" s="815"/>
      <c r="F5693" s="815"/>
      <c r="G5693" s="209"/>
      <c r="H5693" s="821">
        <f>SUM(H5692)</f>
        <v>0</v>
      </c>
    </row>
    <row r="5694" spans="3:9" ht="25.8" customHeight="1">
      <c r="C5694" s="566" t="s">
        <v>1218</v>
      </c>
      <c r="D5694" s="552" t="s">
        <v>1219</v>
      </c>
      <c r="E5694" s="553"/>
      <c r="F5694" s="553"/>
      <c r="G5694" s="554"/>
      <c r="H5694" s="826">
        <f>H5693+H5691+H5679</f>
        <v>606150.60000000009</v>
      </c>
      <c r="I5694" s="827"/>
    </row>
    <row r="5695" spans="3:9" ht="25.8" customHeight="1">
      <c r="C5695" s="566" t="s">
        <v>1220</v>
      </c>
      <c r="D5695" s="552" t="s">
        <v>1321</v>
      </c>
      <c r="E5695" s="553"/>
      <c r="F5695" s="554"/>
      <c r="G5695" s="555">
        <f>$M$9</f>
        <v>0.1</v>
      </c>
      <c r="H5695" s="539">
        <f>H5694*G5695</f>
        <v>60615.060000000012</v>
      </c>
      <c r="I5695" s="827"/>
    </row>
    <row r="5696" spans="3:9" ht="25.8" customHeight="1">
      <c r="C5696" s="566" t="s">
        <v>1221</v>
      </c>
      <c r="D5696" s="552" t="s">
        <v>1222</v>
      </c>
      <c r="E5696" s="553"/>
      <c r="F5696" s="553"/>
      <c r="G5696" s="554"/>
      <c r="H5696" s="828">
        <f>SUM(H5694:H5695)</f>
        <v>666765.66000000015</v>
      </c>
      <c r="I5696" s="827"/>
    </row>
    <row r="5697" spans="3:11" ht="25.8" customHeight="1">
      <c r="C5697" s="572"/>
      <c r="D5697" s="834"/>
      <c r="E5697" s="834"/>
      <c r="F5697" s="834"/>
      <c r="G5697" s="834"/>
      <c r="H5697" s="835"/>
    </row>
    <row r="5698" spans="3:11" ht="25.8" customHeight="1">
      <c r="C5698" s="513" t="s">
        <v>5826</v>
      </c>
      <c r="D5698" s="817" t="s">
        <v>5819</v>
      </c>
      <c r="E5698" s="803"/>
      <c r="F5698" s="803"/>
      <c r="G5698" s="803"/>
      <c r="H5698" s="803"/>
      <c r="I5698" s="533">
        <f>ROUNDDOWN(H5713,-2)</f>
        <v>25400</v>
      </c>
      <c r="J5698" s="536"/>
      <c r="K5698" s="824"/>
    </row>
    <row r="5699" spans="3:11" ht="25.8" customHeight="1">
      <c r="C5699" s="716" t="s">
        <v>1195</v>
      </c>
      <c r="D5699" s="716" t="s">
        <v>1196</v>
      </c>
      <c r="E5699" s="716" t="s">
        <v>1197</v>
      </c>
      <c r="F5699" s="716" t="s">
        <v>1198</v>
      </c>
      <c r="G5699" s="716" t="s">
        <v>1199</v>
      </c>
      <c r="H5699" s="716" t="s">
        <v>1200</v>
      </c>
    </row>
    <row r="5700" spans="3:11" ht="25.8" customHeight="1">
      <c r="C5700" s="213" t="s">
        <v>1201</v>
      </c>
      <c r="D5700" s="212" t="s">
        <v>1202</v>
      </c>
      <c r="E5700" s="534"/>
      <c r="F5700" s="534"/>
      <c r="G5700" s="534"/>
      <c r="H5700" s="534"/>
    </row>
    <row r="5701" spans="3:11" ht="25.8" customHeight="1">
      <c r="C5701" s="818">
        <v>1</v>
      </c>
      <c r="D5701" s="212" t="s">
        <v>5</v>
      </c>
      <c r="E5701" s="212" t="s">
        <v>6</v>
      </c>
      <c r="F5701" s="538">
        <v>6.4000000000000001E-2</v>
      </c>
      <c r="G5701" s="539">
        <f>VLOOKUP(D5701,upahbahan,3,FALSE)</f>
        <v>100000</v>
      </c>
      <c r="H5701" s="539">
        <f t="shared" ref="H5701:H5704" si="601">F5701*G5701</f>
        <v>6400</v>
      </c>
    </row>
    <row r="5702" spans="3:11" ht="25.8" customHeight="1">
      <c r="C5702" s="818">
        <v>2</v>
      </c>
      <c r="D5702" s="212" t="s">
        <v>3295</v>
      </c>
      <c r="E5702" s="212" t="s">
        <v>6</v>
      </c>
      <c r="F5702" s="538">
        <v>0.107</v>
      </c>
      <c r="G5702" s="539">
        <f>VLOOKUP(D5702,upahbahan,3,FALSE)</f>
        <v>135000</v>
      </c>
      <c r="H5702" s="539">
        <f t="shared" si="601"/>
        <v>14445</v>
      </c>
    </row>
    <row r="5703" spans="3:11" ht="25.8" customHeight="1">
      <c r="C5703" s="818">
        <v>3</v>
      </c>
      <c r="D5703" s="212" t="s">
        <v>18</v>
      </c>
      <c r="E5703" s="212" t="s">
        <v>6</v>
      </c>
      <c r="F5703" s="538">
        <v>1.0999999999999999E-2</v>
      </c>
      <c r="G5703" s="539">
        <f>VLOOKUP(D5703,upahbahan,3,FALSE)</f>
        <v>150000</v>
      </c>
      <c r="H5703" s="539">
        <f t="shared" si="601"/>
        <v>1650</v>
      </c>
    </row>
    <row r="5704" spans="3:11" ht="25.8" customHeight="1">
      <c r="C5704" s="818">
        <v>4</v>
      </c>
      <c r="D5704" s="212" t="s">
        <v>19</v>
      </c>
      <c r="E5704" s="212" t="s">
        <v>6</v>
      </c>
      <c r="F5704" s="538">
        <v>4.0000000000000001E-3</v>
      </c>
      <c r="G5704" s="539">
        <f>VLOOKUP(D5704,upahbahan,3,FALSE)</f>
        <v>160000</v>
      </c>
      <c r="H5704" s="539">
        <f t="shared" si="601"/>
        <v>640</v>
      </c>
    </row>
    <row r="5705" spans="3:11" ht="25.8" customHeight="1">
      <c r="C5705" s="702" t="s">
        <v>1208</v>
      </c>
      <c r="D5705" s="208"/>
      <c r="E5705" s="208"/>
      <c r="F5705" s="811"/>
      <c r="G5705" s="522"/>
      <c r="H5705" s="539">
        <f>SUM(H5701:H5704)</f>
        <v>23135</v>
      </c>
      <c r="I5705" s="819"/>
    </row>
    <row r="5706" spans="3:11" ht="25.8" customHeight="1">
      <c r="C5706" s="213" t="s">
        <v>1209</v>
      </c>
      <c r="D5706" s="212" t="s">
        <v>1210</v>
      </c>
      <c r="E5706" s="534"/>
      <c r="F5706" s="831"/>
      <c r="G5706" s="534"/>
      <c r="H5706" s="534"/>
    </row>
    <row r="5707" spans="3:11" ht="25.8" customHeight="1">
      <c r="C5707" s="213">
        <v>1</v>
      </c>
      <c r="D5707" s="212" t="s">
        <v>5820</v>
      </c>
      <c r="E5707" s="234" t="s">
        <v>44</v>
      </c>
      <c r="F5707" s="866">
        <v>1.1000000000000001</v>
      </c>
      <c r="G5707" s="539">
        <f>VLOOKUP(D5707,upahbahan,3,FALSE)</f>
        <v>0</v>
      </c>
      <c r="H5707" s="539">
        <f t="shared" ref="H5707" si="602">F5707*G5707</f>
        <v>0</v>
      </c>
    </row>
    <row r="5708" spans="3:11" ht="25.8" customHeight="1">
      <c r="C5708" s="702" t="s">
        <v>1214</v>
      </c>
      <c r="D5708" s="208"/>
      <c r="E5708" s="208"/>
      <c r="F5708" s="208"/>
      <c r="G5708" s="209"/>
      <c r="H5708" s="539">
        <f>SUM(H5707:H5707)</f>
        <v>0</v>
      </c>
    </row>
    <row r="5709" spans="3:11" ht="25.8" customHeight="1">
      <c r="C5709" s="213" t="s">
        <v>1215</v>
      </c>
      <c r="D5709" s="212" t="s">
        <v>1216</v>
      </c>
      <c r="E5709" s="534"/>
      <c r="F5709" s="534"/>
      <c r="G5709" s="534"/>
      <c r="H5709" s="534"/>
    </row>
    <row r="5710" spans="3:11" ht="25.8" customHeight="1">
      <c r="C5710" s="702" t="s">
        <v>1217</v>
      </c>
      <c r="D5710" s="815"/>
      <c r="E5710" s="815"/>
      <c r="F5710" s="815"/>
      <c r="G5710" s="209"/>
      <c r="H5710" s="821">
        <f>SUM(H5709)</f>
        <v>0</v>
      </c>
    </row>
    <row r="5711" spans="3:11" ht="25.8" customHeight="1">
      <c r="C5711" s="566" t="s">
        <v>1218</v>
      </c>
      <c r="D5711" s="552" t="s">
        <v>1219</v>
      </c>
      <c r="E5711" s="553"/>
      <c r="F5711" s="553"/>
      <c r="G5711" s="554"/>
      <c r="H5711" s="826">
        <f>H5710+H5708+H5705</f>
        <v>23135</v>
      </c>
      <c r="I5711" s="827"/>
    </row>
    <row r="5712" spans="3:11" ht="25.8" customHeight="1">
      <c r="C5712" s="566" t="s">
        <v>1220</v>
      </c>
      <c r="D5712" s="552" t="s">
        <v>1321</v>
      </c>
      <c r="E5712" s="553"/>
      <c r="F5712" s="554"/>
      <c r="G5712" s="555">
        <f>$M$9</f>
        <v>0.1</v>
      </c>
      <c r="H5712" s="539">
        <f>H5711*G5712</f>
        <v>2313.5</v>
      </c>
      <c r="I5712" s="827"/>
    </row>
    <row r="5713" spans="3:11" ht="25.8" customHeight="1">
      <c r="C5713" s="566" t="s">
        <v>1221</v>
      </c>
      <c r="D5713" s="552" t="s">
        <v>1222</v>
      </c>
      <c r="E5713" s="553"/>
      <c r="F5713" s="553"/>
      <c r="G5713" s="554"/>
      <c r="H5713" s="828">
        <f>SUM(H5711:H5712)</f>
        <v>25448.5</v>
      </c>
      <c r="I5713" s="827"/>
    </row>
    <row r="5714" spans="3:11" ht="25.8" customHeight="1"/>
    <row r="5715" spans="3:11" ht="25.8" customHeight="1">
      <c r="C5715" s="513" t="s">
        <v>5827</v>
      </c>
      <c r="D5715" s="817" t="s">
        <v>5821</v>
      </c>
      <c r="E5715" s="803"/>
      <c r="F5715" s="803"/>
      <c r="G5715" s="803"/>
      <c r="H5715" s="803"/>
      <c r="I5715" s="533">
        <f>ROUNDDOWN(H5731,-2)</f>
        <v>25400</v>
      </c>
      <c r="J5715" s="536"/>
      <c r="K5715" s="824"/>
    </row>
    <row r="5716" spans="3:11" ht="25.8" customHeight="1">
      <c r="C5716" s="716" t="s">
        <v>1195</v>
      </c>
      <c r="D5716" s="716" t="s">
        <v>1196</v>
      </c>
      <c r="E5716" s="716" t="s">
        <v>1197</v>
      </c>
      <c r="F5716" s="716" t="s">
        <v>1198</v>
      </c>
      <c r="G5716" s="716" t="s">
        <v>1199</v>
      </c>
      <c r="H5716" s="716" t="s">
        <v>1200</v>
      </c>
    </row>
    <row r="5717" spans="3:11" ht="25.8" customHeight="1">
      <c r="C5717" s="213" t="s">
        <v>1201</v>
      </c>
      <c r="D5717" s="212" t="s">
        <v>1202</v>
      </c>
      <c r="E5717" s="534"/>
      <c r="F5717" s="534"/>
      <c r="G5717" s="534"/>
      <c r="H5717" s="534"/>
    </row>
    <row r="5718" spans="3:11" ht="25.8" customHeight="1">
      <c r="C5718" s="818">
        <v>1</v>
      </c>
      <c r="D5718" s="212" t="s">
        <v>5</v>
      </c>
      <c r="E5718" s="212" t="s">
        <v>6</v>
      </c>
      <c r="F5718" s="538">
        <v>6.4000000000000001E-2</v>
      </c>
      <c r="G5718" s="539">
        <f>VLOOKUP(D5718,upahbahan,3,FALSE)</f>
        <v>100000</v>
      </c>
      <c r="H5718" s="539">
        <f t="shared" ref="H5718:H5721" si="603">F5718*G5718</f>
        <v>6400</v>
      </c>
    </row>
    <row r="5719" spans="3:11" ht="25.8" customHeight="1">
      <c r="C5719" s="818">
        <v>2</v>
      </c>
      <c r="D5719" s="212" t="s">
        <v>3295</v>
      </c>
      <c r="E5719" s="212" t="s">
        <v>6</v>
      </c>
      <c r="F5719" s="538">
        <v>0.107</v>
      </c>
      <c r="G5719" s="539">
        <f>VLOOKUP(D5719,upahbahan,3,FALSE)</f>
        <v>135000</v>
      </c>
      <c r="H5719" s="539">
        <f t="shared" si="603"/>
        <v>14445</v>
      </c>
    </row>
    <row r="5720" spans="3:11" ht="25.8" customHeight="1">
      <c r="C5720" s="818">
        <v>3</v>
      </c>
      <c r="D5720" s="212" t="s">
        <v>18</v>
      </c>
      <c r="E5720" s="212" t="s">
        <v>6</v>
      </c>
      <c r="F5720" s="538">
        <v>1.0999999999999999E-2</v>
      </c>
      <c r="G5720" s="539">
        <f>VLOOKUP(D5720,upahbahan,3,FALSE)</f>
        <v>150000</v>
      </c>
      <c r="H5720" s="539">
        <f t="shared" si="603"/>
        <v>1650</v>
      </c>
    </row>
    <row r="5721" spans="3:11" ht="25.8" customHeight="1">
      <c r="C5721" s="818">
        <v>4</v>
      </c>
      <c r="D5721" s="212" t="s">
        <v>19</v>
      </c>
      <c r="E5721" s="212" t="s">
        <v>6</v>
      </c>
      <c r="F5721" s="538">
        <v>4.0000000000000001E-3</v>
      </c>
      <c r="G5721" s="539">
        <f>VLOOKUP(D5721,upahbahan,3,FALSE)</f>
        <v>160000</v>
      </c>
      <c r="H5721" s="539">
        <f t="shared" si="603"/>
        <v>640</v>
      </c>
    </row>
    <row r="5722" spans="3:11" ht="25.8" customHeight="1">
      <c r="C5722" s="702" t="s">
        <v>1208</v>
      </c>
      <c r="D5722" s="208"/>
      <c r="E5722" s="208"/>
      <c r="F5722" s="811"/>
      <c r="G5722" s="522"/>
      <c r="H5722" s="539">
        <f>SUM(H5718:H5721)</f>
        <v>23135</v>
      </c>
      <c r="I5722" s="819"/>
    </row>
    <row r="5723" spans="3:11" ht="25.8" customHeight="1">
      <c r="C5723" s="213" t="s">
        <v>1209</v>
      </c>
      <c r="D5723" s="212" t="s">
        <v>1210</v>
      </c>
      <c r="E5723" s="534"/>
      <c r="F5723" s="831"/>
      <c r="G5723" s="534"/>
      <c r="H5723" s="534"/>
    </row>
    <row r="5724" spans="3:11" ht="25.8" customHeight="1">
      <c r="C5724" s="213">
        <v>1</v>
      </c>
      <c r="D5724" s="212" t="s">
        <v>5822</v>
      </c>
      <c r="E5724" s="234" t="s">
        <v>2167</v>
      </c>
      <c r="F5724" s="866">
        <v>1.1000000000000001</v>
      </c>
      <c r="G5724" s="539">
        <f>VLOOKUP(D5724,upahbahan,3,FALSE)</f>
        <v>0</v>
      </c>
      <c r="H5724" s="539">
        <f>F5724*G5724</f>
        <v>0</v>
      </c>
    </row>
    <row r="5725" spans="3:11" ht="25.8" customHeight="1">
      <c r="C5725" s="213">
        <v>2</v>
      </c>
      <c r="D5725" s="212" t="s">
        <v>5823</v>
      </c>
      <c r="E5725" s="234" t="s">
        <v>44</v>
      </c>
      <c r="F5725" s="866">
        <v>1.1000000000000001</v>
      </c>
      <c r="G5725" s="539">
        <f>VLOOKUP(D5725,upahbahan,3,FALSE)</f>
        <v>0</v>
      </c>
      <c r="H5725" s="539">
        <f>F5725*G5725</f>
        <v>0</v>
      </c>
    </row>
    <row r="5726" spans="3:11" ht="25.8" customHeight="1">
      <c r="C5726" s="702" t="s">
        <v>1214</v>
      </c>
      <c r="D5726" s="208"/>
      <c r="E5726" s="208"/>
      <c r="F5726" s="208"/>
      <c r="G5726" s="209"/>
      <c r="H5726" s="539">
        <f>SUM(H5724:H5725)</f>
        <v>0</v>
      </c>
    </row>
    <row r="5727" spans="3:11" ht="25.8" customHeight="1">
      <c r="C5727" s="213" t="s">
        <v>1215</v>
      </c>
      <c r="D5727" s="212" t="s">
        <v>1216</v>
      </c>
      <c r="E5727" s="534"/>
      <c r="F5727" s="534"/>
      <c r="G5727" s="534"/>
      <c r="H5727" s="534"/>
    </row>
    <row r="5728" spans="3:11" ht="25.8" customHeight="1">
      <c r="C5728" s="702" t="s">
        <v>1217</v>
      </c>
      <c r="D5728" s="815"/>
      <c r="E5728" s="815"/>
      <c r="F5728" s="815"/>
      <c r="G5728" s="209"/>
      <c r="H5728" s="821">
        <f>SUM(H5727)</f>
        <v>0</v>
      </c>
    </row>
    <row r="5729" spans="3:11" ht="25.8" customHeight="1">
      <c r="C5729" s="566" t="s">
        <v>1218</v>
      </c>
      <c r="D5729" s="552" t="s">
        <v>1219</v>
      </c>
      <c r="E5729" s="553"/>
      <c r="F5729" s="553"/>
      <c r="G5729" s="554"/>
      <c r="H5729" s="826">
        <f>H5728+H5726+H5722</f>
        <v>23135</v>
      </c>
      <c r="I5729" s="827"/>
    </row>
    <row r="5730" spans="3:11" ht="25.8" customHeight="1">
      <c r="C5730" s="566" t="s">
        <v>1220</v>
      </c>
      <c r="D5730" s="552" t="s">
        <v>1321</v>
      </c>
      <c r="E5730" s="553"/>
      <c r="F5730" s="554"/>
      <c r="G5730" s="555">
        <f>$M$9</f>
        <v>0.1</v>
      </c>
      <c r="H5730" s="539">
        <f>H5729*G5730</f>
        <v>2313.5</v>
      </c>
      <c r="I5730" s="827"/>
    </row>
    <row r="5731" spans="3:11" ht="25.8" customHeight="1">
      <c r="C5731" s="566" t="s">
        <v>1221</v>
      </c>
      <c r="D5731" s="552" t="s">
        <v>1222</v>
      </c>
      <c r="E5731" s="553"/>
      <c r="F5731" s="553"/>
      <c r="G5731" s="554"/>
      <c r="H5731" s="828">
        <f>SUM(H5729:H5730)</f>
        <v>25448.5</v>
      </c>
      <c r="I5731" s="827"/>
    </row>
    <row r="5732" spans="3:11" ht="25.8" customHeight="1"/>
    <row r="5733" spans="3:11" ht="25.8" customHeight="1">
      <c r="C5733" s="513" t="s">
        <v>5828</v>
      </c>
      <c r="D5733" s="817" t="s">
        <v>5824</v>
      </c>
      <c r="E5733" s="803"/>
      <c r="F5733" s="803"/>
      <c r="G5733" s="803"/>
      <c r="H5733" s="803"/>
      <c r="I5733" s="533">
        <f>ROUNDDOWN(H5750,-2)</f>
        <v>25400</v>
      </c>
      <c r="J5733" s="536"/>
      <c r="K5733" s="824"/>
    </row>
    <row r="5734" spans="3:11" ht="25.8" customHeight="1">
      <c r="C5734" s="716" t="s">
        <v>1195</v>
      </c>
      <c r="D5734" s="716" t="s">
        <v>1196</v>
      </c>
      <c r="E5734" s="716" t="s">
        <v>1197</v>
      </c>
      <c r="F5734" s="716" t="s">
        <v>1198</v>
      </c>
      <c r="G5734" s="716" t="s">
        <v>1199</v>
      </c>
      <c r="H5734" s="716" t="s">
        <v>1200</v>
      </c>
    </row>
    <row r="5735" spans="3:11" ht="25.8" customHeight="1">
      <c r="C5735" s="213" t="s">
        <v>1201</v>
      </c>
      <c r="D5735" s="212" t="s">
        <v>1202</v>
      </c>
      <c r="E5735" s="534"/>
      <c r="F5735" s="534"/>
      <c r="G5735" s="534"/>
      <c r="H5735" s="534"/>
    </row>
    <row r="5736" spans="3:11" ht="25.8" customHeight="1">
      <c r="C5736" s="818">
        <v>1</v>
      </c>
      <c r="D5736" s="212" t="s">
        <v>5</v>
      </c>
      <c r="E5736" s="212" t="s">
        <v>6</v>
      </c>
      <c r="F5736" s="538">
        <v>6.4000000000000001E-2</v>
      </c>
      <c r="G5736" s="539">
        <f>VLOOKUP(D5736,upahbahan,3,FALSE)</f>
        <v>100000</v>
      </c>
      <c r="H5736" s="539">
        <f t="shared" ref="H5736:H5739" si="604">F5736*G5736</f>
        <v>6400</v>
      </c>
    </row>
    <row r="5737" spans="3:11" ht="25.8" customHeight="1">
      <c r="C5737" s="818">
        <v>2</v>
      </c>
      <c r="D5737" s="212" t="s">
        <v>3295</v>
      </c>
      <c r="E5737" s="212" t="s">
        <v>6</v>
      </c>
      <c r="F5737" s="538">
        <v>0.107</v>
      </c>
      <c r="G5737" s="539">
        <f>VLOOKUP(D5737,upahbahan,3,FALSE)</f>
        <v>135000</v>
      </c>
      <c r="H5737" s="539">
        <f t="shared" si="604"/>
        <v>14445</v>
      </c>
    </row>
    <row r="5738" spans="3:11" ht="25.8" customHeight="1">
      <c r="C5738" s="818">
        <v>3</v>
      </c>
      <c r="D5738" s="212" t="s">
        <v>18</v>
      </c>
      <c r="E5738" s="212" t="s">
        <v>6</v>
      </c>
      <c r="F5738" s="538">
        <v>1.0999999999999999E-2</v>
      </c>
      <c r="G5738" s="539">
        <f>VLOOKUP(D5738,upahbahan,3,FALSE)</f>
        <v>150000</v>
      </c>
      <c r="H5738" s="539">
        <f t="shared" si="604"/>
        <v>1650</v>
      </c>
    </row>
    <row r="5739" spans="3:11" ht="25.8" customHeight="1">
      <c r="C5739" s="818">
        <v>4</v>
      </c>
      <c r="D5739" s="212" t="s">
        <v>19</v>
      </c>
      <c r="E5739" s="212" t="s">
        <v>6</v>
      </c>
      <c r="F5739" s="538">
        <v>4.0000000000000001E-3</v>
      </c>
      <c r="G5739" s="539">
        <f>VLOOKUP(D5739,upahbahan,3,FALSE)</f>
        <v>160000</v>
      </c>
      <c r="H5739" s="539">
        <f t="shared" si="604"/>
        <v>640</v>
      </c>
    </row>
    <row r="5740" spans="3:11" ht="25.8" customHeight="1">
      <c r="C5740" s="702" t="s">
        <v>1208</v>
      </c>
      <c r="D5740" s="208"/>
      <c r="E5740" s="208"/>
      <c r="F5740" s="811"/>
      <c r="G5740" s="522"/>
      <c r="H5740" s="539">
        <f>SUM(H5736:H5739)</f>
        <v>23135</v>
      </c>
      <c r="I5740" s="819"/>
    </row>
    <row r="5741" spans="3:11" ht="25.8" customHeight="1">
      <c r="C5741" s="213" t="s">
        <v>1209</v>
      </c>
      <c r="D5741" s="212" t="s">
        <v>1210</v>
      </c>
      <c r="E5741" s="534"/>
      <c r="F5741" s="831"/>
      <c r="G5741" s="534"/>
      <c r="H5741" s="534"/>
    </row>
    <row r="5742" spans="3:11" ht="25.8" customHeight="1">
      <c r="C5742" s="213">
        <v>1</v>
      </c>
      <c r="D5742" s="212" t="s">
        <v>5822</v>
      </c>
      <c r="E5742" s="234" t="s">
        <v>2167</v>
      </c>
      <c r="F5742" s="866">
        <v>1.1000000000000001</v>
      </c>
      <c r="G5742" s="539">
        <f>VLOOKUP(D5742,upahbahan,3,FALSE)</f>
        <v>0</v>
      </c>
      <c r="H5742" s="539">
        <f>F5742*G5742</f>
        <v>0</v>
      </c>
    </row>
    <row r="5743" spans="3:11" ht="25.8" customHeight="1">
      <c r="C5743" s="213">
        <v>2</v>
      </c>
      <c r="D5743" s="212" t="s">
        <v>5823</v>
      </c>
      <c r="E5743" s="234" t="s">
        <v>44</v>
      </c>
      <c r="F5743" s="866">
        <v>1.1000000000000001</v>
      </c>
      <c r="G5743" s="539">
        <f>VLOOKUP(D5743,upahbahan,3,FALSE)</f>
        <v>0</v>
      </c>
      <c r="H5743" s="539">
        <f>F5743*G5743</f>
        <v>0</v>
      </c>
    </row>
    <row r="5744" spans="3:11" ht="25.8" customHeight="1">
      <c r="C5744" s="213">
        <v>3</v>
      </c>
      <c r="D5744" s="212" t="s">
        <v>5829</v>
      </c>
      <c r="E5744" s="234" t="s">
        <v>44</v>
      </c>
      <c r="F5744" s="866">
        <v>1.1000000000000001</v>
      </c>
      <c r="G5744" s="539">
        <f>VLOOKUP(D5744,upahbahan,3,FALSE)</f>
        <v>0</v>
      </c>
      <c r="H5744" s="539">
        <f>F5744*G5744</f>
        <v>0</v>
      </c>
    </row>
    <row r="5745" spans="3:11" ht="25.8" customHeight="1">
      <c r="C5745" s="702" t="s">
        <v>1214</v>
      </c>
      <c r="D5745" s="208"/>
      <c r="E5745" s="208"/>
      <c r="F5745" s="208"/>
      <c r="G5745" s="209"/>
      <c r="H5745" s="539">
        <f>SUM(H5742:H5744)</f>
        <v>0</v>
      </c>
    </row>
    <row r="5746" spans="3:11" ht="25.8" customHeight="1">
      <c r="C5746" s="213" t="s">
        <v>1215</v>
      </c>
      <c r="D5746" s="212" t="s">
        <v>1216</v>
      </c>
      <c r="E5746" s="534"/>
      <c r="F5746" s="534"/>
      <c r="G5746" s="534"/>
      <c r="H5746" s="534"/>
    </row>
    <row r="5747" spans="3:11" ht="25.8" customHeight="1">
      <c r="C5747" s="702" t="s">
        <v>1217</v>
      </c>
      <c r="D5747" s="815"/>
      <c r="E5747" s="815"/>
      <c r="F5747" s="815"/>
      <c r="G5747" s="209"/>
      <c r="H5747" s="821">
        <f>SUM(H5746)</f>
        <v>0</v>
      </c>
    </row>
    <row r="5748" spans="3:11" ht="25.8" customHeight="1">
      <c r="C5748" s="566" t="s">
        <v>1218</v>
      </c>
      <c r="D5748" s="552" t="s">
        <v>1219</v>
      </c>
      <c r="E5748" s="553"/>
      <c r="F5748" s="553"/>
      <c r="G5748" s="554"/>
      <c r="H5748" s="826">
        <f>H5747+H5745+H5740</f>
        <v>23135</v>
      </c>
      <c r="I5748" s="827"/>
    </row>
    <row r="5749" spans="3:11" ht="25.8" customHeight="1">
      <c r="C5749" s="566" t="s">
        <v>1220</v>
      </c>
      <c r="D5749" s="552" t="s">
        <v>1321</v>
      </c>
      <c r="E5749" s="553"/>
      <c r="F5749" s="554"/>
      <c r="G5749" s="555">
        <f>$M$9</f>
        <v>0.1</v>
      </c>
      <c r="H5749" s="539">
        <f>H5748*G5749</f>
        <v>2313.5</v>
      </c>
      <c r="I5749" s="827"/>
    </row>
    <row r="5750" spans="3:11" ht="25.8" customHeight="1">
      <c r="C5750" s="566" t="s">
        <v>1221</v>
      </c>
      <c r="D5750" s="552" t="s">
        <v>1222</v>
      </c>
      <c r="E5750" s="553"/>
      <c r="F5750" s="553"/>
      <c r="G5750" s="554"/>
      <c r="H5750" s="828">
        <f>SUM(H5748:H5749)</f>
        <v>25448.5</v>
      </c>
      <c r="I5750" s="827"/>
    </row>
    <row r="5751" spans="3:11" ht="25.8" customHeight="1"/>
    <row r="5752" spans="3:11" ht="25.8" customHeight="1">
      <c r="C5752" s="513" t="s">
        <v>5830</v>
      </c>
      <c r="D5752" s="817" t="s">
        <v>5831</v>
      </c>
      <c r="E5752" s="803"/>
      <c r="F5752" s="803"/>
      <c r="G5752" s="803"/>
      <c r="H5752" s="803"/>
      <c r="I5752" s="533">
        <f>ROUNDDOWN(H5768,-2)</f>
        <v>25400</v>
      </c>
      <c r="J5752" s="536"/>
      <c r="K5752" s="824"/>
    </row>
    <row r="5753" spans="3:11" ht="25.8" customHeight="1">
      <c r="C5753" s="716" t="s">
        <v>1195</v>
      </c>
      <c r="D5753" s="716" t="s">
        <v>1196</v>
      </c>
      <c r="E5753" s="716" t="s">
        <v>1197</v>
      </c>
      <c r="F5753" s="716" t="s">
        <v>1198</v>
      </c>
      <c r="G5753" s="716" t="s">
        <v>1199</v>
      </c>
      <c r="H5753" s="716" t="s">
        <v>1200</v>
      </c>
    </row>
    <row r="5754" spans="3:11" ht="25.8" customHeight="1">
      <c r="C5754" s="213" t="s">
        <v>1201</v>
      </c>
      <c r="D5754" s="212" t="s">
        <v>1202</v>
      </c>
      <c r="E5754" s="534"/>
      <c r="F5754" s="534"/>
      <c r="G5754" s="534"/>
      <c r="H5754" s="534"/>
    </row>
    <row r="5755" spans="3:11" ht="25.8" customHeight="1">
      <c r="C5755" s="818">
        <v>1</v>
      </c>
      <c r="D5755" s="212" t="s">
        <v>5</v>
      </c>
      <c r="E5755" s="212" t="s">
        <v>6</v>
      </c>
      <c r="F5755" s="538">
        <v>6.4000000000000001E-2</v>
      </c>
      <c r="G5755" s="539">
        <f>VLOOKUP(D5755,upahbahan,3,FALSE)</f>
        <v>100000</v>
      </c>
      <c r="H5755" s="539">
        <f t="shared" ref="H5755:H5758" si="605">F5755*G5755</f>
        <v>6400</v>
      </c>
    </row>
    <row r="5756" spans="3:11" ht="25.8" customHeight="1">
      <c r="C5756" s="818">
        <v>2</v>
      </c>
      <c r="D5756" s="212" t="s">
        <v>3295</v>
      </c>
      <c r="E5756" s="212" t="s">
        <v>6</v>
      </c>
      <c r="F5756" s="538">
        <v>0.107</v>
      </c>
      <c r="G5756" s="539">
        <f>VLOOKUP(D5756,upahbahan,3,FALSE)</f>
        <v>135000</v>
      </c>
      <c r="H5756" s="539">
        <f t="shared" si="605"/>
        <v>14445</v>
      </c>
    </row>
    <row r="5757" spans="3:11" ht="25.8" customHeight="1">
      <c r="C5757" s="818">
        <v>3</v>
      </c>
      <c r="D5757" s="212" t="s">
        <v>18</v>
      </c>
      <c r="E5757" s="212" t="s">
        <v>6</v>
      </c>
      <c r="F5757" s="538">
        <v>1.0999999999999999E-2</v>
      </c>
      <c r="G5757" s="539">
        <f>VLOOKUP(D5757,upahbahan,3,FALSE)</f>
        <v>150000</v>
      </c>
      <c r="H5757" s="539">
        <f t="shared" si="605"/>
        <v>1650</v>
      </c>
    </row>
    <row r="5758" spans="3:11" ht="25.8" customHeight="1">
      <c r="C5758" s="818">
        <v>4</v>
      </c>
      <c r="D5758" s="212" t="s">
        <v>19</v>
      </c>
      <c r="E5758" s="212" t="s">
        <v>6</v>
      </c>
      <c r="F5758" s="538">
        <v>4.0000000000000001E-3</v>
      </c>
      <c r="G5758" s="539">
        <f>VLOOKUP(D5758,upahbahan,3,FALSE)</f>
        <v>160000</v>
      </c>
      <c r="H5758" s="539">
        <f t="shared" si="605"/>
        <v>640</v>
      </c>
    </row>
    <row r="5759" spans="3:11" ht="25.8" customHeight="1">
      <c r="C5759" s="702" t="s">
        <v>1208</v>
      </c>
      <c r="D5759" s="208"/>
      <c r="E5759" s="208"/>
      <c r="F5759" s="811"/>
      <c r="G5759" s="522"/>
      <c r="H5759" s="539">
        <f>SUM(H5755:H5758)</f>
        <v>23135</v>
      </c>
      <c r="I5759" s="819"/>
    </row>
    <row r="5760" spans="3:11" ht="25.8" customHeight="1">
      <c r="C5760" s="213" t="s">
        <v>1209</v>
      </c>
      <c r="D5760" s="212" t="s">
        <v>1210</v>
      </c>
      <c r="E5760" s="534"/>
      <c r="F5760" s="831"/>
      <c r="G5760" s="534"/>
      <c r="H5760" s="534"/>
    </row>
    <row r="5761" spans="3:11" ht="25.8" customHeight="1">
      <c r="C5761" s="213">
        <v>1</v>
      </c>
      <c r="D5761" s="212" t="s">
        <v>5832</v>
      </c>
      <c r="E5761" s="234" t="s">
        <v>2167</v>
      </c>
      <c r="F5761" s="866">
        <v>1.1000000000000001</v>
      </c>
      <c r="G5761" s="539">
        <f>VLOOKUP(D5761,upahbahan,3,FALSE)</f>
        <v>0</v>
      </c>
      <c r="H5761" s="539">
        <f>F5761*G5761</f>
        <v>0</v>
      </c>
    </row>
    <row r="5762" spans="3:11" ht="25.8" customHeight="1">
      <c r="C5762" s="213">
        <v>2</v>
      </c>
      <c r="D5762" s="212" t="s">
        <v>5823</v>
      </c>
      <c r="E5762" s="234" t="s">
        <v>44</v>
      </c>
      <c r="F5762" s="866">
        <v>1.1000000000000001</v>
      </c>
      <c r="G5762" s="539">
        <f>VLOOKUP(D5762,upahbahan,3,FALSE)</f>
        <v>0</v>
      </c>
      <c r="H5762" s="539">
        <f>F5762*G5762</f>
        <v>0</v>
      </c>
    </row>
    <row r="5763" spans="3:11" ht="25.8" customHeight="1">
      <c r="C5763" s="702" t="s">
        <v>1214</v>
      </c>
      <c r="D5763" s="208"/>
      <c r="E5763" s="208"/>
      <c r="F5763" s="208"/>
      <c r="G5763" s="209"/>
      <c r="H5763" s="539">
        <f>SUM(H5761:H5762)</f>
        <v>0</v>
      </c>
    </row>
    <row r="5764" spans="3:11" ht="25.8" customHeight="1">
      <c r="C5764" s="213" t="s">
        <v>1215</v>
      </c>
      <c r="D5764" s="212" t="s">
        <v>1216</v>
      </c>
      <c r="E5764" s="534"/>
      <c r="F5764" s="534"/>
      <c r="G5764" s="534"/>
      <c r="H5764" s="534"/>
    </row>
    <row r="5765" spans="3:11" ht="25.8" customHeight="1">
      <c r="C5765" s="702" t="s">
        <v>1217</v>
      </c>
      <c r="D5765" s="815"/>
      <c r="E5765" s="815"/>
      <c r="F5765" s="815"/>
      <c r="G5765" s="209"/>
      <c r="H5765" s="821">
        <f>SUM(H5764)</f>
        <v>0</v>
      </c>
    </row>
    <row r="5766" spans="3:11" ht="25.8" customHeight="1">
      <c r="C5766" s="566" t="s">
        <v>1218</v>
      </c>
      <c r="D5766" s="552" t="s">
        <v>1219</v>
      </c>
      <c r="E5766" s="553"/>
      <c r="F5766" s="553"/>
      <c r="G5766" s="554"/>
      <c r="H5766" s="826">
        <f>H5765+H5763+H5759</f>
        <v>23135</v>
      </c>
      <c r="I5766" s="827"/>
    </row>
    <row r="5767" spans="3:11" ht="25.8" customHeight="1">
      <c r="C5767" s="566" t="s">
        <v>1220</v>
      </c>
      <c r="D5767" s="552" t="s">
        <v>1321</v>
      </c>
      <c r="E5767" s="553"/>
      <c r="F5767" s="554"/>
      <c r="G5767" s="555">
        <f>$M$9</f>
        <v>0.1</v>
      </c>
      <c r="H5767" s="539">
        <f>H5766*G5767</f>
        <v>2313.5</v>
      </c>
      <c r="I5767" s="827"/>
    </row>
    <row r="5768" spans="3:11" ht="25.8" customHeight="1">
      <c r="C5768" s="566" t="s">
        <v>1221</v>
      </c>
      <c r="D5768" s="552" t="s">
        <v>1222</v>
      </c>
      <c r="E5768" s="553"/>
      <c r="F5768" s="553"/>
      <c r="G5768" s="554"/>
      <c r="H5768" s="828">
        <f>SUM(H5766:H5767)</f>
        <v>25448.5</v>
      </c>
      <c r="I5768" s="827"/>
    </row>
    <row r="5769" spans="3:11" ht="25.8" customHeight="1"/>
    <row r="5770" spans="3:11" ht="25.8" customHeight="1"/>
    <row r="5771" spans="3:11" ht="25.8" customHeight="1">
      <c r="C5771" s="513" t="s">
        <v>5833</v>
      </c>
      <c r="D5771" s="817" t="s">
        <v>5834</v>
      </c>
      <c r="E5771" s="803"/>
      <c r="F5771" s="803"/>
      <c r="G5771" s="803"/>
      <c r="H5771" s="803"/>
      <c r="I5771" s="533">
        <f>ROUNDDOWN(H5788,-2)</f>
        <v>25400</v>
      </c>
      <c r="J5771" s="536"/>
      <c r="K5771" s="824"/>
    </row>
    <row r="5772" spans="3:11" ht="25.8" customHeight="1">
      <c r="C5772" s="716" t="s">
        <v>1195</v>
      </c>
      <c r="D5772" s="716" t="s">
        <v>1196</v>
      </c>
      <c r="E5772" s="716" t="s">
        <v>1197</v>
      </c>
      <c r="F5772" s="716" t="s">
        <v>1198</v>
      </c>
      <c r="G5772" s="716" t="s">
        <v>1199</v>
      </c>
      <c r="H5772" s="716" t="s">
        <v>1200</v>
      </c>
    </row>
    <row r="5773" spans="3:11" ht="25.8" customHeight="1">
      <c r="C5773" s="213" t="s">
        <v>1201</v>
      </c>
      <c r="D5773" s="212" t="s">
        <v>1202</v>
      </c>
      <c r="E5773" s="534"/>
      <c r="F5773" s="534"/>
      <c r="G5773" s="534"/>
      <c r="H5773" s="534"/>
    </row>
    <row r="5774" spans="3:11" ht="25.8" customHeight="1">
      <c r="C5774" s="818">
        <v>1</v>
      </c>
      <c r="D5774" s="212" t="s">
        <v>5</v>
      </c>
      <c r="E5774" s="212" t="s">
        <v>6</v>
      </c>
      <c r="F5774" s="538">
        <v>6.4000000000000001E-2</v>
      </c>
      <c r="G5774" s="539">
        <f>VLOOKUP(D5774,upahbahan,3,FALSE)</f>
        <v>100000</v>
      </c>
      <c r="H5774" s="539">
        <f t="shared" ref="H5774:H5777" si="606">F5774*G5774</f>
        <v>6400</v>
      </c>
    </row>
    <row r="5775" spans="3:11" ht="25.8" customHeight="1">
      <c r="C5775" s="818">
        <v>2</v>
      </c>
      <c r="D5775" s="212" t="s">
        <v>3295</v>
      </c>
      <c r="E5775" s="212" t="s">
        <v>6</v>
      </c>
      <c r="F5775" s="538">
        <v>0.107</v>
      </c>
      <c r="G5775" s="539">
        <f>VLOOKUP(D5775,upahbahan,3,FALSE)</f>
        <v>135000</v>
      </c>
      <c r="H5775" s="539">
        <f t="shared" si="606"/>
        <v>14445</v>
      </c>
    </row>
    <row r="5776" spans="3:11" ht="25.8" customHeight="1">
      <c r="C5776" s="818">
        <v>3</v>
      </c>
      <c r="D5776" s="212" t="s">
        <v>18</v>
      </c>
      <c r="E5776" s="212" t="s">
        <v>6</v>
      </c>
      <c r="F5776" s="538">
        <v>1.0999999999999999E-2</v>
      </c>
      <c r="G5776" s="539">
        <f>VLOOKUP(D5776,upahbahan,3,FALSE)</f>
        <v>150000</v>
      </c>
      <c r="H5776" s="539">
        <f t="shared" si="606"/>
        <v>1650</v>
      </c>
    </row>
    <row r="5777" spans="3:11" ht="25.8" customHeight="1">
      <c r="C5777" s="818">
        <v>4</v>
      </c>
      <c r="D5777" s="212" t="s">
        <v>19</v>
      </c>
      <c r="E5777" s="212" t="s">
        <v>6</v>
      </c>
      <c r="F5777" s="538">
        <v>4.0000000000000001E-3</v>
      </c>
      <c r="G5777" s="539">
        <f>VLOOKUP(D5777,upahbahan,3,FALSE)</f>
        <v>160000</v>
      </c>
      <c r="H5777" s="539">
        <f t="shared" si="606"/>
        <v>640</v>
      </c>
    </row>
    <row r="5778" spans="3:11" ht="25.8" customHeight="1">
      <c r="C5778" s="702" t="s">
        <v>1208</v>
      </c>
      <c r="D5778" s="208"/>
      <c r="E5778" s="208"/>
      <c r="F5778" s="811"/>
      <c r="G5778" s="522"/>
      <c r="H5778" s="539">
        <f>SUM(H5774:H5777)</f>
        <v>23135</v>
      </c>
      <c r="I5778" s="819"/>
    </row>
    <row r="5779" spans="3:11" ht="25.8" customHeight="1">
      <c r="C5779" s="213" t="s">
        <v>1209</v>
      </c>
      <c r="D5779" s="212" t="s">
        <v>1210</v>
      </c>
      <c r="E5779" s="534"/>
      <c r="F5779" s="831"/>
      <c r="G5779" s="534"/>
      <c r="H5779" s="534"/>
    </row>
    <row r="5780" spans="3:11" ht="25.8" customHeight="1">
      <c r="C5780" s="213">
        <v>1</v>
      </c>
      <c r="D5780" s="212" t="s">
        <v>5832</v>
      </c>
      <c r="E5780" s="234" t="s">
        <v>2167</v>
      </c>
      <c r="F5780" s="866">
        <v>1.1000000000000001</v>
      </c>
      <c r="G5780" s="539">
        <f>VLOOKUP(D5780,upahbahan,3,FALSE)</f>
        <v>0</v>
      </c>
      <c r="H5780" s="539">
        <f>F5780*G5780</f>
        <v>0</v>
      </c>
    </row>
    <row r="5781" spans="3:11" ht="25.8" customHeight="1">
      <c r="C5781" s="213">
        <v>2</v>
      </c>
      <c r="D5781" s="212" t="s">
        <v>5823</v>
      </c>
      <c r="E5781" s="234" t="s">
        <v>44</v>
      </c>
      <c r="F5781" s="866">
        <v>1.1000000000000001</v>
      </c>
      <c r="G5781" s="539">
        <f>VLOOKUP(D5781,upahbahan,3,FALSE)</f>
        <v>0</v>
      </c>
      <c r="H5781" s="539">
        <f>F5781*G5781</f>
        <v>0</v>
      </c>
    </row>
    <row r="5782" spans="3:11" ht="25.8" customHeight="1">
      <c r="C5782" s="213">
        <v>3</v>
      </c>
      <c r="D5782" s="212" t="s">
        <v>5829</v>
      </c>
      <c r="E5782" s="234" t="s">
        <v>44</v>
      </c>
      <c r="F5782" s="866">
        <v>1.1000000000000001</v>
      </c>
      <c r="G5782" s="539">
        <f>VLOOKUP(D5782,upahbahan,3,FALSE)</f>
        <v>0</v>
      </c>
      <c r="H5782" s="539">
        <f>F5782*G5782</f>
        <v>0</v>
      </c>
    </row>
    <row r="5783" spans="3:11" ht="25.8" customHeight="1">
      <c r="C5783" s="702" t="s">
        <v>1214</v>
      </c>
      <c r="D5783" s="208"/>
      <c r="E5783" s="208"/>
      <c r="F5783" s="208"/>
      <c r="G5783" s="209"/>
      <c r="H5783" s="539">
        <f>SUM(H5780:H5782)</f>
        <v>0</v>
      </c>
    </row>
    <row r="5784" spans="3:11" ht="25.8" customHeight="1">
      <c r="C5784" s="213" t="s">
        <v>1215</v>
      </c>
      <c r="D5784" s="212" t="s">
        <v>1216</v>
      </c>
      <c r="E5784" s="534"/>
      <c r="F5784" s="534"/>
      <c r="G5784" s="534"/>
      <c r="H5784" s="534"/>
    </row>
    <row r="5785" spans="3:11" ht="25.8" customHeight="1">
      <c r="C5785" s="702" t="s">
        <v>1217</v>
      </c>
      <c r="D5785" s="815"/>
      <c r="E5785" s="815"/>
      <c r="F5785" s="815"/>
      <c r="G5785" s="209"/>
      <c r="H5785" s="821">
        <f>SUM(H5784)</f>
        <v>0</v>
      </c>
    </row>
    <row r="5786" spans="3:11" ht="25.8" customHeight="1">
      <c r="C5786" s="566" t="s">
        <v>1218</v>
      </c>
      <c r="D5786" s="552" t="s">
        <v>1219</v>
      </c>
      <c r="E5786" s="553"/>
      <c r="F5786" s="553"/>
      <c r="G5786" s="554"/>
      <c r="H5786" s="826">
        <f>H5785+H5783+H5778</f>
        <v>23135</v>
      </c>
      <c r="I5786" s="827"/>
    </row>
    <row r="5787" spans="3:11" ht="25.8" customHeight="1">
      <c r="C5787" s="566" t="s">
        <v>1220</v>
      </c>
      <c r="D5787" s="552" t="s">
        <v>1321</v>
      </c>
      <c r="E5787" s="553"/>
      <c r="F5787" s="554"/>
      <c r="G5787" s="555">
        <f>$M$9</f>
        <v>0.1</v>
      </c>
      <c r="H5787" s="539">
        <f>H5786*G5787</f>
        <v>2313.5</v>
      </c>
      <c r="I5787" s="827"/>
    </row>
    <row r="5788" spans="3:11" ht="25.8" customHeight="1">
      <c r="C5788" s="566" t="s">
        <v>1221</v>
      </c>
      <c r="D5788" s="552" t="s">
        <v>1222</v>
      </c>
      <c r="E5788" s="553"/>
      <c r="F5788" s="553"/>
      <c r="G5788" s="554"/>
      <c r="H5788" s="828">
        <f>SUM(H5786:H5787)</f>
        <v>25448.5</v>
      </c>
      <c r="I5788" s="827"/>
    </row>
    <row r="5789" spans="3:11" ht="25.8" customHeight="1"/>
    <row r="5790" spans="3:11" ht="25.8" customHeight="1"/>
    <row r="5791" spans="3:11" ht="25.8" customHeight="1">
      <c r="C5791" s="513" t="s">
        <v>5835</v>
      </c>
      <c r="D5791" s="817" t="s">
        <v>5836</v>
      </c>
      <c r="E5791" s="803"/>
      <c r="F5791" s="803"/>
      <c r="G5791" s="803"/>
      <c r="H5791" s="803"/>
      <c r="I5791" s="533">
        <f>ROUNDDOWN(H5806,-2)</f>
        <v>50800</v>
      </c>
      <c r="J5791" s="536"/>
      <c r="K5791" s="824"/>
    </row>
    <row r="5792" spans="3:11" ht="25.8" customHeight="1">
      <c r="C5792" s="716" t="s">
        <v>1195</v>
      </c>
      <c r="D5792" s="716" t="s">
        <v>1196</v>
      </c>
      <c r="E5792" s="716" t="s">
        <v>1197</v>
      </c>
      <c r="F5792" s="716" t="s">
        <v>1198</v>
      </c>
      <c r="G5792" s="716" t="s">
        <v>1199</v>
      </c>
      <c r="H5792" s="716" t="s">
        <v>1200</v>
      </c>
    </row>
    <row r="5793" spans="3:11" ht="25.8" customHeight="1">
      <c r="C5793" s="213" t="s">
        <v>1201</v>
      </c>
      <c r="D5793" s="212" t="s">
        <v>1202</v>
      </c>
      <c r="E5793" s="534"/>
      <c r="F5793" s="534"/>
      <c r="G5793" s="534"/>
      <c r="H5793" s="534"/>
    </row>
    <row r="5794" spans="3:11" ht="25.8" customHeight="1">
      <c r="C5794" s="818">
        <v>1</v>
      </c>
      <c r="D5794" s="212" t="s">
        <v>5</v>
      </c>
      <c r="E5794" s="212" t="s">
        <v>6</v>
      </c>
      <c r="F5794" s="538">
        <v>0.129</v>
      </c>
      <c r="G5794" s="539">
        <f>VLOOKUP(D5794,upahbahan,3,FALSE)</f>
        <v>100000</v>
      </c>
      <c r="H5794" s="539">
        <f t="shared" ref="H5794:H5797" si="607">F5794*G5794</f>
        <v>12900</v>
      </c>
    </row>
    <row r="5795" spans="3:11" ht="25.8" customHeight="1">
      <c r="C5795" s="818">
        <v>2</v>
      </c>
      <c r="D5795" s="212" t="s">
        <v>3295</v>
      </c>
      <c r="E5795" s="212" t="s">
        <v>6</v>
      </c>
      <c r="F5795" s="538">
        <v>0.215</v>
      </c>
      <c r="G5795" s="539">
        <f>VLOOKUP(D5795,upahbahan,3,FALSE)</f>
        <v>135000</v>
      </c>
      <c r="H5795" s="539">
        <f t="shared" si="607"/>
        <v>29025</v>
      </c>
    </row>
    <row r="5796" spans="3:11" ht="25.8" customHeight="1">
      <c r="C5796" s="818">
        <v>3</v>
      </c>
      <c r="D5796" s="212" t="s">
        <v>18</v>
      </c>
      <c r="E5796" s="212" t="s">
        <v>6</v>
      </c>
      <c r="F5796" s="538">
        <v>2.1000000000000001E-2</v>
      </c>
      <c r="G5796" s="539">
        <f>VLOOKUP(D5796,upahbahan,3,FALSE)</f>
        <v>150000</v>
      </c>
      <c r="H5796" s="539">
        <f t="shared" si="607"/>
        <v>3150</v>
      </c>
    </row>
    <row r="5797" spans="3:11" ht="25.8" customHeight="1">
      <c r="C5797" s="818">
        <v>4</v>
      </c>
      <c r="D5797" s="212" t="s">
        <v>19</v>
      </c>
      <c r="E5797" s="212" t="s">
        <v>6</v>
      </c>
      <c r="F5797" s="538">
        <v>7.0000000000000001E-3</v>
      </c>
      <c r="G5797" s="539">
        <f>VLOOKUP(D5797,upahbahan,3,FALSE)</f>
        <v>160000</v>
      </c>
      <c r="H5797" s="539">
        <f t="shared" si="607"/>
        <v>1120</v>
      </c>
    </row>
    <row r="5798" spans="3:11" ht="25.8" customHeight="1">
      <c r="C5798" s="702" t="s">
        <v>1208</v>
      </c>
      <c r="D5798" s="208"/>
      <c r="E5798" s="208"/>
      <c r="F5798" s="811"/>
      <c r="G5798" s="522"/>
      <c r="H5798" s="539">
        <f>SUM(H5794:H5797)</f>
        <v>46195</v>
      </c>
      <c r="I5798" s="819"/>
    </row>
    <row r="5799" spans="3:11" ht="25.8" customHeight="1">
      <c r="C5799" s="213" t="s">
        <v>1209</v>
      </c>
      <c r="D5799" s="212" t="s">
        <v>1210</v>
      </c>
      <c r="E5799" s="534"/>
      <c r="F5799" s="831"/>
      <c r="G5799" s="534"/>
      <c r="H5799" s="534"/>
    </row>
    <row r="5800" spans="3:11" ht="25.8" customHeight="1">
      <c r="C5800" s="213">
        <v>1</v>
      </c>
      <c r="D5800" s="212" t="s">
        <v>5837</v>
      </c>
      <c r="E5800" s="234" t="s">
        <v>135</v>
      </c>
      <c r="F5800" s="866">
        <v>1.1000000000000001</v>
      </c>
      <c r="G5800" s="539">
        <f>VLOOKUP(D5800,upahbahan,3,FALSE)</f>
        <v>0</v>
      </c>
      <c r="H5800" s="539">
        <f>F5800*G5800</f>
        <v>0</v>
      </c>
    </row>
    <row r="5801" spans="3:11" ht="25.8" customHeight="1">
      <c r="C5801" s="702" t="s">
        <v>1214</v>
      </c>
      <c r="D5801" s="208"/>
      <c r="E5801" s="208"/>
      <c r="F5801" s="208"/>
      <c r="G5801" s="209"/>
      <c r="H5801" s="539">
        <f>SUM(H5800:H5800)</f>
        <v>0</v>
      </c>
    </row>
    <row r="5802" spans="3:11" ht="25.8" customHeight="1">
      <c r="C5802" s="213" t="s">
        <v>1215</v>
      </c>
      <c r="D5802" s="212" t="s">
        <v>1216</v>
      </c>
      <c r="E5802" s="534"/>
      <c r="F5802" s="534"/>
      <c r="G5802" s="534"/>
      <c r="H5802" s="534"/>
    </row>
    <row r="5803" spans="3:11" ht="25.8" customHeight="1">
      <c r="C5803" s="702" t="s">
        <v>1217</v>
      </c>
      <c r="D5803" s="815"/>
      <c r="E5803" s="815"/>
      <c r="F5803" s="815"/>
      <c r="G5803" s="209"/>
      <c r="H5803" s="821">
        <f>SUM(H5802)</f>
        <v>0</v>
      </c>
    </row>
    <row r="5804" spans="3:11" ht="25.8" customHeight="1">
      <c r="C5804" s="566" t="s">
        <v>1218</v>
      </c>
      <c r="D5804" s="552" t="s">
        <v>1219</v>
      </c>
      <c r="E5804" s="553"/>
      <c r="F5804" s="553"/>
      <c r="G5804" s="554"/>
      <c r="H5804" s="826">
        <f>H5803+H5801+H5798</f>
        <v>46195</v>
      </c>
      <c r="I5804" s="827"/>
    </row>
    <row r="5805" spans="3:11" ht="25.8" customHeight="1">
      <c r="C5805" s="566" t="s">
        <v>1220</v>
      </c>
      <c r="D5805" s="552" t="s">
        <v>1321</v>
      </c>
      <c r="E5805" s="553"/>
      <c r="F5805" s="554"/>
      <c r="G5805" s="555">
        <f>$M$9</f>
        <v>0.1</v>
      </c>
      <c r="H5805" s="539">
        <f>H5804*G5805</f>
        <v>4619.5</v>
      </c>
      <c r="I5805" s="827"/>
    </row>
    <row r="5806" spans="3:11" ht="25.8" customHeight="1">
      <c r="C5806" s="566" t="s">
        <v>1221</v>
      </c>
      <c r="D5806" s="552" t="s">
        <v>1222</v>
      </c>
      <c r="E5806" s="553"/>
      <c r="F5806" s="553"/>
      <c r="G5806" s="554"/>
      <c r="H5806" s="828">
        <f>SUM(H5804:H5805)</f>
        <v>50814.5</v>
      </c>
      <c r="I5806" s="827"/>
    </row>
    <row r="5807" spans="3:11" ht="25.8" customHeight="1"/>
    <row r="5808" spans="3:11" ht="25.8" customHeight="1">
      <c r="C5808" s="513" t="s">
        <v>5838</v>
      </c>
      <c r="D5808" s="817" t="s">
        <v>5839</v>
      </c>
      <c r="E5808" s="803"/>
      <c r="F5808" s="803"/>
      <c r="G5808" s="803"/>
      <c r="H5808" s="803"/>
      <c r="I5808" s="533">
        <f>ROUNDDOWN(H5823,-2)</f>
        <v>50800</v>
      </c>
      <c r="J5808" s="536"/>
      <c r="K5808" s="824"/>
    </row>
    <row r="5809" spans="3:9" ht="25.8" customHeight="1">
      <c r="C5809" s="716" t="s">
        <v>1195</v>
      </c>
      <c r="D5809" s="716" t="s">
        <v>1196</v>
      </c>
      <c r="E5809" s="716" t="s">
        <v>1197</v>
      </c>
      <c r="F5809" s="716" t="s">
        <v>1198</v>
      </c>
      <c r="G5809" s="716" t="s">
        <v>1199</v>
      </c>
      <c r="H5809" s="716" t="s">
        <v>1200</v>
      </c>
    </row>
    <row r="5810" spans="3:9" ht="25.8" customHeight="1">
      <c r="C5810" s="213" t="s">
        <v>1201</v>
      </c>
      <c r="D5810" s="212" t="s">
        <v>1202</v>
      </c>
      <c r="E5810" s="534"/>
      <c r="F5810" s="534"/>
      <c r="G5810" s="534"/>
      <c r="H5810" s="534"/>
    </row>
    <row r="5811" spans="3:9" ht="25.8" customHeight="1">
      <c r="C5811" s="818">
        <v>1</v>
      </c>
      <c r="D5811" s="212" t="s">
        <v>5</v>
      </c>
      <c r="E5811" s="212" t="s">
        <v>6</v>
      </c>
      <c r="F5811" s="538">
        <v>0.129</v>
      </c>
      <c r="G5811" s="539">
        <f>VLOOKUP(D5811,upahbahan,3,FALSE)</f>
        <v>100000</v>
      </c>
      <c r="H5811" s="539">
        <f t="shared" ref="H5811:H5814" si="608">F5811*G5811</f>
        <v>12900</v>
      </c>
    </row>
    <row r="5812" spans="3:9" ht="25.8" customHeight="1">
      <c r="C5812" s="818">
        <v>2</v>
      </c>
      <c r="D5812" s="212" t="s">
        <v>3295</v>
      </c>
      <c r="E5812" s="212" t="s">
        <v>6</v>
      </c>
      <c r="F5812" s="538">
        <v>0.215</v>
      </c>
      <c r="G5812" s="539">
        <f>VLOOKUP(D5812,upahbahan,3,FALSE)</f>
        <v>135000</v>
      </c>
      <c r="H5812" s="539">
        <f t="shared" si="608"/>
        <v>29025</v>
      </c>
    </row>
    <row r="5813" spans="3:9" ht="25.8" customHeight="1">
      <c r="C5813" s="818">
        <v>3</v>
      </c>
      <c r="D5813" s="212" t="s">
        <v>18</v>
      </c>
      <c r="E5813" s="212" t="s">
        <v>6</v>
      </c>
      <c r="F5813" s="538">
        <v>2.1000000000000001E-2</v>
      </c>
      <c r="G5813" s="539">
        <f>VLOOKUP(D5813,upahbahan,3,FALSE)</f>
        <v>150000</v>
      </c>
      <c r="H5813" s="539">
        <f t="shared" si="608"/>
        <v>3150</v>
      </c>
    </row>
    <row r="5814" spans="3:9" ht="25.8" customHeight="1">
      <c r="C5814" s="818">
        <v>4</v>
      </c>
      <c r="D5814" s="212" t="s">
        <v>19</v>
      </c>
      <c r="E5814" s="212" t="s">
        <v>6</v>
      </c>
      <c r="F5814" s="538">
        <v>7.0000000000000001E-3</v>
      </c>
      <c r="G5814" s="539">
        <f>VLOOKUP(D5814,upahbahan,3,FALSE)</f>
        <v>160000</v>
      </c>
      <c r="H5814" s="539">
        <f t="shared" si="608"/>
        <v>1120</v>
      </c>
    </row>
    <row r="5815" spans="3:9" ht="25.8" customHeight="1">
      <c r="C5815" s="702" t="s">
        <v>1208</v>
      </c>
      <c r="D5815" s="208"/>
      <c r="E5815" s="208"/>
      <c r="F5815" s="811"/>
      <c r="G5815" s="522"/>
      <c r="H5815" s="539">
        <f>SUM(H5811:H5814)</f>
        <v>46195</v>
      </c>
      <c r="I5815" s="819"/>
    </row>
    <row r="5816" spans="3:9" ht="25.8" customHeight="1">
      <c r="C5816" s="213" t="s">
        <v>1209</v>
      </c>
      <c r="D5816" s="212" t="s">
        <v>1210</v>
      </c>
      <c r="E5816" s="534"/>
      <c r="F5816" s="831"/>
      <c r="G5816" s="534"/>
      <c r="H5816" s="534"/>
    </row>
    <row r="5817" spans="3:9" ht="25.8" customHeight="1">
      <c r="C5817" s="213">
        <v>1</v>
      </c>
      <c r="D5817" s="212" t="s">
        <v>5840</v>
      </c>
      <c r="E5817" s="234" t="s">
        <v>135</v>
      </c>
      <c r="F5817" s="866">
        <v>1.1000000000000001</v>
      </c>
      <c r="G5817" s="539">
        <f>VLOOKUP(D5817,upahbahan,3,FALSE)</f>
        <v>0</v>
      </c>
      <c r="H5817" s="539">
        <f>F5817*G5817</f>
        <v>0</v>
      </c>
    </row>
    <row r="5818" spans="3:9" ht="25.8" customHeight="1">
      <c r="C5818" s="702" t="s">
        <v>1214</v>
      </c>
      <c r="D5818" s="208"/>
      <c r="E5818" s="208"/>
      <c r="F5818" s="208"/>
      <c r="G5818" s="209"/>
      <c r="H5818" s="539">
        <f>SUM(H5817:H5817)</f>
        <v>0</v>
      </c>
    </row>
    <row r="5819" spans="3:9" ht="25.8" customHeight="1">
      <c r="C5819" s="213" t="s">
        <v>1215</v>
      </c>
      <c r="D5819" s="212" t="s">
        <v>1216</v>
      </c>
      <c r="E5819" s="534"/>
      <c r="F5819" s="534"/>
      <c r="G5819" s="534"/>
      <c r="H5819" s="534"/>
    </row>
    <row r="5820" spans="3:9" ht="25.8" customHeight="1">
      <c r="C5820" s="702" t="s">
        <v>1217</v>
      </c>
      <c r="D5820" s="815"/>
      <c r="E5820" s="815"/>
      <c r="F5820" s="815"/>
      <c r="G5820" s="209"/>
      <c r="H5820" s="821">
        <f>SUM(H5819)</f>
        <v>0</v>
      </c>
    </row>
    <row r="5821" spans="3:9" ht="25.8" customHeight="1">
      <c r="C5821" s="566" t="s">
        <v>1218</v>
      </c>
      <c r="D5821" s="552" t="s">
        <v>1219</v>
      </c>
      <c r="E5821" s="553"/>
      <c r="F5821" s="553"/>
      <c r="G5821" s="554"/>
      <c r="H5821" s="826">
        <f>H5820+H5818+H5815</f>
        <v>46195</v>
      </c>
      <c r="I5821" s="827"/>
    </row>
    <row r="5822" spans="3:9" ht="25.8" customHeight="1">
      <c r="C5822" s="566" t="s">
        <v>1220</v>
      </c>
      <c r="D5822" s="552" t="s">
        <v>1321</v>
      </c>
      <c r="E5822" s="553"/>
      <c r="F5822" s="554"/>
      <c r="G5822" s="555">
        <f>$M$9</f>
        <v>0.1</v>
      </c>
      <c r="H5822" s="539">
        <f>H5821*G5822</f>
        <v>4619.5</v>
      </c>
      <c r="I5822" s="827"/>
    </row>
    <row r="5823" spans="3:9" ht="25.8" customHeight="1">
      <c r="C5823" s="566" t="s">
        <v>1221</v>
      </c>
      <c r="D5823" s="552" t="s">
        <v>1222</v>
      </c>
      <c r="E5823" s="553"/>
      <c r="F5823" s="553"/>
      <c r="G5823" s="554"/>
      <c r="H5823" s="828">
        <f>SUM(H5821:H5822)</f>
        <v>50814.5</v>
      </c>
      <c r="I5823" s="827"/>
    </row>
    <row r="5824" spans="3:9" ht="25.8" customHeight="1"/>
    <row r="5825" spans="3:11" ht="25.8" customHeight="1">
      <c r="C5825" s="513" t="s">
        <v>5841</v>
      </c>
      <c r="D5825" s="817" t="s">
        <v>5842</v>
      </c>
      <c r="E5825" s="803"/>
      <c r="F5825" s="803"/>
      <c r="G5825" s="803"/>
      <c r="H5825" s="803"/>
      <c r="I5825" s="533">
        <f>ROUNDDOWN(H5841,-2)</f>
        <v>50800</v>
      </c>
      <c r="J5825" s="536"/>
      <c r="K5825" s="824"/>
    </row>
    <row r="5826" spans="3:11" ht="25.8" customHeight="1">
      <c r="C5826" s="716" t="s">
        <v>1195</v>
      </c>
      <c r="D5826" s="716" t="s">
        <v>1196</v>
      </c>
      <c r="E5826" s="716" t="s">
        <v>1197</v>
      </c>
      <c r="F5826" s="716" t="s">
        <v>1198</v>
      </c>
      <c r="G5826" s="716" t="s">
        <v>1199</v>
      </c>
      <c r="H5826" s="716" t="s">
        <v>1200</v>
      </c>
    </row>
    <row r="5827" spans="3:11" ht="25.8" customHeight="1">
      <c r="C5827" s="213" t="s">
        <v>1201</v>
      </c>
      <c r="D5827" s="212" t="s">
        <v>1202</v>
      </c>
      <c r="E5827" s="534"/>
      <c r="F5827" s="534"/>
      <c r="G5827" s="534"/>
      <c r="H5827" s="534"/>
    </row>
    <row r="5828" spans="3:11" ht="25.8" customHeight="1">
      <c r="C5828" s="818">
        <v>1</v>
      </c>
      <c r="D5828" s="212" t="s">
        <v>5</v>
      </c>
      <c r="E5828" s="212" t="s">
        <v>6</v>
      </c>
      <c r="F5828" s="538">
        <v>0.129</v>
      </c>
      <c r="G5828" s="539">
        <f>VLOOKUP(D5828,upahbahan,3,FALSE)</f>
        <v>100000</v>
      </c>
      <c r="H5828" s="539">
        <f t="shared" ref="H5828:H5831" si="609">F5828*G5828</f>
        <v>12900</v>
      </c>
    </row>
    <row r="5829" spans="3:11" ht="25.8" customHeight="1">
      <c r="C5829" s="818">
        <v>2</v>
      </c>
      <c r="D5829" s="212" t="s">
        <v>3295</v>
      </c>
      <c r="E5829" s="212" t="s">
        <v>6</v>
      </c>
      <c r="F5829" s="538">
        <v>0.215</v>
      </c>
      <c r="G5829" s="539">
        <f>VLOOKUP(D5829,upahbahan,3,FALSE)</f>
        <v>135000</v>
      </c>
      <c r="H5829" s="539">
        <f t="shared" si="609"/>
        <v>29025</v>
      </c>
    </row>
    <row r="5830" spans="3:11" ht="25.8" customHeight="1">
      <c r="C5830" s="818">
        <v>3</v>
      </c>
      <c r="D5830" s="212" t="s">
        <v>18</v>
      </c>
      <c r="E5830" s="212" t="s">
        <v>6</v>
      </c>
      <c r="F5830" s="538">
        <v>2.1000000000000001E-2</v>
      </c>
      <c r="G5830" s="539">
        <f>VLOOKUP(D5830,upahbahan,3,FALSE)</f>
        <v>150000</v>
      </c>
      <c r="H5830" s="539">
        <f t="shared" si="609"/>
        <v>3150</v>
      </c>
    </row>
    <row r="5831" spans="3:11" ht="25.8" customHeight="1">
      <c r="C5831" s="818">
        <v>4</v>
      </c>
      <c r="D5831" s="212" t="s">
        <v>19</v>
      </c>
      <c r="E5831" s="212" t="s">
        <v>6</v>
      </c>
      <c r="F5831" s="538">
        <v>7.0000000000000001E-3</v>
      </c>
      <c r="G5831" s="539">
        <f>VLOOKUP(D5831,upahbahan,3,FALSE)</f>
        <v>160000</v>
      </c>
      <c r="H5831" s="539">
        <f t="shared" si="609"/>
        <v>1120</v>
      </c>
    </row>
    <row r="5832" spans="3:11" ht="25.8" customHeight="1">
      <c r="C5832" s="702" t="s">
        <v>1208</v>
      </c>
      <c r="D5832" s="208"/>
      <c r="E5832" s="208"/>
      <c r="F5832" s="811"/>
      <c r="G5832" s="522"/>
      <c r="H5832" s="539">
        <f>SUM(H5828:H5831)</f>
        <v>46195</v>
      </c>
      <c r="I5832" s="819"/>
    </row>
    <row r="5833" spans="3:11" ht="25.8" customHeight="1">
      <c r="C5833" s="213" t="s">
        <v>1209</v>
      </c>
      <c r="D5833" s="212" t="s">
        <v>1210</v>
      </c>
      <c r="E5833" s="534"/>
      <c r="F5833" s="831"/>
      <c r="G5833" s="534"/>
      <c r="H5833" s="534"/>
    </row>
    <row r="5834" spans="3:11" ht="25.8" customHeight="1">
      <c r="C5834" s="213">
        <v>1</v>
      </c>
      <c r="D5834" s="212" t="s">
        <v>5843</v>
      </c>
      <c r="E5834" s="234" t="s">
        <v>135</v>
      </c>
      <c r="F5834" s="866">
        <v>1.1000000000000001</v>
      </c>
      <c r="G5834" s="539">
        <f>VLOOKUP(D5834,upahbahan,3,FALSE)</f>
        <v>0</v>
      </c>
      <c r="H5834" s="539">
        <f>F5834*G5834</f>
        <v>0</v>
      </c>
    </row>
    <row r="5835" spans="3:11" ht="25.8" customHeight="1">
      <c r="C5835" s="213">
        <v>2</v>
      </c>
      <c r="D5835" s="212" t="s">
        <v>5844</v>
      </c>
      <c r="E5835" s="234" t="s">
        <v>135</v>
      </c>
      <c r="F5835" s="866">
        <v>1.1000000000000001</v>
      </c>
      <c r="G5835" s="539">
        <f>VLOOKUP(D5835,upahbahan,3,FALSE)</f>
        <v>0</v>
      </c>
      <c r="H5835" s="539">
        <f>F5835*G5835</f>
        <v>0</v>
      </c>
    </row>
    <row r="5836" spans="3:11" ht="25.8" customHeight="1">
      <c r="C5836" s="702" t="s">
        <v>1214</v>
      </c>
      <c r="D5836" s="208"/>
      <c r="E5836" s="208"/>
      <c r="F5836" s="208"/>
      <c r="G5836" s="209"/>
      <c r="H5836" s="539">
        <f>SUM(H5834:H5835)</f>
        <v>0</v>
      </c>
    </row>
    <row r="5837" spans="3:11" ht="25.8" customHeight="1">
      <c r="C5837" s="213" t="s">
        <v>1215</v>
      </c>
      <c r="D5837" s="212" t="s">
        <v>1216</v>
      </c>
      <c r="E5837" s="534"/>
      <c r="F5837" s="534"/>
      <c r="G5837" s="534"/>
      <c r="H5837" s="534"/>
    </row>
    <row r="5838" spans="3:11" ht="25.8" customHeight="1">
      <c r="C5838" s="702" t="s">
        <v>1217</v>
      </c>
      <c r="D5838" s="815"/>
      <c r="E5838" s="815"/>
      <c r="F5838" s="815"/>
      <c r="G5838" s="209"/>
      <c r="H5838" s="821">
        <f>SUM(H5837)</f>
        <v>0</v>
      </c>
    </row>
    <row r="5839" spans="3:11" ht="25.8" customHeight="1">
      <c r="C5839" s="566" t="s">
        <v>1218</v>
      </c>
      <c r="D5839" s="552" t="s">
        <v>1219</v>
      </c>
      <c r="E5839" s="553"/>
      <c r="F5839" s="553"/>
      <c r="G5839" s="554"/>
      <c r="H5839" s="826">
        <f>H5838+H5836+H5832</f>
        <v>46195</v>
      </c>
      <c r="I5839" s="827"/>
    </row>
    <row r="5840" spans="3:11" ht="25.8" customHeight="1">
      <c r="C5840" s="566" t="s">
        <v>1220</v>
      </c>
      <c r="D5840" s="552" t="s">
        <v>1321</v>
      </c>
      <c r="E5840" s="553"/>
      <c r="F5840" s="554"/>
      <c r="G5840" s="555">
        <f>$M$9</f>
        <v>0.1</v>
      </c>
      <c r="H5840" s="539">
        <f>H5839*G5840</f>
        <v>4619.5</v>
      </c>
      <c r="I5840" s="827"/>
    </row>
    <row r="5841" spans="3:11" ht="25.8" customHeight="1">
      <c r="C5841" s="566" t="s">
        <v>1221</v>
      </c>
      <c r="D5841" s="552" t="s">
        <v>1222</v>
      </c>
      <c r="E5841" s="553"/>
      <c r="F5841" s="553"/>
      <c r="G5841" s="554"/>
      <c r="H5841" s="828">
        <f>SUM(H5839:H5840)</f>
        <v>50814.5</v>
      </c>
      <c r="I5841" s="827"/>
    </row>
    <row r="5842" spans="3:11" ht="25.8" customHeight="1"/>
    <row r="5843" spans="3:11" ht="25.8" customHeight="1">
      <c r="C5843" s="513" t="s">
        <v>5845</v>
      </c>
      <c r="D5843" s="817" t="s">
        <v>5846</v>
      </c>
      <c r="E5843" s="803"/>
      <c r="F5843" s="803"/>
      <c r="G5843" s="803"/>
      <c r="H5843" s="803"/>
      <c r="I5843" s="533">
        <f>ROUNDDOWN(H5858,-2)</f>
        <v>100700</v>
      </c>
      <c r="J5843" s="536"/>
      <c r="K5843" s="824"/>
    </row>
    <row r="5844" spans="3:11" ht="25.8" customHeight="1">
      <c r="C5844" s="716" t="s">
        <v>1195</v>
      </c>
      <c r="D5844" s="716" t="s">
        <v>1196</v>
      </c>
      <c r="E5844" s="716" t="s">
        <v>1197</v>
      </c>
      <c r="F5844" s="716" t="s">
        <v>1198</v>
      </c>
      <c r="G5844" s="716" t="s">
        <v>1199</v>
      </c>
      <c r="H5844" s="716" t="s">
        <v>1200</v>
      </c>
    </row>
    <row r="5845" spans="3:11" ht="25.8" customHeight="1">
      <c r="C5845" s="213" t="s">
        <v>1201</v>
      </c>
      <c r="D5845" s="212" t="s">
        <v>1202</v>
      </c>
      <c r="E5845" s="534"/>
      <c r="F5845" s="534"/>
      <c r="G5845" s="534"/>
      <c r="H5845" s="534"/>
    </row>
    <row r="5846" spans="3:11" ht="25.8" customHeight="1">
      <c r="C5846" s="818">
        <v>1</v>
      </c>
      <c r="D5846" s="212" t="s">
        <v>5</v>
      </c>
      <c r="E5846" s="212" t="s">
        <v>6</v>
      </c>
      <c r="F5846" s="538">
        <v>0.255</v>
      </c>
      <c r="G5846" s="539">
        <f>VLOOKUP(D5846,upahbahan,3,FALSE)</f>
        <v>100000</v>
      </c>
      <c r="H5846" s="539">
        <f t="shared" ref="H5846:H5849" si="610">F5846*G5846</f>
        <v>25500</v>
      </c>
    </row>
    <row r="5847" spans="3:11" ht="25.8" customHeight="1">
      <c r="C5847" s="818">
        <v>2</v>
      </c>
      <c r="D5847" s="212" t="s">
        <v>3295</v>
      </c>
      <c r="E5847" s="212" t="s">
        <v>6</v>
      </c>
      <c r="F5847" s="538">
        <v>0.42499999999999999</v>
      </c>
      <c r="G5847" s="539">
        <f>VLOOKUP(D5847,upahbahan,3,FALSE)</f>
        <v>135000</v>
      </c>
      <c r="H5847" s="539">
        <f t="shared" si="610"/>
        <v>57375</v>
      </c>
    </row>
    <row r="5848" spans="3:11" ht="25.8" customHeight="1">
      <c r="C5848" s="818">
        <v>3</v>
      </c>
      <c r="D5848" s="212" t="s">
        <v>18</v>
      </c>
      <c r="E5848" s="212" t="s">
        <v>6</v>
      </c>
      <c r="F5848" s="538">
        <v>4.2999999999999997E-2</v>
      </c>
      <c r="G5848" s="539">
        <f>VLOOKUP(D5848,upahbahan,3,FALSE)</f>
        <v>150000</v>
      </c>
      <c r="H5848" s="539">
        <f t="shared" si="610"/>
        <v>6449.9999999999991</v>
      </c>
    </row>
    <row r="5849" spans="3:11" ht="25.8" customHeight="1">
      <c r="C5849" s="818">
        <v>4</v>
      </c>
      <c r="D5849" s="212" t="s">
        <v>19</v>
      </c>
      <c r="E5849" s="212" t="s">
        <v>6</v>
      </c>
      <c r="F5849" s="538">
        <v>1.4E-2</v>
      </c>
      <c r="G5849" s="539">
        <f>VLOOKUP(D5849,upahbahan,3,FALSE)</f>
        <v>160000</v>
      </c>
      <c r="H5849" s="539">
        <f t="shared" si="610"/>
        <v>2240</v>
      </c>
    </row>
    <row r="5850" spans="3:11" ht="25.8" customHeight="1">
      <c r="C5850" s="702" t="s">
        <v>1208</v>
      </c>
      <c r="D5850" s="208"/>
      <c r="E5850" s="208"/>
      <c r="F5850" s="811"/>
      <c r="G5850" s="522"/>
      <c r="H5850" s="539">
        <f>SUM(H5846:H5849)</f>
        <v>91565</v>
      </c>
      <c r="I5850" s="819"/>
    </row>
    <row r="5851" spans="3:11" ht="25.8" customHeight="1">
      <c r="C5851" s="213" t="s">
        <v>1209</v>
      </c>
      <c r="D5851" s="212" t="s">
        <v>1210</v>
      </c>
      <c r="E5851" s="534"/>
      <c r="F5851" s="831"/>
      <c r="G5851" s="534"/>
      <c r="H5851" s="534"/>
    </row>
    <row r="5852" spans="3:11" ht="25.8" customHeight="1">
      <c r="C5852" s="213">
        <v>1</v>
      </c>
      <c r="D5852" s="212" t="s">
        <v>5847</v>
      </c>
      <c r="E5852" s="234" t="s">
        <v>135</v>
      </c>
      <c r="F5852" s="866">
        <v>1.2</v>
      </c>
      <c r="G5852" s="539">
        <f>VLOOKUP(D5852,upahbahan,3,FALSE)</f>
        <v>0</v>
      </c>
      <c r="H5852" s="539">
        <f>F5852*G5852</f>
        <v>0</v>
      </c>
    </row>
    <row r="5853" spans="3:11" ht="25.8" customHeight="1">
      <c r="C5853" s="702" t="s">
        <v>1214</v>
      </c>
      <c r="D5853" s="208"/>
      <c r="E5853" s="208"/>
      <c r="F5853" s="208"/>
      <c r="G5853" s="209"/>
      <c r="H5853" s="539">
        <f>SUM(H5852:H5852)</f>
        <v>0</v>
      </c>
    </row>
    <row r="5854" spans="3:11" ht="25.8" customHeight="1">
      <c r="C5854" s="213" t="s">
        <v>1215</v>
      </c>
      <c r="D5854" s="212" t="s">
        <v>1216</v>
      </c>
      <c r="E5854" s="534"/>
      <c r="F5854" s="534"/>
      <c r="G5854" s="534"/>
      <c r="H5854" s="534"/>
    </row>
    <row r="5855" spans="3:11" ht="25.8" customHeight="1">
      <c r="C5855" s="702" t="s">
        <v>1217</v>
      </c>
      <c r="D5855" s="815"/>
      <c r="E5855" s="815"/>
      <c r="F5855" s="815"/>
      <c r="G5855" s="209"/>
      <c r="H5855" s="821">
        <f>SUM(H5854)</f>
        <v>0</v>
      </c>
    </row>
    <row r="5856" spans="3:11" ht="25.8" customHeight="1">
      <c r="C5856" s="566" t="s">
        <v>1218</v>
      </c>
      <c r="D5856" s="552" t="s">
        <v>1219</v>
      </c>
      <c r="E5856" s="553"/>
      <c r="F5856" s="553"/>
      <c r="G5856" s="554"/>
      <c r="H5856" s="826">
        <f>H5855+H5853+H5850</f>
        <v>91565</v>
      </c>
      <c r="I5856" s="827"/>
    </row>
    <row r="5857" spans="3:11" ht="25.8" customHeight="1">
      <c r="C5857" s="566" t="s">
        <v>1220</v>
      </c>
      <c r="D5857" s="552" t="s">
        <v>1321</v>
      </c>
      <c r="E5857" s="553"/>
      <c r="F5857" s="554"/>
      <c r="G5857" s="555">
        <f>$M$9</f>
        <v>0.1</v>
      </c>
      <c r="H5857" s="539">
        <f>H5856*G5857</f>
        <v>9156.5</v>
      </c>
      <c r="I5857" s="827"/>
    </row>
    <row r="5858" spans="3:11" ht="25.8" customHeight="1">
      <c r="C5858" s="566" t="s">
        <v>1221</v>
      </c>
      <c r="D5858" s="552" t="s">
        <v>1222</v>
      </c>
      <c r="E5858" s="553"/>
      <c r="F5858" s="553"/>
      <c r="G5858" s="554"/>
      <c r="H5858" s="828">
        <f>SUM(H5856:H5857)</f>
        <v>100721.5</v>
      </c>
      <c r="I5858" s="827"/>
    </row>
    <row r="5859" spans="3:11" ht="25.8" customHeight="1"/>
    <row r="5860" spans="3:11" ht="25.8" customHeight="1">
      <c r="C5860" s="513" t="s">
        <v>5848</v>
      </c>
      <c r="D5860" s="817" t="s">
        <v>5849</v>
      </c>
      <c r="E5860" s="803"/>
      <c r="F5860" s="803"/>
      <c r="G5860" s="803"/>
      <c r="H5860" s="803"/>
      <c r="I5860" s="533">
        <f>ROUNDDOWN(H5875,-2)</f>
        <v>30000</v>
      </c>
      <c r="J5860" s="536"/>
      <c r="K5860" s="824"/>
    </row>
    <row r="5861" spans="3:11" ht="25.8" customHeight="1">
      <c r="C5861" s="716" t="s">
        <v>1195</v>
      </c>
      <c r="D5861" s="716" t="s">
        <v>1196</v>
      </c>
      <c r="E5861" s="716" t="s">
        <v>1197</v>
      </c>
      <c r="F5861" s="716" t="s">
        <v>1198</v>
      </c>
      <c r="G5861" s="716" t="s">
        <v>1199</v>
      </c>
      <c r="H5861" s="716" t="s">
        <v>1200</v>
      </c>
    </row>
    <row r="5862" spans="3:11" ht="25.8" customHeight="1">
      <c r="C5862" s="213" t="s">
        <v>1201</v>
      </c>
      <c r="D5862" s="212" t="s">
        <v>1202</v>
      </c>
      <c r="E5862" s="534"/>
      <c r="F5862" s="534"/>
      <c r="G5862" s="534"/>
      <c r="H5862" s="534"/>
    </row>
    <row r="5863" spans="3:11" ht="25.8" customHeight="1">
      <c r="C5863" s="818">
        <v>1</v>
      </c>
      <c r="D5863" s="212" t="s">
        <v>5</v>
      </c>
      <c r="E5863" s="212" t="s">
        <v>6</v>
      </c>
      <c r="F5863" s="538">
        <v>7.5999999999999998E-2</v>
      </c>
      <c r="G5863" s="539">
        <f>VLOOKUP(D5863,upahbahan,3,FALSE)</f>
        <v>100000</v>
      </c>
      <c r="H5863" s="539">
        <f t="shared" ref="H5863:H5866" si="611">F5863*G5863</f>
        <v>7600</v>
      </c>
    </row>
    <row r="5864" spans="3:11" ht="25.8" customHeight="1">
      <c r="C5864" s="818">
        <v>2</v>
      </c>
      <c r="D5864" s="212" t="s">
        <v>3295</v>
      </c>
      <c r="E5864" s="212" t="s">
        <v>6</v>
      </c>
      <c r="F5864" s="538">
        <v>0.127</v>
      </c>
      <c r="G5864" s="539">
        <f>VLOOKUP(D5864,upahbahan,3,FALSE)</f>
        <v>135000</v>
      </c>
      <c r="H5864" s="539">
        <f t="shared" si="611"/>
        <v>17145</v>
      </c>
    </row>
    <row r="5865" spans="3:11" ht="25.8" customHeight="1">
      <c r="C5865" s="818">
        <v>3</v>
      </c>
      <c r="D5865" s="212" t="s">
        <v>18</v>
      </c>
      <c r="E5865" s="212" t="s">
        <v>6</v>
      </c>
      <c r="F5865" s="538">
        <v>1.2999999999999999E-2</v>
      </c>
      <c r="G5865" s="539">
        <f>VLOOKUP(D5865,upahbahan,3,FALSE)</f>
        <v>150000</v>
      </c>
      <c r="H5865" s="539">
        <f t="shared" si="611"/>
        <v>1950</v>
      </c>
    </row>
    <row r="5866" spans="3:11" ht="25.8" customHeight="1">
      <c r="C5866" s="818">
        <v>4</v>
      </c>
      <c r="D5866" s="212" t="s">
        <v>19</v>
      </c>
      <c r="E5866" s="212" t="s">
        <v>6</v>
      </c>
      <c r="F5866" s="538">
        <v>4.0000000000000001E-3</v>
      </c>
      <c r="G5866" s="539">
        <f>VLOOKUP(D5866,upahbahan,3,FALSE)</f>
        <v>160000</v>
      </c>
      <c r="H5866" s="539">
        <f t="shared" si="611"/>
        <v>640</v>
      </c>
    </row>
    <row r="5867" spans="3:11" ht="25.8" customHeight="1">
      <c r="C5867" s="702" t="s">
        <v>1208</v>
      </c>
      <c r="D5867" s="208"/>
      <c r="E5867" s="208"/>
      <c r="F5867" s="811"/>
      <c r="G5867" s="522"/>
      <c r="H5867" s="539">
        <f>SUM(H5863:H5866)</f>
        <v>27335</v>
      </c>
      <c r="I5867" s="819"/>
    </row>
    <row r="5868" spans="3:11" ht="25.8" customHeight="1">
      <c r="C5868" s="213" t="s">
        <v>1209</v>
      </c>
      <c r="D5868" s="212" t="s">
        <v>1210</v>
      </c>
      <c r="E5868" s="534"/>
      <c r="F5868" s="831"/>
      <c r="G5868" s="534"/>
      <c r="H5868" s="534"/>
    </row>
    <row r="5869" spans="3:11" ht="25.8" customHeight="1">
      <c r="C5869" s="213">
        <v>1</v>
      </c>
      <c r="D5869" s="212" t="s">
        <v>5850</v>
      </c>
      <c r="E5869" s="234" t="s">
        <v>2167</v>
      </c>
      <c r="F5869" s="866">
        <v>1.1000000000000001</v>
      </c>
      <c r="G5869" s="539">
        <f>VLOOKUP(D5869,upahbahan,3,FALSE)</f>
        <v>0</v>
      </c>
      <c r="H5869" s="539">
        <f>F5869*G5869</f>
        <v>0</v>
      </c>
    </row>
    <row r="5870" spans="3:11" ht="25.8" customHeight="1">
      <c r="C5870" s="702" t="s">
        <v>1214</v>
      </c>
      <c r="D5870" s="208"/>
      <c r="E5870" s="208"/>
      <c r="F5870" s="208"/>
      <c r="G5870" s="209"/>
      <c r="H5870" s="539">
        <f>SUM(H5869:H5869)</f>
        <v>0</v>
      </c>
    </row>
    <row r="5871" spans="3:11" ht="25.8" customHeight="1">
      <c r="C5871" s="213" t="s">
        <v>1215</v>
      </c>
      <c r="D5871" s="212" t="s">
        <v>1216</v>
      </c>
      <c r="E5871" s="534"/>
      <c r="F5871" s="534"/>
      <c r="G5871" s="534"/>
      <c r="H5871" s="534"/>
    </row>
    <row r="5872" spans="3:11" ht="25.8" customHeight="1">
      <c r="C5872" s="702" t="s">
        <v>1217</v>
      </c>
      <c r="D5872" s="815"/>
      <c r="E5872" s="815"/>
      <c r="F5872" s="815"/>
      <c r="G5872" s="209"/>
      <c r="H5872" s="821">
        <f>SUM(H5871)</f>
        <v>0</v>
      </c>
    </row>
    <row r="5873" spans="3:11" ht="25.8" customHeight="1">
      <c r="C5873" s="566" t="s">
        <v>1218</v>
      </c>
      <c r="D5873" s="552" t="s">
        <v>1219</v>
      </c>
      <c r="E5873" s="553"/>
      <c r="F5873" s="553"/>
      <c r="G5873" s="554"/>
      <c r="H5873" s="826">
        <f>H5872+H5870+H5867</f>
        <v>27335</v>
      </c>
      <c r="I5873" s="827"/>
    </row>
    <row r="5874" spans="3:11" ht="25.8" customHeight="1">
      <c r="C5874" s="566" t="s">
        <v>1220</v>
      </c>
      <c r="D5874" s="552" t="s">
        <v>1321</v>
      </c>
      <c r="E5874" s="553"/>
      <c r="F5874" s="554"/>
      <c r="G5874" s="555">
        <f>$M$9</f>
        <v>0.1</v>
      </c>
      <c r="H5874" s="539">
        <f>H5873*G5874</f>
        <v>2733.5</v>
      </c>
      <c r="I5874" s="827"/>
    </row>
    <row r="5875" spans="3:11" ht="25.8" customHeight="1">
      <c r="C5875" s="566" t="s">
        <v>1221</v>
      </c>
      <c r="D5875" s="552" t="s">
        <v>1222</v>
      </c>
      <c r="E5875" s="553"/>
      <c r="F5875" s="553"/>
      <c r="G5875" s="554"/>
      <c r="H5875" s="828">
        <f>SUM(H5873:H5874)</f>
        <v>30068.5</v>
      </c>
      <c r="I5875" s="827"/>
    </row>
    <row r="5876" spans="3:11" ht="25.8" customHeight="1"/>
    <row r="5877" spans="3:11" ht="25.8" customHeight="1">
      <c r="C5877" s="513" t="s">
        <v>5851</v>
      </c>
      <c r="D5877" s="817" t="s">
        <v>5854</v>
      </c>
      <c r="E5877" s="803"/>
      <c r="F5877" s="803"/>
      <c r="G5877" s="803"/>
      <c r="H5877" s="803"/>
      <c r="I5877" s="533">
        <f>ROUNDDOWN(H5892,-2)</f>
        <v>45000</v>
      </c>
      <c r="J5877" s="536"/>
      <c r="K5877" s="824"/>
    </row>
    <row r="5878" spans="3:11" ht="25.8" customHeight="1">
      <c r="C5878" s="716" t="s">
        <v>1195</v>
      </c>
      <c r="D5878" s="716" t="s">
        <v>1196</v>
      </c>
      <c r="E5878" s="716" t="s">
        <v>1197</v>
      </c>
      <c r="F5878" s="716" t="s">
        <v>1198</v>
      </c>
      <c r="G5878" s="716" t="s">
        <v>1199</v>
      </c>
      <c r="H5878" s="716" t="s">
        <v>1200</v>
      </c>
    </row>
    <row r="5879" spans="3:11" ht="25.8" customHeight="1">
      <c r="C5879" s="213" t="s">
        <v>1201</v>
      </c>
      <c r="D5879" s="212" t="s">
        <v>1202</v>
      </c>
      <c r="E5879" s="534"/>
      <c r="F5879" s="534"/>
      <c r="G5879" s="534"/>
      <c r="H5879" s="534"/>
    </row>
    <row r="5880" spans="3:11" ht="25.8" customHeight="1">
      <c r="C5880" s="818">
        <v>1</v>
      </c>
      <c r="D5880" s="212" t="s">
        <v>5</v>
      </c>
      <c r="E5880" s="212" t="s">
        <v>6</v>
      </c>
      <c r="F5880" s="538">
        <v>0.114</v>
      </c>
      <c r="G5880" s="539">
        <f>VLOOKUP(D5880,upahbahan,3,FALSE)</f>
        <v>100000</v>
      </c>
      <c r="H5880" s="539">
        <f t="shared" ref="H5880:H5883" si="612">F5880*G5880</f>
        <v>11400</v>
      </c>
    </row>
    <row r="5881" spans="3:11" ht="25.8" customHeight="1">
      <c r="C5881" s="818">
        <v>2</v>
      </c>
      <c r="D5881" s="212" t="s">
        <v>3295</v>
      </c>
      <c r="E5881" s="212" t="s">
        <v>6</v>
      </c>
      <c r="F5881" s="538">
        <v>0.191</v>
      </c>
      <c r="G5881" s="539">
        <f>VLOOKUP(D5881,upahbahan,3,FALSE)</f>
        <v>135000</v>
      </c>
      <c r="H5881" s="539">
        <f t="shared" si="612"/>
        <v>25785</v>
      </c>
    </row>
    <row r="5882" spans="3:11" ht="25.8" customHeight="1">
      <c r="C5882" s="818">
        <v>3</v>
      </c>
      <c r="D5882" s="212" t="s">
        <v>18</v>
      </c>
      <c r="E5882" s="212" t="s">
        <v>6</v>
      </c>
      <c r="F5882" s="538">
        <v>1.9E-2</v>
      </c>
      <c r="G5882" s="539">
        <f>VLOOKUP(D5882,upahbahan,3,FALSE)</f>
        <v>150000</v>
      </c>
      <c r="H5882" s="539">
        <f t="shared" si="612"/>
        <v>2850</v>
      </c>
    </row>
    <row r="5883" spans="3:11" ht="25.8" customHeight="1">
      <c r="C5883" s="818">
        <v>4</v>
      </c>
      <c r="D5883" s="212" t="s">
        <v>19</v>
      </c>
      <c r="E5883" s="212" t="s">
        <v>6</v>
      </c>
      <c r="F5883" s="538">
        <v>6.0000000000000001E-3</v>
      </c>
      <c r="G5883" s="539">
        <f>VLOOKUP(D5883,upahbahan,3,FALSE)</f>
        <v>160000</v>
      </c>
      <c r="H5883" s="539">
        <f t="shared" si="612"/>
        <v>960</v>
      </c>
    </row>
    <row r="5884" spans="3:11" ht="25.8" customHeight="1">
      <c r="C5884" s="702" t="s">
        <v>1208</v>
      </c>
      <c r="D5884" s="208"/>
      <c r="E5884" s="208"/>
      <c r="F5884" s="811"/>
      <c r="G5884" s="522"/>
      <c r="H5884" s="539">
        <f>SUM(H5880:H5883)</f>
        <v>40995</v>
      </c>
      <c r="I5884" s="819"/>
    </row>
    <row r="5885" spans="3:11" ht="25.8" customHeight="1">
      <c r="C5885" s="213" t="s">
        <v>1209</v>
      </c>
      <c r="D5885" s="212" t="s">
        <v>1210</v>
      </c>
      <c r="E5885" s="534"/>
      <c r="F5885" s="831"/>
      <c r="G5885" s="534"/>
      <c r="H5885" s="534"/>
    </row>
    <row r="5886" spans="3:11" ht="25.8" customHeight="1">
      <c r="C5886" s="213">
        <v>1</v>
      </c>
      <c r="D5886" s="212" t="s">
        <v>5852</v>
      </c>
      <c r="E5886" s="234" t="s">
        <v>2167</v>
      </c>
      <c r="F5886" s="866">
        <v>1.1000000000000001</v>
      </c>
      <c r="G5886" s="539">
        <f>VLOOKUP(D5886,upahbahan,3,FALSE)</f>
        <v>0</v>
      </c>
      <c r="H5886" s="539">
        <f>F5886*G5886</f>
        <v>0</v>
      </c>
    </row>
    <row r="5887" spans="3:11" ht="25.8" customHeight="1">
      <c r="C5887" s="702" t="s">
        <v>1214</v>
      </c>
      <c r="D5887" s="208"/>
      <c r="E5887" s="208"/>
      <c r="F5887" s="208"/>
      <c r="G5887" s="209"/>
      <c r="H5887" s="539">
        <f>SUM(H5886:H5886)</f>
        <v>0</v>
      </c>
    </row>
    <row r="5888" spans="3:11" ht="25.8" customHeight="1">
      <c r="C5888" s="213" t="s">
        <v>1215</v>
      </c>
      <c r="D5888" s="212" t="s">
        <v>1216</v>
      </c>
      <c r="E5888" s="534"/>
      <c r="F5888" s="534"/>
      <c r="G5888" s="534"/>
      <c r="H5888" s="534"/>
    </row>
    <row r="5889" spans="3:11" ht="25.8" customHeight="1">
      <c r="C5889" s="702" t="s">
        <v>1217</v>
      </c>
      <c r="D5889" s="815"/>
      <c r="E5889" s="815"/>
      <c r="F5889" s="815"/>
      <c r="G5889" s="209"/>
      <c r="H5889" s="821">
        <f>SUM(H5888)</f>
        <v>0</v>
      </c>
    </row>
    <row r="5890" spans="3:11" ht="25.8" customHeight="1">
      <c r="C5890" s="566" t="s">
        <v>1218</v>
      </c>
      <c r="D5890" s="552" t="s">
        <v>1219</v>
      </c>
      <c r="E5890" s="553"/>
      <c r="F5890" s="553"/>
      <c r="G5890" s="554"/>
      <c r="H5890" s="826">
        <f>H5889+H5887+H5884</f>
        <v>40995</v>
      </c>
      <c r="I5890" s="827"/>
    </row>
    <row r="5891" spans="3:11" ht="25.8" customHeight="1">
      <c r="C5891" s="566" t="s">
        <v>1220</v>
      </c>
      <c r="D5891" s="552" t="s">
        <v>1321</v>
      </c>
      <c r="E5891" s="553"/>
      <c r="F5891" s="554"/>
      <c r="G5891" s="555">
        <f>$M$9</f>
        <v>0.1</v>
      </c>
      <c r="H5891" s="539">
        <f>H5890*G5891</f>
        <v>4099.5</v>
      </c>
      <c r="I5891" s="827"/>
    </row>
    <row r="5892" spans="3:11" ht="25.8" customHeight="1">
      <c r="C5892" s="566" t="s">
        <v>1221</v>
      </c>
      <c r="D5892" s="552" t="s">
        <v>1222</v>
      </c>
      <c r="E5892" s="553"/>
      <c r="F5892" s="553"/>
      <c r="G5892" s="554"/>
      <c r="H5892" s="828">
        <f>SUM(H5890:H5891)</f>
        <v>45094.5</v>
      </c>
      <c r="I5892" s="827"/>
    </row>
    <row r="5893" spans="3:11" ht="25.8" customHeight="1"/>
    <row r="5894" spans="3:11" ht="25.8" customHeight="1"/>
    <row r="5895" spans="3:11" ht="25.8" customHeight="1">
      <c r="C5895" s="513" t="s">
        <v>5853</v>
      </c>
      <c r="D5895" s="817" t="s">
        <v>5856</v>
      </c>
      <c r="E5895" s="803"/>
      <c r="F5895" s="803"/>
      <c r="G5895" s="803"/>
      <c r="H5895" s="803"/>
      <c r="I5895" s="533">
        <f>ROUNDDOWN(H5910,-2)</f>
        <v>45000</v>
      </c>
      <c r="J5895" s="536"/>
      <c r="K5895" s="824"/>
    </row>
    <row r="5896" spans="3:11" ht="25.8" customHeight="1">
      <c r="C5896" s="716" t="s">
        <v>1195</v>
      </c>
      <c r="D5896" s="716" t="s">
        <v>1196</v>
      </c>
      <c r="E5896" s="716" t="s">
        <v>1197</v>
      </c>
      <c r="F5896" s="716" t="s">
        <v>1198</v>
      </c>
      <c r="G5896" s="716" t="s">
        <v>1199</v>
      </c>
      <c r="H5896" s="716" t="s">
        <v>1200</v>
      </c>
    </row>
    <row r="5897" spans="3:11" ht="25.8" customHeight="1">
      <c r="C5897" s="213" t="s">
        <v>1201</v>
      </c>
      <c r="D5897" s="212" t="s">
        <v>1202</v>
      </c>
      <c r="E5897" s="534"/>
      <c r="F5897" s="534"/>
      <c r="G5897" s="534"/>
      <c r="H5897" s="534"/>
    </row>
    <row r="5898" spans="3:11" ht="25.8" customHeight="1">
      <c r="C5898" s="818">
        <v>1</v>
      </c>
      <c r="D5898" s="212" t="s">
        <v>5</v>
      </c>
      <c r="E5898" s="212" t="s">
        <v>6</v>
      </c>
      <c r="F5898" s="538">
        <v>0.114</v>
      </c>
      <c r="G5898" s="539">
        <f>VLOOKUP(D5898,upahbahan,3,FALSE)</f>
        <v>100000</v>
      </c>
      <c r="H5898" s="539">
        <f t="shared" ref="H5898:H5901" si="613">F5898*G5898</f>
        <v>11400</v>
      </c>
    </row>
    <row r="5899" spans="3:11" ht="25.8" customHeight="1">
      <c r="C5899" s="818">
        <v>2</v>
      </c>
      <c r="D5899" s="212" t="s">
        <v>3295</v>
      </c>
      <c r="E5899" s="212" t="s">
        <v>6</v>
      </c>
      <c r="F5899" s="538">
        <v>0.191</v>
      </c>
      <c r="G5899" s="539">
        <f>VLOOKUP(D5899,upahbahan,3,FALSE)</f>
        <v>135000</v>
      </c>
      <c r="H5899" s="539">
        <f t="shared" si="613"/>
        <v>25785</v>
      </c>
    </row>
    <row r="5900" spans="3:11" ht="25.8" customHeight="1">
      <c r="C5900" s="818">
        <v>3</v>
      </c>
      <c r="D5900" s="212" t="s">
        <v>18</v>
      </c>
      <c r="E5900" s="212" t="s">
        <v>6</v>
      </c>
      <c r="F5900" s="538">
        <v>1.9E-2</v>
      </c>
      <c r="G5900" s="539">
        <f>VLOOKUP(D5900,upahbahan,3,FALSE)</f>
        <v>150000</v>
      </c>
      <c r="H5900" s="539">
        <f t="shared" si="613"/>
        <v>2850</v>
      </c>
    </row>
    <row r="5901" spans="3:11" ht="25.8" customHeight="1">
      <c r="C5901" s="818">
        <v>4</v>
      </c>
      <c r="D5901" s="212" t="s">
        <v>19</v>
      </c>
      <c r="E5901" s="212" t="s">
        <v>6</v>
      </c>
      <c r="F5901" s="538">
        <v>6.0000000000000001E-3</v>
      </c>
      <c r="G5901" s="539">
        <f>VLOOKUP(D5901,upahbahan,3,FALSE)</f>
        <v>160000</v>
      </c>
      <c r="H5901" s="539">
        <f t="shared" si="613"/>
        <v>960</v>
      </c>
    </row>
    <row r="5902" spans="3:11" ht="25.8" customHeight="1">
      <c r="C5902" s="702" t="s">
        <v>1208</v>
      </c>
      <c r="D5902" s="208"/>
      <c r="E5902" s="208"/>
      <c r="F5902" s="811"/>
      <c r="G5902" s="522"/>
      <c r="H5902" s="539">
        <f>SUM(H5898:H5901)</f>
        <v>40995</v>
      </c>
      <c r="I5902" s="819"/>
    </row>
    <row r="5903" spans="3:11" ht="25.8" customHeight="1">
      <c r="C5903" s="213" t="s">
        <v>1209</v>
      </c>
      <c r="D5903" s="212" t="s">
        <v>1210</v>
      </c>
      <c r="E5903" s="534"/>
      <c r="F5903" s="831"/>
      <c r="G5903" s="534"/>
      <c r="H5903" s="534"/>
    </row>
    <row r="5904" spans="3:11" ht="25.8" customHeight="1">
      <c r="C5904" s="213">
        <v>1</v>
      </c>
      <c r="D5904" s="212" t="s">
        <v>5855</v>
      </c>
      <c r="E5904" s="234" t="s">
        <v>2167</v>
      </c>
      <c r="F5904" s="866">
        <v>1.1000000000000001</v>
      </c>
      <c r="G5904" s="539">
        <f>VLOOKUP(D5904,upahbahan,3,FALSE)</f>
        <v>0</v>
      </c>
      <c r="H5904" s="539">
        <f>F5904*G5904</f>
        <v>0</v>
      </c>
    </row>
    <row r="5905" spans="3:11" ht="25.8" customHeight="1">
      <c r="C5905" s="702" t="s">
        <v>1214</v>
      </c>
      <c r="D5905" s="208"/>
      <c r="E5905" s="208"/>
      <c r="F5905" s="208"/>
      <c r="G5905" s="209"/>
      <c r="H5905" s="539">
        <f>SUM(H5904:H5904)</f>
        <v>0</v>
      </c>
    </row>
    <row r="5906" spans="3:11" ht="25.8" customHeight="1">
      <c r="C5906" s="213" t="s">
        <v>1215</v>
      </c>
      <c r="D5906" s="212" t="s">
        <v>1216</v>
      </c>
      <c r="E5906" s="534"/>
      <c r="F5906" s="534"/>
      <c r="G5906" s="534"/>
      <c r="H5906" s="534"/>
    </row>
    <row r="5907" spans="3:11" ht="25.8" customHeight="1">
      <c r="C5907" s="702" t="s">
        <v>1217</v>
      </c>
      <c r="D5907" s="815"/>
      <c r="E5907" s="815"/>
      <c r="F5907" s="815"/>
      <c r="G5907" s="209"/>
      <c r="H5907" s="821">
        <f>SUM(H5906)</f>
        <v>0</v>
      </c>
    </row>
    <row r="5908" spans="3:11" ht="25.8" customHeight="1">
      <c r="C5908" s="566" t="s">
        <v>1218</v>
      </c>
      <c r="D5908" s="552" t="s">
        <v>1219</v>
      </c>
      <c r="E5908" s="553"/>
      <c r="F5908" s="553"/>
      <c r="G5908" s="554"/>
      <c r="H5908" s="826">
        <f>H5907+H5905+H5902</f>
        <v>40995</v>
      </c>
      <c r="I5908" s="827"/>
    </row>
    <row r="5909" spans="3:11" ht="25.8" customHeight="1">
      <c r="C5909" s="566" t="s">
        <v>1220</v>
      </c>
      <c r="D5909" s="552" t="s">
        <v>1321</v>
      </c>
      <c r="E5909" s="553"/>
      <c r="F5909" s="554"/>
      <c r="G5909" s="555">
        <f>$M$9</f>
        <v>0.1</v>
      </c>
      <c r="H5909" s="539">
        <f>H5908*G5909</f>
        <v>4099.5</v>
      </c>
      <c r="I5909" s="827"/>
    </row>
    <row r="5910" spans="3:11" ht="25.8" customHeight="1">
      <c r="C5910" s="566" t="s">
        <v>1221</v>
      </c>
      <c r="D5910" s="552" t="s">
        <v>1222</v>
      </c>
      <c r="E5910" s="553"/>
      <c r="F5910" s="553"/>
      <c r="G5910" s="554"/>
      <c r="H5910" s="828">
        <f>SUM(H5908:H5909)</f>
        <v>45094.5</v>
      </c>
      <c r="I5910" s="827"/>
    </row>
    <row r="5911" spans="3:11" ht="25.8" customHeight="1"/>
    <row r="5912" spans="3:11" ht="25.8" customHeight="1">
      <c r="C5912" s="513" t="s">
        <v>5857</v>
      </c>
      <c r="D5912" s="817" t="s">
        <v>5858</v>
      </c>
      <c r="E5912" s="803"/>
      <c r="F5912" s="803"/>
      <c r="G5912" s="803"/>
      <c r="H5912" s="803"/>
      <c r="I5912" s="533">
        <f>ROUNDDOWN(H5928,-2)</f>
        <v>45000</v>
      </c>
      <c r="J5912" s="536"/>
      <c r="K5912" s="824"/>
    </row>
    <row r="5913" spans="3:11" ht="25.8" customHeight="1">
      <c r="C5913" s="716" t="s">
        <v>1195</v>
      </c>
      <c r="D5913" s="716" t="s">
        <v>1196</v>
      </c>
      <c r="E5913" s="716" t="s">
        <v>1197</v>
      </c>
      <c r="F5913" s="716" t="s">
        <v>1198</v>
      </c>
      <c r="G5913" s="716" t="s">
        <v>1199</v>
      </c>
      <c r="H5913" s="716" t="s">
        <v>1200</v>
      </c>
    </row>
    <row r="5914" spans="3:11" ht="25.8" customHeight="1">
      <c r="C5914" s="213" t="s">
        <v>1201</v>
      </c>
      <c r="D5914" s="212" t="s">
        <v>1202</v>
      </c>
      <c r="E5914" s="534"/>
      <c r="F5914" s="534"/>
      <c r="G5914" s="534"/>
      <c r="H5914" s="534"/>
    </row>
    <row r="5915" spans="3:11" ht="25.8" customHeight="1">
      <c r="C5915" s="818">
        <v>1</v>
      </c>
      <c r="D5915" s="212" t="s">
        <v>5</v>
      </c>
      <c r="E5915" s="212" t="s">
        <v>6</v>
      </c>
      <c r="F5915" s="538">
        <v>0.114</v>
      </c>
      <c r="G5915" s="539">
        <f>VLOOKUP(D5915,upahbahan,3,FALSE)</f>
        <v>100000</v>
      </c>
      <c r="H5915" s="539">
        <f t="shared" ref="H5915:H5918" si="614">F5915*G5915</f>
        <v>11400</v>
      </c>
    </row>
    <row r="5916" spans="3:11" ht="25.8" customHeight="1">
      <c r="C5916" s="818">
        <v>2</v>
      </c>
      <c r="D5916" s="212" t="s">
        <v>3295</v>
      </c>
      <c r="E5916" s="212" t="s">
        <v>6</v>
      </c>
      <c r="F5916" s="538">
        <v>0.191</v>
      </c>
      <c r="G5916" s="539">
        <f>VLOOKUP(D5916,upahbahan,3,FALSE)</f>
        <v>135000</v>
      </c>
      <c r="H5916" s="539">
        <f t="shared" si="614"/>
        <v>25785</v>
      </c>
    </row>
    <row r="5917" spans="3:11" ht="25.8" customHeight="1">
      <c r="C5917" s="818">
        <v>3</v>
      </c>
      <c r="D5917" s="212" t="s">
        <v>18</v>
      </c>
      <c r="E5917" s="212" t="s">
        <v>6</v>
      </c>
      <c r="F5917" s="538">
        <v>1.9E-2</v>
      </c>
      <c r="G5917" s="539">
        <f>VLOOKUP(D5917,upahbahan,3,FALSE)</f>
        <v>150000</v>
      </c>
      <c r="H5917" s="539">
        <f t="shared" si="614"/>
        <v>2850</v>
      </c>
    </row>
    <row r="5918" spans="3:11" ht="25.8" customHeight="1">
      <c r="C5918" s="818">
        <v>4</v>
      </c>
      <c r="D5918" s="212" t="s">
        <v>19</v>
      </c>
      <c r="E5918" s="212" t="s">
        <v>6</v>
      </c>
      <c r="F5918" s="538">
        <v>6.0000000000000001E-3</v>
      </c>
      <c r="G5918" s="539">
        <f>VLOOKUP(D5918,upahbahan,3,FALSE)</f>
        <v>160000</v>
      </c>
      <c r="H5918" s="539">
        <f t="shared" si="614"/>
        <v>960</v>
      </c>
    </row>
    <row r="5919" spans="3:11" ht="25.8" customHeight="1">
      <c r="C5919" s="702" t="s">
        <v>1208</v>
      </c>
      <c r="D5919" s="208"/>
      <c r="E5919" s="208"/>
      <c r="F5919" s="811"/>
      <c r="G5919" s="522"/>
      <c r="H5919" s="539">
        <f>SUM(H5915:H5918)</f>
        <v>40995</v>
      </c>
      <c r="I5919" s="819"/>
    </row>
    <row r="5920" spans="3:11" ht="25.8" customHeight="1">
      <c r="C5920" s="213" t="s">
        <v>1209</v>
      </c>
      <c r="D5920" s="212" t="s">
        <v>1210</v>
      </c>
      <c r="E5920" s="534"/>
      <c r="F5920" s="831"/>
      <c r="G5920" s="534"/>
      <c r="H5920" s="534"/>
    </row>
    <row r="5921" spans="3:11" ht="25.8" customHeight="1">
      <c r="C5921" s="213">
        <v>1</v>
      </c>
      <c r="D5921" s="212" t="s">
        <v>5855</v>
      </c>
      <c r="E5921" s="234" t="s">
        <v>2167</v>
      </c>
      <c r="F5921" s="866">
        <v>1.1000000000000001</v>
      </c>
      <c r="G5921" s="539">
        <f>VLOOKUP(D5921,upahbahan,3,FALSE)</f>
        <v>0</v>
      </c>
      <c r="H5921" s="539">
        <f>F5921*G5921</f>
        <v>0</v>
      </c>
    </row>
    <row r="5922" spans="3:11" ht="25.8" customHeight="1">
      <c r="C5922" s="213">
        <v>2</v>
      </c>
      <c r="D5922" s="212" t="s">
        <v>5829</v>
      </c>
      <c r="E5922" s="234" t="s">
        <v>2167</v>
      </c>
      <c r="F5922" s="866">
        <v>1.1000000000000001</v>
      </c>
      <c r="G5922" s="539">
        <f>VLOOKUP(D5922,upahbahan,3,FALSE)</f>
        <v>0</v>
      </c>
      <c r="H5922" s="539">
        <f>F5922*G5922</f>
        <v>0</v>
      </c>
    </row>
    <row r="5923" spans="3:11" ht="25.8" customHeight="1">
      <c r="C5923" s="702" t="s">
        <v>1214</v>
      </c>
      <c r="D5923" s="208"/>
      <c r="E5923" s="208"/>
      <c r="F5923" s="208"/>
      <c r="G5923" s="209"/>
      <c r="H5923" s="539">
        <f>SUM(H5921:H5922)</f>
        <v>0</v>
      </c>
    </row>
    <row r="5924" spans="3:11" ht="25.8" customHeight="1">
      <c r="C5924" s="213" t="s">
        <v>1215</v>
      </c>
      <c r="D5924" s="212" t="s">
        <v>1216</v>
      </c>
      <c r="E5924" s="534"/>
      <c r="F5924" s="534"/>
      <c r="G5924" s="534"/>
      <c r="H5924" s="534"/>
    </row>
    <row r="5925" spans="3:11" ht="25.8" customHeight="1">
      <c r="C5925" s="702" t="s">
        <v>1217</v>
      </c>
      <c r="D5925" s="815"/>
      <c r="E5925" s="815"/>
      <c r="F5925" s="815"/>
      <c r="G5925" s="209"/>
      <c r="H5925" s="821">
        <f>SUM(H5924)</f>
        <v>0</v>
      </c>
    </row>
    <row r="5926" spans="3:11" ht="25.8" customHeight="1">
      <c r="C5926" s="566" t="s">
        <v>1218</v>
      </c>
      <c r="D5926" s="552" t="s">
        <v>1219</v>
      </c>
      <c r="E5926" s="553"/>
      <c r="F5926" s="553"/>
      <c r="G5926" s="554"/>
      <c r="H5926" s="826">
        <f>H5925+H5923+H5919</f>
        <v>40995</v>
      </c>
      <c r="I5926" s="827"/>
    </row>
    <row r="5927" spans="3:11" ht="25.8" customHeight="1">
      <c r="C5927" s="566" t="s">
        <v>1220</v>
      </c>
      <c r="D5927" s="552" t="s">
        <v>1321</v>
      </c>
      <c r="E5927" s="553"/>
      <c r="F5927" s="554"/>
      <c r="G5927" s="555">
        <f>$M$9</f>
        <v>0.1</v>
      </c>
      <c r="H5927" s="539">
        <f>H5926*G5927</f>
        <v>4099.5</v>
      </c>
      <c r="I5927" s="827"/>
    </row>
    <row r="5928" spans="3:11" ht="25.8" customHeight="1">
      <c r="C5928" s="566" t="s">
        <v>1221</v>
      </c>
      <c r="D5928" s="552" t="s">
        <v>1222</v>
      </c>
      <c r="E5928" s="553"/>
      <c r="F5928" s="553"/>
      <c r="G5928" s="554"/>
      <c r="H5928" s="828">
        <f>SUM(H5926:H5927)</f>
        <v>45094.5</v>
      </c>
      <c r="I5928" s="827"/>
    </row>
    <row r="5929" spans="3:11" ht="25.8" customHeight="1"/>
    <row r="5930" spans="3:11" ht="25.8" customHeight="1"/>
    <row r="5931" spans="3:11" ht="25.8" customHeight="1">
      <c r="C5931" s="513" t="s">
        <v>5859</v>
      </c>
      <c r="D5931" s="817" t="s">
        <v>5860</v>
      </c>
      <c r="E5931" s="803"/>
      <c r="F5931" s="803"/>
      <c r="G5931" s="803"/>
      <c r="H5931" s="803"/>
      <c r="I5931" s="533">
        <f>ROUNDDOWN(H5946,-2)</f>
        <v>65800</v>
      </c>
      <c r="J5931" s="536"/>
      <c r="K5931" s="824"/>
    </row>
    <row r="5932" spans="3:11" ht="25.8" customHeight="1">
      <c r="C5932" s="716" t="s">
        <v>1195</v>
      </c>
      <c r="D5932" s="716" t="s">
        <v>1196</v>
      </c>
      <c r="E5932" s="716" t="s">
        <v>1197</v>
      </c>
      <c r="F5932" s="716" t="s">
        <v>1198</v>
      </c>
      <c r="G5932" s="716" t="s">
        <v>1199</v>
      </c>
      <c r="H5932" s="716" t="s">
        <v>1200</v>
      </c>
    </row>
    <row r="5933" spans="3:11" ht="25.8" customHeight="1">
      <c r="C5933" s="213" t="s">
        <v>1201</v>
      </c>
      <c r="D5933" s="212" t="s">
        <v>1202</v>
      </c>
      <c r="E5933" s="534"/>
      <c r="F5933" s="534"/>
      <c r="G5933" s="534"/>
      <c r="H5933" s="534"/>
    </row>
    <row r="5934" spans="3:11" ht="25.8" customHeight="1">
      <c r="C5934" s="818">
        <v>1</v>
      </c>
      <c r="D5934" s="212" t="s">
        <v>5</v>
      </c>
      <c r="E5934" s="212" t="s">
        <v>6</v>
      </c>
      <c r="F5934" s="538">
        <v>0.16700000000000001</v>
      </c>
      <c r="G5934" s="539">
        <f>VLOOKUP(D5934,upahbahan,3,FALSE)</f>
        <v>100000</v>
      </c>
      <c r="H5934" s="539">
        <f t="shared" ref="H5934:H5937" si="615">F5934*G5934</f>
        <v>16700</v>
      </c>
    </row>
    <row r="5935" spans="3:11" ht="25.8" customHeight="1">
      <c r="C5935" s="818">
        <v>2</v>
      </c>
      <c r="D5935" s="212" t="s">
        <v>3295</v>
      </c>
      <c r="E5935" s="212" t="s">
        <v>6</v>
      </c>
      <c r="F5935" s="538">
        <v>0.27800000000000002</v>
      </c>
      <c r="G5935" s="539">
        <f>VLOOKUP(D5935,upahbahan,3,FALSE)</f>
        <v>135000</v>
      </c>
      <c r="H5935" s="539">
        <f t="shared" si="615"/>
        <v>37530</v>
      </c>
    </row>
    <row r="5936" spans="3:11" ht="25.8" customHeight="1">
      <c r="C5936" s="818">
        <v>3</v>
      </c>
      <c r="D5936" s="212" t="s">
        <v>18</v>
      </c>
      <c r="E5936" s="212" t="s">
        <v>6</v>
      </c>
      <c r="F5936" s="538">
        <v>2.8000000000000001E-2</v>
      </c>
      <c r="G5936" s="539">
        <f>VLOOKUP(D5936,upahbahan,3,FALSE)</f>
        <v>150000</v>
      </c>
      <c r="H5936" s="539">
        <f t="shared" si="615"/>
        <v>4200</v>
      </c>
    </row>
    <row r="5937" spans="3:11" ht="25.8" customHeight="1">
      <c r="C5937" s="818">
        <v>4</v>
      </c>
      <c r="D5937" s="212" t="s">
        <v>19</v>
      </c>
      <c r="E5937" s="212" t="s">
        <v>6</v>
      </c>
      <c r="F5937" s="538">
        <v>8.9999999999999993E-3</v>
      </c>
      <c r="G5937" s="539">
        <f>VLOOKUP(D5937,upahbahan,3,FALSE)</f>
        <v>160000</v>
      </c>
      <c r="H5937" s="539">
        <f t="shared" si="615"/>
        <v>1440</v>
      </c>
    </row>
    <row r="5938" spans="3:11" ht="25.8" customHeight="1">
      <c r="C5938" s="702" t="s">
        <v>1208</v>
      </c>
      <c r="D5938" s="208"/>
      <c r="E5938" s="208"/>
      <c r="F5938" s="811"/>
      <c r="G5938" s="522"/>
      <c r="H5938" s="539">
        <f>SUM(H5934:H5937)</f>
        <v>59870</v>
      </c>
      <c r="I5938" s="819"/>
    </row>
    <row r="5939" spans="3:11" ht="25.8" customHeight="1">
      <c r="C5939" s="213" t="s">
        <v>1209</v>
      </c>
      <c r="D5939" s="212" t="s">
        <v>1210</v>
      </c>
      <c r="E5939" s="534"/>
      <c r="F5939" s="831"/>
      <c r="G5939" s="534"/>
      <c r="H5939" s="534"/>
    </row>
    <row r="5940" spans="3:11" ht="25.8" customHeight="1">
      <c r="C5940" s="213">
        <v>1</v>
      </c>
      <c r="D5940" s="212" t="s">
        <v>5861</v>
      </c>
      <c r="E5940" s="234" t="s">
        <v>2167</v>
      </c>
      <c r="F5940" s="866">
        <v>1.1000000000000001</v>
      </c>
      <c r="G5940" s="539">
        <f>VLOOKUP(D5940,upahbahan,3,FALSE)</f>
        <v>0</v>
      </c>
      <c r="H5940" s="539">
        <f>F5940*G5940</f>
        <v>0</v>
      </c>
    </row>
    <row r="5941" spans="3:11" ht="25.8" customHeight="1">
      <c r="C5941" s="702" t="s">
        <v>1214</v>
      </c>
      <c r="D5941" s="208"/>
      <c r="E5941" s="208"/>
      <c r="F5941" s="208"/>
      <c r="G5941" s="209"/>
      <c r="H5941" s="539">
        <f>SUM(H5940:H5940)</f>
        <v>0</v>
      </c>
    </row>
    <row r="5942" spans="3:11" ht="25.8" customHeight="1">
      <c r="C5942" s="213" t="s">
        <v>1215</v>
      </c>
      <c r="D5942" s="212" t="s">
        <v>1216</v>
      </c>
      <c r="E5942" s="534"/>
      <c r="F5942" s="534"/>
      <c r="G5942" s="534"/>
      <c r="H5942" s="534"/>
    </row>
    <row r="5943" spans="3:11" ht="25.8" customHeight="1">
      <c r="C5943" s="702" t="s">
        <v>1217</v>
      </c>
      <c r="D5943" s="815"/>
      <c r="E5943" s="815"/>
      <c r="F5943" s="815"/>
      <c r="G5943" s="209"/>
      <c r="H5943" s="821">
        <f>SUM(H5942)</f>
        <v>0</v>
      </c>
    </row>
    <row r="5944" spans="3:11" ht="25.8" customHeight="1">
      <c r="C5944" s="566" t="s">
        <v>1218</v>
      </c>
      <c r="D5944" s="552" t="s">
        <v>1219</v>
      </c>
      <c r="E5944" s="553"/>
      <c r="F5944" s="553"/>
      <c r="G5944" s="554"/>
      <c r="H5944" s="826">
        <f>H5943+H5941+H5938</f>
        <v>59870</v>
      </c>
      <c r="I5944" s="827"/>
    </row>
    <row r="5945" spans="3:11" ht="25.8" customHeight="1">
      <c r="C5945" s="566" t="s">
        <v>1220</v>
      </c>
      <c r="D5945" s="552" t="s">
        <v>1321</v>
      </c>
      <c r="E5945" s="553"/>
      <c r="F5945" s="554"/>
      <c r="G5945" s="555">
        <f>$M$9</f>
        <v>0.1</v>
      </c>
      <c r="H5945" s="539">
        <f>H5944*G5945</f>
        <v>5987</v>
      </c>
      <c r="I5945" s="827"/>
    </row>
    <row r="5946" spans="3:11" ht="25.8" customHeight="1">
      <c r="C5946" s="566" t="s">
        <v>1221</v>
      </c>
      <c r="D5946" s="552" t="s">
        <v>1222</v>
      </c>
      <c r="E5946" s="553"/>
      <c r="F5946" s="553"/>
      <c r="G5946" s="554"/>
      <c r="H5946" s="828">
        <f>SUM(H5944:H5945)</f>
        <v>65857</v>
      </c>
      <c r="I5946" s="827"/>
    </row>
    <row r="5947" spans="3:11" ht="25.8" customHeight="1"/>
    <row r="5948" spans="3:11" ht="25.8" customHeight="1">
      <c r="C5948" s="513" t="s">
        <v>5862</v>
      </c>
      <c r="D5948" s="817" t="s">
        <v>5863</v>
      </c>
      <c r="E5948" s="803"/>
      <c r="F5948" s="803"/>
      <c r="G5948" s="803"/>
      <c r="H5948" s="803"/>
      <c r="I5948" s="533">
        <f>ROUNDDOWN(H5964,-2)</f>
        <v>65800</v>
      </c>
      <c r="J5948" s="536"/>
      <c r="K5948" s="824"/>
    </row>
    <row r="5949" spans="3:11" ht="25.8" customHeight="1">
      <c r="C5949" s="716" t="s">
        <v>1195</v>
      </c>
      <c r="D5949" s="716" t="s">
        <v>1196</v>
      </c>
      <c r="E5949" s="716" t="s">
        <v>1197</v>
      </c>
      <c r="F5949" s="716" t="s">
        <v>1198</v>
      </c>
      <c r="G5949" s="716" t="s">
        <v>1199</v>
      </c>
      <c r="H5949" s="716" t="s">
        <v>1200</v>
      </c>
    </row>
    <row r="5950" spans="3:11" ht="25.8" customHeight="1">
      <c r="C5950" s="213" t="s">
        <v>1201</v>
      </c>
      <c r="D5950" s="212" t="s">
        <v>1202</v>
      </c>
      <c r="E5950" s="534"/>
      <c r="F5950" s="534"/>
      <c r="G5950" s="534"/>
      <c r="H5950" s="534"/>
    </row>
    <row r="5951" spans="3:11" ht="25.8" customHeight="1">
      <c r="C5951" s="818">
        <v>1</v>
      </c>
      <c r="D5951" s="212" t="s">
        <v>5</v>
      </c>
      <c r="E5951" s="212" t="s">
        <v>6</v>
      </c>
      <c r="F5951" s="538">
        <v>0.16700000000000001</v>
      </c>
      <c r="G5951" s="539">
        <f>VLOOKUP(D5951,upahbahan,3,FALSE)</f>
        <v>100000</v>
      </c>
      <c r="H5951" s="539">
        <f t="shared" ref="H5951:H5954" si="616">F5951*G5951</f>
        <v>16700</v>
      </c>
    </row>
    <row r="5952" spans="3:11" ht="25.8" customHeight="1">
      <c r="C5952" s="818">
        <v>2</v>
      </c>
      <c r="D5952" s="212" t="s">
        <v>3295</v>
      </c>
      <c r="E5952" s="212" t="s">
        <v>6</v>
      </c>
      <c r="F5952" s="538">
        <v>0.27800000000000002</v>
      </c>
      <c r="G5952" s="539">
        <f>VLOOKUP(D5952,upahbahan,3,FALSE)</f>
        <v>135000</v>
      </c>
      <c r="H5952" s="539">
        <f t="shared" si="616"/>
        <v>37530</v>
      </c>
    </row>
    <row r="5953" spans="3:11" ht="25.8" customHeight="1">
      <c r="C5953" s="818">
        <v>3</v>
      </c>
      <c r="D5953" s="212" t="s">
        <v>18</v>
      </c>
      <c r="E5953" s="212" t="s">
        <v>6</v>
      </c>
      <c r="F5953" s="538">
        <v>2.8000000000000001E-2</v>
      </c>
      <c r="G5953" s="539">
        <f>VLOOKUP(D5953,upahbahan,3,FALSE)</f>
        <v>150000</v>
      </c>
      <c r="H5953" s="539">
        <f t="shared" si="616"/>
        <v>4200</v>
      </c>
    </row>
    <row r="5954" spans="3:11" ht="25.8" customHeight="1">
      <c r="C5954" s="818">
        <v>4</v>
      </c>
      <c r="D5954" s="212" t="s">
        <v>19</v>
      </c>
      <c r="E5954" s="212" t="s">
        <v>6</v>
      </c>
      <c r="F5954" s="538">
        <v>8.9999999999999993E-3</v>
      </c>
      <c r="G5954" s="539">
        <f>VLOOKUP(D5954,upahbahan,3,FALSE)</f>
        <v>160000</v>
      </c>
      <c r="H5954" s="539">
        <f t="shared" si="616"/>
        <v>1440</v>
      </c>
    </row>
    <row r="5955" spans="3:11" ht="25.8" customHeight="1">
      <c r="C5955" s="702" t="s">
        <v>1208</v>
      </c>
      <c r="D5955" s="208"/>
      <c r="E5955" s="208"/>
      <c r="F5955" s="811"/>
      <c r="G5955" s="522"/>
      <c r="H5955" s="539">
        <f>SUM(H5951:H5954)</f>
        <v>59870</v>
      </c>
      <c r="I5955" s="819"/>
    </row>
    <row r="5956" spans="3:11" ht="25.8" customHeight="1">
      <c r="C5956" s="213" t="s">
        <v>1209</v>
      </c>
      <c r="D5956" s="212" t="s">
        <v>1210</v>
      </c>
      <c r="E5956" s="534"/>
      <c r="F5956" s="831"/>
      <c r="G5956" s="534"/>
      <c r="H5956" s="534"/>
    </row>
    <row r="5957" spans="3:11" ht="25.8" customHeight="1">
      <c r="C5957" s="213">
        <v>1</v>
      </c>
      <c r="D5957" s="212" t="s">
        <v>5861</v>
      </c>
      <c r="E5957" s="234" t="s">
        <v>2167</v>
      </c>
      <c r="F5957" s="866">
        <v>1.1000000000000001</v>
      </c>
      <c r="G5957" s="539">
        <f>VLOOKUP(D5957,upahbahan,3,FALSE)</f>
        <v>0</v>
      </c>
      <c r="H5957" s="539">
        <f>F5957*G5957</f>
        <v>0</v>
      </c>
    </row>
    <row r="5958" spans="3:11" ht="25.8" customHeight="1">
      <c r="C5958" s="213">
        <v>2</v>
      </c>
      <c r="D5958" s="212" t="s">
        <v>5829</v>
      </c>
      <c r="E5958" s="234" t="s">
        <v>2167</v>
      </c>
      <c r="F5958" s="866">
        <v>1.1000000000000001</v>
      </c>
      <c r="G5958" s="539">
        <f>VLOOKUP(D5958,upahbahan,3,FALSE)</f>
        <v>0</v>
      </c>
      <c r="H5958" s="539">
        <f>F5958*G5958</f>
        <v>0</v>
      </c>
    </row>
    <row r="5959" spans="3:11" ht="25.8" customHeight="1">
      <c r="C5959" s="702" t="s">
        <v>1214</v>
      </c>
      <c r="D5959" s="208"/>
      <c r="E5959" s="208"/>
      <c r="F5959" s="208"/>
      <c r="G5959" s="209"/>
      <c r="H5959" s="539">
        <f>SUM(H5957:H5958)</f>
        <v>0</v>
      </c>
    </row>
    <row r="5960" spans="3:11" ht="25.8" customHeight="1">
      <c r="C5960" s="213" t="s">
        <v>1215</v>
      </c>
      <c r="D5960" s="212" t="s">
        <v>1216</v>
      </c>
      <c r="E5960" s="534"/>
      <c r="F5960" s="534"/>
      <c r="G5960" s="534"/>
      <c r="H5960" s="534"/>
    </row>
    <row r="5961" spans="3:11" ht="25.8" customHeight="1">
      <c r="C5961" s="702" t="s">
        <v>1217</v>
      </c>
      <c r="D5961" s="815"/>
      <c r="E5961" s="815"/>
      <c r="F5961" s="815"/>
      <c r="G5961" s="209"/>
      <c r="H5961" s="821">
        <f>SUM(H5960)</f>
        <v>0</v>
      </c>
    </row>
    <row r="5962" spans="3:11" ht="25.8" customHeight="1">
      <c r="C5962" s="566" t="s">
        <v>1218</v>
      </c>
      <c r="D5962" s="552" t="s">
        <v>1219</v>
      </c>
      <c r="E5962" s="553"/>
      <c r="F5962" s="553"/>
      <c r="G5962" s="554"/>
      <c r="H5962" s="826">
        <f>H5961+H5959+H5955</f>
        <v>59870</v>
      </c>
      <c r="I5962" s="827"/>
    </row>
    <row r="5963" spans="3:11" ht="25.8" customHeight="1">
      <c r="C5963" s="566" t="s">
        <v>1220</v>
      </c>
      <c r="D5963" s="552" t="s">
        <v>1321</v>
      </c>
      <c r="E5963" s="553"/>
      <c r="F5963" s="554"/>
      <c r="G5963" s="555">
        <f>$M$9</f>
        <v>0.1</v>
      </c>
      <c r="H5963" s="539">
        <f>H5962*G5963</f>
        <v>5987</v>
      </c>
      <c r="I5963" s="827"/>
    </row>
    <row r="5964" spans="3:11" ht="25.8" customHeight="1">
      <c r="C5964" s="566" t="s">
        <v>1221</v>
      </c>
      <c r="D5964" s="552" t="s">
        <v>1222</v>
      </c>
      <c r="E5964" s="553"/>
      <c r="F5964" s="553"/>
      <c r="G5964" s="554"/>
      <c r="H5964" s="828">
        <f>SUM(H5962:H5963)</f>
        <v>65857</v>
      </c>
      <c r="I5964" s="827"/>
    </row>
    <row r="5965" spans="3:11" ht="25.8" customHeight="1"/>
    <row r="5966" spans="3:11" ht="25.8" customHeight="1">
      <c r="C5966" s="513" t="s">
        <v>5864</v>
      </c>
      <c r="D5966" s="817" t="s">
        <v>5865</v>
      </c>
      <c r="E5966" s="803"/>
      <c r="F5966" s="803"/>
      <c r="G5966" s="803"/>
      <c r="H5966" s="803"/>
      <c r="I5966" s="533">
        <f>ROUNDDOWN(H5982,-2)</f>
        <v>551600</v>
      </c>
      <c r="J5966" s="536"/>
      <c r="K5966" s="824"/>
    </row>
    <row r="5967" spans="3:11" ht="25.8" customHeight="1">
      <c r="C5967" s="716" t="s">
        <v>1195</v>
      </c>
      <c r="D5967" s="716" t="s">
        <v>1196</v>
      </c>
      <c r="E5967" s="716" t="s">
        <v>1197</v>
      </c>
      <c r="F5967" s="716" t="s">
        <v>1198</v>
      </c>
      <c r="G5967" s="716" t="s">
        <v>1199</v>
      </c>
      <c r="H5967" s="716" t="s">
        <v>1200</v>
      </c>
    </row>
    <row r="5968" spans="3:11" ht="25.8" customHeight="1">
      <c r="C5968" s="213" t="s">
        <v>1201</v>
      </c>
      <c r="D5968" s="212" t="s">
        <v>1202</v>
      </c>
      <c r="E5968" s="534"/>
      <c r="F5968" s="534"/>
      <c r="G5968" s="534"/>
      <c r="H5968" s="534"/>
    </row>
    <row r="5969" spans="3:11" ht="25.8" customHeight="1">
      <c r="C5969" s="818">
        <v>1</v>
      </c>
      <c r="D5969" s="212" t="s">
        <v>5</v>
      </c>
      <c r="E5969" s="212" t="s">
        <v>6</v>
      </c>
      <c r="F5969" s="538">
        <v>1.395</v>
      </c>
      <c r="G5969" s="539">
        <f>VLOOKUP(D5969,upahbahan,3,FALSE)</f>
        <v>100000</v>
      </c>
      <c r="H5969" s="539">
        <f t="shared" ref="H5969:H5972" si="617">F5969*G5969</f>
        <v>139500</v>
      </c>
    </row>
    <row r="5970" spans="3:11" ht="25.8" customHeight="1">
      <c r="C5970" s="818">
        <v>2</v>
      </c>
      <c r="D5970" s="212" t="s">
        <v>3295</v>
      </c>
      <c r="E5970" s="212" t="s">
        <v>6</v>
      </c>
      <c r="F5970" s="538">
        <v>2.33</v>
      </c>
      <c r="G5970" s="539">
        <f>VLOOKUP(D5970,upahbahan,3,FALSE)</f>
        <v>135000</v>
      </c>
      <c r="H5970" s="539">
        <f t="shared" si="617"/>
        <v>314550</v>
      </c>
    </row>
    <row r="5971" spans="3:11" ht="25.8" customHeight="1">
      <c r="C5971" s="818">
        <v>3</v>
      </c>
      <c r="D5971" s="212" t="s">
        <v>18</v>
      </c>
      <c r="E5971" s="212" t="s">
        <v>6</v>
      </c>
      <c r="F5971" s="538">
        <v>0.23300000000000001</v>
      </c>
      <c r="G5971" s="539">
        <f>VLOOKUP(D5971,upahbahan,3,FALSE)</f>
        <v>150000</v>
      </c>
      <c r="H5971" s="539">
        <f t="shared" si="617"/>
        <v>34950</v>
      </c>
    </row>
    <row r="5972" spans="3:11" ht="25.8" customHeight="1">
      <c r="C5972" s="818">
        <v>4</v>
      </c>
      <c r="D5972" s="212" t="s">
        <v>19</v>
      </c>
      <c r="E5972" s="212" t="s">
        <v>6</v>
      </c>
      <c r="F5972" s="538">
        <v>7.8E-2</v>
      </c>
      <c r="G5972" s="539">
        <f>VLOOKUP(D5972,upahbahan,3,FALSE)</f>
        <v>160000</v>
      </c>
      <c r="H5972" s="539">
        <f t="shared" si="617"/>
        <v>12480</v>
      </c>
    </row>
    <row r="5973" spans="3:11" ht="25.8" customHeight="1">
      <c r="C5973" s="702" t="s">
        <v>1208</v>
      </c>
      <c r="D5973" s="208"/>
      <c r="E5973" s="208"/>
      <c r="F5973" s="811"/>
      <c r="G5973" s="522"/>
      <c r="H5973" s="539">
        <f>SUM(H5969:H5972)</f>
        <v>501480</v>
      </c>
      <c r="I5973" s="819"/>
    </row>
    <row r="5974" spans="3:11" ht="25.8" customHeight="1">
      <c r="C5974" s="213" t="s">
        <v>1209</v>
      </c>
      <c r="D5974" s="212" t="s">
        <v>1210</v>
      </c>
      <c r="E5974" s="534"/>
      <c r="F5974" s="831"/>
      <c r="G5974" s="534"/>
      <c r="H5974" s="534"/>
    </row>
    <row r="5975" spans="3:11" ht="25.8" customHeight="1">
      <c r="C5975" s="213">
        <v>1</v>
      </c>
      <c r="D5975" s="212" t="s">
        <v>5866</v>
      </c>
      <c r="E5975" s="234" t="s">
        <v>2167</v>
      </c>
      <c r="F5975" s="866">
        <v>1.05</v>
      </c>
      <c r="G5975" s="539">
        <f>VLOOKUP(D5975,upahbahan,3,FALSE)</f>
        <v>0</v>
      </c>
      <c r="H5975" s="539">
        <f>F5975*G5975</f>
        <v>0</v>
      </c>
    </row>
    <row r="5976" spans="3:11" ht="25.8" customHeight="1">
      <c r="C5976" s="213">
        <v>2</v>
      </c>
      <c r="D5976" s="212" t="s">
        <v>5867</v>
      </c>
      <c r="E5976" s="234" t="s">
        <v>2167</v>
      </c>
      <c r="F5976" s="866">
        <v>1.05</v>
      </c>
      <c r="G5976" s="539">
        <f>VLOOKUP(D5976,upahbahan,3,FALSE)</f>
        <v>0</v>
      </c>
      <c r="H5976" s="539">
        <f>F5976*G5976</f>
        <v>0</v>
      </c>
    </row>
    <row r="5977" spans="3:11" ht="25.8" customHeight="1">
      <c r="C5977" s="702" t="s">
        <v>1214</v>
      </c>
      <c r="D5977" s="208"/>
      <c r="E5977" s="208"/>
      <c r="F5977" s="208"/>
      <c r="G5977" s="209"/>
      <c r="H5977" s="539">
        <f>SUM(H5975:H5976)</f>
        <v>0</v>
      </c>
    </row>
    <row r="5978" spans="3:11" ht="25.8" customHeight="1">
      <c r="C5978" s="213" t="s">
        <v>1215</v>
      </c>
      <c r="D5978" s="212" t="s">
        <v>1216</v>
      </c>
      <c r="E5978" s="534"/>
      <c r="F5978" s="534"/>
      <c r="G5978" s="534"/>
      <c r="H5978" s="534"/>
    </row>
    <row r="5979" spans="3:11" ht="25.8" customHeight="1">
      <c r="C5979" s="702" t="s">
        <v>1217</v>
      </c>
      <c r="D5979" s="815"/>
      <c r="E5979" s="815"/>
      <c r="F5979" s="815"/>
      <c r="G5979" s="209"/>
      <c r="H5979" s="821">
        <f>SUM(H5978)</f>
        <v>0</v>
      </c>
    </row>
    <row r="5980" spans="3:11" ht="25.8" customHeight="1">
      <c r="C5980" s="566" t="s">
        <v>1218</v>
      </c>
      <c r="D5980" s="552" t="s">
        <v>1219</v>
      </c>
      <c r="E5980" s="553"/>
      <c r="F5980" s="553"/>
      <c r="G5980" s="554"/>
      <c r="H5980" s="826">
        <f>H5979+H5977+H5973</f>
        <v>501480</v>
      </c>
      <c r="I5980" s="827"/>
    </row>
    <row r="5981" spans="3:11" ht="25.8" customHeight="1">
      <c r="C5981" s="566" t="s">
        <v>1220</v>
      </c>
      <c r="D5981" s="552" t="s">
        <v>1321</v>
      </c>
      <c r="E5981" s="553"/>
      <c r="F5981" s="554"/>
      <c r="G5981" s="555">
        <f>$M$9</f>
        <v>0.1</v>
      </c>
      <c r="H5981" s="539">
        <f>H5980*G5981</f>
        <v>50148</v>
      </c>
      <c r="I5981" s="827"/>
    </row>
    <row r="5982" spans="3:11" ht="25.8" customHeight="1">
      <c r="C5982" s="566" t="s">
        <v>1221</v>
      </c>
      <c r="D5982" s="552" t="s">
        <v>1222</v>
      </c>
      <c r="E5982" s="553"/>
      <c r="F5982" s="553"/>
      <c r="G5982" s="554"/>
      <c r="H5982" s="828">
        <f>SUM(H5980:H5981)</f>
        <v>551628</v>
      </c>
      <c r="I5982" s="827"/>
    </row>
    <row r="5983" spans="3:11" ht="25.8" customHeight="1"/>
    <row r="5984" spans="3:11" ht="25.8" customHeight="1">
      <c r="C5984" s="513" t="s">
        <v>5868</v>
      </c>
      <c r="D5984" s="817" t="s">
        <v>5869</v>
      </c>
      <c r="E5984" s="803"/>
      <c r="F5984" s="803"/>
      <c r="G5984" s="803"/>
      <c r="H5984" s="803"/>
      <c r="I5984" s="533">
        <f>ROUNDDOWN(H6000,-2)</f>
        <v>802100</v>
      </c>
      <c r="J5984" s="536"/>
      <c r="K5984" s="824"/>
    </row>
    <row r="5985" spans="3:9" ht="25.8" customHeight="1">
      <c r="C5985" s="716" t="s">
        <v>1195</v>
      </c>
      <c r="D5985" s="716" t="s">
        <v>1196</v>
      </c>
      <c r="E5985" s="716" t="s">
        <v>1197</v>
      </c>
      <c r="F5985" s="716" t="s">
        <v>1198</v>
      </c>
      <c r="G5985" s="716" t="s">
        <v>1199</v>
      </c>
      <c r="H5985" s="716" t="s">
        <v>1200</v>
      </c>
    </row>
    <row r="5986" spans="3:9" ht="25.8" customHeight="1">
      <c r="C5986" s="213" t="s">
        <v>1201</v>
      </c>
      <c r="D5986" s="212" t="s">
        <v>1202</v>
      </c>
      <c r="E5986" s="534"/>
      <c r="F5986" s="534"/>
      <c r="G5986" s="534"/>
      <c r="H5986" s="534"/>
    </row>
    <row r="5987" spans="3:9" ht="25.8" customHeight="1">
      <c r="C5987" s="818">
        <v>1</v>
      </c>
      <c r="D5987" s="212" t="s">
        <v>5</v>
      </c>
      <c r="E5987" s="212" t="s">
        <v>6</v>
      </c>
      <c r="F5987" s="538">
        <v>2.0289999999999999</v>
      </c>
      <c r="G5987" s="539">
        <f>VLOOKUP(D5987,upahbahan,3,FALSE)</f>
        <v>100000</v>
      </c>
      <c r="H5987" s="539">
        <f t="shared" ref="H5987:H5990" si="618">F5987*G5987</f>
        <v>202900</v>
      </c>
    </row>
    <row r="5988" spans="3:9" ht="25.8" customHeight="1">
      <c r="C5988" s="818">
        <v>2</v>
      </c>
      <c r="D5988" s="212" t="s">
        <v>3295</v>
      </c>
      <c r="E5988" s="212" t="s">
        <v>6</v>
      </c>
      <c r="F5988" s="538">
        <v>3.3879999999999999</v>
      </c>
      <c r="G5988" s="539">
        <f>VLOOKUP(D5988,upahbahan,3,FALSE)</f>
        <v>135000</v>
      </c>
      <c r="H5988" s="539">
        <f t="shared" si="618"/>
        <v>457380</v>
      </c>
    </row>
    <row r="5989" spans="3:9" ht="25.8" customHeight="1">
      <c r="C5989" s="818">
        <v>3</v>
      </c>
      <c r="D5989" s="212" t="s">
        <v>18</v>
      </c>
      <c r="E5989" s="212" t="s">
        <v>6</v>
      </c>
      <c r="F5989" s="538">
        <v>0.33900000000000002</v>
      </c>
      <c r="G5989" s="539">
        <f>VLOOKUP(D5989,upahbahan,3,FALSE)</f>
        <v>150000</v>
      </c>
      <c r="H5989" s="539">
        <f t="shared" si="618"/>
        <v>50850</v>
      </c>
    </row>
    <row r="5990" spans="3:9" ht="25.8" customHeight="1">
      <c r="C5990" s="818">
        <v>4</v>
      </c>
      <c r="D5990" s="212" t="s">
        <v>19</v>
      </c>
      <c r="E5990" s="212" t="s">
        <v>6</v>
      </c>
      <c r="F5990" s="538">
        <v>0.113</v>
      </c>
      <c r="G5990" s="539">
        <f>VLOOKUP(D5990,upahbahan,3,FALSE)</f>
        <v>160000</v>
      </c>
      <c r="H5990" s="539">
        <f t="shared" si="618"/>
        <v>18080</v>
      </c>
    </row>
    <row r="5991" spans="3:9" ht="25.8" customHeight="1">
      <c r="C5991" s="702" t="s">
        <v>1208</v>
      </c>
      <c r="D5991" s="208"/>
      <c r="E5991" s="208"/>
      <c r="F5991" s="811"/>
      <c r="G5991" s="522"/>
      <c r="H5991" s="539">
        <f>SUM(H5987:H5990)</f>
        <v>729210</v>
      </c>
      <c r="I5991" s="819"/>
    </row>
    <row r="5992" spans="3:9" ht="25.8" customHeight="1">
      <c r="C5992" s="213" t="s">
        <v>1209</v>
      </c>
      <c r="D5992" s="212" t="s">
        <v>1210</v>
      </c>
      <c r="E5992" s="534"/>
      <c r="F5992" s="831"/>
      <c r="G5992" s="534"/>
      <c r="H5992" s="534"/>
    </row>
    <row r="5993" spans="3:9" ht="25.8" customHeight="1">
      <c r="C5993" s="213">
        <v>1</v>
      </c>
      <c r="D5993" s="212" t="s">
        <v>5870</v>
      </c>
      <c r="E5993" s="234" t="s">
        <v>2167</v>
      </c>
      <c r="F5993" s="866">
        <v>1.05</v>
      </c>
      <c r="G5993" s="539">
        <f>VLOOKUP(D5993,upahbahan,3,FALSE)</f>
        <v>0</v>
      </c>
      <c r="H5993" s="539">
        <f>F5993*G5993</f>
        <v>0</v>
      </c>
    </row>
    <row r="5994" spans="3:9" ht="25.8" customHeight="1">
      <c r="C5994" s="213">
        <v>2</v>
      </c>
      <c r="D5994" s="212" t="s">
        <v>5867</v>
      </c>
      <c r="E5994" s="234" t="s">
        <v>2167</v>
      </c>
      <c r="F5994" s="866">
        <v>1.05</v>
      </c>
      <c r="G5994" s="539">
        <f>VLOOKUP(D5994,upahbahan,3,FALSE)</f>
        <v>0</v>
      </c>
      <c r="H5994" s="539">
        <f>F5994*G5994</f>
        <v>0</v>
      </c>
    </row>
    <row r="5995" spans="3:9" ht="25.8" customHeight="1">
      <c r="C5995" s="702" t="s">
        <v>1214</v>
      </c>
      <c r="D5995" s="208"/>
      <c r="E5995" s="208"/>
      <c r="F5995" s="208"/>
      <c r="G5995" s="209"/>
      <c r="H5995" s="539">
        <f>SUM(H5993:H5994)</f>
        <v>0</v>
      </c>
    </row>
    <row r="5996" spans="3:9" ht="25.8" customHeight="1">
      <c r="C5996" s="213" t="s">
        <v>1215</v>
      </c>
      <c r="D5996" s="212" t="s">
        <v>1216</v>
      </c>
      <c r="E5996" s="534"/>
      <c r="F5996" s="534"/>
      <c r="G5996" s="534"/>
      <c r="H5996" s="534"/>
    </row>
    <row r="5997" spans="3:9" ht="25.8" customHeight="1">
      <c r="C5997" s="702" t="s">
        <v>1217</v>
      </c>
      <c r="D5997" s="815"/>
      <c r="E5997" s="815"/>
      <c r="F5997" s="815"/>
      <c r="G5997" s="209"/>
      <c r="H5997" s="821">
        <f>SUM(H5996)</f>
        <v>0</v>
      </c>
    </row>
    <row r="5998" spans="3:9" ht="25.8" customHeight="1">
      <c r="C5998" s="566" t="s">
        <v>1218</v>
      </c>
      <c r="D5998" s="552" t="s">
        <v>1219</v>
      </c>
      <c r="E5998" s="553"/>
      <c r="F5998" s="553"/>
      <c r="G5998" s="554"/>
      <c r="H5998" s="826">
        <f>H5997+H5995+H5991</f>
        <v>729210</v>
      </c>
      <c r="I5998" s="827"/>
    </row>
    <row r="5999" spans="3:9" ht="25.8" customHeight="1">
      <c r="C5999" s="566" t="s">
        <v>1220</v>
      </c>
      <c r="D5999" s="552" t="s">
        <v>1321</v>
      </c>
      <c r="E5999" s="553"/>
      <c r="F5999" s="554"/>
      <c r="G5999" s="555">
        <f>$M$9</f>
        <v>0.1</v>
      </c>
      <c r="H5999" s="539">
        <f>H5998*G5999</f>
        <v>72921</v>
      </c>
      <c r="I5999" s="827"/>
    </row>
    <row r="6000" spans="3:9" ht="25.8" customHeight="1">
      <c r="C6000" s="566" t="s">
        <v>1221</v>
      </c>
      <c r="D6000" s="552" t="s">
        <v>1222</v>
      </c>
      <c r="E6000" s="553"/>
      <c r="F6000" s="553"/>
      <c r="G6000" s="554"/>
      <c r="H6000" s="828">
        <f>SUM(H5998:H5999)</f>
        <v>802131</v>
      </c>
      <c r="I6000" s="827"/>
    </row>
    <row r="6001" spans="3:11" ht="25.8" customHeight="1"/>
    <row r="6002" spans="3:11" ht="25.8" customHeight="1">
      <c r="C6002" s="513" t="s">
        <v>5871</v>
      </c>
      <c r="D6002" s="817" t="s">
        <v>5872</v>
      </c>
      <c r="E6002" s="803"/>
      <c r="F6002" s="803"/>
      <c r="G6002" s="803"/>
      <c r="H6002" s="803"/>
      <c r="I6002" s="533">
        <f>ROUNDDOWN(H6017,-2)</f>
        <v>100700</v>
      </c>
      <c r="J6002" s="536"/>
      <c r="K6002" s="824"/>
    </row>
    <row r="6003" spans="3:11" ht="25.8" customHeight="1">
      <c r="C6003" s="716" t="s">
        <v>1195</v>
      </c>
      <c r="D6003" s="716" t="s">
        <v>1196</v>
      </c>
      <c r="E6003" s="716" t="s">
        <v>1197</v>
      </c>
      <c r="F6003" s="716" t="s">
        <v>1198</v>
      </c>
      <c r="G6003" s="716" t="s">
        <v>1199</v>
      </c>
      <c r="H6003" s="716" t="s">
        <v>1200</v>
      </c>
    </row>
    <row r="6004" spans="3:11" ht="25.8" customHeight="1">
      <c r="C6004" s="213" t="s">
        <v>1201</v>
      </c>
      <c r="D6004" s="212" t="s">
        <v>1202</v>
      </c>
      <c r="E6004" s="534"/>
      <c r="F6004" s="534"/>
      <c r="G6004" s="534"/>
      <c r="H6004" s="534"/>
    </row>
    <row r="6005" spans="3:11" ht="25.8" customHeight="1">
      <c r="C6005" s="818">
        <v>1</v>
      </c>
      <c r="D6005" s="212" t="s">
        <v>5</v>
      </c>
      <c r="E6005" s="212" t="s">
        <v>6</v>
      </c>
      <c r="F6005" s="538">
        <v>0.255</v>
      </c>
      <c r="G6005" s="539">
        <f>VLOOKUP(D6005,upahbahan,3,FALSE)</f>
        <v>100000</v>
      </c>
      <c r="H6005" s="539">
        <f t="shared" ref="H6005:H6008" si="619">F6005*G6005</f>
        <v>25500</v>
      </c>
    </row>
    <row r="6006" spans="3:11" ht="25.8" customHeight="1">
      <c r="C6006" s="818">
        <v>2</v>
      </c>
      <c r="D6006" s="212" t="s">
        <v>3295</v>
      </c>
      <c r="E6006" s="212" t="s">
        <v>6</v>
      </c>
      <c r="F6006" s="538">
        <v>0.42499999999999999</v>
      </c>
      <c r="G6006" s="539">
        <f>VLOOKUP(D6006,upahbahan,3,FALSE)</f>
        <v>135000</v>
      </c>
      <c r="H6006" s="539">
        <f t="shared" si="619"/>
        <v>57375</v>
      </c>
    </row>
    <row r="6007" spans="3:11" ht="25.8" customHeight="1">
      <c r="C6007" s="818">
        <v>3</v>
      </c>
      <c r="D6007" s="212" t="s">
        <v>18</v>
      </c>
      <c r="E6007" s="212" t="s">
        <v>6</v>
      </c>
      <c r="F6007" s="538">
        <v>4.2999999999999997E-2</v>
      </c>
      <c r="G6007" s="539">
        <f>VLOOKUP(D6007,upahbahan,3,FALSE)</f>
        <v>150000</v>
      </c>
      <c r="H6007" s="539">
        <f t="shared" si="619"/>
        <v>6449.9999999999991</v>
      </c>
    </row>
    <row r="6008" spans="3:11" ht="25.8" customHeight="1">
      <c r="C6008" s="818">
        <v>4</v>
      </c>
      <c r="D6008" s="212" t="s">
        <v>19</v>
      </c>
      <c r="E6008" s="212" t="s">
        <v>6</v>
      </c>
      <c r="F6008" s="538">
        <v>1.4E-2</v>
      </c>
      <c r="G6008" s="539">
        <f>VLOOKUP(D6008,upahbahan,3,FALSE)</f>
        <v>160000</v>
      </c>
      <c r="H6008" s="539">
        <f t="shared" si="619"/>
        <v>2240</v>
      </c>
    </row>
    <row r="6009" spans="3:11" ht="25.8" customHeight="1">
      <c r="C6009" s="702" t="s">
        <v>1208</v>
      </c>
      <c r="D6009" s="208"/>
      <c r="E6009" s="208"/>
      <c r="F6009" s="811"/>
      <c r="G6009" s="522"/>
      <c r="H6009" s="539">
        <f>SUM(H6005:H6008)</f>
        <v>91565</v>
      </c>
      <c r="I6009" s="819"/>
    </row>
    <row r="6010" spans="3:11" ht="25.8" customHeight="1">
      <c r="C6010" s="213" t="s">
        <v>1209</v>
      </c>
      <c r="D6010" s="212" t="s">
        <v>1210</v>
      </c>
      <c r="E6010" s="534"/>
      <c r="F6010" s="831"/>
      <c r="G6010" s="534"/>
      <c r="H6010" s="534"/>
    </row>
    <row r="6011" spans="3:11" ht="25.8" customHeight="1">
      <c r="C6011" s="213">
        <v>1</v>
      </c>
      <c r="D6011" s="212" t="s">
        <v>5873</v>
      </c>
      <c r="E6011" s="234" t="s">
        <v>2167</v>
      </c>
      <c r="F6011" s="866">
        <v>1.1000000000000001</v>
      </c>
      <c r="G6011" s="539">
        <f>VLOOKUP(D6011,upahbahan,3,FALSE)</f>
        <v>0</v>
      </c>
      <c r="H6011" s="539">
        <f>F6011*G6011</f>
        <v>0</v>
      </c>
    </row>
    <row r="6012" spans="3:11" ht="25.8" customHeight="1">
      <c r="C6012" s="702" t="s">
        <v>1214</v>
      </c>
      <c r="D6012" s="208"/>
      <c r="E6012" s="208"/>
      <c r="F6012" s="208"/>
      <c r="G6012" s="209"/>
      <c r="H6012" s="539">
        <f>SUM(H6011:H6011)</f>
        <v>0</v>
      </c>
    </row>
    <row r="6013" spans="3:11" ht="25.8" customHeight="1">
      <c r="C6013" s="213" t="s">
        <v>1215</v>
      </c>
      <c r="D6013" s="212" t="s">
        <v>1216</v>
      </c>
      <c r="E6013" s="534"/>
      <c r="F6013" s="534"/>
      <c r="G6013" s="534"/>
      <c r="H6013" s="534"/>
    </row>
    <row r="6014" spans="3:11" ht="25.8" customHeight="1">
      <c r="C6014" s="702" t="s">
        <v>1217</v>
      </c>
      <c r="D6014" s="815"/>
      <c r="E6014" s="815"/>
      <c r="F6014" s="815"/>
      <c r="G6014" s="209"/>
      <c r="H6014" s="821">
        <f>SUM(H6013)</f>
        <v>0</v>
      </c>
    </row>
    <row r="6015" spans="3:11" ht="25.8" customHeight="1">
      <c r="C6015" s="566" t="s">
        <v>1218</v>
      </c>
      <c r="D6015" s="552" t="s">
        <v>1219</v>
      </c>
      <c r="E6015" s="553"/>
      <c r="F6015" s="553"/>
      <c r="G6015" s="554"/>
      <c r="H6015" s="826">
        <f>H6014+H6012+H6009</f>
        <v>91565</v>
      </c>
      <c r="I6015" s="827"/>
    </row>
    <row r="6016" spans="3:11" ht="25.8" customHeight="1">
      <c r="C6016" s="566" t="s">
        <v>1220</v>
      </c>
      <c r="D6016" s="552" t="s">
        <v>1321</v>
      </c>
      <c r="E6016" s="553"/>
      <c r="F6016" s="554"/>
      <c r="G6016" s="555">
        <f>$M$9</f>
        <v>0.1</v>
      </c>
      <c r="H6016" s="539">
        <f>H6015*G6016</f>
        <v>9156.5</v>
      </c>
      <c r="I6016" s="827"/>
    </row>
    <row r="6017" spans="3:11" ht="25.8" customHeight="1">
      <c r="C6017" s="566" t="s">
        <v>1221</v>
      </c>
      <c r="D6017" s="552" t="s">
        <v>1222</v>
      </c>
      <c r="E6017" s="553"/>
      <c r="F6017" s="553"/>
      <c r="G6017" s="554"/>
      <c r="H6017" s="828">
        <f>SUM(H6015:H6016)</f>
        <v>100721.5</v>
      </c>
      <c r="I6017" s="827"/>
    </row>
    <row r="6018" spans="3:11" ht="25.8" customHeight="1"/>
    <row r="6019" spans="3:11" ht="25.8" customHeight="1"/>
    <row r="6020" spans="3:11" ht="25.8" customHeight="1">
      <c r="C6020" s="513" t="s">
        <v>5874</v>
      </c>
      <c r="D6020" s="817" t="s">
        <v>5875</v>
      </c>
      <c r="E6020" s="803"/>
      <c r="F6020" s="803"/>
      <c r="G6020" s="803"/>
      <c r="H6020" s="803"/>
      <c r="I6020" s="533">
        <f>ROUNDDOWN(H6036,-2)</f>
        <v>75200</v>
      </c>
      <c r="J6020" s="536"/>
      <c r="K6020" s="824"/>
    </row>
    <row r="6021" spans="3:11" ht="25.8" customHeight="1">
      <c r="C6021" s="716" t="s">
        <v>1195</v>
      </c>
      <c r="D6021" s="716" t="s">
        <v>1196</v>
      </c>
      <c r="E6021" s="716" t="s">
        <v>1197</v>
      </c>
      <c r="F6021" s="716" t="s">
        <v>1198</v>
      </c>
      <c r="G6021" s="716" t="s">
        <v>1199</v>
      </c>
      <c r="H6021" s="716" t="s">
        <v>1200</v>
      </c>
    </row>
    <row r="6022" spans="3:11" ht="25.8" customHeight="1">
      <c r="C6022" s="213" t="s">
        <v>1201</v>
      </c>
      <c r="D6022" s="212" t="s">
        <v>1202</v>
      </c>
      <c r="E6022" s="534"/>
      <c r="F6022" s="534"/>
      <c r="G6022" s="534"/>
      <c r="H6022" s="534"/>
    </row>
    <row r="6023" spans="3:11" ht="25.8" customHeight="1">
      <c r="C6023" s="818">
        <v>1</v>
      </c>
      <c r="D6023" s="212" t="s">
        <v>5</v>
      </c>
      <c r="E6023" s="212" t="s">
        <v>6</v>
      </c>
      <c r="F6023" s="538">
        <v>6.4000000000000001E-2</v>
      </c>
      <c r="G6023" s="539">
        <f>VLOOKUP(D6023,upahbahan,3,FALSE)</f>
        <v>100000</v>
      </c>
      <c r="H6023" s="539">
        <f t="shared" ref="H6023:H6026" si="620">F6023*G6023</f>
        <v>6400</v>
      </c>
    </row>
    <row r="6024" spans="3:11" ht="25.8" customHeight="1">
      <c r="C6024" s="818">
        <v>2</v>
      </c>
      <c r="D6024" s="212" t="s">
        <v>3295</v>
      </c>
      <c r="E6024" s="212" t="s">
        <v>6</v>
      </c>
      <c r="F6024" s="538">
        <v>0.107</v>
      </c>
      <c r="G6024" s="539">
        <f>VLOOKUP(D6024,upahbahan,3,FALSE)</f>
        <v>135000</v>
      </c>
      <c r="H6024" s="539">
        <f t="shared" si="620"/>
        <v>14445</v>
      </c>
    </row>
    <row r="6025" spans="3:11" ht="25.8" customHeight="1">
      <c r="C6025" s="818">
        <v>3</v>
      </c>
      <c r="D6025" s="212" t="s">
        <v>18</v>
      </c>
      <c r="E6025" s="212" t="s">
        <v>6</v>
      </c>
      <c r="F6025" s="538">
        <v>1.0999999999999999E-2</v>
      </c>
      <c r="G6025" s="539">
        <f>VLOOKUP(D6025,upahbahan,3,FALSE)</f>
        <v>150000</v>
      </c>
      <c r="H6025" s="539">
        <f t="shared" si="620"/>
        <v>1650</v>
      </c>
    </row>
    <row r="6026" spans="3:11" ht="25.8" customHeight="1">
      <c r="C6026" s="818">
        <v>4</v>
      </c>
      <c r="D6026" s="212" t="s">
        <v>19</v>
      </c>
      <c r="E6026" s="212" t="s">
        <v>6</v>
      </c>
      <c r="F6026" s="538">
        <v>4.0000000000000001E-3</v>
      </c>
      <c r="G6026" s="539">
        <f>VLOOKUP(D6026,upahbahan,3,FALSE)</f>
        <v>160000</v>
      </c>
      <c r="H6026" s="539">
        <f t="shared" si="620"/>
        <v>640</v>
      </c>
    </row>
    <row r="6027" spans="3:11" ht="25.8" customHeight="1">
      <c r="C6027" s="702" t="s">
        <v>1208</v>
      </c>
      <c r="D6027" s="208"/>
      <c r="E6027" s="208"/>
      <c r="F6027" s="811"/>
      <c r="G6027" s="522"/>
      <c r="H6027" s="539">
        <f>SUM(H6023:H6026)</f>
        <v>23135</v>
      </c>
      <c r="I6027" s="819"/>
    </row>
    <row r="6028" spans="3:11" ht="25.8" customHeight="1">
      <c r="C6028" s="213" t="s">
        <v>1209</v>
      </c>
      <c r="D6028" s="212" t="s">
        <v>1210</v>
      </c>
      <c r="E6028" s="534"/>
      <c r="F6028" s="831"/>
      <c r="G6028" s="534"/>
      <c r="H6028" s="534"/>
    </row>
    <row r="6029" spans="3:11" ht="25.8" customHeight="1">
      <c r="C6029" s="213">
        <v>1</v>
      </c>
      <c r="D6029" s="212" t="s">
        <v>5876</v>
      </c>
      <c r="E6029" s="234" t="s">
        <v>2167</v>
      </c>
      <c r="F6029" s="866">
        <v>1.1000000000000001</v>
      </c>
      <c r="G6029" s="539">
        <f>VLOOKUP(D6029,upahbahan,3,FALSE)</f>
        <v>18657</v>
      </c>
      <c r="H6029" s="539">
        <f>F6029*G6029</f>
        <v>20522.7</v>
      </c>
    </row>
    <row r="6030" spans="3:11" ht="25.8" customHeight="1">
      <c r="C6030" s="213">
        <v>1</v>
      </c>
      <c r="D6030" s="212" t="s">
        <v>5877</v>
      </c>
      <c r="E6030" s="234" t="s">
        <v>2167</v>
      </c>
      <c r="F6030" s="866">
        <v>1.1000000000000001</v>
      </c>
      <c r="G6030" s="539">
        <f>VLOOKUP(D6030,upahbahan,3,FALSE)</f>
        <v>22500</v>
      </c>
      <c r="H6030" s="539">
        <f>F6030*G6030</f>
        <v>24750.000000000004</v>
      </c>
    </row>
    <row r="6031" spans="3:11" ht="25.8" customHeight="1">
      <c r="C6031" s="702" t="s">
        <v>1214</v>
      </c>
      <c r="D6031" s="208"/>
      <c r="E6031" s="208"/>
      <c r="F6031" s="208"/>
      <c r="G6031" s="209"/>
      <c r="H6031" s="539">
        <f>SUM(H6029:H6030)</f>
        <v>45272.700000000004</v>
      </c>
    </row>
    <row r="6032" spans="3:11" ht="25.8" customHeight="1">
      <c r="C6032" s="213" t="s">
        <v>1215</v>
      </c>
      <c r="D6032" s="212" t="s">
        <v>1216</v>
      </c>
      <c r="E6032" s="534"/>
      <c r="F6032" s="534"/>
      <c r="G6032" s="534"/>
      <c r="H6032" s="534"/>
    </row>
    <row r="6033" spans="3:11" ht="25.8" customHeight="1">
      <c r="C6033" s="702" t="s">
        <v>1217</v>
      </c>
      <c r="D6033" s="815"/>
      <c r="E6033" s="815"/>
      <c r="F6033" s="815"/>
      <c r="G6033" s="209"/>
      <c r="H6033" s="821">
        <f>SUM(H6032)</f>
        <v>0</v>
      </c>
    </row>
    <row r="6034" spans="3:11" ht="25.8" customHeight="1">
      <c r="C6034" s="566" t="s">
        <v>1218</v>
      </c>
      <c r="D6034" s="552" t="s">
        <v>1219</v>
      </c>
      <c r="E6034" s="553"/>
      <c r="F6034" s="553"/>
      <c r="G6034" s="554"/>
      <c r="H6034" s="826">
        <f>H6033+H6031+H6027</f>
        <v>68407.700000000012</v>
      </c>
      <c r="I6034" s="827"/>
    </row>
    <row r="6035" spans="3:11" ht="25.8" customHeight="1">
      <c r="C6035" s="566" t="s">
        <v>1220</v>
      </c>
      <c r="D6035" s="552" t="s">
        <v>1321</v>
      </c>
      <c r="E6035" s="553"/>
      <c r="F6035" s="554"/>
      <c r="G6035" s="555">
        <f>$M$9</f>
        <v>0.1</v>
      </c>
      <c r="H6035" s="539">
        <f>H6034*G6035</f>
        <v>6840.7700000000013</v>
      </c>
      <c r="I6035" s="827"/>
    </row>
    <row r="6036" spans="3:11" ht="25.8" customHeight="1">
      <c r="C6036" s="566" t="s">
        <v>1221</v>
      </c>
      <c r="D6036" s="552" t="s">
        <v>1222</v>
      </c>
      <c r="E6036" s="553"/>
      <c r="F6036" s="553"/>
      <c r="G6036" s="554"/>
      <c r="H6036" s="828">
        <f>SUM(H6034:H6035)</f>
        <v>75248.470000000016</v>
      </c>
      <c r="I6036" s="827"/>
    </row>
    <row r="6037" spans="3:11" ht="25.8" customHeight="1"/>
    <row r="6038" spans="3:11" ht="25.8" customHeight="1">
      <c r="C6038" s="513" t="s">
        <v>5878</v>
      </c>
      <c r="D6038" s="817" t="s">
        <v>5879</v>
      </c>
      <c r="E6038" s="803"/>
      <c r="F6038" s="803"/>
      <c r="G6038" s="803"/>
      <c r="H6038" s="803"/>
      <c r="I6038" s="533">
        <f>ROUNDDOWN(H6055,-2)</f>
        <v>75200</v>
      </c>
      <c r="J6038" s="536"/>
      <c r="K6038" s="824"/>
    </row>
    <row r="6039" spans="3:11" ht="25.8" customHeight="1">
      <c r="C6039" s="716" t="s">
        <v>1195</v>
      </c>
      <c r="D6039" s="716" t="s">
        <v>1196</v>
      </c>
      <c r="E6039" s="716" t="s">
        <v>1197</v>
      </c>
      <c r="F6039" s="716" t="s">
        <v>1198</v>
      </c>
      <c r="G6039" s="716" t="s">
        <v>1199</v>
      </c>
      <c r="H6039" s="716" t="s">
        <v>1200</v>
      </c>
    </row>
    <row r="6040" spans="3:11" ht="25.8" customHeight="1">
      <c r="C6040" s="213" t="s">
        <v>1201</v>
      </c>
      <c r="D6040" s="212" t="s">
        <v>1202</v>
      </c>
      <c r="E6040" s="534"/>
      <c r="F6040" s="534"/>
      <c r="G6040" s="534"/>
      <c r="H6040" s="534"/>
    </row>
    <row r="6041" spans="3:11" ht="25.8" customHeight="1">
      <c r="C6041" s="818">
        <v>1</v>
      </c>
      <c r="D6041" s="212" t="s">
        <v>5</v>
      </c>
      <c r="E6041" s="212" t="s">
        <v>6</v>
      </c>
      <c r="F6041" s="538">
        <v>6.4000000000000001E-2</v>
      </c>
      <c r="G6041" s="539">
        <f>VLOOKUP(D6041,upahbahan,3,FALSE)</f>
        <v>100000</v>
      </c>
      <c r="H6041" s="539">
        <f t="shared" ref="H6041:H6044" si="621">F6041*G6041</f>
        <v>6400</v>
      </c>
    </row>
    <row r="6042" spans="3:11" ht="25.8" customHeight="1">
      <c r="C6042" s="818">
        <v>2</v>
      </c>
      <c r="D6042" s="212" t="s">
        <v>3295</v>
      </c>
      <c r="E6042" s="212" t="s">
        <v>6</v>
      </c>
      <c r="F6042" s="538">
        <v>0.107</v>
      </c>
      <c r="G6042" s="539">
        <f>VLOOKUP(D6042,upahbahan,3,FALSE)</f>
        <v>135000</v>
      </c>
      <c r="H6042" s="539">
        <f t="shared" si="621"/>
        <v>14445</v>
      </c>
    </row>
    <row r="6043" spans="3:11" ht="25.8" customHeight="1">
      <c r="C6043" s="818">
        <v>3</v>
      </c>
      <c r="D6043" s="212" t="s">
        <v>18</v>
      </c>
      <c r="E6043" s="212" t="s">
        <v>6</v>
      </c>
      <c r="F6043" s="538">
        <v>1.0999999999999999E-2</v>
      </c>
      <c r="G6043" s="539">
        <f>VLOOKUP(D6043,upahbahan,3,FALSE)</f>
        <v>150000</v>
      </c>
      <c r="H6043" s="539">
        <f t="shared" si="621"/>
        <v>1650</v>
      </c>
    </row>
    <row r="6044" spans="3:11" ht="25.8" customHeight="1">
      <c r="C6044" s="818">
        <v>4</v>
      </c>
      <c r="D6044" s="212" t="s">
        <v>19</v>
      </c>
      <c r="E6044" s="212" t="s">
        <v>6</v>
      </c>
      <c r="F6044" s="538">
        <v>4.0000000000000001E-3</v>
      </c>
      <c r="G6044" s="539">
        <f>VLOOKUP(D6044,upahbahan,3,FALSE)</f>
        <v>160000</v>
      </c>
      <c r="H6044" s="539">
        <f t="shared" si="621"/>
        <v>640</v>
      </c>
    </row>
    <row r="6045" spans="3:11" ht="25.8" customHeight="1">
      <c r="C6045" s="702" t="s">
        <v>1208</v>
      </c>
      <c r="D6045" s="208"/>
      <c r="E6045" s="208"/>
      <c r="F6045" s="811"/>
      <c r="G6045" s="522"/>
      <c r="H6045" s="539">
        <f>SUM(H6041:H6044)</f>
        <v>23135</v>
      </c>
      <c r="I6045" s="819"/>
    </row>
    <row r="6046" spans="3:11" ht="25.8" customHeight="1">
      <c r="C6046" s="213" t="s">
        <v>1209</v>
      </c>
      <c r="D6046" s="212" t="s">
        <v>1210</v>
      </c>
      <c r="E6046" s="534"/>
      <c r="F6046" s="831"/>
      <c r="G6046" s="534"/>
      <c r="H6046" s="534"/>
    </row>
    <row r="6047" spans="3:11" ht="25.8" customHeight="1">
      <c r="C6047" s="213">
        <v>1</v>
      </c>
      <c r="D6047" s="212" t="s">
        <v>5876</v>
      </c>
      <c r="E6047" s="234" t="s">
        <v>2167</v>
      </c>
      <c r="F6047" s="866">
        <v>1.1000000000000001</v>
      </c>
      <c r="G6047" s="539">
        <f>VLOOKUP(D6047,upahbahan,3,FALSE)</f>
        <v>18657</v>
      </c>
      <c r="H6047" s="539">
        <f>F6047*G6047</f>
        <v>20522.7</v>
      </c>
    </row>
    <row r="6048" spans="3:11" ht="25.8" customHeight="1">
      <c r="C6048" s="213">
        <v>2</v>
      </c>
      <c r="D6048" s="212" t="s">
        <v>5877</v>
      </c>
      <c r="E6048" s="234" t="s">
        <v>2167</v>
      </c>
      <c r="F6048" s="866">
        <v>1.1000000000000001</v>
      </c>
      <c r="G6048" s="539">
        <f>VLOOKUP(D6048,upahbahan,3,FALSE)</f>
        <v>22500</v>
      </c>
      <c r="H6048" s="539">
        <f>F6048*G6048</f>
        <v>24750.000000000004</v>
      </c>
    </row>
    <row r="6049" spans="3:11" ht="25.8" customHeight="1">
      <c r="C6049" s="213">
        <v>3</v>
      </c>
      <c r="D6049" s="212" t="s">
        <v>5829</v>
      </c>
      <c r="E6049" s="234" t="s">
        <v>2167</v>
      </c>
      <c r="F6049" s="866">
        <v>1.1000000000000001</v>
      </c>
      <c r="G6049" s="539">
        <f>VLOOKUP(D6049,upahbahan,3,FALSE)</f>
        <v>0</v>
      </c>
      <c r="H6049" s="539">
        <f>F6049*G6049</f>
        <v>0</v>
      </c>
    </row>
    <row r="6050" spans="3:11" ht="25.8" customHeight="1">
      <c r="C6050" s="702" t="s">
        <v>1214</v>
      </c>
      <c r="D6050" s="208"/>
      <c r="E6050" s="208"/>
      <c r="F6050" s="208"/>
      <c r="G6050" s="209"/>
      <c r="H6050" s="539">
        <f>SUM(H6047:H6049)</f>
        <v>45272.700000000004</v>
      </c>
    </row>
    <row r="6051" spans="3:11" ht="25.8" customHeight="1">
      <c r="C6051" s="213" t="s">
        <v>1215</v>
      </c>
      <c r="D6051" s="212" t="s">
        <v>1216</v>
      </c>
      <c r="E6051" s="534"/>
      <c r="F6051" s="534"/>
      <c r="G6051" s="534"/>
      <c r="H6051" s="534"/>
    </row>
    <row r="6052" spans="3:11" ht="25.8" customHeight="1">
      <c r="C6052" s="702" t="s">
        <v>1217</v>
      </c>
      <c r="D6052" s="815"/>
      <c r="E6052" s="815"/>
      <c r="F6052" s="815"/>
      <c r="G6052" s="209"/>
      <c r="H6052" s="821">
        <f>SUM(H6051)</f>
        <v>0</v>
      </c>
    </row>
    <row r="6053" spans="3:11" ht="25.8" customHeight="1">
      <c r="C6053" s="566" t="s">
        <v>1218</v>
      </c>
      <c r="D6053" s="552" t="s">
        <v>1219</v>
      </c>
      <c r="E6053" s="553"/>
      <c r="F6053" s="553"/>
      <c r="G6053" s="554"/>
      <c r="H6053" s="826">
        <f>H6052+H6050+H6045</f>
        <v>68407.700000000012</v>
      </c>
      <c r="I6053" s="827"/>
    </row>
    <row r="6054" spans="3:11" ht="25.8" customHeight="1">
      <c r="C6054" s="566" t="s">
        <v>1220</v>
      </c>
      <c r="D6054" s="552" t="s">
        <v>1321</v>
      </c>
      <c r="E6054" s="553"/>
      <c r="F6054" s="554"/>
      <c r="G6054" s="555">
        <f>$M$9</f>
        <v>0.1</v>
      </c>
      <c r="H6054" s="539">
        <f>H6053*G6054</f>
        <v>6840.7700000000013</v>
      </c>
      <c r="I6054" s="827"/>
    </row>
    <row r="6055" spans="3:11" ht="25.8" customHeight="1">
      <c r="C6055" s="566" t="s">
        <v>1221</v>
      </c>
      <c r="D6055" s="552" t="s">
        <v>1222</v>
      </c>
      <c r="E6055" s="553"/>
      <c r="F6055" s="553"/>
      <c r="G6055" s="554"/>
      <c r="H6055" s="828">
        <f>SUM(H6053:H6054)</f>
        <v>75248.470000000016</v>
      </c>
      <c r="I6055" s="827"/>
    </row>
    <row r="6056" spans="3:11" ht="25.8" customHeight="1"/>
    <row r="6057" spans="3:11" ht="25.8" customHeight="1">
      <c r="C6057" s="513" t="s">
        <v>5880</v>
      </c>
      <c r="D6057" s="817" t="s">
        <v>5881</v>
      </c>
      <c r="E6057" s="803"/>
      <c r="F6057" s="803"/>
      <c r="G6057" s="803"/>
      <c r="H6057" s="803"/>
      <c r="I6057" s="533">
        <f>ROUNDDOWN(H6073,-2)</f>
        <v>93800</v>
      </c>
      <c r="J6057" s="536"/>
      <c r="K6057" s="824"/>
    </row>
    <row r="6058" spans="3:11" ht="25.8" customHeight="1">
      <c r="C6058" s="716" t="s">
        <v>1195</v>
      </c>
      <c r="D6058" s="716" t="s">
        <v>1196</v>
      </c>
      <c r="E6058" s="716" t="s">
        <v>1197</v>
      </c>
      <c r="F6058" s="716" t="s">
        <v>1198</v>
      </c>
      <c r="G6058" s="716" t="s">
        <v>1199</v>
      </c>
      <c r="H6058" s="716" t="s">
        <v>1200</v>
      </c>
    </row>
    <row r="6059" spans="3:11" ht="25.8" customHeight="1">
      <c r="C6059" s="213" t="s">
        <v>1201</v>
      </c>
      <c r="D6059" s="212" t="s">
        <v>1202</v>
      </c>
      <c r="E6059" s="534"/>
      <c r="F6059" s="534"/>
      <c r="G6059" s="534"/>
      <c r="H6059" s="534"/>
    </row>
    <row r="6060" spans="3:11" ht="25.8" customHeight="1">
      <c r="C6060" s="818">
        <v>1</v>
      </c>
      <c r="D6060" s="212" t="s">
        <v>5</v>
      </c>
      <c r="E6060" s="212" t="s">
        <v>6</v>
      </c>
      <c r="F6060" s="538">
        <v>6.4000000000000001E-2</v>
      </c>
      <c r="G6060" s="539">
        <f>VLOOKUP(D6060,upahbahan,3,FALSE)</f>
        <v>100000</v>
      </c>
      <c r="H6060" s="539">
        <f t="shared" ref="H6060:H6063" si="622">F6060*G6060</f>
        <v>6400</v>
      </c>
    </row>
    <row r="6061" spans="3:11" ht="25.8" customHeight="1">
      <c r="C6061" s="818">
        <v>2</v>
      </c>
      <c r="D6061" s="212" t="s">
        <v>3295</v>
      </c>
      <c r="E6061" s="212" t="s">
        <v>6</v>
      </c>
      <c r="F6061" s="538">
        <v>0.107</v>
      </c>
      <c r="G6061" s="539">
        <f>VLOOKUP(D6061,upahbahan,3,FALSE)</f>
        <v>135000</v>
      </c>
      <c r="H6061" s="539">
        <f t="shared" si="622"/>
        <v>14445</v>
      </c>
    </row>
    <row r="6062" spans="3:11" ht="25.8" customHeight="1">
      <c r="C6062" s="818">
        <v>3</v>
      </c>
      <c r="D6062" s="212" t="s">
        <v>18</v>
      </c>
      <c r="E6062" s="212" t="s">
        <v>6</v>
      </c>
      <c r="F6062" s="538">
        <v>1.0999999999999999E-2</v>
      </c>
      <c r="G6062" s="539">
        <f>VLOOKUP(D6062,upahbahan,3,FALSE)</f>
        <v>150000</v>
      </c>
      <c r="H6062" s="539">
        <f t="shared" si="622"/>
        <v>1650</v>
      </c>
    </row>
    <row r="6063" spans="3:11" ht="25.8" customHeight="1">
      <c r="C6063" s="818">
        <v>4</v>
      </c>
      <c r="D6063" s="212" t="s">
        <v>19</v>
      </c>
      <c r="E6063" s="212" t="s">
        <v>6</v>
      </c>
      <c r="F6063" s="538">
        <v>4.0000000000000001E-3</v>
      </c>
      <c r="G6063" s="539">
        <f>VLOOKUP(D6063,upahbahan,3,FALSE)</f>
        <v>160000</v>
      </c>
      <c r="H6063" s="539">
        <f t="shared" si="622"/>
        <v>640</v>
      </c>
    </row>
    <row r="6064" spans="3:11" ht="25.8" customHeight="1">
      <c r="C6064" s="702" t="s">
        <v>1208</v>
      </c>
      <c r="D6064" s="208"/>
      <c r="E6064" s="208"/>
      <c r="F6064" s="811"/>
      <c r="G6064" s="522"/>
      <c r="H6064" s="539">
        <f>SUM(H6060:H6063)</f>
        <v>23135</v>
      </c>
      <c r="I6064" s="819"/>
    </row>
    <row r="6065" spans="3:11" ht="25.8" customHeight="1">
      <c r="C6065" s="213" t="s">
        <v>1209</v>
      </c>
      <c r="D6065" s="212" t="s">
        <v>1210</v>
      </c>
      <c r="E6065" s="534"/>
      <c r="F6065" s="831"/>
      <c r="G6065" s="534"/>
      <c r="H6065" s="534"/>
    </row>
    <row r="6066" spans="3:11" ht="25.8" customHeight="1">
      <c r="C6066" s="213">
        <v>1</v>
      </c>
      <c r="D6066" s="212" t="s">
        <v>5882</v>
      </c>
      <c r="E6066" s="234" t="s">
        <v>2167</v>
      </c>
      <c r="F6066" s="866">
        <v>1.1000000000000001</v>
      </c>
      <c r="G6066" s="539">
        <f>VLOOKUP(D6066,upahbahan,3,FALSE)</f>
        <v>34000</v>
      </c>
      <c r="H6066" s="539">
        <f>F6066*G6066</f>
        <v>37400</v>
      </c>
    </row>
    <row r="6067" spans="3:11" ht="25.8" customHeight="1">
      <c r="C6067" s="213">
        <v>2</v>
      </c>
      <c r="D6067" s="212" t="s">
        <v>5877</v>
      </c>
      <c r="E6067" s="234" t="s">
        <v>2167</v>
      </c>
      <c r="F6067" s="866">
        <v>1.1000000000000001</v>
      </c>
      <c r="G6067" s="539">
        <f>VLOOKUP(D6067,upahbahan,3,FALSE)</f>
        <v>22500</v>
      </c>
      <c r="H6067" s="539">
        <f>F6067*G6067</f>
        <v>24750.000000000004</v>
      </c>
    </row>
    <row r="6068" spans="3:11" ht="25.8" customHeight="1">
      <c r="C6068" s="702" t="s">
        <v>1214</v>
      </c>
      <c r="D6068" s="208"/>
      <c r="E6068" s="208"/>
      <c r="F6068" s="208"/>
      <c r="G6068" s="209"/>
      <c r="H6068" s="539">
        <f>SUM(H6066:H6067)</f>
        <v>62150</v>
      </c>
    </row>
    <row r="6069" spans="3:11" ht="25.8" customHeight="1">
      <c r="C6069" s="213" t="s">
        <v>1215</v>
      </c>
      <c r="D6069" s="212" t="s">
        <v>1216</v>
      </c>
      <c r="E6069" s="534"/>
      <c r="F6069" s="534"/>
      <c r="G6069" s="534"/>
      <c r="H6069" s="534"/>
    </row>
    <row r="6070" spans="3:11" ht="25.8" customHeight="1">
      <c r="C6070" s="702" t="s">
        <v>1217</v>
      </c>
      <c r="D6070" s="815"/>
      <c r="E6070" s="815"/>
      <c r="F6070" s="815"/>
      <c r="G6070" s="209"/>
      <c r="H6070" s="821">
        <f>SUM(H6069)</f>
        <v>0</v>
      </c>
    </row>
    <row r="6071" spans="3:11" ht="25.8" customHeight="1">
      <c r="C6071" s="566" t="s">
        <v>1218</v>
      </c>
      <c r="D6071" s="552" t="s">
        <v>1219</v>
      </c>
      <c r="E6071" s="553"/>
      <c r="F6071" s="553"/>
      <c r="G6071" s="554"/>
      <c r="H6071" s="826">
        <f>H6070+H6068+H6064</f>
        <v>85285</v>
      </c>
      <c r="I6071" s="827"/>
    </row>
    <row r="6072" spans="3:11" ht="25.8" customHeight="1">
      <c r="C6072" s="566" t="s">
        <v>1220</v>
      </c>
      <c r="D6072" s="552" t="s">
        <v>1321</v>
      </c>
      <c r="E6072" s="553"/>
      <c r="F6072" s="554"/>
      <c r="G6072" s="555">
        <f>$M$9</f>
        <v>0.1</v>
      </c>
      <c r="H6072" s="539">
        <f>H6071*G6072</f>
        <v>8528.5</v>
      </c>
      <c r="I6072" s="827"/>
    </row>
    <row r="6073" spans="3:11" ht="25.8" customHeight="1">
      <c r="C6073" s="566" t="s">
        <v>1221</v>
      </c>
      <c r="D6073" s="552" t="s">
        <v>1222</v>
      </c>
      <c r="E6073" s="553"/>
      <c r="F6073" s="553"/>
      <c r="G6073" s="554"/>
      <c r="H6073" s="828">
        <f>SUM(H6071:H6072)</f>
        <v>93813.5</v>
      </c>
      <c r="I6073" s="827"/>
    </row>
    <row r="6074" spans="3:11" ht="25.8" customHeight="1"/>
    <row r="6075" spans="3:11" ht="25.8" customHeight="1"/>
    <row r="6076" spans="3:11" ht="25.8" customHeight="1">
      <c r="C6076" s="513" t="s">
        <v>5883</v>
      </c>
      <c r="D6076" s="817" t="s">
        <v>5884</v>
      </c>
      <c r="E6076" s="803"/>
      <c r="F6076" s="803"/>
      <c r="G6076" s="803"/>
      <c r="H6076" s="803"/>
      <c r="I6076" s="533">
        <f>ROUNDDOWN(H6093,-2)</f>
        <v>93800</v>
      </c>
      <c r="J6076" s="536"/>
      <c r="K6076" s="824"/>
    </row>
    <row r="6077" spans="3:11" ht="25.8" customHeight="1">
      <c r="C6077" s="716" t="s">
        <v>1195</v>
      </c>
      <c r="D6077" s="716" t="s">
        <v>1196</v>
      </c>
      <c r="E6077" s="716" t="s">
        <v>1197</v>
      </c>
      <c r="F6077" s="716" t="s">
        <v>1198</v>
      </c>
      <c r="G6077" s="716" t="s">
        <v>1199</v>
      </c>
      <c r="H6077" s="716" t="s">
        <v>1200</v>
      </c>
    </row>
    <row r="6078" spans="3:11" ht="25.8" customHeight="1">
      <c r="C6078" s="213" t="s">
        <v>1201</v>
      </c>
      <c r="D6078" s="212" t="s">
        <v>1202</v>
      </c>
      <c r="E6078" s="534"/>
      <c r="F6078" s="534"/>
      <c r="G6078" s="534"/>
      <c r="H6078" s="534"/>
    </row>
    <row r="6079" spans="3:11" ht="25.8" customHeight="1">
      <c r="C6079" s="818">
        <v>1</v>
      </c>
      <c r="D6079" s="212" t="s">
        <v>5</v>
      </c>
      <c r="E6079" s="212" t="s">
        <v>6</v>
      </c>
      <c r="F6079" s="538">
        <v>6.4000000000000001E-2</v>
      </c>
      <c r="G6079" s="539">
        <f>VLOOKUP(D6079,upahbahan,3,FALSE)</f>
        <v>100000</v>
      </c>
      <c r="H6079" s="539">
        <f t="shared" ref="H6079:H6082" si="623">F6079*G6079</f>
        <v>6400</v>
      </c>
    </row>
    <row r="6080" spans="3:11" ht="25.8" customHeight="1">
      <c r="C6080" s="818">
        <v>2</v>
      </c>
      <c r="D6080" s="212" t="s">
        <v>3295</v>
      </c>
      <c r="E6080" s="212" t="s">
        <v>6</v>
      </c>
      <c r="F6080" s="538">
        <v>0.107</v>
      </c>
      <c r="G6080" s="539">
        <f>VLOOKUP(D6080,upahbahan,3,FALSE)</f>
        <v>135000</v>
      </c>
      <c r="H6080" s="539">
        <f t="shared" si="623"/>
        <v>14445</v>
      </c>
    </row>
    <row r="6081" spans="3:11" ht="25.8" customHeight="1">
      <c r="C6081" s="818">
        <v>3</v>
      </c>
      <c r="D6081" s="212" t="s">
        <v>18</v>
      </c>
      <c r="E6081" s="212" t="s">
        <v>6</v>
      </c>
      <c r="F6081" s="538">
        <v>1.0999999999999999E-2</v>
      </c>
      <c r="G6081" s="539">
        <f>VLOOKUP(D6081,upahbahan,3,FALSE)</f>
        <v>150000</v>
      </c>
      <c r="H6081" s="539">
        <f t="shared" si="623"/>
        <v>1650</v>
      </c>
    </row>
    <row r="6082" spans="3:11" ht="25.8" customHeight="1">
      <c r="C6082" s="818">
        <v>4</v>
      </c>
      <c r="D6082" s="212" t="s">
        <v>19</v>
      </c>
      <c r="E6082" s="212" t="s">
        <v>6</v>
      </c>
      <c r="F6082" s="538">
        <v>4.0000000000000001E-3</v>
      </c>
      <c r="G6082" s="539">
        <f>VLOOKUP(D6082,upahbahan,3,FALSE)</f>
        <v>160000</v>
      </c>
      <c r="H6082" s="539">
        <f t="shared" si="623"/>
        <v>640</v>
      </c>
    </row>
    <row r="6083" spans="3:11" ht="25.8" customHeight="1">
      <c r="C6083" s="702" t="s">
        <v>1208</v>
      </c>
      <c r="D6083" s="208"/>
      <c r="E6083" s="208"/>
      <c r="F6083" s="811"/>
      <c r="G6083" s="522"/>
      <c r="H6083" s="539">
        <f>SUM(H6079:H6082)</f>
        <v>23135</v>
      </c>
      <c r="I6083" s="819"/>
    </row>
    <row r="6084" spans="3:11" ht="25.8" customHeight="1">
      <c r="C6084" s="213" t="s">
        <v>1209</v>
      </c>
      <c r="D6084" s="212" t="s">
        <v>1210</v>
      </c>
      <c r="E6084" s="534"/>
      <c r="F6084" s="831"/>
      <c r="G6084" s="534"/>
      <c r="H6084" s="534"/>
    </row>
    <row r="6085" spans="3:11" ht="25.8" customHeight="1">
      <c r="C6085" s="213">
        <v>1</v>
      </c>
      <c r="D6085" s="212" t="s">
        <v>5882</v>
      </c>
      <c r="E6085" s="234" t="s">
        <v>2167</v>
      </c>
      <c r="F6085" s="866">
        <v>1.1000000000000001</v>
      </c>
      <c r="G6085" s="539">
        <f>VLOOKUP(D6085,upahbahan,3,FALSE)</f>
        <v>34000</v>
      </c>
      <c r="H6085" s="539">
        <f>F6085*G6085</f>
        <v>37400</v>
      </c>
    </row>
    <row r="6086" spans="3:11" ht="25.8" customHeight="1">
      <c r="C6086" s="213">
        <v>2</v>
      </c>
      <c r="D6086" s="212" t="s">
        <v>5877</v>
      </c>
      <c r="E6086" s="234" t="s">
        <v>2167</v>
      </c>
      <c r="F6086" s="866">
        <v>1.1000000000000001</v>
      </c>
      <c r="G6086" s="539">
        <f>VLOOKUP(D6086,upahbahan,3,FALSE)</f>
        <v>22500</v>
      </c>
      <c r="H6086" s="539">
        <f>F6086*G6086</f>
        <v>24750.000000000004</v>
      </c>
    </row>
    <row r="6087" spans="3:11" ht="25.8" customHeight="1">
      <c r="C6087" s="213">
        <v>3</v>
      </c>
      <c r="D6087" s="212" t="s">
        <v>5829</v>
      </c>
      <c r="E6087" s="234" t="s">
        <v>2167</v>
      </c>
      <c r="F6087" s="866">
        <v>1.1000000000000001</v>
      </c>
      <c r="G6087" s="539">
        <f>VLOOKUP(D6087,upahbahan,3,FALSE)</f>
        <v>0</v>
      </c>
      <c r="H6087" s="539">
        <f>F6087*G6087</f>
        <v>0</v>
      </c>
    </row>
    <row r="6088" spans="3:11" ht="25.8" customHeight="1">
      <c r="C6088" s="702" t="s">
        <v>1214</v>
      </c>
      <c r="D6088" s="208"/>
      <c r="E6088" s="208"/>
      <c r="F6088" s="208"/>
      <c r="G6088" s="209"/>
      <c r="H6088" s="539">
        <f>SUM(H6085:H6087)</f>
        <v>62150</v>
      </c>
    </row>
    <row r="6089" spans="3:11" ht="25.8" customHeight="1">
      <c r="C6089" s="213" t="s">
        <v>1215</v>
      </c>
      <c r="D6089" s="212" t="s">
        <v>1216</v>
      </c>
      <c r="E6089" s="534"/>
      <c r="F6089" s="534"/>
      <c r="G6089" s="534"/>
      <c r="H6089" s="534"/>
    </row>
    <row r="6090" spans="3:11" ht="25.8" customHeight="1">
      <c r="C6090" s="702" t="s">
        <v>1217</v>
      </c>
      <c r="D6090" s="815"/>
      <c r="E6090" s="815"/>
      <c r="F6090" s="815"/>
      <c r="G6090" s="209"/>
      <c r="H6090" s="821">
        <f>SUM(H6089)</f>
        <v>0</v>
      </c>
    </row>
    <row r="6091" spans="3:11" ht="25.8" customHeight="1">
      <c r="C6091" s="566" t="s">
        <v>1218</v>
      </c>
      <c r="D6091" s="552" t="s">
        <v>1219</v>
      </c>
      <c r="E6091" s="553"/>
      <c r="F6091" s="553"/>
      <c r="G6091" s="554"/>
      <c r="H6091" s="826">
        <f>H6090+H6088+H6083</f>
        <v>85285</v>
      </c>
      <c r="I6091" s="827"/>
    </row>
    <row r="6092" spans="3:11" ht="25.8" customHeight="1">
      <c r="C6092" s="566" t="s">
        <v>1220</v>
      </c>
      <c r="D6092" s="552" t="s">
        <v>1321</v>
      </c>
      <c r="E6092" s="553"/>
      <c r="F6092" s="554"/>
      <c r="G6092" s="555">
        <f>$M$9</f>
        <v>0.1</v>
      </c>
      <c r="H6092" s="539">
        <f>H6091*G6092</f>
        <v>8528.5</v>
      </c>
      <c r="I6092" s="827"/>
    </row>
    <row r="6093" spans="3:11" ht="25.8" customHeight="1">
      <c r="C6093" s="566" t="s">
        <v>1221</v>
      </c>
      <c r="D6093" s="552" t="s">
        <v>1222</v>
      </c>
      <c r="E6093" s="553"/>
      <c r="F6093" s="553"/>
      <c r="G6093" s="554"/>
      <c r="H6093" s="828">
        <f>SUM(H6091:H6092)</f>
        <v>93813.5</v>
      </c>
      <c r="I6093" s="827"/>
    </row>
    <row r="6094" spans="3:11" ht="25.8" customHeight="1"/>
    <row r="6095" spans="3:11" ht="25.8" customHeight="1">
      <c r="C6095" s="513" t="s">
        <v>5885</v>
      </c>
      <c r="D6095" s="817" t="s">
        <v>5886</v>
      </c>
      <c r="E6095" s="803"/>
      <c r="F6095" s="803"/>
      <c r="G6095" s="803"/>
      <c r="H6095" s="803"/>
      <c r="I6095" s="533">
        <f>ROUNDDOWN(H6112,-2)</f>
        <v>145800</v>
      </c>
      <c r="J6095" s="536"/>
      <c r="K6095" s="824"/>
    </row>
    <row r="6096" spans="3:11" ht="25.8" customHeight="1">
      <c r="C6096" s="716" t="s">
        <v>1195</v>
      </c>
      <c r="D6096" s="716" t="s">
        <v>1196</v>
      </c>
      <c r="E6096" s="716" t="s">
        <v>1197</v>
      </c>
      <c r="F6096" s="716" t="s">
        <v>1198</v>
      </c>
      <c r="G6096" s="716" t="s">
        <v>1199</v>
      </c>
      <c r="H6096" s="716" t="s">
        <v>1200</v>
      </c>
    </row>
    <row r="6097" spans="3:9" ht="25.8" customHeight="1">
      <c r="C6097" s="213" t="s">
        <v>1201</v>
      </c>
      <c r="D6097" s="212" t="s">
        <v>1202</v>
      </c>
      <c r="E6097" s="534"/>
      <c r="F6097" s="534"/>
      <c r="G6097" s="534"/>
      <c r="H6097" s="534"/>
    </row>
    <row r="6098" spans="3:9" ht="25.8" customHeight="1">
      <c r="C6098" s="818">
        <v>1</v>
      </c>
      <c r="D6098" s="212" t="s">
        <v>5</v>
      </c>
      <c r="E6098" s="212" t="s">
        <v>6</v>
      </c>
      <c r="F6098" s="538">
        <v>6.4000000000000001E-2</v>
      </c>
      <c r="G6098" s="539">
        <f>VLOOKUP(D6098,upahbahan,3,FALSE)</f>
        <v>100000</v>
      </c>
      <c r="H6098" s="539">
        <f t="shared" ref="H6098:H6101" si="624">F6098*G6098</f>
        <v>6400</v>
      </c>
    </row>
    <row r="6099" spans="3:9" ht="25.8" customHeight="1">
      <c r="C6099" s="818">
        <v>2</v>
      </c>
      <c r="D6099" s="212" t="s">
        <v>3295</v>
      </c>
      <c r="E6099" s="212" t="s">
        <v>6</v>
      </c>
      <c r="F6099" s="538">
        <v>0.107</v>
      </c>
      <c r="G6099" s="539">
        <f>VLOOKUP(D6099,upahbahan,3,FALSE)</f>
        <v>135000</v>
      </c>
      <c r="H6099" s="539">
        <f t="shared" si="624"/>
        <v>14445</v>
      </c>
    </row>
    <row r="6100" spans="3:9" ht="25.8" customHeight="1">
      <c r="C6100" s="818">
        <v>3</v>
      </c>
      <c r="D6100" s="212" t="s">
        <v>18</v>
      </c>
      <c r="E6100" s="212" t="s">
        <v>6</v>
      </c>
      <c r="F6100" s="538">
        <v>1.0999999999999999E-2</v>
      </c>
      <c r="G6100" s="539">
        <f>VLOOKUP(D6100,upahbahan,3,FALSE)</f>
        <v>150000</v>
      </c>
      <c r="H6100" s="539">
        <f t="shared" si="624"/>
        <v>1650</v>
      </c>
    </row>
    <row r="6101" spans="3:9" ht="25.8" customHeight="1">
      <c r="C6101" s="818">
        <v>4</v>
      </c>
      <c r="D6101" s="212" t="s">
        <v>19</v>
      </c>
      <c r="E6101" s="212" t="s">
        <v>6</v>
      </c>
      <c r="F6101" s="538">
        <v>4.0000000000000001E-3</v>
      </c>
      <c r="G6101" s="539">
        <f>VLOOKUP(D6101,upahbahan,3,FALSE)</f>
        <v>160000</v>
      </c>
      <c r="H6101" s="539">
        <f t="shared" si="624"/>
        <v>640</v>
      </c>
    </row>
    <row r="6102" spans="3:9" ht="25.8" customHeight="1">
      <c r="C6102" s="702" t="s">
        <v>1208</v>
      </c>
      <c r="D6102" s="208"/>
      <c r="E6102" s="208"/>
      <c r="F6102" s="811"/>
      <c r="G6102" s="522"/>
      <c r="H6102" s="539">
        <f>SUM(H6098:H6101)</f>
        <v>23135</v>
      </c>
      <c r="I6102" s="819"/>
    </row>
    <row r="6103" spans="3:9" ht="25.8" customHeight="1">
      <c r="C6103" s="213" t="s">
        <v>1209</v>
      </c>
      <c r="D6103" s="212" t="s">
        <v>1210</v>
      </c>
      <c r="E6103" s="534"/>
      <c r="F6103" s="831"/>
      <c r="G6103" s="534"/>
      <c r="H6103" s="534"/>
    </row>
    <row r="6104" spans="3:9" ht="25.8" customHeight="1">
      <c r="C6104" s="213">
        <v>1</v>
      </c>
      <c r="D6104" s="212" t="s">
        <v>5887</v>
      </c>
      <c r="E6104" s="234" t="s">
        <v>2167</v>
      </c>
      <c r="F6104" s="866">
        <v>1.1000000000000001</v>
      </c>
      <c r="G6104" s="539">
        <f>VLOOKUP(D6104,upahbahan,3,FALSE)</f>
        <v>77000</v>
      </c>
      <c r="H6104" s="539">
        <f>F6104*G6104</f>
        <v>84700</v>
      </c>
    </row>
    <row r="6105" spans="3:9" ht="25.8" customHeight="1">
      <c r="C6105" s="213">
        <v>2</v>
      </c>
      <c r="D6105" s="212" t="s">
        <v>5877</v>
      </c>
      <c r="E6105" s="234" t="s">
        <v>2167</v>
      </c>
      <c r="F6105" s="866">
        <v>1.1000000000000001</v>
      </c>
      <c r="G6105" s="539">
        <f>VLOOKUP(D6105,upahbahan,3,FALSE)</f>
        <v>22500</v>
      </c>
      <c r="H6105" s="539">
        <f>F6105*G6105</f>
        <v>24750.000000000004</v>
      </c>
    </row>
    <row r="6106" spans="3:9" ht="25.8" customHeight="1">
      <c r="C6106" s="213">
        <v>3</v>
      </c>
      <c r="D6106" s="212" t="s">
        <v>5829</v>
      </c>
      <c r="E6106" s="234" t="s">
        <v>2167</v>
      </c>
      <c r="F6106" s="866">
        <v>1.1000000000000001</v>
      </c>
      <c r="G6106" s="539">
        <f>VLOOKUP(D6106,upahbahan,3,FALSE)</f>
        <v>0</v>
      </c>
      <c r="H6106" s="539">
        <f>F6106*G6106</f>
        <v>0</v>
      </c>
    </row>
    <row r="6107" spans="3:9" ht="25.8" customHeight="1">
      <c r="C6107" s="702" t="s">
        <v>1214</v>
      </c>
      <c r="D6107" s="208"/>
      <c r="E6107" s="208"/>
      <c r="F6107" s="208"/>
      <c r="G6107" s="209"/>
      <c r="H6107" s="539">
        <f>SUM(H6104:H6106)</f>
        <v>109450</v>
      </c>
    </row>
    <row r="6108" spans="3:9" ht="25.8" customHeight="1">
      <c r="C6108" s="213" t="s">
        <v>1215</v>
      </c>
      <c r="D6108" s="212" t="s">
        <v>1216</v>
      </c>
      <c r="E6108" s="534"/>
      <c r="F6108" s="534"/>
      <c r="G6108" s="534"/>
      <c r="H6108" s="534"/>
    </row>
    <row r="6109" spans="3:9" ht="25.8" customHeight="1">
      <c r="C6109" s="702" t="s">
        <v>1217</v>
      </c>
      <c r="D6109" s="815"/>
      <c r="E6109" s="815"/>
      <c r="F6109" s="815"/>
      <c r="G6109" s="209"/>
      <c r="H6109" s="821">
        <f>SUM(H6108)</f>
        <v>0</v>
      </c>
    </row>
    <row r="6110" spans="3:9" ht="25.8" customHeight="1">
      <c r="C6110" s="566" t="s">
        <v>1218</v>
      </c>
      <c r="D6110" s="552" t="s">
        <v>1219</v>
      </c>
      <c r="E6110" s="553"/>
      <c r="F6110" s="553"/>
      <c r="G6110" s="554"/>
      <c r="H6110" s="826">
        <f>H6109+H6107+H6102</f>
        <v>132585</v>
      </c>
      <c r="I6110" s="827"/>
    </row>
    <row r="6111" spans="3:9" ht="25.8" customHeight="1">
      <c r="C6111" s="566" t="s">
        <v>1220</v>
      </c>
      <c r="D6111" s="552" t="s">
        <v>1321</v>
      </c>
      <c r="E6111" s="553"/>
      <c r="F6111" s="554"/>
      <c r="G6111" s="555">
        <f>$M$9</f>
        <v>0.1</v>
      </c>
      <c r="H6111" s="539">
        <f>H6110*G6111</f>
        <v>13258.5</v>
      </c>
      <c r="I6111" s="827"/>
    </row>
    <row r="6112" spans="3:9" ht="25.8" customHeight="1">
      <c r="C6112" s="566" t="s">
        <v>1221</v>
      </c>
      <c r="D6112" s="552" t="s">
        <v>1222</v>
      </c>
      <c r="E6112" s="553"/>
      <c r="F6112" s="553"/>
      <c r="G6112" s="554"/>
      <c r="H6112" s="828">
        <f>SUM(H6110:H6111)</f>
        <v>145843.5</v>
      </c>
      <c r="I6112" s="827"/>
    </row>
    <row r="6113" spans="3:11" ht="25.8" customHeight="1"/>
    <row r="6114" spans="3:11" ht="25.8" customHeight="1">
      <c r="C6114" s="513" t="s">
        <v>5888</v>
      </c>
      <c r="D6114" s="817" t="s">
        <v>5889</v>
      </c>
      <c r="E6114" s="803"/>
      <c r="F6114" s="803"/>
      <c r="G6114" s="803"/>
      <c r="H6114" s="803"/>
      <c r="I6114" s="533">
        <f>ROUNDDOWN(H6131,-2)</f>
        <v>170000</v>
      </c>
      <c r="J6114" s="536"/>
      <c r="K6114" s="824"/>
    </row>
    <row r="6115" spans="3:11" ht="25.8" customHeight="1">
      <c r="C6115" s="716" t="s">
        <v>1195</v>
      </c>
      <c r="D6115" s="716" t="s">
        <v>1196</v>
      </c>
      <c r="E6115" s="716" t="s">
        <v>1197</v>
      </c>
      <c r="F6115" s="716" t="s">
        <v>1198</v>
      </c>
      <c r="G6115" s="716" t="s">
        <v>1199</v>
      </c>
      <c r="H6115" s="716" t="s">
        <v>1200</v>
      </c>
    </row>
    <row r="6116" spans="3:11" ht="25.8" customHeight="1">
      <c r="C6116" s="213" t="s">
        <v>1201</v>
      </c>
      <c r="D6116" s="212" t="s">
        <v>1202</v>
      </c>
      <c r="E6116" s="534"/>
      <c r="F6116" s="534"/>
      <c r="G6116" s="534"/>
      <c r="H6116" s="534"/>
    </row>
    <row r="6117" spans="3:11" ht="25.8" customHeight="1">
      <c r="C6117" s="818">
        <v>1</v>
      </c>
      <c r="D6117" s="212" t="s">
        <v>5</v>
      </c>
      <c r="E6117" s="212" t="s">
        <v>6</v>
      </c>
      <c r="F6117" s="538">
        <v>6.4000000000000001E-2</v>
      </c>
      <c r="G6117" s="539">
        <f>VLOOKUP(D6117,upahbahan,3,FALSE)</f>
        <v>100000</v>
      </c>
      <c r="H6117" s="539">
        <f t="shared" ref="H6117:H6120" si="625">F6117*G6117</f>
        <v>6400</v>
      </c>
    </row>
    <row r="6118" spans="3:11" ht="25.8" customHeight="1">
      <c r="C6118" s="818">
        <v>2</v>
      </c>
      <c r="D6118" s="212" t="s">
        <v>3295</v>
      </c>
      <c r="E6118" s="212" t="s">
        <v>6</v>
      </c>
      <c r="F6118" s="538">
        <v>0.107</v>
      </c>
      <c r="G6118" s="539">
        <f>VLOOKUP(D6118,upahbahan,3,FALSE)</f>
        <v>135000</v>
      </c>
      <c r="H6118" s="539">
        <f t="shared" si="625"/>
        <v>14445</v>
      </c>
    </row>
    <row r="6119" spans="3:11" ht="25.8" customHeight="1">
      <c r="C6119" s="818">
        <v>3</v>
      </c>
      <c r="D6119" s="212" t="s">
        <v>18</v>
      </c>
      <c r="E6119" s="212" t="s">
        <v>6</v>
      </c>
      <c r="F6119" s="538">
        <v>1.0999999999999999E-2</v>
      </c>
      <c r="G6119" s="539">
        <f>VLOOKUP(D6119,upahbahan,3,FALSE)</f>
        <v>150000</v>
      </c>
      <c r="H6119" s="539">
        <f t="shared" si="625"/>
        <v>1650</v>
      </c>
    </row>
    <row r="6120" spans="3:11" ht="25.8" customHeight="1">
      <c r="C6120" s="818">
        <v>4</v>
      </c>
      <c r="D6120" s="212" t="s">
        <v>19</v>
      </c>
      <c r="E6120" s="212" t="s">
        <v>6</v>
      </c>
      <c r="F6120" s="538">
        <v>4.0000000000000001E-3</v>
      </c>
      <c r="G6120" s="539">
        <f>VLOOKUP(D6120,upahbahan,3,FALSE)</f>
        <v>160000</v>
      </c>
      <c r="H6120" s="539">
        <f t="shared" si="625"/>
        <v>640</v>
      </c>
    </row>
    <row r="6121" spans="3:11" ht="25.8" customHeight="1">
      <c r="C6121" s="702" t="s">
        <v>1208</v>
      </c>
      <c r="D6121" s="208"/>
      <c r="E6121" s="208"/>
      <c r="F6121" s="811"/>
      <c r="G6121" s="522"/>
      <c r="H6121" s="539">
        <f>SUM(H6117:H6120)</f>
        <v>23135</v>
      </c>
      <c r="I6121" s="819"/>
    </row>
    <row r="6122" spans="3:11" ht="25.8" customHeight="1">
      <c r="C6122" s="213" t="s">
        <v>1209</v>
      </c>
      <c r="D6122" s="212" t="s">
        <v>1210</v>
      </c>
      <c r="E6122" s="534"/>
      <c r="F6122" s="831"/>
      <c r="G6122" s="534"/>
      <c r="H6122" s="534"/>
    </row>
    <row r="6123" spans="3:11" ht="25.8" customHeight="1">
      <c r="C6123" s="213">
        <v>1</v>
      </c>
      <c r="D6123" s="212" t="s">
        <v>5890</v>
      </c>
      <c r="E6123" s="234" t="s">
        <v>2167</v>
      </c>
      <c r="F6123" s="866">
        <v>1.1000000000000001</v>
      </c>
      <c r="G6123" s="539">
        <f>VLOOKUP(D6123,upahbahan,3,FALSE)</f>
        <v>97000</v>
      </c>
      <c r="H6123" s="539">
        <f>F6123*G6123</f>
        <v>106700.00000000001</v>
      </c>
    </row>
    <row r="6124" spans="3:11" ht="25.8" customHeight="1">
      <c r="C6124" s="213">
        <v>2</v>
      </c>
      <c r="D6124" s="212" t="s">
        <v>5877</v>
      </c>
      <c r="E6124" s="234" t="s">
        <v>2167</v>
      </c>
      <c r="F6124" s="866">
        <v>1.1000000000000001</v>
      </c>
      <c r="G6124" s="539">
        <f>VLOOKUP(D6124,upahbahan,3,FALSE)</f>
        <v>22500</v>
      </c>
      <c r="H6124" s="539">
        <f>F6124*G6124</f>
        <v>24750.000000000004</v>
      </c>
    </row>
    <row r="6125" spans="3:11" ht="25.8" customHeight="1">
      <c r="C6125" s="213">
        <v>3</v>
      </c>
      <c r="D6125" s="212" t="s">
        <v>5829</v>
      </c>
      <c r="E6125" s="234" t="s">
        <v>2167</v>
      </c>
      <c r="F6125" s="866">
        <v>1.1000000000000001</v>
      </c>
      <c r="G6125" s="539">
        <f>VLOOKUP(D6125,upahbahan,3,FALSE)</f>
        <v>0</v>
      </c>
      <c r="H6125" s="539">
        <f>F6125*G6125</f>
        <v>0</v>
      </c>
    </row>
    <row r="6126" spans="3:11" ht="25.8" customHeight="1">
      <c r="C6126" s="702" t="s">
        <v>1214</v>
      </c>
      <c r="D6126" s="208"/>
      <c r="E6126" s="208"/>
      <c r="F6126" s="208"/>
      <c r="G6126" s="209"/>
      <c r="H6126" s="539">
        <f>SUM(H6123:H6125)</f>
        <v>131450.00000000003</v>
      </c>
    </row>
    <row r="6127" spans="3:11" ht="25.8" customHeight="1">
      <c r="C6127" s="213" t="s">
        <v>1215</v>
      </c>
      <c r="D6127" s="212" t="s">
        <v>1216</v>
      </c>
      <c r="E6127" s="534"/>
      <c r="F6127" s="534"/>
      <c r="G6127" s="534"/>
      <c r="H6127" s="534"/>
    </row>
    <row r="6128" spans="3:11" ht="25.8" customHeight="1">
      <c r="C6128" s="702" t="s">
        <v>1217</v>
      </c>
      <c r="D6128" s="815"/>
      <c r="E6128" s="815"/>
      <c r="F6128" s="815"/>
      <c r="G6128" s="209"/>
      <c r="H6128" s="821">
        <f>SUM(H6127)</f>
        <v>0</v>
      </c>
    </row>
    <row r="6129" spans="3:11" ht="25.8" customHeight="1">
      <c r="C6129" s="566" t="s">
        <v>1218</v>
      </c>
      <c r="D6129" s="552" t="s">
        <v>1219</v>
      </c>
      <c r="E6129" s="553"/>
      <c r="F6129" s="553"/>
      <c r="G6129" s="554"/>
      <c r="H6129" s="826">
        <f>H6128+H6126+H6121</f>
        <v>154585.00000000003</v>
      </c>
      <c r="I6129" s="827"/>
    </row>
    <row r="6130" spans="3:11" ht="25.8" customHeight="1">
      <c r="C6130" s="566" t="s">
        <v>1220</v>
      </c>
      <c r="D6130" s="552" t="s">
        <v>1321</v>
      </c>
      <c r="E6130" s="553"/>
      <c r="F6130" s="554"/>
      <c r="G6130" s="555">
        <f>$M$9</f>
        <v>0.1</v>
      </c>
      <c r="H6130" s="539">
        <f>H6129*G6130</f>
        <v>15458.500000000004</v>
      </c>
      <c r="I6130" s="827"/>
    </row>
    <row r="6131" spans="3:11" ht="25.8" customHeight="1">
      <c r="C6131" s="566" t="s">
        <v>1221</v>
      </c>
      <c r="D6131" s="552" t="s">
        <v>1222</v>
      </c>
      <c r="E6131" s="553"/>
      <c r="F6131" s="553"/>
      <c r="G6131" s="554"/>
      <c r="H6131" s="828">
        <f>SUM(H6129:H6130)</f>
        <v>170043.50000000003</v>
      </c>
      <c r="I6131" s="827"/>
    </row>
    <row r="6132" spans="3:11" ht="25.8" customHeight="1"/>
    <row r="6133" spans="3:11" ht="25.8" customHeight="1">
      <c r="C6133" s="513" t="s">
        <v>5891</v>
      </c>
      <c r="D6133" s="817" t="s">
        <v>5892</v>
      </c>
      <c r="E6133" s="803"/>
      <c r="F6133" s="803"/>
      <c r="G6133" s="803"/>
      <c r="H6133" s="803"/>
      <c r="I6133" s="533">
        <f>ROUNDDOWN(H6149,-2)</f>
        <v>86500</v>
      </c>
      <c r="J6133" s="536"/>
      <c r="K6133" s="824"/>
    </row>
    <row r="6134" spans="3:11" ht="25.8" customHeight="1">
      <c r="C6134" s="716" t="s">
        <v>1195</v>
      </c>
      <c r="D6134" s="716" t="s">
        <v>1196</v>
      </c>
      <c r="E6134" s="716" t="s">
        <v>1197</v>
      </c>
      <c r="F6134" s="716" t="s">
        <v>1198</v>
      </c>
      <c r="G6134" s="716" t="s">
        <v>1199</v>
      </c>
      <c r="H6134" s="716" t="s">
        <v>1200</v>
      </c>
    </row>
    <row r="6135" spans="3:11" ht="25.8" customHeight="1">
      <c r="C6135" s="213" t="s">
        <v>1201</v>
      </c>
      <c r="D6135" s="212" t="s">
        <v>1202</v>
      </c>
      <c r="E6135" s="534"/>
      <c r="F6135" s="534"/>
      <c r="G6135" s="534"/>
      <c r="H6135" s="534"/>
    </row>
    <row r="6136" spans="3:11" ht="25.8" customHeight="1">
      <c r="C6136" s="818">
        <v>1</v>
      </c>
      <c r="D6136" s="212" t="s">
        <v>5</v>
      </c>
      <c r="E6136" s="212" t="s">
        <v>6</v>
      </c>
      <c r="F6136" s="538">
        <v>6.4000000000000001E-2</v>
      </c>
      <c r="G6136" s="539">
        <f>VLOOKUP(D6136,upahbahan,3,FALSE)</f>
        <v>100000</v>
      </c>
      <c r="H6136" s="539">
        <f t="shared" ref="H6136:H6139" si="626">F6136*G6136</f>
        <v>6400</v>
      </c>
    </row>
    <row r="6137" spans="3:11" ht="25.8" customHeight="1">
      <c r="C6137" s="818">
        <v>2</v>
      </c>
      <c r="D6137" s="212" t="s">
        <v>3295</v>
      </c>
      <c r="E6137" s="212" t="s">
        <v>6</v>
      </c>
      <c r="F6137" s="538">
        <v>0.107</v>
      </c>
      <c r="G6137" s="539">
        <f>VLOOKUP(D6137,upahbahan,3,FALSE)</f>
        <v>135000</v>
      </c>
      <c r="H6137" s="539">
        <f t="shared" si="626"/>
        <v>14445</v>
      </c>
    </row>
    <row r="6138" spans="3:11" ht="25.8" customHeight="1">
      <c r="C6138" s="818">
        <v>3</v>
      </c>
      <c r="D6138" s="212" t="s">
        <v>18</v>
      </c>
      <c r="E6138" s="212" t="s">
        <v>6</v>
      </c>
      <c r="F6138" s="538">
        <v>1.0999999999999999E-2</v>
      </c>
      <c r="G6138" s="539">
        <f>VLOOKUP(D6138,upahbahan,3,FALSE)</f>
        <v>150000</v>
      </c>
      <c r="H6138" s="539">
        <f t="shared" si="626"/>
        <v>1650</v>
      </c>
    </row>
    <row r="6139" spans="3:11" ht="25.8" customHeight="1">
      <c r="C6139" s="818">
        <v>4</v>
      </c>
      <c r="D6139" s="212" t="s">
        <v>19</v>
      </c>
      <c r="E6139" s="212" t="s">
        <v>6</v>
      </c>
      <c r="F6139" s="538">
        <v>4.0000000000000001E-3</v>
      </c>
      <c r="G6139" s="539">
        <f>VLOOKUP(D6139,upahbahan,3,FALSE)</f>
        <v>160000</v>
      </c>
      <c r="H6139" s="539">
        <f t="shared" si="626"/>
        <v>640</v>
      </c>
    </row>
    <row r="6140" spans="3:11" ht="25.8" customHeight="1">
      <c r="C6140" s="702" t="s">
        <v>1208</v>
      </c>
      <c r="D6140" s="208"/>
      <c r="E6140" s="208"/>
      <c r="F6140" s="811"/>
      <c r="G6140" s="522"/>
      <c r="H6140" s="539">
        <f>SUM(H6136:H6139)</f>
        <v>23135</v>
      </c>
      <c r="I6140" s="819"/>
    </row>
    <row r="6141" spans="3:11" ht="25.8" customHeight="1">
      <c r="C6141" s="213" t="s">
        <v>1209</v>
      </c>
      <c r="D6141" s="212" t="s">
        <v>1210</v>
      </c>
      <c r="E6141" s="534"/>
      <c r="F6141" s="831"/>
      <c r="G6141" s="534"/>
      <c r="H6141" s="534"/>
    </row>
    <row r="6142" spans="3:11" ht="25.8" customHeight="1">
      <c r="C6142" s="213">
        <v>1</v>
      </c>
      <c r="D6142" s="212" t="s">
        <v>5893</v>
      </c>
      <c r="E6142" s="234" t="s">
        <v>2167</v>
      </c>
      <c r="F6142" s="866">
        <v>1.1000000000000001</v>
      </c>
      <c r="G6142" s="539">
        <f>VLOOKUP(D6142,upahbahan,3,FALSE)</f>
        <v>28000</v>
      </c>
      <c r="H6142" s="539">
        <f>F6142*G6142</f>
        <v>30800.000000000004</v>
      </c>
    </row>
    <row r="6143" spans="3:11" ht="25.8" customHeight="1">
      <c r="C6143" s="213">
        <v>2</v>
      </c>
      <c r="D6143" s="212" t="s">
        <v>5877</v>
      </c>
      <c r="E6143" s="234" t="s">
        <v>2167</v>
      </c>
      <c r="F6143" s="866">
        <v>1.1000000000000001</v>
      </c>
      <c r="G6143" s="539">
        <f>VLOOKUP(D6143,upahbahan,3,FALSE)</f>
        <v>22500</v>
      </c>
      <c r="H6143" s="539">
        <f>F6143*G6143</f>
        <v>24750.000000000004</v>
      </c>
    </row>
    <row r="6144" spans="3:11" ht="25.8" customHeight="1">
      <c r="C6144" s="702" t="s">
        <v>1214</v>
      </c>
      <c r="D6144" s="208"/>
      <c r="E6144" s="208"/>
      <c r="F6144" s="208"/>
      <c r="G6144" s="209"/>
      <c r="H6144" s="539">
        <f>SUM(H6142:H6143)</f>
        <v>55550.000000000007</v>
      </c>
    </row>
    <row r="6145" spans="3:11" ht="25.8" customHeight="1">
      <c r="C6145" s="213" t="s">
        <v>1215</v>
      </c>
      <c r="D6145" s="212" t="s">
        <v>1216</v>
      </c>
      <c r="E6145" s="534"/>
      <c r="F6145" s="534"/>
      <c r="G6145" s="534"/>
      <c r="H6145" s="534"/>
    </row>
    <row r="6146" spans="3:11" ht="25.8" customHeight="1">
      <c r="C6146" s="702" t="s">
        <v>1217</v>
      </c>
      <c r="D6146" s="815"/>
      <c r="E6146" s="815"/>
      <c r="F6146" s="815"/>
      <c r="G6146" s="209"/>
      <c r="H6146" s="821">
        <f>SUM(H6145)</f>
        <v>0</v>
      </c>
    </row>
    <row r="6147" spans="3:11" ht="25.8" customHeight="1">
      <c r="C6147" s="566" t="s">
        <v>1218</v>
      </c>
      <c r="D6147" s="552" t="s">
        <v>1219</v>
      </c>
      <c r="E6147" s="553"/>
      <c r="F6147" s="553"/>
      <c r="G6147" s="554"/>
      <c r="H6147" s="826">
        <f>H6146+H6144+H6140</f>
        <v>78685</v>
      </c>
      <c r="I6147" s="827"/>
    </row>
    <row r="6148" spans="3:11" ht="25.8" customHeight="1">
      <c r="C6148" s="566" t="s">
        <v>1220</v>
      </c>
      <c r="D6148" s="552" t="s">
        <v>1321</v>
      </c>
      <c r="E6148" s="553"/>
      <c r="F6148" s="554"/>
      <c r="G6148" s="555">
        <f>$M$9</f>
        <v>0.1</v>
      </c>
      <c r="H6148" s="539">
        <f>H6147*G6148</f>
        <v>7868.5</v>
      </c>
      <c r="I6148" s="827"/>
    </row>
    <row r="6149" spans="3:11" ht="25.8" customHeight="1">
      <c r="C6149" s="566" t="s">
        <v>1221</v>
      </c>
      <c r="D6149" s="552" t="s">
        <v>1222</v>
      </c>
      <c r="E6149" s="553"/>
      <c r="F6149" s="553"/>
      <c r="G6149" s="554"/>
      <c r="H6149" s="828">
        <f>SUM(H6147:H6148)</f>
        <v>86553.5</v>
      </c>
      <c r="I6149" s="827"/>
    </row>
    <row r="6150" spans="3:11" ht="25.8" customHeight="1"/>
    <row r="6151" spans="3:11" ht="25.8" customHeight="1">
      <c r="C6151" s="513" t="s">
        <v>5894</v>
      </c>
      <c r="D6151" s="817" t="s">
        <v>5895</v>
      </c>
      <c r="E6151" s="803"/>
      <c r="F6151" s="803"/>
      <c r="G6151" s="803"/>
      <c r="H6151" s="803"/>
      <c r="I6151" s="533">
        <f>ROUNDDOWN(H6166,-2)</f>
        <v>69200</v>
      </c>
      <c r="J6151" s="536"/>
      <c r="K6151" s="824"/>
    </row>
    <row r="6152" spans="3:11" ht="25.8" customHeight="1">
      <c r="C6152" s="716" t="s">
        <v>1195</v>
      </c>
      <c r="D6152" s="716" t="s">
        <v>1196</v>
      </c>
      <c r="E6152" s="716" t="s">
        <v>1197</v>
      </c>
      <c r="F6152" s="716" t="s">
        <v>1198</v>
      </c>
      <c r="G6152" s="716" t="s">
        <v>1199</v>
      </c>
      <c r="H6152" s="716" t="s">
        <v>1200</v>
      </c>
    </row>
    <row r="6153" spans="3:11" ht="25.8" customHeight="1">
      <c r="C6153" s="213" t="s">
        <v>1201</v>
      </c>
      <c r="D6153" s="212" t="s">
        <v>1202</v>
      </c>
      <c r="E6153" s="534"/>
      <c r="F6153" s="534"/>
      <c r="G6153" s="534"/>
      <c r="H6153" s="534"/>
    </row>
    <row r="6154" spans="3:11" ht="25.8" customHeight="1">
      <c r="C6154" s="818">
        <v>1</v>
      </c>
      <c r="D6154" s="212" t="s">
        <v>5</v>
      </c>
      <c r="E6154" s="212" t="s">
        <v>6</v>
      </c>
      <c r="F6154" s="538">
        <v>0.114</v>
      </c>
      <c r="G6154" s="539">
        <f>VLOOKUP(D6154,upahbahan,3,FALSE)</f>
        <v>100000</v>
      </c>
      <c r="H6154" s="539">
        <f t="shared" ref="H6154:H6157" si="627">F6154*G6154</f>
        <v>11400</v>
      </c>
    </row>
    <row r="6155" spans="3:11" ht="25.8" customHeight="1">
      <c r="C6155" s="818">
        <v>2</v>
      </c>
      <c r="D6155" s="212" t="s">
        <v>3295</v>
      </c>
      <c r="E6155" s="212" t="s">
        <v>6</v>
      </c>
      <c r="F6155" s="538">
        <v>0.191</v>
      </c>
      <c r="G6155" s="539">
        <f>VLOOKUP(D6155,upahbahan,3,FALSE)</f>
        <v>135000</v>
      </c>
      <c r="H6155" s="539">
        <f t="shared" si="627"/>
        <v>25785</v>
      </c>
    </row>
    <row r="6156" spans="3:11" ht="25.8" customHeight="1">
      <c r="C6156" s="818">
        <v>3</v>
      </c>
      <c r="D6156" s="212" t="s">
        <v>18</v>
      </c>
      <c r="E6156" s="212" t="s">
        <v>6</v>
      </c>
      <c r="F6156" s="538">
        <v>1.9E-2</v>
      </c>
      <c r="G6156" s="539">
        <f>VLOOKUP(D6156,upahbahan,3,FALSE)</f>
        <v>150000</v>
      </c>
      <c r="H6156" s="539">
        <f t="shared" si="627"/>
        <v>2850</v>
      </c>
    </row>
    <row r="6157" spans="3:11" ht="25.8" customHeight="1">
      <c r="C6157" s="818">
        <v>4</v>
      </c>
      <c r="D6157" s="212" t="s">
        <v>19</v>
      </c>
      <c r="E6157" s="212" t="s">
        <v>6</v>
      </c>
      <c r="F6157" s="538">
        <v>6.0000000000000001E-3</v>
      </c>
      <c r="G6157" s="539">
        <f>VLOOKUP(D6157,upahbahan,3,FALSE)</f>
        <v>160000</v>
      </c>
      <c r="H6157" s="539">
        <f t="shared" si="627"/>
        <v>960</v>
      </c>
    </row>
    <row r="6158" spans="3:11" ht="25.8" customHeight="1">
      <c r="C6158" s="702" t="s">
        <v>1208</v>
      </c>
      <c r="D6158" s="208"/>
      <c r="E6158" s="208"/>
      <c r="F6158" s="811"/>
      <c r="G6158" s="522"/>
      <c r="H6158" s="539">
        <f>SUM(H6154:H6157)</f>
        <v>40995</v>
      </c>
      <c r="I6158" s="819"/>
    </row>
    <row r="6159" spans="3:11" ht="25.8" customHeight="1">
      <c r="C6159" s="213" t="s">
        <v>1209</v>
      </c>
      <c r="D6159" s="212" t="s">
        <v>1210</v>
      </c>
      <c r="E6159" s="534"/>
      <c r="F6159" s="831"/>
      <c r="G6159" s="534"/>
      <c r="H6159" s="534"/>
    </row>
    <row r="6160" spans="3:11" ht="25.8" customHeight="1">
      <c r="C6160" s="213">
        <v>1</v>
      </c>
      <c r="D6160" s="212" t="s">
        <v>5896</v>
      </c>
      <c r="E6160" s="234" t="s">
        <v>2167</v>
      </c>
      <c r="F6160" s="866">
        <v>1.1000000000000001</v>
      </c>
      <c r="G6160" s="539">
        <f>VLOOKUP(D6160,upahbahan,3,FALSE)</f>
        <v>20000</v>
      </c>
      <c r="H6160" s="539">
        <f>F6160*G6160</f>
        <v>22000</v>
      </c>
    </row>
    <row r="6161" spans="3:11" ht="25.8" customHeight="1">
      <c r="C6161" s="702" t="s">
        <v>1214</v>
      </c>
      <c r="D6161" s="208"/>
      <c r="E6161" s="208"/>
      <c r="F6161" s="208"/>
      <c r="G6161" s="209"/>
      <c r="H6161" s="539">
        <f>SUM(H6160:H6160)</f>
        <v>22000</v>
      </c>
    </row>
    <row r="6162" spans="3:11" ht="25.8" customHeight="1">
      <c r="C6162" s="213" t="s">
        <v>1215</v>
      </c>
      <c r="D6162" s="212" t="s">
        <v>1216</v>
      </c>
      <c r="E6162" s="534"/>
      <c r="F6162" s="534"/>
      <c r="G6162" s="534"/>
      <c r="H6162" s="534"/>
    </row>
    <row r="6163" spans="3:11" ht="25.8" customHeight="1">
      <c r="C6163" s="702" t="s">
        <v>1217</v>
      </c>
      <c r="D6163" s="815"/>
      <c r="E6163" s="815"/>
      <c r="F6163" s="815"/>
      <c r="G6163" s="209"/>
      <c r="H6163" s="821">
        <f>SUM(H6162)</f>
        <v>0</v>
      </c>
    </row>
    <row r="6164" spans="3:11" ht="25.8" customHeight="1">
      <c r="C6164" s="566" t="s">
        <v>1218</v>
      </c>
      <c r="D6164" s="552" t="s">
        <v>1219</v>
      </c>
      <c r="E6164" s="553"/>
      <c r="F6164" s="553"/>
      <c r="G6164" s="554"/>
      <c r="H6164" s="826">
        <f>H6163+H6161+H6158</f>
        <v>62995</v>
      </c>
      <c r="I6164" s="827"/>
    </row>
    <row r="6165" spans="3:11" ht="25.8" customHeight="1">
      <c r="C6165" s="566" t="s">
        <v>1220</v>
      </c>
      <c r="D6165" s="552" t="s">
        <v>1321</v>
      </c>
      <c r="E6165" s="553"/>
      <c r="F6165" s="554"/>
      <c r="G6165" s="555">
        <f>$M$9</f>
        <v>0.1</v>
      </c>
      <c r="H6165" s="539">
        <f>H6164*G6165</f>
        <v>6299.5</v>
      </c>
      <c r="I6165" s="827"/>
    </row>
    <row r="6166" spans="3:11" ht="25.8" customHeight="1">
      <c r="C6166" s="566" t="s">
        <v>1221</v>
      </c>
      <c r="D6166" s="552" t="s">
        <v>1222</v>
      </c>
      <c r="E6166" s="553"/>
      <c r="F6166" s="553"/>
      <c r="G6166" s="554"/>
      <c r="H6166" s="828">
        <f>SUM(H6164:H6165)</f>
        <v>69294.5</v>
      </c>
      <c r="I6166" s="827"/>
    </row>
    <row r="6167" spans="3:11" ht="25.8" customHeight="1"/>
    <row r="6168" spans="3:11" ht="25.8" customHeight="1">
      <c r="C6168" s="513" t="s">
        <v>5897</v>
      </c>
      <c r="D6168" s="817" t="s">
        <v>5898</v>
      </c>
      <c r="E6168" s="803"/>
      <c r="F6168" s="803"/>
      <c r="G6168" s="803"/>
      <c r="H6168" s="803"/>
      <c r="I6168" s="533">
        <f>ROUNDDOWN(H6183,-2)</f>
        <v>81300</v>
      </c>
      <c r="J6168" s="536"/>
      <c r="K6168" s="824"/>
    </row>
    <row r="6169" spans="3:11" ht="25.8" customHeight="1">
      <c r="C6169" s="716" t="s">
        <v>1195</v>
      </c>
      <c r="D6169" s="716" t="s">
        <v>1196</v>
      </c>
      <c r="E6169" s="716" t="s">
        <v>1197</v>
      </c>
      <c r="F6169" s="716" t="s">
        <v>1198</v>
      </c>
      <c r="G6169" s="716" t="s">
        <v>1199</v>
      </c>
      <c r="H6169" s="716" t="s">
        <v>1200</v>
      </c>
    </row>
    <row r="6170" spans="3:11" ht="25.8" customHeight="1">
      <c r="C6170" s="213" t="s">
        <v>1201</v>
      </c>
      <c r="D6170" s="212" t="s">
        <v>1202</v>
      </c>
      <c r="E6170" s="534"/>
      <c r="F6170" s="534"/>
      <c r="G6170" s="534"/>
      <c r="H6170" s="534"/>
    </row>
    <row r="6171" spans="3:11" ht="25.8" customHeight="1">
      <c r="C6171" s="818">
        <v>1</v>
      </c>
      <c r="D6171" s="212" t="s">
        <v>5</v>
      </c>
      <c r="E6171" s="212" t="s">
        <v>6</v>
      </c>
      <c r="F6171" s="538">
        <v>0.114</v>
      </c>
      <c r="G6171" s="539">
        <f>VLOOKUP(D6171,upahbahan,3,FALSE)</f>
        <v>100000</v>
      </c>
      <c r="H6171" s="539">
        <f t="shared" ref="H6171:H6174" si="628">F6171*G6171</f>
        <v>11400</v>
      </c>
    </row>
    <row r="6172" spans="3:11" ht="25.8" customHeight="1">
      <c r="C6172" s="818">
        <v>2</v>
      </c>
      <c r="D6172" s="212" t="s">
        <v>3295</v>
      </c>
      <c r="E6172" s="212" t="s">
        <v>6</v>
      </c>
      <c r="F6172" s="538">
        <v>0.191</v>
      </c>
      <c r="G6172" s="539">
        <f>VLOOKUP(D6172,upahbahan,3,FALSE)</f>
        <v>135000</v>
      </c>
      <c r="H6172" s="539">
        <f t="shared" si="628"/>
        <v>25785</v>
      </c>
    </row>
    <row r="6173" spans="3:11" ht="25.8" customHeight="1">
      <c r="C6173" s="818">
        <v>3</v>
      </c>
      <c r="D6173" s="212" t="s">
        <v>18</v>
      </c>
      <c r="E6173" s="212" t="s">
        <v>6</v>
      </c>
      <c r="F6173" s="538">
        <v>1.9E-2</v>
      </c>
      <c r="G6173" s="539">
        <f>VLOOKUP(D6173,upahbahan,3,FALSE)</f>
        <v>150000</v>
      </c>
      <c r="H6173" s="539">
        <f t="shared" si="628"/>
        <v>2850</v>
      </c>
    </row>
    <row r="6174" spans="3:11" ht="25.8" customHeight="1">
      <c r="C6174" s="818">
        <v>4</v>
      </c>
      <c r="D6174" s="212" t="s">
        <v>19</v>
      </c>
      <c r="E6174" s="212" t="s">
        <v>6</v>
      </c>
      <c r="F6174" s="538">
        <v>6.0000000000000001E-3</v>
      </c>
      <c r="G6174" s="539">
        <f>VLOOKUP(D6174,upahbahan,3,FALSE)</f>
        <v>160000</v>
      </c>
      <c r="H6174" s="539">
        <f t="shared" si="628"/>
        <v>960</v>
      </c>
    </row>
    <row r="6175" spans="3:11" ht="25.8" customHeight="1">
      <c r="C6175" s="702" t="s">
        <v>1208</v>
      </c>
      <c r="D6175" s="208"/>
      <c r="E6175" s="208"/>
      <c r="F6175" s="811"/>
      <c r="G6175" s="522"/>
      <c r="H6175" s="539">
        <f>SUM(H6171:H6174)</f>
        <v>40995</v>
      </c>
      <c r="I6175" s="819"/>
    </row>
    <row r="6176" spans="3:11" ht="25.8" customHeight="1">
      <c r="C6176" s="213" t="s">
        <v>1209</v>
      </c>
      <c r="D6176" s="212" t="s">
        <v>1210</v>
      </c>
      <c r="E6176" s="534"/>
      <c r="F6176" s="831"/>
      <c r="G6176" s="534"/>
      <c r="H6176" s="534"/>
    </row>
    <row r="6177" spans="3:11" ht="25.8" customHeight="1">
      <c r="C6177" s="213">
        <v>1</v>
      </c>
      <c r="D6177" s="212" t="s">
        <v>5899</v>
      </c>
      <c r="E6177" s="234" t="s">
        <v>2167</v>
      </c>
      <c r="F6177" s="866">
        <v>1.1000000000000001</v>
      </c>
      <c r="G6177" s="539">
        <f>VLOOKUP(D6177,upahbahan,3,FALSE)</f>
        <v>30000</v>
      </c>
      <c r="H6177" s="539">
        <f>F6177*G6177</f>
        <v>33000</v>
      </c>
    </row>
    <row r="6178" spans="3:11" ht="25.8" customHeight="1">
      <c r="C6178" s="702" t="s">
        <v>1214</v>
      </c>
      <c r="D6178" s="208"/>
      <c r="E6178" s="208"/>
      <c r="F6178" s="208"/>
      <c r="G6178" s="209"/>
      <c r="H6178" s="539">
        <f>SUM(H6177:H6177)</f>
        <v>33000</v>
      </c>
    </row>
    <row r="6179" spans="3:11" ht="25.8" customHeight="1">
      <c r="C6179" s="213" t="s">
        <v>1215</v>
      </c>
      <c r="D6179" s="212" t="s">
        <v>1216</v>
      </c>
      <c r="E6179" s="534"/>
      <c r="F6179" s="534"/>
      <c r="G6179" s="534"/>
      <c r="H6179" s="534"/>
    </row>
    <row r="6180" spans="3:11" ht="25.8" customHeight="1">
      <c r="C6180" s="702" t="s">
        <v>1217</v>
      </c>
      <c r="D6180" s="815"/>
      <c r="E6180" s="815"/>
      <c r="F6180" s="815"/>
      <c r="G6180" s="209"/>
      <c r="H6180" s="821">
        <f>SUM(H6179)</f>
        <v>0</v>
      </c>
    </row>
    <row r="6181" spans="3:11" ht="25.8" customHeight="1">
      <c r="C6181" s="566" t="s">
        <v>1218</v>
      </c>
      <c r="D6181" s="552" t="s">
        <v>1219</v>
      </c>
      <c r="E6181" s="553"/>
      <c r="F6181" s="553"/>
      <c r="G6181" s="554"/>
      <c r="H6181" s="826">
        <f>H6180+H6178+H6175</f>
        <v>73995</v>
      </c>
      <c r="I6181" s="827"/>
    </row>
    <row r="6182" spans="3:11" ht="25.8" customHeight="1">
      <c r="C6182" s="566" t="s">
        <v>1220</v>
      </c>
      <c r="D6182" s="552" t="s">
        <v>1321</v>
      </c>
      <c r="E6182" s="553"/>
      <c r="F6182" s="554"/>
      <c r="G6182" s="555">
        <f>$M$9</f>
        <v>0.1</v>
      </c>
      <c r="H6182" s="539">
        <f>H6181*G6182</f>
        <v>7399.5</v>
      </c>
      <c r="I6182" s="827"/>
    </row>
    <row r="6183" spans="3:11" ht="25.8" customHeight="1">
      <c r="C6183" s="566" t="s">
        <v>1221</v>
      </c>
      <c r="D6183" s="552" t="s">
        <v>1222</v>
      </c>
      <c r="E6183" s="553"/>
      <c r="F6183" s="553"/>
      <c r="G6183" s="554"/>
      <c r="H6183" s="828">
        <f>SUM(H6181:H6182)</f>
        <v>81394.5</v>
      </c>
      <c r="I6183" s="827"/>
    </row>
    <row r="6184" spans="3:11" ht="25.8" customHeight="1"/>
    <row r="6185" spans="3:11" ht="25.8" customHeight="1"/>
    <row r="6186" spans="3:11" ht="25.8" customHeight="1">
      <c r="C6186" s="513" t="s">
        <v>5903</v>
      </c>
      <c r="D6186" s="817" t="s">
        <v>5900</v>
      </c>
      <c r="E6186" s="803"/>
      <c r="F6186" s="803"/>
      <c r="G6186" s="803"/>
      <c r="H6186" s="803"/>
      <c r="I6186" s="533">
        <f>ROUNDDOWN(H6201,-2)</f>
        <v>75300</v>
      </c>
      <c r="J6186" s="536"/>
      <c r="K6186" s="824"/>
    </row>
    <row r="6187" spans="3:11" ht="25.8" customHeight="1">
      <c r="C6187" s="716" t="s">
        <v>1195</v>
      </c>
      <c r="D6187" s="716" t="s">
        <v>1196</v>
      </c>
      <c r="E6187" s="716" t="s">
        <v>1197</v>
      </c>
      <c r="F6187" s="716" t="s">
        <v>1198</v>
      </c>
      <c r="G6187" s="716" t="s">
        <v>1199</v>
      </c>
      <c r="H6187" s="716" t="s">
        <v>1200</v>
      </c>
    </row>
    <row r="6188" spans="3:11" ht="25.8" customHeight="1">
      <c r="C6188" s="213" t="s">
        <v>1201</v>
      </c>
      <c r="D6188" s="212" t="s">
        <v>1202</v>
      </c>
      <c r="E6188" s="534"/>
      <c r="F6188" s="534"/>
      <c r="G6188" s="534"/>
      <c r="H6188" s="534"/>
    </row>
    <row r="6189" spans="3:11" ht="25.8" customHeight="1">
      <c r="C6189" s="818">
        <v>1</v>
      </c>
      <c r="D6189" s="212" t="s">
        <v>5</v>
      </c>
      <c r="E6189" s="212" t="s">
        <v>6</v>
      </c>
      <c r="F6189" s="538">
        <v>0.114</v>
      </c>
      <c r="G6189" s="539">
        <f>VLOOKUP(D6189,upahbahan,3,FALSE)</f>
        <v>100000</v>
      </c>
      <c r="H6189" s="539">
        <f t="shared" ref="H6189:H6192" si="629">F6189*G6189</f>
        <v>11400</v>
      </c>
    </row>
    <row r="6190" spans="3:11" ht="25.8" customHeight="1">
      <c r="C6190" s="818">
        <v>2</v>
      </c>
      <c r="D6190" s="212" t="s">
        <v>3295</v>
      </c>
      <c r="E6190" s="212" t="s">
        <v>6</v>
      </c>
      <c r="F6190" s="538">
        <v>0.191</v>
      </c>
      <c r="G6190" s="539">
        <f>VLOOKUP(D6190,upahbahan,3,FALSE)</f>
        <v>135000</v>
      </c>
      <c r="H6190" s="539">
        <f t="shared" si="629"/>
        <v>25785</v>
      </c>
    </row>
    <row r="6191" spans="3:11" ht="25.8" customHeight="1">
      <c r="C6191" s="818">
        <v>3</v>
      </c>
      <c r="D6191" s="212" t="s">
        <v>18</v>
      </c>
      <c r="E6191" s="212" t="s">
        <v>6</v>
      </c>
      <c r="F6191" s="538">
        <v>1.9E-2</v>
      </c>
      <c r="G6191" s="539">
        <f>VLOOKUP(D6191,upahbahan,3,FALSE)</f>
        <v>150000</v>
      </c>
      <c r="H6191" s="539">
        <f t="shared" si="629"/>
        <v>2850</v>
      </c>
    </row>
    <row r="6192" spans="3:11" ht="25.8" customHeight="1">
      <c r="C6192" s="818">
        <v>4</v>
      </c>
      <c r="D6192" s="212" t="s">
        <v>19</v>
      </c>
      <c r="E6192" s="212" t="s">
        <v>6</v>
      </c>
      <c r="F6192" s="538">
        <v>6.0000000000000001E-3</v>
      </c>
      <c r="G6192" s="539">
        <f>VLOOKUP(D6192,upahbahan,3,FALSE)</f>
        <v>160000</v>
      </c>
      <c r="H6192" s="539">
        <f t="shared" si="629"/>
        <v>960</v>
      </c>
    </row>
    <row r="6193" spans="3:11" ht="25.8" customHeight="1">
      <c r="C6193" s="702" t="s">
        <v>1208</v>
      </c>
      <c r="D6193" s="208"/>
      <c r="E6193" s="208"/>
      <c r="F6193" s="811"/>
      <c r="G6193" s="522"/>
      <c r="H6193" s="539">
        <f>SUM(H6189:H6192)</f>
        <v>40995</v>
      </c>
      <c r="I6193" s="819"/>
    </row>
    <row r="6194" spans="3:11" ht="25.8" customHeight="1">
      <c r="C6194" s="213" t="s">
        <v>1209</v>
      </c>
      <c r="D6194" s="212" t="s">
        <v>1210</v>
      </c>
      <c r="E6194" s="534"/>
      <c r="F6194" s="831"/>
      <c r="G6194" s="534"/>
      <c r="H6194" s="534"/>
    </row>
    <row r="6195" spans="3:11" ht="25.8" customHeight="1">
      <c r="C6195" s="213">
        <v>1</v>
      </c>
      <c r="D6195" s="212" t="s">
        <v>5901</v>
      </c>
      <c r="E6195" s="234" t="s">
        <v>2167</v>
      </c>
      <c r="F6195" s="866">
        <v>1.1000000000000001</v>
      </c>
      <c r="G6195" s="539">
        <f>VLOOKUP(D6195,upahbahan,3,FALSE)</f>
        <v>25000</v>
      </c>
      <c r="H6195" s="539">
        <f>F6195*G6195</f>
        <v>27500.000000000004</v>
      </c>
    </row>
    <row r="6196" spans="3:11" ht="25.8" customHeight="1">
      <c r="C6196" s="702" t="s">
        <v>1214</v>
      </c>
      <c r="D6196" s="208"/>
      <c r="E6196" s="208"/>
      <c r="F6196" s="208"/>
      <c r="G6196" s="209"/>
      <c r="H6196" s="539">
        <f>SUM(H6195:H6195)</f>
        <v>27500.000000000004</v>
      </c>
    </row>
    <row r="6197" spans="3:11" ht="25.8" customHeight="1">
      <c r="C6197" s="213" t="s">
        <v>1215</v>
      </c>
      <c r="D6197" s="212" t="s">
        <v>1216</v>
      </c>
      <c r="E6197" s="534"/>
      <c r="F6197" s="534"/>
      <c r="G6197" s="534"/>
      <c r="H6197" s="534"/>
    </row>
    <row r="6198" spans="3:11" ht="25.8" customHeight="1">
      <c r="C6198" s="702" t="s">
        <v>1217</v>
      </c>
      <c r="D6198" s="815"/>
      <c r="E6198" s="815"/>
      <c r="F6198" s="815"/>
      <c r="G6198" s="209"/>
      <c r="H6198" s="821">
        <f>SUM(H6197)</f>
        <v>0</v>
      </c>
    </row>
    <row r="6199" spans="3:11" ht="25.8" customHeight="1">
      <c r="C6199" s="566" t="s">
        <v>1218</v>
      </c>
      <c r="D6199" s="552" t="s">
        <v>1219</v>
      </c>
      <c r="E6199" s="553"/>
      <c r="F6199" s="553"/>
      <c r="G6199" s="554"/>
      <c r="H6199" s="826">
        <f>H6198+H6196+H6193</f>
        <v>68495</v>
      </c>
      <c r="I6199" s="827"/>
    </row>
    <row r="6200" spans="3:11" ht="25.8" customHeight="1">
      <c r="C6200" s="566" t="s">
        <v>1220</v>
      </c>
      <c r="D6200" s="552" t="s">
        <v>1321</v>
      </c>
      <c r="E6200" s="553"/>
      <c r="F6200" s="554"/>
      <c r="G6200" s="555">
        <f>$M$9</f>
        <v>0.1</v>
      </c>
      <c r="H6200" s="539">
        <f>H6199*G6200</f>
        <v>6849.5</v>
      </c>
      <c r="I6200" s="827"/>
    </row>
    <row r="6201" spans="3:11" ht="25.8" customHeight="1">
      <c r="C6201" s="566" t="s">
        <v>1221</v>
      </c>
      <c r="D6201" s="552" t="s">
        <v>1222</v>
      </c>
      <c r="E6201" s="553"/>
      <c r="F6201" s="553"/>
      <c r="G6201" s="554"/>
      <c r="H6201" s="828">
        <f>SUM(H6199:H6200)</f>
        <v>75344.5</v>
      </c>
      <c r="I6201" s="827"/>
    </row>
    <row r="6202" spans="3:11" ht="25.8" customHeight="1"/>
    <row r="6203" spans="3:11" ht="25.8" customHeight="1"/>
    <row r="6204" spans="3:11" ht="25.8" customHeight="1">
      <c r="C6204" s="513" t="s">
        <v>5902</v>
      </c>
      <c r="D6204" s="817" t="s">
        <v>5904</v>
      </c>
      <c r="E6204" s="803"/>
      <c r="F6204" s="803"/>
      <c r="G6204" s="803"/>
      <c r="H6204" s="803"/>
      <c r="I6204" s="533">
        <f>ROUNDDOWN(H6219,-2)</f>
        <v>135800</v>
      </c>
      <c r="J6204" s="536"/>
      <c r="K6204" s="824"/>
    </row>
    <row r="6205" spans="3:11" ht="25.8" customHeight="1">
      <c r="C6205" s="716" t="s">
        <v>1195</v>
      </c>
      <c r="D6205" s="716" t="s">
        <v>1196</v>
      </c>
      <c r="E6205" s="716" t="s">
        <v>1197</v>
      </c>
      <c r="F6205" s="716" t="s">
        <v>1198</v>
      </c>
      <c r="G6205" s="716" t="s">
        <v>1199</v>
      </c>
      <c r="H6205" s="716" t="s">
        <v>1200</v>
      </c>
    </row>
    <row r="6206" spans="3:11" ht="25.8" customHeight="1">
      <c r="C6206" s="213" t="s">
        <v>1201</v>
      </c>
      <c r="D6206" s="212" t="s">
        <v>1202</v>
      </c>
      <c r="E6206" s="534"/>
      <c r="F6206" s="534"/>
      <c r="G6206" s="534"/>
      <c r="H6206" s="534"/>
    </row>
    <row r="6207" spans="3:11" ht="25.8" customHeight="1">
      <c r="C6207" s="818">
        <v>1</v>
      </c>
      <c r="D6207" s="212" t="s">
        <v>5</v>
      </c>
      <c r="E6207" s="212" t="s">
        <v>6</v>
      </c>
      <c r="F6207" s="538">
        <v>0.114</v>
      </c>
      <c r="G6207" s="539">
        <f>VLOOKUP(D6207,upahbahan,3,FALSE)</f>
        <v>100000</v>
      </c>
      <c r="H6207" s="539">
        <f t="shared" ref="H6207:H6210" si="630">F6207*G6207</f>
        <v>11400</v>
      </c>
    </row>
    <row r="6208" spans="3:11" ht="25.8" customHeight="1">
      <c r="C6208" s="818">
        <v>2</v>
      </c>
      <c r="D6208" s="212" t="s">
        <v>3295</v>
      </c>
      <c r="E6208" s="212" t="s">
        <v>6</v>
      </c>
      <c r="F6208" s="538">
        <v>0.191</v>
      </c>
      <c r="G6208" s="539">
        <f>VLOOKUP(D6208,upahbahan,3,FALSE)</f>
        <v>135000</v>
      </c>
      <c r="H6208" s="539">
        <f t="shared" si="630"/>
        <v>25785</v>
      </c>
    </row>
    <row r="6209" spans="3:11" ht="25.8" customHeight="1">
      <c r="C6209" s="818">
        <v>3</v>
      </c>
      <c r="D6209" s="212" t="s">
        <v>18</v>
      </c>
      <c r="E6209" s="212" t="s">
        <v>6</v>
      </c>
      <c r="F6209" s="538">
        <v>1.9E-2</v>
      </c>
      <c r="G6209" s="539">
        <f>VLOOKUP(D6209,upahbahan,3,FALSE)</f>
        <v>150000</v>
      </c>
      <c r="H6209" s="539">
        <f t="shared" si="630"/>
        <v>2850</v>
      </c>
    </row>
    <row r="6210" spans="3:11" ht="25.8" customHeight="1">
      <c r="C6210" s="818">
        <v>4</v>
      </c>
      <c r="D6210" s="212" t="s">
        <v>19</v>
      </c>
      <c r="E6210" s="212" t="s">
        <v>6</v>
      </c>
      <c r="F6210" s="538">
        <v>6.0000000000000001E-3</v>
      </c>
      <c r="G6210" s="539">
        <f>VLOOKUP(D6210,upahbahan,3,FALSE)</f>
        <v>160000</v>
      </c>
      <c r="H6210" s="539">
        <f t="shared" si="630"/>
        <v>960</v>
      </c>
    </row>
    <row r="6211" spans="3:11" ht="25.8" customHeight="1">
      <c r="C6211" s="702" t="s">
        <v>1208</v>
      </c>
      <c r="D6211" s="208"/>
      <c r="E6211" s="208"/>
      <c r="F6211" s="811"/>
      <c r="G6211" s="522"/>
      <c r="H6211" s="539">
        <f>SUM(H6207:H6210)</f>
        <v>40995</v>
      </c>
      <c r="I6211" s="819"/>
    </row>
    <row r="6212" spans="3:11" ht="25.8" customHeight="1">
      <c r="C6212" s="213" t="s">
        <v>1209</v>
      </c>
      <c r="D6212" s="212" t="s">
        <v>1210</v>
      </c>
      <c r="E6212" s="534"/>
      <c r="F6212" s="831"/>
      <c r="G6212" s="534"/>
      <c r="H6212" s="534"/>
    </row>
    <row r="6213" spans="3:11" ht="25.8" customHeight="1">
      <c r="C6213" s="213">
        <v>1</v>
      </c>
      <c r="D6213" s="212" t="s">
        <v>5905</v>
      </c>
      <c r="E6213" s="234" t="s">
        <v>2167</v>
      </c>
      <c r="F6213" s="866">
        <v>1.1000000000000001</v>
      </c>
      <c r="G6213" s="539">
        <f>VLOOKUP(D6213,upahbahan,3,FALSE)</f>
        <v>75000</v>
      </c>
      <c r="H6213" s="539">
        <f>F6213*G6213</f>
        <v>82500</v>
      </c>
    </row>
    <row r="6214" spans="3:11" ht="25.8" customHeight="1">
      <c r="C6214" s="702" t="s">
        <v>1214</v>
      </c>
      <c r="D6214" s="208"/>
      <c r="E6214" s="208"/>
      <c r="F6214" s="208"/>
      <c r="G6214" s="209"/>
      <c r="H6214" s="539">
        <f>SUM(H6213:H6213)</f>
        <v>82500</v>
      </c>
    </row>
    <row r="6215" spans="3:11" ht="25.8" customHeight="1">
      <c r="C6215" s="213" t="s">
        <v>1215</v>
      </c>
      <c r="D6215" s="212" t="s">
        <v>1216</v>
      </c>
      <c r="E6215" s="534"/>
      <c r="F6215" s="534"/>
      <c r="G6215" s="534"/>
      <c r="H6215" s="534"/>
    </row>
    <row r="6216" spans="3:11" ht="25.8" customHeight="1">
      <c r="C6216" s="702" t="s">
        <v>1217</v>
      </c>
      <c r="D6216" s="815"/>
      <c r="E6216" s="815"/>
      <c r="F6216" s="815"/>
      <c r="G6216" s="209"/>
      <c r="H6216" s="821">
        <f>SUM(H6215)</f>
        <v>0</v>
      </c>
    </row>
    <row r="6217" spans="3:11" ht="25.8" customHeight="1">
      <c r="C6217" s="566" t="s">
        <v>1218</v>
      </c>
      <c r="D6217" s="552" t="s">
        <v>1219</v>
      </c>
      <c r="E6217" s="553"/>
      <c r="F6217" s="553"/>
      <c r="G6217" s="554"/>
      <c r="H6217" s="826">
        <f>H6216+H6214+H6211</f>
        <v>123495</v>
      </c>
      <c r="I6217" s="827"/>
    </row>
    <row r="6218" spans="3:11" ht="25.8" customHeight="1">
      <c r="C6218" s="566" t="s">
        <v>1220</v>
      </c>
      <c r="D6218" s="552" t="s">
        <v>1321</v>
      </c>
      <c r="E6218" s="553"/>
      <c r="F6218" s="554"/>
      <c r="G6218" s="555">
        <f>$M$9</f>
        <v>0.1</v>
      </c>
      <c r="H6218" s="539">
        <f>H6217*G6218</f>
        <v>12349.5</v>
      </c>
      <c r="I6218" s="827"/>
    </row>
    <row r="6219" spans="3:11" ht="25.8" customHeight="1">
      <c r="C6219" s="566" t="s">
        <v>1221</v>
      </c>
      <c r="D6219" s="552" t="s">
        <v>1222</v>
      </c>
      <c r="E6219" s="553"/>
      <c r="F6219" s="553"/>
      <c r="G6219" s="554"/>
      <c r="H6219" s="828">
        <f>SUM(H6217:H6218)</f>
        <v>135844.5</v>
      </c>
      <c r="I6219" s="827"/>
    </row>
    <row r="6220" spans="3:11" ht="25.8" customHeight="1"/>
    <row r="6221" spans="3:11" ht="25.8" customHeight="1"/>
    <row r="6222" spans="3:11" ht="25.8" customHeight="1">
      <c r="C6222" s="513" t="s">
        <v>5906</v>
      </c>
      <c r="D6222" s="817" t="s">
        <v>5907</v>
      </c>
      <c r="E6222" s="803"/>
      <c r="F6222" s="803"/>
      <c r="G6222" s="803"/>
      <c r="H6222" s="803"/>
      <c r="I6222" s="533">
        <f>ROUNDDOWN(H6240,-2)</f>
        <v>678900</v>
      </c>
      <c r="J6222" s="536" t="s">
        <v>6451</v>
      </c>
      <c r="K6222" s="824" t="s">
        <v>8059</v>
      </c>
    </row>
    <row r="6223" spans="3:11" ht="25.8" customHeight="1">
      <c r="C6223" s="716" t="s">
        <v>1195</v>
      </c>
      <c r="D6223" s="716" t="s">
        <v>1196</v>
      </c>
      <c r="E6223" s="716" t="s">
        <v>1197</v>
      </c>
      <c r="F6223" s="716" t="s">
        <v>1198</v>
      </c>
      <c r="G6223" s="716" t="s">
        <v>1199</v>
      </c>
      <c r="H6223" s="716" t="s">
        <v>1200</v>
      </c>
    </row>
    <row r="6224" spans="3:11" ht="25.8" customHeight="1">
      <c r="C6224" s="213" t="s">
        <v>1201</v>
      </c>
      <c r="D6224" s="212" t="s">
        <v>1202</v>
      </c>
      <c r="E6224" s="534"/>
      <c r="F6224" s="534"/>
      <c r="G6224" s="534"/>
      <c r="H6224" s="534"/>
    </row>
    <row r="6225" spans="3:9" ht="25.8" customHeight="1">
      <c r="C6225" s="818">
        <v>1</v>
      </c>
      <c r="D6225" s="212" t="s">
        <v>5</v>
      </c>
      <c r="E6225" s="212" t="s">
        <v>6</v>
      </c>
      <c r="F6225" s="538">
        <v>0.19</v>
      </c>
      <c r="G6225" s="539">
        <f>VLOOKUP(D6225,upahbahan,3,FALSE)</f>
        <v>100000</v>
      </c>
      <c r="H6225" s="539">
        <f t="shared" ref="H6225:H6228" si="631">F6225*G6225</f>
        <v>19000</v>
      </c>
    </row>
    <row r="6226" spans="3:9" ht="25.8" customHeight="1">
      <c r="C6226" s="818">
        <v>2</v>
      </c>
      <c r="D6226" s="212" t="s">
        <v>3295</v>
      </c>
      <c r="E6226" s="212" t="s">
        <v>6</v>
      </c>
      <c r="F6226" s="538">
        <v>0.318</v>
      </c>
      <c r="G6226" s="539">
        <f>VLOOKUP(D6226,upahbahan,3,FALSE)</f>
        <v>135000</v>
      </c>
      <c r="H6226" s="539">
        <f t="shared" si="631"/>
        <v>42930</v>
      </c>
    </row>
    <row r="6227" spans="3:9" ht="25.8" customHeight="1">
      <c r="C6227" s="818">
        <v>3</v>
      </c>
      <c r="D6227" s="212" t="s">
        <v>18</v>
      </c>
      <c r="E6227" s="212" t="s">
        <v>6</v>
      </c>
      <c r="F6227" s="538">
        <v>3.2000000000000001E-2</v>
      </c>
      <c r="G6227" s="539">
        <f>VLOOKUP(D6227,upahbahan,3,FALSE)</f>
        <v>150000</v>
      </c>
      <c r="H6227" s="539">
        <f t="shared" si="631"/>
        <v>4800</v>
      </c>
    </row>
    <row r="6228" spans="3:9" ht="25.8" customHeight="1">
      <c r="C6228" s="818">
        <v>4</v>
      </c>
      <c r="D6228" s="212" t="s">
        <v>19</v>
      </c>
      <c r="E6228" s="212" t="s">
        <v>6</v>
      </c>
      <c r="F6228" s="538">
        <v>1.0999999999999999E-2</v>
      </c>
      <c r="G6228" s="539">
        <f>VLOOKUP(D6228,upahbahan,3,FALSE)</f>
        <v>160000</v>
      </c>
      <c r="H6228" s="539">
        <f t="shared" si="631"/>
        <v>1760</v>
      </c>
    </row>
    <row r="6229" spans="3:9" ht="25.8" customHeight="1">
      <c r="C6229" s="702" t="s">
        <v>1208</v>
      </c>
      <c r="D6229" s="208"/>
      <c r="E6229" s="208"/>
      <c r="F6229" s="811"/>
      <c r="G6229" s="522"/>
      <c r="H6229" s="539">
        <f>SUM(H6225:H6228)</f>
        <v>68490</v>
      </c>
      <c r="I6229" s="819"/>
    </row>
    <row r="6230" spans="3:9" ht="25.8" customHeight="1">
      <c r="C6230" s="213" t="s">
        <v>1209</v>
      </c>
      <c r="D6230" s="212" t="s">
        <v>1210</v>
      </c>
      <c r="E6230" s="534"/>
      <c r="F6230" s="831"/>
      <c r="G6230" s="534"/>
      <c r="H6230" s="534"/>
    </row>
    <row r="6231" spans="3:9" ht="25.8" customHeight="1">
      <c r="C6231" s="213">
        <v>1</v>
      </c>
      <c r="D6231" s="212" t="s">
        <v>863</v>
      </c>
      <c r="E6231" s="234" t="s">
        <v>1300</v>
      </c>
      <c r="F6231" s="866">
        <v>16.5</v>
      </c>
      <c r="G6231" s="539">
        <f>VLOOKUP(D6231,upahbahan,3,FALSE)</f>
        <v>32900</v>
      </c>
      <c r="H6231" s="539">
        <f t="shared" ref="H6231:H6233" si="632">F6231*G6231</f>
        <v>542850</v>
      </c>
    </row>
    <row r="6232" spans="3:9" ht="25.8" customHeight="1">
      <c r="C6232" s="213">
        <v>2</v>
      </c>
      <c r="D6232" s="212" t="s">
        <v>3540</v>
      </c>
      <c r="E6232" s="234" t="s">
        <v>2167</v>
      </c>
      <c r="F6232" s="866">
        <v>1</v>
      </c>
      <c r="G6232" s="539">
        <f>VLOOKUP(D6232,upahbahan,3,FALSE)</f>
        <v>3600</v>
      </c>
      <c r="H6232" s="539">
        <f t="shared" si="632"/>
        <v>3600</v>
      </c>
    </row>
    <row r="6233" spans="3:9" ht="25.8" customHeight="1">
      <c r="C6233" s="213">
        <v>3</v>
      </c>
      <c r="D6233" s="212" t="s">
        <v>3538</v>
      </c>
      <c r="E6233" s="234" t="s">
        <v>5815</v>
      </c>
      <c r="F6233" s="866">
        <v>0.5</v>
      </c>
      <c r="G6233" s="539">
        <f>VLOOKUP(D6233,upahbahan,3,FALSE)</f>
        <v>1080</v>
      </c>
      <c r="H6233" s="539">
        <f t="shared" si="632"/>
        <v>540</v>
      </c>
    </row>
    <row r="6234" spans="3:9" ht="25.8" customHeight="1">
      <c r="C6234" s="213">
        <v>4</v>
      </c>
      <c r="D6234" s="212" t="s">
        <v>3539</v>
      </c>
      <c r="E6234" s="234" t="s">
        <v>2167</v>
      </c>
      <c r="F6234" s="866">
        <v>3</v>
      </c>
      <c r="G6234" s="539">
        <f>VLOOKUP(D6234,upahbahan,3,FALSE)</f>
        <v>580</v>
      </c>
      <c r="H6234" s="539">
        <f>F6234*G6234</f>
        <v>1740</v>
      </c>
    </row>
    <row r="6235" spans="3:9" ht="25.8" customHeight="1">
      <c r="C6235" s="702" t="s">
        <v>1214</v>
      </c>
      <c r="D6235" s="208"/>
      <c r="E6235" s="208"/>
      <c r="F6235" s="208"/>
      <c r="G6235" s="209"/>
      <c r="H6235" s="539">
        <f>SUM(H6231:H6234)</f>
        <v>548730</v>
      </c>
    </row>
    <row r="6236" spans="3:9" ht="25.8" customHeight="1">
      <c r="C6236" s="213" t="s">
        <v>1215</v>
      </c>
      <c r="D6236" s="212" t="s">
        <v>1216</v>
      </c>
      <c r="E6236" s="534"/>
      <c r="F6236" s="534"/>
      <c r="G6236" s="534"/>
      <c r="H6236" s="534"/>
    </row>
    <row r="6237" spans="3:9" ht="25.8" customHeight="1">
      <c r="C6237" s="702" t="s">
        <v>1217</v>
      </c>
      <c r="D6237" s="815"/>
      <c r="E6237" s="815"/>
      <c r="F6237" s="815"/>
      <c r="G6237" s="209"/>
      <c r="H6237" s="821">
        <f>SUM(H6236)</f>
        <v>0</v>
      </c>
    </row>
    <row r="6238" spans="3:9" ht="25.8" customHeight="1">
      <c r="C6238" s="566" t="s">
        <v>1218</v>
      </c>
      <c r="D6238" s="552" t="s">
        <v>1219</v>
      </c>
      <c r="E6238" s="553"/>
      <c r="F6238" s="553"/>
      <c r="G6238" s="554"/>
      <c r="H6238" s="826">
        <f>H6237+H6235+H6229</f>
        <v>617220</v>
      </c>
      <c r="I6238" s="827"/>
    </row>
    <row r="6239" spans="3:9" ht="25.8" customHeight="1">
      <c r="C6239" s="566" t="s">
        <v>1220</v>
      </c>
      <c r="D6239" s="552" t="s">
        <v>1321</v>
      </c>
      <c r="E6239" s="553"/>
      <c r="F6239" s="554"/>
      <c r="G6239" s="555">
        <f>$M$9</f>
        <v>0.1</v>
      </c>
      <c r="H6239" s="539">
        <f>H6238*G6239</f>
        <v>61722</v>
      </c>
      <c r="I6239" s="827"/>
    </row>
    <row r="6240" spans="3:9" ht="25.8" customHeight="1">
      <c r="C6240" s="566" t="s">
        <v>1221</v>
      </c>
      <c r="D6240" s="552" t="s">
        <v>1222</v>
      </c>
      <c r="E6240" s="553"/>
      <c r="F6240" s="553"/>
      <c r="G6240" s="554"/>
      <c r="H6240" s="828">
        <f>SUM(H6238:H6239)</f>
        <v>678942</v>
      </c>
      <c r="I6240" s="827"/>
    </row>
    <row r="6241" spans="3:11" ht="25.8" customHeight="1"/>
    <row r="6242" spans="3:11" ht="25.8" customHeight="1"/>
    <row r="6243" spans="3:11" ht="25.8" customHeight="1">
      <c r="C6243" s="513" t="s">
        <v>5908</v>
      </c>
      <c r="D6243" s="817" t="s">
        <v>5909</v>
      </c>
      <c r="E6243" s="803"/>
      <c r="F6243" s="803"/>
      <c r="G6243" s="803"/>
      <c r="H6243" s="803"/>
      <c r="I6243" s="533">
        <f>ROUNDDOWN(H6264,-2)</f>
        <v>391400</v>
      </c>
      <c r="J6243" s="536"/>
      <c r="K6243" s="824"/>
    </row>
    <row r="6244" spans="3:11" ht="25.8" customHeight="1">
      <c r="C6244" s="716" t="s">
        <v>1195</v>
      </c>
      <c r="D6244" s="716" t="s">
        <v>1196</v>
      </c>
      <c r="E6244" s="716" t="s">
        <v>1197</v>
      </c>
      <c r="F6244" s="716" t="s">
        <v>1198</v>
      </c>
      <c r="G6244" s="716" t="s">
        <v>1199</v>
      </c>
      <c r="H6244" s="716" t="s">
        <v>1200</v>
      </c>
    </row>
    <row r="6245" spans="3:11" ht="25.8" customHeight="1">
      <c r="C6245" s="213" t="s">
        <v>1201</v>
      </c>
      <c r="D6245" s="212" t="s">
        <v>1202</v>
      </c>
      <c r="E6245" s="534"/>
      <c r="F6245" s="534"/>
      <c r="G6245" s="534"/>
      <c r="H6245" s="534"/>
    </row>
    <row r="6246" spans="3:11" ht="25.8" customHeight="1">
      <c r="C6246" s="818">
        <v>1</v>
      </c>
      <c r="D6246" s="212" t="s">
        <v>5</v>
      </c>
      <c r="E6246" s="212" t="s">
        <v>6</v>
      </c>
      <c r="F6246" s="538">
        <v>0.19</v>
      </c>
      <c r="G6246" s="539">
        <f>VLOOKUP(D6246,upahbahan,3,FALSE)</f>
        <v>100000</v>
      </c>
      <c r="H6246" s="539">
        <f t="shared" ref="H6246:H6249" si="633">F6246*G6246</f>
        <v>19000</v>
      </c>
    </row>
    <row r="6247" spans="3:11" ht="25.8" customHeight="1">
      <c r="C6247" s="818">
        <v>2</v>
      </c>
      <c r="D6247" s="212" t="s">
        <v>3295</v>
      </c>
      <c r="E6247" s="212" t="s">
        <v>6</v>
      </c>
      <c r="F6247" s="538">
        <v>0.318</v>
      </c>
      <c r="G6247" s="539">
        <f>VLOOKUP(D6247,upahbahan,3,FALSE)</f>
        <v>135000</v>
      </c>
      <c r="H6247" s="539">
        <f t="shared" si="633"/>
        <v>42930</v>
      </c>
    </row>
    <row r="6248" spans="3:11" ht="25.8" customHeight="1">
      <c r="C6248" s="818">
        <v>3</v>
      </c>
      <c r="D6248" s="212" t="s">
        <v>18</v>
      </c>
      <c r="E6248" s="212" t="s">
        <v>6</v>
      </c>
      <c r="F6248" s="538">
        <v>3.2000000000000001E-2</v>
      </c>
      <c r="G6248" s="539">
        <f>VLOOKUP(D6248,upahbahan,3,FALSE)</f>
        <v>150000</v>
      </c>
      <c r="H6248" s="539">
        <f t="shared" si="633"/>
        <v>4800</v>
      </c>
    </row>
    <row r="6249" spans="3:11" ht="25.8" customHeight="1">
      <c r="C6249" s="818">
        <v>4</v>
      </c>
      <c r="D6249" s="212" t="s">
        <v>19</v>
      </c>
      <c r="E6249" s="212" t="s">
        <v>6</v>
      </c>
      <c r="F6249" s="538">
        <v>1.0999999999999999E-2</v>
      </c>
      <c r="G6249" s="539">
        <f>VLOOKUP(D6249,upahbahan,3,FALSE)</f>
        <v>160000</v>
      </c>
      <c r="H6249" s="539">
        <f t="shared" si="633"/>
        <v>1760</v>
      </c>
    </row>
    <row r="6250" spans="3:11" ht="25.8" customHeight="1">
      <c r="C6250" s="702" t="s">
        <v>1208</v>
      </c>
      <c r="D6250" s="208"/>
      <c r="E6250" s="208"/>
      <c r="F6250" s="811"/>
      <c r="G6250" s="522"/>
      <c r="H6250" s="539">
        <f>SUM(H6246:H6249)</f>
        <v>68490</v>
      </c>
      <c r="I6250" s="819"/>
    </row>
    <row r="6251" spans="3:11" ht="25.8" customHeight="1">
      <c r="C6251" s="213" t="s">
        <v>1209</v>
      </c>
      <c r="D6251" s="212" t="s">
        <v>1210</v>
      </c>
      <c r="E6251" s="534"/>
      <c r="F6251" s="831"/>
      <c r="G6251" s="534"/>
      <c r="H6251" s="534"/>
    </row>
    <row r="6252" spans="3:11" ht="25.8" customHeight="1">
      <c r="C6252" s="213">
        <v>1</v>
      </c>
      <c r="D6252" s="212" t="s">
        <v>930</v>
      </c>
      <c r="E6252" s="234" t="s">
        <v>1300</v>
      </c>
      <c r="F6252" s="866">
        <v>16.5</v>
      </c>
      <c r="G6252" s="539">
        <f t="shared" ref="G6252:G6258" si="634">VLOOKUP(D6252,upahbahan,3,FALSE)</f>
        <v>0</v>
      </c>
      <c r="H6252" s="539">
        <f t="shared" ref="H6252:H6258" si="635">F6252*G6252</f>
        <v>0</v>
      </c>
    </row>
    <row r="6253" spans="3:11" ht="25.8" customHeight="1">
      <c r="C6253" s="213">
        <v>2</v>
      </c>
      <c r="D6253" s="212" t="s">
        <v>3542</v>
      </c>
      <c r="E6253" s="234" t="s">
        <v>1300</v>
      </c>
      <c r="F6253" s="866">
        <v>16.5</v>
      </c>
      <c r="G6253" s="539">
        <f t="shared" si="634"/>
        <v>16195.5</v>
      </c>
      <c r="H6253" s="539">
        <f t="shared" si="635"/>
        <v>267225.75</v>
      </c>
    </row>
    <row r="6254" spans="3:11" ht="25.8" customHeight="1">
      <c r="C6254" s="213">
        <v>3</v>
      </c>
      <c r="D6254" s="212" t="s">
        <v>3540</v>
      </c>
      <c r="E6254" s="234" t="s">
        <v>2167</v>
      </c>
      <c r="F6254" s="866">
        <v>1</v>
      </c>
      <c r="G6254" s="539">
        <f t="shared" si="634"/>
        <v>3600</v>
      </c>
      <c r="H6254" s="539">
        <f t="shared" si="635"/>
        <v>3600</v>
      </c>
    </row>
    <row r="6255" spans="3:11" ht="25.8" customHeight="1">
      <c r="C6255" s="213">
        <v>4</v>
      </c>
      <c r="D6255" s="212" t="s">
        <v>3541</v>
      </c>
      <c r="E6255" s="234" t="s">
        <v>2167</v>
      </c>
      <c r="F6255" s="866">
        <v>5</v>
      </c>
      <c r="G6255" s="539">
        <f t="shared" si="634"/>
        <v>700</v>
      </c>
      <c r="H6255" s="539">
        <f t="shared" si="635"/>
        <v>3500</v>
      </c>
    </row>
    <row r="6256" spans="3:11" ht="25.8" customHeight="1">
      <c r="C6256" s="213">
        <v>5</v>
      </c>
      <c r="D6256" s="212" t="s">
        <v>3537</v>
      </c>
      <c r="E6256" s="234" t="s">
        <v>2167</v>
      </c>
      <c r="F6256" s="866">
        <v>4</v>
      </c>
      <c r="G6256" s="539">
        <f t="shared" si="634"/>
        <v>2700</v>
      </c>
      <c r="H6256" s="539">
        <f t="shared" si="635"/>
        <v>10800</v>
      </c>
    </row>
    <row r="6257" spans="3:11" ht="25.8" customHeight="1">
      <c r="C6257" s="213">
        <v>6</v>
      </c>
      <c r="D6257" s="212" t="s">
        <v>3538</v>
      </c>
      <c r="E6257" s="234" t="s">
        <v>5815</v>
      </c>
      <c r="F6257" s="866">
        <v>0.5</v>
      </c>
      <c r="G6257" s="539">
        <f t="shared" si="634"/>
        <v>1080</v>
      </c>
      <c r="H6257" s="539">
        <f t="shared" si="635"/>
        <v>540</v>
      </c>
    </row>
    <row r="6258" spans="3:11" ht="25.8" customHeight="1">
      <c r="C6258" s="213">
        <v>7</v>
      </c>
      <c r="D6258" s="212" t="s">
        <v>3539</v>
      </c>
      <c r="E6258" s="234" t="s">
        <v>2167</v>
      </c>
      <c r="F6258" s="866">
        <v>3</v>
      </c>
      <c r="G6258" s="539">
        <f t="shared" si="634"/>
        <v>580</v>
      </c>
      <c r="H6258" s="539">
        <f t="shared" si="635"/>
        <v>1740</v>
      </c>
    </row>
    <row r="6259" spans="3:11" ht="25.8" customHeight="1">
      <c r="C6259" s="702" t="s">
        <v>1214</v>
      </c>
      <c r="D6259" s="208"/>
      <c r="E6259" s="208"/>
      <c r="F6259" s="208"/>
      <c r="G6259" s="209"/>
      <c r="H6259" s="539">
        <f>SUM(H6252:H6258)</f>
        <v>287405.75</v>
      </c>
    </row>
    <row r="6260" spans="3:11" ht="25.8" customHeight="1">
      <c r="C6260" s="213" t="s">
        <v>1215</v>
      </c>
      <c r="D6260" s="212" t="s">
        <v>1216</v>
      </c>
      <c r="E6260" s="534"/>
      <c r="F6260" s="534"/>
      <c r="G6260" s="534"/>
      <c r="H6260" s="534"/>
    </row>
    <row r="6261" spans="3:11" ht="25.8" customHeight="1">
      <c r="C6261" s="702" t="s">
        <v>1217</v>
      </c>
      <c r="D6261" s="815"/>
      <c r="E6261" s="815"/>
      <c r="F6261" s="815"/>
      <c r="G6261" s="209"/>
      <c r="H6261" s="821">
        <f>SUM(H6260)</f>
        <v>0</v>
      </c>
    </row>
    <row r="6262" spans="3:11" ht="25.8" customHeight="1">
      <c r="C6262" s="566" t="s">
        <v>1218</v>
      </c>
      <c r="D6262" s="552" t="s">
        <v>1219</v>
      </c>
      <c r="E6262" s="553"/>
      <c r="F6262" s="553"/>
      <c r="G6262" s="554"/>
      <c r="H6262" s="826">
        <f>H6261+H6259+H6250</f>
        <v>355895.75</v>
      </c>
      <c r="I6262" s="827"/>
    </row>
    <row r="6263" spans="3:11" ht="25.8" customHeight="1">
      <c r="C6263" s="566" t="s">
        <v>1220</v>
      </c>
      <c r="D6263" s="552" t="s">
        <v>1321</v>
      </c>
      <c r="E6263" s="553"/>
      <c r="F6263" s="554"/>
      <c r="G6263" s="555">
        <f>$M$9</f>
        <v>0.1</v>
      </c>
      <c r="H6263" s="539">
        <f>H6262*G6263</f>
        <v>35589.575000000004</v>
      </c>
      <c r="I6263" s="827"/>
    </row>
    <row r="6264" spans="3:11" ht="25.8" customHeight="1">
      <c r="C6264" s="566" t="s">
        <v>1221</v>
      </c>
      <c r="D6264" s="552" t="s">
        <v>1222</v>
      </c>
      <c r="E6264" s="553"/>
      <c r="F6264" s="553"/>
      <c r="G6264" s="554"/>
      <c r="H6264" s="828">
        <f>SUM(H6262:H6263)</f>
        <v>391485.32500000001</v>
      </c>
      <c r="I6264" s="827"/>
    </row>
    <row r="6265" spans="3:11" ht="25.8" customHeight="1"/>
    <row r="6266" spans="3:11" ht="25.8" customHeight="1">
      <c r="C6266" s="513" t="s">
        <v>5910</v>
      </c>
      <c r="D6266" s="817" t="s">
        <v>5911</v>
      </c>
      <c r="E6266" s="803"/>
      <c r="F6266" s="803"/>
      <c r="G6266" s="803"/>
      <c r="H6266" s="803"/>
      <c r="I6266" s="533">
        <f>ROUNDDOWN(H6283,-2)</f>
        <v>136300</v>
      </c>
      <c r="J6266" s="536"/>
      <c r="K6266" s="824"/>
    </row>
    <row r="6267" spans="3:11" ht="25.8" customHeight="1">
      <c r="C6267" s="716" t="s">
        <v>1195</v>
      </c>
      <c r="D6267" s="716" t="s">
        <v>1196</v>
      </c>
      <c r="E6267" s="716" t="s">
        <v>1197</v>
      </c>
      <c r="F6267" s="716" t="s">
        <v>1198</v>
      </c>
      <c r="G6267" s="716" t="s">
        <v>1199</v>
      </c>
      <c r="H6267" s="716" t="s">
        <v>1200</v>
      </c>
    </row>
    <row r="6268" spans="3:11" ht="25.8" customHeight="1">
      <c r="C6268" s="213" t="s">
        <v>1201</v>
      </c>
      <c r="D6268" s="212" t="s">
        <v>1202</v>
      </c>
      <c r="E6268" s="534"/>
      <c r="F6268" s="534"/>
      <c r="G6268" s="534"/>
      <c r="H6268" s="534"/>
    </row>
    <row r="6269" spans="3:11" ht="25.8" customHeight="1">
      <c r="C6269" s="818">
        <v>1</v>
      </c>
      <c r="D6269" s="212" t="s">
        <v>5</v>
      </c>
      <c r="E6269" s="212" t="s">
        <v>6</v>
      </c>
      <c r="F6269" s="538">
        <v>0.19</v>
      </c>
      <c r="G6269" s="539">
        <f>VLOOKUP(D6269,upahbahan,3,FALSE)</f>
        <v>100000</v>
      </c>
      <c r="H6269" s="539">
        <f t="shared" ref="H6269:H6272" si="636">F6269*G6269</f>
        <v>19000</v>
      </c>
    </row>
    <row r="6270" spans="3:11" ht="25.8" customHeight="1">
      <c r="C6270" s="818">
        <v>2</v>
      </c>
      <c r="D6270" s="212" t="s">
        <v>3295</v>
      </c>
      <c r="E6270" s="212" t="s">
        <v>6</v>
      </c>
      <c r="F6270" s="538">
        <v>0.318</v>
      </c>
      <c r="G6270" s="539">
        <f>VLOOKUP(D6270,upahbahan,3,FALSE)</f>
        <v>135000</v>
      </c>
      <c r="H6270" s="539">
        <f t="shared" si="636"/>
        <v>42930</v>
      </c>
    </row>
    <row r="6271" spans="3:11" ht="25.8" customHeight="1">
      <c r="C6271" s="818">
        <v>3</v>
      </c>
      <c r="D6271" s="212" t="s">
        <v>18</v>
      </c>
      <c r="E6271" s="212" t="s">
        <v>6</v>
      </c>
      <c r="F6271" s="538">
        <v>3.2000000000000001E-2</v>
      </c>
      <c r="G6271" s="539">
        <f>VLOOKUP(D6271,upahbahan,3,FALSE)</f>
        <v>150000</v>
      </c>
      <c r="H6271" s="539">
        <f t="shared" si="636"/>
        <v>4800</v>
      </c>
    </row>
    <row r="6272" spans="3:11" ht="25.8" customHeight="1">
      <c r="C6272" s="818">
        <v>4</v>
      </c>
      <c r="D6272" s="212" t="s">
        <v>19</v>
      </c>
      <c r="E6272" s="212" t="s">
        <v>6</v>
      </c>
      <c r="F6272" s="538">
        <v>1.0999999999999999E-2</v>
      </c>
      <c r="G6272" s="539">
        <f>VLOOKUP(D6272,upahbahan,3,FALSE)</f>
        <v>160000</v>
      </c>
      <c r="H6272" s="539">
        <f t="shared" si="636"/>
        <v>1760</v>
      </c>
    </row>
    <row r="6273" spans="3:11" ht="25.8" customHeight="1">
      <c r="C6273" s="702" t="s">
        <v>1208</v>
      </c>
      <c r="D6273" s="208"/>
      <c r="E6273" s="208"/>
      <c r="F6273" s="811"/>
      <c r="G6273" s="522"/>
      <c r="H6273" s="539">
        <f>SUM(H6269:H6272)</f>
        <v>68490</v>
      </c>
      <c r="I6273" s="819"/>
    </row>
    <row r="6274" spans="3:11" ht="25.8" customHeight="1">
      <c r="C6274" s="213" t="s">
        <v>1209</v>
      </c>
      <c r="D6274" s="212" t="s">
        <v>1210</v>
      </c>
      <c r="E6274" s="534"/>
      <c r="F6274" s="831"/>
      <c r="G6274" s="534"/>
      <c r="H6274" s="534"/>
    </row>
    <row r="6275" spans="3:11" ht="25.8" customHeight="1">
      <c r="C6275" s="213">
        <v>1</v>
      </c>
      <c r="D6275" s="212" t="s">
        <v>889</v>
      </c>
      <c r="E6275" s="234" t="s">
        <v>1300</v>
      </c>
      <c r="F6275" s="866">
        <v>3.3</v>
      </c>
      <c r="G6275" s="539">
        <f>VLOOKUP(D6275,upahbahan,3,FALSE)</f>
        <v>16110</v>
      </c>
      <c r="H6275" s="539">
        <f t="shared" ref="H6275:H6277" si="637">F6275*G6275</f>
        <v>53163</v>
      </c>
    </row>
    <row r="6276" spans="3:11" ht="25.8" customHeight="1">
      <c r="C6276" s="213">
        <v>2</v>
      </c>
      <c r="D6276" s="212" t="s">
        <v>3538</v>
      </c>
      <c r="E6276" s="234" t="s">
        <v>5815</v>
      </c>
      <c r="F6276" s="866">
        <v>0.5</v>
      </c>
      <c r="G6276" s="539">
        <f>VLOOKUP(D6276,upahbahan,3,FALSE)</f>
        <v>1080</v>
      </c>
      <c r="H6276" s="539">
        <f t="shared" si="637"/>
        <v>540</v>
      </c>
    </row>
    <row r="6277" spans="3:11" ht="25.8" customHeight="1">
      <c r="C6277" s="213">
        <v>3</v>
      </c>
      <c r="D6277" s="212" t="s">
        <v>3539</v>
      </c>
      <c r="E6277" s="234" t="s">
        <v>2167</v>
      </c>
      <c r="F6277" s="866">
        <v>3</v>
      </c>
      <c r="G6277" s="539">
        <f>VLOOKUP(D6277,upahbahan,3,FALSE)</f>
        <v>580</v>
      </c>
      <c r="H6277" s="539">
        <f t="shared" si="637"/>
        <v>1740</v>
      </c>
    </row>
    <row r="6278" spans="3:11" ht="25.8" customHeight="1">
      <c r="C6278" s="702" t="s">
        <v>1214</v>
      </c>
      <c r="D6278" s="208"/>
      <c r="E6278" s="208"/>
      <c r="F6278" s="208"/>
      <c r="G6278" s="209"/>
      <c r="H6278" s="539">
        <f>SUM(H6275:H6277)</f>
        <v>55443</v>
      </c>
    </row>
    <row r="6279" spans="3:11" ht="25.8" customHeight="1">
      <c r="C6279" s="213" t="s">
        <v>1215</v>
      </c>
      <c r="D6279" s="212" t="s">
        <v>1216</v>
      </c>
      <c r="E6279" s="534"/>
      <c r="F6279" s="534"/>
      <c r="G6279" s="534"/>
      <c r="H6279" s="534"/>
    </row>
    <row r="6280" spans="3:11" ht="25.8" customHeight="1">
      <c r="C6280" s="702" t="s">
        <v>1217</v>
      </c>
      <c r="D6280" s="815"/>
      <c r="E6280" s="815"/>
      <c r="F6280" s="815"/>
      <c r="G6280" s="209"/>
      <c r="H6280" s="821">
        <f>SUM(H6279)</f>
        <v>0</v>
      </c>
    </row>
    <row r="6281" spans="3:11" ht="25.8" customHeight="1">
      <c r="C6281" s="566" t="s">
        <v>1218</v>
      </c>
      <c r="D6281" s="552" t="s">
        <v>1219</v>
      </c>
      <c r="E6281" s="553"/>
      <c r="F6281" s="553"/>
      <c r="G6281" s="554"/>
      <c r="H6281" s="826">
        <f>H6280+H6278+H6273</f>
        <v>123933</v>
      </c>
      <c r="I6281" s="827"/>
    </row>
    <row r="6282" spans="3:11" ht="25.8" customHeight="1">
      <c r="C6282" s="566" t="s">
        <v>1220</v>
      </c>
      <c r="D6282" s="552" t="s">
        <v>1321</v>
      </c>
      <c r="E6282" s="553"/>
      <c r="F6282" s="554"/>
      <c r="G6282" s="555">
        <f>$M$9</f>
        <v>0.1</v>
      </c>
      <c r="H6282" s="539">
        <f>H6281*G6282</f>
        <v>12393.300000000001</v>
      </c>
      <c r="I6282" s="827"/>
    </row>
    <row r="6283" spans="3:11" ht="25.8" customHeight="1">
      <c r="C6283" s="566" t="s">
        <v>1221</v>
      </c>
      <c r="D6283" s="552" t="s">
        <v>1222</v>
      </c>
      <c r="E6283" s="553"/>
      <c r="F6283" s="553"/>
      <c r="G6283" s="554"/>
      <c r="H6283" s="828">
        <f>SUM(H6281:H6282)</f>
        <v>136326.29999999999</v>
      </c>
      <c r="I6283" s="827"/>
    </row>
    <row r="6284" spans="3:11" ht="25.8" customHeight="1"/>
    <row r="6285" spans="3:11" ht="25.8" customHeight="1">
      <c r="C6285" s="513" t="s">
        <v>5912</v>
      </c>
      <c r="D6285" s="817" t="s">
        <v>5913</v>
      </c>
      <c r="E6285" s="803"/>
      <c r="F6285" s="803"/>
      <c r="G6285" s="803"/>
      <c r="H6285" s="803"/>
      <c r="I6285" s="533">
        <f>ROUNDDOWN(H6303,-2)</f>
        <v>1276000</v>
      </c>
      <c r="J6285" s="536"/>
      <c r="K6285" s="824"/>
    </row>
    <row r="6286" spans="3:11" ht="25.8" customHeight="1">
      <c r="C6286" s="716" t="s">
        <v>1195</v>
      </c>
      <c r="D6286" s="716" t="s">
        <v>1196</v>
      </c>
      <c r="E6286" s="716" t="s">
        <v>1197</v>
      </c>
      <c r="F6286" s="716" t="s">
        <v>1198</v>
      </c>
      <c r="G6286" s="716" t="s">
        <v>1199</v>
      </c>
      <c r="H6286" s="716" t="s">
        <v>1200</v>
      </c>
    </row>
    <row r="6287" spans="3:11" ht="25.8" customHeight="1">
      <c r="C6287" s="213" t="s">
        <v>1201</v>
      </c>
      <c r="D6287" s="212" t="s">
        <v>1202</v>
      </c>
      <c r="E6287" s="534"/>
      <c r="F6287" s="534"/>
      <c r="G6287" s="534"/>
      <c r="H6287" s="534"/>
    </row>
    <row r="6288" spans="3:11" ht="25.8" customHeight="1">
      <c r="C6288" s="818">
        <v>1</v>
      </c>
      <c r="D6288" s="212" t="s">
        <v>5</v>
      </c>
      <c r="E6288" s="212" t="s">
        <v>6</v>
      </c>
      <c r="F6288" s="538">
        <v>0.19</v>
      </c>
      <c r="G6288" s="539">
        <f>VLOOKUP(D6288,upahbahan,3,FALSE)</f>
        <v>100000</v>
      </c>
      <c r="H6288" s="539">
        <f t="shared" ref="H6288:H6291" si="638">F6288*G6288</f>
        <v>19000</v>
      </c>
    </row>
    <row r="6289" spans="3:9" ht="25.8" customHeight="1">
      <c r="C6289" s="818">
        <v>2</v>
      </c>
      <c r="D6289" s="212" t="s">
        <v>3295</v>
      </c>
      <c r="E6289" s="212" t="s">
        <v>6</v>
      </c>
      <c r="F6289" s="538">
        <v>0.318</v>
      </c>
      <c r="G6289" s="539">
        <f>VLOOKUP(D6289,upahbahan,3,FALSE)</f>
        <v>135000</v>
      </c>
      <c r="H6289" s="539">
        <f t="shared" si="638"/>
        <v>42930</v>
      </c>
    </row>
    <row r="6290" spans="3:9" ht="25.8" customHeight="1">
      <c r="C6290" s="818">
        <v>3</v>
      </c>
      <c r="D6290" s="212" t="s">
        <v>18</v>
      </c>
      <c r="E6290" s="212" t="s">
        <v>6</v>
      </c>
      <c r="F6290" s="538">
        <v>3.2000000000000001E-2</v>
      </c>
      <c r="G6290" s="539">
        <f>VLOOKUP(D6290,upahbahan,3,FALSE)</f>
        <v>150000</v>
      </c>
      <c r="H6290" s="539">
        <f t="shared" si="638"/>
        <v>4800</v>
      </c>
    </row>
    <row r="6291" spans="3:9" ht="25.8" customHeight="1">
      <c r="C6291" s="818">
        <v>4</v>
      </c>
      <c r="D6291" s="212" t="s">
        <v>19</v>
      </c>
      <c r="E6291" s="212" t="s">
        <v>6</v>
      </c>
      <c r="F6291" s="538">
        <v>1.0999999999999999E-2</v>
      </c>
      <c r="G6291" s="539">
        <f>VLOOKUP(D6291,upahbahan,3,FALSE)</f>
        <v>160000</v>
      </c>
      <c r="H6291" s="539">
        <f t="shared" si="638"/>
        <v>1760</v>
      </c>
    </row>
    <row r="6292" spans="3:9" ht="25.8" customHeight="1">
      <c r="C6292" s="702" t="s">
        <v>1208</v>
      </c>
      <c r="D6292" s="208"/>
      <c r="E6292" s="208"/>
      <c r="F6292" s="811"/>
      <c r="G6292" s="522"/>
      <c r="H6292" s="539">
        <f>SUM(H6288:H6291)</f>
        <v>68490</v>
      </c>
      <c r="I6292" s="819"/>
    </row>
    <row r="6293" spans="3:9" ht="25.8" customHeight="1">
      <c r="C6293" s="213" t="s">
        <v>1209</v>
      </c>
      <c r="D6293" s="212" t="s">
        <v>1210</v>
      </c>
      <c r="E6293" s="534"/>
      <c r="F6293" s="831"/>
      <c r="G6293" s="534"/>
      <c r="H6293" s="534"/>
    </row>
    <row r="6294" spans="3:9" ht="25.8" customHeight="1">
      <c r="C6294" s="213">
        <v>1</v>
      </c>
      <c r="D6294" s="212" t="s">
        <v>863</v>
      </c>
      <c r="E6294" s="234" t="s">
        <v>1300</v>
      </c>
      <c r="F6294" s="866">
        <v>33</v>
      </c>
      <c r="G6294" s="539">
        <f>VLOOKUP(D6294,upahbahan,3,FALSE)</f>
        <v>32900</v>
      </c>
      <c r="H6294" s="539">
        <f t="shared" ref="H6294:H6297" si="639">F6294*G6294</f>
        <v>1085700</v>
      </c>
    </row>
    <row r="6295" spans="3:9" ht="25.8" customHeight="1">
      <c r="C6295" s="213">
        <v>2</v>
      </c>
      <c r="D6295" s="212" t="s">
        <v>3540</v>
      </c>
      <c r="E6295" s="234" t="s">
        <v>2167</v>
      </c>
      <c r="F6295" s="866">
        <v>1</v>
      </c>
      <c r="G6295" s="539">
        <f>VLOOKUP(D6295,upahbahan,3,FALSE)</f>
        <v>3600</v>
      </c>
      <c r="H6295" s="539">
        <f t="shared" si="639"/>
        <v>3600</v>
      </c>
    </row>
    <row r="6296" spans="3:9" ht="25.8" customHeight="1">
      <c r="C6296" s="213">
        <v>3</v>
      </c>
      <c r="D6296" s="212" t="s">
        <v>3538</v>
      </c>
      <c r="E6296" s="234" t="s">
        <v>5815</v>
      </c>
      <c r="F6296" s="866">
        <v>0.5</v>
      </c>
      <c r="G6296" s="539">
        <f>VLOOKUP(D6296,upahbahan,3,FALSE)</f>
        <v>1080</v>
      </c>
      <c r="H6296" s="539">
        <f t="shared" si="639"/>
        <v>540</v>
      </c>
    </row>
    <row r="6297" spans="3:9" ht="25.8" customHeight="1">
      <c r="C6297" s="213">
        <v>4</v>
      </c>
      <c r="D6297" s="212" t="s">
        <v>3539</v>
      </c>
      <c r="E6297" s="234" t="s">
        <v>2167</v>
      </c>
      <c r="F6297" s="866">
        <v>3</v>
      </c>
      <c r="G6297" s="539">
        <f>VLOOKUP(D6297,upahbahan,3,FALSE)</f>
        <v>580</v>
      </c>
      <c r="H6297" s="539">
        <f t="shared" si="639"/>
        <v>1740</v>
      </c>
    </row>
    <row r="6298" spans="3:9" ht="25.8" customHeight="1">
      <c r="C6298" s="702" t="s">
        <v>1214</v>
      </c>
      <c r="D6298" s="208"/>
      <c r="E6298" s="208"/>
      <c r="F6298" s="208"/>
      <c r="G6298" s="209"/>
      <c r="H6298" s="539">
        <f>SUM(H6294:H6297)</f>
        <v>1091580</v>
      </c>
    </row>
    <row r="6299" spans="3:9" ht="25.8" customHeight="1">
      <c r="C6299" s="213" t="s">
        <v>1215</v>
      </c>
      <c r="D6299" s="212" t="s">
        <v>1216</v>
      </c>
      <c r="E6299" s="534"/>
      <c r="F6299" s="534"/>
      <c r="G6299" s="534"/>
      <c r="H6299" s="534"/>
    </row>
    <row r="6300" spans="3:9" ht="25.8" customHeight="1">
      <c r="C6300" s="702" t="s">
        <v>1217</v>
      </c>
      <c r="D6300" s="815"/>
      <c r="E6300" s="815"/>
      <c r="F6300" s="815"/>
      <c r="G6300" s="209"/>
      <c r="H6300" s="821">
        <f>SUM(H6299)</f>
        <v>0</v>
      </c>
    </row>
    <row r="6301" spans="3:9" ht="25.8" customHeight="1">
      <c r="C6301" s="566" t="s">
        <v>1218</v>
      </c>
      <c r="D6301" s="552" t="s">
        <v>1219</v>
      </c>
      <c r="E6301" s="553"/>
      <c r="F6301" s="553"/>
      <c r="G6301" s="554"/>
      <c r="H6301" s="826">
        <f>H6300+H6298+H6292</f>
        <v>1160070</v>
      </c>
      <c r="I6301" s="827"/>
    </row>
    <row r="6302" spans="3:9" ht="25.8" customHeight="1">
      <c r="C6302" s="566" t="s">
        <v>1220</v>
      </c>
      <c r="D6302" s="552" t="s">
        <v>1321</v>
      </c>
      <c r="E6302" s="553"/>
      <c r="F6302" s="554"/>
      <c r="G6302" s="555">
        <f>$M$9</f>
        <v>0.1</v>
      </c>
      <c r="H6302" s="539">
        <f>H6301*G6302</f>
        <v>116007</v>
      </c>
      <c r="I6302" s="827"/>
    </row>
    <row r="6303" spans="3:9" ht="25.8" customHeight="1">
      <c r="C6303" s="566" t="s">
        <v>1221</v>
      </c>
      <c r="D6303" s="552" t="s">
        <v>1222</v>
      </c>
      <c r="E6303" s="553"/>
      <c r="F6303" s="553"/>
      <c r="G6303" s="554"/>
      <c r="H6303" s="828">
        <f>SUM(H6301:H6302)</f>
        <v>1276077</v>
      </c>
      <c r="I6303" s="827"/>
    </row>
    <row r="6304" spans="3:9" ht="25.8" customHeight="1"/>
    <row r="6305" spans="3:11" ht="25.8" customHeight="1">
      <c r="C6305" s="513" t="s">
        <v>5914</v>
      </c>
      <c r="D6305" s="817" t="s">
        <v>5915</v>
      </c>
      <c r="E6305" s="803"/>
      <c r="F6305" s="803"/>
      <c r="G6305" s="803"/>
      <c r="H6305" s="803"/>
      <c r="I6305" s="533">
        <f>ROUNDDOWN(H6326,-2)</f>
        <v>685400</v>
      </c>
      <c r="J6305" s="536"/>
      <c r="K6305" s="824"/>
    </row>
    <row r="6306" spans="3:11" ht="25.8" customHeight="1">
      <c r="C6306" s="716" t="s">
        <v>1195</v>
      </c>
      <c r="D6306" s="716" t="s">
        <v>1196</v>
      </c>
      <c r="E6306" s="716" t="s">
        <v>1197</v>
      </c>
      <c r="F6306" s="716" t="s">
        <v>1198</v>
      </c>
      <c r="G6306" s="716" t="s">
        <v>1199</v>
      </c>
      <c r="H6306" s="716" t="s">
        <v>1200</v>
      </c>
    </row>
    <row r="6307" spans="3:11" ht="25.8" customHeight="1">
      <c r="C6307" s="213" t="s">
        <v>1201</v>
      </c>
      <c r="D6307" s="212" t="s">
        <v>1202</v>
      </c>
      <c r="E6307" s="534"/>
      <c r="F6307" s="534"/>
      <c r="G6307" s="534"/>
      <c r="H6307" s="534"/>
    </row>
    <row r="6308" spans="3:11" ht="25.8" customHeight="1">
      <c r="C6308" s="818">
        <v>1</v>
      </c>
      <c r="D6308" s="212" t="s">
        <v>5</v>
      </c>
      <c r="E6308" s="212" t="s">
        <v>6</v>
      </c>
      <c r="F6308" s="538">
        <v>0.19</v>
      </c>
      <c r="G6308" s="539">
        <f>VLOOKUP(D6308,upahbahan,3,FALSE)</f>
        <v>100000</v>
      </c>
      <c r="H6308" s="539">
        <f t="shared" ref="H6308:H6311" si="640">F6308*G6308</f>
        <v>19000</v>
      </c>
    </row>
    <row r="6309" spans="3:11" ht="25.8" customHeight="1">
      <c r="C6309" s="818">
        <v>2</v>
      </c>
      <c r="D6309" s="212" t="s">
        <v>3295</v>
      </c>
      <c r="E6309" s="212" t="s">
        <v>6</v>
      </c>
      <c r="F6309" s="538">
        <v>0.318</v>
      </c>
      <c r="G6309" s="539">
        <f>VLOOKUP(D6309,upahbahan,3,FALSE)</f>
        <v>135000</v>
      </c>
      <c r="H6309" s="539">
        <f t="shared" si="640"/>
        <v>42930</v>
      </c>
    </row>
    <row r="6310" spans="3:11" ht="25.8" customHeight="1">
      <c r="C6310" s="818">
        <v>3</v>
      </c>
      <c r="D6310" s="212" t="s">
        <v>18</v>
      </c>
      <c r="E6310" s="212" t="s">
        <v>6</v>
      </c>
      <c r="F6310" s="538">
        <v>3.2000000000000001E-2</v>
      </c>
      <c r="G6310" s="539">
        <f>VLOOKUP(D6310,upahbahan,3,FALSE)</f>
        <v>150000</v>
      </c>
      <c r="H6310" s="539">
        <f t="shared" si="640"/>
        <v>4800</v>
      </c>
    </row>
    <row r="6311" spans="3:11" ht="25.8" customHeight="1">
      <c r="C6311" s="818">
        <v>4</v>
      </c>
      <c r="D6311" s="212" t="s">
        <v>19</v>
      </c>
      <c r="E6311" s="212" t="s">
        <v>6</v>
      </c>
      <c r="F6311" s="538">
        <v>1.0999999999999999E-2</v>
      </c>
      <c r="G6311" s="539">
        <f>VLOOKUP(D6311,upahbahan,3,FALSE)</f>
        <v>160000</v>
      </c>
      <c r="H6311" s="539">
        <f t="shared" si="640"/>
        <v>1760</v>
      </c>
    </row>
    <row r="6312" spans="3:11" ht="25.8" customHeight="1">
      <c r="C6312" s="702" t="s">
        <v>1208</v>
      </c>
      <c r="D6312" s="208"/>
      <c r="E6312" s="208"/>
      <c r="F6312" s="811"/>
      <c r="G6312" s="522"/>
      <c r="H6312" s="539">
        <f>SUM(H6308:H6311)</f>
        <v>68490</v>
      </c>
      <c r="I6312" s="819"/>
    </row>
    <row r="6313" spans="3:11" ht="25.8" customHeight="1">
      <c r="C6313" s="213" t="s">
        <v>1209</v>
      </c>
      <c r="D6313" s="212" t="s">
        <v>1210</v>
      </c>
      <c r="E6313" s="534"/>
      <c r="F6313" s="831"/>
      <c r="G6313" s="534"/>
      <c r="H6313" s="534"/>
    </row>
    <row r="6314" spans="3:11" ht="25.8" customHeight="1">
      <c r="C6314" s="213">
        <v>1</v>
      </c>
      <c r="D6314" s="212" t="s">
        <v>929</v>
      </c>
      <c r="E6314" s="234" t="s">
        <v>1300</v>
      </c>
      <c r="F6314" s="866">
        <v>33</v>
      </c>
      <c r="G6314" s="539">
        <f t="shared" ref="G6314:G6320" si="641">VLOOKUP(D6314,upahbahan,3,FALSE)</f>
        <v>0</v>
      </c>
      <c r="H6314" s="539">
        <f t="shared" ref="H6314:H6320" si="642">F6314*G6314</f>
        <v>0</v>
      </c>
    </row>
    <row r="6315" spans="3:11" ht="25.8" customHeight="1">
      <c r="C6315" s="213">
        <v>2</v>
      </c>
      <c r="D6315" s="212" t="s">
        <v>3542</v>
      </c>
      <c r="E6315" s="234" t="s">
        <v>1300</v>
      </c>
      <c r="F6315" s="866">
        <v>33</v>
      </c>
      <c r="G6315" s="539">
        <f t="shared" si="641"/>
        <v>16195.5</v>
      </c>
      <c r="H6315" s="539">
        <f t="shared" si="642"/>
        <v>534451.5</v>
      </c>
    </row>
    <row r="6316" spans="3:11" ht="25.8" customHeight="1">
      <c r="C6316" s="213">
        <v>3</v>
      </c>
      <c r="D6316" s="212" t="s">
        <v>3540</v>
      </c>
      <c r="E6316" s="234" t="s">
        <v>2167</v>
      </c>
      <c r="F6316" s="866">
        <v>1</v>
      </c>
      <c r="G6316" s="539">
        <f t="shared" si="641"/>
        <v>3600</v>
      </c>
      <c r="H6316" s="539">
        <f t="shared" si="642"/>
        <v>3600</v>
      </c>
    </row>
    <row r="6317" spans="3:11" ht="25.8" customHeight="1">
      <c r="C6317" s="213">
        <v>4</v>
      </c>
      <c r="D6317" s="212" t="s">
        <v>3541</v>
      </c>
      <c r="E6317" s="234" t="s">
        <v>2167</v>
      </c>
      <c r="F6317" s="866">
        <v>5</v>
      </c>
      <c r="G6317" s="539">
        <f t="shared" si="641"/>
        <v>700</v>
      </c>
      <c r="H6317" s="539">
        <f t="shared" si="642"/>
        <v>3500</v>
      </c>
    </row>
    <row r="6318" spans="3:11" ht="25.8" customHeight="1">
      <c r="C6318" s="213">
        <v>5</v>
      </c>
      <c r="D6318" s="212" t="s">
        <v>3537</v>
      </c>
      <c r="E6318" s="234" t="s">
        <v>2167</v>
      </c>
      <c r="F6318" s="866">
        <v>4</v>
      </c>
      <c r="G6318" s="539">
        <f t="shared" si="641"/>
        <v>2700</v>
      </c>
      <c r="H6318" s="539">
        <f t="shared" si="642"/>
        <v>10800</v>
      </c>
    </row>
    <row r="6319" spans="3:11" ht="25.8" customHeight="1">
      <c r="C6319" s="213">
        <v>6</v>
      </c>
      <c r="D6319" s="212" t="s">
        <v>3538</v>
      </c>
      <c r="E6319" s="234" t="s">
        <v>5815</v>
      </c>
      <c r="F6319" s="866">
        <v>0.5</v>
      </c>
      <c r="G6319" s="539">
        <f t="shared" si="641"/>
        <v>1080</v>
      </c>
      <c r="H6319" s="539">
        <f t="shared" si="642"/>
        <v>540</v>
      </c>
    </row>
    <row r="6320" spans="3:11" ht="25.8" customHeight="1">
      <c r="C6320" s="213">
        <v>7</v>
      </c>
      <c r="D6320" s="212" t="s">
        <v>3539</v>
      </c>
      <c r="E6320" s="234" t="s">
        <v>2167</v>
      </c>
      <c r="F6320" s="866">
        <v>3</v>
      </c>
      <c r="G6320" s="539">
        <f t="shared" si="641"/>
        <v>580</v>
      </c>
      <c r="H6320" s="539">
        <f t="shared" si="642"/>
        <v>1740</v>
      </c>
    </row>
    <row r="6321" spans="3:11" ht="25.8" customHeight="1">
      <c r="C6321" s="702" t="s">
        <v>1214</v>
      </c>
      <c r="D6321" s="208"/>
      <c r="E6321" s="208"/>
      <c r="F6321" s="208"/>
      <c r="G6321" s="209"/>
      <c r="H6321" s="539">
        <f>SUM(H6314:H6320)</f>
        <v>554631.5</v>
      </c>
    </row>
    <row r="6322" spans="3:11" ht="25.8" customHeight="1">
      <c r="C6322" s="213" t="s">
        <v>1215</v>
      </c>
      <c r="D6322" s="212" t="s">
        <v>1216</v>
      </c>
      <c r="E6322" s="534"/>
      <c r="F6322" s="534"/>
      <c r="G6322" s="534"/>
      <c r="H6322" s="534"/>
    </row>
    <row r="6323" spans="3:11" ht="25.8" customHeight="1">
      <c r="C6323" s="702" t="s">
        <v>1217</v>
      </c>
      <c r="D6323" s="815"/>
      <c r="E6323" s="815"/>
      <c r="F6323" s="815"/>
      <c r="G6323" s="209"/>
      <c r="H6323" s="821">
        <f>SUM(H6322)</f>
        <v>0</v>
      </c>
    </row>
    <row r="6324" spans="3:11" ht="25.8" customHeight="1">
      <c r="C6324" s="566" t="s">
        <v>1218</v>
      </c>
      <c r="D6324" s="552" t="s">
        <v>1219</v>
      </c>
      <c r="E6324" s="553"/>
      <c r="F6324" s="553"/>
      <c r="G6324" s="554"/>
      <c r="H6324" s="826">
        <f>H6323+H6321+H6312</f>
        <v>623121.5</v>
      </c>
      <c r="I6324" s="827"/>
    </row>
    <row r="6325" spans="3:11" ht="25.8" customHeight="1">
      <c r="C6325" s="566" t="s">
        <v>1220</v>
      </c>
      <c r="D6325" s="552" t="s">
        <v>1321</v>
      </c>
      <c r="E6325" s="553"/>
      <c r="F6325" s="554"/>
      <c r="G6325" s="555">
        <f>$M$9</f>
        <v>0.1</v>
      </c>
      <c r="H6325" s="539">
        <f>H6324*G6325</f>
        <v>62312.15</v>
      </c>
      <c r="I6325" s="827"/>
    </row>
    <row r="6326" spans="3:11" ht="25.8" customHeight="1">
      <c r="C6326" s="566" t="s">
        <v>1221</v>
      </c>
      <c r="D6326" s="552" t="s">
        <v>1222</v>
      </c>
      <c r="E6326" s="553"/>
      <c r="F6326" s="553"/>
      <c r="G6326" s="554"/>
      <c r="H6326" s="828">
        <f>SUM(H6324:H6325)</f>
        <v>685433.65</v>
      </c>
      <c r="I6326" s="827"/>
    </row>
    <row r="6327" spans="3:11" ht="25.8" customHeight="1"/>
    <row r="6328" spans="3:11" ht="25.8" customHeight="1">
      <c r="C6328" s="513" t="s">
        <v>5916</v>
      </c>
      <c r="D6328" s="817" t="s">
        <v>5917</v>
      </c>
      <c r="E6328" s="803"/>
      <c r="F6328" s="803"/>
      <c r="G6328" s="803"/>
      <c r="H6328" s="803"/>
      <c r="I6328" s="533">
        <f>ROUNDDOWN(H6345,-2)</f>
        <v>233700</v>
      </c>
      <c r="J6328" s="536"/>
      <c r="K6328" s="824"/>
    </row>
    <row r="6329" spans="3:11" ht="25.8" customHeight="1">
      <c r="C6329" s="716" t="s">
        <v>1195</v>
      </c>
      <c r="D6329" s="716" t="s">
        <v>1196</v>
      </c>
      <c r="E6329" s="716" t="s">
        <v>1197</v>
      </c>
      <c r="F6329" s="716" t="s">
        <v>1198</v>
      </c>
      <c r="G6329" s="716" t="s">
        <v>1199</v>
      </c>
      <c r="H6329" s="716" t="s">
        <v>1200</v>
      </c>
    </row>
    <row r="6330" spans="3:11" ht="25.8" customHeight="1">
      <c r="C6330" s="213" t="s">
        <v>1201</v>
      </c>
      <c r="D6330" s="212" t="s">
        <v>1202</v>
      </c>
      <c r="E6330" s="534"/>
      <c r="F6330" s="534"/>
      <c r="G6330" s="534"/>
      <c r="H6330" s="534"/>
    </row>
    <row r="6331" spans="3:11" ht="25.8" customHeight="1">
      <c r="C6331" s="818">
        <v>1</v>
      </c>
      <c r="D6331" s="212" t="s">
        <v>5</v>
      </c>
      <c r="E6331" s="212" t="s">
        <v>6</v>
      </c>
      <c r="F6331" s="538">
        <v>0.19</v>
      </c>
      <c r="G6331" s="539">
        <f>VLOOKUP(D6331,upahbahan,3,FALSE)</f>
        <v>100000</v>
      </c>
      <c r="H6331" s="539">
        <f t="shared" ref="H6331:H6334" si="643">F6331*G6331</f>
        <v>19000</v>
      </c>
    </row>
    <row r="6332" spans="3:11" ht="25.8" customHeight="1">
      <c r="C6332" s="818">
        <v>2</v>
      </c>
      <c r="D6332" s="212" t="s">
        <v>3295</v>
      </c>
      <c r="E6332" s="212" t="s">
        <v>6</v>
      </c>
      <c r="F6332" s="538">
        <v>0.318</v>
      </c>
      <c r="G6332" s="539">
        <f>VLOOKUP(D6332,upahbahan,3,FALSE)</f>
        <v>135000</v>
      </c>
      <c r="H6332" s="539">
        <f t="shared" si="643"/>
        <v>42930</v>
      </c>
    </row>
    <row r="6333" spans="3:11" ht="25.8" customHeight="1">
      <c r="C6333" s="818">
        <v>3</v>
      </c>
      <c r="D6333" s="212" t="s">
        <v>18</v>
      </c>
      <c r="E6333" s="212" t="s">
        <v>6</v>
      </c>
      <c r="F6333" s="538">
        <v>3.2000000000000001E-2</v>
      </c>
      <c r="G6333" s="539">
        <f>VLOOKUP(D6333,upahbahan,3,FALSE)</f>
        <v>150000</v>
      </c>
      <c r="H6333" s="539">
        <f t="shared" si="643"/>
        <v>4800</v>
      </c>
    </row>
    <row r="6334" spans="3:11" ht="25.8" customHeight="1">
      <c r="C6334" s="818">
        <v>4</v>
      </c>
      <c r="D6334" s="212" t="s">
        <v>19</v>
      </c>
      <c r="E6334" s="212" t="s">
        <v>6</v>
      </c>
      <c r="F6334" s="538">
        <v>1.0999999999999999E-2</v>
      </c>
      <c r="G6334" s="539">
        <f>VLOOKUP(D6334,upahbahan,3,FALSE)</f>
        <v>160000</v>
      </c>
      <c r="H6334" s="539">
        <f t="shared" si="643"/>
        <v>1760</v>
      </c>
    </row>
    <row r="6335" spans="3:11" ht="25.8" customHeight="1">
      <c r="C6335" s="702" t="s">
        <v>1208</v>
      </c>
      <c r="D6335" s="208"/>
      <c r="E6335" s="208"/>
      <c r="F6335" s="811"/>
      <c r="G6335" s="522"/>
      <c r="H6335" s="539">
        <f>SUM(H6331:H6334)</f>
        <v>68490</v>
      </c>
      <c r="I6335" s="819"/>
    </row>
    <row r="6336" spans="3:11" ht="25.8" customHeight="1">
      <c r="C6336" s="213" t="s">
        <v>1209</v>
      </c>
      <c r="D6336" s="212" t="s">
        <v>1210</v>
      </c>
      <c r="E6336" s="534"/>
      <c r="F6336" s="831"/>
      <c r="G6336" s="534"/>
      <c r="H6336" s="534"/>
    </row>
    <row r="6337" spans="3:11" ht="25.8" customHeight="1">
      <c r="C6337" s="213">
        <v>1</v>
      </c>
      <c r="D6337" s="212" t="s">
        <v>889</v>
      </c>
      <c r="E6337" s="234" t="s">
        <v>1300</v>
      </c>
      <c r="F6337" s="866">
        <v>8.8000000000000007</v>
      </c>
      <c r="G6337" s="539">
        <f>VLOOKUP(D6337,upahbahan,3,FALSE)</f>
        <v>16110</v>
      </c>
      <c r="H6337" s="539">
        <f t="shared" ref="H6337:H6339" si="644">F6337*G6337</f>
        <v>141768</v>
      </c>
    </row>
    <row r="6338" spans="3:11" ht="25.8" customHeight="1">
      <c r="C6338" s="213">
        <v>2</v>
      </c>
      <c r="D6338" s="212" t="s">
        <v>3538</v>
      </c>
      <c r="E6338" s="234" t="s">
        <v>5815</v>
      </c>
      <c r="F6338" s="866">
        <v>0.5</v>
      </c>
      <c r="G6338" s="539">
        <f>VLOOKUP(D6338,upahbahan,3,FALSE)</f>
        <v>1080</v>
      </c>
      <c r="H6338" s="539">
        <f t="shared" si="644"/>
        <v>540</v>
      </c>
    </row>
    <row r="6339" spans="3:11" ht="25.8" customHeight="1">
      <c r="C6339" s="213">
        <v>3</v>
      </c>
      <c r="D6339" s="212" t="s">
        <v>3539</v>
      </c>
      <c r="E6339" s="234" t="s">
        <v>2167</v>
      </c>
      <c r="F6339" s="866">
        <v>3</v>
      </c>
      <c r="G6339" s="539">
        <f>VLOOKUP(D6339,upahbahan,3,FALSE)</f>
        <v>580</v>
      </c>
      <c r="H6339" s="539">
        <f t="shared" si="644"/>
        <v>1740</v>
      </c>
    </row>
    <row r="6340" spans="3:11" ht="25.8" customHeight="1">
      <c r="C6340" s="702" t="s">
        <v>1214</v>
      </c>
      <c r="D6340" s="208"/>
      <c r="E6340" s="208"/>
      <c r="F6340" s="208"/>
      <c r="G6340" s="209"/>
      <c r="H6340" s="539">
        <f>SUM(H6337:H6339)</f>
        <v>144048</v>
      </c>
    </row>
    <row r="6341" spans="3:11" ht="25.8" customHeight="1">
      <c r="C6341" s="213" t="s">
        <v>1215</v>
      </c>
      <c r="D6341" s="212" t="s">
        <v>1216</v>
      </c>
      <c r="E6341" s="534"/>
      <c r="F6341" s="534"/>
      <c r="G6341" s="534"/>
      <c r="H6341" s="534"/>
    </row>
    <row r="6342" spans="3:11" ht="25.8" customHeight="1">
      <c r="C6342" s="702" t="s">
        <v>1217</v>
      </c>
      <c r="D6342" s="815"/>
      <c r="E6342" s="815"/>
      <c r="F6342" s="815"/>
      <c r="G6342" s="209"/>
      <c r="H6342" s="821">
        <f>SUM(H6341)</f>
        <v>0</v>
      </c>
    </row>
    <row r="6343" spans="3:11" ht="25.8" customHeight="1">
      <c r="C6343" s="566" t="s">
        <v>1218</v>
      </c>
      <c r="D6343" s="552" t="s">
        <v>1219</v>
      </c>
      <c r="E6343" s="553"/>
      <c r="F6343" s="553"/>
      <c r="G6343" s="554"/>
      <c r="H6343" s="826">
        <f>H6342+H6340+H6335</f>
        <v>212538</v>
      </c>
      <c r="I6343" s="827"/>
    </row>
    <row r="6344" spans="3:11" ht="25.8" customHeight="1">
      <c r="C6344" s="566" t="s">
        <v>1220</v>
      </c>
      <c r="D6344" s="552" t="s">
        <v>1321</v>
      </c>
      <c r="E6344" s="553"/>
      <c r="F6344" s="554"/>
      <c r="G6344" s="555">
        <f>$M$9</f>
        <v>0.1</v>
      </c>
      <c r="H6344" s="539">
        <f>H6343*G6344</f>
        <v>21253.800000000003</v>
      </c>
      <c r="I6344" s="827"/>
    </row>
    <row r="6345" spans="3:11" ht="25.8" customHeight="1">
      <c r="C6345" s="566" t="s">
        <v>1221</v>
      </c>
      <c r="D6345" s="552" t="s">
        <v>1222</v>
      </c>
      <c r="E6345" s="553"/>
      <c r="F6345" s="553"/>
      <c r="G6345" s="554"/>
      <c r="H6345" s="828">
        <f>SUM(H6343:H6344)</f>
        <v>233791.8</v>
      </c>
      <c r="I6345" s="827"/>
    </row>
    <row r="6346" spans="3:11" ht="25.8" customHeight="1"/>
    <row r="6347" spans="3:11" ht="25.8" customHeight="1"/>
    <row r="6348" spans="3:11" ht="25.8" customHeight="1">
      <c r="C6348" s="513" t="s">
        <v>5918</v>
      </c>
      <c r="D6348" s="817" t="s">
        <v>5919</v>
      </c>
      <c r="E6348" s="803"/>
      <c r="F6348" s="803"/>
      <c r="G6348" s="803"/>
      <c r="H6348" s="803"/>
      <c r="I6348" s="533">
        <f>ROUNDDOWN(H6365,-2)</f>
        <v>272700</v>
      </c>
      <c r="J6348" s="536"/>
      <c r="K6348" s="824"/>
    </row>
    <row r="6349" spans="3:11" ht="25.8" customHeight="1">
      <c r="C6349" s="716" t="s">
        <v>1195</v>
      </c>
      <c r="D6349" s="716" t="s">
        <v>1196</v>
      </c>
      <c r="E6349" s="716" t="s">
        <v>1197</v>
      </c>
      <c r="F6349" s="716" t="s">
        <v>1198</v>
      </c>
      <c r="G6349" s="716" t="s">
        <v>1199</v>
      </c>
      <c r="H6349" s="716" t="s">
        <v>1200</v>
      </c>
    </row>
    <row r="6350" spans="3:11" ht="25.8" customHeight="1">
      <c r="C6350" s="213" t="s">
        <v>1201</v>
      </c>
      <c r="D6350" s="212" t="s">
        <v>1202</v>
      </c>
      <c r="E6350" s="534"/>
      <c r="F6350" s="534"/>
      <c r="G6350" s="534"/>
      <c r="H6350" s="534"/>
    </row>
    <row r="6351" spans="3:11" ht="25.8" customHeight="1">
      <c r="C6351" s="818">
        <v>1</v>
      </c>
      <c r="D6351" s="212" t="s">
        <v>5</v>
      </c>
      <c r="E6351" s="212" t="s">
        <v>6</v>
      </c>
      <c r="F6351" s="538">
        <v>0.19</v>
      </c>
      <c r="G6351" s="539">
        <f>VLOOKUP(D6351,upahbahan,3,FALSE)</f>
        <v>100000</v>
      </c>
      <c r="H6351" s="539">
        <f t="shared" ref="H6351:H6354" si="645">F6351*G6351</f>
        <v>19000</v>
      </c>
    </row>
    <row r="6352" spans="3:11" ht="25.8" customHeight="1">
      <c r="C6352" s="818">
        <v>2</v>
      </c>
      <c r="D6352" s="212" t="s">
        <v>3295</v>
      </c>
      <c r="E6352" s="212" t="s">
        <v>6</v>
      </c>
      <c r="F6352" s="538">
        <v>0.318</v>
      </c>
      <c r="G6352" s="539">
        <f>VLOOKUP(D6352,upahbahan,3,FALSE)</f>
        <v>135000</v>
      </c>
      <c r="H6352" s="539">
        <f t="shared" si="645"/>
        <v>42930</v>
      </c>
    </row>
    <row r="6353" spans="3:11" ht="25.8" customHeight="1">
      <c r="C6353" s="818">
        <v>3</v>
      </c>
      <c r="D6353" s="212" t="s">
        <v>18</v>
      </c>
      <c r="E6353" s="212" t="s">
        <v>6</v>
      </c>
      <c r="F6353" s="538">
        <v>3.2000000000000001E-2</v>
      </c>
      <c r="G6353" s="539">
        <f>VLOOKUP(D6353,upahbahan,3,FALSE)</f>
        <v>150000</v>
      </c>
      <c r="H6353" s="539">
        <f t="shared" si="645"/>
        <v>4800</v>
      </c>
    </row>
    <row r="6354" spans="3:11" ht="25.8" customHeight="1">
      <c r="C6354" s="818">
        <v>4</v>
      </c>
      <c r="D6354" s="212" t="s">
        <v>19</v>
      </c>
      <c r="E6354" s="212" t="s">
        <v>6</v>
      </c>
      <c r="F6354" s="538">
        <v>1.0999999999999999E-2</v>
      </c>
      <c r="G6354" s="539">
        <f>VLOOKUP(D6354,upahbahan,3,FALSE)</f>
        <v>160000</v>
      </c>
      <c r="H6354" s="539">
        <f t="shared" si="645"/>
        <v>1760</v>
      </c>
    </row>
    <row r="6355" spans="3:11" ht="25.8" customHeight="1">
      <c r="C6355" s="702" t="s">
        <v>1208</v>
      </c>
      <c r="D6355" s="208"/>
      <c r="E6355" s="208"/>
      <c r="F6355" s="811"/>
      <c r="G6355" s="522"/>
      <c r="H6355" s="539">
        <f>SUM(H6351:H6354)</f>
        <v>68490</v>
      </c>
      <c r="I6355" s="819"/>
    </row>
    <row r="6356" spans="3:11" ht="25.8" customHeight="1">
      <c r="C6356" s="213" t="s">
        <v>1209</v>
      </c>
      <c r="D6356" s="212" t="s">
        <v>1210</v>
      </c>
      <c r="E6356" s="534"/>
      <c r="F6356" s="831"/>
      <c r="G6356" s="534"/>
      <c r="H6356" s="534"/>
    </row>
    <row r="6357" spans="3:11" ht="25.8" customHeight="1">
      <c r="C6357" s="213">
        <v>1</v>
      </c>
      <c r="D6357" s="212" t="s">
        <v>889</v>
      </c>
      <c r="E6357" s="234" t="s">
        <v>1300</v>
      </c>
      <c r="F6357" s="866">
        <v>11</v>
      </c>
      <c r="G6357" s="539">
        <f>VLOOKUP(D6357,upahbahan,3,FALSE)</f>
        <v>16110</v>
      </c>
      <c r="H6357" s="539">
        <f t="shared" ref="H6357:H6359" si="646">F6357*G6357</f>
        <v>177210</v>
      </c>
    </row>
    <row r="6358" spans="3:11" ht="25.8" customHeight="1">
      <c r="C6358" s="213">
        <v>2</v>
      </c>
      <c r="D6358" s="212" t="s">
        <v>3538</v>
      </c>
      <c r="E6358" s="234" t="s">
        <v>5815</v>
      </c>
      <c r="F6358" s="866">
        <v>0.5</v>
      </c>
      <c r="G6358" s="539">
        <f>VLOOKUP(D6358,upahbahan,3,FALSE)</f>
        <v>1080</v>
      </c>
      <c r="H6358" s="539">
        <f t="shared" si="646"/>
        <v>540</v>
      </c>
    </row>
    <row r="6359" spans="3:11" ht="25.8" customHeight="1">
      <c r="C6359" s="213">
        <v>3</v>
      </c>
      <c r="D6359" s="212" t="s">
        <v>3539</v>
      </c>
      <c r="E6359" s="234" t="s">
        <v>2167</v>
      </c>
      <c r="F6359" s="866">
        <v>3</v>
      </c>
      <c r="G6359" s="539">
        <f>VLOOKUP(D6359,upahbahan,3,FALSE)</f>
        <v>580</v>
      </c>
      <c r="H6359" s="539">
        <f t="shared" si="646"/>
        <v>1740</v>
      </c>
    </row>
    <row r="6360" spans="3:11" ht="25.8" customHeight="1">
      <c r="C6360" s="702" t="s">
        <v>1214</v>
      </c>
      <c r="D6360" s="208"/>
      <c r="E6360" s="208"/>
      <c r="F6360" s="208"/>
      <c r="G6360" s="209"/>
      <c r="H6360" s="539">
        <f>SUM(H6357:H6359)</f>
        <v>179490</v>
      </c>
    </row>
    <row r="6361" spans="3:11" ht="25.8" customHeight="1">
      <c r="C6361" s="213" t="s">
        <v>1215</v>
      </c>
      <c r="D6361" s="212" t="s">
        <v>1216</v>
      </c>
      <c r="E6361" s="534"/>
      <c r="F6361" s="534"/>
      <c r="G6361" s="534"/>
      <c r="H6361" s="534"/>
    </row>
    <row r="6362" spans="3:11" ht="25.8" customHeight="1">
      <c r="C6362" s="702" t="s">
        <v>1217</v>
      </c>
      <c r="D6362" s="815"/>
      <c r="E6362" s="815"/>
      <c r="F6362" s="815"/>
      <c r="G6362" s="209"/>
      <c r="H6362" s="821">
        <f>SUM(H6361)</f>
        <v>0</v>
      </c>
    </row>
    <row r="6363" spans="3:11" ht="25.8" customHeight="1">
      <c r="C6363" s="566" t="s">
        <v>1218</v>
      </c>
      <c r="D6363" s="552" t="s">
        <v>1219</v>
      </c>
      <c r="E6363" s="553"/>
      <c r="F6363" s="553"/>
      <c r="G6363" s="554"/>
      <c r="H6363" s="826">
        <f>H6362+H6360+H6355</f>
        <v>247980</v>
      </c>
      <c r="I6363" s="827"/>
    </row>
    <row r="6364" spans="3:11" ht="25.8" customHeight="1">
      <c r="C6364" s="566" t="s">
        <v>1220</v>
      </c>
      <c r="D6364" s="552" t="s">
        <v>1321</v>
      </c>
      <c r="E6364" s="553"/>
      <c r="F6364" s="554"/>
      <c r="G6364" s="555">
        <f>$M$9</f>
        <v>0.1</v>
      </c>
      <c r="H6364" s="539">
        <f>H6363*G6364</f>
        <v>24798</v>
      </c>
      <c r="I6364" s="827"/>
    </row>
    <row r="6365" spans="3:11" ht="25.8" customHeight="1">
      <c r="C6365" s="566" t="s">
        <v>1221</v>
      </c>
      <c r="D6365" s="552" t="s">
        <v>1222</v>
      </c>
      <c r="E6365" s="553"/>
      <c r="F6365" s="553"/>
      <c r="G6365" s="554"/>
      <c r="H6365" s="828">
        <f>SUM(H6363:H6364)</f>
        <v>272778</v>
      </c>
      <c r="I6365" s="827"/>
    </row>
    <row r="6366" spans="3:11" ht="25.8" customHeight="1"/>
    <row r="6367" spans="3:11" ht="25.8" customHeight="1"/>
    <row r="6368" spans="3:11" ht="25.8" customHeight="1">
      <c r="C6368" s="513" t="s">
        <v>5920</v>
      </c>
      <c r="D6368" s="817" t="s">
        <v>5921</v>
      </c>
      <c r="E6368" s="803"/>
      <c r="F6368" s="803"/>
      <c r="G6368" s="803"/>
      <c r="H6368" s="803"/>
      <c r="I6368" s="533">
        <f>ROUNDDOWN(H6385,-2)</f>
        <v>1741600</v>
      </c>
      <c r="J6368" s="536"/>
      <c r="K6368" s="824"/>
    </row>
    <row r="6369" spans="3:9" ht="25.8" customHeight="1">
      <c r="C6369" s="716" t="s">
        <v>1195</v>
      </c>
      <c r="D6369" s="716" t="s">
        <v>1196</v>
      </c>
      <c r="E6369" s="716" t="s">
        <v>1197</v>
      </c>
      <c r="F6369" s="716" t="s">
        <v>1198</v>
      </c>
      <c r="G6369" s="716" t="s">
        <v>1199</v>
      </c>
      <c r="H6369" s="716" t="s">
        <v>1200</v>
      </c>
    </row>
    <row r="6370" spans="3:9" ht="25.8" customHeight="1">
      <c r="C6370" s="213" t="s">
        <v>1201</v>
      </c>
      <c r="D6370" s="212" t="s">
        <v>1202</v>
      </c>
      <c r="E6370" s="534"/>
      <c r="F6370" s="534"/>
      <c r="G6370" s="534"/>
      <c r="H6370" s="534"/>
    </row>
    <row r="6371" spans="3:9" ht="25.8" customHeight="1">
      <c r="C6371" s="818">
        <v>1</v>
      </c>
      <c r="D6371" s="212" t="s">
        <v>5</v>
      </c>
      <c r="E6371" s="212" t="s">
        <v>6</v>
      </c>
      <c r="F6371" s="538">
        <v>0.6</v>
      </c>
      <c r="G6371" s="539">
        <f>VLOOKUP(D6371,upahbahan,3,FALSE)</f>
        <v>100000</v>
      </c>
      <c r="H6371" s="539">
        <f t="shared" ref="H6371:H6374" si="647">F6371*G6371</f>
        <v>60000</v>
      </c>
    </row>
    <row r="6372" spans="3:9" ht="25.8" customHeight="1">
      <c r="C6372" s="818">
        <v>2</v>
      </c>
      <c r="D6372" s="212" t="s">
        <v>3295</v>
      </c>
      <c r="E6372" s="212" t="s">
        <v>6</v>
      </c>
      <c r="F6372" s="538">
        <v>1.002</v>
      </c>
      <c r="G6372" s="539">
        <f>VLOOKUP(D6372,upahbahan,3,FALSE)</f>
        <v>135000</v>
      </c>
      <c r="H6372" s="539">
        <f t="shared" si="647"/>
        <v>135270</v>
      </c>
    </row>
    <row r="6373" spans="3:9" ht="25.8" customHeight="1">
      <c r="C6373" s="818">
        <v>3</v>
      </c>
      <c r="D6373" s="212" t="s">
        <v>18</v>
      </c>
      <c r="E6373" s="212" t="s">
        <v>6</v>
      </c>
      <c r="F6373" s="538">
        <v>0.1</v>
      </c>
      <c r="G6373" s="539">
        <f>VLOOKUP(D6373,upahbahan,3,FALSE)</f>
        <v>150000</v>
      </c>
      <c r="H6373" s="539">
        <f t="shared" si="647"/>
        <v>15000</v>
      </c>
    </row>
    <row r="6374" spans="3:9" ht="25.8" customHeight="1">
      <c r="C6374" s="818">
        <v>4</v>
      </c>
      <c r="D6374" s="212" t="s">
        <v>19</v>
      </c>
      <c r="E6374" s="212" t="s">
        <v>6</v>
      </c>
      <c r="F6374" s="538">
        <v>3.3000000000000002E-2</v>
      </c>
      <c r="G6374" s="539">
        <f>VLOOKUP(D6374,upahbahan,3,FALSE)</f>
        <v>160000</v>
      </c>
      <c r="H6374" s="539">
        <f t="shared" si="647"/>
        <v>5280</v>
      </c>
    </row>
    <row r="6375" spans="3:9" ht="25.8" customHeight="1">
      <c r="C6375" s="702" t="s">
        <v>1208</v>
      </c>
      <c r="D6375" s="208"/>
      <c r="E6375" s="208"/>
      <c r="F6375" s="811"/>
      <c r="G6375" s="522"/>
      <c r="H6375" s="539">
        <f>SUM(H6371:H6374)</f>
        <v>215550</v>
      </c>
      <c r="I6375" s="819"/>
    </row>
    <row r="6376" spans="3:9" ht="25.8" customHeight="1">
      <c r="C6376" s="213" t="s">
        <v>1209</v>
      </c>
      <c r="D6376" s="212" t="s">
        <v>1210</v>
      </c>
      <c r="E6376" s="534"/>
      <c r="F6376" s="831"/>
      <c r="G6376" s="534"/>
      <c r="H6376" s="534"/>
    </row>
    <row r="6377" spans="3:9" ht="25.8" customHeight="1">
      <c r="C6377" s="213">
        <v>1</v>
      </c>
      <c r="D6377" s="212" t="s">
        <v>5922</v>
      </c>
      <c r="E6377" s="234" t="s">
        <v>2167</v>
      </c>
      <c r="F6377" s="866">
        <v>1.1000000000000001</v>
      </c>
      <c r="G6377" s="539">
        <f>VLOOKUP(D6377,upahbahan,3,FALSE)</f>
        <v>375000</v>
      </c>
      <c r="H6377" s="539">
        <f t="shared" ref="H6377:H6378" si="648">F6377*G6377</f>
        <v>412500.00000000006</v>
      </c>
    </row>
    <row r="6378" spans="3:9" ht="25.8" customHeight="1">
      <c r="C6378" s="213">
        <v>2</v>
      </c>
      <c r="D6378" s="212" t="s">
        <v>5923</v>
      </c>
      <c r="E6378" s="234" t="s">
        <v>2167</v>
      </c>
      <c r="F6378" s="866">
        <v>1</v>
      </c>
      <c r="G6378" s="539">
        <f>VLOOKUP(D6378,upahbahan,3,FALSE)</f>
        <v>11500</v>
      </c>
      <c r="H6378" s="539">
        <f t="shared" si="648"/>
        <v>11500</v>
      </c>
    </row>
    <row r="6379" spans="3:9" ht="25.8" customHeight="1">
      <c r="C6379" s="702" t="s">
        <v>1214</v>
      </c>
      <c r="D6379" s="208"/>
      <c r="E6379" s="208"/>
      <c r="F6379" s="208"/>
      <c r="G6379" s="209"/>
      <c r="H6379" s="539">
        <f>SUM(H6377:H6378)</f>
        <v>424000.00000000006</v>
      </c>
    </row>
    <row r="6380" spans="3:9" ht="25.8" customHeight="1">
      <c r="C6380" s="213" t="s">
        <v>1215</v>
      </c>
      <c r="D6380" s="212" t="s">
        <v>1216</v>
      </c>
      <c r="E6380" s="534"/>
      <c r="F6380" s="534"/>
      <c r="G6380" s="534"/>
      <c r="H6380" s="534"/>
    </row>
    <row r="6381" spans="3:9" ht="25.8" customHeight="1">
      <c r="C6381" s="213">
        <v>1</v>
      </c>
      <c r="D6381" s="212" t="s">
        <v>5924</v>
      </c>
      <c r="E6381" s="234" t="s">
        <v>1974</v>
      </c>
      <c r="F6381" s="866">
        <v>0.28599999999999998</v>
      </c>
      <c r="G6381" s="539">
        <f>VLOOKUP(D6381,upahbahan,3,FALSE)</f>
        <v>3300000</v>
      </c>
      <c r="H6381" s="539">
        <f t="shared" ref="H6381" si="649">F6381*G6381</f>
        <v>943799.99999999988</v>
      </c>
    </row>
    <row r="6382" spans="3:9" ht="25.8" customHeight="1">
      <c r="C6382" s="702" t="s">
        <v>1217</v>
      </c>
      <c r="D6382" s="815"/>
      <c r="E6382" s="815"/>
      <c r="F6382" s="815"/>
      <c r="G6382" s="209"/>
      <c r="H6382" s="821">
        <f>SUM(H6380:H6381)</f>
        <v>943799.99999999988</v>
      </c>
    </row>
    <row r="6383" spans="3:9" ht="25.8" customHeight="1">
      <c r="C6383" s="566" t="s">
        <v>1218</v>
      </c>
      <c r="D6383" s="552" t="s">
        <v>1219</v>
      </c>
      <c r="E6383" s="553"/>
      <c r="F6383" s="553"/>
      <c r="G6383" s="554"/>
      <c r="H6383" s="826">
        <f>H6382+H6379+H6375</f>
        <v>1583350</v>
      </c>
      <c r="I6383" s="827"/>
    </row>
    <row r="6384" spans="3:9" ht="25.8" customHeight="1">
      <c r="C6384" s="566" t="s">
        <v>1220</v>
      </c>
      <c r="D6384" s="552" t="s">
        <v>1321</v>
      </c>
      <c r="E6384" s="553"/>
      <c r="F6384" s="554"/>
      <c r="G6384" s="555">
        <f>$M$9</f>
        <v>0.1</v>
      </c>
      <c r="H6384" s="539">
        <f>H6383*G6384</f>
        <v>158335</v>
      </c>
      <c r="I6384" s="827"/>
    </row>
    <row r="6385" spans="3:11" ht="25.8" customHeight="1">
      <c r="C6385" s="566" t="s">
        <v>1221</v>
      </c>
      <c r="D6385" s="552" t="s">
        <v>1222</v>
      </c>
      <c r="E6385" s="553"/>
      <c r="F6385" s="553"/>
      <c r="G6385" s="554"/>
      <c r="H6385" s="828">
        <f>SUM(H6383:H6384)</f>
        <v>1741685</v>
      </c>
      <c r="I6385" s="827"/>
    </row>
    <row r="6386" spans="3:11" ht="25.8" customHeight="1"/>
    <row r="6387" spans="3:11" ht="25.8" customHeight="1">
      <c r="C6387" s="513" t="s">
        <v>5925</v>
      </c>
      <c r="D6387" s="817" t="s">
        <v>5926</v>
      </c>
      <c r="E6387" s="803"/>
      <c r="F6387" s="803"/>
      <c r="G6387" s="803"/>
      <c r="H6387" s="803"/>
      <c r="I6387" s="533">
        <f>ROUNDDOWN(H6402,-2)</f>
        <v>205700</v>
      </c>
      <c r="J6387" s="536"/>
      <c r="K6387" s="824"/>
    </row>
    <row r="6388" spans="3:11" ht="25.8" customHeight="1">
      <c r="C6388" s="716" t="s">
        <v>1195</v>
      </c>
      <c r="D6388" s="716" t="s">
        <v>1196</v>
      </c>
      <c r="E6388" s="716" t="s">
        <v>1197</v>
      </c>
      <c r="F6388" s="716" t="s">
        <v>1198</v>
      </c>
      <c r="G6388" s="716" t="s">
        <v>1199</v>
      </c>
      <c r="H6388" s="716" t="s">
        <v>1200</v>
      </c>
    </row>
    <row r="6389" spans="3:11" ht="25.8" customHeight="1">
      <c r="C6389" s="213" t="s">
        <v>1201</v>
      </c>
      <c r="D6389" s="212" t="s">
        <v>1202</v>
      </c>
      <c r="E6389" s="534"/>
      <c r="F6389" s="534"/>
      <c r="G6389" s="534"/>
      <c r="H6389" s="534"/>
    </row>
    <row r="6390" spans="3:11" ht="25.8" customHeight="1">
      <c r="C6390" s="818">
        <v>1</v>
      </c>
      <c r="D6390" s="212" t="s">
        <v>5</v>
      </c>
      <c r="E6390" s="212" t="s">
        <v>6</v>
      </c>
      <c r="F6390" s="538">
        <v>8.5999999999999993E-2</v>
      </c>
      <c r="G6390" s="539">
        <f>VLOOKUP(D6390,upahbahan,3,FALSE)</f>
        <v>100000</v>
      </c>
      <c r="H6390" s="539">
        <f t="shared" ref="H6390:H6393" si="650">F6390*G6390</f>
        <v>8600</v>
      </c>
    </row>
    <row r="6391" spans="3:11" ht="25.8" customHeight="1">
      <c r="C6391" s="818">
        <v>2</v>
      </c>
      <c r="D6391" s="212" t="s">
        <v>3295</v>
      </c>
      <c r="E6391" s="212" t="s">
        <v>6</v>
      </c>
      <c r="F6391" s="538">
        <v>0.14299999999999999</v>
      </c>
      <c r="G6391" s="539">
        <f>VLOOKUP(D6391,upahbahan,3,FALSE)</f>
        <v>135000</v>
      </c>
      <c r="H6391" s="539">
        <f t="shared" si="650"/>
        <v>19305</v>
      </c>
    </row>
    <row r="6392" spans="3:11" ht="25.8" customHeight="1">
      <c r="C6392" s="818">
        <v>3</v>
      </c>
      <c r="D6392" s="212" t="s">
        <v>18</v>
      </c>
      <c r="E6392" s="212" t="s">
        <v>6</v>
      </c>
      <c r="F6392" s="538">
        <v>1.4E-2</v>
      </c>
      <c r="G6392" s="539">
        <f>VLOOKUP(D6392,upahbahan,3,FALSE)</f>
        <v>150000</v>
      </c>
      <c r="H6392" s="539">
        <f t="shared" si="650"/>
        <v>2100</v>
      </c>
    </row>
    <row r="6393" spans="3:11" ht="25.8" customHeight="1">
      <c r="C6393" s="818">
        <v>4</v>
      </c>
      <c r="D6393" s="212" t="s">
        <v>19</v>
      </c>
      <c r="E6393" s="212" t="s">
        <v>6</v>
      </c>
      <c r="F6393" s="538">
        <v>5.0000000000000001E-3</v>
      </c>
      <c r="G6393" s="539">
        <f>VLOOKUP(D6393,upahbahan,3,FALSE)</f>
        <v>160000</v>
      </c>
      <c r="H6393" s="539">
        <f t="shared" si="650"/>
        <v>800</v>
      </c>
    </row>
    <row r="6394" spans="3:11" ht="25.8" customHeight="1">
      <c r="C6394" s="702" t="s">
        <v>1208</v>
      </c>
      <c r="D6394" s="208"/>
      <c r="E6394" s="208"/>
      <c r="F6394" s="811"/>
      <c r="G6394" s="522"/>
      <c r="H6394" s="539">
        <f>SUM(H6390:H6393)</f>
        <v>30805</v>
      </c>
      <c r="I6394" s="819"/>
    </row>
    <row r="6395" spans="3:11" ht="25.8" customHeight="1">
      <c r="C6395" s="213" t="s">
        <v>1209</v>
      </c>
      <c r="D6395" s="212" t="s">
        <v>1210</v>
      </c>
      <c r="E6395" s="534"/>
      <c r="F6395" s="831"/>
      <c r="G6395" s="534"/>
      <c r="H6395" s="534"/>
    </row>
    <row r="6396" spans="3:11" ht="25.8" customHeight="1">
      <c r="C6396" s="213">
        <v>1</v>
      </c>
      <c r="D6396" s="212" t="s">
        <v>5927</v>
      </c>
      <c r="E6396" s="234" t="s">
        <v>2167</v>
      </c>
      <c r="F6396" s="866">
        <v>1.1000000000000001</v>
      </c>
      <c r="G6396" s="539">
        <f>VLOOKUP(D6396,upahbahan,3,FALSE)</f>
        <v>142000</v>
      </c>
      <c r="H6396" s="539">
        <f t="shared" ref="H6396" si="651">F6396*G6396</f>
        <v>156200</v>
      </c>
    </row>
    <row r="6397" spans="3:11" ht="25.8" customHeight="1">
      <c r="C6397" s="702" t="s">
        <v>1214</v>
      </c>
      <c r="D6397" s="208"/>
      <c r="E6397" s="208"/>
      <c r="F6397" s="208"/>
      <c r="G6397" s="209"/>
      <c r="H6397" s="539">
        <f>SUM(H6396:H6396)</f>
        <v>156200</v>
      </c>
    </row>
    <row r="6398" spans="3:11" ht="25.8" customHeight="1">
      <c r="C6398" s="213" t="s">
        <v>1215</v>
      </c>
      <c r="D6398" s="212" t="s">
        <v>1216</v>
      </c>
      <c r="E6398" s="534"/>
      <c r="F6398" s="534"/>
      <c r="G6398" s="534"/>
      <c r="H6398" s="534"/>
    </row>
    <row r="6399" spans="3:11" ht="25.8" customHeight="1">
      <c r="C6399" s="702" t="s">
        <v>1217</v>
      </c>
      <c r="D6399" s="815"/>
      <c r="E6399" s="815"/>
      <c r="F6399" s="815"/>
      <c r="G6399" s="209"/>
      <c r="H6399" s="821">
        <f>SUM(H6398:H6398)</f>
        <v>0</v>
      </c>
    </row>
    <row r="6400" spans="3:11" ht="25.8" customHeight="1">
      <c r="C6400" s="566" t="s">
        <v>1218</v>
      </c>
      <c r="D6400" s="552" t="s">
        <v>1219</v>
      </c>
      <c r="E6400" s="553"/>
      <c r="F6400" s="553"/>
      <c r="G6400" s="554"/>
      <c r="H6400" s="826">
        <f>H6399+H6397+H6394</f>
        <v>187005</v>
      </c>
      <c r="I6400" s="827"/>
    </row>
    <row r="6401" spans="3:11" ht="25.8" customHeight="1">
      <c r="C6401" s="566" t="s">
        <v>1220</v>
      </c>
      <c r="D6401" s="552" t="s">
        <v>1321</v>
      </c>
      <c r="E6401" s="553"/>
      <c r="F6401" s="554"/>
      <c r="G6401" s="555">
        <f>$M$9</f>
        <v>0.1</v>
      </c>
      <c r="H6401" s="539">
        <f>H6400*G6401</f>
        <v>18700.5</v>
      </c>
      <c r="I6401" s="827"/>
    </row>
    <row r="6402" spans="3:11" ht="25.8" customHeight="1">
      <c r="C6402" s="566" t="s">
        <v>1221</v>
      </c>
      <c r="D6402" s="552" t="s">
        <v>1222</v>
      </c>
      <c r="E6402" s="553"/>
      <c r="F6402" s="553"/>
      <c r="G6402" s="554"/>
      <c r="H6402" s="828">
        <f>SUM(H6400:H6401)</f>
        <v>205705.5</v>
      </c>
      <c r="I6402" s="827"/>
    </row>
    <row r="6403" spans="3:11" ht="25.8" customHeight="1"/>
    <row r="6404" spans="3:11" ht="25.8" customHeight="1"/>
    <row r="6405" spans="3:11" ht="25.8" customHeight="1">
      <c r="C6405" s="513" t="s">
        <v>5928</v>
      </c>
      <c r="D6405" s="817" t="s">
        <v>5929</v>
      </c>
      <c r="E6405" s="803"/>
      <c r="F6405" s="803"/>
      <c r="G6405" s="803"/>
      <c r="H6405" s="803"/>
      <c r="I6405" s="533">
        <f>ROUNDDOWN(H6418,-2)</f>
        <v>139700</v>
      </c>
      <c r="J6405" s="536"/>
      <c r="K6405" s="824"/>
    </row>
    <row r="6406" spans="3:11" ht="25.8" customHeight="1">
      <c r="C6406" s="716" t="s">
        <v>1195</v>
      </c>
      <c r="D6406" s="716" t="s">
        <v>1196</v>
      </c>
      <c r="E6406" s="716" t="s">
        <v>1197</v>
      </c>
      <c r="F6406" s="716" t="s">
        <v>1198</v>
      </c>
      <c r="G6406" s="716" t="s">
        <v>1199</v>
      </c>
      <c r="H6406" s="716" t="s">
        <v>1200</v>
      </c>
    </row>
    <row r="6407" spans="3:11" ht="25.8" customHeight="1">
      <c r="C6407" s="213" t="s">
        <v>1201</v>
      </c>
      <c r="D6407" s="212" t="s">
        <v>1202</v>
      </c>
      <c r="E6407" s="534"/>
      <c r="F6407" s="534"/>
      <c r="G6407" s="534"/>
      <c r="H6407" s="534"/>
    </row>
    <row r="6408" spans="3:11" ht="25.8" customHeight="1">
      <c r="C6408" s="818">
        <v>1</v>
      </c>
      <c r="D6408" s="212" t="s">
        <v>5</v>
      </c>
      <c r="E6408" s="212" t="s">
        <v>6</v>
      </c>
      <c r="F6408" s="538">
        <v>0.76900000000000002</v>
      </c>
      <c r="G6408" s="539">
        <f>VLOOKUP(D6408,upahbahan,3,FALSE)</f>
        <v>100000</v>
      </c>
      <c r="H6408" s="539">
        <f t="shared" ref="H6408:H6410" si="652">F6408*G6408</f>
        <v>76900</v>
      </c>
    </row>
    <row r="6409" spans="3:11" ht="25.8" customHeight="1">
      <c r="C6409" s="818">
        <v>2</v>
      </c>
      <c r="D6409" s="212" t="s">
        <v>2492</v>
      </c>
      <c r="E6409" s="212" t="s">
        <v>6</v>
      </c>
      <c r="F6409" s="538">
        <v>0.23100000000000001</v>
      </c>
      <c r="G6409" s="539">
        <f>VLOOKUP(D6409,upahbahan,3,FALSE)</f>
        <v>145000</v>
      </c>
      <c r="H6409" s="539">
        <f t="shared" si="652"/>
        <v>33495</v>
      </c>
    </row>
    <row r="6410" spans="3:11" ht="25.8" customHeight="1">
      <c r="C6410" s="818">
        <v>3</v>
      </c>
      <c r="D6410" s="212" t="s">
        <v>5930</v>
      </c>
      <c r="E6410" s="212" t="s">
        <v>6</v>
      </c>
      <c r="F6410" s="538">
        <v>0.115</v>
      </c>
      <c r="G6410" s="539">
        <f>VLOOKUP(D6410,upahbahan,3,FALSE)</f>
        <v>145000</v>
      </c>
      <c r="H6410" s="539">
        <f t="shared" si="652"/>
        <v>16675</v>
      </c>
    </row>
    <row r="6411" spans="3:11" ht="25.8" customHeight="1">
      <c r="C6411" s="702" t="s">
        <v>1208</v>
      </c>
      <c r="D6411" s="208"/>
      <c r="E6411" s="208"/>
      <c r="F6411" s="811"/>
      <c r="G6411" s="522"/>
      <c r="H6411" s="539">
        <f>SUM(H6408:H6410)</f>
        <v>127070</v>
      </c>
      <c r="I6411" s="819"/>
    </row>
    <row r="6412" spans="3:11" ht="25.8" customHeight="1">
      <c r="C6412" s="213" t="s">
        <v>1209</v>
      </c>
      <c r="D6412" s="212" t="s">
        <v>1210</v>
      </c>
      <c r="E6412" s="534"/>
      <c r="F6412" s="831"/>
      <c r="G6412" s="534"/>
      <c r="H6412" s="534"/>
    </row>
    <row r="6413" spans="3:11" ht="25.8" customHeight="1">
      <c r="C6413" s="702" t="s">
        <v>1214</v>
      </c>
      <c r="D6413" s="208"/>
      <c r="E6413" s="208"/>
      <c r="F6413" s="208"/>
      <c r="G6413" s="209"/>
      <c r="H6413" s="539">
        <f>SUM(H6412)</f>
        <v>0</v>
      </c>
    </row>
    <row r="6414" spans="3:11" ht="25.8" customHeight="1">
      <c r="C6414" s="213" t="s">
        <v>1215</v>
      </c>
      <c r="D6414" s="212" t="s">
        <v>1216</v>
      </c>
      <c r="E6414" s="534"/>
      <c r="F6414" s="534"/>
      <c r="G6414" s="534"/>
      <c r="H6414" s="534"/>
    </row>
    <row r="6415" spans="3:11" ht="25.8" customHeight="1">
      <c r="C6415" s="702" t="s">
        <v>1217</v>
      </c>
      <c r="D6415" s="815"/>
      <c r="E6415" s="815"/>
      <c r="F6415" s="815"/>
      <c r="G6415" s="209"/>
      <c r="H6415" s="821">
        <f>SUM(H6414:H6414)</f>
        <v>0</v>
      </c>
    </row>
    <row r="6416" spans="3:11" ht="25.8" customHeight="1">
      <c r="C6416" s="566" t="s">
        <v>1218</v>
      </c>
      <c r="D6416" s="552" t="s">
        <v>1219</v>
      </c>
      <c r="E6416" s="553"/>
      <c r="F6416" s="553"/>
      <c r="G6416" s="554"/>
      <c r="H6416" s="826">
        <f>H6415+H6413+H6411</f>
        <v>127070</v>
      </c>
      <c r="I6416" s="827"/>
    </row>
    <row r="6417" spans="3:11" ht="25.8" customHeight="1">
      <c r="C6417" s="566" t="s">
        <v>1220</v>
      </c>
      <c r="D6417" s="552" t="s">
        <v>1321</v>
      </c>
      <c r="E6417" s="553"/>
      <c r="F6417" s="554"/>
      <c r="G6417" s="555">
        <f>$M$9</f>
        <v>0.1</v>
      </c>
      <c r="H6417" s="539">
        <f>H6416*G6417</f>
        <v>12707</v>
      </c>
      <c r="I6417" s="827"/>
    </row>
    <row r="6418" spans="3:11" ht="25.8" customHeight="1">
      <c r="C6418" s="566" t="s">
        <v>1221</v>
      </c>
      <c r="D6418" s="552" t="s">
        <v>1222</v>
      </c>
      <c r="E6418" s="553"/>
      <c r="F6418" s="553"/>
      <c r="G6418" s="554"/>
      <c r="H6418" s="828">
        <f>SUM(H6416:H6417)</f>
        <v>139777</v>
      </c>
      <c r="I6418" s="827"/>
    </row>
    <row r="6419" spans="3:11" ht="25.8" customHeight="1"/>
    <row r="6420" spans="3:11" ht="25.8" customHeight="1">
      <c r="C6420" s="513" t="s">
        <v>5931</v>
      </c>
      <c r="D6420" s="817" t="s">
        <v>5932</v>
      </c>
      <c r="E6420" s="803"/>
      <c r="F6420" s="803"/>
      <c r="G6420" s="803"/>
      <c r="H6420" s="803"/>
      <c r="I6420" s="533">
        <f>ROUNDDOWN(H6436,-2)</f>
        <v>27600</v>
      </c>
      <c r="J6420" s="536"/>
      <c r="K6420" s="824"/>
    </row>
    <row r="6421" spans="3:11" ht="25.8" customHeight="1">
      <c r="C6421" s="716" t="s">
        <v>1195</v>
      </c>
      <c r="D6421" s="716" t="s">
        <v>1196</v>
      </c>
      <c r="E6421" s="716" t="s">
        <v>1197</v>
      </c>
      <c r="F6421" s="716" t="s">
        <v>1198</v>
      </c>
      <c r="G6421" s="716" t="s">
        <v>1199</v>
      </c>
      <c r="H6421" s="716" t="s">
        <v>1200</v>
      </c>
    </row>
    <row r="6422" spans="3:11" ht="25.8" customHeight="1">
      <c r="C6422" s="213" t="s">
        <v>1201</v>
      </c>
      <c r="D6422" s="212" t="s">
        <v>1202</v>
      </c>
      <c r="E6422" s="534"/>
      <c r="F6422" s="534"/>
      <c r="G6422" s="534"/>
      <c r="H6422" s="534"/>
    </row>
    <row r="6423" spans="3:11" ht="25.8" customHeight="1">
      <c r="C6423" s="818">
        <v>1</v>
      </c>
      <c r="D6423" s="212" t="s">
        <v>5</v>
      </c>
      <c r="E6423" s="212" t="s">
        <v>6</v>
      </c>
      <c r="F6423" s="538">
        <v>2.4E-2</v>
      </c>
      <c r="G6423" s="539">
        <f>VLOOKUP(D6423,upahbahan,3,FALSE)</f>
        <v>100000</v>
      </c>
      <c r="H6423" s="539">
        <f t="shared" ref="H6423:H6426" si="653">F6423*G6423</f>
        <v>2400</v>
      </c>
    </row>
    <row r="6424" spans="3:11" ht="25.8" customHeight="1">
      <c r="C6424" s="818">
        <v>2</v>
      </c>
      <c r="D6424" s="212" t="s">
        <v>17</v>
      </c>
      <c r="E6424" s="212" t="s">
        <v>6</v>
      </c>
      <c r="F6424" s="538">
        <v>0.04</v>
      </c>
      <c r="G6424" s="539">
        <f>VLOOKUP(D6424,upahbahan,3,FALSE)</f>
        <v>135000</v>
      </c>
      <c r="H6424" s="539">
        <f t="shared" si="653"/>
        <v>5400</v>
      </c>
    </row>
    <row r="6425" spans="3:11" ht="25.8" customHeight="1">
      <c r="C6425" s="818">
        <v>3</v>
      </c>
      <c r="D6425" s="212" t="s">
        <v>1310</v>
      </c>
      <c r="E6425" s="212" t="s">
        <v>6</v>
      </c>
      <c r="F6425" s="538">
        <v>4.0000000000000001E-3</v>
      </c>
      <c r="G6425" s="539">
        <f>VLOOKUP(D6425,upahbahan,3,FALSE)</f>
        <v>150000</v>
      </c>
      <c r="H6425" s="539">
        <f t="shared" si="653"/>
        <v>600</v>
      </c>
    </row>
    <row r="6426" spans="3:11" ht="25.8" customHeight="1">
      <c r="C6426" s="818">
        <v>4</v>
      </c>
      <c r="D6426" s="212" t="s">
        <v>19</v>
      </c>
      <c r="E6426" s="212" t="s">
        <v>6</v>
      </c>
      <c r="F6426" s="538">
        <v>1E-3</v>
      </c>
      <c r="G6426" s="539">
        <f>VLOOKUP(D6426,upahbahan,3,FALSE)</f>
        <v>160000</v>
      </c>
      <c r="H6426" s="539">
        <f t="shared" si="653"/>
        <v>160</v>
      </c>
    </row>
    <row r="6427" spans="3:11" ht="25.8" customHeight="1">
      <c r="C6427" s="702" t="s">
        <v>1208</v>
      </c>
      <c r="D6427" s="208"/>
      <c r="E6427" s="208"/>
      <c r="F6427" s="811"/>
      <c r="G6427" s="522"/>
      <c r="H6427" s="539">
        <f>SUM(H6423:H6426)</f>
        <v>8560</v>
      </c>
      <c r="I6427" s="819"/>
    </row>
    <row r="6428" spans="3:11" ht="25.8" customHeight="1">
      <c r="C6428" s="213" t="s">
        <v>1209</v>
      </c>
      <c r="D6428" s="212" t="s">
        <v>1210</v>
      </c>
      <c r="E6428" s="534"/>
      <c r="F6428" s="831"/>
      <c r="G6428" s="534"/>
      <c r="H6428" s="534"/>
    </row>
    <row r="6429" spans="3:11" ht="25.8" customHeight="1">
      <c r="C6429" s="818">
        <v>1</v>
      </c>
      <c r="D6429" s="212" t="s">
        <v>5933</v>
      </c>
      <c r="E6429" s="212" t="s">
        <v>1300</v>
      </c>
      <c r="F6429" s="538">
        <v>1.1000000000000001</v>
      </c>
      <c r="G6429" s="539">
        <f>VLOOKUP(D6429,upahbahan,3,FALSE)</f>
        <v>11300</v>
      </c>
      <c r="H6429" s="539">
        <f t="shared" ref="H6429:H6430" si="654">F6429*G6429</f>
        <v>12430.000000000002</v>
      </c>
    </row>
    <row r="6430" spans="3:11" ht="25.8" customHeight="1">
      <c r="C6430" s="818">
        <v>2</v>
      </c>
      <c r="D6430" s="212" t="s">
        <v>5934</v>
      </c>
      <c r="E6430" s="212" t="s">
        <v>1300</v>
      </c>
      <c r="F6430" s="538">
        <v>1.1000000000000001</v>
      </c>
      <c r="G6430" s="539">
        <f>VLOOKUP(D6430,upahbahan,3,FALSE)</f>
        <v>3800</v>
      </c>
      <c r="H6430" s="539">
        <f t="shared" si="654"/>
        <v>4180</v>
      </c>
    </row>
    <row r="6431" spans="3:11" ht="25.8" customHeight="1">
      <c r="C6431" s="702" t="s">
        <v>1214</v>
      </c>
      <c r="D6431" s="208"/>
      <c r="E6431" s="208"/>
      <c r="F6431" s="208"/>
      <c r="G6431" s="209"/>
      <c r="H6431" s="539">
        <f>SUM(H6428:H6430)</f>
        <v>16610</v>
      </c>
    </row>
    <row r="6432" spans="3:11" ht="25.8" customHeight="1">
      <c r="C6432" s="213" t="s">
        <v>1215</v>
      </c>
      <c r="D6432" s="212" t="s">
        <v>1216</v>
      </c>
      <c r="E6432" s="534"/>
      <c r="F6432" s="534"/>
      <c r="G6432" s="534"/>
      <c r="H6432" s="534"/>
    </row>
    <row r="6433" spans="3:11" ht="25.8" customHeight="1">
      <c r="C6433" s="702" t="s">
        <v>1217</v>
      </c>
      <c r="D6433" s="815"/>
      <c r="E6433" s="815"/>
      <c r="F6433" s="815"/>
      <c r="G6433" s="209"/>
      <c r="H6433" s="821">
        <f>SUM(H6432:H6432)</f>
        <v>0</v>
      </c>
    </row>
    <row r="6434" spans="3:11" ht="25.8" customHeight="1">
      <c r="C6434" s="566" t="s">
        <v>1218</v>
      </c>
      <c r="D6434" s="552" t="s">
        <v>1219</v>
      </c>
      <c r="E6434" s="553"/>
      <c r="F6434" s="553"/>
      <c r="G6434" s="554"/>
      <c r="H6434" s="826">
        <f>H6433+H6431+H6427</f>
        <v>25170</v>
      </c>
      <c r="I6434" s="827"/>
    </row>
    <row r="6435" spans="3:11" ht="25.8" customHeight="1">
      <c r="C6435" s="566" t="s">
        <v>1220</v>
      </c>
      <c r="D6435" s="552" t="s">
        <v>1321</v>
      </c>
      <c r="E6435" s="553"/>
      <c r="F6435" s="554"/>
      <c r="G6435" s="555">
        <f>$M$9</f>
        <v>0.1</v>
      </c>
      <c r="H6435" s="539">
        <f>H6434*G6435</f>
        <v>2517</v>
      </c>
      <c r="I6435" s="827"/>
    </row>
    <row r="6436" spans="3:11" ht="25.8" customHeight="1">
      <c r="C6436" s="566" t="s">
        <v>1221</v>
      </c>
      <c r="D6436" s="552" t="s">
        <v>1222</v>
      </c>
      <c r="E6436" s="553"/>
      <c r="F6436" s="553"/>
      <c r="G6436" s="554"/>
      <c r="H6436" s="828">
        <f>SUM(H6434:H6435)</f>
        <v>27687</v>
      </c>
      <c r="I6436" s="827"/>
    </row>
    <row r="6437" spans="3:11" ht="25.8" customHeight="1"/>
    <row r="6438" spans="3:11" ht="25.8" customHeight="1"/>
    <row r="6439" spans="3:11" ht="25.8" customHeight="1">
      <c r="C6439" s="513" t="s">
        <v>5935</v>
      </c>
      <c r="D6439" s="817" t="s">
        <v>5936</v>
      </c>
      <c r="E6439" s="803"/>
      <c r="F6439" s="803"/>
      <c r="G6439" s="803"/>
      <c r="H6439" s="803"/>
      <c r="I6439" s="533">
        <f>ROUNDDOWN(H6454,-2)</f>
        <v>1963200</v>
      </c>
      <c r="J6439" s="536"/>
      <c r="K6439" s="824"/>
    </row>
    <row r="6440" spans="3:11" ht="25.8" customHeight="1">
      <c r="C6440" s="716" t="s">
        <v>1195</v>
      </c>
      <c r="D6440" s="716" t="s">
        <v>1196</v>
      </c>
      <c r="E6440" s="716" t="s">
        <v>1197</v>
      </c>
      <c r="F6440" s="716" t="s">
        <v>1198</v>
      </c>
      <c r="G6440" s="716" t="s">
        <v>1199</v>
      </c>
      <c r="H6440" s="716" t="s">
        <v>1200</v>
      </c>
    </row>
    <row r="6441" spans="3:11" ht="25.8" customHeight="1">
      <c r="C6441" s="213" t="s">
        <v>1201</v>
      </c>
      <c r="D6441" s="212" t="s">
        <v>1202</v>
      </c>
      <c r="E6441" s="534"/>
      <c r="F6441" s="534"/>
      <c r="G6441" s="534"/>
      <c r="H6441" s="534"/>
    </row>
    <row r="6442" spans="3:11" ht="25.8" customHeight="1">
      <c r="C6442" s="818">
        <v>1</v>
      </c>
      <c r="D6442" s="212" t="s">
        <v>5</v>
      </c>
      <c r="E6442" s="212" t="s">
        <v>6</v>
      </c>
      <c r="F6442" s="538">
        <v>0.68100000000000005</v>
      </c>
      <c r="G6442" s="539">
        <f>VLOOKUP(D6442,upahbahan,3,FALSE)</f>
        <v>100000</v>
      </c>
      <c r="H6442" s="539">
        <f t="shared" ref="H6442:H6445" si="655">F6442*G6442</f>
        <v>68100</v>
      </c>
    </row>
    <row r="6443" spans="3:11" ht="25.8" customHeight="1">
      <c r="C6443" s="818">
        <v>2</v>
      </c>
      <c r="D6443" s="212" t="s">
        <v>17</v>
      </c>
      <c r="E6443" s="212" t="s">
        <v>6</v>
      </c>
      <c r="F6443" s="538">
        <v>1.137</v>
      </c>
      <c r="G6443" s="539">
        <f>VLOOKUP(D6443,upahbahan,3,FALSE)</f>
        <v>135000</v>
      </c>
      <c r="H6443" s="539">
        <f t="shared" si="655"/>
        <v>153495</v>
      </c>
    </row>
    <row r="6444" spans="3:11" ht="25.8" customHeight="1">
      <c r="C6444" s="818">
        <v>3</v>
      </c>
      <c r="D6444" s="212" t="s">
        <v>1310</v>
      </c>
      <c r="E6444" s="212" t="s">
        <v>6</v>
      </c>
      <c r="F6444" s="538">
        <v>0.114</v>
      </c>
      <c r="G6444" s="539">
        <f>VLOOKUP(D6444,upahbahan,3,FALSE)</f>
        <v>150000</v>
      </c>
      <c r="H6444" s="539">
        <f t="shared" si="655"/>
        <v>17100</v>
      </c>
    </row>
    <row r="6445" spans="3:11" ht="25.8" customHeight="1">
      <c r="C6445" s="818">
        <v>4</v>
      </c>
      <c r="D6445" s="212" t="s">
        <v>19</v>
      </c>
      <c r="E6445" s="212" t="s">
        <v>6</v>
      </c>
      <c r="F6445" s="538">
        <v>3.7999999999999999E-2</v>
      </c>
      <c r="G6445" s="539">
        <f>VLOOKUP(D6445,upahbahan,3,FALSE)</f>
        <v>160000</v>
      </c>
      <c r="H6445" s="539">
        <f t="shared" si="655"/>
        <v>6080</v>
      </c>
    </row>
    <row r="6446" spans="3:11" ht="25.8" customHeight="1">
      <c r="C6446" s="702" t="s">
        <v>1208</v>
      </c>
      <c r="D6446" s="208"/>
      <c r="E6446" s="208"/>
      <c r="F6446" s="811"/>
      <c r="G6446" s="522"/>
      <c r="H6446" s="539">
        <f>SUM(H6442:H6445)</f>
        <v>244775</v>
      </c>
      <c r="I6446" s="819"/>
    </row>
    <row r="6447" spans="3:11" ht="25.8" customHeight="1">
      <c r="C6447" s="213" t="s">
        <v>1209</v>
      </c>
      <c r="D6447" s="212" t="s">
        <v>1210</v>
      </c>
      <c r="E6447" s="534"/>
      <c r="F6447" s="831"/>
      <c r="G6447" s="534"/>
      <c r="H6447" s="534"/>
    </row>
    <row r="6448" spans="3:11" ht="25.8" customHeight="1">
      <c r="C6448" s="818">
        <v>1</v>
      </c>
      <c r="D6448" s="212" t="s">
        <v>5937</v>
      </c>
      <c r="E6448" s="212" t="s">
        <v>44</v>
      </c>
      <c r="F6448" s="538">
        <v>1.1000000000000001</v>
      </c>
      <c r="G6448" s="539">
        <f>VLOOKUP(D6448,upahbahan,3,FALSE)</f>
        <v>1400000</v>
      </c>
      <c r="H6448" s="539">
        <f t="shared" ref="H6448" si="656">F6448*G6448</f>
        <v>1540000.0000000002</v>
      </c>
    </row>
    <row r="6449" spans="3:11" ht="25.8" customHeight="1">
      <c r="C6449" s="702" t="s">
        <v>1214</v>
      </c>
      <c r="D6449" s="208"/>
      <c r="E6449" s="208"/>
      <c r="F6449" s="208"/>
      <c r="G6449" s="209"/>
      <c r="H6449" s="539">
        <f>SUM(H6447:H6448)</f>
        <v>1540000.0000000002</v>
      </c>
    </row>
    <row r="6450" spans="3:11" ht="25.8" customHeight="1">
      <c r="C6450" s="213" t="s">
        <v>1215</v>
      </c>
      <c r="D6450" s="212" t="s">
        <v>1216</v>
      </c>
      <c r="E6450" s="534"/>
      <c r="F6450" s="534"/>
      <c r="G6450" s="534"/>
      <c r="H6450" s="534"/>
    </row>
    <row r="6451" spans="3:11" ht="25.8" customHeight="1">
      <c r="C6451" s="702" t="s">
        <v>1217</v>
      </c>
      <c r="D6451" s="815"/>
      <c r="E6451" s="815"/>
      <c r="F6451" s="815"/>
      <c r="G6451" s="209"/>
      <c r="H6451" s="821">
        <f>SUM(H6450:H6450)</f>
        <v>0</v>
      </c>
    </row>
    <row r="6452" spans="3:11" ht="25.8" customHeight="1">
      <c r="C6452" s="566" t="s">
        <v>1218</v>
      </c>
      <c r="D6452" s="552" t="s">
        <v>1219</v>
      </c>
      <c r="E6452" s="553"/>
      <c r="F6452" s="553"/>
      <c r="G6452" s="554"/>
      <c r="H6452" s="826">
        <f>H6451+H6449+H6446</f>
        <v>1784775.0000000002</v>
      </c>
      <c r="I6452" s="827"/>
    </row>
    <row r="6453" spans="3:11" ht="25.8" customHeight="1">
      <c r="C6453" s="566" t="s">
        <v>1220</v>
      </c>
      <c r="D6453" s="552" t="s">
        <v>1321</v>
      </c>
      <c r="E6453" s="553"/>
      <c r="F6453" s="554"/>
      <c r="G6453" s="555">
        <f>$M$9</f>
        <v>0.1</v>
      </c>
      <c r="H6453" s="539">
        <f>H6452*G6453</f>
        <v>178477.50000000003</v>
      </c>
      <c r="I6453" s="827"/>
    </row>
    <row r="6454" spans="3:11" ht="25.8" customHeight="1">
      <c r="C6454" s="566" t="s">
        <v>1221</v>
      </c>
      <c r="D6454" s="552" t="s">
        <v>1222</v>
      </c>
      <c r="E6454" s="553"/>
      <c r="F6454" s="553"/>
      <c r="G6454" s="554"/>
      <c r="H6454" s="828">
        <f>SUM(H6452:H6453)</f>
        <v>1963252.5000000002</v>
      </c>
      <c r="I6454" s="827"/>
    </row>
    <row r="6455" spans="3:11" ht="25.8" customHeight="1"/>
    <row r="6456" spans="3:11" ht="25.8" customHeight="1">
      <c r="C6456" s="571" t="s">
        <v>5938</v>
      </c>
      <c r="D6456" s="571" t="s">
        <v>5939</v>
      </c>
    </row>
    <row r="6457" spans="3:11" ht="25.8" customHeight="1">
      <c r="C6457" s="513" t="s">
        <v>5940</v>
      </c>
      <c r="D6457" s="817" t="s">
        <v>5941</v>
      </c>
      <c r="E6457" s="803"/>
      <c r="F6457" s="803"/>
      <c r="G6457" s="803"/>
      <c r="H6457" s="803"/>
      <c r="I6457" s="533">
        <f>ROUNDDOWN(H6472,-2)</f>
        <v>95600</v>
      </c>
      <c r="J6457" s="536"/>
      <c r="K6457" s="824"/>
    </row>
    <row r="6458" spans="3:11" ht="25.8" customHeight="1">
      <c r="C6458" s="716" t="s">
        <v>1195</v>
      </c>
      <c r="D6458" s="716" t="s">
        <v>1196</v>
      </c>
      <c r="E6458" s="716" t="s">
        <v>1197</v>
      </c>
      <c r="F6458" s="716" t="s">
        <v>1198</v>
      </c>
      <c r="G6458" s="716" t="s">
        <v>1199</v>
      </c>
      <c r="H6458" s="716" t="s">
        <v>1200</v>
      </c>
    </row>
    <row r="6459" spans="3:11" ht="25.8" customHeight="1">
      <c r="C6459" s="213" t="s">
        <v>1201</v>
      </c>
      <c r="D6459" s="212" t="s">
        <v>1202</v>
      </c>
      <c r="E6459" s="534"/>
      <c r="F6459" s="534"/>
      <c r="G6459" s="534"/>
      <c r="H6459" s="534"/>
    </row>
    <row r="6460" spans="3:11" ht="25.8" customHeight="1">
      <c r="C6460" s="818">
        <v>1</v>
      </c>
      <c r="D6460" s="212" t="s">
        <v>5</v>
      </c>
      <c r="E6460" s="212" t="s">
        <v>6</v>
      </c>
      <c r="F6460" s="538">
        <v>6.4000000000000001E-2</v>
      </c>
      <c r="G6460" s="539">
        <f>VLOOKUP(D6460,upahbahan,3,FALSE)</f>
        <v>100000</v>
      </c>
      <c r="H6460" s="539">
        <f t="shared" ref="H6460:H6463" si="657">F6460*G6460</f>
        <v>6400</v>
      </c>
    </row>
    <row r="6461" spans="3:11" ht="25.8" customHeight="1">
      <c r="C6461" s="818">
        <v>2</v>
      </c>
      <c r="D6461" s="212" t="s">
        <v>17</v>
      </c>
      <c r="E6461" s="212" t="s">
        <v>6</v>
      </c>
      <c r="F6461" s="538">
        <v>0.107</v>
      </c>
      <c r="G6461" s="539">
        <f>VLOOKUP(D6461,upahbahan,3,FALSE)</f>
        <v>135000</v>
      </c>
      <c r="H6461" s="539">
        <f t="shared" si="657"/>
        <v>14445</v>
      </c>
    </row>
    <row r="6462" spans="3:11" ht="25.8" customHeight="1">
      <c r="C6462" s="818">
        <v>3</v>
      </c>
      <c r="D6462" s="212" t="s">
        <v>1310</v>
      </c>
      <c r="E6462" s="212" t="s">
        <v>6</v>
      </c>
      <c r="F6462" s="538">
        <v>1.0999999999999999E-2</v>
      </c>
      <c r="G6462" s="539">
        <f>VLOOKUP(D6462,upahbahan,3,FALSE)</f>
        <v>150000</v>
      </c>
      <c r="H6462" s="539">
        <f t="shared" si="657"/>
        <v>1650</v>
      </c>
    </row>
    <row r="6463" spans="3:11" ht="25.8" customHeight="1">
      <c r="C6463" s="818">
        <v>4</v>
      </c>
      <c r="D6463" s="212" t="s">
        <v>19</v>
      </c>
      <c r="E6463" s="212" t="s">
        <v>6</v>
      </c>
      <c r="F6463" s="538">
        <v>4.0000000000000001E-3</v>
      </c>
      <c r="G6463" s="539">
        <f>VLOOKUP(D6463,upahbahan,3,FALSE)</f>
        <v>160000</v>
      </c>
      <c r="H6463" s="539">
        <f t="shared" si="657"/>
        <v>640</v>
      </c>
    </row>
    <row r="6464" spans="3:11" ht="25.8" customHeight="1">
      <c r="C6464" s="702" t="s">
        <v>1208</v>
      </c>
      <c r="D6464" s="208"/>
      <c r="E6464" s="208"/>
      <c r="F6464" s="811"/>
      <c r="G6464" s="522"/>
      <c r="H6464" s="539">
        <f>SUM(H6460:H6463)</f>
        <v>23135</v>
      </c>
      <c r="I6464" s="819"/>
    </row>
    <row r="6465" spans="3:11" ht="25.8" customHeight="1">
      <c r="C6465" s="213" t="s">
        <v>1209</v>
      </c>
      <c r="D6465" s="212" t="s">
        <v>1210</v>
      </c>
      <c r="E6465" s="534"/>
      <c r="F6465" s="831"/>
      <c r="G6465" s="534"/>
      <c r="H6465" s="534"/>
    </row>
    <row r="6466" spans="3:11" ht="25.8" customHeight="1">
      <c r="C6466" s="818">
        <v>1</v>
      </c>
      <c r="D6466" s="212" t="s">
        <v>5942</v>
      </c>
      <c r="E6466" s="212" t="s">
        <v>2167</v>
      </c>
      <c r="F6466" s="538">
        <v>1.1000000000000001</v>
      </c>
      <c r="G6466" s="539">
        <f>VLOOKUP(D6466,upahbahan,3,FALSE)</f>
        <v>58000</v>
      </c>
      <c r="H6466" s="539">
        <f t="shared" ref="H6466" si="658">F6466*G6466</f>
        <v>63800.000000000007</v>
      </c>
    </row>
    <row r="6467" spans="3:11" ht="25.8" customHeight="1">
      <c r="C6467" s="702" t="s">
        <v>1214</v>
      </c>
      <c r="D6467" s="208"/>
      <c r="E6467" s="208"/>
      <c r="F6467" s="208"/>
      <c r="G6467" s="209"/>
      <c r="H6467" s="539">
        <f>SUM(H6465:H6466)</f>
        <v>63800.000000000007</v>
      </c>
    </row>
    <row r="6468" spans="3:11" ht="25.8" customHeight="1">
      <c r="C6468" s="213" t="s">
        <v>1215</v>
      </c>
      <c r="D6468" s="212" t="s">
        <v>1216</v>
      </c>
      <c r="E6468" s="534"/>
      <c r="F6468" s="534"/>
      <c r="G6468" s="534"/>
      <c r="H6468" s="534"/>
    </row>
    <row r="6469" spans="3:11" ht="25.8" customHeight="1">
      <c r="C6469" s="702" t="s">
        <v>1217</v>
      </c>
      <c r="D6469" s="815"/>
      <c r="E6469" s="815"/>
      <c r="F6469" s="815"/>
      <c r="G6469" s="209"/>
      <c r="H6469" s="821">
        <f>SUM(H6468:H6468)</f>
        <v>0</v>
      </c>
    </row>
    <row r="6470" spans="3:11" ht="25.8" customHeight="1">
      <c r="C6470" s="566" t="s">
        <v>1218</v>
      </c>
      <c r="D6470" s="552" t="s">
        <v>1219</v>
      </c>
      <c r="E6470" s="553"/>
      <c r="F6470" s="553"/>
      <c r="G6470" s="554"/>
      <c r="H6470" s="826">
        <f>H6469+H6467+H6464</f>
        <v>86935</v>
      </c>
      <c r="I6470" s="827"/>
    </row>
    <row r="6471" spans="3:11" ht="25.8" customHeight="1">
      <c r="C6471" s="566" t="s">
        <v>1220</v>
      </c>
      <c r="D6471" s="552" t="s">
        <v>1321</v>
      </c>
      <c r="E6471" s="553"/>
      <c r="F6471" s="554"/>
      <c r="G6471" s="555">
        <f>$M$9</f>
        <v>0.1</v>
      </c>
      <c r="H6471" s="539">
        <f>H6470*G6471</f>
        <v>8693.5</v>
      </c>
      <c r="I6471" s="827"/>
    </row>
    <row r="6472" spans="3:11" ht="25.8" customHeight="1">
      <c r="C6472" s="566" t="s">
        <v>1221</v>
      </c>
      <c r="D6472" s="552" t="s">
        <v>1222</v>
      </c>
      <c r="E6472" s="553"/>
      <c r="F6472" s="553"/>
      <c r="G6472" s="554"/>
      <c r="H6472" s="828">
        <f>SUM(H6470:H6471)</f>
        <v>95628.5</v>
      </c>
      <c r="I6472" s="827"/>
    </row>
    <row r="6473" spans="3:11" ht="25.8" customHeight="1"/>
    <row r="6474" spans="3:11" ht="25.8" customHeight="1">
      <c r="C6474" s="513" t="s">
        <v>5943</v>
      </c>
      <c r="D6474" s="817" t="s">
        <v>5944</v>
      </c>
      <c r="E6474" s="803"/>
      <c r="F6474" s="803"/>
      <c r="G6474" s="803"/>
      <c r="H6474" s="803"/>
      <c r="I6474" s="533">
        <f>ROUNDDOWN(H6489,-2)</f>
        <v>105100</v>
      </c>
      <c r="J6474" s="536"/>
      <c r="K6474" s="824"/>
    </row>
    <row r="6475" spans="3:11" ht="25.8" customHeight="1">
      <c r="C6475" s="716" t="s">
        <v>1195</v>
      </c>
      <c r="D6475" s="716" t="s">
        <v>1196</v>
      </c>
      <c r="E6475" s="716" t="s">
        <v>1197</v>
      </c>
      <c r="F6475" s="716" t="s">
        <v>1198</v>
      </c>
      <c r="G6475" s="716" t="s">
        <v>1199</v>
      </c>
      <c r="H6475" s="716" t="s">
        <v>1200</v>
      </c>
    </row>
    <row r="6476" spans="3:11" ht="25.8" customHeight="1">
      <c r="C6476" s="213" t="s">
        <v>1201</v>
      </c>
      <c r="D6476" s="212" t="s">
        <v>1202</v>
      </c>
      <c r="E6476" s="534"/>
      <c r="F6476" s="534"/>
      <c r="G6476" s="534"/>
      <c r="H6476" s="534"/>
    </row>
    <row r="6477" spans="3:11" ht="25.8" customHeight="1">
      <c r="C6477" s="818">
        <v>1</v>
      </c>
      <c r="D6477" s="212" t="s">
        <v>5</v>
      </c>
      <c r="E6477" s="212" t="s">
        <v>6</v>
      </c>
      <c r="F6477" s="538">
        <v>6.4000000000000001E-2</v>
      </c>
      <c r="G6477" s="539">
        <f>VLOOKUP(D6477,upahbahan,3,FALSE)</f>
        <v>100000</v>
      </c>
      <c r="H6477" s="539">
        <f t="shared" ref="H6477:H6480" si="659">F6477*G6477</f>
        <v>6400</v>
      </c>
    </row>
    <row r="6478" spans="3:11" ht="25.8" customHeight="1">
      <c r="C6478" s="818">
        <v>2</v>
      </c>
      <c r="D6478" s="212" t="s">
        <v>17</v>
      </c>
      <c r="E6478" s="212" t="s">
        <v>6</v>
      </c>
      <c r="F6478" s="538">
        <v>0.107</v>
      </c>
      <c r="G6478" s="539">
        <f>VLOOKUP(D6478,upahbahan,3,FALSE)</f>
        <v>135000</v>
      </c>
      <c r="H6478" s="539">
        <f t="shared" si="659"/>
        <v>14445</v>
      </c>
    </row>
    <row r="6479" spans="3:11" ht="25.8" customHeight="1">
      <c r="C6479" s="818">
        <v>3</v>
      </c>
      <c r="D6479" s="212" t="s">
        <v>1310</v>
      </c>
      <c r="E6479" s="212" t="s">
        <v>6</v>
      </c>
      <c r="F6479" s="538">
        <v>1.0999999999999999E-2</v>
      </c>
      <c r="G6479" s="539">
        <f>VLOOKUP(D6479,upahbahan,3,FALSE)</f>
        <v>150000</v>
      </c>
      <c r="H6479" s="539">
        <f t="shared" si="659"/>
        <v>1650</v>
      </c>
    </row>
    <row r="6480" spans="3:11" ht="25.8" customHeight="1">
      <c r="C6480" s="818">
        <v>4</v>
      </c>
      <c r="D6480" s="212" t="s">
        <v>19</v>
      </c>
      <c r="E6480" s="212" t="s">
        <v>6</v>
      </c>
      <c r="F6480" s="538">
        <v>4.0000000000000001E-3</v>
      </c>
      <c r="G6480" s="539">
        <f>VLOOKUP(D6480,upahbahan,3,FALSE)</f>
        <v>160000</v>
      </c>
      <c r="H6480" s="539">
        <f t="shared" si="659"/>
        <v>640</v>
      </c>
    </row>
    <row r="6481" spans="3:11" ht="25.8" customHeight="1">
      <c r="C6481" s="702" t="s">
        <v>1208</v>
      </c>
      <c r="D6481" s="208"/>
      <c r="E6481" s="208"/>
      <c r="F6481" s="811"/>
      <c r="G6481" s="522"/>
      <c r="H6481" s="539">
        <f>SUM(H6477:H6480)</f>
        <v>23135</v>
      </c>
      <c r="I6481" s="819"/>
    </row>
    <row r="6482" spans="3:11" ht="25.8" customHeight="1">
      <c r="C6482" s="213" t="s">
        <v>1209</v>
      </c>
      <c r="D6482" s="212" t="s">
        <v>1210</v>
      </c>
      <c r="E6482" s="534"/>
      <c r="F6482" s="831"/>
      <c r="G6482" s="534"/>
      <c r="H6482" s="534"/>
    </row>
    <row r="6483" spans="3:11" ht="25.8" customHeight="1">
      <c r="C6483" s="818">
        <v>1</v>
      </c>
      <c r="D6483" s="212" t="s">
        <v>5945</v>
      </c>
      <c r="E6483" s="212" t="s">
        <v>2167</v>
      </c>
      <c r="F6483" s="538">
        <v>1.1000000000000001</v>
      </c>
      <c r="G6483" s="539">
        <f>VLOOKUP(D6483,upahbahan,3,FALSE)</f>
        <v>65900</v>
      </c>
      <c r="H6483" s="539">
        <f t="shared" ref="H6483" si="660">F6483*G6483</f>
        <v>72490</v>
      </c>
    </row>
    <row r="6484" spans="3:11" ht="25.8" customHeight="1">
      <c r="C6484" s="702" t="s">
        <v>1214</v>
      </c>
      <c r="D6484" s="208"/>
      <c r="E6484" s="208"/>
      <c r="F6484" s="208"/>
      <c r="G6484" s="209"/>
      <c r="H6484" s="539">
        <f>SUM(H6482:H6483)</f>
        <v>72490</v>
      </c>
    </row>
    <row r="6485" spans="3:11" ht="25.8" customHeight="1">
      <c r="C6485" s="213" t="s">
        <v>1215</v>
      </c>
      <c r="D6485" s="212" t="s">
        <v>1216</v>
      </c>
      <c r="E6485" s="534"/>
      <c r="F6485" s="534"/>
      <c r="G6485" s="534"/>
      <c r="H6485" s="534"/>
    </row>
    <row r="6486" spans="3:11" ht="25.8" customHeight="1">
      <c r="C6486" s="702" t="s">
        <v>1217</v>
      </c>
      <c r="D6486" s="815"/>
      <c r="E6486" s="815"/>
      <c r="F6486" s="815"/>
      <c r="G6486" s="209"/>
      <c r="H6486" s="821">
        <f>SUM(H6485:H6485)</f>
        <v>0</v>
      </c>
    </row>
    <row r="6487" spans="3:11" ht="25.8" customHeight="1">
      <c r="C6487" s="566" t="s">
        <v>1218</v>
      </c>
      <c r="D6487" s="552" t="s">
        <v>1219</v>
      </c>
      <c r="E6487" s="553"/>
      <c r="F6487" s="553"/>
      <c r="G6487" s="554"/>
      <c r="H6487" s="826">
        <f>H6486+H6484+H6481</f>
        <v>95625</v>
      </c>
      <c r="I6487" s="827"/>
    </row>
    <row r="6488" spans="3:11" ht="25.8" customHeight="1">
      <c r="C6488" s="566" t="s">
        <v>1220</v>
      </c>
      <c r="D6488" s="552" t="s">
        <v>1321</v>
      </c>
      <c r="E6488" s="553"/>
      <c r="F6488" s="554"/>
      <c r="G6488" s="555">
        <f>$M$9</f>
        <v>0.1</v>
      </c>
      <c r="H6488" s="539">
        <f>H6487*G6488</f>
        <v>9562.5</v>
      </c>
      <c r="I6488" s="827"/>
    </row>
    <row r="6489" spans="3:11" ht="25.8" customHeight="1">
      <c r="C6489" s="566" t="s">
        <v>1221</v>
      </c>
      <c r="D6489" s="552" t="s">
        <v>1222</v>
      </c>
      <c r="E6489" s="553"/>
      <c r="F6489" s="553"/>
      <c r="G6489" s="554"/>
      <c r="H6489" s="828">
        <f>SUM(H6487:H6488)</f>
        <v>105187.5</v>
      </c>
      <c r="I6489" s="827"/>
    </row>
    <row r="6490" spans="3:11" ht="25.8" customHeight="1"/>
    <row r="6491" spans="3:11" ht="25.8" customHeight="1">
      <c r="C6491" s="571" t="s">
        <v>5946</v>
      </c>
      <c r="D6491" s="571" t="s">
        <v>5947</v>
      </c>
    </row>
    <row r="6492" spans="3:11" ht="25.8" customHeight="1">
      <c r="C6492" s="571" t="s">
        <v>5948</v>
      </c>
      <c r="D6492" s="571" t="s">
        <v>5949</v>
      </c>
    </row>
    <row r="6493" spans="3:11" ht="25.8" customHeight="1">
      <c r="C6493" s="513" t="s">
        <v>5950</v>
      </c>
      <c r="D6493" s="817" t="s">
        <v>5951</v>
      </c>
      <c r="E6493" s="803"/>
      <c r="F6493" s="803"/>
      <c r="G6493" s="803"/>
      <c r="H6493" s="803"/>
      <c r="I6493" s="533">
        <f>ROUNDDOWN(H6508,-2)</f>
        <v>34266500</v>
      </c>
      <c r="J6493" s="536" t="s">
        <v>6451</v>
      </c>
      <c r="K6493" s="824" t="s">
        <v>8060</v>
      </c>
    </row>
    <row r="6494" spans="3:11" ht="25.8" customHeight="1">
      <c r="C6494" s="716" t="s">
        <v>1195</v>
      </c>
      <c r="D6494" s="716" t="s">
        <v>1196</v>
      </c>
      <c r="E6494" s="716" t="s">
        <v>1197</v>
      </c>
      <c r="F6494" s="716" t="s">
        <v>1198</v>
      </c>
      <c r="G6494" s="716" t="s">
        <v>1199</v>
      </c>
      <c r="H6494" s="716" t="s">
        <v>1200</v>
      </c>
    </row>
    <row r="6495" spans="3:11" ht="25.8" customHeight="1">
      <c r="C6495" s="213" t="s">
        <v>1201</v>
      </c>
      <c r="D6495" s="212" t="s">
        <v>1202</v>
      </c>
      <c r="E6495" s="534"/>
      <c r="F6495" s="534"/>
      <c r="G6495" s="534"/>
      <c r="H6495" s="534"/>
    </row>
    <row r="6496" spans="3:11" ht="25.8" customHeight="1">
      <c r="C6496" s="818">
        <v>1</v>
      </c>
      <c r="D6496" s="212" t="s">
        <v>5</v>
      </c>
      <c r="E6496" s="212" t="s">
        <v>6</v>
      </c>
      <c r="F6496" s="538">
        <v>6.3330000000000002</v>
      </c>
      <c r="G6496" s="539">
        <f>VLOOKUP(D6496,upahbahan,3,FALSE)</f>
        <v>100000</v>
      </c>
      <c r="H6496" s="539">
        <f t="shared" ref="H6496:H6499" si="661">F6496*G6496</f>
        <v>633300</v>
      </c>
    </row>
    <row r="6497" spans="3:11" ht="25.8" customHeight="1">
      <c r="C6497" s="818">
        <v>2</v>
      </c>
      <c r="D6497" s="212" t="s">
        <v>17</v>
      </c>
      <c r="E6497" s="212" t="s">
        <v>6</v>
      </c>
      <c r="F6497" s="538">
        <v>10.577</v>
      </c>
      <c r="G6497" s="539">
        <f>VLOOKUP(D6497,upahbahan,3,FALSE)</f>
        <v>135000</v>
      </c>
      <c r="H6497" s="539">
        <f t="shared" si="661"/>
        <v>1427895</v>
      </c>
    </row>
    <row r="6498" spans="3:11" ht="25.8" customHeight="1">
      <c r="C6498" s="818">
        <v>3</v>
      </c>
      <c r="D6498" s="212" t="s">
        <v>1310</v>
      </c>
      <c r="E6498" s="212" t="s">
        <v>6</v>
      </c>
      <c r="F6498" s="538">
        <v>1.0580000000000001</v>
      </c>
      <c r="G6498" s="539">
        <f>VLOOKUP(D6498,upahbahan,3,FALSE)</f>
        <v>150000</v>
      </c>
      <c r="H6498" s="539">
        <f t="shared" si="661"/>
        <v>158700</v>
      </c>
    </row>
    <row r="6499" spans="3:11" ht="25.8" customHeight="1">
      <c r="C6499" s="818">
        <v>4</v>
      </c>
      <c r="D6499" s="212" t="s">
        <v>19</v>
      </c>
      <c r="E6499" s="212" t="s">
        <v>6</v>
      </c>
      <c r="F6499" s="538">
        <v>0.35299999999999998</v>
      </c>
      <c r="G6499" s="539">
        <f>VLOOKUP(D6499,upahbahan,3,FALSE)</f>
        <v>160000</v>
      </c>
      <c r="H6499" s="539">
        <f t="shared" si="661"/>
        <v>56480</v>
      </c>
    </row>
    <row r="6500" spans="3:11" ht="25.8" customHeight="1">
      <c r="C6500" s="702" t="s">
        <v>1208</v>
      </c>
      <c r="D6500" s="208"/>
      <c r="E6500" s="208"/>
      <c r="F6500" s="811"/>
      <c r="G6500" s="522"/>
      <c r="H6500" s="539">
        <f>SUM(H6496:H6499)</f>
        <v>2276375</v>
      </c>
      <c r="I6500" s="819"/>
    </row>
    <row r="6501" spans="3:11" ht="25.8" customHeight="1">
      <c r="C6501" s="213" t="s">
        <v>1209</v>
      </c>
      <c r="D6501" s="212" t="s">
        <v>1210</v>
      </c>
      <c r="E6501" s="534"/>
      <c r="F6501" s="831"/>
      <c r="G6501" s="534"/>
      <c r="H6501" s="534"/>
    </row>
    <row r="6502" spans="3:11" ht="25.8" customHeight="1">
      <c r="C6502" s="818">
        <v>1</v>
      </c>
      <c r="D6502" s="212" t="s">
        <v>5952</v>
      </c>
      <c r="E6502" s="212" t="s">
        <v>135</v>
      </c>
      <c r="F6502" s="538">
        <v>1.1000000000000001</v>
      </c>
      <c r="G6502" s="539">
        <f>VLOOKUP(D6502,upahbahan,3,FALSE)</f>
        <v>26250000</v>
      </c>
      <c r="H6502" s="539">
        <f t="shared" ref="H6502" si="662">F6502*G6502</f>
        <v>28875000.000000004</v>
      </c>
    </row>
    <row r="6503" spans="3:11" ht="25.8" customHeight="1">
      <c r="C6503" s="702" t="s">
        <v>1214</v>
      </c>
      <c r="D6503" s="208"/>
      <c r="E6503" s="208"/>
      <c r="F6503" s="208"/>
      <c r="G6503" s="209"/>
      <c r="H6503" s="539">
        <f>SUM(H6501:H6502)</f>
        <v>28875000.000000004</v>
      </c>
    </row>
    <row r="6504" spans="3:11" ht="25.8" customHeight="1">
      <c r="C6504" s="213" t="s">
        <v>1215</v>
      </c>
      <c r="D6504" s="212" t="s">
        <v>1216</v>
      </c>
      <c r="E6504" s="534"/>
      <c r="F6504" s="534"/>
      <c r="G6504" s="534"/>
      <c r="H6504" s="534"/>
    </row>
    <row r="6505" spans="3:11" ht="25.8" customHeight="1">
      <c r="C6505" s="702" t="s">
        <v>1217</v>
      </c>
      <c r="D6505" s="815"/>
      <c r="E6505" s="815"/>
      <c r="F6505" s="815"/>
      <c r="G6505" s="209"/>
      <c r="H6505" s="821">
        <f>SUM(H6504:H6504)</f>
        <v>0</v>
      </c>
    </row>
    <row r="6506" spans="3:11" ht="25.8" customHeight="1">
      <c r="C6506" s="566" t="s">
        <v>1218</v>
      </c>
      <c r="D6506" s="552" t="s">
        <v>1219</v>
      </c>
      <c r="E6506" s="553"/>
      <c r="F6506" s="553"/>
      <c r="G6506" s="554"/>
      <c r="H6506" s="826">
        <f>H6505+H6503+H6500</f>
        <v>31151375.000000004</v>
      </c>
      <c r="I6506" s="827"/>
    </row>
    <row r="6507" spans="3:11" ht="25.8" customHeight="1">
      <c r="C6507" s="566" t="s">
        <v>1220</v>
      </c>
      <c r="D6507" s="552" t="s">
        <v>1321</v>
      </c>
      <c r="E6507" s="553"/>
      <c r="F6507" s="554"/>
      <c r="G6507" s="555">
        <f>$M$9</f>
        <v>0.1</v>
      </c>
      <c r="H6507" s="539">
        <f>H6506*G6507</f>
        <v>3115137.5000000005</v>
      </c>
      <c r="I6507" s="827"/>
    </row>
    <row r="6508" spans="3:11" ht="25.8" customHeight="1">
      <c r="C6508" s="566" t="s">
        <v>1221</v>
      </c>
      <c r="D6508" s="552" t="s">
        <v>1222</v>
      </c>
      <c r="E6508" s="553"/>
      <c r="F6508" s="553"/>
      <c r="G6508" s="554"/>
      <c r="H6508" s="828">
        <f>SUM(H6506:H6507)</f>
        <v>34266512.500000007</v>
      </c>
      <c r="I6508" s="827"/>
    </row>
    <row r="6509" spans="3:11" ht="25.8" customHeight="1">
      <c r="C6509" s="572"/>
      <c r="D6509" s="575"/>
      <c r="E6509" s="575"/>
      <c r="F6509" s="575"/>
      <c r="G6509" s="575"/>
      <c r="H6509" s="830"/>
    </row>
    <row r="6510" spans="3:11" ht="25.8" customHeight="1">
      <c r="C6510" s="530" t="s">
        <v>5956</v>
      </c>
    </row>
    <row r="6511" spans="3:11" ht="25.8" customHeight="1"/>
    <row r="6512" spans="3:11" ht="25.8" customHeight="1">
      <c r="C6512" s="513" t="s">
        <v>5955</v>
      </c>
      <c r="D6512" s="817" t="s">
        <v>5957</v>
      </c>
      <c r="E6512" s="803"/>
      <c r="F6512" s="803"/>
      <c r="G6512" s="803"/>
      <c r="H6512" s="803"/>
      <c r="I6512" s="533">
        <f>ROUNDDOWN(H6527,-2)</f>
        <v>4207300</v>
      </c>
      <c r="J6512" s="536"/>
      <c r="K6512" s="824"/>
    </row>
    <row r="6513" spans="3:9" ht="25.8" customHeight="1">
      <c r="C6513" s="716" t="s">
        <v>1195</v>
      </c>
      <c r="D6513" s="716" t="s">
        <v>1196</v>
      </c>
      <c r="E6513" s="716" t="s">
        <v>1197</v>
      </c>
      <c r="F6513" s="716" t="s">
        <v>1198</v>
      </c>
      <c r="G6513" s="716" t="s">
        <v>1199</v>
      </c>
      <c r="H6513" s="716" t="s">
        <v>1200</v>
      </c>
    </row>
    <row r="6514" spans="3:9" ht="25.8" customHeight="1">
      <c r="C6514" s="213" t="s">
        <v>1201</v>
      </c>
      <c r="D6514" s="212" t="s">
        <v>1202</v>
      </c>
      <c r="E6514" s="534"/>
      <c r="F6514" s="534"/>
      <c r="G6514" s="534"/>
      <c r="H6514" s="534"/>
    </row>
    <row r="6515" spans="3:9" ht="25.8" customHeight="1">
      <c r="C6515" s="818">
        <v>1</v>
      </c>
      <c r="D6515" s="212" t="s">
        <v>5</v>
      </c>
      <c r="E6515" s="212" t="s">
        <v>6</v>
      </c>
      <c r="F6515" s="538">
        <v>0.41699999999999998</v>
      </c>
      <c r="G6515" s="539">
        <f>VLOOKUP(D6515,upahbahan,3,FALSE)</f>
        <v>100000</v>
      </c>
      <c r="H6515" s="539">
        <f t="shared" ref="H6515:H6518" si="663">F6515*G6515</f>
        <v>41700</v>
      </c>
    </row>
    <row r="6516" spans="3:9" ht="25.8" customHeight="1">
      <c r="C6516" s="818">
        <v>2</v>
      </c>
      <c r="D6516" s="212" t="s">
        <v>17</v>
      </c>
      <c r="E6516" s="212" t="s">
        <v>6</v>
      </c>
      <c r="F6516" s="538">
        <v>0.69599999999999995</v>
      </c>
      <c r="G6516" s="539">
        <f>VLOOKUP(D6516,upahbahan,3,FALSE)</f>
        <v>135000</v>
      </c>
      <c r="H6516" s="539">
        <f t="shared" si="663"/>
        <v>93960</v>
      </c>
    </row>
    <row r="6517" spans="3:9" ht="25.8" customHeight="1">
      <c r="C6517" s="818">
        <v>3</v>
      </c>
      <c r="D6517" s="212" t="s">
        <v>1310</v>
      </c>
      <c r="E6517" s="212" t="s">
        <v>6</v>
      </c>
      <c r="F6517" s="538">
        <v>7.0000000000000007E-2</v>
      </c>
      <c r="G6517" s="539">
        <f>VLOOKUP(D6517,upahbahan,3,FALSE)</f>
        <v>150000</v>
      </c>
      <c r="H6517" s="539">
        <f t="shared" si="663"/>
        <v>10500.000000000002</v>
      </c>
    </row>
    <row r="6518" spans="3:9" ht="25.8" customHeight="1">
      <c r="C6518" s="818">
        <v>4</v>
      </c>
      <c r="D6518" s="212" t="s">
        <v>19</v>
      </c>
      <c r="E6518" s="212" t="s">
        <v>6</v>
      </c>
      <c r="F6518" s="538">
        <v>2.3E-2</v>
      </c>
      <c r="G6518" s="539">
        <f>VLOOKUP(D6518,upahbahan,3,FALSE)</f>
        <v>160000</v>
      </c>
      <c r="H6518" s="539">
        <f t="shared" si="663"/>
        <v>3680</v>
      </c>
    </row>
    <row r="6519" spans="3:9" ht="25.8" customHeight="1">
      <c r="C6519" s="702" t="s">
        <v>1208</v>
      </c>
      <c r="D6519" s="208"/>
      <c r="E6519" s="208"/>
      <c r="F6519" s="811"/>
      <c r="G6519" s="522"/>
      <c r="H6519" s="539">
        <f>SUM(H6515:H6518)</f>
        <v>149840</v>
      </c>
      <c r="I6519" s="819"/>
    </row>
    <row r="6520" spans="3:9" ht="25.8" customHeight="1">
      <c r="C6520" s="213" t="s">
        <v>1209</v>
      </c>
      <c r="D6520" s="212" t="s">
        <v>1210</v>
      </c>
      <c r="E6520" s="534"/>
      <c r="F6520" s="831"/>
      <c r="G6520" s="534"/>
      <c r="H6520" s="534"/>
    </row>
    <row r="6521" spans="3:9" ht="25.8" customHeight="1">
      <c r="C6521" s="818">
        <v>1</v>
      </c>
      <c r="D6521" s="212" t="s">
        <v>5958</v>
      </c>
      <c r="E6521" s="212" t="s">
        <v>135</v>
      </c>
      <c r="F6521" s="538">
        <v>1.05</v>
      </c>
      <c r="G6521" s="539">
        <f>VLOOKUP(D6521,upahbahan,3,FALSE)</f>
        <v>3500000</v>
      </c>
      <c r="H6521" s="539">
        <f t="shared" ref="H6521" si="664">F6521*G6521</f>
        <v>3675000</v>
      </c>
    </row>
    <row r="6522" spans="3:9" ht="25.8" customHeight="1">
      <c r="C6522" s="702" t="s">
        <v>1214</v>
      </c>
      <c r="D6522" s="208"/>
      <c r="E6522" s="208"/>
      <c r="F6522" s="208"/>
      <c r="G6522" s="209"/>
      <c r="H6522" s="539">
        <f>SUM(H6520:H6521)</f>
        <v>3675000</v>
      </c>
    </row>
    <row r="6523" spans="3:9" ht="25.8" customHeight="1">
      <c r="C6523" s="213" t="s">
        <v>1215</v>
      </c>
      <c r="D6523" s="212" t="s">
        <v>1216</v>
      </c>
      <c r="E6523" s="534"/>
      <c r="F6523" s="534"/>
      <c r="G6523" s="534"/>
      <c r="H6523" s="534"/>
    </row>
    <row r="6524" spans="3:9" ht="25.8" customHeight="1">
      <c r="C6524" s="702" t="s">
        <v>1217</v>
      </c>
      <c r="D6524" s="815"/>
      <c r="E6524" s="815"/>
      <c r="F6524" s="815"/>
      <c r="G6524" s="209"/>
      <c r="H6524" s="821">
        <f>SUM(H6523:H6523)</f>
        <v>0</v>
      </c>
    </row>
    <row r="6525" spans="3:9" ht="25.8" customHeight="1">
      <c r="C6525" s="566" t="s">
        <v>1218</v>
      </c>
      <c r="D6525" s="552" t="s">
        <v>1219</v>
      </c>
      <c r="E6525" s="553"/>
      <c r="F6525" s="553"/>
      <c r="G6525" s="554"/>
      <c r="H6525" s="826">
        <f>H6524+H6522+H6519</f>
        <v>3824840</v>
      </c>
      <c r="I6525" s="827"/>
    </row>
    <row r="6526" spans="3:9" ht="25.8" customHeight="1">
      <c r="C6526" s="566" t="s">
        <v>1220</v>
      </c>
      <c r="D6526" s="552" t="s">
        <v>1321</v>
      </c>
      <c r="E6526" s="553"/>
      <c r="F6526" s="554"/>
      <c r="G6526" s="555">
        <f>$M$9</f>
        <v>0.1</v>
      </c>
      <c r="H6526" s="539">
        <f>H6525*G6526</f>
        <v>382484</v>
      </c>
      <c r="I6526" s="827"/>
    </row>
    <row r="6527" spans="3:9" ht="25.8" customHeight="1">
      <c r="C6527" s="566" t="s">
        <v>1221</v>
      </c>
      <c r="D6527" s="552" t="s">
        <v>1222</v>
      </c>
      <c r="E6527" s="553"/>
      <c r="F6527" s="553"/>
      <c r="G6527" s="554"/>
      <c r="H6527" s="828">
        <f>SUM(H6525:H6526)</f>
        <v>4207324</v>
      </c>
      <c r="I6527" s="827"/>
    </row>
    <row r="6528" spans="3:9" ht="25.8" customHeight="1"/>
    <row r="6529" spans="3:11" ht="25.8" customHeight="1">
      <c r="C6529" s="513" t="s">
        <v>5959</v>
      </c>
      <c r="D6529" s="817" t="s">
        <v>5960</v>
      </c>
      <c r="E6529" s="803"/>
      <c r="F6529" s="803"/>
      <c r="G6529" s="803"/>
      <c r="H6529" s="803"/>
      <c r="I6529" s="533">
        <f>ROUNDDOWN(H6544,-2)</f>
        <v>3006900</v>
      </c>
      <c r="J6529" s="536"/>
      <c r="K6529" s="824"/>
    </row>
    <row r="6530" spans="3:11" ht="25.8" customHeight="1">
      <c r="C6530" s="716" t="s">
        <v>1195</v>
      </c>
      <c r="D6530" s="716" t="s">
        <v>1196</v>
      </c>
      <c r="E6530" s="716" t="s">
        <v>1197</v>
      </c>
      <c r="F6530" s="716" t="s">
        <v>1198</v>
      </c>
      <c r="G6530" s="716" t="s">
        <v>1199</v>
      </c>
      <c r="H6530" s="716" t="s">
        <v>1200</v>
      </c>
    </row>
    <row r="6531" spans="3:11" ht="25.8" customHeight="1">
      <c r="C6531" s="213" t="s">
        <v>1201</v>
      </c>
      <c r="D6531" s="212" t="s">
        <v>1202</v>
      </c>
      <c r="E6531" s="534"/>
      <c r="F6531" s="534"/>
      <c r="G6531" s="534"/>
      <c r="H6531" s="534"/>
    </row>
    <row r="6532" spans="3:11" ht="25.8" customHeight="1">
      <c r="C6532" s="818">
        <v>1</v>
      </c>
      <c r="D6532" s="212" t="s">
        <v>5</v>
      </c>
      <c r="E6532" s="212" t="s">
        <v>6</v>
      </c>
      <c r="F6532" s="538">
        <v>0.30199999999999999</v>
      </c>
      <c r="G6532" s="539">
        <f>VLOOKUP(D6532,upahbahan,3,FALSE)</f>
        <v>100000</v>
      </c>
      <c r="H6532" s="539">
        <f t="shared" ref="H6532:H6535" si="665">F6532*G6532</f>
        <v>30200</v>
      </c>
    </row>
    <row r="6533" spans="3:11" ht="25.8" customHeight="1">
      <c r="C6533" s="818">
        <v>2</v>
      </c>
      <c r="D6533" s="212" t="s">
        <v>17</v>
      </c>
      <c r="E6533" s="212" t="s">
        <v>6</v>
      </c>
      <c r="F6533" s="538">
        <v>0.505</v>
      </c>
      <c r="G6533" s="539">
        <f>VLOOKUP(D6533,upahbahan,3,FALSE)</f>
        <v>135000</v>
      </c>
      <c r="H6533" s="539">
        <f t="shared" si="665"/>
        <v>68175</v>
      </c>
    </row>
    <row r="6534" spans="3:11" ht="25.8" customHeight="1">
      <c r="C6534" s="818">
        <v>3</v>
      </c>
      <c r="D6534" s="212" t="s">
        <v>1310</v>
      </c>
      <c r="E6534" s="212" t="s">
        <v>6</v>
      </c>
      <c r="F6534" s="538">
        <v>0.05</v>
      </c>
      <c r="G6534" s="539">
        <f>VLOOKUP(D6534,upahbahan,3,FALSE)</f>
        <v>150000</v>
      </c>
      <c r="H6534" s="539">
        <f t="shared" si="665"/>
        <v>7500</v>
      </c>
    </row>
    <row r="6535" spans="3:11" ht="25.8" customHeight="1">
      <c r="C6535" s="818">
        <v>4</v>
      </c>
      <c r="D6535" s="212" t="s">
        <v>19</v>
      </c>
      <c r="E6535" s="212" t="s">
        <v>6</v>
      </c>
      <c r="F6535" s="538">
        <v>1.7000000000000001E-2</v>
      </c>
      <c r="G6535" s="539">
        <f>VLOOKUP(D6535,upahbahan,3,FALSE)</f>
        <v>160000</v>
      </c>
      <c r="H6535" s="539">
        <f t="shared" si="665"/>
        <v>2720</v>
      </c>
    </row>
    <row r="6536" spans="3:11" ht="25.8" customHeight="1">
      <c r="C6536" s="702" t="s">
        <v>1208</v>
      </c>
      <c r="D6536" s="208"/>
      <c r="E6536" s="208"/>
      <c r="F6536" s="811"/>
      <c r="G6536" s="522"/>
      <c r="H6536" s="539">
        <f>SUM(H6532:H6535)</f>
        <v>108595</v>
      </c>
      <c r="I6536" s="819"/>
    </row>
    <row r="6537" spans="3:11" ht="25.8" customHeight="1">
      <c r="C6537" s="213" t="s">
        <v>1209</v>
      </c>
      <c r="D6537" s="212" t="s">
        <v>1210</v>
      </c>
      <c r="E6537" s="534"/>
      <c r="F6537" s="831"/>
      <c r="G6537" s="534"/>
      <c r="H6537" s="534"/>
    </row>
    <row r="6538" spans="3:11" ht="25.8" customHeight="1">
      <c r="C6538" s="818">
        <v>1</v>
      </c>
      <c r="D6538" s="212" t="s">
        <v>5961</v>
      </c>
      <c r="E6538" s="212" t="s">
        <v>135</v>
      </c>
      <c r="F6538" s="538">
        <v>1.05</v>
      </c>
      <c r="G6538" s="539">
        <f>VLOOKUP(D6538,upahbahan,3,FALSE)</f>
        <v>2500000</v>
      </c>
      <c r="H6538" s="539">
        <f t="shared" ref="H6538" si="666">F6538*G6538</f>
        <v>2625000</v>
      </c>
    </row>
    <row r="6539" spans="3:11" ht="25.8" customHeight="1">
      <c r="C6539" s="702" t="s">
        <v>1214</v>
      </c>
      <c r="D6539" s="208"/>
      <c r="E6539" s="208"/>
      <c r="F6539" s="208"/>
      <c r="G6539" s="209"/>
      <c r="H6539" s="539">
        <f>SUM(H6537:H6538)</f>
        <v>2625000</v>
      </c>
    </row>
    <row r="6540" spans="3:11" ht="25.8" customHeight="1">
      <c r="C6540" s="213" t="s">
        <v>1215</v>
      </c>
      <c r="D6540" s="212" t="s">
        <v>1216</v>
      </c>
      <c r="E6540" s="534"/>
      <c r="F6540" s="534"/>
      <c r="G6540" s="534"/>
      <c r="H6540" s="534"/>
    </row>
    <row r="6541" spans="3:11" ht="25.8" customHeight="1">
      <c r="C6541" s="702" t="s">
        <v>1217</v>
      </c>
      <c r="D6541" s="815"/>
      <c r="E6541" s="815"/>
      <c r="F6541" s="815"/>
      <c r="G6541" s="209"/>
      <c r="H6541" s="821">
        <f>SUM(H6540:H6540)</f>
        <v>0</v>
      </c>
    </row>
    <row r="6542" spans="3:11" ht="25.8" customHeight="1">
      <c r="C6542" s="566" t="s">
        <v>1218</v>
      </c>
      <c r="D6542" s="552" t="s">
        <v>1219</v>
      </c>
      <c r="E6542" s="553"/>
      <c r="F6542" s="553"/>
      <c r="G6542" s="554"/>
      <c r="H6542" s="826">
        <f>H6541+H6539+H6536</f>
        <v>2733595</v>
      </c>
      <c r="I6542" s="827"/>
    </row>
    <row r="6543" spans="3:11" ht="25.8" customHeight="1">
      <c r="C6543" s="566" t="s">
        <v>1220</v>
      </c>
      <c r="D6543" s="552" t="s">
        <v>1321</v>
      </c>
      <c r="E6543" s="553"/>
      <c r="F6543" s="554"/>
      <c r="G6543" s="555">
        <f>$M$9</f>
        <v>0.1</v>
      </c>
      <c r="H6543" s="539">
        <f>H6542*G6543</f>
        <v>273359.5</v>
      </c>
      <c r="I6543" s="827"/>
    </row>
    <row r="6544" spans="3:11" ht="25.8" customHeight="1">
      <c r="C6544" s="566" t="s">
        <v>1221</v>
      </c>
      <c r="D6544" s="552" t="s">
        <v>1222</v>
      </c>
      <c r="E6544" s="553"/>
      <c r="F6544" s="553"/>
      <c r="G6544" s="554"/>
      <c r="H6544" s="828">
        <f>SUM(H6542:H6543)</f>
        <v>3006954.5</v>
      </c>
      <c r="I6544" s="827"/>
    </row>
    <row r="6545" spans="3:11" ht="25.8" customHeight="1"/>
    <row r="6546" spans="3:11" ht="25.8" customHeight="1">
      <c r="C6546" s="513" t="s">
        <v>5962</v>
      </c>
      <c r="D6546" s="817" t="s">
        <v>5964</v>
      </c>
      <c r="E6546" s="803"/>
      <c r="F6546" s="803"/>
      <c r="G6546" s="803"/>
      <c r="H6546" s="803"/>
      <c r="I6546" s="533">
        <f>ROUNDDOWN(H6561,-2)</f>
        <v>2313900</v>
      </c>
      <c r="J6546" s="536"/>
      <c r="K6546" s="824"/>
    </row>
    <row r="6547" spans="3:11" ht="25.8" customHeight="1">
      <c r="C6547" s="716" t="s">
        <v>1195</v>
      </c>
      <c r="D6547" s="716" t="s">
        <v>1196</v>
      </c>
      <c r="E6547" s="716" t="s">
        <v>1197</v>
      </c>
      <c r="F6547" s="716" t="s">
        <v>1198</v>
      </c>
      <c r="G6547" s="716" t="s">
        <v>1199</v>
      </c>
      <c r="H6547" s="716" t="s">
        <v>1200</v>
      </c>
    </row>
    <row r="6548" spans="3:11" ht="25.8" customHeight="1">
      <c r="C6548" s="213" t="s">
        <v>1201</v>
      </c>
      <c r="D6548" s="212" t="s">
        <v>1202</v>
      </c>
      <c r="E6548" s="534"/>
      <c r="F6548" s="534"/>
      <c r="G6548" s="534"/>
      <c r="H6548" s="534"/>
    </row>
    <row r="6549" spans="3:11" ht="25.8" customHeight="1">
      <c r="C6549" s="818">
        <v>1</v>
      </c>
      <c r="D6549" s="212" t="s">
        <v>5</v>
      </c>
      <c r="E6549" s="212" t="s">
        <v>6</v>
      </c>
      <c r="F6549" s="538">
        <v>0.30199999999999999</v>
      </c>
      <c r="G6549" s="539">
        <f>VLOOKUP(D6549,upahbahan,3,FALSE)</f>
        <v>100000</v>
      </c>
      <c r="H6549" s="539">
        <f t="shared" ref="H6549:H6552" si="667">F6549*G6549</f>
        <v>30200</v>
      </c>
    </row>
    <row r="6550" spans="3:11" ht="25.8" customHeight="1">
      <c r="C6550" s="818">
        <v>2</v>
      </c>
      <c r="D6550" s="212" t="s">
        <v>17</v>
      </c>
      <c r="E6550" s="212" t="s">
        <v>6</v>
      </c>
      <c r="F6550" s="538">
        <v>0.505</v>
      </c>
      <c r="G6550" s="539">
        <f>VLOOKUP(D6550,upahbahan,3,FALSE)</f>
        <v>135000</v>
      </c>
      <c r="H6550" s="539">
        <f t="shared" si="667"/>
        <v>68175</v>
      </c>
    </row>
    <row r="6551" spans="3:11" ht="25.8" customHeight="1">
      <c r="C6551" s="818">
        <v>3</v>
      </c>
      <c r="D6551" s="212" t="s">
        <v>1310</v>
      </c>
      <c r="E6551" s="212" t="s">
        <v>6</v>
      </c>
      <c r="F6551" s="538">
        <v>0.05</v>
      </c>
      <c r="G6551" s="539">
        <f>VLOOKUP(D6551,upahbahan,3,FALSE)</f>
        <v>150000</v>
      </c>
      <c r="H6551" s="539">
        <f t="shared" si="667"/>
        <v>7500</v>
      </c>
    </row>
    <row r="6552" spans="3:11" ht="25.8" customHeight="1">
      <c r="C6552" s="818">
        <v>4</v>
      </c>
      <c r="D6552" s="212" t="s">
        <v>19</v>
      </c>
      <c r="E6552" s="212" t="s">
        <v>6</v>
      </c>
      <c r="F6552" s="538">
        <v>1.7000000000000001E-2</v>
      </c>
      <c r="G6552" s="539">
        <f>VLOOKUP(D6552,upahbahan,3,FALSE)</f>
        <v>160000</v>
      </c>
      <c r="H6552" s="539">
        <f t="shared" si="667"/>
        <v>2720</v>
      </c>
    </row>
    <row r="6553" spans="3:11" ht="25.8" customHeight="1">
      <c r="C6553" s="702" t="s">
        <v>1208</v>
      </c>
      <c r="D6553" s="208"/>
      <c r="E6553" s="208"/>
      <c r="F6553" s="811"/>
      <c r="G6553" s="522"/>
      <c r="H6553" s="539">
        <f>SUM(H6549:H6552)</f>
        <v>108595</v>
      </c>
      <c r="I6553" s="819"/>
    </row>
    <row r="6554" spans="3:11" ht="25.8" customHeight="1">
      <c r="C6554" s="213" t="s">
        <v>1209</v>
      </c>
      <c r="D6554" s="212" t="s">
        <v>1210</v>
      </c>
      <c r="E6554" s="534"/>
      <c r="F6554" s="831"/>
      <c r="G6554" s="534"/>
      <c r="H6554" s="534"/>
    </row>
    <row r="6555" spans="3:11" ht="25.8" customHeight="1">
      <c r="C6555" s="818">
        <v>1</v>
      </c>
      <c r="D6555" s="212" t="s">
        <v>5963</v>
      </c>
      <c r="E6555" s="212" t="s">
        <v>135</v>
      </c>
      <c r="F6555" s="538">
        <v>1.05</v>
      </c>
      <c r="G6555" s="539">
        <f>VLOOKUP(D6555,upahbahan,3,FALSE)</f>
        <v>1900000</v>
      </c>
      <c r="H6555" s="539">
        <f t="shared" ref="H6555" si="668">F6555*G6555</f>
        <v>1995000</v>
      </c>
    </row>
    <row r="6556" spans="3:11" ht="25.8" customHeight="1">
      <c r="C6556" s="702" t="s">
        <v>1214</v>
      </c>
      <c r="D6556" s="208"/>
      <c r="E6556" s="208"/>
      <c r="F6556" s="208"/>
      <c r="G6556" s="209"/>
      <c r="H6556" s="539">
        <f>SUM(H6554:H6555)</f>
        <v>1995000</v>
      </c>
    </row>
    <row r="6557" spans="3:11" ht="25.8" customHeight="1">
      <c r="C6557" s="213" t="s">
        <v>1215</v>
      </c>
      <c r="D6557" s="212" t="s">
        <v>1216</v>
      </c>
      <c r="E6557" s="534"/>
      <c r="F6557" s="534"/>
      <c r="G6557" s="534"/>
      <c r="H6557" s="534"/>
    </row>
    <row r="6558" spans="3:11" ht="25.8" customHeight="1">
      <c r="C6558" s="702" t="s">
        <v>1217</v>
      </c>
      <c r="D6558" s="815"/>
      <c r="E6558" s="815"/>
      <c r="F6558" s="815"/>
      <c r="G6558" s="209"/>
      <c r="H6558" s="821">
        <f>SUM(H6557:H6557)</f>
        <v>0</v>
      </c>
    </row>
    <row r="6559" spans="3:11" ht="25.8" customHeight="1">
      <c r="C6559" s="566" t="s">
        <v>1218</v>
      </c>
      <c r="D6559" s="552" t="s">
        <v>1219</v>
      </c>
      <c r="E6559" s="553"/>
      <c r="F6559" s="553"/>
      <c r="G6559" s="554"/>
      <c r="H6559" s="826">
        <f>H6558+H6556+H6553</f>
        <v>2103595</v>
      </c>
      <c r="I6559" s="827"/>
    </row>
    <row r="6560" spans="3:11" ht="25.8" customHeight="1">
      <c r="C6560" s="566" t="s">
        <v>1220</v>
      </c>
      <c r="D6560" s="552" t="s">
        <v>1321</v>
      </c>
      <c r="E6560" s="553"/>
      <c r="F6560" s="554"/>
      <c r="G6560" s="555">
        <f>$M$9</f>
        <v>0.1</v>
      </c>
      <c r="H6560" s="539">
        <f>H6559*G6560</f>
        <v>210359.5</v>
      </c>
      <c r="I6560" s="827"/>
    </row>
    <row r="6561" spans="3:11" ht="25.8" customHeight="1">
      <c r="C6561" s="566" t="s">
        <v>1221</v>
      </c>
      <c r="D6561" s="552" t="s">
        <v>1222</v>
      </c>
      <c r="E6561" s="553"/>
      <c r="F6561" s="553"/>
      <c r="G6561" s="554"/>
      <c r="H6561" s="828">
        <f>SUM(H6559:H6560)</f>
        <v>2313954.5</v>
      </c>
      <c r="I6561" s="827"/>
    </row>
    <row r="6562" spans="3:11" ht="25.8" customHeight="1"/>
    <row r="6563" spans="3:11" ht="25.8" customHeight="1">
      <c r="C6563" s="513" t="s">
        <v>5965</v>
      </c>
      <c r="D6563" s="817" t="s">
        <v>5966</v>
      </c>
      <c r="E6563" s="803"/>
      <c r="F6563" s="803"/>
      <c r="G6563" s="803"/>
      <c r="H6563" s="803"/>
      <c r="I6563" s="533">
        <f>ROUNDDOWN(H6578,-2)</f>
        <v>2936400</v>
      </c>
      <c r="J6563" s="536"/>
      <c r="K6563" s="824"/>
    </row>
    <row r="6564" spans="3:11" ht="25.8" customHeight="1">
      <c r="C6564" s="716" t="s">
        <v>1195</v>
      </c>
      <c r="D6564" s="716" t="s">
        <v>1196</v>
      </c>
      <c r="E6564" s="716" t="s">
        <v>1197</v>
      </c>
      <c r="F6564" s="716" t="s">
        <v>1198</v>
      </c>
      <c r="G6564" s="716" t="s">
        <v>1199</v>
      </c>
      <c r="H6564" s="716" t="s">
        <v>1200</v>
      </c>
    </row>
    <row r="6565" spans="3:11" ht="25.8" customHeight="1">
      <c r="C6565" s="213" t="s">
        <v>1201</v>
      </c>
      <c r="D6565" s="212" t="s">
        <v>1202</v>
      </c>
      <c r="E6565" s="534"/>
      <c r="F6565" s="534"/>
      <c r="G6565" s="534"/>
      <c r="H6565" s="534"/>
    </row>
    <row r="6566" spans="3:11" ht="25.8" customHeight="1">
      <c r="C6566" s="818">
        <v>1</v>
      </c>
      <c r="D6566" s="212" t="s">
        <v>5</v>
      </c>
      <c r="E6566" s="212" t="s">
        <v>6</v>
      </c>
      <c r="F6566" s="538">
        <v>1</v>
      </c>
      <c r="G6566" s="539">
        <f>VLOOKUP(D6566,upahbahan,3,FALSE)</f>
        <v>100000</v>
      </c>
      <c r="H6566" s="539">
        <f t="shared" ref="H6566:H6569" si="669">F6566*G6566</f>
        <v>100000</v>
      </c>
    </row>
    <row r="6567" spans="3:11" ht="25.8" customHeight="1">
      <c r="C6567" s="818">
        <v>2</v>
      </c>
      <c r="D6567" s="212" t="s">
        <v>17</v>
      </c>
      <c r="E6567" s="212" t="s">
        <v>6</v>
      </c>
      <c r="F6567" s="538">
        <v>1.67</v>
      </c>
      <c r="G6567" s="539">
        <f>VLOOKUP(D6567,upahbahan,3,FALSE)</f>
        <v>135000</v>
      </c>
      <c r="H6567" s="539">
        <f t="shared" si="669"/>
        <v>225450</v>
      </c>
    </row>
    <row r="6568" spans="3:11" ht="25.8" customHeight="1">
      <c r="C6568" s="818">
        <v>3</v>
      </c>
      <c r="D6568" s="212" t="s">
        <v>1310</v>
      </c>
      <c r="E6568" s="212" t="s">
        <v>6</v>
      </c>
      <c r="F6568" s="538">
        <v>0.16700000000000001</v>
      </c>
      <c r="G6568" s="539">
        <f>VLOOKUP(D6568,upahbahan,3,FALSE)</f>
        <v>150000</v>
      </c>
      <c r="H6568" s="539">
        <f t="shared" si="669"/>
        <v>25050</v>
      </c>
    </row>
    <row r="6569" spans="3:11" ht="25.8" customHeight="1">
      <c r="C6569" s="818">
        <v>4</v>
      </c>
      <c r="D6569" s="212" t="s">
        <v>19</v>
      </c>
      <c r="E6569" s="212" t="s">
        <v>6</v>
      </c>
      <c r="F6569" s="538">
        <v>5.6000000000000001E-2</v>
      </c>
      <c r="G6569" s="539">
        <f>VLOOKUP(D6569,upahbahan,3,FALSE)</f>
        <v>160000</v>
      </c>
      <c r="H6569" s="539">
        <f t="shared" si="669"/>
        <v>8960</v>
      </c>
    </row>
    <row r="6570" spans="3:11" ht="25.8" customHeight="1">
      <c r="C6570" s="702" t="s">
        <v>1208</v>
      </c>
      <c r="D6570" s="208"/>
      <c r="E6570" s="208"/>
      <c r="F6570" s="811"/>
      <c r="G6570" s="522"/>
      <c r="H6570" s="539">
        <f>SUM(H6566:H6569)</f>
        <v>359460</v>
      </c>
      <c r="I6570" s="819"/>
    </row>
    <row r="6571" spans="3:11" ht="25.8" customHeight="1">
      <c r="C6571" s="213" t="s">
        <v>1209</v>
      </c>
      <c r="D6571" s="212" t="s">
        <v>1210</v>
      </c>
      <c r="E6571" s="534"/>
      <c r="F6571" s="831"/>
      <c r="G6571" s="534"/>
      <c r="H6571" s="534"/>
    </row>
    <row r="6572" spans="3:11" ht="25.8" customHeight="1">
      <c r="C6572" s="818">
        <v>1</v>
      </c>
      <c r="D6572" s="212" t="s">
        <v>5967</v>
      </c>
      <c r="E6572" s="212" t="s">
        <v>135</v>
      </c>
      <c r="F6572" s="538">
        <v>1.1000000000000001</v>
      </c>
      <c r="G6572" s="539">
        <f>VLOOKUP(D6572,upahbahan,3,FALSE)</f>
        <v>2100000</v>
      </c>
      <c r="H6572" s="539">
        <f t="shared" ref="H6572" si="670">F6572*G6572</f>
        <v>2310000</v>
      </c>
    </row>
    <row r="6573" spans="3:11" ht="25.8" customHeight="1">
      <c r="C6573" s="702" t="s">
        <v>1214</v>
      </c>
      <c r="D6573" s="208"/>
      <c r="E6573" s="208"/>
      <c r="F6573" s="208"/>
      <c r="G6573" s="209"/>
      <c r="H6573" s="539">
        <f>SUM(H6571:H6572)</f>
        <v>2310000</v>
      </c>
    </row>
    <row r="6574" spans="3:11" ht="25.8" customHeight="1">
      <c r="C6574" s="213" t="s">
        <v>1215</v>
      </c>
      <c r="D6574" s="212" t="s">
        <v>1216</v>
      </c>
      <c r="E6574" s="534"/>
      <c r="F6574" s="534"/>
      <c r="G6574" s="534"/>
      <c r="H6574" s="534"/>
    </row>
    <row r="6575" spans="3:11" ht="25.8" customHeight="1">
      <c r="C6575" s="702" t="s">
        <v>1217</v>
      </c>
      <c r="D6575" s="815"/>
      <c r="E6575" s="815"/>
      <c r="F6575" s="815"/>
      <c r="G6575" s="209"/>
      <c r="H6575" s="821">
        <f>SUM(H6574:H6574)</f>
        <v>0</v>
      </c>
    </row>
    <row r="6576" spans="3:11" ht="25.8" customHeight="1">
      <c r="C6576" s="566" t="s">
        <v>1218</v>
      </c>
      <c r="D6576" s="552" t="s">
        <v>1219</v>
      </c>
      <c r="E6576" s="553"/>
      <c r="F6576" s="553"/>
      <c r="G6576" s="554"/>
      <c r="H6576" s="826">
        <f>H6575+H6573+H6570</f>
        <v>2669460</v>
      </c>
      <c r="I6576" s="827"/>
    </row>
    <row r="6577" spans="3:11" ht="25.8" customHeight="1">
      <c r="C6577" s="566" t="s">
        <v>1220</v>
      </c>
      <c r="D6577" s="552" t="s">
        <v>1321</v>
      </c>
      <c r="E6577" s="553"/>
      <c r="F6577" s="554"/>
      <c r="G6577" s="555">
        <f>$M$9</f>
        <v>0.1</v>
      </c>
      <c r="H6577" s="539">
        <f>H6576*G6577</f>
        <v>266946</v>
      </c>
      <c r="I6577" s="827"/>
    </row>
    <row r="6578" spans="3:11" ht="25.8" customHeight="1">
      <c r="C6578" s="566" t="s">
        <v>1221</v>
      </c>
      <c r="D6578" s="552" t="s">
        <v>1222</v>
      </c>
      <c r="E6578" s="553"/>
      <c r="F6578" s="553"/>
      <c r="G6578" s="554"/>
      <c r="H6578" s="828">
        <f>SUM(H6576:H6577)</f>
        <v>2936406</v>
      </c>
      <c r="I6578" s="827"/>
    </row>
    <row r="6579" spans="3:11" ht="25.8" customHeight="1"/>
    <row r="6580" spans="3:11" ht="25.8" customHeight="1">
      <c r="C6580" s="513" t="s">
        <v>5968</v>
      </c>
      <c r="D6580" s="817" t="s">
        <v>5969</v>
      </c>
      <c r="E6580" s="803"/>
      <c r="F6580" s="803"/>
      <c r="G6580" s="803"/>
      <c r="H6580" s="803"/>
      <c r="I6580" s="533">
        <f>ROUNDDOWN(H6595,-2)</f>
        <v>716000</v>
      </c>
      <c r="J6580" s="536"/>
      <c r="K6580" s="824"/>
    </row>
    <row r="6581" spans="3:11" ht="25.8" customHeight="1">
      <c r="C6581" s="716" t="s">
        <v>1195</v>
      </c>
      <c r="D6581" s="716" t="s">
        <v>1196</v>
      </c>
      <c r="E6581" s="716" t="s">
        <v>1197</v>
      </c>
      <c r="F6581" s="716" t="s">
        <v>1198</v>
      </c>
      <c r="G6581" s="716" t="s">
        <v>1199</v>
      </c>
      <c r="H6581" s="716" t="s">
        <v>1200</v>
      </c>
    </row>
    <row r="6582" spans="3:11" ht="25.8" customHeight="1">
      <c r="C6582" s="213" t="s">
        <v>1201</v>
      </c>
      <c r="D6582" s="212" t="s">
        <v>1202</v>
      </c>
      <c r="E6582" s="534"/>
      <c r="F6582" s="534"/>
      <c r="G6582" s="534"/>
      <c r="H6582" s="534"/>
    </row>
    <row r="6583" spans="3:11" ht="25.8" customHeight="1">
      <c r="C6583" s="818">
        <v>1</v>
      </c>
      <c r="D6583" s="212" t="s">
        <v>5</v>
      </c>
      <c r="E6583" s="212" t="s">
        <v>6</v>
      </c>
      <c r="F6583" s="538">
        <v>1</v>
      </c>
      <c r="G6583" s="539">
        <f>VLOOKUP(D6583,upahbahan,3,FALSE)</f>
        <v>100000</v>
      </c>
      <c r="H6583" s="539">
        <f t="shared" ref="H6583:H6586" si="671">F6583*G6583</f>
        <v>100000</v>
      </c>
    </row>
    <row r="6584" spans="3:11" ht="25.8" customHeight="1">
      <c r="C6584" s="818">
        <v>2</v>
      </c>
      <c r="D6584" s="212" t="s">
        <v>17</v>
      </c>
      <c r="E6584" s="212" t="s">
        <v>6</v>
      </c>
      <c r="F6584" s="538">
        <v>1.67</v>
      </c>
      <c r="G6584" s="539">
        <f>VLOOKUP(D6584,upahbahan,3,FALSE)</f>
        <v>135000</v>
      </c>
      <c r="H6584" s="539">
        <f t="shared" si="671"/>
        <v>225450</v>
      </c>
    </row>
    <row r="6585" spans="3:11" ht="25.8" customHeight="1">
      <c r="C6585" s="818">
        <v>3</v>
      </c>
      <c r="D6585" s="212" t="s">
        <v>1310</v>
      </c>
      <c r="E6585" s="212" t="s">
        <v>6</v>
      </c>
      <c r="F6585" s="538">
        <v>0.16700000000000001</v>
      </c>
      <c r="G6585" s="539">
        <f>VLOOKUP(D6585,upahbahan,3,FALSE)</f>
        <v>150000</v>
      </c>
      <c r="H6585" s="539">
        <f t="shared" si="671"/>
        <v>25050</v>
      </c>
    </row>
    <row r="6586" spans="3:11" ht="25.8" customHeight="1">
      <c r="C6586" s="818">
        <v>4</v>
      </c>
      <c r="D6586" s="212" t="s">
        <v>19</v>
      </c>
      <c r="E6586" s="212" t="s">
        <v>6</v>
      </c>
      <c r="F6586" s="538">
        <v>5.6000000000000001E-2</v>
      </c>
      <c r="G6586" s="539">
        <f>VLOOKUP(D6586,upahbahan,3,FALSE)</f>
        <v>160000</v>
      </c>
      <c r="H6586" s="539">
        <f t="shared" si="671"/>
        <v>8960</v>
      </c>
    </row>
    <row r="6587" spans="3:11" ht="25.8" customHeight="1">
      <c r="C6587" s="702" t="s">
        <v>1208</v>
      </c>
      <c r="D6587" s="208"/>
      <c r="E6587" s="208"/>
      <c r="F6587" s="811"/>
      <c r="G6587" s="522"/>
      <c r="H6587" s="539">
        <f>SUM(H6583:H6586)</f>
        <v>359460</v>
      </c>
      <c r="I6587" s="819"/>
    </row>
    <row r="6588" spans="3:11" ht="25.8" customHeight="1">
      <c r="C6588" s="213" t="s">
        <v>1209</v>
      </c>
      <c r="D6588" s="212" t="s">
        <v>1210</v>
      </c>
      <c r="E6588" s="534"/>
      <c r="F6588" s="831"/>
      <c r="G6588" s="534"/>
      <c r="H6588" s="534"/>
    </row>
    <row r="6589" spans="3:11" ht="25.8" customHeight="1">
      <c r="C6589" s="818">
        <v>1</v>
      </c>
      <c r="D6589" s="212" t="s">
        <v>5970</v>
      </c>
      <c r="E6589" s="212" t="s">
        <v>135</v>
      </c>
      <c r="F6589" s="538">
        <v>1.1000000000000001</v>
      </c>
      <c r="G6589" s="539">
        <f>VLOOKUP(D6589,upahbahan,3,FALSE)</f>
        <v>265000</v>
      </c>
      <c r="H6589" s="539">
        <f t="shared" ref="H6589" si="672">F6589*G6589</f>
        <v>291500</v>
      </c>
    </row>
    <row r="6590" spans="3:11" ht="25.8" customHeight="1">
      <c r="C6590" s="702" t="s">
        <v>1214</v>
      </c>
      <c r="D6590" s="208"/>
      <c r="E6590" s="208"/>
      <c r="F6590" s="208"/>
      <c r="G6590" s="209"/>
      <c r="H6590" s="539">
        <f>SUM(H6588:H6589)</f>
        <v>291500</v>
      </c>
    </row>
    <row r="6591" spans="3:11" ht="25.8" customHeight="1">
      <c r="C6591" s="213" t="s">
        <v>1215</v>
      </c>
      <c r="D6591" s="212" t="s">
        <v>1216</v>
      </c>
      <c r="E6591" s="534"/>
      <c r="F6591" s="534"/>
      <c r="G6591" s="534"/>
      <c r="H6591" s="534"/>
    </row>
    <row r="6592" spans="3:11" ht="25.8" customHeight="1">
      <c r="C6592" s="702" t="s">
        <v>1217</v>
      </c>
      <c r="D6592" s="815"/>
      <c r="E6592" s="815"/>
      <c r="F6592" s="815"/>
      <c r="G6592" s="209"/>
      <c r="H6592" s="821">
        <f>SUM(H6591:H6591)</f>
        <v>0</v>
      </c>
    </row>
    <row r="6593" spans="3:11" ht="25.8" customHeight="1">
      <c r="C6593" s="566" t="s">
        <v>1218</v>
      </c>
      <c r="D6593" s="552" t="s">
        <v>1219</v>
      </c>
      <c r="E6593" s="553"/>
      <c r="F6593" s="553"/>
      <c r="G6593" s="554"/>
      <c r="H6593" s="826">
        <f>H6592+H6590+H6587</f>
        <v>650960</v>
      </c>
      <c r="I6593" s="827"/>
    </row>
    <row r="6594" spans="3:11" ht="25.8" customHeight="1">
      <c r="C6594" s="566" t="s">
        <v>1220</v>
      </c>
      <c r="D6594" s="552" t="s">
        <v>1321</v>
      </c>
      <c r="E6594" s="553"/>
      <c r="F6594" s="554"/>
      <c r="G6594" s="555">
        <f>$M$9</f>
        <v>0.1</v>
      </c>
      <c r="H6594" s="539">
        <f>H6593*G6594</f>
        <v>65096</v>
      </c>
      <c r="I6594" s="827"/>
    </row>
    <row r="6595" spans="3:11" ht="25.8" customHeight="1">
      <c r="C6595" s="566" t="s">
        <v>1221</v>
      </c>
      <c r="D6595" s="552" t="s">
        <v>1222</v>
      </c>
      <c r="E6595" s="553"/>
      <c r="F6595" s="553"/>
      <c r="G6595" s="554"/>
      <c r="H6595" s="828">
        <f>SUM(H6593:H6594)</f>
        <v>716056</v>
      </c>
      <c r="I6595" s="827"/>
    </row>
    <row r="6596" spans="3:11" ht="25.8" customHeight="1"/>
    <row r="6597" spans="3:11" ht="25.8" customHeight="1"/>
    <row r="6598" spans="3:11" ht="25.8" customHeight="1">
      <c r="C6598" s="513" t="s">
        <v>5971</v>
      </c>
      <c r="D6598" s="817" t="s">
        <v>5972</v>
      </c>
      <c r="E6598" s="803"/>
      <c r="F6598" s="803"/>
      <c r="G6598" s="803"/>
      <c r="H6598" s="803"/>
      <c r="I6598" s="533">
        <f>ROUNDDOWN(H6613,-2)</f>
        <v>938400</v>
      </c>
      <c r="J6598" s="536"/>
      <c r="K6598" s="824"/>
    </row>
    <row r="6599" spans="3:11" ht="25.8" customHeight="1">
      <c r="C6599" s="716" t="s">
        <v>1195</v>
      </c>
      <c r="D6599" s="716" t="s">
        <v>1196</v>
      </c>
      <c r="E6599" s="716" t="s">
        <v>1197</v>
      </c>
      <c r="F6599" s="716" t="s">
        <v>1198</v>
      </c>
      <c r="G6599" s="716" t="s">
        <v>1199</v>
      </c>
      <c r="H6599" s="716" t="s">
        <v>1200</v>
      </c>
    </row>
    <row r="6600" spans="3:11" ht="25.8" customHeight="1">
      <c r="C6600" s="213" t="s">
        <v>1201</v>
      </c>
      <c r="D6600" s="212" t="s">
        <v>1202</v>
      </c>
      <c r="E6600" s="534"/>
      <c r="F6600" s="534"/>
      <c r="G6600" s="534"/>
      <c r="H6600" s="534"/>
    </row>
    <row r="6601" spans="3:11" ht="25.8" customHeight="1">
      <c r="C6601" s="818">
        <v>1</v>
      </c>
      <c r="D6601" s="212" t="s">
        <v>5</v>
      </c>
      <c r="E6601" s="212" t="s">
        <v>6</v>
      </c>
      <c r="F6601" s="538">
        <v>9.5000000000000001E-2</v>
      </c>
      <c r="G6601" s="539">
        <f>VLOOKUP(D6601,upahbahan,3,FALSE)</f>
        <v>100000</v>
      </c>
      <c r="H6601" s="539">
        <f t="shared" ref="H6601:H6604" si="673">F6601*G6601</f>
        <v>9500</v>
      </c>
    </row>
    <row r="6602" spans="3:11" ht="25.8" customHeight="1">
      <c r="C6602" s="818">
        <v>2</v>
      </c>
      <c r="D6602" s="212" t="s">
        <v>17</v>
      </c>
      <c r="E6602" s="212" t="s">
        <v>6</v>
      </c>
      <c r="F6602" s="538">
        <v>0.159</v>
      </c>
      <c r="G6602" s="539">
        <f>VLOOKUP(D6602,upahbahan,3,FALSE)</f>
        <v>135000</v>
      </c>
      <c r="H6602" s="539">
        <f t="shared" si="673"/>
        <v>21465</v>
      </c>
    </row>
    <row r="6603" spans="3:11" ht="25.8" customHeight="1">
      <c r="C6603" s="818">
        <v>3</v>
      </c>
      <c r="D6603" s="212" t="s">
        <v>1310</v>
      </c>
      <c r="E6603" s="212" t="s">
        <v>6</v>
      </c>
      <c r="F6603" s="538">
        <v>1.6E-2</v>
      </c>
      <c r="G6603" s="539">
        <f>VLOOKUP(D6603,upahbahan,3,FALSE)</f>
        <v>150000</v>
      </c>
      <c r="H6603" s="539">
        <f t="shared" si="673"/>
        <v>2400</v>
      </c>
    </row>
    <row r="6604" spans="3:11" ht="25.8" customHeight="1">
      <c r="C6604" s="818">
        <v>4</v>
      </c>
      <c r="D6604" s="212" t="s">
        <v>19</v>
      </c>
      <c r="E6604" s="212" t="s">
        <v>6</v>
      </c>
      <c r="F6604" s="538">
        <v>5.0000000000000001E-3</v>
      </c>
      <c r="G6604" s="539">
        <f>VLOOKUP(D6604,upahbahan,3,FALSE)</f>
        <v>160000</v>
      </c>
      <c r="H6604" s="539">
        <f t="shared" si="673"/>
        <v>800</v>
      </c>
    </row>
    <row r="6605" spans="3:11" ht="25.8" customHeight="1">
      <c r="C6605" s="702" t="s">
        <v>1208</v>
      </c>
      <c r="D6605" s="208"/>
      <c r="E6605" s="208"/>
      <c r="F6605" s="811"/>
      <c r="G6605" s="522"/>
      <c r="H6605" s="539">
        <f>SUM(H6601:H6604)</f>
        <v>34165</v>
      </c>
      <c r="I6605" s="819"/>
    </row>
    <row r="6606" spans="3:11" ht="25.8" customHeight="1">
      <c r="C6606" s="213" t="s">
        <v>1209</v>
      </c>
      <c r="D6606" s="212" t="s">
        <v>1210</v>
      </c>
      <c r="E6606" s="534"/>
      <c r="F6606" s="831"/>
      <c r="G6606" s="534"/>
      <c r="H6606" s="534"/>
    </row>
    <row r="6607" spans="3:11" ht="25.8" customHeight="1">
      <c r="C6607" s="818">
        <v>1</v>
      </c>
      <c r="D6607" s="212" t="s">
        <v>5973</v>
      </c>
      <c r="E6607" s="212" t="s">
        <v>135</v>
      </c>
      <c r="F6607" s="538">
        <v>1.05</v>
      </c>
      <c r="G6607" s="539">
        <f>VLOOKUP(D6607,upahbahan,3,FALSE)</f>
        <v>780000</v>
      </c>
      <c r="H6607" s="539">
        <f t="shared" ref="H6607" si="674">F6607*G6607</f>
        <v>819000</v>
      </c>
    </row>
    <row r="6608" spans="3:11" ht="25.8" customHeight="1">
      <c r="C6608" s="702" t="s">
        <v>1214</v>
      </c>
      <c r="D6608" s="208"/>
      <c r="E6608" s="208"/>
      <c r="F6608" s="208"/>
      <c r="G6608" s="209"/>
      <c r="H6608" s="539">
        <f>SUM(H6606:H6607)</f>
        <v>819000</v>
      </c>
    </row>
    <row r="6609" spans="3:11" ht="25.8" customHeight="1">
      <c r="C6609" s="213" t="s">
        <v>1215</v>
      </c>
      <c r="D6609" s="212" t="s">
        <v>1216</v>
      </c>
      <c r="E6609" s="534"/>
      <c r="F6609" s="534"/>
      <c r="G6609" s="534"/>
      <c r="H6609" s="534"/>
    </row>
    <row r="6610" spans="3:11" ht="25.8" customHeight="1">
      <c r="C6610" s="702" t="s">
        <v>1217</v>
      </c>
      <c r="D6610" s="815"/>
      <c r="E6610" s="815"/>
      <c r="F6610" s="815"/>
      <c r="G6610" s="209"/>
      <c r="H6610" s="821">
        <f>SUM(H6609:H6609)</f>
        <v>0</v>
      </c>
    </row>
    <row r="6611" spans="3:11" ht="25.8" customHeight="1">
      <c r="C6611" s="566" t="s">
        <v>1218</v>
      </c>
      <c r="D6611" s="552" t="s">
        <v>1219</v>
      </c>
      <c r="E6611" s="553"/>
      <c r="F6611" s="553"/>
      <c r="G6611" s="554"/>
      <c r="H6611" s="826">
        <f>H6610+H6608+H6605</f>
        <v>853165</v>
      </c>
      <c r="I6611" s="827"/>
    </row>
    <row r="6612" spans="3:11" ht="25.8" customHeight="1">
      <c r="C6612" s="566" t="s">
        <v>1220</v>
      </c>
      <c r="D6612" s="552" t="s">
        <v>1321</v>
      </c>
      <c r="E6612" s="553"/>
      <c r="F6612" s="554"/>
      <c r="G6612" s="555">
        <f>$M$9</f>
        <v>0.1</v>
      </c>
      <c r="H6612" s="539">
        <f>H6611*G6612</f>
        <v>85316.5</v>
      </c>
      <c r="I6612" s="827"/>
    </row>
    <row r="6613" spans="3:11" ht="25.8" customHeight="1">
      <c r="C6613" s="566" t="s">
        <v>1221</v>
      </c>
      <c r="D6613" s="552" t="s">
        <v>1222</v>
      </c>
      <c r="E6613" s="553"/>
      <c r="F6613" s="553"/>
      <c r="G6613" s="554"/>
      <c r="H6613" s="828">
        <f>SUM(H6611:H6612)</f>
        <v>938481.5</v>
      </c>
      <c r="I6613" s="827"/>
    </row>
    <row r="6614" spans="3:11" ht="25.8" customHeight="1"/>
    <row r="6615" spans="3:11" ht="25.8" customHeight="1">
      <c r="C6615" s="513" t="s">
        <v>5974</v>
      </c>
      <c r="D6615" s="817" t="s">
        <v>5975</v>
      </c>
      <c r="E6615" s="803"/>
      <c r="F6615" s="803"/>
      <c r="G6615" s="803"/>
      <c r="H6615" s="803"/>
      <c r="I6615" s="533">
        <f>ROUNDDOWN(H6630,-2)</f>
        <v>433700</v>
      </c>
      <c r="J6615" s="536"/>
      <c r="K6615" s="824"/>
    </row>
    <row r="6616" spans="3:11" ht="25.8" customHeight="1">
      <c r="C6616" s="716" t="s">
        <v>1195</v>
      </c>
      <c r="D6616" s="716" t="s">
        <v>1196</v>
      </c>
      <c r="E6616" s="716" t="s">
        <v>1197</v>
      </c>
      <c r="F6616" s="716" t="s">
        <v>1198</v>
      </c>
      <c r="G6616" s="716" t="s">
        <v>1199</v>
      </c>
      <c r="H6616" s="716" t="s">
        <v>1200</v>
      </c>
    </row>
    <row r="6617" spans="3:11" ht="25.8" customHeight="1">
      <c r="C6617" s="213" t="s">
        <v>1201</v>
      </c>
      <c r="D6617" s="212" t="s">
        <v>1202</v>
      </c>
      <c r="E6617" s="534"/>
      <c r="F6617" s="534"/>
      <c r="G6617" s="534"/>
      <c r="H6617" s="534"/>
    </row>
    <row r="6618" spans="3:11" ht="25.8" customHeight="1">
      <c r="C6618" s="818">
        <v>1</v>
      </c>
      <c r="D6618" s="212" t="s">
        <v>5</v>
      </c>
      <c r="E6618" s="212" t="s">
        <v>6</v>
      </c>
      <c r="F6618" s="538">
        <v>9.5000000000000001E-2</v>
      </c>
      <c r="G6618" s="539">
        <f>VLOOKUP(D6618,upahbahan,3,FALSE)</f>
        <v>100000</v>
      </c>
      <c r="H6618" s="539">
        <f t="shared" ref="H6618:H6621" si="675">F6618*G6618</f>
        <v>9500</v>
      </c>
    </row>
    <row r="6619" spans="3:11" ht="25.8" customHeight="1">
      <c r="C6619" s="818">
        <v>2</v>
      </c>
      <c r="D6619" s="212" t="s">
        <v>17</v>
      </c>
      <c r="E6619" s="212" t="s">
        <v>6</v>
      </c>
      <c r="F6619" s="538">
        <v>0.159</v>
      </c>
      <c r="G6619" s="539">
        <f>VLOOKUP(D6619,upahbahan,3,FALSE)</f>
        <v>135000</v>
      </c>
      <c r="H6619" s="539">
        <f t="shared" si="675"/>
        <v>21465</v>
      </c>
    </row>
    <row r="6620" spans="3:11" ht="25.8" customHeight="1">
      <c r="C6620" s="818">
        <v>3</v>
      </c>
      <c r="D6620" s="212" t="s">
        <v>1310</v>
      </c>
      <c r="E6620" s="212" t="s">
        <v>6</v>
      </c>
      <c r="F6620" s="538">
        <v>1.6E-2</v>
      </c>
      <c r="G6620" s="539">
        <f>VLOOKUP(D6620,upahbahan,3,FALSE)</f>
        <v>150000</v>
      </c>
      <c r="H6620" s="539">
        <f t="shared" si="675"/>
        <v>2400</v>
      </c>
    </row>
    <row r="6621" spans="3:11" ht="25.8" customHeight="1">
      <c r="C6621" s="818">
        <v>4</v>
      </c>
      <c r="D6621" s="212" t="s">
        <v>19</v>
      </c>
      <c r="E6621" s="212" t="s">
        <v>6</v>
      </c>
      <c r="F6621" s="538">
        <v>5.0000000000000001E-3</v>
      </c>
      <c r="G6621" s="539">
        <f>VLOOKUP(D6621,upahbahan,3,FALSE)</f>
        <v>160000</v>
      </c>
      <c r="H6621" s="539">
        <f t="shared" si="675"/>
        <v>800</v>
      </c>
    </row>
    <row r="6622" spans="3:11" ht="25.8" customHeight="1">
      <c r="C6622" s="702" t="s">
        <v>1208</v>
      </c>
      <c r="D6622" s="208"/>
      <c r="E6622" s="208"/>
      <c r="F6622" s="811"/>
      <c r="G6622" s="522"/>
      <c r="H6622" s="539">
        <f>SUM(H6618:H6621)</f>
        <v>34165</v>
      </c>
      <c r="I6622" s="819"/>
    </row>
    <row r="6623" spans="3:11" ht="25.8" customHeight="1">
      <c r="C6623" s="213" t="s">
        <v>1209</v>
      </c>
      <c r="D6623" s="212" t="s">
        <v>1210</v>
      </c>
      <c r="E6623" s="534"/>
      <c r="F6623" s="831"/>
      <c r="G6623" s="534"/>
      <c r="H6623" s="534"/>
    </row>
    <row r="6624" spans="3:11" ht="25.8" customHeight="1">
      <c r="C6624" s="818">
        <v>1</v>
      </c>
      <c r="D6624" s="212" t="s">
        <v>5976</v>
      </c>
      <c r="E6624" s="212" t="s">
        <v>135</v>
      </c>
      <c r="F6624" s="538">
        <v>1.05</v>
      </c>
      <c r="G6624" s="539">
        <f>VLOOKUP(D6624,upahbahan,3,FALSE)</f>
        <v>343000</v>
      </c>
      <c r="H6624" s="539">
        <f t="shared" ref="H6624" si="676">F6624*G6624</f>
        <v>360150</v>
      </c>
    </row>
    <row r="6625" spans="3:11" ht="25.8" customHeight="1">
      <c r="C6625" s="702" t="s">
        <v>1214</v>
      </c>
      <c r="D6625" s="208"/>
      <c r="E6625" s="208"/>
      <c r="F6625" s="208"/>
      <c r="G6625" s="209"/>
      <c r="H6625" s="539">
        <f>SUM(H6623:H6624)</f>
        <v>360150</v>
      </c>
    </row>
    <row r="6626" spans="3:11" ht="25.8" customHeight="1">
      <c r="C6626" s="213" t="s">
        <v>1215</v>
      </c>
      <c r="D6626" s="212" t="s">
        <v>1216</v>
      </c>
      <c r="E6626" s="534"/>
      <c r="F6626" s="534"/>
      <c r="G6626" s="534"/>
      <c r="H6626" s="534"/>
    </row>
    <row r="6627" spans="3:11" ht="25.8" customHeight="1">
      <c r="C6627" s="702" t="s">
        <v>1217</v>
      </c>
      <c r="D6627" s="815"/>
      <c r="E6627" s="815"/>
      <c r="F6627" s="815"/>
      <c r="G6627" s="209"/>
      <c r="H6627" s="821">
        <f>SUM(H6626:H6626)</f>
        <v>0</v>
      </c>
    </row>
    <row r="6628" spans="3:11" ht="25.8" customHeight="1">
      <c r="C6628" s="566" t="s">
        <v>1218</v>
      </c>
      <c r="D6628" s="552" t="s">
        <v>1219</v>
      </c>
      <c r="E6628" s="553"/>
      <c r="F6628" s="553"/>
      <c r="G6628" s="554"/>
      <c r="H6628" s="826">
        <f>H6627+H6625+H6622</f>
        <v>394315</v>
      </c>
      <c r="I6628" s="827"/>
    </row>
    <row r="6629" spans="3:11" ht="25.8" customHeight="1">
      <c r="C6629" s="566" t="s">
        <v>1220</v>
      </c>
      <c r="D6629" s="552" t="s">
        <v>1321</v>
      </c>
      <c r="E6629" s="553"/>
      <c r="F6629" s="554"/>
      <c r="G6629" s="555">
        <f>$M$9</f>
        <v>0.1</v>
      </c>
      <c r="H6629" s="539">
        <f>H6628*G6629</f>
        <v>39431.5</v>
      </c>
      <c r="I6629" s="827"/>
    </row>
    <row r="6630" spans="3:11" ht="25.8" customHeight="1">
      <c r="C6630" s="566" t="s">
        <v>1221</v>
      </c>
      <c r="D6630" s="552" t="s">
        <v>1222</v>
      </c>
      <c r="E6630" s="553"/>
      <c r="F6630" s="553"/>
      <c r="G6630" s="554"/>
      <c r="H6630" s="828">
        <f>SUM(H6628:H6629)</f>
        <v>433746.5</v>
      </c>
      <c r="I6630" s="827"/>
    </row>
    <row r="6631" spans="3:11" ht="25.8" customHeight="1"/>
    <row r="6632" spans="3:11" ht="25.8" customHeight="1">
      <c r="C6632" s="513" t="s">
        <v>5977</v>
      </c>
      <c r="D6632" s="817" t="s">
        <v>5978</v>
      </c>
      <c r="E6632" s="803"/>
      <c r="F6632" s="803"/>
      <c r="G6632" s="803"/>
      <c r="H6632" s="803"/>
      <c r="I6632" s="533">
        <f>ROUNDDOWN(H6647,-2)</f>
        <v>404800</v>
      </c>
      <c r="J6632" s="536"/>
      <c r="K6632" s="824"/>
    </row>
    <row r="6633" spans="3:11" ht="25.8" customHeight="1">
      <c r="C6633" s="716" t="s">
        <v>1195</v>
      </c>
      <c r="D6633" s="716" t="s">
        <v>1196</v>
      </c>
      <c r="E6633" s="716" t="s">
        <v>1197</v>
      </c>
      <c r="F6633" s="716" t="s">
        <v>1198</v>
      </c>
      <c r="G6633" s="716" t="s">
        <v>1199</v>
      </c>
      <c r="H6633" s="716" t="s">
        <v>1200</v>
      </c>
    </row>
    <row r="6634" spans="3:11" ht="25.8" customHeight="1">
      <c r="C6634" s="213" t="s">
        <v>1201</v>
      </c>
      <c r="D6634" s="212" t="s">
        <v>1202</v>
      </c>
      <c r="E6634" s="534"/>
      <c r="F6634" s="534"/>
      <c r="G6634" s="534"/>
      <c r="H6634" s="534"/>
    </row>
    <row r="6635" spans="3:11" ht="25.8" customHeight="1">
      <c r="C6635" s="818">
        <v>1</v>
      </c>
      <c r="D6635" s="212" t="s">
        <v>5</v>
      </c>
      <c r="E6635" s="212" t="s">
        <v>6</v>
      </c>
      <c r="F6635" s="538">
        <v>9.5000000000000001E-2</v>
      </c>
      <c r="G6635" s="539">
        <f>VLOOKUP(D6635,upahbahan,3,FALSE)</f>
        <v>100000</v>
      </c>
      <c r="H6635" s="539">
        <f t="shared" ref="H6635:H6638" si="677">F6635*G6635</f>
        <v>9500</v>
      </c>
    </row>
    <row r="6636" spans="3:11" ht="25.8" customHeight="1">
      <c r="C6636" s="818">
        <v>2</v>
      </c>
      <c r="D6636" s="212" t="s">
        <v>17</v>
      </c>
      <c r="E6636" s="212" t="s">
        <v>6</v>
      </c>
      <c r="F6636" s="538">
        <v>0.159</v>
      </c>
      <c r="G6636" s="539">
        <f>VLOOKUP(D6636,upahbahan,3,FALSE)</f>
        <v>135000</v>
      </c>
      <c r="H6636" s="539">
        <f t="shared" si="677"/>
        <v>21465</v>
      </c>
    </row>
    <row r="6637" spans="3:11" ht="25.8" customHeight="1">
      <c r="C6637" s="818">
        <v>3</v>
      </c>
      <c r="D6637" s="212" t="s">
        <v>1310</v>
      </c>
      <c r="E6637" s="212" t="s">
        <v>6</v>
      </c>
      <c r="F6637" s="538">
        <v>1.6E-2</v>
      </c>
      <c r="G6637" s="539">
        <f>VLOOKUP(D6637,upahbahan,3,FALSE)</f>
        <v>150000</v>
      </c>
      <c r="H6637" s="539">
        <f t="shared" si="677"/>
        <v>2400</v>
      </c>
    </row>
    <row r="6638" spans="3:11" ht="25.8" customHeight="1">
      <c r="C6638" s="818">
        <v>4</v>
      </c>
      <c r="D6638" s="212" t="s">
        <v>19</v>
      </c>
      <c r="E6638" s="212" t="s">
        <v>6</v>
      </c>
      <c r="F6638" s="538">
        <v>5.0000000000000001E-3</v>
      </c>
      <c r="G6638" s="539">
        <f>VLOOKUP(D6638,upahbahan,3,FALSE)</f>
        <v>160000</v>
      </c>
      <c r="H6638" s="539">
        <f t="shared" si="677"/>
        <v>800</v>
      </c>
    </row>
    <row r="6639" spans="3:11" ht="25.8" customHeight="1">
      <c r="C6639" s="702" t="s">
        <v>1208</v>
      </c>
      <c r="D6639" s="208"/>
      <c r="E6639" s="208"/>
      <c r="F6639" s="811"/>
      <c r="G6639" s="522"/>
      <c r="H6639" s="539">
        <f>SUM(H6635:H6638)</f>
        <v>34165</v>
      </c>
      <c r="I6639" s="819"/>
    </row>
    <row r="6640" spans="3:11" ht="25.8" customHeight="1">
      <c r="C6640" s="213" t="s">
        <v>1209</v>
      </c>
      <c r="D6640" s="212" t="s">
        <v>1210</v>
      </c>
      <c r="E6640" s="534"/>
      <c r="F6640" s="831"/>
      <c r="G6640" s="534"/>
      <c r="H6640" s="534"/>
    </row>
    <row r="6641" spans="3:11" ht="25.8" customHeight="1">
      <c r="C6641" s="818">
        <v>1</v>
      </c>
      <c r="D6641" s="212" t="s">
        <v>5979</v>
      </c>
      <c r="E6641" s="212" t="s">
        <v>135</v>
      </c>
      <c r="F6641" s="538">
        <v>1.05</v>
      </c>
      <c r="G6641" s="539">
        <f>VLOOKUP(D6641,upahbahan,3,FALSE)</f>
        <v>318000</v>
      </c>
      <c r="H6641" s="539">
        <f t="shared" ref="H6641" si="678">F6641*G6641</f>
        <v>333900</v>
      </c>
    </row>
    <row r="6642" spans="3:11" ht="25.8" customHeight="1">
      <c r="C6642" s="702" t="s">
        <v>1214</v>
      </c>
      <c r="D6642" s="208"/>
      <c r="E6642" s="208"/>
      <c r="F6642" s="208"/>
      <c r="G6642" s="209"/>
      <c r="H6642" s="539">
        <f>SUM(H6640:H6641)</f>
        <v>333900</v>
      </c>
    </row>
    <row r="6643" spans="3:11" ht="25.8" customHeight="1">
      <c r="C6643" s="213" t="s">
        <v>1215</v>
      </c>
      <c r="D6643" s="212" t="s">
        <v>1216</v>
      </c>
      <c r="E6643" s="534"/>
      <c r="F6643" s="534"/>
      <c r="G6643" s="534"/>
      <c r="H6643" s="534"/>
    </row>
    <row r="6644" spans="3:11" ht="25.8" customHeight="1">
      <c r="C6644" s="702" t="s">
        <v>1217</v>
      </c>
      <c r="D6644" s="815"/>
      <c r="E6644" s="815"/>
      <c r="F6644" s="815"/>
      <c r="G6644" s="209"/>
      <c r="H6644" s="821">
        <f>SUM(H6643:H6643)</f>
        <v>0</v>
      </c>
    </row>
    <row r="6645" spans="3:11" ht="25.8" customHeight="1">
      <c r="C6645" s="566" t="s">
        <v>1218</v>
      </c>
      <c r="D6645" s="552" t="s">
        <v>1219</v>
      </c>
      <c r="E6645" s="553"/>
      <c r="F6645" s="553"/>
      <c r="G6645" s="554"/>
      <c r="H6645" s="826">
        <f>H6644+H6642+H6639</f>
        <v>368065</v>
      </c>
      <c r="I6645" s="827"/>
    </row>
    <row r="6646" spans="3:11" ht="25.8" customHeight="1">
      <c r="C6646" s="566" t="s">
        <v>1220</v>
      </c>
      <c r="D6646" s="552" t="s">
        <v>1321</v>
      </c>
      <c r="E6646" s="553"/>
      <c r="F6646" s="554"/>
      <c r="G6646" s="555">
        <f>$M$9</f>
        <v>0.1</v>
      </c>
      <c r="H6646" s="539">
        <f>H6645*G6646</f>
        <v>36806.5</v>
      </c>
      <c r="I6646" s="827"/>
    </row>
    <row r="6647" spans="3:11" ht="25.8" customHeight="1">
      <c r="C6647" s="566" t="s">
        <v>1221</v>
      </c>
      <c r="D6647" s="552" t="s">
        <v>1222</v>
      </c>
      <c r="E6647" s="553"/>
      <c r="F6647" s="553"/>
      <c r="G6647" s="554"/>
      <c r="H6647" s="828">
        <f>SUM(H6645:H6646)</f>
        <v>404871.5</v>
      </c>
      <c r="I6647" s="827"/>
    </row>
    <row r="6648" spans="3:11" ht="25.8" customHeight="1"/>
    <row r="6649" spans="3:11" ht="25.8" customHeight="1">
      <c r="C6649" s="513" t="s">
        <v>5980</v>
      </c>
      <c r="D6649" s="817" t="s">
        <v>5981</v>
      </c>
      <c r="E6649" s="803"/>
      <c r="F6649" s="803"/>
      <c r="G6649" s="803"/>
      <c r="H6649" s="803"/>
      <c r="I6649" s="533">
        <f>ROUNDDOWN(H6664,-2)</f>
        <v>320500</v>
      </c>
      <c r="J6649" s="536"/>
      <c r="K6649" s="824"/>
    </row>
    <row r="6650" spans="3:11" ht="25.8" customHeight="1">
      <c r="C6650" s="716" t="s">
        <v>1195</v>
      </c>
      <c r="D6650" s="716" t="s">
        <v>1196</v>
      </c>
      <c r="E6650" s="716" t="s">
        <v>1197</v>
      </c>
      <c r="F6650" s="716" t="s">
        <v>1198</v>
      </c>
      <c r="G6650" s="716" t="s">
        <v>1199</v>
      </c>
      <c r="H6650" s="716" t="s">
        <v>1200</v>
      </c>
    </row>
    <row r="6651" spans="3:11" ht="25.8" customHeight="1">
      <c r="C6651" s="213" t="s">
        <v>1201</v>
      </c>
      <c r="D6651" s="212" t="s">
        <v>1202</v>
      </c>
      <c r="E6651" s="534"/>
      <c r="F6651" s="534"/>
      <c r="G6651" s="534"/>
      <c r="H6651" s="534"/>
    </row>
    <row r="6652" spans="3:11" ht="25.8" customHeight="1">
      <c r="C6652" s="818">
        <v>1</v>
      </c>
      <c r="D6652" s="212" t="s">
        <v>5</v>
      </c>
      <c r="E6652" s="212" t="s">
        <v>6</v>
      </c>
      <c r="F6652" s="538">
        <v>9.5000000000000001E-2</v>
      </c>
      <c r="G6652" s="539">
        <f>VLOOKUP(D6652,upahbahan,3,FALSE)</f>
        <v>100000</v>
      </c>
      <c r="H6652" s="539">
        <f t="shared" ref="H6652:H6655" si="679">F6652*G6652</f>
        <v>9500</v>
      </c>
    </row>
    <row r="6653" spans="3:11" ht="25.8" customHeight="1">
      <c r="C6653" s="818">
        <v>2</v>
      </c>
      <c r="D6653" s="212" t="s">
        <v>17</v>
      </c>
      <c r="E6653" s="212" t="s">
        <v>6</v>
      </c>
      <c r="F6653" s="538">
        <v>0.159</v>
      </c>
      <c r="G6653" s="539">
        <f>VLOOKUP(D6653,upahbahan,3,FALSE)</f>
        <v>135000</v>
      </c>
      <c r="H6653" s="539">
        <f t="shared" si="679"/>
        <v>21465</v>
      </c>
    </row>
    <row r="6654" spans="3:11" ht="25.8" customHeight="1">
      <c r="C6654" s="818">
        <v>3</v>
      </c>
      <c r="D6654" s="212" t="s">
        <v>1310</v>
      </c>
      <c r="E6654" s="212" t="s">
        <v>6</v>
      </c>
      <c r="F6654" s="538">
        <v>1.6E-2</v>
      </c>
      <c r="G6654" s="539">
        <f>VLOOKUP(D6654,upahbahan,3,FALSE)</f>
        <v>150000</v>
      </c>
      <c r="H6654" s="539">
        <f t="shared" si="679"/>
        <v>2400</v>
      </c>
    </row>
    <row r="6655" spans="3:11" ht="25.8" customHeight="1">
      <c r="C6655" s="818">
        <v>4</v>
      </c>
      <c r="D6655" s="212" t="s">
        <v>19</v>
      </c>
      <c r="E6655" s="212" t="s">
        <v>6</v>
      </c>
      <c r="F6655" s="538">
        <v>5.0000000000000001E-3</v>
      </c>
      <c r="G6655" s="539">
        <f>VLOOKUP(D6655,upahbahan,3,FALSE)</f>
        <v>160000</v>
      </c>
      <c r="H6655" s="539">
        <f t="shared" si="679"/>
        <v>800</v>
      </c>
    </row>
    <row r="6656" spans="3:11" ht="25.8" customHeight="1">
      <c r="C6656" s="702" t="s">
        <v>1208</v>
      </c>
      <c r="D6656" s="208"/>
      <c r="E6656" s="208"/>
      <c r="F6656" s="811"/>
      <c r="G6656" s="522"/>
      <c r="H6656" s="539">
        <f>SUM(H6652:H6655)</f>
        <v>34165</v>
      </c>
      <c r="I6656" s="819"/>
    </row>
    <row r="6657" spans="3:11" ht="25.8" customHeight="1">
      <c r="C6657" s="213" t="s">
        <v>1209</v>
      </c>
      <c r="D6657" s="212" t="s">
        <v>1210</v>
      </c>
      <c r="E6657" s="534"/>
      <c r="F6657" s="831"/>
      <c r="G6657" s="534"/>
      <c r="H6657" s="534"/>
    </row>
    <row r="6658" spans="3:11" ht="25.8" customHeight="1">
      <c r="C6658" s="818">
        <v>1</v>
      </c>
      <c r="D6658" s="212" t="s">
        <v>5982</v>
      </c>
      <c r="E6658" s="212" t="s">
        <v>135</v>
      </c>
      <c r="F6658" s="538">
        <v>1.05</v>
      </c>
      <c r="G6658" s="539">
        <f>VLOOKUP(D6658,upahbahan,3,FALSE)</f>
        <v>245000</v>
      </c>
      <c r="H6658" s="539">
        <f t="shared" ref="H6658" si="680">F6658*G6658</f>
        <v>257250</v>
      </c>
    </row>
    <row r="6659" spans="3:11" ht="25.8" customHeight="1">
      <c r="C6659" s="702" t="s">
        <v>1214</v>
      </c>
      <c r="D6659" s="208"/>
      <c r="E6659" s="208"/>
      <c r="F6659" s="208"/>
      <c r="G6659" s="209"/>
      <c r="H6659" s="539">
        <f>SUM(H6657:H6658)</f>
        <v>257250</v>
      </c>
    </row>
    <row r="6660" spans="3:11" ht="25.8" customHeight="1">
      <c r="C6660" s="213" t="s">
        <v>1215</v>
      </c>
      <c r="D6660" s="212" t="s">
        <v>1216</v>
      </c>
      <c r="E6660" s="534"/>
      <c r="F6660" s="534"/>
      <c r="G6660" s="534"/>
      <c r="H6660" s="534"/>
    </row>
    <row r="6661" spans="3:11" ht="25.8" customHeight="1">
      <c r="C6661" s="702" t="s">
        <v>1217</v>
      </c>
      <c r="D6661" s="815"/>
      <c r="E6661" s="815"/>
      <c r="F6661" s="815"/>
      <c r="G6661" s="209"/>
      <c r="H6661" s="821">
        <f>SUM(H6660:H6660)</f>
        <v>0</v>
      </c>
    </row>
    <row r="6662" spans="3:11" ht="25.8" customHeight="1">
      <c r="C6662" s="566" t="s">
        <v>1218</v>
      </c>
      <c r="D6662" s="552" t="s">
        <v>1219</v>
      </c>
      <c r="E6662" s="553"/>
      <c r="F6662" s="553"/>
      <c r="G6662" s="554"/>
      <c r="H6662" s="826">
        <f>H6661+H6659+H6656</f>
        <v>291415</v>
      </c>
      <c r="I6662" s="827"/>
    </row>
    <row r="6663" spans="3:11" ht="25.8" customHeight="1">
      <c r="C6663" s="566" t="s">
        <v>1220</v>
      </c>
      <c r="D6663" s="552" t="s">
        <v>1321</v>
      </c>
      <c r="E6663" s="553"/>
      <c r="F6663" s="554"/>
      <c r="G6663" s="555">
        <f>$M$9</f>
        <v>0.1</v>
      </c>
      <c r="H6663" s="539">
        <f>H6662*G6663</f>
        <v>29141.5</v>
      </c>
      <c r="I6663" s="827"/>
    </row>
    <row r="6664" spans="3:11" ht="25.8" customHeight="1">
      <c r="C6664" s="566" t="s">
        <v>1221</v>
      </c>
      <c r="D6664" s="552" t="s">
        <v>1222</v>
      </c>
      <c r="E6664" s="553"/>
      <c r="F6664" s="553"/>
      <c r="G6664" s="554"/>
      <c r="H6664" s="828">
        <f>SUM(H6662:H6663)</f>
        <v>320556.5</v>
      </c>
      <c r="I6664" s="827"/>
    </row>
    <row r="6665" spans="3:11" ht="25.8" customHeight="1"/>
    <row r="6666" spans="3:11" ht="25.8" customHeight="1">
      <c r="C6666" s="513" t="s">
        <v>5983</v>
      </c>
      <c r="D6666" s="817" t="s">
        <v>5984</v>
      </c>
      <c r="E6666" s="803"/>
      <c r="F6666" s="803"/>
      <c r="G6666" s="803"/>
      <c r="H6666" s="803"/>
      <c r="I6666" s="533">
        <f>ROUNDDOWN(H6681,-2)</f>
        <v>314700</v>
      </c>
      <c r="J6666" s="536"/>
      <c r="K6666" s="824"/>
    </row>
    <row r="6667" spans="3:11" ht="25.8" customHeight="1">
      <c r="C6667" s="716" t="s">
        <v>1195</v>
      </c>
      <c r="D6667" s="716" t="s">
        <v>1196</v>
      </c>
      <c r="E6667" s="716" t="s">
        <v>1197</v>
      </c>
      <c r="F6667" s="716" t="s">
        <v>1198</v>
      </c>
      <c r="G6667" s="716" t="s">
        <v>1199</v>
      </c>
      <c r="H6667" s="716" t="s">
        <v>1200</v>
      </c>
    </row>
    <row r="6668" spans="3:11" ht="25.8" customHeight="1">
      <c r="C6668" s="213" t="s">
        <v>1201</v>
      </c>
      <c r="D6668" s="212" t="s">
        <v>1202</v>
      </c>
      <c r="E6668" s="534"/>
      <c r="F6668" s="534"/>
      <c r="G6668" s="534"/>
      <c r="H6668" s="534"/>
    </row>
    <row r="6669" spans="3:11" ht="25.8" customHeight="1">
      <c r="C6669" s="818">
        <v>1</v>
      </c>
      <c r="D6669" s="212" t="s">
        <v>5</v>
      </c>
      <c r="E6669" s="212" t="s">
        <v>6</v>
      </c>
      <c r="F6669" s="538">
        <v>9.5000000000000001E-2</v>
      </c>
      <c r="G6669" s="539">
        <f>VLOOKUP(D6669,upahbahan,3,FALSE)</f>
        <v>100000</v>
      </c>
      <c r="H6669" s="539">
        <f t="shared" ref="H6669:H6672" si="681">F6669*G6669</f>
        <v>9500</v>
      </c>
    </row>
    <row r="6670" spans="3:11" ht="25.8" customHeight="1">
      <c r="C6670" s="818">
        <v>2</v>
      </c>
      <c r="D6670" s="212" t="s">
        <v>17</v>
      </c>
      <c r="E6670" s="212" t="s">
        <v>6</v>
      </c>
      <c r="F6670" s="538">
        <v>0.159</v>
      </c>
      <c r="G6670" s="539">
        <f>VLOOKUP(D6670,upahbahan,3,FALSE)</f>
        <v>135000</v>
      </c>
      <c r="H6670" s="539">
        <f t="shared" si="681"/>
        <v>21465</v>
      </c>
    </row>
    <row r="6671" spans="3:11" ht="25.8" customHeight="1">
      <c r="C6671" s="818">
        <v>3</v>
      </c>
      <c r="D6671" s="212" t="s">
        <v>1310</v>
      </c>
      <c r="E6671" s="212" t="s">
        <v>6</v>
      </c>
      <c r="F6671" s="538">
        <v>1.6E-2</v>
      </c>
      <c r="G6671" s="539">
        <f>VLOOKUP(D6671,upahbahan,3,FALSE)</f>
        <v>150000</v>
      </c>
      <c r="H6671" s="539">
        <f t="shared" si="681"/>
        <v>2400</v>
      </c>
    </row>
    <row r="6672" spans="3:11" ht="25.8" customHeight="1">
      <c r="C6672" s="818">
        <v>4</v>
      </c>
      <c r="D6672" s="212" t="s">
        <v>19</v>
      </c>
      <c r="E6672" s="212" t="s">
        <v>6</v>
      </c>
      <c r="F6672" s="538">
        <v>5.0000000000000001E-3</v>
      </c>
      <c r="G6672" s="539">
        <f>VLOOKUP(D6672,upahbahan,3,FALSE)</f>
        <v>160000</v>
      </c>
      <c r="H6672" s="539">
        <f t="shared" si="681"/>
        <v>800</v>
      </c>
    </row>
    <row r="6673" spans="3:11" ht="25.8" customHeight="1">
      <c r="C6673" s="702" t="s">
        <v>1208</v>
      </c>
      <c r="D6673" s="208"/>
      <c r="E6673" s="208"/>
      <c r="F6673" s="811"/>
      <c r="G6673" s="522"/>
      <c r="H6673" s="539">
        <f>SUM(H6669:H6672)</f>
        <v>34165</v>
      </c>
      <c r="I6673" s="819"/>
    </row>
    <row r="6674" spans="3:11" ht="25.8" customHeight="1">
      <c r="C6674" s="213" t="s">
        <v>1209</v>
      </c>
      <c r="D6674" s="212" t="s">
        <v>1210</v>
      </c>
      <c r="E6674" s="534"/>
      <c r="F6674" s="831"/>
      <c r="G6674" s="534"/>
      <c r="H6674" s="534"/>
    </row>
    <row r="6675" spans="3:11" ht="25.8" customHeight="1">
      <c r="C6675" s="818">
        <v>1</v>
      </c>
      <c r="D6675" s="212" t="s">
        <v>5985</v>
      </c>
      <c r="E6675" s="212" t="s">
        <v>135</v>
      </c>
      <c r="F6675" s="538">
        <v>1.05</v>
      </c>
      <c r="G6675" s="539">
        <f>VLOOKUP(D6675,upahbahan,3,FALSE)</f>
        <v>240000</v>
      </c>
      <c r="H6675" s="539">
        <f t="shared" ref="H6675" si="682">F6675*G6675</f>
        <v>252000</v>
      </c>
    </row>
    <row r="6676" spans="3:11" ht="25.8" customHeight="1">
      <c r="C6676" s="702" t="s">
        <v>1214</v>
      </c>
      <c r="D6676" s="208"/>
      <c r="E6676" s="208"/>
      <c r="F6676" s="208"/>
      <c r="G6676" s="209"/>
      <c r="H6676" s="539">
        <f>SUM(H6674:H6675)</f>
        <v>252000</v>
      </c>
    </row>
    <row r="6677" spans="3:11" ht="25.8" customHeight="1">
      <c r="C6677" s="213" t="s">
        <v>1215</v>
      </c>
      <c r="D6677" s="212" t="s">
        <v>1216</v>
      </c>
      <c r="E6677" s="534"/>
      <c r="F6677" s="534"/>
      <c r="G6677" s="534"/>
      <c r="H6677" s="534"/>
    </row>
    <row r="6678" spans="3:11" ht="25.8" customHeight="1">
      <c r="C6678" s="702" t="s">
        <v>1217</v>
      </c>
      <c r="D6678" s="815"/>
      <c r="E6678" s="815"/>
      <c r="F6678" s="815"/>
      <c r="G6678" s="209"/>
      <c r="H6678" s="821">
        <f>SUM(H6677:H6677)</f>
        <v>0</v>
      </c>
    </row>
    <row r="6679" spans="3:11" ht="25.8" customHeight="1">
      <c r="C6679" s="566" t="s">
        <v>1218</v>
      </c>
      <c r="D6679" s="552" t="s">
        <v>1219</v>
      </c>
      <c r="E6679" s="553"/>
      <c r="F6679" s="553"/>
      <c r="G6679" s="554"/>
      <c r="H6679" s="826">
        <f>H6678+H6676+H6673</f>
        <v>286165</v>
      </c>
      <c r="I6679" s="827"/>
    </row>
    <row r="6680" spans="3:11" ht="25.8" customHeight="1">
      <c r="C6680" s="566" t="s">
        <v>1220</v>
      </c>
      <c r="D6680" s="552" t="s">
        <v>1321</v>
      </c>
      <c r="E6680" s="553"/>
      <c r="F6680" s="554"/>
      <c r="G6680" s="555">
        <f>$M$9</f>
        <v>0.1</v>
      </c>
      <c r="H6680" s="539">
        <f>H6679*G6680</f>
        <v>28616.5</v>
      </c>
      <c r="I6680" s="827"/>
    </row>
    <row r="6681" spans="3:11" ht="25.8" customHeight="1">
      <c r="C6681" s="566" t="s">
        <v>1221</v>
      </c>
      <c r="D6681" s="552" t="s">
        <v>1222</v>
      </c>
      <c r="E6681" s="553"/>
      <c r="F6681" s="553"/>
      <c r="G6681" s="554"/>
      <c r="H6681" s="828">
        <f>SUM(H6679:H6680)</f>
        <v>314781.5</v>
      </c>
      <c r="I6681" s="827"/>
    </row>
    <row r="6682" spans="3:11" ht="25.8" customHeight="1"/>
    <row r="6683" spans="3:11" ht="25.8" customHeight="1">
      <c r="C6683" s="513" t="s">
        <v>5986</v>
      </c>
      <c r="D6683" s="817" t="s">
        <v>5987</v>
      </c>
      <c r="E6683" s="803"/>
      <c r="F6683" s="803"/>
      <c r="G6683" s="803"/>
      <c r="H6683" s="803"/>
      <c r="I6683" s="533">
        <f>ROUNDDOWN(H6698,-2)</f>
        <v>372500</v>
      </c>
      <c r="J6683" s="536"/>
      <c r="K6683" s="824"/>
    </row>
    <row r="6684" spans="3:11" ht="25.8" customHeight="1">
      <c r="C6684" s="716" t="s">
        <v>1195</v>
      </c>
      <c r="D6684" s="716" t="s">
        <v>1196</v>
      </c>
      <c r="E6684" s="716" t="s">
        <v>1197</v>
      </c>
      <c r="F6684" s="716" t="s">
        <v>1198</v>
      </c>
      <c r="G6684" s="716" t="s">
        <v>1199</v>
      </c>
      <c r="H6684" s="716" t="s">
        <v>1200</v>
      </c>
    </row>
    <row r="6685" spans="3:11" ht="25.8" customHeight="1">
      <c r="C6685" s="213" t="s">
        <v>1201</v>
      </c>
      <c r="D6685" s="212" t="s">
        <v>1202</v>
      </c>
      <c r="E6685" s="534"/>
      <c r="F6685" s="534"/>
      <c r="G6685" s="534"/>
      <c r="H6685" s="534"/>
    </row>
    <row r="6686" spans="3:11" ht="25.8" customHeight="1">
      <c r="C6686" s="818">
        <v>1</v>
      </c>
      <c r="D6686" s="212" t="s">
        <v>5</v>
      </c>
      <c r="E6686" s="212" t="s">
        <v>6</v>
      </c>
      <c r="F6686" s="538">
        <v>9.5000000000000001E-2</v>
      </c>
      <c r="G6686" s="539">
        <f>VLOOKUP(D6686,upahbahan,3,FALSE)</f>
        <v>100000</v>
      </c>
      <c r="H6686" s="539">
        <f t="shared" ref="H6686:H6689" si="683">F6686*G6686</f>
        <v>9500</v>
      </c>
    </row>
    <row r="6687" spans="3:11" ht="25.8" customHeight="1">
      <c r="C6687" s="818">
        <v>2</v>
      </c>
      <c r="D6687" s="212" t="s">
        <v>17</v>
      </c>
      <c r="E6687" s="212" t="s">
        <v>6</v>
      </c>
      <c r="F6687" s="538">
        <v>0.159</v>
      </c>
      <c r="G6687" s="539">
        <f>VLOOKUP(D6687,upahbahan,3,FALSE)</f>
        <v>135000</v>
      </c>
      <c r="H6687" s="539">
        <f t="shared" si="683"/>
        <v>21465</v>
      </c>
    </row>
    <row r="6688" spans="3:11" ht="25.8" customHeight="1">
      <c r="C6688" s="818">
        <v>3</v>
      </c>
      <c r="D6688" s="212" t="s">
        <v>1310</v>
      </c>
      <c r="E6688" s="212" t="s">
        <v>6</v>
      </c>
      <c r="F6688" s="538">
        <v>1.6E-2</v>
      </c>
      <c r="G6688" s="539">
        <f>VLOOKUP(D6688,upahbahan,3,FALSE)</f>
        <v>150000</v>
      </c>
      <c r="H6688" s="539">
        <f t="shared" si="683"/>
        <v>2400</v>
      </c>
    </row>
    <row r="6689" spans="3:11" ht="25.8" customHeight="1">
      <c r="C6689" s="818">
        <v>4</v>
      </c>
      <c r="D6689" s="212" t="s">
        <v>19</v>
      </c>
      <c r="E6689" s="212" t="s">
        <v>6</v>
      </c>
      <c r="F6689" s="538">
        <v>5.0000000000000001E-3</v>
      </c>
      <c r="G6689" s="539">
        <f>VLOOKUP(D6689,upahbahan,3,FALSE)</f>
        <v>160000</v>
      </c>
      <c r="H6689" s="539">
        <f t="shared" si="683"/>
        <v>800</v>
      </c>
    </row>
    <row r="6690" spans="3:11" ht="25.8" customHeight="1">
      <c r="C6690" s="702" t="s">
        <v>1208</v>
      </c>
      <c r="D6690" s="208"/>
      <c r="E6690" s="208"/>
      <c r="F6690" s="811"/>
      <c r="G6690" s="522"/>
      <c r="H6690" s="539">
        <f>SUM(H6686:H6689)</f>
        <v>34165</v>
      </c>
      <c r="I6690" s="819"/>
    </row>
    <row r="6691" spans="3:11" ht="25.8" customHeight="1">
      <c r="C6691" s="213" t="s">
        <v>1209</v>
      </c>
      <c r="D6691" s="212" t="s">
        <v>1210</v>
      </c>
      <c r="E6691" s="534"/>
      <c r="F6691" s="831"/>
      <c r="G6691" s="534"/>
      <c r="H6691" s="534"/>
    </row>
    <row r="6692" spans="3:11" ht="25.8" customHeight="1">
      <c r="C6692" s="818">
        <v>1</v>
      </c>
      <c r="D6692" s="212" t="s">
        <v>5988</v>
      </c>
      <c r="E6692" s="212" t="s">
        <v>135</v>
      </c>
      <c r="F6692" s="538">
        <v>1.05</v>
      </c>
      <c r="G6692" s="539">
        <f>VLOOKUP(D6692,upahbahan,3,FALSE)</f>
        <v>290000</v>
      </c>
      <c r="H6692" s="539">
        <f t="shared" ref="H6692" si="684">F6692*G6692</f>
        <v>304500</v>
      </c>
    </row>
    <row r="6693" spans="3:11" ht="25.8" customHeight="1">
      <c r="C6693" s="702" t="s">
        <v>1214</v>
      </c>
      <c r="D6693" s="208"/>
      <c r="E6693" s="208"/>
      <c r="F6693" s="208"/>
      <c r="G6693" s="209"/>
      <c r="H6693" s="539">
        <f>SUM(H6691:H6692)</f>
        <v>304500</v>
      </c>
    </row>
    <row r="6694" spans="3:11" ht="25.8" customHeight="1">
      <c r="C6694" s="213" t="s">
        <v>1215</v>
      </c>
      <c r="D6694" s="212" t="s">
        <v>1216</v>
      </c>
      <c r="E6694" s="534"/>
      <c r="F6694" s="534"/>
      <c r="G6694" s="534"/>
      <c r="H6694" s="534"/>
    </row>
    <row r="6695" spans="3:11" ht="25.8" customHeight="1">
      <c r="C6695" s="702" t="s">
        <v>1217</v>
      </c>
      <c r="D6695" s="815"/>
      <c r="E6695" s="815"/>
      <c r="F6695" s="815"/>
      <c r="G6695" s="209"/>
      <c r="H6695" s="821">
        <f>SUM(H6694:H6694)</f>
        <v>0</v>
      </c>
    </row>
    <row r="6696" spans="3:11" ht="25.8" customHeight="1">
      <c r="C6696" s="566" t="s">
        <v>1218</v>
      </c>
      <c r="D6696" s="552" t="s">
        <v>1219</v>
      </c>
      <c r="E6696" s="553"/>
      <c r="F6696" s="553"/>
      <c r="G6696" s="554"/>
      <c r="H6696" s="826">
        <f>H6695+H6693+H6690</f>
        <v>338665</v>
      </c>
      <c r="I6696" s="827"/>
    </row>
    <row r="6697" spans="3:11" ht="25.8" customHeight="1">
      <c r="C6697" s="566" t="s">
        <v>1220</v>
      </c>
      <c r="D6697" s="552" t="s">
        <v>1321</v>
      </c>
      <c r="E6697" s="553"/>
      <c r="F6697" s="554"/>
      <c r="G6697" s="555">
        <f>$M$9</f>
        <v>0.1</v>
      </c>
      <c r="H6697" s="539">
        <f>H6696*G6697</f>
        <v>33866.5</v>
      </c>
      <c r="I6697" s="827"/>
    </row>
    <row r="6698" spans="3:11" ht="25.8" customHeight="1">
      <c r="C6698" s="566" t="s">
        <v>1221</v>
      </c>
      <c r="D6698" s="552" t="s">
        <v>1222</v>
      </c>
      <c r="E6698" s="553"/>
      <c r="F6698" s="553"/>
      <c r="G6698" s="554"/>
      <c r="H6698" s="828">
        <f>SUM(H6696:H6697)</f>
        <v>372531.5</v>
      </c>
      <c r="I6698" s="827"/>
    </row>
    <row r="6699" spans="3:11" ht="25.8" customHeight="1"/>
    <row r="6700" spans="3:11" ht="25.8" customHeight="1">
      <c r="C6700" s="513" t="s">
        <v>5989</v>
      </c>
      <c r="D6700" s="817" t="s">
        <v>5990</v>
      </c>
      <c r="E6700" s="803"/>
      <c r="F6700" s="803"/>
      <c r="G6700" s="803"/>
      <c r="H6700" s="803"/>
      <c r="I6700" s="533">
        <f>ROUNDDOWN(H6715,-2)</f>
        <v>91200</v>
      </c>
      <c r="J6700" s="536"/>
      <c r="K6700" s="824"/>
    </row>
    <row r="6701" spans="3:11" ht="25.8" customHeight="1">
      <c r="C6701" s="716" t="s">
        <v>1195</v>
      </c>
      <c r="D6701" s="716" t="s">
        <v>1196</v>
      </c>
      <c r="E6701" s="716" t="s">
        <v>1197</v>
      </c>
      <c r="F6701" s="716" t="s">
        <v>1198</v>
      </c>
      <c r="G6701" s="716" t="s">
        <v>1199</v>
      </c>
      <c r="H6701" s="716" t="s">
        <v>1200</v>
      </c>
    </row>
    <row r="6702" spans="3:11" ht="25.8" customHeight="1">
      <c r="C6702" s="213" t="s">
        <v>1201</v>
      </c>
      <c r="D6702" s="212" t="s">
        <v>1202</v>
      </c>
      <c r="E6702" s="534"/>
      <c r="F6702" s="534"/>
      <c r="G6702" s="534"/>
      <c r="H6702" s="534"/>
    </row>
    <row r="6703" spans="3:11" ht="25.8" customHeight="1">
      <c r="C6703" s="818">
        <v>1</v>
      </c>
      <c r="D6703" s="212" t="s">
        <v>5</v>
      </c>
      <c r="E6703" s="212" t="s">
        <v>6</v>
      </c>
      <c r="F6703" s="538">
        <v>6.4000000000000001E-2</v>
      </c>
      <c r="G6703" s="539">
        <f>VLOOKUP(D6703,upahbahan,3,FALSE)</f>
        <v>100000</v>
      </c>
      <c r="H6703" s="539">
        <f t="shared" ref="H6703:H6706" si="685">F6703*G6703</f>
        <v>6400</v>
      </c>
    </row>
    <row r="6704" spans="3:11" ht="25.8" customHeight="1">
      <c r="C6704" s="818">
        <v>2</v>
      </c>
      <c r="D6704" s="212" t="s">
        <v>17</v>
      </c>
      <c r="E6704" s="212" t="s">
        <v>6</v>
      </c>
      <c r="F6704" s="538">
        <v>0.107</v>
      </c>
      <c r="G6704" s="539">
        <f>VLOOKUP(D6704,upahbahan,3,FALSE)</f>
        <v>135000</v>
      </c>
      <c r="H6704" s="539">
        <f t="shared" si="685"/>
        <v>14445</v>
      </c>
    </row>
    <row r="6705" spans="3:11" ht="25.8" customHeight="1">
      <c r="C6705" s="818">
        <v>3</v>
      </c>
      <c r="D6705" s="212" t="s">
        <v>1310</v>
      </c>
      <c r="E6705" s="212" t="s">
        <v>6</v>
      </c>
      <c r="F6705" s="538">
        <v>1.0999999999999999E-2</v>
      </c>
      <c r="G6705" s="539">
        <f>VLOOKUP(D6705,upahbahan,3,FALSE)</f>
        <v>150000</v>
      </c>
      <c r="H6705" s="539">
        <f t="shared" si="685"/>
        <v>1650</v>
      </c>
    </row>
    <row r="6706" spans="3:11" ht="25.8" customHeight="1">
      <c r="C6706" s="818">
        <v>4</v>
      </c>
      <c r="D6706" s="212" t="s">
        <v>19</v>
      </c>
      <c r="E6706" s="212" t="s">
        <v>6</v>
      </c>
      <c r="F6706" s="538">
        <v>4.0000000000000001E-3</v>
      </c>
      <c r="G6706" s="539">
        <f>VLOOKUP(D6706,upahbahan,3,FALSE)</f>
        <v>160000</v>
      </c>
      <c r="H6706" s="539">
        <f t="shared" si="685"/>
        <v>640</v>
      </c>
    </row>
    <row r="6707" spans="3:11" ht="25.8" customHeight="1">
      <c r="C6707" s="702" t="s">
        <v>1208</v>
      </c>
      <c r="D6707" s="208"/>
      <c r="E6707" s="208"/>
      <c r="F6707" s="811"/>
      <c r="G6707" s="522"/>
      <c r="H6707" s="539">
        <f>SUM(H6703:H6706)</f>
        <v>23135</v>
      </c>
      <c r="I6707" s="819"/>
    </row>
    <row r="6708" spans="3:11" ht="25.8" customHeight="1">
      <c r="C6708" s="213" t="s">
        <v>1209</v>
      </c>
      <c r="D6708" s="212" t="s">
        <v>1210</v>
      </c>
      <c r="E6708" s="534"/>
      <c r="F6708" s="831"/>
      <c r="G6708" s="534"/>
      <c r="H6708" s="534"/>
    </row>
    <row r="6709" spans="3:11" ht="25.8" customHeight="1">
      <c r="C6709" s="818">
        <v>1</v>
      </c>
      <c r="D6709" s="212" t="s">
        <v>5991</v>
      </c>
      <c r="E6709" s="212" t="s">
        <v>135</v>
      </c>
      <c r="F6709" s="538">
        <v>1.05</v>
      </c>
      <c r="G6709" s="539">
        <f>VLOOKUP(D6709,upahbahan,3,FALSE)</f>
        <v>57000</v>
      </c>
      <c r="H6709" s="539">
        <f t="shared" ref="H6709" si="686">F6709*G6709</f>
        <v>59850</v>
      </c>
    </row>
    <row r="6710" spans="3:11" ht="25.8" customHeight="1">
      <c r="C6710" s="702" t="s">
        <v>1214</v>
      </c>
      <c r="D6710" s="208"/>
      <c r="E6710" s="208"/>
      <c r="F6710" s="208"/>
      <c r="G6710" s="209"/>
      <c r="H6710" s="539">
        <f>SUM(H6708:H6709)</f>
        <v>59850</v>
      </c>
    </row>
    <row r="6711" spans="3:11" ht="25.8" customHeight="1">
      <c r="C6711" s="213" t="s">
        <v>1215</v>
      </c>
      <c r="D6711" s="212" t="s">
        <v>1216</v>
      </c>
      <c r="E6711" s="534"/>
      <c r="F6711" s="534"/>
      <c r="G6711" s="534"/>
      <c r="H6711" s="534"/>
    </row>
    <row r="6712" spans="3:11" ht="25.8" customHeight="1">
      <c r="C6712" s="702" t="s">
        <v>1217</v>
      </c>
      <c r="D6712" s="815"/>
      <c r="E6712" s="815"/>
      <c r="F6712" s="815"/>
      <c r="G6712" s="209"/>
      <c r="H6712" s="821">
        <f>SUM(H6711:H6711)</f>
        <v>0</v>
      </c>
    </row>
    <row r="6713" spans="3:11" ht="25.8" customHeight="1">
      <c r="C6713" s="566" t="s">
        <v>1218</v>
      </c>
      <c r="D6713" s="552" t="s">
        <v>1219</v>
      </c>
      <c r="E6713" s="553"/>
      <c r="F6713" s="553"/>
      <c r="G6713" s="554"/>
      <c r="H6713" s="826">
        <f>H6712+H6710+H6707</f>
        <v>82985</v>
      </c>
      <c r="I6713" s="827"/>
    </row>
    <row r="6714" spans="3:11" ht="25.8" customHeight="1">
      <c r="C6714" s="566" t="s">
        <v>1220</v>
      </c>
      <c r="D6714" s="552" t="s">
        <v>1321</v>
      </c>
      <c r="E6714" s="553"/>
      <c r="F6714" s="554"/>
      <c r="G6714" s="555">
        <f>$M$9</f>
        <v>0.1</v>
      </c>
      <c r="H6714" s="539">
        <f>H6713*G6714</f>
        <v>8298.5</v>
      </c>
      <c r="I6714" s="827"/>
    </row>
    <row r="6715" spans="3:11" ht="25.8" customHeight="1">
      <c r="C6715" s="566" t="s">
        <v>1221</v>
      </c>
      <c r="D6715" s="552" t="s">
        <v>1222</v>
      </c>
      <c r="E6715" s="553"/>
      <c r="F6715" s="553"/>
      <c r="G6715" s="554"/>
      <c r="H6715" s="828">
        <f>SUM(H6713:H6714)</f>
        <v>91283.5</v>
      </c>
      <c r="I6715" s="827"/>
    </row>
    <row r="6716" spans="3:11" ht="25.8" customHeight="1"/>
    <row r="6717" spans="3:11" ht="25.8" customHeight="1">
      <c r="C6717" s="513" t="s">
        <v>5992</v>
      </c>
      <c r="D6717" s="817" t="s">
        <v>5993</v>
      </c>
      <c r="E6717" s="803"/>
      <c r="F6717" s="803"/>
      <c r="G6717" s="803"/>
      <c r="H6717" s="803"/>
      <c r="I6717" s="533">
        <f>ROUNDDOWN(H6732,-2)</f>
        <v>94700</v>
      </c>
      <c r="J6717" s="536"/>
      <c r="K6717" s="824"/>
    </row>
    <row r="6718" spans="3:11" ht="25.8" customHeight="1">
      <c r="C6718" s="716" t="s">
        <v>1195</v>
      </c>
      <c r="D6718" s="716" t="s">
        <v>1196</v>
      </c>
      <c r="E6718" s="716" t="s">
        <v>1197</v>
      </c>
      <c r="F6718" s="716" t="s">
        <v>1198</v>
      </c>
      <c r="G6718" s="716" t="s">
        <v>1199</v>
      </c>
      <c r="H6718" s="716" t="s">
        <v>1200</v>
      </c>
    </row>
    <row r="6719" spans="3:11" ht="25.8" customHeight="1">
      <c r="C6719" s="213" t="s">
        <v>1201</v>
      </c>
      <c r="D6719" s="212" t="s">
        <v>1202</v>
      </c>
      <c r="E6719" s="534"/>
      <c r="F6719" s="534"/>
      <c r="G6719" s="534"/>
      <c r="H6719" s="534"/>
    </row>
    <row r="6720" spans="3:11" ht="25.8" customHeight="1">
      <c r="C6720" s="818">
        <v>1</v>
      </c>
      <c r="D6720" s="212" t="s">
        <v>5</v>
      </c>
      <c r="E6720" s="212" t="s">
        <v>6</v>
      </c>
      <c r="F6720" s="538">
        <v>6.4000000000000001E-2</v>
      </c>
      <c r="G6720" s="539">
        <f>VLOOKUP(D6720,upahbahan,3,FALSE)</f>
        <v>100000</v>
      </c>
      <c r="H6720" s="539">
        <f t="shared" ref="H6720:H6723" si="687">F6720*G6720</f>
        <v>6400</v>
      </c>
    </row>
    <row r="6721" spans="3:11" ht="25.8" customHeight="1">
      <c r="C6721" s="818">
        <v>2</v>
      </c>
      <c r="D6721" s="212" t="s">
        <v>17</v>
      </c>
      <c r="E6721" s="212" t="s">
        <v>6</v>
      </c>
      <c r="F6721" s="538">
        <v>0.107</v>
      </c>
      <c r="G6721" s="539">
        <f>VLOOKUP(D6721,upahbahan,3,FALSE)</f>
        <v>135000</v>
      </c>
      <c r="H6721" s="539">
        <f t="shared" si="687"/>
        <v>14445</v>
      </c>
    </row>
    <row r="6722" spans="3:11" ht="25.8" customHeight="1">
      <c r="C6722" s="818">
        <v>3</v>
      </c>
      <c r="D6722" s="212" t="s">
        <v>1310</v>
      </c>
      <c r="E6722" s="212" t="s">
        <v>6</v>
      </c>
      <c r="F6722" s="538">
        <v>1.0999999999999999E-2</v>
      </c>
      <c r="G6722" s="539">
        <f>VLOOKUP(D6722,upahbahan,3,FALSE)</f>
        <v>150000</v>
      </c>
      <c r="H6722" s="539">
        <f t="shared" si="687"/>
        <v>1650</v>
      </c>
    </row>
    <row r="6723" spans="3:11" ht="25.8" customHeight="1">
      <c r="C6723" s="818">
        <v>4</v>
      </c>
      <c r="D6723" s="212" t="s">
        <v>19</v>
      </c>
      <c r="E6723" s="212" t="s">
        <v>6</v>
      </c>
      <c r="F6723" s="538">
        <v>4.0000000000000001E-3</v>
      </c>
      <c r="G6723" s="539">
        <f>VLOOKUP(D6723,upahbahan,3,FALSE)</f>
        <v>160000</v>
      </c>
      <c r="H6723" s="539">
        <f t="shared" si="687"/>
        <v>640</v>
      </c>
    </row>
    <row r="6724" spans="3:11" ht="25.8" customHeight="1">
      <c r="C6724" s="702" t="s">
        <v>1208</v>
      </c>
      <c r="D6724" s="208"/>
      <c r="E6724" s="208"/>
      <c r="F6724" s="811"/>
      <c r="G6724" s="522"/>
      <c r="H6724" s="539">
        <f>SUM(H6720:H6723)</f>
        <v>23135</v>
      </c>
      <c r="I6724" s="819"/>
    </row>
    <row r="6725" spans="3:11" ht="25.8" customHeight="1">
      <c r="C6725" s="213" t="s">
        <v>1209</v>
      </c>
      <c r="D6725" s="212" t="s">
        <v>1210</v>
      </c>
      <c r="E6725" s="534"/>
      <c r="F6725" s="831"/>
      <c r="G6725" s="534"/>
      <c r="H6725" s="534"/>
    </row>
    <row r="6726" spans="3:11" ht="25.8" customHeight="1">
      <c r="C6726" s="818">
        <v>1</v>
      </c>
      <c r="D6726" s="212" t="s">
        <v>5994</v>
      </c>
      <c r="E6726" s="212" t="s">
        <v>135</v>
      </c>
      <c r="F6726" s="538">
        <v>1.05</v>
      </c>
      <c r="G6726" s="539">
        <f>VLOOKUP(D6726,upahbahan,3,FALSE)</f>
        <v>60000</v>
      </c>
      <c r="H6726" s="539">
        <f t="shared" ref="H6726" si="688">F6726*G6726</f>
        <v>63000</v>
      </c>
    </row>
    <row r="6727" spans="3:11" ht="25.8" customHeight="1">
      <c r="C6727" s="702" t="s">
        <v>1214</v>
      </c>
      <c r="D6727" s="208"/>
      <c r="E6727" s="208"/>
      <c r="F6727" s="208"/>
      <c r="G6727" s="209"/>
      <c r="H6727" s="539">
        <f>SUM(H6725:H6726)</f>
        <v>63000</v>
      </c>
    </row>
    <row r="6728" spans="3:11" ht="25.8" customHeight="1">
      <c r="C6728" s="213" t="s">
        <v>1215</v>
      </c>
      <c r="D6728" s="212" t="s">
        <v>1216</v>
      </c>
      <c r="E6728" s="534"/>
      <c r="F6728" s="534"/>
      <c r="G6728" s="534"/>
      <c r="H6728" s="534"/>
    </row>
    <row r="6729" spans="3:11" ht="25.8" customHeight="1">
      <c r="C6729" s="702" t="s">
        <v>1217</v>
      </c>
      <c r="D6729" s="815"/>
      <c r="E6729" s="815"/>
      <c r="F6729" s="815"/>
      <c r="G6729" s="209"/>
      <c r="H6729" s="821">
        <f>SUM(H6728:H6728)</f>
        <v>0</v>
      </c>
    </row>
    <row r="6730" spans="3:11" ht="25.8" customHeight="1">
      <c r="C6730" s="566" t="s">
        <v>1218</v>
      </c>
      <c r="D6730" s="552" t="s">
        <v>1219</v>
      </c>
      <c r="E6730" s="553"/>
      <c r="F6730" s="553"/>
      <c r="G6730" s="554"/>
      <c r="H6730" s="826">
        <f>H6729+H6727+H6724</f>
        <v>86135</v>
      </c>
      <c r="I6730" s="827"/>
    </row>
    <row r="6731" spans="3:11" ht="25.8" customHeight="1">
      <c r="C6731" s="566" t="s">
        <v>1220</v>
      </c>
      <c r="D6731" s="552" t="s">
        <v>1321</v>
      </c>
      <c r="E6731" s="553"/>
      <c r="F6731" s="554"/>
      <c r="G6731" s="555">
        <f>$M$9</f>
        <v>0.1</v>
      </c>
      <c r="H6731" s="539">
        <f>H6730*G6731</f>
        <v>8613.5</v>
      </c>
      <c r="I6731" s="827"/>
    </row>
    <row r="6732" spans="3:11" ht="25.8" customHeight="1">
      <c r="C6732" s="566" t="s">
        <v>1221</v>
      </c>
      <c r="D6732" s="552" t="s">
        <v>1222</v>
      </c>
      <c r="E6732" s="553"/>
      <c r="F6732" s="553"/>
      <c r="G6732" s="554"/>
      <c r="H6732" s="828">
        <f>SUM(H6730:H6731)</f>
        <v>94748.5</v>
      </c>
      <c r="I6732" s="827"/>
    </row>
    <row r="6733" spans="3:11" ht="25.8" customHeight="1"/>
    <row r="6734" spans="3:11" ht="25.8" customHeight="1">
      <c r="C6734" s="513" t="s">
        <v>5995</v>
      </c>
      <c r="D6734" s="817" t="s">
        <v>5996</v>
      </c>
      <c r="E6734" s="803"/>
      <c r="F6734" s="803"/>
      <c r="G6734" s="803"/>
      <c r="H6734" s="803"/>
      <c r="I6734" s="533">
        <f>ROUNDDOWN(H6749,-2)</f>
        <v>227500</v>
      </c>
      <c r="J6734" s="536"/>
      <c r="K6734" s="824"/>
    </row>
    <row r="6735" spans="3:11" ht="25.8" customHeight="1">
      <c r="C6735" s="716" t="s">
        <v>1195</v>
      </c>
      <c r="D6735" s="716" t="s">
        <v>1196</v>
      </c>
      <c r="E6735" s="716" t="s">
        <v>1197</v>
      </c>
      <c r="F6735" s="716" t="s">
        <v>1198</v>
      </c>
      <c r="G6735" s="716" t="s">
        <v>1199</v>
      </c>
      <c r="H6735" s="716" t="s">
        <v>1200</v>
      </c>
    </row>
    <row r="6736" spans="3:11" ht="25.8" customHeight="1">
      <c r="C6736" s="213" t="s">
        <v>1201</v>
      </c>
      <c r="D6736" s="212" t="s">
        <v>1202</v>
      </c>
      <c r="E6736" s="534"/>
      <c r="F6736" s="534"/>
      <c r="G6736" s="534"/>
      <c r="H6736" s="534"/>
    </row>
    <row r="6737" spans="3:11" ht="25.8" customHeight="1">
      <c r="C6737" s="818">
        <v>1</v>
      </c>
      <c r="D6737" s="212" t="s">
        <v>5</v>
      </c>
      <c r="E6737" s="212" t="s">
        <v>6</v>
      </c>
      <c r="F6737" s="538">
        <v>6.4000000000000001E-2</v>
      </c>
      <c r="G6737" s="539">
        <f>VLOOKUP(D6737,upahbahan,3,FALSE)</f>
        <v>100000</v>
      </c>
      <c r="H6737" s="539">
        <f t="shared" ref="H6737:H6740" si="689">F6737*G6737</f>
        <v>6400</v>
      </c>
    </row>
    <row r="6738" spans="3:11" ht="25.8" customHeight="1">
      <c r="C6738" s="818">
        <v>2</v>
      </c>
      <c r="D6738" s="212" t="s">
        <v>17</v>
      </c>
      <c r="E6738" s="212" t="s">
        <v>6</v>
      </c>
      <c r="F6738" s="538">
        <v>0.107</v>
      </c>
      <c r="G6738" s="539">
        <f>VLOOKUP(D6738,upahbahan,3,FALSE)</f>
        <v>135000</v>
      </c>
      <c r="H6738" s="539">
        <f t="shared" si="689"/>
        <v>14445</v>
      </c>
    </row>
    <row r="6739" spans="3:11" ht="25.8" customHeight="1">
      <c r="C6739" s="818">
        <v>3</v>
      </c>
      <c r="D6739" s="212" t="s">
        <v>1310</v>
      </c>
      <c r="E6739" s="212" t="s">
        <v>6</v>
      </c>
      <c r="F6739" s="538">
        <v>1.0999999999999999E-2</v>
      </c>
      <c r="G6739" s="539">
        <f>VLOOKUP(D6739,upahbahan,3,FALSE)</f>
        <v>150000</v>
      </c>
      <c r="H6739" s="539">
        <f t="shared" si="689"/>
        <v>1650</v>
      </c>
    </row>
    <row r="6740" spans="3:11" ht="25.8" customHeight="1">
      <c r="C6740" s="818">
        <v>4</v>
      </c>
      <c r="D6740" s="212" t="s">
        <v>19</v>
      </c>
      <c r="E6740" s="212" t="s">
        <v>6</v>
      </c>
      <c r="F6740" s="538">
        <v>4.0000000000000001E-3</v>
      </c>
      <c r="G6740" s="539">
        <f>VLOOKUP(D6740,upahbahan,3,FALSE)</f>
        <v>160000</v>
      </c>
      <c r="H6740" s="539">
        <f t="shared" si="689"/>
        <v>640</v>
      </c>
    </row>
    <row r="6741" spans="3:11" ht="25.8" customHeight="1">
      <c r="C6741" s="702" t="s">
        <v>1208</v>
      </c>
      <c r="D6741" s="208"/>
      <c r="E6741" s="208"/>
      <c r="F6741" s="811"/>
      <c r="G6741" s="522"/>
      <c r="H6741" s="539">
        <f>SUM(H6737:H6740)</f>
        <v>23135</v>
      </c>
      <c r="I6741" s="819"/>
    </row>
    <row r="6742" spans="3:11" ht="25.8" customHeight="1">
      <c r="C6742" s="213" t="s">
        <v>1209</v>
      </c>
      <c r="D6742" s="212" t="s">
        <v>1210</v>
      </c>
      <c r="E6742" s="534"/>
      <c r="F6742" s="831"/>
      <c r="G6742" s="534"/>
      <c r="H6742" s="534"/>
    </row>
    <row r="6743" spans="3:11" ht="25.8" customHeight="1">
      <c r="C6743" s="818">
        <v>1</v>
      </c>
      <c r="D6743" s="212" t="s">
        <v>5997</v>
      </c>
      <c r="E6743" s="212" t="s">
        <v>135</v>
      </c>
      <c r="F6743" s="538">
        <v>1.05</v>
      </c>
      <c r="G6743" s="539">
        <f>VLOOKUP(D6743,upahbahan,3,FALSE)</f>
        <v>175000</v>
      </c>
      <c r="H6743" s="539">
        <f t="shared" ref="H6743" si="690">F6743*G6743</f>
        <v>183750</v>
      </c>
    </row>
    <row r="6744" spans="3:11" ht="25.8" customHeight="1">
      <c r="C6744" s="702" t="s">
        <v>1214</v>
      </c>
      <c r="D6744" s="208"/>
      <c r="E6744" s="208"/>
      <c r="F6744" s="208"/>
      <c r="G6744" s="209"/>
      <c r="H6744" s="539">
        <f>SUM(H6742:H6743)</f>
        <v>183750</v>
      </c>
    </row>
    <row r="6745" spans="3:11" ht="25.8" customHeight="1">
      <c r="C6745" s="213" t="s">
        <v>1215</v>
      </c>
      <c r="D6745" s="212" t="s">
        <v>1216</v>
      </c>
      <c r="E6745" s="534"/>
      <c r="F6745" s="534"/>
      <c r="G6745" s="534"/>
      <c r="H6745" s="534"/>
    </row>
    <row r="6746" spans="3:11" ht="25.8" customHeight="1">
      <c r="C6746" s="702" t="s">
        <v>1217</v>
      </c>
      <c r="D6746" s="815"/>
      <c r="E6746" s="815"/>
      <c r="F6746" s="815"/>
      <c r="G6746" s="209"/>
      <c r="H6746" s="821">
        <f>SUM(H6745:H6745)</f>
        <v>0</v>
      </c>
    </row>
    <row r="6747" spans="3:11" ht="25.8" customHeight="1">
      <c r="C6747" s="566" t="s">
        <v>1218</v>
      </c>
      <c r="D6747" s="552" t="s">
        <v>1219</v>
      </c>
      <c r="E6747" s="553"/>
      <c r="F6747" s="553"/>
      <c r="G6747" s="554"/>
      <c r="H6747" s="826">
        <f>H6746+H6744+H6741</f>
        <v>206885</v>
      </c>
      <c r="I6747" s="827"/>
    </row>
    <row r="6748" spans="3:11" ht="25.8" customHeight="1">
      <c r="C6748" s="566" t="s">
        <v>1220</v>
      </c>
      <c r="D6748" s="552" t="s">
        <v>1321</v>
      </c>
      <c r="E6748" s="553"/>
      <c r="F6748" s="554"/>
      <c r="G6748" s="555">
        <f>$M$9</f>
        <v>0.1</v>
      </c>
      <c r="H6748" s="539">
        <f>H6747*G6748</f>
        <v>20688.5</v>
      </c>
      <c r="I6748" s="827"/>
    </row>
    <row r="6749" spans="3:11" ht="25.8" customHeight="1">
      <c r="C6749" s="566" t="s">
        <v>1221</v>
      </c>
      <c r="D6749" s="552" t="s">
        <v>1222</v>
      </c>
      <c r="E6749" s="553"/>
      <c r="F6749" s="553"/>
      <c r="G6749" s="554"/>
      <c r="H6749" s="828">
        <f>SUM(H6747:H6748)</f>
        <v>227573.5</v>
      </c>
      <c r="I6749" s="827"/>
    </row>
    <row r="6750" spans="3:11" ht="25.8" customHeight="1"/>
    <row r="6751" spans="3:11" ht="25.8" customHeight="1">
      <c r="C6751" s="513" t="s">
        <v>5998</v>
      </c>
      <c r="D6751" s="817" t="s">
        <v>5999</v>
      </c>
      <c r="E6751" s="803"/>
      <c r="F6751" s="803"/>
      <c r="G6751" s="803"/>
      <c r="H6751" s="803"/>
      <c r="I6751" s="533">
        <f>ROUNDDOWN(H6766,-2)</f>
        <v>181300</v>
      </c>
      <c r="J6751" s="536"/>
      <c r="K6751" s="824"/>
    </row>
    <row r="6752" spans="3:11" ht="25.8" customHeight="1">
      <c r="C6752" s="716" t="s">
        <v>1195</v>
      </c>
      <c r="D6752" s="716" t="s">
        <v>1196</v>
      </c>
      <c r="E6752" s="716" t="s">
        <v>1197</v>
      </c>
      <c r="F6752" s="716" t="s">
        <v>1198</v>
      </c>
      <c r="G6752" s="716" t="s">
        <v>1199</v>
      </c>
      <c r="H6752" s="716" t="s">
        <v>1200</v>
      </c>
    </row>
    <row r="6753" spans="3:11" ht="25.8" customHeight="1">
      <c r="C6753" s="213" t="s">
        <v>1201</v>
      </c>
      <c r="D6753" s="212" t="s">
        <v>1202</v>
      </c>
      <c r="E6753" s="534"/>
      <c r="F6753" s="534"/>
      <c r="G6753" s="534"/>
      <c r="H6753" s="534"/>
    </row>
    <row r="6754" spans="3:11" ht="25.8" customHeight="1">
      <c r="C6754" s="818">
        <v>1</v>
      </c>
      <c r="D6754" s="212" t="s">
        <v>5</v>
      </c>
      <c r="E6754" s="212" t="s">
        <v>6</v>
      </c>
      <c r="F6754" s="538">
        <v>6.4000000000000001E-2</v>
      </c>
      <c r="G6754" s="539">
        <f>VLOOKUP(D6754,upahbahan,3,FALSE)</f>
        <v>100000</v>
      </c>
      <c r="H6754" s="539">
        <f t="shared" ref="H6754:H6757" si="691">F6754*G6754</f>
        <v>6400</v>
      </c>
    </row>
    <row r="6755" spans="3:11" ht="25.8" customHeight="1">
      <c r="C6755" s="818">
        <v>2</v>
      </c>
      <c r="D6755" s="212" t="s">
        <v>17</v>
      </c>
      <c r="E6755" s="212" t="s">
        <v>6</v>
      </c>
      <c r="F6755" s="538">
        <v>0.107</v>
      </c>
      <c r="G6755" s="539">
        <f>VLOOKUP(D6755,upahbahan,3,FALSE)</f>
        <v>135000</v>
      </c>
      <c r="H6755" s="539">
        <f t="shared" si="691"/>
        <v>14445</v>
      </c>
    </row>
    <row r="6756" spans="3:11" ht="25.8" customHeight="1">
      <c r="C6756" s="818">
        <v>3</v>
      </c>
      <c r="D6756" s="212" t="s">
        <v>1310</v>
      </c>
      <c r="E6756" s="212" t="s">
        <v>6</v>
      </c>
      <c r="F6756" s="538">
        <v>1.0999999999999999E-2</v>
      </c>
      <c r="G6756" s="539">
        <f>VLOOKUP(D6756,upahbahan,3,FALSE)</f>
        <v>150000</v>
      </c>
      <c r="H6756" s="539">
        <f t="shared" si="691"/>
        <v>1650</v>
      </c>
    </row>
    <row r="6757" spans="3:11" ht="25.8" customHeight="1">
      <c r="C6757" s="818">
        <v>4</v>
      </c>
      <c r="D6757" s="212" t="s">
        <v>19</v>
      </c>
      <c r="E6757" s="212" t="s">
        <v>6</v>
      </c>
      <c r="F6757" s="538">
        <v>4.0000000000000001E-3</v>
      </c>
      <c r="G6757" s="539">
        <f>VLOOKUP(D6757,upahbahan,3,FALSE)</f>
        <v>160000</v>
      </c>
      <c r="H6757" s="539">
        <f t="shared" si="691"/>
        <v>640</v>
      </c>
    </row>
    <row r="6758" spans="3:11" ht="25.8" customHeight="1">
      <c r="C6758" s="702" t="s">
        <v>1208</v>
      </c>
      <c r="D6758" s="208"/>
      <c r="E6758" s="208"/>
      <c r="F6758" s="811"/>
      <c r="G6758" s="522"/>
      <c r="H6758" s="539">
        <f>SUM(H6754:H6757)</f>
        <v>23135</v>
      </c>
      <c r="I6758" s="819"/>
    </row>
    <row r="6759" spans="3:11" ht="25.8" customHeight="1">
      <c r="C6759" s="213" t="s">
        <v>1209</v>
      </c>
      <c r="D6759" s="212" t="s">
        <v>1210</v>
      </c>
      <c r="E6759" s="534"/>
      <c r="F6759" s="831"/>
      <c r="G6759" s="534"/>
      <c r="H6759" s="534"/>
    </row>
    <row r="6760" spans="3:11" ht="25.8" customHeight="1">
      <c r="C6760" s="818">
        <v>1</v>
      </c>
      <c r="D6760" s="212" t="s">
        <v>6000</v>
      </c>
      <c r="E6760" s="212" t="s">
        <v>135</v>
      </c>
      <c r="F6760" s="538">
        <v>1.05</v>
      </c>
      <c r="G6760" s="539">
        <f>VLOOKUP(D6760,upahbahan,3,FALSE)</f>
        <v>135000</v>
      </c>
      <c r="H6760" s="539">
        <f t="shared" ref="H6760" si="692">F6760*G6760</f>
        <v>141750</v>
      </c>
    </row>
    <row r="6761" spans="3:11" ht="25.8" customHeight="1">
      <c r="C6761" s="702" t="s">
        <v>1214</v>
      </c>
      <c r="D6761" s="208"/>
      <c r="E6761" s="208"/>
      <c r="F6761" s="208"/>
      <c r="G6761" s="209"/>
      <c r="H6761" s="539">
        <f>SUM(H6759:H6760)</f>
        <v>141750</v>
      </c>
    </row>
    <row r="6762" spans="3:11" ht="25.8" customHeight="1">
      <c r="C6762" s="213" t="s">
        <v>1215</v>
      </c>
      <c r="D6762" s="212" t="s">
        <v>1216</v>
      </c>
      <c r="E6762" s="534"/>
      <c r="F6762" s="534"/>
      <c r="G6762" s="534"/>
      <c r="H6762" s="534"/>
    </row>
    <row r="6763" spans="3:11" ht="25.8" customHeight="1">
      <c r="C6763" s="702" t="s">
        <v>1217</v>
      </c>
      <c r="D6763" s="815"/>
      <c r="E6763" s="815"/>
      <c r="F6763" s="815"/>
      <c r="G6763" s="209"/>
      <c r="H6763" s="821">
        <f>SUM(H6762:H6762)</f>
        <v>0</v>
      </c>
    </row>
    <row r="6764" spans="3:11" ht="25.8" customHeight="1">
      <c r="C6764" s="566" t="s">
        <v>1218</v>
      </c>
      <c r="D6764" s="552" t="s">
        <v>1219</v>
      </c>
      <c r="E6764" s="553"/>
      <c r="F6764" s="553"/>
      <c r="G6764" s="554"/>
      <c r="H6764" s="826">
        <f>H6763+H6761+H6758</f>
        <v>164885</v>
      </c>
      <c r="I6764" s="827"/>
    </row>
    <row r="6765" spans="3:11" ht="25.8" customHeight="1">
      <c r="C6765" s="566" t="s">
        <v>1220</v>
      </c>
      <c r="D6765" s="552" t="s">
        <v>1321</v>
      </c>
      <c r="E6765" s="553"/>
      <c r="F6765" s="554"/>
      <c r="G6765" s="555">
        <f>$M$9</f>
        <v>0.1</v>
      </c>
      <c r="H6765" s="539">
        <f>H6764*G6765</f>
        <v>16488.5</v>
      </c>
      <c r="I6765" s="827"/>
    </row>
    <row r="6766" spans="3:11" ht="25.8" customHeight="1">
      <c r="C6766" s="566" t="s">
        <v>1221</v>
      </c>
      <c r="D6766" s="552" t="s">
        <v>1222</v>
      </c>
      <c r="E6766" s="553"/>
      <c r="F6766" s="553"/>
      <c r="G6766" s="554"/>
      <c r="H6766" s="828">
        <f>SUM(H6764:H6765)</f>
        <v>181373.5</v>
      </c>
      <c r="I6766" s="827"/>
    </row>
    <row r="6767" spans="3:11" ht="25.8" customHeight="1"/>
    <row r="6768" spans="3:11" ht="25.8" customHeight="1">
      <c r="C6768" s="513" t="s">
        <v>6001</v>
      </c>
      <c r="D6768" s="817" t="s">
        <v>6002</v>
      </c>
      <c r="E6768" s="803"/>
      <c r="F6768" s="803"/>
      <c r="G6768" s="803"/>
      <c r="H6768" s="803"/>
      <c r="I6768" s="533">
        <f>ROUNDDOWN(H6783,-2)</f>
        <v>123600</v>
      </c>
      <c r="J6768" s="536"/>
      <c r="K6768" s="824"/>
    </row>
    <row r="6769" spans="3:9" ht="25.8" customHeight="1">
      <c r="C6769" s="716" t="s">
        <v>1195</v>
      </c>
      <c r="D6769" s="716" t="s">
        <v>1196</v>
      </c>
      <c r="E6769" s="716" t="s">
        <v>1197</v>
      </c>
      <c r="F6769" s="716" t="s">
        <v>1198</v>
      </c>
      <c r="G6769" s="716" t="s">
        <v>1199</v>
      </c>
      <c r="H6769" s="716" t="s">
        <v>1200</v>
      </c>
    </row>
    <row r="6770" spans="3:9" ht="25.8" customHeight="1">
      <c r="C6770" s="213" t="s">
        <v>1201</v>
      </c>
      <c r="D6770" s="212" t="s">
        <v>1202</v>
      </c>
      <c r="E6770" s="534"/>
      <c r="F6770" s="534"/>
      <c r="G6770" s="534"/>
      <c r="H6770" s="534"/>
    </row>
    <row r="6771" spans="3:9" ht="25.8" customHeight="1">
      <c r="C6771" s="818">
        <v>1</v>
      </c>
      <c r="D6771" s="212" t="s">
        <v>5</v>
      </c>
      <c r="E6771" s="212" t="s">
        <v>6</v>
      </c>
      <c r="F6771" s="538">
        <v>6.4000000000000001E-2</v>
      </c>
      <c r="G6771" s="539">
        <f>VLOOKUP(D6771,upahbahan,3,FALSE)</f>
        <v>100000</v>
      </c>
      <c r="H6771" s="539">
        <f t="shared" ref="H6771:H6774" si="693">F6771*G6771</f>
        <v>6400</v>
      </c>
    </row>
    <row r="6772" spans="3:9" ht="25.8" customHeight="1">
      <c r="C6772" s="818">
        <v>2</v>
      </c>
      <c r="D6772" s="212" t="s">
        <v>17</v>
      </c>
      <c r="E6772" s="212" t="s">
        <v>6</v>
      </c>
      <c r="F6772" s="538">
        <v>0.107</v>
      </c>
      <c r="G6772" s="539">
        <f>VLOOKUP(D6772,upahbahan,3,FALSE)</f>
        <v>135000</v>
      </c>
      <c r="H6772" s="539">
        <f t="shared" si="693"/>
        <v>14445</v>
      </c>
    </row>
    <row r="6773" spans="3:9" ht="25.8" customHeight="1">
      <c r="C6773" s="818">
        <v>3</v>
      </c>
      <c r="D6773" s="212" t="s">
        <v>1310</v>
      </c>
      <c r="E6773" s="212" t="s">
        <v>6</v>
      </c>
      <c r="F6773" s="538">
        <v>1.0999999999999999E-2</v>
      </c>
      <c r="G6773" s="539">
        <f>VLOOKUP(D6773,upahbahan,3,FALSE)</f>
        <v>150000</v>
      </c>
      <c r="H6773" s="539">
        <f t="shared" si="693"/>
        <v>1650</v>
      </c>
    </row>
    <row r="6774" spans="3:9" ht="25.8" customHeight="1">
      <c r="C6774" s="818">
        <v>4</v>
      </c>
      <c r="D6774" s="212" t="s">
        <v>19</v>
      </c>
      <c r="E6774" s="212" t="s">
        <v>6</v>
      </c>
      <c r="F6774" s="538">
        <v>4.0000000000000001E-3</v>
      </c>
      <c r="G6774" s="539">
        <f>VLOOKUP(D6774,upahbahan,3,FALSE)</f>
        <v>160000</v>
      </c>
      <c r="H6774" s="539">
        <f t="shared" si="693"/>
        <v>640</v>
      </c>
    </row>
    <row r="6775" spans="3:9" ht="25.8" customHeight="1">
      <c r="C6775" s="702" t="s">
        <v>1208</v>
      </c>
      <c r="D6775" s="208"/>
      <c r="E6775" s="208"/>
      <c r="F6775" s="811"/>
      <c r="G6775" s="522"/>
      <c r="H6775" s="539">
        <f>SUM(H6771:H6774)</f>
        <v>23135</v>
      </c>
      <c r="I6775" s="819"/>
    </row>
    <row r="6776" spans="3:9" ht="25.8" customHeight="1">
      <c r="C6776" s="213" t="s">
        <v>1209</v>
      </c>
      <c r="D6776" s="212" t="s">
        <v>1210</v>
      </c>
      <c r="E6776" s="534"/>
      <c r="F6776" s="831"/>
      <c r="G6776" s="534"/>
      <c r="H6776" s="534"/>
    </row>
    <row r="6777" spans="3:9" ht="25.8" customHeight="1">
      <c r="C6777" s="818">
        <v>1</v>
      </c>
      <c r="D6777" s="212" t="s">
        <v>6003</v>
      </c>
      <c r="E6777" s="212" t="s">
        <v>135</v>
      </c>
      <c r="F6777" s="538">
        <v>1.05</v>
      </c>
      <c r="G6777" s="539">
        <f>VLOOKUP(D6777,upahbahan,3,FALSE)</f>
        <v>85000</v>
      </c>
      <c r="H6777" s="539">
        <f t="shared" ref="H6777" si="694">F6777*G6777</f>
        <v>89250</v>
      </c>
    </row>
    <row r="6778" spans="3:9" ht="25.8" customHeight="1">
      <c r="C6778" s="702" t="s">
        <v>1214</v>
      </c>
      <c r="D6778" s="208"/>
      <c r="E6778" s="208"/>
      <c r="F6778" s="208"/>
      <c r="G6778" s="209"/>
      <c r="H6778" s="539">
        <f>SUM(H6776:H6777)</f>
        <v>89250</v>
      </c>
    </row>
    <row r="6779" spans="3:9" ht="25.8" customHeight="1">
      <c r="C6779" s="213" t="s">
        <v>1215</v>
      </c>
      <c r="D6779" s="212" t="s">
        <v>1216</v>
      </c>
      <c r="E6779" s="534"/>
      <c r="F6779" s="534"/>
      <c r="G6779" s="534"/>
      <c r="H6779" s="534"/>
    </row>
    <row r="6780" spans="3:9" ht="25.8" customHeight="1">
      <c r="C6780" s="702" t="s">
        <v>1217</v>
      </c>
      <c r="D6780" s="815"/>
      <c r="E6780" s="815"/>
      <c r="F6780" s="815"/>
      <c r="G6780" s="209"/>
      <c r="H6780" s="821">
        <f>SUM(H6779:H6779)</f>
        <v>0</v>
      </c>
    </row>
    <row r="6781" spans="3:9" ht="25.8" customHeight="1">
      <c r="C6781" s="566" t="s">
        <v>1218</v>
      </c>
      <c r="D6781" s="552" t="s">
        <v>1219</v>
      </c>
      <c r="E6781" s="553"/>
      <c r="F6781" s="553"/>
      <c r="G6781" s="554"/>
      <c r="H6781" s="826">
        <f>H6780+H6778+H6775</f>
        <v>112385</v>
      </c>
      <c r="I6781" s="827"/>
    </row>
    <row r="6782" spans="3:9" ht="25.8" customHeight="1">
      <c r="C6782" s="566" t="s">
        <v>1220</v>
      </c>
      <c r="D6782" s="552" t="s">
        <v>1321</v>
      </c>
      <c r="E6782" s="553"/>
      <c r="F6782" s="554"/>
      <c r="G6782" s="555">
        <f>$M$9</f>
        <v>0.1</v>
      </c>
      <c r="H6782" s="539">
        <f>H6781*G6782</f>
        <v>11238.5</v>
      </c>
      <c r="I6782" s="827"/>
    </row>
    <row r="6783" spans="3:9" ht="25.8" customHeight="1">
      <c r="C6783" s="566" t="s">
        <v>1221</v>
      </c>
      <c r="D6783" s="552" t="s">
        <v>1222</v>
      </c>
      <c r="E6783" s="553"/>
      <c r="F6783" s="553"/>
      <c r="G6783" s="554"/>
      <c r="H6783" s="828">
        <f>SUM(H6781:H6782)</f>
        <v>123623.5</v>
      </c>
      <c r="I6783" s="827"/>
    </row>
    <row r="6784" spans="3:9" ht="25.8" customHeight="1"/>
    <row r="6785" spans="3:11" ht="25.8" customHeight="1">
      <c r="C6785" s="513" t="s">
        <v>6004</v>
      </c>
      <c r="D6785" s="817" t="s">
        <v>6005</v>
      </c>
      <c r="E6785" s="803"/>
      <c r="F6785" s="803"/>
      <c r="G6785" s="803"/>
      <c r="H6785" s="803"/>
      <c r="I6785" s="533">
        <f>ROUNDDOWN(H6806,-2)</f>
        <v>495700</v>
      </c>
      <c r="J6785" s="536"/>
      <c r="K6785" s="824"/>
    </row>
    <row r="6786" spans="3:11" ht="25.8" customHeight="1">
      <c r="C6786" s="716" t="s">
        <v>1195</v>
      </c>
      <c r="D6786" s="716" t="s">
        <v>1196</v>
      </c>
      <c r="E6786" s="716" t="s">
        <v>1197</v>
      </c>
      <c r="F6786" s="716" t="s">
        <v>1198</v>
      </c>
      <c r="G6786" s="716" t="s">
        <v>1199</v>
      </c>
      <c r="H6786" s="716" t="s">
        <v>1200</v>
      </c>
    </row>
    <row r="6787" spans="3:11" ht="25.8" customHeight="1">
      <c r="C6787" s="213" t="s">
        <v>1201</v>
      </c>
      <c r="D6787" s="212" t="s">
        <v>1202</v>
      </c>
      <c r="E6787" s="534"/>
      <c r="F6787" s="534"/>
      <c r="G6787" s="534"/>
      <c r="H6787" s="534"/>
    </row>
    <row r="6788" spans="3:11" ht="25.8" customHeight="1">
      <c r="C6788" s="818">
        <v>1</v>
      </c>
      <c r="D6788" s="212" t="s">
        <v>5</v>
      </c>
      <c r="E6788" s="212" t="s">
        <v>6</v>
      </c>
      <c r="F6788" s="538">
        <v>0.19</v>
      </c>
      <c r="G6788" s="539">
        <f>VLOOKUP(D6788,upahbahan,3,FALSE)</f>
        <v>100000</v>
      </c>
      <c r="H6788" s="539">
        <f t="shared" ref="H6788:H6791" si="695">F6788*G6788</f>
        <v>19000</v>
      </c>
    </row>
    <row r="6789" spans="3:11" ht="25.8" customHeight="1">
      <c r="C6789" s="818">
        <v>2</v>
      </c>
      <c r="D6789" s="212" t="s">
        <v>17</v>
      </c>
      <c r="E6789" s="212" t="s">
        <v>6</v>
      </c>
      <c r="F6789" s="538">
        <v>0.318</v>
      </c>
      <c r="G6789" s="539">
        <f>VLOOKUP(D6789,upahbahan,3,FALSE)</f>
        <v>135000</v>
      </c>
      <c r="H6789" s="539">
        <f t="shared" si="695"/>
        <v>42930</v>
      </c>
    </row>
    <row r="6790" spans="3:11" ht="25.8" customHeight="1">
      <c r="C6790" s="818">
        <v>3</v>
      </c>
      <c r="D6790" s="212" t="s">
        <v>1310</v>
      </c>
      <c r="E6790" s="212" t="s">
        <v>6</v>
      </c>
      <c r="F6790" s="538">
        <v>3.2000000000000001E-2</v>
      </c>
      <c r="G6790" s="539">
        <f>VLOOKUP(D6790,upahbahan,3,FALSE)</f>
        <v>150000</v>
      </c>
      <c r="H6790" s="539">
        <f t="shared" si="695"/>
        <v>4800</v>
      </c>
    </row>
    <row r="6791" spans="3:11" ht="25.8" customHeight="1">
      <c r="C6791" s="818">
        <v>4</v>
      </c>
      <c r="D6791" s="212" t="s">
        <v>19</v>
      </c>
      <c r="E6791" s="212" t="s">
        <v>6</v>
      </c>
      <c r="F6791" s="538">
        <v>1.0999999999999999E-2</v>
      </c>
      <c r="G6791" s="539">
        <f>VLOOKUP(D6791,upahbahan,3,FALSE)</f>
        <v>160000</v>
      </c>
      <c r="H6791" s="539">
        <f t="shared" si="695"/>
        <v>1760</v>
      </c>
    </row>
    <row r="6792" spans="3:11" ht="25.8" customHeight="1">
      <c r="C6792" s="702" t="s">
        <v>1208</v>
      </c>
      <c r="D6792" s="208"/>
      <c r="E6792" s="208"/>
      <c r="F6792" s="811"/>
      <c r="G6792" s="522"/>
      <c r="H6792" s="539">
        <f>SUM(H6788:H6791)</f>
        <v>68490</v>
      </c>
      <c r="I6792" s="819"/>
    </row>
    <row r="6793" spans="3:11" ht="25.8" customHeight="1">
      <c r="C6793" s="213" t="s">
        <v>1209</v>
      </c>
      <c r="D6793" s="212" t="s">
        <v>1210</v>
      </c>
      <c r="E6793" s="534"/>
      <c r="F6793" s="831"/>
      <c r="G6793" s="534"/>
      <c r="H6793" s="534"/>
    </row>
    <row r="6794" spans="3:11" ht="25.8" customHeight="1">
      <c r="C6794" s="213">
        <v>1</v>
      </c>
      <c r="D6794" s="212" t="s">
        <v>3376</v>
      </c>
      <c r="E6794" s="234" t="s">
        <v>1300</v>
      </c>
      <c r="F6794" s="866">
        <v>8.8000000000000007</v>
      </c>
      <c r="G6794" s="539">
        <f t="shared" ref="G6794:G6800" si="696">VLOOKUP(D6794,upahbahan,3,FALSE)</f>
        <v>0</v>
      </c>
      <c r="H6794" s="539">
        <f t="shared" ref="H6794:H6800" si="697">F6794*G6794</f>
        <v>0</v>
      </c>
    </row>
    <row r="6795" spans="3:11" ht="25.8" customHeight="1">
      <c r="C6795" s="213">
        <v>2</v>
      </c>
      <c r="D6795" s="212" t="s">
        <v>3542</v>
      </c>
      <c r="E6795" s="234" t="s">
        <v>1300</v>
      </c>
      <c r="F6795" s="866">
        <v>8.8000000000000007</v>
      </c>
      <c r="G6795" s="539">
        <f t="shared" si="696"/>
        <v>16195.5</v>
      </c>
      <c r="H6795" s="539">
        <f t="shared" si="697"/>
        <v>142520.40000000002</v>
      </c>
    </row>
    <row r="6796" spans="3:11" ht="25.8" customHeight="1">
      <c r="C6796" s="213">
        <v>3</v>
      </c>
      <c r="D6796" s="212" t="s">
        <v>3540</v>
      </c>
      <c r="E6796" s="234" t="s">
        <v>44</v>
      </c>
      <c r="F6796" s="866">
        <v>1</v>
      </c>
      <c r="G6796" s="539">
        <f t="shared" si="696"/>
        <v>3600</v>
      </c>
      <c r="H6796" s="539">
        <f t="shared" si="697"/>
        <v>3600</v>
      </c>
    </row>
    <row r="6797" spans="3:11" ht="25.8" customHeight="1">
      <c r="C6797" s="213">
        <v>4</v>
      </c>
      <c r="D6797" s="212" t="s">
        <v>3541</v>
      </c>
      <c r="E6797" s="234" t="s">
        <v>44</v>
      </c>
      <c r="F6797" s="866">
        <v>5</v>
      </c>
      <c r="G6797" s="539">
        <f t="shared" si="696"/>
        <v>700</v>
      </c>
      <c r="H6797" s="539">
        <f t="shared" si="697"/>
        <v>3500</v>
      </c>
    </row>
    <row r="6798" spans="3:11" ht="25.8" customHeight="1">
      <c r="C6798" s="213">
        <v>5</v>
      </c>
      <c r="D6798" s="212" t="s">
        <v>5816</v>
      </c>
      <c r="E6798" s="234" t="s">
        <v>44</v>
      </c>
      <c r="F6798" s="866">
        <v>10</v>
      </c>
      <c r="G6798" s="539">
        <f t="shared" si="696"/>
        <v>891</v>
      </c>
      <c r="H6798" s="539">
        <f t="shared" si="697"/>
        <v>8910</v>
      </c>
    </row>
    <row r="6799" spans="3:11" ht="25.8" customHeight="1">
      <c r="C6799" s="213">
        <v>6</v>
      </c>
      <c r="D6799" s="212" t="s">
        <v>5818</v>
      </c>
      <c r="E6799" s="234" t="s">
        <v>44</v>
      </c>
      <c r="F6799" s="866">
        <v>1</v>
      </c>
      <c r="G6799" s="539">
        <f t="shared" si="696"/>
        <v>952.2</v>
      </c>
      <c r="H6799" s="539">
        <f t="shared" si="697"/>
        <v>952.2</v>
      </c>
    </row>
    <row r="6800" spans="3:11" ht="25.8" customHeight="1">
      <c r="C6800" s="213">
        <v>7</v>
      </c>
      <c r="D6800" s="212" t="s">
        <v>3545</v>
      </c>
      <c r="E6800" s="234" t="s">
        <v>44</v>
      </c>
      <c r="F6800" s="866">
        <v>15</v>
      </c>
      <c r="G6800" s="539">
        <f t="shared" si="696"/>
        <v>14850</v>
      </c>
      <c r="H6800" s="539">
        <f t="shared" si="697"/>
        <v>222750</v>
      </c>
    </row>
    <row r="6801" spans="3:11" ht="25.8" customHeight="1">
      <c r="C6801" s="702" t="s">
        <v>1214</v>
      </c>
      <c r="D6801" s="208"/>
      <c r="E6801" s="208"/>
      <c r="F6801" s="208"/>
      <c r="G6801" s="209"/>
      <c r="H6801" s="539">
        <f>SUM(H6793:H6800)</f>
        <v>382232.60000000003</v>
      </c>
    </row>
    <row r="6802" spans="3:11" ht="25.8" customHeight="1">
      <c r="C6802" s="213" t="s">
        <v>1215</v>
      </c>
      <c r="D6802" s="212" t="s">
        <v>1216</v>
      </c>
      <c r="E6802" s="534"/>
      <c r="F6802" s="534"/>
      <c r="G6802" s="534"/>
      <c r="H6802" s="534"/>
    </row>
    <row r="6803" spans="3:11" ht="25.8" customHeight="1">
      <c r="C6803" s="702" t="s">
        <v>1217</v>
      </c>
      <c r="D6803" s="815"/>
      <c r="E6803" s="815"/>
      <c r="F6803" s="815"/>
      <c r="G6803" s="209"/>
      <c r="H6803" s="821">
        <f>SUM(H6802:H6802)</f>
        <v>0</v>
      </c>
    </row>
    <row r="6804" spans="3:11" ht="25.8" customHeight="1">
      <c r="C6804" s="566" t="s">
        <v>1218</v>
      </c>
      <c r="D6804" s="552" t="s">
        <v>1219</v>
      </c>
      <c r="E6804" s="553"/>
      <c r="F6804" s="553"/>
      <c r="G6804" s="554"/>
      <c r="H6804" s="826">
        <f>H6803+H6801+H6792</f>
        <v>450722.60000000003</v>
      </c>
      <c r="I6804" s="827"/>
    </row>
    <row r="6805" spans="3:11" ht="25.8" customHeight="1">
      <c r="C6805" s="566" t="s">
        <v>1220</v>
      </c>
      <c r="D6805" s="552" t="s">
        <v>1321</v>
      </c>
      <c r="E6805" s="553"/>
      <c r="F6805" s="554"/>
      <c r="G6805" s="555">
        <f>$M$9</f>
        <v>0.1</v>
      </c>
      <c r="H6805" s="539">
        <f>H6804*G6805</f>
        <v>45072.260000000009</v>
      </c>
      <c r="I6805" s="827"/>
    </row>
    <row r="6806" spans="3:11" ht="25.8" customHeight="1">
      <c r="C6806" s="566" t="s">
        <v>1221</v>
      </c>
      <c r="D6806" s="552" t="s">
        <v>1222</v>
      </c>
      <c r="E6806" s="553"/>
      <c r="F6806" s="553"/>
      <c r="G6806" s="554"/>
      <c r="H6806" s="828">
        <f>SUM(H6804:H6805)</f>
        <v>495794.86000000004</v>
      </c>
      <c r="I6806" s="827"/>
    </row>
    <row r="6807" spans="3:11" ht="25.8" customHeight="1"/>
    <row r="6808" spans="3:11" ht="25.8" customHeight="1">
      <c r="C6808" s="513" t="s">
        <v>6006</v>
      </c>
      <c r="D6808" s="817" t="s">
        <v>6007</v>
      </c>
      <c r="E6808" s="803"/>
      <c r="F6808" s="803"/>
      <c r="G6808" s="803"/>
      <c r="H6808" s="803"/>
      <c r="I6808" s="533">
        <f>ROUNDDOWN(H6829,-2)</f>
        <v>584800</v>
      </c>
      <c r="J6808" s="536"/>
      <c r="K6808" s="824"/>
    </row>
    <row r="6809" spans="3:11" ht="25.8" customHeight="1">
      <c r="C6809" s="716" t="s">
        <v>1195</v>
      </c>
      <c r="D6809" s="716" t="s">
        <v>1196</v>
      </c>
      <c r="E6809" s="716" t="s">
        <v>1197</v>
      </c>
      <c r="F6809" s="716" t="s">
        <v>1198</v>
      </c>
      <c r="G6809" s="716" t="s">
        <v>1199</v>
      </c>
      <c r="H6809" s="716" t="s">
        <v>1200</v>
      </c>
    </row>
    <row r="6810" spans="3:11" ht="25.8" customHeight="1">
      <c r="C6810" s="213" t="s">
        <v>1201</v>
      </c>
      <c r="D6810" s="212" t="s">
        <v>1202</v>
      </c>
      <c r="E6810" s="534"/>
      <c r="F6810" s="534"/>
      <c r="G6810" s="534"/>
      <c r="H6810" s="534"/>
    </row>
    <row r="6811" spans="3:11" ht="25.8" customHeight="1">
      <c r="C6811" s="818">
        <v>1</v>
      </c>
      <c r="D6811" s="212" t="s">
        <v>5</v>
      </c>
      <c r="E6811" s="212" t="s">
        <v>6</v>
      </c>
      <c r="F6811" s="538">
        <v>0.19</v>
      </c>
      <c r="G6811" s="539">
        <f>VLOOKUP(D6811,upahbahan,3,FALSE)</f>
        <v>100000</v>
      </c>
      <c r="H6811" s="539">
        <f t="shared" ref="H6811:H6814" si="698">F6811*G6811</f>
        <v>19000</v>
      </c>
    </row>
    <row r="6812" spans="3:11" ht="25.8" customHeight="1">
      <c r="C6812" s="818">
        <v>2</v>
      </c>
      <c r="D6812" s="212" t="s">
        <v>17</v>
      </c>
      <c r="E6812" s="212" t="s">
        <v>6</v>
      </c>
      <c r="F6812" s="538">
        <v>0.318</v>
      </c>
      <c r="G6812" s="539">
        <f>VLOOKUP(D6812,upahbahan,3,FALSE)</f>
        <v>135000</v>
      </c>
      <c r="H6812" s="539">
        <f t="shared" si="698"/>
        <v>42930</v>
      </c>
    </row>
    <row r="6813" spans="3:11" ht="25.8" customHeight="1">
      <c r="C6813" s="818">
        <v>3</v>
      </c>
      <c r="D6813" s="212" t="s">
        <v>1310</v>
      </c>
      <c r="E6813" s="212" t="s">
        <v>6</v>
      </c>
      <c r="F6813" s="538">
        <v>3.2000000000000001E-2</v>
      </c>
      <c r="G6813" s="539">
        <f>VLOOKUP(D6813,upahbahan,3,FALSE)</f>
        <v>150000</v>
      </c>
      <c r="H6813" s="539">
        <f t="shared" si="698"/>
        <v>4800</v>
      </c>
    </row>
    <row r="6814" spans="3:11" ht="25.8" customHeight="1">
      <c r="C6814" s="818">
        <v>4</v>
      </c>
      <c r="D6814" s="212" t="s">
        <v>19</v>
      </c>
      <c r="E6814" s="212" t="s">
        <v>6</v>
      </c>
      <c r="F6814" s="538">
        <v>1.0999999999999999E-2</v>
      </c>
      <c r="G6814" s="539">
        <f>VLOOKUP(D6814,upahbahan,3,FALSE)</f>
        <v>160000</v>
      </c>
      <c r="H6814" s="539">
        <f t="shared" si="698"/>
        <v>1760</v>
      </c>
    </row>
    <row r="6815" spans="3:11" ht="25.8" customHeight="1">
      <c r="C6815" s="702" t="s">
        <v>1208</v>
      </c>
      <c r="D6815" s="208"/>
      <c r="E6815" s="208"/>
      <c r="F6815" s="811"/>
      <c r="G6815" s="522"/>
      <c r="H6815" s="539">
        <f>SUM(H6811:H6814)</f>
        <v>68490</v>
      </c>
      <c r="I6815" s="819"/>
    </row>
    <row r="6816" spans="3:11" ht="25.8" customHeight="1">
      <c r="C6816" s="213" t="s">
        <v>1209</v>
      </c>
      <c r="D6816" s="212" t="s">
        <v>1210</v>
      </c>
      <c r="E6816" s="534"/>
      <c r="F6816" s="831"/>
      <c r="G6816" s="534"/>
      <c r="H6816" s="534"/>
    </row>
    <row r="6817" spans="3:11" ht="25.8" customHeight="1">
      <c r="C6817" s="213">
        <v>1</v>
      </c>
      <c r="D6817" s="212" t="s">
        <v>852</v>
      </c>
      <c r="E6817" s="234" t="s">
        <v>1300</v>
      </c>
      <c r="F6817" s="866">
        <v>8.8000000000000007</v>
      </c>
      <c r="G6817" s="539">
        <f t="shared" ref="G6817:G6823" si="699">VLOOKUP(D6817,upahbahan,3,FALSE)</f>
        <v>9200</v>
      </c>
      <c r="H6817" s="539">
        <f t="shared" ref="H6817:H6823" si="700">F6817*G6817</f>
        <v>80960</v>
      </c>
    </row>
    <row r="6818" spans="3:11" ht="25.8" customHeight="1">
      <c r="C6818" s="213">
        <v>2</v>
      </c>
      <c r="D6818" s="212" t="s">
        <v>3542</v>
      </c>
      <c r="E6818" s="234" t="s">
        <v>1300</v>
      </c>
      <c r="F6818" s="866">
        <v>8.8000000000000007</v>
      </c>
      <c r="G6818" s="539">
        <f t="shared" si="699"/>
        <v>16195.5</v>
      </c>
      <c r="H6818" s="539">
        <f t="shared" si="700"/>
        <v>142520.40000000002</v>
      </c>
    </row>
    <row r="6819" spans="3:11" ht="25.8" customHeight="1">
      <c r="C6819" s="213">
        <v>3</v>
      </c>
      <c r="D6819" s="212" t="s">
        <v>3540</v>
      </c>
      <c r="E6819" s="234" t="s">
        <v>44</v>
      </c>
      <c r="F6819" s="866">
        <v>1</v>
      </c>
      <c r="G6819" s="539">
        <f t="shared" si="699"/>
        <v>3600</v>
      </c>
      <c r="H6819" s="539">
        <f t="shared" si="700"/>
        <v>3600</v>
      </c>
    </row>
    <row r="6820" spans="3:11" ht="25.8" customHeight="1">
      <c r="C6820" s="213">
        <v>4</v>
      </c>
      <c r="D6820" s="212" t="s">
        <v>3541</v>
      </c>
      <c r="E6820" s="234" t="s">
        <v>44</v>
      </c>
      <c r="F6820" s="866">
        <v>5</v>
      </c>
      <c r="G6820" s="539">
        <f t="shared" si="699"/>
        <v>700</v>
      </c>
      <c r="H6820" s="539">
        <f t="shared" si="700"/>
        <v>3500</v>
      </c>
    </row>
    <row r="6821" spans="3:11" ht="25.8" customHeight="1">
      <c r="C6821" s="213">
        <v>5</v>
      </c>
      <c r="D6821" s="212" t="s">
        <v>5816</v>
      </c>
      <c r="E6821" s="234" t="s">
        <v>44</v>
      </c>
      <c r="F6821" s="866">
        <v>10</v>
      </c>
      <c r="G6821" s="539">
        <f t="shared" si="699"/>
        <v>891</v>
      </c>
      <c r="H6821" s="539">
        <f t="shared" si="700"/>
        <v>8910</v>
      </c>
    </row>
    <row r="6822" spans="3:11" ht="25.8" customHeight="1">
      <c r="C6822" s="213">
        <v>6</v>
      </c>
      <c r="D6822" s="212" t="s">
        <v>5818</v>
      </c>
      <c r="E6822" s="234" t="s">
        <v>44</v>
      </c>
      <c r="F6822" s="866">
        <v>1</v>
      </c>
      <c r="G6822" s="539">
        <f t="shared" si="699"/>
        <v>952.2</v>
      </c>
      <c r="H6822" s="539">
        <f t="shared" si="700"/>
        <v>952.2</v>
      </c>
    </row>
    <row r="6823" spans="3:11" ht="25.8" customHeight="1">
      <c r="C6823" s="213">
        <v>7</v>
      </c>
      <c r="D6823" s="212" t="s">
        <v>3545</v>
      </c>
      <c r="E6823" s="234" t="s">
        <v>44</v>
      </c>
      <c r="F6823" s="866">
        <v>15</v>
      </c>
      <c r="G6823" s="539">
        <f t="shared" si="699"/>
        <v>14850</v>
      </c>
      <c r="H6823" s="539">
        <f t="shared" si="700"/>
        <v>222750</v>
      </c>
    </row>
    <row r="6824" spans="3:11" ht="25.8" customHeight="1">
      <c r="C6824" s="702" t="s">
        <v>1214</v>
      </c>
      <c r="D6824" s="208"/>
      <c r="E6824" s="208"/>
      <c r="F6824" s="208"/>
      <c r="G6824" s="209"/>
      <c r="H6824" s="539">
        <f>SUM(H6816:H6823)</f>
        <v>463192.60000000003</v>
      </c>
    </row>
    <row r="6825" spans="3:11" ht="25.8" customHeight="1">
      <c r="C6825" s="213" t="s">
        <v>1215</v>
      </c>
      <c r="D6825" s="212" t="s">
        <v>1216</v>
      </c>
      <c r="E6825" s="534"/>
      <c r="F6825" s="534"/>
      <c r="G6825" s="534"/>
      <c r="H6825" s="534"/>
    </row>
    <row r="6826" spans="3:11" ht="25.8" customHeight="1">
      <c r="C6826" s="702" t="s">
        <v>1217</v>
      </c>
      <c r="D6826" s="815"/>
      <c r="E6826" s="815"/>
      <c r="F6826" s="815"/>
      <c r="G6826" s="209"/>
      <c r="H6826" s="821">
        <f>SUM(H6825:H6825)</f>
        <v>0</v>
      </c>
    </row>
    <row r="6827" spans="3:11" ht="25.8" customHeight="1">
      <c r="C6827" s="566" t="s">
        <v>1218</v>
      </c>
      <c r="D6827" s="552" t="s">
        <v>1219</v>
      </c>
      <c r="E6827" s="553"/>
      <c r="F6827" s="553"/>
      <c r="G6827" s="554"/>
      <c r="H6827" s="826">
        <f>H6826+H6824+H6815</f>
        <v>531682.60000000009</v>
      </c>
      <c r="I6827" s="827"/>
    </row>
    <row r="6828" spans="3:11" ht="25.8" customHeight="1">
      <c r="C6828" s="566" t="s">
        <v>1220</v>
      </c>
      <c r="D6828" s="552" t="s">
        <v>1321</v>
      </c>
      <c r="E6828" s="553"/>
      <c r="F6828" s="554"/>
      <c r="G6828" s="555">
        <f>$M$9</f>
        <v>0.1</v>
      </c>
      <c r="H6828" s="539">
        <f>H6827*G6828</f>
        <v>53168.260000000009</v>
      </c>
      <c r="I6828" s="827"/>
    </row>
    <row r="6829" spans="3:11" ht="25.8" customHeight="1">
      <c r="C6829" s="566" t="s">
        <v>1221</v>
      </c>
      <c r="D6829" s="552" t="s">
        <v>1222</v>
      </c>
      <c r="E6829" s="553"/>
      <c r="F6829" s="553"/>
      <c r="G6829" s="554"/>
      <c r="H6829" s="828">
        <f>SUM(H6827:H6828)</f>
        <v>584850.8600000001</v>
      </c>
      <c r="I6829" s="827"/>
    </row>
    <row r="6830" spans="3:11" ht="25.8" customHeight="1"/>
    <row r="6831" spans="3:11" ht="25.8" customHeight="1"/>
    <row r="6832" spans="3:11" ht="25.8" customHeight="1">
      <c r="C6832" s="513" t="s">
        <v>6008</v>
      </c>
      <c r="D6832" s="817" t="s">
        <v>6009</v>
      </c>
      <c r="E6832" s="803"/>
      <c r="F6832" s="803"/>
      <c r="G6832" s="803"/>
      <c r="H6832" s="803"/>
      <c r="I6832" s="533">
        <f>ROUNDDOWN(H6853,-2)</f>
        <v>1006800</v>
      </c>
      <c r="J6832" s="536"/>
      <c r="K6832" s="824"/>
    </row>
    <row r="6833" spans="3:9" ht="25.8" customHeight="1">
      <c r="C6833" s="716" t="s">
        <v>1195</v>
      </c>
      <c r="D6833" s="716" t="s">
        <v>1196</v>
      </c>
      <c r="E6833" s="716" t="s">
        <v>1197</v>
      </c>
      <c r="F6833" s="716" t="s">
        <v>1198</v>
      </c>
      <c r="G6833" s="716" t="s">
        <v>1199</v>
      </c>
      <c r="H6833" s="716" t="s">
        <v>1200</v>
      </c>
    </row>
    <row r="6834" spans="3:9" ht="25.8" customHeight="1">
      <c r="C6834" s="213" t="s">
        <v>1201</v>
      </c>
      <c r="D6834" s="212" t="s">
        <v>1202</v>
      </c>
      <c r="E6834" s="534"/>
      <c r="F6834" s="534"/>
      <c r="G6834" s="534"/>
      <c r="H6834" s="534"/>
    </row>
    <row r="6835" spans="3:9" ht="25.8" customHeight="1">
      <c r="C6835" s="818">
        <v>1</v>
      </c>
      <c r="D6835" s="212" t="s">
        <v>5</v>
      </c>
      <c r="E6835" s="212" t="s">
        <v>6</v>
      </c>
      <c r="F6835" s="538">
        <v>0.19</v>
      </c>
      <c r="G6835" s="539">
        <f>VLOOKUP(D6835,upahbahan,3,FALSE)</f>
        <v>100000</v>
      </c>
      <c r="H6835" s="539">
        <f t="shared" ref="H6835:H6838" si="701">F6835*G6835</f>
        <v>19000</v>
      </c>
    </row>
    <row r="6836" spans="3:9" ht="25.8" customHeight="1">
      <c r="C6836" s="818">
        <v>2</v>
      </c>
      <c r="D6836" s="212" t="s">
        <v>17</v>
      </c>
      <c r="E6836" s="212" t="s">
        <v>6</v>
      </c>
      <c r="F6836" s="538">
        <v>0.318</v>
      </c>
      <c r="G6836" s="539">
        <f>VLOOKUP(D6836,upahbahan,3,FALSE)</f>
        <v>135000</v>
      </c>
      <c r="H6836" s="539">
        <f t="shared" si="701"/>
        <v>42930</v>
      </c>
    </row>
    <row r="6837" spans="3:9" ht="25.8" customHeight="1">
      <c r="C6837" s="818">
        <v>3</v>
      </c>
      <c r="D6837" s="212" t="s">
        <v>1310</v>
      </c>
      <c r="E6837" s="212" t="s">
        <v>6</v>
      </c>
      <c r="F6837" s="538">
        <v>3.2000000000000001E-2</v>
      </c>
      <c r="G6837" s="539">
        <f>VLOOKUP(D6837,upahbahan,3,FALSE)</f>
        <v>150000</v>
      </c>
      <c r="H6837" s="539">
        <f t="shared" si="701"/>
        <v>4800</v>
      </c>
    </row>
    <row r="6838" spans="3:9" ht="25.8" customHeight="1">
      <c r="C6838" s="818">
        <v>4</v>
      </c>
      <c r="D6838" s="212" t="s">
        <v>19</v>
      </c>
      <c r="E6838" s="212" t="s">
        <v>6</v>
      </c>
      <c r="F6838" s="538">
        <v>1.0999999999999999E-2</v>
      </c>
      <c r="G6838" s="539">
        <f>VLOOKUP(D6838,upahbahan,3,FALSE)</f>
        <v>160000</v>
      </c>
      <c r="H6838" s="539">
        <f t="shared" si="701"/>
        <v>1760</v>
      </c>
    </row>
    <row r="6839" spans="3:9" ht="25.8" customHeight="1">
      <c r="C6839" s="702" t="s">
        <v>1208</v>
      </c>
      <c r="D6839" s="208"/>
      <c r="E6839" s="208"/>
      <c r="F6839" s="811"/>
      <c r="G6839" s="522"/>
      <c r="H6839" s="539">
        <f>SUM(H6835:H6838)</f>
        <v>68490</v>
      </c>
      <c r="I6839" s="819"/>
    </row>
    <row r="6840" spans="3:9" ht="25.8" customHeight="1">
      <c r="C6840" s="213" t="s">
        <v>1209</v>
      </c>
      <c r="D6840" s="212" t="s">
        <v>1210</v>
      </c>
      <c r="E6840" s="534"/>
      <c r="F6840" s="831"/>
      <c r="G6840" s="534"/>
      <c r="H6840" s="534"/>
    </row>
    <row r="6841" spans="3:9" ht="25.8" customHeight="1">
      <c r="C6841" s="213">
        <v>1</v>
      </c>
      <c r="D6841" s="212" t="s">
        <v>852</v>
      </c>
      <c r="E6841" s="234" t="s">
        <v>1300</v>
      </c>
      <c r="F6841" s="866">
        <v>16.5</v>
      </c>
      <c r="G6841" s="539">
        <f t="shared" ref="G6841:G6847" si="702">VLOOKUP(D6841,upahbahan,3,FALSE)</f>
        <v>9200</v>
      </c>
      <c r="H6841" s="539">
        <f t="shared" ref="H6841:H6847" si="703">F6841*G6841</f>
        <v>151800</v>
      </c>
    </row>
    <row r="6842" spans="3:9" ht="25.8" customHeight="1">
      <c r="C6842" s="213">
        <v>2</v>
      </c>
      <c r="D6842" s="212" t="s">
        <v>3542</v>
      </c>
      <c r="E6842" s="234" t="s">
        <v>1300</v>
      </c>
      <c r="F6842" s="866">
        <v>16.5</v>
      </c>
      <c r="G6842" s="539">
        <f t="shared" si="702"/>
        <v>16195.5</v>
      </c>
      <c r="H6842" s="539">
        <f t="shared" si="703"/>
        <v>267225.75</v>
      </c>
    </row>
    <row r="6843" spans="3:9" ht="25.8" customHeight="1">
      <c r="C6843" s="213">
        <v>3</v>
      </c>
      <c r="D6843" s="212" t="s">
        <v>3540</v>
      </c>
      <c r="E6843" s="234" t="s">
        <v>44</v>
      </c>
      <c r="F6843" s="866">
        <v>1</v>
      </c>
      <c r="G6843" s="539">
        <f t="shared" si="702"/>
        <v>3600</v>
      </c>
      <c r="H6843" s="539">
        <f t="shared" si="703"/>
        <v>3600</v>
      </c>
    </row>
    <row r="6844" spans="3:9" ht="25.8" customHeight="1">
      <c r="C6844" s="213">
        <v>4</v>
      </c>
      <c r="D6844" s="212" t="s">
        <v>3541</v>
      </c>
      <c r="E6844" s="234" t="s">
        <v>44</v>
      </c>
      <c r="F6844" s="866">
        <v>9</v>
      </c>
      <c r="G6844" s="539">
        <f t="shared" si="702"/>
        <v>700</v>
      </c>
      <c r="H6844" s="539">
        <f t="shared" si="703"/>
        <v>6300</v>
      </c>
    </row>
    <row r="6845" spans="3:9" ht="25.8" customHeight="1">
      <c r="C6845" s="213">
        <v>5</v>
      </c>
      <c r="D6845" s="212" t="s">
        <v>5816</v>
      </c>
      <c r="E6845" s="234" t="s">
        <v>44</v>
      </c>
      <c r="F6845" s="866">
        <v>18</v>
      </c>
      <c r="G6845" s="539">
        <f t="shared" si="702"/>
        <v>891</v>
      </c>
      <c r="H6845" s="539">
        <f t="shared" si="703"/>
        <v>16038</v>
      </c>
    </row>
    <row r="6846" spans="3:9" ht="25.8" customHeight="1">
      <c r="C6846" s="213">
        <v>6</v>
      </c>
      <c r="D6846" s="212" t="s">
        <v>5818</v>
      </c>
      <c r="E6846" s="234" t="s">
        <v>44</v>
      </c>
      <c r="F6846" s="866">
        <v>1</v>
      </c>
      <c r="G6846" s="539">
        <f t="shared" si="702"/>
        <v>952.2</v>
      </c>
      <c r="H6846" s="539">
        <f t="shared" si="703"/>
        <v>952.2</v>
      </c>
    </row>
    <row r="6847" spans="3:9" ht="25.8" customHeight="1">
      <c r="C6847" s="213">
        <v>7</v>
      </c>
      <c r="D6847" s="212" t="s">
        <v>3545</v>
      </c>
      <c r="E6847" s="234" t="s">
        <v>44</v>
      </c>
      <c r="F6847" s="866">
        <v>27</v>
      </c>
      <c r="G6847" s="539">
        <f t="shared" si="702"/>
        <v>14850</v>
      </c>
      <c r="H6847" s="539">
        <f t="shared" si="703"/>
        <v>400950</v>
      </c>
    </row>
    <row r="6848" spans="3:9" ht="25.8" customHeight="1">
      <c r="C6848" s="702" t="s">
        <v>1214</v>
      </c>
      <c r="D6848" s="208"/>
      <c r="E6848" s="208"/>
      <c r="F6848" s="208"/>
      <c r="G6848" s="209"/>
      <c r="H6848" s="539">
        <f>SUM(H6840:H6847)</f>
        <v>846865.95</v>
      </c>
    </row>
    <row r="6849" spans="3:11" ht="25.8" customHeight="1">
      <c r="C6849" s="213" t="s">
        <v>1215</v>
      </c>
      <c r="D6849" s="212" t="s">
        <v>1216</v>
      </c>
      <c r="E6849" s="534"/>
      <c r="F6849" s="534"/>
      <c r="G6849" s="534"/>
      <c r="H6849" s="534"/>
    </row>
    <row r="6850" spans="3:11" ht="25.8" customHeight="1">
      <c r="C6850" s="702" t="s">
        <v>1217</v>
      </c>
      <c r="D6850" s="815"/>
      <c r="E6850" s="815"/>
      <c r="F6850" s="815"/>
      <c r="G6850" s="209"/>
      <c r="H6850" s="821">
        <f>SUM(H6849:H6849)</f>
        <v>0</v>
      </c>
    </row>
    <row r="6851" spans="3:11" ht="25.8" customHeight="1">
      <c r="C6851" s="566" t="s">
        <v>1218</v>
      </c>
      <c r="D6851" s="552" t="s">
        <v>1219</v>
      </c>
      <c r="E6851" s="553"/>
      <c r="F6851" s="553"/>
      <c r="G6851" s="554"/>
      <c r="H6851" s="826">
        <f>H6850+H6848+H6839</f>
        <v>915355.95</v>
      </c>
      <c r="I6851" s="827"/>
    </row>
    <row r="6852" spans="3:11" ht="25.8" customHeight="1">
      <c r="C6852" s="566" t="s">
        <v>1220</v>
      </c>
      <c r="D6852" s="552" t="s">
        <v>1321</v>
      </c>
      <c r="E6852" s="553"/>
      <c r="F6852" s="554"/>
      <c r="G6852" s="555">
        <f>$M$9</f>
        <v>0.1</v>
      </c>
      <c r="H6852" s="539">
        <f>H6851*G6852</f>
        <v>91535.595000000001</v>
      </c>
      <c r="I6852" s="827"/>
    </row>
    <row r="6853" spans="3:11" ht="25.8" customHeight="1">
      <c r="C6853" s="566" t="s">
        <v>1221</v>
      </c>
      <c r="D6853" s="552" t="s">
        <v>1222</v>
      </c>
      <c r="E6853" s="553"/>
      <c r="F6853" s="553"/>
      <c r="G6853" s="554"/>
      <c r="H6853" s="828">
        <f>SUM(H6851:H6852)</f>
        <v>1006891.5449999999</v>
      </c>
      <c r="I6853" s="827"/>
    </row>
    <row r="6854" spans="3:11" ht="25.8" customHeight="1"/>
    <row r="6855" spans="3:11" ht="25.8" customHeight="1">
      <c r="C6855" s="513" t="s">
        <v>6010</v>
      </c>
      <c r="D6855" s="817" t="s">
        <v>6011</v>
      </c>
      <c r="E6855" s="803"/>
      <c r="F6855" s="803"/>
      <c r="G6855" s="803"/>
      <c r="H6855" s="803"/>
      <c r="I6855" s="533">
        <f>ROUNDDOWN(H6876,-2)</f>
        <v>1257300</v>
      </c>
      <c r="J6855" s="536"/>
      <c r="K6855" s="824"/>
    </row>
    <row r="6856" spans="3:11" ht="25.8" customHeight="1">
      <c r="C6856" s="716" t="s">
        <v>1195</v>
      </c>
      <c r="D6856" s="716" t="s">
        <v>1196</v>
      </c>
      <c r="E6856" s="716" t="s">
        <v>1197</v>
      </c>
      <c r="F6856" s="716" t="s">
        <v>1198</v>
      </c>
      <c r="G6856" s="716" t="s">
        <v>1199</v>
      </c>
      <c r="H6856" s="716" t="s">
        <v>1200</v>
      </c>
    </row>
    <row r="6857" spans="3:11" ht="25.8" customHeight="1">
      <c r="C6857" s="213" t="s">
        <v>1201</v>
      </c>
      <c r="D6857" s="212" t="s">
        <v>1202</v>
      </c>
      <c r="E6857" s="534"/>
      <c r="F6857" s="534"/>
      <c r="G6857" s="534"/>
      <c r="H6857" s="534"/>
    </row>
    <row r="6858" spans="3:11" ht="25.8" customHeight="1">
      <c r="C6858" s="818">
        <v>1</v>
      </c>
      <c r="D6858" s="212" t="s">
        <v>5</v>
      </c>
      <c r="E6858" s="212" t="s">
        <v>6</v>
      </c>
      <c r="F6858" s="538">
        <v>0.19</v>
      </c>
      <c r="G6858" s="539">
        <f>VLOOKUP(D6858,upahbahan,3,FALSE)</f>
        <v>100000</v>
      </c>
      <c r="H6858" s="539">
        <f t="shared" ref="H6858:H6861" si="704">F6858*G6858</f>
        <v>19000</v>
      </c>
    </row>
    <row r="6859" spans="3:11" ht="25.8" customHeight="1">
      <c r="C6859" s="818">
        <v>2</v>
      </c>
      <c r="D6859" s="212" t="s">
        <v>17</v>
      </c>
      <c r="E6859" s="212" t="s">
        <v>6</v>
      </c>
      <c r="F6859" s="538">
        <v>0.318</v>
      </c>
      <c r="G6859" s="539">
        <f>VLOOKUP(D6859,upahbahan,3,FALSE)</f>
        <v>135000</v>
      </c>
      <c r="H6859" s="539">
        <f t="shared" si="704"/>
        <v>42930</v>
      </c>
    </row>
    <row r="6860" spans="3:11" ht="25.8" customHeight="1">
      <c r="C6860" s="818">
        <v>3</v>
      </c>
      <c r="D6860" s="212" t="s">
        <v>1310</v>
      </c>
      <c r="E6860" s="212" t="s">
        <v>6</v>
      </c>
      <c r="F6860" s="538">
        <v>3.2000000000000001E-2</v>
      </c>
      <c r="G6860" s="539">
        <f>VLOOKUP(D6860,upahbahan,3,FALSE)</f>
        <v>150000</v>
      </c>
      <c r="H6860" s="539">
        <f t="shared" si="704"/>
        <v>4800</v>
      </c>
    </row>
    <row r="6861" spans="3:11" ht="25.8" customHeight="1">
      <c r="C6861" s="818">
        <v>4</v>
      </c>
      <c r="D6861" s="212" t="s">
        <v>19</v>
      </c>
      <c r="E6861" s="212" t="s">
        <v>6</v>
      </c>
      <c r="F6861" s="538">
        <v>1.0999999999999999E-2</v>
      </c>
      <c r="G6861" s="539">
        <f>VLOOKUP(D6861,upahbahan,3,FALSE)</f>
        <v>160000</v>
      </c>
      <c r="H6861" s="539">
        <f t="shared" si="704"/>
        <v>1760</v>
      </c>
    </row>
    <row r="6862" spans="3:11" ht="25.8" customHeight="1">
      <c r="C6862" s="702" t="s">
        <v>1208</v>
      </c>
      <c r="D6862" s="208"/>
      <c r="E6862" s="208"/>
      <c r="F6862" s="811"/>
      <c r="G6862" s="522"/>
      <c r="H6862" s="539">
        <f>SUM(H6858:H6861)</f>
        <v>68490</v>
      </c>
      <c r="I6862" s="819"/>
    </row>
    <row r="6863" spans="3:11" ht="25.8" customHeight="1">
      <c r="C6863" s="213" t="s">
        <v>1209</v>
      </c>
      <c r="D6863" s="212" t="s">
        <v>1210</v>
      </c>
      <c r="E6863" s="534"/>
      <c r="F6863" s="831"/>
      <c r="G6863" s="534"/>
      <c r="H6863" s="534"/>
    </row>
    <row r="6864" spans="3:11" ht="25.8" customHeight="1">
      <c r="C6864" s="213">
        <v>1</v>
      </c>
      <c r="D6864" s="212" t="s">
        <v>840</v>
      </c>
      <c r="E6864" s="234" t="s">
        <v>1300</v>
      </c>
      <c r="F6864" s="866">
        <v>16.5</v>
      </c>
      <c r="G6864" s="539">
        <f t="shared" ref="G6864:G6870" si="705">VLOOKUP(D6864,upahbahan,3,FALSE)</f>
        <v>23000</v>
      </c>
      <c r="H6864" s="539">
        <f t="shared" ref="H6864:H6870" si="706">F6864*G6864</f>
        <v>379500</v>
      </c>
    </row>
    <row r="6865" spans="3:11" ht="25.8" customHeight="1">
      <c r="C6865" s="213">
        <v>2</v>
      </c>
      <c r="D6865" s="212" t="s">
        <v>3542</v>
      </c>
      <c r="E6865" s="234" t="s">
        <v>1300</v>
      </c>
      <c r="F6865" s="866">
        <v>16.5</v>
      </c>
      <c r="G6865" s="539">
        <f t="shared" si="705"/>
        <v>16195.5</v>
      </c>
      <c r="H6865" s="539">
        <f t="shared" si="706"/>
        <v>267225.75</v>
      </c>
    </row>
    <row r="6866" spans="3:11" ht="25.8" customHeight="1">
      <c r="C6866" s="213">
        <v>3</v>
      </c>
      <c r="D6866" s="212" t="s">
        <v>3540</v>
      </c>
      <c r="E6866" s="234" t="s">
        <v>44</v>
      </c>
      <c r="F6866" s="866">
        <v>1</v>
      </c>
      <c r="G6866" s="539">
        <f t="shared" si="705"/>
        <v>3600</v>
      </c>
      <c r="H6866" s="539">
        <f t="shared" si="706"/>
        <v>3600</v>
      </c>
    </row>
    <row r="6867" spans="3:11" ht="25.8" customHeight="1">
      <c r="C6867" s="213">
        <v>4</v>
      </c>
      <c r="D6867" s="212" t="s">
        <v>3541</v>
      </c>
      <c r="E6867" s="234" t="s">
        <v>44</v>
      </c>
      <c r="F6867" s="866">
        <v>9</v>
      </c>
      <c r="G6867" s="539">
        <f t="shared" si="705"/>
        <v>700</v>
      </c>
      <c r="H6867" s="539">
        <f t="shared" si="706"/>
        <v>6300</v>
      </c>
    </row>
    <row r="6868" spans="3:11" ht="25.8" customHeight="1">
      <c r="C6868" s="213">
        <v>5</v>
      </c>
      <c r="D6868" s="212" t="s">
        <v>5816</v>
      </c>
      <c r="E6868" s="234" t="s">
        <v>44</v>
      </c>
      <c r="F6868" s="866">
        <v>18</v>
      </c>
      <c r="G6868" s="539">
        <f t="shared" si="705"/>
        <v>891</v>
      </c>
      <c r="H6868" s="539">
        <f t="shared" si="706"/>
        <v>16038</v>
      </c>
    </row>
    <row r="6869" spans="3:11" ht="25.8" customHeight="1">
      <c r="C6869" s="213">
        <v>6</v>
      </c>
      <c r="D6869" s="212" t="s">
        <v>5818</v>
      </c>
      <c r="E6869" s="234" t="s">
        <v>44</v>
      </c>
      <c r="F6869" s="866">
        <v>1</v>
      </c>
      <c r="G6869" s="539">
        <f t="shared" si="705"/>
        <v>952.2</v>
      </c>
      <c r="H6869" s="539">
        <f t="shared" si="706"/>
        <v>952.2</v>
      </c>
    </row>
    <row r="6870" spans="3:11" ht="25.8" customHeight="1">
      <c r="C6870" s="213">
        <v>7</v>
      </c>
      <c r="D6870" s="212" t="s">
        <v>3545</v>
      </c>
      <c r="E6870" s="234" t="s">
        <v>44</v>
      </c>
      <c r="F6870" s="866">
        <v>27</v>
      </c>
      <c r="G6870" s="539">
        <f t="shared" si="705"/>
        <v>14850</v>
      </c>
      <c r="H6870" s="539">
        <f t="shared" si="706"/>
        <v>400950</v>
      </c>
    </row>
    <row r="6871" spans="3:11" ht="25.8" customHeight="1">
      <c r="C6871" s="702" t="s">
        <v>1214</v>
      </c>
      <c r="D6871" s="208"/>
      <c r="E6871" s="208"/>
      <c r="F6871" s="208"/>
      <c r="G6871" s="209"/>
      <c r="H6871" s="539">
        <f>SUM(H6863:H6870)</f>
        <v>1074565.95</v>
      </c>
    </row>
    <row r="6872" spans="3:11" ht="25.8" customHeight="1">
      <c r="C6872" s="213" t="s">
        <v>1215</v>
      </c>
      <c r="D6872" s="212" t="s">
        <v>1216</v>
      </c>
      <c r="E6872" s="534"/>
      <c r="F6872" s="534"/>
      <c r="G6872" s="534"/>
      <c r="H6872" s="534"/>
    </row>
    <row r="6873" spans="3:11" ht="25.8" customHeight="1">
      <c r="C6873" s="702" t="s">
        <v>1217</v>
      </c>
      <c r="D6873" s="815"/>
      <c r="E6873" s="815"/>
      <c r="F6873" s="815"/>
      <c r="G6873" s="209"/>
      <c r="H6873" s="821">
        <f>SUM(H6872:H6872)</f>
        <v>0</v>
      </c>
    </row>
    <row r="6874" spans="3:11" ht="25.8" customHeight="1">
      <c r="C6874" s="566" t="s">
        <v>1218</v>
      </c>
      <c r="D6874" s="552" t="s">
        <v>1219</v>
      </c>
      <c r="E6874" s="553"/>
      <c r="F6874" s="553"/>
      <c r="G6874" s="554"/>
      <c r="H6874" s="826">
        <f>H6873+H6871+H6862</f>
        <v>1143055.95</v>
      </c>
      <c r="I6874" s="827"/>
    </row>
    <row r="6875" spans="3:11" ht="25.8" customHeight="1">
      <c r="C6875" s="566" t="s">
        <v>1220</v>
      </c>
      <c r="D6875" s="552" t="s">
        <v>1321</v>
      </c>
      <c r="E6875" s="553"/>
      <c r="F6875" s="554"/>
      <c r="G6875" s="555">
        <f>$M$9</f>
        <v>0.1</v>
      </c>
      <c r="H6875" s="539">
        <f>H6874*G6875</f>
        <v>114305.595</v>
      </c>
      <c r="I6875" s="827"/>
    </row>
    <row r="6876" spans="3:11" ht="25.8" customHeight="1">
      <c r="C6876" s="566" t="s">
        <v>1221</v>
      </c>
      <c r="D6876" s="552" t="s">
        <v>1222</v>
      </c>
      <c r="E6876" s="553"/>
      <c r="F6876" s="553"/>
      <c r="G6876" s="554"/>
      <c r="H6876" s="828">
        <f>SUM(H6874:H6875)</f>
        <v>1257361.5449999999</v>
      </c>
      <c r="I6876" s="827"/>
    </row>
    <row r="6877" spans="3:11" ht="25.8" customHeight="1"/>
    <row r="6878" spans="3:11" ht="25.8" customHeight="1">
      <c r="C6878" s="513" t="s">
        <v>6012</v>
      </c>
      <c r="D6878" s="817" t="s">
        <v>6013</v>
      </c>
      <c r="E6878" s="803"/>
      <c r="F6878" s="803"/>
      <c r="G6878" s="803"/>
      <c r="H6878" s="803"/>
      <c r="I6878" s="533">
        <f>ROUNDDOWN(H6899,-2)</f>
        <v>1006800</v>
      </c>
      <c r="J6878" s="536"/>
      <c r="K6878" s="824"/>
    </row>
    <row r="6879" spans="3:11" ht="25.8" customHeight="1">
      <c r="C6879" s="716" t="s">
        <v>1195</v>
      </c>
      <c r="D6879" s="716" t="s">
        <v>1196</v>
      </c>
      <c r="E6879" s="716" t="s">
        <v>1197</v>
      </c>
      <c r="F6879" s="716" t="s">
        <v>1198</v>
      </c>
      <c r="G6879" s="716" t="s">
        <v>1199</v>
      </c>
      <c r="H6879" s="716" t="s">
        <v>1200</v>
      </c>
    </row>
    <row r="6880" spans="3:11" ht="25.8" customHeight="1">
      <c r="C6880" s="213" t="s">
        <v>1201</v>
      </c>
      <c r="D6880" s="212" t="s">
        <v>1202</v>
      </c>
      <c r="E6880" s="534"/>
      <c r="F6880" s="534"/>
      <c r="G6880" s="534"/>
      <c r="H6880" s="534"/>
    </row>
    <row r="6881" spans="3:9" ht="25.8" customHeight="1">
      <c r="C6881" s="818">
        <v>1</v>
      </c>
      <c r="D6881" s="212" t="s">
        <v>5</v>
      </c>
      <c r="E6881" s="212" t="s">
        <v>6</v>
      </c>
      <c r="F6881" s="538">
        <v>0.19</v>
      </c>
      <c r="G6881" s="539">
        <f>VLOOKUP(D6881,upahbahan,3,FALSE)</f>
        <v>100000</v>
      </c>
      <c r="H6881" s="539">
        <f t="shared" ref="H6881:H6884" si="707">F6881*G6881</f>
        <v>19000</v>
      </c>
    </row>
    <row r="6882" spans="3:9" ht="25.8" customHeight="1">
      <c r="C6882" s="818">
        <v>2</v>
      </c>
      <c r="D6882" s="212" t="s">
        <v>17</v>
      </c>
      <c r="E6882" s="212" t="s">
        <v>6</v>
      </c>
      <c r="F6882" s="538">
        <v>0.318</v>
      </c>
      <c r="G6882" s="539">
        <f>VLOOKUP(D6882,upahbahan,3,FALSE)</f>
        <v>135000</v>
      </c>
      <c r="H6882" s="539">
        <f t="shared" si="707"/>
        <v>42930</v>
      </c>
    </row>
    <row r="6883" spans="3:9" ht="25.8" customHeight="1">
      <c r="C6883" s="818">
        <v>3</v>
      </c>
      <c r="D6883" s="212" t="s">
        <v>1310</v>
      </c>
      <c r="E6883" s="212" t="s">
        <v>6</v>
      </c>
      <c r="F6883" s="538">
        <v>3.2000000000000001E-2</v>
      </c>
      <c r="G6883" s="539">
        <f>VLOOKUP(D6883,upahbahan,3,FALSE)</f>
        <v>150000</v>
      </c>
      <c r="H6883" s="539">
        <f t="shared" si="707"/>
        <v>4800</v>
      </c>
    </row>
    <row r="6884" spans="3:9" ht="25.8" customHeight="1">
      <c r="C6884" s="818">
        <v>4</v>
      </c>
      <c r="D6884" s="212" t="s">
        <v>19</v>
      </c>
      <c r="E6884" s="212" t="s">
        <v>6</v>
      </c>
      <c r="F6884" s="538">
        <v>1.0999999999999999E-2</v>
      </c>
      <c r="G6884" s="539">
        <f>VLOOKUP(D6884,upahbahan,3,FALSE)</f>
        <v>160000</v>
      </c>
      <c r="H6884" s="539">
        <f t="shared" si="707"/>
        <v>1760</v>
      </c>
    </row>
    <row r="6885" spans="3:9" ht="25.8" customHeight="1">
      <c r="C6885" s="702" t="s">
        <v>1208</v>
      </c>
      <c r="D6885" s="208"/>
      <c r="E6885" s="208"/>
      <c r="F6885" s="811"/>
      <c r="G6885" s="522"/>
      <c r="H6885" s="539">
        <f>SUM(H6881:H6884)</f>
        <v>68490</v>
      </c>
      <c r="I6885" s="819"/>
    </row>
    <row r="6886" spans="3:9" ht="25.8" customHeight="1">
      <c r="C6886" s="213" t="s">
        <v>1209</v>
      </c>
      <c r="D6886" s="212" t="s">
        <v>1210</v>
      </c>
      <c r="E6886" s="534"/>
      <c r="F6886" s="831"/>
      <c r="G6886" s="534"/>
      <c r="H6886" s="534"/>
    </row>
    <row r="6887" spans="3:9" ht="25.8" customHeight="1">
      <c r="C6887" s="213">
        <v>1</v>
      </c>
      <c r="D6887" s="212" t="s">
        <v>852</v>
      </c>
      <c r="E6887" s="234" t="s">
        <v>1300</v>
      </c>
      <c r="F6887" s="866">
        <v>16.5</v>
      </c>
      <c r="G6887" s="539">
        <f t="shared" ref="G6887:G6893" si="708">VLOOKUP(D6887,upahbahan,3,FALSE)</f>
        <v>9200</v>
      </c>
      <c r="H6887" s="539">
        <f t="shared" ref="H6887:H6893" si="709">F6887*G6887</f>
        <v>151800</v>
      </c>
    </row>
    <row r="6888" spans="3:9" ht="25.8" customHeight="1">
      <c r="C6888" s="213">
        <v>2</v>
      </c>
      <c r="D6888" s="212" t="s">
        <v>3542</v>
      </c>
      <c r="E6888" s="234" t="s">
        <v>1300</v>
      </c>
      <c r="F6888" s="866">
        <v>16.5</v>
      </c>
      <c r="G6888" s="539">
        <f t="shared" si="708"/>
        <v>16195.5</v>
      </c>
      <c r="H6888" s="539">
        <f t="shared" si="709"/>
        <v>267225.75</v>
      </c>
    </row>
    <row r="6889" spans="3:9" ht="25.8" customHeight="1">
      <c r="C6889" s="213">
        <v>3</v>
      </c>
      <c r="D6889" s="212" t="s">
        <v>3540</v>
      </c>
      <c r="E6889" s="234" t="s">
        <v>44</v>
      </c>
      <c r="F6889" s="866">
        <v>1</v>
      </c>
      <c r="G6889" s="539">
        <f t="shared" si="708"/>
        <v>3600</v>
      </c>
      <c r="H6889" s="539">
        <f t="shared" si="709"/>
        <v>3600</v>
      </c>
    </row>
    <row r="6890" spans="3:9" ht="25.8" customHeight="1">
      <c r="C6890" s="213">
        <v>4</v>
      </c>
      <c r="D6890" s="212" t="s">
        <v>3541</v>
      </c>
      <c r="E6890" s="234" t="s">
        <v>44</v>
      </c>
      <c r="F6890" s="866">
        <v>9</v>
      </c>
      <c r="G6890" s="539">
        <f t="shared" si="708"/>
        <v>700</v>
      </c>
      <c r="H6890" s="539">
        <f t="shared" si="709"/>
        <v>6300</v>
      </c>
    </row>
    <row r="6891" spans="3:9" ht="25.8" customHeight="1">
      <c r="C6891" s="213">
        <v>5</v>
      </c>
      <c r="D6891" s="212" t="s">
        <v>5816</v>
      </c>
      <c r="E6891" s="234" t="s">
        <v>44</v>
      </c>
      <c r="F6891" s="866">
        <v>18</v>
      </c>
      <c r="G6891" s="539">
        <f t="shared" si="708"/>
        <v>891</v>
      </c>
      <c r="H6891" s="539">
        <f t="shared" si="709"/>
        <v>16038</v>
      </c>
    </row>
    <row r="6892" spans="3:9" ht="25.8" customHeight="1">
      <c r="C6892" s="213">
        <v>6</v>
      </c>
      <c r="D6892" s="212" t="s">
        <v>5818</v>
      </c>
      <c r="E6892" s="234" t="s">
        <v>44</v>
      </c>
      <c r="F6892" s="866">
        <v>1</v>
      </c>
      <c r="G6892" s="539">
        <f t="shared" si="708"/>
        <v>952.2</v>
      </c>
      <c r="H6892" s="539">
        <f t="shared" si="709"/>
        <v>952.2</v>
      </c>
    </row>
    <row r="6893" spans="3:9" ht="25.8" customHeight="1">
      <c r="C6893" s="213">
        <v>7</v>
      </c>
      <c r="D6893" s="212" t="s">
        <v>3545</v>
      </c>
      <c r="E6893" s="234" t="s">
        <v>44</v>
      </c>
      <c r="F6893" s="866">
        <v>27</v>
      </c>
      <c r="G6893" s="539">
        <f t="shared" si="708"/>
        <v>14850</v>
      </c>
      <c r="H6893" s="539">
        <f t="shared" si="709"/>
        <v>400950</v>
      </c>
    </row>
    <row r="6894" spans="3:9" ht="25.8" customHeight="1">
      <c r="C6894" s="702" t="s">
        <v>1214</v>
      </c>
      <c r="D6894" s="208"/>
      <c r="E6894" s="208"/>
      <c r="F6894" s="208"/>
      <c r="G6894" s="209"/>
      <c r="H6894" s="539">
        <f>SUM(H6886:H6893)</f>
        <v>846865.95</v>
      </c>
    </row>
    <row r="6895" spans="3:9" ht="25.8" customHeight="1">
      <c r="C6895" s="213" t="s">
        <v>1215</v>
      </c>
      <c r="D6895" s="212" t="s">
        <v>1216</v>
      </c>
      <c r="E6895" s="534"/>
      <c r="F6895" s="534"/>
      <c r="G6895" s="534"/>
      <c r="H6895" s="534"/>
    </row>
    <row r="6896" spans="3:9" ht="25.8" customHeight="1">
      <c r="C6896" s="702" t="s">
        <v>1217</v>
      </c>
      <c r="D6896" s="815"/>
      <c r="E6896" s="815"/>
      <c r="F6896" s="815"/>
      <c r="G6896" s="209"/>
      <c r="H6896" s="821">
        <f>SUM(H6895:H6895)</f>
        <v>0</v>
      </c>
    </row>
    <row r="6897" spans="3:11" ht="25.8" customHeight="1">
      <c r="C6897" s="566" t="s">
        <v>1218</v>
      </c>
      <c r="D6897" s="552" t="s">
        <v>1219</v>
      </c>
      <c r="E6897" s="553"/>
      <c r="F6897" s="553"/>
      <c r="G6897" s="554"/>
      <c r="H6897" s="826">
        <f>H6896+H6894+H6885</f>
        <v>915355.95</v>
      </c>
      <c r="I6897" s="827"/>
    </row>
    <row r="6898" spans="3:11" ht="25.8" customHeight="1">
      <c r="C6898" s="566" t="s">
        <v>1220</v>
      </c>
      <c r="D6898" s="552" t="s">
        <v>1321</v>
      </c>
      <c r="E6898" s="553"/>
      <c r="F6898" s="554"/>
      <c r="G6898" s="555">
        <f>$M$9</f>
        <v>0.1</v>
      </c>
      <c r="H6898" s="539">
        <f>H6897*G6898</f>
        <v>91535.595000000001</v>
      </c>
      <c r="I6898" s="827"/>
    </row>
    <row r="6899" spans="3:11" ht="25.8" customHeight="1">
      <c r="C6899" s="566" t="s">
        <v>1221</v>
      </c>
      <c r="D6899" s="552" t="s">
        <v>1222</v>
      </c>
      <c r="E6899" s="553"/>
      <c r="F6899" s="553"/>
      <c r="G6899" s="554"/>
      <c r="H6899" s="828">
        <f>SUM(H6897:H6898)</f>
        <v>1006891.5449999999</v>
      </c>
      <c r="I6899" s="827"/>
    </row>
    <row r="6900" spans="3:11" ht="25.8" customHeight="1"/>
    <row r="6901" spans="3:11" ht="25.8" customHeight="1">
      <c r="C6901" s="513" t="s">
        <v>6014</v>
      </c>
      <c r="D6901" s="817" t="s">
        <v>6015</v>
      </c>
      <c r="E6901" s="803"/>
      <c r="F6901" s="803"/>
      <c r="G6901" s="803"/>
      <c r="H6901" s="803"/>
      <c r="I6901" s="533">
        <f>ROUNDDOWN(H6922,-2)</f>
        <v>1257300</v>
      </c>
      <c r="J6901" s="536"/>
      <c r="K6901" s="824"/>
    </row>
    <row r="6902" spans="3:11" ht="25.8" customHeight="1">
      <c r="C6902" s="716" t="s">
        <v>1195</v>
      </c>
      <c r="D6902" s="716" t="s">
        <v>1196</v>
      </c>
      <c r="E6902" s="716" t="s">
        <v>1197</v>
      </c>
      <c r="F6902" s="716" t="s">
        <v>1198</v>
      </c>
      <c r="G6902" s="716" t="s">
        <v>1199</v>
      </c>
      <c r="H6902" s="716" t="s">
        <v>1200</v>
      </c>
    </row>
    <row r="6903" spans="3:11" ht="25.8" customHeight="1">
      <c r="C6903" s="213" t="s">
        <v>1201</v>
      </c>
      <c r="D6903" s="212" t="s">
        <v>1202</v>
      </c>
      <c r="E6903" s="534"/>
      <c r="F6903" s="534"/>
      <c r="G6903" s="534"/>
      <c r="H6903" s="534"/>
    </row>
    <row r="6904" spans="3:11" ht="25.8" customHeight="1">
      <c r="C6904" s="818">
        <v>1</v>
      </c>
      <c r="D6904" s="212" t="s">
        <v>5</v>
      </c>
      <c r="E6904" s="212" t="s">
        <v>6</v>
      </c>
      <c r="F6904" s="538">
        <v>0.19</v>
      </c>
      <c r="G6904" s="539">
        <f>VLOOKUP(D6904,upahbahan,3,FALSE)</f>
        <v>100000</v>
      </c>
      <c r="H6904" s="539">
        <f t="shared" ref="H6904:H6907" si="710">F6904*G6904</f>
        <v>19000</v>
      </c>
    </row>
    <row r="6905" spans="3:11" ht="25.8" customHeight="1">
      <c r="C6905" s="818">
        <v>2</v>
      </c>
      <c r="D6905" s="212" t="s">
        <v>17</v>
      </c>
      <c r="E6905" s="212" t="s">
        <v>6</v>
      </c>
      <c r="F6905" s="538">
        <v>0.318</v>
      </c>
      <c r="G6905" s="539">
        <f>VLOOKUP(D6905,upahbahan,3,FALSE)</f>
        <v>135000</v>
      </c>
      <c r="H6905" s="539">
        <f t="shared" si="710"/>
        <v>42930</v>
      </c>
    </row>
    <row r="6906" spans="3:11" ht="25.8" customHeight="1">
      <c r="C6906" s="818">
        <v>3</v>
      </c>
      <c r="D6906" s="212" t="s">
        <v>1310</v>
      </c>
      <c r="E6906" s="212" t="s">
        <v>6</v>
      </c>
      <c r="F6906" s="538">
        <v>3.2000000000000001E-2</v>
      </c>
      <c r="G6906" s="539">
        <f>VLOOKUP(D6906,upahbahan,3,FALSE)</f>
        <v>150000</v>
      </c>
      <c r="H6906" s="539">
        <f t="shared" si="710"/>
        <v>4800</v>
      </c>
    </row>
    <row r="6907" spans="3:11" ht="25.8" customHeight="1">
      <c r="C6907" s="818">
        <v>4</v>
      </c>
      <c r="D6907" s="212" t="s">
        <v>19</v>
      </c>
      <c r="E6907" s="212" t="s">
        <v>6</v>
      </c>
      <c r="F6907" s="538">
        <v>1.0999999999999999E-2</v>
      </c>
      <c r="G6907" s="539">
        <f>VLOOKUP(D6907,upahbahan,3,FALSE)</f>
        <v>160000</v>
      </c>
      <c r="H6907" s="539">
        <f t="shared" si="710"/>
        <v>1760</v>
      </c>
    </row>
    <row r="6908" spans="3:11" ht="25.8" customHeight="1">
      <c r="C6908" s="702" t="s">
        <v>1208</v>
      </c>
      <c r="D6908" s="208"/>
      <c r="E6908" s="208"/>
      <c r="F6908" s="811"/>
      <c r="G6908" s="522"/>
      <c r="H6908" s="539">
        <f>SUM(H6904:H6907)</f>
        <v>68490</v>
      </c>
      <c r="I6908" s="819"/>
    </row>
    <row r="6909" spans="3:11" ht="25.8" customHeight="1">
      <c r="C6909" s="213" t="s">
        <v>1209</v>
      </c>
      <c r="D6909" s="212" t="s">
        <v>1210</v>
      </c>
      <c r="E6909" s="534"/>
      <c r="F6909" s="831"/>
      <c r="G6909" s="534"/>
      <c r="H6909" s="534"/>
    </row>
    <row r="6910" spans="3:11" ht="25.8" customHeight="1">
      <c r="C6910" s="213">
        <v>1</v>
      </c>
      <c r="D6910" s="212" t="s">
        <v>840</v>
      </c>
      <c r="E6910" s="234" t="s">
        <v>1300</v>
      </c>
      <c r="F6910" s="866">
        <v>16.5</v>
      </c>
      <c r="G6910" s="539">
        <f t="shared" ref="G6910:G6916" si="711">VLOOKUP(D6910,upahbahan,3,FALSE)</f>
        <v>23000</v>
      </c>
      <c r="H6910" s="539">
        <f t="shared" ref="H6910:H6916" si="712">F6910*G6910</f>
        <v>379500</v>
      </c>
    </row>
    <row r="6911" spans="3:11" ht="25.8" customHeight="1">
      <c r="C6911" s="213">
        <v>2</v>
      </c>
      <c r="D6911" s="212" t="s">
        <v>3542</v>
      </c>
      <c r="E6911" s="234" t="s">
        <v>1300</v>
      </c>
      <c r="F6911" s="866">
        <v>16.5</v>
      </c>
      <c r="G6911" s="539">
        <f t="shared" si="711"/>
        <v>16195.5</v>
      </c>
      <c r="H6911" s="539">
        <f t="shared" si="712"/>
        <v>267225.75</v>
      </c>
    </row>
    <row r="6912" spans="3:11" ht="25.8" customHeight="1">
      <c r="C6912" s="213">
        <v>3</v>
      </c>
      <c r="D6912" s="212" t="s">
        <v>3540</v>
      </c>
      <c r="E6912" s="234" t="s">
        <v>44</v>
      </c>
      <c r="F6912" s="866">
        <v>1</v>
      </c>
      <c r="G6912" s="539">
        <f t="shared" si="711"/>
        <v>3600</v>
      </c>
      <c r="H6912" s="539">
        <f t="shared" si="712"/>
        <v>3600</v>
      </c>
    </row>
    <row r="6913" spans="3:11" ht="25.8" customHeight="1">
      <c r="C6913" s="213">
        <v>4</v>
      </c>
      <c r="D6913" s="212" t="s">
        <v>3541</v>
      </c>
      <c r="E6913" s="234" t="s">
        <v>44</v>
      </c>
      <c r="F6913" s="866">
        <v>9</v>
      </c>
      <c r="G6913" s="539">
        <f t="shared" si="711"/>
        <v>700</v>
      </c>
      <c r="H6913" s="539">
        <f t="shared" si="712"/>
        <v>6300</v>
      </c>
    </row>
    <row r="6914" spans="3:11" ht="25.8" customHeight="1">
      <c r="C6914" s="213">
        <v>5</v>
      </c>
      <c r="D6914" s="212" t="s">
        <v>5816</v>
      </c>
      <c r="E6914" s="234" t="s">
        <v>44</v>
      </c>
      <c r="F6914" s="866">
        <v>18</v>
      </c>
      <c r="G6914" s="539">
        <f t="shared" si="711"/>
        <v>891</v>
      </c>
      <c r="H6914" s="539">
        <f t="shared" si="712"/>
        <v>16038</v>
      </c>
    </row>
    <row r="6915" spans="3:11" ht="25.8" customHeight="1">
      <c r="C6915" s="213">
        <v>6</v>
      </c>
      <c r="D6915" s="212" t="s">
        <v>5818</v>
      </c>
      <c r="E6915" s="234" t="s">
        <v>44</v>
      </c>
      <c r="F6915" s="866">
        <v>1</v>
      </c>
      <c r="G6915" s="539">
        <f t="shared" si="711"/>
        <v>952.2</v>
      </c>
      <c r="H6915" s="539">
        <f t="shared" si="712"/>
        <v>952.2</v>
      </c>
    </row>
    <row r="6916" spans="3:11" ht="25.8" customHeight="1">
      <c r="C6916" s="213">
        <v>7</v>
      </c>
      <c r="D6916" s="212" t="s">
        <v>3545</v>
      </c>
      <c r="E6916" s="234" t="s">
        <v>44</v>
      </c>
      <c r="F6916" s="866">
        <v>27</v>
      </c>
      <c r="G6916" s="539">
        <f t="shared" si="711"/>
        <v>14850</v>
      </c>
      <c r="H6916" s="539">
        <f t="shared" si="712"/>
        <v>400950</v>
      </c>
    </row>
    <row r="6917" spans="3:11" ht="25.8" customHeight="1">
      <c r="C6917" s="702" t="s">
        <v>1214</v>
      </c>
      <c r="D6917" s="208"/>
      <c r="E6917" s="208"/>
      <c r="F6917" s="208"/>
      <c r="G6917" s="209"/>
      <c r="H6917" s="539">
        <f>SUM(H6909:H6916)</f>
        <v>1074565.95</v>
      </c>
    </row>
    <row r="6918" spans="3:11" ht="25.8" customHeight="1">
      <c r="C6918" s="213" t="s">
        <v>1215</v>
      </c>
      <c r="D6918" s="212" t="s">
        <v>1216</v>
      </c>
      <c r="E6918" s="534"/>
      <c r="F6918" s="534"/>
      <c r="G6918" s="534"/>
      <c r="H6918" s="534"/>
    </row>
    <row r="6919" spans="3:11" ht="25.8" customHeight="1">
      <c r="C6919" s="702" t="s">
        <v>1217</v>
      </c>
      <c r="D6919" s="815"/>
      <c r="E6919" s="815"/>
      <c r="F6919" s="815"/>
      <c r="G6919" s="209"/>
      <c r="H6919" s="821">
        <f>SUM(H6918:H6918)</f>
        <v>0</v>
      </c>
    </row>
    <row r="6920" spans="3:11" ht="25.8" customHeight="1">
      <c r="C6920" s="566" t="s">
        <v>1218</v>
      </c>
      <c r="D6920" s="552" t="s">
        <v>1219</v>
      </c>
      <c r="E6920" s="553"/>
      <c r="F6920" s="553"/>
      <c r="G6920" s="554"/>
      <c r="H6920" s="826">
        <f>H6919+H6917+H6908</f>
        <v>1143055.95</v>
      </c>
      <c r="I6920" s="827"/>
    </row>
    <row r="6921" spans="3:11" ht="25.8" customHeight="1">
      <c r="C6921" s="566" t="s">
        <v>1220</v>
      </c>
      <c r="D6921" s="552" t="s">
        <v>1321</v>
      </c>
      <c r="E6921" s="553"/>
      <c r="F6921" s="554"/>
      <c r="G6921" s="555">
        <f>$M$9</f>
        <v>0.1</v>
      </c>
      <c r="H6921" s="539">
        <f>H6920*G6921</f>
        <v>114305.595</v>
      </c>
      <c r="I6921" s="827"/>
    </row>
    <row r="6922" spans="3:11" ht="25.8" customHeight="1">
      <c r="C6922" s="566" t="s">
        <v>1221</v>
      </c>
      <c r="D6922" s="552" t="s">
        <v>1222</v>
      </c>
      <c r="E6922" s="553"/>
      <c r="F6922" s="553"/>
      <c r="G6922" s="554"/>
      <c r="H6922" s="828">
        <f>SUM(H6920:H6921)</f>
        <v>1257361.5449999999</v>
      </c>
      <c r="I6922" s="827"/>
    </row>
    <row r="6923" spans="3:11" ht="25.8" customHeight="1"/>
    <row r="6924" spans="3:11" ht="25.8" customHeight="1"/>
    <row r="6925" spans="3:11" ht="25.8" customHeight="1">
      <c r="C6925" s="513" t="s">
        <v>6016</v>
      </c>
      <c r="D6925" s="817" t="s">
        <v>6017</v>
      </c>
      <c r="E6925" s="803"/>
      <c r="F6925" s="803"/>
      <c r="G6925" s="803"/>
      <c r="H6925" s="803"/>
      <c r="I6925" s="533">
        <f>ROUNDDOWN(H6946,-2)</f>
        <v>839900</v>
      </c>
      <c r="J6925" s="536"/>
      <c r="K6925" s="824"/>
    </row>
    <row r="6926" spans="3:11" ht="25.8" customHeight="1">
      <c r="C6926" s="716" t="s">
        <v>1195</v>
      </c>
      <c r="D6926" s="716" t="s">
        <v>1196</v>
      </c>
      <c r="E6926" s="716" t="s">
        <v>1197</v>
      </c>
      <c r="F6926" s="716" t="s">
        <v>1198</v>
      </c>
      <c r="G6926" s="716" t="s">
        <v>1199</v>
      </c>
      <c r="H6926" s="716" t="s">
        <v>1200</v>
      </c>
    </row>
    <row r="6927" spans="3:11" ht="25.8" customHeight="1">
      <c r="C6927" s="213" t="s">
        <v>1201</v>
      </c>
      <c r="D6927" s="212" t="s">
        <v>1202</v>
      </c>
      <c r="E6927" s="534"/>
      <c r="F6927" s="534"/>
      <c r="G6927" s="534"/>
      <c r="H6927" s="534"/>
    </row>
    <row r="6928" spans="3:11" ht="25.8" customHeight="1">
      <c r="C6928" s="818">
        <v>1</v>
      </c>
      <c r="D6928" s="212" t="s">
        <v>5</v>
      </c>
      <c r="E6928" s="212" t="s">
        <v>6</v>
      </c>
      <c r="F6928" s="538">
        <v>0.19</v>
      </c>
      <c r="G6928" s="539">
        <f>VLOOKUP(D6928,upahbahan,3,FALSE)</f>
        <v>100000</v>
      </c>
      <c r="H6928" s="539">
        <f t="shared" ref="H6928:H6931" si="713">F6928*G6928</f>
        <v>19000</v>
      </c>
    </row>
    <row r="6929" spans="3:9" ht="25.8" customHeight="1">
      <c r="C6929" s="818">
        <v>2</v>
      </c>
      <c r="D6929" s="212" t="s">
        <v>17</v>
      </c>
      <c r="E6929" s="212" t="s">
        <v>6</v>
      </c>
      <c r="F6929" s="538">
        <v>0.318</v>
      </c>
      <c r="G6929" s="539">
        <f>VLOOKUP(D6929,upahbahan,3,FALSE)</f>
        <v>135000</v>
      </c>
      <c r="H6929" s="539">
        <f t="shared" si="713"/>
        <v>42930</v>
      </c>
    </row>
    <row r="6930" spans="3:9" ht="25.8" customHeight="1">
      <c r="C6930" s="818">
        <v>3</v>
      </c>
      <c r="D6930" s="212" t="s">
        <v>1310</v>
      </c>
      <c r="E6930" s="212" t="s">
        <v>6</v>
      </c>
      <c r="F6930" s="538">
        <v>3.2000000000000001E-2</v>
      </c>
      <c r="G6930" s="539">
        <f>VLOOKUP(D6930,upahbahan,3,FALSE)</f>
        <v>150000</v>
      </c>
      <c r="H6930" s="539">
        <f t="shared" si="713"/>
        <v>4800</v>
      </c>
    </row>
    <row r="6931" spans="3:9" ht="25.8" customHeight="1">
      <c r="C6931" s="818">
        <v>4</v>
      </c>
      <c r="D6931" s="212" t="s">
        <v>19</v>
      </c>
      <c r="E6931" s="212" t="s">
        <v>6</v>
      </c>
      <c r="F6931" s="538">
        <v>1.0999999999999999E-2</v>
      </c>
      <c r="G6931" s="539">
        <f>VLOOKUP(D6931,upahbahan,3,FALSE)</f>
        <v>160000</v>
      </c>
      <c r="H6931" s="539">
        <f t="shared" si="713"/>
        <v>1760</v>
      </c>
    </row>
    <row r="6932" spans="3:9" ht="25.8" customHeight="1">
      <c r="C6932" s="702" t="s">
        <v>1208</v>
      </c>
      <c r="D6932" s="208"/>
      <c r="E6932" s="208"/>
      <c r="F6932" s="811"/>
      <c r="G6932" s="522"/>
      <c r="H6932" s="539">
        <f>SUM(H6928:H6931)</f>
        <v>68490</v>
      </c>
      <c r="I6932" s="819"/>
    </row>
    <row r="6933" spans="3:9" ht="25.8" customHeight="1">
      <c r="C6933" s="213" t="s">
        <v>1209</v>
      </c>
      <c r="D6933" s="212" t="s">
        <v>1210</v>
      </c>
      <c r="E6933" s="534"/>
      <c r="F6933" s="831"/>
      <c r="G6933" s="534"/>
      <c r="H6933" s="534"/>
    </row>
    <row r="6934" spans="3:9" ht="25.8" customHeight="1">
      <c r="C6934" s="213">
        <v>1</v>
      </c>
      <c r="D6934" s="212" t="s">
        <v>3381</v>
      </c>
      <c r="E6934" s="234" t="s">
        <v>1300</v>
      </c>
      <c r="F6934" s="866">
        <v>16.5</v>
      </c>
      <c r="G6934" s="539">
        <f t="shared" ref="G6934:G6940" si="714">VLOOKUP(D6934,upahbahan,3,FALSE)</f>
        <v>0</v>
      </c>
      <c r="H6934" s="539">
        <f t="shared" ref="H6934:H6940" si="715">F6934*G6934</f>
        <v>0</v>
      </c>
    </row>
    <row r="6935" spans="3:9" ht="25.8" customHeight="1">
      <c r="C6935" s="213">
        <v>2</v>
      </c>
      <c r="D6935" s="212" t="s">
        <v>3542</v>
      </c>
      <c r="E6935" s="234" t="s">
        <v>1300</v>
      </c>
      <c r="F6935" s="866">
        <v>16.5</v>
      </c>
      <c r="G6935" s="539">
        <f t="shared" si="714"/>
        <v>16195.5</v>
      </c>
      <c r="H6935" s="539">
        <f t="shared" si="715"/>
        <v>267225.75</v>
      </c>
    </row>
    <row r="6936" spans="3:9" ht="25.8" customHeight="1">
      <c r="C6936" s="213">
        <v>3</v>
      </c>
      <c r="D6936" s="212" t="s">
        <v>3540</v>
      </c>
      <c r="E6936" s="234" t="s">
        <v>44</v>
      </c>
      <c r="F6936" s="866">
        <v>1</v>
      </c>
      <c r="G6936" s="539">
        <f t="shared" si="714"/>
        <v>3600</v>
      </c>
      <c r="H6936" s="539">
        <f t="shared" si="715"/>
        <v>3600</v>
      </c>
    </row>
    <row r="6937" spans="3:9" ht="25.8" customHeight="1">
      <c r="C6937" s="213">
        <v>4</v>
      </c>
      <c r="D6937" s="212" t="s">
        <v>3541</v>
      </c>
      <c r="E6937" s="234" t="s">
        <v>44</v>
      </c>
      <c r="F6937" s="866">
        <v>9</v>
      </c>
      <c r="G6937" s="539">
        <f t="shared" si="714"/>
        <v>700</v>
      </c>
      <c r="H6937" s="539">
        <f t="shared" si="715"/>
        <v>6300</v>
      </c>
    </row>
    <row r="6938" spans="3:9" ht="25.8" customHeight="1">
      <c r="C6938" s="213">
        <v>5</v>
      </c>
      <c r="D6938" s="212" t="s">
        <v>5816</v>
      </c>
      <c r="E6938" s="234" t="s">
        <v>44</v>
      </c>
      <c r="F6938" s="866">
        <v>18</v>
      </c>
      <c r="G6938" s="539">
        <f t="shared" si="714"/>
        <v>891</v>
      </c>
      <c r="H6938" s="539">
        <f t="shared" si="715"/>
        <v>16038</v>
      </c>
    </row>
    <row r="6939" spans="3:9" ht="25.8" customHeight="1">
      <c r="C6939" s="213">
        <v>6</v>
      </c>
      <c r="D6939" s="212" t="s">
        <v>5818</v>
      </c>
      <c r="E6939" s="234" t="s">
        <v>44</v>
      </c>
      <c r="F6939" s="866">
        <v>1</v>
      </c>
      <c r="G6939" s="539">
        <f t="shared" si="714"/>
        <v>952.2</v>
      </c>
      <c r="H6939" s="539">
        <f t="shared" si="715"/>
        <v>952.2</v>
      </c>
    </row>
    <row r="6940" spans="3:9" ht="25.8" customHeight="1">
      <c r="C6940" s="213">
        <v>7</v>
      </c>
      <c r="D6940" s="212" t="s">
        <v>3545</v>
      </c>
      <c r="E6940" s="234" t="s">
        <v>44</v>
      </c>
      <c r="F6940" s="866">
        <v>27</v>
      </c>
      <c r="G6940" s="539">
        <f t="shared" si="714"/>
        <v>14850</v>
      </c>
      <c r="H6940" s="539">
        <f t="shared" si="715"/>
        <v>400950</v>
      </c>
    </row>
    <row r="6941" spans="3:9" ht="25.8" customHeight="1">
      <c r="C6941" s="702" t="s">
        <v>1214</v>
      </c>
      <c r="D6941" s="208"/>
      <c r="E6941" s="208"/>
      <c r="F6941" s="208"/>
      <c r="G6941" s="209"/>
      <c r="H6941" s="539">
        <f>SUM(H6933:H6940)</f>
        <v>695065.95</v>
      </c>
    </row>
    <row r="6942" spans="3:9" ht="25.8" customHeight="1">
      <c r="C6942" s="213" t="s">
        <v>1215</v>
      </c>
      <c r="D6942" s="212" t="s">
        <v>1216</v>
      </c>
      <c r="E6942" s="534"/>
      <c r="F6942" s="534"/>
      <c r="G6942" s="534"/>
      <c r="H6942" s="534"/>
    </row>
    <row r="6943" spans="3:9" ht="25.8" customHeight="1">
      <c r="C6943" s="702" t="s">
        <v>1217</v>
      </c>
      <c r="D6943" s="815"/>
      <c r="E6943" s="815"/>
      <c r="F6943" s="815"/>
      <c r="G6943" s="209"/>
      <c r="H6943" s="821">
        <f>SUM(H6942:H6942)</f>
        <v>0</v>
      </c>
    </row>
    <row r="6944" spans="3:9" ht="25.8" customHeight="1">
      <c r="C6944" s="566" t="s">
        <v>1218</v>
      </c>
      <c r="D6944" s="552" t="s">
        <v>1219</v>
      </c>
      <c r="E6944" s="553"/>
      <c r="F6944" s="553"/>
      <c r="G6944" s="554"/>
      <c r="H6944" s="826">
        <f>H6943+H6941+H6932</f>
        <v>763555.95</v>
      </c>
      <c r="I6944" s="827"/>
    </row>
    <row r="6945" spans="3:11" ht="25.8" customHeight="1">
      <c r="C6945" s="566" t="s">
        <v>1220</v>
      </c>
      <c r="D6945" s="552" t="s">
        <v>1321</v>
      </c>
      <c r="E6945" s="553"/>
      <c r="F6945" s="554"/>
      <c r="G6945" s="555">
        <f>$M$9</f>
        <v>0.1</v>
      </c>
      <c r="H6945" s="539">
        <f>H6944*G6945</f>
        <v>76355.595000000001</v>
      </c>
      <c r="I6945" s="827"/>
    </row>
    <row r="6946" spans="3:11" ht="25.8" customHeight="1">
      <c r="C6946" s="566" t="s">
        <v>1221</v>
      </c>
      <c r="D6946" s="552" t="s">
        <v>1222</v>
      </c>
      <c r="E6946" s="553"/>
      <c r="F6946" s="553"/>
      <c r="G6946" s="554"/>
      <c r="H6946" s="828">
        <f>SUM(H6944:H6945)</f>
        <v>839911.54499999993</v>
      </c>
      <c r="I6946" s="827"/>
    </row>
    <row r="6947" spans="3:11" ht="25.8" customHeight="1"/>
    <row r="6948" spans="3:11" ht="25.8" customHeight="1"/>
    <row r="6949" spans="3:11" ht="25.8" customHeight="1">
      <c r="C6949" s="513" t="s">
        <v>6018</v>
      </c>
      <c r="D6949" s="817" t="s">
        <v>6019</v>
      </c>
      <c r="E6949" s="803"/>
      <c r="F6949" s="803"/>
      <c r="G6949" s="803"/>
      <c r="H6949" s="803"/>
      <c r="I6949" s="533">
        <f>ROUNDDOWN(H6970,-2)</f>
        <v>1881700</v>
      </c>
      <c r="J6949" s="536"/>
      <c r="K6949" s="824"/>
    </row>
    <row r="6950" spans="3:11" ht="25.8" customHeight="1">
      <c r="C6950" s="716" t="s">
        <v>1195</v>
      </c>
      <c r="D6950" s="716" t="s">
        <v>1196</v>
      </c>
      <c r="E6950" s="716" t="s">
        <v>1197</v>
      </c>
      <c r="F6950" s="716" t="s">
        <v>1198</v>
      </c>
      <c r="G6950" s="716" t="s">
        <v>1199</v>
      </c>
      <c r="H6950" s="716" t="s">
        <v>1200</v>
      </c>
    </row>
    <row r="6951" spans="3:11" ht="25.8" customHeight="1">
      <c r="C6951" s="213" t="s">
        <v>1201</v>
      </c>
      <c r="D6951" s="212" t="s">
        <v>1202</v>
      </c>
      <c r="E6951" s="534"/>
      <c r="F6951" s="534"/>
      <c r="G6951" s="534"/>
      <c r="H6951" s="534"/>
    </row>
    <row r="6952" spans="3:11" ht="25.8" customHeight="1">
      <c r="C6952" s="818">
        <v>1</v>
      </c>
      <c r="D6952" s="212" t="s">
        <v>5</v>
      </c>
      <c r="E6952" s="212" t="s">
        <v>6</v>
      </c>
      <c r="F6952" s="538">
        <v>0.19</v>
      </c>
      <c r="G6952" s="539">
        <f>VLOOKUP(D6952,upahbahan,3,FALSE)</f>
        <v>100000</v>
      </c>
      <c r="H6952" s="539">
        <f t="shared" ref="H6952:H6955" si="716">F6952*G6952</f>
        <v>19000</v>
      </c>
    </row>
    <row r="6953" spans="3:11" ht="25.8" customHeight="1">
      <c r="C6953" s="818">
        <v>2</v>
      </c>
      <c r="D6953" s="212" t="s">
        <v>17</v>
      </c>
      <c r="E6953" s="212" t="s">
        <v>6</v>
      </c>
      <c r="F6953" s="538">
        <v>0.318</v>
      </c>
      <c r="G6953" s="539">
        <f>VLOOKUP(D6953,upahbahan,3,FALSE)</f>
        <v>135000</v>
      </c>
      <c r="H6953" s="539">
        <f t="shared" si="716"/>
        <v>42930</v>
      </c>
    </row>
    <row r="6954" spans="3:11" ht="25.8" customHeight="1">
      <c r="C6954" s="818">
        <v>3</v>
      </c>
      <c r="D6954" s="212" t="s">
        <v>1310</v>
      </c>
      <c r="E6954" s="212" t="s">
        <v>6</v>
      </c>
      <c r="F6954" s="538">
        <v>3.2000000000000001E-2</v>
      </c>
      <c r="G6954" s="539">
        <f>VLOOKUP(D6954,upahbahan,3,FALSE)</f>
        <v>150000</v>
      </c>
      <c r="H6954" s="539">
        <f t="shared" si="716"/>
        <v>4800</v>
      </c>
    </row>
    <row r="6955" spans="3:11" ht="25.8" customHeight="1">
      <c r="C6955" s="818">
        <v>4</v>
      </c>
      <c r="D6955" s="212" t="s">
        <v>19</v>
      </c>
      <c r="E6955" s="212" t="s">
        <v>6</v>
      </c>
      <c r="F6955" s="538">
        <v>1.0999999999999999E-2</v>
      </c>
      <c r="G6955" s="539">
        <f>VLOOKUP(D6955,upahbahan,3,FALSE)</f>
        <v>160000</v>
      </c>
      <c r="H6955" s="539">
        <f t="shared" si="716"/>
        <v>1760</v>
      </c>
    </row>
    <row r="6956" spans="3:11" ht="25.8" customHeight="1">
      <c r="C6956" s="702" t="s">
        <v>1208</v>
      </c>
      <c r="D6956" s="208"/>
      <c r="E6956" s="208"/>
      <c r="F6956" s="811"/>
      <c r="G6956" s="522"/>
      <c r="H6956" s="539">
        <f>SUM(H6952:H6955)</f>
        <v>68490</v>
      </c>
      <c r="I6956" s="819"/>
    </row>
    <row r="6957" spans="3:11" ht="25.8" customHeight="1">
      <c r="C6957" s="213" t="s">
        <v>1209</v>
      </c>
      <c r="D6957" s="212" t="s">
        <v>1210</v>
      </c>
      <c r="E6957" s="534"/>
      <c r="F6957" s="831"/>
      <c r="G6957" s="534"/>
      <c r="H6957" s="534"/>
    </row>
    <row r="6958" spans="3:11" ht="25.8" customHeight="1">
      <c r="C6958" s="213">
        <v>1</v>
      </c>
      <c r="D6958" s="212" t="s">
        <v>852</v>
      </c>
      <c r="E6958" s="234" t="s">
        <v>1300</v>
      </c>
      <c r="F6958" s="866">
        <v>33</v>
      </c>
      <c r="G6958" s="539">
        <f t="shared" ref="G6958:G6964" si="717">VLOOKUP(D6958,upahbahan,3,FALSE)</f>
        <v>9200</v>
      </c>
      <c r="H6958" s="539">
        <f t="shared" ref="H6958:H6964" si="718">F6958*G6958</f>
        <v>303600</v>
      </c>
    </row>
    <row r="6959" spans="3:11" ht="25.8" customHeight="1">
      <c r="C6959" s="213">
        <v>2</v>
      </c>
      <c r="D6959" s="212" t="s">
        <v>3542</v>
      </c>
      <c r="E6959" s="234" t="s">
        <v>1300</v>
      </c>
      <c r="F6959" s="866">
        <v>33</v>
      </c>
      <c r="G6959" s="539">
        <f t="shared" si="717"/>
        <v>16195.5</v>
      </c>
      <c r="H6959" s="539">
        <f t="shared" si="718"/>
        <v>534451.5</v>
      </c>
    </row>
    <row r="6960" spans="3:11" ht="25.8" customHeight="1">
      <c r="C6960" s="213">
        <v>3</v>
      </c>
      <c r="D6960" s="212" t="s">
        <v>3540</v>
      </c>
      <c r="E6960" s="234" t="s">
        <v>44</v>
      </c>
      <c r="F6960" s="866">
        <v>1</v>
      </c>
      <c r="G6960" s="539">
        <f t="shared" si="717"/>
        <v>3600</v>
      </c>
      <c r="H6960" s="539">
        <f t="shared" si="718"/>
        <v>3600</v>
      </c>
    </row>
    <row r="6961" spans="3:11" ht="25.8" customHeight="1">
      <c r="C6961" s="213">
        <v>4</v>
      </c>
      <c r="D6961" s="212" t="s">
        <v>3541</v>
      </c>
      <c r="E6961" s="234" t="s">
        <v>44</v>
      </c>
      <c r="F6961" s="866">
        <v>17</v>
      </c>
      <c r="G6961" s="539">
        <f t="shared" si="717"/>
        <v>700</v>
      </c>
      <c r="H6961" s="539">
        <f t="shared" si="718"/>
        <v>11900</v>
      </c>
    </row>
    <row r="6962" spans="3:11" ht="25.8" customHeight="1">
      <c r="C6962" s="213">
        <v>5</v>
      </c>
      <c r="D6962" s="212" t="s">
        <v>5816</v>
      </c>
      <c r="E6962" s="234" t="s">
        <v>44</v>
      </c>
      <c r="F6962" s="866">
        <v>34</v>
      </c>
      <c r="G6962" s="539">
        <f t="shared" si="717"/>
        <v>891</v>
      </c>
      <c r="H6962" s="539">
        <f t="shared" si="718"/>
        <v>30294</v>
      </c>
    </row>
    <row r="6963" spans="3:11" ht="25.8" customHeight="1">
      <c r="C6963" s="213">
        <v>6</v>
      </c>
      <c r="D6963" s="212" t="s">
        <v>5818</v>
      </c>
      <c r="E6963" s="234" t="s">
        <v>44</v>
      </c>
      <c r="F6963" s="866">
        <v>1</v>
      </c>
      <c r="G6963" s="539">
        <f t="shared" si="717"/>
        <v>952.2</v>
      </c>
      <c r="H6963" s="539">
        <f t="shared" si="718"/>
        <v>952.2</v>
      </c>
    </row>
    <row r="6964" spans="3:11" ht="25.8" customHeight="1">
      <c r="C6964" s="213">
        <v>7</v>
      </c>
      <c r="D6964" s="212" t="s">
        <v>3545</v>
      </c>
      <c r="E6964" s="234" t="s">
        <v>44</v>
      </c>
      <c r="F6964" s="866">
        <v>51</v>
      </c>
      <c r="G6964" s="539">
        <f t="shared" si="717"/>
        <v>14850</v>
      </c>
      <c r="H6964" s="539">
        <f t="shared" si="718"/>
        <v>757350</v>
      </c>
    </row>
    <row r="6965" spans="3:11" ht="25.8" customHeight="1">
      <c r="C6965" s="702" t="s">
        <v>1214</v>
      </c>
      <c r="D6965" s="208"/>
      <c r="E6965" s="208"/>
      <c r="F6965" s="208"/>
      <c r="G6965" s="209"/>
      <c r="H6965" s="539">
        <f>SUM(H6957:H6964)</f>
        <v>1642147.7</v>
      </c>
    </row>
    <row r="6966" spans="3:11" ht="25.8" customHeight="1">
      <c r="C6966" s="213" t="s">
        <v>1215</v>
      </c>
      <c r="D6966" s="212" t="s">
        <v>1216</v>
      </c>
      <c r="E6966" s="534"/>
      <c r="F6966" s="534"/>
      <c r="G6966" s="534"/>
      <c r="H6966" s="534"/>
    </row>
    <row r="6967" spans="3:11" ht="25.8" customHeight="1">
      <c r="C6967" s="702" t="s">
        <v>1217</v>
      </c>
      <c r="D6967" s="815"/>
      <c r="E6967" s="815"/>
      <c r="F6967" s="815"/>
      <c r="G6967" s="209"/>
      <c r="H6967" s="821">
        <f>SUM(H6966:H6966)</f>
        <v>0</v>
      </c>
    </row>
    <row r="6968" spans="3:11" ht="25.8" customHeight="1">
      <c r="C6968" s="566" t="s">
        <v>1218</v>
      </c>
      <c r="D6968" s="552" t="s">
        <v>1219</v>
      </c>
      <c r="E6968" s="553"/>
      <c r="F6968" s="553"/>
      <c r="G6968" s="554"/>
      <c r="H6968" s="826">
        <f>H6967+H6965+H6956</f>
        <v>1710637.7</v>
      </c>
      <c r="I6968" s="827"/>
    </row>
    <row r="6969" spans="3:11" ht="25.8" customHeight="1">
      <c r="C6969" s="566" t="s">
        <v>1220</v>
      </c>
      <c r="D6969" s="552" t="s">
        <v>1321</v>
      </c>
      <c r="E6969" s="553"/>
      <c r="F6969" s="554"/>
      <c r="G6969" s="555">
        <f>$M$9</f>
        <v>0.1</v>
      </c>
      <c r="H6969" s="539">
        <f>H6968*G6969</f>
        <v>171063.77000000002</v>
      </c>
      <c r="I6969" s="827"/>
    </row>
    <row r="6970" spans="3:11" ht="25.8" customHeight="1">
      <c r="C6970" s="566" t="s">
        <v>1221</v>
      </c>
      <c r="D6970" s="552" t="s">
        <v>1222</v>
      </c>
      <c r="E6970" s="553"/>
      <c r="F6970" s="553"/>
      <c r="G6970" s="554"/>
      <c r="H6970" s="828">
        <f>SUM(H6968:H6969)</f>
        <v>1881701.47</v>
      </c>
      <c r="I6970" s="827"/>
    </row>
    <row r="6971" spans="3:11" ht="25.8" customHeight="1"/>
    <row r="6972" spans="3:11" ht="25.8" customHeight="1">
      <c r="C6972" s="513" t="s">
        <v>6020</v>
      </c>
      <c r="D6972" s="817" t="s">
        <v>6023</v>
      </c>
      <c r="E6972" s="803"/>
      <c r="F6972" s="803"/>
      <c r="G6972" s="803"/>
      <c r="H6972" s="803"/>
      <c r="I6972" s="533">
        <f>ROUNDDOWN(H6987,-2)</f>
        <v>813800</v>
      </c>
      <c r="J6972" s="536"/>
      <c r="K6972" s="824"/>
    </row>
    <row r="6973" spans="3:11" ht="25.8" customHeight="1">
      <c r="C6973" s="716" t="s">
        <v>1195</v>
      </c>
      <c r="D6973" s="716" t="s">
        <v>1196</v>
      </c>
      <c r="E6973" s="716" t="s">
        <v>1197</v>
      </c>
      <c r="F6973" s="716" t="s">
        <v>1198</v>
      </c>
      <c r="G6973" s="716" t="s">
        <v>1199</v>
      </c>
      <c r="H6973" s="716" t="s">
        <v>1200</v>
      </c>
    </row>
    <row r="6974" spans="3:11" ht="25.8" customHeight="1">
      <c r="C6974" s="213" t="s">
        <v>1201</v>
      </c>
      <c r="D6974" s="212" t="s">
        <v>1202</v>
      </c>
      <c r="E6974" s="534"/>
      <c r="F6974" s="534"/>
      <c r="G6974" s="534"/>
      <c r="H6974" s="534"/>
    </row>
    <row r="6975" spans="3:11" ht="25.8" customHeight="1">
      <c r="C6975" s="818">
        <v>1</v>
      </c>
      <c r="D6975" s="212" t="s">
        <v>5</v>
      </c>
      <c r="E6975" s="212" t="s">
        <v>6</v>
      </c>
      <c r="F6975" s="538">
        <v>6.9000000000000006E-2</v>
      </c>
      <c r="G6975" s="539">
        <f>VLOOKUP(D6975,upahbahan,3,FALSE)</f>
        <v>100000</v>
      </c>
      <c r="H6975" s="539">
        <f t="shared" ref="H6975:H6978" si="719">F6975*G6975</f>
        <v>6900.0000000000009</v>
      </c>
    </row>
    <row r="6976" spans="3:11" ht="25.8" customHeight="1">
      <c r="C6976" s="818">
        <v>2</v>
      </c>
      <c r="D6976" s="212" t="s">
        <v>17</v>
      </c>
      <c r="E6976" s="212" t="s">
        <v>6</v>
      </c>
      <c r="F6976" s="538">
        <v>0.115</v>
      </c>
      <c r="G6976" s="539">
        <f>VLOOKUP(D6976,upahbahan,3,FALSE)</f>
        <v>135000</v>
      </c>
      <c r="H6976" s="539">
        <f t="shared" si="719"/>
        <v>15525</v>
      </c>
    </row>
    <row r="6977" spans="3:11" ht="25.8" customHeight="1">
      <c r="C6977" s="818">
        <v>3</v>
      </c>
      <c r="D6977" s="212" t="s">
        <v>1310</v>
      </c>
      <c r="E6977" s="212" t="s">
        <v>6</v>
      </c>
      <c r="F6977" s="538">
        <v>1.2E-2</v>
      </c>
      <c r="G6977" s="539">
        <f>VLOOKUP(D6977,upahbahan,3,FALSE)</f>
        <v>150000</v>
      </c>
      <c r="H6977" s="539">
        <f t="shared" si="719"/>
        <v>1800</v>
      </c>
    </row>
    <row r="6978" spans="3:11" ht="25.8" customHeight="1">
      <c r="C6978" s="818">
        <v>4</v>
      </c>
      <c r="D6978" s="212" t="s">
        <v>19</v>
      </c>
      <c r="E6978" s="212" t="s">
        <v>6</v>
      </c>
      <c r="F6978" s="538">
        <v>4.0000000000000001E-3</v>
      </c>
      <c r="G6978" s="539">
        <f>VLOOKUP(D6978,upahbahan,3,FALSE)</f>
        <v>160000</v>
      </c>
      <c r="H6978" s="539">
        <f t="shared" si="719"/>
        <v>640</v>
      </c>
    </row>
    <row r="6979" spans="3:11" ht="25.8" customHeight="1">
      <c r="C6979" s="702" t="s">
        <v>1208</v>
      </c>
      <c r="D6979" s="208"/>
      <c r="E6979" s="208"/>
      <c r="F6979" s="811"/>
      <c r="G6979" s="522"/>
      <c r="H6979" s="539">
        <f>SUM(H6975:H6978)</f>
        <v>24865</v>
      </c>
      <c r="I6979" s="819"/>
    </row>
    <row r="6980" spans="3:11" ht="25.8" customHeight="1">
      <c r="C6980" s="213" t="s">
        <v>1209</v>
      </c>
      <c r="D6980" s="212" t="s">
        <v>1210</v>
      </c>
      <c r="E6980" s="534"/>
      <c r="F6980" s="831"/>
      <c r="G6980" s="534"/>
      <c r="H6980" s="534"/>
    </row>
    <row r="6981" spans="3:11" ht="25.8" customHeight="1">
      <c r="C6981" s="213">
        <v>1</v>
      </c>
      <c r="D6981" s="212" t="s">
        <v>6021</v>
      </c>
      <c r="E6981" s="234" t="s">
        <v>44</v>
      </c>
      <c r="F6981" s="866">
        <v>1.1000000000000001</v>
      </c>
      <c r="G6981" s="539">
        <f>VLOOKUP(D6981,upahbahan,3,FALSE)</f>
        <v>650000</v>
      </c>
      <c r="H6981" s="539">
        <f t="shared" ref="H6981" si="720">F6981*G6981</f>
        <v>715000</v>
      </c>
    </row>
    <row r="6982" spans="3:11" ht="25.8" customHeight="1">
      <c r="C6982" s="702" t="s">
        <v>1214</v>
      </c>
      <c r="D6982" s="208"/>
      <c r="E6982" s="208"/>
      <c r="F6982" s="208"/>
      <c r="G6982" s="209"/>
      <c r="H6982" s="539">
        <f>SUM(H6980:H6981)</f>
        <v>715000</v>
      </c>
    </row>
    <row r="6983" spans="3:11" ht="25.8" customHeight="1">
      <c r="C6983" s="213" t="s">
        <v>1215</v>
      </c>
      <c r="D6983" s="212" t="s">
        <v>1216</v>
      </c>
      <c r="E6983" s="534"/>
      <c r="F6983" s="534"/>
      <c r="G6983" s="534"/>
      <c r="H6983" s="534"/>
    </row>
    <row r="6984" spans="3:11" ht="25.8" customHeight="1">
      <c r="C6984" s="702" t="s">
        <v>1217</v>
      </c>
      <c r="D6984" s="815"/>
      <c r="E6984" s="815"/>
      <c r="F6984" s="815"/>
      <c r="G6984" s="209"/>
      <c r="H6984" s="821">
        <f>SUM(H6983:H6983)</f>
        <v>0</v>
      </c>
    </row>
    <row r="6985" spans="3:11" ht="25.8" customHeight="1">
      <c r="C6985" s="566" t="s">
        <v>1218</v>
      </c>
      <c r="D6985" s="552" t="s">
        <v>1219</v>
      </c>
      <c r="E6985" s="553"/>
      <c r="F6985" s="553"/>
      <c r="G6985" s="554"/>
      <c r="H6985" s="826">
        <f>H6984+H6982+H6979</f>
        <v>739865</v>
      </c>
      <c r="I6985" s="827"/>
    </row>
    <row r="6986" spans="3:11" ht="25.8" customHeight="1">
      <c r="C6986" s="566" t="s">
        <v>1220</v>
      </c>
      <c r="D6986" s="552" t="s">
        <v>1321</v>
      </c>
      <c r="E6986" s="553"/>
      <c r="F6986" s="554"/>
      <c r="G6986" s="555">
        <f>$M$9</f>
        <v>0.1</v>
      </c>
      <c r="H6986" s="539">
        <f>H6985*G6986</f>
        <v>73986.5</v>
      </c>
      <c r="I6986" s="827"/>
    </row>
    <row r="6987" spans="3:11" ht="25.8" customHeight="1">
      <c r="C6987" s="566" t="s">
        <v>1221</v>
      </c>
      <c r="D6987" s="552" t="s">
        <v>1222</v>
      </c>
      <c r="E6987" s="553"/>
      <c r="F6987" s="553"/>
      <c r="G6987" s="554"/>
      <c r="H6987" s="828">
        <f>SUM(H6985:H6986)</f>
        <v>813851.5</v>
      </c>
      <c r="I6987" s="827"/>
    </row>
    <row r="6988" spans="3:11" ht="25.8" customHeight="1"/>
    <row r="6989" spans="3:11" ht="25.8" customHeight="1">
      <c r="C6989" s="513" t="s">
        <v>6022</v>
      </c>
      <c r="D6989" s="817" t="s">
        <v>6024</v>
      </c>
      <c r="E6989" s="803"/>
      <c r="F6989" s="803"/>
      <c r="G6989" s="803"/>
      <c r="H6989" s="803"/>
      <c r="I6989" s="533">
        <f>ROUNDDOWN(H7004,-2)</f>
        <v>450800</v>
      </c>
      <c r="J6989" s="536"/>
      <c r="K6989" s="824"/>
    </row>
    <row r="6990" spans="3:11" ht="25.8" customHeight="1">
      <c r="C6990" s="716" t="s">
        <v>1195</v>
      </c>
      <c r="D6990" s="716" t="s">
        <v>1196</v>
      </c>
      <c r="E6990" s="716" t="s">
        <v>1197</v>
      </c>
      <c r="F6990" s="716" t="s">
        <v>1198</v>
      </c>
      <c r="G6990" s="716" t="s">
        <v>1199</v>
      </c>
      <c r="H6990" s="716" t="s">
        <v>1200</v>
      </c>
    </row>
    <row r="6991" spans="3:11" ht="25.8" customHeight="1">
      <c r="C6991" s="213" t="s">
        <v>1201</v>
      </c>
      <c r="D6991" s="212" t="s">
        <v>1202</v>
      </c>
      <c r="E6991" s="534"/>
      <c r="F6991" s="534"/>
      <c r="G6991" s="534"/>
      <c r="H6991" s="534"/>
    </row>
    <row r="6992" spans="3:11" ht="25.8" customHeight="1">
      <c r="C6992" s="818">
        <v>1</v>
      </c>
      <c r="D6992" s="212" t="s">
        <v>5</v>
      </c>
      <c r="E6992" s="212" t="s">
        <v>6</v>
      </c>
      <c r="F6992" s="538">
        <v>6.9000000000000006E-2</v>
      </c>
      <c r="G6992" s="539">
        <f>VLOOKUP(D6992,upahbahan,3,FALSE)</f>
        <v>100000</v>
      </c>
      <c r="H6992" s="539">
        <f t="shared" ref="H6992:H6995" si="721">F6992*G6992</f>
        <v>6900.0000000000009</v>
      </c>
    </row>
    <row r="6993" spans="3:11" ht="25.8" customHeight="1">
      <c r="C6993" s="818">
        <v>2</v>
      </c>
      <c r="D6993" s="212" t="s">
        <v>17</v>
      </c>
      <c r="E6993" s="212" t="s">
        <v>6</v>
      </c>
      <c r="F6993" s="538">
        <v>0.115</v>
      </c>
      <c r="G6993" s="539">
        <f>VLOOKUP(D6993,upahbahan,3,FALSE)</f>
        <v>135000</v>
      </c>
      <c r="H6993" s="539">
        <f t="shared" si="721"/>
        <v>15525</v>
      </c>
    </row>
    <row r="6994" spans="3:11" ht="25.8" customHeight="1">
      <c r="C6994" s="818">
        <v>3</v>
      </c>
      <c r="D6994" s="212" t="s">
        <v>1310</v>
      </c>
      <c r="E6994" s="212" t="s">
        <v>6</v>
      </c>
      <c r="F6994" s="538">
        <v>1.2E-2</v>
      </c>
      <c r="G6994" s="539">
        <f>VLOOKUP(D6994,upahbahan,3,FALSE)</f>
        <v>150000</v>
      </c>
      <c r="H6994" s="539">
        <f t="shared" si="721"/>
        <v>1800</v>
      </c>
    </row>
    <row r="6995" spans="3:11" ht="25.8" customHeight="1">
      <c r="C6995" s="818">
        <v>4</v>
      </c>
      <c r="D6995" s="212" t="s">
        <v>19</v>
      </c>
      <c r="E6995" s="212" t="s">
        <v>6</v>
      </c>
      <c r="F6995" s="538">
        <v>4.0000000000000001E-3</v>
      </c>
      <c r="G6995" s="539">
        <f>VLOOKUP(D6995,upahbahan,3,FALSE)</f>
        <v>160000</v>
      </c>
      <c r="H6995" s="539">
        <f t="shared" si="721"/>
        <v>640</v>
      </c>
    </row>
    <row r="6996" spans="3:11" ht="25.8" customHeight="1">
      <c r="C6996" s="702" t="s">
        <v>1208</v>
      </c>
      <c r="D6996" s="208"/>
      <c r="E6996" s="208"/>
      <c r="F6996" s="811"/>
      <c r="G6996" s="522"/>
      <c r="H6996" s="539">
        <f>SUM(H6992:H6995)</f>
        <v>24865</v>
      </c>
      <c r="I6996" s="819"/>
    </row>
    <row r="6997" spans="3:11" ht="25.8" customHeight="1">
      <c r="C6997" s="213" t="s">
        <v>1209</v>
      </c>
      <c r="D6997" s="212" t="s">
        <v>1210</v>
      </c>
      <c r="E6997" s="534"/>
      <c r="F6997" s="831"/>
      <c r="G6997" s="534"/>
      <c r="H6997" s="534"/>
    </row>
    <row r="6998" spans="3:11" ht="25.8" customHeight="1">
      <c r="C6998" s="213">
        <v>1</v>
      </c>
      <c r="D6998" s="212" t="s">
        <v>6025</v>
      </c>
      <c r="E6998" s="234" t="s">
        <v>44</v>
      </c>
      <c r="F6998" s="866">
        <v>1.1000000000000001</v>
      </c>
      <c r="G6998" s="539">
        <f>VLOOKUP(D6998,upahbahan,3,FALSE)</f>
        <v>350000</v>
      </c>
      <c r="H6998" s="539">
        <f t="shared" ref="H6998" si="722">F6998*G6998</f>
        <v>385000.00000000006</v>
      </c>
    </row>
    <row r="6999" spans="3:11" ht="25.8" customHeight="1">
      <c r="C6999" s="702" t="s">
        <v>1214</v>
      </c>
      <c r="D6999" s="208"/>
      <c r="E6999" s="208"/>
      <c r="F6999" s="208"/>
      <c r="G6999" s="209"/>
      <c r="H6999" s="539">
        <f>SUM(H6997:H6998)</f>
        <v>385000.00000000006</v>
      </c>
    </row>
    <row r="7000" spans="3:11" ht="25.8" customHeight="1">
      <c r="C7000" s="213" t="s">
        <v>1215</v>
      </c>
      <c r="D7000" s="212" t="s">
        <v>1216</v>
      </c>
      <c r="E7000" s="534"/>
      <c r="F7000" s="534"/>
      <c r="G7000" s="534"/>
      <c r="H7000" s="534"/>
    </row>
    <row r="7001" spans="3:11" ht="25.8" customHeight="1">
      <c r="C7001" s="702" t="s">
        <v>1217</v>
      </c>
      <c r="D7001" s="815"/>
      <c r="E7001" s="815"/>
      <c r="F7001" s="815"/>
      <c r="G7001" s="209"/>
      <c r="H7001" s="821">
        <f>SUM(H7000:H7000)</f>
        <v>0</v>
      </c>
    </row>
    <row r="7002" spans="3:11" ht="25.8" customHeight="1">
      <c r="C7002" s="566" t="s">
        <v>1218</v>
      </c>
      <c r="D7002" s="552" t="s">
        <v>1219</v>
      </c>
      <c r="E7002" s="553"/>
      <c r="F7002" s="553"/>
      <c r="G7002" s="554"/>
      <c r="H7002" s="826">
        <f>H7001+H6999+H6996</f>
        <v>409865.00000000006</v>
      </c>
      <c r="I7002" s="827"/>
    </row>
    <row r="7003" spans="3:11" ht="25.8" customHeight="1">
      <c r="C7003" s="566" t="s">
        <v>1220</v>
      </c>
      <c r="D7003" s="552" t="s">
        <v>1321</v>
      </c>
      <c r="E7003" s="553"/>
      <c r="F7003" s="554"/>
      <c r="G7003" s="555">
        <f>$M$9</f>
        <v>0.1</v>
      </c>
      <c r="H7003" s="539">
        <f>H7002*G7003</f>
        <v>40986.500000000007</v>
      </c>
      <c r="I7003" s="827"/>
    </row>
    <row r="7004" spans="3:11" ht="25.8" customHeight="1">
      <c r="C7004" s="566" t="s">
        <v>1221</v>
      </c>
      <c r="D7004" s="552" t="s">
        <v>1222</v>
      </c>
      <c r="E7004" s="553"/>
      <c r="F7004" s="553"/>
      <c r="G7004" s="554"/>
      <c r="H7004" s="828">
        <f>SUM(H7002:H7003)</f>
        <v>450851.50000000006</v>
      </c>
      <c r="I7004" s="827"/>
    </row>
    <row r="7005" spans="3:11" ht="25.8" customHeight="1"/>
    <row r="7006" spans="3:11" ht="25.8" customHeight="1"/>
    <row r="7007" spans="3:11" ht="25.8" customHeight="1">
      <c r="C7007" s="513" t="s">
        <v>6026</v>
      </c>
      <c r="D7007" s="817" t="s">
        <v>6027</v>
      </c>
      <c r="E7007" s="803"/>
      <c r="F7007" s="803"/>
      <c r="G7007" s="803"/>
      <c r="H7007" s="803"/>
      <c r="I7007" s="533">
        <f>ROUNDDOWN(H7022,-2)</f>
        <v>152500</v>
      </c>
      <c r="J7007" s="536"/>
      <c r="K7007" s="824"/>
    </row>
    <row r="7008" spans="3:11" ht="25.8" customHeight="1">
      <c r="C7008" s="716" t="s">
        <v>1195</v>
      </c>
      <c r="D7008" s="716" t="s">
        <v>1196</v>
      </c>
      <c r="E7008" s="716" t="s">
        <v>1197</v>
      </c>
      <c r="F7008" s="716" t="s">
        <v>1198</v>
      </c>
      <c r="G7008" s="716" t="s">
        <v>1199</v>
      </c>
      <c r="H7008" s="716" t="s">
        <v>1200</v>
      </c>
    </row>
    <row r="7009" spans="3:11" ht="25.8" customHeight="1">
      <c r="C7009" s="213" t="s">
        <v>1201</v>
      </c>
      <c r="D7009" s="212" t="s">
        <v>1202</v>
      </c>
      <c r="E7009" s="534"/>
      <c r="F7009" s="534"/>
      <c r="G7009" s="534"/>
      <c r="H7009" s="534"/>
    </row>
    <row r="7010" spans="3:11" ht="25.8" customHeight="1">
      <c r="C7010" s="818">
        <v>1</v>
      </c>
      <c r="D7010" s="212" t="s">
        <v>5</v>
      </c>
      <c r="E7010" s="212" t="s">
        <v>6</v>
      </c>
      <c r="F7010" s="538">
        <v>6.9000000000000006E-2</v>
      </c>
      <c r="G7010" s="539">
        <f>VLOOKUP(D7010,upahbahan,3,FALSE)</f>
        <v>100000</v>
      </c>
      <c r="H7010" s="539">
        <f t="shared" ref="H7010:H7013" si="723">F7010*G7010</f>
        <v>6900.0000000000009</v>
      </c>
    </row>
    <row r="7011" spans="3:11" ht="25.8" customHeight="1">
      <c r="C7011" s="818">
        <v>2</v>
      </c>
      <c r="D7011" s="212" t="s">
        <v>17</v>
      </c>
      <c r="E7011" s="212" t="s">
        <v>6</v>
      </c>
      <c r="F7011" s="538">
        <v>0.115</v>
      </c>
      <c r="G7011" s="539">
        <f>VLOOKUP(D7011,upahbahan,3,FALSE)</f>
        <v>135000</v>
      </c>
      <c r="H7011" s="539">
        <f t="shared" si="723"/>
        <v>15525</v>
      </c>
    </row>
    <row r="7012" spans="3:11" ht="25.8" customHeight="1">
      <c r="C7012" s="818">
        <v>3</v>
      </c>
      <c r="D7012" s="212" t="s">
        <v>1310</v>
      </c>
      <c r="E7012" s="212" t="s">
        <v>6</v>
      </c>
      <c r="F7012" s="538">
        <v>1.2E-2</v>
      </c>
      <c r="G7012" s="539">
        <f>VLOOKUP(D7012,upahbahan,3,FALSE)</f>
        <v>150000</v>
      </c>
      <c r="H7012" s="539">
        <f t="shared" si="723"/>
        <v>1800</v>
      </c>
    </row>
    <row r="7013" spans="3:11" ht="25.8" customHeight="1">
      <c r="C7013" s="818">
        <v>4</v>
      </c>
      <c r="D7013" s="212" t="s">
        <v>19</v>
      </c>
      <c r="E7013" s="212" t="s">
        <v>6</v>
      </c>
      <c r="F7013" s="538">
        <v>4.0000000000000001E-3</v>
      </c>
      <c r="G7013" s="539">
        <f>VLOOKUP(D7013,upahbahan,3,FALSE)</f>
        <v>160000</v>
      </c>
      <c r="H7013" s="539">
        <f t="shared" si="723"/>
        <v>640</v>
      </c>
    </row>
    <row r="7014" spans="3:11" ht="25.8" customHeight="1">
      <c r="C7014" s="702" t="s">
        <v>1208</v>
      </c>
      <c r="D7014" s="208"/>
      <c r="E7014" s="208"/>
      <c r="F7014" s="811"/>
      <c r="G7014" s="522"/>
      <c r="H7014" s="539">
        <f>SUM(H7010:H7013)</f>
        <v>24865</v>
      </c>
      <c r="I7014" s="819"/>
    </row>
    <row r="7015" spans="3:11" ht="25.8" customHeight="1">
      <c r="C7015" s="213" t="s">
        <v>1209</v>
      </c>
      <c r="D7015" s="212" t="s">
        <v>1210</v>
      </c>
      <c r="E7015" s="534"/>
      <c r="F7015" s="831"/>
      <c r="G7015" s="534"/>
      <c r="H7015" s="534"/>
    </row>
    <row r="7016" spans="3:11" ht="25.8" customHeight="1">
      <c r="C7016" s="213">
        <v>1</v>
      </c>
      <c r="D7016" s="212" t="s">
        <v>6028</v>
      </c>
      <c r="E7016" s="234" t="s">
        <v>44</v>
      </c>
      <c r="F7016" s="866">
        <v>1.1000000000000001</v>
      </c>
      <c r="G7016" s="539">
        <f>VLOOKUP(D7016,upahbahan,3,FALSE)</f>
        <v>103500</v>
      </c>
      <c r="H7016" s="539">
        <f t="shared" ref="H7016" si="724">F7016*G7016</f>
        <v>113850.00000000001</v>
      </c>
    </row>
    <row r="7017" spans="3:11" ht="25.8" customHeight="1">
      <c r="C7017" s="702" t="s">
        <v>1214</v>
      </c>
      <c r="D7017" s="208"/>
      <c r="E7017" s="208"/>
      <c r="F7017" s="208"/>
      <c r="G7017" s="209"/>
      <c r="H7017" s="539">
        <f>SUM(H7015:H7016)</f>
        <v>113850.00000000001</v>
      </c>
    </row>
    <row r="7018" spans="3:11" ht="25.8" customHeight="1">
      <c r="C7018" s="213" t="s">
        <v>1215</v>
      </c>
      <c r="D7018" s="212" t="s">
        <v>1216</v>
      </c>
      <c r="E7018" s="534"/>
      <c r="F7018" s="534"/>
      <c r="G7018" s="534"/>
      <c r="H7018" s="534"/>
    </row>
    <row r="7019" spans="3:11" ht="25.8" customHeight="1">
      <c r="C7019" s="702" t="s">
        <v>1217</v>
      </c>
      <c r="D7019" s="815"/>
      <c r="E7019" s="815"/>
      <c r="F7019" s="815"/>
      <c r="G7019" s="209"/>
      <c r="H7019" s="821">
        <f>SUM(H7018:H7018)</f>
        <v>0</v>
      </c>
    </row>
    <row r="7020" spans="3:11" ht="25.8" customHeight="1">
      <c r="C7020" s="566" t="s">
        <v>1218</v>
      </c>
      <c r="D7020" s="552" t="s">
        <v>1219</v>
      </c>
      <c r="E7020" s="553"/>
      <c r="F7020" s="553"/>
      <c r="G7020" s="554"/>
      <c r="H7020" s="826">
        <f>H7019+H7017+H7014</f>
        <v>138715</v>
      </c>
      <c r="I7020" s="827"/>
    </row>
    <row r="7021" spans="3:11" ht="25.8" customHeight="1">
      <c r="C7021" s="566" t="s">
        <v>1220</v>
      </c>
      <c r="D7021" s="552" t="s">
        <v>1321</v>
      </c>
      <c r="E7021" s="553"/>
      <c r="F7021" s="554"/>
      <c r="G7021" s="555">
        <f>$M$9</f>
        <v>0.1</v>
      </c>
      <c r="H7021" s="539">
        <f>H7020*G7021</f>
        <v>13871.5</v>
      </c>
      <c r="I7021" s="827"/>
    </row>
    <row r="7022" spans="3:11" ht="25.8" customHeight="1">
      <c r="C7022" s="566" t="s">
        <v>1221</v>
      </c>
      <c r="D7022" s="552" t="s">
        <v>1222</v>
      </c>
      <c r="E7022" s="553"/>
      <c r="F7022" s="553"/>
      <c r="G7022" s="554"/>
      <c r="H7022" s="828">
        <f>SUM(H7020:H7021)</f>
        <v>152586.5</v>
      </c>
      <c r="I7022" s="827"/>
    </row>
    <row r="7023" spans="3:11" ht="25.8" customHeight="1"/>
    <row r="7024" spans="3:11" ht="25.8" customHeight="1">
      <c r="C7024" s="513" t="s">
        <v>6031</v>
      </c>
      <c r="D7024" s="817" t="s">
        <v>6029</v>
      </c>
      <c r="E7024" s="803"/>
      <c r="F7024" s="803"/>
      <c r="G7024" s="803"/>
      <c r="H7024" s="803"/>
      <c r="I7024" s="533">
        <f>ROUNDDOWN(H7039,-2)</f>
        <v>293500</v>
      </c>
      <c r="J7024" s="536"/>
      <c r="K7024" s="824"/>
    </row>
    <row r="7025" spans="3:9" ht="25.8" customHeight="1">
      <c r="C7025" s="716" t="s">
        <v>1195</v>
      </c>
      <c r="D7025" s="716" t="s">
        <v>1196</v>
      </c>
      <c r="E7025" s="716" t="s">
        <v>1197</v>
      </c>
      <c r="F7025" s="716" t="s">
        <v>1198</v>
      </c>
      <c r="G7025" s="716" t="s">
        <v>1199</v>
      </c>
      <c r="H7025" s="716" t="s">
        <v>1200</v>
      </c>
    </row>
    <row r="7026" spans="3:9" ht="25.8" customHeight="1">
      <c r="C7026" s="213" t="s">
        <v>1201</v>
      </c>
      <c r="D7026" s="212" t="s">
        <v>1202</v>
      </c>
      <c r="E7026" s="534"/>
      <c r="F7026" s="534"/>
      <c r="G7026" s="534"/>
      <c r="H7026" s="534"/>
    </row>
    <row r="7027" spans="3:9" ht="25.8" customHeight="1">
      <c r="C7027" s="818">
        <v>1</v>
      </c>
      <c r="D7027" s="212" t="s">
        <v>5</v>
      </c>
      <c r="E7027" s="212" t="s">
        <v>6</v>
      </c>
      <c r="F7027" s="538">
        <v>6.9000000000000006E-2</v>
      </c>
      <c r="G7027" s="539">
        <f>VLOOKUP(D7027,upahbahan,3,FALSE)</f>
        <v>100000</v>
      </c>
      <c r="H7027" s="539">
        <f t="shared" ref="H7027:H7030" si="725">F7027*G7027</f>
        <v>6900.0000000000009</v>
      </c>
    </row>
    <row r="7028" spans="3:9" ht="25.8" customHeight="1">
      <c r="C7028" s="818">
        <v>2</v>
      </c>
      <c r="D7028" s="212" t="s">
        <v>17</v>
      </c>
      <c r="E7028" s="212" t="s">
        <v>6</v>
      </c>
      <c r="F7028" s="538">
        <v>0.115</v>
      </c>
      <c r="G7028" s="539">
        <f>VLOOKUP(D7028,upahbahan,3,FALSE)</f>
        <v>135000</v>
      </c>
      <c r="H7028" s="539">
        <f t="shared" si="725"/>
        <v>15525</v>
      </c>
    </row>
    <row r="7029" spans="3:9" ht="25.8" customHeight="1">
      <c r="C7029" s="818">
        <v>3</v>
      </c>
      <c r="D7029" s="212" t="s">
        <v>1310</v>
      </c>
      <c r="E7029" s="212" t="s">
        <v>6</v>
      </c>
      <c r="F7029" s="538">
        <v>1.2E-2</v>
      </c>
      <c r="G7029" s="539">
        <f>VLOOKUP(D7029,upahbahan,3,FALSE)</f>
        <v>150000</v>
      </c>
      <c r="H7029" s="539">
        <f t="shared" si="725"/>
        <v>1800</v>
      </c>
    </row>
    <row r="7030" spans="3:9" ht="25.8" customHeight="1">
      <c r="C7030" s="818">
        <v>4</v>
      </c>
      <c r="D7030" s="212" t="s">
        <v>19</v>
      </c>
      <c r="E7030" s="212" t="s">
        <v>6</v>
      </c>
      <c r="F7030" s="538">
        <v>4.0000000000000001E-3</v>
      </c>
      <c r="G7030" s="539">
        <f>VLOOKUP(D7030,upahbahan,3,FALSE)</f>
        <v>160000</v>
      </c>
      <c r="H7030" s="539">
        <f t="shared" si="725"/>
        <v>640</v>
      </c>
    </row>
    <row r="7031" spans="3:9" ht="25.8" customHeight="1">
      <c r="C7031" s="702" t="s">
        <v>1208</v>
      </c>
      <c r="D7031" s="208"/>
      <c r="E7031" s="208"/>
      <c r="F7031" s="811"/>
      <c r="G7031" s="522"/>
      <c r="H7031" s="539">
        <f>SUM(H7027:H7030)</f>
        <v>24865</v>
      </c>
      <c r="I7031" s="819"/>
    </row>
    <row r="7032" spans="3:9" ht="25.8" customHeight="1">
      <c r="C7032" s="213" t="s">
        <v>1209</v>
      </c>
      <c r="D7032" s="212" t="s">
        <v>1210</v>
      </c>
      <c r="E7032" s="534"/>
      <c r="F7032" s="831"/>
      <c r="G7032" s="534"/>
      <c r="H7032" s="534"/>
    </row>
    <row r="7033" spans="3:9" ht="25.8" customHeight="1">
      <c r="C7033" s="213">
        <v>1</v>
      </c>
      <c r="D7033" s="212" t="s">
        <v>6030</v>
      </c>
      <c r="E7033" s="234" t="s">
        <v>44</v>
      </c>
      <c r="F7033" s="866">
        <v>1.1000000000000001</v>
      </c>
      <c r="G7033" s="539">
        <f>VLOOKUP(D7033,upahbahan,3,FALSE)</f>
        <v>220000</v>
      </c>
      <c r="H7033" s="539">
        <f t="shared" ref="H7033" si="726">F7033*G7033</f>
        <v>242000.00000000003</v>
      </c>
    </row>
    <row r="7034" spans="3:9" ht="25.8" customHeight="1">
      <c r="C7034" s="702" t="s">
        <v>1214</v>
      </c>
      <c r="D7034" s="208"/>
      <c r="E7034" s="208"/>
      <c r="F7034" s="208"/>
      <c r="G7034" s="209"/>
      <c r="H7034" s="539">
        <f>SUM(H7032:H7033)</f>
        <v>242000.00000000003</v>
      </c>
    </row>
    <row r="7035" spans="3:9" ht="25.8" customHeight="1">
      <c r="C7035" s="213" t="s">
        <v>1215</v>
      </c>
      <c r="D7035" s="212" t="s">
        <v>1216</v>
      </c>
      <c r="E7035" s="534"/>
      <c r="F7035" s="534"/>
      <c r="G7035" s="534"/>
      <c r="H7035" s="534"/>
    </row>
    <row r="7036" spans="3:9" ht="25.8" customHeight="1">
      <c r="C7036" s="702" t="s">
        <v>1217</v>
      </c>
      <c r="D7036" s="815"/>
      <c r="E7036" s="815"/>
      <c r="F7036" s="815"/>
      <c r="G7036" s="209"/>
      <c r="H7036" s="821">
        <f>SUM(H7035:H7035)</f>
        <v>0</v>
      </c>
    </row>
    <row r="7037" spans="3:9" ht="25.8" customHeight="1">
      <c r="C7037" s="566" t="s">
        <v>1218</v>
      </c>
      <c r="D7037" s="552" t="s">
        <v>1219</v>
      </c>
      <c r="E7037" s="553"/>
      <c r="F7037" s="553"/>
      <c r="G7037" s="554"/>
      <c r="H7037" s="826">
        <f>H7036+H7034+H7031</f>
        <v>266865</v>
      </c>
      <c r="I7037" s="827"/>
    </row>
    <row r="7038" spans="3:9" ht="25.8" customHeight="1">
      <c r="C7038" s="566" t="s">
        <v>1220</v>
      </c>
      <c r="D7038" s="552" t="s">
        <v>1321</v>
      </c>
      <c r="E7038" s="553"/>
      <c r="F7038" s="554"/>
      <c r="G7038" s="555">
        <f>$M$9</f>
        <v>0.1</v>
      </c>
      <c r="H7038" s="539">
        <f>H7037*G7038</f>
        <v>26686.5</v>
      </c>
      <c r="I7038" s="827"/>
    </row>
    <row r="7039" spans="3:9" ht="25.8" customHeight="1">
      <c r="C7039" s="566" t="s">
        <v>1221</v>
      </c>
      <c r="D7039" s="552" t="s">
        <v>1222</v>
      </c>
      <c r="E7039" s="553"/>
      <c r="F7039" s="553"/>
      <c r="G7039" s="554"/>
      <c r="H7039" s="828">
        <f>SUM(H7037:H7038)</f>
        <v>293551.5</v>
      </c>
      <c r="I7039" s="827"/>
    </row>
    <row r="7040" spans="3:9" ht="25.8" customHeight="1"/>
    <row r="7041" spans="3:11" ht="25.8" customHeight="1">
      <c r="C7041" s="513" t="s">
        <v>6032</v>
      </c>
      <c r="D7041" s="817" t="s">
        <v>6033</v>
      </c>
      <c r="E7041" s="803"/>
      <c r="F7041" s="803"/>
      <c r="G7041" s="803"/>
      <c r="H7041" s="803"/>
      <c r="I7041" s="533">
        <f>ROUNDDOWN(H7056,-2)</f>
        <v>269300</v>
      </c>
      <c r="J7041" s="536"/>
      <c r="K7041" s="824"/>
    </row>
    <row r="7042" spans="3:11" ht="25.8" customHeight="1">
      <c r="C7042" s="716" t="s">
        <v>1195</v>
      </c>
      <c r="D7042" s="716" t="s">
        <v>1196</v>
      </c>
      <c r="E7042" s="716" t="s">
        <v>1197</v>
      </c>
      <c r="F7042" s="716" t="s">
        <v>1198</v>
      </c>
      <c r="G7042" s="716" t="s">
        <v>1199</v>
      </c>
      <c r="H7042" s="716" t="s">
        <v>1200</v>
      </c>
    </row>
    <row r="7043" spans="3:11" ht="25.8" customHeight="1">
      <c r="C7043" s="213" t="s">
        <v>1201</v>
      </c>
      <c r="D7043" s="212" t="s">
        <v>1202</v>
      </c>
      <c r="E7043" s="534"/>
      <c r="F7043" s="534"/>
      <c r="G7043" s="534"/>
      <c r="H7043" s="534"/>
    </row>
    <row r="7044" spans="3:11" ht="25.8" customHeight="1">
      <c r="C7044" s="818">
        <v>1</v>
      </c>
      <c r="D7044" s="212" t="s">
        <v>5</v>
      </c>
      <c r="E7044" s="212" t="s">
        <v>6</v>
      </c>
      <c r="F7044" s="538">
        <v>6.9000000000000006E-2</v>
      </c>
      <c r="G7044" s="539">
        <f>VLOOKUP(D7044,upahbahan,3,FALSE)</f>
        <v>100000</v>
      </c>
      <c r="H7044" s="539">
        <f t="shared" ref="H7044:H7047" si="727">F7044*G7044</f>
        <v>6900.0000000000009</v>
      </c>
    </row>
    <row r="7045" spans="3:11" ht="25.8" customHeight="1">
      <c r="C7045" s="818">
        <v>2</v>
      </c>
      <c r="D7045" s="212" t="s">
        <v>17</v>
      </c>
      <c r="E7045" s="212" t="s">
        <v>6</v>
      </c>
      <c r="F7045" s="538">
        <v>0.115</v>
      </c>
      <c r="G7045" s="539">
        <f>VLOOKUP(D7045,upahbahan,3,FALSE)</f>
        <v>135000</v>
      </c>
      <c r="H7045" s="539">
        <f t="shared" si="727"/>
        <v>15525</v>
      </c>
    </row>
    <row r="7046" spans="3:11" ht="25.8" customHeight="1">
      <c r="C7046" s="818">
        <v>3</v>
      </c>
      <c r="D7046" s="212" t="s">
        <v>1310</v>
      </c>
      <c r="E7046" s="212" t="s">
        <v>6</v>
      </c>
      <c r="F7046" s="538">
        <v>1.2E-2</v>
      </c>
      <c r="G7046" s="539">
        <f>VLOOKUP(D7046,upahbahan,3,FALSE)</f>
        <v>150000</v>
      </c>
      <c r="H7046" s="539">
        <f t="shared" si="727"/>
        <v>1800</v>
      </c>
    </row>
    <row r="7047" spans="3:11" ht="25.8" customHeight="1">
      <c r="C7047" s="818">
        <v>4</v>
      </c>
      <c r="D7047" s="212" t="s">
        <v>19</v>
      </c>
      <c r="E7047" s="212" t="s">
        <v>6</v>
      </c>
      <c r="F7047" s="538">
        <v>4.0000000000000001E-3</v>
      </c>
      <c r="G7047" s="539">
        <f>VLOOKUP(D7047,upahbahan,3,FALSE)</f>
        <v>160000</v>
      </c>
      <c r="H7047" s="539">
        <f t="shared" si="727"/>
        <v>640</v>
      </c>
    </row>
    <row r="7048" spans="3:11" ht="25.8" customHeight="1">
      <c r="C7048" s="702" t="s">
        <v>1208</v>
      </c>
      <c r="D7048" s="208"/>
      <c r="E7048" s="208"/>
      <c r="F7048" s="811"/>
      <c r="G7048" s="522"/>
      <c r="H7048" s="539">
        <f>SUM(H7044:H7047)</f>
        <v>24865</v>
      </c>
      <c r="I7048" s="819"/>
    </row>
    <row r="7049" spans="3:11" ht="25.8" customHeight="1">
      <c r="C7049" s="213" t="s">
        <v>1209</v>
      </c>
      <c r="D7049" s="212" t="s">
        <v>1210</v>
      </c>
      <c r="E7049" s="534"/>
      <c r="F7049" s="831"/>
      <c r="G7049" s="534"/>
      <c r="H7049" s="534"/>
    </row>
    <row r="7050" spans="3:11" ht="25.8" customHeight="1">
      <c r="C7050" s="213">
        <v>1</v>
      </c>
      <c r="D7050" s="212" t="s">
        <v>6034</v>
      </c>
      <c r="E7050" s="234" t="s">
        <v>44</v>
      </c>
      <c r="F7050" s="866">
        <v>1.1000000000000001</v>
      </c>
      <c r="G7050" s="539">
        <f>VLOOKUP(D7050,upahbahan,3,FALSE)</f>
        <v>200000</v>
      </c>
      <c r="H7050" s="539">
        <f t="shared" ref="H7050" si="728">F7050*G7050</f>
        <v>220000.00000000003</v>
      </c>
    </row>
    <row r="7051" spans="3:11" ht="25.8" customHeight="1">
      <c r="C7051" s="702" t="s">
        <v>1214</v>
      </c>
      <c r="D7051" s="208"/>
      <c r="E7051" s="208"/>
      <c r="F7051" s="208"/>
      <c r="G7051" s="209"/>
      <c r="H7051" s="539">
        <f>SUM(H7049:H7050)</f>
        <v>220000.00000000003</v>
      </c>
    </row>
    <row r="7052" spans="3:11" ht="25.8" customHeight="1">
      <c r="C7052" s="213" t="s">
        <v>1215</v>
      </c>
      <c r="D7052" s="212" t="s">
        <v>1216</v>
      </c>
      <c r="E7052" s="534"/>
      <c r="F7052" s="534"/>
      <c r="G7052" s="534"/>
      <c r="H7052" s="534"/>
    </row>
    <row r="7053" spans="3:11" ht="25.8" customHeight="1">
      <c r="C7053" s="702" t="s">
        <v>1217</v>
      </c>
      <c r="D7053" s="815"/>
      <c r="E7053" s="815"/>
      <c r="F7053" s="815"/>
      <c r="G7053" s="209"/>
      <c r="H7053" s="821">
        <f>SUM(H7052:H7052)</f>
        <v>0</v>
      </c>
    </row>
    <row r="7054" spans="3:11" ht="25.8" customHeight="1">
      <c r="C7054" s="566" t="s">
        <v>1218</v>
      </c>
      <c r="D7054" s="552" t="s">
        <v>1219</v>
      </c>
      <c r="E7054" s="553"/>
      <c r="F7054" s="553"/>
      <c r="G7054" s="554"/>
      <c r="H7054" s="826">
        <f>H7053+H7051+H7048</f>
        <v>244865.00000000003</v>
      </c>
      <c r="I7054" s="827"/>
    </row>
    <row r="7055" spans="3:11" ht="25.8" customHeight="1">
      <c r="C7055" s="566" t="s">
        <v>1220</v>
      </c>
      <c r="D7055" s="552" t="s">
        <v>1321</v>
      </c>
      <c r="E7055" s="553"/>
      <c r="F7055" s="554"/>
      <c r="G7055" s="555">
        <f>$M$9</f>
        <v>0.1</v>
      </c>
      <c r="H7055" s="539">
        <f>H7054*G7055</f>
        <v>24486.500000000004</v>
      </c>
      <c r="I7055" s="827"/>
    </row>
    <row r="7056" spans="3:11" ht="25.8" customHeight="1">
      <c r="C7056" s="566" t="s">
        <v>1221</v>
      </c>
      <c r="D7056" s="552" t="s">
        <v>1222</v>
      </c>
      <c r="E7056" s="553"/>
      <c r="F7056" s="553"/>
      <c r="G7056" s="554"/>
      <c r="H7056" s="828">
        <f>SUM(H7054:H7055)</f>
        <v>269351.50000000006</v>
      </c>
      <c r="I7056" s="827"/>
    </row>
    <row r="7057" spans="3:11" ht="25.8" customHeight="1"/>
    <row r="7058" spans="3:11" ht="25.8" customHeight="1"/>
    <row r="7059" spans="3:11" ht="25.8" customHeight="1">
      <c r="C7059" s="513" t="s">
        <v>6035</v>
      </c>
      <c r="D7059" s="817" t="s">
        <v>6036</v>
      </c>
      <c r="E7059" s="803"/>
      <c r="F7059" s="803"/>
      <c r="G7059" s="803"/>
      <c r="H7059" s="803"/>
      <c r="I7059" s="533">
        <f>ROUNDDOWN(H7074,-2)</f>
        <v>367900</v>
      </c>
      <c r="J7059" s="536"/>
      <c r="K7059" s="824"/>
    </row>
    <row r="7060" spans="3:11" ht="25.8" customHeight="1">
      <c r="C7060" s="716" t="s">
        <v>1195</v>
      </c>
      <c r="D7060" s="716" t="s">
        <v>1196</v>
      </c>
      <c r="E7060" s="716" t="s">
        <v>1197</v>
      </c>
      <c r="F7060" s="716" t="s">
        <v>1198</v>
      </c>
      <c r="G7060" s="716" t="s">
        <v>1199</v>
      </c>
      <c r="H7060" s="716" t="s">
        <v>1200</v>
      </c>
    </row>
    <row r="7061" spans="3:11" ht="25.8" customHeight="1">
      <c r="C7061" s="213" t="s">
        <v>1201</v>
      </c>
      <c r="D7061" s="212" t="s">
        <v>1202</v>
      </c>
      <c r="E7061" s="534"/>
      <c r="F7061" s="534"/>
      <c r="G7061" s="534"/>
      <c r="H7061" s="534"/>
    </row>
    <row r="7062" spans="3:11" ht="25.8" customHeight="1">
      <c r="C7062" s="818">
        <v>1</v>
      </c>
      <c r="D7062" s="212" t="s">
        <v>5</v>
      </c>
      <c r="E7062" s="212" t="s">
        <v>6</v>
      </c>
      <c r="F7062" s="538">
        <v>0.129</v>
      </c>
      <c r="G7062" s="539">
        <f>VLOOKUP(D7062,upahbahan,3,FALSE)</f>
        <v>100000</v>
      </c>
      <c r="H7062" s="539">
        <f t="shared" ref="H7062:H7065" si="729">F7062*G7062</f>
        <v>12900</v>
      </c>
    </row>
    <row r="7063" spans="3:11" ht="25.8" customHeight="1">
      <c r="C7063" s="818">
        <v>2</v>
      </c>
      <c r="D7063" s="212" t="s">
        <v>17</v>
      </c>
      <c r="E7063" s="212" t="s">
        <v>6</v>
      </c>
      <c r="F7063" s="538">
        <v>0.215</v>
      </c>
      <c r="G7063" s="539">
        <f>VLOOKUP(D7063,upahbahan,3,FALSE)</f>
        <v>135000</v>
      </c>
      <c r="H7063" s="539">
        <f t="shared" si="729"/>
        <v>29025</v>
      </c>
    </row>
    <row r="7064" spans="3:11" ht="25.8" customHeight="1">
      <c r="C7064" s="818">
        <v>3</v>
      </c>
      <c r="D7064" s="212" t="s">
        <v>1310</v>
      </c>
      <c r="E7064" s="212" t="s">
        <v>6</v>
      </c>
      <c r="F7064" s="538">
        <v>2.1000000000000001E-2</v>
      </c>
      <c r="G7064" s="539">
        <f>VLOOKUP(D7064,upahbahan,3,FALSE)</f>
        <v>150000</v>
      </c>
      <c r="H7064" s="539">
        <f t="shared" si="729"/>
        <v>3150</v>
      </c>
    </row>
    <row r="7065" spans="3:11" ht="25.8" customHeight="1">
      <c r="C7065" s="818">
        <v>4</v>
      </c>
      <c r="D7065" s="212" t="s">
        <v>19</v>
      </c>
      <c r="E7065" s="212" t="s">
        <v>6</v>
      </c>
      <c r="F7065" s="538">
        <v>7.0000000000000007E-2</v>
      </c>
      <c r="G7065" s="539">
        <f>VLOOKUP(D7065,upahbahan,3,FALSE)</f>
        <v>160000</v>
      </c>
      <c r="H7065" s="539">
        <f t="shared" si="729"/>
        <v>11200.000000000002</v>
      </c>
    </row>
    <row r="7066" spans="3:11" ht="25.8" customHeight="1">
      <c r="C7066" s="702" t="s">
        <v>1208</v>
      </c>
      <c r="D7066" s="208"/>
      <c r="E7066" s="208"/>
      <c r="F7066" s="811"/>
      <c r="G7066" s="522"/>
      <c r="H7066" s="539">
        <f>SUM(H7062:H7065)</f>
        <v>56275</v>
      </c>
      <c r="I7066" s="819"/>
    </row>
    <row r="7067" spans="3:11" ht="25.8" customHeight="1">
      <c r="C7067" s="213" t="s">
        <v>1209</v>
      </c>
      <c r="D7067" s="212" t="s">
        <v>1210</v>
      </c>
      <c r="E7067" s="534"/>
      <c r="F7067" s="831"/>
      <c r="G7067" s="534"/>
      <c r="H7067" s="534"/>
    </row>
    <row r="7068" spans="3:11" ht="25.8" customHeight="1">
      <c r="C7068" s="213">
        <v>1</v>
      </c>
      <c r="D7068" s="212" t="s">
        <v>5970</v>
      </c>
      <c r="E7068" s="234" t="s">
        <v>44</v>
      </c>
      <c r="F7068" s="866">
        <v>1.05</v>
      </c>
      <c r="G7068" s="539">
        <f>VLOOKUP(D7068,upahbahan,3,FALSE)</f>
        <v>265000</v>
      </c>
      <c r="H7068" s="539">
        <f t="shared" ref="H7068" si="730">F7068*G7068</f>
        <v>278250</v>
      </c>
    </row>
    <row r="7069" spans="3:11" ht="25.8" customHeight="1">
      <c r="C7069" s="702" t="s">
        <v>1214</v>
      </c>
      <c r="D7069" s="208"/>
      <c r="E7069" s="208"/>
      <c r="F7069" s="208"/>
      <c r="G7069" s="209"/>
      <c r="H7069" s="539">
        <f>SUM(H7067:H7068)</f>
        <v>278250</v>
      </c>
    </row>
    <row r="7070" spans="3:11" ht="25.8" customHeight="1">
      <c r="C7070" s="213" t="s">
        <v>1215</v>
      </c>
      <c r="D7070" s="212" t="s">
        <v>1216</v>
      </c>
      <c r="E7070" s="534"/>
      <c r="F7070" s="534"/>
      <c r="G7070" s="534"/>
      <c r="H7070" s="534"/>
    </row>
    <row r="7071" spans="3:11" ht="25.8" customHeight="1">
      <c r="C7071" s="702" t="s">
        <v>1217</v>
      </c>
      <c r="D7071" s="815"/>
      <c r="E7071" s="815"/>
      <c r="F7071" s="815"/>
      <c r="G7071" s="209"/>
      <c r="H7071" s="821">
        <f>SUM(H7070:H7070)</f>
        <v>0</v>
      </c>
    </row>
    <row r="7072" spans="3:11" ht="25.8" customHeight="1">
      <c r="C7072" s="566" t="s">
        <v>1218</v>
      </c>
      <c r="D7072" s="552" t="s">
        <v>1219</v>
      </c>
      <c r="E7072" s="553"/>
      <c r="F7072" s="553"/>
      <c r="G7072" s="554"/>
      <c r="H7072" s="826">
        <f>H7071+H7069+H7066</f>
        <v>334525</v>
      </c>
      <c r="I7072" s="827"/>
    </row>
    <row r="7073" spans="3:11" ht="25.8" customHeight="1">
      <c r="C7073" s="566" t="s">
        <v>1220</v>
      </c>
      <c r="D7073" s="552" t="s">
        <v>1321</v>
      </c>
      <c r="E7073" s="553"/>
      <c r="F7073" s="554"/>
      <c r="G7073" s="555">
        <f>$M$9</f>
        <v>0.1</v>
      </c>
      <c r="H7073" s="539">
        <f>H7072*G7073</f>
        <v>33452.5</v>
      </c>
      <c r="I7073" s="827"/>
    </row>
    <row r="7074" spans="3:11" ht="25.8" customHeight="1">
      <c r="C7074" s="566" t="s">
        <v>1221</v>
      </c>
      <c r="D7074" s="552" t="s">
        <v>1222</v>
      </c>
      <c r="E7074" s="553"/>
      <c r="F7074" s="553"/>
      <c r="G7074" s="554"/>
      <c r="H7074" s="828">
        <f>SUM(H7072:H7073)</f>
        <v>367977.5</v>
      </c>
      <c r="I7074" s="827"/>
    </row>
    <row r="7075" spans="3:11" ht="25.8" customHeight="1"/>
    <row r="7076" spans="3:11" ht="25.8" customHeight="1">
      <c r="C7076" s="513" t="s">
        <v>6037</v>
      </c>
      <c r="D7076" s="817" t="s">
        <v>6038</v>
      </c>
      <c r="E7076" s="803"/>
      <c r="F7076" s="803"/>
      <c r="G7076" s="803"/>
      <c r="H7076" s="803"/>
      <c r="I7076" s="533">
        <f>ROUNDDOWN(H7091,-2)</f>
        <v>25800</v>
      </c>
      <c r="J7076" s="536"/>
      <c r="K7076" s="824"/>
    </row>
    <row r="7077" spans="3:11" ht="25.8" customHeight="1">
      <c r="C7077" s="716" t="s">
        <v>1195</v>
      </c>
      <c r="D7077" s="716" t="s">
        <v>1196</v>
      </c>
      <c r="E7077" s="716" t="s">
        <v>1197</v>
      </c>
      <c r="F7077" s="716" t="s">
        <v>1198</v>
      </c>
      <c r="G7077" s="716" t="s">
        <v>1199</v>
      </c>
      <c r="H7077" s="716" t="s">
        <v>1200</v>
      </c>
    </row>
    <row r="7078" spans="3:11" ht="25.8" customHeight="1">
      <c r="C7078" s="213" t="s">
        <v>1201</v>
      </c>
      <c r="D7078" s="212" t="s">
        <v>1202</v>
      </c>
      <c r="E7078" s="534"/>
      <c r="F7078" s="534"/>
      <c r="G7078" s="534"/>
      <c r="H7078" s="534"/>
    </row>
    <row r="7079" spans="3:11" ht="25.8" customHeight="1">
      <c r="C7079" s="818">
        <v>1</v>
      </c>
      <c r="D7079" s="212" t="s">
        <v>5</v>
      </c>
      <c r="E7079" s="212" t="s">
        <v>6</v>
      </c>
      <c r="F7079" s="538">
        <v>3.5999999999999997E-2</v>
      </c>
      <c r="G7079" s="539">
        <f>VLOOKUP(D7079,upahbahan,3,FALSE)</f>
        <v>100000</v>
      </c>
      <c r="H7079" s="539">
        <f t="shared" ref="H7079:H7082" si="731">F7079*G7079</f>
        <v>3599.9999999999995</v>
      </c>
    </row>
    <row r="7080" spans="3:11" ht="25.8" customHeight="1">
      <c r="C7080" s="818">
        <v>2</v>
      </c>
      <c r="D7080" s="212" t="s">
        <v>17</v>
      </c>
      <c r="E7080" s="212" t="s">
        <v>6</v>
      </c>
      <c r="F7080" s="538">
        <v>0.06</v>
      </c>
      <c r="G7080" s="539">
        <f>VLOOKUP(D7080,upahbahan,3,FALSE)</f>
        <v>135000</v>
      </c>
      <c r="H7080" s="539">
        <f t="shared" si="731"/>
        <v>8100</v>
      </c>
    </row>
    <row r="7081" spans="3:11" ht="25.8" customHeight="1">
      <c r="C7081" s="818">
        <v>3</v>
      </c>
      <c r="D7081" s="212" t="s">
        <v>1310</v>
      </c>
      <c r="E7081" s="212" t="s">
        <v>6</v>
      </c>
      <c r="F7081" s="538">
        <v>6.0000000000000001E-3</v>
      </c>
      <c r="G7081" s="539">
        <f>VLOOKUP(D7081,upahbahan,3,FALSE)</f>
        <v>150000</v>
      </c>
      <c r="H7081" s="539">
        <f t="shared" si="731"/>
        <v>900</v>
      </c>
    </row>
    <row r="7082" spans="3:11" ht="25.8" customHeight="1">
      <c r="C7082" s="818">
        <v>4</v>
      </c>
      <c r="D7082" s="212" t="s">
        <v>19</v>
      </c>
      <c r="E7082" s="212" t="s">
        <v>6</v>
      </c>
      <c r="F7082" s="538">
        <v>2E-3</v>
      </c>
      <c r="G7082" s="539">
        <f>VLOOKUP(D7082,upahbahan,3,FALSE)</f>
        <v>160000</v>
      </c>
      <c r="H7082" s="539">
        <f t="shared" si="731"/>
        <v>320</v>
      </c>
    </row>
    <row r="7083" spans="3:11" ht="25.8" customHeight="1">
      <c r="C7083" s="702" t="s">
        <v>1208</v>
      </c>
      <c r="D7083" s="208"/>
      <c r="E7083" s="208"/>
      <c r="F7083" s="811"/>
      <c r="G7083" s="522"/>
      <c r="H7083" s="539">
        <f>SUM(H7079:H7082)</f>
        <v>12920</v>
      </c>
      <c r="I7083" s="819"/>
    </row>
    <row r="7084" spans="3:11" ht="25.8" customHeight="1">
      <c r="C7084" s="213" t="s">
        <v>1209</v>
      </c>
      <c r="D7084" s="212" t="s">
        <v>1210</v>
      </c>
      <c r="E7084" s="534"/>
      <c r="F7084" s="831"/>
      <c r="G7084" s="534"/>
      <c r="H7084" s="534"/>
    </row>
    <row r="7085" spans="3:11" ht="25.8" customHeight="1">
      <c r="C7085" s="213">
        <v>1</v>
      </c>
      <c r="D7085" s="212" t="s">
        <v>852</v>
      </c>
      <c r="E7085" s="234" t="s">
        <v>1300</v>
      </c>
      <c r="F7085" s="866">
        <v>1.1499999999999999</v>
      </c>
      <c r="G7085" s="539">
        <f>VLOOKUP(D7085,upahbahan,3,FALSE)</f>
        <v>9200</v>
      </c>
      <c r="H7085" s="539">
        <f t="shared" ref="H7085" si="732">F7085*G7085</f>
        <v>10580</v>
      </c>
    </row>
    <row r="7086" spans="3:11" ht="25.8" customHeight="1">
      <c r="C7086" s="702" t="s">
        <v>1214</v>
      </c>
      <c r="D7086" s="208"/>
      <c r="E7086" s="208"/>
      <c r="F7086" s="208"/>
      <c r="G7086" s="209"/>
      <c r="H7086" s="539">
        <f>SUM(H7084:H7085)</f>
        <v>10580</v>
      </c>
    </row>
    <row r="7087" spans="3:11" ht="25.8" customHeight="1">
      <c r="C7087" s="213" t="s">
        <v>1215</v>
      </c>
      <c r="D7087" s="212" t="s">
        <v>1216</v>
      </c>
      <c r="E7087" s="534"/>
      <c r="F7087" s="534"/>
      <c r="G7087" s="534"/>
      <c r="H7087" s="534"/>
    </row>
    <row r="7088" spans="3:11" ht="25.8" customHeight="1">
      <c r="C7088" s="702" t="s">
        <v>1217</v>
      </c>
      <c r="D7088" s="815"/>
      <c r="E7088" s="815"/>
      <c r="F7088" s="815"/>
      <c r="G7088" s="209"/>
      <c r="H7088" s="821">
        <f>SUM(H7087:H7087)</f>
        <v>0</v>
      </c>
    </row>
    <row r="7089" spans="3:11" ht="25.8" customHeight="1">
      <c r="C7089" s="566" t="s">
        <v>1218</v>
      </c>
      <c r="D7089" s="552" t="s">
        <v>1219</v>
      </c>
      <c r="E7089" s="553"/>
      <c r="F7089" s="553"/>
      <c r="G7089" s="554"/>
      <c r="H7089" s="826">
        <f>H7088+H7086+H7083</f>
        <v>23500</v>
      </c>
      <c r="I7089" s="827"/>
    </row>
    <row r="7090" spans="3:11" ht="25.8" customHeight="1">
      <c r="C7090" s="566" t="s">
        <v>1220</v>
      </c>
      <c r="D7090" s="552" t="s">
        <v>1321</v>
      </c>
      <c r="E7090" s="553"/>
      <c r="F7090" s="554"/>
      <c r="G7090" s="555">
        <f>$M$9</f>
        <v>0.1</v>
      </c>
      <c r="H7090" s="539">
        <f>H7089*G7090</f>
        <v>2350</v>
      </c>
      <c r="I7090" s="827"/>
    </row>
    <row r="7091" spans="3:11" ht="25.8" customHeight="1">
      <c r="C7091" s="566" t="s">
        <v>1221</v>
      </c>
      <c r="D7091" s="552" t="s">
        <v>1222</v>
      </c>
      <c r="E7091" s="553"/>
      <c r="F7091" s="553"/>
      <c r="G7091" s="554"/>
      <c r="H7091" s="828">
        <f>SUM(H7089:H7090)</f>
        <v>25850</v>
      </c>
      <c r="I7091" s="827"/>
    </row>
    <row r="7092" spans="3:11" ht="25.8" customHeight="1"/>
    <row r="7093" spans="3:11" ht="25.8" customHeight="1"/>
    <row r="7094" spans="3:11" ht="25.8" customHeight="1">
      <c r="C7094" s="513" t="s">
        <v>6039</v>
      </c>
      <c r="D7094" s="817" t="s">
        <v>6040</v>
      </c>
      <c r="E7094" s="803"/>
      <c r="F7094" s="803"/>
      <c r="G7094" s="803"/>
      <c r="H7094" s="803"/>
      <c r="I7094" s="533">
        <f>ROUNDDOWN(H7109,-2)</f>
        <v>34000</v>
      </c>
      <c r="J7094" s="536"/>
      <c r="K7094" s="824"/>
    </row>
    <row r="7095" spans="3:11" ht="25.8" customHeight="1">
      <c r="C7095" s="716" t="s">
        <v>1195</v>
      </c>
      <c r="D7095" s="716" t="s">
        <v>1196</v>
      </c>
      <c r="E7095" s="716" t="s">
        <v>1197</v>
      </c>
      <c r="F7095" s="716" t="s">
        <v>1198</v>
      </c>
      <c r="G7095" s="716" t="s">
        <v>1199</v>
      </c>
      <c r="H7095" s="716" t="s">
        <v>1200</v>
      </c>
    </row>
    <row r="7096" spans="3:11" ht="25.8" customHeight="1">
      <c r="C7096" s="213" t="s">
        <v>1201</v>
      </c>
      <c r="D7096" s="212" t="s">
        <v>1202</v>
      </c>
      <c r="E7096" s="534"/>
      <c r="F7096" s="534"/>
      <c r="G7096" s="534"/>
      <c r="H7096" s="534"/>
    </row>
    <row r="7097" spans="3:11" ht="25.8" customHeight="1">
      <c r="C7097" s="818">
        <v>1</v>
      </c>
      <c r="D7097" s="212" t="s">
        <v>5</v>
      </c>
      <c r="E7097" s="212" t="s">
        <v>6</v>
      </c>
      <c r="F7097" s="538">
        <v>2.4E-2</v>
      </c>
      <c r="G7097" s="539">
        <f>VLOOKUP(D7097,upahbahan,3,FALSE)</f>
        <v>100000</v>
      </c>
      <c r="H7097" s="539">
        <f t="shared" ref="H7097:H7100" si="733">F7097*G7097</f>
        <v>2400</v>
      </c>
    </row>
    <row r="7098" spans="3:11" ht="25.8" customHeight="1">
      <c r="C7098" s="818">
        <v>2</v>
      </c>
      <c r="D7098" s="212" t="s">
        <v>17</v>
      </c>
      <c r="E7098" s="212" t="s">
        <v>6</v>
      </c>
      <c r="F7098" s="538">
        <v>0.04</v>
      </c>
      <c r="G7098" s="539">
        <f>VLOOKUP(D7098,upahbahan,3,FALSE)</f>
        <v>135000</v>
      </c>
      <c r="H7098" s="539">
        <f t="shared" si="733"/>
        <v>5400</v>
      </c>
    </row>
    <row r="7099" spans="3:11" ht="25.8" customHeight="1">
      <c r="C7099" s="818">
        <v>3</v>
      </c>
      <c r="D7099" s="212" t="s">
        <v>1310</v>
      </c>
      <c r="E7099" s="212" t="s">
        <v>6</v>
      </c>
      <c r="F7099" s="538">
        <v>4.0000000000000001E-3</v>
      </c>
      <c r="G7099" s="539">
        <f>VLOOKUP(D7099,upahbahan,3,FALSE)</f>
        <v>150000</v>
      </c>
      <c r="H7099" s="539">
        <f t="shared" si="733"/>
        <v>600</v>
      </c>
    </row>
    <row r="7100" spans="3:11" ht="25.8" customHeight="1">
      <c r="C7100" s="818">
        <v>4</v>
      </c>
      <c r="D7100" s="212" t="s">
        <v>19</v>
      </c>
      <c r="E7100" s="212" t="s">
        <v>6</v>
      </c>
      <c r="F7100" s="538">
        <v>1E-3</v>
      </c>
      <c r="G7100" s="539">
        <f>VLOOKUP(D7100,upahbahan,3,FALSE)</f>
        <v>160000</v>
      </c>
      <c r="H7100" s="539">
        <f t="shared" si="733"/>
        <v>160</v>
      </c>
    </row>
    <row r="7101" spans="3:11" ht="25.8" customHeight="1">
      <c r="C7101" s="702" t="s">
        <v>1208</v>
      </c>
      <c r="D7101" s="208"/>
      <c r="E7101" s="208"/>
      <c r="F7101" s="811"/>
      <c r="G7101" s="522"/>
      <c r="H7101" s="539">
        <f>SUM(H7097:H7100)</f>
        <v>8560</v>
      </c>
      <c r="I7101" s="819"/>
    </row>
    <row r="7102" spans="3:11" ht="25.8" customHeight="1">
      <c r="C7102" s="213" t="s">
        <v>1209</v>
      </c>
      <c r="D7102" s="212" t="s">
        <v>1210</v>
      </c>
      <c r="E7102" s="534"/>
      <c r="F7102" s="831"/>
      <c r="G7102" s="534"/>
      <c r="H7102" s="534"/>
    </row>
    <row r="7103" spans="3:11" ht="25.8" customHeight="1">
      <c r="C7103" s="213">
        <v>1</v>
      </c>
      <c r="D7103" s="212" t="s">
        <v>3280</v>
      </c>
      <c r="E7103" s="234" t="s">
        <v>1300</v>
      </c>
      <c r="F7103" s="866">
        <v>1.1499999999999999</v>
      </c>
      <c r="G7103" s="539">
        <f>VLOOKUP(D7103,upahbahan,3,FALSE)</f>
        <v>19448</v>
      </c>
      <c r="H7103" s="539">
        <f t="shared" ref="H7103" si="734">F7103*G7103</f>
        <v>22365.199999999997</v>
      </c>
    </row>
    <row r="7104" spans="3:11" ht="25.8" customHeight="1">
      <c r="C7104" s="702" t="s">
        <v>1214</v>
      </c>
      <c r="D7104" s="208"/>
      <c r="E7104" s="208"/>
      <c r="F7104" s="208"/>
      <c r="G7104" s="209"/>
      <c r="H7104" s="539">
        <f>SUM(H7102:H7103)</f>
        <v>22365.199999999997</v>
      </c>
    </row>
    <row r="7105" spans="3:11" ht="25.8" customHeight="1">
      <c r="C7105" s="213" t="s">
        <v>1215</v>
      </c>
      <c r="D7105" s="212" t="s">
        <v>1216</v>
      </c>
      <c r="E7105" s="534"/>
      <c r="F7105" s="534"/>
      <c r="G7105" s="534"/>
      <c r="H7105" s="534"/>
    </row>
    <row r="7106" spans="3:11" ht="25.8" customHeight="1">
      <c r="C7106" s="702" t="s">
        <v>1217</v>
      </c>
      <c r="D7106" s="815"/>
      <c r="E7106" s="815"/>
      <c r="F7106" s="815"/>
      <c r="G7106" s="209"/>
      <c r="H7106" s="821">
        <f>SUM(H7105:H7105)</f>
        <v>0</v>
      </c>
    </row>
    <row r="7107" spans="3:11" ht="25.8" customHeight="1">
      <c r="C7107" s="566" t="s">
        <v>1218</v>
      </c>
      <c r="D7107" s="552" t="s">
        <v>1219</v>
      </c>
      <c r="E7107" s="553"/>
      <c r="F7107" s="553"/>
      <c r="G7107" s="554"/>
      <c r="H7107" s="826">
        <f>H7106+H7104+H7101</f>
        <v>30925.199999999997</v>
      </c>
      <c r="I7107" s="827"/>
    </row>
    <row r="7108" spans="3:11" ht="25.8" customHeight="1">
      <c r="C7108" s="566" t="s">
        <v>1220</v>
      </c>
      <c r="D7108" s="552" t="s">
        <v>1321</v>
      </c>
      <c r="E7108" s="553"/>
      <c r="F7108" s="554"/>
      <c r="G7108" s="555">
        <f>$M$9</f>
        <v>0.1</v>
      </c>
      <c r="H7108" s="539">
        <f>H7107*G7108</f>
        <v>3092.52</v>
      </c>
      <c r="I7108" s="827"/>
    </row>
    <row r="7109" spans="3:11" ht="25.8" customHeight="1">
      <c r="C7109" s="566" t="s">
        <v>1221</v>
      </c>
      <c r="D7109" s="552" t="s">
        <v>1222</v>
      </c>
      <c r="E7109" s="553"/>
      <c r="F7109" s="553"/>
      <c r="G7109" s="554"/>
      <c r="H7109" s="828">
        <f>SUM(H7107:H7108)</f>
        <v>34017.719999999994</v>
      </c>
      <c r="I7109" s="827"/>
    </row>
    <row r="7110" spans="3:11" ht="25.8" customHeight="1"/>
    <row r="7111" spans="3:11" ht="25.8" customHeight="1">
      <c r="C7111" s="513" t="s">
        <v>6041</v>
      </c>
      <c r="D7111" s="817" t="s">
        <v>6042</v>
      </c>
      <c r="E7111" s="803"/>
      <c r="F7111" s="803"/>
      <c r="G7111" s="803"/>
      <c r="H7111" s="803"/>
      <c r="I7111" s="533">
        <f>ROUNDDOWN(H7126,-2)</f>
        <v>79300</v>
      </c>
      <c r="J7111" s="536"/>
      <c r="K7111" s="824"/>
    </row>
    <row r="7112" spans="3:11" ht="25.8" customHeight="1">
      <c r="C7112" s="716" t="s">
        <v>1195</v>
      </c>
      <c r="D7112" s="716" t="s">
        <v>1196</v>
      </c>
      <c r="E7112" s="716" t="s">
        <v>1197</v>
      </c>
      <c r="F7112" s="716" t="s">
        <v>1198</v>
      </c>
      <c r="G7112" s="716" t="s">
        <v>1199</v>
      </c>
      <c r="H7112" s="716" t="s">
        <v>1200</v>
      </c>
    </row>
    <row r="7113" spans="3:11" ht="25.8" customHeight="1">
      <c r="C7113" s="213" t="s">
        <v>1201</v>
      </c>
      <c r="D7113" s="212" t="s">
        <v>1202</v>
      </c>
      <c r="E7113" s="534"/>
      <c r="F7113" s="534"/>
      <c r="G7113" s="534"/>
      <c r="H7113" s="534"/>
    </row>
    <row r="7114" spans="3:11" ht="25.8" customHeight="1">
      <c r="C7114" s="818">
        <v>1</v>
      </c>
      <c r="D7114" s="212" t="s">
        <v>5</v>
      </c>
      <c r="E7114" s="212" t="s">
        <v>6</v>
      </c>
      <c r="F7114" s="538">
        <v>3.5999999999999997E-2</v>
      </c>
      <c r="G7114" s="539">
        <f>VLOOKUP(D7114,upahbahan,3,FALSE)</f>
        <v>100000</v>
      </c>
      <c r="H7114" s="539">
        <f t="shared" ref="H7114:H7117" si="735">F7114*G7114</f>
        <v>3599.9999999999995</v>
      </c>
    </row>
    <row r="7115" spans="3:11" ht="25.8" customHeight="1">
      <c r="C7115" s="818">
        <v>2</v>
      </c>
      <c r="D7115" s="212" t="s">
        <v>17</v>
      </c>
      <c r="E7115" s="212" t="s">
        <v>6</v>
      </c>
      <c r="F7115" s="538">
        <v>0.06</v>
      </c>
      <c r="G7115" s="539">
        <f>VLOOKUP(D7115,upahbahan,3,FALSE)</f>
        <v>135000</v>
      </c>
      <c r="H7115" s="539">
        <f t="shared" si="735"/>
        <v>8100</v>
      </c>
    </row>
    <row r="7116" spans="3:11" ht="25.8" customHeight="1">
      <c r="C7116" s="818">
        <v>3</v>
      </c>
      <c r="D7116" s="212" t="s">
        <v>1310</v>
      </c>
      <c r="E7116" s="212" t="s">
        <v>6</v>
      </c>
      <c r="F7116" s="538">
        <v>6.0000000000000001E-3</v>
      </c>
      <c r="G7116" s="539">
        <f>VLOOKUP(D7116,upahbahan,3,FALSE)</f>
        <v>150000</v>
      </c>
      <c r="H7116" s="539">
        <f t="shared" si="735"/>
        <v>900</v>
      </c>
    </row>
    <row r="7117" spans="3:11" ht="25.8" customHeight="1">
      <c r="C7117" s="818">
        <v>4</v>
      </c>
      <c r="D7117" s="212" t="s">
        <v>19</v>
      </c>
      <c r="E7117" s="212" t="s">
        <v>6</v>
      </c>
      <c r="F7117" s="538">
        <v>2E-3</v>
      </c>
      <c r="G7117" s="539">
        <f>VLOOKUP(D7117,upahbahan,3,FALSE)</f>
        <v>160000</v>
      </c>
      <c r="H7117" s="539">
        <f t="shared" si="735"/>
        <v>320</v>
      </c>
    </row>
    <row r="7118" spans="3:11" ht="25.8" customHeight="1">
      <c r="C7118" s="702" t="s">
        <v>1208</v>
      </c>
      <c r="D7118" s="208"/>
      <c r="E7118" s="208"/>
      <c r="F7118" s="811"/>
      <c r="G7118" s="522"/>
      <c r="H7118" s="539">
        <f>SUM(H7114:H7117)</f>
        <v>12920</v>
      </c>
      <c r="I7118" s="819"/>
    </row>
    <row r="7119" spans="3:11" ht="25.8" customHeight="1">
      <c r="C7119" s="213" t="s">
        <v>1209</v>
      </c>
      <c r="D7119" s="212" t="s">
        <v>1210</v>
      </c>
      <c r="E7119" s="534"/>
      <c r="F7119" s="831"/>
      <c r="G7119" s="534"/>
      <c r="H7119" s="534"/>
    </row>
    <row r="7120" spans="3:11" ht="25.8" customHeight="1">
      <c r="C7120" s="213">
        <v>1</v>
      </c>
      <c r="D7120" s="212" t="s">
        <v>3287</v>
      </c>
      <c r="E7120" s="234" t="s">
        <v>113</v>
      </c>
      <c r="F7120" s="866">
        <v>1.1499999999999999</v>
      </c>
      <c r="G7120" s="539">
        <f>VLOOKUP(D7120,upahbahan,3,FALSE)</f>
        <v>51500</v>
      </c>
      <c r="H7120" s="539">
        <f t="shared" ref="H7120" si="736">F7120*G7120</f>
        <v>59224.999999999993</v>
      </c>
    </row>
    <row r="7121" spans="3:11" ht="25.8" customHeight="1">
      <c r="C7121" s="702" t="s">
        <v>1214</v>
      </c>
      <c r="D7121" s="208"/>
      <c r="E7121" s="208"/>
      <c r="F7121" s="208"/>
      <c r="G7121" s="209"/>
      <c r="H7121" s="539">
        <f>SUM(H7119:H7120)</f>
        <v>59224.999999999993</v>
      </c>
    </row>
    <row r="7122" spans="3:11" ht="25.8" customHeight="1">
      <c r="C7122" s="213" t="s">
        <v>1215</v>
      </c>
      <c r="D7122" s="212" t="s">
        <v>1216</v>
      </c>
      <c r="E7122" s="534"/>
      <c r="F7122" s="534"/>
      <c r="G7122" s="534"/>
      <c r="H7122" s="534"/>
    </row>
    <row r="7123" spans="3:11" ht="25.8" customHeight="1">
      <c r="C7123" s="702" t="s">
        <v>1217</v>
      </c>
      <c r="D7123" s="815"/>
      <c r="E7123" s="815"/>
      <c r="F7123" s="815"/>
      <c r="G7123" s="209"/>
      <c r="H7123" s="821">
        <f>SUM(H7122:H7122)</f>
        <v>0</v>
      </c>
    </row>
    <row r="7124" spans="3:11" ht="25.8" customHeight="1">
      <c r="C7124" s="566" t="s">
        <v>1218</v>
      </c>
      <c r="D7124" s="552" t="s">
        <v>1219</v>
      </c>
      <c r="E7124" s="553"/>
      <c r="F7124" s="553"/>
      <c r="G7124" s="554"/>
      <c r="H7124" s="826">
        <f>H7123+H7121+H7118</f>
        <v>72145</v>
      </c>
      <c r="I7124" s="827"/>
    </row>
    <row r="7125" spans="3:11" ht="25.8" customHeight="1">
      <c r="C7125" s="566" t="s">
        <v>1220</v>
      </c>
      <c r="D7125" s="552" t="s">
        <v>1321</v>
      </c>
      <c r="E7125" s="553"/>
      <c r="F7125" s="554"/>
      <c r="G7125" s="555">
        <f>$M$9</f>
        <v>0.1</v>
      </c>
      <c r="H7125" s="539">
        <f>H7124*G7125</f>
        <v>7214.5</v>
      </c>
      <c r="I7125" s="827"/>
    </row>
    <row r="7126" spans="3:11" ht="25.8" customHeight="1">
      <c r="C7126" s="566" t="s">
        <v>1221</v>
      </c>
      <c r="D7126" s="552" t="s">
        <v>1222</v>
      </c>
      <c r="E7126" s="553"/>
      <c r="F7126" s="553"/>
      <c r="G7126" s="554"/>
      <c r="H7126" s="828">
        <f>SUM(H7124:H7125)</f>
        <v>79359.5</v>
      </c>
      <c r="I7126" s="827"/>
    </row>
    <row r="7127" spans="3:11" ht="25.8" customHeight="1"/>
    <row r="7128" spans="3:11" ht="25.8" customHeight="1">
      <c r="C7128" s="513" t="s">
        <v>6043</v>
      </c>
      <c r="D7128" s="817" t="s">
        <v>6044</v>
      </c>
      <c r="E7128" s="803"/>
      <c r="F7128" s="803"/>
      <c r="G7128" s="803"/>
      <c r="H7128" s="803"/>
      <c r="I7128" s="533">
        <f>ROUNDDOWN(H7143,-2)</f>
        <v>4268800</v>
      </c>
      <c r="J7128" s="536"/>
      <c r="K7128" s="824"/>
    </row>
    <row r="7129" spans="3:11" ht="25.8" customHeight="1">
      <c r="C7129" s="716" t="s">
        <v>1195</v>
      </c>
      <c r="D7129" s="716" t="s">
        <v>1196</v>
      </c>
      <c r="E7129" s="716" t="s">
        <v>1197</v>
      </c>
      <c r="F7129" s="716" t="s">
        <v>1198</v>
      </c>
      <c r="G7129" s="716" t="s">
        <v>1199</v>
      </c>
      <c r="H7129" s="716" t="s">
        <v>1200</v>
      </c>
    </row>
    <row r="7130" spans="3:11" ht="25.8" customHeight="1">
      <c r="C7130" s="213" t="s">
        <v>1201</v>
      </c>
      <c r="D7130" s="212" t="s">
        <v>1202</v>
      </c>
      <c r="E7130" s="534"/>
      <c r="F7130" s="534"/>
      <c r="G7130" s="534"/>
      <c r="H7130" s="534"/>
    </row>
    <row r="7131" spans="3:11" ht="25.8" customHeight="1">
      <c r="C7131" s="818">
        <v>1</v>
      </c>
      <c r="D7131" s="212" t="s">
        <v>5</v>
      </c>
      <c r="E7131" s="212" t="s">
        <v>6</v>
      </c>
      <c r="F7131" s="538">
        <v>8.5999999999999993E-2</v>
      </c>
      <c r="G7131" s="539">
        <f>VLOOKUP(D7131,upahbahan,3,FALSE)</f>
        <v>100000</v>
      </c>
      <c r="H7131" s="539">
        <f t="shared" ref="H7131:H7134" si="737">F7131*G7131</f>
        <v>8600</v>
      </c>
    </row>
    <row r="7132" spans="3:11" ht="25.8" customHeight="1">
      <c r="C7132" s="818">
        <v>2</v>
      </c>
      <c r="D7132" s="212" t="s">
        <v>17</v>
      </c>
      <c r="E7132" s="212" t="s">
        <v>6</v>
      </c>
      <c r="F7132" s="538">
        <v>0.14299999999999999</v>
      </c>
      <c r="G7132" s="539">
        <f>VLOOKUP(D7132,upahbahan,3,FALSE)</f>
        <v>135000</v>
      </c>
      <c r="H7132" s="539">
        <f t="shared" si="737"/>
        <v>19305</v>
      </c>
    </row>
    <row r="7133" spans="3:11" ht="25.8" customHeight="1">
      <c r="C7133" s="818">
        <v>3</v>
      </c>
      <c r="D7133" s="212" t="s">
        <v>1310</v>
      </c>
      <c r="E7133" s="212" t="s">
        <v>6</v>
      </c>
      <c r="F7133" s="538">
        <v>1.4E-2</v>
      </c>
      <c r="G7133" s="539">
        <f>VLOOKUP(D7133,upahbahan,3,FALSE)</f>
        <v>150000</v>
      </c>
      <c r="H7133" s="539">
        <f t="shared" si="737"/>
        <v>2100</v>
      </c>
    </row>
    <row r="7134" spans="3:11" ht="25.8" customHeight="1">
      <c r="C7134" s="818">
        <v>4</v>
      </c>
      <c r="D7134" s="212" t="s">
        <v>19</v>
      </c>
      <c r="E7134" s="212" t="s">
        <v>6</v>
      </c>
      <c r="F7134" s="538">
        <v>5.0000000000000001E-3</v>
      </c>
      <c r="G7134" s="539">
        <f>VLOOKUP(D7134,upahbahan,3,FALSE)</f>
        <v>160000</v>
      </c>
      <c r="H7134" s="539">
        <f t="shared" si="737"/>
        <v>800</v>
      </c>
    </row>
    <row r="7135" spans="3:11" ht="25.8" customHeight="1">
      <c r="C7135" s="702" t="s">
        <v>1208</v>
      </c>
      <c r="D7135" s="208"/>
      <c r="E7135" s="208"/>
      <c r="F7135" s="811"/>
      <c r="G7135" s="522"/>
      <c r="H7135" s="539">
        <f>SUM(H7131:H7134)</f>
        <v>30805</v>
      </c>
      <c r="I7135" s="819"/>
    </row>
    <row r="7136" spans="3:11" ht="25.8" customHeight="1">
      <c r="C7136" s="213" t="s">
        <v>1209</v>
      </c>
      <c r="D7136" s="212" t="s">
        <v>1210</v>
      </c>
      <c r="E7136" s="534"/>
      <c r="F7136" s="831"/>
      <c r="G7136" s="534"/>
      <c r="H7136" s="534"/>
    </row>
    <row r="7137" spans="3:11" ht="25.8" customHeight="1">
      <c r="C7137" s="213">
        <v>1</v>
      </c>
      <c r="D7137" s="212" t="s">
        <v>6046</v>
      </c>
      <c r="E7137" s="234" t="s">
        <v>135</v>
      </c>
      <c r="F7137" s="866">
        <v>1.1000000000000001</v>
      </c>
      <c r="G7137" s="539">
        <f>VLOOKUP(D7137,upahbahan,3,FALSE)</f>
        <v>3500000</v>
      </c>
      <c r="H7137" s="539">
        <f t="shared" ref="H7137" si="738">F7137*G7137</f>
        <v>3850000.0000000005</v>
      </c>
    </row>
    <row r="7138" spans="3:11" ht="25.8" customHeight="1">
      <c r="C7138" s="702" t="s">
        <v>1214</v>
      </c>
      <c r="D7138" s="208"/>
      <c r="E7138" s="208" t="s">
        <v>6045</v>
      </c>
      <c r="F7138" s="208"/>
      <c r="G7138" s="209"/>
      <c r="H7138" s="539">
        <f>SUM(H7136:H7137)</f>
        <v>3850000.0000000005</v>
      </c>
    </row>
    <row r="7139" spans="3:11" ht="25.8" customHeight="1">
      <c r="C7139" s="213" t="s">
        <v>1215</v>
      </c>
      <c r="D7139" s="212" t="s">
        <v>1216</v>
      </c>
      <c r="E7139" s="534"/>
      <c r="F7139" s="534"/>
      <c r="G7139" s="534"/>
      <c r="H7139" s="534"/>
    </row>
    <row r="7140" spans="3:11" ht="25.8" customHeight="1">
      <c r="C7140" s="702" t="s">
        <v>1217</v>
      </c>
      <c r="D7140" s="815"/>
      <c r="E7140" s="815"/>
      <c r="F7140" s="815"/>
      <c r="G7140" s="209"/>
      <c r="H7140" s="821">
        <f>SUM(H7139:H7139)</f>
        <v>0</v>
      </c>
    </row>
    <row r="7141" spans="3:11" ht="25.8" customHeight="1">
      <c r="C7141" s="566" t="s">
        <v>1218</v>
      </c>
      <c r="D7141" s="552" t="s">
        <v>1219</v>
      </c>
      <c r="E7141" s="553"/>
      <c r="F7141" s="553"/>
      <c r="G7141" s="554"/>
      <c r="H7141" s="826">
        <f>H7140+H7138+H7135</f>
        <v>3880805.0000000005</v>
      </c>
      <c r="I7141" s="827"/>
    </row>
    <row r="7142" spans="3:11" ht="25.8" customHeight="1">
      <c r="C7142" s="566" t="s">
        <v>1220</v>
      </c>
      <c r="D7142" s="552" t="s">
        <v>1321</v>
      </c>
      <c r="E7142" s="553"/>
      <c r="F7142" s="554"/>
      <c r="G7142" s="555">
        <f>$M$9</f>
        <v>0.1</v>
      </c>
      <c r="H7142" s="539">
        <f>H7141*G7142</f>
        <v>388080.50000000006</v>
      </c>
      <c r="I7142" s="827"/>
    </row>
    <row r="7143" spans="3:11" ht="25.8" customHeight="1">
      <c r="C7143" s="566" t="s">
        <v>1221</v>
      </c>
      <c r="D7143" s="552" t="s">
        <v>1222</v>
      </c>
      <c r="E7143" s="553"/>
      <c r="F7143" s="553"/>
      <c r="G7143" s="554"/>
      <c r="H7143" s="828">
        <f>SUM(H7141:H7142)</f>
        <v>4268885.5000000009</v>
      </c>
      <c r="I7143" s="827"/>
    </row>
    <row r="7144" spans="3:11" ht="25.8" customHeight="1"/>
    <row r="7145" spans="3:11" ht="25.8" customHeight="1">
      <c r="C7145" s="513" t="s">
        <v>6047</v>
      </c>
      <c r="D7145" s="817" t="s">
        <v>6048</v>
      </c>
      <c r="E7145" s="803"/>
      <c r="F7145" s="803"/>
      <c r="G7145" s="803"/>
      <c r="H7145" s="803"/>
      <c r="I7145" s="533">
        <f>ROUNDDOWN(H7160,-2)</f>
        <v>1619000</v>
      </c>
      <c r="J7145" s="536"/>
      <c r="K7145" s="824"/>
    </row>
    <row r="7146" spans="3:11" ht="25.8" customHeight="1">
      <c r="C7146" s="716" t="s">
        <v>1195</v>
      </c>
      <c r="D7146" s="716" t="s">
        <v>1196</v>
      </c>
      <c r="E7146" s="716" t="s">
        <v>1197</v>
      </c>
      <c r="F7146" s="716" t="s">
        <v>1198</v>
      </c>
      <c r="G7146" s="716" t="s">
        <v>1199</v>
      </c>
      <c r="H7146" s="716" t="s">
        <v>1200</v>
      </c>
    </row>
    <row r="7147" spans="3:11" ht="25.8" customHeight="1">
      <c r="C7147" s="213" t="s">
        <v>1201</v>
      </c>
      <c r="D7147" s="212" t="s">
        <v>1202</v>
      </c>
      <c r="E7147" s="534"/>
      <c r="F7147" s="534"/>
      <c r="G7147" s="534"/>
      <c r="H7147" s="534"/>
    </row>
    <row r="7148" spans="3:11" ht="25.8" customHeight="1">
      <c r="C7148" s="818">
        <v>1</v>
      </c>
      <c r="D7148" s="212" t="s">
        <v>5</v>
      </c>
      <c r="E7148" s="212" t="s">
        <v>6</v>
      </c>
      <c r="F7148" s="538">
        <v>0.18099999999999999</v>
      </c>
      <c r="G7148" s="539">
        <f>VLOOKUP(D7148,upahbahan,3,FALSE)</f>
        <v>100000</v>
      </c>
      <c r="H7148" s="539">
        <f t="shared" ref="H7148:H7151" si="739">F7148*G7148</f>
        <v>18100</v>
      </c>
    </row>
    <row r="7149" spans="3:11" ht="25.8" customHeight="1">
      <c r="C7149" s="818">
        <v>2</v>
      </c>
      <c r="D7149" s="212" t="s">
        <v>17</v>
      </c>
      <c r="E7149" s="212" t="s">
        <v>6</v>
      </c>
      <c r="F7149" s="538">
        <v>0.30199999999999999</v>
      </c>
      <c r="G7149" s="539">
        <f>VLOOKUP(D7149,upahbahan,3,FALSE)</f>
        <v>135000</v>
      </c>
      <c r="H7149" s="539">
        <f t="shared" si="739"/>
        <v>40770</v>
      </c>
    </row>
    <row r="7150" spans="3:11" ht="25.8" customHeight="1">
      <c r="C7150" s="818">
        <v>3</v>
      </c>
      <c r="D7150" s="212" t="s">
        <v>1310</v>
      </c>
      <c r="E7150" s="212" t="s">
        <v>6</v>
      </c>
      <c r="F7150" s="538">
        <v>0.03</v>
      </c>
      <c r="G7150" s="539">
        <f>VLOOKUP(D7150,upahbahan,3,FALSE)</f>
        <v>150000</v>
      </c>
      <c r="H7150" s="539">
        <f t="shared" si="739"/>
        <v>4500</v>
      </c>
    </row>
    <row r="7151" spans="3:11" ht="25.8" customHeight="1">
      <c r="C7151" s="818">
        <v>4</v>
      </c>
      <c r="D7151" s="212" t="s">
        <v>19</v>
      </c>
      <c r="E7151" s="212" t="s">
        <v>6</v>
      </c>
      <c r="F7151" s="538">
        <v>0.01</v>
      </c>
      <c r="G7151" s="539">
        <f>VLOOKUP(D7151,upahbahan,3,FALSE)</f>
        <v>160000</v>
      </c>
      <c r="H7151" s="539">
        <f t="shared" si="739"/>
        <v>1600</v>
      </c>
    </row>
    <row r="7152" spans="3:11" ht="25.8" customHeight="1">
      <c r="C7152" s="702" t="s">
        <v>1208</v>
      </c>
      <c r="D7152" s="208"/>
      <c r="E7152" s="208"/>
      <c r="F7152" s="811"/>
      <c r="G7152" s="522"/>
      <c r="H7152" s="539">
        <f>SUM(H7148:H7151)</f>
        <v>64970</v>
      </c>
      <c r="I7152" s="819"/>
    </row>
    <row r="7153" spans="3:11" ht="25.8" customHeight="1">
      <c r="C7153" s="213" t="s">
        <v>1209</v>
      </c>
      <c r="D7153" s="212" t="s">
        <v>1210</v>
      </c>
      <c r="E7153" s="534"/>
      <c r="F7153" s="831"/>
      <c r="G7153" s="534"/>
      <c r="H7153" s="534"/>
    </row>
    <row r="7154" spans="3:11" ht="25.8" customHeight="1">
      <c r="C7154" s="213">
        <v>1</v>
      </c>
      <c r="D7154" s="212" t="s">
        <v>6049</v>
      </c>
      <c r="E7154" s="234" t="s">
        <v>135</v>
      </c>
      <c r="F7154" s="866">
        <v>1.1000000000000001</v>
      </c>
      <c r="G7154" s="539">
        <f>VLOOKUP(D7154,upahbahan,3,FALSE)</f>
        <v>1279000</v>
      </c>
      <c r="H7154" s="539">
        <f t="shared" ref="H7154" si="740">F7154*G7154</f>
        <v>1406900</v>
      </c>
    </row>
    <row r="7155" spans="3:11" ht="25.8" customHeight="1">
      <c r="C7155" s="702" t="s">
        <v>1214</v>
      </c>
      <c r="D7155" s="208"/>
      <c r="E7155" s="208" t="s">
        <v>6045</v>
      </c>
      <c r="F7155" s="208"/>
      <c r="G7155" s="209"/>
      <c r="H7155" s="539">
        <f>SUM(H7153:H7154)</f>
        <v>1406900</v>
      </c>
    </row>
    <row r="7156" spans="3:11" ht="25.8" customHeight="1">
      <c r="C7156" s="213" t="s">
        <v>1215</v>
      </c>
      <c r="D7156" s="212" t="s">
        <v>1216</v>
      </c>
      <c r="E7156" s="534"/>
      <c r="F7156" s="534"/>
      <c r="G7156" s="534"/>
      <c r="H7156" s="534"/>
    </row>
    <row r="7157" spans="3:11" ht="25.8" customHeight="1">
      <c r="C7157" s="702" t="s">
        <v>1217</v>
      </c>
      <c r="D7157" s="815"/>
      <c r="E7157" s="815"/>
      <c r="F7157" s="815"/>
      <c r="G7157" s="209"/>
      <c r="H7157" s="821">
        <f>SUM(H7156:H7156)</f>
        <v>0</v>
      </c>
    </row>
    <row r="7158" spans="3:11" ht="25.8" customHeight="1">
      <c r="C7158" s="566" t="s">
        <v>1218</v>
      </c>
      <c r="D7158" s="552" t="s">
        <v>1219</v>
      </c>
      <c r="E7158" s="553"/>
      <c r="F7158" s="553"/>
      <c r="G7158" s="554"/>
      <c r="H7158" s="826">
        <f>H7157+H7155+H7152</f>
        <v>1471870</v>
      </c>
      <c r="I7158" s="827"/>
    </row>
    <row r="7159" spans="3:11" ht="25.8" customHeight="1">
      <c r="C7159" s="566" t="s">
        <v>1220</v>
      </c>
      <c r="D7159" s="552" t="s">
        <v>1321</v>
      </c>
      <c r="E7159" s="553"/>
      <c r="F7159" s="554"/>
      <c r="G7159" s="555">
        <f>$M$9</f>
        <v>0.1</v>
      </c>
      <c r="H7159" s="539">
        <f>H7158*G7159</f>
        <v>147187</v>
      </c>
      <c r="I7159" s="827"/>
    </row>
    <row r="7160" spans="3:11" ht="25.8" customHeight="1">
      <c r="C7160" s="566" t="s">
        <v>1221</v>
      </c>
      <c r="D7160" s="552" t="s">
        <v>1222</v>
      </c>
      <c r="E7160" s="553"/>
      <c r="F7160" s="553"/>
      <c r="G7160" s="554"/>
      <c r="H7160" s="828">
        <f>SUM(H7158:H7159)</f>
        <v>1619057</v>
      </c>
      <c r="I7160" s="827"/>
    </row>
    <row r="7161" spans="3:11" ht="25.8" customHeight="1"/>
    <row r="7162" spans="3:11" ht="25.8" customHeight="1">
      <c r="C7162" s="513" t="s">
        <v>6050</v>
      </c>
      <c r="D7162" s="817" t="s">
        <v>6056</v>
      </c>
      <c r="E7162" s="803"/>
      <c r="F7162" s="803"/>
      <c r="G7162" s="803"/>
      <c r="H7162" s="803"/>
      <c r="I7162" s="533">
        <f>ROUNDDOWN(H7177,-2)</f>
        <v>4487900</v>
      </c>
      <c r="J7162" s="536"/>
      <c r="K7162" s="824"/>
    </row>
    <row r="7163" spans="3:11" ht="25.8" customHeight="1">
      <c r="C7163" s="716" t="s">
        <v>1195</v>
      </c>
      <c r="D7163" s="716" t="s">
        <v>1196</v>
      </c>
      <c r="E7163" s="716" t="s">
        <v>1197</v>
      </c>
      <c r="F7163" s="716" t="s">
        <v>1198</v>
      </c>
      <c r="G7163" s="716" t="s">
        <v>1199</v>
      </c>
      <c r="H7163" s="716" t="s">
        <v>1200</v>
      </c>
    </row>
    <row r="7164" spans="3:11" ht="25.8" customHeight="1">
      <c r="C7164" s="213" t="s">
        <v>1201</v>
      </c>
      <c r="D7164" s="212" t="s">
        <v>1202</v>
      </c>
      <c r="E7164" s="534"/>
      <c r="F7164" s="534"/>
      <c r="G7164" s="534"/>
      <c r="H7164" s="534"/>
    </row>
    <row r="7165" spans="3:11" ht="25.8" customHeight="1">
      <c r="C7165" s="818">
        <v>1</v>
      </c>
      <c r="D7165" s="212" t="s">
        <v>5</v>
      </c>
      <c r="E7165" s="212" t="s">
        <v>6</v>
      </c>
      <c r="F7165" s="538">
        <v>0.25</v>
      </c>
      <c r="G7165" s="539">
        <f>VLOOKUP(D7165,upahbahan,3,FALSE)</f>
        <v>100000</v>
      </c>
      <c r="H7165" s="539">
        <f t="shared" ref="H7165:H7168" si="741">F7165*G7165</f>
        <v>25000</v>
      </c>
    </row>
    <row r="7166" spans="3:11" ht="25.8" customHeight="1">
      <c r="C7166" s="818">
        <v>2</v>
      </c>
      <c r="D7166" s="212" t="s">
        <v>17</v>
      </c>
      <c r="E7166" s="212" t="s">
        <v>6</v>
      </c>
      <c r="F7166" s="538">
        <v>0.41799999999999998</v>
      </c>
      <c r="G7166" s="539">
        <f>VLOOKUP(D7166,upahbahan,3,FALSE)</f>
        <v>135000</v>
      </c>
      <c r="H7166" s="539">
        <f t="shared" si="741"/>
        <v>56430</v>
      </c>
    </row>
    <row r="7167" spans="3:11" ht="25.8" customHeight="1">
      <c r="C7167" s="818">
        <v>3</v>
      </c>
      <c r="D7167" s="212" t="s">
        <v>1310</v>
      </c>
      <c r="E7167" s="212" t="s">
        <v>6</v>
      </c>
      <c r="F7167" s="538">
        <v>4.2000000000000003E-2</v>
      </c>
      <c r="G7167" s="539">
        <f>VLOOKUP(D7167,upahbahan,3,FALSE)</f>
        <v>150000</v>
      </c>
      <c r="H7167" s="539">
        <f t="shared" si="741"/>
        <v>6300</v>
      </c>
    </row>
    <row r="7168" spans="3:11" ht="25.8" customHeight="1">
      <c r="C7168" s="818">
        <v>4</v>
      </c>
      <c r="D7168" s="212" t="s">
        <v>19</v>
      </c>
      <c r="E7168" s="212" t="s">
        <v>6</v>
      </c>
      <c r="F7168" s="538">
        <v>1.4E-2</v>
      </c>
      <c r="G7168" s="539">
        <f>VLOOKUP(D7168,upahbahan,3,FALSE)</f>
        <v>160000</v>
      </c>
      <c r="H7168" s="539">
        <f t="shared" si="741"/>
        <v>2240</v>
      </c>
    </row>
    <row r="7169" spans="3:11" ht="25.8" customHeight="1">
      <c r="C7169" s="702" t="s">
        <v>1208</v>
      </c>
      <c r="D7169" s="208"/>
      <c r="E7169" s="208"/>
      <c r="F7169" s="811"/>
      <c r="G7169" s="522"/>
      <c r="H7169" s="539">
        <f>SUM(H7165:H7168)</f>
        <v>89970</v>
      </c>
      <c r="I7169" s="819"/>
    </row>
    <row r="7170" spans="3:11" ht="25.8" customHeight="1">
      <c r="C7170" s="213" t="s">
        <v>1209</v>
      </c>
      <c r="D7170" s="212" t="s">
        <v>1210</v>
      </c>
      <c r="E7170" s="534"/>
      <c r="F7170" s="831"/>
      <c r="G7170" s="534"/>
      <c r="H7170" s="534"/>
    </row>
    <row r="7171" spans="3:11" ht="25.8" customHeight="1">
      <c r="C7171" s="213">
        <v>1</v>
      </c>
      <c r="D7171" s="212" t="s">
        <v>6058</v>
      </c>
      <c r="E7171" s="234" t="s">
        <v>135</v>
      </c>
      <c r="F7171" s="866">
        <v>1.05</v>
      </c>
      <c r="G7171" s="539">
        <f>VLOOKUP(D7171,upahbahan,3,FALSE)</f>
        <v>3800000</v>
      </c>
      <c r="H7171" s="539">
        <f t="shared" ref="H7171" si="742">F7171*G7171</f>
        <v>3990000</v>
      </c>
    </row>
    <row r="7172" spans="3:11" ht="25.8" customHeight="1">
      <c r="C7172" s="702" t="s">
        <v>1214</v>
      </c>
      <c r="D7172" s="208"/>
      <c r="E7172" s="208" t="s">
        <v>6045</v>
      </c>
      <c r="F7172" s="208"/>
      <c r="G7172" s="209"/>
      <c r="H7172" s="539">
        <f>SUM(H7170:H7171)</f>
        <v>3990000</v>
      </c>
    </row>
    <row r="7173" spans="3:11" ht="25.8" customHeight="1">
      <c r="C7173" s="213" t="s">
        <v>1215</v>
      </c>
      <c r="D7173" s="212" t="s">
        <v>1216</v>
      </c>
      <c r="E7173" s="534"/>
      <c r="F7173" s="534"/>
      <c r="G7173" s="534"/>
      <c r="H7173" s="534"/>
    </row>
    <row r="7174" spans="3:11" ht="25.8" customHeight="1">
      <c r="C7174" s="702" t="s">
        <v>1217</v>
      </c>
      <c r="D7174" s="815"/>
      <c r="E7174" s="815"/>
      <c r="F7174" s="815"/>
      <c r="G7174" s="209"/>
      <c r="H7174" s="821">
        <f>SUM(H7173:H7173)</f>
        <v>0</v>
      </c>
    </row>
    <row r="7175" spans="3:11" ht="25.8" customHeight="1">
      <c r="C7175" s="566" t="s">
        <v>1218</v>
      </c>
      <c r="D7175" s="552" t="s">
        <v>1219</v>
      </c>
      <c r="E7175" s="553"/>
      <c r="F7175" s="553"/>
      <c r="G7175" s="554"/>
      <c r="H7175" s="826">
        <f>H7174+H7172+H7169</f>
        <v>4079970</v>
      </c>
      <c r="I7175" s="827"/>
    </row>
    <row r="7176" spans="3:11" ht="25.8" customHeight="1">
      <c r="C7176" s="566" t="s">
        <v>1220</v>
      </c>
      <c r="D7176" s="552" t="s">
        <v>1321</v>
      </c>
      <c r="E7176" s="553"/>
      <c r="F7176" s="554"/>
      <c r="G7176" s="555">
        <f>$M$9</f>
        <v>0.1</v>
      </c>
      <c r="H7176" s="539">
        <f>H7175*G7176</f>
        <v>407997</v>
      </c>
      <c r="I7176" s="827"/>
    </row>
    <row r="7177" spans="3:11" ht="25.8" customHeight="1">
      <c r="C7177" s="566" t="s">
        <v>1221</v>
      </c>
      <c r="D7177" s="552" t="s">
        <v>1222</v>
      </c>
      <c r="E7177" s="553"/>
      <c r="F7177" s="553"/>
      <c r="G7177" s="554"/>
      <c r="H7177" s="828">
        <f>SUM(H7175:H7176)</f>
        <v>4487967</v>
      </c>
      <c r="I7177" s="827"/>
    </row>
    <row r="7178" spans="3:11" ht="25.8" customHeight="1"/>
    <row r="7179" spans="3:11" ht="25.8" customHeight="1">
      <c r="C7179" s="513" t="s">
        <v>6051</v>
      </c>
      <c r="D7179" s="817" t="s">
        <v>6057</v>
      </c>
      <c r="E7179" s="803"/>
      <c r="F7179" s="803"/>
      <c r="G7179" s="803"/>
      <c r="H7179" s="803"/>
      <c r="I7179" s="533">
        <f>ROUNDDOWN(H7194,-2)</f>
        <v>4834400</v>
      </c>
      <c r="J7179" s="536"/>
      <c r="K7179" s="824"/>
    </row>
    <row r="7180" spans="3:11" ht="25.8" customHeight="1">
      <c r="C7180" s="716" t="s">
        <v>1195</v>
      </c>
      <c r="D7180" s="716" t="s">
        <v>1196</v>
      </c>
      <c r="E7180" s="716" t="s">
        <v>1197</v>
      </c>
      <c r="F7180" s="716" t="s">
        <v>1198</v>
      </c>
      <c r="G7180" s="716" t="s">
        <v>1199</v>
      </c>
      <c r="H7180" s="716" t="s">
        <v>1200</v>
      </c>
    </row>
    <row r="7181" spans="3:11" ht="25.8" customHeight="1">
      <c r="C7181" s="213" t="s">
        <v>1201</v>
      </c>
      <c r="D7181" s="212" t="s">
        <v>1202</v>
      </c>
      <c r="E7181" s="534"/>
      <c r="F7181" s="534"/>
      <c r="G7181" s="534"/>
      <c r="H7181" s="534"/>
    </row>
    <row r="7182" spans="3:11" ht="25.8" customHeight="1">
      <c r="C7182" s="818">
        <v>1</v>
      </c>
      <c r="D7182" s="212" t="s">
        <v>5</v>
      </c>
      <c r="E7182" s="212" t="s">
        <v>6</v>
      </c>
      <c r="F7182" s="538">
        <v>0.25</v>
      </c>
      <c r="G7182" s="539">
        <f>VLOOKUP(D7182,upahbahan,3,FALSE)</f>
        <v>100000</v>
      </c>
      <c r="H7182" s="539">
        <f t="shared" ref="H7182:H7185" si="743">F7182*G7182</f>
        <v>25000</v>
      </c>
    </row>
    <row r="7183" spans="3:11" ht="25.8" customHeight="1">
      <c r="C7183" s="818">
        <v>2</v>
      </c>
      <c r="D7183" s="212" t="s">
        <v>17</v>
      </c>
      <c r="E7183" s="212" t="s">
        <v>6</v>
      </c>
      <c r="F7183" s="538">
        <v>0.41799999999999998</v>
      </c>
      <c r="G7183" s="539">
        <f>VLOOKUP(D7183,upahbahan,3,FALSE)</f>
        <v>135000</v>
      </c>
      <c r="H7183" s="539">
        <f t="shared" si="743"/>
        <v>56430</v>
      </c>
    </row>
    <row r="7184" spans="3:11" ht="25.8" customHeight="1">
      <c r="C7184" s="818">
        <v>3</v>
      </c>
      <c r="D7184" s="212" t="s">
        <v>1310</v>
      </c>
      <c r="E7184" s="212" t="s">
        <v>6</v>
      </c>
      <c r="F7184" s="538">
        <v>4.2000000000000003E-2</v>
      </c>
      <c r="G7184" s="539">
        <f>VLOOKUP(D7184,upahbahan,3,FALSE)</f>
        <v>150000</v>
      </c>
      <c r="H7184" s="539">
        <f t="shared" si="743"/>
        <v>6300</v>
      </c>
    </row>
    <row r="7185" spans="3:11" ht="25.8" customHeight="1">
      <c r="C7185" s="818">
        <v>4</v>
      </c>
      <c r="D7185" s="212" t="s">
        <v>19</v>
      </c>
      <c r="E7185" s="212" t="s">
        <v>6</v>
      </c>
      <c r="F7185" s="538">
        <v>1.4E-2</v>
      </c>
      <c r="G7185" s="539">
        <f>VLOOKUP(D7185,upahbahan,3,FALSE)</f>
        <v>160000</v>
      </c>
      <c r="H7185" s="539">
        <f t="shared" si="743"/>
        <v>2240</v>
      </c>
    </row>
    <row r="7186" spans="3:11" ht="25.8" customHeight="1">
      <c r="C7186" s="702" t="s">
        <v>1208</v>
      </c>
      <c r="D7186" s="208"/>
      <c r="E7186" s="208"/>
      <c r="F7186" s="811"/>
      <c r="G7186" s="522"/>
      <c r="H7186" s="539">
        <f>SUM(H7182:H7185)</f>
        <v>89970</v>
      </c>
      <c r="I7186" s="819"/>
    </row>
    <row r="7187" spans="3:11" ht="25.8" customHeight="1">
      <c r="C7187" s="213" t="s">
        <v>1209</v>
      </c>
      <c r="D7187" s="212" t="s">
        <v>1210</v>
      </c>
      <c r="E7187" s="534"/>
      <c r="F7187" s="831"/>
      <c r="G7187" s="534"/>
      <c r="H7187" s="534"/>
    </row>
    <row r="7188" spans="3:11" ht="25.8" customHeight="1">
      <c r="C7188" s="213">
        <v>1</v>
      </c>
      <c r="D7188" s="212" t="s">
        <v>6059</v>
      </c>
      <c r="E7188" s="234" t="s">
        <v>135</v>
      </c>
      <c r="F7188" s="866">
        <v>1.05</v>
      </c>
      <c r="G7188" s="539">
        <f>VLOOKUP(D7188,upahbahan,3,FALSE)</f>
        <v>4100000</v>
      </c>
      <c r="H7188" s="539">
        <f t="shared" ref="H7188" si="744">F7188*G7188</f>
        <v>4305000</v>
      </c>
    </row>
    <row r="7189" spans="3:11" ht="25.8" customHeight="1">
      <c r="C7189" s="702" t="s">
        <v>1214</v>
      </c>
      <c r="D7189" s="208"/>
      <c r="E7189" s="208" t="s">
        <v>6045</v>
      </c>
      <c r="F7189" s="208"/>
      <c r="G7189" s="209"/>
      <c r="H7189" s="539">
        <f>SUM(H7187:H7188)</f>
        <v>4305000</v>
      </c>
    </row>
    <row r="7190" spans="3:11" ht="25.8" customHeight="1">
      <c r="C7190" s="213" t="s">
        <v>1215</v>
      </c>
      <c r="D7190" s="212" t="s">
        <v>1216</v>
      </c>
      <c r="E7190" s="534"/>
      <c r="F7190" s="534"/>
      <c r="G7190" s="534"/>
      <c r="H7190" s="534"/>
    </row>
    <row r="7191" spans="3:11" ht="25.8" customHeight="1">
      <c r="C7191" s="702" t="s">
        <v>1217</v>
      </c>
      <c r="D7191" s="815"/>
      <c r="E7191" s="815"/>
      <c r="F7191" s="815"/>
      <c r="G7191" s="209"/>
      <c r="H7191" s="821">
        <f>SUM(H7190:H7190)</f>
        <v>0</v>
      </c>
    </row>
    <row r="7192" spans="3:11" ht="25.8" customHeight="1">
      <c r="C7192" s="566" t="s">
        <v>1218</v>
      </c>
      <c r="D7192" s="552" t="s">
        <v>1219</v>
      </c>
      <c r="E7192" s="553"/>
      <c r="F7192" s="553"/>
      <c r="G7192" s="554"/>
      <c r="H7192" s="826">
        <f>H7191+H7189+H7186</f>
        <v>4394970</v>
      </c>
      <c r="I7192" s="827"/>
    </row>
    <row r="7193" spans="3:11" ht="25.8" customHeight="1">
      <c r="C7193" s="566" t="s">
        <v>1220</v>
      </c>
      <c r="D7193" s="552" t="s">
        <v>1321</v>
      </c>
      <c r="E7193" s="553"/>
      <c r="F7193" s="554"/>
      <c r="G7193" s="555">
        <f>$M$9</f>
        <v>0.1</v>
      </c>
      <c r="H7193" s="539">
        <f>H7192*G7193</f>
        <v>439497</v>
      </c>
      <c r="I7193" s="827"/>
    </row>
    <row r="7194" spans="3:11" ht="25.8" customHeight="1">
      <c r="C7194" s="566" t="s">
        <v>1221</v>
      </c>
      <c r="D7194" s="552" t="s">
        <v>1222</v>
      </c>
      <c r="E7194" s="553"/>
      <c r="F7194" s="553"/>
      <c r="G7194" s="554"/>
      <c r="H7194" s="828">
        <f>SUM(H7192:H7193)</f>
        <v>4834467</v>
      </c>
      <c r="I7194" s="827"/>
    </row>
    <row r="7195" spans="3:11" ht="25.8" customHeight="1"/>
    <row r="7196" spans="3:11" ht="25.8" customHeight="1">
      <c r="C7196" s="513" t="s">
        <v>6052</v>
      </c>
      <c r="D7196" s="817" t="s">
        <v>6060</v>
      </c>
      <c r="E7196" s="803"/>
      <c r="F7196" s="803"/>
      <c r="G7196" s="803"/>
      <c r="H7196" s="803"/>
      <c r="I7196" s="533">
        <f>ROUNDDOWN(H7211,-2)</f>
        <v>5758400</v>
      </c>
      <c r="J7196" s="536"/>
      <c r="K7196" s="824"/>
    </row>
    <row r="7197" spans="3:11" ht="25.8" customHeight="1">
      <c r="C7197" s="716" t="s">
        <v>1195</v>
      </c>
      <c r="D7197" s="716" t="s">
        <v>1196</v>
      </c>
      <c r="E7197" s="716" t="s">
        <v>1197</v>
      </c>
      <c r="F7197" s="716" t="s">
        <v>1198</v>
      </c>
      <c r="G7197" s="716" t="s">
        <v>1199</v>
      </c>
      <c r="H7197" s="716" t="s">
        <v>1200</v>
      </c>
    </row>
    <row r="7198" spans="3:11" ht="25.8" customHeight="1">
      <c r="C7198" s="213" t="s">
        <v>1201</v>
      </c>
      <c r="D7198" s="212" t="s">
        <v>1202</v>
      </c>
      <c r="E7198" s="534"/>
      <c r="F7198" s="534"/>
      <c r="G7198" s="534"/>
      <c r="H7198" s="534"/>
    </row>
    <row r="7199" spans="3:11" ht="25.8" customHeight="1">
      <c r="C7199" s="818">
        <v>1</v>
      </c>
      <c r="D7199" s="212" t="s">
        <v>5</v>
      </c>
      <c r="E7199" s="212" t="s">
        <v>6</v>
      </c>
      <c r="F7199" s="538">
        <v>0.25</v>
      </c>
      <c r="G7199" s="539">
        <f>VLOOKUP(D7199,upahbahan,3,FALSE)</f>
        <v>100000</v>
      </c>
      <c r="H7199" s="539">
        <f t="shared" ref="H7199:H7202" si="745">F7199*G7199</f>
        <v>25000</v>
      </c>
    </row>
    <row r="7200" spans="3:11" ht="25.8" customHeight="1">
      <c r="C7200" s="818">
        <v>2</v>
      </c>
      <c r="D7200" s="212" t="s">
        <v>17</v>
      </c>
      <c r="E7200" s="212" t="s">
        <v>6</v>
      </c>
      <c r="F7200" s="538">
        <v>0.41799999999999998</v>
      </c>
      <c r="G7200" s="539">
        <f>VLOOKUP(D7200,upahbahan,3,FALSE)</f>
        <v>135000</v>
      </c>
      <c r="H7200" s="539">
        <f t="shared" si="745"/>
        <v>56430</v>
      </c>
    </row>
    <row r="7201" spans="3:11" ht="25.8" customHeight="1">
      <c r="C7201" s="818">
        <v>3</v>
      </c>
      <c r="D7201" s="212" t="s">
        <v>1310</v>
      </c>
      <c r="E7201" s="212" t="s">
        <v>6</v>
      </c>
      <c r="F7201" s="538">
        <v>4.2000000000000003E-2</v>
      </c>
      <c r="G7201" s="539">
        <f>VLOOKUP(D7201,upahbahan,3,FALSE)</f>
        <v>150000</v>
      </c>
      <c r="H7201" s="539">
        <f t="shared" si="745"/>
        <v>6300</v>
      </c>
    </row>
    <row r="7202" spans="3:11" ht="25.8" customHeight="1">
      <c r="C7202" s="818">
        <v>4</v>
      </c>
      <c r="D7202" s="212" t="s">
        <v>19</v>
      </c>
      <c r="E7202" s="212" t="s">
        <v>6</v>
      </c>
      <c r="F7202" s="538">
        <v>1.4E-2</v>
      </c>
      <c r="G7202" s="539">
        <f>VLOOKUP(D7202,upahbahan,3,FALSE)</f>
        <v>160000</v>
      </c>
      <c r="H7202" s="539">
        <f t="shared" si="745"/>
        <v>2240</v>
      </c>
    </row>
    <row r="7203" spans="3:11" ht="25.8" customHeight="1">
      <c r="C7203" s="702" t="s">
        <v>1208</v>
      </c>
      <c r="D7203" s="208"/>
      <c r="E7203" s="208"/>
      <c r="F7203" s="811"/>
      <c r="G7203" s="522"/>
      <c r="H7203" s="539">
        <f>SUM(H7199:H7202)</f>
        <v>89970</v>
      </c>
      <c r="I7203" s="819"/>
    </row>
    <row r="7204" spans="3:11" ht="25.8" customHeight="1">
      <c r="C7204" s="213" t="s">
        <v>1209</v>
      </c>
      <c r="D7204" s="212" t="s">
        <v>1210</v>
      </c>
      <c r="E7204" s="534"/>
      <c r="F7204" s="831"/>
      <c r="G7204" s="534"/>
      <c r="H7204" s="534"/>
    </row>
    <row r="7205" spans="3:11" ht="25.8" customHeight="1">
      <c r="C7205" s="213">
        <v>1</v>
      </c>
      <c r="D7205" s="212" t="s">
        <v>6061</v>
      </c>
      <c r="E7205" s="234" t="s">
        <v>135</v>
      </c>
      <c r="F7205" s="866">
        <v>1.05</v>
      </c>
      <c r="G7205" s="539">
        <f>VLOOKUP(D7205,upahbahan,3,FALSE)</f>
        <v>4900000</v>
      </c>
      <c r="H7205" s="539">
        <f t="shared" ref="H7205" si="746">F7205*G7205</f>
        <v>5145000</v>
      </c>
    </row>
    <row r="7206" spans="3:11" ht="25.8" customHeight="1">
      <c r="C7206" s="702" t="s">
        <v>1214</v>
      </c>
      <c r="D7206" s="208"/>
      <c r="E7206" s="208" t="s">
        <v>6045</v>
      </c>
      <c r="F7206" s="208"/>
      <c r="G7206" s="209"/>
      <c r="H7206" s="539">
        <f>SUM(H7204:H7205)</f>
        <v>5145000</v>
      </c>
    </row>
    <row r="7207" spans="3:11" ht="25.8" customHeight="1">
      <c r="C7207" s="213" t="s">
        <v>1215</v>
      </c>
      <c r="D7207" s="212" t="s">
        <v>1216</v>
      </c>
      <c r="E7207" s="534"/>
      <c r="F7207" s="534"/>
      <c r="G7207" s="534"/>
      <c r="H7207" s="534"/>
    </row>
    <row r="7208" spans="3:11" ht="25.8" customHeight="1">
      <c r="C7208" s="702" t="s">
        <v>1217</v>
      </c>
      <c r="D7208" s="815"/>
      <c r="E7208" s="815"/>
      <c r="F7208" s="815"/>
      <c r="G7208" s="209"/>
      <c r="H7208" s="821">
        <f>SUM(H7207:H7207)</f>
        <v>0</v>
      </c>
    </row>
    <row r="7209" spans="3:11" ht="25.8" customHeight="1">
      <c r="C7209" s="566" t="s">
        <v>1218</v>
      </c>
      <c r="D7209" s="552" t="s">
        <v>1219</v>
      </c>
      <c r="E7209" s="553"/>
      <c r="F7209" s="553"/>
      <c r="G7209" s="554"/>
      <c r="H7209" s="826">
        <f>H7208+H7206+H7203</f>
        <v>5234970</v>
      </c>
      <c r="I7209" s="827"/>
    </row>
    <row r="7210" spans="3:11" ht="25.8" customHeight="1">
      <c r="C7210" s="566" t="s">
        <v>1220</v>
      </c>
      <c r="D7210" s="552" t="s">
        <v>1321</v>
      </c>
      <c r="E7210" s="553"/>
      <c r="F7210" s="554"/>
      <c r="G7210" s="555">
        <f>$M$9</f>
        <v>0.1</v>
      </c>
      <c r="H7210" s="539">
        <f>H7209*G7210</f>
        <v>523497</v>
      </c>
      <c r="I7210" s="827"/>
    </row>
    <row r="7211" spans="3:11" ht="25.8" customHeight="1">
      <c r="C7211" s="566" t="s">
        <v>1221</v>
      </c>
      <c r="D7211" s="552" t="s">
        <v>1222</v>
      </c>
      <c r="E7211" s="553"/>
      <c r="F7211" s="553"/>
      <c r="G7211" s="554"/>
      <c r="H7211" s="828">
        <f>SUM(H7209:H7210)</f>
        <v>5758467</v>
      </c>
      <c r="I7211" s="827"/>
    </row>
    <row r="7212" spans="3:11" ht="25.8" customHeight="1"/>
    <row r="7213" spans="3:11" ht="25.8" customHeight="1">
      <c r="C7213" s="513" t="s">
        <v>6053</v>
      </c>
      <c r="D7213" s="817" t="s">
        <v>6064</v>
      </c>
      <c r="E7213" s="803"/>
      <c r="F7213" s="803"/>
      <c r="G7213" s="803"/>
      <c r="H7213" s="803"/>
      <c r="I7213" s="533">
        <f>ROUNDDOWN(H7228,-2)</f>
        <v>6104900</v>
      </c>
      <c r="J7213" s="536"/>
      <c r="K7213" s="824"/>
    </row>
    <row r="7214" spans="3:11" ht="25.8" customHeight="1">
      <c r="C7214" s="716" t="s">
        <v>1195</v>
      </c>
      <c r="D7214" s="716" t="s">
        <v>1196</v>
      </c>
      <c r="E7214" s="716" t="s">
        <v>1197</v>
      </c>
      <c r="F7214" s="716" t="s">
        <v>1198</v>
      </c>
      <c r="G7214" s="716" t="s">
        <v>1199</v>
      </c>
      <c r="H7214" s="716" t="s">
        <v>1200</v>
      </c>
    </row>
    <row r="7215" spans="3:11" ht="25.8" customHeight="1">
      <c r="C7215" s="213" t="s">
        <v>1201</v>
      </c>
      <c r="D7215" s="212" t="s">
        <v>1202</v>
      </c>
      <c r="E7215" s="534"/>
      <c r="F7215" s="534"/>
      <c r="G7215" s="534"/>
      <c r="H7215" s="534"/>
    </row>
    <row r="7216" spans="3:11" ht="25.8" customHeight="1">
      <c r="C7216" s="818">
        <v>1</v>
      </c>
      <c r="D7216" s="212" t="s">
        <v>5</v>
      </c>
      <c r="E7216" s="212" t="s">
        <v>6</v>
      </c>
      <c r="F7216" s="538">
        <v>0.25</v>
      </c>
      <c r="G7216" s="539">
        <f>VLOOKUP(D7216,upahbahan,3,FALSE)</f>
        <v>100000</v>
      </c>
      <c r="H7216" s="539">
        <f t="shared" ref="H7216:H7219" si="747">F7216*G7216</f>
        <v>25000</v>
      </c>
    </row>
    <row r="7217" spans="3:11" ht="25.8" customHeight="1">
      <c r="C7217" s="818">
        <v>2</v>
      </c>
      <c r="D7217" s="212" t="s">
        <v>17</v>
      </c>
      <c r="E7217" s="212" t="s">
        <v>6</v>
      </c>
      <c r="F7217" s="538">
        <v>0.41799999999999998</v>
      </c>
      <c r="G7217" s="539">
        <f>VLOOKUP(D7217,upahbahan,3,FALSE)</f>
        <v>135000</v>
      </c>
      <c r="H7217" s="539">
        <f t="shared" si="747"/>
        <v>56430</v>
      </c>
    </row>
    <row r="7218" spans="3:11" ht="25.8" customHeight="1">
      <c r="C7218" s="818">
        <v>3</v>
      </c>
      <c r="D7218" s="212" t="s">
        <v>1310</v>
      </c>
      <c r="E7218" s="212" t="s">
        <v>6</v>
      </c>
      <c r="F7218" s="538">
        <v>4.2000000000000003E-2</v>
      </c>
      <c r="G7218" s="539">
        <f>VLOOKUP(D7218,upahbahan,3,FALSE)</f>
        <v>150000</v>
      </c>
      <c r="H7218" s="539">
        <f t="shared" si="747"/>
        <v>6300</v>
      </c>
    </row>
    <row r="7219" spans="3:11" ht="25.8" customHeight="1">
      <c r="C7219" s="818">
        <v>4</v>
      </c>
      <c r="D7219" s="212" t="s">
        <v>19</v>
      </c>
      <c r="E7219" s="212" t="s">
        <v>6</v>
      </c>
      <c r="F7219" s="538">
        <v>1.4E-2</v>
      </c>
      <c r="G7219" s="539">
        <f>VLOOKUP(D7219,upahbahan,3,FALSE)</f>
        <v>160000</v>
      </c>
      <c r="H7219" s="539">
        <f t="shared" si="747"/>
        <v>2240</v>
      </c>
    </row>
    <row r="7220" spans="3:11" ht="25.8" customHeight="1">
      <c r="C7220" s="702" t="s">
        <v>1208</v>
      </c>
      <c r="D7220" s="208"/>
      <c r="E7220" s="208"/>
      <c r="F7220" s="811"/>
      <c r="G7220" s="522"/>
      <c r="H7220" s="539">
        <f>SUM(H7216:H7219)</f>
        <v>89970</v>
      </c>
      <c r="I7220" s="819"/>
    </row>
    <row r="7221" spans="3:11" ht="25.8" customHeight="1">
      <c r="C7221" s="213" t="s">
        <v>1209</v>
      </c>
      <c r="D7221" s="212" t="s">
        <v>1210</v>
      </c>
      <c r="E7221" s="534"/>
      <c r="F7221" s="831"/>
      <c r="G7221" s="534"/>
      <c r="H7221" s="534"/>
    </row>
    <row r="7222" spans="3:11" ht="25.8" customHeight="1">
      <c r="C7222" s="213">
        <v>1</v>
      </c>
      <c r="D7222" s="212" t="s">
        <v>6062</v>
      </c>
      <c r="E7222" s="234" t="s">
        <v>135</v>
      </c>
      <c r="F7222" s="866">
        <v>1.05</v>
      </c>
      <c r="G7222" s="539">
        <f>VLOOKUP(D7222,upahbahan,3,FALSE)</f>
        <v>5200000</v>
      </c>
      <c r="H7222" s="539">
        <f t="shared" ref="H7222" si="748">F7222*G7222</f>
        <v>5460000</v>
      </c>
    </row>
    <row r="7223" spans="3:11" ht="25.8" customHeight="1">
      <c r="C7223" s="702" t="s">
        <v>1214</v>
      </c>
      <c r="D7223" s="208"/>
      <c r="E7223" s="208" t="s">
        <v>6045</v>
      </c>
      <c r="F7223" s="208"/>
      <c r="G7223" s="209"/>
      <c r="H7223" s="539">
        <f>SUM(H7221:H7222)</f>
        <v>5460000</v>
      </c>
    </row>
    <row r="7224" spans="3:11" ht="25.8" customHeight="1">
      <c r="C7224" s="213" t="s">
        <v>1215</v>
      </c>
      <c r="D7224" s="212" t="s">
        <v>1216</v>
      </c>
      <c r="E7224" s="534"/>
      <c r="F7224" s="534"/>
      <c r="G7224" s="534"/>
      <c r="H7224" s="534"/>
    </row>
    <row r="7225" spans="3:11" ht="25.8" customHeight="1">
      <c r="C7225" s="702" t="s">
        <v>1217</v>
      </c>
      <c r="D7225" s="815"/>
      <c r="E7225" s="815"/>
      <c r="F7225" s="815"/>
      <c r="G7225" s="209"/>
      <c r="H7225" s="821">
        <f>SUM(H7224:H7224)</f>
        <v>0</v>
      </c>
    </row>
    <row r="7226" spans="3:11" ht="25.8" customHeight="1">
      <c r="C7226" s="566" t="s">
        <v>1218</v>
      </c>
      <c r="D7226" s="552" t="s">
        <v>1219</v>
      </c>
      <c r="E7226" s="553"/>
      <c r="F7226" s="553"/>
      <c r="G7226" s="554"/>
      <c r="H7226" s="826">
        <f>H7225+H7223+H7220</f>
        <v>5549970</v>
      </c>
      <c r="I7226" s="827"/>
    </row>
    <row r="7227" spans="3:11" ht="25.8" customHeight="1">
      <c r="C7227" s="566" t="s">
        <v>1220</v>
      </c>
      <c r="D7227" s="552" t="s">
        <v>1321</v>
      </c>
      <c r="E7227" s="553"/>
      <c r="F7227" s="554"/>
      <c r="G7227" s="555">
        <f>$M$9</f>
        <v>0.1</v>
      </c>
      <c r="H7227" s="539">
        <f>H7226*G7227</f>
        <v>554997</v>
      </c>
      <c r="I7227" s="827"/>
    </row>
    <row r="7228" spans="3:11" ht="25.8" customHeight="1">
      <c r="C7228" s="566" t="s">
        <v>1221</v>
      </c>
      <c r="D7228" s="552" t="s">
        <v>1222</v>
      </c>
      <c r="E7228" s="553"/>
      <c r="F7228" s="553"/>
      <c r="G7228" s="554"/>
      <c r="H7228" s="828">
        <f>SUM(H7226:H7227)</f>
        <v>6104967</v>
      </c>
      <c r="I7228" s="827"/>
    </row>
    <row r="7229" spans="3:11" ht="25.8" customHeight="1"/>
    <row r="7230" spans="3:11" ht="25.8" customHeight="1"/>
    <row r="7231" spans="3:11" ht="25.8" customHeight="1">
      <c r="C7231" s="513" t="s">
        <v>6054</v>
      </c>
      <c r="D7231" s="817" t="s">
        <v>6063</v>
      </c>
      <c r="E7231" s="803"/>
      <c r="F7231" s="803"/>
      <c r="G7231" s="803"/>
      <c r="H7231" s="803"/>
      <c r="I7231" s="533">
        <f>ROUNDDOWN(H7246,-2)</f>
        <v>6682400</v>
      </c>
      <c r="J7231" s="536"/>
      <c r="K7231" s="824"/>
    </row>
    <row r="7232" spans="3:11" ht="25.8" customHeight="1">
      <c r="C7232" s="716" t="s">
        <v>1195</v>
      </c>
      <c r="D7232" s="716" t="s">
        <v>1196</v>
      </c>
      <c r="E7232" s="716" t="s">
        <v>1197</v>
      </c>
      <c r="F7232" s="716" t="s">
        <v>1198</v>
      </c>
      <c r="G7232" s="716" t="s">
        <v>1199</v>
      </c>
      <c r="H7232" s="716" t="s">
        <v>1200</v>
      </c>
    </row>
    <row r="7233" spans="3:11" ht="25.8" customHeight="1">
      <c r="C7233" s="213" t="s">
        <v>1201</v>
      </c>
      <c r="D7233" s="212" t="s">
        <v>1202</v>
      </c>
      <c r="E7233" s="534"/>
      <c r="F7233" s="534"/>
      <c r="G7233" s="534"/>
      <c r="H7233" s="534"/>
    </row>
    <row r="7234" spans="3:11" ht="25.8" customHeight="1">
      <c r="C7234" s="818">
        <v>1</v>
      </c>
      <c r="D7234" s="212" t="s">
        <v>5</v>
      </c>
      <c r="E7234" s="212" t="s">
        <v>6</v>
      </c>
      <c r="F7234" s="538">
        <v>0.25</v>
      </c>
      <c r="G7234" s="539">
        <f>VLOOKUP(D7234,upahbahan,3,FALSE)</f>
        <v>100000</v>
      </c>
      <c r="H7234" s="539">
        <f t="shared" ref="H7234:H7237" si="749">F7234*G7234</f>
        <v>25000</v>
      </c>
    </row>
    <row r="7235" spans="3:11" ht="25.8" customHeight="1">
      <c r="C7235" s="818">
        <v>2</v>
      </c>
      <c r="D7235" s="212" t="s">
        <v>17</v>
      </c>
      <c r="E7235" s="212" t="s">
        <v>6</v>
      </c>
      <c r="F7235" s="538">
        <v>0.41799999999999998</v>
      </c>
      <c r="G7235" s="539">
        <f>VLOOKUP(D7235,upahbahan,3,FALSE)</f>
        <v>135000</v>
      </c>
      <c r="H7235" s="539">
        <f t="shared" si="749"/>
        <v>56430</v>
      </c>
    </row>
    <row r="7236" spans="3:11" ht="25.8" customHeight="1">
      <c r="C7236" s="818">
        <v>3</v>
      </c>
      <c r="D7236" s="212" t="s">
        <v>1310</v>
      </c>
      <c r="E7236" s="212" t="s">
        <v>6</v>
      </c>
      <c r="F7236" s="538">
        <v>4.2000000000000003E-2</v>
      </c>
      <c r="G7236" s="539">
        <f>VLOOKUP(D7236,upahbahan,3,FALSE)</f>
        <v>150000</v>
      </c>
      <c r="H7236" s="539">
        <f t="shared" si="749"/>
        <v>6300</v>
      </c>
    </row>
    <row r="7237" spans="3:11" ht="25.8" customHeight="1">
      <c r="C7237" s="818">
        <v>4</v>
      </c>
      <c r="D7237" s="212" t="s">
        <v>19</v>
      </c>
      <c r="E7237" s="212" t="s">
        <v>6</v>
      </c>
      <c r="F7237" s="538">
        <v>1.4E-2</v>
      </c>
      <c r="G7237" s="539">
        <f>VLOOKUP(D7237,upahbahan,3,FALSE)</f>
        <v>160000</v>
      </c>
      <c r="H7237" s="539">
        <f t="shared" si="749"/>
        <v>2240</v>
      </c>
    </row>
    <row r="7238" spans="3:11" ht="25.8" customHeight="1">
      <c r="C7238" s="702" t="s">
        <v>1208</v>
      </c>
      <c r="D7238" s="208"/>
      <c r="E7238" s="208"/>
      <c r="F7238" s="811"/>
      <c r="G7238" s="522"/>
      <c r="H7238" s="539">
        <f>SUM(H7234:H7237)</f>
        <v>89970</v>
      </c>
      <c r="I7238" s="819"/>
    </row>
    <row r="7239" spans="3:11" ht="25.8" customHeight="1">
      <c r="C7239" s="213" t="s">
        <v>1209</v>
      </c>
      <c r="D7239" s="212" t="s">
        <v>1210</v>
      </c>
      <c r="E7239" s="534"/>
      <c r="F7239" s="831"/>
      <c r="G7239" s="534"/>
      <c r="H7239" s="534"/>
    </row>
    <row r="7240" spans="3:11" ht="25.8" customHeight="1">
      <c r="C7240" s="213">
        <v>1</v>
      </c>
      <c r="D7240" s="212" t="s">
        <v>6065</v>
      </c>
      <c r="E7240" s="234" t="s">
        <v>135</v>
      </c>
      <c r="F7240" s="866">
        <v>1.05</v>
      </c>
      <c r="G7240" s="539">
        <f>VLOOKUP(D7240,upahbahan,3,FALSE)</f>
        <v>5700000</v>
      </c>
      <c r="H7240" s="539">
        <f t="shared" ref="H7240" si="750">F7240*G7240</f>
        <v>5985000</v>
      </c>
    </row>
    <row r="7241" spans="3:11" ht="25.8" customHeight="1">
      <c r="C7241" s="702" t="s">
        <v>1214</v>
      </c>
      <c r="D7241" s="208"/>
      <c r="E7241" s="208" t="s">
        <v>6045</v>
      </c>
      <c r="F7241" s="208"/>
      <c r="G7241" s="209"/>
      <c r="H7241" s="539">
        <f>SUM(H7239:H7240)</f>
        <v>5985000</v>
      </c>
    </row>
    <row r="7242" spans="3:11" ht="25.8" customHeight="1">
      <c r="C7242" s="213" t="s">
        <v>1215</v>
      </c>
      <c r="D7242" s="212" t="s">
        <v>1216</v>
      </c>
      <c r="E7242" s="534"/>
      <c r="F7242" s="534"/>
      <c r="G7242" s="534"/>
      <c r="H7242" s="534"/>
    </row>
    <row r="7243" spans="3:11" ht="25.8" customHeight="1">
      <c r="C7243" s="702" t="s">
        <v>1217</v>
      </c>
      <c r="D7243" s="815"/>
      <c r="E7243" s="815"/>
      <c r="F7243" s="815"/>
      <c r="G7243" s="209"/>
      <c r="H7243" s="821">
        <f>SUM(H7242:H7242)</f>
        <v>0</v>
      </c>
    </row>
    <row r="7244" spans="3:11" ht="25.8" customHeight="1">
      <c r="C7244" s="566" t="s">
        <v>1218</v>
      </c>
      <c r="D7244" s="552" t="s">
        <v>1219</v>
      </c>
      <c r="E7244" s="553"/>
      <c r="F7244" s="553"/>
      <c r="G7244" s="554"/>
      <c r="H7244" s="826">
        <f>H7243+H7241+H7238</f>
        <v>6074970</v>
      </c>
      <c r="I7244" s="827"/>
    </row>
    <row r="7245" spans="3:11" ht="25.8" customHeight="1">
      <c r="C7245" s="566" t="s">
        <v>1220</v>
      </c>
      <c r="D7245" s="552" t="s">
        <v>1321</v>
      </c>
      <c r="E7245" s="553"/>
      <c r="F7245" s="554"/>
      <c r="G7245" s="555">
        <f>$M$9</f>
        <v>0.1</v>
      </c>
      <c r="H7245" s="539">
        <f>H7244*G7245</f>
        <v>607497</v>
      </c>
      <c r="I7245" s="827"/>
    </row>
    <row r="7246" spans="3:11" ht="25.8" customHeight="1">
      <c r="C7246" s="566" t="s">
        <v>1221</v>
      </c>
      <c r="D7246" s="552" t="s">
        <v>1222</v>
      </c>
      <c r="E7246" s="553"/>
      <c r="F7246" s="553"/>
      <c r="G7246" s="554"/>
      <c r="H7246" s="828">
        <f>SUM(H7244:H7245)</f>
        <v>6682467</v>
      </c>
      <c r="I7246" s="827"/>
    </row>
    <row r="7247" spans="3:11" ht="25.8" customHeight="1"/>
    <row r="7248" spans="3:11" ht="25.8" customHeight="1">
      <c r="C7248" s="513" t="s">
        <v>6055</v>
      </c>
      <c r="D7248" s="817" t="s">
        <v>6066</v>
      </c>
      <c r="E7248" s="803"/>
      <c r="F7248" s="803"/>
      <c r="G7248" s="803"/>
      <c r="H7248" s="803"/>
      <c r="I7248" s="533">
        <f>ROUNDDOWN(H7263,-2)</f>
        <v>29700</v>
      </c>
      <c r="J7248" s="536"/>
      <c r="K7248" s="824"/>
    </row>
    <row r="7249" spans="3:9" ht="25.8" customHeight="1">
      <c r="C7249" s="716" t="s">
        <v>1195</v>
      </c>
      <c r="D7249" s="716" t="s">
        <v>1196</v>
      </c>
      <c r="E7249" s="716" t="s">
        <v>1197</v>
      </c>
      <c r="F7249" s="716" t="s">
        <v>1198</v>
      </c>
      <c r="G7249" s="716" t="s">
        <v>1199</v>
      </c>
      <c r="H7249" s="716" t="s">
        <v>1200</v>
      </c>
    </row>
    <row r="7250" spans="3:9" ht="25.8" customHeight="1">
      <c r="C7250" s="213" t="s">
        <v>1201</v>
      </c>
      <c r="D7250" s="212" t="s">
        <v>1202</v>
      </c>
      <c r="E7250" s="534"/>
      <c r="F7250" s="534"/>
      <c r="G7250" s="534"/>
      <c r="H7250" s="534"/>
    </row>
    <row r="7251" spans="3:9" ht="25.8" customHeight="1">
      <c r="C7251" s="818">
        <v>1</v>
      </c>
      <c r="D7251" s="212" t="s">
        <v>5</v>
      </c>
      <c r="E7251" s="212" t="s">
        <v>6</v>
      </c>
      <c r="F7251" s="538">
        <v>1.7000000000000001E-2</v>
      </c>
      <c r="G7251" s="539">
        <f>VLOOKUP(D7251,upahbahan,3,FALSE)</f>
        <v>100000</v>
      </c>
      <c r="H7251" s="539">
        <f t="shared" ref="H7251:H7254" si="751">F7251*G7251</f>
        <v>1700.0000000000002</v>
      </c>
    </row>
    <row r="7252" spans="3:9" ht="25.8" customHeight="1">
      <c r="C7252" s="818">
        <v>2</v>
      </c>
      <c r="D7252" s="212" t="s">
        <v>17</v>
      </c>
      <c r="E7252" s="212" t="s">
        <v>6</v>
      </c>
      <c r="F7252" s="538">
        <v>2.8000000000000001E-2</v>
      </c>
      <c r="G7252" s="539">
        <f>VLOOKUP(D7252,upahbahan,3,FALSE)</f>
        <v>135000</v>
      </c>
      <c r="H7252" s="539">
        <f t="shared" si="751"/>
        <v>3780</v>
      </c>
    </row>
    <row r="7253" spans="3:9" ht="25.8" customHeight="1">
      <c r="C7253" s="818">
        <v>3</v>
      </c>
      <c r="D7253" s="212" t="s">
        <v>1310</v>
      </c>
      <c r="E7253" s="212" t="s">
        <v>6</v>
      </c>
      <c r="F7253" s="538">
        <v>3.0000000000000001E-3</v>
      </c>
      <c r="G7253" s="539">
        <f>VLOOKUP(D7253,upahbahan,3,FALSE)</f>
        <v>150000</v>
      </c>
      <c r="H7253" s="539">
        <f t="shared" si="751"/>
        <v>450</v>
      </c>
    </row>
    <row r="7254" spans="3:9" ht="25.8" customHeight="1">
      <c r="C7254" s="818">
        <v>4</v>
      </c>
      <c r="D7254" s="212" t="s">
        <v>19</v>
      </c>
      <c r="E7254" s="212" t="s">
        <v>6</v>
      </c>
      <c r="F7254" s="538">
        <v>1E-3</v>
      </c>
      <c r="G7254" s="539">
        <f>VLOOKUP(D7254,upahbahan,3,FALSE)</f>
        <v>160000</v>
      </c>
      <c r="H7254" s="539">
        <f t="shared" si="751"/>
        <v>160</v>
      </c>
    </row>
    <row r="7255" spans="3:9" ht="25.8" customHeight="1">
      <c r="C7255" s="702" t="s">
        <v>1208</v>
      </c>
      <c r="D7255" s="208"/>
      <c r="E7255" s="208"/>
      <c r="F7255" s="811"/>
      <c r="G7255" s="522"/>
      <c r="H7255" s="539">
        <f>SUM(H7251:H7254)</f>
        <v>6090</v>
      </c>
      <c r="I7255" s="819"/>
    </row>
    <row r="7256" spans="3:9" ht="25.8" customHeight="1">
      <c r="C7256" s="213" t="s">
        <v>1209</v>
      </c>
      <c r="D7256" s="212" t="s">
        <v>1210</v>
      </c>
      <c r="E7256" s="534"/>
      <c r="F7256" s="831"/>
      <c r="G7256" s="534"/>
      <c r="H7256" s="534"/>
    </row>
    <row r="7257" spans="3:9" ht="25.8" customHeight="1">
      <c r="C7257" s="213">
        <v>1</v>
      </c>
      <c r="D7257" s="212" t="s">
        <v>6067</v>
      </c>
      <c r="E7257" s="234" t="s">
        <v>135</v>
      </c>
      <c r="F7257" s="866">
        <v>1.05</v>
      </c>
      <c r="G7257" s="539">
        <f>VLOOKUP(D7257,upahbahan,3,FALSE)</f>
        <v>20000</v>
      </c>
      <c r="H7257" s="539">
        <f t="shared" ref="H7257" si="752">F7257*G7257</f>
        <v>21000</v>
      </c>
    </row>
    <row r="7258" spans="3:9" ht="25.8" customHeight="1">
      <c r="C7258" s="702" t="s">
        <v>1214</v>
      </c>
      <c r="D7258" s="208"/>
      <c r="E7258" s="208" t="s">
        <v>6045</v>
      </c>
      <c r="F7258" s="208"/>
      <c r="G7258" s="209"/>
      <c r="H7258" s="539">
        <f>SUM(H7256:H7257)</f>
        <v>21000</v>
      </c>
    </row>
    <row r="7259" spans="3:9" ht="25.8" customHeight="1">
      <c r="C7259" s="213" t="s">
        <v>1215</v>
      </c>
      <c r="D7259" s="212" t="s">
        <v>1216</v>
      </c>
      <c r="E7259" s="534"/>
      <c r="F7259" s="534"/>
      <c r="G7259" s="534"/>
      <c r="H7259" s="534"/>
    </row>
    <row r="7260" spans="3:9" ht="25.8" customHeight="1">
      <c r="C7260" s="702" t="s">
        <v>1217</v>
      </c>
      <c r="D7260" s="815"/>
      <c r="E7260" s="815"/>
      <c r="F7260" s="815"/>
      <c r="G7260" s="209"/>
      <c r="H7260" s="821">
        <f>SUM(H7259:H7259)</f>
        <v>0</v>
      </c>
    </row>
    <row r="7261" spans="3:9" ht="25.8" customHeight="1">
      <c r="C7261" s="566" t="s">
        <v>1218</v>
      </c>
      <c r="D7261" s="552" t="s">
        <v>1219</v>
      </c>
      <c r="E7261" s="553"/>
      <c r="F7261" s="553"/>
      <c r="G7261" s="554"/>
      <c r="H7261" s="826">
        <f>H7260+H7258+H7255</f>
        <v>27090</v>
      </c>
      <c r="I7261" s="827"/>
    </row>
    <row r="7262" spans="3:9" ht="25.8" customHeight="1">
      <c r="C7262" s="566" t="s">
        <v>1220</v>
      </c>
      <c r="D7262" s="552" t="s">
        <v>1321</v>
      </c>
      <c r="E7262" s="553"/>
      <c r="F7262" s="554"/>
      <c r="G7262" s="555">
        <f>$M$9</f>
        <v>0.1</v>
      </c>
      <c r="H7262" s="539">
        <f>H7261*G7262</f>
        <v>2709</v>
      </c>
      <c r="I7262" s="827"/>
    </row>
    <row r="7263" spans="3:9" ht="25.8" customHeight="1">
      <c r="C7263" s="566" t="s">
        <v>1221</v>
      </c>
      <c r="D7263" s="552" t="s">
        <v>1222</v>
      </c>
      <c r="E7263" s="553"/>
      <c r="F7263" s="553"/>
      <c r="G7263" s="554"/>
      <c r="H7263" s="828">
        <f>SUM(H7261:H7262)</f>
        <v>29799</v>
      </c>
      <c r="I7263" s="827"/>
    </row>
    <row r="7264" spans="3:9" ht="25.8" customHeight="1"/>
    <row r="7265" spans="3:11" ht="25.8" customHeight="1">
      <c r="C7265" s="571" t="s">
        <v>6068</v>
      </c>
      <c r="D7265" s="571" t="s">
        <v>6069</v>
      </c>
    </row>
    <row r="7266" spans="3:11" ht="25.8" customHeight="1">
      <c r="C7266" s="513" t="s">
        <v>6070</v>
      </c>
      <c r="D7266" s="817" t="s">
        <v>6071</v>
      </c>
      <c r="E7266" s="803"/>
      <c r="F7266" s="803"/>
      <c r="G7266" s="803"/>
      <c r="H7266" s="803"/>
      <c r="I7266" s="533">
        <f>ROUNDDOWN(H7281,-2)</f>
        <v>1877600</v>
      </c>
      <c r="J7266" s="536"/>
      <c r="K7266" s="824"/>
    </row>
    <row r="7267" spans="3:11" ht="25.8" customHeight="1">
      <c r="C7267" s="716" t="s">
        <v>1195</v>
      </c>
      <c r="D7267" s="716" t="s">
        <v>1196</v>
      </c>
      <c r="E7267" s="716" t="s">
        <v>1197</v>
      </c>
      <c r="F7267" s="716" t="s">
        <v>1198</v>
      </c>
      <c r="G7267" s="716" t="s">
        <v>1199</v>
      </c>
      <c r="H7267" s="716" t="s">
        <v>1200</v>
      </c>
    </row>
    <row r="7268" spans="3:11" ht="25.8" customHeight="1">
      <c r="C7268" s="213" t="s">
        <v>1201</v>
      </c>
      <c r="D7268" s="212" t="s">
        <v>1202</v>
      </c>
      <c r="E7268" s="534"/>
      <c r="F7268" s="534"/>
      <c r="G7268" s="534"/>
      <c r="H7268" s="534"/>
    </row>
    <row r="7269" spans="3:11" ht="25.8" customHeight="1">
      <c r="C7269" s="818">
        <v>1</v>
      </c>
      <c r="D7269" s="212" t="s">
        <v>5</v>
      </c>
      <c r="E7269" s="212" t="s">
        <v>6</v>
      </c>
      <c r="F7269" s="538">
        <v>0.25</v>
      </c>
      <c r="G7269" s="539">
        <f>VLOOKUP(D7269,upahbahan,3,FALSE)</f>
        <v>100000</v>
      </c>
      <c r="H7269" s="539">
        <f t="shared" ref="H7269:H7272" si="753">F7269*G7269</f>
        <v>25000</v>
      </c>
    </row>
    <row r="7270" spans="3:11" ht="25.8" customHeight="1">
      <c r="C7270" s="818">
        <v>2</v>
      </c>
      <c r="D7270" s="212" t="s">
        <v>17</v>
      </c>
      <c r="E7270" s="212" t="s">
        <v>6</v>
      </c>
      <c r="F7270" s="538">
        <v>0.41799999999999998</v>
      </c>
      <c r="G7270" s="539">
        <f>VLOOKUP(D7270,upahbahan,3,FALSE)</f>
        <v>135000</v>
      </c>
      <c r="H7270" s="539">
        <f t="shared" si="753"/>
        <v>56430</v>
      </c>
    </row>
    <row r="7271" spans="3:11" ht="25.8" customHeight="1">
      <c r="C7271" s="818">
        <v>3</v>
      </c>
      <c r="D7271" s="212" t="s">
        <v>1310</v>
      </c>
      <c r="E7271" s="212" t="s">
        <v>6</v>
      </c>
      <c r="F7271" s="538">
        <v>4.2000000000000003E-2</v>
      </c>
      <c r="G7271" s="539">
        <f>VLOOKUP(D7271,upahbahan,3,FALSE)</f>
        <v>150000</v>
      </c>
      <c r="H7271" s="539">
        <f t="shared" si="753"/>
        <v>6300</v>
      </c>
    </row>
    <row r="7272" spans="3:11" ht="25.8" customHeight="1">
      <c r="C7272" s="818">
        <v>4</v>
      </c>
      <c r="D7272" s="212" t="s">
        <v>19</v>
      </c>
      <c r="E7272" s="212" t="s">
        <v>6</v>
      </c>
      <c r="F7272" s="538">
        <v>1.4E-2</v>
      </c>
      <c r="G7272" s="539">
        <f>VLOOKUP(D7272,upahbahan,3,FALSE)</f>
        <v>160000</v>
      </c>
      <c r="H7272" s="539">
        <f t="shared" si="753"/>
        <v>2240</v>
      </c>
    </row>
    <row r="7273" spans="3:11" ht="25.8" customHeight="1">
      <c r="C7273" s="702" t="s">
        <v>1208</v>
      </c>
      <c r="D7273" s="208"/>
      <c r="E7273" s="208"/>
      <c r="F7273" s="811"/>
      <c r="G7273" s="522"/>
      <c r="H7273" s="539">
        <f>SUM(H7269:H7272)</f>
        <v>89970</v>
      </c>
      <c r="I7273" s="819"/>
    </row>
    <row r="7274" spans="3:11" ht="25.8" customHeight="1">
      <c r="C7274" s="213" t="s">
        <v>1209</v>
      </c>
      <c r="D7274" s="212" t="s">
        <v>1210</v>
      </c>
      <c r="E7274" s="534"/>
      <c r="F7274" s="831"/>
      <c r="G7274" s="534"/>
      <c r="H7274" s="534"/>
    </row>
    <row r="7275" spans="3:11" ht="25.8" customHeight="1">
      <c r="C7275" s="213">
        <v>1</v>
      </c>
      <c r="D7275" s="212" t="s">
        <v>6072</v>
      </c>
      <c r="E7275" s="234" t="s">
        <v>135</v>
      </c>
      <c r="F7275" s="866">
        <v>1.05</v>
      </c>
      <c r="G7275" s="539">
        <f>VLOOKUP(D7275,upahbahan,3,FALSE)</f>
        <v>1540000</v>
      </c>
      <c r="H7275" s="539">
        <f t="shared" ref="H7275" si="754">F7275*G7275</f>
        <v>1617000</v>
      </c>
    </row>
    <row r="7276" spans="3:11" ht="25.8" customHeight="1">
      <c r="C7276" s="702" t="s">
        <v>1214</v>
      </c>
      <c r="D7276" s="208"/>
      <c r="E7276" s="208" t="s">
        <v>6045</v>
      </c>
      <c r="F7276" s="208"/>
      <c r="G7276" s="209"/>
      <c r="H7276" s="539">
        <f>SUM(H7274:H7275)</f>
        <v>1617000</v>
      </c>
    </row>
    <row r="7277" spans="3:11" ht="25.8" customHeight="1">
      <c r="C7277" s="213" t="s">
        <v>1215</v>
      </c>
      <c r="D7277" s="212" t="s">
        <v>1216</v>
      </c>
      <c r="E7277" s="534"/>
      <c r="F7277" s="534"/>
      <c r="G7277" s="534"/>
      <c r="H7277" s="534"/>
    </row>
    <row r="7278" spans="3:11" ht="25.8" customHeight="1">
      <c r="C7278" s="702" t="s">
        <v>1217</v>
      </c>
      <c r="D7278" s="815"/>
      <c r="E7278" s="815"/>
      <c r="F7278" s="815"/>
      <c r="G7278" s="209"/>
      <c r="H7278" s="821">
        <f>SUM(H7277:H7277)</f>
        <v>0</v>
      </c>
    </row>
    <row r="7279" spans="3:11" ht="25.8" customHeight="1">
      <c r="C7279" s="566" t="s">
        <v>1218</v>
      </c>
      <c r="D7279" s="552" t="s">
        <v>1219</v>
      </c>
      <c r="E7279" s="553"/>
      <c r="F7279" s="553"/>
      <c r="G7279" s="554"/>
      <c r="H7279" s="826">
        <f>H7278+H7276+H7273</f>
        <v>1706970</v>
      </c>
      <c r="I7279" s="827"/>
    </row>
    <row r="7280" spans="3:11" ht="25.8" customHeight="1">
      <c r="C7280" s="566" t="s">
        <v>1220</v>
      </c>
      <c r="D7280" s="552" t="s">
        <v>1321</v>
      </c>
      <c r="E7280" s="553"/>
      <c r="F7280" s="554"/>
      <c r="G7280" s="555">
        <f>$M$9</f>
        <v>0.1</v>
      </c>
      <c r="H7280" s="539">
        <f>H7279*G7280</f>
        <v>170697</v>
      </c>
      <c r="I7280" s="827"/>
    </row>
    <row r="7281" spans="3:11" ht="25.8" customHeight="1">
      <c r="C7281" s="566" t="s">
        <v>1221</v>
      </c>
      <c r="D7281" s="552" t="s">
        <v>1222</v>
      </c>
      <c r="E7281" s="553"/>
      <c r="F7281" s="553"/>
      <c r="G7281" s="554"/>
      <c r="H7281" s="828">
        <f>SUM(H7279:H7280)</f>
        <v>1877667</v>
      </c>
      <c r="I7281" s="827"/>
    </row>
    <row r="7282" spans="3:11" ht="25.8" customHeight="1"/>
    <row r="7283" spans="3:11" ht="25.8" customHeight="1">
      <c r="C7283" s="513" t="s">
        <v>6073</v>
      </c>
      <c r="D7283" s="817" t="s">
        <v>6074</v>
      </c>
      <c r="E7283" s="803"/>
      <c r="F7283" s="803"/>
      <c r="G7283" s="803"/>
      <c r="H7283" s="803"/>
      <c r="I7283" s="533">
        <f>ROUNDDOWN(H7298,-2)</f>
        <v>176900</v>
      </c>
      <c r="J7283" s="536"/>
      <c r="K7283" s="824"/>
    </row>
    <row r="7284" spans="3:11" ht="25.8" customHeight="1">
      <c r="C7284" s="716" t="s">
        <v>1195</v>
      </c>
      <c r="D7284" s="716" t="s">
        <v>1196</v>
      </c>
      <c r="E7284" s="716" t="s">
        <v>1197</v>
      </c>
      <c r="F7284" s="716" t="s">
        <v>1198</v>
      </c>
      <c r="G7284" s="716" t="s">
        <v>1199</v>
      </c>
      <c r="H7284" s="716" t="s">
        <v>1200</v>
      </c>
    </row>
    <row r="7285" spans="3:11" ht="25.8" customHeight="1">
      <c r="C7285" s="213" t="s">
        <v>1201</v>
      </c>
      <c r="D7285" s="212" t="s">
        <v>1202</v>
      </c>
      <c r="E7285" s="534"/>
      <c r="F7285" s="534"/>
      <c r="G7285" s="534"/>
      <c r="H7285" s="534"/>
    </row>
    <row r="7286" spans="3:11" ht="25.8" customHeight="1">
      <c r="C7286" s="818">
        <v>1</v>
      </c>
      <c r="D7286" s="212" t="s">
        <v>5</v>
      </c>
      <c r="E7286" s="212" t="s">
        <v>6</v>
      </c>
      <c r="F7286" s="538">
        <v>0.126</v>
      </c>
      <c r="G7286" s="539">
        <f>VLOOKUP(D7286,upahbahan,3,FALSE)</f>
        <v>100000</v>
      </c>
      <c r="H7286" s="539">
        <f t="shared" ref="H7286:H7289" si="755">F7286*G7286</f>
        <v>12600</v>
      </c>
    </row>
    <row r="7287" spans="3:11" ht="25.8" customHeight="1">
      <c r="C7287" s="818">
        <v>2</v>
      </c>
      <c r="D7287" s="212" t="s">
        <v>17</v>
      </c>
      <c r="E7287" s="212" t="s">
        <v>6</v>
      </c>
      <c r="F7287" s="538">
        <v>0.21099999999999999</v>
      </c>
      <c r="G7287" s="539">
        <f>VLOOKUP(D7287,upahbahan,3,FALSE)</f>
        <v>135000</v>
      </c>
      <c r="H7287" s="539">
        <f t="shared" si="755"/>
        <v>28485</v>
      </c>
    </row>
    <row r="7288" spans="3:11" ht="25.8" customHeight="1">
      <c r="C7288" s="818">
        <v>3</v>
      </c>
      <c r="D7288" s="212" t="s">
        <v>1310</v>
      </c>
      <c r="E7288" s="212" t="s">
        <v>6</v>
      </c>
      <c r="F7288" s="538">
        <v>2.1000000000000001E-2</v>
      </c>
      <c r="G7288" s="539">
        <f>VLOOKUP(D7288,upahbahan,3,FALSE)</f>
        <v>150000</v>
      </c>
      <c r="H7288" s="539">
        <f t="shared" si="755"/>
        <v>3150</v>
      </c>
    </row>
    <row r="7289" spans="3:11" ht="25.8" customHeight="1">
      <c r="C7289" s="818">
        <v>4</v>
      </c>
      <c r="D7289" s="212" t="s">
        <v>19</v>
      </c>
      <c r="E7289" s="212" t="s">
        <v>6</v>
      </c>
      <c r="F7289" s="538">
        <v>7.0000000000000001E-3</v>
      </c>
      <c r="G7289" s="539">
        <f>VLOOKUP(D7289,upahbahan,3,FALSE)</f>
        <v>160000</v>
      </c>
      <c r="H7289" s="539">
        <f t="shared" si="755"/>
        <v>1120</v>
      </c>
    </row>
    <row r="7290" spans="3:11" ht="25.8" customHeight="1">
      <c r="C7290" s="702" t="s">
        <v>1208</v>
      </c>
      <c r="D7290" s="208"/>
      <c r="E7290" s="208"/>
      <c r="F7290" s="811"/>
      <c r="G7290" s="522"/>
      <c r="H7290" s="539">
        <f>SUM(H7286:H7289)</f>
        <v>45355</v>
      </c>
      <c r="I7290" s="819"/>
    </row>
    <row r="7291" spans="3:11" ht="25.8" customHeight="1">
      <c r="C7291" s="213" t="s">
        <v>1209</v>
      </c>
      <c r="D7291" s="212" t="s">
        <v>1210</v>
      </c>
      <c r="E7291" s="534"/>
      <c r="F7291" s="831"/>
      <c r="G7291" s="534"/>
      <c r="H7291" s="534"/>
    </row>
    <row r="7292" spans="3:11" ht="25.8" customHeight="1">
      <c r="C7292" s="213">
        <v>1</v>
      </c>
      <c r="D7292" s="212" t="s">
        <v>6075</v>
      </c>
      <c r="E7292" s="234" t="s">
        <v>135</v>
      </c>
      <c r="F7292" s="866">
        <v>1.05</v>
      </c>
      <c r="G7292" s="539">
        <f>VLOOKUP(D7292,upahbahan,3,FALSE)</f>
        <v>110000</v>
      </c>
      <c r="H7292" s="539">
        <f t="shared" ref="H7292" si="756">F7292*G7292</f>
        <v>115500</v>
      </c>
    </row>
    <row r="7293" spans="3:11" ht="25.8" customHeight="1">
      <c r="C7293" s="702" t="s">
        <v>1214</v>
      </c>
      <c r="D7293" s="208"/>
      <c r="E7293" s="208" t="s">
        <v>6045</v>
      </c>
      <c r="F7293" s="208"/>
      <c r="G7293" s="209"/>
      <c r="H7293" s="539">
        <f>SUM(H7291:H7292)</f>
        <v>115500</v>
      </c>
    </row>
    <row r="7294" spans="3:11" ht="25.8" customHeight="1">
      <c r="C7294" s="213" t="s">
        <v>1215</v>
      </c>
      <c r="D7294" s="212" t="s">
        <v>1216</v>
      </c>
      <c r="E7294" s="534"/>
      <c r="F7294" s="534"/>
      <c r="G7294" s="534"/>
      <c r="H7294" s="534"/>
    </row>
    <row r="7295" spans="3:11" ht="25.8" customHeight="1">
      <c r="C7295" s="702" t="s">
        <v>1217</v>
      </c>
      <c r="D7295" s="815"/>
      <c r="E7295" s="815"/>
      <c r="F7295" s="815"/>
      <c r="G7295" s="209"/>
      <c r="H7295" s="821">
        <f>SUM(H7294:H7294)</f>
        <v>0</v>
      </c>
    </row>
    <row r="7296" spans="3:11" ht="25.8" customHeight="1">
      <c r="C7296" s="566" t="s">
        <v>1218</v>
      </c>
      <c r="D7296" s="552" t="s">
        <v>1219</v>
      </c>
      <c r="E7296" s="553"/>
      <c r="F7296" s="553"/>
      <c r="G7296" s="554"/>
      <c r="H7296" s="826">
        <f>H7295+H7293+H7290</f>
        <v>160855</v>
      </c>
      <c r="I7296" s="827"/>
    </row>
    <row r="7297" spans="3:11" ht="25.8" customHeight="1">
      <c r="C7297" s="566" t="s">
        <v>1220</v>
      </c>
      <c r="D7297" s="552" t="s">
        <v>1321</v>
      </c>
      <c r="E7297" s="553"/>
      <c r="F7297" s="554"/>
      <c r="G7297" s="555">
        <f>$M$9</f>
        <v>0.1</v>
      </c>
      <c r="H7297" s="539">
        <f>H7296*G7297</f>
        <v>16085.5</v>
      </c>
      <c r="I7297" s="827"/>
    </row>
    <row r="7298" spans="3:11" ht="25.8" customHeight="1">
      <c r="C7298" s="566" t="s">
        <v>1221</v>
      </c>
      <c r="D7298" s="552" t="s">
        <v>1222</v>
      </c>
      <c r="E7298" s="553"/>
      <c r="F7298" s="553"/>
      <c r="G7298" s="554"/>
      <c r="H7298" s="828">
        <f>SUM(H7296:H7297)</f>
        <v>176940.5</v>
      </c>
      <c r="I7298" s="827"/>
    </row>
    <row r="7299" spans="3:11" ht="25.8" customHeight="1"/>
    <row r="7300" spans="3:11" ht="25.8" customHeight="1"/>
    <row r="7301" spans="3:11" ht="25.8" customHeight="1">
      <c r="C7301" s="513" t="s">
        <v>6076</v>
      </c>
      <c r="D7301" s="817" t="s">
        <v>6077</v>
      </c>
      <c r="E7301" s="803"/>
      <c r="F7301" s="803"/>
      <c r="G7301" s="803"/>
      <c r="H7301" s="803"/>
      <c r="I7301" s="533">
        <f>ROUNDDOWN(H7316,-2)</f>
        <v>623700</v>
      </c>
      <c r="J7301" s="536"/>
      <c r="K7301" s="824"/>
    </row>
    <row r="7302" spans="3:11" ht="25.8" customHeight="1">
      <c r="C7302" s="716" t="s">
        <v>1195</v>
      </c>
      <c r="D7302" s="716" t="s">
        <v>1196</v>
      </c>
      <c r="E7302" s="716" t="s">
        <v>1197</v>
      </c>
      <c r="F7302" s="716" t="s">
        <v>1198</v>
      </c>
      <c r="G7302" s="716" t="s">
        <v>1199</v>
      </c>
      <c r="H7302" s="716" t="s">
        <v>1200</v>
      </c>
    </row>
    <row r="7303" spans="3:11" ht="25.8" customHeight="1">
      <c r="C7303" s="213" t="s">
        <v>1201</v>
      </c>
      <c r="D7303" s="212" t="s">
        <v>1202</v>
      </c>
      <c r="E7303" s="534"/>
      <c r="F7303" s="534"/>
      <c r="G7303" s="534"/>
      <c r="H7303" s="534"/>
    </row>
    <row r="7304" spans="3:11" ht="25.8" customHeight="1">
      <c r="C7304" s="818">
        <v>1</v>
      </c>
      <c r="D7304" s="212" t="s">
        <v>5</v>
      </c>
      <c r="E7304" s="212" t="s">
        <v>6</v>
      </c>
      <c r="F7304" s="538">
        <v>0.76200000000000001</v>
      </c>
      <c r="G7304" s="539">
        <f>VLOOKUP(D7304,upahbahan,3,FALSE)</f>
        <v>100000</v>
      </c>
      <c r="H7304" s="539">
        <f t="shared" ref="H7304:H7307" si="757">F7304*G7304</f>
        <v>76200</v>
      </c>
    </row>
    <row r="7305" spans="3:11" ht="25.8" customHeight="1">
      <c r="C7305" s="818">
        <v>2</v>
      </c>
      <c r="D7305" s="212" t="s">
        <v>17</v>
      </c>
      <c r="E7305" s="212" t="s">
        <v>6</v>
      </c>
      <c r="F7305" s="538">
        <v>1.272</v>
      </c>
      <c r="G7305" s="539">
        <f>VLOOKUP(D7305,upahbahan,3,FALSE)</f>
        <v>135000</v>
      </c>
      <c r="H7305" s="539">
        <f t="shared" si="757"/>
        <v>171720</v>
      </c>
    </row>
    <row r="7306" spans="3:11" ht="25.8" customHeight="1">
      <c r="C7306" s="818">
        <v>3</v>
      </c>
      <c r="D7306" s="212" t="s">
        <v>1310</v>
      </c>
      <c r="E7306" s="212" t="s">
        <v>6</v>
      </c>
      <c r="F7306" s="538">
        <v>0.17199999999999999</v>
      </c>
      <c r="G7306" s="539">
        <f>VLOOKUP(D7306,upahbahan,3,FALSE)</f>
        <v>150000</v>
      </c>
      <c r="H7306" s="539">
        <f t="shared" si="757"/>
        <v>25799.999999999996</v>
      </c>
    </row>
    <row r="7307" spans="3:11" ht="25.8" customHeight="1">
      <c r="C7307" s="818">
        <v>4</v>
      </c>
      <c r="D7307" s="212" t="s">
        <v>19</v>
      </c>
      <c r="E7307" s="212" t="s">
        <v>6</v>
      </c>
      <c r="F7307" s="538">
        <v>4.2000000000000003E-2</v>
      </c>
      <c r="G7307" s="539">
        <f>VLOOKUP(D7307,upahbahan,3,FALSE)</f>
        <v>160000</v>
      </c>
      <c r="H7307" s="539">
        <f t="shared" si="757"/>
        <v>6720</v>
      </c>
    </row>
    <row r="7308" spans="3:11" ht="25.8" customHeight="1">
      <c r="C7308" s="702" t="s">
        <v>1208</v>
      </c>
      <c r="D7308" s="208"/>
      <c r="E7308" s="208"/>
      <c r="F7308" s="811"/>
      <c r="G7308" s="522"/>
      <c r="H7308" s="539">
        <f>SUM(H7304:H7307)</f>
        <v>280440</v>
      </c>
      <c r="I7308" s="819"/>
    </row>
    <row r="7309" spans="3:11" ht="25.8" customHeight="1">
      <c r="C7309" s="213" t="s">
        <v>1209</v>
      </c>
      <c r="D7309" s="212" t="s">
        <v>1210</v>
      </c>
      <c r="E7309" s="534"/>
      <c r="F7309" s="831"/>
      <c r="G7309" s="534"/>
      <c r="H7309" s="534"/>
    </row>
    <row r="7310" spans="3:11" ht="25.8" customHeight="1">
      <c r="C7310" s="213">
        <v>1</v>
      </c>
      <c r="D7310" s="212" t="s">
        <v>6078</v>
      </c>
      <c r="E7310" s="234" t="s">
        <v>135</v>
      </c>
      <c r="F7310" s="866">
        <v>1.05</v>
      </c>
      <c r="G7310" s="539">
        <f>VLOOKUP(D7310,upahbahan,3,FALSE)</f>
        <v>273000</v>
      </c>
      <c r="H7310" s="539">
        <f t="shared" ref="H7310" si="758">F7310*G7310</f>
        <v>286650</v>
      </c>
    </row>
    <row r="7311" spans="3:11" ht="25.8" customHeight="1">
      <c r="C7311" s="702" t="s">
        <v>1214</v>
      </c>
      <c r="D7311" s="208"/>
      <c r="E7311" s="208" t="s">
        <v>6045</v>
      </c>
      <c r="F7311" s="208"/>
      <c r="G7311" s="209"/>
      <c r="H7311" s="539">
        <f>SUM(H7309:H7310)</f>
        <v>286650</v>
      </c>
    </row>
    <row r="7312" spans="3:11" ht="25.8" customHeight="1">
      <c r="C7312" s="213" t="s">
        <v>1215</v>
      </c>
      <c r="D7312" s="212" t="s">
        <v>1216</v>
      </c>
      <c r="E7312" s="534"/>
      <c r="F7312" s="534"/>
      <c r="G7312" s="534"/>
      <c r="H7312" s="534"/>
    </row>
    <row r="7313" spans="3:11" ht="25.8" customHeight="1">
      <c r="C7313" s="702" t="s">
        <v>1217</v>
      </c>
      <c r="D7313" s="815"/>
      <c r="E7313" s="815"/>
      <c r="F7313" s="815"/>
      <c r="G7313" s="209"/>
      <c r="H7313" s="821">
        <f>SUM(H7312:H7312)</f>
        <v>0</v>
      </c>
    </row>
    <row r="7314" spans="3:11" ht="25.8" customHeight="1">
      <c r="C7314" s="566" t="s">
        <v>1218</v>
      </c>
      <c r="D7314" s="552" t="s">
        <v>1219</v>
      </c>
      <c r="E7314" s="553"/>
      <c r="F7314" s="553"/>
      <c r="G7314" s="554"/>
      <c r="H7314" s="826">
        <f>H7313+H7311+H7308</f>
        <v>567090</v>
      </c>
      <c r="I7314" s="827"/>
    </row>
    <row r="7315" spans="3:11" ht="25.8" customHeight="1">
      <c r="C7315" s="566" t="s">
        <v>1220</v>
      </c>
      <c r="D7315" s="552" t="s">
        <v>1321</v>
      </c>
      <c r="E7315" s="553"/>
      <c r="F7315" s="554"/>
      <c r="G7315" s="555">
        <f>$M$9</f>
        <v>0.1</v>
      </c>
      <c r="H7315" s="539">
        <f>H7314*G7315</f>
        <v>56709</v>
      </c>
      <c r="I7315" s="827"/>
    </row>
    <row r="7316" spans="3:11" ht="25.8" customHeight="1">
      <c r="C7316" s="566" t="s">
        <v>1221</v>
      </c>
      <c r="D7316" s="552" t="s">
        <v>1222</v>
      </c>
      <c r="E7316" s="553"/>
      <c r="F7316" s="553"/>
      <c r="G7316" s="554"/>
      <c r="H7316" s="828">
        <f>SUM(H7314:H7315)</f>
        <v>623799</v>
      </c>
      <c r="I7316" s="827"/>
    </row>
    <row r="7317" spans="3:11" ht="25.8" customHeight="1"/>
    <row r="7318" spans="3:11" ht="25.8" customHeight="1">
      <c r="C7318" s="513" t="s">
        <v>6079</v>
      </c>
      <c r="D7318" s="817" t="s">
        <v>6080</v>
      </c>
      <c r="E7318" s="803"/>
      <c r="F7318" s="803"/>
      <c r="G7318" s="803"/>
      <c r="H7318" s="803"/>
      <c r="I7318" s="533">
        <f>ROUNDDOWN(H7334,-2)</f>
        <v>8816900</v>
      </c>
      <c r="J7318" s="536"/>
      <c r="K7318" s="824"/>
    </row>
    <row r="7319" spans="3:11" ht="25.8" customHeight="1">
      <c r="C7319" s="716" t="s">
        <v>1195</v>
      </c>
      <c r="D7319" s="716" t="s">
        <v>1196</v>
      </c>
      <c r="E7319" s="716" t="s">
        <v>1197</v>
      </c>
      <c r="F7319" s="716" t="s">
        <v>1198</v>
      </c>
      <c r="G7319" s="716" t="s">
        <v>1199</v>
      </c>
      <c r="H7319" s="716" t="s">
        <v>1200</v>
      </c>
    </row>
    <row r="7320" spans="3:11" ht="25.8" customHeight="1">
      <c r="C7320" s="213" t="s">
        <v>1201</v>
      </c>
      <c r="D7320" s="212" t="s">
        <v>1202</v>
      </c>
      <c r="E7320" s="534"/>
      <c r="F7320" s="534"/>
      <c r="G7320" s="534"/>
      <c r="H7320" s="534"/>
    </row>
    <row r="7321" spans="3:11" ht="25.8" customHeight="1">
      <c r="C7321" s="818">
        <v>1</v>
      </c>
      <c r="D7321" s="212" t="s">
        <v>5</v>
      </c>
      <c r="E7321" s="212" t="s">
        <v>6</v>
      </c>
      <c r="F7321" s="538">
        <v>0.76200000000000001</v>
      </c>
      <c r="G7321" s="539">
        <f>VLOOKUP(D7321,upahbahan,3,FALSE)</f>
        <v>100000</v>
      </c>
      <c r="H7321" s="539">
        <f t="shared" ref="H7321:H7324" si="759">F7321*G7321</f>
        <v>76200</v>
      </c>
    </row>
    <row r="7322" spans="3:11" ht="25.8" customHeight="1">
      <c r="C7322" s="818">
        <v>2</v>
      </c>
      <c r="D7322" s="212" t="s">
        <v>17</v>
      </c>
      <c r="E7322" s="212" t="s">
        <v>6</v>
      </c>
      <c r="F7322" s="538">
        <v>1.272</v>
      </c>
      <c r="G7322" s="539">
        <f>VLOOKUP(D7322,upahbahan,3,FALSE)</f>
        <v>135000</v>
      </c>
      <c r="H7322" s="539">
        <f t="shared" si="759"/>
        <v>171720</v>
      </c>
    </row>
    <row r="7323" spans="3:11" ht="25.8" customHeight="1">
      <c r="C7323" s="818">
        <v>3</v>
      </c>
      <c r="D7323" s="212" t="s">
        <v>1310</v>
      </c>
      <c r="E7323" s="212" t="s">
        <v>6</v>
      </c>
      <c r="F7323" s="538">
        <v>0.17199999999999999</v>
      </c>
      <c r="G7323" s="539">
        <f>VLOOKUP(D7323,upahbahan,3,FALSE)</f>
        <v>150000</v>
      </c>
      <c r="H7323" s="539">
        <f t="shared" si="759"/>
        <v>25799.999999999996</v>
      </c>
    </row>
    <row r="7324" spans="3:11" ht="25.8" customHeight="1">
      <c r="C7324" s="818">
        <v>4</v>
      </c>
      <c r="D7324" s="212" t="s">
        <v>19</v>
      </c>
      <c r="E7324" s="212" t="s">
        <v>6</v>
      </c>
      <c r="F7324" s="538">
        <v>4.2000000000000003E-2</v>
      </c>
      <c r="G7324" s="539">
        <f>VLOOKUP(D7324,upahbahan,3,FALSE)</f>
        <v>160000</v>
      </c>
      <c r="H7324" s="539">
        <f t="shared" si="759"/>
        <v>6720</v>
      </c>
    </row>
    <row r="7325" spans="3:11" ht="25.8" customHeight="1">
      <c r="C7325" s="702" t="s">
        <v>1208</v>
      </c>
      <c r="D7325" s="208"/>
      <c r="E7325" s="208"/>
      <c r="F7325" s="811"/>
      <c r="G7325" s="522"/>
      <c r="H7325" s="539">
        <f>SUM(H7321:H7324)</f>
        <v>280440</v>
      </c>
      <c r="I7325" s="819"/>
    </row>
    <row r="7326" spans="3:11" ht="25.8" customHeight="1">
      <c r="C7326" s="213" t="s">
        <v>1209</v>
      </c>
      <c r="D7326" s="212" t="s">
        <v>1210</v>
      </c>
      <c r="E7326" s="534"/>
      <c r="F7326" s="831"/>
      <c r="G7326" s="534"/>
      <c r="H7326" s="534"/>
    </row>
    <row r="7327" spans="3:11" ht="25.8" customHeight="1">
      <c r="C7327" s="213">
        <v>1</v>
      </c>
      <c r="D7327" s="212" t="s">
        <v>6081</v>
      </c>
      <c r="E7327" s="234" t="s">
        <v>135</v>
      </c>
      <c r="F7327" s="866">
        <v>1.05</v>
      </c>
      <c r="G7327" s="539">
        <f>VLOOKUP(D7327,upahbahan,3,FALSE)</f>
        <v>5500000</v>
      </c>
      <c r="H7327" s="539">
        <f t="shared" ref="H7327" si="760">F7327*G7327</f>
        <v>5775000</v>
      </c>
    </row>
    <row r="7328" spans="3:11" ht="25.8" customHeight="1">
      <c r="C7328" s="213">
        <v>2</v>
      </c>
      <c r="D7328" s="212" t="s">
        <v>6082</v>
      </c>
      <c r="E7328" s="234" t="s">
        <v>135</v>
      </c>
      <c r="F7328" s="866">
        <v>1</v>
      </c>
      <c r="G7328" s="539">
        <f>VLOOKUP(D7328,upahbahan,3,FALSE)</f>
        <v>1960000</v>
      </c>
      <c r="H7328" s="539">
        <f t="shared" ref="H7328" si="761">F7328*G7328</f>
        <v>1960000</v>
      </c>
    </row>
    <row r="7329" spans="3:11" ht="25.8" customHeight="1">
      <c r="C7329" s="702" t="s">
        <v>1214</v>
      </c>
      <c r="D7329" s="208"/>
      <c r="E7329" s="208" t="s">
        <v>6045</v>
      </c>
      <c r="F7329" s="208"/>
      <c r="G7329" s="209"/>
      <c r="H7329" s="539">
        <f>SUM(H7326:H7328)</f>
        <v>7735000</v>
      </c>
    </row>
    <row r="7330" spans="3:11" ht="25.8" customHeight="1">
      <c r="C7330" s="213" t="s">
        <v>1215</v>
      </c>
      <c r="D7330" s="212" t="s">
        <v>1216</v>
      </c>
      <c r="E7330" s="534"/>
      <c r="F7330" s="534"/>
      <c r="G7330" s="534"/>
      <c r="H7330" s="534"/>
    </row>
    <row r="7331" spans="3:11" ht="25.8" customHeight="1">
      <c r="C7331" s="702" t="s">
        <v>1217</v>
      </c>
      <c r="D7331" s="815"/>
      <c r="E7331" s="815"/>
      <c r="F7331" s="815"/>
      <c r="G7331" s="209"/>
      <c r="H7331" s="821">
        <f>SUM(H7330:H7330)</f>
        <v>0</v>
      </c>
    </row>
    <row r="7332" spans="3:11" ht="25.8" customHeight="1">
      <c r="C7332" s="566" t="s">
        <v>1218</v>
      </c>
      <c r="D7332" s="552" t="s">
        <v>1219</v>
      </c>
      <c r="E7332" s="553"/>
      <c r="F7332" s="553"/>
      <c r="G7332" s="554"/>
      <c r="H7332" s="826">
        <f>H7331+H7329+H7325</f>
        <v>8015440</v>
      </c>
      <c r="I7332" s="827"/>
    </row>
    <row r="7333" spans="3:11" ht="25.8" customHeight="1">
      <c r="C7333" s="566" t="s">
        <v>1220</v>
      </c>
      <c r="D7333" s="552" t="s">
        <v>1321</v>
      </c>
      <c r="E7333" s="553"/>
      <c r="F7333" s="554"/>
      <c r="G7333" s="555">
        <f>$M$9</f>
        <v>0.1</v>
      </c>
      <c r="H7333" s="539">
        <f>H7332*G7333</f>
        <v>801544</v>
      </c>
      <c r="I7333" s="827"/>
    </row>
    <row r="7334" spans="3:11" ht="25.8" customHeight="1">
      <c r="C7334" s="566" t="s">
        <v>1221</v>
      </c>
      <c r="D7334" s="552" t="s">
        <v>1222</v>
      </c>
      <c r="E7334" s="553"/>
      <c r="F7334" s="553"/>
      <c r="G7334" s="554"/>
      <c r="H7334" s="828">
        <f>SUM(H7332:H7333)</f>
        <v>8816984</v>
      </c>
      <c r="I7334" s="827"/>
    </row>
    <row r="7335" spans="3:11" ht="25.8" customHeight="1"/>
    <row r="7336" spans="3:11" ht="25.8" customHeight="1"/>
    <row r="7337" spans="3:11" ht="25.8" customHeight="1">
      <c r="C7337" s="513" t="s">
        <v>6083</v>
      </c>
      <c r="D7337" s="817" t="s">
        <v>6084</v>
      </c>
      <c r="E7337" s="803"/>
      <c r="F7337" s="803"/>
      <c r="G7337" s="803"/>
      <c r="H7337" s="803"/>
      <c r="I7337" s="533">
        <f>ROUNDDOWN(H7352,-2)</f>
        <v>1039900</v>
      </c>
      <c r="J7337" s="536"/>
      <c r="K7337" s="824"/>
    </row>
    <row r="7338" spans="3:11" ht="25.8" customHeight="1">
      <c r="C7338" s="716" t="s">
        <v>1195</v>
      </c>
      <c r="D7338" s="716" t="s">
        <v>1196</v>
      </c>
      <c r="E7338" s="716" t="s">
        <v>1197</v>
      </c>
      <c r="F7338" s="716" t="s">
        <v>1198</v>
      </c>
      <c r="G7338" s="716" t="s">
        <v>1199</v>
      </c>
      <c r="H7338" s="716" t="s">
        <v>1200</v>
      </c>
    </row>
    <row r="7339" spans="3:11" ht="25.8" customHeight="1">
      <c r="C7339" s="213" t="s">
        <v>1201</v>
      </c>
      <c r="D7339" s="212" t="s">
        <v>1202</v>
      </c>
      <c r="E7339" s="534"/>
      <c r="F7339" s="534"/>
      <c r="G7339" s="534"/>
      <c r="H7339" s="534"/>
    </row>
    <row r="7340" spans="3:11" ht="25.8" customHeight="1">
      <c r="C7340" s="818">
        <v>1</v>
      </c>
      <c r="D7340" s="212" t="s">
        <v>5</v>
      </c>
      <c r="E7340" s="212" t="s">
        <v>6</v>
      </c>
      <c r="F7340" s="538">
        <v>0.38100000000000001</v>
      </c>
      <c r="G7340" s="539">
        <f>VLOOKUP(D7340,upahbahan,3,FALSE)</f>
        <v>100000</v>
      </c>
      <c r="H7340" s="539">
        <f t="shared" ref="H7340:H7343" si="762">F7340*G7340</f>
        <v>38100</v>
      </c>
    </row>
    <row r="7341" spans="3:11" ht="25.8" customHeight="1">
      <c r="C7341" s="818">
        <v>2</v>
      </c>
      <c r="D7341" s="212" t="s">
        <v>17</v>
      </c>
      <c r="E7341" s="212" t="s">
        <v>6</v>
      </c>
      <c r="F7341" s="538">
        <v>0.63600000000000001</v>
      </c>
      <c r="G7341" s="539">
        <f>VLOOKUP(D7341,upahbahan,3,FALSE)</f>
        <v>135000</v>
      </c>
      <c r="H7341" s="539">
        <f t="shared" si="762"/>
        <v>85860</v>
      </c>
    </row>
    <row r="7342" spans="3:11" ht="25.8" customHeight="1">
      <c r="C7342" s="818">
        <v>3</v>
      </c>
      <c r="D7342" s="212" t="s">
        <v>1310</v>
      </c>
      <c r="E7342" s="212" t="s">
        <v>6</v>
      </c>
      <c r="F7342" s="538">
        <v>6.4000000000000001E-2</v>
      </c>
      <c r="G7342" s="539">
        <f>VLOOKUP(D7342,upahbahan,3,FALSE)</f>
        <v>150000</v>
      </c>
      <c r="H7342" s="539">
        <f t="shared" si="762"/>
        <v>9600</v>
      </c>
    </row>
    <row r="7343" spans="3:11" ht="25.8" customHeight="1">
      <c r="C7343" s="818">
        <v>4</v>
      </c>
      <c r="D7343" s="212" t="s">
        <v>19</v>
      </c>
      <c r="E7343" s="212" t="s">
        <v>6</v>
      </c>
      <c r="F7343" s="538">
        <v>2.1000000000000001E-2</v>
      </c>
      <c r="G7343" s="539">
        <f>VLOOKUP(D7343,upahbahan,3,FALSE)</f>
        <v>160000</v>
      </c>
      <c r="H7343" s="539">
        <f t="shared" si="762"/>
        <v>3360</v>
      </c>
    </row>
    <row r="7344" spans="3:11" ht="25.8" customHeight="1">
      <c r="C7344" s="702" t="s">
        <v>1208</v>
      </c>
      <c r="D7344" s="208"/>
      <c r="E7344" s="208"/>
      <c r="F7344" s="811"/>
      <c r="G7344" s="522"/>
      <c r="H7344" s="539">
        <f>SUM(H7340:H7343)</f>
        <v>136920</v>
      </c>
      <c r="I7344" s="819"/>
    </row>
    <row r="7345" spans="3:11" ht="25.8" customHeight="1">
      <c r="C7345" s="213" t="s">
        <v>1209</v>
      </c>
      <c r="D7345" s="212" t="s">
        <v>1210</v>
      </c>
      <c r="E7345" s="534"/>
      <c r="F7345" s="831"/>
      <c r="G7345" s="534"/>
      <c r="H7345" s="534"/>
    </row>
    <row r="7346" spans="3:11" ht="25.8" customHeight="1">
      <c r="C7346" s="213">
        <v>1</v>
      </c>
      <c r="D7346" s="212" t="s">
        <v>6085</v>
      </c>
      <c r="E7346" s="234" t="s">
        <v>135</v>
      </c>
      <c r="F7346" s="866">
        <v>1.05</v>
      </c>
      <c r="G7346" s="539">
        <f>VLOOKUP(D7346,upahbahan,3,FALSE)</f>
        <v>770000</v>
      </c>
      <c r="H7346" s="539">
        <f t="shared" ref="H7346" si="763">F7346*G7346</f>
        <v>808500</v>
      </c>
    </row>
    <row r="7347" spans="3:11" ht="25.8" customHeight="1">
      <c r="C7347" s="702" t="s">
        <v>1214</v>
      </c>
      <c r="D7347" s="208"/>
      <c r="E7347" s="208" t="s">
        <v>6045</v>
      </c>
      <c r="F7347" s="208"/>
      <c r="G7347" s="209"/>
      <c r="H7347" s="539">
        <f>SUM(H7345:H7346)</f>
        <v>808500</v>
      </c>
    </row>
    <row r="7348" spans="3:11" ht="25.8" customHeight="1">
      <c r="C7348" s="213" t="s">
        <v>1215</v>
      </c>
      <c r="D7348" s="212" t="s">
        <v>1216</v>
      </c>
      <c r="E7348" s="534"/>
      <c r="F7348" s="534"/>
      <c r="G7348" s="534"/>
      <c r="H7348" s="534"/>
    </row>
    <row r="7349" spans="3:11" ht="25.8" customHeight="1">
      <c r="C7349" s="702" t="s">
        <v>1217</v>
      </c>
      <c r="D7349" s="815"/>
      <c r="E7349" s="815"/>
      <c r="F7349" s="815"/>
      <c r="G7349" s="209"/>
      <c r="H7349" s="821">
        <f>SUM(H7348:H7348)</f>
        <v>0</v>
      </c>
    </row>
    <row r="7350" spans="3:11" ht="25.8" customHeight="1">
      <c r="C7350" s="566" t="s">
        <v>1218</v>
      </c>
      <c r="D7350" s="552" t="s">
        <v>1219</v>
      </c>
      <c r="E7350" s="553"/>
      <c r="F7350" s="553"/>
      <c r="G7350" s="554"/>
      <c r="H7350" s="826">
        <f>H7349+H7347+H7344</f>
        <v>945420</v>
      </c>
      <c r="I7350" s="827"/>
    </row>
    <row r="7351" spans="3:11" ht="25.8" customHeight="1">
      <c r="C7351" s="566" t="s">
        <v>1220</v>
      </c>
      <c r="D7351" s="552" t="s">
        <v>1321</v>
      </c>
      <c r="E7351" s="553"/>
      <c r="F7351" s="554"/>
      <c r="G7351" s="555">
        <f>$M$9</f>
        <v>0.1</v>
      </c>
      <c r="H7351" s="539">
        <f>H7350*G7351</f>
        <v>94542</v>
      </c>
      <c r="I7351" s="827"/>
    </row>
    <row r="7352" spans="3:11" ht="25.8" customHeight="1">
      <c r="C7352" s="566" t="s">
        <v>1221</v>
      </c>
      <c r="D7352" s="552" t="s">
        <v>1222</v>
      </c>
      <c r="E7352" s="553"/>
      <c r="F7352" s="553"/>
      <c r="G7352" s="554"/>
      <c r="H7352" s="828">
        <f>SUM(H7350:H7351)</f>
        <v>1039962</v>
      </c>
      <c r="I7352" s="827"/>
    </row>
    <row r="7353" spans="3:11" ht="25.8" customHeight="1"/>
    <row r="7354" spans="3:11" ht="25.8" customHeight="1"/>
    <row r="7355" spans="3:11" ht="25.8" customHeight="1">
      <c r="C7355" s="513" t="s">
        <v>6086</v>
      </c>
      <c r="D7355" s="817" t="s">
        <v>6087</v>
      </c>
      <c r="E7355" s="803"/>
      <c r="F7355" s="803"/>
      <c r="G7355" s="803"/>
      <c r="H7355" s="803"/>
      <c r="I7355" s="533">
        <f>ROUNDDOWN(H7371,-2)</f>
        <v>2892800</v>
      </c>
      <c r="J7355" s="536"/>
      <c r="K7355" s="824"/>
    </row>
    <row r="7356" spans="3:11" ht="25.8" customHeight="1">
      <c r="C7356" s="716" t="s">
        <v>1195</v>
      </c>
      <c r="D7356" s="716" t="s">
        <v>1196</v>
      </c>
      <c r="E7356" s="716" t="s">
        <v>1197</v>
      </c>
      <c r="F7356" s="716" t="s">
        <v>1198</v>
      </c>
      <c r="G7356" s="716" t="s">
        <v>1199</v>
      </c>
      <c r="H7356" s="716" t="s">
        <v>1200</v>
      </c>
    </row>
    <row r="7357" spans="3:11" ht="25.8" customHeight="1">
      <c r="C7357" s="213" t="s">
        <v>1201</v>
      </c>
      <c r="D7357" s="212" t="s">
        <v>1202</v>
      </c>
      <c r="E7357" s="534"/>
      <c r="F7357" s="534"/>
      <c r="G7357" s="534"/>
      <c r="H7357" s="534"/>
    </row>
    <row r="7358" spans="3:11" ht="25.8" customHeight="1">
      <c r="C7358" s="818">
        <v>1</v>
      </c>
      <c r="D7358" s="212" t="s">
        <v>5</v>
      </c>
      <c r="E7358" s="212" t="s">
        <v>6</v>
      </c>
      <c r="F7358" s="538">
        <v>0.25</v>
      </c>
      <c r="G7358" s="539">
        <f>VLOOKUP(D7358,upahbahan,3,FALSE)</f>
        <v>100000</v>
      </c>
      <c r="H7358" s="539">
        <f t="shared" ref="H7358:H7361" si="764">F7358*G7358</f>
        <v>25000</v>
      </c>
    </row>
    <row r="7359" spans="3:11" ht="25.8" customHeight="1">
      <c r="C7359" s="818">
        <v>2</v>
      </c>
      <c r="D7359" s="212" t="s">
        <v>17</v>
      </c>
      <c r="E7359" s="212" t="s">
        <v>6</v>
      </c>
      <c r="F7359" s="538">
        <v>0.41799999999999998</v>
      </c>
      <c r="G7359" s="539">
        <f>VLOOKUP(D7359,upahbahan,3,FALSE)</f>
        <v>135000</v>
      </c>
      <c r="H7359" s="539">
        <f t="shared" si="764"/>
        <v>56430</v>
      </c>
    </row>
    <row r="7360" spans="3:11" ht="25.8" customHeight="1">
      <c r="C7360" s="818">
        <v>3</v>
      </c>
      <c r="D7360" s="212" t="s">
        <v>1310</v>
      </c>
      <c r="E7360" s="212" t="s">
        <v>6</v>
      </c>
      <c r="F7360" s="538">
        <v>4.2000000000000003E-2</v>
      </c>
      <c r="G7360" s="539">
        <f>VLOOKUP(D7360,upahbahan,3,FALSE)</f>
        <v>150000</v>
      </c>
      <c r="H7360" s="539">
        <f t="shared" si="764"/>
        <v>6300</v>
      </c>
    </row>
    <row r="7361" spans="3:11" ht="25.8" customHeight="1">
      <c r="C7361" s="818">
        <v>4</v>
      </c>
      <c r="D7361" s="212" t="s">
        <v>19</v>
      </c>
      <c r="E7361" s="212" t="s">
        <v>6</v>
      </c>
      <c r="F7361" s="538">
        <v>1.4E-2</v>
      </c>
      <c r="G7361" s="539">
        <f>VLOOKUP(D7361,upahbahan,3,FALSE)</f>
        <v>160000</v>
      </c>
      <c r="H7361" s="539">
        <f t="shared" si="764"/>
        <v>2240</v>
      </c>
    </row>
    <row r="7362" spans="3:11" ht="25.8" customHeight="1">
      <c r="C7362" s="702" t="s">
        <v>1208</v>
      </c>
      <c r="D7362" s="208"/>
      <c r="E7362" s="208"/>
      <c r="F7362" s="811"/>
      <c r="G7362" s="522"/>
      <c r="H7362" s="539">
        <f>SUM(H7358:H7361)</f>
        <v>89970</v>
      </c>
      <c r="I7362" s="819"/>
    </row>
    <row r="7363" spans="3:11" ht="25.8" customHeight="1">
      <c r="C7363" s="213" t="s">
        <v>1209</v>
      </c>
      <c r="D7363" s="212" t="s">
        <v>1210</v>
      </c>
      <c r="E7363" s="534"/>
      <c r="F7363" s="831"/>
      <c r="G7363" s="534"/>
      <c r="H7363" s="534"/>
    </row>
    <row r="7364" spans="3:11" ht="25.8" customHeight="1">
      <c r="C7364" s="213">
        <v>1</v>
      </c>
      <c r="D7364" s="212" t="s">
        <v>6088</v>
      </c>
      <c r="E7364" s="234" t="s">
        <v>135</v>
      </c>
      <c r="F7364" s="866">
        <v>1.03</v>
      </c>
      <c r="G7364" s="539">
        <f>VLOOKUP(D7364,upahbahan,3,FALSE)</f>
        <v>2380000</v>
      </c>
      <c r="H7364" s="539">
        <f t="shared" ref="H7364" si="765">F7364*G7364</f>
        <v>2451400</v>
      </c>
    </row>
    <row r="7365" spans="3:11" ht="25.8" customHeight="1">
      <c r="C7365" s="213">
        <v>2</v>
      </c>
      <c r="D7365" s="212" t="s">
        <v>6089</v>
      </c>
      <c r="E7365" s="234" t="s">
        <v>135</v>
      </c>
      <c r="F7365" s="866">
        <v>1</v>
      </c>
      <c r="G7365" s="539">
        <f>VLOOKUP(D7365,upahbahan,3,FALSE)</f>
        <v>88500</v>
      </c>
      <c r="H7365" s="539">
        <f t="shared" ref="H7365" si="766">F7365*G7365</f>
        <v>88500</v>
      </c>
    </row>
    <row r="7366" spans="3:11" ht="25.8" customHeight="1">
      <c r="C7366" s="702" t="s">
        <v>1214</v>
      </c>
      <c r="D7366" s="208"/>
      <c r="E7366" s="208" t="s">
        <v>6045</v>
      </c>
      <c r="F7366" s="208"/>
      <c r="G7366" s="209"/>
      <c r="H7366" s="539">
        <f>SUM(H7363:H7365)</f>
        <v>2539900</v>
      </c>
    </row>
    <row r="7367" spans="3:11" ht="25.8" customHeight="1">
      <c r="C7367" s="213" t="s">
        <v>1215</v>
      </c>
      <c r="D7367" s="212" t="s">
        <v>1216</v>
      </c>
      <c r="E7367" s="534"/>
      <c r="F7367" s="534"/>
      <c r="G7367" s="534"/>
      <c r="H7367" s="534"/>
    </row>
    <row r="7368" spans="3:11" ht="25.8" customHeight="1">
      <c r="C7368" s="702" t="s">
        <v>1217</v>
      </c>
      <c r="D7368" s="815"/>
      <c r="E7368" s="815"/>
      <c r="F7368" s="815"/>
      <c r="G7368" s="209"/>
      <c r="H7368" s="821">
        <f>SUM(H7367:H7367)</f>
        <v>0</v>
      </c>
    </row>
    <row r="7369" spans="3:11" ht="25.8" customHeight="1">
      <c r="C7369" s="566" t="s">
        <v>1218</v>
      </c>
      <c r="D7369" s="552" t="s">
        <v>1219</v>
      </c>
      <c r="E7369" s="553"/>
      <c r="F7369" s="553"/>
      <c r="G7369" s="554"/>
      <c r="H7369" s="826">
        <f>H7368+H7366+H7362</f>
        <v>2629870</v>
      </c>
      <c r="I7369" s="827"/>
    </row>
    <row r="7370" spans="3:11" ht="25.8" customHeight="1">
      <c r="C7370" s="566" t="s">
        <v>1220</v>
      </c>
      <c r="D7370" s="552" t="s">
        <v>1321</v>
      </c>
      <c r="E7370" s="553"/>
      <c r="F7370" s="554"/>
      <c r="G7370" s="555">
        <f>$M$9</f>
        <v>0.1</v>
      </c>
      <c r="H7370" s="539">
        <f>H7369*G7370</f>
        <v>262987</v>
      </c>
      <c r="I7370" s="827"/>
    </row>
    <row r="7371" spans="3:11" ht="25.8" customHeight="1">
      <c r="C7371" s="566" t="s">
        <v>1221</v>
      </c>
      <c r="D7371" s="552" t="s">
        <v>1222</v>
      </c>
      <c r="E7371" s="553"/>
      <c r="F7371" s="553"/>
      <c r="G7371" s="554"/>
      <c r="H7371" s="828">
        <f>SUM(H7369:H7370)</f>
        <v>2892857</v>
      </c>
      <c r="I7371" s="827"/>
    </row>
    <row r="7372" spans="3:11" ht="25.8" customHeight="1"/>
    <row r="7373" spans="3:11" ht="25.8" customHeight="1"/>
    <row r="7374" spans="3:11" ht="25.8" customHeight="1">
      <c r="C7374" s="513" t="s">
        <v>6090</v>
      </c>
      <c r="D7374" s="817" t="s">
        <v>6091</v>
      </c>
      <c r="E7374" s="803"/>
      <c r="F7374" s="803"/>
      <c r="G7374" s="803"/>
      <c r="H7374" s="803"/>
      <c r="I7374" s="533">
        <f>ROUNDDOWN(H7390,-2)</f>
        <v>4328200</v>
      </c>
      <c r="J7374" s="536"/>
      <c r="K7374" s="824"/>
    </row>
    <row r="7375" spans="3:11" ht="25.8" customHeight="1">
      <c r="C7375" s="716" t="s">
        <v>1195</v>
      </c>
      <c r="D7375" s="716" t="s">
        <v>1196</v>
      </c>
      <c r="E7375" s="716" t="s">
        <v>1197</v>
      </c>
      <c r="F7375" s="716" t="s">
        <v>1198</v>
      </c>
      <c r="G7375" s="716" t="s">
        <v>1199</v>
      </c>
      <c r="H7375" s="716" t="s">
        <v>1200</v>
      </c>
    </row>
    <row r="7376" spans="3:11" ht="25.8" customHeight="1">
      <c r="C7376" s="213" t="s">
        <v>1201</v>
      </c>
      <c r="D7376" s="212" t="s">
        <v>1202</v>
      </c>
      <c r="E7376" s="534"/>
      <c r="F7376" s="534"/>
      <c r="G7376" s="534"/>
      <c r="H7376" s="534"/>
    </row>
    <row r="7377" spans="3:11" ht="25.8" customHeight="1">
      <c r="C7377" s="818">
        <v>1</v>
      </c>
      <c r="D7377" s="212" t="s">
        <v>5</v>
      </c>
      <c r="E7377" s="212" t="s">
        <v>6</v>
      </c>
      <c r="F7377" s="538">
        <v>0.5</v>
      </c>
      <c r="G7377" s="539">
        <f>VLOOKUP(D7377,upahbahan,3,FALSE)</f>
        <v>100000</v>
      </c>
      <c r="H7377" s="539">
        <f t="shared" ref="H7377:H7380" si="767">F7377*G7377</f>
        <v>50000</v>
      </c>
    </row>
    <row r="7378" spans="3:11" ht="25.8" customHeight="1">
      <c r="C7378" s="818">
        <v>2</v>
      </c>
      <c r="D7378" s="212" t="s">
        <v>17</v>
      </c>
      <c r="E7378" s="212" t="s">
        <v>6</v>
      </c>
      <c r="F7378" s="538">
        <v>0.83499999999999996</v>
      </c>
      <c r="G7378" s="539">
        <f>VLOOKUP(D7378,upahbahan,3,FALSE)</f>
        <v>135000</v>
      </c>
      <c r="H7378" s="539">
        <f t="shared" si="767"/>
        <v>112725</v>
      </c>
    </row>
    <row r="7379" spans="3:11" ht="25.8" customHeight="1">
      <c r="C7379" s="818">
        <v>3</v>
      </c>
      <c r="D7379" s="212" t="s">
        <v>1310</v>
      </c>
      <c r="E7379" s="212" t="s">
        <v>6</v>
      </c>
      <c r="F7379" s="538">
        <v>8.4000000000000005E-2</v>
      </c>
      <c r="G7379" s="539">
        <f>VLOOKUP(D7379,upahbahan,3,FALSE)</f>
        <v>150000</v>
      </c>
      <c r="H7379" s="539">
        <f t="shared" si="767"/>
        <v>12600</v>
      </c>
    </row>
    <row r="7380" spans="3:11" ht="25.8" customHeight="1">
      <c r="C7380" s="818">
        <v>4</v>
      </c>
      <c r="D7380" s="212" t="s">
        <v>19</v>
      </c>
      <c r="E7380" s="212" t="s">
        <v>6</v>
      </c>
      <c r="F7380" s="538">
        <v>2.8000000000000001E-2</v>
      </c>
      <c r="G7380" s="539">
        <f>VLOOKUP(D7380,upahbahan,3,FALSE)</f>
        <v>160000</v>
      </c>
      <c r="H7380" s="539">
        <f t="shared" si="767"/>
        <v>4480</v>
      </c>
    </row>
    <row r="7381" spans="3:11" ht="25.8" customHeight="1">
      <c r="C7381" s="702" t="s">
        <v>1208</v>
      </c>
      <c r="D7381" s="208"/>
      <c r="E7381" s="208"/>
      <c r="F7381" s="811"/>
      <c r="G7381" s="522"/>
      <c r="H7381" s="539">
        <f>SUM(H7377:H7380)</f>
        <v>179805</v>
      </c>
      <c r="I7381" s="819"/>
    </row>
    <row r="7382" spans="3:11" ht="25.8" customHeight="1">
      <c r="C7382" s="213" t="s">
        <v>1209</v>
      </c>
      <c r="D7382" s="212" t="s">
        <v>1210</v>
      </c>
      <c r="E7382" s="534"/>
      <c r="F7382" s="831"/>
      <c r="G7382" s="534"/>
      <c r="H7382" s="534"/>
    </row>
    <row r="7383" spans="3:11" ht="25.8" customHeight="1">
      <c r="C7383" s="213">
        <v>1</v>
      </c>
      <c r="D7383" s="212" t="s">
        <v>6092</v>
      </c>
      <c r="E7383" s="234" t="s">
        <v>135</v>
      </c>
      <c r="F7383" s="866">
        <v>1.03</v>
      </c>
      <c r="G7383" s="539">
        <f>VLOOKUP(D7383,upahbahan,3,FALSE)</f>
        <v>3500000</v>
      </c>
      <c r="H7383" s="539">
        <f t="shared" ref="H7383:H7384" si="768">F7383*G7383</f>
        <v>3605000</v>
      </c>
    </row>
    <row r="7384" spans="3:11" ht="25.8" customHeight="1">
      <c r="C7384" s="213">
        <v>2</v>
      </c>
      <c r="D7384" s="212" t="s">
        <v>6093</v>
      </c>
      <c r="E7384" s="234" t="s">
        <v>135</v>
      </c>
      <c r="F7384" s="866">
        <v>1</v>
      </c>
      <c r="G7384" s="539">
        <f>VLOOKUP(D7384,upahbahan,3,FALSE)</f>
        <v>150000</v>
      </c>
      <c r="H7384" s="539">
        <f t="shared" si="768"/>
        <v>150000</v>
      </c>
    </row>
    <row r="7385" spans="3:11" ht="25.8" customHeight="1">
      <c r="C7385" s="702" t="s">
        <v>1214</v>
      </c>
      <c r="D7385" s="208"/>
      <c r="E7385" s="208" t="s">
        <v>6045</v>
      </c>
      <c r="F7385" s="208"/>
      <c r="G7385" s="209"/>
      <c r="H7385" s="539">
        <f>SUM(H7382:H7384)</f>
        <v>3755000</v>
      </c>
    </row>
    <row r="7386" spans="3:11" ht="25.8" customHeight="1">
      <c r="C7386" s="213" t="s">
        <v>1215</v>
      </c>
      <c r="D7386" s="212" t="s">
        <v>1216</v>
      </c>
      <c r="E7386" s="534"/>
      <c r="F7386" s="534"/>
      <c r="G7386" s="534"/>
      <c r="H7386" s="534"/>
    </row>
    <row r="7387" spans="3:11" ht="25.8" customHeight="1">
      <c r="C7387" s="702" t="s">
        <v>1217</v>
      </c>
      <c r="D7387" s="815"/>
      <c r="E7387" s="815"/>
      <c r="F7387" s="815"/>
      <c r="G7387" s="209"/>
      <c r="H7387" s="821">
        <f>SUM(H7386:H7386)</f>
        <v>0</v>
      </c>
    </row>
    <row r="7388" spans="3:11" ht="25.8" customHeight="1">
      <c r="C7388" s="566" t="s">
        <v>1218</v>
      </c>
      <c r="D7388" s="552" t="s">
        <v>1219</v>
      </c>
      <c r="E7388" s="553"/>
      <c r="F7388" s="553"/>
      <c r="G7388" s="554"/>
      <c r="H7388" s="826">
        <f>H7387+H7385+H7381</f>
        <v>3934805</v>
      </c>
      <c r="I7388" s="827"/>
    </row>
    <row r="7389" spans="3:11" ht="25.8" customHeight="1">
      <c r="C7389" s="566" t="s">
        <v>1220</v>
      </c>
      <c r="D7389" s="552" t="s">
        <v>1321</v>
      </c>
      <c r="E7389" s="553"/>
      <c r="F7389" s="554"/>
      <c r="G7389" s="555">
        <f>$M$9</f>
        <v>0.1</v>
      </c>
      <c r="H7389" s="539">
        <f>H7388*G7389</f>
        <v>393480.5</v>
      </c>
      <c r="I7389" s="827"/>
    </row>
    <row r="7390" spans="3:11" ht="25.8" customHeight="1">
      <c r="C7390" s="566" t="s">
        <v>1221</v>
      </c>
      <c r="D7390" s="552" t="s">
        <v>1222</v>
      </c>
      <c r="E7390" s="553"/>
      <c r="F7390" s="553"/>
      <c r="G7390" s="554"/>
      <c r="H7390" s="828">
        <f>SUM(H7388:H7389)</f>
        <v>4328285.5</v>
      </c>
      <c r="I7390" s="827"/>
    </row>
    <row r="7391" spans="3:11" ht="25.8" customHeight="1"/>
    <row r="7392" spans="3:11" ht="25.8" customHeight="1">
      <c r="C7392" s="513" t="s">
        <v>6094</v>
      </c>
      <c r="D7392" s="817" t="s">
        <v>6095</v>
      </c>
      <c r="E7392" s="803"/>
      <c r="F7392" s="803"/>
      <c r="G7392" s="803"/>
      <c r="H7392" s="803"/>
      <c r="I7392" s="533">
        <f>ROUNDDOWN(H7407,-2)</f>
        <v>415500</v>
      </c>
      <c r="J7392" s="536"/>
      <c r="K7392" s="824"/>
    </row>
    <row r="7393" spans="3:9" ht="25.8" customHeight="1">
      <c r="C7393" s="716" t="s">
        <v>1195</v>
      </c>
      <c r="D7393" s="716" t="s">
        <v>1196</v>
      </c>
      <c r="E7393" s="716" t="s">
        <v>1197</v>
      </c>
      <c r="F7393" s="716" t="s">
        <v>1198</v>
      </c>
      <c r="G7393" s="716" t="s">
        <v>1199</v>
      </c>
      <c r="H7393" s="716" t="s">
        <v>1200</v>
      </c>
    </row>
    <row r="7394" spans="3:9" ht="25.8" customHeight="1">
      <c r="C7394" s="213" t="s">
        <v>1201</v>
      </c>
      <c r="D7394" s="212" t="s">
        <v>1202</v>
      </c>
      <c r="E7394" s="534"/>
      <c r="F7394" s="534"/>
      <c r="G7394" s="534"/>
      <c r="H7394" s="534"/>
    </row>
    <row r="7395" spans="3:9" ht="25.8" customHeight="1">
      <c r="C7395" s="818">
        <v>1</v>
      </c>
      <c r="D7395" s="212" t="s">
        <v>5</v>
      </c>
      <c r="E7395" s="212" t="s">
        <v>6</v>
      </c>
      <c r="F7395" s="538">
        <v>4.8000000000000001E-2</v>
      </c>
      <c r="G7395" s="539">
        <f>VLOOKUP(D7395,upahbahan,3,FALSE)</f>
        <v>100000</v>
      </c>
      <c r="H7395" s="539">
        <f t="shared" ref="H7395:H7398" si="769">F7395*G7395</f>
        <v>4800</v>
      </c>
    </row>
    <row r="7396" spans="3:9" ht="25.8" customHeight="1">
      <c r="C7396" s="818">
        <v>2</v>
      </c>
      <c r="D7396" s="212" t="s">
        <v>17</v>
      </c>
      <c r="E7396" s="212" t="s">
        <v>6</v>
      </c>
      <c r="F7396" s="538">
        <v>0.08</v>
      </c>
      <c r="G7396" s="539">
        <f>VLOOKUP(D7396,upahbahan,3,FALSE)</f>
        <v>135000</v>
      </c>
      <c r="H7396" s="539">
        <f t="shared" si="769"/>
        <v>10800</v>
      </c>
    </row>
    <row r="7397" spans="3:9" ht="25.8" customHeight="1">
      <c r="C7397" s="818">
        <v>3</v>
      </c>
      <c r="D7397" s="212" t="s">
        <v>1310</v>
      </c>
      <c r="E7397" s="212" t="s">
        <v>6</v>
      </c>
      <c r="F7397" s="538">
        <v>8.0000000000000002E-3</v>
      </c>
      <c r="G7397" s="539">
        <f>VLOOKUP(D7397,upahbahan,3,FALSE)</f>
        <v>150000</v>
      </c>
      <c r="H7397" s="539">
        <f t="shared" si="769"/>
        <v>1200</v>
      </c>
    </row>
    <row r="7398" spans="3:9" ht="25.8" customHeight="1">
      <c r="C7398" s="818">
        <v>4</v>
      </c>
      <c r="D7398" s="212" t="s">
        <v>19</v>
      </c>
      <c r="E7398" s="212" t="s">
        <v>6</v>
      </c>
      <c r="F7398" s="538">
        <v>3.0000000000000001E-3</v>
      </c>
      <c r="G7398" s="539">
        <f>VLOOKUP(D7398,upahbahan,3,FALSE)</f>
        <v>160000</v>
      </c>
      <c r="H7398" s="539">
        <f t="shared" si="769"/>
        <v>480</v>
      </c>
    </row>
    <row r="7399" spans="3:9" ht="25.8" customHeight="1">
      <c r="C7399" s="702" t="s">
        <v>1208</v>
      </c>
      <c r="D7399" s="208"/>
      <c r="E7399" s="208"/>
      <c r="F7399" s="811"/>
      <c r="G7399" s="522"/>
      <c r="H7399" s="539">
        <f>SUM(H7395:H7398)</f>
        <v>17280</v>
      </c>
      <c r="I7399" s="819"/>
    </row>
    <row r="7400" spans="3:9" ht="25.8" customHeight="1">
      <c r="C7400" s="213" t="s">
        <v>1209</v>
      </c>
      <c r="D7400" s="212" t="s">
        <v>1210</v>
      </c>
      <c r="E7400" s="534"/>
      <c r="F7400" s="831"/>
      <c r="G7400" s="534"/>
      <c r="H7400" s="534"/>
    </row>
    <row r="7401" spans="3:9" ht="25.8" customHeight="1">
      <c r="C7401" s="213">
        <v>1</v>
      </c>
      <c r="D7401" s="212" t="s">
        <v>6096</v>
      </c>
      <c r="E7401" s="234" t="s">
        <v>135</v>
      </c>
      <c r="F7401" s="866">
        <v>1.03</v>
      </c>
      <c r="G7401" s="539">
        <f>VLOOKUP(D7401,upahbahan,3,FALSE)</f>
        <v>350000</v>
      </c>
      <c r="H7401" s="539">
        <f t="shared" ref="H7401" si="770">F7401*G7401</f>
        <v>360500</v>
      </c>
    </row>
    <row r="7402" spans="3:9" ht="25.8" customHeight="1">
      <c r="C7402" s="702" t="s">
        <v>1214</v>
      </c>
      <c r="D7402" s="208"/>
      <c r="E7402" s="208" t="s">
        <v>6045</v>
      </c>
      <c r="F7402" s="208"/>
      <c r="G7402" s="209"/>
      <c r="H7402" s="539">
        <f>SUM(H7400:H7401)</f>
        <v>360500</v>
      </c>
    </row>
    <row r="7403" spans="3:9" ht="25.8" customHeight="1">
      <c r="C7403" s="213" t="s">
        <v>1215</v>
      </c>
      <c r="D7403" s="212" t="s">
        <v>1216</v>
      </c>
      <c r="E7403" s="534"/>
      <c r="F7403" s="534"/>
      <c r="G7403" s="534"/>
      <c r="H7403" s="534"/>
    </row>
    <row r="7404" spans="3:9" ht="25.8" customHeight="1">
      <c r="C7404" s="702" t="s">
        <v>1217</v>
      </c>
      <c r="D7404" s="815"/>
      <c r="E7404" s="815"/>
      <c r="F7404" s="815"/>
      <c r="G7404" s="209"/>
      <c r="H7404" s="821">
        <f>SUM(H7403:H7403)</f>
        <v>0</v>
      </c>
    </row>
    <row r="7405" spans="3:9" ht="25.8" customHeight="1">
      <c r="C7405" s="566" t="s">
        <v>1218</v>
      </c>
      <c r="D7405" s="552" t="s">
        <v>1219</v>
      </c>
      <c r="E7405" s="553"/>
      <c r="F7405" s="553"/>
      <c r="G7405" s="554"/>
      <c r="H7405" s="826">
        <f>H7404+H7402+H7399</f>
        <v>377780</v>
      </c>
      <c r="I7405" s="827"/>
    </row>
    <row r="7406" spans="3:9" ht="25.8" customHeight="1">
      <c r="C7406" s="566" t="s">
        <v>1220</v>
      </c>
      <c r="D7406" s="552" t="s">
        <v>1321</v>
      </c>
      <c r="E7406" s="553"/>
      <c r="F7406" s="554"/>
      <c r="G7406" s="555">
        <f>$M$9</f>
        <v>0.1</v>
      </c>
      <c r="H7406" s="539">
        <f>H7405*G7406</f>
        <v>37778</v>
      </c>
      <c r="I7406" s="827"/>
    </row>
    <row r="7407" spans="3:9" ht="25.8" customHeight="1">
      <c r="C7407" s="566" t="s">
        <v>1221</v>
      </c>
      <c r="D7407" s="552" t="s">
        <v>1222</v>
      </c>
      <c r="E7407" s="553"/>
      <c r="F7407" s="553"/>
      <c r="G7407" s="554"/>
      <c r="H7407" s="828">
        <f>SUM(H7405:H7406)</f>
        <v>415558</v>
      </c>
      <c r="I7407" s="827"/>
    </row>
    <row r="7408" spans="3:9" ht="25.8" customHeight="1"/>
    <row r="7409" spans="3:11" ht="25.8" customHeight="1"/>
    <row r="7410" spans="3:11" ht="25.8" customHeight="1">
      <c r="C7410" s="513" t="s">
        <v>6097</v>
      </c>
      <c r="D7410" s="817" t="s">
        <v>6098</v>
      </c>
      <c r="E7410" s="803"/>
      <c r="F7410" s="803"/>
      <c r="G7410" s="803"/>
      <c r="H7410" s="803"/>
      <c r="I7410" s="533">
        <f>ROUNDDOWN(H7425,-2)</f>
        <v>612400</v>
      </c>
      <c r="J7410" s="536"/>
      <c r="K7410" s="824"/>
    </row>
    <row r="7411" spans="3:11" ht="25.8" customHeight="1">
      <c r="C7411" s="716" t="s">
        <v>1195</v>
      </c>
      <c r="D7411" s="716" t="s">
        <v>1196</v>
      </c>
      <c r="E7411" s="716" t="s">
        <v>1197</v>
      </c>
      <c r="F7411" s="716" t="s">
        <v>1198</v>
      </c>
      <c r="G7411" s="716" t="s">
        <v>1199</v>
      </c>
      <c r="H7411" s="716" t="s">
        <v>1200</v>
      </c>
    </row>
    <row r="7412" spans="3:11" ht="25.8" customHeight="1">
      <c r="C7412" s="213" t="s">
        <v>1201</v>
      </c>
      <c r="D7412" s="212" t="s">
        <v>1202</v>
      </c>
      <c r="E7412" s="534"/>
      <c r="F7412" s="534"/>
      <c r="G7412" s="534"/>
      <c r="H7412" s="534"/>
    </row>
    <row r="7413" spans="3:11" ht="25.8" customHeight="1">
      <c r="C7413" s="818">
        <v>1</v>
      </c>
      <c r="D7413" s="212" t="s">
        <v>5</v>
      </c>
      <c r="E7413" s="212" t="s">
        <v>6</v>
      </c>
      <c r="F7413" s="538">
        <v>0.19</v>
      </c>
      <c r="G7413" s="539">
        <f>VLOOKUP(D7413,upahbahan,3,FALSE)</f>
        <v>100000</v>
      </c>
      <c r="H7413" s="539">
        <f t="shared" ref="H7413:H7416" si="771">F7413*G7413</f>
        <v>19000</v>
      </c>
    </row>
    <row r="7414" spans="3:11" ht="25.8" customHeight="1">
      <c r="C7414" s="818">
        <v>2</v>
      </c>
      <c r="D7414" s="212" t="s">
        <v>17</v>
      </c>
      <c r="E7414" s="212" t="s">
        <v>6</v>
      </c>
      <c r="F7414" s="538">
        <v>0.318</v>
      </c>
      <c r="G7414" s="539">
        <f>VLOOKUP(D7414,upahbahan,3,FALSE)</f>
        <v>135000</v>
      </c>
      <c r="H7414" s="539">
        <f t="shared" si="771"/>
        <v>42930</v>
      </c>
    </row>
    <row r="7415" spans="3:11" ht="25.8" customHeight="1">
      <c r="C7415" s="818">
        <v>3</v>
      </c>
      <c r="D7415" s="212" t="s">
        <v>1310</v>
      </c>
      <c r="E7415" s="212" t="s">
        <v>6</v>
      </c>
      <c r="F7415" s="538">
        <v>3.2000000000000001E-2</v>
      </c>
      <c r="G7415" s="539">
        <f>VLOOKUP(D7415,upahbahan,3,FALSE)</f>
        <v>150000</v>
      </c>
      <c r="H7415" s="539">
        <f t="shared" si="771"/>
        <v>4800</v>
      </c>
    </row>
    <row r="7416" spans="3:11" ht="25.8" customHeight="1">
      <c r="C7416" s="818">
        <v>4</v>
      </c>
      <c r="D7416" s="212" t="s">
        <v>19</v>
      </c>
      <c r="E7416" s="212" t="s">
        <v>6</v>
      </c>
      <c r="F7416" s="538">
        <v>1.0999999999999999E-2</v>
      </c>
      <c r="G7416" s="539">
        <f>VLOOKUP(D7416,upahbahan,3,FALSE)</f>
        <v>160000</v>
      </c>
      <c r="H7416" s="539">
        <f t="shared" si="771"/>
        <v>1760</v>
      </c>
    </row>
    <row r="7417" spans="3:11" ht="25.8" customHeight="1">
      <c r="C7417" s="702" t="s">
        <v>1208</v>
      </c>
      <c r="D7417" s="208"/>
      <c r="E7417" s="208"/>
      <c r="F7417" s="811"/>
      <c r="G7417" s="522"/>
      <c r="H7417" s="539">
        <f>SUM(H7413:H7416)</f>
        <v>68490</v>
      </c>
      <c r="I7417" s="819"/>
    </row>
    <row r="7418" spans="3:11" ht="25.8" customHeight="1">
      <c r="C7418" s="213" t="s">
        <v>1209</v>
      </c>
      <c r="D7418" s="212" t="s">
        <v>1210</v>
      </c>
      <c r="E7418" s="534"/>
      <c r="F7418" s="831"/>
      <c r="G7418" s="534"/>
      <c r="H7418" s="534"/>
    </row>
    <row r="7419" spans="3:11" ht="25.8" customHeight="1">
      <c r="C7419" s="213">
        <v>1</v>
      </c>
      <c r="D7419" s="212" t="s">
        <v>6099</v>
      </c>
      <c r="E7419" s="234" t="s">
        <v>135</v>
      </c>
      <c r="F7419" s="866">
        <v>1.05</v>
      </c>
      <c r="G7419" s="539">
        <f>VLOOKUP(D7419,upahbahan,3,FALSE)</f>
        <v>465000</v>
      </c>
      <c r="H7419" s="539">
        <f t="shared" ref="H7419" si="772">F7419*G7419</f>
        <v>488250</v>
      </c>
    </row>
    <row r="7420" spans="3:11" ht="25.8" customHeight="1">
      <c r="C7420" s="702" t="s">
        <v>1214</v>
      </c>
      <c r="D7420" s="208"/>
      <c r="E7420" s="208" t="s">
        <v>6045</v>
      </c>
      <c r="F7420" s="208"/>
      <c r="G7420" s="209"/>
      <c r="H7420" s="539">
        <f>SUM(H7418:H7419)</f>
        <v>488250</v>
      </c>
    </row>
    <row r="7421" spans="3:11" ht="25.8" customHeight="1">
      <c r="C7421" s="213" t="s">
        <v>1215</v>
      </c>
      <c r="D7421" s="212" t="s">
        <v>1216</v>
      </c>
      <c r="E7421" s="534"/>
      <c r="F7421" s="534"/>
      <c r="G7421" s="534"/>
      <c r="H7421" s="534"/>
    </row>
    <row r="7422" spans="3:11" ht="25.8" customHeight="1">
      <c r="C7422" s="702" t="s">
        <v>1217</v>
      </c>
      <c r="D7422" s="815"/>
      <c r="E7422" s="815"/>
      <c r="F7422" s="815"/>
      <c r="G7422" s="209"/>
      <c r="H7422" s="821">
        <f>SUM(H7421:H7421)</f>
        <v>0</v>
      </c>
    </row>
    <row r="7423" spans="3:11" ht="25.8" customHeight="1">
      <c r="C7423" s="566" t="s">
        <v>1218</v>
      </c>
      <c r="D7423" s="552" t="s">
        <v>1219</v>
      </c>
      <c r="E7423" s="553"/>
      <c r="F7423" s="553"/>
      <c r="G7423" s="554"/>
      <c r="H7423" s="826">
        <f>H7422+H7420+H7417</f>
        <v>556740</v>
      </c>
      <c r="I7423" s="827"/>
    </row>
    <row r="7424" spans="3:11" ht="25.8" customHeight="1">
      <c r="C7424" s="566" t="s">
        <v>1220</v>
      </c>
      <c r="D7424" s="552" t="s">
        <v>1321</v>
      </c>
      <c r="E7424" s="553"/>
      <c r="F7424" s="554"/>
      <c r="G7424" s="555">
        <f>$M$9</f>
        <v>0.1</v>
      </c>
      <c r="H7424" s="539">
        <f>H7423*G7424</f>
        <v>55674</v>
      </c>
      <c r="I7424" s="827"/>
    </row>
    <row r="7425" spans="3:11" ht="25.8" customHeight="1">
      <c r="C7425" s="566" t="s">
        <v>1221</v>
      </c>
      <c r="D7425" s="552" t="s">
        <v>1222</v>
      </c>
      <c r="E7425" s="553"/>
      <c r="F7425" s="553"/>
      <c r="G7425" s="554"/>
      <c r="H7425" s="828">
        <f>SUM(H7423:H7424)</f>
        <v>612414</v>
      </c>
      <c r="I7425" s="827"/>
    </row>
    <row r="7426" spans="3:11" ht="25.8" customHeight="1"/>
    <row r="7427" spans="3:11" ht="25.8" customHeight="1">
      <c r="C7427" s="513" t="s">
        <v>6100</v>
      </c>
      <c r="D7427" s="817" t="s">
        <v>6101</v>
      </c>
      <c r="E7427" s="803"/>
      <c r="F7427" s="803"/>
      <c r="G7427" s="803"/>
      <c r="H7427" s="803"/>
      <c r="I7427" s="533">
        <f>ROUNDDOWN(H7442,-2)</f>
        <v>657400</v>
      </c>
      <c r="J7427" s="536"/>
      <c r="K7427" s="824"/>
    </row>
    <row r="7428" spans="3:11" ht="25.8" customHeight="1">
      <c r="C7428" s="716" t="s">
        <v>1195</v>
      </c>
      <c r="D7428" s="716" t="s">
        <v>1196</v>
      </c>
      <c r="E7428" s="716" t="s">
        <v>1197</v>
      </c>
      <c r="F7428" s="716" t="s">
        <v>1198</v>
      </c>
      <c r="G7428" s="716" t="s">
        <v>1199</v>
      </c>
      <c r="H7428" s="716" t="s">
        <v>1200</v>
      </c>
    </row>
    <row r="7429" spans="3:11" ht="25.8" customHeight="1">
      <c r="C7429" s="213" t="s">
        <v>1201</v>
      </c>
      <c r="D7429" s="212" t="s">
        <v>1202</v>
      </c>
      <c r="E7429" s="534"/>
      <c r="F7429" s="534"/>
      <c r="G7429" s="534"/>
      <c r="H7429" s="534"/>
    </row>
    <row r="7430" spans="3:11" ht="25.8" customHeight="1">
      <c r="C7430" s="818">
        <v>1</v>
      </c>
      <c r="D7430" s="212" t="s">
        <v>5</v>
      </c>
      <c r="E7430" s="212" t="s">
        <v>6</v>
      </c>
      <c r="F7430" s="538">
        <v>0.19</v>
      </c>
      <c r="G7430" s="539">
        <f>VLOOKUP(D7430,upahbahan,3,FALSE)</f>
        <v>100000</v>
      </c>
      <c r="H7430" s="539">
        <f t="shared" ref="H7430:H7433" si="773">F7430*G7430</f>
        <v>19000</v>
      </c>
    </row>
    <row r="7431" spans="3:11" ht="25.8" customHeight="1">
      <c r="C7431" s="818">
        <v>2</v>
      </c>
      <c r="D7431" s="212" t="s">
        <v>17</v>
      </c>
      <c r="E7431" s="212" t="s">
        <v>6</v>
      </c>
      <c r="F7431" s="538">
        <v>0.318</v>
      </c>
      <c r="G7431" s="539">
        <f>VLOOKUP(D7431,upahbahan,3,FALSE)</f>
        <v>135000</v>
      </c>
      <c r="H7431" s="539">
        <f t="shared" si="773"/>
        <v>42930</v>
      </c>
    </row>
    <row r="7432" spans="3:11" ht="25.8" customHeight="1">
      <c r="C7432" s="818">
        <v>3</v>
      </c>
      <c r="D7432" s="212" t="s">
        <v>1310</v>
      </c>
      <c r="E7432" s="212" t="s">
        <v>6</v>
      </c>
      <c r="F7432" s="538">
        <v>3.2000000000000001E-2</v>
      </c>
      <c r="G7432" s="539">
        <f>VLOOKUP(D7432,upahbahan,3,FALSE)</f>
        <v>150000</v>
      </c>
      <c r="H7432" s="539">
        <f t="shared" si="773"/>
        <v>4800</v>
      </c>
    </row>
    <row r="7433" spans="3:11" ht="25.8" customHeight="1">
      <c r="C7433" s="818">
        <v>4</v>
      </c>
      <c r="D7433" s="212" t="s">
        <v>19</v>
      </c>
      <c r="E7433" s="212" t="s">
        <v>6</v>
      </c>
      <c r="F7433" s="538">
        <v>1.0999999999999999E-2</v>
      </c>
      <c r="G7433" s="539">
        <f>VLOOKUP(D7433,upahbahan,3,FALSE)</f>
        <v>160000</v>
      </c>
      <c r="H7433" s="539">
        <f t="shared" si="773"/>
        <v>1760</v>
      </c>
    </row>
    <row r="7434" spans="3:11" ht="25.8" customHeight="1">
      <c r="C7434" s="702" t="s">
        <v>1208</v>
      </c>
      <c r="D7434" s="208"/>
      <c r="E7434" s="208"/>
      <c r="F7434" s="811"/>
      <c r="G7434" s="522"/>
      <c r="H7434" s="539">
        <f>SUM(H7430:H7433)</f>
        <v>68490</v>
      </c>
      <c r="I7434" s="819"/>
    </row>
    <row r="7435" spans="3:11" ht="25.8" customHeight="1">
      <c r="C7435" s="213" t="s">
        <v>1209</v>
      </c>
      <c r="D7435" s="212" t="s">
        <v>1210</v>
      </c>
      <c r="E7435" s="534"/>
      <c r="F7435" s="831"/>
      <c r="G7435" s="534"/>
      <c r="H7435" s="534"/>
    </row>
    <row r="7436" spans="3:11" ht="25.8" customHeight="1">
      <c r="C7436" s="213">
        <v>1</v>
      </c>
      <c r="D7436" s="212" t="s">
        <v>6102</v>
      </c>
      <c r="E7436" s="234" t="s">
        <v>135</v>
      </c>
      <c r="F7436" s="866">
        <v>1.05</v>
      </c>
      <c r="G7436" s="539">
        <f>VLOOKUP(D7436,upahbahan,3,FALSE)</f>
        <v>504000</v>
      </c>
      <c r="H7436" s="539">
        <f t="shared" ref="H7436" si="774">F7436*G7436</f>
        <v>529200</v>
      </c>
    </row>
    <row r="7437" spans="3:11" ht="25.8" customHeight="1">
      <c r="C7437" s="702" t="s">
        <v>1214</v>
      </c>
      <c r="D7437" s="208"/>
      <c r="E7437" s="208" t="s">
        <v>6045</v>
      </c>
      <c r="F7437" s="208"/>
      <c r="G7437" s="209"/>
      <c r="H7437" s="539">
        <f>SUM(H7435:H7436)</f>
        <v>529200</v>
      </c>
    </row>
    <row r="7438" spans="3:11" ht="25.8" customHeight="1">
      <c r="C7438" s="213" t="s">
        <v>1215</v>
      </c>
      <c r="D7438" s="212" t="s">
        <v>1216</v>
      </c>
      <c r="E7438" s="534"/>
      <c r="F7438" s="534"/>
      <c r="G7438" s="534"/>
      <c r="H7438" s="534"/>
    </row>
    <row r="7439" spans="3:11" ht="25.8" customHeight="1">
      <c r="C7439" s="702" t="s">
        <v>1217</v>
      </c>
      <c r="D7439" s="815"/>
      <c r="E7439" s="815"/>
      <c r="F7439" s="815"/>
      <c r="G7439" s="209"/>
      <c r="H7439" s="821">
        <f>SUM(H7438:H7438)</f>
        <v>0</v>
      </c>
    </row>
    <row r="7440" spans="3:11" ht="25.8" customHeight="1">
      <c r="C7440" s="566" t="s">
        <v>1218</v>
      </c>
      <c r="D7440" s="552" t="s">
        <v>1219</v>
      </c>
      <c r="E7440" s="553"/>
      <c r="F7440" s="553"/>
      <c r="G7440" s="554"/>
      <c r="H7440" s="826">
        <f>H7439+H7437+H7434</f>
        <v>597690</v>
      </c>
      <c r="I7440" s="827"/>
    </row>
    <row r="7441" spans="3:11" ht="25.8" customHeight="1">
      <c r="C7441" s="566" t="s">
        <v>1220</v>
      </c>
      <c r="D7441" s="552" t="s">
        <v>1321</v>
      </c>
      <c r="E7441" s="553"/>
      <c r="F7441" s="554"/>
      <c r="G7441" s="555">
        <f>$M$9</f>
        <v>0.1</v>
      </c>
      <c r="H7441" s="539">
        <f>H7440*G7441</f>
        <v>59769</v>
      </c>
      <c r="I7441" s="827"/>
    </row>
    <row r="7442" spans="3:11" ht="25.8" customHeight="1">
      <c r="C7442" s="566" t="s">
        <v>1221</v>
      </c>
      <c r="D7442" s="552" t="s">
        <v>1222</v>
      </c>
      <c r="E7442" s="553"/>
      <c r="F7442" s="553"/>
      <c r="G7442" s="554"/>
      <c r="H7442" s="828">
        <f>SUM(H7440:H7441)</f>
        <v>657459</v>
      </c>
      <c r="I7442" s="827"/>
    </row>
    <row r="7443" spans="3:11" ht="25.8" customHeight="1"/>
    <row r="7444" spans="3:11" ht="25.8" customHeight="1"/>
    <row r="7445" spans="3:11" ht="25.8" customHeight="1">
      <c r="C7445" s="513" t="s">
        <v>6103</v>
      </c>
      <c r="D7445" s="817" t="s">
        <v>6104</v>
      </c>
      <c r="E7445" s="803"/>
      <c r="F7445" s="803"/>
      <c r="G7445" s="803"/>
      <c r="H7445" s="803"/>
      <c r="I7445" s="533">
        <f>ROUNDDOWN(H7466,-2)</f>
        <v>2279100</v>
      </c>
      <c r="J7445" s="536"/>
      <c r="K7445" s="824"/>
    </row>
    <row r="7446" spans="3:11" ht="25.8" customHeight="1">
      <c r="C7446" s="716" t="s">
        <v>1195</v>
      </c>
      <c r="D7446" s="716" t="s">
        <v>1196</v>
      </c>
      <c r="E7446" s="716" t="s">
        <v>1197</v>
      </c>
      <c r="F7446" s="716" t="s">
        <v>1198</v>
      </c>
      <c r="G7446" s="716" t="s">
        <v>1199</v>
      </c>
      <c r="H7446" s="716" t="s">
        <v>1200</v>
      </c>
    </row>
    <row r="7447" spans="3:11" ht="25.8" customHeight="1">
      <c r="C7447" s="213" t="s">
        <v>1201</v>
      </c>
      <c r="D7447" s="212" t="s">
        <v>1202</v>
      </c>
      <c r="E7447" s="534"/>
      <c r="F7447" s="534"/>
      <c r="G7447" s="534"/>
      <c r="H7447" s="534"/>
    </row>
    <row r="7448" spans="3:11" ht="25.8" customHeight="1">
      <c r="C7448" s="818">
        <v>1</v>
      </c>
      <c r="D7448" s="212" t="s">
        <v>5</v>
      </c>
      <c r="E7448" s="212" t="s">
        <v>6</v>
      </c>
      <c r="F7448" s="538">
        <v>0.25</v>
      </c>
      <c r="G7448" s="539">
        <f>VLOOKUP(D7448,upahbahan,3,FALSE)</f>
        <v>100000</v>
      </c>
      <c r="H7448" s="539">
        <f t="shared" ref="H7448:H7451" si="775">F7448*G7448</f>
        <v>25000</v>
      </c>
    </row>
    <row r="7449" spans="3:11" ht="25.8" customHeight="1">
      <c r="C7449" s="818">
        <v>2</v>
      </c>
      <c r="D7449" s="212" t="s">
        <v>17</v>
      </c>
      <c r="E7449" s="212" t="s">
        <v>6</v>
      </c>
      <c r="F7449" s="538">
        <v>0.41799999999999998</v>
      </c>
      <c r="G7449" s="539">
        <f>VLOOKUP(D7449,upahbahan,3,FALSE)</f>
        <v>135000</v>
      </c>
      <c r="H7449" s="539">
        <f t="shared" si="775"/>
        <v>56430</v>
      </c>
    </row>
    <row r="7450" spans="3:11" ht="25.8" customHeight="1">
      <c r="C7450" s="818">
        <v>3</v>
      </c>
      <c r="D7450" s="212" t="s">
        <v>1310</v>
      </c>
      <c r="E7450" s="212" t="s">
        <v>6</v>
      </c>
      <c r="F7450" s="538">
        <v>4.2000000000000003E-2</v>
      </c>
      <c r="G7450" s="539">
        <f>VLOOKUP(D7450,upahbahan,3,FALSE)</f>
        <v>150000</v>
      </c>
      <c r="H7450" s="539">
        <f t="shared" si="775"/>
        <v>6300</v>
      </c>
    </row>
    <row r="7451" spans="3:11" ht="25.8" customHeight="1">
      <c r="C7451" s="818">
        <v>4</v>
      </c>
      <c r="D7451" s="212" t="s">
        <v>19</v>
      </c>
      <c r="E7451" s="212" t="s">
        <v>6</v>
      </c>
      <c r="F7451" s="538">
        <v>1.4E-2</v>
      </c>
      <c r="G7451" s="539">
        <f>VLOOKUP(D7451,upahbahan,3,FALSE)</f>
        <v>160000</v>
      </c>
      <c r="H7451" s="539">
        <f t="shared" si="775"/>
        <v>2240</v>
      </c>
    </row>
    <row r="7452" spans="3:11" ht="25.8" customHeight="1">
      <c r="C7452" s="702" t="s">
        <v>1208</v>
      </c>
      <c r="D7452" s="208"/>
      <c r="E7452" s="208"/>
      <c r="F7452" s="811"/>
      <c r="G7452" s="522"/>
      <c r="H7452" s="539">
        <f>SUM(H7448:H7451)</f>
        <v>89970</v>
      </c>
      <c r="I7452" s="819"/>
    </row>
    <row r="7453" spans="3:11" ht="25.8" customHeight="1">
      <c r="C7453" s="213" t="s">
        <v>1209</v>
      </c>
      <c r="D7453" s="212" t="s">
        <v>1210</v>
      </c>
      <c r="E7453" s="534"/>
      <c r="F7453" s="831"/>
      <c r="G7453" s="534"/>
      <c r="H7453" s="534"/>
    </row>
    <row r="7454" spans="3:11" ht="25.8" customHeight="1">
      <c r="C7454" s="213">
        <v>1</v>
      </c>
      <c r="D7454" s="212" t="s">
        <v>6105</v>
      </c>
      <c r="E7454" s="234" t="s">
        <v>1300</v>
      </c>
      <c r="F7454" s="866">
        <v>49.5</v>
      </c>
      <c r="G7454" s="539">
        <f t="shared" ref="G7454:G7460" si="776">VLOOKUP(D7454,upahbahan,3,FALSE)</f>
        <v>0</v>
      </c>
      <c r="H7454" s="539">
        <f t="shared" ref="H7454:H7460" si="777">F7454*G7454</f>
        <v>0</v>
      </c>
    </row>
    <row r="7455" spans="3:11" ht="25.8" customHeight="1">
      <c r="C7455" s="213">
        <v>2</v>
      </c>
      <c r="D7455" s="212" t="s">
        <v>3542</v>
      </c>
      <c r="E7455" s="234" t="s">
        <v>1300</v>
      </c>
      <c r="F7455" s="866">
        <v>49.5</v>
      </c>
      <c r="G7455" s="539">
        <f t="shared" si="776"/>
        <v>16195.5</v>
      </c>
      <c r="H7455" s="539">
        <f t="shared" si="777"/>
        <v>801677.25</v>
      </c>
    </row>
    <row r="7456" spans="3:11" ht="25.8" customHeight="1">
      <c r="C7456" s="213">
        <v>3</v>
      </c>
      <c r="D7456" s="212" t="s">
        <v>3540</v>
      </c>
      <c r="E7456" s="234" t="s">
        <v>44</v>
      </c>
      <c r="F7456" s="866">
        <v>1</v>
      </c>
      <c r="G7456" s="539">
        <f t="shared" si="776"/>
        <v>3600</v>
      </c>
      <c r="H7456" s="539">
        <f t="shared" si="777"/>
        <v>3600</v>
      </c>
    </row>
    <row r="7457" spans="3:11" ht="25.8" customHeight="1">
      <c r="C7457" s="213">
        <v>4</v>
      </c>
      <c r="D7457" s="212" t="s">
        <v>3541</v>
      </c>
      <c r="E7457" s="234" t="s">
        <v>44</v>
      </c>
      <c r="F7457" s="866">
        <v>25</v>
      </c>
      <c r="G7457" s="539">
        <f t="shared" si="776"/>
        <v>700</v>
      </c>
      <c r="H7457" s="539">
        <f t="shared" si="777"/>
        <v>17500</v>
      </c>
    </row>
    <row r="7458" spans="3:11" ht="25.8" customHeight="1">
      <c r="C7458" s="213">
        <v>5</v>
      </c>
      <c r="D7458" s="212" t="s">
        <v>5816</v>
      </c>
      <c r="E7458" s="234" t="s">
        <v>44</v>
      </c>
      <c r="F7458" s="866">
        <v>50</v>
      </c>
      <c r="G7458" s="539">
        <f t="shared" si="776"/>
        <v>891</v>
      </c>
      <c r="H7458" s="539">
        <f t="shared" si="777"/>
        <v>44550</v>
      </c>
    </row>
    <row r="7459" spans="3:11" ht="25.8" customHeight="1">
      <c r="C7459" s="213">
        <v>6</v>
      </c>
      <c r="D7459" s="212" t="s">
        <v>5818</v>
      </c>
      <c r="E7459" s="234" t="s">
        <v>44</v>
      </c>
      <c r="F7459" s="866">
        <v>1</v>
      </c>
      <c r="G7459" s="539">
        <f t="shared" si="776"/>
        <v>952.2</v>
      </c>
      <c r="H7459" s="539">
        <f t="shared" si="777"/>
        <v>952.2</v>
      </c>
    </row>
    <row r="7460" spans="3:11" ht="25.8" customHeight="1">
      <c r="C7460" s="213">
        <v>7</v>
      </c>
      <c r="D7460" s="212" t="s">
        <v>3545</v>
      </c>
      <c r="E7460" s="234" t="s">
        <v>44</v>
      </c>
      <c r="F7460" s="866">
        <v>75</v>
      </c>
      <c r="G7460" s="539">
        <f t="shared" si="776"/>
        <v>14850</v>
      </c>
      <c r="H7460" s="539">
        <f t="shared" si="777"/>
        <v>1113750</v>
      </c>
    </row>
    <row r="7461" spans="3:11" ht="25.8" customHeight="1">
      <c r="C7461" s="702" t="s">
        <v>1214</v>
      </c>
      <c r="D7461" s="208"/>
      <c r="E7461" s="208" t="s">
        <v>6045</v>
      </c>
      <c r="F7461" s="208"/>
      <c r="G7461" s="209"/>
      <c r="H7461" s="539">
        <f>SUM(H7453:H7460)</f>
        <v>1982029.45</v>
      </c>
    </row>
    <row r="7462" spans="3:11" ht="25.8" customHeight="1">
      <c r="C7462" s="213" t="s">
        <v>1215</v>
      </c>
      <c r="D7462" s="212" t="s">
        <v>1216</v>
      </c>
      <c r="E7462" s="534"/>
      <c r="F7462" s="534"/>
      <c r="G7462" s="534"/>
      <c r="H7462" s="534"/>
    </row>
    <row r="7463" spans="3:11" ht="25.8" customHeight="1">
      <c r="C7463" s="702" t="s">
        <v>1217</v>
      </c>
      <c r="D7463" s="815"/>
      <c r="E7463" s="815"/>
      <c r="F7463" s="815"/>
      <c r="G7463" s="209"/>
      <c r="H7463" s="821">
        <f>SUM(H7462:H7462)</f>
        <v>0</v>
      </c>
    </row>
    <row r="7464" spans="3:11" ht="25.8" customHeight="1">
      <c r="C7464" s="566" t="s">
        <v>1218</v>
      </c>
      <c r="D7464" s="552" t="s">
        <v>1219</v>
      </c>
      <c r="E7464" s="553"/>
      <c r="F7464" s="553"/>
      <c r="G7464" s="554"/>
      <c r="H7464" s="826">
        <f>H7463+H7461+H7452</f>
        <v>2071999.45</v>
      </c>
      <c r="I7464" s="827"/>
    </row>
    <row r="7465" spans="3:11" ht="25.8" customHeight="1">
      <c r="C7465" s="566" t="s">
        <v>1220</v>
      </c>
      <c r="D7465" s="552" t="s">
        <v>1321</v>
      </c>
      <c r="E7465" s="553"/>
      <c r="F7465" s="554"/>
      <c r="G7465" s="555">
        <f>$M$9</f>
        <v>0.1</v>
      </c>
      <c r="H7465" s="539">
        <f>H7464*G7465</f>
        <v>207199.94500000001</v>
      </c>
      <c r="I7465" s="827"/>
    </row>
    <row r="7466" spans="3:11" ht="25.8" customHeight="1">
      <c r="C7466" s="566" t="s">
        <v>1221</v>
      </c>
      <c r="D7466" s="552" t="s">
        <v>1222</v>
      </c>
      <c r="E7466" s="553"/>
      <c r="F7466" s="553"/>
      <c r="G7466" s="554"/>
      <c r="H7466" s="828">
        <f>SUM(H7464:H7465)</f>
        <v>2279199.395</v>
      </c>
      <c r="I7466" s="827"/>
    </row>
    <row r="7467" spans="3:11" ht="25.8" customHeight="1"/>
    <row r="7468" spans="3:11" ht="25.8" customHeight="1">
      <c r="C7468" s="571" t="s">
        <v>6106</v>
      </c>
      <c r="D7468" s="571" t="s">
        <v>6107</v>
      </c>
    </row>
    <row r="7469" spans="3:11" ht="25.8" customHeight="1">
      <c r="C7469" s="513" t="s">
        <v>6108</v>
      </c>
      <c r="D7469" s="817" t="s">
        <v>6109</v>
      </c>
      <c r="E7469" s="803"/>
      <c r="F7469" s="803"/>
      <c r="G7469" s="803"/>
      <c r="H7469" s="803"/>
      <c r="I7469" s="533">
        <f>ROUNDDOWN(H7484,-2)</f>
        <v>1725500</v>
      </c>
      <c r="J7469" s="536"/>
      <c r="K7469" s="824"/>
    </row>
    <row r="7470" spans="3:11" ht="25.8" customHeight="1">
      <c r="C7470" s="716" t="s">
        <v>1195</v>
      </c>
      <c r="D7470" s="716" t="s">
        <v>1196</v>
      </c>
      <c r="E7470" s="716" t="s">
        <v>1197</v>
      </c>
      <c r="F7470" s="716" t="s">
        <v>1198</v>
      </c>
      <c r="G7470" s="716" t="s">
        <v>1199</v>
      </c>
      <c r="H7470" s="716" t="s">
        <v>1200</v>
      </c>
    </row>
    <row r="7471" spans="3:11" ht="25.8" customHeight="1">
      <c r="C7471" s="213" t="s">
        <v>1201</v>
      </c>
      <c r="D7471" s="212" t="s">
        <v>1202</v>
      </c>
      <c r="E7471" s="534"/>
      <c r="F7471" s="534"/>
      <c r="G7471" s="534"/>
      <c r="H7471" s="534"/>
    </row>
    <row r="7472" spans="3:11" ht="25.8" customHeight="1">
      <c r="C7472" s="818">
        <v>1</v>
      </c>
      <c r="D7472" s="212" t="s">
        <v>5</v>
      </c>
      <c r="E7472" s="212" t="s">
        <v>6</v>
      </c>
      <c r="F7472" s="538">
        <v>0.129</v>
      </c>
      <c r="G7472" s="539">
        <f>VLOOKUP(D7472,upahbahan,3,FALSE)</f>
        <v>100000</v>
      </c>
      <c r="H7472" s="539">
        <f t="shared" ref="H7472:H7475" si="778">F7472*G7472</f>
        <v>12900</v>
      </c>
    </row>
    <row r="7473" spans="3:11" ht="25.8" customHeight="1">
      <c r="C7473" s="818">
        <v>2</v>
      </c>
      <c r="D7473" s="212" t="s">
        <v>17</v>
      </c>
      <c r="E7473" s="212" t="s">
        <v>6</v>
      </c>
      <c r="F7473" s="538">
        <v>0.215</v>
      </c>
      <c r="G7473" s="539">
        <f>VLOOKUP(D7473,upahbahan,3,FALSE)</f>
        <v>135000</v>
      </c>
      <c r="H7473" s="539">
        <f t="shared" si="778"/>
        <v>29025</v>
      </c>
    </row>
    <row r="7474" spans="3:11" ht="25.8" customHeight="1">
      <c r="C7474" s="818">
        <v>3</v>
      </c>
      <c r="D7474" s="212" t="s">
        <v>1310</v>
      </c>
      <c r="E7474" s="212" t="s">
        <v>6</v>
      </c>
      <c r="F7474" s="538">
        <v>2.1000000000000001E-2</v>
      </c>
      <c r="G7474" s="539">
        <f>VLOOKUP(D7474,upahbahan,3,FALSE)</f>
        <v>150000</v>
      </c>
      <c r="H7474" s="539">
        <f t="shared" si="778"/>
        <v>3150</v>
      </c>
    </row>
    <row r="7475" spans="3:11" ht="25.8" customHeight="1">
      <c r="C7475" s="818">
        <v>4</v>
      </c>
      <c r="D7475" s="212" t="s">
        <v>19</v>
      </c>
      <c r="E7475" s="212" t="s">
        <v>6</v>
      </c>
      <c r="F7475" s="538">
        <v>7.0000000000000001E-3</v>
      </c>
      <c r="G7475" s="539">
        <f>VLOOKUP(D7475,upahbahan,3,FALSE)</f>
        <v>160000</v>
      </c>
      <c r="H7475" s="539">
        <f t="shared" si="778"/>
        <v>1120</v>
      </c>
    </row>
    <row r="7476" spans="3:11" ht="25.8" customHeight="1">
      <c r="C7476" s="702" t="s">
        <v>1208</v>
      </c>
      <c r="D7476" s="208"/>
      <c r="E7476" s="208"/>
      <c r="F7476" s="811"/>
      <c r="G7476" s="522"/>
      <c r="H7476" s="539">
        <f>SUM(H7472:H7475)</f>
        <v>46195</v>
      </c>
      <c r="I7476" s="819"/>
    </row>
    <row r="7477" spans="3:11" ht="25.8" customHeight="1">
      <c r="C7477" s="213" t="s">
        <v>1209</v>
      </c>
      <c r="D7477" s="212" t="s">
        <v>1210</v>
      </c>
      <c r="E7477" s="534"/>
      <c r="F7477" s="831"/>
      <c r="G7477" s="534"/>
      <c r="H7477" s="534"/>
    </row>
    <row r="7478" spans="3:11" ht="25.8" customHeight="1">
      <c r="C7478" s="213">
        <v>1</v>
      </c>
      <c r="D7478" s="212" t="s">
        <v>6110</v>
      </c>
      <c r="E7478" s="234" t="s">
        <v>135</v>
      </c>
      <c r="F7478" s="866">
        <v>1.05</v>
      </c>
      <c r="G7478" s="539">
        <f>VLOOKUP(D7478,upahbahan,3,FALSE)</f>
        <v>1450000</v>
      </c>
      <c r="H7478" s="539">
        <f t="shared" ref="H7478" si="779">F7478*G7478</f>
        <v>1522500</v>
      </c>
    </row>
    <row r="7479" spans="3:11" ht="25.8" customHeight="1">
      <c r="C7479" s="702" t="s">
        <v>1214</v>
      </c>
      <c r="D7479" s="208"/>
      <c r="E7479" s="208" t="s">
        <v>6045</v>
      </c>
      <c r="F7479" s="208"/>
      <c r="G7479" s="209"/>
      <c r="H7479" s="539">
        <f>SUM(H7477:H7478)</f>
        <v>1522500</v>
      </c>
    </row>
    <row r="7480" spans="3:11" ht="25.8" customHeight="1">
      <c r="C7480" s="213" t="s">
        <v>1215</v>
      </c>
      <c r="D7480" s="212" t="s">
        <v>1216</v>
      </c>
      <c r="E7480" s="534"/>
      <c r="F7480" s="534"/>
      <c r="G7480" s="534"/>
      <c r="H7480" s="534"/>
    </row>
    <row r="7481" spans="3:11" ht="25.8" customHeight="1">
      <c r="C7481" s="702" t="s">
        <v>1217</v>
      </c>
      <c r="D7481" s="815"/>
      <c r="E7481" s="815"/>
      <c r="F7481" s="815"/>
      <c r="G7481" s="209"/>
      <c r="H7481" s="821">
        <f>SUM(H7480:H7480)</f>
        <v>0</v>
      </c>
    </row>
    <row r="7482" spans="3:11" ht="25.8" customHeight="1">
      <c r="C7482" s="566" t="s">
        <v>1218</v>
      </c>
      <c r="D7482" s="552" t="s">
        <v>1219</v>
      </c>
      <c r="E7482" s="553"/>
      <c r="F7482" s="553"/>
      <c r="G7482" s="554"/>
      <c r="H7482" s="826">
        <f>H7481+H7479+H7476</f>
        <v>1568695</v>
      </c>
      <c r="I7482" s="827"/>
    </row>
    <row r="7483" spans="3:11" ht="25.8" customHeight="1">
      <c r="C7483" s="566" t="s">
        <v>1220</v>
      </c>
      <c r="D7483" s="552" t="s">
        <v>1321</v>
      </c>
      <c r="E7483" s="553"/>
      <c r="F7483" s="554"/>
      <c r="G7483" s="555">
        <f>$M$9</f>
        <v>0.1</v>
      </c>
      <c r="H7483" s="539">
        <f>H7482*G7483</f>
        <v>156869.5</v>
      </c>
      <c r="I7483" s="827"/>
    </row>
    <row r="7484" spans="3:11" ht="25.8" customHeight="1">
      <c r="C7484" s="566" t="s">
        <v>1221</v>
      </c>
      <c r="D7484" s="552" t="s">
        <v>1222</v>
      </c>
      <c r="E7484" s="553"/>
      <c r="F7484" s="553"/>
      <c r="G7484" s="554"/>
      <c r="H7484" s="828">
        <f>SUM(H7482:H7483)</f>
        <v>1725564.5</v>
      </c>
      <c r="I7484" s="827"/>
    </row>
    <row r="7485" spans="3:11" ht="25.8" customHeight="1"/>
    <row r="7486" spans="3:11" ht="25.8" customHeight="1">
      <c r="C7486" s="513" t="s">
        <v>6111</v>
      </c>
      <c r="D7486" s="817" t="s">
        <v>6112</v>
      </c>
      <c r="E7486" s="803"/>
      <c r="F7486" s="803"/>
      <c r="G7486" s="803"/>
      <c r="H7486" s="803"/>
      <c r="I7486" s="533">
        <f>ROUNDDOWN(H7501,-2)</f>
        <v>1132300</v>
      </c>
      <c r="J7486" s="536"/>
      <c r="K7486" s="824"/>
    </row>
    <row r="7487" spans="3:11" ht="25.8" customHeight="1">
      <c r="C7487" s="716" t="s">
        <v>1195</v>
      </c>
      <c r="D7487" s="716" t="s">
        <v>1196</v>
      </c>
      <c r="E7487" s="716" t="s">
        <v>1197</v>
      </c>
      <c r="F7487" s="716" t="s">
        <v>1198</v>
      </c>
      <c r="G7487" s="716" t="s">
        <v>1199</v>
      </c>
      <c r="H7487" s="716" t="s">
        <v>1200</v>
      </c>
    </row>
    <row r="7488" spans="3:11" ht="25.8" customHeight="1">
      <c r="C7488" s="213" t="s">
        <v>1201</v>
      </c>
      <c r="D7488" s="212" t="s">
        <v>1202</v>
      </c>
      <c r="E7488" s="534"/>
      <c r="F7488" s="534"/>
      <c r="G7488" s="534"/>
      <c r="H7488" s="534"/>
    </row>
    <row r="7489" spans="3:11" ht="25.8" customHeight="1">
      <c r="C7489" s="818">
        <v>1</v>
      </c>
      <c r="D7489" s="212" t="s">
        <v>5</v>
      </c>
      <c r="E7489" s="212" t="s">
        <v>6</v>
      </c>
      <c r="F7489" s="538">
        <v>0.38100000000000001</v>
      </c>
      <c r="G7489" s="539">
        <f>VLOOKUP(D7489,upahbahan,3,FALSE)</f>
        <v>100000</v>
      </c>
      <c r="H7489" s="539">
        <f t="shared" ref="H7489:H7492" si="780">F7489*G7489</f>
        <v>38100</v>
      </c>
    </row>
    <row r="7490" spans="3:11" ht="25.8" customHeight="1">
      <c r="C7490" s="818">
        <v>2</v>
      </c>
      <c r="D7490" s="212" t="s">
        <v>17</v>
      </c>
      <c r="E7490" s="212" t="s">
        <v>6</v>
      </c>
      <c r="F7490" s="538">
        <v>0.63600000000000001</v>
      </c>
      <c r="G7490" s="539">
        <f>VLOOKUP(D7490,upahbahan,3,FALSE)</f>
        <v>135000</v>
      </c>
      <c r="H7490" s="539">
        <f t="shared" si="780"/>
        <v>85860</v>
      </c>
    </row>
    <row r="7491" spans="3:11" ht="25.8" customHeight="1">
      <c r="C7491" s="818">
        <v>3</v>
      </c>
      <c r="D7491" s="212" t="s">
        <v>1310</v>
      </c>
      <c r="E7491" s="212" t="s">
        <v>6</v>
      </c>
      <c r="F7491" s="538">
        <v>6.4000000000000001E-2</v>
      </c>
      <c r="G7491" s="539">
        <f>VLOOKUP(D7491,upahbahan,3,FALSE)</f>
        <v>150000</v>
      </c>
      <c r="H7491" s="539">
        <f t="shared" si="780"/>
        <v>9600</v>
      </c>
    </row>
    <row r="7492" spans="3:11" ht="25.8" customHeight="1">
      <c r="C7492" s="818">
        <v>4</v>
      </c>
      <c r="D7492" s="212" t="s">
        <v>19</v>
      </c>
      <c r="E7492" s="212" t="s">
        <v>6</v>
      </c>
      <c r="F7492" s="538">
        <v>2.1000000000000001E-2</v>
      </c>
      <c r="G7492" s="539">
        <f>VLOOKUP(D7492,upahbahan,3,FALSE)</f>
        <v>160000</v>
      </c>
      <c r="H7492" s="539">
        <f t="shared" si="780"/>
        <v>3360</v>
      </c>
    </row>
    <row r="7493" spans="3:11" ht="25.8" customHeight="1">
      <c r="C7493" s="702" t="s">
        <v>1208</v>
      </c>
      <c r="D7493" s="208"/>
      <c r="E7493" s="208"/>
      <c r="F7493" s="811"/>
      <c r="G7493" s="522"/>
      <c r="H7493" s="539">
        <f>SUM(H7489:H7492)</f>
        <v>136920</v>
      </c>
      <c r="I7493" s="819"/>
    </row>
    <row r="7494" spans="3:11" ht="25.8" customHeight="1">
      <c r="C7494" s="213" t="s">
        <v>1209</v>
      </c>
      <c r="D7494" s="212" t="s">
        <v>1210</v>
      </c>
      <c r="E7494" s="534"/>
      <c r="F7494" s="831"/>
      <c r="G7494" s="534"/>
      <c r="H7494" s="534"/>
    </row>
    <row r="7495" spans="3:11" ht="25.8" customHeight="1">
      <c r="C7495" s="213">
        <v>1</v>
      </c>
      <c r="D7495" s="212" t="s">
        <v>6113</v>
      </c>
      <c r="E7495" s="234" t="s">
        <v>135</v>
      </c>
      <c r="F7495" s="866">
        <v>1.05</v>
      </c>
      <c r="G7495" s="539">
        <f>VLOOKUP(D7495,upahbahan,3,FALSE)</f>
        <v>850000</v>
      </c>
      <c r="H7495" s="539">
        <f t="shared" ref="H7495" si="781">F7495*G7495</f>
        <v>892500</v>
      </c>
    </row>
    <row r="7496" spans="3:11" ht="25.8" customHeight="1">
      <c r="C7496" s="702" t="s">
        <v>1214</v>
      </c>
      <c r="D7496" s="208"/>
      <c r="E7496" s="208" t="s">
        <v>6045</v>
      </c>
      <c r="F7496" s="208"/>
      <c r="G7496" s="209"/>
      <c r="H7496" s="539">
        <f>SUM(H7494:H7495)</f>
        <v>892500</v>
      </c>
    </row>
    <row r="7497" spans="3:11" ht="25.8" customHeight="1">
      <c r="C7497" s="213" t="s">
        <v>1215</v>
      </c>
      <c r="D7497" s="212" t="s">
        <v>1216</v>
      </c>
      <c r="E7497" s="534"/>
      <c r="F7497" s="534"/>
      <c r="G7497" s="534"/>
      <c r="H7497" s="534"/>
    </row>
    <row r="7498" spans="3:11" ht="25.8" customHeight="1">
      <c r="C7498" s="702" t="s">
        <v>1217</v>
      </c>
      <c r="D7498" s="815"/>
      <c r="E7498" s="815"/>
      <c r="F7498" s="815"/>
      <c r="G7498" s="209"/>
      <c r="H7498" s="821">
        <f>SUM(H7497:H7497)</f>
        <v>0</v>
      </c>
    </row>
    <row r="7499" spans="3:11" ht="25.8" customHeight="1">
      <c r="C7499" s="566" t="s">
        <v>1218</v>
      </c>
      <c r="D7499" s="552" t="s">
        <v>1219</v>
      </c>
      <c r="E7499" s="553"/>
      <c r="F7499" s="553"/>
      <c r="G7499" s="554"/>
      <c r="H7499" s="826">
        <f>H7498+H7496+H7493</f>
        <v>1029420</v>
      </c>
      <c r="I7499" s="827"/>
    </row>
    <row r="7500" spans="3:11" ht="25.8" customHeight="1">
      <c r="C7500" s="566" t="s">
        <v>1220</v>
      </c>
      <c r="D7500" s="552" t="s">
        <v>1321</v>
      </c>
      <c r="E7500" s="553"/>
      <c r="F7500" s="554"/>
      <c r="G7500" s="555">
        <f>$M$9</f>
        <v>0.1</v>
      </c>
      <c r="H7500" s="539">
        <f>H7499*G7500</f>
        <v>102942</v>
      </c>
      <c r="I7500" s="827"/>
    </row>
    <row r="7501" spans="3:11" ht="25.8" customHeight="1">
      <c r="C7501" s="566" t="s">
        <v>1221</v>
      </c>
      <c r="D7501" s="552" t="s">
        <v>1222</v>
      </c>
      <c r="E7501" s="553"/>
      <c r="F7501" s="553"/>
      <c r="G7501" s="554"/>
      <c r="H7501" s="828">
        <f>SUM(H7499:H7500)</f>
        <v>1132362</v>
      </c>
      <c r="I7501" s="827"/>
    </row>
    <row r="7502" spans="3:11" ht="25.8" customHeight="1"/>
    <row r="7503" spans="3:11" ht="25.8" customHeight="1">
      <c r="C7503" s="513" t="s">
        <v>6114</v>
      </c>
      <c r="D7503" s="817" t="s">
        <v>6115</v>
      </c>
      <c r="E7503" s="803"/>
      <c r="F7503" s="803"/>
      <c r="G7503" s="803"/>
      <c r="H7503" s="803"/>
      <c r="I7503" s="533">
        <f>ROUNDDOWN(H7518,-2)</f>
        <v>1807800</v>
      </c>
      <c r="J7503" s="536"/>
      <c r="K7503" s="824"/>
    </row>
    <row r="7504" spans="3:11" ht="25.8" customHeight="1">
      <c r="C7504" s="716" t="s">
        <v>1195</v>
      </c>
      <c r="D7504" s="716" t="s">
        <v>1196</v>
      </c>
      <c r="E7504" s="716" t="s">
        <v>1197</v>
      </c>
      <c r="F7504" s="716" t="s">
        <v>1198</v>
      </c>
      <c r="G7504" s="716" t="s">
        <v>1199</v>
      </c>
      <c r="H7504" s="716" t="s">
        <v>1200</v>
      </c>
    </row>
    <row r="7505" spans="3:11" ht="25.8" customHeight="1">
      <c r="C7505" s="213" t="s">
        <v>1201</v>
      </c>
      <c r="D7505" s="212" t="s">
        <v>1202</v>
      </c>
      <c r="E7505" s="534"/>
      <c r="F7505" s="534"/>
      <c r="G7505" s="534"/>
      <c r="H7505" s="534"/>
    </row>
    <row r="7506" spans="3:11" ht="25.8" customHeight="1">
      <c r="C7506" s="818">
        <v>1</v>
      </c>
      <c r="D7506" s="212" t="s">
        <v>5</v>
      </c>
      <c r="E7506" s="212" t="s">
        <v>6</v>
      </c>
      <c r="F7506" s="538">
        <v>0.19</v>
      </c>
      <c r="G7506" s="539">
        <f>VLOOKUP(D7506,upahbahan,3,FALSE)</f>
        <v>100000</v>
      </c>
      <c r="H7506" s="539">
        <f t="shared" ref="H7506:H7509" si="782">F7506*G7506</f>
        <v>19000</v>
      </c>
    </row>
    <row r="7507" spans="3:11" ht="25.8" customHeight="1">
      <c r="C7507" s="818">
        <v>2</v>
      </c>
      <c r="D7507" s="212" t="s">
        <v>17</v>
      </c>
      <c r="E7507" s="212" t="s">
        <v>6</v>
      </c>
      <c r="F7507" s="538">
        <v>0.318</v>
      </c>
      <c r="G7507" s="539">
        <f>VLOOKUP(D7507,upahbahan,3,FALSE)</f>
        <v>135000</v>
      </c>
      <c r="H7507" s="539">
        <f t="shared" si="782"/>
        <v>42930</v>
      </c>
    </row>
    <row r="7508" spans="3:11" ht="25.8" customHeight="1">
      <c r="C7508" s="818">
        <v>3</v>
      </c>
      <c r="D7508" s="212" t="s">
        <v>1310</v>
      </c>
      <c r="E7508" s="212" t="s">
        <v>6</v>
      </c>
      <c r="F7508" s="538">
        <v>3.2000000000000001E-2</v>
      </c>
      <c r="G7508" s="539">
        <f>VLOOKUP(D7508,upahbahan,3,FALSE)</f>
        <v>150000</v>
      </c>
      <c r="H7508" s="539">
        <f t="shared" si="782"/>
        <v>4800</v>
      </c>
    </row>
    <row r="7509" spans="3:11" ht="25.8" customHeight="1">
      <c r="C7509" s="818">
        <v>4</v>
      </c>
      <c r="D7509" s="212" t="s">
        <v>19</v>
      </c>
      <c r="E7509" s="212" t="s">
        <v>6</v>
      </c>
      <c r="F7509" s="538">
        <v>1.0999999999999999E-2</v>
      </c>
      <c r="G7509" s="539">
        <f>VLOOKUP(D7509,upahbahan,3,FALSE)</f>
        <v>160000</v>
      </c>
      <c r="H7509" s="539">
        <f t="shared" si="782"/>
        <v>1760</v>
      </c>
    </row>
    <row r="7510" spans="3:11" ht="25.8" customHeight="1">
      <c r="C7510" s="702" t="s">
        <v>1208</v>
      </c>
      <c r="D7510" s="208"/>
      <c r="E7510" s="208"/>
      <c r="F7510" s="811"/>
      <c r="G7510" s="522"/>
      <c r="H7510" s="539">
        <f>SUM(H7506:H7509)</f>
        <v>68490</v>
      </c>
      <c r="I7510" s="819"/>
    </row>
    <row r="7511" spans="3:11" ht="25.8" customHeight="1">
      <c r="C7511" s="213" t="s">
        <v>1209</v>
      </c>
      <c r="D7511" s="212" t="s">
        <v>1210</v>
      </c>
      <c r="E7511" s="534"/>
      <c r="F7511" s="831"/>
      <c r="G7511" s="534"/>
      <c r="H7511" s="534"/>
    </row>
    <row r="7512" spans="3:11" ht="25.8" customHeight="1">
      <c r="C7512" s="213">
        <v>1</v>
      </c>
      <c r="D7512" s="212" t="s">
        <v>6116</v>
      </c>
      <c r="E7512" s="234" t="s">
        <v>135</v>
      </c>
      <c r="F7512" s="866">
        <v>1.05</v>
      </c>
      <c r="G7512" s="539">
        <f>VLOOKUP(D7512,upahbahan,3,FALSE)</f>
        <v>1500000</v>
      </c>
      <c r="H7512" s="539">
        <f t="shared" ref="H7512" si="783">F7512*G7512</f>
        <v>1575000</v>
      </c>
    </row>
    <row r="7513" spans="3:11" ht="25.8" customHeight="1">
      <c r="C7513" s="702" t="s">
        <v>1214</v>
      </c>
      <c r="D7513" s="208"/>
      <c r="E7513" s="208" t="s">
        <v>6045</v>
      </c>
      <c r="F7513" s="208"/>
      <c r="G7513" s="209"/>
      <c r="H7513" s="539">
        <f>SUM(H7511:H7512)</f>
        <v>1575000</v>
      </c>
    </row>
    <row r="7514" spans="3:11" ht="25.8" customHeight="1">
      <c r="C7514" s="213" t="s">
        <v>1215</v>
      </c>
      <c r="D7514" s="212" t="s">
        <v>1216</v>
      </c>
      <c r="E7514" s="534"/>
      <c r="F7514" s="534"/>
      <c r="G7514" s="534"/>
      <c r="H7514" s="534"/>
    </row>
    <row r="7515" spans="3:11" ht="25.8" customHeight="1">
      <c r="C7515" s="702" t="s">
        <v>1217</v>
      </c>
      <c r="D7515" s="815"/>
      <c r="E7515" s="815"/>
      <c r="F7515" s="815"/>
      <c r="G7515" s="209"/>
      <c r="H7515" s="821">
        <f>SUM(H7514:H7514)</f>
        <v>0</v>
      </c>
    </row>
    <row r="7516" spans="3:11" ht="25.8" customHeight="1">
      <c r="C7516" s="566" t="s">
        <v>1218</v>
      </c>
      <c r="D7516" s="552" t="s">
        <v>1219</v>
      </c>
      <c r="E7516" s="553"/>
      <c r="F7516" s="553"/>
      <c r="G7516" s="554"/>
      <c r="H7516" s="826">
        <f>H7515+H7513+H7510</f>
        <v>1643490</v>
      </c>
      <c r="I7516" s="827"/>
    </row>
    <row r="7517" spans="3:11" ht="25.8" customHeight="1">
      <c r="C7517" s="566" t="s">
        <v>1220</v>
      </c>
      <c r="D7517" s="552" t="s">
        <v>1321</v>
      </c>
      <c r="E7517" s="553"/>
      <c r="F7517" s="554"/>
      <c r="G7517" s="555">
        <f>$M$9</f>
        <v>0.1</v>
      </c>
      <c r="H7517" s="539">
        <f>H7516*G7517</f>
        <v>164349</v>
      </c>
      <c r="I7517" s="827"/>
    </row>
    <row r="7518" spans="3:11" ht="25.8" customHeight="1">
      <c r="C7518" s="566" t="s">
        <v>1221</v>
      </c>
      <c r="D7518" s="552" t="s">
        <v>1222</v>
      </c>
      <c r="E7518" s="553"/>
      <c r="F7518" s="553"/>
      <c r="G7518" s="554"/>
      <c r="H7518" s="828">
        <f>SUM(H7516:H7517)</f>
        <v>1807839</v>
      </c>
      <c r="I7518" s="827"/>
    </row>
    <row r="7519" spans="3:11" ht="25.8" customHeight="1"/>
    <row r="7520" spans="3:11" ht="25.8" customHeight="1">
      <c r="C7520" s="513" t="s">
        <v>6117</v>
      </c>
      <c r="D7520" s="817" t="s">
        <v>6118</v>
      </c>
      <c r="E7520" s="803"/>
      <c r="F7520" s="803"/>
      <c r="G7520" s="803"/>
      <c r="H7520" s="803"/>
      <c r="I7520" s="533">
        <f>ROUNDDOWN(H7535,-2)</f>
        <v>1461300</v>
      </c>
      <c r="J7520" s="536"/>
      <c r="K7520" s="824"/>
    </row>
    <row r="7521" spans="3:9" ht="25.8" customHeight="1">
      <c r="C7521" s="716" t="s">
        <v>1195</v>
      </c>
      <c r="D7521" s="716" t="s">
        <v>1196</v>
      </c>
      <c r="E7521" s="716" t="s">
        <v>1197</v>
      </c>
      <c r="F7521" s="716" t="s">
        <v>1198</v>
      </c>
      <c r="G7521" s="716" t="s">
        <v>1199</v>
      </c>
      <c r="H7521" s="716" t="s">
        <v>1200</v>
      </c>
    </row>
    <row r="7522" spans="3:9" ht="25.8" customHeight="1">
      <c r="C7522" s="213" t="s">
        <v>1201</v>
      </c>
      <c r="D7522" s="212" t="s">
        <v>1202</v>
      </c>
      <c r="E7522" s="534"/>
      <c r="F7522" s="534"/>
      <c r="G7522" s="534"/>
      <c r="H7522" s="534"/>
    </row>
    <row r="7523" spans="3:9" ht="25.8" customHeight="1">
      <c r="C7523" s="818">
        <v>1</v>
      </c>
      <c r="D7523" s="212" t="s">
        <v>5</v>
      </c>
      <c r="E7523" s="212" t="s">
        <v>6</v>
      </c>
      <c r="F7523" s="538">
        <v>0.19</v>
      </c>
      <c r="G7523" s="539">
        <f>VLOOKUP(D7523,upahbahan,3,FALSE)</f>
        <v>100000</v>
      </c>
      <c r="H7523" s="539">
        <f t="shared" ref="H7523:H7526" si="784">F7523*G7523</f>
        <v>19000</v>
      </c>
    </row>
    <row r="7524" spans="3:9" ht="25.8" customHeight="1">
      <c r="C7524" s="818">
        <v>2</v>
      </c>
      <c r="D7524" s="212" t="s">
        <v>17</v>
      </c>
      <c r="E7524" s="212" t="s">
        <v>6</v>
      </c>
      <c r="F7524" s="538">
        <v>0.318</v>
      </c>
      <c r="G7524" s="539">
        <f>VLOOKUP(D7524,upahbahan,3,FALSE)</f>
        <v>135000</v>
      </c>
      <c r="H7524" s="539">
        <f t="shared" si="784"/>
        <v>42930</v>
      </c>
    </row>
    <row r="7525" spans="3:9" ht="25.8" customHeight="1">
      <c r="C7525" s="818">
        <v>3</v>
      </c>
      <c r="D7525" s="212" t="s">
        <v>1310</v>
      </c>
      <c r="E7525" s="212" t="s">
        <v>6</v>
      </c>
      <c r="F7525" s="538">
        <v>3.2000000000000001E-2</v>
      </c>
      <c r="G7525" s="539">
        <f>VLOOKUP(D7525,upahbahan,3,FALSE)</f>
        <v>150000</v>
      </c>
      <c r="H7525" s="539">
        <f t="shared" si="784"/>
        <v>4800</v>
      </c>
    </row>
    <row r="7526" spans="3:9" ht="25.8" customHeight="1">
      <c r="C7526" s="818">
        <v>4</v>
      </c>
      <c r="D7526" s="212" t="s">
        <v>19</v>
      </c>
      <c r="E7526" s="212" t="s">
        <v>6</v>
      </c>
      <c r="F7526" s="538">
        <v>1.0999999999999999E-2</v>
      </c>
      <c r="G7526" s="539">
        <f>VLOOKUP(D7526,upahbahan,3,FALSE)</f>
        <v>160000</v>
      </c>
      <c r="H7526" s="539">
        <f t="shared" si="784"/>
        <v>1760</v>
      </c>
    </row>
    <row r="7527" spans="3:9" ht="25.8" customHeight="1">
      <c r="C7527" s="702" t="s">
        <v>1208</v>
      </c>
      <c r="D7527" s="208"/>
      <c r="E7527" s="208"/>
      <c r="F7527" s="811"/>
      <c r="G7527" s="522"/>
      <c r="H7527" s="539">
        <f>SUM(H7523:H7526)</f>
        <v>68490</v>
      </c>
      <c r="I7527" s="819"/>
    </row>
    <row r="7528" spans="3:9" ht="25.8" customHeight="1">
      <c r="C7528" s="213" t="s">
        <v>1209</v>
      </c>
      <c r="D7528" s="212" t="s">
        <v>1210</v>
      </c>
      <c r="E7528" s="534"/>
      <c r="F7528" s="831"/>
      <c r="G7528" s="534"/>
      <c r="H7528" s="534"/>
    </row>
    <row r="7529" spans="3:9" ht="25.8" customHeight="1">
      <c r="C7529" s="213">
        <v>1</v>
      </c>
      <c r="D7529" s="212" t="s">
        <v>6119</v>
      </c>
      <c r="E7529" s="234" t="s">
        <v>135</v>
      </c>
      <c r="F7529" s="866">
        <v>1.05</v>
      </c>
      <c r="G7529" s="539">
        <f>VLOOKUP(D7529,upahbahan,3,FALSE)</f>
        <v>1200000</v>
      </c>
      <c r="H7529" s="539">
        <f t="shared" ref="H7529" si="785">F7529*G7529</f>
        <v>1260000</v>
      </c>
    </row>
    <row r="7530" spans="3:9" ht="25.8" customHeight="1">
      <c r="C7530" s="702" t="s">
        <v>1214</v>
      </c>
      <c r="D7530" s="208"/>
      <c r="E7530" s="208" t="s">
        <v>6045</v>
      </c>
      <c r="F7530" s="208"/>
      <c r="G7530" s="209"/>
      <c r="H7530" s="539">
        <f>SUM(H7528:H7529)</f>
        <v>1260000</v>
      </c>
    </row>
    <row r="7531" spans="3:9" ht="25.8" customHeight="1">
      <c r="C7531" s="213" t="s">
        <v>1215</v>
      </c>
      <c r="D7531" s="212" t="s">
        <v>1216</v>
      </c>
      <c r="E7531" s="534"/>
      <c r="F7531" s="534"/>
      <c r="G7531" s="534"/>
      <c r="H7531" s="534"/>
    </row>
    <row r="7532" spans="3:9" ht="25.8" customHeight="1">
      <c r="C7532" s="702" t="s">
        <v>1217</v>
      </c>
      <c r="D7532" s="815"/>
      <c r="E7532" s="815"/>
      <c r="F7532" s="815"/>
      <c r="G7532" s="209"/>
      <c r="H7532" s="821">
        <f>SUM(H7531:H7531)</f>
        <v>0</v>
      </c>
    </row>
    <row r="7533" spans="3:9" ht="25.8" customHeight="1">
      <c r="C7533" s="566" t="s">
        <v>1218</v>
      </c>
      <c r="D7533" s="552" t="s">
        <v>1219</v>
      </c>
      <c r="E7533" s="553"/>
      <c r="F7533" s="553"/>
      <c r="G7533" s="554"/>
      <c r="H7533" s="826">
        <f>H7532+H7530+H7527</f>
        <v>1328490</v>
      </c>
      <c r="I7533" s="827"/>
    </row>
    <row r="7534" spans="3:9" ht="25.8" customHeight="1">
      <c r="C7534" s="566" t="s">
        <v>1220</v>
      </c>
      <c r="D7534" s="552" t="s">
        <v>1321</v>
      </c>
      <c r="E7534" s="553"/>
      <c r="F7534" s="554"/>
      <c r="G7534" s="555">
        <f>$M$9</f>
        <v>0.1</v>
      </c>
      <c r="H7534" s="539">
        <f>H7533*G7534</f>
        <v>132849</v>
      </c>
      <c r="I7534" s="827"/>
    </row>
    <row r="7535" spans="3:9" ht="25.8" customHeight="1">
      <c r="C7535" s="566" t="s">
        <v>1221</v>
      </c>
      <c r="D7535" s="552" t="s">
        <v>1222</v>
      </c>
      <c r="E7535" s="553"/>
      <c r="F7535" s="553"/>
      <c r="G7535" s="554"/>
      <c r="H7535" s="828">
        <f>SUM(H7533:H7534)</f>
        <v>1461339</v>
      </c>
      <c r="I7535" s="827"/>
    </row>
    <row r="7536" spans="3:9" ht="25.8" customHeight="1"/>
    <row r="7537" spans="3:11" ht="25.8" customHeight="1">
      <c r="C7537" s="513" t="s">
        <v>6120</v>
      </c>
      <c r="D7537" s="817" t="s">
        <v>6121</v>
      </c>
      <c r="E7537" s="803"/>
      <c r="F7537" s="803"/>
      <c r="G7537" s="803"/>
      <c r="H7537" s="803"/>
      <c r="I7537" s="533">
        <f>ROUNDDOWN(H7552,-2)</f>
        <v>1230300</v>
      </c>
      <c r="J7537" s="536"/>
      <c r="K7537" s="824"/>
    </row>
    <row r="7538" spans="3:11" ht="25.8" customHeight="1">
      <c r="C7538" s="716" t="s">
        <v>1195</v>
      </c>
      <c r="D7538" s="716" t="s">
        <v>1196</v>
      </c>
      <c r="E7538" s="716" t="s">
        <v>1197</v>
      </c>
      <c r="F7538" s="716" t="s">
        <v>1198</v>
      </c>
      <c r="G7538" s="716" t="s">
        <v>1199</v>
      </c>
      <c r="H7538" s="716" t="s">
        <v>1200</v>
      </c>
    </row>
    <row r="7539" spans="3:11" ht="25.8" customHeight="1">
      <c r="C7539" s="213" t="s">
        <v>1201</v>
      </c>
      <c r="D7539" s="212" t="s">
        <v>1202</v>
      </c>
      <c r="E7539" s="534"/>
      <c r="F7539" s="534"/>
      <c r="G7539" s="534"/>
      <c r="H7539" s="534"/>
    </row>
    <row r="7540" spans="3:11" ht="25.8" customHeight="1">
      <c r="C7540" s="818">
        <v>1</v>
      </c>
      <c r="D7540" s="212" t="s">
        <v>5</v>
      </c>
      <c r="E7540" s="212" t="s">
        <v>6</v>
      </c>
      <c r="F7540" s="538">
        <v>0.19</v>
      </c>
      <c r="G7540" s="539">
        <f>VLOOKUP(D7540,upahbahan,3,FALSE)</f>
        <v>100000</v>
      </c>
      <c r="H7540" s="539">
        <f t="shared" ref="H7540:H7543" si="786">F7540*G7540</f>
        <v>19000</v>
      </c>
    </row>
    <row r="7541" spans="3:11" ht="25.8" customHeight="1">
      <c r="C7541" s="818">
        <v>2</v>
      </c>
      <c r="D7541" s="212" t="s">
        <v>17</v>
      </c>
      <c r="E7541" s="212" t="s">
        <v>6</v>
      </c>
      <c r="F7541" s="538">
        <v>0.318</v>
      </c>
      <c r="G7541" s="539">
        <f>VLOOKUP(D7541,upahbahan,3,FALSE)</f>
        <v>135000</v>
      </c>
      <c r="H7541" s="539">
        <f t="shared" si="786"/>
        <v>42930</v>
      </c>
    </row>
    <row r="7542" spans="3:11" ht="25.8" customHeight="1">
      <c r="C7542" s="818">
        <v>3</v>
      </c>
      <c r="D7542" s="212" t="s">
        <v>1310</v>
      </c>
      <c r="E7542" s="212" t="s">
        <v>6</v>
      </c>
      <c r="F7542" s="538">
        <v>3.2000000000000001E-2</v>
      </c>
      <c r="G7542" s="539">
        <f>VLOOKUP(D7542,upahbahan,3,FALSE)</f>
        <v>150000</v>
      </c>
      <c r="H7542" s="539">
        <f t="shared" si="786"/>
        <v>4800</v>
      </c>
    </row>
    <row r="7543" spans="3:11" ht="25.8" customHeight="1">
      <c r="C7543" s="818">
        <v>4</v>
      </c>
      <c r="D7543" s="212" t="s">
        <v>19</v>
      </c>
      <c r="E7543" s="212" t="s">
        <v>6</v>
      </c>
      <c r="F7543" s="538">
        <v>1.0999999999999999E-2</v>
      </c>
      <c r="G7543" s="539">
        <f>VLOOKUP(D7543,upahbahan,3,FALSE)</f>
        <v>160000</v>
      </c>
      <c r="H7543" s="539">
        <f t="shared" si="786"/>
        <v>1760</v>
      </c>
    </row>
    <row r="7544" spans="3:11" ht="25.8" customHeight="1">
      <c r="C7544" s="702" t="s">
        <v>1208</v>
      </c>
      <c r="D7544" s="208"/>
      <c r="E7544" s="208"/>
      <c r="F7544" s="811"/>
      <c r="G7544" s="522"/>
      <c r="H7544" s="539">
        <f>SUM(H7540:H7543)</f>
        <v>68490</v>
      </c>
      <c r="I7544" s="819"/>
    </row>
    <row r="7545" spans="3:11" ht="25.8" customHeight="1">
      <c r="C7545" s="213" t="s">
        <v>1209</v>
      </c>
      <c r="D7545" s="212" t="s">
        <v>1210</v>
      </c>
      <c r="E7545" s="534"/>
      <c r="F7545" s="831"/>
      <c r="G7545" s="534"/>
      <c r="H7545" s="534"/>
    </row>
    <row r="7546" spans="3:11" ht="25.8" customHeight="1">
      <c r="C7546" s="213">
        <v>1</v>
      </c>
      <c r="D7546" s="212" t="s">
        <v>6122</v>
      </c>
      <c r="E7546" s="234" t="s">
        <v>135</v>
      </c>
      <c r="F7546" s="866">
        <v>1.05</v>
      </c>
      <c r="G7546" s="539">
        <f>VLOOKUP(D7546,upahbahan,3,FALSE)</f>
        <v>1000000</v>
      </c>
      <c r="H7546" s="539">
        <f t="shared" ref="H7546" si="787">F7546*G7546</f>
        <v>1050000</v>
      </c>
    </row>
    <row r="7547" spans="3:11" ht="25.8" customHeight="1">
      <c r="C7547" s="702" t="s">
        <v>1214</v>
      </c>
      <c r="D7547" s="208"/>
      <c r="E7547" s="208" t="s">
        <v>6045</v>
      </c>
      <c r="F7547" s="208"/>
      <c r="G7547" s="209"/>
      <c r="H7547" s="539">
        <f>SUM(H7545:H7546)</f>
        <v>1050000</v>
      </c>
    </row>
    <row r="7548" spans="3:11" ht="25.8" customHeight="1">
      <c r="C7548" s="213" t="s">
        <v>1215</v>
      </c>
      <c r="D7548" s="212" t="s">
        <v>1216</v>
      </c>
      <c r="E7548" s="534"/>
      <c r="F7548" s="534"/>
      <c r="G7548" s="534"/>
      <c r="H7548" s="534"/>
    </row>
    <row r="7549" spans="3:11" ht="25.8" customHeight="1">
      <c r="C7549" s="702" t="s">
        <v>1217</v>
      </c>
      <c r="D7549" s="815"/>
      <c r="E7549" s="815"/>
      <c r="F7549" s="815"/>
      <c r="G7549" s="209"/>
      <c r="H7549" s="821">
        <f>SUM(H7548:H7548)</f>
        <v>0</v>
      </c>
    </row>
    <row r="7550" spans="3:11" ht="25.8" customHeight="1">
      <c r="C7550" s="566" t="s">
        <v>1218</v>
      </c>
      <c r="D7550" s="552" t="s">
        <v>1219</v>
      </c>
      <c r="E7550" s="553"/>
      <c r="F7550" s="553"/>
      <c r="G7550" s="554"/>
      <c r="H7550" s="826">
        <f>H7549+H7547+H7544</f>
        <v>1118490</v>
      </c>
      <c r="I7550" s="827"/>
    </row>
    <row r="7551" spans="3:11" ht="25.8" customHeight="1">
      <c r="C7551" s="566" t="s">
        <v>1220</v>
      </c>
      <c r="D7551" s="552" t="s">
        <v>1321</v>
      </c>
      <c r="E7551" s="553"/>
      <c r="F7551" s="554"/>
      <c r="G7551" s="555">
        <f>$M$9</f>
        <v>0.1</v>
      </c>
      <c r="H7551" s="539">
        <f>H7550*G7551</f>
        <v>111849</v>
      </c>
      <c r="I7551" s="827"/>
    </row>
    <row r="7552" spans="3:11" ht="25.8" customHeight="1">
      <c r="C7552" s="566" t="s">
        <v>1221</v>
      </c>
      <c r="D7552" s="552" t="s">
        <v>1222</v>
      </c>
      <c r="E7552" s="553"/>
      <c r="F7552" s="553"/>
      <c r="G7552" s="554"/>
      <c r="H7552" s="828">
        <f>SUM(H7550:H7551)</f>
        <v>1230339</v>
      </c>
      <c r="I7552" s="827"/>
    </row>
    <row r="7553" spans="3:11" ht="25.8" customHeight="1"/>
    <row r="7554" spans="3:11" ht="25.8" customHeight="1">
      <c r="C7554" s="513" t="s">
        <v>6123</v>
      </c>
      <c r="D7554" s="817" t="s">
        <v>6124</v>
      </c>
      <c r="E7554" s="803"/>
      <c r="F7554" s="803"/>
      <c r="G7554" s="803"/>
      <c r="H7554" s="803"/>
      <c r="I7554" s="533">
        <f>ROUNDDOWN(H7569,-2)</f>
        <v>428300</v>
      </c>
      <c r="J7554" s="536"/>
      <c r="K7554" s="824"/>
    </row>
    <row r="7555" spans="3:11" ht="25.8" customHeight="1">
      <c r="C7555" s="716" t="s">
        <v>1195</v>
      </c>
      <c r="D7555" s="716" t="s">
        <v>1196</v>
      </c>
      <c r="E7555" s="716" t="s">
        <v>1197</v>
      </c>
      <c r="F7555" s="716" t="s">
        <v>1198</v>
      </c>
      <c r="G7555" s="716" t="s">
        <v>1199</v>
      </c>
      <c r="H7555" s="716" t="s">
        <v>1200</v>
      </c>
    </row>
    <row r="7556" spans="3:11" ht="25.8" customHeight="1">
      <c r="C7556" s="213" t="s">
        <v>1201</v>
      </c>
      <c r="D7556" s="212" t="s">
        <v>1202</v>
      </c>
      <c r="E7556" s="534"/>
      <c r="F7556" s="534"/>
      <c r="G7556" s="534"/>
      <c r="H7556" s="534"/>
    </row>
    <row r="7557" spans="3:11" ht="25.8" customHeight="1">
      <c r="C7557" s="818">
        <v>1</v>
      </c>
      <c r="D7557" s="212" t="s">
        <v>5</v>
      </c>
      <c r="E7557" s="212" t="s">
        <v>6</v>
      </c>
      <c r="F7557" s="538">
        <v>0.28100000000000003</v>
      </c>
      <c r="G7557" s="539">
        <f>VLOOKUP(D7557,upahbahan,3,FALSE)</f>
        <v>100000</v>
      </c>
      <c r="H7557" s="539">
        <f t="shared" ref="H7557:H7560" si="788">F7557*G7557</f>
        <v>28100.000000000004</v>
      </c>
    </row>
    <row r="7558" spans="3:11" ht="25.8" customHeight="1">
      <c r="C7558" s="818">
        <v>2</v>
      </c>
      <c r="D7558" s="212" t="s">
        <v>17</v>
      </c>
      <c r="E7558" s="212" t="s">
        <v>6</v>
      </c>
      <c r="F7558" s="538">
        <v>0.63600000000000001</v>
      </c>
      <c r="G7558" s="539">
        <f>VLOOKUP(D7558,upahbahan,3,FALSE)</f>
        <v>135000</v>
      </c>
      <c r="H7558" s="539">
        <f t="shared" si="788"/>
        <v>85860</v>
      </c>
    </row>
    <row r="7559" spans="3:11" ht="25.8" customHeight="1">
      <c r="C7559" s="818">
        <v>3</v>
      </c>
      <c r="D7559" s="212" t="s">
        <v>1310</v>
      </c>
      <c r="E7559" s="212" t="s">
        <v>6</v>
      </c>
      <c r="F7559" s="538">
        <v>6.4000000000000001E-2</v>
      </c>
      <c r="G7559" s="539">
        <f>VLOOKUP(D7559,upahbahan,3,FALSE)</f>
        <v>150000</v>
      </c>
      <c r="H7559" s="539">
        <f t="shared" si="788"/>
        <v>9600</v>
      </c>
    </row>
    <row r="7560" spans="3:11" ht="25.8" customHeight="1">
      <c r="C7560" s="818">
        <v>4</v>
      </c>
      <c r="D7560" s="212" t="s">
        <v>19</v>
      </c>
      <c r="E7560" s="212" t="s">
        <v>6</v>
      </c>
      <c r="F7560" s="538">
        <v>2.1000000000000001E-2</v>
      </c>
      <c r="G7560" s="539">
        <f>VLOOKUP(D7560,upahbahan,3,FALSE)</f>
        <v>160000</v>
      </c>
      <c r="H7560" s="539">
        <f t="shared" si="788"/>
        <v>3360</v>
      </c>
    </row>
    <row r="7561" spans="3:11" ht="25.8" customHeight="1">
      <c r="C7561" s="702" t="s">
        <v>1208</v>
      </c>
      <c r="D7561" s="208"/>
      <c r="E7561" s="208"/>
      <c r="F7561" s="811"/>
      <c r="G7561" s="522"/>
      <c r="H7561" s="539">
        <f>SUM(H7557:H7560)</f>
        <v>126920</v>
      </c>
      <c r="I7561" s="819"/>
    </row>
    <row r="7562" spans="3:11" ht="25.8" customHeight="1">
      <c r="C7562" s="213" t="s">
        <v>1209</v>
      </c>
      <c r="D7562" s="212" t="s">
        <v>1210</v>
      </c>
      <c r="E7562" s="534"/>
      <c r="F7562" s="831"/>
      <c r="G7562" s="534"/>
      <c r="H7562" s="534"/>
    </row>
    <row r="7563" spans="3:11" ht="25.8" customHeight="1">
      <c r="C7563" s="213">
        <v>1</v>
      </c>
      <c r="D7563" s="212" t="s">
        <v>6125</v>
      </c>
      <c r="E7563" s="234" t="s">
        <v>135</v>
      </c>
      <c r="F7563" s="866">
        <v>1.05</v>
      </c>
      <c r="G7563" s="539">
        <f>VLOOKUP(D7563,upahbahan,3,FALSE)</f>
        <v>250000</v>
      </c>
      <c r="H7563" s="539">
        <f t="shared" ref="H7563" si="789">F7563*G7563</f>
        <v>262500</v>
      </c>
    </row>
    <row r="7564" spans="3:11" ht="25.8" customHeight="1">
      <c r="C7564" s="702" t="s">
        <v>1214</v>
      </c>
      <c r="D7564" s="208"/>
      <c r="E7564" s="208" t="s">
        <v>6045</v>
      </c>
      <c r="F7564" s="208"/>
      <c r="G7564" s="209"/>
      <c r="H7564" s="539">
        <f>SUM(H7562:H7563)</f>
        <v>262500</v>
      </c>
    </row>
    <row r="7565" spans="3:11" ht="25.8" customHeight="1">
      <c r="C7565" s="213" t="s">
        <v>1215</v>
      </c>
      <c r="D7565" s="212" t="s">
        <v>1216</v>
      </c>
      <c r="E7565" s="534"/>
      <c r="F7565" s="534"/>
      <c r="G7565" s="534"/>
      <c r="H7565" s="534"/>
    </row>
    <row r="7566" spans="3:11" ht="25.8" customHeight="1">
      <c r="C7566" s="702" t="s">
        <v>1217</v>
      </c>
      <c r="D7566" s="815"/>
      <c r="E7566" s="815"/>
      <c r="F7566" s="815"/>
      <c r="G7566" s="209"/>
      <c r="H7566" s="821">
        <f>SUM(H7565:H7565)</f>
        <v>0</v>
      </c>
    </row>
    <row r="7567" spans="3:11" ht="25.8" customHeight="1">
      <c r="C7567" s="566" t="s">
        <v>1218</v>
      </c>
      <c r="D7567" s="552" t="s">
        <v>1219</v>
      </c>
      <c r="E7567" s="553"/>
      <c r="F7567" s="553"/>
      <c r="G7567" s="554"/>
      <c r="H7567" s="826">
        <f>H7566+H7564+H7561</f>
        <v>389420</v>
      </c>
      <c r="I7567" s="827"/>
    </row>
    <row r="7568" spans="3:11" ht="25.8" customHeight="1">
      <c r="C7568" s="566" t="s">
        <v>1220</v>
      </c>
      <c r="D7568" s="552" t="s">
        <v>1321</v>
      </c>
      <c r="E7568" s="553"/>
      <c r="F7568" s="554"/>
      <c r="G7568" s="555">
        <f>$M$9</f>
        <v>0.1</v>
      </c>
      <c r="H7568" s="539">
        <f>H7567*G7568</f>
        <v>38942</v>
      </c>
      <c r="I7568" s="827"/>
    </row>
    <row r="7569" spans="3:11" ht="25.8" customHeight="1">
      <c r="C7569" s="566" t="s">
        <v>1221</v>
      </c>
      <c r="D7569" s="552" t="s">
        <v>1222</v>
      </c>
      <c r="E7569" s="553"/>
      <c r="F7569" s="553"/>
      <c r="G7569" s="554"/>
      <c r="H7569" s="828">
        <f>SUM(H7567:H7568)</f>
        <v>428362</v>
      </c>
      <c r="I7569" s="827"/>
    </row>
    <row r="7570" spans="3:11" ht="25.8" customHeight="1"/>
    <row r="7571" spans="3:11" ht="25.8" customHeight="1">
      <c r="C7571" s="513" t="s">
        <v>6126</v>
      </c>
      <c r="D7571" s="817" t="s">
        <v>6127</v>
      </c>
      <c r="E7571" s="803"/>
      <c r="F7571" s="803"/>
      <c r="G7571" s="803"/>
      <c r="H7571" s="803"/>
      <c r="I7571" s="533">
        <f>ROUNDDOWN(H7586,-2)</f>
        <v>308600</v>
      </c>
      <c r="J7571" s="536"/>
      <c r="K7571" s="824"/>
    </row>
    <row r="7572" spans="3:11" ht="25.8" customHeight="1">
      <c r="C7572" s="716" t="s">
        <v>1195</v>
      </c>
      <c r="D7572" s="716" t="s">
        <v>1196</v>
      </c>
      <c r="E7572" s="716" t="s">
        <v>1197</v>
      </c>
      <c r="F7572" s="716" t="s">
        <v>1198</v>
      </c>
      <c r="G7572" s="716" t="s">
        <v>1199</v>
      </c>
      <c r="H7572" s="716" t="s">
        <v>1200</v>
      </c>
    </row>
    <row r="7573" spans="3:11" ht="25.8" customHeight="1">
      <c r="C7573" s="213" t="s">
        <v>1201</v>
      </c>
      <c r="D7573" s="212" t="s">
        <v>1202</v>
      </c>
      <c r="E7573" s="534"/>
      <c r="F7573" s="534"/>
      <c r="G7573" s="534"/>
      <c r="H7573" s="534"/>
    </row>
    <row r="7574" spans="3:11" ht="25.8" customHeight="1">
      <c r="C7574" s="818">
        <v>1</v>
      </c>
      <c r="D7574" s="212" t="s">
        <v>5</v>
      </c>
      <c r="E7574" s="212" t="s">
        <v>6</v>
      </c>
      <c r="F7574" s="538">
        <v>6.4000000000000001E-2</v>
      </c>
      <c r="G7574" s="539">
        <f>VLOOKUP(D7574,upahbahan,3,FALSE)</f>
        <v>100000</v>
      </c>
      <c r="H7574" s="539">
        <f t="shared" ref="H7574:H7577" si="790">F7574*G7574</f>
        <v>6400</v>
      </c>
    </row>
    <row r="7575" spans="3:11" ht="25.8" customHeight="1">
      <c r="C7575" s="818">
        <v>2</v>
      </c>
      <c r="D7575" s="212" t="s">
        <v>17</v>
      </c>
      <c r="E7575" s="212" t="s">
        <v>6</v>
      </c>
      <c r="F7575" s="538">
        <v>0.107</v>
      </c>
      <c r="G7575" s="539">
        <f>VLOOKUP(D7575,upahbahan,3,FALSE)</f>
        <v>135000</v>
      </c>
      <c r="H7575" s="539">
        <f t="shared" si="790"/>
        <v>14445</v>
      </c>
    </row>
    <row r="7576" spans="3:11" ht="25.8" customHeight="1">
      <c r="C7576" s="818">
        <v>3</v>
      </c>
      <c r="D7576" s="212" t="s">
        <v>1310</v>
      </c>
      <c r="E7576" s="212" t="s">
        <v>6</v>
      </c>
      <c r="F7576" s="538">
        <v>1.0999999999999999E-2</v>
      </c>
      <c r="G7576" s="539">
        <f>VLOOKUP(D7576,upahbahan,3,FALSE)</f>
        <v>150000</v>
      </c>
      <c r="H7576" s="539">
        <f t="shared" si="790"/>
        <v>1650</v>
      </c>
    </row>
    <row r="7577" spans="3:11" ht="25.8" customHeight="1">
      <c r="C7577" s="818">
        <v>4</v>
      </c>
      <c r="D7577" s="212" t="s">
        <v>19</v>
      </c>
      <c r="E7577" s="212" t="s">
        <v>6</v>
      </c>
      <c r="F7577" s="538">
        <v>4.0000000000000001E-3</v>
      </c>
      <c r="G7577" s="539">
        <f>VLOOKUP(D7577,upahbahan,3,FALSE)</f>
        <v>160000</v>
      </c>
      <c r="H7577" s="539">
        <f t="shared" si="790"/>
        <v>640</v>
      </c>
    </row>
    <row r="7578" spans="3:11" ht="25.8" customHeight="1">
      <c r="C7578" s="702" t="s">
        <v>1208</v>
      </c>
      <c r="D7578" s="208"/>
      <c r="E7578" s="208"/>
      <c r="F7578" s="811"/>
      <c r="G7578" s="522"/>
      <c r="H7578" s="539">
        <f>SUM(H7574:H7577)</f>
        <v>23135</v>
      </c>
      <c r="I7578" s="819"/>
    </row>
    <row r="7579" spans="3:11" ht="25.8" customHeight="1">
      <c r="C7579" s="213" t="s">
        <v>1209</v>
      </c>
      <c r="D7579" s="212" t="s">
        <v>1210</v>
      </c>
      <c r="E7579" s="534"/>
      <c r="F7579" s="831"/>
      <c r="G7579" s="534"/>
      <c r="H7579" s="534"/>
    </row>
    <row r="7580" spans="3:11" ht="25.8" customHeight="1">
      <c r="C7580" s="213">
        <v>1</v>
      </c>
      <c r="D7580" s="212" t="s">
        <v>6128</v>
      </c>
      <c r="E7580" s="234" t="s">
        <v>135</v>
      </c>
      <c r="F7580" s="866">
        <v>1.03</v>
      </c>
      <c r="G7580" s="539">
        <f>VLOOKUP(D7580,upahbahan,3,FALSE)</f>
        <v>250000</v>
      </c>
      <c r="H7580" s="539">
        <f t="shared" ref="H7580" si="791">F7580*G7580</f>
        <v>257500</v>
      </c>
    </row>
    <row r="7581" spans="3:11" ht="25.8" customHeight="1">
      <c r="C7581" s="702" t="s">
        <v>1214</v>
      </c>
      <c r="D7581" s="208"/>
      <c r="E7581" s="208" t="s">
        <v>6045</v>
      </c>
      <c r="F7581" s="208"/>
      <c r="G7581" s="209"/>
      <c r="H7581" s="539">
        <f>SUM(H7579:H7580)</f>
        <v>257500</v>
      </c>
    </row>
    <row r="7582" spans="3:11" ht="25.8" customHeight="1">
      <c r="C7582" s="213" t="s">
        <v>1215</v>
      </c>
      <c r="D7582" s="212" t="s">
        <v>1216</v>
      </c>
      <c r="E7582" s="534"/>
      <c r="F7582" s="534"/>
      <c r="G7582" s="534"/>
      <c r="H7582" s="534"/>
    </row>
    <row r="7583" spans="3:11" ht="25.8" customHeight="1">
      <c r="C7583" s="702" t="s">
        <v>1217</v>
      </c>
      <c r="D7583" s="815"/>
      <c r="E7583" s="815"/>
      <c r="F7583" s="815"/>
      <c r="G7583" s="209"/>
      <c r="H7583" s="821">
        <f>SUM(H7582:H7582)</f>
        <v>0</v>
      </c>
    </row>
    <row r="7584" spans="3:11" ht="25.8" customHeight="1">
      <c r="C7584" s="566" t="s">
        <v>1218</v>
      </c>
      <c r="D7584" s="552" t="s">
        <v>1219</v>
      </c>
      <c r="E7584" s="553"/>
      <c r="F7584" s="553"/>
      <c r="G7584" s="554"/>
      <c r="H7584" s="826">
        <f>H7583+H7581+H7578</f>
        <v>280635</v>
      </c>
      <c r="I7584" s="827"/>
    </row>
    <row r="7585" spans="3:11" ht="25.8" customHeight="1">
      <c r="C7585" s="566" t="s">
        <v>1220</v>
      </c>
      <c r="D7585" s="552" t="s">
        <v>1321</v>
      </c>
      <c r="E7585" s="553"/>
      <c r="F7585" s="554"/>
      <c r="G7585" s="555">
        <f>$M$9</f>
        <v>0.1</v>
      </c>
      <c r="H7585" s="539">
        <f>H7584*G7585</f>
        <v>28063.5</v>
      </c>
      <c r="I7585" s="827"/>
    </row>
    <row r="7586" spans="3:11" ht="25.8" customHeight="1">
      <c r="C7586" s="566" t="s">
        <v>1221</v>
      </c>
      <c r="D7586" s="552" t="s">
        <v>1222</v>
      </c>
      <c r="E7586" s="553"/>
      <c r="F7586" s="553"/>
      <c r="G7586" s="554"/>
      <c r="H7586" s="828">
        <f>SUM(H7584:H7585)</f>
        <v>308698.5</v>
      </c>
      <c r="I7586" s="827"/>
    </row>
    <row r="7587" spans="3:11" ht="25.8" customHeight="1"/>
    <row r="7588" spans="3:11" ht="25.8" customHeight="1">
      <c r="C7588" s="513" t="s">
        <v>6129</v>
      </c>
      <c r="D7588" s="817" t="s">
        <v>6132</v>
      </c>
      <c r="E7588" s="803"/>
      <c r="F7588" s="803"/>
      <c r="G7588" s="803"/>
      <c r="H7588" s="803"/>
      <c r="I7588" s="533">
        <f>ROUNDDOWN(H7603,-2)</f>
        <v>308600</v>
      </c>
      <c r="J7588" s="536"/>
      <c r="K7588" s="824"/>
    </row>
    <row r="7589" spans="3:11" ht="25.8" customHeight="1">
      <c r="C7589" s="716" t="s">
        <v>1195</v>
      </c>
      <c r="D7589" s="716" t="s">
        <v>1196</v>
      </c>
      <c r="E7589" s="716" t="s">
        <v>1197</v>
      </c>
      <c r="F7589" s="716" t="s">
        <v>1198</v>
      </c>
      <c r="G7589" s="716" t="s">
        <v>1199</v>
      </c>
      <c r="H7589" s="716" t="s">
        <v>1200</v>
      </c>
    </row>
    <row r="7590" spans="3:11" ht="25.8" customHeight="1">
      <c r="C7590" s="213" t="s">
        <v>1201</v>
      </c>
      <c r="D7590" s="212" t="s">
        <v>1202</v>
      </c>
      <c r="E7590" s="534"/>
      <c r="F7590" s="534"/>
      <c r="G7590" s="534"/>
      <c r="H7590" s="534"/>
    </row>
    <row r="7591" spans="3:11" ht="25.8" customHeight="1">
      <c r="C7591" s="818">
        <v>1</v>
      </c>
      <c r="D7591" s="212" t="s">
        <v>5</v>
      </c>
      <c r="E7591" s="212" t="s">
        <v>6</v>
      </c>
      <c r="F7591" s="538">
        <v>6.4000000000000001E-2</v>
      </c>
      <c r="G7591" s="539">
        <f>VLOOKUP(D7591,upahbahan,3,FALSE)</f>
        <v>100000</v>
      </c>
      <c r="H7591" s="539">
        <f t="shared" ref="H7591:H7594" si="792">F7591*G7591</f>
        <v>6400</v>
      </c>
    </row>
    <row r="7592" spans="3:11" ht="25.8" customHeight="1">
      <c r="C7592" s="818">
        <v>2</v>
      </c>
      <c r="D7592" s="212" t="s">
        <v>17</v>
      </c>
      <c r="E7592" s="212" t="s">
        <v>6</v>
      </c>
      <c r="F7592" s="538">
        <v>0.107</v>
      </c>
      <c r="G7592" s="539">
        <f>VLOOKUP(D7592,upahbahan,3,FALSE)</f>
        <v>135000</v>
      </c>
      <c r="H7592" s="539">
        <f t="shared" si="792"/>
        <v>14445</v>
      </c>
    </row>
    <row r="7593" spans="3:11" ht="25.8" customHeight="1">
      <c r="C7593" s="818">
        <v>3</v>
      </c>
      <c r="D7593" s="212" t="s">
        <v>1310</v>
      </c>
      <c r="E7593" s="212" t="s">
        <v>6</v>
      </c>
      <c r="F7593" s="538">
        <v>1.0999999999999999E-2</v>
      </c>
      <c r="G7593" s="539">
        <f>VLOOKUP(D7593,upahbahan,3,FALSE)</f>
        <v>150000</v>
      </c>
      <c r="H7593" s="539">
        <f t="shared" si="792"/>
        <v>1650</v>
      </c>
    </row>
    <row r="7594" spans="3:11" ht="25.8" customHeight="1">
      <c r="C7594" s="818">
        <v>4</v>
      </c>
      <c r="D7594" s="212" t="s">
        <v>19</v>
      </c>
      <c r="E7594" s="212" t="s">
        <v>6</v>
      </c>
      <c r="F7594" s="538">
        <v>4.0000000000000001E-3</v>
      </c>
      <c r="G7594" s="539">
        <f>VLOOKUP(D7594,upahbahan,3,FALSE)</f>
        <v>160000</v>
      </c>
      <c r="H7594" s="539">
        <f t="shared" si="792"/>
        <v>640</v>
      </c>
    </row>
    <row r="7595" spans="3:11" ht="25.8" customHeight="1">
      <c r="C7595" s="702" t="s">
        <v>1208</v>
      </c>
      <c r="D7595" s="208"/>
      <c r="E7595" s="208"/>
      <c r="F7595" s="811"/>
      <c r="G7595" s="522"/>
      <c r="H7595" s="539">
        <f>SUM(H7591:H7594)</f>
        <v>23135</v>
      </c>
      <c r="I7595" s="819"/>
    </row>
    <row r="7596" spans="3:11" ht="25.8" customHeight="1">
      <c r="C7596" s="213" t="s">
        <v>1209</v>
      </c>
      <c r="D7596" s="212" t="s">
        <v>1210</v>
      </c>
      <c r="E7596" s="534"/>
      <c r="F7596" s="831"/>
      <c r="G7596" s="534"/>
      <c r="H7596" s="534"/>
    </row>
    <row r="7597" spans="3:11" ht="25.8" customHeight="1">
      <c r="C7597" s="213">
        <v>1</v>
      </c>
      <c r="D7597" s="212" t="s">
        <v>6128</v>
      </c>
      <c r="E7597" s="234" t="s">
        <v>135</v>
      </c>
      <c r="F7597" s="866">
        <v>1.03</v>
      </c>
      <c r="G7597" s="539">
        <f>VLOOKUP(D7597,upahbahan,3,FALSE)</f>
        <v>250000</v>
      </c>
      <c r="H7597" s="539">
        <f t="shared" ref="H7597" si="793">F7597*G7597</f>
        <v>257500</v>
      </c>
    </row>
    <row r="7598" spans="3:11" ht="25.8" customHeight="1">
      <c r="C7598" s="702" t="s">
        <v>1214</v>
      </c>
      <c r="D7598" s="208"/>
      <c r="E7598" s="208" t="s">
        <v>6045</v>
      </c>
      <c r="F7598" s="208"/>
      <c r="G7598" s="209"/>
      <c r="H7598" s="539">
        <f>SUM(H7596:H7597)</f>
        <v>257500</v>
      </c>
    </row>
    <row r="7599" spans="3:11" ht="25.8" customHeight="1">
      <c r="C7599" s="213" t="s">
        <v>1215</v>
      </c>
      <c r="D7599" s="212" t="s">
        <v>1216</v>
      </c>
      <c r="E7599" s="534"/>
      <c r="F7599" s="534"/>
      <c r="G7599" s="534"/>
      <c r="H7599" s="534"/>
    </row>
    <row r="7600" spans="3:11" ht="25.8" customHeight="1">
      <c r="C7600" s="702" t="s">
        <v>1217</v>
      </c>
      <c r="D7600" s="815"/>
      <c r="E7600" s="815"/>
      <c r="F7600" s="815"/>
      <c r="G7600" s="209"/>
      <c r="H7600" s="821">
        <f>SUM(H7599:H7599)</f>
        <v>0</v>
      </c>
    </row>
    <row r="7601" spans="3:11" ht="25.8" customHeight="1">
      <c r="C7601" s="566" t="s">
        <v>1218</v>
      </c>
      <c r="D7601" s="552" t="s">
        <v>1219</v>
      </c>
      <c r="E7601" s="553"/>
      <c r="F7601" s="553"/>
      <c r="G7601" s="554"/>
      <c r="H7601" s="826">
        <f>H7600+H7598+H7595</f>
        <v>280635</v>
      </c>
      <c r="I7601" s="827"/>
    </row>
    <row r="7602" spans="3:11" ht="25.8" customHeight="1">
      <c r="C7602" s="566" t="s">
        <v>1220</v>
      </c>
      <c r="D7602" s="552" t="s">
        <v>1321</v>
      </c>
      <c r="E7602" s="553"/>
      <c r="F7602" s="554"/>
      <c r="G7602" s="555">
        <f>$M$9</f>
        <v>0.1</v>
      </c>
      <c r="H7602" s="539">
        <f>H7601*G7602</f>
        <v>28063.5</v>
      </c>
      <c r="I7602" s="827"/>
    </row>
    <row r="7603" spans="3:11" ht="25.8" customHeight="1">
      <c r="C7603" s="566" t="s">
        <v>1221</v>
      </c>
      <c r="D7603" s="552" t="s">
        <v>1222</v>
      </c>
      <c r="E7603" s="553"/>
      <c r="F7603" s="553"/>
      <c r="G7603" s="554"/>
      <c r="H7603" s="828">
        <f>SUM(H7601:H7602)</f>
        <v>308698.5</v>
      </c>
      <c r="I7603" s="827"/>
    </row>
    <row r="7604" spans="3:11" ht="25.8" customHeight="1"/>
    <row r="7605" spans="3:11" ht="25.8" customHeight="1">
      <c r="C7605" s="513" t="s">
        <v>6130</v>
      </c>
      <c r="D7605" s="817" t="s">
        <v>6131</v>
      </c>
      <c r="E7605" s="803"/>
      <c r="F7605" s="803"/>
      <c r="G7605" s="803"/>
      <c r="H7605" s="803"/>
      <c r="I7605" s="533">
        <f>ROUNDDOWN(H7620,-2)</f>
        <v>1200000</v>
      </c>
      <c r="J7605" s="536"/>
      <c r="K7605" s="824"/>
    </row>
    <row r="7606" spans="3:11" ht="25.8" customHeight="1">
      <c r="C7606" s="716" t="s">
        <v>1195</v>
      </c>
      <c r="D7606" s="716" t="s">
        <v>1196</v>
      </c>
      <c r="E7606" s="716" t="s">
        <v>1197</v>
      </c>
      <c r="F7606" s="716" t="s">
        <v>1198</v>
      </c>
      <c r="G7606" s="716" t="s">
        <v>1199</v>
      </c>
      <c r="H7606" s="716" t="s">
        <v>1200</v>
      </c>
    </row>
    <row r="7607" spans="3:11" ht="25.8" customHeight="1">
      <c r="C7607" s="213" t="s">
        <v>1201</v>
      </c>
      <c r="D7607" s="212" t="s">
        <v>1202</v>
      </c>
      <c r="E7607" s="534"/>
      <c r="F7607" s="534"/>
      <c r="G7607" s="534"/>
      <c r="H7607" s="534"/>
    </row>
    <row r="7608" spans="3:11" ht="25.8" customHeight="1">
      <c r="C7608" s="818">
        <v>1</v>
      </c>
      <c r="D7608" s="212" t="s">
        <v>5</v>
      </c>
      <c r="E7608" s="212" t="s">
        <v>6</v>
      </c>
      <c r="F7608" s="538">
        <v>0.114</v>
      </c>
      <c r="G7608" s="539">
        <f>VLOOKUP(D7608,upahbahan,3,FALSE)</f>
        <v>100000</v>
      </c>
      <c r="H7608" s="539">
        <f t="shared" ref="H7608:H7611" si="794">F7608*G7608</f>
        <v>11400</v>
      </c>
    </row>
    <row r="7609" spans="3:11" ht="25.8" customHeight="1">
      <c r="C7609" s="818">
        <v>2</v>
      </c>
      <c r="D7609" s="212" t="s">
        <v>17</v>
      </c>
      <c r="E7609" s="212" t="s">
        <v>6</v>
      </c>
      <c r="F7609" s="538">
        <v>0.191</v>
      </c>
      <c r="G7609" s="539">
        <f>VLOOKUP(D7609,upahbahan,3,FALSE)</f>
        <v>135000</v>
      </c>
      <c r="H7609" s="539">
        <f t="shared" si="794"/>
        <v>25785</v>
      </c>
    </row>
    <row r="7610" spans="3:11" ht="25.8" customHeight="1">
      <c r="C7610" s="818">
        <v>3</v>
      </c>
      <c r="D7610" s="212" t="s">
        <v>1310</v>
      </c>
      <c r="E7610" s="212" t="s">
        <v>6</v>
      </c>
      <c r="F7610" s="538">
        <v>1.9E-2</v>
      </c>
      <c r="G7610" s="539">
        <f>VLOOKUP(D7610,upahbahan,3,FALSE)</f>
        <v>150000</v>
      </c>
      <c r="H7610" s="539">
        <f t="shared" si="794"/>
        <v>2850</v>
      </c>
    </row>
    <row r="7611" spans="3:11" ht="25.8" customHeight="1">
      <c r="C7611" s="818">
        <v>4</v>
      </c>
      <c r="D7611" s="212" t="s">
        <v>19</v>
      </c>
      <c r="E7611" s="212" t="s">
        <v>6</v>
      </c>
      <c r="F7611" s="538">
        <v>6.0000000000000001E-3</v>
      </c>
      <c r="G7611" s="539">
        <f>VLOOKUP(D7611,upahbahan,3,FALSE)</f>
        <v>160000</v>
      </c>
      <c r="H7611" s="539">
        <f t="shared" si="794"/>
        <v>960</v>
      </c>
    </row>
    <row r="7612" spans="3:11" ht="25.8" customHeight="1">
      <c r="C7612" s="702" t="s">
        <v>1208</v>
      </c>
      <c r="D7612" s="208"/>
      <c r="E7612" s="208"/>
      <c r="F7612" s="811"/>
      <c r="G7612" s="522"/>
      <c r="H7612" s="539">
        <f>SUM(H7608:H7611)</f>
        <v>40995</v>
      </c>
      <c r="I7612" s="819"/>
    </row>
    <row r="7613" spans="3:11" ht="25.8" customHeight="1">
      <c r="C7613" s="213" t="s">
        <v>1209</v>
      </c>
      <c r="D7613" s="212" t="s">
        <v>1210</v>
      </c>
      <c r="E7613" s="534"/>
      <c r="F7613" s="831"/>
      <c r="G7613" s="534"/>
      <c r="H7613" s="534"/>
    </row>
    <row r="7614" spans="3:11" ht="25.8" customHeight="1">
      <c r="C7614" s="213">
        <v>1</v>
      </c>
      <c r="D7614" s="212" t="s">
        <v>6133</v>
      </c>
      <c r="E7614" s="234" t="s">
        <v>135</v>
      </c>
      <c r="F7614" s="866">
        <v>1.05</v>
      </c>
      <c r="G7614" s="539">
        <f>VLOOKUP(D7614,upahbahan,3,FALSE)</f>
        <v>1000000</v>
      </c>
      <c r="H7614" s="539">
        <f t="shared" ref="H7614" si="795">F7614*G7614</f>
        <v>1050000</v>
      </c>
    </row>
    <row r="7615" spans="3:11" ht="25.8" customHeight="1">
      <c r="C7615" s="702" t="s">
        <v>1214</v>
      </c>
      <c r="D7615" s="208"/>
      <c r="E7615" s="208" t="s">
        <v>6045</v>
      </c>
      <c r="F7615" s="208"/>
      <c r="G7615" s="209"/>
      <c r="H7615" s="539">
        <f>SUM(H7613:H7614)</f>
        <v>1050000</v>
      </c>
    </row>
    <row r="7616" spans="3:11" ht="25.8" customHeight="1">
      <c r="C7616" s="213" t="s">
        <v>1215</v>
      </c>
      <c r="D7616" s="212" t="s">
        <v>1216</v>
      </c>
      <c r="E7616" s="534"/>
      <c r="F7616" s="534"/>
      <c r="G7616" s="534"/>
      <c r="H7616" s="534"/>
    </row>
    <row r="7617" spans="3:11" ht="25.8" customHeight="1">
      <c r="C7617" s="702" t="s">
        <v>1217</v>
      </c>
      <c r="D7617" s="815"/>
      <c r="E7617" s="815"/>
      <c r="F7617" s="815"/>
      <c r="G7617" s="209"/>
      <c r="H7617" s="821">
        <f>SUM(H7616:H7616)</f>
        <v>0</v>
      </c>
    </row>
    <row r="7618" spans="3:11" ht="25.8" customHeight="1">
      <c r="C7618" s="566" t="s">
        <v>1218</v>
      </c>
      <c r="D7618" s="552" t="s">
        <v>1219</v>
      </c>
      <c r="E7618" s="553"/>
      <c r="F7618" s="553"/>
      <c r="G7618" s="554"/>
      <c r="H7618" s="826">
        <f>H7617+H7615+H7612</f>
        <v>1090995</v>
      </c>
      <c r="I7618" s="827"/>
    </row>
    <row r="7619" spans="3:11" ht="25.8" customHeight="1">
      <c r="C7619" s="566" t="s">
        <v>1220</v>
      </c>
      <c r="D7619" s="552" t="s">
        <v>1321</v>
      </c>
      <c r="E7619" s="553"/>
      <c r="F7619" s="554"/>
      <c r="G7619" s="555">
        <f>$M$9</f>
        <v>0.1</v>
      </c>
      <c r="H7619" s="539">
        <f>H7618*G7619</f>
        <v>109099.5</v>
      </c>
      <c r="I7619" s="827"/>
    </row>
    <row r="7620" spans="3:11" ht="25.8" customHeight="1">
      <c r="C7620" s="566" t="s">
        <v>1221</v>
      </c>
      <c r="D7620" s="552" t="s">
        <v>1222</v>
      </c>
      <c r="E7620" s="553"/>
      <c r="F7620" s="553"/>
      <c r="G7620" s="554"/>
      <c r="H7620" s="828">
        <f>SUM(H7618:H7619)</f>
        <v>1200094.5</v>
      </c>
      <c r="I7620" s="827"/>
    </row>
    <row r="7621" spans="3:11" ht="25.8" customHeight="1"/>
    <row r="7622" spans="3:11" ht="25.8" customHeight="1"/>
    <row r="7623" spans="3:11" ht="25.8" customHeight="1">
      <c r="C7623" s="513" t="s">
        <v>6134</v>
      </c>
      <c r="D7623" s="817" t="s">
        <v>6135</v>
      </c>
      <c r="E7623" s="803"/>
      <c r="F7623" s="803"/>
      <c r="G7623" s="803"/>
      <c r="H7623" s="803"/>
      <c r="I7623" s="533">
        <f>ROUNDDOWN(H7638,-2)</f>
        <v>769200</v>
      </c>
      <c r="J7623" s="536"/>
      <c r="K7623" s="824"/>
    </row>
    <row r="7624" spans="3:11" ht="25.8" customHeight="1">
      <c r="C7624" s="716" t="s">
        <v>1195</v>
      </c>
      <c r="D7624" s="716" t="s">
        <v>1196</v>
      </c>
      <c r="E7624" s="716" t="s">
        <v>1197</v>
      </c>
      <c r="F7624" s="716" t="s">
        <v>1198</v>
      </c>
      <c r="G7624" s="716" t="s">
        <v>1199</v>
      </c>
      <c r="H7624" s="716" t="s">
        <v>1200</v>
      </c>
    </row>
    <row r="7625" spans="3:11" ht="25.8" customHeight="1">
      <c r="C7625" s="213" t="s">
        <v>1201</v>
      </c>
      <c r="D7625" s="212" t="s">
        <v>1202</v>
      </c>
      <c r="E7625" s="534"/>
      <c r="F7625" s="534"/>
      <c r="G7625" s="534"/>
      <c r="H7625" s="534"/>
    </row>
    <row r="7626" spans="3:11" ht="25.8" customHeight="1">
      <c r="C7626" s="818">
        <v>1</v>
      </c>
      <c r="D7626" s="212" t="s">
        <v>5</v>
      </c>
      <c r="E7626" s="212" t="s">
        <v>6</v>
      </c>
      <c r="F7626" s="538">
        <v>7.5999999999999998E-2</v>
      </c>
      <c r="G7626" s="539">
        <f>VLOOKUP(D7626,upahbahan,3,FALSE)</f>
        <v>100000</v>
      </c>
      <c r="H7626" s="539">
        <f t="shared" ref="H7626:H7629" si="796">F7626*G7626</f>
        <v>7600</v>
      </c>
    </row>
    <row r="7627" spans="3:11" ht="25.8" customHeight="1">
      <c r="C7627" s="818">
        <v>2</v>
      </c>
      <c r="D7627" s="212" t="s">
        <v>17</v>
      </c>
      <c r="E7627" s="212" t="s">
        <v>6</v>
      </c>
      <c r="F7627" s="538">
        <v>0.127</v>
      </c>
      <c r="G7627" s="539">
        <f>VLOOKUP(D7627,upahbahan,3,FALSE)</f>
        <v>135000</v>
      </c>
      <c r="H7627" s="539">
        <f t="shared" si="796"/>
        <v>17145</v>
      </c>
    </row>
    <row r="7628" spans="3:11" ht="25.8" customHeight="1">
      <c r="C7628" s="818">
        <v>3</v>
      </c>
      <c r="D7628" s="212" t="s">
        <v>1310</v>
      </c>
      <c r="E7628" s="212" t="s">
        <v>6</v>
      </c>
      <c r="F7628" s="538">
        <v>1.2999999999999999E-2</v>
      </c>
      <c r="G7628" s="539">
        <f>VLOOKUP(D7628,upahbahan,3,FALSE)</f>
        <v>150000</v>
      </c>
      <c r="H7628" s="539">
        <f t="shared" si="796"/>
        <v>1950</v>
      </c>
    </row>
    <row r="7629" spans="3:11" ht="25.8" customHeight="1">
      <c r="C7629" s="818">
        <v>4</v>
      </c>
      <c r="D7629" s="212" t="s">
        <v>19</v>
      </c>
      <c r="E7629" s="212" t="s">
        <v>6</v>
      </c>
      <c r="F7629" s="538">
        <v>4.0000000000000001E-3</v>
      </c>
      <c r="G7629" s="539">
        <f>VLOOKUP(D7629,upahbahan,3,FALSE)</f>
        <v>160000</v>
      </c>
      <c r="H7629" s="539">
        <f t="shared" si="796"/>
        <v>640</v>
      </c>
    </row>
    <row r="7630" spans="3:11" ht="25.8" customHeight="1">
      <c r="C7630" s="702" t="s">
        <v>1208</v>
      </c>
      <c r="D7630" s="208"/>
      <c r="E7630" s="208"/>
      <c r="F7630" s="811"/>
      <c r="G7630" s="522"/>
      <c r="H7630" s="539">
        <f>SUM(H7626:H7629)</f>
        <v>27335</v>
      </c>
      <c r="I7630" s="819"/>
    </row>
    <row r="7631" spans="3:11" ht="25.8" customHeight="1">
      <c r="C7631" s="213" t="s">
        <v>1209</v>
      </c>
      <c r="D7631" s="212" t="s">
        <v>1210</v>
      </c>
      <c r="E7631" s="534"/>
      <c r="F7631" s="831"/>
      <c r="G7631" s="534"/>
      <c r="H7631" s="534"/>
    </row>
    <row r="7632" spans="3:11" ht="25.8" customHeight="1">
      <c r="C7632" s="213">
        <v>1</v>
      </c>
      <c r="D7632" s="212" t="s">
        <v>6136</v>
      </c>
      <c r="E7632" s="234" t="s">
        <v>135</v>
      </c>
      <c r="F7632" s="866">
        <v>1.05</v>
      </c>
      <c r="G7632" s="539">
        <f>VLOOKUP(D7632,upahbahan,3,FALSE)</f>
        <v>640000</v>
      </c>
      <c r="H7632" s="539">
        <f t="shared" ref="H7632" si="797">F7632*G7632</f>
        <v>672000</v>
      </c>
    </row>
    <row r="7633" spans="3:11" ht="25.8" customHeight="1">
      <c r="C7633" s="702" t="s">
        <v>1214</v>
      </c>
      <c r="D7633" s="208"/>
      <c r="E7633" s="208" t="s">
        <v>6045</v>
      </c>
      <c r="F7633" s="208"/>
      <c r="G7633" s="209"/>
      <c r="H7633" s="539">
        <f>SUM(H7631:H7632)</f>
        <v>672000</v>
      </c>
    </row>
    <row r="7634" spans="3:11" ht="25.8" customHeight="1">
      <c r="C7634" s="213" t="s">
        <v>1215</v>
      </c>
      <c r="D7634" s="212" t="s">
        <v>1216</v>
      </c>
      <c r="E7634" s="534"/>
      <c r="F7634" s="534"/>
      <c r="G7634" s="534"/>
      <c r="H7634" s="534"/>
    </row>
    <row r="7635" spans="3:11" ht="25.8" customHeight="1">
      <c r="C7635" s="702" t="s">
        <v>1217</v>
      </c>
      <c r="D7635" s="815"/>
      <c r="E7635" s="815"/>
      <c r="F7635" s="815"/>
      <c r="G7635" s="209"/>
      <c r="H7635" s="821">
        <f>SUM(H7634:H7634)</f>
        <v>0</v>
      </c>
    </row>
    <row r="7636" spans="3:11" ht="25.8" customHeight="1">
      <c r="C7636" s="566" t="s">
        <v>1218</v>
      </c>
      <c r="D7636" s="552" t="s">
        <v>1219</v>
      </c>
      <c r="E7636" s="553"/>
      <c r="F7636" s="553"/>
      <c r="G7636" s="554"/>
      <c r="H7636" s="826">
        <f>H7635+H7633+H7630</f>
        <v>699335</v>
      </c>
      <c r="I7636" s="827"/>
    </row>
    <row r="7637" spans="3:11" ht="25.8" customHeight="1">
      <c r="C7637" s="566" t="s">
        <v>1220</v>
      </c>
      <c r="D7637" s="552" t="s">
        <v>1321</v>
      </c>
      <c r="E7637" s="553"/>
      <c r="F7637" s="554"/>
      <c r="G7637" s="555">
        <f>$M$9</f>
        <v>0.1</v>
      </c>
      <c r="H7637" s="539">
        <f>H7636*G7637</f>
        <v>69933.5</v>
      </c>
      <c r="I7637" s="827"/>
    </row>
    <row r="7638" spans="3:11" ht="25.8" customHeight="1">
      <c r="C7638" s="566" t="s">
        <v>1221</v>
      </c>
      <c r="D7638" s="552" t="s">
        <v>1222</v>
      </c>
      <c r="E7638" s="553"/>
      <c r="F7638" s="553"/>
      <c r="G7638" s="554"/>
      <c r="H7638" s="828">
        <f>SUM(H7636:H7637)</f>
        <v>769268.5</v>
      </c>
      <c r="I7638" s="827"/>
    </row>
    <row r="7639" spans="3:11" ht="25.8" customHeight="1"/>
    <row r="7640" spans="3:11" ht="25.8" customHeight="1"/>
    <row r="7641" spans="3:11" ht="25.8" customHeight="1">
      <c r="C7641" s="513" t="s">
        <v>6137</v>
      </c>
      <c r="D7641" s="817" t="s">
        <v>6138</v>
      </c>
      <c r="E7641" s="803"/>
      <c r="F7641" s="803"/>
      <c r="G7641" s="803"/>
      <c r="H7641" s="803"/>
      <c r="I7641" s="533">
        <f>ROUNDDOWN(H7656,-2)</f>
        <v>2957500</v>
      </c>
      <c r="J7641" s="536"/>
      <c r="K7641" s="824"/>
    </row>
    <row r="7642" spans="3:11" ht="25.8" customHeight="1">
      <c r="C7642" s="716" t="s">
        <v>1195</v>
      </c>
      <c r="D7642" s="716" t="s">
        <v>1196</v>
      </c>
      <c r="E7642" s="716" t="s">
        <v>1197</v>
      </c>
      <c r="F7642" s="716" t="s">
        <v>1198</v>
      </c>
      <c r="G7642" s="716" t="s">
        <v>1199</v>
      </c>
      <c r="H7642" s="716" t="s">
        <v>1200</v>
      </c>
    </row>
    <row r="7643" spans="3:11" ht="25.8" customHeight="1">
      <c r="C7643" s="213" t="s">
        <v>1201</v>
      </c>
      <c r="D7643" s="212" t="s">
        <v>1202</v>
      </c>
      <c r="E7643" s="534"/>
      <c r="F7643" s="534"/>
      <c r="G7643" s="534"/>
      <c r="H7643" s="534"/>
    </row>
    <row r="7644" spans="3:11" ht="25.8" customHeight="1">
      <c r="C7644" s="818">
        <v>1</v>
      </c>
      <c r="D7644" s="212" t="s">
        <v>5</v>
      </c>
      <c r="E7644" s="212" t="s">
        <v>6</v>
      </c>
      <c r="F7644" s="538">
        <v>0.25</v>
      </c>
      <c r="G7644" s="539">
        <f>VLOOKUP(D7644,upahbahan,3,FALSE)</f>
        <v>100000</v>
      </c>
      <c r="H7644" s="539">
        <f t="shared" ref="H7644:H7647" si="798">F7644*G7644</f>
        <v>25000</v>
      </c>
    </row>
    <row r="7645" spans="3:11" ht="25.8" customHeight="1">
      <c r="C7645" s="818">
        <v>2</v>
      </c>
      <c r="D7645" s="212" t="s">
        <v>17</v>
      </c>
      <c r="E7645" s="212" t="s">
        <v>6</v>
      </c>
      <c r="F7645" s="538">
        <v>0.41799999999999998</v>
      </c>
      <c r="G7645" s="539">
        <f>VLOOKUP(D7645,upahbahan,3,FALSE)</f>
        <v>135000</v>
      </c>
      <c r="H7645" s="539">
        <f t="shared" si="798"/>
        <v>56430</v>
      </c>
    </row>
    <row r="7646" spans="3:11" ht="25.8" customHeight="1">
      <c r="C7646" s="818">
        <v>3</v>
      </c>
      <c r="D7646" s="212" t="s">
        <v>1310</v>
      </c>
      <c r="E7646" s="212" t="s">
        <v>6</v>
      </c>
      <c r="F7646" s="538">
        <v>4.2000000000000003E-2</v>
      </c>
      <c r="G7646" s="539">
        <f>VLOOKUP(D7646,upahbahan,3,FALSE)</f>
        <v>150000</v>
      </c>
      <c r="H7646" s="539">
        <f t="shared" si="798"/>
        <v>6300</v>
      </c>
    </row>
    <row r="7647" spans="3:11" ht="25.8" customHeight="1">
      <c r="C7647" s="818">
        <v>4</v>
      </c>
      <c r="D7647" s="212" t="s">
        <v>19</v>
      </c>
      <c r="E7647" s="212" t="s">
        <v>6</v>
      </c>
      <c r="F7647" s="538">
        <v>1.4E-2</v>
      </c>
      <c r="G7647" s="539">
        <f>VLOOKUP(D7647,upahbahan,3,FALSE)</f>
        <v>160000</v>
      </c>
      <c r="H7647" s="539">
        <f t="shared" si="798"/>
        <v>2240</v>
      </c>
    </row>
    <row r="7648" spans="3:11" ht="25.8" customHeight="1">
      <c r="C7648" s="702" t="s">
        <v>1208</v>
      </c>
      <c r="D7648" s="208"/>
      <c r="E7648" s="208"/>
      <c r="F7648" s="811"/>
      <c r="G7648" s="522"/>
      <c r="H7648" s="539">
        <f>SUM(H7644:H7647)</f>
        <v>89970</v>
      </c>
      <c r="I7648" s="819"/>
    </row>
    <row r="7649" spans="3:11" ht="25.8" customHeight="1">
      <c r="C7649" s="213" t="s">
        <v>1209</v>
      </c>
      <c r="D7649" s="212" t="s">
        <v>1210</v>
      </c>
      <c r="E7649" s="534"/>
      <c r="F7649" s="831"/>
      <c r="G7649" s="534"/>
      <c r="H7649" s="534"/>
    </row>
    <row r="7650" spans="3:11" ht="25.8" customHeight="1">
      <c r="C7650" s="213">
        <v>1</v>
      </c>
      <c r="D7650" s="212" t="s">
        <v>6139</v>
      </c>
      <c r="E7650" s="234" t="s">
        <v>135</v>
      </c>
      <c r="F7650" s="866">
        <v>1.05</v>
      </c>
      <c r="G7650" s="539">
        <f>VLOOKUP(D7650,upahbahan,3,FALSE)</f>
        <v>2475000</v>
      </c>
      <c r="H7650" s="539">
        <f t="shared" ref="H7650" si="799">F7650*G7650</f>
        <v>2598750</v>
      </c>
    </row>
    <row r="7651" spans="3:11" ht="25.8" customHeight="1">
      <c r="C7651" s="702" t="s">
        <v>1214</v>
      </c>
      <c r="D7651" s="208"/>
      <c r="E7651" s="208" t="s">
        <v>6045</v>
      </c>
      <c r="F7651" s="208"/>
      <c r="G7651" s="209"/>
      <c r="H7651" s="539">
        <f>SUM(H7649:H7650)</f>
        <v>2598750</v>
      </c>
    </row>
    <row r="7652" spans="3:11" ht="25.8" customHeight="1">
      <c r="C7652" s="213" t="s">
        <v>1215</v>
      </c>
      <c r="D7652" s="212" t="s">
        <v>1216</v>
      </c>
      <c r="E7652" s="534"/>
      <c r="F7652" s="534"/>
      <c r="G7652" s="534"/>
      <c r="H7652" s="534"/>
    </row>
    <row r="7653" spans="3:11" ht="25.8" customHeight="1">
      <c r="C7653" s="702" t="s">
        <v>1217</v>
      </c>
      <c r="D7653" s="815"/>
      <c r="E7653" s="815"/>
      <c r="F7653" s="815"/>
      <c r="G7653" s="209"/>
      <c r="H7653" s="821">
        <f>SUM(H7652:H7652)</f>
        <v>0</v>
      </c>
    </row>
    <row r="7654" spans="3:11" ht="25.8" customHeight="1">
      <c r="C7654" s="566" t="s">
        <v>1218</v>
      </c>
      <c r="D7654" s="552" t="s">
        <v>1219</v>
      </c>
      <c r="E7654" s="553"/>
      <c r="F7654" s="553"/>
      <c r="G7654" s="554"/>
      <c r="H7654" s="826">
        <f>H7653+H7651+H7648</f>
        <v>2688720</v>
      </c>
      <c r="I7654" s="827"/>
    </row>
    <row r="7655" spans="3:11" ht="25.8" customHeight="1">
      <c r="C7655" s="566" t="s">
        <v>1220</v>
      </c>
      <c r="D7655" s="552" t="s">
        <v>1321</v>
      </c>
      <c r="E7655" s="553"/>
      <c r="F7655" s="554"/>
      <c r="G7655" s="555">
        <f>$M$9</f>
        <v>0.1</v>
      </c>
      <c r="H7655" s="539">
        <f>H7654*G7655</f>
        <v>268872</v>
      </c>
      <c r="I7655" s="827"/>
    </row>
    <row r="7656" spans="3:11" ht="25.8" customHeight="1">
      <c r="C7656" s="566" t="s">
        <v>1221</v>
      </c>
      <c r="D7656" s="552" t="s">
        <v>1222</v>
      </c>
      <c r="E7656" s="553"/>
      <c r="F7656" s="553"/>
      <c r="G7656" s="554"/>
      <c r="H7656" s="828">
        <f>SUM(H7654:H7655)</f>
        <v>2957592</v>
      </c>
      <c r="I7656" s="827"/>
    </row>
    <row r="7657" spans="3:11" ht="25.8" customHeight="1"/>
    <row r="7658" spans="3:11" ht="25.8" customHeight="1">
      <c r="C7658" s="513" t="s">
        <v>6140</v>
      </c>
      <c r="D7658" s="817" t="s">
        <v>6141</v>
      </c>
      <c r="E7658" s="803"/>
      <c r="F7658" s="803"/>
      <c r="G7658" s="803"/>
      <c r="H7658" s="803"/>
      <c r="I7658" s="533">
        <f>ROUNDDOWN(H7673,-2)</f>
        <v>974300</v>
      </c>
      <c r="J7658" s="536"/>
      <c r="K7658" s="824"/>
    </row>
    <row r="7659" spans="3:11" ht="25.8" customHeight="1">
      <c r="C7659" s="716" t="s">
        <v>1195</v>
      </c>
      <c r="D7659" s="716" t="s">
        <v>1196</v>
      </c>
      <c r="E7659" s="716" t="s">
        <v>1197</v>
      </c>
      <c r="F7659" s="716" t="s">
        <v>1198</v>
      </c>
      <c r="G7659" s="716" t="s">
        <v>1199</v>
      </c>
      <c r="H7659" s="716" t="s">
        <v>1200</v>
      </c>
    </row>
    <row r="7660" spans="3:11" ht="25.8" customHeight="1">
      <c r="C7660" s="213" t="s">
        <v>1201</v>
      </c>
      <c r="D7660" s="212" t="s">
        <v>1202</v>
      </c>
      <c r="E7660" s="534"/>
      <c r="F7660" s="534"/>
      <c r="G7660" s="534"/>
      <c r="H7660" s="534"/>
    </row>
    <row r="7661" spans="3:11" ht="25.8" customHeight="1">
      <c r="C7661" s="818">
        <v>1</v>
      </c>
      <c r="D7661" s="212" t="s">
        <v>5</v>
      </c>
      <c r="E7661" s="212" t="s">
        <v>6</v>
      </c>
      <c r="F7661" s="538">
        <v>0.50700000000000001</v>
      </c>
      <c r="G7661" s="539">
        <f>VLOOKUP(D7661,upahbahan,3,FALSE)</f>
        <v>100000</v>
      </c>
      <c r="H7661" s="539">
        <f t="shared" ref="H7661:H7664" si="800">F7661*G7661</f>
        <v>50700</v>
      </c>
    </row>
    <row r="7662" spans="3:11" ht="25.8" customHeight="1">
      <c r="C7662" s="818">
        <v>2</v>
      </c>
      <c r="D7662" s="212" t="s">
        <v>17</v>
      </c>
      <c r="E7662" s="212" t="s">
        <v>6</v>
      </c>
      <c r="F7662" s="538">
        <v>0.84699999999999998</v>
      </c>
      <c r="G7662" s="539">
        <f>VLOOKUP(D7662,upahbahan,3,FALSE)</f>
        <v>135000</v>
      </c>
      <c r="H7662" s="539">
        <f t="shared" si="800"/>
        <v>114345</v>
      </c>
    </row>
    <row r="7663" spans="3:11" ht="25.8" customHeight="1">
      <c r="C7663" s="818">
        <v>3</v>
      </c>
      <c r="D7663" s="212" t="s">
        <v>1310</v>
      </c>
      <c r="E7663" s="212" t="s">
        <v>6</v>
      </c>
      <c r="F7663" s="538">
        <v>8.5000000000000006E-2</v>
      </c>
      <c r="G7663" s="539">
        <f>VLOOKUP(D7663,upahbahan,3,FALSE)</f>
        <v>150000</v>
      </c>
      <c r="H7663" s="539">
        <f t="shared" si="800"/>
        <v>12750.000000000002</v>
      </c>
    </row>
    <row r="7664" spans="3:11" ht="25.8" customHeight="1">
      <c r="C7664" s="818">
        <v>4</v>
      </c>
      <c r="D7664" s="212" t="s">
        <v>19</v>
      </c>
      <c r="E7664" s="212" t="s">
        <v>6</v>
      </c>
      <c r="F7664" s="538">
        <v>2.8000000000000001E-2</v>
      </c>
      <c r="G7664" s="539">
        <f>VLOOKUP(D7664,upahbahan,3,FALSE)</f>
        <v>160000</v>
      </c>
      <c r="H7664" s="539">
        <f t="shared" si="800"/>
        <v>4480</v>
      </c>
    </row>
    <row r="7665" spans="3:11" ht="25.8" customHeight="1">
      <c r="C7665" s="702" t="s">
        <v>1208</v>
      </c>
      <c r="D7665" s="208"/>
      <c r="E7665" s="208"/>
      <c r="F7665" s="811"/>
      <c r="G7665" s="522"/>
      <c r="H7665" s="539">
        <f>SUM(H7661:H7664)</f>
        <v>182275</v>
      </c>
      <c r="I7665" s="819"/>
    </row>
    <row r="7666" spans="3:11" ht="25.8" customHeight="1">
      <c r="C7666" s="213" t="s">
        <v>1209</v>
      </c>
      <c r="D7666" s="212" t="s">
        <v>1210</v>
      </c>
      <c r="E7666" s="534"/>
      <c r="F7666" s="831"/>
      <c r="G7666" s="534"/>
      <c r="H7666" s="534"/>
    </row>
    <row r="7667" spans="3:11" ht="25.8" customHeight="1">
      <c r="C7667" s="213">
        <v>1</v>
      </c>
      <c r="D7667" s="212" t="s">
        <v>6142</v>
      </c>
      <c r="E7667" s="234" t="s">
        <v>135</v>
      </c>
      <c r="F7667" s="866">
        <v>1.05</v>
      </c>
      <c r="G7667" s="539">
        <f>VLOOKUP(D7667,upahbahan,3,FALSE)</f>
        <v>670000</v>
      </c>
      <c r="H7667" s="539">
        <f t="shared" ref="H7667" si="801">F7667*G7667</f>
        <v>703500</v>
      </c>
    </row>
    <row r="7668" spans="3:11" ht="25.8" customHeight="1">
      <c r="C7668" s="702" t="s">
        <v>1214</v>
      </c>
      <c r="D7668" s="208"/>
      <c r="E7668" s="208" t="s">
        <v>6045</v>
      </c>
      <c r="F7668" s="208"/>
      <c r="G7668" s="209"/>
      <c r="H7668" s="539">
        <f>SUM(H7666:H7667)</f>
        <v>703500</v>
      </c>
    </row>
    <row r="7669" spans="3:11" ht="25.8" customHeight="1">
      <c r="C7669" s="213" t="s">
        <v>1215</v>
      </c>
      <c r="D7669" s="212" t="s">
        <v>1216</v>
      </c>
      <c r="E7669" s="534"/>
      <c r="F7669" s="534"/>
      <c r="G7669" s="534"/>
      <c r="H7669" s="534"/>
    </row>
    <row r="7670" spans="3:11" ht="25.8" customHeight="1">
      <c r="C7670" s="702" t="s">
        <v>1217</v>
      </c>
      <c r="D7670" s="815"/>
      <c r="E7670" s="815"/>
      <c r="F7670" s="815"/>
      <c r="G7670" s="209"/>
      <c r="H7670" s="821">
        <f>SUM(H7669:H7669)</f>
        <v>0</v>
      </c>
    </row>
    <row r="7671" spans="3:11" ht="25.8" customHeight="1">
      <c r="C7671" s="566" t="s">
        <v>1218</v>
      </c>
      <c r="D7671" s="552" t="s">
        <v>1219</v>
      </c>
      <c r="E7671" s="553"/>
      <c r="F7671" s="553"/>
      <c r="G7671" s="554"/>
      <c r="H7671" s="826">
        <f>H7670+H7668+H7665</f>
        <v>885775</v>
      </c>
      <c r="I7671" s="827"/>
    </row>
    <row r="7672" spans="3:11" ht="25.8" customHeight="1">
      <c r="C7672" s="566" t="s">
        <v>1220</v>
      </c>
      <c r="D7672" s="552" t="s">
        <v>1321</v>
      </c>
      <c r="E7672" s="553"/>
      <c r="F7672" s="554"/>
      <c r="G7672" s="555">
        <f>$M$9</f>
        <v>0.1</v>
      </c>
      <c r="H7672" s="539">
        <f>H7671*G7672</f>
        <v>88577.5</v>
      </c>
      <c r="I7672" s="827"/>
    </row>
    <row r="7673" spans="3:11" ht="25.8" customHeight="1">
      <c r="C7673" s="566" t="s">
        <v>1221</v>
      </c>
      <c r="D7673" s="552" t="s">
        <v>1222</v>
      </c>
      <c r="E7673" s="553"/>
      <c r="F7673" s="553"/>
      <c r="G7673" s="554"/>
      <c r="H7673" s="828">
        <f>SUM(H7671:H7672)</f>
        <v>974352.5</v>
      </c>
      <c r="I7673" s="827"/>
    </row>
    <row r="7674" spans="3:11" ht="25.8" customHeight="1"/>
    <row r="7675" spans="3:11" ht="25.8" customHeight="1"/>
    <row r="7676" spans="3:11" ht="25.8" customHeight="1">
      <c r="C7676" s="513" t="s">
        <v>6143</v>
      </c>
      <c r="D7676" s="817" t="s">
        <v>6144</v>
      </c>
      <c r="E7676" s="803"/>
      <c r="F7676" s="803"/>
      <c r="G7676" s="803"/>
      <c r="H7676" s="803"/>
      <c r="I7676" s="533">
        <f>ROUNDDOWN(H7691,-2)</f>
        <v>148500</v>
      </c>
      <c r="J7676" s="536"/>
      <c r="K7676" s="824"/>
    </row>
    <row r="7677" spans="3:11" ht="25.8" customHeight="1">
      <c r="C7677" s="716" t="s">
        <v>1195</v>
      </c>
      <c r="D7677" s="716" t="s">
        <v>1196</v>
      </c>
      <c r="E7677" s="716" t="s">
        <v>1197</v>
      </c>
      <c r="F7677" s="716" t="s">
        <v>1198</v>
      </c>
      <c r="G7677" s="716" t="s">
        <v>1199</v>
      </c>
      <c r="H7677" s="716" t="s">
        <v>1200</v>
      </c>
    </row>
    <row r="7678" spans="3:11" ht="25.8" customHeight="1">
      <c r="C7678" s="213" t="s">
        <v>1201</v>
      </c>
      <c r="D7678" s="212" t="s">
        <v>1202</v>
      </c>
      <c r="E7678" s="534"/>
      <c r="F7678" s="534"/>
      <c r="G7678" s="534"/>
      <c r="H7678" s="534"/>
    </row>
    <row r="7679" spans="3:11" ht="25.8" customHeight="1">
      <c r="C7679" s="818">
        <v>1</v>
      </c>
      <c r="D7679" s="212" t="s">
        <v>5</v>
      </c>
      <c r="E7679" s="212" t="s">
        <v>6</v>
      </c>
      <c r="F7679" s="538">
        <v>0.129</v>
      </c>
      <c r="G7679" s="539">
        <f>VLOOKUP(D7679,upahbahan,3,FALSE)</f>
        <v>100000</v>
      </c>
      <c r="H7679" s="539">
        <f t="shared" ref="H7679:H7682" si="802">F7679*G7679</f>
        <v>12900</v>
      </c>
    </row>
    <row r="7680" spans="3:11" ht="25.8" customHeight="1">
      <c r="C7680" s="818">
        <v>2</v>
      </c>
      <c r="D7680" s="212" t="s">
        <v>17</v>
      </c>
      <c r="E7680" s="212" t="s">
        <v>6</v>
      </c>
      <c r="F7680" s="538">
        <v>0.215</v>
      </c>
      <c r="G7680" s="539">
        <f>VLOOKUP(D7680,upahbahan,3,FALSE)</f>
        <v>135000</v>
      </c>
      <c r="H7680" s="539">
        <f t="shared" si="802"/>
        <v>29025</v>
      </c>
    </row>
    <row r="7681" spans="3:11" ht="25.8" customHeight="1">
      <c r="C7681" s="818">
        <v>3</v>
      </c>
      <c r="D7681" s="212" t="s">
        <v>1310</v>
      </c>
      <c r="E7681" s="212" t="s">
        <v>6</v>
      </c>
      <c r="F7681" s="538">
        <v>2.1000000000000001E-2</v>
      </c>
      <c r="G7681" s="539">
        <f>VLOOKUP(D7681,upahbahan,3,FALSE)</f>
        <v>150000</v>
      </c>
      <c r="H7681" s="539">
        <f t="shared" si="802"/>
        <v>3150</v>
      </c>
    </row>
    <row r="7682" spans="3:11" ht="25.8" customHeight="1">
      <c r="C7682" s="818">
        <v>4</v>
      </c>
      <c r="D7682" s="212" t="s">
        <v>19</v>
      </c>
      <c r="E7682" s="212" t="s">
        <v>6</v>
      </c>
      <c r="F7682" s="538">
        <v>7.0000000000000007E-2</v>
      </c>
      <c r="G7682" s="539">
        <f>VLOOKUP(D7682,upahbahan,3,FALSE)</f>
        <v>160000</v>
      </c>
      <c r="H7682" s="539">
        <f t="shared" si="802"/>
        <v>11200.000000000002</v>
      </c>
    </row>
    <row r="7683" spans="3:11" ht="25.8" customHeight="1">
      <c r="C7683" s="702" t="s">
        <v>1208</v>
      </c>
      <c r="D7683" s="208"/>
      <c r="E7683" s="208"/>
      <c r="F7683" s="811"/>
      <c r="G7683" s="522"/>
      <c r="H7683" s="539">
        <f>SUM(H7679:H7682)</f>
        <v>56275</v>
      </c>
      <c r="I7683" s="819"/>
    </row>
    <row r="7684" spans="3:11" ht="25.8" customHeight="1">
      <c r="C7684" s="213" t="s">
        <v>1209</v>
      </c>
      <c r="D7684" s="212" t="s">
        <v>1210</v>
      </c>
      <c r="E7684" s="534"/>
      <c r="F7684" s="831"/>
      <c r="G7684" s="534"/>
      <c r="H7684" s="534"/>
    </row>
    <row r="7685" spans="3:11" ht="25.8" customHeight="1">
      <c r="C7685" s="213">
        <v>1</v>
      </c>
      <c r="D7685" s="212" t="s">
        <v>6145</v>
      </c>
      <c r="E7685" s="234" t="s">
        <v>135</v>
      </c>
      <c r="F7685" s="866">
        <v>1.05</v>
      </c>
      <c r="G7685" s="539">
        <f>VLOOKUP(D7685,upahbahan,3,FALSE)</f>
        <v>75000</v>
      </c>
      <c r="H7685" s="539">
        <f t="shared" ref="H7685" si="803">F7685*G7685</f>
        <v>78750</v>
      </c>
    </row>
    <row r="7686" spans="3:11" ht="25.8" customHeight="1">
      <c r="C7686" s="702" t="s">
        <v>1214</v>
      </c>
      <c r="D7686" s="208"/>
      <c r="E7686" s="208" t="s">
        <v>6045</v>
      </c>
      <c r="F7686" s="208"/>
      <c r="G7686" s="209"/>
      <c r="H7686" s="539">
        <f>SUM(H7684:H7685)</f>
        <v>78750</v>
      </c>
    </row>
    <row r="7687" spans="3:11" ht="25.8" customHeight="1">
      <c r="C7687" s="213" t="s">
        <v>1215</v>
      </c>
      <c r="D7687" s="212" t="s">
        <v>1216</v>
      </c>
      <c r="E7687" s="534"/>
      <c r="F7687" s="534"/>
      <c r="G7687" s="534"/>
      <c r="H7687" s="534"/>
    </row>
    <row r="7688" spans="3:11" ht="25.8" customHeight="1">
      <c r="C7688" s="702" t="s">
        <v>1217</v>
      </c>
      <c r="D7688" s="815"/>
      <c r="E7688" s="815"/>
      <c r="F7688" s="815"/>
      <c r="G7688" s="209"/>
      <c r="H7688" s="821">
        <f>SUM(H7687:H7687)</f>
        <v>0</v>
      </c>
    </row>
    <row r="7689" spans="3:11" ht="25.8" customHeight="1">
      <c r="C7689" s="566" t="s">
        <v>1218</v>
      </c>
      <c r="D7689" s="552" t="s">
        <v>1219</v>
      </c>
      <c r="E7689" s="553"/>
      <c r="F7689" s="553"/>
      <c r="G7689" s="554"/>
      <c r="H7689" s="826">
        <f>H7688+H7686+H7683</f>
        <v>135025</v>
      </c>
      <c r="I7689" s="827"/>
    </row>
    <row r="7690" spans="3:11" ht="25.8" customHeight="1">
      <c r="C7690" s="566" t="s">
        <v>1220</v>
      </c>
      <c r="D7690" s="552" t="s">
        <v>1321</v>
      </c>
      <c r="E7690" s="553"/>
      <c r="F7690" s="554"/>
      <c r="G7690" s="555">
        <f>$M$9</f>
        <v>0.1</v>
      </c>
      <c r="H7690" s="539">
        <f>H7689*G7690</f>
        <v>13502.5</v>
      </c>
      <c r="I7690" s="827"/>
    </row>
    <row r="7691" spans="3:11" ht="25.8" customHeight="1">
      <c r="C7691" s="566" t="s">
        <v>1221</v>
      </c>
      <c r="D7691" s="552" t="s">
        <v>1222</v>
      </c>
      <c r="E7691" s="553"/>
      <c r="F7691" s="553"/>
      <c r="G7691" s="554"/>
      <c r="H7691" s="828">
        <f>SUM(H7689:H7690)</f>
        <v>148527.5</v>
      </c>
      <c r="I7691" s="827"/>
    </row>
    <row r="7692" spans="3:11" ht="25.8" customHeight="1"/>
    <row r="7693" spans="3:11" ht="25.8" customHeight="1">
      <c r="C7693" s="513" t="s">
        <v>6146</v>
      </c>
      <c r="D7693" s="817" t="s">
        <v>6147</v>
      </c>
      <c r="E7693" s="803"/>
      <c r="F7693" s="803"/>
      <c r="G7693" s="803"/>
      <c r="H7693" s="803"/>
      <c r="I7693" s="533">
        <f>ROUNDDOWN(H7708,-2)</f>
        <v>822900</v>
      </c>
      <c r="J7693" s="536"/>
      <c r="K7693" s="824"/>
    </row>
    <row r="7694" spans="3:11" ht="25.8" customHeight="1">
      <c r="C7694" s="716" t="s">
        <v>1195</v>
      </c>
      <c r="D7694" s="716" t="s">
        <v>1196</v>
      </c>
      <c r="E7694" s="716" t="s">
        <v>1197</v>
      </c>
      <c r="F7694" s="716" t="s">
        <v>1198</v>
      </c>
      <c r="G7694" s="716" t="s">
        <v>1199</v>
      </c>
      <c r="H7694" s="716" t="s">
        <v>1200</v>
      </c>
    </row>
    <row r="7695" spans="3:11" ht="25.8" customHeight="1">
      <c r="C7695" s="213" t="s">
        <v>1201</v>
      </c>
      <c r="D7695" s="212" t="s">
        <v>1202</v>
      </c>
      <c r="E7695" s="534"/>
      <c r="F7695" s="534"/>
      <c r="G7695" s="534"/>
      <c r="H7695" s="534"/>
    </row>
    <row r="7696" spans="3:11" ht="25.8" customHeight="1">
      <c r="C7696" s="818">
        <v>1</v>
      </c>
      <c r="D7696" s="212" t="s">
        <v>5</v>
      </c>
      <c r="E7696" s="212" t="s">
        <v>6</v>
      </c>
      <c r="F7696" s="538">
        <v>9.5000000000000001E-2</v>
      </c>
      <c r="G7696" s="539">
        <f>VLOOKUP(D7696,upahbahan,3,FALSE)</f>
        <v>100000</v>
      </c>
      <c r="H7696" s="539">
        <f t="shared" ref="H7696:H7699" si="804">F7696*G7696</f>
        <v>9500</v>
      </c>
    </row>
    <row r="7697" spans="3:11" ht="25.8" customHeight="1">
      <c r="C7697" s="818">
        <v>2</v>
      </c>
      <c r="D7697" s="212" t="s">
        <v>17</v>
      </c>
      <c r="E7697" s="212" t="s">
        <v>6</v>
      </c>
      <c r="F7697" s="538">
        <v>0.159</v>
      </c>
      <c r="G7697" s="539">
        <f>VLOOKUP(D7697,upahbahan,3,FALSE)</f>
        <v>135000</v>
      </c>
      <c r="H7697" s="539">
        <f t="shared" si="804"/>
        <v>21465</v>
      </c>
    </row>
    <row r="7698" spans="3:11" ht="25.8" customHeight="1">
      <c r="C7698" s="818">
        <v>3</v>
      </c>
      <c r="D7698" s="212" t="s">
        <v>1310</v>
      </c>
      <c r="E7698" s="212" t="s">
        <v>6</v>
      </c>
      <c r="F7698" s="538">
        <v>1.6E-2</v>
      </c>
      <c r="G7698" s="539">
        <f>VLOOKUP(D7698,upahbahan,3,FALSE)</f>
        <v>150000</v>
      </c>
      <c r="H7698" s="539">
        <f t="shared" si="804"/>
        <v>2400</v>
      </c>
    </row>
    <row r="7699" spans="3:11" ht="25.8" customHeight="1">
      <c r="C7699" s="818">
        <v>4</v>
      </c>
      <c r="D7699" s="212" t="s">
        <v>19</v>
      </c>
      <c r="E7699" s="212" t="s">
        <v>6</v>
      </c>
      <c r="F7699" s="538">
        <v>5.0000000000000001E-3</v>
      </c>
      <c r="G7699" s="539">
        <f>VLOOKUP(D7699,upahbahan,3,FALSE)</f>
        <v>160000</v>
      </c>
      <c r="H7699" s="539">
        <f t="shared" si="804"/>
        <v>800</v>
      </c>
    </row>
    <row r="7700" spans="3:11" ht="25.8" customHeight="1">
      <c r="C7700" s="702" t="s">
        <v>1208</v>
      </c>
      <c r="D7700" s="208"/>
      <c r="E7700" s="208"/>
      <c r="F7700" s="811"/>
      <c r="G7700" s="522"/>
      <c r="H7700" s="539">
        <f>SUM(H7696:H7699)</f>
        <v>34165</v>
      </c>
      <c r="I7700" s="819"/>
    </row>
    <row r="7701" spans="3:11" ht="25.8" customHeight="1">
      <c r="C7701" s="213" t="s">
        <v>1209</v>
      </c>
      <c r="D7701" s="212" t="s">
        <v>1210</v>
      </c>
      <c r="E7701" s="534"/>
      <c r="F7701" s="831"/>
      <c r="G7701" s="534"/>
      <c r="H7701" s="534"/>
    </row>
    <row r="7702" spans="3:11" ht="25.8" customHeight="1">
      <c r="C7702" s="213">
        <v>1</v>
      </c>
      <c r="D7702" s="212" t="s">
        <v>6148</v>
      </c>
      <c r="E7702" s="234" t="s">
        <v>135</v>
      </c>
      <c r="F7702" s="866">
        <v>1.05</v>
      </c>
      <c r="G7702" s="539">
        <f>VLOOKUP(D7702,upahbahan,3,FALSE)</f>
        <v>680000</v>
      </c>
      <c r="H7702" s="539">
        <f t="shared" ref="H7702" si="805">F7702*G7702</f>
        <v>714000</v>
      </c>
    </row>
    <row r="7703" spans="3:11" ht="25.8" customHeight="1">
      <c r="C7703" s="702" t="s">
        <v>1214</v>
      </c>
      <c r="D7703" s="208"/>
      <c r="E7703" s="208" t="s">
        <v>6045</v>
      </c>
      <c r="F7703" s="208"/>
      <c r="G7703" s="209"/>
      <c r="H7703" s="539">
        <f>SUM(H7701:H7702)</f>
        <v>714000</v>
      </c>
    </row>
    <row r="7704" spans="3:11" ht="25.8" customHeight="1">
      <c r="C7704" s="213" t="s">
        <v>1215</v>
      </c>
      <c r="D7704" s="212" t="s">
        <v>1216</v>
      </c>
      <c r="E7704" s="534"/>
      <c r="F7704" s="534"/>
      <c r="G7704" s="534"/>
      <c r="H7704" s="534"/>
    </row>
    <row r="7705" spans="3:11" ht="25.8" customHeight="1">
      <c r="C7705" s="702" t="s">
        <v>1217</v>
      </c>
      <c r="D7705" s="815"/>
      <c r="E7705" s="815"/>
      <c r="F7705" s="815"/>
      <c r="G7705" s="209"/>
      <c r="H7705" s="821">
        <f>SUM(H7704:H7704)</f>
        <v>0</v>
      </c>
    </row>
    <row r="7706" spans="3:11" ht="25.8" customHeight="1">
      <c r="C7706" s="566" t="s">
        <v>1218</v>
      </c>
      <c r="D7706" s="552" t="s">
        <v>1219</v>
      </c>
      <c r="E7706" s="553"/>
      <c r="F7706" s="553"/>
      <c r="G7706" s="554"/>
      <c r="H7706" s="826">
        <f>H7705+H7703+H7700</f>
        <v>748165</v>
      </c>
      <c r="I7706" s="827"/>
    </row>
    <row r="7707" spans="3:11" ht="25.8" customHeight="1">
      <c r="C7707" s="566" t="s">
        <v>1220</v>
      </c>
      <c r="D7707" s="552" t="s">
        <v>1321</v>
      </c>
      <c r="E7707" s="553"/>
      <c r="F7707" s="554"/>
      <c r="G7707" s="555">
        <f>$M$9</f>
        <v>0.1</v>
      </c>
      <c r="H7707" s="539">
        <f>H7706*G7707</f>
        <v>74816.5</v>
      </c>
      <c r="I7707" s="827"/>
    </row>
    <row r="7708" spans="3:11" ht="25.8" customHeight="1">
      <c r="C7708" s="566" t="s">
        <v>1221</v>
      </c>
      <c r="D7708" s="552" t="s">
        <v>1222</v>
      </c>
      <c r="E7708" s="553"/>
      <c r="F7708" s="553"/>
      <c r="G7708" s="554"/>
      <c r="H7708" s="828">
        <f>SUM(H7706:H7707)</f>
        <v>822981.5</v>
      </c>
      <c r="I7708" s="827"/>
    </row>
    <row r="7709" spans="3:11" ht="25.8" customHeight="1"/>
    <row r="7710" spans="3:11" ht="25.8" customHeight="1"/>
    <row r="7711" spans="3:11" ht="25.8" customHeight="1">
      <c r="C7711" s="513" t="s">
        <v>6149</v>
      </c>
      <c r="D7711" s="817" t="s">
        <v>6150</v>
      </c>
      <c r="E7711" s="803"/>
      <c r="F7711" s="803"/>
      <c r="G7711" s="803"/>
      <c r="H7711" s="803"/>
      <c r="I7711" s="533">
        <f>ROUNDDOWN(H7726,-2)</f>
        <v>868400</v>
      </c>
      <c r="J7711" s="536"/>
      <c r="K7711" s="824"/>
    </row>
    <row r="7712" spans="3:11" ht="25.8" customHeight="1">
      <c r="C7712" s="716" t="s">
        <v>1195</v>
      </c>
      <c r="D7712" s="716" t="s">
        <v>1196</v>
      </c>
      <c r="E7712" s="716" t="s">
        <v>1197</v>
      </c>
      <c r="F7712" s="716" t="s">
        <v>1198</v>
      </c>
      <c r="G7712" s="716" t="s">
        <v>1199</v>
      </c>
      <c r="H7712" s="716" t="s">
        <v>1200</v>
      </c>
    </row>
    <row r="7713" spans="3:11" ht="25.8" customHeight="1">
      <c r="C7713" s="213" t="s">
        <v>1201</v>
      </c>
      <c r="D7713" s="212" t="s">
        <v>1202</v>
      </c>
      <c r="E7713" s="534"/>
      <c r="F7713" s="534"/>
      <c r="G7713" s="534"/>
      <c r="H7713" s="534"/>
    </row>
    <row r="7714" spans="3:11" ht="25.8" customHeight="1">
      <c r="C7714" s="818">
        <v>1</v>
      </c>
      <c r="D7714" s="212" t="s">
        <v>5</v>
      </c>
      <c r="E7714" s="212" t="s">
        <v>6</v>
      </c>
      <c r="F7714" s="538">
        <v>0.129</v>
      </c>
      <c r="G7714" s="539">
        <f>VLOOKUP(D7714,upahbahan,3,FALSE)</f>
        <v>100000</v>
      </c>
      <c r="H7714" s="539">
        <f t="shared" ref="H7714:H7717" si="806">F7714*G7714</f>
        <v>12900</v>
      </c>
    </row>
    <row r="7715" spans="3:11" ht="25.8" customHeight="1">
      <c r="C7715" s="818">
        <v>2</v>
      </c>
      <c r="D7715" s="212" t="s">
        <v>17</v>
      </c>
      <c r="E7715" s="212" t="s">
        <v>6</v>
      </c>
      <c r="F7715" s="538">
        <v>0.215</v>
      </c>
      <c r="G7715" s="539">
        <f>VLOOKUP(D7715,upahbahan,3,FALSE)</f>
        <v>135000</v>
      </c>
      <c r="H7715" s="539">
        <f t="shared" si="806"/>
        <v>29025</v>
      </c>
    </row>
    <row r="7716" spans="3:11" ht="25.8" customHeight="1">
      <c r="C7716" s="818">
        <v>3</v>
      </c>
      <c r="D7716" s="212" t="s">
        <v>1310</v>
      </c>
      <c r="E7716" s="212" t="s">
        <v>6</v>
      </c>
      <c r="F7716" s="538">
        <v>0.21</v>
      </c>
      <c r="G7716" s="539">
        <f>VLOOKUP(D7716,upahbahan,3,FALSE)</f>
        <v>150000</v>
      </c>
      <c r="H7716" s="539">
        <f t="shared" si="806"/>
        <v>31500</v>
      </c>
    </row>
    <row r="7717" spans="3:11" ht="25.8" customHeight="1">
      <c r="C7717" s="818">
        <v>4</v>
      </c>
      <c r="D7717" s="212" t="s">
        <v>19</v>
      </c>
      <c r="E7717" s="212" t="s">
        <v>6</v>
      </c>
      <c r="F7717" s="538">
        <v>7.0000000000000001E-3</v>
      </c>
      <c r="G7717" s="539">
        <f>VLOOKUP(D7717,upahbahan,3,FALSE)</f>
        <v>160000</v>
      </c>
      <c r="H7717" s="539">
        <f t="shared" si="806"/>
        <v>1120</v>
      </c>
    </row>
    <row r="7718" spans="3:11" ht="25.8" customHeight="1">
      <c r="C7718" s="702" t="s">
        <v>1208</v>
      </c>
      <c r="D7718" s="208"/>
      <c r="E7718" s="208"/>
      <c r="F7718" s="811"/>
      <c r="G7718" s="522"/>
      <c r="H7718" s="539">
        <f>SUM(H7714:H7717)</f>
        <v>74545</v>
      </c>
      <c r="I7718" s="819"/>
    </row>
    <row r="7719" spans="3:11" ht="25.8" customHeight="1">
      <c r="C7719" s="213" t="s">
        <v>1209</v>
      </c>
      <c r="D7719" s="212" t="s">
        <v>1210</v>
      </c>
      <c r="E7719" s="534"/>
      <c r="F7719" s="831"/>
      <c r="G7719" s="534"/>
      <c r="H7719" s="534"/>
    </row>
    <row r="7720" spans="3:11" ht="25.8" customHeight="1">
      <c r="C7720" s="213">
        <v>1</v>
      </c>
      <c r="D7720" s="212" t="s">
        <v>6151</v>
      </c>
      <c r="E7720" s="234" t="s">
        <v>135</v>
      </c>
      <c r="F7720" s="866">
        <v>1.1000000000000001</v>
      </c>
      <c r="G7720" s="539">
        <f>VLOOKUP(D7720,upahbahan,3,FALSE)</f>
        <v>650000</v>
      </c>
      <c r="H7720" s="539">
        <f t="shared" ref="H7720" si="807">F7720*G7720</f>
        <v>715000</v>
      </c>
    </row>
    <row r="7721" spans="3:11" ht="25.8" customHeight="1">
      <c r="C7721" s="702" t="s">
        <v>1214</v>
      </c>
      <c r="D7721" s="208"/>
      <c r="E7721" s="208" t="s">
        <v>6045</v>
      </c>
      <c r="F7721" s="208"/>
      <c r="G7721" s="209"/>
      <c r="H7721" s="539">
        <f>SUM(H7719:H7720)</f>
        <v>715000</v>
      </c>
    </row>
    <row r="7722" spans="3:11" ht="25.8" customHeight="1">
      <c r="C7722" s="213" t="s">
        <v>1215</v>
      </c>
      <c r="D7722" s="212" t="s">
        <v>1216</v>
      </c>
      <c r="E7722" s="534"/>
      <c r="F7722" s="534"/>
      <c r="G7722" s="534"/>
      <c r="H7722" s="534"/>
    </row>
    <row r="7723" spans="3:11" ht="25.8" customHeight="1">
      <c r="C7723" s="702" t="s">
        <v>1217</v>
      </c>
      <c r="D7723" s="815"/>
      <c r="E7723" s="815"/>
      <c r="F7723" s="815"/>
      <c r="G7723" s="209"/>
      <c r="H7723" s="821">
        <f>SUM(H7722:H7722)</f>
        <v>0</v>
      </c>
    </row>
    <row r="7724" spans="3:11" ht="25.8" customHeight="1">
      <c r="C7724" s="566" t="s">
        <v>1218</v>
      </c>
      <c r="D7724" s="552" t="s">
        <v>1219</v>
      </c>
      <c r="E7724" s="553"/>
      <c r="F7724" s="553"/>
      <c r="G7724" s="554"/>
      <c r="H7724" s="826">
        <f>H7723+H7721+H7718</f>
        <v>789545</v>
      </c>
      <c r="I7724" s="827"/>
    </row>
    <row r="7725" spans="3:11" ht="25.8" customHeight="1">
      <c r="C7725" s="566" t="s">
        <v>1220</v>
      </c>
      <c r="D7725" s="552" t="s">
        <v>1321</v>
      </c>
      <c r="E7725" s="553"/>
      <c r="F7725" s="554"/>
      <c r="G7725" s="555">
        <f>$M$9</f>
        <v>0.1</v>
      </c>
      <c r="H7725" s="539">
        <f>H7724*G7725</f>
        <v>78954.5</v>
      </c>
      <c r="I7725" s="827"/>
    </row>
    <row r="7726" spans="3:11" ht="25.8" customHeight="1">
      <c r="C7726" s="566" t="s">
        <v>1221</v>
      </c>
      <c r="D7726" s="552" t="s">
        <v>1222</v>
      </c>
      <c r="E7726" s="553"/>
      <c r="F7726" s="553"/>
      <c r="G7726" s="554"/>
      <c r="H7726" s="828">
        <f>SUM(H7724:H7725)</f>
        <v>868499.5</v>
      </c>
      <c r="I7726" s="827"/>
    </row>
    <row r="7727" spans="3:11" ht="25.8" customHeight="1"/>
    <row r="7728" spans="3:11" ht="25.8" customHeight="1">
      <c r="C7728" s="513" t="s">
        <v>6152</v>
      </c>
      <c r="D7728" s="817" t="s">
        <v>6153</v>
      </c>
      <c r="E7728" s="803"/>
      <c r="F7728" s="803"/>
      <c r="G7728" s="803"/>
      <c r="H7728" s="803"/>
      <c r="I7728" s="533">
        <f>ROUNDDOWN(H7743,-2)</f>
        <v>326300</v>
      </c>
      <c r="J7728" s="536"/>
      <c r="K7728" s="824"/>
    </row>
    <row r="7729" spans="3:9" ht="25.8" customHeight="1">
      <c r="C7729" s="716" t="s">
        <v>1195</v>
      </c>
      <c r="D7729" s="716" t="s">
        <v>1196</v>
      </c>
      <c r="E7729" s="716" t="s">
        <v>1197</v>
      </c>
      <c r="F7729" s="716" t="s">
        <v>1198</v>
      </c>
      <c r="G7729" s="716" t="s">
        <v>1199</v>
      </c>
      <c r="H7729" s="716" t="s">
        <v>1200</v>
      </c>
    </row>
    <row r="7730" spans="3:9" ht="25.8" customHeight="1">
      <c r="C7730" s="213" t="s">
        <v>1201</v>
      </c>
      <c r="D7730" s="212" t="s">
        <v>1202</v>
      </c>
      <c r="E7730" s="534"/>
      <c r="F7730" s="534"/>
      <c r="G7730" s="534"/>
      <c r="H7730" s="534"/>
    </row>
    <row r="7731" spans="3:9" ht="25.8" customHeight="1">
      <c r="C7731" s="818">
        <v>1</v>
      </c>
      <c r="D7731" s="212" t="s">
        <v>5</v>
      </c>
      <c r="E7731" s="212" t="s">
        <v>6</v>
      </c>
      <c r="F7731" s="538">
        <v>9.5000000000000001E-2</v>
      </c>
      <c r="G7731" s="539">
        <f>VLOOKUP(D7731,upahbahan,3,FALSE)</f>
        <v>100000</v>
      </c>
      <c r="H7731" s="539">
        <f t="shared" ref="H7731:H7734" si="808">F7731*G7731</f>
        <v>9500</v>
      </c>
    </row>
    <row r="7732" spans="3:9" ht="25.8" customHeight="1">
      <c r="C7732" s="818">
        <v>2</v>
      </c>
      <c r="D7732" s="212" t="s">
        <v>17</v>
      </c>
      <c r="E7732" s="212" t="s">
        <v>6</v>
      </c>
      <c r="F7732" s="538">
        <v>0.159</v>
      </c>
      <c r="G7732" s="539">
        <f>VLOOKUP(D7732,upahbahan,3,FALSE)</f>
        <v>135000</v>
      </c>
      <c r="H7732" s="539">
        <f t="shared" si="808"/>
        <v>21465</v>
      </c>
    </row>
    <row r="7733" spans="3:9" ht="25.8" customHeight="1">
      <c r="C7733" s="818">
        <v>3</v>
      </c>
      <c r="D7733" s="212" t="s">
        <v>1310</v>
      </c>
      <c r="E7733" s="212" t="s">
        <v>6</v>
      </c>
      <c r="F7733" s="538">
        <v>1.6E-2</v>
      </c>
      <c r="G7733" s="539">
        <f>VLOOKUP(D7733,upahbahan,3,FALSE)</f>
        <v>150000</v>
      </c>
      <c r="H7733" s="539">
        <f t="shared" si="808"/>
        <v>2400</v>
      </c>
    </row>
    <row r="7734" spans="3:9" ht="25.8" customHeight="1">
      <c r="C7734" s="818">
        <v>4</v>
      </c>
      <c r="D7734" s="212" t="s">
        <v>19</v>
      </c>
      <c r="E7734" s="212" t="s">
        <v>6</v>
      </c>
      <c r="F7734" s="538">
        <v>5.0000000000000001E-3</v>
      </c>
      <c r="G7734" s="539">
        <f>VLOOKUP(D7734,upahbahan,3,FALSE)</f>
        <v>160000</v>
      </c>
      <c r="H7734" s="539">
        <f t="shared" si="808"/>
        <v>800</v>
      </c>
    </row>
    <row r="7735" spans="3:9" ht="25.8" customHeight="1">
      <c r="C7735" s="702" t="s">
        <v>1208</v>
      </c>
      <c r="D7735" s="208"/>
      <c r="E7735" s="208"/>
      <c r="F7735" s="811"/>
      <c r="G7735" s="522"/>
      <c r="H7735" s="539">
        <f>SUM(H7731:H7734)</f>
        <v>34165</v>
      </c>
      <c r="I7735" s="819"/>
    </row>
    <row r="7736" spans="3:9" ht="25.8" customHeight="1">
      <c r="C7736" s="213" t="s">
        <v>1209</v>
      </c>
      <c r="D7736" s="212" t="s">
        <v>1210</v>
      </c>
      <c r="E7736" s="534"/>
      <c r="F7736" s="831"/>
      <c r="G7736" s="534"/>
      <c r="H7736" s="534"/>
    </row>
    <row r="7737" spans="3:9" ht="25.8" customHeight="1">
      <c r="C7737" s="213">
        <v>1</v>
      </c>
      <c r="D7737" s="212" t="s">
        <v>6154</v>
      </c>
      <c r="E7737" s="234" t="s">
        <v>135</v>
      </c>
      <c r="F7737" s="866">
        <v>1.05</v>
      </c>
      <c r="G7737" s="539">
        <f>VLOOKUP(D7737,upahbahan,3,FALSE)</f>
        <v>250000</v>
      </c>
      <c r="H7737" s="539">
        <f t="shared" ref="H7737" si="809">F7737*G7737</f>
        <v>262500</v>
      </c>
    </row>
    <row r="7738" spans="3:9" ht="25.8" customHeight="1">
      <c r="C7738" s="702" t="s">
        <v>1214</v>
      </c>
      <c r="D7738" s="208"/>
      <c r="E7738" s="208" t="s">
        <v>6045</v>
      </c>
      <c r="F7738" s="208"/>
      <c r="G7738" s="209"/>
      <c r="H7738" s="539">
        <f>SUM(H7736:H7737)</f>
        <v>262500</v>
      </c>
    </row>
    <row r="7739" spans="3:9" ht="25.8" customHeight="1">
      <c r="C7739" s="213" t="s">
        <v>1215</v>
      </c>
      <c r="D7739" s="212" t="s">
        <v>1216</v>
      </c>
      <c r="E7739" s="534"/>
      <c r="F7739" s="534"/>
      <c r="G7739" s="534"/>
      <c r="H7739" s="534"/>
    </row>
    <row r="7740" spans="3:9" ht="25.8" customHeight="1">
      <c r="C7740" s="702" t="s">
        <v>1217</v>
      </c>
      <c r="D7740" s="815"/>
      <c r="E7740" s="815"/>
      <c r="F7740" s="815"/>
      <c r="G7740" s="209"/>
      <c r="H7740" s="821">
        <f>SUM(H7739:H7739)</f>
        <v>0</v>
      </c>
    </row>
    <row r="7741" spans="3:9" ht="25.8" customHeight="1">
      <c r="C7741" s="566" t="s">
        <v>1218</v>
      </c>
      <c r="D7741" s="552" t="s">
        <v>1219</v>
      </c>
      <c r="E7741" s="553"/>
      <c r="F7741" s="553"/>
      <c r="G7741" s="554"/>
      <c r="H7741" s="826">
        <f>H7740+H7738+H7735</f>
        <v>296665</v>
      </c>
      <c r="I7741" s="827"/>
    </row>
    <row r="7742" spans="3:9" ht="25.8" customHeight="1">
      <c r="C7742" s="566" t="s">
        <v>1220</v>
      </c>
      <c r="D7742" s="552" t="s">
        <v>1321</v>
      </c>
      <c r="E7742" s="553"/>
      <c r="F7742" s="554"/>
      <c r="G7742" s="555">
        <f>$M$9</f>
        <v>0.1</v>
      </c>
      <c r="H7742" s="539">
        <f>H7741*G7742</f>
        <v>29666.5</v>
      </c>
      <c r="I7742" s="827"/>
    </row>
    <row r="7743" spans="3:9" ht="25.8" customHeight="1">
      <c r="C7743" s="566" t="s">
        <v>1221</v>
      </c>
      <c r="D7743" s="552" t="s">
        <v>1222</v>
      </c>
      <c r="E7743" s="553"/>
      <c r="F7743" s="553"/>
      <c r="G7743" s="554"/>
      <c r="H7743" s="828">
        <f>SUM(H7741:H7742)</f>
        <v>326331.5</v>
      </c>
      <c r="I7743" s="827"/>
    </row>
    <row r="7744" spans="3:9" ht="25.8" customHeight="1"/>
    <row r="7745" spans="3:11" ht="25.8" customHeight="1">
      <c r="C7745" s="513" t="s">
        <v>6155</v>
      </c>
      <c r="D7745" s="817" t="s">
        <v>6156</v>
      </c>
      <c r="E7745" s="803"/>
      <c r="F7745" s="803"/>
      <c r="G7745" s="803"/>
      <c r="H7745" s="803"/>
      <c r="I7745" s="533">
        <f>ROUNDDOWN(H7761,-2)</f>
        <v>591900</v>
      </c>
      <c r="J7745" s="536"/>
      <c r="K7745" s="824"/>
    </row>
    <row r="7746" spans="3:11" ht="25.8" customHeight="1">
      <c r="C7746" s="716" t="s">
        <v>1195</v>
      </c>
      <c r="D7746" s="716" t="s">
        <v>1196</v>
      </c>
      <c r="E7746" s="716" t="s">
        <v>1197</v>
      </c>
      <c r="F7746" s="716" t="s">
        <v>1198</v>
      </c>
      <c r="G7746" s="716" t="s">
        <v>1199</v>
      </c>
      <c r="H7746" s="716" t="s">
        <v>1200</v>
      </c>
    </row>
    <row r="7747" spans="3:11" ht="25.8" customHeight="1">
      <c r="C7747" s="213" t="s">
        <v>1201</v>
      </c>
      <c r="D7747" s="212" t="s">
        <v>1202</v>
      </c>
      <c r="E7747" s="534"/>
      <c r="F7747" s="534"/>
      <c r="G7747" s="534"/>
      <c r="H7747" s="534"/>
    </row>
    <row r="7748" spans="3:11" ht="25.8" customHeight="1">
      <c r="C7748" s="818">
        <v>1</v>
      </c>
      <c r="D7748" s="212" t="s">
        <v>5</v>
      </c>
      <c r="E7748" s="212" t="s">
        <v>6</v>
      </c>
      <c r="F7748" s="538">
        <v>0.38100000000000001</v>
      </c>
      <c r="G7748" s="539">
        <f>VLOOKUP(D7748,upahbahan,3,FALSE)</f>
        <v>100000</v>
      </c>
      <c r="H7748" s="539">
        <f t="shared" ref="H7748:H7751" si="810">F7748*G7748</f>
        <v>38100</v>
      </c>
    </row>
    <row r="7749" spans="3:11" ht="25.8" customHeight="1">
      <c r="C7749" s="818">
        <v>2</v>
      </c>
      <c r="D7749" s="212" t="s">
        <v>17</v>
      </c>
      <c r="E7749" s="212" t="s">
        <v>6</v>
      </c>
      <c r="F7749" s="538">
        <v>0.63600000000000001</v>
      </c>
      <c r="G7749" s="539">
        <f>VLOOKUP(D7749,upahbahan,3,FALSE)</f>
        <v>135000</v>
      </c>
      <c r="H7749" s="539">
        <f t="shared" si="810"/>
        <v>85860</v>
      </c>
    </row>
    <row r="7750" spans="3:11" ht="25.8" customHeight="1">
      <c r="C7750" s="818">
        <v>3</v>
      </c>
      <c r="D7750" s="212" t="s">
        <v>1310</v>
      </c>
      <c r="E7750" s="212" t="s">
        <v>6</v>
      </c>
      <c r="F7750" s="538">
        <v>6.4000000000000001E-2</v>
      </c>
      <c r="G7750" s="539">
        <f>VLOOKUP(D7750,upahbahan,3,FALSE)</f>
        <v>150000</v>
      </c>
      <c r="H7750" s="539">
        <f t="shared" si="810"/>
        <v>9600</v>
      </c>
    </row>
    <row r="7751" spans="3:11" ht="25.8" customHeight="1">
      <c r="C7751" s="818">
        <v>4</v>
      </c>
      <c r="D7751" s="212" t="s">
        <v>19</v>
      </c>
      <c r="E7751" s="212" t="s">
        <v>6</v>
      </c>
      <c r="F7751" s="538">
        <v>2.1000000000000001E-2</v>
      </c>
      <c r="G7751" s="539">
        <f>VLOOKUP(D7751,upahbahan,3,FALSE)</f>
        <v>160000</v>
      </c>
      <c r="H7751" s="539">
        <f t="shared" si="810"/>
        <v>3360</v>
      </c>
    </row>
    <row r="7752" spans="3:11" ht="25.8" customHeight="1">
      <c r="C7752" s="702" t="s">
        <v>1208</v>
      </c>
      <c r="D7752" s="208"/>
      <c r="E7752" s="208"/>
      <c r="F7752" s="811"/>
      <c r="G7752" s="522"/>
      <c r="H7752" s="539">
        <f>SUM(H7748:H7751)</f>
        <v>136920</v>
      </c>
      <c r="I7752" s="819"/>
    </row>
    <row r="7753" spans="3:11" ht="25.8" customHeight="1">
      <c r="C7753" s="213" t="s">
        <v>1209</v>
      </c>
      <c r="D7753" s="212" t="s">
        <v>1210</v>
      </c>
      <c r="E7753" s="534"/>
      <c r="F7753" s="831"/>
      <c r="G7753" s="534"/>
      <c r="H7753" s="534"/>
    </row>
    <row r="7754" spans="3:11" ht="25.8" customHeight="1">
      <c r="C7754" s="213">
        <v>1</v>
      </c>
      <c r="D7754" s="212" t="s">
        <v>6154</v>
      </c>
      <c r="E7754" s="234" t="s">
        <v>135</v>
      </c>
      <c r="F7754" s="866">
        <v>1.05</v>
      </c>
      <c r="G7754" s="539">
        <f>VLOOKUP(D7754,upahbahan,3,FALSE)</f>
        <v>250000</v>
      </c>
      <c r="H7754" s="539">
        <f t="shared" ref="H7754" si="811">F7754*G7754</f>
        <v>262500</v>
      </c>
    </row>
    <row r="7755" spans="3:11" ht="25.8" customHeight="1">
      <c r="C7755" s="213">
        <v>2</v>
      </c>
      <c r="D7755" s="212" t="s">
        <v>6157</v>
      </c>
      <c r="E7755" s="234" t="s">
        <v>1300</v>
      </c>
      <c r="F7755" s="866">
        <v>2.5</v>
      </c>
      <c r="G7755" s="539">
        <f>VLOOKUP(D7755,upahbahan,3,FALSE)</f>
        <v>55500</v>
      </c>
      <c r="H7755" s="539">
        <f t="shared" ref="H7755" si="812">F7755*G7755</f>
        <v>138750</v>
      </c>
    </row>
    <row r="7756" spans="3:11" ht="25.8" customHeight="1">
      <c r="C7756" s="702" t="s">
        <v>1214</v>
      </c>
      <c r="D7756" s="208"/>
      <c r="E7756" s="208" t="s">
        <v>6045</v>
      </c>
      <c r="F7756" s="208"/>
      <c r="G7756" s="209"/>
      <c r="H7756" s="539">
        <f>SUM(H7753:H7755)</f>
        <v>401250</v>
      </c>
    </row>
    <row r="7757" spans="3:11" ht="25.8" customHeight="1">
      <c r="C7757" s="213" t="s">
        <v>1215</v>
      </c>
      <c r="D7757" s="212" t="s">
        <v>1216</v>
      </c>
      <c r="E7757" s="534"/>
      <c r="F7757" s="534"/>
      <c r="G7757" s="534"/>
      <c r="H7757" s="534"/>
    </row>
    <row r="7758" spans="3:11" ht="25.8" customHeight="1">
      <c r="C7758" s="702" t="s">
        <v>1217</v>
      </c>
      <c r="D7758" s="815"/>
      <c r="E7758" s="815"/>
      <c r="F7758" s="815"/>
      <c r="G7758" s="209"/>
      <c r="H7758" s="821">
        <f>SUM(H7757:H7757)</f>
        <v>0</v>
      </c>
    </row>
    <row r="7759" spans="3:11" ht="25.8" customHeight="1">
      <c r="C7759" s="566" t="s">
        <v>1218</v>
      </c>
      <c r="D7759" s="552" t="s">
        <v>1219</v>
      </c>
      <c r="E7759" s="553"/>
      <c r="F7759" s="553"/>
      <c r="G7759" s="554"/>
      <c r="H7759" s="826">
        <f>H7758+H7756+H7752</f>
        <v>538170</v>
      </c>
      <c r="I7759" s="827"/>
    </row>
    <row r="7760" spans="3:11" ht="25.8" customHeight="1">
      <c r="C7760" s="566" t="s">
        <v>1220</v>
      </c>
      <c r="D7760" s="552" t="s">
        <v>1321</v>
      </c>
      <c r="E7760" s="553"/>
      <c r="F7760" s="554"/>
      <c r="G7760" s="555">
        <f>$M$9</f>
        <v>0.1</v>
      </c>
      <c r="H7760" s="539">
        <f>H7759*G7760</f>
        <v>53817</v>
      </c>
      <c r="I7760" s="827"/>
    </row>
    <row r="7761" spans="3:11" ht="25.8" customHeight="1">
      <c r="C7761" s="566" t="s">
        <v>1221</v>
      </c>
      <c r="D7761" s="552" t="s">
        <v>1222</v>
      </c>
      <c r="E7761" s="553"/>
      <c r="F7761" s="553"/>
      <c r="G7761" s="554"/>
      <c r="H7761" s="828">
        <f>SUM(H7759:H7760)</f>
        <v>591987</v>
      </c>
      <c r="I7761" s="827"/>
    </row>
    <row r="7762" spans="3:11" ht="25.8" customHeight="1"/>
    <row r="7763" spans="3:11" ht="25.8" customHeight="1"/>
    <row r="7764" spans="3:11" ht="25.8" customHeight="1">
      <c r="C7764" s="513" t="s">
        <v>6158</v>
      </c>
      <c r="D7764" s="817" t="s">
        <v>6159</v>
      </c>
      <c r="E7764" s="803"/>
      <c r="F7764" s="803"/>
      <c r="G7764" s="803"/>
      <c r="H7764" s="803"/>
      <c r="I7764" s="533">
        <f>ROUNDDOWN(H7785,-2)</f>
        <v>684400</v>
      </c>
      <c r="J7764" s="536"/>
      <c r="K7764" s="824"/>
    </row>
    <row r="7765" spans="3:11" ht="25.8" customHeight="1">
      <c r="C7765" s="716" t="s">
        <v>1195</v>
      </c>
      <c r="D7765" s="716" t="s">
        <v>1196</v>
      </c>
      <c r="E7765" s="716" t="s">
        <v>1197</v>
      </c>
      <c r="F7765" s="716" t="s">
        <v>1198</v>
      </c>
      <c r="G7765" s="716" t="s">
        <v>1199</v>
      </c>
      <c r="H7765" s="716" t="s">
        <v>1200</v>
      </c>
    </row>
    <row r="7766" spans="3:11" ht="25.8" customHeight="1">
      <c r="C7766" s="213" t="s">
        <v>1201</v>
      </c>
      <c r="D7766" s="212" t="s">
        <v>1202</v>
      </c>
      <c r="E7766" s="534"/>
      <c r="F7766" s="534"/>
      <c r="G7766" s="534"/>
      <c r="H7766" s="534"/>
    </row>
    <row r="7767" spans="3:11" ht="25.8" customHeight="1">
      <c r="C7767" s="818">
        <v>1</v>
      </c>
      <c r="D7767" s="212" t="s">
        <v>5</v>
      </c>
      <c r="E7767" s="212" t="s">
        <v>6</v>
      </c>
      <c r="F7767" s="538">
        <v>0.19</v>
      </c>
      <c r="G7767" s="539">
        <f>VLOOKUP(D7767,upahbahan,3,FALSE)</f>
        <v>100000</v>
      </c>
      <c r="H7767" s="539">
        <f t="shared" ref="H7767:H7770" si="813">F7767*G7767</f>
        <v>19000</v>
      </c>
    </row>
    <row r="7768" spans="3:11" ht="25.8" customHeight="1">
      <c r="C7768" s="818">
        <v>2</v>
      </c>
      <c r="D7768" s="212" t="s">
        <v>17</v>
      </c>
      <c r="E7768" s="212" t="s">
        <v>6</v>
      </c>
      <c r="F7768" s="538">
        <v>0.318</v>
      </c>
      <c r="G7768" s="539">
        <f>VLOOKUP(D7768,upahbahan,3,FALSE)</f>
        <v>135000</v>
      </c>
      <c r="H7768" s="539">
        <f t="shared" si="813"/>
        <v>42930</v>
      </c>
    </row>
    <row r="7769" spans="3:11" ht="25.8" customHeight="1">
      <c r="C7769" s="818">
        <v>3</v>
      </c>
      <c r="D7769" s="212" t="s">
        <v>1310</v>
      </c>
      <c r="E7769" s="212" t="s">
        <v>6</v>
      </c>
      <c r="F7769" s="538">
        <v>3.2000000000000001E-2</v>
      </c>
      <c r="G7769" s="539">
        <f>VLOOKUP(D7769,upahbahan,3,FALSE)</f>
        <v>150000</v>
      </c>
      <c r="H7769" s="539">
        <f t="shared" si="813"/>
        <v>4800</v>
      </c>
    </row>
    <row r="7770" spans="3:11" ht="25.8" customHeight="1">
      <c r="C7770" s="818">
        <v>4</v>
      </c>
      <c r="D7770" s="212" t="s">
        <v>19</v>
      </c>
      <c r="E7770" s="212" t="s">
        <v>6</v>
      </c>
      <c r="F7770" s="538">
        <v>1.0999999999999999E-2</v>
      </c>
      <c r="G7770" s="539">
        <f>VLOOKUP(D7770,upahbahan,3,FALSE)</f>
        <v>160000</v>
      </c>
      <c r="H7770" s="539">
        <f t="shared" si="813"/>
        <v>1760</v>
      </c>
    </row>
    <row r="7771" spans="3:11" ht="25.8" customHeight="1">
      <c r="C7771" s="702" t="s">
        <v>1208</v>
      </c>
      <c r="D7771" s="208"/>
      <c r="E7771" s="208"/>
      <c r="F7771" s="811"/>
      <c r="G7771" s="522"/>
      <c r="H7771" s="539">
        <f>SUM(H7767:H7770)</f>
        <v>68490</v>
      </c>
      <c r="I7771" s="819"/>
    </row>
    <row r="7772" spans="3:11" ht="25.8" customHeight="1">
      <c r="C7772" s="213" t="s">
        <v>1209</v>
      </c>
      <c r="D7772" s="212" t="s">
        <v>1210</v>
      </c>
      <c r="E7772" s="534"/>
      <c r="F7772" s="831"/>
      <c r="G7772" s="534"/>
      <c r="H7772" s="534"/>
    </row>
    <row r="7773" spans="3:11" ht="25.8" customHeight="1">
      <c r="C7773" s="213">
        <v>1</v>
      </c>
      <c r="D7773" s="212" t="s">
        <v>898</v>
      </c>
      <c r="E7773" s="234" t="s">
        <v>1300</v>
      </c>
      <c r="F7773" s="866">
        <v>33</v>
      </c>
      <c r="G7773" s="539">
        <f t="shared" ref="G7773:G7779" si="814">VLOOKUP(D7773,upahbahan,3,FALSE)</f>
        <v>0</v>
      </c>
      <c r="H7773" s="539">
        <f t="shared" ref="H7773:H7779" si="815">F7773*G7773</f>
        <v>0</v>
      </c>
    </row>
    <row r="7774" spans="3:11" ht="25.8" customHeight="1">
      <c r="C7774" s="213">
        <v>2</v>
      </c>
      <c r="D7774" s="212" t="s">
        <v>3542</v>
      </c>
      <c r="E7774" s="234" t="s">
        <v>1300</v>
      </c>
      <c r="F7774" s="866">
        <v>33</v>
      </c>
      <c r="G7774" s="539">
        <f t="shared" si="814"/>
        <v>16195.5</v>
      </c>
      <c r="H7774" s="539">
        <f t="shared" si="815"/>
        <v>534451.5</v>
      </c>
    </row>
    <row r="7775" spans="3:11" ht="25.8" customHeight="1">
      <c r="C7775" s="213">
        <v>3</v>
      </c>
      <c r="D7775" s="212" t="s">
        <v>3540</v>
      </c>
      <c r="E7775" s="234" t="s">
        <v>2167</v>
      </c>
      <c r="F7775" s="866">
        <v>1</v>
      </c>
      <c r="G7775" s="539">
        <f t="shared" si="814"/>
        <v>3600</v>
      </c>
      <c r="H7775" s="539">
        <f t="shared" si="815"/>
        <v>3600</v>
      </c>
    </row>
    <row r="7776" spans="3:11" ht="25.8" customHeight="1">
      <c r="C7776" s="213">
        <v>4</v>
      </c>
      <c r="D7776" s="212" t="s">
        <v>3541</v>
      </c>
      <c r="E7776" s="234" t="s">
        <v>2167</v>
      </c>
      <c r="F7776" s="866">
        <v>17</v>
      </c>
      <c r="G7776" s="539">
        <f t="shared" si="814"/>
        <v>700</v>
      </c>
      <c r="H7776" s="539">
        <f t="shared" si="815"/>
        <v>11900</v>
      </c>
    </row>
    <row r="7777" spans="3:11" ht="25.8" customHeight="1">
      <c r="C7777" s="213">
        <v>5</v>
      </c>
      <c r="D7777" s="212" t="s">
        <v>5818</v>
      </c>
      <c r="E7777" s="234" t="s">
        <v>2167</v>
      </c>
      <c r="F7777" s="866">
        <v>1</v>
      </c>
      <c r="G7777" s="539">
        <f t="shared" si="814"/>
        <v>952.2</v>
      </c>
      <c r="H7777" s="539">
        <f t="shared" si="815"/>
        <v>952.2</v>
      </c>
    </row>
    <row r="7778" spans="3:11" ht="25.8" customHeight="1">
      <c r="C7778" s="213">
        <v>6</v>
      </c>
      <c r="D7778" s="212" t="s">
        <v>3538</v>
      </c>
      <c r="E7778" s="234" t="s">
        <v>1300</v>
      </c>
      <c r="F7778" s="866">
        <v>0.5</v>
      </c>
      <c r="G7778" s="539">
        <f t="shared" si="814"/>
        <v>1080</v>
      </c>
      <c r="H7778" s="539">
        <f t="shared" si="815"/>
        <v>540</v>
      </c>
    </row>
    <row r="7779" spans="3:11" ht="25.8" customHeight="1">
      <c r="C7779" s="213">
        <v>7</v>
      </c>
      <c r="D7779" s="212" t="s">
        <v>3539</v>
      </c>
      <c r="E7779" s="234" t="s">
        <v>2167</v>
      </c>
      <c r="F7779" s="866">
        <v>4</v>
      </c>
      <c r="G7779" s="539">
        <f t="shared" si="814"/>
        <v>580</v>
      </c>
      <c r="H7779" s="539">
        <f t="shared" si="815"/>
        <v>2320</v>
      </c>
    </row>
    <row r="7780" spans="3:11" ht="25.8" customHeight="1">
      <c r="C7780" s="702" t="s">
        <v>1214</v>
      </c>
      <c r="D7780" s="208"/>
      <c r="E7780" s="208" t="s">
        <v>6045</v>
      </c>
      <c r="F7780" s="208"/>
      <c r="G7780" s="209"/>
      <c r="H7780" s="539">
        <f>SUM(H7772:H7779)</f>
        <v>553763.69999999995</v>
      </c>
    </row>
    <row r="7781" spans="3:11" ht="25.8" customHeight="1">
      <c r="C7781" s="213" t="s">
        <v>1215</v>
      </c>
      <c r="D7781" s="212" t="s">
        <v>1216</v>
      </c>
      <c r="E7781" s="534"/>
      <c r="F7781" s="534"/>
      <c r="G7781" s="534"/>
      <c r="H7781" s="534"/>
    </row>
    <row r="7782" spans="3:11" ht="25.8" customHeight="1">
      <c r="C7782" s="702" t="s">
        <v>1217</v>
      </c>
      <c r="D7782" s="815"/>
      <c r="E7782" s="815"/>
      <c r="F7782" s="815"/>
      <c r="G7782" s="209"/>
      <c r="H7782" s="821">
        <f>SUM(H7781:H7781)</f>
        <v>0</v>
      </c>
    </row>
    <row r="7783" spans="3:11" ht="25.8" customHeight="1">
      <c r="C7783" s="566" t="s">
        <v>1218</v>
      </c>
      <c r="D7783" s="552" t="s">
        <v>1219</v>
      </c>
      <c r="E7783" s="553"/>
      <c r="F7783" s="553"/>
      <c r="G7783" s="554"/>
      <c r="H7783" s="826">
        <f>H7782+H7780+H7771</f>
        <v>622253.69999999995</v>
      </c>
      <c r="I7783" s="827"/>
    </row>
    <row r="7784" spans="3:11" ht="25.8" customHeight="1">
      <c r="C7784" s="566" t="s">
        <v>1220</v>
      </c>
      <c r="D7784" s="552" t="s">
        <v>1321</v>
      </c>
      <c r="E7784" s="553"/>
      <c r="F7784" s="554"/>
      <c r="G7784" s="555">
        <f>$M$9</f>
        <v>0.1</v>
      </c>
      <c r="H7784" s="539">
        <f>H7783*G7784</f>
        <v>62225.369999999995</v>
      </c>
      <c r="I7784" s="827"/>
    </row>
    <row r="7785" spans="3:11" ht="25.8" customHeight="1">
      <c r="C7785" s="566" t="s">
        <v>1221</v>
      </c>
      <c r="D7785" s="552" t="s">
        <v>1222</v>
      </c>
      <c r="E7785" s="553"/>
      <c r="F7785" s="553"/>
      <c r="G7785" s="554"/>
      <c r="H7785" s="828">
        <f>SUM(H7783:H7784)</f>
        <v>684479.07</v>
      </c>
      <c r="I7785" s="827"/>
    </row>
    <row r="7786" spans="3:11" ht="25.8" customHeight="1"/>
    <row r="7787" spans="3:11" ht="25.8" customHeight="1">
      <c r="C7787" s="513" t="s">
        <v>6160</v>
      </c>
      <c r="D7787" s="817" t="s">
        <v>6161</v>
      </c>
      <c r="E7787" s="803"/>
      <c r="F7787" s="803"/>
      <c r="G7787" s="803"/>
      <c r="H7787" s="803"/>
      <c r="I7787" s="533">
        <f>ROUNDDOWN(H7810,-2)</f>
        <v>502200</v>
      </c>
      <c r="J7787" s="536"/>
      <c r="K7787" s="824"/>
    </row>
    <row r="7788" spans="3:11" ht="25.8" customHeight="1">
      <c r="C7788" s="716" t="s">
        <v>1195</v>
      </c>
      <c r="D7788" s="716" t="s">
        <v>1196</v>
      </c>
      <c r="E7788" s="716" t="s">
        <v>1197</v>
      </c>
      <c r="F7788" s="716" t="s">
        <v>1198</v>
      </c>
      <c r="G7788" s="716" t="s">
        <v>1199</v>
      </c>
      <c r="H7788" s="716" t="s">
        <v>1200</v>
      </c>
    </row>
    <row r="7789" spans="3:11" ht="25.8" customHeight="1">
      <c r="C7789" s="213" t="s">
        <v>1201</v>
      </c>
      <c r="D7789" s="212" t="s">
        <v>1202</v>
      </c>
      <c r="E7789" s="534"/>
      <c r="F7789" s="534"/>
      <c r="G7789" s="534"/>
      <c r="H7789" s="534"/>
    </row>
    <row r="7790" spans="3:11" ht="25.8" customHeight="1">
      <c r="C7790" s="818">
        <v>1</v>
      </c>
      <c r="D7790" s="212" t="s">
        <v>5</v>
      </c>
      <c r="E7790" s="212" t="s">
        <v>6</v>
      </c>
      <c r="F7790" s="538">
        <v>0.19</v>
      </c>
      <c r="G7790" s="539">
        <f>VLOOKUP(D7790,upahbahan,3,FALSE)</f>
        <v>100000</v>
      </c>
      <c r="H7790" s="539">
        <f t="shared" ref="H7790:H7793" si="816">F7790*G7790</f>
        <v>19000</v>
      </c>
    </row>
    <row r="7791" spans="3:11" ht="25.8" customHeight="1">
      <c r="C7791" s="818">
        <v>2</v>
      </c>
      <c r="D7791" s="212" t="s">
        <v>17</v>
      </c>
      <c r="E7791" s="212" t="s">
        <v>6</v>
      </c>
      <c r="F7791" s="538">
        <v>0.318</v>
      </c>
      <c r="G7791" s="539">
        <f>VLOOKUP(D7791,upahbahan,3,FALSE)</f>
        <v>135000</v>
      </c>
      <c r="H7791" s="539">
        <f t="shared" si="816"/>
        <v>42930</v>
      </c>
    </row>
    <row r="7792" spans="3:11" ht="25.8" customHeight="1">
      <c r="C7792" s="818">
        <v>3</v>
      </c>
      <c r="D7792" s="212" t="s">
        <v>1310</v>
      </c>
      <c r="E7792" s="212" t="s">
        <v>6</v>
      </c>
      <c r="F7792" s="538">
        <v>3.2000000000000001E-2</v>
      </c>
      <c r="G7792" s="539">
        <f>VLOOKUP(D7792,upahbahan,3,FALSE)</f>
        <v>150000</v>
      </c>
      <c r="H7792" s="539">
        <f t="shared" si="816"/>
        <v>4800</v>
      </c>
    </row>
    <row r="7793" spans="3:9" ht="25.8" customHeight="1">
      <c r="C7793" s="818">
        <v>4</v>
      </c>
      <c r="D7793" s="212" t="s">
        <v>19</v>
      </c>
      <c r="E7793" s="212" t="s">
        <v>6</v>
      </c>
      <c r="F7793" s="538">
        <v>1.0999999999999999E-2</v>
      </c>
      <c r="G7793" s="539">
        <f>VLOOKUP(D7793,upahbahan,3,FALSE)</f>
        <v>160000</v>
      </c>
      <c r="H7793" s="539">
        <f t="shared" si="816"/>
        <v>1760</v>
      </c>
    </row>
    <row r="7794" spans="3:9" ht="25.8" customHeight="1">
      <c r="C7794" s="702" t="s">
        <v>1208</v>
      </c>
      <c r="D7794" s="208"/>
      <c r="E7794" s="208"/>
      <c r="F7794" s="811"/>
      <c r="G7794" s="522"/>
      <c r="H7794" s="539">
        <f>SUM(H7790:H7793)</f>
        <v>68490</v>
      </c>
      <c r="I7794" s="819"/>
    </row>
    <row r="7795" spans="3:9" ht="25.8" customHeight="1">
      <c r="C7795" s="213" t="s">
        <v>1209</v>
      </c>
      <c r="D7795" s="212" t="s">
        <v>1210</v>
      </c>
      <c r="E7795" s="534"/>
      <c r="F7795" s="831"/>
      <c r="G7795" s="534"/>
      <c r="H7795" s="534"/>
    </row>
    <row r="7796" spans="3:9" ht="25.8" customHeight="1">
      <c r="C7796" s="213">
        <v>1</v>
      </c>
      <c r="D7796" s="212" t="s">
        <v>898</v>
      </c>
      <c r="E7796" s="234" t="s">
        <v>1300</v>
      </c>
      <c r="F7796" s="866">
        <v>9.9</v>
      </c>
      <c r="G7796" s="539">
        <f t="shared" ref="G7796:G7804" si="817">VLOOKUP(D7796,upahbahan,3,FALSE)</f>
        <v>0</v>
      </c>
      <c r="H7796" s="539">
        <f t="shared" ref="H7796:H7804" si="818">F7796*G7796</f>
        <v>0</v>
      </c>
    </row>
    <row r="7797" spans="3:9" ht="25.8" customHeight="1">
      <c r="C7797" s="213">
        <v>2</v>
      </c>
      <c r="D7797" s="212" t="s">
        <v>3542</v>
      </c>
      <c r="E7797" s="234" t="s">
        <v>1300</v>
      </c>
      <c r="F7797" s="866">
        <v>9.9</v>
      </c>
      <c r="G7797" s="539">
        <f t="shared" si="817"/>
        <v>16195.5</v>
      </c>
      <c r="H7797" s="539">
        <f t="shared" si="818"/>
        <v>160335.45000000001</v>
      </c>
    </row>
    <row r="7798" spans="3:9" ht="25.8" customHeight="1">
      <c r="C7798" s="213">
        <v>3</v>
      </c>
      <c r="D7798" s="212" t="s">
        <v>3540</v>
      </c>
      <c r="E7798" s="234" t="s">
        <v>2167</v>
      </c>
      <c r="F7798" s="866">
        <v>1</v>
      </c>
      <c r="G7798" s="539">
        <f t="shared" si="817"/>
        <v>3600</v>
      </c>
      <c r="H7798" s="539">
        <f t="shared" si="818"/>
        <v>3600</v>
      </c>
    </row>
    <row r="7799" spans="3:9" ht="25.8" customHeight="1">
      <c r="C7799" s="213">
        <v>4</v>
      </c>
      <c r="D7799" s="212" t="s">
        <v>3541</v>
      </c>
      <c r="E7799" s="234" t="s">
        <v>2167</v>
      </c>
      <c r="F7799" s="866">
        <v>5</v>
      </c>
      <c r="G7799" s="539">
        <f t="shared" si="817"/>
        <v>700</v>
      </c>
      <c r="H7799" s="539">
        <f t="shared" si="818"/>
        <v>3500</v>
      </c>
    </row>
    <row r="7800" spans="3:9" ht="25.8" customHeight="1">
      <c r="C7800" s="213">
        <v>5</v>
      </c>
      <c r="D7800" s="212" t="s">
        <v>5816</v>
      </c>
      <c r="E7800" s="234" t="s">
        <v>2167</v>
      </c>
      <c r="F7800" s="866">
        <v>10</v>
      </c>
      <c r="G7800" s="539">
        <f t="shared" si="817"/>
        <v>891</v>
      </c>
      <c r="H7800" s="539">
        <f t="shared" si="818"/>
        <v>8910</v>
      </c>
    </row>
    <row r="7801" spans="3:9" ht="25.8" customHeight="1">
      <c r="C7801" s="213">
        <v>6</v>
      </c>
      <c r="D7801" s="212" t="s">
        <v>5818</v>
      </c>
      <c r="E7801" s="234" t="s">
        <v>2167</v>
      </c>
      <c r="F7801" s="866">
        <v>1</v>
      </c>
      <c r="G7801" s="539">
        <f t="shared" si="817"/>
        <v>952.2</v>
      </c>
      <c r="H7801" s="539">
        <f t="shared" si="818"/>
        <v>952.2</v>
      </c>
    </row>
    <row r="7802" spans="3:9" ht="25.8" customHeight="1">
      <c r="C7802" s="213">
        <v>7</v>
      </c>
      <c r="D7802" s="212" t="s">
        <v>3538</v>
      </c>
      <c r="E7802" s="234" t="s">
        <v>1300</v>
      </c>
      <c r="F7802" s="866">
        <v>0.5</v>
      </c>
      <c r="G7802" s="539">
        <f t="shared" si="817"/>
        <v>1080</v>
      </c>
      <c r="H7802" s="539">
        <f t="shared" si="818"/>
        <v>540</v>
      </c>
    </row>
    <row r="7803" spans="3:9" ht="25.8" customHeight="1">
      <c r="C7803" s="213">
        <v>8</v>
      </c>
      <c r="D7803" s="212" t="s">
        <v>3539</v>
      </c>
      <c r="E7803" s="234" t="s">
        <v>2167</v>
      </c>
      <c r="F7803" s="866">
        <v>4</v>
      </c>
      <c r="G7803" s="539">
        <f t="shared" si="817"/>
        <v>580</v>
      </c>
      <c r="H7803" s="539">
        <f t="shared" si="818"/>
        <v>2320</v>
      </c>
    </row>
    <row r="7804" spans="3:9" ht="25.8" customHeight="1">
      <c r="C7804" s="213">
        <v>9</v>
      </c>
      <c r="D7804" s="212" t="s">
        <v>3545</v>
      </c>
      <c r="E7804" s="234" t="s">
        <v>2167</v>
      </c>
      <c r="F7804" s="866">
        <v>14</v>
      </c>
      <c r="G7804" s="539">
        <f t="shared" si="817"/>
        <v>14850</v>
      </c>
      <c r="H7804" s="539">
        <f t="shared" si="818"/>
        <v>207900</v>
      </c>
    </row>
    <row r="7805" spans="3:9" ht="25.8" customHeight="1">
      <c r="C7805" s="702" t="s">
        <v>1214</v>
      </c>
      <c r="D7805" s="208"/>
      <c r="E7805" s="208" t="s">
        <v>6045</v>
      </c>
      <c r="F7805" s="208"/>
      <c r="G7805" s="209"/>
      <c r="H7805" s="539">
        <f>SUM(H7795:H7804)</f>
        <v>388057.65</v>
      </c>
    </row>
    <row r="7806" spans="3:9" ht="25.8" customHeight="1">
      <c r="C7806" s="213" t="s">
        <v>1215</v>
      </c>
      <c r="D7806" s="212" t="s">
        <v>1216</v>
      </c>
      <c r="E7806" s="534"/>
      <c r="F7806" s="534"/>
      <c r="G7806" s="534"/>
      <c r="H7806" s="534"/>
    </row>
    <row r="7807" spans="3:9" ht="25.8" customHeight="1">
      <c r="C7807" s="702" t="s">
        <v>1217</v>
      </c>
      <c r="D7807" s="815"/>
      <c r="E7807" s="815"/>
      <c r="F7807" s="815"/>
      <c r="G7807" s="209"/>
      <c r="H7807" s="821">
        <f>SUM(H7806:H7806)</f>
        <v>0</v>
      </c>
    </row>
    <row r="7808" spans="3:9" ht="25.8" customHeight="1">
      <c r="C7808" s="566" t="s">
        <v>1218</v>
      </c>
      <c r="D7808" s="552" t="s">
        <v>1219</v>
      </c>
      <c r="E7808" s="553"/>
      <c r="F7808" s="553"/>
      <c r="G7808" s="554"/>
      <c r="H7808" s="826">
        <f>H7807+H7805+H7794</f>
        <v>456547.65</v>
      </c>
      <c r="I7808" s="827"/>
    </row>
    <row r="7809" spans="3:11" ht="25.8" customHeight="1">
      <c r="C7809" s="566" t="s">
        <v>1220</v>
      </c>
      <c r="D7809" s="552" t="s">
        <v>1321</v>
      </c>
      <c r="E7809" s="553"/>
      <c r="F7809" s="554"/>
      <c r="G7809" s="555">
        <f>$M$9</f>
        <v>0.1</v>
      </c>
      <c r="H7809" s="539">
        <f>H7808*G7809</f>
        <v>45654.765000000007</v>
      </c>
      <c r="I7809" s="827"/>
    </row>
    <row r="7810" spans="3:11" ht="25.8" customHeight="1">
      <c r="C7810" s="566" t="s">
        <v>1221</v>
      </c>
      <c r="D7810" s="552" t="s">
        <v>1222</v>
      </c>
      <c r="E7810" s="553"/>
      <c r="F7810" s="553"/>
      <c r="G7810" s="554"/>
      <c r="H7810" s="828">
        <f>SUM(H7808:H7809)</f>
        <v>502202.41500000004</v>
      </c>
      <c r="I7810" s="827"/>
    </row>
    <row r="7811" spans="3:11" ht="25.8" customHeight="1"/>
    <row r="7812" spans="3:11" ht="25.8" customHeight="1"/>
    <row r="7813" spans="3:11" ht="25.8" customHeight="1">
      <c r="C7813" s="571" t="s">
        <v>6162</v>
      </c>
      <c r="D7813" s="571" t="s">
        <v>6163</v>
      </c>
    </row>
    <row r="7814" spans="3:11" ht="25.8" customHeight="1">
      <c r="C7814" s="513" t="s">
        <v>6164</v>
      </c>
      <c r="D7814" s="817" t="s">
        <v>6165</v>
      </c>
      <c r="E7814" s="803"/>
      <c r="F7814" s="803"/>
      <c r="G7814" s="803"/>
      <c r="H7814" s="803"/>
      <c r="I7814" s="533">
        <f>ROUNDDOWN(H7829,-2)</f>
        <v>202000</v>
      </c>
      <c r="J7814" s="536"/>
      <c r="K7814" s="824"/>
    </row>
    <row r="7815" spans="3:11" ht="25.8" customHeight="1">
      <c r="C7815" s="716" t="s">
        <v>1195</v>
      </c>
      <c r="D7815" s="716" t="s">
        <v>1196</v>
      </c>
      <c r="E7815" s="716" t="s">
        <v>1197</v>
      </c>
      <c r="F7815" s="716" t="s">
        <v>1198</v>
      </c>
      <c r="G7815" s="716" t="s">
        <v>1199</v>
      </c>
      <c r="H7815" s="716" t="s">
        <v>1200</v>
      </c>
    </row>
    <row r="7816" spans="3:11" ht="25.8" customHeight="1">
      <c r="C7816" s="213" t="s">
        <v>1201</v>
      </c>
      <c r="D7816" s="212" t="s">
        <v>1202</v>
      </c>
      <c r="E7816" s="534"/>
      <c r="F7816" s="534"/>
      <c r="G7816" s="534"/>
      <c r="H7816" s="534"/>
    </row>
    <row r="7817" spans="3:11" ht="25.8" customHeight="1">
      <c r="C7817" s="818">
        <v>1</v>
      </c>
      <c r="D7817" s="212" t="s">
        <v>5</v>
      </c>
      <c r="E7817" s="212" t="s">
        <v>6</v>
      </c>
      <c r="F7817" s="538">
        <v>0.129</v>
      </c>
      <c r="G7817" s="539">
        <f>VLOOKUP(D7817,upahbahan,3,FALSE)</f>
        <v>100000</v>
      </c>
      <c r="H7817" s="539">
        <f t="shared" ref="H7817:H7820" si="819">F7817*G7817</f>
        <v>12900</v>
      </c>
    </row>
    <row r="7818" spans="3:11" ht="25.8" customHeight="1">
      <c r="C7818" s="818">
        <v>2</v>
      </c>
      <c r="D7818" s="212" t="s">
        <v>17</v>
      </c>
      <c r="E7818" s="212" t="s">
        <v>6</v>
      </c>
      <c r="F7818" s="538">
        <v>0.215</v>
      </c>
      <c r="G7818" s="539">
        <f>VLOOKUP(D7818,upahbahan,3,FALSE)</f>
        <v>135000</v>
      </c>
      <c r="H7818" s="539">
        <f t="shared" si="819"/>
        <v>29025</v>
      </c>
    </row>
    <row r="7819" spans="3:11" ht="25.8" customHeight="1">
      <c r="C7819" s="818">
        <v>3</v>
      </c>
      <c r="D7819" s="212" t="s">
        <v>1310</v>
      </c>
      <c r="E7819" s="212" t="s">
        <v>6</v>
      </c>
      <c r="F7819" s="538">
        <v>2.1000000000000001E-2</v>
      </c>
      <c r="G7819" s="539">
        <f>VLOOKUP(D7819,upahbahan,3,FALSE)</f>
        <v>150000</v>
      </c>
      <c r="H7819" s="539">
        <f t="shared" si="819"/>
        <v>3150</v>
      </c>
    </row>
    <row r="7820" spans="3:11" ht="25.8" customHeight="1">
      <c r="C7820" s="818">
        <v>4</v>
      </c>
      <c r="D7820" s="212" t="s">
        <v>19</v>
      </c>
      <c r="E7820" s="212" t="s">
        <v>6</v>
      </c>
      <c r="F7820" s="538">
        <v>7.0000000000000001E-3</v>
      </c>
      <c r="G7820" s="539">
        <f>VLOOKUP(D7820,upahbahan,3,FALSE)</f>
        <v>160000</v>
      </c>
      <c r="H7820" s="539">
        <f t="shared" si="819"/>
        <v>1120</v>
      </c>
    </row>
    <row r="7821" spans="3:11" ht="25.8" customHeight="1">
      <c r="C7821" s="702" t="s">
        <v>1208</v>
      </c>
      <c r="D7821" s="208"/>
      <c r="E7821" s="208"/>
      <c r="F7821" s="811"/>
      <c r="G7821" s="522"/>
      <c r="H7821" s="539">
        <f>SUM(H7817:H7820)</f>
        <v>46195</v>
      </c>
      <c r="I7821" s="819"/>
    </row>
    <row r="7822" spans="3:11" ht="25.8" customHeight="1">
      <c r="C7822" s="213" t="s">
        <v>1209</v>
      </c>
      <c r="D7822" s="212" t="s">
        <v>1210</v>
      </c>
      <c r="E7822" s="534"/>
      <c r="F7822" s="831"/>
      <c r="G7822" s="534"/>
      <c r="H7822" s="534"/>
    </row>
    <row r="7823" spans="3:11" ht="25.8" customHeight="1">
      <c r="C7823" s="213">
        <v>1</v>
      </c>
      <c r="D7823" s="212" t="s">
        <v>6166</v>
      </c>
      <c r="E7823" s="234" t="s">
        <v>3182</v>
      </c>
      <c r="F7823" s="866">
        <v>1.1000000000000001</v>
      </c>
      <c r="G7823" s="539">
        <f>VLOOKUP(D7823,upahbahan,3,FALSE)</f>
        <v>125000</v>
      </c>
      <c r="H7823" s="539">
        <f t="shared" ref="H7823" si="820">F7823*G7823</f>
        <v>137500</v>
      </c>
    </row>
    <row r="7824" spans="3:11" ht="25.8" customHeight="1">
      <c r="C7824" s="702" t="s">
        <v>1214</v>
      </c>
      <c r="D7824" s="208"/>
      <c r="E7824" s="208" t="s">
        <v>6045</v>
      </c>
      <c r="F7824" s="208"/>
      <c r="G7824" s="209"/>
      <c r="H7824" s="539">
        <f>SUM(H7822:H7823)</f>
        <v>137500</v>
      </c>
    </row>
    <row r="7825" spans="3:11" ht="25.8" customHeight="1">
      <c r="C7825" s="213" t="s">
        <v>1215</v>
      </c>
      <c r="D7825" s="212" t="s">
        <v>1216</v>
      </c>
      <c r="E7825" s="534"/>
      <c r="F7825" s="534"/>
      <c r="G7825" s="534"/>
      <c r="H7825" s="534"/>
    </row>
    <row r="7826" spans="3:11" ht="25.8" customHeight="1">
      <c r="C7826" s="702" t="s">
        <v>1217</v>
      </c>
      <c r="D7826" s="815"/>
      <c r="E7826" s="815"/>
      <c r="F7826" s="815"/>
      <c r="G7826" s="209"/>
      <c r="H7826" s="821">
        <f>SUM(H7825:H7825)</f>
        <v>0</v>
      </c>
    </row>
    <row r="7827" spans="3:11" ht="25.8" customHeight="1">
      <c r="C7827" s="566" t="s">
        <v>1218</v>
      </c>
      <c r="D7827" s="552" t="s">
        <v>1219</v>
      </c>
      <c r="E7827" s="553"/>
      <c r="F7827" s="553"/>
      <c r="G7827" s="554"/>
      <c r="H7827" s="826">
        <f>H7826+H7824+H7821</f>
        <v>183695</v>
      </c>
      <c r="I7827" s="827"/>
    </row>
    <row r="7828" spans="3:11" ht="25.8" customHeight="1">
      <c r="C7828" s="566" t="s">
        <v>1220</v>
      </c>
      <c r="D7828" s="552" t="s">
        <v>1321</v>
      </c>
      <c r="E7828" s="553"/>
      <c r="F7828" s="554"/>
      <c r="G7828" s="555">
        <f>$M$9</f>
        <v>0.1</v>
      </c>
      <c r="H7828" s="539">
        <f>H7827*G7828</f>
        <v>18369.5</v>
      </c>
      <c r="I7828" s="827"/>
    </row>
    <row r="7829" spans="3:11" ht="25.8" customHeight="1">
      <c r="C7829" s="566" t="s">
        <v>1221</v>
      </c>
      <c r="D7829" s="552" t="s">
        <v>1222</v>
      </c>
      <c r="E7829" s="553"/>
      <c r="F7829" s="553"/>
      <c r="G7829" s="554"/>
      <c r="H7829" s="828">
        <f>SUM(H7827:H7828)</f>
        <v>202064.5</v>
      </c>
      <c r="I7829" s="827"/>
    </row>
    <row r="7830" spans="3:11" ht="25.8" customHeight="1"/>
    <row r="7831" spans="3:11" ht="25.8" customHeight="1">
      <c r="C7831" s="513" t="s">
        <v>6167</v>
      </c>
      <c r="D7831" s="817" t="s">
        <v>6168</v>
      </c>
      <c r="E7831" s="803"/>
      <c r="F7831" s="803"/>
      <c r="G7831" s="803"/>
      <c r="H7831" s="803"/>
      <c r="I7831" s="533">
        <f>ROUNDDOWN(H7846,-2)</f>
        <v>232300</v>
      </c>
      <c r="J7831" s="536"/>
      <c r="K7831" s="824"/>
    </row>
    <row r="7832" spans="3:11" ht="25.8" customHeight="1">
      <c r="C7832" s="716" t="s">
        <v>1195</v>
      </c>
      <c r="D7832" s="716" t="s">
        <v>1196</v>
      </c>
      <c r="E7832" s="716" t="s">
        <v>1197</v>
      </c>
      <c r="F7832" s="716" t="s">
        <v>1198</v>
      </c>
      <c r="G7832" s="716" t="s">
        <v>1199</v>
      </c>
      <c r="H7832" s="716" t="s">
        <v>1200</v>
      </c>
    </row>
    <row r="7833" spans="3:11" ht="25.8" customHeight="1">
      <c r="C7833" s="213" t="s">
        <v>1201</v>
      </c>
      <c r="D7833" s="212" t="s">
        <v>1202</v>
      </c>
      <c r="E7833" s="534"/>
      <c r="F7833" s="534"/>
      <c r="G7833" s="534"/>
      <c r="H7833" s="534"/>
    </row>
    <row r="7834" spans="3:11" ht="25.8" customHeight="1">
      <c r="C7834" s="818">
        <v>1</v>
      </c>
      <c r="D7834" s="212" t="s">
        <v>5</v>
      </c>
      <c r="E7834" s="212" t="s">
        <v>6</v>
      </c>
      <c r="F7834" s="538">
        <v>0.129</v>
      </c>
      <c r="G7834" s="539">
        <f>VLOOKUP(D7834,upahbahan,3,FALSE)</f>
        <v>100000</v>
      </c>
      <c r="H7834" s="539">
        <f t="shared" ref="H7834:H7837" si="821">F7834*G7834</f>
        <v>12900</v>
      </c>
    </row>
    <row r="7835" spans="3:11" ht="25.8" customHeight="1">
      <c r="C7835" s="818">
        <v>2</v>
      </c>
      <c r="D7835" s="212" t="s">
        <v>17</v>
      </c>
      <c r="E7835" s="212" t="s">
        <v>6</v>
      </c>
      <c r="F7835" s="538">
        <v>0.215</v>
      </c>
      <c r="G7835" s="539">
        <f>VLOOKUP(D7835,upahbahan,3,FALSE)</f>
        <v>135000</v>
      </c>
      <c r="H7835" s="539">
        <f t="shared" si="821"/>
        <v>29025</v>
      </c>
    </row>
    <row r="7836" spans="3:11" ht="25.8" customHeight="1">
      <c r="C7836" s="818">
        <v>3</v>
      </c>
      <c r="D7836" s="212" t="s">
        <v>1310</v>
      </c>
      <c r="E7836" s="212" t="s">
        <v>6</v>
      </c>
      <c r="F7836" s="538">
        <v>2.1000000000000001E-2</v>
      </c>
      <c r="G7836" s="539">
        <f>VLOOKUP(D7836,upahbahan,3,FALSE)</f>
        <v>150000</v>
      </c>
      <c r="H7836" s="539">
        <f t="shared" si="821"/>
        <v>3150</v>
      </c>
    </row>
    <row r="7837" spans="3:11" ht="25.8" customHeight="1">
      <c r="C7837" s="818">
        <v>4</v>
      </c>
      <c r="D7837" s="212" t="s">
        <v>19</v>
      </c>
      <c r="E7837" s="212" t="s">
        <v>6</v>
      </c>
      <c r="F7837" s="538">
        <v>7.0000000000000001E-3</v>
      </c>
      <c r="G7837" s="539">
        <f>VLOOKUP(D7837,upahbahan,3,FALSE)</f>
        <v>160000</v>
      </c>
      <c r="H7837" s="539">
        <f t="shared" si="821"/>
        <v>1120</v>
      </c>
    </row>
    <row r="7838" spans="3:11" ht="25.8" customHeight="1">
      <c r="C7838" s="702" t="s">
        <v>1208</v>
      </c>
      <c r="D7838" s="208"/>
      <c r="E7838" s="208"/>
      <c r="F7838" s="811"/>
      <c r="G7838" s="522"/>
      <c r="H7838" s="539">
        <f>SUM(H7834:H7837)</f>
        <v>46195</v>
      </c>
      <c r="I7838" s="819"/>
    </row>
    <row r="7839" spans="3:11" ht="25.8" customHeight="1">
      <c r="C7839" s="213" t="s">
        <v>1209</v>
      </c>
      <c r="D7839" s="212" t="s">
        <v>1210</v>
      </c>
      <c r="E7839" s="534"/>
      <c r="F7839" s="831"/>
      <c r="G7839" s="534"/>
      <c r="H7839" s="534"/>
    </row>
    <row r="7840" spans="3:11" ht="25.8" customHeight="1">
      <c r="C7840" s="213">
        <v>1</v>
      </c>
      <c r="D7840" s="212" t="s">
        <v>6169</v>
      </c>
      <c r="E7840" s="234" t="s">
        <v>3182</v>
      </c>
      <c r="F7840" s="866">
        <v>1.1000000000000001</v>
      </c>
      <c r="G7840" s="539">
        <f>VLOOKUP(D7840,upahbahan,3,FALSE)</f>
        <v>150000</v>
      </c>
      <c r="H7840" s="539">
        <f t="shared" ref="H7840" si="822">F7840*G7840</f>
        <v>165000</v>
      </c>
    </row>
    <row r="7841" spans="3:11" ht="25.8" customHeight="1">
      <c r="C7841" s="702" t="s">
        <v>1214</v>
      </c>
      <c r="D7841" s="208"/>
      <c r="E7841" s="208" t="s">
        <v>6045</v>
      </c>
      <c r="F7841" s="208"/>
      <c r="G7841" s="209"/>
      <c r="H7841" s="539">
        <f>SUM(H7839:H7840)</f>
        <v>165000</v>
      </c>
    </row>
    <row r="7842" spans="3:11" ht="25.8" customHeight="1">
      <c r="C7842" s="213" t="s">
        <v>1215</v>
      </c>
      <c r="D7842" s="212" t="s">
        <v>1216</v>
      </c>
      <c r="E7842" s="534"/>
      <c r="F7842" s="534"/>
      <c r="G7842" s="534"/>
      <c r="H7842" s="534"/>
    </row>
    <row r="7843" spans="3:11" ht="25.8" customHeight="1">
      <c r="C7843" s="702" t="s">
        <v>1217</v>
      </c>
      <c r="D7843" s="815"/>
      <c r="E7843" s="815"/>
      <c r="F7843" s="815"/>
      <c r="G7843" s="209"/>
      <c r="H7843" s="821">
        <f>SUM(H7842:H7842)</f>
        <v>0</v>
      </c>
    </row>
    <row r="7844" spans="3:11" ht="25.8" customHeight="1">
      <c r="C7844" s="566" t="s">
        <v>1218</v>
      </c>
      <c r="D7844" s="552" t="s">
        <v>1219</v>
      </c>
      <c r="E7844" s="553"/>
      <c r="F7844" s="553"/>
      <c r="G7844" s="554"/>
      <c r="H7844" s="826">
        <f>H7843+H7841+H7838</f>
        <v>211195</v>
      </c>
      <c r="I7844" s="827"/>
    </row>
    <row r="7845" spans="3:11" ht="25.8" customHeight="1">
      <c r="C7845" s="566" t="s">
        <v>1220</v>
      </c>
      <c r="D7845" s="552" t="s">
        <v>1321</v>
      </c>
      <c r="E7845" s="553"/>
      <c r="F7845" s="554"/>
      <c r="G7845" s="555">
        <f>$M$9</f>
        <v>0.1</v>
      </c>
      <c r="H7845" s="539">
        <f>H7844*G7845</f>
        <v>21119.5</v>
      </c>
      <c r="I7845" s="827"/>
    </row>
    <row r="7846" spans="3:11" ht="25.8" customHeight="1">
      <c r="C7846" s="566" t="s">
        <v>1221</v>
      </c>
      <c r="D7846" s="552" t="s">
        <v>1222</v>
      </c>
      <c r="E7846" s="553"/>
      <c r="F7846" s="553"/>
      <c r="G7846" s="554"/>
      <c r="H7846" s="828">
        <f>SUM(H7844:H7845)</f>
        <v>232314.5</v>
      </c>
      <c r="I7846" s="827"/>
    </row>
    <row r="7847" spans="3:11" ht="25.8" customHeight="1"/>
    <row r="7848" spans="3:11" ht="25.8" customHeight="1">
      <c r="C7848" s="513" t="s">
        <v>6170</v>
      </c>
      <c r="D7848" s="817" t="s">
        <v>6171</v>
      </c>
      <c r="E7848" s="803"/>
      <c r="F7848" s="803"/>
      <c r="G7848" s="803"/>
      <c r="H7848" s="803"/>
      <c r="I7848" s="533">
        <f>ROUNDDOWN(H7863,-2)</f>
        <v>1456000</v>
      </c>
      <c r="J7848" s="536"/>
      <c r="K7848" s="824"/>
    </row>
    <row r="7849" spans="3:11" ht="25.8" customHeight="1">
      <c r="C7849" s="716" t="s">
        <v>1195</v>
      </c>
      <c r="D7849" s="716" t="s">
        <v>1196</v>
      </c>
      <c r="E7849" s="716" t="s">
        <v>1197</v>
      </c>
      <c r="F7849" s="716" t="s">
        <v>1198</v>
      </c>
      <c r="G7849" s="716" t="s">
        <v>1199</v>
      </c>
      <c r="H7849" s="716" t="s">
        <v>1200</v>
      </c>
    </row>
    <row r="7850" spans="3:11" ht="25.8" customHeight="1">
      <c r="C7850" s="213" t="s">
        <v>1201</v>
      </c>
      <c r="D7850" s="212" t="s">
        <v>1202</v>
      </c>
      <c r="E7850" s="534"/>
      <c r="F7850" s="534"/>
      <c r="G7850" s="534"/>
      <c r="H7850" s="534"/>
    </row>
    <row r="7851" spans="3:11" ht="25.8" customHeight="1">
      <c r="C7851" s="818">
        <v>1</v>
      </c>
      <c r="D7851" s="212" t="s">
        <v>5</v>
      </c>
      <c r="E7851" s="212" t="s">
        <v>6</v>
      </c>
      <c r="F7851" s="538">
        <v>0.76200000000000001</v>
      </c>
      <c r="G7851" s="539">
        <f>VLOOKUP(D7851,upahbahan,3,FALSE)</f>
        <v>100000</v>
      </c>
      <c r="H7851" s="539">
        <f t="shared" ref="H7851:H7854" si="823">F7851*G7851</f>
        <v>76200</v>
      </c>
    </row>
    <row r="7852" spans="3:11" ht="25.8" customHeight="1">
      <c r="C7852" s="818">
        <v>2</v>
      </c>
      <c r="D7852" s="212" t="s">
        <v>17</v>
      </c>
      <c r="E7852" s="212" t="s">
        <v>6</v>
      </c>
      <c r="F7852" s="538">
        <v>1.272</v>
      </c>
      <c r="G7852" s="539">
        <f>VLOOKUP(D7852,upahbahan,3,FALSE)</f>
        <v>135000</v>
      </c>
      <c r="H7852" s="539">
        <f t="shared" si="823"/>
        <v>171720</v>
      </c>
    </row>
    <row r="7853" spans="3:11" ht="25.8" customHeight="1">
      <c r="C7853" s="818">
        <v>3</v>
      </c>
      <c r="D7853" s="212" t="s">
        <v>1310</v>
      </c>
      <c r="E7853" s="212" t="s">
        <v>6</v>
      </c>
      <c r="F7853" s="538">
        <v>0.127</v>
      </c>
      <c r="G7853" s="539">
        <f>VLOOKUP(D7853,upahbahan,3,FALSE)</f>
        <v>150000</v>
      </c>
      <c r="H7853" s="539">
        <f t="shared" si="823"/>
        <v>19050</v>
      </c>
    </row>
    <row r="7854" spans="3:11" ht="25.8" customHeight="1">
      <c r="C7854" s="818">
        <v>4</v>
      </c>
      <c r="D7854" s="212" t="s">
        <v>19</v>
      </c>
      <c r="E7854" s="212" t="s">
        <v>6</v>
      </c>
      <c r="F7854" s="538">
        <v>4.2000000000000003E-2</v>
      </c>
      <c r="G7854" s="539">
        <f>VLOOKUP(D7854,upahbahan,3,FALSE)</f>
        <v>160000</v>
      </c>
      <c r="H7854" s="539">
        <f t="shared" si="823"/>
        <v>6720</v>
      </c>
    </row>
    <row r="7855" spans="3:11" ht="25.8" customHeight="1">
      <c r="C7855" s="702" t="s">
        <v>1208</v>
      </c>
      <c r="D7855" s="208"/>
      <c r="E7855" s="208"/>
      <c r="F7855" s="811"/>
      <c r="G7855" s="522"/>
      <c r="H7855" s="539">
        <f>SUM(H7851:H7854)</f>
        <v>273690</v>
      </c>
      <c r="I7855" s="819"/>
    </row>
    <row r="7856" spans="3:11" ht="25.8" customHeight="1">
      <c r="C7856" s="213" t="s">
        <v>1209</v>
      </c>
      <c r="D7856" s="212" t="s">
        <v>1210</v>
      </c>
      <c r="E7856" s="534"/>
      <c r="F7856" s="831"/>
      <c r="G7856" s="534"/>
      <c r="H7856" s="534"/>
    </row>
    <row r="7857" spans="3:11" ht="25.8" customHeight="1">
      <c r="C7857" s="213">
        <v>1</v>
      </c>
      <c r="D7857" s="212" t="s">
        <v>6172</v>
      </c>
      <c r="E7857" s="234" t="s">
        <v>3182</v>
      </c>
      <c r="F7857" s="866">
        <v>1.05</v>
      </c>
      <c r="G7857" s="539">
        <f>VLOOKUP(D7857,upahbahan,3,FALSE)</f>
        <v>1000000</v>
      </c>
      <c r="H7857" s="539">
        <f t="shared" ref="H7857" si="824">F7857*G7857</f>
        <v>1050000</v>
      </c>
    </row>
    <row r="7858" spans="3:11" ht="25.8" customHeight="1">
      <c r="C7858" s="702" t="s">
        <v>1214</v>
      </c>
      <c r="D7858" s="208"/>
      <c r="E7858" s="208" t="s">
        <v>6045</v>
      </c>
      <c r="F7858" s="208"/>
      <c r="G7858" s="209"/>
      <c r="H7858" s="539">
        <f>SUM(H7856:H7857)</f>
        <v>1050000</v>
      </c>
    </row>
    <row r="7859" spans="3:11" ht="25.8" customHeight="1">
      <c r="C7859" s="213" t="s">
        <v>1215</v>
      </c>
      <c r="D7859" s="212" t="s">
        <v>1216</v>
      </c>
      <c r="E7859" s="534"/>
      <c r="F7859" s="534"/>
      <c r="G7859" s="534"/>
      <c r="H7859" s="534"/>
    </row>
    <row r="7860" spans="3:11" ht="25.8" customHeight="1">
      <c r="C7860" s="702" t="s">
        <v>1217</v>
      </c>
      <c r="D7860" s="815"/>
      <c r="E7860" s="815"/>
      <c r="F7860" s="815"/>
      <c r="G7860" s="209"/>
      <c r="H7860" s="821">
        <f>SUM(H7859:H7859)</f>
        <v>0</v>
      </c>
    </row>
    <row r="7861" spans="3:11" ht="25.8" customHeight="1">
      <c r="C7861" s="566" t="s">
        <v>1218</v>
      </c>
      <c r="D7861" s="552" t="s">
        <v>1219</v>
      </c>
      <c r="E7861" s="553"/>
      <c r="F7861" s="553"/>
      <c r="G7861" s="554"/>
      <c r="H7861" s="826">
        <f>H7860+H7858+H7855</f>
        <v>1323690</v>
      </c>
      <c r="I7861" s="827"/>
    </row>
    <row r="7862" spans="3:11" ht="25.8" customHeight="1">
      <c r="C7862" s="566" t="s">
        <v>1220</v>
      </c>
      <c r="D7862" s="552" t="s">
        <v>1321</v>
      </c>
      <c r="E7862" s="553"/>
      <c r="F7862" s="554"/>
      <c r="G7862" s="555">
        <f>$M$9</f>
        <v>0.1</v>
      </c>
      <c r="H7862" s="539">
        <f>H7861*G7862</f>
        <v>132369</v>
      </c>
      <c r="I7862" s="827"/>
    </row>
    <row r="7863" spans="3:11" ht="25.8" customHeight="1">
      <c r="C7863" s="566" t="s">
        <v>1221</v>
      </c>
      <c r="D7863" s="552" t="s">
        <v>1222</v>
      </c>
      <c r="E7863" s="553"/>
      <c r="F7863" s="553"/>
      <c r="G7863" s="554"/>
      <c r="H7863" s="828">
        <f>SUM(H7861:H7862)</f>
        <v>1456059</v>
      </c>
      <c r="I7863" s="827"/>
    </row>
    <row r="7864" spans="3:11" ht="25.8" customHeight="1"/>
    <row r="7865" spans="3:11" ht="25.8" customHeight="1">
      <c r="C7865" s="513" t="s">
        <v>6173</v>
      </c>
      <c r="D7865" s="817" t="s">
        <v>6174</v>
      </c>
      <c r="E7865" s="803"/>
      <c r="F7865" s="803"/>
      <c r="G7865" s="803"/>
      <c r="H7865" s="803"/>
      <c r="I7865" s="533">
        <f>ROUNDDOWN(H7880,-2)</f>
        <v>1205300</v>
      </c>
      <c r="J7865" s="536"/>
      <c r="K7865" s="824"/>
    </row>
    <row r="7866" spans="3:11" ht="25.8" customHeight="1">
      <c r="C7866" s="716" t="s">
        <v>1195</v>
      </c>
      <c r="D7866" s="716" t="s">
        <v>1196</v>
      </c>
      <c r="E7866" s="716" t="s">
        <v>1197</v>
      </c>
      <c r="F7866" s="716" t="s">
        <v>1198</v>
      </c>
      <c r="G7866" s="716" t="s">
        <v>1199</v>
      </c>
      <c r="H7866" s="716" t="s">
        <v>1200</v>
      </c>
    </row>
    <row r="7867" spans="3:11" ht="25.8" customHeight="1">
      <c r="C7867" s="213" t="s">
        <v>1201</v>
      </c>
      <c r="D7867" s="212" t="s">
        <v>1202</v>
      </c>
      <c r="E7867" s="534"/>
      <c r="F7867" s="534"/>
      <c r="G7867" s="534"/>
      <c r="H7867" s="534"/>
    </row>
    <row r="7868" spans="3:11" ht="25.8" customHeight="1">
      <c r="C7868" s="818">
        <v>1</v>
      </c>
      <c r="D7868" s="212" t="s">
        <v>5</v>
      </c>
      <c r="E7868" s="212" t="s">
        <v>6</v>
      </c>
      <c r="F7868" s="538">
        <v>0.50700000000000001</v>
      </c>
      <c r="G7868" s="539">
        <f>VLOOKUP(D7868,upahbahan,3,FALSE)</f>
        <v>100000</v>
      </c>
      <c r="H7868" s="539">
        <f t="shared" ref="H7868:H7871" si="825">F7868*G7868</f>
        <v>50700</v>
      </c>
    </row>
    <row r="7869" spans="3:11" ht="25.8" customHeight="1">
      <c r="C7869" s="818">
        <v>2</v>
      </c>
      <c r="D7869" s="212" t="s">
        <v>17</v>
      </c>
      <c r="E7869" s="212" t="s">
        <v>6</v>
      </c>
      <c r="F7869" s="538">
        <v>0.84699999999999998</v>
      </c>
      <c r="G7869" s="539">
        <f>VLOOKUP(D7869,upahbahan,3,FALSE)</f>
        <v>135000</v>
      </c>
      <c r="H7869" s="539">
        <f t="shared" si="825"/>
        <v>114345</v>
      </c>
    </row>
    <row r="7870" spans="3:11" ht="25.8" customHeight="1">
      <c r="C7870" s="818">
        <v>3</v>
      </c>
      <c r="D7870" s="212" t="s">
        <v>1310</v>
      </c>
      <c r="E7870" s="212" t="s">
        <v>6</v>
      </c>
      <c r="F7870" s="538">
        <v>8.5000000000000006E-2</v>
      </c>
      <c r="G7870" s="539">
        <f>VLOOKUP(D7870,upahbahan,3,FALSE)</f>
        <v>150000</v>
      </c>
      <c r="H7870" s="539">
        <f t="shared" si="825"/>
        <v>12750.000000000002</v>
      </c>
    </row>
    <row r="7871" spans="3:11" ht="25.8" customHeight="1">
      <c r="C7871" s="818">
        <v>4</v>
      </c>
      <c r="D7871" s="212" t="s">
        <v>19</v>
      </c>
      <c r="E7871" s="212" t="s">
        <v>6</v>
      </c>
      <c r="F7871" s="538">
        <v>2.8000000000000001E-2</v>
      </c>
      <c r="G7871" s="539">
        <f>VLOOKUP(D7871,upahbahan,3,FALSE)</f>
        <v>160000</v>
      </c>
      <c r="H7871" s="539">
        <f t="shared" si="825"/>
        <v>4480</v>
      </c>
    </row>
    <row r="7872" spans="3:11" ht="25.8" customHeight="1">
      <c r="C7872" s="702" t="s">
        <v>1208</v>
      </c>
      <c r="D7872" s="208"/>
      <c r="E7872" s="208"/>
      <c r="F7872" s="811"/>
      <c r="G7872" s="522"/>
      <c r="H7872" s="539">
        <f>SUM(H7868:H7871)</f>
        <v>182275</v>
      </c>
      <c r="I7872" s="819"/>
    </row>
    <row r="7873" spans="3:11" ht="25.8" customHeight="1">
      <c r="C7873" s="213" t="s">
        <v>1209</v>
      </c>
      <c r="D7873" s="212" t="s">
        <v>1210</v>
      </c>
      <c r="E7873" s="534"/>
      <c r="F7873" s="831"/>
      <c r="G7873" s="534"/>
      <c r="H7873" s="534"/>
    </row>
    <row r="7874" spans="3:11" ht="25.8" customHeight="1">
      <c r="C7874" s="213">
        <v>1</v>
      </c>
      <c r="D7874" s="212" t="s">
        <v>6175</v>
      </c>
      <c r="E7874" s="234" t="s">
        <v>3182</v>
      </c>
      <c r="F7874" s="866">
        <v>1.05</v>
      </c>
      <c r="G7874" s="539">
        <f>VLOOKUP(D7874,upahbahan,3,FALSE)</f>
        <v>870000</v>
      </c>
      <c r="H7874" s="539">
        <f t="shared" ref="H7874" si="826">F7874*G7874</f>
        <v>913500</v>
      </c>
    </row>
    <row r="7875" spans="3:11" ht="25.8" customHeight="1">
      <c r="C7875" s="702" t="s">
        <v>1214</v>
      </c>
      <c r="D7875" s="208"/>
      <c r="E7875" s="208" t="s">
        <v>6045</v>
      </c>
      <c r="F7875" s="208"/>
      <c r="G7875" s="209"/>
      <c r="H7875" s="539">
        <f>SUM(H7873:H7874)</f>
        <v>913500</v>
      </c>
    </row>
    <row r="7876" spans="3:11" ht="25.8" customHeight="1">
      <c r="C7876" s="213" t="s">
        <v>1215</v>
      </c>
      <c r="D7876" s="212" t="s">
        <v>1216</v>
      </c>
      <c r="E7876" s="534"/>
      <c r="F7876" s="534"/>
      <c r="G7876" s="534"/>
      <c r="H7876" s="534"/>
    </row>
    <row r="7877" spans="3:11" ht="25.8" customHeight="1">
      <c r="C7877" s="702" t="s">
        <v>1217</v>
      </c>
      <c r="D7877" s="815"/>
      <c r="E7877" s="815"/>
      <c r="F7877" s="815"/>
      <c r="G7877" s="209"/>
      <c r="H7877" s="821">
        <f>SUM(H7876:H7876)</f>
        <v>0</v>
      </c>
    </row>
    <row r="7878" spans="3:11" ht="25.8" customHeight="1">
      <c r="C7878" s="566" t="s">
        <v>1218</v>
      </c>
      <c r="D7878" s="552" t="s">
        <v>1219</v>
      </c>
      <c r="E7878" s="553"/>
      <c r="F7878" s="553"/>
      <c r="G7878" s="554"/>
      <c r="H7878" s="826">
        <f>H7877+H7875+H7872</f>
        <v>1095775</v>
      </c>
      <c r="I7878" s="827"/>
    </row>
    <row r="7879" spans="3:11" ht="25.8" customHeight="1">
      <c r="C7879" s="566" t="s">
        <v>1220</v>
      </c>
      <c r="D7879" s="552" t="s">
        <v>1321</v>
      </c>
      <c r="E7879" s="553"/>
      <c r="F7879" s="554"/>
      <c r="G7879" s="555">
        <f>$M$9</f>
        <v>0.1</v>
      </c>
      <c r="H7879" s="539">
        <f>H7878*G7879</f>
        <v>109577.5</v>
      </c>
      <c r="I7879" s="827"/>
    </row>
    <row r="7880" spans="3:11" ht="25.8" customHeight="1">
      <c r="C7880" s="566" t="s">
        <v>1221</v>
      </c>
      <c r="D7880" s="552" t="s">
        <v>1222</v>
      </c>
      <c r="E7880" s="553"/>
      <c r="F7880" s="553"/>
      <c r="G7880" s="554"/>
      <c r="H7880" s="828">
        <f>SUM(H7878:H7879)</f>
        <v>1205352.5</v>
      </c>
      <c r="I7880" s="827"/>
    </row>
    <row r="7881" spans="3:11" ht="25.8" customHeight="1"/>
    <row r="7882" spans="3:11" ht="25.8" customHeight="1"/>
    <row r="7883" spans="3:11" ht="25.8" customHeight="1">
      <c r="C7883" s="513" t="s">
        <v>6176</v>
      </c>
      <c r="D7883" s="817" t="s">
        <v>6177</v>
      </c>
      <c r="E7883" s="803"/>
      <c r="F7883" s="803"/>
      <c r="G7883" s="803"/>
      <c r="H7883" s="803"/>
      <c r="I7883" s="533">
        <f>ROUNDDOWN(H7898,-2)</f>
        <v>339500</v>
      </c>
      <c r="J7883" s="536"/>
      <c r="K7883" s="824"/>
    </row>
    <row r="7884" spans="3:11" ht="25.8" customHeight="1">
      <c r="C7884" s="716" t="s">
        <v>1195</v>
      </c>
      <c r="D7884" s="716" t="s">
        <v>1196</v>
      </c>
      <c r="E7884" s="716" t="s">
        <v>1197</v>
      </c>
      <c r="F7884" s="716" t="s">
        <v>1198</v>
      </c>
      <c r="G7884" s="716" t="s">
        <v>1199</v>
      </c>
      <c r="H7884" s="716" t="s">
        <v>1200</v>
      </c>
    </row>
    <row r="7885" spans="3:11" ht="25.8" customHeight="1">
      <c r="C7885" s="213" t="s">
        <v>1201</v>
      </c>
      <c r="D7885" s="212" t="s">
        <v>1202</v>
      </c>
      <c r="E7885" s="534"/>
      <c r="F7885" s="534"/>
      <c r="G7885" s="534"/>
      <c r="H7885" s="534"/>
    </row>
    <row r="7886" spans="3:11" ht="25.8" customHeight="1">
      <c r="C7886" s="818">
        <v>1</v>
      </c>
      <c r="D7886" s="212" t="s">
        <v>5</v>
      </c>
      <c r="E7886" s="212" t="s">
        <v>6</v>
      </c>
      <c r="F7886" s="538">
        <v>0.129</v>
      </c>
      <c r="G7886" s="539">
        <f>VLOOKUP(D7886,upahbahan,3,FALSE)</f>
        <v>100000</v>
      </c>
      <c r="H7886" s="539">
        <f t="shared" ref="H7886:H7889" si="827">F7886*G7886</f>
        <v>12900</v>
      </c>
    </row>
    <row r="7887" spans="3:11" ht="25.8" customHeight="1">
      <c r="C7887" s="818">
        <v>2</v>
      </c>
      <c r="D7887" s="212" t="s">
        <v>17</v>
      </c>
      <c r="E7887" s="212" t="s">
        <v>6</v>
      </c>
      <c r="F7887" s="538">
        <v>0.215</v>
      </c>
      <c r="G7887" s="539">
        <f>VLOOKUP(D7887,upahbahan,3,FALSE)</f>
        <v>135000</v>
      </c>
      <c r="H7887" s="539">
        <f t="shared" si="827"/>
        <v>29025</v>
      </c>
    </row>
    <row r="7888" spans="3:11" ht="25.8" customHeight="1">
      <c r="C7888" s="818">
        <v>3</v>
      </c>
      <c r="D7888" s="212" t="s">
        <v>1310</v>
      </c>
      <c r="E7888" s="212" t="s">
        <v>6</v>
      </c>
      <c r="F7888" s="538">
        <v>2.1000000000000001E-2</v>
      </c>
      <c r="G7888" s="539">
        <f>VLOOKUP(D7888,upahbahan,3,FALSE)</f>
        <v>150000</v>
      </c>
      <c r="H7888" s="539">
        <f t="shared" si="827"/>
        <v>3150</v>
      </c>
    </row>
    <row r="7889" spans="3:11" ht="25.8" customHeight="1">
      <c r="C7889" s="818">
        <v>4</v>
      </c>
      <c r="D7889" s="212" t="s">
        <v>19</v>
      </c>
      <c r="E7889" s="212" t="s">
        <v>6</v>
      </c>
      <c r="F7889" s="538">
        <v>7.0000000000000001E-3</v>
      </c>
      <c r="G7889" s="539">
        <f>VLOOKUP(D7889,upahbahan,3,FALSE)</f>
        <v>160000</v>
      </c>
      <c r="H7889" s="539">
        <f t="shared" si="827"/>
        <v>1120</v>
      </c>
    </row>
    <row r="7890" spans="3:11" ht="25.8" customHeight="1">
      <c r="C7890" s="702" t="s">
        <v>1208</v>
      </c>
      <c r="D7890" s="208"/>
      <c r="E7890" s="208"/>
      <c r="F7890" s="811"/>
      <c r="G7890" s="522"/>
      <c r="H7890" s="539">
        <f>SUM(H7886:H7889)</f>
        <v>46195</v>
      </c>
      <c r="I7890" s="819"/>
    </row>
    <row r="7891" spans="3:11" ht="25.8" customHeight="1">
      <c r="C7891" s="213" t="s">
        <v>1209</v>
      </c>
      <c r="D7891" s="212" t="s">
        <v>1210</v>
      </c>
      <c r="E7891" s="534"/>
      <c r="F7891" s="831"/>
      <c r="G7891" s="534"/>
      <c r="H7891" s="534"/>
    </row>
    <row r="7892" spans="3:11" ht="25.8" customHeight="1">
      <c r="C7892" s="213">
        <v>1</v>
      </c>
      <c r="D7892" s="212" t="s">
        <v>6178</v>
      </c>
      <c r="E7892" s="234" t="s">
        <v>3182</v>
      </c>
      <c r="F7892" s="866">
        <v>1.05</v>
      </c>
      <c r="G7892" s="539">
        <f>VLOOKUP(D7892,upahbahan,3,FALSE)</f>
        <v>250000</v>
      </c>
      <c r="H7892" s="539">
        <f t="shared" ref="H7892" si="828">F7892*G7892</f>
        <v>262500</v>
      </c>
    </row>
    <row r="7893" spans="3:11" ht="25.8" customHeight="1">
      <c r="C7893" s="702" t="s">
        <v>1214</v>
      </c>
      <c r="D7893" s="208"/>
      <c r="E7893" s="208" t="s">
        <v>6045</v>
      </c>
      <c r="F7893" s="208"/>
      <c r="G7893" s="209"/>
      <c r="H7893" s="539">
        <f>SUM(H7891:H7892)</f>
        <v>262500</v>
      </c>
    </row>
    <row r="7894" spans="3:11" ht="25.8" customHeight="1">
      <c r="C7894" s="213" t="s">
        <v>1215</v>
      </c>
      <c r="D7894" s="212" t="s">
        <v>1216</v>
      </c>
      <c r="E7894" s="534"/>
      <c r="F7894" s="534"/>
      <c r="G7894" s="534"/>
      <c r="H7894" s="534"/>
    </row>
    <row r="7895" spans="3:11" ht="25.8" customHeight="1">
      <c r="C7895" s="702" t="s">
        <v>1217</v>
      </c>
      <c r="D7895" s="815"/>
      <c r="E7895" s="815"/>
      <c r="F7895" s="815"/>
      <c r="G7895" s="209"/>
      <c r="H7895" s="821">
        <f>SUM(H7894:H7894)</f>
        <v>0</v>
      </c>
    </row>
    <row r="7896" spans="3:11" ht="25.8" customHeight="1">
      <c r="C7896" s="566" t="s">
        <v>1218</v>
      </c>
      <c r="D7896" s="552" t="s">
        <v>1219</v>
      </c>
      <c r="E7896" s="553"/>
      <c r="F7896" s="553"/>
      <c r="G7896" s="554"/>
      <c r="H7896" s="826">
        <f>H7895+H7893+H7890</f>
        <v>308695</v>
      </c>
      <c r="I7896" s="827"/>
    </row>
    <row r="7897" spans="3:11" ht="25.8" customHeight="1">
      <c r="C7897" s="566" t="s">
        <v>1220</v>
      </c>
      <c r="D7897" s="552" t="s">
        <v>1321</v>
      </c>
      <c r="E7897" s="553"/>
      <c r="F7897" s="554"/>
      <c r="G7897" s="555">
        <f>$M$9</f>
        <v>0.1</v>
      </c>
      <c r="H7897" s="539">
        <f>H7896*G7897</f>
        <v>30869.5</v>
      </c>
      <c r="I7897" s="827"/>
    </row>
    <row r="7898" spans="3:11" ht="25.8" customHeight="1">
      <c r="C7898" s="566" t="s">
        <v>1221</v>
      </c>
      <c r="D7898" s="552" t="s">
        <v>1222</v>
      </c>
      <c r="E7898" s="553"/>
      <c r="F7898" s="553"/>
      <c r="G7898" s="554"/>
      <c r="H7898" s="828">
        <f>SUM(H7896:H7897)</f>
        <v>339564.5</v>
      </c>
      <c r="I7898" s="827"/>
    </row>
    <row r="7899" spans="3:11" ht="25.8" customHeight="1"/>
    <row r="7900" spans="3:11" ht="25.8" customHeight="1">
      <c r="C7900" s="513" t="s">
        <v>6179</v>
      </c>
      <c r="D7900" s="817" t="s">
        <v>6180</v>
      </c>
      <c r="E7900" s="803"/>
      <c r="F7900" s="803"/>
      <c r="G7900" s="803"/>
      <c r="H7900" s="803"/>
      <c r="I7900" s="533">
        <f>ROUNDDOWN(H7915,-2)</f>
        <v>160000</v>
      </c>
      <c r="J7900" s="536"/>
      <c r="K7900" s="824"/>
    </row>
    <row r="7901" spans="3:11" ht="25.8" customHeight="1">
      <c r="C7901" s="716" t="s">
        <v>1195</v>
      </c>
      <c r="D7901" s="716" t="s">
        <v>1196</v>
      </c>
      <c r="E7901" s="716" t="s">
        <v>1197</v>
      </c>
      <c r="F7901" s="716" t="s">
        <v>1198</v>
      </c>
      <c r="G7901" s="716" t="s">
        <v>1199</v>
      </c>
      <c r="H7901" s="716" t="s">
        <v>1200</v>
      </c>
    </row>
    <row r="7902" spans="3:11" ht="25.8" customHeight="1">
      <c r="C7902" s="213" t="s">
        <v>1201</v>
      </c>
      <c r="D7902" s="212" t="s">
        <v>1202</v>
      </c>
      <c r="E7902" s="534"/>
      <c r="F7902" s="534"/>
      <c r="G7902" s="534"/>
      <c r="H7902" s="534"/>
    </row>
    <row r="7903" spans="3:11" ht="25.8" customHeight="1">
      <c r="C7903" s="818">
        <v>1</v>
      </c>
      <c r="D7903" s="212" t="s">
        <v>5</v>
      </c>
      <c r="E7903" s="212" t="s">
        <v>6</v>
      </c>
      <c r="F7903" s="538">
        <v>6.4000000000000001E-2</v>
      </c>
      <c r="G7903" s="539">
        <f>VLOOKUP(D7903,upahbahan,3,FALSE)</f>
        <v>100000</v>
      </c>
      <c r="H7903" s="539">
        <f t="shared" ref="H7903:H7906" si="829">F7903*G7903</f>
        <v>6400</v>
      </c>
    </row>
    <row r="7904" spans="3:11" ht="25.8" customHeight="1">
      <c r="C7904" s="818">
        <v>2</v>
      </c>
      <c r="D7904" s="212" t="s">
        <v>17</v>
      </c>
      <c r="E7904" s="212" t="s">
        <v>6</v>
      </c>
      <c r="F7904" s="538">
        <v>0.107</v>
      </c>
      <c r="G7904" s="539">
        <f>VLOOKUP(D7904,upahbahan,3,FALSE)</f>
        <v>135000</v>
      </c>
      <c r="H7904" s="539">
        <f t="shared" si="829"/>
        <v>14445</v>
      </c>
    </row>
    <row r="7905" spans="3:11" ht="25.8" customHeight="1">
      <c r="C7905" s="818">
        <v>3</v>
      </c>
      <c r="D7905" s="212" t="s">
        <v>1310</v>
      </c>
      <c r="E7905" s="212" t="s">
        <v>6</v>
      </c>
      <c r="F7905" s="538">
        <v>1.0999999999999999E-2</v>
      </c>
      <c r="G7905" s="539">
        <f>VLOOKUP(D7905,upahbahan,3,FALSE)</f>
        <v>150000</v>
      </c>
      <c r="H7905" s="539">
        <f t="shared" si="829"/>
        <v>1650</v>
      </c>
    </row>
    <row r="7906" spans="3:11" ht="25.8" customHeight="1">
      <c r="C7906" s="818">
        <v>4</v>
      </c>
      <c r="D7906" s="212" t="s">
        <v>19</v>
      </c>
      <c r="E7906" s="212" t="s">
        <v>6</v>
      </c>
      <c r="F7906" s="538">
        <v>4.0000000000000001E-3</v>
      </c>
      <c r="G7906" s="539">
        <f>VLOOKUP(D7906,upahbahan,3,FALSE)</f>
        <v>160000</v>
      </c>
      <c r="H7906" s="539">
        <f t="shared" si="829"/>
        <v>640</v>
      </c>
    </row>
    <row r="7907" spans="3:11" ht="25.8" customHeight="1">
      <c r="C7907" s="702" t="s">
        <v>1208</v>
      </c>
      <c r="D7907" s="208"/>
      <c r="E7907" s="208"/>
      <c r="F7907" s="811"/>
      <c r="G7907" s="522"/>
      <c r="H7907" s="539">
        <f>SUM(H7903:H7906)</f>
        <v>23135</v>
      </c>
      <c r="I7907" s="819"/>
    </row>
    <row r="7908" spans="3:11" ht="25.8" customHeight="1">
      <c r="C7908" s="213" t="s">
        <v>1209</v>
      </c>
      <c r="D7908" s="212" t="s">
        <v>1210</v>
      </c>
      <c r="E7908" s="534"/>
      <c r="F7908" s="831"/>
      <c r="G7908" s="534"/>
      <c r="H7908" s="534"/>
    </row>
    <row r="7909" spans="3:11" ht="25.8" customHeight="1">
      <c r="C7909" s="213">
        <v>1</v>
      </c>
      <c r="D7909" s="212" t="s">
        <v>6181</v>
      </c>
      <c r="E7909" s="234" t="s">
        <v>3182</v>
      </c>
      <c r="F7909" s="866">
        <v>1.2</v>
      </c>
      <c r="G7909" s="539">
        <f>VLOOKUP(D7909,upahbahan,3,FALSE)</f>
        <v>102000</v>
      </c>
      <c r="H7909" s="539">
        <f t="shared" ref="H7909" si="830">F7909*G7909</f>
        <v>122400</v>
      </c>
    </row>
    <row r="7910" spans="3:11" ht="25.8" customHeight="1">
      <c r="C7910" s="702" t="s">
        <v>1214</v>
      </c>
      <c r="D7910" s="208"/>
      <c r="E7910" s="208" t="s">
        <v>6045</v>
      </c>
      <c r="F7910" s="208"/>
      <c r="G7910" s="209"/>
      <c r="H7910" s="539">
        <f>SUM(H7908:H7909)</f>
        <v>122400</v>
      </c>
    </row>
    <row r="7911" spans="3:11" ht="25.8" customHeight="1">
      <c r="C7911" s="213" t="s">
        <v>1215</v>
      </c>
      <c r="D7911" s="212" t="s">
        <v>1216</v>
      </c>
      <c r="E7911" s="534"/>
      <c r="F7911" s="534"/>
      <c r="G7911" s="534"/>
      <c r="H7911" s="534"/>
    </row>
    <row r="7912" spans="3:11" ht="25.8" customHeight="1">
      <c r="C7912" s="702" t="s">
        <v>1217</v>
      </c>
      <c r="D7912" s="815"/>
      <c r="E7912" s="815"/>
      <c r="F7912" s="815"/>
      <c r="G7912" s="209"/>
      <c r="H7912" s="821">
        <f>SUM(H7911:H7911)</f>
        <v>0</v>
      </c>
    </row>
    <row r="7913" spans="3:11" ht="25.8" customHeight="1">
      <c r="C7913" s="566" t="s">
        <v>1218</v>
      </c>
      <c r="D7913" s="552" t="s">
        <v>1219</v>
      </c>
      <c r="E7913" s="553"/>
      <c r="F7913" s="553"/>
      <c r="G7913" s="554"/>
      <c r="H7913" s="826">
        <f>H7912+H7910+H7907</f>
        <v>145535</v>
      </c>
      <c r="I7913" s="827"/>
    </row>
    <row r="7914" spans="3:11" ht="25.8" customHeight="1">
      <c r="C7914" s="566" t="s">
        <v>1220</v>
      </c>
      <c r="D7914" s="552" t="s">
        <v>1321</v>
      </c>
      <c r="E7914" s="553"/>
      <c r="F7914" s="554"/>
      <c r="G7914" s="555">
        <f>$M$9</f>
        <v>0.1</v>
      </c>
      <c r="H7914" s="539">
        <f>H7913*G7914</f>
        <v>14553.5</v>
      </c>
      <c r="I7914" s="827"/>
    </row>
    <row r="7915" spans="3:11" ht="25.8" customHeight="1">
      <c r="C7915" s="566" t="s">
        <v>1221</v>
      </c>
      <c r="D7915" s="552" t="s">
        <v>1222</v>
      </c>
      <c r="E7915" s="553"/>
      <c r="F7915" s="553"/>
      <c r="G7915" s="554"/>
      <c r="H7915" s="828">
        <f>SUM(H7913:H7914)</f>
        <v>160088.5</v>
      </c>
      <c r="I7915" s="827"/>
    </row>
    <row r="7916" spans="3:11" ht="25.8" customHeight="1"/>
    <row r="7917" spans="3:11" ht="25.8" customHeight="1">
      <c r="C7917" s="513" t="s">
        <v>6182</v>
      </c>
      <c r="D7917" s="817" t="s">
        <v>6183</v>
      </c>
      <c r="E7917" s="803"/>
      <c r="F7917" s="803"/>
      <c r="G7917" s="803"/>
      <c r="H7917" s="803"/>
      <c r="I7917" s="533">
        <f>ROUNDDOWN(H7938,-2)</f>
        <v>1751000</v>
      </c>
      <c r="J7917" s="536"/>
      <c r="K7917" s="824"/>
    </row>
    <row r="7918" spans="3:11" ht="25.8" customHeight="1">
      <c r="C7918" s="716" t="s">
        <v>1195</v>
      </c>
      <c r="D7918" s="716" t="s">
        <v>1196</v>
      </c>
      <c r="E7918" s="716" t="s">
        <v>1197</v>
      </c>
      <c r="F7918" s="716" t="s">
        <v>1198</v>
      </c>
      <c r="G7918" s="716" t="s">
        <v>1199</v>
      </c>
      <c r="H7918" s="716" t="s">
        <v>1200</v>
      </c>
    </row>
    <row r="7919" spans="3:11" ht="25.8" customHeight="1">
      <c r="C7919" s="213" t="s">
        <v>1201</v>
      </c>
      <c r="D7919" s="212" t="s">
        <v>1202</v>
      </c>
      <c r="E7919" s="534"/>
      <c r="F7919" s="534"/>
      <c r="G7919" s="534"/>
      <c r="H7919" s="534"/>
    </row>
    <row r="7920" spans="3:11" ht="25.8" customHeight="1">
      <c r="C7920" s="818">
        <v>1</v>
      </c>
      <c r="D7920" s="212" t="s">
        <v>5</v>
      </c>
      <c r="E7920" s="212" t="s">
        <v>6</v>
      </c>
      <c r="F7920" s="538">
        <v>6.4000000000000001E-2</v>
      </c>
      <c r="G7920" s="539">
        <f>VLOOKUP(D7920,upahbahan,3,FALSE)</f>
        <v>100000</v>
      </c>
      <c r="H7920" s="539">
        <f t="shared" ref="H7920:H7923" si="831">F7920*G7920</f>
        <v>6400</v>
      </c>
    </row>
    <row r="7921" spans="3:9" ht="25.8" customHeight="1">
      <c r="C7921" s="818">
        <v>2</v>
      </c>
      <c r="D7921" s="212" t="s">
        <v>17</v>
      </c>
      <c r="E7921" s="212" t="s">
        <v>6</v>
      </c>
      <c r="F7921" s="538">
        <v>0.107</v>
      </c>
      <c r="G7921" s="539">
        <f>VLOOKUP(D7921,upahbahan,3,FALSE)</f>
        <v>135000</v>
      </c>
      <c r="H7921" s="539">
        <f t="shared" si="831"/>
        <v>14445</v>
      </c>
    </row>
    <row r="7922" spans="3:9" ht="25.8" customHeight="1">
      <c r="C7922" s="818">
        <v>3</v>
      </c>
      <c r="D7922" s="212" t="s">
        <v>1310</v>
      </c>
      <c r="E7922" s="212" t="s">
        <v>6</v>
      </c>
      <c r="F7922" s="538">
        <v>1.0999999999999999E-2</v>
      </c>
      <c r="G7922" s="539">
        <f>VLOOKUP(D7922,upahbahan,3,FALSE)</f>
        <v>150000</v>
      </c>
      <c r="H7922" s="539">
        <f t="shared" si="831"/>
        <v>1650</v>
      </c>
    </row>
    <row r="7923" spans="3:9" ht="25.8" customHeight="1">
      <c r="C7923" s="818">
        <v>4</v>
      </c>
      <c r="D7923" s="212" t="s">
        <v>19</v>
      </c>
      <c r="E7923" s="212" t="s">
        <v>6</v>
      </c>
      <c r="F7923" s="538">
        <v>4.0000000000000001E-3</v>
      </c>
      <c r="G7923" s="539">
        <f>VLOOKUP(D7923,upahbahan,3,FALSE)</f>
        <v>160000</v>
      </c>
      <c r="H7923" s="539">
        <f t="shared" si="831"/>
        <v>640</v>
      </c>
    </row>
    <row r="7924" spans="3:9" ht="25.8" customHeight="1">
      <c r="C7924" s="702" t="s">
        <v>1208</v>
      </c>
      <c r="D7924" s="208"/>
      <c r="E7924" s="208"/>
      <c r="F7924" s="811"/>
      <c r="G7924" s="522"/>
      <c r="H7924" s="539">
        <f>SUM(H7920:H7923)</f>
        <v>23135</v>
      </c>
      <c r="I7924" s="819"/>
    </row>
    <row r="7925" spans="3:9" ht="25.8" customHeight="1">
      <c r="C7925" s="213" t="s">
        <v>1209</v>
      </c>
      <c r="D7925" s="212" t="s">
        <v>1210</v>
      </c>
      <c r="E7925" s="534"/>
      <c r="F7925" s="831"/>
      <c r="G7925" s="534"/>
      <c r="H7925" s="534"/>
    </row>
    <row r="7926" spans="3:9" ht="25.8" customHeight="1">
      <c r="C7926" s="213">
        <v>1</v>
      </c>
      <c r="D7926" s="212" t="s">
        <v>3381</v>
      </c>
      <c r="E7926" s="234" t="s">
        <v>1300</v>
      </c>
      <c r="F7926" s="866">
        <v>38.5</v>
      </c>
      <c r="G7926" s="539">
        <f t="shared" ref="G7926:G7932" si="832">VLOOKUP(D7926,upahbahan,3,FALSE)</f>
        <v>0</v>
      </c>
      <c r="H7926" s="539">
        <f t="shared" ref="H7926:H7932" si="833">F7926*G7926</f>
        <v>0</v>
      </c>
    </row>
    <row r="7927" spans="3:9" ht="25.8" customHeight="1">
      <c r="C7927" s="213">
        <v>2</v>
      </c>
      <c r="D7927" s="212" t="s">
        <v>3542</v>
      </c>
      <c r="E7927" s="234" t="s">
        <v>1300</v>
      </c>
      <c r="F7927" s="866">
        <v>38.5</v>
      </c>
      <c r="G7927" s="539">
        <f t="shared" si="832"/>
        <v>16195.5</v>
      </c>
      <c r="H7927" s="539">
        <f t="shared" si="833"/>
        <v>623526.75</v>
      </c>
    </row>
    <row r="7928" spans="3:9" ht="25.8" customHeight="1">
      <c r="C7928" s="213">
        <v>3</v>
      </c>
      <c r="D7928" s="212" t="s">
        <v>3540</v>
      </c>
      <c r="E7928" s="234" t="s">
        <v>2167</v>
      </c>
      <c r="F7928" s="866">
        <v>1</v>
      </c>
      <c r="G7928" s="539">
        <f t="shared" si="832"/>
        <v>3600</v>
      </c>
      <c r="H7928" s="539">
        <f t="shared" si="833"/>
        <v>3600</v>
      </c>
    </row>
    <row r="7929" spans="3:9" ht="25.8" customHeight="1">
      <c r="C7929" s="213">
        <v>4</v>
      </c>
      <c r="D7929" s="212" t="s">
        <v>3541</v>
      </c>
      <c r="E7929" s="234" t="s">
        <v>6184</v>
      </c>
      <c r="F7929" s="866">
        <v>20</v>
      </c>
      <c r="G7929" s="539">
        <f t="shared" si="832"/>
        <v>700</v>
      </c>
      <c r="H7929" s="539">
        <f t="shared" si="833"/>
        <v>14000</v>
      </c>
    </row>
    <row r="7930" spans="3:9" ht="25.8" customHeight="1">
      <c r="C7930" s="213">
        <v>5</v>
      </c>
      <c r="D7930" s="212" t="s">
        <v>5816</v>
      </c>
      <c r="E7930" s="234" t="s">
        <v>2167</v>
      </c>
      <c r="F7930" s="866">
        <v>40</v>
      </c>
      <c r="G7930" s="539">
        <f t="shared" si="832"/>
        <v>891</v>
      </c>
      <c r="H7930" s="539">
        <f t="shared" si="833"/>
        <v>35640</v>
      </c>
    </row>
    <row r="7931" spans="3:9" ht="25.8" customHeight="1">
      <c r="C7931" s="213">
        <v>6</v>
      </c>
      <c r="D7931" s="212" t="s">
        <v>5818</v>
      </c>
      <c r="E7931" s="234" t="s">
        <v>2167</v>
      </c>
      <c r="F7931" s="866">
        <v>1</v>
      </c>
      <c r="G7931" s="539">
        <f t="shared" si="832"/>
        <v>952.2</v>
      </c>
      <c r="H7931" s="539">
        <f t="shared" si="833"/>
        <v>952.2</v>
      </c>
    </row>
    <row r="7932" spans="3:9" ht="25.8" customHeight="1">
      <c r="C7932" s="213">
        <v>7</v>
      </c>
      <c r="D7932" s="212" t="s">
        <v>3545</v>
      </c>
      <c r="E7932" s="234" t="s">
        <v>2167</v>
      </c>
      <c r="F7932" s="866">
        <v>60</v>
      </c>
      <c r="G7932" s="539">
        <f t="shared" si="832"/>
        <v>14850</v>
      </c>
      <c r="H7932" s="539">
        <f t="shared" si="833"/>
        <v>891000</v>
      </c>
    </row>
    <row r="7933" spans="3:9" ht="25.8" customHeight="1">
      <c r="C7933" s="702" t="s">
        <v>1214</v>
      </c>
      <c r="D7933" s="208"/>
      <c r="E7933" s="208" t="s">
        <v>6045</v>
      </c>
      <c r="F7933" s="208"/>
      <c r="G7933" s="209"/>
      <c r="H7933" s="539">
        <f>SUM(H7925:H7932)</f>
        <v>1568718.95</v>
      </c>
    </row>
    <row r="7934" spans="3:9" ht="25.8" customHeight="1">
      <c r="C7934" s="213" t="s">
        <v>1215</v>
      </c>
      <c r="D7934" s="212" t="s">
        <v>1216</v>
      </c>
      <c r="E7934" s="534"/>
      <c r="F7934" s="534"/>
      <c r="G7934" s="534"/>
      <c r="H7934" s="534"/>
    </row>
    <row r="7935" spans="3:9" ht="25.8" customHeight="1">
      <c r="C7935" s="702" t="s">
        <v>1217</v>
      </c>
      <c r="D7935" s="815"/>
      <c r="E7935" s="815"/>
      <c r="F7935" s="815"/>
      <c r="G7935" s="209"/>
      <c r="H7935" s="821">
        <f>SUM(H7934:H7934)</f>
        <v>0</v>
      </c>
    </row>
    <row r="7936" spans="3:9" ht="25.8" customHeight="1">
      <c r="C7936" s="566" t="s">
        <v>1218</v>
      </c>
      <c r="D7936" s="552" t="s">
        <v>1219</v>
      </c>
      <c r="E7936" s="553"/>
      <c r="F7936" s="553"/>
      <c r="G7936" s="554"/>
      <c r="H7936" s="826">
        <f>H7935+H7933+H7924</f>
        <v>1591853.95</v>
      </c>
      <c r="I7936" s="827"/>
    </row>
    <row r="7937" spans="3:11" ht="25.8" customHeight="1">
      <c r="C7937" s="566" t="s">
        <v>1220</v>
      </c>
      <c r="D7937" s="552" t="s">
        <v>1321</v>
      </c>
      <c r="E7937" s="553"/>
      <c r="F7937" s="554"/>
      <c r="G7937" s="555">
        <f>$M$9</f>
        <v>0.1</v>
      </c>
      <c r="H7937" s="539">
        <f>H7936*G7937</f>
        <v>159185.39500000002</v>
      </c>
      <c r="I7937" s="827"/>
    </row>
    <row r="7938" spans="3:11" ht="25.8" customHeight="1">
      <c r="C7938" s="566" t="s">
        <v>1221</v>
      </c>
      <c r="D7938" s="552" t="s">
        <v>1222</v>
      </c>
      <c r="E7938" s="553"/>
      <c r="F7938" s="553"/>
      <c r="G7938" s="554"/>
      <c r="H7938" s="828">
        <f>SUM(H7936:H7937)</f>
        <v>1751039.345</v>
      </c>
      <c r="I7938" s="827"/>
    </row>
    <row r="7939" spans="3:11" ht="25.8" customHeight="1"/>
    <row r="7940" spans="3:11" ht="25.8" customHeight="1">
      <c r="C7940" s="571" t="s">
        <v>6185</v>
      </c>
      <c r="D7940" s="571" t="s">
        <v>6186</v>
      </c>
    </row>
    <row r="7941" spans="3:11" ht="25.8" customHeight="1">
      <c r="C7941" s="513" t="s">
        <v>6187</v>
      </c>
      <c r="D7941" s="817" t="s">
        <v>6188</v>
      </c>
      <c r="E7941" s="803"/>
      <c r="F7941" s="803"/>
      <c r="G7941" s="803"/>
      <c r="H7941" s="803"/>
      <c r="I7941" s="533">
        <f>ROUNDDOWN(H7956,-2)</f>
        <v>7853800</v>
      </c>
      <c r="J7941" s="536"/>
      <c r="K7941" s="824"/>
    </row>
    <row r="7942" spans="3:11" ht="25.8" customHeight="1">
      <c r="C7942" s="716" t="s">
        <v>1195</v>
      </c>
      <c r="D7942" s="716" t="s">
        <v>1196</v>
      </c>
      <c r="E7942" s="716" t="s">
        <v>1197</v>
      </c>
      <c r="F7942" s="716" t="s">
        <v>1198</v>
      </c>
      <c r="G7942" s="716" t="s">
        <v>1199</v>
      </c>
      <c r="H7942" s="716" t="s">
        <v>1200</v>
      </c>
    </row>
    <row r="7943" spans="3:11" ht="25.8" customHeight="1">
      <c r="C7943" s="213" t="s">
        <v>1201</v>
      </c>
      <c r="D7943" s="212" t="s">
        <v>1202</v>
      </c>
      <c r="E7943" s="534"/>
      <c r="F7943" s="534"/>
      <c r="G7943" s="534"/>
      <c r="H7943" s="534"/>
    </row>
    <row r="7944" spans="3:11" ht="25.8" customHeight="1">
      <c r="C7944" s="818">
        <v>1</v>
      </c>
      <c r="D7944" s="212" t="s">
        <v>5</v>
      </c>
      <c r="E7944" s="212" t="s">
        <v>6</v>
      </c>
      <c r="F7944" s="538">
        <v>0.876</v>
      </c>
      <c r="G7944" s="539">
        <f>VLOOKUP(D7944,upahbahan,3,FALSE)</f>
        <v>100000</v>
      </c>
      <c r="H7944" s="539">
        <f t="shared" ref="H7944:H7947" si="834">F7944*G7944</f>
        <v>87600</v>
      </c>
    </row>
    <row r="7945" spans="3:11" ht="25.8" customHeight="1">
      <c r="C7945" s="818">
        <v>2</v>
      </c>
      <c r="D7945" s="212" t="s">
        <v>17</v>
      </c>
      <c r="E7945" s="212" t="s">
        <v>6</v>
      </c>
      <c r="F7945" s="538">
        <v>1.4630000000000001</v>
      </c>
      <c r="G7945" s="539">
        <f>VLOOKUP(D7945,upahbahan,3,FALSE)</f>
        <v>135000</v>
      </c>
      <c r="H7945" s="539">
        <f t="shared" si="834"/>
        <v>197505</v>
      </c>
    </row>
    <row r="7946" spans="3:11" ht="25.8" customHeight="1">
      <c r="C7946" s="818">
        <v>3</v>
      </c>
      <c r="D7946" s="212" t="s">
        <v>1310</v>
      </c>
      <c r="E7946" s="212" t="s">
        <v>6</v>
      </c>
      <c r="F7946" s="538">
        <v>0.14599999999999999</v>
      </c>
      <c r="G7946" s="539">
        <f>VLOOKUP(D7946,upahbahan,3,FALSE)</f>
        <v>150000</v>
      </c>
      <c r="H7946" s="539">
        <f t="shared" si="834"/>
        <v>21900</v>
      </c>
    </row>
    <row r="7947" spans="3:11" ht="25.8" customHeight="1">
      <c r="C7947" s="818">
        <v>4</v>
      </c>
      <c r="D7947" s="212" t="s">
        <v>19</v>
      </c>
      <c r="E7947" s="212" t="s">
        <v>6</v>
      </c>
      <c r="F7947" s="538">
        <v>4.9000000000000002E-2</v>
      </c>
      <c r="G7947" s="539">
        <f>VLOOKUP(D7947,upahbahan,3,FALSE)</f>
        <v>160000</v>
      </c>
      <c r="H7947" s="539">
        <f t="shared" si="834"/>
        <v>7840</v>
      </c>
    </row>
    <row r="7948" spans="3:11" ht="25.8" customHeight="1">
      <c r="C7948" s="702" t="s">
        <v>1208</v>
      </c>
      <c r="D7948" s="208"/>
      <c r="E7948" s="208"/>
      <c r="F7948" s="811"/>
      <c r="G7948" s="522"/>
      <c r="H7948" s="539">
        <f>SUM(H7944:H7947)</f>
        <v>314845</v>
      </c>
      <c r="I7948" s="819"/>
    </row>
    <row r="7949" spans="3:11" ht="25.8" customHeight="1">
      <c r="C7949" s="213" t="s">
        <v>1209</v>
      </c>
      <c r="D7949" s="212" t="s">
        <v>1210</v>
      </c>
      <c r="E7949" s="534"/>
      <c r="F7949" s="831"/>
      <c r="G7949" s="534"/>
      <c r="H7949" s="534"/>
    </row>
    <row r="7950" spans="3:11" ht="25.8" customHeight="1">
      <c r="C7950" s="213">
        <v>1</v>
      </c>
      <c r="D7950" s="212" t="s">
        <v>6189</v>
      </c>
      <c r="E7950" s="234" t="s">
        <v>3409</v>
      </c>
      <c r="F7950" s="866">
        <v>1.05</v>
      </c>
      <c r="G7950" s="539">
        <f>VLOOKUP(D7950,upahbahan,3,FALSE)</f>
        <v>6500000</v>
      </c>
      <c r="H7950" s="539">
        <f t="shared" ref="H7950" si="835">F7950*G7950</f>
        <v>6825000</v>
      </c>
    </row>
    <row r="7951" spans="3:11" ht="25.8" customHeight="1">
      <c r="C7951" s="702" t="s">
        <v>1214</v>
      </c>
      <c r="D7951" s="208"/>
      <c r="E7951" s="208" t="s">
        <v>6045</v>
      </c>
      <c r="F7951" s="208"/>
      <c r="G7951" s="209"/>
      <c r="H7951" s="539">
        <f>SUM(H7949:H7950)</f>
        <v>6825000</v>
      </c>
    </row>
    <row r="7952" spans="3:11" ht="25.8" customHeight="1">
      <c r="C7952" s="213" t="s">
        <v>1215</v>
      </c>
      <c r="D7952" s="212" t="s">
        <v>1216</v>
      </c>
      <c r="E7952" s="534"/>
      <c r="F7952" s="534"/>
      <c r="G7952" s="534"/>
      <c r="H7952" s="534"/>
    </row>
    <row r="7953" spans="3:11" ht="25.8" customHeight="1">
      <c r="C7953" s="702" t="s">
        <v>1217</v>
      </c>
      <c r="D7953" s="815"/>
      <c r="E7953" s="815"/>
      <c r="F7953" s="815"/>
      <c r="G7953" s="209"/>
      <c r="H7953" s="821">
        <f>SUM(H7952:H7952)</f>
        <v>0</v>
      </c>
    </row>
    <row r="7954" spans="3:11" ht="25.8" customHeight="1">
      <c r="C7954" s="566" t="s">
        <v>1218</v>
      </c>
      <c r="D7954" s="552" t="s">
        <v>1219</v>
      </c>
      <c r="E7954" s="553"/>
      <c r="F7954" s="553"/>
      <c r="G7954" s="554"/>
      <c r="H7954" s="826">
        <f>H7953+H7951+H7948</f>
        <v>7139845</v>
      </c>
      <c r="I7954" s="827"/>
    </row>
    <row r="7955" spans="3:11" ht="25.8" customHeight="1">
      <c r="C7955" s="566" t="s">
        <v>1220</v>
      </c>
      <c r="D7955" s="552" t="s">
        <v>1321</v>
      </c>
      <c r="E7955" s="553"/>
      <c r="F7955" s="554"/>
      <c r="G7955" s="555">
        <f>$M$9</f>
        <v>0.1</v>
      </c>
      <c r="H7955" s="539">
        <f>H7954*G7955</f>
        <v>713984.5</v>
      </c>
      <c r="I7955" s="827"/>
    </row>
    <row r="7956" spans="3:11" ht="25.8" customHeight="1">
      <c r="C7956" s="566" t="s">
        <v>1221</v>
      </c>
      <c r="D7956" s="552" t="s">
        <v>1222</v>
      </c>
      <c r="E7956" s="553"/>
      <c r="F7956" s="553"/>
      <c r="G7956" s="554"/>
      <c r="H7956" s="828">
        <f>SUM(H7954:H7955)</f>
        <v>7853829.5</v>
      </c>
      <c r="I7956" s="827"/>
    </row>
    <row r="7957" spans="3:11" ht="25.8" customHeight="1"/>
    <row r="7958" spans="3:11" ht="25.8" customHeight="1">
      <c r="C7958" s="513" t="s">
        <v>6190</v>
      </c>
      <c r="D7958" s="817" t="s">
        <v>6191</v>
      </c>
      <c r="E7958" s="803"/>
      <c r="F7958" s="803"/>
      <c r="G7958" s="803"/>
      <c r="H7958" s="803"/>
      <c r="I7958" s="533">
        <f>ROUNDDOWN(H7973,-2)</f>
        <v>1397400</v>
      </c>
      <c r="J7958" s="536"/>
      <c r="K7958" s="824"/>
    </row>
    <row r="7959" spans="3:11" ht="25.8" customHeight="1">
      <c r="C7959" s="716" t="s">
        <v>1195</v>
      </c>
      <c r="D7959" s="716" t="s">
        <v>1196</v>
      </c>
      <c r="E7959" s="716" t="s">
        <v>1197</v>
      </c>
      <c r="F7959" s="716" t="s">
        <v>1198</v>
      </c>
      <c r="G7959" s="716" t="s">
        <v>1199</v>
      </c>
      <c r="H7959" s="716" t="s">
        <v>1200</v>
      </c>
    </row>
    <row r="7960" spans="3:11" ht="25.8" customHeight="1">
      <c r="C7960" s="213" t="s">
        <v>1201</v>
      </c>
      <c r="D7960" s="212" t="s">
        <v>1202</v>
      </c>
      <c r="E7960" s="534"/>
      <c r="F7960" s="534"/>
      <c r="G7960" s="534"/>
      <c r="H7960" s="534"/>
    </row>
    <row r="7961" spans="3:11" ht="25.8" customHeight="1">
      <c r="C7961" s="818">
        <v>1</v>
      </c>
      <c r="D7961" s="212" t="s">
        <v>5</v>
      </c>
      <c r="E7961" s="212" t="s">
        <v>6</v>
      </c>
      <c r="F7961" s="538">
        <v>0.76</v>
      </c>
      <c r="G7961" s="539">
        <f>VLOOKUP(D7961,upahbahan,3,FALSE)</f>
        <v>100000</v>
      </c>
      <c r="H7961" s="539">
        <f t="shared" ref="H7961:H7964" si="836">F7961*G7961</f>
        <v>76000</v>
      </c>
    </row>
    <row r="7962" spans="3:11" ht="25.8" customHeight="1">
      <c r="C7962" s="818">
        <v>2</v>
      </c>
      <c r="D7962" s="212" t="s">
        <v>17</v>
      </c>
      <c r="E7962" s="212" t="s">
        <v>6</v>
      </c>
      <c r="F7962" s="538">
        <v>1.268</v>
      </c>
      <c r="G7962" s="539">
        <f>VLOOKUP(D7962,upahbahan,3,FALSE)</f>
        <v>135000</v>
      </c>
      <c r="H7962" s="539">
        <f t="shared" si="836"/>
        <v>171180</v>
      </c>
    </row>
    <row r="7963" spans="3:11" ht="25.8" customHeight="1">
      <c r="C7963" s="818">
        <v>3</v>
      </c>
      <c r="D7963" s="212" t="s">
        <v>1310</v>
      </c>
      <c r="E7963" s="212" t="s">
        <v>6</v>
      </c>
      <c r="F7963" s="538">
        <v>0.127</v>
      </c>
      <c r="G7963" s="539">
        <f>VLOOKUP(D7963,upahbahan,3,FALSE)</f>
        <v>150000</v>
      </c>
      <c r="H7963" s="539">
        <f t="shared" si="836"/>
        <v>19050</v>
      </c>
    </row>
    <row r="7964" spans="3:11" ht="25.8" customHeight="1">
      <c r="C7964" s="818">
        <v>4</v>
      </c>
      <c r="D7964" s="212" t="s">
        <v>19</v>
      </c>
      <c r="E7964" s="212" t="s">
        <v>6</v>
      </c>
      <c r="F7964" s="538">
        <v>4.2000000000000003E-2</v>
      </c>
      <c r="G7964" s="539">
        <f>VLOOKUP(D7964,upahbahan,3,FALSE)</f>
        <v>160000</v>
      </c>
      <c r="H7964" s="539">
        <f t="shared" si="836"/>
        <v>6720</v>
      </c>
    </row>
    <row r="7965" spans="3:11" ht="25.8" customHeight="1">
      <c r="C7965" s="702" t="s">
        <v>1208</v>
      </c>
      <c r="D7965" s="208"/>
      <c r="E7965" s="208"/>
      <c r="F7965" s="811"/>
      <c r="G7965" s="522"/>
      <c r="H7965" s="539">
        <f>SUM(H7961:H7964)</f>
        <v>272950</v>
      </c>
      <c r="I7965" s="819"/>
    </row>
    <row r="7966" spans="3:11" ht="25.8" customHeight="1">
      <c r="C7966" s="213" t="s">
        <v>1209</v>
      </c>
      <c r="D7966" s="212" t="s">
        <v>1210</v>
      </c>
      <c r="E7966" s="534"/>
      <c r="F7966" s="831"/>
      <c r="G7966" s="534"/>
      <c r="H7966" s="534"/>
    </row>
    <row r="7967" spans="3:11" ht="25.8" customHeight="1">
      <c r="C7967" s="213">
        <v>1</v>
      </c>
      <c r="D7967" s="212" t="s">
        <v>6192</v>
      </c>
      <c r="E7967" s="234" t="s">
        <v>3409</v>
      </c>
      <c r="F7967" s="866">
        <v>1.05</v>
      </c>
      <c r="G7967" s="539">
        <f>VLOOKUP(D7967,upahbahan,3,FALSE)</f>
        <v>950000</v>
      </c>
      <c r="H7967" s="539">
        <f t="shared" ref="H7967" si="837">F7967*G7967</f>
        <v>997500</v>
      </c>
    </row>
    <row r="7968" spans="3:11" ht="25.8" customHeight="1">
      <c r="C7968" s="702" t="s">
        <v>1214</v>
      </c>
      <c r="D7968" s="208"/>
      <c r="E7968" s="208" t="s">
        <v>6045</v>
      </c>
      <c r="F7968" s="208"/>
      <c r="G7968" s="209"/>
      <c r="H7968" s="539">
        <f>SUM(H7966:H7967)</f>
        <v>997500</v>
      </c>
    </row>
    <row r="7969" spans="3:11" ht="25.8" customHeight="1">
      <c r="C7969" s="213" t="s">
        <v>1215</v>
      </c>
      <c r="D7969" s="212" t="s">
        <v>1216</v>
      </c>
      <c r="E7969" s="534"/>
      <c r="F7969" s="534"/>
      <c r="G7969" s="534"/>
      <c r="H7969" s="534"/>
    </row>
    <row r="7970" spans="3:11" ht="25.8" customHeight="1">
      <c r="C7970" s="702" t="s">
        <v>1217</v>
      </c>
      <c r="D7970" s="815"/>
      <c r="E7970" s="815"/>
      <c r="F7970" s="815"/>
      <c r="G7970" s="209"/>
      <c r="H7970" s="821">
        <f>SUM(H7969:H7969)</f>
        <v>0</v>
      </c>
    </row>
    <row r="7971" spans="3:11" ht="25.8" customHeight="1">
      <c r="C7971" s="566" t="s">
        <v>1218</v>
      </c>
      <c r="D7971" s="552" t="s">
        <v>1219</v>
      </c>
      <c r="E7971" s="553"/>
      <c r="F7971" s="553"/>
      <c r="G7971" s="554"/>
      <c r="H7971" s="826">
        <f>H7970+H7968+H7965</f>
        <v>1270450</v>
      </c>
      <c r="I7971" s="827"/>
    </row>
    <row r="7972" spans="3:11" ht="25.8" customHeight="1">
      <c r="C7972" s="566" t="s">
        <v>1220</v>
      </c>
      <c r="D7972" s="552" t="s">
        <v>1321</v>
      </c>
      <c r="E7972" s="553"/>
      <c r="F7972" s="554"/>
      <c r="G7972" s="555">
        <f>$M$9</f>
        <v>0.1</v>
      </c>
      <c r="H7972" s="539">
        <f>H7971*G7972</f>
        <v>127045</v>
      </c>
      <c r="I7972" s="827"/>
    </row>
    <row r="7973" spans="3:11" ht="25.8" customHeight="1">
      <c r="C7973" s="566" t="s">
        <v>1221</v>
      </c>
      <c r="D7973" s="552" t="s">
        <v>1222</v>
      </c>
      <c r="E7973" s="553"/>
      <c r="F7973" s="553"/>
      <c r="G7973" s="554"/>
      <c r="H7973" s="828">
        <f>SUM(H7971:H7972)</f>
        <v>1397495</v>
      </c>
      <c r="I7973" s="827"/>
    </row>
    <row r="7974" spans="3:11" ht="25.8" customHeight="1"/>
    <row r="7975" spans="3:11" ht="25.8" customHeight="1">
      <c r="C7975" s="513" t="s">
        <v>6193</v>
      </c>
      <c r="D7975" s="817" t="s">
        <v>6194</v>
      </c>
      <c r="E7975" s="803"/>
      <c r="F7975" s="803"/>
      <c r="G7975" s="803"/>
      <c r="H7975" s="803"/>
      <c r="I7975" s="533">
        <f>ROUNDDOWN(H7990,-2)</f>
        <v>1050900</v>
      </c>
      <c r="J7975" s="536"/>
      <c r="K7975" s="824"/>
    </row>
    <row r="7976" spans="3:11" ht="25.8" customHeight="1">
      <c r="C7976" s="716" t="s">
        <v>1195</v>
      </c>
      <c r="D7976" s="716" t="s">
        <v>1196</v>
      </c>
      <c r="E7976" s="716" t="s">
        <v>1197</v>
      </c>
      <c r="F7976" s="716" t="s">
        <v>1198</v>
      </c>
      <c r="G7976" s="716" t="s">
        <v>1199</v>
      </c>
      <c r="H7976" s="716" t="s">
        <v>1200</v>
      </c>
    </row>
    <row r="7977" spans="3:11" ht="25.8" customHeight="1">
      <c r="C7977" s="213" t="s">
        <v>1201</v>
      </c>
      <c r="D7977" s="212" t="s">
        <v>1202</v>
      </c>
      <c r="E7977" s="534"/>
      <c r="F7977" s="534"/>
      <c r="G7977" s="534"/>
      <c r="H7977" s="534"/>
    </row>
    <row r="7978" spans="3:11" ht="25.8" customHeight="1">
      <c r="C7978" s="818">
        <v>1</v>
      </c>
      <c r="D7978" s="212" t="s">
        <v>5</v>
      </c>
      <c r="E7978" s="212" t="s">
        <v>6</v>
      </c>
      <c r="F7978" s="538">
        <v>0.76</v>
      </c>
      <c r="G7978" s="539">
        <f>VLOOKUP(D7978,upahbahan,3,FALSE)</f>
        <v>100000</v>
      </c>
      <c r="H7978" s="539">
        <f t="shared" ref="H7978:H7981" si="838">F7978*G7978</f>
        <v>76000</v>
      </c>
    </row>
    <row r="7979" spans="3:11" ht="25.8" customHeight="1">
      <c r="C7979" s="818">
        <v>2</v>
      </c>
      <c r="D7979" s="212" t="s">
        <v>17</v>
      </c>
      <c r="E7979" s="212" t="s">
        <v>6</v>
      </c>
      <c r="F7979" s="538">
        <v>1.268</v>
      </c>
      <c r="G7979" s="539">
        <f>VLOOKUP(D7979,upahbahan,3,FALSE)</f>
        <v>135000</v>
      </c>
      <c r="H7979" s="539">
        <f t="shared" si="838"/>
        <v>171180</v>
      </c>
    </row>
    <row r="7980" spans="3:11" ht="25.8" customHeight="1">
      <c r="C7980" s="818">
        <v>3</v>
      </c>
      <c r="D7980" s="212" t="s">
        <v>1310</v>
      </c>
      <c r="E7980" s="212" t="s">
        <v>6</v>
      </c>
      <c r="F7980" s="538">
        <v>0.127</v>
      </c>
      <c r="G7980" s="539">
        <f>VLOOKUP(D7980,upahbahan,3,FALSE)</f>
        <v>150000</v>
      </c>
      <c r="H7980" s="539">
        <f t="shared" si="838"/>
        <v>19050</v>
      </c>
    </row>
    <row r="7981" spans="3:11" ht="25.8" customHeight="1">
      <c r="C7981" s="818">
        <v>4</v>
      </c>
      <c r="D7981" s="212" t="s">
        <v>19</v>
      </c>
      <c r="E7981" s="212" t="s">
        <v>6</v>
      </c>
      <c r="F7981" s="538">
        <v>4.2000000000000003E-2</v>
      </c>
      <c r="G7981" s="539">
        <f>VLOOKUP(D7981,upahbahan,3,FALSE)</f>
        <v>160000</v>
      </c>
      <c r="H7981" s="539">
        <f t="shared" si="838"/>
        <v>6720</v>
      </c>
    </row>
    <row r="7982" spans="3:11" ht="25.8" customHeight="1">
      <c r="C7982" s="702" t="s">
        <v>1208</v>
      </c>
      <c r="D7982" s="208"/>
      <c r="E7982" s="208"/>
      <c r="F7982" s="811"/>
      <c r="G7982" s="522"/>
      <c r="H7982" s="539">
        <f>SUM(H7978:H7981)</f>
        <v>272950</v>
      </c>
      <c r="I7982" s="819"/>
    </row>
    <row r="7983" spans="3:11" ht="25.8" customHeight="1">
      <c r="C7983" s="213" t="s">
        <v>1209</v>
      </c>
      <c r="D7983" s="212" t="s">
        <v>1210</v>
      </c>
      <c r="E7983" s="534"/>
      <c r="F7983" s="831"/>
      <c r="G7983" s="534"/>
      <c r="H7983" s="534"/>
    </row>
    <row r="7984" spans="3:11" ht="25.8" customHeight="1">
      <c r="C7984" s="213">
        <v>1</v>
      </c>
      <c r="D7984" s="212" t="s">
        <v>6195</v>
      </c>
      <c r="E7984" s="234" t="s">
        <v>3409</v>
      </c>
      <c r="F7984" s="866">
        <v>1.05</v>
      </c>
      <c r="G7984" s="539">
        <f>VLOOKUP(D7984,upahbahan,3,FALSE)</f>
        <v>650000</v>
      </c>
      <c r="H7984" s="539">
        <f t="shared" ref="H7984" si="839">F7984*G7984</f>
        <v>682500</v>
      </c>
    </row>
    <row r="7985" spans="3:11" ht="25.8" customHeight="1">
      <c r="C7985" s="702" t="s">
        <v>1214</v>
      </c>
      <c r="D7985" s="208"/>
      <c r="E7985" s="208" t="s">
        <v>6045</v>
      </c>
      <c r="F7985" s="208"/>
      <c r="G7985" s="209"/>
      <c r="H7985" s="539">
        <f>SUM(H7983:H7984)</f>
        <v>682500</v>
      </c>
    </row>
    <row r="7986" spans="3:11" ht="25.8" customHeight="1">
      <c r="C7986" s="213" t="s">
        <v>1215</v>
      </c>
      <c r="D7986" s="212" t="s">
        <v>1216</v>
      </c>
      <c r="E7986" s="534"/>
      <c r="F7986" s="534"/>
      <c r="G7986" s="534"/>
      <c r="H7986" s="534"/>
    </row>
    <row r="7987" spans="3:11" ht="25.8" customHeight="1">
      <c r="C7987" s="702" t="s">
        <v>1217</v>
      </c>
      <c r="D7987" s="815"/>
      <c r="E7987" s="815"/>
      <c r="F7987" s="815"/>
      <c r="G7987" s="209"/>
      <c r="H7987" s="821">
        <f>SUM(H7986:H7986)</f>
        <v>0</v>
      </c>
    </row>
    <row r="7988" spans="3:11" ht="25.8" customHeight="1">
      <c r="C7988" s="566" t="s">
        <v>1218</v>
      </c>
      <c r="D7988" s="552" t="s">
        <v>1219</v>
      </c>
      <c r="E7988" s="553"/>
      <c r="F7988" s="553"/>
      <c r="G7988" s="554"/>
      <c r="H7988" s="826">
        <f>H7987+H7985+H7982</f>
        <v>955450</v>
      </c>
      <c r="I7988" s="827"/>
    </row>
    <row r="7989" spans="3:11" ht="25.8" customHeight="1">
      <c r="C7989" s="566" t="s">
        <v>1220</v>
      </c>
      <c r="D7989" s="552" t="s">
        <v>1321</v>
      </c>
      <c r="E7989" s="553"/>
      <c r="F7989" s="554"/>
      <c r="G7989" s="555">
        <f>$M$9</f>
        <v>0.1</v>
      </c>
      <c r="H7989" s="539">
        <f>H7988*G7989</f>
        <v>95545</v>
      </c>
      <c r="I7989" s="827"/>
    </row>
    <row r="7990" spans="3:11" ht="25.8" customHeight="1">
      <c r="C7990" s="566" t="s">
        <v>1221</v>
      </c>
      <c r="D7990" s="552" t="s">
        <v>1222</v>
      </c>
      <c r="E7990" s="553"/>
      <c r="F7990" s="553"/>
      <c r="G7990" s="554"/>
      <c r="H7990" s="828">
        <f>SUM(H7988:H7989)</f>
        <v>1050995</v>
      </c>
      <c r="I7990" s="827"/>
    </row>
    <row r="7991" spans="3:11" ht="25.8" customHeight="1"/>
    <row r="7992" spans="3:11" ht="25.8" customHeight="1">
      <c r="C7992" s="513" t="s">
        <v>6196</v>
      </c>
      <c r="D7992" s="817" t="s">
        <v>6197</v>
      </c>
      <c r="E7992" s="803"/>
      <c r="F7992" s="803"/>
      <c r="G7992" s="803"/>
      <c r="H7992" s="803"/>
      <c r="I7992" s="533">
        <f>ROUNDDOWN(H8007,-2)</f>
        <v>710500</v>
      </c>
      <c r="J7992" s="536"/>
      <c r="K7992" s="824"/>
    </row>
    <row r="7993" spans="3:11" ht="25.8" customHeight="1">
      <c r="C7993" s="716" t="s">
        <v>1195</v>
      </c>
      <c r="D7993" s="716" t="s">
        <v>1196</v>
      </c>
      <c r="E7993" s="716" t="s">
        <v>1197</v>
      </c>
      <c r="F7993" s="716" t="s">
        <v>1198</v>
      </c>
      <c r="G7993" s="716" t="s">
        <v>1199</v>
      </c>
      <c r="H7993" s="716" t="s">
        <v>1200</v>
      </c>
    </row>
    <row r="7994" spans="3:11" ht="25.8" customHeight="1">
      <c r="C7994" s="213" t="s">
        <v>1201</v>
      </c>
      <c r="D7994" s="212" t="s">
        <v>1202</v>
      </c>
      <c r="E7994" s="534"/>
      <c r="F7994" s="534"/>
      <c r="G7994" s="534"/>
      <c r="H7994" s="534"/>
    </row>
    <row r="7995" spans="3:11" ht="25.8" customHeight="1">
      <c r="C7995" s="818">
        <v>1</v>
      </c>
      <c r="D7995" s="212" t="s">
        <v>5</v>
      </c>
      <c r="E7995" s="212" t="s">
        <v>6</v>
      </c>
      <c r="F7995" s="538">
        <v>0.19</v>
      </c>
      <c r="G7995" s="539">
        <f>VLOOKUP(D7995,upahbahan,3,FALSE)</f>
        <v>100000</v>
      </c>
      <c r="H7995" s="539">
        <f t="shared" ref="H7995:H7998" si="840">F7995*G7995</f>
        <v>19000</v>
      </c>
    </row>
    <row r="7996" spans="3:11" ht="25.8" customHeight="1">
      <c r="C7996" s="818">
        <v>2</v>
      </c>
      <c r="D7996" s="212" t="s">
        <v>17</v>
      </c>
      <c r="E7996" s="212" t="s">
        <v>6</v>
      </c>
      <c r="F7996" s="538">
        <v>0.318</v>
      </c>
      <c r="G7996" s="539">
        <f>VLOOKUP(D7996,upahbahan,3,FALSE)</f>
        <v>135000</v>
      </c>
      <c r="H7996" s="539">
        <f t="shared" si="840"/>
        <v>42930</v>
      </c>
    </row>
    <row r="7997" spans="3:11" ht="25.8" customHeight="1">
      <c r="C7997" s="818">
        <v>3</v>
      </c>
      <c r="D7997" s="212" t="s">
        <v>1310</v>
      </c>
      <c r="E7997" s="212" t="s">
        <v>6</v>
      </c>
      <c r="F7997" s="538">
        <v>3.2000000000000001E-2</v>
      </c>
      <c r="G7997" s="539">
        <f>VLOOKUP(D7997,upahbahan,3,FALSE)</f>
        <v>150000</v>
      </c>
      <c r="H7997" s="539">
        <f t="shared" si="840"/>
        <v>4800</v>
      </c>
    </row>
    <row r="7998" spans="3:11" ht="25.8" customHeight="1">
      <c r="C7998" s="818">
        <v>4</v>
      </c>
      <c r="D7998" s="212" t="s">
        <v>19</v>
      </c>
      <c r="E7998" s="212" t="s">
        <v>6</v>
      </c>
      <c r="F7998" s="538">
        <v>1.0999999999999999E-2</v>
      </c>
      <c r="G7998" s="539">
        <f>VLOOKUP(D7998,upahbahan,3,FALSE)</f>
        <v>160000</v>
      </c>
      <c r="H7998" s="539">
        <f t="shared" si="840"/>
        <v>1760</v>
      </c>
    </row>
    <row r="7999" spans="3:11" ht="25.8" customHeight="1">
      <c r="C7999" s="702" t="s">
        <v>1208</v>
      </c>
      <c r="D7999" s="208"/>
      <c r="E7999" s="208"/>
      <c r="F7999" s="811"/>
      <c r="G7999" s="522"/>
      <c r="H7999" s="539">
        <f>SUM(H7995:H7998)</f>
        <v>68490</v>
      </c>
      <c r="I7999" s="819"/>
    </row>
    <row r="8000" spans="3:11" ht="25.8" customHeight="1">
      <c r="C8000" s="213" t="s">
        <v>1209</v>
      </c>
      <c r="D8000" s="212" t="s">
        <v>1210</v>
      </c>
      <c r="E8000" s="534"/>
      <c r="F8000" s="831"/>
      <c r="G8000" s="534"/>
      <c r="H8000" s="534"/>
    </row>
    <row r="8001" spans="3:11" ht="25.8" customHeight="1">
      <c r="C8001" s="213">
        <v>1</v>
      </c>
      <c r="D8001" s="212" t="s">
        <v>6198</v>
      </c>
      <c r="E8001" s="234" t="s">
        <v>3409</v>
      </c>
      <c r="F8001" s="866">
        <v>1.05</v>
      </c>
      <c r="G8001" s="539">
        <f>VLOOKUP(D8001,upahbahan,3,FALSE)</f>
        <v>550000</v>
      </c>
      <c r="H8001" s="539">
        <f t="shared" ref="H8001" si="841">F8001*G8001</f>
        <v>577500</v>
      </c>
    </row>
    <row r="8002" spans="3:11" ht="25.8" customHeight="1">
      <c r="C8002" s="702" t="s">
        <v>1214</v>
      </c>
      <c r="D8002" s="208"/>
      <c r="E8002" s="208" t="s">
        <v>6045</v>
      </c>
      <c r="F8002" s="208"/>
      <c r="G8002" s="209"/>
      <c r="H8002" s="539">
        <f>SUM(H8000:H8001)</f>
        <v>577500</v>
      </c>
    </row>
    <row r="8003" spans="3:11" ht="25.8" customHeight="1">
      <c r="C8003" s="213" t="s">
        <v>1215</v>
      </c>
      <c r="D8003" s="212" t="s">
        <v>1216</v>
      </c>
      <c r="E8003" s="534"/>
      <c r="F8003" s="534"/>
      <c r="G8003" s="534"/>
      <c r="H8003" s="534"/>
    </row>
    <row r="8004" spans="3:11" ht="25.8" customHeight="1">
      <c r="C8004" s="702" t="s">
        <v>1217</v>
      </c>
      <c r="D8004" s="815"/>
      <c r="E8004" s="815"/>
      <c r="F8004" s="815"/>
      <c r="G8004" s="209"/>
      <c r="H8004" s="821">
        <f>SUM(H8003:H8003)</f>
        <v>0</v>
      </c>
    </row>
    <row r="8005" spans="3:11" ht="25.8" customHeight="1">
      <c r="C8005" s="566" t="s">
        <v>1218</v>
      </c>
      <c r="D8005" s="552" t="s">
        <v>1219</v>
      </c>
      <c r="E8005" s="553"/>
      <c r="F8005" s="553"/>
      <c r="G8005" s="554"/>
      <c r="H8005" s="826">
        <f>H8004+H8002+H7999</f>
        <v>645990</v>
      </c>
      <c r="I8005" s="827"/>
    </row>
    <row r="8006" spans="3:11" ht="25.8" customHeight="1">
      <c r="C8006" s="566" t="s">
        <v>1220</v>
      </c>
      <c r="D8006" s="552" t="s">
        <v>1321</v>
      </c>
      <c r="E8006" s="553"/>
      <c r="F8006" s="554"/>
      <c r="G8006" s="555">
        <f>$M$9</f>
        <v>0.1</v>
      </c>
      <c r="H8006" s="539">
        <f>H8005*G8006</f>
        <v>64599</v>
      </c>
      <c r="I8006" s="827"/>
    </row>
    <row r="8007" spans="3:11" ht="25.8" customHeight="1">
      <c r="C8007" s="566" t="s">
        <v>1221</v>
      </c>
      <c r="D8007" s="552" t="s">
        <v>1222</v>
      </c>
      <c r="E8007" s="553"/>
      <c r="F8007" s="553"/>
      <c r="G8007" s="554"/>
      <c r="H8007" s="828">
        <f>SUM(H8005:H8006)</f>
        <v>710589</v>
      </c>
      <c r="I8007" s="827"/>
    </row>
    <row r="8008" spans="3:11" ht="25.8" customHeight="1"/>
    <row r="8009" spans="3:11" ht="25.8" customHeight="1">
      <c r="C8009" s="513" t="s">
        <v>6199</v>
      </c>
      <c r="D8009" s="817" t="s">
        <v>6200</v>
      </c>
      <c r="E8009" s="803"/>
      <c r="F8009" s="803"/>
      <c r="G8009" s="803"/>
      <c r="H8009" s="803"/>
      <c r="I8009" s="533">
        <f>ROUNDDOWN(H8024,-2)</f>
        <v>412000</v>
      </c>
      <c r="J8009" s="536"/>
      <c r="K8009" s="824"/>
    </row>
    <row r="8010" spans="3:11" ht="25.8" customHeight="1">
      <c r="C8010" s="716" t="s">
        <v>1195</v>
      </c>
      <c r="D8010" s="716" t="s">
        <v>1196</v>
      </c>
      <c r="E8010" s="716" t="s">
        <v>1197</v>
      </c>
      <c r="F8010" s="716" t="s">
        <v>1198</v>
      </c>
      <c r="G8010" s="716" t="s">
        <v>1199</v>
      </c>
      <c r="H8010" s="716" t="s">
        <v>1200</v>
      </c>
    </row>
    <row r="8011" spans="3:11" ht="25.8" customHeight="1">
      <c r="C8011" s="213" t="s">
        <v>1201</v>
      </c>
      <c r="D8011" s="212" t="s">
        <v>1202</v>
      </c>
      <c r="E8011" s="534"/>
      <c r="F8011" s="534"/>
      <c r="G8011" s="534"/>
      <c r="H8011" s="534"/>
    </row>
    <row r="8012" spans="3:11" ht="25.8" customHeight="1">
      <c r="C8012" s="818">
        <v>1</v>
      </c>
      <c r="D8012" s="212" t="s">
        <v>5</v>
      </c>
      <c r="E8012" s="212" t="s">
        <v>6</v>
      </c>
      <c r="F8012" s="538">
        <v>0.312</v>
      </c>
      <c r="G8012" s="539">
        <f>VLOOKUP(D8012,upahbahan,3,FALSE)</f>
        <v>100000</v>
      </c>
      <c r="H8012" s="539">
        <f t="shared" ref="H8012:H8015" si="842">F8012*G8012</f>
        <v>31200</v>
      </c>
    </row>
    <row r="8013" spans="3:11" ht="25.8" customHeight="1">
      <c r="C8013" s="818">
        <v>2</v>
      </c>
      <c r="D8013" s="212" t="s">
        <v>17</v>
      </c>
      <c r="E8013" s="212" t="s">
        <v>6</v>
      </c>
      <c r="F8013" s="538">
        <v>0.52100000000000002</v>
      </c>
      <c r="G8013" s="539">
        <f>VLOOKUP(D8013,upahbahan,3,FALSE)</f>
        <v>135000</v>
      </c>
      <c r="H8013" s="539">
        <f t="shared" si="842"/>
        <v>70335</v>
      </c>
    </row>
    <row r="8014" spans="3:11" ht="25.8" customHeight="1">
      <c r="C8014" s="818">
        <v>3</v>
      </c>
      <c r="D8014" s="212" t="s">
        <v>1310</v>
      </c>
      <c r="E8014" s="212" t="s">
        <v>6</v>
      </c>
      <c r="F8014" s="538">
        <v>5.1999999999999998E-2</v>
      </c>
      <c r="G8014" s="539">
        <f>VLOOKUP(D8014,upahbahan,3,FALSE)</f>
        <v>150000</v>
      </c>
      <c r="H8014" s="539">
        <f t="shared" si="842"/>
        <v>7800</v>
      </c>
    </row>
    <row r="8015" spans="3:11" ht="25.8" customHeight="1">
      <c r="C8015" s="818">
        <v>4</v>
      </c>
      <c r="D8015" s="212" t="s">
        <v>19</v>
      </c>
      <c r="E8015" s="212" t="s">
        <v>6</v>
      </c>
      <c r="F8015" s="538">
        <v>1.7000000000000001E-2</v>
      </c>
      <c r="G8015" s="539">
        <f>VLOOKUP(D8015,upahbahan,3,FALSE)</f>
        <v>160000</v>
      </c>
      <c r="H8015" s="539">
        <f t="shared" si="842"/>
        <v>2720</v>
      </c>
    </row>
    <row r="8016" spans="3:11" ht="25.8" customHeight="1">
      <c r="C8016" s="702" t="s">
        <v>1208</v>
      </c>
      <c r="D8016" s="208"/>
      <c r="E8016" s="208"/>
      <c r="F8016" s="811"/>
      <c r="G8016" s="522"/>
      <c r="H8016" s="539">
        <f>SUM(H8012:H8015)</f>
        <v>112055</v>
      </c>
      <c r="I8016" s="819"/>
    </row>
    <row r="8017" spans="3:11" ht="25.8" customHeight="1">
      <c r="C8017" s="213" t="s">
        <v>1209</v>
      </c>
      <c r="D8017" s="212" t="s">
        <v>1210</v>
      </c>
      <c r="E8017" s="534"/>
      <c r="F8017" s="831"/>
      <c r="G8017" s="534"/>
      <c r="H8017" s="534"/>
    </row>
    <row r="8018" spans="3:11" ht="25.8" customHeight="1">
      <c r="C8018" s="213">
        <v>1</v>
      </c>
      <c r="D8018" s="212" t="s">
        <v>6201</v>
      </c>
      <c r="E8018" s="234" t="s">
        <v>3409</v>
      </c>
      <c r="F8018" s="866">
        <v>1.05</v>
      </c>
      <c r="G8018" s="539">
        <f>VLOOKUP(D8018,upahbahan,3,FALSE)</f>
        <v>250000</v>
      </c>
      <c r="H8018" s="539">
        <f t="shared" ref="H8018" si="843">F8018*G8018</f>
        <v>262500</v>
      </c>
    </row>
    <row r="8019" spans="3:11" ht="25.8" customHeight="1">
      <c r="C8019" s="702" t="s">
        <v>1214</v>
      </c>
      <c r="D8019" s="208"/>
      <c r="E8019" s="208" t="s">
        <v>6045</v>
      </c>
      <c r="F8019" s="208"/>
      <c r="G8019" s="209"/>
      <c r="H8019" s="539">
        <f>SUM(H8017:H8018)</f>
        <v>262500</v>
      </c>
    </row>
    <row r="8020" spans="3:11" ht="25.8" customHeight="1">
      <c r="C8020" s="213" t="s">
        <v>1215</v>
      </c>
      <c r="D8020" s="212" t="s">
        <v>1216</v>
      </c>
      <c r="E8020" s="534"/>
      <c r="F8020" s="534"/>
      <c r="G8020" s="534"/>
      <c r="H8020" s="534"/>
    </row>
    <row r="8021" spans="3:11" ht="25.8" customHeight="1">
      <c r="C8021" s="702" t="s">
        <v>1217</v>
      </c>
      <c r="D8021" s="815"/>
      <c r="E8021" s="815"/>
      <c r="F8021" s="815"/>
      <c r="G8021" s="209"/>
      <c r="H8021" s="821">
        <f>SUM(H8020:H8020)</f>
        <v>0</v>
      </c>
    </row>
    <row r="8022" spans="3:11" ht="25.8" customHeight="1">
      <c r="C8022" s="566" t="s">
        <v>1218</v>
      </c>
      <c r="D8022" s="552" t="s">
        <v>1219</v>
      </c>
      <c r="E8022" s="553"/>
      <c r="F8022" s="553"/>
      <c r="G8022" s="554"/>
      <c r="H8022" s="826">
        <f>H8021+H8019+H8016</f>
        <v>374555</v>
      </c>
      <c r="I8022" s="827"/>
    </row>
    <row r="8023" spans="3:11" ht="25.8" customHeight="1">
      <c r="C8023" s="566" t="s">
        <v>1220</v>
      </c>
      <c r="D8023" s="552" t="s">
        <v>1321</v>
      </c>
      <c r="E8023" s="553"/>
      <c r="F8023" s="554"/>
      <c r="G8023" s="555">
        <f>$M$9</f>
        <v>0.1</v>
      </c>
      <c r="H8023" s="539">
        <f>H8022*G8023</f>
        <v>37455.5</v>
      </c>
      <c r="I8023" s="827"/>
    </row>
    <row r="8024" spans="3:11" ht="25.8" customHeight="1">
      <c r="C8024" s="566" t="s">
        <v>1221</v>
      </c>
      <c r="D8024" s="552" t="s">
        <v>1222</v>
      </c>
      <c r="E8024" s="553"/>
      <c r="F8024" s="553"/>
      <c r="G8024" s="554"/>
      <c r="H8024" s="828">
        <f>SUM(H8022:H8023)</f>
        <v>412010.5</v>
      </c>
      <c r="I8024" s="827"/>
    </row>
    <row r="8025" spans="3:11" ht="25.8" customHeight="1"/>
    <row r="8026" spans="3:11" ht="25.8" customHeight="1">
      <c r="C8026" s="513" t="s">
        <v>6202</v>
      </c>
      <c r="D8026" s="817" t="s">
        <v>6203</v>
      </c>
      <c r="E8026" s="803"/>
      <c r="F8026" s="803"/>
      <c r="G8026" s="803"/>
      <c r="H8026" s="803"/>
      <c r="I8026" s="533">
        <f>ROUNDDOWN(H8041,-2)</f>
        <v>193900</v>
      </c>
      <c r="J8026" s="536"/>
      <c r="K8026" s="824"/>
    </row>
    <row r="8027" spans="3:11" ht="25.8" customHeight="1">
      <c r="C8027" s="716" t="s">
        <v>1195</v>
      </c>
      <c r="D8027" s="716" t="s">
        <v>1196</v>
      </c>
      <c r="E8027" s="716" t="s">
        <v>1197</v>
      </c>
      <c r="F8027" s="716" t="s">
        <v>1198</v>
      </c>
      <c r="G8027" s="716" t="s">
        <v>1199</v>
      </c>
      <c r="H8027" s="716" t="s">
        <v>1200</v>
      </c>
    </row>
    <row r="8028" spans="3:11" ht="25.8" customHeight="1">
      <c r="C8028" s="213" t="s">
        <v>1201</v>
      </c>
      <c r="D8028" s="212" t="s">
        <v>1202</v>
      </c>
      <c r="E8028" s="534"/>
      <c r="F8028" s="534"/>
      <c r="G8028" s="534"/>
      <c r="H8028" s="534"/>
    </row>
    <row r="8029" spans="3:11" ht="25.8" customHeight="1">
      <c r="C8029" s="818">
        <v>1</v>
      </c>
      <c r="D8029" s="212" t="s">
        <v>5</v>
      </c>
      <c r="E8029" s="212" t="s">
        <v>6</v>
      </c>
      <c r="F8029" s="538">
        <v>5.1999999999999998E-2</v>
      </c>
      <c r="G8029" s="539">
        <f>VLOOKUP(D8029,upahbahan,3,FALSE)</f>
        <v>100000</v>
      </c>
      <c r="H8029" s="539">
        <f t="shared" ref="H8029:H8032" si="844">F8029*G8029</f>
        <v>5200</v>
      </c>
    </row>
    <row r="8030" spans="3:11" ht="25.8" customHeight="1">
      <c r="C8030" s="818">
        <v>2</v>
      </c>
      <c r="D8030" s="212" t="s">
        <v>17</v>
      </c>
      <c r="E8030" s="212" t="s">
        <v>6</v>
      </c>
      <c r="F8030" s="538">
        <v>8.6999999999999994E-2</v>
      </c>
      <c r="G8030" s="539">
        <f>VLOOKUP(D8030,upahbahan,3,FALSE)</f>
        <v>135000</v>
      </c>
      <c r="H8030" s="539">
        <f t="shared" si="844"/>
        <v>11745</v>
      </c>
    </row>
    <row r="8031" spans="3:11" ht="25.8" customHeight="1">
      <c r="C8031" s="818">
        <v>3</v>
      </c>
      <c r="D8031" s="212" t="s">
        <v>1310</v>
      </c>
      <c r="E8031" s="212" t="s">
        <v>6</v>
      </c>
      <c r="F8031" s="538">
        <v>8.9999999999999993E-3</v>
      </c>
      <c r="G8031" s="539">
        <f>VLOOKUP(D8031,upahbahan,3,FALSE)</f>
        <v>150000</v>
      </c>
      <c r="H8031" s="539">
        <f t="shared" si="844"/>
        <v>1350</v>
      </c>
    </row>
    <row r="8032" spans="3:11" ht="25.8" customHeight="1">
      <c r="C8032" s="818">
        <v>4</v>
      </c>
      <c r="D8032" s="212" t="s">
        <v>19</v>
      </c>
      <c r="E8032" s="212" t="s">
        <v>6</v>
      </c>
      <c r="F8032" s="538">
        <v>3.0000000000000001E-3</v>
      </c>
      <c r="G8032" s="539">
        <f>VLOOKUP(D8032,upahbahan,3,FALSE)</f>
        <v>160000</v>
      </c>
      <c r="H8032" s="539">
        <f t="shared" si="844"/>
        <v>480</v>
      </c>
    </row>
    <row r="8033" spans="3:11" ht="25.8" customHeight="1">
      <c r="C8033" s="702" t="s">
        <v>1208</v>
      </c>
      <c r="D8033" s="208"/>
      <c r="E8033" s="208"/>
      <c r="F8033" s="811"/>
      <c r="G8033" s="522"/>
      <c r="H8033" s="539">
        <f>SUM(H8029:H8032)</f>
        <v>18775</v>
      </c>
      <c r="I8033" s="819"/>
    </row>
    <row r="8034" spans="3:11" ht="25.8" customHeight="1">
      <c r="C8034" s="213" t="s">
        <v>1209</v>
      </c>
      <c r="D8034" s="212" t="s">
        <v>1210</v>
      </c>
      <c r="E8034" s="534"/>
      <c r="F8034" s="831"/>
      <c r="G8034" s="534"/>
      <c r="H8034" s="534"/>
    </row>
    <row r="8035" spans="3:11" ht="25.8" customHeight="1">
      <c r="C8035" s="213">
        <v>1</v>
      </c>
      <c r="D8035" s="212" t="s">
        <v>6204</v>
      </c>
      <c r="E8035" s="234" t="s">
        <v>3409</v>
      </c>
      <c r="F8035" s="866">
        <v>1.05</v>
      </c>
      <c r="G8035" s="539">
        <f>VLOOKUP(D8035,upahbahan,3,FALSE)</f>
        <v>150000</v>
      </c>
      <c r="H8035" s="539">
        <f t="shared" ref="H8035" si="845">F8035*G8035</f>
        <v>157500</v>
      </c>
    </row>
    <row r="8036" spans="3:11" ht="25.8" customHeight="1">
      <c r="C8036" s="702" t="s">
        <v>1214</v>
      </c>
      <c r="D8036" s="208"/>
      <c r="E8036" s="208" t="s">
        <v>6045</v>
      </c>
      <c r="F8036" s="208"/>
      <c r="G8036" s="209"/>
      <c r="H8036" s="539">
        <f>SUM(H8034:H8035)</f>
        <v>157500</v>
      </c>
    </row>
    <row r="8037" spans="3:11" ht="25.8" customHeight="1">
      <c r="C8037" s="213" t="s">
        <v>1215</v>
      </c>
      <c r="D8037" s="212" t="s">
        <v>1216</v>
      </c>
      <c r="E8037" s="534"/>
      <c r="F8037" s="534"/>
      <c r="G8037" s="534"/>
      <c r="H8037" s="534"/>
    </row>
    <row r="8038" spans="3:11" ht="25.8" customHeight="1">
      <c r="C8038" s="702" t="s">
        <v>1217</v>
      </c>
      <c r="D8038" s="815"/>
      <c r="E8038" s="815"/>
      <c r="F8038" s="815"/>
      <c r="G8038" s="209"/>
      <c r="H8038" s="821">
        <f>SUM(H8037:H8037)</f>
        <v>0</v>
      </c>
    </row>
    <row r="8039" spans="3:11" ht="25.8" customHeight="1">
      <c r="C8039" s="566" t="s">
        <v>1218</v>
      </c>
      <c r="D8039" s="552" t="s">
        <v>1219</v>
      </c>
      <c r="E8039" s="553"/>
      <c r="F8039" s="553"/>
      <c r="G8039" s="554"/>
      <c r="H8039" s="826">
        <f>H8038+H8036+H8033</f>
        <v>176275</v>
      </c>
      <c r="I8039" s="827"/>
    </row>
    <row r="8040" spans="3:11" ht="25.8" customHeight="1">
      <c r="C8040" s="566" t="s">
        <v>1220</v>
      </c>
      <c r="D8040" s="552" t="s">
        <v>1321</v>
      </c>
      <c r="E8040" s="553"/>
      <c r="F8040" s="554"/>
      <c r="G8040" s="555">
        <f>$M$9</f>
        <v>0.1</v>
      </c>
      <c r="H8040" s="539">
        <f>H8039*G8040</f>
        <v>17627.5</v>
      </c>
      <c r="I8040" s="827"/>
    </row>
    <row r="8041" spans="3:11" ht="25.8" customHeight="1">
      <c r="C8041" s="566" t="s">
        <v>1221</v>
      </c>
      <c r="D8041" s="552" t="s">
        <v>1222</v>
      </c>
      <c r="E8041" s="553"/>
      <c r="F8041" s="553"/>
      <c r="G8041" s="554"/>
      <c r="H8041" s="828">
        <f>SUM(H8039:H8040)</f>
        <v>193902.5</v>
      </c>
      <c r="I8041" s="827"/>
    </row>
    <row r="8042" spans="3:11" ht="25.8" customHeight="1"/>
    <row r="8043" spans="3:11" ht="25.8" customHeight="1">
      <c r="C8043" s="513" t="s">
        <v>6205</v>
      </c>
      <c r="D8043" s="817" t="s">
        <v>6206</v>
      </c>
      <c r="E8043" s="803"/>
      <c r="F8043" s="803"/>
      <c r="G8043" s="803"/>
      <c r="H8043" s="803"/>
      <c r="I8043" s="533">
        <f>ROUNDDOWN(H8064,-2)</f>
        <v>2363100</v>
      </c>
      <c r="J8043" s="536"/>
      <c r="K8043" s="824"/>
    </row>
    <row r="8044" spans="3:11" ht="25.8" customHeight="1">
      <c r="C8044" s="716" t="s">
        <v>1195</v>
      </c>
      <c r="D8044" s="716" t="s">
        <v>1196</v>
      </c>
      <c r="E8044" s="716" t="s">
        <v>1197</v>
      </c>
      <c r="F8044" s="716" t="s">
        <v>1198</v>
      </c>
      <c r="G8044" s="716" t="s">
        <v>1199</v>
      </c>
      <c r="H8044" s="716" t="s">
        <v>1200</v>
      </c>
    </row>
    <row r="8045" spans="3:11" ht="25.8" customHeight="1">
      <c r="C8045" s="213" t="s">
        <v>1201</v>
      </c>
      <c r="D8045" s="212" t="s">
        <v>1202</v>
      </c>
      <c r="E8045" s="534"/>
      <c r="F8045" s="534"/>
      <c r="G8045" s="534"/>
      <c r="H8045" s="534"/>
    </row>
    <row r="8046" spans="3:11" ht="25.8" customHeight="1">
      <c r="C8046" s="818">
        <v>1</v>
      </c>
      <c r="D8046" s="212" t="s">
        <v>5</v>
      </c>
      <c r="E8046" s="212" t="s">
        <v>6</v>
      </c>
      <c r="F8046" s="538">
        <v>5.1999999999999998E-2</v>
      </c>
      <c r="G8046" s="539">
        <f>VLOOKUP(D8046,upahbahan,3,FALSE)</f>
        <v>100000</v>
      </c>
      <c r="H8046" s="539">
        <f t="shared" ref="H8046:H8049" si="846">F8046*G8046</f>
        <v>5200</v>
      </c>
    </row>
    <row r="8047" spans="3:11" ht="25.8" customHeight="1">
      <c r="C8047" s="818">
        <v>2</v>
      </c>
      <c r="D8047" s="212" t="s">
        <v>17</v>
      </c>
      <c r="E8047" s="212" t="s">
        <v>6</v>
      </c>
      <c r="F8047" s="538">
        <v>8.6999999999999994E-2</v>
      </c>
      <c r="G8047" s="539">
        <f>VLOOKUP(D8047,upahbahan,3,FALSE)</f>
        <v>135000</v>
      </c>
      <c r="H8047" s="539">
        <f t="shared" si="846"/>
        <v>11745</v>
      </c>
    </row>
    <row r="8048" spans="3:11" ht="25.8" customHeight="1">
      <c r="C8048" s="818">
        <v>3</v>
      </c>
      <c r="D8048" s="212" t="s">
        <v>1310</v>
      </c>
      <c r="E8048" s="212" t="s">
        <v>6</v>
      </c>
      <c r="F8048" s="538">
        <v>8.9999999999999993E-3</v>
      </c>
      <c r="G8048" s="539">
        <f>VLOOKUP(D8048,upahbahan,3,FALSE)</f>
        <v>150000</v>
      </c>
      <c r="H8048" s="539">
        <f t="shared" si="846"/>
        <v>1350</v>
      </c>
    </row>
    <row r="8049" spans="3:9" ht="25.8" customHeight="1">
      <c r="C8049" s="818">
        <v>4</v>
      </c>
      <c r="D8049" s="212" t="s">
        <v>19</v>
      </c>
      <c r="E8049" s="212" t="s">
        <v>6</v>
      </c>
      <c r="F8049" s="538">
        <v>3.0000000000000001E-3</v>
      </c>
      <c r="G8049" s="539">
        <f>VLOOKUP(D8049,upahbahan,3,FALSE)</f>
        <v>160000</v>
      </c>
      <c r="H8049" s="539">
        <f t="shared" si="846"/>
        <v>480</v>
      </c>
    </row>
    <row r="8050" spans="3:9" ht="25.8" customHeight="1">
      <c r="C8050" s="702" t="s">
        <v>1208</v>
      </c>
      <c r="D8050" s="208"/>
      <c r="E8050" s="208"/>
      <c r="F8050" s="811"/>
      <c r="G8050" s="522"/>
      <c r="H8050" s="539">
        <f>SUM(H8046:H8049)</f>
        <v>18775</v>
      </c>
      <c r="I8050" s="819"/>
    </row>
    <row r="8051" spans="3:9" ht="25.8" customHeight="1">
      <c r="C8051" s="213" t="s">
        <v>1209</v>
      </c>
      <c r="D8051" s="212" t="s">
        <v>1210</v>
      </c>
      <c r="E8051" s="534"/>
      <c r="F8051" s="831"/>
      <c r="G8051" s="534"/>
      <c r="H8051" s="534"/>
    </row>
    <row r="8052" spans="3:9" ht="25.8" customHeight="1">
      <c r="C8052" s="213">
        <v>1</v>
      </c>
      <c r="D8052" s="212" t="s">
        <v>3385</v>
      </c>
      <c r="E8052" s="234" t="s">
        <v>1300</v>
      </c>
      <c r="F8052" s="866">
        <v>52.8</v>
      </c>
      <c r="G8052" s="539">
        <f t="shared" ref="G8052:G8058" si="847">VLOOKUP(D8052,upahbahan,3,FALSE)</f>
        <v>0</v>
      </c>
      <c r="H8052" s="539">
        <f t="shared" ref="H8052:H8057" si="848">F8052*G8052</f>
        <v>0</v>
      </c>
    </row>
    <row r="8053" spans="3:9" ht="25.8" customHeight="1">
      <c r="C8053" s="213">
        <v>2</v>
      </c>
      <c r="D8053" s="212" t="s">
        <v>3542</v>
      </c>
      <c r="E8053" s="234" t="s">
        <v>1300</v>
      </c>
      <c r="F8053" s="866">
        <v>52.8</v>
      </c>
      <c r="G8053" s="539">
        <f t="shared" si="847"/>
        <v>16195.5</v>
      </c>
      <c r="H8053" s="539">
        <f t="shared" si="848"/>
        <v>855122.39999999991</v>
      </c>
    </row>
    <row r="8054" spans="3:9" ht="25.8" customHeight="1">
      <c r="C8054" s="213">
        <v>3</v>
      </c>
      <c r="D8054" s="212" t="s">
        <v>3540</v>
      </c>
      <c r="E8054" s="234" t="s">
        <v>44</v>
      </c>
      <c r="F8054" s="866">
        <v>1</v>
      </c>
      <c r="G8054" s="539">
        <f t="shared" si="847"/>
        <v>3600</v>
      </c>
      <c r="H8054" s="539">
        <f t="shared" si="848"/>
        <v>3600</v>
      </c>
    </row>
    <row r="8055" spans="3:9" ht="25.8" customHeight="1">
      <c r="C8055" s="213">
        <v>4</v>
      </c>
      <c r="D8055" s="212" t="s">
        <v>3541</v>
      </c>
      <c r="E8055" s="234" t="s">
        <v>44</v>
      </c>
      <c r="F8055" s="866">
        <v>27</v>
      </c>
      <c r="G8055" s="539">
        <f t="shared" si="847"/>
        <v>700</v>
      </c>
      <c r="H8055" s="539">
        <f t="shared" si="848"/>
        <v>18900</v>
      </c>
    </row>
    <row r="8056" spans="3:9" ht="25.8" customHeight="1">
      <c r="C8056" s="213">
        <v>5</v>
      </c>
      <c r="D8056" s="212" t="s">
        <v>5816</v>
      </c>
      <c r="E8056" s="234" t="s">
        <v>44</v>
      </c>
      <c r="F8056" s="866">
        <v>54</v>
      </c>
      <c r="G8056" s="539">
        <f t="shared" si="847"/>
        <v>891</v>
      </c>
      <c r="H8056" s="539">
        <f t="shared" si="848"/>
        <v>48114</v>
      </c>
    </row>
    <row r="8057" spans="3:9" ht="25.8" customHeight="1">
      <c r="C8057" s="213">
        <v>6</v>
      </c>
      <c r="D8057" s="212" t="s">
        <v>5818</v>
      </c>
      <c r="E8057" s="234" t="s">
        <v>44</v>
      </c>
      <c r="F8057" s="866">
        <v>1</v>
      </c>
      <c r="G8057" s="539">
        <f t="shared" si="847"/>
        <v>952.2</v>
      </c>
      <c r="H8057" s="539">
        <f t="shared" si="848"/>
        <v>952.2</v>
      </c>
    </row>
    <row r="8058" spans="3:9" ht="25.8" customHeight="1">
      <c r="C8058" s="213">
        <v>7</v>
      </c>
      <c r="D8058" s="212" t="s">
        <v>3545</v>
      </c>
      <c r="E8058" s="234" t="s">
        <v>44</v>
      </c>
      <c r="F8058" s="866">
        <v>81</v>
      </c>
      <c r="G8058" s="539">
        <f t="shared" si="847"/>
        <v>14850</v>
      </c>
      <c r="H8058" s="539">
        <f t="shared" ref="H8058" si="849">F8058*G8058</f>
        <v>1202850</v>
      </c>
    </row>
    <row r="8059" spans="3:9" ht="25.8" customHeight="1">
      <c r="C8059" s="702" t="s">
        <v>1214</v>
      </c>
      <c r="D8059" s="208"/>
      <c r="E8059" s="208" t="s">
        <v>6045</v>
      </c>
      <c r="F8059" s="208"/>
      <c r="G8059" s="209"/>
      <c r="H8059" s="539">
        <f>SUM(H8051:H8058)</f>
        <v>2129538.5999999996</v>
      </c>
    </row>
    <row r="8060" spans="3:9" ht="25.8" customHeight="1">
      <c r="C8060" s="213" t="s">
        <v>1215</v>
      </c>
      <c r="D8060" s="212" t="s">
        <v>1216</v>
      </c>
      <c r="E8060" s="534"/>
      <c r="F8060" s="534"/>
      <c r="G8060" s="534"/>
      <c r="H8060" s="534"/>
    </row>
    <row r="8061" spans="3:9" ht="25.8" customHeight="1">
      <c r="C8061" s="702" t="s">
        <v>1217</v>
      </c>
      <c r="D8061" s="815"/>
      <c r="E8061" s="815"/>
      <c r="F8061" s="815"/>
      <c r="G8061" s="209"/>
      <c r="H8061" s="821">
        <f>SUM(H8060:H8060)</f>
        <v>0</v>
      </c>
    </row>
    <row r="8062" spans="3:9" ht="25.8" customHeight="1">
      <c r="C8062" s="566" t="s">
        <v>1218</v>
      </c>
      <c r="D8062" s="552" t="s">
        <v>1219</v>
      </c>
      <c r="E8062" s="553"/>
      <c r="F8062" s="553"/>
      <c r="G8062" s="554"/>
      <c r="H8062" s="826">
        <f>H8061+H8059+H8050</f>
        <v>2148313.5999999996</v>
      </c>
      <c r="I8062" s="827"/>
    </row>
    <row r="8063" spans="3:9" ht="25.8" customHeight="1">
      <c r="C8063" s="566" t="s">
        <v>1220</v>
      </c>
      <c r="D8063" s="552" t="s">
        <v>1321</v>
      </c>
      <c r="E8063" s="553"/>
      <c r="F8063" s="554"/>
      <c r="G8063" s="555">
        <f>$M$9</f>
        <v>0.1</v>
      </c>
      <c r="H8063" s="539">
        <f>H8062*G8063</f>
        <v>214831.35999999999</v>
      </c>
      <c r="I8063" s="827"/>
    </row>
    <row r="8064" spans="3:9" ht="25.8" customHeight="1">
      <c r="C8064" s="566" t="s">
        <v>1221</v>
      </c>
      <c r="D8064" s="552" t="s">
        <v>1222</v>
      </c>
      <c r="E8064" s="553"/>
      <c r="F8064" s="553"/>
      <c r="G8064" s="554"/>
      <c r="H8064" s="828">
        <f>SUM(H8062:H8063)</f>
        <v>2363144.9599999995</v>
      </c>
      <c r="I8064" s="827"/>
    </row>
    <row r="8065" spans="3:11" ht="25.8" customHeight="1"/>
    <row r="8066" spans="3:11" ht="25.8" customHeight="1">
      <c r="C8066" s="513" t="s">
        <v>6207</v>
      </c>
      <c r="D8066" s="817" t="s">
        <v>6208</v>
      </c>
      <c r="E8066" s="803"/>
      <c r="F8066" s="803"/>
      <c r="G8066" s="803"/>
      <c r="H8066" s="803"/>
      <c r="I8066" s="533">
        <f>ROUNDDOWN(H8081,-2)</f>
        <v>53600</v>
      </c>
      <c r="J8066" s="536"/>
      <c r="K8066" s="824"/>
    </row>
    <row r="8067" spans="3:11" ht="25.8" customHeight="1">
      <c r="C8067" s="716" t="s">
        <v>1195</v>
      </c>
      <c r="D8067" s="716" t="s">
        <v>1196</v>
      </c>
      <c r="E8067" s="716" t="s">
        <v>1197</v>
      </c>
      <c r="F8067" s="716" t="s">
        <v>1198</v>
      </c>
      <c r="G8067" s="716" t="s">
        <v>1199</v>
      </c>
      <c r="H8067" s="716" t="s">
        <v>1200</v>
      </c>
    </row>
    <row r="8068" spans="3:11" ht="25.8" customHeight="1">
      <c r="C8068" s="213" t="s">
        <v>1201</v>
      </c>
      <c r="D8068" s="212" t="s">
        <v>1202</v>
      </c>
      <c r="E8068" s="534"/>
      <c r="F8068" s="534"/>
      <c r="G8068" s="534"/>
      <c r="H8068" s="534"/>
    </row>
    <row r="8069" spans="3:11" ht="25.8" customHeight="1">
      <c r="C8069" s="818">
        <v>1</v>
      </c>
      <c r="D8069" s="212" t="s">
        <v>5</v>
      </c>
      <c r="E8069" s="212" t="s">
        <v>6</v>
      </c>
      <c r="F8069" s="538">
        <v>4.8000000000000001E-2</v>
      </c>
      <c r="G8069" s="539">
        <f>VLOOKUP(D8069,upahbahan,3,FALSE)</f>
        <v>100000</v>
      </c>
      <c r="H8069" s="539">
        <f t="shared" ref="H8069:H8072" si="850">F8069*G8069</f>
        <v>4800</v>
      </c>
    </row>
    <row r="8070" spans="3:11" ht="25.8" customHeight="1">
      <c r="C8070" s="818">
        <v>2</v>
      </c>
      <c r="D8070" s="212" t="s">
        <v>17</v>
      </c>
      <c r="E8070" s="212" t="s">
        <v>6</v>
      </c>
      <c r="F8070" s="538">
        <v>0.08</v>
      </c>
      <c r="G8070" s="539">
        <f>VLOOKUP(D8070,upahbahan,3,FALSE)</f>
        <v>135000</v>
      </c>
      <c r="H8070" s="539">
        <f t="shared" si="850"/>
        <v>10800</v>
      </c>
    </row>
    <row r="8071" spans="3:11" ht="25.8" customHeight="1">
      <c r="C8071" s="818">
        <v>3</v>
      </c>
      <c r="D8071" s="212" t="s">
        <v>1310</v>
      </c>
      <c r="E8071" s="212" t="s">
        <v>6</v>
      </c>
      <c r="F8071" s="538">
        <v>8.0000000000000002E-3</v>
      </c>
      <c r="G8071" s="539">
        <f>VLOOKUP(D8071,upahbahan,3,FALSE)</f>
        <v>150000</v>
      </c>
      <c r="H8071" s="539">
        <f t="shared" si="850"/>
        <v>1200</v>
      </c>
    </row>
    <row r="8072" spans="3:11" ht="25.8" customHeight="1">
      <c r="C8072" s="818">
        <v>4</v>
      </c>
      <c r="D8072" s="212" t="s">
        <v>19</v>
      </c>
      <c r="E8072" s="212" t="s">
        <v>6</v>
      </c>
      <c r="F8072" s="538">
        <v>3.0000000000000001E-3</v>
      </c>
      <c r="G8072" s="539">
        <f>VLOOKUP(D8072,upahbahan,3,FALSE)</f>
        <v>160000</v>
      </c>
      <c r="H8072" s="539">
        <f t="shared" si="850"/>
        <v>480</v>
      </c>
    </row>
    <row r="8073" spans="3:11" ht="25.8" customHeight="1">
      <c r="C8073" s="702" t="s">
        <v>1208</v>
      </c>
      <c r="D8073" s="208"/>
      <c r="E8073" s="208"/>
      <c r="F8073" s="811"/>
      <c r="G8073" s="522"/>
      <c r="H8073" s="539">
        <f>SUM(H8069:H8072)</f>
        <v>17280</v>
      </c>
      <c r="I8073" s="819"/>
    </row>
    <row r="8074" spans="3:11" ht="25.8" customHeight="1">
      <c r="C8074" s="213" t="s">
        <v>1209</v>
      </c>
      <c r="D8074" s="212" t="s">
        <v>1210</v>
      </c>
      <c r="E8074" s="534"/>
      <c r="F8074" s="831"/>
      <c r="G8074" s="534"/>
      <c r="H8074" s="534"/>
    </row>
    <row r="8075" spans="3:11" ht="25.8" customHeight="1">
      <c r="C8075" s="213">
        <v>1</v>
      </c>
      <c r="D8075" s="212" t="s">
        <v>6209</v>
      </c>
      <c r="E8075" s="234" t="s">
        <v>3182</v>
      </c>
      <c r="F8075" s="866">
        <v>1.05</v>
      </c>
      <c r="G8075" s="539">
        <f>VLOOKUP(D8075,upahbahan,3,FALSE)</f>
        <v>30000</v>
      </c>
      <c r="H8075" s="539">
        <f t="shared" ref="H8075" si="851">F8075*G8075</f>
        <v>31500</v>
      </c>
    </row>
    <row r="8076" spans="3:11" ht="25.8" customHeight="1">
      <c r="C8076" s="702" t="s">
        <v>1214</v>
      </c>
      <c r="D8076" s="208"/>
      <c r="E8076" s="208" t="s">
        <v>6045</v>
      </c>
      <c r="F8076" s="208"/>
      <c r="G8076" s="209"/>
      <c r="H8076" s="539">
        <f>SUM(H8074:H8075)</f>
        <v>31500</v>
      </c>
    </row>
    <row r="8077" spans="3:11" ht="25.8" customHeight="1">
      <c r="C8077" s="213" t="s">
        <v>1215</v>
      </c>
      <c r="D8077" s="212" t="s">
        <v>1216</v>
      </c>
      <c r="E8077" s="534"/>
      <c r="F8077" s="534"/>
      <c r="G8077" s="534"/>
      <c r="H8077" s="534"/>
    </row>
    <row r="8078" spans="3:11" ht="25.8" customHeight="1">
      <c r="C8078" s="702" t="s">
        <v>1217</v>
      </c>
      <c r="D8078" s="815"/>
      <c r="E8078" s="815"/>
      <c r="F8078" s="815"/>
      <c r="G8078" s="209"/>
      <c r="H8078" s="821">
        <f>SUM(H8077:H8077)</f>
        <v>0</v>
      </c>
    </row>
    <row r="8079" spans="3:11" ht="25.8" customHeight="1">
      <c r="C8079" s="566" t="s">
        <v>1218</v>
      </c>
      <c r="D8079" s="552" t="s">
        <v>1219</v>
      </c>
      <c r="E8079" s="553"/>
      <c r="F8079" s="553"/>
      <c r="G8079" s="554"/>
      <c r="H8079" s="826">
        <f>H8078+H8076+H8073</f>
        <v>48780</v>
      </c>
      <c r="I8079" s="827"/>
    </row>
    <row r="8080" spans="3:11" ht="25.8" customHeight="1">
      <c r="C8080" s="566" t="s">
        <v>1220</v>
      </c>
      <c r="D8080" s="552" t="s">
        <v>1321</v>
      </c>
      <c r="E8080" s="553"/>
      <c r="F8080" s="554"/>
      <c r="G8080" s="555">
        <f>$M$9</f>
        <v>0.1</v>
      </c>
      <c r="H8080" s="539">
        <f>H8079*G8080</f>
        <v>4878</v>
      </c>
      <c r="I8080" s="827"/>
    </row>
    <row r="8081" spans="3:11" ht="25.8" customHeight="1">
      <c r="C8081" s="566" t="s">
        <v>1221</v>
      </c>
      <c r="D8081" s="552" t="s">
        <v>1222</v>
      </c>
      <c r="E8081" s="553"/>
      <c r="F8081" s="553"/>
      <c r="G8081" s="554"/>
      <c r="H8081" s="828">
        <f>SUM(H8079:H8080)</f>
        <v>53658</v>
      </c>
      <c r="I8081" s="827"/>
    </row>
    <row r="8082" spans="3:11" ht="25.8" customHeight="1"/>
    <row r="8083" spans="3:11" ht="25.8" customHeight="1"/>
    <row r="8084" spans="3:11" ht="25.8" customHeight="1">
      <c r="C8084" s="513" t="s">
        <v>6210</v>
      </c>
      <c r="D8084" s="817" t="s">
        <v>6211</v>
      </c>
      <c r="E8084" s="803"/>
      <c r="F8084" s="803"/>
      <c r="G8084" s="803"/>
      <c r="H8084" s="803"/>
      <c r="I8084" s="533">
        <f>ROUNDDOWN(H8099,-2)</f>
        <v>702800</v>
      </c>
      <c r="J8084" s="536"/>
      <c r="K8084" s="824"/>
    </row>
    <row r="8085" spans="3:11" ht="25.8" customHeight="1">
      <c r="C8085" s="716" t="s">
        <v>1195</v>
      </c>
      <c r="D8085" s="716" t="s">
        <v>1196</v>
      </c>
      <c r="E8085" s="716" t="s">
        <v>1197</v>
      </c>
      <c r="F8085" s="716" t="s">
        <v>1198</v>
      </c>
      <c r="G8085" s="716" t="s">
        <v>1199</v>
      </c>
      <c r="H8085" s="716" t="s">
        <v>1200</v>
      </c>
    </row>
    <row r="8086" spans="3:11" ht="25.8" customHeight="1">
      <c r="C8086" s="213" t="s">
        <v>1201</v>
      </c>
      <c r="D8086" s="212" t="s">
        <v>1202</v>
      </c>
      <c r="E8086" s="534"/>
      <c r="F8086" s="534"/>
      <c r="G8086" s="534"/>
      <c r="H8086" s="534"/>
    </row>
    <row r="8087" spans="3:11" ht="25.8" customHeight="1">
      <c r="C8087" s="818">
        <v>1</v>
      </c>
      <c r="D8087" s="212" t="s">
        <v>5</v>
      </c>
      <c r="E8087" s="212" t="s">
        <v>6</v>
      </c>
      <c r="F8087" s="538">
        <v>0.317</v>
      </c>
      <c r="G8087" s="539">
        <f>VLOOKUP(D8087,upahbahan,3,FALSE)</f>
        <v>100000</v>
      </c>
      <c r="H8087" s="539">
        <f t="shared" ref="H8087:H8090" si="852">F8087*G8087</f>
        <v>31700</v>
      </c>
    </row>
    <row r="8088" spans="3:11" ht="25.8" customHeight="1">
      <c r="C8088" s="818">
        <v>2</v>
      </c>
      <c r="D8088" s="212" t="s">
        <v>17</v>
      </c>
      <c r="E8088" s="212" t="s">
        <v>6</v>
      </c>
      <c r="F8088" s="538">
        <v>0.52900000000000003</v>
      </c>
      <c r="G8088" s="539">
        <f>VLOOKUP(D8088,upahbahan,3,FALSE)</f>
        <v>135000</v>
      </c>
      <c r="H8088" s="539">
        <f t="shared" si="852"/>
        <v>71415</v>
      </c>
    </row>
    <row r="8089" spans="3:11" ht="25.8" customHeight="1">
      <c r="C8089" s="818">
        <v>3</v>
      </c>
      <c r="D8089" s="212" t="s">
        <v>1310</v>
      </c>
      <c r="E8089" s="212" t="s">
        <v>6</v>
      </c>
      <c r="F8089" s="538">
        <v>5.2999999999999999E-2</v>
      </c>
      <c r="G8089" s="539">
        <f>VLOOKUP(D8089,upahbahan,3,FALSE)</f>
        <v>150000</v>
      </c>
      <c r="H8089" s="539">
        <f t="shared" si="852"/>
        <v>7950</v>
      </c>
    </row>
    <row r="8090" spans="3:11" ht="25.8" customHeight="1">
      <c r="C8090" s="818">
        <v>4</v>
      </c>
      <c r="D8090" s="212" t="s">
        <v>19</v>
      </c>
      <c r="E8090" s="212" t="s">
        <v>6</v>
      </c>
      <c r="F8090" s="538">
        <v>1.7999999999999999E-2</v>
      </c>
      <c r="G8090" s="539">
        <f>VLOOKUP(D8090,upahbahan,3,FALSE)</f>
        <v>160000</v>
      </c>
      <c r="H8090" s="539">
        <f t="shared" si="852"/>
        <v>2880</v>
      </c>
    </row>
    <row r="8091" spans="3:11" ht="25.8" customHeight="1">
      <c r="C8091" s="702" t="s">
        <v>1208</v>
      </c>
      <c r="D8091" s="208"/>
      <c r="E8091" s="208"/>
      <c r="F8091" s="811"/>
      <c r="G8091" s="522"/>
      <c r="H8091" s="539">
        <f>SUM(H8087:H8090)</f>
        <v>113945</v>
      </c>
      <c r="I8091" s="819"/>
    </row>
    <row r="8092" spans="3:11" ht="25.8" customHeight="1">
      <c r="C8092" s="213" t="s">
        <v>1209</v>
      </c>
      <c r="D8092" s="212" t="s">
        <v>1210</v>
      </c>
      <c r="E8092" s="534"/>
      <c r="F8092" s="831"/>
      <c r="G8092" s="534"/>
      <c r="H8092" s="534"/>
    </row>
    <row r="8093" spans="3:11" ht="25.8" customHeight="1">
      <c r="C8093" s="213">
        <v>1</v>
      </c>
      <c r="D8093" s="212" t="s">
        <v>6212</v>
      </c>
      <c r="E8093" s="234" t="s">
        <v>3182</v>
      </c>
      <c r="F8093" s="866">
        <v>1.05</v>
      </c>
      <c r="G8093" s="539">
        <f>VLOOKUP(D8093,upahbahan,3,FALSE)</f>
        <v>500000</v>
      </c>
      <c r="H8093" s="539">
        <f t="shared" ref="H8093" si="853">F8093*G8093</f>
        <v>525000</v>
      </c>
    </row>
    <row r="8094" spans="3:11" ht="25.8" customHeight="1">
      <c r="C8094" s="702" t="s">
        <v>1214</v>
      </c>
      <c r="D8094" s="208"/>
      <c r="E8094" s="208" t="s">
        <v>6045</v>
      </c>
      <c r="F8094" s="208"/>
      <c r="G8094" s="209"/>
      <c r="H8094" s="539">
        <f>SUM(H8092:H8093)</f>
        <v>525000</v>
      </c>
    </row>
    <row r="8095" spans="3:11" ht="25.8" customHeight="1">
      <c r="C8095" s="213" t="s">
        <v>1215</v>
      </c>
      <c r="D8095" s="212" t="s">
        <v>1216</v>
      </c>
      <c r="E8095" s="534"/>
      <c r="F8095" s="534"/>
      <c r="G8095" s="534"/>
      <c r="H8095" s="534"/>
    </row>
    <row r="8096" spans="3:11" ht="25.8" customHeight="1">
      <c r="C8096" s="702" t="s">
        <v>1217</v>
      </c>
      <c r="D8096" s="815"/>
      <c r="E8096" s="815"/>
      <c r="F8096" s="815"/>
      <c r="G8096" s="209"/>
      <c r="H8096" s="821">
        <f>SUM(H8095:H8095)</f>
        <v>0</v>
      </c>
    </row>
    <row r="8097" spans="3:11" ht="25.8" customHeight="1">
      <c r="C8097" s="566" t="s">
        <v>1218</v>
      </c>
      <c r="D8097" s="552" t="s">
        <v>1219</v>
      </c>
      <c r="E8097" s="553"/>
      <c r="F8097" s="553"/>
      <c r="G8097" s="554"/>
      <c r="H8097" s="826">
        <f>H8096+H8094+H8091</f>
        <v>638945</v>
      </c>
      <c r="I8097" s="827"/>
    </row>
    <row r="8098" spans="3:11" ht="25.8" customHeight="1">
      <c r="C8098" s="566" t="s">
        <v>1220</v>
      </c>
      <c r="D8098" s="552" t="s">
        <v>1321</v>
      </c>
      <c r="E8098" s="553"/>
      <c r="F8098" s="554"/>
      <c r="G8098" s="555">
        <f>$M$9</f>
        <v>0.1</v>
      </c>
      <c r="H8098" s="539">
        <f>H8097*G8098</f>
        <v>63894.5</v>
      </c>
      <c r="I8098" s="827"/>
    </row>
    <row r="8099" spans="3:11" ht="25.8" customHeight="1">
      <c r="C8099" s="566" t="s">
        <v>1221</v>
      </c>
      <c r="D8099" s="552" t="s">
        <v>1222</v>
      </c>
      <c r="E8099" s="553"/>
      <c r="F8099" s="553"/>
      <c r="G8099" s="554"/>
      <c r="H8099" s="828">
        <f>SUM(H8097:H8098)</f>
        <v>702839.5</v>
      </c>
      <c r="I8099" s="827"/>
    </row>
    <row r="8100" spans="3:11" ht="25.8" customHeight="1"/>
    <row r="8101" spans="3:11" ht="25.8" customHeight="1"/>
    <row r="8102" spans="3:11" ht="25.8" customHeight="1">
      <c r="C8102" s="513" t="s">
        <v>6213</v>
      </c>
      <c r="D8102" s="817" t="s">
        <v>6214</v>
      </c>
      <c r="E8102" s="803"/>
      <c r="F8102" s="803"/>
      <c r="G8102" s="803"/>
      <c r="H8102" s="803"/>
      <c r="I8102" s="533">
        <f>ROUNDDOWN(H8117,-2)</f>
        <v>1747500</v>
      </c>
      <c r="J8102" s="536"/>
      <c r="K8102" s="824"/>
    </row>
    <row r="8103" spans="3:11" ht="25.8" customHeight="1">
      <c r="C8103" s="716" t="s">
        <v>1195</v>
      </c>
      <c r="D8103" s="716" t="s">
        <v>1196</v>
      </c>
      <c r="E8103" s="716" t="s">
        <v>1197</v>
      </c>
      <c r="F8103" s="716" t="s">
        <v>1198</v>
      </c>
      <c r="G8103" s="716" t="s">
        <v>1199</v>
      </c>
      <c r="H8103" s="716" t="s">
        <v>1200</v>
      </c>
    </row>
    <row r="8104" spans="3:11" ht="25.8" customHeight="1">
      <c r="C8104" s="213" t="s">
        <v>1201</v>
      </c>
      <c r="D8104" s="212" t="s">
        <v>1202</v>
      </c>
      <c r="E8104" s="534"/>
      <c r="F8104" s="534"/>
      <c r="G8104" s="534"/>
      <c r="H8104" s="534"/>
    </row>
    <row r="8105" spans="3:11" ht="25.8" customHeight="1">
      <c r="C8105" s="818">
        <v>1</v>
      </c>
      <c r="D8105" s="212" t="s">
        <v>5</v>
      </c>
      <c r="E8105" s="212" t="s">
        <v>6</v>
      </c>
      <c r="F8105" s="538">
        <v>3.7999999999999999E-2</v>
      </c>
      <c r="G8105" s="539">
        <f>VLOOKUP(D8105,upahbahan,3,FALSE)</f>
        <v>100000</v>
      </c>
      <c r="H8105" s="539">
        <f t="shared" ref="H8105:H8108" si="854">F8105*G8105</f>
        <v>3800</v>
      </c>
    </row>
    <row r="8106" spans="3:11" ht="25.8" customHeight="1">
      <c r="C8106" s="818">
        <v>2</v>
      </c>
      <c r="D8106" s="212" t="s">
        <v>17</v>
      </c>
      <c r="E8106" s="212" t="s">
        <v>6</v>
      </c>
      <c r="F8106" s="538">
        <v>6.4000000000000001E-2</v>
      </c>
      <c r="G8106" s="539">
        <f>VLOOKUP(D8106,upahbahan,3,FALSE)</f>
        <v>135000</v>
      </c>
      <c r="H8106" s="539">
        <f t="shared" si="854"/>
        <v>8640</v>
      </c>
    </row>
    <row r="8107" spans="3:11" ht="25.8" customHeight="1">
      <c r="C8107" s="818">
        <v>3</v>
      </c>
      <c r="D8107" s="212" t="s">
        <v>1310</v>
      </c>
      <c r="E8107" s="212" t="s">
        <v>6</v>
      </c>
      <c r="F8107" s="538">
        <v>6.0000000000000001E-3</v>
      </c>
      <c r="G8107" s="539">
        <f>VLOOKUP(D8107,upahbahan,3,FALSE)</f>
        <v>150000</v>
      </c>
      <c r="H8107" s="539">
        <f t="shared" si="854"/>
        <v>900</v>
      </c>
    </row>
    <row r="8108" spans="3:11" ht="25.8" customHeight="1">
      <c r="C8108" s="818">
        <v>4</v>
      </c>
      <c r="D8108" s="212" t="s">
        <v>19</v>
      </c>
      <c r="E8108" s="212" t="s">
        <v>6</v>
      </c>
      <c r="F8108" s="538">
        <v>2E-3</v>
      </c>
      <c r="G8108" s="539">
        <f>VLOOKUP(D8108,upahbahan,3,FALSE)</f>
        <v>160000</v>
      </c>
      <c r="H8108" s="539">
        <f t="shared" si="854"/>
        <v>320</v>
      </c>
    </row>
    <row r="8109" spans="3:11" ht="25.8" customHeight="1">
      <c r="C8109" s="702" t="s">
        <v>1208</v>
      </c>
      <c r="D8109" s="208"/>
      <c r="E8109" s="208"/>
      <c r="F8109" s="811"/>
      <c r="G8109" s="522"/>
      <c r="H8109" s="539">
        <f>SUM(H8105:H8108)</f>
        <v>13660</v>
      </c>
      <c r="I8109" s="819"/>
    </row>
    <row r="8110" spans="3:11" ht="25.8" customHeight="1">
      <c r="C8110" s="213" t="s">
        <v>1209</v>
      </c>
      <c r="D8110" s="212" t="s">
        <v>1210</v>
      </c>
      <c r="E8110" s="534"/>
      <c r="F8110" s="831"/>
      <c r="G8110" s="534"/>
      <c r="H8110" s="534"/>
    </row>
    <row r="8111" spans="3:11" ht="25.8" customHeight="1">
      <c r="C8111" s="213">
        <v>1</v>
      </c>
      <c r="D8111" s="212" t="s">
        <v>6215</v>
      </c>
      <c r="E8111" s="234" t="s">
        <v>3182</v>
      </c>
      <c r="F8111" s="866">
        <v>1.05</v>
      </c>
      <c r="G8111" s="539">
        <f>VLOOKUP(D8111,upahbahan,3,FALSE)</f>
        <v>1500000</v>
      </c>
      <c r="H8111" s="539">
        <f t="shared" ref="H8111" si="855">F8111*G8111</f>
        <v>1575000</v>
      </c>
    </row>
    <row r="8112" spans="3:11" ht="25.8" customHeight="1">
      <c r="C8112" s="702" t="s">
        <v>1214</v>
      </c>
      <c r="D8112" s="208"/>
      <c r="E8112" s="208" t="s">
        <v>6045</v>
      </c>
      <c r="F8112" s="208"/>
      <c r="G8112" s="209"/>
      <c r="H8112" s="539">
        <f>SUM(H8110:H8111)</f>
        <v>1575000</v>
      </c>
    </row>
    <row r="8113" spans="3:11" ht="25.8" customHeight="1">
      <c r="C8113" s="213" t="s">
        <v>1215</v>
      </c>
      <c r="D8113" s="212" t="s">
        <v>1216</v>
      </c>
      <c r="E8113" s="534"/>
      <c r="F8113" s="534"/>
      <c r="G8113" s="534"/>
      <c r="H8113" s="534"/>
    </row>
    <row r="8114" spans="3:11" ht="25.8" customHeight="1">
      <c r="C8114" s="702" t="s">
        <v>1217</v>
      </c>
      <c r="D8114" s="815"/>
      <c r="E8114" s="815"/>
      <c r="F8114" s="815"/>
      <c r="G8114" s="209"/>
      <c r="H8114" s="821">
        <f>SUM(H8113:H8113)</f>
        <v>0</v>
      </c>
    </row>
    <row r="8115" spans="3:11" ht="25.8" customHeight="1">
      <c r="C8115" s="566" t="s">
        <v>1218</v>
      </c>
      <c r="D8115" s="552" t="s">
        <v>1219</v>
      </c>
      <c r="E8115" s="553"/>
      <c r="F8115" s="553"/>
      <c r="G8115" s="554"/>
      <c r="H8115" s="826">
        <f>H8114+H8112+H8109</f>
        <v>1588660</v>
      </c>
      <c r="I8115" s="827"/>
    </row>
    <row r="8116" spans="3:11" ht="25.8" customHeight="1">
      <c r="C8116" s="566" t="s">
        <v>1220</v>
      </c>
      <c r="D8116" s="552" t="s">
        <v>1321</v>
      </c>
      <c r="E8116" s="553"/>
      <c r="F8116" s="554"/>
      <c r="G8116" s="555">
        <f>$M$9</f>
        <v>0.1</v>
      </c>
      <c r="H8116" s="539">
        <f>H8115*G8116</f>
        <v>158866</v>
      </c>
      <c r="I8116" s="827"/>
    </row>
    <row r="8117" spans="3:11" ht="25.8" customHeight="1">
      <c r="C8117" s="566" t="s">
        <v>1221</v>
      </c>
      <c r="D8117" s="552" t="s">
        <v>1222</v>
      </c>
      <c r="E8117" s="553"/>
      <c r="F8117" s="553"/>
      <c r="G8117" s="554"/>
      <c r="H8117" s="828">
        <f>SUM(H8115:H8116)</f>
        <v>1747526</v>
      </c>
      <c r="I8117" s="827"/>
    </row>
    <row r="8118" spans="3:11" ht="25.8" customHeight="1"/>
    <row r="8119" spans="3:11" ht="25.8" customHeight="1"/>
    <row r="8120" spans="3:11" ht="25.8" customHeight="1">
      <c r="C8120" s="513" t="s">
        <v>6216</v>
      </c>
      <c r="D8120" s="817" t="s">
        <v>6217</v>
      </c>
      <c r="E8120" s="803"/>
      <c r="F8120" s="803"/>
      <c r="G8120" s="803"/>
      <c r="H8120" s="803"/>
      <c r="I8120" s="533">
        <f>ROUNDDOWN(H8138,-2)</f>
        <v>1229600</v>
      </c>
      <c r="J8120" s="536"/>
      <c r="K8120" s="824"/>
    </row>
    <row r="8121" spans="3:11" ht="25.8" customHeight="1">
      <c r="C8121" s="716" t="s">
        <v>1195</v>
      </c>
      <c r="D8121" s="716" t="s">
        <v>1196</v>
      </c>
      <c r="E8121" s="716" t="s">
        <v>1197</v>
      </c>
      <c r="F8121" s="716" t="s">
        <v>1198</v>
      </c>
      <c r="G8121" s="716" t="s">
        <v>1199</v>
      </c>
      <c r="H8121" s="716" t="s">
        <v>1200</v>
      </c>
    </row>
    <row r="8122" spans="3:11" ht="25.8" customHeight="1">
      <c r="C8122" s="213" t="s">
        <v>1201</v>
      </c>
      <c r="D8122" s="212" t="s">
        <v>1202</v>
      </c>
      <c r="E8122" s="534"/>
      <c r="F8122" s="534"/>
      <c r="G8122" s="534"/>
      <c r="H8122" s="534"/>
    </row>
    <row r="8123" spans="3:11" ht="25.8" customHeight="1">
      <c r="C8123" s="818">
        <v>1</v>
      </c>
      <c r="D8123" s="212" t="s">
        <v>5</v>
      </c>
      <c r="E8123" s="212" t="s">
        <v>6</v>
      </c>
      <c r="F8123" s="538">
        <v>0.76</v>
      </c>
      <c r="G8123" s="539">
        <f>VLOOKUP(D8123,upahbahan,3,FALSE)</f>
        <v>100000</v>
      </c>
      <c r="H8123" s="539">
        <f t="shared" ref="H8123:H8126" si="856">F8123*G8123</f>
        <v>76000</v>
      </c>
    </row>
    <row r="8124" spans="3:11" ht="25.8" customHeight="1">
      <c r="C8124" s="818">
        <v>2</v>
      </c>
      <c r="D8124" s="212" t="s">
        <v>17</v>
      </c>
      <c r="E8124" s="212" t="s">
        <v>6</v>
      </c>
      <c r="F8124" s="538">
        <v>1.286</v>
      </c>
      <c r="G8124" s="539">
        <f>VLOOKUP(D8124,upahbahan,3,FALSE)</f>
        <v>135000</v>
      </c>
      <c r="H8124" s="539">
        <f t="shared" si="856"/>
        <v>173610</v>
      </c>
    </row>
    <row r="8125" spans="3:11" ht="25.8" customHeight="1">
      <c r="C8125" s="818">
        <v>3</v>
      </c>
      <c r="D8125" s="212" t="s">
        <v>1310</v>
      </c>
      <c r="E8125" s="212" t="s">
        <v>6</v>
      </c>
      <c r="F8125" s="538">
        <v>0.127</v>
      </c>
      <c r="G8125" s="539">
        <f>VLOOKUP(D8125,upahbahan,3,FALSE)</f>
        <v>150000</v>
      </c>
      <c r="H8125" s="539">
        <f t="shared" si="856"/>
        <v>19050</v>
      </c>
    </row>
    <row r="8126" spans="3:11" ht="25.8" customHeight="1">
      <c r="C8126" s="818">
        <v>4</v>
      </c>
      <c r="D8126" s="212" t="s">
        <v>19</v>
      </c>
      <c r="E8126" s="212" t="s">
        <v>6</v>
      </c>
      <c r="F8126" s="538">
        <v>4.2000000000000003E-2</v>
      </c>
      <c r="G8126" s="539">
        <f>VLOOKUP(D8126,upahbahan,3,FALSE)</f>
        <v>160000</v>
      </c>
      <c r="H8126" s="539">
        <f t="shared" si="856"/>
        <v>6720</v>
      </c>
    </row>
    <row r="8127" spans="3:11" ht="25.8" customHeight="1">
      <c r="C8127" s="702" t="s">
        <v>1208</v>
      </c>
      <c r="D8127" s="208"/>
      <c r="E8127" s="208"/>
      <c r="F8127" s="811"/>
      <c r="G8127" s="522"/>
      <c r="H8127" s="539">
        <f>SUM(H8123:H8126)</f>
        <v>275380</v>
      </c>
      <c r="I8127" s="819"/>
    </row>
    <row r="8128" spans="3:11" ht="25.8" customHeight="1">
      <c r="C8128" s="213" t="s">
        <v>1209</v>
      </c>
      <c r="D8128" s="212" t="s">
        <v>1210</v>
      </c>
      <c r="E8128" s="534"/>
      <c r="F8128" s="831"/>
      <c r="G8128" s="534"/>
      <c r="H8128" s="534"/>
    </row>
    <row r="8129" spans="3:11" ht="25.8" customHeight="1">
      <c r="C8129" s="213">
        <v>1</v>
      </c>
      <c r="D8129" s="212" t="s">
        <v>6218</v>
      </c>
      <c r="E8129" s="234" t="s">
        <v>3182</v>
      </c>
      <c r="F8129" s="866">
        <v>1.05</v>
      </c>
      <c r="G8129" s="539">
        <f>VLOOKUP(D8129,upahbahan,3,FALSE)</f>
        <v>250000</v>
      </c>
      <c r="H8129" s="539">
        <f t="shared" ref="H8129:H8132" si="857">F8129*G8129</f>
        <v>262500</v>
      </c>
    </row>
    <row r="8130" spans="3:11" ht="25.8" customHeight="1">
      <c r="C8130" s="213">
        <v>1</v>
      </c>
      <c r="D8130" s="212" t="s">
        <v>6219</v>
      </c>
      <c r="E8130" s="234" t="s">
        <v>3182</v>
      </c>
      <c r="F8130" s="866">
        <v>2</v>
      </c>
      <c r="G8130" s="539">
        <f>VLOOKUP(D8130,upahbahan,3,FALSE)</f>
        <v>110000</v>
      </c>
      <c r="H8130" s="539">
        <f t="shared" si="857"/>
        <v>220000</v>
      </c>
    </row>
    <row r="8131" spans="3:11" ht="25.8" customHeight="1">
      <c r="C8131" s="213">
        <v>1</v>
      </c>
      <c r="D8131" s="212" t="s">
        <v>6209</v>
      </c>
      <c r="E8131" s="234" t="s">
        <v>3182</v>
      </c>
      <c r="F8131" s="866">
        <v>2</v>
      </c>
      <c r="G8131" s="539">
        <f>VLOOKUP(D8131,upahbahan,3,FALSE)</f>
        <v>30000</v>
      </c>
      <c r="H8131" s="539">
        <f t="shared" si="857"/>
        <v>60000</v>
      </c>
    </row>
    <row r="8132" spans="3:11" ht="25.8" customHeight="1">
      <c r="C8132" s="213">
        <v>1</v>
      </c>
      <c r="D8132" s="212" t="s">
        <v>6220</v>
      </c>
      <c r="E8132" s="234" t="s">
        <v>3182</v>
      </c>
      <c r="F8132" s="866">
        <v>2</v>
      </c>
      <c r="G8132" s="539">
        <f>VLOOKUP(D8132,upahbahan,3,FALSE)</f>
        <v>150000</v>
      </c>
      <c r="H8132" s="539">
        <f t="shared" si="857"/>
        <v>300000</v>
      </c>
    </row>
    <row r="8133" spans="3:11" ht="25.8" customHeight="1">
      <c r="C8133" s="702" t="s">
        <v>1214</v>
      </c>
      <c r="D8133" s="208"/>
      <c r="E8133" s="208" t="s">
        <v>6045</v>
      </c>
      <c r="F8133" s="208"/>
      <c r="G8133" s="209"/>
      <c r="H8133" s="539">
        <f>SUM(H8128:H8132)</f>
        <v>842500</v>
      </c>
    </row>
    <row r="8134" spans="3:11" ht="25.8" customHeight="1">
      <c r="C8134" s="213" t="s">
        <v>1215</v>
      </c>
      <c r="D8134" s="212" t="s">
        <v>1216</v>
      </c>
      <c r="E8134" s="534"/>
      <c r="F8134" s="534"/>
      <c r="G8134" s="534"/>
      <c r="H8134" s="534"/>
    </row>
    <row r="8135" spans="3:11" ht="25.8" customHeight="1">
      <c r="C8135" s="702" t="s">
        <v>1217</v>
      </c>
      <c r="D8135" s="815"/>
      <c r="E8135" s="815"/>
      <c r="F8135" s="815"/>
      <c r="G8135" s="209"/>
      <c r="H8135" s="821">
        <f>SUM(H8134:H8134)</f>
        <v>0</v>
      </c>
    </row>
    <row r="8136" spans="3:11" ht="25.8" customHeight="1">
      <c r="C8136" s="566" t="s">
        <v>1218</v>
      </c>
      <c r="D8136" s="552" t="s">
        <v>1219</v>
      </c>
      <c r="E8136" s="553"/>
      <c r="F8136" s="553"/>
      <c r="G8136" s="554"/>
      <c r="H8136" s="826">
        <f>H8135+H8133+H8127</f>
        <v>1117880</v>
      </c>
      <c r="I8136" s="827"/>
    </row>
    <row r="8137" spans="3:11" ht="25.8" customHeight="1">
      <c r="C8137" s="566" t="s">
        <v>1220</v>
      </c>
      <c r="D8137" s="552" t="s">
        <v>1321</v>
      </c>
      <c r="E8137" s="553"/>
      <c r="F8137" s="554"/>
      <c r="G8137" s="555">
        <f>$M$9</f>
        <v>0.1</v>
      </c>
      <c r="H8137" s="539">
        <f>H8136*G8137</f>
        <v>111788</v>
      </c>
      <c r="I8137" s="827"/>
    </row>
    <row r="8138" spans="3:11" ht="25.8" customHeight="1">
      <c r="C8138" s="566" t="s">
        <v>1221</v>
      </c>
      <c r="D8138" s="552" t="s">
        <v>1222</v>
      </c>
      <c r="E8138" s="553"/>
      <c r="F8138" s="553"/>
      <c r="G8138" s="554"/>
      <c r="H8138" s="828">
        <f>SUM(H8136:H8137)</f>
        <v>1229668</v>
      </c>
      <c r="I8138" s="827"/>
    </row>
    <row r="8139" spans="3:11" ht="25.8" customHeight="1"/>
    <row r="8140" spans="3:11" ht="25.8" customHeight="1">
      <c r="C8140" s="513" t="s">
        <v>6221</v>
      </c>
      <c r="D8140" s="817" t="s">
        <v>6224</v>
      </c>
      <c r="E8140" s="803"/>
      <c r="F8140" s="803"/>
      <c r="G8140" s="803"/>
      <c r="H8140" s="803"/>
      <c r="I8140" s="533">
        <f>ROUNDDOWN(H8155,-2)</f>
        <v>2952600</v>
      </c>
      <c r="J8140" s="536"/>
      <c r="K8140" s="824"/>
    </row>
    <row r="8141" spans="3:11" ht="25.8" customHeight="1">
      <c r="C8141" s="716" t="s">
        <v>1195</v>
      </c>
      <c r="D8141" s="716" t="s">
        <v>1196</v>
      </c>
      <c r="E8141" s="716" t="s">
        <v>1197</v>
      </c>
      <c r="F8141" s="716" t="s">
        <v>1198</v>
      </c>
      <c r="G8141" s="716" t="s">
        <v>1199</v>
      </c>
      <c r="H8141" s="716" t="s">
        <v>1200</v>
      </c>
    </row>
    <row r="8142" spans="3:11" ht="25.8" customHeight="1">
      <c r="C8142" s="213" t="s">
        <v>1201</v>
      </c>
      <c r="D8142" s="212" t="s">
        <v>1202</v>
      </c>
      <c r="E8142" s="534"/>
      <c r="F8142" s="534"/>
      <c r="G8142" s="534"/>
      <c r="H8142" s="534"/>
    </row>
    <row r="8143" spans="3:11" ht="25.8" customHeight="1">
      <c r="C8143" s="818">
        <v>1</v>
      </c>
      <c r="D8143" s="212" t="s">
        <v>5</v>
      </c>
      <c r="E8143" s="212" t="s">
        <v>6</v>
      </c>
      <c r="F8143" s="538">
        <v>0.42899999999999999</v>
      </c>
      <c r="G8143" s="539">
        <f>VLOOKUP(D8143,upahbahan,3,FALSE)</f>
        <v>100000</v>
      </c>
      <c r="H8143" s="539">
        <f t="shared" ref="H8143:H8146" si="858">F8143*G8143</f>
        <v>42900</v>
      </c>
    </row>
    <row r="8144" spans="3:11" ht="25.8" customHeight="1">
      <c r="C8144" s="818">
        <v>2</v>
      </c>
      <c r="D8144" s="212" t="s">
        <v>17</v>
      </c>
      <c r="E8144" s="212" t="s">
        <v>6</v>
      </c>
      <c r="F8144" s="538">
        <v>0.71599999999999997</v>
      </c>
      <c r="G8144" s="539">
        <f>VLOOKUP(D8144,upahbahan,3,FALSE)</f>
        <v>135000</v>
      </c>
      <c r="H8144" s="539">
        <f t="shared" si="858"/>
        <v>96660</v>
      </c>
    </row>
    <row r="8145" spans="3:11" ht="25.8" customHeight="1">
      <c r="C8145" s="818">
        <v>3</v>
      </c>
      <c r="D8145" s="212" t="s">
        <v>1310</v>
      </c>
      <c r="E8145" s="212" t="s">
        <v>6</v>
      </c>
      <c r="F8145" s="538">
        <v>7.1999999999999995E-2</v>
      </c>
      <c r="G8145" s="539">
        <f>VLOOKUP(D8145,upahbahan,3,FALSE)</f>
        <v>150000</v>
      </c>
      <c r="H8145" s="539">
        <f t="shared" si="858"/>
        <v>10800</v>
      </c>
    </row>
    <row r="8146" spans="3:11" ht="25.8" customHeight="1">
      <c r="C8146" s="818">
        <v>4</v>
      </c>
      <c r="D8146" s="212" t="s">
        <v>19</v>
      </c>
      <c r="E8146" s="212" t="s">
        <v>6</v>
      </c>
      <c r="F8146" s="538">
        <v>2.4E-2</v>
      </c>
      <c r="G8146" s="539">
        <f>VLOOKUP(D8146,upahbahan,3,FALSE)</f>
        <v>160000</v>
      </c>
      <c r="H8146" s="539">
        <f t="shared" si="858"/>
        <v>3840</v>
      </c>
    </row>
    <row r="8147" spans="3:11" ht="25.8" customHeight="1">
      <c r="C8147" s="702" t="s">
        <v>1208</v>
      </c>
      <c r="D8147" s="208"/>
      <c r="E8147" s="208"/>
      <c r="F8147" s="811"/>
      <c r="G8147" s="522"/>
      <c r="H8147" s="539">
        <f>SUM(H8143:H8146)</f>
        <v>154200</v>
      </c>
      <c r="I8147" s="819"/>
    </row>
    <row r="8148" spans="3:11" ht="25.8" customHeight="1">
      <c r="C8148" s="213" t="s">
        <v>1209</v>
      </c>
      <c r="D8148" s="212" t="s">
        <v>1210</v>
      </c>
      <c r="E8148" s="534"/>
      <c r="F8148" s="831"/>
      <c r="G8148" s="534"/>
      <c r="H8148" s="534"/>
    </row>
    <row r="8149" spans="3:11" ht="25.8" customHeight="1">
      <c r="C8149" s="213">
        <v>1</v>
      </c>
      <c r="D8149" s="212" t="s">
        <v>6225</v>
      </c>
      <c r="E8149" s="234" t="s">
        <v>3182</v>
      </c>
      <c r="F8149" s="866">
        <v>1.1000000000000001</v>
      </c>
      <c r="G8149" s="539">
        <f>VLOOKUP(D8149,upahbahan,3,FALSE)</f>
        <v>2300000</v>
      </c>
      <c r="H8149" s="539">
        <f t="shared" ref="H8149" si="859">F8149*G8149</f>
        <v>2530000</v>
      </c>
    </row>
    <row r="8150" spans="3:11" ht="25.8" customHeight="1">
      <c r="C8150" s="702" t="s">
        <v>1214</v>
      </c>
      <c r="D8150" s="208"/>
      <c r="E8150" s="208" t="s">
        <v>6045</v>
      </c>
      <c r="F8150" s="208"/>
      <c r="G8150" s="209"/>
      <c r="H8150" s="539">
        <f>SUM(H8148:H8149)</f>
        <v>2530000</v>
      </c>
    </row>
    <row r="8151" spans="3:11" ht="25.8" customHeight="1">
      <c r="C8151" s="213" t="s">
        <v>1215</v>
      </c>
      <c r="D8151" s="212" t="s">
        <v>1216</v>
      </c>
      <c r="E8151" s="534"/>
      <c r="F8151" s="534"/>
      <c r="G8151" s="534"/>
      <c r="H8151" s="534"/>
    </row>
    <row r="8152" spans="3:11" ht="25.8" customHeight="1">
      <c r="C8152" s="702" t="s">
        <v>1217</v>
      </c>
      <c r="D8152" s="815"/>
      <c r="E8152" s="815"/>
      <c r="F8152" s="815"/>
      <c r="G8152" s="209"/>
      <c r="H8152" s="821">
        <f>SUM(H8151:H8151)</f>
        <v>0</v>
      </c>
    </row>
    <row r="8153" spans="3:11" ht="25.8" customHeight="1">
      <c r="C8153" s="566" t="s">
        <v>1218</v>
      </c>
      <c r="D8153" s="552" t="s">
        <v>1219</v>
      </c>
      <c r="E8153" s="553"/>
      <c r="F8153" s="553"/>
      <c r="G8153" s="554"/>
      <c r="H8153" s="826">
        <f>H8152+H8150+H8147</f>
        <v>2684200</v>
      </c>
      <c r="I8153" s="827"/>
    </row>
    <row r="8154" spans="3:11" ht="25.8" customHeight="1">
      <c r="C8154" s="566" t="s">
        <v>1220</v>
      </c>
      <c r="D8154" s="552" t="s">
        <v>1321</v>
      </c>
      <c r="E8154" s="553"/>
      <c r="F8154" s="554"/>
      <c r="G8154" s="555">
        <f>$M$9</f>
        <v>0.1</v>
      </c>
      <c r="H8154" s="539">
        <f>H8153*G8154</f>
        <v>268420</v>
      </c>
      <c r="I8154" s="827"/>
    </row>
    <row r="8155" spans="3:11" ht="25.8" customHeight="1">
      <c r="C8155" s="566" t="s">
        <v>1221</v>
      </c>
      <c r="D8155" s="552" t="s">
        <v>1222</v>
      </c>
      <c r="E8155" s="553"/>
      <c r="F8155" s="553"/>
      <c r="G8155" s="554"/>
      <c r="H8155" s="828">
        <f>SUM(H8153:H8154)</f>
        <v>2952620</v>
      </c>
      <c r="I8155" s="827"/>
    </row>
    <row r="8156" spans="3:11" ht="25.8" customHeight="1"/>
    <row r="8157" spans="3:11" ht="25.8" customHeight="1">
      <c r="C8157" s="513" t="s">
        <v>6226</v>
      </c>
      <c r="D8157" s="817" t="s">
        <v>6222</v>
      </c>
      <c r="E8157" s="803"/>
      <c r="F8157" s="803"/>
      <c r="G8157" s="803"/>
      <c r="H8157" s="803"/>
      <c r="I8157" s="533">
        <f>ROUNDDOWN(H8172,-2)</f>
        <v>3194600</v>
      </c>
      <c r="J8157" s="536"/>
      <c r="K8157" s="824"/>
    </row>
    <row r="8158" spans="3:11" ht="25.8" customHeight="1">
      <c r="C8158" s="716" t="s">
        <v>1195</v>
      </c>
      <c r="D8158" s="716" t="s">
        <v>1196</v>
      </c>
      <c r="E8158" s="716" t="s">
        <v>1197</v>
      </c>
      <c r="F8158" s="716" t="s">
        <v>1198</v>
      </c>
      <c r="G8158" s="716" t="s">
        <v>1199</v>
      </c>
      <c r="H8158" s="716" t="s">
        <v>1200</v>
      </c>
    </row>
    <row r="8159" spans="3:11" ht="25.8" customHeight="1">
      <c r="C8159" s="213" t="s">
        <v>1201</v>
      </c>
      <c r="D8159" s="212" t="s">
        <v>1202</v>
      </c>
      <c r="E8159" s="534"/>
      <c r="F8159" s="534"/>
      <c r="G8159" s="534"/>
      <c r="H8159" s="534"/>
    </row>
    <row r="8160" spans="3:11" ht="25.8" customHeight="1">
      <c r="C8160" s="818">
        <v>1</v>
      </c>
      <c r="D8160" s="212" t="s">
        <v>5</v>
      </c>
      <c r="E8160" s="212" t="s">
        <v>6</v>
      </c>
      <c r="F8160" s="538">
        <v>0.42899999999999999</v>
      </c>
      <c r="G8160" s="539">
        <f>VLOOKUP(D8160,upahbahan,3,FALSE)</f>
        <v>100000</v>
      </c>
      <c r="H8160" s="539">
        <f t="shared" ref="H8160:H8163" si="860">F8160*G8160</f>
        <v>42900</v>
      </c>
    </row>
    <row r="8161" spans="3:11" ht="25.8" customHeight="1">
      <c r="C8161" s="818">
        <v>2</v>
      </c>
      <c r="D8161" s="212" t="s">
        <v>17</v>
      </c>
      <c r="E8161" s="212" t="s">
        <v>6</v>
      </c>
      <c r="F8161" s="538">
        <v>0.71599999999999997</v>
      </c>
      <c r="G8161" s="539">
        <f>VLOOKUP(D8161,upahbahan,3,FALSE)</f>
        <v>135000</v>
      </c>
      <c r="H8161" s="539">
        <f t="shared" si="860"/>
        <v>96660</v>
      </c>
    </row>
    <row r="8162" spans="3:11" ht="25.8" customHeight="1">
      <c r="C8162" s="818">
        <v>3</v>
      </c>
      <c r="D8162" s="212" t="s">
        <v>1310</v>
      </c>
      <c r="E8162" s="212" t="s">
        <v>6</v>
      </c>
      <c r="F8162" s="538">
        <v>7.1999999999999995E-2</v>
      </c>
      <c r="G8162" s="539">
        <f>VLOOKUP(D8162,upahbahan,3,FALSE)</f>
        <v>150000</v>
      </c>
      <c r="H8162" s="539">
        <f t="shared" si="860"/>
        <v>10800</v>
      </c>
    </row>
    <row r="8163" spans="3:11" ht="25.8" customHeight="1">
      <c r="C8163" s="818">
        <v>4</v>
      </c>
      <c r="D8163" s="212" t="s">
        <v>19</v>
      </c>
      <c r="E8163" s="212" t="s">
        <v>6</v>
      </c>
      <c r="F8163" s="538">
        <v>2.4E-2</v>
      </c>
      <c r="G8163" s="539">
        <f>VLOOKUP(D8163,upahbahan,3,FALSE)</f>
        <v>160000</v>
      </c>
      <c r="H8163" s="539">
        <f t="shared" si="860"/>
        <v>3840</v>
      </c>
    </row>
    <row r="8164" spans="3:11" ht="25.8" customHeight="1">
      <c r="C8164" s="702" t="s">
        <v>1208</v>
      </c>
      <c r="D8164" s="208"/>
      <c r="E8164" s="208"/>
      <c r="F8164" s="811"/>
      <c r="G8164" s="522"/>
      <c r="H8164" s="539">
        <f>SUM(H8160:H8163)</f>
        <v>154200</v>
      </c>
      <c r="I8164" s="819"/>
    </row>
    <row r="8165" spans="3:11" ht="25.8" customHeight="1">
      <c r="C8165" s="213" t="s">
        <v>1209</v>
      </c>
      <c r="D8165" s="212" t="s">
        <v>1210</v>
      </c>
      <c r="E8165" s="534"/>
      <c r="F8165" s="831"/>
      <c r="G8165" s="534"/>
      <c r="H8165" s="534"/>
    </row>
    <row r="8166" spans="3:11" ht="25.8" customHeight="1">
      <c r="C8166" s="213">
        <v>1</v>
      </c>
      <c r="D8166" s="212" t="s">
        <v>6223</v>
      </c>
      <c r="E8166" s="234" t="s">
        <v>3182</v>
      </c>
      <c r="F8166" s="866">
        <v>1.1000000000000001</v>
      </c>
      <c r="G8166" s="539">
        <f>VLOOKUP(D8166,upahbahan,3,FALSE)</f>
        <v>2500000</v>
      </c>
      <c r="H8166" s="539">
        <f t="shared" ref="H8166" si="861">F8166*G8166</f>
        <v>2750000</v>
      </c>
    </row>
    <row r="8167" spans="3:11" ht="25.8" customHeight="1">
      <c r="C8167" s="702" t="s">
        <v>1214</v>
      </c>
      <c r="D8167" s="208"/>
      <c r="E8167" s="208" t="s">
        <v>6045</v>
      </c>
      <c r="F8167" s="208"/>
      <c r="G8167" s="209"/>
      <c r="H8167" s="539">
        <f>SUM(H8165:H8166)</f>
        <v>2750000</v>
      </c>
    </row>
    <row r="8168" spans="3:11" ht="25.8" customHeight="1">
      <c r="C8168" s="213" t="s">
        <v>1215</v>
      </c>
      <c r="D8168" s="212" t="s">
        <v>1216</v>
      </c>
      <c r="E8168" s="534"/>
      <c r="F8168" s="534"/>
      <c r="G8168" s="534"/>
      <c r="H8168" s="534"/>
    </row>
    <row r="8169" spans="3:11" ht="25.8" customHeight="1">
      <c r="C8169" s="702" t="s">
        <v>1217</v>
      </c>
      <c r="D8169" s="815"/>
      <c r="E8169" s="815"/>
      <c r="F8169" s="815"/>
      <c r="G8169" s="209"/>
      <c r="H8169" s="821">
        <f>SUM(H8168:H8168)</f>
        <v>0</v>
      </c>
    </row>
    <row r="8170" spans="3:11" ht="25.8" customHeight="1">
      <c r="C8170" s="566" t="s">
        <v>1218</v>
      </c>
      <c r="D8170" s="552" t="s">
        <v>1219</v>
      </c>
      <c r="E8170" s="553"/>
      <c r="F8170" s="553"/>
      <c r="G8170" s="554"/>
      <c r="H8170" s="826">
        <f>H8169+H8167+H8164</f>
        <v>2904200</v>
      </c>
      <c r="I8170" s="827"/>
    </row>
    <row r="8171" spans="3:11" ht="25.8" customHeight="1">
      <c r="C8171" s="566" t="s">
        <v>1220</v>
      </c>
      <c r="D8171" s="552" t="s">
        <v>1321</v>
      </c>
      <c r="E8171" s="553"/>
      <c r="F8171" s="554"/>
      <c r="G8171" s="555">
        <f>$M$9</f>
        <v>0.1</v>
      </c>
      <c r="H8171" s="539">
        <f>H8170*G8171</f>
        <v>290420</v>
      </c>
      <c r="I8171" s="827"/>
    </row>
    <row r="8172" spans="3:11" ht="25.8" customHeight="1">
      <c r="C8172" s="566" t="s">
        <v>1221</v>
      </c>
      <c r="D8172" s="552" t="s">
        <v>1222</v>
      </c>
      <c r="E8172" s="553"/>
      <c r="F8172" s="553"/>
      <c r="G8172" s="554"/>
      <c r="H8172" s="828">
        <f>SUM(H8170:H8171)</f>
        <v>3194620</v>
      </c>
      <c r="I8172" s="827"/>
    </row>
    <row r="8173" spans="3:11" ht="25.8" customHeight="1"/>
    <row r="8174" spans="3:11" ht="25.8" customHeight="1">
      <c r="C8174" s="513" t="s">
        <v>6227</v>
      </c>
      <c r="D8174" s="817" t="s">
        <v>6228</v>
      </c>
      <c r="E8174" s="803"/>
      <c r="F8174" s="803"/>
      <c r="G8174" s="803"/>
      <c r="H8174" s="803"/>
      <c r="I8174" s="533">
        <f>ROUNDDOWN(H8189,-2)</f>
        <v>3777200</v>
      </c>
      <c r="J8174" s="536"/>
      <c r="K8174" s="824"/>
    </row>
    <row r="8175" spans="3:11" ht="25.8" customHeight="1">
      <c r="C8175" s="716" t="s">
        <v>1195</v>
      </c>
      <c r="D8175" s="716" t="s">
        <v>1196</v>
      </c>
      <c r="E8175" s="716" t="s">
        <v>1197</v>
      </c>
      <c r="F8175" s="716" t="s">
        <v>1198</v>
      </c>
      <c r="G8175" s="716" t="s">
        <v>1199</v>
      </c>
      <c r="H8175" s="716" t="s">
        <v>1200</v>
      </c>
    </row>
    <row r="8176" spans="3:11" ht="25.8" customHeight="1">
      <c r="C8176" s="213" t="s">
        <v>1201</v>
      </c>
      <c r="D8176" s="212" t="s">
        <v>1202</v>
      </c>
      <c r="E8176" s="534"/>
      <c r="F8176" s="534"/>
      <c r="G8176" s="534"/>
      <c r="H8176" s="534"/>
    </row>
    <row r="8177" spans="3:11" ht="25.8" customHeight="1">
      <c r="C8177" s="818">
        <v>1</v>
      </c>
      <c r="D8177" s="212" t="s">
        <v>5</v>
      </c>
      <c r="E8177" s="212" t="s">
        <v>6</v>
      </c>
      <c r="F8177" s="538">
        <v>0.67900000000000005</v>
      </c>
      <c r="G8177" s="539">
        <f>VLOOKUP(D8177,upahbahan,3,FALSE)</f>
        <v>100000</v>
      </c>
      <c r="H8177" s="539">
        <f t="shared" ref="H8177:H8180" si="862">F8177*G8177</f>
        <v>67900</v>
      </c>
    </row>
    <row r="8178" spans="3:11" ht="25.8" customHeight="1">
      <c r="C8178" s="818">
        <v>2</v>
      </c>
      <c r="D8178" s="212" t="s">
        <v>17</v>
      </c>
      <c r="E8178" s="212" t="s">
        <v>6</v>
      </c>
      <c r="F8178" s="538">
        <v>1.133</v>
      </c>
      <c r="G8178" s="539">
        <f>VLOOKUP(D8178,upahbahan,3,FALSE)</f>
        <v>135000</v>
      </c>
      <c r="H8178" s="539">
        <f t="shared" si="862"/>
        <v>152955</v>
      </c>
    </row>
    <row r="8179" spans="3:11" ht="25.8" customHeight="1">
      <c r="C8179" s="818">
        <v>3</v>
      </c>
      <c r="D8179" s="212" t="s">
        <v>1310</v>
      </c>
      <c r="E8179" s="212" t="s">
        <v>6</v>
      </c>
      <c r="F8179" s="538">
        <v>0.113</v>
      </c>
      <c r="G8179" s="539">
        <f>VLOOKUP(D8179,upahbahan,3,FALSE)</f>
        <v>150000</v>
      </c>
      <c r="H8179" s="539">
        <f t="shared" si="862"/>
        <v>16950</v>
      </c>
    </row>
    <row r="8180" spans="3:11" ht="25.8" customHeight="1">
      <c r="C8180" s="818">
        <v>4</v>
      </c>
      <c r="D8180" s="212" t="s">
        <v>19</v>
      </c>
      <c r="E8180" s="212" t="s">
        <v>6</v>
      </c>
      <c r="F8180" s="538">
        <v>3.7999999999999999E-2</v>
      </c>
      <c r="G8180" s="539">
        <f>VLOOKUP(D8180,upahbahan,3,FALSE)</f>
        <v>160000</v>
      </c>
      <c r="H8180" s="539">
        <f t="shared" si="862"/>
        <v>6080</v>
      </c>
    </row>
    <row r="8181" spans="3:11" ht="25.8" customHeight="1">
      <c r="C8181" s="702" t="s">
        <v>1208</v>
      </c>
      <c r="D8181" s="208"/>
      <c r="E8181" s="208"/>
      <c r="F8181" s="811"/>
      <c r="G8181" s="522"/>
      <c r="H8181" s="539">
        <f>SUM(H8177:H8180)</f>
        <v>243885</v>
      </c>
      <c r="I8181" s="819"/>
    </row>
    <row r="8182" spans="3:11" ht="25.8" customHeight="1">
      <c r="C8182" s="213" t="s">
        <v>1209</v>
      </c>
      <c r="D8182" s="212" t="s">
        <v>1210</v>
      </c>
      <c r="E8182" s="534"/>
      <c r="F8182" s="831"/>
      <c r="G8182" s="534"/>
      <c r="H8182" s="534"/>
    </row>
    <row r="8183" spans="3:11" ht="25.8" customHeight="1">
      <c r="C8183" s="213">
        <v>1</v>
      </c>
      <c r="D8183" s="212" t="s">
        <v>6229</v>
      </c>
      <c r="E8183" s="234" t="s">
        <v>3182</v>
      </c>
      <c r="F8183" s="866">
        <v>1.1000000000000001</v>
      </c>
      <c r="G8183" s="539">
        <f>VLOOKUP(D8183,upahbahan,3,FALSE)</f>
        <v>2900000</v>
      </c>
      <c r="H8183" s="539">
        <f t="shared" ref="H8183" si="863">F8183*G8183</f>
        <v>3190000.0000000005</v>
      </c>
    </row>
    <row r="8184" spans="3:11" ht="25.8" customHeight="1">
      <c r="C8184" s="702" t="s">
        <v>1214</v>
      </c>
      <c r="D8184" s="208"/>
      <c r="E8184" s="208" t="s">
        <v>6045</v>
      </c>
      <c r="F8184" s="208"/>
      <c r="G8184" s="209"/>
      <c r="H8184" s="539">
        <f>SUM(H8182:H8183)</f>
        <v>3190000.0000000005</v>
      </c>
    </row>
    <row r="8185" spans="3:11" ht="25.8" customHeight="1">
      <c r="C8185" s="213" t="s">
        <v>1215</v>
      </c>
      <c r="D8185" s="212" t="s">
        <v>1216</v>
      </c>
      <c r="E8185" s="534"/>
      <c r="F8185" s="534"/>
      <c r="G8185" s="534"/>
      <c r="H8185" s="534"/>
    </row>
    <row r="8186" spans="3:11" ht="25.8" customHeight="1">
      <c r="C8186" s="702" t="s">
        <v>1217</v>
      </c>
      <c r="D8186" s="815"/>
      <c r="E8186" s="815"/>
      <c r="F8186" s="815"/>
      <c r="G8186" s="209"/>
      <c r="H8186" s="821">
        <f>SUM(H8185:H8185)</f>
        <v>0</v>
      </c>
    </row>
    <row r="8187" spans="3:11" ht="25.8" customHeight="1">
      <c r="C8187" s="566" t="s">
        <v>1218</v>
      </c>
      <c r="D8187" s="552" t="s">
        <v>1219</v>
      </c>
      <c r="E8187" s="553"/>
      <c r="F8187" s="553"/>
      <c r="G8187" s="554"/>
      <c r="H8187" s="826">
        <f>H8186+H8184+H8181</f>
        <v>3433885.0000000005</v>
      </c>
      <c r="I8187" s="827"/>
    </row>
    <row r="8188" spans="3:11" ht="25.8" customHeight="1">
      <c r="C8188" s="566" t="s">
        <v>1220</v>
      </c>
      <c r="D8188" s="552" t="s">
        <v>1321</v>
      </c>
      <c r="E8188" s="553"/>
      <c r="F8188" s="554"/>
      <c r="G8188" s="555">
        <f>$M$9</f>
        <v>0.1</v>
      </c>
      <c r="H8188" s="539">
        <f>H8187*G8188</f>
        <v>343388.50000000006</v>
      </c>
      <c r="I8188" s="827"/>
    </row>
    <row r="8189" spans="3:11" ht="25.8" customHeight="1">
      <c r="C8189" s="566" t="s">
        <v>1221</v>
      </c>
      <c r="D8189" s="552" t="s">
        <v>1222</v>
      </c>
      <c r="E8189" s="553"/>
      <c r="F8189" s="553"/>
      <c r="G8189" s="554"/>
      <c r="H8189" s="828">
        <f>SUM(H8187:H8188)</f>
        <v>3777273.5000000005</v>
      </c>
      <c r="I8189" s="827"/>
    </row>
    <row r="8190" spans="3:11" ht="25.8" customHeight="1"/>
    <row r="8191" spans="3:11" ht="25.8" customHeight="1"/>
    <row r="8192" spans="3:11" ht="25.8" customHeight="1">
      <c r="C8192" s="513" t="s">
        <v>6230</v>
      </c>
      <c r="D8192" s="817" t="s">
        <v>6231</v>
      </c>
      <c r="E8192" s="803"/>
      <c r="F8192" s="803"/>
      <c r="G8192" s="803"/>
      <c r="H8192" s="803"/>
      <c r="I8192" s="533">
        <f>ROUNDDOWN(H8207,-2)</f>
        <v>4140200</v>
      </c>
      <c r="J8192" s="536"/>
      <c r="K8192" s="824"/>
    </row>
    <row r="8193" spans="3:9" ht="25.8" customHeight="1">
      <c r="C8193" s="716" t="s">
        <v>1195</v>
      </c>
      <c r="D8193" s="716" t="s">
        <v>1196</v>
      </c>
      <c r="E8193" s="716" t="s">
        <v>1197</v>
      </c>
      <c r="F8193" s="716" t="s">
        <v>1198</v>
      </c>
      <c r="G8193" s="716" t="s">
        <v>1199</v>
      </c>
      <c r="H8193" s="716" t="s">
        <v>1200</v>
      </c>
    </row>
    <row r="8194" spans="3:9" ht="25.8" customHeight="1">
      <c r="C8194" s="213" t="s">
        <v>1201</v>
      </c>
      <c r="D8194" s="212" t="s">
        <v>1202</v>
      </c>
      <c r="E8194" s="534"/>
      <c r="F8194" s="534"/>
      <c r="G8194" s="534"/>
      <c r="H8194" s="534"/>
    </row>
    <row r="8195" spans="3:9" ht="25.8" customHeight="1">
      <c r="C8195" s="818">
        <v>1</v>
      </c>
      <c r="D8195" s="212" t="s">
        <v>5</v>
      </c>
      <c r="E8195" s="212" t="s">
        <v>6</v>
      </c>
      <c r="F8195" s="538">
        <v>0.67900000000000005</v>
      </c>
      <c r="G8195" s="539">
        <f>VLOOKUP(D8195,upahbahan,3,FALSE)</f>
        <v>100000</v>
      </c>
      <c r="H8195" s="539">
        <f t="shared" ref="H8195:H8198" si="864">F8195*G8195</f>
        <v>67900</v>
      </c>
    </row>
    <row r="8196" spans="3:9" ht="25.8" customHeight="1">
      <c r="C8196" s="818">
        <v>2</v>
      </c>
      <c r="D8196" s="212" t="s">
        <v>17</v>
      </c>
      <c r="E8196" s="212" t="s">
        <v>6</v>
      </c>
      <c r="F8196" s="538">
        <v>1.133</v>
      </c>
      <c r="G8196" s="539">
        <f>VLOOKUP(D8196,upahbahan,3,FALSE)</f>
        <v>135000</v>
      </c>
      <c r="H8196" s="539">
        <f t="shared" si="864"/>
        <v>152955</v>
      </c>
    </row>
    <row r="8197" spans="3:9" ht="25.8" customHeight="1">
      <c r="C8197" s="818">
        <v>3</v>
      </c>
      <c r="D8197" s="212" t="s">
        <v>1310</v>
      </c>
      <c r="E8197" s="212" t="s">
        <v>6</v>
      </c>
      <c r="F8197" s="538">
        <v>0.113</v>
      </c>
      <c r="G8197" s="539">
        <f>VLOOKUP(D8197,upahbahan,3,FALSE)</f>
        <v>150000</v>
      </c>
      <c r="H8197" s="539">
        <f t="shared" si="864"/>
        <v>16950</v>
      </c>
    </row>
    <row r="8198" spans="3:9" ht="25.8" customHeight="1">
      <c r="C8198" s="818">
        <v>4</v>
      </c>
      <c r="D8198" s="212" t="s">
        <v>19</v>
      </c>
      <c r="E8198" s="212" t="s">
        <v>6</v>
      </c>
      <c r="F8198" s="538">
        <v>3.7999999999999999E-2</v>
      </c>
      <c r="G8198" s="539">
        <f>VLOOKUP(D8198,upahbahan,3,FALSE)</f>
        <v>160000</v>
      </c>
      <c r="H8198" s="539">
        <f t="shared" si="864"/>
        <v>6080</v>
      </c>
    </row>
    <row r="8199" spans="3:9" ht="25.8" customHeight="1">
      <c r="C8199" s="702" t="s">
        <v>1208</v>
      </c>
      <c r="D8199" s="208"/>
      <c r="E8199" s="208"/>
      <c r="F8199" s="811"/>
      <c r="G8199" s="522"/>
      <c r="H8199" s="539">
        <f>SUM(H8195:H8198)</f>
        <v>243885</v>
      </c>
      <c r="I8199" s="819"/>
    </row>
    <row r="8200" spans="3:9" ht="25.8" customHeight="1">
      <c r="C8200" s="213" t="s">
        <v>1209</v>
      </c>
      <c r="D8200" s="212" t="s">
        <v>1210</v>
      </c>
      <c r="E8200" s="534"/>
      <c r="F8200" s="831"/>
      <c r="G8200" s="534"/>
      <c r="H8200" s="534"/>
    </row>
    <row r="8201" spans="3:9" ht="25.8" customHeight="1">
      <c r="C8201" s="213">
        <v>1</v>
      </c>
      <c r="D8201" s="212" t="s">
        <v>6232</v>
      </c>
      <c r="E8201" s="234" t="s">
        <v>3182</v>
      </c>
      <c r="F8201" s="866">
        <v>1.1000000000000001</v>
      </c>
      <c r="G8201" s="539">
        <f>VLOOKUP(D8201,upahbahan,3,FALSE)</f>
        <v>3200000</v>
      </c>
      <c r="H8201" s="539">
        <f t="shared" ref="H8201" si="865">F8201*G8201</f>
        <v>3520000.0000000005</v>
      </c>
    </row>
    <row r="8202" spans="3:9" ht="25.8" customHeight="1">
      <c r="C8202" s="702" t="s">
        <v>1214</v>
      </c>
      <c r="D8202" s="208"/>
      <c r="E8202" s="208" t="s">
        <v>6045</v>
      </c>
      <c r="F8202" s="208"/>
      <c r="G8202" s="209"/>
      <c r="H8202" s="539">
        <f>SUM(H8200:H8201)</f>
        <v>3520000.0000000005</v>
      </c>
    </row>
    <row r="8203" spans="3:9" ht="25.8" customHeight="1">
      <c r="C8203" s="213" t="s">
        <v>1215</v>
      </c>
      <c r="D8203" s="212" t="s">
        <v>1216</v>
      </c>
      <c r="E8203" s="534"/>
      <c r="F8203" s="534"/>
      <c r="G8203" s="534"/>
      <c r="H8203" s="534"/>
    </row>
    <row r="8204" spans="3:9" ht="25.8" customHeight="1">
      <c r="C8204" s="702" t="s">
        <v>1217</v>
      </c>
      <c r="D8204" s="815"/>
      <c r="E8204" s="815"/>
      <c r="F8204" s="815"/>
      <c r="G8204" s="209"/>
      <c r="H8204" s="821">
        <f>SUM(H8203:H8203)</f>
        <v>0</v>
      </c>
    </row>
    <row r="8205" spans="3:9" ht="25.8" customHeight="1">
      <c r="C8205" s="566" t="s">
        <v>1218</v>
      </c>
      <c r="D8205" s="552" t="s">
        <v>1219</v>
      </c>
      <c r="E8205" s="553"/>
      <c r="F8205" s="553"/>
      <c r="G8205" s="554"/>
      <c r="H8205" s="826">
        <f>H8204+H8202+H8199</f>
        <v>3763885.0000000005</v>
      </c>
      <c r="I8205" s="827"/>
    </row>
    <row r="8206" spans="3:9" ht="25.8" customHeight="1">
      <c r="C8206" s="566" t="s">
        <v>1220</v>
      </c>
      <c r="D8206" s="552" t="s">
        <v>1321</v>
      </c>
      <c r="E8206" s="553"/>
      <c r="F8206" s="554"/>
      <c r="G8206" s="555">
        <f>$M$9</f>
        <v>0.1</v>
      </c>
      <c r="H8206" s="539">
        <f>H8205*G8206</f>
        <v>376388.50000000006</v>
      </c>
      <c r="I8206" s="827"/>
    </row>
    <row r="8207" spans="3:9" ht="25.8" customHeight="1">
      <c r="C8207" s="566" t="s">
        <v>1221</v>
      </c>
      <c r="D8207" s="552" t="s">
        <v>1222</v>
      </c>
      <c r="E8207" s="553"/>
      <c r="F8207" s="553"/>
      <c r="G8207" s="554"/>
      <c r="H8207" s="828">
        <f>SUM(H8205:H8206)</f>
        <v>4140273.5000000005</v>
      </c>
      <c r="I8207" s="827"/>
    </row>
    <row r="8208" spans="3:9" ht="25.8" customHeight="1"/>
    <row r="8209" spans="3:11" ht="25.8" customHeight="1"/>
    <row r="8210" spans="3:11" ht="25.8" customHeight="1">
      <c r="C8210" s="513" t="s">
        <v>6233</v>
      </c>
      <c r="D8210" s="817" t="s">
        <v>6234</v>
      </c>
      <c r="E8210" s="803"/>
      <c r="F8210" s="803"/>
      <c r="G8210" s="803"/>
      <c r="H8210" s="803"/>
      <c r="I8210" s="533">
        <f>ROUNDDOWN(H8225,-2)</f>
        <v>441500</v>
      </c>
      <c r="J8210" s="536"/>
      <c r="K8210" s="824"/>
    </row>
    <row r="8211" spans="3:11" ht="25.8" customHeight="1">
      <c r="C8211" s="716" t="s">
        <v>1195</v>
      </c>
      <c r="D8211" s="716" t="s">
        <v>1196</v>
      </c>
      <c r="E8211" s="716" t="s">
        <v>1197</v>
      </c>
      <c r="F8211" s="716" t="s">
        <v>1198</v>
      </c>
      <c r="G8211" s="716" t="s">
        <v>1199</v>
      </c>
      <c r="H8211" s="716" t="s">
        <v>1200</v>
      </c>
    </row>
    <row r="8212" spans="3:11" ht="25.8" customHeight="1">
      <c r="C8212" s="213" t="s">
        <v>1201</v>
      </c>
      <c r="D8212" s="212" t="s">
        <v>1202</v>
      </c>
      <c r="E8212" s="534"/>
      <c r="F8212" s="534"/>
      <c r="G8212" s="534"/>
      <c r="H8212" s="534"/>
    </row>
    <row r="8213" spans="3:11" ht="25.8" customHeight="1">
      <c r="C8213" s="818">
        <v>1</v>
      </c>
      <c r="D8213" s="212" t="s">
        <v>5</v>
      </c>
      <c r="E8213" s="212" t="s">
        <v>6</v>
      </c>
      <c r="F8213" s="538">
        <v>0.67900000000000005</v>
      </c>
      <c r="G8213" s="539">
        <f>VLOOKUP(D8213,upahbahan,3,FALSE)</f>
        <v>100000</v>
      </c>
      <c r="H8213" s="539">
        <f t="shared" ref="H8213:H8216" si="866">F8213*G8213</f>
        <v>67900</v>
      </c>
    </row>
    <row r="8214" spans="3:11" ht="25.8" customHeight="1">
      <c r="C8214" s="818">
        <v>2</v>
      </c>
      <c r="D8214" s="212" t="s">
        <v>17</v>
      </c>
      <c r="E8214" s="212" t="s">
        <v>6</v>
      </c>
      <c r="F8214" s="538">
        <v>1.133</v>
      </c>
      <c r="G8214" s="539">
        <f>VLOOKUP(D8214,upahbahan,3,FALSE)</f>
        <v>135000</v>
      </c>
      <c r="H8214" s="539">
        <f t="shared" si="866"/>
        <v>152955</v>
      </c>
    </row>
    <row r="8215" spans="3:11" ht="25.8" customHeight="1">
      <c r="C8215" s="818">
        <v>3</v>
      </c>
      <c r="D8215" s="212" t="s">
        <v>1310</v>
      </c>
      <c r="E8215" s="212" t="s">
        <v>6</v>
      </c>
      <c r="F8215" s="538">
        <v>0.113</v>
      </c>
      <c r="G8215" s="539">
        <f>VLOOKUP(D8215,upahbahan,3,FALSE)</f>
        <v>150000</v>
      </c>
      <c r="H8215" s="539">
        <f t="shared" si="866"/>
        <v>16950</v>
      </c>
    </row>
    <row r="8216" spans="3:11" ht="25.8" customHeight="1">
      <c r="C8216" s="818">
        <v>4</v>
      </c>
      <c r="D8216" s="212" t="s">
        <v>19</v>
      </c>
      <c r="E8216" s="212" t="s">
        <v>6</v>
      </c>
      <c r="F8216" s="538">
        <v>3.7999999999999999E-2</v>
      </c>
      <c r="G8216" s="539">
        <f>VLOOKUP(D8216,upahbahan,3,FALSE)</f>
        <v>160000</v>
      </c>
      <c r="H8216" s="539">
        <f t="shared" si="866"/>
        <v>6080</v>
      </c>
    </row>
    <row r="8217" spans="3:11" ht="25.8" customHeight="1">
      <c r="C8217" s="702" t="s">
        <v>1208</v>
      </c>
      <c r="D8217" s="208"/>
      <c r="E8217" s="208"/>
      <c r="F8217" s="811"/>
      <c r="G8217" s="522"/>
      <c r="H8217" s="539">
        <f>SUM(H8213:H8216)</f>
        <v>243885</v>
      </c>
      <c r="I8217" s="819"/>
    </row>
    <row r="8218" spans="3:11" ht="25.8" customHeight="1">
      <c r="C8218" s="213" t="s">
        <v>1209</v>
      </c>
      <c r="D8218" s="212" t="s">
        <v>1210</v>
      </c>
      <c r="E8218" s="534"/>
      <c r="F8218" s="831"/>
      <c r="G8218" s="534"/>
      <c r="H8218" s="534"/>
    </row>
    <row r="8219" spans="3:11" ht="25.8" customHeight="1">
      <c r="C8219" s="213">
        <v>1</v>
      </c>
      <c r="D8219" s="212" t="s">
        <v>6235</v>
      </c>
      <c r="E8219" s="234" t="s">
        <v>3182</v>
      </c>
      <c r="F8219" s="866">
        <v>1.05</v>
      </c>
      <c r="G8219" s="539">
        <f>VLOOKUP(D8219,upahbahan,3,FALSE)</f>
        <v>150000</v>
      </c>
      <c r="H8219" s="539">
        <f t="shared" ref="H8219" si="867">F8219*G8219</f>
        <v>157500</v>
      </c>
    </row>
    <row r="8220" spans="3:11" ht="25.8" customHeight="1">
      <c r="C8220" s="702" t="s">
        <v>1214</v>
      </c>
      <c r="D8220" s="208"/>
      <c r="E8220" s="208" t="s">
        <v>6045</v>
      </c>
      <c r="F8220" s="208"/>
      <c r="G8220" s="209"/>
      <c r="H8220" s="539">
        <f>SUM(H8218:H8219)</f>
        <v>157500</v>
      </c>
    </row>
    <row r="8221" spans="3:11" ht="25.8" customHeight="1">
      <c r="C8221" s="213" t="s">
        <v>1215</v>
      </c>
      <c r="D8221" s="212" t="s">
        <v>1216</v>
      </c>
      <c r="E8221" s="534"/>
      <c r="F8221" s="534"/>
      <c r="G8221" s="534"/>
      <c r="H8221" s="534"/>
    </row>
    <row r="8222" spans="3:11" ht="25.8" customHeight="1">
      <c r="C8222" s="702" t="s">
        <v>1217</v>
      </c>
      <c r="D8222" s="815"/>
      <c r="E8222" s="815"/>
      <c r="F8222" s="815"/>
      <c r="G8222" s="209"/>
      <c r="H8222" s="821">
        <f>SUM(H8221:H8221)</f>
        <v>0</v>
      </c>
    </row>
    <row r="8223" spans="3:11" ht="25.8" customHeight="1">
      <c r="C8223" s="566" t="s">
        <v>1218</v>
      </c>
      <c r="D8223" s="552" t="s">
        <v>1219</v>
      </c>
      <c r="E8223" s="553"/>
      <c r="F8223" s="553"/>
      <c r="G8223" s="554"/>
      <c r="H8223" s="826">
        <f>H8222+H8220+H8217</f>
        <v>401385</v>
      </c>
      <c r="I8223" s="827"/>
    </row>
    <row r="8224" spans="3:11" ht="25.8" customHeight="1">
      <c r="C8224" s="566" t="s">
        <v>1220</v>
      </c>
      <c r="D8224" s="552" t="s">
        <v>1321</v>
      </c>
      <c r="E8224" s="553"/>
      <c r="F8224" s="554"/>
      <c r="G8224" s="555">
        <f>$M$9</f>
        <v>0.1</v>
      </c>
      <c r="H8224" s="539">
        <f>H8223*G8224</f>
        <v>40138.5</v>
      </c>
      <c r="I8224" s="827"/>
    </row>
    <row r="8225" spans="3:11" ht="25.8" customHeight="1">
      <c r="C8225" s="566" t="s">
        <v>1221</v>
      </c>
      <c r="D8225" s="552" t="s">
        <v>1222</v>
      </c>
      <c r="E8225" s="553"/>
      <c r="F8225" s="553"/>
      <c r="G8225" s="554"/>
      <c r="H8225" s="828">
        <f>SUM(H8223:H8224)</f>
        <v>441523.5</v>
      </c>
      <c r="I8225" s="827"/>
    </row>
    <row r="8226" spans="3:11" ht="25.8" customHeight="1"/>
    <row r="8227" spans="3:11" ht="25.8" customHeight="1">
      <c r="C8227" s="513" t="s">
        <v>6236</v>
      </c>
      <c r="D8227" s="817" t="s">
        <v>6237</v>
      </c>
      <c r="E8227" s="803"/>
      <c r="F8227" s="803"/>
      <c r="G8227" s="803"/>
      <c r="H8227" s="803"/>
      <c r="I8227" s="533">
        <f>ROUNDDOWN(H8242,-2)</f>
        <v>3110000</v>
      </c>
      <c r="J8227" s="536"/>
      <c r="K8227" s="824"/>
    </row>
    <row r="8228" spans="3:11" ht="25.8" customHeight="1">
      <c r="C8228" s="716" t="s">
        <v>1195</v>
      </c>
      <c r="D8228" s="716" t="s">
        <v>1196</v>
      </c>
      <c r="E8228" s="716" t="s">
        <v>1197</v>
      </c>
      <c r="F8228" s="716" t="s">
        <v>1198</v>
      </c>
      <c r="G8228" s="716" t="s">
        <v>1199</v>
      </c>
      <c r="H8228" s="716" t="s">
        <v>1200</v>
      </c>
    </row>
    <row r="8229" spans="3:11" ht="25.8" customHeight="1">
      <c r="C8229" s="213" t="s">
        <v>1201</v>
      </c>
      <c r="D8229" s="212" t="s">
        <v>1202</v>
      </c>
      <c r="E8229" s="534"/>
      <c r="F8229" s="534"/>
      <c r="G8229" s="534"/>
      <c r="H8229" s="534"/>
    </row>
    <row r="8230" spans="3:11" ht="25.8" customHeight="1">
      <c r="C8230" s="818">
        <v>1</v>
      </c>
      <c r="D8230" s="212" t="s">
        <v>5</v>
      </c>
      <c r="E8230" s="212" t="s">
        <v>6</v>
      </c>
      <c r="F8230" s="538">
        <v>0.41699999999999998</v>
      </c>
      <c r="G8230" s="539">
        <f>VLOOKUP(D8230,upahbahan,3,FALSE)</f>
        <v>100000</v>
      </c>
      <c r="H8230" s="539">
        <f t="shared" ref="H8230:H8233" si="868">F8230*G8230</f>
        <v>41700</v>
      </c>
    </row>
    <row r="8231" spans="3:11" ht="25.8" customHeight="1">
      <c r="C8231" s="818">
        <v>2</v>
      </c>
      <c r="D8231" s="212" t="s">
        <v>17</v>
      </c>
      <c r="E8231" s="212" t="s">
        <v>6</v>
      </c>
      <c r="F8231" s="538">
        <v>0.69599999999999995</v>
      </c>
      <c r="G8231" s="539">
        <f>VLOOKUP(D8231,upahbahan,3,FALSE)</f>
        <v>135000</v>
      </c>
      <c r="H8231" s="539">
        <f t="shared" si="868"/>
        <v>93960</v>
      </c>
    </row>
    <row r="8232" spans="3:11" ht="25.8" customHeight="1">
      <c r="C8232" s="818">
        <v>3</v>
      </c>
      <c r="D8232" s="212" t="s">
        <v>1310</v>
      </c>
      <c r="E8232" s="212" t="s">
        <v>6</v>
      </c>
      <c r="F8232" s="538">
        <v>7.0000000000000007E-2</v>
      </c>
      <c r="G8232" s="539">
        <f>VLOOKUP(D8232,upahbahan,3,FALSE)</f>
        <v>150000</v>
      </c>
      <c r="H8232" s="539">
        <f t="shared" si="868"/>
        <v>10500.000000000002</v>
      </c>
    </row>
    <row r="8233" spans="3:11" ht="25.8" customHeight="1">
      <c r="C8233" s="818">
        <v>4</v>
      </c>
      <c r="D8233" s="212" t="s">
        <v>19</v>
      </c>
      <c r="E8233" s="212" t="s">
        <v>6</v>
      </c>
      <c r="F8233" s="538">
        <v>2.3E-2</v>
      </c>
      <c r="G8233" s="539">
        <f>VLOOKUP(D8233,upahbahan,3,FALSE)</f>
        <v>160000</v>
      </c>
      <c r="H8233" s="539">
        <f t="shared" si="868"/>
        <v>3680</v>
      </c>
    </row>
    <row r="8234" spans="3:11" ht="25.8" customHeight="1">
      <c r="C8234" s="702" t="s">
        <v>1208</v>
      </c>
      <c r="D8234" s="208"/>
      <c r="E8234" s="208"/>
      <c r="F8234" s="811"/>
      <c r="G8234" s="522"/>
      <c r="H8234" s="539">
        <f>SUM(H8230:H8233)</f>
        <v>149840</v>
      </c>
      <c r="I8234" s="819"/>
    </row>
    <row r="8235" spans="3:11" ht="25.8" customHeight="1">
      <c r="C8235" s="213" t="s">
        <v>1209</v>
      </c>
      <c r="D8235" s="212" t="s">
        <v>1210</v>
      </c>
      <c r="E8235" s="534"/>
      <c r="F8235" s="831"/>
      <c r="G8235" s="534"/>
      <c r="H8235" s="534"/>
    </row>
    <row r="8236" spans="3:11" ht="25.8" customHeight="1">
      <c r="C8236" s="213">
        <v>1</v>
      </c>
      <c r="D8236" s="212" t="s">
        <v>6238</v>
      </c>
      <c r="E8236" s="234" t="s">
        <v>3182</v>
      </c>
      <c r="F8236" s="866">
        <v>1.05</v>
      </c>
      <c r="G8236" s="539">
        <f>VLOOKUP(D8236,upahbahan,3,FALSE)</f>
        <v>2550000</v>
      </c>
      <c r="H8236" s="539">
        <f t="shared" ref="H8236" si="869">F8236*G8236</f>
        <v>2677500</v>
      </c>
    </row>
    <row r="8237" spans="3:11" ht="25.8" customHeight="1">
      <c r="C8237" s="702" t="s">
        <v>1214</v>
      </c>
      <c r="D8237" s="208"/>
      <c r="E8237" s="208" t="s">
        <v>6045</v>
      </c>
      <c r="F8237" s="208"/>
      <c r="G8237" s="209"/>
      <c r="H8237" s="539">
        <f>SUM(H8235:H8236)</f>
        <v>2677500</v>
      </c>
    </row>
    <row r="8238" spans="3:11" ht="25.8" customHeight="1">
      <c r="C8238" s="213" t="s">
        <v>1215</v>
      </c>
      <c r="D8238" s="212" t="s">
        <v>1216</v>
      </c>
      <c r="E8238" s="534"/>
      <c r="F8238" s="534"/>
      <c r="G8238" s="534"/>
      <c r="H8238" s="534"/>
    </row>
    <row r="8239" spans="3:11" ht="25.8" customHeight="1">
      <c r="C8239" s="702" t="s">
        <v>1217</v>
      </c>
      <c r="D8239" s="815"/>
      <c r="E8239" s="815"/>
      <c r="F8239" s="815"/>
      <c r="G8239" s="209"/>
      <c r="H8239" s="821">
        <f>SUM(H8238:H8238)</f>
        <v>0</v>
      </c>
    </row>
    <row r="8240" spans="3:11" ht="25.8" customHeight="1">
      <c r="C8240" s="566" t="s">
        <v>1218</v>
      </c>
      <c r="D8240" s="552" t="s">
        <v>1219</v>
      </c>
      <c r="E8240" s="553"/>
      <c r="F8240" s="553"/>
      <c r="G8240" s="554"/>
      <c r="H8240" s="826">
        <f>H8239+H8237+H8234</f>
        <v>2827340</v>
      </c>
      <c r="I8240" s="827"/>
    </row>
    <row r="8241" spans="3:11" ht="25.8" customHeight="1">
      <c r="C8241" s="566" t="s">
        <v>1220</v>
      </c>
      <c r="D8241" s="552" t="s">
        <v>1321</v>
      </c>
      <c r="E8241" s="553"/>
      <c r="F8241" s="554"/>
      <c r="G8241" s="555">
        <f>$M$9</f>
        <v>0.1</v>
      </c>
      <c r="H8241" s="539">
        <f>H8240*G8241</f>
        <v>282734</v>
      </c>
      <c r="I8241" s="827"/>
    </row>
    <row r="8242" spans="3:11" ht="25.8" customHeight="1">
      <c r="C8242" s="566" t="s">
        <v>1221</v>
      </c>
      <c r="D8242" s="552" t="s">
        <v>1222</v>
      </c>
      <c r="E8242" s="553"/>
      <c r="F8242" s="553"/>
      <c r="G8242" s="554"/>
      <c r="H8242" s="828">
        <f>SUM(H8240:H8241)</f>
        <v>3110074</v>
      </c>
      <c r="I8242" s="827"/>
    </row>
    <row r="8243" spans="3:11" ht="25.8" customHeight="1"/>
    <row r="8244" spans="3:11" ht="25.8" customHeight="1"/>
    <row r="8245" spans="3:11" ht="25.8" customHeight="1">
      <c r="C8245" s="571" t="s">
        <v>6239</v>
      </c>
      <c r="D8245" s="571" t="s">
        <v>6240</v>
      </c>
    </row>
    <row r="8246" spans="3:11" ht="25.8" customHeight="1">
      <c r="C8246" s="513" t="s">
        <v>6241</v>
      </c>
      <c r="D8246" s="817" t="s">
        <v>6242</v>
      </c>
      <c r="E8246" s="803"/>
      <c r="F8246" s="803"/>
      <c r="G8246" s="803"/>
      <c r="H8246" s="803"/>
      <c r="I8246" s="533">
        <f>ROUNDDOWN(H8266,-2)</f>
        <v>1522200</v>
      </c>
      <c r="J8246" s="536"/>
      <c r="K8246" s="824"/>
    </row>
    <row r="8247" spans="3:11" ht="25.8" customHeight="1">
      <c r="C8247" s="716" t="s">
        <v>1195</v>
      </c>
      <c r="D8247" s="716" t="s">
        <v>1196</v>
      </c>
      <c r="E8247" s="716" t="s">
        <v>1197</v>
      </c>
      <c r="F8247" s="716" t="s">
        <v>1198</v>
      </c>
      <c r="G8247" s="716" t="s">
        <v>1199</v>
      </c>
      <c r="H8247" s="716" t="s">
        <v>1200</v>
      </c>
    </row>
    <row r="8248" spans="3:11" ht="25.8" customHeight="1">
      <c r="C8248" s="213" t="s">
        <v>1201</v>
      </c>
      <c r="D8248" s="212" t="s">
        <v>1202</v>
      </c>
      <c r="E8248" s="534"/>
      <c r="F8248" s="534"/>
      <c r="G8248" s="534"/>
      <c r="H8248" s="534"/>
    </row>
    <row r="8249" spans="3:11" ht="25.8" customHeight="1">
      <c r="C8249" s="818">
        <v>1</v>
      </c>
      <c r="D8249" s="212" t="s">
        <v>5</v>
      </c>
      <c r="E8249" s="212" t="s">
        <v>6</v>
      </c>
      <c r="F8249" s="538">
        <v>0.20499999999999999</v>
      </c>
      <c r="G8249" s="539">
        <f>VLOOKUP(D8249,upahbahan,3,FALSE)</f>
        <v>100000</v>
      </c>
      <c r="H8249" s="539">
        <f t="shared" ref="H8249:H8252" si="870">F8249*G8249</f>
        <v>20500</v>
      </c>
    </row>
    <row r="8250" spans="3:11" ht="25.8" customHeight="1">
      <c r="C8250" s="818">
        <v>2</v>
      </c>
      <c r="D8250" s="212" t="s">
        <v>17</v>
      </c>
      <c r="E8250" s="212" t="s">
        <v>6</v>
      </c>
      <c r="F8250" s="538">
        <v>0.34200000000000003</v>
      </c>
      <c r="G8250" s="539">
        <f>VLOOKUP(D8250,upahbahan,3,FALSE)</f>
        <v>135000</v>
      </c>
      <c r="H8250" s="539">
        <f t="shared" si="870"/>
        <v>46170</v>
      </c>
    </row>
    <row r="8251" spans="3:11" ht="25.8" customHeight="1">
      <c r="C8251" s="818">
        <v>3</v>
      </c>
      <c r="D8251" s="212" t="s">
        <v>1310</v>
      </c>
      <c r="E8251" s="212" t="s">
        <v>6</v>
      </c>
      <c r="F8251" s="538">
        <v>3.4000000000000002E-2</v>
      </c>
      <c r="G8251" s="539">
        <f>VLOOKUP(D8251,upahbahan,3,FALSE)</f>
        <v>150000</v>
      </c>
      <c r="H8251" s="539">
        <f t="shared" si="870"/>
        <v>5100</v>
      </c>
    </row>
    <row r="8252" spans="3:11" ht="25.8" customHeight="1">
      <c r="C8252" s="818">
        <v>4</v>
      </c>
      <c r="D8252" s="212" t="s">
        <v>19</v>
      </c>
      <c r="E8252" s="212" t="s">
        <v>6</v>
      </c>
      <c r="F8252" s="538">
        <v>1.0999999999999999E-2</v>
      </c>
      <c r="G8252" s="539">
        <f>VLOOKUP(D8252,upahbahan,3,FALSE)</f>
        <v>160000</v>
      </c>
      <c r="H8252" s="539">
        <f t="shared" si="870"/>
        <v>1760</v>
      </c>
    </row>
    <row r="8253" spans="3:11" ht="25.8" customHeight="1">
      <c r="C8253" s="702" t="s">
        <v>1208</v>
      </c>
      <c r="D8253" s="208"/>
      <c r="E8253" s="208"/>
      <c r="F8253" s="811"/>
      <c r="G8253" s="522"/>
      <c r="H8253" s="539">
        <f>SUM(H8249:H8252)</f>
        <v>73530</v>
      </c>
      <c r="I8253" s="819"/>
    </row>
    <row r="8254" spans="3:11" ht="25.8" customHeight="1">
      <c r="C8254" s="213" t="s">
        <v>1209</v>
      </c>
      <c r="D8254" s="212" t="s">
        <v>1210</v>
      </c>
      <c r="E8254" s="534"/>
      <c r="F8254" s="831"/>
      <c r="G8254" s="534"/>
      <c r="H8254" s="534"/>
    </row>
    <row r="8255" spans="3:11" ht="25.8" customHeight="1">
      <c r="C8255" s="213">
        <v>1</v>
      </c>
      <c r="D8255" s="212" t="s">
        <v>3390</v>
      </c>
      <c r="E8255" s="234" t="s">
        <v>1300</v>
      </c>
      <c r="F8255" s="866">
        <v>27.5</v>
      </c>
      <c r="G8255" s="539">
        <f t="shared" ref="G8255:G8260" si="871">VLOOKUP(D8255,upahbahan,3,FALSE)</f>
        <v>0</v>
      </c>
      <c r="H8255" s="539">
        <f t="shared" ref="H8255:H8259" si="872">F8255*G8255</f>
        <v>0</v>
      </c>
    </row>
    <row r="8256" spans="3:11" ht="25.8" customHeight="1">
      <c r="C8256" s="213">
        <v>2</v>
      </c>
      <c r="D8256" s="212" t="s">
        <v>3542</v>
      </c>
      <c r="E8256" s="234" t="s">
        <v>1300</v>
      </c>
      <c r="F8256" s="866">
        <v>27.5</v>
      </c>
      <c r="G8256" s="539">
        <f t="shared" si="871"/>
        <v>16195.5</v>
      </c>
      <c r="H8256" s="539">
        <f t="shared" si="872"/>
        <v>445376.25</v>
      </c>
    </row>
    <row r="8257" spans="3:11" ht="25.8" customHeight="1">
      <c r="C8257" s="213">
        <v>3</v>
      </c>
      <c r="D8257" s="212" t="s">
        <v>3541</v>
      </c>
      <c r="E8257" s="234" t="s">
        <v>44</v>
      </c>
      <c r="F8257" s="866">
        <v>14</v>
      </c>
      <c r="G8257" s="539">
        <f t="shared" si="871"/>
        <v>700</v>
      </c>
      <c r="H8257" s="539">
        <f t="shared" si="872"/>
        <v>9800</v>
      </c>
    </row>
    <row r="8258" spans="3:11" ht="25.8" customHeight="1">
      <c r="C8258" s="213">
        <v>4</v>
      </c>
      <c r="D8258" s="212" t="s">
        <v>5816</v>
      </c>
      <c r="E8258" s="234" t="s">
        <v>44</v>
      </c>
      <c r="F8258" s="866">
        <v>28</v>
      </c>
      <c r="G8258" s="539">
        <f t="shared" si="871"/>
        <v>891</v>
      </c>
      <c r="H8258" s="539">
        <f t="shared" si="872"/>
        <v>24948</v>
      </c>
    </row>
    <row r="8259" spans="3:11" ht="25.8" customHeight="1">
      <c r="C8259" s="213">
        <v>5</v>
      </c>
      <c r="D8259" s="212" t="s">
        <v>3545</v>
      </c>
      <c r="E8259" s="234" t="s">
        <v>44</v>
      </c>
      <c r="F8259" s="866">
        <v>42</v>
      </c>
      <c r="G8259" s="539">
        <f t="shared" si="871"/>
        <v>14850</v>
      </c>
      <c r="H8259" s="539">
        <f t="shared" si="872"/>
        <v>623700</v>
      </c>
    </row>
    <row r="8260" spans="3:11" ht="25.8" customHeight="1">
      <c r="C8260" s="213">
        <v>6</v>
      </c>
      <c r="D8260" s="212" t="s">
        <v>6243</v>
      </c>
      <c r="E8260" s="234" t="s">
        <v>44</v>
      </c>
      <c r="F8260" s="866">
        <v>81</v>
      </c>
      <c r="G8260" s="539">
        <f t="shared" si="871"/>
        <v>2550</v>
      </c>
      <c r="H8260" s="539">
        <f t="shared" ref="H8260" si="873">F8260*G8260</f>
        <v>206550</v>
      </c>
    </row>
    <row r="8261" spans="3:11" ht="25.8" customHeight="1">
      <c r="C8261" s="702" t="s">
        <v>1214</v>
      </c>
      <c r="D8261" s="208"/>
      <c r="E8261" s="208" t="s">
        <v>6045</v>
      </c>
      <c r="F8261" s="208"/>
      <c r="G8261" s="209"/>
      <c r="H8261" s="539">
        <f>SUM(H8254:H8260)</f>
        <v>1310374.25</v>
      </c>
    </row>
    <row r="8262" spans="3:11" ht="25.8" customHeight="1">
      <c r="C8262" s="213" t="s">
        <v>1215</v>
      </c>
      <c r="D8262" s="212" t="s">
        <v>1216</v>
      </c>
      <c r="E8262" s="534"/>
      <c r="F8262" s="534"/>
      <c r="G8262" s="534"/>
      <c r="H8262" s="534"/>
    </row>
    <row r="8263" spans="3:11" ht="25.8" customHeight="1">
      <c r="C8263" s="702" t="s">
        <v>1217</v>
      </c>
      <c r="D8263" s="815"/>
      <c r="E8263" s="815"/>
      <c r="F8263" s="815"/>
      <c r="G8263" s="209"/>
      <c r="H8263" s="821">
        <f>SUM(H8262:H8262)</f>
        <v>0</v>
      </c>
    </row>
    <row r="8264" spans="3:11" ht="25.8" customHeight="1">
      <c r="C8264" s="566" t="s">
        <v>1218</v>
      </c>
      <c r="D8264" s="552" t="s">
        <v>1219</v>
      </c>
      <c r="E8264" s="553"/>
      <c r="F8264" s="553"/>
      <c r="G8264" s="554"/>
      <c r="H8264" s="826">
        <f>H8263+H8261+H8253</f>
        <v>1383904.25</v>
      </c>
      <c r="I8264" s="827"/>
    </row>
    <row r="8265" spans="3:11" ht="25.8" customHeight="1">
      <c r="C8265" s="566" t="s">
        <v>1220</v>
      </c>
      <c r="D8265" s="552" t="s">
        <v>1321</v>
      </c>
      <c r="E8265" s="553"/>
      <c r="F8265" s="554"/>
      <c r="G8265" s="555">
        <f>$M$9</f>
        <v>0.1</v>
      </c>
      <c r="H8265" s="539">
        <f>H8264*G8265</f>
        <v>138390.42500000002</v>
      </c>
      <c r="I8265" s="827"/>
    </row>
    <row r="8266" spans="3:11" ht="25.8" customHeight="1">
      <c r="C8266" s="566" t="s">
        <v>1221</v>
      </c>
      <c r="D8266" s="552" t="s">
        <v>1222</v>
      </c>
      <c r="E8266" s="553"/>
      <c r="F8266" s="553"/>
      <c r="G8266" s="554"/>
      <c r="H8266" s="828">
        <f>SUM(H8264:H8265)</f>
        <v>1522294.675</v>
      </c>
      <c r="I8266" s="827"/>
    </row>
    <row r="8267" spans="3:11" ht="25.8" customHeight="1"/>
    <row r="8268" spans="3:11" ht="25.8" customHeight="1">
      <c r="C8268" s="513" t="s">
        <v>6244</v>
      </c>
      <c r="D8268" s="817" t="s">
        <v>6248</v>
      </c>
      <c r="E8268" s="803"/>
      <c r="F8268" s="803"/>
      <c r="G8268" s="803"/>
      <c r="H8268" s="803"/>
      <c r="I8268" s="533">
        <f>ROUNDDOWN(H8283,-2)</f>
        <v>140900</v>
      </c>
      <c r="J8268" s="536"/>
      <c r="K8268" s="824"/>
    </row>
    <row r="8269" spans="3:11" ht="25.8" customHeight="1">
      <c r="C8269" s="716" t="s">
        <v>1195</v>
      </c>
      <c r="D8269" s="716" t="s">
        <v>1196</v>
      </c>
      <c r="E8269" s="716" t="s">
        <v>1197</v>
      </c>
      <c r="F8269" s="716" t="s">
        <v>1198</v>
      </c>
      <c r="G8269" s="716" t="s">
        <v>1199</v>
      </c>
      <c r="H8269" s="716" t="s">
        <v>1200</v>
      </c>
    </row>
    <row r="8270" spans="3:11" ht="25.8" customHeight="1">
      <c r="C8270" s="213" t="s">
        <v>1201</v>
      </c>
      <c r="D8270" s="212" t="s">
        <v>1202</v>
      </c>
      <c r="E8270" s="534"/>
      <c r="F8270" s="534"/>
      <c r="G8270" s="534"/>
      <c r="H8270" s="534"/>
    </row>
    <row r="8271" spans="3:11" ht="25.8" customHeight="1">
      <c r="C8271" s="818">
        <v>1</v>
      </c>
      <c r="D8271" s="212" t="s">
        <v>5</v>
      </c>
      <c r="E8271" s="212" t="s">
        <v>6</v>
      </c>
      <c r="F8271" s="538">
        <v>6.4000000000000001E-2</v>
      </c>
      <c r="G8271" s="539">
        <f>VLOOKUP(D8271,upahbahan,3,FALSE)</f>
        <v>100000</v>
      </c>
      <c r="H8271" s="539">
        <f t="shared" ref="H8271:H8274" si="874">F8271*G8271</f>
        <v>6400</v>
      </c>
    </row>
    <row r="8272" spans="3:11" ht="25.8" customHeight="1">
      <c r="C8272" s="818">
        <v>2</v>
      </c>
      <c r="D8272" s="212" t="s">
        <v>17</v>
      </c>
      <c r="E8272" s="212" t="s">
        <v>6</v>
      </c>
      <c r="F8272" s="538">
        <v>0.107</v>
      </c>
      <c r="G8272" s="539">
        <f>VLOOKUP(D8272,upahbahan,3,FALSE)</f>
        <v>135000</v>
      </c>
      <c r="H8272" s="539">
        <f t="shared" si="874"/>
        <v>14445</v>
      </c>
    </row>
    <row r="8273" spans="3:11" ht="25.8" customHeight="1">
      <c r="C8273" s="818">
        <v>3</v>
      </c>
      <c r="D8273" s="212" t="s">
        <v>1310</v>
      </c>
      <c r="E8273" s="212" t="s">
        <v>6</v>
      </c>
      <c r="F8273" s="538">
        <v>1.0999999999999999E-2</v>
      </c>
      <c r="G8273" s="539">
        <f>VLOOKUP(D8273,upahbahan,3,FALSE)</f>
        <v>150000</v>
      </c>
      <c r="H8273" s="539">
        <f t="shared" si="874"/>
        <v>1650</v>
      </c>
    </row>
    <row r="8274" spans="3:11" ht="25.8" customHeight="1">
      <c r="C8274" s="818">
        <v>4</v>
      </c>
      <c r="D8274" s="212" t="s">
        <v>19</v>
      </c>
      <c r="E8274" s="212" t="s">
        <v>6</v>
      </c>
      <c r="F8274" s="538">
        <v>4.0000000000000001E-3</v>
      </c>
      <c r="G8274" s="539">
        <f>VLOOKUP(D8274,upahbahan,3,FALSE)</f>
        <v>160000</v>
      </c>
      <c r="H8274" s="539">
        <f t="shared" si="874"/>
        <v>640</v>
      </c>
    </row>
    <row r="8275" spans="3:11" ht="25.8" customHeight="1">
      <c r="C8275" s="702" t="s">
        <v>1208</v>
      </c>
      <c r="D8275" s="208"/>
      <c r="E8275" s="208"/>
      <c r="F8275" s="811"/>
      <c r="G8275" s="522"/>
      <c r="H8275" s="539">
        <f>SUM(H8271:H8274)</f>
        <v>23135</v>
      </c>
      <c r="I8275" s="819"/>
    </row>
    <row r="8276" spans="3:11" ht="25.8" customHeight="1">
      <c r="C8276" s="213" t="s">
        <v>1209</v>
      </c>
      <c r="D8276" s="212" t="s">
        <v>1210</v>
      </c>
      <c r="E8276" s="534"/>
      <c r="F8276" s="831"/>
      <c r="G8276" s="534"/>
      <c r="H8276" s="534"/>
    </row>
    <row r="8277" spans="3:11" ht="25.8" customHeight="1">
      <c r="C8277" s="213">
        <v>1</v>
      </c>
      <c r="D8277" s="212" t="s">
        <v>6245</v>
      </c>
      <c r="E8277" s="234" t="s">
        <v>235</v>
      </c>
      <c r="F8277" s="866">
        <v>1.05</v>
      </c>
      <c r="G8277" s="539">
        <f>VLOOKUP(D8277,upahbahan,3,FALSE)</f>
        <v>100000</v>
      </c>
      <c r="H8277" s="539">
        <f t="shared" ref="H8277" si="875">F8277*G8277</f>
        <v>105000</v>
      </c>
    </row>
    <row r="8278" spans="3:11" ht="25.8" customHeight="1">
      <c r="C8278" s="702" t="s">
        <v>1214</v>
      </c>
      <c r="D8278" s="208"/>
      <c r="E8278" s="208" t="s">
        <v>6045</v>
      </c>
      <c r="F8278" s="208"/>
      <c r="G8278" s="209"/>
      <c r="H8278" s="539">
        <f>SUM(H8276:H8277)</f>
        <v>105000</v>
      </c>
    </row>
    <row r="8279" spans="3:11" ht="25.8" customHeight="1">
      <c r="C8279" s="213" t="s">
        <v>1215</v>
      </c>
      <c r="D8279" s="212" t="s">
        <v>1216</v>
      </c>
      <c r="E8279" s="534"/>
      <c r="F8279" s="534"/>
      <c r="G8279" s="534"/>
      <c r="H8279" s="534"/>
    </row>
    <row r="8280" spans="3:11" ht="25.8" customHeight="1">
      <c r="C8280" s="702" t="s">
        <v>1217</v>
      </c>
      <c r="D8280" s="815"/>
      <c r="E8280" s="815"/>
      <c r="F8280" s="815"/>
      <c r="G8280" s="209"/>
      <c r="H8280" s="821">
        <f>SUM(H8279:H8279)</f>
        <v>0</v>
      </c>
    </row>
    <row r="8281" spans="3:11" ht="25.8" customHeight="1">
      <c r="C8281" s="566" t="s">
        <v>1218</v>
      </c>
      <c r="D8281" s="552" t="s">
        <v>1219</v>
      </c>
      <c r="E8281" s="553"/>
      <c r="F8281" s="553"/>
      <c r="G8281" s="554"/>
      <c r="H8281" s="826">
        <f>H8280+H8278+H8275</f>
        <v>128135</v>
      </c>
      <c r="I8281" s="827"/>
    </row>
    <row r="8282" spans="3:11" ht="25.8" customHeight="1">
      <c r="C8282" s="566" t="s">
        <v>1220</v>
      </c>
      <c r="D8282" s="552" t="s">
        <v>1321</v>
      </c>
      <c r="E8282" s="553"/>
      <c r="F8282" s="554"/>
      <c r="G8282" s="555">
        <f>$M$9</f>
        <v>0.1</v>
      </c>
      <c r="H8282" s="539">
        <f>H8281*G8282</f>
        <v>12813.5</v>
      </c>
      <c r="I8282" s="827"/>
    </row>
    <row r="8283" spans="3:11" ht="25.8" customHeight="1">
      <c r="C8283" s="566" t="s">
        <v>1221</v>
      </c>
      <c r="D8283" s="552" t="s">
        <v>1222</v>
      </c>
      <c r="E8283" s="553"/>
      <c r="F8283" s="553"/>
      <c r="G8283" s="554"/>
      <c r="H8283" s="828">
        <f>SUM(H8281:H8282)</f>
        <v>140948.5</v>
      </c>
      <c r="I8283" s="827"/>
    </row>
    <row r="8284" spans="3:11" ht="25.8" customHeight="1"/>
    <row r="8285" spans="3:11" ht="25.8" customHeight="1">
      <c r="C8285" s="513" t="s">
        <v>6247</v>
      </c>
      <c r="D8285" s="817" t="s">
        <v>6249</v>
      </c>
      <c r="E8285" s="803"/>
      <c r="F8285" s="803"/>
      <c r="G8285" s="803"/>
      <c r="H8285" s="803"/>
      <c r="I8285" s="533">
        <f>ROUNDDOWN(H8300,-2)</f>
        <v>169800</v>
      </c>
      <c r="J8285" s="536"/>
      <c r="K8285" s="824"/>
    </row>
    <row r="8286" spans="3:11" ht="25.8" customHeight="1">
      <c r="C8286" s="716" t="s">
        <v>1195</v>
      </c>
      <c r="D8286" s="716" t="s">
        <v>1196</v>
      </c>
      <c r="E8286" s="716" t="s">
        <v>1197</v>
      </c>
      <c r="F8286" s="716" t="s">
        <v>1198</v>
      </c>
      <c r="G8286" s="716" t="s">
        <v>1199</v>
      </c>
      <c r="H8286" s="716" t="s">
        <v>1200</v>
      </c>
    </row>
    <row r="8287" spans="3:11" ht="25.8" customHeight="1">
      <c r="C8287" s="213" t="s">
        <v>1201</v>
      </c>
      <c r="D8287" s="212" t="s">
        <v>1202</v>
      </c>
      <c r="E8287" s="534"/>
      <c r="F8287" s="534"/>
      <c r="G8287" s="534"/>
      <c r="H8287" s="534"/>
    </row>
    <row r="8288" spans="3:11" ht="25.8" customHeight="1">
      <c r="C8288" s="818">
        <v>1</v>
      </c>
      <c r="D8288" s="212" t="s">
        <v>5</v>
      </c>
      <c r="E8288" s="212" t="s">
        <v>6</v>
      </c>
      <c r="F8288" s="538">
        <v>6.4000000000000001E-2</v>
      </c>
      <c r="G8288" s="539">
        <f>VLOOKUP(D8288,upahbahan,3,FALSE)</f>
        <v>100000</v>
      </c>
      <c r="H8288" s="539">
        <f t="shared" ref="H8288:H8291" si="876">F8288*G8288</f>
        <v>6400</v>
      </c>
    </row>
    <row r="8289" spans="3:11" ht="25.8" customHeight="1">
      <c r="C8289" s="818">
        <v>2</v>
      </c>
      <c r="D8289" s="212" t="s">
        <v>17</v>
      </c>
      <c r="E8289" s="212" t="s">
        <v>6</v>
      </c>
      <c r="F8289" s="538">
        <v>0.107</v>
      </c>
      <c r="G8289" s="539">
        <f>VLOOKUP(D8289,upahbahan,3,FALSE)</f>
        <v>135000</v>
      </c>
      <c r="H8289" s="539">
        <f t="shared" si="876"/>
        <v>14445</v>
      </c>
    </row>
    <row r="8290" spans="3:11" ht="25.8" customHeight="1">
      <c r="C8290" s="818">
        <v>3</v>
      </c>
      <c r="D8290" s="212" t="s">
        <v>1310</v>
      </c>
      <c r="E8290" s="212" t="s">
        <v>6</v>
      </c>
      <c r="F8290" s="538">
        <v>1.0999999999999999E-2</v>
      </c>
      <c r="G8290" s="539">
        <f>VLOOKUP(D8290,upahbahan,3,FALSE)</f>
        <v>150000</v>
      </c>
      <c r="H8290" s="539">
        <f t="shared" si="876"/>
        <v>1650</v>
      </c>
    </row>
    <row r="8291" spans="3:11" ht="25.8" customHeight="1">
      <c r="C8291" s="818">
        <v>4</v>
      </c>
      <c r="D8291" s="212" t="s">
        <v>19</v>
      </c>
      <c r="E8291" s="212" t="s">
        <v>6</v>
      </c>
      <c r="F8291" s="538">
        <v>4.0000000000000001E-3</v>
      </c>
      <c r="G8291" s="539">
        <f>VLOOKUP(D8291,upahbahan,3,FALSE)</f>
        <v>160000</v>
      </c>
      <c r="H8291" s="539">
        <f t="shared" si="876"/>
        <v>640</v>
      </c>
    </row>
    <row r="8292" spans="3:11" ht="25.8" customHeight="1">
      <c r="C8292" s="702" t="s">
        <v>1208</v>
      </c>
      <c r="D8292" s="208"/>
      <c r="E8292" s="208"/>
      <c r="F8292" s="811"/>
      <c r="G8292" s="522"/>
      <c r="H8292" s="539">
        <f>SUM(H8288:H8291)</f>
        <v>23135</v>
      </c>
      <c r="I8292" s="819"/>
    </row>
    <row r="8293" spans="3:11" ht="25.8" customHeight="1">
      <c r="C8293" s="213" t="s">
        <v>1209</v>
      </c>
      <c r="D8293" s="212" t="s">
        <v>1210</v>
      </c>
      <c r="E8293" s="534"/>
      <c r="F8293" s="831"/>
      <c r="G8293" s="534"/>
      <c r="H8293" s="534"/>
    </row>
    <row r="8294" spans="3:11" ht="25.8" customHeight="1">
      <c r="C8294" s="213">
        <v>1</v>
      </c>
      <c r="D8294" s="212" t="s">
        <v>6246</v>
      </c>
      <c r="E8294" s="234" t="s">
        <v>235</v>
      </c>
      <c r="F8294" s="866">
        <v>1.05</v>
      </c>
      <c r="G8294" s="539">
        <f>VLOOKUP(D8294,upahbahan,3,FALSE)</f>
        <v>125000</v>
      </c>
      <c r="H8294" s="539">
        <f t="shared" ref="H8294" si="877">F8294*G8294</f>
        <v>131250</v>
      </c>
    </row>
    <row r="8295" spans="3:11" ht="25.8" customHeight="1">
      <c r="C8295" s="702" t="s">
        <v>1214</v>
      </c>
      <c r="D8295" s="208"/>
      <c r="E8295" s="208" t="s">
        <v>6045</v>
      </c>
      <c r="F8295" s="208"/>
      <c r="G8295" s="209"/>
      <c r="H8295" s="539">
        <f>SUM(H8293:H8294)</f>
        <v>131250</v>
      </c>
    </row>
    <row r="8296" spans="3:11" ht="25.8" customHeight="1">
      <c r="C8296" s="213" t="s">
        <v>1215</v>
      </c>
      <c r="D8296" s="212" t="s">
        <v>1216</v>
      </c>
      <c r="E8296" s="534"/>
      <c r="F8296" s="534"/>
      <c r="G8296" s="534"/>
      <c r="H8296" s="534"/>
    </row>
    <row r="8297" spans="3:11" ht="25.8" customHeight="1">
      <c r="C8297" s="702" t="s">
        <v>1217</v>
      </c>
      <c r="D8297" s="815"/>
      <c r="E8297" s="815"/>
      <c r="F8297" s="815"/>
      <c r="G8297" s="209"/>
      <c r="H8297" s="821">
        <f>SUM(H8296:H8296)</f>
        <v>0</v>
      </c>
    </row>
    <row r="8298" spans="3:11" ht="25.8" customHeight="1">
      <c r="C8298" s="566" t="s">
        <v>1218</v>
      </c>
      <c r="D8298" s="552" t="s">
        <v>1219</v>
      </c>
      <c r="E8298" s="553"/>
      <c r="F8298" s="553"/>
      <c r="G8298" s="554"/>
      <c r="H8298" s="826">
        <f>H8297+H8295+H8292</f>
        <v>154385</v>
      </c>
      <c r="I8298" s="827"/>
    </row>
    <row r="8299" spans="3:11" ht="25.8" customHeight="1">
      <c r="C8299" s="566" t="s">
        <v>1220</v>
      </c>
      <c r="D8299" s="552" t="s">
        <v>1321</v>
      </c>
      <c r="E8299" s="553"/>
      <c r="F8299" s="554"/>
      <c r="G8299" s="555">
        <f>$M$9</f>
        <v>0.1</v>
      </c>
      <c r="H8299" s="539">
        <f>H8298*G8299</f>
        <v>15438.5</v>
      </c>
      <c r="I8299" s="827"/>
    </row>
    <row r="8300" spans="3:11" ht="25.8" customHeight="1">
      <c r="C8300" s="566" t="s">
        <v>1221</v>
      </c>
      <c r="D8300" s="552" t="s">
        <v>1222</v>
      </c>
      <c r="E8300" s="553"/>
      <c r="F8300" s="553"/>
      <c r="G8300" s="554"/>
      <c r="H8300" s="828">
        <f>SUM(H8298:H8299)</f>
        <v>169823.5</v>
      </c>
      <c r="I8300" s="827"/>
    </row>
    <row r="8301" spans="3:11" ht="25.8" customHeight="1"/>
    <row r="8302" spans="3:11" ht="25.8" customHeight="1"/>
    <row r="8303" spans="3:11" ht="25.8" customHeight="1">
      <c r="C8303" s="513" t="s">
        <v>6250</v>
      </c>
      <c r="D8303" s="817" t="s">
        <v>6251</v>
      </c>
      <c r="E8303" s="803"/>
      <c r="F8303" s="803"/>
      <c r="G8303" s="803"/>
      <c r="H8303" s="803"/>
      <c r="I8303" s="533">
        <f>ROUNDDOWN(H8318,-2)</f>
        <v>309400</v>
      </c>
      <c r="J8303" s="536"/>
      <c r="K8303" s="824"/>
    </row>
    <row r="8304" spans="3:11" ht="25.8" customHeight="1">
      <c r="C8304" s="716" t="s">
        <v>1195</v>
      </c>
      <c r="D8304" s="716" t="s">
        <v>1196</v>
      </c>
      <c r="E8304" s="716" t="s">
        <v>1197</v>
      </c>
      <c r="F8304" s="716" t="s">
        <v>1198</v>
      </c>
      <c r="G8304" s="716" t="s">
        <v>1199</v>
      </c>
      <c r="H8304" s="716" t="s">
        <v>1200</v>
      </c>
    </row>
    <row r="8305" spans="3:11" ht="25.8" customHeight="1">
      <c r="C8305" s="213" t="s">
        <v>1201</v>
      </c>
      <c r="D8305" s="212" t="s">
        <v>1202</v>
      </c>
      <c r="E8305" s="534"/>
      <c r="F8305" s="534"/>
      <c r="G8305" s="534"/>
      <c r="H8305" s="534"/>
    </row>
    <row r="8306" spans="3:11" ht="25.8" customHeight="1">
      <c r="C8306" s="818">
        <v>1</v>
      </c>
      <c r="D8306" s="212" t="s">
        <v>5</v>
      </c>
      <c r="E8306" s="212" t="s">
        <v>6</v>
      </c>
      <c r="F8306" s="538">
        <v>5.1999999999999998E-2</v>
      </c>
      <c r="G8306" s="539">
        <f>VLOOKUP(D8306,upahbahan,3,FALSE)</f>
        <v>100000</v>
      </c>
      <c r="H8306" s="539">
        <f t="shared" ref="H8306:H8309" si="878">F8306*G8306</f>
        <v>5200</v>
      </c>
    </row>
    <row r="8307" spans="3:11" ht="25.8" customHeight="1">
      <c r="C8307" s="818">
        <v>2</v>
      </c>
      <c r="D8307" s="212" t="s">
        <v>17</v>
      </c>
      <c r="E8307" s="212" t="s">
        <v>6</v>
      </c>
      <c r="F8307" s="538">
        <v>8.6999999999999994E-2</v>
      </c>
      <c r="G8307" s="539">
        <f>VLOOKUP(D8307,upahbahan,3,FALSE)</f>
        <v>135000</v>
      </c>
      <c r="H8307" s="539">
        <f t="shared" si="878"/>
        <v>11745</v>
      </c>
    </row>
    <row r="8308" spans="3:11" ht="25.8" customHeight="1">
      <c r="C8308" s="818">
        <v>3</v>
      </c>
      <c r="D8308" s="212" t="s">
        <v>1310</v>
      </c>
      <c r="E8308" s="212" t="s">
        <v>6</v>
      </c>
      <c r="F8308" s="538">
        <v>8.9999999999999993E-3</v>
      </c>
      <c r="G8308" s="539">
        <f>VLOOKUP(D8308,upahbahan,3,FALSE)</f>
        <v>150000</v>
      </c>
      <c r="H8308" s="539">
        <f t="shared" si="878"/>
        <v>1350</v>
      </c>
    </row>
    <row r="8309" spans="3:11" ht="25.8" customHeight="1">
      <c r="C8309" s="818">
        <v>4</v>
      </c>
      <c r="D8309" s="212" t="s">
        <v>19</v>
      </c>
      <c r="E8309" s="212" t="s">
        <v>6</v>
      </c>
      <c r="F8309" s="538">
        <v>3.0000000000000001E-3</v>
      </c>
      <c r="G8309" s="539">
        <f>VLOOKUP(D8309,upahbahan,3,FALSE)</f>
        <v>160000</v>
      </c>
      <c r="H8309" s="539">
        <f t="shared" si="878"/>
        <v>480</v>
      </c>
    </row>
    <row r="8310" spans="3:11" ht="25.8" customHeight="1">
      <c r="C8310" s="702" t="s">
        <v>1208</v>
      </c>
      <c r="D8310" s="208"/>
      <c r="E8310" s="208"/>
      <c r="F8310" s="811"/>
      <c r="G8310" s="522"/>
      <c r="H8310" s="539">
        <f>SUM(H8306:H8309)</f>
        <v>18775</v>
      </c>
      <c r="I8310" s="819"/>
    </row>
    <row r="8311" spans="3:11" ht="25.8" customHeight="1">
      <c r="C8311" s="213" t="s">
        <v>1209</v>
      </c>
      <c r="D8311" s="212" t="s">
        <v>1210</v>
      </c>
      <c r="E8311" s="534"/>
      <c r="F8311" s="831"/>
      <c r="G8311" s="534"/>
      <c r="H8311" s="534"/>
    </row>
    <row r="8312" spans="3:11" ht="25.8" customHeight="1">
      <c r="C8312" s="213">
        <v>1</v>
      </c>
      <c r="D8312" s="212" t="s">
        <v>6252</v>
      </c>
      <c r="E8312" s="234" t="s">
        <v>235</v>
      </c>
      <c r="F8312" s="866">
        <v>1.05</v>
      </c>
      <c r="G8312" s="539">
        <f>VLOOKUP(D8312,upahbahan,3,FALSE)</f>
        <v>250000</v>
      </c>
      <c r="H8312" s="539">
        <f t="shared" ref="H8312" si="879">F8312*G8312</f>
        <v>262500</v>
      </c>
    </row>
    <row r="8313" spans="3:11" ht="25.8" customHeight="1">
      <c r="C8313" s="702" t="s">
        <v>1214</v>
      </c>
      <c r="D8313" s="208"/>
      <c r="E8313" s="208" t="s">
        <v>6045</v>
      </c>
      <c r="F8313" s="208"/>
      <c r="G8313" s="209"/>
      <c r="H8313" s="539">
        <f>SUM(H8311:H8312)</f>
        <v>262500</v>
      </c>
    </row>
    <row r="8314" spans="3:11" ht="25.8" customHeight="1">
      <c r="C8314" s="213" t="s">
        <v>1215</v>
      </c>
      <c r="D8314" s="212" t="s">
        <v>1216</v>
      </c>
      <c r="E8314" s="534"/>
      <c r="F8314" s="534"/>
      <c r="G8314" s="534"/>
      <c r="H8314" s="534"/>
    </row>
    <row r="8315" spans="3:11" ht="25.8" customHeight="1">
      <c r="C8315" s="702" t="s">
        <v>1217</v>
      </c>
      <c r="D8315" s="815"/>
      <c r="E8315" s="815"/>
      <c r="F8315" s="815"/>
      <c r="G8315" s="209"/>
      <c r="H8315" s="821">
        <f>SUM(H8314:H8314)</f>
        <v>0</v>
      </c>
    </row>
    <row r="8316" spans="3:11" ht="25.8" customHeight="1">
      <c r="C8316" s="566" t="s">
        <v>1218</v>
      </c>
      <c r="D8316" s="552" t="s">
        <v>1219</v>
      </c>
      <c r="E8316" s="553"/>
      <c r="F8316" s="553"/>
      <c r="G8316" s="554"/>
      <c r="H8316" s="826">
        <f>H8315+H8313+H8310</f>
        <v>281275</v>
      </c>
      <c r="I8316" s="827"/>
    </row>
    <row r="8317" spans="3:11" ht="25.8" customHeight="1">
      <c r="C8317" s="566" t="s">
        <v>1220</v>
      </c>
      <c r="D8317" s="552" t="s">
        <v>1321</v>
      </c>
      <c r="E8317" s="553"/>
      <c r="F8317" s="554"/>
      <c r="G8317" s="555">
        <f>$M$9</f>
        <v>0.1</v>
      </c>
      <c r="H8317" s="539">
        <f>H8316*G8317</f>
        <v>28127.5</v>
      </c>
      <c r="I8317" s="827"/>
    </row>
    <row r="8318" spans="3:11" ht="25.8" customHeight="1">
      <c r="C8318" s="566" t="s">
        <v>1221</v>
      </c>
      <c r="D8318" s="552" t="s">
        <v>1222</v>
      </c>
      <c r="E8318" s="553"/>
      <c r="F8318" s="553"/>
      <c r="G8318" s="554"/>
      <c r="H8318" s="828">
        <f>SUM(H8316:H8317)</f>
        <v>309402.5</v>
      </c>
      <c r="I8318" s="827"/>
    </row>
    <row r="8319" spans="3:11" ht="25.8" customHeight="1"/>
    <row r="8320" spans="3:11" ht="25.8" customHeight="1">
      <c r="C8320" s="513" t="s">
        <v>6253</v>
      </c>
      <c r="D8320" s="817" t="s">
        <v>6254</v>
      </c>
      <c r="E8320" s="803"/>
      <c r="F8320" s="803"/>
      <c r="G8320" s="803"/>
      <c r="H8320" s="803"/>
      <c r="I8320" s="533">
        <f>ROUNDDOWN(H8336,-2)</f>
        <v>261000</v>
      </c>
      <c r="J8320" s="536"/>
      <c r="K8320" s="824"/>
    </row>
    <row r="8321" spans="3:9" ht="25.8" customHeight="1">
      <c r="C8321" s="716" t="s">
        <v>1195</v>
      </c>
      <c r="D8321" s="716" t="s">
        <v>1196</v>
      </c>
      <c r="E8321" s="716" t="s">
        <v>1197</v>
      </c>
      <c r="F8321" s="716" t="s">
        <v>1198</v>
      </c>
      <c r="G8321" s="716" t="s">
        <v>1199</v>
      </c>
      <c r="H8321" s="716" t="s">
        <v>1200</v>
      </c>
    </row>
    <row r="8322" spans="3:9" ht="25.8" customHeight="1">
      <c r="C8322" s="213" t="s">
        <v>1201</v>
      </c>
      <c r="D8322" s="212" t="s">
        <v>1202</v>
      </c>
      <c r="E8322" s="534"/>
      <c r="F8322" s="534"/>
      <c r="G8322" s="534"/>
      <c r="H8322" s="534"/>
    </row>
    <row r="8323" spans="3:9" ht="25.8" customHeight="1">
      <c r="C8323" s="818">
        <v>1</v>
      </c>
      <c r="D8323" s="212" t="s">
        <v>5</v>
      </c>
      <c r="E8323" s="212" t="s">
        <v>6</v>
      </c>
      <c r="F8323" s="538">
        <v>0.126</v>
      </c>
      <c r="G8323" s="539">
        <f>VLOOKUP(D8323,upahbahan,3,FALSE)</f>
        <v>100000</v>
      </c>
      <c r="H8323" s="539">
        <f t="shared" ref="H8323:H8326" si="880">F8323*G8323</f>
        <v>12600</v>
      </c>
    </row>
    <row r="8324" spans="3:9" ht="25.8" customHeight="1">
      <c r="C8324" s="818">
        <v>2</v>
      </c>
      <c r="D8324" s="212" t="s">
        <v>17</v>
      </c>
      <c r="E8324" s="212" t="s">
        <v>6</v>
      </c>
      <c r="F8324" s="538">
        <v>0.21099999999999999</v>
      </c>
      <c r="G8324" s="539">
        <f>VLOOKUP(D8324,upahbahan,3,FALSE)</f>
        <v>135000</v>
      </c>
      <c r="H8324" s="539">
        <f t="shared" si="880"/>
        <v>28485</v>
      </c>
    </row>
    <row r="8325" spans="3:9" ht="25.8" customHeight="1">
      <c r="C8325" s="818">
        <v>3</v>
      </c>
      <c r="D8325" s="212" t="s">
        <v>1310</v>
      </c>
      <c r="E8325" s="212" t="s">
        <v>6</v>
      </c>
      <c r="F8325" s="538">
        <v>2.1000000000000001E-2</v>
      </c>
      <c r="G8325" s="539">
        <f>VLOOKUP(D8325,upahbahan,3,FALSE)</f>
        <v>150000</v>
      </c>
      <c r="H8325" s="539">
        <f t="shared" si="880"/>
        <v>3150</v>
      </c>
    </row>
    <row r="8326" spans="3:9" ht="25.8" customHeight="1">
      <c r="C8326" s="818">
        <v>4</v>
      </c>
      <c r="D8326" s="212" t="s">
        <v>19</v>
      </c>
      <c r="E8326" s="212" t="s">
        <v>6</v>
      </c>
      <c r="F8326" s="538">
        <v>7.0000000000000001E-3</v>
      </c>
      <c r="G8326" s="539">
        <f>VLOOKUP(D8326,upahbahan,3,FALSE)</f>
        <v>160000</v>
      </c>
      <c r="H8326" s="539">
        <f t="shared" si="880"/>
        <v>1120</v>
      </c>
    </row>
    <row r="8327" spans="3:9" ht="25.8" customHeight="1">
      <c r="C8327" s="702" t="s">
        <v>1208</v>
      </c>
      <c r="D8327" s="208"/>
      <c r="E8327" s="208"/>
      <c r="F8327" s="811"/>
      <c r="G8327" s="522"/>
      <c r="H8327" s="539">
        <f>SUM(H8323:H8326)</f>
        <v>45355</v>
      </c>
      <c r="I8327" s="819"/>
    </row>
    <row r="8328" spans="3:9" ht="25.8" customHeight="1">
      <c r="C8328" s="213" t="s">
        <v>1209</v>
      </c>
      <c r="D8328" s="212" t="s">
        <v>1210</v>
      </c>
      <c r="E8328" s="534"/>
      <c r="F8328" s="831"/>
      <c r="G8328" s="534"/>
      <c r="H8328" s="534"/>
    </row>
    <row r="8329" spans="3:9" ht="25.8" customHeight="1">
      <c r="C8329" s="213">
        <v>1</v>
      </c>
      <c r="D8329" s="212" t="s">
        <v>6255</v>
      </c>
      <c r="E8329" s="234" t="s">
        <v>235</v>
      </c>
      <c r="F8329" s="866">
        <v>1.05</v>
      </c>
      <c r="G8329" s="539">
        <f>VLOOKUP(D8329,upahbahan,3,FALSE)</f>
        <v>130000</v>
      </c>
      <c r="H8329" s="539">
        <f t="shared" ref="H8329" si="881">F8329*G8329</f>
        <v>136500</v>
      </c>
    </row>
    <row r="8330" spans="3:9" ht="25.8" customHeight="1">
      <c r="C8330" s="213">
        <v>2</v>
      </c>
      <c r="D8330" s="212" t="s">
        <v>6157</v>
      </c>
      <c r="E8330" s="234" t="s">
        <v>2167</v>
      </c>
      <c r="F8330" s="866">
        <v>1</v>
      </c>
      <c r="G8330" s="539">
        <f>VLOOKUP(D8330,upahbahan,3,FALSE)</f>
        <v>55500</v>
      </c>
      <c r="H8330" s="539">
        <f t="shared" ref="H8330" si="882">F8330*G8330</f>
        <v>55500</v>
      </c>
    </row>
    <row r="8331" spans="3:9" ht="25.8" customHeight="1">
      <c r="C8331" s="702" t="s">
        <v>1214</v>
      </c>
      <c r="D8331" s="208"/>
      <c r="E8331" s="208" t="s">
        <v>6045</v>
      </c>
      <c r="F8331" s="208"/>
      <c r="G8331" s="209"/>
      <c r="H8331" s="539">
        <f>SUM(H8328:H8330)</f>
        <v>192000</v>
      </c>
    </row>
    <row r="8332" spans="3:9" ht="25.8" customHeight="1">
      <c r="C8332" s="213" t="s">
        <v>1215</v>
      </c>
      <c r="D8332" s="212" t="s">
        <v>1216</v>
      </c>
      <c r="E8332" s="534"/>
      <c r="F8332" s="534"/>
      <c r="G8332" s="534"/>
      <c r="H8332" s="534"/>
    </row>
    <row r="8333" spans="3:9" ht="25.8" customHeight="1">
      <c r="C8333" s="702" t="s">
        <v>1217</v>
      </c>
      <c r="D8333" s="815"/>
      <c r="E8333" s="815"/>
      <c r="F8333" s="815"/>
      <c r="G8333" s="209"/>
      <c r="H8333" s="821">
        <f>SUM(H8332:H8332)</f>
        <v>0</v>
      </c>
    </row>
    <row r="8334" spans="3:9" ht="25.8" customHeight="1">
      <c r="C8334" s="566" t="s">
        <v>1218</v>
      </c>
      <c r="D8334" s="552" t="s">
        <v>1219</v>
      </c>
      <c r="E8334" s="553"/>
      <c r="F8334" s="553"/>
      <c r="G8334" s="554"/>
      <c r="H8334" s="826">
        <f>H8333+H8331+H8327</f>
        <v>237355</v>
      </c>
      <c r="I8334" s="827"/>
    </row>
    <row r="8335" spans="3:9" ht="25.8" customHeight="1">
      <c r="C8335" s="566" t="s">
        <v>1220</v>
      </c>
      <c r="D8335" s="552" t="s">
        <v>1321</v>
      </c>
      <c r="E8335" s="553"/>
      <c r="F8335" s="554"/>
      <c r="G8335" s="555">
        <f>$M$9</f>
        <v>0.1</v>
      </c>
      <c r="H8335" s="539">
        <f>H8334*G8335</f>
        <v>23735.5</v>
      </c>
      <c r="I8335" s="827"/>
    </row>
    <row r="8336" spans="3:9" ht="25.8" customHeight="1">
      <c r="C8336" s="566" t="s">
        <v>1221</v>
      </c>
      <c r="D8336" s="552" t="s">
        <v>1222</v>
      </c>
      <c r="E8336" s="553"/>
      <c r="F8336" s="553"/>
      <c r="G8336" s="554"/>
      <c r="H8336" s="828">
        <f>SUM(H8334:H8335)</f>
        <v>261090.5</v>
      </c>
      <c r="I8336" s="827"/>
    </row>
    <row r="8337" spans="3:11" ht="25.8" customHeight="1"/>
    <row r="8338" spans="3:11" ht="25.8" customHeight="1"/>
    <row r="8339" spans="3:11" ht="25.8" customHeight="1">
      <c r="C8339" s="513" t="s">
        <v>6256</v>
      </c>
      <c r="D8339" s="817" t="s">
        <v>6257</v>
      </c>
      <c r="E8339" s="803"/>
      <c r="F8339" s="803"/>
      <c r="G8339" s="803"/>
      <c r="H8339" s="803"/>
      <c r="I8339" s="533">
        <f>ROUNDDOWN(H8355,-2)</f>
        <v>284100</v>
      </c>
      <c r="J8339" s="536"/>
      <c r="K8339" s="824"/>
    </row>
    <row r="8340" spans="3:11" ht="25.8" customHeight="1">
      <c r="C8340" s="716" t="s">
        <v>1195</v>
      </c>
      <c r="D8340" s="716" t="s">
        <v>1196</v>
      </c>
      <c r="E8340" s="716" t="s">
        <v>1197</v>
      </c>
      <c r="F8340" s="716" t="s">
        <v>1198</v>
      </c>
      <c r="G8340" s="716" t="s">
        <v>1199</v>
      </c>
      <c r="H8340" s="716" t="s">
        <v>1200</v>
      </c>
    </row>
    <row r="8341" spans="3:11" ht="25.8" customHeight="1">
      <c r="C8341" s="213" t="s">
        <v>1201</v>
      </c>
      <c r="D8341" s="212" t="s">
        <v>1202</v>
      </c>
      <c r="E8341" s="534"/>
      <c r="F8341" s="534"/>
      <c r="G8341" s="534"/>
      <c r="H8341" s="534"/>
    </row>
    <row r="8342" spans="3:11" ht="25.8" customHeight="1">
      <c r="C8342" s="818">
        <v>1</v>
      </c>
      <c r="D8342" s="212" t="s">
        <v>5</v>
      </c>
      <c r="E8342" s="212" t="s">
        <v>6</v>
      </c>
      <c r="F8342" s="538">
        <v>0.126</v>
      </c>
      <c r="G8342" s="539">
        <f>VLOOKUP(D8342,upahbahan,3,FALSE)</f>
        <v>100000</v>
      </c>
      <c r="H8342" s="539">
        <f t="shared" ref="H8342:H8345" si="883">F8342*G8342</f>
        <v>12600</v>
      </c>
    </row>
    <row r="8343" spans="3:11" ht="25.8" customHeight="1">
      <c r="C8343" s="818">
        <v>2</v>
      </c>
      <c r="D8343" s="212" t="s">
        <v>17</v>
      </c>
      <c r="E8343" s="212" t="s">
        <v>6</v>
      </c>
      <c r="F8343" s="538">
        <v>0.21099999999999999</v>
      </c>
      <c r="G8343" s="539">
        <f>VLOOKUP(D8343,upahbahan,3,FALSE)</f>
        <v>135000</v>
      </c>
      <c r="H8343" s="539">
        <f t="shared" si="883"/>
        <v>28485</v>
      </c>
    </row>
    <row r="8344" spans="3:11" ht="25.8" customHeight="1">
      <c r="C8344" s="818">
        <v>3</v>
      </c>
      <c r="D8344" s="212" t="s">
        <v>1310</v>
      </c>
      <c r="E8344" s="212" t="s">
        <v>6</v>
      </c>
      <c r="F8344" s="538">
        <v>2.1000000000000001E-2</v>
      </c>
      <c r="G8344" s="539">
        <f>VLOOKUP(D8344,upahbahan,3,FALSE)</f>
        <v>150000</v>
      </c>
      <c r="H8344" s="539">
        <f t="shared" si="883"/>
        <v>3150</v>
      </c>
    </row>
    <row r="8345" spans="3:11" ht="25.8" customHeight="1">
      <c r="C8345" s="818">
        <v>4</v>
      </c>
      <c r="D8345" s="212" t="s">
        <v>19</v>
      </c>
      <c r="E8345" s="212" t="s">
        <v>6</v>
      </c>
      <c r="F8345" s="538">
        <v>7.0000000000000001E-3</v>
      </c>
      <c r="G8345" s="539">
        <f>VLOOKUP(D8345,upahbahan,3,FALSE)</f>
        <v>160000</v>
      </c>
      <c r="H8345" s="539">
        <f t="shared" si="883"/>
        <v>1120</v>
      </c>
    </row>
    <row r="8346" spans="3:11" ht="25.8" customHeight="1">
      <c r="C8346" s="702" t="s">
        <v>1208</v>
      </c>
      <c r="D8346" s="208"/>
      <c r="E8346" s="208"/>
      <c r="F8346" s="811"/>
      <c r="G8346" s="522"/>
      <c r="H8346" s="539">
        <f>SUM(H8342:H8345)</f>
        <v>45355</v>
      </c>
      <c r="I8346" s="819"/>
    </row>
    <row r="8347" spans="3:11" ht="25.8" customHeight="1">
      <c r="C8347" s="213" t="s">
        <v>1209</v>
      </c>
      <c r="D8347" s="212" t="s">
        <v>1210</v>
      </c>
      <c r="E8347" s="534"/>
      <c r="F8347" s="831"/>
      <c r="G8347" s="534"/>
      <c r="H8347" s="534"/>
    </row>
    <row r="8348" spans="3:11" ht="25.8" customHeight="1">
      <c r="C8348" s="213">
        <v>1</v>
      </c>
      <c r="D8348" s="212" t="s">
        <v>6258</v>
      </c>
      <c r="E8348" s="234" t="s">
        <v>235</v>
      </c>
      <c r="F8348" s="866">
        <v>1.05</v>
      </c>
      <c r="G8348" s="539">
        <f>VLOOKUP(D8348,upahbahan,3,FALSE)</f>
        <v>150000</v>
      </c>
      <c r="H8348" s="539">
        <f t="shared" ref="H8348:H8349" si="884">F8348*G8348</f>
        <v>157500</v>
      </c>
    </row>
    <row r="8349" spans="3:11" ht="25.8" customHeight="1">
      <c r="C8349" s="213">
        <v>2</v>
      </c>
      <c r="D8349" s="212" t="s">
        <v>6157</v>
      </c>
      <c r="E8349" s="234" t="s">
        <v>2167</v>
      </c>
      <c r="F8349" s="866">
        <v>1</v>
      </c>
      <c r="G8349" s="539">
        <f>VLOOKUP(D8349,upahbahan,3,FALSE)</f>
        <v>55500</v>
      </c>
      <c r="H8349" s="539">
        <f t="shared" si="884"/>
        <v>55500</v>
      </c>
    </row>
    <row r="8350" spans="3:11" ht="25.8" customHeight="1">
      <c r="C8350" s="702" t="s">
        <v>1214</v>
      </c>
      <c r="D8350" s="208"/>
      <c r="E8350" s="208" t="s">
        <v>6045</v>
      </c>
      <c r="F8350" s="208"/>
      <c r="G8350" s="209"/>
      <c r="H8350" s="539">
        <f>SUM(H8347:H8349)</f>
        <v>213000</v>
      </c>
    </row>
    <row r="8351" spans="3:11" ht="25.8" customHeight="1">
      <c r="C8351" s="213" t="s">
        <v>1215</v>
      </c>
      <c r="D8351" s="212" t="s">
        <v>1216</v>
      </c>
      <c r="E8351" s="534"/>
      <c r="F8351" s="534"/>
      <c r="G8351" s="534"/>
      <c r="H8351" s="534"/>
    </row>
    <row r="8352" spans="3:11" ht="25.8" customHeight="1">
      <c r="C8352" s="702" t="s">
        <v>1217</v>
      </c>
      <c r="D8352" s="815"/>
      <c r="E8352" s="815"/>
      <c r="F8352" s="815"/>
      <c r="G8352" s="209"/>
      <c r="H8352" s="821">
        <f>SUM(H8351:H8351)</f>
        <v>0</v>
      </c>
    </row>
    <row r="8353" spans="3:11" ht="25.8" customHeight="1">
      <c r="C8353" s="566" t="s">
        <v>1218</v>
      </c>
      <c r="D8353" s="552" t="s">
        <v>1219</v>
      </c>
      <c r="E8353" s="553"/>
      <c r="F8353" s="553"/>
      <c r="G8353" s="554"/>
      <c r="H8353" s="826">
        <f>H8352+H8350+H8346</f>
        <v>258355</v>
      </c>
      <c r="I8353" s="827"/>
    </row>
    <row r="8354" spans="3:11" ht="25.8" customHeight="1">
      <c r="C8354" s="566" t="s">
        <v>1220</v>
      </c>
      <c r="D8354" s="552" t="s">
        <v>1321</v>
      </c>
      <c r="E8354" s="553"/>
      <c r="F8354" s="554"/>
      <c r="G8354" s="555">
        <f>$M$9</f>
        <v>0.1</v>
      </c>
      <c r="H8354" s="539">
        <f>H8353*G8354</f>
        <v>25835.5</v>
      </c>
      <c r="I8354" s="827"/>
    </row>
    <row r="8355" spans="3:11" ht="25.8" customHeight="1">
      <c r="C8355" s="566" t="s">
        <v>1221</v>
      </c>
      <c r="D8355" s="552" t="s">
        <v>1222</v>
      </c>
      <c r="E8355" s="553"/>
      <c r="F8355" s="553"/>
      <c r="G8355" s="554"/>
      <c r="H8355" s="828">
        <f>SUM(H8353:H8354)</f>
        <v>284190.5</v>
      </c>
      <c r="I8355" s="827"/>
    </row>
    <row r="8356" spans="3:11" ht="25.8" customHeight="1"/>
    <row r="8357" spans="3:11" ht="25.8" customHeight="1"/>
    <row r="8358" spans="3:11" ht="25.8" customHeight="1">
      <c r="C8358" s="571" t="s">
        <v>6259</v>
      </c>
      <c r="D8358" s="571" t="s">
        <v>6260</v>
      </c>
      <c r="E8358" s="571"/>
      <c r="F8358" s="571"/>
    </row>
    <row r="8359" spans="3:11" ht="25.8" customHeight="1">
      <c r="C8359" s="571" t="s">
        <v>6261</v>
      </c>
      <c r="D8359" s="571" t="s">
        <v>6262</v>
      </c>
      <c r="E8359" s="571"/>
      <c r="F8359" s="571"/>
    </row>
    <row r="8360" spans="3:11" ht="25.8" customHeight="1">
      <c r="C8360" s="513" t="s">
        <v>6264</v>
      </c>
      <c r="D8360" s="817" t="s">
        <v>6263</v>
      </c>
      <c r="E8360" s="803"/>
      <c r="F8360" s="803"/>
      <c r="G8360" s="803"/>
      <c r="H8360" s="803"/>
      <c r="I8360" s="533">
        <f>ROUNDDOWN(H8375,-2)</f>
        <v>4173000</v>
      </c>
      <c r="J8360" s="536"/>
      <c r="K8360" s="824"/>
    </row>
    <row r="8361" spans="3:11" ht="25.8" customHeight="1">
      <c r="C8361" s="716" t="s">
        <v>1195</v>
      </c>
      <c r="D8361" s="716" t="s">
        <v>1196</v>
      </c>
      <c r="E8361" s="716" t="s">
        <v>1197</v>
      </c>
      <c r="F8361" s="716" t="s">
        <v>1198</v>
      </c>
      <c r="G8361" s="716" t="s">
        <v>1199</v>
      </c>
      <c r="H8361" s="716" t="s">
        <v>1200</v>
      </c>
    </row>
    <row r="8362" spans="3:11" ht="25.8" customHeight="1">
      <c r="C8362" s="213" t="s">
        <v>1201</v>
      </c>
      <c r="D8362" s="212" t="s">
        <v>1202</v>
      </c>
      <c r="E8362" s="534"/>
      <c r="F8362" s="534"/>
      <c r="G8362" s="534"/>
      <c r="H8362" s="534"/>
    </row>
    <row r="8363" spans="3:11" ht="25.8" customHeight="1">
      <c r="C8363" s="818">
        <v>1</v>
      </c>
      <c r="D8363" s="212" t="s">
        <v>5</v>
      </c>
      <c r="E8363" s="212" t="s">
        <v>6</v>
      </c>
      <c r="F8363" s="538">
        <v>0.76200000000000001</v>
      </c>
      <c r="G8363" s="539">
        <f>VLOOKUP(D8363,upahbahan,3,FALSE)</f>
        <v>100000</v>
      </c>
      <c r="H8363" s="539">
        <f t="shared" ref="H8363:H8366" si="885">F8363*G8363</f>
        <v>76200</v>
      </c>
    </row>
    <row r="8364" spans="3:11" ht="25.8" customHeight="1">
      <c r="C8364" s="818">
        <v>2</v>
      </c>
      <c r="D8364" s="212" t="s">
        <v>17</v>
      </c>
      <c r="E8364" s="212" t="s">
        <v>6</v>
      </c>
      <c r="F8364" s="538">
        <v>1.272</v>
      </c>
      <c r="G8364" s="539">
        <f>VLOOKUP(D8364,upahbahan,3,FALSE)</f>
        <v>135000</v>
      </c>
      <c r="H8364" s="539">
        <f t="shared" si="885"/>
        <v>171720</v>
      </c>
    </row>
    <row r="8365" spans="3:11" ht="25.8" customHeight="1">
      <c r="C8365" s="818">
        <v>3</v>
      </c>
      <c r="D8365" s="212" t="s">
        <v>1310</v>
      </c>
      <c r="E8365" s="212" t="s">
        <v>6</v>
      </c>
      <c r="F8365" s="538">
        <v>0.127</v>
      </c>
      <c r="G8365" s="539">
        <f>VLOOKUP(D8365,upahbahan,3,FALSE)</f>
        <v>150000</v>
      </c>
      <c r="H8365" s="539">
        <f t="shared" si="885"/>
        <v>19050</v>
      </c>
    </row>
    <row r="8366" spans="3:11" ht="25.8" customHeight="1">
      <c r="C8366" s="818">
        <v>4</v>
      </c>
      <c r="D8366" s="212" t="s">
        <v>19</v>
      </c>
      <c r="E8366" s="212" t="s">
        <v>6</v>
      </c>
      <c r="F8366" s="538">
        <v>4.2000000000000003E-2</v>
      </c>
      <c r="G8366" s="539">
        <f>VLOOKUP(D8366,upahbahan,3,FALSE)</f>
        <v>160000</v>
      </c>
      <c r="H8366" s="539">
        <f t="shared" si="885"/>
        <v>6720</v>
      </c>
    </row>
    <row r="8367" spans="3:11" ht="25.8" customHeight="1">
      <c r="C8367" s="702" t="s">
        <v>1208</v>
      </c>
      <c r="D8367" s="208"/>
      <c r="E8367" s="208"/>
      <c r="F8367" s="811"/>
      <c r="G8367" s="522"/>
      <c r="H8367" s="539">
        <f>SUM(H8363:H8366)</f>
        <v>273690</v>
      </c>
      <c r="I8367" s="819"/>
    </row>
    <row r="8368" spans="3:11" ht="25.8" customHeight="1">
      <c r="C8368" s="213" t="s">
        <v>1209</v>
      </c>
      <c r="D8368" s="212" t="s">
        <v>1210</v>
      </c>
      <c r="E8368" s="534"/>
      <c r="F8368" s="831"/>
      <c r="G8368" s="534"/>
      <c r="H8368" s="534"/>
    </row>
    <row r="8369" spans="3:11" ht="25.8" customHeight="1">
      <c r="C8369" s="213">
        <v>1</v>
      </c>
      <c r="D8369" s="212" t="s">
        <v>6265</v>
      </c>
      <c r="E8369" s="234" t="s">
        <v>235</v>
      </c>
      <c r="F8369" s="866">
        <v>1.1000000000000001</v>
      </c>
      <c r="G8369" s="539">
        <f>VLOOKUP(D8369,upahbahan,3,FALSE)</f>
        <v>3200000</v>
      </c>
      <c r="H8369" s="539">
        <f t="shared" ref="H8369" si="886">F8369*G8369</f>
        <v>3520000.0000000005</v>
      </c>
    </row>
    <row r="8370" spans="3:11" ht="25.8" customHeight="1">
      <c r="C8370" s="702" t="s">
        <v>1214</v>
      </c>
      <c r="D8370" s="208"/>
      <c r="E8370" s="208" t="s">
        <v>6045</v>
      </c>
      <c r="F8370" s="208"/>
      <c r="G8370" s="209"/>
      <c r="H8370" s="539">
        <f>SUM(H8368:H8369)</f>
        <v>3520000.0000000005</v>
      </c>
    </row>
    <row r="8371" spans="3:11" ht="25.8" customHeight="1">
      <c r="C8371" s="213" t="s">
        <v>1215</v>
      </c>
      <c r="D8371" s="212" t="s">
        <v>1216</v>
      </c>
      <c r="E8371" s="534"/>
      <c r="F8371" s="534"/>
      <c r="G8371" s="534"/>
      <c r="H8371" s="534"/>
    </row>
    <row r="8372" spans="3:11" ht="25.8" customHeight="1">
      <c r="C8372" s="702" t="s">
        <v>1217</v>
      </c>
      <c r="D8372" s="815"/>
      <c r="E8372" s="815"/>
      <c r="F8372" s="815"/>
      <c r="G8372" s="209"/>
      <c r="H8372" s="821">
        <f>SUM(H8371:H8371)</f>
        <v>0</v>
      </c>
    </row>
    <row r="8373" spans="3:11" ht="25.8" customHeight="1">
      <c r="C8373" s="566" t="s">
        <v>1218</v>
      </c>
      <c r="D8373" s="552" t="s">
        <v>1219</v>
      </c>
      <c r="E8373" s="553"/>
      <c r="F8373" s="553"/>
      <c r="G8373" s="554"/>
      <c r="H8373" s="826">
        <f>H8372+H8370+H8367</f>
        <v>3793690.0000000005</v>
      </c>
      <c r="I8373" s="827"/>
    </row>
    <row r="8374" spans="3:11" ht="25.8" customHeight="1">
      <c r="C8374" s="566" t="s">
        <v>1220</v>
      </c>
      <c r="D8374" s="552" t="s">
        <v>1321</v>
      </c>
      <c r="E8374" s="553"/>
      <c r="F8374" s="554"/>
      <c r="G8374" s="555">
        <f>$M$9</f>
        <v>0.1</v>
      </c>
      <c r="H8374" s="539">
        <f>H8373*G8374</f>
        <v>379369.00000000006</v>
      </c>
      <c r="I8374" s="827"/>
    </row>
    <row r="8375" spans="3:11" ht="25.8" customHeight="1">
      <c r="C8375" s="566" t="s">
        <v>1221</v>
      </c>
      <c r="D8375" s="552" t="s">
        <v>1222</v>
      </c>
      <c r="E8375" s="553"/>
      <c r="F8375" s="553"/>
      <c r="G8375" s="554"/>
      <c r="H8375" s="828">
        <f>SUM(H8373:H8374)</f>
        <v>4173059.0000000005</v>
      </c>
      <c r="I8375" s="827"/>
    </row>
    <row r="8376" spans="3:11" ht="25.8" customHeight="1"/>
    <row r="8377" spans="3:11" ht="25.8" customHeight="1">
      <c r="C8377" s="513" t="s">
        <v>6266</v>
      </c>
      <c r="D8377" s="817" t="s">
        <v>6267</v>
      </c>
      <c r="E8377" s="803"/>
      <c r="F8377" s="803"/>
      <c r="G8377" s="803"/>
      <c r="H8377" s="803"/>
      <c r="I8377" s="533">
        <f>ROUNDDOWN(H8392,-2)</f>
        <v>4951000</v>
      </c>
      <c r="J8377" s="536"/>
      <c r="K8377" s="824"/>
    </row>
    <row r="8378" spans="3:11" ht="25.8" customHeight="1">
      <c r="C8378" s="716" t="s">
        <v>1195</v>
      </c>
      <c r="D8378" s="716" t="s">
        <v>1196</v>
      </c>
      <c r="E8378" s="716" t="s">
        <v>1197</v>
      </c>
      <c r="F8378" s="716" t="s">
        <v>1198</v>
      </c>
      <c r="G8378" s="716" t="s">
        <v>1199</v>
      </c>
      <c r="H8378" s="716" t="s">
        <v>1200</v>
      </c>
    </row>
    <row r="8379" spans="3:11" ht="25.8" customHeight="1">
      <c r="C8379" s="213" t="s">
        <v>1201</v>
      </c>
      <c r="D8379" s="212" t="s">
        <v>1202</v>
      </c>
      <c r="E8379" s="534"/>
      <c r="F8379" s="534"/>
      <c r="G8379" s="534"/>
      <c r="H8379" s="534"/>
    </row>
    <row r="8380" spans="3:11" ht="25.8" customHeight="1">
      <c r="C8380" s="818">
        <v>1</v>
      </c>
      <c r="D8380" s="212" t="s">
        <v>5</v>
      </c>
      <c r="E8380" s="212" t="s">
        <v>6</v>
      </c>
      <c r="F8380" s="538">
        <v>0.89300000000000002</v>
      </c>
      <c r="G8380" s="539">
        <f>VLOOKUP(D8380,upahbahan,3,FALSE)</f>
        <v>100000</v>
      </c>
      <c r="H8380" s="539">
        <f t="shared" ref="H8380:H8383" si="887">F8380*G8380</f>
        <v>89300</v>
      </c>
    </row>
    <row r="8381" spans="3:11" ht="25.8" customHeight="1">
      <c r="C8381" s="818">
        <v>2</v>
      </c>
      <c r="D8381" s="212" t="s">
        <v>17</v>
      </c>
      <c r="E8381" s="212" t="s">
        <v>6</v>
      </c>
      <c r="F8381" s="538">
        <v>1.4910000000000001</v>
      </c>
      <c r="G8381" s="539">
        <f>VLOOKUP(D8381,upahbahan,3,FALSE)</f>
        <v>135000</v>
      </c>
      <c r="H8381" s="539">
        <f t="shared" si="887"/>
        <v>201285</v>
      </c>
    </row>
    <row r="8382" spans="3:11" ht="25.8" customHeight="1">
      <c r="C8382" s="818">
        <v>3</v>
      </c>
      <c r="D8382" s="212" t="s">
        <v>1310</v>
      </c>
      <c r="E8382" s="212" t="s">
        <v>6</v>
      </c>
      <c r="F8382" s="538">
        <v>0.14899999999999999</v>
      </c>
      <c r="G8382" s="539">
        <f>VLOOKUP(D8382,upahbahan,3,FALSE)</f>
        <v>150000</v>
      </c>
      <c r="H8382" s="539">
        <f t="shared" si="887"/>
        <v>22350</v>
      </c>
    </row>
    <row r="8383" spans="3:11" ht="25.8" customHeight="1">
      <c r="C8383" s="818">
        <v>4</v>
      </c>
      <c r="D8383" s="212" t="s">
        <v>19</v>
      </c>
      <c r="E8383" s="212" t="s">
        <v>6</v>
      </c>
      <c r="F8383" s="538">
        <v>0.05</v>
      </c>
      <c r="G8383" s="539">
        <f>VLOOKUP(D8383,upahbahan,3,FALSE)</f>
        <v>160000</v>
      </c>
      <c r="H8383" s="539">
        <f t="shared" si="887"/>
        <v>8000</v>
      </c>
    </row>
    <row r="8384" spans="3:11" ht="25.8" customHeight="1">
      <c r="C8384" s="702" t="s">
        <v>1208</v>
      </c>
      <c r="D8384" s="208"/>
      <c r="E8384" s="208"/>
      <c r="F8384" s="811"/>
      <c r="G8384" s="522"/>
      <c r="H8384" s="539">
        <f>SUM(H8380:H8383)</f>
        <v>320935</v>
      </c>
      <c r="I8384" s="819"/>
    </row>
    <row r="8385" spans="3:11" ht="25.8" customHeight="1">
      <c r="C8385" s="213" t="s">
        <v>1209</v>
      </c>
      <c r="D8385" s="212" t="s">
        <v>1210</v>
      </c>
      <c r="E8385" s="534"/>
      <c r="F8385" s="831"/>
      <c r="G8385" s="534"/>
      <c r="H8385" s="534"/>
    </row>
    <row r="8386" spans="3:11" ht="25.8" customHeight="1">
      <c r="C8386" s="213">
        <v>1</v>
      </c>
      <c r="D8386" s="212" t="s">
        <v>6269</v>
      </c>
      <c r="E8386" s="234" t="s">
        <v>235</v>
      </c>
      <c r="F8386" s="866">
        <v>1.1000000000000001</v>
      </c>
      <c r="G8386" s="539">
        <f>VLOOKUP(D8386,upahbahan,3,FALSE)</f>
        <v>3800000</v>
      </c>
      <c r="H8386" s="539">
        <f t="shared" ref="H8386" si="888">F8386*G8386</f>
        <v>4180000.0000000005</v>
      </c>
    </row>
    <row r="8387" spans="3:11" ht="25.8" customHeight="1">
      <c r="C8387" s="702" t="s">
        <v>1214</v>
      </c>
      <c r="D8387" s="208"/>
      <c r="E8387" s="208" t="s">
        <v>6045</v>
      </c>
      <c r="F8387" s="208"/>
      <c r="G8387" s="209"/>
      <c r="H8387" s="539">
        <f>SUM(H8385:H8386)</f>
        <v>4180000.0000000005</v>
      </c>
    </row>
    <row r="8388" spans="3:11" ht="25.8" customHeight="1">
      <c r="C8388" s="213" t="s">
        <v>1215</v>
      </c>
      <c r="D8388" s="212" t="s">
        <v>1216</v>
      </c>
      <c r="E8388" s="534"/>
      <c r="F8388" s="534"/>
      <c r="G8388" s="534"/>
      <c r="H8388" s="534"/>
    </row>
    <row r="8389" spans="3:11" ht="25.8" customHeight="1">
      <c r="C8389" s="702" t="s">
        <v>1217</v>
      </c>
      <c r="D8389" s="815"/>
      <c r="E8389" s="815"/>
      <c r="F8389" s="815"/>
      <c r="G8389" s="209"/>
      <c r="H8389" s="821">
        <f>SUM(H8388:H8388)</f>
        <v>0</v>
      </c>
    </row>
    <row r="8390" spans="3:11" ht="25.8" customHeight="1">
      <c r="C8390" s="566" t="s">
        <v>1218</v>
      </c>
      <c r="D8390" s="552" t="s">
        <v>1219</v>
      </c>
      <c r="E8390" s="553"/>
      <c r="F8390" s="553"/>
      <c r="G8390" s="554"/>
      <c r="H8390" s="826">
        <f>H8389+H8387+H8384</f>
        <v>4500935</v>
      </c>
      <c r="I8390" s="827"/>
    </row>
    <row r="8391" spans="3:11" ht="25.8" customHeight="1">
      <c r="C8391" s="566" t="s">
        <v>1220</v>
      </c>
      <c r="D8391" s="552" t="s">
        <v>1321</v>
      </c>
      <c r="E8391" s="553"/>
      <c r="F8391" s="554"/>
      <c r="G8391" s="555">
        <f>$M$9</f>
        <v>0.1</v>
      </c>
      <c r="H8391" s="539">
        <f>H8390*G8391</f>
        <v>450093.5</v>
      </c>
      <c r="I8391" s="827"/>
    </row>
    <row r="8392" spans="3:11" ht="25.8" customHeight="1">
      <c r="C8392" s="566" t="s">
        <v>1221</v>
      </c>
      <c r="D8392" s="552" t="s">
        <v>1222</v>
      </c>
      <c r="E8392" s="553"/>
      <c r="F8392" s="553"/>
      <c r="G8392" s="554"/>
      <c r="H8392" s="828">
        <f>SUM(H8390:H8391)</f>
        <v>4951028.5</v>
      </c>
      <c r="I8392" s="827"/>
    </row>
    <row r="8393" spans="3:11" ht="25.8" customHeight="1"/>
    <row r="8394" spans="3:11" ht="25.8" customHeight="1">
      <c r="C8394" s="513" t="s">
        <v>6268</v>
      </c>
      <c r="D8394" s="817" t="s">
        <v>6270</v>
      </c>
      <c r="E8394" s="803"/>
      <c r="F8394" s="803"/>
      <c r="G8394" s="803"/>
      <c r="H8394" s="803"/>
      <c r="I8394" s="533">
        <f>ROUNDDOWN(H8409,-2)</f>
        <v>5435000</v>
      </c>
      <c r="J8394" s="536"/>
      <c r="K8394" s="824"/>
    </row>
    <row r="8395" spans="3:11" ht="25.8" customHeight="1">
      <c r="C8395" s="716" t="s">
        <v>1195</v>
      </c>
      <c r="D8395" s="716" t="s">
        <v>1196</v>
      </c>
      <c r="E8395" s="716" t="s">
        <v>1197</v>
      </c>
      <c r="F8395" s="716" t="s">
        <v>1198</v>
      </c>
      <c r="G8395" s="716" t="s">
        <v>1199</v>
      </c>
      <c r="H8395" s="716" t="s">
        <v>1200</v>
      </c>
    </row>
    <row r="8396" spans="3:11" ht="25.8" customHeight="1">
      <c r="C8396" s="213" t="s">
        <v>1201</v>
      </c>
      <c r="D8396" s="212" t="s">
        <v>1202</v>
      </c>
      <c r="E8396" s="534"/>
      <c r="F8396" s="534"/>
      <c r="G8396" s="534"/>
      <c r="H8396" s="534"/>
    </row>
    <row r="8397" spans="3:11" ht="25.8" customHeight="1">
      <c r="C8397" s="818">
        <v>1</v>
      </c>
      <c r="D8397" s="212" t="s">
        <v>5</v>
      </c>
      <c r="E8397" s="212" t="s">
        <v>6</v>
      </c>
      <c r="F8397" s="538">
        <v>0.89300000000000002</v>
      </c>
      <c r="G8397" s="539">
        <f>VLOOKUP(D8397,upahbahan,3,FALSE)</f>
        <v>100000</v>
      </c>
      <c r="H8397" s="539">
        <f t="shared" ref="H8397:H8400" si="889">F8397*G8397</f>
        <v>89300</v>
      </c>
    </row>
    <row r="8398" spans="3:11" ht="25.8" customHeight="1">
      <c r="C8398" s="818">
        <v>2</v>
      </c>
      <c r="D8398" s="212" t="s">
        <v>17</v>
      </c>
      <c r="E8398" s="212" t="s">
        <v>6</v>
      </c>
      <c r="F8398" s="538">
        <v>1.4910000000000001</v>
      </c>
      <c r="G8398" s="539">
        <f>VLOOKUP(D8398,upahbahan,3,FALSE)</f>
        <v>135000</v>
      </c>
      <c r="H8398" s="539">
        <f t="shared" si="889"/>
        <v>201285</v>
      </c>
    </row>
    <row r="8399" spans="3:11" ht="25.8" customHeight="1">
      <c r="C8399" s="818">
        <v>3</v>
      </c>
      <c r="D8399" s="212" t="s">
        <v>1310</v>
      </c>
      <c r="E8399" s="212" t="s">
        <v>6</v>
      </c>
      <c r="F8399" s="538">
        <v>0.14899999999999999</v>
      </c>
      <c r="G8399" s="539">
        <f>VLOOKUP(D8399,upahbahan,3,FALSE)</f>
        <v>150000</v>
      </c>
      <c r="H8399" s="539">
        <f t="shared" si="889"/>
        <v>22350</v>
      </c>
    </row>
    <row r="8400" spans="3:11" ht="25.8" customHeight="1">
      <c r="C8400" s="818">
        <v>4</v>
      </c>
      <c r="D8400" s="212" t="s">
        <v>19</v>
      </c>
      <c r="E8400" s="212" t="s">
        <v>6</v>
      </c>
      <c r="F8400" s="538">
        <v>0.05</v>
      </c>
      <c r="G8400" s="539">
        <f>VLOOKUP(D8400,upahbahan,3,FALSE)</f>
        <v>160000</v>
      </c>
      <c r="H8400" s="539">
        <f t="shared" si="889"/>
        <v>8000</v>
      </c>
    </row>
    <row r="8401" spans="3:11" ht="25.8" customHeight="1">
      <c r="C8401" s="702" t="s">
        <v>1208</v>
      </c>
      <c r="D8401" s="208"/>
      <c r="E8401" s="208"/>
      <c r="F8401" s="811"/>
      <c r="G8401" s="522"/>
      <c r="H8401" s="539">
        <f>SUM(H8397:H8400)</f>
        <v>320935</v>
      </c>
      <c r="I8401" s="819"/>
    </row>
    <row r="8402" spans="3:11" ht="25.8" customHeight="1">
      <c r="C8402" s="213" t="s">
        <v>1209</v>
      </c>
      <c r="D8402" s="212" t="s">
        <v>1210</v>
      </c>
      <c r="E8402" s="534"/>
      <c r="F8402" s="831"/>
      <c r="G8402" s="534"/>
      <c r="H8402" s="534"/>
    </row>
    <row r="8403" spans="3:11" ht="25.8" customHeight="1">
      <c r="C8403" s="213">
        <v>1</v>
      </c>
      <c r="D8403" s="212" t="s">
        <v>6271</v>
      </c>
      <c r="E8403" s="234" t="s">
        <v>235</v>
      </c>
      <c r="F8403" s="866">
        <v>1.1000000000000001</v>
      </c>
      <c r="G8403" s="539">
        <f>VLOOKUP(D8403,upahbahan,3,FALSE)</f>
        <v>4200000</v>
      </c>
      <c r="H8403" s="539">
        <f t="shared" ref="H8403" si="890">F8403*G8403</f>
        <v>4620000</v>
      </c>
    </row>
    <row r="8404" spans="3:11" ht="25.8" customHeight="1">
      <c r="C8404" s="702" t="s">
        <v>1214</v>
      </c>
      <c r="D8404" s="208"/>
      <c r="E8404" s="208" t="s">
        <v>6045</v>
      </c>
      <c r="F8404" s="208"/>
      <c r="G8404" s="209"/>
      <c r="H8404" s="539">
        <f>SUM(H8402:H8403)</f>
        <v>4620000</v>
      </c>
    </row>
    <row r="8405" spans="3:11" ht="25.8" customHeight="1">
      <c r="C8405" s="213" t="s">
        <v>1215</v>
      </c>
      <c r="D8405" s="212" t="s">
        <v>1216</v>
      </c>
      <c r="E8405" s="534"/>
      <c r="F8405" s="534"/>
      <c r="G8405" s="534"/>
      <c r="H8405" s="534"/>
    </row>
    <row r="8406" spans="3:11" ht="25.8" customHeight="1">
      <c r="C8406" s="702" t="s">
        <v>1217</v>
      </c>
      <c r="D8406" s="815"/>
      <c r="E8406" s="815"/>
      <c r="F8406" s="815"/>
      <c r="G8406" s="209"/>
      <c r="H8406" s="821">
        <f>SUM(H8405:H8405)</f>
        <v>0</v>
      </c>
    </row>
    <row r="8407" spans="3:11" ht="25.8" customHeight="1">
      <c r="C8407" s="566" t="s">
        <v>1218</v>
      </c>
      <c r="D8407" s="552" t="s">
        <v>1219</v>
      </c>
      <c r="E8407" s="553"/>
      <c r="F8407" s="553"/>
      <c r="G8407" s="554"/>
      <c r="H8407" s="826">
        <f>H8406+H8404+H8401</f>
        <v>4940935</v>
      </c>
      <c r="I8407" s="827"/>
    </row>
    <row r="8408" spans="3:11" ht="25.8" customHeight="1">
      <c r="C8408" s="566" t="s">
        <v>1220</v>
      </c>
      <c r="D8408" s="552" t="s">
        <v>1321</v>
      </c>
      <c r="E8408" s="553"/>
      <c r="F8408" s="554"/>
      <c r="G8408" s="555">
        <f>$M$9</f>
        <v>0.1</v>
      </c>
      <c r="H8408" s="539">
        <f>H8407*G8408</f>
        <v>494093.5</v>
      </c>
      <c r="I8408" s="827"/>
    </row>
    <row r="8409" spans="3:11" ht="25.8" customHeight="1">
      <c r="C8409" s="566" t="s">
        <v>1221</v>
      </c>
      <c r="D8409" s="552" t="s">
        <v>1222</v>
      </c>
      <c r="E8409" s="553"/>
      <c r="F8409" s="553"/>
      <c r="G8409" s="554"/>
      <c r="H8409" s="828">
        <f>SUM(H8407:H8408)</f>
        <v>5435028.5</v>
      </c>
      <c r="I8409" s="827"/>
    </row>
    <row r="8410" spans="3:11" ht="25.8" customHeight="1"/>
    <row r="8411" spans="3:11" ht="25.8" customHeight="1">
      <c r="C8411" s="513" t="s">
        <v>6272</v>
      </c>
      <c r="D8411" s="817" t="s">
        <v>6273</v>
      </c>
      <c r="E8411" s="803"/>
      <c r="F8411" s="803"/>
      <c r="G8411" s="803"/>
      <c r="H8411" s="803"/>
      <c r="I8411" s="533">
        <f>ROUNDDOWN(H8426,-2)</f>
        <v>5798000</v>
      </c>
      <c r="J8411" s="536"/>
      <c r="K8411" s="824"/>
    </row>
    <row r="8412" spans="3:11" ht="25.8" customHeight="1">
      <c r="C8412" s="716" t="s">
        <v>1195</v>
      </c>
      <c r="D8412" s="716" t="s">
        <v>1196</v>
      </c>
      <c r="E8412" s="716" t="s">
        <v>1197</v>
      </c>
      <c r="F8412" s="716" t="s">
        <v>1198</v>
      </c>
      <c r="G8412" s="716" t="s">
        <v>1199</v>
      </c>
      <c r="H8412" s="716" t="s">
        <v>1200</v>
      </c>
    </row>
    <row r="8413" spans="3:11" ht="25.8" customHeight="1">
      <c r="C8413" s="213" t="s">
        <v>1201</v>
      </c>
      <c r="D8413" s="212" t="s">
        <v>1202</v>
      </c>
      <c r="E8413" s="534"/>
      <c r="F8413" s="534"/>
      <c r="G8413" s="534"/>
      <c r="H8413" s="534"/>
    </row>
    <row r="8414" spans="3:11" ht="25.8" customHeight="1">
      <c r="C8414" s="818">
        <v>1</v>
      </c>
      <c r="D8414" s="212" t="s">
        <v>5</v>
      </c>
      <c r="E8414" s="212" t="s">
        <v>6</v>
      </c>
      <c r="F8414" s="538">
        <v>0.89300000000000002</v>
      </c>
      <c r="G8414" s="539">
        <f>VLOOKUP(D8414,upahbahan,3,FALSE)</f>
        <v>100000</v>
      </c>
      <c r="H8414" s="539">
        <f t="shared" ref="H8414:H8417" si="891">F8414*G8414</f>
        <v>89300</v>
      </c>
    </row>
    <row r="8415" spans="3:11" ht="25.8" customHeight="1">
      <c r="C8415" s="818">
        <v>2</v>
      </c>
      <c r="D8415" s="212" t="s">
        <v>17</v>
      </c>
      <c r="E8415" s="212" t="s">
        <v>6</v>
      </c>
      <c r="F8415" s="538">
        <v>1.4910000000000001</v>
      </c>
      <c r="G8415" s="539">
        <f>VLOOKUP(D8415,upahbahan,3,FALSE)</f>
        <v>135000</v>
      </c>
      <c r="H8415" s="539">
        <f t="shared" si="891"/>
        <v>201285</v>
      </c>
    </row>
    <row r="8416" spans="3:11" ht="25.8" customHeight="1">
      <c r="C8416" s="818">
        <v>3</v>
      </c>
      <c r="D8416" s="212" t="s">
        <v>1310</v>
      </c>
      <c r="E8416" s="212" t="s">
        <v>6</v>
      </c>
      <c r="F8416" s="538">
        <v>0.14899999999999999</v>
      </c>
      <c r="G8416" s="539">
        <f>VLOOKUP(D8416,upahbahan,3,FALSE)</f>
        <v>150000</v>
      </c>
      <c r="H8416" s="539">
        <f t="shared" si="891"/>
        <v>22350</v>
      </c>
    </row>
    <row r="8417" spans="3:11" ht="25.8" customHeight="1">
      <c r="C8417" s="818">
        <v>4</v>
      </c>
      <c r="D8417" s="212" t="s">
        <v>19</v>
      </c>
      <c r="E8417" s="212" t="s">
        <v>6</v>
      </c>
      <c r="F8417" s="538">
        <v>0.05</v>
      </c>
      <c r="G8417" s="539">
        <f>VLOOKUP(D8417,upahbahan,3,FALSE)</f>
        <v>160000</v>
      </c>
      <c r="H8417" s="539">
        <f t="shared" si="891"/>
        <v>8000</v>
      </c>
    </row>
    <row r="8418" spans="3:11" ht="25.8" customHeight="1">
      <c r="C8418" s="702" t="s">
        <v>1208</v>
      </c>
      <c r="D8418" s="208"/>
      <c r="E8418" s="208"/>
      <c r="F8418" s="811"/>
      <c r="G8418" s="522"/>
      <c r="H8418" s="539">
        <f>SUM(H8414:H8417)</f>
        <v>320935</v>
      </c>
      <c r="I8418" s="819"/>
    </row>
    <row r="8419" spans="3:11" ht="25.8" customHeight="1">
      <c r="C8419" s="213" t="s">
        <v>1209</v>
      </c>
      <c r="D8419" s="212" t="s">
        <v>1210</v>
      </c>
      <c r="E8419" s="534"/>
      <c r="F8419" s="831"/>
      <c r="G8419" s="534"/>
      <c r="H8419" s="534"/>
    </row>
    <row r="8420" spans="3:11" ht="25.8" customHeight="1">
      <c r="C8420" s="213">
        <v>1</v>
      </c>
      <c r="D8420" s="212" t="s">
        <v>6274</v>
      </c>
      <c r="E8420" s="234" t="s">
        <v>235</v>
      </c>
      <c r="F8420" s="866">
        <v>1.1000000000000001</v>
      </c>
      <c r="G8420" s="539">
        <f>VLOOKUP(D8420,upahbahan,3,FALSE)</f>
        <v>4500000</v>
      </c>
      <c r="H8420" s="539">
        <f t="shared" ref="H8420" si="892">F8420*G8420</f>
        <v>4950000</v>
      </c>
    </row>
    <row r="8421" spans="3:11" ht="25.8" customHeight="1">
      <c r="C8421" s="702" t="s">
        <v>1214</v>
      </c>
      <c r="D8421" s="208"/>
      <c r="E8421" s="208" t="s">
        <v>6045</v>
      </c>
      <c r="F8421" s="208"/>
      <c r="G8421" s="209"/>
      <c r="H8421" s="539">
        <f>SUM(H8419:H8420)</f>
        <v>4950000</v>
      </c>
    </row>
    <row r="8422" spans="3:11" ht="25.8" customHeight="1">
      <c r="C8422" s="213" t="s">
        <v>1215</v>
      </c>
      <c r="D8422" s="212" t="s">
        <v>1216</v>
      </c>
      <c r="E8422" s="534"/>
      <c r="F8422" s="534"/>
      <c r="G8422" s="534"/>
      <c r="H8422" s="534"/>
    </row>
    <row r="8423" spans="3:11" ht="25.8" customHeight="1">
      <c r="C8423" s="702" t="s">
        <v>1217</v>
      </c>
      <c r="D8423" s="815"/>
      <c r="E8423" s="815"/>
      <c r="F8423" s="815"/>
      <c r="G8423" s="209"/>
      <c r="H8423" s="821">
        <f>SUM(H8422:H8422)</f>
        <v>0</v>
      </c>
    </row>
    <row r="8424" spans="3:11" ht="25.8" customHeight="1">
      <c r="C8424" s="566" t="s">
        <v>1218</v>
      </c>
      <c r="D8424" s="552" t="s">
        <v>1219</v>
      </c>
      <c r="E8424" s="553"/>
      <c r="F8424" s="553"/>
      <c r="G8424" s="554"/>
      <c r="H8424" s="826">
        <f>H8423+H8421+H8418</f>
        <v>5270935</v>
      </c>
      <c r="I8424" s="827"/>
    </row>
    <row r="8425" spans="3:11" ht="25.8" customHeight="1">
      <c r="C8425" s="566" t="s">
        <v>1220</v>
      </c>
      <c r="D8425" s="552" t="s">
        <v>1321</v>
      </c>
      <c r="E8425" s="553"/>
      <c r="F8425" s="554"/>
      <c r="G8425" s="555">
        <f>$M$9</f>
        <v>0.1</v>
      </c>
      <c r="H8425" s="539">
        <f>H8424*G8425</f>
        <v>527093.5</v>
      </c>
      <c r="I8425" s="827"/>
    </row>
    <row r="8426" spans="3:11" ht="25.8" customHeight="1">
      <c r="C8426" s="566" t="s">
        <v>1221</v>
      </c>
      <c r="D8426" s="552" t="s">
        <v>1222</v>
      </c>
      <c r="E8426" s="553"/>
      <c r="F8426" s="553"/>
      <c r="G8426" s="554"/>
      <c r="H8426" s="828">
        <f>SUM(H8424:H8425)</f>
        <v>5798028.5</v>
      </c>
      <c r="I8426" s="827"/>
    </row>
    <row r="8427" spans="3:11" ht="25.8" customHeight="1"/>
    <row r="8428" spans="3:11" ht="25.8" customHeight="1"/>
    <row r="8429" spans="3:11" ht="25.8" customHeight="1">
      <c r="C8429" s="513" t="s">
        <v>6275</v>
      </c>
      <c r="D8429" s="817" t="s">
        <v>6276</v>
      </c>
      <c r="E8429" s="803"/>
      <c r="F8429" s="803"/>
      <c r="G8429" s="803"/>
      <c r="H8429" s="803"/>
      <c r="I8429" s="533">
        <f>ROUNDDOWN(H8444,-2)</f>
        <v>6766000</v>
      </c>
      <c r="J8429" s="536"/>
      <c r="K8429" s="824"/>
    </row>
    <row r="8430" spans="3:11" ht="25.8" customHeight="1">
      <c r="C8430" s="716" t="s">
        <v>1195</v>
      </c>
      <c r="D8430" s="716" t="s">
        <v>1196</v>
      </c>
      <c r="E8430" s="716" t="s">
        <v>1197</v>
      </c>
      <c r="F8430" s="716" t="s">
        <v>1198</v>
      </c>
      <c r="G8430" s="716" t="s">
        <v>1199</v>
      </c>
      <c r="H8430" s="716" t="s">
        <v>1200</v>
      </c>
    </row>
    <row r="8431" spans="3:11" ht="25.8" customHeight="1">
      <c r="C8431" s="213" t="s">
        <v>1201</v>
      </c>
      <c r="D8431" s="212" t="s">
        <v>1202</v>
      </c>
      <c r="E8431" s="534"/>
      <c r="F8431" s="534"/>
      <c r="G8431" s="534"/>
      <c r="H8431" s="534"/>
    </row>
    <row r="8432" spans="3:11" ht="25.8" customHeight="1">
      <c r="C8432" s="818">
        <v>1</v>
      </c>
      <c r="D8432" s="212" t="s">
        <v>5</v>
      </c>
      <c r="E8432" s="212" t="s">
        <v>6</v>
      </c>
      <c r="F8432" s="538">
        <v>0.89300000000000002</v>
      </c>
      <c r="G8432" s="539">
        <f>VLOOKUP(D8432,upahbahan,3,FALSE)</f>
        <v>100000</v>
      </c>
      <c r="H8432" s="539">
        <f t="shared" ref="H8432:H8435" si="893">F8432*G8432</f>
        <v>89300</v>
      </c>
    </row>
    <row r="8433" spans="3:11" ht="25.8" customHeight="1">
      <c r="C8433" s="818">
        <v>2</v>
      </c>
      <c r="D8433" s="212" t="s">
        <v>17</v>
      </c>
      <c r="E8433" s="212" t="s">
        <v>6</v>
      </c>
      <c r="F8433" s="538">
        <v>1.4910000000000001</v>
      </c>
      <c r="G8433" s="539">
        <f>VLOOKUP(D8433,upahbahan,3,FALSE)</f>
        <v>135000</v>
      </c>
      <c r="H8433" s="539">
        <f t="shared" si="893"/>
        <v>201285</v>
      </c>
    </row>
    <row r="8434" spans="3:11" ht="25.8" customHeight="1">
      <c r="C8434" s="818">
        <v>3</v>
      </c>
      <c r="D8434" s="212" t="s">
        <v>1310</v>
      </c>
      <c r="E8434" s="212" t="s">
        <v>6</v>
      </c>
      <c r="F8434" s="538">
        <v>0.14899999999999999</v>
      </c>
      <c r="G8434" s="539">
        <f>VLOOKUP(D8434,upahbahan,3,FALSE)</f>
        <v>150000</v>
      </c>
      <c r="H8434" s="539">
        <f t="shared" si="893"/>
        <v>22350</v>
      </c>
    </row>
    <row r="8435" spans="3:11" ht="25.8" customHeight="1">
      <c r="C8435" s="818">
        <v>4</v>
      </c>
      <c r="D8435" s="212" t="s">
        <v>19</v>
      </c>
      <c r="E8435" s="212" t="s">
        <v>6</v>
      </c>
      <c r="F8435" s="538">
        <v>0.05</v>
      </c>
      <c r="G8435" s="539">
        <f>VLOOKUP(D8435,upahbahan,3,FALSE)</f>
        <v>160000</v>
      </c>
      <c r="H8435" s="539">
        <f t="shared" si="893"/>
        <v>8000</v>
      </c>
    </row>
    <row r="8436" spans="3:11" ht="25.8" customHeight="1">
      <c r="C8436" s="702" t="s">
        <v>1208</v>
      </c>
      <c r="D8436" s="208"/>
      <c r="E8436" s="208"/>
      <c r="F8436" s="811"/>
      <c r="G8436" s="522"/>
      <c r="H8436" s="539">
        <f>SUM(H8432:H8435)</f>
        <v>320935</v>
      </c>
      <c r="I8436" s="819"/>
    </row>
    <row r="8437" spans="3:11" ht="25.8" customHeight="1">
      <c r="C8437" s="213" t="s">
        <v>1209</v>
      </c>
      <c r="D8437" s="212" t="s">
        <v>1210</v>
      </c>
      <c r="E8437" s="534"/>
      <c r="F8437" s="831"/>
      <c r="G8437" s="534"/>
      <c r="H8437" s="534"/>
    </row>
    <row r="8438" spans="3:11" ht="25.8" customHeight="1">
      <c r="C8438" s="213">
        <v>1</v>
      </c>
      <c r="D8438" s="212" t="s">
        <v>6277</v>
      </c>
      <c r="E8438" s="234" t="s">
        <v>235</v>
      </c>
      <c r="F8438" s="866">
        <v>1.1000000000000001</v>
      </c>
      <c r="G8438" s="539">
        <f>VLOOKUP(D8438,upahbahan,3,FALSE)</f>
        <v>5300000</v>
      </c>
      <c r="H8438" s="539">
        <f t="shared" ref="H8438" si="894">F8438*G8438</f>
        <v>5830000.0000000009</v>
      </c>
    </row>
    <row r="8439" spans="3:11" ht="25.8" customHeight="1">
      <c r="C8439" s="702" t="s">
        <v>1214</v>
      </c>
      <c r="D8439" s="208"/>
      <c r="E8439" s="208" t="s">
        <v>6045</v>
      </c>
      <c r="F8439" s="208"/>
      <c r="G8439" s="209"/>
      <c r="H8439" s="539">
        <f>SUM(H8437:H8438)</f>
        <v>5830000.0000000009</v>
      </c>
    </row>
    <row r="8440" spans="3:11" ht="25.8" customHeight="1">
      <c r="C8440" s="213" t="s">
        <v>1215</v>
      </c>
      <c r="D8440" s="212" t="s">
        <v>1216</v>
      </c>
      <c r="E8440" s="534"/>
      <c r="F8440" s="534"/>
      <c r="G8440" s="534"/>
      <c r="H8440" s="534"/>
    </row>
    <row r="8441" spans="3:11" ht="25.8" customHeight="1">
      <c r="C8441" s="702" t="s">
        <v>1217</v>
      </c>
      <c r="D8441" s="815"/>
      <c r="E8441" s="815"/>
      <c r="F8441" s="815"/>
      <c r="G8441" s="209"/>
      <c r="H8441" s="821">
        <f>SUM(H8440:H8440)</f>
        <v>0</v>
      </c>
    </row>
    <row r="8442" spans="3:11" ht="25.8" customHeight="1">
      <c r="C8442" s="566" t="s">
        <v>1218</v>
      </c>
      <c r="D8442" s="552" t="s">
        <v>1219</v>
      </c>
      <c r="E8442" s="553"/>
      <c r="F8442" s="553"/>
      <c r="G8442" s="554"/>
      <c r="H8442" s="826">
        <f>H8441+H8439+H8436</f>
        <v>6150935.0000000009</v>
      </c>
      <c r="I8442" s="827"/>
    </row>
    <row r="8443" spans="3:11" ht="25.8" customHeight="1">
      <c r="C8443" s="566" t="s">
        <v>1220</v>
      </c>
      <c r="D8443" s="552" t="s">
        <v>1321</v>
      </c>
      <c r="E8443" s="553"/>
      <c r="F8443" s="554"/>
      <c r="G8443" s="555">
        <f>$M$9</f>
        <v>0.1</v>
      </c>
      <c r="H8443" s="539">
        <f>H8442*G8443</f>
        <v>615093.50000000012</v>
      </c>
      <c r="I8443" s="827"/>
    </row>
    <row r="8444" spans="3:11" ht="25.8" customHeight="1">
      <c r="C8444" s="566" t="s">
        <v>1221</v>
      </c>
      <c r="D8444" s="552" t="s">
        <v>1222</v>
      </c>
      <c r="E8444" s="553"/>
      <c r="F8444" s="553"/>
      <c r="G8444" s="554"/>
      <c r="H8444" s="828">
        <f>SUM(H8442:H8443)</f>
        <v>6766028.5000000009</v>
      </c>
      <c r="I8444" s="827"/>
    </row>
    <row r="8445" spans="3:11" ht="25.8" customHeight="1"/>
    <row r="8446" spans="3:11" ht="25.8" customHeight="1">
      <c r="C8446" s="513" t="s">
        <v>6278</v>
      </c>
      <c r="D8446" s="817" t="s">
        <v>6279</v>
      </c>
      <c r="E8446" s="803"/>
      <c r="F8446" s="803"/>
      <c r="G8446" s="803"/>
      <c r="H8446" s="803"/>
      <c r="I8446" s="533">
        <f>ROUNDDOWN(H8461,-2)</f>
        <v>9695600</v>
      </c>
      <c r="J8446" s="536"/>
      <c r="K8446" s="824"/>
    </row>
    <row r="8447" spans="3:11" ht="25.8" customHeight="1">
      <c r="C8447" s="716" t="s">
        <v>1195</v>
      </c>
      <c r="D8447" s="716" t="s">
        <v>1196</v>
      </c>
      <c r="E8447" s="716" t="s">
        <v>1197</v>
      </c>
      <c r="F8447" s="716" t="s">
        <v>1198</v>
      </c>
      <c r="G8447" s="716" t="s">
        <v>1199</v>
      </c>
      <c r="H8447" s="716" t="s">
        <v>1200</v>
      </c>
    </row>
    <row r="8448" spans="3:11" ht="25.8" customHeight="1">
      <c r="C8448" s="213" t="s">
        <v>1201</v>
      </c>
      <c r="D8448" s="212" t="s">
        <v>1202</v>
      </c>
      <c r="E8448" s="534"/>
      <c r="F8448" s="534"/>
      <c r="G8448" s="534"/>
      <c r="H8448" s="534"/>
    </row>
    <row r="8449" spans="3:11" ht="25.8" customHeight="1">
      <c r="C8449" s="818">
        <v>1</v>
      </c>
      <c r="D8449" s="212" t="s">
        <v>5</v>
      </c>
      <c r="E8449" s="212" t="s">
        <v>6</v>
      </c>
      <c r="F8449" s="538">
        <v>1.264</v>
      </c>
      <c r="G8449" s="539">
        <f>VLOOKUP(D8449,upahbahan,3,FALSE)</f>
        <v>100000</v>
      </c>
      <c r="H8449" s="539">
        <f t="shared" ref="H8449:H8452" si="895">F8449*G8449</f>
        <v>126400</v>
      </c>
    </row>
    <row r="8450" spans="3:11" ht="25.8" customHeight="1">
      <c r="C8450" s="818">
        <v>2</v>
      </c>
      <c r="D8450" s="212" t="s">
        <v>17</v>
      </c>
      <c r="E8450" s="212" t="s">
        <v>6</v>
      </c>
      <c r="F8450" s="538">
        <v>2.1110000000000002</v>
      </c>
      <c r="G8450" s="539">
        <f>VLOOKUP(D8450,upahbahan,3,FALSE)</f>
        <v>135000</v>
      </c>
      <c r="H8450" s="539">
        <f t="shared" si="895"/>
        <v>284985</v>
      </c>
    </row>
    <row r="8451" spans="3:11" ht="25.8" customHeight="1">
      <c r="C8451" s="818">
        <v>3</v>
      </c>
      <c r="D8451" s="212" t="s">
        <v>1310</v>
      </c>
      <c r="E8451" s="212" t="s">
        <v>6</v>
      </c>
      <c r="F8451" s="538">
        <v>0.21099999999999999</v>
      </c>
      <c r="G8451" s="539">
        <f>VLOOKUP(D8451,upahbahan,3,FALSE)</f>
        <v>150000</v>
      </c>
      <c r="H8451" s="539">
        <f t="shared" si="895"/>
        <v>31650</v>
      </c>
    </row>
    <row r="8452" spans="3:11" ht="25.8" customHeight="1">
      <c r="C8452" s="818">
        <v>4</v>
      </c>
      <c r="D8452" s="212" t="s">
        <v>19</v>
      </c>
      <c r="E8452" s="212" t="s">
        <v>6</v>
      </c>
      <c r="F8452" s="538">
        <v>7.0000000000000007E-2</v>
      </c>
      <c r="G8452" s="539">
        <f>VLOOKUP(D8452,upahbahan,3,FALSE)</f>
        <v>160000</v>
      </c>
      <c r="H8452" s="539">
        <f t="shared" si="895"/>
        <v>11200.000000000002</v>
      </c>
    </row>
    <row r="8453" spans="3:11" ht="25.8" customHeight="1">
      <c r="C8453" s="702" t="s">
        <v>1208</v>
      </c>
      <c r="D8453" s="208"/>
      <c r="E8453" s="208"/>
      <c r="F8453" s="811"/>
      <c r="G8453" s="522"/>
      <c r="H8453" s="539">
        <f>SUM(H8449:H8452)</f>
        <v>454235</v>
      </c>
      <c r="I8453" s="819"/>
    </row>
    <row r="8454" spans="3:11" ht="25.8" customHeight="1">
      <c r="C8454" s="213" t="s">
        <v>1209</v>
      </c>
      <c r="D8454" s="212" t="s">
        <v>1210</v>
      </c>
      <c r="E8454" s="534"/>
      <c r="F8454" s="831"/>
      <c r="G8454" s="534"/>
      <c r="H8454" s="534"/>
    </row>
    <row r="8455" spans="3:11" ht="25.8" customHeight="1">
      <c r="C8455" s="213">
        <v>1</v>
      </c>
      <c r="D8455" s="212" t="s">
        <v>6280</v>
      </c>
      <c r="E8455" s="234" t="s">
        <v>235</v>
      </c>
      <c r="F8455" s="866">
        <v>1.1000000000000001</v>
      </c>
      <c r="G8455" s="539">
        <f>VLOOKUP(D8455,upahbahan,3,FALSE)</f>
        <v>7600000</v>
      </c>
      <c r="H8455" s="539">
        <f t="shared" ref="H8455" si="896">F8455*G8455</f>
        <v>8360000.0000000009</v>
      </c>
    </row>
    <row r="8456" spans="3:11" ht="25.8" customHeight="1">
      <c r="C8456" s="702" t="s">
        <v>1214</v>
      </c>
      <c r="D8456" s="208"/>
      <c r="E8456" s="208" t="s">
        <v>6045</v>
      </c>
      <c r="F8456" s="208"/>
      <c r="G8456" s="209"/>
      <c r="H8456" s="539">
        <f>SUM(H8454:H8455)</f>
        <v>8360000.0000000009</v>
      </c>
    </row>
    <row r="8457" spans="3:11" ht="25.8" customHeight="1">
      <c r="C8457" s="213" t="s">
        <v>1215</v>
      </c>
      <c r="D8457" s="212" t="s">
        <v>1216</v>
      </c>
      <c r="E8457" s="534"/>
      <c r="F8457" s="534"/>
      <c r="G8457" s="534"/>
      <c r="H8457" s="534"/>
    </row>
    <row r="8458" spans="3:11" ht="25.8" customHeight="1">
      <c r="C8458" s="702" t="s">
        <v>1217</v>
      </c>
      <c r="D8458" s="815"/>
      <c r="E8458" s="815"/>
      <c r="F8458" s="815"/>
      <c r="G8458" s="209"/>
      <c r="H8458" s="821">
        <f>SUM(H8457:H8457)</f>
        <v>0</v>
      </c>
    </row>
    <row r="8459" spans="3:11" ht="25.8" customHeight="1">
      <c r="C8459" s="566" t="s">
        <v>1218</v>
      </c>
      <c r="D8459" s="552" t="s">
        <v>1219</v>
      </c>
      <c r="E8459" s="553"/>
      <c r="F8459" s="553"/>
      <c r="G8459" s="554"/>
      <c r="H8459" s="826">
        <f>H8458+H8456+H8453</f>
        <v>8814235</v>
      </c>
      <c r="I8459" s="827"/>
    </row>
    <row r="8460" spans="3:11" ht="25.8" customHeight="1">
      <c r="C8460" s="566" t="s">
        <v>1220</v>
      </c>
      <c r="D8460" s="552" t="s">
        <v>1321</v>
      </c>
      <c r="E8460" s="553"/>
      <c r="F8460" s="554"/>
      <c r="G8460" s="555">
        <f>$M$9</f>
        <v>0.1</v>
      </c>
      <c r="H8460" s="539">
        <f>H8459*G8460</f>
        <v>881423.5</v>
      </c>
      <c r="I8460" s="827"/>
    </row>
    <row r="8461" spans="3:11" ht="25.8" customHeight="1">
      <c r="C8461" s="566" t="s">
        <v>1221</v>
      </c>
      <c r="D8461" s="552" t="s">
        <v>1222</v>
      </c>
      <c r="E8461" s="553"/>
      <c r="F8461" s="553"/>
      <c r="G8461" s="554"/>
      <c r="H8461" s="828">
        <f>SUM(H8459:H8460)</f>
        <v>9695658.5</v>
      </c>
      <c r="I8461" s="827"/>
    </row>
    <row r="8462" spans="3:11" ht="25.8" customHeight="1"/>
    <row r="8463" spans="3:11" ht="25.8" customHeight="1"/>
    <row r="8464" spans="3:11" ht="25.8" customHeight="1">
      <c r="C8464" s="513" t="s">
        <v>6281</v>
      </c>
      <c r="D8464" s="817" t="s">
        <v>6282</v>
      </c>
      <c r="E8464" s="803"/>
      <c r="F8464" s="803"/>
      <c r="G8464" s="803"/>
      <c r="H8464" s="803"/>
      <c r="I8464" s="533">
        <f>ROUNDDOWN(H8479,-2)</f>
        <v>12900200</v>
      </c>
      <c r="J8464" s="536"/>
      <c r="K8464" s="824"/>
    </row>
    <row r="8465" spans="3:9" ht="25.8" customHeight="1">
      <c r="C8465" s="716" t="s">
        <v>1195</v>
      </c>
      <c r="D8465" s="716" t="s">
        <v>1196</v>
      </c>
      <c r="E8465" s="716" t="s">
        <v>1197</v>
      </c>
      <c r="F8465" s="716" t="s">
        <v>1198</v>
      </c>
      <c r="G8465" s="716" t="s">
        <v>1199</v>
      </c>
      <c r="H8465" s="716" t="s">
        <v>1200</v>
      </c>
    </row>
    <row r="8466" spans="3:9" ht="25.8" customHeight="1">
      <c r="C8466" s="213" t="s">
        <v>1201</v>
      </c>
      <c r="D8466" s="212" t="s">
        <v>1202</v>
      </c>
      <c r="E8466" s="534"/>
      <c r="F8466" s="534"/>
      <c r="G8466" s="534"/>
      <c r="H8466" s="534"/>
    </row>
    <row r="8467" spans="3:9" ht="25.8" customHeight="1">
      <c r="C8467" s="818">
        <v>1</v>
      </c>
      <c r="D8467" s="212" t="s">
        <v>5</v>
      </c>
      <c r="E8467" s="212" t="s">
        <v>6</v>
      </c>
      <c r="F8467" s="538">
        <v>2.024</v>
      </c>
      <c r="G8467" s="539">
        <f>VLOOKUP(D8467,upahbahan,3,FALSE)</f>
        <v>100000</v>
      </c>
      <c r="H8467" s="539">
        <f t="shared" ref="H8467:H8470" si="897">F8467*G8467</f>
        <v>202400</v>
      </c>
    </row>
    <row r="8468" spans="3:9" ht="25.8" customHeight="1">
      <c r="C8468" s="818">
        <v>2</v>
      </c>
      <c r="D8468" s="212" t="s">
        <v>17</v>
      </c>
      <c r="E8468" s="212" t="s">
        <v>6</v>
      </c>
      <c r="F8468" s="538">
        <v>3.38</v>
      </c>
      <c r="G8468" s="539">
        <f>VLOOKUP(D8468,upahbahan,3,FALSE)</f>
        <v>135000</v>
      </c>
      <c r="H8468" s="539">
        <f t="shared" si="897"/>
        <v>456300</v>
      </c>
    </row>
    <row r="8469" spans="3:9" ht="25.8" customHeight="1">
      <c r="C8469" s="818">
        <v>3</v>
      </c>
      <c r="D8469" s="212" t="s">
        <v>1310</v>
      </c>
      <c r="E8469" s="212" t="s">
        <v>6</v>
      </c>
      <c r="F8469" s="538">
        <v>0.33800000000000002</v>
      </c>
      <c r="G8469" s="539">
        <f>VLOOKUP(D8469,upahbahan,3,FALSE)</f>
        <v>150000</v>
      </c>
      <c r="H8469" s="539">
        <f t="shared" si="897"/>
        <v>50700</v>
      </c>
    </row>
    <row r="8470" spans="3:9" ht="25.8" customHeight="1">
      <c r="C8470" s="818">
        <v>4</v>
      </c>
      <c r="D8470" s="212" t="s">
        <v>19</v>
      </c>
      <c r="E8470" s="212" t="s">
        <v>6</v>
      </c>
      <c r="F8470" s="538">
        <v>0.113</v>
      </c>
      <c r="G8470" s="539">
        <f>VLOOKUP(D8470,upahbahan,3,FALSE)</f>
        <v>160000</v>
      </c>
      <c r="H8470" s="539">
        <f t="shared" si="897"/>
        <v>18080</v>
      </c>
    </row>
    <row r="8471" spans="3:9" ht="25.8" customHeight="1">
      <c r="C8471" s="702" t="s">
        <v>1208</v>
      </c>
      <c r="D8471" s="208"/>
      <c r="E8471" s="208"/>
      <c r="F8471" s="811"/>
      <c r="G8471" s="522"/>
      <c r="H8471" s="539">
        <f>SUM(H8467:H8470)</f>
        <v>727480</v>
      </c>
      <c r="I8471" s="819"/>
    </row>
    <row r="8472" spans="3:9" ht="25.8" customHeight="1">
      <c r="C8472" s="213" t="s">
        <v>1209</v>
      </c>
      <c r="D8472" s="212" t="s">
        <v>1210</v>
      </c>
      <c r="E8472" s="534"/>
      <c r="F8472" s="831"/>
      <c r="G8472" s="534"/>
      <c r="H8472" s="534"/>
    </row>
    <row r="8473" spans="3:9" ht="25.8" customHeight="1">
      <c r="C8473" s="213">
        <v>1</v>
      </c>
      <c r="D8473" s="212" t="s">
        <v>6283</v>
      </c>
      <c r="E8473" s="234" t="s">
        <v>235</v>
      </c>
      <c r="F8473" s="866">
        <v>1.1000000000000001</v>
      </c>
      <c r="G8473" s="539">
        <f>VLOOKUP(D8473,upahbahan,3,FALSE)</f>
        <v>10000000</v>
      </c>
      <c r="H8473" s="539">
        <f t="shared" ref="H8473" si="898">F8473*G8473</f>
        <v>11000000</v>
      </c>
    </row>
    <row r="8474" spans="3:9" ht="25.8" customHeight="1">
      <c r="C8474" s="702" t="s">
        <v>1214</v>
      </c>
      <c r="D8474" s="208"/>
      <c r="E8474" s="208" t="s">
        <v>6045</v>
      </c>
      <c r="F8474" s="208"/>
      <c r="G8474" s="209"/>
      <c r="H8474" s="539">
        <f>SUM(H8472:H8473)</f>
        <v>11000000</v>
      </c>
    </row>
    <row r="8475" spans="3:9" ht="25.8" customHeight="1">
      <c r="C8475" s="213" t="s">
        <v>1215</v>
      </c>
      <c r="D8475" s="212" t="s">
        <v>1216</v>
      </c>
      <c r="E8475" s="534"/>
      <c r="F8475" s="534"/>
      <c r="G8475" s="534"/>
      <c r="H8475" s="534"/>
    </row>
    <row r="8476" spans="3:9" ht="25.8" customHeight="1">
      <c r="C8476" s="702" t="s">
        <v>1217</v>
      </c>
      <c r="D8476" s="815"/>
      <c r="E8476" s="815"/>
      <c r="F8476" s="815"/>
      <c r="G8476" s="209"/>
      <c r="H8476" s="821">
        <f>SUM(H8475:H8475)</f>
        <v>0</v>
      </c>
    </row>
    <row r="8477" spans="3:9" ht="25.8" customHeight="1">
      <c r="C8477" s="566" t="s">
        <v>1218</v>
      </c>
      <c r="D8477" s="552" t="s">
        <v>1219</v>
      </c>
      <c r="E8477" s="553"/>
      <c r="F8477" s="553"/>
      <c r="G8477" s="554"/>
      <c r="H8477" s="826">
        <f>H8476+H8474+H8471</f>
        <v>11727480</v>
      </c>
      <c r="I8477" s="827"/>
    </row>
    <row r="8478" spans="3:9" ht="25.8" customHeight="1">
      <c r="C8478" s="566" t="s">
        <v>1220</v>
      </c>
      <c r="D8478" s="552" t="s">
        <v>1321</v>
      </c>
      <c r="E8478" s="553"/>
      <c r="F8478" s="554"/>
      <c r="G8478" s="555">
        <f>$M$9</f>
        <v>0.1</v>
      </c>
      <c r="H8478" s="539">
        <f>H8477*G8478</f>
        <v>1172748</v>
      </c>
      <c r="I8478" s="827"/>
    </row>
    <row r="8479" spans="3:9" ht="25.8" customHeight="1">
      <c r="C8479" s="566" t="s">
        <v>1221</v>
      </c>
      <c r="D8479" s="552" t="s">
        <v>1222</v>
      </c>
      <c r="E8479" s="553"/>
      <c r="F8479" s="553"/>
      <c r="G8479" s="554"/>
      <c r="H8479" s="828">
        <f>SUM(H8477:H8478)</f>
        <v>12900228</v>
      </c>
      <c r="I8479" s="827"/>
    </row>
    <row r="8480" spans="3:9" ht="25.8" customHeight="1"/>
    <row r="8481" spans="3:11" ht="25.8" customHeight="1">
      <c r="C8481" s="513" t="s">
        <v>6284</v>
      </c>
      <c r="D8481" s="817" t="s">
        <v>6285</v>
      </c>
      <c r="E8481" s="803"/>
      <c r="F8481" s="803"/>
      <c r="G8481" s="803"/>
      <c r="H8481" s="803"/>
      <c r="I8481" s="533">
        <f>ROUNDDOWN(H8497,-2)</f>
        <v>28900</v>
      </c>
      <c r="J8481" s="536"/>
      <c r="K8481" s="824"/>
    </row>
    <row r="8482" spans="3:11" ht="25.8" customHeight="1">
      <c r="C8482" s="716" t="s">
        <v>1195</v>
      </c>
      <c r="D8482" s="716" t="s">
        <v>1196</v>
      </c>
      <c r="E8482" s="716" t="s">
        <v>1197</v>
      </c>
      <c r="F8482" s="716" t="s">
        <v>1198</v>
      </c>
      <c r="G8482" s="716" t="s">
        <v>1199</v>
      </c>
      <c r="H8482" s="716" t="s">
        <v>1200</v>
      </c>
    </row>
    <row r="8483" spans="3:11" ht="25.8" customHeight="1">
      <c r="C8483" s="213" t="s">
        <v>1201</v>
      </c>
      <c r="D8483" s="212" t="s">
        <v>1202</v>
      </c>
      <c r="E8483" s="534"/>
      <c r="F8483" s="534"/>
      <c r="G8483" s="534"/>
      <c r="H8483" s="534"/>
    </row>
    <row r="8484" spans="3:11" ht="25.8" customHeight="1">
      <c r="C8484" s="818">
        <v>1</v>
      </c>
      <c r="D8484" s="212" t="s">
        <v>5</v>
      </c>
      <c r="E8484" s="212" t="s">
        <v>6</v>
      </c>
      <c r="F8484" s="538">
        <v>2.4E-2</v>
      </c>
      <c r="G8484" s="539">
        <f>VLOOKUP(D8484,upahbahan,3,FALSE)</f>
        <v>100000</v>
      </c>
      <c r="H8484" s="539">
        <f t="shared" ref="H8484:H8487" si="899">F8484*G8484</f>
        <v>2400</v>
      </c>
    </row>
    <row r="8485" spans="3:11" ht="25.8" customHeight="1">
      <c r="C8485" s="818">
        <v>2</v>
      </c>
      <c r="D8485" s="212" t="s">
        <v>17</v>
      </c>
      <c r="E8485" s="212" t="s">
        <v>6</v>
      </c>
      <c r="F8485" s="538">
        <v>0.04</v>
      </c>
      <c r="G8485" s="539">
        <f>VLOOKUP(D8485,upahbahan,3,FALSE)</f>
        <v>135000</v>
      </c>
      <c r="H8485" s="539">
        <f t="shared" si="899"/>
        <v>5400</v>
      </c>
    </row>
    <row r="8486" spans="3:11" ht="25.8" customHeight="1">
      <c r="C8486" s="818">
        <v>3</v>
      </c>
      <c r="D8486" s="212" t="s">
        <v>1310</v>
      </c>
      <c r="E8486" s="212" t="s">
        <v>6</v>
      </c>
      <c r="F8486" s="538">
        <v>4.0000000000000001E-3</v>
      </c>
      <c r="G8486" s="539">
        <f>VLOOKUP(D8486,upahbahan,3,FALSE)</f>
        <v>150000</v>
      </c>
      <c r="H8486" s="539">
        <f t="shared" si="899"/>
        <v>600</v>
      </c>
    </row>
    <row r="8487" spans="3:11" ht="25.8" customHeight="1">
      <c r="C8487" s="818">
        <v>4</v>
      </c>
      <c r="D8487" s="212" t="s">
        <v>19</v>
      </c>
      <c r="E8487" s="212" t="s">
        <v>6</v>
      </c>
      <c r="F8487" s="538">
        <v>1E-3</v>
      </c>
      <c r="G8487" s="539">
        <f>VLOOKUP(D8487,upahbahan,3,FALSE)</f>
        <v>160000</v>
      </c>
      <c r="H8487" s="539">
        <f t="shared" si="899"/>
        <v>160</v>
      </c>
    </row>
    <row r="8488" spans="3:11" ht="25.8" customHeight="1">
      <c r="C8488" s="702" t="s">
        <v>1208</v>
      </c>
      <c r="D8488" s="208"/>
      <c r="E8488" s="208"/>
      <c r="F8488" s="811"/>
      <c r="G8488" s="522"/>
      <c r="H8488" s="539">
        <f>SUM(H8484:H8487)</f>
        <v>8560</v>
      </c>
      <c r="I8488" s="819"/>
    </row>
    <row r="8489" spans="3:11" ht="25.8" customHeight="1">
      <c r="C8489" s="213" t="s">
        <v>1209</v>
      </c>
      <c r="D8489" s="212" t="s">
        <v>1210</v>
      </c>
      <c r="E8489" s="534"/>
      <c r="F8489" s="831"/>
      <c r="G8489" s="534"/>
      <c r="H8489" s="534"/>
    </row>
    <row r="8490" spans="3:11" ht="25.8" customHeight="1">
      <c r="C8490" s="213">
        <v>1</v>
      </c>
      <c r="D8490" s="212" t="s">
        <v>889</v>
      </c>
      <c r="E8490" s="234" t="s">
        <v>235</v>
      </c>
      <c r="F8490" s="866">
        <v>1.1000000000000001</v>
      </c>
      <c r="G8490" s="539">
        <f>VLOOKUP(D8490,upahbahan,3,FALSE)</f>
        <v>16110</v>
      </c>
      <c r="H8490" s="539">
        <f t="shared" ref="H8490" si="900">F8490*G8490</f>
        <v>17721</v>
      </c>
    </row>
    <row r="8491" spans="3:11" ht="25.8" customHeight="1">
      <c r="C8491" s="213">
        <v>2</v>
      </c>
      <c r="D8491" s="212" t="s">
        <v>958</v>
      </c>
      <c r="E8491" s="234" t="s">
        <v>235</v>
      </c>
      <c r="F8491" s="866">
        <v>1.1000000000000001</v>
      </c>
      <c r="G8491" s="539">
        <f>VLOOKUP(D8491,upahbahan,3,FALSE)</f>
        <v>0</v>
      </c>
      <c r="H8491" s="539">
        <f t="shared" ref="H8491" si="901">F8491*G8491</f>
        <v>0</v>
      </c>
    </row>
    <row r="8492" spans="3:11" ht="25.8" customHeight="1">
      <c r="C8492" s="702" t="s">
        <v>1214</v>
      </c>
      <c r="D8492" s="208"/>
      <c r="E8492" s="208" t="s">
        <v>6045</v>
      </c>
      <c r="F8492" s="208"/>
      <c r="G8492" s="209"/>
      <c r="H8492" s="539">
        <f>SUM(H8489:H8491)</f>
        <v>17721</v>
      </c>
    </row>
    <row r="8493" spans="3:11" ht="25.8" customHeight="1">
      <c r="C8493" s="213" t="s">
        <v>1215</v>
      </c>
      <c r="D8493" s="212" t="s">
        <v>1216</v>
      </c>
      <c r="E8493" s="534"/>
      <c r="F8493" s="534"/>
      <c r="G8493" s="534"/>
      <c r="H8493" s="534"/>
    </row>
    <row r="8494" spans="3:11" ht="25.8" customHeight="1">
      <c r="C8494" s="702" t="s">
        <v>1217</v>
      </c>
      <c r="D8494" s="815"/>
      <c r="E8494" s="815"/>
      <c r="F8494" s="815"/>
      <c r="G8494" s="209"/>
      <c r="H8494" s="821">
        <f>SUM(H8493:H8493)</f>
        <v>0</v>
      </c>
    </row>
    <row r="8495" spans="3:11" ht="25.8" customHeight="1">
      <c r="C8495" s="566" t="s">
        <v>1218</v>
      </c>
      <c r="D8495" s="552" t="s">
        <v>1219</v>
      </c>
      <c r="E8495" s="553"/>
      <c r="F8495" s="553"/>
      <c r="G8495" s="554"/>
      <c r="H8495" s="826">
        <f>H8494+H8492+H8488</f>
        <v>26281</v>
      </c>
      <c r="I8495" s="827"/>
    </row>
    <row r="8496" spans="3:11" ht="25.8" customHeight="1">
      <c r="C8496" s="566" t="s">
        <v>1220</v>
      </c>
      <c r="D8496" s="552" t="s">
        <v>1321</v>
      </c>
      <c r="E8496" s="553"/>
      <c r="F8496" s="554"/>
      <c r="G8496" s="555">
        <f>$M$9</f>
        <v>0.1</v>
      </c>
      <c r="H8496" s="539">
        <f>H8495*G8496</f>
        <v>2628.1000000000004</v>
      </c>
      <c r="I8496" s="827"/>
    </row>
    <row r="8497" spans="3:11" ht="25.8" customHeight="1">
      <c r="C8497" s="566" t="s">
        <v>1221</v>
      </c>
      <c r="D8497" s="552" t="s">
        <v>1222</v>
      </c>
      <c r="E8497" s="553"/>
      <c r="F8497" s="553"/>
      <c r="G8497" s="554"/>
      <c r="H8497" s="828">
        <f>SUM(H8495:H8496)</f>
        <v>28909.1</v>
      </c>
      <c r="I8497" s="827"/>
    </row>
    <row r="8498" spans="3:11" ht="25.8" customHeight="1"/>
    <row r="8499" spans="3:11" ht="25.8" customHeight="1"/>
    <row r="8500" spans="3:11" ht="25.8" customHeight="1">
      <c r="C8500" s="513" t="s">
        <v>6286</v>
      </c>
      <c r="D8500" s="817" t="s">
        <v>6287</v>
      </c>
      <c r="E8500" s="803"/>
      <c r="F8500" s="803"/>
      <c r="G8500" s="803"/>
      <c r="H8500" s="803"/>
      <c r="I8500" s="533">
        <f>ROUNDDOWN(H8515,-2)</f>
        <v>209600</v>
      </c>
      <c r="J8500" s="536"/>
      <c r="K8500" s="824"/>
    </row>
    <row r="8501" spans="3:11" ht="25.8" customHeight="1">
      <c r="C8501" s="716" t="s">
        <v>1195</v>
      </c>
      <c r="D8501" s="716" t="s">
        <v>1196</v>
      </c>
      <c r="E8501" s="716" t="s">
        <v>1197</v>
      </c>
      <c r="F8501" s="716" t="s">
        <v>1198</v>
      </c>
      <c r="G8501" s="716" t="s">
        <v>1199</v>
      </c>
      <c r="H8501" s="716" t="s">
        <v>1200</v>
      </c>
    </row>
    <row r="8502" spans="3:11" ht="25.8" customHeight="1">
      <c r="C8502" s="213" t="s">
        <v>1201</v>
      </c>
      <c r="D8502" s="212" t="s">
        <v>1202</v>
      </c>
      <c r="E8502" s="534"/>
      <c r="F8502" s="534"/>
      <c r="G8502" s="534"/>
      <c r="H8502" s="534"/>
    </row>
    <row r="8503" spans="3:11" ht="25.8" customHeight="1">
      <c r="C8503" s="818">
        <v>1</v>
      </c>
      <c r="D8503" s="212" t="s">
        <v>5</v>
      </c>
      <c r="E8503" s="212" t="s">
        <v>6</v>
      </c>
      <c r="F8503" s="538">
        <v>2.4E-2</v>
      </c>
      <c r="G8503" s="539">
        <f>VLOOKUP(D8503,upahbahan,3,FALSE)</f>
        <v>100000</v>
      </c>
      <c r="H8503" s="539">
        <f t="shared" ref="H8503:H8506" si="902">F8503*G8503</f>
        <v>2400</v>
      </c>
    </row>
    <row r="8504" spans="3:11" ht="25.8" customHeight="1">
      <c r="C8504" s="818">
        <v>2</v>
      </c>
      <c r="D8504" s="212" t="s">
        <v>17</v>
      </c>
      <c r="E8504" s="212" t="s">
        <v>6</v>
      </c>
      <c r="F8504" s="538">
        <v>0.04</v>
      </c>
      <c r="G8504" s="539">
        <f>VLOOKUP(D8504,upahbahan,3,FALSE)</f>
        <v>135000</v>
      </c>
      <c r="H8504" s="539">
        <f t="shared" si="902"/>
        <v>5400</v>
      </c>
    </row>
    <row r="8505" spans="3:11" ht="25.8" customHeight="1">
      <c r="C8505" s="818">
        <v>3</v>
      </c>
      <c r="D8505" s="212" t="s">
        <v>1310</v>
      </c>
      <c r="E8505" s="212" t="s">
        <v>6</v>
      </c>
      <c r="F8505" s="538">
        <v>4.0000000000000001E-3</v>
      </c>
      <c r="G8505" s="539">
        <f>VLOOKUP(D8505,upahbahan,3,FALSE)</f>
        <v>150000</v>
      </c>
      <c r="H8505" s="539">
        <f t="shared" si="902"/>
        <v>600</v>
      </c>
    </row>
    <row r="8506" spans="3:11" ht="25.8" customHeight="1">
      <c r="C8506" s="818">
        <v>4</v>
      </c>
      <c r="D8506" s="212" t="s">
        <v>19</v>
      </c>
      <c r="E8506" s="212" t="s">
        <v>6</v>
      </c>
      <c r="F8506" s="538">
        <v>1E-3</v>
      </c>
      <c r="G8506" s="539">
        <f>VLOOKUP(D8506,upahbahan,3,FALSE)</f>
        <v>160000</v>
      </c>
      <c r="H8506" s="539">
        <f t="shared" si="902"/>
        <v>160</v>
      </c>
    </row>
    <row r="8507" spans="3:11" ht="25.8" customHeight="1">
      <c r="C8507" s="702" t="s">
        <v>1208</v>
      </c>
      <c r="D8507" s="208"/>
      <c r="E8507" s="208"/>
      <c r="F8507" s="811"/>
      <c r="G8507" s="522"/>
      <c r="H8507" s="539">
        <f>SUM(H8503:H8506)</f>
        <v>8560</v>
      </c>
      <c r="I8507" s="819"/>
    </row>
    <row r="8508" spans="3:11" ht="25.8" customHeight="1">
      <c r="C8508" s="213" t="s">
        <v>1209</v>
      </c>
      <c r="D8508" s="212" t="s">
        <v>1210</v>
      </c>
      <c r="E8508" s="534"/>
      <c r="F8508" s="831"/>
      <c r="G8508" s="534"/>
      <c r="H8508" s="534"/>
    </row>
    <row r="8509" spans="3:11" ht="25.8" customHeight="1">
      <c r="C8509" s="213">
        <v>1</v>
      </c>
      <c r="D8509" s="212" t="s">
        <v>889</v>
      </c>
      <c r="E8509" s="234" t="s">
        <v>235</v>
      </c>
      <c r="F8509" s="866">
        <v>11.3</v>
      </c>
      <c r="G8509" s="539">
        <f>VLOOKUP(D8509,upahbahan,3,FALSE)</f>
        <v>16110</v>
      </c>
      <c r="H8509" s="539">
        <f t="shared" ref="H8509" si="903">F8509*G8509</f>
        <v>182043</v>
      </c>
    </row>
    <row r="8510" spans="3:11" ht="25.8" customHeight="1">
      <c r="C8510" s="702" t="s">
        <v>1214</v>
      </c>
      <c r="D8510" s="208"/>
      <c r="E8510" s="208" t="s">
        <v>6045</v>
      </c>
      <c r="F8510" s="208"/>
      <c r="G8510" s="209"/>
      <c r="H8510" s="539">
        <f>SUM(H8508:H8509)</f>
        <v>182043</v>
      </c>
    </row>
    <row r="8511" spans="3:11" ht="25.8" customHeight="1">
      <c r="C8511" s="213" t="s">
        <v>1215</v>
      </c>
      <c r="D8511" s="212" t="s">
        <v>1216</v>
      </c>
      <c r="E8511" s="534"/>
      <c r="F8511" s="534"/>
      <c r="G8511" s="534"/>
      <c r="H8511" s="534"/>
    </row>
    <row r="8512" spans="3:11" ht="25.8" customHeight="1">
      <c r="C8512" s="702" t="s">
        <v>1217</v>
      </c>
      <c r="D8512" s="815"/>
      <c r="E8512" s="815"/>
      <c r="F8512" s="815"/>
      <c r="G8512" s="209"/>
      <c r="H8512" s="821">
        <f>SUM(H8511:H8511)</f>
        <v>0</v>
      </c>
    </row>
    <row r="8513" spans="3:11" ht="25.8" customHeight="1">
      <c r="C8513" s="566" t="s">
        <v>1218</v>
      </c>
      <c r="D8513" s="552" t="s">
        <v>1219</v>
      </c>
      <c r="E8513" s="553"/>
      <c r="F8513" s="553"/>
      <c r="G8513" s="554"/>
      <c r="H8513" s="826">
        <f>H8512+H8510+H8507</f>
        <v>190603</v>
      </c>
      <c r="I8513" s="827"/>
    </row>
    <row r="8514" spans="3:11" ht="25.8" customHeight="1">
      <c r="C8514" s="566" t="s">
        <v>1220</v>
      </c>
      <c r="D8514" s="552" t="s">
        <v>1321</v>
      </c>
      <c r="E8514" s="553"/>
      <c r="F8514" s="554"/>
      <c r="G8514" s="555">
        <f>$M$9</f>
        <v>0.1</v>
      </c>
      <c r="H8514" s="539">
        <f>H8513*G8514</f>
        <v>19060.3</v>
      </c>
      <c r="I8514" s="827"/>
    </row>
    <row r="8515" spans="3:11" ht="25.8" customHeight="1">
      <c r="C8515" s="566" t="s">
        <v>1221</v>
      </c>
      <c r="D8515" s="552" t="s">
        <v>1222</v>
      </c>
      <c r="E8515" s="553"/>
      <c r="F8515" s="553"/>
      <c r="G8515" s="554"/>
      <c r="H8515" s="828">
        <f>SUM(H8513:H8514)</f>
        <v>209663.3</v>
      </c>
      <c r="I8515" s="827"/>
    </row>
    <row r="8516" spans="3:11" ht="25.8" customHeight="1"/>
    <row r="8517" spans="3:11" ht="25.8" customHeight="1">
      <c r="C8517" s="571" t="s">
        <v>6288</v>
      </c>
      <c r="D8517" s="571" t="s">
        <v>6289</v>
      </c>
    </row>
    <row r="8518" spans="3:11" ht="25.8" customHeight="1">
      <c r="C8518" s="513" t="s">
        <v>6290</v>
      </c>
      <c r="D8518" s="817" t="s">
        <v>6291</v>
      </c>
      <c r="E8518" s="803"/>
      <c r="F8518" s="803"/>
      <c r="G8518" s="803"/>
      <c r="H8518" s="803"/>
      <c r="I8518" s="533">
        <f>ROUNDDOWN(H8533,-2)</f>
        <v>1189700</v>
      </c>
      <c r="J8518" s="536"/>
      <c r="K8518" s="824"/>
    </row>
    <row r="8519" spans="3:11" ht="25.8" customHeight="1">
      <c r="C8519" s="716" t="s">
        <v>1195</v>
      </c>
      <c r="D8519" s="716" t="s">
        <v>1196</v>
      </c>
      <c r="E8519" s="716" t="s">
        <v>1197</v>
      </c>
      <c r="F8519" s="716" t="s">
        <v>1198</v>
      </c>
      <c r="G8519" s="716" t="s">
        <v>1199</v>
      </c>
      <c r="H8519" s="716" t="s">
        <v>1200</v>
      </c>
    </row>
    <row r="8520" spans="3:11" ht="25.8" customHeight="1">
      <c r="C8520" s="213" t="s">
        <v>1201</v>
      </c>
      <c r="D8520" s="212" t="s">
        <v>1202</v>
      </c>
      <c r="E8520" s="534"/>
      <c r="F8520" s="534"/>
      <c r="G8520" s="534"/>
      <c r="H8520" s="534"/>
    </row>
    <row r="8521" spans="3:11" ht="25.8" customHeight="1">
      <c r="C8521" s="818">
        <v>1</v>
      </c>
      <c r="D8521" s="212" t="s">
        <v>5</v>
      </c>
      <c r="E8521" s="212" t="s">
        <v>6</v>
      </c>
      <c r="F8521" s="538">
        <v>0.255</v>
      </c>
      <c r="G8521" s="539">
        <f>VLOOKUP(D8521,upahbahan,3,FALSE)</f>
        <v>100000</v>
      </c>
      <c r="H8521" s="539">
        <f t="shared" ref="H8521:H8524" si="904">F8521*G8521</f>
        <v>25500</v>
      </c>
    </row>
    <row r="8522" spans="3:11" ht="25.8" customHeight="1">
      <c r="C8522" s="818">
        <v>2</v>
      </c>
      <c r="D8522" s="212" t="s">
        <v>17</v>
      </c>
      <c r="E8522" s="212" t="s">
        <v>6</v>
      </c>
      <c r="F8522" s="538">
        <v>0.42499999999999999</v>
      </c>
      <c r="G8522" s="539">
        <f>VLOOKUP(D8522,upahbahan,3,FALSE)</f>
        <v>135000</v>
      </c>
      <c r="H8522" s="539">
        <f t="shared" si="904"/>
        <v>57375</v>
      </c>
    </row>
    <row r="8523" spans="3:11" ht="25.8" customHeight="1">
      <c r="C8523" s="818">
        <v>3</v>
      </c>
      <c r="D8523" s="212" t="s">
        <v>1310</v>
      </c>
      <c r="E8523" s="212" t="s">
        <v>6</v>
      </c>
      <c r="F8523" s="538">
        <v>4.2999999999999997E-2</v>
      </c>
      <c r="G8523" s="539">
        <f>VLOOKUP(D8523,upahbahan,3,FALSE)</f>
        <v>150000</v>
      </c>
      <c r="H8523" s="539">
        <f t="shared" si="904"/>
        <v>6449.9999999999991</v>
      </c>
    </row>
    <row r="8524" spans="3:11" ht="25.8" customHeight="1">
      <c r="C8524" s="818">
        <v>4</v>
      </c>
      <c r="D8524" s="212" t="s">
        <v>19</v>
      </c>
      <c r="E8524" s="212" t="s">
        <v>6</v>
      </c>
      <c r="F8524" s="538">
        <v>1.4E-2</v>
      </c>
      <c r="G8524" s="539">
        <f>VLOOKUP(D8524,upahbahan,3,FALSE)</f>
        <v>160000</v>
      </c>
      <c r="H8524" s="539">
        <f t="shared" si="904"/>
        <v>2240</v>
      </c>
    </row>
    <row r="8525" spans="3:11" ht="25.8" customHeight="1">
      <c r="C8525" s="702" t="s">
        <v>1208</v>
      </c>
      <c r="D8525" s="208"/>
      <c r="E8525" s="208"/>
      <c r="F8525" s="811"/>
      <c r="G8525" s="522"/>
      <c r="H8525" s="539">
        <f>SUM(H8521:H8524)</f>
        <v>91565</v>
      </c>
      <c r="I8525" s="819"/>
    </row>
    <row r="8526" spans="3:11" ht="25.8" customHeight="1">
      <c r="C8526" s="213" t="s">
        <v>1209</v>
      </c>
      <c r="D8526" s="212" t="s">
        <v>1210</v>
      </c>
      <c r="E8526" s="534"/>
      <c r="F8526" s="831"/>
      <c r="G8526" s="534"/>
      <c r="H8526" s="534"/>
    </row>
    <row r="8527" spans="3:11" ht="25.8" customHeight="1">
      <c r="C8527" s="213">
        <v>1</v>
      </c>
      <c r="D8527" s="212" t="s">
        <v>6292</v>
      </c>
      <c r="E8527" s="234" t="s">
        <v>235</v>
      </c>
      <c r="F8527" s="866">
        <v>1.1000000000000001</v>
      </c>
      <c r="G8527" s="539">
        <f>VLOOKUP(D8527,upahbahan,3,FALSE)</f>
        <v>900000</v>
      </c>
      <c r="H8527" s="539">
        <f t="shared" ref="H8527" si="905">F8527*G8527</f>
        <v>990000.00000000012</v>
      </c>
    </row>
    <row r="8528" spans="3:11" ht="25.8" customHeight="1">
      <c r="C8528" s="702" t="s">
        <v>1214</v>
      </c>
      <c r="D8528" s="208"/>
      <c r="E8528" s="208" t="s">
        <v>6045</v>
      </c>
      <c r="F8528" s="208"/>
      <c r="G8528" s="209"/>
      <c r="H8528" s="539">
        <f>SUM(H8526:H8527)</f>
        <v>990000.00000000012</v>
      </c>
    </row>
    <row r="8529" spans="3:11" ht="25.8" customHeight="1">
      <c r="C8529" s="213" t="s">
        <v>1215</v>
      </c>
      <c r="D8529" s="212" t="s">
        <v>1216</v>
      </c>
      <c r="E8529" s="534"/>
      <c r="F8529" s="534"/>
      <c r="G8529" s="534"/>
      <c r="H8529" s="534"/>
    </row>
    <row r="8530" spans="3:11" ht="25.8" customHeight="1">
      <c r="C8530" s="702" t="s">
        <v>1217</v>
      </c>
      <c r="D8530" s="815"/>
      <c r="E8530" s="815"/>
      <c r="F8530" s="815"/>
      <c r="G8530" s="209"/>
      <c r="H8530" s="821">
        <f>SUM(H8529:H8529)</f>
        <v>0</v>
      </c>
    </row>
    <row r="8531" spans="3:11" ht="25.8" customHeight="1">
      <c r="C8531" s="566" t="s">
        <v>1218</v>
      </c>
      <c r="D8531" s="552" t="s">
        <v>1219</v>
      </c>
      <c r="E8531" s="553"/>
      <c r="F8531" s="553"/>
      <c r="G8531" s="554"/>
      <c r="H8531" s="826">
        <f>H8530+H8528+H8525</f>
        <v>1081565</v>
      </c>
      <c r="I8531" s="827"/>
    </row>
    <row r="8532" spans="3:11" ht="25.8" customHeight="1">
      <c r="C8532" s="566" t="s">
        <v>1220</v>
      </c>
      <c r="D8532" s="552" t="s">
        <v>1321</v>
      </c>
      <c r="E8532" s="553"/>
      <c r="F8532" s="554"/>
      <c r="G8532" s="555">
        <f>$M$9</f>
        <v>0.1</v>
      </c>
      <c r="H8532" s="539">
        <f>H8531*G8532</f>
        <v>108156.5</v>
      </c>
      <c r="I8532" s="827"/>
    </row>
    <row r="8533" spans="3:11" ht="25.8" customHeight="1">
      <c r="C8533" s="566" t="s">
        <v>1221</v>
      </c>
      <c r="D8533" s="552" t="s">
        <v>1222</v>
      </c>
      <c r="E8533" s="553"/>
      <c r="F8533" s="553"/>
      <c r="G8533" s="554"/>
      <c r="H8533" s="828">
        <f>SUM(H8531:H8532)</f>
        <v>1189721.5</v>
      </c>
      <c r="I8533" s="827"/>
    </row>
    <row r="8534" spans="3:11" ht="25.8" customHeight="1"/>
    <row r="8535" spans="3:11" ht="25.8" customHeight="1"/>
    <row r="8536" spans="3:11" ht="25.8" customHeight="1">
      <c r="C8536" s="513" t="s">
        <v>6293</v>
      </c>
      <c r="D8536" s="817" t="s">
        <v>6294</v>
      </c>
      <c r="E8536" s="803"/>
      <c r="F8536" s="803"/>
      <c r="G8536" s="803"/>
      <c r="H8536" s="803"/>
      <c r="I8536" s="533">
        <f>ROUNDDOWN(H8551,-2)</f>
        <v>1552700</v>
      </c>
      <c r="J8536" s="536"/>
      <c r="K8536" s="824"/>
    </row>
    <row r="8537" spans="3:11" ht="25.8" customHeight="1">
      <c r="C8537" s="716" t="s">
        <v>1195</v>
      </c>
      <c r="D8537" s="716" t="s">
        <v>1196</v>
      </c>
      <c r="E8537" s="716" t="s">
        <v>1197</v>
      </c>
      <c r="F8537" s="716" t="s">
        <v>1198</v>
      </c>
      <c r="G8537" s="716" t="s">
        <v>1199</v>
      </c>
      <c r="H8537" s="716" t="s">
        <v>1200</v>
      </c>
    </row>
    <row r="8538" spans="3:11" ht="25.8" customHeight="1">
      <c r="C8538" s="213" t="s">
        <v>1201</v>
      </c>
      <c r="D8538" s="212" t="s">
        <v>1202</v>
      </c>
      <c r="E8538" s="534"/>
      <c r="F8538" s="534"/>
      <c r="G8538" s="534"/>
      <c r="H8538" s="534"/>
    </row>
    <row r="8539" spans="3:11" ht="25.8" customHeight="1">
      <c r="C8539" s="818">
        <v>1</v>
      </c>
      <c r="D8539" s="212" t="s">
        <v>5</v>
      </c>
      <c r="E8539" s="212" t="s">
        <v>6</v>
      </c>
      <c r="F8539" s="538">
        <v>0.255</v>
      </c>
      <c r="G8539" s="539">
        <f>VLOOKUP(D8539,upahbahan,3,FALSE)</f>
        <v>100000</v>
      </c>
      <c r="H8539" s="539">
        <f t="shared" ref="H8539:H8542" si="906">F8539*G8539</f>
        <v>25500</v>
      </c>
    </row>
    <row r="8540" spans="3:11" ht="25.8" customHeight="1">
      <c r="C8540" s="818">
        <v>2</v>
      </c>
      <c r="D8540" s="212" t="s">
        <v>17</v>
      </c>
      <c r="E8540" s="212" t="s">
        <v>6</v>
      </c>
      <c r="F8540" s="538">
        <v>0.42499999999999999</v>
      </c>
      <c r="G8540" s="539">
        <f>VLOOKUP(D8540,upahbahan,3,FALSE)</f>
        <v>135000</v>
      </c>
      <c r="H8540" s="539">
        <f t="shared" si="906"/>
        <v>57375</v>
      </c>
    </row>
    <row r="8541" spans="3:11" ht="25.8" customHeight="1">
      <c r="C8541" s="818">
        <v>3</v>
      </c>
      <c r="D8541" s="212" t="s">
        <v>1310</v>
      </c>
      <c r="E8541" s="212" t="s">
        <v>6</v>
      </c>
      <c r="F8541" s="538">
        <v>4.2999999999999997E-2</v>
      </c>
      <c r="G8541" s="539">
        <f>VLOOKUP(D8541,upahbahan,3,FALSE)</f>
        <v>150000</v>
      </c>
      <c r="H8541" s="539">
        <f t="shared" si="906"/>
        <v>6449.9999999999991</v>
      </c>
    </row>
    <row r="8542" spans="3:11" ht="25.8" customHeight="1">
      <c r="C8542" s="818">
        <v>4</v>
      </c>
      <c r="D8542" s="212" t="s">
        <v>19</v>
      </c>
      <c r="E8542" s="212" t="s">
        <v>6</v>
      </c>
      <c r="F8542" s="538">
        <v>1.4E-2</v>
      </c>
      <c r="G8542" s="539">
        <f>VLOOKUP(D8542,upahbahan,3,FALSE)</f>
        <v>160000</v>
      </c>
      <c r="H8542" s="539">
        <f t="shared" si="906"/>
        <v>2240</v>
      </c>
    </row>
    <row r="8543" spans="3:11" ht="25.8" customHeight="1">
      <c r="C8543" s="702" t="s">
        <v>1208</v>
      </c>
      <c r="D8543" s="208"/>
      <c r="E8543" s="208"/>
      <c r="F8543" s="811"/>
      <c r="G8543" s="522"/>
      <c r="H8543" s="539">
        <f>SUM(H8539:H8542)</f>
        <v>91565</v>
      </c>
      <c r="I8543" s="819"/>
    </row>
    <row r="8544" spans="3:11" ht="25.8" customHeight="1">
      <c r="C8544" s="213" t="s">
        <v>1209</v>
      </c>
      <c r="D8544" s="212" t="s">
        <v>1210</v>
      </c>
      <c r="E8544" s="534"/>
      <c r="F8544" s="831"/>
      <c r="G8544" s="534"/>
      <c r="H8544" s="534"/>
    </row>
    <row r="8545" spans="3:11" ht="25.8" customHeight="1">
      <c r="C8545" s="213">
        <v>1</v>
      </c>
      <c r="D8545" s="212" t="s">
        <v>6295</v>
      </c>
      <c r="E8545" s="234" t="s">
        <v>235</v>
      </c>
      <c r="F8545" s="866">
        <v>1.1000000000000001</v>
      </c>
      <c r="G8545" s="539">
        <f>VLOOKUP(D8545,upahbahan,3,FALSE)</f>
        <v>1200000</v>
      </c>
      <c r="H8545" s="539">
        <f t="shared" ref="H8545" si="907">F8545*G8545</f>
        <v>1320000</v>
      </c>
    </row>
    <row r="8546" spans="3:11" ht="25.8" customHeight="1">
      <c r="C8546" s="702" t="s">
        <v>1214</v>
      </c>
      <c r="D8546" s="208"/>
      <c r="E8546" s="208" t="s">
        <v>6045</v>
      </c>
      <c r="F8546" s="208"/>
      <c r="G8546" s="209"/>
      <c r="H8546" s="539">
        <f>SUM(H8544:H8545)</f>
        <v>1320000</v>
      </c>
    </row>
    <row r="8547" spans="3:11" ht="25.8" customHeight="1">
      <c r="C8547" s="213" t="s">
        <v>1215</v>
      </c>
      <c r="D8547" s="212" t="s">
        <v>1216</v>
      </c>
      <c r="E8547" s="534"/>
      <c r="F8547" s="534"/>
      <c r="G8547" s="534"/>
      <c r="H8547" s="534"/>
    </row>
    <row r="8548" spans="3:11" ht="25.8" customHeight="1">
      <c r="C8548" s="702" t="s">
        <v>1217</v>
      </c>
      <c r="D8548" s="815"/>
      <c r="E8548" s="815"/>
      <c r="F8548" s="815"/>
      <c r="G8548" s="209"/>
      <c r="H8548" s="821">
        <f>SUM(H8547:H8547)</f>
        <v>0</v>
      </c>
    </row>
    <row r="8549" spans="3:11" ht="25.8" customHeight="1">
      <c r="C8549" s="566" t="s">
        <v>1218</v>
      </c>
      <c r="D8549" s="552" t="s">
        <v>1219</v>
      </c>
      <c r="E8549" s="553"/>
      <c r="F8549" s="553"/>
      <c r="G8549" s="554"/>
      <c r="H8549" s="826">
        <f>H8548+H8546+H8543</f>
        <v>1411565</v>
      </c>
      <c r="I8549" s="827"/>
    </row>
    <row r="8550" spans="3:11" ht="25.8" customHeight="1">
      <c r="C8550" s="566" t="s">
        <v>1220</v>
      </c>
      <c r="D8550" s="552" t="s">
        <v>1321</v>
      </c>
      <c r="E8550" s="553"/>
      <c r="F8550" s="554"/>
      <c r="G8550" s="555">
        <f>$M$9</f>
        <v>0.1</v>
      </c>
      <c r="H8550" s="539">
        <f>H8549*G8550</f>
        <v>141156.5</v>
      </c>
      <c r="I8550" s="827"/>
    </row>
    <row r="8551" spans="3:11" ht="25.8" customHeight="1">
      <c r="C8551" s="566" t="s">
        <v>1221</v>
      </c>
      <c r="D8551" s="552" t="s">
        <v>1222</v>
      </c>
      <c r="E8551" s="553"/>
      <c r="F8551" s="553"/>
      <c r="G8551" s="554"/>
      <c r="H8551" s="828">
        <f>SUM(H8549:H8550)</f>
        <v>1552721.5</v>
      </c>
      <c r="I8551" s="827"/>
    </row>
    <row r="8552" spans="3:11" ht="25.8" customHeight="1"/>
    <row r="8553" spans="3:11" ht="25.8" customHeight="1">
      <c r="C8553" s="513" t="s">
        <v>6296</v>
      </c>
      <c r="D8553" s="817" t="s">
        <v>6297</v>
      </c>
      <c r="E8553" s="803"/>
      <c r="F8553" s="803"/>
      <c r="G8553" s="803"/>
      <c r="H8553" s="803"/>
      <c r="I8553" s="533">
        <f>ROUNDDOWN(H8568,-2)</f>
        <v>1734200</v>
      </c>
      <c r="J8553" s="536"/>
      <c r="K8553" s="824"/>
    </row>
    <row r="8554" spans="3:11" ht="25.8" customHeight="1">
      <c r="C8554" s="716" t="s">
        <v>1195</v>
      </c>
      <c r="D8554" s="716" t="s">
        <v>1196</v>
      </c>
      <c r="E8554" s="716" t="s">
        <v>1197</v>
      </c>
      <c r="F8554" s="716" t="s">
        <v>1198</v>
      </c>
      <c r="G8554" s="716" t="s">
        <v>1199</v>
      </c>
      <c r="H8554" s="716" t="s">
        <v>1200</v>
      </c>
    </row>
    <row r="8555" spans="3:11" ht="25.8" customHeight="1">
      <c r="C8555" s="213" t="s">
        <v>1201</v>
      </c>
      <c r="D8555" s="212" t="s">
        <v>1202</v>
      </c>
      <c r="E8555" s="534"/>
      <c r="F8555" s="534"/>
      <c r="G8555" s="534"/>
      <c r="H8555" s="534"/>
    </row>
    <row r="8556" spans="3:11" ht="25.8" customHeight="1">
      <c r="C8556" s="818">
        <v>1</v>
      </c>
      <c r="D8556" s="212" t="s">
        <v>5</v>
      </c>
      <c r="E8556" s="212" t="s">
        <v>6</v>
      </c>
      <c r="F8556" s="538">
        <v>0.255</v>
      </c>
      <c r="G8556" s="539">
        <f>VLOOKUP(D8556,upahbahan,3,FALSE)</f>
        <v>100000</v>
      </c>
      <c r="H8556" s="539">
        <f t="shared" ref="H8556:H8559" si="908">F8556*G8556</f>
        <v>25500</v>
      </c>
    </row>
    <row r="8557" spans="3:11" ht="25.8" customHeight="1">
      <c r="C8557" s="818">
        <v>2</v>
      </c>
      <c r="D8557" s="212" t="s">
        <v>17</v>
      </c>
      <c r="E8557" s="212" t="s">
        <v>6</v>
      </c>
      <c r="F8557" s="538">
        <v>0.42499999999999999</v>
      </c>
      <c r="G8557" s="539">
        <f>VLOOKUP(D8557,upahbahan,3,FALSE)</f>
        <v>135000</v>
      </c>
      <c r="H8557" s="539">
        <f t="shared" si="908"/>
        <v>57375</v>
      </c>
    </row>
    <row r="8558" spans="3:11" ht="25.8" customHeight="1">
      <c r="C8558" s="818">
        <v>3</v>
      </c>
      <c r="D8558" s="212" t="s">
        <v>1310</v>
      </c>
      <c r="E8558" s="212" t="s">
        <v>6</v>
      </c>
      <c r="F8558" s="538">
        <v>4.2999999999999997E-2</v>
      </c>
      <c r="G8558" s="539">
        <f>VLOOKUP(D8558,upahbahan,3,FALSE)</f>
        <v>150000</v>
      </c>
      <c r="H8558" s="539">
        <f t="shared" si="908"/>
        <v>6449.9999999999991</v>
      </c>
    </row>
    <row r="8559" spans="3:11" ht="25.8" customHeight="1">
      <c r="C8559" s="818">
        <v>4</v>
      </c>
      <c r="D8559" s="212" t="s">
        <v>19</v>
      </c>
      <c r="E8559" s="212" t="s">
        <v>6</v>
      </c>
      <c r="F8559" s="538">
        <v>1.4E-2</v>
      </c>
      <c r="G8559" s="539">
        <f>VLOOKUP(D8559,upahbahan,3,FALSE)</f>
        <v>160000</v>
      </c>
      <c r="H8559" s="539">
        <f t="shared" si="908"/>
        <v>2240</v>
      </c>
    </row>
    <row r="8560" spans="3:11" ht="25.8" customHeight="1">
      <c r="C8560" s="702" t="s">
        <v>1208</v>
      </c>
      <c r="D8560" s="208"/>
      <c r="E8560" s="208"/>
      <c r="F8560" s="811"/>
      <c r="G8560" s="522"/>
      <c r="H8560" s="539">
        <f>SUM(H8556:H8559)</f>
        <v>91565</v>
      </c>
      <c r="I8560" s="819"/>
    </row>
    <row r="8561" spans="3:11" ht="25.8" customHeight="1">
      <c r="C8561" s="213" t="s">
        <v>1209</v>
      </c>
      <c r="D8561" s="212" t="s">
        <v>1210</v>
      </c>
      <c r="E8561" s="534"/>
      <c r="F8561" s="831"/>
      <c r="G8561" s="534"/>
      <c r="H8561" s="534"/>
    </row>
    <row r="8562" spans="3:11" ht="25.8" customHeight="1">
      <c r="C8562" s="213">
        <v>1</v>
      </c>
      <c r="D8562" s="212" t="s">
        <v>6298</v>
      </c>
      <c r="E8562" s="234" t="s">
        <v>235</v>
      </c>
      <c r="F8562" s="866">
        <v>1.1000000000000001</v>
      </c>
      <c r="G8562" s="539">
        <f>VLOOKUP(D8562,upahbahan,3,FALSE)</f>
        <v>1350000</v>
      </c>
      <c r="H8562" s="539">
        <f t="shared" ref="H8562" si="909">F8562*G8562</f>
        <v>1485000.0000000002</v>
      </c>
    </row>
    <row r="8563" spans="3:11" ht="25.8" customHeight="1">
      <c r="C8563" s="702" t="s">
        <v>1214</v>
      </c>
      <c r="D8563" s="208"/>
      <c r="E8563" s="208" t="s">
        <v>6045</v>
      </c>
      <c r="F8563" s="208"/>
      <c r="G8563" s="209"/>
      <c r="H8563" s="539">
        <f>SUM(H8561:H8562)</f>
        <v>1485000.0000000002</v>
      </c>
    </row>
    <row r="8564" spans="3:11" ht="25.8" customHeight="1">
      <c r="C8564" s="213" t="s">
        <v>1215</v>
      </c>
      <c r="D8564" s="212" t="s">
        <v>1216</v>
      </c>
      <c r="E8564" s="534"/>
      <c r="F8564" s="534"/>
      <c r="G8564" s="534"/>
      <c r="H8564" s="534"/>
    </row>
    <row r="8565" spans="3:11" ht="25.8" customHeight="1">
      <c r="C8565" s="702" t="s">
        <v>1217</v>
      </c>
      <c r="D8565" s="815"/>
      <c r="E8565" s="815"/>
      <c r="F8565" s="815"/>
      <c r="G8565" s="209"/>
      <c r="H8565" s="821">
        <f>SUM(H8564:H8564)</f>
        <v>0</v>
      </c>
    </row>
    <row r="8566" spans="3:11" ht="25.8" customHeight="1">
      <c r="C8566" s="566" t="s">
        <v>1218</v>
      </c>
      <c r="D8566" s="552" t="s">
        <v>1219</v>
      </c>
      <c r="E8566" s="553"/>
      <c r="F8566" s="553"/>
      <c r="G8566" s="554"/>
      <c r="H8566" s="826">
        <f>H8565+H8563+H8560</f>
        <v>1576565.0000000002</v>
      </c>
      <c r="I8566" s="827"/>
    </row>
    <row r="8567" spans="3:11" ht="25.8" customHeight="1">
      <c r="C8567" s="566" t="s">
        <v>1220</v>
      </c>
      <c r="D8567" s="552" t="s">
        <v>1321</v>
      </c>
      <c r="E8567" s="553"/>
      <c r="F8567" s="554"/>
      <c r="G8567" s="555">
        <f>$M$9</f>
        <v>0.1</v>
      </c>
      <c r="H8567" s="539">
        <f>H8566*G8567</f>
        <v>157656.50000000003</v>
      </c>
      <c r="I8567" s="827"/>
    </row>
    <row r="8568" spans="3:11" ht="25.8" customHeight="1">
      <c r="C8568" s="566" t="s">
        <v>1221</v>
      </c>
      <c r="D8568" s="552" t="s">
        <v>1222</v>
      </c>
      <c r="E8568" s="553"/>
      <c r="F8568" s="553"/>
      <c r="G8568" s="554"/>
      <c r="H8568" s="828">
        <f>SUM(H8566:H8567)</f>
        <v>1734221.5000000002</v>
      </c>
      <c r="I8568" s="827"/>
    </row>
    <row r="8569" spans="3:11" ht="25.8" customHeight="1"/>
    <row r="8570" spans="3:11" ht="25.8" customHeight="1"/>
    <row r="8571" spans="3:11" ht="25.8" customHeight="1">
      <c r="C8571" s="513" t="s">
        <v>6299</v>
      </c>
      <c r="D8571" s="817" t="s">
        <v>6300</v>
      </c>
      <c r="E8571" s="803"/>
      <c r="F8571" s="803"/>
      <c r="G8571" s="803"/>
      <c r="H8571" s="803"/>
      <c r="I8571" s="533">
        <f>ROUNDDOWN(H8586,-2)</f>
        <v>1915700</v>
      </c>
      <c r="J8571" s="536"/>
      <c r="K8571" s="824"/>
    </row>
    <row r="8572" spans="3:11" ht="25.8" customHeight="1">
      <c r="C8572" s="716" t="s">
        <v>1195</v>
      </c>
      <c r="D8572" s="716" t="s">
        <v>1196</v>
      </c>
      <c r="E8572" s="716" t="s">
        <v>1197</v>
      </c>
      <c r="F8572" s="716" t="s">
        <v>1198</v>
      </c>
      <c r="G8572" s="716" t="s">
        <v>1199</v>
      </c>
      <c r="H8572" s="716" t="s">
        <v>1200</v>
      </c>
    </row>
    <row r="8573" spans="3:11" ht="25.8" customHeight="1">
      <c r="C8573" s="213" t="s">
        <v>1201</v>
      </c>
      <c r="D8573" s="212" t="s">
        <v>1202</v>
      </c>
      <c r="E8573" s="534"/>
      <c r="F8573" s="534"/>
      <c r="G8573" s="534"/>
      <c r="H8573" s="534"/>
    </row>
    <row r="8574" spans="3:11" ht="25.8" customHeight="1">
      <c r="C8574" s="818">
        <v>1</v>
      </c>
      <c r="D8574" s="212" t="s">
        <v>5</v>
      </c>
      <c r="E8574" s="212" t="s">
        <v>6</v>
      </c>
      <c r="F8574" s="538">
        <v>0.255</v>
      </c>
      <c r="G8574" s="539">
        <f>VLOOKUP(D8574,upahbahan,3,FALSE)</f>
        <v>100000</v>
      </c>
      <c r="H8574" s="539">
        <f t="shared" ref="H8574:H8577" si="910">F8574*G8574</f>
        <v>25500</v>
      </c>
    </row>
    <row r="8575" spans="3:11" ht="25.8" customHeight="1">
      <c r="C8575" s="818">
        <v>2</v>
      </c>
      <c r="D8575" s="212" t="s">
        <v>17</v>
      </c>
      <c r="E8575" s="212" t="s">
        <v>6</v>
      </c>
      <c r="F8575" s="538">
        <v>0.42499999999999999</v>
      </c>
      <c r="G8575" s="539">
        <f>VLOOKUP(D8575,upahbahan,3,FALSE)</f>
        <v>135000</v>
      </c>
      <c r="H8575" s="539">
        <f t="shared" si="910"/>
        <v>57375</v>
      </c>
    </row>
    <row r="8576" spans="3:11" ht="25.8" customHeight="1">
      <c r="C8576" s="818">
        <v>3</v>
      </c>
      <c r="D8576" s="212" t="s">
        <v>1310</v>
      </c>
      <c r="E8576" s="212" t="s">
        <v>6</v>
      </c>
      <c r="F8576" s="538">
        <v>4.2999999999999997E-2</v>
      </c>
      <c r="G8576" s="539">
        <f>VLOOKUP(D8576,upahbahan,3,FALSE)</f>
        <v>150000</v>
      </c>
      <c r="H8576" s="539">
        <f t="shared" si="910"/>
        <v>6449.9999999999991</v>
      </c>
    </row>
    <row r="8577" spans="3:11" ht="25.8" customHeight="1">
      <c r="C8577" s="818">
        <v>4</v>
      </c>
      <c r="D8577" s="212" t="s">
        <v>19</v>
      </c>
      <c r="E8577" s="212" t="s">
        <v>6</v>
      </c>
      <c r="F8577" s="538">
        <v>1.4E-2</v>
      </c>
      <c r="G8577" s="539">
        <f>VLOOKUP(D8577,upahbahan,3,FALSE)</f>
        <v>160000</v>
      </c>
      <c r="H8577" s="539">
        <f t="shared" si="910"/>
        <v>2240</v>
      </c>
    </row>
    <row r="8578" spans="3:11" ht="25.8" customHeight="1">
      <c r="C8578" s="702" t="s">
        <v>1208</v>
      </c>
      <c r="D8578" s="208"/>
      <c r="E8578" s="208"/>
      <c r="F8578" s="811"/>
      <c r="G8578" s="522"/>
      <c r="H8578" s="539">
        <f>SUM(H8574:H8577)</f>
        <v>91565</v>
      </c>
      <c r="I8578" s="819"/>
    </row>
    <row r="8579" spans="3:11" ht="25.8" customHeight="1">
      <c r="C8579" s="213" t="s">
        <v>1209</v>
      </c>
      <c r="D8579" s="212" t="s">
        <v>1210</v>
      </c>
      <c r="E8579" s="534"/>
      <c r="F8579" s="831"/>
      <c r="G8579" s="534"/>
      <c r="H8579" s="534"/>
    </row>
    <row r="8580" spans="3:11" ht="25.8" customHeight="1">
      <c r="C8580" s="213">
        <v>1</v>
      </c>
      <c r="D8580" s="212" t="s">
        <v>6301</v>
      </c>
      <c r="E8580" s="234" t="s">
        <v>235</v>
      </c>
      <c r="F8580" s="866">
        <v>1.1000000000000001</v>
      </c>
      <c r="G8580" s="539">
        <f>VLOOKUP(D8580,upahbahan,3,FALSE)</f>
        <v>1500000</v>
      </c>
      <c r="H8580" s="539">
        <f t="shared" ref="H8580" si="911">F8580*G8580</f>
        <v>1650000.0000000002</v>
      </c>
    </row>
    <row r="8581" spans="3:11" ht="25.8" customHeight="1">
      <c r="C8581" s="702" t="s">
        <v>1214</v>
      </c>
      <c r="D8581" s="208"/>
      <c r="E8581" s="208" t="s">
        <v>6045</v>
      </c>
      <c r="F8581" s="208"/>
      <c r="G8581" s="209"/>
      <c r="H8581" s="539">
        <f>SUM(H8579:H8580)</f>
        <v>1650000.0000000002</v>
      </c>
    </row>
    <row r="8582" spans="3:11" ht="25.8" customHeight="1">
      <c r="C8582" s="213" t="s">
        <v>1215</v>
      </c>
      <c r="D8582" s="212" t="s">
        <v>1216</v>
      </c>
      <c r="E8582" s="534"/>
      <c r="F8582" s="534"/>
      <c r="G8582" s="534"/>
      <c r="H8582" s="534"/>
    </row>
    <row r="8583" spans="3:11" ht="25.8" customHeight="1">
      <c r="C8583" s="702" t="s">
        <v>1217</v>
      </c>
      <c r="D8583" s="815"/>
      <c r="E8583" s="815"/>
      <c r="F8583" s="815"/>
      <c r="G8583" s="209"/>
      <c r="H8583" s="821">
        <f>SUM(H8582:H8582)</f>
        <v>0</v>
      </c>
    </row>
    <row r="8584" spans="3:11" ht="25.8" customHeight="1">
      <c r="C8584" s="566" t="s">
        <v>1218</v>
      </c>
      <c r="D8584" s="552" t="s">
        <v>1219</v>
      </c>
      <c r="E8584" s="553"/>
      <c r="F8584" s="553"/>
      <c r="G8584" s="554"/>
      <c r="H8584" s="826">
        <f>H8583+H8581+H8578</f>
        <v>1741565.0000000002</v>
      </c>
      <c r="I8584" s="827"/>
    </row>
    <row r="8585" spans="3:11" ht="25.8" customHeight="1">
      <c r="C8585" s="566" t="s">
        <v>1220</v>
      </c>
      <c r="D8585" s="552" t="s">
        <v>1321</v>
      </c>
      <c r="E8585" s="553"/>
      <c r="F8585" s="554"/>
      <c r="G8585" s="555">
        <f>$M$9</f>
        <v>0.1</v>
      </c>
      <c r="H8585" s="539">
        <f>H8584*G8585</f>
        <v>174156.50000000003</v>
      </c>
      <c r="I8585" s="827"/>
    </row>
    <row r="8586" spans="3:11" ht="25.8" customHeight="1">
      <c r="C8586" s="566" t="s">
        <v>1221</v>
      </c>
      <c r="D8586" s="552" t="s">
        <v>1222</v>
      </c>
      <c r="E8586" s="553"/>
      <c r="F8586" s="553"/>
      <c r="G8586" s="554"/>
      <c r="H8586" s="828">
        <f>SUM(H8584:H8585)</f>
        <v>1915721.5000000002</v>
      </c>
      <c r="I8586" s="827"/>
    </row>
    <row r="8587" spans="3:11" ht="25.8" customHeight="1"/>
    <row r="8588" spans="3:11" ht="25.8" customHeight="1">
      <c r="C8588" s="513" t="s">
        <v>6302</v>
      </c>
      <c r="D8588" s="817" t="s">
        <v>6305</v>
      </c>
      <c r="E8588" s="803"/>
      <c r="F8588" s="803"/>
      <c r="G8588" s="803"/>
      <c r="H8588" s="803"/>
      <c r="I8588" s="533">
        <f>ROUNDDOWN(H8603,-2)</f>
        <v>2016200</v>
      </c>
      <c r="J8588" s="536"/>
      <c r="K8588" s="824"/>
    </row>
    <row r="8589" spans="3:11" ht="25.8" customHeight="1">
      <c r="C8589" s="716" t="s">
        <v>1195</v>
      </c>
      <c r="D8589" s="716" t="s">
        <v>1196</v>
      </c>
      <c r="E8589" s="716" t="s">
        <v>1197</v>
      </c>
      <c r="F8589" s="716" t="s">
        <v>1198</v>
      </c>
      <c r="G8589" s="716" t="s">
        <v>1199</v>
      </c>
      <c r="H8589" s="716" t="s">
        <v>1200</v>
      </c>
    </row>
    <row r="8590" spans="3:11" ht="25.8" customHeight="1">
      <c r="C8590" s="213" t="s">
        <v>1201</v>
      </c>
      <c r="D8590" s="212" t="s">
        <v>1202</v>
      </c>
      <c r="E8590" s="534"/>
      <c r="F8590" s="534"/>
      <c r="G8590" s="534"/>
      <c r="H8590" s="534"/>
    </row>
    <row r="8591" spans="3:11" ht="25.8" customHeight="1">
      <c r="C8591" s="818">
        <v>1</v>
      </c>
      <c r="D8591" s="212" t="s">
        <v>5</v>
      </c>
      <c r="E8591" s="212" t="s">
        <v>6</v>
      </c>
      <c r="F8591" s="538">
        <v>0.76</v>
      </c>
      <c r="G8591" s="539">
        <f>VLOOKUP(D8591,upahbahan,3,FALSE)</f>
        <v>100000</v>
      </c>
      <c r="H8591" s="539">
        <f t="shared" ref="H8591:H8594" si="912">F8591*G8591</f>
        <v>76000</v>
      </c>
    </row>
    <row r="8592" spans="3:11" ht="25.8" customHeight="1">
      <c r="C8592" s="818">
        <v>2</v>
      </c>
      <c r="D8592" s="212" t="s">
        <v>17</v>
      </c>
      <c r="E8592" s="212" t="s">
        <v>6</v>
      </c>
      <c r="F8592" s="538">
        <v>1.268</v>
      </c>
      <c r="G8592" s="539">
        <f>VLOOKUP(D8592,upahbahan,3,FALSE)</f>
        <v>135000</v>
      </c>
      <c r="H8592" s="539">
        <f t="shared" si="912"/>
        <v>171180</v>
      </c>
    </row>
    <row r="8593" spans="3:11" ht="25.8" customHeight="1">
      <c r="C8593" s="818">
        <v>3</v>
      </c>
      <c r="D8593" s="212" t="s">
        <v>1310</v>
      </c>
      <c r="E8593" s="212" t="s">
        <v>6</v>
      </c>
      <c r="F8593" s="538">
        <v>0.127</v>
      </c>
      <c r="G8593" s="539">
        <f>VLOOKUP(D8593,upahbahan,3,FALSE)</f>
        <v>150000</v>
      </c>
      <c r="H8593" s="539">
        <f t="shared" si="912"/>
        <v>19050</v>
      </c>
    </row>
    <row r="8594" spans="3:11" ht="25.8" customHeight="1">
      <c r="C8594" s="818">
        <v>4</v>
      </c>
      <c r="D8594" s="212" t="s">
        <v>19</v>
      </c>
      <c r="E8594" s="212" t="s">
        <v>6</v>
      </c>
      <c r="F8594" s="538">
        <v>4.2000000000000003E-2</v>
      </c>
      <c r="G8594" s="539">
        <f>VLOOKUP(D8594,upahbahan,3,FALSE)</f>
        <v>160000</v>
      </c>
      <c r="H8594" s="539">
        <f t="shared" si="912"/>
        <v>6720</v>
      </c>
    </row>
    <row r="8595" spans="3:11" ht="25.8" customHeight="1">
      <c r="C8595" s="702" t="s">
        <v>1208</v>
      </c>
      <c r="D8595" s="208"/>
      <c r="E8595" s="208"/>
      <c r="F8595" s="811"/>
      <c r="G8595" s="522"/>
      <c r="H8595" s="539">
        <f>SUM(H8591:H8594)</f>
        <v>272950</v>
      </c>
      <c r="I8595" s="819"/>
    </row>
    <row r="8596" spans="3:11" ht="25.8" customHeight="1">
      <c r="C8596" s="213" t="s">
        <v>1209</v>
      </c>
      <c r="D8596" s="212" t="s">
        <v>1210</v>
      </c>
      <c r="E8596" s="534"/>
      <c r="F8596" s="831"/>
      <c r="G8596" s="534"/>
      <c r="H8596" s="534"/>
    </row>
    <row r="8597" spans="3:11" ht="25.8" customHeight="1">
      <c r="C8597" s="213">
        <v>1</v>
      </c>
      <c r="D8597" s="212" t="s">
        <v>6306</v>
      </c>
      <c r="E8597" s="234" t="s">
        <v>235</v>
      </c>
      <c r="F8597" s="866">
        <v>1.2</v>
      </c>
      <c r="G8597" s="539">
        <f>VLOOKUP(D8597,upahbahan,3,FALSE)</f>
        <v>1300000</v>
      </c>
      <c r="H8597" s="539">
        <f t="shared" ref="H8597" si="913">F8597*G8597</f>
        <v>1560000</v>
      </c>
    </row>
    <row r="8598" spans="3:11" ht="25.8" customHeight="1">
      <c r="C8598" s="702" t="s">
        <v>1214</v>
      </c>
      <c r="D8598" s="208"/>
      <c r="E8598" s="208" t="s">
        <v>6045</v>
      </c>
      <c r="F8598" s="208"/>
      <c r="G8598" s="209"/>
      <c r="H8598" s="539">
        <f>SUM(H8596:H8597)</f>
        <v>1560000</v>
      </c>
    </row>
    <row r="8599" spans="3:11" ht="25.8" customHeight="1">
      <c r="C8599" s="213" t="s">
        <v>1215</v>
      </c>
      <c r="D8599" s="212" t="s">
        <v>1216</v>
      </c>
      <c r="E8599" s="534"/>
      <c r="F8599" s="534"/>
      <c r="G8599" s="534"/>
      <c r="H8599" s="534"/>
    </row>
    <row r="8600" spans="3:11" ht="25.8" customHeight="1">
      <c r="C8600" s="702" t="s">
        <v>1217</v>
      </c>
      <c r="D8600" s="815"/>
      <c r="E8600" s="815"/>
      <c r="F8600" s="815"/>
      <c r="G8600" s="209"/>
      <c r="H8600" s="821">
        <f>SUM(H8599:H8599)</f>
        <v>0</v>
      </c>
    </row>
    <row r="8601" spans="3:11" ht="25.8" customHeight="1">
      <c r="C8601" s="566" t="s">
        <v>1218</v>
      </c>
      <c r="D8601" s="552" t="s">
        <v>1219</v>
      </c>
      <c r="E8601" s="553"/>
      <c r="F8601" s="553"/>
      <c r="G8601" s="554"/>
      <c r="H8601" s="826">
        <f>H8600+H8598+H8595</f>
        <v>1832950</v>
      </c>
      <c r="I8601" s="827"/>
    </row>
    <row r="8602" spans="3:11" ht="25.8" customHeight="1">
      <c r="C8602" s="566" t="s">
        <v>1220</v>
      </c>
      <c r="D8602" s="552" t="s">
        <v>1321</v>
      </c>
      <c r="E8602" s="553"/>
      <c r="F8602" s="554"/>
      <c r="G8602" s="555">
        <f>$M$9</f>
        <v>0.1</v>
      </c>
      <c r="H8602" s="539">
        <f>H8601*G8602</f>
        <v>183295</v>
      </c>
      <c r="I8602" s="827"/>
    </row>
    <row r="8603" spans="3:11" ht="25.8" customHeight="1">
      <c r="C8603" s="566" t="s">
        <v>1221</v>
      </c>
      <c r="D8603" s="552" t="s">
        <v>1222</v>
      </c>
      <c r="E8603" s="553"/>
      <c r="F8603" s="553"/>
      <c r="G8603" s="554"/>
      <c r="H8603" s="828">
        <f>SUM(H8601:H8602)</f>
        <v>2016245</v>
      </c>
      <c r="I8603" s="827"/>
    </row>
    <row r="8604" spans="3:11" ht="25.8" customHeight="1"/>
    <row r="8605" spans="3:11" ht="25.8" customHeight="1">
      <c r="C8605" s="513" t="s">
        <v>6303</v>
      </c>
      <c r="D8605" s="817" t="s">
        <v>6307</v>
      </c>
      <c r="E8605" s="803"/>
      <c r="F8605" s="803"/>
      <c r="G8605" s="803"/>
      <c r="H8605" s="803"/>
      <c r="I8605" s="533">
        <f>ROUNDDOWN(H8620,-2)</f>
        <v>2544200</v>
      </c>
      <c r="J8605" s="536"/>
      <c r="K8605" s="824"/>
    </row>
    <row r="8606" spans="3:11" ht="25.8" customHeight="1">
      <c r="C8606" s="716" t="s">
        <v>1195</v>
      </c>
      <c r="D8606" s="716" t="s">
        <v>1196</v>
      </c>
      <c r="E8606" s="716" t="s">
        <v>1197</v>
      </c>
      <c r="F8606" s="716" t="s">
        <v>1198</v>
      </c>
      <c r="G8606" s="716" t="s">
        <v>1199</v>
      </c>
      <c r="H8606" s="716" t="s">
        <v>1200</v>
      </c>
    </row>
    <row r="8607" spans="3:11" ht="25.8" customHeight="1">
      <c r="C8607" s="213" t="s">
        <v>1201</v>
      </c>
      <c r="D8607" s="212" t="s">
        <v>1202</v>
      </c>
      <c r="E8607" s="534"/>
      <c r="F8607" s="534"/>
      <c r="G8607" s="534"/>
      <c r="H8607" s="534"/>
    </row>
    <row r="8608" spans="3:11" ht="25.8" customHeight="1">
      <c r="C8608" s="818">
        <v>1</v>
      </c>
      <c r="D8608" s="212" t="s">
        <v>5</v>
      </c>
      <c r="E8608" s="212" t="s">
        <v>6</v>
      </c>
      <c r="F8608" s="538">
        <v>0.76</v>
      </c>
      <c r="G8608" s="539">
        <f>VLOOKUP(D8608,upahbahan,3,FALSE)</f>
        <v>100000</v>
      </c>
      <c r="H8608" s="539">
        <f t="shared" ref="H8608:H8611" si="914">F8608*G8608</f>
        <v>76000</v>
      </c>
    </row>
    <row r="8609" spans="3:11" ht="25.8" customHeight="1">
      <c r="C8609" s="818">
        <v>2</v>
      </c>
      <c r="D8609" s="212" t="s">
        <v>17</v>
      </c>
      <c r="E8609" s="212" t="s">
        <v>6</v>
      </c>
      <c r="F8609" s="538">
        <v>1.268</v>
      </c>
      <c r="G8609" s="539">
        <f>VLOOKUP(D8609,upahbahan,3,FALSE)</f>
        <v>135000</v>
      </c>
      <c r="H8609" s="539">
        <f t="shared" si="914"/>
        <v>171180</v>
      </c>
    </row>
    <row r="8610" spans="3:11" ht="25.8" customHeight="1">
      <c r="C8610" s="818">
        <v>3</v>
      </c>
      <c r="D8610" s="212" t="s">
        <v>1310</v>
      </c>
      <c r="E8610" s="212" t="s">
        <v>6</v>
      </c>
      <c r="F8610" s="538">
        <v>0.127</v>
      </c>
      <c r="G8610" s="539">
        <f>VLOOKUP(D8610,upahbahan,3,FALSE)</f>
        <v>150000</v>
      </c>
      <c r="H8610" s="539">
        <f t="shared" si="914"/>
        <v>19050</v>
      </c>
    </row>
    <row r="8611" spans="3:11" ht="25.8" customHeight="1">
      <c r="C8611" s="818">
        <v>4</v>
      </c>
      <c r="D8611" s="212" t="s">
        <v>19</v>
      </c>
      <c r="E8611" s="212" t="s">
        <v>6</v>
      </c>
      <c r="F8611" s="538">
        <v>4.2000000000000003E-2</v>
      </c>
      <c r="G8611" s="539">
        <f>VLOOKUP(D8611,upahbahan,3,FALSE)</f>
        <v>160000</v>
      </c>
      <c r="H8611" s="539">
        <f t="shared" si="914"/>
        <v>6720</v>
      </c>
    </row>
    <row r="8612" spans="3:11" ht="25.8" customHeight="1">
      <c r="C8612" s="702" t="s">
        <v>1208</v>
      </c>
      <c r="D8612" s="208"/>
      <c r="E8612" s="208"/>
      <c r="F8612" s="811"/>
      <c r="G8612" s="522"/>
      <c r="H8612" s="539">
        <f>SUM(H8608:H8611)</f>
        <v>272950</v>
      </c>
      <c r="I8612" s="819"/>
    </row>
    <row r="8613" spans="3:11" ht="25.8" customHeight="1">
      <c r="C8613" s="213" t="s">
        <v>1209</v>
      </c>
      <c r="D8613" s="212" t="s">
        <v>1210</v>
      </c>
      <c r="E8613" s="534"/>
      <c r="F8613" s="831"/>
      <c r="G8613" s="534"/>
      <c r="H8613" s="534"/>
    </row>
    <row r="8614" spans="3:11" ht="25.8" customHeight="1">
      <c r="C8614" s="213">
        <v>1</v>
      </c>
      <c r="D8614" s="212" t="s">
        <v>6308</v>
      </c>
      <c r="E8614" s="234" t="s">
        <v>235</v>
      </c>
      <c r="F8614" s="866">
        <v>1.2</v>
      </c>
      <c r="G8614" s="539">
        <f>VLOOKUP(D8614,upahbahan,3,FALSE)</f>
        <v>1700000</v>
      </c>
      <c r="H8614" s="539">
        <f t="shared" ref="H8614" si="915">F8614*G8614</f>
        <v>2040000</v>
      </c>
    </row>
    <row r="8615" spans="3:11" ht="25.8" customHeight="1">
      <c r="C8615" s="702" t="s">
        <v>1214</v>
      </c>
      <c r="D8615" s="208"/>
      <c r="E8615" s="208" t="s">
        <v>6045</v>
      </c>
      <c r="F8615" s="208"/>
      <c r="G8615" s="209"/>
      <c r="H8615" s="539">
        <f>SUM(H8613:H8614)</f>
        <v>2040000</v>
      </c>
    </row>
    <row r="8616" spans="3:11" ht="25.8" customHeight="1">
      <c r="C8616" s="213" t="s">
        <v>1215</v>
      </c>
      <c r="D8616" s="212" t="s">
        <v>1216</v>
      </c>
      <c r="E8616" s="534"/>
      <c r="F8616" s="534"/>
      <c r="G8616" s="534"/>
      <c r="H8616" s="534"/>
    </row>
    <row r="8617" spans="3:11" ht="25.8" customHeight="1">
      <c r="C8617" s="702" t="s">
        <v>1217</v>
      </c>
      <c r="D8617" s="815"/>
      <c r="E8617" s="815"/>
      <c r="F8617" s="815"/>
      <c r="G8617" s="209"/>
      <c r="H8617" s="821">
        <f>SUM(H8616:H8616)</f>
        <v>0</v>
      </c>
    </row>
    <row r="8618" spans="3:11" ht="25.8" customHeight="1">
      <c r="C8618" s="566" t="s">
        <v>1218</v>
      </c>
      <c r="D8618" s="552" t="s">
        <v>1219</v>
      </c>
      <c r="E8618" s="553"/>
      <c r="F8618" s="553"/>
      <c r="G8618" s="554"/>
      <c r="H8618" s="826">
        <f>H8617+H8615+H8612</f>
        <v>2312950</v>
      </c>
      <c r="I8618" s="827"/>
    </row>
    <row r="8619" spans="3:11" ht="25.8" customHeight="1">
      <c r="C8619" s="566" t="s">
        <v>1220</v>
      </c>
      <c r="D8619" s="552" t="s">
        <v>1321</v>
      </c>
      <c r="E8619" s="553"/>
      <c r="F8619" s="554"/>
      <c r="G8619" s="555">
        <f>$M$9</f>
        <v>0.1</v>
      </c>
      <c r="H8619" s="539">
        <f>H8618*G8619</f>
        <v>231295</v>
      </c>
      <c r="I8619" s="827"/>
    </row>
    <row r="8620" spans="3:11" ht="25.8" customHeight="1">
      <c r="C8620" s="566" t="s">
        <v>1221</v>
      </c>
      <c r="D8620" s="552" t="s">
        <v>1222</v>
      </c>
      <c r="E8620" s="553"/>
      <c r="F8620" s="553"/>
      <c r="G8620" s="554"/>
      <c r="H8620" s="828">
        <f>SUM(H8618:H8619)</f>
        <v>2544245</v>
      </c>
      <c r="I8620" s="827"/>
    </row>
    <row r="8621" spans="3:11" ht="25.8" customHeight="1"/>
    <row r="8622" spans="3:11" ht="25.8" customHeight="1">
      <c r="C8622" s="513" t="s">
        <v>6304</v>
      </c>
      <c r="D8622" s="817" t="s">
        <v>6309</v>
      </c>
      <c r="E8622" s="803"/>
      <c r="F8622" s="803"/>
      <c r="G8622" s="803"/>
      <c r="H8622" s="803"/>
      <c r="I8622" s="533">
        <f>ROUNDDOWN(H8637,-2)</f>
        <v>1929400</v>
      </c>
      <c r="J8622" s="536"/>
      <c r="K8622" s="824"/>
    </row>
    <row r="8623" spans="3:11" ht="25.8" customHeight="1">
      <c r="C8623" s="716" t="s">
        <v>1195</v>
      </c>
      <c r="D8623" s="716" t="s">
        <v>1196</v>
      </c>
      <c r="E8623" s="716" t="s">
        <v>1197</v>
      </c>
      <c r="F8623" s="716" t="s">
        <v>1198</v>
      </c>
      <c r="G8623" s="716" t="s">
        <v>1199</v>
      </c>
      <c r="H8623" s="716" t="s">
        <v>1200</v>
      </c>
    </row>
    <row r="8624" spans="3:11" ht="25.8" customHeight="1">
      <c r="C8624" s="213" t="s">
        <v>1201</v>
      </c>
      <c r="D8624" s="212" t="s">
        <v>1202</v>
      </c>
      <c r="E8624" s="534"/>
      <c r="F8624" s="534"/>
      <c r="G8624" s="534"/>
      <c r="H8624" s="534"/>
    </row>
    <row r="8625" spans="3:11" ht="25.8" customHeight="1">
      <c r="C8625" s="818">
        <v>1</v>
      </c>
      <c r="D8625" s="212" t="s">
        <v>5</v>
      </c>
      <c r="E8625" s="212" t="s">
        <v>6</v>
      </c>
      <c r="F8625" s="538">
        <v>2.2759999999999998</v>
      </c>
      <c r="G8625" s="539">
        <f>VLOOKUP(D8625,upahbahan,3,FALSE)</f>
        <v>100000</v>
      </c>
      <c r="H8625" s="539">
        <f t="shared" ref="H8625:H8628" si="916">F8625*G8625</f>
        <v>227599.99999999997</v>
      </c>
    </row>
    <row r="8626" spans="3:11" ht="25.8" customHeight="1">
      <c r="C8626" s="818">
        <v>2</v>
      </c>
      <c r="D8626" s="212" t="s">
        <v>17</v>
      </c>
      <c r="E8626" s="212" t="s">
        <v>6</v>
      </c>
      <c r="F8626" s="538">
        <v>3.8010000000000002</v>
      </c>
      <c r="G8626" s="539">
        <f>VLOOKUP(D8626,upahbahan,3,FALSE)</f>
        <v>135000</v>
      </c>
      <c r="H8626" s="539">
        <f t="shared" si="916"/>
        <v>513135</v>
      </c>
    </row>
    <row r="8627" spans="3:11" ht="25.8" customHeight="1">
      <c r="C8627" s="818">
        <v>3</v>
      </c>
      <c r="D8627" s="212" t="s">
        <v>1310</v>
      </c>
      <c r="E8627" s="212" t="s">
        <v>6</v>
      </c>
      <c r="F8627" s="538">
        <v>0.38</v>
      </c>
      <c r="G8627" s="539">
        <f>VLOOKUP(D8627,upahbahan,3,FALSE)</f>
        <v>150000</v>
      </c>
      <c r="H8627" s="539">
        <f t="shared" si="916"/>
        <v>57000</v>
      </c>
    </row>
    <row r="8628" spans="3:11" ht="25.8" customHeight="1">
      <c r="C8628" s="818">
        <v>4</v>
      </c>
      <c r="D8628" s="212" t="s">
        <v>19</v>
      </c>
      <c r="E8628" s="212" t="s">
        <v>6</v>
      </c>
      <c r="F8628" s="538">
        <v>0.127</v>
      </c>
      <c r="G8628" s="539">
        <f>VLOOKUP(D8628,upahbahan,3,FALSE)</f>
        <v>160000</v>
      </c>
      <c r="H8628" s="539">
        <f t="shared" si="916"/>
        <v>20320</v>
      </c>
    </row>
    <row r="8629" spans="3:11" ht="25.8" customHeight="1">
      <c r="C8629" s="702" t="s">
        <v>1208</v>
      </c>
      <c r="D8629" s="208"/>
      <c r="E8629" s="208"/>
      <c r="F8629" s="811"/>
      <c r="G8629" s="522"/>
      <c r="H8629" s="539">
        <f>SUM(H8625:H8628)</f>
        <v>818055</v>
      </c>
      <c r="I8629" s="819"/>
    </row>
    <row r="8630" spans="3:11" ht="25.8" customHeight="1">
      <c r="C8630" s="213" t="s">
        <v>1209</v>
      </c>
      <c r="D8630" s="212" t="s">
        <v>1210</v>
      </c>
      <c r="E8630" s="534"/>
      <c r="F8630" s="831"/>
      <c r="G8630" s="534"/>
      <c r="H8630" s="534"/>
    </row>
    <row r="8631" spans="3:11" ht="25.8" customHeight="1">
      <c r="C8631" s="213">
        <v>1</v>
      </c>
      <c r="D8631" s="212" t="s">
        <v>6310</v>
      </c>
      <c r="E8631" s="234" t="s">
        <v>235</v>
      </c>
      <c r="F8631" s="866">
        <v>1.2</v>
      </c>
      <c r="G8631" s="539">
        <f>VLOOKUP(D8631,upahbahan,3,FALSE)</f>
        <v>780000</v>
      </c>
      <c r="H8631" s="539">
        <f t="shared" ref="H8631" si="917">F8631*G8631</f>
        <v>936000</v>
      </c>
    </row>
    <row r="8632" spans="3:11" ht="25.8" customHeight="1">
      <c r="C8632" s="702" t="s">
        <v>1214</v>
      </c>
      <c r="D8632" s="208"/>
      <c r="E8632" s="208" t="s">
        <v>6045</v>
      </c>
      <c r="F8632" s="208"/>
      <c r="G8632" s="209"/>
      <c r="H8632" s="539">
        <f>SUM(H8630:H8631)</f>
        <v>936000</v>
      </c>
    </row>
    <row r="8633" spans="3:11" ht="25.8" customHeight="1">
      <c r="C8633" s="213" t="s">
        <v>1215</v>
      </c>
      <c r="D8633" s="212" t="s">
        <v>1216</v>
      </c>
      <c r="E8633" s="534"/>
      <c r="F8633" s="534"/>
      <c r="G8633" s="534"/>
      <c r="H8633" s="534"/>
    </row>
    <row r="8634" spans="3:11" ht="25.8" customHeight="1">
      <c r="C8634" s="702" t="s">
        <v>1217</v>
      </c>
      <c r="D8634" s="815"/>
      <c r="E8634" s="815"/>
      <c r="F8634" s="815"/>
      <c r="G8634" s="209"/>
      <c r="H8634" s="821">
        <f>SUM(H8633:H8633)</f>
        <v>0</v>
      </c>
    </row>
    <row r="8635" spans="3:11" ht="25.8" customHeight="1">
      <c r="C8635" s="566" t="s">
        <v>1218</v>
      </c>
      <c r="D8635" s="552" t="s">
        <v>1219</v>
      </c>
      <c r="E8635" s="553"/>
      <c r="F8635" s="553"/>
      <c r="G8635" s="554"/>
      <c r="H8635" s="826">
        <f>H8634+H8632+H8629</f>
        <v>1754055</v>
      </c>
      <c r="I8635" s="827"/>
    </row>
    <row r="8636" spans="3:11" ht="25.8" customHeight="1">
      <c r="C8636" s="566" t="s">
        <v>1220</v>
      </c>
      <c r="D8636" s="552" t="s">
        <v>1321</v>
      </c>
      <c r="E8636" s="553"/>
      <c r="F8636" s="554"/>
      <c r="G8636" s="555">
        <f>$M$9</f>
        <v>0.1</v>
      </c>
      <c r="H8636" s="539">
        <f>H8635*G8636</f>
        <v>175405.5</v>
      </c>
      <c r="I8636" s="827"/>
    </row>
    <row r="8637" spans="3:11" ht="25.8" customHeight="1">
      <c r="C8637" s="566" t="s">
        <v>1221</v>
      </c>
      <c r="D8637" s="552" t="s">
        <v>1222</v>
      </c>
      <c r="E8637" s="553"/>
      <c r="F8637" s="553"/>
      <c r="G8637" s="554"/>
      <c r="H8637" s="828">
        <f>SUM(H8635:H8636)</f>
        <v>1929460.5</v>
      </c>
      <c r="I8637" s="827"/>
    </row>
    <row r="8638" spans="3:11" ht="25.8" customHeight="1"/>
    <row r="8639" spans="3:11" ht="25.8" customHeight="1">
      <c r="C8639" s="513" t="s">
        <v>6311</v>
      </c>
      <c r="D8639" s="817" t="s">
        <v>6312</v>
      </c>
      <c r="E8639" s="803"/>
      <c r="F8639" s="803"/>
      <c r="G8639" s="803"/>
      <c r="H8639" s="803"/>
      <c r="I8639" s="533">
        <f>ROUNDDOWN(H8654,-2)</f>
        <v>2035000</v>
      </c>
      <c r="J8639" s="536"/>
      <c r="K8639" s="824"/>
    </row>
    <row r="8640" spans="3:11" ht="25.8" customHeight="1">
      <c r="C8640" s="716" t="s">
        <v>1195</v>
      </c>
      <c r="D8640" s="716" t="s">
        <v>1196</v>
      </c>
      <c r="E8640" s="716" t="s">
        <v>1197</v>
      </c>
      <c r="F8640" s="716" t="s">
        <v>1198</v>
      </c>
      <c r="G8640" s="716" t="s">
        <v>1199</v>
      </c>
      <c r="H8640" s="716" t="s">
        <v>1200</v>
      </c>
    </row>
    <row r="8641" spans="3:9" ht="25.8" customHeight="1">
      <c r="C8641" s="213" t="s">
        <v>1201</v>
      </c>
      <c r="D8641" s="212" t="s">
        <v>1202</v>
      </c>
      <c r="E8641" s="534"/>
      <c r="F8641" s="534"/>
      <c r="G8641" s="534"/>
      <c r="H8641" s="534"/>
    </row>
    <row r="8642" spans="3:9" ht="25.8" customHeight="1">
      <c r="C8642" s="818">
        <v>1</v>
      </c>
      <c r="D8642" s="212" t="s">
        <v>5</v>
      </c>
      <c r="E8642" s="212" t="s">
        <v>6</v>
      </c>
      <c r="F8642" s="538">
        <v>2.2759999999999998</v>
      </c>
      <c r="G8642" s="539">
        <f>VLOOKUP(D8642,upahbahan,3,FALSE)</f>
        <v>100000</v>
      </c>
      <c r="H8642" s="539">
        <f t="shared" ref="H8642:H8645" si="918">F8642*G8642</f>
        <v>227599.99999999997</v>
      </c>
    </row>
    <row r="8643" spans="3:9" ht="25.8" customHeight="1">
      <c r="C8643" s="818">
        <v>2</v>
      </c>
      <c r="D8643" s="212" t="s">
        <v>17</v>
      </c>
      <c r="E8643" s="212" t="s">
        <v>6</v>
      </c>
      <c r="F8643" s="538">
        <v>3.8010000000000002</v>
      </c>
      <c r="G8643" s="539">
        <f>VLOOKUP(D8643,upahbahan,3,FALSE)</f>
        <v>135000</v>
      </c>
      <c r="H8643" s="539">
        <f t="shared" si="918"/>
        <v>513135</v>
      </c>
    </row>
    <row r="8644" spans="3:9" ht="25.8" customHeight="1">
      <c r="C8644" s="818">
        <v>3</v>
      </c>
      <c r="D8644" s="212" t="s">
        <v>1310</v>
      </c>
      <c r="E8644" s="212" t="s">
        <v>6</v>
      </c>
      <c r="F8644" s="538">
        <v>0.38</v>
      </c>
      <c r="G8644" s="539">
        <f>VLOOKUP(D8644,upahbahan,3,FALSE)</f>
        <v>150000</v>
      </c>
      <c r="H8644" s="539">
        <f t="shared" si="918"/>
        <v>57000</v>
      </c>
    </row>
    <row r="8645" spans="3:9" ht="25.8" customHeight="1">
      <c r="C8645" s="818">
        <v>4</v>
      </c>
      <c r="D8645" s="212" t="s">
        <v>19</v>
      </c>
      <c r="E8645" s="212" t="s">
        <v>6</v>
      </c>
      <c r="F8645" s="538">
        <v>0.127</v>
      </c>
      <c r="G8645" s="539">
        <f>VLOOKUP(D8645,upahbahan,3,FALSE)</f>
        <v>160000</v>
      </c>
      <c r="H8645" s="539">
        <f t="shared" si="918"/>
        <v>20320</v>
      </c>
    </row>
    <row r="8646" spans="3:9" ht="25.8" customHeight="1">
      <c r="C8646" s="702" t="s">
        <v>1208</v>
      </c>
      <c r="D8646" s="208"/>
      <c r="E8646" s="208"/>
      <c r="F8646" s="811"/>
      <c r="G8646" s="522"/>
      <c r="H8646" s="539">
        <f>SUM(H8642:H8645)</f>
        <v>818055</v>
      </c>
      <c r="I8646" s="819"/>
    </row>
    <row r="8647" spans="3:9" ht="25.8" customHeight="1">
      <c r="C8647" s="213" t="s">
        <v>1209</v>
      </c>
      <c r="D8647" s="212" t="s">
        <v>1210</v>
      </c>
      <c r="E8647" s="534"/>
      <c r="F8647" s="831"/>
      <c r="G8647" s="534"/>
      <c r="H8647" s="534"/>
    </row>
    <row r="8648" spans="3:9" ht="25.8" customHeight="1">
      <c r="C8648" s="213">
        <v>1</v>
      </c>
      <c r="D8648" s="212" t="s">
        <v>6313</v>
      </c>
      <c r="E8648" s="234" t="s">
        <v>235</v>
      </c>
      <c r="F8648" s="866">
        <v>1.2</v>
      </c>
      <c r="G8648" s="539">
        <f>VLOOKUP(D8648,upahbahan,3,FALSE)</f>
        <v>860000</v>
      </c>
      <c r="H8648" s="539">
        <f t="shared" ref="H8648" si="919">F8648*G8648</f>
        <v>1032000</v>
      </c>
    </row>
    <row r="8649" spans="3:9" ht="25.8" customHeight="1">
      <c r="C8649" s="702" t="s">
        <v>1214</v>
      </c>
      <c r="D8649" s="208"/>
      <c r="E8649" s="208" t="s">
        <v>6045</v>
      </c>
      <c r="F8649" s="208"/>
      <c r="G8649" s="209"/>
      <c r="H8649" s="539">
        <f>SUM(H8647:H8648)</f>
        <v>1032000</v>
      </c>
    </row>
    <row r="8650" spans="3:9" ht="25.8" customHeight="1">
      <c r="C8650" s="213" t="s">
        <v>1215</v>
      </c>
      <c r="D8650" s="212" t="s">
        <v>1216</v>
      </c>
      <c r="E8650" s="534"/>
      <c r="F8650" s="534"/>
      <c r="G8650" s="534"/>
      <c r="H8650" s="534"/>
    </row>
    <row r="8651" spans="3:9" ht="25.8" customHeight="1">
      <c r="C8651" s="702" t="s">
        <v>1217</v>
      </c>
      <c r="D8651" s="815"/>
      <c r="E8651" s="815"/>
      <c r="F8651" s="815"/>
      <c r="G8651" s="209"/>
      <c r="H8651" s="821">
        <f>SUM(H8650:H8650)</f>
        <v>0</v>
      </c>
    </row>
    <row r="8652" spans="3:9" ht="25.8" customHeight="1">
      <c r="C8652" s="566" t="s">
        <v>1218</v>
      </c>
      <c r="D8652" s="552" t="s">
        <v>1219</v>
      </c>
      <c r="E8652" s="553"/>
      <c r="F8652" s="553"/>
      <c r="G8652" s="554"/>
      <c r="H8652" s="826">
        <f>H8651+H8649+H8646</f>
        <v>1850055</v>
      </c>
      <c r="I8652" s="827"/>
    </row>
    <row r="8653" spans="3:9" ht="25.8" customHeight="1">
      <c r="C8653" s="566" t="s">
        <v>1220</v>
      </c>
      <c r="D8653" s="552" t="s">
        <v>1321</v>
      </c>
      <c r="E8653" s="553"/>
      <c r="F8653" s="554"/>
      <c r="G8653" s="555">
        <f>$M$9</f>
        <v>0.1</v>
      </c>
      <c r="H8653" s="539">
        <f>H8652*G8653</f>
        <v>185005.5</v>
      </c>
      <c r="I8653" s="827"/>
    </row>
    <row r="8654" spans="3:9" ht="25.8" customHeight="1">
      <c r="C8654" s="566" t="s">
        <v>1221</v>
      </c>
      <c r="D8654" s="552" t="s">
        <v>1222</v>
      </c>
      <c r="E8654" s="553"/>
      <c r="F8654" s="553"/>
      <c r="G8654" s="554"/>
      <c r="H8654" s="828">
        <f>SUM(H8652:H8653)</f>
        <v>2035060.5</v>
      </c>
      <c r="I8654" s="827"/>
    </row>
    <row r="8655" spans="3:9" ht="25.8" customHeight="1"/>
    <row r="8656" spans="3:9" ht="25.8" customHeight="1"/>
    <row r="8657" spans="3:11" ht="25.8" customHeight="1">
      <c r="C8657" s="513" t="s">
        <v>6314</v>
      </c>
      <c r="D8657" s="817" t="s">
        <v>6315</v>
      </c>
      <c r="E8657" s="803"/>
      <c r="F8657" s="803"/>
      <c r="G8657" s="803"/>
      <c r="H8657" s="803"/>
      <c r="I8657" s="533">
        <f>ROUNDDOWN(H8672,-2)</f>
        <v>2213200</v>
      </c>
      <c r="J8657" s="536"/>
      <c r="K8657" s="824"/>
    </row>
    <row r="8658" spans="3:11" ht="25.8" customHeight="1">
      <c r="C8658" s="716" t="s">
        <v>1195</v>
      </c>
      <c r="D8658" s="716" t="s">
        <v>1196</v>
      </c>
      <c r="E8658" s="716" t="s">
        <v>1197</v>
      </c>
      <c r="F8658" s="716" t="s">
        <v>1198</v>
      </c>
      <c r="G8658" s="716" t="s">
        <v>1199</v>
      </c>
      <c r="H8658" s="716" t="s">
        <v>1200</v>
      </c>
    </row>
    <row r="8659" spans="3:11" ht="25.8" customHeight="1">
      <c r="C8659" s="213" t="s">
        <v>1201</v>
      </c>
      <c r="D8659" s="212" t="s">
        <v>1202</v>
      </c>
      <c r="E8659" s="534"/>
      <c r="F8659" s="534"/>
      <c r="G8659" s="534"/>
      <c r="H8659" s="534"/>
    </row>
    <row r="8660" spans="3:11" ht="25.8" customHeight="1">
      <c r="C8660" s="818">
        <v>1</v>
      </c>
      <c r="D8660" s="212" t="s">
        <v>5</v>
      </c>
      <c r="E8660" s="212" t="s">
        <v>6</v>
      </c>
      <c r="F8660" s="538">
        <v>2.2759999999999998</v>
      </c>
      <c r="G8660" s="539">
        <f>VLOOKUP(D8660,upahbahan,3,FALSE)</f>
        <v>100000</v>
      </c>
      <c r="H8660" s="539">
        <f t="shared" ref="H8660:H8663" si="920">F8660*G8660</f>
        <v>227599.99999999997</v>
      </c>
    </row>
    <row r="8661" spans="3:11" ht="25.8" customHeight="1">
      <c r="C8661" s="818">
        <v>2</v>
      </c>
      <c r="D8661" s="212" t="s">
        <v>17</v>
      </c>
      <c r="E8661" s="212" t="s">
        <v>6</v>
      </c>
      <c r="F8661" s="538">
        <v>3.8010000000000002</v>
      </c>
      <c r="G8661" s="539">
        <f>VLOOKUP(D8661,upahbahan,3,FALSE)</f>
        <v>135000</v>
      </c>
      <c r="H8661" s="539">
        <f t="shared" si="920"/>
        <v>513135</v>
      </c>
    </row>
    <row r="8662" spans="3:11" ht="25.8" customHeight="1">
      <c r="C8662" s="818">
        <v>3</v>
      </c>
      <c r="D8662" s="212" t="s">
        <v>1310</v>
      </c>
      <c r="E8662" s="212" t="s">
        <v>6</v>
      </c>
      <c r="F8662" s="538">
        <v>0.38</v>
      </c>
      <c r="G8662" s="539">
        <f>VLOOKUP(D8662,upahbahan,3,FALSE)</f>
        <v>150000</v>
      </c>
      <c r="H8662" s="539">
        <f t="shared" si="920"/>
        <v>57000</v>
      </c>
    </row>
    <row r="8663" spans="3:11" ht="25.8" customHeight="1">
      <c r="C8663" s="818">
        <v>4</v>
      </c>
      <c r="D8663" s="212" t="s">
        <v>19</v>
      </c>
      <c r="E8663" s="212" t="s">
        <v>6</v>
      </c>
      <c r="F8663" s="538">
        <v>0.127</v>
      </c>
      <c r="G8663" s="539">
        <f>VLOOKUP(D8663,upahbahan,3,FALSE)</f>
        <v>160000</v>
      </c>
      <c r="H8663" s="539">
        <f t="shared" si="920"/>
        <v>20320</v>
      </c>
    </row>
    <row r="8664" spans="3:11" ht="25.8" customHeight="1">
      <c r="C8664" s="702" t="s">
        <v>1208</v>
      </c>
      <c r="D8664" s="208"/>
      <c r="E8664" s="208"/>
      <c r="F8664" s="811"/>
      <c r="G8664" s="522"/>
      <c r="H8664" s="539">
        <f>SUM(H8660:H8663)</f>
        <v>818055</v>
      </c>
      <c r="I8664" s="819"/>
    </row>
    <row r="8665" spans="3:11" ht="25.8" customHeight="1">
      <c r="C8665" s="213" t="s">
        <v>1209</v>
      </c>
      <c r="D8665" s="212" t="s">
        <v>1210</v>
      </c>
      <c r="E8665" s="534"/>
      <c r="F8665" s="831"/>
      <c r="G8665" s="534"/>
      <c r="H8665" s="534"/>
    </row>
    <row r="8666" spans="3:11" ht="25.8" customHeight="1">
      <c r="C8666" s="213">
        <v>1</v>
      </c>
      <c r="D8666" s="212" t="s">
        <v>6316</v>
      </c>
      <c r="E8666" s="234" t="s">
        <v>235</v>
      </c>
      <c r="F8666" s="866">
        <v>1.2</v>
      </c>
      <c r="G8666" s="539">
        <f>VLOOKUP(D8666,upahbahan,3,FALSE)</f>
        <v>995000</v>
      </c>
      <c r="H8666" s="539">
        <f t="shared" ref="H8666" si="921">F8666*G8666</f>
        <v>1194000</v>
      </c>
    </row>
    <row r="8667" spans="3:11" ht="25.8" customHeight="1">
      <c r="C8667" s="702" t="s">
        <v>1214</v>
      </c>
      <c r="D8667" s="208"/>
      <c r="E8667" s="208" t="s">
        <v>6045</v>
      </c>
      <c r="F8667" s="208"/>
      <c r="G8667" s="209"/>
      <c r="H8667" s="539">
        <f>SUM(H8665:H8666)</f>
        <v>1194000</v>
      </c>
    </row>
    <row r="8668" spans="3:11" ht="25.8" customHeight="1">
      <c r="C8668" s="213" t="s">
        <v>1215</v>
      </c>
      <c r="D8668" s="212" t="s">
        <v>1216</v>
      </c>
      <c r="E8668" s="534"/>
      <c r="F8668" s="534"/>
      <c r="G8668" s="534"/>
      <c r="H8668" s="534"/>
    </row>
    <row r="8669" spans="3:11" ht="25.8" customHeight="1">
      <c r="C8669" s="702" t="s">
        <v>1217</v>
      </c>
      <c r="D8669" s="815"/>
      <c r="E8669" s="815"/>
      <c r="F8669" s="815"/>
      <c r="G8669" s="209"/>
      <c r="H8669" s="821">
        <f>SUM(H8668:H8668)</f>
        <v>0</v>
      </c>
    </row>
    <row r="8670" spans="3:11" ht="25.8" customHeight="1">
      <c r="C8670" s="566" t="s">
        <v>1218</v>
      </c>
      <c r="D8670" s="552" t="s">
        <v>1219</v>
      </c>
      <c r="E8670" s="553"/>
      <c r="F8670" s="553"/>
      <c r="G8670" s="554"/>
      <c r="H8670" s="826">
        <f>H8669+H8667+H8664</f>
        <v>2012055</v>
      </c>
      <c r="I8670" s="827"/>
    </row>
    <row r="8671" spans="3:11" ht="25.8" customHeight="1">
      <c r="C8671" s="566" t="s">
        <v>1220</v>
      </c>
      <c r="D8671" s="552" t="s">
        <v>1321</v>
      </c>
      <c r="E8671" s="553"/>
      <c r="F8671" s="554"/>
      <c r="G8671" s="555">
        <f>$M$9</f>
        <v>0.1</v>
      </c>
      <c r="H8671" s="539">
        <f>H8670*G8671</f>
        <v>201205.5</v>
      </c>
      <c r="I8671" s="827"/>
    </row>
    <row r="8672" spans="3:11" ht="25.8" customHeight="1">
      <c r="C8672" s="566" t="s">
        <v>1221</v>
      </c>
      <c r="D8672" s="552" t="s">
        <v>1222</v>
      </c>
      <c r="E8672" s="553"/>
      <c r="F8672" s="553"/>
      <c r="G8672" s="554"/>
      <c r="H8672" s="828">
        <f>SUM(H8670:H8671)</f>
        <v>2213260.5</v>
      </c>
      <c r="I8672" s="827"/>
    </row>
    <row r="8673" spans="3:11" ht="25.8" customHeight="1"/>
    <row r="8674" spans="3:11" ht="25.8" customHeight="1">
      <c r="C8674" s="513" t="s">
        <v>6317</v>
      </c>
      <c r="D8674" s="817" t="s">
        <v>6318</v>
      </c>
      <c r="E8674" s="803"/>
      <c r="F8674" s="803"/>
      <c r="G8674" s="803"/>
      <c r="H8674" s="803"/>
      <c r="I8674" s="533">
        <f>ROUNDDOWN(H8689,-2)</f>
        <v>2645400</v>
      </c>
      <c r="J8674" s="536"/>
      <c r="K8674" s="824"/>
    </row>
    <row r="8675" spans="3:11" ht="25.8" customHeight="1">
      <c r="C8675" s="716" t="s">
        <v>1195</v>
      </c>
      <c r="D8675" s="716" t="s">
        <v>1196</v>
      </c>
      <c r="E8675" s="716" t="s">
        <v>1197</v>
      </c>
      <c r="F8675" s="716" t="s">
        <v>1198</v>
      </c>
      <c r="G8675" s="716" t="s">
        <v>1199</v>
      </c>
      <c r="H8675" s="716" t="s">
        <v>1200</v>
      </c>
    </row>
    <row r="8676" spans="3:11" ht="25.8" customHeight="1">
      <c r="C8676" s="213" t="s">
        <v>1201</v>
      </c>
      <c r="D8676" s="212" t="s">
        <v>1202</v>
      </c>
      <c r="E8676" s="534"/>
      <c r="F8676" s="534"/>
      <c r="G8676" s="534"/>
      <c r="H8676" s="534"/>
    </row>
    <row r="8677" spans="3:11" ht="25.8" customHeight="1">
      <c r="C8677" s="818">
        <v>1</v>
      </c>
      <c r="D8677" s="212" t="s">
        <v>5</v>
      </c>
      <c r="E8677" s="212" t="s">
        <v>6</v>
      </c>
      <c r="F8677" s="538">
        <v>3.286</v>
      </c>
      <c r="G8677" s="539">
        <f>VLOOKUP(D8677,upahbahan,3,FALSE)</f>
        <v>100000</v>
      </c>
      <c r="H8677" s="539">
        <f t="shared" ref="H8677:H8680" si="922">F8677*G8677</f>
        <v>328600</v>
      </c>
    </row>
    <row r="8678" spans="3:11" ht="25.8" customHeight="1">
      <c r="C8678" s="818">
        <v>2</v>
      </c>
      <c r="D8678" s="212" t="s">
        <v>17</v>
      </c>
      <c r="E8678" s="212" t="s">
        <v>6</v>
      </c>
      <c r="F8678" s="538">
        <v>5.4870000000000001</v>
      </c>
      <c r="G8678" s="539">
        <f>VLOOKUP(D8678,upahbahan,3,FALSE)</f>
        <v>135000</v>
      </c>
      <c r="H8678" s="539">
        <f t="shared" si="922"/>
        <v>740745</v>
      </c>
    </row>
    <row r="8679" spans="3:11" ht="25.8" customHeight="1">
      <c r="C8679" s="818">
        <v>3</v>
      </c>
      <c r="D8679" s="212" t="s">
        <v>1310</v>
      </c>
      <c r="E8679" s="212" t="s">
        <v>6</v>
      </c>
      <c r="F8679" s="538">
        <v>0.54900000000000004</v>
      </c>
      <c r="G8679" s="539">
        <f>VLOOKUP(D8679,upahbahan,3,FALSE)</f>
        <v>150000</v>
      </c>
      <c r="H8679" s="539">
        <f t="shared" si="922"/>
        <v>82350</v>
      </c>
    </row>
    <row r="8680" spans="3:11" ht="25.8" customHeight="1">
      <c r="C8680" s="818">
        <v>4</v>
      </c>
      <c r="D8680" s="212" t="s">
        <v>19</v>
      </c>
      <c r="E8680" s="212" t="s">
        <v>6</v>
      </c>
      <c r="F8680" s="538">
        <v>0.183</v>
      </c>
      <c r="G8680" s="539">
        <f>VLOOKUP(D8680,upahbahan,3,FALSE)</f>
        <v>160000</v>
      </c>
      <c r="H8680" s="539">
        <f t="shared" si="922"/>
        <v>29280</v>
      </c>
    </row>
    <row r="8681" spans="3:11" ht="25.8" customHeight="1">
      <c r="C8681" s="702" t="s">
        <v>1208</v>
      </c>
      <c r="D8681" s="208"/>
      <c r="E8681" s="208"/>
      <c r="F8681" s="811"/>
      <c r="G8681" s="522"/>
      <c r="H8681" s="539">
        <f>SUM(H8677:H8680)</f>
        <v>1180975</v>
      </c>
      <c r="I8681" s="819"/>
    </row>
    <row r="8682" spans="3:11" ht="25.8" customHeight="1">
      <c r="C8682" s="213" t="s">
        <v>1209</v>
      </c>
      <c r="D8682" s="212" t="s">
        <v>1210</v>
      </c>
      <c r="E8682" s="534"/>
      <c r="F8682" s="831"/>
      <c r="G8682" s="534"/>
      <c r="H8682" s="534"/>
    </row>
    <row r="8683" spans="3:11" ht="25.8" customHeight="1">
      <c r="C8683" s="213">
        <v>1</v>
      </c>
      <c r="D8683" s="212" t="s">
        <v>6319</v>
      </c>
      <c r="E8683" s="234" t="s">
        <v>235</v>
      </c>
      <c r="F8683" s="866">
        <v>1.2</v>
      </c>
      <c r="G8683" s="539">
        <f>VLOOKUP(D8683,upahbahan,3,FALSE)</f>
        <v>1020000</v>
      </c>
      <c r="H8683" s="539">
        <f t="shared" ref="H8683" si="923">F8683*G8683</f>
        <v>1224000</v>
      </c>
    </row>
    <row r="8684" spans="3:11" ht="25.8" customHeight="1">
      <c r="C8684" s="702" t="s">
        <v>1214</v>
      </c>
      <c r="D8684" s="208"/>
      <c r="E8684" s="208" t="s">
        <v>6045</v>
      </c>
      <c r="F8684" s="208"/>
      <c r="G8684" s="209"/>
      <c r="H8684" s="539">
        <f>SUM(H8682:H8683)</f>
        <v>1224000</v>
      </c>
    </row>
    <row r="8685" spans="3:11" ht="25.8" customHeight="1">
      <c r="C8685" s="213" t="s">
        <v>1215</v>
      </c>
      <c r="D8685" s="212" t="s">
        <v>1216</v>
      </c>
      <c r="E8685" s="534"/>
      <c r="F8685" s="534"/>
      <c r="G8685" s="534"/>
      <c r="H8685" s="534"/>
    </row>
    <row r="8686" spans="3:11" ht="25.8" customHeight="1">
      <c r="C8686" s="702" t="s">
        <v>1217</v>
      </c>
      <c r="D8686" s="815"/>
      <c r="E8686" s="815"/>
      <c r="F8686" s="815"/>
      <c r="G8686" s="209"/>
      <c r="H8686" s="821">
        <f>SUM(H8685:H8685)</f>
        <v>0</v>
      </c>
    </row>
    <row r="8687" spans="3:11" ht="25.8" customHeight="1">
      <c r="C8687" s="566" t="s">
        <v>1218</v>
      </c>
      <c r="D8687" s="552" t="s">
        <v>1219</v>
      </c>
      <c r="E8687" s="553"/>
      <c r="F8687" s="553"/>
      <c r="G8687" s="554"/>
      <c r="H8687" s="826">
        <f>H8686+H8684+H8681</f>
        <v>2404975</v>
      </c>
      <c r="I8687" s="827"/>
    </row>
    <row r="8688" spans="3:11" ht="25.8" customHeight="1">
      <c r="C8688" s="566" t="s">
        <v>1220</v>
      </c>
      <c r="D8688" s="552" t="s">
        <v>1321</v>
      </c>
      <c r="E8688" s="553"/>
      <c r="F8688" s="554"/>
      <c r="G8688" s="555">
        <f>$M$9</f>
        <v>0.1</v>
      </c>
      <c r="H8688" s="539">
        <f>H8687*G8688</f>
        <v>240497.5</v>
      </c>
      <c r="I8688" s="827"/>
    </row>
    <row r="8689" spans="3:11" ht="25.8" customHeight="1">
      <c r="C8689" s="566" t="s">
        <v>1221</v>
      </c>
      <c r="D8689" s="552" t="s">
        <v>1222</v>
      </c>
      <c r="E8689" s="553"/>
      <c r="F8689" s="553"/>
      <c r="G8689" s="554"/>
      <c r="H8689" s="828">
        <f>SUM(H8687:H8688)</f>
        <v>2645472.5</v>
      </c>
      <c r="I8689" s="827"/>
    </row>
    <row r="8690" spans="3:11" ht="25.8" customHeight="1"/>
    <row r="8691" spans="3:11" ht="25.8" customHeight="1">
      <c r="C8691" s="513" t="s">
        <v>6320</v>
      </c>
      <c r="D8691" s="817" t="s">
        <v>6321</v>
      </c>
      <c r="E8691" s="803"/>
      <c r="F8691" s="803"/>
      <c r="G8691" s="803"/>
      <c r="H8691" s="803"/>
      <c r="I8691" s="533">
        <f>ROUNDDOWN(H8706,-2)</f>
        <v>3779700</v>
      </c>
      <c r="J8691" s="536"/>
      <c r="K8691" s="824"/>
    </row>
    <row r="8692" spans="3:11" ht="25.8" customHeight="1">
      <c r="C8692" s="716" t="s">
        <v>1195</v>
      </c>
      <c r="D8692" s="716" t="s">
        <v>1196</v>
      </c>
      <c r="E8692" s="716" t="s">
        <v>1197</v>
      </c>
      <c r="F8692" s="716" t="s">
        <v>1198</v>
      </c>
      <c r="G8692" s="716" t="s">
        <v>1199</v>
      </c>
      <c r="H8692" s="716" t="s">
        <v>1200</v>
      </c>
    </row>
    <row r="8693" spans="3:11" ht="25.8" customHeight="1">
      <c r="C8693" s="213" t="s">
        <v>1201</v>
      </c>
      <c r="D8693" s="212" t="s">
        <v>1202</v>
      </c>
      <c r="E8693" s="534"/>
      <c r="F8693" s="534"/>
      <c r="G8693" s="534"/>
      <c r="H8693" s="534"/>
    </row>
    <row r="8694" spans="3:11" ht="25.8" customHeight="1">
      <c r="C8694" s="818">
        <v>1</v>
      </c>
      <c r="D8694" s="212" t="s">
        <v>5</v>
      </c>
      <c r="E8694" s="212" t="s">
        <v>6</v>
      </c>
      <c r="F8694" s="538">
        <v>5.05</v>
      </c>
      <c r="G8694" s="539">
        <f>VLOOKUP(D8694,upahbahan,3,FALSE)</f>
        <v>100000</v>
      </c>
      <c r="H8694" s="539">
        <f t="shared" ref="H8694:H8697" si="924">F8694*G8694</f>
        <v>505000</v>
      </c>
    </row>
    <row r="8695" spans="3:11" ht="25.8" customHeight="1">
      <c r="C8695" s="818">
        <v>2</v>
      </c>
      <c r="D8695" s="212" t="s">
        <v>17</v>
      </c>
      <c r="E8695" s="212" t="s">
        <v>6</v>
      </c>
      <c r="F8695" s="538">
        <v>8.4410000000000007</v>
      </c>
      <c r="G8695" s="539">
        <f>VLOOKUP(D8695,upahbahan,3,FALSE)</f>
        <v>135000</v>
      </c>
      <c r="H8695" s="539">
        <f t="shared" si="924"/>
        <v>1139535</v>
      </c>
    </row>
    <row r="8696" spans="3:11" ht="25.8" customHeight="1">
      <c r="C8696" s="818">
        <v>3</v>
      </c>
      <c r="D8696" s="212" t="s">
        <v>1310</v>
      </c>
      <c r="E8696" s="212" t="s">
        <v>6</v>
      </c>
      <c r="F8696" s="538">
        <v>0.84399999999999997</v>
      </c>
      <c r="G8696" s="539">
        <f>VLOOKUP(D8696,upahbahan,3,FALSE)</f>
        <v>150000</v>
      </c>
      <c r="H8696" s="539">
        <f t="shared" si="924"/>
        <v>126600</v>
      </c>
    </row>
    <row r="8697" spans="3:11" ht="25.8" customHeight="1">
      <c r="C8697" s="818">
        <v>4</v>
      </c>
      <c r="D8697" s="212" t="s">
        <v>19</v>
      </c>
      <c r="E8697" s="212" t="s">
        <v>6</v>
      </c>
      <c r="F8697" s="538">
        <v>0.28100000000000003</v>
      </c>
      <c r="G8697" s="539">
        <f>VLOOKUP(D8697,upahbahan,3,FALSE)</f>
        <v>160000</v>
      </c>
      <c r="H8697" s="539">
        <f t="shared" si="924"/>
        <v>44960.000000000007</v>
      </c>
    </row>
    <row r="8698" spans="3:11" ht="25.8" customHeight="1">
      <c r="C8698" s="702" t="s">
        <v>1208</v>
      </c>
      <c r="D8698" s="208"/>
      <c r="E8698" s="208"/>
      <c r="F8698" s="811"/>
      <c r="G8698" s="522"/>
      <c r="H8698" s="539">
        <f>SUM(H8694:H8697)</f>
        <v>1816095</v>
      </c>
      <c r="I8698" s="819"/>
    </row>
    <row r="8699" spans="3:11" ht="25.8" customHeight="1">
      <c r="C8699" s="213" t="s">
        <v>1209</v>
      </c>
      <c r="D8699" s="212" t="s">
        <v>1210</v>
      </c>
      <c r="E8699" s="534"/>
      <c r="F8699" s="831"/>
      <c r="G8699" s="534"/>
      <c r="H8699" s="534"/>
    </row>
    <row r="8700" spans="3:11" ht="25.8" customHeight="1">
      <c r="C8700" s="213">
        <v>1</v>
      </c>
      <c r="D8700" s="212" t="s">
        <v>6322</v>
      </c>
      <c r="E8700" s="234" t="s">
        <v>235</v>
      </c>
      <c r="F8700" s="866">
        <v>1.2</v>
      </c>
      <c r="G8700" s="539">
        <f>VLOOKUP(D8700,upahbahan,3,FALSE)</f>
        <v>1350000</v>
      </c>
      <c r="H8700" s="539">
        <f t="shared" ref="H8700" si="925">F8700*G8700</f>
        <v>1620000</v>
      </c>
    </row>
    <row r="8701" spans="3:11" ht="25.8" customHeight="1">
      <c r="C8701" s="702" t="s">
        <v>1214</v>
      </c>
      <c r="D8701" s="208"/>
      <c r="E8701" s="208" t="s">
        <v>6045</v>
      </c>
      <c r="F8701" s="208"/>
      <c r="G8701" s="209"/>
      <c r="H8701" s="539">
        <f>SUM(H8699:H8700)</f>
        <v>1620000</v>
      </c>
    </row>
    <row r="8702" spans="3:11" ht="25.8" customHeight="1">
      <c r="C8702" s="213" t="s">
        <v>1215</v>
      </c>
      <c r="D8702" s="212" t="s">
        <v>1216</v>
      </c>
      <c r="E8702" s="534"/>
      <c r="F8702" s="534"/>
      <c r="G8702" s="534"/>
      <c r="H8702" s="534"/>
    </row>
    <row r="8703" spans="3:11" ht="25.8" customHeight="1">
      <c r="C8703" s="702" t="s">
        <v>1217</v>
      </c>
      <c r="D8703" s="815"/>
      <c r="E8703" s="815"/>
      <c r="F8703" s="815"/>
      <c r="G8703" s="209"/>
      <c r="H8703" s="821">
        <f>SUM(H8702:H8702)</f>
        <v>0</v>
      </c>
    </row>
    <row r="8704" spans="3:11" ht="25.8" customHeight="1">
      <c r="C8704" s="566" t="s">
        <v>1218</v>
      </c>
      <c r="D8704" s="552" t="s">
        <v>1219</v>
      </c>
      <c r="E8704" s="553"/>
      <c r="F8704" s="553"/>
      <c r="G8704" s="554"/>
      <c r="H8704" s="826">
        <f>H8703+H8701+H8698</f>
        <v>3436095</v>
      </c>
      <c r="I8704" s="827"/>
    </row>
    <row r="8705" spans="3:11" ht="25.8" customHeight="1">
      <c r="C8705" s="566" t="s">
        <v>1220</v>
      </c>
      <c r="D8705" s="552" t="s">
        <v>1321</v>
      </c>
      <c r="E8705" s="553"/>
      <c r="F8705" s="554"/>
      <c r="G8705" s="555">
        <f>$M$9</f>
        <v>0.1</v>
      </c>
      <c r="H8705" s="539">
        <f>H8704*G8705</f>
        <v>343609.5</v>
      </c>
      <c r="I8705" s="827"/>
    </row>
    <row r="8706" spans="3:11" ht="25.8" customHeight="1">
      <c r="C8706" s="566" t="s">
        <v>1221</v>
      </c>
      <c r="D8706" s="552" t="s">
        <v>1222</v>
      </c>
      <c r="E8706" s="553"/>
      <c r="F8706" s="553"/>
      <c r="G8706" s="554"/>
      <c r="H8706" s="828">
        <f>SUM(H8704:H8705)</f>
        <v>3779704.5</v>
      </c>
      <c r="I8706" s="827"/>
    </row>
    <row r="8707" spans="3:11" ht="25.8" customHeight="1"/>
    <row r="8708" spans="3:11" ht="25.8" customHeight="1">
      <c r="C8708" s="513" t="s">
        <v>6323</v>
      </c>
      <c r="D8708" s="817" t="s">
        <v>6324</v>
      </c>
      <c r="E8708" s="803"/>
      <c r="F8708" s="803"/>
      <c r="G8708" s="803"/>
      <c r="H8708" s="803"/>
      <c r="I8708" s="533">
        <f>ROUNDDOWN(H8723,-2)</f>
        <v>4241700</v>
      </c>
      <c r="J8708" s="536"/>
      <c r="K8708" s="824"/>
    </row>
    <row r="8709" spans="3:11" ht="25.8" customHeight="1">
      <c r="C8709" s="716" t="s">
        <v>1195</v>
      </c>
      <c r="D8709" s="716" t="s">
        <v>1196</v>
      </c>
      <c r="E8709" s="716" t="s">
        <v>1197</v>
      </c>
      <c r="F8709" s="716" t="s">
        <v>1198</v>
      </c>
      <c r="G8709" s="716" t="s">
        <v>1199</v>
      </c>
      <c r="H8709" s="716" t="s">
        <v>1200</v>
      </c>
    </row>
    <row r="8710" spans="3:11" ht="25.8" customHeight="1">
      <c r="C8710" s="213" t="s">
        <v>1201</v>
      </c>
      <c r="D8710" s="212" t="s">
        <v>1202</v>
      </c>
      <c r="E8710" s="534"/>
      <c r="F8710" s="534"/>
      <c r="G8710" s="534"/>
      <c r="H8710" s="534"/>
    </row>
    <row r="8711" spans="3:11" ht="25.8" customHeight="1">
      <c r="C8711" s="818">
        <v>1</v>
      </c>
      <c r="D8711" s="212" t="s">
        <v>5</v>
      </c>
      <c r="E8711" s="212" t="s">
        <v>6</v>
      </c>
      <c r="F8711" s="538">
        <v>5.05</v>
      </c>
      <c r="G8711" s="539">
        <f>VLOOKUP(D8711,upahbahan,3,FALSE)</f>
        <v>100000</v>
      </c>
      <c r="H8711" s="539">
        <f t="shared" ref="H8711:H8714" si="926">F8711*G8711</f>
        <v>505000</v>
      </c>
    </row>
    <row r="8712" spans="3:11" ht="25.8" customHeight="1">
      <c r="C8712" s="818">
        <v>2</v>
      </c>
      <c r="D8712" s="212" t="s">
        <v>17</v>
      </c>
      <c r="E8712" s="212" t="s">
        <v>6</v>
      </c>
      <c r="F8712" s="538">
        <v>8.4410000000000007</v>
      </c>
      <c r="G8712" s="539">
        <f>VLOOKUP(D8712,upahbahan,3,FALSE)</f>
        <v>135000</v>
      </c>
      <c r="H8712" s="539">
        <f t="shared" si="926"/>
        <v>1139535</v>
      </c>
    </row>
    <row r="8713" spans="3:11" ht="25.8" customHeight="1">
      <c r="C8713" s="818">
        <v>3</v>
      </c>
      <c r="D8713" s="212" t="s">
        <v>1310</v>
      </c>
      <c r="E8713" s="212" t="s">
        <v>6</v>
      </c>
      <c r="F8713" s="538">
        <v>0.84399999999999997</v>
      </c>
      <c r="G8713" s="539">
        <f>VLOOKUP(D8713,upahbahan,3,FALSE)</f>
        <v>150000</v>
      </c>
      <c r="H8713" s="539">
        <f t="shared" si="926"/>
        <v>126600</v>
      </c>
    </row>
    <row r="8714" spans="3:11" ht="25.8" customHeight="1">
      <c r="C8714" s="818">
        <v>4</v>
      </c>
      <c r="D8714" s="212" t="s">
        <v>19</v>
      </c>
      <c r="E8714" s="212" t="s">
        <v>6</v>
      </c>
      <c r="F8714" s="538">
        <v>0.28100000000000003</v>
      </c>
      <c r="G8714" s="539">
        <f>VLOOKUP(D8714,upahbahan,3,FALSE)</f>
        <v>160000</v>
      </c>
      <c r="H8714" s="539">
        <f t="shared" si="926"/>
        <v>44960.000000000007</v>
      </c>
    </row>
    <row r="8715" spans="3:11" ht="25.8" customHeight="1">
      <c r="C8715" s="702" t="s">
        <v>1208</v>
      </c>
      <c r="D8715" s="208"/>
      <c r="E8715" s="208"/>
      <c r="F8715" s="811"/>
      <c r="G8715" s="522"/>
      <c r="H8715" s="539">
        <f>SUM(H8711:H8714)</f>
        <v>1816095</v>
      </c>
      <c r="I8715" s="819"/>
    </row>
    <row r="8716" spans="3:11" ht="25.8" customHeight="1">
      <c r="C8716" s="213" t="s">
        <v>1209</v>
      </c>
      <c r="D8716" s="212" t="s">
        <v>1210</v>
      </c>
      <c r="E8716" s="534"/>
      <c r="F8716" s="831"/>
      <c r="G8716" s="534"/>
      <c r="H8716" s="534"/>
    </row>
    <row r="8717" spans="3:11" ht="25.8" customHeight="1">
      <c r="C8717" s="213">
        <v>1</v>
      </c>
      <c r="D8717" s="212" t="s">
        <v>6325</v>
      </c>
      <c r="E8717" s="234" t="s">
        <v>235</v>
      </c>
      <c r="F8717" s="866">
        <v>1.2</v>
      </c>
      <c r="G8717" s="539">
        <f>VLOOKUP(D8717,upahbahan,3,FALSE)</f>
        <v>1700000</v>
      </c>
      <c r="H8717" s="539">
        <f t="shared" ref="H8717" si="927">F8717*G8717</f>
        <v>2040000</v>
      </c>
    </row>
    <row r="8718" spans="3:11" ht="25.8" customHeight="1">
      <c r="C8718" s="702" t="s">
        <v>1214</v>
      </c>
      <c r="D8718" s="208"/>
      <c r="E8718" s="208" t="s">
        <v>6045</v>
      </c>
      <c r="F8718" s="208"/>
      <c r="G8718" s="209"/>
      <c r="H8718" s="539">
        <f>SUM(H8716:H8717)</f>
        <v>2040000</v>
      </c>
    </row>
    <row r="8719" spans="3:11" ht="25.8" customHeight="1">
      <c r="C8719" s="213" t="s">
        <v>1215</v>
      </c>
      <c r="D8719" s="212" t="s">
        <v>1216</v>
      </c>
      <c r="E8719" s="534"/>
      <c r="F8719" s="534"/>
      <c r="G8719" s="534"/>
      <c r="H8719" s="534"/>
    </row>
    <row r="8720" spans="3:11" ht="25.8" customHeight="1">
      <c r="C8720" s="702" t="s">
        <v>1217</v>
      </c>
      <c r="D8720" s="815"/>
      <c r="E8720" s="815"/>
      <c r="F8720" s="815"/>
      <c r="G8720" s="209"/>
      <c r="H8720" s="821">
        <f>SUM(H8719:H8719)</f>
        <v>0</v>
      </c>
    </row>
    <row r="8721" spans="3:11" ht="25.8" customHeight="1">
      <c r="C8721" s="566" t="s">
        <v>1218</v>
      </c>
      <c r="D8721" s="552" t="s">
        <v>1219</v>
      </c>
      <c r="E8721" s="553"/>
      <c r="F8721" s="553"/>
      <c r="G8721" s="554"/>
      <c r="H8721" s="826">
        <f>H8720+H8718+H8715</f>
        <v>3856095</v>
      </c>
      <c r="I8721" s="827"/>
    </row>
    <row r="8722" spans="3:11" ht="25.8" customHeight="1">
      <c r="C8722" s="566" t="s">
        <v>1220</v>
      </c>
      <c r="D8722" s="552" t="s">
        <v>1321</v>
      </c>
      <c r="E8722" s="553"/>
      <c r="F8722" s="554"/>
      <c r="G8722" s="555">
        <f>$M$9</f>
        <v>0.1</v>
      </c>
      <c r="H8722" s="539">
        <f>H8721*G8722</f>
        <v>385609.5</v>
      </c>
      <c r="I8722" s="827"/>
    </row>
    <row r="8723" spans="3:11" ht="25.8" customHeight="1">
      <c r="C8723" s="566" t="s">
        <v>1221</v>
      </c>
      <c r="D8723" s="552" t="s">
        <v>1222</v>
      </c>
      <c r="E8723" s="553"/>
      <c r="F8723" s="553"/>
      <c r="G8723" s="554"/>
      <c r="H8723" s="828">
        <f>SUM(H8721:H8722)</f>
        <v>4241704.5</v>
      </c>
      <c r="I8723" s="827"/>
    </row>
    <row r="8724" spans="3:11" ht="25.8" customHeight="1"/>
    <row r="8725" spans="3:11" ht="25.8" customHeight="1">
      <c r="C8725" s="513" t="s">
        <v>6326</v>
      </c>
      <c r="D8725" s="817" t="s">
        <v>6327</v>
      </c>
      <c r="E8725" s="803"/>
      <c r="F8725" s="803"/>
      <c r="G8725" s="803"/>
      <c r="H8725" s="803"/>
      <c r="I8725" s="533">
        <f>ROUNDDOWN(H8740,-2)</f>
        <v>1008200</v>
      </c>
      <c r="J8725" s="536"/>
      <c r="K8725" s="824"/>
    </row>
    <row r="8726" spans="3:11" ht="25.8" customHeight="1">
      <c r="C8726" s="716" t="s">
        <v>1195</v>
      </c>
      <c r="D8726" s="716" t="s">
        <v>1196</v>
      </c>
      <c r="E8726" s="716" t="s">
        <v>1197</v>
      </c>
      <c r="F8726" s="716" t="s">
        <v>1198</v>
      </c>
      <c r="G8726" s="716" t="s">
        <v>1199</v>
      </c>
      <c r="H8726" s="716" t="s">
        <v>1200</v>
      </c>
    </row>
    <row r="8727" spans="3:11" ht="25.8" customHeight="1">
      <c r="C8727" s="213" t="s">
        <v>1201</v>
      </c>
      <c r="D8727" s="212" t="s">
        <v>1202</v>
      </c>
      <c r="E8727" s="534"/>
      <c r="F8727" s="534"/>
      <c r="G8727" s="534"/>
      <c r="H8727" s="534"/>
    </row>
    <row r="8728" spans="3:11" ht="25.8" customHeight="1">
      <c r="C8728" s="818">
        <v>1</v>
      </c>
      <c r="D8728" s="212" t="s">
        <v>5</v>
      </c>
      <c r="E8728" s="212" t="s">
        <v>6</v>
      </c>
      <c r="F8728" s="538">
        <v>0.255</v>
      </c>
      <c r="G8728" s="539">
        <f>VLOOKUP(D8728,upahbahan,3,FALSE)</f>
        <v>100000</v>
      </c>
      <c r="H8728" s="539">
        <f t="shared" ref="H8728:H8731" si="928">F8728*G8728</f>
        <v>25500</v>
      </c>
    </row>
    <row r="8729" spans="3:11" ht="25.8" customHeight="1">
      <c r="C8729" s="818">
        <v>2</v>
      </c>
      <c r="D8729" s="212" t="s">
        <v>17</v>
      </c>
      <c r="E8729" s="212" t="s">
        <v>6</v>
      </c>
      <c r="F8729" s="538">
        <v>0.42499999999999999</v>
      </c>
      <c r="G8729" s="539">
        <f>VLOOKUP(D8729,upahbahan,3,FALSE)</f>
        <v>135000</v>
      </c>
      <c r="H8729" s="539">
        <f t="shared" si="928"/>
        <v>57375</v>
      </c>
    </row>
    <row r="8730" spans="3:11" ht="25.8" customHeight="1">
      <c r="C8730" s="818">
        <v>3</v>
      </c>
      <c r="D8730" s="212" t="s">
        <v>1310</v>
      </c>
      <c r="E8730" s="212" t="s">
        <v>6</v>
      </c>
      <c r="F8730" s="538">
        <v>4.2999999999999997E-2</v>
      </c>
      <c r="G8730" s="539">
        <f>VLOOKUP(D8730,upahbahan,3,FALSE)</f>
        <v>150000</v>
      </c>
      <c r="H8730" s="539">
        <f t="shared" si="928"/>
        <v>6449.9999999999991</v>
      </c>
    </row>
    <row r="8731" spans="3:11" ht="25.8" customHeight="1">
      <c r="C8731" s="818">
        <v>4</v>
      </c>
      <c r="D8731" s="212" t="s">
        <v>19</v>
      </c>
      <c r="E8731" s="212" t="s">
        <v>6</v>
      </c>
      <c r="F8731" s="538">
        <v>1.4E-2</v>
      </c>
      <c r="G8731" s="539">
        <f>VLOOKUP(D8731,upahbahan,3,FALSE)</f>
        <v>160000</v>
      </c>
      <c r="H8731" s="539">
        <f t="shared" si="928"/>
        <v>2240</v>
      </c>
    </row>
    <row r="8732" spans="3:11" ht="25.8" customHeight="1">
      <c r="C8732" s="702" t="s">
        <v>1208</v>
      </c>
      <c r="D8732" s="208"/>
      <c r="E8732" s="208"/>
      <c r="F8732" s="811"/>
      <c r="G8732" s="522"/>
      <c r="H8732" s="539">
        <f>SUM(H8728:H8731)</f>
        <v>91565</v>
      </c>
      <c r="I8732" s="819"/>
    </row>
    <row r="8733" spans="3:11" ht="25.8" customHeight="1">
      <c r="C8733" s="213" t="s">
        <v>1209</v>
      </c>
      <c r="D8733" s="212" t="s">
        <v>1210</v>
      </c>
      <c r="E8733" s="534"/>
      <c r="F8733" s="831"/>
      <c r="G8733" s="534"/>
      <c r="H8733" s="534"/>
    </row>
    <row r="8734" spans="3:11" ht="25.8" customHeight="1">
      <c r="C8734" s="213">
        <v>1</v>
      </c>
      <c r="D8734" s="212" t="s">
        <v>6328</v>
      </c>
      <c r="E8734" s="234" t="s">
        <v>235</v>
      </c>
      <c r="F8734" s="866">
        <v>1.1000000000000001</v>
      </c>
      <c r="G8734" s="539">
        <f>VLOOKUP(D8734,upahbahan,3,FALSE)</f>
        <v>750000</v>
      </c>
      <c r="H8734" s="539">
        <f t="shared" ref="H8734" si="929">F8734*G8734</f>
        <v>825000.00000000012</v>
      </c>
    </row>
    <row r="8735" spans="3:11" ht="25.8" customHeight="1">
      <c r="C8735" s="702" t="s">
        <v>1214</v>
      </c>
      <c r="D8735" s="208"/>
      <c r="E8735" s="208" t="s">
        <v>6045</v>
      </c>
      <c r="F8735" s="208"/>
      <c r="G8735" s="209"/>
      <c r="H8735" s="539">
        <f>SUM(H8733:H8734)</f>
        <v>825000.00000000012</v>
      </c>
    </row>
    <row r="8736" spans="3:11" ht="25.8" customHeight="1">
      <c r="C8736" s="213" t="s">
        <v>1215</v>
      </c>
      <c r="D8736" s="212" t="s">
        <v>1216</v>
      </c>
      <c r="E8736" s="534"/>
      <c r="F8736" s="534"/>
      <c r="G8736" s="534"/>
      <c r="H8736" s="534"/>
    </row>
    <row r="8737" spans="3:11" ht="25.8" customHeight="1">
      <c r="C8737" s="702" t="s">
        <v>1217</v>
      </c>
      <c r="D8737" s="815"/>
      <c r="E8737" s="815"/>
      <c r="F8737" s="815"/>
      <c r="G8737" s="209"/>
      <c r="H8737" s="821">
        <f>SUM(H8736:H8736)</f>
        <v>0</v>
      </c>
    </row>
    <row r="8738" spans="3:11" ht="25.8" customHeight="1">
      <c r="C8738" s="566" t="s">
        <v>1218</v>
      </c>
      <c r="D8738" s="552" t="s">
        <v>1219</v>
      </c>
      <c r="E8738" s="553"/>
      <c r="F8738" s="553"/>
      <c r="G8738" s="554"/>
      <c r="H8738" s="826">
        <f>H8737+H8735+H8732</f>
        <v>916565.00000000012</v>
      </c>
      <c r="I8738" s="827"/>
    </row>
    <row r="8739" spans="3:11" ht="25.8" customHeight="1">
      <c r="C8739" s="566" t="s">
        <v>1220</v>
      </c>
      <c r="D8739" s="552" t="s">
        <v>1321</v>
      </c>
      <c r="E8739" s="553"/>
      <c r="F8739" s="554"/>
      <c r="G8739" s="555">
        <f>$M$9</f>
        <v>0.1</v>
      </c>
      <c r="H8739" s="539">
        <f>H8738*G8739</f>
        <v>91656.500000000015</v>
      </c>
      <c r="I8739" s="827"/>
    </row>
    <row r="8740" spans="3:11" ht="25.8" customHeight="1">
      <c r="C8740" s="566" t="s">
        <v>1221</v>
      </c>
      <c r="D8740" s="552" t="s">
        <v>1222</v>
      </c>
      <c r="E8740" s="553"/>
      <c r="F8740" s="553"/>
      <c r="G8740" s="554"/>
      <c r="H8740" s="828">
        <f>SUM(H8738:H8739)</f>
        <v>1008221.5000000001</v>
      </c>
      <c r="I8740" s="827"/>
    </row>
    <row r="8741" spans="3:11" ht="25.8" customHeight="1"/>
    <row r="8742" spans="3:11" ht="25.8" customHeight="1">
      <c r="C8742" s="513" t="s">
        <v>6329</v>
      </c>
      <c r="D8742" s="817" t="s">
        <v>6330</v>
      </c>
      <c r="E8742" s="803"/>
      <c r="F8742" s="803"/>
      <c r="G8742" s="803"/>
      <c r="H8742" s="803"/>
      <c r="I8742" s="533">
        <f>ROUNDDOWN(H8757,-2)</f>
        <v>1915700</v>
      </c>
      <c r="J8742" s="536"/>
      <c r="K8742" s="824"/>
    </row>
    <row r="8743" spans="3:11" ht="25.8" customHeight="1">
      <c r="C8743" s="716" t="s">
        <v>1195</v>
      </c>
      <c r="D8743" s="716" t="s">
        <v>1196</v>
      </c>
      <c r="E8743" s="716" t="s">
        <v>1197</v>
      </c>
      <c r="F8743" s="716" t="s">
        <v>1198</v>
      </c>
      <c r="G8743" s="716" t="s">
        <v>1199</v>
      </c>
      <c r="H8743" s="716" t="s">
        <v>1200</v>
      </c>
    </row>
    <row r="8744" spans="3:11" ht="25.8" customHeight="1">
      <c r="C8744" s="213" t="s">
        <v>1201</v>
      </c>
      <c r="D8744" s="212" t="s">
        <v>1202</v>
      </c>
      <c r="E8744" s="534"/>
      <c r="F8744" s="534"/>
      <c r="G8744" s="534"/>
      <c r="H8744" s="534"/>
    </row>
    <row r="8745" spans="3:11" ht="25.8" customHeight="1">
      <c r="C8745" s="818">
        <v>1</v>
      </c>
      <c r="D8745" s="212" t="s">
        <v>5</v>
      </c>
      <c r="E8745" s="212" t="s">
        <v>6</v>
      </c>
      <c r="F8745" s="538">
        <v>0.255</v>
      </c>
      <c r="G8745" s="539">
        <f>VLOOKUP(D8745,upahbahan,3,FALSE)</f>
        <v>100000</v>
      </c>
      <c r="H8745" s="539">
        <f t="shared" ref="H8745:H8748" si="930">F8745*G8745</f>
        <v>25500</v>
      </c>
    </row>
    <row r="8746" spans="3:11" ht="25.8" customHeight="1">
      <c r="C8746" s="818">
        <v>2</v>
      </c>
      <c r="D8746" s="212" t="s">
        <v>17</v>
      </c>
      <c r="E8746" s="212" t="s">
        <v>6</v>
      </c>
      <c r="F8746" s="538">
        <v>0.42499999999999999</v>
      </c>
      <c r="G8746" s="539">
        <f>VLOOKUP(D8746,upahbahan,3,FALSE)</f>
        <v>135000</v>
      </c>
      <c r="H8746" s="539">
        <f t="shared" si="930"/>
        <v>57375</v>
      </c>
    </row>
    <row r="8747" spans="3:11" ht="25.8" customHeight="1">
      <c r="C8747" s="818">
        <v>3</v>
      </c>
      <c r="D8747" s="212" t="s">
        <v>1310</v>
      </c>
      <c r="E8747" s="212" t="s">
        <v>6</v>
      </c>
      <c r="F8747" s="538">
        <v>4.2999999999999997E-2</v>
      </c>
      <c r="G8747" s="539">
        <f>VLOOKUP(D8747,upahbahan,3,FALSE)</f>
        <v>150000</v>
      </c>
      <c r="H8747" s="539">
        <f t="shared" si="930"/>
        <v>6449.9999999999991</v>
      </c>
    </row>
    <row r="8748" spans="3:11" ht="25.8" customHeight="1">
      <c r="C8748" s="818">
        <v>4</v>
      </c>
      <c r="D8748" s="212" t="s">
        <v>19</v>
      </c>
      <c r="E8748" s="212" t="s">
        <v>6</v>
      </c>
      <c r="F8748" s="538">
        <v>1.4E-2</v>
      </c>
      <c r="G8748" s="539">
        <f>VLOOKUP(D8748,upahbahan,3,FALSE)</f>
        <v>160000</v>
      </c>
      <c r="H8748" s="539">
        <f t="shared" si="930"/>
        <v>2240</v>
      </c>
    </row>
    <row r="8749" spans="3:11" ht="25.8" customHeight="1">
      <c r="C8749" s="702" t="s">
        <v>1208</v>
      </c>
      <c r="D8749" s="208"/>
      <c r="E8749" s="208"/>
      <c r="F8749" s="811"/>
      <c r="G8749" s="522"/>
      <c r="H8749" s="539">
        <f>SUM(H8745:H8748)</f>
        <v>91565</v>
      </c>
      <c r="I8749" s="819"/>
    </row>
    <row r="8750" spans="3:11" ht="25.8" customHeight="1">
      <c r="C8750" s="213" t="s">
        <v>1209</v>
      </c>
      <c r="D8750" s="212" t="s">
        <v>1210</v>
      </c>
      <c r="E8750" s="534"/>
      <c r="F8750" s="831"/>
      <c r="G8750" s="534"/>
      <c r="H8750" s="534"/>
    </row>
    <row r="8751" spans="3:11" ht="25.8" customHeight="1">
      <c r="C8751" s="213">
        <v>1</v>
      </c>
      <c r="D8751" s="212" t="s">
        <v>6331</v>
      </c>
      <c r="E8751" s="234" t="s">
        <v>235</v>
      </c>
      <c r="F8751" s="866">
        <v>1.1000000000000001</v>
      </c>
      <c r="G8751" s="539">
        <f>VLOOKUP(D8751,upahbahan,3,FALSE)</f>
        <v>1500000</v>
      </c>
      <c r="H8751" s="539">
        <f t="shared" ref="H8751" si="931">F8751*G8751</f>
        <v>1650000.0000000002</v>
      </c>
    </row>
    <row r="8752" spans="3:11" ht="25.8" customHeight="1">
      <c r="C8752" s="702" t="s">
        <v>1214</v>
      </c>
      <c r="D8752" s="208"/>
      <c r="E8752" s="208" t="s">
        <v>6045</v>
      </c>
      <c r="F8752" s="208"/>
      <c r="G8752" s="209"/>
      <c r="H8752" s="539">
        <f>SUM(H8750:H8751)</f>
        <v>1650000.0000000002</v>
      </c>
    </row>
    <row r="8753" spans="3:11" ht="25.8" customHeight="1">
      <c r="C8753" s="213" t="s">
        <v>1215</v>
      </c>
      <c r="D8753" s="212" t="s">
        <v>1216</v>
      </c>
      <c r="E8753" s="534"/>
      <c r="F8753" s="534"/>
      <c r="G8753" s="534"/>
      <c r="H8753" s="534"/>
    </row>
    <row r="8754" spans="3:11" ht="25.8" customHeight="1">
      <c r="C8754" s="702" t="s">
        <v>1217</v>
      </c>
      <c r="D8754" s="815"/>
      <c r="E8754" s="815"/>
      <c r="F8754" s="815"/>
      <c r="G8754" s="209"/>
      <c r="H8754" s="821">
        <f>SUM(H8753:H8753)</f>
        <v>0</v>
      </c>
    </row>
    <row r="8755" spans="3:11" ht="25.8" customHeight="1">
      <c r="C8755" s="566" t="s">
        <v>1218</v>
      </c>
      <c r="D8755" s="552" t="s">
        <v>1219</v>
      </c>
      <c r="E8755" s="553"/>
      <c r="F8755" s="553"/>
      <c r="G8755" s="554"/>
      <c r="H8755" s="826">
        <f>H8754+H8752+H8749</f>
        <v>1741565.0000000002</v>
      </c>
      <c r="I8755" s="827"/>
    </row>
    <row r="8756" spans="3:11" ht="25.8" customHeight="1">
      <c r="C8756" s="566" t="s">
        <v>1220</v>
      </c>
      <c r="D8756" s="552" t="s">
        <v>1321</v>
      </c>
      <c r="E8756" s="553"/>
      <c r="F8756" s="554"/>
      <c r="G8756" s="555">
        <f>$M$9</f>
        <v>0.1</v>
      </c>
      <c r="H8756" s="539">
        <f>H8755*G8756</f>
        <v>174156.50000000003</v>
      </c>
      <c r="I8756" s="827"/>
    </row>
    <row r="8757" spans="3:11" ht="25.8" customHeight="1">
      <c r="C8757" s="566" t="s">
        <v>1221</v>
      </c>
      <c r="D8757" s="552" t="s">
        <v>1222</v>
      </c>
      <c r="E8757" s="553"/>
      <c r="F8757" s="553"/>
      <c r="G8757" s="554"/>
      <c r="H8757" s="828">
        <f>SUM(H8755:H8756)</f>
        <v>1915721.5000000002</v>
      </c>
      <c r="I8757" s="827"/>
    </row>
    <row r="8758" spans="3:11" ht="25.8" customHeight="1"/>
    <row r="8759" spans="3:11" ht="25.8" customHeight="1">
      <c r="C8759" s="513" t="s">
        <v>6332</v>
      </c>
      <c r="D8759" s="817" t="s">
        <v>6333</v>
      </c>
      <c r="E8759" s="803"/>
      <c r="F8759" s="803"/>
      <c r="G8759" s="803"/>
      <c r="H8759" s="803"/>
      <c r="I8759" s="533">
        <f>ROUNDDOWN(H8774,-2)</f>
        <v>11455600</v>
      </c>
      <c r="J8759" s="536"/>
      <c r="K8759" s="824"/>
    </row>
    <row r="8760" spans="3:11" ht="25.8" customHeight="1">
      <c r="C8760" s="716" t="s">
        <v>1195</v>
      </c>
      <c r="D8760" s="716" t="s">
        <v>1196</v>
      </c>
      <c r="E8760" s="716" t="s">
        <v>1197</v>
      </c>
      <c r="F8760" s="716" t="s">
        <v>1198</v>
      </c>
      <c r="G8760" s="716" t="s">
        <v>1199</v>
      </c>
      <c r="H8760" s="716" t="s">
        <v>1200</v>
      </c>
    </row>
    <row r="8761" spans="3:11" ht="25.8" customHeight="1">
      <c r="C8761" s="213" t="s">
        <v>1201</v>
      </c>
      <c r="D8761" s="212" t="s">
        <v>1202</v>
      </c>
      <c r="E8761" s="534"/>
      <c r="F8761" s="534"/>
      <c r="G8761" s="534"/>
      <c r="H8761" s="534"/>
    </row>
    <row r="8762" spans="3:11" ht="25.8" customHeight="1">
      <c r="C8762" s="818">
        <v>1</v>
      </c>
      <c r="D8762" s="212" t="s">
        <v>5</v>
      </c>
      <c r="E8762" s="212" t="s">
        <v>6</v>
      </c>
      <c r="F8762" s="538">
        <v>1.264</v>
      </c>
      <c r="G8762" s="539">
        <f>VLOOKUP(D8762,upahbahan,3,FALSE)</f>
        <v>100000</v>
      </c>
      <c r="H8762" s="539">
        <f t="shared" ref="H8762:H8765" si="932">F8762*G8762</f>
        <v>126400</v>
      </c>
    </row>
    <row r="8763" spans="3:11" ht="25.8" customHeight="1">
      <c r="C8763" s="818">
        <v>2</v>
      </c>
      <c r="D8763" s="212" t="s">
        <v>17</v>
      </c>
      <c r="E8763" s="212" t="s">
        <v>6</v>
      </c>
      <c r="F8763" s="538">
        <v>2.1110000000000002</v>
      </c>
      <c r="G8763" s="539">
        <f>VLOOKUP(D8763,upahbahan,3,FALSE)</f>
        <v>135000</v>
      </c>
      <c r="H8763" s="539">
        <f t="shared" si="932"/>
        <v>284985</v>
      </c>
    </row>
    <row r="8764" spans="3:11" ht="25.8" customHeight="1">
      <c r="C8764" s="818">
        <v>3</v>
      </c>
      <c r="D8764" s="212" t="s">
        <v>1310</v>
      </c>
      <c r="E8764" s="212" t="s">
        <v>6</v>
      </c>
      <c r="F8764" s="538">
        <v>0.21110000000000001</v>
      </c>
      <c r="G8764" s="539">
        <f>VLOOKUP(D8764,upahbahan,3,FALSE)</f>
        <v>150000</v>
      </c>
      <c r="H8764" s="539">
        <f t="shared" si="932"/>
        <v>31665</v>
      </c>
    </row>
    <row r="8765" spans="3:11" ht="25.8" customHeight="1">
      <c r="C8765" s="818">
        <v>4</v>
      </c>
      <c r="D8765" s="212" t="s">
        <v>19</v>
      </c>
      <c r="E8765" s="212" t="s">
        <v>6</v>
      </c>
      <c r="F8765" s="538">
        <v>7.0000000000000007E-2</v>
      </c>
      <c r="G8765" s="539">
        <f>VLOOKUP(D8765,upahbahan,3,FALSE)</f>
        <v>160000</v>
      </c>
      <c r="H8765" s="539">
        <f t="shared" si="932"/>
        <v>11200.000000000002</v>
      </c>
    </row>
    <row r="8766" spans="3:11" ht="25.8" customHeight="1">
      <c r="C8766" s="702" t="s">
        <v>1208</v>
      </c>
      <c r="D8766" s="208"/>
      <c r="E8766" s="208"/>
      <c r="F8766" s="811"/>
      <c r="G8766" s="522"/>
      <c r="H8766" s="539">
        <f>SUM(H8762:H8765)</f>
        <v>454250</v>
      </c>
      <c r="I8766" s="819"/>
    </row>
    <row r="8767" spans="3:11" ht="25.8" customHeight="1">
      <c r="C8767" s="213" t="s">
        <v>1209</v>
      </c>
      <c r="D8767" s="212" t="s">
        <v>1210</v>
      </c>
      <c r="E8767" s="534"/>
      <c r="F8767" s="831"/>
      <c r="G8767" s="534"/>
      <c r="H8767" s="534"/>
    </row>
    <row r="8768" spans="3:11" ht="25.8" customHeight="1">
      <c r="C8768" s="213">
        <v>1</v>
      </c>
      <c r="D8768" s="212" t="s">
        <v>6334</v>
      </c>
      <c r="E8768" s="234" t="s">
        <v>235</v>
      </c>
      <c r="F8768" s="866">
        <v>1.2</v>
      </c>
      <c r="G8768" s="539">
        <f>VLOOKUP(D8768,upahbahan,3,FALSE)</f>
        <v>8300000</v>
      </c>
      <c r="H8768" s="539">
        <f t="shared" ref="H8768" si="933">F8768*G8768</f>
        <v>9960000</v>
      </c>
    </row>
    <row r="8769" spans="3:11" ht="25.8" customHeight="1">
      <c r="C8769" s="702" t="s">
        <v>1214</v>
      </c>
      <c r="D8769" s="208"/>
      <c r="E8769" s="208" t="s">
        <v>6045</v>
      </c>
      <c r="F8769" s="208"/>
      <c r="G8769" s="209"/>
      <c r="H8769" s="539">
        <f>SUM(H8767:H8768)</f>
        <v>9960000</v>
      </c>
    </row>
    <row r="8770" spans="3:11" ht="25.8" customHeight="1">
      <c r="C8770" s="213" t="s">
        <v>1215</v>
      </c>
      <c r="D8770" s="212" t="s">
        <v>1216</v>
      </c>
      <c r="E8770" s="534"/>
      <c r="F8770" s="534"/>
      <c r="G8770" s="534"/>
      <c r="H8770" s="534"/>
    </row>
    <row r="8771" spans="3:11" ht="25.8" customHeight="1">
      <c r="C8771" s="702" t="s">
        <v>1217</v>
      </c>
      <c r="D8771" s="815"/>
      <c r="E8771" s="815"/>
      <c r="F8771" s="815"/>
      <c r="G8771" s="209"/>
      <c r="H8771" s="821">
        <f>SUM(H8770:H8770)</f>
        <v>0</v>
      </c>
    </row>
    <row r="8772" spans="3:11" ht="25.8" customHeight="1">
      <c r="C8772" s="566" t="s">
        <v>1218</v>
      </c>
      <c r="D8772" s="552" t="s">
        <v>1219</v>
      </c>
      <c r="E8772" s="553"/>
      <c r="F8772" s="553"/>
      <c r="G8772" s="554"/>
      <c r="H8772" s="826">
        <f>H8771+H8769+H8766</f>
        <v>10414250</v>
      </c>
      <c r="I8772" s="827"/>
    </row>
    <row r="8773" spans="3:11" ht="25.8" customHeight="1">
      <c r="C8773" s="566" t="s">
        <v>1220</v>
      </c>
      <c r="D8773" s="552" t="s">
        <v>1321</v>
      </c>
      <c r="E8773" s="553"/>
      <c r="F8773" s="554"/>
      <c r="G8773" s="555">
        <f>$M$9</f>
        <v>0.1</v>
      </c>
      <c r="H8773" s="539">
        <f>H8772*G8773</f>
        <v>1041425</v>
      </c>
      <c r="I8773" s="827"/>
    </row>
    <row r="8774" spans="3:11" ht="25.8" customHeight="1">
      <c r="C8774" s="566" t="s">
        <v>1221</v>
      </c>
      <c r="D8774" s="552" t="s">
        <v>1222</v>
      </c>
      <c r="E8774" s="553"/>
      <c r="F8774" s="553"/>
      <c r="G8774" s="554"/>
      <c r="H8774" s="828">
        <f>SUM(H8772:H8773)</f>
        <v>11455675</v>
      </c>
      <c r="I8774" s="827"/>
    </row>
    <row r="8775" spans="3:11" ht="25.8" customHeight="1"/>
    <row r="8776" spans="3:11" ht="25.8" customHeight="1">
      <c r="C8776" s="513" t="s">
        <v>6335</v>
      </c>
      <c r="D8776" s="817" t="s">
        <v>6336</v>
      </c>
      <c r="E8776" s="803"/>
      <c r="F8776" s="803"/>
      <c r="G8776" s="803"/>
      <c r="H8776" s="803"/>
      <c r="I8776" s="533">
        <f>ROUNDDOWN(H8791,-2)</f>
        <v>2526600</v>
      </c>
      <c r="J8776" s="536"/>
      <c r="K8776" s="824"/>
    </row>
    <row r="8777" spans="3:11" ht="25.8" customHeight="1">
      <c r="C8777" s="716" t="s">
        <v>1195</v>
      </c>
      <c r="D8777" s="716" t="s">
        <v>1196</v>
      </c>
      <c r="E8777" s="716" t="s">
        <v>1197</v>
      </c>
      <c r="F8777" s="716" t="s">
        <v>1198</v>
      </c>
      <c r="G8777" s="716" t="s">
        <v>1199</v>
      </c>
      <c r="H8777" s="716" t="s">
        <v>1200</v>
      </c>
    </row>
    <row r="8778" spans="3:11" ht="25.8" customHeight="1">
      <c r="C8778" s="213" t="s">
        <v>1201</v>
      </c>
      <c r="D8778" s="212" t="s">
        <v>1202</v>
      </c>
      <c r="E8778" s="534"/>
      <c r="F8778" s="534"/>
      <c r="G8778" s="534"/>
      <c r="H8778" s="534"/>
    </row>
    <row r="8779" spans="3:11" ht="25.8" customHeight="1">
      <c r="C8779" s="818">
        <v>1</v>
      </c>
      <c r="D8779" s="212" t="s">
        <v>5</v>
      </c>
      <c r="E8779" s="212" t="s">
        <v>6</v>
      </c>
      <c r="F8779" s="538">
        <v>0.38100000000000001</v>
      </c>
      <c r="G8779" s="539">
        <f>VLOOKUP(D8779,upahbahan,3,FALSE)</f>
        <v>100000</v>
      </c>
      <c r="H8779" s="539">
        <f t="shared" ref="H8779:H8782" si="934">F8779*G8779</f>
        <v>38100</v>
      </c>
    </row>
    <row r="8780" spans="3:11" ht="25.8" customHeight="1">
      <c r="C8780" s="818">
        <v>2</v>
      </c>
      <c r="D8780" s="212" t="s">
        <v>17</v>
      </c>
      <c r="E8780" s="212" t="s">
        <v>6</v>
      </c>
      <c r="F8780" s="538">
        <v>0.63600000000000001</v>
      </c>
      <c r="G8780" s="539">
        <f>VLOOKUP(D8780,upahbahan,3,FALSE)</f>
        <v>135000</v>
      </c>
      <c r="H8780" s="539">
        <f t="shared" si="934"/>
        <v>85860</v>
      </c>
    </row>
    <row r="8781" spans="3:11" ht="25.8" customHeight="1">
      <c r="C8781" s="818">
        <v>3</v>
      </c>
      <c r="D8781" s="212" t="s">
        <v>1310</v>
      </c>
      <c r="E8781" s="212" t="s">
        <v>6</v>
      </c>
      <c r="F8781" s="538">
        <v>6.4000000000000001E-2</v>
      </c>
      <c r="G8781" s="539">
        <f>VLOOKUP(D8781,upahbahan,3,FALSE)</f>
        <v>150000</v>
      </c>
      <c r="H8781" s="539">
        <f t="shared" si="934"/>
        <v>9600</v>
      </c>
    </row>
    <row r="8782" spans="3:11" ht="25.8" customHeight="1">
      <c r="C8782" s="818">
        <v>4</v>
      </c>
      <c r="D8782" s="212" t="s">
        <v>19</v>
      </c>
      <c r="E8782" s="212" t="s">
        <v>6</v>
      </c>
      <c r="F8782" s="538">
        <v>2.1000000000000001E-2</v>
      </c>
      <c r="G8782" s="539">
        <f>VLOOKUP(D8782,upahbahan,3,FALSE)</f>
        <v>160000</v>
      </c>
      <c r="H8782" s="539">
        <f t="shared" si="934"/>
        <v>3360</v>
      </c>
    </row>
    <row r="8783" spans="3:11" ht="25.8" customHeight="1">
      <c r="C8783" s="702" t="s">
        <v>1208</v>
      </c>
      <c r="D8783" s="208"/>
      <c r="E8783" s="208"/>
      <c r="F8783" s="811"/>
      <c r="G8783" s="522"/>
      <c r="H8783" s="539">
        <f>SUM(H8779:H8782)</f>
        <v>136920</v>
      </c>
      <c r="I8783" s="819"/>
    </row>
    <row r="8784" spans="3:11" ht="25.8" customHeight="1">
      <c r="C8784" s="213" t="s">
        <v>1209</v>
      </c>
      <c r="D8784" s="212" t="s">
        <v>1210</v>
      </c>
      <c r="E8784" s="534"/>
      <c r="F8784" s="831"/>
      <c r="G8784" s="534"/>
      <c r="H8784" s="534"/>
    </row>
    <row r="8785" spans="3:11" ht="25.8" customHeight="1">
      <c r="C8785" s="213">
        <v>1</v>
      </c>
      <c r="D8785" s="212" t="s">
        <v>6337</v>
      </c>
      <c r="E8785" s="234" t="s">
        <v>235</v>
      </c>
      <c r="F8785" s="866">
        <v>1.2</v>
      </c>
      <c r="G8785" s="539">
        <f>VLOOKUP(D8785,upahbahan,3,FALSE)</f>
        <v>1800000</v>
      </c>
      <c r="H8785" s="539">
        <f t="shared" ref="H8785" si="935">F8785*G8785</f>
        <v>2160000</v>
      </c>
    </row>
    <row r="8786" spans="3:11" ht="25.8" customHeight="1">
      <c r="C8786" s="702" t="s">
        <v>1214</v>
      </c>
      <c r="D8786" s="208"/>
      <c r="E8786" s="208" t="s">
        <v>6045</v>
      </c>
      <c r="F8786" s="208"/>
      <c r="G8786" s="209"/>
      <c r="H8786" s="539">
        <f>SUM(H8784:H8785)</f>
        <v>2160000</v>
      </c>
    </row>
    <row r="8787" spans="3:11" ht="25.8" customHeight="1">
      <c r="C8787" s="213" t="s">
        <v>1215</v>
      </c>
      <c r="D8787" s="212" t="s">
        <v>1216</v>
      </c>
      <c r="E8787" s="534"/>
      <c r="F8787" s="534"/>
      <c r="G8787" s="534"/>
      <c r="H8787" s="534"/>
    </row>
    <row r="8788" spans="3:11" ht="25.8" customHeight="1">
      <c r="C8788" s="702" t="s">
        <v>1217</v>
      </c>
      <c r="D8788" s="815"/>
      <c r="E8788" s="815"/>
      <c r="F8788" s="815"/>
      <c r="G8788" s="209"/>
      <c r="H8788" s="821">
        <f>SUM(H8787:H8787)</f>
        <v>0</v>
      </c>
    </row>
    <row r="8789" spans="3:11" ht="25.8" customHeight="1">
      <c r="C8789" s="566" t="s">
        <v>1218</v>
      </c>
      <c r="D8789" s="552" t="s">
        <v>1219</v>
      </c>
      <c r="E8789" s="553"/>
      <c r="F8789" s="553"/>
      <c r="G8789" s="554"/>
      <c r="H8789" s="826">
        <f>H8788+H8786+H8783</f>
        <v>2296920</v>
      </c>
      <c r="I8789" s="827"/>
    </row>
    <row r="8790" spans="3:11" ht="25.8" customHeight="1">
      <c r="C8790" s="566" t="s">
        <v>1220</v>
      </c>
      <c r="D8790" s="552" t="s">
        <v>1321</v>
      </c>
      <c r="E8790" s="553"/>
      <c r="F8790" s="554"/>
      <c r="G8790" s="555">
        <f>$M$9</f>
        <v>0.1</v>
      </c>
      <c r="H8790" s="539">
        <f>H8789*G8790</f>
        <v>229692</v>
      </c>
      <c r="I8790" s="827"/>
    </row>
    <row r="8791" spans="3:11" ht="25.8" customHeight="1">
      <c r="C8791" s="566" t="s">
        <v>1221</v>
      </c>
      <c r="D8791" s="552" t="s">
        <v>1222</v>
      </c>
      <c r="E8791" s="553"/>
      <c r="F8791" s="553"/>
      <c r="G8791" s="554"/>
      <c r="H8791" s="828">
        <f>SUM(H8789:H8790)</f>
        <v>2526612</v>
      </c>
      <c r="I8791" s="827"/>
    </row>
    <row r="8792" spans="3:11" ht="25.8" customHeight="1"/>
    <row r="8793" spans="3:11" ht="25.8" customHeight="1">
      <c r="C8793" s="513" t="s">
        <v>6338</v>
      </c>
      <c r="D8793" s="817" t="s">
        <v>6339</v>
      </c>
      <c r="E8793" s="803"/>
      <c r="F8793" s="803"/>
      <c r="G8793" s="803"/>
      <c r="H8793" s="803"/>
      <c r="I8793" s="533">
        <f>ROUNDDOWN(H8808,-2)</f>
        <v>2922600</v>
      </c>
      <c r="J8793" s="536"/>
      <c r="K8793" s="824"/>
    </row>
    <row r="8794" spans="3:11" ht="25.8" customHeight="1">
      <c r="C8794" s="716" t="s">
        <v>1195</v>
      </c>
      <c r="D8794" s="716" t="s">
        <v>1196</v>
      </c>
      <c r="E8794" s="716" t="s">
        <v>1197</v>
      </c>
      <c r="F8794" s="716" t="s">
        <v>1198</v>
      </c>
      <c r="G8794" s="716" t="s">
        <v>1199</v>
      </c>
      <c r="H8794" s="716" t="s">
        <v>1200</v>
      </c>
    </row>
    <row r="8795" spans="3:11" ht="25.8" customHeight="1">
      <c r="C8795" s="213" t="s">
        <v>1201</v>
      </c>
      <c r="D8795" s="212" t="s">
        <v>1202</v>
      </c>
      <c r="E8795" s="534"/>
      <c r="F8795" s="534"/>
      <c r="G8795" s="534"/>
      <c r="H8795" s="534"/>
    </row>
    <row r="8796" spans="3:11" ht="25.8" customHeight="1">
      <c r="C8796" s="818">
        <v>1</v>
      </c>
      <c r="D8796" s="212" t="s">
        <v>5</v>
      </c>
      <c r="E8796" s="212" t="s">
        <v>6</v>
      </c>
      <c r="F8796" s="538">
        <v>0.38100000000000001</v>
      </c>
      <c r="G8796" s="539">
        <f>VLOOKUP(D8796,upahbahan,3,FALSE)</f>
        <v>100000</v>
      </c>
      <c r="H8796" s="539">
        <f t="shared" ref="H8796:H8799" si="936">F8796*G8796</f>
        <v>38100</v>
      </c>
    </row>
    <row r="8797" spans="3:11" ht="25.8" customHeight="1">
      <c r="C8797" s="818">
        <v>2</v>
      </c>
      <c r="D8797" s="212" t="s">
        <v>17</v>
      </c>
      <c r="E8797" s="212" t="s">
        <v>6</v>
      </c>
      <c r="F8797" s="538">
        <v>0.63600000000000001</v>
      </c>
      <c r="G8797" s="539">
        <f>VLOOKUP(D8797,upahbahan,3,FALSE)</f>
        <v>135000</v>
      </c>
      <c r="H8797" s="539">
        <f t="shared" si="936"/>
        <v>85860</v>
      </c>
    </row>
    <row r="8798" spans="3:11" ht="25.8" customHeight="1">
      <c r="C8798" s="818">
        <v>3</v>
      </c>
      <c r="D8798" s="212" t="s">
        <v>1310</v>
      </c>
      <c r="E8798" s="212" t="s">
        <v>6</v>
      </c>
      <c r="F8798" s="538">
        <v>6.4000000000000001E-2</v>
      </c>
      <c r="G8798" s="539">
        <f>VLOOKUP(D8798,upahbahan,3,FALSE)</f>
        <v>150000</v>
      </c>
      <c r="H8798" s="539">
        <f t="shared" si="936"/>
        <v>9600</v>
      </c>
    </row>
    <row r="8799" spans="3:11" ht="25.8" customHeight="1">
      <c r="C8799" s="818">
        <v>4</v>
      </c>
      <c r="D8799" s="212" t="s">
        <v>19</v>
      </c>
      <c r="E8799" s="212" t="s">
        <v>6</v>
      </c>
      <c r="F8799" s="538">
        <v>2.1000000000000001E-2</v>
      </c>
      <c r="G8799" s="539">
        <f>VLOOKUP(D8799,upahbahan,3,FALSE)</f>
        <v>160000</v>
      </c>
      <c r="H8799" s="539">
        <f t="shared" si="936"/>
        <v>3360</v>
      </c>
    </row>
    <row r="8800" spans="3:11" ht="25.8" customHeight="1">
      <c r="C8800" s="702" t="s">
        <v>1208</v>
      </c>
      <c r="D8800" s="208"/>
      <c r="E8800" s="208"/>
      <c r="F8800" s="811"/>
      <c r="G8800" s="522"/>
      <c r="H8800" s="539">
        <f>SUM(H8796:H8799)</f>
        <v>136920</v>
      </c>
      <c r="I8800" s="819"/>
    </row>
    <row r="8801" spans="3:11" ht="25.8" customHeight="1">
      <c r="C8801" s="213" t="s">
        <v>1209</v>
      </c>
      <c r="D8801" s="212" t="s">
        <v>1210</v>
      </c>
      <c r="E8801" s="534"/>
      <c r="F8801" s="831"/>
      <c r="G8801" s="534"/>
      <c r="H8801" s="534"/>
    </row>
    <row r="8802" spans="3:11" ht="25.8" customHeight="1">
      <c r="C8802" s="213">
        <v>1</v>
      </c>
      <c r="D8802" s="212" t="s">
        <v>6340</v>
      </c>
      <c r="E8802" s="234" t="s">
        <v>235</v>
      </c>
      <c r="F8802" s="866">
        <v>1.2</v>
      </c>
      <c r="G8802" s="539">
        <f>VLOOKUP(D8802,upahbahan,3,FALSE)</f>
        <v>2100000</v>
      </c>
      <c r="H8802" s="539">
        <f t="shared" ref="H8802" si="937">F8802*G8802</f>
        <v>2520000</v>
      </c>
    </row>
    <row r="8803" spans="3:11" ht="25.8" customHeight="1">
      <c r="C8803" s="702" t="s">
        <v>1214</v>
      </c>
      <c r="D8803" s="208"/>
      <c r="E8803" s="208" t="s">
        <v>6045</v>
      </c>
      <c r="F8803" s="208"/>
      <c r="G8803" s="209"/>
      <c r="H8803" s="539">
        <f>SUM(H8801:H8802)</f>
        <v>2520000</v>
      </c>
    </row>
    <row r="8804" spans="3:11" ht="25.8" customHeight="1">
      <c r="C8804" s="213" t="s">
        <v>1215</v>
      </c>
      <c r="D8804" s="212" t="s">
        <v>1216</v>
      </c>
      <c r="E8804" s="534"/>
      <c r="F8804" s="534"/>
      <c r="G8804" s="534"/>
      <c r="H8804" s="534"/>
    </row>
    <row r="8805" spans="3:11" ht="25.8" customHeight="1">
      <c r="C8805" s="702" t="s">
        <v>1217</v>
      </c>
      <c r="D8805" s="815"/>
      <c r="E8805" s="815"/>
      <c r="F8805" s="815"/>
      <c r="G8805" s="209"/>
      <c r="H8805" s="821">
        <f>SUM(H8804:H8804)</f>
        <v>0</v>
      </c>
    </row>
    <row r="8806" spans="3:11" ht="25.8" customHeight="1">
      <c r="C8806" s="566" t="s">
        <v>1218</v>
      </c>
      <c r="D8806" s="552" t="s">
        <v>1219</v>
      </c>
      <c r="E8806" s="553"/>
      <c r="F8806" s="553"/>
      <c r="G8806" s="554"/>
      <c r="H8806" s="826">
        <f>H8805+H8803+H8800</f>
        <v>2656920</v>
      </c>
      <c r="I8806" s="827"/>
    </row>
    <row r="8807" spans="3:11" ht="25.8" customHeight="1">
      <c r="C8807" s="566" t="s">
        <v>1220</v>
      </c>
      <c r="D8807" s="552" t="s">
        <v>1321</v>
      </c>
      <c r="E8807" s="553"/>
      <c r="F8807" s="554"/>
      <c r="G8807" s="555">
        <f>$M$9</f>
        <v>0.1</v>
      </c>
      <c r="H8807" s="539">
        <f>H8806*G8807</f>
        <v>265692</v>
      </c>
      <c r="I8807" s="827"/>
    </row>
    <row r="8808" spans="3:11" ht="25.8" customHeight="1">
      <c r="C8808" s="566" t="s">
        <v>1221</v>
      </c>
      <c r="D8808" s="552" t="s">
        <v>1222</v>
      </c>
      <c r="E8808" s="553"/>
      <c r="F8808" s="553"/>
      <c r="G8808" s="554"/>
      <c r="H8808" s="828">
        <f>SUM(H8806:H8807)</f>
        <v>2922612</v>
      </c>
      <c r="I8808" s="827"/>
    </row>
    <row r="8809" spans="3:11" ht="25.8" customHeight="1"/>
    <row r="8810" spans="3:11" ht="25.8" customHeight="1">
      <c r="C8810" s="513" t="s">
        <v>6341</v>
      </c>
      <c r="D8810" s="817" t="s">
        <v>6342</v>
      </c>
      <c r="E8810" s="803"/>
      <c r="F8810" s="803"/>
      <c r="G8810" s="803"/>
      <c r="H8810" s="803"/>
      <c r="I8810" s="533">
        <f>ROUNDDOWN(H8825,-2)</f>
        <v>3186600</v>
      </c>
      <c r="J8810" s="536"/>
      <c r="K8810" s="824"/>
    </row>
    <row r="8811" spans="3:11" ht="25.8" customHeight="1">
      <c r="C8811" s="716" t="s">
        <v>1195</v>
      </c>
      <c r="D8811" s="716" t="s">
        <v>1196</v>
      </c>
      <c r="E8811" s="716" t="s">
        <v>1197</v>
      </c>
      <c r="F8811" s="716" t="s">
        <v>1198</v>
      </c>
      <c r="G8811" s="716" t="s">
        <v>1199</v>
      </c>
      <c r="H8811" s="716" t="s">
        <v>1200</v>
      </c>
    </row>
    <row r="8812" spans="3:11" ht="25.8" customHeight="1">
      <c r="C8812" s="213" t="s">
        <v>1201</v>
      </c>
      <c r="D8812" s="212" t="s">
        <v>1202</v>
      </c>
      <c r="E8812" s="534"/>
      <c r="F8812" s="534"/>
      <c r="G8812" s="534"/>
      <c r="H8812" s="534"/>
    </row>
    <row r="8813" spans="3:11" ht="25.8" customHeight="1">
      <c r="C8813" s="818">
        <v>1</v>
      </c>
      <c r="D8813" s="212" t="s">
        <v>5</v>
      </c>
      <c r="E8813" s="212" t="s">
        <v>6</v>
      </c>
      <c r="F8813" s="538">
        <v>0.38100000000000001</v>
      </c>
      <c r="G8813" s="539">
        <f>VLOOKUP(D8813,upahbahan,3,FALSE)</f>
        <v>100000</v>
      </c>
      <c r="H8813" s="539">
        <f t="shared" ref="H8813:H8816" si="938">F8813*G8813</f>
        <v>38100</v>
      </c>
    </row>
    <row r="8814" spans="3:11" ht="25.8" customHeight="1">
      <c r="C8814" s="818">
        <v>2</v>
      </c>
      <c r="D8814" s="212" t="s">
        <v>17</v>
      </c>
      <c r="E8814" s="212" t="s">
        <v>6</v>
      </c>
      <c r="F8814" s="538">
        <v>0.63600000000000001</v>
      </c>
      <c r="G8814" s="539">
        <f>VLOOKUP(D8814,upahbahan,3,FALSE)</f>
        <v>135000</v>
      </c>
      <c r="H8814" s="539">
        <f t="shared" si="938"/>
        <v>85860</v>
      </c>
    </row>
    <row r="8815" spans="3:11" ht="25.8" customHeight="1">
      <c r="C8815" s="818">
        <v>3</v>
      </c>
      <c r="D8815" s="212" t="s">
        <v>1310</v>
      </c>
      <c r="E8815" s="212" t="s">
        <v>6</v>
      </c>
      <c r="F8815" s="538">
        <v>6.4000000000000001E-2</v>
      </c>
      <c r="G8815" s="539">
        <f>VLOOKUP(D8815,upahbahan,3,FALSE)</f>
        <v>150000</v>
      </c>
      <c r="H8815" s="539">
        <f t="shared" si="938"/>
        <v>9600</v>
      </c>
    </row>
    <row r="8816" spans="3:11" ht="25.8" customHeight="1">
      <c r="C8816" s="818">
        <v>4</v>
      </c>
      <c r="D8816" s="212" t="s">
        <v>19</v>
      </c>
      <c r="E8816" s="212" t="s">
        <v>6</v>
      </c>
      <c r="F8816" s="538">
        <v>2.1000000000000001E-2</v>
      </c>
      <c r="G8816" s="539">
        <f>VLOOKUP(D8816,upahbahan,3,FALSE)</f>
        <v>160000</v>
      </c>
      <c r="H8816" s="539">
        <f t="shared" si="938"/>
        <v>3360</v>
      </c>
    </row>
    <row r="8817" spans="3:11" ht="25.8" customHeight="1">
      <c r="C8817" s="702" t="s">
        <v>1208</v>
      </c>
      <c r="D8817" s="208"/>
      <c r="E8817" s="208"/>
      <c r="F8817" s="811"/>
      <c r="G8817" s="522"/>
      <c r="H8817" s="539">
        <f>SUM(H8813:H8816)</f>
        <v>136920</v>
      </c>
      <c r="I8817" s="819"/>
    </row>
    <row r="8818" spans="3:11" ht="25.8" customHeight="1">
      <c r="C8818" s="213" t="s">
        <v>1209</v>
      </c>
      <c r="D8818" s="212" t="s">
        <v>1210</v>
      </c>
      <c r="E8818" s="534"/>
      <c r="F8818" s="831"/>
      <c r="G8818" s="534"/>
      <c r="H8818" s="534"/>
    </row>
    <row r="8819" spans="3:11" ht="25.8" customHeight="1">
      <c r="C8819" s="213">
        <v>1</v>
      </c>
      <c r="D8819" s="212" t="s">
        <v>6343</v>
      </c>
      <c r="E8819" s="234" t="s">
        <v>235</v>
      </c>
      <c r="F8819" s="866">
        <v>1.2</v>
      </c>
      <c r="G8819" s="539">
        <f>VLOOKUP(D8819,upahbahan,3,FALSE)</f>
        <v>2300000</v>
      </c>
      <c r="H8819" s="539">
        <f t="shared" ref="H8819" si="939">F8819*G8819</f>
        <v>2760000</v>
      </c>
    </row>
    <row r="8820" spans="3:11" ht="25.8" customHeight="1">
      <c r="C8820" s="702" t="s">
        <v>1214</v>
      </c>
      <c r="D8820" s="208"/>
      <c r="E8820" s="208" t="s">
        <v>6045</v>
      </c>
      <c r="F8820" s="208"/>
      <c r="G8820" s="209"/>
      <c r="H8820" s="539">
        <f>SUM(H8818:H8819)</f>
        <v>2760000</v>
      </c>
    </row>
    <row r="8821" spans="3:11" ht="25.8" customHeight="1">
      <c r="C8821" s="213" t="s">
        <v>1215</v>
      </c>
      <c r="D8821" s="212" t="s">
        <v>1216</v>
      </c>
      <c r="E8821" s="534"/>
      <c r="F8821" s="534"/>
      <c r="G8821" s="534"/>
      <c r="H8821" s="534"/>
    </row>
    <row r="8822" spans="3:11" ht="25.8" customHeight="1">
      <c r="C8822" s="702" t="s">
        <v>1217</v>
      </c>
      <c r="D8822" s="815"/>
      <c r="E8822" s="815"/>
      <c r="F8822" s="815"/>
      <c r="G8822" s="209"/>
      <c r="H8822" s="821">
        <f>SUM(H8821:H8821)</f>
        <v>0</v>
      </c>
    </row>
    <row r="8823" spans="3:11" ht="25.8" customHeight="1">
      <c r="C8823" s="566" t="s">
        <v>1218</v>
      </c>
      <c r="D8823" s="552" t="s">
        <v>1219</v>
      </c>
      <c r="E8823" s="553"/>
      <c r="F8823" s="553"/>
      <c r="G8823" s="554"/>
      <c r="H8823" s="826">
        <f>H8822+H8820+H8817</f>
        <v>2896920</v>
      </c>
      <c r="I8823" s="827"/>
    </row>
    <row r="8824" spans="3:11" ht="25.8" customHeight="1">
      <c r="C8824" s="566" t="s">
        <v>1220</v>
      </c>
      <c r="D8824" s="552" t="s">
        <v>1321</v>
      </c>
      <c r="E8824" s="553"/>
      <c r="F8824" s="554"/>
      <c r="G8824" s="555">
        <f>$M$9</f>
        <v>0.1</v>
      </c>
      <c r="H8824" s="539">
        <f>H8823*G8824</f>
        <v>289692</v>
      </c>
      <c r="I8824" s="827"/>
    </row>
    <row r="8825" spans="3:11" ht="25.8" customHeight="1">
      <c r="C8825" s="566" t="s">
        <v>1221</v>
      </c>
      <c r="D8825" s="552" t="s">
        <v>1222</v>
      </c>
      <c r="E8825" s="553"/>
      <c r="F8825" s="553"/>
      <c r="G8825" s="554"/>
      <c r="H8825" s="828">
        <f>SUM(H8823:H8824)</f>
        <v>3186612</v>
      </c>
      <c r="I8825" s="827"/>
    </row>
    <row r="8826" spans="3:11" ht="25.8" customHeight="1"/>
    <row r="8827" spans="3:11" ht="25.8" customHeight="1"/>
    <row r="8828" spans="3:11" ht="25.8" customHeight="1">
      <c r="C8828" s="513" t="s">
        <v>6344</v>
      </c>
      <c r="D8828" s="817" t="s">
        <v>6345</v>
      </c>
      <c r="E8828" s="803"/>
      <c r="F8828" s="803"/>
      <c r="G8828" s="803"/>
      <c r="H8828" s="803"/>
      <c r="I8828" s="533">
        <f>ROUNDDOWN(H8843,-2)</f>
        <v>3709500</v>
      </c>
      <c r="J8828" s="536"/>
      <c r="K8828" s="824"/>
    </row>
    <row r="8829" spans="3:11" ht="25.8" customHeight="1">
      <c r="C8829" s="716" t="s">
        <v>1195</v>
      </c>
      <c r="D8829" s="716" t="s">
        <v>1196</v>
      </c>
      <c r="E8829" s="716" t="s">
        <v>1197</v>
      </c>
      <c r="F8829" s="716" t="s">
        <v>1198</v>
      </c>
      <c r="G8829" s="716" t="s">
        <v>1199</v>
      </c>
      <c r="H8829" s="716" t="s">
        <v>1200</v>
      </c>
    </row>
    <row r="8830" spans="3:11" ht="25.8" customHeight="1">
      <c r="C8830" s="213" t="s">
        <v>1201</v>
      </c>
      <c r="D8830" s="212" t="s">
        <v>1202</v>
      </c>
      <c r="E8830" s="534"/>
      <c r="F8830" s="534"/>
      <c r="G8830" s="534"/>
      <c r="H8830" s="534"/>
    </row>
    <row r="8831" spans="3:11" ht="25.8" customHeight="1">
      <c r="C8831" s="818">
        <v>1</v>
      </c>
      <c r="D8831" s="212" t="s">
        <v>5</v>
      </c>
      <c r="E8831" s="212" t="s">
        <v>6</v>
      </c>
      <c r="F8831" s="538">
        <v>0.50700000000000001</v>
      </c>
      <c r="G8831" s="539">
        <f>VLOOKUP(D8831,upahbahan,3,FALSE)</f>
        <v>100000</v>
      </c>
      <c r="H8831" s="539">
        <f t="shared" ref="H8831:H8834" si="940">F8831*G8831</f>
        <v>50700</v>
      </c>
    </row>
    <row r="8832" spans="3:11" ht="25.8" customHeight="1">
      <c r="C8832" s="818">
        <v>2</v>
      </c>
      <c r="D8832" s="212" t="s">
        <v>17</v>
      </c>
      <c r="E8832" s="212" t="s">
        <v>6</v>
      </c>
      <c r="F8832" s="538">
        <v>0.84699999999999998</v>
      </c>
      <c r="G8832" s="539">
        <f>VLOOKUP(D8832,upahbahan,3,FALSE)</f>
        <v>135000</v>
      </c>
      <c r="H8832" s="539">
        <f t="shared" si="940"/>
        <v>114345</v>
      </c>
    </row>
    <row r="8833" spans="3:11" ht="25.8" customHeight="1">
      <c r="C8833" s="818">
        <v>3</v>
      </c>
      <c r="D8833" s="212" t="s">
        <v>1310</v>
      </c>
      <c r="E8833" s="212" t="s">
        <v>6</v>
      </c>
      <c r="F8833" s="538">
        <v>8.5000000000000006E-2</v>
      </c>
      <c r="G8833" s="539">
        <f>VLOOKUP(D8833,upahbahan,3,FALSE)</f>
        <v>150000</v>
      </c>
      <c r="H8833" s="539">
        <f t="shared" si="940"/>
        <v>12750.000000000002</v>
      </c>
    </row>
    <row r="8834" spans="3:11" ht="25.8" customHeight="1">
      <c r="C8834" s="818">
        <v>4</v>
      </c>
      <c r="D8834" s="212" t="s">
        <v>19</v>
      </c>
      <c r="E8834" s="212" t="s">
        <v>6</v>
      </c>
      <c r="F8834" s="538">
        <v>2.8000000000000001E-2</v>
      </c>
      <c r="G8834" s="539">
        <f>VLOOKUP(D8834,upahbahan,3,FALSE)</f>
        <v>160000</v>
      </c>
      <c r="H8834" s="539">
        <f t="shared" si="940"/>
        <v>4480</v>
      </c>
    </row>
    <row r="8835" spans="3:11" ht="25.8" customHeight="1">
      <c r="C8835" s="702" t="s">
        <v>1208</v>
      </c>
      <c r="D8835" s="208"/>
      <c r="E8835" s="208"/>
      <c r="F8835" s="811"/>
      <c r="G8835" s="522"/>
      <c r="H8835" s="539">
        <f>SUM(H8831:H8834)</f>
        <v>182275</v>
      </c>
      <c r="I8835" s="819"/>
    </row>
    <row r="8836" spans="3:11" ht="25.8" customHeight="1">
      <c r="C8836" s="213" t="s">
        <v>1209</v>
      </c>
      <c r="D8836" s="212" t="s">
        <v>1210</v>
      </c>
      <c r="E8836" s="534"/>
      <c r="F8836" s="831"/>
      <c r="G8836" s="534"/>
      <c r="H8836" s="534"/>
    </row>
    <row r="8837" spans="3:11" ht="25.8" customHeight="1">
      <c r="C8837" s="213">
        <v>1</v>
      </c>
      <c r="D8837" s="212" t="s">
        <v>6346</v>
      </c>
      <c r="E8837" s="234" t="s">
        <v>235</v>
      </c>
      <c r="F8837" s="866">
        <v>1.1000000000000001</v>
      </c>
      <c r="G8837" s="539">
        <f>VLOOKUP(D8837,upahbahan,3,FALSE)</f>
        <v>2900000</v>
      </c>
      <c r="H8837" s="539">
        <f t="shared" ref="H8837" si="941">F8837*G8837</f>
        <v>3190000.0000000005</v>
      </c>
    </row>
    <row r="8838" spans="3:11" ht="25.8" customHeight="1">
      <c r="C8838" s="702" t="s">
        <v>1214</v>
      </c>
      <c r="D8838" s="208"/>
      <c r="E8838" s="208" t="s">
        <v>6045</v>
      </c>
      <c r="F8838" s="208"/>
      <c r="G8838" s="209"/>
      <c r="H8838" s="539">
        <f>SUM(H8836:H8837)</f>
        <v>3190000.0000000005</v>
      </c>
    </row>
    <row r="8839" spans="3:11" ht="25.8" customHeight="1">
      <c r="C8839" s="213" t="s">
        <v>1215</v>
      </c>
      <c r="D8839" s="212" t="s">
        <v>1216</v>
      </c>
      <c r="E8839" s="534"/>
      <c r="F8839" s="534"/>
      <c r="G8839" s="534"/>
      <c r="H8839" s="534"/>
    </row>
    <row r="8840" spans="3:11" ht="25.8" customHeight="1">
      <c r="C8840" s="702" t="s">
        <v>1217</v>
      </c>
      <c r="D8840" s="815"/>
      <c r="E8840" s="815"/>
      <c r="F8840" s="815"/>
      <c r="G8840" s="209"/>
      <c r="H8840" s="821">
        <f>SUM(H8839:H8839)</f>
        <v>0</v>
      </c>
    </row>
    <row r="8841" spans="3:11" ht="25.8" customHeight="1">
      <c r="C8841" s="566" t="s">
        <v>1218</v>
      </c>
      <c r="D8841" s="552" t="s">
        <v>1219</v>
      </c>
      <c r="E8841" s="553"/>
      <c r="F8841" s="553"/>
      <c r="G8841" s="554"/>
      <c r="H8841" s="826">
        <f>H8840+H8838+H8835</f>
        <v>3372275.0000000005</v>
      </c>
      <c r="I8841" s="827"/>
    </row>
    <row r="8842" spans="3:11" ht="25.8" customHeight="1">
      <c r="C8842" s="566" t="s">
        <v>1220</v>
      </c>
      <c r="D8842" s="552" t="s">
        <v>1321</v>
      </c>
      <c r="E8842" s="553"/>
      <c r="F8842" s="554"/>
      <c r="G8842" s="555">
        <f>$M$9</f>
        <v>0.1</v>
      </c>
      <c r="H8842" s="539">
        <f>H8841*G8842</f>
        <v>337227.50000000006</v>
      </c>
      <c r="I8842" s="827"/>
    </row>
    <row r="8843" spans="3:11" ht="25.8" customHeight="1">
      <c r="C8843" s="566" t="s">
        <v>1221</v>
      </c>
      <c r="D8843" s="552" t="s">
        <v>1222</v>
      </c>
      <c r="E8843" s="553"/>
      <c r="F8843" s="553"/>
      <c r="G8843" s="554"/>
      <c r="H8843" s="828">
        <f>SUM(H8841:H8842)</f>
        <v>3709502.5000000005</v>
      </c>
      <c r="I8843" s="827"/>
    </row>
    <row r="8844" spans="3:11" ht="25.8" customHeight="1"/>
    <row r="8845" spans="3:11" ht="25.8" customHeight="1">
      <c r="C8845" s="513" t="s">
        <v>6347</v>
      </c>
      <c r="D8845" s="817" t="s">
        <v>6348</v>
      </c>
      <c r="E8845" s="803"/>
      <c r="F8845" s="803"/>
      <c r="G8845" s="803"/>
      <c r="H8845" s="803"/>
      <c r="I8845" s="533">
        <f>ROUNDDOWN(H8860,-2)</f>
        <v>4585100</v>
      </c>
      <c r="J8845" s="536"/>
      <c r="K8845" s="824"/>
    </row>
    <row r="8846" spans="3:11" ht="25.8" customHeight="1">
      <c r="C8846" s="716" t="s">
        <v>1195</v>
      </c>
      <c r="D8846" s="716" t="s">
        <v>1196</v>
      </c>
      <c r="E8846" s="716" t="s">
        <v>1197</v>
      </c>
      <c r="F8846" s="716" t="s">
        <v>1198</v>
      </c>
      <c r="G8846" s="716" t="s">
        <v>1199</v>
      </c>
      <c r="H8846" s="716" t="s">
        <v>1200</v>
      </c>
    </row>
    <row r="8847" spans="3:11" ht="25.8" customHeight="1">
      <c r="C8847" s="213" t="s">
        <v>1201</v>
      </c>
      <c r="D8847" s="212" t="s">
        <v>1202</v>
      </c>
      <c r="E8847" s="534"/>
      <c r="F8847" s="534"/>
      <c r="G8847" s="534"/>
      <c r="H8847" s="534"/>
    </row>
    <row r="8848" spans="3:11" ht="25.8" customHeight="1">
      <c r="C8848" s="818">
        <v>1</v>
      </c>
      <c r="D8848" s="212" t="s">
        <v>5</v>
      </c>
      <c r="E8848" s="212" t="s">
        <v>6</v>
      </c>
      <c r="F8848" s="538">
        <v>0.88600000000000001</v>
      </c>
      <c r="G8848" s="539">
        <f>VLOOKUP(D8848,upahbahan,3,FALSE)</f>
        <v>100000</v>
      </c>
      <c r="H8848" s="539">
        <f t="shared" ref="H8848:H8851" si="942">F8848*G8848</f>
        <v>88600</v>
      </c>
    </row>
    <row r="8849" spans="3:11" ht="25.8" customHeight="1">
      <c r="C8849" s="818">
        <v>2</v>
      </c>
      <c r="D8849" s="212" t="s">
        <v>17</v>
      </c>
      <c r="E8849" s="212" t="s">
        <v>6</v>
      </c>
      <c r="F8849" s="538">
        <v>1.4790000000000001</v>
      </c>
      <c r="G8849" s="539">
        <f>VLOOKUP(D8849,upahbahan,3,FALSE)</f>
        <v>135000</v>
      </c>
      <c r="H8849" s="539">
        <f t="shared" si="942"/>
        <v>199665</v>
      </c>
    </row>
    <row r="8850" spans="3:11" ht="25.8" customHeight="1">
      <c r="C8850" s="818">
        <v>3</v>
      </c>
      <c r="D8850" s="212" t="s">
        <v>1310</v>
      </c>
      <c r="E8850" s="212" t="s">
        <v>6</v>
      </c>
      <c r="F8850" s="538">
        <v>0.14799999999999999</v>
      </c>
      <c r="G8850" s="539">
        <f>VLOOKUP(D8850,upahbahan,3,FALSE)</f>
        <v>150000</v>
      </c>
      <c r="H8850" s="539">
        <f t="shared" si="942"/>
        <v>22200</v>
      </c>
    </row>
    <row r="8851" spans="3:11" ht="25.8" customHeight="1">
      <c r="C8851" s="818">
        <v>4</v>
      </c>
      <c r="D8851" s="212" t="s">
        <v>19</v>
      </c>
      <c r="E8851" s="212" t="s">
        <v>6</v>
      </c>
      <c r="F8851" s="538">
        <v>4.9000000000000002E-2</v>
      </c>
      <c r="G8851" s="539">
        <f>VLOOKUP(D8851,upahbahan,3,FALSE)</f>
        <v>160000</v>
      </c>
      <c r="H8851" s="539">
        <f t="shared" si="942"/>
        <v>7840</v>
      </c>
    </row>
    <row r="8852" spans="3:11" ht="25.8" customHeight="1">
      <c r="C8852" s="702" t="s">
        <v>1208</v>
      </c>
      <c r="D8852" s="208"/>
      <c r="E8852" s="208"/>
      <c r="F8852" s="811"/>
      <c r="G8852" s="522"/>
      <c r="H8852" s="539">
        <f>SUM(H8848:H8851)</f>
        <v>318305</v>
      </c>
      <c r="I8852" s="819"/>
    </row>
    <row r="8853" spans="3:11" ht="25.8" customHeight="1">
      <c r="C8853" s="213" t="s">
        <v>1209</v>
      </c>
      <c r="D8853" s="212" t="s">
        <v>1210</v>
      </c>
      <c r="E8853" s="534"/>
      <c r="F8853" s="831"/>
      <c r="G8853" s="534"/>
      <c r="H8853" s="534"/>
    </row>
    <row r="8854" spans="3:11" ht="25.8" customHeight="1">
      <c r="C8854" s="213">
        <v>1</v>
      </c>
      <c r="D8854" s="212" t="s">
        <v>6349</v>
      </c>
      <c r="E8854" s="234" t="s">
        <v>235</v>
      </c>
      <c r="F8854" s="866">
        <v>1.1000000000000001</v>
      </c>
      <c r="G8854" s="539">
        <f>VLOOKUP(D8854,upahbahan,3,FALSE)</f>
        <v>3500000</v>
      </c>
      <c r="H8854" s="539">
        <f t="shared" ref="H8854" si="943">F8854*G8854</f>
        <v>3850000.0000000005</v>
      </c>
    </row>
    <row r="8855" spans="3:11" ht="25.8" customHeight="1">
      <c r="C8855" s="702" t="s">
        <v>1214</v>
      </c>
      <c r="D8855" s="208"/>
      <c r="E8855" s="208" t="s">
        <v>6045</v>
      </c>
      <c r="F8855" s="208"/>
      <c r="G8855" s="209"/>
      <c r="H8855" s="539">
        <f>SUM(H8853:H8854)</f>
        <v>3850000.0000000005</v>
      </c>
    </row>
    <row r="8856" spans="3:11" ht="25.8" customHeight="1">
      <c r="C8856" s="213" t="s">
        <v>1215</v>
      </c>
      <c r="D8856" s="212" t="s">
        <v>1216</v>
      </c>
      <c r="E8856" s="534"/>
      <c r="F8856" s="534"/>
      <c r="G8856" s="534"/>
      <c r="H8856" s="534"/>
    </row>
    <row r="8857" spans="3:11" ht="25.8" customHeight="1">
      <c r="C8857" s="702" t="s">
        <v>1217</v>
      </c>
      <c r="D8857" s="815"/>
      <c r="E8857" s="815"/>
      <c r="F8857" s="815"/>
      <c r="G8857" s="209"/>
      <c r="H8857" s="821">
        <f>SUM(H8856:H8856)</f>
        <v>0</v>
      </c>
    </row>
    <row r="8858" spans="3:11" ht="25.8" customHeight="1">
      <c r="C8858" s="566" t="s">
        <v>1218</v>
      </c>
      <c r="D8858" s="552" t="s">
        <v>1219</v>
      </c>
      <c r="E8858" s="553"/>
      <c r="F8858" s="553"/>
      <c r="G8858" s="554"/>
      <c r="H8858" s="826">
        <f>H8857+H8855+H8852</f>
        <v>4168305.0000000005</v>
      </c>
      <c r="I8858" s="827"/>
    </row>
    <row r="8859" spans="3:11" ht="25.8" customHeight="1">
      <c r="C8859" s="566" t="s">
        <v>1220</v>
      </c>
      <c r="D8859" s="552" t="s">
        <v>1321</v>
      </c>
      <c r="E8859" s="553"/>
      <c r="F8859" s="554"/>
      <c r="G8859" s="555">
        <f>$M$9</f>
        <v>0.1</v>
      </c>
      <c r="H8859" s="539">
        <f>H8858*G8859</f>
        <v>416830.50000000006</v>
      </c>
      <c r="I8859" s="827"/>
    </row>
    <row r="8860" spans="3:11" ht="25.8" customHeight="1">
      <c r="C8860" s="566" t="s">
        <v>1221</v>
      </c>
      <c r="D8860" s="552" t="s">
        <v>1222</v>
      </c>
      <c r="E8860" s="553"/>
      <c r="F8860" s="553"/>
      <c r="G8860" s="554"/>
      <c r="H8860" s="828">
        <f>SUM(H8858:H8859)</f>
        <v>4585135.5000000009</v>
      </c>
      <c r="I8860" s="827"/>
    </row>
    <row r="8861" spans="3:11" ht="25.8" customHeight="1"/>
    <row r="8862" spans="3:11" ht="25.8" customHeight="1">
      <c r="C8862" s="513" t="s">
        <v>6350</v>
      </c>
      <c r="D8862" s="817" t="s">
        <v>6351</v>
      </c>
      <c r="E8862" s="803"/>
      <c r="F8862" s="803"/>
      <c r="G8862" s="803"/>
      <c r="H8862" s="803"/>
      <c r="I8862" s="533">
        <f>ROUNDDOWN(H8877,-2)</f>
        <v>5069100</v>
      </c>
      <c r="J8862" s="536"/>
      <c r="K8862" s="824"/>
    </row>
    <row r="8863" spans="3:11" ht="25.8" customHeight="1">
      <c r="C8863" s="716" t="s">
        <v>1195</v>
      </c>
      <c r="D8863" s="716" t="s">
        <v>1196</v>
      </c>
      <c r="E8863" s="716" t="s">
        <v>1197</v>
      </c>
      <c r="F8863" s="716" t="s">
        <v>1198</v>
      </c>
      <c r="G8863" s="716" t="s">
        <v>1199</v>
      </c>
      <c r="H8863" s="716" t="s">
        <v>1200</v>
      </c>
    </row>
    <row r="8864" spans="3:11" ht="25.8" customHeight="1">
      <c r="C8864" s="213" t="s">
        <v>1201</v>
      </c>
      <c r="D8864" s="212" t="s">
        <v>1202</v>
      </c>
      <c r="E8864" s="534"/>
      <c r="F8864" s="534"/>
      <c r="G8864" s="534"/>
      <c r="H8864" s="534"/>
    </row>
    <row r="8865" spans="3:11" ht="25.8" customHeight="1">
      <c r="C8865" s="818">
        <v>1</v>
      </c>
      <c r="D8865" s="212" t="s">
        <v>5</v>
      </c>
      <c r="E8865" s="212" t="s">
        <v>6</v>
      </c>
      <c r="F8865" s="538">
        <v>0.88600000000000001</v>
      </c>
      <c r="G8865" s="539">
        <f>VLOOKUP(D8865,upahbahan,3,FALSE)</f>
        <v>100000</v>
      </c>
      <c r="H8865" s="539">
        <f t="shared" ref="H8865:H8868" si="944">F8865*G8865</f>
        <v>88600</v>
      </c>
    </row>
    <row r="8866" spans="3:11" ht="25.8" customHeight="1">
      <c r="C8866" s="818">
        <v>2</v>
      </c>
      <c r="D8866" s="212" t="s">
        <v>17</v>
      </c>
      <c r="E8866" s="212" t="s">
        <v>6</v>
      </c>
      <c r="F8866" s="538">
        <v>1.4790000000000001</v>
      </c>
      <c r="G8866" s="539">
        <f>VLOOKUP(D8866,upahbahan,3,FALSE)</f>
        <v>135000</v>
      </c>
      <c r="H8866" s="539">
        <f t="shared" si="944"/>
        <v>199665</v>
      </c>
    </row>
    <row r="8867" spans="3:11" ht="25.8" customHeight="1">
      <c r="C8867" s="818">
        <v>3</v>
      </c>
      <c r="D8867" s="212" t="s">
        <v>1310</v>
      </c>
      <c r="E8867" s="212" t="s">
        <v>6</v>
      </c>
      <c r="F8867" s="538">
        <v>0.14799999999999999</v>
      </c>
      <c r="G8867" s="539">
        <f>VLOOKUP(D8867,upahbahan,3,FALSE)</f>
        <v>150000</v>
      </c>
      <c r="H8867" s="539">
        <f t="shared" si="944"/>
        <v>22200</v>
      </c>
    </row>
    <row r="8868" spans="3:11" ht="25.8" customHeight="1">
      <c r="C8868" s="818">
        <v>4</v>
      </c>
      <c r="D8868" s="212" t="s">
        <v>19</v>
      </c>
      <c r="E8868" s="212" t="s">
        <v>6</v>
      </c>
      <c r="F8868" s="538">
        <v>4.9000000000000002E-2</v>
      </c>
      <c r="G8868" s="539">
        <f>VLOOKUP(D8868,upahbahan,3,FALSE)</f>
        <v>160000</v>
      </c>
      <c r="H8868" s="539">
        <f t="shared" si="944"/>
        <v>7840</v>
      </c>
    </row>
    <row r="8869" spans="3:11" ht="25.8" customHeight="1">
      <c r="C8869" s="702" t="s">
        <v>1208</v>
      </c>
      <c r="D8869" s="208"/>
      <c r="E8869" s="208"/>
      <c r="F8869" s="811"/>
      <c r="G8869" s="522"/>
      <c r="H8869" s="539">
        <f>SUM(H8865:H8868)</f>
        <v>318305</v>
      </c>
      <c r="I8869" s="819"/>
    </row>
    <row r="8870" spans="3:11" ht="25.8" customHeight="1">
      <c r="C8870" s="213" t="s">
        <v>1209</v>
      </c>
      <c r="D8870" s="212" t="s">
        <v>1210</v>
      </c>
      <c r="E8870" s="534"/>
      <c r="F8870" s="831"/>
      <c r="G8870" s="534"/>
      <c r="H8870" s="534"/>
    </row>
    <row r="8871" spans="3:11" ht="25.8" customHeight="1">
      <c r="C8871" s="213">
        <v>1</v>
      </c>
      <c r="D8871" s="212" t="s">
        <v>6352</v>
      </c>
      <c r="E8871" s="234" t="s">
        <v>235</v>
      </c>
      <c r="F8871" s="866">
        <v>1.1000000000000001</v>
      </c>
      <c r="G8871" s="539">
        <f>VLOOKUP(D8871,upahbahan,3,FALSE)</f>
        <v>3900000</v>
      </c>
      <c r="H8871" s="539">
        <f t="shared" ref="H8871" si="945">F8871*G8871</f>
        <v>4290000</v>
      </c>
    </row>
    <row r="8872" spans="3:11" ht="25.8" customHeight="1">
      <c r="C8872" s="702" t="s">
        <v>1214</v>
      </c>
      <c r="D8872" s="208"/>
      <c r="E8872" s="208" t="s">
        <v>6045</v>
      </c>
      <c r="F8872" s="208"/>
      <c r="G8872" s="209"/>
      <c r="H8872" s="539">
        <f>SUM(H8870:H8871)</f>
        <v>4290000</v>
      </c>
    </row>
    <row r="8873" spans="3:11" ht="25.8" customHeight="1">
      <c r="C8873" s="213" t="s">
        <v>1215</v>
      </c>
      <c r="D8873" s="212" t="s">
        <v>1216</v>
      </c>
      <c r="E8873" s="534"/>
      <c r="F8873" s="534"/>
      <c r="G8873" s="534"/>
      <c r="H8873" s="534"/>
    </row>
    <row r="8874" spans="3:11" ht="25.8" customHeight="1">
      <c r="C8874" s="702" t="s">
        <v>1217</v>
      </c>
      <c r="D8874" s="815"/>
      <c r="E8874" s="815"/>
      <c r="F8874" s="815"/>
      <c r="G8874" s="209"/>
      <c r="H8874" s="821">
        <f>SUM(H8873:H8873)</f>
        <v>0</v>
      </c>
    </row>
    <row r="8875" spans="3:11" ht="25.8" customHeight="1">
      <c r="C8875" s="566" t="s">
        <v>1218</v>
      </c>
      <c r="D8875" s="552" t="s">
        <v>1219</v>
      </c>
      <c r="E8875" s="553"/>
      <c r="F8875" s="553"/>
      <c r="G8875" s="554"/>
      <c r="H8875" s="826">
        <f>H8874+H8872+H8869</f>
        <v>4608305</v>
      </c>
      <c r="I8875" s="827"/>
    </row>
    <row r="8876" spans="3:11" ht="25.8" customHeight="1">
      <c r="C8876" s="566" t="s">
        <v>1220</v>
      </c>
      <c r="D8876" s="552" t="s">
        <v>1321</v>
      </c>
      <c r="E8876" s="553"/>
      <c r="F8876" s="554"/>
      <c r="G8876" s="555">
        <f>$M$9</f>
        <v>0.1</v>
      </c>
      <c r="H8876" s="539">
        <f>H8875*G8876</f>
        <v>460830.5</v>
      </c>
      <c r="I8876" s="827"/>
    </row>
    <row r="8877" spans="3:11" ht="25.8" customHeight="1">
      <c r="C8877" s="566" t="s">
        <v>1221</v>
      </c>
      <c r="D8877" s="552" t="s">
        <v>1222</v>
      </c>
      <c r="E8877" s="553"/>
      <c r="F8877" s="553"/>
      <c r="G8877" s="554"/>
      <c r="H8877" s="828">
        <f>SUM(H8875:H8876)</f>
        <v>5069135.5</v>
      </c>
      <c r="I8877" s="827"/>
    </row>
    <row r="8878" spans="3:11" ht="25.8" customHeight="1"/>
    <row r="8879" spans="3:11" ht="25.8" customHeight="1">
      <c r="C8879" s="513" t="s">
        <v>6353</v>
      </c>
      <c r="D8879" s="817" t="s">
        <v>6354</v>
      </c>
      <c r="E8879" s="803"/>
      <c r="F8879" s="803"/>
      <c r="G8879" s="803"/>
      <c r="H8879" s="803"/>
      <c r="I8879" s="533">
        <f>ROUNDDOWN(H8894,-2)</f>
        <v>140300</v>
      </c>
      <c r="J8879" s="536"/>
      <c r="K8879" s="824"/>
    </row>
    <row r="8880" spans="3:11" ht="25.8" customHeight="1">
      <c r="C8880" s="716" t="s">
        <v>1195</v>
      </c>
      <c r="D8880" s="716" t="s">
        <v>1196</v>
      </c>
      <c r="E8880" s="716" t="s">
        <v>1197</v>
      </c>
      <c r="F8880" s="716" t="s">
        <v>1198</v>
      </c>
      <c r="G8880" s="716" t="s">
        <v>1199</v>
      </c>
      <c r="H8880" s="716" t="s">
        <v>1200</v>
      </c>
    </row>
    <row r="8881" spans="3:11" ht="25.8" customHeight="1">
      <c r="C8881" s="213" t="s">
        <v>1201</v>
      </c>
      <c r="D8881" s="212" t="s">
        <v>1202</v>
      </c>
      <c r="E8881" s="534"/>
      <c r="F8881" s="534"/>
      <c r="G8881" s="534"/>
      <c r="H8881" s="534"/>
    </row>
    <row r="8882" spans="3:11" ht="25.8" customHeight="1">
      <c r="C8882" s="818">
        <v>1</v>
      </c>
      <c r="D8882" s="212" t="s">
        <v>5</v>
      </c>
      <c r="E8882" s="212" t="s">
        <v>6</v>
      </c>
      <c r="F8882" s="538">
        <v>6.4000000000000001E-2</v>
      </c>
      <c r="G8882" s="539">
        <f>VLOOKUP(D8882,upahbahan,3,FALSE)</f>
        <v>100000</v>
      </c>
      <c r="H8882" s="539">
        <f t="shared" ref="H8882:H8885" si="946">F8882*G8882</f>
        <v>6400</v>
      </c>
    </row>
    <row r="8883" spans="3:11" ht="25.8" customHeight="1">
      <c r="C8883" s="818">
        <v>2</v>
      </c>
      <c r="D8883" s="212" t="s">
        <v>17</v>
      </c>
      <c r="E8883" s="212" t="s">
        <v>6</v>
      </c>
      <c r="F8883" s="538">
        <v>0.107</v>
      </c>
      <c r="G8883" s="539">
        <f>VLOOKUP(D8883,upahbahan,3,FALSE)</f>
        <v>135000</v>
      </c>
      <c r="H8883" s="539">
        <f t="shared" si="946"/>
        <v>14445</v>
      </c>
    </row>
    <row r="8884" spans="3:11" ht="25.8" customHeight="1">
      <c r="C8884" s="818">
        <v>3</v>
      </c>
      <c r="D8884" s="212" t="s">
        <v>1310</v>
      </c>
      <c r="E8884" s="212" t="s">
        <v>6</v>
      </c>
      <c r="F8884" s="538">
        <v>1.0999999999999999E-2</v>
      </c>
      <c r="G8884" s="539">
        <f>VLOOKUP(D8884,upahbahan,3,FALSE)</f>
        <v>150000</v>
      </c>
      <c r="H8884" s="539">
        <f t="shared" si="946"/>
        <v>1650</v>
      </c>
    </row>
    <row r="8885" spans="3:11" ht="25.8" customHeight="1">
      <c r="C8885" s="818">
        <v>4</v>
      </c>
      <c r="D8885" s="212" t="s">
        <v>19</v>
      </c>
      <c r="E8885" s="212" t="s">
        <v>6</v>
      </c>
      <c r="F8885" s="538">
        <v>4.0000000000000001E-3</v>
      </c>
      <c r="G8885" s="539">
        <f>VLOOKUP(D8885,upahbahan,3,FALSE)</f>
        <v>160000</v>
      </c>
      <c r="H8885" s="539">
        <f t="shared" si="946"/>
        <v>640</v>
      </c>
    </row>
    <row r="8886" spans="3:11" ht="25.8" customHeight="1">
      <c r="C8886" s="702" t="s">
        <v>1208</v>
      </c>
      <c r="D8886" s="208"/>
      <c r="E8886" s="208"/>
      <c r="F8886" s="811"/>
      <c r="G8886" s="522"/>
      <c r="H8886" s="539">
        <f>SUM(H8882:H8885)</f>
        <v>23135</v>
      </c>
      <c r="I8886" s="819"/>
    </row>
    <row r="8887" spans="3:11" ht="25.8" customHeight="1">
      <c r="C8887" s="213" t="s">
        <v>1209</v>
      </c>
      <c r="D8887" s="212" t="s">
        <v>1210</v>
      </c>
      <c r="E8887" s="534"/>
      <c r="F8887" s="831"/>
      <c r="G8887" s="534"/>
      <c r="H8887" s="534"/>
    </row>
    <row r="8888" spans="3:11" ht="25.8" customHeight="1">
      <c r="C8888" s="213">
        <v>1</v>
      </c>
      <c r="D8888" s="212" t="s">
        <v>6355</v>
      </c>
      <c r="E8888" s="234" t="s">
        <v>235</v>
      </c>
      <c r="F8888" s="866">
        <v>1.1000000000000001</v>
      </c>
      <c r="G8888" s="539">
        <f>VLOOKUP(D8888,upahbahan,3,FALSE)</f>
        <v>95000</v>
      </c>
      <c r="H8888" s="539">
        <f t="shared" ref="H8888" si="947">F8888*G8888</f>
        <v>104500.00000000001</v>
      </c>
    </row>
    <row r="8889" spans="3:11" ht="25.8" customHeight="1">
      <c r="C8889" s="702" t="s">
        <v>1214</v>
      </c>
      <c r="D8889" s="208"/>
      <c r="E8889" s="208" t="s">
        <v>6045</v>
      </c>
      <c r="F8889" s="208"/>
      <c r="G8889" s="209"/>
      <c r="H8889" s="539">
        <f>SUM(H8887:H8888)</f>
        <v>104500.00000000001</v>
      </c>
    </row>
    <row r="8890" spans="3:11" ht="25.8" customHeight="1">
      <c r="C8890" s="213" t="s">
        <v>1215</v>
      </c>
      <c r="D8890" s="212" t="s">
        <v>1216</v>
      </c>
      <c r="E8890" s="534"/>
      <c r="F8890" s="534"/>
      <c r="G8890" s="534"/>
      <c r="H8890" s="534"/>
    </row>
    <row r="8891" spans="3:11" ht="25.8" customHeight="1">
      <c r="C8891" s="702" t="s">
        <v>1217</v>
      </c>
      <c r="D8891" s="815"/>
      <c r="E8891" s="815"/>
      <c r="F8891" s="815"/>
      <c r="G8891" s="209"/>
      <c r="H8891" s="821">
        <f>SUM(H8890:H8890)</f>
        <v>0</v>
      </c>
    </row>
    <row r="8892" spans="3:11" ht="25.8" customHeight="1">
      <c r="C8892" s="566" t="s">
        <v>1218</v>
      </c>
      <c r="D8892" s="552" t="s">
        <v>1219</v>
      </c>
      <c r="E8892" s="553"/>
      <c r="F8892" s="553"/>
      <c r="G8892" s="554"/>
      <c r="H8892" s="826">
        <f>H8891+H8889+H8886</f>
        <v>127635.00000000001</v>
      </c>
      <c r="I8892" s="827"/>
    </row>
    <row r="8893" spans="3:11" ht="25.8" customHeight="1">
      <c r="C8893" s="566" t="s">
        <v>1220</v>
      </c>
      <c r="D8893" s="552" t="s">
        <v>1321</v>
      </c>
      <c r="E8893" s="553"/>
      <c r="F8893" s="554"/>
      <c r="G8893" s="555">
        <f>$M$9</f>
        <v>0.1</v>
      </c>
      <c r="H8893" s="539">
        <f>H8892*G8893</f>
        <v>12763.500000000002</v>
      </c>
      <c r="I8893" s="827"/>
    </row>
    <row r="8894" spans="3:11" ht="25.8" customHeight="1">
      <c r="C8894" s="566" t="s">
        <v>1221</v>
      </c>
      <c r="D8894" s="552" t="s">
        <v>1222</v>
      </c>
      <c r="E8894" s="553"/>
      <c r="F8894" s="553"/>
      <c r="G8894" s="554"/>
      <c r="H8894" s="828">
        <f>SUM(H8892:H8893)</f>
        <v>140398.50000000003</v>
      </c>
      <c r="I8894" s="827"/>
    </row>
    <row r="8895" spans="3:11" ht="25.8" customHeight="1"/>
    <row r="8896" spans="3:11" ht="25.8" customHeight="1">
      <c r="C8896" s="513" t="s">
        <v>6356</v>
      </c>
      <c r="D8896" s="817" t="s">
        <v>6357</v>
      </c>
      <c r="E8896" s="803"/>
      <c r="F8896" s="803"/>
      <c r="G8896" s="803"/>
      <c r="H8896" s="803"/>
      <c r="I8896" s="533">
        <f>ROUNDDOWN(H8911,-2)</f>
        <v>164500</v>
      </c>
      <c r="J8896" s="536"/>
      <c r="K8896" s="824"/>
    </row>
    <row r="8897" spans="3:9" ht="25.8" customHeight="1">
      <c r="C8897" s="716" t="s">
        <v>1195</v>
      </c>
      <c r="D8897" s="716" t="s">
        <v>1196</v>
      </c>
      <c r="E8897" s="716" t="s">
        <v>1197</v>
      </c>
      <c r="F8897" s="716" t="s">
        <v>1198</v>
      </c>
      <c r="G8897" s="716" t="s">
        <v>1199</v>
      </c>
      <c r="H8897" s="716" t="s">
        <v>1200</v>
      </c>
    </row>
    <row r="8898" spans="3:9" ht="25.8" customHeight="1">
      <c r="C8898" s="213" t="s">
        <v>1201</v>
      </c>
      <c r="D8898" s="212" t="s">
        <v>1202</v>
      </c>
      <c r="E8898" s="534"/>
      <c r="F8898" s="534"/>
      <c r="G8898" s="534"/>
      <c r="H8898" s="534"/>
    </row>
    <row r="8899" spans="3:9" ht="25.8" customHeight="1">
      <c r="C8899" s="818">
        <v>1</v>
      </c>
      <c r="D8899" s="212" t="s">
        <v>5</v>
      </c>
      <c r="E8899" s="212" t="s">
        <v>6</v>
      </c>
      <c r="F8899" s="538">
        <v>6.4000000000000001E-2</v>
      </c>
      <c r="G8899" s="539">
        <f>VLOOKUP(D8899,upahbahan,3,FALSE)</f>
        <v>100000</v>
      </c>
      <c r="H8899" s="539">
        <f t="shared" ref="H8899:H8902" si="948">F8899*G8899</f>
        <v>6400</v>
      </c>
    </row>
    <row r="8900" spans="3:9" ht="25.8" customHeight="1">
      <c r="C8900" s="818">
        <v>2</v>
      </c>
      <c r="D8900" s="212" t="s">
        <v>17</v>
      </c>
      <c r="E8900" s="212" t="s">
        <v>6</v>
      </c>
      <c r="F8900" s="538">
        <v>0.107</v>
      </c>
      <c r="G8900" s="539">
        <f>VLOOKUP(D8900,upahbahan,3,FALSE)</f>
        <v>135000</v>
      </c>
      <c r="H8900" s="539">
        <f t="shared" si="948"/>
        <v>14445</v>
      </c>
    </row>
    <row r="8901" spans="3:9" ht="25.8" customHeight="1">
      <c r="C8901" s="818">
        <v>3</v>
      </c>
      <c r="D8901" s="212" t="s">
        <v>1310</v>
      </c>
      <c r="E8901" s="212" t="s">
        <v>6</v>
      </c>
      <c r="F8901" s="538">
        <v>1.0999999999999999E-2</v>
      </c>
      <c r="G8901" s="539">
        <f>VLOOKUP(D8901,upahbahan,3,FALSE)</f>
        <v>150000</v>
      </c>
      <c r="H8901" s="539">
        <f t="shared" si="948"/>
        <v>1650</v>
      </c>
    </row>
    <row r="8902" spans="3:9" ht="25.8" customHeight="1">
      <c r="C8902" s="818">
        <v>4</v>
      </c>
      <c r="D8902" s="212" t="s">
        <v>19</v>
      </c>
      <c r="E8902" s="212" t="s">
        <v>6</v>
      </c>
      <c r="F8902" s="538">
        <v>4.0000000000000001E-3</v>
      </c>
      <c r="G8902" s="539">
        <f>VLOOKUP(D8902,upahbahan,3,FALSE)</f>
        <v>160000</v>
      </c>
      <c r="H8902" s="539">
        <f t="shared" si="948"/>
        <v>640</v>
      </c>
    </row>
    <row r="8903" spans="3:9" ht="25.8" customHeight="1">
      <c r="C8903" s="702" t="s">
        <v>1208</v>
      </c>
      <c r="D8903" s="208"/>
      <c r="E8903" s="208"/>
      <c r="F8903" s="811"/>
      <c r="G8903" s="522"/>
      <c r="H8903" s="539">
        <f>SUM(H8899:H8902)</f>
        <v>23135</v>
      </c>
      <c r="I8903" s="819"/>
    </row>
    <row r="8904" spans="3:9" ht="25.8" customHeight="1">
      <c r="C8904" s="213" t="s">
        <v>1209</v>
      </c>
      <c r="D8904" s="212" t="s">
        <v>1210</v>
      </c>
      <c r="E8904" s="534"/>
      <c r="F8904" s="831"/>
      <c r="G8904" s="534"/>
      <c r="H8904" s="534"/>
    </row>
    <row r="8905" spans="3:9" ht="25.8" customHeight="1">
      <c r="C8905" s="213">
        <v>1</v>
      </c>
      <c r="D8905" s="212" t="s">
        <v>6358</v>
      </c>
      <c r="E8905" s="234" t="s">
        <v>235</v>
      </c>
      <c r="F8905" s="866">
        <v>1.1000000000000001</v>
      </c>
      <c r="G8905" s="539">
        <f>VLOOKUP(D8905,upahbahan,3,FALSE)</f>
        <v>115000</v>
      </c>
      <c r="H8905" s="539">
        <f t="shared" ref="H8905" si="949">F8905*G8905</f>
        <v>126500.00000000001</v>
      </c>
    </row>
    <row r="8906" spans="3:9" ht="25.8" customHeight="1">
      <c r="C8906" s="702" t="s">
        <v>1214</v>
      </c>
      <c r="D8906" s="208"/>
      <c r="E8906" s="208" t="s">
        <v>6045</v>
      </c>
      <c r="F8906" s="208"/>
      <c r="G8906" s="209"/>
      <c r="H8906" s="539">
        <f>SUM(H8904:H8905)</f>
        <v>126500.00000000001</v>
      </c>
    </row>
    <row r="8907" spans="3:9" ht="25.8" customHeight="1">
      <c r="C8907" s="213" t="s">
        <v>1215</v>
      </c>
      <c r="D8907" s="212" t="s">
        <v>1216</v>
      </c>
      <c r="E8907" s="534"/>
      <c r="F8907" s="534"/>
      <c r="G8907" s="534"/>
      <c r="H8907" s="534"/>
    </row>
    <row r="8908" spans="3:9" ht="25.8" customHeight="1">
      <c r="C8908" s="702" t="s">
        <v>1217</v>
      </c>
      <c r="D8908" s="815"/>
      <c r="E8908" s="815"/>
      <c r="F8908" s="815"/>
      <c r="G8908" s="209"/>
      <c r="H8908" s="821">
        <f>SUM(H8907:H8907)</f>
        <v>0</v>
      </c>
    </row>
    <row r="8909" spans="3:9" ht="25.8" customHeight="1">
      <c r="C8909" s="566" t="s">
        <v>1218</v>
      </c>
      <c r="D8909" s="552" t="s">
        <v>1219</v>
      </c>
      <c r="E8909" s="553"/>
      <c r="F8909" s="553"/>
      <c r="G8909" s="554"/>
      <c r="H8909" s="826">
        <f>H8908+H8906+H8903</f>
        <v>149635</v>
      </c>
      <c r="I8909" s="827"/>
    </row>
    <row r="8910" spans="3:9" ht="25.8" customHeight="1">
      <c r="C8910" s="566" t="s">
        <v>1220</v>
      </c>
      <c r="D8910" s="552" t="s">
        <v>1321</v>
      </c>
      <c r="E8910" s="553"/>
      <c r="F8910" s="554"/>
      <c r="G8910" s="555">
        <f>$M$9</f>
        <v>0.1</v>
      </c>
      <c r="H8910" s="539">
        <f>H8909*G8910</f>
        <v>14963.5</v>
      </c>
      <c r="I8910" s="827"/>
    </row>
    <row r="8911" spans="3:9" ht="25.8" customHeight="1">
      <c r="C8911" s="566" t="s">
        <v>1221</v>
      </c>
      <c r="D8911" s="552" t="s">
        <v>1222</v>
      </c>
      <c r="E8911" s="553"/>
      <c r="F8911" s="553"/>
      <c r="G8911" s="554"/>
      <c r="H8911" s="828">
        <f>SUM(H8909:H8910)</f>
        <v>164598.5</v>
      </c>
      <c r="I8911" s="827"/>
    </row>
    <row r="8912" spans="3:9" ht="25.8" customHeight="1"/>
    <row r="8913" spans="3:11" ht="25.8" customHeight="1">
      <c r="C8913" s="513" t="s">
        <v>6359</v>
      </c>
      <c r="D8913" s="817" t="s">
        <v>6360</v>
      </c>
      <c r="E8913" s="803"/>
      <c r="F8913" s="803"/>
      <c r="G8913" s="803"/>
      <c r="H8913" s="803"/>
      <c r="I8913" s="533">
        <f>ROUNDDOWN(H8928,-2)</f>
        <v>187300</v>
      </c>
      <c r="J8913" s="536"/>
      <c r="K8913" s="824"/>
    </row>
    <row r="8914" spans="3:11" ht="25.8" customHeight="1">
      <c r="C8914" s="716" t="s">
        <v>1195</v>
      </c>
      <c r="D8914" s="716" t="s">
        <v>1196</v>
      </c>
      <c r="E8914" s="716" t="s">
        <v>1197</v>
      </c>
      <c r="F8914" s="716" t="s">
        <v>1198</v>
      </c>
      <c r="G8914" s="716" t="s">
        <v>1199</v>
      </c>
      <c r="H8914" s="716" t="s">
        <v>1200</v>
      </c>
    </row>
    <row r="8915" spans="3:11" ht="25.8" customHeight="1">
      <c r="C8915" s="213" t="s">
        <v>1201</v>
      </c>
      <c r="D8915" s="212" t="s">
        <v>1202</v>
      </c>
      <c r="E8915" s="534"/>
      <c r="F8915" s="534"/>
      <c r="G8915" s="534"/>
      <c r="H8915" s="534"/>
    </row>
    <row r="8916" spans="3:11" ht="25.8" customHeight="1">
      <c r="C8916" s="818">
        <v>1</v>
      </c>
      <c r="D8916" s="212" t="s">
        <v>5</v>
      </c>
      <c r="E8916" s="212" t="s">
        <v>6</v>
      </c>
      <c r="F8916" s="538">
        <v>7.5999999999999998E-2</v>
      </c>
      <c r="G8916" s="539">
        <f>VLOOKUP(D8916,upahbahan,3,FALSE)</f>
        <v>100000</v>
      </c>
      <c r="H8916" s="539">
        <f t="shared" ref="H8916:H8919" si="950">F8916*G8916</f>
        <v>7600</v>
      </c>
    </row>
    <row r="8917" spans="3:11" ht="25.8" customHeight="1">
      <c r="C8917" s="818">
        <v>2</v>
      </c>
      <c r="D8917" s="212" t="s">
        <v>17</v>
      </c>
      <c r="E8917" s="212" t="s">
        <v>6</v>
      </c>
      <c r="F8917" s="538">
        <v>0.127</v>
      </c>
      <c r="G8917" s="539">
        <f>VLOOKUP(D8917,upahbahan,3,FALSE)</f>
        <v>135000</v>
      </c>
      <c r="H8917" s="539">
        <f t="shared" si="950"/>
        <v>17145</v>
      </c>
    </row>
    <row r="8918" spans="3:11" ht="25.8" customHeight="1">
      <c r="C8918" s="818">
        <v>3</v>
      </c>
      <c r="D8918" s="212" t="s">
        <v>1310</v>
      </c>
      <c r="E8918" s="212" t="s">
        <v>6</v>
      </c>
      <c r="F8918" s="538">
        <v>1.2999999999999999E-2</v>
      </c>
      <c r="G8918" s="539">
        <f>VLOOKUP(D8918,upahbahan,3,FALSE)</f>
        <v>150000</v>
      </c>
      <c r="H8918" s="539">
        <f t="shared" si="950"/>
        <v>1950</v>
      </c>
    </row>
    <row r="8919" spans="3:11" ht="25.8" customHeight="1">
      <c r="C8919" s="818">
        <v>4</v>
      </c>
      <c r="D8919" s="212" t="s">
        <v>19</v>
      </c>
      <c r="E8919" s="212" t="s">
        <v>6</v>
      </c>
      <c r="F8919" s="538">
        <v>4.0000000000000001E-3</v>
      </c>
      <c r="G8919" s="539">
        <f>VLOOKUP(D8919,upahbahan,3,FALSE)</f>
        <v>160000</v>
      </c>
      <c r="H8919" s="539">
        <f t="shared" si="950"/>
        <v>640</v>
      </c>
    </row>
    <row r="8920" spans="3:11" ht="25.8" customHeight="1">
      <c r="C8920" s="702" t="s">
        <v>1208</v>
      </c>
      <c r="D8920" s="208"/>
      <c r="E8920" s="208"/>
      <c r="F8920" s="811"/>
      <c r="G8920" s="522"/>
      <c r="H8920" s="539">
        <f>SUM(H8916:H8919)</f>
        <v>27335</v>
      </c>
      <c r="I8920" s="819"/>
    </row>
    <row r="8921" spans="3:11" ht="25.8" customHeight="1">
      <c r="C8921" s="213" t="s">
        <v>1209</v>
      </c>
      <c r="D8921" s="212" t="s">
        <v>1210</v>
      </c>
      <c r="E8921" s="534"/>
      <c r="F8921" s="831"/>
      <c r="G8921" s="534"/>
      <c r="H8921" s="534"/>
    </row>
    <row r="8922" spans="3:11" ht="25.8" customHeight="1">
      <c r="C8922" s="213">
        <v>1</v>
      </c>
      <c r="D8922" s="212" t="s">
        <v>6361</v>
      </c>
      <c r="E8922" s="234" t="s">
        <v>235</v>
      </c>
      <c r="F8922" s="866">
        <v>1.1000000000000001</v>
      </c>
      <c r="G8922" s="539">
        <f>VLOOKUP(D8922,upahbahan,3,FALSE)</f>
        <v>130000</v>
      </c>
      <c r="H8922" s="539">
        <f t="shared" ref="H8922" si="951">F8922*G8922</f>
        <v>143000</v>
      </c>
    </row>
    <row r="8923" spans="3:11" ht="25.8" customHeight="1">
      <c r="C8923" s="702" t="s">
        <v>1214</v>
      </c>
      <c r="D8923" s="208"/>
      <c r="E8923" s="208" t="s">
        <v>6045</v>
      </c>
      <c r="F8923" s="208"/>
      <c r="G8923" s="209"/>
      <c r="H8923" s="539">
        <f>SUM(H8921:H8922)</f>
        <v>143000</v>
      </c>
    </row>
    <row r="8924" spans="3:11" ht="25.8" customHeight="1">
      <c r="C8924" s="213" t="s">
        <v>1215</v>
      </c>
      <c r="D8924" s="212" t="s">
        <v>1216</v>
      </c>
      <c r="E8924" s="534"/>
      <c r="F8924" s="534"/>
      <c r="G8924" s="534"/>
      <c r="H8924" s="534"/>
    </row>
    <row r="8925" spans="3:11" ht="25.8" customHeight="1">
      <c r="C8925" s="702" t="s">
        <v>1217</v>
      </c>
      <c r="D8925" s="815"/>
      <c r="E8925" s="815"/>
      <c r="F8925" s="815"/>
      <c r="G8925" s="209"/>
      <c r="H8925" s="821">
        <f>SUM(H8924:H8924)</f>
        <v>0</v>
      </c>
    </row>
    <row r="8926" spans="3:11" ht="25.8" customHeight="1">
      <c r="C8926" s="566" t="s">
        <v>1218</v>
      </c>
      <c r="D8926" s="552" t="s">
        <v>1219</v>
      </c>
      <c r="E8926" s="553"/>
      <c r="F8926" s="553"/>
      <c r="G8926" s="554"/>
      <c r="H8926" s="826">
        <f>H8925+H8923+H8920</f>
        <v>170335</v>
      </c>
      <c r="I8926" s="827"/>
    </row>
    <row r="8927" spans="3:11" ht="25.8" customHeight="1">
      <c r="C8927" s="566" t="s">
        <v>1220</v>
      </c>
      <c r="D8927" s="552" t="s">
        <v>1321</v>
      </c>
      <c r="E8927" s="553"/>
      <c r="F8927" s="554"/>
      <c r="G8927" s="555">
        <f>$M$9</f>
        <v>0.1</v>
      </c>
      <c r="H8927" s="539">
        <f>H8926*G8927</f>
        <v>17033.5</v>
      </c>
      <c r="I8927" s="827"/>
    </row>
    <row r="8928" spans="3:11" ht="25.8" customHeight="1">
      <c r="C8928" s="566" t="s">
        <v>1221</v>
      </c>
      <c r="D8928" s="552" t="s">
        <v>1222</v>
      </c>
      <c r="E8928" s="553"/>
      <c r="F8928" s="553"/>
      <c r="G8928" s="554"/>
      <c r="H8928" s="828">
        <f>SUM(H8926:H8927)</f>
        <v>187368.5</v>
      </c>
      <c r="I8928" s="827"/>
    </row>
    <row r="8929" spans="3:11" ht="25.8" customHeight="1"/>
    <row r="8930" spans="3:11" ht="25.8" customHeight="1"/>
    <row r="8931" spans="3:11" ht="25.8" customHeight="1">
      <c r="C8931" s="513" t="s">
        <v>6362</v>
      </c>
      <c r="D8931" s="817" t="s">
        <v>6363</v>
      </c>
      <c r="E8931" s="803"/>
      <c r="F8931" s="803"/>
      <c r="G8931" s="803"/>
      <c r="H8931" s="803"/>
      <c r="I8931" s="533">
        <f>ROUNDDOWN(H8946,-2)</f>
        <v>205500</v>
      </c>
      <c r="J8931" s="536"/>
      <c r="K8931" s="824"/>
    </row>
    <row r="8932" spans="3:11" ht="25.8" customHeight="1">
      <c r="C8932" s="716" t="s">
        <v>1195</v>
      </c>
      <c r="D8932" s="716" t="s">
        <v>1196</v>
      </c>
      <c r="E8932" s="716" t="s">
        <v>1197</v>
      </c>
      <c r="F8932" s="716" t="s">
        <v>1198</v>
      </c>
      <c r="G8932" s="716" t="s">
        <v>1199</v>
      </c>
      <c r="H8932" s="716" t="s">
        <v>1200</v>
      </c>
    </row>
    <row r="8933" spans="3:11" ht="25.8" customHeight="1">
      <c r="C8933" s="213" t="s">
        <v>1201</v>
      </c>
      <c r="D8933" s="212" t="s">
        <v>1202</v>
      </c>
      <c r="E8933" s="534"/>
      <c r="F8933" s="534"/>
      <c r="G8933" s="534"/>
      <c r="H8933" s="534"/>
    </row>
    <row r="8934" spans="3:11" ht="25.8" customHeight="1">
      <c r="C8934" s="818">
        <v>1</v>
      </c>
      <c r="D8934" s="212" t="s">
        <v>5</v>
      </c>
      <c r="E8934" s="212" t="s">
        <v>6</v>
      </c>
      <c r="F8934" s="538">
        <v>7.5999999999999998E-2</v>
      </c>
      <c r="G8934" s="539">
        <f>VLOOKUP(D8934,upahbahan,3,FALSE)</f>
        <v>100000</v>
      </c>
      <c r="H8934" s="539">
        <f t="shared" ref="H8934:H8937" si="952">F8934*G8934</f>
        <v>7600</v>
      </c>
    </row>
    <row r="8935" spans="3:11" ht="25.8" customHeight="1">
      <c r="C8935" s="818">
        <v>2</v>
      </c>
      <c r="D8935" s="212" t="s">
        <v>17</v>
      </c>
      <c r="E8935" s="212" t="s">
        <v>6</v>
      </c>
      <c r="F8935" s="538">
        <v>0.127</v>
      </c>
      <c r="G8935" s="539">
        <f>VLOOKUP(D8935,upahbahan,3,FALSE)</f>
        <v>135000</v>
      </c>
      <c r="H8935" s="539">
        <f t="shared" si="952"/>
        <v>17145</v>
      </c>
    </row>
    <row r="8936" spans="3:11" ht="25.8" customHeight="1">
      <c r="C8936" s="818">
        <v>3</v>
      </c>
      <c r="D8936" s="212" t="s">
        <v>1310</v>
      </c>
      <c r="E8936" s="212" t="s">
        <v>6</v>
      </c>
      <c r="F8936" s="538">
        <v>1.2999999999999999E-2</v>
      </c>
      <c r="G8936" s="539">
        <f>VLOOKUP(D8936,upahbahan,3,FALSE)</f>
        <v>150000</v>
      </c>
      <c r="H8936" s="539">
        <f t="shared" si="952"/>
        <v>1950</v>
      </c>
    </row>
    <row r="8937" spans="3:11" ht="25.8" customHeight="1">
      <c r="C8937" s="818">
        <v>4</v>
      </c>
      <c r="D8937" s="212" t="s">
        <v>19</v>
      </c>
      <c r="E8937" s="212" t="s">
        <v>6</v>
      </c>
      <c r="F8937" s="538">
        <v>4.0000000000000001E-3</v>
      </c>
      <c r="G8937" s="539">
        <f>VLOOKUP(D8937,upahbahan,3,FALSE)</f>
        <v>160000</v>
      </c>
      <c r="H8937" s="539">
        <f t="shared" si="952"/>
        <v>640</v>
      </c>
    </row>
    <row r="8938" spans="3:11" ht="25.8" customHeight="1">
      <c r="C8938" s="702" t="s">
        <v>1208</v>
      </c>
      <c r="D8938" s="208"/>
      <c r="E8938" s="208"/>
      <c r="F8938" s="811"/>
      <c r="G8938" s="522"/>
      <c r="H8938" s="539">
        <f>SUM(H8934:H8937)</f>
        <v>27335</v>
      </c>
      <c r="I8938" s="819"/>
    </row>
    <row r="8939" spans="3:11" ht="25.8" customHeight="1">
      <c r="C8939" s="213" t="s">
        <v>1209</v>
      </c>
      <c r="D8939" s="212" t="s">
        <v>1210</v>
      </c>
      <c r="E8939" s="534"/>
      <c r="F8939" s="831"/>
      <c r="G8939" s="534"/>
      <c r="H8939" s="534"/>
    </row>
    <row r="8940" spans="3:11" ht="25.8" customHeight="1">
      <c r="C8940" s="213">
        <v>1</v>
      </c>
      <c r="D8940" s="212" t="s">
        <v>6364</v>
      </c>
      <c r="E8940" s="234" t="s">
        <v>235</v>
      </c>
      <c r="F8940" s="866">
        <v>1.1000000000000001</v>
      </c>
      <c r="G8940" s="539">
        <f>VLOOKUP(D8940,upahbahan,3,FALSE)</f>
        <v>145000</v>
      </c>
      <c r="H8940" s="539">
        <f t="shared" ref="H8940" si="953">F8940*G8940</f>
        <v>159500</v>
      </c>
    </row>
    <row r="8941" spans="3:11" ht="25.8" customHeight="1">
      <c r="C8941" s="702" t="s">
        <v>1214</v>
      </c>
      <c r="D8941" s="208"/>
      <c r="E8941" s="208" t="s">
        <v>6045</v>
      </c>
      <c r="F8941" s="208"/>
      <c r="G8941" s="209"/>
      <c r="H8941" s="539">
        <f>SUM(H8939:H8940)</f>
        <v>159500</v>
      </c>
    </row>
    <row r="8942" spans="3:11" ht="25.8" customHeight="1">
      <c r="C8942" s="213" t="s">
        <v>1215</v>
      </c>
      <c r="D8942" s="212" t="s">
        <v>1216</v>
      </c>
      <c r="E8942" s="534"/>
      <c r="F8942" s="534"/>
      <c r="G8942" s="534"/>
      <c r="H8942" s="534"/>
    </row>
    <row r="8943" spans="3:11" ht="25.8" customHeight="1">
      <c r="C8943" s="702" t="s">
        <v>1217</v>
      </c>
      <c r="D8943" s="815"/>
      <c r="E8943" s="815"/>
      <c r="F8943" s="815"/>
      <c r="G8943" s="209"/>
      <c r="H8943" s="821">
        <f>SUM(H8942:H8942)</f>
        <v>0</v>
      </c>
    </row>
    <row r="8944" spans="3:11" ht="25.8" customHeight="1">
      <c r="C8944" s="566" t="s">
        <v>1218</v>
      </c>
      <c r="D8944" s="552" t="s">
        <v>1219</v>
      </c>
      <c r="E8944" s="553"/>
      <c r="F8944" s="553"/>
      <c r="G8944" s="554"/>
      <c r="H8944" s="826">
        <f>H8943+H8941+H8938</f>
        <v>186835</v>
      </c>
      <c r="I8944" s="827"/>
    </row>
    <row r="8945" spans="3:11" ht="25.8" customHeight="1">
      <c r="C8945" s="566" t="s">
        <v>1220</v>
      </c>
      <c r="D8945" s="552" t="s">
        <v>1321</v>
      </c>
      <c r="E8945" s="553"/>
      <c r="F8945" s="554"/>
      <c r="G8945" s="555">
        <f>$M$9</f>
        <v>0.1</v>
      </c>
      <c r="H8945" s="539">
        <f>H8944*G8945</f>
        <v>18683.5</v>
      </c>
      <c r="I8945" s="827"/>
    </row>
    <row r="8946" spans="3:11" ht="25.8" customHeight="1">
      <c r="C8946" s="566" t="s">
        <v>1221</v>
      </c>
      <c r="D8946" s="552" t="s">
        <v>1222</v>
      </c>
      <c r="E8946" s="553"/>
      <c r="F8946" s="553"/>
      <c r="G8946" s="554"/>
      <c r="H8946" s="828">
        <f>SUM(H8944:H8945)</f>
        <v>205518.5</v>
      </c>
      <c r="I8946" s="827"/>
    </row>
    <row r="8947" spans="3:11" ht="25.8" customHeight="1"/>
    <row r="8948" spans="3:11" ht="25.8" customHeight="1">
      <c r="C8948" s="513" t="s">
        <v>6365</v>
      </c>
      <c r="D8948" s="817" t="s">
        <v>6366</v>
      </c>
      <c r="E8948" s="803"/>
      <c r="F8948" s="803"/>
      <c r="G8948" s="803"/>
      <c r="H8948" s="803"/>
      <c r="I8948" s="533">
        <f>ROUNDDOWN(H8963,-2)</f>
        <v>264000</v>
      </c>
      <c r="J8948" s="536"/>
      <c r="K8948" s="824"/>
    </row>
    <row r="8949" spans="3:11" ht="25.8" customHeight="1">
      <c r="C8949" s="716" t="s">
        <v>1195</v>
      </c>
      <c r="D8949" s="716" t="s">
        <v>1196</v>
      </c>
      <c r="E8949" s="716" t="s">
        <v>1197</v>
      </c>
      <c r="F8949" s="716" t="s">
        <v>1198</v>
      </c>
      <c r="G8949" s="716" t="s">
        <v>1199</v>
      </c>
      <c r="H8949" s="716" t="s">
        <v>1200</v>
      </c>
    </row>
    <row r="8950" spans="3:11" ht="25.8" customHeight="1">
      <c r="C8950" s="213" t="s">
        <v>1201</v>
      </c>
      <c r="D8950" s="212" t="s">
        <v>1202</v>
      </c>
      <c r="E8950" s="534"/>
      <c r="F8950" s="534"/>
      <c r="G8950" s="534"/>
      <c r="H8950" s="534"/>
    </row>
    <row r="8951" spans="3:11" ht="25.8" customHeight="1">
      <c r="C8951" s="818">
        <v>1</v>
      </c>
      <c r="D8951" s="212" t="s">
        <v>5</v>
      </c>
      <c r="E8951" s="212" t="s">
        <v>6</v>
      </c>
      <c r="F8951" s="538">
        <v>0.255</v>
      </c>
      <c r="G8951" s="539">
        <f>VLOOKUP(D8951,upahbahan,3,FALSE)</f>
        <v>100000</v>
      </c>
      <c r="H8951" s="539">
        <f t="shared" ref="H8951:H8954" si="954">F8951*G8951</f>
        <v>25500</v>
      </c>
    </row>
    <row r="8952" spans="3:11" ht="25.8" customHeight="1">
      <c r="C8952" s="818">
        <v>2</v>
      </c>
      <c r="D8952" s="212" t="s">
        <v>17</v>
      </c>
      <c r="E8952" s="212" t="s">
        <v>6</v>
      </c>
      <c r="F8952" s="538">
        <v>0.42499999999999999</v>
      </c>
      <c r="G8952" s="539">
        <f>VLOOKUP(D8952,upahbahan,3,FALSE)</f>
        <v>135000</v>
      </c>
      <c r="H8952" s="539">
        <f t="shared" si="954"/>
        <v>57375</v>
      </c>
    </row>
    <row r="8953" spans="3:11" ht="25.8" customHeight="1">
      <c r="C8953" s="818">
        <v>3</v>
      </c>
      <c r="D8953" s="212" t="s">
        <v>1310</v>
      </c>
      <c r="E8953" s="212" t="s">
        <v>6</v>
      </c>
      <c r="F8953" s="538">
        <v>4.2999999999999997E-2</v>
      </c>
      <c r="G8953" s="539">
        <f>VLOOKUP(D8953,upahbahan,3,FALSE)</f>
        <v>150000</v>
      </c>
      <c r="H8953" s="539">
        <f t="shared" si="954"/>
        <v>6449.9999999999991</v>
      </c>
    </row>
    <row r="8954" spans="3:11" ht="25.8" customHeight="1">
      <c r="C8954" s="818">
        <v>4</v>
      </c>
      <c r="D8954" s="212" t="s">
        <v>19</v>
      </c>
      <c r="E8954" s="212" t="s">
        <v>6</v>
      </c>
      <c r="F8954" s="538">
        <v>1.4E-2</v>
      </c>
      <c r="G8954" s="539">
        <f>VLOOKUP(D8954,upahbahan,3,FALSE)</f>
        <v>160000</v>
      </c>
      <c r="H8954" s="539">
        <f t="shared" si="954"/>
        <v>2240</v>
      </c>
    </row>
    <row r="8955" spans="3:11" ht="25.8" customHeight="1">
      <c r="C8955" s="702" t="s">
        <v>1208</v>
      </c>
      <c r="D8955" s="208"/>
      <c r="E8955" s="208"/>
      <c r="F8955" s="811"/>
      <c r="G8955" s="522"/>
      <c r="H8955" s="539">
        <f>SUM(H8951:H8954)</f>
        <v>91565</v>
      </c>
      <c r="I8955" s="819"/>
    </row>
    <row r="8956" spans="3:11" ht="25.8" customHeight="1">
      <c r="C8956" s="213" t="s">
        <v>1209</v>
      </c>
      <c r="D8956" s="212" t="s">
        <v>1210</v>
      </c>
      <c r="E8956" s="534"/>
      <c r="F8956" s="831"/>
      <c r="G8956" s="534"/>
      <c r="H8956" s="534"/>
    </row>
    <row r="8957" spans="3:11" ht="25.8" customHeight="1">
      <c r="C8957" s="213">
        <v>1</v>
      </c>
      <c r="D8957" s="212" t="s">
        <v>6367</v>
      </c>
      <c r="E8957" s="234" t="s">
        <v>235</v>
      </c>
      <c r="F8957" s="866">
        <v>1.1000000000000001</v>
      </c>
      <c r="G8957" s="539">
        <f>VLOOKUP(D8957,upahbahan,3,FALSE)</f>
        <v>135000</v>
      </c>
      <c r="H8957" s="539">
        <f t="shared" ref="H8957" si="955">F8957*G8957</f>
        <v>148500</v>
      </c>
    </row>
    <row r="8958" spans="3:11" ht="25.8" customHeight="1">
      <c r="C8958" s="702" t="s">
        <v>1214</v>
      </c>
      <c r="D8958" s="208"/>
      <c r="E8958" s="208" t="s">
        <v>6045</v>
      </c>
      <c r="F8958" s="208"/>
      <c r="G8958" s="209"/>
      <c r="H8958" s="539">
        <f>SUM(H8956:H8957)</f>
        <v>148500</v>
      </c>
    </row>
    <row r="8959" spans="3:11" ht="25.8" customHeight="1">
      <c r="C8959" s="213" t="s">
        <v>1215</v>
      </c>
      <c r="D8959" s="212" t="s">
        <v>1216</v>
      </c>
      <c r="E8959" s="534"/>
      <c r="F8959" s="534"/>
      <c r="G8959" s="534"/>
      <c r="H8959" s="534"/>
    </row>
    <row r="8960" spans="3:11" ht="25.8" customHeight="1">
      <c r="C8960" s="702" t="s">
        <v>1217</v>
      </c>
      <c r="D8960" s="815"/>
      <c r="E8960" s="815"/>
      <c r="F8960" s="815"/>
      <c r="G8960" s="209"/>
      <c r="H8960" s="821">
        <f>SUM(H8959:H8959)</f>
        <v>0</v>
      </c>
    </row>
    <row r="8961" spans="3:11" ht="25.8" customHeight="1">
      <c r="C8961" s="566" t="s">
        <v>1218</v>
      </c>
      <c r="D8961" s="552" t="s">
        <v>1219</v>
      </c>
      <c r="E8961" s="553"/>
      <c r="F8961" s="553"/>
      <c r="G8961" s="554"/>
      <c r="H8961" s="826">
        <f>H8960+H8958+H8955</f>
        <v>240065</v>
      </c>
      <c r="I8961" s="827"/>
    </row>
    <row r="8962" spans="3:11" ht="25.8" customHeight="1">
      <c r="C8962" s="566" t="s">
        <v>1220</v>
      </c>
      <c r="D8962" s="552" t="s">
        <v>1321</v>
      </c>
      <c r="E8962" s="553"/>
      <c r="F8962" s="554"/>
      <c r="G8962" s="555">
        <f>$M$9</f>
        <v>0.1</v>
      </c>
      <c r="H8962" s="539">
        <f>H8961*G8962</f>
        <v>24006.5</v>
      </c>
      <c r="I8962" s="827"/>
    </row>
    <row r="8963" spans="3:11" ht="25.8" customHeight="1">
      <c r="C8963" s="566" t="s">
        <v>1221</v>
      </c>
      <c r="D8963" s="552" t="s">
        <v>1222</v>
      </c>
      <c r="E8963" s="553"/>
      <c r="F8963" s="553"/>
      <c r="G8963" s="554"/>
      <c r="H8963" s="828">
        <f>SUM(H8961:H8962)</f>
        <v>264071.5</v>
      </c>
      <c r="I8963" s="827"/>
    </row>
    <row r="8964" spans="3:11" ht="25.8" customHeight="1"/>
    <row r="8965" spans="3:11" ht="25.8" customHeight="1"/>
    <row r="8966" spans="3:11" ht="25.8" customHeight="1">
      <c r="C8966" s="513" t="s">
        <v>6368</v>
      </c>
      <c r="D8966" s="817" t="s">
        <v>6369</v>
      </c>
      <c r="E8966" s="803"/>
      <c r="F8966" s="803"/>
      <c r="G8966" s="803"/>
      <c r="H8966" s="803"/>
      <c r="I8966" s="533">
        <f>ROUNDDOWN(H8981,-2)</f>
        <v>282200</v>
      </c>
      <c r="J8966" s="536"/>
      <c r="K8966" s="824"/>
    </row>
    <row r="8967" spans="3:11" ht="25.8" customHeight="1">
      <c r="C8967" s="716" t="s">
        <v>1195</v>
      </c>
      <c r="D8967" s="716" t="s">
        <v>1196</v>
      </c>
      <c r="E8967" s="716" t="s">
        <v>1197</v>
      </c>
      <c r="F8967" s="716" t="s">
        <v>1198</v>
      </c>
      <c r="G8967" s="716" t="s">
        <v>1199</v>
      </c>
      <c r="H8967" s="716" t="s">
        <v>1200</v>
      </c>
    </row>
    <row r="8968" spans="3:11" ht="25.8" customHeight="1">
      <c r="C8968" s="213" t="s">
        <v>1201</v>
      </c>
      <c r="D8968" s="212" t="s">
        <v>1202</v>
      </c>
      <c r="E8968" s="534"/>
      <c r="F8968" s="534"/>
      <c r="G8968" s="534"/>
      <c r="H8968" s="534"/>
    </row>
    <row r="8969" spans="3:11" ht="25.8" customHeight="1">
      <c r="C8969" s="818">
        <v>1</v>
      </c>
      <c r="D8969" s="212" t="s">
        <v>5</v>
      </c>
      <c r="E8969" s="212" t="s">
        <v>6</v>
      </c>
      <c r="F8969" s="538">
        <v>0.255</v>
      </c>
      <c r="G8969" s="539">
        <f>VLOOKUP(D8969,upahbahan,3,FALSE)</f>
        <v>100000</v>
      </c>
      <c r="H8969" s="539">
        <f t="shared" ref="H8969:H8972" si="956">F8969*G8969</f>
        <v>25500</v>
      </c>
    </row>
    <row r="8970" spans="3:11" ht="25.8" customHeight="1">
      <c r="C8970" s="818">
        <v>2</v>
      </c>
      <c r="D8970" s="212" t="s">
        <v>17</v>
      </c>
      <c r="E8970" s="212" t="s">
        <v>6</v>
      </c>
      <c r="F8970" s="538">
        <v>0.42499999999999999</v>
      </c>
      <c r="G8970" s="539">
        <f>VLOOKUP(D8970,upahbahan,3,FALSE)</f>
        <v>135000</v>
      </c>
      <c r="H8970" s="539">
        <f t="shared" si="956"/>
        <v>57375</v>
      </c>
    </row>
    <row r="8971" spans="3:11" ht="25.8" customHeight="1">
      <c r="C8971" s="818">
        <v>3</v>
      </c>
      <c r="D8971" s="212" t="s">
        <v>1310</v>
      </c>
      <c r="E8971" s="212" t="s">
        <v>6</v>
      </c>
      <c r="F8971" s="538">
        <v>4.2999999999999997E-2</v>
      </c>
      <c r="G8971" s="539">
        <f>VLOOKUP(D8971,upahbahan,3,FALSE)</f>
        <v>150000</v>
      </c>
      <c r="H8971" s="539">
        <f t="shared" si="956"/>
        <v>6449.9999999999991</v>
      </c>
    </row>
    <row r="8972" spans="3:11" ht="25.8" customHeight="1">
      <c r="C8972" s="818">
        <v>4</v>
      </c>
      <c r="D8972" s="212" t="s">
        <v>19</v>
      </c>
      <c r="E8972" s="212" t="s">
        <v>6</v>
      </c>
      <c r="F8972" s="538">
        <v>1.4E-2</v>
      </c>
      <c r="G8972" s="539">
        <f>VLOOKUP(D8972,upahbahan,3,FALSE)</f>
        <v>160000</v>
      </c>
      <c r="H8972" s="539">
        <f t="shared" si="956"/>
        <v>2240</v>
      </c>
    </row>
    <row r="8973" spans="3:11" ht="25.8" customHeight="1">
      <c r="C8973" s="702" t="s">
        <v>1208</v>
      </c>
      <c r="D8973" s="208"/>
      <c r="E8973" s="208"/>
      <c r="F8973" s="811"/>
      <c r="G8973" s="522"/>
      <c r="H8973" s="539">
        <f>SUM(H8969:H8972)</f>
        <v>91565</v>
      </c>
      <c r="I8973" s="819"/>
    </row>
    <row r="8974" spans="3:11" ht="25.8" customHeight="1">
      <c r="C8974" s="213" t="s">
        <v>1209</v>
      </c>
      <c r="D8974" s="212" t="s">
        <v>1210</v>
      </c>
      <c r="E8974" s="534"/>
      <c r="F8974" s="831"/>
      <c r="G8974" s="534"/>
      <c r="H8974" s="534"/>
    </row>
    <row r="8975" spans="3:11" ht="25.8" customHeight="1">
      <c r="C8975" s="213">
        <v>1</v>
      </c>
      <c r="D8975" s="212" t="s">
        <v>6371</v>
      </c>
      <c r="E8975" s="234" t="s">
        <v>235</v>
      </c>
      <c r="F8975" s="866">
        <v>1.1000000000000001</v>
      </c>
      <c r="G8975" s="539">
        <f>VLOOKUP(D8975,upahbahan,3,FALSE)</f>
        <v>150000</v>
      </c>
      <c r="H8975" s="539">
        <f t="shared" ref="H8975" si="957">F8975*G8975</f>
        <v>165000</v>
      </c>
    </row>
    <row r="8976" spans="3:11" ht="25.8" customHeight="1">
      <c r="C8976" s="702" t="s">
        <v>1214</v>
      </c>
      <c r="D8976" s="208"/>
      <c r="E8976" s="208" t="s">
        <v>6045</v>
      </c>
      <c r="F8976" s="208"/>
      <c r="G8976" s="209"/>
      <c r="H8976" s="539">
        <f>SUM(H8974:H8975)</f>
        <v>165000</v>
      </c>
    </row>
    <row r="8977" spans="3:11" ht="25.8" customHeight="1">
      <c r="C8977" s="213" t="s">
        <v>1215</v>
      </c>
      <c r="D8977" s="212" t="s">
        <v>1216</v>
      </c>
      <c r="E8977" s="534"/>
      <c r="F8977" s="534"/>
      <c r="G8977" s="534"/>
      <c r="H8977" s="534"/>
    </row>
    <row r="8978" spans="3:11" ht="25.8" customHeight="1">
      <c r="C8978" s="702" t="s">
        <v>1217</v>
      </c>
      <c r="D8978" s="815"/>
      <c r="E8978" s="815"/>
      <c r="F8978" s="815"/>
      <c r="G8978" s="209"/>
      <c r="H8978" s="821">
        <f>SUM(H8977:H8977)</f>
        <v>0</v>
      </c>
    </row>
    <row r="8979" spans="3:11" ht="25.8" customHeight="1">
      <c r="C8979" s="566" t="s">
        <v>1218</v>
      </c>
      <c r="D8979" s="552" t="s">
        <v>1219</v>
      </c>
      <c r="E8979" s="553"/>
      <c r="F8979" s="553"/>
      <c r="G8979" s="554"/>
      <c r="H8979" s="826">
        <f>H8978+H8976+H8973</f>
        <v>256565</v>
      </c>
      <c r="I8979" s="827"/>
    </row>
    <row r="8980" spans="3:11" ht="25.8" customHeight="1">
      <c r="C8980" s="566" t="s">
        <v>1220</v>
      </c>
      <c r="D8980" s="552" t="s">
        <v>1321</v>
      </c>
      <c r="E8980" s="553"/>
      <c r="F8980" s="554"/>
      <c r="G8980" s="555">
        <f>$M$9</f>
        <v>0.1</v>
      </c>
      <c r="H8980" s="539">
        <f>H8979*G8980</f>
        <v>25656.5</v>
      </c>
      <c r="I8980" s="827"/>
    </row>
    <row r="8981" spans="3:11" ht="25.8" customHeight="1">
      <c r="C8981" s="566" t="s">
        <v>1221</v>
      </c>
      <c r="D8981" s="552" t="s">
        <v>1222</v>
      </c>
      <c r="E8981" s="553"/>
      <c r="F8981" s="553"/>
      <c r="G8981" s="554"/>
      <c r="H8981" s="828">
        <f>SUM(H8979:H8980)</f>
        <v>282221.5</v>
      </c>
      <c r="I8981" s="827"/>
    </row>
    <row r="8982" spans="3:11" ht="25.8" customHeight="1"/>
    <row r="8983" spans="3:11" ht="25.8" customHeight="1"/>
    <row r="8984" spans="3:11" ht="25.8" customHeight="1">
      <c r="C8984" s="513" t="s">
        <v>6370</v>
      </c>
      <c r="D8984" s="817" t="s">
        <v>6372</v>
      </c>
      <c r="E8984" s="803"/>
      <c r="F8984" s="803"/>
      <c r="G8984" s="803"/>
      <c r="H8984" s="803"/>
      <c r="I8984" s="533">
        <f>ROUNDDOWN(H8999,-2)</f>
        <v>416800</v>
      </c>
      <c r="J8984" s="536"/>
      <c r="K8984" s="824"/>
    </row>
    <row r="8985" spans="3:11" ht="25.8" customHeight="1">
      <c r="C8985" s="716" t="s">
        <v>1195</v>
      </c>
      <c r="D8985" s="716" t="s">
        <v>1196</v>
      </c>
      <c r="E8985" s="716" t="s">
        <v>1197</v>
      </c>
      <c r="F8985" s="716" t="s">
        <v>1198</v>
      </c>
      <c r="G8985" s="716" t="s">
        <v>1199</v>
      </c>
      <c r="H8985" s="716" t="s">
        <v>1200</v>
      </c>
    </row>
    <row r="8986" spans="3:11" ht="25.8" customHeight="1">
      <c r="C8986" s="213" t="s">
        <v>1201</v>
      </c>
      <c r="D8986" s="212" t="s">
        <v>1202</v>
      </c>
      <c r="E8986" s="534"/>
      <c r="F8986" s="534"/>
      <c r="G8986" s="534"/>
      <c r="H8986" s="534"/>
    </row>
    <row r="8987" spans="3:11" ht="25.8" customHeight="1">
      <c r="C8987" s="818">
        <v>1</v>
      </c>
      <c r="D8987" s="212" t="s">
        <v>5</v>
      </c>
      <c r="E8987" s="212" t="s">
        <v>6</v>
      </c>
      <c r="F8987" s="538">
        <v>0.38100000000000001</v>
      </c>
      <c r="G8987" s="539">
        <f>VLOOKUP(D8987,upahbahan,3,FALSE)</f>
        <v>100000</v>
      </c>
      <c r="H8987" s="539">
        <f t="shared" ref="H8987:H8990" si="958">F8987*G8987</f>
        <v>38100</v>
      </c>
    </row>
    <row r="8988" spans="3:11" ht="25.8" customHeight="1">
      <c r="C8988" s="818">
        <v>2</v>
      </c>
      <c r="D8988" s="212" t="s">
        <v>17</v>
      </c>
      <c r="E8988" s="212" t="s">
        <v>6</v>
      </c>
      <c r="F8988" s="538">
        <v>0.63600000000000001</v>
      </c>
      <c r="G8988" s="539">
        <f>VLOOKUP(D8988,upahbahan,3,FALSE)</f>
        <v>135000</v>
      </c>
      <c r="H8988" s="539">
        <f t="shared" si="958"/>
        <v>85860</v>
      </c>
    </row>
    <row r="8989" spans="3:11" ht="25.8" customHeight="1">
      <c r="C8989" s="818">
        <v>3</v>
      </c>
      <c r="D8989" s="212" t="s">
        <v>1310</v>
      </c>
      <c r="E8989" s="212" t="s">
        <v>6</v>
      </c>
      <c r="F8989" s="538">
        <v>6.4000000000000001E-2</v>
      </c>
      <c r="G8989" s="539">
        <f>VLOOKUP(D8989,upahbahan,3,FALSE)</f>
        <v>150000</v>
      </c>
      <c r="H8989" s="539">
        <f t="shared" si="958"/>
        <v>9600</v>
      </c>
    </row>
    <row r="8990" spans="3:11" ht="25.8" customHeight="1">
      <c r="C8990" s="818">
        <v>4</v>
      </c>
      <c r="D8990" s="212" t="s">
        <v>19</v>
      </c>
      <c r="E8990" s="212" t="s">
        <v>6</v>
      </c>
      <c r="F8990" s="538">
        <v>2.1000000000000001E-2</v>
      </c>
      <c r="G8990" s="539">
        <f>VLOOKUP(D8990,upahbahan,3,FALSE)</f>
        <v>160000</v>
      </c>
      <c r="H8990" s="539">
        <f t="shared" si="958"/>
        <v>3360</v>
      </c>
    </row>
    <row r="8991" spans="3:11" ht="25.8" customHeight="1">
      <c r="C8991" s="702" t="s">
        <v>1208</v>
      </c>
      <c r="D8991" s="208"/>
      <c r="E8991" s="208"/>
      <c r="F8991" s="811"/>
      <c r="G8991" s="522"/>
      <c r="H8991" s="539">
        <f>SUM(H8987:H8990)</f>
        <v>136920</v>
      </c>
      <c r="I8991" s="819"/>
    </row>
    <row r="8992" spans="3:11" ht="25.8" customHeight="1">
      <c r="C8992" s="213" t="s">
        <v>1209</v>
      </c>
      <c r="D8992" s="212" t="s">
        <v>1210</v>
      </c>
      <c r="E8992" s="534"/>
      <c r="F8992" s="831"/>
      <c r="G8992" s="534"/>
      <c r="H8992" s="534"/>
    </row>
    <row r="8993" spans="3:11" ht="25.8" customHeight="1">
      <c r="C8993" s="213">
        <v>1</v>
      </c>
      <c r="D8993" s="212" t="s">
        <v>6373</v>
      </c>
      <c r="E8993" s="234" t="s">
        <v>235</v>
      </c>
      <c r="F8993" s="866">
        <v>1.1000000000000001</v>
      </c>
      <c r="G8993" s="539">
        <f>VLOOKUP(D8993,upahbahan,3,FALSE)</f>
        <v>220000</v>
      </c>
      <c r="H8993" s="539">
        <f t="shared" ref="H8993" si="959">F8993*G8993</f>
        <v>242000.00000000003</v>
      </c>
    </row>
    <row r="8994" spans="3:11" ht="25.8" customHeight="1">
      <c r="C8994" s="702" t="s">
        <v>1214</v>
      </c>
      <c r="D8994" s="208"/>
      <c r="E8994" s="208" t="s">
        <v>6045</v>
      </c>
      <c r="F8994" s="208"/>
      <c r="G8994" s="209"/>
      <c r="H8994" s="539">
        <f>SUM(H8992:H8993)</f>
        <v>242000.00000000003</v>
      </c>
    </row>
    <row r="8995" spans="3:11" ht="25.8" customHeight="1">
      <c r="C8995" s="213" t="s">
        <v>1215</v>
      </c>
      <c r="D8995" s="212" t="s">
        <v>1216</v>
      </c>
      <c r="E8995" s="534"/>
      <c r="F8995" s="534"/>
      <c r="G8995" s="534"/>
      <c r="H8995" s="534"/>
    </row>
    <row r="8996" spans="3:11" ht="25.8" customHeight="1">
      <c r="C8996" s="702" t="s">
        <v>1217</v>
      </c>
      <c r="D8996" s="815"/>
      <c r="E8996" s="815"/>
      <c r="F8996" s="815"/>
      <c r="G8996" s="209"/>
      <c r="H8996" s="821">
        <f>SUM(H8995:H8995)</f>
        <v>0</v>
      </c>
    </row>
    <row r="8997" spans="3:11" ht="25.8" customHeight="1">
      <c r="C8997" s="566" t="s">
        <v>1218</v>
      </c>
      <c r="D8997" s="552" t="s">
        <v>1219</v>
      </c>
      <c r="E8997" s="553"/>
      <c r="F8997" s="553"/>
      <c r="G8997" s="554"/>
      <c r="H8997" s="826">
        <f>H8996+H8994+H8991</f>
        <v>378920</v>
      </c>
      <c r="I8997" s="827"/>
    </row>
    <row r="8998" spans="3:11" ht="25.8" customHeight="1">
      <c r="C8998" s="566" t="s">
        <v>1220</v>
      </c>
      <c r="D8998" s="552" t="s">
        <v>1321</v>
      </c>
      <c r="E8998" s="553"/>
      <c r="F8998" s="554"/>
      <c r="G8998" s="555">
        <f>$M$9</f>
        <v>0.1</v>
      </c>
      <c r="H8998" s="539">
        <f>H8997*G8998</f>
        <v>37892</v>
      </c>
      <c r="I8998" s="827"/>
    </row>
    <row r="8999" spans="3:11" ht="25.8" customHeight="1">
      <c r="C8999" s="566" t="s">
        <v>1221</v>
      </c>
      <c r="D8999" s="552" t="s">
        <v>1222</v>
      </c>
      <c r="E8999" s="553"/>
      <c r="F8999" s="553"/>
      <c r="G8999" s="554"/>
      <c r="H8999" s="828">
        <f>SUM(H8997:H8998)</f>
        <v>416812</v>
      </c>
      <c r="I8999" s="827"/>
    </row>
    <row r="9000" spans="3:11" ht="25.8" customHeight="1"/>
    <row r="9001" spans="3:11" ht="25.8" customHeight="1">
      <c r="C9001" s="513" t="s">
        <v>6374</v>
      </c>
      <c r="D9001" s="817" t="s">
        <v>6375</v>
      </c>
      <c r="E9001" s="803"/>
      <c r="F9001" s="803"/>
      <c r="G9001" s="803"/>
      <c r="H9001" s="803"/>
      <c r="I9001" s="533">
        <f>ROUNDDOWN(H9016,-2)</f>
        <v>503000</v>
      </c>
      <c r="J9001" s="536"/>
      <c r="K9001" s="824"/>
    </row>
    <row r="9002" spans="3:11" ht="25.8" customHeight="1">
      <c r="C9002" s="716" t="s">
        <v>1195</v>
      </c>
      <c r="D9002" s="716" t="s">
        <v>1196</v>
      </c>
      <c r="E9002" s="716" t="s">
        <v>1197</v>
      </c>
      <c r="F9002" s="716" t="s">
        <v>1198</v>
      </c>
      <c r="G9002" s="716" t="s">
        <v>1199</v>
      </c>
      <c r="H9002" s="716" t="s">
        <v>1200</v>
      </c>
    </row>
    <row r="9003" spans="3:11" ht="25.8" customHeight="1">
      <c r="C9003" s="213" t="s">
        <v>1201</v>
      </c>
      <c r="D9003" s="212" t="s">
        <v>1202</v>
      </c>
      <c r="E9003" s="534"/>
      <c r="F9003" s="534"/>
      <c r="G9003" s="534"/>
      <c r="H9003" s="534"/>
    </row>
    <row r="9004" spans="3:11" ht="25.8" customHeight="1">
      <c r="C9004" s="818">
        <v>1</v>
      </c>
      <c r="D9004" s="212" t="s">
        <v>5</v>
      </c>
      <c r="E9004" s="212" t="s">
        <v>6</v>
      </c>
      <c r="F9004" s="538">
        <v>0.50700000000000001</v>
      </c>
      <c r="G9004" s="539">
        <f>VLOOKUP(D9004,upahbahan,3,FALSE)</f>
        <v>100000</v>
      </c>
      <c r="H9004" s="539">
        <f t="shared" ref="H9004:H9007" si="960">F9004*G9004</f>
        <v>50700</v>
      </c>
    </row>
    <row r="9005" spans="3:11" ht="25.8" customHeight="1">
      <c r="C9005" s="818">
        <v>2</v>
      </c>
      <c r="D9005" s="212" t="s">
        <v>17</v>
      </c>
      <c r="E9005" s="212" t="s">
        <v>6</v>
      </c>
      <c r="F9005" s="538">
        <v>0.84699999999999998</v>
      </c>
      <c r="G9005" s="539">
        <f>VLOOKUP(D9005,upahbahan,3,FALSE)</f>
        <v>135000</v>
      </c>
      <c r="H9005" s="539">
        <f t="shared" si="960"/>
        <v>114345</v>
      </c>
    </row>
    <row r="9006" spans="3:11" ht="25.8" customHeight="1">
      <c r="C9006" s="818">
        <v>3</v>
      </c>
      <c r="D9006" s="212" t="s">
        <v>1310</v>
      </c>
      <c r="E9006" s="212" t="s">
        <v>6</v>
      </c>
      <c r="F9006" s="538">
        <v>8.5000000000000006E-2</v>
      </c>
      <c r="G9006" s="539">
        <f>VLOOKUP(D9006,upahbahan,3,FALSE)</f>
        <v>150000</v>
      </c>
      <c r="H9006" s="539">
        <f t="shared" si="960"/>
        <v>12750.000000000002</v>
      </c>
    </row>
    <row r="9007" spans="3:11" ht="25.8" customHeight="1">
      <c r="C9007" s="818">
        <v>4</v>
      </c>
      <c r="D9007" s="212" t="s">
        <v>19</v>
      </c>
      <c r="E9007" s="212" t="s">
        <v>6</v>
      </c>
      <c r="F9007" s="538">
        <v>2.8000000000000001E-2</v>
      </c>
      <c r="G9007" s="539">
        <f>VLOOKUP(D9007,upahbahan,3,FALSE)</f>
        <v>160000</v>
      </c>
      <c r="H9007" s="539">
        <f t="shared" si="960"/>
        <v>4480</v>
      </c>
    </row>
    <row r="9008" spans="3:11" ht="25.8" customHeight="1">
      <c r="C9008" s="702" t="s">
        <v>1208</v>
      </c>
      <c r="D9008" s="208"/>
      <c r="E9008" s="208"/>
      <c r="F9008" s="811"/>
      <c r="G9008" s="522"/>
      <c r="H9008" s="539">
        <f>SUM(H9004:H9007)</f>
        <v>182275</v>
      </c>
      <c r="I9008" s="819"/>
    </row>
    <row r="9009" spans="3:11" ht="25.8" customHeight="1">
      <c r="C9009" s="213" t="s">
        <v>1209</v>
      </c>
      <c r="D9009" s="212" t="s">
        <v>1210</v>
      </c>
      <c r="E9009" s="534"/>
      <c r="F9009" s="831"/>
      <c r="G9009" s="534"/>
      <c r="H9009" s="534"/>
    </row>
    <row r="9010" spans="3:11" ht="25.8" customHeight="1">
      <c r="C9010" s="213">
        <v>1</v>
      </c>
      <c r="D9010" s="212" t="s">
        <v>6376</v>
      </c>
      <c r="E9010" s="234" t="s">
        <v>235</v>
      </c>
      <c r="F9010" s="866">
        <v>1.1000000000000001</v>
      </c>
      <c r="G9010" s="539">
        <f>VLOOKUP(D9010,upahbahan,3,FALSE)</f>
        <v>250000</v>
      </c>
      <c r="H9010" s="539">
        <f t="shared" ref="H9010" si="961">F9010*G9010</f>
        <v>275000</v>
      </c>
    </row>
    <row r="9011" spans="3:11" ht="25.8" customHeight="1">
      <c r="C9011" s="702" t="s">
        <v>1214</v>
      </c>
      <c r="D9011" s="208"/>
      <c r="E9011" s="208" t="s">
        <v>6045</v>
      </c>
      <c r="F9011" s="208"/>
      <c r="G9011" s="209"/>
      <c r="H9011" s="539">
        <f>SUM(H9009:H9010)</f>
        <v>275000</v>
      </c>
    </row>
    <row r="9012" spans="3:11" ht="25.8" customHeight="1">
      <c r="C9012" s="213" t="s">
        <v>1215</v>
      </c>
      <c r="D9012" s="212" t="s">
        <v>1216</v>
      </c>
      <c r="E9012" s="534"/>
      <c r="F9012" s="534"/>
      <c r="G9012" s="534"/>
      <c r="H9012" s="534"/>
    </row>
    <row r="9013" spans="3:11" ht="25.8" customHeight="1">
      <c r="C9013" s="702" t="s">
        <v>1217</v>
      </c>
      <c r="D9013" s="815"/>
      <c r="E9013" s="815"/>
      <c r="F9013" s="815"/>
      <c r="G9013" s="209"/>
      <c r="H9013" s="821">
        <f>SUM(H9012:H9012)</f>
        <v>0</v>
      </c>
    </row>
    <row r="9014" spans="3:11" ht="25.8" customHeight="1">
      <c r="C9014" s="566" t="s">
        <v>1218</v>
      </c>
      <c r="D9014" s="552" t="s">
        <v>1219</v>
      </c>
      <c r="E9014" s="553"/>
      <c r="F9014" s="553"/>
      <c r="G9014" s="554"/>
      <c r="H9014" s="826">
        <f>H9013+H9011+H9008</f>
        <v>457275</v>
      </c>
      <c r="I9014" s="827"/>
    </row>
    <row r="9015" spans="3:11" ht="25.8" customHeight="1">
      <c r="C9015" s="566" t="s">
        <v>1220</v>
      </c>
      <c r="D9015" s="552" t="s">
        <v>1321</v>
      </c>
      <c r="E9015" s="553"/>
      <c r="F9015" s="554"/>
      <c r="G9015" s="555">
        <f>$M$9</f>
        <v>0.1</v>
      </c>
      <c r="H9015" s="539">
        <f>H9014*G9015</f>
        <v>45727.5</v>
      </c>
      <c r="I9015" s="827"/>
    </row>
    <row r="9016" spans="3:11" ht="25.8" customHeight="1">
      <c r="C9016" s="566" t="s">
        <v>1221</v>
      </c>
      <c r="D9016" s="552" t="s">
        <v>1222</v>
      </c>
      <c r="E9016" s="553"/>
      <c r="F9016" s="553"/>
      <c r="G9016" s="554"/>
      <c r="H9016" s="828">
        <f>SUM(H9014:H9015)</f>
        <v>503002.5</v>
      </c>
      <c r="I9016" s="827"/>
    </row>
    <row r="9017" spans="3:11" ht="25.8" customHeight="1"/>
    <row r="9018" spans="3:11" ht="25.8" customHeight="1">
      <c r="C9018" s="513" t="s">
        <v>6377</v>
      </c>
      <c r="D9018" s="817" t="s">
        <v>6378</v>
      </c>
      <c r="E9018" s="803"/>
      <c r="F9018" s="803"/>
      <c r="G9018" s="803"/>
      <c r="H9018" s="803"/>
      <c r="I9018" s="533">
        <f>ROUNDDOWN(H9033,-2)</f>
        <v>527200</v>
      </c>
      <c r="J9018" s="536"/>
      <c r="K9018" s="824"/>
    </row>
    <row r="9019" spans="3:11" ht="25.8" customHeight="1">
      <c r="C9019" s="716" t="s">
        <v>1195</v>
      </c>
      <c r="D9019" s="716" t="s">
        <v>1196</v>
      </c>
      <c r="E9019" s="716" t="s">
        <v>1197</v>
      </c>
      <c r="F9019" s="716" t="s">
        <v>1198</v>
      </c>
      <c r="G9019" s="716" t="s">
        <v>1199</v>
      </c>
      <c r="H9019" s="716" t="s">
        <v>1200</v>
      </c>
    </row>
    <row r="9020" spans="3:11" ht="25.8" customHeight="1">
      <c r="C9020" s="213" t="s">
        <v>1201</v>
      </c>
      <c r="D9020" s="212" t="s">
        <v>1202</v>
      </c>
      <c r="E9020" s="534"/>
      <c r="F9020" s="534"/>
      <c r="G9020" s="534"/>
      <c r="H9020" s="534"/>
    </row>
    <row r="9021" spans="3:11" ht="25.8" customHeight="1">
      <c r="C9021" s="818">
        <v>1</v>
      </c>
      <c r="D9021" s="212" t="s">
        <v>5</v>
      </c>
      <c r="E9021" s="212" t="s">
        <v>6</v>
      </c>
      <c r="F9021" s="538">
        <v>0.50700000000000001</v>
      </c>
      <c r="G9021" s="539">
        <f>VLOOKUP(D9021,upahbahan,3,FALSE)</f>
        <v>100000</v>
      </c>
      <c r="H9021" s="539">
        <f t="shared" ref="H9021:H9024" si="962">F9021*G9021</f>
        <v>50700</v>
      </c>
    </row>
    <row r="9022" spans="3:11" ht="25.8" customHeight="1">
      <c r="C9022" s="818">
        <v>2</v>
      </c>
      <c r="D9022" s="212" t="s">
        <v>17</v>
      </c>
      <c r="E9022" s="212" t="s">
        <v>6</v>
      </c>
      <c r="F9022" s="538">
        <v>0.84699999999999998</v>
      </c>
      <c r="G9022" s="539">
        <f>VLOOKUP(D9022,upahbahan,3,FALSE)</f>
        <v>135000</v>
      </c>
      <c r="H9022" s="539">
        <f t="shared" si="962"/>
        <v>114345</v>
      </c>
    </row>
    <row r="9023" spans="3:11" ht="25.8" customHeight="1">
      <c r="C9023" s="818">
        <v>3</v>
      </c>
      <c r="D9023" s="212" t="s">
        <v>1310</v>
      </c>
      <c r="E9023" s="212" t="s">
        <v>6</v>
      </c>
      <c r="F9023" s="538">
        <v>8.5000000000000006E-2</v>
      </c>
      <c r="G9023" s="539">
        <f>VLOOKUP(D9023,upahbahan,3,FALSE)</f>
        <v>150000</v>
      </c>
      <c r="H9023" s="539">
        <f t="shared" si="962"/>
        <v>12750.000000000002</v>
      </c>
    </row>
    <row r="9024" spans="3:11" ht="25.8" customHeight="1">
      <c r="C9024" s="818">
        <v>4</v>
      </c>
      <c r="D9024" s="212" t="s">
        <v>19</v>
      </c>
      <c r="E9024" s="212" t="s">
        <v>6</v>
      </c>
      <c r="F9024" s="538">
        <v>2.8000000000000001E-2</v>
      </c>
      <c r="G9024" s="539">
        <f>VLOOKUP(D9024,upahbahan,3,FALSE)</f>
        <v>160000</v>
      </c>
      <c r="H9024" s="539">
        <f t="shared" si="962"/>
        <v>4480</v>
      </c>
    </row>
    <row r="9025" spans="3:11" ht="25.8" customHeight="1">
      <c r="C9025" s="702" t="s">
        <v>1208</v>
      </c>
      <c r="D9025" s="208"/>
      <c r="E9025" s="208"/>
      <c r="F9025" s="811"/>
      <c r="G9025" s="522"/>
      <c r="H9025" s="539">
        <f>SUM(H9021:H9024)</f>
        <v>182275</v>
      </c>
      <c r="I9025" s="819"/>
    </row>
    <row r="9026" spans="3:11" ht="25.8" customHeight="1">
      <c r="C9026" s="213" t="s">
        <v>1209</v>
      </c>
      <c r="D9026" s="212" t="s">
        <v>1210</v>
      </c>
      <c r="E9026" s="534"/>
      <c r="F9026" s="831"/>
      <c r="G9026" s="534"/>
      <c r="H9026" s="534"/>
    </row>
    <row r="9027" spans="3:11" ht="25.8" customHeight="1">
      <c r="C9027" s="213">
        <v>1</v>
      </c>
      <c r="D9027" s="212" t="s">
        <v>6379</v>
      </c>
      <c r="E9027" s="234" t="s">
        <v>235</v>
      </c>
      <c r="F9027" s="866">
        <v>1.1000000000000001</v>
      </c>
      <c r="G9027" s="539">
        <f>VLOOKUP(D9027,upahbahan,3,FALSE)</f>
        <v>270000</v>
      </c>
      <c r="H9027" s="539">
        <f t="shared" ref="H9027" si="963">F9027*G9027</f>
        <v>297000</v>
      </c>
    </row>
    <row r="9028" spans="3:11" ht="25.8" customHeight="1">
      <c r="C9028" s="702" t="s">
        <v>1214</v>
      </c>
      <c r="D9028" s="208"/>
      <c r="E9028" s="208" t="s">
        <v>6045</v>
      </c>
      <c r="F9028" s="208"/>
      <c r="G9028" s="209"/>
      <c r="H9028" s="539">
        <f>SUM(H9026:H9027)</f>
        <v>297000</v>
      </c>
    </row>
    <row r="9029" spans="3:11" ht="25.8" customHeight="1">
      <c r="C9029" s="213" t="s">
        <v>1215</v>
      </c>
      <c r="D9029" s="212" t="s">
        <v>1216</v>
      </c>
      <c r="E9029" s="534"/>
      <c r="F9029" s="534"/>
      <c r="G9029" s="534"/>
      <c r="H9029" s="534"/>
    </row>
    <row r="9030" spans="3:11" ht="25.8" customHeight="1">
      <c r="C9030" s="702" t="s">
        <v>1217</v>
      </c>
      <c r="D9030" s="815"/>
      <c r="E9030" s="815"/>
      <c r="F9030" s="815"/>
      <c r="G9030" s="209"/>
      <c r="H9030" s="821">
        <f>SUM(H9029:H9029)</f>
        <v>0</v>
      </c>
    </row>
    <row r="9031" spans="3:11" ht="25.8" customHeight="1">
      <c r="C9031" s="566" t="s">
        <v>1218</v>
      </c>
      <c r="D9031" s="552" t="s">
        <v>1219</v>
      </c>
      <c r="E9031" s="553"/>
      <c r="F9031" s="553"/>
      <c r="G9031" s="554"/>
      <c r="H9031" s="826">
        <f>H9030+H9028+H9025</f>
        <v>479275</v>
      </c>
      <c r="I9031" s="827"/>
    </row>
    <row r="9032" spans="3:11" ht="25.8" customHeight="1">
      <c r="C9032" s="566" t="s">
        <v>1220</v>
      </c>
      <c r="D9032" s="552" t="s">
        <v>1321</v>
      </c>
      <c r="E9032" s="553"/>
      <c r="F9032" s="554"/>
      <c r="G9032" s="555">
        <f>$M$9</f>
        <v>0.1</v>
      </c>
      <c r="H9032" s="539">
        <f>H9031*G9032</f>
        <v>47927.5</v>
      </c>
      <c r="I9032" s="827"/>
    </row>
    <row r="9033" spans="3:11" ht="25.8" customHeight="1">
      <c r="C9033" s="566" t="s">
        <v>1221</v>
      </c>
      <c r="D9033" s="552" t="s">
        <v>1222</v>
      </c>
      <c r="E9033" s="553"/>
      <c r="F9033" s="553"/>
      <c r="G9033" s="554"/>
      <c r="H9033" s="828">
        <f>SUM(H9031:H9032)</f>
        <v>527202.5</v>
      </c>
      <c r="I9033" s="827"/>
    </row>
    <row r="9034" spans="3:11" ht="25.8" customHeight="1"/>
    <row r="9035" spans="3:11" ht="25.8" customHeight="1">
      <c r="C9035" s="513" t="s">
        <v>6380</v>
      </c>
      <c r="D9035" s="817" t="s">
        <v>6381</v>
      </c>
      <c r="E9035" s="803"/>
      <c r="F9035" s="803"/>
      <c r="G9035" s="803"/>
      <c r="H9035" s="803"/>
      <c r="I9035" s="533">
        <f>ROUNDDOWN(H9050,-2)</f>
        <v>194800</v>
      </c>
      <c r="J9035" s="536"/>
      <c r="K9035" s="824"/>
    </row>
    <row r="9036" spans="3:11" ht="25.8" customHeight="1">
      <c r="C9036" s="716" t="s">
        <v>1195</v>
      </c>
      <c r="D9036" s="716" t="s">
        <v>1196</v>
      </c>
      <c r="E9036" s="716" t="s">
        <v>1197</v>
      </c>
      <c r="F9036" s="716" t="s">
        <v>1198</v>
      </c>
      <c r="G9036" s="716" t="s">
        <v>1199</v>
      </c>
      <c r="H9036" s="716" t="s">
        <v>1200</v>
      </c>
    </row>
    <row r="9037" spans="3:11" ht="25.8" customHeight="1">
      <c r="C9037" s="213" t="s">
        <v>1201</v>
      </c>
      <c r="D9037" s="212" t="s">
        <v>1202</v>
      </c>
      <c r="E9037" s="534"/>
      <c r="F9037" s="534"/>
      <c r="G9037" s="534"/>
      <c r="H9037" s="534"/>
    </row>
    <row r="9038" spans="3:11" ht="25.8" customHeight="1">
      <c r="C9038" s="818">
        <v>1</v>
      </c>
      <c r="D9038" s="212" t="s">
        <v>5</v>
      </c>
      <c r="E9038" s="212" t="s">
        <v>6</v>
      </c>
      <c r="F9038" s="538">
        <v>6.4000000000000001E-2</v>
      </c>
      <c r="G9038" s="539">
        <f>VLOOKUP(D9038,upahbahan,3,FALSE)</f>
        <v>100000</v>
      </c>
      <c r="H9038" s="539">
        <f t="shared" ref="H9038:H9041" si="964">F9038*G9038</f>
        <v>6400</v>
      </c>
    </row>
    <row r="9039" spans="3:11" ht="25.8" customHeight="1">
      <c r="C9039" s="818">
        <v>2</v>
      </c>
      <c r="D9039" s="212" t="s">
        <v>17</v>
      </c>
      <c r="E9039" s="212" t="s">
        <v>6</v>
      </c>
      <c r="F9039" s="538">
        <v>0.107</v>
      </c>
      <c r="G9039" s="539">
        <f>VLOOKUP(D9039,upahbahan,3,FALSE)</f>
        <v>135000</v>
      </c>
      <c r="H9039" s="539">
        <f t="shared" si="964"/>
        <v>14445</v>
      </c>
    </row>
    <row r="9040" spans="3:11" ht="25.8" customHeight="1">
      <c r="C9040" s="818">
        <v>3</v>
      </c>
      <c r="D9040" s="212" t="s">
        <v>1310</v>
      </c>
      <c r="E9040" s="212" t="s">
        <v>6</v>
      </c>
      <c r="F9040" s="538">
        <v>1.0999999999999999E-2</v>
      </c>
      <c r="G9040" s="539">
        <f>VLOOKUP(D9040,upahbahan,3,FALSE)</f>
        <v>150000</v>
      </c>
      <c r="H9040" s="539">
        <f t="shared" si="964"/>
        <v>1650</v>
      </c>
    </row>
    <row r="9041" spans="3:11" ht="25.8" customHeight="1">
      <c r="C9041" s="818">
        <v>4</v>
      </c>
      <c r="D9041" s="212" t="s">
        <v>19</v>
      </c>
      <c r="E9041" s="212" t="s">
        <v>6</v>
      </c>
      <c r="F9041" s="538">
        <v>4.0000000000000001E-3</v>
      </c>
      <c r="G9041" s="539">
        <f>VLOOKUP(D9041,upahbahan,3,FALSE)</f>
        <v>160000</v>
      </c>
      <c r="H9041" s="539">
        <f t="shared" si="964"/>
        <v>640</v>
      </c>
    </row>
    <row r="9042" spans="3:11" ht="25.8" customHeight="1">
      <c r="C9042" s="702" t="s">
        <v>1208</v>
      </c>
      <c r="D9042" s="208"/>
      <c r="E9042" s="208"/>
      <c r="F9042" s="811"/>
      <c r="G9042" s="522"/>
      <c r="H9042" s="539">
        <f>SUM(H9038:H9041)</f>
        <v>23135</v>
      </c>
      <c r="I9042" s="819"/>
    </row>
    <row r="9043" spans="3:11" ht="25.8" customHeight="1">
      <c r="C9043" s="213" t="s">
        <v>1209</v>
      </c>
      <c r="D9043" s="212" t="s">
        <v>1210</v>
      </c>
      <c r="E9043" s="534"/>
      <c r="F9043" s="831"/>
      <c r="G9043" s="534"/>
      <c r="H9043" s="534"/>
    </row>
    <row r="9044" spans="3:11" ht="25.8" customHeight="1">
      <c r="C9044" s="213">
        <v>1</v>
      </c>
      <c r="D9044" s="212" t="s">
        <v>6382</v>
      </c>
      <c r="E9044" s="234" t="s">
        <v>235</v>
      </c>
      <c r="F9044" s="866">
        <v>1.1000000000000001</v>
      </c>
      <c r="G9044" s="539">
        <f>VLOOKUP(D9044,upahbahan,3,FALSE)</f>
        <v>140000</v>
      </c>
      <c r="H9044" s="539">
        <f t="shared" ref="H9044" si="965">F9044*G9044</f>
        <v>154000</v>
      </c>
    </row>
    <row r="9045" spans="3:11" ht="25.8" customHeight="1">
      <c r="C9045" s="702" t="s">
        <v>1214</v>
      </c>
      <c r="D9045" s="208"/>
      <c r="E9045" s="208" t="s">
        <v>6045</v>
      </c>
      <c r="F9045" s="208"/>
      <c r="G9045" s="209"/>
      <c r="H9045" s="539">
        <f>SUM(H9043:H9044)</f>
        <v>154000</v>
      </c>
    </row>
    <row r="9046" spans="3:11" ht="25.8" customHeight="1">
      <c r="C9046" s="213" t="s">
        <v>1215</v>
      </c>
      <c r="D9046" s="212" t="s">
        <v>1216</v>
      </c>
      <c r="E9046" s="534"/>
      <c r="F9046" s="534"/>
      <c r="G9046" s="534"/>
      <c r="H9046" s="534"/>
    </row>
    <row r="9047" spans="3:11" ht="25.8" customHeight="1">
      <c r="C9047" s="702" t="s">
        <v>1217</v>
      </c>
      <c r="D9047" s="815"/>
      <c r="E9047" s="815"/>
      <c r="F9047" s="815"/>
      <c r="G9047" s="209"/>
      <c r="H9047" s="821">
        <f>SUM(H9046:H9046)</f>
        <v>0</v>
      </c>
    </row>
    <row r="9048" spans="3:11" ht="25.8" customHeight="1">
      <c r="C9048" s="566" t="s">
        <v>1218</v>
      </c>
      <c r="D9048" s="552" t="s">
        <v>1219</v>
      </c>
      <c r="E9048" s="553"/>
      <c r="F9048" s="553"/>
      <c r="G9048" s="554"/>
      <c r="H9048" s="826">
        <f>H9047+H9045+H9042</f>
        <v>177135</v>
      </c>
      <c r="I9048" s="827"/>
    </row>
    <row r="9049" spans="3:11" ht="25.8" customHeight="1">
      <c r="C9049" s="566" t="s">
        <v>1220</v>
      </c>
      <c r="D9049" s="552" t="s">
        <v>1321</v>
      </c>
      <c r="E9049" s="553"/>
      <c r="F9049" s="554"/>
      <c r="G9049" s="555">
        <f>$M$9</f>
        <v>0.1</v>
      </c>
      <c r="H9049" s="539">
        <f>H9048*G9049</f>
        <v>17713.5</v>
      </c>
      <c r="I9049" s="827"/>
    </row>
    <row r="9050" spans="3:11" ht="25.8" customHeight="1">
      <c r="C9050" s="566" t="s">
        <v>1221</v>
      </c>
      <c r="D9050" s="552" t="s">
        <v>1222</v>
      </c>
      <c r="E9050" s="553"/>
      <c r="F9050" s="553"/>
      <c r="G9050" s="554"/>
      <c r="H9050" s="828">
        <f>SUM(H9048:H9049)</f>
        <v>194848.5</v>
      </c>
      <c r="I9050" s="827"/>
    </row>
    <row r="9051" spans="3:11" ht="25.8" customHeight="1"/>
    <row r="9052" spans="3:11" ht="25.8" customHeight="1"/>
    <row r="9053" spans="3:11" ht="25.8" customHeight="1">
      <c r="C9053" s="513" t="s">
        <v>6383</v>
      </c>
      <c r="D9053" s="817" t="s">
        <v>6384</v>
      </c>
      <c r="E9053" s="803"/>
      <c r="F9053" s="803"/>
      <c r="G9053" s="803"/>
      <c r="H9053" s="803"/>
      <c r="I9053" s="533">
        <f>ROUNDDOWN(H9068,-2)</f>
        <v>219000</v>
      </c>
      <c r="J9053" s="536"/>
      <c r="K9053" s="824"/>
    </row>
    <row r="9054" spans="3:11" ht="25.8" customHeight="1">
      <c r="C9054" s="716" t="s">
        <v>1195</v>
      </c>
      <c r="D9054" s="716" t="s">
        <v>1196</v>
      </c>
      <c r="E9054" s="716" t="s">
        <v>1197</v>
      </c>
      <c r="F9054" s="716" t="s">
        <v>1198</v>
      </c>
      <c r="G9054" s="716" t="s">
        <v>1199</v>
      </c>
      <c r="H9054" s="716" t="s">
        <v>1200</v>
      </c>
    </row>
    <row r="9055" spans="3:11" ht="25.8" customHeight="1">
      <c r="C9055" s="213" t="s">
        <v>1201</v>
      </c>
      <c r="D9055" s="212" t="s">
        <v>1202</v>
      </c>
      <c r="E9055" s="534"/>
      <c r="F9055" s="534"/>
      <c r="G9055" s="534"/>
      <c r="H9055" s="534"/>
    </row>
    <row r="9056" spans="3:11" ht="25.8" customHeight="1">
      <c r="C9056" s="818">
        <v>1</v>
      </c>
      <c r="D9056" s="212" t="s">
        <v>5</v>
      </c>
      <c r="E9056" s="212" t="s">
        <v>6</v>
      </c>
      <c r="F9056" s="538">
        <v>6.4000000000000001E-2</v>
      </c>
      <c r="G9056" s="539">
        <f>VLOOKUP(D9056,upahbahan,3,FALSE)</f>
        <v>100000</v>
      </c>
      <c r="H9056" s="539">
        <f t="shared" ref="H9056:H9059" si="966">F9056*G9056</f>
        <v>6400</v>
      </c>
    </row>
    <row r="9057" spans="3:11" ht="25.8" customHeight="1">
      <c r="C9057" s="818">
        <v>2</v>
      </c>
      <c r="D9057" s="212" t="s">
        <v>17</v>
      </c>
      <c r="E9057" s="212" t="s">
        <v>6</v>
      </c>
      <c r="F9057" s="538">
        <v>0.107</v>
      </c>
      <c r="G9057" s="539">
        <f>VLOOKUP(D9057,upahbahan,3,FALSE)</f>
        <v>135000</v>
      </c>
      <c r="H9057" s="539">
        <f t="shared" si="966"/>
        <v>14445</v>
      </c>
    </row>
    <row r="9058" spans="3:11" ht="25.8" customHeight="1">
      <c r="C9058" s="818">
        <v>3</v>
      </c>
      <c r="D9058" s="212" t="s">
        <v>1310</v>
      </c>
      <c r="E9058" s="212" t="s">
        <v>6</v>
      </c>
      <c r="F9058" s="538">
        <v>1.0999999999999999E-2</v>
      </c>
      <c r="G9058" s="539">
        <f>VLOOKUP(D9058,upahbahan,3,FALSE)</f>
        <v>150000</v>
      </c>
      <c r="H9058" s="539">
        <f t="shared" si="966"/>
        <v>1650</v>
      </c>
    </row>
    <row r="9059" spans="3:11" ht="25.8" customHeight="1">
      <c r="C9059" s="818">
        <v>4</v>
      </c>
      <c r="D9059" s="212" t="s">
        <v>19</v>
      </c>
      <c r="E9059" s="212" t="s">
        <v>6</v>
      </c>
      <c r="F9059" s="538">
        <v>4.0000000000000001E-3</v>
      </c>
      <c r="G9059" s="539">
        <f>VLOOKUP(D9059,upahbahan,3,FALSE)</f>
        <v>160000</v>
      </c>
      <c r="H9059" s="539">
        <f t="shared" si="966"/>
        <v>640</v>
      </c>
    </row>
    <row r="9060" spans="3:11" ht="25.8" customHeight="1">
      <c r="C9060" s="702" t="s">
        <v>1208</v>
      </c>
      <c r="D9060" s="208"/>
      <c r="E9060" s="208"/>
      <c r="F9060" s="811"/>
      <c r="G9060" s="522"/>
      <c r="H9060" s="539">
        <f>SUM(H9056:H9059)</f>
        <v>23135</v>
      </c>
      <c r="I9060" s="819"/>
    </row>
    <row r="9061" spans="3:11" ht="25.8" customHeight="1">
      <c r="C9061" s="213" t="s">
        <v>1209</v>
      </c>
      <c r="D9061" s="212" t="s">
        <v>1210</v>
      </c>
      <c r="E9061" s="534"/>
      <c r="F9061" s="831"/>
      <c r="G9061" s="534"/>
      <c r="H9061" s="534"/>
    </row>
    <row r="9062" spans="3:11" ht="25.8" customHeight="1">
      <c r="C9062" s="213">
        <v>1</v>
      </c>
      <c r="D9062" s="212" t="s">
        <v>6385</v>
      </c>
      <c r="E9062" s="234" t="s">
        <v>235</v>
      </c>
      <c r="F9062" s="866">
        <v>1.1000000000000001</v>
      </c>
      <c r="G9062" s="539">
        <f>VLOOKUP(D9062,upahbahan,3,FALSE)</f>
        <v>160000</v>
      </c>
      <c r="H9062" s="539">
        <f t="shared" ref="H9062" si="967">F9062*G9062</f>
        <v>176000</v>
      </c>
    </row>
    <row r="9063" spans="3:11" ht="25.8" customHeight="1">
      <c r="C9063" s="702" t="s">
        <v>1214</v>
      </c>
      <c r="D9063" s="208"/>
      <c r="E9063" s="208" t="s">
        <v>6045</v>
      </c>
      <c r="F9063" s="208"/>
      <c r="G9063" s="209"/>
      <c r="H9063" s="539">
        <f>SUM(H9061:H9062)</f>
        <v>176000</v>
      </c>
    </row>
    <row r="9064" spans="3:11" ht="25.8" customHeight="1">
      <c r="C9064" s="213" t="s">
        <v>1215</v>
      </c>
      <c r="D9064" s="212" t="s">
        <v>1216</v>
      </c>
      <c r="E9064" s="534"/>
      <c r="F9064" s="534"/>
      <c r="G9064" s="534"/>
      <c r="H9064" s="534"/>
    </row>
    <row r="9065" spans="3:11" ht="25.8" customHeight="1">
      <c r="C9065" s="702" t="s">
        <v>1217</v>
      </c>
      <c r="D9065" s="815"/>
      <c r="E9065" s="815"/>
      <c r="F9065" s="815"/>
      <c r="G9065" s="209"/>
      <c r="H9065" s="821">
        <f>SUM(H9064:H9064)</f>
        <v>0</v>
      </c>
    </row>
    <row r="9066" spans="3:11" ht="25.8" customHeight="1">
      <c r="C9066" s="566" t="s">
        <v>1218</v>
      </c>
      <c r="D9066" s="552" t="s">
        <v>1219</v>
      </c>
      <c r="E9066" s="553"/>
      <c r="F9066" s="553"/>
      <c r="G9066" s="554"/>
      <c r="H9066" s="826">
        <f>H9065+H9063+H9060</f>
        <v>199135</v>
      </c>
      <c r="I9066" s="827"/>
    </row>
    <row r="9067" spans="3:11" ht="25.8" customHeight="1">
      <c r="C9067" s="566" t="s">
        <v>1220</v>
      </c>
      <c r="D9067" s="552" t="s">
        <v>1321</v>
      </c>
      <c r="E9067" s="553"/>
      <c r="F9067" s="554"/>
      <c r="G9067" s="555">
        <f>$M$9</f>
        <v>0.1</v>
      </c>
      <c r="H9067" s="539">
        <f>H9066*G9067</f>
        <v>19913.5</v>
      </c>
      <c r="I9067" s="827"/>
    </row>
    <row r="9068" spans="3:11" ht="25.8" customHeight="1">
      <c r="C9068" s="566" t="s">
        <v>1221</v>
      </c>
      <c r="D9068" s="552" t="s">
        <v>1222</v>
      </c>
      <c r="E9068" s="553"/>
      <c r="F9068" s="553"/>
      <c r="G9068" s="554"/>
      <c r="H9068" s="828">
        <f>SUM(H9066:H9067)</f>
        <v>219048.5</v>
      </c>
      <c r="I9068" s="827"/>
    </row>
    <row r="9069" spans="3:11" ht="25.8" customHeight="1"/>
    <row r="9070" spans="3:11" ht="25.8" customHeight="1">
      <c r="C9070" s="513" t="s">
        <v>6386</v>
      </c>
      <c r="D9070" s="817" t="s">
        <v>6387</v>
      </c>
      <c r="E9070" s="803"/>
      <c r="F9070" s="803"/>
      <c r="G9070" s="803"/>
      <c r="H9070" s="803"/>
      <c r="I9070" s="533">
        <f>ROUNDDOWN(H9085,-2)</f>
        <v>267400</v>
      </c>
      <c r="J9070" s="536"/>
      <c r="K9070" s="824"/>
    </row>
    <row r="9071" spans="3:11" ht="25.8" customHeight="1">
      <c r="C9071" s="716" t="s">
        <v>1195</v>
      </c>
      <c r="D9071" s="716" t="s">
        <v>1196</v>
      </c>
      <c r="E9071" s="716" t="s">
        <v>1197</v>
      </c>
      <c r="F9071" s="716" t="s">
        <v>1198</v>
      </c>
      <c r="G9071" s="716" t="s">
        <v>1199</v>
      </c>
      <c r="H9071" s="716" t="s">
        <v>1200</v>
      </c>
    </row>
    <row r="9072" spans="3:11" ht="25.8" customHeight="1">
      <c r="C9072" s="213" t="s">
        <v>1201</v>
      </c>
      <c r="D9072" s="212" t="s">
        <v>1202</v>
      </c>
      <c r="E9072" s="534"/>
      <c r="F9072" s="534"/>
      <c r="G9072" s="534"/>
      <c r="H9072" s="534"/>
    </row>
    <row r="9073" spans="3:11" ht="25.8" customHeight="1">
      <c r="C9073" s="818">
        <v>1</v>
      </c>
      <c r="D9073" s="212" t="s">
        <v>5</v>
      </c>
      <c r="E9073" s="212" t="s">
        <v>6</v>
      </c>
      <c r="F9073" s="538">
        <v>6.4000000000000001E-2</v>
      </c>
      <c r="G9073" s="539">
        <f>VLOOKUP(D9073,upahbahan,3,FALSE)</f>
        <v>100000</v>
      </c>
      <c r="H9073" s="539">
        <f t="shared" ref="H9073:H9076" si="968">F9073*G9073</f>
        <v>6400</v>
      </c>
    </row>
    <row r="9074" spans="3:11" ht="25.8" customHeight="1">
      <c r="C9074" s="818">
        <v>2</v>
      </c>
      <c r="D9074" s="212" t="s">
        <v>17</v>
      </c>
      <c r="E9074" s="212" t="s">
        <v>6</v>
      </c>
      <c r="F9074" s="538">
        <v>0.107</v>
      </c>
      <c r="G9074" s="539">
        <f>VLOOKUP(D9074,upahbahan,3,FALSE)</f>
        <v>135000</v>
      </c>
      <c r="H9074" s="539">
        <f t="shared" si="968"/>
        <v>14445</v>
      </c>
    </row>
    <row r="9075" spans="3:11" ht="25.8" customHeight="1">
      <c r="C9075" s="818">
        <v>3</v>
      </c>
      <c r="D9075" s="212" t="s">
        <v>1310</v>
      </c>
      <c r="E9075" s="212" t="s">
        <v>6</v>
      </c>
      <c r="F9075" s="538">
        <v>1.0999999999999999E-2</v>
      </c>
      <c r="G9075" s="539">
        <f>VLOOKUP(D9075,upahbahan,3,FALSE)</f>
        <v>150000</v>
      </c>
      <c r="H9075" s="539">
        <f t="shared" si="968"/>
        <v>1650</v>
      </c>
    </row>
    <row r="9076" spans="3:11" ht="25.8" customHeight="1">
      <c r="C9076" s="818">
        <v>4</v>
      </c>
      <c r="D9076" s="212" t="s">
        <v>19</v>
      </c>
      <c r="E9076" s="212" t="s">
        <v>6</v>
      </c>
      <c r="F9076" s="538">
        <v>4.0000000000000001E-3</v>
      </c>
      <c r="G9076" s="539">
        <f>VLOOKUP(D9076,upahbahan,3,FALSE)</f>
        <v>160000</v>
      </c>
      <c r="H9076" s="539">
        <f t="shared" si="968"/>
        <v>640</v>
      </c>
    </row>
    <row r="9077" spans="3:11" ht="25.8" customHeight="1">
      <c r="C9077" s="702" t="s">
        <v>1208</v>
      </c>
      <c r="D9077" s="208"/>
      <c r="E9077" s="208"/>
      <c r="F9077" s="811"/>
      <c r="G9077" s="522"/>
      <c r="H9077" s="539">
        <f>SUM(H9073:H9076)</f>
        <v>23135</v>
      </c>
      <c r="I9077" s="819"/>
    </row>
    <row r="9078" spans="3:11" ht="25.8" customHeight="1">
      <c r="C9078" s="213" t="s">
        <v>1209</v>
      </c>
      <c r="D9078" s="212" t="s">
        <v>1210</v>
      </c>
      <c r="E9078" s="534"/>
      <c r="F9078" s="831"/>
      <c r="G9078" s="534"/>
      <c r="H9078" s="534"/>
    </row>
    <row r="9079" spans="3:11" ht="25.8" customHeight="1">
      <c r="C9079" s="213">
        <v>1</v>
      </c>
      <c r="D9079" s="212" t="s">
        <v>6388</v>
      </c>
      <c r="E9079" s="234" t="s">
        <v>235</v>
      </c>
      <c r="F9079" s="866">
        <v>1.1000000000000001</v>
      </c>
      <c r="G9079" s="539">
        <f>VLOOKUP(D9079,upahbahan,3,FALSE)</f>
        <v>200000</v>
      </c>
      <c r="H9079" s="539">
        <f t="shared" ref="H9079" si="969">F9079*G9079</f>
        <v>220000.00000000003</v>
      </c>
    </row>
    <row r="9080" spans="3:11" ht="25.8" customHeight="1">
      <c r="C9080" s="702" t="s">
        <v>1214</v>
      </c>
      <c r="D9080" s="208"/>
      <c r="E9080" s="208" t="s">
        <v>6045</v>
      </c>
      <c r="F9080" s="208"/>
      <c r="G9080" s="209"/>
      <c r="H9080" s="539">
        <f>SUM(H9078:H9079)</f>
        <v>220000.00000000003</v>
      </c>
    </row>
    <row r="9081" spans="3:11" ht="25.8" customHeight="1">
      <c r="C9081" s="213" t="s">
        <v>1215</v>
      </c>
      <c r="D9081" s="212" t="s">
        <v>1216</v>
      </c>
      <c r="E9081" s="534"/>
      <c r="F9081" s="534"/>
      <c r="G9081" s="534"/>
      <c r="H9081" s="534"/>
    </row>
    <row r="9082" spans="3:11" ht="25.8" customHeight="1">
      <c r="C9082" s="702" t="s">
        <v>1217</v>
      </c>
      <c r="D9082" s="815"/>
      <c r="E9082" s="815"/>
      <c r="F9082" s="815"/>
      <c r="G9082" s="209"/>
      <c r="H9082" s="821">
        <f>SUM(H9081:H9081)</f>
        <v>0</v>
      </c>
    </row>
    <row r="9083" spans="3:11" ht="25.8" customHeight="1">
      <c r="C9083" s="566" t="s">
        <v>1218</v>
      </c>
      <c r="D9083" s="552" t="s">
        <v>1219</v>
      </c>
      <c r="E9083" s="553"/>
      <c r="F9083" s="553"/>
      <c r="G9083" s="554"/>
      <c r="H9083" s="826">
        <f>H9082+H9080+H9077</f>
        <v>243135.00000000003</v>
      </c>
      <c r="I9083" s="827"/>
    </row>
    <row r="9084" spans="3:11" ht="25.8" customHeight="1">
      <c r="C9084" s="566" t="s">
        <v>1220</v>
      </c>
      <c r="D9084" s="552" t="s">
        <v>1321</v>
      </c>
      <c r="E9084" s="553"/>
      <c r="F9084" s="554"/>
      <c r="G9084" s="555">
        <f>$M$9</f>
        <v>0.1</v>
      </c>
      <c r="H9084" s="539">
        <f>H9083*G9084</f>
        <v>24313.500000000004</v>
      </c>
      <c r="I9084" s="827"/>
    </row>
    <row r="9085" spans="3:11" ht="25.8" customHeight="1">
      <c r="C9085" s="566" t="s">
        <v>1221</v>
      </c>
      <c r="D9085" s="552" t="s">
        <v>1222</v>
      </c>
      <c r="E9085" s="553"/>
      <c r="F9085" s="553"/>
      <c r="G9085" s="554"/>
      <c r="H9085" s="828">
        <f>SUM(H9083:H9084)</f>
        <v>267448.50000000006</v>
      </c>
      <c r="I9085" s="827"/>
    </row>
    <row r="9086" spans="3:11" ht="25.8" customHeight="1"/>
    <row r="9087" spans="3:11" ht="25.8" customHeight="1">
      <c r="C9087" s="513" t="s">
        <v>6389</v>
      </c>
      <c r="D9087" s="817" t="s">
        <v>6390</v>
      </c>
      <c r="E9087" s="803"/>
      <c r="F9087" s="803"/>
      <c r="G9087" s="803"/>
      <c r="H9087" s="803"/>
      <c r="I9087" s="533">
        <f>ROUNDDOWN(H9102,-2)</f>
        <v>303700</v>
      </c>
      <c r="J9087" s="536"/>
      <c r="K9087" s="824"/>
    </row>
    <row r="9088" spans="3:11" ht="25.8" customHeight="1">
      <c r="C9088" s="716" t="s">
        <v>1195</v>
      </c>
      <c r="D9088" s="716" t="s">
        <v>1196</v>
      </c>
      <c r="E9088" s="716" t="s">
        <v>1197</v>
      </c>
      <c r="F9088" s="716" t="s">
        <v>1198</v>
      </c>
      <c r="G9088" s="716" t="s">
        <v>1199</v>
      </c>
      <c r="H9088" s="716" t="s">
        <v>1200</v>
      </c>
    </row>
    <row r="9089" spans="3:11" ht="25.8" customHeight="1">
      <c r="C9089" s="213" t="s">
        <v>1201</v>
      </c>
      <c r="D9089" s="212" t="s">
        <v>1202</v>
      </c>
      <c r="E9089" s="534"/>
      <c r="F9089" s="534"/>
      <c r="G9089" s="534"/>
      <c r="H9089" s="534"/>
    </row>
    <row r="9090" spans="3:11" ht="25.8" customHeight="1">
      <c r="C9090" s="818">
        <v>1</v>
      </c>
      <c r="D9090" s="212" t="s">
        <v>5</v>
      </c>
      <c r="E9090" s="212" t="s">
        <v>6</v>
      </c>
      <c r="F9090" s="538">
        <v>6.4000000000000001E-2</v>
      </c>
      <c r="G9090" s="539">
        <f>VLOOKUP(D9090,upahbahan,3,FALSE)</f>
        <v>100000</v>
      </c>
      <c r="H9090" s="539">
        <f t="shared" ref="H9090:H9093" si="970">F9090*G9090</f>
        <v>6400</v>
      </c>
    </row>
    <row r="9091" spans="3:11" ht="25.8" customHeight="1">
      <c r="C9091" s="818">
        <v>2</v>
      </c>
      <c r="D9091" s="212" t="s">
        <v>17</v>
      </c>
      <c r="E9091" s="212" t="s">
        <v>6</v>
      </c>
      <c r="F9091" s="538">
        <v>0.107</v>
      </c>
      <c r="G9091" s="539">
        <f>VLOOKUP(D9091,upahbahan,3,FALSE)</f>
        <v>135000</v>
      </c>
      <c r="H9091" s="539">
        <f t="shared" si="970"/>
        <v>14445</v>
      </c>
    </row>
    <row r="9092" spans="3:11" ht="25.8" customHeight="1">
      <c r="C9092" s="818">
        <v>3</v>
      </c>
      <c r="D9092" s="212" t="s">
        <v>1310</v>
      </c>
      <c r="E9092" s="212" t="s">
        <v>6</v>
      </c>
      <c r="F9092" s="538">
        <v>1.0999999999999999E-2</v>
      </c>
      <c r="G9092" s="539">
        <f>VLOOKUP(D9092,upahbahan,3,FALSE)</f>
        <v>150000</v>
      </c>
      <c r="H9092" s="539">
        <f t="shared" si="970"/>
        <v>1650</v>
      </c>
    </row>
    <row r="9093" spans="3:11" ht="25.8" customHeight="1">
      <c r="C9093" s="818">
        <v>4</v>
      </c>
      <c r="D9093" s="212" t="s">
        <v>19</v>
      </c>
      <c r="E9093" s="212" t="s">
        <v>6</v>
      </c>
      <c r="F9093" s="538">
        <v>4.0000000000000001E-3</v>
      </c>
      <c r="G9093" s="539">
        <f>VLOOKUP(D9093,upahbahan,3,FALSE)</f>
        <v>160000</v>
      </c>
      <c r="H9093" s="539">
        <f t="shared" si="970"/>
        <v>640</v>
      </c>
    </row>
    <row r="9094" spans="3:11" ht="25.8" customHeight="1">
      <c r="C9094" s="702" t="s">
        <v>1208</v>
      </c>
      <c r="D9094" s="208"/>
      <c r="E9094" s="208"/>
      <c r="F9094" s="811"/>
      <c r="G9094" s="522"/>
      <c r="H9094" s="539">
        <f>SUM(H9090:H9093)</f>
        <v>23135</v>
      </c>
      <c r="I9094" s="819"/>
    </row>
    <row r="9095" spans="3:11" ht="25.8" customHeight="1">
      <c r="C9095" s="213" t="s">
        <v>1209</v>
      </c>
      <c r="D9095" s="212" t="s">
        <v>1210</v>
      </c>
      <c r="E9095" s="534"/>
      <c r="F9095" s="831"/>
      <c r="G9095" s="534"/>
      <c r="H9095" s="534"/>
    </row>
    <row r="9096" spans="3:11" ht="25.8" customHeight="1">
      <c r="C9096" s="213">
        <v>1</v>
      </c>
      <c r="D9096" s="212" t="s">
        <v>6391</v>
      </c>
      <c r="E9096" s="234" t="s">
        <v>235</v>
      </c>
      <c r="F9096" s="866">
        <v>1.1000000000000001</v>
      </c>
      <c r="G9096" s="539">
        <f>VLOOKUP(D9096,upahbahan,3,FALSE)</f>
        <v>230000</v>
      </c>
      <c r="H9096" s="539">
        <f t="shared" ref="H9096" si="971">F9096*G9096</f>
        <v>253000.00000000003</v>
      </c>
    </row>
    <row r="9097" spans="3:11" ht="25.8" customHeight="1">
      <c r="C9097" s="702" t="s">
        <v>1214</v>
      </c>
      <c r="D9097" s="208"/>
      <c r="E9097" s="208" t="s">
        <v>6045</v>
      </c>
      <c r="F9097" s="208"/>
      <c r="G9097" s="209"/>
      <c r="H9097" s="539">
        <f>SUM(H9095:H9096)</f>
        <v>253000.00000000003</v>
      </c>
    </row>
    <row r="9098" spans="3:11" ht="25.8" customHeight="1">
      <c r="C9098" s="213" t="s">
        <v>1215</v>
      </c>
      <c r="D9098" s="212" t="s">
        <v>1216</v>
      </c>
      <c r="E9098" s="534"/>
      <c r="F9098" s="534"/>
      <c r="G9098" s="534"/>
      <c r="H9098" s="534"/>
    </row>
    <row r="9099" spans="3:11" ht="25.8" customHeight="1">
      <c r="C9099" s="702" t="s">
        <v>1217</v>
      </c>
      <c r="D9099" s="815"/>
      <c r="E9099" s="815"/>
      <c r="F9099" s="815"/>
      <c r="G9099" s="209"/>
      <c r="H9099" s="821">
        <f>SUM(H9098:H9098)</f>
        <v>0</v>
      </c>
    </row>
    <row r="9100" spans="3:11" ht="25.8" customHeight="1">
      <c r="C9100" s="566" t="s">
        <v>1218</v>
      </c>
      <c r="D9100" s="552" t="s">
        <v>1219</v>
      </c>
      <c r="E9100" s="553"/>
      <c r="F9100" s="553"/>
      <c r="G9100" s="554"/>
      <c r="H9100" s="826">
        <f>H9099+H9097+H9094</f>
        <v>276135</v>
      </c>
      <c r="I9100" s="827"/>
    </row>
    <row r="9101" spans="3:11" ht="25.8" customHeight="1">
      <c r="C9101" s="566" t="s">
        <v>1220</v>
      </c>
      <c r="D9101" s="552" t="s">
        <v>1321</v>
      </c>
      <c r="E9101" s="553"/>
      <c r="F9101" s="554"/>
      <c r="G9101" s="555">
        <f>$M$9</f>
        <v>0.1</v>
      </c>
      <c r="H9101" s="539">
        <f>H9100*G9101</f>
        <v>27613.5</v>
      </c>
      <c r="I9101" s="827"/>
    </row>
    <row r="9102" spans="3:11" ht="25.8" customHeight="1">
      <c r="C9102" s="566" t="s">
        <v>1221</v>
      </c>
      <c r="D9102" s="552" t="s">
        <v>1222</v>
      </c>
      <c r="E9102" s="553"/>
      <c r="F9102" s="553"/>
      <c r="G9102" s="554"/>
      <c r="H9102" s="828">
        <f>SUM(H9100:H9101)</f>
        <v>303748.5</v>
      </c>
      <c r="I9102" s="827"/>
    </row>
    <row r="9103" spans="3:11" ht="25.8" customHeight="1"/>
    <row r="9104" spans="3:11" ht="25.8" customHeight="1">
      <c r="C9104" s="513" t="s">
        <v>6392</v>
      </c>
      <c r="D9104" s="817" t="s">
        <v>6393</v>
      </c>
      <c r="E9104" s="803"/>
      <c r="F9104" s="803"/>
      <c r="G9104" s="803"/>
      <c r="H9104" s="803"/>
      <c r="I9104" s="533">
        <f>ROUNDDOWN(H9119,-2)</f>
        <v>393000</v>
      </c>
      <c r="J9104" s="536"/>
      <c r="K9104" s="824"/>
    </row>
    <row r="9105" spans="3:9" ht="25.8" customHeight="1">
      <c r="C9105" s="716" t="s">
        <v>1195</v>
      </c>
      <c r="D9105" s="716" t="s">
        <v>1196</v>
      </c>
      <c r="E9105" s="716" t="s">
        <v>1197</v>
      </c>
      <c r="F9105" s="716" t="s">
        <v>1198</v>
      </c>
      <c r="G9105" s="716" t="s">
        <v>1199</v>
      </c>
      <c r="H9105" s="716" t="s">
        <v>1200</v>
      </c>
    </row>
    <row r="9106" spans="3:9" ht="25.8" customHeight="1">
      <c r="C9106" s="213" t="s">
        <v>1201</v>
      </c>
      <c r="D9106" s="212" t="s">
        <v>1202</v>
      </c>
      <c r="E9106" s="534"/>
      <c r="F9106" s="534"/>
      <c r="G9106" s="534"/>
      <c r="H9106" s="534"/>
    </row>
    <row r="9107" spans="3:9" ht="25.8" customHeight="1">
      <c r="C9107" s="818">
        <v>1</v>
      </c>
      <c r="D9107" s="212" t="s">
        <v>5</v>
      </c>
      <c r="E9107" s="212" t="s">
        <v>6</v>
      </c>
      <c r="F9107" s="538">
        <v>7.5999999999999998E-2</v>
      </c>
      <c r="G9107" s="539">
        <f>VLOOKUP(D9107,upahbahan,3,FALSE)</f>
        <v>100000</v>
      </c>
      <c r="H9107" s="539">
        <f t="shared" ref="H9107:H9110" si="972">F9107*G9107</f>
        <v>7600</v>
      </c>
    </row>
    <row r="9108" spans="3:9" ht="25.8" customHeight="1">
      <c r="C9108" s="818">
        <v>2</v>
      </c>
      <c r="D9108" s="212" t="s">
        <v>17</v>
      </c>
      <c r="E9108" s="212" t="s">
        <v>6</v>
      </c>
      <c r="F9108" s="538">
        <v>0.127</v>
      </c>
      <c r="G9108" s="539">
        <f>VLOOKUP(D9108,upahbahan,3,FALSE)</f>
        <v>135000</v>
      </c>
      <c r="H9108" s="539">
        <f t="shared" si="972"/>
        <v>17145</v>
      </c>
    </row>
    <row r="9109" spans="3:9" ht="25.8" customHeight="1">
      <c r="C9109" s="818">
        <v>3</v>
      </c>
      <c r="D9109" s="212" t="s">
        <v>1310</v>
      </c>
      <c r="E9109" s="212" t="s">
        <v>6</v>
      </c>
      <c r="F9109" s="538">
        <v>1.2999999999999999E-2</v>
      </c>
      <c r="G9109" s="539">
        <f>VLOOKUP(D9109,upahbahan,3,FALSE)</f>
        <v>150000</v>
      </c>
      <c r="H9109" s="539">
        <f t="shared" si="972"/>
        <v>1950</v>
      </c>
    </row>
    <row r="9110" spans="3:9" ht="25.8" customHeight="1">
      <c r="C9110" s="818">
        <v>4</v>
      </c>
      <c r="D9110" s="212" t="s">
        <v>19</v>
      </c>
      <c r="E9110" s="212" t="s">
        <v>6</v>
      </c>
      <c r="F9110" s="538">
        <v>4.0000000000000001E-3</v>
      </c>
      <c r="G9110" s="539">
        <f>VLOOKUP(D9110,upahbahan,3,FALSE)</f>
        <v>160000</v>
      </c>
      <c r="H9110" s="539">
        <f t="shared" si="972"/>
        <v>640</v>
      </c>
    </row>
    <row r="9111" spans="3:9" ht="25.8" customHeight="1">
      <c r="C9111" s="702" t="s">
        <v>1208</v>
      </c>
      <c r="D9111" s="208"/>
      <c r="E9111" s="208"/>
      <c r="F9111" s="811"/>
      <c r="G9111" s="522"/>
      <c r="H9111" s="539">
        <f>SUM(H9107:H9110)</f>
        <v>27335</v>
      </c>
      <c r="I9111" s="819"/>
    </row>
    <row r="9112" spans="3:9" ht="25.8" customHeight="1">
      <c r="C9112" s="213" t="s">
        <v>1209</v>
      </c>
      <c r="D9112" s="212" t="s">
        <v>1210</v>
      </c>
      <c r="E9112" s="534"/>
      <c r="F9112" s="831"/>
      <c r="G9112" s="534"/>
      <c r="H9112" s="534"/>
    </row>
    <row r="9113" spans="3:9" ht="25.8" customHeight="1">
      <c r="C9113" s="213">
        <v>1</v>
      </c>
      <c r="D9113" s="212" t="s">
        <v>6394</v>
      </c>
      <c r="E9113" s="234" t="s">
        <v>235</v>
      </c>
      <c r="F9113" s="866">
        <v>1.1000000000000001</v>
      </c>
      <c r="G9113" s="539">
        <f>VLOOKUP(D9113,upahbahan,3,FALSE)</f>
        <v>300000</v>
      </c>
      <c r="H9113" s="539">
        <f t="shared" ref="H9113" si="973">F9113*G9113</f>
        <v>330000</v>
      </c>
    </row>
    <row r="9114" spans="3:9" ht="25.8" customHeight="1">
      <c r="C9114" s="702" t="s">
        <v>1214</v>
      </c>
      <c r="D9114" s="208"/>
      <c r="E9114" s="208" t="s">
        <v>6045</v>
      </c>
      <c r="F9114" s="208"/>
      <c r="G9114" s="209"/>
      <c r="H9114" s="539">
        <f>SUM(H9112:H9113)</f>
        <v>330000</v>
      </c>
    </row>
    <row r="9115" spans="3:9" ht="25.8" customHeight="1">
      <c r="C9115" s="213" t="s">
        <v>1215</v>
      </c>
      <c r="D9115" s="212" t="s">
        <v>1216</v>
      </c>
      <c r="E9115" s="534"/>
      <c r="F9115" s="534"/>
      <c r="G9115" s="534"/>
      <c r="H9115" s="534"/>
    </row>
    <row r="9116" spans="3:9" ht="25.8" customHeight="1">
      <c r="C9116" s="702" t="s">
        <v>1217</v>
      </c>
      <c r="D9116" s="815"/>
      <c r="E9116" s="815"/>
      <c r="F9116" s="815"/>
      <c r="G9116" s="209"/>
      <c r="H9116" s="821">
        <f>SUM(H9115:H9115)</f>
        <v>0</v>
      </c>
    </row>
    <row r="9117" spans="3:9" ht="25.8" customHeight="1">
      <c r="C9117" s="566" t="s">
        <v>1218</v>
      </c>
      <c r="D9117" s="552" t="s">
        <v>1219</v>
      </c>
      <c r="E9117" s="553"/>
      <c r="F9117" s="553"/>
      <c r="G9117" s="554"/>
      <c r="H9117" s="826">
        <f>H9116+H9114+H9111</f>
        <v>357335</v>
      </c>
      <c r="I9117" s="827"/>
    </row>
    <row r="9118" spans="3:9" ht="25.8" customHeight="1">
      <c r="C9118" s="566" t="s">
        <v>1220</v>
      </c>
      <c r="D9118" s="552" t="s">
        <v>1321</v>
      </c>
      <c r="E9118" s="553"/>
      <c r="F9118" s="554"/>
      <c r="G9118" s="555">
        <f>$M$9</f>
        <v>0.1</v>
      </c>
      <c r="H9118" s="539">
        <f>H9117*G9118</f>
        <v>35733.5</v>
      </c>
      <c r="I9118" s="827"/>
    </row>
    <row r="9119" spans="3:9" ht="25.8" customHeight="1">
      <c r="C9119" s="566" t="s">
        <v>1221</v>
      </c>
      <c r="D9119" s="552" t="s">
        <v>1222</v>
      </c>
      <c r="E9119" s="553"/>
      <c r="F9119" s="553"/>
      <c r="G9119" s="554"/>
      <c r="H9119" s="828">
        <f>SUM(H9117:H9118)</f>
        <v>393068.5</v>
      </c>
      <c r="I9119" s="827"/>
    </row>
    <row r="9120" spans="3:9" ht="25.8" customHeight="1"/>
    <row r="9121" spans="3:11" ht="25.8" customHeight="1">
      <c r="C9121" s="513" t="s">
        <v>6395</v>
      </c>
      <c r="D9121" s="817" t="s">
        <v>6396</v>
      </c>
      <c r="E9121" s="803"/>
      <c r="F9121" s="803"/>
      <c r="G9121" s="803"/>
      <c r="H9121" s="803"/>
      <c r="I9121" s="533">
        <f>ROUNDDOWN(H9136,-2)</f>
        <v>645200</v>
      </c>
      <c r="J9121" s="536"/>
      <c r="K9121" s="824"/>
    </row>
    <row r="9122" spans="3:11" ht="25.8" customHeight="1">
      <c r="C9122" s="716" t="s">
        <v>1195</v>
      </c>
      <c r="D9122" s="716" t="s">
        <v>1196</v>
      </c>
      <c r="E9122" s="716" t="s">
        <v>1197</v>
      </c>
      <c r="F9122" s="716" t="s">
        <v>1198</v>
      </c>
      <c r="G9122" s="716" t="s">
        <v>1199</v>
      </c>
      <c r="H9122" s="716" t="s">
        <v>1200</v>
      </c>
    </row>
    <row r="9123" spans="3:11" ht="25.8" customHeight="1">
      <c r="C9123" s="213" t="s">
        <v>1201</v>
      </c>
      <c r="D9123" s="212" t="s">
        <v>1202</v>
      </c>
      <c r="E9123" s="534"/>
      <c r="F9123" s="534"/>
      <c r="G9123" s="534"/>
      <c r="H9123" s="534"/>
    </row>
    <row r="9124" spans="3:11" ht="25.8" customHeight="1">
      <c r="C9124" s="818">
        <v>1</v>
      </c>
      <c r="D9124" s="212" t="s">
        <v>5</v>
      </c>
      <c r="E9124" s="212" t="s">
        <v>6</v>
      </c>
      <c r="F9124" s="538">
        <v>0.255</v>
      </c>
      <c r="G9124" s="539">
        <f>VLOOKUP(D9124,upahbahan,3,FALSE)</f>
        <v>100000</v>
      </c>
      <c r="H9124" s="539">
        <f t="shared" ref="H9124:H9127" si="974">F9124*G9124</f>
        <v>25500</v>
      </c>
    </row>
    <row r="9125" spans="3:11" ht="25.8" customHeight="1">
      <c r="C9125" s="818">
        <v>2</v>
      </c>
      <c r="D9125" s="212" t="s">
        <v>17</v>
      </c>
      <c r="E9125" s="212" t="s">
        <v>6</v>
      </c>
      <c r="F9125" s="538">
        <v>0.42499999999999999</v>
      </c>
      <c r="G9125" s="539">
        <f>VLOOKUP(D9125,upahbahan,3,FALSE)</f>
        <v>135000</v>
      </c>
      <c r="H9125" s="539">
        <f t="shared" si="974"/>
        <v>57375</v>
      </c>
    </row>
    <row r="9126" spans="3:11" ht="25.8" customHeight="1">
      <c r="C9126" s="818">
        <v>3</v>
      </c>
      <c r="D9126" s="212" t="s">
        <v>1310</v>
      </c>
      <c r="E9126" s="212" t="s">
        <v>6</v>
      </c>
      <c r="F9126" s="538">
        <v>4.2999999999999997E-2</v>
      </c>
      <c r="G9126" s="539">
        <f>VLOOKUP(D9126,upahbahan,3,FALSE)</f>
        <v>150000</v>
      </c>
      <c r="H9126" s="539">
        <f t="shared" si="974"/>
        <v>6449.9999999999991</v>
      </c>
    </row>
    <row r="9127" spans="3:11" ht="25.8" customHeight="1">
      <c r="C9127" s="818">
        <v>4</v>
      </c>
      <c r="D9127" s="212" t="s">
        <v>19</v>
      </c>
      <c r="E9127" s="212" t="s">
        <v>6</v>
      </c>
      <c r="F9127" s="538">
        <v>1.4E-2</v>
      </c>
      <c r="G9127" s="539">
        <f>VLOOKUP(D9127,upahbahan,3,FALSE)</f>
        <v>160000</v>
      </c>
      <c r="H9127" s="539">
        <f t="shared" si="974"/>
        <v>2240</v>
      </c>
    </row>
    <row r="9128" spans="3:11" ht="25.8" customHeight="1">
      <c r="C9128" s="702" t="s">
        <v>1208</v>
      </c>
      <c r="D9128" s="208"/>
      <c r="E9128" s="208"/>
      <c r="F9128" s="811"/>
      <c r="G9128" s="522"/>
      <c r="H9128" s="539">
        <f>SUM(H9124:H9127)</f>
        <v>91565</v>
      </c>
      <c r="I9128" s="819"/>
    </row>
    <row r="9129" spans="3:11" ht="25.8" customHeight="1">
      <c r="C9129" s="213" t="s">
        <v>1209</v>
      </c>
      <c r="D9129" s="212" t="s">
        <v>1210</v>
      </c>
      <c r="E9129" s="534"/>
      <c r="F9129" s="831"/>
      <c r="G9129" s="534"/>
      <c r="H9129" s="534"/>
    </row>
    <row r="9130" spans="3:11" ht="25.8" customHeight="1">
      <c r="C9130" s="213">
        <v>1</v>
      </c>
      <c r="D9130" s="212" t="s">
        <v>6397</v>
      </c>
      <c r="E9130" s="234" t="s">
        <v>235</v>
      </c>
      <c r="F9130" s="866">
        <v>1.1000000000000001</v>
      </c>
      <c r="G9130" s="539">
        <f>VLOOKUP(D9130,upahbahan,3,FALSE)</f>
        <v>450000</v>
      </c>
      <c r="H9130" s="539">
        <f t="shared" ref="H9130" si="975">F9130*G9130</f>
        <v>495000.00000000006</v>
      </c>
    </row>
    <row r="9131" spans="3:11" ht="25.8" customHeight="1">
      <c r="C9131" s="702" t="s">
        <v>1214</v>
      </c>
      <c r="D9131" s="208"/>
      <c r="E9131" s="208" t="s">
        <v>6045</v>
      </c>
      <c r="F9131" s="208"/>
      <c r="G9131" s="209"/>
      <c r="H9131" s="539">
        <f>SUM(H9129:H9130)</f>
        <v>495000.00000000006</v>
      </c>
    </row>
    <row r="9132" spans="3:11" ht="25.8" customHeight="1">
      <c r="C9132" s="213" t="s">
        <v>1215</v>
      </c>
      <c r="D9132" s="212" t="s">
        <v>1216</v>
      </c>
      <c r="E9132" s="534"/>
      <c r="F9132" s="534"/>
      <c r="G9132" s="534"/>
      <c r="H9132" s="534"/>
    </row>
    <row r="9133" spans="3:11" ht="25.8" customHeight="1">
      <c r="C9133" s="702" t="s">
        <v>1217</v>
      </c>
      <c r="D9133" s="815"/>
      <c r="E9133" s="815"/>
      <c r="F9133" s="815"/>
      <c r="G9133" s="209"/>
      <c r="H9133" s="821">
        <f>SUM(H9132:H9132)</f>
        <v>0</v>
      </c>
    </row>
    <row r="9134" spans="3:11" ht="25.8" customHeight="1">
      <c r="C9134" s="566" t="s">
        <v>1218</v>
      </c>
      <c r="D9134" s="552" t="s">
        <v>1219</v>
      </c>
      <c r="E9134" s="553"/>
      <c r="F9134" s="553"/>
      <c r="G9134" s="554"/>
      <c r="H9134" s="826">
        <f>H9133+H9131+H9128</f>
        <v>586565</v>
      </c>
      <c r="I9134" s="827"/>
    </row>
    <row r="9135" spans="3:11" ht="25.8" customHeight="1">
      <c r="C9135" s="566" t="s">
        <v>1220</v>
      </c>
      <c r="D9135" s="552" t="s">
        <v>1321</v>
      </c>
      <c r="E9135" s="553"/>
      <c r="F9135" s="554"/>
      <c r="G9135" s="555">
        <f>$M$9</f>
        <v>0.1</v>
      </c>
      <c r="H9135" s="539">
        <f>H9134*G9135</f>
        <v>58656.5</v>
      </c>
      <c r="I9135" s="827"/>
    </row>
    <row r="9136" spans="3:11" ht="25.8" customHeight="1">
      <c r="C9136" s="566" t="s">
        <v>1221</v>
      </c>
      <c r="D9136" s="552" t="s">
        <v>1222</v>
      </c>
      <c r="E9136" s="553"/>
      <c r="F9136" s="553"/>
      <c r="G9136" s="554"/>
      <c r="H9136" s="828">
        <f>SUM(H9134:H9135)</f>
        <v>645221.5</v>
      </c>
      <c r="I9136" s="827"/>
    </row>
    <row r="9137" spans="3:11" ht="25.8" customHeight="1"/>
    <row r="9138" spans="3:11" ht="25.8" customHeight="1">
      <c r="C9138" s="513" t="s">
        <v>6398</v>
      </c>
      <c r="D9138" s="817" t="s">
        <v>6399</v>
      </c>
      <c r="E9138" s="803"/>
      <c r="F9138" s="803"/>
      <c r="G9138" s="803"/>
      <c r="H9138" s="803"/>
      <c r="I9138" s="533">
        <f>ROUNDDOWN(H9153,-2)</f>
        <v>695100</v>
      </c>
      <c r="J9138" s="536"/>
      <c r="K9138" s="824"/>
    </row>
    <row r="9139" spans="3:11" ht="25.8" customHeight="1">
      <c r="C9139" s="716" t="s">
        <v>1195</v>
      </c>
      <c r="D9139" s="716" t="s">
        <v>1196</v>
      </c>
      <c r="E9139" s="716" t="s">
        <v>1197</v>
      </c>
      <c r="F9139" s="716" t="s">
        <v>1198</v>
      </c>
      <c r="G9139" s="716" t="s">
        <v>1199</v>
      </c>
      <c r="H9139" s="716" t="s">
        <v>1200</v>
      </c>
    </row>
    <row r="9140" spans="3:11" ht="25.8" customHeight="1">
      <c r="C9140" s="213" t="s">
        <v>1201</v>
      </c>
      <c r="D9140" s="212" t="s">
        <v>1202</v>
      </c>
      <c r="E9140" s="534"/>
      <c r="F9140" s="534"/>
      <c r="G9140" s="534"/>
      <c r="H9140" s="534"/>
    </row>
    <row r="9141" spans="3:11" ht="25.8" customHeight="1">
      <c r="C9141" s="818">
        <v>1</v>
      </c>
      <c r="D9141" s="212" t="s">
        <v>5</v>
      </c>
      <c r="E9141" s="212" t="s">
        <v>6</v>
      </c>
      <c r="F9141" s="538">
        <v>0.38100000000000001</v>
      </c>
      <c r="G9141" s="539">
        <f>VLOOKUP(D9141,upahbahan,3,FALSE)</f>
        <v>100000</v>
      </c>
      <c r="H9141" s="539">
        <f t="shared" ref="H9141:H9144" si="976">F9141*G9141</f>
        <v>38100</v>
      </c>
    </row>
    <row r="9142" spans="3:11" ht="25.8" customHeight="1">
      <c r="C9142" s="818">
        <v>2</v>
      </c>
      <c r="D9142" s="212" t="s">
        <v>17</v>
      </c>
      <c r="E9142" s="212" t="s">
        <v>6</v>
      </c>
      <c r="F9142" s="538">
        <v>0.63600000000000001</v>
      </c>
      <c r="G9142" s="539">
        <f>VLOOKUP(D9142,upahbahan,3,FALSE)</f>
        <v>135000</v>
      </c>
      <c r="H9142" s="539">
        <f t="shared" si="976"/>
        <v>85860</v>
      </c>
    </row>
    <row r="9143" spans="3:11" ht="25.8" customHeight="1">
      <c r="C9143" s="818">
        <v>3</v>
      </c>
      <c r="D9143" s="212" t="s">
        <v>1310</v>
      </c>
      <c r="E9143" s="212" t="s">
        <v>6</v>
      </c>
      <c r="F9143" s="538">
        <v>6.4000000000000001E-2</v>
      </c>
      <c r="G9143" s="539">
        <f>VLOOKUP(D9143,upahbahan,3,FALSE)</f>
        <v>150000</v>
      </c>
      <c r="H9143" s="539">
        <f t="shared" si="976"/>
        <v>9600</v>
      </c>
    </row>
    <row r="9144" spans="3:11" ht="25.8" customHeight="1">
      <c r="C9144" s="818">
        <v>4</v>
      </c>
      <c r="D9144" s="212" t="s">
        <v>19</v>
      </c>
      <c r="E9144" s="212" t="s">
        <v>6</v>
      </c>
      <c r="F9144" s="538">
        <v>2.1000000000000001E-2</v>
      </c>
      <c r="G9144" s="539">
        <f>VLOOKUP(D9144,upahbahan,3,FALSE)</f>
        <v>160000</v>
      </c>
      <c r="H9144" s="539">
        <f t="shared" si="976"/>
        <v>3360</v>
      </c>
    </row>
    <row r="9145" spans="3:11" ht="25.8" customHeight="1">
      <c r="C9145" s="702" t="s">
        <v>1208</v>
      </c>
      <c r="D9145" s="208"/>
      <c r="E9145" s="208"/>
      <c r="F9145" s="811"/>
      <c r="G9145" s="522"/>
      <c r="H9145" s="539">
        <f>SUM(H9141:H9144)</f>
        <v>136920</v>
      </c>
      <c r="I9145" s="819"/>
    </row>
    <row r="9146" spans="3:11" ht="25.8" customHeight="1">
      <c r="C9146" s="213" t="s">
        <v>1209</v>
      </c>
      <c r="D9146" s="212" t="s">
        <v>1210</v>
      </c>
      <c r="E9146" s="534"/>
      <c r="F9146" s="831"/>
      <c r="G9146" s="534"/>
      <c r="H9146" s="534"/>
    </row>
    <row r="9147" spans="3:11" ht="25.8" customHeight="1">
      <c r="C9147" s="213">
        <v>1</v>
      </c>
      <c r="D9147" s="212" t="s">
        <v>6397</v>
      </c>
      <c r="E9147" s="234" t="s">
        <v>235</v>
      </c>
      <c r="F9147" s="866">
        <v>1.1000000000000001</v>
      </c>
      <c r="G9147" s="539">
        <f>VLOOKUP(D9147,upahbahan,3,FALSE)</f>
        <v>450000</v>
      </c>
      <c r="H9147" s="539">
        <f t="shared" ref="H9147" si="977">F9147*G9147</f>
        <v>495000.00000000006</v>
      </c>
    </row>
    <row r="9148" spans="3:11" ht="25.8" customHeight="1">
      <c r="C9148" s="702" t="s">
        <v>1214</v>
      </c>
      <c r="D9148" s="208"/>
      <c r="E9148" s="208" t="s">
        <v>6045</v>
      </c>
      <c r="F9148" s="208"/>
      <c r="G9148" s="209"/>
      <c r="H9148" s="539">
        <f>SUM(H9146:H9147)</f>
        <v>495000.00000000006</v>
      </c>
    </row>
    <row r="9149" spans="3:11" ht="25.8" customHeight="1">
      <c r="C9149" s="213" t="s">
        <v>1215</v>
      </c>
      <c r="D9149" s="212" t="s">
        <v>1216</v>
      </c>
      <c r="E9149" s="534"/>
      <c r="F9149" s="534"/>
      <c r="G9149" s="534"/>
      <c r="H9149" s="534"/>
    </row>
    <row r="9150" spans="3:11" ht="25.8" customHeight="1">
      <c r="C9150" s="702" t="s">
        <v>1217</v>
      </c>
      <c r="D9150" s="815"/>
      <c r="E9150" s="815"/>
      <c r="F9150" s="815"/>
      <c r="G9150" s="209"/>
      <c r="H9150" s="821">
        <f>SUM(H9149:H9149)</f>
        <v>0</v>
      </c>
    </row>
    <row r="9151" spans="3:11" ht="25.8" customHeight="1">
      <c r="C9151" s="566" t="s">
        <v>1218</v>
      </c>
      <c r="D9151" s="552" t="s">
        <v>1219</v>
      </c>
      <c r="E9151" s="553"/>
      <c r="F9151" s="553"/>
      <c r="G9151" s="554"/>
      <c r="H9151" s="826">
        <f>H9150+H9148+H9145</f>
        <v>631920</v>
      </c>
      <c r="I9151" s="827"/>
    </row>
    <row r="9152" spans="3:11" ht="25.8" customHeight="1">
      <c r="C9152" s="566" t="s">
        <v>1220</v>
      </c>
      <c r="D9152" s="552" t="s">
        <v>1321</v>
      </c>
      <c r="E9152" s="553"/>
      <c r="F9152" s="554"/>
      <c r="G9152" s="555">
        <f>$M$9</f>
        <v>0.1</v>
      </c>
      <c r="H9152" s="539">
        <f>H9151*G9152</f>
        <v>63192</v>
      </c>
      <c r="I9152" s="827"/>
    </row>
    <row r="9153" spans="3:11" ht="25.8" customHeight="1">
      <c r="C9153" s="566" t="s">
        <v>1221</v>
      </c>
      <c r="D9153" s="552" t="s">
        <v>1222</v>
      </c>
      <c r="E9153" s="553"/>
      <c r="F9153" s="553"/>
      <c r="G9153" s="554"/>
      <c r="H9153" s="828">
        <f>SUM(H9151:H9152)</f>
        <v>695112</v>
      </c>
      <c r="I9153" s="827"/>
    </row>
    <row r="9154" spans="3:11" ht="25.8" customHeight="1"/>
    <row r="9155" spans="3:11" ht="25.8" customHeight="1">
      <c r="C9155" s="513" t="s">
        <v>6400</v>
      </c>
      <c r="D9155" s="817" t="s">
        <v>6401</v>
      </c>
      <c r="E9155" s="803"/>
      <c r="F9155" s="803"/>
      <c r="G9155" s="803"/>
      <c r="H9155" s="803"/>
      <c r="I9155" s="533">
        <f>ROUNDDOWN(H9170,-2)</f>
        <v>740300</v>
      </c>
      <c r="J9155" s="536"/>
      <c r="K9155" s="824"/>
    </row>
    <row r="9156" spans="3:11" ht="25.8" customHeight="1">
      <c r="C9156" s="716" t="s">
        <v>1195</v>
      </c>
      <c r="D9156" s="716" t="s">
        <v>1196</v>
      </c>
      <c r="E9156" s="716" t="s">
        <v>1197</v>
      </c>
      <c r="F9156" s="716" t="s">
        <v>1198</v>
      </c>
      <c r="G9156" s="716" t="s">
        <v>1199</v>
      </c>
      <c r="H9156" s="716" t="s">
        <v>1200</v>
      </c>
    </row>
    <row r="9157" spans="3:11" ht="25.8" customHeight="1">
      <c r="C9157" s="213" t="s">
        <v>1201</v>
      </c>
      <c r="D9157" s="212" t="s">
        <v>1202</v>
      </c>
      <c r="E9157" s="534"/>
      <c r="F9157" s="534"/>
      <c r="G9157" s="534"/>
      <c r="H9157" s="534"/>
    </row>
    <row r="9158" spans="3:11" ht="25.8" customHeight="1">
      <c r="C9158" s="818">
        <v>1</v>
      </c>
      <c r="D9158" s="212" t="s">
        <v>5</v>
      </c>
      <c r="E9158" s="212" t="s">
        <v>6</v>
      </c>
      <c r="F9158" s="538">
        <v>0.50700000000000001</v>
      </c>
      <c r="G9158" s="539">
        <f>VLOOKUP(D9158,upahbahan,3,FALSE)</f>
        <v>100000</v>
      </c>
      <c r="H9158" s="539">
        <f t="shared" ref="H9158:H9161" si="978">F9158*G9158</f>
        <v>50700</v>
      </c>
    </row>
    <row r="9159" spans="3:11" ht="25.8" customHeight="1">
      <c r="C9159" s="818">
        <v>2</v>
      </c>
      <c r="D9159" s="212" t="s">
        <v>17</v>
      </c>
      <c r="E9159" s="212" t="s">
        <v>6</v>
      </c>
      <c r="F9159" s="538">
        <v>0.84699999999999998</v>
      </c>
      <c r="G9159" s="539">
        <f>VLOOKUP(D9159,upahbahan,3,FALSE)</f>
        <v>135000</v>
      </c>
      <c r="H9159" s="539">
        <f t="shared" si="978"/>
        <v>114345</v>
      </c>
    </row>
    <row r="9160" spans="3:11" ht="25.8" customHeight="1">
      <c r="C9160" s="818">
        <v>3</v>
      </c>
      <c r="D9160" s="212" t="s">
        <v>1310</v>
      </c>
      <c r="E9160" s="212" t="s">
        <v>6</v>
      </c>
      <c r="F9160" s="538">
        <v>5.7000000000000002E-2</v>
      </c>
      <c r="G9160" s="539">
        <f>VLOOKUP(D9160,upahbahan,3,FALSE)</f>
        <v>150000</v>
      </c>
      <c r="H9160" s="539">
        <f t="shared" si="978"/>
        <v>8550</v>
      </c>
    </row>
    <row r="9161" spans="3:11" ht="25.8" customHeight="1">
      <c r="C9161" s="818">
        <v>4</v>
      </c>
      <c r="D9161" s="212" t="s">
        <v>19</v>
      </c>
      <c r="E9161" s="212" t="s">
        <v>6</v>
      </c>
      <c r="F9161" s="538">
        <v>2.8000000000000001E-2</v>
      </c>
      <c r="G9161" s="539">
        <f>VLOOKUP(D9161,upahbahan,3,FALSE)</f>
        <v>160000</v>
      </c>
      <c r="H9161" s="539">
        <f t="shared" si="978"/>
        <v>4480</v>
      </c>
    </row>
    <row r="9162" spans="3:11" ht="25.8" customHeight="1">
      <c r="C9162" s="702" t="s">
        <v>1208</v>
      </c>
      <c r="D9162" s="208"/>
      <c r="E9162" s="208"/>
      <c r="F9162" s="811"/>
      <c r="G9162" s="522"/>
      <c r="H9162" s="539">
        <f>SUM(H9158:H9161)</f>
        <v>178075</v>
      </c>
      <c r="I9162" s="819"/>
    </row>
    <row r="9163" spans="3:11" ht="25.8" customHeight="1">
      <c r="C9163" s="213" t="s">
        <v>1209</v>
      </c>
      <c r="D9163" s="212" t="s">
        <v>1210</v>
      </c>
      <c r="E9163" s="534"/>
      <c r="F9163" s="831"/>
      <c r="G9163" s="534"/>
      <c r="H9163" s="534"/>
    </row>
    <row r="9164" spans="3:11" ht="25.8" customHeight="1">
      <c r="C9164" s="213">
        <v>1</v>
      </c>
      <c r="D9164" s="212" t="s">
        <v>6397</v>
      </c>
      <c r="E9164" s="234" t="s">
        <v>235</v>
      </c>
      <c r="F9164" s="866">
        <v>1.1000000000000001</v>
      </c>
      <c r="G9164" s="539">
        <f>VLOOKUP(D9164,upahbahan,3,FALSE)</f>
        <v>450000</v>
      </c>
      <c r="H9164" s="539">
        <f t="shared" ref="H9164" si="979">F9164*G9164</f>
        <v>495000.00000000006</v>
      </c>
    </row>
    <row r="9165" spans="3:11" ht="25.8" customHeight="1">
      <c r="C9165" s="702" t="s">
        <v>1214</v>
      </c>
      <c r="D9165" s="208"/>
      <c r="E9165" s="208" t="s">
        <v>6045</v>
      </c>
      <c r="F9165" s="208"/>
      <c r="G9165" s="209"/>
      <c r="H9165" s="539">
        <f>SUM(H9163:H9164)</f>
        <v>495000.00000000006</v>
      </c>
    </row>
    <row r="9166" spans="3:11" ht="25.8" customHeight="1">
      <c r="C9166" s="213" t="s">
        <v>1215</v>
      </c>
      <c r="D9166" s="212" t="s">
        <v>1216</v>
      </c>
      <c r="E9166" s="534"/>
      <c r="F9166" s="534"/>
      <c r="G9166" s="534"/>
      <c r="H9166" s="534"/>
    </row>
    <row r="9167" spans="3:11" ht="25.8" customHeight="1">
      <c r="C9167" s="702" t="s">
        <v>1217</v>
      </c>
      <c r="D9167" s="815"/>
      <c r="E9167" s="815"/>
      <c r="F9167" s="815"/>
      <c r="G9167" s="209"/>
      <c r="H9167" s="821">
        <f>SUM(H9166:H9166)</f>
        <v>0</v>
      </c>
    </row>
    <row r="9168" spans="3:11" ht="25.8" customHeight="1">
      <c r="C9168" s="566" t="s">
        <v>1218</v>
      </c>
      <c r="D9168" s="552" t="s">
        <v>1219</v>
      </c>
      <c r="E9168" s="553"/>
      <c r="F9168" s="553"/>
      <c r="G9168" s="554"/>
      <c r="H9168" s="826">
        <f>H9167+H9165+H9162</f>
        <v>673075</v>
      </c>
      <c r="I9168" s="827"/>
    </row>
    <row r="9169" spans="3:11" ht="25.8" customHeight="1">
      <c r="C9169" s="566" t="s">
        <v>1220</v>
      </c>
      <c r="D9169" s="552" t="s">
        <v>1321</v>
      </c>
      <c r="E9169" s="553"/>
      <c r="F9169" s="554"/>
      <c r="G9169" s="555">
        <f>$M$9</f>
        <v>0.1</v>
      </c>
      <c r="H9169" s="539">
        <f>H9168*G9169</f>
        <v>67307.5</v>
      </c>
      <c r="I9169" s="827"/>
    </row>
    <row r="9170" spans="3:11" ht="25.8" customHeight="1">
      <c r="C9170" s="566" t="s">
        <v>1221</v>
      </c>
      <c r="D9170" s="552" t="s">
        <v>1222</v>
      </c>
      <c r="E9170" s="553"/>
      <c r="F9170" s="553"/>
      <c r="G9170" s="554"/>
      <c r="H9170" s="828">
        <f>SUM(H9168:H9169)</f>
        <v>740382.5</v>
      </c>
      <c r="I9170" s="827"/>
    </row>
    <row r="9171" spans="3:11" ht="25.8" customHeight="1"/>
    <row r="9172" spans="3:11" ht="25.8" customHeight="1">
      <c r="C9172" s="513" t="s">
        <v>6402</v>
      </c>
      <c r="D9172" s="817" t="s">
        <v>6403</v>
      </c>
      <c r="E9172" s="803"/>
      <c r="F9172" s="803"/>
      <c r="G9172" s="803"/>
      <c r="H9172" s="803"/>
      <c r="I9172" s="533">
        <f>ROUNDDOWN(H9187,-2)</f>
        <v>794800</v>
      </c>
      <c r="J9172" s="536"/>
      <c r="K9172" s="824"/>
    </row>
    <row r="9173" spans="3:11" ht="25.8" customHeight="1">
      <c r="C9173" s="716" t="s">
        <v>1195</v>
      </c>
      <c r="D9173" s="716" t="s">
        <v>1196</v>
      </c>
      <c r="E9173" s="716" t="s">
        <v>1197</v>
      </c>
      <c r="F9173" s="716" t="s">
        <v>1198</v>
      </c>
      <c r="G9173" s="716" t="s">
        <v>1199</v>
      </c>
      <c r="H9173" s="716" t="s">
        <v>1200</v>
      </c>
    </row>
    <row r="9174" spans="3:11" ht="25.8" customHeight="1">
      <c r="C9174" s="213" t="s">
        <v>1201</v>
      </c>
      <c r="D9174" s="212" t="s">
        <v>1202</v>
      </c>
      <c r="E9174" s="534"/>
      <c r="F9174" s="534"/>
      <c r="G9174" s="534"/>
      <c r="H9174" s="534"/>
    </row>
    <row r="9175" spans="3:11" ht="25.8" customHeight="1">
      <c r="C9175" s="818">
        <v>1</v>
      </c>
      <c r="D9175" s="212" t="s">
        <v>5</v>
      </c>
      <c r="E9175" s="212" t="s">
        <v>6</v>
      </c>
      <c r="F9175" s="538">
        <v>0.63300000000000001</v>
      </c>
      <c r="G9175" s="539">
        <f>VLOOKUP(D9175,upahbahan,3,FALSE)</f>
        <v>100000</v>
      </c>
      <c r="H9175" s="539">
        <f t="shared" ref="H9175:H9178" si="980">F9175*G9175</f>
        <v>63300</v>
      </c>
    </row>
    <row r="9176" spans="3:11" ht="25.8" customHeight="1">
      <c r="C9176" s="818">
        <v>2</v>
      </c>
      <c r="D9176" s="212" t="s">
        <v>17</v>
      </c>
      <c r="E9176" s="212" t="s">
        <v>6</v>
      </c>
      <c r="F9176" s="538">
        <v>1.0580000000000001</v>
      </c>
      <c r="G9176" s="539">
        <f>VLOOKUP(D9176,upahbahan,3,FALSE)</f>
        <v>135000</v>
      </c>
      <c r="H9176" s="539">
        <f t="shared" si="980"/>
        <v>142830</v>
      </c>
    </row>
    <row r="9177" spans="3:11" ht="25.8" customHeight="1">
      <c r="C9177" s="818">
        <v>3</v>
      </c>
      <c r="D9177" s="212" t="s">
        <v>1310</v>
      </c>
      <c r="E9177" s="212" t="s">
        <v>6</v>
      </c>
      <c r="F9177" s="538">
        <v>0.106</v>
      </c>
      <c r="G9177" s="539">
        <f>VLOOKUP(D9177,upahbahan,3,FALSE)</f>
        <v>150000</v>
      </c>
      <c r="H9177" s="539">
        <f t="shared" si="980"/>
        <v>15900</v>
      </c>
    </row>
    <row r="9178" spans="3:11" ht="25.8" customHeight="1">
      <c r="C9178" s="818">
        <v>4</v>
      </c>
      <c r="D9178" s="212" t="s">
        <v>19</v>
      </c>
      <c r="E9178" s="212" t="s">
        <v>6</v>
      </c>
      <c r="F9178" s="538">
        <v>3.5000000000000003E-2</v>
      </c>
      <c r="G9178" s="539">
        <f>VLOOKUP(D9178,upahbahan,3,FALSE)</f>
        <v>160000</v>
      </c>
      <c r="H9178" s="539">
        <f t="shared" si="980"/>
        <v>5600.0000000000009</v>
      </c>
    </row>
    <row r="9179" spans="3:11" ht="25.8" customHeight="1">
      <c r="C9179" s="702" t="s">
        <v>1208</v>
      </c>
      <c r="D9179" s="208"/>
      <c r="E9179" s="208"/>
      <c r="F9179" s="811"/>
      <c r="G9179" s="522"/>
      <c r="H9179" s="539">
        <f>SUM(H9175:H9178)</f>
        <v>227630</v>
      </c>
      <c r="I9179" s="819"/>
    </row>
    <row r="9180" spans="3:11" ht="25.8" customHeight="1">
      <c r="C9180" s="213" t="s">
        <v>1209</v>
      </c>
      <c r="D9180" s="212" t="s">
        <v>1210</v>
      </c>
      <c r="E9180" s="534"/>
      <c r="F9180" s="831"/>
      <c r="G9180" s="534"/>
      <c r="H9180" s="534"/>
    </row>
    <row r="9181" spans="3:11" ht="25.8" customHeight="1">
      <c r="C9181" s="213">
        <v>1</v>
      </c>
      <c r="D9181" s="212" t="s">
        <v>6397</v>
      </c>
      <c r="E9181" s="234" t="s">
        <v>235</v>
      </c>
      <c r="F9181" s="866">
        <v>1.1000000000000001</v>
      </c>
      <c r="G9181" s="539">
        <f>VLOOKUP(D9181,upahbahan,3,FALSE)</f>
        <v>450000</v>
      </c>
      <c r="H9181" s="539">
        <f t="shared" ref="H9181" si="981">F9181*G9181</f>
        <v>495000.00000000006</v>
      </c>
    </row>
    <row r="9182" spans="3:11" ht="25.8" customHeight="1">
      <c r="C9182" s="702" t="s">
        <v>1214</v>
      </c>
      <c r="D9182" s="208"/>
      <c r="E9182" s="208" t="s">
        <v>6045</v>
      </c>
      <c r="F9182" s="208"/>
      <c r="G9182" s="209"/>
      <c r="H9182" s="539">
        <f>SUM(H9180:H9181)</f>
        <v>495000.00000000006</v>
      </c>
    </row>
    <row r="9183" spans="3:11" ht="25.8" customHeight="1">
      <c r="C9183" s="213" t="s">
        <v>1215</v>
      </c>
      <c r="D9183" s="212" t="s">
        <v>1216</v>
      </c>
      <c r="E9183" s="534"/>
      <c r="F9183" s="534"/>
      <c r="G9183" s="534"/>
      <c r="H9183" s="534"/>
    </row>
    <row r="9184" spans="3:11" ht="25.8" customHeight="1">
      <c r="C9184" s="702" t="s">
        <v>1217</v>
      </c>
      <c r="D9184" s="815"/>
      <c r="E9184" s="815"/>
      <c r="F9184" s="815"/>
      <c r="G9184" s="209"/>
      <c r="H9184" s="821">
        <f>SUM(H9183:H9183)</f>
        <v>0</v>
      </c>
    </row>
    <row r="9185" spans="3:11" ht="25.8" customHeight="1">
      <c r="C9185" s="566" t="s">
        <v>1218</v>
      </c>
      <c r="D9185" s="552" t="s">
        <v>1219</v>
      </c>
      <c r="E9185" s="553"/>
      <c r="F9185" s="553"/>
      <c r="G9185" s="554"/>
      <c r="H9185" s="826">
        <f>H9184+H9182+H9179</f>
        <v>722630</v>
      </c>
      <c r="I9185" s="827"/>
    </row>
    <row r="9186" spans="3:11" ht="25.8" customHeight="1">
      <c r="C9186" s="566" t="s">
        <v>1220</v>
      </c>
      <c r="D9186" s="552" t="s">
        <v>1321</v>
      </c>
      <c r="E9186" s="553"/>
      <c r="F9186" s="554"/>
      <c r="G9186" s="555">
        <f>$M$9</f>
        <v>0.1</v>
      </c>
      <c r="H9186" s="539">
        <f>H9185*G9186</f>
        <v>72263</v>
      </c>
      <c r="I9186" s="827"/>
    </row>
    <row r="9187" spans="3:11" ht="25.8" customHeight="1">
      <c r="C9187" s="566" t="s">
        <v>1221</v>
      </c>
      <c r="D9187" s="552" t="s">
        <v>1222</v>
      </c>
      <c r="E9187" s="553"/>
      <c r="F9187" s="553"/>
      <c r="G9187" s="554"/>
      <c r="H9187" s="828">
        <f>SUM(H9185:H9186)</f>
        <v>794893</v>
      </c>
      <c r="I9187" s="827"/>
    </row>
    <row r="9188" spans="3:11" ht="25.8" customHeight="1"/>
    <row r="9189" spans="3:11" ht="25.8" customHeight="1">
      <c r="C9189" s="513" t="s">
        <v>6404</v>
      </c>
      <c r="D9189" s="817" t="s">
        <v>6405</v>
      </c>
      <c r="E9189" s="803"/>
      <c r="F9189" s="803"/>
      <c r="G9189" s="803"/>
      <c r="H9189" s="803"/>
      <c r="I9189" s="533">
        <f>ROUNDDOWN(H9204,-2)</f>
        <v>794800</v>
      </c>
      <c r="J9189" s="536"/>
      <c r="K9189" s="824"/>
    </row>
    <row r="9190" spans="3:11" ht="25.8" customHeight="1">
      <c r="C9190" s="716" t="s">
        <v>1195</v>
      </c>
      <c r="D9190" s="716" t="s">
        <v>1196</v>
      </c>
      <c r="E9190" s="716" t="s">
        <v>1197</v>
      </c>
      <c r="F9190" s="716" t="s">
        <v>1198</v>
      </c>
      <c r="G9190" s="716" t="s">
        <v>1199</v>
      </c>
      <c r="H9190" s="716" t="s">
        <v>1200</v>
      </c>
    </row>
    <row r="9191" spans="3:11" ht="25.8" customHeight="1">
      <c r="C9191" s="213" t="s">
        <v>1201</v>
      </c>
      <c r="D9191" s="212" t="s">
        <v>1202</v>
      </c>
      <c r="E9191" s="534"/>
      <c r="F9191" s="534"/>
      <c r="G9191" s="534"/>
      <c r="H9191" s="534"/>
    </row>
    <row r="9192" spans="3:11" ht="25.8" customHeight="1">
      <c r="C9192" s="818">
        <v>1</v>
      </c>
      <c r="D9192" s="212" t="s">
        <v>5</v>
      </c>
      <c r="E9192" s="212" t="s">
        <v>6</v>
      </c>
      <c r="F9192" s="538">
        <v>0.63300000000000001</v>
      </c>
      <c r="G9192" s="539">
        <f>VLOOKUP(D9192,upahbahan,3,FALSE)</f>
        <v>100000</v>
      </c>
      <c r="H9192" s="539">
        <f t="shared" ref="H9192:H9195" si="982">F9192*G9192</f>
        <v>63300</v>
      </c>
    </row>
    <row r="9193" spans="3:11" ht="25.8" customHeight="1">
      <c r="C9193" s="818">
        <v>2</v>
      </c>
      <c r="D9193" s="212" t="s">
        <v>17</v>
      </c>
      <c r="E9193" s="212" t="s">
        <v>6</v>
      </c>
      <c r="F9193" s="538">
        <v>1.0580000000000001</v>
      </c>
      <c r="G9193" s="539">
        <f>VLOOKUP(D9193,upahbahan,3,FALSE)</f>
        <v>135000</v>
      </c>
      <c r="H9193" s="539">
        <f t="shared" si="982"/>
        <v>142830</v>
      </c>
    </row>
    <row r="9194" spans="3:11" ht="25.8" customHeight="1">
      <c r="C9194" s="818">
        <v>3</v>
      </c>
      <c r="D9194" s="212" t="s">
        <v>1310</v>
      </c>
      <c r="E9194" s="212" t="s">
        <v>6</v>
      </c>
      <c r="F9194" s="538">
        <v>0.106</v>
      </c>
      <c r="G9194" s="539">
        <f>VLOOKUP(D9194,upahbahan,3,FALSE)</f>
        <v>150000</v>
      </c>
      <c r="H9194" s="539">
        <f t="shared" si="982"/>
        <v>15900</v>
      </c>
    </row>
    <row r="9195" spans="3:11" ht="25.8" customHeight="1">
      <c r="C9195" s="818">
        <v>4</v>
      </c>
      <c r="D9195" s="212" t="s">
        <v>19</v>
      </c>
      <c r="E9195" s="212" t="s">
        <v>6</v>
      </c>
      <c r="F9195" s="538">
        <v>3.5000000000000003E-2</v>
      </c>
      <c r="G9195" s="539">
        <f>VLOOKUP(D9195,upahbahan,3,FALSE)</f>
        <v>160000</v>
      </c>
      <c r="H9195" s="539">
        <f t="shared" si="982"/>
        <v>5600.0000000000009</v>
      </c>
    </row>
    <row r="9196" spans="3:11" ht="25.8" customHeight="1">
      <c r="C9196" s="702" t="s">
        <v>1208</v>
      </c>
      <c r="D9196" s="208"/>
      <c r="E9196" s="208"/>
      <c r="F9196" s="811"/>
      <c r="G9196" s="522"/>
      <c r="H9196" s="539">
        <f>SUM(H9192:H9195)</f>
        <v>227630</v>
      </c>
      <c r="I9196" s="819"/>
    </row>
    <row r="9197" spans="3:11" ht="25.8" customHeight="1">
      <c r="C9197" s="213" t="s">
        <v>1209</v>
      </c>
      <c r="D9197" s="212" t="s">
        <v>1210</v>
      </c>
      <c r="E9197" s="534"/>
      <c r="F9197" s="831"/>
      <c r="G9197" s="534"/>
      <c r="H9197" s="534"/>
    </row>
    <row r="9198" spans="3:11" ht="25.8" customHeight="1">
      <c r="C9198" s="213">
        <v>1</v>
      </c>
      <c r="D9198" s="212" t="s">
        <v>6397</v>
      </c>
      <c r="E9198" s="234" t="s">
        <v>235</v>
      </c>
      <c r="F9198" s="866">
        <v>1.1000000000000001</v>
      </c>
      <c r="G9198" s="539">
        <f>VLOOKUP(D9198,upahbahan,3,FALSE)</f>
        <v>450000</v>
      </c>
      <c r="H9198" s="539">
        <f t="shared" ref="H9198" si="983">F9198*G9198</f>
        <v>495000.00000000006</v>
      </c>
    </row>
    <row r="9199" spans="3:11" ht="25.8" customHeight="1">
      <c r="C9199" s="702" t="s">
        <v>1214</v>
      </c>
      <c r="D9199" s="208"/>
      <c r="E9199" s="208" t="s">
        <v>6045</v>
      </c>
      <c r="F9199" s="208"/>
      <c r="G9199" s="209"/>
      <c r="H9199" s="539">
        <f>SUM(H9197:H9198)</f>
        <v>495000.00000000006</v>
      </c>
    </row>
    <row r="9200" spans="3:11" ht="25.8" customHeight="1">
      <c r="C9200" s="213" t="s">
        <v>1215</v>
      </c>
      <c r="D9200" s="212" t="s">
        <v>1216</v>
      </c>
      <c r="E9200" s="534"/>
      <c r="F9200" s="534"/>
      <c r="G9200" s="534"/>
      <c r="H9200" s="534"/>
    </row>
    <row r="9201" spans="3:11" ht="25.8" customHeight="1">
      <c r="C9201" s="702" t="s">
        <v>1217</v>
      </c>
      <c r="D9201" s="815"/>
      <c r="E9201" s="815"/>
      <c r="F9201" s="815"/>
      <c r="G9201" s="209"/>
      <c r="H9201" s="821">
        <f>SUM(H9200:H9200)</f>
        <v>0</v>
      </c>
    </row>
    <row r="9202" spans="3:11" ht="25.8" customHeight="1">
      <c r="C9202" s="566" t="s">
        <v>1218</v>
      </c>
      <c r="D9202" s="552" t="s">
        <v>1219</v>
      </c>
      <c r="E9202" s="553"/>
      <c r="F9202" s="553"/>
      <c r="G9202" s="554"/>
      <c r="H9202" s="826">
        <f>H9201+H9199+H9196</f>
        <v>722630</v>
      </c>
      <c r="I9202" s="827"/>
    </row>
    <row r="9203" spans="3:11" ht="25.8" customHeight="1">
      <c r="C9203" s="566" t="s">
        <v>1220</v>
      </c>
      <c r="D9203" s="552" t="s">
        <v>1321</v>
      </c>
      <c r="E9203" s="553"/>
      <c r="F9203" s="554"/>
      <c r="G9203" s="555">
        <f>$M$9</f>
        <v>0.1</v>
      </c>
      <c r="H9203" s="539">
        <f>H9202*G9203</f>
        <v>72263</v>
      </c>
      <c r="I9203" s="827"/>
    </row>
    <row r="9204" spans="3:11" ht="25.8" customHeight="1">
      <c r="C9204" s="566" t="s">
        <v>1221</v>
      </c>
      <c r="D9204" s="552" t="s">
        <v>1222</v>
      </c>
      <c r="E9204" s="553"/>
      <c r="F9204" s="553"/>
      <c r="G9204" s="554"/>
      <c r="H9204" s="828">
        <f>SUM(H9202:H9203)</f>
        <v>794893</v>
      </c>
      <c r="I9204" s="827"/>
    </row>
    <row r="9205" spans="3:11" ht="25.8" customHeight="1"/>
    <row r="9206" spans="3:11" ht="25.8" customHeight="1">
      <c r="C9206" s="513" t="s">
        <v>6406</v>
      </c>
      <c r="D9206" s="817" t="s">
        <v>6407</v>
      </c>
      <c r="E9206" s="803"/>
      <c r="F9206" s="803"/>
      <c r="G9206" s="803"/>
      <c r="H9206" s="803"/>
      <c r="I9206" s="533">
        <f>ROUNDDOWN(H9221,-2)</f>
        <v>409900</v>
      </c>
      <c r="J9206" s="536"/>
      <c r="K9206" s="824"/>
    </row>
    <row r="9207" spans="3:11" ht="25.8" customHeight="1">
      <c r="C9207" s="716" t="s">
        <v>1195</v>
      </c>
      <c r="D9207" s="716" t="s">
        <v>1196</v>
      </c>
      <c r="E9207" s="716" t="s">
        <v>1197</v>
      </c>
      <c r="F9207" s="716" t="s">
        <v>1198</v>
      </c>
      <c r="G9207" s="716" t="s">
        <v>1199</v>
      </c>
      <c r="H9207" s="716" t="s">
        <v>1200</v>
      </c>
    </row>
    <row r="9208" spans="3:11" ht="25.8" customHeight="1">
      <c r="C9208" s="213" t="s">
        <v>1201</v>
      </c>
      <c r="D9208" s="212" t="s">
        <v>1202</v>
      </c>
      <c r="E9208" s="534"/>
      <c r="F9208" s="534"/>
      <c r="G9208" s="534"/>
      <c r="H9208" s="534"/>
    </row>
    <row r="9209" spans="3:11" ht="25.8" customHeight="1">
      <c r="C9209" s="818">
        <v>1</v>
      </c>
      <c r="D9209" s="212" t="s">
        <v>5</v>
      </c>
      <c r="E9209" s="212" t="s">
        <v>6</v>
      </c>
      <c r="F9209" s="538">
        <v>2.4E-2</v>
      </c>
      <c r="G9209" s="539">
        <f>VLOOKUP(D9209,upahbahan,3,FALSE)</f>
        <v>100000</v>
      </c>
      <c r="H9209" s="539">
        <f t="shared" ref="H9209:H9212" si="984">F9209*G9209</f>
        <v>2400</v>
      </c>
    </row>
    <row r="9210" spans="3:11" ht="25.8" customHeight="1">
      <c r="C9210" s="818">
        <v>2</v>
      </c>
      <c r="D9210" s="212" t="s">
        <v>17</v>
      </c>
      <c r="E9210" s="212" t="s">
        <v>6</v>
      </c>
      <c r="F9210" s="538">
        <v>0.04</v>
      </c>
      <c r="G9210" s="539">
        <f>VLOOKUP(D9210,upahbahan,3,FALSE)</f>
        <v>135000</v>
      </c>
      <c r="H9210" s="539">
        <f t="shared" si="984"/>
        <v>5400</v>
      </c>
    </row>
    <row r="9211" spans="3:11" ht="25.8" customHeight="1">
      <c r="C9211" s="818">
        <v>3</v>
      </c>
      <c r="D9211" s="212" t="s">
        <v>1310</v>
      </c>
      <c r="E9211" s="212" t="s">
        <v>6</v>
      </c>
      <c r="F9211" s="538">
        <v>4.0000000000000001E-3</v>
      </c>
      <c r="G9211" s="539">
        <f>VLOOKUP(D9211,upahbahan,3,FALSE)</f>
        <v>150000</v>
      </c>
      <c r="H9211" s="539">
        <f t="shared" si="984"/>
        <v>600</v>
      </c>
    </row>
    <row r="9212" spans="3:11" ht="25.8" customHeight="1">
      <c r="C9212" s="818">
        <v>4</v>
      </c>
      <c r="D9212" s="212" t="s">
        <v>19</v>
      </c>
      <c r="E9212" s="212" t="s">
        <v>6</v>
      </c>
      <c r="F9212" s="538">
        <v>1E-3</v>
      </c>
      <c r="G9212" s="539">
        <f>VLOOKUP(D9212,upahbahan,3,FALSE)</f>
        <v>160000</v>
      </c>
      <c r="H9212" s="539">
        <f t="shared" si="984"/>
        <v>160</v>
      </c>
    </row>
    <row r="9213" spans="3:11" ht="25.8" customHeight="1">
      <c r="C9213" s="702" t="s">
        <v>1208</v>
      </c>
      <c r="D9213" s="208"/>
      <c r="E9213" s="208"/>
      <c r="F9213" s="811"/>
      <c r="G9213" s="522"/>
      <c r="H9213" s="539">
        <f>SUM(H9209:H9212)</f>
        <v>8560</v>
      </c>
      <c r="I9213" s="819"/>
    </row>
    <row r="9214" spans="3:11" ht="25.8" customHeight="1">
      <c r="C9214" s="213" t="s">
        <v>1209</v>
      </c>
      <c r="D9214" s="212" t="s">
        <v>1210</v>
      </c>
      <c r="E9214" s="534"/>
      <c r="F9214" s="831"/>
      <c r="G9214" s="534"/>
      <c r="H9214" s="534"/>
    </row>
    <row r="9215" spans="3:11" ht="25.8" customHeight="1">
      <c r="C9215" s="213">
        <v>1</v>
      </c>
      <c r="D9215" s="212" t="s">
        <v>889</v>
      </c>
      <c r="E9215" s="234" t="s">
        <v>1300</v>
      </c>
      <c r="F9215" s="866">
        <v>22.6</v>
      </c>
      <c r="G9215" s="539">
        <f>VLOOKUP(D9215,upahbahan,3,FALSE)</f>
        <v>16110</v>
      </c>
      <c r="H9215" s="539">
        <f t="shared" ref="H9215" si="985">F9215*G9215</f>
        <v>364086</v>
      </c>
    </row>
    <row r="9216" spans="3:11" ht="25.8" customHeight="1">
      <c r="C9216" s="702" t="s">
        <v>1214</v>
      </c>
      <c r="D9216" s="208"/>
      <c r="E9216" s="208" t="s">
        <v>6045</v>
      </c>
      <c r="F9216" s="208"/>
      <c r="G9216" s="209"/>
      <c r="H9216" s="539">
        <f>SUM(H9214:H9215)</f>
        <v>364086</v>
      </c>
    </row>
    <row r="9217" spans="3:11" ht="25.8" customHeight="1">
      <c r="C9217" s="213" t="s">
        <v>1215</v>
      </c>
      <c r="D9217" s="212" t="s">
        <v>1216</v>
      </c>
      <c r="E9217" s="534"/>
      <c r="F9217" s="534"/>
      <c r="G9217" s="534"/>
      <c r="H9217" s="534"/>
    </row>
    <row r="9218" spans="3:11" ht="25.8" customHeight="1">
      <c r="C9218" s="702" t="s">
        <v>1217</v>
      </c>
      <c r="D9218" s="815"/>
      <c r="E9218" s="815"/>
      <c r="F9218" s="815"/>
      <c r="G9218" s="209"/>
      <c r="H9218" s="821">
        <f>SUM(H9217:H9217)</f>
        <v>0</v>
      </c>
    </row>
    <row r="9219" spans="3:11" ht="25.8" customHeight="1">
      <c r="C9219" s="566" t="s">
        <v>1218</v>
      </c>
      <c r="D9219" s="552" t="s">
        <v>1219</v>
      </c>
      <c r="E9219" s="553"/>
      <c r="F9219" s="553"/>
      <c r="G9219" s="554"/>
      <c r="H9219" s="826">
        <f>H9218+H9216+H9213</f>
        <v>372646</v>
      </c>
      <c r="I9219" s="827"/>
    </row>
    <row r="9220" spans="3:11" ht="25.8" customHeight="1">
      <c r="C9220" s="566" t="s">
        <v>1220</v>
      </c>
      <c r="D9220" s="552" t="s">
        <v>1321</v>
      </c>
      <c r="E9220" s="553"/>
      <c r="F9220" s="554"/>
      <c r="G9220" s="555">
        <f>$M$9</f>
        <v>0.1</v>
      </c>
      <c r="H9220" s="539">
        <f>H9219*G9220</f>
        <v>37264.6</v>
      </c>
      <c r="I9220" s="827"/>
    </row>
    <row r="9221" spans="3:11" ht="25.8" customHeight="1">
      <c r="C9221" s="566" t="s">
        <v>1221</v>
      </c>
      <c r="D9221" s="552" t="s">
        <v>1222</v>
      </c>
      <c r="E9221" s="553"/>
      <c r="F9221" s="553"/>
      <c r="G9221" s="554"/>
      <c r="H9221" s="828">
        <f>SUM(H9219:H9220)</f>
        <v>409910.6</v>
      </c>
      <c r="I9221" s="827"/>
    </row>
    <row r="9222" spans="3:11" ht="25.8" customHeight="1"/>
    <row r="9223" spans="3:11" ht="25.8" customHeight="1">
      <c r="C9223" s="513" t="s">
        <v>6408</v>
      </c>
      <c r="D9223" s="817" t="s">
        <v>6409</v>
      </c>
      <c r="E9223" s="803"/>
      <c r="F9223" s="803"/>
      <c r="G9223" s="803"/>
      <c r="H9223" s="803"/>
      <c r="I9223" s="533">
        <f>ROUNDDOWN(H9238,-2)</f>
        <v>209600</v>
      </c>
      <c r="J9223" s="536"/>
      <c r="K9223" s="824"/>
    </row>
    <row r="9224" spans="3:11" ht="25.8" customHeight="1">
      <c r="C9224" s="716" t="s">
        <v>1195</v>
      </c>
      <c r="D9224" s="716" t="s">
        <v>1196</v>
      </c>
      <c r="E9224" s="716" t="s">
        <v>1197</v>
      </c>
      <c r="F9224" s="716" t="s">
        <v>1198</v>
      </c>
      <c r="G9224" s="716" t="s">
        <v>1199</v>
      </c>
      <c r="H9224" s="716" t="s">
        <v>1200</v>
      </c>
    </row>
    <row r="9225" spans="3:11" ht="25.8" customHeight="1">
      <c r="C9225" s="213" t="s">
        <v>1201</v>
      </c>
      <c r="D9225" s="212" t="s">
        <v>1202</v>
      </c>
      <c r="E9225" s="534"/>
      <c r="F9225" s="534"/>
      <c r="G9225" s="534"/>
      <c r="H9225" s="534"/>
    </row>
    <row r="9226" spans="3:11" ht="25.8" customHeight="1">
      <c r="C9226" s="818">
        <v>1</v>
      </c>
      <c r="D9226" s="212" t="s">
        <v>5</v>
      </c>
      <c r="E9226" s="212" t="s">
        <v>6</v>
      </c>
      <c r="F9226" s="538">
        <v>2.4E-2</v>
      </c>
      <c r="G9226" s="539">
        <f>VLOOKUP(D9226,upahbahan,3,FALSE)</f>
        <v>100000</v>
      </c>
      <c r="H9226" s="539">
        <f t="shared" ref="H9226:H9229" si="986">F9226*G9226</f>
        <v>2400</v>
      </c>
    </row>
    <row r="9227" spans="3:11" ht="25.8" customHeight="1">
      <c r="C9227" s="818">
        <v>2</v>
      </c>
      <c r="D9227" s="212" t="s">
        <v>17</v>
      </c>
      <c r="E9227" s="212" t="s">
        <v>6</v>
      </c>
      <c r="F9227" s="538">
        <v>0.04</v>
      </c>
      <c r="G9227" s="539">
        <f>VLOOKUP(D9227,upahbahan,3,FALSE)</f>
        <v>135000</v>
      </c>
      <c r="H9227" s="539">
        <f t="shared" si="986"/>
        <v>5400</v>
      </c>
    </row>
    <row r="9228" spans="3:11" ht="25.8" customHeight="1">
      <c r="C9228" s="818">
        <v>3</v>
      </c>
      <c r="D9228" s="212" t="s">
        <v>1310</v>
      </c>
      <c r="E9228" s="212" t="s">
        <v>6</v>
      </c>
      <c r="F9228" s="538">
        <v>4.0000000000000001E-3</v>
      </c>
      <c r="G9228" s="539">
        <f>VLOOKUP(D9228,upahbahan,3,FALSE)</f>
        <v>150000</v>
      </c>
      <c r="H9228" s="539">
        <f t="shared" si="986"/>
        <v>600</v>
      </c>
    </row>
    <row r="9229" spans="3:11" ht="25.8" customHeight="1">
      <c r="C9229" s="818">
        <v>4</v>
      </c>
      <c r="D9229" s="212" t="s">
        <v>19</v>
      </c>
      <c r="E9229" s="212" t="s">
        <v>6</v>
      </c>
      <c r="F9229" s="538">
        <v>1E-3</v>
      </c>
      <c r="G9229" s="539">
        <f>VLOOKUP(D9229,upahbahan,3,FALSE)</f>
        <v>160000</v>
      </c>
      <c r="H9229" s="539">
        <f t="shared" si="986"/>
        <v>160</v>
      </c>
    </row>
    <row r="9230" spans="3:11" ht="25.8" customHeight="1">
      <c r="C9230" s="702" t="s">
        <v>1208</v>
      </c>
      <c r="D9230" s="208"/>
      <c r="E9230" s="208"/>
      <c r="F9230" s="811"/>
      <c r="G9230" s="522"/>
      <c r="H9230" s="539">
        <f>SUM(H9226:H9229)</f>
        <v>8560</v>
      </c>
      <c r="I9230" s="819"/>
    </row>
    <row r="9231" spans="3:11" ht="25.8" customHeight="1">
      <c r="C9231" s="213" t="s">
        <v>1209</v>
      </c>
      <c r="D9231" s="212" t="s">
        <v>1210</v>
      </c>
      <c r="E9231" s="534"/>
      <c r="F9231" s="831"/>
      <c r="G9231" s="534"/>
      <c r="H9231" s="534"/>
    </row>
    <row r="9232" spans="3:11" ht="25.8" customHeight="1">
      <c r="C9232" s="213">
        <v>1</v>
      </c>
      <c r="D9232" s="212" t="s">
        <v>889</v>
      </c>
      <c r="E9232" s="234" t="s">
        <v>1300</v>
      </c>
      <c r="F9232" s="866">
        <v>11.3</v>
      </c>
      <c r="G9232" s="539">
        <f>VLOOKUP(D9232,upahbahan,3,FALSE)</f>
        <v>16110</v>
      </c>
      <c r="H9232" s="539">
        <f t="shared" ref="H9232" si="987">F9232*G9232</f>
        <v>182043</v>
      </c>
    </row>
    <row r="9233" spans="3:11" ht="25.8" customHeight="1">
      <c r="C9233" s="702" t="s">
        <v>1214</v>
      </c>
      <c r="D9233" s="208"/>
      <c r="E9233" s="208" t="s">
        <v>6045</v>
      </c>
      <c r="F9233" s="208"/>
      <c r="G9233" s="209"/>
      <c r="H9233" s="539">
        <f>SUM(H9231:H9232)</f>
        <v>182043</v>
      </c>
    </row>
    <row r="9234" spans="3:11" ht="25.8" customHeight="1">
      <c r="C9234" s="213" t="s">
        <v>1215</v>
      </c>
      <c r="D9234" s="212" t="s">
        <v>1216</v>
      </c>
      <c r="E9234" s="534"/>
      <c r="F9234" s="534"/>
      <c r="G9234" s="534"/>
      <c r="H9234" s="534"/>
    </row>
    <row r="9235" spans="3:11" ht="25.8" customHeight="1">
      <c r="C9235" s="702" t="s">
        <v>1217</v>
      </c>
      <c r="D9235" s="815"/>
      <c r="E9235" s="815"/>
      <c r="F9235" s="815"/>
      <c r="G9235" s="209"/>
      <c r="H9235" s="821">
        <f>SUM(H9234:H9234)</f>
        <v>0</v>
      </c>
    </row>
    <row r="9236" spans="3:11" ht="25.8" customHeight="1">
      <c r="C9236" s="566" t="s">
        <v>1218</v>
      </c>
      <c r="D9236" s="552" t="s">
        <v>1219</v>
      </c>
      <c r="E9236" s="553"/>
      <c r="F9236" s="553"/>
      <c r="G9236" s="554"/>
      <c r="H9236" s="826">
        <f>H9235+H9233+H9230</f>
        <v>190603</v>
      </c>
      <c r="I9236" s="827"/>
    </row>
    <row r="9237" spans="3:11" ht="25.8" customHeight="1">
      <c r="C9237" s="566" t="s">
        <v>1220</v>
      </c>
      <c r="D9237" s="552" t="s">
        <v>1321</v>
      </c>
      <c r="E9237" s="553"/>
      <c r="F9237" s="554"/>
      <c r="G9237" s="555">
        <f>$M$9</f>
        <v>0.1</v>
      </c>
      <c r="H9237" s="539">
        <f>H9236*G9237</f>
        <v>19060.3</v>
      </c>
      <c r="I9237" s="827"/>
    </row>
    <row r="9238" spans="3:11" ht="25.8" customHeight="1">
      <c r="C9238" s="566" t="s">
        <v>1221</v>
      </c>
      <c r="D9238" s="552" t="s">
        <v>1222</v>
      </c>
      <c r="E9238" s="553"/>
      <c r="F9238" s="553"/>
      <c r="G9238" s="554"/>
      <c r="H9238" s="828">
        <f>SUM(H9236:H9237)</f>
        <v>209663.3</v>
      </c>
      <c r="I9238" s="827"/>
    </row>
    <row r="9239" spans="3:11" ht="25.8" customHeight="1"/>
    <row r="9240" spans="3:11" ht="25.8" customHeight="1">
      <c r="C9240" s="513" t="s">
        <v>6410</v>
      </c>
      <c r="D9240" s="817" t="s">
        <v>6411</v>
      </c>
      <c r="E9240" s="803"/>
      <c r="F9240" s="803"/>
      <c r="G9240" s="803"/>
      <c r="H9240" s="803"/>
      <c r="I9240" s="533">
        <f>ROUNDDOWN(H9255,-2)</f>
        <v>503000</v>
      </c>
      <c r="J9240" s="536"/>
      <c r="K9240" s="824"/>
    </row>
    <row r="9241" spans="3:11" ht="25.8" customHeight="1">
      <c r="C9241" s="716" t="s">
        <v>1195</v>
      </c>
      <c r="D9241" s="716" t="s">
        <v>1196</v>
      </c>
      <c r="E9241" s="716" t="s">
        <v>1197</v>
      </c>
      <c r="F9241" s="716" t="s">
        <v>1198</v>
      </c>
      <c r="G9241" s="716" t="s">
        <v>1199</v>
      </c>
      <c r="H9241" s="716" t="s">
        <v>1200</v>
      </c>
    </row>
    <row r="9242" spans="3:11" ht="25.8" customHeight="1">
      <c r="C9242" s="213" t="s">
        <v>1201</v>
      </c>
      <c r="D9242" s="212" t="s">
        <v>1202</v>
      </c>
      <c r="E9242" s="534"/>
      <c r="F9242" s="534"/>
      <c r="G9242" s="534"/>
      <c r="H9242" s="534"/>
    </row>
    <row r="9243" spans="3:11" ht="25.8" customHeight="1">
      <c r="C9243" s="818">
        <v>1</v>
      </c>
      <c r="D9243" s="212" t="s">
        <v>5</v>
      </c>
      <c r="E9243" s="212" t="s">
        <v>6</v>
      </c>
      <c r="F9243" s="538">
        <v>0.50700000000000001</v>
      </c>
      <c r="G9243" s="539">
        <f>VLOOKUP(D9243,upahbahan,3,FALSE)</f>
        <v>100000</v>
      </c>
      <c r="H9243" s="539">
        <f t="shared" ref="H9243:H9246" si="988">F9243*G9243</f>
        <v>50700</v>
      </c>
    </row>
    <row r="9244" spans="3:11" ht="25.8" customHeight="1">
      <c r="C9244" s="818">
        <v>2</v>
      </c>
      <c r="D9244" s="212" t="s">
        <v>17</v>
      </c>
      <c r="E9244" s="212" t="s">
        <v>6</v>
      </c>
      <c r="F9244" s="538">
        <v>0.84699999999999998</v>
      </c>
      <c r="G9244" s="539">
        <f>VLOOKUP(D9244,upahbahan,3,FALSE)</f>
        <v>135000</v>
      </c>
      <c r="H9244" s="539">
        <f t="shared" si="988"/>
        <v>114345</v>
      </c>
    </row>
    <row r="9245" spans="3:11" ht="25.8" customHeight="1">
      <c r="C9245" s="818">
        <v>3</v>
      </c>
      <c r="D9245" s="212" t="s">
        <v>1310</v>
      </c>
      <c r="E9245" s="212" t="s">
        <v>6</v>
      </c>
      <c r="F9245" s="538">
        <v>8.5000000000000006E-2</v>
      </c>
      <c r="G9245" s="539">
        <f>VLOOKUP(D9245,upahbahan,3,FALSE)</f>
        <v>150000</v>
      </c>
      <c r="H9245" s="539">
        <f t="shared" si="988"/>
        <v>12750.000000000002</v>
      </c>
    </row>
    <row r="9246" spans="3:11" ht="25.8" customHeight="1">
      <c r="C9246" s="818">
        <v>4</v>
      </c>
      <c r="D9246" s="212" t="s">
        <v>19</v>
      </c>
      <c r="E9246" s="212" t="s">
        <v>6</v>
      </c>
      <c r="F9246" s="538">
        <v>2.8000000000000001E-2</v>
      </c>
      <c r="G9246" s="539">
        <f>VLOOKUP(D9246,upahbahan,3,FALSE)</f>
        <v>160000</v>
      </c>
      <c r="H9246" s="539">
        <f t="shared" si="988"/>
        <v>4480</v>
      </c>
    </row>
    <row r="9247" spans="3:11" ht="25.8" customHeight="1">
      <c r="C9247" s="702" t="s">
        <v>1208</v>
      </c>
      <c r="D9247" s="208"/>
      <c r="E9247" s="208"/>
      <c r="F9247" s="811"/>
      <c r="G9247" s="522"/>
      <c r="H9247" s="539">
        <f>SUM(H9243:H9246)</f>
        <v>182275</v>
      </c>
      <c r="I9247" s="819"/>
    </row>
    <row r="9248" spans="3:11" ht="25.8" customHeight="1">
      <c r="C9248" s="213" t="s">
        <v>1209</v>
      </c>
      <c r="D9248" s="212" t="s">
        <v>1210</v>
      </c>
      <c r="E9248" s="534"/>
      <c r="F9248" s="831"/>
      <c r="G9248" s="534"/>
      <c r="H9248" s="534"/>
    </row>
    <row r="9249" spans="3:11" ht="25.8" customHeight="1">
      <c r="C9249" s="213">
        <v>1</v>
      </c>
      <c r="D9249" s="212" t="s">
        <v>6412</v>
      </c>
      <c r="E9249" s="234" t="s">
        <v>1300</v>
      </c>
      <c r="F9249" s="866">
        <v>1.1000000000000001</v>
      </c>
      <c r="G9249" s="539">
        <f>VLOOKUP(D9249,upahbahan,3,FALSE)</f>
        <v>250000</v>
      </c>
      <c r="H9249" s="539">
        <f t="shared" ref="H9249" si="989">F9249*G9249</f>
        <v>275000</v>
      </c>
    </row>
    <row r="9250" spans="3:11" ht="25.8" customHeight="1">
      <c r="C9250" s="702" t="s">
        <v>1214</v>
      </c>
      <c r="D9250" s="208"/>
      <c r="E9250" s="208" t="s">
        <v>6045</v>
      </c>
      <c r="F9250" s="208"/>
      <c r="G9250" s="209"/>
      <c r="H9250" s="539">
        <f>SUM(H9248:H9249)</f>
        <v>275000</v>
      </c>
    </row>
    <row r="9251" spans="3:11" ht="25.8" customHeight="1">
      <c r="C9251" s="213" t="s">
        <v>1215</v>
      </c>
      <c r="D9251" s="212" t="s">
        <v>1216</v>
      </c>
      <c r="E9251" s="534"/>
      <c r="F9251" s="534"/>
      <c r="G9251" s="534"/>
      <c r="H9251" s="534"/>
    </row>
    <row r="9252" spans="3:11" ht="25.8" customHeight="1">
      <c r="C9252" s="702" t="s">
        <v>1217</v>
      </c>
      <c r="D9252" s="815"/>
      <c r="E9252" s="815"/>
      <c r="F9252" s="815"/>
      <c r="G9252" s="209"/>
      <c r="H9252" s="821">
        <f>SUM(H9251:H9251)</f>
        <v>0</v>
      </c>
    </row>
    <row r="9253" spans="3:11" ht="25.8" customHeight="1">
      <c r="C9253" s="566" t="s">
        <v>1218</v>
      </c>
      <c r="D9253" s="552" t="s">
        <v>1219</v>
      </c>
      <c r="E9253" s="553"/>
      <c r="F9253" s="553"/>
      <c r="G9253" s="554"/>
      <c r="H9253" s="826">
        <f>H9252+H9250+H9247</f>
        <v>457275</v>
      </c>
      <c r="I9253" s="827"/>
    </row>
    <row r="9254" spans="3:11" ht="25.8" customHeight="1">
      <c r="C9254" s="566" t="s">
        <v>1220</v>
      </c>
      <c r="D9254" s="552" t="s">
        <v>1321</v>
      </c>
      <c r="E9254" s="553"/>
      <c r="F9254" s="554"/>
      <c r="G9254" s="555">
        <f>$M$9</f>
        <v>0.1</v>
      </c>
      <c r="H9254" s="539">
        <f>H9253*G9254</f>
        <v>45727.5</v>
      </c>
      <c r="I9254" s="827"/>
    </row>
    <row r="9255" spans="3:11" ht="25.8" customHeight="1">
      <c r="C9255" s="566" t="s">
        <v>1221</v>
      </c>
      <c r="D9255" s="552" t="s">
        <v>1222</v>
      </c>
      <c r="E9255" s="553"/>
      <c r="F9255" s="553"/>
      <c r="G9255" s="554"/>
      <c r="H9255" s="828">
        <f>SUM(H9253:H9254)</f>
        <v>503002.5</v>
      </c>
      <c r="I9255" s="827"/>
    </row>
    <row r="9256" spans="3:11" ht="25.8" customHeight="1"/>
    <row r="9257" spans="3:11" ht="25.8" customHeight="1">
      <c r="C9257" s="513" t="s">
        <v>6414</v>
      </c>
      <c r="D9257" s="817" t="s">
        <v>6415</v>
      </c>
      <c r="E9257" s="803"/>
      <c r="F9257" s="803"/>
      <c r="G9257" s="803"/>
      <c r="H9257" s="803"/>
      <c r="I9257" s="533">
        <f>ROUNDDOWN(H9272,-2)</f>
        <v>5972100</v>
      </c>
      <c r="J9257" s="536"/>
      <c r="K9257" s="824"/>
    </row>
    <row r="9258" spans="3:11" ht="25.8" customHeight="1">
      <c r="C9258" s="716" t="s">
        <v>1195</v>
      </c>
      <c r="D9258" s="716" t="s">
        <v>1196</v>
      </c>
      <c r="E9258" s="716" t="s">
        <v>1197</v>
      </c>
      <c r="F9258" s="716" t="s">
        <v>1198</v>
      </c>
      <c r="G9258" s="716" t="s">
        <v>1199</v>
      </c>
      <c r="H9258" s="716" t="s">
        <v>1200</v>
      </c>
    </row>
    <row r="9259" spans="3:11" ht="25.8" customHeight="1">
      <c r="C9259" s="213" t="s">
        <v>1201</v>
      </c>
      <c r="D9259" s="212" t="s">
        <v>1202</v>
      </c>
      <c r="E9259" s="534"/>
      <c r="F9259" s="534"/>
      <c r="G9259" s="534"/>
      <c r="H9259" s="534"/>
    </row>
    <row r="9260" spans="3:11" ht="25.8" customHeight="1">
      <c r="C9260" s="818">
        <v>1</v>
      </c>
      <c r="D9260" s="212" t="s">
        <v>5</v>
      </c>
      <c r="E9260" s="212" t="s">
        <v>6</v>
      </c>
      <c r="F9260" s="538">
        <v>1.333</v>
      </c>
      <c r="G9260" s="539">
        <f>VLOOKUP(D9260,upahbahan,3,FALSE)</f>
        <v>100000</v>
      </c>
      <c r="H9260" s="539">
        <f t="shared" ref="H9260:H9263" si="990">F9260*G9260</f>
        <v>133300</v>
      </c>
    </row>
    <row r="9261" spans="3:11" ht="25.8" customHeight="1">
      <c r="C9261" s="818">
        <v>2</v>
      </c>
      <c r="D9261" s="212" t="s">
        <v>17</v>
      </c>
      <c r="E9261" s="212" t="s">
        <v>6</v>
      </c>
      <c r="F9261" s="538">
        <v>2.2269999999999999</v>
      </c>
      <c r="G9261" s="539">
        <f>VLOOKUP(D9261,upahbahan,3,FALSE)</f>
        <v>135000</v>
      </c>
      <c r="H9261" s="539">
        <f t="shared" si="990"/>
        <v>300645</v>
      </c>
    </row>
    <row r="9262" spans="3:11" ht="25.8" customHeight="1">
      <c r="C9262" s="818">
        <v>3</v>
      </c>
      <c r="D9262" s="212" t="s">
        <v>1310</v>
      </c>
      <c r="E9262" s="212" t="s">
        <v>6</v>
      </c>
      <c r="F9262" s="538">
        <v>0.223</v>
      </c>
      <c r="G9262" s="539">
        <f>VLOOKUP(D9262,upahbahan,3,FALSE)</f>
        <v>150000</v>
      </c>
      <c r="H9262" s="539">
        <f t="shared" si="990"/>
        <v>33450</v>
      </c>
    </row>
    <row r="9263" spans="3:11" ht="25.8" customHeight="1">
      <c r="C9263" s="818">
        <v>4</v>
      </c>
      <c r="D9263" s="212" t="s">
        <v>19</v>
      </c>
      <c r="E9263" s="212" t="s">
        <v>6</v>
      </c>
      <c r="F9263" s="538">
        <v>7.3999999999999996E-2</v>
      </c>
      <c r="G9263" s="539">
        <f>VLOOKUP(D9263,upahbahan,3,FALSE)</f>
        <v>160000</v>
      </c>
      <c r="H9263" s="539">
        <f t="shared" si="990"/>
        <v>11840</v>
      </c>
    </row>
    <row r="9264" spans="3:11" ht="25.8" customHeight="1">
      <c r="C9264" s="702" t="s">
        <v>1208</v>
      </c>
      <c r="D9264" s="208"/>
      <c r="E9264" s="208"/>
      <c r="F9264" s="811"/>
      <c r="G9264" s="522"/>
      <c r="H9264" s="539">
        <f>SUM(H9260:H9263)</f>
        <v>479235</v>
      </c>
      <c r="I9264" s="819"/>
    </row>
    <row r="9265" spans="3:11" ht="25.8" customHeight="1">
      <c r="C9265" s="213" t="s">
        <v>1209</v>
      </c>
      <c r="D9265" s="212" t="s">
        <v>1210</v>
      </c>
      <c r="E9265" s="534"/>
      <c r="F9265" s="831"/>
      <c r="G9265" s="534"/>
      <c r="H9265" s="534"/>
    </row>
    <row r="9266" spans="3:11" ht="25.8" customHeight="1">
      <c r="C9266" s="213">
        <v>1</v>
      </c>
      <c r="D9266" s="212" t="s">
        <v>6413</v>
      </c>
      <c r="E9266" s="234" t="s">
        <v>135</v>
      </c>
      <c r="F9266" s="866">
        <v>1.1000000000000001</v>
      </c>
      <c r="G9266" s="539">
        <f>VLOOKUP(D9266,upahbahan,3,FALSE)</f>
        <v>4500000</v>
      </c>
      <c r="H9266" s="539">
        <f t="shared" ref="H9266" si="991">F9266*G9266</f>
        <v>4950000</v>
      </c>
    </row>
    <row r="9267" spans="3:11" ht="25.8" customHeight="1">
      <c r="C9267" s="702" t="s">
        <v>1214</v>
      </c>
      <c r="D9267" s="208"/>
      <c r="E9267" s="208" t="s">
        <v>6045</v>
      </c>
      <c r="F9267" s="208"/>
      <c r="G9267" s="209"/>
      <c r="H9267" s="539">
        <f>SUM(H9265:H9266)</f>
        <v>4950000</v>
      </c>
    </row>
    <row r="9268" spans="3:11" ht="25.8" customHeight="1">
      <c r="C9268" s="213" t="s">
        <v>1215</v>
      </c>
      <c r="D9268" s="212" t="s">
        <v>1216</v>
      </c>
      <c r="E9268" s="534"/>
      <c r="F9268" s="534"/>
      <c r="G9268" s="534"/>
      <c r="H9268" s="534"/>
    </row>
    <row r="9269" spans="3:11" ht="25.8" customHeight="1">
      <c r="C9269" s="702" t="s">
        <v>1217</v>
      </c>
      <c r="D9269" s="815"/>
      <c r="E9269" s="815"/>
      <c r="F9269" s="815"/>
      <c r="G9269" s="209"/>
      <c r="H9269" s="821">
        <f>SUM(H9268:H9268)</f>
        <v>0</v>
      </c>
    </row>
    <row r="9270" spans="3:11" ht="25.8" customHeight="1">
      <c r="C9270" s="566" t="s">
        <v>1218</v>
      </c>
      <c r="D9270" s="552" t="s">
        <v>1219</v>
      </c>
      <c r="E9270" s="553"/>
      <c r="F9270" s="553"/>
      <c r="G9270" s="554"/>
      <c r="H9270" s="826">
        <f>H9269+H9267+H9264</f>
        <v>5429235</v>
      </c>
      <c r="I9270" s="827"/>
    </row>
    <row r="9271" spans="3:11" ht="25.8" customHeight="1">
      <c r="C9271" s="566" t="s">
        <v>1220</v>
      </c>
      <c r="D9271" s="552" t="s">
        <v>1321</v>
      </c>
      <c r="E9271" s="553"/>
      <c r="F9271" s="554"/>
      <c r="G9271" s="555">
        <f>$M$9</f>
        <v>0.1</v>
      </c>
      <c r="H9271" s="539">
        <f>H9270*G9271</f>
        <v>542923.5</v>
      </c>
      <c r="I9271" s="827"/>
    </row>
    <row r="9272" spans="3:11" ht="25.8" customHeight="1">
      <c r="C9272" s="566" t="s">
        <v>1221</v>
      </c>
      <c r="D9272" s="552" t="s">
        <v>1222</v>
      </c>
      <c r="E9272" s="553"/>
      <c r="F9272" s="553"/>
      <c r="G9272" s="554"/>
      <c r="H9272" s="828">
        <f>SUM(H9270:H9271)</f>
        <v>5972158.5</v>
      </c>
      <c r="I9272" s="827"/>
    </row>
    <row r="9273" spans="3:11" ht="25.8" customHeight="1"/>
    <row r="9274" spans="3:11" ht="25.8" customHeight="1">
      <c r="C9274" s="571" t="s">
        <v>6416</v>
      </c>
      <c r="D9274" s="571" t="s">
        <v>6417</v>
      </c>
    </row>
    <row r="9275" spans="3:11" ht="25.8" customHeight="1">
      <c r="C9275" s="513" t="s">
        <v>6418</v>
      </c>
      <c r="D9275" s="817" t="s">
        <v>6425</v>
      </c>
      <c r="E9275" s="803"/>
      <c r="F9275" s="803"/>
      <c r="G9275" s="803"/>
      <c r="H9275" s="803"/>
      <c r="I9275" s="533">
        <f>ROUNDDOWN(H9293,-2)</f>
        <v>573400</v>
      </c>
      <c r="J9275" s="536"/>
      <c r="K9275" s="824"/>
    </row>
    <row r="9276" spans="3:11" ht="25.8" customHeight="1">
      <c r="C9276" s="716" t="s">
        <v>1195</v>
      </c>
      <c r="D9276" s="716" t="s">
        <v>1196</v>
      </c>
      <c r="E9276" s="716" t="s">
        <v>1197</v>
      </c>
      <c r="F9276" s="716" t="s">
        <v>1198</v>
      </c>
      <c r="G9276" s="716" t="s">
        <v>1199</v>
      </c>
      <c r="H9276" s="716" t="s">
        <v>1200</v>
      </c>
    </row>
    <row r="9277" spans="3:11" ht="25.8" customHeight="1">
      <c r="C9277" s="213" t="s">
        <v>1201</v>
      </c>
      <c r="D9277" s="212" t="s">
        <v>1202</v>
      </c>
      <c r="E9277" s="534"/>
      <c r="F9277" s="534"/>
      <c r="G9277" s="534"/>
      <c r="H9277" s="534"/>
    </row>
    <row r="9278" spans="3:11" ht="25.8" customHeight="1">
      <c r="C9278" s="818">
        <v>1</v>
      </c>
      <c r="D9278" s="212" t="s">
        <v>5</v>
      </c>
      <c r="E9278" s="212" t="s">
        <v>6</v>
      </c>
      <c r="F9278" s="538">
        <v>0.14299999999999999</v>
      </c>
      <c r="G9278" s="539">
        <f>VLOOKUP(D9278,upahbahan,3,FALSE)</f>
        <v>100000</v>
      </c>
      <c r="H9278" s="539">
        <f t="shared" ref="H9278:H9281" si="992">F9278*G9278</f>
        <v>14299.999999999998</v>
      </c>
    </row>
    <row r="9279" spans="3:11" ht="25.8" customHeight="1">
      <c r="C9279" s="818">
        <v>2</v>
      </c>
      <c r="D9279" s="212" t="s">
        <v>17</v>
      </c>
      <c r="E9279" s="212" t="s">
        <v>6</v>
      </c>
      <c r="F9279" s="538">
        <v>0.23899999999999999</v>
      </c>
      <c r="G9279" s="539">
        <f>VLOOKUP(D9279,upahbahan,3,FALSE)</f>
        <v>135000</v>
      </c>
      <c r="H9279" s="539">
        <f t="shared" si="992"/>
        <v>32265</v>
      </c>
    </row>
    <row r="9280" spans="3:11" ht="25.8" customHeight="1">
      <c r="C9280" s="818">
        <v>3</v>
      </c>
      <c r="D9280" s="212" t="s">
        <v>1310</v>
      </c>
      <c r="E9280" s="212" t="s">
        <v>6</v>
      </c>
      <c r="F9280" s="538">
        <v>2.4E-2</v>
      </c>
      <c r="G9280" s="539">
        <f>VLOOKUP(D9280,upahbahan,3,FALSE)</f>
        <v>150000</v>
      </c>
      <c r="H9280" s="539">
        <f t="shared" si="992"/>
        <v>3600</v>
      </c>
    </row>
    <row r="9281" spans="3:11" ht="25.8" customHeight="1">
      <c r="C9281" s="818">
        <v>4</v>
      </c>
      <c r="D9281" s="212" t="s">
        <v>19</v>
      </c>
      <c r="E9281" s="212" t="s">
        <v>6</v>
      </c>
      <c r="F9281" s="538">
        <v>8.0000000000000002E-3</v>
      </c>
      <c r="G9281" s="539">
        <f>VLOOKUP(D9281,upahbahan,3,FALSE)</f>
        <v>160000</v>
      </c>
      <c r="H9281" s="539">
        <f t="shared" si="992"/>
        <v>1280</v>
      </c>
    </row>
    <row r="9282" spans="3:11" ht="25.8" customHeight="1">
      <c r="C9282" s="702" t="s">
        <v>1208</v>
      </c>
      <c r="D9282" s="208"/>
      <c r="E9282" s="208"/>
      <c r="F9282" s="811"/>
      <c r="G9282" s="522"/>
      <c r="H9282" s="539">
        <f>SUM(H9278:H9281)</f>
        <v>51445</v>
      </c>
      <c r="I9282" s="819"/>
    </row>
    <row r="9283" spans="3:11" ht="25.8" customHeight="1">
      <c r="C9283" s="213" t="s">
        <v>1209</v>
      </c>
      <c r="D9283" s="212" t="s">
        <v>1210</v>
      </c>
      <c r="E9283" s="534"/>
      <c r="F9283" s="831"/>
      <c r="G9283" s="534"/>
      <c r="H9283" s="534"/>
    </row>
    <row r="9284" spans="3:11" ht="25.8" customHeight="1">
      <c r="C9284" s="213">
        <v>1</v>
      </c>
      <c r="D9284" s="212" t="s">
        <v>6424</v>
      </c>
      <c r="E9284" s="234" t="s">
        <v>42</v>
      </c>
      <c r="F9284" s="866">
        <v>1.2</v>
      </c>
      <c r="G9284" s="539">
        <f>VLOOKUP(D9284,upahbahan,3,FALSE)</f>
        <v>222000</v>
      </c>
      <c r="H9284" s="539">
        <f t="shared" ref="H9284" si="993">F9284*G9284</f>
        <v>266400</v>
      </c>
    </row>
    <row r="9285" spans="3:11" ht="25.8" customHeight="1">
      <c r="C9285" s="213">
        <v>2</v>
      </c>
      <c r="D9285" s="212" t="s">
        <v>6419</v>
      </c>
      <c r="E9285" s="234" t="s">
        <v>5730</v>
      </c>
      <c r="F9285" s="866">
        <v>1</v>
      </c>
      <c r="G9285" s="539">
        <f>VLOOKUP(D9285,upahbahan,3,FALSE)</f>
        <v>56500</v>
      </c>
      <c r="H9285" s="539">
        <f t="shared" ref="H9285" si="994">F9285*G9285</f>
        <v>56500</v>
      </c>
    </row>
    <row r="9286" spans="3:11" ht="25.8" customHeight="1">
      <c r="C9286" s="213">
        <v>3</v>
      </c>
      <c r="D9286" s="212" t="s">
        <v>6420</v>
      </c>
      <c r="E9286" s="234" t="s">
        <v>5730</v>
      </c>
      <c r="F9286" s="866">
        <v>1</v>
      </c>
      <c r="G9286" s="539">
        <f>VLOOKUP(D9286,upahbahan,3,FALSE)</f>
        <v>92000</v>
      </c>
      <c r="H9286" s="539">
        <f t="shared" ref="H9286" si="995">F9286*G9286</f>
        <v>92000</v>
      </c>
    </row>
    <row r="9287" spans="3:11" ht="25.8" customHeight="1">
      <c r="C9287" s="213">
        <v>4</v>
      </c>
      <c r="D9287" s="212" t="s">
        <v>6422</v>
      </c>
      <c r="E9287" s="234" t="s">
        <v>5730</v>
      </c>
      <c r="F9287" s="866">
        <v>1</v>
      </c>
      <c r="G9287" s="539">
        <f>VLOOKUP(D9287,upahbahan,3,FALSE)</f>
        <v>55000</v>
      </c>
      <c r="H9287" s="539">
        <f t="shared" ref="H9287" si="996">F9287*G9287</f>
        <v>55000</v>
      </c>
    </row>
    <row r="9288" spans="3:11" ht="25.8" customHeight="1">
      <c r="C9288" s="702" t="s">
        <v>1214</v>
      </c>
      <c r="D9288" s="208"/>
      <c r="E9288" s="208" t="s">
        <v>6045</v>
      </c>
      <c r="F9288" s="208"/>
      <c r="G9288" s="209"/>
      <c r="H9288" s="539">
        <f>SUM(H9283:H9287)</f>
        <v>469900</v>
      </c>
    </row>
    <row r="9289" spans="3:11" ht="25.8" customHeight="1">
      <c r="C9289" s="213" t="s">
        <v>1215</v>
      </c>
      <c r="D9289" s="212" t="s">
        <v>1216</v>
      </c>
      <c r="E9289" s="534"/>
      <c r="F9289" s="534"/>
      <c r="G9289" s="534"/>
      <c r="H9289" s="534"/>
    </row>
    <row r="9290" spans="3:11" ht="25.8" customHeight="1">
      <c r="C9290" s="702" t="s">
        <v>1217</v>
      </c>
      <c r="D9290" s="815"/>
      <c r="E9290" s="815"/>
      <c r="F9290" s="815"/>
      <c r="G9290" s="209"/>
      <c r="H9290" s="821">
        <f>SUM(H9289:H9289)</f>
        <v>0</v>
      </c>
    </row>
    <row r="9291" spans="3:11" ht="25.8" customHeight="1">
      <c r="C9291" s="566" t="s">
        <v>1218</v>
      </c>
      <c r="D9291" s="552" t="s">
        <v>1219</v>
      </c>
      <c r="E9291" s="553"/>
      <c r="F9291" s="553"/>
      <c r="G9291" s="554"/>
      <c r="H9291" s="826">
        <f>H9290+H9288+H9282</f>
        <v>521345</v>
      </c>
      <c r="I9291" s="827"/>
    </row>
    <row r="9292" spans="3:11" ht="25.8" customHeight="1">
      <c r="C9292" s="566" t="s">
        <v>1220</v>
      </c>
      <c r="D9292" s="552" t="s">
        <v>1321</v>
      </c>
      <c r="E9292" s="553"/>
      <c r="F9292" s="554"/>
      <c r="G9292" s="555">
        <f>$M$9</f>
        <v>0.1</v>
      </c>
      <c r="H9292" s="539">
        <f>H9291*G9292</f>
        <v>52134.5</v>
      </c>
      <c r="I9292" s="827"/>
    </row>
    <row r="9293" spans="3:11" ht="25.8" customHeight="1">
      <c r="C9293" s="566" t="s">
        <v>1221</v>
      </c>
      <c r="D9293" s="552" t="s">
        <v>1222</v>
      </c>
      <c r="E9293" s="553"/>
      <c r="F9293" s="553"/>
      <c r="G9293" s="554"/>
      <c r="H9293" s="828">
        <f>SUM(H9291:H9292)</f>
        <v>573479.5</v>
      </c>
      <c r="I9293" s="827"/>
    </row>
    <row r="9294" spans="3:11" ht="25.8" customHeight="1"/>
    <row r="9295" spans="3:11" ht="25.8" customHeight="1"/>
    <row r="9296" spans="3:11" ht="25.8" customHeight="1">
      <c r="C9296" s="513" t="s">
        <v>6426</v>
      </c>
      <c r="D9296" s="817" t="s">
        <v>6427</v>
      </c>
      <c r="E9296" s="803"/>
      <c r="F9296" s="803"/>
      <c r="G9296" s="803"/>
      <c r="H9296" s="803"/>
      <c r="I9296" s="533">
        <f>ROUNDDOWN(H9314,-2)</f>
        <v>592200</v>
      </c>
      <c r="J9296" s="536"/>
      <c r="K9296" s="824"/>
    </row>
    <row r="9297" spans="3:9" ht="25.8" customHeight="1">
      <c r="C9297" s="716" t="s">
        <v>1195</v>
      </c>
      <c r="D9297" s="716" t="s">
        <v>1196</v>
      </c>
      <c r="E9297" s="716" t="s">
        <v>1197</v>
      </c>
      <c r="F9297" s="716" t="s">
        <v>1198</v>
      </c>
      <c r="G9297" s="716" t="s">
        <v>1199</v>
      </c>
      <c r="H9297" s="716" t="s">
        <v>1200</v>
      </c>
    </row>
    <row r="9298" spans="3:9" ht="25.8" customHeight="1">
      <c r="C9298" s="213" t="s">
        <v>1201</v>
      </c>
      <c r="D9298" s="212" t="s">
        <v>1202</v>
      </c>
      <c r="E9298" s="534"/>
      <c r="F9298" s="534"/>
      <c r="G9298" s="534"/>
      <c r="H9298" s="534"/>
    </row>
    <row r="9299" spans="3:9" ht="25.8" customHeight="1">
      <c r="C9299" s="818">
        <v>1</v>
      </c>
      <c r="D9299" s="212" t="s">
        <v>5</v>
      </c>
      <c r="E9299" s="212" t="s">
        <v>6</v>
      </c>
      <c r="F9299" s="538">
        <v>0.19</v>
      </c>
      <c r="G9299" s="539">
        <f>VLOOKUP(D9299,upahbahan,3,FALSE)</f>
        <v>100000</v>
      </c>
      <c r="H9299" s="539">
        <f t="shared" ref="H9299:H9302" si="997">F9299*G9299</f>
        <v>19000</v>
      </c>
    </row>
    <row r="9300" spans="3:9" ht="25.8" customHeight="1">
      <c r="C9300" s="818">
        <v>2</v>
      </c>
      <c r="D9300" s="212" t="s">
        <v>17</v>
      </c>
      <c r="E9300" s="212" t="s">
        <v>6</v>
      </c>
      <c r="F9300" s="538">
        <v>0.318</v>
      </c>
      <c r="G9300" s="539">
        <f>VLOOKUP(D9300,upahbahan,3,FALSE)</f>
        <v>135000</v>
      </c>
      <c r="H9300" s="539">
        <f t="shared" si="997"/>
        <v>42930</v>
      </c>
    </row>
    <row r="9301" spans="3:9" ht="25.8" customHeight="1">
      <c r="C9301" s="818">
        <v>3</v>
      </c>
      <c r="D9301" s="212" t="s">
        <v>1310</v>
      </c>
      <c r="E9301" s="212" t="s">
        <v>6</v>
      </c>
      <c r="F9301" s="538">
        <v>3.2000000000000001E-2</v>
      </c>
      <c r="G9301" s="539">
        <f>VLOOKUP(D9301,upahbahan,3,FALSE)</f>
        <v>150000</v>
      </c>
      <c r="H9301" s="539">
        <f t="shared" si="997"/>
        <v>4800</v>
      </c>
    </row>
    <row r="9302" spans="3:9" ht="25.8" customHeight="1">
      <c r="C9302" s="818">
        <v>4</v>
      </c>
      <c r="D9302" s="212" t="s">
        <v>19</v>
      </c>
      <c r="E9302" s="212" t="s">
        <v>6</v>
      </c>
      <c r="F9302" s="538">
        <v>1.0999999999999999E-2</v>
      </c>
      <c r="G9302" s="539">
        <f>VLOOKUP(D9302,upahbahan,3,FALSE)</f>
        <v>160000</v>
      </c>
      <c r="H9302" s="539">
        <f t="shared" si="997"/>
        <v>1760</v>
      </c>
    </row>
    <row r="9303" spans="3:9" ht="25.8" customHeight="1">
      <c r="C9303" s="702" t="s">
        <v>1208</v>
      </c>
      <c r="D9303" s="208"/>
      <c r="E9303" s="208"/>
      <c r="F9303" s="811"/>
      <c r="G9303" s="522"/>
      <c r="H9303" s="539">
        <f>SUM(H9299:H9302)</f>
        <v>68490</v>
      </c>
      <c r="I9303" s="819"/>
    </row>
    <row r="9304" spans="3:9" ht="25.8" customHeight="1">
      <c r="C9304" s="213" t="s">
        <v>1209</v>
      </c>
      <c r="D9304" s="212" t="s">
        <v>1210</v>
      </c>
      <c r="E9304" s="534"/>
      <c r="F9304" s="831"/>
      <c r="G9304" s="534"/>
      <c r="H9304" s="534"/>
    </row>
    <row r="9305" spans="3:9" ht="25.8" customHeight="1">
      <c r="C9305" s="213">
        <v>1</v>
      </c>
      <c r="D9305" s="212" t="s">
        <v>6424</v>
      </c>
      <c r="E9305" s="234" t="s">
        <v>42</v>
      </c>
      <c r="F9305" s="866">
        <v>1.2</v>
      </c>
      <c r="G9305" s="539">
        <f>VLOOKUP(D9305,upahbahan,3,FALSE)</f>
        <v>222000</v>
      </c>
      <c r="H9305" s="539">
        <f t="shared" ref="H9305:H9308" si="998">F9305*G9305</f>
        <v>266400</v>
      </c>
    </row>
    <row r="9306" spans="3:9" ht="25.8" customHeight="1">
      <c r="C9306" s="213">
        <v>2</v>
      </c>
      <c r="D9306" s="212" t="s">
        <v>6419</v>
      </c>
      <c r="E9306" s="234" t="s">
        <v>5730</v>
      </c>
      <c r="F9306" s="866">
        <v>1</v>
      </c>
      <c r="G9306" s="539">
        <f>VLOOKUP(D9306,upahbahan,3,FALSE)</f>
        <v>56500</v>
      </c>
      <c r="H9306" s="539">
        <f t="shared" si="998"/>
        <v>56500</v>
      </c>
    </row>
    <row r="9307" spans="3:9" ht="25.8" customHeight="1">
      <c r="C9307" s="213">
        <v>3</v>
      </c>
      <c r="D9307" s="212" t="s">
        <v>6420</v>
      </c>
      <c r="E9307" s="234" t="s">
        <v>5730</v>
      </c>
      <c r="F9307" s="866">
        <v>1</v>
      </c>
      <c r="G9307" s="539">
        <f>VLOOKUP(D9307,upahbahan,3,FALSE)</f>
        <v>92000</v>
      </c>
      <c r="H9307" s="539">
        <f t="shared" si="998"/>
        <v>92000</v>
      </c>
    </row>
    <row r="9308" spans="3:9" ht="25.8" customHeight="1">
      <c r="C9308" s="213">
        <v>4</v>
      </c>
      <c r="D9308" s="212" t="s">
        <v>6422</v>
      </c>
      <c r="E9308" s="234" t="s">
        <v>5730</v>
      </c>
      <c r="F9308" s="866">
        <v>1</v>
      </c>
      <c r="G9308" s="539">
        <f>VLOOKUP(D9308,upahbahan,3,FALSE)</f>
        <v>55000</v>
      </c>
      <c r="H9308" s="539">
        <f t="shared" si="998"/>
        <v>55000</v>
      </c>
    </row>
    <row r="9309" spans="3:9" ht="25.8" customHeight="1">
      <c r="C9309" s="702" t="s">
        <v>1214</v>
      </c>
      <c r="D9309" s="208"/>
      <c r="E9309" s="208" t="s">
        <v>6045</v>
      </c>
      <c r="F9309" s="208"/>
      <c r="G9309" s="209"/>
      <c r="H9309" s="539">
        <f>SUM(H9304:H9308)</f>
        <v>469900</v>
      </c>
    </row>
    <row r="9310" spans="3:9" ht="25.8" customHeight="1">
      <c r="C9310" s="213" t="s">
        <v>1215</v>
      </c>
      <c r="D9310" s="212" t="s">
        <v>1216</v>
      </c>
      <c r="E9310" s="534"/>
      <c r="F9310" s="534"/>
      <c r="G9310" s="534"/>
      <c r="H9310" s="534"/>
    </row>
    <row r="9311" spans="3:9" ht="25.8" customHeight="1">
      <c r="C9311" s="702" t="s">
        <v>1217</v>
      </c>
      <c r="D9311" s="815"/>
      <c r="E9311" s="815"/>
      <c r="F9311" s="815"/>
      <c r="G9311" s="209"/>
      <c r="H9311" s="821">
        <f>SUM(H9310:H9310)</f>
        <v>0</v>
      </c>
    </row>
    <row r="9312" spans="3:9" ht="25.8" customHeight="1">
      <c r="C9312" s="566" t="s">
        <v>1218</v>
      </c>
      <c r="D9312" s="552" t="s">
        <v>1219</v>
      </c>
      <c r="E9312" s="553"/>
      <c r="F9312" s="553"/>
      <c r="G9312" s="554"/>
      <c r="H9312" s="826">
        <f>H9311+H9309+H9303</f>
        <v>538390</v>
      </c>
      <c r="I9312" s="827"/>
    </row>
    <row r="9313" spans="3:11" ht="25.8" customHeight="1">
      <c r="C9313" s="566" t="s">
        <v>1220</v>
      </c>
      <c r="D9313" s="552" t="s">
        <v>1321</v>
      </c>
      <c r="E9313" s="553"/>
      <c r="F9313" s="554"/>
      <c r="G9313" s="555">
        <f>$M$9</f>
        <v>0.1</v>
      </c>
      <c r="H9313" s="539">
        <f>H9312*G9313</f>
        <v>53839</v>
      </c>
      <c r="I9313" s="827"/>
    </row>
    <row r="9314" spans="3:11" ht="25.8" customHeight="1">
      <c r="C9314" s="566" t="s">
        <v>1221</v>
      </c>
      <c r="D9314" s="552" t="s">
        <v>1222</v>
      </c>
      <c r="E9314" s="553"/>
      <c r="F9314" s="553"/>
      <c r="G9314" s="554"/>
      <c r="H9314" s="828">
        <f>SUM(H9312:H9313)</f>
        <v>592229</v>
      </c>
      <c r="I9314" s="827"/>
    </row>
    <row r="9315" spans="3:11" ht="25.8" customHeight="1"/>
    <row r="9316" spans="3:11" ht="25.8" customHeight="1">
      <c r="C9316" s="513" t="s">
        <v>6428</v>
      </c>
      <c r="D9316" s="817" t="s">
        <v>8801</v>
      </c>
      <c r="E9316" s="803"/>
      <c r="F9316" s="803"/>
      <c r="G9316" s="803"/>
      <c r="H9316" s="803"/>
      <c r="I9316" s="533">
        <f>ROUNDDOWN(H9334,-2)</f>
        <v>602500</v>
      </c>
      <c r="J9316" s="536"/>
      <c r="K9316" s="824"/>
    </row>
    <row r="9317" spans="3:11" ht="25.8" customHeight="1">
      <c r="C9317" s="716" t="s">
        <v>1195</v>
      </c>
      <c r="D9317" s="716" t="s">
        <v>1196</v>
      </c>
      <c r="E9317" s="716" t="s">
        <v>1197</v>
      </c>
      <c r="F9317" s="716" t="s">
        <v>1198</v>
      </c>
      <c r="G9317" s="716" t="s">
        <v>1199</v>
      </c>
      <c r="H9317" s="716" t="s">
        <v>1200</v>
      </c>
    </row>
    <row r="9318" spans="3:11" ht="25.8" customHeight="1">
      <c r="C9318" s="213" t="s">
        <v>1201</v>
      </c>
      <c r="D9318" s="212" t="s">
        <v>1202</v>
      </c>
      <c r="E9318" s="534"/>
      <c r="F9318" s="534"/>
      <c r="G9318" s="534"/>
      <c r="H9318" s="534"/>
    </row>
    <row r="9319" spans="3:11" ht="25.8" customHeight="1">
      <c r="C9319" s="818">
        <v>1</v>
      </c>
      <c r="D9319" s="212" t="s">
        <v>5</v>
      </c>
      <c r="E9319" s="212" t="s">
        <v>6</v>
      </c>
      <c r="F9319" s="538">
        <v>0.217</v>
      </c>
      <c r="G9319" s="539">
        <f>VLOOKUP(D9319,upahbahan,3,FALSE)</f>
        <v>100000</v>
      </c>
      <c r="H9319" s="539">
        <f t="shared" ref="H9319:H9322" si="999">F9319*G9319</f>
        <v>21700</v>
      </c>
    </row>
    <row r="9320" spans="3:11" ht="25.8" customHeight="1">
      <c r="C9320" s="818">
        <v>2</v>
      </c>
      <c r="D9320" s="212" t="s">
        <v>17</v>
      </c>
      <c r="E9320" s="212" t="s">
        <v>6</v>
      </c>
      <c r="F9320" s="538">
        <v>0.36199999999999999</v>
      </c>
      <c r="G9320" s="539">
        <f>VLOOKUP(D9320,upahbahan,3,FALSE)</f>
        <v>135000</v>
      </c>
      <c r="H9320" s="539">
        <f t="shared" si="999"/>
        <v>48870</v>
      </c>
    </row>
    <row r="9321" spans="3:11" ht="25.8" customHeight="1">
      <c r="C9321" s="818">
        <v>3</v>
      </c>
      <c r="D9321" s="212" t="s">
        <v>1310</v>
      </c>
      <c r="E9321" s="212" t="s">
        <v>6</v>
      </c>
      <c r="F9321" s="538">
        <v>3.5999999999999997E-2</v>
      </c>
      <c r="G9321" s="539">
        <f>VLOOKUP(D9321,upahbahan,3,FALSE)</f>
        <v>150000</v>
      </c>
      <c r="H9321" s="539">
        <f t="shared" si="999"/>
        <v>5400</v>
      </c>
    </row>
    <row r="9322" spans="3:11" ht="25.8" customHeight="1">
      <c r="C9322" s="818">
        <v>4</v>
      </c>
      <c r="D9322" s="212" t="s">
        <v>19</v>
      </c>
      <c r="E9322" s="212" t="s">
        <v>6</v>
      </c>
      <c r="F9322" s="538">
        <v>1.2E-2</v>
      </c>
      <c r="G9322" s="539">
        <f>VLOOKUP(D9322,upahbahan,3,FALSE)</f>
        <v>160000</v>
      </c>
      <c r="H9322" s="539">
        <f t="shared" si="999"/>
        <v>1920</v>
      </c>
    </row>
    <row r="9323" spans="3:11" ht="25.8" customHeight="1">
      <c r="C9323" s="702" t="s">
        <v>1208</v>
      </c>
      <c r="D9323" s="208"/>
      <c r="E9323" s="208"/>
      <c r="F9323" s="811"/>
      <c r="G9323" s="522"/>
      <c r="H9323" s="539">
        <f>SUM(H9319:H9322)</f>
        <v>77890</v>
      </c>
      <c r="I9323" s="819"/>
    </row>
    <row r="9324" spans="3:11" ht="25.8" customHeight="1">
      <c r="C9324" s="213" t="s">
        <v>1209</v>
      </c>
      <c r="D9324" s="212" t="s">
        <v>1210</v>
      </c>
      <c r="E9324" s="534"/>
      <c r="F9324" s="831"/>
      <c r="G9324" s="534"/>
      <c r="H9324" s="534"/>
    </row>
    <row r="9325" spans="3:11" ht="25.8" customHeight="1">
      <c r="C9325" s="213">
        <v>1</v>
      </c>
      <c r="D9325" s="212" t="s">
        <v>6424</v>
      </c>
      <c r="E9325" s="234" t="s">
        <v>42</v>
      </c>
      <c r="F9325" s="866">
        <v>1.2</v>
      </c>
      <c r="G9325" s="539">
        <f>VLOOKUP(D9325,upahbahan,3,FALSE)</f>
        <v>222000</v>
      </c>
      <c r="H9325" s="539">
        <f t="shared" ref="H9325:H9328" si="1000">F9325*G9325</f>
        <v>266400</v>
      </c>
    </row>
    <row r="9326" spans="3:11" ht="25.8" customHeight="1">
      <c r="C9326" s="213">
        <v>2</v>
      </c>
      <c r="D9326" s="212" t="s">
        <v>6419</v>
      </c>
      <c r="E9326" s="234" t="s">
        <v>5730</v>
      </c>
      <c r="F9326" s="866">
        <v>1</v>
      </c>
      <c r="G9326" s="539">
        <f>VLOOKUP(D9326,upahbahan,3,FALSE)</f>
        <v>56500</v>
      </c>
      <c r="H9326" s="539">
        <f t="shared" si="1000"/>
        <v>56500</v>
      </c>
    </row>
    <row r="9327" spans="3:11" ht="25.8" customHeight="1">
      <c r="C9327" s="213">
        <v>3</v>
      </c>
      <c r="D9327" s="212" t="s">
        <v>6420</v>
      </c>
      <c r="E9327" s="234" t="s">
        <v>5730</v>
      </c>
      <c r="F9327" s="866">
        <v>1</v>
      </c>
      <c r="G9327" s="539">
        <f>VLOOKUP(D9327,upahbahan,3,FALSE)</f>
        <v>92000</v>
      </c>
      <c r="H9327" s="539">
        <f t="shared" si="1000"/>
        <v>92000</v>
      </c>
    </row>
    <row r="9328" spans="3:11" ht="25.8" customHeight="1">
      <c r="C9328" s="213">
        <v>4</v>
      </c>
      <c r="D9328" s="212" t="s">
        <v>6422</v>
      </c>
      <c r="E9328" s="234" t="s">
        <v>5730</v>
      </c>
      <c r="F9328" s="866">
        <v>1</v>
      </c>
      <c r="G9328" s="539">
        <f>VLOOKUP(D9328,upahbahan,3,FALSE)</f>
        <v>55000</v>
      </c>
      <c r="H9328" s="539">
        <f t="shared" si="1000"/>
        <v>55000</v>
      </c>
    </row>
    <row r="9329" spans="3:9" ht="25.8" customHeight="1">
      <c r="C9329" s="702" t="s">
        <v>1214</v>
      </c>
      <c r="D9329" s="208"/>
      <c r="E9329" s="208" t="s">
        <v>6045</v>
      </c>
      <c r="F9329" s="208"/>
      <c r="G9329" s="209"/>
      <c r="H9329" s="539">
        <f>SUM(H9324:H9328)</f>
        <v>469900</v>
      </c>
    </row>
    <row r="9330" spans="3:9" ht="25.8" customHeight="1">
      <c r="C9330" s="213" t="s">
        <v>1215</v>
      </c>
      <c r="D9330" s="212" t="s">
        <v>1216</v>
      </c>
      <c r="E9330" s="534"/>
      <c r="F9330" s="534"/>
      <c r="G9330" s="534"/>
      <c r="H9330" s="534"/>
    </row>
    <row r="9331" spans="3:9" ht="25.8" customHeight="1">
      <c r="C9331" s="702" t="s">
        <v>1217</v>
      </c>
      <c r="D9331" s="815"/>
      <c r="E9331" s="815"/>
      <c r="F9331" s="815"/>
      <c r="G9331" s="209"/>
      <c r="H9331" s="821">
        <f>SUM(H9330:H9330)</f>
        <v>0</v>
      </c>
    </row>
    <row r="9332" spans="3:9" ht="25.8" customHeight="1">
      <c r="C9332" s="566" t="s">
        <v>1218</v>
      </c>
      <c r="D9332" s="552" t="s">
        <v>1219</v>
      </c>
      <c r="E9332" s="553"/>
      <c r="F9332" s="553"/>
      <c r="G9332" s="554"/>
      <c r="H9332" s="826">
        <f>H9331+H9329+H9323</f>
        <v>547790</v>
      </c>
      <c r="I9332" s="827"/>
    </row>
    <row r="9333" spans="3:9" ht="25.8" customHeight="1">
      <c r="C9333" s="566" t="s">
        <v>1220</v>
      </c>
      <c r="D9333" s="552" t="s">
        <v>1321</v>
      </c>
      <c r="E9333" s="553"/>
      <c r="F9333" s="554"/>
      <c r="G9333" s="555">
        <f>$M$9</f>
        <v>0.1</v>
      </c>
      <c r="H9333" s="539">
        <f>H9332*G9333</f>
        <v>54779</v>
      </c>
      <c r="I9333" s="827"/>
    </row>
    <row r="9334" spans="3:9" ht="25.8" customHeight="1">
      <c r="C9334" s="566" t="s">
        <v>1221</v>
      </c>
      <c r="D9334" s="552" t="s">
        <v>1222</v>
      </c>
      <c r="E9334" s="553"/>
      <c r="F9334" s="553"/>
      <c r="G9334" s="554"/>
      <c r="H9334" s="828">
        <f>SUM(H9332:H9333)</f>
        <v>602569</v>
      </c>
      <c r="I9334" s="827"/>
    </row>
  </sheetData>
  <phoneticPr fontId="26" type="noConversion"/>
  <dataValidations disablePrompts="1" count="1">
    <dataValidation type="list" allowBlank="1" showInputMessage="1" showErrorMessage="1" sqref="D9:D12" xr:uid="{00000000-0002-0000-1C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C1:O1017"/>
  <sheetViews>
    <sheetView topLeftCell="A920" zoomScale="69" zoomScaleNormal="69" workbookViewId="0">
      <selection activeCell="D1168" sqref="D1168"/>
    </sheetView>
  </sheetViews>
  <sheetFormatPr defaultColWidth="8.88671875" defaultRowHeight="13.8"/>
  <cols>
    <col min="1" max="1" width="2.109375" style="59" customWidth="1"/>
    <col min="2" max="2" width="1.6640625" style="59" customWidth="1"/>
    <col min="3" max="3" width="12.88671875" style="280" customWidth="1"/>
    <col min="4" max="4" width="42.6640625" style="280" customWidth="1"/>
    <col min="5" max="5" width="12.44140625" style="280" customWidth="1"/>
    <col min="6" max="6" width="10.5546875" style="280" customWidth="1"/>
    <col min="7" max="7" width="23.109375" style="280" customWidth="1"/>
    <col min="8" max="8" width="18.33203125" style="280" customWidth="1"/>
    <col min="9" max="11" width="26.44140625" style="119" customWidth="1"/>
    <col min="12" max="12" width="8.88671875" style="59"/>
    <col min="13" max="13" width="9.88671875" style="59" bestFit="1" customWidth="1"/>
    <col min="14" max="16384" width="8.88671875" style="59"/>
  </cols>
  <sheetData>
    <row r="1" spans="3:15" ht="10.199999999999999" customHeight="1"/>
    <row r="2" spans="3:15" ht="10.199999999999999" customHeight="1"/>
    <row r="3" spans="3:15" ht="25.8" customHeight="1">
      <c r="C3" s="46" t="s">
        <v>3569</v>
      </c>
      <c r="D3" s="47" t="s">
        <v>3570</v>
      </c>
      <c r="E3" s="47"/>
      <c r="F3" s="47"/>
      <c r="G3" s="47"/>
      <c r="H3" s="47"/>
    </row>
    <row r="4" spans="3:15" ht="25.8" customHeight="1">
      <c r="C4" s="868" t="s">
        <v>3571</v>
      </c>
      <c r="D4" s="1932" t="s">
        <v>3572</v>
      </c>
      <c r="E4" s="1932"/>
      <c r="F4" s="1932"/>
      <c r="G4" s="1932"/>
      <c r="H4" s="1932"/>
      <c r="I4" s="120">
        <f>ROUNDDOWN(H21,-2)</f>
        <v>99600</v>
      </c>
      <c r="J4" s="120"/>
      <c r="K4" s="120"/>
    </row>
    <row r="5" spans="3:15" ht="25.8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</row>
    <row r="6" spans="3:15" ht="25.8" customHeight="1">
      <c r="C6" s="176" t="s">
        <v>1201</v>
      </c>
      <c r="D6" s="182" t="s">
        <v>1202</v>
      </c>
      <c r="E6" s="70"/>
      <c r="F6" s="70"/>
      <c r="G6" s="70"/>
      <c r="H6" s="70"/>
      <c r="L6" s="374" t="s">
        <v>1247</v>
      </c>
    </row>
    <row r="7" spans="3:15" ht="25.8" customHeight="1">
      <c r="C7" s="869">
        <v>1</v>
      </c>
      <c r="D7" s="182" t="s">
        <v>5</v>
      </c>
      <c r="E7" s="182" t="s">
        <v>6</v>
      </c>
      <c r="F7" s="282">
        <v>3.3000000000000002E-2</v>
      </c>
      <c r="G7" s="283">
        <f>VLOOKUP(D7,upahbahan,3,FALSE)</f>
        <v>100000</v>
      </c>
      <c r="H7" s="283">
        <f t="shared" ref="H7:H10" si="0">F7*G7</f>
        <v>3300</v>
      </c>
      <c r="L7" s="374" t="s">
        <v>1248</v>
      </c>
      <c r="O7" s="65">
        <v>0.1</v>
      </c>
    </row>
    <row r="8" spans="3:15" ht="25.8" customHeight="1">
      <c r="C8" s="869">
        <v>2</v>
      </c>
      <c r="D8" s="182" t="s">
        <v>10</v>
      </c>
      <c r="E8" s="182" t="s">
        <v>6</v>
      </c>
      <c r="F8" s="282">
        <v>5.6000000000000001E-2</v>
      </c>
      <c r="G8" s="283">
        <f>VLOOKUP(D8,upahbahan,3,FALSE)</f>
        <v>135000</v>
      </c>
      <c r="H8" s="283">
        <f t="shared" si="0"/>
        <v>7560</v>
      </c>
    </row>
    <row r="9" spans="3:15" ht="25.8" customHeight="1">
      <c r="C9" s="869">
        <v>3</v>
      </c>
      <c r="D9" s="182" t="s">
        <v>18</v>
      </c>
      <c r="E9" s="182" t="s">
        <v>6</v>
      </c>
      <c r="F9" s="282">
        <v>6.0000000000000001E-3</v>
      </c>
      <c r="G9" s="283">
        <f>VLOOKUP(D9,upahbahan,3,FALSE)</f>
        <v>150000</v>
      </c>
      <c r="H9" s="283">
        <f t="shared" si="0"/>
        <v>900</v>
      </c>
    </row>
    <row r="10" spans="3:15" ht="25.8" customHeight="1">
      <c r="C10" s="869">
        <v>4</v>
      </c>
      <c r="D10" s="182" t="s">
        <v>19</v>
      </c>
      <c r="E10" s="182" t="s">
        <v>6</v>
      </c>
      <c r="F10" s="282">
        <v>2E-3</v>
      </c>
      <c r="G10" s="283">
        <f>VLOOKUP(D10,upahbahan,3,FALSE)</f>
        <v>160000</v>
      </c>
      <c r="H10" s="283">
        <f t="shared" si="0"/>
        <v>320</v>
      </c>
    </row>
    <row r="11" spans="3:15" ht="25.8" customHeight="1">
      <c r="C11" s="450" t="s">
        <v>1208</v>
      </c>
      <c r="D11" s="67"/>
      <c r="E11" s="67"/>
      <c r="F11" s="142"/>
      <c r="G11" s="153"/>
      <c r="H11" s="283">
        <f>SUM(H7:H10)</f>
        <v>12080</v>
      </c>
      <c r="I11" s="319"/>
      <c r="J11" s="319"/>
      <c r="K11" s="319"/>
    </row>
    <row r="12" spans="3:15" ht="25.8" customHeight="1">
      <c r="C12" s="176" t="s">
        <v>1209</v>
      </c>
      <c r="D12" s="182" t="s">
        <v>1210</v>
      </c>
      <c r="E12" s="70"/>
      <c r="F12" s="70"/>
      <c r="G12" s="70"/>
      <c r="H12" s="70"/>
    </row>
    <row r="13" spans="3:15" ht="25.8" customHeight="1">
      <c r="C13" s="869">
        <v>1</v>
      </c>
      <c r="D13" s="285" t="s">
        <v>3575</v>
      </c>
      <c r="E13" s="291" t="s">
        <v>113</v>
      </c>
      <c r="F13" s="327">
        <v>1.5</v>
      </c>
      <c r="G13" s="283">
        <f>VLOOKUP(D13,upahbahan,3,FALSE)</f>
        <v>34300</v>
      </c>
      <c r="H13" s="283">
        <f t="shared" ref="H13:H14" si="1">F13*G13</f>
        <v>51450</v>
      </c>
    </row>
    <row r="14" spans="3:15" ht="25.8" customHeight="1">
      <c r="C14" s="869">
        <v>2</v>
      </c>
      <c r="D14" s="285" t="s">
        <v>3538</v>
      </c>
      <c r="E14" s="291" t="s">
        <v>113</v>
      </c>
      <c r="F14" s="327">
        <v>1.2</v>
      </c>
      <c r="G14" s="283">
        <f>VLOOKUP(D14,upahbahan,3,FALSE)</f>
        <v>1080</v>
      </c>
      <c r="H14" s="283">
        <f t="shared" si="1"/>
        <v>1296</v>
      </c>
    </row>
    <row r="15" spans="3:15" ht="25.8" customHeight="1">
      <c r="C15" s="869">
        <v>3</v>
      </c>
      <c r="D15" s="182" t="s">
        <v>3573</v>
      </c>
      <c r="E15" s="70" t="s">
        <v>3574</v>
      </c>
      <c r="F15" s="870">
        <v>0.5</v>
      </c>
      <c r="G15" s="283">
        <f>VLOOKUP(D15,upahbahan,3,FALSE)</f>
        <v>9050</v>
      </c>
      <c r="H15" s="283">
        <f>F15*H13</f>
        <v>25725</v>
      </c>
    </row>
    <row r="16" spans="3:15" ht="25.8" customHeight="1">
      <c r="C16" s="450" t="s">
        <v>1214</v>
      </c>
      <c r="D16" s="67"/>
      <c r="E16" s="67"/>
      <c r="F16" s="67"/>
      <c r="G16" s="69"/>
      <c r="H16" s="283">
        <f>SUM(H13:H15)</f>
        <v>78471</v>
      </c>
    </row>
    <row r="17" spans="3:15" ht="25.8" customHeight="1">
      <c r="C17" s="176" t="s">
        <v>1215</v>
      </c>
      <c r="D17" s="182" t="s">
        <v>1216</v>
      </c>
      <c r="E17" s="70"/>
      <c r="F17" s="70"/>
      <c r="G17" s="70"/>
      <c r="H17" s="70"/>
    </row>
    <row r="18" spans="3:15" ht="25.8" customHeight="1">
      <c r="C18" s="450" t="s">
        <v>1217</v>
      </c>
      <c r="D18" s="67"/>
      <c r="E18" s="67"/>
      <c r="F18" s="67"/>
      <c r="G18" s="69"/>
      <c r="H18" s="871">
        <v>0</v>
      </c>
    </row>
    <row r="19" spans="3:15" ht="25.8" customHeight="1">
      <c r="C19" s="102" t="s">
        <v>1218</v>
      </c>
      <c r="D19" s="294" t="s">
        <v>1219</v>
      </c>
      <c r="E19" s="295"/>
      <c r="F19" s="295"/>
      <c r="G19" s="296"/>
      <c r="H19" s="872">
        <f>H18+H16+H11</f>
        <v>90551</v>
      </c>
      <c r="I19" s="873"/>
    </row>
    <row r="20" spans="3:15" ht="25.8" customHeight="1">
      <c r="C20" s="102" t="s">
        <v>1220</v>
      </c>
      <c r="D20" s="294" t="s">
        <v>1321</v>
      </c>
      <c r="E20" s="295"/>
      <c r="F20" s="296"/>
      <c r="G20" s="298">
        <f>$O$199</f>
        <v>0.1</v>
      </c>
      <c r="H20" s="283">
        <f>H19*G20</f>
        <v>9055.1</v>
      </c>
      <c r="I20" s="873"/>
    </row>
    <row r="21" spans="3:15" ht="25.8" customHeight="1">
      <c r="C21" s="102" t="s">
        <v>1221</v>
      </c>
      <c r="D21" s="294" t="s">
        <v>1222</v>
      </c>
      <c r="E21" s="295"/>
      <c r="F21" s="295"/>
      <c r="G21" s="296"/>
      <c r="H21" s="874">
        <f>SUM(H19:H20)</f>
        <v>99606.1</v>
      </c>
      <c r="I21" s="873"/>
    </row>
    <row r="22" spans="3:15" ht="25.8" customHeight="1">
      <c r="C22" s="46"/>
      <c r="D22" s="47"/>
      <c r="E22" s="47"/>
      <c r="F22" s="47"/>
      <c r="G22" s="47"/>
      <c r="H22" s="47"/>
    </row>
    <row r="23" spans="3:15" ht="25.8" customHeight="1">
      <c r="C23" s="867" t="s">
        <v>3577</v>
      </c>
      <c r="D23" s="1932" t="s">
        <v>3578</v>
      </c>
      <c r="E23" s="1932"/>
      <c r="F23" s="1932"/>
      <c r="G23" s="1932"/>
      <c r="H23" s="1932"/>
      <c r="I23" s="120">
        <f>ROUNDDOWN(H40,-2)</f>
        <v>239400</v>
      </c>
      <c r="J23" s="120"/>
      <c r="K23" s="120"/>
    </row>
    <row r="24" spans="3:15" ht="25.8" customHeight="1">
      <c r="C24" s="591" t="s">
        <v>1195</v>
      </c>
      <c r="D24" s="591" t="s">
        <v>1196</v>
      </c>
      <c r="E24" s="591" t="s">
        <v>1197</v>
      </c>
      <c r="F24" s="591" t="s">
        <v>1198</v>
      </c>
      <c r="G24" s="591" t="s">
        <v>1199</v>
      </c>
      <c r="H24" s="591" t="s">
        <v>1200</v>
      </c>
    </row>
    <row r="25" spans="3:15" ht="25.8" customHeight="1">
      <c r="C25" s="176" t="s">
        <v>1201</v>
      </c>
      <c r="D25" s="182" t="s">
        <v>1202</v>
      </c>
      <c r="E25" s="70"/>
      <c r="F25" s="70"/>
      <c r="G25" s="70"/>
      <c r="H25" s="70"/>
      <c r="L25" s="374" t="s">
        <v>1247</v>
      </c>
    </row>
    <row r="26" spans="3:15" ht="25.8" customHeight="1">
      <c r="C26" s="869">
        <v>1</v>
      </c>
      <c r="D26" s="182" t="s">
        <v>5</v>
      </c>
      <c r="E26" s="182" t="s">
        <v>6</v>
      </c>
      <c r="F26" s="282">
        <v>4.8000000000000001E-2</v>
      </c>
      <c r="G26" s="283">
        <f>VLOOKUP(D26,upahbahan,3,FALSE)</f>
        <v>100000</v>
      </c>
      <c r="H26" s="283">
        <f t="shared" ref="H26:H29" si="2">F26*G26</f>
        <v>4800</v>
      </c>
      <c r="L26" s="374" t="s">
        <v>1248</v>
      </c>
      <c r="O26" s="65">
        <v>0.1</v>
      </c>
    </row>
    <row r="27" spans="3:15" ht="25.8" customHeight="1">
      <c r="C27" s="869">
        <v>2</v>
      </c>
      <c r="D27" s="182" t="s">
        <v>10</v>
      </c>
      <c r="E27" s="182" t="s">
        <v>6</v>
      </c>
      <c r="F27" s="282">
        <v>0.8</v>
      </c>
      <c r="G27" s="283">
        <f>VLOOKUP(D27,upahbahan,3,FALSE)</f>
        <v>135000</v>
      </c>
      <c r="H27" s="283">
        <f t="shared" si="2"/>
        <v>108000</v>
      </c>
    </row>
    <row r="28" spans="3:15" ht="25.8" customHeight="1">
      <c r="C28" s="869">
        <v>3</v>
      </c>
      <c r="D28" s="182" t="s">
        <v>18</v>
      </c>
      <c r="E28" s="182" t="s">
        <v>6</v>
      </c>
      <c r="F28" s="282">
        <v>8.0000000000000002E-3</v>
      </c>
      <c r="G28" s="283">
        <f>VLOOKUP(D28,upahbahan,3,FALSE)</f>
        <v>150000</v>
      </c>
      <c r="H28" s="283">
        <f t="shared" si="2"/>
        <v>1200</v>
      </c>
    </row>
    <row r="29" spans="3:15" ht="25.8" customHeight="1">
      <c r="C29" s="869">
        <v>4</v>
      </c>
      <c r="D29" s="182" t="s">
        <v>19</v>
      </c>
      <c r="E29" s="182" t="s">
        <v>6</v>
      </c>
      <c r="F29" s="282">
        <v>3.0000000000000001E-3</v>
      </c>
      <c r="G29" s="283">
        <f>VLOOKUP(D29,upahbahan,3,FALSE)</f>
        <v>160000</v>
      </c>
      <c r="H29" s="283">
        <f t="shared" si="2"/>
        <v>480</v>
      </c>
    </row>
    <row r="30" spans="3:15" ht="25.8" customHeight="1">
      <c r="C30" s="450" t="s">
        <v>1208</v>
      </c>
      <c r="D30" s="67"/>
      <c r="E30" s="67"/>
      <c r="F30" s="142"/>
      <c r="G30" s="153"/>
      <c r="H30" s="283">
        <f>SUM(H26:H29)</f>
        <v>114480</v>
      </c>
      <c r="I30" s="319"/>
      <c r="J30" s="319"/>
      <c r="K30" s="319"/>
    </row>
    <row r="31" spans="3:15" ht="25.8" customHeight="1">
      <c r="C31" s="176" t="s">
        <v>1209</v>
      </c>
      <c r="D31" s="182" t="s">
        <v>1210</v>
      </c>
      <c r="E31" s="70"/>
      <c r="F31" s="70"/>
      <c r="G31" s="70"/>
      <c r="H31" s="70"/>
    </row>
    <row r="32" spans="3:15" ht="25.8" customHeight="1">
      <c r="C32" s="869">
        <v>1</v>
      </c>
      <c r="D32" s="285" t="s">
        <v>3579</v>
      </c>
      <c r="E32" s="291" t="s">
        <v>113</v>
      </c>
      <c r="F32" s="327">
        <v>1.5</v>
      </c>
      <c r="G32" s="283">
        <f>VLOOKUP(D32,upahbahan,3,FALSE)</f>
        <v>45300</v>
      </c>
      <c r="H32" s="283">
        <f t="shared" ref="H32:H33" si="3">F32*G32</f>
        <v>67950</v>
      </c>
    </row>
    <row r="33" spans="3:15" ht="25.8" customHeight="1">
      <c r="C33" s="869">
        <v>2</v>
      </c>
      <c r="D33" s="285" t="s">
        <v>3538</v>
      </c>
      <c r="E33" s="291" t="s">
        <v>113</v>
      </c>
      <c r="F33" s="327">
        <v>1.2</v>
      </c>
      <c r="G33" s="283">
        <f>VLOOKUP(D33,upahbahan,3,FALSE)</f>
        <v>1080</v>
      </c>
      <c r="H33" s="283">
        <f t="shared" si="3"/>
        <v>1296</v>
      </c>
    </row>
    <row r="34" spans="3:15" ht="25.8" customHeight="1">
      <c r="C34" s="869">
        <v>3</v>
      </c>
      <c r="D34" s="182" t="s">
        <v>3573</v>
      </c>
      <c r="E34" s="70" t="s">
        <v>3574</v>
      </c>
      <c r="F34" s="870">
        <v>0.5</v>
      </c>
      <c r="G34" s="283">
        <f>VLOOKUP(D34,upahbahan,3,FALSE)</f>
        <v>9050</v>
      </c>
      <c r="H34" s="283">
        <f>F34*H32</f>
        <v>33975</v>
      </c>
    </row>
    <row r="35" spans="3:15" ht="25.8" customHeight="1">
      <c r="C35" s="450" t="s">
        <v>1214</v>
      </c>
      <c r="D35" s="67"/>
      <c r="E35" s="67"/>
      <c r="F35" s="67"/>
      <c r="G35" s="69"/>
      <c r="H35" s="283">
        <f>SUM(H32:H34)</f>
        <v>103221</v>
      </c>
    </row>
    <row r="36" spans="3:15" ht="25.8" customHeight="1">
      <c r="C36" s="176" t="s">
        <v>1215</v>
      </c>
      <c r="D36" s="182" t="s">
        <v>1216</v>
      </c>
      <c r="E36" s="70"/>
      <c r="F36" s="70"/>
      <c r="G36" s="70"/>
      <c r="H36" s="70"/>
    </row>
    <row r="37" spans="3:15" ht="25.8" customHeight="1">
      <c r="C37" s="450" t="s">
        <v>1217</v>
      </c>
      <c r="D37" s="67"/>
      <c r="E37" s="67"/>
      <c r="F37" s="67"/>
      <c r="G37" s="69"/>
      <c r="H37" s="871">
        <v>0</v>
      </c>
    </row>
    <row r="38" spans="3:15" ht="25.8" customHeight="1">
      <c r="C38" s="102" t="s">
        <v>1218</v>
      </c>
      <c r="D38" s="294" t="s">
        <v>1219</v>
      </c>
      <c r="E38" s="295"/>
      <c r="F38" s="295"/>
      <c r="G38" s="296"/>
      <c r="H38" s="872">
        <f>H37+H35+H30</f>
        <v>217701</v>
      </c>
      <c r="I38" s="873"/>
    </row>
    <row r="39" spans="3:15" ht="25.8" customHeight="1">
      <c r="C39" s="102" t="s">
        <v>1220</v>
      </c>
      <c r="D39" s="294" t="s">
        <v>1321</v>
      </c>
      <c r="E39" s="295"/>
      <c r="F39" s="296"/>
      <c r="G39" s="298">
        <f>$O$199</f>
        <v>0.1</v>
      </c>
      <c r="H39" s="283">
        <f>H38*G39</f>
        <v>21770.100000000002</v>
      </c>
      <c r="I39" s="873"/>
    </row>
    <row r="40" spans="3:15" ht="25.8" customHeight="1">
      <c r="C40" s="102" t="s">
        <v>1221</v>
      </c>
      <c r="D40" s="294" t="s">
        <v>1222</v>
      </c>
      <c r="E40" s="295"/>
      <c r="F40" s="295"/>
      <c r="G40" s="296"/>
      <c r="H40" s="874">
        <f>SUM(H38:H39)</f>
        <v>239471.1</v>
      </c>
      <c r="I40" s="873"/>
    </row>
    <row r="41" spans="3:15" ht="25.8" customHeight="1">
      <c r="C41" s="46"/>
      <c r="D41" s="47"/>
      <c r="E41" s="47"/>
      <c r="F41" s="47"/>
      <c r="G41" s="47"/>
      <c r="H41" s="47"/>
    </row>
    <row r="42" spans="3:15" ht="25.8" customHeight="1">
      <c r="C42" s="867" t="s">
        <v>3580</v>
      </c>
      <c r="D42" s="1932" t="s">
        <v>3581</v>
      </c>
      <c r="E42" s="1932"/>
      <c r="F42" s="1932"/>
      <c r="G42" s="1932"/>
      <c r="H42" s="1932"/>
      <c r="I42" s="120">
        <f>ROUNDDOWN(H59,-2)</f>
        <v>141700</v>
      </c>
      <c r="J42" s="120"/>
      <c r="K42" s="120"/>
    </row>
    <row r="43" spans="3:15" ht="25.8" customHeight="1">
      <c r="C43" s="591" t="s">
        <v>1195</v>
      </c>
      <c r="D43" s="591" t="s">
        <v>1196</v>
      </c>
      <c r="E43" s="591" t="s">
        <v>1197</v>
      </c>
      <c r="F43" s="591" t="s">
        <v>1198</v>
      </c>
      <c r="G43" s="591" t="s">
        <v>1199</v>
      </c>
      <c r="H43" s="591" t="s">
        <v>1200</v>
      </c>
    </row>
    <row r="44" spans="3:15" ht="25.8" customHeight="1">
      <c r="C44" s="176" t="s">
        <v>1201</v>
      </c>
      <c r="D44" s="182" t="s">
        <v>1202</v>
      </c>
      <c r="E44" s="70"/>
      <c r="F44" s="70"/>
      <c r="G44" s="70"/>
      <c r="H44" s="70"/>
      <c r="L44" s="374" t="s">
        <v>1247</v>
      </c>
    </row>
    <row r="45" spans="3:15" ht="25.8" customHeight="1">
      <c r="C45" s="869">
        <v>1</v>
      </c>
      <c r="D45" s="182" t="s">
        <v>5</v>
      </c>
      <c r="E45" s="182" t="s">
        <v>6</v>
      </c>
      <c r="F45" s="282">
        <v>6.4000000000000001E-2</v>
      </c>
      <c r="G45" s="283">
        <f>VLOOKUP(D45,upahbahan,3,FALSE)</f>
        <v>100000</v>
      </c>
      <c r="H45" s="283">
        <f t="shared" ref="H45:H48" si="4">F45*G45</f>
        <v>6400</v>
      </c>
      <c r="L45" s="374" t="s">
        <v>1248</v>
      </c>
      <c r="O45" s="65">
        <v>0.1</v>
      </c>
    </row>
    <row r="46" spans="3:15" ht="25.8" customHeight="1">
      <c r="C46" s="869">
        <v>2</v>
      </c>
      <c r="D46" s="182" t="s">
        <v>10</v>
      </c>
      <c r="E46" s="182" t="s">
        <v>6</v>
      </c>
      <c r="F46" s="282">
        <v>0.107</v>
      </c>
      <c r="G46" s="283">
        <f>VLOOKUP(D46,upahbahan,3,FALSE)</f>
        <v>135000</v>
      </c>
      <c r="H46" s="283">
        <f t="shared" si="4"/>
        <v>14445</v>
      </c>
    </row>
    <row r="47" spans="3:15" ht="25.8" customHeight="1">
      <c r="C47" s="869">
        <v>3</v>
      </c>
      <c r="D47" s="182" t="s">
        <v>18</v>
      </c>
      <c r="E47" s="182" t="s">
        <v>6</v>
      </c>
      <c r="F47" s="282">
        <v>1.0999999999999999E-2</v>
      </c>
      <c r="G47" s="283">
        <f>VLOOKUP(D47,upahbahan,3,FALSE)</f>
        <v>150000</v>
      </c>
      <c r="H47" s="283">
        <f t="shared" si="4"/>
        <v>1650</v>
      </c>
    </row>
    <row r="48" spans="3:15" ht="25.8" customHeight="1">
      <c r="C48" s="869">
        <v>4</v>
      </c>
      <c r="D48" s="182" t="s">
        <v>19</v>
      </c>
      <c r="E48" s="182" t="s">
        <v>6</v>
      </c>
      <c r="F48" s="282">
        <v>4.0000000000000001E-3</v>
      </c>
      <c r="G48" s="283">
        <f>VLOOKUP(D48,upahbahan,3,FALSE)</f>
        <v>160000</v>
      </c>
      <c r="H48" s="283">
        <f t="shared" si="4"/>
        <v>640</v>
      </c>
    </row>
    <row r="49" spans="3:15" ht="25.8" customHeight="1">
      <c r="C49" s="450" t="s">
        <v>1208</v>
      </c>
      <c r="D49" s="67"/>
      <c r="E49" s="67"/>
      <c r="F49" s="142"/>
      <c r="G49" s="153"/>
      <c r="H49" s="283">
        <f>SUM(H45:H48)</f>
        <v>23135</v>
      </c>
      <c r="I49" s="319"/>
      <c r="J49" s="319"/>
      <c r="K49" s="319"/>
    </row>
    <row r="50" spans="3:15" ht="25.8" customHeight="1">
      <c r="C50" s="176" t="s">
        <v>1209</v>
      </c>
      <c r="D50" s="182" t="s">
        <v>1210</v>
      </c>
      <c r="E50" s="70"/>
      <c r="F50" s="70"/>
      <c r="G50" s="70"/>
      <c r="H50" s="70"/>
    </row>
    <row r="51" spans="3:15" ht="25.8" customHeight="1">
      <c r="C51" s="869">
        <v>1</v>
      </c>
      <c r="D51" s="285" t="s">
        <v>3582</v>
      </c>
      <c r="E51" s="291" t="s">
        <v>113</v>
      </c>
      <c r="F51" s="327">
        <v>1.5</v>
      </c>
      <c r="G51" s="283">
        <f>VLOOKUP(D51,upahbahan,3,FALSE)</f>
        <v>46400</v>
      </c>
      <c r="H51" s="283">
        <f t="shared" ref="H51:H52" si="5">F51*G51</f>
        <v>69600</v>
      </c>
    </row>
    <row r="52" spans="3:15" ht="25.8" customHeight="1">
      <c r="C52" s="869">
        <v>2</v>
      </c>
      <c r="D52" s="285" t="s">
        <v>3538</v>
      </c>
      <c r="E52" s="291" t="s">
        <v>113</v>
      </c>
      <c r="F52" s="327">
        <v>1.2</v>
      </c>
      <c r="G52" s="283">
        <f>VLOOKUP(D52,upahbahan,3,FALSE)</f>
        <v>1080</v>
      </c>
      <c r="H52" s="283">
        <f t="shared" si="5"/>
        <v>1296</v>
      </c>
    </row>
    <row r="53" spans="3:15" ht="25.8" customHeight="1">
      <c r="C53" s="869">
        <v>3</v>
      </c>
      <c r="D53" s="182" t="s">
        <v>3573</v>
      </c>
      <c r="E53" s="70" t="s">
        <v>3574</v>
      </c>
      <c r="F53" s="870">
        <v>0.5</v>
      </c>
      <c r="G53" s="283">
        <f>VLOOKUP(D53,upahbahan,3,FALSE)</f>
        <v>9050</v>
      </c>
      <c r="H53" s="283">
        <f>F53*H51</f>
        <v>34800</v>
      </c>
    </row>
    <row r="54" spans="3:15" ht="25.8" customHeight="1">
      <c r="C54" s="450" t="s">
        <v>1214</v>
      </c>
      <c r="D54" s="67"/>
      <c r="E54" s="67"/>
      <c r="F54" s="67"/>
      <c r="G54" s="69"/>
      <c r="H54" s="283">
        <f>SUM(H51:H53)</f>
        <v>105696</v>
      </c>
    </row>
    <row r="55" spans="3:15" ht="25.8" customHeight="1">
      <c r="C55" s="176" t="s">
        <v>1215</v>
      </c>
      <c r="D55" s="182" t="s">
        <v>1216</v>
      </c>
      <c r="E55" s="70"/>
      <c r="F55" s="70"/>
      <c r="G55" s="70"/>
      <c r="H55" s="70"/>
    </row>
    <row r="56" spans="3:15" ht="25.8" customHeight="1">
      <c r="C56" s="450" t="s">
        <v>1217</v>
      </c>
      <c r="D56" s="67"/>
      <c r="E56" s="67"/>
      <c r="F56" s="67"/>
      <c r="G56" s="69"/>
      <c r="H56" s="871">
        <v>0</v>
      </c>
    </row>
    <row r="57" spans="3:15" ht="25.8" customHeight="1">
      <c r="C57" s="102" t="s">
        <v>1218</v>
      </c>
      <c r="D57" s="294" t="s">
        <v>1219</v>
      </c>
      <c r="E57" s="295"/>
      <c r="F57" s="295"/>
      <c r="G57" s="296"/>
      <c r="H57" s="872">
        <f>H56+H54+H49</f>
        <v>128831</v>
      </c>
      <c r="I57" s="873"/>
    </row>
    <row r="58" spans="3:15" ht="25.8" customHeight="1">
      <c r="C58" s="102" t="s">
        <v>1220</v>
      </c>
      <c r="D58" s="294" t="s">
        <v>1321</v>
      </c>
      <c r="E58" s="295"/>
      <c r="F58" s="296"/>
      <c r="G58" s="298">
        <f>$O$199</f>
        <v>0.1</v>
      </c>
      <c r="H58" s="283">
        <f>H57*G58</f>
        <v>12883.1</v>
      </c>
      <c r="I58" s="873"/>
    </row>
    <row r="59" spans="3:15" ht="25.8" customHeight="1">
      <c r="C59" s="102" t="s">
        <v>1221</v>
      </c>
      <c r="D59" s="294" t="s">
        <v>1222</v>
      </c>
      <c r="E59" s="295"/>
      <c r="F59" s="295"/>
      <c r="G59" s="296"/>
      <c r="H59" s="874">
        <f>SUM(H57:H58)</f>
        <v>141714.1</v>
      </c>
      <c r="I59" s="873"/>
    </row>
    <row r="60" spans="3:15" ht="25.8" customHeight="1">
      <c r="C60" s="46"/>
      <c r="D60" s="47"/>
      <c r="E60" s="47"/>
      <c r="F60" s="47"/>
      <c r="G60" s="47"/>
      <c r="H60" s="47"/>
    </row>
    <row r="61" spans="3:15" ht="25.8" customHeight="1">
      <c r="C61" s="867" t="s">
        <v>3585</v>
      </c>
      <c r="D61" s="1932" t="s">
        <v>3583</v>
      </c>
      <c r="E61" s="1932"/>
      <c r="F61" s="1932"/>
      <c r="G61" s="1932"/>
      <c r="H61" s="1932"/>
      <c r="I61" s="120">
        <f>ROUNDDOWN(H78,-2)</f>
        <v>278300</v>
      </c>
      <c r="J61" s="120"/>
      <c r="K61" s="120"/>
    </row>
    <row r="62" spans="3:15" ht="25.8" customHeight="1">
      <c r="C62" s="591" t="s">
        <v>1195</v>
      </c>
      <c r="D62" s="591" t="s">
        <v>1196</v>
      </c>
      <c r="E62" s="591" t="s">
        <v>1197</v>
      </c>
      <c r="F62" s="591" t="s">
        <v>1198</v>
      </c>
      <c r="G62" s="591" t="s">
        <v>1199</v>
      </c>
      <c r="H62" s="591" t="s">
        <v>1200</v>
      </c>
    </row>
    <row r="63" spans="3:15" ht="25.8" customHeight="1">
      <c r="C63" s="176" t="s">
        <v>1201</v>
      </c>
      <c r="D63" s="182" t="s">
        <v>1202</v>
      </c>
      <c r="E63" s="70"/>
      <c r="F63" s="70"/>
      <c r="G63" s="70"/>
      <c r="H63" s="70"/>
      <c r="L63" s="374" t="s">
        <v>1247</v>
      </c>
    </row>
    <row r="64" spans="3:15" ht="25.8" customHeight="1">
      <c r="C64" s="869">
        <v>1</v>
      </c>
      <c r="D64" s="182" t="s">
        <v>5</v>
      </c>
      <c r="E64" s="182" t="s">
        <v>6</v>
      </c>
      <c r="F64" s="282">
        <v>6.4000000000000001E-2</v>
      </c>
      <c r="G64" s="283">
        <f>VLOOKUP(D64,upahbahan,3,FALSE)</f>
        <v>100000</v>
      </c>
      <c r="H64" s="283">
        <f t="shared" ref="H64:H67" si="6">F64*G64</f>
        <v>6400</v>
      </c>
      <c r="L64" s="374" t="s">
        <v>1248</v>
      </c>
      <c r="O64" s="65">
        <v>0.1</v>
      </c>
    </row>
    <row r="65" spans="3:11" ht="25.8" customHeight="1">
      <c r="C65" s="869">
        <v>2</v>
      </c>
      <c r="D65" s="182" t="s">
        <v>10</v>
      </c>
      <c r="E65" s="182" t="s">
        <v>6</v>
      </c>
      <c r="F65" s="282">
        <v>0.107</v>
      </c>
      <c r="G65" s="283">
        <f>VLOOKUP(D65,upahbahan,3,FALSE)</f>
        <v>135000</v>
      </c>
      <c r="H65" s="283">
        <f t="shared" si="6"/>
        <v>14445</v>
      </c>
    </row>
    <row r="66" spans="3:11" ht="25.8" customHeight="1">
      <c r="C66" s="869">
        <v>3</v>
      </c>
      <c r="D66" s="182" t="s">
        <v>18</v>
      </c>
      <c r="E66" s="182" t="s">
        <v>6</v>
      </c>
      <c r="F66" s="282">
        <v>1.0999999999999999E-2</v>
      </c>
      <c r="G66" s="283">
        <f>VLOOKUP(D66,upahbahan,3,FALSE)</f>
        <v>150000</v>
      </c>
      <c r="H66" s="283">
        <f t="shared" si="6"/>
        <v>1650</v>
      </c>
    </row>
    <row r="67" spans="3:11" ht="25.8" customHeight="1">
      <c r="C67" s="869">
        <v>4</v>
      </c>
      <c r="D67" s="182" t="s">
        <v>19</v>
      </c>
      <c r="E67" s="182" t="s">
        <v>6</v>
      </c>
      <c r="F67" s="282">
        <v>4.0000000000000001E-3</v>
      </c>
      <c r="G67" s="283">
        <f>VLOOKUP(D67,upahbahan,3,FALSE)</f>
        <v>160000</v>
      </c>
      <c r="H67" s="283">
        <f t="shared" si="6"/>
        <v>640</v>
      </c>
    </row>
    <row r="68" spans="3:11" ht="25.8" customHeight="1">
      <c r="C68" s="450" t="s">
        <v>1208</v>
      </c>
      <c r="D68" s="67"/>
      <c r="E68" s="67"/>
      <c r="F68" s="142"/>
      <c r="G68" s="153"/>
      <c r="H68" s="283">
        <f>SUM(H64:H67)</f>
        <v>23135</v>
      </c>
      <c r="I68" s="319"/>
      <c r="J68" s="319"/>
      <c r="K68" s="319"/>
    </row>
    <row r="69" spans="3:11" ht="25.8" customHeight="1">
      <c r="C69" s="176" t="s">
        <v>1209</v>
      </c>
      <c r="D69" s="182" t="s">
        <v>1210</v>
      </c>
      <c r="E69" s="70"/>
      <c r="F69" s="70"/>
      <c r="G69" s="70"/>
      <c r="H69" s="70"/>
    </row>
    <row r="70" spans="3:11" ht="25.8" customHeight="1">
      <c r="C70" s="869">
        <v>1</v>
      </c>
      <c r="D70" s="285" t="s">
        <v>3584</v>
      </c>
      <c r="E70" s="291" t="s">
        <v>113</v>
      </c>
      <c r="F70" s="327">
        <v>1.5</v>
      </c>
      <c r="G70" s="283">
        <f>VLOOKUP(D70,upahbahan,3,FALSE)</f>
        <v>101600</v>
      </c>
      <c r="H70" s="283">
        <f t="shared" ref="H70:H71" si="7">F70*G70</f>
        <v>152400</v>
      </c>
    </row>
    <row r="71" spans="3:11" ht="25.8" customHeight="1">
      <c r="C71" s="869">
        <v>2</v>
      </c>
      <c r="D71" s="285" t="s">
        <v>3538</v>
      </c>
      <c r="E71" s="291" t="s">
        <v>113</v>
      </c>
      <c r="F71" s="327">
        <v>1.2</v>
      </c>
      <c r="G71" s="283">
        <f>VLOOKUP(D71,upahbahan,3,FALSE)</f>
        <v>1080</v>
      </c>
      <c r="H71" s="283">
        <f t="shared" si="7"/>
        <v>1296</v>
      </c>
    </row>
    <row r="72" spans="3:11" ht="25.8" customHeight="1">
      <c r="C72" s="869">
        <v>3</v>
      </c>
      <c r="D72" s="182" t="s">
        <v>3573</v>
      </c>
      <c r="E72" s="70" t="s">
        <v>3574</v>
      </c>
      <c r="F72" s="870">
        <v>0.5</v>
      </c>
      <c r="G72" s="283">
        <f>VLOOKUP(D72,upahbahan,3,FALSE)</f>
        <v>9050</v>
      </c>
      <c r="H72" s="283">
        <f>F72*H70</f>
        <v>76200</v>
      </c>
    </row>
    <row r="73" spans="3:11" ht="25.8" customHeight="1">
      <c r="C73" s="450" t="s">
        <v>1214</v>
      </c>
      <c r="D73" s="67"/>
      <c r="E73" s="67"/>
      <c r="F73" s="67"/>
      <c r="G73" s="69"/>
      <c r="H73" s="283">
        <f>SUM(H70:H72)</f>
        <v>229896</v>
      </c>
    </row>
    <row r="74" spans="3:11" ht="25.8" customHeight="1">
      <c r="C74" s="176" t="s">
        <v>1215</v>
      </c>
      <c r="D74" s="182" t="s">
        <v>1216</v>
      </c>
      <c r="E74" s="70"/>
      <c r="F74" s="70"/>
      <c r="G74" s="70"/>
      <c r="H74" s="70"/>
    </row>
    <row r="75" spans="3:11" ht="25.8" customHeight="1">
      <c r="C75" s="450" t="s">
        <v>1217</v>
      </c>
      <c r="D75" s="67"/>
      <c r="E75" s="67"/>
      <c r="F75" s="67"/>
      <c r="G75" s="69"/>
      <c r="H75" s="871">
        <v>0</v>
      </c>
    </row>
    <row r="76" spans="3:11" ht="25.8" customHeight="1">
      <c r="C76" s="102" t="s">
        <v>1218</v>
      </c>
      <c r="D76" s="294" t="s">
        <v>1219</v>
      </c>
      <c r="E76" s="295"/>
      <c r="F76" s="295"/>
      <c r="G76" s="296"/>
      <c r="H76" s="872">
        <f>H75+H73+H68</f>
        <v>253031</v>
      </c>
      <c r="I76" s="873"/>
    </row>
    <row r="77" spans="3:11" ht="25.8" customHeight="1">
      <c r="C77" s="102" t="s">
        <v>1220</v>
      </c>
      <c r="D77" s="294" t="s">
        <v>1321</v>
      </c>
      <c r="E77" s="295"/>
      <c r="F77" s="296"/>
      <c r="G77" s="298">
        <f>$O$199</f>
        <v>0.1</v>
      </c>
      <c r="H77" s="283">
        <f>H76*G77</f>
        <v>25303.100000000002</v>
      </c>
      <c r="I77" s="873"/>
    </row>
    <row r="78" spans="3:11" ht="25.8" customHeight="1">
      <c r="C78" s="102" t="s">
        <v>1221</v>
      </c>
      <c r="D78" s="294" t="s">
        <v>1222</v>
      </c>
      <c r="E78" s="295"/>
      <c r="F78" s="295"/>
      <c r="G78" s="296"/>
      <c r="H78" s="874">
        <f>SUM(H76:H77)</f>
        <v>278334.09999999998</v>
      </c>
      <c r="I78" s="873"/>
    </row>
    <row r="79" spans="3:11" ht="25.8" customHeight="1">
      <c r="C79" s="46"/>
      <c r="D79" s="47"/>
      <c r="E79" s="47"/>
      <c r="F79" s="47"/>
      <c r="G79" s="47"/>
      <c r="H79" s="47"/>
    </row>
    <row r="80" spans="3:11" ht="25.8" customHeight="1">
      <c r="C80" s="46"/>
      <c r="D80" s="47"/>
      <c r="E80" s="47"/>
      <c r="F80" s="47"/>
      <c r="G80" s="47"/>
      <c r="H80" s="47"/>
    </row>
    <row r="81" spans="3:15" ht="25.8" customHeight="1">
      <c r="C81" s="867" t="s">
        <v>3586</v>
      </c>
      <c r="D81" s="1932" t="s">
        <v>3587</v>
      </c>
      <c r="E81" s="1932"/>
      <c r="F81" s="1932"/>
      <c r="G81" s="1932"/>
      <c r="H81" s="1932"/>
      <c r="I81" s="120">
        <f>ROUNDDOWN(H98,-2)</f>
        <v>342600</v>
      </c>
      <c r="J81" s="120"/>
      <c r="K81" s="120"/>
    </row>
    <row r="82" spans="3:15" ht="25.8" customHeight="1">
      <c r="C82" s="591" t="s">
        <v>1195</v>
      </c>
      <c r="D82" s="591" t="s">
        <v>1196</v>
      </c>
      <c r="E82" s="591" t="s">
        <v>1197</v>
      </c>
      <c r="F82" s="591" t="s">
        <v>1198</v>
      </c>
      <c r="G82" s="591" t="s">
        <v>1199</v>
      </c>
      <c r="H82" s="591" t="s">
        <v>1200</v>
      </c>
    </row>
    <row r="83" spans="3:15" ht="25.8" customHeight="1">
      <c r="C83" s="176" t="s">
        <v>1201</v>
      </c>
      <c r="D83" s="182" t="s">
        <v>1202</v>
      </c>
      <c r="E83" s="70"/>
      <c r="F83" s="70"/>
      <c r="G83" s="70"/>
      <c r="H83" s="70"/>
      <c r="L83" s="374" t="s">
        <v>1247</v>
      </c>
    </row>
    <row r="84" spans="3:15" ht="25.8" customHeight="1">
      <c r="C84" s="869">
        <v>1</v>
      </c>
      <c r="D84" s="182" t="s">
        <v>5</v>
      </c>
      <c r="E84" s="182" t="s">
        <v>6</v>
      </c>
      <c r="F84" s="282">
        <v>9.5000000000000001E-2</v>
      </c>
      <c r="G84" s="283">
        <f>VLOOKUP(D84,upahbahan,3,FALSE)</f>
        <v>100000</v>
      </c>
      <c r="H84" s="283">
        <f t="shared" ref="H84:H87" si="8">F84*G84</f>
        <v>9500</v>
      </c>
      <c r="L84" s="374" t="s">
        <v>1248</v>
      </c>
      <c r="O84" s="65">
        <v>0.1</v>
      </c>
    </row>
    <row r="85" spans="3:15" ht="25.8" customHeight="1">
      <c r="C85" s="869">
        <v>2</v>
      </c>
      <c r="D85" s="182" t="s">
        <v>10</v>
      </c>
      <c r="E85" s="182" t="s">
        <v>6</v>
      </c>
      <c r="F85" s="282">
        <v>0.159</v>
      </c>
      <c r="G85" s="283">
        <f>VLOOKUP(D85,upahbahan,3,FALSE)</f>
        <v>135000</v>
      </c>
      <c r="H85" s="283">
        <f t="shared" si="8"/>
        <v>21465</v>
      </c>
    </row>
    <row r="86" spans="3:15" ht="25.8" customHeight="1">
      <c r="C86" s="869">
        <v>3</v>
      </c>
      <c r="D86" s="182" t="s">
        <v>18</v>
      </c>
      <c r="E86" s="182" t="s">
        <v>6</v>
      </c>
      <c r="F86" s="282">
        <v>1.6E-2</v>
      </c>
      <c r="G86" s="283">
        <f>VLOOKUP(D86,upahbahan,3,FALSE)</f>
        <v>150000</v>
      </c>
      <c r="H86" s="283">
        <f t="shared" si="8"/>
        <v>2400</v>
      </c>
    </row>
    <row r="87" spans="3:15" ht="25.8" customHeight="1">
      <c r="C87" s="869">
        <v>4</v>
      </c>
      <c r="D87" s="182" t="s">
        <v>19</v>
      </c>
      <c r="E87" s="182" t="s">
        <v>6</v>
      </c>
      <c r="F87" s="282">
        <v>5.0000000000000001E-3</v>
      </c>
      <c r="G87" s="283">
        <f>VLOOKUP(D87,upahbahan,3,FALSE)</f>
        <v>160000</v>
      </c>
      <c r="H87" s="283">
        <f t="shared" si="8"/>
        <v>800</v>
      </c>
    </row>
    <row r="88" spans="3:15" ht="25.8" customHeight="1">
      <c r="C88" s="450" t="s">
        <v>1208</v>
      </c>
      <c r="D88" s="67"/>
      <c r="E88" s="67"/>
      <c r="F88" s="142"/>
      <c r="G88" s="153"/>
      <c r="H88" s="283">
        <f>SUM(H84:H87)</f>
        <v>34165</v>
      </c>
      <c r="I88" s="319"/>
      <c r="J88" s="319"/>
      <c r="K88" s="319"/>
    </row>
    <row r="89" spans="3:15" ht="25.8" customHeight="1">
      <c r="C89" s="176" t="s">
        <v>1209</v>
      </c>
      <c r="D89" s="182" t="s">
        <v>1210</v>
      </c>
      <c r="E89" s="70"/>
      <c r="F89" s="70"/>
      <c r="G89" s="70"/>
      <c r="H89" s="70"/>
    </row>
    <row r="90" spans="3:15" ht="25.8" customHeight="1">
      <c r="C90" s="869">
        <v>1</v>
      </c>
      <c r="D90" s="285" t="s">
        <v>3588</v>
      </c>
      <c r="E90" s="291" t="s">
        <v>113</v>
      </c>
      <c r="F90" s="327">
        <v>1.5</v>
      </c>
      <c r="G90" s="283">
        <f>VLOOKUP(D90,upahbahan,3,FALSE)</f>
        <v>122700</v>
      </c>
      <c r="H90" s="283">
        <f t="shared" ref="H90:H91" si="9">F90*G90</f>
        <v>184050</v>
      </c>
    </row>
    <row r="91" spans="3:15" ht="25.8" customHeight="1">
      <c r="C91" s="869">
        <v>2</v>
      </c>
      <c r="D91" s="285" t="s">
        <v>3538</v>
      </c>
      <c r="E91" s="291" t="s">
        <v>113</v>
      </c>
      <c r="F91" s="327">
        <v>1.2</v>
      </c>
      <c r="G91" s="283">
        <f>VLOOKUP(D91,upahbahan,3,FALSE)</f>
        <v>1080</v>
      </c>
      <c r="H91" s="283">
        <f t="shared" si="9"/>
        <v>1296</v>
      </c>
    </row>
    <row r="92" spans="3:15" ht="25.8" customHeight="1">
      <c r="C92" s="869">
        <v>3</v>
      </c>
      <c r="D92" s="182" t="s">
        <v>3573</v>
      </c>
      <c r="E92" s="70" t="s">
        <v>3574</v>
      </c>
      <c r="F92" s="870">
        <v>0.5</v>
      </c>
      <c r="G92" s="283">
        <f>VLOOKUP(D92,upahbahan,3,FALSE)</f>
        <v>9050</v>
      </c>
      <c r="H92" s="283">
        <f>F92*H90</f>
        <v>92025</v>
      </c>
    </row>
    <row r="93" spans="3:15" ht="25.8" customHeight="1">
      <c r="C93" s="450" t="s">
        <v>1214</v>
      </c>
      <c r="D93" s="67"/>
      <c r="E93" s="67"/>
      <c r="F93" s="67"/>
      <c r="G93" s="69"/>
      <c r="H93" s="283">
        <f>SUM(H90:H92)</f>
        <v>277371</v>
      </c>
    </row>
    <row r="94" spans="3:15" ht="25.8" customHeight="1">
      <c r="C94" s="176" t="s">
        <v>1215</v>
      </c>
      <c r="D94" s="182" t="s">
        <v>1216</v>
      </c>
      <c r="E94" s="70"/>
      <c r="F94" s="70"/>
      <c r="G94" s="70"/>
      <c r="H94" s="70"/>
    </row>
    <row r="95" spans="3:15" ht="25.8" customHeight="1">
      <c r="C95" s="450" t="s">
        <v>1217</v>
      </c>
      <c r="D95" s="67"/>
      <c r="E95" s="67"/>
      <c r="F95" s="67"/>
      <c r="G95" s="69"/>
      <c r="H95" s="871">
        <v>0</v>
      </c>
    </row>
    <row r="96" spans="3:15" ht="25.8" customHeight="1">
      <c r="C96" s="102" t="s">
        <v>1218</v>
      </c>
      <c r="D96" s="294" t="s">
        <v>1219</v>
      </c>
      <c r="E96" s="295"/>
      <c r="F96" s="295"/>
      <c r="G96" s="296"/>
      <c r="H96" s="872">
        <f>H95+H93+H88</f>
        <v>311536</v>
      </c>
      <c r="I96" s="873"/>
    </row>
    <row r="97" spans="3:15" ht="25.8" customHeight="1">
      <c r="C97" s="102" t="s">
        <v>1220</v>
      </c>
      <c r="D97" s="294" t="s">
        <v>1321</v>
      </c>
      <c r="E97" s="295"/>
      <c r="F97" s="296"/>
      <c r="G97" s="298">
        <f>$O$199</f>
        <v>0.1</v>
      </c>
      <c r="H97" s="283">
        <f>H96*G97</f>
        <v>31153.600000000002</v>
      </c>
      <c r="I97" s="873"/>
    </row>
    <row r="98" spans="3:15" ht="25.8" customHeight="1">
      <c r="C98" s="102" t="s">
        <v>1221</v>
      </c>
      <c r="D98" s="294" t="s">
        <v>1222</v>
      </c>
      <c r="E98" s="295"/>
      <c r="F98" s="295"/>
      <c r="G98" s="296"/>
      <c r="H98" s="874">
        <f>SUM(H96:H97)</f>
        <v>342689.6</v>
      </c>
      <c r="I98" s="873"/>
    </row>
    <row r="99" spans="3:15" ht="25.8" customHeight="1">
      <c r="C99" s="46"/>
      <c r="D99" s="47"/>
      <c r="E99" s="47"/>
      <c r="F99" s="47"/>
      <c r="G99" s="47"/>
      <c r="H99" s="47"/>
    </row>
    <row r="100" spans="3:15" ht="25.8" customHeight="1">
      <c r="C100" s="867" t="s">
        <v>3589</v>
      </c>
      <c r="D100" s="1932" t="s">
        <v>3590</v>
      </c>
      <c r="E100" s="1932"/>
      <c r="F100" s="1932"/>
      <c r="G100" s="1932"/>
      <c r="H100" s="1932"/>
      <c r="I100" s="120">
        <f>ROUNDDOWN(H117,-2)</f>
        <v>915900</v>
      </c>
      <c r="J100" s="120"/>
      <c r="K100" s="120"/>
    </row>
    <row r="101" spans="3:15" ht="25.8" customHeight="1">
      <c r="C101" s="591" t="s">
        <v>1195</v>
      </c>
      <c r="D101" s="591" t="s">
        <v>1196</v>
      </c>
      <c r="E101" s="591" t="s">
        <v>1197</v>
      </c>
      <c r="F101" s="591" t="s">
        <v>1198</v>
      </c>
      <c r="G101" s="591" t="s">
        <v>1199</v>
      </c>
      <c r="H101" s="591" t="s">
        <v>1200</v>
      </c>
    </row>
    <row r="102" spans="3:15" ht="25.8" customHeight="1">
      <c r="C102" s="176" t="s">
        <v>1201</v>
      </c>
      <c r="D102" s="182" t="s">
        <v>1202</v>
      </c>
      <c r="E102" s="70"/>
      <c r="F102" s="70"/>
      <c r="G102" s="70"/>
      <c r="H102" s="70"/>
      <c r="L102" s="374" t="s">
        <v>1247</v>
      </c>
    </row>
    <row r="103" spans="3:15" ht="25.8" customHeight="1">
      <c r="C103" s="869">
        <v>1</v>
      </c>
      <c r="D103" s="182" t="s">
        <v>5</v>
      </c>
      <c r="E103" s="182" t="s">
        <v>6</v>
      </c>
      <c r="F103" s="282">
        <v>0.112</v>
      </c>
      <c r="G103" s="283">
        <f>VLOOKUP(D103,upahbahan,3,FALSE)</f>
        <v>100000</v>
      </c>
      <c r="H103" s="283">
        <f t="shared" ref="H103:H106" si="10">F103*G103</f>
        <v>11200</v>
      </c>
      <c r="L103" s="374" t="s">
        <v>1248</v>
      </c>
      <c r="O103" s="65">
        <v>0.1</v>
      </c>
    </row>
    <row r="104" spans="3:15" ht="25.8" customHeight="1">
      <c r="C104" s="869">
        <v>2</v>
      </c>
      <c r="D104" s="182" t="s">
        <v>10</v>
      </c>
      <c r="E104" s="182" t="s">
        <v>6</v>
      </c>
      <c r="F104" s="282">
        <v>0.187</v>
      </c>
      <c r="G104" s="283">
        <f>VLOOKUP(D104,upahbahan,3,FALSE)</f>
        <v>135000</v>
      </c>
      <c r="H104" s="283">
        <f t="shared" si="10"/>
        <v>25245</v>
      </c>
    </row>
    <row r="105" spans="3:15" ht="25.8" customHeight="1">
      <c r="C105" s="869">
        <v>3</v>
      </c>
      <c r="D105" s="182" t="s">
        <v>18</v>
      </c>
      <c r="E105" s="182" t="s">
        <v>6</v>
      </c>
      <c r="F105" s="282">
        <v>1.9E-2</v>
      </c>
      <c r="G105" s="283">
        <f>VLOOKUP(D105,upahbahan,3,FALSE)</f>
        <v>150000</v>
      </c>
      <c r="H105" s="283">
        <f t="shared" si="10"/>
        <v>2850</v>
      </c>
    </row>
    <row r="106" spans="3:15" ht="25.8" customHeight="1">
      <c r="C106" s="869">
        <v>4</v>
      </c>
      <c r="D106" s="182" t="s">
        <v>19</v>
      </c>
      <c r="E106" s="182" t="s">
        <v>6</v>
      </c>
      <c r="F106" s="282">
        <v>6.0000000000000001E-3</v>
      </c>
      <c r="G106" s="283">
        <f>VLOOKUP(D106,upahbahan,3,FALSE)</f>
        <v>160000</v>
      </c>
      <c r="H106" s="283">
        <f t="shared" si="10"/>
        <v>960</v>
      </c>
    </row>
    <row r="107" spans="3:15" ht="25.8" customHeight="1">
      <c r="C107" s="450" t="s">
        <v>1208</v>
      </c>
      <c r="D107" s="67"/>
      <c r="E107" s="67"/>
      <c r="F107" s="142"/>
      <c r="G107" s="153"/>
      <c r="H107" s="283">
        <f>SUM(H103:H106)</f>
        <v>40255</v>
      </c>
      <c r="I107" s="319"/>
      <c r="J107" s="319"/>
      <c r="K107" s="319"/>
    </row>
    <row r="108" spans="3:15" ht="25.8" customHeight="1">
      <c r="C108" s="176" t="s">
        <v>1209</v>
      </c>
      <c r="D108" s="182" t="s">
        <v>1210</v>
      </c>
      <c r="E108" s="70"/>
      <c r="F108" s="70"/>
      <c r="G108" s="70"/>
      <c r="H108" s="70"/>
    </row>
    <row r="109" spans="3:15" ht="25.8" customHeight="1">
      <c r="C109" s="869">
        <v>1</v>
      </c>
      <c r="D109" s="285" t="s">
        <v>3591</v>
      </c>
      <c r="E109" s="291" t="s">
        <v>113</v>
      </c>
      <c r="F109" s="327">
        <v>1.5</v>
      </c>
      <c r="G109" s="283">
        <f>VLOOKUP(D109,upahbahan,3,FALSE)</f>
        <v>351600</v>
      </c>
      <c r="H109" s="283">
        <f t="shared" ref="H109:H110" si="11">F109*G109</f>
        <v>527400</v>
      </c>
    </row>
    <row r="110" spans="3:15" ht="25.8" customHeight="1">
      <c r="C110" s="869">
        <v>2</v>
      </c>
      <c r="D110" s="285" t="s">
        <v>3538</v>
      </c>
      <c r="E110" s="291" t="s">
        <v>113</v>
      </c>
      <c r="F110" s="327">
        <v>1.2</v>
      </c>
      <c r="G110" s="283">
        <f>VLOOKUP(D110,upahbahan,3,FALSE)</f>
        <v>1080</v>
      </c>
      <c r="H110" s="283">
        <f t="shared" si="11"/>
        <v>1296</v>
      </c>
    </row>
    <row r="111" spans="3:15" ht="25.8" customHeight="1">
      <c r="C111" s="869">
        <v>3</v>
      </c>
      <c r="D111" s="182" t="s">
        <v>3573</v>
      </c>
      <c r="E111" s="70" t="s">
        <v>3574</v>
      </c>
      <c r="F111" s="870">
        <v>0.5</v>
      </c>
      <c r="G111" s="283">
        <f>VLOOKUP(D111,upahbahan,3,FALSE)</f>
        <v>9050</v>
      </c>
      <c r="H111" s="283">
        <f>F111*H109</f>
        <v>263700</v>
      </c>
    </row>
    <row r="112" spans="3:15" ht="25.8" customHeight="1">
      <c r="C112" s="450" t="s">
        <v>1214</v>
      </c>
      <c r="D112" s="67"/>
      <c r="E112" s="67"/>
      <c r="F112" s="67"/>
      <c r="G112" s="69"/>
      <c r="H112" s="283">
        <f>SUM(H109:H111)</f>
        <v>792396</v>
      </c>
    </row>
    <row r="113" spans="3:15" ht="25.8" customHeight="1">
      <c r="C113" s="176" t="s">
        <v>1215</v>
      </c>
      <c r="D113" s="182" t="s">
        <v>1216</v>
      </c>
      <c r="E113" s="70"/>
      <c r="F113" s="70"/>
      <c r="G113" s="70"/>
      <c r="H113" s="70"/>
    </row>
    <row r="114" spans="3:15" ht="25.8" customHeight="1">
      <c r="C114" s="450" t="s">
        <v>1217</v>
      </c>
      <c r="D114" s="67"/>
      <c r="E114" s="67"/>
      <c r="F114" s="67"/>
      <c r="G114" s="69"/>
      <c r="H114" s="871">
        <v>0</v>
      </c>
    </row>
    <row r="115" spans="3:15" ht="25.8" customHeight="1">
      <c r="C115" s="102" t="s">
        <v>1218</v>
      </c>
      <c r="D115" s="294" t="s">
        <v>1219</v>
      </c>
      <c r="E115" s="295"/>
      <c r="F115" s="295"/>
      <c r="G115" s="296"/>
      <c r="H115" s="872">
        <f>H114+H112+H107</f>
        <v>832651</v>
      </c>
      <c r="I115" s="873"/>
    </row>
    <row r="116" spans="3:15" ht="25.8" customHeight="1">
      <c r="C116" s="102" t="s">
        <v>1220</v>
      </c>
      <c r="D116" s="294" t="s">
        <v>1321</v>
      </c>
      <c r="E116" s="295"/>
      <c r="F116" s="296"/>
      <c r="G116" s="298">
        <f>$O$199</f>
        <v>0.1</v>
      </c>
      <c r="H116" s="283">
        <f>H115*G116</f>
        <v>83265.100000000006</v>
      </c>
      <c r="I116" s="873"/>
    </row>
    <row r="117" spans="3:15" ht="25.8" customHeight="1">
      <c r="C117" s="102" t="s">
        <v>1221</v>
      </c>
      <c r="D117" s="294" t="s">
        <v>1222</v>
      </c>
      <c r="E117" s="295"/>
      <c r="F117" s="295"/>
      <c r="G117" s="296"/>
      <c r="H117" s="874">
        <f>SUM(H115:H116)</f>
        <v>915916.1</v>
      </c>
      <c r="I117" s="873"/>
    </row>
    <row r="118" spans="3:15" ht="25.8" customHeight="1">
      <c r="C118" s="46"/>
      <c r="D118" s="47"/>
      <c r="E118" s="47"/>
      <c r="F118" s="47"/>
      <c r="G118" s="47"/>
      <c r="H118" s="47"/>
    </row>
    <row r="119" spans="3:15" ht="25.8" customHeight="1">
      <c r="C119" s="867" t="s">
        <v>3592</v>
      </c>
      <c r="D119" s="1932" t="s">
        <v>3593</v>
      </c>
      <c r="E119" s="1932"/>
      <c r="F119" s="1932"/>
      <c r="G119" s="1932"/>
      <c r="H119" s="1932"/>
      <c r="I119" s="120">
        <f>ROUNDDOWN(H136,-2)</f>
        <v>967900</v>
      </c>
      <c r="J119" s="120"/>
      <c r="K119" s="120"/>
    </row>
    <row r="120" spans="3:15" ht="25.8" customHeight="1">
      <c r="C120" s="591" t="s">
        <v>1195</v>
      </c>
      <c r="D120" s="591" t="s">
        <v>1196</v>
      </c>
      <c r="E120" s="591" t="s">
        <v>1197</v>
      </c>
      <c r="F120" s="591" t="s">
        <v>1198</v>
      </c>
      <c r="G120" s="591" t="s">
        <v>1199</v>
      </c>
      <c r="H120" s="591" t="s">
        <v>1200</v>
      </c>
    </row>
    <row r="121" spans="3:15" ht="25.8" customHeight="1">
      <c r="C121" s="176" t="s">
        <v>1201</v>
      </c>
      <c r="D121" s="182" t="s">
        <v>1202</v>
      </c>
      <c r="E121" s="70"/>
      <c r="F121" s="70"/>
      <c r="G121" s="70"/>
      <c r="H121" s="70"/>
      <c r="L121" s="374" t="s">
        <v>1247</v>
      </c>
    </row>
    <row r="122" spans="3:15" ht="25.8" customHeight="1">
      <c r="C122" s="869">
        <v>1</v>
      </c>
      <c r="D122" s="182" t="s">
        <v>5</v>
      </c>
      <c r="E122" s="182" t="s">
        <v>6</v>
      </c>
      <c r="F122" s="282">
        <v>0.129</v>
      </c>
      <c r="G122" s="283">
        <f>VLOOKUP(D122,upahbahan,3,FALSE)</f>
        <v>100000</v>
      </c>
      <c r="H122" s="283">
        <f t="shared" ref="H122:H125" si="12">F122*G122</f>
        <v>12900</v>
      </c>
      <c r="L122" s="374" t="s">
        <v>1248</v>
      </c>
      <c r="O122" s="65">
        <v>0.1</v>
      </c>
    </row>
    <row r="123" spans="3:15" ht="25.8" customHeight="1">
      <c r="C123" s="869">
        <v>2</v>
      </c>
      <c r="D123" s="182" t="s">
        <v>10</v>
      </c>
      <c r="E123" s="182" t="s">
        <v>6</v>
      </c>
      <c r="F123" s="282">
        <v>0.215</v>
      </c>
      <c r="G123" s="283">
        <f>VLOOKUP(D123,upahbahan,3,FALSE)</f>
        <v>135000</v>
      </c>
      <c r="H123" s="283">
        <f t="shared" si="12"/>
        <v>29025</v>
      </c>
    </row>
    <row r="124" spans="3:15" ht="25.8" customHeight="1">
      <c r="C124" s="869">
        <v>3</v>
      </c>
      <c r="D124" s="182" t="s">
        <v>18</v>
      </c>
      <c r="E124" s="182" t="s">
        <v>6</v>
      </c>
      <c r="F124" s="282">
        <v>2.1000000000000001E-2</v>
      </c>
      <c r="G124" s="283">
        <f>VLOOKUP(D124,upahbahan,3,FALSE)</f>
        <v>150000</v>
      </c>
      <c r="H124" s="283">
        <f t="shared" si="12"/>
        <v>3150</v>
      </c>
    </row>
    <row r="125" spans="3:15" ht="25.8" customHeight="1">
      <c r="C125" s="869">
        <v>4</v>
      </c>
      <c r="D125" s="182" t="s">
        <v>19</v>
      </c>
      <c r="E125" s="182" t="s">
        <v>6</v>
      </c>
      <c r="F125" s="282">
        <v>7.0000000000000001E-3</v>
      </c>
      <c r="G125" s="283">
        <f>VLOOKUP(D125,upahbahan,3,FALSE)</f>
        <v>160000</v>
      </c>
      <c r="H125" s="283">
        <f t="shared" si="12"/>
        <v>1120</v>
      </c>
    </row>
    <row r="126" spans="3:15" ht="25.8" customHeight="1">
      <c r="C126" s="450" t="s">
        <v>1208</v>
      </c>
      <c r="D126" s="67"/>
      <c r="E126" s="67"/>
      <c r="F126" s="142"/>
      <c r="G126" s="153"/>
      <c r="H126" s="283">
        <f>SUM(H122:H125)</f>
        <v>46195</v>
      </c>
      <c r="I126" s="319"/>
      <c r="J126" s="319"/>
      <c r="K126" s="319"/>
    </row>
    <row r="127" spans="3:15" ht="25.8" customHeight="1">
      <c r="C127" s="176" t="s">
        <v>1209</v>
      </c>
      <c r="D127" s="182" t="s">
        <v>1210</v>
      </c>
      <c r="E127" s="70"/>
      <c r="F127" s="70"/>
      <c r="G127" s="70"/>
      <c r="H127" s="70"/>
    </row>
    <row r="128" spans="3:15" ht="25.8" customHeight="1">
      <c r="C128" s="869">
        <v>1</v>
      </c>
      <c r="D128" s="285" t="s">
        <v>3594</v>
      </c>
      <c r="E128" s="291" t="s">
        <v>113</v>
      </c>
      <c r="F128" s="327">
        <v>1.5</v>
      </c>
      <c r="G128" s="283">
        <f>VLOOKUP(D128,upahbahan,3,FALSE)</f>
        <v>370000</v>
      </c>
      <c r="H128" s="283">
        <f t="shared" ref="H128:H129" si="13">F128*G128</f>
        <v>555000</v>
      </c>
    </row>
    <row r="129" spans="3:15" ht="25.8" customHeight="1">
      <c r="C129" s="869">
        <v>2</v>
      </c>
      <c r="D129" s="285" t="s">
        <v>3538</v>
      </c>
      <c r="E129" s="291" t="s">
        <v>113</v>
      </c>
      <c r="F129" s="327">
        <v>1.2</v>
      </c>
      <c r="G129" s="283">
        <f>VLOOKUP(D129,upahbahan,3,FALSE)</f>
        <v>1080</v>
      </c>
      <c r="H129" s="283">
        <f t="shared" si="13"/>
        <v>1296</v>
      </c>
    </row>
    <row r="130" spans="3:15" ht="25.8" customHeight="1">
      <c r="C130" s="869">
        <v>3</v>
      </c>
      <c r="D130" s="182" t="s">
        <v>3573</v>
      </c>
      <c r="E130" s="70" t="s">
        <v>3574</v>
      </c>
      <c r="F130" s="870">
        <v>0.5</v>
      </c>
      <c r="G130" s="283">
        <f>VLOOKUP(D130,upahbahan,3,FALSE)</f>
        <v>9050</v>
      </c>
      <c r="H130" s="283">
        <f>F130*H128</f>
        <v>277500</v>
      </c>
    </row>
    <row r="131" spans="3:15" ht="25.8" customHeight="1">
      <c r="C131" s="450" t="s">
        <v>1214</v>
      </c>
      <c r="D131" s="67"/>
      <c r="E131" s="67"/>
      <c r="F131" s="67"/>
      <c r="G131" s="69"/>
      <c r="H131" s="283">
        <f>SUM(H128:H130)</f>
        <v>833796</v>
      </c>
    </row>
    <row r="132" spans="3:15" ht="25.8" customHeight="1">
      <c r="C132" s="176" t="s">
        <v>1215</v>
      </c>
      <c r="D132" s="182" t="s">
        <v>1216</v>
      </c>
      <c r="E132" s="70"/>
      <c r="F132" s="70"/>
      <c r="G132" s="70"/>
      <c r="H132" s="70"/>
    </row>
    <row r="133" spans="3:15" ht="25.8" customHeight="1">
      <c r="C133" s="450" t="s">
        <v>1217</v>
      </c>
      <c r="D133" s="67"/>
      <c r="E133" s="67"/>
      <c r="F133" s="67"/>
      <c r="G133" s="69"/>
      <c r="H133" s="871">
        <v>0</v>
      </c>
    </row>
    <row r="134" spans="3:15" ht="25.8" customHeight="1">
      <c r="C134" s="102" t="s">
        <v>1218</v>
      </c>
      <c r="D134" s="294" t="s">
        <v>1219</v>
      </c>
      <c r="E134" s="295"/>
      <c r="F134" s="295"/>
      <c r="G134" s="296"/>
      <c r="H134" s="872">
        <f>H133+H131+H126</f>
        <v>879991</v>
      </c>
      <c r="I134" s="873"/>
    </row>
    <row r="135" spans="3:15" ht="25.8" customHeight="1">
      <c r="C135" s="102" t="s">
        <v>1220</v>
      </c>
      <c r="D135" s="294" t="s">
        <v>1321</v>
      </c>
      <c r="E135" s="295"/>
      <c r="F135" s="296"/>
      <c r="G135" s="298">
        <f>$O$199</f>
        <v>0.1</v>
      </c>
      <c r="H135" s="283">
        <f>H134*G135</f>
        <v>87999.1</v>
      </c>
      <c r="I135" s="873"/>
    </row>
    <row r="136" spans="3:15" ht="25.8" customHeight="1">
      <c r="C136" s="102" t="s">
        <v>1221</v>
      </c>
      <c r="D136" s="294" t="s">
        <v>1222</v>
      </c>
      <c r="E136" s="295"/>
      <c r="F136" s="295"/>
      <c r="G136" s="296"/>
      <c r="H136" s="874">
        <f>SUM(H134:H135)</f>
        <v>967990.1</v>
      </c>
      <c r="I136" s="873"/>
    </row>
    <row r="137" spans="3:15" ht="25.8" customHeight="1">
      <c r="C137" s="46"/>
      <c r="D137" s="47"/>
      <c r="E137" s="47"/>
      <c r="F137" s="47"/>
      <c r="G137" s="47"/>
      <c r="H137" s="47"/>
    </row>
    <row r="138" spans="3:15" ht="25.8" customHeight="1">
      <c r="C138" s="867" t="s">
        <v>3595</v>
      </c>
      <c r="D138" s="1932" t="s">
        <v>3596</v>
      </c>
      <c r="E138" s="1932"/>
      <c r="F138" s="1932"/>
      <c r="G138" s="1932"/>
      <c r="H138" s="1932"/>
      <c r="I138" s="120">
        <f>ROUNDDOWN(H155,-2)</f>
        <v>986100</v>
      </c>
      <c r="J138" s="120"/>
      <c r="K138" s="120"/>
    </row>
    <row r="139" spans="3:15" ht="25.8" customHeight="1">
      <c r="C139" s="591" t="s">
        <v>1195</v>
      </c>
      <c r="D139" s="591" t="s">
        <v>1196</v>
      </c>
      <c r="E139" s="591" t="s">
        <v>1197</v>
      </c>
      <c r="F139" s="591" t="s">
        <v>1198</v>
      </c>
      <c r="G139" s="591" t="s">
        <v>1199</v>
      </c>
      <c r="H139" s="591" t="s">
        <v>1200</v>
      </c>
    </row>
    <row r="140" spans="3:15" ht="25.8" customHeight="1">
      <c r="C140" s="176" t="s">
        <v>1201</v>
      </c>
      <c r="D140" s="182" t="s">
        <v>1202</v>
      </c>
      <c r="E140" s="70"/>
      <c r="F140" s="70"/>
      <c r="G140" s="70"/>
      <c r="H140" s="70"/>
      <c r="L140" s="374" t="s">
        <v>1247</v>
      </c>
    </row>
    <row r="141" spans="3:15" ht="25.8" customHeight="1">
      <c r="C141" s="869">
        <v>1</v>
      </c>
      <c r="D141" s="182" t="s">
        <v>5</v>
      </c>
      <c r="E141" s="182" t="s">
        <v>6</v>
      </c>
      <c r="F141" s="282">
        <v>0.14299999999999999</v>
      </c>
      <c r="G141" s="283">
        <f>VLOOKUP(D141,upahbahan,3,FALSE)</f>
        <v>100000</v>
      </c>
      <c r="H141" s="283">
        <f t="shared" ref="H141:H144" si="14">F141*G141</f>
        <v>14299.999999999998</v>
      </c>
      <c r="L141" s="374" t="s">
        <v>1248</v>
      </c>
      <c r="O141" s="65">
        <v>0.1</v>
      </c>
    </row>
    <row r="142" spans="3:15" ht="25.8" customHeight="1">
      <c r="C142" s="869">
        <v>2</v>
      </c>
      <c r="D142" s="182" t="s">
        <v>10</v>
      </c>
      <c r="E142" s="182" t="s">
        <v>6</v>
      </c>
      <c r="F142" s="282">
        <v>0.23899999999999999</v>
      </c>
      <c r="G142" s="283">
        <f>VLOOKUP(D142,upahbahan,3,FALSE)</f>
        <v>135000</v>
      </c>
      <c r="H142" s="283">
        <f t="shared" si="14"/>
        <v>32265</v>
      </c>
    </row>
    <row r="143" spans="3:15" ht="25.8" customHeight="1">
      <c r="C143" s="869">
        <v>3</v>
      </c>
      <c r="D143" s="182" t="s">
        <v>18</v>
      </c>
      <c r="E143" s="182" t="s">
        <v>6</v>
      </c>
      <c r="F143" s="282">
        <v>2.4E-2</v>
      </c>
      <c r="G143" s="283">
        <f>VLOOKUP(D143,upahbahan,3,FALSE)</f>
        <v>150000</v>
      </c>
      <c r="H143" s="283">
        <f t="shared" si="14"/>
        <v>3600</v>
      </c>
    </row>
    <row r="144" spans="3:15" ht="25.8" customHeight="1">
      <c r="C144" s="869">
        <v>4</v>
      </c>
      <c r="D144" s="182" t="s">
        <v>19</v>
      </c>
      <c r="E144" s="182" t="s">
        <v>6</v>
      </c>
      <c r="F144" s="282">
        <v>8.0000000000000002E-3</v>
      </c>
      <c r="G144" s="283">
        <f>VLOOKUP(D144,upahbahan,3,FALSE)</f>
        <v>160000</v>
      </c>
      <c r="H144" s="283">
        <f t="shared" si="14"/>
        <v>1280</v>
      </c>
    </row>
    <row r="145" spans="3:12" ht="25.8" customHeight="1">
      <c r="C145" s="450" t="s">
        <v>1208</v>
      </c>
      <c r="D145" s="67"/>
      <c r="E145" s="67"/>
      <c r="F145" s="142"/>
      <c r="G145" s="153"/>
      <c r="H145" s="283">
        <f>SUM(H141:H144)</f>
        <v>51445</v>
      </c>
      <c r="I145" s="319"/>
      <c r="J145" s="319"/>
      <c r="K145" s="319"/>
    </row>
    <row r="146" spans="3:12" ht="25.8" customHeight="1">
      <c r="C146" s="176" t="s">
        <v>1209</v>
      </c>
      <c r="D146" s="182" t="s">
        <v>1210</v>
      </c>
      <c r="E146" s="70"/>
      <c r="F146" s="70"/>
      <c r="G146" s="70"/>
      <c r="H146" s="70"/>
    </row>
    <row r="147" spans="3:12" ht="25.8" customHeight="1">
      <c r="C147" s="869">
        <v>1</v>
      </c>
      <c r="D147" s="285" t="s">
        <v>3597</v>
      </c>
      <c r="E147" s="291" t="s">
        <v>113</v>
      </c>
      <c r="F147" s="327">
        <v>1.5</v>
      </c>
      <c r="G147" s="283">
        <f>VLOOKUP(D147,upahbahan,3,FALSE)</f>
        <v>375000</v>
      </c>
      <c r="H147" s="283">
        <f t="shared" ref="H147:H148" si="15">F147*G147</f>
        <v>562500</v>
      </c>
    </row>
    <row r="148" spans="3:12" ht="25.8" customHeight="1">
      <c r="C148" s="869">
        <v>2</v>
      </c>
      <c r="D148" s="285" t="s">
        <v>3538</v>
      </c>
      <c r="E148" s="291" t="s">
        <v>113</v>
      </c>
      <c r="F148" s="327">
        <v>1.2</v>
      </c>
      <c r="G148" s="283">
        <f>VLOOKUP(D148,upahbahan,3,FALSE)</f>
        <v>1080</v>
      </c>
      <c r="H148" s="283">
        <f t="shared" si="15"/>
        <v>1296</v>
      </c>
    </row>
    <row r="149" spans="3:12" ht="25.8" customHeight="1">
      <c r="C149" s="869">
        <v>3</v>
      </c>
      <c r="D149" s="182" t="s">
        <v>3573</v>
      </c>
      <c r="E149" s="70" t="s">
        <v>3574</v>
      </c>
      <c r="F149" s="870">
        <v>0.5</v>
      </c>
      <c r="G149" s="283">
        <f>VLOOKUP(D149,upahbahan,3,FALSE)</f>
        <v>9050</v>
      </c>
      <c r="H149" s="283">
        <f>F149*H147</f>
        <v>281250</v>
      </c>
    </row>
    <row r="150" spans="3:12" ht="25.8" customHeight="1">
      <c r="C150" s="450" t="s">
        <v>1214</v>
      </c>
      <c r="D150" s="67"/>
      <c r="E150" s="67"/>
      <c r="F150" s="67"/>
      <c r="G150" s="69"/>
      <c r="H150" s="283">
        <f>SUM(H147:H149)</f>
        <v>845046</v>
      </c>
    </row>
    <row r="151" spans="3:12" ht="25.8" customHeight="1">
      <c r="C151" s="176" t="s">
        <v>1215</v>
      </c>
      <c r="D151" s="182" t="s">
        <v>1216</v>
      </c>
      <c r="E151" s="70"/>
      <c r="F151" s="70"/>
      <c r="G151" s="70"/>
      <c r="H151" s="70"/>
    </row>
    <row r="152" spans="3:12" ht="25.8" customHeight="1">
      <c r="C152" s="450" t="s">
        <v>1217</v>
      </c>
      <c r="D152" s="67"/>
      <c r="E152" s="67"/>
      <c r="F152" s="67"/>
      <c r="G152" s="69"/>
      <c r="H152" s="871">
        <v>0</v>
      </c>
    </row>
    <row r="153" spans="3:12" ht="25.8" customHeight="1">
      <c r="C153" s="102" t="s">
        <v>1218</v>
      </c>
      <c r="D153" s="294" t="s">
        <v>1219</v>
      </c>
      <c r="E153" s="295"/>
      <c r="F153" s="295"/>
      <c r="G153" s="296"/>
      <c r="H153" s="872">
        <f>H152+H150+H145</f>
        <v>896491</v>
      </c>
      <c r="I153" s="873"/>
    </row>
    <row r="154" spans="3:12" ht="25.8" customHeight="1">
      <c r="C154" s="102" t="s">
        <v>1220</v>
      </c>
      <c r="D154" s="294" t="s">
        <v>1321</v>
      </c>
      <c r="E154" s="295"/>
      <c r="F154" s="296"/>
      <c r="G154" s="298">
        <f>$O$199</f>
        <v>0.1</v>
      </c>
      <c r="H154" s="283">
        <f>H153*G154</f>
        <v>89649.1</v>
      </c>
      <c r="I154" s="873"/>
    </row>
    <row r="155" spans="3:12" ht="25.8" customHeight="1">
      <c r="C155" s="102" t="s">
        <v>1221</v>
      </c>
      <c r="D155" s="294" t="s">
        <v>1222</v>
      </c>
      <c r="E155" s="295"/>
      <c r="F155" s="295"/>
      <c r="G155" s="296"/>
      <c r="H155" s="874">
        <f>SUM(H153:H154)</f>
        <v>986140.1</v>
      </c>
      <c r="I155" s="873"/>
    </row>
    <row r="156" spans="3:12" ht="25.8" customHeight="1">
      <c r="C156" s="46"/>
      <c r="D156" s="47"/>
      <c r="E156" s="47"/>
      <c r="F156" s="47"/>
      <c r="G156" s="47"/>
      <c r="H156" s="47"/>
    </row>
    <row r="157" spans="3:12" ht="25.8" customHeight="1">
      <c r="C157" s="46"/>
      <c r="D157" s="47"/>
      <c r="E157" s="47"/>
      <c r="F157" s="47"/>
      <c r="G157" s="47"/>
      <c r="H157" s="47"/>
    </row>
    <row r="158" spans="3:12" ht="25.8" customHeight="1">
      <c r="C158" s="867" t="s">
        <v>3598</v>
      </c>
      <c r="D158" s="1932" t="s">
        <v>3599</v>
      </c>
      <c r="E158" s="1932"/>
      <c r="F158" s="1932"/>
      <c r="G158" s="1932"/>
      <c r="H158" s="1932"/>
      <c r="I158" s="120">
        <f>ROUNDDOWN(H175,-2)</f>
        <v>1010600</v>
      </c>
      <c r="J158" s="120"/>
      <c r="K158" s="120"/>
    </row>
    <row r="159" spans="3:12" ht="25.8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</row>
    <row r="160" spans="3:12" ht="25.8" customHeight="1">
      <c r="C160" s="176" t="s">
        <v>1201</v>
      </c>
      <c r="D160" s="182" t="s">
        <v>1202</v>
      </c>
      <c r="E160" s="70"/>
      <c r="F160" s="70"/>
      <c r="G160" s="70"/>
      <c r="H160" s="70"/>
      <c r="L160" s="374" t="s">
        <v>1247</v>
      </c>
    </row>
    <row r="161" spans="3:15" ht="25.8" customHeight="1">
      <c r="C161" s="869">
        <v>1</v>
      </c>
      <c r="D161" s="182" t="s">
        <v>5</v>
      </c>
      <c r="E161" s="182" t="s">
        <v>6</v>
      </c>
      <c r="F161" s="282">
        <v>0.17399999999999999</v>
      </c>
      <c r="G161" s="283">
        <f>VLOOKUP(D161,upahbahan,3,FALSE)</f>
        <v>100000</v>
      </c>
      <c r="H161" s="283">
        <f t="shared" ref="H161:H164" si="16">F161*G161</f>
        <v>17400</v>
      </c>
      <c r="L161" s="374" t="s">
        <v>1248</v>
      </c>
      <c r="O161" s="65">
        <v>0.1</v>
      </c>
    </row>
    <row r="162" spans="3:15" ht="25.8" customHeight="1">
      <c r="C162" s="869">
        <v>2</v>
      </c>
      <c r="D162" s="182" t="s">
        <v>10</v>
      </c>
      <c r="E162" s="182" t="s">
        <v>6</v>
      </c>
      <c r="F162" s="282">
        <v>0.28999999999999998</v>
      </c>
      <c r="G162" s="283">
        <f>VLOOKUP(D162,upahbahan,3,FALSE)</f>
        <v>135000</v>
      </c>
      <c r="H162" s="283">
        <f t="shared" si="16"/>
        <v>39150</v>
      </c>
    </row>
    <row r="163" spans="3:15" ht="25.8" customHeight="1">
      <c r="C163" s="869">
        <v>3</v>
      </c>
      <c r="D163" s="182" t="s">
        <v>18</v>
      </c>
      <c r="E163" s="182" t="s">
        <v>6</v>
      </c>
      <c r="F163" s="282">
        <v>2.9000000000000001E-2</v>
      </c>
      <c r="G163" s="283">
        <f>VLOOKUP(D163,upahbahan,3,FALSE)</f>
        <v>150000</v>
      </c>
      <c r="H163" s="283">
        <f t="shared" si="16"/>
        <v>4350</v>
      </c>
    </row>
    <row r="164" spans="3:15" ht="25.8" customHeight="1">
      <c r="C164" s="869">
        <v>4</v>
      </c>
      <c r="D164" s="182" t="s">
        <v>19</v>
      </c>
      <c r="E164" s="182" t="s">
        <v>6</v>
      </c>
      <c r="F164" s="282">
        <v>0.01</v>
      </c>
      <c r="G164" s="283">
        <f>VLOOKUP(D164,upahbahan,3,FALSE)</f>
        <v>160000</v>
      </c>
      <c r="H164" s="283">
        <f t="shared" si="16"/>
        <v>1600</v>
      </c>
    </row>
    <row r="165" spans="3:15" ht="25.8" customHeight="1">
      <c r="C165" s="450" t="s">
        <v>1208</v>
      </c>
      <c r="D165" s="67"/>
      <c r="E165" s="67"/>
      <c r="F165" s="142"/>
      <c r="G165" s="153"/>
      <c r="H165" s="283">
        <f>SUM(H161:H164)</f>
        <v>62500</v>
      </c>
      <c r="I165" s="319"/>
      <c r="J165" s="319"/>
      <c r="K165" s="319"/>
    </row>
    <row r="166" spans="3:15" ht="25.8" customHeight="1">
      <c r="C166" s="176" t="s">
        <v>1209</v>
      </c>
      <c r="D166" s="182" t="s">
        <v>1210</v>
      </c>
      <c r="E166" s="70"/>
      <c r="F166" s="70"/>
      <c r="G166" s="70"/>
      <c r="H166" s="70"/>
    </row>
    <row r="167" spans="3:15" ht="25.8" customHeight="1">
      <c r="C167" s="869">
        <v>1</v>
      </c>
      <c r="D167" s="285" t="s">
        <v>3600</v>
      </c>
      <c r="E167" s="291" t="s">
        <v>113</v>
      </c>
      <c r="F167" s="327">
        <v>1.5</v>
      </c>
      <c r="G167" s="283">
        <f>VLOOKUP(D167,upahbahan,3,FALSE)</f>
        <v>380000</v>
      </c>
      <c r="H167" s="283">
        <f t="shared" ref="H167:H168" si="17">F167*G167</f>
        <v>570000</v>
      </c>
    </row>
    <row r="168" spans="3:15" ht="25.8" customHeight="1">
      <c r="C168" s="869">
        <v>2</v>
      </c>
      <c r="D168" s="285" t="s">
        <v>3538</v>
      </c>
      <c r="E168" s="291" t="s">
        <v>113</v>
      </c>
      <c r="F168" s="327">
        <v>1.2</v>
      </c>
      <c r="G168" s="283">
        <f>VLOOKUP(D168,upahbahan,3,FALSE)</f>
        <v>1080</v>
      </c>
      <c r="H168" s="283">
        <f t="shared" si="17"/>
        <v>1296</v>
      </c>
    </row>
    <row r="169" spans="3:15" ht="25.8" customHeight="1">
      <c r="C169" s="869">
        <v>3</v>
      </c>
      <c r="D169" s="182" t="s">
        <v>3573</v>
      </c>
      <c r="E169" s="70" t="s">
        <v>3574</v>
      </c>
      <c r="F169" s="870">
        <v>0.5</v>
      </c>
      <c r="G169" s="283">
        <f>VLOOKUP(D169,upahbahan,3,FALSE)</f>
        <v>9050</v>
      </c>
      <c r="H169" s="283">
        <f>F169*H167</f>
        <v>285000</v>
      </c>
    </row>
    <row r="170" spans="3:15" ht="25.8" customHeight="1">
      <c r="C170" s="450" t="s">
        <v>1214</v>
      </c>
      <c r="D170" s="67"/>
      <c r="E170" s="67"/>
      <c r="F170" s="67"/>
      <c r="G170" s="69"/>
      <c r="H170" s="283">
        <f>SUM(H167:H169)</f>
        <v>856296</v>
      </c>
    </row>
    <row r="171" spans="3:15" ht="25.8" customHeight="1">
      <c r="C171" s="176" t="s">
        <v>1215</v>
      </c>
      <c r="D171" s="182" t="s">
        <v>1216</v>
      </c>
      <c r="E171" s="70"/>
      <c r="F171" s="70"/>
      <c r="G171" s="70"/>
      <c r="H171" s="70"/>
    </row>
    <row r="172" spans="3:15" ht="25.8" customHeight="1">
      <c r="C172" s="450" t="s">
        <v>1217</v>
      </c>
      <c r="D172" s="67"/>
      <c r="E172" s="67"/>
      <c r="F172" s="67"/>
      <c r="G172" s="69"/>
      <c r="H172" s="871">
        <v>0</v>
      </c>
    </row>
    <row r="173" spans="3:15" ht="25.8" customHeight="1">
      <c r="C173" s="102" t="s">
        <v>1218</v>
      </c>
      <c r="D173" s="294" t="s">
        <v>1219</v>
      </c>
      <c r="E173" s="295"/>
      <c r="F173" s="295"/>
      <c r="G173" s="296"/>
      <c r="H173" s="872">
        <f>H172+H170+H165</f>
        <v>918796</v>
      </c>
      <c r="I173" s="873"/>
    </row>
    <row r="174" spans="3:15" ht="25.8" customHeight="1">
      <c r="C174" s="102" t="s">
        <v>1220</v>
      </c>
      <c r="D174" s="294" t="s">
        <v>1321</v>
      </c>
      <c r="E174" s="295"/>
      <c r="F174" s="296"/>
      <c r="G174" s="298">
        <f>$O$199</f>
        <v>0.1</v>
      </c>
      <c r="H174" s="283">
        <f>H173*G174</f>
        <v>91879.6</v>
      </c>
      <c r="I174" s="873"/>
    </row>
    <row r="175" spans="3:15" ht="25.8" customHeight="1">
      <c r="C175" s="102" t="s">
        <v>1221</v>
      </c>
      <c r="D175" s="294" t="s">
        <v>1222</v>
      </c>
      <c r="E175" s="295"/>
      <c r="F175" s="295"/>
      <c r="G175" s="296"/>
      <c r="H175" s="874">
        <f>SUM(H173:H174)</f>
        <v>1010675.6</v>
      </c>
      <c r="I175" s="873"/>
    </row>
    <row r="176" spans="3:15" ht="25.8" customHeight="1">
      <c r="C176" s="289"/>
      <c r="D176" s="297"/>
      <c r="E176" s="297"/>
      <c r="F176" s="297"/>
      <c r="G176" s="297"/>
      <c r="H176" s="139"/>
    </row>
    <row r="177" spans="3:15" ht="25.8" customHeight="1">
      <c r="C177" s="867" t="s">
        <v>3601</v>
      </c>
      <c r="D177" s="1932" t="s">
        <v>3602</v>
      </c>
      <c r="E177" s="1932"/>
      <c r="F177" s="1932"/>
      <c r="G177" s="1932"/>
      <c r="H177" s="1932"/>
      <c r="I177" s="120">
        <f>ROUNDDOWN(H194,-2)</f>
        <v>801200</v>
      </c>
      <c r="J177" s="120"/>
      <c r="K177" s="120"/>
    </row>
    <row r="178" spans="3:15" ht="25.8" customHeight="1">
      <c r="C178" s="591" t="s">
        <v>1195</v>
      </c>
      <c r="D178" s="591" t="s">
        <v>1196</v>
      </c>
      <c r="E178" s="591" t="s">
        <v>1197</v>
      </c>
      <c r="F178" s="591" t="s">
        <v>1198</v>
      </c>
      <c r="G178" s="591" t="s">
        <v>1199</v>
      </c>
      <c r="H178" s="591" t="s">
        <v>1200</v>
      </c>
    </row>
    <row r="179" spans="3:15" ht="25.8" customHeight="1">
      <c r="C179" s="176" t="s">
        <v>1201</v>
      </c>
      <c r="D179" s="182" t="s">
        <v>1202</v>
      </c>
      <c r="E179" s="70"/>
      <c r="F179" s="70"/>
      <c r="G179" s="70"/>
      <c r="H179" s="70"/>
      <c r="L179" s="374" t="s">
        <v>1247</v>
      </c>
    </row>
    <row r="180" spans="3:15" ht="25.8" customHeight="1">
      <c r="C180" s="869">
        <v>1</v>
      </c>
      <c r="D180" s="182" t="s">
        <v>5</v>
      </c>
      <c r="E180" s="182" t="s">
        <v>6</v>
      </c>
      <c r="F180" s="282">
        <v>0.20699999999999999</v>
      </c>
      <c r="G180" s="283">
        <f>VLOOKUP(D180,upahbahan,3,FALSE)</f>
        <v>100000</v>
      </c>
      <c r="H180" s="283">
        <f t="shared" ref="H180:H183" si="18">F180*G180</f>
        <v>20700</v>
      </c>
      <c r="L180" s="374" t="s">
        <v>1248</v>
      </c>
      <c r="O180" s="65">
        <v>0.1</v>
      </c>
    </row>
    <row r="181" spans="3:15" ht="25.8" customHeight="1">
      <c r="C181" s="869">
        <v>2</v>
      </c>
      <c r="D181" s="182" t="s">
        <v>10</v>
      </c>
      <c r="E181" s="182" t="s">
        <v>6</v>
      </c>
      <c r="F181" s="282">
        <v>0.34599999999999997</v>
      </c>
      <c r="G181" s="283">
        <f>VLOOKUP(D181,upahbahan,3,FALSE)</f>
        <v>135000</v>
      </c>
      <c r="H181" s="283">
        <f t="shared" si="18"/>
        <v>46710</v>
      </c>
    </row>
    <row r="182" spans="3:15" ht="25.8" customHeight="1">
      <c r="C182" s="869">
        <v>3</v>
      </c>
      <c r="D182" s="182" t="s">
        <v>18</v>
      </c>
      <c r="E182" s="182" t="s">
        <v>6</v>
      </c>
      <c r="F182" s="282">
        <v>3.5000000000000003E-2</v>
      </c>
      <c r="G182" s="283">
        <f>VLOOKUP(D182,upahbahan,3,FALSE)</f>
        <v>150000</v>
      </c>
      <c r="H182" s="283">
        <f t="shared" si="18"/>
        <v>5250.0000000000009</v>
      </c>
    </row>
    <row r="183" spans="3:15" ht="25.8" customHeight="1">
      <c r="C183" s="869">
        <v>4</v>
      </c>
      <c r="D183" s="182" t="s">
        <v>19</v>
      </c>
      <c r="E183" s="182" t="s">
        <v>6</v>
      </c>
      <c r="F183" s="282">
        <v>1.2E-2</v>
      </c>
      <c r="G183" s="283">
        <f>VLOOKUP(D183,upahbahan,3,FALSE)</f>
        <v>160000</v>
      </c>
      <c r="H183" s="283">
        <f t="shared" si="18"/>
        <v>1920</v>
      </c>
    </row>
    <row r="184" spans="3:15" ht="25.8" customHeight="1">
      <c r="C184" s="450" t="s">
        <v>1208</v>
      </c>
      <c r="D184" s="67"/>
      <c r="E184" s="67"/>
      <c r="F184" s="142"/>
      <c r="G184" s="153"/>
      <c r="H184" s="283">
        <f>SUM(H180:H183)</f>
        <v>74580</v>
      </c>
      <c r="I184" s="319"/>
      <c r="J184" s="319"/>
      <c r="K184" s="319"/>
    </row>
    <row r="185" spans="3:15" ht="25.8" customHeight="1">
      <c r="C185" s="176" t="s">
        <v>1209</v>
      </c>
      <c r="D185" s="182" t="s">
        <v>1210</v>
      </c>
      <c r="E185" s="70"/>
      <c r="F185" s="70"/>
      <c r="G185" s="70"/>
      <c r="H185" s="70"/>
    </row>
    <row r="186" spans="3:15" ht="25.8" customHeight="1">
      <c r="C186" s="869">
        <v>1</v>
      </c>
      <c r="D186" s="285" t="s">
        <v>3603</v>
      </c>
      <c r="E186" s="291" t="s">
        <v>113</v>
      </c>
      <c r="F186" s="327">
        <v>1.5</v>
      </c>
      <c r="G186" s="283">
        <f>VLOOKUP(D186,upahbahan,3,FALSE)</f>
        <v>290000</v>
      </c>
      <c r="H186" s="283">
        <f t="shared" ref="H186:H187" si="19">F186*G186</f>
        <v>435000</v>
      </c>
    </row>
    <row r="187" spans="3:15" ht="25.8" customHeight="1">
      <c r="C187" s="869">
        <v>2</v>
      </c>
      <c r="D187" s="285" t="s">
        <v>3538</v>
      </c>
      <c r="E187" s="291" t="s">
        <v>113</v>
      </c>
      <c r="F187" s="327">
        <v>1.2</v>
      </c>
      <c r="G187" s="283">
        <f>VLOOKUP(D187,upahbahan,3,FALSE)</f>
        <v>1080</v>
      </c>
      <c r="H187" s="283">
        <f t="shared" si="19"/>
        <v>1296</v>
      </c>
    </row>
    <row r="188" spans="3:15" ht="25.8" customHeight="1">
      <c r="C188" s="869">
        <v>3</v>
      </c>
      <c r="D188" s="182" t="s">
        <v>3573</v>
      </c>
      <c r="E188" s="70" t="s">
        <v>3574</v>
      </c>
      <c r="F188" s="870">
        <v>0.5</v>
      </c>
      <c r="G188" s="283">
        <f>VLOOKUP(D188,upahbahan,3,FALSE)</f>
        <v>9050</v>
      </c>
      <c r="H188" s="283">
        <f>F188*H186</f>
        <v>217500</v>
      </c>
    </row>
    <row r="189" spans="3:15" ht="25.8" customHeight="1">
      <c r="C189" s="450" t="s">
        <v>1214</v>
      </c>
      <c r="D189" s="67"/>
      <c r="E189" s="67"/>
      <c r="F189" s="67"/>
      <c r="G189" s="69"/>
      <c r="H189" s="283">
        <f>SUM(H186:H188)</f>
        <v>653796</v>
      </c>
    </row>
    <row r="190" spans="3:15" ht="25.8" customHeight="1">
      <c r="C190" s="176" t="s">
        <v>1215</v>
      </c>
      <c r="D190" s="182" t="s">
        <v>1216</v>
      </c>
      <c r="E190" s="70"/>
      <c r="F190" s="70"/>
      <c r="G190" s="70"/>
      <c r="H190" s="70"/>
    </row>
    <row r="191" spans="3:15" ht="25.8" customHeight="1">
      <c r="C191" s="450" t="s">
        <v>1217</v>
      </c>
      <c r="D191" s="67"/>
      <c r="E191" s="67"/>
      <c r="F191" s="67"/>
      <c r="G191" s="69"/>
      <c r="H191" s="871">
        <v>0</v>
      </c>
    </row>
    <row r="192" spans="3:15" ht="25.8" customHeight="1">
      <c r="C192" s="102" t="s">
        <v>1218</v>
      </c>
      <c r="D192" s="294" t="s">
        <v>1219</v>
      </c>
      <c r="E192" s="295"/>
      <c r="F192" s="295"/>
      <c r="G192" s="296"/>
      <c r="H192" s="872">
        <f>H191+H189+H184</f>
        <v>728376</v>
      </c>
      <c r="I192" s="873"/>
    </row>
    <row r="193" spans="3:15" ht="25.8" customHeight="1">
      <c r="C193" s="102" t="s">
        <v>1220</v>
      </c>
      <c r="D193" s="294" t="s">
        <v>1321</v>
      </c>
      <c r="E193" s="295"/>
      <c r="F193" s="296"/>
      <c r="G193" s="298">
        <f>$O$199</f>
        <v>0.1</v>
      </c>
      <c r="H193" s="283">
        <f>H192*G193</f>
        <v>72837.600000000006</v>
      </c>
      <c r="I193" s="873"/>
    </row>
    <row r="194" spans="3:15" ht="25.8" customHeight="1">
      <c r="C194" s="102" t="s">
        <v>1221</v>
      </c>
      <c r="D194" s="294" t="s">
        <v>1222</v>
      </c>
      <c r="E194" s="295"/>
      <c r="F194" s="295"/>
      <c r="G194" s="296"/>
      <c r="H194" s="874">
        <f>SUM(H192:H193)</f>
        <v>801213.6</v>
      </c>
      <c r="I194" s="873"/>
    </row>
    <row r="195" spans="3:15" ht="25.8" customHeight="1">
      <c r="C195" s="289"/>
      <c r="D195" s="297"/>
      <c r="E195" s="297"/>
      <c r="F195" s="297"/>
      <c r="G195" s="297"/>
      <c r="H195" s="139"/>
    </row>
    <row r="196" spans="3:15" ht="25.8" customHeight="1">
      <c r="C196" s="47" t="s">
        <v>3604</v>
      </c>
      <c r="D196" s="867" t="s">
        <v>8066</v>
      </c>
      <c r="E196" s="795"/>
      <c r="F196" s="795"/>
      <c r="G196" s="795"/>
      <c r="H196" s="795"/>
      <c r="I196" s="120">
        <f>ROUNDDOWN(H212,-2)</f>
        <v>30600</v>
      </c>
      <c r="J196" s="120" t="s">
        <v>6451</v>
      </c>
      <c r="K196" s="120" t="s">
        <v>8063</v>
      </c>
    </row>
    <row r="197" spans="3:15" ht="25.8" customHeight="1">
      <c r="C197" s="591" t="s">
        <v>1195</v>
      </c>
      <c r="D197" s="591" t="s">
        <v>1196</v>
      </c>
      <c r="E197" s="591" t="s">
        <v>1197</v>
      </c>
      <c r="F197" s="591" t="s">
        <v>1198</v>
      </c>
      <c r="G197" s="591" t="s">
        <v>1199</v>
      </c>
      <c r="H197" s="591" t="s">
        <v>1200</v>
      </c>
    </row>
    <row r="198" spans="3:15" ht="25.8" customHeight="1">
      <c r="C198" s="176" t="s">
        <v>1201</v>
      </c>
      <c r="D198" s="182" t="s">
        <v>1202</v>
      </c>
      <c r="E198" s="70"/>
      <c r="F198" s="70"/>
      <c r="G198" s="70"/>
      <c r="H198" s="70"/>
      <c r="L198" s="374" t="s">
        <v>1247</v>
      </c>
    </row>
    <row r="199" spans="3:15" ht="25.8" customHeight="1">
      <c r="C199" s="869">
        <v>1</v>
      </c>
      <c r="D199" s="182" t="s">
        <v>5</v>
      </c>
      <c r="E199" s="182" t="s">
        <v>6</v>
      </c>
      <c r="F199" s="282">
        <v>3.3000000000000002E-2</v>
      </c>
      <c r="G199" s="283">
        <f>VLOOKUP(D199,upahbahan,3,FALSE)</f>
        <v>100000</v>
      </c>
      <c r="H199" s="283">
        <f>F199*G199</f>
        <v>3300</v>
      </c>
      <c r="L199" s="374" t="s">
        <v>1248</v>
      </c>
      <c r="O199" s="65">
        <v>0.1</v>
      </c>
    </row>
    <row r="200" spans="3:15" ht="25.8" customHeight="1">
      <c r="C200" s="869">
        <v>2</v>
      </c>
      <c r="D200" s="182" t="s">
        <v>10</v>
      </c>
      <c r="E200" s="182" t="s">
        <v>6</v>
      </c>
      <c r="F200" s="282">
        <v>5.6000000000000001E-2</v>
      </c>
      <c r="G200" s="283">
        <f>VLOOKUP(D200,upahbahan,3,FALSE)</f>
        <v>135000</v>
      </c>
      <c r="H200" s="283">
        <f>F200*G200</f>
        <v>7560</v>
      </c>
    </row>
    <row r="201" spans="3:15" ht="25.8" customHeight="1">
      <c r="C201" s="869">
        <v>3</v>
      </c>
      <c r="D201" s="182" t="s">
        <v>18</v>
      </c>
      <c r="E201" s="182" t="s">
        <v>6</v>
      </c>
      <c r="F201" s="282">
        <v>6.0000000000000001E-3</v>
      </c>
      <c r="G201" s="283">
        <f>VLOOKUP(D201,upahbahan,3,FALSE)</f>
        <v>150000</v>
      </c>
      <c r="H201" s="283">
        <f>F201*G201</f>
        <v>900</v>
      </c>
    </row>
    <row r="202" spans="3:15" ht="25.8" customHeight="1">
      <c r="C202" s="869">
        <v>4</v>
      </c>
      <c r="D202" s="182" t="s">
        <v>19</v>
      </c>
      <c r="E202" s="182" t="s">
        <v>6</v>
      </c>
      <c r="F202" s="282">
        <v>2E-3</v>
      </c>
      <c r="G202" s="283">
        <f>VLOOKUP(D202,upahbahan,3,FALSE)</f>
        <v>160000</v>
      </c>
      <c r="H202" s="283">
        <f>F202*G202</f>
        <v>320</v>
      </c>
    </row>
    <row r="203" spans="3:15" ht="25.8" customHeight="1">
      <c r="C203" s="450" t="s">
        <v>1208</v>
      </c>
      <c r="D203" s="67"/>
      <c r="E203" s="67"/>
      <c r="F203" s="142"/>
      <c r="G203" s="153"/>
      <c r="H203" s="283">
        <f>SUM(H199:H202)</f>
        <v>12080</v>
      </c>
      <c r="I203" s="319"/>
      <c r="J203" s="319"/>
      <c r="K203" s="319"/>
    </row>
    <row r="204" spans="3:15" ht="25.8" customHeight="1">
      <c r="C204" s="176" t="s">
        <v>1209</v>
      </c>
      <c r="D204" s="182" t="s">
        <v>1210</v>
      </c>
      <c r="E204" s="70"/>
      <c r="F204" s="70"/>
      <c r="G204" s="70"/>
      <c r="H204" s="70"/>
    </row>
    <row r="205" spans="3:15" ht="25.8" customHeight="1">
      <c r="C205" s="869">
        <v>1</v>
      </c>
      <c r="D205" s="285" t="s">
        <v>8062</v>
      </c>
      <c r="E205" s="291" t="s">
        <v>113</v>
      </c>
      <c r="F205" s="327">
        <v>1.5</v>
      </c>
      <c r="G205" s="283">
        <f>VLOOKUP(D205,upahbahan,3,FALSE)</f>
        <v>9630</v>
      </c>
      <c r="H205" s="283">
        <f t="shared" ref="H205" si="20">F205*G205</f>
        <v>14445</v>
      </c>
    </row>
    <row r="206" spans="3:15" ht="25.8" customHeight="1">
      <c r="C206" s="869">
        <v>2</v>
      </c>
      <c r="D206" s="182" t="s">
        <v>3538</v>
      </c>
      <c r="E206" s="124" t="s">
        <v>113</v>
      </c>
      <c r="F206" s="870">
        <v>1.2</v>
      </c>
      <c r="G206" s="283">
        <f>VLOOKUP(D206,upahbahan,3,FALSE)</f>
        <v>1080</v>
      </c>
      <c r="H206" s="283">
        <f>F206*G206</f>
        <v>1296</v>
      </c>
    </row>
    <row r="207" spans="3:15" ht="25.8" customHeight="1">
      <c r="C207" s="450" t="s">
        <v>1214</v>
      </c>
      <c r="D207" s="67"/>
      <c r="E207" s="67"/>
      <c r="F207" s="67"/>
      <c r="G207" s="69"/>
      <c r="H207" s="283">
        <f>SUM(H205:H206)</f>
        <v>15741</v>
      </c>
    </row>
    <row r="208" spans="3:15" ht="25.8" customHeight="1">
      <c r="C208" s="176" t="s">
        <v>1215</v>
      </c>
      <c r="D208" s="182" t="s">
        <v>1216</v>
      </c>
      <c r="E208" s="70"/>
      <c r="F208" s="70"/>
      <c r="G208" s="70"/>
      <c r="H208" s="70"/>
    </row>
    <row r="209" spans="3:13" ht="25.8" customHeight="1">
      <c r="C209" s="450" t="s">
        <v>1217</v>
      </c>
      <c r="D209" s="67"/>
      <c r="E209" s="67"/>
      <c r="F209" s="67"/>
      <c r="G209" s="69"/>
      <c r="H209" s="871">
        <v>0</v>
      </c>
    </row>
    <row r="210" spans="3:13" ht="25.8" customHeight="1">
      <c r="C210" s="102" t="s">
        <v>1218</v>
      </c>
      <c r="D210" s="294" t="s">
        <v>1219</v>
      </c>
      <c r="E210" s="295"/>
      <c r="F210" s="295"/>
      <c r="G210" s="296"/>
      <c r="H210" s="872">
        <f>H209+H207+H203</f>
        <v>27821</v>
      </c>
      <c r="I210" s="873"/>
    </row>
    <row r="211" spans="3:13" ht="25.8" customHeight="1">
      <c r="C211" s="102" t="s">
        <v>1220</v>
      </c>
      <c r="D211" s="294" t="s">
        <v>1321</v>
      </c>
      <c r="E211" s="295"/>
      <c r="F211" s="296"/>
      <c r="G211" s="298">
        <f>$O$199</f>
        <v>0.1</v>
      </c>
      <c r="H211" s="283">
        <f>H210*G211</f>
        <v>2782.1000000000004</v>
      </c>
      <c r="I211" s="873"/>
    </row>
    <row r="212" spans="3:13" ht="25.8" customHeight="1">
      <c r="C212" s="102" t="s">
        <v>1221</v>
      </c>
      <c r="D212" s="294" t="s">
        <v>1222</v>
      </c>
      <c r="E212" s="295"/>
      <c r="F212" s="295"/>
      <c r="G212" s="296"/>
      <c r="H212" s="874">
        <f>SUM(H210:H211)</f>
        <v>30603.1</v>
      </c>
      <c r="I212" s="873"/>
    </row>
    <row r="213" spans="3:13" ht="25.8" customHeight="1">
      <c r="C213" s="304"/>
      <c r="D213" s="304"/>
      <c r="E213" s="304"/>
      <c r="F213" s="304"/>
      <c r="G213" s="304"/>
      <c r="H213" s="875"/>
    </row>
    <row r="214" spans="3:13" ht="25.8" customHeight="1">
      <c r="C214" s="47" t="s">
        <v>3605</v>
      </c>
      <c r="D214" s="867" t="s">
        <v>8065</v>
      </c>
      <c r="E214" s="795"/>
      <c r="F214" s="795"/>
      <c r="G214" s="795"/>
      <c r="H214" s="795"/>
      <c r="I214" s="120">
        <f>ROUNDDOWN(H230,-2)</f>
        <v>34200</v>
      </c>
      <c r="J214" s="120" t="s">
        <v>6456</v>
      </c>
      <c r="K214" s="120" t="s">
        <v>8063</v>
      </c>
      <c r="M214" s="475"/>
    </row>
    <row r="215" spans="3:13" ht="25.8" customHeight="1">
      <c r="C215" s="591" t="s">
        <v>1195</v>
      </c>
      <c r="D215" s="591" t="s">
        <v>1196</v>
      </c>
      <c r="E215" s="591" t="s">
        <v>1197</v>
      </c>
      <c r="F215" s="591" t="s">
        <v>1198</v>
      </c>
      <c r="G215" s="591" t="s">
        <v>1199</v>
      </c>
      <c r="H215" s="591" t="s">
        <v>1200</v>
      </c>
    </row>
    <row r="216" spans="3:13" ht="25.8" customHeight="1">
      <c r="C216" s="176" t="s">
        <v>1201</v>
      </c>
      <c r="D216" s="182" t="s">
        <v>1202</v>
      </c>
      <c r="E216" s="70"/>
      <c r="F216" s="70"/>
      <c r="G216" s="70"/>
      <c r="H216" s="70"/>
    </row>
    <row r="217" spans="3:13" ht="25.8" customHeight="1">
      <c r="C217" s="869">
        <v>1</v>
      </c>
      <c r="D217" s="182" t="s">
        <v>5</v>
      </c>
      <c r="E217" s="182" t="s">
        <v>6</v>
      </c>
      <c r="F217" s="282">
        <v>4.8000000000000001E-2</v>
      </c>
      <c r="G217" s="283">
        <f>VLOOKUP(D217,upahbahan,3,FALSE)</f>
        <v>100000</v>
      </c>
      <c r="H217" s="283">
        <f t="shared" ref="H217:H220" si="21">F217*G217</f>
        <v>4800</v>
      </c>
    </row>
    <row r="218" spans="3:13" ht="25.8" customHeight="1">
      <c r="C218" s="869">
        <v>2</v>
      </c>
      <c r="D218" s="182" t="str">
        <f>D200</f>
        <v>Tukang pipa</v>
      </c>
      <c r="E218" s="182" t="s">
        <v>6</v>
      </c>
      <c r="F218" s="282">
        <v>0.08</v>
      </c>
      <c r="G218" s="283">
        <f>VLOOKUP(D218,upahbahan,3,FALSE)</f>
        <v>135000</v>
      </c>
      <c r="H218" s="283">
        <f t="shared" si="21"/>
        <v>10800</v>
      </c>
    </row>
    <row r="219" spans="3:13" ht="25.8" customHeight="1">
      <c r="C219" s="869">
        <v>3</v>
      </c>
      <c r="D219" s="182" t="s">
        <v>18</v>
      </c>
      <c r="E219" s="182" t="s">
        <v>6</v>
      </c>
      <c r="F219" s="282">
        <v>8.0000000000000002E-3</v>
      </c>
      <c r="G219" s="283">
        <f>VLOOKUP(D219,upahbahan,3,FALSE)</f>
        <v>150000</v>
      </c>
      <c r="H219" s="283">
        <f t="shared" si="21"/>
        <v>1200</v>
      </c>
    </row>
    <row r="220" spans="3:13" ht="25.8" customHeight="1">
      <c r="C220" s="869">
        <v>4</v>
      </c>
      <c r="D220" s="182" t="s">
        <v>19</v>
      </c>
      <c r="E220" s="182" t="s">
        <v>6</v>
      </c>
      <c r="F220" s="282">
        <v>3.0000000000000001E-3</v>
      </c>
      <c r="G220" s="283">
        <f>VLOOKUP(D220,upahbahan,3,FALSE)</f>
        <v>160000</v>
      </c>
      <c r="H220" s="283">
        <f t="shared" si="21"/>
        <v>480</v>
      </c>
    </row>
    <row r="221" spans="3:13" ht="25.8" customHeight="1">
      <c r="C221" s="450" t="s">
        <v>1208</v>
      </c>
      <c r="D221" s="67"/>
      <c r="E221" s="67"/>
      <c r="F221" s="142"/>
      <c r="G221" s="153"/>
      <c r="H221" s="283">
        <f>SUM(H217:H220)</f>
        <v>17280</v>
      </c>
      <c r="I221" s="319"/>
      <c r="J221" s="319"/>
      <c r="K221" s="319"/>
    </row>
    <row r="222" spans="3:13" ht="25.8" customHeight="1">
      <c r="C222" s="176" t="s">
        <v>1209</v>
      </c>
      <c r="D222" s="182" t="s">
        <v>1210</v>
      </c>
      <c r="E222" s="70"/>
      <c r="F222" s="70"/>
      <c r="G222" s="70"/>
      <c r="H222" s="70"/>
    </row>
    <row r="223" spans="3:13" ht="25.8" customHeight="1">
      <c r="C223" s="869">
        <v>1</v>
      </c>
      <c r="D223" s="285" t="s">
        <v>8064</v>
      </c>
      <c r="E223" s="291" t="s">
        <v>113</v>
      </c>
      <c r="F223" s="282">
        <v>1.5</v>
      </c>
      <c r="G223" s="283">
        <f>VLOOKUP(D223,upahbahan,3,FALSE)</f>
        <v>8370</v>
      </c>
      <c r="H223" s="283">
        <f t="shared" ref="H223:H224" si="22">F223*G223</f>
        <v>12555</v>
      </c>
    </row>
    <row r="224" spans="3:13" ht="25.8" customHeight="1">
      <c r="C224" s="869">
        <v>2</v>
      </c>
      <c r="D224" s="182" t="s">
        <v>3538</v>
      </c>
      <c r="E224" s="124" t="s">
        <v>113</v>
      </c>
      <c r="F224" s="870">
        <v>1.2</v>
      </c>
      <c r="G224" s="283">
        <f>VLOOKUP(D224,upahbahan,3,FALSE)</f>
        <v>1080</v>
      </c>
      <c r="H224" s="283">
        <f t="shared" si="22"/>
        <v>1296</v>
      </c>
    </row>
    <row r="225" spans="3:13" ht="25.8" customHeight="1">
      <c r="C225" s="450" t="s">
        <v>1214</v>
      </c>
      <c r="D225" s="67"/>
      <c r="E225" s="67"/>
      <c r="F225" s="67"/>
      <c r="G225" s="69"/>
      <c r="H225" s="283">
        <f>SUM(H223:H224)</f>
        <v>13851</v>
      </c>
    </row>
    <row r="226" spans="3:13" ht="25.8" customHeight="1">
      <c r="C226" s="176" t="s">
        <v>1215</v>
      </c>
      <c r="D226" s="182" t="s">
        <v>1216</v>
      </c>
      <c r="E226" s="70"/>
      <c r="F226" s="70"/>
      <c r="G226" s="70"/>
      <c r="H226" s="70"/>
    </row>
    <row r="227" spans="3:13" ht="25.8" customHeight="1">
      <c r="C227" s="450" t="s">
        <v>1217</v>
      </c>
      <c r="D227" s="67"/>
      <c r="E227" s="67"/>
      <c r="F227" s="67"/>
      <c r="G227" s="69"/>
      <c r="H227" s="871">
        <v>0</v>
      </c>
    </row>
    <row r="228" spans="3:13" ht="25.8" customHeight="1">
      <c r="C228" s="102" t="s">
        <v>1218</v>
      </c>
      <c r="D228" s="294" t="s">
        <v>1219</v>
      </c>
      <c r="E228" s="295"/>
      <c r="F228" s="295"/>
      <c r="G228" s="296"/>
      <c r="H228" s="872">
        <f>H227+H225+H221</f>
        <v>31131</v>
      </c>
      <c r="I228" s="873"/>
    </row>
    <row r="229" spans="3:13" ht="25.8" customHeight="1">
      <c r="C229" s="102" t="s">
        <v>1220</v>
      </c>
      <c r="D229" s="294" t="s">
        <v>1321</v>
      </c>
      <c r="E229" s="295"/>
      <c r="F229" s="296"/>
      <c r="G229" s="298">
        <f>$O$199</f>
        <v>0.1</v>
      </c>
      <c r="H229" s="283">
        <f>H228*G229</f>
        <v>3113.1000000000004</v>
      </c>
      <c r="I229" s="873"/>
    </row>
    <row r="230" spans="3:13" ht="25.8" customHeight="1">
      <c r="C230" s="102" t="s">
        <v>1221</v>
      </c>
      <c r="D230" s="294" t="s">
        <v>1222</v>
      </c>
      <c r="E230" s="295"/>
      <c r="F230" s="295"/>
      <c r="G230" s="296"/>
      <c r="H230" s="874">
        <f>SUM(H228:H229)</f>
        <v>34244.1</v>
      </c>
      <c r="I230" s="873"/>
    </row>
    <row r="231" spans="3:13" ht="25.8" customHeight="1">
      <c r="C231" s="304"/>
      <c r="D231" s="304"/>
      <c r="E231" s="304"/>
      <c r="F231" s="304"/>
      <c r="G231" s="304"/>
      <c r="H231" s="875"/>
    </row>
    <row r="232" spans="3:13" ht="25.8" customHeight="1">
      <c r="C232" s="47" t="s">
        <v>3606</v>
      </c>
      <c r="D232" s="867" t="s">
        <v>8067</v>
      </c>
      <c r="E232" s="795"/>
      <c r="F232" s="795"/>
      <c r="G232" s="795"/>
      <c r="H232" s="795"/>
      <c r="I232" s="120">
        <f>ROUNDDOWN(H248,-2)</f>
        <v>54000</v>
      </c>
      <c r="J232" s="120" t="s">
        <v>6451</v>
      </c>
      <c r="K232" s="120" t="s">
        <v>8063</v>
      </c>
      <c r="M232" s="475"/>
    </row>
    <row r="233" spans="3:13" ht="25.8" customHeight="1">
      <c r="C233" s="591" t="s">
        <v>1195</v>
      </c>
      <c r="D233" s="591" t="s">
        <v>1196</v>
      </c>
      <c r="E233" s="591" t="s">
        <v>1197</v>
      </c>
      <c r="F233" s="591" t="s">
        <v>1198</v>
      </c>
      <c r="G233" s="591" t="s">
        <v>1199</v>
      </c>
      <c r="H233" s="591" t="s">
        <v>1200</v>
      </c>
      <c r="M233" s="475"/>
    </row>
    <row r="234" spans="3:13" ht="25.8" customHeight="1">
      <c r="C234" s="176" t="s">
        <v>1201</v>
      </c>
      <c r="D234" s="182" t="s">
        <v>1202</v>
      </c>
      <c r="E234" s="70"/>
      <c r="F234" s="70"/>
      <c r="G234" s="70"/>
      <c r="H234" s="70"/>
      <c r="M234" s="475"/>
    </row>
    <row r="235" spans="3:13" ht="25.8" customHeight="1">
      <c r="C235" s="869">
        <v>1</v>
      </c>
      <c r="D235" s="182" t="s">
        <v>5</v>
      </c>
      <c r="E235" s="176" t="s">
        <v>6</v>
      </c>
      <c r="F235" s="282">
        <v>6.4000000000000001E-2</v>
      </c>
      <c r="G235" s="283">
        <f>VLOOKUP(D235,upahbahan,3,FALSE)</f>
        <v>100000</v>
      </c>
      <c r="H235" s="283">
        <f>F235*G235</f>
        <v>6400</v>
      </c>
      <c r="M235" s="475"/>
    </row>
    <row r="236" spans="3:13" ht="25.8" customHeight="1">
      <c r="C236" s="869">
        <v>2</v>
      </c>
      <c r="D236" s="182" t="str">
        <f>D218</f>
        <v>Tukang pipa</v>
      </c>
      <c r="E236" s="176" t="s">
        <v>6</v>
      </c>
      <c r="F236" s="282">
        <v>0.107</v>
      </c>
      <c r="G236" s="283">
        <f>VLOOKUP(D236,upahbahan,3,FALSE)</f>
        <v>135000</v>
      </c>
      <c r="H236" s="283">
        <f t="shared" ref="H236:H238" si="23">F236*G236</f>
        <v>14445</v>
      </c>
      <c r="M236" s="475"/>
    </row>
    <row r="237" spans="3:13" ht="25.8" customHeight="1">
      <c r="C237" s="869">
        <v>3</v>
      </c>
      <c r="D237" s="182" t="s">
        <v>18</v>
      </c>
      <c r="E237" s="176" t="s">
        <v>6</v>
      </c>
      <c r="F237" s="282">
        <v>1.0999999999999999E-2</v>
      </c>
      <c r="G237" s="283">
        <f>VLOOKUP(D237,upahbahan,3,FALSE)</f>
        <v>150000</v>
      </c>
      <c r="H237" s="283">
        <f t="shared" si="23"/>
        <v>1650</v>
      </c>
      <c r="M237" s="475"/>
    </row>
    <row r="238" spans="3:13" ht="25.8" customHeight="1">
      <c r="C238" s="869">
        <v>4</v>
      </c>
      <c r="D238" s="182" t="s">
        <v>19</v>
      </c>
      <c r="E238" s="176" t="s">
        <v>6</v>
      </c>
      <c r="F238" s="282">
        <v>4.0000000000000001E-3</v>
      </c>
      <c r="G238" s="283">
        <f>VLOOKUP(D238,upahbahan,3,FALSE)</f>
        <v>160000</v>
      </c>
      <c r="H238" s="283">
        <f t="shared" si="23"/>
        <v>640</v>
      </c>
      <c r="M238" s="475"/>
    </row>
    <row r="239" spans="3:13" ht="25.8" customHeight="1">
      <c r="C239" s="450" t="s">
        <v>1208</v>
      </c>
      <c r="D239" s="67"/>
      <c r="E239" s="67"/>
      <c r="F239" s="142"/>
      <c r="G239" s="153"/>
      <c r="H239" s="283">
        <f>SUM(H235:H238)</f>
        <v>23135</v>
      </c>
      <c r="I239" s="319"/>
      <c r="J239" s="319"/>
      <c r="K239" s="319"/>
      <c r="M239" s="475"/>
    </row>
    <row r="240" spans="3:13" ht="25.8" customHeight="1">
      <c r="C240" s="176" t="s">
        <v>1209</v>
      </c>
      <c r="D240" s="182" t="s">
        <v>1210</v>
      </c>
      <c r="E240" s="124"/>
      <c r="F240" s="70"/>
      <c r="G240" s="70"/>
      <c r="H240" s="70"/>
      <c r="M240" s="475"/>
    </row>
    <row r="241" spans="3:13" ht="25.8" customHeight="1">
      <c r="C241" s="869">
        <v>1</v>
      </c>
      <c r="D241" s="285" t="s">
        <v>8068</v>
      </c>
      <c r="E241" s="291" t="s">
        <v>113</v>
      </c>
      <c r="F241" s="282">
        <v>1.5</v>
      </c>
      <c r="G241" s="283">
        <f>VLOOKUP(D241,upahbahan,3,FALSE)</f>
        <v>16470</v>
      </c>
      <c r="H241" s="283">
        <f>F241*G241</f>
        <v>24705</v>
      </c>
      <c r="M241" s="475"/>
    </row>
    <row r="242" spans="3:13" ht="25.8" customHeight="1">
      <c r="C242" s="869">
        <v>2</v>
      </c>
      <c r="D242" s="285" t="s">
        <v>3538</v>
      </c>
      <c r="E242" s="291" t="s">
        <v>113</v>
      </c>
      <c r="F242" s="870">
        <v>1.2</v>
      </c>
      <c r="G242" s="283">
        <f>VLOOKUP(D242,upahbahan,3,FALSE)</f>
        <v>1080</v>
      </c>
      <c r="H242" s="283">
        <f>F242*G242</f>
        <v>1296</v>
      </c>
      <c r="M242" s="475"/>
    </row>
    <row r="243" spans="3:13" ht="25.8" customHeight="1">
      <c r="C243" s="450" t="s">
        <v>1214</v>
      </c>
      <c r="D243" s="67"/>
      <c r="E243" s="67"/>
      <c r="F243" s="67"/>
      <c r="G243" s="69"/>
      <c r="H243" s="283">
        <f>SUM(H241:H242)</f>
        <v>26001</v>
      </c>
      <c r="M243" s="475"/>
    </row>
    <row r="244" spans="3:13" ht="25.8" customHeight="1">
      <c r="C244" s="176" t="s">
        <v>1215</v>
      </c>
      <c r="D244" s="182" t="s">
        <v>1216</v>
      </c>
      <c r="E244" s="70"/>
      <c r="F244" s="70"/>
      <c r="G244" s="70"/>
      <c r="H244" s="70"/>
      <c r="M244" s="475"/>
    </row>
    <row r="245" spans="3:13" ht="25.8" customHeight="1">
      <c r="C245" s="450" t="s">
        <v>1217</v>
      </c>
      <c r="D245" s="67"/>
      <c r="E245" s="67"/>
      <c r="F245" s="67"/>
      <c r="G245" s="69"/>
      <c r="H245" s="871">
        <v>0</v>
      </c>
      <c r="M245" s="475"/>
    </row>
    <row r="246" spans="3:13" ht="25.8" customHeight="1">
      <c r="C246" s="102" t="s">
        <v>1218</v>
      </c>
      <c r="D246" s="294" t="s">
        <v>1219</v>
      </c>
      <c r="E246" s="295"/>
      <c r="F246" s="295"/>
      <c r="G246" s="296"/>
      <c r="H246" s="872">
        <f>H245+H243+H239</f>
        <v>49136</v>
      </c>
      <c r="I246" s="873"/>
      <c r="M246" s="475"/>
    </row>
    <row r="247" spans="3:13" ht="25.8" customHeight="1">
      <c r="C247" s="102" t="s">
        <v>1220</v>
      </c>
      <c r="D247" s="294" t="s">
        <v>1321</v>
      </c>
      <c r="E247" s="295"/>
      <c r="F247" s="296"/>
      <c r="G247" s="298">
        <f>$O$199</f>
        <v>0.1</v>
      </c>
      <c r="H247" s="283">
        <f>H246*G247</f>
        <v>4913.6000000000004</v>
      </c>
      <c r="I247" s="873"/>
      <c r="M247" s="475"/>
    </row>
    <row r="248" spans="3:13" ht="25.8" customHeight="1">
      <c r="C248" s="102" t="s">
        <v>1221</v>
      </c>
      <c r="D248" s="294" t="s">
        <v>1222</v>
      </c>
      <c r="E248" s="295"/>
      <c r="F248" s="295"/>
      <c r="G248" s="296"/>
      <c r="H248" s="874">
        <f>SUM(H246:H247)</f>
        <v>54049.599999999999</v>
      </c>
      <c r="I248" s="873"/>
      <c r="M248" s="475"/>
    </row>
    <row r="249" spans="3:13" ht="25.8" customHeight="1">
      <c r="M249" s="475"/>
    </row>
    <row r="250" spans="3:13" ht="25.8" customHeight="1">
      <c r="C250" s="47" t="s">
        <v>3607</v>
      </c>
      <c r="D250" s="867" t="s">
        <v>8069</v>
      </c>
      <c r="E250" s="795"/>
      <c r="F250" s="795"/>
      <c r="G250" s="795"/>
      <c r="H250" s="795"/>
      <c r="I250" s="120">
        <f>ROUNDDOWN(H266,-2)</f>
        <v>33500</v>
      </c>
      <c r="J250" s="120" t="s">
        <v>6451</v>
      </c>
      <c r="K250" s="120" t="s">
        <v>8063</v>
      </c>
      <c r="M250" s="475"/>
    </row>
    <row r="251" spans="3:13" ht="25.8" customHeight="1">
      <c r="C251" s="591" t="s">
        <v>1195</v>
      </c>
      <c r="D251" s="591" t="s">
        <v>1196</v>
      </c>
      <c r="E251" s="591" t="s">
        <v>1197</v>
      </c>
      <c r="F251" s="591" t="s">
        <v>1198</v>
      </c>
      <c r="G251" s="591" t="s">
        <v>1199</v>
      </c>
      <c r="H251" s="591" t="s">
        <v>1200</v>
      </c>
      <c r="M251" s="475"/>
    </row>
    <row r="252" spans="3:13" ht="25.8" customHeight="1">
      <c r="C252" s="182" t="s">
        <v>1201</v>
      </c>
      <c r="D252" s="182" t="s">
        <v>1202</v>
      </c>
      <c r="E252" s="70"/>
      <c r="F252" s="70"/>
      <c r="G252" s="70"/>
      <c r="H252" s="70"/>
      <c r="M252" s="475"/>
    </row>
    <row r="253" spans="3:13" ht="25.8" customHeight="1">
      <c r="C253" s="876">
        <v>1</v>
      </c>
      <c r="D253" s="182" t="s">
        <v>5</v>
      </c>
      <c r="E253" s="176" t="s">
        <v>6</v>
      </c>
      <c r="F253" s="282">
        <v>8.1000000000000003E-2</v>
      </c>
      <c r="G253" s="283">
        <f>VLOOKUP(D253,upahbahan,3,FALSE)</f>
        <v>100000</v>
      </c>
      <c r="H253" s="283">
        <f t="shared" ref="H253:H256" si="24">F253*G253</f>
        <v>8100</v>
      </c>
      <c r="M253" s="475"/>
    </row>
    <row r="254" spans="3:13" ht="25.8" customHeight="1">
      <c r="C254" s="876">
        <v>2</v>
      </c>
      <c r="D254" s="182" t="str">
        <f>D236</f>
        <v>Tukang pipa</v>
      </c>
      <c r="E254" s="176" t="s">
        <v>6</v>
      </c>
      <c r="F254" s="282">
        <v>0.13500000000000001</v>
      </c>
      <c r="G254" s="283">
        <f>VLOOKUP(D254,upahbahan,3,FALSE)</f>
        <v>135000</v>
      </c>
      <c r="H254" s="283">
        <f t="shared" si="24"/>
        <v>18225</v>
      </c>
      <c r="M254" s="475"/>
    </row>
    <row r="255" spans="3:13" ht="25.8" customHeight="1">
      <c r="C255" s="876">
        <v>3</v>
      </c>
      <c r="D255" s="182" t="s">
        <v>18</v>
      </c>
      <c r="E255" s="176" t="s">
        <v>6</v>
      </c>
      <c r="F255" s="282">
        <v>1.4E-2</v>
      </c>
      <c r="G255" s="283">
        <f>VLOOKUP(D255,upahbahan,3,FALSE)</f>
        <v>150000</v>
      </c>
      <c r="H255" s="283">
        <f t="shared" si="24"/>
        <v>2100</v>
      </c>
      <c r="M255" s="475"/>
    </row>
    <row r="256" spans="3:13" ht="25.8" customHeight="1">
      <c r="C256" s="876">
        <v>4</v>
      </c>
      <c r="D256" s="182" t="s">
        <v>19</v>
      </c>
      <c r="E256" s="176" t="s">
        <v>6</v>
      </c>
      <c r="F256" s="282">
        <v>5.0000000000000001E-3</v>
      </c>
      <c r="G256" s="283">
        <f>VLOOKUP(D256,upahbahan,3,FALSE)</f>
        <v>160000</v>
      </c>
      <c r="H256" s="283">
        <f t="shared" si="24"/>
        <v>800</v>
      </c>
      <c r="M256" s="475"/>
    </row>
    <row r="257" spans="3:13" ht="25.8" customHeight="1">
      <c r="C257" s="450" t="s">
        <v>1208</v>
      </c>
      <c r="D257" s="67"/>
      <c r="E257" s="67"/>
      <c r="F257" s="142"/>
      <c r="G257" s="153"/>
      <c r="H257" s="283">
        <f>SUM(H253:H256)</f>
        <v>29225</v>
      </c>
      <c r="I257" s="319"/>
      <c r="J257" s="319"/>
      <c r="K257" s="319"/>
      <c r="M257" s="475"/>
    </row>
    <row r="258" spans="3:13" ht="25.8" customHeight="1">
      <c r="C258" s="176" t="s">
        <v>1209</v>
      </c>
      <c r="D258" s="182" t="s">
        <v>1210</v>
      </c>
      <c r="E258" s="70"/>
      <c r="F258" s="70"/>
      <c r="G258" s="70"/>
      <c r="H258" s="70"/>
      <c r="M258" s="475"/>
    </row>
    <row r="259" spans="3:13" ht="25.8" customHeight="1">
      <c r="C259" s="869">
        <v>1</v>
      </c>
      <c r="D259" s="285" t="s">
        <v>8070</v>
      </c>
      <c r="E259" s="176" t="s">
        <v>113</v>
      </c>
      <c r="F259" s="282">
        <f>F241</f>
        <v>1.5</v>
      </c>
      <c r="G259" s="283">
        <f>VLOOKUP(D259,upahbahan,3,FALSE)</f>
        <v>0</v>
      </c>
      <c r="H259" s="283">
        <f t="shared" ref="H259:H260" si="25">F259*G259</f>
        <v>0</v>
      </c>
      <c r="M259" s="475"/>
    </row>
    <row r="260" spans="3:13" ht="25.8" customHeight="1">
      <c r="C260" s="869">
        <v>2</v>
      </c>
      <c r="D260" s="182" t="s">
        <v>3538</v>
      </c>
      <c r="E260" s="176" t="s">
        <v>113</v>
      </c>
      <c r="F260" s="870">
        <f>F242</f>
        <v>1.2</v>
      </c>
      <c r="G260" s="283">
        <f>VLOOKUP(D260,upahbahan,3,FALSE)</f>
        <v>1080</v>
      </c>
      <c r="H260" s="283">
        <f t="shared" si="25"/>
        <v>1296</v>
      </c>
      <c r="M260" s="475"/>
    </row>
    <row r="261" spans="3:13" ht="25.8" customHeight="1">
      <c r="C261" s="450" t="s">
        <v>1214</v>
      </c>
      <c r="D261" s="67"/>
      <c r="E261" s="67"/>
      <c r="F261" s="67"/>
      <c r="G261" s="69"/>
      <c r="H261" s="283">
        <f>SUM(H259:H260)</f>
        <v>1296</v>
      </c>
      <c r="M261" s="475"/>
    </row>
    <row r="262" spans="3:13" ht="25.8" customHeight="1">
      <c r="C262" s="176" t="s">
        <v>1215</v>
      </c>
      <c r="D262" s="182" t="s">
        <v>1216</v>
      </c>
      <c r="E262" s="70"/>
      <c r="F262" s="70"/>
      <c r="G262" s="70"/>
      <c r="H262" s="70"/>
      <c r="M262" s="475"/>
    </row>
    <row r="263" spans="3:13" ht="25.8" customHeight="1">
      <c r="C263" s="450" t="s">
        <v>1217</v>
      </c>
      <c r="D263" s="67"/>
      <c r="E263" s="67"/>
      <c r="F263" s="67"/>
      <c r="G263" s="69"/>
      <c r="H263" s="871">
        <v>0</v>
      </c>
      <c r="M263" s="475"/>
    </row>
    <row r="264" spans="3:13" ht="25.8" customHeight="1">
      <c r="C264" s="102" t="s">
        <v>1218</v>
      </c>
      <c r="D264" s="294" t="s">
        <v>1219</v>
      </c>
      <c r="E264" s="295"/>
      <c r="F264" s="295"/>
      <c r="G264" s="296"/>
      <c r="H264" s="872">
        <f>H263+H261+H257</f>
        <v>30521</v>
      </c>
      <c r="I264" s="873"/>
      <c r="M264" s="475"/>
    </row>
    <row r="265" spans="3:13" ht="25.8" customHeight="1">
      <c r="C265" s="102" t="s">
        <v>1220</v>
      </c>
      <c r="D265" s="294" t="s">
        <v>1321</v>
      </c>
      <c r="E265" s="295"/>
      <c r="F265" s="296"/>
      <c r="G265" s="298">
        <f>$O$199</f>
        <v>0.1</v>
      </c>
      <c r="H265" s="283">
        <f>H264*G265</f>
        <v>3052.1000000000004</v>
      </c>
      <c r="I265" s="873"/>
      <c r="M265" s="475"/>
    </row>
    <row r="266" spans="3:13" ht="25.8" customHeight="1">
      <c r="C266" s="102" t="s">
        <v>1221</v>
      </c>
      <c r="D266" s="294" t="s">
        <v>1222</v>
      </c>
      <c r="E266" s="295"/>
      <c r="F266" s="295"/>
      <c r="G266" s="296"/>
      <c r="H266" s="874">
        <f>SUM(H264:H265)</f>
        <v>33573.1</v>
      </c>
      <c r="I266" s="873"/>
      <c r="M266" s="475"/>
    </row>
    <row r="267" spans="3:13" ht="25.8" customHeight="1">
      <c r="C267" s="304"/>
      <c r="D267" s="304"/>
      <c r="E267" s="304"/>
      <c r="F267" s="304"/>
      <c r="G267" s="304"/>
      <c r="H267" s="875"/>
      <c r="M267" s="475"/>
    </row>
    <row r="268" spans="3:13" ht="25.8" customHeight="1">
      <c r="C268" s="47" t="s">
        <v>3608</v>
      </c>
      <c r="D268" s="867" t="s">
        <v>8071</v>
      </c>
      <c r="E268" s="795"/>
      <c r="F268" s="795"/>
      <c r="G268" s="795"/>
      <c r="H268" s="795"/>
      <c r="I268" s="120">
        <f>ROUNDDOWN(H284,-2)</f>
        <v>39000</v>
      </c>
      <c r="J268" s="120" t="s">
        <v>6451</v>
      </c>
      <c r="K268" s="120" t="s">
        <v>8063</v>
      </c>
      <c r="M268" s="475"/>
    </row>
    <row r="269" spans="3:13" ht="25.8" customHeight="1">
      <c r="C269" s="591" t="s">
        <v>1195</v>
      </c>
      <c r="D269" s="591" t="s">
        <v>1196</v>
      </c>
      <c r="E269" s="591" t="s">
        <v>1197</v>
      </c>
      <c r="F269" s="591" t="s">
        <v>1198</v>
      </c>
      <c r="G269" s="591" t="s">
        <v>1199</v>
      </c>
      <c r="H269" s="591" t="s">
        <v>1200</v>
      </c>
      <c r="M269" s="475"/>
    </row>
    <row r="270" spans="3:13" ht="25.8" customHeight="1">
      <c r="C270" s="182" t="s">
        <v>1201</v>
      </c>
      <c r="D270" s="182" t="s">
        <v>1202</v>
      </c>
      <c r="E270" s="70"/>
      <c r="F270" s="70"/>
      <c r="G270" s="70"/>
      <c r="H270" s="70"/>
      <c r="M270" s="475"/>
    </row>
    <row r="271" spans="3:13" ht="25.8" customHeight="1">
      <c r="C271" s="876">
        <v>1</v>
      </c>
      <c r="D271" s="182" t="s">
        <v>5</v>
      </c>
      <c r="E271" s="176" t="s">
        <v>6</v>
      </c>
      <c r="F271" s="282">
        <v>9.5000000000000001E-2</v>
      </c>
      <c r="G271" s="283">
        <f>VLOOKUP(D271,upahbahan,3,FALSE)</f>
        <v>100000</v>
      </c>
      <c r="H271" s="283">
        <f t="shared" ref="H271:H274" si="26">F271*G271</f>
        <v>9500</v>
      </c>
      <c r="M271" s="475"/>
    </row>
    <row r="272" spans="3:13" ht="25.8" customHeight="1">
      <c r="C272" s="876">
        <v>2</v>
      </c>
      <c r="D272" s="182" t="str">
        <f>D254</f>
        <v>Tukang pipa</v>
      </c>
      <c r="E272" s="176" t="s">
        <v>6</v>
      </c>
      <c r="F272" s="282">
        <v>0.159</v>
      </c>
      <c r="G272" s="283">
        <f>VLOOKUP(D272,upahbahan,3,FALSE)</f>
        <v>135000</v>
      </c>
      <c r="H272" s="283">
        <f t="shared" si="26"/>
        <v>21465</v>
      </c>
      <c r="M272" s="475"/>
    </row>
    <row r="273" spans="3:13" ht="25.8" customHeight="1">
      <c r="C273" s="876">
        <v>3</v>
      </c>
      <c r="D273" s="182" t="s">
        <v>18</v>
      </c>
      <c r="E273" s="176" t="s">
        <v>6</v>
      </c>
      <c r="F273" s="282">
        <v>1.6E-2</v>
      </c>
      <c r="G273" s="283">
        <f>VLOOKUP(D273,upahbahan,3,FALSE)</f>
        <v>150000</v>
      </c>
      <c r="H273" s="283">
        <f t="shared" si="26"/>
        <v>2400</v>
      </c>
      <c r="M273" s="475"/>
    </row>
    <row r="274" spans="3:13" ht="25.8" customHeight="1">
      <c r="C274" s="876">
        <v>4</v>
      </c>
      <c r="D274" s="182" t="s">
        <v>19</v>
      </c>
      <c r="E274" s="176" t="s">
        <v>6</v>
      </c>
      <c r="F274" s="282">
        <v>5.0000000000000001E-3</v>
      </c>
      <c r="G274" s="283">
        <f>VLOOKUP(D274,upahbahan,3,FALSE)</f>
        <v>160000</v>
      </c>
      <c r="H274" s="283">
        <f t="shared" si="26"/>
        <v>800</v>
      </c>
      <c r="M274" s="475"/>
    </row>
    <row r="275" spans="3:13" ht="25.8" customHeight="1">
      <c r="C275" s="450" t="s">
        <v>1208</v>
      </c>
      <c r="D275" s="67"/>
      <c r="E275" s="67"/>
      <c r="F275" s="142"/>
      <c r="G275" s="153"/>
      <c r="H275" s="283">
        <f>SUM(H271:H274)</f>
        <v>34165</v>
      </c>
      <c r="I275" s="319"/>
      <c r="J275" s="319"/>
      <c r="K275" s="319"/>
      <c r="M275" s="475"/>
    </row>
    <row r="276" spans="3:13" ht="25.8" customHeight="1">
      <c r="C276" s="176" t="s">
        <v>1209</v>
      </c>
      <c r="D276" s="182" t="s">
        <v>1210</v>
      </c>
      <c r="E276" s="70"/>
      <c r="F276" s="70"/>
      <c r="G276" s="70"/>
      <c r="H276" s="70"/>
      <c r="M276" s="475"/>
    </row>
    <row r="277" spans="3:13" ht="25.8" customHeight="1">
      <c r="C277" s="869">
        <v>1</v>
      </c>
      <c r="D277" s="285" t="s">
        <v>8072</v>
      </c>
      <c r="E277" s="176" t="s">
        <v>113</v>
      </c>
      <c r="F277" s="282">
        <f>F259</f>
        <v>1.5</v>
      </c>
      <c r="G277" s="283">
        <f>VLOOKUP(D277,upahbahan,3,FALSE)</f>
        <v>0</v>
      </c>
      <c r="H277" s="283">
        <f t="shared" ref="H277:H278" si="27">F277*G277</f>
        <v>0</v>
      </c>
      <c r="M277" s="475"/>
    </row>
    <row r="278" spans="3:13" ht="25.8" customHeight="1">
      <c r="C278" s="869">
        <v>2</v>
      </c>
      <c r="D278" s="182" t="s">
        <v>3538</v>
      </c>
      <c r="E278" s="176" t="s">
        <v>113</v>
      </c>
      <c r="F278" s="870">
        <f>F260</f>
        <v>1.2</v>
      </c>
      <c r="G278" s="283">
        <f>VLOOKUP(D278,upahbahan,3,FALSE)</f>
        <v>1080</v>
      </c>
      <c r="H278" s="283">
        <f t="shared" si="27"/>
        <v>1296</v>
      </c>
      <c r="M278" s="475"/>
    </row>
    <row r="279" spans="3:13" ht="25.8" customHeight="1">
      <c r="C279" s="450" t="s">
        <v>1214</v>
      </c>
      <c r="D279" s="67"/>
      <c r="E279" s="67"/>
      <c r="F279" s="67"/>
      <c r="G279" s="69"/>
      <c r="H279" s="283">
        <f>SUM(H277:H278)</f>
        <v>1296</v>
      </c>
      <c r="M279" s="475"/>
    </row>
    <row r="280" spans="3:13" ht="25.8" customHeight="1">
      <c r="C280" s="176" t="s">
        <v>1215</v>
      </c>
      <c r="D280" s="182" t="s">
        <v>1216</v>
      </c>
      <c r="E280" s="70"/>
      <c r="F280" s="70"/>
      <c r="G280" s="70"/>
      <c r="H280" s="70"/>
      <c r="M280" s="475"/>
    </row>
    <row r="281" spans="3:13" ht="25.8" customHeight="1">
      <c r="C281" s="450" t="s">
        <v>1217</v>
      </c>
      <c r="D281" s="67"/>
      <c r="E281" s="67"/>
      <c r="F281" s="67"/>
      <c r="G281" s="69"/>
      <c r="H281" s="871">
        <v>0</v>
      </c>
      <c r="M281" s="475"/>
    </row>
    <row r="282" spans="3:13" ht="25.8" customHeight="1">
      <c r="C282" s="102" t="s">
        <v>1218</v>
      </c>
      <c r="D282" s="294" t="s">
        <v>1219</v>
      </c>
      <c r="E282" s="295"/>
      <c r="F282" s="295"/>
      <c r="G282" s="296"/>
      <c r="H282" s="872">
        <f>H281+H279+H275</f>
        <v>35461</v>
      </c>
      <c r="I282" s="873"/>
      <c r="M282" s="475"/>
    </row>
    <row r="283" spans="3:13" ht="25.8" customHeight="1">
      <c r="C283" s="102" t="s">
        <v>1220</v>
      </c>
      <c r="D283" s="294" t="s">
        <v>1321</v>
      </c>
      <c r="E283" s="295"/>
      <c r="F283" s="296"/>
      <c r="G283" s="298">
        <f>$O$199</f>
        <v>0.1</v>
      </c>
      <c r="H283" s="283">
        <f>H282*G283</f>
        <v>3546.1000000000004</v>
      </c>
      <c r="I283" s="873"/>
      <c r="M283" s="475"/>
    </row>
    <row r="284" spans="3:13" ht="25.8" customHeight="1">
      <c r="C284" s="102" t="s">
        <v>1221</v>
      </c>
      <c r="D284" s="294" t="s">
        <v>1222</v>
      </c>
      <c r="E284" s="295"/>
      <c r="F284" s="295"/>
      <c r="G284" s="296"/>
      <c r="H284" s="874">
        <f>SUM(H282:H283)</f>
        <v>39007.1</v>
      </c>
      <c r="I284" s="873"/>
      <c r="M284" s="475"/>
    </row>
    <row r="285" spans="3:13" ht="25.8" customHeight="1">
      <c r="C285" s="289"/>
      <c r="D285" s="297"/>
      <c r="E285" s="297"/>
      <c r="F285" s="297"/>
      <c r="G285" s="297"/>
      <c r="H285" s="139"/>
      <c r="M285" s="475"/>
    </row>
    <row r="286" spans="3:13" ht="25.8" customHeight="1">
      <c r="C286" s="119" t="s">
        <v>3609</v>
      </c>
      <c r="D286" s="867" t="s">
        <v>8073</v>
      </c>
      <c r="E286" s="795"/>
      <c r="F286" s="795"/>
      <c r="G286" s="795"/>
      <c r="H286" s="795"/>
      <c r="I286" s="120">
        <f>ROUNDDOWN(H302,-2)</f>
        <v>175000</v>
      </c>
      <c r="J286" s="120" t="s">
        <v>6451</v>
      </c>
      <c r="K286" s="120" t="s">
        <v>8063</v>
      </c>
      <c r="M286" s="475"/>
    </row>
    <row r="287" spans="3:13" ht="25.8" customHeight="1">
      <c r="C287" s="591" t="s">
        <v>1195</v>
      </c>
      <c r="D287" s="591" t="s">
        <v>1196</v>
      </c>
      <c r="E287" s="591" t="s">
        <v>1197</v>
      </c>
      <c r="F287" s="591" t="s">
        <v>1198</v>
      </c>
      <c r="G287" s="591" t="s">
        <v>1199</v>
      </c>
      <c r="H287" s="591" t="s">
        <v>1200</v>
      </c>
      <c r="M287" s="475"/>
    </row>
    <row r="288" spans="3:13" ht="25.8" customHeight="1">
      <c r="C288" s="182" t="s">
        <v>1201</v>
      </c>
      <c r="D288" s="182" t="s">
        <v>1202</v>
      </c>
      <c r="E288" s="124"/>
      <c r="F288" s="70"/>
      <c r="G288" s="70"/>
      <c r="H288" s="70"/>
      <c r="M288" s="475"/>
    </row>
    <row r="289" spans="3:13" ht="25.8" customHeight="1">
      <c r="C289" s="876">
        <v>1</v>
      </c>
      <c r="D289" s="182" t="s">
        <v>5</v>
      </c>
      <c r="E289" s="176" t="s">
        <v>6</v>
      </c>
      <c r="F289" s="282">
        <v>0.129</v>
      </c>
      <c r="G289" s="283">
        <f>VLOOKUP(D289,upahbahan,3,FALSE)</f>
        <v>100000</v>
      </c>
      <c r="H289" s="283">
        <f t="shared" ref="H289:H292" si="28">F289*G289</f>
        <v>12900</v>
      </c>
      <c r="M289" s="475"/>
    </row>
    <row r="290" spans="3:13" ht="25.8" customHeight="1">
      <c r="C290" s="876">
        <v>2</v>
      </c>
      <c r="D290" s="182" t="str">
        <f>D272</f>
        <v>Tukang pipa</v>
      </c>
      <c r="E290" s="176" t="s">
        <v>6</v>
      </c>
      <c r="F290" s="282">
        <v>0.215</v>
      </c>
      <c r="G290" s="283">
        <f>VLOOKUP(D290,upahbahan,3,FALSE)</f>
        <v>135000</v>
      </c>
      <c r="H290" s="283">
        <f t="shared" si="28"/>
        <v>29025</v>
      </c>
      <c r="M290" s="475"/>
    </row>
    <row r="291" spans="3:13" ht="25.8" customHeight="1">
      <c r="C291" s="876">
        <v>3</v>
      </c>
      <c r="D291" s="182" t="s">
        <v>18</v>
      </c>
      <c r="E291" s="176" t="s">
        <v>6</v>
      </c>
      <c r="F291" s="282">
        <v>2.1000000000000001E-2</v>
      </c>
      <c r="G291" s="283">
        <f>VLOOKUP(D291,upahbahan,3,FALSE)</f>
        <v>150000</v>
      </c>
      <c r="H291" s="283">
        <f t="shared" si="28"/>
        <v>3150</v>
      </c>
      <c r="M291" s="475"/>
    </row>
    <row r="292" spans="3:13" ht="25.8" customHeight="1">
      <c r="C292" s="876">
        <v>4</v>
      </c>
      <c r="D292" s="182" t="s">
        <v>19</v>
      </c>
      <c r="E292" s="176" t="s">
        <v>6</v>
      </c>
      <c r="F292" s="282">
        <v>7.0000000000000001E-3</v>
      </c>
      <c r="G292" s="283">
        <f>VLOOKUP(D292,upahbahan,3,FALSE)</f>
        <v>160000</v>
      </c>
      <c r="H292" s="283">
        <f t="shared" si="28"/>
        <v>1120</v>
      </c>
      <c r="M292" s="475"/>
    </row>
    <row r="293" spans="3:13" ht="25.8" customHeight="1">
      <c r="C293" s="450" t="s">
        <v>1208</v>
      </c>
      <c r="D293" s="67"/>
      <c r="E293" s="67"/>
      <c r="F293" s="142"/>
      <c r="G293" s="153"/>
      <c r="H293" s="283">
        <f>SUM(H289:H292)</f>
        <v>46195</v>
      </c>
      <c r="I293" s="319"/>
      <c r="J293" s="319"/>
      <c r="K293" s="319"/>
      <c r="M293" s="475"/>
    </row>
    <row r="294" spans="3:13" ht="25.8" customHeight="1">
      <c r="C294" s="176" t="s">
        <v>1209</v>
      </c>
      <c r="D294" s="182" t="s">
        <v>1210</v>
      </c>
      <c r="E294" s="70"/>
      <c r="F294" s="70"/>
      <c r="G294" s="70"/>
      <c r="H294" s="70"/>
      <c r="M294" s="475"/>
    </row>
    <row r="295" spans="3:13" ht="25.8" customHeight="1">
      <c r="C295" s="869">
        <v>1</v>
      </c>
      <c r="D295" s="285" t="s">
        <v>8074</v>
      </c>
      <c r="E295" s="176" t="s">
        <v>113</v>
      </c>
      <c r="F295" s="282">
        <f>F277</f>
        <v>1.5</v>
      </c>
      <c r="G295" s="283">
        <f>VLOOKUP(D295,upahbahan,3,FALSE)</f>
        <v>74430</v>
      </c>
      <c r="H295" s="283">
        <f t="shared" ref="H295:H296" si="29">F295*G295</f>
        <v>111645</v>
      </c>
      <c r="M295" s="475"/>
    </row>
    <row r="296" spans="3:13" ht="25.8" customHeight="1">
      <c r="C296" s="869">
        <v>2</v>
      </c>
      <c r="D296" s="182" t="s">
        <v>3538</v>
      </c>
      <c r="E296" s="176" t="s">
        <v>113</v>
      </c>
      <c r="F296" s="870">
        <f>F278</f>
        <v>1.2</v>
      </c>
      <c r="G296" s="283">
        <f>VLOOKUP(D296,upahbahan,3,FALSE)</f>
        <v>1080</v>
      </c>
      <c r="H296" s="283">
        <f t="shared" si="29"/>
        <v>1296</v>
      </c>
      <c r="M296" s="475"/>
    </row>
    <row r="297" spans="3:13" ht="25.8" customHeight="1">
      <c r="C297" s="450" t="s">
        <v>1214</v>
      </c>
      <c r="D297" s="67"/>
      <c r="E297" s="67"/>
      <c r="F297" s="67"/>
      <c r="G297" s="69"/>
      <c r="H297" s="283">
        <f>SUM(H295:H296)</f>
        <v>112941</v>
      </c>
      <c r="M297" s="475"/>
    </row>
    <row r="298" spans="3:13" ht="25.8" customHeight="1">
      <c r="C298" s="176" t="s">
        <v>1215</v>
      </c>
      <c r="D298" s="182" t="s">
        <v>1216</v>
      </c>
      <c r="E298" s="70"/>
      <c r="F298" s="70"/>
      <c r="G298" s="70"/>
      <c r="H298" s="70"/>
      <c r="M298" s="475"/>
    </row>
    <row r="299" spans="3:13" ht="25.8" customHeight="1">
      <c r="C299" s="450" t="s">
        <v>1217</v>
      </c>
      <c r="D299" s="67"/>
      <c r="E299" s="67"/>
      <c r="F299" s="67"/>
      <c r="G299" s="69"/>
      <c r="H299" s="871">
        <v>0</v>
      </c>
      <c r="M299" s="475"/>
    </row>
    <row r="300" spans="3:13" ht="25.8" customHeight="1">
      <c r="C300" s="102" t="s">
        <v>1218</v>
      </c>
      <c r="D300" s="294" t="s">
        <v>1219</v>
      </c>
      <c r="E300" s="295"/>
      <c r="F300" s="295"/>
      <c r="G300" s="296"/>
      <c r="H300" s="872">
        <f>H299+H297+H293</f>
        <v>159136</v>
      </c>
      <c r="I300" s="873"/>
      <c r="M300" s="475"/>
    </row>
    <row r="301" spans="3:13" ht="25.8" customHeight="1">
      <c r="C301" s="102" t="s">
        <v>1220</v>
      </c>
      <c r="D301" s="294" t="s">
        <v>1321</v>
      </c>
      <c r="E301" s="295"/>
      <c r="F301" s="296"/>
      <c r="G301" s="298">
        <f>$O$199</f>
        <v>0.1</v>
      </c>
      <c r="H301" s="283">
        <f>H300*G301</f>
        <v>15913.6</v>
      </c>
      <c r="I301" s="873"/>
      <c r="M301" s="475"/>
    </row>
    <row r="302" spans="3:13" ht="25.8" customHeight="1">
      <c r="C302" s="102" t="s">
        <v>1221</v>
      </c>
      <c r="D302" s="294" t="s">
        <v>1222</v>
      </c>
      <c r="E302" s="295"/>
      <c r="F302" s="295"/>
      <c r="G302" s="296"/>
      <c r="H302" s="874">
        <f>SUM(H300:H301)</f>
        <v>175049.60000000001</v>
      </c>
      <c r="I302" s="873"/>
      <c r="M302" s="475"/>
    </row>
    <row r="303" spans="3:13" ht="25.8" customHeight="1">
      <c r="C303" s="289"/>
      <c r="D303" s="297"/>
      <c r="E303" s="297"/>
      <c r="F303" s="297"/>
      <c r="G303" s="297"/>
      <c r="H303" s="139"/>
      <c r="M303" s="475"/>
    </row>
    <row r="304" spans="3:13" ht="25.8" customHeight="1">
      <c r="C304" s="119" t="s">
        <v>3610</v>
      </c>
      <c r="D304" s="867" t="s">
        <v>8075</v>
      </c>
      <c r="E304" s="795"/>
      <c r="F304" s="795"/>
      <c r="G304" s="795"/>
      <c r="H304" s="795"/>
      <c r="I304" s="120">
        <f>ROUNDDOWN(H320,-2)</f>
        <v>64500</v>
      </c>
      <c r="J304" s="120" t="s">
        <v>6451</v>
      </c>
      <c r="K304" s="120" t="s">
        <v>8063</v>
      </c>
      <c r="M304" s="475"/>
    </row>
    <row r="305" spans="3:13" ht="25.8" customHeight="1">
      <c r="C305" s="591" t="s">
        <v>1195</v>
      </c>
      <c r="D305" s="591" t="s">
        <v>1196</v>
      </c>
      <c r="E305" s="591" t="s">
        <v>1197</v>
      </c>
      <c r="F305" s="591" t="s">
        <v>1198</v>
      </c>
      <c r="G305" s="591" t="s">
        <v>1199</v>
      </c>
      <c r="H305" s="591" t="s">
        <v>1200</v>
      </c>
      <c r="M305" s="475"/>
    </row>
    <row r="306" spans="3:13" ht="25.8" customHeight="1">
      <c r="C306" s="182" t="s">
        <v>1201</v>
      </c>
      <c r="D306" s="182" t="s">
        <v>1202</v>
      </c>
      <c r="E306" s="124"/>
      <c r="F306" s="70"/>
      <c r="G306" s="70"/>
      <c r="H306" s="70"/>
      <c r="M306" s="475"/>
    </row>
    <row r="307" spans="3:13" ht="25.8" customHeight="1">
      <c r="C307" s="876">
        <v>1</v>
      </c>
      <c r="D307" s="182" t="s">
        <v>5</v>
      </c>
      <c r="E307" s="176" t="s">
        <v>6</v>
      </c>
      <c r="F307" s="282">
        <v>0.16</v>
      </c>
      <c r="G307" s="283">
        <f>VLOOKUP(D307,upahbahan,3,FALSE)</f>
        <v>100000</v>
      </c>
      <c r="H307" s="283">
        <f t="shared" ref="H307:H310" si="30">F307*G307</f>
        <v>16000</v>
      </c>
      <c r="M307" s="475"/>
    </row>
    <row r="308" spans="3:13" ht="25.8" customHeight="1">
      <c r="C308" s="876">
        <v>2</v>
      </c>
      <c r="D308" s="182" t="str">
        <f>D290</f>
        <v>Tukang pipa</v>
      </c>
      <c r="E308" s="176" t="s">
        <v>6</v>
      </c>
      <c r="F308" s="282">
        <v>0.26600000000000001</v>
      </c>
      <c r="G308" s="283">
        <f>VLOOKUP(D308,upahbahan,3,FALSE)</f>
        <v>135000</v>
      </c>
      <c r="H308" s="283">
        <f t="shared" si="30"/>
        <v>35910</v>
      </c>
      <c r="M308" s="475"/>
    </row>
    <row r="309" spans="3:13" ht="25.8" customHeight="1">
      <c r="C309" s="876">
        <v>3</v>
      </c>
      <c r="D309" s="182" t="s">
        <v>18</v>
      </c>
      <c r="E309" s="176" t="s">
        <v>6</v>
      </c>
      <c r="F309" s="282">
        <v>2.7E-2</v>
      </c>
      <c r="G309" s="283">
        <f>VLOOKUP(D309,upahbahan,3,FALSE)</f>
        <v>150000</v>
      </c>
      <c r="H309" s="283">
        <f t="shared" si="30"/>
        <v>4050</v>
      </c>
      <c r="M309" s="475"/>
    </row>
    <row r="310" spans="3:13" ht="25.8" customHeight="1">
      <c r="C310" s="876">
        <v>4</v>
      </c>
      <c r="D310" s="182" t="s">
        <v>19</v>
      </c>
      <c r="E310" s="176" t="s">
        <v>6</v>
      </c>
      <c r="F310" s="282">
        <v>8.9999999999999993E-3</v>
      </c>
      <c r="G310" s="283">
        <f>VLOOKUP(D310,upahbahan,3,FALSE)</f>
        <v>160000</v>
      </c>
      <c r="H310" s="283">
        <f t="shared" si="30"/>
        <v>1440</v>
      </c>
      <c r="M310" s="475"/>
    </row>
    <row r="311" spans="3:13" ht="25.8" customHeight="1">
      <c r="C311" s="450" t="s">
        <v>1208</v>
      </c>
      <c r="D311" s="67"/>
      <c r="E311" s="67"/>
      <c r="F311" s="142"/>
      <c r="G311" s="153"/>
      <c r="H311" s="283">
        <f>SUM(H307:H310)</f>
        <v>57400</v>
      </c>
      <c r="I311" s="319"/>
      <c r="J311" s="319"/>
      <c r="K311" s="319"/>
      <c r="M311" s="475"/>
    </row>
    <row r="312" spans="3:13" ht="25.8" customHeight="1">
      <c r="C312" s="176" t="s">
        <v>1209</v>
      </c>
      <c r="D312" s="182" t="s">
        <v>1210</v>
      </c>
      <c r="E312" s="70"/>
      <c r="F312" s="70"/>
      <c r="G312" s="70"/>
      <c r="H312" s="70"/>
      <c r="M312" s="475"/>
    </row>
    <row r="313" spans="3:13" ht="25.8" customHeight="1">
      <c r="C313" s="869">
        <v>1</v>
      </c>
      <c r="D313" s="285" t="s">
        <v>8076</v>
      </c>
      <c r="E313" s="176" t="s">
        <v>113</v>
      </c>
      <c r="F313" s="282">
        <f>F295</f>
        <v>1.5</v>
      </c>
      <c r="G313" s="283">
        <f>VLOOKUP(D313,upahbahan,3,FALSE)</f>
        <v>0</v>
      </c>
      <c r="H313" s="283">
        <f t="shared" ref="H313:H314" si="31">F313*G313</f>
        <v>0</v>
      </c>
      <c r="M313" s="475"/>
    </row>
    <row r="314" spans="3:13" ht="25.8" customHeight="1">
      <c r="C314" s="869">
        <v>2</v>
      </c>
      <c r="D314" s="182" t="s">
        <v>3538</v>
      </c>
      <c r="E314" s="176" t="s">
        <v>113</v>
      </c>
      <c r="F314" s="870">
        <f>F296</f>
        <v>1.2</v>
      </c>
      <c r="G314" s="283">
        <f>VLOOKUP(D314,upahbahan,3,FALSE)</f>
        <v>1080</v>
      </c>
      <c r="H314" s="283">
        <f t="shared" si="31"/>
        <v>1296</v>
      </c>
      <c r="M314" s="475"/>
    </row>
    <row r="315" spans="3:13" ht="25.8" customHeight="1">
      <c r="C315" s="450" t="s">
        <v>1214</v>
      </c>
      <c r="D315" s="67"/>
      <c r="E315" s="67"/>
      <c r="F315" s="67"/>
      <c r="G315" s="69"/>
      <c r="H315" s="283">
        <f>SUM(H313:H314)</f>
        <v>1296</v>
      </c>
      <c r="M315" s="475"/>
    </row>
    <row r="316" spans="3:13" ht="25.8" customHeight="1">
      <c r="C316" s="176" t="s">
        <v>1215</v>
      </c>
      <c r="D316" s="182" t="s">
        <v>1216</v>
      </c>
      <c r="E316" s="70"/>
      <c r="F316" s="70"/>
      <c r="G316" s="70"/>
      <c r="H316" s="70"/>
      <c r="M316" s="475"/>
    </row>
    <row r="317" spans="3:13" ht="25.8" customHeight="1">
      <c r="C317" s="450" t="s">
        <v>1217</v>
      </c>
      <c r="D317" s="67"/>
      <c r="E317" s="67"/>
      <c r="F317" s="67"/>
      <c r="G317" s="69"/>
      <c r="H317" s="871">
        <v>0</v>
      </c>
      <c r="M317" s="475"/>
    </row>
    <row r="318" spans="3:13" ht="25.8" customHeight="1">
      <c r="C318" s="102" t="s">
        <v>1218</v>
      </c>
      <c r="D318" s="294" t="s">
        <v>1219</v>
      </c>
      <c r="E318" s="295"/>
      <c r="F318" s="295"/>
      <c r="G318" s="296"/>
      <c r="H318" s="872">
        <f>H317+H315+H311</f>
        <v>58696</v>
      </c>
      <c r="I318" s="873"/>
      <c r="M318" s="475"/>
    </row>
    <row r="319" spans="3:13" ht="25.8" customHeight="1">
      <c r="C319" s="102" t="s">
        <v>1220</v>
      </c>
      <c r="D319" s="294" t="s">
        <v>1321</v>
      </c>
      <c r="E319" s="295"/>
      <c r="F319" s="296"/>
      <c r="G319" s="298">
        <f>$O$199</f>
        <v>0.1</v>
      </c>
      <c r="H319" s="283">
        <f>H318*G319</f>
        <v>5869.6</v>
      </c>
      <c r="I319" s="873"/>
      <c r="M319" s="475"/>
    </row>
    <row r="320" spans="3:13" ht="25.8" customHeight="1">
      <c r="C320" s="102" t="s">
        <v>1221</v>
      </c>
      <c r="D320" s="294" t="s">
        <v>1222</v>
      </c>
      <c r="E320" s="295"/>
      <c r="F320" s="295"/>
      <c r="G320" s="296"/>
      <c r="H320" s="874">
        <f>SUM(H318:H319)</f>
        <v>64565.599999999999</v>
      </c>
      <c r="I320" s="873"/>
      <c r="M320" s="475"/>
    </row>
    <row r="321" spans="3:13" ht="25.8" customHeight="1">
      <c r="C321" s="289"/>
      <c r="D321" s="297"/>
      <c r="E321" s="297"/>
      <c r="F321" s="297"/>
      <c r="G321" s="297"/>
      <c r="H321" s="139"/>
      <c r="M321" s="475"/>
    </row>
    <row r="322" spans="3:13" ht="25.8" customHeight="1">
      <c r="C322" s="119" t="s">
        <v>3611</v>
      </c>
      <c r="D322" s="867" t="s">
        <v>8077</v>
      </c>
      <c r="E322" s="795"/>
      <c r="F322" s="795"/>
      <c r="G322" s="795"/>
      <c r="H322" s="795"/>
      <c r="I322" s="120">
        <f>ROUNDDOWN(H338,-2)</f>
        <v>228200</v>
      </c>
      <c r="J322" s="120" t="s">
        <v>6451</v>
      </c>
      <c r="K322" s="120" t="s">
        <v>8063</v>
      </c>
      <c r="M322" s="475"/>
    </row>
    <row r="323" spans="3:13" ht="25.8" customHeight="1">
      <c r="C323" s="591" t="s">
        <v>1195</v>
      </c>
      <c r="D323" s="591" t="s">
        <v>1196</v>
      </c>
      <c r="E323" s="591" t="s">
        <v>1197</v>
      </c>
      <c r="F323" s="591" t="s">
        <v>1198</v>
      </c>
      <c r="G323" s="591" t="s">
        <v>1199</v>
      </c>
      <c r="H323" s="591" t="s">
        <v>1200</v>
      </c>
      <c r="M323" s="475"/>
    </row>
    <row r="324" spans="3:13" ht="25.8" customHeight="1">
      <c r="C324" s="182" t="s">
        <v>1201</v>
      </c>
      <c r="D324" s="182" t="s">
        <v>1202</v>
      </c>
      <c r="E324" s="124"/>
      <c r="F324" s="70"/>
      <c r="G324" s="70"/>
      <c r="H324" s="70"/>
      <c r="M324" s="475"/>
    </row>
    <row r="325" spans="3:13" ht="25.8" customHeight="1">
      <c r="C325" s="876">
        <v>1</v>
      </c>
      <c r="D325" s="182" t="s">
        <v>5</v>
      </c>
      <c r="E325" s="176" t="s">
        <v>6</v>
      </c>
      <c r="F325" s="309">
        <v>0.19</v>
      </c>
      <c r="G325" s="283">
        <f>VLOOKUP(D325,upahbahan,3,FALSE)</f>
        <v>100000</v>
      </c>
      <c r="H325" s="283">
        <f t="shared" ref="H325:H328" si="32">F325*G325</f>
        <v>19000</v>
      </c>
      <c r="M325" s="475"/>
    </row>
    <row r="326" spans="3:13" ht="25.8" customHeight="1">
      <c r="C326" s="876">
        <v>2</v>
      </c>
      <c r="D326" s="182" t="str">
        <f>D308</f>
        <v>Tukang pipa</v>
      </c>
      <c r="E326" s="176" t="s">
        <v>6</v>
      </c>
      <c r="F326" s="309">
        <v>0.318</v>
      </c>
      <c r="G326" s="283">
        <f>VLOOKUP(D326,upahbahan,3,FALSE)</f>
        <v>135000</v>
      </c>
      <c r="H326" s="283">
        <f t="shared" si="32"/>
        <v>42930</v>
      </c>
      <c r="M326" s="475"/>
    </row>
    <row r="327" spans="3:13" ht="25.8" customHeight="1">
      <c r="C327" s="876">
        <v>3</v>
      </c>
      <c r="D327" s="182" t="s">
        <v>18</v>
      </c>
      <c r="E327" s="176" t="s">
        <v>6</v>
      </c>
      <c r="F327" s="309">
        <v>3.2000000000000001E-2</v>
      </c>
      <c r="G327" s="283">
        <f>VLOOKUP(D327,upahbahan,3,FALSE)</f>
        <v>150000</v>
      </c>
      <c r="H327" s="283">
        <f t="shared" si="32"/>
        <v>4800</v>
      </c>
      <c r="M327" s="475"/>
    </row>
    <row r="328" spans="3:13" ht="25.8" customHeight="1">
      <c r="C328" s="876">
        <v>4</v>
      </c>
      <c r="D328" s="182" t="s">
        <v>19</v>
      </c>
      <c r="E328" s="176" t="s">
        <v>6</v>
      </c>
      <c r="F328" s="309">
        <v>1.0999999999999999E-2</v>
      </c>
      <c r="G328" s="283">
        <f>VLOOKUP(D328,upahbahan,3,FALSE)</f>
        <v>160000</v>
      </c>
      <c r="H328" s="283">
        <f t="shared" si="32"/>
        <v>1760</v>
      </c>
      <c r="M328" s="475"/>
    </row>
    <row r="329" spans="3:13" ht="25.8" customHeight="1">
      <c r="C329" s="450" t="s">
        <v>1208</v>
      </c>
      <c r="D329" s="67"/>
      <c r="E329" s="67"/>
      <c r="F329" s="142"/>
      <c r="G329" s="153"/>
      <c r="H329" s="283">
        <f>SUM(H325:H328)</f>
        <v>68490</v>
      </c>
      <c r="I329" s="319"/>
      <c r="J329" s="319"/>
      <c r="K329" s="319"/>
      <c r="M329" s="475"/>
    </row>
    <row r="330" spans="3:13" ht="25.8" customHeight="1">
      <c r="C330" s="176" t="s">
        <v>1209</v>
      </c>
      <c r="D330" s="182" t="s">
        <v>1210</v>
      </c>
      <c r="E330" s="70"/>
      <c r="F330" s="70"/>
      <c r="G330" s="70"/>
      <c r="H330" s="70"/>
      <c r="M330" s="475"/>
    </row>
    <row r="331" spans="3:13" ht="25.8" customHeight="1">
      <c r="C331" s="869">
        <v>1</v>
      </c>
      <c r="D331" s="285" t="s">
        <v>8078</v>
      </c>
      <c r="E331" s="176" t="s">
        <v>113</v>
      </c>
      <c r="F331" s="282">
        <f>F313</f>
        <v>1.5</v>
      </c>
      <c r="G331" s="283">
        <f>VLOOKUP(D331,upahbahan,3,FALSE)</f>
        <v>91800</v>
      </c>
      <c r="H331" s="283">
        <f t="shared" ref="H331:H332" si="33">F331*G331</f>
        <v>137700</v>
      </c>
      <c r="M331" s="475"/>
    </row>
    <row r="332" spans="3:13" ht="25.8" customHeight="1">
      <c r="C332" s="869">
        <v>2</v>
      </c>
      <c r="D332" s="182" t="s">
        <v>3538</v>
      </c>
      <c r="E332" s="176" t="s">
        <v>113</v>
      </c>
      <c r="F332" s="870">
        <f>F314</f>
        <v>1.2</v>
      </c>
      <c r="G332" s="283">
        <f>VLOOKUP(D332,upahbahan,3,FALSE)</f>
        <v>1080</v>
      </c>
      <c r="H332" s="283">
        <f t="shared" si="33"/>
        <v>1296</v>
      </c>
      <c r="M332" s="475"/>
    </row>
    <row r="333" spans="3:13" ht="25.8" customHeight="1">
      <c r="C333" s="450" t="s">
        <v>1214</v>
      </c>
      <c r="D333" s="67"/>
      <c r="E333" s="67"/>
      <c r="F333" s="67"/>
      <c r="G333" s="69"/>
      <c r="H333" s="283">
        <f>SUM(H331:H332)</f>
        <v>138996</v>
      </c>
      <c r="M333" s="475"/>
    </row>
    <row r="334" spans="3:13" ht="25.8" customHeight="1">
      <c r="C334" s="176" t="s">
        <v>1215</v>
      </c>
      <c r="D334" s="182" t="s">
        <v>1216</v>
      </c>
      <c r="E334" s="70"/>
      <c r="F334" s="70"/>
      <c r="G334" s="70"/>
      <c r="H334" s="70"/>
      <c r="M334" s="475"/>
    </row>
    <row r="335" spans="3:13" ht="25.8" customHeight="1">
      <c r="C335" s="450" t="s">
        <v>1217</v>
      </c>
      <c r="D335" s="67"/>
      <c r="E335" s="67"/>
      <c r="F335" s="67"/>
      <c r="G335" s="69"/>
      <c r="H335" s="871">
        <v>0</v>
      </c>
      <c r="M335" s="475"/>
    </row>
    <row r="336" spans="3:13" ht="25.8" customHeight="1">
      <c r="C336" s="102" t="s">
        <v>1218</v>
      </c>
      <c r="D336" s="294" t="s">
        <v>1219</v>
      </c>
      <c r="E336" s="295"/>
      <c r="F336" s="295"/>
      <c r="G336" s="296"/>
      <c r="H336" s="872">
        <f>H335+H333+H329</f>
        <v>207486</v>
      </c>
      <c r="I336" s="873"/>
      <c r="M336" s="475"/>
    </row>
    <row r="337" spans="3:13" ht="25.8" customHeight="1">
      <c r="C337" s="102" t="s">
        <v>1220</v>
      </c>
      <c r="D337" s="294" t="s">
        <v>1321</v>
      </c>
      <c r="E337" s="295"/>
      <c r="F337" s="296"/>
      <c r="G337" s="298">
        <f>$O$199</f>
        <v>0.1</v>
      </c>
      <c r="H337" s="283">
        <f>H336*G337</f>
        <v>20748.600000000002</v>
      </c>
      <c r="I337" s="873"/>
      <c r="M337" s="475"/>
    </row>
    <row r="338" spans="3:13" ht="25.8" customHeight="1">
      <c r="C338" s="102" t="s">
        <v>1221</v>
      </c>
      <c r="D338" s="294" t="s">
        <v>1222</v>
      </c>
      <c r="E338" s="295"/>
      <c r="F338" s="295"/>
      <c r="G338" s="296"/>
      <c r="H338" s="874">
        <f>SUM(H336:H337)</f>
        <v>228234.6</v>
      </c>
      <c r="I338" s="873"/>
      <c r="M338" s="475"/>
    </row>
    <row r="339" spans="3:13" ht="25.8" customHeight="1">
      <c r="C339" s="289"/>
      <c r="D339" s="297"/>
      <c r="E339" s="297"/>
      <c r="F339" s="297"/>
      <c r="G339" s="297"/>
      <c r="H339" s="139"/>
      <c r="M339" s="475"/>
    </row>
    <row r="340" spans="3:13" ht="25.8" customHeight="1">
      <c r="C340" s="119" t="s">
        <v>3612</v>
      </c>
      <c r="D340" s="867" t="s">
        <v>8079</v>
      </c>
      <c r="E340" s="795"/>
      <c r="F340" s="795"/>
      <c r="G340" s="795"/>
      <c r="H340" s="795"/>
      <c r="I340" s="120">
        <f>ROUNDDOWN(H356,-2)</f>
        <v>222100</v>
      </c>
      <c r="J340" s="120" t="s">
        <v>6451</v>
      </c>
      <c r="K340" s="120" t="s">
        <v>8063</v>
      </c>
      <c r="M340" s="475"/>
    </row>
    <row r="341" spans="3:13" ht="25.8" customHeight="1">
      <c r="C341" s="591" t="s">
        <v>1195</v>
      </c>
      <c r="D341" s="591" t="s">
        <v>1196</v>
      </c>
      <c r="E341" s="591" t="s">
        <v>1197</v>
      </c>
      <c r="F341" s="591" t="s">
        <v>1198</v>
      </c>
      <c r="G341" s="591" t="s">
        <v>1199</v>
      </c>
      <c r="H341" s="591" t="s">
        <v>1200</v>
      </c>
      <c r="M341" s="475"/>
    </row>
    <row r="342" spans="3:13" ht="25.8" customHeight="1">
      <c r="C342" s="182" t="s">
        <v>1201</v>
      </c>
      <c r="D342" s="182" t="s">
        <v>1202</v>
      </c>
      <c r="E342" s="124"/>
      <c r="F342" s="70"/>
      <c r="G342" s="70"/>
      <c r="H342" s="70"/>
      <c r="M342" s="475"/>
    </row>
    <row r="343" spans="3:13" ht="25.8" customHeight="1">
      <c r="C343" s="876">
        <v>1</v>
      </c>
      <c r="D343" s="182" t="s">
        <v>5</v>
      </c>
      <c r="E343" s="176" t="s">
        <v>6</v>
      </c>
      <c r="F343" s="309">
        <v>0.255</v>
      </c>
      <c r="G343" s="283">
        <f>VLOOKUP(D343,upahbahan,3,FALSE)</f>
        <v>100000</v>
      </c>
      <c r="H343" s="283">
        <f t="shared" ref="H343:H346" si="34">F343*G343</f>
        <v>25500</v>
      </c>
      <c r="M343" s="475"/>
    </row>
    <row r="344" spans="3:13" ht="25.8" customHeight="1">
      <c r="C344" s="876">
        <v>2</v>
      </c>
      <c r="D344" s="182" t="str">
        <f>D326</f>
        <v>Tukang pipa</v>
      </c>
      <c r="E344" s="176" t="s">
        <v>6</v>
      </c>
      <c r="F344" s="309">
        <v>0.42499999999999999</v>
      </c>
      <c r="G344" s="283">
        <f>VLOOKUP(D344,upahbahan,3,FALSE)</f>
        <v>135000</v>
      </c>
      <c r="H344" s="283">
        <f t="shared" si="34"/>
        <v>57375</v>
      </c>
      <c r="M344" s="475"/>
    </row>
    <row r="345" spans="3:13" ht="25.8" customHeight="1">
      <c r="C345" s="876">
        <v>3</v>
      </c>
      <c r="D345" s="182" t="s">
        <v>18</v>
      </c>
      <c r="E345" s="176" t="s">
        <v>6</v>
      </c>
      <c r="F345" s="309">
        <v>4.2999999999999997E-2</v>
      </c>
      <c r="G345" s="283">
        <f>VLOOKUP(D345,upahbahan,3,FALSE)</f>
        <v>150000</v>
      </c>
      <c r="H345" s="283">
        <f t="shared" si="34"/>
        <v>6449.9999999999991</v>
      </c>
      <c r="M345" s="475"/>
    </row>
    <row r="346" spans="3:13" ht="25.8" customHeight="1">
      <c r="C346" s="876">
        <v>4</v>
      </c>
      <c r="D346" s="182" t="s">
        <v>19</v>
      </c>
      <c r="E346" s="176" t="s">
        <v>6</v>
      </c>
      <c r="F346" s="309">
        <v>1.4E-2</v>
      </c>
      <c r="G346" s="283">
        <f>VLOOKUP(D346,upahbahan,3,FALSE)</f>
        <v>160000</v>
      </c>
      <c r="H346" s="283">
        <f t="shared" si="34"/>
        <v>2240</v>
      </c>
      <c r="M346" s="475"/>
    </row>
    <row r="347" spans="3:13" ht="25.8" customHeight="1">
      <c r="C347" s="450" t="s">
        <v>1208</v>
      </c>
      <c r="D347" s="67"/>
      <c r="E347" s="67"/>
      <c r="F347" s="142"/>
      <c r="G347" s="153"/>
      <c r="H347" s="283">
        <f>SUM(H343:H346)</f>
        <v>91565</v>
      </c>
      <c r="I347" s="319"/>
      <c r="J347" s="319"/>
      <c r="K347" s="319"/>
      <c r="M347" s="475"/>
    </row>
    <row r="348" spans="3:13" ht="25.8" customHeight="1">
      <c r="C348" s="176" t="s">
        <v>1209</v>
      </c>
      <c r="D348" s="182" t="s">
        <v>1210</v>
      </c>
      <c r="E348" s="70"/>
      <c r="F348" s="70"/>
      <c r="G348" s="70"/>
      <c r="H348" s="70"/>
      <c r="M348" s="475"/>
    </row>
    <row r="349" spans="3:13" ht="25.8" customHeight="1">
      <c r="C349" s="869">
        <v>1</v>
      </c>
      <c r="D349" s="285" t="s">
        <v>8080</v>
      </c>
      <c r="E349" s="176" t="s">
        <v>113</v>
      </c>
      <c r="F349" s="282">
        <f>F331</f>
        <v>1.5</v>
      </c>
      <c r="G349" s="283">
        <f>VLOOKUP(D349,upahbahan,3,FALSE)</f>
        <v>72700</v>
      </c>
      <c r="H349" s="283">
        <f t="shared" ref="H349:H350" si="35">F349*G349</f>
        <v>109050</v>
      </c>
      <c r="M349" s="475"/>
    </row>
    <row r="350" spans="3:13" ht="25.8" customHeight="1">
      <c r="C350" s="869">
        <v>2</v>
      </c>
      <c r="D350" s="182" t="s">
        <v>3538</v>
      </c>
      <c r="E350" s="176" t="s">
        <v>113</v>
      </c>
      <c r="F350" s="870">
        <f>F332</f>
        <v>1.2</v>
      </c>
      <c r="G350" s="283">
        <f>VLOOKUP(D350,upahbahan,3,FALSE)</f>
        <v>1080</v>
      </c>
      <c r="H350" s="283">
        <f t="shared" si="35"/>
        <v>1296</v>
      </c>
      <c r="M350" s="475"/>
    </row>
    <row r="351" spans="3:13" ht="25.8" customHeight="1">
      <c r="C351" s="450" t="s">
        <v>1214</v>
      </c>
      <c r="D351" s="67"/>
      <c r="E351" s="67"/>
      <c r="F351" s="67"/>
      <c r="G351" s="69"/>
      <c r="H351" s="283">
        <f>SUM(H349:H350)</f>
        <v>110346</v>
      </c>
      <c r="M351" s="475"/>
    </row>
    <row r="352" spans="3:13" ht="25.8" customHeight="1">
      <c r="C352" s="176" t="s">
        <v>1215</v>
      </c>
      <c r="D352" s="182" t="s">
        <v>1216</v>
      </c>
      <c r="E352" s="70"/>
      <c r="F352" s="70"/>
      <c r="G352" s="70"/>
      <c r="H352" s="70"/>
      <c r="M352" s="475"/>
    </row>
    <row r="353" spans="3:13" ht="25.8" customHeight="1">
      <c r="C353" s="450" t="s">
        <v>1217</v>
      </c>
      <c r="D353" s="67"/>
      <c r="E353" s="67"/>
      <c r="F353" s="67"/>
      <c r="G353" s="69"/>
      <c r="H353" s="871">
        <v>0</v>
      </c>
      <c r="M353" s="475"/>
    </row>
    <row r="354" spans="3:13" ht="25.8" customHeight="1">
      <c r="C354" s="102" t="s">
        <v>1218</v>
      </c>
      <c r="D354" s="294" t="s">
        <v>1219</v>
      </c>
      <c r="E354" s="295"/>
      <c r="F354" s="295"/>
      <c r="G354" s="296"/>
      <c r="H354" s="872">
        <f>H353+H351+H347</f>
        <v>201911</v>
      </c>
      <c r="I354" s="873"/>
      <c r="M354" s="475"/>
    </row>
    <row r="355" spans="3:13" ht="25.8" customHeight="1">
      <c r="C355" s="102" t="s">
        <v>1220</v>
      </c>
      <c r="D355" s="294" t="s">
        <v>1321</v>
      </c>
      <c r="E355" s="295"/>
      <c r="F355" s="296"/>
      <c r="G355" s="298">
        <f>$O$199</f>
        <v>0.1</v>
      </c>
      <c r="H355" s="283">
        <f>H354*G355</f>
        <v>20191.100000000002</v>
      </c>
      <c r="I355" s="873"/>
      <c r="M355" s="475"/>
    </row>
    <row r="356" spans="3:13" ht="25.8" customHeight="1">
      <c r="C356" s="102" t="s">
        <v>1221</v>
      </c>
      <c r="D356" s="294" t="s">
        <v>1222</v>
      </c>
      <c r="E356" s="295"/>
      <c r="F356" s="295"/>
      <c r="G356" s="296"/>
      <c r="H356" s="874">
        <f>SUM(H354:H355)</f>
        <v>222102.1</v>
      </c>
      <c r="I356" s="873"/>
      <c r="M356" s="475"/>
    </row>
    <row r="357" spans="3:13" ht="25.8" customHeight="1">
      <c r="C357" s="289"/>
      <c r="D357" s="297"/>
      <c r="E357" s="297"/>
      <c r="F357" s="297"/>
      <c r="G357" s="297"/>
      <c r="H357" s="139"/>
      <c r="M357" s="475"/>
    </row>
    <row r="358" spans="3:13" ht="25.8" customHeight="1">
      <c r="C358" s="289"/>
      <c r="D358" s="297"/>
      <c r="E358" s="297"/>
      <c r="F358" s="297"/>
      <c r="G358" s="297"/>
      <c r="H358" s="139"/>
    </row>
    <row r="359" spans="3:13" ht="25.8" customHeight="1">
      <c r="C359" s="126" t="s">
        <v>3613</v>
      </c>
      <c r="D359" s="138" t="s">
        <v>3614</v>
      </c>
      <c r="E359" s="297"/>
      <c r="F359" s="297"/>
      <c r="G359" s="297"/>
      <c r="H359" s="139"/>
    </row>
    <row r="360" spans="3:13" ht="25.8" customHeight="1">
      <c r="C360" s="126" t="s">
        <v>3615</v>
      </c>
      <c r="D360" s="138" t="s">
        <v>3616</v>
      </c>
      <c r="E360" s="297"/>
      <c r="F360" s="297"/>
      <c r="G360" s="297"/>
      <c r="H360" s="139"/>
    </row>
    <row r="361" spans="3:13" ht="25.8" customHeight="1">
      <c r="C361" s="867" t="s">
        <v>3617</v>
      </c>
      <c r="D361" s="795" t="s">
        <v>3618</v>
      </c>
      <c r="E361" s="795"/>
      <c r="F361" s="795"/>
      <c r="G361" s="795"/>
      <c r="H361" s="795"/>
      <c r="I361" s="120">
        <f>ROUNDDOWN(H376,-2)</f>
        <v>7957900</v>
      </c>
      <c r="J361" s="120"/>
      <c r="K361" s="120"/>
      <c r="M361" s="475"/>
    </row>
    <row r="362" spans="3:13" ht="25.8" customHeight="1">
      <c r="C362" s="591" t="s">
        <v>1195</v>
      </c>
      <c r="D362" s="591" t="s">
        <v>1196</v>
      </c>
      <c r="E362" s="591" t="s">
        <v>1197</v>
      </c>
      <c r="F362" s="591" t="s">
        <v>1198</v>
      </c>
      <c r="G362" s="591" t="s">
        <v>1199</v>
      </c>
      <c r="H362" s="591" t="s">
        <v>1200</v>
      </c>
    </row>
    <row r="363" spans="3:13" ht="25.8" customHeight="1">
      <c r="C363" s="182" t="s">
        <v>1201</v>
      </c>
      <c r="D363" s="182" t="s">
        <v>1202</v>
      </c>
      <c r="E363" s="70"/>
      <c r="F363" s="70"/>
      <c r="G363" s="70"/>
      <c r="H363" s="70"/>
    </row>
    <row r="364" spans="3:13" ht="25.8" customHeight="1">
      <c r="C364" s="876">
        <v>1</v>
      </c>
      <c r="D364" s="182" t="s">
        <v>5</v>
      </c>
      <c r="E364" s="182" t="s">
        <v>6</v>
      </c>
      <c r="F364" s="309">
        <v>0.51200000000000001</v>
      </c>
      <c r="G364" s="283">
        <f>VLOOKUP(D364,upahbahan,3,FALSE)</f>
        <v>100000</v>
      </c>
      <c r="H364" s="283">
        <f t="shared" ref="H364:H367" si="36">F364*G364</f>
        <v>51200</v>
      </c>
    </row>
    <row r="365" spans="3:13" ht="25.8" customHeight="1">
      <c r="C365" s="876">
        <v>2</v>
      </c>
      <c r="D365" s="182" t="s">
        <v>10</v>
      </c>
      <c r="E365" s="182" t="s">
        <v>6</v>
      </c>
      <c r="F365" s="309">
        <v>0.85499999999999998</v>
      </c>
      <c r="G365" s="283">
        <f>VLOOKUP(D365,upahbahan,3,FALSE)</f>
        <v>135000</v>
      </c>
      <c r="H365" s="283">
        <f t="shared" si="36"/>
        <v>115425</v>
      </c>
    </row>
    <row r="366" spans="3:13" ht="25.8" customHeight="1">
      <c r="C366" s="876">
        <v>3</v>
      </c>
      <c r="D366" s="182" t="s">
        <v>18</v>
      </c>
      <c r="E366" s="182" t="s">
        <v>6</v>
      </c>
      <c r="F366" s="309">
        <v>8.5000000000000006E-2</v>
      </c>
      <c r="G366" s="283">
        <f>VLOOKUP(D366,upahbahan,3,FALSE)</f>
        <v>150000</v>
      </c>
      <c r="H366" s="283">
        <f t="shared" si="36"/>
        <v>12750.000000000002</v>
      </c>
    </row>
    <row r="367" spans="3:13" ht="25.8" customHeight="1">
      <c r="C367" s="876">
        <v>4</v>
      </c>
      <c r="D367" s="182" t="s">
        <v>19</v>
      </c>
      <c r="E367" s="182" t="s">
        <v>6</v>
      </c>
      <c r="F367" s="309">
        <v>2.8000000000000001E-2</v>
      </c>
      <c r="G367" s="283">
        <f>VLOOKUP(D367,upahbahan,3,FALSE)</f>
        <v>160000</v>
      </c>
      <c r="H367" s="283">
        <f t="shared" si="36"/>
        <v>4480</v>
      </c>
    </row>
    <row r="368" spans="3:13" ht="25.8" customHeight="1">
      <c r="C368" s="450" t="s">
        <v>1208</v>
      </c>
      <c r="D368" s="67"/>
      <c r="E368" s="67"/>
      <c r="F368" s="142"/>
      <c r="G368" s="153"/>
      <c r="H368" s="283">
        <f>SUM(H364:H367)</f>
        <v>183855</v>
      </c>
      <c r="I368" s="319"/>
      <c r="J368" s="319"/>
      <c r="K368" s="319"/>
    </row>
    <row r="369" spans="3:13" ht="25.8" customHeight="1">
      <c r="C369" s="182" t="s">
        <v>1209</v>
      </c>
      <c r="D369" s="182" t="s">
        <v>1210</v>
      </c>
      <c r="E369" s="70"/>
      <c r="F369" s="70"/>
      <c r="G369" s="70"/>
      <c r="H369" s="70"/>
    </row>
    <row r="370" spans="3:13" ht="25.8" customHeight="1">
      <c r="C370" s="876">
        <v>1</v>
      </c>
      <c r="D370" s="182" t="s">
        <v>3619</v>
      </c>
      <c r="E370" s="291" t="s">
        <v>3182</v>
      </c>
      <c r="F370" s="327">
        <v>1.1499999999999999</v>
      </c>
      <c r="G370" s="283">
        <f>VLOOKUP(D370,upahbahan,3,FALSE)</f>
        <v>6131000</v>
      </c>
      <c r="H370" s="283">
        <f t="shared" ref="H370" si="37">F370*G370</f>
        <v>7050649.9999999991</v>
      </c>
    </row>
    <row r="371" spans="3:13" ht="25.8" customHeight="1">
      <c r="C371" s="450" t="s">
        <v>1214</v>
      </c>
      <c r="D371" s="67"/>
      <c r="E371" s="67"/>
      <c r="F371" s="67"/>
      <c r="G371" s="69"/>
      <c r="H371" s="283">
        <f>SUM(H370:H370)</f>
        <v>7050649.9999999991</v>
      </c>
    </row>
    <row r="372" spans="3:13" ht="25.8" customHeight="1">
      <c r="C372" s="176" t="s">
        <v>1215</v>
      </c>
      <c r="D372" s="182" t="s">
        <v>1216</v>
      </c>
      <c r="E372" s="70"/>
      <c r="F372" s="70"/>
      <c r="G372" s="70"/>
      <c r="H372" s="70"/>
    </row>
    <row r="373" spans="3:13" ht="25.8" customHeight="1">
      <c r="C373" s="450" t="s">
        <v>1217</v>
      </c>
      <c r="D373" s="67"/>
      <c r="E373" s="67"/>
      <c r="F373" s="67"/>
      <c r="G373" s="69"/>
      <c r="H373" s="871">
        <v>0</v>
      </c>
    </row>
    <row r="374" spans="3:13" ht="25.8" customHeight="1">
      <c r="C374" s="102" t="s">
        <v>1218</v>
      </c>
      <c r="D374" s="294" t="s">
        <v>1219</v>
      </c>
      <c r="E374" s="295"/>
      <c r="F374" s="295"/>
      <c r="G374" s="296"/>
      <c r="H374" s="872">
        <f>H373+H371+H368</f>
        <v>7234504.9999999991</v>
      </c>
      <c r="I374" s="873"/>
    </row>
    <row r="375" spans="3:13" ht="25.8" customHeight="1">
      <c r="C375" s="102" t="s">
        <v>1220</v>
      </c>
      <c r="D375" s="294" t="s">
        <v>1321</v>
      </c>
      <c r="E375" s="295"/>
      <c r="F375" s="296"/>
      <c r="G375" s="298">
        <f>$O$199</f>
        <v>0.1</v>
      </c>
      <c r="H375" s="283">
        <f>H374*G375</f>
        <v>723450.5</v>
      </c>
      <c r="I375" s="873"/>
    </row>
    <row r="376" spans="3:13" ht="25.8" customHeight="1">
      <c r="C376" s="102" t="s">
        <v>1221</v>
      </c>
      <c r="D376" s="294" t="s">
        <v>1222</v>
      </c>
      <c r="E376" s="295"/>
      <c r="F376" s="295"/>
      <c r="G376" s="296"/>
      <c r="H376" s="874">
        <f>SUM(H374:H375)</f>
        <v>7957955.4999999991</v>
      </c>
      <c r="I376" s="873"/>
    </row>
    <row r="377" spans="3:13" ht="25.8" customHeight="1"/>
    <row r="378" spans="3:13" ht="25.8" customHeight="1"/>
    <row r="379" spans="3:13" ht="25.8" customHeight="1">
      <c r="C379" s="867" t="s">
        <v>3620</v>
      </c>
      <c r="D379" s="877" t="s">
        <v>3621</v>
      </c>
      <c r="E379" s="795"/>
      <c r="F379" s="795"/>
      <c r="G379" s="795"/>
      <c r="H379" s="795"/>
      <c r="I379" s="120">
        <f>ROUNDDOWN(H394,-2)</f>
        <v>10873500</v>
      </c>
      <c r="J379" s="120"/>
      <c r="K379" s="120"/>
      <c r="M379" s="475"/>
    </row>
    <row r="380" spans="3:13" ht="25.8" customHeight="1">
      <c r="C380" s="591" t="s">
        <v>1195</v>
      </c>
      <c r="D380" s="591" t="s">
        <v>1196</v>
      </c>
      <c r="E380" s="591" t="s">
        <v>1197</v>
      </c>
      <c r="F380" s="591" t="s">
        <v>1198</v>
      </c>
      <c r="G380" s="591" t="s">
        <v>1199</v>
      </c>
      <c r="H380" s="591" t="s">
        <v>1200</v>
      </c>
    </row>
    <row r="381" spans="3:13" ht="25.8" customHeight="1">
      <c r="C381" s="182" t="s">
        <v>1201</v>
      </c>
      <c r="D381" s="182" t="s">
        <v>1202</v>
      </c>
      <c r="E381" s="70"/>
      <c r="F381" s="70"/>
      <c r="G381" s="70"/>
      <c r="H381" s="70"/>
    </row>
    <row r="382" spans="3:13" ht="25.8" customHeight="1">
      <c r="C382" s="876">
        <v>1</v>
      </c>
      <c r="D382" s="182" t="s">
        <v>5</v>
      </c>
      <c r="E382" s="182" t="s">
        <v>6</v>
      </c>
      <c r="F382" s="309">
        <v>0.63600000000000001</v>
      </c>
      <c r="G382" s="283">
        <f>VLOOKUP(D382,upahbahan,3,FALSE)</f>
        <v>100000</v>
      </c>
      <c r="H382" s="283">
        <f t="shared" ref="H382:H385" si="38">F382*G382</f>
        <v>63600</v>
      </c>
    </row>
    <row r="383" spans="3:13" ht="25.8" customHeight="1">
      <c r="C383" s="876">
        <v>2</v>
      </c>
      <c r="D383" s="182" t="s">
        <v>3622</v>
      </c>
      <c r="E383" s="182" t="s">
        <v>6</v>
      </c>
      <c r="F383" s="309">
        <v>1.0620000000000001</v>
      </c>
      <c r="G383" s="283">
        <f>VLOOKUP(D383,upahbahan,3,FALSE)</f>
        <v>135000</v>
      </c>
      <c r="H383" s="283">
        <f t="shared" si="38"/>
        <v>143370</v>
      </c>
    </row>
    <row r="384" spans="3:13" ht="25.8" customHeight="1">
      <c r="C384" s="876">
        <v>3</v>
      </c>
      <c r="D384" s="182" t="s">
        <v>18</v>
      </c>
      <c r="E384" s="182" t="s">
        <v>6</v>
      </c>
      <c r="F384" s="309">
        <v>0.106</v>
      </c>
      <c r="G384" s="283">
        <f>VLOOKUP(D384,upahbahan,3,FALSE)</f>
        <v>150000</v>
      </c>
      <c r="H384" s="283">
        <f t="shared" si="38"/>
        <v>15900</v>
      </c>
    </row>
    <row r="385" spans="3:13" ht="25.8" customHeight="1">
      <c r="C385" s="876">
        <v>4</v>
      </c>
      <c r="D385" s="182" t="s">
        <v>19</v>
      </c>
      <c r="E385" s="182" t="s">
        <v>6</v>
      </c>
      <c r="F385" s="309">
        <v>3.5000000000000003E-2</v>
      </c>
      <c r="G385" s="283">
        <f>VLOOKUP(D385,upahbahan,3,FALSE)</f>
        <v>160000</v>
      </c>
      <c r="H385" s="283">
        <f t="shared" si="38"/>
        <v>5600.0000000000009</v>
      </c>
    </row>
    <row r="386" spans="3:13" ht="25.8" customHeight="1">
      <c r="C386" s="450" t="s">
        <v>1208</v>
      </c>
      <c r="D386" s="67"/>
      <c r="E386" s="67"/>
      <c r="F386" s="142"/>
      <c r="G386" s="153"/>
      <c r="H386" s="283">
        <f>SUM(H382:H385)</f>
        <v>228470</v>
      </c>
      <c r="I386" s="319"/>
      <c r="J386" s="319"/>
      <c r="K386" s="319"/>
    </row>
    <row r="387" spans="3:13" ht="25.8" customHeight="1">
      <c r="C387" s="182" t="s">
        <v>1209</v>
      </c>
      <c r="D387" s="182" t="s">
        <v>1210</v>
      </c>
      <c r="E387" s="70"/>
      <c r="F387" s="70"/>
      <c r="G387" s="70"/>
      <c r="H387" s="70"/>
    </row>
    <row r="388" spans="3:13" ht="25.8" customHeight="1">
      <c r="C388" s="876">
        <v>1</v>
      </c>
      <c r="D388" s="182" t="s">
        <v>3623</v>
      </c>
      <c r="E388" s="291" t="s">
        <v>3182</v>
      </c>
      <c r="F388" s="327">
        <v>1.1499999999999999</v>
      </c>
      <c r="G388" s="283">
        <f>VLOOKUP(D388,upahbahan,3,FALSE)</f>
        <v>8397000</v>
      </c>
      <c r="H388" s="283">
        <f t="shared" ref="H388" si="39">F388*G388</f>
        <v>9656550</v>
      </c>
    </row>
    <row r="389" spans="3:13" ht="25.8" customHeight="1">
      <c r="C389" s="450" t="s">
        <v>1214</v>
      </c>
      <c r="D389" s="67"/>
      <c r="E389" s="67"/>
      <c r="F389" s="67"/>
      <c r="G389" s="69"/>
      <c r="H389" s="283">
        <f>SUM(H388:H388)</f>
        <v>9656550</v>
      </c>
    </row>
    <row r="390" spans="3:13" ht="25.8" customHeight="1">
      <c r="C390" s="176" t="s">
        <v>1215</v>
      </c>
      <c r="D390" s="182" t="s">
        <v>1216</v>
      </c>
      <c r="E390" s="70"/>
      <c r="F390" s="70"/>
      <c r="G390" s="70"/>
      <c r="H390" s="70"/>
    </row>
    <row r="391" spans="3:13" ht="25.8" customHeight="1">
      <c r="C391" s="450" t="s">
        <v>1217</v>
      </c>
      <c r="D391" s="67"/>
      <c r="E391" s="67"/>
      <c r="F391" s="67"/>
      <c r="G391" s="69"/>
      <c r="H391" s="871">
        <v>0</v>
      </c>
    </row>
    <row r="392" spans="3:13" ht="25.8" customHeight="1">
      <c r="C392" s="102" t="s">
        <v>1218</v>
      </c>
      <c r="D392" s="294" t="s">
        <v>1219</v>
      </c>
      <c r="E392" s="295"/>
      <c r="F392" s="295"/>
      <c r="G392" s="296"/>
      <c r="H392" s="872">
        <f>H391+H389+H386</f>
        <v>9885020</v>
      </c>
      <c r="I392" s="873"/>
    </row>
    <row r="393" spans="3:13" ht="25.8" customHeight="1">
      <c r="C393" s="102" t="s">
        <v>1220</v>
      </c>
      <c r="D393" s="294" t="s">
        <v>1321</v>
      </c>
      <c r="E393" s="295"/>
      <c r="F393" s="296"/>
      <c r="G393" s="298">
        <f>$O$199</f>
        <v>0.1</v>
      </c>
      <c r="H393" s="283">
        <f>H392*G393</f>
        <v>988502</v>
      </c>
      <c r="I393" s="873"/>
    </row>
    <row r="394" spans="3:13" ht="25.8" customHeight="1">
      <c r="C394" s="102" t="s">
        <v>1221</v>
      </c>
      <c r="D394" s="294" t="s">
        <v>1222</v>
      </c>
      <c r="E394" s="295"/>
      <c r="F394" s="295"/>
      <c r="G394" s="296"/>
      <c r="H394" s="874">
        <f>SUM(H392:H393)</f>
        <v>10873522</v>
      </c>
      <c r="I394" s="873"/>
    </row>
    <row r="395" spans="3:13" ht="25.8" customHeight="1"/>
    <row r="396" spans="3:13" ht="25.8" customHeight="1">
      <c r="C396" s="867" t="s">
        <v>3624</v>
      </c>
      <c r="D396" s="795" t="s">
        <v>3625</v>
      </c>
      <c r="E396" s="795"/>
      <c r="F396" s="795"/>
      <c r="G396" s="795"/>
      <c r="H396" s="795"/>
      <c r="I396" s="120">
        <f>ROUNDDOWN(H411,-2)</f>
        <v>12477800</v>
      </c>
      <c r="J396" s="120"/>
      <c r="K396" s="120"/>
      <c r="M396" s="475"/>
    </row>
    <row r="397" spans="3:13" ht="25.8" customHeight="1">
      <c r="C397" s="591" t="s">
        <v>1195</v>
      </c>
      <c r="D397" s="591" t="s">
        <v>1196</v>
      </c>
      <c r="E397" s="591" t="s">
        <v>1197</v>
      </c>
      <c r="F397" s="591" t="s">
        <v>1198</v>
      </c>
      <c r="G397" s="591" t="s">
        <v>1199</v>
      </c>
      <c r="H397" s="591" t="s">
        <v>1200</v>
      </c>
    </row>
    <row r="398" spans="3:13" ht="25.8" customHeight="1">
      <c r="C398" s="182" t="s">
        <v>1201</v>
      </c>
      <c r="D398" s="182" t="s">
        <v>1202</v>
      </c>
      <c r="E398" s="70"/>
      <c r="F398" s="70"/>
      <c r="G398" s="70"/>
      <c r="H398" s="70"/>
    </row>
    <row r="399" spans="3:13" ht="25.8" customHeight="1">
      <c r="C399" s="876">
        <v>1</v>
      </c>
      <c r="D399" s="182" t="s">
        <v>5</v>
      </c>
      <c r="E399" s="182" t="s">
        <v>6</v>
      </c>
      <c r="F399" s="309">
        <v>0.63600000000000001</v>
      </c>
      <c r="G399" s="283">
        <f>VLOOKUP(D399,upahbahan,3,FALSE)</f>
        <v>100000</v>
      </c>
      <c r="H399" s="283">
        <f t="shared" ref="H399:H402" si="40">F399*G399</f>
        <v>63600</v>
      </c>
    </row>
    <row r="400" spans="3:13" ht="25.8" customHeight="1">
      <c r="C400" s="876">
        <v>2</v>
      </c>
      <c r="D400" s="182" t="s">
        <v>3622</v>
      </c>
      <c r="E400" s="182" t="s">
        <v>6</v>
      </c>
      <c r="F400" s="309">
        <v>1.0620000000000001</v>
      </c>
      <c r="G400" s="283">
        <f>VLOOKUP(D400,upahbahan,3,FALSE)</f>
        <v>135000</v>
      </c>
      <c r="H400" s="283">
        <f t="shared" si="40"/>
        <v>143370</v>
      </c>
    </row>
    <row r="401" spans="3:13" ht="25.8" customHeight="1">
      <c r="C401" s="876">
        <v>3</v>
      </c>
      <c r="D401" s="182" t="s">
        <v>18</v>
      </c>
      <c r="E401" s="182" t="s">
        <v>6</v>
      </c>
      <c r="F401" s="309">
        <v>0.106</v>
      </c>
      <c r="G401" s="283">
        <f>VLOOKUP(D401,upahbahan,3,FALSE)</f>
        <v>150000</v>
      </c>
      <c r="H401" s="283">
        <f t="shared" si="40"/>
        <v>15900</v>
      </c>
    </row>
    <row r="402" spans="3:13" ht="25.8" customHeight="1">
      <c r="C402" s="876">
        <v>4</v>
      </c>
      <c r="D402" s="182" t="s">
        <v>19</v>
      </c>
      <c r="E402" s="182" t="s">
        <v>6</v>
      </c>
      <c r="F402" s="309">
        <v>3.5000000000000003E-2</v>
      </c>
      <c r="G402" s="283">
        <f>VLOOKUP(D402,upahbahan,3,FALSE)</f>
        <v>160000</v>
      </c>
      <c r="H402" s="283">
        <f t="shared" si="40"/>
        <v>5600.0000000000009</v>
      </c>
    </row>
    <row r="403" spans="3:13" ht="25.8" customHeight="1">
      <c r="C403" s="450" t="s">
        <v>1208</v>
      </c>
      <c r="D403" s="67"/>
      <c r="E403" s="67"/>
      <c r="F403" s="142"/>
      <c r="G403" s="153"/>
      <c r="H403" s="283">
        <f>SUM(H399:H402)</f>
        <v>228470</v>
      </c>
      <c r="I403" s="319"/>
      <c r="J403" s="319"/>
      <c r="K403" s="319"/>
    </row>
    <row r="404" spans="3:13" ht="25.8" customHeight="1">
      <c r="C404" s="182" t="s">
        <v>1209</v>
      </c>
      <c r="D404" s="182" t="s">
        <v>1210</v>
      </c>
      <c r="E404" s="70"/>
      <c r="F404" s="70"/>
      <c r="G404" s="70"/>
      <c r="H404" s="70"/>
    </row>
    <row r="405" spans="3:13" ht="25.8" customHeight="1">
      <c r="C405" s="876">
        <v>1</v>
      </c>
      <c r="D405" s="182" t="s">
        <v>3626</v>
      </c>
      <c r="E405" s="291" t="s">
        <v>3182</v>
      </c>
      <c r="F405" s="327">
        <v>1.3</v>
      </c>
      <c r="G405" s="283">
        <f>VLOOKUP(D405,upahbahan,3,FALSE)</f>
        <v>8550000</v>
      </c>
      <c r="H405" s="283">
        <f t="shared" ref="H405" si="41">F405*G405</f>
        <v>11115000</v>
      </c>
    </row>
    <row r="406" spans="3:13" ht="25.8" customHeight="1">
      <c r="C406" s="450" t="s">
        <v>1214</v>
      </c>
      <c r="D406" s="67"/>
      <c r="E406" s="67"/>
      <c r="F406" s="67"/>
      <c r="G406" s="69"/>
      <c r="H406" s="283">
        <f>SUM(H405:H405)</f>
        <v>11115000</v>
      </c>
    </row>
    <row r="407" spans="3:13" ht="25.8" customHeight="1">
      <c r="C407" s="176" t="s">
        <v>1215</v>
      </c>
      <c r="D407" s="182" t="s">
        <v>1216</v>
      </c>
      <c r="E407" s="70"/>
      <c r="F407" s="70"/>
      <c r="G407" s="70"/>
      <c r="H407" s="70"/>
    </row>
    <row r="408" spans="3:13" ht="25.8" customHeight="1">
      <c r="C408" s="450" t="s">
        <v>1217</v>
      </c>
      <c r="D408" s="67"/>
      <c r="E408" s="67"/>
      <c r="F408" s="67"/>
      <c r="G408" s="69"/>
      <c r="H408" s="871">
        <v>0</v>
      </c>
    </row>
    <row r="409" spans="3:13" ht="25.8" customHeight="1">
      <c r="C409" s="102" t="s">
        <v>1218</v>
      </c>
      <c r="D409" s="294" t="s">
        <v>1219</v>
      </c>
      <c r="E409" s="295"/>
      <c r="F409" s="295"/>
      <c r="G409" s="296"/>
      <c r="H409" s="872">
        <f>H408+H406+H403</f>
        <v>11343470</v>
      </c>
      <c r="I409" s="873"/>
    </row>
    <row r="410" spans="3:13" ht="25.8" customHeight="1">
      <c r="C410" s="102" t="s">
        <v>1220</v>
      </c>
      <c r="D410" s="294" t="s">
        <v>1321</v>
      </c>
      <c r="E410" s="295"/>
      <c r="F410" s="296"/>
      <c r="G410" s="298">
        <f>$O$199</f>
        <v>0.1</v>
      </c>
      <c r="H410" s="283">
        <f>H409*G410</f>
        <v>1134347</v>
      </c>
      <c r="I410" s="873"/>
    </row>
    <row r="411" spans="3:13" ht="25.8" customHeight="1">
      <c r="C411" s="102" t="s">
        <v>1221</v>
      </c>
      <c r="D411" s="294" t="s">
        <v>1222</v>
      </c>
      <c r="E411" s="295"/>
      <c r="F411" s="295"/>
      <c r="G411" s="296"/>
      <c r="H411" s="874">
        <f>SUM(H409:H410)</f>
        <v>12477817</v>
      </c>
      <c r="I411" s="873"/>
    </row>
    <row r="412" spans="3:13" ht="25.8" customHeight="1"/>
    <row r="413" spans="3:13" ht="25.8" customHeight="1">
      <c r="C413" s="867" t="s">
        <v>3627</v>
      </c>
      <c r="D413" s="795" t="s">
        <v>3628</v>
      </c>
      <c r="E413" s="795"/>
      <c r="F413" s="795"/>
      <c r="G413" s="795"/>
      <c r="H413" s="795"/>
      <c r="I413" s="120">
        <f>ROUNDDOWN(H428,-2)</f>
        <v>20777500</v>
      </c>
      <c r="J413" s="120"/>
      <c r="K413" s="120"/>
      <c r="M413" s="475"/>
    </row>
    <row r="414" spans="3:13" ht="25.8" customHeight="1">
      <c r="C414" s="591" t="s">
        <v>1195</v>
      </c>
      <c r="D414" s="591" t="s">
        <v>1196</v>
      </c>
      <c r="E414" s="591" t="s">
        <v>1197</v>
      </c>
      <c r="F414" s="591" t="s">
        <v>1198</v>
      </c>
      <c r="G414" s="591" t="s">
        <v>1199</v>
      </c>
      <c r="H414" s="591" t="s">
        <v>1200</v>
      </c>
    </row>
    <row r="415" spans="3:13" ht="25.8" customHeight="1">
      <c r="C415" s="182" t="s">
        <v>1201</v>
      </c>
      <c r="D415" s="182" t="s">
        <v>1202</v>
      </c>
      <c r="E415" s="70"/>
      <c r="F415" s="70"/>
      <c r="G415" s="70"/>
      <c r="H415" s="70"/>
    </row>
    <row r="416" spans="3:13" ht="25.8" customHeight="1">
      <c r="C416" s="876">
        <v>1</v>
      </c>
      <c r="D416" s="182" t="s">
        <v>5</v>
      </c>
      <c r="E416" s="182" t="s">
        <v>6</v>
      </c>
      <c r="F416" s="309">
        <v>1.012</v>
      </c>
      <c r="G416" s="283">
        <f>VLOOKUP(D416,upahbahan,3,FALSE)</f>
        <v>100000</v>
      </c>
      <c r="H416" s="283">
        <f t="shared" ref="H416:H419" si="42">F416*G416</f>
        <v>101200</v>
      </c>
    </row>
    <row r="417" spans="3:13" ht="25.8" customHeight="1">
      <c r="C417" s="876">
        <v>2</v>
      </c>
      <c r="D417" s="182" t="s">
        <v>3622</v>
      </c>
      <c r="E417" s="182" t="s">
        <v>6</v>
      </c>
      <c r="F417" s="309">
        <v>1.69</v>
      </c>
      <c r="G417" s="283">
        <f>VLOOKUP(D417,upahbahan,3,FALSE)</f>
        <v>135000</v>
      </c>
      <c r="H417" s="283">
        <f t="shared" si="42"/>
        <v>228150</v>
      </c>
    </row>
    <row r="418" spans="3:13" ht="25.8" customHeight="1">
      <c r="C418" s="876">
        <v>3</v>
      </c>
      <c r="D418" s="182" t="s">
        <v>18</v>
      </c>
      <c r="E418" s="182" t="s">
        <v>6</v>
      </c>
      <c r="F418" s="309">
        <v>0.16900000000000001</v>
      </c>
      <c r="G418" s="283">
        <f>VLOOKUP(D418,upahbahan,3,FALSE)</f>
        <v>150000</v>
      </c>
      <c r="H418" s="283">
        <f t="shared" si="42"/>
        <v>25350</v>
      </c>
    </row>
    <row r="419" spans="3:13" ht="25.8" customHeight="1">
      <c r="C419" s="876">
        <v>4</v>
      </c>
      <c r="D419" s="182" t="s">
        <v>19</v>
      </c>
      <c r="E419" s="182" t="s">
        <v>6</v>
      </c>
      <c r="F419" s="309">
        <v>5.6000000000000001E-2</v>
      </c>
      <c r="G419" s="283">
        <f>VLOOKUP(D419,upahbahan,3,FALSE)</f>
        <v>160000</v>
      </c>
      <c r="H419" s="283">
        <f t="shared" si="42"/>
        <v>8960</v>
      </c>
    </row>
    <row r="420" spans="3:13" ht="25.8" customHeight="1">
      <c r="C420" s="450" t="s">
        <v>1208</v>
      </c>
      <c r="D420" s="67"/>
      <c r="E420" s="67"/>
      <c r="F420" s="142"/>
      <c r="G420" s="153"/>
      <c r="H420" s="283">
        <f>SUM(H416:H419)</f>
        <v>363660</v>
      </c>
      <c r="I420" s="319"/>
      <c r="J420" s="319"/>
      <c r="K420" s="319"/>
    </row>
    <row r="421" spans="3:13" ht="25.8" customHeight="1">
      <c r="C421" s="182" t="s">
        <v>1209</v>
      </c>
      <c r="D421" s="182" t="s">
        <v>1210</v>
      </c>
      <c r="E421" s="70"/>
      <c r="F421" s="70"/>
      <c r="G421" s="70"/>
      <c r="H421" s="70"/>
    </row>
    <row r="422" spans="3:13" ht="25.8" customHeight="1">
      <c r="C422" s="876">
        <v>1</v>
      </c>
      <c r="D422" s="182" t="s">
        <v>3629</v>
      </c>
      <c r="E422" s="291" t="s">
        <v>3182</v>
      </c>
      <c r="F422" s="327">
        <v>1.3</v>
      </c>
      <c r="G422" s="283">
        <f>VLOOKUP(D422,upahbahan,3,FALSE)</f>
        <v>14250000</v>
      </c>
      <c r="H422" s="283">
        <f t="shared" ref="H422" si="43">F422*G422</f>
        <v>18525000</v>
      </c>
    </row>
    <row r="423" spans="3:13" ht="25.8" customHeight="1">
      <c r="C423" s="450" t="s">
        <v>1214</v>
      </c>
      <c r="D423" s="67"/>
      <c r="E423" s="67"/>
      <c r="F423" s="67"/>
      <c r="G423" s="69"/>
      <c r="H423" s="283">
        <f>SUM(H422:H422)</f>
        <v>18525000</v>
      </c>
    </row>
    <row r="424" spans="3:13" ht="25.8" customHeight="1">
      <c r="C424" s="176" t="s">
        <v>1215</v>
      </c>
      <c r="D424" s="182" t="s">
        <v>1216</v>
      </c>
      <c r="E424" s="70"/>
      <c r="F424" s="70"/>
      <c r="G424" s="70"/>
      <c r="H424" s="70"/>
    </row>
    <row r="425" spans="3:13" ht="25.8" customHeight="1">
      <c r="C425" s="450" t="s">
        <v>1217</v>
      </c>
      <c r="D425" s="67"/>
      <c r="E425" s="67"/>
      <c r="F425" s="67"/>
      <c r="G425" s="69"/>
      <c r="H425" s="871">
        <v>0</v>
      </c>
    </row>
    <row r="426" spans="3:13" ht="25.8" customHeight="1">
      <c r="C426" s="102" t="s">
        <v>1218</v>
      </c>
      <c r="D426" s="294" t="s">
        <v>1219</v>
      </c>
      <c r="E426" s="295"/>
      <c r="F426" s="295"/>
      <c r="G426" s="296"/>
      <c r="H426" s="872">
        <f>H425+H423+H420</f>
        <v>18888660</v>
      </c>
      <c r="I426" s="873"/>
    </row>
    <row r="427" spans="3:13" ht="25.8" customHeight="1">
      <c r="C427" s="102" t="s">
        <v>1220</v>
      </c>
      <c r="D427" s="294" t="s">
        <v>1321</v>
      </c>
      <c r="E427" s="295"/>
      <c r="F427" s="296"/>
      <c r="G427" s="298">
        <f>$O$199</f>
        <v>0.1</v>
      </c>
      <c r="H427" s="283">
        <f>H426*G427</f>
        <v>1888866</v>
      </c>
      <c r="I427" s="873"/>
    </row>
    <row r="428" spans="3:13" ht="25.8" customHeight="1">
      <c r="C428" s="102" t="s">
        <v>1221</v>
      </c>
      <c r="D428" s="294" t="s">
        <v>1222</v>
      </c>
      <c r="E428" s="295"/>
      <c r="F428" s="295"/>
      <c r="G428" s="296"/>
      <c r="H428" s="874">
        <f>SUM(H426:H427)</f>
        <v>20777526</v>
      </c>
      <c r="I428" s="873"/>
    </row>
    <row r="429" spans="3:13" ht="25.8" customHeight="1"/>
    <row r="430" spans="3:13" ht="25.8" customHeight="1">
      <c r="C430" s="867" t="s">
        <v>3630</v>
      </c>
      <c r="D430" s="795" t="s">
        <v>3631</v>
      </c>
      <c r="E430" s="795"/>
      <c r="F430" s="795"/>
      <c r="G430" s="795"/>
      <c r="H430" s="795"/>
      <c r="I430" s="120">
        <f>ROUNDDOWN(H445,-2)</f>
        <v>21337400</v>
      </c>
      <c r="J430" s="120"/>
      <c r="K430" s="120"/>
      <c r="M430" s="475"/>
    </row>
    <row r="431" spans="3:13" ht="25.8" customHeight="1">
      <c r="C431" s="591" t="s">
        <v>1195</v>
      </c>
      <c r="D431" s="591" t="s">
        <v>1196</v>
      </c>
      <c r="E431" s="591" t="s">
        <v>1197</v>
      </c>
      <c r="F431" s="591" t="s">
        <v>1198</v>
      </c>
      <c r="G431" s="591" t="s">
        <v>1199</v>
      </c>
      <c r="H431" s="591" t="s">
        <v>1200</v>
      </c>
    </row>
    <row r="432" spans="3:13" ht="25.8" customHeight="1">
      <c r="C432" s="182" t="s">
        <v>1201</v>
      </c>
      <c r="D432" s="182" t="s">
        <v>1202</v>
      </c>
      <c r="E432" s="70"/>
      <c r="F432" s="70"/>
      <c r="G432" s="70"/>
      <c r="H432" s="70"/>
    </row>
    <row r="433" spans="3:13" ht="25.8" customHeight="1">
      <c r="C433" s="876">
        <v>1</v>
      </c>
      <c r="D433" s="182" t="s">
        <v>5</v>
      </c>
      <c r="E433" s="182" t="s">
        <v>6</v>
      </c>
      <c r="F433" s="309">
        <v>1.524</v>
      </c>
      <c r="G433" s="283">
        <f>VLOOKUP(D433,upahbahan,3,FALSE)</f>
        <v>100000</v>
      </c>
      <c r="H433" s="283">
        <f t="shared" ref="H433:H436" si="44">F433*G433</f>
        <v>152400</v>
      </c>
    </row>
    <row r="434" spans="3:13" ht="25.8" customHeight="1">
      <c r="C434" s="876">
        <v>2</v>
      </c>
      <c r="D434" s="182" t="s">
        <v>3622</v>
      </c>
      <c r="E434" s="182" t="s">
        <v>6</v>
      </c>
      <c r="F434" s="309">
        <v>2.5449999999999999</v>
      </c>
      <c r="G434" s="283">
        <f>VLOOKUP(D434,upahbahan,3,FALSE)</f>
        <v>135000</v>
      </c>
      <c r="H434" s="283">
        <f t="shared" si="44"/>
        <v>343575</v>
      </c>
    </row>
    <row r="435" spans="3:13" ht="25.8" customHeight="1">
      <c r="C435" s="876">
        <v>3</v>
      </c>
      <c r="D435" s="182" t="s">
        <v>18</v>
      </c>
      <c r="E435" s="182" t="s">
        <v>6</v>
      </c>
      <c r="F435" s="309">
        <v>0.254</v>
      </c>
      <c r="G435" s="283">
        <f>VLOOKUP(D435,upahbahan,3,FALSE)</f>
        <v>150000</v>
      </c>
      <c r="H435" s="283">
        <f t="shared" si="44"/>
        <v>38100</v>
      </c>
    </row>
    <row r="436" spans="3:13" ht="25.8" customHeight="1">
      <c r="C436" s="876">
        <v>4</v>
      </c>
      <c r="D436" s="182" t="s">
        <v>19</v>
      </c>
      <c r="E436" s="182" t="s">
        <v>6</v>
      </c>
      <c r="F436" s="309">
        <v>8.5000000000000006E-2</v>
      </c>
      <c r="G436" s="283">
        <f>VLOOKUP(D436,upahbahan,3,FALSE)</f>
        <v>160000</v>
      </c>
      <c r="H436" s="283">
        <f t="shared" si="44"/>
        <v>13600.000000000002</v>
      </c>
    </row>
    <row r="437" spans="3:13" ht="25.8" customHeight="1">
      <c r="C437" s="450" t="s">
        <v>1208</v>
      </c>
      <c r="D437" s="67"/>
      <c r="E437" s="67"/>
      <c r="F437" s="142"/>
      <c r="G437" s="153"/>
      <c r="H437" s="283">
        <f>SUM(H433:H436)</f>
        <v>547675</v>
      </c>
      <c r="I437" s="319"/>
      <c r="J437" s="319"/>
      <c r="K437" s="319"/>
    </row>
    <row r="438" spans="3:13" ht="25.8" customHeight="1">
      <c r="C438" s="182" t="s">
        <v>1209</v>
      </c>
      <c r="D438" s="182" t="s">
        <v>1210</v>
      </c>
      <c r="E438" s="70"/>
      <c r="F438" s="70"/>
      <c r="G438" s="70"/>
      <c r="H438" s="70"/>
    </row>
    <row r="439" spans="3:13" ht="25.8" customHeight="1">
      <c r="C439" s="876">
        <v>1</v>
      </c>
      <c r="D439" s="182" t="s">
        <v>3632</v>
      </c>
      <c r="E439" s="291" t="s">
        <v>3182</v>
      </c>
      <c r="F439" s="327">
        <v>1.3</v>
      </c>
      <c r="G439" s="283">
        <f>VLOOKUP(D439,upahbahan,3,FALSE)</f>
        <v>14500000</v>
      </c>
      <c r="H439" s="283">
        <f t="shared" ref="H439" si="45">F439*G439</f>
        <v>18850000</v>
      </c>
    </row>
    <row r="440" spans="3:13" ht="25.8" customHeight="1">
      <c r="C440" s="450" t="s">
        <v>1214</v>
      </c>
      <c r="D440" s="67"/>
      <c r="E440" s="67"/>
      <c r="F440" s="67"/>
      <c r="G440" s="69"/>
      <c r="H440" s="283">
        <f>SUM(H439:H439)</f>
        <v>18850000</v>
      </c>
    </row>
    <row r="441" spans="3:13" ht="25.8" customHeight="1">
      <c r="C441" s="176" t="s">
        <v>1215</v>
      </c>
      <c r="D441" s="182" t="s">
        <v>1216</v>
      </c>
      <c r="E441" s="70"/>
      <c r="F441" s="70"/>
      <c r="G441" s="70"/>
      <c r="H441" s="70"/>
    </row>
    <row r="442" spans="3:13" ht="25.8" customHeight="1">
      <c r="C442" s="450" t="s">
        <v>1217</v>
      </c>
      <c r="D442" s="67"/>
      <c r="E442" s="67"/>
      <c r="F442" s="67"/>
      <c r="G442" s="69"/>
      <c r="H442" s="871">
        <v>0</v>
      </c>
    </row>
    <row r="443" spans="3:13" ht="25.8" customHeight="1">
      <c r="C443" s="102" t="s">
        <v>1218</v>
      </c>
      <c r="D443" s="294" t="s">
        <v>1219</v>
      </c>
      <c r="E443" s="295"/>
      <c r="F443" s="295"/>
      <c r="G443" s="296"/>
      <c r="H443" s="872">
        <f>H442+H440+H437</f>
        <v>19397675</v>
      </c>
      <c r="I443" s="873"/>
    </row>
    <row r="444" spans="3:13" ht="25.8" customHeight="1">
      <c r="C444" s="102" t="s">
        <v>1220</v>
      </c>
      <c r="D444" s="294" t="s">
        <v>1321</v>
      </c>
      <c r="E444" s="295"/>
      <c r="F444" s="296"/>
      <c r="G444" s="298">
        <f>$O$199</f>
        <v>0.1</v>
      </c>
      <c r="H444" s="283">
        <f>H443*G444</f>
        <v>1939767.5</v>
      </c>
      <c r="I444" s="873"/>
    </row>
    <row r="445" spans="3:13" ht="25.8" customHeight="1">
      <c r="C445" s="102" t="s">
        <v>1221</v>
      </c>
      <c r="D445" s="294" t="s">
        <v>1222</v>
      </c>
      <c r="E445" s="295"/>
      <c r="F445" s="295"/>
      <c r="G445" s="296"/>
      <c r="H445" s="874">
        <f>SUM(H443:H444)</f>
        <v>21337442.5</v>
      </c>
      <c r="I445" s="873"/>
    </row>
    <row r="446" spans="3:13" ht="25.8" customHeight="1"/>
    <row r="447" spans="3:13" ht="25.8" customHeight="1"/>
    <row r="448" spans="3:13" ht="25.8" customHeight="1">
      <c r="C448" s="867" t="s">
        <v>3633</v>
      </c>
      <c r="D448" s="795" t="s">
        <v>3634</v>
      </c>
      <c r="E448" s="795"/>
      <c r="F448" s="795"/>
      <c r="G448" s="795"/>
      <c r="H448" s="795"/>
      <c r="I448" s="120">
        <f>ROUNDDOWN(H463,-2)</f>
        <v>22967100</v>
      </c>
      <c r="J448" s="120"/>
      <c r="K448" s="120"/>
      <c r="M448" s="475"/>
    </row>
    <row r="449" spans="3:11" ht="25.8" customHeight="1">
      <c r="C449" s="591" t="s">
        <v>1195</v>
      </c>
      <c r="D449" s="591" t="s">
        <v>1196</v>
      </c>
      <c r="E449" s="591" t="s">
        <v>1197</v>
      </c>
      <c r="F449" s="591" t="s">
        <v>1198</v>
      </c>
      <c r="G449" s="591" t="s">
        <v>1199</v>
      </c>
      <c r="H449" s="591" t="s">
        <v>1200</v>
      </c>
    </row>
    <row r="450" spans="3:11" ht="25.8" customHeight="1">
      <c r="C450" s="182" t="s">
        <v>1201</v>
      </c>
      <c r="D450" s="182" t="s">
        <v>1202</v>
      </c>
      <c r="E450" s="70"/>
      <c r="F450" s="70"/>
      <c r="G450" s="70"/>
      <c r="H450" s="70"/>
    </row>
    <row r="451" spans="3:11" ht="25.8" customHeight="1">
      <c r="C451" s="876">
        <v>1</v>
      </c>
      <c r="D451" s="182" t="s">
        <v>5</v>
      </c>
      <c r="E451" s="182" t="s">
        <v>6</v>
      </c>
      <c r="F451" s="309">
        <v>2.0289999999999999</v>
      </c>
      <c r="G451" s="283">
        <f>VLOOKUP(D451,upahbahan,3,FALSE)</f>
        <v>100000</v>
      </c>
      <c r="H451" s="283">
        <f t="shared" ref="H451:H454" si="46">F451*G451</f>
        <v>202900</v>
      </c>
    </row>
    <row r="452" spans="3:11" ht="25.8" customHeight="1">
      <c r="C452" s="876">
        <v>2</v>
      </c>
      <c r="D452" s="182" t="s">
        <v>3622</v>
      </c>
      <c r="E452" s="182" t="s">
        <v>6</v>
      </c>
      <c r="F452" s="309">
        <v>3.3879999999999999</v>
      </c>
      <c r="G452" s="283">
        <f>VLOOKUP(D452,upahbahan,3,FALSE)</f>
        <v>135000</v>
      </c>
      <c r="H452" s="283">
        <f t="shared" si="46"/>
        <v>457380</v>
      </c>
    </row>
    <row r="453" spans="3:11" ht="25.8" customHeight="1">
      <c r="C453" s="876">
        <v>3</v>
      </c>
      <c r="D453" s="182" t="s">
        <v>18</v>
      </c>
      <c r="E453" s="182" t="s">
        <v>6</v>
      </c>
      <c r="F453" s="309">
        <v>0.33900000000000002</v>
      </c>
      <c r="G453" s="283">
        <f>VLOOKUP(D453,upahbahan,3,FALSE)</f>
        <v>150000</v>
      </c>
      <c r="H453" s="283">
        <f t="shared" si="46"/>
        <v>50850</v>
      </c>
    </row>
    <row r="454" spans="3:11" ht="25.8" customHeight="1">
      <c r="C454" s="876">
        <v>4</v>
      </c>
      <c r="D454" s="182" t="s">
        <v>19</v>
      </c>
      <c r="E454" s="182" t="s">
        <v>6</v>
      </c>
      <c r="F454" s="309">
        <v>0.113</v>
      </c>
      <c r="G454" s="283">
        <f>VLOOKUP(D454,upahbahan,3,FALSE)</f>
        <v>160000</v>
      </c>
      <c r="H454" s="283">
        <f t="shared" si="46"/>
        <v>18080</v>
      </c>
    </row>
    <row r="455" spans="3:11" ht="25.8" customHeight="1">
      <c r="C455" s="450" t="s">
        <v>1208</v>
      </c>
      <c r="D455" s="67"/>
      <c r="E455" s="67"/>
      <c r="F455" s="142"/>
      <c r="G455" s="153"/>
      <c r="H455" s="283">
        <f>SUM(H451:H454)</f>
        <v>729210</v>
      </c>
      <c r="I455" s="319"/>
      <c r="J455" s="319"/>
      <c r="K455" s="319"/>
    </row>
    <row r="456" spans="3:11" ht="25.8" customHeight="1">
      <c r="C456" s="182" t="s">
        <v>1209</v>
      </c>
      <c r="D456" s="182" t="s">
        <v>1210</v>
      </c>
      <c r="E456" s="70"/>
      <c r="F456" s="70"/>
      <c r="G456" s="70"/>
      <c r="H456" s="70"/>
    </row>
    <row r="457" spans="3:11" ht="25.8" customHeight="1">
      <c r="C457" s="876">
        <v>1</v>
      </c>
      <c r="D457" s="182" t="s">
        <v>3635</v>
      </c>
      <c r="E457" s="291" t="s">
        <v>3182</v>
      </c>
      <c r="F457" s="327">
        <v>1.3</v>
      </c>
      <c r="G457" s="283">
        <f>VLOOKUP(D457,upahbahan,3,FALSE)</f>
        <v>15500000</v>
      </c>
      <c r="H457" s="283">
        <f t="shared" ref="H457" si="47">F457*G457</f>
        <v>20150000</v>
      </c>
    </row>
    <row r="458" spans="3:11" ht="25.8" customHeight="1">
      <c r="C458" s="450" t="s">
        <v>1214</v>
      </c>
      <c r="D458" s="67"/>
      <c r="E458" s="67"/>
      <c r="F458" s="67"/>
      <c r="G458" s="69"/>
      <c r="H458" s="283">
        <f>SUM(H457:H457)</f>
        <v>20150000</v>
      </c>
    </row>
    <row r="459" spans="3:11" ht="25.8" customHeight="1">
      <c r="C459" s="176" t="s">
        <v>1215</v>
      </c>
      <c r="D459" s="182" t="s">
        <v>1216</v>
      </c>
      <c r="E459" s="70"/>
      <c r="F459" s="70"/>
      <c r="G459" s="70"/>
      <c r="H459" s="70"/>
    </row>
    <row r="460" spans="3:11" ht="25.8" customHeight="1">
      <c r="C460" s="450" t="s">
        <v>1217</v>
      </c>
      <c r="D460" s="67"/>
      <c r="E460" s="67"/>
      <c r="F460" s="67"/>
      <c r="G460" s="69"/>
      <c r="H460" s="871">
        <v>0</v>
      </c>
    </row>
    <row r="461" spans="3:11" ht="25.8" customHeight="1">
      <c r="C461" s="102" t="s">
        <v>1218</v>
      </c>
      <c r="D461" s="294" t="s">
        <v>1219</v>
      </c>
      <c r="E461" s="295"/>
      <c r="F461" s="295"/>
      <c r="G461" s="296"/>
      <c r="H461" s="872">
        <f>H460+H458+H455</f>
        <v>20879210</v>
      </c>
      <c r="I461" s="873"/>
    </row>
    <row r="462" spans="3:11" ht="25.8" customHeight="1">
      <c r="C462" s="102" t="s">
        <v>1220</v>
      </c>
      <c r="D462" s="294" t="s">
        <v>1321</v>
      </c>
      <c r="E462" s="295"/>
      <c r="F462" s="296"/>
      <c r="G462" s="298">
        <f>$O$199</f>
        <v>0.1</v>
      </c>
      <c r="H462" s="283">
        <f>H461*G462</f>
        <v>2087921</v>
      </c>
      <c r="I462" s="873"/>
    </row>
    <row r="463" spans="3:11" ht="25.8" customHeight="1">
      <c r="C463" s="102" t="s">
        <v>1221</v>
      </c>
      <c r="D463" s="294" t="s">
        <v>1222</v>
      </c>
      <c r="E463" s="295"/>
      <c r="F463" s="295"/>
      <c r="G463" s="296"/>
      <c r="H463" s="874">
        <f>SUM(H461:H462)</f>
        <v>22967131</v>
      </c>
      <c r="I463" s="873"/>
    </row>
    <row r="464" spans="3:11" ht="25.8" customHeight="1"/>
    <row r="465" spans="3:13" ht="25.8" customHeight="1"/>
    <row r="466" spans="3:13" ht="25.8" customHeight="1">
      <c r="C466" s="867" t="s">
        <v>3636</v>
      </c>
      <c r="D466" s="1931" t="s">
        <v>3637</v>
      </c>
      <c r="E466" s="1931"/>
      <c r="F466" s="1931"/>
      <c r="G466" s="1931"/>
      <c r="H466" s="1931"/>
      <c r="I466" s="120">
        <f>ROUNDDOWN(H481,-2)</f>
        <v>29495500</v>
      </c>
      <c r="J466" s="120"/>
      <c r="K466" s="120"/>
      <c r="M466" s="475"/>
    </row>
    <row r="467" spans="3:13" ht="25.8" customHeight="1">
      <c r="C467" s="591" t="s">
        <v>1195</v>
      </c>
      <c r="D467" s="591" t="s">
        <v>1196</v>
      </c>
      <c r="E467" s="591" t="s">
        <v>1197</v>
      </c>
      <c r="F467" s="591" t="s">
        <v>1198</v>
      </c>
      <c r="G467" s="591" t="s">
        <v>1199</v>
      </c>
      <c r="H467" s="591" t="s">
        <v>1200</v>
      </c>
    </row>
    <row r="468" spans="3:13" ht="25.8" customHeight="1">
      <c r="C468" s="182" t="s">
        <v>1201</v>
      </c>
      <c r="D468" s="182" t="s">
        <v>1202</v>
      </c>
      <c r="E468" s="70"/>
      <c r="F468" s="70"/>
      <c r="G468" s="70"/>
      <c r="H468" s="70"/>
    </row>
    <row r="469" spans="3:13" ht="25.8" customHeight="1">
      <c r="C469" s="876">
        <v>1</v>
      </c>
      <c r="D469" s="182" t="s">
        <v>5</v>
      </c>
      <c r="E469" s="182" t="s">
        <v>6</v>
      </c>
      <c r="F469" s="309">
        <v>0.45700000000000002</v>
      </c>
      <c r="G469" s="283">
        <f>VLOOKUP(D469,upahbahan,3,FALSE)</f>
        <v>100000</v>
      </c>
      <c r="H469" s="283">
        <f t="shared" ref="H469:H472" si="48">F469*G469</f>
        <v>45700</v>
      </c>
    </row>
    <row r="470" spans="3:13" ht="25.8" customHeight="1">
      <c r="C470" s="876">
        <v>2</v>
      </c>
      <c r="D470" s="182" t="s">
        <v>3622</v>
      </c>
      <c r="E470" s="182" t="s">
        <v>6</v>
      </c>
      <c r="F470" s="309">
        <v>0.76300000000000001</v>
      </c>
      <c r="G470" s="283">
        <f>VLOOKUP(D470,upahbahan,3,FALSE)</f>
        <v>135000</v>
      </c>
      <c r="H470" s="283">
        <f t="shared" si="48"/>
        <v>103005</v>
      </c>
    </row>
    <row r="471" spans="3:13" ht="25.8" customHeight="1">
      <c r="C471" s="876">
        <v>3</v>
      </c>
      <c r="D471" s="182" t="s">
        <v>18</v>
      </c>
      <c r="E471" s="182" t="s">
        <v>6</v>
      </c>
      <c r="F471" s="309">
        <v>7.5999999999999998E-2</v>
      </c>
      <c r="G471" s="283">
        <f>VLOOKUP(D471,upahbahan,3,FALSE)</f>
        <v>150000</v>
      </c>
      <c r="H471" s="283">
        <f t="shared" si="48"/>
        <v>11400</v>
      </c>
    </row>
    <row r="472" spans="3:13" ht="25.8" customHeight="1">
      <c r="C472" s="876">
        <v>4</v>
      </c>
      <c r="D472" s="182" t="s">
        <v>19</v>
      </c>
      <c r="E472" s="182" t="s">
        <v>6</v>
      </c>
      <c r="F472" s="309">
        <v>2.5000000000000001E-2</v>
      </c>
      <c r="G472" s="283">
        <f>VLOOKUP(D472,upahbahan,3,FALSE)</f>
        <v>160000</v>
      </c>
      <c r="H472" s="283">
        <f t="shared" si="48"/>
        <v>4000</v>
      </c>
    </row>
    <row r="473" spans="3:13" ht="25.8" customHeight="1">
      <c r="C473" s="450" t="s">
        <v>1208</v>
      </c>
      <c r="D473" s="67"/>
      <c r="E473" s="67"/>
      <c r="F473" s="142"/>
      <c r="G473" s="153"/>
      <c r="H473" s="283">
        <f>SUM(H469:H472)</f>
        <v>164105</v>
      </c>
      <c r="I473" s="319"/>
      <c r="J473" s="319"/>
      <c r="K473" s="319"/>
    </row>
    <row r="474" spans="3:13" ht="25.8" customHeight="1">
      <c r="C474" s="182" t="s">
        <v>1209</v>
      </c>
      <c r="D474" s="182" t="s">
        <v>1210</v>
      </c>
      <c r="E474" s="70"/>
      <c r="F474" s="70"/>
      <c r="G474" s="70"/>
      <c r="H474" s="70"/>
    </row>
    <row r="475" spans="3:13" ht="25.8" customHeight="1">
      <c r="C475" s="876">
        <v>1</v>
      </c>
      <c r="D475" s="182" t="s">
        <v>3638</v>
      </c>
      <c r="E475" s="291" t="s">
        <v>3182</v>
      </c>
      <c r="F475" s="327">
        <v>1.3</v>
      </c>
      <c r="G475" s="283">
        <f>VLOOKUP(D475,upahbahan,3,FALSE)</f>
        <v>20500000</v>
      </c>
      <c r="H475" s="283">
        <f t="shared" ref="H475" si="49">F475*G475</f>
        <v>26650000</v>
      </c>
    </row>
    <row r="476" spans="3:13" ht="25.8" customHeight="1">
      <c r="C476" s="450" t="s">
        <v>1214</v>
      </c>
      <c r="D476" s="67"/>
      <c r="E476" s="67"/>
      <c r="F476" s="67"/>
      <c r="G476" s="69"/>
      <c r="H476" s="283">
        <f>SUM(H475:H475)</f>
        <v>26650000</v>
      </c>
    </row>
    <row r="477" spans="3:13" ht="25.8" customHeight="1">
      <c r="C477" s="176" t="s">
        <v>1215</v>
      </c>
      <c r="D477" s="182" t="s">
        <v>1216</v>
      </c>
      <c r="E477" s="70"/>
      <c r="F477" s="70"/>
      <c r="G477" s="70"/>
      <c r="H477" s="70"/>
    </row>
    <row r="478" spans="3:13" ht="25.8" customHeight="1">
      <c r="C478" s="450" t="s">
        <v>1217</v>
      </c>
      <c r="D478" s="67"/>
      <c r="E478" s="67"/>
      <c r="F478" s="67"/>
      <c r="G478" s="69"/>
      <c r="H478" s="871">
        <v>0</v>
      </c>
    </row>
    <row r="479" spans="3:13" ht="25.8" customHeight="1">
      <c r="C479" s="102" t="s">
        <v>1218</v>
      </c>
      <c r="D479" s="294" t="s">
        <v>1219</v>
      </c>
      <c r="E479" s="295"/>
      <c r="F479" s="295"/>
      <c r="G479" s="296"/>
      <c r="H479" s="872">
        <f>H478+H476+H473</f>
        <v>26814105</v>
      </c>
      <c r="I479" s="873"/>
    </row>
    <row r="480" spans="3:13" ht="25.8" customHeight="1">
      <c r="C480" s="102" t="s">
        <v>1220</v>
      </c>
      <c r="D480" s="294" t="s">
        <v>1321</v>
      </c>
      <c r="E480" s="295"/>
      <c r="F480" s="296"/>
      <c r="G480" s="298">
        <f>$O$199</f>
        <v>0.1</v>
      </c>
      <c r="H480" s="283">
        <f>H479*G480</f>
        <v>2681410.5</v>
      </c>
      <c r="I480" s="873"/>
    </row>
    <row r="481" spans="3:13" ht="25.8" customHeight="1">
      <c r="C481" s="102" t="s">
        <v>1221</v>
      </c>
      <c r="D481" s="294" t="s">
        <v>1222</v>
      </c>
      <c r="E481" s="295"/>
      <c r="F481" s="295"/>
      <c r="G481" s="296"/>
      <c r="H481" s="874">
        <f>SUM(H479:H480)</f>
        <v>29495515.5</v>
      </c>
      <c r="I481" s="873"/>
    </row>
    <row r="482" spans="3:13" ht="25.8" customHeight="1"/>
    <row r="483" spans="3:13" ht="25.8" customHeight="1">
      <c r="C483" s="867" t="s">
        <v>3639</v>
      </c>
      <c r="D483" s="1931" t="s">
        <v>3640</v>
      </c>
      <c r="E483" s="1931"/>
      <c r="F483" s="1931"/>
      <c r="G483" s="1931"/>
      <c r="H483" s="1931"/>
      <c r="I483" s="120">
        <f>ROUNDDOWN(H498,-2)</f>
        <v>30126900</v>
      </c>
      <c r="J483" s="120"/>
      <c r="K483" s="120"/>
      <c r="M483" s="475"/>
    </row>
    <row r="484" spans="3:13" ht="25.8" customHeight="1">
      <c r="C484" s="591" t="s">
        <v>1195</v>
      </c>
      <c r="D484" s="591" t="s">
        <v>1196</v>
      </c>
      <c r="E484" s="591" t="s">
        <v>1197</v>
      </c>
      <c r="F484" s="591" t="s">
        <v>1198</v>
      </c>
      <c r="G484" s="591" t="s">
        <v>1199</v>
      </c>
      <c r="H484" s="591" t="s">
        <v>1200</v>
      </c>
    </row>
    <row r="485" spans="3:13" ht="25.8" customHeight="1">
      <c r="C485" s="182" t="s">
        <v>1201</v>
      </c>
      <c r="D485" s="182" t="s">
        <v>1202</v>
      </c>
      <c r="E485" s="70"/>
      <c r="F485" s="70"/>
      <c r="G485" s="70"/>
      <c r="H485" s="70"/>
    </row>
    <row r="486" spans="3:13" ht="25.8" customHeight="1">
      <c r="C486" s="876">
        <v>1</v>
      </c>
      <c r="D486" s="182" t="s">
        <v>5</v>
      </c>
      <c r="E486" s="182" t="s">
        <v>6</v>
      </c>
      <c r="F486" s="309">
        <v>0.60699999999999998</v>
      </c>
      <c r="G486" s="283">
        <f>VLOOKUP(D486,upahbahan,3,FALSE)</f>
        <v>100000</v>
      </c>
      <c r="H486" s="283">
        <f t="shared" ref="H486:H489" si="50">F486*G486</f>
        <v>60700</v>
      </c>
    </row>
    <row r="487" spans="3:13" ht="25.8" customHeight="1">
      <c r="C487" s="876">
        <v>2</v>
      </c>
      <c r="D487" s="182" t="s">
        <v>3622</v>
      </c>
      <c r="E487" s="182" t="s">
        <v>6</v>
      </c>
      <c r="F487" s="309">
        <v>1.014</v>
      </c>
      <c r="G487" s="283">
        <f>VLOOKUP(D487,upahbahan,3,FALSE)</f>
        <v>135000</v>
      </c>
      <c r="H487" s="283">
        <f t="shared" si="50"/>
        <v>136890</v>
      </c>
    </row>
    <row r="488" spans="3:13" ht="25.8" customHeight="1">
      <c r="C488" s="876">
        <v>3</v>
      </c>
      <c r="D488" s="182" t="s">
        <v>18</v>
      </c>
      <c r="E488" s="182" t="s">
        <v>6</v>
      </c>
      <c r="F488" s="309">
        <v>0.10100000000000001</v>
      </c>
      <c r="G488" s="283">
        <f>VLOOKUP(D488,upahbahan,3,FALSE)</f>
        <v>150000</v>
      </c>
      <c r="H488" s="283">
        <f t="shared" si="50"/>
        <v>15150.000000000002</v>
      </c>
    </row>
    <row r="489" spans="3:13" ht="25.8" customHeight="1">
      <c r="C489" s="876">
        <v>4</v>
      </c>
      <c r="D489" s="182" t="s">
        <v>19</v>
      </c>
      <c r="E489" s="182" t="s">
        <v>6</v>
      </c>
      <c r="F489" s="309">
        <v>3.4000000000000002E-2</v>
      </c>
      <c r="G489" s="283">
        <f>VLOOKUP(D489,upahbahan,3,FALSE)</f>
        <v>160000</v>
      </c>
      <c r="H489" s="283">
        <f t="shared" si="50"/>
        <v>5440</v>
      </c>
    </row>
    <row r="490" spans="3:13" ht="25.8" customHeight="1">
      <c r="C490" s="450" t="s">
        <v>1208</v>
      </c>
      <c r="D490" s="67"/>
      <c r="E490" s="67"/>
      <c r="F490" s="142"/>
      <c r="G490" s="153"/>
      <c r="H490" s="283">
        <f>SUM(H486:H489)</f>
        <v>218180</v>
      </c>
      <c r="I490" s="319"/>
      <c r="J490" s="319"/>
      <c r="K490" s="319"/>
    </row>
    <row r="491" spans="3:13" ht="25.8" customHeight="1">
      <c r="C491" s="182" t="s">
        <v>1209</v>
      </c>
      <c r="D491" s="182" t="s">
        <v>1210</v>
      </c>
      <c r="E491" s="70"/>
      <c r="F491" s="70"/>
      <c r="G491" s="70"/>
      <c r="H491" s="70"/>
    </row>
    <row r="492" spans="3:13" ht="25.8" customHeight="1">
      <c r="C492" s="876">
        <v>1</v>
      </c>
      <c r="D492" s="182" t="s">
        <v>3641</v>
      </c>
      <c r="E492" s="291" t="s">
        <v>3182</v>
      </c>
      <c r="F492" s="327">
        <v>1.3</v>
      </c>
      <c r="G492" s="283">
        <f>VLOOKUP(D492,upahbahan,3,FALSE)</f>
        <v>20900000</v>
      </c>
      <c r="H492" s="283">
        <f t="shared" ref="H492" si="51">F492*G492</f>
        <v>27170000</v>
      </c>
    </row>
    <row r="493" spans="3:13" ht="25.8" customHeight="1">
      <c r="C493" s="450" t="s">
        <v>1214</v>
      </c>
      <c r="D493" s="67"/>
      <c r="E493" s="67"/>
      <c r="F493" s="67"/>
      <c r="G493" s="69"/>
      <c r="H493" s="283">
        <f>SUM(H492:H492)</f>
        <v>27170000</v>
      </c>
    </row>
    <row r="494" spans="3:13" ht="25.8" customHeight="1">
      <c r="C494" s="176" t="s">
        <v>1215</v>
      </c>
      <c r="D494" s="182" t="s">
        <v>1216</v>
      </c>
      <c r="E494" s="70"/>
      <c r="F494" s="70"/>
      <c r="G494" s="70"/>
      <c r="H494" s="70"/>
    </row>
    <row r="495" spans="3:13" ht="25.8" customHeight="1">
      <c r="C495" s="450" t="s">
        <v>1217</v>
      </c>
      <c r="D495" s="67"/>
      <c r="E495" s="67"/>
      <c r="F495" s="67"/>
      <c r="G495" s="69"/>
      <c r="H495" s="871">
        <v>0</v>
      </c>
    </row>
    <row r="496" spans="3:13" ht="25.8" customHeight="1">
      <c r="C496" s="102" t="s">
        <v>1218</v>
      </c>
      <c r="D496" s="294" t="s">
        <v>1219</v>
      </c>
      <c r="E496" s="295"/>
      <c r="F496" s="295"/>
      <c r="G496" s="296"/>
      <c r="H496" s="872">
        <f>H495+H493+H490</f>
        <v>27388180</v>
      </c>
      <c r="I496" s="873"/>
    </row>
    <row r="497" spans="3:13" ht="25.8" customHeight="1">
      <c r="C497" s="102" t="s">
        <v>1220</v>
      </c>
      <c r="D497" s="294" t="s">
        <v>1321</v>
      </c>
      <c r="E497" s="295"/>
      <c r="F497" s="296"/>
      <c r="G497" s="298">
        <f>$O$199</f>
        <v>0.1</v>
      </c>
      <c r="H497" s="283">
        <f>H496*G497</f>
        <v>2738818</v>
      </c>
      <c r="I497" s="873"/>
    </row>
    <row r="498" spans="3:13" ht="25.8" customHeight="1">
      <c r="C498" s="102" t="s">
        <v>1221</v>
      </c>
      <c r="D498" s="294" t="s">
        <v>1222</v>
      </c>
      <c r="E498" s="295"/>
      <c r="F498" s="295"/>
      <c r="G498" s="296"/>
      <c r="H498" s="874">
        <f>SUM(H496:H497)</f>
        <v>30126998</v>
      </c>
      <c r="I498" s="873"/>
    </row>
    <row r="499" spans="3:13" ht="25.8" customHeight="1"/>
    <row r="500" spans="3:13" ht="25.8" customHeight="1">
      <c r="C500" s="867" t="s">
        <v>3642</v>
      </c>
      <c r="D500" s="1931" t="s">
        <v>3643</v>
      </c>
      <c r="E500" s="1931"/>
      <c r="F500" s="1931"/>
      <c r="G500" s="1931"/>
      <c r="H500" s="1931"/>
      <c r="I500" s="120">
        <f>ROUNDDOWN(H515,-2)</f>
        <v>43691400</v>
      </c>
      <c r="J500" s="120"/>
      <c r="K500" s="120"/>
      <c r="M500" s="475"/>
    </row>
    <row r="501" spans="3:13" ht="25.8" customHeight="1">
      <c r="C501" s="591" t="s">
        <v>1195</v>
      </c>
      <c r="D501" s="591" t="s">
        <v>1196</v>
      </c>
      <c r="E501" s="591" t="s">
        <v>1197</v>
      </c>
      <c r="F501" s="591" t="s">
        <v>1198</v>
      </c>
      <c r="G501" s="591" t="s">
        <v>1199</v>
      </c>
      <c r="H501" s="591" t="s">
        <v>1200</v>
      </c>
    </row>
    <row r="502" spans="3:13" ht="25.8" customHeight="1">
      <c r="C502" s="182" t="s">
        <v>1201</v>
      </c>
      <c r="D502" s="182" t="s">
        <v>1202</v>
      </c>
      <c r="E502" s="70"/>
      <c r="F502" s="70"/>
      <c r="G502" s="70"/>
      <c r="H502" s="70"/>
    </row>
    <row r="503" spans="3:13" ht="25.8" customHeight="1">
      <c r="C503" s="876">
        <v>1</v>
      </c>
      <c r="D503" s="182" t="s">
        <v>5</v>
      </c>
      <c r="E503" s="182" t="s">
        <v>6</v>
      </c>
      <c r="F503" s="309">
        <v>0.91700000000000004</v>
      </c>
      <c r="G503" s="283">
        <f>VLOOKUP(D503,upahbahan,3,FALSE)</f>
        <v>100000</v>
      </c>
      <c r="H503" s="283">
        <f t="shared" ref="H503:H506" si="52">F503*G503</f>
        <v>91700</v>
      </c>
    </row>
    <row r="504" spans="3:13" ht="25.8" customHeight="1">
      <c r="C504" s="876">
        <v>2</v>
      </c>
      <c r="D504" s="182" t="s">
        <v>3622</v>
      </c>
      <c r="E504" s="182" t="s">
        <v>6</v>
      </c>
      <c r="F504" s="309">
        <v>1.5309999999999999</v>
      </c>
      <c r="G504" s="283">
        <f>VLOOKUP(D504,upahbahan,3,FALSE)</f>
        <v>135000</v>
      </c>
      <c r="H504" s="283">
        <f t="shared" si="52"/>
        <v>206685</v>
      </c>
    </row>
    <row r="505" spans="3:13" ht="25.8" customHeight="1">
      <c r="C505" s="876">
        <v>3</v>
      </c>
      <c r="D505" s="182" t="s">
        <v>18</v>
      </c>
      <c r="E505" s="182" t="s">
        <v>6</v>
      </c>
      <c r="F505" s="309">
        <v>0.153</v>
      </c>
      <c r="G505" s="283">
        <f>VLOOKUP(D505,upahbahan,3,FALSE)</f>
        <v>150000</v>
      </c>
      <c r="H505" s="283">
        <f t="shared" si="52"/>
        <v>22950</v>
      </c>
    </row>
    <row r="506" spans="3:13" ht="25.8" customHeight="1">
      <c r="C506" s="876">
        <v>4</v>
      </c>
      <c r="D506" s="182" t="s">
        <v>19</v>
      </c>
      <c r="E506" s="182" t="s">
        <v>6</v>
      </c>
      <c r="F506" s="309">
        <v>5.0999999999999997E-2</v>
      </c>
      <c r="G506" s="283">
        <f>VLOOKUP(D506,upahbahan,3,FALSE)</f>
        <v>160000</v>
      </c>
      <c r="H506" s="283">
        <f t="shared" si="52"/>
        <v>8159.9999999999991</v>
      </c>
    </row>
    <row r="507" spans="3:13" ht="25.8" customHeight="1">
      <c r="C507" s="450" t="s">
        <v>1208</v>
      </c>
      <c r="D507" s="67"/>
      <c r="E507" s="67"/>
      <c r="F507" s="142"/>
      <c r="G507" s="153"/>
      <c r="H507" s="283">
        <f>SUM(H503:H506)</f>
        <v>329495</v>
      </c>
      <c r="I507" s="319"/>
      <c r="J507" s="319"/>
      <c r="K507" s="319"/>
    </row>
    <row r="508" spans="3:13" ht="25.8" customHeight="1">
      <c r="C508" s="182" t="s">
        <v>1209</v>
      </c>
      <c r="D508" s="182" t="s">
        <v>1210</v>
      </c>
      <c r="E508" s="70"/>
      <c r="F508" s="70"/>
      <c r="G508" s="70"/>
      <c r="H508" s="70"/>
    </row>
    <row r="509" spans="3:13" ht="25.8" customHeight="1">
      <c r="C509" s="876">
        <v>1</v>
      </c>
      <c r="D509" s="182" t="s">
        <v>3644</v>
      </c>
      <c r="E509" s="291" t="s">
        <v>3182</v>
      </c>
      <c r="F509" s="327">
        <v>1.3</v>
      </c>
      <c r="G509" s="283">
        <f>VLOOKUP(D509,upahbahan,3,FALSE)</f>
        <v>30300000</v>
      </c>
      <c r="H509" s="283">
        <f t="shared" ref="H509" si="53">F509*G509</f>
        <v>39390000</v>
      </c>
    </row>
    <row r="510" spans="3:13" ht="25.8" customHeight="1">
      <c r="C510" s="450" t="s">
        <v>1214</v>
      </c>
      <c r="D510" s="67"/>
      <c r="E510" s="67"/>
      <c r="F510" s="67"/>
      <c r="G510" s="69"/>
      <c r="H510" s="283">
        <f>SUM(H509:H509)</f>
        <v>39390000</v>
      </c>
    </row>
    <row r="511" spans="3:13" ht="25.8" customHeight="1">
      <c r="C511" s="176" t="s">
        <v>1215</v>
      </c>
      <c r="D511" s="182" t="s">
        <v>1216</v>
      </c>
      <c r="E511" s="70"/>
      <c r="F511" s="70"/>
      <c r="G511" s="70"/>
      <c r="H511" s="70"/>
    </row>
    <row r="512" spans="3:13" ht="25.8" customHeight="1">
      <c r="C512" s="450" t="s">
        <v>1217</v>
      </c>
      <c r="D512" s="67"/>
      <c r="E512" s="67"/>
      <c r="F512" s="67"/>
      <c r="G512" s="69"/>
      <c r="H512" s="871">
        <v>0</v>
      </c>
    </row>
    <row r="513" spans="3:13" ht="25.8" customHeight="1">
      <c r="C513" s="102" t="s">
        <v>1218</v>
      </c>
      <c r="D513" s="294" t="s">
        <v>1219</v>
      </c>
      <c r="E513" s="295"/>
      <c r="F513" s="295"/>
      <c r="G513" s="296"/>
      <c r="H513" s="872">
        <f>H512+H510+H507</f>
        <v>39719495</v>
      </c>
      <c r="I513" s="873"/>
    </row>
    <row r="514" spans="3:13" ht="25.8" customHeight="1">
      <c r="C514" s="102" t="s">
        <v>1220</v>
      </c>
      <c r="D514" s="294" t="s">
        <v>1321</v>
      </c>
      <c r="E514" s="295"/>
      <c r="F514" s="296"/>
      <c r="G514" s="298">
        <f>$O$199</f>
        <v>0.1</v>
      </c>
      <c r="H514" s="283">
        <f>H513*G514</f>
        <v>3971949.5</v>
      </c>
      <c r="I514" s="873"/>
    </row>
    <row r="515" spans="3:13" ht="25.8" customHeight="1">
      <c r="C515" s="102" t="s">
        <v>1221</v>
      </c>
      <c r="D515" s="294" t="s">
        <v>1222</v>
      </c>
      <c r="E515" s="295"/>
      <c r="F515" s="295"/>
      <c r="G515" s="296"/>
      <c r="H515" s="874">
        <f>SUM(H513:H514)</f>
        <v>43691444.5</v>
      </c>
      <c r="I515" s="873"/>
    </row>
    <row r="516" spans="3:13" ht="25.8" customHeight="1"/>
    <row r="517" spans="3:13" ht="25.8" customHeight="1">
      <c r="C517" s="867" t="s">
        <v>3645</v>
      </c>
      <c r="D517" s="1931" t="s">
        <v>3646</v>
      </c>
      <c r="E517" s="1931"/>
      <c r="F517" s="1931"/>
      <c r="G517" s="1931"/>
      <c r="H517" s="1931"/>
      <c r="I517" s="120">
        <f>ROUNDDOWN(H537,-2)</f>
        <v>4725100</v>
      </c>
      <c r="J517" s="120"/>
      <c r="K517" s="120"/>
      <c r="M517" s="475"/>
    </row>
    <row r="518" spans="3:13" ht="25.8" customHeight="1">
      <c r="C518" s="591" t="s">
        <v>1195</v>
      </c>
      <c r="D518" s="591" t="s">
        <v>1196</v>
      </c>
      <c r="E518" s="591" t="s">
        <v>1197</v>
      </c>
      <c r="F518" s="591" t="s">
        <v>1198</v>
      </c>
      <c r="G518" s="591" t="s">
        <v>1199</v>
      </c>
      <c r="H518" s="591" t="s">
        <v>1200</v>
      </c>
    </row>
    <row r="519" spans="3:13" ht="25.8" customHeight="1">
      <c r="C519" s="182" t="s">
        <v>1201</v>
      </c>
      <c r="D519" s="182" t="s">
        <v>1202</v>
      </c>
      <c r="E519" s="70"/>
      <c r="F519" s="70"/>
      <c r="G519" s="70"/>
      <c r="H519" s="70"/>
    </row>
    <row r="520" spans="3:13" ht="25.8" customHeight="1">
      <c r="C520" s="876">
        <v>1</v>
      </c>
      <c r="D520" s="182" t="s">
        <v>5</v>
      </c>
      <c r="E520" s="182" t="s">
        <v>6</v>
      </c>
      <c r="F520" s="309">
        <v>0.255</v>
      </c>
      <c r="G520" s="283">
        <f>VLOOKUP(D520,upahbahan,3,FALSE)</f>
        <v>100000</v>
      </c>
      <c r="H520" s="283">
        <f t="shared" ref="H520:H523" si="54">F520*G520</f>
        <v>25500</v>
      </c>
    </row>
    <row r="521" spans="3:13" ht="25.8" customHeight="1">
      <c r="C521" s="876">
        <v>2</v>
      </c>
      <c r="D521" s="182" t="s">
        <v>3622</v>
      </c>
      <c r="E521" s="182" t="s">
        <v>6</v>
      </c>
      <c r="F521" s="309">
        <v>0.42499999999999999</v>
      </c>
      <c r="G521" s="283">
        <f>VLOOKUP(D521,upahbahan,3,FALSE)</f>
        <v>135000</v>
      </c>
      <c r="H521" s="283">
        <f t="shared" si="54"/>
        <v>57375</v>
      </c>
    </row>
    <row r="522" spans="3:13" ht="25.8" customHeight="1">
      <c r="C522" s="876">
        <v>3</v>
      </c>
      <c r="D522" s="182" t="s">
        <v>18</v>
      </c>
      <c r="E522" s="182" t="s">
        <v>6</v>
      </c>
      <c r="F522" s="309">
        <v>4.2999999999999997E-2</v>
      </c>
      <c r="G522" s="283">
        <f>VLOOKUP(D522,upahbahan,3,FALSE)</f>
        <v>150000</v>
      </c>
      <c r="H522" s="283">
        <f t="shared" si="54"/>
        <v>6449.9999999999991</v>
      </c>
    </row>
    <row r="523" spans="3:13" ht="25.8" customHeight="1">
      <c r="C523" s="876">
        <v>4</v>
      </c>
      <c r="D523" s="182" t="s">
        <v>19</v>
      </c>
      <c r="E523" s="182" t="s">
        <v>6</v>
      </c>
      <c r="F523" s="309">
        <v>1.4E-2</v>
      </c>
      <c r="G523" s="283">
        <f>VLOOKUP(D523,upahbahan,3,FALSE)</f>
        <v>160000</v>
      </c>
      <c r="H523" s="283">
        <f t="shared" si="54"/>
        <v>2240</v>
      </c>
    </row>
    <row r="524" spans="3:13" ht="25.8" customHeight="1">
      <c r="C524" s="450" t="s">
        <v>1208</v>
      </c>
      <c r="D524" s="67"/>
      <c r="E524" s="67"/>
      <c r="F524" s="142"/>
      <c r="G524" s="153"/>
      <c r="H524" s="283">
        <f>SUM(H520:H523)</f>
        <v>91565</v>
      </c>
      <c r="I524" s="319"/>
      <c r="J524" s="319"/>
      <c r="K524" s="319"/>
    </row>
    <row r="525" spans="3:13" ht="25.8" customHeight="1">
      <c r="C525" s="182" t="s">
        <v>1209</v>
      </c>
      <c r="D525" s="182" t="s">
        <v>1210</v>
      </c>
      <c r="E525" s="70"/>
      <c r="F525" s="70"/>
      <c r="G525" s="70"/>
      <c r="H525" s="70"/>
    </row>
    <row r="526" spans="3:13" ht="25.8" customHeight="1">
      <c r="C526" s="182">
        <v>1</v>
      </c>
      <c r="D526" s="182" t="s">
        <v>3657</v>
      </c>
      <c r="E526" s="70" t="s">
        <v>3651</v>
      </c>
      <c r="F526" s="118">
        <v>1</v>
      </c>
      <c r="G526" s="283">
        <f t="shared" ref="G526:G531" si="55">VLOOKUP(D526,upahbahan,3,FALSE)</f>
        <v>1700000</v>
      </c>
      <c r="H526" s="283">
        <f>F526*G526</f>
        <v>1700000</v>
      </c>
    </row>
    <row r="527" spans="3:13" ht="25.8" customHeight="1">
      <c r="C527" s="182">
        <v>2</v>
      </c>
      <c r="D527" s="182" t="s">
        <v>3655</v>
      </c>
      <c r="E527" s="70" t="s">
        <v>2167</v>
      </c>
      <c r="F527" s="118">
        <v>1</v>
      </c>
      <c r="G527" s="283">
        <f t="shared" si="55"/>
        <v>700000</v>
      </c>
      <c r="H527" s="283">
        <f t="shared" ref="H527:H531" si="56">F527*G527</f>
        <v>700000</v>
      </c>
    </row>
    <row r="528" spans="3:13" ht="25.8" customHeight="1">
      <c r="C528" s="182">
        <v>3</v>
      </c>
      <c r="D528" s="182" t="s">
        <v>3654</v>
      </c>
      <c r="E528" s="70" t="s">
        <v>2167</v>
      </c>
      <c r="F528" s="118">
        <v>1</v>
      </c>
      <c r="G528" s="283">
        <f t="shared" si="55"/>
        <v>104000</v>
      </c>
      <c r="H528" s="283">
        <f t="shared" si="56"/>
        <v>104000</v>
      </c>
    </row>
    <row r="529" spans="3:13" ht="25.8" customHeight="1">
      <c r="C529" s="182">
        <v>4</v>
      </c>
      <c r="D529" s="182" t="s">
        <v>3648</v>
      </c>
      <c r="E529" s="70" t="s">
        <v>2167</v>
      </c>
      <c r="F529" s="118">
        <v>1</v>
      </c>
      <c r="G529" s="283">
        <f t="shared" si="55"/>
        <v>85000</v>
      </c>
      <c r="H529" s="283">
        <f t="shared" si="56"/>
        <v>85000</v>
      </c>
    </row>
    <row r="530" spans="3:13" ht="25.8" customHeight="1">
      <c r="C530" s="182">
        <v>5</v>
      </c>
      <c r="D530" s="182" t="s">
        <v>3649</v>
      </c>
      <c r="E530" s="70" t="s">
        <v>2167</v>
      </c>
      <c r="F530" s="118">
        <v>2</v>
      </c>
      <c r="G530" s="283">
        <f t="shared" si="55"/>
        <v>750000</v>
      </c>
      <c r="H530" s="283">
        <f t="shared" si="56"/>
        <v>1500000</v>
      </c>
    </row>
    <row r="531" spans="3:13" ht="25.8" customHeight="1">
      <c r="C531" s="182">
        <v>6</v>
      </c>
      <c r="D531" s="182" t="s">
        <v>3650</v>
      </c>
      <c r="E531" s="291" t="s">
        <v>3652</v>
      </c>
      <c r="F531" s="327">
        <v>1</v>
      </c>
      <c r="G531" s="283">
        <f t="shared" si="55"/>
        <v>115000</v>
      </c>
      <c r="H531" s="283">
        <f t="shared" si="56"/>
        <v>115000</v>
      </c>
    </row>
    <row r="532" spans="3:13" ht="25.8" customHeight="1">
      <c r="C532" s="450" t="s">
        <v>1214</v>
      </c>
      <c r="D532" s="67"/>
      <c r="E532" s="67"/>
      <c r="F532" s="67"/>
      <c r="G532" s="69"/>
      <c r="H532" s="283">
        <f>SUM(H526:H531)</f>
        <v>4204000</v>
      </c>
    </row>
    <row r="533" spans="3:13" ht="25.8" customHeight="1">
      <c r="C533" s="176" t="s">
        <v>1215</v>
      </c>
      <c r="D533" s="182" t="s">
        <v>1216</v>
      </c>
      <c r="E533" s="70"/>
      <c r="F533" s="70"/>
      <c r="G533" s="70"/>
      <c r="H533" s="70"/>
    </row>
    <row r="534" spans="3:13" ht="25.8" customHeight="1">
      <c r="C534" s="450" t="s">
        <v>1217</v>
      </c>
      <c r="D534" s="67"/>
      <c r="E534" s="67"/>
      <c r="F534" s="67"/>
      <c r="G534" s="69"/>
      <c r="H534" s="871">
        <v>0</v>
      </c>
    </row>
    <row r="535" spans="3:13" ht="25.8" customHeight="1">
      <c r="C535" s="102" t="s">
        <v>1218</v>
      </c>
      <c r="D535" s="294" t="s">
        <v>1219</v>
      </c>
      <c r="E535" s="295"/>
      <c r="F535" s="295"/>
      <c r="G535" s="296"/>
      <c r="H535" s="872">
        <f>H534+H532+H524</f>
        <v>4295565</v>
      </c>
      <c r="I535" s="873"/>
    </row>
    <row r="536" spans="3:13" ht="25.8" customHeight="1">
      <c r="C536" s="102" t="s">
        <v>1220</v>
      </c>
      <c r="D536" s="294" t="s">
        <v>1321</v>
      </c>
      <c r="E536" s="295"/>
      <c r="F536" s="296"/>
      <c r="G536" s="298">
        <f>$O$199</f>
        <v>0.1</v>
      </c>
      <c r="H536" s="283">
        <f>H535*G536</f>
        <v>429556.5</v>
      </c>
      <c r="I536" s="873"/>
    </row>
    <row r="537" spans="3:13" ht="25.8" customHeight="1">
      <c r="C537" s="102" t="s">
        <v>1221</v>
      </c>
      <c r="D537" s="294" t="s">
        <v>1222</v>
      </c>
      <c r="E537" s="295"/>
      <c r="F537" s="295"/>
      <c r="G537" s="296"/>
      <c r="H537" s="874">
        <f>SUM(H535:H536)</f>
        <v>4725121.5</v>
      </c>
      <c r="I537" s="873"/>
    </row>
    <row r="538" spans="3:13" ht="25.8" customHeight="1"/>
    <row r="539" spans="3:13" ht="25.8" customHeight="1"/>
    <row r="540" spans="3:13" ht="25.8" customHeight="1">
      <c r="C540" s="867" t="s">
        <v>3653</v>
      </c>
      <c r="D540" s="1931" t="s">
        <v>3658</v>
      </c>
      <c r="E540" s="1931"/>
      <c r="F540" s="1931"/>
      <c r="G540" s="1931"/>
      <c r="H540" s="1931"/>
      <c r="I540" s="120">
        <f>ROUNDDOWN(H560,-2)</f>
        <v>4971500</v>
      </c>
      <c r="J540" s="120"/>
      <c r="K540" s="120"/>
      <c r="M540" s="475"/>
    </row>
    <row r="541" spans="3:13" ht="25.8" customHeight="1">
      <c r="C541" s="591" t="s">
        <v>1195</v>
      </c>
      <c r="D541" s="591" t="s">
        <v>1196</v>
      </c>
      <c r="E541" s="591" t="s">
        <v>1197</v>
      </c>
      <c r="F541" s="591" t="s">
        <v>1198</v>
      </c>
      <c r="G541" s="591" t="s">
        <v>1199</v>
      </c>
      <c r="H541" s="591" t="s">
        <v>1200</v>
      </c>
    </row>
    <row r="542" spans="3:13" ht="25.8" customHeight="1">
      <c r="C542" s="182" t="s">
        <v>1201</v>
      </c>
      <c r="D542" s="182" t="s">
        <v>1202</v>
      </c>
      <c r="E542" s="70"/>
      <c r="F542" s="70"/>
      <c r="G542" s="70"/>
      <c r="H542" s="70"/>
    </row>
    <row r="543" spans="3:13" ht="25.8" customHeight="1">
      <c r="C543" s="876">
        <v>1</v>
      </c>
      <c r="D543" s="182" t="s">
        <v>5</v>
      </c>
      <c r="E543" s="182" t="s">
        <v>6</v>
      </c>
      <c r="F543" s="309">
        <v>0.32100000000000001</v>
      </c>
      <c r="G543" s="283">
        <f>VLOOKUP(D543,upahbahan,3,FALSE)</f>
        <v>100000</v>
      </c>
      <c r="H543" s="283">
        <f t="shared" ref="H543:H546" si="57">F543*G543</f>
        <v>32100</v>
      </c>
    </row>
    <row r="544" spans="3:13" ht="25.8" customHeight="1">
      <c r="C544" s="876">
        <v>2</v>
      </c>
      <c r="D544" s="182" t="s">
        <v>3622</v>
      </c>
      <c r="E544" s="182" t="s">
        <v>6</v>
      </c>
      <c r="F544" s="309">
        <v>0.53700000000000003</v>
      </c>
      <c r="G544" s="283">
        <f>VLOOKUP(D544,upahbahan,3,FALSE)</f>
        <v>135000</v>
      </c>
      <c r="H544" s="283">
        <f t="shared" si="57"/>
        <v>72495</v>
      </c>
    </row>
    <row r="545" spans="3:11" ht="25.8" customHeight="1">
      <c r="C545" s="876">
        <v>3</v>
      </c>
      <c r="D545" s="182" t="s">
        <v>18</v>
      </c>
      <c r="E545" s="182" t="s">
        <v>6</v>
      </c>
      <c r="F545" s="309">
        <v>5.3999999999999999E-2</v>
      </c>
      <c r="G545" s="283">
        <f>VLOOKUP(D545,upahbahan,3,FALSE)</f>
        <v>150000</v>
      </c>
      <c r="H545" s="283">
        <f t="shared" si="57"/>
        <v>8100</v>
      </c>
    </row>
    <row r="546" spans="3:11" ht="25.8" customHeight="1">
      <c r="C546" s="876">
        <v>4</v>
      </c>
      <c r="D546" s="182" t="s">
        <v>19</v>
      </c>
      <c r="E546" s="182" t="s">
        <v>6</v>
      </c>
      <c r="F546" s="309">
        <v>1.7999999999999999E-2</v>
      </c>
      <c r="G546" s="283">
        <f>VLOOKUP(D546,upahbahan,3,FALSE)</f>
        <v>160000</v>
      </c>
      <c r="H546" s="283">
        <f t="shared" si="57"/>
        <v>2880</v>
      </c>
    </row>
    <row r="547" spans="3:11" ht="25.8" customHeight="1">
      <c r="C547" s="450" t="s">
        <v>1208</v>
      </c>
      <c r="D547" s="67"/>
      <c r="E547" s="67"/>
      <c r="F547" s="142"/>
      <c r="G547" s="153"/>
      <c r="H547" s="283">
        <f>SUM(H543:H546)</f>
        <v>115575</v>
      </c>
      <c r="I547" s="319"/>
      <c r="J547" s="319"/>
      <c r="K547" s="319"/>
    </row>
    <row r="548" spans="3:11" ht="25.8" customHeight="1">
      <c r="C548" s="182" t="s">
        <v>1209</v>
      </c>
      <c r="D548" s="182" t="s">
        <v>1210</v>
      </c>
      <c r="E548" s="70"/>
      <c r="F548" s="70"/>
      <c r="G548" s="70"/>
      <c r="H548" s="70"/>
    </row>
    <row r="549" spans="3:11" ht="25.8" customHeight="1">
      <c r="C549" s="182">
        <v>1</v>
      </c>
      <c r="D549" s="182" t="s">
        <v>3656</v>
      </c>
      <c r="E549" s="70" t="s">
        <v>3651</v>
      </c>
      <c r="F549" s="118">
        <v>1</v>
      </c>
      <c r="G549" s="283">
        <f t="shared" ref="G549:G554" si="58">VLOOKUP(D549,upahbahan,3,FALSE)</f>
        <v>1900000</v>
      </c>
      <c r="H549" s="283">
        <f>F549*G549</f>
        <v>1900000</v>
      </c>
    </row>
    <row r="550" spans="3:11" ht="25.8" customHeight="1">
      <c r="C550" s="182">
        <v>2</v>
      </c>
      <c r="D550" s="182" t="s">
        <v>3655</v>
      </c>
      <c r="E550" s="70" t="s">
        <v>2167</v>
      </c>
      <c r="F550" s="118">
        <v>1</v>
      </c>
      <c r="G550" s="283">
        <f t="shared" si="58"/>
        <v>700000</v>
      </c>
      <c r="H550" s="283">
        <f t="shared" ref="H550:H554" si="59">F550*G550</f>
        <v>700000</v>
      </c>
    </row>
    <row r="551" spans="3:11" ht="25.8" customHeight="1">
      <c r="C551" s="182">
        <v>3</v>
      </c>
      <c r="D551" s="182" t="s">
        <v>3654</v>
      </c>
      <c r="E551" s="70" t="s">
        <v>2167</v>
      </c>
      <c r="F551" s="118">
        <v>1</v>
      </c>
      <c r="G551" s="283">
        <f t="shared" si="58"/>
        <v>104000</v>
      </c>
      <c r="H551" s="283">
        <f t="shared" si="59"/>
        <v>104000</v>
      </c>
    </row>
    <row r="552" spans="3:11" ht="25.8" customHeight="1">
      <c r="C552" s="182">
        <v>4</v>
      </c>
      <c r="D552" s="182" t="s">
        <v>3648</v>
      </c>
      <c r="E552" s="70" t="s">
        <v>2167</v>
      </c>
      <c r="F552" s="118">
        <v>1</v>
      </c>
      <c r="G552" s="283">
        <f t="shared" si="58"/>
        <v>85000</v>
      </c>
      <c r="H552" s="283">
        <f t="shared" si="59"/>
        <v>85000</v>
      </c>
    </row>
    <row r="553" spans="3:11" ht="25.8" customHeight="1">
      <c r="C553" s="182">
        <v>5</v>
      </c>
      <c r="D553" s="182" t="s">
        <v>3649</v>
      </c>
      <c r="E553" s="70" t="s">
        <v>2167</v>
      </c>
      <c r="F553" s="118">
        <v>2</v>
      </c>
      <c r="G553" s="283">
        <f t="shared" si="58"/>
        <v>750000</v>
      </c>
      <c r="H553" s="283">
        <f t="shared" si="59"/>
        <v>1500000</v>
      </c>
    </row>
    <row r="554" spans="3:11" ht="25.8" customHeight="1">
      <c r="C554" s="182">
        <v>6</v>
      </c>
      <c r="D554" s="182" t="s">
        <v>3650</v>
      </c>
      <c r="E554" s="291" t="s">
        <v>3652</v>
      </c>
      <c r="F554" s="327">
        <v>1</v>
      </c>
      <c r="G554" s="283">
        <f t="shared" si="58"/>
        <v>115000</v>
      </c>
      <c r="H554" s="283">
        <f t="shared" si="59"/>
        <v>115000</v>
      </c>
    </row>
    <row r="555" spans="3:11" ht="25.8" customHeight="1">
      <c r="C555" s="450" t="s">
        <v>1214</v>
      </c>
      <c r="D555" s="67"/>
      <c r="E555" s="67"/>
      <c r="F555" s="67"/>
      <c r="G555" s="69"/>
      <c r="H555" s="283">
        <f>SUM(H549:H554)</f>
        <v>4404000</v>
      </c>
    </row>
    <row r="556" spans="3:11" ht="25.8" customHeight="1">
      <c r="C556" s="176" t="s">
        <v>1215</v>
      </c>
      <c r="D556" s="182" t="s">
        <v>1216</v>
      </c>
      <c r="E556" s="70"/>
      <c r="F556" s="70"/>
      <c r="G556" s="70"/>
      <c r="H556" s="70"/>
    </row>
    <row r="557" spans="3:11" ht="25.8" customHeight="1">
      <c r="C557" s="450" t="s">
        <v>1217</v>
      </c>
      <c r="D557" s="67"/>
      <c r="E557" s="67"/>
      <c r="F557" s="67"/>
      <c r="G557" s="69"/>
      <c r="H557" s="871">
        <v>0</v>
      </c>
    </row>
    <row r="558" spans="3:11" ht="25.8" customHeight="1">
      <c r="C558" s="102" t="s">
        <v>1218</v>
      </c>
      <c r="D558" s="294" t="s">
        <v>1219</v>
      </c>
      <c r="E558" s="295"/>
      <c r="F558" s="295"/>
      <c r="G558" s="296"/>
      <c r="H558" s="872">
        <f>H557+H555+H547</f>
        <v>4519575</v>
      </c>
      <c r="I558" s="873"/>
    </row>
    <row r="559" spans="3:11" ht="25.8" customHeight="1">
      <c r="C559" s="102" t="s">
        <v>1220</v>
      </c>
      <c r="D559" s="294" t="s">
        <v>1321</v>
      </c>
      <c r="E559" s="295"/>
      <c r="F559" s="296"/>
      <c r="G559" s="298">
        <f>$O$199</f>
        <v>0.1</v>
      </c>
      <c r="H559" s="283">
        <f>H558*G559</f>
        <v>451957.5</v>
      </c>
      <c r="I559" s="873"/>
    </row>
    <row r="560" spans="3:11" ht="25.8" customHeight="1">
      <c r="C560" s="102" t="s">
        <v>1221</v>
      </c>
      <c r="D560" s="294" t="s">
        <v>1222</v>
      </c>
      <c r="E560" s="295"/>
      <c r="F560" s="295"/>
      <c r="G560" s="296"/>
      <c r="H560" s="874">
        <f>SUM(H558:H559)</f>
        <v>4971532.5</v>
      </c>
      <c r="I560" s="873"/>
    </row>
    <row r="561" spans="3:13" ht="25.8" customHeight="1"/>
    <row r="562" spans="3:13" ht="25.8" customHeight="1"/>
    <row r="563" spans="3:13" ht="25.8" customHeight="1"/>
    <row r="564" spans="3:13" ht="25.8" customHeight="1">
      <c r="C564" s="867" t="s">
        <v>3659</v>
      </c>
      <c r="D564" s="1931" t="s">
        <v>3660</v>
      </c>
      <c r="E564" s="1931"/>
      <c r="F564" s="1931"/>
      <c r="G564" s="1931"/>
      <c r="H564" s="1931"/>
      <c r="I564" s="120">
        <f>ROUNDDOWN(H584,-2)</f>
        <v>5215000</v>
      </c>
      <c r="J564" s="120"/>
      <c r="K564" s="120"/>
      <c r="M564" s="475"/>
    </row>
    <row r="565" spans="3:13" ht="25.8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</row>
    <row r="566" spans="3:13" ht="25.8" customHeight="1">
      <c r="C566" s="182" t="s">
        <v>1201</v>
      </c>
      <c r="D566" s="182" t="s">
        <v>1202</v>
      </c>
      <c r="E566" s="70"/>
      <c r="F566" s="70"/>
      <c r="G566" s="70"/>
      <c r="H566" s="70"/>
    </row>
    <row r="567" spans="3:13" ht="25.8" customHeight="1">
      <c r="C567" s="876">
        <v>1</v>
      </c>
      <c r="D567" s="182" t="s">
        <v>5</v>
      </c>
      <c r="E567" s="182" t="s">
        <v>6</v>
      </c>
      <c r="F567" s="309">
        <v>0.38100000000000001</v>
      </c>
      <c r="G567" s="283">
        <f>VLOOKUP(D567,upahbahan,3,FALSE)</f>
        <v>100000</v>
      </c>
      <c r="H567" s="283">
        <f t="shared" ref="H567:H570" si="60">F567*G567</f>
        <v>38100</v>
      </c>
    </row>
    <row r="568" spans="3:13" ht="25.8" customHeight="1">
      <c r="C568" s="876">
        <v>2</v>
      </c>
      <c r="D568" s="182" t="s">
        <v>3622</v>
      </c>
      <c r="E568" s="182" t="s">
        <v>6</v>
      </c>
      <c r="F568" s="309">
        <v>0.63600000000000001</v>
      </c>
      <c r="G568" s="283">
        <f>VLOOKUP(D568,upahbahan,3,FALSE)</f>
        <v>135000</v>
      </c>
      <c r="H568" s="283">
        <f t="shared" si="60"/>
        <v>85860</v>
      </c>
    </row>
    <row r="569" spans="3:13" ht="25.8" customHeight="1">
      <c r="C569" s="876">
        <v>3</v>
      </c>
      <c r="D569" s="182" t="s">
        <v>18</v>
      </c>
      <c r="E569" s="182" t="s">
        <v>6</v>
      </c>
      <c r="F569" s="309">
        <v>6.4000000000000001E-2</v>
      </c>
      <c r="G569" s="283">
        <f>VLOOKUP(D569,upahbahan,3,FALSE)</f>
        <v>150000</v>
      </c>
      <c r="H569" s="283">
        <f t="shared" si="60"/>
        <v>9600</v>
      </c>
    </row>
    <row r="570" spans="3:13" ht="25.8" customHeight="1">
      <c r="C570" s="876">
        <v>4</v>
      </c>
      <c r="D570" s="182" t="s">
        <v>19</v>
      </c>
      <c r="E570" s="182" t="s">
        <v>6</v>
      </c>
      <c r="F570" s="309">
        <v>2.1000000000000001E-2</v>
      </c>
      <c r="G570" s="283">
        <f>VLOOKUP(D570,upahbahan,3,FALSE)</f>
        <v>160000</v>
      </c>
      <c r="H570" s="283">
        <f t="shared" si="60"/>
        <v>3360</v>
      </c>
    </row>
    <row r="571" spans="3:13" ht="25.8" customHeight="1">
      <c r="C571" s="450" t="s">
        <v>1208</v>
      </c>
      <c r="D571" s="67"/>
      <c r="E571" s="67"/>
      <c r="F571" s="142"/>
      <c r="G571" s="153"/>
      <c r="H571" s="283">
        <f>SUM(H567:H570)</f>
        <v>136920</v>
      </c>
      <c r="I571" s="319"/>
      <c r="J571" s="319"/>
      <c r="K571" s="319"/>
    </row>
    <row r="572" spans="3:13" ht="25.8" customHeight="1">
      <c r="C572" s="182" t="s">
        <v>1209</v>
      </c>
      <c r="D572" s="182" t="s">
        <v>1210</v>
      </c>
      <c r="E572" s="70"/>
      <c r="F572" s="70"/>
      <c r="G572" s="70"/>
      <c r="H572" s="70"/>
    </row>
    <row r="573" spans="3:13" ht="25.8" customHeight="1">
      <c r="C573" s="182">
        <v>1</v>
      </c>
      <c r="D573" s="182" t="s">
        <v>3661</v>
      </c>
      <c r="E573" s="70" t="s">
        <v>3651</v>
      </c>
      <c r="F573" s="118">
        <v>1</v>
      </c>
      <c r="G573" s="283">
        <f t="shared" ref="G573:G578" si="61">VLOOKUP(D573,upahbahan,3,FALSE)</f>
        <v>2100000</v>
      </c>
      <c r="H573" s="283">
        <f>F573*G573</f>
        <v>2100000</v>
      </c>
    </row>
    <row r="574" spans="3:13" ht="25.8" customHeight="1">
      <c r="C574" s="182">
        <v>2</v>
      </c>
      <c r="D574" s="182" t="s">
        <v>3655</v>
      </c>
      <c r="E574" s="70" t="s">
        <v>2167</v>
      </c>
      <c r="F574" s="118">
        <v>1</v>
      </c>
      <c r="G574" s="283">
        <f t="shared" si="61"/>
        <v>700000</v>
      </c>
      <c r="H574" s="283">
        <f t="shared" ref="H574:H578" si="62">F574*G574</f>
        <v>700000</v>
      </c>
    </row>
    <row r="575" spans="3:13" ht="25.8" customHeight="1">
      <c r="C575" s="182">
        <v>3</v>
      </c>
      <c r="D575" s="182" t="s">
        <v>3654</v>
      </c>
      <c r="E575" s="70" t="s">
        <v>2167</v>
      </c>
      <c r="F575" s="118">
        <v>1</v>
      </c>
      <c r="G575" s="283">
        <f t="shared" si="61"/>
        <v>104000</v>
      </c>
      <c r="H575" s="283">
        <f t="shared" si="62"/>
        <v>104000</v>
      </c>
    </row>
    <row r="576" spans="3:13" ht="25.8" customHeight="1">
      <c r="C576" s="182">
        <v>4</v>
      </c>
      <c r="D576" s="182" t="s">
        <v>3648</v>
      </c>
      <c r="E576" s="70" t="s">
        <v>2167</v>
      </c>
      <c r="F576" s="118">
        <v>1</v>
      </c>
      <c r="G576" s="283">
        <f t="shared" si="61"/>
        <v>85000</v>
      </c>
      <c r="H576" s="283">
        <f t="shared" si="62"/>
        <v>85000</v>
      </c>
    </row>
    <row r="577" spans="3:13" ht="25.8" customHeight="1">
      <c r="C577" s="182">
        <v>5</v>
      </c>
      <c r="D577" s="182" t="s">
        <v>3649</v>
      </c>
      <c r="E577" s="70" t="s">
        <v>2167</v>
      </c>
      <c r="F577" s="118">
        <v>2</v>
      </c>
      <c r="G577" s="283">
        <f t="shared" si="61"/>
        <v>750000</v>
      </c>
      <c r="H577" s="283">
        <f t="shared" si="62"/>
        <v>1500000</v>
      </c>
    </row>
    <row r="578" spans="3:13" ht="25.8" customHeight="1">
      <c r="C578" s="182">
        <v>6</v>
      </c>
      <c r="D578" s="182" t="s">
        <v>3650</v>
      </c>
      <c r="E578" s="291" t="s">
        <v>3652</v>
      </c>
      <c r="F578" s="327">
        <v>1</v>
      </c>
      <c r="G578" s="283">
        <f t="shared" si="61"/>
        <v>115000</v>
      </c>
      <c r="H578" s="283">
        <f t="shared" si="62"/>
        <v>115000</v>
      </c>
    </row>
    <row r="579" spans="3:13" ht="25.8" customHeight="1">
      <c r="C579" s="450" t="s">
        <v>1214</v>
      </c>
      <c r="D579" s="67"/>
      <c r="E579" s="67"/>
      <c r="F579" s="67"/>
      <c r="G579" s="69"/>
      <c r="H579" s="283">
        <f>SUM(H573:H578)</f>
        <v>4604000</v>
      </c>
    </row>
    <row r="580" spans="3:13" ht="25.8" customHeight="1">
      <c r="C580" s="176" t="s">
        <v>1215</v>
      </c>
      <c r="D580" s="182" t="s">
        <v>1216</v>
      </c>
      <c r="E580" s="70"/>
      <c r="F580" s="70"/>
      <c r="G580" s="70"/>
      <c r="H580" s="70"/>
    </row>
    <row r="581" spans="3:13" ht="25.8" customHeight="1">
      <c r="C581" s="450" t="s">
        <v>1217</v>
      </c>
      <c r="D581" s="67"/>
      <c r="E581" s="67"/>
      <c r="F581" s="67"/>
      <c r="G581" s="69"/>
      <c r="H581" s="871">
        <v>0</v>
      </c>
    </row>
    <row r="582" spans="3:13" ht="25.8" customHeight="1">
      <c r="C582" s="102" t="s">
        <v>1218</v>
      </c>
      <c r="D582" s="294" t="s">
        <v>1219</v>
      </c>
      <c r="E582" s="295"/>
      <c r="F582" s="295"/>
      <c r="G582" s="296"/>
      <c r="H582" s="872">
        <f>H581+H579+H571</f>
        <v>4740920</v>
      </c>
      <c r="I582" s="873"/>
    </row>
    <row r="583" spans="3:13" ht="25.8" customHeight="1">
      <c r="C583" s="102" t="s">
        <v>1220</v>
      </c>
      <c r="D583" s="294" t="s">
        <v>1321</v>
      </c>
      <c r="E583" s="295"/>
      <c r="F583" s="296"/>
      <c r="G583" s="298">
        <f>$O$199</f>
        <v>0.1</v>
      </c>
      <c r="H583" s="283">
        <f>H582*G583</f>
        <v>474092</v>
      </c>
      <c r="I583" s="873"/>
    </row>
    <row r="584" spans="3:13" ht="25.8" customHeight="1">
      <c r="C584" s="102" t="s">
        <v>1221</v>
      </c>
      <c r="D584" s="294" t="s">
        <v>1222</v>
      </c>
      <c r="E584" s="295"/>
      <c r="F584" s="295"/>
      <c r="G584" s="296"/>
      <c r="H584" s="874">
        <f>SUM(H582:H583)</f>
        <v>5215012</v>
      </c>
      <c r="I584" s="873"/>
    </row>
    <row r="585" spans="3:13" ht="25.8" customHeight="1"/>
    <row r="586" spans="3:13" ht="25.8" customHeight="1">
      <c r="C586" s="867" t="s">
        <v>3662</v>
      </c>
      <c r="D586" s="1931" t="s">
        <v>3663</v>
      </c>
      <c r="E586" s="1931"/>
      <c r="F586" s="1931"/>
      <c r="G586" s="1931"/>
      <c r="H586" s="1931"/>
      <c r="I586" s="120">
        <f>ROUNDDOWN(H606,-2)</f>
        <v>5596600</v>
      </c>
      <c r="J586" s="120"/>
      <c r="K586" s="120"/>
      <c r="M586" s="475"/>
    </row>
    <row r="587" spans="3:13" ht="25.8" customHeight="1">
      <c r="C587" s="591" t="s">
        <v>1195</v>
      </c>
      <c r="D587" s="591" t="s">
        <v>1196</v>
      </c>
      <c r="E587" s="591" t="s">
        <v>1197</v>
      </c>
      <c r="F587" s="591" t="s">
        <v>1198</v>
      </c>
      <c r="G587" s="591" t="s">
        <v>1199</v>
      </c>
      <c r="H587" s="591" t="s">
        <v>1200</v>
      </c>
    </row>
    <row r="588" spans="3:13" ht="25.8" customHeight="1">
      <c r="C588" s="182" t="s">
        <v>1201</v>
      </c>
      <c r="D588" s="182" t="s">
        <v>1202</v>
      </c>
      <c r="E588" s="70"/>
      <c r="F588" s="70"/>
      <c r="G588" s="70"/>
      <c r="H588" s="70"/>
    </row>
    <row r="589" spans="3:13" ht="25.8" customHeight="1">
      <c r="C589" s="876">
        <v>1</v>
      </c>
      <c r="D589" s="182" t="s">
        <v>5</v>
      </c>
      <c r="E589" s="182" t="s">
        <v>6</v>
      </c>
      <c r="F589" s="309">
        <v>0.51200000000000001</v>
      </c>
      <c r="G589" s="283">
        <f>VLOOKUP(D589,upahbahan,3,FALSE)</f>
        <v>100000</v>
      </c>
      <c r="H589" s="283">
        <f t="shared" ref="H589:H592" si="63">F589*G589</f>
        <v>51200</v>
      </c>
    </row>
    <row r="590" spans="3:13" ht="25.8" customHeight="1">
      <c r="C590" s="876">
        <v>2</v>
      </c>
      <c r="D590" s="182" t="s">
        <v>3622</v>
      </c>
      <c r="E590" s="182" t="s">
        <v>6</v>
      </c>
      <c r="F590" s="309">
        <v>0.85499999999999998</v>
      </c>
      <c r="G590" s="283">
        <f>VLOOKUP(D590,upahbahan,3,FALSE)</f>
        <v>135000</v>
      </c>
      <c r="H590" s="283">
        <f t="shared" si="63"/>
        <v>115425</v>
      </c>
    </row>
    <row r="591" spans="3:13" ht="25.8" customHeight="1">
      <c r="C591" s="876">
        <v>3</v>
      </c>
      <c r="D591" s="182" t="s">
        <v>18</v>
      </c>
      <c r="E591" s="182" t="s">
        <v>6</v>
      </c>
      <c r="F591" s="309">
        <v>8.5000000000000006E-2</v>
      </c>
      <c r="G591" s="283">
        <f>VLOOKUP(D591,upahbahan,3,FALSE)</f>
        <v>150000</v>
      </c>
      <c r="H591" s="283">
        <f t="shared" si="63"/>
        <v>12750.000000000002</v>
      </c>
    </row>
    <row r="592" spans="3:13" ht="25.8" customHeight="1">
      <c r="C592" s="876">
        <v>4</v>
      </c>
      <c r="D592" s="182" t="s">
        <v>19</v>
      </c>
      <c r="E592" s="182" t="s">
        <v>6</v>
      </c>
      <c r="F592" s="309">
        <v>2.8000000000000001E-2</v>
      </c>
      <c r="G592" s="283">
        <f>VLOOKUP(D592,upahbahan,3,FALSE)</f>
        <v>160000</v>
      </c>
      <c r="H592" s="283">
        <f t="shared" si="63"/>
        <v>4480</v>
      </c>
    </row>
    <row r="593" spans="3:11" ht="25.8" customHeight="1">
      <c r="C593" s="450" t="s">
        <v>1208</v>
      </c>
      <c r="D593" s="67"/>
      <c r="E593" s="67"/>
      <c r="F593" s="142"/>
      <c r="G593" s="153"/>
      <c r="H593" s="283">
        <f>SUM(H589:H592)</f>
        <v>183855</v>
      </c>
      <c r="I593" s="319"/>
      <c r="J593" s="319"/>
      <c r="K593" s="319"/>
    </row>
    <row r="594" spans="3:11" ht="25.8" customHeight="1">
      <c r="C594" s="182" t="s">
        <v>1209</v>
      </c>
      <c r="D594" s="182" t="s">
        <v>1210</v>
      </c>
      <c r="E594" s="70"/>
      <c r="F594" s="70"/>
      <c r="G594" s="70"/>
      <c r="H594" s="70"/>
    </row>
    <row r="595" spans="3:11" ht="25.8" customHeight="1">
      <c r="C595" s="182">
        <v>1</v>
      </c>
      <c r="D595" s="182" t="s">
        <v>3664</v>
      </c>
      <c r="E595" s="70" t="s">
        <v>3651</v>
      </c>
      <c r="F595" s="118">
        <v>1</v>
      </c>
      <c r="G595" s="283">
        <f t="shared" ref="G595:G600" si="64">VLOOKUP(D595,upahbahan,3,FALSE)</f>
        <v>2400000</v>
      </c>
      <c r="H595" s="283">
        <f>F595*G595</f>
        <v>2400000</v>
      </c>
    </row>
    <row r="596" spans="3:11" ht="25.8" customHeight="1">
      <c r="C596" s="182">
        <v>2</v>
      </c>
      <c r="D596" s="182" t="s">
        <v>3655</v>
      </c>
      <c r="E596" s="70" t="s">
        <v>2167</v>
      </c>
      <c r="F596" s="118">
        <v>1</v>
      </c>
      <c r="G596" s="283">
        <f t="shared" si="64"/>
        <v>700000</v>
      </c>
      <c r="H596" s="283">
        <f t="shared" ref="H596:H600" si="65">F596*G596</f>
        <v>700000</v>
      </c>
    </row>
    <row r="597" spans="3:11" ht="25.8" customHeight="1">
      <c r="C597" s="182">
        <v>3</v>
      </c>
      <c r="D597" s="182" t="s">
        <v>3654</v>
      </c>
      <c r="E597" s="70" t="s">
        <v>2167</v>
      </c>
      <c r="F597" s="118">
        <v>1</v>
      </c>
      <c r="G597" s="283">
        <f t="shared" si="64"/>
        <v>104000</v>
      </c>
      <c r="H597" s="283">
        <f t="shared" si="65"/>
        <v>104000</v>
      </c>
    </row>
    <row r="598" spans="3:11" ht="25.8" customHeight="1">
      <c r="C598" s="182">
        <v>4</v>
      </c>
      <c r="D598" s="182" t="s">
        <v>3648</v>
      </c>
      <c r="E598" s="70" t="s">
        <v>2167</v>
      </c>
      <c r="F598" s="118">
        <v>1</v>
      </c>
      <c r="G598" s="283">
        <f t="shared" si="64"/>
        <v>85000</v>
      </c>
      <c r="H598" s="283">
        <f t="shared" si="65"/>
        <v>85000</v>
      </c>
    </row>
    <row r="599" spans="3:11" ht="25.8" customHeight="1">
      <c r="C599" s="182">
        <v>5</v>
      </c>
      <c r="D599" s="182" t="s">
        <v>3649</v>
      </c>
      <c r="E599" s="70" t="s">
        <v>2167</v>
      </c>
      <c r="F599" s="118">
        <v>2</v>
      </c>
      <c r="G599" s="283">
        <f t="shared" si="64"/>
        <v>750000</v>
      </c>
      <c r="H599" s="283">
        <f t="shared" si="65"/>
        <v>1500000</v>
      </c>
    </row>
    <row r="600" spans="3:11" ht="25.8" customHeight="1">
      <c r="C600" s="182">
        <v>6</v>
      </c>
      <c r="D600" s="182" t="s">
        <v>3650</v>
      </c>
      <c r="E600" s="291" t="s">
        <v>3652</v>
      </c>
      <c r="F600" s="327">
        <v>1</v>
      </c>
      <c r="G600" s="283">
        <f t="shared" si="64"/>
        <v>115000</v>
      </c>
      <c r="H600" s="283">
        <f t="shared" si="65"/>
        <v>115000</v>
      </c>
    </row>
    <row r="601" spans="3:11" ht="25.8" customHeight="1">
      <c r="C601" s="450" t="s">
        <v>1214</v>
      </c>
      <c r="D601" s="67"/>
      <c r="E601" s="67"/>
      <c r="F601" s="67"/>
      <c r="G601" s="69"/>
      <c r="H601" s="283">
        <f>SUM(H595:H600)</f>
        <v>4904000</v>
      </c>
    </row>
    <row r="602" spans="3:11" ht="25.8" customHeight="1">
      <c r="C602" s="176" t="s">
        <v>1215</v>
      </c>
      <c r="D602" s="182" t="s">
        <v>1216</v>
      </c>
      <c r="E602" s="70"/>
      <c r="F602" s="70"/>
      <c r="G602" s="70"/>
      <c r="H602" s="70"/>
    </row>
    <row r="603" spans="3:11" ht="25.8" customHeight="1">
      <c r="C603" s="450" t="s">
        <v>1217</v>
      </c>
      <c r="D603" s="67"/>
      <c r="E603" s="67"/>
      <c r="F603" s="67"/>
      <c r="G603" s="69"/>
      <c r="H603" s="871">
        <v>0</v>
      </c>
    </row>
    <row r="604" spans="3:11" ht="25.8" customHeight="1">
      <c r="C604" s="102" t="s">
        <v>1218</v>
      </c>
      <c r="D604" s="294" t="s">
        <v>1219</v>
      </c>
      <c r="E604" s="295"/>
      <c r="F604" s="295"/>
      <c r="G604" s="296"/>
      <c r="H604" s="872">
        <f>H603+H601+H593</f>
        <v>5087855</v>
      </c>
      <c r="I604" s="873"/>
    </row>
    <row r="605" spans="3:11" ht="25.8" customHeight="1">
      <c r="C605" s="102" t="s">
        <v>1220</v>
      </c>
      <c r="D605" s="294" t="s">
        <v>1321</v>
      </c>
      <c r="E605" s="295"/>
      <c r="F605" s="296"/>
      <c r="G605" s="298">
        <f>$O$199</f>
        <v>0.1</v>
      </c>
      <c r="H605" s="283">
        <f>H604*G605</f>
        <v>508785.5</v>
      </c>
      <c r="I605" s="873"/>
    </row>
    <row r="606" spans="3:11" ht="25.8" customHeight="1">
      <c r="C606" s="102" t="s">
        <v>1221</v>
      </c>
      <c r="D606" s="294" t="s">
        <v>1222</v>
      </c>
      <c r="E606" s="295"/>
      <c r="F606" s="295"/>
      <c r="G606" s="296"/>
      <c r="H606" s="874">
        <f>SUM(H604:H605)</f>
        <v>5596640.5</v>
      </c>
      <c r="I606" s="873"/>
    </row>
    <row r="607" spans="3:11" ht="25.8" customHeight="1"/>
    <row r="608" spans="3:11" ht="25.8" customHeight="1"/>
    <row r="609" spans="3:13" ht="25.8" customHeight="1">
      <c r="C609" s="867" t="s">
        <v>3665</v>
      </c>
      <c r="D609" s="1931" t="s">
        <v>3666</v>
      </c>
      <c r="E609" s="1931"/>
      <c r="F609" s="1931"/>
      <c r="G609" s="1931"/>
      <c r="H609" s="1931"/>
      <c r="I609" s="120">
        <f>ROUNDDOWN(H629,-2)</f>
        <v>5915400</v>
      </c>
      <c r="J609" s="120"/>
      <c r="K609" s="120"/>
      <c r="M609" s="475"/>
    </row>
    <row r="610" spans="3:13" ht="25.8" customHeight="1">
      <c r="C610" s="591" t="s">
        <v>1195</v>
      </c>
      <c r="D610" s="591" t="s">
        <v>1196</v>
      </c>
      <c r="E610" s="591" t="s">
        <v>1197</v>
      </c>
      <c r="F610" s="591" t="s">
        <v>1198</v>
      </c>
      <c r="G610" s="591" t="s">
        <v>1199</v>
      </c>
      <c r="H610" s="591" t="s">
        <v>1200</v>
      </c>
    </row>
    <row r="611" spans="3:13" ht="25.8" customHeight="1">
      <c r="C611" s="182" t="s">
        <v>1201</v>
      </c>
      <c r="D611" s="182" t="s">
        <v>1202</v>
      </c>
      <c r="E611" s="70"/>
      <c r="F611" s="70"/>
      <c r="G611" s="70"/>
      <c r="H611" s="70"/>
    </row>
    <row r="612" spans="3:13" ht="25.8" customHeight="1">
      <c r="C612" s="876">
        <v>1</v>
      </c>
      <c r="D612" s="182" t="s">
        <v>5</v>
      </c>
      <c r="E612" s="182" t="s">
        <v>6</v>
      </c>
      <c r="F612" s="309">
        <v>0.76200000000000001</v>
      </c>
      <c r="G612" s="283">
        <f>VLOOKUP(D612,upahbahan,3,FALSE)</f>
        <v>100000</v>
      </c>
      <c r="H612" s="283">
        <f t="shared" ref="H612:H615" si="66">F612*G612</f>
        <v>76200</v>
      </c>
    </row>
    <row r="613" spans="3:13" ht="25.8" customHeight="1">
      <c r="C613" s="876">
        <v>2</v>
      </c>
      <c r="D613" s="182" t="s">
        <v>3622</v>
      </c>
      <c r="E613" s="182" t="s">
        <v>6</v>
      </c>
      <c r="F613" s="309">
        <v>1.272</v>
      </c>
      <c r="G613" s="283">
        <f>VLOOKUP(D613,upahbahan,3,FALSE)</f>
        <v>135000</v>
      </c>
      <c r="H613" s="283">
        <f t="shared" si="66"/>
        <v>171720</v>
      </c>
    </row>
    <row r="614" spans="3:13" ht="25.8" customHeight="1">
      <c r="C614" s="876">
        <v>3</v>
      </c>
      <c r="D614" s="182" t="s">
        <v>18</v>
      </c>
      <c r="E614" s="182" t="s">
        <v>6</v>
      </c>
      <c r="F614" s="309">
        <v>0.127</v>
      </c>
      <c r="G614" s="283">
        <f>VLOOKUP(D614,upahbahan,3,FALSE)</f>
        <v>150000</v>
      </c>
      <c r="H614" s="283">
        <f t="shared" si="66"/>
        <v>19050</v>
      </c>
    </row>
    <row r="615" spans="3:13" ht="25.8" customHeight="1">
      <c r="C615" s="876">
        <v>4</v>
      </c>
      <c r="D615" s="182" t="s">
        <v>19</v>
      </c>
      <c r="E615" s="182" t="s">
        <v>6</v>
      </c>
      <c r="F615" s="309">
        <v>4.2000000000000003E-2</v>
      </c>
      <c r="G615" s="283">
        <f>VLOOKUP(D615,upahbahan,3,FALSE)</f>
        <v>160000</v>
      </c>
      <c r="H615" s="283">
        <f t="shared" si="66"/>
        <v>6720</v>
      </c>
    </row>
    <row r="616" spans="3:13" ht="25.8" customHeight="1">
      <c r="C616" s="450" t="s">
        <v>1208</v>
      </c>
      <c r="D616" s="67"/>
      <c r="E616" s="67"/>
      <c r="F616" s="142"/>
      <c r="G616" s="153"/>
      <c r="H616" s="283">
        <f>SUM(H612:H615)</f>
        <v>273690</v>
      </c>
      <c r="I616" s="319"/>
      <c r="J616" s="319"/>
      <c r="K616" s="319"/>
    </row>
    <row r="617" spans="3:13" ht="25.8" customHeight="1">
      <c r="C617" s="182" t="s">
        <v>1209</v>
      </c>
      <c r="D617" s="182" t="s">
        <v>1210</v>
      </c>
      <c r="E617" s="70"/>
      <c r="F617" s="70"/>
      <c r="G617" s="70"/>
      <c r="H617" s="70"/>
    </row>
    <row r="618" spans="3:13" ht="25.8" customHeight="1">
      <c r="C618" s="182">
        <v>1</v>
      </c>
      <c r="D618" s="182" t="s">
        <v>3667</v>
      </c>
      <c r="E618" s="70" t="s">
        <v>3651</v>
      </c>
      <c r="F618" s="118">
        <v>1</v>
      </c>
      <c r="G618" s="283">
        <f t="shared" ref="G618:G623" si="67">VLOOKUP(D618,upahbahan,3,FALSE)</f>
        <v>2600000</v>
      </c>
      <c r="H618" s="283">
        <f>F618*G618</f>
        <v>2600000</v>
      </c>
    </row>
    <row r="619" spans="3:13" ht="25.8" customHeight="1">
      <c r="C619" s="182">
        <v>2</v>
      </c>
      <c r="D619" s="182" t="s">
        <v>3655</v>
      </c>
      <c r="E619" s="70" t="s">
        <v>2167</v>
      </c>
      <c r="F619" s="118">
        <v>1</v>
      </c>
      <c r="G619" s="283">
        <f t="shared" si="67"/>
        <v>700000</v>
      </c>
      <c r="H619" s="283">
        <f t="shared" ref="H619:H623" si="68">F619*G619</f>
        <v>700000</v>
      </c>
    </row>
    <row r="620" spans="3:13" ht="25.8" customHeight="1">
      <c r="C620" s="182">
        <v>3</v>
      </c>
      <c r="D620" s="182" t="s">
        <v>3654</v>
      </c>
      <c r="E620" s="70" t="s">
        <v>2167</v>
      </c>
      <c r="F620" s="118">
        <v>1</v>
      </c>
      <c r="G620" s="283">
        <f t="shared" si="67"/>
        <v>104000</v>
      </c>
      <c r="H620" s="283">
        <f t="shared" si="68"/>
        <v>104000</v>
      </c>
    </row>
    <row r="621" spans="3:13" ht="25.8" customHeight="1">
      <c r="C621" s="182">
        <v>4</v>
      </c>
      <c r="D621" s="182" t="s">
        <v>3648</v>
      </c>
      <c r="E621" s="70" t="s">
        <v>2167</v>
      </c>
      <c r="F621" s="118">
        <v>1</v>
      </c>
      <c r="G621" s="283">
        <f t="shared" si="67"/>
        <v>85000</v>
      </c>
      <c r="H621" s="283">
        <f t="shared" si="68"/>
        <v>85000</v>
      </c>
    </row>
    <row r="622" spans="3:13" ht="25.8" customHeight="1">
      <c r="C622" s="182">
        <v>5</v>
      </c>
      <c r="D622" s="182" t="s">
        <v>3649</v>
      </c>
      <c r="E622" s="70" t="s">
        <v>2167</v>
      </c>
      <c r="F622" s="118">
        <v>2</v>
      </c>
      <c r="G622" s="283">
        <f t="shared" si="67"/>
        <v>750000</v>
      </c>
      <c r="H622" s="283">
        <f t="shared" si="68"/>
        <v>1500000</v>
      </c>
    </row>
    <row r="623" spans="3:13" ht="25.8" customHeight="1">
      <c r="C623" s="182">
        <v>6</v>
      </c>
      <c r="D623" s="182" t="s">
        <v>3650</v>
      </c>
      <c r="E623" s="291" t="s">
        <v>3652</v>
      </c>
      <c r="F623" s="327">
        <v>1</v>
      </c>
      <c r="G623" s="283">
        <f t="shared" si="67"/>
        <v>115000</v>
      </c>
      <c r="H623" s="283">
        <f t="shared" si="68"/>
        <v>115000</v>
      </c>
    </row>
    <row r="624" spans="3:13" ht="25.8" customHeight="1">
      <c r="C624" s="450" t="s">
        <v>1214</v>
      </c>
      <c r="D624" s="67"/>
      <c r="E624" s="67"/>
      <c r="F624" s="67"/>
      <c r="G624" s="69"/>
      <c r="H624" s="283">
        <f>SUM(H618:H623)</f>
        <v>5104000</v>
      </c>
    </row>
    <row r="625" spans="3:13" ht="25.8" customHeight="1">
      <c r="C625" s="176" t="s">
        <v>1215</v>
      </c>
      <c r="D625" s="182" t="s">
        <v>1216</v>
      </c>
      <c r="E625" s="70"/>
      <c r="F625" s="70"/>
      <c r="G625" s="70"/>
      <c r="H625" s="70"/>
    </row>
    <row r="626" spans="3:13" ht="25.8" customHeight="1">
      <c r="C626" s="450" t="s">
        <v>1217</v>
      </c>
      <c r="D626" s="67"/>
      <c r="E626" s="67"/>
      <c r="F626" s="67"/>
      <c r="G626" s="69"/>
      <c r="H626" s="871">
        <v>0</v>
      </c>
    </row>
    <row r="627" spans="3:13" ht="25.8" customHeight="1">
      <c r="C627" s="102" t="s">
        <v>1218</v>
      </c>
      <c r="D627" s="294" t="s">
        <v>1219</v>
      </c>
      <c r="E627" s="295"/>
      <c r="F627" s="295"/>
      <c r="G627" s="296"/>
      <c r="H627" s="872">
        <f>H626+H624+H616</f>
        <v>5377690</v>
      </c>
      <c r="I627" s="873"/>
    </row>
    <row r="628" spans="3:13" ht="25.8" customHeight="1">
      <c r="C628" s="102" t="s">
        <v>1220</v>
      </c>
      <c r="D628" s="294" t="s">
        <v>1321</v>
      </c>
      <c r="E628" s="295"/>
      <c r="F628" s="296"/>
      <c r="G628" s="298">
        <f>$O$199</f>
        <v>0.1</v>
      </c>
      <c r="H628" s="283">
        <f>H627*G628</f>
        <v>537769</v>
      </c>
      <c r="I628" s="873"/>
    </row>
    <row r="629" spans="3:13" ht="25.8" customHeight="1">
      <c r="C629" s="102" t="s">
        <v>1221</v>
      </c>
      <c r="D629" s="294" t="s">
        <v>1222</v>
      </c>
      <c r="E629" s="295"/>
      <c r="F629" s="295"/>
      <c r="G629" s="296"/>
      <c r="H629" s="874">
        <f>SUM(H627:H628)</f>
        <v>5915459</v>
      </c>
      <c r="I629" s="873"/>
    </row>
    <row r="630" spans="3:13" ht="25.8" customHeight="1"/>
    <row r="631" spans="3:13" ht="25.8" customHeight="1"/>
    <row r="632" spans="3:13" ht="25.8" customHeight="1">
      <c r="C632" s="867" t="s">
        <v>3668</v>
      </c>
      <c r="D632" s="1931" t="s">
        <v>3669</v>
      </c>
      <c r="E632" s="1931"/>
      <c r="F632" s="1931"/>
      <c r="G632" s="1931"/>
      <c r="H632" s="1931"/>
      <c r="I632" s="120">
        <f>ROUNDDOWN(H647,-2)</f>
        <v>840000</v>
      </c>
      <c r="J632" s="120"/>
      <c r="K632" s="120"/>
      <c r="M632" s="475"/>
    </row>
    <row r="633" spans="3:13" ht="25.8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</row>
    <row r="634" spans="3:13" ht="25.8" customHeight="1">
      <c r="C634" s="182" t="s">
        <v>1201</v>
      </c>
      <c r="D634" s="182" t="s">
        <v>1202</v>
      </c>
      <c r="E634" s="70"/>
      <c r="F634" s="70"/>
      <c r="G634" s="70"/>
      <c r="H634" s="70"/>
    </row>
    <row r="635" spans="3:13" ht="25.8" customHeight="1">
      <c r="C635" s="876">
        <v>1</v>
      </c>
      <c r="D635" s="182" t="s">
        <v>5</v>
      </c>
      <c r="E635" s="182" t="s">
        <v>6</v>
      </c>
      <c r="F635" s="309">
        <v>9.2999999999999999E-2</v>
      </c>
      <c r="G635" s="283">
        <f>VLOOKUP(D635,upahbahan,3,FALSE)</f>
        <v>100000</v>
      </c>
      <c r="H635" s="283">
        <f t="shared" ref="H635:H638" si="69">F635*G635</f>
        <v>9300</v>
      </c>
    </row>
    <row r="636" spans="3:13" ht="25.8" customHeight="1">
      <c r="C636" s="876">
        <v>2</v>
      </c>
      <c r="D636" s="182" t="s">
        <v>3622</v>
      </c>
      <c r="E636" s="182" t="s">
        <v>6</v>
      </c>
      <c r="F636" s="309">
        <v>0.155</v>
      </c>
      <c r="G636" s="283">
        <f>VLOOKUP(D636,upahbahan,3,FALSE)</f>
        <v>135000</v>
      </c>
      <c r="H636" s="283">
        <f t="shared" si="69"/>
        <v>20925</v>
      </c>
    </row>
    <row r="637" spans="3:13" ht="25.8" customHeight="1">
      <c r="C637" s="876">
        <v>3</v>
      </c>
      <c r="D637" s="182" t="s">
        <v>18</v>
      </c>
      <c r="E637" s="182" t="s">
        <v>6</v>
      </c>
      <c r="F637" s="309">
        <v>1.6E-2</v>
      </c>
      <c r="G637" s="283">
        <f>VLOOKUP(D637,upahbahan,3,FALSE)</f>
        <v>150000</v>
      </c>
      <c r="H637" s="283">
        <f t="shared" si="69"/>
        <v>2400</v>
      </c>
    </row>
    <row r="638" spans="3:13" ht="25.8" customHeight="1">
      <c r="C638" s="876">
        <v>4</v>
      </c>
      <c r="D638" s="182" t="s">
        <v>19</v>
      </c>
      <c r="E638" s="182" t="s">
        <v>6</v>
      </c>
      <c r="F638" s="309">
        <v>5.0000000000000001E-3</v>
      </c>
      <c r="G638" s="283">
        <f>VLOOKUP(D638,upahbahan,3,FALSE)</f>
        <v>160000</v>
      </c>
      <c r="H638" s="283">
        <f t="shared" si="69"/>
        <v>800</v>
      </c>
    </row>
    <row r="639" spans="3:13" ht="25.8" customHeight="1">
      <c r="C639" s="450" t="s">
        <v>1208</v>
      </c>
      <c r="D639" s="67"/>
      <c r="E639" s="67"/>
      <c r="F639" s="142"/>
      <c r="G639" s="153"/>
      <c r="H639" s="283">
        <f>SUM(H635:H638)</f>
        <v>33425</v>
      </c>
      <c r="I639" s="319"/>
      <c r="J639" s="319"/>
      <c r="K639" s="319"/>
    </row>
    <row r="640" spans="3:13" ht="25.8" customHeight="1">
      <c r="C640" s="182" t="s">
        <v>1209</v>
      </c>
      <c r="D640" s="182" t="s">
        <v>1210</v>
      </c>
      <c r="E640" s="70"/>
      <c r="F640" s="70"/>
      <c r="G640" s="70"/>
      <c r="H640" s="70"/>
    </row>
    <row r="641" spans="3:13" ht="25.8" customHeight="1">
      <c r="C641" s="182">
        <v>1</v>
      </c>
      <c r="D641" s="182" t="s">
        <v>3670</v>
      </c>
      <c r="E641" s="70" t="s">
        <v>3182</v>
      </c>
      <c r="F641" s="118">
        <v>1.1499999999999999</v>
      </c>
      <c r="G641" s="283">
        <f t="shared" ref="G641" si="70">VLOOKUP(D641,upahbahan,3,FALSE)</f>
        <v>635000</v>
      </c>
      <c r="H641" s="283">
        <f>F641*G641</f>
        <v>730250</v>
      </c>
    </row>
    <row r="642" spans="3:13" ht="25.8" customHeight="1">
      <c r="C642" s="450" t="s">
        <v>1214</v>
      </c>
      <c r="D642" s="67"/>
      <c r="E642" s="67"/>
      <c r="F642" s="67"/>
      <c r="G642" s="69"/>
      <c r="H642" s="283">
        <f>SUM(H641:H641)</f>
        <v>730250</v>
      </c>
    </row>
    <row r="643" spans="3:13" ht="25.8" customHeight="1">
      <c r="C643" s="176" t="s">
        <v>1215</v>
      </c>
      <c r="D643" s="182" t="s">
        <v>1216</v>
      </c>
      <c r="E643" s="70"/>
      <c r="F643" s="70"/>
      <c r="G643" s="70"/>
      <c r="H643" s="70"/>
    </row>
    <row r="644" spans="3:13" ht="25.8" customHeight="1">
      <c r="C644" s="450" t="s">
        <v>1217</v>
      </c>
      <c r="D644" s="67"/>
      <c r="E644" s="67"/>
      <c r="F644" s="67"/>
      <c r="G644" s="69"/>
      <c r="H644" s="871">
        <v>0</v>
      </c>
    </row>
    <row r="645" spans="3:13" ht="25.8" customHeight="1">
      <c r="C645" s="102" t="s">
        <v>1218</v>
      </c>
      <c r="D645" s="294" t="s">
        <v>1219</v>
      </c>
      <c r="E645" s="295"/>
      <c r="F645" s="295"/>
      <c r="G645" s="296"/>
      <c r="H645" s="872">
        <f>H644+H642+H639</f>
        <v>763675</v>
      </c>
      <c r="I645" s="873"/>
    </row>
    <row r="646" spans="3:13" ht="25.8" customHeight="1">
      <c r="C646" s="102" t="s">
        <v>1220</v>
      </c>
      <c r="D646" s="294" t="s">
        <v>1321</v>
      </c>
      <c r="E646" s="295"/>
      <c r="F646" s="296"/>
      <c r="G646" s="298">
        <f>$O$199</f>
        <v>0.1</v>
      </c>
      <c r="H646" s="283">
        <f>H645*G646</f>
        <v>76367.5</v>
      </c>
      <c r="I646" s="873"/>
    </row>
    <row r="647" spans="3:13" ht="25.8" customHeight="1">
      <c r="C647" s="102" t="s">
        <v>1221</v>
      </c>
      <c r="D647" s="294" t="s">
        <v>1222</v>
      </c>
      <c r="E647" s="295"/>
      <c r="F647" s="295"/>
      <c r="G647" s="296"/>
      <c r="H647" s="874">
        <f>SUM(H645:H646)</f>
        <v>840042.5</v>
      </c>
      <c r="I647" s="873"/>
    </row>
    <row r="648" spans="3:13" ht="25.8" customHeight="1"/>
    <row r="649" spans="3:13" ht="25.8" customHeight="1"/>
    <row r="650" spans="3:13" ht="25.8" customHeight="1">
      <c r="C650" s="867" t="s">
        <v>3671</v>
      </c>
      <c r="D650" s="1931" t="s">
        <v>3672</v>
      </c>
      <c r="E650" s="1931"/>
      <c r="F650" s="1931"/>
      <c r="G650" s="1931"/>
      <c r="H650" s="1931"/>
      <c r="I650" s="120">
        <f>ROUNDDOWN(H665,-2)</f>
        <v>1042000</v>
      </c>
      <c r="J650" s="120"/>
      <c r="K650" s="120"/>
      <c r="M650" s="475"/>
    </row>
    <row r="651" spans="3:13" ht="25.8" customHeight="1">
      <c r="C651" s="591" t="s">
        <v>1195</v>
      </c>
      <c r="D651" s="591" t="s">
        <v>1196</v>
      </c>
      <c r="E651" s="591" t="s">
        <v>1197</v>
      </c>
      <c r="F651" s="591" t="s">
        <v>1198</v>
      </c>
      <c r="G651" s="591" t="s">
        <v>1199</v>
      </c>
      <c r="H651" s="591" t="s">
        <v>1200</v>
      </c>
    </row>
    <row r="652" spans="3:13" ht="25.8" customHeight="1">
      <c r="C652" s="182" t="s">
        <v>1201</v>
      </c>
      <c r="D652" s="182" t="s">
        <v>1202</v>
      </c>
      <c r="E652" s="70"/>
      <c r="F652" s="70"/>
      <c r="G652" s="70"/>
      <c r="H652" s="70"/>
    </row>
    <row r="653" spans="3:13" ht="25.8" customHeight="1">
      <c r="C653" s="876">
        <v>1</v>
      </c>
      <c r="D653" s="182" t="s">
        <v>5</v>
      </c>
      <c r="E653" s="182" t="s">
        <v>6</v>
      </c>
      <c r="F653" s="309">
        <v>0.183</v>
      </c>
      <c r="G653" s="283">
        <f>VLOOKUP(D653,upahbahan,3,FALSE)</f>
        <v>100000</v>
      </c>
      <c r="H653" s="283">
        <f t="shared" ref="H653:H656" si="71">F653*G653</f>
        <v>18300</v>
      </c>
    </row>
    <row r="654" spans="3:13" ht="25.8" customHeight="1">
      <c r="C654" s="876">
        <v>2</v>
      </c>
      <c r="D654" s="182" t="s">
        <v>3622</v>
      </c>
      <c r="E654" s="182" t="s">
        <v>6</v>
      </c>
      <c r="F654" s="309">
        <v>0.30599999999999999</v>
      </c>
      <c r="G654" s="283">
        <f>VLOOKUP(D654,upahbahan,3,FALSE)</f>
        <v>135000</v>
      </c>
      <c r="H654" s="283">
        <f t="shared" si="71"/>
        <v>41310</v>
      </c>
    </row>
    <row r="655" spans="3:13" ht="25.8" customHeight="1">
      <c r="C655" s="876">
        <v>3</v>
      </c>
      <c r="D655" s="182" t="s">
        <v>18</v>
      </c>
      <c r="E655" s="182" t="s">
        <v>6</v>
      </c>
      <c r="F655" s="309">
        <v>3.1E-2</v>
      </c>
      <c r="G655" s="283">
        <f>VLOOKUP(D655,upahbahan,3,FALSE)</f>
        <v>150000</v>
      </c>
      <c r="H655" s="283">
        <f t="shared" si="71"/>
        <v>4650</v>
      </c>
    </row>
    <row r="656" spans="3:13" ht="25.8" customHeight="1">
      <c r="C656" s="876">
        <v>4</v>
      </c>
      <c r="D656" s="182" t="s">
        <v>19</v>
      </c>
      <c r="E656" s="182" t="s">
        <v>6</v>
      </c>
      <c r="F656" s="309">
        <v>0.01</v>
      </c>
      <c r="G656" s="283">
        <f>VLOOKUP(D656,upahbahan,3,FALSE)</f>
        <v>160000</v>
      </c>
      <c r="H656" s="283">
        <f t="shared" si="71"/>
        <v>1600</v>
      </c>
    </row>
    <row r="657" spans="3:13" ht="25.8" customHeight="1">
      <c r="C657" s="450" t="s">
        <v>1208</v>
      </c>
      <c r="D657" s="67"/>
      <c r="E657" s="67"/>
      <c r="F657" s="142"/>
      <c r="G657" s="153"/>
      <c r="H657" s="283">
        <f>SUM(H653:H656)</f>
        <v>65860</v>
      </c>
      <c r="I657" s="319"/>
      <c r="J657" s="319"/>
      <c r="K657" s="319"/>
    </row>
    <row r="658" spans="3:13" ht="25.8" customHeight="1">
      <c r="C658" s="182" t="s">
        <v>1209</v>
      </c>
      <c r="D658" s="182" t="s">
        <v>1210</v>
      </c>
      <c r="E658" s="70"/>
      <c r="F658" s="70"/>
      <c r="G658" s="70"/>
      <c r="H658" s="70"/>
    </row>
    <row r="659" spans="3:13" ht="25.8" customHeight="1">
      <c r="C659" s="182">
        <v>1</v>
      </c>
      <c r="D659" s="182" t="s">
        <v>3673</v>
      </c>
      <c r="E659" s="70" t="s">
        <v>3182</v>
      </c>
      <c r="F659" s="118">
        <v>1.1499999999999999</v>
      </c>
      <c r="G659" s="283">
        <f t="shared" ref="G659" si="72">VLOOKUP(D659,upahbahan,3,FALSE)</f>
        <v>766500</v>
      </c>
      <c r="H659" s="283">
        <f>F659*G659</f>
        <v>881474.99999999988</v>
      </c>
    </row>
    <row r="660" spans="3:13" ht="25.8" customHeight="1">
      <c r="C660" s="450" t="s">
        <v>1214</v>
      </c>
      <c r="D660" s="67"/>
      <c r="E660" s="67"/>
      <c r="F660" s="67"/>
      <c r="G660" s="69"/>
      <c r="H660" s="283">
        <f>SUM(H659:H659)</f>
        <v>881474.99999999988</v>
      </c>
    </row>
    <row r="661" spans="3:13" ht="25.8" customHeight="1">
      <c r="C661" s="176" t="s">
        <v>1215</v>
      </c>
      <c r="D661" s="182" t="s">
        <v>1216</v>
      </c>
      <c r="E661" s="70"/>
      <c r="F661" s="70"/>
      <c r="G661" s="70"/>
      <c r="H661" s="70"/>
    </row>
    <row r="662" spans="3:13" ht="25.8" customHeight="1">
      <c r="C662" s="450" t="s">
        <v>1217</v>
      </c>
      <c r="D662" s="67"/>
      <c r="E662" s="67"/>
      <c r="F662" s="67"/>
      <c r="G662" s="69"/>
      <c r="H662" s="871">
        <v>0</v>
      </c>
    </row>
    <row r="663" spans="3:13" ht="25.8" customHeight="1">
      <c r="C663" s="102" t="s">
        <v>1218</v>
      </c>
      <c r="D663" s="294" t="s">
        <v>1219</v>
      </c>
      <c r="E663" s="295"/>
      <c r="F663" s="295"/>
      <c r="G663" s="296"/>
      <c r="H663" s="872">
        <f>H662+H660+H657</f>
        <v>947334.99999999988</v>
      </c>
      <c r="I663" s="873"/>
    </row>
    <row r="664" spans="3:13" ht="25.8" customHeight="1">
      <c r="C664" s="102" t="s">
        <v>1220</v>
      </c>
      <c r="D664" s="294" t="s">
        <v>1321</v>
      </c>
      <c r="E664" s="295"/>
      <c r="F664" s="296"/>
      <c r="G664" s="298">
        <f>$O$199</f>
        <v>0.1</v>
      </c>
      <c r="H664" s="283">
        <f>H663*G664</f>
        <v>94733.5</v>
      </c>
      <c r="I664" s="873"/>
    </row>
    <row r="665" spans="3:13" ht="25.8" customHeight="1">
      <c r="C665" s="102" t="s">
        <v>1221</v>
      </c>
      <c r="D665" s="294" t="s">
        <v>1222</v>
      </c>
      <c r="E665" s="295"/>
      <c r="F665" s="295"/>
      <c r="G665" s="296"/>
      <c r="H665" s="874">
        <f>SUM(H663:H664)</f>
        <v>1042068.4999999999</v>
      </c>
      <c r="I665" s="873"/>
    </row>
    <row r="666" spans="3:13" ht="25.8" customHeight="1"/>
    <row r="667" spans="3:13" ht="25.8" customHeight="1"/>
    <row r="668" spans="3:13" ht="25.8" customHeight="1">
      <c r="C668" s="867" t="s">
        <v>3674</v>
      </c>
      <c r="D668" s="1931" t="s">
        <v>3675</v>
      </c>
      <c r="E668" s="1931"/>
      <c r="F668" s="1931"/>
      <c r="G668" s="1931"/>
      <c r="H668" s="1931"/>
      <c r="I668" s="120">
        <f>ROUNDDOWN(H683,-2)</f>
        <v>1650800</v>
      </c>
      <c r="J668" s="120"/>
      <c r="K668" s="120"/>
      <c r="M668" s="475"/>
    </row>
    <row r="669" spans="3:13" ht="25.8" customHeight="1">
      <c r="C669" s="591" t="s">
        <v>1195</v>
      </c>
      <c r="D669" s="591" t="s">
        <v>1196</v>
      </c>
      <c r="E669" s="591" t="s">
        <v>1197</v>
      </c>
      <c r="F669" s="591" t="s">
        <v>1198</v>
      </c>
      <c r="G669" s="591" t="s">
        <v>1199</v>
      </c>
      <c r="H669" s="591" t="s">
        <v>1200</v>
      </c>
    </row>
    <row r="670" spans="3:13" ht="25.8" customHeight="1">
      <c r="C670" s="182" t="s">
        <v>1201</v>
      </c>
      <c r="D670" s="182" t="s">
        <v>1202</v>
      </c>
      <c r="E670" s="70"/>
      <c r="F670" s="70"/>
      <c r="G670" s="70"/>
      <c r="H670" s="70"/>
    </row>
    <row r="671" spans="3:13" ht="25.8" customHeight="1">
      <c r="C671" s="876">
        <v>1</v>
      </c>
      <c r="D671" s="182" t="s">
        <v>5</v>
      </c>
      <c r="E671" s="182" t="s">
        <v>6</v>
      </c>
      <c r="F671" s="309">
        <v>0.63100000000000001</v>
      </c>
      <c r="G671" s="283">
        <f>VLOOKUP(D671,upahbahan,3,FALSE)</f>
        <v>100000</v>
      </c>
      <c r="H671" s="283">
        <f t="shared" ref="H671:H674" si="73">F671*G671</f>
        <v>63100</v>
      </c>
    </row>
    <row r="672" spans="3:13" ht="25.8" customHeight="1">
      <c r="C672" s="876">
        <v>2</v>
      </c>
      <c r="D672" s="182" t="s">
        <v>3622</v>
      </c>
      <c r="E672" s="182" t="s">
        <v>6</v>
      </c>
      <c r="F672" s="309">
        <v>1.054</v>
      </c>
      <c r="G672" s="283">
        <f>VLOOKUP(D672,upahbahan,3,FALSE)</f>
        <v>135000</v>
      </c>
      <c r="H672" s="283">
        <f t="shared" si="73"/>
        <v>142290</v>
      </c>
    </row>
    <row r="673" spans="3:13" ht="25.8" customHeight="1">
      <c r="C673" s="876">
        <v>3</v>
      </c>
      <c r="D673" s="182" t="s">
        <v>18</v>
      </c>
      <c r="E673" s="182" t="s">
        <v>6</v>
      </c>
      <c r="F673" s="309">
        <v>0.105</v>
      </c>
      <c r="G673" s="283">
        <f>VLOOKUP(D673,upahbahan,3,FALSE)</f>
        <v>150000</v>
      </c>
      <c r="H673" s="283">
        <f t="shared" si="73"/>
        <v>15750</v>
      </c>
    </row>
    <row r="674" spans="3:13" ht="25.8" customHeight="1">
      <c r="C674" s="876">
        <v>4</v>
      </c>
      <c r="D674" s="182" t="s">
        <v>19</v>
      </c>
      <c r="E674" s="182" t="s">
        <v>6</v>
      </c>
      <c r="F674" s="309">
        <v>3.5000000000000003E-2</v>
      </c>
      <c r="G674" s="283">
        <f>VLOOKUP(D674,upahbahan,3,FALSE)</f>
        <v>160000</v>
      </c>
      <c r="H674" s="283">
        <f t="shared" si="73"/>
        <v>5600.0000000000009</v>
      </c>
    </row>
    <row r="675" spans="3:13" ht="25.8" customHeight="1">
      <c r="C675" s="450" t="s">
        <v>1208</v>
      </c>
      <c r="D675" s="67"/>
      <c r="E675" s="67"/>
      <c r="F675" s="142"/>
      <c r="G675" s="153"/>
      <c r="H675" s="283">
        <f>SUM(H671:H674)</f>
        <v>226740</v>
      </c>
      <c r="I675" s="319"/>
      <c r="J675" s="319"/>
      <c r="K675" s="319"/>
    </row>
    <row r="676" spans="3:13" ht="25.8" customHeight="1">
      <c r="C676" s="182" t="s">
        <v>1209</v>
      </c>
      <c r="D676" s="182" t="s">
        <v>1210</v>
      </c>
      <c r="E676" s="70"/>
      <c r="F676" s="70"/>
      <c r="G676" s="70"/>
      <c r="H676" s="70"/>
    </row>
    <row r="677" spans="3:13" ht="25.8" customHeight="1">
      <c r="C677" s="182">
        <v>1</v>
      </c>
      <c r="D677" s="182" t="s">
        <v>3676</v>
      </c>
      <c r="E677" s="70" t="s">
        <v>3182</v>
      </c>
      <c r="F677" s="118">
        <v>1.3</v>
      </c>
      <c r="G677" s="283">
        <f t="shared" ref="G677" si="74">VLOOKUP(D677,upahbahan,3,FALSE)</f>
        <v>980000</v>
      </c>
      <c r="H677" s="283">
        <f>F677*G677</f>
        <v>1274000</v>
      </c>
    </row>
    <row r="678" spans="3:13" ht="25.8" customHeight="1">
      <c r="C678" s="450" t="s">
        <v>1214</v>
      </c>
      <c r="D678" s="67"/>
      <c r="E678" s="67"/>
      <c r="F678" s="67"/>
      <c r="G678" s="69"/>
      <c r="H678" s="283">
        <f>SUM(H677:H677)</f>
        <v>1274000</v>
      </c>
    </row>
    <row r="679" spans="3:13" ht="25.8" customHeight="1">
      <c r="C679" s="176" t="s">
        <v>1215</v>
      </c>
      <c r="D679" s="182" t="s">
        <v>1216</v>
      </c>
      <c r="E679" s="70"/>
      <c r="F679" s="70"/>
      <c r="G679" s="70"/>
      <c r="H679" s="70"/>
    </row>
    <row r="680" spans="3:13" ht="25.8" customHeight="1">
      <c r="C680" s="450" t="s">
        <v>1217</v>
      </c>
      <c r="D680" s="67"/>
      <c r="E680" s="67"/>
      <c r="F680" s="67"/>
      <c r="G680" s="69"/>
      <c r="H680" s="871">
        <v>0</v>
      </c>
    </row>
    <row r="681" spans="3:13" ht="25.8" customHeight="1">
      <c r="C681" s="102" t="s">
        <v>1218</v>
      </c>
      <c r="D681" s="294" t="s">
        <v>1219</v>
      </c>
      <c r="E681" s="295"/>
      <c r="F681" s="295"/>
      <c r="G681" s="296"/>
      <c r="H681" s="872">
        <f>H680+H678+H675</f>
        <v>1500740</v>
      </c>
      <c r="I681" s="873"/>
    </row>
    <row r="682" spans="3:13" ht="25.8" customHeight="1">
      <c r="C682" s="102" t="s">
        <v>1220</v>
      </c>
      <c r="D682" s="294" t="s">
        <v>1321</v>
      </c>
      <c r="E682" s="295"/>
      <c r="F682" s="296"/>
      <c r="G682" s="298">
        <f>$O$199</f>
        <v>0.1</v>
      </c>
      <c r="H682" s="283">
        <f>H681*G682</f>
        <v>150074</v>
      </c>
      <c r="I682" s="873"/>
    </row>
    <row r="683" spans="3:13" ht="25.8" customHeight="1">
      <c r="C683" s="102" t="s">
        <v>1221</v>
      </c>
      <c r="D683" s="294" t="s">
        <v>1222</v>
      </c>
      <c r="E683" s="295"/>
      <c r="F683" s="295"/>
      <c r="G683" s="296"/>
      <c r="H683" s="874">
        <f>SUM(H681:H682)</f>
        <v>1650814</v>
      </c>
      <c r="I683" s="873"/>
    </row>
    <row r="684" spans="3:13" ht="25.8" customHeight="1"/>
    <row r="685" spans="3:13" ht="25.8" customHeight="1"/>
    <row r="686" spans="3:13" ht="25.8" customHeight="1">
      <c r="C686" s="867" t="s">
        <v>3677</v>
      </c>
      <c r="D686" s="1931" t="s">
        <v>3678</v>
      </c>
      <c r="E686" s="1931"/>
      <c r="F686" s="1931"/>
      <c r="G686" s="1931"/>
      <c r="H686" s="1931"/>
      <c r="I686" s="120">
        <f>ROUNDDOWN(H701,-2)</f>
        <v>2016200</v>
      </c>
      <c r="J686" s="120"/>
      <c r="K686" s="120"/>
      <c r="M686" s="475"/>
    </row>
    <row r="687" spans="3:13" ht="25.8" customHeight="1">
      <c r="C687" s="591" t="s">
        <v>1195</v>
      </c>
      <c r="D687" s="591" t="s">
        <v>1196</v>
      </c>
      <c r="E687" s="591" t="s">
        <v>1197</v>
      </c>
      <c r="F687" s="591" t="s">
        <v>1198</v>
      </c>
      <c r="G687" s="591" t="s">
        <v>1199</v>
      </c>
      <c r="H687" s="591" t="s">
        <v>1200</v>
      </c>
    </row>
    <row r="688" spans="3:13" ht="25.8" customHeight="1">
      <c r="C688" s="182" t="s">
        <v>1201</v>
      </c>
      <c r="D688" s="182" t="s">
        <v>1202</v>
      </c>
      <c r="E688" s="70"/>
      <c r="F688" s="70"/>
      <c r="G688" s="70"/>
      <c r="H688" s="70"/>
    </row>
    <row r="689" spans="3:13" ht="25.8" customHeight="1">
      <c r="C689" s="876">
        <v>1</v>
      </c>
      <c r="D689" s="182" t="s">
        <v>5</v>
      </c>
      <c r="E689" s="182" t="s">
        <v>6</v>
      </c>
      <c r="F689" s="309">
        <v>0.94</v>
      </c>
      <c r="G689" s="283">
        <f>VLOOKUP(D689,upahbahan,3,FALSE)</f>
        <v>100000</v>
      </c>
      <c r="H689" s="283">
        <f t="shared" ref="H689:H692" si="75">F689*G689</f>
        <v>94000</v>
      </c>
    </row>
    <row r="690" spans="3:13" ht="25.8" customHeight="1">
      <c r="C690" s="876">
        <v>2</v>
      </c>
      <c r="D690" s="182" t="s">
        <v>3622</v>
      </c>
      <c r="E690" s="182" t="s">
        <v>6</v>
      </c>
      <c r="F690" s="309">
        <v>1.571</v>
      </c>
      <c r="G690" s="283">
        <f>VLOOKUP(D690,upahbahan,3,FALSE)</f>
        <v>135000</v>
      </c>
      <c r="H690" s="283">
        <f t="shared" si="75"/>
        <v>212085</v>
      </c>
    </row>
    <row r="691" spans="3:13" ht="25.8" customHeight="1">
      <c r="C691" s="876">
        <v>3</v>
      </c>
      <c r="D691" s="182" t="s">
        <v>18</v>
      </c>
      <c r="E691" s="182" t="s">
        <v>6</v>
      </c>
      <c r="F691" s="309">
        <v>0.157</v>
      </c>
      <c r="G691" s="283">
        <f>VLOOKUP(D691,upahbahan,3,FALSE)</f>
        <v>150000</v>
      </c>
      <c r="H691" s="283">
        <f t="shared" si="75"/>
        <v>23550</v>
      </c>
    </row>
    <row r="692" spans="3:13" ht="25.8" customHeight="1">
      <c r="C692" s="876">
        <v>4</v>
      </c>
      <c r="D692" s="182" t="s">
        <v>19</v>
      </c>
      <c r="E692" s="182" t="s">
        <v>6</v>
      </c>
      <c r="F692" s="309">
        <v>5.1999999999999998E-2</v>
      </c>
      <c r="G692" s="283">
        <f>VLOOKUP(D692,upahbahan,3,FALSE)</f>
        <v>160000</v>
      </c>
      <c r="H692" s="283">
        <f t="shared" si="75"/>
        <v>8320</v>
      </c>
    </row>
    <row r="693" spans="3:13" ht="25.8" customHeight="1">
      <c r="C693" s="450" t="s">
        <v>1208</v>
      </c>
      <c r="D693" s="67"/>
      <c r="E693" s="67"/>
      <c r="F693" s="142"/>
      <c r="G693" s="153"/>
      <c r="H693" s="283">
        <f>SUM(H689:H692)</f>
        <v>337955</v>
      </c>
      <c r="I693" s="319"/>
      <c r="J693" s="319"/>
      <c r="K693" s="319"/>
    </row>
    <row r="694" spans="3:13" ht="25.8" customHeight="1">
      <c r="C694" s="182" t="s">
        <v>1209</v>
      </c>
      <c r="D694" s="182" t="s">
        <v>1210</v>
      </c>
      <c r="E694" s="70"/>
      <c r="F694" s="70"/>
      <c r="G694" s="70"/>
      <c r="H694" s="70"/>
    </row>
    <row r="695" spans="3:13" ht="25.8" customHeight="1">
      <c r="C695" s="182">
        <v>1</v>
      </c>
      <c r="D695" s="182" t="s">
        <v>3679</v>
      </c>
      <c r="E695" s="70" t="s">
        <v>135</v>
      </c>
      <c r="F695" s="118">
        <v>1.3</v>
      </c>
      <c r="G695" s="283">
        <f t="shared" ref="G695" si="76">VLOOKUP(D695,upahbahan,3,FALSE)</f>
        <v>1150000</v>
      </c>
      <c r="H695" s="283">
        <f>F695*G695</f>
        <v>1495000</v>
      </c>
    </row>
    <row r="696" spans="3:13" ht="25.8" customHeight="1">
      <c r="C696" s="450" t="s">
        <v>1214</v>
      </c>
      <c r="D696" s="67"/>
      <c r="E696" s="67"/>
      <c r="F696" s="67"/>
      <c r="G696" s="69"/>
      <c r="H696" s="283">
        <f>SUM(H695:H695)</f>
        <v>1495000</v>
      </c>
    </row>
    <row r="697" spans="3:13" ht="25.8" customHeight="1">
      <c r="C697" s="176" t="s">
        <v>1215</v>
      </c>
      <c r="D697" s="182" t="s">
        <v>1216</v>
      </c>
      <c r="E697" s="70"/>
      <c r="F697" s="70"/>
      <c r="G697" s="70"/>
      <c r="H697" s="70"/>
    </row>
    <row r="698" spans="3:13" ht="25.8" customHeight="1">
      <c r="C698" s="450" t="s">
        <v>1217</v>
      </c>
      <c r="D698" s="67"/>
      <c r="E698" s="67"/>
      <c r="F698" s="67"/>
      <c r="G698" s="69"/>
      <c r="H698" s="871">
        <v>0</v>
      </c>
    </row>
    <row r="699" spans="3:13" ht="25.8" customHeight="1">
      <c r="C699" s="102" t="s">
        <v>1218</v>
      </c>
      <c r="D699" s="294" t="s">
        <v>1219</v>
      </c>
      <c r="E699" s="295"/>
      <c r="F699" s="295"/>
      <c r="G699" s="296"/>
      <c r="H699" s="872">
        <f>H698+H696+H693</f>
        <v>1832955</v>
      </c>
      <c r="I699" s="873"/>
    </row>
    <row r="700" spans="3:13" ht="25.8" customHeight="1">
      <c r="C700" s="102" t="s">
        <v>1220</v>
      </c>
      <c r="D700" s="294" t="s">
        <v>1321</v>
      </c>
      <c r="E700" s="295"/>
      <c r="F700" s="296"/>
      <c r="G700" s="298">
        <f>$O$199</f>
        <v>0.1</v>
      </c>
      <c r="H700" s="283">
        <f>H699*G700</f>
        <v>183295.5</v>
      </c>
      <c r="I700" s="873"/>
    </row>
    <row r="701" spans="3:13" ht="25.8" customHeight="1">
      <c r="C701" s="102" t="s">
        <v>1221</v>
      </c>
      <c r="D701" s="294" t="s">
        <v>1222</v>
      </c>
      <c r="E701" s="295"/>
      <c r="F701" s="295"/>
      <c r="G701" s="296"/>
      <c r="H701" s="874">
        <f>SUM(H699:H700)</f>
        <v>2016250.5</v>
      </c>
      <c r="I701" s="873"/>
    </row>
    <row r="702" spans="3:13" ht="25.8" customHeight="1"/>
    <row r="703" spans="3:13" ht="25.8" customHeight="1"/>
    <row r="704" spans="3:13" ht="25.8" customHeight="1">
      <c r="C704" s="867" t="s">
        <v>3680</v>
      </c>
      <c r="D704" s="1931" t="s">
        <v>3681</v>
      </c>
      <c r="E704" s="1931"/>
      <c r="F704" s="1931"/>
      <c r="G704" s="1931"/>
      <c r="H704" s="1931"/>
      <c r="I704" s="120">
        <f>ROUNDDOWN(H719,-2)</f>
        <v>1858000</v>
      </c>
      <c r="J704" s="120"/>
      <c r="K704" s="120"/>
      <c r="M704" s="475"/>
    </row>
    <row r="705" spans="3:11" ht="25.8" customHeight="1">
      <c r="C705" s="591" t="s">
        <v>1195</v>
      </c>
      <c r="D705" s="591" t="s">
        <v>1196</v>
      </c>
      <c r="E705" s="591" t="s">
        <v>1197</v>
      </c>
      <c r="F705" s="591" t="s">
        <v>1198</v>
      </c>
      <c r="G705" s="591" t="s">
        <v>1199</v>
      </c>
      <c r="H705" s="591" t="s">
        <v>1200</v>
      </c>
    </row>
    <row r="706" spans="3:11" ht="25.8" customHeight="1">
      <c r="C706" s="182" t="s">
        <v>1201</v>
      </c>
      <c r="D706" s="182" t="s">
        <v>1202</v>
      </c>
      <c r="E706" s="70"/>
      <c r="F706" s="70"/>
      <c r="G706" s="70"/>
      <c r="H706" s="70"/>
    </row>
    <row r="707" spans="3:11" ht="25.8" customHeight="1">
      <c r="C707" s="876">
        <v>1</v>
      </c>
      <c r="D707" s="182" t="s">
        <v>5</v>
      </c>
      <c r="E707" s="182" t="s">
        <v>6</v>
      </c>
      <c r="F707" s="309">
        <v>0.72099999999999997</v>
      </c>
      <c r="G707" s="283">
        <f>VLOOKUP(D707,upahbahan,3,FALSE)</f>
        <v>100000</v>
      </c>
      <c r="H707" s="283">
        <f t="shared" ref="H707:H710" si="77">F707*G707</f>
        <v>72100</v>
      </c>
    </row>
    <row r="708" spans="3:11" ht="25.8" customHeight="1">
      <c r="C708" s="876">
        <v>2</v>
      </c>
      <c r="D708" s="182" t="s">
        <v>3622</v>
      </c>
      <c r="E708" s="182" t="s">
        <v>6</v>
      </c>
      <c r="F708" s="309">
        <v>1.2050000000000001</v>
      </c>
      <c r="G708" s="283">
        <f>VLOOKUP(D708,upahbahan,3,FALSE)</f>
        <v>135000</v>
      </c>
      <c r="H708" s="283">
        <f t="shared" si="77"/>
        <v>162675</v>
      </c>
    </row>
    <row r="709" spans="3:11" ht="25.8" customHeight="1">
      <c r="C709" s="876">
        <v>3</v>
      </c>
      <c r="D709" s="182" t="s">
        <v>18</v>
      </c>
      <c r="E709" s="182" t="s">
        <v>6</v>
      </c>
      <c r="F709" s="309">
        <v>0.12</v>
      </c>
      <c r="G709" s="283">
        <f>VLOOKUP(D709,upahbahan,3,FALSE)</f>
        <v>150000</v>
      </c>
      <c r="H709" s="283">
        <f t="shared" si="77"/>
        <v>18000</v>
      </c>
    </row>
    <row r="710" spans="3:11" ht="25.8" customHeight="1">
      <c r="C710" s="876">
        <v>4</v>
      </c>
      <c r="D710" s="182" t="s">
        <v>19</v>
      </c>
      <c r="E710" s="182" t="s">
        <v>6</v>
      </c>
      <c r="F710" s="309">
        <v>0.04</v>
      </c>
      <c r="G710" s="283">
        <f>VLOOKUP(D710,upahbahan,3,FALSE)</f>
        <v>160000</v>
      </c>
      <c r="H710" s="283">
        <f t="shared" si="77"/>
        <v>6400</v>
      </c>
    </row>
    <row r="711" spans="3:11" ht="25.8" customHeight="1">
      <c r="C711" s="450" t="s">
        <v>1208</v>
      </c>
      <c r="D711" s="67"/>
      <c r="E711" s="67"/>
      <c r="F711" s="142"/>
      <c r="G711" s="153"/>
      <c r="H711" s="283">
        <f>SUM(H707:H710)</f>
        <v>259175</v>
      </c>
      <c r="I711" s="319"/>
      <c r="J711" s="319"/>
      <c r="K711" s="319"/>
    </row>
    <row r="712" spans="3:11" ht="25.8" customHeight="1">
      <c r="C712" s="182" t="s">
        <v>1209</v>
      </c>
      <c r="D712" s="182" t="s">
        <v>1210</v>
      </c>
      <c r="E712" s="70"/>
      <c r="F712" s="70"/>
      <c r="G712" s="70"/>
      <c r="H712" s="70"/>
    </row>
    <row r="713" spans="3:11" ht="25.8" customHeight="1">
      <c r="C713" s="182">
        <v>1</v>
      </c>
      <c r="D713" s="182" t="s">
        <v>3682</v>
      </c>
      <c r="E713" s="70" t="s">
        <v>3182</v>
      </c>
      <c r="F713" s="118">
        <v>1.1000000000000001</v>
      </c>
      <c r="G713" s="283">
        <f t="shared" ref="G713" si="78">VLOOKUP(D713,upahbahan,3,FALSE)</f>
        <v>1300000</v>
      </c>
      <c r="H713" s="283">
        <f>F713*G713</f>
        <v>1430000</v>
      </c>
    </row>
    <row r="714" spans="3:11" ht="25.8" customHeight="1">
      <c r="C714" s="450" t="s">
        <v>1214</v>
      </c>
      <c r="D714" s="67"/>
      <c r="E714" s="67"/>
      <c r="F714" s="67"/>
      <c r="G714" s="69"/>
      <c r="H714" s="283">
        <f>SUM(H713:H713)</f>
        <v>1430000</v>
      </c>
    </row>
    <row r="715" spans="3:11" ht="25.8" customHeight="1">
      <c r="C715" s="176" t="s">
        <v>1215</v>
      </c>
      <c r="D715" s="182" t="s">
        <v>1216</v>
      </c>
      <c r="E715" s="70"/>
      <c r="F715" s="70"/>
      <c r="G715" s="70"/>
      <c r="H715" s="70"/>
    </row>
    <row r="716" spans="3:11" ht="25.8" customHeight="1">
      <c r="C716" s="450" t="s">
        <v>1217</v>
      </c>
      <c r="D716" s="67"/>
      <c r="E716" s="67"/>
      <c r="F716" s="67"/>
      <c r="G716" s="69"/>
      <c r="H716" s="871">
        <v>0</v>
      </c>
    </row>
    <row r="717" spans="3:11" ht="25.8" customHeight="1">
      <c r="C717" s="102" t="s">
        <v>1218</v>
      </c>
      <c r="D717" s="294" t="s">
        <v>1219</v>
      </c>
      <c r="E717" s="295"/>
      <c r="F717" s="295"/>
      <c r="G717" s="296"/>
      <c r="H717" s="872">
        <f>H716+H714+H711</f>
        <v>1689175</v>
      </c>
      <c r="I717" s="873"/>
    </row>
    <row r="718" spans="3:11" ht="25.8" customHeight="1">
      <c r="C718" s="102" t="s">
        <v>1220</v>
      </c>
      <c r="D718" s="294" t="s">
        <v>1321</v>
      </c>
      <c r="E718" s="295"/>
      <c r="F718" s="296"/>
      <c r="G718" s="298">
        <f>$O$199</f>
        <v>0.1</v>
      </c>
      <c r="H718" s="283">
        <f>H717*G718</f>
        <v>168917.5</v>
      </c>
      <c r="I718" s="873"/>
    </row>
    <row r="719" spans="3:11" ht="25.8" customHeight="1">
      <c r="C719" s="102" t="s">
        <v>1221</v>
      </c>
      <c r="D719" s="294" t="s">
        <v>1222</v>
      </c>
      <c r="E719" s="295"/>
      <c r="F719" s="295"/>
      <c r="G719" s="296"/>
      <c r="H719" s="874">
        <f>SUM(H717:H718)</f>
        <v>1858092.5</v>
      </c>
      <c r="I719" s="873"/>
    </row>
    <row r="720" spans="3:11" ht="25.8" customHeight="1"/>
    <row r="721" spans="3:13" ht="25.8" customHeight="1"/>
    <row r="722" spans="3:13" ht="25.8" customHeight="1">
      <c r="C722" s="867" t="s">
        <v>3683</v>
      </c>
      <c r="D722" s="1931" t="s">
        <v>3684</v>
      </c>
      <c r="E722" s="1931"/>
      <c r="F722" s="1931"/>
      <c r="G722" s="1931"/>
      <c r="H722" s="1931"/>
      <c r="I722" s="120">
        <f>ROUNDDOWN(H737,-2)</f>
        <v>2116000</v>
      </c>
      <c r="J722" s="120"/>
      <c r="K722" s="120"/>
      <c r="M722" s="475"/>
    </row>
    <row r="723" spans="3:13" ht="25.8" customHeight="1">
      <c r="C723" s="591" t="s">
        <v>1195</v>
      </c>
      <c r="D723" s="591" t="s">
        <v>1196</v>
      </c>
      <c r="E723" s="591" t="s">
        <v>1197</v>
      </c>
      <c r="F723" s="591" t="s">
        <v>1198</v>
      </c>
      <c r="G723" s="591" t="s">
        <v>1199</v>
      </c>
      <c r="H723" s="591" t="s">
        <v>1200</v>
      </c>
    </row>
    <row r="724" spans="3:13" ht="25.8" customHeight="1">
      <c r="C724" s="182" t="s">
        <v>1201</v>
      </c>
      <c r="D724" s="182" t="s">
        <v>1202</v>
      </c>
      <c r="E724" s="70"/>
      <c r="F724" s="70"/>
      <c r="G724" s="70"/>
      <c r="H724" s="70"/>
    </row>
    <row r="725" spans="3:13" ht="25.8" customHeight="1">
      <c r="C725" s="876">
        <v>1</v>
      </c>
      <c r="D725" s="182" t="s">
        <v>5</v>
      </c>
      <c r="E725" s="182" t="s">
        <v>6</v>
      </c>
      <c r="F725" s="309">
        <v>0.76200000000000001</v>
      </c>
      <c r="G725" s="283">
        <f>VLOOKUP(D725,upahbahan,3,FALSE)</f>
        <v>100000</v>
      </c>
      <c r="H725" s="283">
        <f t="shared" ref="H725:H728" si="79">F725*G725</f>
        <v>76200</v>
      </c>
    </row>
    <row r="726" spans="3:13" ht="25.8" customHeight="1">
      <c r="C726" s="876">
        <v>2</v>
      </c>
      <c r="D726" s="182" t="s">
        <v>3622</v>
      </c>
      <c r="E726" s="182" t="s">
        <v>6</v>
      </c>
      <c r="F726" s="309">
        <v>1.272</v>
      </c>
      <c r="G726" s="283">
        <f>VLOOKUP(D726,upahbahan,3,FALSE)</f>
        <v>135000</v>
      </c>
      <c r="H726" s="283">
        <f t="shared" si="79"/>
        <v>171720</v>
      </c>
    </row>
    <row r="727" spans="3:13" ht="25.8" customHeight="1">
      <c r="C727" s="876">
        <v>3</v>
      </c>
      <c r="D727" s="182" t="s">
        <v>18</v>
      </c>
      <c r="E727" s="182" t="s">
        <v>6</v>
      </c>
      <c r="F727" s="309">
        <v>0.127</v>
      </c>
      <c r="G727" s="283">
        <f>VLOOKUP(D727,upahbahan,3,FALSE)</f>
        <v>150000</v>
      </c>
      <c r="H727" s="283">
        <f t="shared" si="79"/>
        <v>19050</v>
      </c>
    </row>
    <row r="728" spans="3:13" ht="25.8" customHeight="1">
      <c r="C728" s="876">
        <v>4</v>
      </c>
      <c r="D728" s="182" t="s">
        <v>19</v>
      </c>
      <c r="E728" s="182" t="s">
        <v>6</v>
      </c>
      <c r="F728" s="309">
        <v>4.2000000000000003E-2</v>
      </c>
      <c r="G728" s="283">
        <f>VLOOKUP(D728,upahbahan,3,FALSE)</f>
        <v>160000</v>
      </c>
      <c r="H728" s="283">
        <f t="shared" si="79"/>
        <v>6720</v>
      </c>
    </row>
    <row r="729" spans="3:13" ht="25.8" customHeight="1">
      <c r="C729" s="450" t="s">
        <v>1208</v>
      </c>
      <c r="D729" s="67"/>
      <c r="E729" s="67"/>
      <c r="F729" s="142"/>
      <c r="G729" s="153"/>
      <c r="H729" s="283">
        <f>SUM(H725:H728)</f>
        <v>273690</v>
      </c>
      <c r="I729" s="319"/>
      <c r="J729" s="319"/>
      <c r="K729" s="319"/>
    </row>
    <row r="730" spans="3:13" ht="25.8" customHeight="1">
      <c r="C730" s="182" t="s">
        <v>1209</v>
      </c>
      <c r="D730" s="182" t="s">
        <v>1210</v>
      </c>
      <c r="E730" s="70"/>
      <c r="F730" s="70"/>
      <c r="G730" s="70"/>
      <c r="H730" s="70"/>
    </row>
    <row r="731" spans="3:13" ht="25.8" customHeight="1">
      <c r="C731" s="182">
        <v>1</v>
      </c>
      <c r="D731" s="182" t="s">
        <v>3685</v>
      </c>
      <c r="E731" s="70" t="s">
        <v>3182</v>
      </c>
      <c r="F731" s="118">
        <v>1.1000000000000001</v>
      </c>
      <c r="G731" s="283">
        <f t="shared" ref="G731" si="80">VLOOKUP(D731,upahbahan,3,FALSE)</f>
        <v>1500000</v>
      </c>
      <c r="H731" s="283">
        <f>F731*G731</f>
        <v>1650000.0000000002</v>
      </c>
    </row>
    <row r="732" spans="3:13" ht="25.8" customHeight="1">
      <c r="C732" s="450" t="s">
        <v>1214</v>
      </c>
      <c r="D732" s="67"/>
      <c r="E732" s="67"/>
      <c r="F732" s="67"/>
      <c r="G732" s="69"/>
      <c r="H732" s="283">
        <f>SUM(H731:H731)</f>
        <v>1650000.0000000002</v>
      </c>
    </row>
    <row r="733" spans="3:13" ht="25.8" customHeight="1">
      <c r="C733" s="176" t="s">
        <v>1215</v>
      </c>
      <c r="D733" s="182" t="s">
        <v>1216</v>
      </c>
      <c r="E733" s="70"/>
      <c r="F733" s="70"/>
      <c r="G733" s="70"/>
      <c r="H733" s="70"/>
    </row>
    <row r="734" spans="3:13" ht="25.8" customHeight="1">
      <c r="C734" s="450" t="s">
        <v>1217</v>
      </c>
      <c r="D734" s="67"/>
      <c r="E734" s="67"/>
      <c r="F734" s="67"/>
      <c r="G734" s="69"/>
      <c r="H734" s="871">
        <v>0</v>
      </c>
    </row>
    <row r="735" spans="3:13" ht="25.8" customHeight="1">
      <c r="C735" s="102" t="s">
        <v>1218</v>
      </c>
      <c r="D735" s="294" t="s">
        <v>1219</v>
      </c>
      <c r="E735" s="295"/>
      <c r="F735" s="295"/>
      <c r="G735" s="296"/>
      <c r="H735" s="872">
        <f>H734+H732+H729</f>
        <v>1923690.0000000002</v>
      </c>
      <c r="I735" s="873"/>
    </row>
    <row r="736" spans="3:13" ht="25.8" customHeight="1">
      <c r="C736" s="102" t="s">
        <v>1220</v>
      </c>
      <c r="D736" s="294" t="s">
        <v>1321</v>
      </c>
      <c r="E736" s="295"/>
      <c r="F736" s="296"/>
      <c r="G736" s="298">
        <f>$O$199</f>
        <v>0.1</v>
      </c>
      <c r="H736" s="283">
        <f>H735*G736</f>
        <v>192369.00000000003</v>
      </c>
      <c r="I736" s="873"/>
    </row>
    <row r="737" spans="3:13" ht="25.8" customHeight="1">
      <c r="C737" s="102" t="s">
        <v>1221</v>
      </c>
      <c r="D737" s="294" t="s">
        <v>1222</v>
      </c>
      <c r="E737" s="295"/>
      <c r="F737" s="295"/>
      <c r="G737" s="296"/>
      <c r="H737" s="874">
        <f>SUM(H735:H736)</f>
        <v>2116059.0000000005</v>
      </c>
      <c r="I737" s="873"/>
    </row>
    <row r="738" spans="3:13" ht="25.8" customHeight="1"/>
    <row r="739" spans="3:13" ht="25.8" customHeight="1">
      <c r="C739" s="867" t="s">
        <v>3686</v>
      </c>
      <c r="D739" s="1931" t="s">
        <v>3687</v>
      </c>
      <c r="E739" s="1931"/>
      <c r="F739" s="1931"/>
      <c r="G739" s="1931"/>
      <c r="H739" s="1931"/>
      <c r="I739" s="120">
        <f>ROUNDDOWN(H754,-2)</f>
        <v>1675500</v>
      </c>
      <c r="J739" s="120"/>
      <c r="K739" s="120"/>
      <c r="M739" s="475"/>
    </row>
    <row r="740" spans="3:13" ht="25.8" customHeight="1">
      <c r="C740" s="591" t="s">
        <v>1195</v>
      </c>
      <c r="D740" s="591" t="s">
        <v>1196</v>
      </c>
      <c r="E740" s="591" t="s">
        <v>1197</v>
      </c>
      <c r="F740" s="591" t="s">
        <v>1198</v>
      </c>
      <c r="G740" s="591" t="s">
        <v>1199</v>
      </c>
      <c r="H740" s="591" t="s">
        <v>1200</v>
      </c>
    </row>
    <row r="741" spans="3:13" ht="25.8" customHeight="1">
      <c r="C741" s="182" t="s">
        <v>1201</v>
      </c>
      <c r="D741" s="182" t="s">
        <v>1202</v>
      </c>
      <c r="E741" s="70"/>
      <c r="F741" s="70"/>
      <c r="G741" s="70"/>
      <c r="H741" s="70"/>
    </row>
    <row r="742" spans="3:13" ht="25.8" customHeight="1">
      <c r="C742" s="876">
        <v>1</v>
      </c>
      <c r="D742" s="182" t="s">
        <v>5</v>
      </c>
      <c r="E742" s="182" t="s">
        <v>6</v>
      </c>
      <c r="F742" s="309">
        <v>0.21</v>
      </c>
      <c r="G742" s="283">
        <f>VLOOKUP(D742,upahbahan,3,FALSE)</f>
        <v>100000</v>
      </c>
      <c r="H742" s="283">
        <f t="shared" ref="H742:H745" si="81">F742*G742</f>
        <v>21000</v>
      </c>
    </row>
    <row r="743" spans="3:13" ht="25.8" customHeight="1">
      <c r="C743" s="876">
        <v>2</v>
      </c>
      <c r="D743" s="182" t="s">
        <v>3622</v>
      </c>
      <c r="E743" s="182" t="s">
        <v>6</v>
      </c>
      <c r="F743" s="309">
        <v>0.35</v>
      </c>
      <c r="G743" s="283">
        <f>VLOOKUP(D743,upahbahan,3,FALSE)</f>
        <v>135000</v>
      </c>
      <c r="H743" s="283">
        <f t="shared" si="81"/>
        <v>47250</v>
      </c>
    </row>
    <row r="744" spans="3:13" ht="25.8" customHeight="1">
      <c r="C744" s="876">
        <v>3</v>
      </c>
      <c r="D744" s="182" t="s">
        <v>18</v>
      </c>
      <c r="E744" s="182" t="s">
        <v>6</v>
      </c>
      <c r="F744" s="309">
        <v>3.5000000000000003E-2</v>
      </c>
      <c r="G744" s="283">
        <f>VLOOKUP(D744,upahbahan,3,FALSE)</f>
        <v>150000</v>
      </c>
      <c r="H744" s="283">
        <f t="shared" si="81"/>
        <v>5250.0000000000009</v>
      </c>
    </row>
    <row r="745" spans="3:13" ht="25.8" customHeight="1">
      <c r="C745" s="876">
        <v>4</v>
      </c>
      <c r="D745" s="182" t="s">
        <v>19</v>
      </c>
      <c r="E745" s="182" t="s">
        <v>6</v>
      </c>
      <c r="F745" s="309">
        <v>1.2E-2</v>
      </c>
      <c r="G745" s="283">
        <f>VLOOKUP(D745,upahbahan,3,FALSE)</f>
        <v>160000</v>
      </c>
      <c r="H745" s="283">
        <f t="shared" si="81"/>
        <v>1920</v>
      </c>
    </row>
    <row r="746" spans="3:13" ht="25.8" customHeight="1">
      <c r="C746" s="450" t="s">
        <v>1208</v>
      </c>
      <c r="D746" s="67"/>
      <c r="E746" s="67"/>
      <c r="F746" s="142"/>
      <c r="G746" s="153"/>
      <c r="H746" s="283">
        <f>SUM(H742:H745)</f>
        <v>75420</v>
      </c>
      <c r="I746" s="319"/>
      <c r="J746" s="319"/>
      <c r="K746" s="319"/>
    </row>
    <row r="747" spans="3:13" ht="25.8" customHeight="1">
      <c r="C747" s="182" t="s">
        <v>1209</v>
      </c>
      <c r="D747" s="182" t="s">
        <v>1210</v>
      </c>
      <c r="E747" s="70"/>
      <c r="F747" s="70"/>
      <c r="G747" s="70"/>
      <c r="H747" s="70"/>
    </row>
    <row r="748" spans="3:13" ht="25.8" customHeight="1">
      <c r="C748" s="182">
        <v>1</v>
      </c>
      <c r="D748" s="182" t="s">
        <v>3688</v>
      </c>
      <c r="E748" s="70" t="s">
        <v>3182</v>
      </c>
      <c r="F748" s="118">
        <v>1.1499999999999999</v>
      </c>
      <c r="G748" s="283">
        <f t="shared" ref="G748" si="82">VLOOKUP(D748,upahbahan,3,FALSE)</f>
        <v>1259000</v>
      </c>
      <c r="H748" s="283">
        <f>F748*G748</f>
        <v>1447850</v>
      </c>
    </row>
    <row r="749" spans="3:13" ht="25.8" customHeight="1">
      <c r="C749" s="450" t="s">
        <v>1214</v>
      </c>
      <c r="D749" s="67"/>
      <c r="E749" s="67"/>
      <c r="F749" s="67"/>
      <c r="G749" s="69"/>
      <c r="H749" s="283">
        <f>SUM(H748:H748)</f>
        <v>1447850</v>
      </c>
    </row>
    <row r="750" spans="3:13" ht="25.8" customHeight="1">
      <c r="C750" s="176" t="s">
        <v>1215</v>
      </c>
      <c r="D750" s="182" t="s">
        <v>1216</v>
      </c>
      <c r="E750" s="70"/>
      <c r="F750" s="70"/>
      <c r="G750" s="70"/>
      <c r="H750" s="70"/>
    </row>
    <row r="751" spans="3:13" ht="25.8" customHeight="1">
      <c r="C751" s="450" t="s">
        <v>1217</v>
      </c>
      <c r="D751" s="67"/>
      <c r="E751" s="67"/>
      <c r="F751" s="67"/>
      <c r="G751" s="69"/>
      <c r="H751" s="871">
        <v>0</v>
      </c>
    </row>
    <row r="752" spans="3:13" ht="25.8" customHeight="1">
      <c r="C752" s="102" t="s">
        <v>1218</v>
      </c>
      <c r="D752" s="294" t="s">
        <v>1219</v>
      </c>
      <c r="E752" s="295"/>
      <c r="F752" s="295"/>
      <c r="G752" s="296"/>
      <c r="H752" s="872">
        <f>H751+H749+H746</f>
        <v>1523270</v>
      </c>
      <c r="I752" s="873"/>
    </row>
    <row r="753" spans="3:13" ht="25.8" customHeight="1">
      <c r="C753" s="102" t="s">
        <v>1220</v>
      </c>
      <c r="D753" s="294" t="s">
        <v>1321</v>
      </c>
      <c r="E753" s="295"/>
      <c r="F753" s="296"/>
      <c r="G753" s="298">
        <f>$O$199</f>
        <v>0.1</v>
      </c>
      <c r="H753" s="283">
        <f>H752*G753</f>
        <v>152327</v>
      </c>
      <c r="I753" s="873"/>
    </row>
    <row r="754" spans="3:13" ht="25.8" customHeight="1">
      <c r="C754" s="102" t="s">
        <v>1221</v>
      </c>
      <c r="D754" s="294" t="s">
        <v>1222</v>
      </c>
      <c r="E754" s="295"/>
      <c r="F754" s="295"/>
      <c r="G754" s="296"/>
      <c r="H754" s="874">
        <f>SUM(H752:H753)</f>
        <v>1675597</v>
      </c>
      <c r="I754" s="873"/>
    </row>
    <row r="755" spans="3:13" ht="25.8" customHeight="1"/>
    <row r="756" spans="3:13" ht="25.8" customHeight="1"/>
    <row r="757" spans="3:13" ht="25.8" customHeight="1">
      <c r="C757" s="867" t="s">
        <v>3689</v>
      </c>
      <c r="D757" s="1931" t="s">
        <v>3690</v>
      </c>
      <c r="E757" s="1931"/>
      <c r="F757" s="1931"/>
      <c r="G757" s="1931"/>
      <c r="H757" s="1931"/>
      <c r="I757" s="120">
        <f>ROUNDDOWN(H772,-2)</f>
        <v>1840400</v>
      </c>
      <c r="J757" s="120"/>
      <c r="K757" s="120"/>
      <c r="M757" s="475"/>
    </row>
    <row r="758" spans="3:13" ht="25.8" customHeight="1">
      <c r="C758" s="591" t="s">
        <v>1195</v>
      </c>
      <c r="D758" s="591" t="s">
        <v>1196</v>
      </c>
      <c r="E758" s="591" t="s">
        <v>1197</v>
      </c>
      <c r="F758" s="591" t="s">
        <v>1198</v>
      </c>
      <c r="G758" s="591" t="s">
        <v>1199</v>
      </c>
      <c r="H758" s="591" t="s">
        <v>1200</v>
      </c>
    </row>
    <row r="759" spans="3:13" ht="25.8" customHeight="1">
      <c r="C759" s="182" t="s">
        <v>1201</v>
      </c>
      <c r="D759" s="182" t="s">
        <v>1202</v>
      </c>
      <c r="E759" s="70"/>
      <c r="F759" s="70"/>
      <c r="G759" s="70"/>
      <c r="H759" s="70"/>
    </row>
    <row r="760" spans="3:13" ht="25.8" customHeight="1">
      <c r="C760" s="876">
        <v>1</v>
      </c>
      <c r="D760" s="182" t="s">
        <v>5</v>
      </c>
      <c r="E760" s="182" t="s">
        <v>6</v>
      </c>
      <c r="F760" s="309">
        <v>6.4000000000000001E-2</v>
      </c>
      <c r="G760" s="283">
        <f>VLOOKUP(D760,upahbahan,3,FALSE)</f>
        <v>100000</v>
      </c>
      <c r="H760" s="283">
        <f t="shared" ref="H760:H763" si="83">F760*G760</f>
        <v>6400</v>
      </c>
    </row>
    <row r="761" spans="3:13" ht="25.8" customHeight="1">
      <c r="C761" s="876">
        <v>2</v>
      </c>
      <c r="D761" s="182" t="s">
        <v>3622</v>
      </c>
      <c r="E761" s="182" t="s">
        <v>6</v>
      </c>
      <c r="F761" s="309">
        <v>0.107</v>
      </c>
      <c r="G761" s="283">
        <f>VLOOKUP(D761,upahbahan,3,FALSE)</f>
        <v>135000</v>
      </c>
      <c r="H761" s="283">
        <f t="shared" si="83"/>
        <v>14445</v>
      </c>
    </row>
    <row r="762" spans="3:13" ht="25.8" customHeight="1">
      <c r="C762" s="876">
        <v>3</v>
      </c>
      <c r="D762" s="182" t="s">
        <v>18</v>
      </c>
      <c r="E762" s="182" t="s">
        <v>6</v>
      </c>
      <c r="F762" s="309">
        <v>1.0999999999999999E-2</v>
      </c>
      <c r="G762" s="283">
        <f>VLOOKUP(D762,upahbahan,3,FALSE)</f>
        <v>150000</v>
      </c>
      <c r="H762" s="283">
        <f t="shared" si="83"/>
        <v>1650</v>
      </c>
    </row>
    <row r="763" spans="3:13" ht="25.8" customHeight="1">
      <c r="C763" s="876">
        <v>4</v>
      </c>
      <c r="D763" s="182" t="s">
        <v>19</v>
      </c>
      <c r="E763" s="182" t="s">
        <v>6</v>
      </c>
      <c r="F763" s="309">
        <v>4.0000000000000001E-3</v>
      </c>
      <c r="G763" s="283">
        <f>VLOOKUP(D763,upahbahan,3,FALSE)</f>
        <v>160000</v>
      </c>
      <c r="H763" s="283">
        <f t="shared" si="83"/>
        <v>640</v>
      </c>
    </row>
    <row r="764" spans="3:13" ht="25.8" customHeight="1">
      <c r="C764" s="450" t="s">
        <v>1208</v>
      </c>
      <c r="D764" s="67"/>
      <c r="E764" s="67"/>
      <c r="F764" s="142"/>
      <c r="G764" s="153"/>
      <c r="H764" s="283">
        <f>SUM(H760:H763)</f>
        <v>23135</v>
      </c>
      <c r="I764" s="319"/>
      <c r="J764" s="319"/>
      <c r="K764" s="319"/>
    </row>
    <row r="765" spans="3:13" ht="25.8" customHeight="1">
      <c r="C765" s="182" t="s">
        <v>1209</v>
      </c>
      <c r="D765" s="182" t="s">
        <v>1210</v>
      </c>
      <c r="E765" s="70"/>
      <c r="F765" s="70"/>
      <c r="G765" s="70"/>
      <c r="H765" s="70"/>
    </row>
    <row r="766" spans="3:13" ht="25.8" customHeight="1">
      <c r="C766" s="182">
        <v>1</v>
      </c>
      <c r="D766" s="182" t="s">
        <v>3691</v>
      </c>
      <c r="E766" s="70" t="s">
        <v>3182</v>
      </c>
      <c r="F766" s="118">
        <v>1.1000000000000001</v>
      </c>
      <c r="G766" s="283">
        <f t="shared" ref="G766" si="84">VLOOKUP(D766,upahbahan,3,FALSE)</f>
        <v>1500000</v>
      </c>
      <c r="H766" s="283">
        <f>F766*G766</f>
        <v>1650000.0000000002</v>
      </c>
    </row>
    <row r="767" spans="3:13" ht="25.8" customHeight="1">
      <c r="C767" s="450" t="s">
        <v>1214</v>
      </c>
      <c r="D767" s="67"/>
      <c r="E767" s="67"/>
      <c r="F767" s="67"/>
      <c r="G767" s="69"/>
      <c r="H767" s="283">
        <f>SUM(H766:H766)</f>
        <v>1650000.0000000002</v>
      </c>
    </row>
    <row r="768" spans="3:13" ht="25.8" customHeight="1">
      <c r="C768" s="176" t="s">
        <v>1215</v>
      </c>
      <c r="D768" s="182" t="s">
        <v>1216</v>
      </c>
      <c r="E768" s="70"/>
      <c r="F768" s="70"/>
      <c r="G768" s="70"/>
      <c r="H768" s="70"/>
    </row>
    <row r="769" spans="3:13" ht="25.8" customHeight="1">
      <c r="C769" s="450" t="s">
        <v>1217</v>
      </c>
      <c r="D769" s="67"/>
      <c r="E769" s="67"/>
      <c r="F769" s="67"/>
      <c r="G769" s="69"/>
      <c r="H769" s="871">
        <v>0</v>
      </c>
    </row>
    <row r="770" spans="3:13" ht="25.8" customHeight="1">
      <c r="C770" s="102" t="s">
        <v>1218</v>
      </c>
      <c r="D770" s="294" t="s">
        <v>1219</v>
      </c>
      <c r="E770" s="295"/>
      <c r="F770" s="295"/>
      <c r="G770" s="296"/>
      <c r="H770" s="872">
        <f>H769+H767+H764</f>
        <v>1673135.0000000002</v>
      </c>
      <c r="I770" s="873"/>
    </row>
    <row r="771" spans="3:13" ht="25.8" customHeight="1">
      <c r="C771" s="102" t="s">
        <v>1220</v>
      </c>
      <c r="D771" s="294" t="s">
        <v>1321</v>
      </c>
      <c r="E771" s="295"/>
      <c r="F771" s="296"/>
      <c r="G771" s="298">
        <f>$O$199</f>
        <v>0.1</v>
      </c>
      <c r="H771" s="283">
        <f>H770*G771</f>
        <v>167313.50000000003</v>
      </c>
      <c r="I771" s="873"/>
    </row>
    <row r="772" spans="3:13" ht="25.8" customHeight="1">
      <c r="C772" s="102" t="s">
        <v>1221</v>
      </c>
      <c r="D772" s="294" t="s">
        <v>1222</v>
      </c>
      <c r="E772" s="295"/>
      <c r="F772" s="295"/>
      <c r="G772" s="296"/>
      <c r="H772" s="874">
        <f>SUM(H770:H771)</f>
        <v>1840448.5000000002</v>
      </c>
      <c r="I772" s="873"/>
    </row>
    <row r="773" spans="3:13" ht="25.8" customHeight="1"/>
    <row r="774" spans="3:13" ht="25.8" customHeight="1">
      <c r="C774" s="119" t="s">
        <v>3692</v>
      </c>
      <c r="D774" s="119" t="s">
        <v>3693</v>
      </c>
    </row>
    <row r="775" spans="3:13" ht="25.8" customHeight="1">
      <c r="C775" s="867" t="s">
        <v>3694</v>
      </c>
      <c r="D775" s="1931" t="s">
        <v>3695</v>
      </c>
      <c r="E775" s="1931"/>
      <c r="F775" s="1931"/>
      <c r="G775" s="1931"/>
      <c r="H775" s="1931"/>
      <c r="I775" s="120">
        <f>ROUNDDOWN(H790,-2)</f>
        <v>123500</v>
      </c>
      <c r="J775" s="120"/>
      <c r="K775" s="120"/>
      <c r="M775" s="475"/>
    </row>
    <row r="776" spans="3:13" ht="25.8" customHeight="1">
      <c r="C776" s="591" t="s">
        <v>1195</v>
      </c>
      <c r="D776" s="591" t="s">
        <v>1196</v>
      </c>
      <c r="E776" s="591" t="s">
        <v>1197</v>
      </c>
      <c r="F776" s="591" t="s">
        <v>1198</v>
      </c>
      <c r="G776" s="591" t="s">
        <v>1199</v>
      </c>
      <c r="H776" s="591" t="s">
        <v>1200</v>
      </c>
    </row>
    <row r="777" spans="3:13" ht="25.8" customHeight="1">
      <c r="C777" s="182" t="s">
        <v>1201</v>
      </c>
      <c r="D777" s="182" t="s">
        <v>1202</v>
      </c>
      <c r="E777" s="70"/>
      <c r="F777" s="70"/>
      <c r="G777" s="70"/>
      <c r="H777" s="70"/>
    </row>
    <row r="778" spans="3:13" ht="25.8" customHeight="1">
      <c r="C778" s="876">
        <v>1</v>
      </c>
      <c r="D778" s="182" t="s">
        <v>5</v>
      </c>
      <c r="E778" s="182" t="s">
        <v>6</v>
      </c>
      <c r="F778" s="309">
        <v>5.1999999999999998E-2</v>
      </c>
      <c r="G778" s="283">
        <f>VLOOKUP(D778,upahbahan,3,FALSE)</f>
        <v>100000</v>
      </c>
      <c r="H778" s="283">
        <f t="shared" ref="H778:H781" si="85">F778*G778</f>
        <v>5200</v>
      </c>
    </row>
    <row r="779" spans="3:13" ht="25.8" customHeight="1">
      <c r="C779" s="876">
        <v>2</v>
      </c>
      <c r="D779" s="182" t="s">
        <v>3622</v>
      </c>
      <c r="E779" s="182" t="s">
        <v>6</v>
      </c>
      <c r="F779" s="309">
        <v>8.6999999999999994E-2</v>
      </c>
      <c r="G779" s="283">
        <f>VLOOKUP(D779,upahbahan,3,FALSE)</f>
        <v>135000</v>
      </c>
      <c r="H779" s="283">
        <f t="shared" si="85"/>
        <v>11745</v>
      </c>
    </row>
    <row r="780" spans="3:13" ht="25.8" customHeight="1">
      <c r="C780" s="876">
        <v>3</v>
      </c>
      <c r="D780" s="182" t="s">
        <v>18</v>
      </c>
      <c r="E780" s="182" t="s">
        <v>6</v>
      </c>
      <c r="F780" s="309">
        <v>8.9999999999999993E-3</v>
      </c>
      <c r="G780" s="283">
        <f>VLOOKUP(D780,upahbahan,3,FALSE)</f>
        <v>150000</v>
      </c>
      <c r="H780" s="283">
        <f t="shared" si="85"/>
        <v>1350</v>
      </c>
    </row>
    <row r="781" spans="3:13" ht="25.8" customHeight="1">
      <c r="C781" s="876">
        <v>4</v>
      </c>
      <c r="D781" s="182" t="s">
        <v>19</v>
      </c>
      <c r="E781" s="182" t="s">
        <v>6</v>
      </c>
      <c r="F781" s="309">
        <v>3.0000000000000001E-3</v>
      </c>
      <c r="G781" s="283">
        <f>VLOOKUP(D781,upahbahan,3,FALSE)</f>
        <v>160000</v>
      </c>
      <c r="H781" s="283">
        <f t="shared" si="85"/>
        <v>480</v>
      </c>
    </row>
    <row r="782" spans="3:13" ht="25.8" customHeight="1">
      <c r="C782" s="450" t="s">
        <v>1208</v>
      </c>
      <c r="D782" s="67"/>
      <c r="E782" s="67"/>
      <c r="F782" s="142"/>
      <c r="G782" s="153"/>
      <c r="H782" s="283">
        <f>SUM(H778:H781)</f>
        <v>18775</v>
      </c>
      <c r="I782" s="319"/>
      <c r="J782" s="319"/>
      <c r="K782" s="319"/>
    </row>
    <row r="783" spans="3:13" ht="25.8" customHeight="1">
      <c r="C783" s="182" t="s">
        <v>1209</v>
      </c>
      <c r="D783" s="182" t="s">
        <v>1210</v>
      </c>
      <c r="E783" s="70"/>
      <c r="F783" s="70"/>
      <c r="G783" s="70"/>
      <c r="H783" s="70"/>
    </row>
    <row r="784" spans="3:13" ht="25.8" customHeight="1">
      <c r="C784" s="182">
        <v>1</v>
      </c>
      <c r="D784" s="182" t="s">
        <v>3696</v>
      </c>
      <c r="E784" s="70" t="s">
        <v>3182</v>
      </c>
      <c r="F784" s="118">
        <v>1.1000000000000001</v>
      </c>
      <c r="G784" s="283">
        <f t="shared" ref="G784" si="86">VLOOKUP(D784,upahbahan,3,FALSE)</f>
        <v>85000</v>
      </c>
      <c r="H784" s="283">
        <f>F784*G784</f>
        <v>93500.000000000015</v>
      </c>
    </row>
    <row r="785" spans="3:13" ht="25.8" customHeight="1">
      <c r="C785" s="450" t="s">
        <v>1214</v>
      </c>
      <c r="D785" s="67"/>
      <c r="E785" s="67"/>
      <c r="F785" s="67"/>
      <c r="G785" s="69"/>
      <c r="H785" s="283">
        <f>SUM(H784:H784)</f>
        <v>93500.000000000015</v>
      </c>
    </row>
    <row r="786" spans="3:13" ht="25.8" customHeight="1">
      <c r="C786" s="176" t="s">
        <v>1215</v>
      </c>
      <c r="D786" s="182" t="s">
        <v>1216</v>
      </c>
      <c r="E786" s="70"/>
      <c r="F786" s="70"/>
      <c r="G786" s="70"/>
      <c r="H786" s="70"/>
    </row>
    <row r="787" spans="3:13" ht="25.8" customHeight="1">
      <c r="C787" s="450" t="s">
        <v>1217</v>
      </c>
      <c r="D787" s="67"/>
      <c r="E787" s="67"/>
      <c r="F787" s="67"/>
      <c r="G787" s="69"/>
      <c r="H787" s="871">
        <v>0</v>
      </c>
    </row>
    <row r="788" spans="3:13" ht="25.8" customHeight="1">
      <c r="C788" s="102" t="s">
        <v>1218</v>
      </c>
      <c r="D788" s="294" t="s">
        <v>1219</v>
      </c>
      <c r="E788" s="295"/>
      <c r="F788" s="295"/>
      <c r="G788" s="296"/>
      <c r="H788" s="872">
        <f>H787+H785+H782</f>
        <v>112275.00000000001</v>
      </c>
      <c r="I788" s="873"/>
    </row>
    <row r="789" spans="3:13" ht="25.8" customHeight="1">
      <c r="C789" s="102" t="s">
        <v>1220</v>
      </c>
      <c r="D789" s="294" t="s">
        <v>1321</v>
      </c>
      <c r="E789" s="295"/>
      <c r="F789" s="296"/>
      <c r="G789" s="298">
        <f>$O$199</f>
        <v>0.1</v>
      </c>
      <c r="H789" s="283">
        <f>H788*G789</f>
        <v>11227.500000000002</v>
      </c>
      <c r="I789" s="873"/>
    </row>
    <row r="790" spans="3:13" ht="25.8" customHeight="1">
      <c r="C790" s="102" t="s">
        <v>1221</v>
      </c>
      <c r="D790" s="294" t="s">
        <v>1222</v>
      </c>
      <c r="E790" s="295"/>
      <c r="F790" s="295"/>
      <c r="G790" s="296"/>
      <c r="H790" s="874">
        <f>SUM(H788:H789)</f>
        <v>123502.50000000001</v>
      </c>
      <c r="I790" s="873"/>
    </row>
    <row r="791" spans="3:13" ht="25.8" customHeight="1"/>
    <row r="792" spans="3:13" ht="25.8" customHeight="1"/>
    <row r="793" spans="3:13" ht="25.8" customHeight="1">
      <c r="C793" s="867" t="s">
        <v>3697</v>
      </c>
      <c r="D793" s="1931" t="s">
        <v>3698</v>
      </c>
      <c r="E793" s="1931"/>
      <c r="F793" s="1931"/>
      <c r="G793" s="1931"/>
      <c r="H793" s="1931"/>
      <c r="I793" s="120">
        <f>ROUNDDOWN(H808,-2)</f>
        <v>120900</v>
      </c>
      <c r="J793" s="120"/>
      <c r="K793" s="120"/>
      <c r="M793" s="475"/>
    </row>
    <row r="794" spans="3:13" ht="25.8" customHeight="1">
      <c r="C794" s="591" t="s">
        <v>1195</v>
      </c>
      <c r="D794" s="591" t="s">
        <v>1196</v>
      </c>
      <c r="E794" s="591" t="s">
        <v>1197</v>
      </c>
      <c r="F794" s="591" t="s">
        <v>1198</v>
      </c>
      <c r="G794" s="591" t="s">
        <v>1199</v>
      </c>
      <c r="H794" s="591" t="s">
        <v>1200</v>
      </c>
    </row>
    <row r="795" spans="3:13" ht="25.8" customHeight="1">
      <c r="C795" s="182" t="s">
        <v>1201</v>
      </c>
      <c r="D795" s="182" t="s">
        <v>1202</v>
      </c>
      <c r="E795" s="70"/>
      <c r="F795" s="70"/>
      <c r="G795" s="70"/>
      <c r="H795" s="70"/>
    </row>
    <row r="796" spans="3:13" ht="25.8" customHeight="1">
      <c r="C796" s="876">
        <v>1</v>
      </c>
      <c r="D796" s="182" t="s">
        <v>5</v>
      </c>
      <c r="E796" s="182" t="s">
        <v>6</v>
      </c>
      <c r="F796" s="309">
        <v>5.1999999999999998E-2</v>
      </c>
      <c r="G796" s="283">
        <f>VLOOKUP(D796,upahbahan,3,FALSE)</f>
        <v>100000</v>
      </c>
      <c r="H796" s="283">
        <f t="shared" ref="H796:H799" si="87">F796*G796</f>
        <v>5200</v>
      </c>
    </row>
    <row r="797" spans="3:13" ht="25.8" customHeight="1">
      <c r="C797" s="876">
        <v>2</v>
      </c>
      <c r="D797" s="182" t="s">
        <v>3622</v>
      </c>
      <c r="E797" s="182" t="s">
        <v>6</v>
      </c>
      <c r="F797" s="309">
        <v>8.6999999999999994E-2</v>
      </c>
      <c r="G797" s="283">
        <f>VLOOKUP(D797,upahbahan,3,FALSE)</f>
        <v>135000</v>
      </c>
      <c r="H797" s="283">
        <f t="shared" si="87"/>
        <v>11745</v>
      </c>
    </row>
    <row r="798" spans="3:13" ht="25.8" customHeight="1">
      <c r="C798" s="876">
        <v>3</v>
      </c>
      <c r="D798" s="182" t="s">
        <v>18</v>
      </c>
      <c r="E798" s="182" t="s">
        <v>6</v>
      </c>
      <c r="F798" s="309">
        <v>8.9999999999999993E-3</v>
      </c>
      <c r="G798" s="283">
        <f>VLOOKUP(D798,upahbahan,3,FALSE)</f>
        <v>150000</v>
      </c>
      <c r="H798" s="283">
        <f t="shared" si="87"/>
        <v>1350</v>
      </c>
    </row>
    <row r="799" spans="3:13" ht="25.8" customHeight="1">
      <c r="C799" s="876">
        <v>4</v>
      </c>
      <c r="D799" s="182" t="s">
        <v>19</v>
      </c>
      <c r="E799" s="182" t="s">
        <v>6</v>
      </c>
      <c r="F799" s="309">
        <v>3.0000000000000001E-3</v>
      </c>
      <c r="G799" s="283">
        <f>VLOOKUP(D799,upahbahan,3,FALSE)</f>
        <v>160000</v>
      </c>
      <c r="H799" s="283">
        <f t="shared" si="87"/>
        <v>480</v>
      </c>
    </row>
    <row r="800" spans="3:13" ht="25.8" customHeight="1">
      <c r="C800" s="450" t="s">
        <v>1208</v>
      </c>
      <c r="D800" s="67"/>
      <c r="E800" s="67"/>
      <c r="F800" s="142"/>
      <c r="G800" s="153"/>
      <c r="H800" s="283">
        <f>SUM(H796:H799)</f>
        <v>18775</v>
      </c>
      <c r="I800" s="319"/>
      <c r="J800" s="319"/>
      <c r="K800" s="319"/>
    </row>
    <row r="801" spans="3:13" ht="25.8" customHeight="1">
      <c r="C801" s="182" t="s">
        <v>1209</v>
      </c>
      <c r="D801" s="182" t="s">
        <v>1210</v>
      </c>
      <c r="E801" s="70"/>
      <c r="F801" s="70"/>
      <c r="G801" s="70"/>
      <c r="H801" s="70"/>
    </row>
    <row r="802" spans="3:13" ht="25.8" customHeight="1">
      <c r="C802" s="182">
        <v>1</v>
      </c>
      <c r="D802" s="182" t="s">
        <v>3699</v>
      </c>
      <c r="E802" s="70" t="s">
        <v>3182</v>
      </c>
      <c r="F802" s="118">
        <v>1.1000000000000001</v>
      </c>
      <c r="G802" s="283">
        <f t="shared" ref="G802" si="88">VLOOKUP(D802,upahbahan,3,FALSE)</f>
        <v>82900</v>
      </c>
      <c r="H802" s="283">
        <f>F802*G802</f>
        <v>91190.000000000015</v>
      </c>
    </row>
    <row r="803" spans="3:13" ht="25.8" customHeight="1">
      <c r="C803" s="450" t="s">
        <v>1214</v>
      </c>
      <c r="D803" s="67"/>
      <c r="E803" s="67"/>
      <c r="F803" s="67"/>
      <c r="G803" s="69"/>
      <c r="H803" s="283">
        <f>SUM(H802:H802)</f>
        <v>91190.000000000015</v>
      </c>
    </row>
    <row r="804" spans="3:13" ht="25.8" customHeight="1">
      <c r="C804" s="176" t="s">
        <v>1215</v>
      </c>
      <c r="D804" s="182" t="s">
        <v>1216</v>
      </c>
      <c r="E804" s="70"/>
      <c r="F804" s="70"/>
      <c r="G804" s="70"/>
      <c r="H804" s="70"/>
    </row>
    <row r="805" spans="3:13" ht="25.8" customHeight="1">
      <c r="C805" s="450" t="s">
        <v>1217</v>
      </c>
      <c r="D805" s="67"/>
      <c r="E805" s="67"/>
      <c r="F805" s="67"/>
      <c r="G805" s="69"/>
      <c r="H805" s="871">
        <v>0</v>
      </c>
    </row>
    <row r="806" spans="3:13" ht="25.8" customHeight="1">
      <c r="C806" s="102" t="s">
        <v>1218</v>
      </c>
      <c r="D806" s="294" t="s">
        <v>1219</v>
      </c>
      <c r="E806" s="295"/>
      <c r="F806" s="295"/>
      <c r="G806" s="296"/>
      <c r="H806" s="872">
        <f>H805+H803+H800</f>
        <v>109965.00000000001</v>
      </c>
      <c r="I806" s="873"/>
    </row>
    <row r="807" spans="3:13" ht="25.8" customHeight="1">
      <c r="C807" s="102" t="s">
        <v>1220</v>
      </c>
      <c r="D807" s="294" t="s">
        <v>1321</v>
      </c>
      <c r="E807" s="295"/>
      <c r="F807" s="296"/>
      <c r="G807" s="298">
        <f>$O$199</f>
        <v>0.1</v>
      </c>
      <c r="H807" s="283">
        <f>H806*G807</f>
        <v>10996.500000000002</v>
      </c>
      <c r="I807" s="873"/>
    </row>
    <row r="808" spans="3:13" ht="25.8" customHeight="1">
      <c r="C808" s="102" t="s">
        <v>1221</v>
      </c>
      <c r="D808" s="294" t="s">
        <v>1222</v>
      </c>
      <c r="E808" s="295"/>
      <c r="F808" s="295"/>
      <c r="G808" s="296"/>
      <c r="H808" s="874">
        <f>SUM(H806:H807)</f>
        <v>120961.50000000001</v>
      </c>
      <c r="I808" s="873"/>
    </row>
    <row r="809" spans="3:13" ht="25.8" customHeight="1"/>
    <row r="810" spans="3:13" ht="25.8" customHeight="1">
      <c r="C810" s="867" t="s">
        <v>3700</v>
      </c>
      <c r="D810" s="1931" t="s">
        <v>3701</v>
      </c>
      <c r="E810" s="1931"/>
      <c r="F810" s="1931"/>
      <c r="G810" s="1931"/>
      <c r="H810" s="1931"/>
      <c r="I810" s="120">
        <f>ROUNDDOWN(H825,-2)</f>
        <v>5039200</v>
      </c>
      <c r="J810" s="120"/>
      <c r="K810" s="120"/>
      <c r="M810" s="475"/>
    </row>
    <row r="811" spans="3:13" ht="25.8" customHeight="1">
      <c r="C811" s="591" t="s">
        <v>1195</v>
      </c>
      <c r="D811" s="591" t="s">
        <v>1196</v>
      </c>
      <c r="E811" s="591" t="s">
        <v>1197</v>
      </c>
      <c r="F811" s="591" t="s">
        <v>1198</v>
      </c>
      <c r="G811" s="591" t="s">
        <v>1199</v>
      </c>
      <c r="H811" s="591" t="s">
        <v>1200</v>
      </c>
    </row>
    <row r="812" spans="3:13" ht="25.8" customHeight="1">
      <c r="C812" s="182" t="s">
        <v>1201</v>
      </c>
      <c r="D812" s="182" t="s">
        <v>1202</v>
      </c>
      <c r="E812" s="70"/>
      <c r="F812" s="70"/>
      <c r="G812" s="70"/>
      <c r="H812" s="70"/>
    </row>
    <row r="813" spans="3:13" ht="25.8" customHeight="1">
      <c r="C813" s="876">
        <v>1</v>
      </c>
      <c r="D813" s="182" t="s">
        <v>5</v>
      </c>
      <c r="E813" s="182" t="s">
        <v>6</v>
      </c>
      <c r="F813" s="309">
        <v>1.2689999999999999</v>
      </c>
      <c r="G813" s="283">
        <f>VLOOKUP(D813,upahbahan,3,FALSE)</f>
        <v>100000</v>
      </c>
      <c r="H813" s="283">
        <f t="shared" ref="H813:H816" si="89">F813*G813</f>
        <v>126899.99999999999</v>
      </c>
    </row>
    <row r="814" spans="3:13" ht="25.8" customHeight="1">
      <c r="C814" s="876">
        <v>2</v>
      </c>
      <c r="D814" s="182" t="s">
        <v>3622</v>
      </c>
      <c r="E814" s="182" t="s">
        <v>6</v>
      </c>
      <c r="F814" s="309">
        <v>2.1190000000000002</v>
      </c>
      <c r="G814" s="283">
        <f>VLOOKUP(D814,upahbahan,3,FALSE)</f>
        <v>135000</v>
      </c>
      <c r="H814" s="283">
        <f t="shared" si="89"/>
        <v>286065.00000000006</v>
      </c>
    </row>
    <row r="815" spans="3:13" ht="25.8" customHeight="1">
      <c r="C815" s="876">
        <v>3</v>
      </c>
      <c r="D815" s="182" t="s">
        <v>18</v>
      </c>
      <c r="E815" s="182" t="s">
        <v>6</v>
      </c>
      <c r="F815" s="309">
        <v>0.21199999999999999</v>
      </c>
      <c r="G815" s="283">
        <f>VLOOKUP(D815,upahbahan,3,FALSE)</f>
        <v>150000</v>
      </c>
      <c r="H815" s="283">
        <f t="shared" si="89"/>
        <v>31800</v>
      </c>
    </row>
    <row r="816" spans="3:13" ht="25.8" customHeight="1">
      <c r="C816" s="876">
        <v>4</v>
      </c>
      <c r="D816" s="182" t="s">
        <v>19</v>
      </c>
      <c r="E816" s="182" t="s">
        <v>6</v>
      </c>
      <c r="F816" s="309">
        <v>7.0999999999999994E-2</v>
      </c>
      <c r="G816" s="283">
        <f>VLOOKUP(D816,upahbahan,3,FALSE)</f>
        <v>160000</v>
      </c>
      <c r="H816" s="283">
        <f t="shared" si="89"/>
        <v>11359.999999999998</v>
      </c>
    </row>
    <row r="817" spans="3:13" ht="25.8" customHeight="1">
      <c r="C817" s="450" t="s">
        <v>1208</v>
      </c>
      <c r="D817" s="67"/>
      <c r="E817" s="67"/>
      <c r="F817" s="142"/>
      <c r="G817" s="153"/>
      <c r="H817" s="283">
        <f>SUM(H813:H816)</f>
        <v>456125.00000000006</v>
      </c>
      <c r="I817" s="319"/>
      <c r="J817" s="319"/>
      <c r="K817" s="319"/>
    </row>
    <row r="818" spans="3:13" ht="25.8" customHeight="1">
      <c r="C818" s="182" t="s">
        <v>1209</v>
      </c>
      <c r="D818" s="182" t="s">
        <v>1210</v>
      </c>
      <c r="E818" s="70"/>
      <c r="F818" s="70"/>
      <c r="G818" s="70"/>
      <c r="H818" s="70"/>
    </row>
    <row r="819" spans="3:13" ht="25.8" customHeight="1">
      <c r="C819" s="182">
        <v>1</v>
      </c>
      <c r="D819" s="182" t="s">
        <v>3702</v>
      </c>
      <c r="E819" s="70" t="s">
        <v>3182</v>
      </c>
      <c r="F819" s="118">
        <v>1.1000000000000001</v>
      </c>
      <c r="G819" s="283">
        <f t="shared" ref="G819" si="90">VLOOKUP(D819,upahbahan,3,FALSE)</f>
        <v>3750000</v>
      </c>
      <c r="H819" s="283">
        <f>F819*G819</f>
        <v>4125000.0000000005</v>
      </c>
    </row>
    <row r="820" spans="3:13" ht="25.8" customHeight="1">
      <c r="C820" s="450" t="s">
        <v>1214</v>
      </c>
      <c r="D820" s="67"/>
      <c r="E820" s="67"/>
      <c r="F820" s="67"/>
      <c r="G820" s="69"/>
      <c r="H820" s="283">
        <f>SUM(H819:H819)</f>
        <v>4125000.0000000005</v>
      </c>
    </row>
    <row r="821" spans="3:13" ht="25.8" customHeight="1">
      <c r="C821" s="176" t="s">
        <v>1215</v>
      </c>
      <c r="D821" s="182" t="s">
        <v>1216</v>
      </c>
      <c r="E821" s="70"/>
      <c r="F821" s="70"/>
      <c r="G821" s="70"/>
      <c r="H821" s="70"/>
    </row>
    <row r="822" spans="3:13" ht="25.8" customHeight="1">
      <c r="C822" s="450" t="s">
        <v>1217</v>
      </c>
      <c r="D822" s="67"/>
      <c r="E822" s="67"/>
      <c r="F822" s="67"/>
      <c r="G822" s="69"/>
      <c r="H822" s="871">
        <v>0</v>
      </c>
    </row>
    <row r="823" spans="3:13" ht="25.8" customHeight="1">
      <c r="C823" s="102" t="s">
        <v>1218</v>
      </c>
      <c r="D823" s="294" t="s">
        <v>1219</v>
      </c>
      <c r="E823" s="295"/>
      <c r="F823" s="295"/>
      <c r="G823" s="296"/>
      <c r="H823" s="872">
        <f>H822+H820+H817</f>
        <v>4581125.0000000009</v>
      </c>
      <c r="I823" s="873"/>
    </row>
    <row r="824" spans="3:13" ht="25.8" customHeight="1">
      <c r="C824" s="102" t="s">
        <v>1220</v>
      </c>
      <c r="D824" s="294" t="s">
        <v>1321</v>
      </c>
      <c r="E824" s="295"/>
      <c r="F824" s="296"/>
      <c r="G824" s="298">
        <f>$O$199</f>
        <v>0.1</v>
      </c>
      <c r="H824" s="283">
        <f>H823*G824</f>
        <v>458112.50000000012</v>
      </c>
      <c r="I824" s="873"/>
    </row>
    <row r="825" spans="3:13" ht="25.8" customHeight="1">
      <c r="C825" s="102" t="s">
        <v>1221</v>
      </c>
      <c r="D825" s="294" t="s">
        <v>1222</v>
      </c>
      <c r="E825" s="295"/>
      <c r="F825" s="295"/>
      <c r="G825" s="296"/>
      <c r="H825" s="874">
        <f>SUM(H823:H824)</f>
        <v>5039237.5000000009</v>
      </c>
      <c r="I825" s="873"/>
    </row>
    <row r="826" spans="3:13" ht="25.8" customHeight="1"/>
    <row r="827" spans="3:13" ht="25.8" customHeight="1"/>
    <row r="828" spans="3:13" ht="25.8" customHeight="1">
      <c r="C828" s="867" t="s">
        <v>3703</v>
      </c>
      <c r="D828" s="1931" t="s">
        <v>3704</v>
      </c>
      <c r="E828" s="1931"/>
      <c r="F828" s="1931"/>
      <c r="G828" s="1931"/>
      <c r="H828" s="1931"/>
      <c r="I828" s="120">
        <f>ROUNDDOWN(H843,-2)</f>
        <v>1953700</v>
      </c>
      <c r="J828" s="120"/>
      <c r="K828" s="120"/>
      <c r="M828" s="475"/>
    </row>
    <row r="829" spans="3:13" ht="25.8" customHeight="1">
      <c r="C829" s="591" t="s">
        <v>1195</v>
      </c>
      <c r="D829" s="591" t="s">
        <v>1196</v>
      </c>
      <c r="E829" s="591" t="s">
        <v>1197</v>
      </c>
      <c r="F829" s="591" t="s">
        <v>1198</v>
      </c>
      <c r="G829" s="591" t="s">
        <v>1199</v>
      </c>
      <c r="H829" s="591" t="s">
        <v>1200</v>
      </c>
    </row>
    <row r="830" spans="3:13" ht="25.8" customHeight="1">
      <c r="C830" s="182" t="s">
        <v>1201</v>
      </c>
      <c r="D830" s="182" t="s">
        <v>1202</v>
      </c>
      <c r="E830" s="70"/>
      <c r="F830" s="70"/>
      <c r="G830" s="70"/>
      <c r="H830" s="70"/>
    </row>
    <row r="831" spans="3:13" ht="25.8" customHeight="1">
      <c r="C831" s="876">
        <v>1</v>
      </c>
      <c r="D831" s="182" t="s">
        <v>5</v>
      </c>
      <c r="E831" s="182" t="s">
        <v>6</v>
      </c>
      <c r="F831" s="309">
        <v>1.2689999999999999</v>
      </c>
      <c r="G831" s="283">
        <f>VLOOKUP(D831,upahbahan,3,FALSE)</f>
        <v>100000</v>
      </c>
      <c r="H831" s="283">
        <f t="shared" ref="H831:H834" si="91">F831*G831</f>
        <v>126899.99999999999</v>
      </c>
    </row>
    <row r="832" spans="3:13" ht="25.8" customHeight="1">
      <c r="C832" s="876">
        <v>2</v>
      </c>
      <c r="D832" s="182" t="s">
        <v>3622</v>
      </c>
      <c r="E832" s="182" t="s">
        <v>6</v>
      </c>
      <c r="F832" s="309">
        <v>2.1190000000000002</v>
      </c>
      <c r="G832" s="283">
        <f>VLOOKUP(D832,upahbahan,3,FALSE)</f>
        <v>135000</v>
      </c>
      <c r="H832" s="283">
        <f t="shared" si="91"/>
        <v>286065.00000000006</v>
      </c>
    </row>
    <row r="833" spans="3:13" ht="25.8" customHeight="1">
      <c r="C833" s="876">
        <v>3</v>
      </c>
      <c r="D833" s="182" t="s">
        <v>18</v>
      </c>
      <c r="E833" s="182" t="s">
        <v>6</v>
      </c>
      <c r="F833" s="309">
        <v>0.21199999999999999</v>
      </c>
      <c r="G833" s="283">
        <f>VLOOKUP(D833,upahbahan,3,FALSE)</f>
        <v>150000</v>
      </c>
      <c r="H833" s="283">
        <f t="shared" si="91"/>
        <v>31800</v>
      </c>
    </row>
    <row r="834" spans="3:13" ht="25.8" customHeight="1">
      <c r="C834" s="876">
        <v>4</v>
      </c>
      <c r="D834" s="182" t="s">
        <v>19</v>
      </c>
      <c r="E834" s="182" t="s">
        <v>6</v>
      </c>
      <c r="F834" s="309">
        <v>7.0999999999999994E-2</v>
      </c>
      <c r="G834" s="283">
        <f>VLOOKUP(D834,upahbahan,3,FALSE)</f>
        <v>160000</v>
      </c>
      <c r="H834" s="283">
        <f t="shared" si="91"/>
        <v>11359.999999999998</v>
      </c>
    </row>
    <row r="835" spans="3:13" ht="25.8" customHeight="1">
      <c r="C835" s="450" t="s">
        <v>1208</v>
      </c>
      <c r="D835" s="67"/>
      <c r="E835" s="67"/>
      <c r="F835" s="142"/>
      <c r="G835" s="153"/>
      <c r="H835" s="283">
        <f>SUM(H831:H834)</f>
        <v>456125.00000000006</v>
      </c>
      <c r="I835" s="319"/>
      <c r="J835" s="319"/>
      <c r="K835" s="319"/>
    </row>
    <row r="836" spans="3:13" ht="25.8" customHeight="1">
      <c r="C836" s="182" t="s">
        <v>1209</v>
      </c>
      <c r="D836" s="182" t="s">
        <v>1210</v>
      </c>
      <c r="E836" s="70"/>
      <c r="F836" s="70"/>
      <c r="G836" s="70"/>
      <c r="H836" s="70"/>
    </row>
    <row r="837" spans="3:13" ht="25.8" customHeight="1">
      <c r="C837" s="182">
        <v>1</v>
      </c>
      <c r="D837" s="182" t="s">
        <v>3705</v>
      </c>
      <c r="E837" s="70" t="s">
        <v>3182</v>
      </c>
      <c r="F837" s="118">
        <v>1.1000000000000001</v>
      </c>
      <c r="G837" s="283">
        <f t="shared" ref="G837" si="92">VLOOKUP(D837,upahbahan,3,FALSE)</f>
        <v>1200000</v>
      </c>
      <c r="H837" s="283">
        <f>F837*G837</f>
        <v>1320000</v>
      </c>
    </row>
    <row r="838" spans="3:13" ht="25.8" customHeight="1">
      <c r="C838" s="450" t="s">
        <v>1214</v>
      </c>
      <c r="D838" s="67"/>
      <c r="E838" s="67"/>
      <c r="F838" s="67"/>
      <c r="G838" s="69"/>
      <c r="H838" s="283">
        <f>SUM(H837:H837)</f>
        <v>1320000</v>
      </c>
    </row>
    <row r="839" spans="3:13" ht="25.8" customHeight="1">
      <c r="C839" s="176" t="s">
        <v>1215</v>
      </c>
      <c r="D839" s="182" t="s">
        <v>1216</v>
      </c>
      <c r="E839" s="70"/>
      <c r="F839" s="70"/>
      <c r="G839" s="70"/>
      <c r="H839" s="70"/>
    </row>
    <row r="840" spans="3:13" ht="25.8" customHeight="1">
      <c r="C840" s="450" t="s">
        <v>1217</v>
      </c>
      <c r="D840" s="67"/>
      <c r="E840" s="67"/>
      <c r="F840" s="67"/>
      <c r="G840" s="69"/>
      <c r="H840" s="871">
        <v>0</v>
      </c>
    </row>
    <row r="841" spans="3:13" ht="25.8" customHeight="1">
      <c r="C841" s="102" t="s">
        <v>1218</v>
      </c>
      <c r="D841" s="294" t="s">
        <v>1219</v>
      </c>
      <c r="E841" s="295"/>
      <c r="F841" s="295"/>
      <c r="G841" s="296"/>
      <c r="H841" s="872">
        <f>H840+H838+H835</f>
        <v>1776125</v>
      </c>
      <c r="I841" s="873"/>
    </row>
    <row r="842" spans="3:13" ht="25.8" customHeight="1">
      <c r="C842" s="102" t="s">
        <v>1220</v>
      </c>
      <c r="D842" s="294" t="s">
        <v>1321</v>
      </c>
      <c r="E842" s="295"/>
      <c r="F842" s="296"/>
      <c r="G842" s="298">
        <f>$O$199</f>
        <v>0.1</v>
      </c>
      <c r="H842" s="283">
        <f>H841*G842</f>
        <v>177612.5</v>
      </c>
      <c r="I842" s="873"/>
    </row>
    <row r="843" spans="3:13" ht="25.8" customHeight="1">
      <c r="C843" s="102" t="s">
        <v>1221</v>
      </c>
      <c r="D843" s="294" t="s">
        <v>1222</v>
      </c>
      <c r="E843" s="295"/>
      <c r="F843" s="295"/>
      <c r="G843" s="296"/>
      <c r="H843" s="874">
        <f>SUM(H841:H842)</f>
        <v>1953737.5</v>
      </c>
      <c r="I843" s="873"/>
    </row>
    <row r="844" spans="3:13" ht="25.8" customHeight="1"/>
    <row r="845" spans="3:13" ht="25.8" customHeight="1">
      <c r="C845" s="867" t="s">
        <v>3706</v>
      </c>
      <c r="D845" s="1931" t="s">
        <v>3707</v>
      </c>
      <c r="E845" s="1931"/>
      <c r="F845" s="1931"/>
      <c r="G845" s="1931"/>
      <c r="H845" s="1931"/>
      <c r="I845" s="120">
        <f>ROUNDDOWN(H860,-2)</f>
        <v>2758200</v>
      </c>
      <c r="J845" s="120"/>
      <c r="K845" s="120"/>
      <c r="M845" s="475"/>
    </row>
    <row r="846" spans="3:13" ht="25.8" customHeight="1">
      <c r="C846" s="591" t="s">
        <v>1195</v>
      </c>
      <c r="D846" s="591" t="s">
        <v>1196</v>
      </c>
      <c r="E846" s="591" t="s">
        <v>1197</v>
      </c>
      <c r="F846" s="591" t="s">
        <v>1198</v>
      </c>
      <c r="G846" s="591" t="s">
        <v>1199</v>
      </c>
      <c r="H846" s="591" t="s">
        <v>1200</v>
      </c>
    </row>
    <row r="847" spans="3:13" ht="25.8" customHeight="1">
      <c r="C847" s="182" t="s">
        <v>1201</v>
      </c>
      <c r="D847" s="182" t="s">
        <v>1202</v>
      </c>
      <c r="E847" s="70"/>
      <c r="F847" s="70"/>
      <c r="G847" s="70"/>
      <c r="H847" s="70"/>
    </row>
    <row r="848" spans="3:13" ht="25.8" customHeight="1">
      <c r="C848" s="876">
        <v>1</v>
      </c>
      <c r="D848" s="182" t="s">
        <v>5</v>
      </c>
      <c r="E848" s="182" t="s">
        <v>6</v>
      </c>
      <c r="F848" s="309">
        <v>1.774</v>
      </c>
      <c r="G848" s="283">
        <f>VLOOKUP(D848,upahbahan,3,FALSE)</f>
        <v>100000</v>
      </c>
      <c r="H848" s="283">
        <f t="shared" ref="H848:H851" si="93">F848*G848</f>
        <v>177400</v>
      </c>
    </row>
    <row r="849" spans="3:13" ht="25.8" customHeight="1">
      <c r="C849" s="876">
        <v>2</v>
      </c>
      <c r="D849" s="182" t="s">
        <v>3622</v>
      </c>
      <c r="E849" s="182" t="s">
        <v>6</v>
      </c>
      <c r="F849" s="309">
        <v>2.9620000000000002</v>
      </c>
      <c r="G849" s="283">
        <f>VLOOKUP(D849,upahbahan,3,FALSE)</f>
        <v>135000</v>
      </c>
      <c r="H849" s="283">
        <f t="shared" si="93"/>
        <v>399870</v>
      </c>
    </row>
    <row r="850" spans="3:13" ht="25.8" customHeight="1">
      <c r="C850" s="876">
        <v>3</v>
      </c>
      <c r="D850" s="182" t="s">
        <v>18</v>
      </c>
      <c r="E850" s="182" t="s">
        <v>6</v>
      </c>
      <c r="F850" s="309">
        <v>0.29599999999999999</v>
      </c>
      <c r="G850" s="283">
        <f>VLOOKUP(D850,upahbahan,3,FALSE)</f>
        <v>150000</v>
      </c>
      <c r="H850" s="283">
        <f t="shared" si="93"/>
        <v>44400</v>
      </c>
    </row>
    <row r="851" spans="3:13" ht="25.8" customHeight="1">
      <c r="C851" s="876">
        <v>4</v>
      </c>
      <c r="D851" s="182" t="s">
        <v>19</v>
      </c>
      <c r="E851" s="182" t="s">
        <v>6</v>
      </c>
      <c r="F851" s="309">
        <v>9.9000000000000005E-2</v>
      </c>
      <c r="G851" s="283">
        <f>VLOOKUP(D851,upahbahan,3,FALSE)</f>
        <v>160000</v>
      </c>
      <c r="H851" s="283">
        <f t="shared" si="93"/>
        <v>15840</v>
      </c>
    </row>
    <row r="852" spans="3:13" ht="25.8" customHeight="1">
      <c r="C852" s="450" t="s">
        <v>1208</v>
      </c>
      <c r="D852" s="67"/>
      <c r="E852" s="67"/>
      <c r="F852" s="142"/>
      <c r="G852" s="153"/>
      <c r="H852" s="283">
        <f>SUM(H848:H851)</f>
        <v>637510</v>
      </c>
      <c r="I852" s="319"/>
      <c r="J852" s="319"/>
      <c r="K852" s="319"/>
    </row>
    <row r="853" spans="3:13" ht="25.8" customHeight="1">
      <c r="C853" s="182" t="s">
        <v>1209</v>
      </c>
      <c r="D853" s="182" t="s">
        <v>1210</v>
      </c>
      <c r="E853" s="70"/>
      <c r="F853" s="70"/>
      <c r="G853" s="70"/>
      <c r="H853" s="70"/>
    </row>
    <row r="854" spans="3:13" ht="25.8" customHeight="1">
      <c r="C854" s="182">
        <v>1</v>
      </c>
      <c r="D854" s="182" t="s">
        <v>3708</v>
      </c>
      <c r="E854" s="70" t="s">
        <v>3182</v>
      </c>
      <c r="F854" s="118">
        <v>1.1000000000000001</v>
      </c>
      <c r="G854" s="283">
        <f t="shared" ref="G854" si="94">VLOOKUP(D854,upahbahan,3,FALSE)</f>
        <v>1700000</v>
      </c>
      <c r="H854" s="283">
        <f>F854*G854</f>
        <v>1870000.0000000002</v>
      </c>
    </row>
    <row r="855" spans="3:13" ht="25.8" customHeight="1">
      <c r="C855" s="450" t="s">
        <v>1214</v>
      </c>
      <c r="D855" s="67"/>
      <c r="E855" s="67"/>
      <c r="F855" s="67"/>
      <c r="G855" s="69"/>
      <c r="H855" s="283">
        <f>SUM(H854:H854)</f>
        <v>1870000.0000000002</v>
      </c>
    </row>
    <row r="856" spans="3:13" ht="25.8" customHeight="1">
      <c r="C856" s="176" t="s">
        <v>1215</v>
      </c>
      <c r="D856" s="182" t="s">
        <v>1216</v>
      </c>
      <c r="E856" s="70"/>
      <c r="F856" s="70"/>
      <c r="G856" s="70"/>
      <c r="H856" s="70"/>
    </row>
    <row r="857" spans="3:13" ht="25.8" customHeight="1">
      <c r="C857" s="450" t="s">
        <v>1217</v>
      </c>
      <c r="D857" s="67"/>
      <c r="E857" s="67"/>
      <c r="F857" s="67"/>
      <c r="G857" s="69"/>
      <c r="H857" s="871">
        <v>0</v>
      </c>
    </row>
    <row r="858" spans="3:13" ht="25.8" customHeight="1">
      <c r="C858" s="102" t="s">
        <v>1218</v>
      </c>
      <c r="D858" s="294" t="s">
        <v>1219</v>
      </c>
      <c r="E858" s="295"/>
      <c r="F858" s="295"/>
      <c r="G858" s="296"/>
      <c r="H858" s="872">
        <f>H857+H855+H852</f>
        <v>2507510</v>
      </c>
      <c r="I858" s="873"/>
    </row>
    <row r="859" spans="3:13" ht="25.8" customHeight="1">
      <c r="C859" s="102" t="s">
        <v>1220</v>
      </c>
      <c r="D859" s="294" t="s">
        <v>1321</v>
      </c>
      <c r="E859" s="295"/>
      <c r="F859" s="296"/>
      <c r="G859" s="298">
        <f>$O$199</f>
        <v>0.1</v>
      </c>
      <c r="H859" s="283">
        <f>H858*G859</f>
        <v>250751</v>
      </c>
      <c r="I859" s="873"/>
    </row>
    <row r="860" spans="3:13" ht="25.8" customHeight="1">
      <c r="C860" s="102" t="s">
        <v>1221</v>
      </c>
      <c r="D860" s="294" t="s">
        <v>1222</v>
      </c>
      <c r="E860" s="295"/>
      <c r="F860" s="295"/>
      <c r="G860" s="296"/>
      <c r="H860" s="874">
        <f>SUM(H858:H859)</f>
        <v>2758261</v>
      </c>
      <c r="I860" s="873"/>
    </row>
    <row r="861" spans="3:13" ht="25.8" customHeight="1"/>
    <row r="862" spans="3:13" ht="25.8" customHeight="1"/>
    <row r="863" spans="3:13" ht="25.8" customHeight="1">
      <c r="C863" s="867" t="s">
        <v>3709</v>
      </c>
      <c r="D863" s="1931" t="s">
        <v>3710</v>
      </c>
      <c r="E863" s="1931"/>
      <c r="F863" s="1931"/>
      <c r="G863" s="1931"/>
      <c r="H863" s="1931"/>
      <c r="I863" s="120">
        <f>ROUNDDOWN(H878,-2)</f>
        <v>2963000</v>
      </c>
      <c r="J863" s="120"/>
      <c r="K863" s="120"/>
      <c r="M863" s="475"/>
    </row>
    <row r="864" spans="3:13" ht="25.8" customHeight="1">
      <c r="C864" s="591" t="s">
        <v>1195</v>
      </c>
      <c r="D864" s="591" t="s">
        <v>1196</v>
      </c>
      <c r="E864" s="591" t="s">
        <v>1197</v>
      </c>
      <c r="F864" s="591" t="s">
        <v>1198</v>
      </c>
      <c r="G864" s="591" t="s">
        <v>1199</v>
      </c>
      <c r="H864" s="591" t="s">
        <v>1200</v>
      </c>
    </row>
    <row r="865" spans="3:11" ht="25.8" customHeight="1">
      <c r="C865" s="182" t="s">
        <v>1201</v>
      </c>
      <c r="D865" s="182" t="s">
        <v>1202</v>
      </c>
      <c r="E865" s="70"/>
      <c r="F865" s="70"/>
      <c r="G865" s="70"/>
      <c r="H865" s="70"/>
    </row>
    <row r="866" spans="3:11" ht="25.8" customHeight="1">
      <c r="C866" s="876">
        <v>1</v>
      </c>
      <c r="D866" s="182" t="s">
        <v>5</v>
      </c>
      <c r="E866" s="182" t="s">
        <v>6</v>
      </c>
      <c r="F866" s="309">
        <v>0.76200000000000001</v>
      </c>
      <c r="G866" s="283">
        <f>VLOOKUP(D866,upahbahan,3,FALSE)</f>
        <v>100000</v>
      </c>
      <c r="H866" s="283">
        <f t="shared" ref="H866:H869" si="95">F866*G866</f>
        <v>76200</v>
      </c>
    </row>
    <row r="867" spans="3:11" ht="25.8" customHeight="1">
      <c r="C867" s="876">
        <v>2</v>
      </c>
      <c r="D867" s="182" t="s">
        <v>3622</v>
      </c>
      <c r="E867" s="182" t="s">
        <v>6</v>
      </c>
      <c r="F867" s="309">
        <v>1.272</v>
      </c>
      <c r="G867" s="283">
        <f>VLOOKUP(D867,upahbahan,3,FALSE)</f>
        <v>135000</v>
      </c>
      <c r="H867" s="283">
        <f t="shared" si="95"/>
        <v>171720</v>
      </c>
    </row>
    <row r="868" spans="3:11" ht="25.8" customHeight="1">
      <c r="C868" s="876">
        <v>3</v>
      </c>
      <c r="D868" s="182" t="s">
        <v>18</v>
      </c>
      <c r="E868" s="182" t="s">
        <v>6</v>
      </c>
      <c r="F868" s="309">
        <v>0.127</v>
      </c>
      <c r="G868" s="283">
        <f>VLOOKUP(D868,upahbahan,3,FALSE)</f>
        <v>150000</v>
      </c>
      <c r="H868" s="283">
        <f t="shared" si="95"/>
        <v>19050</v>
      </c>
    </row>
    <row r="869" spans="3:11" ht="25.8" customHeight="1">
      <c r="C869" s="876">
        <v>4</v>
      </c>
      <c r="D869" s="182" t="s">
        <v>19</v>
      </c>
      <c r="E869" s="182" t="s">
        <v>6</v>
      </c>
      <c r="F869" s="309">
        <v>4.2000000000000003E-2</v>
      </c>
      <c r="G869" s="283">
        <f>VLOOKUP(D869,upahbahan,3,FALSE)</f>
        <v>160000</v>
      </c>
      <c r="H869" s="283">
        <f t="shared" si="95"/>
        <v>6720</v>
      </c>
    </row>
    <row r="870" spans="3:11" ht="25.8" customHeight="1">
      <c r="C870" s="450" t="s">
        <v>1208</v>
      </c>
      <c r="D870" s="67"/>
      <c r="E870" s="67"/>
      <c r="F870" s="142"/>
      <c r="G870" s="153"/>
      <c r="H870" s="283">
        <f>SUM(H866:H869)</f>
        <v>273690</v>
      </c>
      <c r="I870" s="319"/>
      <c r="J870" s="319"/>
      <c r="K870" s="319"/>
    </row>
    <row r="871" spans="3:11" ht="25.8" customHeight="1">
      <c r="C871" s="182" t="s">
        <v>1209</v>
      </c>
      <c r="D871" s="182" t="s">
        <v>1210</v>
      </c>
      <c r="E871" s="70"/>
      <c r="F871" s="70"/>
      <c r="G871" s="70"/>
      <c r="H871" s="70"/>
    </row>
    <row r="872" spans="3:11" ht="25.8" customHeight="1">
      <c r="C872" s="182">
        <v>1</v>
      </c>
      <c r="D872" s="182" t="s">
        <v>3711</v>
      </c>
      <c r="E872" s="70" t="s">
        <v>3182</v>
      </c>
      <c r="F872" s="118">
        <v>1.1000000000000001</v>
      </c>
      <c r="G872" s="283">
        <f t="shared" ref="G872" si="96">VLOOKUP(D872,upahbahan,3,FALSE)</f>
        <v>2200000</v>
      </c>
      <c r="H872" s="283">
        <f>F872*G872</f>
        <v>2420000</v>
      </c>
    </row>
    <row r="873" spans="3:11" ht="25.8" customHeight="1">
      <c r="C873" s="450" t="s">
        <v>1214</v>
      </c>
      <c r="D873" s="67"/>
      <c r="E873" s="67"/>
      <c r="F873" s="67"/>
      <c r="G873" s="69"/>
      <c r="H873" s="283">
        <f>SUM(H872:H872)</f>
        <v>2420000</v>
      </c>
    </row>
    <row r="874" spans="3:11" ht="25.8" customHeight="1">
      <c r="C874" s="176" t="s">
        <v>1215</v>
      </c>
      <c r="D874" s="182" t="s">
        <v>1216</v>
      </c>
      <c r="E874" s="70"/>
      <c r="F874" s="70"/>
      <c r="G874" s="70"/>
      <c r="H874" s="70"/>
    </row>
    <row r="875" spans="3:11" ht="25.8" customHeight="1">
      <c r="C875" s="450" t="s">
        <v>1217</v>
      </c>
      <c r="D875" s="67"/>
      <c r="E875" s="67"/>
      <c r="F875" s="67"/>
      <c r="G875" s="69"/>
      <c r="H875" s="871">
        <v>0</v>
      </c>
    </row>
    <row r="876" spans="3:11" ht="25.8" customHeight="1">
      <c r="C876" s="102" t="s">
        <v>1218</v>
      </c>
      <c r="D876" s="294" t="s">
        <v>1219</v>
      </c>
      <c r="E876" s="295"/>
      <c r="F876" s="295"/>
      <c r="G876" s="296"/>
      <c r="H876" s="872">
        <f>H875+H873+H870</f>
        <v>2693690</v>
      </c>
      <c r="I876" s="873"/>
    </row>
    <row r="877" spans="3:11" ht="25.8" customHeight="1">
      <c r="C877" s="102" t="s">
        <v>1220</v>
      </c>
      <c r="D877" s="294" t="s">
        <v>1321</v>
      </c>
      <c r="E877" s="295"/>
      <c r="F877" s="296"/>
      <c r="G877" s="298">
        <f>$O$199</f>
        <v>0.1</v>
      </c>
      <c r="H877" s="283">
        <f>H876*G877</f>
        <v>269369</v>
      </c>
      <c r="I877" s="873"/>
    </row>
    <row r="878" spans="3:11" ht="25.8" customHeight="1">
      <c r="C878" s="102" t="s">
        <v>1221</v>
      </c>
      <c r="D878" s="294" t="s">
        <v>1222</v>
      </c>
      <c r="E878" s="295"/>
      <c r="F878" s="295"/>
      <c r="G878" s="296"/>
      <c r="H878" s="874">
        <f>SUM(H876:H877)</f>
        <v>2963059</v>
      </c>
      <c r="I878" s="873"/>
    </row>
    <row r="879" spans="3:11" ht="25.8" customHeight="1"/>
    <row r="880" spans="3:11" ht="25.8" customHeight="1">
      <c r="C880" s="119" t="s">
        <v>3712</v>
      </c>
      <c r="D880" s="119" t="s">
        <v>3713</v>
      </c>
    </row>
    <row r="881" spans="3:13" ht="25.8" customHeight="1">
      <c r="C881" s="867" t="s">
        <v>3714</v>
      </c>
      <c r="D881" s="1931" t="s">
        <v>3715</v>
      </c>
      <c r="E881" s="1931"/>
      <c r="F881" s="1931"/>
      <c r="G881" s="1931"/>
      <c r="H881" s="1931"/>
      <c r="I881" s="120">
        <f>ROUNDDOWN(H896,-2)</f>
        <v>247900</v>
      </c>
      <c r="J881" s="120"/>
      <c r="K881" s="120"/>
      <c r="M881" s="475"/>
    </row>
    <row r="882" spans="3:13" ht="25.8" customHeight="1">
      <c r="C882" s="591" t="s">
        <v>1195</v>
      </c>
      <c r="D882" s="591" t="s">
        <v>1196</v>
      </c>
      <c r="E882" s="591" t="s">
        <v>1197</v>
      </c>
      <c r="F882" s="591" t="s">
        <v>1198</v>
      </c>
      <c r="G882" s="591" t="s">
        <v>1199</v>
      </c>
      <c r="H882" s="591" t="s">
        <v>1200</v>
      </c>
    </row>
    <row r="883" spans="3:13" ht="25.8" customHeight="1">
      <c r="C883" s="182" t="s">
        <v>1201</v>
      </c>
      <c r="D883" s="182" t="s">
        <v>1202</v>
      </c>
      <c r="E883" s="70"/>
      <c r="F883" s="70"/>
      <c r="G883" s="70"/>
      <c r="H883" s="70"/>
    </row>
    <row r="884" spans="3:13" ht="25.8" customHeight="1">
      <c r="C884" s="876">
        <v>1</v>
      </c>
      <c r="D884" s="182" t="s">
        <v>5</v>
      </c>
      <c r="E884" s="182" t="s">
        <v>6</v>
      </c>
      <c r="F884" s="309">
        <v>0.10199999999999999</v>
      </c>
      <c r="G884" s="283">
        <f>VLOOKUP(D884,upahbahan,3,FALSE)</f>
        <v>100000</v>
      </c>
      <c r="H884" s="283">
        <f t="shared" ref="H884:H887" si="97">F884*G884</f>
        <v>10200</v>
      </c>
    </row>
    <row r="885" spans="3:13" ht="25.8" customHeight="1">
      <c r="C885" s="876">
        <v>2</v>
      </c>
      <c r="D885" s="182" t="s">
        <v>3622</v>
      </c>
      <c r="E885" s="182" t="s">
        <v>6</v>
      </c>
      <c r="F885" s="309">
        <v>0.17100000000000001</v>
      </c>
      <c r="G885" s="283">
        <f>VLOOKUP(D885,upahbahan,3,FALSE)</f>
        <v>135000</v>
      </c>
      <c r="H885" s="283">
        <f t="shared" si="97"/>
        <v>23085</v>
      </c>
    </row>
    <row r="886" spans="3:13" ht="25.8" customHeight="1">
      <c r="C886" s="876">
        <v>3</v>
      </c>
      <c r="D886" s="182" t="s">
        <v>18</v>
      </c>
      <c r="E886" s="182" t="s">
        <v>6</v>
      </c>
      <c r="F886" s="309">
        <v>1.7000000000000001E-2</v>
      </c>
      <c r="G886" s="283">
        <f>VLOOKUP(D886,upahbahan,3,FALSE)</f>
        <v>150000</v>
      </c>
      <c r="H886" s="283">
        <f t="shared" si="97"/>
        <v>2550</v>
      </c>
    </row>
    <row r="887" spans="3:13" ht="25.8" customHeight="1">
      <c r="C887" s="876">
        <v>4</v>
      </c>
      <c r="D887" s="182" t="s">
        <v>19</v>
      </c>
      <c r="E887" s="182" t="s">
        <v>6</v>
      </c>
      <c r="F887" s="309">
        <v>6.0000000000000001E-3</v>
      </c>
      <c r="G887" s="283">
        <f>VLOOKUP(D887,upahbahan,3,FALSE)</f>
        <v>160000</v>
      </c>
      <c r="H887" s="283">
        <f t="shared" si="97"/>
        <v>960</v>
      </c>
    </row>
    <row r="888" spans="3:13" ht="25.8" customHeight="1">
      <c r="C888" s="450" t="s">
        <v>1208</v>
      </c>
      <c r="D888" s="67"/>
      <c r="E888" s="67"/>
      <c r="F888" s="142"/>
      <c r="G888" s="153"/>
      <c r="H888" s="283">
        <f>SUM(H884:H887)</f>
        <v>36795</v>
      </c>
      <c r="I888" s="319"/>
      <c r="J888" s="319"/>
      <c r="K888" s="319"/>
    </row>
    <row r="889" spans="3:13" ht="25.8" customHeight="1">
      <c r="C889" s="182" t="s">
        <v>1209</v>
      </c>
      <c r="D889" s="182" t="s">
        <v>1210</v>
      </c>
      <c r="E889" s="70"/>
      <c r="F889" s="70"/>
      <c r="G889" s="70"/>
      <c r="H889" s="70"/>
    </row>
    <row r="890" spans="3:13" ht="25.8" customHeight="1">
      <c r="C890" s="182">
        <v>1</v>
      </c>
      <c r="D890" s="182" t="s">
        <v>3716</v>
      </c>
      <c r="E890" s="70" t="s">
        <v>3182</v>
      </c>
      <c r="F890" s="118">
        <v>1.1000000000000001</v>
      </c>
      <c r="G890" s="283">
        <f t="shared" ref="G890" si="98">VLOOKUP(D890,upahbahan,3,FALSE)</f>
        <v>171500</v>
      </c>
      <c r="H890" s="283">
        <f>F890*G890</f>
        <v>188650.00000000003</v>
      </c>
    </row>
    <row r="891" spans="3:13" ht="25.8" customHeight="1">
      <c r="C891" s="450" t="s">
        <v>1214</v>
      </c>
      <c r="D891" s="67"/>
      <c r="E891" s="67"/>
      <c r="F891" s="67"/>
      <c r="G891" s="69"/>
      <c r="H891" s="283">
        <f>SUM(H890:H890)</f>
        <v>188650.00000000003</v>
      </c>
    </row>
    <row r="892" spans="3:13" ht="25.8" customHeight="1">
      <c r="C892" s="176" t="s">
        <v>1215</v>
      </c>
      <c r="D892" s="182" t="s">
        <v>1216</v>
      </c>
      <c r="E892" s="70"/>
      <c r="F892" s="70"/>
      <c r="G892" s="70"/>
      <c r="H892" s="70"/>
    </row>
    <row r="893" spans="3:13" ht="25.8" customHeight="1">
      <c r="C893" s="450" t="s">
        <v>1217</v>
      </c>
      <c r="D893" s="67"/>
      <c r="E893" s="67"/>
      <c r="F893" s="67"/>
      <c r="G893" s="69"/>
      <c r="H893" s="871">
        <v>0</v>
      </c>
    </row>
    <row r="894" spans="3:13" ht="25.8" customHeight="1">
      <c r="C894" s="102" t="s">
        <v>1218</v>
      </c>
      <c r="D894" s="294" t="s">
        <v>1219</v>
      </c>
      <c r="E894" s="295"/>
      <c r="F894" s="295"/>
      <c r="G894" s="296"/>
      <c r="H894" s="872">
        <f>H893+H891+H888</f>
        <v>225445.00000000003</v>
      </c>
      <c r="I894" s="873"/>
    </row>
    <row r="895" spans="3:13" ht="25.8" customHeight="1">
      <c r="C895" s="102" t="s">
        <v>1220</v>
      </c>
      <c r="D895" s="294" t="s">
        <v>1321</v>
      </c>
      <c r="E895" s="295"/>
      <c r="F895" s="296"/>
      <c r="G895" s="298">
        <f>$O$199</f>
        <v>0.1</v>
      </c>
      <c r="H895" s="283">
        <f>H894*G895</f>
        <v>22544.500000000004</v>
      </c>
      <c r="I895" s="873"/>
    </row>
    <row r="896" spans="3:13" ht="25.8" customHeight="1">
      <c r="C896" s="102" t="s">
        <v>1221</v>
      </c>
      <c r="D896" s="294" t="s">
        <v>1222</v>
      </c>
      <c r="E896" s="295"/>
      <c r="F896" s="295"/>
      <c r="G896" s="296"/>
      <c r="H896" s="874">
        <f>SUM(H894:H895)</f>
        <v>247989.50000000003</v>
      </c>
      <c r="I896" s="873"/>
    </row>
    <row r="897" spans="3:13" ht="25.8" customHeight="1"/>
    <row r="898" spans="3:13" ht="25.8" customHeight="1">
      <c r="C898" s="867" t="s">
        <v>3719</v>
      </c>
      <c r="D898" s="1931" t="s">
        <v>3717</v>
      </c>
      <c r="E898" s="1931"/>
      <c r="F898" s="1931"/>
      <c r="G898" s="1931"/>
      <c r="H898" s="1931"/>
      <c r="I898" s="120">
        <f>ROUNDDOWN(H913,-2)</f>
        <v>316200</v>
      </c>
      <c r="J898" s="120"/>
      <c r="K898" s="120"/>
      <c r="M898" s="475"/>
    </row>
    <row r="899" spans="3:13" ht="25.8" customHeight="1">
      <c r="C899" s="591" t="s">
        <v>1195</v>
      </c>
      <c r="D899" s="591" t="s">
        <v>1196</v>
      </c>
      <c r="E899" s="591" t="s">
        <v>1197</v>
      </c>
      <c r="F899" s="591" t="s">
        <v>1198</v>
      </c>
      <c r="G899" s="591" t="s">
        <v>1199</v>
      </c>
      <c r="H899" s="591" t="s">
        <v>1200</v>
      </c>
    </row>
    <row r="900" spans="3:13" ht="25.8" customHeight="1">
      <c r="C900" s="182" t="s">
        <v>1201</v>
      </c>
      <c r="D900" s="182" t="s">
        <v>1202</v>
      </c>
      <c r="E900" s="70"/>
      <c r="F900" s="70"/>
      <c r="G900" s="70"/>
      <c r="H900" s="70"/>
    </row>
    <row r="901" spans="3:13" ht="25.8" customHeight="1">
      <c r="C901" s="876">
        <v>1</v>
      </c>
      <c r="D901" s="182" t="s">
        <v>5</v>
      </c>
      <c r="E901" s="182" t="s">
        <v>6</v>
      </c>
      <c r="F901" s="309">
        <v>0.10199999999999999</v>
      </c>
      <c r="G901" s="283">
        <f>VLOOKUP(D901,upahbahan,3,FALSE)</f>
        <v>100000</v>
      </c>
      <c r="H901" s="283">
        <f t="shared" ref="H901:H904" si="99">F901*G901</f>
        <v>10200</v>
      </c>
    </row>
    <row r="902" spans="3:13" ht="25.8" customHeight="1">
      <c r="C902" s="876">
        <v>2</v>
      </c>
      <c r="D902" s="182" t="s">
        <v>3622</v>
      </c>
      <c r="E902" s="182" t="s">
        <v>6</v>
      </c>
      <c r="F902" s="309">
        <v>0.17100000000000001</v>
      </c>
      <c r="G902" s="283">
        <f>VLOOKUP(D902,upahbahan,3,FALSE)</f>
        <v>135000</v>
      </c>
      <c r="H902" s="283">
        <f t="shared" si="99"/>
        <v>23085</v>
      </c>
    </row>
    <row r="903" spans="3:13" ht="25.8" customHeight="1">
      <c r="C903" s="876">
        <v>3</v>
      </c>
      <c r="D903" s="182" t="s">
        <v>18</v>
      </c>
      <c r="E903" s="182" t="s">
        <v>6</v>
      </c>
      <c r="F903" s="309">
        <v>1.7000000000000001E-2</v>
      </c>
      <c r="G903" s="283">
        <f>VLOOKUP(D903,upahbahan,3,FALSE)</f>
        <v>150000</v>
      </c>
      <c r="H903" s="283">
        <f t="shared" si="99"/>
        <v>2550</v>
      </c>
    </row>
    <row r="904" spans="3:13" ht="25.8" customHeight="1">
      <c r="C904" s="876">
        <v>4</v>
      </c>
      <c r="D904" s="182" t="s">
        <v>19</v>
      </c>
      <c r="E904" s="182" t="s">
        <v>6</v>
      </c>
      <c r="F904" s="309">
        <v>6.0000000000000001E-3</v>
      </c>
      <c r="G904" s="283">
        <f>VLOOKUP(D904,upahbahan,3,FALSE)</f>
        <v>160000</v>
      </c>
      <c r="H904" s="283">
        <f t="shared" si="99"/>
        <v>960</v>
      </c>
    </row>
    <row r="905" spans="3:13" ht="25.8" customHeight="1">
      <c r="C905" s="450" t="s">
        <v>1208</v>
      </c>
      <c r="D905" s="67"/>
      <c r="E905" s="67"/>
      <c r="F905" s="142"/>
      <c r="G905" s="153"/>
      <c r="H905" s="283">
        <f>SUM(H901:H904)</f>
        <v>36795</v>
      </c>
      <c r="I905" s="319"/>
      <c r="J905" s="319"/>
      <c r="K905" s="319"/>
    </row>
    <row r="906" spans="3:13" ht="25.8" customHeight="1">
      <c r="C906" s="182" t="s">
        <v>1209</v>
      </c>
      <c r="D906" s="182" t="s">
        <v>1210</v>
      </c>
      <c r="E906" s="70"/>
      <c r="F906" s="70"/>
      <c r="G906" s="70"/>
      <c r="H906" s="70"/>
    </row>
    <row r="907" spans="3:13" ht="25.8" customHeight="1">
      <c r="C907" s="182">
        <v>1</v>
      </c>
      <c r="D907" s="182" t="s">
        <v>3718</v>
      </c>
      <c r="E907" s="70" t="s">
        <v>3182</v>
      </c>
      <c r="F907" s="118">
        <v>1.1000000000000001</v>
      </c>
      <c r="G907" s="283">
        <f t="shared" ref="G907" si="100">VLOOKUP(D907,upahbahan,3,FALSE)</f>
        <v>227900</v>
      </c>
      <c r="H907" s="283">
        <f>F907*G907</f>
        <v>250690.00000000003</v>
      </c>
    </row>
    <row r="908" spans="3:13" ht="25.8" customHeight="1">
      <c r="C908" s="450" t="s">
        <v>1214</v>
      </c>
      <c r="D908" s="67"/>
      <c r="E908" s="67"/>
      <c r="F908" s="67"/>
      <c r="G908" s="69"/>
      <c r="H908" s="283">
        <f>SUM(H907:H907)</f>
        <v>250690.00000000003</v>
      </c>
    </row>
    <row r="909" spans="3:13" ht="25.8" customHeight="1">
      <c r="C909" s="176" t="s">
        <v>1215</v>
      </c>
      <c r="D909" s="182" t="s">
        <v>1216</v>
      </c>
      <c r="E909" s="70"/>
      <c r="F909" s="70"/>
      <c r="G909" s="70"/>
      <c r="H909" s="70"/>
    </row>
    <row r="910" spans="3:13" ht="25.8" customHeight="1">
      <c r="C910" s="450" t="s">
        <v>1217</v>
      </c>
      <c r="D910" s="67"/>
      <c r="E910" s="67"/>
      <c r="F910" s="67"/>
      <c r="G910" s="69"/>
      <c r="H910" s="871">
        <v>0</v>
      </c>
    </row>
    <row r="911" spans="3:13" ht="25.8" customHeight="1">
      <c r="C911" s="102" t="s">
        <v>1218</v>
      </c>
      <c r="D911" s="294" t="s">
        <v>1219</v>
      </c>
      <c r="E911" s="295"/>
      <c r="F911" s="295"/>
      <c r="G911" s="296"/>
      <c r="H911" s="872">
        <f>H910+H908+H905</f>
        <v>287485</v>
      </c>
      <c r="I911" s="873"/>
    </row>
    <row r="912" spans="3:13" ht="25.8" customHeight="1">
      <c r="C912" s="102" t="s">
        <v>1220</v>
      </c>
      <c r="D912" s="294" t="s">
        <v>1321</v>
      </c>
      <c r="E912" s="295"/>
      <c r="F912" s="296"/>
      <c r="G912" s="298">
        <f>$O$199</f>
        <v>0.1</v>
      </c>
      <c r="H912" s="283">
        <f>H911*G912</f>
        <v>28748.5</v>
      </c>
      <c r="I912" s="873"/>
    </row>
    <row r="913" spans="3:13" ht="25.8" customHeight="1">
      <c r="C913" s="102" t="s">
        <v>1221</v>
      </c>
      <c r="D913" s="294" t="s">
        <v>1222</v>
      </c>
      <c r="E913" s="295"/>
      <c r="F913" s="295"/>
      <c r="G913" s="296"/>
      <c r="H913" s="874">
        <f>SUM(H911:H912)</f>
        <v>316233.5</v>
      </c>
      <c r="I913" s="873"/>
    </row>
    <row r="914" spans="3:13" ht="25.8" customHeight="1"/>
    <row r="915" spans="3:13" ht="25.8" customHeight="1">
      <c r="C915" s="867" t="s">
        <v>3720</v>
      </c>
      <c r="D915" s="1931" t="s">
        <v>3721</v>
      </c>
      <c r="E915" s="1931"/>
      <c r="F915" s="1931"/>
      <c r="G915" s="1931"/>
      <c r="H915" s="1931"/>
      <c r="I915" s="120">
        <f>ROUNDDOWN(H930,-2)</f>
        <v>2339400</v>
      </c>
      <c r="J915" s="120"/>
      <c r="K915" s="120"/>
      <c r="M915" s="475"/>
    </row>
    <row r="916" spans="3:13" ht="25.8" customHeight="1">
      <c r="C916" s="591" t="s">
        <v>1195</v>
      </c>
      <c r="D916" s="591" t="s">
        <v>1196</v>
      </c>
      <c r="E916" s="591" t="s">
        <v>1197</v>
      </c>
      <c r="F916" s="591" t="s">
        <v>1198</v>
      </c>
      <c r="G916" s="591" t="s">
        <v>1199</v>
      </c>
      <c r="H916" s="591" t="s">
        <v>1200</v>
      </c>
    </row>
    <row r="917" spans="3:13" ht="25.8" customHeight="1">
      <c r="C917" s="182" t="s">
        <v>1201</v>
      </c>
      <c r="D917" s="182" t="s">
        <v>1202</v>
      </c>
      <c r="E917" s="70"/>
      <c r="F917" s="70"/>
      <c r="G917" s="70"/>
      <c r="H917" s="70"/>
    </row>
    <row r="918" spans="3:13" ht="25.8" customHeight="1">
      <c r="C918" s="876">
        <v>1</v>
      </c>
      <c r="D918" s="182" t="s">
        <v>5</v>
      </c>
      <c r="E918" s="182" t="s">
        <v>6</v>
      </c>
      <c r="F918" s="309">
        <v>0.10199999999999999</v>
      </c>
      <c r="G918" s="283">
        <f>VLOOKUP(D918,upahbahan,3,FALSE)</f>
        <v>100000</v>
      </c>
      <c r="H918" s="283">
        <f t="shared" ref="H918:H921" si="101">F918*G918</f>
        <v>10200</v>
      </c>
    </row>
    <row r="919" spans="3:13" ht="25.8" customHeight="1">
      <c r="C919" s="876">
        <v>2</v>
      </c>
      <c r="D919" s="182" t="s">
        <v>3622</v>
      </c>
      <c r="E919" s="182" t="s">
        <v>6</v>
      </c>
      <c r="F919" s="309">
        <v>0.17100000000000001</v>
      </c>
      <c r="G919" s="283">
        <f>VLOOKUP(D919,upahbahan,3,FALSE)</f>
        <v>135000</v>
      </c>
      <c r="H919" s="283">
        <f t="shared" si="101"/>
        <v>23085</v>
      </c>
    </row>
    <row r="920" spans="3:13" ht="25.8" customHeight="1">
      <c r="C920" s="876">
        <v>3</v>
      </c>
      <c r="D920" s="182" t="s">
        <v>18</v>
      </c>
      <c r="E920" s="182" t="s">
        <v>6</v>
      </c>
      <c r="F920" s="309">
        <v>1.7000000000000001E-2</v>
      </c>
      <c r="G920" s="283">
        <f>VLOOKUP(D920,upahbahan,3,FALSE)</f>
        <v>150000</v>
      </c>
      <c r="H920" s="283">
        <f t="shared" si="101"/>
        <v>2550</v>
      </c>
    </row>
    <row r="921" spans="3:13" ht="25.8" customHeight="1">
      <c r="C921" s="876">
        <v>4</v>
      </c>
      <c r="D921" s="182" t="s">
        <v>19</v>
      </c>
      <c r="E921" s="182" t="s">
        <v>6</v>
      </c>
      <c r="F921" s="309">
        <v>6.0000000000000001E-3</v>
      </c>
      <c r="G921" s="283">
        <f>VLOOKUP(D921,upahbahan,3,FALSE)</f>
        <v>160000</v>
      </c>
      <c r="H921" s="283">
        <f t="shared" si="101"/>
        <v>960</v>
      </c>
    </row>
    <row r="922" spans="3:13" ht="25.8" customHeight="1">
      <c r="C922" s="450" t="s">
        <v>1208</v>
      </c>
      <c r="D922" s="67"/>
      <c r="E922" s="67"/>
      <c r="F922" s="142"/>
      <c r="G922" s="153"/>
      <c r="H922" s="283">
        <f>SUM(H918:H921)</f>
        <v>36795</v>
      </c>
      <c r="I922" s="319"/>
      <c r="J922" s="319"/>
      <c r="K922" s="319"/>
    </row>
    <row r="923" spans="3:13" ht="25.8" customHeight="1">
      <c r="C923" s="182" t="s">
        <v>1209</v>
      </c>
      <c r="D923" s="182" t="s">
        <v>1210</v>
      </c>
      <c r="E923" s="70"/>
      <c r="F923" s="70"/>
      <c r="G923" s="70"/>
      <c r="H923" s="70"/>
    </row>
    <row r="924" spans="3:13" ht="25.8" customHeight="1">
      <c r="C924" s="182">
        <v>1</v>
      </c>
      <c r="D924" s="182" t="s">
        <v>3722</v>
      </c>
      <c r="E924" s="70" t="s">
        <v>3182</v>
      </c>
      <c r="F924" s="118">
        <v>1.1000000000000001</v>
      </c>
      <c r="G924" s="283">
        <f t="shared" ref="G924" si="102">VLOOKUP(D924,upahbahan,3,FALSE)</f>
        <v>1900000</v>
      </c>
      <c r="H924" s="283">
        <f>F924*G924</f>
        <v>2090000.0000000002</v>
      </c>
    </row>
    <row r="925" spans="3:13" ht="25.8" customHeight="1">
      <c r="C925" s="450" t="s">
        <v>1214</v>
      </c>
      <c r="D925" s="67"/>
      <c r="E925" s="67"/>
      <c r="F925" s="67"/>
      <c r="G925" s="69"/>
      <c r="H925" s="283">
        <f>SUM(H924:H924)</f>
        <v>2090000.0000000002</v>
      </c>
    </row>
    <row r="926" spans="3:13" ht="25.8" customHeight="1">
      <c r="C926" s="176" t="s">
        <v>1215</v>
      </c>
      <c r="D926" s="182" t="s">
        <v>1216</v>
      </c>
      <c r="E926" s="70"/>
      <c r="F926" s="70"/>
      <c r="G926" s="70"/>
      <c r="H926" s="70"/>
    </row>
    <row r="927" spans="3:13" ht="25.8" customHeight="1">
      <c r="C927" s="450" t="s">
        <v>1217</v>
      </c>
      <c r="D927" s="67"/>
      <c r="E927" s="67"/>
      <c r="F927" s="67"/>
      <c r="G927" s="69"/>
      <c r="H927" s="871">
        <v>0</v>
      </c>
    </row>
    <row r="928" spans="3:13" ht="25.8" customHeight="1">
      <c r="C928" s="102" t="s">
        <v>1218</v>
      </c>
      <c r="D928" s="294" t="s">
        <v>1219</v>
      </c>
      <c r="E928" s="295"/>
      <c r="F928" s="295"/>
      <c r="G928" s="296"/>
      <c r="H928" s="872">
        <f>H927+H925+H922</f>
        <v>2126795</v>
      </c>
      <c r="I928" s="873"/>
    </row>
    <row r="929" spans="3:13" ht="25.8" customHeight="1">
      <c r="C929" s="102" t="s">
        <v>1220</v>
      </c>
      <c r="D929" s="294" t="s">
        <v>1321</v>
      </c>
      <c r="E929" s="295"/>
      <c r="F929" s="296"/>
      <c r="G929" s="298">
        <f>$O$199</f>
        <v>0.1</v>
      </c>
      <c r="H929" s="283">
        <f>H928*G929</f>
        <v>212679.5</v>
      </c>
      <c r="I929" s="873"/>
    </row>
    <row r="930" spans="3:13" ht="25.8" customHeight="1">
      <c r="C930" s="102" t="s">
        <v>1221</v>
      </c>
      <c r="D930" s="294" t="s">
        <v>1222</v>
      </c>
      <c r="E930" s="295"/>
      <c r="F930" s="295"/>
      <c r="G930" s="296"/>
      <c r="H930" s="874">
        <f>SUM(H928:H929)</f>
        <v>2339474.5</v>
      </c>
      <c r="I930" s="873"/>
    </row>
    <row r="931" spans="3:13" ht="25.8" customHeight="1"/>
    <row r="932" spans="3:13" ht="25.8" customHeight="1">
      <c r="C932" s="119" t="s">
        <v>3723</v>
      </c>
      <c r="D932" s="119" t="s">
        <v>3724</v>
      </c>
    </row>
    <row r="933" spans="3:13" ht="25.8" customHeight="1">
      <c r="C933" s="867" t="s">
        <v>3725</v>
      </c>
      <c r="D933" s="1931" t="s">
        <v>3726</v>
      </c>
      <c r="E933" s="1931"/>
      <c r="F933" s="1931"/>
      <c r="G933" s="1931"/>
      <c r="H933" s="1931"/>
      <c r="I933" s="120">
        <f>ROUNDDOWN(H948,-2)</f>
        <v>11052700</v>
      </c>
      <c r="J933" s="120"/>
      <c r="K933" s="120"/>
      <c r="M933" s="475"/>
    </row>
    <row r="934" spans="3:13" ht="25.8" customHeight="1">
      <c r="C934" s="591" t="s">
        <v>1195</v>
      </c>
      <c r="D934" s="591" t="s">
        <v>1196</v>
      </c>
      <c r="E934" s="591" t="s">
        <v>1197</v>
      </c>
      <c r="F934" s="591" t="s">
        <v>1198</v>
      </c>
      <c r="G934" s="591" t="s">
        <v>1199</v>
      </c>
      <c r="H934" s="591" t="s">
        <v>1200</v>
      </c>
    </row>
    <row r="935" spans="3:13" ht="25.8" customHeight="1">
      <c r="C935" s="182" t="s">
        <v>1201</v>
      </c>
      <c r="D935" s="182" t="s">
        <v>1202</v>
      </c>
      <c r="E935" s="70"/>
      <c r="F935" s="70"/>
      <c r="G935" s="70"/>
      <c r="H935" s="70"/>
    </row>
    <row r="936" spans="3:13" ht="25.8" customHeight="1">
      <c r="C936" s="876">
        <v>1</v>
      </c>
      <c r="D936" s="182" t="s">
        <v>5</v>
      </c>
      <c r="E936" s="182" t="s">
        <v>6</v>
      </c>
      <c r="F936" s="309">
        <v>6.3380000000000001</v>
      </c>
      <c r="G936" s="283">
        <f>VLOOKUP(D936,upahbahan,3,FALSE)</f>
        <v>100000</v>
      </c>
      <c r="H936" s="283">
        <f t="shared" ref="H936:H939" si="103">F936*G936</f>
        <v>633800</v>
      </c>
    </row>
    <row r="937" spans="3:13" ht="25.8" customHeight="1">
      <c r="C937" s="876">
        <v>2</v>
      </c>
      <c r="D937" s="182" t="s">
        <v>3622</v>
      </c>
      <c r="E937" s="182" t="s">
        <v>6</v>
      </c>
      <c r="F937" s="309">
        <v>10.585000000000001</v>
      </c>
      <c r="G937" s="283">
        <f>VLOOKUP(D937,upahbahan,3,FALSE)</f>
        <v>135000</v>
      </c>
      <c r="H937" s="283">
        <f t="shared" si="103"/>
        <v>1428975</v>
      </c>
    </row>
    <row r="938" spans="3:13" ht="25.8" customHeight="1">
      <c r="C938" s="876">
        <v>3</v>
      </c>
      <c r="D938" s="182" t="s">
        <v>18</v>
      </c>
      <c r="E938" s="182" t="s">
        <v>6</v>
      </c>
      <c r="F938" s="309">
        <v>1.0580000000000001</v>
      </c>
      <c r="G938" s="283">
        <f>VLOOKUP(D938,upahbahan,3,FALSE)</f>
        <v>150000</v>
      </c>
      <c r="H938" s="283">
        <f t="shared" si="103"/>
        <v>158700</v>
      </c>
    </row>
    <row r="939" spans="3:13" ht="25.8" customHeight="1">
      <c r="C939" s="876">
        <v>4</v>
      </c>
      <c r="D939" s="182" t="s">
        <v>19</v>
      </c>
      <c r="E939" s="182" t="s">
        <v>6</v>
      </c>
      <c r="F939" s="309">
        <v>0.35299999999999998</v>
      </c>
      <c r="G939" s="283">
        <f>VLOOKUP(D939,upahbahan,3,FALSE)</f>
        <v>160000</v>
      </c>
      <c r="H939" s="283">
        <f t="shared" si="103"/>
        <v>56480</v>
      </c>
    </row>
    <row r="940" spans="3:13" ht="25.8" customHeight="1">
      <c r="C940" s="450" t="s">
        <v>1208</v>
      </c>
      <c r="D940" s="67"/>
      <c r="E940" s="67"/>
      <c r="F940" s="142"/>
      <c r="G940" s="153"/>
      <c r="H940" s="283">
        <f>SUM(H936:H939)</f>
        <v>2277955</v>
      </c>
      <c r="I940" s="319"/>
      <c r="J940" s="319"/>
      <c r="K940" s="319"/>
    </row>
    <row r="941" spans="3:13" ht="25.8" customHeight="1">
      <c r="C941" s="182" t="s">
        <v>1209</v>
      </c>
      <c r="D941" s="182" t="s">
        <v>1210</v>
      </c>
      <c r="E941" s="70"/>
      <c r="F941" s="70"/>
      <c r="G941" s="70"/>
      <c r="H941" s="70"/>
    </row>
    <row r="942" spans="3:13" ht="25.8" customHeight="1">
      <c r="C942" s="182">
        <v>1</v>
      </c>
      <c r="D942" s="182" t="s">
        <v>3727</v>
      </c>
      <c r="E942" s="124" t="s">
        <v>3182</v>
      </c>
      <c r="F942" s="118">
        <v>1.05</v>
      </c>
      <c r="G942" s="283">
        <f t="shared" ref="G942" si="104">VLOOKUP(D942,upahbahan,3,FALSE)</f>
        <v>7400000</v>
      </c>
      <c r="H942" s="283">
        <f>F942*G942</f>
        <v>7770000</v>
      </c>
    </row>
    <row r="943" spans="3:13" ht="25.8" customHeight="1">
      <c r="C943" s="450" t="s">
        <v>1214</v>
      </c>
      <c r="D943" s="67"/>
      <c r="E943" s="67"/>
      <c r="F943" s="67"/>
      <c r="G943" s="69"/>
      <c r="H943" s="283">
        <f>SUM(H942:H942)</f>
        <v>7770000</v>
      </c>
    </row>
    <row r="944" spans="3:13" ht="25.8" customHeight="1">
      <c r="C944" s="176" t="s">
        <v>1215</v>
      </c>
      <c r="D944" s="182" t="s">
        <v>1216</v>
      </c>
      <c r="E944" s="70"/>
      <c r="F944" s="70"/>
      <c r="G944" s="70"/>
      <c r="H944" s="70"/>
    </row>
    <row r="945" spans="3:13" ht="25.8" customHeight="1">
      <c r="C945" s="450" t="s">
        <v>1217</v>
      </c>
      <c r="D945" s="67"/>
      <c r="E945" s="67"/>
      <c r="F945" s="67"/>
      <c r="G945" s="69"/>
      <c r="H945" s="871">
        <v>0</v>
      </c>
    </row>
    <row r="946" spans="3:13" ht="25.8" customHeight="1">
      <c r="C946" s="102" t="s">
        <v>1218</v>
      </c>
      <c r="D946" s="294" t="s">
        <v>1219</v>
      </c>
      <c r="E946" s="295"/>
      <c r="F946" s="295"/>
      <c r="G946" s="296"/>
      <c r="H946" s="872">
        <f>H945+H943+H940</f>
        <v>10047955</v>
      </c>
      <c r="I946" s="873"/>
    </row>
    <row r="947" spans="3:13" ht="25.8" customHeight="1">
      <c r="C947" s="102" t="s">
        <v>1220</v>
      </c>
      <c r="D947" s="294" t="s">
        <v>1321</v>
      </c>
      <c r="E947" s="295"/>
      <c r="F947" s="296"/>
      <c r="G947" s="298">
        <f>$O$199</f>
        <v>0.1</v>
      </c>
      <c r="H947" s="283">
        <f>H946*G947</f>
        <v>1004795.5</v>
      </c>
      <c r="I947" s="873"/>
    </row>
    <row r="948" spans="3:13" ht="25.8" customHeight="1">
      <c r="C948" s="102" t="s">
        <v>1221</v>
      </c>
      <c r="D948" s="294" t="s">
        <v>1222</v>
      </c>
      <c r="E948" s="295"/>
      <c r="F948" s="295"/>
      <c r="G948" s="296"/>
      <c r="H948" s="874">
        <f>SUM(H946:H947)</f>
        <v>11052750.5</v>
      </c>
      <c r="I948" s="873"/>
    </row>
    <row r="949" spans="3:13" ht="25.8" customHeight="1"/>
    <row r="950" spans="3:13" ht="25.8" customHeight="1"/>
    <row r="951" spans="3:13" ht="25.8" customHeight="1">
      <c r="C951" s="867" t="s">
        <v>3728</v>
      </c>
      <c r="D951" s="1931" t="s">
        <v>3729</v>
      </c>
      <c r="E951" s="1931"/>
      <c r="F951" s="1931"/>
      <c r="G951" s="1931"/>
      <c r="H951" s="1931"/>
      <c r="I951" s="120">
        <f>ROUNDDOWN(H966,-2)</f>
        <v>20572200</v>
      </c>
      <c r="J951" s="120"/>
      <c r="K951" s="120"/>
      <c r="M951" s="475"/>
    </row>
    <row r="952" spans="3:13" ht="25.8" customHeight="1">
      <c r="C952" s="591" t="s">
        <v>1195</v>
      </c>
      <c r="D952" s="591" t="s">
        <v>1196</v>
      </c>
      <c r="E952" s="591" t="s">
        <v>1197</v>
      </c>
      <c r="F952" s="591" t="s">
        <v>1198</v>
      </c>
      <c r="G952" s="591" t="s">
        <v>1199</v>
      </c>
      <c r="H952" s="591" t="s">
        <v>1200</v>
      </c>
    </row>
    <row r="953" spans="3:13" ht="25.8" customHeight="1">
      <c r="C953" s="182" t="s">
        <v>1201</v>
      </c>
      <c r="D953" s="182" t="s">
        <v>1202</v>
      </c>
      <c r="E953" s="70"/>
      <c r="F953" s="70"/>
      <c r="G953" s="70"/>
      <c r="H953" s="70"/>
    </row>
    <row r="954" spans="3:13" ht="25.8" customHeight="1">
      <c r="C954" s="876">
        <v>1</v>
      </c>
      <c r="D954" s="182" t="s">
        <v>5</v>
      </c>
      <c r="E954" s="182" t="s">
        <v>6</v>
      </c>
      <c r="F954" s="309">
        <v>22.821000000000002</v>
      </c>
      <c r="G954" s="283">
        <f>VLOOKUP(D954,upahbahan,3,FALSE)</f>
        <v>100000</v>
      </c>
      <c r="H954" s="283">
        <f t="shared" ref="H954:H957" si="105">F954*G954</f>
        <v>2282100</v>
      </c>
    </row>
    <row r="955" spans="3:13" ht="25.8" customHeight="1">
      <c r="C955" s="876">
        <v>2</v>
      </c>
      <c r="D955" s="182" t="s">
        <v>3622</v>
      </c>
      <c r="E955" s="182" t="s">
        <v>6</v>
      </c>
      <c r="F955" s="309">
        <v>38.112000000000002</v>
      </c>
      <c r="G955" s="283">
        <f>VLOOKUP(D955,upahbahan,3,FALSE)</f>
        <v>135000</v>
      </c>
      <c r="H955" s="283">
        <f t="shared" si="105"/>
        <v>5145120</v>
      </c>
    </row>
    <row r="956" spans="3:13" ht="25.8" customHeight="1">
      <c r="C956" s="876">
        <v>3</v>
      </c>
      <c r="D956" s="182" t="s">
        <v>18</v>
      </c>
      <c r="E956" s="182" t="s">
        <v>6</v>
      </c>
      <c r="F956" s="309">
        <v>3.8109999999999999</v>
      </c>
      <c r="G956" s="283">
        <f>VLOOKUP(D956,upahbahan,3,FALSE)</f>
        <v>150000</v>
      </c>
      <c r="H956" s="283">
        <f t="shared" si="105"/>
        <v>571650</v>
      </c>
    </row>
    <row r="957" spans="3:13" ht="25.8" customHeight="1">
      <c r="C957" s="876">
        <v>4</v>
      </c>
      <c r="D957" s="182" t="s">
        <v>19</v>
      </c>
      <c r="E957" s="182" t="s">
        <v>6</v>
      </c>
      <c r="F957" s="309">
        <v>1.27</v>
      </c>
      <c r="G957" s="283">
        <f>VLOOKUP(D957,upahbahan,3,FALSE)</f>
        <v>160000</v>
      </c>
      <c r="H957" s="283">
        <f t="shared" si="105"/>
        <v>203200</v>
      </c>
    </row>
    <row r="958" spans="3:13" ht="25.8" customHeight="1">
      <c r="C958" s="450" t="s">
        <v>1208</v>
      </c>
      <c r="D958" s="67"/>
      <c r="E958" s="67"/>
      <c r="F958" s="142"/>
      <c r="G958" s="153"/>
      <c r="H958" s="283">
        <f>SUM(H954:H957)</f>
        <v>8202070</v>
      </c>
      <c r="I958" s="319"/>
      <c r="J958" s="319"/>
      <c r="K958" s="319"/>
    </row>
    <row r="959" spans="3:13" ht="25.8" customHeight="1">
      <c r="C959" s="182" t="s">
        <v>1209</v>
      </c>
      <c r="D959" s="182" t="s">
        <v>1210</v>
      </c>
      <c r="E959" s="70"/>
      <c r="F959" s="70"/>
      <c r="G959" s="70"/>
      <c r="H959" s="70"/>
    </row>
    <row r="960" spans="3:13" s="165" customFormat="1" ht="25.8" customHeight="1">
      <c r="C960" s="109">
        <v>1</v>
      </c>
      <c r="D960" s="109" t="s">
        <v>3732</v>
      </c>
      <c r="E960" s="108" t="s">
        <v>3182</v>
      </c>
      <c r="F960" s="116">
        <v>1.05</v>
      </c>
      <c r="G960" s="283">
        <f>VLOOKUP(D960,upahbahan,3,FALSE)</f>
        <v>10000000</v>
      </c>
      <c r="H960" s="185">
        <f>F960*G960</f>
        <v>10500000</v>
      </c>
      <c r="I960" s="365"/>
      <c r="J960" s="365"/>
      <c r="K960" s="365"/>
    </row>
    <row r="961" spans="3:13" ht="25.8" customHeight="1">
      <c r="C961" s="450" t="s">
        <v>1214</v>
      </c>
      <c r="D961" s="67"/>
      <c r="E961" s="67"/>
      <c r="F961" s="67"/>
      <c r="G961" s="69"/>
      <c r="H961" s="283">
        <f>SUM(H960:H960)</f>
        <v>10500000</v>
      </c>
    </row>
    <row r="962" spans="3:13" ht="25.8" customHeight="1">
      <c r="C962" s="176" t="s">
        <v>1215</v>
      </c>
      <c r="D962" s="182" t="s">
        <v>1216</v>
      </c>
      <c r="E962" s="70"/>
      <c r="F962" s="70"/>
      <c r="G962" s="70"/>
      <c r="H962" s="70"/>
    </row>
    <row r="963" spans="3:13" ht="25.8" customHeight="1">
      <c r="C963" s="450" t="s">
        <v>1217</v>
      </c>
      <c r="D963" s="67"/>
      <c r="E963" s="67"/>
      <c r="F963" s="67"/>
      <c r="G963" s="69"/>
      <c r="H963" s="871">
        <v>0</v>
      </c>
    </row>
    <row r="964" spans="3:13" ht="25.8" customHeight="1">
      <c r="C964" s="102" t="s">
        <v>1218</v>
      </c>
      <c r="D964" s="294" t="s">
        <v>1219</v>
      </c>
      <c r="E964" s="295"/>
      <c r="F964" s="295"/>
      <c r="G964" s="296"/>
      <c r="H964" s="872">
        <f>H963+H961+H958</f>
        <v>18702070</v>
      </c>
      <c r="I964" s="873"/>
    </row>
    <row r="965" spans="3:13" ht="25.8" customHeight="1">
      <c r="C965" s="102" t="s">
        <v>1220</v>
      </c>
      <c r="D965" s="294" t="s">
        <v>1321</v>
      </c>
      <c r="E965" s="295"/>
      <c r="F965" s="296"/>
      <c r="G965" s="298">
        <f>$O$199</f>
        <v>0.1</v>
      </c>
      <c r="H965" s="283">
        <f>H964*G965</f>
        <v>1870207</v>
      </c>
      <c r="I965" s="873"/>
    </row>
    <row r="966" spans="3:13" ht="25.8" customHeight="1">
      <c r="C966" s="102" t="s">
        <v>1221</v>
      </c>
      <c r="D966" s="294" t="s">
        <v>1222</v>
      </c>
      <c r="E966" s="295"/>
      <c r="F966" s="295"/>
      <c r="G966" s="296"/>
      <c r="H966" s="874">
        <f>SUM(H964:H965)</f>
        <v>20572277</v>
      </c>
      <c r="I966" s="873"/>
    </row>
    <row r="967" spans="3:13" ht="25.8" customHeight="1"/>
    <row r="968" spans="3:13" ht="25.8" customHeight="1">
      <c r="C968" s="867" t="s">
        <v>3730</v>
      </c>
      <c r="D968" s="1931" t="s">
        <v>5317</v>
      </c>
      <c r="E968" s="1931"/>
      <c r="F968" s="1931"/>
      <c r="G968" s="1931"/>
      <c r="H968" s="1931"/>
      <c r="I968" s="120">
        <f>ROUNDDOWN(H983,-2)</f>
        <v>25908700</v>
      </c>
      <c r="J968" s="120"/>
      <c r="K968" s="120"/>
      <c r="M968" s="475"/>
    </row>
    <row r="969" spans="3:13" ht="25.8" customHeight="1">
      <c r="C969" s="591" t="s">
        <v>1195</v>
      </c>
      <c r="D969" s="591" t="s">
        <v>1196</v>
      </c>
      <c r="E969" s="591" t="s">
        <v>1197</v>
      </c>
      <c r="F969" s="591" t="s">
        <v>1198</v>
      </c>
      <c r="G969" s="591" t="s">
        <v>1199</v>
      </c>
      <c r="H969" s="591" t="s">
        <v>1200</v>
      </c>
    </row>
    <row r="970" spans="3:13" ht="25.8" customHeight="1">
      <c r="C970" s="182" t="s">
        <v>1201</v>
      </c>
      <c r="D970" s="182" t="s">
        <v>1202</v>
      </c>
      <c r="E970" s="70"/>
      <c r="F970" s="70"/>
      <c r="G970" s="70"/>
      <c r="H970" s="70"/>
    </row>
    <row r="971" spans="3:13" ht="25.8" customHeight="1">
      <c r="C971" s="876">
        <v>1</v>
      </c>
      <c r="D971" s="182" t="s">
        <v>5</v>
      </c>
      <c r="E971" s="182" t="s">
        <v>6</v>
      </c>
      <c r="F971" s="309">
        <v>30.475999999999999</v>
      </c>
      <c r="G971" s="283">
        <f>VLOOKUP(D971,upahbahan,3,FALSE)</f>
        <v>100000</v>
      </c>
      <c r="H971" s="283">
        <f t="shared" ref="H971:H974" si="106">F971*G971</f>
        <v>3047600</v>
      </c>
    </row>
    <row r="972" spans="3:13" ht="25.8" customHeight="1">
      <c r="C972" s="876">
        <v>2</v>
      </c>
      <c r="D972" s="182" t="s">
        <v>3622</v>
      </c>
      <c r="E972" s="182" t="s">
        <v>6</v>
      </c>
      <c r="F972" s="309">
        <v>50.895000000000003</v>
      </c>
      <c r="G972" s="283">
        <f>VLOOKUP(D972,upahbahan,3,FALSE)</f>
        <v>135000</v>
      </c>
      <c r="H972" s="283">
        <f t="shared" si="106"/>
        <v>6870825</v>
      </c>
    </row>
    <row r="973" spans="3:13" ht="25.8" customHeight="1">
      <c r="C973" s="876">
        <v>3</v>
      </c>
      <c r="D973" s="182" t="s">
        <v>18</v>
      </c>
      <c r="E973" s="182" t="s">
        <v>6</v>
      </c>
      <c r="F973" s="309">
        <v>5.09</v>
      </c>
      <c r="G973" s="283">
        <f>VLOOKUP(D973,upahbahan,3,FALSE)</f>
        <v>150000</v>
      </c>
      <c r="H973" s="283">
        <f t="shared" si="106"/>
        <v>763500</v>
      </c>
    </row>
    <row r="974" spans="3:13" ht="25.8" customHeight="1">
      <c r="C974" s="876">
        <v>4</v>
      </c>
      <c r="D974" s="182" t="s">
        <v>19</v>
      </c>
      <c r="E974" s="182" t="s">
        <v>6</v>
      </c>
      <c r="F974" s="309">
        <v>1.6970000000000001</v>
      </c>
      <c r="G974" s="283">
        <f>VLOOKUP(D974,upahbahan,3,FALSE)</f>
        <v>160000</v>
      </c>
      <c r="H974" s="283">
        <f t="shared" si="106"/>
        <v>271520</v>
      </c>
    </row>
    <row r="975" spans="3:13" ht="25.8" customHeight="1">
      <c r="C975" s="450" t="s">
        <v>1208</v>
      </c>
      <c r="D975" s="67"/>
      <c r="E975" s="67"/>
      <c r="F975" s="142"/>
      <c r="G975" s="153"/>
      <c r="H975" s="283">
        <f>SUM(H971:H974)</f>
        <v>10953445</v>
      </c>
      <c r="I975" s="319"/>
      <c r="J975" s="319"/>
      <c r="K975" s="319"/>
    </row>
    <row r="976" spans="3:13" ht="25.8" customHeight="1">
      <c r="C976" s="182" t="s">
        <v>1209</v>
      </c>
      <c r="D976" s="182" t="s">
        <v>1210</v>
      </c>
      <c r="E976" s="70"/>
      <c r="F976" s="70"/>
      <c r="G976" s="70"/>
      <c r="H976" s="70"/>
    </row>
    <row r="977" spans="3:13" s="165" customFormat="1" ht="25.8" customHeight="1">
      <c r="C977" s="109">
        <v>1</v>
      </c>
      <c r="D977" s="109" t="s">
        <v>3731</v>
      </c>
      <c r="E977" s="108" t="s">
        <v>3182</v>
      </c>
      <c r="F977" s="116">
        <v>1.05</v>
      </c>
      <c r="G977" s="185">
        <f>VLOOKUP(D977,upahbahan,3,FALSE)</f>
        <v>12000000</v>
      </c>
      <c r="H977" s="185">
        <f>F977*G977</f>
        <v>12600000</v>
      </c>
      <c r="I977" s="365"/>
      <c r="J977" s="365"/>
      <c r="K977" s="365"/>
    </row>
    <row r="978" spans="3:13" ht="25.8" customHeight="1">
      <c r="C978" s="450" t="s">
        <v>1214</v>
      </c>
      <c r="D978" s="67"/>
      <c r="E978" s="67"/>
      <c r="F978" s="67"/>
      <c r="G978" s="69"/>
      <c r="H978" s="283">
        <f>SUM(H977:H977)</f>
        <v>12600000</v>
      </c>
    </row>
    <row r="979" spans="3:13" ht="25.8" customHeight="1">
      <c r="C979" s="176" t="s">
        <v>1215</v>
      </c>
      <c r="D979" s="182" t="s">
        <v>1216</v>
      </c>
      <c r="E979" s="70"/>
      <c r="F979" s="70"/>
      <c r="G979" s="70"/>
      <c r="H979" s="70"/>
    </row>
    <row r="980" spans="3:13" ht="25.8" customHeight="1">
      <c r="C980" s="450" t="s">
        <v>1217</v>
      </c>
      <c r="D980" s="67"/>
      <c r="E980" s="67"/>
      <c r="F980" s="67"/>
      <c r="G980" s="69"/>
      <c r="H980" s="871">
        <v>0</v>
      </c>
    </row>
    <row r="981" spans="3:13" ht="25.8" customHeight="1">
      <c r="C981" s="102" t="s">
        <v>1218</v>
      </c>
      <c r="D981" s="294" t="s">
        <v>1219</v>
      </c>
      <c r="E981" s="295"/>
      <c r="F981" s="295"/>
      <c r="G981" s="296"/>
      <c r="H981" s="872">
        <f>H980+H978+H975</f>
        <v>23553445</v>
      </c>
      <c r="I981" s="873"/>
    </row>
    <row r="982" spans="3:13" ht="25.8" customHeight="1">
      <c r="C982" s="102" t="s">
        <v>1220</v>
      </c>
      <c r="D982" s="294" t="s">
        <v>1321</v>
      </c>
      <c r="E982" s="295"/>
      <c r="F982" s="296"/>
      <c r="G982" s="298">
        <f>$O$199</f>
        <v>0.1</v>
      </c>
      <c r="H982" s="283">
        <f>H981*G982</f>
        <v>2355344.5</v>
      </c>
      <c r="I982" s="873"/>
    </row>
    <row r="983" spans="3:13" ht="25.8" customHeight="1">
      <c r="C983" s="102" t="s">
        <v>1221</v>
      </c>
      <c r="D983" s="294" t="s">
        <v>1222</v>
      </c>
      <c r="E983" s="295"/>
      <c r="F983" s="295"/>
      <c r="G983" s="296"/>
      <c r="H983" s="874">
        <f>SUM(H981:H982)</f>
        <v>25908789.5</v>
      </c>
      <c r="I983" s="873"/>
    </row>
    <row r="984" spans="3:13" ht="25.8" customHeight="1"/>
    <row r="985" spans="3:13" ht="25.8" customHeight="1">
      <c r="C985" s="867" t="s">
        <v>3733</v>
      </c>
      <c r="D985" s="1931" t="s">
        <v>3734</v>
      </c>
      <c r="E985" s="1931"/>
      <c r="F985" s="1931"/>
      <c r="G985" s="1931"/>
      <c r="H985" s="1931"/>
      <c r="I985" s="120">
        <f>ROUNDDOWN(H1000,-2)</f>
        <v>26180900</v>
      </c>
      <c r="J985" s="120"/>
      <c r="K985" s="120"/>
      <c r="M985" s="475"/>
    </row>
    <row r="986" spans="3:13" ht="25.8" customHeight="1">
      <c r="C986" s="591" t="s">
        <v>1195</v>
      </c>
      <c r="D986" s="591" t="s">
        <v>1196</v>
      </c>
      <c r="E986" s="591" t="s">
        <v>1197</v>
      </c>
      <c r="F986" s="591" t="s">
        <v>1198</v>
      </c>
      <c r="G986" s="591" t="s">
        <v>1199</v>
      </c>
      <c r="H986" s="591" t="s">
        <v>1200</v>
      </c>
    </row>
    <row r="987" spans="3:13" ht="25.8" customHeight="1">
      <c r="C987" s="182" t="s">
        <v>1201</v>
      </c>
      <c r="D987" s="182" t="s">
        <v>1202</v>
      </c>
      <c r="E987" s="70"/>
      <c r="F987" s="70"/>
      <c r="G987" s="70"/>
      <c r="H987" s="70"/>
    </row>
    <row r="988" spans="3:13" ht="25.8" customHeight="1">
      <c r="C988" s="876">
        <v>1</v>
      </c>
      <c r="D988" s="182" t="s">
        <v>5</v>
      </c>
      <c r="E988" s="182" t="s">
        <v>6</v>
      </c>
      <c r="F988" s="309">
        <v>25.097999999999999</v>
      </c>
      <c r="G988" s="283">
        <f>VLOOKUP(D988,upahbahan,3,FALSE)</f>
        <v>100000</v>
      </c>
      <c r="H988" s="283">
        <f t="shared" ref="H988:H991" si="107">F988*G988</f>
        <v>2509800</v>
      </c>
    </row>
    <row r="989" spans="3:13" ht="25.8" customHeight="1">
      <c r="C989" s="876">
        <v>2</v>
      </c>
      <c r="D989" s="182" t="s">
        <v>3622</v>
      </c>
      <c r="E989" s="182" t="s">
        <v>6</v>
      </c>
      <c r="F989" s="309">
        <v>41.917999999999999</v>
      </c>
      <c r="G989" s="283">
        <f>VLOOKUP(D989,upahbahan,3,FALSE)</f>
        <v>135000</v>
      </c>
      <c r="H989" s="283">
        <f t="shared" si="107"/>
        <v>5658930</v>
      </c>
    </row>
    <row r="990" spans="3:13" ht="25.8" customHeight="1">
      <c r="C990" s="876">
        <v>3</v>
      </c>
      <c r="D990" s="182" t="s">
        <v>18</v>
      </c>
      <c r="E990" s="182" t="s">
        <v>6</v>
      </c>
      <c r="F990" s="309">
        <v>4.1909999999999998</v>
      </c>
      <c r="G990" s="283">
        <f>VLOOKUP(D990,upahbahan,3,FALSE)</f>
        <v>150000</v>
      </c>
      <c r="H990" s="283">
        <f t="shared" si="107"/>
        <v>628650</v>
      </c>
    </row>
    <row r="991" spans="3:13" ht="25.8" customHeight="1">
      <c r="C991" s="876">
        <v>4</v>
      </c>
      <c r="D991" s="182" t="s">
        <v>19</v>
      </c>
      <c r="E991" s="182" t="s">
        <v>6</v>
      </c>
      <c r="F991" s="309">
        <v>1.897</v>
      </c>
      <c r="G991" s="283">
        <f>VLOOKUP(D991,upahbahan,3,FALSE)</f>
        <v>160000</v>
      </c>
      <c r="H991" s="283">
        <f t="shared" si="107"/>
        <v>303520</v>
      </c>
    </row>
    <row r="992" spans="3:13" ht="25.8" customHeight="1">
      <c r="C992" s="450" t="s">
        <v>1208</v>
      </c>
      <c r="D992" s="67"/>
      <c r="E992" s="67"/>
      <c r="F992" s="142"/>
      <c r="G992" s="153"/>
      <c r="H992" s="283">
        <f>SUM(H988:H991)</f>
        <v>9100900</v>
      </c>
      <c r="I992" s="319"/>
      <c r="J992" s="319"/>
      <c r="K992" s="319"/>
    </row>
    <row r="993" spans="3:13" ht="25.8" customHeight="1">
      <c r="C993" s="182" t="s">
        <v>1209</v>
      </c>
      <c r="D993" s="182" t="s">
        <v>1210</v>
      </c>
      <c r="E993" s="70"/>
      <c r="F993" s="70"/>
      <c r="G993" s="70"/>
      <c r="H993" s="70"/>
    </row>
    <row r="994" spans="3:13" s="165" customFormat="1" ht="25.8" customHeight="1">
      <c r="C994" s="109">
        <v>1</v>
      </c>
      <c r="D994" s="109" t="s">
        <v>3735</v>
      </c>
      <c r="E994" s="108" t="s">
        <v>3182</v>
      </c>
      <c r="F994" s="116">
        <v>1.05</v>
      </c>
      <c r="G994" s="185">
        <f>VLOOKUP(D994,upahbahan,3,FALSE)</f>
        <v>14000000</v>
      </c>
      <c r="H994" s="185">
        <f>F994*G994</f>
        <v>14700000</v>
      </c>
      <c r="I994" s="365"/>
      <c r="J994" s="365"/>
      <c r="K994" s="365"/>
    </row>
    <row r="995" spans="3:13" ht="25.8" customHeight="1">
      <c r="C995" s="450" t="s">
        <v>1214</v>
      </c>
      <c r="D995" s="67"/>
      <c r="E995" s="67"/>
      <c r="F995" s="67"/>
      <c r="G995" s="69"/>
      <c r="H995" s="283">
        <f>SUM(H994:H994)</f>
        <v>14700000</v>
      </c>
    </row>
    <row r="996" spans="3:13" ht="25.8" customHeight="1">
      <c r="C996" s="176" t="s">
        <v>1215</v>
      </c>
      <c r="D996" s="182" t="s">
        <v>1216</v>
      </c>
      <c r="E996" s="70"/>
      <c r="F996" s="70"/>
      <c r="G996" s="70"/>
      <c r="H996" s="70"/>
    </row>
    <row r="997" spans="3:13" ht="25.8" customHeight="1">
      <c r="C997" s="450" t="s">
        <v>1217</v>
      </c>
      <c r="D997" s="67"/>
      <c r="E997" s="67"/>
      <c r="F997" s="67"/>
      <c r="G997" s="69"/>
      <c r="H997" s="871">
        <v>0</v>
      </c>
    </row>
    <row r="998" spans="3:13" ht="25.8" customHeight="1">
      <c r="C998" s="102" t="s">
        <v>1218</v>
      </c>
      <c r="D998" s="294" t="s">
        <v>1219</v>
      </c>
      <c r="E998" s="295"/>
      <c r="F998" s="295"/>
      <c r="G998" s="296"/>
      <c r="H998" s="872">
        <f>H997+H995+H992</f>
        <v>23800900</v>
      </c>
      <c r="I998" s="873"/>
    </row>
    <row r="999" spans="3:13" ht="25.8" customHeight="1">
      <c r="C999" s="102" t="s">
        <v>1220</v>
      </c>
      <c r="D999" s="294" t="s">
        <v>1321</v>
      </c>
      <c r="E999" s="295"/>
      <c r="F999" s="296"/>
      <c r="G999" s="298">
        <f>$O$199</f>
        <v>0.1</v>
      </c>
      <c r="H999" s="283">
        <f>H998*G999</f>
        <v>2380090</v>
      </c>
      <c r="I999" s="873"/>
    </row>
    <row r="1000" spans="3:13" ht="25.8" customHeight="1">
      <c r="C1000" s="102" t="s">
        <v>1221</v>
      </c>
      <c r="D1000" s="294" t="s">
        <v>1222</v>
      </c>
      <c r="E1000" s="295"/>
      <c r="F1000" s="295"/>
      <c r="G1000" s="296"/>
      <c r="H1000" s="874">
        <f>SUM(H998:H999)</f>
        <v>26180990</v>
      </c>
      <c r="I1000" s="873"/>
    </row>
    <row r="1001" spans="3:13" ht="25.8" customHeight="1"/>
    <row r="1002" spans="3:13" ht="25.8" customHeight="1">
      <c r="C1002" s="867" t="s">
        <v>3736</v>
      </c>
      <c r="D1002" s="1931" t="s">
        <v>3737</v>
      </c>
      <c r="E1002" s="1931"/>
      <c r="F1002" s="1931"/>
      <c r="G1002" s="1931"/>
      <c r="H1002" s="1931"/>
      <c r="I1002" s="120">
        <f>ROUNDDOWN(H1017,-2)</f>
        <v>27086900</v>
      </c>
      <c r="J1002" s="120"/>
      <c r="K1002" s="120"/>
      <c r="M1002" s="475"/>
    </row>
    <row r="1003" spans="3:13" ht="25.8" customHeight="1">
      <c r="C1003" s="591" t="s">
        <v>1195</v>
      </c>
      <c r="D1003" s="591" t="s">
        <v>1196</v>
      </c>
      <c r="E1003" s="591" t="s">
        <v>1197</v>
      </c>
      <c r="F1003" s="591" t="s">
        <v>1198</v>
      </c>
      <c r="G1003" s="591" t="s">
        <v>1199</v>
      </c>
      <c r="H1003" s="591" t="s">
        <v>1200</v>
      </c>
    </row>
    <row r="1004" spans="3:13" ht="25.8" customHeight="1">
      <c r="C1004" s="182" t="s">
        <v>1201</v>
      </c>
      <c r="D1004" s="182" t="s">
        <v>1202</v>
      </c>
      <c r="E1004" s="70"/>
      <c r="F1004" s="70"/>
      <c r="G1004" s="70"/>
      <c r="H1004" s="70"/>
    </row>
    <row r="1005" spans="3:13" ht="25.8" customHeight="1">
      <c r="C1005" s="876">
        <v>1</v>
      </c>
      <c r="D1005" s="182" t="s">
        <v>5</v>
      </c>
      <c r="E1005" s="182" t="s">
        <v>6</v>
      </c>
      <c r="F1005" s="309">
        <v>33.457000000000001</v>
      </c>
      <c r="G1005" s="283">
        <f>VLOOKUP(D1005,upahbahan,3,FALSE)</f>
        <v>100000</v>
      </c>
      <c r="H1005" s="283">
        <f t="shared" ref="H1005:H1008" si="108">F1005*G1005</f>
        <v>3345700</v>
      </c>
    </row>
    <row r="1006" spans="3:13" ht="25.8" customHeight="1">
      <c r="C1006" s="876">
        <v>2</v>
      </c>
      <c r="D1006" s="182" t="s">
        <v>3622</v>
      </c>
      <c r="E1006" s="182" t="s">
        <v>6</v>
      </c>
      <c r="F1006" s="309">
        <v>55.872999999999998</v>
      </c>
      <c r="G1006" s="283">
        <f>VLOOKUP(D1006,upahbahan,3,FALSE)</f>
        <v>135000</v>
      </c>
      <c r="H1006" s="283">
        <f t="shared" si="108"/>
        <v>7542855</v>
      </c>
    </row>
    <row r="1007" spans="3:13" ht="25.8" customHeight="1">
      <c r="C1007" s="876">
        <v>3</v>
      </c>
      <c r="D1007" s="182" t="s">
        <v>18</v>
      </c>
      <c r="E1007" s="182" t="s">
        <v>6</v>
      </c>
      <c r="F1007" s="309">
        <v>5.5869999999999997</v>
      </c>
      <c r="G1007" s="283">
        <f>VLOOKUP(D1007,upahbahan,3,FALSE)</f>
        <v>150000</v>
      </c>
      <c r="H1007" s="283">
        <f t="shared" si="108"/>
        <v>838050</v>
      </c>
    </row>
    <row r="1008" spans="3:13" ht="25.8" customHeight="1">
      <c r="C1008" s="876">
        <v>4</v>
      </c>
      <c r="D1008" s="182" t="s">
        <v>19</v>
      </c>
      <c r="E1008" s="182" t="s">
        <v>6</v>
      </c>
      <c r="F1008" s="309">
        <v>1.8620000000000001</v>
      </c>
      <c r="G1008" s="283">
        <f>VLOOKUP(D1008,upahbahan,3,FALSE)</f>
        <v>160000</v>
      </c>
      <c r="H1008" s="283">
        <f t="shared" si="108"/>
        <v>297920</v>
      </c>
    </row>
    <row r="1009" spans="3:11" ht="25.8" customHeight="1">
      <c r="C1009" s="450" t="s">
        <v>1208</v>
      </c>
      <c r="D1009" s="67"/>
      <c r="E1009" s="67"/>
      <c r="F1009" s="142"/>
      <c r="G1009" s="153"/>
      <c r="H1009" s="283">
        <f>SUM(H1005:H1008)</f>
        <v>12024525</v>
      </c>
      <c r="I1009" s="319"/>
      <c r="J1009" s="319"/>
      <c r="K1009" s="319"/>
    </row>
    <row r="1010" spans="3:11" ht="25.8" customHeight="1">
      <c r="C1010" s="182" t="s">
        <v>1209</v>
      </c>
      <c r="D1010" s="182" t="s">
        <v>1210</v>
      </c>
      <c r="E1010" s="70"/>
      <c r="F1010" s="70"/>
      <c r="G1010" s="70"/>
      <c r="H1010" s="70"/>
    </row>
    <row r="1011" spans="3:11" s="165" customFormat="1" ht="25.8" customHeight="1">
      <c r="C1011" s="109">
        <v>1</v>
      </c>
      <c r="D1011" s="109" t="s">
        <v>3738</v>
      </c>
      <c r="E1011" s="108" t="s">
        <v>3182</v>
      </c>
      <c r="F1011" s="116">
        <v>1.05</v>
      </c>
      <c r="G1011" s="283">
        <f>VLOOKUP(D1011,upahbahan,3,FALSE)</f>
        <v>12000000</v>
      </c>
      <c r="H1011" s="185">
        <f>F1011*G1011</f>
        <v>12600000</v>
      </c>
      <c r="I1011" s="365"/>
      <c r="J1011" s="365"/>
      <c r="K1011" s="365"/>
    </row>
    <row r="1012" spans="3:11" ht="25.8" customHeight="1">
      <c r="C1012" s="450" t="s">
        <v>1214</v>
      </c>
      <c r="D1012" s="67"/>
      <c r="E1012" s="67"/>
      <c r="F1012" s="67"/>
      <c r="G1012" s="69"/>
      <c r="H1012" s="283">
        <f>SUM(H1011:H1011)</f>
        <v>12600000</v>
      </c>
    </row>
    <row r="1013" spans="3:11" ht="25.8" customHeight="1">
      <c r="C1013" s="176" t="s">
        <v>1215</v>
      </c>
      <c r="D1013" s="182" t="s">
        <v>1216</v>
      </c>
      <c r="E1013" s="70"/>
      <c r="F1013" s="70"/>
      <c r="G1013" s="70"/>
      <c r="H1013" s="70"/>
    </row>
    <row r="1014" spans="3:11" ht="25.8" customHeight="1">
      <c r="C1014" s="450" t="s">
        <v>1217</v>
      </c>
      <c r="D1014" s="67"/>
      <c r="E1014" s="67"/>
      <c r="F1014" s="67"/>
      <c r="G1014" s="69"/>
      <c r="H1014" s="871">
        <v>0</v>
      </c>
    </row>
    <row r="1015" spans="3:11" ht="25.8" customHeight="1">
      <c r="C1015" s="102" t="s">
        <v>1218</v>
      </c>
      <c r="D1015" s="294" t="s">
        <v>1219</v>
      </c>
      <c r="E1015" s="295"/>
      <c r="F1015" s="295"/>
      <c r="G1015" s="296"/>
      <c r="H1015" s="872">
        <f>H1014+H1012+H1009</f>
        <v>24624525</v>
      </c>
      <c r="I1015" s="873"/>
    </row>
    <row r="1016" spans="3:11" ht="25.8" customHeight="1">
      <c r="C1016" s="102" t="s">
        <v>1220</v>
      </c>
      <c r="D1016" s="294" t="s">
        <v>1321</v>
      </c>
      <c r="E1016" s="295"/>
      <c r="F1016" s="296"/>
      <c r="G1016" s="298">
        <f>$O$199</f>
        <v>0.1</v>
      </c>
      <c r="H1016" s="283">
        <f>H1015*G1016</f>
        <v>2462452.5</v>
      </c>
      <c r="I1016" s="873"/>
    </row>
    <row r="1017" spans="3:11" ht="25.8" customHeight="1">
      <c r="C1017" s="102" t="s">
        <v>1221</v>
      </c>
      <c r="D1017" s="294" t="s">
        <v>1222</v>
      </c>
      <c r="E1017" s="295"/>
      <c r="F1017" s="295"/>
      <c r="G1017" s="296"/>
      <c r="H1017" s="874">
        <f>SUM(H1015:H1016)</f>
        <v>27086977.5</v>
      </c>
      <c r="I1017" s="873"/>
    </row>
  </sheetData>
  <mergeCells count="40">
    <mergeCell ref="D632:H632"/>
    <mergeCell ref="D650:H650"/>
    <mergeCell ref="D500:H500"/>
    <mergeCell ref="D609:H609"/>
    <mergeCell ref="D517:H517"/>
    <mergeCell ref="D540:H540"/>
    <mergeCell ref="D564:H564"/>
    <mergeCell ref="D586:H586"/>
    <mergeCell ref="D828:H828"/>
    <mergeCell ref="D898:H898"/>
    <mergeCell ref="D863:H863"/>
    <mergeCell ref="D4:H4"/>
    <mergeCell ref="D23:H23"/>
    <mergeCell ref="D42:H42"/>
    <mergeCell ref="D61:H61"/>
    <mergeCell ref="D81:H81"/>
    <mergeCell ref="D100:H100"/>
    <mergeCell ref="D466:H466"/>
    <mergeCell ref="D483:H483"/>
    <mergeCell ref="D119:H119"/>
    <mergeCell ref="D704:H704"/>
    <mergeCell ref="D138:H138"/>
    <mergeCell ref="D158:H158"/>
    <mergeCell ref="D177:H177"/>
    <mergeCell ref="D668:H668"/>
    <mergeCell ref="D686:H686"/>
    <mergeCell ref="D985:H985"/>
    <mergeCell ref="D1002:H1002"/>
    <mergeCell ref="D722:H722"/>
    <mergeCell ref="D739:H739"/>
    <mergeCell ref="D757:H757"/>
    <mergeCell ref="D775:H775"/>
    <mergeCell ref="D968:H968"/>
    <mergeCell ref="D881:H881"/>
    <mergeCell ref="D915:H915"/>
    <mergeCell ref="D933:H933"/>
    <mergeCell ref="D951:H951"/>
    <mergeCell ref="D793:H793"/>
    <mergeCell ref="D810:H810"/>
    <mergeCell ref="D845:H845"/>
  </mergeCells>
  <dataValidations count="1">
    <dataValidation type="list" allowBlank="1" showInputMessage="1" showErrorMessage="1" sqref="D199:D202 D7:D10 D26:D29 D45:D48 D64:D67 D84:D87 D103:D106 D122:D125 D141:D144 D161:D164 D180:D183" xr:uid="{00000000-0002-0000-1D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C1:O635"/>
  <sheetViews>
    <sheetView topLeftCell="A630" zoomScale="75" zoomScaleNormal="75" workbookViewId="0">
      <selection activeCell="G389" sqref="G389"/>
    </sheetView>
  </sheetViews>
  <sheetFormatPr defaultColWidth="8.88671875" defaultRowHeight="13.8"/>
  <cols>
    <col min="1" max="2" width="5" style="59" customWidth="1"/>
    <col min="3" max="3" width="9.6640625" style="45" customWidth="1"/>
    <col min="4" max="4" width="36.5546875" style="45" customWidth="1"/>
    <col min="5" max="5" width="9.5546875" style="45" customWidth="1"/>
    <col min="6" max="6" width="13.33203125" style="45" customWidth="1"/>
    <col min="7" max="7" width="23.21875" style="45" customWidth="1"/>
    <col min="8" max="8" width="20.5546875" style="45" customWidth="1"/>
    <col min="9" max="11" width="17.6640625" style="44" customWidth="1"/>
    <col min="12" max="12" width="14.44140625" style="59" customWidth="1"/>
    <col min="13" max="16384" width="8.88671875" style="59"/>
  </cols>
  <sheetData>
    <row r="1" spans="3:15" ht="21" customHeight="1"/>
    <row r="2" spans="3:15" ht="21" customHeight="1">
      <c r="C2" s="126">
        <v>6</v>
      </c>
      <c r="D2" s="44" t="s">
        <v>3739</v>
      </c>
    </row>
    <row r="3" spans="3:15" ht="21" customHeight="1">
      <c r="C3" s="259" t="s">
        <v>3740</v>
      </c>
      <c r="D3" s="492" t="s">
        <v>6445</v>
      </c>
      <c r="E3" s="148"/>
      <c r="F3" s="148"/>
      <c r="G3" s="148"/>
      <c r="H3" s="148"/>
    </row>
    <row r="4" spans="3:15" ht="21" customHeight="1">
      <c r="C4" s="371" t="s">
        <v>3741</v>
      </c>
      <c r="D4" s="275" t="s">
        <v>3742</v>
      </c>
      <c r="E4" s="275"/>
      <c r="F4" s="275"/>
      <c r="G4" s="275"/>
      <c r="H4" s="275"/>
      <c r="I4" s="50"/>
      <c r="J4" s="50"/>
      <c r="K4" s="50"/>
      <c r="M4" s="475"/>
    </row>
    <row r="5" spans="3:15" ht="27.6" customHeight="1">
      <c r="C5" s="371" t="s">
        <v>8081</v>
      </c>
      <c r="D5" s="1932" t="s">
        <v>8082</v>
      </c>
      <c r="E5" s="1932"/>
      <c r="F5" s="1932"/>
      <c r="G5" s="1932"/>
      <c r="H5" s="1932"/>
      <c r="I5" s="50">
        <f>ROUNDDOWN(H20,-2)</f>
        <v>164400</v>
      </c>
      <c r="J5" s="50"/>
      <c r="K5" s="50"/>
      <c r="M5" s="475"/>
    </row>
    <row r="6" spans="3:15" ht="22.8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</row>
    <row r="7" spans="3:15" ht="22.8" customHeight="1">
      <c r="C7" s="61" t="s">
        <v>1201</v>
      </c>
      <c r="D7" s="56" t="s">
        <v>1202</v>
      </c>
      <c r="E7" s="57"/>
      <c r="F7" s="57"/>
      <c r="G7" s="57"/>
      <c r="H7" s="57"/>
      <c r="L7" s="152" t="s">
        <v>1247</v>
      </c>
    </row>
    <row r="8" spans="3:15" ht="22.8" customHeight="1">
      <c r="C8" s="588">
        <v>1</v>
      </c>
      <c r="D8" s="56" t="s">
        <v>5</v>
      </c>
      <c r="E8" s="577" t="s">
        <v>6</v>
      </c>
      <c r="F8" s="62">
        <v>0.41699999999999998</v>
      </c>
      <c r="G8" s="63">
        <f>VLOOKUP(D8,upahbahan,3,FALSE)</f>
        <v>100000</v>
      </c>
      <c r="H8" s="63">
        <f t="shared" ref="H8:H11" si="0">F8*G8</f>
        <v>41700</v>
      </c>
      <c r="L8" s="152" t="s">
        <v>1248</v>
      </c>
      <c r="O8" s="65">
        <v>0.1</v>
      </c>
    </row>
    <row r="9" spans="3:15" ht="22.8" customHeight="1">
      <c r="C9" s="588">
        <v>2</v>
      </c>
      <c r="D9" s="56" t="s">
        <v>7</v>
      </c>
      <c r="E9" s="577" t="s">
        <v>6</v>
      </c>
      <c r="F9" s="62">
        <v>0.69599999999999995</v>
      </c>
      <c r="G9" s="63">
        <f>VLOOKUP(D9,upahbahan,3,FALSE)</f>
        <v>135000</v>
      </c>
      <c r="H9" s="63">
        <f t="shared" si="0"/>
        <v>93960</v>
      </c>
    </row>
    <row r="10" spans="3:15" ht="22.8" customHeight="1">
      <c r="C10" s="588">
        <v>3</v>
      </c>
      <c r="D10" s="56" t="s">
        <v>18</v>
      </c>
      <c r="E10" s="577" t="s">
        <v>6</v>
      </c>
      <c r="F10" s="62">
        <v>7.0000000000000007E-2</v>
      </c>
      <c r="G10" s="63">
        <f>VLOOKUP(D10,upahbahan,3,FALSE)</f>
        <v>150000</v>
      </c>
      <c r="H10" s="63">
        <f t="shared" si="0"/>
        <v>10500.000000000002</v>
      </c>
    </row>
    <row r="11" spans="3:15" ht="22.8" customHeight="1">
      <c r="C11" s="588">
        <v>4</v>
      </c>
      <c r="D11" s="56" t="s">
        <v>19</v>
      </c>
      <c r="E11" s="577" t="s">
        <v>6</v>
      </c>
      <c r="F11" s="62">
        <v>2.1000000000000001E-2</v>
      </c>
      <c r="G11" s="63">
        <f>VLOOKUP(D11,upahbahan,3,FALSE)</f>
        <v>160000</v>
      </c>
      <c r="H11" s="63">
        <f t="shared" si="0"/>
        <v>3360</v>
      </c>
    </row>
    <row r="12" spans="3:15" ht="22.8" customHeight="1">
      <c r="C12" s="450" t="s">
        <v>1208</v>
      </c>
      <c r="D12" s="67"/>
      <c r="E12" s="67"/>
      <c r="F12" s="142"/>
      <c r="G12" s="153"/>
      <c r="H12" s="63">
        <f>SUM(H8:H11)</f>
        <v>149520</v>
      </c>
      <c r="I12" s="154"/>
      <c r="J12" s="154"/>
      <c r="K12" s="154"/>
    </row>
    <row r="13" spans="3:15" ht="22.8" customHeight="1">
      <c r="C13" s="61" t="s">
        <v>1209</v>
      </c>
      <c r="D13" s="56" t="s">
        <v>1210</v>
      </c>
      <c r="E13" s="57"/>
      <c r="F13" s="57"/>
      <c r="G13" s="57"/>
      <c r="H13" s="57"/>
    </row>
    <row r="14" spans="3:15" ht="22.8" customHeight="1">
      <c r="C14" s="588">
        <v>1</v>
      </c>
      <c r="D14" s="72" t="s">
        <v>711</v>
      </c>
      <c r="E14" s="73" t="s">
        <v>135</v>
      </c>
      <c r="F14" s="62">
        <v>1.08</v>
      </c>
      <c r="G14" s="63">
        <f>VLOOKUP(D14,upahbahan,3,FALSE)</f>
        <v>0</v>
      </c>
      <c r="H14" s="63">
        <f>F14*G14</f>
        <v>0</v>
      </c>
    </row>
    <row r="15" spans="3:15" ht="22.8" customHeight="1">
      <c r="C15" s="450" t="s">
        <v>1214</v>
      </c>
      <c r="D15" s="67"/>
      <c r="E15" s="67"/>
      <c r="F15" s="67"/>
      <c r="G15" s="69"/>
      <c r="H15" s="63">
        <f>SUM(H14:H14)</f>
        <v>0</v>
      </c>
    </row>
    <row r="16" spans="3:15" ht="22.8" customHeight="1">
      <c r="C16" s="61" t="s">
        <v>1215</v>
      </c>
      <c r="D16" s="56" t="s">
        <v>1216</v>
      </c>
      <c r="E16" s="57"/>
      <c r="F16" s="57"/>
      <c r="G16" s="57"/>
      <c r="H16" s="57"/>
    </row>
    <row r="17" spans="3:13" ht="22.8" customHeight="1">
      <c r="C17" s="450" t="s">
        <v>1217</v>
      </c>
      <c r="D17" s="67"/>
      <c r="E17" s="67"/>
      <c r="F17" s="67"/>
      <c r="G17" s="69"/>
      <c r="H17" s="589">
        <v>0</v>
      </c>
    </row>
    <row r="18" spans="3:13" ht="22.8" customHeight="1">
      <c r="C18" s="288" t="s">
        <v>1218</v>
      </c>
      <c r="D18" s="76" t="s">
        <v>1219</v>
      </c>
      <c r="E18" s="77"/>
      <c r="F18" s="77"/>
      <c r="G18" s="78"/>
      <c r="H18" s="585">
        <f>H17+H15+H12</f>
        <v>149520</v>
      </c>
      <c r="I18" s="369"/>
    </row>
    <row r="19" spans="3:13" ht="22.8" customHeight="1">
      <c r="C19" s="75" t="s">
        <v>1220</v>
      </c>
      <c r="D19" s="76" t="s">
        <v>1321</v>
      </c>
      <c r="E19" s="77"/>
      <c r="F19" s="78"/>
      <c r="G19" s="80">
        <f>$O$8</f>
        <v>0.1</v>
      </c>
      <c r="H19" s="64">
        <f>H18*G19</f>
        <v>14952</v>
      </c>
      <c r="I19" s="369"/>
    </row>
    <row r="20" spans="3:13" ht="22.8" customHeight="1">
      <c r="C20" s="288" t="s">
        <v>1221</v>
      </c>
      <c r="D20" s="76" t="s">
        <v>1222</v>
      </c>
      <c r="E20" s="77"/>
      <c r="F20" s="77"/>
      <c r="G20" s="78"/>
      <c r="H20" s="799">
        <f>SUM(H18:H19)</f>
        <v>164472</v>
      </c>
      <c r="I20" s="369"/>
    </row>
    <row r="21" spans="3:13" ht="22.8" customHeight="1">
      <c r="C21" s="89"/>
      <c r="D21" s="90"/>
      <c r="E21" s="90"/>
      <c r="F21" s="90"/>
      <c r="G21" s="90"/>
      <c r="H21" s="796"/>
    </row>
    <row r="22" spans="3:13" ht="22.8" customHeight="1">
      <c r="C22" s="45" t="s">
        <v>3743</v>
      </c>
      <c r="D22" s="794" t="s">
        <v>1576</v>
      </c>
      <c r="E22" s="795"/>
      <c r="F22" s="795"/>
      <c r="G22" s="795"/>
      <c r="H22" s="795"/>
      <c r="I22" s="50">
        <f>ROUNDDOWN(H37,-2)</f>
        <v>254700</v>
      </c>
      <c r="J22" s="50"/>
      <c r="K22" s="50"/>
      <c r="M22" s="475"/>
    </row>
    <row r="23" spans="3:13" ht="28.2" customHeight="1">
      <c r="C23" s="591" t="s">
        <v>1195</v>
      </c>
      <c r="D23" s="591" t="s">
        <v>1196</v>
      </c>
      <c r="E23" s="591" t="s">
        <v>1197</v>
      </c>
      <c r="F23" s="591" t="s">
        <v>1198</v>
      </c>
      <c r="G23" s="591" t="s">
        <v>1199</v>
      </c>
      <c r="H23" s="591" t="s">
        <v>1200</v>
      </c>
      <c r="M23" s="475"/>
    </row>
    <row r="24" spans="3:13" ht="22.8" customHeight="1">
      <c r="C24" s="61" t="s">
        <v>1201</v>
      </c>
      <c r="D24" s="56" t="s">
        <v>1202</v>
      </c>
      <c r="E24" s="57"/>
      <c r="F24" s="57"/>
      <c r="G24" s="57"/>
      <c r="H24" s="57"/>
      <c r="M24" s="475"/>
    </row>
    <row r="25" spans="3:13" ht="22.8" customHeight="1">
      <c r="C25" s="588">
        <v>1</v>
      </c>
      <c r="D25" s="56" t="s">
        <v>5</v>
      </c>
      <c r="E25" s="577" t="s">
        <v>6</v>
      </c>
      <c r="F25" s="98">
        <v>0.64600000000000002</v>
      </c>
      <c r="G25" s="63">
        <f>VLOOKUP(D25,upahbahan,3,FALSE)</f>
        <v>100000</v>
      </c>
      <c r="H25" s="63">
        <f t="shared" ref="H25:H28" si="1">F25*G25</f>
        <v>64600</v>
      </c>
      <c r="M25" s="475"/>
    </row>
    <row r="26" spans="3:13" ht="22.8" customHeight="1">
      <c r="C26" s="588">
        <v>2</v>
      </c>
      <c r="D26" s="56" t="str">
        <f>D9</f>
        <v>Tukang batu</v>
      </c>
      <c r="E26" s="577" t="s">
        <v>6</v>
      </c>
      <c r="F26" s="98">
        <v>1.079</v>
      </c>
      <c r="G26" s="63">
        <f>VLOOKUP(D26,upahbahan,3,FALSE)</f>
        <v>135000</v>
      </c>
      <c r="H26" s="63">
        <f t="shared" si="1"/>
        <v>145665</v>
      </c>
      <c r="M26" s="475"/>
    </row>
    <row r="27" spans="3:13" ht="22.8" customHeight="1">
      <c r="C27" s="588">
        <v>3</v>
      </c>
      <c r="D27" s="56" t="s">
        <v>18</v>
      </c>
      <c r="E27" s="577" t="s">
        <v>6</v>
      </c>
      <c r="F27" s="98">
        <v>0.108</v>
      </c>
      <c r="G27" s="63">
        <f>VLOOKUP(D27,upahbahan,3,FALSE)</f>
        <v>150000</v>
      </c>
      <c r="H27" s="63">
        <f t="shared" si="1"/>
        <v>16200</v>
      </c>
      <c r="M27" s="475"/>
    </row>
    <row r="28" spans="3:13" ht="22.8" customHeight="1">
      <c r="C28" s="588">
        <v>4</v>
      </c>
      <c r="D28" s="56" t="s">
        <v>19</v>
      </c>
      <c r="E28" s="577" t="s">
        <v>6</v>
      </c>
      <c r="F28" s="98">
        <v>3.2000000000000001E-2</v>
      </c>
      <c r="G28" s="63">
        <f>VLOOKUP(D28,upahbahan,3,FALSE)</f>
        <v>160000</v>
      </c>
      <c r="H28" s="63">
        <f t="shared" si="1"/>
        <v>5120</v>
      </c>
      <c r="M28" s="475"/>
    </row>
    <row r="29" spans="3:13" ht="22.8" customHeight="1">
      <c r="C29" s="450" t="s">
        <v>1208</v>
      </c>
      <c r="D29" s="67"/>
      <c r="E29" s="67"/>
      <c r="F29" s="142"/>
      <c r="G29" s="153"/>
      <c r="H29" s="63">
        <f>SUM(H25:H28)</f>
        <v>231585</v>
      </c>
      <c r="I29" s="154"/>
      <c r="J29" s="154"/>
      <c r="K29" s="154"/>
      <c r="M29" s="475"/>
    </row>
    <row r="30" spans="3:13" ht="22.8" customHeight="1">
      <c r="C30" s="61" t="s">
        <v>1209</v>
      </c>
      <c r="D30" s="56" t="s">
        <v>1210</v>
      </c>
      <c r="E30" s="57"/>
      <c r="F30" s="57"/>
      <c r="G30" s="57"/>
      <c r="H30" s="57"/>
      <c r="M30" s="475"/>
    </row>
    <row r="31" spans="3:13" ht="22.8" customHeight="1">
      <c r="C31" s="588">
        <v>1</v>
      </c>
      <c r="D31" s="72" t="s">
        <v>712</v>
      </c>
      <c r="E31" s="73" t="s">
        <v>135</v>
      </c>
      <c r="F31" s="62">
        <v>1.1000000000000001</v>
      </c>
      <c r="G31" s="63">
        <f>VLOOKUP(D31,upahbahan,3,FALSE)</f>
        <v>0</v>
      </c>
      <c r="H31" s="63">
        <f t="shared" ref="H31" si="2">F31*G31</f>
        <v>0</v>
      </c>
      <c r="M31" s="475"/>
    </row>
    <row r="32" spans="3:13" ht="22.8" customHeight="1">
      <c r="C32" s="450" t="s">
        <v>1214</v>
      </c>
      <c r="D32" s="67"/>
      <c r="E32" s="67"/>
      <c r="F32" s="67"/>
      <c r="G32" s="69"/>
      <c r="H32" s="63">
        <f>SUM(H31:H31)</f>
        <v>0</v>
      </c>
      <c r="M32" s="475"/>
    </row>
    <row r="33" spans="3:13" ht="22.8" customHeight="1">
      <c r="C33" s="61" t="s">
        <v>1215</v>
      </c>
      <c r="D33" s="56" t="s">
        <v>1216</v>
      </c>
      <c r="E33" s="57"/>
      <c r="F33" s="57"/>
      <c r="G33" s="57"/>
      <c r="H33" s="57"/>
      <c r="M33" s="475"/>
    </row>
    <row r="34" spans="3:13" ht="22.8" customHeight="1">
      <c r="C34" s="450" t="s">
        <v>1217</v>
      </c>
      <c r="D34" s="67"/>
      <c r="E34" s="67"/>
      <c r="F34" s="67"/>
      <c r="G34" s="69"/>
      <c r="H34" s="589">
        <v>0</v>
      </c>
      <c r="M34" s="475"/>
    </row>
    <row r="35" spans="3:13" ht="22.8" customHeight="1">
      <c r="C35" s="288" t="s">
        <v>1218</v>
      </c>
      <c r="D35" s="76" t="s">
        <v>1219</v>
      </c>
      <c r="E35" s="77"/>
      <c r="F35" s="77"/>
      <c r="G35" s="78"/>
      <c r="H35" s="585">
        <f>H34+H32+H29</f>
        <v>231585</v>
      </c>
      <c r="I35" s="369"/>
      <c r="M35" s="475"/>
    </row>
    <row r="36" spans="3:13" ht="22.8" customHeight="1">
      <c r="C36" s="288" t="s">
        <v>1220</v>
      </c>
      <c r="D36" s="76" t="s">
        <v>1402</v>
      </c>
      <c r="E36" s="77"/>
      <c r="F36" s="78"/>
      <c r="G36" s="481" t="s">
        <v>1403</v>
      </c>
      <c r="H36" s="585">
        <f>H35*10%</f>
        <v>23158.5</v>
      </c>
      <c r="I36" s="369"/>
      <c r="M36" s="475"/>
    </row>
    <row r="37" spans="3:13" ht="22.8" customHeight="1">
      <c r="C37" s="288" t="s">
        <v>1221</v>
      </c>
      <c r="D37" s="76" t="s">
        <v>1222</v>
      </c>
      <c r="E37" s="77"/>
      <c r="F37" s="77"/>
      <c r="G37" s="78"/>
      <c r="H37" s="799">
        <f>SUM(H35:H36)</f>
        <v>254743.5</v>
      </c>
      <c r="I37" s="369"/>
      <c r="M37" s="475"/>
    </row>
    <row r="38" spans="3:13" ht="22.8" customHeight="1">
      <c r="C38" s="89"/>
      <c r="D38" s="90"/>
      <c r="E38" s="90"/>
      <c r="F38" s="90"/>
      <c r="G38" s="90"/>
      <c r="H38" s="796"/>
      <c r="M38" s="475"/>
    </row>
    <row r="39" spans="3:13" ht="22.8" customHeight="1">
      <c r="C39" s="45" t="s">
        <v>3744</v>
      </c>
      <c r="D39" s="794" t="s">
        <v>1577</v>
      </c>
      <c r="E39" s="795"/>
      <c r="F39" s="795"/>
      <c r="G39" s="795"/>
      <c r="H39" s="795"/>
      <c r="I39" s="50">
        <f>ROUNDDOWN(H54,-2)</f>
        <v>304200</v>
      </c>
      <c r="J39" s="50"/>
      <c r="K39" s="50"/>
      <c r="M39" s="475"/>
    </row>
    <row r="40" spans="3:13" ht="29.4" customHeight="1">
      <c r="C40" s="591" t="s">
        <v>1195</v>
      </c>
      <c r="D40" s="591" t="s">
        <v>1196</v>
      </c>
      <c r="E40" s="591" t="s">
        <v>1197</v>
      </c>
      <c r="F40" s="591" t="s">
        <v>1198</v>
      </c>
      <c r="G40" s="591" t="s">
        <v>1199</v>
      </c>
      <c r="H40" s="591" t="s">
        <v>1200</v>
      </c>
      <c r="M40" s="475"/>
    </row>
    <row r="41" spans="3:13" ht="22.8" customHeight="1">
      <c r="C41" s="61" t="s">
        <v>1201</v>
      </c>
      <c r="D41" s="56" t="s">
        <v>1202</v>
      </c>
      <c r="E41" s="57"/>
      <c r="F41" s="57"/>
      <c r="G41" s="57"/>
      <c r="H41" s="57"/>
      <c r="M41" s="475"/>
    </row>
    <row r="42" spans="3:13" ht="22.8" customHeight="1">
      <c r="C42" s="588">
        <v>1</v>
      </c>
      <c r="D42" s="56" t="s">
        <v>5</v>
      </c>
      <c r="E42" s="176" t="s">
        <v>6</v>
      </c>
      <c r="F42" s="98">
        <v>0.77100000000000002</v>
      </c>
      <c r="G42" s="63">
        <f>VLOOKUP(D42,upahbahan,3,FALSE)</f>
        <v>100000</v>
      </c>
      <c r="H42" s="63">
        <f t="shared" ref="H42:H45" si="3">F42*G42</f>
        <v>77100</v>
      </c>
      <c r="M42" s="475"/>
    </row>
    <row r="43" spans="3:13" ht="22.8" customHeight="1">
      <c r="C43" s="588">
        <v>2</v>
      </c>
      <c r="D43" s="56" t="str">
        <f>D26</f>
        <v>Tukang batu</v>
      </c>
      <c r="E43" s="176" t="s">
        <v>6</v>
      </c>
      <c r="F43" s="98">
        <v>1.288</v>
      </c>
      <c r="G43" s="63">
        <f>VLOOKUP(D43,upahbahan,3,FALSE)</f>
        <v>135000</v>
      </c>
      <c r="H43" s="63">
        <f t="shared" si="3"/>
        <v>173880</v>
      </c>
      <c r="M43" s="475"/>
    </row>
    <row r="44" spans="3:13" ht="22.8" customHeight="1">
      <c r="C44" s="588">
        <v>3</v>
      </c>
      <c r="D44" s="56" t="s">
        <v>18</v>
      </c>
      <c r="E44" s="176" t="s">
        <v>6</v>
      </c>
      <c r="F44" s="98">
        <v>0.129</v>
      </c>
      <c r="G44" s="63">
        <f>VLOOKUP(D44,upahbahan,3,FALSE)</f>
        <v>150000</v>
      </c>
      <c r="H44" s="63">
        <f t="shared" si="3"/>
        <v>19350</v>
      </c>
      <c r="M44" s="475"/>
    </row>
    <row r="45" spans="3:13" ht="22.8" customHeight="1">
      <c r="C45" s="588">
        <v>4</v>
      </c>
      <c r="D45" s="56" t="s">
        <v>19</v>
      </c>
      <c r="E45" s="176" t="s">
        <v>6</v>
      </c>
      <c r="F45" s="98">
        <v>3.9E-2</v>
      </c>
      <c r="G45" s="63">
        <f>VLOOKUP(D45,upahbahan,3,FALSE)</f>
        <v>160000</v>
      </c>
      <c r="H45" s="63">
        <f t="shared" si="3"/>
        <v>6240</v>
      </c>
      <c r="M45" s="475"/>
    </row>
    <row r="46" spans="3:13" ht="22.8" customHeight="1">
      <c r="C46" s="450" t="s">
        <v>1208</v>
      </c>
      <c r="D46" s="67"/>
      <c r="E46" s="67"/>
      <c r="F46" s="142"/>
      <c r="G46" s="153"/>
      <c r="H46" s="63">
        <f>SUM(H42:H45)</f>
        <v>276570</v>
      </c>
      <c r="I46" s="154"/>
      <c r="J46" s="154"/>
      <c r="K46" s="154"/>
      <c r="M46" s="475"/>
    </row>
    <row r="47" spans="3:13" ht="22.8" customHeight="1">
      <c r="C47" s="61" t="s">
        <v>1209</v>
      </c>
      <c r="D47" s="56" t="s">
        <v>1210</v>
      </c>
      <c r="E47" s="124"/>
      <c r="F47" s="57"/>
      <c r="G47" s="57"/>
      <c r="H47" s="57"/>
      <c r="M47" s="475"/>
    </row>
    <row r="48" spans="3:13" ht="22.8" customHeight="1">
      <c r="C48" s="588">
        <v>1</v>
      </c>
      <c r="D48" s="72" t="s">
        <v>710</v>
      </c>
      <c r="E48" s="291" t="s">
        <v>135</v>
      </c>
      <c r="F48" s="62">
        <v>1.1200000000000001</v>
      </c>
      <c r="G48" s="63">
        <f>VLOOKUP(D48,upahbahan,3,FALSE)</f>
        <v>0</v>
      </c>
      <c r="H48" s="63">
        <f t="shared" ref="H48" si="4">F48*G48</f>
        <v>0</v>
      </c>
      <c r="M48" s="475"/>
    </row>
    <row r="49" spans="3:13" ht="22.8" customHeight="1">
      <c r="C49" s="450" t="s">
        <v>1214</v>
      </c>
      <c r="D49" s="67"/>
      <c r="E49" s="67"/>
      <c r="F49" s="67"/>
      <c r="G49" s="69"/>
      <c r="H49" s="63">
        <f>SUM(H48:H48)</f>
        <v>0</v>
      </c>
      <c r="M49" s="475"/>
    </row>
    <row r="50" spans="3:13" ht="22.8" customHeight="1">
      <c r="C50" s="61" t="s">
        <v>1215</v>
      </c>
      <c r="D50" s="56" t="s">
        <v>1216</v>
      </c>
      <c r="E50" s="57"/>
      <c r="F50" s="57"/>
      <c r="G50" s="57"/>
      <c r="H50" s="57"/>
      <c r="M50" s="475"/>
    </row>
    <row r="51" spans="3:13" ht="22.8" customHeight="1">
      <c r="C51" s="450" t="s">
        <v>1217</v>
      </c>
      <c r="D51" s="67"/>
      <c r="E51" s="67"/>
      <c r="F51" s="67"/>
      <c r="G51" s="69"/>
      <c r="H51" s="589">
        <v>0</v>
      </c>
      <c r="M51" s="475"/>
    </row>
    <row r="52" spans="3:13" ht="22.8" customHeight="1">
      <c r="C52" s="288" t="s">
        <v>1218</v>
      </c>
      <c r="D52" s="76" t="s">
        <v>1219</v>
      </c>
      <c r="E52" s="77"/>
      <c r="F52" s="77"/>
      <c r="G52" s="78"/>
      <c r="H52" s="585">
        <f>H51+H49+H46</f>
        <v>276570</v>
      </c>
      <c r="I52" s="369"/>
      <c r="M52" s="475"/>
    </row>
    <row r="53" spans="3:13" ht="22.8" customHeight="1">
      <c r="C53" s="288" t="s">
        <v>1220</v>
      </c>
      <c r="D53" s="76" t="s">
        <v>1402</v>
      </c>
      <c r="E53" s="77"/>
      <c r="F53" s="78"/>
      <c r="G53" s="481" t="s">
        <v>1403</v>
      </c>
      <c r="H53" s="585">
        <f>H52*10%</f>
        <v>27657</v>
      </c>
      <c r="I53" s="369"/>
      <c r="M53" s="475"/>
    </row>
    <row r="54" spans="3:13" ht="22.8" customHeight="1">
      <c r="C54" s="288" t="s">
        <v>1221</v>
      </c>
      <c r="D54" s="76" t="s">
        <v>1222</v>
      </c>
      <c r="E54" s="77"/>
      <c r="F54" s="77"/>
      <c r="G54" s="78"/>
      <c r="H54" s="799">
        <f>SUM(H52:H53)</f>
        <v>304227</v>
      </c>
      <c r="I54" s="369"/>
      <c r="M54" s="475"/>
    </row>
    <row r="55" spans="3:13" ht="22.8" customHeight="1">
      <c r="M55" s="475"/>
    </row>
    <row r="56" spans="3:13" ht="22.8" customHeight="1">
      <c r="C56" s="45" t="s">
        <v>3745</v>
      </c>
      <c r="D56" s="794" t="s">
        <v>1578</v>
      </c>
      <c r="E56" s="797"/>
      <c r="F56" s="797"/>
      <c r="G56" s="797"/>
      <c r="H56" s="797"/>
      <c r="I56" s="50">
        <f>ROUNDDOWN(H71,-2)</f>
        <v>164400</v>
      </c>
      <c r="J56" s="50"/>
      <c r="K56" s="50"/>
      <c r="M56" s="475"/>
    </row>
    <row r="57" spans="3:13" ht="30.6" customHeight="1">
      <c r="C57" s="591" t="s">
        <v>1195</v>
      </c>
      <c r="D57" s="591" t="s">
        <v>1196</v>
      </c>
      <c r="E57" s="591" t="s">
        <v>1197</v>
      </c>
      <c r="F57" s="591" t="s">
        <v>1198</v>
      </c>
      <c r="G57" s="591" t="s">
        <v>1199</v>
      </c>
      <c r="H57" s="591" t="s">
        <v>1200</v>
      </c>
      <c r="M57" s="475"/>
    </row>
    <row r="58" spans="3:13" ht="22.8" customHeight="1">
      <c r="C58" s="577" t="s">
        <v>1201</v>
      </c>
      <c r="D58" s="56" t="s">
        <v>1202</v>
      </c>
      <c r="E58" s="57"/>
      <c r="F58" s="57"/>
      <c r="G58" s="57"/>
      <c r="H58" s="57"/>
      <c r="M58" s="475"/>
    </row>
    <row r="59" spans="3:13" ht="22.8" customHeight="1">
      <c r="C59" s="798">
        <v>1</v>
      </c>
      <c r="D59" s="56" t="s">
        <v>5</v>
      </c>
      <c r="E59" s="61" t="s">
        <v>6</v>
      </c>
      <c r="F59" s="62">
        <v>0.41699999999999998</v>
      </c>
      <c r="G59" s="63">
        <f>VLOOKUP(D59,upahbahan,3,FALSE)</f>
        <v>100000</v>
      </c>
      <c r="H59" s="63">
        <f t="shared" ref="H59:H62" si="5">F59*G59</f>
        <v>41700</v>
      </c>
      <c r="M59" s="475"/>
    </row>
    <row r="60" spans="3:13" ht="22.8" customHeight="1">
      <c r="C60" s="798">
        <v>2</v>
      </c>
      <c r="D60" s="56" t="str">
        <f>D43</f>
        <v>Tukang batu</v>
      </c>
      <c r="E60" s="61" t="s">
        <v>6</v>
      </c>
      <c r="F60" s="62">
        <v>0.69599999999999995</v>
      </c>
      <c r="G60" s="63">
        <f>VLOOKUP(D60,upahbahan,3,FALSE)</f>
        <v>135000</v>
      </c>
      <c r="H60" s="63">
        <f t="shared" si="5"/>
        <v>93960</v>
      </c>
      <c r="M60" s="475"/>
    </row>
    <row r="61" spans="3:13" ht="22.8" customHeight="1">
      <c r="C61" s="798">
        <v>3</v>
      </c>
      <c r="D61" s="56" t="s">
        <v>18</v>
      </c>
      <c r="E61" s="61" t="s">
        <v>6</v>
      </c>
      <c r="F61" s="62">
        <v>7.0000000000000007E-2</v>
      </c>
      <c r="G61" s="63">
        <f>VLOOKUP(D61,upahbahan,3,FALSE)</f>
        <v>150000</v>
      </c>
      <c r="H61" s="63">
        <f t="shared" si="5"/>
        <v>10500.000000000002</v>
      </c>
      <c r="M61" s="475"/>
    </row>
    <row r="62" spans="3:13" ht="22.8" customHeight="1">
      <c r="C62" s="798">
        <v>4</v>
      </c>
      <c r="D62" s="56" t="s">
        <v>19</v>
      </c>
      <c r="E62" s="61" t="s">
        <v>6</v>
      </c>
      <c r="F62" s="62">
        <v>2.1000000000000001E-2</v>
      </c>
      <c r="G62" s="63">
        <f>VLOOKUP(D62,upahbahan,3,FALSE)</f>
        <v>160000</v>
      </c>
      <c r="H62" s="63">
        <f t="shared" si="5"/>
        <v>3360</v>
      </c>
      <c r="M62" s="475"/>
    </row>
    <row r="63" spans="3:13" ht="22.8" customHeight="1">
      <c r="C63" s="450" t="s">
        <v>1208</v>
      </c>
      <c r="D63" s="67"/>
      <c r="E63" s="67"/>
      <c r="F63" s="142"/>
      <c r="G63" s="153"/>
      <c r="H63" s="63">
        <f>SUM(H59:H62)</f>
        <v>149520</v>
      </c>
      <c r="I63" s="154"/>
      <c r="J63" s="154"/>
      <c r="K63" s="154"/>
      <c r="M63" s="475"/>
    </row>
    <row r="64" spans="3:13" ht="22.8" customHeight="1">
      <c r="C64" s="61" t="s">
        <v>1209</v>
      </c>
      <c r="D64" s="56" t="s">
        <v>1210</v>
      </c>
      <c r="E64" s="57"/>
      <c r="F64" s="57"/>
      <c r="G64" s="57"/>
      <c r="H64" s="57"/>
      <c r="M64" s="475"/>
    </row>
    <row r="65" spans="3:13" ht="22.8" customHeight="1">
      <c r="C65" s="588">
        <v>1</v>
      </c>
      <c r="D65" s="56" t="s">
        <v>714</v>
      </c>
      <c r="E65" s="61" t="s">
        <v>135</v>
      </c>
      <c r="F65" s="62">
        <v>1.1499999999999999</v>
      </c>
      <c r="G65" s="63">
        <f>VLOOKUP(D65,upahbahan,3,FALSE)</f>
        <v>0</v>
      </c>
      <c r="H65" s="63">
        <f>F65*G65</f>
        <v>0</v>
      </c>
      <c r="M65" s="475"/>
    </row>
    <row r="66" spans="3:13" ht="22.8" customHeight="1">
      <c r="C66" s="450" t="s">
        <v>1214</v>
      </c>
      <c r="D66" s="67"/>
      <c r="E66" s="67"/>
      <c r="F66" s="67"/>
      <c r="G66" s="69"/>
      <c r="H66" s="63">
        <f>SUM(H65:H65)</f>
        <v>0</v>
      </c>
      <c r="M66" s="475"/>
    </row>
    <row r="67" spans="3:13" ht="22.8" customHeight="1">
      <c r="C67" s="61" t="s">
        <v>1215</v>
      </c>
      <c r="D67" s="56" t="s">
        <v>1216</v>
      </c>
      <c r="E67" s="57"/>
      <c r="F67" s="57"/>
      <c r="G67" s="57"/>
      <c r="H67" s="57"/>
      <c r="M67" s="475"/>
    </row>
    <row r="68" spans="3:13" ht="22.8" customHeight="1">
      <c r="C68" s="450" t="s">
        <v>1217</v>
      </c>
      <c r="D68" s="67"/>
      <c r="E68" s="67"/>
      <c r="F68" s="67"/>
      <c r="G68" s="69"/>
      <c r="H68" s="589">
        <v>0</v>
      </c>
      <c r="M68" s="475"/>
    </row>
    <row r="69" spans="3:13" ht="22.8" customHeight="1">
      <c r="C69" s="288" t="s">
        <v>1218</v>
      </c>
      <c r="D69" s="76" t="s">
        <v>1219</v>
      </c>
      <c r="E69" s="77"/>
      <c r="F69" s="77"/>
      <c r="G69" s="78"/>
      <c r="H69" s="585">
        <f>H68+H66+H63</f>
        <v>149520</v>
      </c>
      <c r="I69" s="369"/>
      <c r="M69" s="475"/>
    </row>
    <row r="70" spans="3:13" ht="22.8" customHeight="1">
      <c r="C70" s="288" t="s">
        <v>1220</v>
      </c>
      <c r="D70" s="76" t="s">
        <v>1402</v>
      </c>
      <c r="E70" s="77"/>
      <c r="F70" s="78"/>
      <c r="G70" s="481" t="s">
        <v>1403</v>
      </c>
      <c r="H70" s="585">
        <f>H69*10%</f>
        <v>14952</v>
      </c>
      <c r="I70" s="369"/>
      <c r="M70" s="475"/>
    </row>
    <row r="71" spans="3:13" ht="22.8" customHeight="1">
      <c r="C71" s="288" t="s">
        <v>1221</v>
      </c>
      <c r="D71" s="76" t="s">
        <v>1222</v>
      </c>
      <c r="E71" s="77"/>
      <c r="F71" s="77"/>
      <c r="G71" s="78"/>
      <c r="H71" s="799">
        <f>SUM(H69:H70)</f>
        <v>164472</v>
      </c>
      <c r="I71" s="369"/>
      <c r="M71" s="475"/>
    </row>
    <row r="72" spans="3:13" ht="22.8" customHeight="1">
      <c r="C72" s="89"/>
      <c r="D72" s="90"/>
      <c r="E72" s="90"/>
      <c r="F72" s="90"/>
      <c r="G72" s="90"/>
      <c r="H72" s="796"/>
      <c r="M72" s="475"/>
    </row>
    <row r="73" spans="3:13" ht="22.8" customHeight="1">
      <c r="C73" s="45" t="s">
        <v>3746</v>
      </c>
      <c r="D73" s="794" t="s">
        <v>1579</v>
      </c>
      <c r="E73" s="797"/>
      <c r="F73" s="797"/>
      <c r="G73" s="797"/>
      <c r="H73" s="797"/>
      <c r="I73" s="50">
        <f>ROUNDDOWN(H88,-2)</f>
        <v>254700</v>
      </c>
      <c r="J73" s="50"/>
      <c r="K73" s="50"/>
      <c r="M73" s="475"/>
    </row>
    <row r="74" spans="3:13" ht="29.4" customHeight="1">
      <c r="C74" s="591" t="s">
        <v>1195</v>
      </c>
      <c r="D74" s="591" t="s">
        <v>1196</v>
      </c>
      <c r="E74" s="591" t="s">
        <v>1197</v>
      </c>
      <c r="F74" s="591" t="s">
        <v>1198</v>
      </c>
      <c r="G74" s="591" t="s">
        <v>1199</v>
      </c>
      <c r="H74" s="591" t="s">
        <v>1200</v>
      </c>
      <c r="M74" s="475"/>
    </row>
    <row r="75" spans="3:13" ht="22.8" customHeight="1">
      <c r="C75" s="577" t="s">
        <v>1201</v>
      </c>
      <c r="D75" s="56" t="s">
        <v>1202</v>
      </c>
      <c r="E75" s="57"/>
      <c r="F75" s="57"/>
      <c r="G75" s="57"/>
      <c r="H75" s="57"/>
      <c r="M75" s="475"/>
    </row>
    <row r="76" spans="3:13" ht="22.8" customHeight="1">
      <c r="C76" s="798">
        <v>1</v>
      </c>
      <c r="D76" s="56" t="s">
        <v>5</v>
      </c>
      <c r="E76" s="61" t="s">
        <v>6</v>
      </c>
      <c r="F76" s="98">
        <v>0.64600000000000002</v>
      </c>
      <c r="G76" s="63">
        <f>VLOOKUP(D76,upahbahan,3,FALSE)</f>
        <v>100000</v>
      </c>
      <c r="H76" s="63">
        <f t="shared" ref="H76:H79" si="6">F76*G76</f>
        <v>64600</v>
      </c>
      <c r="M76" s="475"/>
    </row>
    <row r="77" spans="3:13" ht="22.8" customHeight="1">
      <c r="C77" s="798">
        <v>2</v>
      </c>
      <c r="D77" s="56" t="str">
        <f>D60</f>
        <v>Tukang batu</v>
      </c>
      <c r="E77" s="61" t="s">
        <v>6</v>
      </c>
      <c r="F77" s="98">
        <v>1.079</v>
      </c>
      <c r="G77" s="63">
        <f>VLOOKUP(D77,upahbahan,3,FALSE)</f>
        <v>135000</v>
      </c>
      <c r="H77" s="63">
        <f t="shared" si="6"/>
        <v>145665</v>
      </c>
      <c r="M77" s="475"/>
    </row>
    <row r="78" spans="3:13" ht="22.8" customHeight="1">
      <c r="C78" s="798">
        <v>3</v>
      </c>
      <c r="D78" s="56" t="s">
        <v>18</v>
      </c>
      <c r="E78" s="61" t="s">
        <v>6</v>
      </c>
      <c r="F78" s="98">
        <v>0.108</v>
      </c>
      <c r="G78" s="63">
        <f>VLOOKUP(D78,upahbahan,3,FALSE)</f>
        <v>150000</v>
      </c>
      <c r="H78" s="63">
        <f t="shared" si="6"/>
        <v>16200</v>
      </c>
      <c r="M78" s="475"/>
    </row>
    <row r="79" spans="3:13" ht="22.8" customHeight="1">
      <c r="C79" s="798">
        <v>4</v>
      </c>
      <c r="D79" s="56" t="s">
        <v>19</v>
      </c>
      <c r="E79" s="61" t="s">
        <v>6</v>
      </c>
      <c r="F79" s="98">
        <v>3.2000000000000001E-2</v>
      </c>
      <c r="G79" s="63">
        <f>VLOOKUP(D79,upahbahan,3,FALSE)</f>
        <v>160000</v>
      </c>
      <c r="H79" s="63">
        <f t="shared" si="6"/>
        <v>5120</v>
      </c>
      <c r="M79" s="475"/>
    </row>
    <row r="80" spans="3:13" ht="22.8" customHeight="1">
      <c r="C80" s="450" t="s">
        <v>1208</v>
      </c>
      <c r="D80" s="67"/>
      <c r="E80" s="67"/>
      <c r="F80" s="142"/>
      <c r="G80" s="153"/>
      <c r="H80" s="63">
        <f>SUM(H76:H79)</f>
        <v>231585</v>
      </c>
      <c r="I80" s="154"/>
      <c r="J80" s="154"/>
      <c r="K80" s="154"/>
      <c r="M80" s="475"/>
    </row>
    <row r="81" spans="3:13" ht="22.8" customHeight="1">
      <c r="C81" s="61" t="s">
        <v>1209</v>
      </c>
      <c r="D81" s="56" t="s">
        <v>1210</v>
      </c>
      <c r="E81" s="57"/>
      <c r="F81" s="57"/>
      <c r="G81" s="57"/>
      <c r="H81" s="57"/>
      <c r="M81" s="475"/>
    </row>
    <row r="82" spans="3:13" ht="22.8" customHeight="1">
      <c r="C82" s="588">
        <v>1</v>
      </c>
      <c r="D82" s="56" t="s">
        <v>715</v>
      </c>
      <c r="E82" s="61" t="s">
        <v>135</v>
      </c>
      <c r="F82" s="62">
        <f>F65</f>
        <v>1.1499999999999999</v>
      </c>
      <c r="G82" s="63">
        <f>VLOOKUP(D82,upahbahan,3,FALSE)</f>
        <v>0</v>
      </c>
      <c r="H82" s="63">
        <f t="shared" ref="H82" si="7">F82*G82</f>
        <v>0</v>
      </c>
      <c r="M82" s="475"/>
    </row>
    <row r="83" spans="3:13" ht="22.8" customHeight="1">
      <c r="C83" s="450" t="s">
        <v>1214</v>
      </c>
      <c r="D83" s="67"/>
      <c r="E83" s="67"/>
      <c r="F83" s="67"/>
      <c r="G83" s="69"/>
      <c r="H83" s="63">
        <f>SUM(H82:H82)</f>
        <v>0</v>
      </c>
      <c r="M83" s="475"/>
    </row>
    <row r="84" spans="3:13" ht="22.8" customHeight="1">
      <c r="C84" s="61" t="s">
        <v>1215</v>
      </c>
      <c r="D84" s="56" t="s">
        <v>1216</v>
      </c>
      <c r="E84" s="57"/>
      <c r="F84" s="57"/>
      <c r="G84" s="57"/>
      <c r="H84" s="57"/>
      <c r="M84" s="475"/>
    </row>
    <row r="85" spans="3:13" ht="22.8" customHeight="1">
      <c r="C85" s="450" t="s">
        <v>1217</v>
      </c>
      <c r="D85" s="67"/>
      <c r="E85" s="67"/>
      <c r="F85" s="67"/>
      <c r="G85" s="69"/>
      <c r="H85" s="589">
        <v>0</v>
      </c>
      <c r="M85" s="475"/>
    </row>
    <row r="86" spans="3:13" ht="22.8" customHeight="1">
      <c r="C86" s="288" t="s">
        <v>1218</v>
      </c>
      <c r="D86" s="76" t="s">
        <v>1219</v>
      </c>
      <c r="E86" s="77"/>
      <c r="F86" s="77"/>
      <c r="G86" s="78"/>
      <c r="H86" s="585">
        <f>H85+H83+H80</f>
        <v>231585</v>
      </c>
      <c r="I86" s="369"/>
      <c r="M86" s="475"/>
    </row>
    <row r="87" spans="3:13" ht="22.8" customHeight="1">
      <c r="C87" s="288" t="s">
        <v>1220</v>
      </c>
      <c r="D87" s="76" t="s">
        <v>1402</v>
      </c>
      <c r="E87" s="77"/>
      <c r="F87" s="78"/>
      <c r="G87" s="481" t="s">
        <v>1403</v>
      </c>
      <c r="H87" s="585">
        <f>H86*10%</f>
        <v>23158.5</v>
      </c>
      <c r="I87" s="369"/>
      <c r="M87" s="475"/>
    </row>
    <row r="88" spans="3:13" ht="22.8" customHeight="1">
      <c r="C88" s="288" t="s">
        <v>1221</v>
      </c>
      <c r="D88" s="76" t="s">
        <v>1222</v>
      </c>
      <c r="E88" s="77"/>
      <c r="F88" s="77"/>
      <c r="G88" s="78"/>
      <c r="H88" s="799">
        <f>SUM(H86:H87)</f>
        <v>254743.5</v>
      </c>
      <c r="I88" s="369"/>
      <c r="M88" s="475"/>
    </row>
    <row r="89" spans="3:13" ht="22.8" customHeight="1">
      <c r="C89" s="54"/>
      <c r="D89" s="86"/>
      <c r="E89" s="86"/>
      <c r="F89" s="86"/>
      <c r="G89" s="86"/>
      <c r="H89" s="87"/>
      <c r="M89" s="475"/>
    </row>
    <row r="90" spans="3:13" ht="22.8" customHeight="1">
      <c r="C90" s="44" t="s">
        <v>3747</v>
      </c>
      <c r="D90" s="794" t="s">
        <v>1580</v>
      </c>
      <c r="E90" s="797"/>
      <c r="F90" s="797"/>
      <c r="G90" s="797"/>
      <c r="H90" s="797"/>
      <c r="I90" s="50">
        <f>ROUNDDOWN(H105,-2)</f>
        <v>304200</v>
      </c>
      <c r="J90" s="50"/>
      <c r="K90" s="50"/>
      <c r="M90" s="475"/>
    </row>
    <row r="91" spans="3:13" ht="22.8" customHeight="1">
      <c r="C91" s="591" t="s">
        <v>1195</v>
      </c>
      <c r="D91" s="591" t="s">
        <v>1196</v>
      </c>
      <c r="E91" s="591" t="s">
        <v>1197</v>
      </c>
      <c r="F91" s="591" t="s">
        <v>1198</v>
      </c>
      <c r="G91" s="591" t="s">
        <v>1199</v>
      </c>
      <c r="H91" s="591" t="s">
        <v>1200</v>
      </c>
      <c r="M91" s="475"/>
    </row>
    <row r="92" spans="3:13" ht="22.8" customHeight="1">
      <c r="C92" s="577" t="s">
        <v>1201</v>
      </c>
      <c r="D92" s="56" t="s">
        <v>1202</v>
      </c>
      <c r="E92" s="93"/>
      <c r="F92" s="57"/>
      <c r="G92" s="57"/>
      <c r="H92" s="57"/>
      <c r="M92" s="475"/>
    </row>
    <row r="93" spans="3:13" ht="22.8" customHeight="1">
      <c r="C93" s="798">
        <v>1</v>
      </c>
      <c r="D93" s="56" t="s">
        <v>5</v>
      </c>
      <c r="E93" s="61" t="s">
        <v>6</v>
      </c>
      <c r="F93" s="98">
        <v>0.77100000000000002</v>
      </c>
      <c r="G93" s="63">
        <f>VLOOKUP(D93,upahbahan,3,FALSE)</f>
        <v>100000</v>
      </c>
      <c r="H93" s="63">
        <f t="shared" ref="H93:H96" si="8">F93*G93</f>
        <v>77100</v>
      </c>
      <c r="M93" s="475"/>
    </row>
    <row r="94" spans="3:13" ht="22.8" customHeight="1">
      <c r="C94" s="798">
        <v>2</v>
      </c>
      <c r="D94" s="56" t="str">
        <f>D77</f>
        <v>Tukang batu</v>
      </c>
      <c r="E94" s="61" t="s">
        <v>6</v>
      </c>
      <c r="F94" s="98">
        <v>1.288</v>
      </c>
      <c r="G94" s="63">
        <f>VLOOKUP(D94,upahbahan,3,FALSE)</f>
        <v>135000</v>
      </c>
      <c r="H94" s="63">
        <f t="shared" si="8"/>
        <v>173880</v>
      </c>
      <c r="M94" s="475"/>
    </row>
    <row r="95" spans="3:13" ht="22.8" customHeight="1">
      <c r="C95" s="798">
        <v>3</v>
      </c>
      <c r="D95" s="56" t="s">
        <v>18</v>
      </c>
      <c r="E95" s="61" t="s">
        <v>6</v>
      </c>
      <c r="F95" s="98">
        <v>0.129</v>
      </c>
      <c r="G95" s="63">
        <f>VLOOKUP(D95,upahbahan,3,FALSE)</f>
        <v>150000</v>
      </c>
      <c r="H95" s="63">
        <f t="shared" si="8"/>
        <v>19350</v>
      </c>
      <c r="M95" s="475"/>
    </row>
    <row r="96" spans="3:13" ht="22.8" customHeight="1">
      <c r="C96" s="798">
        <v>4</v>
      </c>
      <c r="D96" s="56" t="s">
        <v>19</v>
      </c>
      <c r="E96" s="61" t="s">
        <v>6</v>
      </c>
      <c r="F96" s="98">
        <v>3.9E-2</v>
      </c>
      <c r="G96" s="63">
        <f>VLOOKUP(D96,upahbahan,3,FALSE)</f>
        <v>160000</v>
      </c>
      <c r="H96" s="63">
        <f t="shared" si="8"/>
        <v>6240</v>
      </c>
      <c r="M96" s="475"/>
    </row>
    <row r="97" spans="3:13" ht="22.8" customHeight="1">
      <c r="C97" s="450" t="s">
        <v>1208</v>
      </c>
      <c r="D97" s="67"/>
      <c r="E97" s="67"/>
      <c r="F97" s="142"/>
      <c r="G97" s="153"/>
      <c r="H97" s="63">
        <f>SUM(H93:H96)</f>
        <v>276570</v>
      </c>
      <c r="I97" s="154"/>
      <c r="J97" s="154"/>
      <c r="K97" s="154"/>
      <c r="M97" s="475"/>
    </row>
    <row r="98" spans="3:13" ht="22.8" customHeight="1">
      <c r="C98" s="61" t="s">
        <v>1209</v>
      </c>
      <c r="D98" s="56" t="s">
        <v>1210</v>
      </c>
      <c r="E98" s="57"/>
      <c r="F98" s="57"/>
      <c r="G98" s="57"/>
      <c r="H98" s="57"/>
      <c r="M98" s="475"/>
    </row>
    <row r="99" spans="3:13" ht="22.8" customHeight="1">
      <c r="C99" s="588">
        <v>1</v>
      </c>
      <c r="D99" s="56" t="s">
        <v>713</v>
      </c>
      <c r="E99" s="61" t="s">
        <v>135</v>
      </c>
      <c r="F99" s="62">
        <f>F82</f>
        <v>1.1499999999999999</v>
      </c>
      <c r="G99" s="63">
        <f>VLOOKUP(D99,upahbahan,3,FALSE)</f>
        <v>0</v>
      </c>
      <c r="H99" s="63">
        <f t="shared" ref="H99" si="9">F99*G99</f>
        <v>0</v>
      </c>
      <c r="M99" s="475"/>
    </row>
    <row r="100" spans="3:13" ht="22.8" customHeight="1">
      <c r="C100" s="450" t="s">
        <v>1214</v>
      </c>
      <c r="D100" s="67"/>
      <c r="E100" s="67"/>
      <c r="F100" s="67"/>
      <c r="G100" s="69"/>
      <c r="H100" s="63">
        <f>SUM(H99:H99)</f>
        <v>0</v>
      </c>
      <c r="M100" s="475"/>
    </row>
    <row r="101" spans="3:13" ht="22.8" customHeight="1">
      <c r="C101" s="61" t="s">
        <v>1215</v>
      </c>
      <c r="D101" s="56" t="s">
        <v>1216</v>
      </c>
      <c r="E101" s="57"/>
      <c r="F101" s="57"/>
      <c r="G101" s="57"/>
      <c r="H101" s="57"/>
      <c r="M101" s="475"/>
    </row>
    <row r="102" spans="3:13" ht="22.8" customHeight="1">
      <c r="C102" s="450" t="s">
        <v>1217</v>
      </c>
      <c r="D102" s="67"/>
      <c r="E102" s="67"/>
      <c r="F102" s="67"/>
      <c r="G102" s="69"/>
      <c r="H102" s="589">
        <v>0</v>
      </c>
      <c r="M102" s="475"/>
    </row>
    <row r="103" spans="3:13" ht="22.8" customHeight="1">
      <c r="C103" s="288" t="s">
        <v>1218</v>
      </c>
      <c r="D103" s="76" t="s">
        <v>1219</v>
      </c>
      <c r="E103" s="77"/>
      <c r="F103" s="77"/>
      <c r="G103" s="78"/>
      <c r="H103" s="585">
        <f>H102+H100+H97</f>
        <v>276570</v>
      </c>
      <c r="I103" s="369"/>
      <c r="M103" s="475"/>
    </row>
    <row r="104" spans="3:13" ht="22.8" customHeight="1">
      <c r="C104" s="288" t="s">
        <v>1220</v>
      </c>
      <c r="D104" s="76" t="s">
        <v>1402</v>
      </c>
      <c r="E104" s="77"/>
      <c r="F104" s="78"/>
      <c r="G104" s="481" t="s">
        <v>1403</v>
      </c>
      <c r="H104" s="585">
        <f>H103*10%</f>
        <v>27657</v>
      </c>
      <c r="I104" s="369"/>
      <c r="M104" s="475"/>
    </row>
    <row r="105" spans="3:13" ht="22.8" customHeight="1">
      <c r="C105" s="288" t="s">
        <v>1221</v>
      </c>
      <c r="D105" s="76" t="s">
        <v>1222</v>
      </c>
      <c r="E105" s="77"/>
      <c r="F105" s="77"/>
      <c r="G105" s="78"/>
      <c r="H105" s="799">
        <f>SUM(H103:H104)</f>
        <v>304227</v>
      </c>
      <c r="I105" s="369"/>
      <c r="M105" s="475"/>
    </row>
    <row r="106" spans="3:13" ht="22.8" customHeight="1">
      <c r="C106" s="54"/>
      <c r="D106" s="86"/>
      <c r="E106" s="86"/>
      <c r="F106" s="86"/>
      <c r="G106" s="86"/>
      <c r="H106" s="87"/>
      <c r="M106" s="475"/>
    </row>
    <row r="107" spans="3:13" ht="22.8" customHeight="1">
      <c r="C107" s="45" t="s">
        <v>3748</v>
      </c>
      <c r="D107" s="794" t="s">
        <v>1581</v>
      </c>
      <c r="E107" s="797"/>
      <c r="F107" s="797"/>
      <c r="G107" s="797"/>
      <c r="H107" s="797"/>
      <c r="I107" s="50">
        <f>ROUNDDOWN(H122,-2)</f>
        <v>1815600</v>
      </c>
      <c r="J107" s="50"/>
      <c r="K107" s="50"/>
      <c r="M107" s="475"/>
    </row>
    <row r="108" spans="3:13" ht="22.8" customHeight="1">
      <c r="C108" s="591" t="s">
        <v>1195</v>
      </c>
      <c r="D108" s="591" t="s">
        <v>1196</v>
      </c>
      <c r="E108" s="591" t="s">
        <v>1197</v>
      </c>
      <c r="F108" s="591" t="s">
        <v>1198</v>
      </c>
      <c r="G108" s="591" t="s">
        <v>1199</v>
      </c>
      <c r="H108" s="591" t="s">
        <v>1200</v>
      </c>
      <c r="M108" s="475"/>
    </row>
    <row r="109" spans="3:13" ht="22.8" customHeight="1">
      <c r="C109" s="577" t="s">
        <v>1201</v>
      </c>
      <c r="D109" s="56" t="s">
        <v>1202</v>
      </c>
      <c r="E109" s="93"/>
      <c r="F109" s="57"/>
      <c r="G109" s="57"/>
      <c r="H109" s="57"/>
      <c r="M109" s="475"/>
    </row>
    <row r="110" spans="3:13" ht="22.8" customHeight="1">
      <c r="C110" s="798">
        <v>1</v>
      </c>
      <c r="D110" s="56" t="s">
        <v>5</v>
      </c>
      <c r="E110" s="61" t="s">
        <v>6</v>
      </c>
      <c r="F110" s="98">
        <v>0.129</v>
      </c>
      <c r="G110" s="63">
        <f>VLOOKUP(D110,upahbahan,3,FALSE)</f>
        <v>100000</v>
      </c>
      <c r="H110" s="63">
        <f t="shared" ref="H110:H113" si="10">F110*G110</f>
        <v>12900</v>
      </c>
      <c r="M110" s="475"/>
    </row>
    <row r="111" spans="3:13" ht="22.8" customHeight="1">
      <c r="C111" s="798">
        <v>2</v>
      </c>
      <c r="D111" s="56" t="str">
        <f>D94</f>
        <v>Tukang batu</v>
      </c>
      <c r="E111" s="61" t="s">
        <v>6</v>
      </c>
      <c r="F111" s="98">
        <v>0.215</v>
      </c>
      <c r="G111" s="63">
        <f>VLOOKUP(D111,upahbahan,3,FALSE)</f>
        <v>135000</v>
      </c>
      <c r="H111" s="63">
        <f t="shared" si="10"/>
        <v>29025</v>
      </c>
      <c r="M111" s="475"/>
    </row>
    <row r="112" spans="3:13" ht="22.8" customHeight="1">
      <c r="C112" s="798">
        <v>3</v>
      </c>
      <c r="D112" s="56" t="s">
        <v>18</v>
      </c>
      <c r="E112" s="61" t="s">
        <v>6</v>
      </c>
      <c r="F112" s="98">
        <v>2.1000000000000001E-2</v>
      </c>
      <c r="G112" s="63">
        <f>VLOOKUP(D112,upahbahan,3,FALSE)</f>
        <v>150000</v>
      </c>
      <c r="H112" s="63">
        <f t="shared" si="10"/>
        <v>3150</v>
      </c>
      <c r="M112" s="475"/>
    </row>
    <row r="113" spans="3:13" ht="22.8" customHeight="1">
      <c r="C113" s="798">
        <v>4</v>
      </c>
      <c r="D113" s="56" t="s">
        <v>19</v>
      </c>
      <c r="E113" s="61" t="s">
        <v>6</v>
      </c>
      <c r="F113" s="98">
        <v>6.0000000000000001E-3</v>
      </c>
      <c r="G113" s="63">
        <f>VLOOKUP(D113,upahbahan,3,FALSE)</f>
        <v>160000</v>
      </c>
      <c r="H113" s="63">
        <f t="shared" si="10"/>
        <v>960</v>
      </c>
      <c r="M113" s="475"/>
    </row>
    <row r="114" spans="3:13" ht="22.8" customHeight="1">
      <c r="C114" s="450" t="s">
        <v>1208</v>
      </c>
      <c r="D114" s="67"/>
      <c r="E114" s="67"/>
      <c r="F114" s="142"/>
      <c r="G114" s="153"/>
      <c r="H114" s="63">
        <f>SUM(H110:H113)</f>
        <v>46035</v>
      </c>
      <c r="I114" s="154"/>
      <c r="J114" s="154"/>
      <c r="K114" s="154"/>
      <c r="M114" s="475"/>
    </row>
    <row r="115" spans="3:13" ht="22.8" customHeight="1">
      <c r="C115" s="61" t="s">
        <v>1209</v>
      </c>
      <c r="D115" s="56" t="s">
        <v>1210</v>
      </c>
      <c r="E115" s="57"/>
      <c r="F115" s="57"/>
      <c r="G115" s="57"/>
      <c r="H115" s="57"/>
      <c r="M115" s="475"/>
    </row>
    <row r="116" spans="3:13" ht="22.8" customHeight="1">
      <c r="C116" s="588">
        <v>1</v>
      </c>
      <c r="D116" s="56" t="s">
        <v>734</v>
      </c>
      <c r="E116" s="61" t="s">
        <v>135</v>
      </c>
      <c r="F116" s="62">
        <v>1.02</v>
      </c>
      <c r="G116" s="63">
        <f>VLOOKUP(D116,upahbahan,3,FALSE)</f>
        <v>1573110</v>
      </c>
      <c r="H116" s="63">
        <f t="shared" ref="H116" si="11">F116*G116</f>
        <v>1604572.2</v>
      </c>
      <c r="M116" s="475"/>
    </row>
    <row r="117" spans="3:13" ht="22.8" customHeight="1">
      <c r="C117" s="450" t="s">
        <v>1214</v>
      </c>
      <c r="D117" s="67"/>
      <c r="E117" s="67"/>
      <c r="F117" s="67"/>
      <c r="G117" s="69"/>
      <c r="H117" s="63">
        <f>SUM(H116:H116)</f>
        <v>1604572.2</v>
      </c>
      <c r="M117" s="475"/>
    </row>
    <row r="118" spans="3:13" ht="22.8" customHeight="1">
      <c r="C118" s="61" t="s">
        <v>1215</v>
      </c>
      <c r="D118" s="56" t="s">
        <v>1216</v>
      </c>
      <c r="E118" s="57"/>
      <c r="F118" s="57"/>
      <c r="G118" s="57"/>
      <c r="H118" s="57"/>
      <c r="M118" s="475"/>
    </row>
    <row r="119" spans="3:13" ht="22.8" customHeight="1">
      <c r="C119" s="450" t="s">
        <v>1217</v>
      </c>
      <c r="D119" s="67"/>
      <c r="E119" s="67"/>
      <c r="F119" s="67"/>
      <c r="G119" s="69"/>
      <c r="H119" s="589">
        <v>0</v>
      </c>
      <c r="M119" s="475"/>
    </row>
    <row r="120" spans="3:13" ht="22.8" customHeight="1">
      <c r="C120" s="288" t="s">
        <v>1218</v>
      </c>
      <c r="D120" s="76" t="s">
        <v>1219</v>
      </c>
      <c r="E120" s="77"/>
      <c r="F120" s="77"/>
      <c r="G120" s="78"/>
      <c r="H120" s="585">
        <f>H119+H117+H114</f>
        <v>1650607.2</v>
      </c>
      <c r="I120" s="369"/>
      <c r="M120" s="475"/>
    </row>
    <row r="121" spans="3:13" ht="22.8" customHeight="1">
      <c r="C121" s="288" t="s">
        <v>1220</v>
      </c>
      <c r="D121" s="76" t="s">
        <v>1402</v>
      </c>
      <c r="E121" s="77"/>
      <c r="F121" s="78"/>
      <c r="G121" s="481" t="s">
        <v>1403</v>
      </c>
      <c r="H121" s="585">
        <f>H120*10%</f>
        <v>165060.72</v>
      </c>
      <c r="I121" s="369"/>
      <c r="M121" s="475"/>
    </row>
    <row r="122" spans="3:13" ht="22.8" customHeight="1">
      <c r="C122" s="288" t="s">
        <v>1221</v>
      </c>
      <c r="D122" s="76" t="s">
        <v>1222</v>
      </c>
      <c r="E122" s="77"/>
      <c r="F122" s="77"/>
      <c r="G122" s="78"/>
      <c r="H122" s="799">
        <f>SUM(H120:H121)</f>
        <v>1815667.92</v>
      </c>
      <c r="I122" s="369"/>
      <c r="M122" s="475"/>
    </row>
    <row r="123" spans="3:13" ht="22.8" customHeight="1">
      <c r="C123" s="54"/>
      <c r="D123" s="86"/>
      <c r="E123" s="86"/>
      <c r="F123" s="86"/>
      <c r="G123" s="86"/>
      <c r="H123" s="87"/>
      <c r="M123" s="475"/>
    </row>
    <row r="124" spans="3:13" ht="22.8" customHeight="1">
      <c r="C124" s="45" t="s">
        <v>3749</v>
      </c>
      <c r="D124" s="794" t="s">
        <v>1582</v>
      </c>
      <c r="E124" s="797"/>
      <c r="F124" s="797"/>
      <c r="G124" s="797"/>
      <c r="H124" s="797"/>
      <c r="I124" s="50">
        <f>ROUNDDOWN(H139,-2)</f>
        <v>3971000</v>
      </c>
      <c r="J124" s="50"/>
      <c r="K124" s="50"/>
      <c r="M124" s="475"/>
    </row>
    <row r="125" spans="3:13" ht="22.8" customHeight="1">
      <c r="C125" s="591" t="s">
        <v>1195</v>
      </c>
      <c r="D125" s="591" t="s">
        <v>1196</v>
      </c>
      <c r="E125" s="591" t="s">
        <v>1197</v>
      </c>
      <c r="F125" s="591" t="s">
        <v>1198</v>
      </c>
      <c r="G125" s="591" t="s">
        <v>1199</v>
      </c>
      <c r="H125" s="591" t="s">
        <v>1200</v>
      </c>
      <c r="M125" s="475"/>
    </row>
    <row r="126" spans="3:13" ht="22.8" customHeight="1">
      <c r="C126" s="577" t="s">
        <v>1201</v>
      </c>
      <c r="D126" s="56" t="s">
        <v>1202</v>
      </c>
      <c r="E126" s="93"/>
      <c r="F126" s="57"/>
      <c r="G126" s="57"/>
      <c r="H126" s="57"/>
      <c r="M126" s="475"/>
    </row>
    <row r="127" spans="3:13" ht="22.8" customHeight="1">
      <c r="C127" s="798">
        <v>1</v>
      </c>
      <c r="D127" s="56" t="s">
        <v>5</v>
      </c>
      <c r="E127" s="61" t="s">
        <v>6</v>
      </c>
      <c r="F127" s="62">
        <v>0.41699999999999998</v>
      </c>
      <c r="G127" s="63">
        <f>VLOOKUP(D127,upahbahan,3,FALSE)</f>
        <v>100000</v>
      </c>
      <c r="H127" s="63">
        <f t="shared" ref="H127:H130" si="12">F127*G127</f>
        <v>41700</v>
      </c>
      <c r="M127" s="475"/>
    </row>
    <row r="128" spans="3:13" ht="22.8" customHeight="1">
      <c r="C128" s="798">
        <v>2</v>
      </c>
      <c r="D128" s="56" t="str">
        <f>D111</f>
        <v>Tukang batu</v>
      </c>
      <c r="E128" s="61" t="s">
        <v>6</v>
      </c>
      <c r="F128" s="62">
        <v>0.69599999999999995</v>
      </c>
      <c r="G128" s="63">
        <f>VLOOKUP(D128,upahbahan,3,FALSE)</f>
        <v>135000</v>
      </c>
      <c r="H128" s="63">
        <f t="shared" si="12"/>
        <v>93960</v>
      </c>
      <c r="M128" s="475"/>
    </row>
    <row r="129" spans="3:13" ht="22.8" customHeight="1">
      <c r="C129" s="798">
        <v>3</v>
      </c>
      <c r="D129" s="56" t="s">
        <v>18</v>
      </c>
      <c r="E129" s="61" t="s">
        <v>6</v>
      </c>
      <c r="F129" s="62">
        <v>7.0000000000000007E-2</v>
      </c>
      <c r="G129" s="63">
        <f>VLOOKUP(D129,upahbahan,3,FALSE)</f>
        <v>150000</v>
      </c>
      <c r="H129" s="63">
        <f t="shared" si="12"/>
        <v>10500.000000000002</v>
      </c>
      <c r="M129" s="475"/>
    </row>
    <row r="130" spans="3:13" ht="22.8" customHeight="1">
      <c r="C130" s="798">
        <v>4</v>
      </c>
      <c r="D130" s="56" t="s">
        <v>19</v>
      </c>
      <c r="E130" s="61" t="s">
        <v>6</v>
      </c>
      <c r="F130" s="62">
        <v>2.1000000000000001E-2</v>
      </c>
      <c r="G130" s="63">
        <f>VLOOKUP(D130,upahbahan,3,FALSE)</f>
        <v>160000</v>
      </c>
      <c r="H130" s="63">
        <f t="shared" si="12"/>
        <v>3360</v>
      </c>
      <c r="M130" s="475"/>
    </row>
    <row r="131" spans="3:13" ht="22.8" customHeight="1">
      <c r="C131" s="450" t="s">
        <v>1208</v>
      </c>
      <c r="D131" s="67"/>
      <c r="E131" s="67"/>
      <c r="F131" s="142"/>
      <c r="G131" s="153"/>
      <c r="H131" s="63">
        <f>SUM(H127:H130)</f>
        <v>149520</v>
      </c>
      <c r="I131" s="154"/>
      <c r="J131" s="154"/>
      <c r="K131" s="154"/>
      <c r="M131" s="475"/>
    </row>
    <row r="132" spans="3:13" ht="22.8" customHeight="1">
      <c r="C132" s="61" t="s">
        <v>1209</v>
      </c>
      <c r="D132" s="56" t="s">
        <v>1210</v>
      </c>
      <c r="E132" s="57"/>
      <c r="F132" s="57"/>
      <c r="G132" s="57"/>
      <c r="H132" s="57"/>
      <c r="M132" s="475"/>
    </row>
    <row r="133" spans="3:13" ht="22.8" customHeight="1">
      <c r="C133" s="588">
        <v>1</v>
      </c>
      <c r="D133" s="56" t="s">
        <v>735</v>
      </c>
      <c r="E133" s="61" t="s">
        <v>135</v>
      </c>
      <c r="F133" s="62">
        <v>1.05</v>
      </c>
      <c r="G133" s="63">
        <f>VLOOKUP(D133,upahbahan,3,FALSE)</f>
        <v>3295701</v>
      </c>
      <c r="H133" s="63">
        <f t="shared" ref="H133" si="13">F133*G133</f>
        <v>3460486.0500000003</v>
      </c>
      <c r="M133" s="475"/>
    </row>
    <row r="134" spans="3:13" ht="22.8" customHeight="1">
      <c r="C134" s="450" t="s">
        <v>1214</v>
      </c>
      <c r="D134" s="67"/>
      <c r="E134" s="67"/>
      <c r="F134" s="67"/>
      <c r="G134" s="69"/>
      <c r="H134" s="63">
        <f>SUM(H133:H133)</f>
        <v>3460486.0500000003</v>
      </c>
      <c r="M134" s="475"/>
    </row>
    <row r="135" spans="3:13" ht="22.8" customHeight="1">
      <c r="C135" s="61" t="s">
        <v>1215</v>
      </c>
      <c r="D135" s="56" t="s">
        <v>1216</v>
      </c>
      <c r="E135" s="57"/>
      <c r="F135" s="57"/>
      <c r="G135" s="57"/>
      <c r="H135" s="57"/>
      <c r="M135" s="475"/>
    </row>
    <row r="136" spans="3:13" ht="22.8" customHeight="1">
      <c r="C136" s="450" t="s">
        <v>1217</v>
      </c>
      <c r="D136" s="67"/>
      <c r="E136" s="67"/>
      <c r="F136" s="67"/>
      <c r="G136" s="69"/>
      <c r="H136" s="589">
        <v>0</v>
      </c>
      <c r="M136" s="475"/>
    </row>
    <row r="137" spans="3:13" ht="22.8" customHeight="1">
      <c r="C137" s="288" t="s">
        <v>1218</v>
      </c>
      <c r="D137" s="76" t="s">
        <v>1219</v>
      </c>
      <c r="E137" s="77"/>
      <c r="F137" s="77"/>
      <c r="G137" s="78"/>
      <c r="H137" s="585">
        <f>H136+H134+H131</f>
        <v>3610006.0500000003</v>
      </c>
      <c r="I137" s="369"/>
      <c r="M137" s="475"/>
    </row>
    <row r="138" spans="3:13" ht="22.8" customHeight="1">
      <c r="C138" s="288" t="s">
        <v>1220</v>
      </c>
      <c r="D138" s="76" t="s">
        <v>1402</v>
      </c>
      <c r="E138" s="77"/>
      <c r="F138" s="78"/>
      <c r="G138" s="481" t="s">
        <v>1403</v>
      </c>
      <c r="H138" s="585">
        <f>H137*10%</f>
        <v>361000.60500000004</v>
      </c>
      <c r="I138" s="369"/>
      <c r="M138" s="475"/>
    </row>
    <row r="139" spans="3:13" ht="22.8" customHeight="1">
      <c r="C139" s="288" t="s">
        <v>1221</v>
      </c>
      <c r="D139" s="76" t="s">
        <v>1222</v>
      </c>
      <c r="E139" s="77"/>
      <c r="F139" s="77"/>
      <c r="G139" s="78"/>
      <c r="H139" s="799">
        <f>SUM(H137:H138)</f>
        <v>3971006.6550000003</v>
      </c>
      <c r="I139" s="369"/>
      <c r="M139" s="475"/>
    </row>
    <row r="140" spans="3:13" ht="22.8" customHeight="1">
      <c r="C140" s="54"/>
      <c r="D140" s="86"/>
      <c r="E140" s="86"/>
      <c r="F140" s="86"/>
      <c r="G140" s="86"/>
      <c r="H140" s="87"/>
      <c r="M140" s="475"/>
    </row>
    <row r="141" spans="3:13" ht="22.8" customHeight="1">
      <c r="C141" s="45" t="s">
        <v>3750</v>
      </c>
      <c r="D141" s="794" t="s">
        <v>1583</v>
      </c>
      <c r="E141" s="797"/>
      <c r="F141" s="797"/>
      <c r="G141" s="797"/>
      <c r="H141" s="797"/>
      <c r="I141" s="50">
        <f>ROUNDDOWN(H156,-2)</f>
        <v>4091400</v>
      </c>
      <c r="J141" s="50"/>
      <c r="K141" s="50"/>
      <c r="M141" s="475"/>
    </row>
    <row r="142" spans="3:13" ht="22.8" customHeight="1">
      <c r="C142" s="591" t="s">
        <v>1195</v>
      </c>
      <c r="D142" s="591" t="s">
        <v>1196</v>
      </c>
      <c r="E142" s="591" t="s">
        <v>1197</v>
      </c>
      <c r="F142" s="591" t="s">
        <v>1198</v>
      </c>
      <c r="G142" s="591" t="s">
        <v>1199</v>
      </c>
      <c r="H142" s="591" t="s">
        <v>1200</v>
      </c>
      <c r="M142" s="475"/>
    </row>
    <row r="143" spans="3:13" ht="22.8" customHeight="1">
      <c r="C143" s="577" t="s">
        <v>1201</v>
      </c>
      <c r="D143" s="56" t="s">
        <v>1202</v>
      </c>
      <c r="E143" s="93"/>
      <c r="F143" s="57"/>
      <c r="G143" s="57"/>
      <c r="H143" s="57"/>
      <c r="M143" s="475"/>
    </row>
    <row r="144" spans="3:13" ht="22.8" customHeight="1">
      <c r="C144" s="798">
        <v>1</v>
      </c>
      <c r="D144" s="56" t="s">
        <v>5</v>
      </c>
      <c r="E144" s="61" t="s">
        <v>6</v>
      </c>
      <c r="F144" s="62">
        <v>0.41699999999999998</v>
      </c>
      <c r="G144" s="63">
        <f>VLOOKUP(D144,upahbahan,3,FALSE)</f>
        <v>100000</v>
      </c>
      <c r="H144" s="63">
        <f t="shared" ref="H144:H147" si="14">F144*G144</f>
        <v>41700</v>
      </c>
      <c r="M144" s="475"/>
    </row>
    <row r="145" spans="3:13" ht="22.8" customHeight="1">
      <c r="C145" s="798">
        <v>2</v>
      </c>
      <c r="D145" s="56" t="str">
        <f>D128</f>
        <v>Tukang batu</v>
      </c>
      <c r="E145" s="61" t="s">
        <v>6</v>
      </c>
      <c r="F145" s="62">
        <v>0.69599999999999995</v>
      </c>
      <c r="G145" s="63">
        <f>VLOOKUP(D145,upahbahan,3,FALSE)</f>
        <v>135000</v>
      </c>
      <c r="H145" s="63">
        <f t="shared" si="14"/>
        <v>93960</v>
      </c>
      <c r="M145" s="475"/>
    </row>
    <row r="146" spans="3:13" ht="22.8" customHeight="1">
      <c r="C146" s="798">
        <v>3</v>
      </c>
      <c r="D146" s="56" t="s">
        <v>18</v>
      </c>
      <c r="E146" s="61" t="s">
        <v>6</v>
      </c>
      <c r="F146" s="62">
        <v>7.0000000000000007E-2</v>
      </c>
      <c r="G146" s="63">
        <f>VLOOKUP(D146,upahbahan,3,FALSE)</f>
        <v>150000</v>
      </c>
      <c r="H146" s="63">
        <f t="shared" si="14"/>
        <v>10500.000000000002</v>
      </c>
      <c r="M146" s="475"/>
    </row>
    <row r="147" spans="3:13" ht="22.8" customHeight="1">
      <c r="C147" s="798">
        <v>4</v>
      </c>
      <c r="D147" s="56" t="s">
        <v>19</v>
      </c>
      <c r="E147" s="61" t="s">
        <v>6</v>
      </c>
      <c r="F147" s="62">
        <v>2.1000000000000001E-2</v>
      </c>
      <c r="G147" s="63">
        <f>VLOOKUP(D147,upahbahan,3,FALSE)</f>
        <v>160000</v>
      </c>
      <c r="H147" s="63">
        <f t="shared" si="14"/>
        <v>3360</v>
      </c>
      <c r="M147" s="475"/>
    </row>
    <row r="148" spans="3:13" ht="22.8" customHeight="1">
      <c r="C148" s="450" t="s">
        <v>1208</v>
      </c>
      <c r="D148" s="67"/>
      <c r="E148" s="67"/>
      <c r="F148" s="142"/>
      <c r="G148" s="153"/>
      <c r="H148" s="63">
        <f>SUM(H144:H147)</f>
        <v>149520</v>
      </c>
      <c r="I148" s="154"/>
      <c r="J148" s="154"/>
      <c r="K148" s="154"/>
      <c r="M148" s="475"/>
    </row>
    <row r="149" spans="3:13" ht="22.8" customHeight="1">
      <c r="C149" s="61" t="s">
        <v>1209</v>
      </c>
      <c r="D149" s="56" t="s">
        <v>1210</v>
      </c>
      <c r="E149" s="57"/>
      <c r="F149" s="57"/>
      <c r="G149" s="57"/>
      <c r="H149" s="57"/>
      <c r="M149" s="475"/>
    </row>
    <row r="150" spans="3:13" ht="22.8" customHeight="1">
      <c r="C150" s="588">
        <v>1</v>
      </c>
      <c r="D150" s="56" t="s">
        <v>736</v>
      </c>
      <c r="E150" s="61" t="s">
        <v>135</v>
      </c>
      <c r="F150" s="62">
        <f>F133</f>
        <v>1.05</v>
      </c>
      <c r="G150" s="63">
        <f>VLOOKUP(D150,upahbahan,3,FALSE)</f>
        <v>3400000</v>
      </c>
      <c r="H150" s="63">
        <f t="shared" ref="H150" si="15">F150*G150</f>
        <v>3570000</v>
      </c>
      <c r="M150" s="475"/>
    </row>
    <row r="151" spans="3:13" ht="22.8" customHeight="1">
      <c r="C151" s="450" t="s">
        <v>1214</v>
      </c>
      <c r="D151" s="67"/>
      <c r="E151" s="67"/>
      <c r="F151" s="67"/>
      <c r="G151" s="69"/>
      <c r="H151" s="63">
        <f>SUM(H150:H150)</f>
        <v>3570000</v>
      </c>
      <c r="M151" s="475"/>
    </row>
    <row r="152" spans="3:13" ht="22.8" customHeight="1">
      <c r="C152" s="61" t="s">
        <v>1215</v>
      </c>
      <c r="D152" s="56" t="s">
        <v>1216</v>
      </c>
      <c r="E152" s="57"/>
      <c r="F152" s="57"/>
      <c r="G152" s="57"/>
      <c r="H152" s="57"/>
      <c r="M152" s="475"/>
    </row>
    <row r="153" spans="3:13" ht="22.8" customHeight="1">
      <c r="C153" s="450" t="s">
        <v>1217</v>
      </c>
      <c r="D153" s="67"/>
      <c r="E153" s="67"/>
      <c r="F153" s="67"/>
      <c r="G153" s="69"/>
      <c r="H153" s="589">
        <v>0</v>
      </c>
      <c r="M153" s="475"/>
    </row>
    <row r="154" spans="3:13" ht="22.8" customHeight="1">
      <c r="C154" s="288" t="s">
        <v>1218</v>
      </c>
      <c r="D154" s="76" t="s">
        <v>1219</v>
      </c>
      <c r="E154" s="77"/>
      <c r="F154" s="77"/>
      <c r="G154" s="78"/>
      <c r="H154" s="585">
        <f>H153+H151+H148</f>
        <v>3719520</v>
      </c>
      <c r="I154" s="369"/>
      <c r="M154" s="475"/>
    </row>
    <row r="155" spans="3:13" ht="22.8" customHeight="1">
      <c r="C155" s="288" t="s">
        <v>1220</v>
      </c>
      <c r="D155" s="76" t="s">
        <v>1402</v>
      </c>
      <c r="E155" s="77"/>
      <c r="F155" s="78"/>
      <c r="G155" s="481" t="s">
        <v>1403</v>
      </c>
      <c r="H155" s="585">
        <f>H154*10%</f>
        <v>371952</v>
      </c>
      <c r="I155" s="369"/>
      <c r="M155" s="475"/>
    </row>
    <row r="156" spans="3:13" ht="22.8" customHeight="1">
      <c r="C156" s="288" t="s">
        <v>1221</v>
      </c>
      <c r="D156" s="76" t="s">
        <v>1222</v>
      </c>
      <c r="E156" s="77"/>
      <c r="F156" s="77"/>
      <c r="G156" s="78"/>
      <c r="H156" s="799">
        <f>SUM(H154:H155)</f>
        <v>4091472</v>
      </c>
      <c r="I156" s="369"/>
      <c r="M156" s="475"/>
    </row>
    <row r="157" spans="3:13" ht="22.8" customHeight="1">
      <c r="C157" s="54"/>
      <c r="D157" s="86"/>
      <c r="E157" s="86"/>
      <c r="F157" s="86"/>
      <c r="G157" s="86"/>
      <c r="H157" s="87"/>
      <c r="M157" s="475"/>
    </row>
    <row r="158" spans="3:13" ht="22.8" customHeight="1">
      <c r="C158" s="45" t="s">
        <v>3751</v>
      </c>
      <c r="D158" s="794" t="s">
        <v>1584</v>
      </c>
      <c r="E158" s="797"/>
      <c r="F158" s="797"/>
      <c r="G158" s="797"/>
      <c r="H158" s="797"/>
      <c r="I158" s="50">
        <f>ROUNDDOWN(H173,-2)</f>
        <v>5567700</v>
      </c>
      <c r="J158" s="50"/>
      <c r="K158" s="50"/>
      <c r="M158" s="475"/>
    </row>
    <row r="159" spans="3:13" ht="22.8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  <c r="M159" s="475"/>
    </row>
    <row r="160" spans="3:13" ht="22.8" customHeight="1">
      <c r="C160" s="577" t="s">
        <v>1201</v>
      </c>
      <c r="D160" s="56" t="s">
        <v>1202</v>
      </c>
      <c r="E160" s="93"/>
      <c r="F160" s="57"/>
      <c r="G160" s="57"/>
      <c r="H160" s="57"/>
      <c r="M160" s="475"/>
    </row>
    <row r="161" spans="3:13" ht="22.8" customHeight="1">
      <c r="C161" s="798">
        <v>1</v>
      </c>
      <c r="D161" s="56" t="s">
        <v>5</v>
      </c>
      <c r="E161" s="61" t="s">
        <v>6</v>
      </c>
      <c r="F161" s="98">
        <v>0.64600000000000002</v>
      </c>
      <c r="G161" s="63">
        <f>VLOOKUP(D161,upahbahan,3,FALSE)</f>
        <v>100000</v>
      </c>
      <c r="H161" s="63">
        <f>F161*G161</f>
        <v>64600</v>
      </c>
      <c r="M161" s="475"/>
    </row>
    <row r="162" spans="3:13" ht="22.8" customHeight="1">
      <c r="C162" s="798">
        <v>2</v>
      </c>
      <c r="D162" s="56" t="str">
        <f>D145</f>
        <v>Tukang batu</v>
      </c>
      <c r="E162" s="61" t="s">
        <v>6</v>
      </c>
      <c r="F162" s="98">
        <v>1.079</v>
      </c>
      <c r="G162" s="63">
        <f>VLOOKUP(D162,upahbahan,3,FALSE)</f>
        <v>135000</v>
      </c>
      <c r="H162" s="63">
        <f>F162*G162</f>
        <v>145665</v>
      </c>
      <c r="M162" s="475"/>
    </row>
    <row r="163" spans="3:13" ht="22.8" customHeight="1">
      <c r="C163" s="798">
        <v>3</v>
      </c>
      <c r="D163" s="56" t="s">
        <v>18</v>
      </c>
      <c r="E163" s="61" t="s">
        <v>6</v>
      </c>
      <c r="F163" s="98">
        <v>0.108</v>
      </c>
      <c r="G163" s="63">
        <f>VLOOKUP(D163,upahbahan,3,FALSE)</f>
        <v>150000</v>
      </c>
      <c r="H163" s="63">
        <f t="shared" ref="H163:H164" si="16">F163*G163</f>
        <v>16200</v>
      </c>
      <c r="M163" s="475"/>
    </row>
    <row r="164" spans="3:13" ht="22.8" customHeight="1">
      <c r="C164" s="798">
        <v>4</v>
      </c>
      <c r="D164" s="56" t="s">
        <v>19</v>
      </c>
      <c r="E164" s="61" t="s">
        <v>6</v>
      </c>
      <c r="F164" s="98">
        <v>3.2000000000000001E-2</v>
      </c>
      <c r="G164" s="63">
        <f>VLOOKUP(D164,upahbahan,3,FALSE)</f>
        <v>160000</v>
      </c>
      <c r="H164" s="63">
        <f t="shared" si="16"/>
        <v>5120</v>
      </c>
      <c r="M164" s="475"/>
    </row>
    <row r="165" spans="3:13" ht="22.8" customHeight="1">
      <c r="C165" s="450" t="s">
        <v>1208</v>
      </c>
      <c r="D165" s="67"/>
      <c r="E165" s="67"/>
      <c r="F165" s="142"/>
      <c r="G165" s="153"/>
      <c r="H165" s="63">
        <f>SUM(H161:H164)</f>
        <v>231585</v>
      </c>
      <c r="I165" s="154"/>
      <c r="J165" s="154"/>
      <c r="K165" s="154"/>
      <c r="M165" s="475"/>
    </row>
    <row r="166" spans="3:13" ht="22.8" customHeight="1">
      <c r="C166" s="61" t="s">
        <v>1209</v>
      </c>
      <c r="D166" s="56" t="s">
        <v>1210</v>
      </c>
      <c r="E166" s="57"/>
      <c r="F166" s="57"/>
      <c r="G166" s="57"/>
      <c r="H166" s="57"/>
      <c r="M166" s="475"/>
    </row>
    <row r="167" spans="3:13" ht="22.8" customHeight="1">
      <c r="C167" s="588">
        <v>1</v>
      </c>
      <c r="D167" s="56" t="s">
        <v>737</v>
      </c>
      <c r="E167" s="61" t="s">
        <v>135</v>
      </c>
      <c r="F167" s="62">
        <f>F150</f>
        <v>1.05</v>
      </c>
      <c r="G167" s="63">
        <f>VLOOKUP(D167,upahbahan,3,FALSE)</f>
        <v>4600000</v>
      </c>
      <c r="H167" s="63">
        <f>F167*G167</f>
        <v>4830000</v>
      </c>
      <c r="M167" s="475"/>
    </row>
    <row r="168" spans="3:13" ht="22.8" customHeight="1">
      <c r="C168" s="450" t="s">
        <v>1214</v>
      </c>
      <c r="D168" s="67"/>
      <c r="E168" s="67"/>
      <c r="F168" s="67"/>
      <c r="G168" s="69"/>
      <c r="H168" s="63">
        <f>SUM(H167:H167)</f>
        <v>4830000</v>
      </c>
      <c r="M168" s="475"/>
    </row>
    <row r="169" spans="3:13" ht="22.8" customHeight="1">
      <c r="C169" s="61" t="s">
        <v>1215</v>
      </c>
      <c r="D169" s="56" t="s">
        <v>1216</v>
      </c>
      <c r="E169" s="57"/>
      <c r="F169" s="57"/>
      <c r="G169" s="57"/>
      <c r="H169" s="57"/>
      <c r="M169" s="475"/>
    </row>
    <row r="170" spans="3:13" ht="22.8" customHeight="1">
      <c r="C170" s="450" t="s">
        <v>1217</v>
      </c>
      <c r="D170" s="67"/>
      <c r="E170" s="67"/>
      <c r="F170" s="67"/>
      <c r="G170" s="69"/>
      <c r="H170" s="589">
        <v>0</v>
      </c>
      <c r="M170" s="475"/>
    </row>
    <row r="171" spans="3:13" ht="22.8" customHeight="1">
      <c r="C171" s="288" t="s">
        <v>1218</v>
      </c>
      <c r="D171" s="76" t="s">
        <v>1219</v>
      </c>
      <c r="E171" s="77"/>
      <c r="F171" s="77"/>
      <c r="G171" s="78"/>
      <c r="H171" s="585">
        <f>H170+H168+H165</f>
        <v>5061585</v>
      </c>
      <c r="I171" s="369"/>
      <c r="M171" s="475"/>
    </row>
    <row r="172" spans="3:13" ht="22.8" customHeight="1">
      <c r="C172" s="288" t="s">
        <v>1220</v>
      </c>
      <c r="D172" s="76" t="s">
        <v>1402</v>
      </c>
      <c r="E172" s="77"/>
      <c r="F172" s="78"/>
      <c r="G172" s="481" t="s">
        <v>1403</v>
      </c>
      <c r="H172" s="585">
        <f>H171*10%</f>
        <v>506158.5</v>
      </c>
      <c r="I172" s="369"/>
      <c r="M172" s="475"/>
    </row>
    <row r="173" spans="3:13" ht="22.8" customHeight="1">
      <c r="C173" s="288" t="s">
        <v>1221</v>
      </c>
      <c r="D173" s="76" t="s">
        <v>1222</v>
      </c>
      <c r="E173" s="77"/>
      <c r="F173" s="77"/>
      <c r="G173" s="78"/>
      <c r="H173" s="799">
        <f>SUM(H171:H172)</f>
        <v>5567743.5</v>
      </c>
      <c r="I173" s="369"/>
      <c r="M173" s="475"/>
    </row>
    <row r="174" spans="3:13" ht="22.8" customHeight="1">
      <c r="C174" s="54"/>
      <c r="D174" s="86"/>
      <c r="E174" s="86"/>
      <c r="F174" s="86"/>
      <c r="G174" s="86"/>
      <c r="H174" s="87"/>
      <c r="M174" s="475"/>
    </row>
    <row r="175" spans="3:13" ht="22.8" customHeight="1">
      <c r="C175" s="45" t="s">
        <v>3752</v>
      </c>
      <c r="D175" s="794" t="s">
        <v>1585</v>
      </c>
      <c r="E175" s="797"/>
      <c r="F175" s="797"/>
      <c r="G175" s="797"/>
      <c r="H175" s="797"/>
      <c r="I175" s="50">
        <f>ROUNDDOWN(H190,-2)</f>
        <v>6365200</v>
      </c>
      <c r="J175" s="50"/>
      <c r="K175" s="50"/>
      <c r="M175" s="475"/>
    </row>
    <row r="176" spans="3:13" ht="22.8" customHeight="1">
      <c r="C176" s="591" t="s">
        <v>1195</v>
      </c>
      <c r="D176" s="591" t="s">
        <v>1196</v>
      </c>
      <c r="E176" s="591" t="s">
        <v>1197</v>
      </c>
      <c r="F176" s="591" t="s">
        <v>1198</v>
      </c>
      <c r="G176" s="591" t="s">
        <v>1199</v>
      </c>
      <c r="H176" s="591" t="s">
        <v>1200</v>
      </c>
      <c r="M176" s="475"/>
    </row>
    <row r="177" spans="3:13" ht="22.8" customHeight="1">
      <c r="C177" s="577" t="s">
        <v>1201</v>
      </c>
      <c r="D177" s="56" t="s">
        <v>1202</v>
      </c>
      <c r="E177" s="93"/>
      <c r="F177" s="57"/>
      <c r="G177" s="57"/>
      <c r="H177" s="57"/>
      <c r="M177" s="475"/>
    </row>
    <row r="178" spans="3:13" ht="22.8" customHeight="1">
      <c r="C178" s="798">
        <v>1</v>
      </c>
      <c r="D178" s="56" t="s">
        <v>5</v>
      </c>
      <c r="E178" s="61" t="s">
        <v>6</v>
      </c>
      <c r="F178" s="98">
        <v>0.64600000000000002</v>
      </c>
      <c r="G178" s="63">
        <f>VLOOKUP(D178,upahbahan,3,FALSE)</f>
        <v>100000</v>
      </c>
      <c r="H178" s="63">
        <f t="shared" ref="H178:H181" si="17">F178*G178</f>
        <v>64600</v>
      </c>
      <c r="M178" s="475"/>
    </row>
    <row r="179" spans="3:13" ht="22.8" customHeight="1">
      <c r="C179" s="798">
        <v>2</v>
      </c>
      <c r="D179" s="56" t="str">
        <f>D162</f>
        <v>Tukang batu</v>
      </c>
      <c r="E179" s="61" t="s">
        <v>6</v>
      </c>
      <c r="F179" s="98">
        <v>1.079</v>
      </c>
      <c r="G179" s="63">
        <f>VLOOKUP(D179,upahbahan,3,FALSE)</f>
        <v>135000</v>
      </c>
      <c r="H179" s="63">
        <f t="shared" si="17"/>
        <v>145665</v>
      </c>
      <c r="M179" s="475"/>
    </row>
    <row r="180" spans="3:13" ht="22.8" customHeight="1">
      <c r="C180" s="798">
        <v>3</v>
      </c>
      <c r="D180" s="56" t="s">
        <v>18</v>
      </c>
      <c r="E180" s="61" t="s">
        <v>6</v>
      </c>
      <c r="F180" s="98">
        <v>0.108</v>
      </c>
      <c r="G180" s="63">
        <f>VLOOKUP(D180,upahbahan,3,FALSE)</f>
        <v>150000</v>
      </c>
      <c r="H180" s="63">
        <f t="shared" si="17"/>
        <v>16200</v>
      </c>
      <c r="M180" s="475"/>
    </row>
    <row r="181" spans="3:13" ht="22.8" customHeight="1">
      <c r="C181" s="798">
        <v>4</v>
      </c>
      <c r="D181" s="56" t="s">
        <v>19</v>
      </c>
      <c r="E181" s="61" t="s">
        <v>6</v>
      </c>
      <c r="F181" s="98">
        <v>3.2000000000000001E-2</v>
      </c>
      <c r="G181" s="63">
        <f>VLOOKUP(D181,upahbahan,3,FALSE)</f>
        <v>160000</v>
      </c>
      <c r="H181" s="63">
        <f t="shared" si="17"/>
        <v>5120</v>
      </c>
      <c r="M181" s="475"/>
    </row>
    <row r="182" spans="3:13" ht="22.8" customHeight="1">
      <c r="C182" s="450" t="s">
        <v>1208</v>
      </c>
      <c r="D182" s="67"/>
      <c r="E182" s="67"/>
      <c r="F182" s="142"/>
      <c r="G182" s="153"/>
      <c r="H182" s="63">
        <f>SUM(H178:H181)</f>
        <v>231585</v>
      </c>
      <c r="I182" s="154"/>
      <c r="J182" s="154"/>
      <c r="K182" s="154"/>
      <c r="M182" s="475"/>
    </row>
    <row r="183" spans="3:13" ht="22.8" customHeight="1">
      <c r="C183" s="61" t="s">
        <v>1209</v>
      </c>
      <c r="D183" s="56" t="s">
        <v>1210</v>
      </c>
      <c r="E183" s="57"/>
      <c r="F183" s="57"/>
      <c r="G183" s="57"/>
      <c r="H183" s="57"/>
      <c r="M183" s="475"/>
    </row>
    <row r="184" spans="3:13" ht="22.8" customHeight="1">
      <c r="C184" s="588">
        <v>1</v>
      </c>
      <c r="D184" s="56" t="s">
        <v>738</v>
      </c>
      <c r="E184" s="61" t="s">
        <v>135</v>
      </c>
      <c r="F184" s="62">
        <v>1.01</v>
      </c>
      <c r="G184" s="63">
        <f>VLOOKUP(D184,upahbahan,3,FALSE)</f>
        <v>5500000</v>
      </c>
      <c r="H184" s="63">
        <f t="shared" ref="H184" si="18">F184*G184</f>
        <v>5555000</v>
      </c>
      <c r="M184" s="475"/>
    </row>
    <row r="185" spans="3:13" ht="22.8" customHeight="1">
      <c r="C185" s="450" t="s">
        <v>1214</v>
      </c>
      <c r="D185" s="67"/>
      <c r="E185" s="67"/>
      <c r="F185" s="67"/>
      <c r="G185" s="69"/>
      <c r="H185" s="63">
        <f>SUM(H184:H184)</f>
        <v>5555000</v>
      </c>
      <c r="M185" s="475"/>
    </row>
    <row r="186" spans="3:13" ht="22.8" customHeight="1">
      <c r="C186" s="61" t="s">
        <v>1215</v>
      </c>
      <c r="D186" s="56" t="s">
        <v>1216</v>
      </c>
      <c r="E186" s="57"/>
      <c r="F186" s="57"/>
      <c r="G186" s="57"/>
      <c r="H186" s="57"/>
      <c r="M186" s="475"/>
    </row>
    <row r="187" spans="3:13" ht="22.8" customHeight="1">
      <c r="C187" s="450" t="s">
        <v>1217</v>
      </c>
      <c r="D187" s="67"/>
      <c r="E187" s="67"/>
      <c r="F187" s="67"/>
      <c r="G187" s="69"/>
      <c r="H187" s="589">
        <v>0</v>
      </c>
      <c r="M187" s="475"/>
    </row>
    <row r="188" spans="3:13" ht="22.8" customHeight="1">
      <c r="C188" s="288" t="s">
        <v>1218</v>
      </c>
      <c r="D188" s="76" t="s">
        <v>1219</v>
      </c>
      <c r="E188" s="77"/>
      <c r="F188" s="77"/>
      <c r="G188" s="78"/>
      <c r="H188" s="585">
        <f>H187+H185+H182</f>
        <v>5786585</v>
      </c>
      <c r="I188" s="369"/>
      <c r="M188" s="475"/>
    </row>
    <row r="189" spans="3:13" ht="22.8" customHeight="1">
      <c r="C189" s="288" t="s">
        <v>1220</v>
      </c>
      <c r="D189" s="76" t="s">
        <v>1402</v>
      </c>
      <c r="E189" s="77"/>
      <c r="F189" s="78"/>
      <c r="G189" s="481" t="s">
        <v>1403</v>
      </c>
      <c r="H189" s="585">
        <f>H188*10%</f>
        <v>578658.5</v>
      </c>
      <c r="I189" s="369"/>
      <c r="M189" s="475"/>
    </row>
    <row r="190" spans="3:13" ht="22.8" customHeight="1">
      <c r="C190" s="288" t="s">
        <v>1221</v>
      </c>
      <c r="D190" s="76" t="s">
        <v>1222</v>
      </c>
      <c r="E190" s="77"/>
      <c r="F190" s="77"/>
      <c r="G190" s="78"/>
      <c r="H190" s="799">
        <f>SUM(H188:H189)</f>
        <v>6365243.5</v>
      </c>
      <c r="I190" s="369"/>
      <c r="M190" s="475"/>
    </row>
    <row r="191" spans="3:13" ht="22.8" customHeight="1">
      <c r="C191" s="54"/>
      <c r="D191" s="86"/>
      <c r="E191" s="86"/>
      <c r="F191" s="86"/>
      <c r="G191" s="86"/>
      <c r="H191" s="87"/>
      <c r="M191" s="475"/>
    </row>
    <row r="192" spans="3:13" ht="22.8" customHeight="1">
      <c r="C192" s="45" t="s">
        <v>3753</v>
      </c>
      <c r="D192" s="794" t="s">
        <v>1586</v>
      </c>
      <c r="E192" s="797"/>
      <c r="F192" s="797"/>
      <c r="G192" s="797"/>
      <c r="H192" s="797"/>
      <c r="I192" s="50">
        <f>ROUNDDOWN(H207,-2)</f>
        <v>7920600</v>
      </c>
      <c r="J192" s="50"/>
      <c r="K192" s="50"/>
      <c r="M192" s="475"/>
    </row>
    <row r="193" spans="3:13" ht="22.8" customHeight="1">
      <c r="C193" s="591" t="s">
        <v>1195</v>
      </c>
      <c r="D193" s="591" t="s">
        <v>1196</v>
      </c>
      <c r="E193" s="591" t="s">
        <v>1197</v>
      </c>
      <c r="F193" s="591" t="s">
        <v>1198</v>
      </c>
      <c r="G193" s="591" t="s">
        <v>1199</v>
      </c>
      <c r="H193" s="591" t="s">
        <v>1200</v>
      </c>
      <c r="M193" s="475"/>
    </row>
    <row r="194" spans="3:13" ht="22.8" customHeight="1">
      <c r="C194" s="577" t="s">
        <v>1201</v>
      </c>
      <c r="D194" s="56" t="s">
        <v>1202</v>
      </c>
      <c r="E194" s="93"/>
      <c r="F194" s="57"/>
      <c r="G194" s="57"/>
      <c r="H194" s="57"/>
      <c r="M194" s="475"/>
    </row>
    <row r="195" spans="3:13" ht="22.8" customHeight="1">
      <c r="C195" s="798">
        <v>1</v>
      </c>
      <c r="D195" s="56" t="s">
        <v>5</v>
      </c>
      <c r="E195" s="61" t="s">
        <v>6</v>
      </c>
      <c r="F195" s="98">
        <v>0.64600000000000002</v>
      </c>
      <c r="G195" s="63">
        <f>VLOOKUP(D195,upahbahan,3,FALSE)</f>
        <v>100000</v>
      </c>
      <c r="H195" s="63">
        <f t="shared" ref="H195:H198" si="19">F195*G195</f>
        <v>64600</v>
      </c>
      <c r="M195" s="475"/>
    </row>
    <row r="196" spans="3:13" ht="22.8" customHeight="1">
      <c r="C196" s="798">
        <v>2</v>
      </c>
      <c r="D196" s="56" t="str">
        <f>D179</f>
        <v>Tukang batu</v>
      </c>
      <c r="E196" s="61" t="s">
        <v>6</v>
      </c>
      <c r="F196" s="98">
        <v>1.079</v>
      </c>
      <c r="G196" s="63">
        <f>VLOOKUP(D196,upahbahan,3,FALSE)</f>
        <v>135000</v>
      </c>
      <c r="H196" s="63">
        <f t="shared" si="19"/>
        <v>145665</v>
      </c>
      <c r="M196" s="475"/>
    </row>
    <row r="197" spans="3:13" ht="22.8" customHeight="1">
      <c r="C197" s="798">
        <v>3</v>
      </c>
      <c r="D197" s="56" t="s">
        <v>18</v>
      </c>
      <c r="E197" s="61" t="s">
        <v>6</v>
      </c>
      <c r="F197" s="98">
        <v>0.108</v>
      </c>
      <c r="G197" s="63">
        <f>VLOOKUP(D197,upahbahan,3,FALSE)</f>
        <v>150000</v>
      </c>
      <c r="H197" s="63">
        <f t="shared" si="19"/>
        <v>16200</v>
      </c>
      <c r="M197" s="475"/>
    </row>
    <row r="198" spans="3:13" ht="22.8" customHeight="1">
      <c r="C198" s="798">
        <v>4</v>
      </c>
      <c r="D198" s="56" t="s">
        <v>19</v>
      </c>
      <c r="E198" s="61" t="s">
        <v>6</v>
      </c>
      <c r="F198" s="98">
        <v>3.2000000000000001E-2</v>
      </c>
      <c r="G198" s="63">
        <f>VLOOKUP(D198,upahbahan,3,FALSE)</f>
        <v>160000</v>
      </c>
      <c r="H198" s="63">
        <f t="shared" si="19"/>
        <v>5120</v>
      </c>
      <c r="M198" s="475"/>
    </row>
    <row r="199" spans="3:13" ht="22.8" customHeight="1">
      <c r="C199" s="450" t="s">
        <v>1208</v>
      </c>
      <c r="D199" s="67"/>
      <c r="E199" s="67"/>
      <c r="F199" s="142"/>
      <c r="G199" s="153"/>
      <c r="H199" s="63">
        <f>SUM(H195:H198)</f>
        <v>231585</v>
      </c>
      <c r="I199" s="154"/>
      <c r="J199" s="154"/>
      <c r="K199" s="154"/>
      <c r="M199" s="475"/>
    </row>
    <row r="200" spans="3:13" ht="22.8" customHeight="1">
      <c r="C200" s="61" t="s">
        <v>1209</v>
      </c>
      <c r="D200" s="56" t="s">
        <v>1210</v>
      </c>
      <c r="E200" s="57"/>
      <c r="F200" s="57"/>
      <c r="G200" s="57"/>
      <c r="H200" s="57"/>
      <c r="M200" s="475"/>
    </row>
    <row r="201" spans="3:13" ht="22.8" customHeight="1">
      <c r="C201" s="588">
        <v>1</v>
      </c>
      <c r="D201" s="56" t="s">
        <v>739</v>
      </c>
      <c r="E201" s="61" t="s">
        <v>135</v>
      </c>
      <c r="F201" s="62">
        <v>1.01</v>
      </c>
      <c r="G201" s="63">
        <f>VLOOKUP(D201,upahbahan,3,FALSE)</f>
        <v>6900000</v>
      </c>
      <c r="H201" s="63">
        <f t="shared" ref="H201" si="20">F201*G201</f>
        <v>6969000</v>
      </c>
      <c r="M201" s="475"/>
    </row>
    <row r="202" spans="3:13" ht="22.8" customHeight="1">
      <c r="C202" s="450" t="s">
        <v>1214</v>
      </c>
      <c r="D202" s="67"/>
      <c r="E202" s="67"/>
      <c r="F202" s="67"/>
      <c r="G202" s="69"/>
      <c r="H202" s="63">
        <f>SUM(H201:H201)</f>
        <v>6969000</v>
      </c>
      <c r="M202" s="475"/>
    </row>
    <row r="203" spans="3:13" ht="22.8" customHeight="1">
      <c r="C203" s="61" t="s">
        <v>1215</v>
      </c>
      <c r="D203" s="56" t="s">
        <v>1216</v>
      </c>
      <c r="E203" s="57"/>
      <c r="F203" s="57"/>
      <c r="G203" s="57"/>
      <c r="H203" s="57"/>
      <c r="M203" s="475"/>
    </row>
    <row r="204" spans="3:13" ht="22.8" customHeight="1">
      <c r="C204" s="450" t="s">
        <v>1217</v>
      </c>
      <c r="D204" s="67"/>
      <c r="E204" s="67"/>
      <c r="F204" s="67"/>
      <c r="G204" s="69"/>
      <c r="H204" s="589">
        <v>0</v>
      </c>
      <c r="M204" s="475"/>
    </row>
    <row r="205" spans="3:13" ht="22.8" customHeight="1">
      <c r="C205" s="288" t="s">
        <v>1218</v>
      </c>
      <c r="D205" s="76" t="s">
        <v>1219</v>
      </c>
      <c r="E205" s="77"/>
      <c r="F205" s="77"/>
      <c r="G205" s="78"/>
      <c r="H205" s="585">
        <f>H204+H202+H199</f>
        <v>7200585</v>
      </c>
      <c r="I205" s="369"/>
      <c r="M205" s="475"/>
    </row>
    <row r="206" spans="3:13" ht="22.8" customHeight="1">
      <c r="C206" s="288" t="s">
        <v>1220</v>
      </c>
      <c r="D206" s="76" t="s">
        <v>1402</v>
      </c>
      <c r="E206" s="77"/>
      <c r="F206" s="78"/>
      <c r="G206" s="481" t="s">
        <v>1403</v>
      </c>
      <c r="H206" s="585">
        <f>H205*10%</f>
        <v>720058.5</v>
      </c>
      <c r="I206" s="369"/>
      <c r="M206" s="475"/>
    </row>
    <row r="207" spans="3:13" ht="22.8" customHeight="1">
      <c r="C207" s="288" t="s">
        <v>1221</v>
      </c>
      <c r="D207" s="76" t="s">
        <v>1222</v>
      </c>
      <c r="E207" s="77"/>
      <c r="F207" s="77"/>
      <c r="G207" s="78"/>
      <c r="H207" s="799">
        <f>SUM(H205:H206)</f>
        <v>7920643.5</v>
      </c>
      <c r="I207" s="369"/>
      <c r="M207" s="475"/>
    </row>
    <row r="208" spans="3:13" ht="22.8" customHeight="1">
      <c r="C208" s="54"/>
      <c r="D208" s="86"/>
      <c r="E208" s="86"/>
      <c r="F208" s="86"/>
      <c r="G208" s="86"/>
      <c r="H208" s="87"/>
      <c r="M208" s="475"/>
    </row>
    <row r="209" spans="3:13" ht="22.8" customHeight="1">
      <c r="C209" s="45" t="s">
        <v>3754</v>
      </c>
      <c r="D209" s="794" t="s">
        <v>1587</v>
      </c>
      <c r="E209" s="797"/>
      <c r="F209" s="797"/>
      <c r="G209" s="797"/>
      <c r="H209" s="797"/>
      <c r="I209" s="50">
        <f>ROUNDDOWN(H224,-2)</f>
        <v>8142800</v>
      </c>
      <c r="J209" s="50"/>
      <c r="K209" s="50"/>
      <c r="M209" s="475"/>
    </row>
    <row r="210" spans="3:13" ht="22.8" customHeight="1">
      <c r="C210" s="591" t="s">
        <v>1195</v>
      </c>
      <c r="D210" s="591" t="s">
        <v>1196</v>
      </c>
      <c r="E210" s="591" t="s">
        <v>1197</v>
      </c>
      <c r="F210" s="591" t="s">
        <v>1198</v>
      </c>
      <c r="G210" s="591" t="s">
        <v>1199</v>
      </c>
      <c r="H210" s="591" t="s">
        <v>1200</v>
      </c>
      <c r="M210" s="475"/>
    </row>
    <row r="211" spans="3:13" ht="22.8" customHeight="1">
      <c r="C211" s="577" t="s">
        <v>1201</v>
      </c>
      <c r="D211" s="56" t="s">
        <v>1202</v>
      </c>
      <c r="E211" s="93"/>
      <c r="F211" s="57"/>
      <c r="G211" s="57"/>
      <c r="H211" s="57"/>
      <c r="M211" s="475"/>
    </row>
    <row r="212" spans="3:13" ht="22.8" customHeight="1">
      <c r="C212" s="798">
        <v>1</v>
      </c>
      <c r="D212" s="56" t="s">
        <v>5</v>
      </c>
      <c r="E212" s="61" t="s">
        <v>6</v>
      </c>
      <c r="F212" s="98">
        <v>0.64600000000000002</v>
      </c>
      <c r="G212" s="63">
        <f>VLOOKUP(D212,upahbahan,3,FALSE)</f>
        <v>100000</v>
      </c>
      <c r="H212" s="63">
        <f t="shared" ref="H212:H215" si="21">F212*G212</f>
        <v>64600</v>
      </c>
      <c r="M212" s="475"/>
    </row>
    <row r="213" spans="3:13" ht="22.8" customHeight="1">
      <c r="C213" s="798">
        <v>2</v>
      </c>
      <c r="D213" s="56" t="str">
        <f>D196</f>
        <v>Tukang batu</v>
      </c>
      <c r="E213" s="61" t="s">
        <v>6</v>
      </c>
      <c r="F213" s="98">
        <v>1.079</v>
      </c>
      <c r="G213" s="63">
        <f>VLOOKUP(D213,upahbahan,3,FALSE)</f>
        <v>135000</v>
      </c>
      <c r="H213" s="63">
        <f t="shared" si="21"/>
        <v>145665</v>
      </c>
      <c r="M213" s="475"/>
    </row>
    <row r="214" spans="3:13" ht="22.8" customHeight="1">
      <c r="C214" s="798">
        <v>3</v>
      </c>
      <c r="D214" s="56" t="s">
        <v>18</v>
      </c>
      <c r="E214" s="61" t="s">
        <v>6</v>
      </c>
      <c r="F214" s="98">
        <v>0.108</v>
      </c>
      <c r="G214" s="63">
        <f>VLOOKUP(D214,upahbahan,3,FALSE)</f>
        <v>150000</v>
      </c>
      <c r="H214" s="63">
        <f t="shared" si="21"/>
        <v>16200</v>
      </c>
      <c r="M214" s="475"/>
    </row>
    <row r="215" spans="3:13" ht="22.8" customHeight="1">
      <c r="C215" s="798">
        <v>4</v>
      </c>
      <c r="D215" s="56" t="s">
        <v>19</v>
      </c>
      <c r="E215" s="61" t="s">
        <v>6</v>
      </c>
      <c r="F215" s="98">
        <v>3.2000000000000001E-2</v>
      </c>
      <c r="G215" s="63">
        <f>VLOOKUP(D215,upahbahan,3,FALSE)</f>
        <v>160000</v>
      </c>
      <c r="H215" s="63">
        <f t="shared" si="21"/>
        <v>5120</v>
      </c>
      <c r="M215" s="475"/>
    </row>
    <row r="216" spans="3:13" ht="22.8" customHeight="1">
      <c r="C216" s="450" t="s">
        <v>1208</v>
      </c>
      <c r="D216" s="67"/>
      <c r="E216" s="67"/>
      <c r="F216" s="142"/>
      <c r="G216" s="153"/>
      <c r="H216" s="63">
        <f>SUM(H212:H215)</f>
        <v>231585</v>
      </c>
      <c r="I216" s="154"/>
      <c r="J216" s="154"/>
      <c r="K216" s="154"/>
      <c r="M216" s="475"/>
    </row>
    <row r="217" spans="3:13" ht="22.8" customHeight="1">
      <c r="C217" s="61" t="s">
        <v>1209</v>
      </c>
      <c r="D217" s="56" t="s">
        <v>1210</v>
      </c>
      <c r="E217" s="57"/>
      <c r="F217" s="57"/>
      <c r="G217" s="57"/>
      <c r="H217" s="57"/>
      <c r="M217" s="475"/>
    </row>
    <row r="218" spans="3:13" ht="22.8" customHeight="1">
      <c r="C218" s="588">
        <v>1</v>
      </c>
      <c r="D218" s="56" t="s">
        <v>740</v>
      </c>
      <c r="E218" s="61" t="s">
        <v>135</v>
      </c>
      <c r="F218" s="62">
        <f>F201</f>
        <v>1.01</v>
      </c>
      <c r="G218" s="63">
        <f>VLOOKUP(D218,upahbahan,3,FALSE)</f>
        <v>7100000</v>
      </c>
      <c r="H218" s="63">
        <f t="shared" ref="H218" si="22">F218*G218</f>
        <v>7171000</v>
      </c>
      <c r="M218" s="475"/>
    </row>
    <row r="219" spans="3:13" ht="22.8" customHeight="1">
      <c r="C219" s="450" t="s">
        <v>1214</v>
      </c>
      <c r="D219" s="67"/>
      <c r="E219" s="67"/>
      <c r="F219" s="67"/>
      <c r="G219" s="69"/>
      <c r="H219" s="63">
        <f>SUM(H218:H218)</f>
        <v>7171000</v>
      </c>
      <c r="M219" s="475"/>
    </row>
    <row r="220" spans="3:13" ht="22.8" customHeight="1">
      <c r="C220" s="61" t="s">
        <v>1215</v>
      </c>
      <c r="D220" s="56" t="s">
        <v>1216</v>
      </c>
      <c r="E220" s="57"/>
      <c r="F220" s="57"/>
      <c r="G220" s="57"/>
      <c r="H220" s="57"/>
      <c r="M220" s="475"/>
    </row>
    <row r="221" spans="3:13" ht="22.8" customHeight="1">
      <c r="C221" s="450" t="s">
        <v>1217</v>
      </c>
      <c r="D221" s="67"/>
      <c r="E221" s="67"/>
      <c r="F221" s="67"/>
      <c r="G221" s="69"/>
      <c r="H221" s="589">
        <v>0</v>
      </c>
      <c r="M221" s="475"/>
    </row>
    <row r="222" spans="3:13" ht="22.8" customHeight="1">
      <c r="C222" s="288" t="s">
        <v>1218</v>
      </c>
      <c r="D222" s="76" t="s">
        <v>1219</v>
      </c>
      <c r="E222" s="77"/>
      <c r="F222" s="77"/>
      <c r="G222" s="78"/>
      <c r="H222" s="585">
        <f>H221+H219+H216</f>
        <v>7402585</v>
      </c>
      <c r="I222" s="369"/>
      <c r="M222" s="475"/>
    </row>
    <row r="223" spans="3:13" ht="22.8" customHeight="1">
      <c r="C223" s="288" t="s">
        <v>1220</v>
      </c>
      <c r="D223" s="76" t="s">
        <v>1402</v>
      </c>
      <c r="E223" s="77"/>
      <c r="F223" s="78"/>
      <c r="G223" s="481" t="s">
        <v>1403</v>
      </c>
      <c r="H223" s="585">
        <f>H222*10%</f>
        <v>740258.5</v>
      </c>
      <c r="I223" s="369"/>
      <c r="M223" s="475"/>
    </row>
    <row r="224" spans="3:13" ht="22.8" customHeight="1">
      <c r="C224" s="288" t="s">
        <v>1221</v>
      </c>
      <c r="D224" s="76" t="s">
        <v>1222</v>
      </c>
      <c r="E224" s="77"/>
      <c r="F224" s="77"/>
      <c r="G224" s="78"/>
      <c r="H224" s="799">
        <f>SUM(H222:H223)</f>
        <v>8142843.5</v>
      </c>
      <c r="I224" s="369"/>
      <c r="M224" s="475"/>
    </row>
    <row r="225" spans="3:13" ht="22.8" customHeight="1">
      <c r="C225" s="54"/>
      <c r="D225" s="86"/>
      <c r="E225" s="86"/>
      <c r="F225" s="86"/>
      <c r="G225" s="86"/>
      <c r="H225" s="87"/>
      <c r="M225" s="475"/>
    </row>
    <row r="226" spans="3:13" ht="22.8" customHeight="1">
      <c r="C226" s="45" t="s">
        <v>3755</v>
      </c>
      <c r="D226" s="794" t="s">
        <v>1588</v>
      </c>
      <c r="E226" s="797"/>
      <c r="F226" s="797"/>
      <c r="G226" s="797"/>
      <c r="H226" s="797"/>
      <c r="I226" s="50">
        <f>ROUNDDOWN(H241,-2)</f>
        <v>9021700</v>
      </c>
      <c r="J226" s="50"/>
      <c r="K226" s="50"/>
      <c r="M226" s="475"/>
    </row>
    <row r="227" spans="3:13" ht="22.8" customHeight="1">
      <c r="C227" s="591" t="s">
        <v>1195</v>
      </c>
      <c r="D227" s="591" t="s">
        <v>1196</v>
      </c>
      <c r="E227" s="591" t="s">
        <v>1197</v>
      </c>
      <c r="F227" s="591" t="s">
        <v>1198</v>
      </c>
      <c r="G227" s="591" t="s">
        <v>1199</v>
      </c>
      <c r="H227" s="591" t="s">
        <v>1200</v>
      </c>
      <c r="M227" s="475"/>
    </row>
    <row r="228" spans="3:13" ht="22.8" customHeight="1">
      <c r="C228" s="577" t="s">
        <v>1201</v>
      </c>
      <c r="D228" s="56" t="s">
        <v>1202</v>
      </c>
      <c r="E228" s="93"/>
      <c r="F228" s="57"/>
      <c r="G228" s="57"/>
      <c r="H228" s="57"/>
      <c r="M228" s="475"/>
    </row>
    <row r="229" spans="3:13" ht="22.8" customHeight="1">
      <c r="C229" s="798">
        <v>1</v>
      </c>
      <c r="D229" s="56" t="s">
        <v>5</v>
      </c>
      <c r="E229" s="61" t="s">
        <v>6</v>
      </c>
      <c r="F229" s="98">
        <v>0.76200000000000001</v>
      </c>
      <c r="G229" s="63">
        <f>VLOOKUP(D229,upahbahan,3,FALSE)</f>
        <v>100000</v>
      </c>
      <c r="H229" s="63">
        <f t="shared" ref="H229:H232" si="23">F229*G229</f>
        <v>76200</v>
      </c>
      <c r="M229" s="475"/>
    </row>
    <row r="230" spans="3:13" ht="22.8" customHeight="1">
      <c r="C230" s="798">
        <v>2</v>
      </c>
      <c r="D230" s="56" t="str">
        <f>D213</f>
        <v>Tukang batu</v>
      </c>
      <c r="E230" s="61" t="s">
        <v>6</v>
      </c>
      <c r="F230" s="98">
        <v>1.272</v>
      </c>
      <c r="G230" s="63">
        <f>VLOOKUP(D230,upahbahan,3,FALSE)</f>
        <v>135000</v>
      </c>
      <c r="H230" s="63">
        <f t="shared" si="23"/>
        <v>171720</v>
      </c>
      <c r="M230" s="475"/>
    </row>
    <row r="231" spans="3:13" ht="22.8" customHeight="1">
      <c r="C231" s="798">
        <v>3</v>
      </c>
      <c r="D231" s="56" t="s">
        <v>18</v>
      </c>
      <c r="E231" s="61" t="s">
        <v>6</v>
      </c>
      <c r="F231" s="98">
        <v>0.127</v>
      </c>
      <c r="G231" s="63">
        <f>VLOOKUP(D231,upahbahan,3,FALSE)</f>
        <v>150000</v>
      </c>
      <c r="H231" s="63">
        <f t="shared" si="23"/>
        <v>19050</v>
      </c>
      <c r="M231" s="475"/>
    </row>
    <row r="232" spans="3:13" ht="22.8" customHeight="1">
      <c r="C232" s="798">
        <v>4</v>
      </c>
      <c r="D232" s="56" t="s">
        <v>19</v>
      </c>
      <c r="E232" s="61" t="s">
        <v>6</v>
      </c>
      <c r="F232" s="98">
        <v>3.7999999999999999E-2</v>
      </c>
      <c r="G232" s="63">
        <f>VLOOKUP(D232,upahbahan,3,FALSE)</f>
        <v>160000</v>
      </c>
      <c r="H232" s="63">
        <f t="shared" si="23"/>
        <v>6080</v>
      </c>
      <c r="M232" s="475"/>
    </row>
    <row r="233" spans="3:13" ht="22.8" customHeight="1">
      <c r="C233" s="450" t="s">
        <v>1208</v>
      </c>
      <c r="D233" s="67"/>
      <c r="E233" s="67"/>
      <c r="F233" s="142"/>
      <c r="G233" s="153"/>
      <c r="H233" s="63">
        <f>SUM(H229:H232)</f>
        <v>273050</v>
      </c>
      <c r="I233" s="154"/>
      <c r="J233" s="154"/>
      <c r="K233" s="154"/>
      <c r="M233" s="475"/>
    </row>
    <row r="234" spans="3:13" ht="22.8" customHeight="1">
      <c r="C234" s="61" t="s">
        <v>1209</v>
      </c>
      <c r="D234" s="56" t="s">
        <v>1210</v>
      </c>
      <c r="E234" s="57"/>
      <c r="F234" s="57"/>
      <c r="G234" s="57"/>
      <c r="H234" s="57"/>
      <c r="M234" s="475"/>
    </row>
    <row r="235" spans="3:13" ht="22.8" customHeight="1">
      <c r="C235" s="588">
        <v>1</v>
      </c>
      <c r="D235" s="56" t="s">
        <v>741</v>
      </c>
      <c r="E235" s="61" t="s">
        <v>135</v>
      </c>
      <c r="F235" s="62">
        <f>F218</f>
        <v>1.01</v>
      </c>
      <c r="G235" s="63">
        <f>VLOOKUP(D235,upahbahan,3,FALSE)</f>
        <v>7850000</v>
      </c>
      <c r="H235" s="63">
        <f t="shared" ref="H235" si="24">F235*G235</f>
        <v>7928500</v>
      </c>
      <c r="M235" s="475"/>
    </row>
    <row r="236" spans="3:13" ht="22.8" customHeight="1">
      <c r="C236" s="450" t="s">
        <v>1214</v>
      </c>
      <c r="D236" s="67"/>
      <c r="E236" s="67"/>
      <c r="F236" s="67"/>
      <c r="G236" s="69"/>
      <c r="H236" s="63">
        <f>SUM(H235:H235)</f>
        <v>7928500</v>
      </c>
      <c r="M236" s="475"/>
    </row>
    <row r="237" spans="3:13" ht="22.8" customHeight="1">
      <c r="C237" s="61" t="s">
        <v>1215</v>
      </c>
      <c r="D237" s="56" t="s">
        <v>1216</v>
      </c>
      <c r="E237" s="57"/>
      <c r="F237" s="57"/>
      <c r="G237" s="57"/>
      <c r="H237" s="57"/>
      <c r="M237" s="475"/>
    </row>
    <row r="238" spans="3:13" ht="22.8" customHeight="1">
      <c r="C238" s="450" t="s">
        <v>1217</v>
      </c>
      <c r="D238" s="67"/>
      <c r="E238" s="67"/>
      <c r="F238" s="67"/>
      <c r="G238" s="69"/>
      <c r="H238" s="589">
        <v>0</v>
      </c>
      <c r="M238" s="475"/>
    </row>
    <row r="239" spans="3:13" ht="22.8" customHeight="1">
      <c r="C239" s="288" t="s">
        <v>1218</v>
      </c>
      <c r="D239" s="76" t="s">
        <v>1219</v>
      </c>
      <c r="E239" s="77"/>
      <c r="F239" s="77"/>
      <c r="G239" s="78"/>
      <c r="H239" s="585">
        <f>H238+H236+H233</f>
        <v>8201550</v>
      </c>
      <c r="I239" s="369"/>
      <c r="M239" s="475"/>
    </row>
    <row r="240" spans="3:13" ht="22.8" customHeight="1">
      <c r="C240" s="288" t="s">
        <v>1220</v>
      </c>
      <c r="D240" s="76" t="s">
        <v>1402</v>
      </c>
      <c r="E240" s="77"/>
      <c r="F240" s="78"/>
      <c r="G240" s="481" t="s">
        <v>1403</v>
      </c>
      <c r="H240" s="585">
        <f>H239*10%</f>
        <v>820155</v>
      </c>
      <c r="I240" s="369"/>
      <c r="M240" s="475"/>
    </row>
    <row r="241" spans="3:13" ht="22.8" customHeight="1">
      <c r="C241" s="288" t="s">
        <v>1221</v>
      </c>
      <c r="D241" s="76" t="s">
        <v>1222</v>
      </c>
      <c r="E241" s="77"/>
      <c r="F241" s="77"/>
      <c r="G241" s="78"/>
      <c r="H241" s="799">
        <f>SUM(H239:H240)</f>
        <v>9021705</v>
      </c>
      <c r="I241" s="369"/>
      <c r="M241" s="475"/>
    </row>
    <row r="242" spans="3:13" ht="22.8" customHeight="1">
      <c r="C242" s="54"/>
      <c r="D242" s="86"/>
      <c r="E242" s="86"/>
      <c r="F242" s="86"/>
      <c r="G242" s="86"/>
      <c r="H242" s="87"/>
      <c r="M242" s="475"/>
    </row>
    <row r="243" spans="3:13" ht="22.8" customHeight="1">
      <c r="C243" s="45" t="s">
        <v>3756</v>
      </c>
      <c r="D243" s="794" t="s">
        <v>3757</v>
      </c>
      <c r="E243" s="797"/>
      <c r="F243" s="797"/>
      <c r="G243" s="797"/>
      <c r="H243" s="797"/>
      <c r="I243" s="50">
        <f>ROUNDDOWN(H258,-2)</f>
        <v>18454200</v>
      </c>
      <c r="J243" s="50"/>
      <c r="K243" s="50"/>
      <c r="M243" s="475"/>
    </row>
    <row r="244" spans="3:13" ht="22.8" customHeight="1">
      <c r="C244" s="591" t="s">
        <v>1195</v>
      </c>
      <c r="D244" s="591" t="s">
        <v>1196</v>
      </c>
      <c r="E244" s="591" t="s">
        <v>1197</v>
      </c>
      <c r="F244" s="591" t="s">
        <v>1198</v>
      </c>
      <c r="G244" s="591" t="s">
        <v>1199</v>
      </c>
      <c r="H244" s="591" t="s">
        <v>1200</v>
      </c>
      <c r="M244" s="475"/>
    </row>
    <row r="245" spans="3:13" ht="22.8" customHeight="1">
      <c r="C245" s="577" t="s">
        <v>1201</v>
      </c>
      <c r="D245" s="56" t="s">
        <v>1202</v>
      </c>
      <c r="E245" s="93"/>
      <c r="F245" s="57"/>
      <c r="G245" s="57"/>
      <c r="H245" s="57"/>
      <c r="M245" s="475"/>
    </row>
    <row r="246" spans="3:13" ht="22.8" customHeight="1">
      <c r="C246" s="798">
        <v>1</v>
      </c>
      <c r="D246" s="56" t="s">
        <v>5</v>
      </c>
      <c r="E246" s="61" t="s">
        <v>6</v>
      </c>
      <c r="F246" s="98">
        <v>0.77100000000000002</v>
      </c>
      <c r="G246" s="63">
        <f>VLOOKUP(D246,upahbahan,3,FALSE)</f>
        <v>100000</v>
      </c>
      <c r="H246" s="63">
        <f t="shared" ref="H246:H249" si="25">F246*G246</f>
        <v>77100</v>
      </c>
      <c r="M246" s="475"/>
    </row>
    <row r="247" spans="3:13" ht="22.8" customHeight="1">
      <c r="C247" s="798">
        <v>2</v>
      </c>
      <c r="D247" s="56" t="str">
        <f>D230</f>
        <v>Tukang batu</v>
      </c>
      <c r="E247" s="61" t="s">
        <v>6</v>
      </c>
      <c r="F247" s="98">
        <v>1.288</v>
      </c>
      <c r="G247" s="63">
        <f>VLOOKUP(D247,upahbahan,3,FALSE)</f>
        <v>135000</v>
      </c>
      <c r="H247" s="63">
        <f t="shared" si="25"/>
        <v>173880</v>
      </c>
      <c r="M247" s="475"/>
    </row>
    <row r="248" spans="3:13" ht="22.8" customHeight="1">
      <c r="C248" s="798">
        <v>3</v>
      </c>
      <c r="D248" s="56" t="s">
        <v>18</v>
      </c>
      <c r="E248" s="61" t="s">
        <v>6</v>
      </c>
      <c r="F248" s="98">
        <v>0.129</v>
      </c>
      <c r="G248" s="63">
        <f>VLOOKUP(D248,upahbahan,3,FALSE)</f>
        <v>150000</v>
      </c>
      <c r="H248" s="63">
        <f t="shared" si="25"/>
        <v>19350</v>
      </c>
      <c r="M248" s="475"/>
    </row>
    <row r="249" spans="3:13" ht="22.8" customHeight="1">
      <c r="C249" s="798">
        <v>4</v>
      </c>
      <c r="D249" s="56" t="s">
        <v>19</v>
      </c>
      <c r="E249" s="61" t="s">
        <v>6</v>
      </c>
      <c r="F249" s="98">
        <v>3.9E-2</v>
      </c>
      <c r="G249" s="63">
        <f>VLOOKUP(D249,upahbahan,3,FALSE)</f>
        <v>160000</v>
      </c>
      <c r="H249" s="63">
        <f t="shared" si="25"/>
        <v>6240</v>
      </c>
      <c r="M249" s="475"/>
    </row>
    <row r="250" spans="3:13" ht="22.8" customHeight="1">
      <c r="C250" s="450" t="s">
        <v>1208</v>
      </c>
      <c r="D250" s="67"/>
      <c r="E250" s="67"/>
      <c r="F250" s="142"/>
      <c r="G250" s="153"/>
      <c r="H250" s="63">
        <f>SUM(H246:H249)</f>
        <v>276570</v>
      </c>
      <c r="I250" s="154"/>
      <c r="J250" s="154"/>
      <c r="K250" s="154"/>
      <c r="M250" s="475"/>
    </row>
    <row r="251" spans="3:13" ht="22.8" customHeight="1">
      <c r="C251" s="61" t="s">
        <v>1209</v>
      </c>
      <c r="D251" s="56" t="s">
        <v>1210</v>
      </c>
      <c r="E251" s="57"/>
      <c r="F251" s="57"/>
      <c r="G251" s="57"/>
      <c r="H251" s="57"/>
      <c r="M251" s="475"/>
    </row>
    <row r="252" spans="3:13" ht="22.8" customHeight="1">
      <c r="C252" s="588">
        <v>1</v>
      </c>
      <c r="D252" s="56" t="s">
        <v>3758</v>
      </c>
      <c r="E252" s="61" t="s">
        <v>135</v>
      </c>
      <c r="F252" s="62">
        <v>1.1000000000000001</v>
      </c>
      <c r="G252" s="63">
        <f>VLOOKUP(D252,upahbahan,3,FALSE)</f>
        <v>15000000</v>
      </c>
      <c r="H252" s="63">
        <f t="shared" ref="H252" si="26">F252*G252</f>
        <v>16500000.000000002</v>
      </c>
      <c r="M252" s="475"/>
    </row>
    <row r="253" spans="3:13" ht="22.8" customHeight="1">
      <c r="C253" s="450" t="s">
        <v>1214</v>
      </c>
      <c r="D253" s="67"/>
      <c r="E253" s="67"/>
      <c r="F253" s="67"/>
      <c r="G253" s="69"/>
      <c r="H253" s="63">
        <f>SUM(H252:H252)</f>
        <v>16500000.000000002</v>
      </c>
      <c r="M253" s="475"/>
    </row>
    <row r="254" spans="3:13" ht="22.8" customHeight="1">
      <c r="C254" s="61" t="s">
        <v>1215</v>
      </c>
      <c r="D254" s="56" t="s">
        <v>1216</v>
      </c>
      <c r="E254" s="57"/>
      <c r="F254" s="57"/>
      <c r="G254" s="57"/>
      <c r="H254" s="57"/>
      <c r="M254" s="475"/>
    </row>
    <row r="255" spans="3:13" ht="22.8" customHeight="1">
      <c r="C255" s="450" t="s">
        <v>1217</v>
      </c>
      <c r="D255" s="67"/>
      <c r="E255" s="67"/>
      <c r="F255" s="67"/>
      <c r="G255" s="69"/>
      <c r="H255" s="589">
        <v>0</v>
      </c>
      <c r="M255" s="475"/>
    </row>
    <row r="256" spans="3:13" ht="22.8" customHeight="1">
      <c r="C256" s="288" t="s">
        <v>1218</v>
      </c>
      <c r="D256" s="76" t="s">
        <v>1219</v>
      </c>
      <c r="E256" s="77"/>
      <c r="F256" s="77"/>
      <c r="G256" s="78"/>
      <c r="H256" s="585">
        <f>H255+H253+H250</f>
        <v>16776570.000000002</v>
      </c>
      <c r="I256" s="369"/>
      <c r="M256" s="475"/>
    </row>
    <row r="257" spans="3:13" ht="22.8" customHeight="1">
      <c r="C257" s="288" t="s">
        <v>1220</v>
      </c>
      <c r="D257" s="76" t="s">
        <v>1402</v>
      </c>
      <c r="E257" s="77"/>
      <c r="F257" s="78"/>
      <c r="G257" s="481" t="s">
        <v>1403</v>
      </c>
      <c r="H257" s="585">
        <f>H256*10%</f>
        <v>1677657.0000000002</v>
      </c>
      <c r="I257" s="369"/>
      <c r="M257" s="475"/>
    </row>
    <row r="258" spans="3:13" ht="22.8" customHeight="1">
      <c r="C258" s="288" t="s">
        <v>1221</v>
      </c>
      <c r="D258" s="76" t="s">
        <v>1222</v>
      </c>
      <c r="E258" s="77"/>
      <c r="F258" s="77"/>
      <c r="G258" s="78"/>
      <c r="H258" s="799">
        <f>SUM(H256:H257)</f>
        <v>18454227.000000004</v>
      </c>
      <c r="I258" s="369"/>
      <c r="M258" s="475"/>
    </row>
    <row r="259" spans="3:13" ht="22.8" customHeight="1">
      <c r="C259" s="54"/>
      <c r="D259" s="86"/>
      <c r="E259" s="86"/>
      <c r="F259" s="86"/>
      <c r="G259" s="86"/>
      <c r="H259" s="87"/>
      <c r="M259" s="475"/>
    </row>
    <row r="260" spans="3:13" ht="22.8" customHeight="1">
      <c r="C260" s="45" t="s">
        <v>3759</v>
      </c>
      <c r="D260" s="794" t="s">
        <v>8083</v>
      </c>
      <c r="E260" s="797"/>
      <c r="F260" s="797"/>
      <c r="G260" s="797"/>
      <c r="H260" s="797"/>
      <c r="I260" s="50">
        <f>ROUNDDOWN(H275,-2)</f>
        <v>15429200</v>
      </c>
      <c r="J260" s="50" t="s">
        <v>7804</v>
      </c>
      <c r="K260" s="50"/>
      <c r="M260" s="475"/>
    </row>
    <row r="261" spans="3:13" ht="22.8" customHeight="1">
      <c r="C261" s="591" t="s">
        <v>1195</v>
      </c>
      <c r="D261" s="591" t="s">
        <v>1196</v>
      </c>
      <c r="E261" s="591" t="s">
        <v>1197</v>
      </c>
      <c r="F261" s="591" t="s">
        <v>1198</v>
      </c>
      <c r="G261" s="591" t="s">
        <v>1199</v>
      </c>
      <c r="H261" s="591" t="s">
        <v>1200</v>
      </c>
      <c r="M261" s="475"/>
    </row>
    <row r="262" spans="3:13" ht="22.8" customHeight="1">
      <c r="C262" s="577" t="s">
        <v>1201</v>
      </c>
      <c r="D262" s="56" t="s">
        <v>1202</v>
      </c>
      <c r="E262" s="93"/>
      <c r="F262" s="57"/>
      <c r="G262" s="57"/>
      <c r="H262" s="57"/>
      <c r="M262" s="475"/>
    </row>
    <row r="263" spans="3:13" ht="22.8" customHeight="1">
      <c r="C263" s="798">
        <v>1</v>
      </c>
      <c r="D263" s="56" t="s">
        <v>5</v>
      </c>
      <c r="E263" s="61" t="s">
        <v>6</v>
      </c>
      <c r="F263" s="98">
        <v>0.77100000000000002</v>
      </c>
      <c r="G263" s="63">
        <f>VLOOKUP(D263,upahbahan,3,FALSE)</f>
        <v>100000</v>
      </c>
      <c r="H263" s="63">
        <f t="shared" ref="H263:H266" si="27">F263*G263</f>
        <v>77100</v>
      </c>
      <c r="M263" s="475"/>
    </row>
    <row r="264" spans="3:13" ht="22.8" customHeight="1">
      <c r="C264" s="798">
        <v>2</v>
      </c>
      <c r="D264" s="56" t="str">
        <f>D247</f>
        <v>Tukang batu</v>
      </c>
      <c r="E264" s="61" t="s">
        <v>6</v>
      </c>
      <c r="F264" s="98">
        <v>1.288</v>
      </c>
      <c r="G264" s="63">
        <f>VLOOKUP(D264,upahbahan,3,FALSE)</f>
        <v>135000</v>
      </c>
      <c r="H264" s="63">
        <f t="shared" si="27"/>
        <v>173880</v>
      </c>
      <c r="M264" s="475"/>
    </row>
    <row r="265" spans="3:13" ht="22.8" customHeight="1">
      <c r="C265" s="798">
        <v>3</v>
      </c>
      <c r="D265" s="56" t="s">
        <v>18</v>
      </c>
      <c r="E265" s="61" t="s">
        <v>6</v>
      </c>
      <c r="F265" s="98">
        <v>0.129</v>
      </c>
      <c r="G265" s="63">
        <f>VLOOKUP(D265,upahbahan,3,FALSE)</f>
        <v>150000</v>
      </c>
      <c r="H265" s="63">
        <f t="shared" si="27"/>
        <v>19350</v>
      </c>
      <c r="M265" s="475"/>
    </row>
    <row r="266" spans="3:13" ht="22.8" customHeight="1">
      <c r="C266" s="798">
        <v>4</v>
      </c>
      <c r="D266" s="56" t="s">
        <v>19</v>
      </c>
      <c r="E266" s="61" t="s">
        <v>6</v>
      </c>
      <c r="F266" s="98">
        <v>3.9E-2</v>
      </c>
      <c r="G266" s="63">
        <f>VLOOKUP(D266,upahbahan,3,FALSE)</f>
        <v>160000</v>
      </c>
      <c r="H266" s="63">
        <f t="shared" si="27"/>
        <v>6240</v>
      </c>
      <c r="M266" s="475"/>
    </row>
    <row r="267" spans="3:13" ht="22.8" customHeight="1">
      <c r="C267" s="450" t="s">
        <v>1208</v>
      </c>
      <c r="D267" s="67"/>
      <c r="E267" s="67"/>
      <c r="F267" s="142"/>
      <c r="G267" s="153"/>
      <c r="H267" s="63">
        <f>SUM(H263:H266)</f>
        <v>276570</v>
      </c>
      <c r="I267" s="154"/>
      <c r="J267" s="154"/>
      <c r="K267" s="154"/>
      <c r="M267" s="475"/>
    </row>
    <row r="268" spans="3:13" ht="22.8" customHeight="1">
      <c r="C268" s="61" t="s">
        <v>1209</v>
      </c>
      <c r="D268" s="56" t="s">
        <v>1210</v>
      </c>
      <c r="E268" s="57"/>
      <c r="F268" s="57"/>
      <c r="G268" s="57"/>
      <c r="H268" s="57"/>
      <c r="M268" s="475"/>
    </row>
    <row r="269" spans="3:13" ht="22.8" customHeight="1">
      <c r="C269" s="588">
        <v>1</v>
      </c>
      <c r="D269" s="56" t="s">
        <v>8084</v>
      </c>
      <c r="E269" s="61" t="s">
        <v>135</v>
      </c>
      <c r="F269" s="62">
        <v>1.1000000000000001</v>
      </c>
      <c r="G269" s="63">
        <f>VLOOKUP(D269,upahbahan,3,FALSE)</f>
        <v>12500000</v>
      </c>
      <c r="H269" s="63">
        <f t="shared" ref="H269" si="28">F269*G269</f>
        <v>13750000.000000002</v>
      </c>
      <c r="M269" s="475"/>
    </row>
    <row r="270" spans="3:13" ht="22.8" customHeight="1">
      <c r="C270" s="450" t="s">
        <v>1214</v>
      </c>
      <c r="D270" s="67"/>
      <c r="E270" s="67"/>
      <c r="F270" s="67"/>
      <c r="G270" s="69"/>
      <c r="H270" s="63">
        <f>SUM(H269:H269)</f>
        <v>13750000.000000002</v>
      </c>
      <c r="M270" s="475"/>
    </row>
    <row r="271" spans="3:13" ht="22.8" customHeight="1">
      <c r="C271" s="61" t="s">
        <v>1215</v>
      </c>
      <c r="D271" s="56" t="s">
        <v>1216</v>
      </c>
      <c r="E271" s="57"/>
      <c r="F271" s="57"/>
      <c r="G271" s="57"/>
      <c r="H271" s="57"/>
      <c r="M271" s="475"/>
    </row>
    <row r="272" spans="3:13" ht="22.8" customHeight="1">
      <c r="C272" s="450" t="s">
        <v>1217</v>
      </c>
      <c r="D272" s="67"/>
      <c r="E272" s="67"/>
      <c r="F272" s="67"/>
      <c r="G272" s="69"/>
      <c r="H272" s="589">
        <v>0</v>
      </c>
      <c r="M272" s="475"/>
    </row>
    <row r="273" spans="3:13" ht="22.8" customHeight="1">
      <c r="C273" s="288" t="s">
        <v>1218</v>
      </c>
      <c r="D273" s="76" t="s">
        <v>1219</v>
      </c>
      <c r="E273" s="77"/>
      <c r="F273" s="77"/>
      <c r="G273" s="78"/>
      <c r="H273" s="585">
        <f>H272+H270+H267</f>
        <v>14026570.000000002</v>
      </c>
      <c r="I273" s="369"/>
      <c r="M273" s="475"/>
    </row>
    <row r="274" spans="3:13" ht="22.8" customHeight="1">
      <c r="C274" s="288" t="s">
        <v>1220</v>
      </c>
      <c r="D274" s="76" t="s">
        <v>1402</v>
      </c>
      <c r="E274" s="77"/>
      <c r="F274" s="78"/>
      <c r="G274" s="481" t="s">
        <v>1403</v>
      </c>
      <c r="H274" s="585">
        <f>H273*10%</f>
        <v>1402657.0000000002</v>
      </c>
      <c r="I274" s="369"/>
      <c r="M274" s="475"/>
    </row>
    <row r="275" spans="3:13" ht="22.8" customHeight="1">
      <c r="C275" s="288" t="s">
        <v>1221</v>
      </c>
      <c r="D275" s="76" t="s">
        <v>1222</v>
      </c>
      <c r="E275" s="77"/>
      <c r="F275" s="77"/>
      <c r="G275" s="78"/>
      <c r="H275" s="799">
        <f>SUM(H273:H274)</f>
        <v>15429227.000000002</v>
      </c>
      <c r="I275" s="369"/>
      <c r="M275" s="475"/>
    </row>
    <row r="276" spans="3:13" ht="22.8" customHeight="1">
      <c r="C276" s="54"/>
      <c r="D276" s="86"/>
      <c r="E276" s="86"/>
      <c r="F276" s="86"/>
      <c r="G276" s="86"/>
      <c r="H276" s="87"/>
      <c r="M276" s="475"/>
    </row>
    <row r="277" spans="3:13" ht="22.8" customHeight="1">
      <c r="C277" s="45" t="s">
        <v>8085</v>
      </c>
      <c r="D277" s="794" t="s">
        <v>8086</v>
      </c>
      <c r="E277" s="797"/>
      <c r="F277" s="797"/>
      <c r="G277" s="797"/>
      <c r="H277" s="797"/>
      <c r="I277" s="50">
        <f>ROUNDDOWN(H292,-2)</f>
        <v>14824200</v>
      </c>
      <c r="J277" s="50" t="s">
        <v>7804</v>
      </c>
      <c r="K277" s="50"/>
      <c r="M277" s="475"/>
    </row>
    <row r="278" spans="3:13" ht="22.8" customHeight="1">
      <c r="C278" s="591" t="s">
        <v>1195</v>
      </c>
      <c r="D278" s="591" t="s">
        <v>1196</v>
      </c>
      <c r="E278" s="591" t="s">
        <v>1197</v>
      </c>
      <c r="F278" s="591" t="s">
        <v>1198</v>
      </c>
      <c r="G278" s="591" t="s">
        <v>1199</v>
      </c>
      <c r="H278" s="591" t="s">
        <v>1200</v>
      </c>
      <c r="M278" s="475"/>
    </row>
    <row r="279" spans="3:13" ht="22.8" customHeight="1">
      <c r="C279" s="577" t="s">
        <v>1201</v>
      </c>
      <c r="D279" s="56" t="s">
        <v>1202</v>
      </c>
      <c r="E279" s="93"/>
      <c r="F279" s="57"/>
      <c r="G279" s="57"/>
      <c r="H279" s="57"/>
      <c r="M279" s="475"/>
    </row>
    <row r="280" spans="3:13" ht="22.8" customHeight="1">
      <c r="C280" s="798">
        <v>1</v>
      </c>
      <c r="D280" s="56" t="s">
        <v>5</v>
      </c>
      <c r="E280" s="61" t="s">
        <v>6</v>
      </c>
      <c r="F280" s="98">
        <v>0.77100000000000002</v>
      </c>
      <c r="G280" s="63">
        <f>VLOOKUP(D280,upahbahan,3,FALSE)</f>
        <v>100000</v>
      </c>
      <c r="H280" s="63">
        <f t="shared" ref="H280:H283" si="29">F280*G280</f>
        <v>77100</v>
      </c>
      <c r="M280" s="475"/>
    </row>
    <row r="281" spans="3:13" ht="22.8" customHeight="1">
      <c r="C281" s="798">
        <v>2</v>
      </c>
      <c r="D281" s="56" t="str">
        <f>D264</f>
        <v>Tukang batu</v>
      </c>
      <c r="E281" s="61" t="s">
        <v>6</v>
      </c>
      <c r="F281" s="98">
        <v>1.288</v>
      </c>
      <c r="G281" s="63">
        <f>VLOOKUP(D281,upahbahan,3,FALSE)</f>
        <v>135000</v>
      </c>
      <c r="H281" s="63">
        <f t="shared" si="29"/>
        <v>173880</v>
      </c>
      <c r="M281" s="475"/>
    </row>
    <row r="282" spans="3:13" ht="22.8" customHeight="1">
      <c r="C282" s="798">
        <v>3</v>
      </c>
      <c r="D282" s="56" t="s">
        <v>18</v>
      </c>
      <c r="E282" s="61" t="s">
        <v>6</v>
      </c>
      <c r="F282" s="98">
        <v>0.129</v>
      </c>
      <c r="G282" s="63">
        <f>VLOOKUP(D282,upahbahan,3,FALSE)</f>
        <v>150000</v>
      </c>
      <c r="H282" s="63">
        <f t="shared" si="29"/>
        <v>19350</v>
      </c>
      <c r="M282" s="475"/>
    </row>
    <row r="283" spans="3:13" ht="22.8" customHeight="1">
      <c r="C283" s="798">
        <v>4</v>
      </c>
      <c r="D283" s="56" t="s">
        <v>19</v>
      </c>
      <c r="E283" s="61" t="s">
        <v>6</v>
      </c>
      <c r="F283" s="98">
        <v>3.9E-2</v>
      </c>
      <c r="G283" s="63">
        <f>VLOOKUP(D283,upahbahan,3,FALSE)</f>
        <v>160000</v>
      </c>
      <c r="H283" s="63">
        <f t="shared" si="29"/>
        <v>6240</v>
      </c>
      <c r="M283" s="475"/>
    </row>
    <row r="284" spans="3:13" ht="22.8" customHeight="1">
      <c r="C284" s="450" t="s">
        <v>1208</v>
      </c>
      <c r="D284" s="67"/>
      <c r="E284" s="67"/>
      <c r="F284" s="142"/>
      <c r="G284" s="153"/>
      <c r="H284" s="63">
        <f>SUM(H280:H283)</f>
        <v>276570</v>
      </c>
      <c r="I284" s="154"/>
      <c r="J284" s="154"/>
      <c r="K284" s="154"/>
      <c r="M284" s="475"/>
    </row>
    <row r="285" spans="3:13" ht="22.8" customHeight="1">
      <c r="C285" s="61" t="s">
        <v>1209</v>
      </c>
      <c r="D285" s="56" t="s">
        <v>1210</v>
      </c>
      <c r="E285" s="57"/>
      <c r="F285" s="57"/>
      <c r="G285" s="57"/>
      <c r="H285" s="57"/>
      <c r="M285" s="475"/>
    </row>
    <row r="286" spans="3:13" ht="22.8" customHeight="1">
      <c r="C286" s="588">
        <v>1</v>
      </c>
      <c r="D286" s="72" t="s">
        <v>8087</v>
      </c>
      <c r="E286" s="61" t="s">
        <v>135</v>
      </c>
      <c r="F286" s="62">
        <v>1.1000000000000001</v>
      </c>
      <c r="G286" s="63">
        <f>VLOOKUP(D286,upahbahan,3,FALSE)</f>
        <v>12000000</v>
      </c>
      <c r="H286" s="63">
        <f t="shared" ref="H286" si="30">F286*G286</f>
        <v>13200000.000000002</v>
      </c>
      <c r="M286" s="475"/>
    </row>
    <row r="287" spans="3:13" ht="22.8" customHeight="1">
      <c r="C287" s="450" t="s">
        <v>1214</v>
      </c>
      <c r="D287" s="67"/>
      <c r="E287" s="67"/>
      <c r="F287" s="67"/>
      <c r="G287" s="69"/>
      <c r="H287" s="63">
        <f>SUM(H286:H286)</f>
        <v>13200000.000000002</v>
      </c>
      <c r="M287" s="475"/>
    </row>
    <row r="288" spans="3:13" ht="22.8" customHeight="1">
      <c r="C288" s="61" t="s">
        <v>1215</v>
      </c>
      <c r="D288" s="56" t="s">
        <v>1216</v>
      </c>
      <c r="E288" s="57"/>
      <c r="F288" s="57"/>
      <c r="G288" s="57"/>
      <c r="H288" s="57"/>
      <c r="M288" s="475"/>
    </row>
    <row r="289" spans="3:13" ht="22.8" customHeight="1">
      <c r="C289" s="450" t="s">
        <v>1217</v>
      </c>
      <c r="D289" s="67"/>
      <c r="E289" s="67"/>
      <c r="F289" s="67"/>
      <c r="G289" s="69"/>
      <c r="H289" s="589">
        <v>0</v>
      </c>
      <c r="M289" s="475"/>
    </row>
    <row r="290" spans="3:13" ht="22.8" customHeight="1">
      <c r="C290" s="288" t="s">
        <v>1218</v>
      </c>
      <c r="D290" s="76" t="s">
        <v>1219</v>
      </c>
      <c r="E290" s="77"/>
      <c r="F290" s="77"/>
      <c r="G290" s="78"/>
      <c r="H290" s="585">
        <f>H289+H287+H284</f>
        <v>13476570.000000002</v>
      </c>
      <c r="I290" s="369"/>
      <c r="M290" s="475"/>
    </row>
    <row r="291" spans="3:13" ht="22.8" customHeight="1">
      <c r="C291" s="288" t="s">
        <v>1220</v>
      </c>
      <c r="D291" s="76" t="s">
        <v>1402</v>
      </c>
      <c r="E291" s="77"/>
      <c r="F291" s="78"/>
      <c r="G291" s="481" t="s">
        <v>1403</v>
      </c>
      <c r="H291" s="585">
        <f>H290*10%</f>
        <v>1347657.0000000002</v>
      </c>
      <c r="I291" s="369"/>
      <c r="M291" s="475"/>
    </row>
    <row r="292" spans="3:13" ht="22.8" customHeight="1">
      <c r="C292" s="288" t="s">
        <v>1221</v>
      </c>
      <c r="D292" s="76" t="s">
        <v>1222</v>
      </c>
      <c r="E292" s="77"/>
      <c r="F292" s="77"/>
      <c r="G292" s="78"/>
      <c r="H292" s="799">
        <f>SUM(H290:H291)</f>
        <v>14824227.000000002</v>
      </c>
      <c r="I292" s="369"/>
      <c r="M292" s="475"/>
    </row>
    <row r="293" spans="3:13" ht="22.8" customHeight="1">
      <c r="C293" s="54"/>
      <c r="D293" s="86"/>
      <c r="E293" s="86"/>
      <c r="F293" s="86"/>
      <c r="G293" s="86"/>
      <c r="H293" s="87"/>
      <c r="M293" s="475"/>
    </row>
    <row r="294" spans="3:13" ht="22.8" customHeight="1">
      <c r="C294" s="45" t="s">
        <v>8088</v>
      </c>
      <c r="D294" s="794" t="s">
        <v>3760</v>
      </c>
      <c r="E294" s="797"/>
      <c r="F294" s="797"/>
      <c r="G294" s="797"/>
      <c r="H294" s="797"/>
      <c r="I294" s="50">
        <f>ROUNDDOWN(H309,-2)</f>
        <v>779900</v>
      </c>
      <c r="J294" s="50"/>
      <c r="K294" s="50"/>
      <c r="M294" s="475"/>
    </row>
    <row r="295" spans="3:13" ht="22.8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M295" s="475"/>
    </row>
    <row r="296" spans="3:13" ht="22.8" customHeight="1">
      <c r="C296" s="577" t="s">
        <v>1201</v>
      </c>
      <c r="D296" s="56" t="s">
        <v>1202</v>
      </c>
      <c r="E296" s="93"/>
      <c r="F296" s="57"/>
      <c r="G296" s="57"/>
      <c r="H296" s="57"/>
      <c r="M296" s="475"/>
    </row>
    <row r="297" spans="3:13" ht="22.8" customHeight="1">
      <c r="C297" s="798">
        <v>1</v>
      </c>
      <c r="D297" s="56" t="s">
        <v>5</v>
      </c>
      <c r="E297" s="61" t="s">
        <v>6</v>
      </c>
      <c r="F297" s="98">
        <v>0.129</v>
      </c>
      <c r="G297" s="63">
        <f>VLOOKUP(D297,upahbahan,3,FALSE)</f>
        <v>100000</v>
      </c>
      <c r="H297" s="63">
        <f t="shared" ref="H297:H300" si="31">F297*G297</f>
        <v>12900</v>
      </c>
      <c r="M297" s="475"/>
    </row>
    <row r="298" spans="3:13" ht="22.8" customHeight="1">
      <c r="C298" s="798">
        <v>2</v>
      </c>
      <c r="D298" s="56" t="str">
        <f>D247</f>
        <v>Tukang batu</v>
      </c>
      <c r="E298" s="61" t="s">
        <v>6</v>
      </c>
      <c r="F298" s="98">
        <v>0.215</v>
      </c>
      <c r="G298" s="63">
        <f>VLOOKUP(D298,upahbahan,3,FALSE)</f>
        <v>135000</v>
      </c>
      <c r="H298" s="63">
        <f t="shared" si="31"/>
        <v>29025</v>
      </c>
      <c r="M298" s="475"/>
    </row>
    <row r="299" spans="3:13" ht="22.8" customHeight="1">
      <c r="C299" s="798">
        <v>3</v>
      </c>
      <c r="D299" s="56" t="s">
        <v>18</v>
      </c>
      <c r="E299" s="61" t="s">
        <v>6</v>
      </c>
      <c r="F299" s="98">
        <v>2.1000000000000001E-2</v>
      </c>
      <c r="G299" s="63">
        <f>VLOOKUP(D299,upahbahan,3,FALSE)</f>
        <v>150000</v>
      </c>
      <c r="H299" s="63">
        <f t="shared" si="31"/>
        <v>3150</v>
      </c>
      <c r="M299" s="475"/>
    </row>
    <row r="300" spans="3:13" ht="22.8" customHeight="1">
      <c r="C300" s="798">
        <v>4</v>
      </c>
      <c r="D300" s="56" t="s">
        <v>19</v>
      </c>
      <c r="E300" s="61" t="s">
        <v>6</v>
      </c>
      <c r="F300" s="98">
        <v>6.0000000000000001E-3</v>
      </c>
      <c r="G300" s="63">
        <f>VLOOKUP(D300,upahbahan,3,FALSE)</f>
        <v>160000</v>
      </c>
      <c r="H300" s="63">
        <f t="shared" si="31"/>
        <v>960</v>
      </c>
      <c r="M300" s="475"/>
    </row>
    <row r="301" spans="3:13" ht="22.8" customHeight="1">
      <c r="C301" s="450" t="s">
        <v>1208</v>
      </c>
      <c r="D301" s="67"/>
      <c r="E301" s="67"/>
      <c r="F301" s="142"/>
      <c r="G301" s="153"/>
      <c r="H301" s="63">
        <f>SUM(H297:H300)</f>
        <v>46035</v>
      </c>
      <c r="I301" s="154"/>
      <c r="J301" s="154"/>
      <c r="K301" s="154"/>
      <c r="M301" s="475"/>
    </row>
    <row r="302" spans="3:13" ht="22.8" customHeight="1">
      <c r="C302" s="61" t="s">
        <v>1209</v>
      </c>
      <c r="D302" s="56" t="s">
        <v>1210</v>
      </c>
      <c r="E302" s="57"/>
      <c r="F302" s="57"/>
      <c r="G302" s="57"/>
      <c r="H302" s="57"/>
      <c r="M302" s="475"/>
    </row>
    <row r="303" spans="3:13" ht="22.8" customHeight="1">
      <c r="C303" s="588">
        <v>1</v>
      </c>
      <c r="D303" s="56" t="s">
        <v>3761</v>
      </c>
      <c r="E303" s="61" t="s">
        <v>135</v>
      </c>
      <c r="F303" s="62">
        <v>1.02</v>
      </c>
      <c r="G303" s="63">
        <f>VLOOKUP(D303,upahbahan,3,FALSE)</f>
        <v>650000</v>
      </c>
      <c r="H303" s="63">
        <f t="shared" ref="H303" si="32">F303*G303</f>
        <v>663000</v>
      </c>
      <c r="M303" s="475"/>
    </row>
    <row r="304" spans="3:13" ht="22.8" customHeight="1">
      <c r="C304" s="450" t="s">
        <v>1214</v>
      </c>
      <c r="D304" s="67"/>
      <c r="E304" s="67"/>
      <c r="F304" s="67"/>
      <c r="G304" s="69"/>
      <c r="H304" s="63">
        <f>SUM(H303:H303)</f>
        <v>663000</v>
      </c>
      <c r="M304" s="475"/>
    </row>
    <row r="305" spans="3:13" ht="22.8" customHeight="1">
      <c r="C305" s="61" t="s">
        <v>1215</v>
      </c>
      <c r="D305" s="56" t="s">
        <v>1216</v>
      </c>
      <c r="E305" s="57"/>
      <c r="F305" s="57"/>
      <c r="G305" s="57"/>
      <c r="H305" s="57"/>
      <c r="M305" s="475"/>
    </row>
    <row r="306" spans="3:13" ht="22.8" customHeight="1">
      <c r="C306" s="450" t="s">
        <v>1217</v>
      </c>
      <c r="D306" s="67"/>
      <c r="E306" s="67"/>
      <c r="F306" s="67"/>
      <c r="G306" s="69"/>
      <c r="H306" s="589">
        <v>0</v>
      </c>
      <c r="M306" s="475"/>
    </row>
    <row r="307" spans="3:13" ht="22.8" customHeight="1">
      <c r="C307" s="288" t="s">
        <v>1218</v>
      </c>
      <c r="D307" s="76" t="s">
        <v>1219</v>
      </c>
      <c r="E307" s="77"/>
      <c r="F307" s="77"/>
      <c r="G307" s="78"/>
      <c r="H307" s="585">
        <f>H306+H304+H301</f>
        <v>709035</v>
      </c>
      <c r="I307" s="369"/>
      <c r="M307" s="475"/>
    </row>
    <row r="308" spans="3:13" ht="22.8" customHeight="1">
      <c r="C308" s="288" t="s">
        <v>1220</v>
      </c>
      <c r="D308" s="76" t="s">
        <v>1402</v>
      </c>
      <c r="E308" s="77"/>
      <c r="F308" s="78"/>
      <c r="G308" s="481" t="s">
        <v>1403</v>
      </c>
      <c r="H308" s="585">
        <f>H307*10%</f>
        <v>70903.5</v>
      </c>
      <c r="I308" s="369"/>
      <c r="M308" s="475"/>
    </row>
    <row r="309" spans="3:13" ht="22.8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779938.5</v>
      </c>
      <c r="I309" s="369"/>
      <c r="M309" s="475"/>
    </row>
    <row r="310" spans="3:13" ht="22.8" customHeight="1">
      <c r="C310" s="54"/>
      <c r="D310" s="86"/>
      <c r="E310" s="86"/>
      <c r="F310" s="86"/>
      <c r="G310" s="86"/>
      <c r="H310" s="87"/>
      <c r="M310" s="475"/>
    </row>
    <row r="311" spans="3:13" ht="22.8" customHeight="1">
      <c r="C311" s="43" t="s">
        <v>3762</v>
      </c>
      <c r="D311" s="128" t="s">
        <v>3763</v>
      </c>
      <c r="E311" s="86"/>
      <c r="F311" s="86"/>
      <c r="G311" s="86"/>
      <c r="H311" s="87"/>
      <c r="M311" s="475"/>
    </row>
    <row r="312" spans="3:13" ht="22.8" customHeight="1">
      <c r="C312" s="45" t="s">
        <v>3764</v>
      </c>
      <c r="D312" s="794" t="s">
        <v>1589</v>
      </c>
      <c r="E312" s="797"/>
      <c r="F312" s="797"/>
      <c r="G312" s="797"/>
      <c r="H312" s="797"/>
      <c r="I312" s="50">
        <f>ROUNDDOWN(H327,-2)</f>
        <v>287500</v>
      </c>
      <c r="J312" s="50"/>
      <c r="K312" s="50"/>
      <c r="M312" s="475"/>
    </row>
    <row r="313" spans="3:13" ht="22.8" customHeight="1">
      <c r="C313" s="591" t="s">
        <v>1195</v>
      </c>
      <c r="D313" s="591" t="s">
        <v>1196</v>
      </c>
      <c r="E313" s="591" t="s">
        <v>1197</v>
      </c>
      <c r="F313" s="591" t="s">
        <v>1198</v>
      </c>
      <c r="G313" s="591" t="s">
        <v>1199</v>
      </c>
      <c r="H313" s="591" t="s">
        <v>1200</v>
      </c>
      <c r="M313" s="475"/>
    </row>
    <row r="314" spans="3:13" ht="22.8" customHeight="1">
      <c r="C314" s="577" t="s">
        <v>1201</v>
      </c>
      <c r="D314" s="56" t="s">
        <v>1202</v>
      </c>
      <c r="E314" s="93"/>
      <c r="F314" s="57"/>
      <c r="G314" s="57"/>
      <c r="H314" s="57"/>
      <c r="M314" s="475"/>
    </row>
    <row r="315" spans="3:13" ht="22.8" customHeight="1">
      <c r="C315" s="798">
        <v>1</v>
      </c>
      <c r="D315" s="56" t="s">
        <v>5</v>
      </c>
      <c r="E315" s="61" t="s">
        <v>6</v>
      </c>
      <c r="F315" s="98">
        <v>0.72899999999999998</v>
      </c>
      <c r="G315" s="63">
        <f>VLOOKUP(D315,upahbahan,3,FALSE)</f>
        <v>100000</v>
      </c>
      <c r="H315" s="63">
        <f t="shared" ref="H315:H318" si="33">F315*G315</f>
        <v>72900</v>
      </c>
      <c r="M315" s="475"/>
    </row>
    <row r="316" spans="3:13" ht="22.8" customHeight="1">
      <c r="C316" s="798">
        <v>2</v>
      </c>
      <c r="D316" s="56" t="s">
        <v>10</v>
      </c>
      <c r="E316" s="61" t="s">
        <v>6</v>
      </c>
      <c r="F316" s="98">
        <v>1.2170000000000001</v>
      </c>
      <c r="G316" s="63">
        <f>VLOOKUP(D316,upahbahan,3,FALSE)</f>
        <v>135000</v>
      </c>
      <c r="H316" s="63">
        <f t="shared" si="33"/>
        <v>164295</v>
      </c>
      <c r="M316" s="475"/>
    </row>
    <row r="317" spans="3:13" ht="22.8" customHeight="1">
      <c r="C317" s="798">
        <v>3</v>
      </c>
      <c r="D317" s="56" t="s">
        <v>18</v>
      </c>
      <c r="E317" s="61" t="s">
        <v>6</v>
      </c>
      <c r="F317" s="98">
        <v>0.122</v>
      </c>
      <c r="G317" s="63">
        <f>VLOOKUP(D317,upahbahan,3,FALSE)</f>
        <v>150000</v>
      </c>
      <c r="H317" s="63">
        <f t="shared" si="33"/>
        <v>18300</v>
      </c>
      <c r="M317" s="475"/>
    </row>
    <row r="318" spans="3:13" ht="22.8" customHeight="1">
      <c r="C318" s="798">
        <v>4</v>
      </c>
      <c r="D318" s="56" t="s">
        <v>19</v>
      </c>
      <c r="E318" s="61" t="s">
        <v>6</v>
      </c>
      <c r="F318" s="98">
        <v>3.6999999999999998E-2</v>
      </c>
      <c r="G318" s="63">
        <f>VLOOKUP(D318,upahbahan,3,FALSE)</f>
        <v>160000</v>
      </c>
      <c r="H318" s="63">
        <f t="shared" si="33"/>
        <v>5920</v>
      </c>
      <c r="M318" s="475"/>
    </row>
    <row r="319" spans="3:13" ht="22.8" customHeight="1">
      <c r="C319" s="450" t="s">
        <v>1208</v>
      </c>
      <c r="D319" s="67"/>
      <c r="E319" s="67"/>
      <c r="F319" s="142"/>
      <c r="G319" s="153"/>
      <c r="H319" s="63">
        <f>SUM(H315:H318)</f>
        <v>261415</v>
      </c>
      <c r="I319" s="154"/>
      <c r="J319" s="154"/>
      <c r="K319" s="154"/>
      <c r="M319" s="475"/>
    </row>
    <row r="320" spans="3:13" ht="22.8" customHeight="1">
      <c r="C320" s="61" t="s">
        <v>1209</v>
      </c>
      <c r="D320" s="56" t="s">
        <v>1210</v>
      </c>
      <c r="E320" s="57"/>
      <c r="F320" s="57"/>
      <c r="G320" s="57"/>
      <c r="H320" s="57"/>
      <c r="M320" s="475"/>
    </row>
    <row r="321" spans="3:13" ht="22.8" customHeight="1">
      <c r="C321" s="588">
        <v>1</v>
      </c>
      <c r="D321" s="56" t="s">
        <v>703</v>
      </c>
      <c r="E321" s="61" t="s">
        <v>135</v>
      </c>
      <c r="F321" s="62">
        <v>1.0249999999999999</v>
      </c>
      <c r="G321" s="63">
        <f>VLOOKUP(D321,upahbahan,3,FALSE)</f>
        <v>0</v>
      </c>
      <c r="H321" s="63">
        <f t="shared" ref="H321" si="34">F321*G321</f>
        <v>0</v>
      </c>
      <c r="M321" s="475"/>
    </row>
    <row r="322" spans="3:13" ht="22.8" customHeight="1">
      <c r="C322" s="450" t="s">
        <v>1214</v>
      </c>
      <c r="D322" s="67"/>
      <c r="E322" s="67"/>
      <c r="F322" s="67"/>
      <c r="G322" s="69"/>
      <c r="H322" s="63">
        <f>SUM(H321:H321)</f>
        <v>0</v>
      </c>
      <c r="M322" s="475"/>
    </row>
    <row r="323" spans="3:13" ht="22.8" customHeight="1">
      <c r="C323" s="61" t="s">
        <v>1215</v>
      </c>
      <c r="D323" s="56" t="s">
        <v>1216</v>
      </c>
      <c r="E323" s="57"/>
      <c r="F323" s="57"/>
      <c r="G323" s="57"/>
      <c r="H323" s="57"/>
      <c r="M323" s="475"/>
    </row>
    <row r="324" spans="3:13" ht="22.8" customHeight="1">
      <c r="C324" s="450" t="s">
        <v>1217</v>
      </c>
      <c r="D324" s="67"/>
      <c r="E324" s="67"/>
      <c r="F324" s="67"/>
      <c r="G324" s="69"/>
      <c r="H324" s="589">
        <v>0</v>
      </c>
      <c r="M324" s="475"/>
    </row>
    <row r="325" spans="3:13" ht="22.8" customHeight="1">
      <c r="C325" s="288" t="s">
        <v>1218</v>
      </c>
      <c r="D325" s="76" t="s">
        <v>1219</v>
      </c>
      <c r="E325" s="77"/>
      <c r="F325" s="77"/>
      <c r="G325" s="78"/>
      <c r="H325" s="585">
        <f>H324+H322+H319</f>
        <v>261415</v>
      </c>
      <c r="I325" s="369"/>
      <c r="M325" s="475"/>
    </row>
    <row r="326" spans="3:13" ht="22.8" customHeight="1">
      <c r="C326" s="288" t="s">
        <v>1220</v>
      </c>
      <c r="D326" s="76" t="s">
        <v>1402</v>
      </c>
      <c r="E326" s="77"/>
      <c r="F326" s="78"/>
      <c r="G326" s="481" t="s">
        <v>1403</v>
      </c>
      <c r="H326" s="585">
        <f>H325*10%</f>
        <v>26141.5</v>
      </c>
      <c r="I326" s="369"/>
      <c r="M326" s="475"/>
    </row>
    <row r="327" spans="3:13" ht="22.8" customHeight="1">
      <c r="C327" s="288" t="s">
        <v>1221</v>
      </c>
      <c r="D327" s="76" t="s">
        <v>1222</v>
      </c>
      <c r="E327" s="77"/>
      <c r="F327" s="77"/>
      <c r="G327" s="78"/>
      <c r="H327" s="799">
        <f>SUM(H325:H326)</f>
        <v>287556.5</v>
      </c>
      <c r="I327" s="369"/>
      <c r="M327" s="475"/>
    </row>
    <row r="328" spans="3:13" ht="22.8" customHeight="1">
      <c r="C328" s="54"/>
      <c r="D328" s="86"/>
      <c r="E328" s="86"/>
      <c r="F328" s="86"/>
      <c r="G328" s="86"/>
      <c r="H328" s="87"/>
      <c r="M328" s="475"/>
    </row>
    <row r="329" spans="3:13" ht="22.8" customHeight="1">
      <c r="C329" s="45" t="s">
        <v>3765</v>
      </c>
      <c r="D329" s="794" t="s">
        <v>1590</v>
      </c>
      <c r="E329" s="797"/>
      <c r="F329" s="797"/>
      <c r="G329" s="797"/>
      <c r="H329" s="797"/>
      <c r="I329" s="50">
        <f>ROUNDDOWN(H344,-2)</f>
        <v>164400</v>
      </c>
      <c r="J329" s="50"/>
      <c r="K329" s="50"/>
      <c r="M329" s="475"/>
    </row>
    <row r="330" spans="3:13" ht="22.8" customHeight="1">
      <c r="C330" s="591" t="s">
        <v>1195</v>
      </c>
      <c r="D330" s="591" t="s">
        <v>1196</v>
      </c>
      <c r="E330" s="591" t="s">
        <v>1197</v>
      </c>
      <c r="F330" s="591" t="s">
        <v>1198</v>
      </c>
      <c r="G330" s="591" t="s">
        <v>1199</v>
      </c>
      <c r="H330" s="591" t="s">
        <v>1200</v>
      </c>
      <c r="M330" s="475"/>
    </row>
    <row r="331" spans="3:13" ht="22.8" customHeight="1">
      <c r="C331" s="577" t="s">
        <v>1201</v>
      </c>
      <c r="D331" s="56" t="s">
        <v>1202</v>
      </c>
      <c r="E331" s="93"/>
      <c r="F331" s="57"/>
      <c r="G331" s="57"/>
      <c r="H331" s="57"/>
      <c r="M331" s="475"/>
    </row>
    <row r="332" spans="3:13" ht="22.8" customHeight="1">
      <c r="C332" s="798">
        <v>1</v>
      </c>
      <c r="D332" s="56" t="s">
        <v>5</v>
      </c>
      <c r="E332" s="61" t="s">
        <v>6</v>
      </c>
      <c r="F332" s="62">
        <v>0.41699999999999998</v>
      </c>
      <c r="G332" s="63">
        <f>VLOOKUP(D332,upahbahan,3,FALSE)</f>
        <v>100000</v>
      </c>
      <c r="H332" s="63">
        <f t="shared" ref="H332:H335" si="35">F332*G332</f>
        <v>41700</v>
      </c>
      <c r="M332" s="475"/>
    </row>
    <row r="333" spans="3:13" ht="22.8" customHeight="1">
      <c r="C333" s="798">
        <v>2</v>
      </c>
      <c r="D333" s="56" t="s">
        <v>10</v>
      </c>
      <c r="E333" s="61" t="s">
        <v>6</v>
      </c>
      <c r="F333" s="62">
        <v>0.69599999999999995</v>
      </c>
      <c r="G333" s="63">
        <f>VLOOKUP(D333,upahbahan,3,FALSE)</f>
        <v>135000</v>
      </c>
      <c r="H333" s="63">
        <f>F333*G333</f>
        <v>93960</v>
      </c>
      <c r="M333" s="475"/>
    </row>
    <row r="334" spans="3:13" ht="22.8" customHeight="1">
      <c r="C334" s="798">
        <v>3</v>
      </c>
      <c r="D334" s="56" t="s">
        <v>18</v>
      </c>
      <c r="E334" s="61" t="s">
        <v>6</v>
      </c>
      <c r="F334" s="62">
        <v>7.0000000000000007E-2</v>
      </c>
      <c r="G334" s="63">
        <f>VLOOKUP(D334,upahbahan,3,FALSE)</f>
        <v>150000</v>
      </c>
      <c r="H334" s="63">
        <f t="shared" si="35"/>
        <v>10500.000000000002</v>
      </c>
      <c r="M334" s="475"/>
    </row>
    <row r="335" spans="3:13" ht="22.8" customHeight="1">
      <c r="C335" s="798">
        <v>4</v>
      </c>
      <c r="D335" s="56" t="s">
        <v>19</v>
      </c>
      <c r="E335" s="61" t="s">
        <v>6</v>
      </c>
      <c r="F335" s="62">
        <v>2.1000000000000001E-2</v>
      </c>
      <c r="G335" s="63">
        <f>VLOOKUP(D335,upahbahan,3,FALSE)</f>
        <v>160000</v>
      </c>
      <c r="H335" s="63">
        <f t="shared" si="35"/>
        <v>3360</v>
      </c>
      <c r="M335" s="475"/>
    </row>
    <row r="336" spans="3:13" ht="22.8" customHeight="1">
      <c r="C336" s="450" t="s">
        <v>1208</v>
      </c>
      <c r="D336" s="67"/>
      <c r="E336" s="67"/>
      <c r="F336" s="142"/>
      <c r="G336" s="153"/>
      <c r="H336" s="63">
        <f>SUM(H332:H335)</f>
        <v>149520</v>
      </c>
      <c r="I336" s="154"/>
      <c r="J336" s="154"/>
      <c r="K336" s="154"/>
      <c r="M336" s="475"/>
    </row>
    <row r="337" spans="3:13" ht="22.8" customHeight="1">
      <c r="C337" s="61" t="s">
        <v>1209</v>
      </c>
      <c r="D337" s="56" t="s">
        <v>1210</v>
      </c>
      <c r="E337" s="57"/>
      <c r="F337" s="57"/>
      <c r="G337" s="57"/>
      <c r="H337" s="57"/>
      <c r="M337" s="475"/>
    </row>
    <row r="338" spans="3:13" ht="22.8" customHeight="1">
      <c r="C338" s="588">
        <v>1</v>
      </c>
      <c r="D338" s="56" t="s">
        <v>697</v>
      </c>
      <c r="E338" s="61" t="s">
        <v>135</v>
      </c>
      <c r="F338" s="62">
        <f>F321</f>
        <v>1.0249999999999999</v>
      </c>
      <c r="G338" s="63">
        <f>VLOOKUP(D338,upahbahan,3,FALSE)</f>
        <v>0</v>
      </c>
      <c r="H338" s="63">
        <f>F338*G338</f>
        <v>0</v>
      </c>
      <c r="M338" s="475"/>
    </row>
    <row r="339" spans="3:13" ht="22.8" customHeight="1">
      <c r="C339" s="450" t="s">
        <v>1214</v>
      </c>
      <c r="D339" s="67"/>
      <c r="E339" s="67"/>
      <c r="F339" s="67"/>
      <c r="G339" s="69"/>
      <c r="H339" s="63">
        <f>SUM(H338:H338)</f>
        <v>0</v>
      </c>
      <c r="M339" s="475"/>
    </row>
    <row r="340" spans="3:13" ht="22.8" customHeight="1">
      <c r="C340" s="61" t="s">
        <v>1215</v>
      </c>
      <c r="D340" s="56" t="s">
        <v>1216</v>
      </c>
      <c r="E340" s="57"/>
      <c r="F340" s="57"/>
      <c r="G340" s="57"/>
      <c r="H340" s="57"/>
      <c r="M340" s="475"/>
    </row>
    <row r="341" spans="3:13" ht="22.8" customHeight="1">
      <c r="C341" s="450" t="s">
        <v>1217</v>
      </c>
      <c r="D341" s="67"/>
      <c r="E341" s="67"/>
      <c r="F341" s="67"/>
      <c r="G341" s="69"/>
      <c r="H341" s="589">
        <v>0</v>
      </c>
      <c r="M341" s="475"/>
    </row>
    <row r="342" spans="3:13" ht="22.8" customHeight="1">
      <c r="C342" s="288" t="s">
        <v>1218</v>
      </c>
      <c r="D342" s="76" t="s">
        <v>1219</v>
      </c>
      <c r="E342" s="77"/>
      <c r="F342" s="77"/>
      <c r="G342" s="78"/>
      <c r="H342" s="585">
        <f>H341+H339+H336</f>
        <v>149520</v>
      </c>
      <c r="I342" s="369"/>
      <c r="M342" s="475"/>
    </row>
    <row r="343" spans="3:13" ht="22.8" customHeight="1">
      <c r="C343" s="288" t="s">
        <v>1220</v>
      </c>
      <c r="D343" s="76" t="s">
        <v>1402</v>
      </c>
      <c r="E343" s="77"/>
      <c r="F343" s="78"/>
      <c r="G343" s="481" t="s">
        <v>1403</v>
      </c>
      <c r="H343" s="585">
        <f>H342*10%</f>
        <v>14952</v>
      </c>
      <c r="I343" s="369"/>
      <c r="M343" s="475"/>
    </row>
    <row r="344" spans="3:13" ht="22.8" customHeight="1">
      <c r="C344" s="288" t="s">
        <v>1221</v>
      </c>
      <c r="D344" s="76" t="s">
        <v>1222</v>
      </c>
      <c r="E344" s="77"/>
      <c r="F344" s="77"/>
      <c r="G344" s="78"/>
      <c r="H344" s="799">
        <f>SUM(H342:H343)</f>
        <v>164472</v>
      </c>
      <c r="I344" s="369"/>
      <c r="M344" s="475"/>
    </row>
    <row r="345" spans="3:13" ht="22.8" customHeight="1">
      <c r="C345" s="54"/>
      <c r="D345" s="86"/>
      <c r="E345" s="86"/>
      <c r="F345" s="86"/>
      <c r="G345" s="86"/>
      <c r="H345" s="87"/>
      <c r="M345" s="475"/>
    </row>
    <row r="346" spans="3:13" ht="22.8" customHeight="1">
      <c r="C346" s="45" t="s">
        <v>3766</v>
      </c>
      <c r="D346" s="794" t="s">
        <v>1591</v>
      </c>
      <c r="E346" s="797"/>
      <c r="F346" s="797"/>
      <c r="G346" s="797"/>
      <c r="H346" s="797"/>
      <c r="I346" s="50">
        <f>ROUNDDOWN(H361,-2)</f>
        <v>164400</v>
      </c>
      <c r="J346" s="50"/>
      <c r="K346" s="50"/>
      <c r="M346" s="475"/>
    </row>
    <row r="347" spans="3:13" ht="22.8" customHeight="1">
      <c r="C347" s="591" t="s">
        <v>1195</v>
      </c>
      <c r="D347" s="591" t="s">
        <v>1196</v>
      </c>
      <c r="E347" s="591" t="s">
        <v>1197</v>
      </c>
      <c r="F347" s="591" t="s">
        <v>1198</v>
      </c>
      <c r="G347" s="591" t="s">
        <v>1199</v>
      </c>
      <c r="H347" s="591" t="s">
        <v>1200</v>
      </c>
      <c r="M347" s="475"/>
    </row>
    <row r="348" spans="3:13" ht="22.8" customHeight="1">
      <c r="C348" s="577" t="s">
        <v>1201</v>
      </c>
      <c r="D348" s="56" t="s">
        <v>1202</v>
      </c>
      <c r="E348" s="93"/>
      <c r="F348" s="57"/>
      <c r="G348" s="57"/>
      <c r="H348" s="57"/>
      <c r="M348" s="475"/>
    </row>
    <row r="349" spans="3:13" ht="22.8" customHeight="1">
      <c r="C349" s="798">
        <v>1</v>
      </c>
      <c r="D349" s="56" t="s">
        <v>5</v>
      </c>
      <c r="E349" s="61" t="s">
        <v>6</v>
      </c>
      <c r="F349" s="62">
        <v>0.41699999999999998</v>
      </c>
      <c r="G349" s="63">
        <f>VLOOKUP(D349,upahbahan,3,FALSE)</f>
        <v>100000</v>
      </c>
      <c r="H349" s="63">
        <f t="shared" ref="H349:H352" si="36">F349*G349</f>
        <v>41700</v>
      </c>
      <c r="M349" s="475"/>
    </row>
    <row r="350" spans="3:13" ht="22.8" customHeight="1">
      <c r="C350" s="798">
        <v>2</v>
      </c>
      <c r="D350" s="56" t="str">
        <f>D333</f>
        <v>Tukang pipa</v>
      </c>
      <c r="E350" s="61" t="s">
        <v>6</v>
      </c>
      <c r="F350" s="62">
        <v>0.69599999999999995</v>
      </c>
      <c r="G350" s="63">
        <f>VLOOKUP(D350,upahbahan,3,FALSE)</f>
        <v>135000</v>
      </c>
      <c r="H350" s="63">
        <f t="shared" si="36"/>
        <v>93960</v>
      </c>
      <c r="M350" s="475"/>
    </row>
    <row r="351" spans="3:13" ht="22.8" customHeight="1">
      <c r="C351" s="798">
        <v>3</v>
      </c>
      <c r="D351" s="56" t="s">
        <v>18</v>
      </c>
      <c r="E351" s="61" t="s">
        <v>6</v>
      </c>
      <c r="F351" s="62">
        <v>7.0000000000000007E-2</v>
      </c>
      <c r="G351" s="63">
        <f>VLOOKUP(D351,upahbahan,3,FALSE)</f>
        <v>150000</v>
      </c>
      <c r="H351" s="63">
        <f t="shared" si="36"/>
        <v>10500.000000000002</v>
      </c>
      <c r="M351" s="475"/>
    </row>
    <row r="352" spans="3:13" ht="22.8" customHeight="1">
      <c r="C352" s="798">
        <v>4</v>
      </c>
      <c r="D352" s="56" t="s">
        <v>19</v>
      </c>
      <c r="E352" s="61" t="s">
        <v>6</v>
      </c>
      <c r="F352" s="62">
        <v>2.1000000000000001E-2</v>
      </c>
      <c r="G352" s="63">
        <f>VLOOKUP(D352,upahbahan,3,FALSE)</f>
        <v>160000</v>
      </c>
      <c r="H352" s="63">
        <f t="shared" si="36"/>
        <v>3360</v>
      </c>
      <c r="M352" s="475"/>
    </row>
    <row r="353" spans="3:13" ht="22.8" customHeight="1">
      <c r="C353" s="450" t="s">
        <v>1208</v>
      </c>
      <c r="D353" s="67"/>
      <c r="E353" s="67"/>
      <c r="F353" s="142"/>
      <c r="G353" s="153"/>
      <c r="H353" s="63">
        <f>SUM(H349:H352)</f>
        <v>149520</v>
      </c>
      <c r="I353" s="154"/>
      <c r="J353" s="154"/>
      <c r="K353" s="154"/>
      <c r="M353" s="475"/>
    </row>
    <row r="354" spans="3:13" ht="22.8" customHeight="1">
      <c r="C354" s="61" t="s">
        <v>1209</v>
      </c>
      <c r="D354" s="56" t="s">
        <v>1210</v>
      </c>
      <c r="E354" s="57"/>
      <c r="F354" s="57"/>
      <c r="G354" s="57"/>
      <c r="H354" s="57"/>
      <c r="M354" s="475"/>
    </row>
    <row r="355" spans="3:13" ht="22.8" customHeight="1">
      <c r="C355" s="588">
        <v>1</v>
      </c>
      <c r="D355" s="56" t="s">
        <v>696</v>
      </c>
      <c r="E355" s="61" t="s">
        <v>135</v>
      </c>
      <c r="F355" s="62">
        <f>F338</f>
        <v>1.0249999999999999</v>
      </c>
      <c r="G355" s="63">
        <f>VLOOKUP(D355,upahbahan,3,FALSE)</f>
        <v>0</v>
      </c>
      <c r="H355" s="63">
        <f t="shared" ref="H355" si="37">F355*G355</f>
        <v>0</v>
      </c>
      <c r="M355" s="475"/>
    </row>
    <row r="356" spans="3:13" ht="22.8" customHeight="1">
      <c r="C356" s="450" t="s">
        <v>1214</v>
      </c>
      <c r="D356" s="67"/>
      <c r="E356" s="67"/>
      <c r="F356" s="67"/>
      <c r="G356" s="69"/>
      <c r="H356" s="63">
        <f>SUM(H355:H355)</f>
        <v>0</v>
      </c>
      <c r="M356" s="475"/>
    </row>
    <row r="357" spans="3:13" ht="22.8" customHeight="1">
      <c r="C357" s="61" t="s">
        <v>1215</v>
      </c>
      <c r="D357" s="56" t="s">
        <v>1216</v>
      </c>
      <c r="E357" s="57"/>
      <c r="F357" s="57"/>
      <c r="G357" s="57"/>
      <c r="H357" s="57"/>
      <c r="M357" s="475"/>
    </row>
    <row r="358" spans="3:13" ht="22.8" customHeight="1">
      <c r="C358" s="450" t="s">
        <v>1217</v>
      </c>
      <c r="D358" s="67"/>
      <c r="E358" s="67"/>
      <c r="F358" s="67"/>
      <c r="G358" s="69"/>
      <c r="H358" s="589">
        <v>0</v>
      </c>
      <c r="M358" s="475"/>
    </row>
    <row r="359" spans="3:13" ht="22.8" customHeight="1">
      <c r="C359" s="288" t="s">
        <v>1218</v>
      </c>
      <c r="D359" s="76" t="s">
        <v>1219</v>
      </c>
      <c r="E359" s="77"/>
      <c r="F359" s="77"/>
      <c r="G359" s="78"/>
      <c r="H359" s="585">
        <f>H358+H356+H353</f>
        <v>149520</v>
      </c>
      <c r="I359" s="369"/>
      <c r="M359" s="475"/>
    </row>
    <row r="360" spans="3:13" ht="22.8" customHeight="1">
      <c r="C360" s="288" t="s">
        <v>1220</v>
      </c>
      <c r="D360" s="76" t="s">
        <v>1402</v>
      </c>
      <c r="E360" s="77"/>
      <c r="F360" s="78"/>
      <c r="G360" s="481" t="s">
        <v>1403</v>
      </c>
      <c r="H360" s="585">
        <f>H359*10%</f>
        <v>14952</v>
      </c>
      <c r="I360" s="369"/>
      <c r="M360" s="475"/>
    </row>
    <row r="361" spans="3:13" ht="22.8" customHeight="1">
      <c r="C361" s="288" t="s">
        <v>1221</v>
      </c>
      <c r="D361" s="76" t="s">
        <v>1222</v>
      </c>
      <c r="E361" s="77"/>
      <c r="F361" s="77"/>
      <c r="G361" s="78"/>
      <c r="H361" s="799">
        <f>SUM(H359:H360)</f>
        <v>164472</v>
      </c>
      <c r="I361" s="369"/>
      <c r="M361" s="475"/>
    </row>
    <row r="362" spans="3:13" ht="22.8" customHeight="1">
      <c r="C362" s="54"/>
      <c r="D362" s="86"/>
      <c r="E362" s="86"/>
      <c r="F362" s="86"/>
      <c r="G362" s="86"/>
      <c r="H362" s="87"/>
      <c r="M362" s="475"/>
    </row>
    <row r="363" spans="3:13" ht="22.8" customHeight="1">
      <c r="C363" s="45" t="s">
        <v>3767</v>
      </c>
      <c r="D363" s="794" t="s">
        <v>1592</v>
      </c>
      <c r="E363" s="797"/>
      <c r="F363" s="797"/>
      <c r="G363" s="797"/>
      <c r="H363" s="797"/>
      <c r="I363" s="50">
        <f>ROUNDDOWN(H378,-2)</f>
        <v>2206500</v>
      </c>
      <c r="J363" s="50"/>
      <c r="K363" s="50"/>
      <c r="M363" s="475"/>
    </row>
    <row r="364" spans="3:13" ht="22.8" customHeight="1">
      <c r="C364" s="591" t="s">
        <v>1195</v>
      </c>
      <c r="D364" s="591" t="s">
        <v>1196</v>
      </c>
      <c r="E364" s="591" t="s">
        <v>1197</v>
      </c>
      <c r="F364" s="591" t="s">
        <v>1198</v>
      </c>
      <c r="G364" s="591" t="s">
        <v>1199</v>
      </c>
      <c r="H364" s="591" t="s">
        <v>1200</v>
      </c>
      <c r="M364" s="475"/>
    </row>
    <row r="365" spans="3:13" ht="22.8" customHeight="1">
      <c r="C365" s="577" t="s">
        <v>1201</v>
      </c>
      <c r="D365" s="56" t="s">
        <v>1202</v>
      </c>
      <c r="E365" s="57"/>
      <c r="F365" s="57"/>
      <c r="G365" s="57"/>
      <c r="H365" s="57"/>
      <c r="M365" s="475"/>
    </row>
    <row r="366" spans="3:13" ht="22.8" customHeight="1">
      <c r="C366" s="798">
        <v>1</v>
      </c>
      <c r="D366" s="56" t="s">
        <v>5</v>
      </c>
      <c r="E366" s="577" t="s">
        <v>6</v>
      </c>
      <c r="F366" s="98">
        <v>0.76300000000000001</v>
      </c>
      <c r="G366" s="63">
        <f>VLOOKUP(D366,upahbahan,3,FALSE)</f>
        <v>100000</v>
      </c>
      <c r="H366" s="63">
        <f t="shared" ref="H366:H369" si="38">F366*G366</f>
        <v>76300</v>
      </c>
      <c r="M366" s="475"/>
    </row>
    <row r="367" spans="3:13" ht="22.8" customHeight="1">
      <c r="C367" s="798">
        <v>2</v>
      </c>
      <c r="D367" s="56" t="str">
        <f>D350</f>
        <v>Tukang pipa</v>
      </c>
      <c r="E367" s="577" t="s">
        <v>6</v>
      </c>
      <c r="F367" s="98">
        <v>1.274</v>
      </c>
      <c r="G367" s="63">
        <f>VLOOKUP(D367,upahbahan,3,FALSE)</f>
        <v>135000</v>
      </c>
      <c r="H367" s="63">
        <f t="shared" si="38"/>
        <v>171990</v>
      </c>
      <c r="M367" s="475"/>
    </row>
    <row r="368" spans="3:13" ht="22.8" customHeight="1">
      <c r="C368" s="798">
        <v>3</v>
      </c>
      <c r="D368" s="56" t="s">
        <v>18</v>
      </c>
      <c r="E368" s="577" t="s">
        <v>6</v>
      </c>
      <c r="F368" s="98">
        <v>0.127</v>
      </c>
      <c r="G368" s="63">
        <f>VLOOKUP(D368,upahbahan,3,FALSE)</f>
        <v>150000</v>
      </c>
      <c r="H368" s="63">
        <f t="shared" si="38"/>
        <v>19050</v>
      </c>
      <c r="M368" s="475"/>
    </row>
    <row r="369" spans="3:13" ht="22.8" customHeight="1">
      <c r="C369" s="798">
        <v>4</v>
      </c>
      <c r="D369" s="56" t="s">
        <v>19</v>
      </c>
      <c r="E369" s="577" t="s">
        <v>6</v>
      </c>
      <c r="F369" s="98">
        <v>3.7999999999999999E-2</v>
      </c>
      <c r="G369" s="63">
        <f>VLOOKUP(D369,upahbahan,3,FALSE)</f>
        <v>160000</v>
      </c>
      <c r="H369" s="63">
        <f t="shared" si="38"/>
        <v>6080</v>
      </c>
      <c r="M369" s="475"/>
    </row>
    <row r="370" spans="3:13" ht="22.8" customHeight="1">
      <c r="C370" s="450" t="s">
        <v>1208</v>
      </c>
      <c r="D370" s="67"/>
      <c r="E370" s="67"/>
      <c r="F370" s="142"/>
      <c r="G370" s="153"/>
      <c r="H370" s="63">
        <f>SUM(H366:H369)</f>
        <v>273420</v>
      </c>
      <c r="I370" s="154"/>
      <c r="J370" s="154"/>
      <c r="K370" s="154"/>
      <c r="M370" s="475"/>
    </row>
    <row r="371" spans="3:13" ht="22.8" customHeight="1">
      <c r="C371" s="577" t="s">
        <v>1209</v>
      </c>
      <c r="D371" s="56" t="s">
        <v>1210</v>
      </c>
      <c r="E371" s="57"/>
      <c r="F371" s="57"/>
      <c r="G371" s="57"/>
      <c r="H371" s="57"/>
      <c r="M371" s="475"/>
    </row>
    <row r="372" spans="3:13" ht="22.8" customHeight="1">
      <c r="C372" s="798">
        <v>1</v>
      </c>
      <c r="D372" s="56" t="s">
        <v>699</v>
      </c>
      <c r="E372" s="73" t="s">
        <v>135</v>
      </c>
      <c r="F372" s="276">
        <v>1.1000000000000001</v>
      </c>
      <c r="G372" s="63">
        <f>VLOOKUP(D372,upahbahan,3,FALSE)</f>
        <v>1575000</v>
      </c>
      <c r="H372" s="63">
        <f t="shared" ref="H372" si="39">F372*G372</f>
        <v>1732500.0000000002</v>
      </c>
      <c r="M372" s="475"/>
    </row>
    <row r="373" spans="3:13" ht="22.8" customHeight="1">
      <c r="C373" s="450" t="s">
        <v>1214</v>
      </c>
      <c r="D373" s="67"/>
      <c r="E373" s="67"/>
      <c r="F373" s="67"/>
      <c r="G373" s="69"/>
      <c r="H373" s="63">
        <f>SUM(H372:H372)</f>
        <v>1732500.0000000002</v>
      </c>
      <c r="M373" s="475"/>
    </row>
    <row r="374" spans="3:13" ht="22.8" customHeight="1">
      <c r="C374" s="61" t="s">
        <v>1215</v>
      </c>
      <c r="D374" s="56" t="s">
        <v>1216</v>
      </c>
      <c r="E374" s="57"/>
      <c r="F374" s="57"/>
      <c r="G374" s="57"/>
      <c r="H374" s="57"/>
      <c r="M374" s="475"/>
    </row>
    <row r="375" spans="3:13" ht="22.8" customHeight="1">
      <c r="C375" s="450" t="s">
        <v>1217</v>
      </c>
      <c r="D375" s="67"/>
      <c r="E375" s="67"/>
      <c r="F375" s="67"/>
      <c r="G375" s="69"/>
      <c r="H375" s="589">
        <v>0</v>
      </c>
      <c r="M375" s="475"/>
    </row>
    <row r="376" spans="3:13" ht="22.8" customHeight="1">
      <c r="C376" s="288" t="s">
        <v>1218</v>
      </c>
      <c r="D376" s="76" t="s">
        <v>1219</v>
      </c>
      <c r="E376" s="77"/>
      <c r="F376" s="77"/>
      <c r="G376" s="78"/>
      <c r="H376" s="585">
        <f>H375+H373+H370</f>
        <v>2005920.0000000002</v>
      </c>
      <c r="I376" s="369"/>
      <c r="M376" s="475"/>
    </row>
    <row r="377" spans="3:13" ht="22.8" customHeight="1">
      <c r="C377" s="288" t="s">
        <v>1220</v>
      </c>
      <c r="D377" s="76" t="s">
        <v>1402</v>
      </c>
      <c r="E377" s="77"/>
      <c r="F377" s="78"/>
      <c r="G377" s="481" t="s">
        <v>1403</v>
      </c>
      <c r="H377" s="585">
        <f>H376*10%</f>
        <v>200592.00000000003</v>
      </c>
      <c r="I377" s="369"/>
      <c r="M377" s="475"/>
    </row>
    <row r="378" spans="3:13" ht="22.8" customHeight="1">
      <c r="C378" s="288" t="s">
        <v>1221</v>
      </c>
      <c r="D378" s="76" t="s">
        <v>1222</v>
      </c>
      <c r="E378" s="77"/>
      <c r="F378" s="77"/>
      <c r="G378" s="78"/>
      <c r="H378" s="799">
        <f>SUM(H376:H377)</f>
        <v>2206512.0000000005</v>
      </c>
      <c r="I378" s="369"/>
      <c r="M378" s="475"/>
    </row>
    <row r="379" spans="3:13" ht="22.8" customHeight="1">
      <c r="C379" s="89"/>
      <c r="D379" s="90"/>
      <c r="E379" s="90"/>
      <c r="F379" s="90"/>
      <c r="G379" s="90"/>
      <c r="H379" s="796"/>
      <c r="M379" s="475"/>
    </row>
    <row r="380" spans="3:13" ht="22.8" customHeight="1">
      <c r="C380" s="45" t="s">
        <v>3768</v>
      </c>
      <c r="D380" s="794" t="s">
        <v>1593</v>
      </c>
      <c r="E380" s="797"/>
      <c r="F380" s="797"/>
      <c r="G380" s="797"/>
      <c r="H380" s="797"/>
      <c r="I380" s="50">
        <f>ROUNDDOWN(H395,-2)</f>
        <v>300700</v>
      </c>
      <c r="J380" s="50"/>
      <c r="K380" s="50"/>
      <c r="M380" s="475"/>
    </row>
    <row r="381" spans="3:13" ht="22.8" customHeight="1">
      <c r="C381" s="591" t="s">
        <v>1195</v>
      </c>
      <c r="D381" s="591" t="s">
        <v>1196</v>
      </c>
      <c r="E381" s="591" t="s">
        <v>1197</v>
      </c>
      <c r="F381" s="591" t="s">
        <v>1198</v>
      </c>
      <c r="G381" s="591" t="s">
        <v>1199</v>
      </c>
      <c r="H381" s="591" t="s">
        <v>1200</v>
      </c>
      <c r="M381" s="475"/>
    </row>
    <row r="382" spans="3:13" ht="22.8" customHeight="1">
      <c r="C382" s="61" t="s">
        <v>1201</v>
      </c>
      <c r="D382" s="56" t="s">
        <v>1202</v>
      </c>
      <c r="E382" s="57"/>
      <c r="F382" s="57"/>
      <c r="G382" s="57"/>
      <c r="H382" s="57"/>
      <c r="M382" s="475"/>
    </row>
    <row r="383" spans="3:13" ht="22.8" customHeight="1">
      <c r="C383" s="588">
        <v>1</v>
      </c>
      <c r="D383" s="56" t="s">
        <v>5</v>
      </c>
      <c r="E383" s="577" t="s">
        <v>6</v>
      </c>
      <c r="F383" s="98">
        <v>0.76300000000000001</v>
      </c>
      <c r="G383" s="63">
        <f>VLOOKUP(D383,upahbahan,3,FALSE)</f>
        <v>100000</v>
      </c>
      <c r="H383" s="63">
        <f t="shared" ref="H383:H386" si="40">F383*G383</f>
        <v>76300</v>
      </c>
      <c r="M383" s="475"/>
    </row>
    <row r="384" spans="3:13" ht="22.8" customHeight="1">
      <c r="C384" s="588">
        <v>2</v>
      </c>
      <c r="D384" s="56" t="str">
        <f>D367</f>
        <v>Tukang pipa</v>
      </c>
      <c r="E384" s="577" t="s">
        <v>6</v>
      </c>
      <c r="F384" s="98">
        <v>1.274</v>
      </c>
      <c r="G384" s="63">
        <f>VLOOKUP(D384,upahbahan,3,FALSE)</f>
        <v>135000</v>
      </c>
      <c r="H384" s="63">
        <f t="shared" si="40"/>
        <v>171990</v>
      </c>
      <c r="M384" s="475"/>
    </row>
    <row r="385" spans="3:13" ht="22.8" customHeight="1">
      <c r="C385" s="588">
        <v>3</v>
      </c>
      <c r="D385" s="56" t="s">
        <v>18</v>
      </c>
      <c r="E385" s="577" t="s">
        <v>6</v>
      </c>
      <c r="F385" s="98">
        <v>0.127</v>
      </c>
      <c r="G385" s="63">
        <f>VLOOKUP(D385,upahbahan,3,FALSE)</f>
        <v>150000</v>
      </c>
      <c r="H385" s="63">
        <f t="shared" si="40"/>
        <v>19050</v>
      </c>
      <c r="M385" s="475"/>
    </row>
    <row r="386" spans="3:13" ht="22.8" customHeight="1">
      <c r="C386" s="588">
        <v>4</v>
      </c>
      <c r="D386" s="56" t="s">
        <v>19</v>
      </c>
      <c r="E386" s="577" t="s">
        <v>6</v>
      </c>
      <c r="F386" s="98">
        <v>3.7999999999999999E-2</v>
      </c>
      <c r="G386" s="63">
        <f>VLOOKUP(D386,upahbahan,3,FALSE)</f>
        <v>160000</v>
      </c>
      <c r="H386" s="63">
        <f t="shared" si="40"/>
        <v>6080</v>
      </c>
      <c r="M386" s="475"/>
    </row>
    <row r="387" spans="3:13" ht="22.8" customHeight="1">
      <c r="C387" s="450" t="s">
        <v>1208</v>
      </c>
      <c r="D387" s="67"/>
      <c r="E387" s="67"/>
      <c r="F387" s="142"/>
      <c r="G387" s="153"/>
      <c r="H387" s="63">
        <f>SUM(H383:H386)</f>
        <v>273420</v>
      </c>
      <c r="I387" s="154"/>
      <c r="J387" s="154"/>
      <c r="K387" s="154"/>
      <c r="M387" s="475"/>
    </row>
    <row r="388" spans="3:13" ht="22.8" customHeight="1">
      <c r="C388" s="61" t="s">
        <v>1209</v>
      </c>
      <c r="D388" s="56" t="s">
        <v>1210</v>
      </c>
      <c r="E388" s="57"/>
      <c r="F388" s="57"/>
      <c r="G388" s="57"/>
      <c r="H388" s="57"/>
      <c r="M388" s="475"/>
    </row>
    <row r="389" spans="3:13" ht="22.8" customHeight="1">
      <c r="C389" s="588">
        <v>1</v>
      </c>
      <c r="D389" s="56" t="s">
        <v>700</v>
      </c>
      <c r="E389" s="73" t="s">
        <v>135</v>
      </c>
      <c r="F389" s="276">
        <f>F372</f>
        <v>1.1000000000000001</v>
      </c>
      <c r="G389" s="63">
        <f>VLOOKUP(D389,upahbahan,3,FALSE)</f>
        <v>0</v>
      </c>
      <c r="H389" s="63">
        <f t="shared" ref="H389" si="41">F389*G389</f>
        <v>0</v>
      </c>
      <c r="M389" s="475"/>
    </row>
    <row r="390" spans="3:13" ht="22.8" customHeight="1">
      <c r="C390" s="450" t="s">
        <v>1214</v>
      </c>
      <c r="D390" s="67"/>
      <c r="E390" s="67"/>
      <c r="F390" s="67"/>
      <c r="G390" s="69"/>
      <c r="H390" s="63">
        <f>SUM(H389:H389)</f>
        <v>0</v>
      </c>
      <c r="M390" s="475"/>
    </row>
    <row r="391" spans="3:13" ht="22.8" customHeight="1">
      <c r="C391" s="61" t="s">
        <v>1215</v>
      </c>
      <c r="D391" s="56" t="s">
        <v>1216</v>
      </c>
      <c r="E391" s="57"/>
      <c r="F391" s="57"/>
      <c r="G391" s="57"/>
      <c r="H391" s="57"/>
      <c r="M391" s="475"/>
    </row>
    <row r="392" spans="3:13" ht="22.8" customHeight="1">
      <c r="C392" s="450" t="s">
        <v>1217</v>
      </c>
      <c r="D392" s="67"/>
      <c r="E392" s="67"/>
      <c r="F392" s="67"/>
      <c r="G392" s="69"/>
      <c r="H392" s="589">
        <v>0</v>
      </c>
      <c r="M392" s="475"/>
    </row>
    <row r="393" spans="3:13" ht="22.8" customHeight="1">
      <c r="C393" s="288" t="s">
        <v>1218</v>
      </c>
      <c r="D393" s="76" t="s">
        <v>1219</v>
      </c>
      <c r="E393" s="77"/>
      <c r="F393" s="77"/>
      <c r="G393" s="78"/>
      <c r="H393" s="585">
        <f>H392+H390+H387</f>
        <v>273420</v>
      </c>
      <c r="I393" s="369"/>
      <c r="M393" s="475"/>
    </row>
    <row r="394" spans="3:13" ht="22.8" customHeight="1">
      <c r="C394" s="288" t="s">
        <v>1220</v>
      </c>
      <c r="D394" s="76" t="s">
        <v>1402</v>
      </c>
      <c r="E394" s="77"/>
      <c r="F394" s="78"/>
      <c r="G394" s="481" t="s">
        <v>1403</v>
      </c>
      <c r="H394" s="585">
        <f>H393*10%</f>
        <v>27342</v>
      </c>
      <c r="I394" s="369"/>
      <c r="M394" s="475"/>
    </row>
    <row r="395" spans="3:13" ht="22.8" customHeight="1">
      <c r="C395" s="288" t="s">
        <v>1221</v>
      </c>
      <c r="D395" s="76" t="s">
        <v>1222</v>
      </c>
      <c r="E395" s="77"/>
      <c r="F395" s="77"/>
      <c r="G395" s="78"/>
      <c r="H395" s="799">
        <f>SUM(H393:H394)</f>
        <v>300762</v>
      </c>
      <c r="I395" s="369"/>
      <c r="M395" s="475"/>
    </row>
    <row r="396" spans="3:13" ht="22.8" customHeight="1">
      <c r="C396" s="54"/>
      <c r="D396" s="86"/>
      <c r="E396" s="86"/>
      <c r="F396" s="86"/>
      <c r="G396" s="86"/>
      <c r="H396" s="87"/>
      <c r="M396" s="475"/>
    </row>
    <row r="397" spans="3:13" ht="22.8" customHeight="1">
      <c r="C397" s="45" t="s">
        <v>3769</v>
      </c>
      <c r="D397" s="794" t="s">
        <v>1594</v>
      </c>
      <c r="E397" s="797"/>
      <c r="F397" s="797"/>
      <c r="G397" s="797"/>
      <c r="H397" s="797"/>
      <c r="I397" s="50">
        <f>ROUNDDOWN(H412,-2)</f>
        <v>300700</v>
      </c>
      <c r="J397" s="50"/>
      <c r="K397" s="50"/>
      <c r="M397" s="475"/>
    </row>
    <row r="398" spans="3:13" ht="22.8" customHeight="1">
      <c r="C398" s="591" t="s">
        <v>1195</v>
      </c>
      <c r="D398" s="591" t="s">
        <v>1196</v>
      </c>
      <c r="E398" s="591" t="s">
        <v>1197</v>
      </c>
      <c r="F398" s="591" t="s">
        <v>1198</v>
      </c>
      <c r="G398" s="591" t="s">
        <v>1199</v>
      </c>
      <c r="H398" s="591" t="s">
        <v>1200</v>
      </c>
      <c r="M398" s="475"/>
    </row>
    <row r="399" spans="3:13" ht="22.8" customHeight="1">
      <c r="C399" s="577" t="s">
        <v>1201</v>
      </c>
      <c r="D399" s="56" t="s">
        <v>1202</v>
      </c>
      <c r="E399" s="57"/>
      <c r="F399" s="57"/>
      <c r="G399" s="57"/>
      <c r="H399" s="57"/>
      <c r="M399" s="475"/>
    </row>
    <row r="400" spans="3:13" ht="22.8" customHeight="1">
      <c r="C400" s="798">
        <v>1</v>
      </c>
      <c r="D400" s="56" t="s">
        <v>5</v>
      </c>
      <c r="E400" s="577" t="s">
        <v>6</v>
      </c>
      <c r="F400" s="98">
        <v>0.76300000000000001</v>
      </c>
      <c r="G400" s="63">
        <f>VLOOKUP(D400,upahbahan,3,FALSE)</f>
        <v>100000</v>
      </c>
      <c r="H400" s="63">
        <f t="shared" ref="H400:H403" si="42">F400*G400</f>
        <v>76300</v>
      </c>
      <c r="M400" s="475"/>
    </row>
    <row r="401" spans="3:13" ht="22.8" customHeight="1">
      <c r="C401" s="798">
        <v>2</v>
      </c>
      <c r="D401" s="56" t="str">
        <f>D384</f>
        <v>Tukang pipa</v>
      </c>
      <c r="E401" s="577" t="s">
        <v>6</v>
      </c>
      <c r="F401" s="98">
        <v>1.274</v>
      </c>
      <c r="G401" s="63">
        <f>VLOOKUP(D401,upahbahan,3,FALSE)</f>
        <v>135000</v>
      </c>
      <c r="H401" s="63">
        <f t="shared" si="42"/>
        <v>171990</v>
      </c>
      <c r="M401" s="475"/>
    </row>
    <row r="402" spans="3:13" ht="22.8" customHeight="1">
      <c r="C402" s="798">
        <v>3</v>
      </c>
      <c r="D402" s="56" t="s">
        <v>18</v>
      </c>
      <c r="E402" s="577" t="s">
        <v>6</v>
      </c>
      <c r="F402" s="98">
        <v>0.127</v>
      </c>
      <c r="G402" s="63">
        <f>VLOOKUP(D402,upahbahan,3,FALSE)</f>
        <v>150000</v>
      </c>
      <c r="H402" s="63">
        <f t="shared" si="42"/>
        <v>19050</v>
      </c>
      <c r="M402" s="475"/>
    </row>
    <row r="403" spans="3:13" ht="22.8" customHeight="1">
      <c r="C403" s="798">
        <v>4</v>
      </c>
      <c r="D403" s="56" t="s">
        <v>19</v>
      </c>
      <c r="E403" s="577" t="s">
        <v>6</v>
      </c>
      <c r="F403" s="98">
        <v>3.7999999999999999E-2</v>
      </c>
      <c r="G403" s="63">
        <f>VLOOKUP(D403,upahbahan,3,FALSE)</f>
        <v>160000</v>
      </c>
      <c r="H403" s="63">
        <f t="shared" si="42"/>
        <v>6080</v>
      </c>
      <c r="M403" s="475"/>
    </row>
    <row r="404" spans="3:13" ht="22.8" customHeight="1">
      <c r="C404" s="450" t="s">
        <v>1208</v>
      </c>
      <c r="D404" s="67"/>
      <c r="E404" s="67"/>
      <c r="F404" s="142"/>
      <c r="G404" s="153"/>
      <c r="H404" s="63">
        <f>SUM(H400:H403)</f>
        <v>273420</v>
      </c>
      <c r="I404" s="154"/>
      <c r="J404" s="154"/>
      <c r="K404" s="154"/>
      <c r="M404" s="475"/>
    </row>
    <row r="405" spans="3:13" ht="22.8" customHeight="1">
      <c r="C405" s="577" t="s">
        <v>1209</v>
      </c>
      <c r="D405" s="56" t="s">
        <v>1210</v>
      </c>
      <c r="E405" s="57"/>
      <c r="F405" s="57"/>
      <c r="G405" s="57"/>
      <c r="H405" s="57"/>
      <c r="M405" s="475"/>
    </row>
    <row r="406" spans="3:13" ht="22.8" customHeight="1">
      <c r="C406" s="798">
        <v>1</v>
      </c>
      <c r="D406" s="56" t="s">
        <v>698</v>
      </c>
      <c r="E406" s="73" t="s">
        <v>135</v>
      </c>
      <c r="F406" s="276">
        <f>F389</f>
        <v>1.1000000000000001</v>
      </c>
      <c r="G406" s="63">
        <f>VLOOKUP(D406,upahbahan,3,FALSE)</f>
        <v>0</v>
      </c>
      <c r="H406" s="63">
        <f t="shared" ref="H406" si="43">F406*G406</f>
        <v>0</v>
      </c>
      <c r="M406" s="475"/>
    </row>
    <row r="407" spans="3:13" ht="22.8" customHeight="1">
      <c r="C407" s="450" t="s">
        <v>1214</v>
      </c>
      <c r="D407" s="67"/>
      <c r="E407" s="67"/>
      <c r="F407" s="67"/>
      <c r="G407" s="69"/>
      <c r="H407" s="63">
        <f>SUM(H406:H406)</f>
        <v>0</v>
      </c>
      <c r="M407" s="475"/>
    </row>
    <row r="408" spans="3:13" ht="22.8" customHeight="1">
      <c r="C408" s="61" t="s">
        <v>1215</v>
      </c>
      <c r="D408" s="56" t="s">
        <v>1216</v>
      </c>
      <c r="E408" s="57"/>
      <c r="F408" s="57"/>
      <c r="G408" s="57"/>
      <c r="H408" s="57"/>
      <c r="M408" s="475"/>
    </row>
    <row r="409" spans="3:13" ht="22.8" customHeight="1">
      <c r="C409" s="450" t="s">
        <v>1217</v>
      </c>
      <c r="D409" s="67"/>
      <c r="E409" s="67"/>
      <c r="F409" s="67"/>
      <c r="G409" s="69"/>
      <c r="H409" s="589">
        <v>0</v>
      </c>
      <c r="M409" s="475"/>
    </row>
    <row r="410" spans="3:13" ht="22.8" customHeight="1">
      <c r="C410" s="288" t="s">
        <v>1218</v>
      </c>
      <c r="D410" s="76" t="s">
        <v>1219</v>
      </c>
      <c r="E410" s="77"/>
      <c r="F410" s="77"/>
      <c r="G410" s="78"/>
      <c r="H410" s="585">
        <f>H409+H407+H404</f>
        <v>273420</v>
      </c>
      <c r="I410" s="369"/>
      <c r="M410" s="475"/>
    </row>
    <row r="411" spans="3:13" ht="22.8" customHeight="1">
      <c r="C411" s="288" t="s">
        <v>1220</v>
      </c>
      <c r="D411" s="76" t="s">
        <v>1402</v>
      </c>
      <c r="E411" s="77"/>
      <c r="F411" s="78"/>
      <c r="G411" s="481" t="s">
        <v>1403</v>
      </c>
      <c r="H411" s="585">
        <f>H410*10%</f>
        <v>27342</v>
      </c>
      <c r="I411" s="369"/>
      <c r="M411" s="475"/>
    </row>
    <row r="412" spans="3:13" ht="22.8" customHeight="1">
      <c r="C412" s="288" t="s">
        <v>1221</v>
      </c>
      <c r="D412" s="76" t="s">
        <v>1222</v>
      </c>
      <c r="E412" s="77"/>
      <c r="F412" s="77"/>
      <c r="G412" s="78"/>
      <c r="H412" s="799">
        <f>SUM(H410:H411)</f>
        <v>300762</v>
      </c>
      <c r="I412" s="369"/>
      <c r="M412" s="475"/>
    </row>
    <row r="413" spans="3:13" ht="22.8" customHeight="1">
      <c r="C413" s="54"/>
      <c r="D413" s="86"/>
      <c r="E413" s="86"/>
      <c r="F413" s="86"/>
      <c r="G413" s="86"/>
      <c r="H413" s="87"/>
      <c r="M413" s="475"/>
    </row>
    <row r="414" spans="3:13" ht="22.8" customHeight="1">
      <c r="C414" s="45" t="s">
        <v>3770</v>
      </c>
      <c r="D414" s="794" t="s">
        <v>1595</v>
      </c>
      <c r="E414" s="797"/>
      <c r="F414" s="797"/>
      <c r="G414" s="797"/>
      <c r="H414" s="797"/>
      <c r="I414" s="50">
        <f>ROUNDDOWN(H429,-2)</f>
        <v>246400</v>
      </c>
      <c r="J414" s="50"/>
      <c r="K414" s="50"/>
      <c r="M414" s="475"/>
    </row>
    <row r="415" spans="3:13" ht="22.8" customHeight="1">
      <c r="C415" s="591" t="s">
        <v>1195</v>
      </c>
      <c r="D415" s="591" t="s">
        <v>1196</v>
      </c>
      <c r="E415" s="591" t="s">
        <v>1197</v>
      </c>
      <c r="F415" s="591" t="s">
        <v>1198</v>
      </c>
      <c r="G415" s="591" t="s">
        <v>1199</v>
      </c>
      <c r="H415" s="591" t="s">
        <v>1200</v>
      </c>
      <c r="M415" s="475"/>
    </row>
    <row r="416" spans="3:13" ht="22.8" customHeight="1">
      <c r="C416" s="577" t="s">
        <v>1201</v>
      </c>
      <c r="D416" s="56" t="s">
        <v>1202</v>
      </c>
      <c r="E416" s="57"/>
      <c r="F416" s="57"/>
      <c r="G416" s="57"/>
      <c r="H416" s="57"/>
      <c r="M416" s="475"/>
    </row>
    <row r="417" spans="3:13" ht="22.8" customHeight="1">
      <c r="C417" s="798">
        <v>1</v>
      </c>
      <c r="D417" s="56" t="s">
        <v>5</v>
      </c>
      <c r="E417" s="577" t="s">
        <v>6</v>
      </c>
      <c r="F417" s="98">
        <v>0.625</v>
      </c>
      <c r="G417" s="63">
        <f>VLOOKUP(D417,upahbahan,3,FALSE)</f>
        <v>100000</v>
      </c>
      <c r="H417" s="63">
        <f t="shared" ref="H417:H420" si="44">F417*G417</f>
        <v>62500</v>
      </c>
      <c r="M417" s="475"/>
    </row>
    <row r="418" spans="3:13" ht="22.8" customHeight="1">
      <c r="C418" s="798">
        <v>2</v>
      </c>
      <c r="D418" s="56" t="str">
        <f>D401</f>
        <v>Tukang pipa</v>
      </c>
      <c r="E418" s="577" t="s">
        <v>6</v>
      </c>
      <c r="F418" s="98">
        <v>1.044</v>
      </c>
      <c r="G418" s="63">
        <f>VLOOKUP(D418,upahbahan,3,FALSE)</f>
        <v>135000</v>
      </c>
      <c r="H418" s="63">
        <f t="shared" si="44"/>
        <v>140940</v>
      </c>
      <c r="M418" s="475"/>
    </row>
    <row r="419" spans="3:13" ht="22.8" customHeight="1">
      <c r="C419" s="798">
        <v>3</v>
      </c>
      <c r="D419" s="56" t="s">
        <v>18</v>
      </c>
      <c r="E419" s="577" t="s">
        <v>6</v>
      </c>
      <c r="F419" s="98">
        <v>0.104</v>
      </c>
      <c r="G419" s="63">
        <f>VLOOKUP(D419,upahbahan,3,FALSE)</f>
        <v>150000</v>
      </c>
      <c r="H419" s="63">
        <f t="shared" si="44"/>
        <v>15600</v>
      </c>
      <c r="M419" s="475"/>
    </row>
    <row r="420" spans="3:13" ht="22.8" customHeight="1">
      <c r="C420" s="798">
        <v>4</v>
      </c>
      <c r="D420" s="56" t="s">
        <v>19</v>
      </c>
      <c r="E420" s="577" t="s">
        <v>6</v>
      </c>
      <c r="F420" s="98">
        <v>3.1E-2</v>
      </c>
      <c r="G420" s="63">
        <f>VLOOKUP(D420,upahbahan,3,FALSE)</f>
        <v>160000</v>
      </c>
      <c r="H420" s="63">
        <f t="shared" si="44"/>
        <v>4960</v>
      </c>
      <c r="M420" s="475"/>
    </row>
    <row r="421" spans="3:13" ht="22.8" customHeight="1">
      <c r="C421" s="450" t="s">
        <v>1208</v>
      </c>
      <c r="D421" s="67"/>
      <c r="E421" s="67"/>
      <c r="F421" s="142"/>
      <c r="G421" s="153"/>
      <c r="H421" s="63">
        <f>SUM(H417:H420)</f>
        <v>224000</v>
      </c>
      <c r="I421" s="154"/>
      <c r="J421" s="154"/>
      <c r="K421" s="154"/>
      <c r="M421" s="475"/>
    </row>
    <row r="422" spans="3:13" ht="22.8" customHeight="1">
      <c r="C422" s="577" t="s">
        <v>1209</v>
      </c>
      <c r="D422" s="56" t="s">
        <v>1210</v>
      </c>
      <c r="E422" s="57"/>
      <c r="F422" s="57"/>
      <c r="G422" s="57"/>
      <c r="H422" s="57"/>
      <c r="M422" s="475"/>
    </row>
    <row r="423" spans="3:13" ht="22.8" customHeight="1">
      <c r="C423" s="798">
        <v>1</v>
      </c>
      <c r="D423" s="56" t="s">
        <v>702</v>
      </c>
      <c r="E423" s="73" t="s">
        <v>135</v>
      </c>
      <c r="F423" s="276">
        <v>1.05</v>
      </c>
      <c r="G423" s="63">
        <f>VLOOKUP(D423,upahbahan,3,FALSE)</f>
        <v>0</v>
      </c>
      <c r="H423" s="63">
        <f t="shared" ref="H423" si="45">F423*G423</f>
        <v>0</v>
      </c>
      <c r="M423" s="475"/>
    </row>
    <row r="424" spans="3:13" ht="22.8" customHeight="1">
      <c r="C424" s="450" t="s">
        <v>1214</v>
      </c>
      <c r="D424" s="67"/>
      <c r="E424" s="67"/>
      <c r="F424" s="67"/>
      <c r="G424" s="69"/>
      <c r="H424" s="63">
        <f>SUM(H423:H423)</f>
        <v>0</v>
      </c>
      <c r="M424" s="475"/>
    </row>
    <row r="425" spans="3:13" ht="22.8" customHeight="1">
      <c r="C425" s="61" t="s">
        <v>1215</v>
      </c>
      <c r="D425" s="56" t="s">
        <v>1216</v>
      </c>
      <c r="E425" s="57"/>
      <c r="F425" s="57"/>
      <c r="G425" s="57"/>
      <c r="H425" s="57"/>
      <c r="M425" s="475"/>
    </row>
    <row r="426" spans="3:13" ht="22.8" customHeight="1">
      <c r="C426" s="450" t="s">
        <v>1217</v>
      </c>
      <c r="D426" s="67"/>
      <c r="E426" s="67"/>
      <c r="F426" s="67"/>
      <c r="G426" s="69"/>
      <c r="H426" s="589">
        <v>0</v>
      </c>
      <c r="M426" s="475"/>
    </row>
    <row r="427" spans="3:13" ht="22.8" customHeight="1">
      <c r="C427" s="288" t="s">
        <v>1218</v>
      </c>
      <c r="D427" s="76" t="s">
        <v>1219</v>
      </c>
      <c r="E427" s="77"/>
      <c r="F427" s="77"/>
      <c r="G427" s="78"/>
      <c r="H427" s="585">
        <f>H426+H424+H421</f>
        <v>224000</v>
      </c>
      <c r="I427" s="369"/>
      <c r="M427" s="475"/>
    </row>
    <row r="428" spans="3:13" ht="22.8" customHeight="1">
      <c r="C428" s="288" t="s">
        <v>1220</v>
      </c>
      <c r="D428" s="76" t="s">
        <v>1402</v>
      </c>
      <c r="E428" s="77"/>
      <c r="F428" s="78"/>
      <c r="G428" s="481" t="s">
        <v>1403</v>
      </c>
      <c r="H428" s="585">
        <f>H427*10%</f>
        <v>22400</v>
      </c>
      <c r="I428" s="369"/>
      <c r="M428" s="475"/>
    </row>
    <row r="429" spans="3:13" ht="22.8" customHeight="1">
      <c r="C429" s="288" t="s">
        <v>1221</v>
      </c>
      <c r="D429" s="76" t="s">
        <v>1222</v>
      </c>
      <c r="E429" s="77"/>
      <c r="F429" s="77"/>
      <c r="G429" s="78"/>
      <c r="H429" s="799">
        <f>SUM(H427:H428)</f>
        <v>246400</v>
      </c>
      <c r="I429" s="369"/>
      <c r="M429" s="475"/>
    </row>
    <row r="430" spans="3:13" ht="22.8" customHeight="1">
      <c r="C430" s="54"/>
      <c r="D430" s="86"/>
      <c r="E430" s="86"/>
      <c r="F430" s="86"/>
      <c r="G430" s="86"/>
      <c r="H430" s="87"/>
      <c r="M430" s="475"/>
    </row>
    <row r="431" spans="3:13" ht="22.8" customHeight="1">
      <c r="C431" s="45" t="s">
        <v>3771</v>
      </c>
      <c r="D431" s="794" t="s">
        <v>1596</v>
      </c>
      <c r="E431" s="797"/>
      <c r="F431" s="797"/>
      <c r="G431" s="797"/>
      <c r="H431" s="797"/>
      <c r="I431" s="50">
        <f>ROUNDDOWN(H446,-2)</f>
        <v>287700</v>
      </c>
      <c r="J431" s="50"/>
      <c r="K431" s="50"/>
      <c r="M431" s="475"/>
    </row>
    <row r="432" spans="3:13" ht="22.8" customHeight="1">
      <c r="C432" s="591" t="s">
        <v>1195</v>
      </c>
      <c r="D432" s="591" t="s">
        <v>1196</v>
      </c>
      <c r="E432" s="591" t="s">
        <v>1197</v>
      </c>
      <c r="F432" s="591" t="s">
        <v>1198</v>
      </c>
      <c r="G432" s="591" t="s">
        <v>1199</v>
      </c>
      <c r="H432" s="591" t="s">
        <v>1200</v>
      </c>
      <c r="M432" s="475"/>
    </row>
    <row r="433" spans="3:13" ht="22.8" customHeight="1">
      <c r="C433" s="577" t="s">
        <v>1201</v>
      </c>
      <c r="D433" s="56" t="s">
        <v>1202</v>
      </c>
      <c r="E433" s="57"/>
      <c r="F433" s="57"/>
      <c r="G433" s="57"/>
      <c r="H433" s="57"/>
      <c r="M433" s="475"/>
    </row>
    <row r="434" spans="3:13" ht="22.8" customHeight="1">
      <c r="C434" s="798">
        <v>1</v>
      </c>
      <c r="D434" s="56" t="s">
        <v>5</v>
      </c>
      <c r="E434" s="577" t="s">
        <v>6</v>
      </c>
      <c r="F434" s="98">
        <v>0.72899999999999998</v>
      </c>
      <c r="G434" s="63">
        <f>VLOOKUP(D434,upahbahan,3,FALSE)</f>
        <v>100000</v>
      </c>
      <c r="H434" s="63">
        <f t="shared" ref="H434:H437" si="46">F434*G434</f>
        <v>72900</v>
      </c>
      <c r="M434" s="475"/>
    </row>
    <row r="435" spans="3:13" ht="22.8" customHeight="1">
      <c r="C435" s="798">
        <v>2</v>
      </c>
      <c r="D435" s="56" t="str">
        <f>D418</f>
        <v>Tukang pipa</v>
      </c>
      <c r="E435" s="577" t="s">
        <v>6</v>
      </c>
      <c r="F435" s="98">
        <v>1.218</v>
      </c>
      <c r="G435" s="63">
        <f>VLOOKUP(D435,upahbahan,3,FALSE)</f>
        <v>135000</v>
      </c>
      <c r="H435" s="63">
        <f t="shared" si="46"/>
        <v>164430</v>
      </c>
      <c r="M435" s="475"/>
    </row>
    <row r="436" spans="3:13" ht="22.8" customHeight="1">
      <c r="C436" s="798">
        <v>3</v>
      </c>
      <c r="D436" s="56" t="s">
        <v>18</v>
      </c>
      <c r="E436" s="577" t="s">
        <v>6</v>
      </c>
      <c r="F436" s="98">
        <v>0.122</v>
      </c>
      <c r="G436" s="63">
        <f>VLOOKUP(D436,upahbahan,3,FALSE)</f>
        <v>150000</v>
      </c>
      <c r="H436" s="63">
        <f t="shared" si="46"/>
        <v>18300</v>
      </c>
      <c r="M436" s="475"/>
    </row>
    <row r="437" spans="3:13" ht="22.8" customHeight="1">
      <c r="C437" s="798">
        <v>4</v>
      </c>
      <c r="D437" s="56" t="s">
        <v>19</v>
      </c>
      <c r="E437" s="577" t="s">
        <v>6</v>
      </c>
      <c r="F437" s="98">
        <v>3.6999999999999998E-2</v>
      </c>
      <c r="G437" s="63">
        <f>VLOOKUP(D437,upahbahan,3,FALSE)</f>
        <v>160000</v>
      </c>
      <c r="H437" s="63">
        <f t="shared" si="46"/>
        <v>5920</v>
      </c>
      <c r="M437" s="475"/>
    </row>
    <row r="438" spans="3:13" ht="22.8" customHeight="1">
      <c r="C438" s="450" t="s">
        <v>1208</v>
      </c>
      <c r="D438" s="67"/>
      <c r="E438" s="67"/>
      <c r="F438" s="142"/>
      <c r="G438" s="153"/>
      <c r="H438" s="63">
        <f>SUM(H434:H437)</f>
        <v>261550</v>
      </c>
      <c r="I438" s="154"/>
      <c r="J438" s="154"/>
      <c r="K438" s="154"/>
      <c r="M438" s="475"/>
    </row>
    <row r="439" spans="3:13" ht="22.8" customHeight="1">
      <c r="C439" s="577" t="s">
        <v>1209</v>
      </c>
      <c r="D439" s="56" t="s">
        <v>1210</v>
      </c>
      <c r="E439" s="57"/>
      <c r="F439" s="57"/>
      <c r="G439" s="57"/>
      <c r="H439" s="57"/>
      <c r="M439" s="475"/>
    </row>
    <row r="440" spans="3:13" ht="22.8" customHeight="1">
      <c r="C440" s="798">
        <v>1</v>
      </c>
      <c r="D440" s="56" t="s">
        <v>701</v>
      </c>
      <c r="E440" s="73" t="s">
        <v>135</v>
      </c>
      <c r="F440" s="276">
        <f>F423</f>
        <v>1.05</v>
      </c>
      <c r="G440" s="63">
        <f>VLOOKUP(D440,upahbahan,3,FALSE)</f>
        <v>0</v>
      </c>
      <c r="H440" s="63">
        <f t="shared" ref="H440" si="47">F440*G440</f>
        <v>0</v>
      </c>
      <c r="M440" s="475"/>
    </row>
    <row r="441" spans="3:13" ht="22.8" customHeight="1">
      <c r="C441" s="450" t="s">
        <v>1214</v>
      </c>
      <c r="D441" s="67"/>
      <c r="E441" s="67"/>
      <c r="F441" s="67"/>
      <c r="G441" s="69"/>
      <c r="H441" s="63">
        <f>SUM(H440:H440)</f>
        <v>0</v>
      </c>
      <c r="M441" s="475"/>
    </row>
    <row r="442" spans="3:13" ht="22.8" customHeight="1">
      <c r="C442" s="61" t="s">
        <v>1215</v>
      </c>
      <c r="D442" s="56" t="s">
        <v>1216</v>
      </c>
      <c r="E442" s="57"/>
      <c r="F442" s="57"/>
      <c r="G442" s="57"/>
      <c r="H442" s="57"/>
      <c r="M442" s="475"/>
    </row>
    <row r="443" spans="3:13" ht="22.8" customHeight="1">
      <c r="C443" s="450" t="s">
        <v>1217</v>
      </c>
      <c r="D443" s="67"/>
      <c r="E443" s="67"/>
      <c r="F443" s="67"/>
      <c r="G443" s="69"/>
      <c r="H443" s="589">
        <v>0</v>
      </c>
      <c r="M443" s="475"/>
    </row>
    <row r="444" spans="3:13" ht="22.8" customHeight="1">
      <c r="C444" s="288" t="s">
        <v>1218</v>
      </c>
      <c r="D444" s="76" t="s">
        <v>1219</v>
      </c>
      <c r="E444" s="77"/>
      <c r="F444" s="77"/>
      <c r="G444" s="78"/>
      <c r="H444" s="585">
        <f>H443+H441+H438</f>
        <v>261550</v>
      </c>
      <c r="I444" s="369"/>
      <c r="M444" s="475"/>
    </row>
    <row r="445" spans="3:13" ht="22.8" customHeight="1">
      <c r="C445" s="288" t="s">
        <v>1220</v>
      </c>
      <c r="D445" s="76" t="s">
        <v>1402</v>
      </c>
      <c r="E445" s="77"/>
      <c r="F445" s="78"/>
      <c r="G445" s="481" t="s">
        <v>1403</v>
      </c>
      <c r="H445" s="585">
        <f>H444*10%</f>
        <v>26155</v>
      </c>
      <c r="I445" s="369"/>
      <c r="M445" s="475"/>
    </row>
    <row r="446" spans="3:13" ht="22.8" customHeight="1">
      <c r="C446" s="288" t="s">
        <v>1221</v>
      </c>
      <c r="D446" s="76" t="s">
        <v>1222</v>
      </c>
      <c r="E446" s="77"/>
      <c r="F446" s="77"/>
      <c r="G446" s="78"/>
      <c r="H446" s="799">
        <f>SUM(H444:H445)</f>
        <v>287705</v>
      </c>
      <c r="I446" s="369"/>
      <c r="M446" s="475"/>
    </row>
    <row r="447" spans="3:13" ht="22.8" customHeight="1">
      <c r="C447" s="54"/>
      <c r="D447" s="86"/>
      <c r="E447" s="86"/>
      <c r="F447" s="86"/>
      <c r="G447" s="86"/>
      <c r="H447" s="87"/>
      <c r="M447" s="475"/>
    </row>
    <row r="448" spans="3:13" ht="22.8" customHeight="1">
      <c r="C448" s="45" t="s">
        <v>3772</v>
      </c>
      <c r="D448" s="794" t="s">
        <v>3773</v>
      </c>
      <c r="E448" s="797"/>
      <c r="F448" s="797"/>
      <c r="G448" s="797"/>
      <c r="H448" s="797"/>
      <c r="I448" s="50">
        <f>ROUNDDOWN(H463,-2)</f>
        <v>1184000</v>
      </c>
      <c r="J448" s="50"/>
      <c r="K448" s="50"/>
      <c r="M448" s="475"/>
    </row>
    <row r="449" spans="3:13" ht="22.8" customHeight="1">
      <c r="C449" s="591" t="s">
        <v>1195</v>
      </c>
      <c r="D449" s="591" t="s">
        <v>1196</v>
      </c>
      <c r="E449" s="591" t="s">
        <v>1197</v>
      </c>
      <c r="F449" s="591" t="s">
        <v>1198</v>
      </c>
      <c r="G449" s="591" t="s">
        <v>1199</v>
      </c>
      <c r="H449" s="591" t="s">
        <v>1200</v>
      </c>
      <c r="M449" s="475"/>
    </row>
    <row r="450" spans="3:13" ht="22.8" customHeight="1">
      <c r="C450" s="577" t="s">
        <v>1201</v>
      </c>
      <c r="D450" s="56" t="s">
        <v>1202</v>
      </c>
      <c r="E450" s="57"/>
      <c r="F450" s="57"/>
      <c r="G450" s="57"/>
      <c r="H450" s="57"/>
      <c r="M450" s="475"/>
    </row>
    <row r="451" spans="3:13" ht="22.8" customHeight="1">
      <c r="C451" s="798">
        <v>1</v>
      </c>
      <c r="D451" s="56" t="s">
        <v>5</v>
      </c>
      <c r="E451" s="577" t="s">
        <v>6</v>
      </c>
      <c r="F451" s="98">
        <v>0.76300000000000001</v>
      </c>
      <c r="G451" s="63">
        <f>VLOOKUP(D451,upahbahan,3,FALSE)</f>
        <v>100000</v>
      </c>
      <c r="H451" s="63">
        <f t="shared" ref="H451:H454" si="48">F451*G451</f>
        <v>76300</v>
      </c>
      <c r="M451" s="475"/>
    </row>
    <row r="452" spans="3:13" ht="22.8" customHeight="1">
      <c r="C452" s="798">
        <v>2</v>
      </c>
      <c r="D452" s="56" t="str">
        <f>D435</f>
        <v>Tukang pipa</v>
      </c>
      <c r="E452" s="577" t="s">
        <v>6</v>
      </c>
      <c r="F452" s="98">
        <v>1.274</v>
      </c>
      <c r="G452" s="63">
        <f>VLOOKUP(D452,upahbahan,3,FALSE)</f>
        <v>135000</v>
      </c>
      <c r="H452" s="63">
        <f t="shared" si="48"/>
        <v>171990</v>
      </c>
      <c r="M452" s="475"/>
    </row>
    <row r="453" spans="3:13" ht="22.8" customHeight="1">
      <c r="C453" s="798">
        <v>3</v>
      </c>
      <c r="D453" s="56" t="s">
        <v>18</v>
      </c>
      <c r="E453" s="577" t="s">
        <v>6</v>
      </c>
      <c r="F453" s="98">
        <v>0.127</v>
      </c>
      <c r="G453" s="63">
        <f>VLOOKUP(D453,upahbahan,3,FALSE)</f>
        <v>150000</v>
      </c>
      <c r="H453" s="63">
        <f t="shared" si="48"/>
        <v>19050</v>
      </c>
      <c r="M453" s="475"/>
    </row>
    <row r="454" spans="3:13" ht="22.8" customHeight="1">
      <c r="C454" s="798">
        <v>4</v>
      </c>
      <c r="D454" s="56" t="s">
        <v>19</v>
      </c>
      <c r="E454" s="577" t="s">
        <v>6</v>
      </c>
      <c r="F454" s="98">
        <v>3.7999999999999999E-2</v>
      </c>
      <c r="G454" s="63">
        <f>VLOOKUP(D454,upahbahan,3,FALSE)</f>
        <v>160000</v>
      </c>
      <c r="H454" s="63">
        <f t="shared" si="48"/>
        <v>6080</v>
      </c>
      <c r="M454" s="475"/>
    </row>
    <row r="455" spans="3:13" ht="22.8" customHeight="1">
      <c r="C455" s="450" t="s">
        <v>1208</v>
      </c>
      <c r="D455" s="67"/>
      <c r="E455" s="67"/>
      <c r="F455" s="142"/>
      <c r="G455" s="153"/>
      <c r="H455" s="63">
        <f>SUM(H451:H454)</f>
        <v>273420</v>
      </c>
      <c r="I455" s="154"/>
      <c r="J455" s="154"/>
      <c r="K455" s="154"/>
      <c r="M455" s="475"/>
    </row>
    <row r="456" spans="3:13" ht="22.8" customHeight="1">
      <c r="C456" s="577" t="s">
        <v>1209</v>
      </c>
      <c r="D456" s="56" t="s">
        <v>1210</v>
      </c>
      <c r="E456" s="57"/>
      <c r="F456" s="57"/>
      <c r="G456" s="57"/>
      <c r="H456" s="57"/>
      <c r="M456" s="475"/>
    </row>
    <row r="457" spans="3:13" ht="22.8" customHeight="1">
      <c r="C457" s="798">
        <v>1</v>
      </c>
      <c r="D457" s="56" t="s">
        <v>3774</v>
      </c>
      <c r="E457" s="73" t="s">
        <v>135</v>
      </c>
      <c r="F457" s="276">
        <v>1.1000000000000001</v>
      </c>
      <c r="G457" s="63">
        <f>VLOOKUP(D457,upahbahan,3,FALSE)</f>
        <v>730000</v>
      </c>
      <c r="H457" s="63">
        <f t="shared" ref="H457" si="49">F457*G457</f>
        <v>803000.00000000012</v>
      </c>
      <c r="M457" s="475"/>
    </row>
    <row r="458" spans="3:13" ht="22.8" customHeight="1">
      <c r="C458" s="450" t="s">
        <v>1214</v>
      </c>
      <c r="D458" s="67"/>
      <c r="E458" s="67"/>
      <c r="F458" s="67"/>
      <c r="G458" s="69"/>
      <c r="H458" s="63">
        <f>SUM(H457:H457)</f>
        <v>803000.00000000012</v>
      </c>
      <c r="M458" s="475"/>
    </row>
    <row r="459" spans="3:13" ht="22.8" customHeight="1">
      <c r="C459" s="61" t="s">
        <v>1215</v>
      </c>
      <c r="D459" s="56" t="s">
        <v>1216</v>
      </c>
      <c r="E459" s="57"/>
      <c r="F459" s="57"/>
      <c r="G459" s="57"/>
      <c r="H459" s="57"/>
      <c r="M459" s="475"/>
    </row>
    <row r="460" spans="3:13" ht="22.8" customHeight="1">
      <c r="C460" s="450" t="s">
        <v>1217</v>
      </c>
      <c r="D460" s="67"/>
      <c r="E460" s="67"/>
      <c r="F460" s="67"/>
      <c r="G460" s="69"/>
      <c r="H460" s="589">
        <v>0</v>
      </c>
      <c r="M460" s="475"/>
    </row>
    <row r="461" spans="3:13" ht="22.8" customHeight="1">
      <c r="C461" s="288" t="s">
        <v>1218</v>
      </c>
      <c r="D461" s="76" t="s">
        <v>1219</v>
      </c>
      <c r="E461" s="77"/>
      <c r="F461" s="77"/>
      <c r="G461" s="78"/>
      <c r="H461" s="585">
        <f>H460+H458+H455</f>
        <v>1076420</v>
      </c>
      <c r="I461" s="369"/>
      <c r="M461" s="475"/>
    </row>
    <row r="462" spans="3:13" ht="22.8" customHeight="1">
      <c r="C462" s="288" t="s">
        <v>1220</v>
      </c>
      <c r="D462" s="76" t="s">
        <v>1402</v>
      </c>
      <c r="E462" s="77"/>
      <c r="F462" s="78"/>
      <c r="G462" s="481" t="s">
        <v>1403</v>
      </c>
      <c r="H462" s="585">
        <f>H461*10%</f>
        <v>107642</v>
      </c>
      <c r="I462" s="369"/>
      <c r="M462" s="475"/>
    </row>
    <row r="463" spans="3:13" ht="22.8" customHeight="1">
      <c r="C463" s="288" t="s">
        <v>1221</v>
      </c>
      <c r="D463" s="76" t="s">
        <v>1222</v>
      </c>
      <c r="E463" s="77"/>
      <c r="F463" s="77"/>
      <c r="G463" s="78"/>
      <c r="H463" s="799">
        <f>SUM(H461:H462)</f>
        <v>1184062</v>
      </c>
      <c r="I463" s="369"/>
      <c r="M463" s="475"/>
    </row>
    <row r="464" spans="3:13" ht="22.8" customHeight="1">
      <c r="C464" s="54"/>
      <c r="D464" s="86"/>
      <c r="E464" s="86"/>
      <c r="F464" s="86"/>
      <c r="G464" s="86"/>
      <c r="H464" s="87"/>
      <c r="M464" s="475"/>
    </row>
    <row r="465" spans="3:13" ht="22.8" customHeight="1">
      <c r="C465" s="43" t="s">
        <v>3775</v>
      </c>
      <c r="D465" s="128" t="s">
        <v>3776</v>
      </c>
      <c r="E465" s="86"/>
      <c r="F465" s="86"/>
      <c r="G465" s="86"/>
      <c r="H465" s="87"/>
      <c r="M465" s="475"/>
    </row>
    <row r="466" spans="3:13" ht="22.8" customHeight="1">
      <c r="C466" s="45" t="s">
        <v>3777</v>
      </c>
      <c r="D466" s="794" t="s">
        <v>1597</v>
      </c>
      <c r="E466" s="797"/>
      <c r="F466" s="797"/>
      <c r="G466" s="797"/>
      <c r="H466" s="797"/>
      <c r="I466" s="50">
        <f>ROUNDDOWN(H481,-2)</f>
        <v>435300</v>
      </c>
      <c r="J466" s="50"/>
      <c r="K466" s="50"/>
      <c r="M466" s="475"/>
    </row>
    <row r="467" spans="3:13" ht="22.8" customHeight="1">
      <c r="C467" s="591" t="s">
        <v>1195</v>
      </c>
      <c r="D467" s="591" t="s">
        <v>1196</v>
      </c>
      <c r="E467" s="591" t="s">
        <v>1197</v>
      </c>
      <c r="F467" s="591" t="s">
        <v>1198</v>
      </c>
      <c r="G467" s="591" t="s">
        <v>1199</v>
      </c>
      <c r="H467" s="591" t="s">
        <v>1200</v>
      </c>
      <c r="M467" s="475"/>
    </row>
    <row r="468" spans="3:13" ht="22.8" customHeight="1">
      <c r="C468" s="577" t="s">
        <v>1201</v>
      </c>
      <c r="D468" s="56" t="s">
        <v>1202</v>
      </c>
      <c r="E468" s="57"/>
      <c r="F468" s="57"/>
      <c r="G468" s="57"/>
      <c r="H468" s="57"/>
      <c r="M468" s="475"/>
    </row>
    <row r="469" spans="3:13" ht="22.8" customHeight="1">
      <c r="C469" s="798">
        <v>1</v>
      </c>
      <c r="D469" s="56" t="s">
        <v>5</v>
      </c>
      <c r="E469" s="577" t="s">
        <v>6</v>
      </c>
      <c r="F469" s="98">
        <v>1.1040000000000001</v>
      </c>
      <c r="G469" s="63">
        <f>VLOOKUP(D469,upahbahan,3,FALSE)</f>
        <v>100000</v>
      </c>
      <c r="H469" s="63">
        <f t="shared" ref="H469:H472" si="50">F469*G469</f>
        <v>110400.00000000001</v>
      </c>
      <c r="M469" s="475"/>
    </row>
    <row r="470" spans="3:13" ht="22.8" customHeight="1">
      <c r="C470" s="798">
        <v>2</v>
      </c>
      <c r="D470" s="56" t="str">
        <f>D435</f>
        <v>Tukang pipa</v>
      </c>
      <c r="E470" s="577" t="s">
        <v>6</v>
      </c>
      <c r="F470" s="98">
        <v>1.8440000000000001</v>
      </c>
      <c r="G470" s="63">
        <f>VLOOKUP(D470,upahbahan,3,FALSE)</f>
        <v>135000</v>
      </c>
      <c r="H470" s="63">
        <f t="shared" si="50"/>
        <v>248940</v>
      </c>
      <c r="M470" s="475"/>
    </row>
    <row r="471" spans="3:13" ht="22.8" customHeight="1">
      <c r="C471" s="798">
        <v>3</v>
      </c>
      <c r="D471" s="56" t="s">
        <v>18</v>
      </c>
      <c r="E471" s="577" t="s">
        <v>6</v>
      </c>
      <c r="F471" s="98">
        <v>0.184</v>
      </c>
      <c r="G471" s="63">
        <f>VLOOKUP(D471,upahbahan,3,FALSE)</f>
        <v>150000</v>
      </c>
      <c r="H471" s="63">
        <f t="shared" si="50"/>
        <v>27600</v>
      </c>
      <c r="M471" s="475"/>
    </row>
    <row r="472" spans="3:13" ht="22.8" customHeight="1">
      <c r="C472" s="798">
        <v>4</v>
      </c>
      <c r="D472" s="56" t="s">
        <v>19</v>
      </c>
      <c r="E472" s="577" t="s">
        <v>6</v>
      </c>
      <c r="F472" s="98">
        <v>5.5E-2</v>
      </c>
      <c r="G472" s="63">
        <f>VLOOKUP(D472,upahbahan,3,FALSE)</f>
        <v>160000</v>
      </c>
      <c r="H472" s="63">
        <f t="shared" si="50"/>
        <v>8800</v>
      </c>
      <c r="M472" s="475"/>
    </row>
    <row r="473" spans="3:13" ht="22.8" customHeight="1">
      <c r="C473" s="450" t="s">
        <v>1208</v>
      </c>
      <c r="D473" s="67"/>
      <c r="E473" s="67"/>
      <c r="F473" s="142"/>
      <c r="G473" s="153"/>
      <c r="H473" s="63">
        <f>SUM(H469:H472)</f>
        <v>395740</v>
      </c>
      <c r="I473" s="154"/>
      <c r="J473" s="154"/>
      <c r="K473" s="154"/>
      <c r="M473" s="475"/>
    </row>
    <row r="474" spans="3:13" ht="22.8" customHeight="1">
      <c r="C474" s="577" t="s">
        <v>1209</v>
      </c>
      <c r="D474" s="56" t="s">
        <v>1210</v>
      </c>
      <c r="E474" s="57"/>
      <c r="F474" s="57"/>
      <c r="G474" s="57"/>
      <c r="H474" s="57"/>
      <c r="M474" s="475"/>
    </row>
    <row r="475" spans="3:13" ht="22.8" customHeight="1">
      <c r="C475" s="798">
        <v>1</v>
      </c>
      <c r="D475" s="56" t="s">
        <v>716</v>
      </c>
      <c r="E475" s="73" t="s">
        <v>135</v>
      </c>
      <c r="F475" s="62">
        <v>1.0249999999999999</v>
      </c>
      <c r="G475" s="63">
        <f>VLOOKUP(D475,upahbahan,3,FALSE)</f>
        <v>0</v>
      </c>
      <c r="H475" s="63">
        <f t="shared" ref="H475" si="51">F475*G475</f>
        <v>0</v>
      </c>
      <c r="M475" s="475"/>
    </row>
    <row r="476" spans="3:13" ht="22.8" customHeight="1">
      <c r="C476" s="450" t="s">
        <v>1214</v>
      </c>
      <c r="D476" s="67"/>
      <c r="E476" s="67"/>
      <c r="F476" s="67"/>
      <c r="G476" s="69"/>
      <c r="H476" s="63">
        <f>SUM(H475:H475)</f>
        <v>0</v>
      </c>
      <c r="M476" s="475"/>
    </row>
    <row r="477" spans="3:13" ht="22.8" customHeight="1">
      <c r="C477" s="61" t="s">
        <v>1215</v>
      </c>
      <c r="D477" s="56" t="s">
        <v>1216</v>
      </c>
      <c r="E477" s="57"/>
      <c r="F477" s="57"/>
      <c r="G477" s="57"/>
      <c r="H477" s="57"/>
      <c r="M477" s="475"/>
    </row>
    <row r="478" spans="3:13" ht="22.8" customHeight="1">
      <c r="C478" s="450" t="s">
        <v>1217</v>
      </c>
      <c r="D478" s="67"/>
      <c r="E478" s="67"/>
      <c r="F478" s="67"/>
      <c r="G478" s="69"/>
      <c r="H478" s="589">
        <v>0</v>
      </c>
      <c r="M478" s="475"/>
    </row>
    <row r="479" spans="3:13" ht="22.8" customHeight="1">
      <c r="C479" s="288" t="s">
        <v>1218</v>
      </c>
      <c r="D479" s="76" t="s">
        <v>1219</v>
      </c>
      <c r="E479" s="77"/>
      <c r="F479" s="77"/>
      <c r="G479" s="78"/>
      <c r="H479" s="585">
        <f>H478+H476+H473</f>
        <v>395740</v>
      </c>
      <c r="I479" s="369"/>
      <c r="M479" s="475"/>
    </row>
    <row r="480" spans="3:13" ht="22.8" customHeight="1">
      <c r="C480" s="288" t="s">
        <v>1220</v>
      </c>
      <c r="D480" s="76" t="s">
        <v>1402</v>
      </c>
      <c r="E480" s="77"/>
      <c r="F480" s="78"/>
      <c r="G480" s="481" t="s">
        <v>1403</v>
      </c>
      <c r="H480" s="585">
        <f>H479*10%</f>
        <v>39574</v>
      </c>
      <c r="I480" s="369"/>
      <c r="M480" s="475"/>
    </row>
    <row r="481" spans="3:13" ht="22.8" customHeight="1">
      <c r="C481" s="288" t="s">
        <v>1221</v>
      </c>
      <c r="D481" s="76" t="s">
        <v>1222</v>
      </c>
      <c r="E481" s="77"/>
      <c r="F481" s="77"/>
      <c r="G481" s="78"/>
      <c r="H481" s="799">
        <f>SUM(H479:H480)</f>
        <v>435314</v>
      </c>
      <c r="I481" s="369"/>
      <c r="M481" s="475"/>
    </row>
    <row r="482" spans="3:13" ht="22.8" customHeight="1">
      <c r="C482" s="54"/>
      <c r="D482" s="86"/>
      <c r="E482" s="86"/>
      <c r="F482" s="86"/>
      <c r="G482" s="86"/>
      <c r="H482" s="87"/>
      <c r="M482" s="475"/>
    </row>
    <row r="483" spans="3:13" ht="22.8" customHeight="1">
      <c r="C483" s="47" t="s">
        <v>3778</v>
      </c>
      <c r="D483" s="794" t="s">
        <v>1598</v>
      </c>
      <c r="E483" s="797"/>
      <c r="F483" s="797"/>
      <c r="G483" s="797"/>
      <c r="H483" s="797"/>
      <c r="I483" s="50">
        <f>ROUNDDOWN(H498,-2)</f>
        <v>2218300</v>
      </c>
      <c r="J483" s="50"/>
      <c r="K483" s="50"/>
      <c r="M483" s="475"/>
    </row>
    <row r="484" spans="3:13" ht="22.8" customHeight="1">
      <c r="C484" s="591" t="s">
        <v>1195</v>
      </c>
      <c r="D484" s="591" t="s">
        <v>1196</v>
      </c>
      <c r="E484" s="591" t="s">
        <v>1197</v>
      </c>
      <c r="F484" s="591" t="s">
        <v>1198</v>
      </c>
      <c r="G484" s="591" t="s">
        <v>1199</v>
      </c>
      <c r="H484" s="591" t="s">
        <v>1200</v>
      </c>
      <c r="I484" s="50"/>
      <c r="J484" s="50"/>
      <c r="K484" s="50"/>
      <c r="M484" s="475"/>
    </row>
    <row r="485" spans="3:13" ht="22.8" customHeight="1">
      <c r="C485" s="577" t="s">
        <v>1201</v>
      </c>
      <c r="D485" s="56" t="s">
        <v>1202</v>
      </c>
      <c r="E485" s="57"/>
      <c r="F485" s="57"/>
      <c r="G485" s="57"/>
      <c r="H485" s="57"/>
      <c r="M485" s="475"/>
    </row>
    <row r="486" spans="3:13" ht="22.8" customHeight="1">
      <c r="C486" s="798">
        <v>1</v>
      </c>
      <c r="D486" s="56" t="s">
        <v>5</v>
      </c>
      <c r="E486" s="577" t="s">
        <v>6</v>
      </c>
      <c r="F486" s="98">
        <v>5.625</v>
      </c>
      <c r="G486" s="63">
        <f>VLOOKUP(D486,upahbahan,3,FALSE)</f>
        <v>100000</v>
      </c>
      <c r="H486" s="63">
        <f t="shared" ref="H486:H489" si="52">F486*G486</f>
        <v>562500</v>
      </c>
      <c r="M486" s="475"/>
    </row>
    <row r="487" spans="3:13" ht="22.8" customHeight="1">
      <c r="C487" s="798">
        <v>2</v>
      </c>
      <c r="D487" s="56" t="str">
        <f>D470</f>
        <v>Tukang pipa</v>
      </c>
      <c r="E487" s="577" t="s">
        <v>6</v>
      </c>
      <c r="F487" s="98">
        <v>9.3940000000000001</v>
      </c>
      <c r="G487" s="63">
        <f>VLOOKUP(D487,upahbahan,3,FALSE)</f>
        <v>135000</v>
      </c>
      <c r="H487" s="63">
        <f t="shared" si="52"/>
        <v>1268190</v>
      </c>
      <c r="M487" s="475"/>
    </row>
    <row r="488" spans="3:13" ht="22.8" customHeight="1">
      <c r="C488" s="798">
        <v>3</v>
      </c>
      <c r="D488" s="56" t="s">
        <v>18</v>
      </c>
      <c r="E488" s="577" t="s">
        <v>6</v>
      </c>
      <c r="F488" s="98">
        <v>0.93899999999999995</v>
      </c>
      <c r="G488" s="63">
        <f>VLOOKUP(D488,upahbahan,3,FALSE)</f>
        <v>150000</v>
      </c>
      <c r="H488" s="63">
        <f t="shared" si="52"/>
        <v>140850</v>
      </c>
      <c r="M488" s="475"/>
    </row>
    <row r="489" spans="3:13" ht="22.8" customHeight="1">
      <c r="C489" s="798">
        <v>4</v>
      </c>
      <c r="D489" s="56" t="s">
        <v>19</v>
      </c>
      <c r="E489" s="577" t="s">
        <v>6</v>
      </c>
      <c r="F489" s="98">
        <v>0.28199999999999997</v>
      </c>
      <c r="G489" s="63">
        <f>VLOOKUP(D489,upahbahan,3,FALSE)</f>
        <v>160000</v>
      </c>
      <c r="H489" s="63">
        <f t="shared" si="52"/>
        <v>45119.999999999993</v>
      </c>
      <c r="M489" s="475"/>
    </row>
    <row r="490" spans="3:13" ht="22.8" customHeight="1">
      <c r="C490" s="450" t="s">
        <v>1208</v>
      </c>
      <c r="D490" s="67"/>
      <c r="E490" s="67"/>
      <c r="F490" s="142"/>
      <c r="G490" s="153"/>
      <c r="H490" s="63">
        <f>SUM(H486:H489)</f>
        <v>2016660</v>
      </c>
      <c r="I490" s="154"/>
      <c r="J490" s="154"/>
      <c r="K490" s="154"/>
      <c r="M490" s="475"/>
    </row>
    <row r="491" spans="3:13" ht="22.8" customHeight="1">
      <c r="C491" s="577" t="s">
        <v>1209</v>
      </c>
      <c r="D491" s="56" t="s">
        <v>1210</v>
      </c>
      <c r="E491" s="57"/>
      <c r="F491" s="57"/>
      <c r="G491" s="57"/>
      <c r="H491" s="57"/>
      <c r="M491" s="475"/>
    </row>
    <row r="492" spans="3:13" ht="22.8" customHeight="1">
      <c r="C492" s="798">
        <v>1</v>
      </c>
      <c r="D492" s="56" t="s">
        <v>717</v>
      </c>
      <c r="E492" s="73" t="s">
        <v>135</v>
      </c>
      <c r="F492" s="62">
        <v>1.05</v>
      </c>
      <c r="G492" s="63">
        <f>VLOOKUP(D492,upahbahan,3,FALSE)</f>
        <v>0</v>
      </c>
      <c r="H492" s="63">
        <f t="shared" ref="H492" si="53">F492*G492</f>
        <v>0</v>
      </c>
      <c r="M492" s="475"/>
    </row>
    <row r="493" spans="3:13" ht="22.8" customHeight="1">
      <c r="C493" s="450" t="s">
        <v>1214</v>
      </c>
      <c r="D493" s="67"/>
      <c r="E493" s="67"/>
      <c r="F493" s="67"/>
      <c r="G493" s="69"/>
      <c r="H493" s="63">
        <f>SUM(H492:H492)</f>
        <v>0</v>
      </c>
      <c r="M493" s="475"/>
    </row>
    <row r="494" spans="3:13" ht="22.8" customHeight="1">
      <c r="C494" s="61" t="s">
        <v>1215</v>
      </c>
      <c r="D494" s="56" t="s">
        <v>1216</v>
      </c>
      <c r="E494" s="57"/>
      <c r="F494" s="57"/>
      <c r="G494" s="57"/>
      <c r="H494" s="57"/>
      <c r="M494" s="475"/>
    </row>
    <row r="495" spans="3:13" ht="22.8" customHeight="1">
      <c r="C495" s="450" t="s">
        <v>1217</v>
      </c>
      <c r="D495" s="67"/>
      <c r="E495" s="67"/>
      <c r="F495" s="67"/>
      <c r="G495" s="69"/>
      <c r="H495" s="589">
        <v>0</v>
      </c>
      <c r="M495" s="475"/>
    </row>
    <row r="496" spans="3:13" ht="22.8" customHeight="1">
      <c r="C496" s="288" t="s">
        <v>1218</v>
      </c>
      <c r="D496" s="76" t="s">
        <v>1219</v>
      </c>
      <c r="E496" s="77"/>
      <c r="F496" s="77"/>
      <c r="G496" s="78"/>
      <c r="H496" s="585">
        <f>H495+H493+H490</f>
        <v>2016660</v>
      </c>
      <c r="I496" s="369"/>
      <c r="M496" s="475"/>
    </row>
    <row r="497" spans="3:13" ht="22.8" customHeight="1">
      <c r="C497" s="288" t="s">
        <v>1220</v>
      </c>
      <c r="D497" s="76" t="s">
        <v>1402</v>
      </c>
      <c r="E497" s="77"/>
      <c r="F497" s="78"/>
      <c r="G497" s="481" t="s">
        <v>1403</v>
      </c>
      <c r="H497" s="585">
        <f>H496*10%</f>
        <v>201666</v>
      </c>
      <c r="I497" s="369"/>
      <c r="M497" s="475"/>
    </row>
    <row r="498" spans="3:13" ht="22.8" customHeight="1">
      <c r="C498" s="288" t="s">
        <v>1221</v>
      </c>
      <c r="D498" s="76" t="s">
        <v>1222</v>
      </c>
      <c r="E498" s="77"/>
      <c r="F498" s="77"/>
      <c r="G498" s="78"/>
      <c r="H498" s="799">
        <f>SUM(H496:H497)</f>
        <v>2218326</v>
      </c>
      <c r="I498" s="369"/>
      <c r="M498" s="475"/>
    </row>
    <row r="499" spans="3:13" ht="22.8" customHeight="1">
      <c r="C499" s="54"/>
      <c r="D499" s="86"/>
      <c r="E499" s="86"/>
      <c r="F499" s="86"/>
      <c r="G499" s="86"/>
      <c r="H499" s="87"/>
      <c r="M499" s="475"/>
    </row>
    <row r="500" spans="3:13" ht="22.8" customHeight="1">
      <c r="C500" s="59" t="s">
        <v>3779</v>
      </c>
      <c r="D500" s="794" t="s">
        <v>1599</v>
      </c>
      <c r="E500" s="797"/>
      <c r="F500" s="797"/>
      <c r="G500" s="797"/>
      <c r="H500" s="797"/>
      <c r="I500" s="50">
        <f>ROUNDDOWN(H515,-2)</f>
        <v>1168100</v>
      </c>
      <c r="J500" s="50"/>
      <c r="K500" s="50"/>
      <c r="M500" s="475"/>
    </row>
    <row r="501" spans="3:13" ht="22.8" customHeight="1">
      <c r="C501" s="591" t="s">
        <v>1195</v>
      </c>
      <c r="D501" s="591" t="s">
        <v>1196</v>
      </c>
      <c r="E501" s="591" t="s">
        <v>1197</v>
      </c>
      <c r="F501" s="591" t="s">
        <v>1198</v>
      </c>
      <c r="G501" s="591" t="s">
        <v>1199</v>
      </c>
      <c r="H501" s="591" t="s">
        <v>1200</v>
      </c>
      <c r="M501" s="475"/>
    </row>
    <row r="502" spans="3:13" ht="22.8" customHeight="1">
      <c r="C502" s="577" t="s">
        <v>1201</v>
      </c>
      <c r="D502" s="56" t="s">
        <v>1202</v>
      </c>
      <c r="E502" s="57"/>
      <c r="F502" s="57"/>
      <c r="G502" s="57"/>
      <c r="H502" s="57"/>
      <c r="M502" s="475"/>
    </row>
    <row r="503" spans="3:13" ht="22.8" customHeight="1">
      <c r="C503" s="798">
        <v>1</v>
      </c>
      <c r="D503" s="56" t="s">
        <v>5</v>
      </c>
      <c r="E503" s="577" t="s">
        <v>6</v>
      </c>
      <c r="F503" s="98">
        <v>1.1040000000000001</v>
      </c>
      <c r="G503" s="63">
        <f>VLOOKUP(D503,upahbahan,3,FALSE)</f>
        <v>100000</v>
      </c>
      <c r="H503" s="63">
        <f>F503*G503</f>
        <v>110400.00000000001</v>
      </c>
      <c r="M503" s="475"/>
    </row>
    <row r="504" spans="3:13" ht="22.8" customHeight="1">
      <c r="C504" s="798">
        <v>2</v>
      </c>
      <c r="D504" s="56" t="str">
        <f>D487</f>
        <v>Tukang pipa</v>
      </c>
      <c r="E504" s="577" t="s">
        <v>6</v>
      </c>
      <c r="F504" s="98">
        <v>1.8440000000000001</v>
      </c>
      <c r="G504" s="63">
        <f>VLOOKUP(D504,upahbahan,3,FALSE)</f>
        <v>135000</v>
      </c>
      <c r="H504" s="63">
        <f t="shared" ref="H504:H506" si="54">F504*G504</f>
        <v>248940</v>
      </c>
      <c r="M504" s="475"/>
    </row>
    <row r="505" spans="3:13" ht="22.8" customHeight="1">
      <c r="C505" s="798">
        <v>3</v>
      </c>
      <c r="D505" s="56" t="s">
        <v>18</v>
      </c>
      <c r="E505" s="577" t="s">
        <v>6</v>
      </c>
      <c r="F505" s="98">
        <v>0.184</v>
      </c>
      <c r="G505" s="63">
        <f>VLOOKUP(D505,upahbahan,3,FALSE)</f>
        <v>150000</v>
      </c>
      <c r="H505" s="63">
        <f t="shared" si="54"/>
        <v>27600</v>
      </c>
      <c r="M505" s="475"/>
    </row>
    <row r="506" spans="3:13" ht="22.8" customHeight="1">
      <c r="C506" s="798">
        <v>4</v>
      </c>
      <c r="D506" s="56" t="s">
        <v>19</v>
      </c>
      <c r="E506" s="577" t="s">
        <v>6</v>
      </c>
      <c r="F506" s="98">
        <v>5.5E-2</v>
      </c>
      <c r="G506" s="63">
        <f>VLOOKUP(D506,upahbahan,3,FALSE)</f>
        <v>160000</v>
      </c>
      <c r="H506" s="63">
        <f t="shared" si="54"/>
        <v>8800</v>
      </c>
      <c r="M506" s="475"/>
    </row>
    <row r="507" spans="3:13" ht="22.8" customHeight="1">
      <c r="C507" s="450" t="s">
        <v>1208</v>
      </c>
      <c r="D507" s="67"/>
      <c r="E507" s="67"/>
      <c r="F507" s="142"/>
      <c r="G507" s="153"/>
      <c r="H507" s="63">
        <f>SUM(H503:H506)</f>
        <v>395740</v>
      </c>
      <c r="I507" s="154"/>
      <c r="J507" s="154"/>
      <c r="K507" s="154"/>
      <c r="M507" s="475"/>
    </row>
    <row r="508" spans="3:13" ht="22.8" customHeight="1">
      <c r="C508" s="577" t="s">
        <v>1209</v>
      </c>
      <c r="D508" s="56" t="s">
        <v>1210</v>
      </c>
      <c r="E508" s="57"/>
      <c r="F508" s="57"/>
      <c r="G508" s="57"/>
      <c r="H508" s="57"/>
      <c r="M508" s="475"/>
    </row>
    <row r="509" spans="3:13" ht="22.8" customHeight="1">
      <c r="C509" s="798">
        <v>1</v>
      </c>
      <c r="D509" s="56" t="s">
        <v>674</v>
      </c>
      <c r="E509" s="73" t="s">
        <v>135</v>
      </c>
      <c r="F509" s="62">
        <v>1.0249999999999999</v>
      </c>
      <c r="G509" s="63">
        <f>VLOOKUP(D509,upahbahan,3,FALSE)</f>
        <v>650000</v>
      </c>
      <c r="H509" s="63">
        <f>F509*G509</f>
        <v>666250</v>
      </c>
      <c r="M509" s="475"/>
    </row>
    <row r="510" spans="3:13" ht="22.8" customHeight="1">
      <c r="C510" s="450" t="s">
        <v>1214</v>
      </c>
      <c r="D510" s="67"/>
      <c r="E510" s="67"/>
      <c r="F510" s="67"/>
      <c r="G510" s="69"/>
      <c r="H510" s="63">
        <f>SUM(H509:H509)</f>
        <v>666250</v>
      </c>
      <c r="M510" s="475"/>
    </row>
    <row r="511" spans="3:13" ht="22.8" customHeight="1">
      <c r="C511" s="61" t="s">
        <v>1215</v>
      </c>
      <c r="D511" s="56" t="s">
        <v>1216</v>
      </c>
      <c r="E511" s="57"/>
      <c r="F511" s="57"/>
      <c r="G511" s="57"/>
      <c r="H511" s="57"/>
      <c r="M511" s="475"/>
    </row>
    <row r="512" spans="3:13" ht="22.8" customHeight="1">
      <c r="C512" s="450" t="s">
        <v>1217</v>
      </c>
      <c r="D512" s="67"/>
      <c r="E512" s="67"/>
      <c r="F512" s="67"/>
      <c r="G512" s="69"/>
      <c r="H512" s="589">
        <v>0</v>
      </c>
      <c r="M512" s="475"/>
    </row>
    <row r="513" spans="3:13" ht="22.8" customHeight="1">
      <c r="C513" s="288" t="s">
        <v>1218</v>
      </c>
      <c r="D513" s="76" t="s">
        <v>1219</v>
      </c>
      <c r="E513" s="77"/>
      <c r="F513" s="77"/>
      <c r="G513" s="78"/>
      <c r="H513" s="585">
        <f>H512+H510+H507</f>
        <v>1061990</v>
      </c>
      <c r="I513" s="369"/>
      <c r="M513" s="475"/>
    </row>
    <row r="514" spans="3:13" ht="22.8" customHeight="1">
      <c r="C514" s="288" t="s">
        <v>1220</v>
      </c>
      <c r="D514" s="76" t="s">
        <v>1402</v>
      </c>
      <c r="E514" s="77"/>
      <c r="F514" s="78"/>
      <c r="G514" s="481" t="s">
        <v>1403</v>
      </c>
      <c r="H514" s="585">
        <f>H513*10%</f>
        <v>106199</v>
      </c>
      <c r="I514" s="369"/>
      <c r="M514" s="475"/>
    </row>
    <row r="515" spans="3:13" ht="22.8" customHeight="1">
      <c r="C515" s="288" t="s">
        <v>1221</v>
      </c>
      <c r="D515" s="76" t="s">
        <v>1222</v>
      </c>
      <c r="E515" s="77"/>
      <c r="F515" s="77"/>
      <c r="G515" s="78"/>
      <c r="H515" s="799">
        <f>SUM(H513:H514)</f>
        <v>1168189</v>
      </c>
      <c r="I515" s="369"/>
      <c r="M515" s="475"/>
    </row>
    <row r="516" spans="3:13" ht="22.8" customHeight="1">
      <c r="C516" s="54"/>
      <c r="D516" s="86"/>
      <c r="E516" s="86"/>
      <c r="F516" s="86"/>
      <c r="G516" s="86"/>
      <c r="H516" s="87"/>
      <c r="M516" s="475"/>
    </row>
    <row r="517" spans="3:13" ht="22.8" customHeight="1">
      <c r="C517" s="47" t="s">
        <v>3780</v>
      </c>
      <c r="D517" s="794" t="s">
        <v>1600</v>
      </c>
      <c r="E517" s="797"/>
      <c r="F517" s="797"/>
      <c r="G517" s="797"/>
      <c r="H517" s="797"/>
      <c r="I517" s="50">
        <f>ROUNDDOWN(H532,-2)</f>
        <v>5600800</v>
      </c>
      <c r="J517" s="50"/>
      <c r="K517" s="50"/>
      <c r="M517" s="475"/>
    </row>
    <row r="518" spans="3:13" ht="22.8" customHeight="1">
      <c r="C518" s="591" t="s">
        <v>1195</v>
      </c>
      <c r="D518" s="591" t="s">
        <v>1196</v>
      </c>
      <c r="E518" s="591" t="s">
        <v>1197</v>
      </c>
      <c r="F518" s="591" t="s">
        <v>1198</v>
      </c>
      <c r="G518" s="591" t="s">
        <v>1199</v>
      </c>
      <c r="H518" s="591" t="s">
        <v>1200</v>
      </c>
      <c r="M518" s="475"/>
    </row>
    <row r="519" spans="3:13" ht="22.8" customHeight="1">
      <c r="C519" s="577" t="s">
        <v>1201</v>
      </c>
      <c r="D519" s="56" t="s">
        <v>1202</v>
      </c>
      <c r="E519" s="57"/>
      <c r="F519" s="57"/>
      <c r="G519" s="57"/>
      <c r="H519" s="57"/>
      <c r="M519" s="475"/>
    </row>
    <row r="520" spans="3:13" ht="22.8" customHeight="1">
      <c r="C520" s="798">
        <v>1</v>
      </c>
      <c r="D520" s="56" t="s">
        <v>5</v>
      </c>
      <c r="E520" s="577" t="s">
        <v>6</v>
      </c>
      <c r="F520" s="98">
        <v>5.625</v>
      </c>
      <c r="G520" s="63">
        <f>VLOOKUP(D520,upahbahan,3,FALSE)</f>
        <v>100000</v>
      </c>
      <c r="H520" s="63">
        <f t="shared" ref="H520:H523" si="55">F520*G520</f>
        <v>562500</v>
      </c>
      <c r="M520" s="475"/>
    </row>
    <row r="521" spans="3:13" ht="22.8" customHeight="1">
      <c r="C521" s="798">
        <v>2</v>
      </c>
      <c r="D521" s="56" t="str">
        <f>D504</f>
        <v>Tukang pipa</v>
      </c>
      <c r="E521" s="577" t="s">
        <v>6</v>
      </c>
      <c r="F521" s="98">
        <v>9.3940000000000001</v>
      </c>
      <c r="G521" s="63">
        <f>VLOOKUP(D521,upahbahan,3,FALSE)</f>
        <v>135000</v>
      </c>
      <c r="H521" s="63">
        <f t="shared" si="55"/>
        <v>1268190</v>
      </c>
      <c r="M521" s="475"/>
    </row>
    <row r="522" spans="3:13" ht="22.8" customHeight="1">
      <c r="C522" s="798">
        <v>3</v>
      </c>
      <c r="D522" s="56" t="s">
        <v>18</v>
      </c>
      <c r="E522" s="577" t="s">
        <v>6</v>
      </c>
      <c r="F522" s="98">
        <v>0.93899999999999995</v>
      </c>
      <c r="G522" s="63">
        <f>VLOOKUP(D522,upahbahan,3,FALSE)</f>
        <v>150000</v>
      </c>
      <c r="H522" s="63">
        <f t="shared" si="55"/>
        <v>140850</v>
      </c>
      <c r="M522" s="475"/>
    </row>
    <row r="523" spans="3:13" ht="22.8" customHeight="1">
      <c r="C523" s="798">
        <v>4</v>
      </c>
      <c r="D523" s="56" t="s">
        <v>19</v>
      </c>
      <c r="E523" s="577" t="s">
        <v>6</v>
      </c>
      <c r="F523" s="98">
        <v>0.28199999999999997</v>
      </c>
      <c r="G523" s="63">
        <f>VLOOKUP(D523,upahbahan,3,FALSE)</f>
        <v>160000</v>
      </c>
      <c r="H523" s="63">
        <f t="shared" si="55"/>
        <v>45119.999999999993</v>
      </c>
      <c r="M523" s="475"/>
    </row>
    <row r="524" spans="3:13" ht="22.8" customHeight="1">
      <c r="C524" s="450" t="s">
        <v>1208</v>
      </c>
      <c r="D524" s="67"/>
      <c r="E524" s="67"/>
      <c r="F524" s="142"/>
      <c r="G524" s="153"/>
      <c r="H524" s="63">
        <f>SUM(H520:H523)</f>
        <v>2016660</v>
      </c>
      <c r="I524" s="154"/>
      <c r="J524" s="154"/>
      <c r="K524" s="154"/>
      <c r="M524" s="475"/>
    </row>
    <row r="525" spans="3:13" ht="22.8" customHeight="1">
      <c r="C525" s="577" t="s">
        <v>1209</v>
      </c>
      <c r="D525" s="56" t="s">
        <v>1210</v>
      </c>
      <c r="E525" s="57"/>
      <c r="F525" s="57"/>
      <c r="G525" s="57"/>
      <c r="H525" s="57"/>
      <c r="M525" s="475"/>
    </row>
    <row r="526" spans="3:13" ht="22.8" customHeight="1">
      <c r="C526" s="798">
        <v>1</v>
      </c>
      <c r="D526" s="56" t="s">
        <v>675</v>
      </c>
      <c r="E526" s="73" t="s">
        <v>135</v>
      </c>
      <c r="F526" s="62">
        <f>F509</f>
        <v>1.0249999999999999</v>
      </c>
      <c r="G526" s="63">
        <f>VLOOKUP(D526,upahbahan,3,FALSE)</f>
        <v>3000000</v>
      </c>
      <c r="H526" s="63">
        <f t="shared" ref="H526" si="56">F526*G526</f>
        <v>3074999.9999999995</v>
      </c>
      <c r="M526" s="475"/>
    </row>
    <row r="527" spans="3:13" ht="22.8" customHeight="1">
      <c r="C527" s="450" t="s">
        <v>1214</v>
      </c>
      <c r="D527" s="67"/>
      <c r="E527" s="67"/>
      <c r="F527" s="67"/>
      <c r="G527" s="69"/>
      <c r="H527" s="63">
        <f>SUM(H526:H526)</f>
        <v>3074999.9999999995</v>
      </c>
      <c r="M527" s="475"/>
    </row>
    <row r="528" spans="3:13" ht="22.8" customHeight="1">
      <c r="C528" s="61" t="s">
        <v>1215</v>
      </c>
      <c r="D528" s="56" t="s">
        <v>1216</v>
      </c>
      <c r="E528" s="57"/>
      <c r="F528" s="57"/>
      <c r="G528" s="57"/>
      <c r="H528" s="57"/>
      <c r="M528" s="475"/>
    </row>
    <row r="529" spans="3:13" ht="22.8" customHeight="1">
      <c r="C529" s="450" t="s">
        <v>1217</v>
      </c>
      <c r="D529" s="67"/>
      <c r="E529" s="67"/>
      <c r="F529" s="67"/>
      <c r="G529" s="69"/>
      <c r="H529" s="589">
        <v>0</v>
      </c>
      <c r="M529" s="475"/>
    </row>
    <row r="530" spans="3:13" ht="22.8" customHeight="1">
      <c r="C530" s="288" t="s">
        <v>1218</v>
      </c>
      <c r="D530" s="76" t="s">
        <v>1219</v>
      </c>
      <c r="E530" s="77"/>
      <c r="F530" s="77"/>
      <c r="G530" s="78"/>
      <c r="H530" s="585">
        <f>H529+H527+H524</f>
        <v>5091660</v>
      </c>
      <c r="I530" s="369"/>
      <c r="M530" s="475"/>
    </row>
    <row r="531" spans="3:13" ht="22.8" customHeight="1">
      <c r="C531" s="288" t="s">
        <v>1220</v>
      </c>
      <c r="D531" s="76" t="s">
        <v>1402</v>
      </c>
      <c r="E531" s="77"/>
      <c r="F531" s="78"/>
      <c r="G531" s="481" t="s">
        <v>1403</v>
      </c>
      <c r="H531" s="585">
        <f>H530*10%</f>
        <v>509166</v>
      </c>
      <c r="I531" s="369"/>
      <c r="M531" s="475"/>
    </row>
    <row r="532" spans="3:13" ht="22.8" customHeight="1">
      <c r="C532" s="288" t="s">
        <v>1221</v>
      </c>
      <c r="D532" s="76" t="s">
        <v>1222</v>
      </c>
      <c r="E532" s="77"/>
      <c r="F532" s="77"/>
      <c r="G532" s="78"/>
      <c r="H532" s="799">
        <f>SUM(H530:H531)</f>
        <v>5600826</v>
      </c>
      <c r="I532" s="369"/>
      <c r="M532" s="475"/>
    </row>
    <row r="533" spans="3:13" ht="22.8" customHeight="1">
      <c r="C533" s="54"/>
      <c r="D533" s="86"/>
      <c r="E533" s="86"/>
      <c r="F533" s="86"/>
      <c r="G533" s="86"/>
      <c r="H533" s="87"/>
      <c r="M533" s="475"/>
    </row>
    <row r="534" spans="3:13" ht="22.8" customHeight="1">
      <c r="C534" s="47" t="s">
        <v>3781</v>
      </c>
      <c r="D534" s="794" t="s">
        <v>1601</v>
      </c>
      <c r="E534" s="797"/>
      <c r="F534" s="797"/>
      <c r="G534" s="797"/>
      <c r="H534" s="797"/>
      <c r="I534" s="50">
        <f>ROUNDDOWN(H549,-2)</f>
        <v>435300</v>
      </c>
      <c r="J534" s="50"/>
      <c r="K534" s="50"/>
      <c r="M534" s="475"/>
    </row>
    <row r="535" spans="3:13" ht="22.8" customHeight="1">
      <c r="C535" s="591" t="s">
        <v>1195</v>
      </c>
      <c r="D535" s="591" t="s">
        <v>1196</v>
      </c>
      <c r="E535" s="591" t="s">
        <v>1197</v>
      </c>
      <c r="F535" s="591" t="s">
        <v>1198</v>
      </c>
      <c r="G535" s="591" t="s">
        <v>1199</v>
      </c>
      <c r="H535" s="591" t="s">
        <v>1200</v>
      </c>
      <c r="M535" s="475"/>
    </row>
    <row r="536" spans="3:13" ht="22.8" customHeight="1">
      <c r="C536" s="577" t="s">
        <v>1201</v>
      </c>
      <c r="D536" s="56" t="s">
        <v>1202</v>
      </c>
      <c r="E536" s="57"/>
      <c r="F536" s="57"/>
      <c r="G536" s="57"/>
      <c r="H536" s="57"/>
      <c r="M536" s="475"/>
    </row>
    <row r="537" spans="3:13" ht="22.8" customHeight="1">
      <c r="C537" s="798">
        <v>1</v>
      </c>
      <c r="D537" s="56" t="s">
        <v>5</v>
      </c>
      <c r="E537" s="577" t="s">
        <v>6</v>
      </c>
      <c r="F537" s="98">
        <v>1.1040000000000001</v>
      </c>
      <c r="G537" s="63">
        <f>VLOOKUP(D537,upahbahan,3,FALSE)</f>
        <v>100000</v>
      </c>
      <c r="H537" s="63">
        <f>F537*G537</f>
        <v>110400.00000000001</v>
      </c>
      <c r="M537" s="475"/>
    </row>
    <row r="538" spans="3:13" ht="22.8" customHeight="1">
      <c r="C538" s="798">
        <v>2</v>
      </c>
      <c r="D538" s="56" t="str">
        <f>D521</f>
        <v>Tukang pipa</v>
      </c>
      <c r="E538" s="577" t="s">
        <v>6</v>
      </c>
      <c r="F538" s="98">
        <v>1.8440000000000001</v>
      </c>
      <c r="G538" s="63">
        <f>VLOOKUP(D538,upahbahan,3,FALSE)</f>
        <v>135000</v>
      </c>
      <c r="H538" s="63">
        <f t="shared" ref="H538:H540" si="57">F538*G538</f>
        <v>248940</v>
      </c>
      <c r="M538" s="475"/>
    </row>
    <row r="539" spans="3:13" ht="22.8" customHeight="1">
      <c r="C539" s="798">
        <v>3</v>
      </c>
      <c r="D539" s="56" t="s">
        <v>18</v>
      </c>
      <c r="E539" s="577" t="s">
        <v>6</v>
      </c>
      <c r="F539" s="98">
        <v>0.184</v>
      </c>
      <c r="G539" s="63">
        <f>VLOOKUP(D539,upahbahan,3,FALSE)</f>
        <v>150000</v>
      </c>
      <c r="H539" s="63">
        <f t="shared" si="57"/>
        <v>27600</v>
      </c>
      <c r="M539" s="475"/>
    </row>
    <row r="540" spans="3:13" ht="22.8" customHeight="1">
      <c r="C540" s="798">
        <v>4</v>
      </c>
      <c r="D540" s="56" t="s">
        <v>19</v>
      </c>
      <c r="E540" s="577" t="s">
        <v>6</v>
      </c>
      <c r="F540" s="98">
        <v>5.5E-2</v>
      </c>
      <c r="G540" s="63">
        <f>VLOOKUP(D540,upahbahan,3,FALSE)</f>
        <v>160000</v>
      </c>
      <c r="H540" s="63">
        <f t="shared" si="57"/>
        <v>8800</v>
      </c>
      <c r="M540" s="475"/>
    </row>
    <row r="541" spans="3:13" ht="22.8" customHeight="1">
      <c r="C541" s="450" t="s">
        <v>1208</v>
      </c>
      <c r="D541" s="67"/>
      <c r="E541" s="67"/>
      <c r="F541" s="142"/>
      <c r="G541" s="153"/>
      <c r="H541" s="63">
        <f>SUM(H537:H540)</f>
        <v>395740</v>
      </c>
      <c r="I541" s="154"/>
      <c r="J541" s="154"/>
      <c r="K541" s="154"/>
      <c r="M541" s="475"/>
    </row>
    <row r="542" spans="3:13" ht="22.8" customHeight="1">
      <c r="C542" s="577" t="s">
        <v>1209</v>
      </c>
      <c r="D542" s="56" t="s">
        <v>1210</v>
      </c>
      <c r="E542" s="57"/>
      <c r="F542" s="57"/>
      <c r="G542" s="57"/>
      <c r="H542" s="57"/>
      <c r="M542" s="475"/>
    </row>
    <row r="543" spans="3:13" ht="22.8" customHeight="1">
      <c r="C543" s="798">
        <v>1</v>
      </c>
      <c r="D543" s="56" t="s">
        <v>729</v>
      </c>
      <c r="E543" s="73" t="s">
        <v>135</v>
      </c>
      <c r="F543" s="62">
        <f>F526</f>
        <v>1.0249999999999999</v>
      </c>
      <c r="G543" s="63">
        <f>VLOOKUP(D543,upahbahan,3,FALSE)</f>
        <v>0</v>
      </c>
      <c r="H543" s="63">
        <f>F543*G543</f>
        <v>0</v>
      </c>
      <c r="M543" s="475"/>
    </row>
    <row r="544" spans="3:13" ht="22.8" customHeight="1">
      <c r="C544" s="450" t="s">
        <v>1214</v>
      </c>
      <c r="D544" s="67"/>
      <c r="E544" s="67"/>
      <c r="F544" s="67"/>
      <c r="G544" s="69"/>
      <c r="H544" s="63">
        <f>SUM(H543:H543)</f>
        <v>0</v>
      </c>
      <c r="M544" s="475"/>
    </row>
    <row r="545" spans="3:13" ht="22.8" customHeight="1">
      <c r="C545" s="61" t="s">
        <v>1215</v>
      </c>
      <c r="D545" s="56" t="s">
        <v>1216</v>
      </c>
      <c r="E545" s="57"/>
      <c r="F545" s="57"/>
      <c r="G545" s="57"/>
      <c r="H545" s="57"/>
      <c r="M545" s="475"/>
    </row>
    <row r="546" spans="3:13" ht="22.8" customHeight="1">
      <c r="C546" s="450" t="s">
        <v>1217</v>
      </c>
      <c r="D546" s="67"/>
      <c r="E546" s="67"/>
      <c r="F546" s="67"/>
      <c r="G546" s="69"/>
      <c r="H546" s="589">
        <v>0</v>
      </c>
      <c r="M546" s="475"/>
    </row>
    <row r="547" spans="3:13" ht="22.8" customHeight="1">
      <c r="C547" s="288" t="s">
        <v>1218</v>
      </c>
      <c r="D547" s="76" t="s">
        <v>1219</v>
      </c>
      <c r="E547" s="77"/>
      <c r="F547" s="77"/>
      <c r="G547" s="78"/>
      <c r="H547" s="585">
        <f>H546+H544+H541</f>
        <v>395740</v>
      </c>
      <c r="I547" s="369"/>
      <c r="M547" s="475"/>
    </row>
    <row r="548" spans="3:13" ht="22.8" customHeight="1">
      <c r="C548" s="288" t="s">
        <v>1220</v>
      </c>
      <c r="D548" s="76" t="s">
        <v>1402</v>
      </c>
      <c r="E548" s="77"/>
      <c r="F548" s="78"/>
      <c r="G548" s="481" t="s">
        <v>1403</v>
      </c>
      <c r="H548" s="585">
        <f>H547*10%</f>
        <v>39574</v>
      </c>
      <c r="I548" s="369"/>
      <c r="M548" s="475"/>
    </row>
    <row r="549" spans="3:13" ht="22.8" customHeight="1">
      <c r="C549" s="288" t="s">
        <v>1221</v>
      </c>
      <c r="D549" s="76" t="s">
        <v>1222</v>
      </c>
      <c r="E549" s="77"/>
      <c r="F549" s="77"/>
      <c r="G549" s="78"/>
      <c r="H549" s="799">
        <f>SUM(H547:H548)</f>
        <v>435314</v>
      </c>
      <c r="I549" s="369"/>
      <c r="M549" s="475"/>
    </row>
    <row r="550" spans="3:13" ht="22.8" customHeight="1">
      <c r="C550" s="54"/>
      <c r="D550" s="86"/>
      <c r="E550" s="86"/>
      <c r="F550" s="86"/>
      <c r="G550" s="86"/>
      <c r="H550" s="87"/>
      <c r="M550" s="475"/>
    </row>
    <row r="551" spans="3:13" ht="22.8" customHeight="1">
      <c r="C551" s="54" t="s">
        <v>3782</v>
      </c>
      <c r="D551" s="86" t="s">
        <v>3783</v>
      </c>
      <c r="E551" s="86"/>
      <c r="F551" s="86"/>
      <c r="G551" s="86"/>
      <c r="H551" s="87"/>
      <c r="M551" s="475"/>
    </row>
    <row r="552" spans="3:13" ht="22.8" customHeight="1">
      <c r="C552" s="59" t="s">
        <v>3784</v>
      </c>
      <c r="D552" s="794" t="s">
        <v>1602</v>
      </c>
      <c r="E552" s="797"/>
      <c r="F552" s="797"/>
      <c r="G552" s="797"/>
      <c r="H552" s="797"/>
      <c r="I552" s="50">
        <f>ROUNDDOWN(H567,-2)</f>
        <v>246400</v>
      </c>
      <c r="J552" s="50"/>
      <c r="K552" s="50"/>
      <c r="M552" s="475"/>
    </row>
    <row r="553" spans="3:13" ht="22.8" customHeight="1">
      <c r="C553" s="591" t="s">
        <v>1195</v>
      </c>
      <c r="D553" s="591" t="s">
        <v>1196</v>
      </c>
      <c r="E553" s="591" t="s">
        <v>1197</v>
      </c>
      <c r="F553" s="591" t="s">
        <v>1198</v>
      </c>
      <c r="G553" s="591" t="s">
        <v>1199</v>
      </c>
      <c r="H553" s="591" t="s">
        <v>1200</v>
      </c>
      <c r="M553" s="475"/>
    </row>
    <row r="554" spans="3:13" ht="22.8" customHeight="1">
      <c r="C554" s="577" t="s">
        <v>1201</v>
      </c>
      <c r="D554" s="56" t="s">
        <v>1202</v>
      </c>
      <c r="E554" s="57"/>
      <c r="F554" s="57"/>
      <c r="G554" s="57"/>
      <c r="H554" s="57"/>
      <c r="M554" s="475"/>
    </row>
    <row r="555" spans="3:13" ht="22.8" customHeight="1">
      <c r="C555" s="798">
        <v>1</v>
      </c>
      <c r="D555" s="56" t="s">
        <v>5</v>
      </c>
      <c r="E555" s="577" t="s">
        <v>6</v>
      </c>
      <c r="F555" s="98">
        <v>0.625</v>
      </c>
      <c r="G555" s="63">
        <f>VLOOKUP(D555,upahbahan,3,FALSE)</f>
        <v>100000</v>
      </c>
      <c r="H555" s="63">
        <f>F555*G555</f>
        <v>62500</v>
      </c>
      <c r="M555" s="475"/>
    </row>
    <row r="556" spans="3:13" ht="22.8" customHeight="1">
      <c r="C556" s="798">
        <v>2</v>
      </c>
      <c r="D556" s="56" t="str">
        <f>D538</f>
        <v>Tukang pipa</v>
      </c>
      <c r="E556" s="577" t="s">
        <v>6</v>
      </c>
      <c r="F556" s="98">
        <v>1.044</v>
      </c>
      <c r="G556" s="63">
        <f>VLOOKUP(D556,upahbahan,3,FALSE)</f>
        <v>135000</v>
      </c>
      <c r="H556" s="63">
        <f t="shared" ref="H556:H558" si="58">F556*G556</f>
        <v>140940</v>
      </c>
      <c r="M556" s="475"/>
    </row>
    <row r="557" spans="3:13" ht="22.8" customHeight="1">
      <c r="C557" s="798">
        <v>3</v>
      </c>
      <c r="D557" s="56" t="s">
        <v>18</v>
      </c>
      <c r="E557" s="577" t="s">
        <v>6</v>
      </c>
      <c r="F557" s="98">
        <v>0.104</v>
      </c>
      <c r="G557" s="63">
        <f>VLOOKUP(D557,upahbahan,3,FALSE)</f>
        <v>150000</v>
      </c>
      <c r="H557" s="63">
        <f t="shared" si="58"/>
        <v>15600</v>
      </c>
      <c r="M557" s="475"/>
    </row>
    <row r="558" spans="3:13" ht="22.8" customHeight="1">
      <c r="C558" s="798">
        <v>4</v>
      </c>
      <c r="D558" s="56" t="s">
        <v>19</v>
      </c>
      <c r="E558" s="577" t="s">
        <v>6</v>
      </c>
      <c r="F558" s="98">
        <v>3.1E-2</v>
      </c>
      <c r="G558" s="63">
        <f>VLOOKUP(D558,upahbahan,3,FALSE)</f>
        <v>160000</v>
      </c>
      <c r="H558" s="63">
        <f t="shared" si="58"/>
        <v>4960</v>
      </c>
      <c r="M558" s="475"/>
    </row>
    <row r="559" spans="3:13" ht="22.8" customHeight="1">
      <c r="C559" s="450" t="s">
        <v>1208</v>
      </c>
      <c r="D559" s="67"/>
      <c r="E559" s="67"/>
      <c r="F559" s="142"/>
      <c r="G559" s="153"/>
      <c r="H559" s="63">
        <f>SUM(H555:H558)</f>
        <v>224000</v>
      </c>
      <c r="I559" s="154"/>
      <c r="J559" s="154"/>
      <c r="K559" s="154"/>
      <c r="M559" s="475"/>
    </row>
    <row r="560" spans="3:13" ht="22.8" customHeight="1">
      <c r="C560" s="577" t="s">
        <v>1209</v>
      </c>
      <c r="D560" s="56" t="s">
        <v>1210</v>
      </c>
      <c r="E560" s="57"/>
      <c r="F560" s="57"/>
      <c r="G560" s="57"/>
      <c r="H560" s="57"/>
      <c r="M560" s="475"/>
    </row>
    <row r="561" spans="3:13" ht="22.8" customHeight="1">
      <c r="C561" s="798">
        <v>1</v>
      </c>
      <c r="D561" s="56" t="s">
        <v>707</v>
      </c>
      <c r="E561" s="73" t="s">
        <v>135</v>
      </c>
      <c r="F561" s="62">
        <f>F543</f>
        <v>1.0249999999999999</v>
      </c>
      <c r="G561" s="63">
        <f>VLOOKUP(D561,upahbahan,3,FALSE)</f>
        <v>0</v>
      </c>
      <c r="H561" s="63">
        <f t="shared" ref="H561" si="59">F561*G561</f>
        <v>0</v>
      </c>
      <c r="M561" s="475"/>
    </row>
    <row r="562" spans="3:13" ht="22.8" customHeight="1">
      <c r="C562" s="450" t="s">
        <v>1214</v>
      </c>
      <c r="D562" s="67"/>
      <c r="E562" s="67"/>
      <c r="F562" s="67"/>
      <c r="G562" s="69"/>
      <c r="H562" s="63">
        <f>SUM(H561:H561)</f>
        <v>0</v>
      </c>
      <c r="M562" s="475"/>
    </row>
    <row r="563" spans="3:13" ht="22.8" customHeight="1">
      <c r="C563" s="61" t="s">
        <v>1215</v>
      </c>
      <c r="D563" s="56" t="s">
        <v>1216</v>
      </c>
      <c r="E563" s="57"/>
      <c r="F563" s="57"/>
      <c r="G563" s="57"/>
      <c r="H563" s="57"/>
      <c r="M563" s="475"/>
    </row>
    <row r="564" spans="3:13" ht="22.8" customHeight="1">
      <c r="C564" s="450" t="s">
        <v>1217</v>
      </c>
      <c r="D564" s="67"/>
      <c r="E564" s="67"/>
      <c r="F564" s="67"/>
      <c r="G564" s="69"/>
      <c r="H564" s="589">
        <v>0</v>
      </c>
      <c r="M564" s="475"/>
    </row>
    <row r="565" spans="3:13" ht="22.8" customHeight="1">
      <c r="C565" s="288" t="s">
        <v>1218</v>
      </c>
      <c r="D565" s="76" t="s">
        <v>1219</v>
      </c>
      <c r="E565" s="77"/>
      <c r="F565" s="77"/>
      <c r="G565" s="78"/>
      <c r="H565" s="585">
        <f>H564+H562+H559</f>
        <v>224000</v>
      </c>
      <c r="I565" s="369"/>
      <c r="M565" s="475"/>
    </row>
    <row r="566" spans="3:13" ht="22.8" customHeight="1">
      <c r="C566" s="288" t="s">
        <v>1220</v>
      </c>
      <c r="D566" s="76" t="s">
        <v>1402</v>
      </c>
      <c r="E566" s="77"/>
      <c r="F566" s="78"/>
      <c r="G566" s="481" t="s">
        <v>1403</v>
      </c>
      <c r="H566" s="585">
        <f>H565*10%</f>
        <v>22400</v>
      </c>
      <c r="I566" s="369"/>
      <c r="M566" s="475"/>
    </row>
    <row r="567" spans="3:13" ht="22.8" customHeight="1">
      <c r="C567" s="288" t="s">
        <v>1221</v>
      </c>
      <c r="D567" s="76" t="s">
        <v>1222</v>
      </c>
      <c r="E567" s="77"/>
      <c r="F567" s="77"/>
      <c r="G567" s="78"/>
      <c r="H567" s="799">
        <f>SUM(H565:H566)</f>
        <v>246400</v>
      </c>
      <c r="I567" s="369"/>
      <c r="M567" s="475"/>
    </row>
    <row r="568" spans="3:13" ht="22.8" customHeight="1">
      <c r="C568" s="54"/>
      <c r="D568" s="86"/>
      <c r="E568" s="86"/>
      <c r="F568" s="86"/>
      <c r="G568" s="86"/>
      <c r="H568" s="87"/>
      <c r="M568" s="475"/>
    </row>
    <row r="569" spans="3:13" ht="22.8" customHeight="1">
      <c r="C569" s="59" t="s">
        <v>3785</v>
      </c>
      <c r="D569" s="794" t="s">
        <v>1603</v>
      </c>
      <c r="E569" s="797"/>
      <c r="F569" s="797"/>
      <c r="G569" s="797"/>
      <c r="H569" s="797"/>
      <c r="I569" s="50">
        <f>ROUNDDOWN(H584,-2)</f>
        <v>262700</v>
      </c>
      <c r="J569" s="50"/>
      <c r="K569" s="50"/>
      <c r="M569" s="475"/>
    </row>
    <row r="570" spans="3:13" ht="22.8" customHeight="1">
      <c r="C570" s="591" t="s">
        <v>1195</v>
      </c>
      <c r="D570" s="591" t="s">
        <v>1196</v>
      </c>
      <c r="E570" s="591" t="s">
        <v>1197</v>
      </c>
      <c r="F570" s="591" t="s">
        <v>1198</v>
      </c>
      <c r="G570" s="591" t="s">
        <v>1199</v>
      </c>
      <c r="H570" s="591" t="s">
        <v>1200</v>
      </c>
      <c r="M570" s="475"/>
    </row>
    <row r="571" spans="3:13" ht="22.8" customHeight="1">
      <c r="C571" s="577" t="s">
        <v>1201</v>
      </c>
      <c r="D571" s="56" t="s">
        <v>1202</v>
      </c>
      <c r="E571" s="57"/>
      <c r="F571" s="57"/>
      <c r="G571" s="57"/>
      <c r="H571" s="57"/>
      <c r="M571" s="475"/>
    </row>
    <row r="572" spans="3:13" ht="22.8" customHeight="1">
      <c r="C572" s="798">
        <v>1</v>
      </c>
      <c r="D572" s="56" t="s">
        <v>5</v>
      </c>
      <c r="E572" s="61" t="s">
        <v>6</v>
      </c>
      <c r="F572" s="98">
        <v>0.66700000000000004</v>
      </c>
      <c r="G572" s="63">
        <f>VLOOKUP(D572,upahbahan,3,FALSE)</f>
        <v>100000</v>
      </c>
      <c r="H572" s="63">
        <f>F572*G572</f>
        <v>66700</v>
      </c>
      <c r="M572" s="475"/>
    </row>
    <row r="573" spans="3:13" ht="22.8" customHeight="1">
      <c r="C573" s="798">
        <v>2</v>
      </c>
      <c r="D573" s="56" t="str">
        <f>D556</f>
        <v>Tukang pipa</v>
      </c>
      <c r="E573" s="61" t="s">
        <v>6</v>
      </c>
      <c r="F573" s="98">
        <v>1.113</v>
      </c>
      <c r="G573" s="63">
        <f>VLOOKUP(D573,upahbahan,3,FALSE)</f>
        <v>135000</v>
      </c>
      <c r="H573" s="63">
        <f>F573*G573</f>
        <v>150255</v>
      </c>
      <c r="M573" s="475"/>
    </row>
    <row r="574" spans="3:13" ht="22.8" customHeight="1">
      <c r="C574" s="798">
        <v>3</v>
      </c>
      <c r="D574" s="56" t="s">
        <v>18</v>
      </c>
      <c r="E574" s="61" t="s">
        <v>6</v>
      </c>
      <c r="F574" s="98">
        <v>0.111</v>
      </c>
      <c r="G574" s="63">
        <f>VLOOKUP(D574,upahbahan,3,FALSE)</f>
        <v>150000</v>
      </c>
      <c r="H574" s="63">
        <f>F574*G574</f>
        <v>16650</v>
      </c>
      <c r="M574" s="475"/>
    </row>
    <row r="575" spans="3:13" ht="22.8" customHeight="1">
      <c r="C575" s="798">
        <v>4</v>
      </c>
      <c r="D575" s="56" t="s">
        <v>19</v>
      </c>
      <c r="E575" s="61" t="s">
        <v>6</v>
      </c>
      <c r="F575" s="98">
        <v>3.3000000000000002E-2</v>
      </c>
      <c r="G575" s="63">
        <f>VLOOKUP(D575,upahbahan,3,FALSE)</f>
        <v>160000</v>
      </c>
      <c r="H575" s="63">
        <f>F575*G575</f>
        <v>5280</v>
      </c>
      <c r="M575" s="475"/>
    </row>
    <row r="576" spans="3:13" ht="22.8" customHeight="1">
      <c r="C576" s="450" t="s">
        <v>1208</v>
      </c>
      <c r="D576" s="67"/>
      <c r="E576" s="67"/>
      <c r="F576" s="142"/>
      <c r="G576" s="153"/>
      <c r="H576" s="63">
        <f>SUM(H572:H575)</f>
        <v>238885</v>
      </c>
      <c r="I576" s="154"/>
      <c r="J576" s="154"/>
      <c r="K576" s="154"/>
      <c r="M576" s="475"/>
    </row>
    <row r="577" spans="3:13" ht="22.8" customHeight="1">
      <c r="C577" s="577" t="s">
        <v>1209</v>
      </c>
      <c r="D577" s="56" t="s">
        <v>1210</v>
      </c>
      <c r="E577" s="57"/>
      <c r="F577" s="57"/>
      <c r="G577" s="57"/>
      <c r="H577" s="57"/>
      <c r="M577" s="475"/>
    </row>
    <row r="578" spans="3:13" ht="22.8" customHeight="1">
      <c r="C578" s="798">
        <v>1</v>
      </c>
      <c r="D578" s="56" t="s">
        <v>708</v>
      </c>
      <c r="E578" s="73" t="s">
        <v>135</v>
      </c>
      <c r="F578" s="62">
        <f>F561</f>
        <v>1.0249999999999999</v>
      </c>
      <c r="G578" s="63">
        <f>VLOOKUP(D578,upahbahan,3,FALSE)</f>
        <v>0</v>
      </c>
      <c r="H578" s="63">
        <f>F578*G578</f>
        <v>0</v>
      </c>
      <c r="M578" s="475"/>
    </row>
    <row r="579" spans="3:13" ht="22.8" customHeight="1">
      <c r="C579" s="450" t="s">
        <v>1214</v>
      </c>
      <c r="D579" s="67"/>
      <c r="E579" s="67"/>
      <c r="F579" s="67"/>
      <c r="G579" s="69"/>
      <c r="H579" s="63">
        <f>SUM(H578:H578)</f>
        <v>0</v>
      </c>
      <c r="M579" s="475"/>
    </row>
    <row r="580" spans="3:13" ht="22.8" customHeight="1">
      <c r="C580" s="61" t="s">
        <v>1215</v>
      </c>
      <c r="D580" s="56" t="s">
        <v>1216</v>
      </c>
      <c r="E580" s="57"/>
      <c r="F580" s="57"/>
      <c r="G580" s="57"/>
      <c r="H580" s="57"/>
      <c r="M580" s="475"/>
    </row>
    <row r="581" spans="3:13" ht="22.8" customHeight="1">
      <c r="C581" s="450" t="s">
        <v>1217</v>
      </c>
      <c r="D581" s="67"/>
      <c r="E581" s="67"/>
      <c r="F581" s="67"/>
      <c r="G581" s="69"/>
      <c r="H581" s="589">
        <v>0</v>
      </c>
      <c r="M581" s="475"/>
    </row>
    <row r="582" spans="3:13" ht="22.8" customHeight="1">
      <c r="C582" s="288" t="s">
        <v>1218</v>
      </c>
      <c r="D582" s="76" t="s">
        <v>1219</v>
      </c>
      <c r="E582" s="77"/>
      <c r="F582" s="77"/>
      <c r="G582" s="78"/>
      <c r="H582" s="585">
        <f>H581+H579+H576</f>
        <v>238885</v>
      </c>
      <c r="I582" s="369"/>
      <c r="M582" s="475"/>
    </row>
    <row r="583" spans="3:13" ht="22.8" customHeight="1">
      <c r="C583" s="288" t="s">
        <v>1220</v>
      </c>
      <c r="D583" s="76" t="s">
        <v>1402</v>
      </c>
      <c r="E583" s="77"/>
      <c r="F583" s="78"/>
      <c r="G583" s="481" t="s">
        <v>1403</v>
      </c>
      <c r="H583" s="585">
        <f>H582*10%</f>
        <v>23888.5</v>
      </c>
      <c r="I583" s="369"/>
      <c r="M583" s="475"/>
    </row>
    <row r="584" spans="3:13" ht="22.8" customHeight="1">
      <c r="C584" s="288" t="s">
        <v>1221</v>
      </c>
      <c r="D584" s="76" t="s">
        <v>1222</v>
      </c>
      <c r="E584" s="77"/>
      <c r="F584" s="77"/>
      <c r="G584" s="78"/>
      <c r="H584" s="799">
        <f>SUM(H582:H583)</f>
        <v>262773.5</v>
      </c>
      <c r="I584" s="369"/>
      <c r="M584" s="475"/>
    </row>
    <row r="585" spans="3:13" ht="22.8" customHeight="1">
      <c r="C585" s="54"/>
      <c r="D585" s="86"/>
      <c r="E585" s="86"/>
      <c r="F585" s="86"/>
      <c r="G585" s="86"/>
      <c r="H585" s="87"/>
      <c r="M585" s="475"/>
    </row>
    <row r="586" spans="3:13" ht="22.8" customHeight="1">
      <c r="C586" s="59" t="s">
        <v>3786</v>
      </c>
      <c r="D586" s="794" t="s">
        <v>1604</v>
      </c>
      <c r="E586" s="797"/>
      <c r="F586" s="797"/>
      <c r="G586" s="797"/>
      <c r="H586" s="797"/>
      <c r="I586" s="50">
        <f>ROUNDDOWN(H601,-2)</f>
        <v>287700</v>
      </c>
      <c r="J586" s="50"/>
      <c r="K586" s="50"/>
      <c r="M586" s="475"/>
    </row>
    <row r="587" spans="3:13" ht="22.8" customHeight="1">
      <c r="C587" s="591" t="s">
        <v>1195</v>
      </c>
      <c r="D587" s="591" t="s">
        <v>1196</v>
      </c>
      <c r="E587" s="591" t="s">
        <v>1197</v>
      </c>
      <c r="F587" s="591" t="s">
        <v>1198</v>
      </c>
      <c r="G587" s="591" t="s">
        <v>1199</v>
      </c>
      <c r="H587" s="591" t="s">
        <v>1200</v>
      </c>
      <c r="M587" s="475"/>
    </row>
    <row r="588" spans="3:13" ht="22.8" customHeight="1">
      <c r="C588" s="577" t="s">
        <v>1201</v>
      </c>
      <c r="D588" s="56" t="s">
        <v>1202</v>
      </c>
      <c r="E588" s="57"/>
      <c r="F588" s="57"/>
      <c r="G588" s="57"/>
      <c r="H588" s="57"/>
      <c r="M588" s="475"/>
    </row>
    <row r="589" spans="3:13" ht="22.8" customHeight="1">
      <c r="C589" s="798">
        <v>1</v>
      </c>
      <c r="D589" s="56" t="s">
        <v>5</v>
      </c>
      <c r="E589" s="61" t="s">
        <v>6</v>
      </c>
      <c r="F589" s="98">
        <v>0.72899999999999998</v>
      </c>
      <c r="G589" s="63">
        <f>VLOOKUP(D589,upahbahan,3,FALSE)</f>
        <v>100000</v>
      </c>
      <c r="H589" s="63">
        <f>F589*G589</f>
        <v>72900</v>
      </c>
      <c r="M589" s="475"/>
    </row>
    <row r="590" spans="3:13" ht="22.8" customHeight="1">
      <c r="C590" s="798">
        <v>2</v>
      </c>
      <c r="D590" s="56" t="str">
        <f>D573</f>
        <v>Tukang pipa</v>
      </c>
      <c r="E590" s="61" t="s">
        <v>6</v>
      </c>
      <c r="F590" s="98">
        <v>1.218</v>
      </c>
      <c r="G590" s="63">
        <f>VLOOKUP(D590,upahbahan,3,FALSE)</f>
        <v>135000</v>
      </c>
      <c r="H590" s="63">
        <f t="shared" ref="H590:H592" si="60">F590*G590</f>
        <v>164430</v>
      </c>
      <c r="M590" s="475"/>
    </row>
    <row r="591" spans="3:13" ht="22.8" customHeight="1">
      <c r="C591" s="798">
        <v>3</v>
      </c>
      <c r="D591" s="56" t="s">
        <v>18</v>
      </c>
      <c r="E591" s="61" t="s">
        <v>6</v>
      </c>
      <c r="F591" s="98">
        <v>0.122</v>
      </c>
      <c r="G591" s="63">
        <f>VLOOKUP(D591,upahbahan,3,FALSE)</f>
        <v>150000</v>
      </c>
      <c r="H591" s="63">
        <f t="shared" si="60"/>
        <v>18300</v>
      </c>
      <c r="M591" s="475"/>
    </row>
    <row r="592" spans="3:13" ht="22.8" customHeight="1">
      <c r="C592" s="798">
        <v>4</v>
      </c>
      <c r="D592" s="56" t="s">
        <v>19</v>
      </c>
      <c r="E592" s="61" t="s">
        <v>6</v>
      </c>
      <c r="F592" s="98">
        <v>3.6999999999999998E-2</v>
      </c>
      <c r="G592" s="63">
        <f>VLOOKUP(D592,upahbahan,3,FALSE)</f>
        <v>160000</v>
      </c>
      <c r="H592" s="63">
        <f t="shared" si="60"/>
        <v>5920</v>
      </c>
      <c r="M592" s="475"/>
    </row>
    <row r="593" spans="3:13" ht="22.8" customHeight="1">
      <c r="C593" s="450" t="s">
        <v>1208</v>
      </c>
      <c r="D593" s="67"/>
      <c r="E593" s="67"/>
      <c r="F593" s="142"/>
      <c r="G593" s="153"/>
      <c r="H593" s="63">
        <f>SUM(H589:H592)</f>
        <v>261550</v>
      </c>
      <c r="I593" s="154"/>
      <c r="J593" s="154"/>
      <c r="K593" s="154"/>
      <c r="M593" s="475"/>
    </row>
    <row r="594" spans="3:13" ht="22.8" customHeight="1">
      <c r="C594" s="577" t="s">
        <v>1209</v>
      </c>
      <c r="D594" s="56" t="s">
        <v>1210</v>
      </c>
      <c r="E594" s="57"/>
      <c r="F594" s="57"/>
      <c r="G594" s="57"/>
      <c r="H594" s="57"/>
      <c r="M594" s="475"/>
    </row>
    <row r="595" spans="3:13" ht="22.8" customHeight="1">
      <c r="C595" s="798">
        <v>1</v>
      </c>
      <c r="D595" s="56" t="s">
        <v>705</v>
      </c>
      <c r="E595" s="73" t="s">
        <v>135</v>
      </c>
      <c r="F595" s="62">
        <f>F578</f>
        <v>1.0249999999999999</v>
      </c>
      <c r="G595" s="63">
        <f>VLOOKUP(D595,upahbahan,3,FALSE)</f>
        <v>0</v>
      </c>
      <c r="H595" s="63">
        <f t="shared" ref="H595" si="61">F595*G595</f>
        <v>0</v>
      </c>
      <c r="M595" s="475"/>
    </row>
    <row r="596" spans="3:13" ht="22.8" customHeight="1">
      <c r="C596" s="450" t="s">
        <v>1214</v>
      </c>
      <c r="D596" s="67"/>
      <c r="E596" s="67"/>
      <c r="F596" s="67"/>
      <c r="G596" s="69"/>
      <c r="H596" s="63">
        <f>SUM(H595:H595)</f>
        <v>0</v>
      </c>
      <c r="M596" s="475"/>
    </row>
    <row r="597" spans="3:13" ht="22.8" customHeight="1">
      <c r="C597" s="61" t="s">
        <v>1215</v>
      </c>
      <c r="D597" s="56" t="s">
        <v>1216</v>
      </c>
      <c r="E597" s="57"/>
      <c r="F597" s="57"/>
      <c r="G597" s="57"/>
      <c r="H597" s="57"/>
      <c r="M597" s="475"/>
    </row>
    <row r="598" spans="3:13" ht="22.8" customHeight="1">
      <c r="C598" s="450" t="s">
        <v>1217</v>
      </c>
      <c r="D598" s="67"/>
      <c r="E598" s="67"/>
      <c r="F598" s="67"/>
      <c r="G598" s="69"/>
      <c r="H598" s="589">
        <v>0</v>
      </c>
      <c r="M598" s="475"/>
    </row>
    <row r="599" spans="3:13" ht="22.8" customHeight="1">
      <c r="C599" s="288" t="s">
        <v>1218</v>
      </c>
      <c r="D599" s="76" t="s">
        <v>1219</v>
      </c>
      <c r="E599" s="77"/>
      <c r="F599" s="77"/>
      <c r="G599" s="78"/>
      <c r="H599" s="585">
        <f>H598+H596+H593</f>
        <v>261550</v>
      </c>
      <c r="I599" s="369"/>
      <c r="M599" s="475"/>
    </row>
    <row r="600" spans="3:13" ht="22.8" customHeight="1">
      <c r="C600" s="288" t="s">
        <v>1220</v>
      </c>
      <c r="D600" s="76" t="s">
        <v>1402</v>
      </c>
      <c r="E600" s="77"/>
      <c r="F600" s="78"/>
      <c r="G600" s="481" t="s">
        <v>1403</v>
      </c>
      <c r="H600" s="585">
        <f>H599*10%</f>
        <v>26155</v>
      </c>
      <c r="I600" s="369"/>
      <c r="M600" s="475"/>
    </row>
    <row r="601" spans="3:13" ht="22.8" customHeight="1">
      <c r="C601" s="288" t="s">
        <v>1221</v>
      </c>
      <c r="D601" s="76" t="s">
        <v>1222</v>
      </c>
      <c r="E601" s="77"/>
      <c r="F601" s="77"/>
      <c r="G601" s="78"/>
      <c r="H601" s="799">
        <f>SUM(H599:H600)</f>
        <v>287705</v>
      </c>
      <c r="I601" s="369"/>
      <c r="M601" s="475"/>
    </row>
    <row r="602" spans="3:13" ht="22.8" customHeight="1">
      <c r="M602" s="475"/>
    </row>
    <row r="603" spans="3:13" ht="22.8" customHeight="1">
      <c r="C603" s="59" t="s">
        <v>3787</v>
      </c>
      <c r="D603" s="794" t="s">
        <v>1605</v>
      </c>
      <c r="E603" s="797"/>
      <c r="F603" s="797"/>
      <c r="G603" s="797"/>
      <c r="H603" s="797"/>
      <c r="I603" s="50">
        <f>ROUNDDOWN(H618,-2)</f>
        <v>328600</v>
      </c>
      <c r="J603" s="50"/>
      <c r="K603" s="50"/>
      <c r="M603" s="475"/>
    </row>
    <row r="604" spans="3:13" ht="22.8" customHeight="1">
      <c r="C604" s="591" t="s">
        <v>1195</v>
      </c>
      <c r="D604" s="591" t="s">
        <v>1196</v>
      </c>
      <c r="E604" s="591" t="s">
        <v>1197</v>
      </c>
      <c r="F604" s="591" t="s">
        <v>1198</v>
      </c>
      <c r="G604" s="591" t="s">
        <v>1199</v>
      </c>
      <c r="H604" s="591" t="s">
        <v>1200</v>
      </c>
      <c r="M604" s="475"/>
    </row>
    <row r="605" spans="3:13" ht="22.8" customHeight="1">
      <c r="C605" s="577" t="s">
        <v>1201</v>
      </c>
      <c r="D605" s="56" t="s">
        <v>1202</v>
      </c>
      <c r="E605" s="57"/>
      <c r="F605" s="57"/>
      <c r="G605" s="57"/>
      <c r="H605" s="57"/>
      <c r="M605" s="475"/>
    </row>
    <row r="606" spans="3:13" ht="22.8" customHeight="1">
      <c r="C606" s="798">
        <v>1</v>
      </c>
      <c r="D606" s="56" t="s">
        <v>5</v>
      </c>
      <c r="E606" s="61" t="s">
        <v>6</v>
      </c>
      <c r="F606" s="98">
        <v>0.83299999999999996</v>
      </c>
      <c r="G606" s="63">
        <f>VLOOKUP(D606,upahbahan,3,FALSE)</f>
        <v>100000</v>
      </c>
      <c r="H606" s="63">
        <f t="shared" ref="H606:H609" si="62">F606*G606</f>
        <v>83300</v>
      </c>
      <c r="M606" s="475"/>
    </row>
    <row r="607" spans="3:13" ht="22.8" customHeight="1">
      <c r="C607" s="798">
        <v>2</v>
      </c>
      <c r="D607" s="56" t="str">
        <f>D590</f>
        <v>Tukang pipa</v>
      </c>
      <c r="E607" s="61" t="s">
        <v>6</v>
      </c>
      <c r="F607" s="98">
        <v>1.3919999999999999</v>
      </c>
      <c r="G607" s="63">
        <f>VLOOKUP(D607,upahbahan,3,FALSE)</f>
        <v>135000</v>
      </c>
      <c r="H607" s="63">
        <f t="shared" si="62"/>
        <v>187920</v>
      </c>
      <c r="M607" s="475"/>
    </row>
    <row r="608" spans="3:13" ht="22.8" customHeight="1">
      <c r="C608" s="798">
        <v>3</v>
      </c>
      <c r="D608" s="56" t="s">
        <v>18</v>
      </c>
      <c r="E608" s="61" t="s">
        <v>6</v>
      </c>
      <c r="F608" s="98">
        <v>0.13900000000000001</v>
      </c>
      <c r="G608" s="63">
        <f>VLOOKUP(D608,upahbahan,3,FALSE)</f>
        <v>150000</v>
      </c>
      <c r="H608" s="63">
        <f t="shared" si="62"/>
        <v>20850.000000000004</v>
      </c>
      <c r="M608" s="475"/>
    </row>
    <row r="609" spans="3:13" ht="22.8" customHeight="1">
      <c r="C609" s="798">
        <v>4</v>
      </c>
      <c r="D609" s="56" t="s">
        <v>19</v>
      </c>
      <c r="E609" s="61" t="s">
        <v>6</v>
      </c>
      <c r="F609" s="98">
        <v>4.2000000000000003E-2</v>
      </c>
      <c r="G609" s="63">
        <f>VLOOKUP(D609,upahbahan,3,FALSE)</f>
        <v>160000</v>
      </c>
      <c r="H609" s="63">
        <f t="shared" si="62"/>
        <v>6720</v>
      </c>
      <c r="M609" s="475"/>
    </row>
    <row r="610" spans="3:13" ht="22.8" customHeight="1">
      <c r="C610" s="450" t="s">
        <v>1208</v>
      </c>
      <c r="D610" s="67"/>
      <c r="E610" s="67"/>
      <c r="F610" s="142"/>
      <c r="G610" s="153"/>
      <c r="H610" s="63">
        <f>SUM(H606:H609)</f>
        <v>298790</v>
      </c>
      <c r="I610" s="154"/>
      <c r="J610" s="154"/>
      <c r="K610" s="154"/>
      <c r="M610" s="475"/>
    </row>
    <row r="611" spans="3:13" ht="22.8" customHeight="1">
      <c r="C611" s="577" t="s">
        <v>1209</v>
      </c>
      <c r="D611" s="56" t="s">
        <v>1210</v>
      </c>
      <c r="E611" s="57"/>
      <c r="F611" s="57"/>
      <c r="G611" s="57"/>
      <c r="H611" s="57"/>
      <c r="M611" s="475"/>
    </row>
    <row r="612" spans="3:13" ht="22.8" customHeight="1">
      <c r="C612" s="798">
        <v>1</v>
      </c>
      <c r="D612" s="56" t="s">
        <v>706</v>
      </c>
      <c r="E612" s="73" t="s">
        <v>135</v>
      </c>
      <c r="F612" s="62">
        <f>F595</f>
        <v>1.0249999999999999</v>
      </c>
      <c r="G612" s="63">
        <f>VLOOKUP(D612,upahbahan,3,FALSE)</f>
        <v>0</v>
      </c>
      <c r="H612" s="63">
        <f t="shared" ref="H612" si="63">F612*G612</f>
        <v>0</v>
      </c>
      <c r="M612" s="475"/>
    </row>
    <row r="613" spans="3:13" ht="22.8" customHeight="1">
      <c r="C613" s="450" t="s">
        <v>1214</v>
      </c>
      <c r="D613" s="67"/>
      <c r="E613" s="67"/>
      <c r="F613" s="67"/>
      <c r="G613" s="69"/>
      <c r="H613" s="63">
        <f>SUM(H612:H612)</f>
        <v>0</v>
      </c>
      <c r="M613" s="475"/>
    </row>
    <row r="614" spans="3:13" ht="22.8" customHeight="1">
      <c r="C614" s="61" t="s">
        <v>1215</v>
      </c>
      <c r="D614" s="56" t="s">
        <v>1216</v>
      </c>
      <c r="E614" s="57"/>
      <c r="F614" s="57"/>
      <c r="G614" s="57"/>
      <c r="H614" s="57"/>
      <c r="M614" s="475"/>
    </row>
    <row r="615" spans="3:13" ht="22.8" customHeight="1">
      <c r="C615" s="450" t="s">
        <v>1217</v>
      </c>
      <c r="D615" s="67"/>
      <c r="E615" s="67"/>
      <c r="F615" s="67"/>
      <c r="G615" s="69"/>
      <c r="H615" s="589">
        <v>0</v>
      </c>
      <c r="M615" s="475"/>
    </row>
    <row r="616" spans="3:13" ht="22.8" customHeight="1">
      <c r="C616" s="288" t="s">
        <v>1218</v>
      </c>
      <c r="D616" s="76" t="s">
        <v>1219</v>
      </c>
      <c r="E616" s="77"/>
      <c r="F616" s="77"/>
      <c r="G616" s="78"/>
      <c r="H616" s="585">
        <f>H615+H613+H610</f>
        <v>298790</v>
      </c>
      <c r="I616" s="369"/>
      <c r="M616" s="475"/>
    </row>
    <row r="617" spans="3:13" ht="22.8" customHeight="1">
      <c r="C617" s="288" t="s">
        <v>1220</v>
      </c>
      <c r="D617" s="76" t="s">
        <v>1402</v>
      </c>
      <c r="E617" s="77"/>
      <c r="F617" s="78"/>
      <c r="G617" s="481" t="s">
        <v>1403</v>
      </c>
      <c r="H617" s="585">
        <f>H616*10%</f>
        <v>29879</v>
      </c>
      <c r="I617" s="369"/>
      <c r="M617" s="475"/>
    </row>
    <row r="618" spans="3:13" ht="22.8" customHeight="1">
      <c r="C618" s="288" t="s">
        <v>1221</v>
      </c>
      <c r="D618" s="76" t="s">
        <v>1222</v>
      </c>
      <c r="E618" s="77"/>
      <c r="F618" s="77"/>
      <c r="G618" s="78"/>
      <c r="H618" s="799">
        <f>SUM(H616:H617)</f>
        <v>328669</v>
      </c>
      <c r="I618" s="369"/>
      <c r="M618" s="475"/>
    </row>
    <row r="619" spans="3:13" ht="22.8" customHeight="1">
      <c r="M619" s="475"/>
    </row>
    <row r="620" spans="3:13" ht="22.8" customHeight="1">
      <c r="C620" s="59" t="s">
        <v>3788</v>
      </c>
      <c r="D620" s="794" t="s">
        <v>1606</v>
      </c>
      <c r="E620" s="797"/>
      <c r="F620" s="797"/>
      <c r="G620" s="797"/>
      <c r="H620" s="797"/>
      <c r="I620" s="50">
        <f>ROUNDDOWN(H635,-2)</f>
        <v>287700</v>
      </c>
      <c r="J620" s="50"/>
      <c r="K620" s="50"/>
      <c r="M620" s="475"/>
    </row>
    <row r="621" spans="3:13" ht="22.8" customHeight="1">
      <c r="C621" s="591" t="s">
        <v>1195</v>
      </c>
      <c r="D621" s="591" t="s">
        <v>1196</v>
      </c>
      <c r="E621" s="591" t="s">
        <v>1197</v>
      </c>
      <c r="F621" s="591" t="s">
        <v>1198</v>
      </c>
      <c r="G621" s="591" t="s">
        <v>1199</v>
      </c>
      <c r="H621" s="591" t="s">
        <v>1200</v>
      </c>
      <c r="M621" s="475"/>
    </row>
    <row r="622" spans="3:13" ht="22.8" customHeight="1">
      <c r="C622" s="577" t="s">
        <v>1201</v>
      </c>
      <c r="D622" s="56" t="s">
        <v>1202</v>
      </c>
      <c r="E622" s="57"/>
      <c r="F622" s="57"/>
      <c r="G622" s="57"/>
      <c r="H622" s="57"/>
      <c r="M622" s="475"/>
    </row>
    <row r="623" spans="3:13" ht="22.8" customHeight="1">
      <c r="C623" s="798">
        <v>1</v>
      </c>
      <c r="D623" s="56" t="s">
        <v>5</v>
      </c>
      <c r="E623" s="61" t="s">
        <v>6</v>
      </c>
      <c r="F623" s="98">
        <v>0.72899999999999998</v>
      </c>
      <c r="G623" s="63">
        <f>VLOOKUP(D623,upahbahan,3,FALSE)</f>
        <v>100000</v>
      </c>
      <c r="H623" s="63">
        <f>F623*G623</f>
        <v>72900</v>
      </c>
      <c r="M623" s="475"/>
    </row>
    <row r="624" spans="3:13" ht="22.8" customHeight="1">
      <c r="C624" s="798">
        <v>2</v>
      </c>
      <c r="D624" s="56" t="str">
        <f>D607</f>
        <v>Tukang pipa</v>
      </c>
      <c r="E624" s="61" t="s">
        <v>6</v>
      </c>
      <c r="F624" s="98">
        <v>1.218</v>
      </c>
      <c r="G624" s="63">
        <f>VLOOKUP(D624,upahbahan,3,FALSE)</f>
        <v>135000</v>
      </c>
      <c r="H624" s="63">
        <f t="shared" ref="H624:H626" si="64">F624*G624</f>
        <v>164430</v>
      </c>
      <c r="M624" s="475"/>
    </row>
    <row r="625" spans="3:11" ht="22.8" customHeight="1">
      <c r="C625" s="798">
        <v>3</v>
      </c>
      <c r="D625" s="56" t="s">
        <v>18</v>
      </c>
      <c r="E625" s="61" t="s">
        <v>6</v>
      </c>
      <c r="F625" s="98">
        <v>0.122</v>
      </c>
      <c r="G625" s="63">
        <f>VLOOKUP(D625,upahbahan,3,FALSE)</f>
        <v>150000</v>
      </c>
      <c r="H625" s="63">
        <f t="shared" si="64"/>
        <v>18300</v>
      </c>
    </row>
    <row r="626" spans="3:11" ht="22.8" customHeight="1">
      <c r="C626" s="798">
        <v>4</v>
      </c>
      <c r="D626" s="56" t="s">
        <v>19</v>
      </c>
      <c r="E626" s="61" t="s">
        <v>6</v>
      </c>
      <c r="F626" s="98">
        <v>3.6999999999999998E-2</v>
      </c>
      <c r="G626" s="63">
        <f>VLOOKUP(D626,upahbahan,3,FALSE)</f>
        <v>160000</v>
      </c>
      <c r="H626" s="63">
        <f t="shared" si="64"/>
        <v>5920</v>
      </c>
    </row>
    <row r="627" spans="3:11" ht="22.8" customHeight="1">
      <c r="C627" s="450" t="s">
        <v>1208</v>
      </c>
      <c r="D627" s="67"/>
      <c r="E627" s="67"/>
      <c r="F627" s="142"/>
      <c r="G627" s="153"/>
      <c r="H627" s="63">
        <f>SUM(H623:H626)</f>
        <v>261550</v>
      </c>
      <c r="I627" s="154"/>
      <c r="J627" s="154"/>
      <c r="K627" s="154"/>
    </row>
    <row r="628" spans="3:11" ht="22.8" customHeight="1">
      <c r="C628" s="577" t="s">
        <v>1209</v>
      </c>
      <c r="D628" s="56" t="s">
        <v>1210</v>
      </c>
      <c r="E628" s="57"/>
      <c r="F628" s="57"/>
      <c r="G628" s="57"/>
      <c r="H628" s="57"/>
    </row>
    <row r="629" spans="3:11" ht="22.8" customHeight="1">
      <c r="C629" s="798">
        <v>1</v>
      </c>
      <c r="D629" s="56" t="s">
        <v>704</v>
      </c>
      <c r="E629" s="73" t="s">
        <v>135</v>
      </c>
      <c r="F629" s="62">
        <f>F612</f>
        <v>1.0249999999999999</v>
      </c>
      <c r="G629" s="63">
        <f>VLOOKUP(D629,upahbahan,3,FALSE)</f>
        <v>0</v>
      </c>
      <c r="H629" s="63">
        <f t="shared" ref="H629" si="65">F629*G629</f>
        <v>0</v>
      </c>
    </row>
    <row r="630" spans="3:11" ht="22.8" customHeight="1">
      <c r="C630" s="450" t="s">
        <v>1214</v>
      </c>
      <c r="D630" s="67"/>
      <c r="E630" s="67"/>
      <c r="F630" s="67"/>
      <c r="G630" s="69"/>
      <c r="H630" s="63">
        <f>SUM(H629:H629)</f>
        <v>0</v>
      </c>
    </row>
    <row r="631" spans="3:11" ht="22.8" customHeight="1">
      <c r="C631" s="61" t="s">
        <v>1215</v>
      </c>
      <c r="D631" s="56" t="s">
        <v>1216</v>
      </c>
      <c r="E631" s="57"/>
      <c r="F631" s="57"/>
      <c r="G631" s="57"/>
      <c r="H631" s="57"/>
    </row>
    <row r="632" spans="3:11" ht="22.8" customHeight="1">
      <c r="C632" s="450" t="s">
        <v>1217</v>
      </c>
      <c r="D632" s="67"/>
      <c r="E632" s="67"/>
      <c r="F632" s="67"/>
      <c r="G632" s="69"/>
      <c r="H632" s="589">
        <v>0</v>
      </c>
    </row>
    <row r="633" spans="3:11" ht="22.8" customHeight="1">
      <c r="C633" s="288" t="s">
        <v>1218</v>
      </c>
      <c r="D633" s="76" t="s">
        <v>1219</v>
      </c>
      <c r="E633" s="77"/>
      <c r="F633" s="77"/>
      <c r="G633" s="78"/>
      <c r="H633" s="585">
        <f>H632+H630+H627</f>
        <v>261550</v>
      </c>
      <c r="I633" s="369"/>
    </row>
    <row r="634" spans="3:11" ht="22.8" customHeight="1">
      <c r="C634" s="288" t="s">
        <v>1220</v>
      </c>
      <c r="D634" s="76" t="s">
        <v>1402</v>
      </c>
      <c r="E634" s="77"/>
      <c r="F634" s="78"/>
      <c r="G634" s="481" t="s">
        <v>1403</v>
      </c>
      <c r="H634" s="585">
        <f>H633*10%</f>
        <v>26155</v>
      </c>
      <c r="I634" s="369"/>
    </row>
    <row r="635" spans="3:11" ht="22.8" customHeight="1">
      <c r="C635" s="288" t="s">
        <v>1221</v>
      </c>
      <c r="D635" s="76" t="s">
        <v>1222</v>
      </c>
      <c r="E635" s="77"/>
      <c r="F635" s="77"/>
      <c r="G635" s="78"/>
      <c r="H635" s="799">
        <f>SUM(H633:H634)</f>
        <v>287705</v>
      </c>
      <c r="I635" s="369"/>
    </row>
  </sheetData>
  <mergeCells count="1">
    <mergeCell ref="D5:H5"/>
  </mergeCells>
  <dataValidations count="1">
    <dataValidation type="list" allowBlank="1" showInputMessage="1" showErrorMessage="1" sqref="D8:D11 D332:D335 D315:D318" xr:uid="{00000000-0002-0000-1E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C1:N224"/>
  <sheetViews>
    <sheetView topLeftCell="A100" zoomScale="70" zoomScaleNormal="70" workbookViewId="0">
      <selection activeCell="A398" sqref="A398:XFD418"/>
    </sheetView>
  </sheetViews>
  <sheetFormatPr defaultColWidth="8.88671875" defaultRowHeight="14.4"/>
  <cols>
    <col min="1" max="2" width="4.44140625" style="517" customWidth="1"/>
    <col min="3" max="3" width="8.88671875" style="530" customWidth="1"/>
    <col min="4" max="4" width="36.5546875" style="530" customWidth="1"/>
    <col min="5" max="5" width="8.88671875" style="530" customWidth="1"/>
    <col min="6" max="6" width="10.5546875" style="530" customWidth="1"/>
    <col min="7" max="7" width="19.5546875" style="530" customWidth="1"/>
    <col min="8" max="8" width="21.44140625" style="530" customWidth="1"/>
    <col min="9" max="9" width="19.109375" style="571" customWidth="1"/>
    <col min="10" max="11" width="8.88671875" style="517"/>
    <col min="12" max="12" width="10.44140625" style="517" customWidth="1"/>
    <col min="13" max="16384" width="8.88671875" style="517"/>
  </cols>
  <sheetData>
    <row r="1" spans="3:13" ht="11.4" customHeight="1"/>
    <row r="2" spans="3:13" ht="11.4" customHeight="1"/>
    <row r="3" spans="3:13" ht="21" customHeight="1">
      <c r="C3" s="879" t="s">
        <v>5318</v>
      </c>
      <c r="D3" s="529" t="s">
        <v>3789</v>
      </c>
      <c r="E3" s="513"/>
      <c r="F3" s="513"/>
      <c r="G3" s="513"/>
      <c r="H3" s="513"/>
    </row>
    <row r="4" spans="3:13" ht="21" customHeight="1">
      <c r="C4" s="528" t="s">
        <v>3790</v>
      </c>
      <c r="D4" s="529" t="s">
        <v>3791</v>
      </c>
      <c r="E4" s="513"/>
      <c r="F4" s="513"/>
      <c r="G4" s="513"/>
      <c r="H4" s="513"/>
    </row>
    <row r="5" spans="3:13" ht="21" customHeight="1">
      <c r="C5" s="573" t="s">
        <v>3792</v>
      </c>
      <c r="D5" s="817" t="s">
        <v>1614</v>
      </c>
      <c r="E5" s="803"/>
      <c r="F5" s="803"/>
      <c r="G5" s="803"/>
      <c r="H5" s="803"/>
      <c r="I5" s="533">
        <f>ROUNDDOWN(H20,-2)</f>
        <v>522000</v>
      </c>
    </row>
    <row r="6" spans="3:13" ht="21" customHeight="1">
      <c r="C6" s="716" t="s">
        <v>1195</v>
      </c>
      <c r="D6" s="716" t="s">
        <v>1196</v>
      </c>
      <c r="E6" s="716" t="s">
        <v>1197</v>
      </c>
      <c r="F6" s="716" t="s">
        <v>1198</v>
      </c>
      <c r="G6" s="716" t="s">
        <v>1199</v>
      </c>
      <c r="H6" s="716" t="s">
        <v>1200</v>
      </c>
    </row>
    <row r="7" spans="3:13" ht="21" customHeight="1">
      <c r="C7" s="213" t="s">
        <v>1201</v>
      </c>
      <c r="D7" s="212" t="s">
        <v>1202</v>
      </c>
      <c r="E7" s="534"/>
      <c r="F7" s="534"/>
      <c r="G7" s="534"/>
      <c r="H7" s="534"/>
      <c r="J7" s="536" t="s">
        <v>1247</v>
      </c>
    </row>
    <row r="8" spans="3:13" ht="21" customHeight="1">
      <c r="C8" s="818">
        <v>1</v>
      </c>
      <c r="D8" s="212" t="s">
        <v>5</v>
      </c>
      <c r="E8" s="213" t="s">
        <v>6</v>
      </c>
      <c r="F8" s="538">
        <v>1.3240000000000001</v>
      </c>
      <c r="G8" s="539">
        <f>VLOOKUP(D8,upahbahan,3,FALSE)</f>
        <v>100000</v>
      </c>
      <c r="H8" s="539">
        <f>F8*G8</f>
        <v>132400</v>
      </c>
      <c r="J8" s="536" t="s">
        <v>1248</v>
      </c>
      <c r="M8" s="541">
        <v>0.1</v>
      </c>
    </row>
    <row r="9" spans="3:13" ht="21" customHeight="1">
      <c r="C9" s="818">
        <v>2</v>
      </c>
      <c r="D9" s="212" t="s">
        <v>7</v>
      </c>
      <c r="E9" s="213" t="s">
        <v>6</v>
      </c>
      <c r="F9" s="538">
        <v>2.2109999999999999</v>
      </c>
      <c r="G9" s="539">
        <f>VLOOKUP(D9,upahbahan,3,FALSE)</f>
        <v>135000</v>
      </c>
      <c r="H9" s="539">
        <f t="shared" ref="H9:H11" si="0">F9*G9</f>
        <v>298485</v>
      </c>
    </row>
    <row r="10" spans="3:13" ht="21" customHeight="1">
      <c r="C10" s="818">
        <v>3</v>
      </c>
      <c r="D10" s="212" t="s">
        <v>18</v>
      </c>
      <c r="E10" s="213" t="s">
        <v>6</v>
      </c>
      <c r="F10" s="538">
        <v>0.221</v>
      </c>
      <c r="G10" s="539">
        <f>VLOOKUP(D10,upahbahan,3,FALSE)</f>
        <v>150000</v>
      </c>
      <c r="H10" s="539">
        <f t="shared" si="0"/>
        <v>33150</v>
      </c>
    </row>
    <row r="11" spans="3:13" ht="21" customHeight="1">
      <c r="C11" s="818">
        <v>4</v>
      </c>
      <c r="D11" s="212" t="s">
        <v>19</v>
      </c>
      <c r="E11" s="213" t="s">
        <v>6</v>
      </c>
      <c r="F11" s="538">
        <v>6.6000000000000003E-2</v>
      </c>
      <c r="G11" s="539">
        <f>VLOOKUP(D11,upahbahan,3,FALSE)</f>
        <v>160000</v>
      </c>
      <c r="H11" s="539">
        <f t="shared" si="0"/>
        <v>10560</v>
      </c>
    </row>
    <row r="12" spans="3:13" ht="21" customHeight="1">
      <c r="C12" s="702" t="s">
        <v>1208</v>
      </c>
      <c r="D12" s="208"/>
      <c r="E12" s="208"/>
      <c r="F12" s="521"/>
      <c r="G12" s="522"/>
      <c r="H12" s="539">
        <f>SUM(H8:H11)</f>
        <v>474595</v>
      </c>
      <c r="I12" s="819"/>
    </row>
    <row r="13" spans="3:13" ht="21" customHeight="1">
      <c r="C13" s="213" t="s">
        <v>1209</v>
      </c>
      <c r="D13" s="212" t="s">
        <v>1210</v>
      </c>
      <c r="E13" s="534"/>
      <c r="F13" s="534"/>
      <c r="G13" s="534"/>
      <c r="H13" s="534"/>
    </row>
    <row r="14" spans="3:13" ht="21" customHeight="1">
      <c r="C14" s="818">
        <v>1</v>
      </c>
      <c r="D14" s="212" t="s">
        <v>725</v>
      </c>
      <c r="E14" s="807" t="s">
        <v>135</v>
      </c>
      <c r="F14" s="538">
        <v>1.5</v>
      </c>
      <c r="G14" s="539">
        <f>VLOOKUP(D14,upahbahan,3,FALSE)</f>
        <v>0</v>
      </c>
      <c r="H14" s="539">
        <f>F14*G14</f>
        <v>0</v>
      </c>
    </row>
    <row r="15" spans="3:13" ht="21" customHeight="1">
      <c r="C15" s="702" t="s">
        <v>1214</v>
      </c>
      <c r="D15" s="208"/>
      <c r="E15" s="208"/>
      <c r="F15" s="208"/>
      <c r="G15" s="209"/>
      <c r="H15" s="539">
        <f>SUM(H14:H14)</f>
        <v>0</v>
      </c>
    </row>
    <row r="16" spans="3:13" ht="21" customHeight="1">
      <c r="C16" s="213" t="s">
        <v>1215</v>
      </c>
      <c r="D16" s="212" t="s">
        <v>1216</v>
      </c>
      <c r="E16" s="534"/>
      <c r="F16" s="534"/>
      <c r="G16" s="534"/>
      <c r="H16" s="534"/>
    </row>
    <row r="17" spans="3:9" ht="21" customHeight="1">
      <c r="C17" s="702" t="s">
        <v>1217</v>
      </c>
      <c r="D17" s="208"/>
      <c r="E17" s="208"/>
      <c r="F17" s="208"/>
      <c r="G17" s="209"/>
      <c r="H17" s="821">
        <v>0</v>
      </c>
    </row>
    <row r="18" spans="3:9" ht="21" customHeight="1">
      <c r="C18" s="566" t="s">
        <v>1218</v>
      </c>
      <c r="D18" s="552" t="s">
        <v>1219</v>
      </c>
      <c r="E18" s="553"/>
      <c r="F18" s="553"/>
      <c r="G18" s="554"/>
      <c r="H18" s="826">
        <f>H17+H15+H12</f>
        <v>474595</v>
      </c>
      <c r="I18" s="827"/>
    </row>
    <row r="19" spans="3:9" ht="21" customHeight="1">
      <c r="C19" s="566" t="s">
        <v>1220</v>
      </c>
      <c r="D19" s="552" t="s">
        <v>1321</v>
      </c>
      <c r="E19" s="553"/>
      <c r="F19" s="554"/>
      <c r="G19" s="555">
        <f>$M$8</f>
        <v>0.1</v>
      </c>
      <c r="H19" s="539">
        <f>H18*G19</f>
        <v>47459.5</v>
      </c>
    </row>
    <row r="20" spans="3:9" ht="21" customHeight="1">
      <c r="C20" s="566" t="s">
        <v>1221</v>
      </c>
      <c r="D20" s="552" t="s">
        <v>1222</v>
      </c>
      <c r="E20" s="553"/>
      <c r="F20" s="553"/>
      <c r="G20" s="554"/>
      <c r="H20" s="828">
        <f>SUM(H18:H19)</f>
        <v>522054.5</v>
      </c>
      <c r="I20" s="827"/>
    </row>
    <row r="21" spans="3:9" ht="21" customHeight="1">
      <c r="C21" s="562"/>
      <c r="D21" s="1933" t="s">
        <v>1623</v>
      </c>
      <c r="E21" s="1933"/>
      <c r="F21" s="1933"/>
      <c r="G21" s="1933"/>
      <c r="H21" s="1933"/>
    </row>
    <row r="22" spans="3:9" ht="21" customHeight="1">
      <c r="C22" s="562"/>
      <c r="D22" s="562"/>
      <c r="E22" s="562"/>
      <c r="F22" s="562"/>
      <c r="G22" s="562"/>
      <c r="H22" s="563"/>
    </row>
    <row r="23" spans="3:9" ht="21" customHeight="1">
      <c r="C23" s="513" t="s">
        <v>3793</v>
      </c>
      <c r="D23" s="817" t="s">
        <v>1615</v>
      </c>
      <c r="E23" s="803"/>
      <c r="F23" s="803"/>
      <c r="G23" s="803"/>
      <c r="H23" s="803"/>
      <c r="I23" s="533">
        <f>ROUNDDOWN(H38,-2)</f>
        <v>1303100</v>
      </c>
    </row>
    <row r="24" spans="3:9" ht="21" customHeight="1">
      <c r="C24" s="716" t="s">
        <v>1195</v>
      </c>
      <c r="D24" s="716" t="s">
        <v>1196</v>
      </c>
      <c r="E24" s="716" t="s">
        <v>1197</v>
      </c>
      <c r="F24" s="716" t="s">
        <v>1198</v>
      </c>
      <c r="G24" s="716" t="s">
        <v>1199</v>
      </c>
      <c r="H24" s="716" t="s">
        <v>1200</v>
      </c>
    </row>
    <row r="25" spans="3:9" ht="21" customHeight="1">
      <c r="C25" s="213" t="s">
        <v>1201</v>
      </c>
      <c r="D25" s="212" t="s">
        <v>1202</v>
      </c>
      <c r="E25" s="534"/>
      <c r="F25" s="534"/>
      <c r="G25" s="534"/>
      <c r="H25" s="534"/>
    </row>
    <row r="26" spans="3:9" ht="21" customHeight="1">
      <c r="C26" s="818">
        <v>1</v>
      </c>
      <c r="D26" s="212" t="s">
        <v>5</v>
      </c>
      <c r="E26" s="213" t="s">
        <v>6</v>
      </c>
      <c r="F26" s="829">
        <v>3.3039999999999998</v>
      </c>
      <c r="G26" s="539">
        <f>VLOOKUP(D26,upahbahan,3,FALSE)</f>
        <v>100000</v>
      </c>
      <c r="H26" s="539">
        <f t="shared" ref="H26:H29" si="1">F26*G26</f>
        <v>330400</v>
      </c>
    </row>
    <row r="27" spans="3:9" ht="21" customHeight="1">
      <c r="C27" s="818">
        <v>2</v>
      </c>
      <c r="D27" s="212" t="str">
        <f>D9</f>
        <v>Tukang batu</v>
      </c>
      <c r="E27" s="213" t="s">
        <v>6</v>
      </c>
      <c r="F27" s="829">
        <v>5.5179999999999998</v>
      </c>
      <c r="G27" s="539">
        <f>VLOOKUP(D27,upahbahan,3,FALSE)</f>
        <v>135000</v>
      </c>
      <c r="H27" s="539">
        <f t="shared" si="1"/>
        <v>744930</v>
      </c>
    </row>
    <row r="28" spans="3:9" ht="21" customHeight="1">
      <c r="C28" s="818">
        <v>3</v>
      </c>
      <c r="D28" s="212" t="s">
        <v>18</v>
      </c>
      <c r="E28" s="213" t="s">
        <v>6</v>
      </c>
      <c r="F28" s="829">
        <v>0.55200000000000005</v>
      </c>
      <c r="G28" s="539">
        <f>VLOOKUP(D28,upahbahan,3,FALSE)</f>
        <v>150000</v>
      </c>
      <c r="H28" s="539">
        <f t="shared" si="1"/>
        <v>82800</v>
      </c>
    </row>
    <row r="29" spans="3:9" ht="21" customHeight="1">
      <c r="C29" s="818">
        <v>4</v>
      </c>
      <c r="D29" s="212" t="s">
        <v>19</v>
      </c>
      <c r="E29" s="213" t="s">
        <v>6</v>
      </c>
      <c r="F29" s="829">
        <v>0.16600000000000001</v>
      </c>
      <c r="G29" s="539">
        <f>VLOOKUP(D29,upahbahan,3,FALSE)</f>
        <v>160000</v>
      </c>
      <c r="H29" s="539">
        <f t="shared" si="1"/>
        <v>26560</v>
      </c>
    </row>
    <row r="30" spans="3:9" ht="21" customHeight="1">
      <c r="C30" s="702" t="s">
        <v>1208</v>
      </c>
      <c r="D30" s="208"/>
      <c r="E30" s="208"/>
      <c r="F30" s="521"/>
      <c r="G30" s="522"/>
      <c r="H30" s="539">
        <f>SUM(H26:H29)</f>
        <v>1184690</v>
      </c>
      <c r="I30" s="819"/>
    </row>
    <row r="31" spans="3:9" ht="21" customHeight="1">
      <c r="C31" s="213" t="s">
        <v>1209</v>
      </c>
      <c r="D31" s="212" t="s">
        <v>1210</v>
      </c>
      <c r="E31" s="534"/>
      <c r="F31" s="534"/>
      <c r="G31" s="534"/>
      <c r="H31" s="534"/>
    </row>
    <row r="32" spans="3:9" ht="21" customHeight="1">
      <c r="C32" s="818">
        <v>1</v>
      </c>
      <c r="D32" s="212" t="s">
        <v>727</v>
      </c>
      <c r="E32" s="807" t="s">
        <v>135</v>
      </c>
      <c r="F32" s="538">
        <f>F14</f>
        <v>1.5</v>
      </c>
      <c r="G32" s="539">
        <f>VLOOKUP(D32,upahbahan,3,FALSE)</f>
        <v>0</v>
      </c>
      <c r="H32" s="539">
        <f t="shared" ref="H32" si="2">F32*G32</f>
        <v>0</v>
      </c>
    </row>
    <row r="33" spans="3:9" ht="21" customHeight="1">
      <c r="C33" s="702" t="s">
        <v>1214</v>
      </c>
      <c r="D33" s="208"/>
      <c r="E33" s="208"/>
      <c r="F33" s="208"/>
      <c r="G33" s="209"/>
      <c r="H33" s="539">
        <f>SUM(H32:H32)</f>
        <v>0</v>
      </c>
    </row>
    <row r="34" spans="3:9" ht="21" customHeight="1">
      <c r="C34" s="213" t="s">
        <v>1215</v>
      </c>
      <c r="D34" s="212" t="s">
        <v>1216</v>
      </c>
      <c r="E34" s="534"/>
      <c r="F34" s="534"/>
      <c r="G34" s="534"/>
      <c r="H34" s="534"/>
    </row>
    <row r="35" spans="3:9" ht="21" customHeight="1">
      <c r="C35" s="702" t="s">
        <v>1217</v>
      </c>
      <c r="D35" s="208"/>
      <c r="E35" s="208"/>
      <c r="F35" s="208"/>
      <c r="G35" s="209"/>
      <c r="H35" s="821">
        <v>0</v>
      </c>
    </row>
    <row r="36" spans="3:9" ht="21" customHeight="1">
      <c r="C36" s="566" t="s">
        <v>1218</v>
      </c>
      <c r="D36" s="552" t="s">
        <v>1219</v>
      </c>
      <c r="E36" s="553"/>
      <c r="F36" s="553"/>
      <c r="G36" s="554"/>
      <c r="H36" s="826">
        <f>H35+H33+H30</f>
        <v>1184690</v>
      </c>
      <c r="I36" s="827"/>
    </row>
    <row r="37" spans="3:9" ht="21" customHeight="1">
      <c r="C37" s="566" t="s">
        <v>1220</v>
      </c>
      <c r="D37" s="552" t="s">
        <v>1321</v>
      </c>
      <c r="E37" s="553"/>
      <c r="F37" s="554"/>
      <c r="G37" s="555">
        <f>$M$8</f>
        <v>0.1</v>
      </c>
      <c r="H37" s="539">
        <f>H36*G37</f>
        <v>118469</v>
      </c>
      <c r="I37" s="827"/>
    </row>
    <row r="38" spans="3:9" ht="21" customHeight="1">
      <c r="C38" s="566" t="s">
        <v>1221</v>
      </c>
      <c r="D38" s="552" t="s">
        <v>1222</v>
      </c>
      <c r="E38" s="553"/>
      <c r="F38" s="553"/>
      <c r="G38" s="554"/>
      <c r="H38" s="828">
        <f>SUM(H36:H37)</f>
        <v>1303159</v>
      </c>
      <c r="I38" s="827"/>
    </row>
    <row r="39" spans="3:9" ht="21" customHeight="1">
      <c r="C39" s="562"/>
      <c r="D39" s="562"/>
      <c r="E39" s="562"/>
      <c r="F39" s="562"/>
      <c r="G39" s="562"/>
      <c r="H39" s="823"/>
    </row>
    <row r="40" spans="3:9" ht="21" customHeight="1">
      <c r="C40" s="530" t="s">
        <v>3794</v>
      </c>
      <c r="D40" s="817" t="s">
        <v>1616</v>
      </c>
      <c r="E40" s="803"/>
      <c r="F40" s="803"/>
      <c r="G40" s="803"/>
      <c r="H40" s="803"/>
      <c r="I40" s="533">
        <f>ROUNDDOWN(H55,-2)</f>
        <v>2629000</v>
      </c>
    </row>
    <row r="41" spans="3:9" ht="21" customHeight="1">
      <c r="C41" s="716" t="s">
        <v>1195</v>
      </c>
      <c r="D41" s="716" t="s">
        <v>1196</v>
      </c>
      <c r="E41" s="716" t="s">
        <v>1197</v>
      </c>
      <c r="F41" s="716" t="s">
        <v>1198</v>
      </c>
      <c r="G41" s="716" t="s">
        <v>1199</v>
      </c>
      <c r="H41" s="716" t="s">
        <v>1200</v>
      </c>
    </row>
    <row r="42" spans="3:9" ht="21" customHeight="1">
      <c r="C42" s="213" t="s">
        <v>1201</v>
      </c>
      <c r="D42" s="212" t="s">
        <v>1202</v>
      </c>
      <c r="E42" s="534"/>
      <c r="F42" s="534"/>
      <c r="G42" s="534"/>
      <c r="H42" s="534"/>
    </row>
    <row r="43" spans="3:9" ht="21" customHeight="1">
      <c r="C43" s="818">
        <v>1</v>
      </c>
      <c r="D43" s="212" t="s">
        <v>5</v>
      </c>
      <c r="E43" s="213" t="s">
        <v>6</v>
      </c>
      <c r="F43" s="829">
        <v>6.6669999999999998</v>
      </c>
      <c r="G43" s="539">
        <f>VLOOKUP(D43,upahbahan,3,FALSE)</f>
        <v>100000</v>
      </c>
      <c r="H43" s="539">
        <f t="shared" ref="H43:H46" si="3">F43*G43</f>
        <v>666700</v>
      </c>
    </row>
    <row r="44" spans="3:9" ht="21" customHeight="1">
      <c r="C44" s="818">
        <v>2</v>
      </c>
      <c r="D44" s="212" t="str">
        <f>D27</f>
        <v>Tukang batu</v>
      </c>
      <c r="E44" s="213" t="s">
        <v>6</v>
      </c>
      <c r="F44" s="829">
        <v>11.132999999999999</v>
      </c>
      <c r="G44" s="539">
        <f>VLOOKUP(D44,upahbahan,3,FALSE)</f>
        <v>135000</v>
      </c>
      <c r="H44" s="539">
        <f t="shared" si="3"/>
        <v>1502954.9999999998</v>
      </c>
    </row>
    <row r="45" spans="3:9" ht="21" customHeight="1">
      <c r="C45" s="818">
        <v>3</v>
      </c>
      <c r="D45" s="212" t="s">
        <v>18</v>
      </c>
      <c r="E45" s="213" t="s">
        <v>6</v>
      </c>
      <c r="F45" s="829">
        <v>1.113</v>
      </c>
      <c r="G45" s="539">
        <f>VLOOKUP(D45,upahbahan,3,FALSE)</f>
        <v>150000</v>
      </c>
      <c r="H45" s="539">
        <f t="shared" si="3"/>
        <v>166950</v>
      </c>
    </row>
    <row r="46" spans="3:9" ht="21" customHeight="1">
      <c r="C46" s="818">
        <v>4</v>
      </c>
      <c r="D46" s="212" t="s">
        <v>19</v>
      </c>
      <c r="E46" s="213" t="s">
        <v>6</v>
      </c>
      <c r="F46" s="829">
        <v>0.33400000000000002</v>
      </c>
      <c r="G46" s="539">
        <f>VLOOKUP(D46,upahbahan,3,FALSE)</f>
        <v>160000</v>
      </c>
      <c r="H46" s="539">
        <f t="shared" si="3"/>
        <v>53440</v>
      </c>
    </row>
    <row r="47" spans="3:9" ht="21" customHeight="1">
      <c r="C47" s="702" t="s">
        <v>1208</v>
      </c>
      <c r="D47" s="208"/>
      <c r="E47" s="208"/>
      <c r="F47" s="521"/>
      <c r="G47" s="522"/>
      <c r="H47" s="539">
        <f>SUM(H43:H46)</f>
        <v>2390045</v>
      </c>
      <c r="I47" s="819"/>
    </row>
    <row r="48" spans="3:9" ht="21" customHeight="1">
      <c r="C48" s="213" t="s">
        <v>1209</v>
      </c>
      <c r="D48" s="212" t="s">
        <v>1210</v>
      </c>
      <c r="E48" s="234"/>
      <c r="F48" s="534"/>
      <c r="G48" s="534"/>
      <c r="H48" s="534"/>
    </row>
    <row r="49" spans="3:9" ht="21" customHeight="1">
      <c r="C49" s="818">
        <v>1</v>
      </c>
      <c r="D49" s="212" t="s">
        <v>724</v>
      </c>
      <c r="E49" s="807" t="s">
        <v>135</v>
      </c>
      <c r="F49" s="538">
        <f>F32</f>
        <v>1.5</v>
      </c>
      <c r="G49" s="539">
        <f>VLOOKUP(D49,upahbahan,3,FALSE)</f>
        <v>0</v>
      </c>
      <c r="H49" s="539">
        <f t="shared" ref="H49" si="4">F49*G49</f>
        <v>0</v>
      </c>
    </row>
    <row r="50" spans="3:9" ht="21" customHeight="1">
      <c r="C50" s="702" t="s">
        <v>1214</v>
      </c>
      <c r="D50" s="208"/>
      <c r="E50" s="208"/>
      <c r="F50" s="208"/>
      <c r="G50" s="209"/>
      <c r="H50" s="539">
        <f>SUM(H49:H49)</f>
        <v>0</v>
      </c>
    </row>
    <row r="51" spans="3:9" ht="21" customHeight="1">
      <c r="C51" s="213" t="s">
        <v>1215</v>
      </c>
      <c r="D51" s="212" t="s">
        <v>1216</v>
      </c>
      <c r="E51" s="534"/>
      <c r="F51" s="534"/>
      <c r="G51" s="534"/>
      <c r="H51" s="534"/>
    </row>
    <row r="52" spans="3:9" ht="21" customHeight="1">
      <c r="C52" s="702" t="s">
        <v>1217</v>
      </c>
      <c r="D52" s="208"/>
      <c r="E52" s="208"/>
      <c r="F52" s="208"/>
      <c r="G52" s="209"/>
      <c r="H52" s="821">
        <v>0</v>
      </c>
    </row>
    <row r="53" spans="3:9" ht="21" customHeight="1">
      <c r="C53" s="566" t="s">
        <v>1218</v>
      </c>
      <c r="D53" s="552" t="s">
        <v>1219</v>
      </c>
      <c r="E53" s="553"/>
      <c r="F53" s="553"/>
      <c r="G53" s="554"/>
      <c r="H53" s="826">
        <f>H52+H50+H47</f>
        <v>2390045</v>
      </c>
      <c r="I53" s="827"/>
    </row>
    <row r="54" spans="3:9" ht="21" customHeight="1">
      <c r="C54" s="566" t="s">
        <v>1220</v>
      </c>
      <c r="D54" s="552" t="s">
        <v>1321</v>
      </c>
      <c r="E54" s="553"/>
      <c r="F54" s="554"/>
      <c r="G54" s="555">
        <f>$M$8</f>
        <v>0.1</v>
      </c>
      <c r="H54" s="539">
        <f>H53*G54</f>
        <v>239004.5</v>
      </c>
      <c r="I54" s="827"/>
    </row>
    <row r="55" spans="3:9" ht="21" customHeight="1">
      <c r="C55" s="566" t="s">
        <v>1221</v>
      </c>
      <c r="D55" s="552" t="s">
        <v>1222</v>
      </c>
      <c r="E55" s="553"/>
      <c r="F55" s="553"/>
      <c r="G55" s="554"/>
      <c r="H55" s="828">
        <f>SUM(H53:H54)</f>
        <v>2629049.5</v>
      </c>
      <c r="I55" s="827"/>
    </row>
    <row r="56" spans="3:9" ht="21" customHeight="1"/>
    <row r="57" spans="3:9" ht="21" customHeight="1">
      <c r="C57" s="530" t="s">
        <v>3795</v>
      </c>
      <c r="D57" s="817" t="s">
        <v>1617</v>
      </c>
      <c r="E57" s="803"/>
      <c r="F57" s="803"/>
      <c r="G57" s="803"/>
      <c r="H57" s="803"/>
      <c r="I57" s="533">
        <f>ROUNDDOWN(H72,-2)</f>
        <v>7846300</v>
      </c>
    </row>
    <row r="58" spans="3:9" ht="21" customHeight="1">
      <c r="C58" s="716" t="s">
        <v>1195</v>
      </c>
      <c r="D58" s="716" t="s">
        <v>1196</v>
      </c>
      <c r="E58" s="716" t="s">
        <v>1197</v>
      </c>
      <c r="F58" s="716" t="s">
        <v>1198</v>
      </c>
      <c r="G58" s="716" t="s">
        <v>1199</v>
      </c>
      <c r="H58" s="716" t="s">
        <v>1200</v>
      </c>
    </row>
    <row r="59" spans="3:9" ht="21" customHeight="1">
      <c r="C59" s="212" t="s">
        <v>1201</v>
      </c>
      <c r="D59" s="212" t="s">
        <v>1202</v>
      </c>
      <c r="E59" s="534"/>
      <c r="F59" s="534"/>
      <c r="G59" s="534"/>
      <c r="H59" s="534"/>
    </row>
    <row r="60" spans="3:9" ht="21" customHeight="1">
      <c r="C60" s="825">
        <v>1</v>
      </c>
      <c r="D60" s="212" t="s">
        <v>5</v>
      </c>
      <c r="E60" s="213" t="s">
        <v>6</v>
      </c>
      <c r="F60" s="538">
        <v>19.896000000000001</v>
      </c>
      <c r="G60" s="539">
        <f>VLOOKUP(D60,upahbahan,3,FALSE)</f>
        <v>100000</v>
      </c>
      <c r="H60" s="539">
        <f t="shared" ref="H60:H63" si="5">F60*G60</f>
        <v>1989600</v>
      </c>
    </row>
    <row r="61" spans="3:9" ht="21" customHeight="1">
      <c r="C61" s="825">
        <v>2</v>
      </c>
      <c r="D61" s="212" t="str">
        <f>D44</f>
        <v>Tukang batu</v>
      </c>
      <c r="E61" s="213" t="s">
        <v>6</v>
      </c>
      <c r="F61" s="538">
        <v>33.225999999999999</v>
      </c>
      <c r="G61" s="539">
        <f>VLOOKUP(D61,upahbahan,3,FALSE)</f>
        <v>135000</v>
      </c>
      <c r="H61" s="539">
        <f t="shared" si="5"/>
        <v>4485510</v>
      </c>
    </row>
    <row r="62" spans="3:9" ht="21" customHeight="1">
      <c r="C62" s="825">
        <v>3</v>
      </c>
      <c r="D62" s="212" t="s">
        <v>18</v>
      </c>
      <c r="E62" s="213" t="s">
        <v>6</v>
      </c>
      <c r="F62" s="538">
        <v>3.323</v>
      </c>
      <c r="G62" s="539">
        <f>VLOOKUP(D62,upahbahan,3,FALSE)</f>
        <v>150000</v>
      </c>
      <c r="H62" s="539">
        <f t="shared" si="5"/>
        <v>498450</v>
      </c>
    </row>
    <row r="63" spans="3:9" ht="21" customHeight="1">
      <c r="C63" s="825">
        <v>4</v>
      </c>
      <c r="D63" s="212" t="s">
        <v>19</v>
      </c>
      <c r="E63" s="213" t="s">
        <v>6</v>
      </c>
      <c r="F63" s="538">
        <v>0.997</v>
      </c>
      <c r="G63" s="539">
        <f>VLOOKUP(D63,upahbahan,3,FALSE)</f>
        <v>160000</v>
      </c>
      <c r="H63" s="539">
        <f t="shared" si="5"/>
        <v>159520</v>
      </c>
    </row>
    <row r="64" spans="3:9" ht="21" customHeight="1">
      <c r="C64" s="702" t="s">
        <v>1208</v>
      </c>
      <c r="D64" s="208"/>
      <c r="E64" s="208"/>
      <c r="F64" s="521"/>
      <c r="G64" s="522"/>
      <c r="H64" s="539">
        <f>SUM(H60:H63)</f>
        <v>7133080</v>
      </c>
      <c r="I64" s="819"/>
    </row>
    <row r="65" spans="3:9" ht="21" customHeight="1">
      <c r="C65" s="213" t="s">
        <v>1209</v>
      </c>
      <c r="D65" s="212" t="s">
        <v>1210</v>
      </c>
      <c r="E65" s="534"/>
      <c r="F65" s="534"/>
      <c r="G65" s="534"/>
      <c r="H65" s="534"/>
    </row>
    <row r="66" spans="3:9" ht="21" customHeight="1">
      <c r="C66" s="818">
        <v>1</v>
      </c>
      <c r="D66" s="212" t="s">
        <v>726</v>
      </c>
      <c r="E66" s="213" t="s">
        <v>135</v>
      </c>
      <c r="F66" s="538">
        <f>F49</f>
        <v>1.5</v>
      </c>
      <c r="G66" s="539">
        <f>VLOOKUP(D66,upahbahan,3,FALSE)</f>
        <v>0</v>
      </c>
      <c r="H66" s="539">
        <f t="shared" ref="H66" si="6">F66*G66</f>
        <v>0</v>
      </c>
    </row>
    <row r="67" spans="3:9" ht="21" customHeight="1">
      <c r="C67" s="702" t="s">
        <v>1214</v>
      </c>
      <c r="D67" s="208"/>
      <c r="E67" s="208"/>
      <c r="F67" s="208"/>
      <c r="G67" s="209"/>
      <c r="H67" s="539">
        <f>SUM(H66:H66)</f>
        <v>0</v>
      </c>
    </row>
    <row r="68" spans="3:9" ht="21" customHeight="1">
      <c r="C68" s="213" t="s">
        <v>1215</v>
      </c>
      <c r="D68" s="212" t="s">
        <v>1216</v>
      </c>
      <c r="E68" s="534"/>
      <c r="F68" s="534"/>
      <c r="G68" s="534"/>
      <c r="H68" s="534"/>
    </row>
    <row r="69" spans="3:9" ht="21" customHeight="1">
      <c r="C69" s="702" t="s">
        <v>1217</v>
      </c>
      <c r="D69" s="208"/>
      <c r="E69" s="208"/>
      <c r="F69" s="208"/>
      <c r="G69" s="209"/>
      <c r="H69" s="821">
        <v>0</v>
      </c>
    </row>
    <row r="70" spans="3:9" ht="21" customHeight="1">
      <c r="C70" s="566" t="s">
        <v>1218</v>
      </c>
      <c r="D70" s="552" t="s">
        <v>1219</v>
      </c>
      <c r="E70" s="553"/>
      <c r="F70" s="553"/>
      <c r="G70" s="554"/>
      <c r="H70" s="826">
        <f>H69+H67+H64</f>
        <v>7133080</v>
      </c>
      <c r="I70" s="827"/>
    </row>
    <row r="71" spans="3:9" ht="21" customHeight="1">
      <c r="C71" s="566" t="s">
        <v>1220</v>
      </c>
      <c r="D71" s="552" t="s">
        <v>1321</v>
      </c>
      <c r="E71" s="553"/>
      <c r="F71" s="554"/>
      <c r="G71" s="555">
        <f>$M$8</f>
        <v>0.1</v>
      </c>
      <c r="H71" s="539">
        <f>H70*G71</f>
        <v>713308</v>
      </c>
      <c r="I71" s="827"/>
    </row>
    <row r="72" spans="3:9" ht="21" customHeight="1">
      <c r="C72" s="566" t="s">
        <v>1221</v>
      </c>
      <c r="D72" s="552" t="s">
        <v>1222</v>
      </c>
      <c r="E72" s="553"/>
      <c r="F72" s="553"/>
      <c r="G72" s="554"/>
      <c r="H72" s="828">
        <f>SUM(H70:H71)</f>
        <v>7846388</v>
      </c>
      <c r="I72" s="827"/>
    </row>
    <row r="73" spans="3:9" ht="21" customHeight="1">
      <c r="C73" s="562"/>
      <c r="D73" s="562"/>
      <c r="E73" s="562"/>
      <c r="F73" s="562"/>
      <c r="G73" s="562"/>
      <c r="H73" s="823"/>
    </row>
    <row r="74" spans="3:9" ht="21" customHeight="1">
      <c r="C74" s="530" t="s">
        <v>3797</v>
      </c>
      <c r="D74" s="817" t="s">
        <v>1618</v>
      </c>
      <c r="E74" s="803"/>
      <c r="F74" s="803"/>
      <c r="G74" s="803"/>
      <c r="H74" s="803"/>
      <c r="I74" s="533">
        <f>ROUNDDOWN(H89,-2)</f>
        <v>11297000</v>
      </c>
    </row>
    <row r="75" spans="3:9" ht="21" customHeight="1">
      <c r="C75" s="716" t="s">
        <v>1195</v>
      </c>
      <c r="D75" s="716" t="s">
        <v>1196</v>
      </c>
      <c r="E75" s="716" t="s">
        <v>1197</v>
      </c>
      <c r="F75" s="716" t="s">
        <v>1198</v>
      </c>
      <c r="G75" s="716" t="s">
        <v>1199</v>
      </c>
      <c r="H75" s="716" t="s">
        <v>1200</v>
      </c>
    </row>
    <row r="76" spans="3:9" ht="21" customHeight="1">
      <c r="C76" s="212" t="s">
        <v>1201</v>
      </c>
      <c r="D76" s="212" t="s">
        <v>1202</v>
      </c>
      <c r="E76" s="534"/>
      <c r="F76" s="534"/>
      <c r="G76" s="534"/>
      <c r="H76" s="534"/>
    </row>
    <row r="77" spans="3:9" ht="21" customHeight="1">
      <c r="C77" s="825">
        <v>1</v>
      </c>
      <c r="D77" s="212" t="s">
        <v>5</v>
      </c>
      <c r="E77" s="213" t="s">
        <v>6</v>
      </c>
      <c r="F77" s="829">
        <v>28.646000000000001</v>
      </c>
      <c r="G77" s="539">
        <f>VLOOKUP(D77,upahbahan,3,FALSE)</f>
        <v>100000</v>
      </c>
      <c r="H77" s="539">
        <f t="shared" ref="H77:H80" si="7">F77*G77</f>
        <v>2864600</v>
      </c>
    </row>
    <row r="78" spans="3:9" ht="21" customHeight="1">
      <c r="C78" s="825">
        <v>2</v>
      </c>
      <c r="D78" s="212" t="str">
        <f>D61</f>
        <v>Tukang batu</v>
      </c>
      <c r="E78" s="213" t="s">
        <v>6</v>
      </c>
      <c r="F78" s="829">
        <v>47.838999999999999</v>
      </c>
      <c r="G78" s="539">
        <f>VLOOKUP(D78,upahbahan,3,FALSE)</f>
        <v>135000</v>
      </c>
      <c r="H78" s="539">
        <f t="shared" si="7"/>
        <v>6458265</v>
      </c>
    </row>
    <row r="79" spans="3:9" ht="21" customHeight="1">
      <c r="C79" s="825">
        <v>3</v>
      </c>
      <c r="D79" s="212" t="s">
        <v>18</v>
      </c>
      <c r="E79" s="213" t="s">
        <v>6</v>
      </c>
      <c r="F79" s="829">
        <v>4.7839999999999998</v>
      </c>
      <c r="G79" s="539">
        <f>VLOOKUP(D79,upahbahan,3,FALSE)</f>
        <v>150000</v>
      </c>
      <c r="H79" s="539">
        <f t="shared" si="7"/>
        <v>717600</v>
      </c>
    </row>
    <row r="80" spans="3:9" ht="21" customHeight="1">
      <c r="C80" s="825">
        <v>4</v>
      </c>
      <c r="D80" s="212" t="s">
        <v>19</v>
      </c>
      <c r="E80" s="213" t="s">
        <v>6</v>
      </c>
      <c r="F80" s="829">
        <v>1.4350000000000001</v>
      </c>
      <c r="G80" s="539">
        <f>VLOOKUP(D80,upahbahan,3,FALSE)</f>
        <v>160000</v>
      </c>
      <c r="H80" s="539">
        <f t="shared" si="7"/>
        <v>229600</v>
      </c>
    </row>
    <row r="81" spans="3:9" ht="21" customHeight="1">
      <c r="C81" s="702" t="s">
        <v>1208</v>
      </c>
      <c r="D81" s="208"/>
      <c r="E81" s="208"/>
      <c r="F81" s="521"/>
      <c r="G81" s="522"/>
      <c r="H81" s="539">
        <f>SUM(H77:H80)</f>
        <v>10270065</v>
      </c>
      <c r="I81" s="819"/>
    </row>
    <row r="82" spans="3:9" ht="21" customHeight="1">
      <c r="C82" s="213" t="s">
        <v>1209</v>
      </c>
      <c r="D82" s="212" t="s">
        <v>1210</v>
      </c>
      <c r="E82" s="534"/>
      <c r="F82" s="534"/>
      <c r="G82" s="534"/>
      <c r="H82" s="534"/>
    </row>
    <row r="83" spans="3:9" ht="21" customHeight="1">
      <c r="C83" s="818">
        <v>1</v>
      </c>
      <c r="D83" s="212" t="s">
        <v>728</v>
      </c>
      <c r="E83" s="213" t="s">
        <v>135</v>
      </c>
      <c r="F83" s="538">
        <v>1.1000000000000001</v>
      </c>
      <c r="G83" s="539">
        <f>VLOOKUP(D83,upahbahan,3,FALSE)</f>
        <v>0</v>
      </c>
      <c r="H83" s="539">
        <f t="shared" ref="H83" si="8">F83*G83</f>
        <v>0</v>
      </c>
    </row>
    <row r="84" spans="3:9" ht="21" customHeight="1">
      <c r="C84" s="702" t="s">
        <v>1214</v>
      </c>
      <c r="D84" s="208"/>
      <c r="E84" s="208"/>
      <c r="F84" s="208"/>
      <c r="G84" s="209"/>
      <c r="H84" s="539">
        <f>SUM(H83:H83)</f>
        <v>0</v>
      </c>
    </row>
    <row r="85" spans="3:9" ht="21" customHeight="1">
      <c r="C85" s="213" t="s">
        <v>1215</v>
      </c>
      <c r="D85" s="212" t="s">
        <v>1216</v>
      </c>
      <c r="E85" s="534"/>
      <c r="F85" s="534"/>
      <c r="G85" s="534"/>
      <c r="H85" s="534"/>
    </row>
    <row r="86" spans="3:9" ht="21" customHeight="1">
      <c r="C86" s="702" t="s">
        <v>1217</v>
      </c>
      <c r="D86" s="208"/>
      <c r="E86" s="208"/>
      <c r="F86" s="208"/>
      <c r="G86" s="209"/>
      <c r="H86" s="821">
        <v>0</v>
      </c>
    </row>
    <row r="87" spans="3:9" ht="21" customHeight="1">
      <c r="C87" s="566" t="s">
        <v>1218</v>
      </c>
      <c r="D87" s="552" t="s">
        <v>1219</v>
      </c>
      <c r="E87" s="553"/>
      <c r="F87" s="553"/>
      <c r="G87" s="554"/>
      <c r="H87" s="826">
        <f>H86+H84+H81</f>
        <v>10270065</v>
      </c>
      <c r="I87" s="827"/>
    </row>
    <row r="88" spans="3:9" ht="21" customHeight="1">
      <c r="C88" s="566" t="s">
        <v>1220</v>
      </c>
      <c r="D88" s="552" t="s">
        <v>1321</v>
      </c>
      <c r="E88" s="553"/>
      <c r="F88" s="554"/>
      <c r="G88" s="555">
        <f>$M$8</f>
        <v>0.1</v>
      </c>
      <c r="H88" s="539">
        <f>H87*G88</f>
        <v>1027006.5</v>
      </c>
      <c r="I88" s="827"/>
    </row>
    <row r="89" spans="3:9" ht="21" customHeight="1">
      <c r="C89" s="566" t="s">
        <v>1221</v>
      </c>
      <c r="D89" s="552" t="s">
        <v>1222</v>
      </c>
      <c r="E89" s="553"/>
      <c r="F89" s="553"/>
      <c r="G89" s="554"/>
      <c r="H89" s="828">
        <f>SUM(H87:H88)</f>
        <v>11297071.5</v>
      </c>
      <c r="I89" s="827"/>
    </row>
    <row r="90" spans="3:9" ht="21" customHeight="1">
      <c r="C90" s="572"/>
      <c r="D90" s="575"/>
      <c r="E90" s="575"/>
      <c r="F90" s="575"/>
      <c r="G90" s="575"/>
      <c r="H90" s="830"/>
    </row>
    <row r="91" spans="3:9" ht="21" customHeight="1">
      <c r="C91" s="530" t="s">
        <v>3796</v>
      </c>
      <c r="D91" s="817" t="s">
        <v>3798</v>
      </c>
      <c r="E91" s="803"/>
      <c r="F91" s="803"/>
      <c r="G91" s="803"/>
      <c r="H91" s="803"/>
      <c r="I91" s="533">
        <f>ROUNDDOWN(H106,-2)</f>
        <v>261000</v>
      </c>
    </row>
    <row r="92" spans="3:9" ht="21" customHeight="1">
      <c r="C92" s="716" t="s">
        <v>1195</v>
      </c>
      <c r="D92" s="716" t="s">
        <v>1196</v>
      </c>
      <c r="E92" s="716" t="s">
        <v>1197</v>
      </c>
      <c r="F92" s="716" t="s">
        <v>1198</v>
      </c>
      <c r="G92" s="716" t="s">
        <v>1199</v>
      </c>
      <c r="H92" s="716" t="s">
        <v>1200</v>
      </c>
    </row>
    <row r="93" spans="3:9" ht="21" customHeight="1">
      <c r="C93" s="212" t="s">
        <v>1201</v>
      </c>
      <c r="D93" s="212" t="s">
        <v>1202</v>
      </c>
      <c r="E93" s="534"/>
      <c r="F93" s="534"/>
      <c r="G93" s="534"/>
      <c r="H93" s="534"/>
    </row>
    <row r="94" spans="3:9" ht="21" customHeight="1">
      <c r="C94" s="825">
        <v>1</v>
      </c>
      <c r="D94" s="212" t="s">
        <v>5</v>
      </c>
      <c r="E94" s="213" t="s">
        <v>6</v>
      </c>
      <c r="F94" s="829">
        <v>0.66200000000000003</v>
      </c>
      <c r="G94" s="539">
        <f>VLOOKUP(D94,upahbahan,3,FALSE)</f>
        <v>100000</v>
      </c>
      <c r="H94" s="539">
        <f t="shared" ref="H94:H97" si="9">F94*G94</f>
        <v>66200</v>
      </c>
    </row>
    <row r="95" spans="3:9" ht="21" customHeight="1">
      <c r="C95" s="825">
        <v>2</v>
      </c>
      <c r="D95" s="212" t="str">
        <f>D78</f>
        <v>Tukang batu</v>
      </c>
      <c r="E95" s="213" t="s">
        <v>6</v>
      </c>
      <c r="F95" s="829">
        <v>1.105</v>
      </c>
      <c r="G95" s="539">
        <f>VLOOKUP(D95,upahbahan,3,FALSE)</f>
        <v>135000</v>
      </c>
      <c r="H95" s="539">
        <f t="shared" si="9"/>
        <v>149175</v>
      </c>
    </row>
    <row r="96" spans="3:9" ht="21" customHeight="1">
      <c r="C96" s="825">
        <v>3</v>
      </c>
      <c r="D96" s="212" t="s">
        <v>18</v>
      </c>
      <c r="E96" s="213" t="s">
        <v>6</v>
      </c>
      <c r="F96" s="829">
        <v>0.111</v>
      </c>
      <c r="G96" s="539">
        <f>VLOOKUP(D96,upahbahan,3,FALSE)</f>
        <v>150000</v>
      </c>
      <c r="H96" s="539">
        <f t="shared" si="9"/>
        <v>16650</v>
      </c>
    </row>
    <row r="97" spans="3:9" ht="21" customHeight="1">
      <c r="C97" s="825">
        <v>4</v>
      </c>
      <c r="D97" s="212" t="s">
        <v>19</v>
      </c>
      <c r="E97" s="213" t="s">
        <v>6</v>
      </c>
      <c r="F97" s="829">
        <v>3.3000000000000002E-2</v>
      </c>
      <c r="G97" s="539">
        <f>VLOOKUP(D97,upahbahan,3,FALSE)</f>
        <v>160000</v>
      </c>
      <c r="H97" s="539">
        <f t="shared" si="9"/>
        <v>5280</v>
      </c>
    </row>
    <row r="98" spans="3:9" ht="21" customHeight="1">
      <c r="C98" s="702" t="s">
        <v>1208</v>
      </c>
      <c r="D98" s="208"/>
      <c r="E98" s="208"/>
      <c r="F98" s="521"/>
      <c r="G98" s="522"/>
      <c r="H98" s="539">
        <f>SUM(H94:H97)</f>
        <v>237305</v>
      </c>
      <c r="I98" s="819"/>
    </row>
    <row r="99" spans="3:9" ht="21" customHeight="1">
      <c r="C99" s="213" t="s">
        <v>1209</v>
      </c>
      <c r="D99" s="212" t="s">
        <v>1210</v>
      </c>
      <c r="E99" s="534"/>
      <c r="F99" s="534"/>
      <c r="G99" s="534"/>
      <c r="H99" s="534"/>
    </row>
    <row r="100" spans="3:9" ht="21" customHeight="1">
      <c r="C100" s="818">
        <v>1</v>
      </c>
      <c r="D100" s="212" t="s">
        <v>3799</v>
      </c>
      <c r="E100" s="213" t="s">
        <v>135</v>
      </c>
      <c r="F100" s="538">
        <v>1.5</v>
      </c>
      <c r="G100" s="539">
        <f>VLOOKUP(D100,upahbahan,3,FALSE)</f>
        <v>0</v>
      </c>
      <c r="H100" s="539">
        <f t="shared" ref="H100" si="10">F100*G100</f>
        <v>0</v>
      </c>
    </row>
    <row r="101" spans="3:9" ht="21" customHeight="1">
      <c r="C101" s="702" t="s">
        <v>1214</v>
      </c>
      <c r="D101" s="208"/>
      <c r="E101" s="208"/>
      <c r="F101" s="208"/>
      <c r="G101" s="209"/>
      <c r="H101" s="539">
        <f>SUM(H100:H100)</f>
        <v>0</v>
      </c>
    </row>
    <row r="102" spans="3:9" ht="21" customHeight="1">
      <c r="C102" s="213" t="s">
        <v>1215</v>
      </c>
      <c r="D102" s="212" t="s">
        <v>1216</v>
      </c>
      <c r="E102" s="534"/>
      <c r="F102" s="534"/>
      <c r="G102" s="534"/>
      <c r="H102" s="534"/>
    </row>
    <row r="103" spans="3:9" ht="21" customHeight="1">
      <c r="C103" s="702" t="s">
        <v>1217</v>
      </c>
      <c r="D103" s="208"/>
      <c r="E103" s="208"/>
      <c r="F103" s="208"/>
      <c r="G103" s="209"/>
      <c r="H103" s="821">
        <v>0</v>
      </c>
    </row>
    <row r="104" spans="3:9" ht="21" customHeight="1">
      <c r="C104" s="566" t="s">
        <v>1218</v>
      </c>
      <c r="D104" s="552" t="s">
        <v>1219</v>
      </c>
      <c r="E104" s="553"/>
      <c r="F104" s="553"/>
      <c r="G104" s="554"/>
      <c r="H104" s="826">
        <f>H103+H101+H98</f>
        <v>237305</v>
      </c>
      <c r="I104" s="827"/>
    </row>
    <row r="105" spans="3:9" ht="21" customHeight="1">
      <c r="C105" s="566" t="s">
        <v>1220</v>
      </c>
      <c r="D105" s="552" t="s">
        <v>1321</v>
      </c>
      <c r="E105" s="553"/>
      <c r="F105" s="554"/>
      <c r="G105" s="555">
        <f>$M$8</f>
        <v>0.1</v>
      </c>
      <c r="H105" s="539">
        <f>H104*G105</f>
        <v>23730.5</v>
      </c>
      <c r="I105" s="827"/>
    </row>
    <row r="106" spans="3:9" ht="21" customHeight="1">
      <c r="C106" s="566" t="s">
        <v>1221</v>
      </c>
      <c r="D106" s="552" t="s">
        <v>1222</v>
      </c>
      <c r="E106" s="553"/>
      <c r="F106" s="553"/>
      <c r="G106" s="554"/>
      <c r="H106" s="828">
        <f>SUM(H104:H105)</f>
        <v>261035.5</v>
      </c>
      <c r="I106" s="827"/>
    </row>
    <row r="107" spans="3:9" ht="21" customHeight="1">
      <c r="C107" s="572"/>
      <c r="D107" s="575"/>
      <c r="E107" s="575"/>
      <c r="F107" s="575"/>
      <c r="G107" s="575"/>
      <c r="H107" s="830"/>
    </row>
    <row r="108" spans="3:9" ht="21" customHeight="1">
      <c r="C108" s="512" t="s">
        <v>3811</v>
      </c>
      <c r="D108" s="574" t="s">
        <v>3812</v>
      </c>
      <c r="E108" s="575"/>
      <c r="F108" s="575"/>
      <c r="G108" s="575"/>
      <c r="H108" s="830"/>
    </row>
    <row r="109" spans="3:9" ht="21" customHeight="1">
      <c r="C109" s="530" t="s">
        <v>3813</v>
      </c>
      <c r="D109" s="817" t="s">
        <v>1619</v>
      </c>
      <c r="E109" s="803"/>
      <c r="F109" s="803"/>
      <c r="G109" s="803"/>
      <c r="H109" s="803"/>
      <c r="I109" s="533">
        <f>ROUNDDOWN(H124,-2)</f>
        <v>174200</v>
      </c>
    </row>
    <row r="110" spans="3:9" ht="21" customHeight="1">
      <c r="C110" s="716" t="s">
        <v>1195</v>
      </c>
      <c r="D110" s="716" t="s">
        <v>1196</v>
      </c>
      <c r="E110" s="716" t="s">
        <v>1197</v>
      </c>
      <c r="F110" s="716" t="s">
        <v>1198</v>
      </c>
      <c r="G110" s="716" t="s">
        <v>1199</v>
      </c>
      <c r="H110" s="716" t="s">
        <v>1200</v>
      </c>
    </row>
    <row r="111" spans="3:9" ht="21" customHeight="1">
      <c r="C111" s="212" t="s">
        <v>1201</v>
      </c>
      <c r="D111" s="212" t="s">
        <v>1202</v>
      </c>
      <c r="E111" s="534"/>
      <c r="F111" s="534"/>
      <c r="G111" s="534"/>
      <c r="H111" s="534"/>
    </row>
    <row r="112" spans="3:9" ht="21" customHeight="1">
      <c r="C112" s="825">
        <v>1</v>
      </c>
      <c r="D112" s="212" t="s">
        <v>5</v>
      </c>
      <c r="E112" s="213" t="s">
        <v>6</v>
      </c>
      <c r="F112" s="829">
        <v>0.442</v>
      </c>
      <c r="G112" s="539">
        <f>VLOOKUP(D112,upahbahan,3,FALSE)</f>
        <v>100000</v>
      </c>
      <c r="H112" s="539">
        <f t="shared" ref="H112:H115" si="11">F112*G112</f>
        <v>44200</v>
      </c>
    </row>
    <row r="113" spans="3:14" ht="21" customHeight="1">
      <c r="C113" s="825">
        <v>2</v>
      </c>
      <c r="D113" s="212" t="str">
        <f>D78</f>
        <v>Tukang batu</v>
      </c>
      <c r="E113" s="213" t="s">
        <v>6</v>
      </c>
      <c r="F113" s="829">
        <v>0.73799999999999999</v>
      </c>
      <c r="G113" s="539">
        <f>VLOOKUP(D113,upahbahan,3,FALSE)</f>
        <v>135000</v>
      </c>
      <c r="H113" s="539">
        <f t="shared" si="11"/>
        <v>99630</v>
      </c>
    </row>
    <row r="114" spans="3:14" ht="21" customHeight="1">
      <c r="C114" s="825">
        <v>3</v>
      </c>
      <c r="D114" s="212" t="s">
        <v>18</v>
      </c>
      <c r="E114" s="213" t="s">
        <v>6</v>
      </c>
      <c r="F114" s="829">
        <v>7.3999999999999996E-2</v>
      </c>
      <c r="G114" s="539">
        <f>VLOOKUP(D114,upahbahan,3,FALSE)</f>
        <v>150000</v>
      </c>
      <c r="H114" s="539">
        <f t="shared" si="11"/>
        <v>11100</v>
      </c>
    </row>
    <row r="115" spans="3:14" ht="21" customHeight="1">
      <c r="C115" s="825">
        <v>4</v>
      </c>
      <c r="D115" s="212" t="s">
        <v>19</v>
      </c>
      <c r="E115" s="213" t="s">
        <v>6</v>
      </c>
      <c r="F115" s="829">
        <v>2.1999999999999999E-2</v>
      </c>
      <c r="G115" s="539">
        <f>VLOOKUP(D115,upahbahan,3,FALSE)</f>
        <v>160000</v>
      </c>
      <c r="H115" s="539">
        <f t="shared" si="11"/>
        <v>3520</v>
      </c>
    </row>
    <row r="116" spans="3:14" ht="21" customHeight="1">
      <c r="C116" s="702" t="s">
        <v>1208</v>
      </c>
      <c r="D116" s="208"/>
      <c r="E116" s="208"/>
      <c r="F116" s="521"/>
      <c r="G116" s="522"/>
      <c r="H116" s="539">
        <f>SUM(H112:H115)</f>
        <v>158450</v>
      </c>
      <c r="I116" s="819"/>
    </row>
    <row r="117" spans="3:14" ht="21" customHeight="1">
      <c r="C117" s="213" t="s">
        <v>1209</v>
      </c>
      <c r="D117" s="212" t="s">
        <v>1210</v>
      </c>
      <c r="E117" s="534"/>
      <c r="F117" s="534"/>
      <c r="G117" s="534"/>
      <c r="H117" s="534"/>
    </row>
    <row r="118" spans="3:14" ht="21" customHeight="1">
      <c r="C118" s="818">
        <v>1</v>
      </c>
      <c r="D118" s="212" t="s">
        <v>733</v>
      </c>
      <c r="E118" s="213" t="s">
        <v>135</v>
      </c>
      <c r="F118" s="538">
        <v>1.0249999999999999</v>
      </c>
      <c r="G118" s="539">
        <f>VLOOKUP(D118,upahbahan,3,FALSE)</f>
        <v>0</v>
      </c>
      <c r="H118" s="539">
        <f t="shared" ref="H118" si="12">F118*G118</f>
        <v>0</v>
      </c>
      <c r="N118" s="517" t="s">
        <v>3809</v>
      </c>
    </row>
    <row r="119" spans="3:14" ht="21" customHeight="1">
      <c r="C119" s="702" t="s">
        <v>1214</v>
      </c>
      <c r="D119" s="208"/>
      <c r="E119" s="208"/>
      <c r="F119" s="208"/>
      <c r="G119" s="209"/>
      <c r="H119" s="539">
        <f>SUM(H118:H118)</f>
        <v>0</v>
      </c>
    </row>
    <row r="120" spans="3:14" ht="21" customHeight="1">
      <c r="C120" s="213" t="s">
        <v>1215</v>
      </c>
      <c r="D120" s="212" t="s">
        <v>1216</v>
      </c>
      <c r="E120" s="534"/>
      <c r="F120" s="534"/>
      <c r="G120" s="534"/>
      <c r="H120" s="534"/>
    </row>
    <row r="121" spans="3:14" ht="21" customHeight="1">
      <c r="C121" s="702" t="s">
        <v>1217</v>
      </c>
      <c r="D121" s="208"/>
      <c r="E121" s="208"/>
      <c r="F121" s="208"/>
      <c r="G121" s="209"/>
      <c r="H121" s="821">
        <v>0</v>
      </c>
    </row>
    <row r="122" spans="3:14" ht="21" customHeight="1">
      <c r="C122" s="566" t="s">
        <v>1218</v>
      </c>
      <c r="D122" s="552" t="s">
        <v>1219</v>
      </c>
      <c r="E122" s="553"/>
      <c r="F122" s="553"/>
      <c r="G122" s="554"/>
      <c r="H122" s="826">
        <f>H121+H119+H116</f>
        <v>158450</v>
      </c>
      <c r="I122" s="827"/>
    </row>
    <row r="123" spans="3:14" ht="21" customHeight="1">
      <c r="C123" s="566" t="s">
        <v>1220</v>
      </c>
      <c r="D123" s="552" t="s">
        <v>1321</v>
      </c>
      <c r="E123" s="553"/>
      <c r="F123" s="554"/>
      <c r="G123" s="555">
        <f>$M$8</f>
        <v>0.1</v>
      </c>
      <c r="H123" s="539">
        <f>H122*G123</f>
        <v>15845</v>
      </c>
      <c r="I123" s="827"/>
    </row>
    <row r="124" spans="3:14" ht="21" customHeight="1">
      <c r="C124" s="566" t="s">
        <v>1221</v>
      </c>
      <c r="D124" s="552" t="s">
        <v>1222</v>
      </c>
      <c r="E124" s="553"/>
      <c r="F124" s="553"/>
      <c r="G124" s="554"/>
      <c r="H124" s="828">
        <f>SUM(H122:H123)</f>
        <v>174295</v>
      </c>
      <c r="I124" s="827"/>
    </row>
    <row r="125" spans="3:14" ht="21" customHeight="1"/>
    <row r="126" spans="3:14" ht="21" customHeight="1">
      <c r="C126" s="571" t="s">
        <v>3814</v>
      </c>
      <c r="D126" s="571" t="s">
        <v>3815</v>
      </c>
    </row>
    <row r="127" spans="3:14" ht="21" customHeight="1">
      <c r="C127" s="517" t="s">
        <v>3816</v>
      </c>
      <c r="D127" s="817" t="s">
        <v>1620</v>
      </c>
      <c r="E127" s="803"/>
      <c r="F127" s="803"/>
      <c r="G127" s="803"/>
      <c r="H127" s="803"/>
      <c r="I127" s="533">
        <f>ROUNDDOWN(H142,-2)</f>
        <v>1226200</v>
      </c>
    </row>
    <row r="128" spans="3:14" ht="21" customHeight="1">
      <c r="C128" s="716" t="s">
        <v>1195</v>
      </c>
      <c r="D128" s="716" t="s">
        <v>1196</v>
      </c>
      <c r="E128" s="716" t="s">
        <v>1197</v>
      </c>
      <c r="F128" s="716" t="s">
        <v>1198</v>
      </c>
      <c r="G128" s="716" t="s">
        <v>1199</v>
      </c>
      <c r="H128" s="716" t="s">
        <v>1200</v>
      </c>
    </row>
    <row r="129" spans="3:11" ht="21" customHeight="1">
      <c r="C129" s="212" t="s">
        <v>1201</v>
      </c>
      <c r="D129" s="212" t="s">
        <v>1202</v>
      </c>
      <c r="E129" s="534"/>
      <c r="F129" s="534"/>
      <c r="G129" s="534"/>
      <c r="H129" s="534"/>
    </row>
    <row r="130" spans="3:11" ht="21" customHeight="1">
      <c r="C130" s="825">
        <v>1</v>
      </c>
      <c r="D130" s="212" t="s">
        <v>5</v>
      </c>
      <c r="E130" s="213" t="s">
        <v>6</v>
      </c>
      <c r="F130" s="538">
        <v>0.25</v>
      </c>
      <c r="G130" s="539">
        <f>VLOOKUP(D130,upahbahan,3,FALSE)</f>
        <v>100000</v>
      </c>
      <c r="H130" s="539">
        <f t="shared" ref="H130:H133" si="13">F130*G130</f>
        <v>25000</v>
      </c>
    </row>
    <row r="131" spans="3:11" ht="21" customHeight="1">
      <c r="C131" s="825">
        <v>2</v>
      </c>
      <c r="D131" s="212" t="str">
        <f>D113</f>
        <v>Tukang batu</v>
      </c>
      <c r="E131" s="213" t="s">
        <v>6</v>
      </c>
      <c r="F131" s="538">
        <v>0.41799999999999998</v>
      </c>
      <c r="G131" s="539">
        <f>VLOOKUP(D131,upahbahan,3,FALSE)</f>
        <v>135000</v>
      </c>
      <c r="H131" s="539">
        <f>F131*G131</f>
        <v>56430</v>
      </c>
      <c r="K131" s="517" t="s">
        <v>3810</v>
      </c>
    </row>
    <row r="132" spans="3:11" ht="21" customHeight="1">
      <c r="C132" s="825">
        <v>3</v>
      </c>
      <c r="D132" s="212" t="s">
        <v>18</v>
      </c>
      <c r="E132" s="213" t="s">
        <v>6</v>
      </c>
      <c r="F132" s="538">
        <v>4.2000000000000003E-2</v>
      </c>
      <c r="G132" s="539">
        <f>VLOOKUP(D132,upahbahan,3,FALSE)</f>
        <v>150000</v>
      </c>
      <c r="H132" s="539">
        <f t="shared" si="13"/>
        <v>6300</v>
      </c>
    </row>
    <row r="133" spans="3:11" ht="21" customHeight="1">
      <c r="C133" s="825">
        <v>4</v>
      </c>
      <c r="D133" s="212" t="s">
        <v>19</v>
      </c>
      <c r="E133" s="213" t="s">
        <v>6</v>
      </c>
      <c r="F133" s="538">
        <v>1.2999999999999999E-2</v>
      </c>
      <c r="G133" s="539">
        <f>VLOOKUP(D133,upahbahan,3,FALSE)</f>
        <v>160000</v>
      </c>
      <c r="H133" s="539">
        <f t="shared" si="13"/>
        <v>2080</v>
      </c>
    </row>
    <row r="134" spans="3:11" ht="21" customHeight="1">
      <c r="C134" s="702" t="s">
        <v>1208</v>
      </c>
      <c r="D134" s="208"/>
      <c r="E134" s="208"/>
      <c r="F134" s="521"/>
      <c r="G134" s="522"/>
      <c r="H134" s="539">
        <f>SUM(H130:H133)</f>
        <v>89810</v>
      </c>
      <c r="I134" s="819"/>
    </row>
    <row r="135" spans="3:11" ht="21" customHeight="1">
      <c r="C135" s="213" t="s">
        <v>1209</v>
      </c>
      <c r="D135" s="212" t="s">
        <v>1210</v>
      </c>
      <c r="E135" s="534"/>
      <c r="F135" s="534"/>
      <c r="G135" s="534"/>
      <c r="H135" s="534"/>
    </row>
    <row r="136" spans="3:11" ht="21" customHeight="1">
      <c r="C136" s="818">
        <v>1</v>
      </c>
      <c r="D136" s="212" t="s">
        <v>681</v>
      </c>
      <c r="E136" s="213" t="s">
        <v>135</v>
      </c>
      <c r="F136" s="538">
        <v>1.0249999999999999</v>
      </c>
      <c r="G136" s="539">
        <f>VLOOKUP(D136,upahbahan,3,FALSE)</f>
        <v>1000000</v>
      </c>
      <c r="H136" s="539">
        <f t="shared" ref="H136" si="14">F136*G136</f>
        <v>1024999.9999999999</v>
      </c>
    </row>
    <row r="137" spans="3:11" ht="21" customHeight="1">
      <c r="C137" s="702" t="s">
        <v>1214</v>
      </c>
      <c r="D137" s="208"/>
      <c r="E137" s="208"/>
      <c r="F137" s="208"/>
      <c r="G137" s="209"/>
      <c r="H137" s="539">
        <f>SUM(H136:H136)</f>
        <v>1024999.9999999999</v>
      </c>
    </row>
    <row r="138" spans="3:11" ht="21" customHeight="1">
      <c r="C138" s="213" t="s">
        <v>1215</v>
      </c>
      <c r="D138" s="212" t="s">
        <v>1216</v>
      </c>
      <c r="E138" s="534"/>
      <c r="F138" s="534"/>
      <c r="G138" s="534"/>
      <c r="H138" s="534"/>
    </row>
    <row r="139" spans="3:11" ht="21" customHeight="1">
      <c r="C139" s="702" t="s">
        <v>1217</v>
      </c>
      <c r="D139" s="208"/>
      <c r="E139" s="208"/>
      <c r="F139" s="208"/>
      <c r="G139" s="209"/>
      <c r="H139" s="821">
        <v>0</v>
      </c>
    </row>
    <row r="140" spans="3:11" ht="21" customHeight="1">
      <c r="C140" s="566" t="s">
        <v>1218</v>
      </c>
      <c r="D140" s="552" t="s">
        <v>1219</v>
      </c>
      <c r="E140" s="553"/>
      <c r="F140" s="553"/>
      <c r="G140" s="554"/>
      <c r="H140" s="826">
        <f>H139+H137+H134</f>
        <v>1114810</v>
      </c>
      <c r="I140" s="827"/>
    </row>
    <row r="141" spans="3:11" ht="21" customHeight="1">
      <c r="C141" s="566" t="s">
        <v>1220</v>
      </c>
      <c r="D141" s="552" t="s">
        <v>1321</v>
      </c>
      <c r="E141" s="553"/>
      <c r="F141" s="554"/>
      <c r="G141" s="555">
        <f>$M$8</f>
        <v>0.1</v>
      </c>
      <c r="H141" s="539">
        <f>H140*G141</f>
        <v>111481</v>
      </c>
      <c r="I141" s="827"/>
    </row>
    <row r="142" spans="3:11" ht="21" customHeight="1">
      <c r="C142" s="566" t="s">
        <v>1221</v>
      </c>
      <c r="D142" s="552" t="s">
        <v>1222</v>
      </c>
      <c r="E142" s="553"/>
      <c r="F142" s="553"/>
      <c r="G142" s="554"/>
      <c r="H142" s="828">
        <f>SUM(H140:H141)</f>
        <v>1226291</v>
      </c>
      <c r="I142" s="827"/>
    </row>
    <row r="143" spans="3:11" ht="21" customHeight="1"/>
    <row r="144" spans="3:11" ht="21" customHeight="1">
      <c r="C144" s="517" t="s">
        <v>3817</v>
      </c>
      <c r="D144" s="817" t="s">
        <v>1621</v>
      </c>
      <c r="E144" s="803"/>
      <c r="F144" s="803"/>
      <c r="G144" s="803"/>
      <c r="H144" s="803"/>
      <c r="I144" s="533">
        <f>ROUNDDOWN(H159,-2)</f>
        <v>1790000</v>
      </c>
    </row>
    <row r="145" spans="3:9" ht="21" customHeight="1">
      <c r="C145" s="716" t="s">
        <v>1195</v>
      </c>
      <c r="D145" s="716" t="s">
        <v>1196</v>
      </c>
      <c r="E145" s="716" t="s">
        <v>1197</v>
      </c>
      <c r="F145" s="716" t="s">
        <v>1198</v>
      </c>
      <c r="G145" s="716" t="s">
        <v>1199</v>
      </c>
      <c r="H145" s="716" t="s">
        <v>1200</v>
      </c>
    </row>
    <row r="146" spans="3:9" ht="21" customHeight="1">
      <c r="C146" s="212" t="s">
        <v>1201</v>
      </c>
      <c r="D146" s="212" t="s">
        <v>1202</v>
      </c>
      <c r="E146" s="534"/>
      <c r="F146" s="534"/>
      <c r="G146" s="534"/>
      <c r="H146" s="534"/>
    </row>
    <row r="147" spans="3:9" ht="21" customHeight="1">
      <c r="C147" s="825">
        <v>1</v>
      </c>
      <c r="D147" s="212" t="s">
        <v>5</v>
      </c>
      <c r="E147" s="213" t="s">
        <v>6</v>
      </c>
      <c r="F147" s="538">
        <v>0.25</v>
      </c>
      <c r="G147" s="539">
        <f>VLOOKUP(D147,upahbahan,3,FALSE)</f>
        <v>100000</v>
      </c>
      <c r="H147" s="539">
        <f t="shared" ref="H147:H150" si="15">F147*G147</f>
        <v>25000</v>
      </c>
    </row>
    <row r="148" spans="3:9" ht="21" customHeight="1">
      <c r="C148" s="825">
        <v>2</v>
      </c>
      <c r="D148" s="212" t="str">
        <f>D131</f>
        <v>Tukang batu</v>
      </c>
      <c r="E148" s="213" t="s">
        <v>6</v>
      </c>
      <c r="F148" s="538">
        <v>0.41799999999999998</v>
      </c>
      <c r="G148" s="539">
        <f>VLOOKUP(D148,upahbahan,3,FALSE)</f>
        <v>135000</v>
      </c>
      <c r="H148" s="539">
        <f t="shared" si="15"/>
        <v>56430</v>
      </c>
    </row>
    <row r="149" spans="3:9" ht="21" customHeight="1">
      <c r="C149" s="825">
        <v>3</v>
      </c>
      <c r="D149" s="212" t="s">
        <v>18</v>
      </c>
      <c r="E149" s="213" t="s">
        <v>6</v>
      </c>
      <c r="F149" s="538">
        <v>4.2000000000000003E-2</v>
      </c>
      <c r="G149" s="539">
        <f>VLOOKUP(D149,upahbahan,3,FALSE)</f>
        <v>150000</v>
      </c>
      <c r="H149" s="539">
        <f t="shared" si="15"/>
        <v>6300</v>
      </c>
    </row>
    <row r="150" spans="3:9" ht="21" customHeight="1">
      <c r="C150" s="825">
        <v>4</v>
      </c>
      <c r="D150" s="212" t="s">
        <v>19</v>
      </c>
      <c r="E150" s="213" t="s">
        <v>6</v>
      </c>
      <c r="F150" s="538">
        <v>1.2999999999999999E-2</v>
      </c>
      <c r="G150" s="539">
        <f>VLOOKUP(D150,upahbahan,3,FALSE)</f>
        <v>160000</v>
      </c>
      <c r="H150" s="539">
        <f t="shared" si="15"/>
        <v>2080</v>
      </c>
    </row>
    <row r="151" spans="3:9" ht="21" customHeight="1">
      <c r="C151" s="702" t="s">
        <v>1208</v>
      </c>
      <c r="D151" s="208"/>
      <c r="E151" s="208"/>
      <c r="F151" s="521"/>
      <c r="G151" s="522"/>
      <c r="H151" s="539">
        <f>SUM(H147:H150)</f>
        <v>89810</v>
      </c>
      <c r="I151" s="819"/>
    </row>
    <row r="152" spans="3:9" ht="21" customHeight="1">
      <c r="C152" s="213" t="s">
        <v>1209</v>
      </c>
      <c r="D152" s="212" t="s">
        <v>1210</v>
      </c>
      <c r="E152" s="534"/>
      <c r="F152" s="534"/>
      <c r="G152" s="534"/>
      <c r="H152" s="534"/>
    </row>
    <row r="153" spans="3:9" ht="21" customHeight="1">
      <c r="C153" s="818">
        <v>1</v>
      </c>
      <c r="D153" s="212" t="s">
        <v>682</v>
      </c>
      <c r="E153" s="213" t="s">
        <v>135</v>
      </c>
      <c r="F153" s="538">
        <v>1.0249999999999999</v>
      </c>
      <c r="G153" s="539">
        <f>VLOOKUP(D153,upahbahan,3,FALSE)</f>
        <v>1500000</v>
      </c>
      <c r="H153" s="539">
        <f t="shared" ref="H153" si="16">F153*G153</f>
        <v>1537499.9999999998</v>
      </c>
    </row>
    <row r="154" spans="3:9" ht="21" customHeight="1">
      <c r="C154" s="702" t="s">
        <v>1214</v>
      </c>
      <c r="D154" s="208"/>
      <c r="E154" s="208"/>
      <c r="F154" s="208"/>
      <c r="G154" s="209"/>
      <c r="H154" s="539">
        <f>SUM(H153:H153)</f>
        <v>1537499.9999999998</v>
      </c>
    </row>
    <row r="155" spans="3:9" ht="21" customHeight="1">
      <c r="C155" s="213" t="s">
        <v>1215</v>
      </c>
      <c r="D155" s="212" t="s">
        <v>1216</v>
      </c>
      <c r="E155" s="534"/>
      <c r="F155" s="534"/>
      <c r="G155" s="534"/>
      <c r="H155" s="534"/>
    </row>
    <row r="156" spans="3:9" ht="21" customHeight="1">
      <c r="C156" s="702" t="s">
        <v>1217</v>
      </c>
      <c r="D156" s="208"/>
      <c r="E156" s="208"/>
      <c r="F156" s="208"/>
      <c r="G156" s="209"/>
      <c r="H156" s="821">
        <v>0</v>
      </c>
    </row>
    <row r="157" spans="3:9" ht="21" customHeight="1">
      <c r="C157" s="566" t="s">
        <v>1218</v>
      </c>
      <c r="D157" s="552" t="s">
        <v>1219</v>
      </c>
      <c r="E157" s="553"/>
      <c r="F157" s="553"/>
      <c r="G157" s="554"/>
      <c r="H157" s="826">
        <f>H156+H154+H151</f>
        <v>1627309.9999999998</v>
      </c>
      <c r="I157" s="827"/>
    </row>
    <row r="158" spans="3:9" ht="21" customHeight="1">
      <c r="C158" s="566" t="s">
        <v>1220</v>
      </c>
      <c r="D158" s="552" t="s">
        <v>1321</v>
      </c>
      <c r="E158" s="553"/>
      <c r="F158" s="554"/>
      <c r="G158" s="555">
        <f>$M$8</f>
        <v>0.1</v>
      </c>
      <c r="H158" s="539">
        <f>H157*G158</f>
        <v>162731</v>
      </c>
      <c r="I158" s="827"/>
    </row>
    <row r="159" spans="3:9" ht="21" customHeight="1">
      <c r="C159" s="566" t="s">
        <v>1221</v>
      </c>
      <c r="D159" s="552" t="s">
        <v>1222</v>
      </c>
      <c r="E159" s="553"/>
      <c r="F159" s="553"/>
      <c r="G159" s="554"/>
      <c r="H159" s="828">
        <f>SUM(H157:H158)</f>
        <v>1790040.9999999998</v>
      </c>
      <c r="I159" s="827"/>
    </row>
    <row r="160" spans="3:9" ht="21" customHeight="1"/>
    <row r="161" spans="3:9" ht="21" customHeight="1">
      <c r="C161" s="517" t="s">
        <v>3818</v>
      </c>
      <c r="D161" s="817" t="s">
        <v>1622</v>
      </c>
      <c r="E161" s="803"/>
      <c r="F161" s="803"/>
      <c r="G161" s="803"/>
      <c r="H161" s="803"/>
      <c r="I161" s="533">
        <f>ROUNDDOWN(H176,-2)</f>
        <v>22960800</v>
      </c>
    </row>
    <row r="162" spans="3:9" ht="21" customHeight="1">
      <c r="C162" s="716" t="s">
        <v>1195</v>
      </c>
      <c r="D162" s="716" t="s">
        <v>1196</v>
      </c>
      <c r="E162" s="716" t="s">
        <v>1197</v>
      </c>
      <c r="F162" s="716" t="s">
        <v>1198</v>
      </c>
      <c r="G162" s="716" t="s">
        <v>1199</v>
      </c>
      <c r="H162" s="716" t="s">
        <v>1200</v>
      </c>
    </row>
    <row r="163" spans="3:9" ht="21" customHeight="1">
      <c r="C163" s="212" t="s">
        <v>1201</v>
      </c>
      <c r="D163" s="212" t="s">
        <v>1202</v>
      </c>
      <c r="E163" s="534"/>
      <c r="F163" s="534"/>
      <c r="G163" s="534"/>
      <c r="H163" s="534"/>
    </row>
    <row r="164" spans="3:9" ht="21" customHeight="1">
      <c r="C164" s="825">
        <v>1</v>
      </c>
      <c r="D164" s="212" t="s">
        <v>5</v>
      </c>
      <c r="E164" s="213" t="s">
        <v>6</v>
      </c>
      <c r="F164" s="538">
        <v>1.042</v>
      </c>
      <c r="G164" s="539">
        <f>VLOOKUP(D164,upahbahan,3,FALSE)</f>
        <v>100000</v>
      </c>
      <c r="H164" s="539">
        <f t="shared" ref="H164:H167" si="17">F164*G164</f>
        <v>104200</v>
      </c>
    </row>
    <row r="165" spans="3:9" ht="21" customHeight="1">
      <c r="C165" s="825">
        <v>2</v>
      </c>
      <c r="D165" s="212" t="str">
        <f>D148</f>
        <v>Tukang batu</v>
      </c>
      <c r="E165" s="213" t="s">
        <v>6</v>
      </c>
      <c r="F165" s="538">
        <v>1.74</v>
      </c>
      <c r="G165" s="539">
        <f>VLOOKUP(D165,upahbahan,3,FALSE)</f>
        <v>135000</v>
      </c>
      <c r="H165" s="539">
        <f t="shared" si="17"/>
        <v>234900</v>
      </c>
    </row>
    <row r="166" spans="3:9" ht="21" customHeight="1">
      <c r="C166" s="825">
        <v>3</v>
      </c>
      <c r="D166" s="212" t="s">
        <v>18</v>
      </c>
      <c r="E166" s="213" t="s">
        <v>6</v>
      </c>
      <c r="F166" s="538">
        <v>0.17399999999999999</v>
      </c>
      <c r="G166" s="539">
        <f>VLOOKUP(D166,upahbahan,3,FALSE)</f>
        <v>150000</v>
      </c>
      <c r="H166" s="539">
        <f t="shared" si="17"/>
        <v>26100</v>
      </c>
    </row>
    <row r="167" spans="3:9" ht="21" customHeight="1">
      <c r="C167" s="825">
        <v>4</v>
      </c>
      <c r="D167" s="212" t="s">
        <v>19</v>
      </c>
      <c r="E167" s="213" t="s">
        <v>6</v>
      </c>
      <c r="F167" s="538">
        <v>5.1999999999999998E-2</v>
      </c>
      <c r="G167" s="539">
        <f>VLOOKUP(D167,upahbahan,3,FALSE)</f>
        <v>160000</v>
      </c>
      <c r="H167" s="539">
        <f t="shared" si="17"/>
        <v>8320</v>
      </c>
    </row>
    <row r="168" spans="3:9" ht="21" customHeight="1">
      <c r="C168" s="702" t="s">
        <v>1208</v>
      </c>
      <c r="D168" s="208"/>
      <c r="E168" s="208"/>
      <c r="F168" s="521"/>
      <c r="G168" s="522"/>
      <c r="H168" s="539">
        <f>SUM(H164:H167)</f>
        <v>373520</v>
      </c>
      <c r="I168" s="819"/>
    </row>
    <row r="169" spans="3:9" ht="21" customHeight="1">
      <c r="C169" s="213" t="s">
        <v>1209</v>
      </c>
      <c r="D169" s="212" t="s">
        <v>1210</v>
      </c>
      <c r="E169" s="534"/>
      <c r="F169" s="534"/>
      <c r="G169" s="534"/>
      <c r="H169" s="534"/>
    </row>
    <row r="170" spans="3:9" ht="21" customHeight="1">
      <c r="C170" s="818">
        <v>1</v>
      </c>
      <c r="D170" s="212" t="s">
        <v>680</v>
      </c>
      <c r="E170" s="213" t="s">
        <v>135</v>
      </c>
      <c r="F170" s="538">
        <v>1.0249999999999999</v>
      </c>
      <c r="G170" s="539">
        <f>VLOOKUP(D170,upahbahan,3,FALSE)</f>
        <v>20000000</v>
      </c>
      <c r="H170" s="539">
        <f t="shared" ref="H170" si="18">F170*G170</f>
        <v>20500000</v>
      </c>
    </row>
    <row r="171" spans="3:9" ht="21" customHeight="1">
      <c r="C171" s="702" t="s">
        <v>1214</v>
      </c>
      <c r="D171" s="208"/>
      <c r="E171" s="208"/>
      <c r="F171" s="208"/>
      <c r="G171" s="209"/>
      <c r="H171" s="539">
        <f>SUM(H170:H170)</f>
        <v>20500000</v>
      </c>
    </row>
    <row r="172" spans="3:9" ht="21" customHeight="1">
      <c r="C172" s="213" t="s">
        <v>1215</v>
      </c>
      <c r="D172" s="212" t="s">
        <v>1216</v>
      </c>
      <c r="E172" s="534"/>
      <c r="F172" s="534"/>
      <c r="G172" s="534"/>
      <c r="H172" s="534"/>
    </row>
    <row r="173" spans="3:9" ht="21" customHeight="1">
      <c r="C173" s="702" t="s">
        <v>1217</v>
      </c>
      <c r="D173" s="208"/>
      <c r="E173" s="208"/>
      <c r="F173" s="208"/>
      <c r="G173" s="209"/>
      <c r="H173" s="821">
        <v>0</v>
      </c>
    </row>
    <row r="174" spans="3:9" ht="21" customHeight="1">
      <c r="C174" s="566" t="s">
        <v>1218</v>
      </c>
      <c r="D174" s="552" t="s">
        <v>1219</v>
      </c>
      <c r="E174" s="553"/>
      <c r="F174" s="553"/>
      <c r="G174" s="554"/>
      <c r="H174" s="826">
        <f>H173+H171+H168</f>
        <v>20873520</v>
      </c>
      <c r="I174" s="827"/>
    </row>
    <row r="175" spans="3:9" ht="21" customHeight="1">
      <c r="C175" s="566" t="s">
        <v>1220</v>
      </c>
      <c r="D175" s="552" t="s">
        <v>1321</v>
      </c>
      <c r="E175" s="553"/>
      <c r="F175" s="554"/>
      <c r="G175" s="555">
        <f>$M$8</f>
        <v>0.1</v>
      </c>
      <c r="H175" s="539">
        <f>H174*G175</f>
        <v>2087352</v>
      </c>
      <c r="I175" s="827"/>
    </row>
    <row r="176" spans="3:9" ht="21" customHeight="1">
      <c r="C176" s="566" t="s">
        <v>1221</v>
      </c>
      <c r="D176" s="552" t="s">
        <v>1222</v>
      </c>
      <c r="E176" s="553"/>
      <c r="F176" s="553"/>
      <c r="G176" s="554"/>
      <c r="H176" s="828">
        <f>SUM(H174:H175)</f>
        <v>22960872</v>
      </c>
      <c r="I176" s="827"/>
    </row>
    <row r="177" spans="3:9" ht="21" customHeight="1"/>
    <row r="178" spans="3:9" ht="21" customHeight="1">
      <c r="C178" s="571" t="s">
        <v>8089</v>
      </c>
      <c r="D178" s="571" t="s">
        <v>4398</v>
      </c>
    </row>
    <row r="179" spans="3:9" ht="21" customHeight="1">
      <c r="C179" s="530" t="s">
        <v>8090</v>
      </c>
      <c r="D179" s="817" t="s">
        <v>3800</v>
      </c>
      <c r="E179" s="803"/>
      <c r="F179" s="803"/>
      <c r="G179" s="803"/>
      <c r="H179" s="803"/>
      <c r="I179" s="533">
        <f>ROUNDDOWN(H202,-2)</f>
        <v>1029300</v>
      </c>
    </row>
    <row r="180" spans="3:9" ht="21" customHeight="1">
      <c r="C180" s="716" t="s">
        <v>1195</v>
      </c>
      <c r="D180" s="716" t="s">
        <v>1196</v>
      </c>
      <c r="E180" s="716" t="s">
        <v>1197</v>
      </c>
      <c r="F180" s="716" t="s">
        <v>1198</v>
      </c>
      <c r="G180" s="716" t="s">
        <v>1199</v>
      </c>
      <c r="H180" s="716" t="s">
        <v>1200</v>
      </c>
    </row>
    <row r="181" spans="3:9" ht="21" customHeight="1">
      <c r="C181" s="212" t="s">
        <v>1201</v>
      </c>
      <c r="D181" s="212" t="s">
        <v>1202</v>
      </c>
      <c r="E181" s="534"/>
      <c r="F181" s="534"/>
      <c r="G181" s="534"/>
      <c r="H181" s="534"/>
    </row>
    <row r="182" spans="3:9" ht="21" customHeight="1">
      <c r="C182" s="825">
        <v>1</v>
      </c>
      <c r="D182" s="212" t="s">
        <v>5</v>
      </c>
      <c r="E182" s="213" t="s">
        <v>6</v>
      </c>
      <c r="F182" s="829">
        <v>0.121</v>
      </c>
      <c r="G182" s="539">
        <f>VLOOKUP(D182,upahbahan,3,FALSE)</f>
        <v>100000</v>
      </c>
      <c r="H182" s="539">
        <f t="shared" ref="H182:H185" si="19">F182*G182</f>
        <v>12100</v>
      </c>
    </row>
    <row r="183" spans="3:9" ht="21" customHeight="1">
      <c r="C183" s="825">
        <v>2</v>
      </c>
      <c r="D183" s="212" t="s">
        <v>7</v>
      </c>
      <c r="E183" s="213" t="s">
        <v>6</v>
      </c>
      <c r="F183" s="829">
        <v>0.20300000000000001</v>
      </c>
      <c r="G183" s="539">
        <f>VLOOKUP(D183,upahbahan,3,FALSE)</f>
        <v>135000</v>
      </c>
      <c r="H183" s="539">
        <f t="shared" si="19"/>
        <v>27405.000000000004</v>
      </c>
    </row>
    <row r="184" spans="3:9" ht="21" customHeight="1">
      <c r="C184" s="825">
        <v>3</v>
      </c>
      <c r="D184" s="212" t="s">
        <v>18</v>
      </c>
      <c r="E184" s="213" t="s">
        <v>6</v>
      </c>
      <c r="F184" s="829">
        <v>0.02</v>
      </c>
      <c r="G184" s="539">
        <f>VLOOKUP(D184,upahbahan,3,FALSE)</f>
        <v>150000</v>
      </c>
      <c r="H184" s="539">
        <f t="shared" si="19"/>
        <v>3000</v>
      </c>
    </row>
    <row r="185" spans="3:9" ht="21" customHeight="1">
      <c r="C185" s="825">
        <v>4</v>
      </c>
      <c r="D185" s="212" t="s">
        <v>19</v>
      </c>
      <c r="E185" s="213" t="s">
        <v>6</v>
      </c>
      <c r="F185" s="829">
        <v>6.0000000000000001E-3</v>
      </c>
      <c r="G185" s="539">
        <f>VLOOKUP(D185,upahbahan,3,FALSE)</f>
        <v>160000</v>
      </c>
      <c r="H185" s="539">
        <f t="shared" si="19"/>
        <v>960</v>
      </c>
    </row>
    <row r="186" spans="3:9" ht="21" customHeight="1">
      <c r="C186" s="702" t="s">
        <v>1208</v>
      </c>
      <c r="D186" s="208"/>
      <c r="E186" s="208"/>
      <c r="F186" s="521"/>
      <c r="G186" s="522"/>
      <c r="H186" s="539">
        <f>SUM(H182:H185)</f>
        <v>43465</v>
      </c>
      <c r="I186" s="819"/>
    </row>
    <row r="187" spans="3:9" ht="21" customHeight="1">
      <c r="C187" s="213" t="s">
        <v>1209</v>
      </c>
      <c r="D187" s="212" t="s">
        <v>1210</v>
      </c>
      <c r="E187" s="534"/>
      <c r="F187" s="534"/>
      <c r="G187" s="534"/>
      <c r="H187" s="534"/>
    </row>
    <row r="188" spans="3:9" ht="21" customHeight="1">
      <c r="C188" s="213">
        <v>1</v>
      </c>
      <c r="D188" s="212" t="s">
        <v>3804</v>
      </c>
      <c r="E188" s="534" t="s">
        <v>2676</v>
      </c>
      <c r="F188" s="866">
        <v>2</v>
      </c>
      <c r="G188" s="539">
        <f>VLOOKUP(D188,upahbahan,3,FALSE)</f>
        <v>45000</v>
      </c>
      <c r="H188" s="539">
        <f>F188*G188</f>
        <v>90000</v>
      </c>
    </row>
    <row r="189" spans="3:9" ht="21" customHeight="1">
      <c r="C189" s="213">
        <v>2</v>
      </c>
      <c r="D189" s="212" t="s">
        <v>3805</v>
      </c>
      <c r="E189" s="534" t="s">
        <v>2167</v>
      </c>
      <c r="F189" s="866">
        <v>2</v>
      </c>
      <c r="G189" s="539">
        <f>VLOOKUP(D189,upahbahan,3,FALSE)</f>
        <v>255400</v>
      </c>
      <c r="H189" s="539">
        <f t="shared" ref="H189:H196" si="20">F189*G189</f>
        <v>510800</v>
      </c>
    </row>
    <row r="190" spans="3:9" ht="21" customHeight="1">
      <c r="C190" s="213">
        <v>3</v>
      </c>
      <c r="D190" s="212" t="s">
        <v>2552</v>
      </c>
      <c r="E190" s="534" t="s">
        <v>2426</v>
      </c>
      <c r="F190" s="866">
        <v>9</v>
      </c>
      <c r="G190" s="539">
        <f>VLOOKUP(D190,upahbahan,3,FALSE)</f>
        <v>10800</v>
      </c>
      <c r="H190" s="539">
        <f t="shared" si="20"/>
        <v>97200</v>
      </c>
    </row>
    <row r="191" spans="3:9" ht="21" customHeight="1">
      <c r="C191" s="213">
        <v>4</v>
      </c>
      <c r="D191" s="212" t="s">
        <v>2553</v>
      </c>
      <c r="E191" s="534" t="s">
        <v>42</v>
      </c>
      <c r="F191" s="878">
        <v>0.502</v>
      </c>
      <c r="G191" s="539">
        <f>VLOOKUP(D191,upahbahan,3,FALSE)</f>
        <v>292500</v>
      </c>
      <c r="H191" s="539">
        <f t="shared" si="20"/>
        <v>146835</v>
      </c>
    </row>
    <row r="192" spans="3:9" ht="21" customHeight="1">
      <c r="C192" s="213">
        <v>5</v>
      </c>
      <c r="D192" s="212" t="s">
        <v>3801</v>
      </c>
      <c r="E192" s="534"/>
      <c r="F192" s="878"/>
      <c r="G192" s="539"/>
      <c r="H192" s="539"/>
    </row>
    <row r="193" spans="3:9" ht="21" customHeight="1">
      <c r="C193" s="213">
        <v>6</v>
      </c>
      <c r="D193" s="212" t="s">
        <v>3802</v>
      </c>
      <c r="E193" s="534" t="s">
        <v>42</v>
      </c>
      <c r="F193" s="878">
        <v>0.05</v>
      </c>
      <c r="G193" s="539">
        <f>VLOOKUP(D193,upahbahan,3,FALSE)</f>
        <v>0</v>
      </c>
      <c r="H193" s="539">
        <f t="shared" si="20"/>
        <v>0</v>
      </c>
    </row>
    <row r="194" spans="3:9" ht="21" customHeight="1">
      <c r="C194" s="213">
        <v>7</v>
      </c>
      <c r="D194" s="212" t="s">
        <v>3803</v>
      </c>
      <c r="E194" s="534" t="s">
        <v>2426</v>
      </c>
      <c r="F194" s="878">
        <v>5.024</v>
      </c>
      <c r="G194" s="539">
        <f>VLOOKUP(D194,upahbahan,3,FALSE)</f>
        <v>0</v>
      </c>
      <c r="H194" s="539">
        <f t="shared" si="20"/>
        <v>0</v>
      </c>
    </row>
    <row r="195" spans="3:9" ht="21" customHeight="1">
      <c r="C195" s="213">
        <v>8</v>
      </c>
      <c r="D195" s="212" t="s">
        <v>1947</v>
      </c>
      <c r="E195" s="534" t="s">
        <v>62</v>
      </c>
      <c r="F195" s="878">
        <v>0.502</v>
      </c>
      <c r="G195" s="539">
        <f>VLOOKUP(D195,upahbahan,3,FALSE)</f>
        <v>0</v>
      </c>
      <c r="H195" s="539">
        <f t="shared" si="20"/>
        <v>0</v>
      </c>
    </row>
    <row r="196" spans="3:9" ht="21" customHeight="1">
      <c r="C196" s="213">
        <v>9</v>
      </c>
      <c r="D196" s="212" t="s">
        <v>175</v>
      </c>
      <c r="E196" s="534" t="s">
        <v>113</v>
      </c>
      <c r="F196" s="878">
        <v>1.2</v>
      </c>
      <c r="G196" s="539">
        <f>VLOOKUP(D196,upahbahan,3,FALSE)</f>
        <v>39575</v>
      </c>
      <c r="H196" s="539">
        <f t="shared" si="20"/>
        <v>47490</v>
      </c>
    </row>
    <row r="197" spans="3:9" ht="21" customHeight="1">
      <c r="C197" s="702" t="s">
        <v>1214</v>
      </c>
      <c r="D197" s="208"/>
      <c r="E197" s="208"/>
      <c r="F197" s="208"/>
      <c r="G197" s="209"/>
      <c r="H197" s="539">
        <f>SUM(H188:H196)</f>
        <v>892325</v>
      </c>
    </row>
    <row r="198" spans="3:9" ht="21" customHeight="1">
      <c r="C198" s="213" t="s">
        <v>1215</v>
      </c>
      <c r="D198" s="212" t="s">
        <v>1216</v>
      </c>
      <c r="E198" s="534"/>
      <c r="F198" s="534"/>
      <c r="G198" s="534"/>
      <c r="H198" s="534"/>
    </row>
    <row r="199" spans="3:9" ht="21" customHeight="1">
      <c r="C199" s="702" t="s">
        <v>1217</v>
      </c>
      <c r="D199" s="208"/>
      <c r="E199" s="208"/>
      <c r="F199" s="208"/>
      <c r="G199" s="209"/>
      <c r="H199" s="821">
        <v>0</v>
      </c>
    </row>
    <row r="200" spans="3:9" ht="21" customHeight="1">
      <c r="C200" s="566" t="s">
        <v>1218</v>
      </c>
      <c r="D200" s="552" t="s">
        <v>1219</v>
      </c>
      <c r="E200" s="553"/>
      <c r="F200" s="553"/>
      <c r="G200" s="554"/>
      <c r="H200" s="826">
        <f>H199+H197+H186</f>
        <v>935790</v>
      </c>
      <c r="I200" s="827"/>
    </row>
    <row r="201" spans="3:9" ht="21" customHeight="1">
      <c r="C201" s="566" t="s">
        <v>1220</v>
      </c>
      <c r="D201" s="552" t="s">
        <v>1321</v>
      </c>
      <c r="E201" s="553"/>
      <c r="F201" s="554"/>
      <c r="G201" s="555">
        <f>$M$8</f>
        <v>0.1</v>
      </c>
      <c r="H201" s="539">
        <f>H200*G201</f>
        <v>93579</v>
      </c>
      <c r="I201" s="827"/>
    </row>
    <row r="202" spans="3:9" ht="21" customHeight="1">
      <c r="C202" s="566" t="s">
        <v>1221</v>
      </c>
      <c r="D202" s="552" t="s">
        <v>1222</v>
      </c>
      <c r="E202" s="553"/>
      <c r="F202" s="553"/>
      <c r="G202" s="554"/>
      <c r="H202" s="828">
        <f>SUM(H200:H201)</f>
        <v>1029369</v>
      </c>
      <c r="I202" s="827"/>
    </row>
    <row r="203" spans="3:9" ht="21" customHeight="1">
      <c r="C203" s="572"/>
      <c r="D203" s="575"/>
      <c r="E203" s="575"/>
      <c r="F203" s="575"/>
      <c r="G203" s="575"/>
      <c r="H203" s="830"/>
    </row>
    <row r="204" spans="3:9" ht="21" customHeight="1">
      <c r="C204" s="530" t="s">
        <v>3807</v>
      </c>
      <c r="D204" s="817" t="s">
        <v>3808</v>
      </c>
      <c r="E204" s="803"/>
      <c r="F204" s="803"/>
      <c r="G204" s="803"/>
      <c r="H204" s="803"/>
      <c r="I204" s="533">
        <f>ROUNDDOWN(H224,-2)</f>
        <v>924200</v>
      </c>
    </row>
    <row r="205" spans="3:9" ht="21" customHeight="1">
      <c r="C205" s="716" t="s">
        <v>1195</v>
      </c>
      <c r="D205" s="716" t="s">
        <v>1196</v>
      </c>
      <c r="E205" s="716" t="s">
        <v>1197</v>
      </c>
      <c r="F205" s="716" t="s">
        <v>1198</v>
      </c>
      <c r="G205" s="716" t="s">
        <v>1199</v>
      </c>
      <c r="H205" s="716" t="s">
        <v>1200</v>
      </c>
    </row>
    <row r="206" spans="3:9" ht="21" customHeight="1">
      <c r="C206" s="212" t="s">
        <v>1201</v>
      </c>
      <c r="D206" s="212" t="s">
        <v>1202</v>
      </c>
      <c r="E206" s="534"/>
      <c r="F206" s="534"/>
      <c r="G206" s="534"/>
      <c r="H206" s="534"/>
    </row>
    <row r="207" spans="3:9" ht="21" customHeight="1">
      <c r="C207" s="825">
        <v>1</v>
      </c>
      <c r="D207" s="212" t="s">
        <v>5</v>
      </c>
      <c r="E207" s="213" t="s">
        <v>6</v>
      </c>
      <c r="F207" s="829">
        <v>0.121</v>
      </c>
      <c r="G207" s="539">
        <f>VLOOKUP(D207,upahbahan,3,FALSE)</f>
        <v>100000</v>
      </c>
      <c r="H207" s="539">
        <f t="shared" ref="H207:H210" si="21">F207*G207</f>
        <v>12100</v>
      </c>
    </row>
    <row r="208" spans="3:9" ht="21" customHeight="1">
      <c r="C208" s="825">
        <v>2</v>
      </c>
      <c r="D208" s="212" t="s">
        <v>7</v>
      </c>
      <c r="E208" s="213" t="s">
        <v>6</v>
      </c>
      <c r="F208" s="829">
        <v>0.20300000000000001</v>
      </c>
      <c r="G208" s="539">
        <f>VLOOKUP(D208,upahbahan,3,FALSE)</f>
        <v>135000</v>
      </c>
      <c r="H208" s="539">
        <f t="shared" si="21"/>
        <v>27405.000000000004</v>
      </c>
    </row>
    <row r="209" spans="3:9" ht="21" customHeight="1">
      <c r="C209" s="825">
        <v>3</v>
      </c>
      <c r="D209" s="212" t="s">
        <v>18</v>
      </c>
      <c r="E209" s="213" t="s">
        <v>6</v>
      </c>
      <c r="F209" s="829">
        <v>0.02</v>
      </c>
      <c r="G209" s="539">
        <f>VLOOKUP(D209,upahbahan,3,FALSE)</f>
        <v>150000</v>
      </c>
      <c r="H209" s="539">
        <f t="shared" si="21"/>
        <v>3000</v>
      </c>
    </row>
    <row r="210" spans="3:9" ht="21" customHeight="1">
      <c r="C210" s="825">
        <v>4</v>
      </c>
      <c r="D210" s="212" t="s">
        <v>19</v>
      </c>
      <c r="E210" s="213" t="s">
        <v>6</v>
      </c>
      <c r="F210" s="829">
        <v>6.0000000000000001E-3</v>
      </c>
      <c r="G210" s="539">
        <f>VLOOKUP(D210,upahbahan,3,FALSE)</f>
        <v>160000</v>
      </c>
      <c r="H210" s="539">
        <f t="shared" si="21"/>
        <v>960</v>
      </c>
    </row>
    <row r="211" spans="3:9" ht="21" customHeight="1">
      <c r="C211" s="702" t="s">
        <v>1208</v>
      </c>
      <c r="D211" s="208"/>
      <c r="E211" s="208"/>
      <c r="F211" s="521"/>
      <c r="G211" s="522"/>
      <c r="H211" s="539">
        <f>SUM(H207:H210)</f>
        <v>43465</v>
      </c>
      <c r="I211" s="819"/>
    </row>
    <row r="212" spans="3:9" ht="21" customHeight="1">
      <c r="C212" s="213" t="s">
        <v>1209</v>
      </c>
      <c r="D212" s="212" t="s">
        <v>1210</v>
      </c>
      <c r="E212" s="534"/>
      <c r="F212" s="534"/>
      <c r="G212" s="534"/>
      <c r="H212" s="534"/>
    </row>
    <row r="213" spans="3:9" ht="21" customHeight="1">
      <c r="C213" s="213">
        <v>1</v>
      </c>
      <c r="D213" s="212" t="s">
        <v>3804</v>
      </c>
      <c r="E213" s="234" t="s">
        <v>2676</v>
      </c>
      <c r="F213" s="866">
        <v>2</v>
      </c>
      <c r="G213" s="539">
        <f t="shared" ref="G213:G218" si="22">VLOOKUP(D213,upahbahan,3,FALSE)</f>
        <v>45000</v>
      </c>
      <c r="H213" s="539">
        <f>F213*G213</f>
        <v>90000</v>
      </c>
    </row>
    <row r="214" spans="3:9" ht="21" customHeight="1">
      <c r="C214" s="213">
        <v>2</v>
      </c>
      <c r="D214" s="212" t="s">
        <v>8091</v>
      </c>
      <c r="E214" s="234" t="s">
        <v>62</v>
      </c>
      <c r="F214" s="866">
        <v>2.5000000000000001E-2</v>
      </c>
      <c r="G214" s="539">
        <f t="shared" si="22"/>
        <v>65000</v>
      </c>
      <c r="H214" s="539">
        <f t="shared" ref="H214:H215" si="23">F214*G214</f>
        <v>1625</v>
      </c>
    </row>
    <row r="215" spans="3:9" ht="21" customHeight="1">
      <c r="C215" s="213">
        <v>3</v>
      </c>
      <c r="D215" s="212" t="s">
        <v>3805</v>
      </c>
      <c r="E215" s="234" t="s">
        <v>2167</v>
      </c>
      <c r="F215" s="866">
        <v>2</v>
      </c>
      <c r="G215" s="539">
        <f t="shared" si="22"/>
        <v>255400</v>
      </c>
      <c r="H215" s="539">
        <f t="shared" si="23"/>
        <v>510800</v>
      </c>
    </row>
    <row r="216" spans="3:9" ht="21" customHeight="1">
      <c r="C216" s="213">
        <v>4</v>
      </c>
      <c r="D216" s="212" t="s">
        <v>991</v>
      </c>
      <c r="E216" s="234" t="s">
        <v>2426</v>
      </c>
      <c r="F216" s="866">
        <v>9</v>
      </c>
      <c r="G216" s="539">
        <f t="shared" si="22"/>
        <v>0</v>
      </c>
      <c r="H216" s="539">
        <f t="shared" ref="H216:H217" si="24">F216*G216</f>
        <v>0</v>
      </c>
    </row>
    <row r="217" spans="3:9" ht="21" customHeight="1">
      <c r="C217" s="213">
        <v>5</v>
      </c>
      <c r="D217" s="212" t="s">
        <v>2553</v>
      </c>
      <c r="E217" s="234" t="s">
        <v>42</v>
      </c>
      <c r="F217" s="878">
        <v>0.502</v>
      </c>
      <c r="G217" s="539">
        <f t="shared" si="22"/>
        <v>292500</v>
      </c>
      <c r="H217" s="539">
        <f t="shared" si="24"/>
        <v>146835</v>
      </c>
    </row>
    <row r="218" spans="3:9" ht="21" customHeight="1">
      <c r="C218" s="213">
        <v>6</v>
      </c>
      <c r="D218" s="212" t="s">
        <v>175</v>
      </c>
      <c r="E218" s="234" t="s">
        <v>113</v>
      </c>
      <c r="F218" s="878">
        <v>1.2</v>
      </c>
      <c r="G218" s="539">
        <f t="shared" si="22"/>
        <v>39575</v>
      </c>
      <c r="H218" s="539">
        <f t="shared" ref="H218" si="25">F218*G218</f>
        <v>47490</v>
      </c>
    </row>
    <row r="219" spans="3:9" ht="21" customHeight="1">
      <c r="C219" s="702" t="s">
        <v>1214</v>
      </c>
      <c r="D219" s="208"/>
      <c r="E219" s="208"/>
      <c r="F219" s="208"/>
      <c r="G219" s="209"/>
      <c r="H219" s="539">
        <f>SUM(H213:H218)</f>
        <v>796750</v>
      </c>
    </row>
    <row r="220" spans="3:9" ht="21" customHeight="1">
      <c r="C220" s="213" t="s">
        <v>1215</v>
      </c>
      <c r="D220" s="212" t="s">
        <v>1216</v>
      </c>
      <c r="E220" s="534"/>
      <c r="F220" s="534"/>
      <c r="G220" s="534"/>
      <c r="H220" s="534"/>
    </row>
    <row r="221" spans="3:9" ht="21" customHeight="1">
      <c r="C221" s="702" t="s">
        <v>1217</v>
      </c>
      <c r="D221" s="208"/>
      <c r="E221" s="208"/>
      <c r="F221" s="208"/>
      <c r="G221" s="209"/>
      <c r="H221" s="821">
        <v>0</v>
      </c>
    </row>
    <row r="222" spans="3:9" ht="21" customHeight="1">
      <c r="C222" s="566" t="s">
        <v>1218</v>
      </c>
      <c r="D222" s="552" t="s">
        <v>1219</v>
      </c>
      <c r="E222" s="553"/>
      <c r="F222" s="553"/>
      <c r="G222" s="554"/>
      <c r="H222" s="826">
        <f>H221+H219+H211</f>
        <v>840215</v>
      </c>
      <c r="I222" s="827"/>
    </row>
    <row r="223" spans="3:9" ht="21" customHeight="1">
      <c r="C223" s="566" t="s">
        <v>1220</v>
      </c>
      <c r="D223" s="552" t="s">
        <v>1321</v>
      </c>
      <c r="E223" s="553"/>
      <c r="F223" s="554"/>
      <c r="G223" s="555">
        <f>$M$8</f>
        <v>0.1</v>
      </c>
      <c r="H223" s="539">
        <f>H222*G223</f>
        <v>84021.5</v>
      </c>
      <c r="I223" s="827"/>
    </row>
    <row r="224" spans="3:9" ht="21" customHeight="1">
      <c r="C224" s="566" t="s">
        <v>1221</v>
      </c>
      <c r="D224" s="552" t="s">
        <v>1222</v>
      </c>
      <c r="E224" s="553"/>
      <c r="F224" s="553"/>
      <c r="G224" s="554"/>
      <c r="H224" s="828">
        <f>SUM(H222:H223)</f>
        <v>924236.5</v>
      </c>
      <c r="I224" s="827"/>
    </row>
  </sheetData>
  <mergeCells count="1">
    <mergeCell ref="D21:H21"/>
  </mergeCells>
  <dataValidations count="1">
    <dataValidation type="list" allowBlank="1" showInputMessage="1" showErrorMessage="1" sqref="D8:D11" xr:uid="{00000000-0002-0000-1F00-000000000000}">
      <formula1>TENAGA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C1:O69"/>
  <sheetViews>
    <sheetView zoomScale="82" zoomScaleNormal="82" workbookViewId="0">
      <selection activeCell="D1168" sqref="D1168"/>
    </sheetView>
  </sheetViews>
  <sheetFormatPr defaultColWidth="8.88671875" defaultRowHeight="14.4"/>
  <cols>
    <col min="1" max="2" width="5.44140625" style="517" customWidth="1"/>
    <col min="3" max="3" width="7.44140625" style="200" customWidth="1"/>
    <col min="4" max="4" width="36.5546875" style="200" customWidth="1"/>
    <col min="5" max="5" width="9.33203125" style="200" customWidth="1"/>
    <col min="6" max="6" width="10.5546875" style="200" customWidth="1"/>
    <col min="7" max="7" width="19.88671875" style="200" customWidth="1"/>
    <col min="8" max="8" width="21.33203125" style="200" customWidth="1"/>
    <col min="9" max="11" width="16.6640625" style="199" customWidth="1"/>
    <col min="12" max="13" width="8.88671875" style="517"/>
    <col min="14" max="14" width="11.33203125" style="517" customWidth="1"/>
    <col min="15" max="16384" width="8.88671875" style="517"/>
  </cols>
  <sheetData>
    <row r="1" spans="3:15" ht="10.95" customHeight="1"/>
    <row r="2" spans="3:15" ht="10.95" customHeight="1"/>
    <row r="3" spans="3:15" ht="21.6" customHeight="1">
      <c r="C3" s="528" t="s">
        <v>3819</v>
      </c>
      <c r="D3" s="529" t="s">
        <v>6446</v>
      </c>
      <c r="E3" s="801"/>
      <c r="F3" s="801"/>
      <c r="G3" s="801"/>
      <c r="H3" s="801"/>
    </row>
    <row r="4" spans="3:15" ht="21.6" customHeight="1">
      <c r="C4" s="512" t="s">
        <v>3775</v>
      </c>
      <c r="D4" s="817" t="s">
        <v>1624</v>
      </c>
      <c r="E4" s="803"/>
      <c r="F4" s="803"/>
      <c r="G4" s="803"/>
      <c r="H4" s="803"/>
      <c r="I4" s="189">
        <f>ROUNDDOWN(H24,-2)</f>
        <v>553000</v>
      </c>
      <c r="J4" s="189"/>
      <c r="K4" s="189"/>
    </row>
    <row r="5" spans="3:15" ht="21.6" customHeight="1">
      <c r="C5" s="716" t="s">
        <v>1195</v>
      </c>
      <c r="D5" s="716" t="s">
        <v>1196</v>
      </c>
      <c r="E5" s="716" t="s">
        <v>1197</v>
      </c>
      <c r="F5" s="716" t="s">
        <v>1198</v>
      </c>
      <c r="G5" s="716" t="s">
        <v>1199</v>
      </c>
      <c r="H5" s="716" t="s">
        <v>1200</v>
      </c>
    </row>
    <row r="6" spans="3:15" ht="21.6" customHeight="1">
      <c r="C6" s="202" t="s">
        <v>1201</v>
      </c>
      <c r="D6" s="196" t="s">
        <v>1202</v>
      </c>
      <c r="E6" s="197"/>
      <c r="F6" s="197"/>
      <c r="G6" s="197"/>
      <c r="H6" s="197"/>
      <c r="L6" s="515" t="s">
        <v>1247</v>
      </c>
    </row>
    <row r="7" spans="3:15" ht="21.6" customHeight="1">
      <c r="C7" s="700">
        <v>1</v>
      </c>
      <c r="D7" s="196" t="s">
        <v>5</v>
      </c>
      <c r="E7" s="202" t="s">
        <v>6</v>
      </c>
      <c r="F7" s="705">
        <v>2.16</v>
      </c>
      <c r="G7" s="205">
        <f>VLOOKUP(D7,upahbahan,3,FALSE)</f>
        <v>100000</v>
      </c>
      <c r="H7" s="205">
        <f t="shared" ref="H7:H10" si="0">F7*G7</f>
        <v>216000</v>
      </c>
      <c r="L7" s="515" t="s">
        <v>1248</v>
      </c>
      <c r="O7" s="541">
        <v>0.1</v>
      </c>
    </row>
    <row r="8" spans="3:15" ht="21.6" customHeight="1">
      <c r="C8" s="700">
        <v>2</v>
      </c>
      <c r="D8" s="196" t="s">
        <v>7</v>
      </c>
      <c r="E8" s="202" t="s">
        <v>6</v>
      </c>
      <c r="F8" s="705">
        <v>0.72</v>
      </c>
      <c r="G8" s="205">
        <f>VLOOKUP(D8,upahbahan,3,FALSE)</f>
        <v>135000</v>
      </c>
      <c r="H8" s="205">
        <f t="shared" si="0"/>
        <v>97200</v>
      </c>
    </row>
    <row r="9" spans="3:15" ht="21.6" customHeight="1">
      <c r="C9" s="700">
        <v>3</v>
      </c>
      <c r="D9" s="196" t="s">
        <v>18</v>
      </c>
      <c r="E9" s="202" t="s">
        <v>6</v>
      </c>
      <c r="F9" s="705">
        <v>7.1999999999999995E-2</v>
      </c>
      <c r="G9" s="205">
        <f>VLOOKUP(D9,upahbahan,3,FALSE)</f>
        <v>150000</v>
      </c>
      <c r="H9" s="205">
        <f t="shared" si="0"/>
        <v>10800</v>
      </c>
    </row>
    <row r="10" spans="3:15" ht="21.6" customHeight="1">
      <c r="C10" s="700">
        <v>4</v>
      </c>
      <c r="D10" s="196" t="s">
        <v>19</v>
      </c>
      <c r="E10" s="202" t="s">
        <v>6</v>
      </c>
      <c r="F10" s="705">
        <v>1.0999999999999999E-2</v>
      </c>
      <c r="G10" s="205">
        <f>VLOOKUP(D10,upahbahan,3,FALSE)</f>
        <v>160000</v>
      </c>
      <c r="H10" s="205">
        <f t="shared" si="0"/>
        <v>1760</v>
      </c>
    </row>
    <row r="11" spans="3:15" ht="21.6" customHeight="1">
      <c r="C11" s="702" t="s">
        <v>1208</v>
      </c>
      <c r="D11" s="208"/>
      <c r="E11" s="208"/>
      <c r="F11" s="521"/>
      <c r="G11" s="522"/>
      <c r="H11" s="205">
        <f>SUM(H7:H10)</f>
        <v>325760</v>
      </c>
      <c r="I11" s="804"/>
      <c r="J11" s="804"/>
      <c r="K11" s="804"/>
    </row>
    <row r="12" spans="3:15" ht="21.6" customHeight="1">
      <c r="C12" s="202" t="s">
        <v>1209</v>
      </c>
      <c r="D12" s="196" t="s">
        <v>1210</v>
      </c>
      <c r="E12" s="197"/>
      <c r="F12" s="197"/>
      <c r="G12" s="197"/>
      <c r="H12" s="197"/>
    </row>
    <row r="13" spans="3:15" ht="21.6" customHeight="1">
      <c r="C13" s="813" t="s">
        <v>1203</v>
      </c>
      <c r="D13" s="196" t="s">
        <v>43</v>
      </c>
      <c r="E13" s="202" t="s">
        <v>44</v>
      </c>
      <c r="F13" s="812">
        <v>40</v>
      </c>
      <c r="G13" s="205">
        <f t="shared" ref="G13:G18" si="1">VLOOKUP(D13,upahbahan,3,FALSE)</f>
        <v>700</v>
      </c>
      <c r="H13" s="205">
        <f t="shared" ref="H13:H18" si="2">F13*G13</f>
        <v>28000</v>
      </c>
    </row>
    <row r="14" spans="3:15" ht="21.6" customHeight="1">
      <c r="C14" s="813" t="s">
        <v>1204</v>
      </c>
      <c r="D14" s="196" t="s">
        <v>2332</v>
      </c>
      <c r="E14" s="202" t="s">
        <v>65</v>
      </c>
      <c r="F14" s="812">
        <v>44</v>
      </c>
      <c r="G14" s="205">
        <f t="shared" si="1"/>
        <v>1530</v>
      </c>
      <c r="H14" s="205">
        <f t="shared" si="2"/>
        <v>67320</v>
      </c>
    </row>
    <row r="15" spans="3:15" ht="21.6" customHeight="1">
      <c r="C15" s="813" t="s">
        <v>1205</v>
      </c>
      <c r="D15" s="703" t="s">
        <v>85</v>
      </c>
      <c r="E15" s="202" t="s">
        <v>42</v>
      </c>
      <c r="F15" s="812">
        <v>7.0000000000000007E-2</v>
      </c>
      <c r="G15" s="205">
        <f t="shared" si="1"/>
        <v>310500</v>
      </c>
      <c r="H15" s="205">
        <f t="shared" si="2"/>
        <v>21735.000000000004</v>
      </c>
    </row>
    <row r="16" spans="3:15" ht="21.6" customHeight="1">
      <c r="C16" s="813" t="s">
        <v>1206</v>
      </c>
      <c r="D16" s="196" t="s">
        <v>82</v>
      </c>
      <c r="E16" s="202" t="s">
        <v>42</v>
      </c>
      <c r="F16" s="812">
        <v>0.06</v>
      </c>
      <c r="G16" s="205">
        <f t="shared" si="1"/>
        <v>310500</v>
      </c>
      <c r="H16" s="205">
        <f t="shared" si="2"/>
        <v>18630</v>
      </c>
    </row>
    <row r="17" spans="3:11" ht="21.6" customHeight="1">
      <c r="C17" s="813" t="s">
        <v>1207</v>
      </c>
      <c r="D17" s="196" t="s">
        <v>71</v>
      </c>
      <c r="E17" s="202" t="s">
        <v>42</v>
      </c>
      <c r="F17" s="812">
        <v>7.0000000000000007E-2</v>
      </c>
      <c r="G17" s="205">
        <f t="shared" si="1"/>
        <v>292500</v>
      </c>
      <c r="H17" s="205">
        <f t="shared" si="2"/>
        <v>20475.000000000004</v>
      </c>
    </row>
    <row r="18" spans="3:11" ht="21.6" customHeight="1">
      <c r="C18" s="813" t="s">
        <v>1211</v>
      </c>
      <c r="D18" s="196" t="s">
        <v>232</v>
      </c>
      <c r="E18" s="202" t="s">
        <v>65</v>
      </c>
      <c r="F18" s="812">
        <v>1.6</v>
      </c>
      <c r="G18" s="205">
        <f t="shared" si="1"/>
        <v>13050</v>
      </c>
      <c r="H18" s="205">
        <f t="shared" si="2"/>
        <v>20880</v>
      </c>
    </row>
    <row r="19" spans="3:11" ht="21.6" customHeight="1">
      <c r="C19" s="702" t="s">
        <v>1214</v>
      </c>
      <c r="D19" s="208"/>
      <c r="E19" s="208"/>
      <c r="F19" s="208"/>
      <c r="G19" s="209"/>
      <c r="H19" s="205">
        <f>SUM(H13:H18)</f>
        <v>177040</v>
      </c>
    </row>
    <row r="20" spans="3:11" ht="21.6" customHeight="1">
      <c r="C20" s="202" t="s">
        <v>1215</v>
      </c>
      <c r="D20" s="196" t="s">
        <v>1216</v>
      </c>
      <c r="E20" s="197"/>
      <c r="F20" s="197"/>
      <c r="G20" s="197"/>
      <c r="H20" s="197"/>
    </row>
    <row r="21" spans="3:11" ht="21.6" customHeight="1">
      <c r="C21" s="702" t="s">
        <v>1217</v>
      </c>
      <c r="D21" s="208"/>
      <c r="E21" s="208"/>
      <c r="F21" s="208"/>
      <c r="G21" s="209"/>
      <c r="H21" s="706">
        <v>0</v>
      </c>
    </row>
    <row r="22" spans="3:11" ht="21.6" customHeight="1">
      <c r="C22" s="707" t="s">
        <v>1218</v>
      </c>
      <c r="D22" s="224" t="s">
        <v>1219</v>
      </c>
      <c r="E22" s="225"/>
      <c r="F22" s="225"/>
      <c r="G22" s="226"/>
      <c r="H22" s="618">
        <f>H21+H19+H11</f>
        <v>502800</v>
      </c>
      <c r="I22" s="809"/>
    </row>
    <row r="23" spans="3:11" ht="21.6" customHeight="1">
      <c r="C23" s="707" t="s">
        <v>1220</v>
      </c>
      <c r="D23" s="224" t="s">
        <v>1321</v>
      </c>
      <c r="E23" s="225"/>
      <c r="F23" s="226"/>
      <c r="G23" s="228">
        <f>$O$7</f>
        <v>0.1</v>
      </c>
      <c r="H23" s="205">
        <f>H22*G23</f>
        <v>50280</v>
      </c>
      <c r="I23" s="809"/>
    </row>
    <row r="24" spans="3:11" ht="21.6" customHeight="1">
      <c r="C24" s="707" t="s">
        <v>1221</v>
      </c>
      <c r="D24" s="224" t="s">
        <v>1222</v>
      </c>
      <c r="E24" s="225"/>
      <c r="F24" s="225"/>
      <c r="G24" s="226"/>
      <c r="H24" s="810">
        <f>SUM(H22:H23)</f>
        <v>553080</v>
      </c>
      <c r="I24" s="809"/>
    </row>
    <row r="25" spans="3:11" ht="21.6" customHeight="1">
      <c r="C25" s="805"/>
      <c r="D25" s="689"/>
      <c r="E25" s="689"/>
      <c r="F25" s="689"/>
      <c r="G25" s="689"/>
      <c r="H25" s="806"/>
    </row>
    <row r="26" spans="3:11" ht="21.6" customHeight="1">
      <c r="C26" s="765" t="s">
        <v>3820</v>
      </c>
      <c r="D26" s="802" t="s">
        <v>1625</v>
      </c>
      <c r="E26" s="803"/>
      <c r="F26" s="803"/>
      <c r="G26" s="803"/>
      <c r="H26" s="803"/>
      <c r="I26" s="189">
        <f>ROUNDDOWN(H46,-2)</f>
        <v>829700</v>
      </c>
      <c r="J26" s="189"/>
      <c r="K26" s="189"/>
    </row>
    <row r="27" spans="3:11" ht="21.6" customHeight="1">
      <c r="C27" s="716" t="s">
        <v>1195</v>
      </c>
      <c r="D27" s="716" t="s">
        <v>1196</v>
      </c>
      <c r="E27" s="716" t="s">
        <v>1197</v>
      </c>
      <c r="F27" s="716" t="s">
        <v>1198</v>
      </c>
      <c r="G27" s="716" t="s">
        <v>1199</v>
      </c>
      <c r="H27" s="716" t="s">
        <v>1200</v>
      </c>
    </row>
    <row r="28" spans="3:11" ht="21.6" customHeight="1">
      <c r="C28" s="202" t="s">
        <v>1201</v>
      </c>
      <c r="D28" s="196" t="s">
        <v>1202</v>
      </c>
      <c r="E28" s="197"/>
      <c r="F28" s="197"/>
      <c r="G28" s="197"/>
      <c r="H28" s="197"/>
    </row>
    <row r="29" spans="3:11" ht="21.6" customHeight="1">
      <c r="C29" s="700">
        <v>1</v>
      </c>
      <c r="D29" s="196" t="s">
        <v>5</v>
      </c>
      <c r="E29" s="202" t="s">
        <v>6</v>
      </c>
      <c r="F29" s="705">
        <v>3.2</v>
      </c>
      <c r="G29" s="205">
        <f>VLOOKUP(D29,upahbahan,3,FALSE)</f>
        <v>100000</v>
      </c>
      <c r="H29" s="205">
        <f t="shared" ref="H29:H32" si="3">F29*G29</f>
        <v>320000</v>
      </c>
    </row>
    <row r="30" spans="3:11" ht="21.6" customHeight="1">
      <c r="C30" s="700">
        <v>2</v>
      </c>
      <c r="D30" s="196" t="s">
        <v>7</v>
      </c>
      <c r="E30" s="202" t="s">
        <v>6</v>
      </c>
      <c r="F30" s="705">
        <v>1.1499999999999999</v>
      </c>
      <c r="G30" s="205">
        <f>VLOOKUP(D30,upahbahan,3,FALSE)</f>
        <v>135000</v>
      </c>
      <c r="H30" s="205">
        <f t="shared" si="3"/>
        <v>155250</v>
      </c>
    </row>
    <row r="31" spans="3:11" ht="21.6" customHeight="1">
      <c r="C31" s="700">
        <v>3</v>
      </c>
      <c r="D31" s="196" t="s">
        <v>18</v>
      </c>
      <c r="E31" s="202" t="s">
        <v>6</v>
      </c>
      <c r="F31" s="705">
        <v>1.0999999999999999E-2</v>
      </c>
      <c r="G31" s="205">
        <f>VLOOKUP(D31,upahbahan,3,FALSE)</f>
        <v>150000</v>
      </c>
      <c r="H31" s="205">
        <f t="shared" si="3"/>
        <v>1650</v>
      </c>
    </row>
    <row r="32" spans="3:11" ht="21.6" customHeight="1">
      <c r="C32" s="700">
        <v>4</v>
      </c>
      <c r="D32" s="196" t="s">
        <v>19</v>
      </c>
      <c r="E32" s="202" t="s">
        <v>6</v>
      </c>
      <c r="F32" s="705">
        <v>1.6E-2</v>
      </c>
      <c r="G32" s="205">
        <f>VLOOKUP(D32,upahbahan,3,FALSE)</f>
        <v>160000</v>
      </c>
      <c r="H32" s="205">
        <f t="shared" si="3"/>
        <v>2560</v>
      </c>
    </row>
    <row r="33" spans="3:11" ht="21.6" customHeight="1">
      <c r="C33" s="702" t="s">
        <v>1208</v>
      </c>
      <c r="D33" s="208"/>
      <c r="E33" s="208"/>
      <c r="F33" s="521"/>
      <c r="G33" s="522"/>
      <c r="H33" s="205">
        <f>SUM(H29:H32)</f>
        <v>479460</v>
      </c>
      <c r="I33" s="804"/>
      <c r="J33" s="804"/>
      <c r="K33" s="804"/>
    </row>
    <row r="34" spans="3:11" ht="21.6" customHeight="1">
      <c r="C34" s="202" t="s">
        <v>1209</v>
      </c>
      <c r="D34" s="196" t="s">
        <v>1210</v>
      </c>
      <c r="E34" s="197"/>
      <c r="F34" s="197"/>
      <c r="G34" s="197"/>
      <c r="H34" s="197"/>
    </row>
    <row r="35" spans="3:11" ht="21.6" customHeight="1">
      <c r="C35" s="813" t="s">
        <v>1203</v>
      </c>
      <c r="D35" s="196" t="s">
        <v>43</v>
      </c>
      <c r="E35" s="202" t="s">
        <v>44</v>
      </c>
      <c r="F35" s="812">
        <v>70</v>
      </c>
      <c r="G35" s="205">
        <f t="shared" ref="G35:G40" si="4">VLOOKUP(D35,upahbahan,3,FALSE)</f>
        <v>700</v>
      </c>
      <c r="H35" s="205">
        <f t="shared" ref="H35:H40" si="5">F35*G35</f>
        <v>49000</v>
      </c>
    </row>
    <row r="36" spans="3:11" ht="21.6" customHeight="1">
      <c r="C36" s="813" t="s">
        <v>1204</v>
      </c>
      <c r="D36" s="196" t="s">
        <v>2332</v>
      </c>
      <c r="E36" s="202" t="s">
        <v>65</v>
      </c>
      <c r="F36" s="812">
        <v>77</v>
      </c>
      <c r="G36" s="205">
        <f t="shared" si="4"/>
        <v>1530</v>
      </c>
      <c r="H36" s="205">
        <f t="shared" si="5"/>
        <v>117810</v>
      </c>
    </row>
    <row r="37" spans="3:11" ht="21.6" customHeight="1">
      <c r="C37" s="813" t="s">
        <v>1205</v>
      </c>
      <c r="D37" s="703" t="s">
        <v>85</v>
      </c>
      <c r="E37" s="202" t="s">
        <v>42</v>
      </c>
      <c r="F37" s="812">
        <v>0.13</v>
      </c>
      <c r="G37" s="205">
        <f t="shared" si="4"/>
        <v>310500</v>
      </c>
      <c r="H37" s="205">
        <f t="shared" si="5"/>
        <v>40365</v>
      </c>
    </row>
    <row r="38" spans="3:11" ht="21.6" customHeight="1">
      <c r="C38" s="813" t="s">
        <v>1206</v>
      </c>
      <c r="D38" s="196" t="s">
        <v>82</v>
      </c>
      <c r="E38" s="202" t="s">
        <v>42</v>
      </c>
      <c r="F38" s="812">
        <v>0.09</v>
      </c>
      <c r="G38" s="205">
        <f t="shared" si="4"/>
        <v>310500</v>
      </c>
      <c r="H38" s="205">
        <f t="shared" si="5"/>
        <v>27945</v>
      </c>
    </row>
    <row r="39" spans="3:11" ht="21.6" customHeight="1">
      <c r="C39" s="813" t="s">
        <v>1207</v>
      </c>
      <c r="D39" s="196" t="s">
        <v>71</v>
      </c>
      <c r="E39" s="202" t="s">
        <v>42</v>
      </c>
      <c r="F39" s="812">
        <v>0.02</v>
      </c>
      <c r="G39" s="205">
        <f t="shared" si="4"/>
        <v>292500</v>
      </c>
      <c r="H39" s="205">
        <f t="shared" si="5"/>
        <v>5850</v>
      </c>
    </row>
    <row r="40" spans="3:11" ht="21.6" customHeight="1">
      <c r="C40" s="813" t="s">
        <v>1211</v>
      </c>
      <c r="D40" s="196" t="s">
        <v>232</v>
      </c>
      <c r="E40" s="202" t="s">
        <v>65</v>
      </c>
      <c r="F40" s="812">
        <v>2.6</v>
      </c>
      <c r="G40" s="205">
        <f t="shared" si="4"/>
        <v>13050</v>
      </c>
      <c r="H40" s="205">
        <f t="shared" si="5"/>
        <v>33930</v>
      </c>
    </row>
    <row r="41" spans="3:11" ht="21.6" customHeight="1">
      <c r="C41" s="702" t="s">
        <v>1214</v>
      </c>
      <c r="D41" s="208"/>
      <c r="E41" s="208"/>
      <c r="F41" s="208"/>
      <c r="G41" s="209"/>
      <c r="H41" s="205">
        <f>SUM(H35:H40)</f>
        <v>274900</v>
      </c>
    </row>
    <row r="42" spans="3:11" ht="21.6" customHeight="1">
      <c r="C42" s="202" t="s">
        <v>1215</v>
      </c>
      <c r="D42" s="196" t="s">
        <v>1216</v>
      </c>
      <c r="E42" s="197"/>
      <c r="F42" s="197"/>
      <c r="G42" s="197"/>
      <c r="H42" s="197"/>
    </row>
    <row r="43" spans="3:11" ht="21.6" customHeight="1">
      <c r="C43" s="702" t="s">
        <v>1217</v>
      </c>
      <c r="D43" s="208"/>
      <c r="E43" s="208"/>
      <c r="F43" s="208"/>
      <c r="G43" s="209"/>
      <c r="H43" s="706">
        <v>0</v>
      </c>
    </row>
    <row r="44" spans="3:11" ht="21.6" customHeight="1">
      <c r="C44" s="707" t="s">
        <v>1218</v>
      </c>
      <c r="D44" s="224" t="s">
        <v>1219</v>
      </c>
      <c r="E44" s="225"/>
      <c r="F44" s="225"/>
      <c r="G44" s="226"/>
      <c r="H44" s="618">
        <f>H43+H41+H33</f>
        <v>754360</v>
      </c>
      <c r="I44" s="809"/>
    </row>
    <row r="45" spans="3:11" ht="21.6" customHeight="1">
      <c r="C45" s="707" t="s">
        <v>1220</v>
      </c>
      <c r="D45" s="224" t="s">
        <v>1321</v>
      </c>
      <c r="E45" s="225"/>
      <c r="F45" s="226"/>
      <c r="G45" s="228">
        <f>$O$7</f>
        <v>0.1</v>
      </c>
      <c r="H45" s="205">
        <f>H44*G45</f>
        <v>75436</v>
      </c>
      <c r="I45" s="809"/>
    </row>
    <row r="46" spans="3:11" ht="21.6" customHeight="1">
      <c r="C46" s="707" t="s">
        <v>1221</v>
      </c>
      <c r="D46" s="224" t="s">
        <v>1222</v>
      </c>
      <c r="E46" s="225"/>
      <c r="F46" s="225"/>
      <c r="G46" s="226"/>
      <c r="H46" s="810">
        <f>SUM(H44:H45)</f>
        <v>829796</v>
      </c>
      <c r="I46" s="809"/>
    </row>
    <row r="47" spans="3:11" ht="21.6" customHeight="1"/>
    <row r="48" spans="3:11" ht="21.6" customHeight="1">
      <c r="C48" s="199" t="s">
        <v>3821</v>
      </c>
      <c r="D48" s="802" t="s">
        <v>1626</v>
      </c>
      <c r="E48" s="808"/>
      <c r="F48" s="808"/>
      <c r="G48" s="808"/>
      <c r="H48" s="808"/>
      <c r="I48" s="189">
        <f>ROUNDDOWN(H68,-2)</f>
        <v>998000</v>
      </c>
      <c r="J48" s="189"/>
      <c r="K48" s="189"/>
    </row>
    <row r="49" spans="3:11" ht="21.6" customHeight="1">
      <c r="C49" s="716" t="s">
        <v>1195</v>
      </c>
      <c r="D49" s="716" t="s">
        <v>1196</v>
      </c>
      <c r="E49" s="716" t="s">
        <v>1197</v>
      </c>
      <c r="F49" s="716" t="s">
        <v>1198</v>
      </c>
      <c r="G49" s="716" t="s">
        <v>1199</v>
      </c>
      <c r="H49" s="716" t="s">
        <v>1200</v>
      </c>
    </row>
    <row r="50" spans="3:11" ht="21.6" customHeight="1">
      <c r="C50" s="202" t="s">
        <v>1201</v>
      </c>
      <c r="D50" s="196" t="s">
        <v>1202</v>
      </c>
      <c r="E50" s="197"/>
      <c r="F50" s="197"/>
      <c r="G50" s="197"/>
      <c r="H50" s="197"/>
    </row>
    <row r="51" spans="3:11" ht="21.6" customHeight="1">
      <c r="C51" s="700">
        <v>1</v>
      </c>
      <c r="D51" s="196" t="s">
        <v>5</v>
      </c>
      <c r="E51" s="701" t="s">
        <v>6</v>
      </c>
      <c r="F51" s="705">
        <v>3.2</v>
      </c>
      <c r="G51" s="205">
        <f>VLOOKUP(D51,upahbahan,3,FALSE)</f>
        <v>100000</v>
      </c>
      <c r="H51" s="205">
        <f t="shared" ref="H51:H54" si="6">F51*G51</f>
        <v>320000</v>
      </c>
    </row>
    <row r="52" spans="3:11" ht="21.6" customHeight="1">
      <c r="C52" s="700">
        <v>2</v>
      </c>
      <c r="D52" s="196" t="s">
        <v>7</v>
      </c>
      <c r="E52" s="701" t="s">
        <v>6</v>
      </c>
      <c r="F52" s="705">
        <v>1.1499999999999999</v>
      </c>
      <c r="G52" s="205">
        <f>VLOOKUP(D52,upahbahan,3,FALSE)</f>
        <v>135000</v>
      </c>
      <c r="H52" s="205">
        <f t="shared" si="6"/>
        <v>155250</v>
      </c>
    </row>
    <row r="53" spans="3:11" ht="21.6" customHeight="1">
      <c r="C53" s="700">
        <v>3</v>
      </c>
      <c r="D53" s="196" t="s">
        <v>18</v>
      </c>
      <c r="E53" s="701" t="s">
        <v>6</v>
      </c>
      <c r="F53" s="705">
        <v>1.0999999999999999E-2</v>
      </c>
      <c r="G53" s="205">
        <f>VLOOKUP(D53,upahbahan,3,FALSE)</f>
        <v>150000</v>
      </c>
      <c r="H53" s="205">
        <f t="shared" si="6"/>
        <v>1650</v>
      </c>
    </row>
    <row r="54" spans="3:11" ht="21.6" customHeight="1">
      <c r="C54" s="700">
        <v>4</v>
      </c>
      <c r="D54" s="196" t="s">
        <v>19</v>
      </c>
      <c r="E54" s="701" t="s">
        <v>6</v>
      </c>
      <c r="F54" s="705">
        <v>1.6E-2</v>
      </c>
      <c r="G54" s="205">
        <f>VLOOKUP(D54,upahbahan,3,FALSE)</f>
        <v>160000</v>
      </c>
      <c r="H54" s="205">
        <f t="shared" si="6"/>
        <v>2560</v>
      </c>
    </row>
    <row r="55" spans="3:11" ht="21.6" customHeight="1">
      <c r="C55" s="702" t="s">
        <v>1208</v>
      </c>
      <c r="D55" s="208"/>
      <c r="E55" s="208"/>
      <c r="F55" s="521"/>
      <c r="G55" s="522"/>
      <c r="H55" s="205">
        <f>SUM(H51:H54)</f>
        <v>479460</v>
      </c>
      <c r="I55" s="804"/>
      <c r="J55" s="804"/>
      <c r="K55" s="804"/>
    </row>
    <row r="56" spans="3:11" ht="21.6" customHeight="1">
      <c r="C56" s="701" t="s">
        <v>1209</v>
      </c>
      <c r="D56" s="196" t="s">
        <v>1210</v>
      </c>
      <c r="E56" s="197"/>
      <c r="F56" s="197"/>
      <c r="G56" s="197"/>
      <c r="H56" s="197"/>
    </row>
    <row r="57" spans="3:11" ht="21.6" customHeight="1">
      <c r="C57" s="813" t="s">
        <v>1203</v>
      </c>
      <c r="D57" s="196" t="s">
        <v>43</v>
      </c>
      <c r="E57" s="701" t="s">
        <v>44</v>
      </c>
      <c r="F57" s="705">
        <v>123</v>
      </c>
      <c r="G57" s="205">
        <f t="shared" ref="G57:G62" si="7">VLOOKUP(D57,upahbahan,3,FALSE)</f>
        <v>700</v>
      </c>
      <c r="H57" s="205">
        <f t="shared" ref="H57:H62" si="8">F57*G57</f>
        <v>86100</v>
      </c>
    </row>
    <row r="58" spans="3:11" ht="21.6" customHeight="1">
      <c r="C58" s="813" t="s">
        <v>1204</v>
      </c>
      <c r="D58" s="196" t="s">
        <v>2332</v>
      </c>
      <c r="E58" s="202" t="s">
        <v>65</v>
      </c>
      <c r="F58" s="705">
        <v>114</v>
      </c>
      <c r="G58" s="205">
        <f t="shared" si="7"/>
        <v>1530</v>
      </c>
      <c r="H58" s="205">
        <f t="shared" si="8"/>
        <v>174420</v>
      </c>
    </row>
    <row r="59" spans="3:11" ht="21.6" customHeight="1">
      <c r="C59" s="813" t="s">
        <v>1205</v>
      </c>
      <c r="D59" s="703" t="s">
        <v>85</v>
      </c>
      <c r="E59" s="202" t="s">
        <v>42</v>
      </c>
      <c r="F59" s="705">
        <v>0.184</v>
      </c>
      <c r="G59" s="205">
        <f t="shared" si="7"/>
        <v>310500</v>
      </c>
      <c r="H59" s="205">
        <f t="shared" si="8"/>
        <v>57132</v>
      </c>
    </row>
    <row r="60" spans="3:11" ht="21.6" customHeight="1">
      <c r="C60" s="813" t="s">
        <v>1206</v>
      </c>
      <c r="D60" s="196" t="s">
        <v>82</v>
      </c>
      <c r="E60" s="202" t="s">
        <v>42</v>
      </c>
      <c r="F60" s="705">
        <v>0.12</v>
      </c>
      <c r="G60" s="205">
        <f t="shared" si="7"/>
        <v>310500</v>
      </c>
      <c r="H60" s="205">
        <f t="shared" si="8"/>
        <v>37260</v>
      </c>
    </row>
    <row r="61" spans="3:11" ht="21.6" customHeight="1">
      <c r="C61" s="813" t="s">
        <v>1207</v>
      </c>
      <c r="D61" s="196" t="s">
        <v>71</v>
      </c>
      <c r="E61" s="202" t="s">
        <v>42</v>
      </c>
      <c r="F61" s="705">
        <v>3.3000000000000002E-2</v>
      </c>
      <c r="G61" s="205">
        <f t="shared" si="7"/>
        <v>292500</v>
      </c>
      <c r="H61" s="205">
        <f t="shared" si="8"/>
        <v>9652.5</v>
      </c>
    </row>
    <row r="62" spans="3:11" ht="21.6" customHeight="1">
      <c r="C62" s="813" t="s">
        <v>1211</v>
      </c>
      <c r="D62" s="196" t="s">
        <v>232</v>
      </c>
      <c r="E62" s="202" t="s">
        <v>65</v>
      </c>
      <c r="F62" s="705">
        <v>4.8499999999999996</v>
      </c>
      <c r="G62" s="205">
        <f t="shared" si="7"/>
        <v>13050</v>
      </c>
      <c r="H62" s="205">
        <f t="shared" si="8"/>
        <v>63292.499999999993</v>
      </c>
    </row>
    <row r="63" spans="3:11" ht="21.6" customHeight="1">
      <c r="C63" s="702" t="s">
        <v>1214</v>
      </c>
      <c r="D63" s="208"/>
      <c r="E63" s="208"/>
      <c r="F63" s="208"/>
      <c r="G63" s="209"/>
      <c r="H63" s="205">
        <f>SUM(H57:H62)</f>
        <v>427857</v>
      </c>
    </row>
    <row r="64" spans="3:11" ht="21.6" customHeight="1">
      <c r="C64" s="202" t="s">
        <v>1215</v>
      </c>
      <c r="D64" s="196" t="s">
        <v>1216</v>
      </c>
      <c r="E64" s="197"/>
      <c r="F64" s="197"/>
      <c r="G64" s="197"/>
      <c r="H64" s="197"/>
    </row>
    <row r="65" spans="3:9" ht="21.6" customHeight="1">
      <c r="C65" s="702" t="s">
        <v>1217</v>
      </c>
      <c r="D65" s="208"/>
      <c r="E65" s="208"/>
      <c r="F65" s="208"/>
      <c r="G65" s="209"/>
      <c r="H65" s="706">
        <v>0</v>
      </c>
    </row>
    <row r="66" spans="3:9" ht="21.6" customHeight="1">
      <c r="C66" s="707" t="s">
        <v>1218</v>
      </c>
      <c r="D66" s="224" t="s">
        <v>1219</v>
      </c>
      <c r="E66" s="225"/>
      <c r="F66" s="225"/>
      <c r="G66" s="226"/>
      <c r="H66" s="618">
        <f>H65+H63+H55</f>
        <v>907317</v>
      </c>
      <c r="I66" s="809"/>
    </row>
    <row r="67" spans="3:9" ht="21.6" customHeight="1">
      <c r="C67" s="707" t="s">
        <v>1220</v>
      </c>
      <c r="D67" s="224" t="s">
        <v>1321</v>
      </c>
      <c r="E67" s="225"/>
      <c r="F67" s="226"/>
      <c r="G67" s="228">
        <f>$O$7</f>
        <v>0.1</v>
      </c>
      <c r="H67" s="205">
        <f>H66*G67</f>
        <v>90731.700000000012</v>
      </c>
      <c r="I67" s="809"/>
    </row>
    <row r="68" spans="3:9" ht="21.6" customHeight="1">
      <c r="C68" s="707" t="s">
        <v>1221</v>
      </c>
      <c r="D68" s="224" t="s">
        <v>1222</v>
      </c>
      <c r="E68" s="225"/>
      <c r="F68" s="225"/>
      <c r="G68" s="226"/>
      <c r="H68" s="810">
        <f>SUM(H66:H67)</f>
        <v>998048.7</v>
      </c>
      <c r="I68" s="809"/>
    </row>
    <row r="69" spans="3:9">
      <c r="C69" s="805"/>
      <c r="D69" s="689"/>
      <c r="E69" s="689"/>
      <c r="F69" s="689"/>
      <c r="G69" s="689"/>
      <c r="H69" s="806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C1:O5227"/>
  <sheetViews>
    <sheetView topLeftCell="A82" zoomScale="85" zoomScaleNormal="85" workbookViewId="0">
      <selection activeCell="D1168" sqref="D1168"/>
    </sheetView>
  </sheetViews>
  <sheetFormatPr defaultRowHeight="13.2"/>
  <cols>
    <col min="1" max="1" width="1.88671875" style="122" customWidth="1"/>
    <col min="2" max="2" width="3.109375" style="122" customWidth="1"/>
    <col min="3" max="3" width="11.5546875" style="122" customWidth="1"/>
    <col min="4" max="4" width="49.88671875" style="122" customWidth="1"/>
    <col min="5" max="5" width="8.88671875" style="122"/>
    <col min="6" max="6" width="12.5546875" style="122" customWidth="1"/>
    <col min="7" max="7" width="20.109375" style="122" customWidth="1"/>
    <col min="8" max="8" width="20.21875" style="122" customWidth="1"/>
    <col min="9" max="11" width="25.6640625" style="122" customWidth="1"/>
    <col min="12" max="16384" width="8.88671875" style="122"/>
  </cols>
  <sheetData>
    <row r="1" spans="3:15" ht="18.600000000000001" customHeight="1"/>
    <row r="2" spans="3:15" ht="18.600000000000001" customHeight="1">
      <c r="C2" s="368" t="s">
        <v>3822</v>
      </c>
      <c r="D2" s="121" t="s">
        <v>3823</v>
      </c>
      <c r="E2" s="121"/>
      <c r="F2" s="121"/>
    </row>
    <row r="3" spans="3:15" ht="18.600000000000001" customHeight="1">
      <c r="C3" s="368" t="s">
        <v>3824</v>
      </c>
      <c r="D3" s="121" t="s">
        <v>3825</v>
      </c>
      <c r="E3" s="121"/>
      <c r="F3" s="121"/>
    </row>
    <row r="4" spans="3:15" s="59" customFormat="1" ht="18.600000000000001" customHeight="1">
      <c r="C4" s="46" t="s">
        <v>3826</v>
      </c>
      <c r="D4" s="794" t="s">
        <v>8093</v>
      </c>
      <c r="E4" s="795"/>
      <c r="F4" s="795"/>
      <c r="G4" s="795"/>
      <c r="H4" s="795"/>
      <c r="I4" s="50">
        <f>ROUNDDOWN(H19,-2)</f>
        <v>8200</v>
      </c>
      <c r="J4" s="50" t="s">
        <v>6451</v>
      </c>
      <c r="K4" s="50" t="s">
        <v>8092</v>
      </c>
    </row>
    <row r="5" spans="3:15" s="59" customFormat="1" ht="21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44"/>
      <c r="J5" s="44"/>
      <c r="K5" s="44"/>
    </row>
    <row r="6" spans="3:15" s="59" customFormat="1" ht="21" customHeight="1">
      <c r="C6" s="61" t="s">
        <v>1201</v>
      </c>
      <c r="D6" s="56" t="s">
        <v>1202</v>
      </c>
      <c r="E6" s="57"/>
      <c r="F6" s="57"/>
      <c r="G6" s="57"/>
      <c r="H6" s="57"/>
      <c r="I6" s="44"/>
      <c r="J6" s="44"/>
      <c r="K6" s="44"/>
      <c r="L6" s="152" t="s">
        <v>1247</v>
      </c>
    </row>
    <row r="7" spans="3:15" s="59" customFormat="1" ht="21" customHeight="1">
      <c r="C7" s="588">
        <v>1</v>
      </c>
      <c r="D7" s="56" t="s">
        <v>5</v>
      </c>
      <c r="E7" s="577" t="s">
        <v>6</v>
      </c>
      <c r="F7" s="62">
        <v>1.7000000000000001E-2</v>
      </c>
      <c r="G7" s="63">
        <f>VLOOKUP(D7,upahbahan,3,FALSE)</f>
        <v>100000</v>
      </c>
      <c r="H7" s="63">
        <f>F7*G7</f>
        <v>1700.0000000000002</v>
      </c>
      <c r="I7" s="44"/>
      <c r="J7" s="44"/>
      <c r="K7" s="44"/>
      <c r="L7" s="152" t="s">
        <v>1248</v>
      </c>
      <c r="O7" s="65">
        <v>0.1</v>
      </c>
    </row>
    <row r="8" spans="3:15" s="59" customFormat="1" ht="21" customHeight="1">
      <c r="C8" s="588">
        <v>2</v>
      </c>
      <c r="D8" s="56" t="s">
        <v>10</v>
      </c>
      <c r="E8" s="577" t="s">
        <v>6</v>
      </c>
      <c r="F8" s="62">
        <v>2.8000000000000001E-2</v>
      </c>
      <c r="G8" s="63">
        <f>VLOOKUP(D8,upahbahan,3,FALSE)</f>
        <v>135000</v>
      </c>
      <c r="H8" s="63">
        <f>F8*G8</f>
        <v>3780</v>
      </c>
      <c r="I8" s="44"/>
      <c r="J8" s="44"/>
      <c r="K8" s="44"/>
    </row>
    <row r="9" spans="3:15" s="59" customFormat="1" ht="21" customHeight="1">
      <c r="C9" s="588">
        <v>3</v>
      </c>
      <c r="D9" s="56" t="s">
        <v>18</v>
      </c>
      <c r="E9" s="577" t="s">
        <v>6</v>
      </c>
      <c r="F9" s="62">
        <v>3.0000000000000001E-3</v>
      </c>
      <c r="G9" s="63">
        <f>VLOOKUP(D9,upahbahan,3,FALSE)</f>
        <v>150000</v>
      </c>
      <c r="H9" s="63">
        <f>F9*G9</f>
        <v>450</v>
      </c>
      <c r="I9" s="44"/>
      <c r="J9" s="44"/>
      <c r="K9" s="44"/>
    </row>
    <row r="10" spans="3:15" s="59" customFormat="1" ht="21" customHeight="1">
      <c r="C10" s="588">
        <v>4</v>
      </c>
      <c r="D10" s="56" t="s">
        <v>19</v>
      </c>
      <c r="E10" s="577" t="s">
        <v>6</v>
      </c>
      <c r="F10" s="62">
        <v>0.01</v>
      </c>
      <c r="G10" s="63">
        <f>VLOOKUP(D10,upahbahan,3,FALSE)</f>
        <v>160000</v>
      </c>
      <c r="H10" s="63">
        <f>F10*G10</f>
        <v>1600</v>
      </c>
      <c r="I10" s="44"/>
      <c r="J10" s="44"/>
      <c r="K10" s="44"/>
    </row>
    <row r="11" spans="3:15" s="59" customFormat="1" ht="21" customHeight="1">
      <c r="C11" s="450" t="s">
        <v>1208</v>
      </c>
      <c r="D11" s="67"/>
      <c r="E11" s="67"/>
      <c r="F11" s="142"/>
      <c r="G11" s="153"/>
      <c r="H11" s="63">
        <f>SUM(H7:H10)</f>
        <v>7530</v>
      </c>
      <c r="I11" s="154"/>
      <c r="J11" s="154"/>
      <c r="K11" s="154"/>
    </row>
    <row r="12" spans="3:15" s="59" customFormat="1" ht="21" customHeight="1">
      <c r="C12" s="61" t="s">
        <v>1209</v>
      </c>
      <c r="D12" s="56" t="s">
        <v>1210</v>
      </c>
      <c r="E12" s="57"/>
      <c r="F12" s="57"/>
      <c r="G12" s="57"/>
      <c r="H12" s="57"/>
      <c r="I12" s="44"/>
      <c r="J12" s="44"/>
      <c r="K12" s="44"/>
    </row>
    <row r="13" spans="3:15" s="59" customFormat="1" ht="21" customHeight="1">
      <c r="C13" s="588">
        <v>1</v>
      </c>
      <c r="D13" s="72" t="s">
        <v>8094</v>
      </c>
      <c r="E13" s="73" t="s">
        <v>113</v>
      </c>
      <c r="F13" s="276">
        <v>1.45</v>
      </c>
      <c r="G13" s="63">
        <f>VLOOKUP(D13,upahbahan,3,FALSE)</f>
        <v>0</v>
      </c>
      <c r="H13" s="63">
        <f t="shared" ref="H13" si="0">F13*G13</f>
        <v>0</v>
      </c>
      <c r="I13" s="44"/>
      <c r="J13" s="44"/>
      <c r="K13" s="44"/>
    </row>
    <row r="14" spans="3:15" s="59" customFormat="1" ht="21" customHeight="1">
      <c r="C14" s="450" t="s">
        <v>1214</v>
      </c>
      <c r="D14" s="67"/>
      <c r="E14" s="67"/>
      <c r="F14" s="67"/>
      <c r="G14" s="69"/>
      <c r="H14" s="63">
        <f>SUM(H13:H13)</f>
        <v>0</v>
      </c>
      <c r="I14" s="44"/>
      <c r="J14" s="44"/>
      <c r="K14" s="44"/>
    </row>
    <row r="15" spans="3:15" s="59" customFormat="1" ht="21" customHeight="1">
      <c r="C15" s="61" t="s">
        <v>1215</v>
      </c>
      <c r="D15" s="56" t="s">
        <v>1216</v>
      </c>
      <c r="E15" s="57"/>
      <c r="F15" s="57"/>
      <c r="G15" s="57"/>
      <c r="H15" s="57"/>
      <c r="I15" s="44"/>
      <c r="J15" s="44"/>
      <c r="K15" s="44"/>
    </row>
    <row r="16" spans="3:15" s="59" customFormat="1" ht="21" customHeight="1">
      <c r="C16" s="450" t="s">
        <v>1217</v>
      </c>
      <c r="D16" s="67"/>
      <c r="E16" s="67"/>
      <c r="F16" s="67"/>
      <c r="G16" s="69"/>
      <c r="H16" s="589">
        <v>0</v>
      </c>
      <c r="I16" s="44"/>
      <c r="J16" s="44"/>
      <c r="K16" s="44"/>
    </row>
    <row r="17" spans="3:15" s="59" customFormat="1" ht="21" customHeight="1">
      <c r="C17" s="288" t="s">
        <v>1218</v>
      </c>
      <c r="D17" s="76" t="s">
        <v>1219</v>
      </c>
      <c r="E17" s="77"/>
      <c r="F17" s="77"/>
      <c r="G17" s="78"/>
      <c r="H17" s="585">
        <f>H16+H14+H11</f>
        <v>7530</v>
      </c>
      <c r="I17" s="369"/>
      <c r="J17" s="44"/>
      <c r="K17" s="44"/>
    </row>
    <row r="18" spans="3:15" s="59" customFormat="1" ht="21" customHeight="1">
      <c r="C18" s="288" t="s">
        <v>1220</v>
      </c>
      <c r="D18" s="76" t="s">
        <v>1321</v>
      </c>
      <c r="E18" s="77"/>
      <c r="F18" s="78"/>
      <c r="G18" s="80">
        <v>0.1</v>
      </c>
      <c r="H18" s="63">
        <f>H17*G18</f>
        <v>753</v>
      </c>
      <c r="I18" s="369"/>
      <c r="J18" s="44"/>
      <c r="K18" s="44"/>
    </row>
    <row r="19" spans="3:15" s="59" customFormat="1" ht="21" customHeight="1">
      <c r="C19" s="288" t="s">
        <v>1221</v>
      </c>
      <c r="D19" s="76" t="s">
        <v>1222</v>
      </c>
      <c r="E19" s="77"/>
      <c r="F19" s="77"/>
      <c r="G19" s="78"/>
      <c r="H19" s="799">
        <f>SUM(H17:H18)</f>
        <v>8283</v>
      </c>
      <c r="I19" s="369"/>
      <c r="J19" s="44"/>
      <c r="K19" s="44"/>
    </row>
    <row r="20" spans="3:15" ht="21" customHeight="1"/>
    <row r="21" spans="3:15" ht="21" customHeight="1"/>
    <row r="22" spans="3:15" s="59" customFormat="1" ht="21" customHeight="1">
      <c r="C22" s="47" t="s">
        <v>3827</v>
      </c>
      <c r="D22" s="794" t="s">
        <v>8095</v>
      </c>
      <c r="E22" s="795"/>
      <c r="F22" s="795"/>
      <c r="G22" s="795"/>
      <c r="H22" s="795"/>
      <c r="I22" s="50">
        <f>ROUNDDOWN(H37,-2)</f>
        <v>24200</v>
      </c>
      <c r="J22" s="50" t="s">
        <v>6451</v>
      </c>
      <c r="K22" s="50" t="s">
        <v>8092</v>
      </c>
    </row>
    <row r="23" spans="3:15" s="59" customFormat="1" ht="21" customHeight="1">
      <c r="C23" s="591" t="s">
        <v>1195</v>
      </c>
      <c r="D23" s="591" t="s">
        <v>1196</v>
      </c>
      <c r="E23" s="591" t="s">
        <v>1197</v>
      </c>
      <c r="F23" s="591" t="s">
        <v>1198</v>
      </c>
      <c r="G23" s="591" t="s">
        <v>1199</v>
      </c>
      <c r="H23" s="591" t="s">
        <v>1200</v>
      </c>
      <c r="I23" s="44"/>
      <c r="J23" s="44"/>
      <c r="K23" s="44"/>
    </row>
    <row r="24" spans="3:15" s="59" customFormat="1" ht="21" customHeight="1">
      <c r="C24" s="61" t="s">
        <v>1201</v>
      </c>
      <c r="D24" s="56" t="s">
        <v>1202</v>
      </c>
      <c r="E24" s="57"/>
      <c r="F24" s="57"/>
      <c r="G24" s="57"/>
      <c r="H24" s="57"/>
      <c r="I24" s="44"/>
      <c r="J24" s="44"/>
      <c r="K24" s="44"/>
      <c r="L24" s="152" t="s">
        <v>1247</v>
      </c>
    </row>
    <row r="25" spans="3:15" s="59" customFormat="1" ht="21" customHeight="1">
      <c r="C25" s="588">
        <v>1</v>
      </c>
      <c r="D25" s="56" t="s">
        <v>5</v>
      </c>
      <c r="E25" s="577" t="s">
        <v>6</v>
      </c>
      <c r="F25" s="62">
        <v>2.4E-2</v>
      </c>
      <c r="G25" s="63">
        <f>VLOOKUP(D25,upahbahan,3,FALSE)</f>
        <v>100000</v>
      </c>
      <c r="H25" s="63">
        <f>F25*G25</f>
        <v>2400</v>
      </c>
      <c r="I25" s="44"/>
      <c r="J25" s="44"/>
      <c r="K25" s="44"/>
      <c r="L25" s="152" t="s">
        <v>1248</v>
      </c>
      <c r="O25" s="65">
        <v>0.1</v>
      </c>
    </row>
    <row r="26" spans="3:15" s="59" customFormat="1" ht="21" customHeight="1">
      <c r="C26" s="588">
        <v>2</v>
      </c>
      <c r="D26" s="56" t="s">
        <v>10</v>
      </c>
      <c r="E26" s="577" t="s">
        <v>6</v>
      </c>
      <c r="F26" s="62">
        <v>0.04</v>
      </c>
      <c r="G26" s="63">
        <f>VLOOKUP(D26,upahbahan,3,FALSE)</f>
        <v>135000</v>
      </c>
      <c r="H26" s="63">
        <f>F26*G26</f>
        <v>5400</v>
      </c>
      <c r="I26" s="44"/>
      <c r="J26" s="44"/>
      <c r="K26" s="44"/>
    </row>
    <row r="27" spans="3:15" s="59" customFormat="1" ht="21" customHeight="1">
      <c r="C27" s="588">
        <v>3</v>
      </c>
      <c r="D27" s="56" t="s">
        <v>18</v>
      </c>
      <c r="E27" s="577" t="s">
        <v>6</v>
      </c>
      <c r="F27" s="62">
        <v>4.0000000000000001E-3</v>
      </c>
      <c r="G27" s="63">
        <f>VLOOKUP(D27,upahbahan,3,FALSE)</f>
        <v>150000</v>
      </c>
      <c r="H27" s="63">
        <f>F27*G27</f>
        <v>600</v>
      </c>
      <c r="I27" s="44"/>
      <c r="J27" s="44"/>
      <c r="K27" s="44"/>
    </row>
    <row r="28" spans="3:15" s="59" customFormat="1" ht="21" customHeight="1">
      <c r="C28" s="588">
        <v>4</v>
      </c>
      <c r="D28" s="56" t="s">
        <v>19</v>
      </c>
      <c r="E28" s="577" t="s">
        <v>6</v>
      </c>
      <c r="F28" s="62">
        <v>1E-3</v>
      </c>
      <c r="G28" s="63">
        <f>VLOOKUP(D28,upahbahan,3,FALSE)</f>
        <v>160000</v>
      </c>
      <c r="H28" s="63">
        <f>F28*G28</f>
        <v>160</v>
      </c>
      <c r="I28" s="44"/>
      <c r="J28" s="44"/>
      <c r="K28" s="44"/>
    </row>
    <row r="29" spans="3:15" s="59" customFormat="1" ht="21" customHeight="1">
      <c r="C29" s="450" t="s">
        <v>1208</v>
      </c>
      <c r="D29" s="67"/>
      <c r="E29" s="67"/>
      <c r="F29" s="142"/>
      <c r="G29" s="153"/>
      <c r="H29" s="63">
        <f>SUM(H25:H28)</f>
        <v>8560</v>
      </c>
      <c r="I29" s="154"/>
      <c r="J29" s="154"/>
      <c r="K29" s="154"/>
    </row>
    <row r="30" spans="3:15" s="59" customFormat="1" ht="21" customHeight="1">
      <c r="C30" s="61" t="s">
        <v>1209</v>
      </c>
      <c r="D30" s="56" t="s">
        <v>1210</v>
      </c>
      <c r="E30" s="57"/>
      <c r="F30" s="57"/>
      <c r="G30" s="57"/>
      <c r="H30" s="57"/>
      <c r="I30" s="44"/>
      <c r="J30" s="44"/>
      <c r="K30" s="44"/>
    </row>
    <row r="31" spans="3:15" s="59" customFormat="1" ht="21" customHeight="1">
      <c r="C31" s="588">
        <v>1</v>
      </c>
      <c r="D31" s="56" t="s">
        <v>8096</v>
      </c>
      <c r="E31" s="73" t="s">
        <v>113</v>
      </c>
      <c r="F31" s="276">
        <v>1.45</v>
      </c>
      <c r="G31" s="63">
        <f>VLOOKUP(D31,upahbahan,3,FALSE)</f>
        <v>9300</v>
      </c>
      <c r="H31" s="63">
        <f t="shared" ref="H31" si="1">F31*G31</f>
        <v>13485</v>
      </c>
      <c r="I31" s="44"/>
      <c r="J31" s="44"/>
      <c r="K31" s="44"/>
    </row>
    <row r="32" spans="3:15" s="59" customFormat="1" ht="21" customHeight="1">
      <c r="C32" s="450" t="s">
        <v>1214</v>
      </c>
      <c r="D32" s="67"/>
      <c r="E32" s="67"/>
      <c r="F32" s="67"/>
      <c r="G32" s="69"/>
      <c r="H32" s="63">
        <f>SUM(H31:H31)</f>
        <v>13485</v>
      </c>
      <c r="I32" s="44"/>
      <c r="J32" s="44"/>
      <c r="K32" s="44"/>
    </row>
    <row r="33" spans="3:15" s="59" customFormat="1" ht="21" customHeight="1">
      <c r="C33" s="61" t="s">
        <v>1215</v>
      </c>
      <c r="D33" s="56" t="s">
        <v>1216</v>
      </c>
      <c r="E33" s="57"/>
      <c r="F33" s="57"/>
      <c r="G33" s="57"/>
      <c r="H33" s="57"/>
      <c r="I33" s="44"/>
      <c r="J33" s="44"/>
      <c r="K33" s="44"/>
    </row>
    <row r="34" spans="3:15" s="59" customFormat="1" ht="21" customHeight="1">
      <c r="C34" s="450" t="s">
        <v>1217</v>
      </c>
      <c r="D34" s="67"/>
      <c r="E34" s="67"/>
      <c r="F34" s="67"/>
      <c r="G34" s="69"/>
      <c r="H34" s="589">
        <v>0</v>
      </c>
      <c r="I34" s="44"/>
      <c r="J34" s="44"/>
      <c r="K34" s="44"/>
    </row>
    <row r="35" spans="3:15" s="59" customFormat="1" ht="21" customHeight="1">
      <c r="C35" s="288" t="s">
        <v>1218</v>
      </c>
      <c r="D35" s="76" t="s">
        <v>1219</v>
      </c>
      <c r="E35" s="77"/>
      <c r="F35" s="77"/>
      <c r="G35" s="78"/>
      <c r="H35" s="585">
        <f>H34+H32+H29</f>
        <v>22045</v>
      </c>
      <c r="I35" s="369"/>
      <c r="J35" s="44"/>
      <c r="K35" s="44"/>
    </row>
    <row r="36" spans="3:15" s="59" customFormat="1" ht="21" customHeight="1">
      <c r="C36" s="288" t="s">
        <v>1220</v>
      </c>
      <c r="D36" s="76" t="s">
        <v>1321</v>
      </c>
      <c r="E36" s="77"/>
      <c r="F36" s="78"/>
      <c r="G36" s="80">
        <v>0.1</v>
      </c>
      <c r="H36" s="63">
        <f>H35*G36</f>
        <v>2204.5</v>
      </c>
      <c r="I36" s="369"/>
      <c r="J36" s="44"/>
      <c r="K36" s="44"/>
    </row>
    <row r="37" spans="3:15" s="59" customFormat="1" ht="21" customHeight="1">
      <c r="C37" s="288" t="s">
        <v>1221</v>
      </c>
      <c r="D37" s="76" t="s">
        <v>1222</v>
      </c>
      <c r="E37" s="77"/>
      <c r="F37" s="77"/>
      <c r="G37" s="78"/>
      <c r="H37" s="799">
        <f>SUM(H35:H36)</f>
        <v>24249.5</v>
      </c>
      <c r="I37" s="369"/>
      <c r="J37" s="44"/>
      <c r="K37" s="44"/>
    </row>
    <row r="38" spans="3:15" ht="21" customHeight="1"/>
    <row r="39" spans="3:15" s="59" customFormat="1" ht="21" customHeight="1">
      <c r="C39" s="47" t="s">
        <v>3828</v>
      </c>
      <c r="D39" s="794" t="s">
        <v>8097</v>
      </c>
      <c r="E39" s="795"/>
      <c r="F39" s="795"/>
      <c r="G39" s="795"/>
      <c r="H39" s="795"/>
      <c r="I39" s="50">
        <f>ROUNDDOWN(H54,-2)</f>
        <v>12300</v>
      </c>
      <c r="J39" s="50" t="s">
        <v>6451</v>
      </c>
      <c r="K39" s="50" t="s">
        <v>8092</v>
      </c>
    </row>
    <row r="40" spans="3:15" s="59" customFormat="1" ht="21" customHeight="1">
      <c r="C40" s="591" t="s">
        <v>1195</v>
      </c>
      <c r="D40" s="591" t="s">
        <v>1196</v>
      </c>
      <c r="E40" s="591" t="s">
        <v>1197</v>
      </c>
      <c r="F40" s="591" t="s">
        <v>1198</v>
      </c>
      <c r="G40" s="591" t="s">
        <v>1199</v>
      </c>
      <c r="H40" s="591" t="s">
        <v>1200</v>
      </c>
      <c r="I40" s="44"/>
      <c r="J40" s="44"/>
      <c r="K40" s="44"/>
    </row>
    <row r="41" spans="3:15" s="59" customFormat="1" ht="21" customHeight="1">
      <c r="C41" s="61" t="s">
        <v>1201</v>
      </c>
      <c r="D41" s="56" t="s">
        <v>1202</v>
      </c>
      <c r="E41" s="57"/>
      <c r="F41" s="57"/>
      <c r="G41" s="57"/>
      <c r="H41" s="57"/>
      <c r="I41" s="44"/>
      <c r="J41" s="44"/>
      <c r="K41" s="44"/>
      <c r="L41" s="152" t="s">
        <v>1247</v>
      </c>
    </row>
    <row r="42" spans="3:15" s="59" customFormat="1" ht="21" customHeight="1">
      <c r="C42" s="588">
        <v>1</v>
      </c>
      <c r="D42" s="56" t="s">
        <v>5</v>
      </c>
      <c r="E42" s="577" t="s">
        <v>6</v>
      </c>
      <c r="F42" s="62">
        <v>3.1E-2</v>
      </c>
      <c r="G42" s="63">
        <f>VLOOKUP(D42,upahbahan,3,FALSE)</f>
        <v>100000</v>
      </c>
      <c r="H42" s="63">
        <f>F42*G42</f>
        <v>3100</v>
      </c>
      <c r="I42" s="44"/>
      <c r="J42" s="44"/>
      <c r="K42" s="44"/>
      <c r="L42" s="152" t="s">
        <v>1248</v>
      </c>
      <c r="O42" s="65">
        <v>0.1</v>
      </c>
    </row>
    <row r="43" spans="3:15" s="59" customFormat="1" ht="21" customHeight="1">
      <c r="C43" s="588">
        <v>2</v>
      </c>
      <c r="D43" s="56" t="s">
        <v>10</v>
      </c>
      <c r="E43" s="577" t="s">
        <v>6</v>
      </c>
      <c r="F43" s="62">
        <v>5.1999999999999998E-2</v>
      </c>
      <c r="G43" s="63">
        <f>VLOOKUP(D43,upahbahan,3,FALSE)</f>
        <v>135000</v>
      </c>
      <c r="H43" s="63">
        <f>F43*G43</f>
        <v>7020</v>
      </c>
      <c r="I43" s="44"/>
      <c r="J43" s="44"/>
      <c r="K43" s="44"/>
    </row>
    <row r="44" spans="3:15" s="59" customFormat="1" ht="21" customHeight="1">
      <c r="C44" s="588">
        <v>3</v>
      </c>
      <c r="D44" s="56" t="s">
        <v>18</v>
      </c>
      <c r="E44" s="577" t="s">
        <v>6</v>
      </c>
      <c r="F44" s="62">
        <v>5.0000000000000001E-3</v>
      </c>
      <c r="G44" s="63">
        <f>VLOOKUP(D44,upahbahan,3,FALSE)</f>
        <v>150000</v>
      </c>
      <c r="H44" s="63">
        <f>F44*G44</f>
        <v>750</v>
      </c>
      <c r="I44" s="44"/>
      <c r="J44" s="44"/>
      <c r="K44" s="44"/>
    </row>
    <row r="45" spans="3:15" s="59" customFormat="1" ht="21" customHeight="1">
      <c r="C45" s="588">
        <v>4</v>
      </c>
      <c r="D45" s="56" t="s">
        <v>19</v>
      </c>
      <c r="E45" s="577" t="s">
        <v>6</v>
      </c>
      <c r="F45" s="62">
        <v>2E-3</v>
      </c>
      <c r="G45" s="63">
        <f>VLOOKUP(D45,upahbahan,3,FALSE)</f>
        <v>160000</v>
      </c>
      <c r="H45" s="63">
        <f>F45*G45</f>
        <v>320</v>
      </c>
      <c r="I45" s="44"/>
      <c r="J45" s="44"/>
      <c r="K45" s="44"/>
    </row>
    <row r="46" spans="3:15" s="59" customFormat="1" ht="21" customHeight="1">
      <c r="C46" s="450" t="s">
        <v>1208</v>
      </c>
      <c r="D46" s="67"/>
      <c r="E46" s="67"/>
      <c r="F46" s="142"/>
      <c r="G46" s="153"/>
      <c r="H46" s="63">
        <f>SUM(H42:H45)</f>
        <v>11190</v>
      </c>
      <c r="I46" s="154"/>
      <c r="J46" s="154"/>
      <c r="K46" s="154"/>
    </row>
    <row r="47" spans="3:15" s="59" customFormat="1" ht="21" customHeight="1">
      <c r="C47" s="61" t="s">
        <v>1209</v>
      </c>
      <c r="D47" s="56" t="s">
        <v>1210</v>
      </c>
      <c r="E47" s="57"/>
      <c r="F47" s="57"/>
      <c r="G47" s="57"/>
      <c r="H47" s="57"/>
      <c r="I47" s="44"/>
      <c r="J47" s="44"/>
      <c r="K47" s="44"/>
    </row>
    <row r="48" spans="3:15" s="59" customFormat="1" ht="21" customHeight="1">
      <c r="C48" s="588">
        <v>1</v>
      </c>
      <c r="D48" s="56" t="s">
        <v>8098</v>
      </c>
      <c r="E48" s="73" t="s">
        <v>113</v>
      </c>
      <c r="F48" s="276">
        <v>1.45</v>
      </c>
      <c r="G48" s="63">
        <f>VLOOKUP(D48,upahbahan,3,FALSE)</f>
        <v>0</v>
      </c>
      <c r="H48" s="63">
        <f t="shared" ref="H48" si="2">F48*G48</f>
        <v>0</v>
      </c>
      <c r="I48" s="44"/>
      <c r="J48" s="44"/>
      <c r="K48" s="44"/>
    </row>
    <row r="49" spans="3:15" s="59" customFormat="1" ht="21" customHeight="1">
      <c r="C49" s="450" t="s">
        <v>1214</v>
      </c>
      <c r="D49" s="67"/>
      <c r="E49" s="67"/>
      <c r="F49" s="67"/>
      <c r="G49" s="69"/>
      <c r="H49" s="63">
        <f>SUM(H48:H48)</f>
        <v>0</v>
      </c>
      <c r="I49" s="44"/>
      <c r="J49" s="44"/>
      <c r="K49" s="44"/>
    </row>
    <row r="50" spans="3:15" s="59" customFormat="1" ht="21" customHeight="1">
      <c r="C50" s="61" t="s">
        <v>1215</v>
      </c>
      <c r="D50" s="56" t="s">
        <v>1216</v>
      </c>
      <c r="E50" s="57"/>
      <c r="F50" s="57"/>
      <c r="G50" s="57"/>
      <c r="H50" s="57"/>
      <c r="I50" s="44"/>
      <c r="J50" s="44"/>
      <c r="K50" s="44"/>
    </row>
    <row r="51" spans="3:15" s="59" customFormat="1" ht="21" customHeight="1">
      <c r="C51" s="450" t="s">
        <v>1217</v>
      </c>
      <c r="D51" s="67"/>
      <c r="E51" s="67"/>
      <c r="F51" s="67"/>
      <c r="G51" s="69"/>
      <c r="H51" s="589">
        <v>0</v>
      </c>
      <c r="I51" s="44"/>
      <c r="J51" s="44"/>
      <c r="K51" s="44"/>
    </row>
    <row r="52" spans="3:15" s="59" customFormat="1" ht="21" customHeight="1">
      <c r="C52" s="288" t="s">
        <v>1218</v>
      </c>
      <c r="D52" s="76" t="s">
        <v>1219</v>
      </c>
      <c r="E52" s="77"/>
      <c r="F52" s="77"/>
      <c r="G52" s="78"/>
      <c r="H52" s="585">
        <f>H51+H49+H46</f>
        <v>11190</v>
      </c>
      <c r="I52" s="369"/>
      <c r="J52" s="44"/>
      <c r="K52" s="44"/>
    </row>
    <row r="53" spans="3:15" s="59" customFormat="1" ht="21" customHeight="1">
      <c r="C53" s="288" t="s">
        <v>1220</v>
      </c>
      <c r="D53" s="76" t="s">
        <v>1321</v>
      </c>
      <c r="E53" s="77"/>
      <c r="F53" s="78"/>
      <c r="G53" s="80">
        <v>0.1</v>
      </c>
      <c r="H53" s="63">
        <f>H52*G53</f>
        <v>1119</v>
      </c>
      <c r="I53" s="369"/>
      <c r="J53" s="44"/>
      <c r="K53" s="44"/>
    </row>
    <row r="54" spans="3:15" s="59" customFormat="1" ht="21" customHeight="1">
      <c r="C54" s="288" t="s">
        <v>1221</v>
      </c>
      <c r="D54" s="76" t="s">
        <v>1222</v>
      </c>
      <c r="E54" s="77"/>
      <c r="F54" s="77"/>
      <c r="G54" s="78"/>
      <c r="H54" s="799">
        <f>SUM(H52:H53)</f>
        <v>12309</v>
      </c>
      <c r="I54" s="369"/>
      <c r="J54" s="44"/>
      <c r="K54" s="44"/>
    </row>
    <row r="55" spans="3:15" ht="21" customHeight="1"/>
    <row r="56" spans="3:15" ht="21" customHeight="1"/>
    <row r="57" spans="3:15" s="59" customFormat="1" ht="21" customHeight="1">
      <c r="C57" s="47" t="s">
        <v>3829</v>
      </c>
      <c r="D57" s="794" t="s">
        <v>8099</v>
      </c>
      <c r="E57" s="795"/>
      <c r="F57" s="795"/>
      <c r="G57" s="795"/>
      <c r="H57" s="795"/>
      <c r="I57" s="50">
        <f>ROUNDDOWN(H72,-2)</f>
        <v>16000</v>
      </c>
      <c r="J57" s="50" t="s">
        <v>6451</v>
      </c>
      <c r="K57" s="50" t="s">
        <v>8092</v>
      </c>
    </row>
    <row r="58" spans="3:15" s="59" customFormat="1" ht="21" customHeight="1">
      <c r="C58" s="591" t="s">
        <v>1195</v>
      </c>
      <c r="D58" s="591" t="s">
        <v>1196</v>
      </c>
      <c r="E58" s="591" t="s">
        <v>1197</v>
      </c>
      <c r="F58" s="591" t="s">
        <v>1198</v>
      </c>
      <c r="G58" s="591" t="s">
        <v>1199</v>
      </c>
      <c r="H58" s="591" t="s">
        <v>1200</v>
      </c>
      <c r="I58" s="44"/>
      <c r="J58" s="44"/>
      <c r="K58" s="44"/>
    </row>
    <row r="59" spans="3:15" s="59" customFormat="1" ht="21" customHeight="1">
      <c r="C59" s="61" t="s">
        <v>1201</v>
      </c>
      <c r="D59" s="56" t="s">
        <v>1202</v>
      </c>
      <c r="E59" s="57"/>
      <c r="F59" s="57"/>
      <c r="G59" s="57"/>
      <c r="H59" s="57"/>
      <c r="I59" s="44"/>
      <c r="J59" s="44"/>
      <c r="K59" s="44"/>
      <c r="L59" s="152" t="s">
        <v>1247</v>
      </c>
    </row>
    <row r="60" spans="3:15" s="59" customFormat="1" ht="21" customHeight="1">
      <c r="C60" s="588">
        <v>1</v>
      </c>
      <c r="D60" s="56" t="s">
        <v>5</v>
      </c>
      <c r="E60" s="577" t="s">
        <v>6</v>
      </c>
      <c r="F60" s="62">
        <v>0.04</v>
      </c>
      <c r="G60" s="63">
        <f>VLOOKUP(D60,upahbahan,3,FALSE)</f>
        <v>100000</v>
      </c>
      <c r="H60" s="63">
        <f>F60*G60</f>
        <v>4000</v>
      </c>
      <c r="I60" s="44"/>
      <c r="J60" s="44"/>
      <c r="K60" s="44"/>
      <c r="L60" s="152" t="s">
        <v>1248</v>
      </c>
      <c r="O60" s="65">
        <v>0.1</v>
      </c>
    </row>
    <row r="61" spans="3:15" s="59" customFormat="1" ht="21" customHeight="1">
      <c r="C61" s="588">
        <v>2</v>
      </c>
      <c r="D61" s="56" t="s">
        <v>10</v>
      </c>
      <c r="E61" s="577" t="s">
        <v>6</v>
      </c>
      <c r="F61" s="62">
        <v>6.8000000000000005E-2</v>
      </c>
      <c r="G61" s="63">
        <f>VLOOKUP(D61,upahbahan,3,FALSE)</f>
        <v>135000</v>
      </c>
      <c r="H61" s="63">
        <f>F61*G61</f>
        <v>9180</v>
      </c>
      <c r="I61" s="44"/>
      <c r="J61" s="44"/>
      <c r="K61" s="44"/>
    </row>
    <row r="62" spans="3:15" s="59" customFormat="1" ht="21" customHeight="1">
      <c r="C62" s="588">
        <v>3</v>
      </c>
      <c r="D62" s="56" t="s">
        <v>18</v>
      </c>
      <c r="E62" s="577" t="s">
        <v>6</v>
      </c>
      <c r="F62" s="62">
        <v>7.0000000000000001E-3</v>
      </c>
      <c r="G62" s="63">
        <f>VLOOKUP(D62,upahbahan,3,FALSE)</f>
        <v>150000</v>
      </c>
      <c r="H62" s="63">
        <f>F62*G62</f>
        <v>1050</v>
      </c>
      <c r="I62" s="44"/>
      <c r="J62" s="44"/>
      <c r="K62" s="44"/>
    </row>
    <row r="63" spans="3:15" s="59" customFormat="1" ht="21" customHeight="1">
      <c r="C63" s="588">
        <v>4</v>
      </c>
      <c r="D63" s="56" t="s">
        <v>19</v>
      </c>
      <c r="E63" s="577" t="s">
        <v>6</v>
      </c>
      <c r="F63" s="62">
        <v>2E-3</v>
      </c>
      <c r="G63" s="63">
        <f>VLOOKUP(D63,upahbahan,3,FALSE)</f>
        <v>160000</v>
      </c>
      <c r="H63" s="63">
        <f>F63*G63</f>
        <v>320</v>
      </c>
      <c r="I63" s="44"/>
      <c r="J63" s="44"/>
      <c r="K63" s="44"/>
    </row>
    <row r="64" spans="3:15" s="59" customFormat="1" ht="21" customHeight="1">
      <c r="C64" s="450" t="s">
        <v>1208</v>
      </c>
      <c r="D64" s="67"/>
      <c r="E64" s="67"/>
      <c r="F64" s="142"/>
      <c r="G64" s="153"/>
      <c r="H64" s="63">
        <f>SUM(H60:H63)</f>
        <v>14550</v>
      </c>
      <c r="I64" s="154"/>
      <c r="J64" s="154"/>
      <c r="K64" s="154"/>
    </row>
    <row r="65" spans="3:15" s="59" customFormat="1" ht="21" customHeight="1">
      <c r="C65" s="61" t="s">
        <v>1209</v>
      </c>
      <c r="D65" s="56" t="s">
        <v>1210</v>
      </c>
      <c r="E65" s="57"/>
      <c r="F65" s="57"/>
      <c r="G65" s="57"/>
      <c r="H65" s="57"/>
      <c r="I65" s="44"/>
      <c r="J65" s="44"/>
      <c r="K65" s="44"/>
    </row>
    <row r="66" spans="3:15" s="59" customFormat="1" ht="21" customHeight="1">
      <c r="C66" s="588">
        <v>1</v>
      </c>
      <c r="D66" s="56" t="s">
        <v>8100</v>
      </c>
      <c r="E66" s="73" t="s">
        <v>113</v>
      </c>
      <c r="F66" s="276">
        <v>1.45</v>
      </c>
      <c r="G66" s="63">
        <f>VLOOKUP(D66,upahbahan,3,FALSE)</f>
        <v>0</v>
      </c>
      <c r="H66" s="63">
        <f>F66*G66</f>
        <v>0</v>
      </c>
      <c r="I66" s="44"/>
      <c r="J66" s="44"/>
      <c r="K66" s="44"/>
    </row>
    <row r="67" spans="3:15" s="59" customFormat="1" ht="21" customHeight="1">
      <c r="C67" s="450" t="s">
        <v>1214</v>
      </c>
      <c r="D67" s="67"/>
      <c r="E67" s="67"/>
      <c r="F67" s="67"/>
      <c r="G67" s="69"/>
      <c r="H67" s="63">
        <f>SUM(H66:H66)</f>
        <v>0</v>
      </c>
      <c r="I67" s="44"/>
      <c r="J67" s="44"/>
      <c r="K67" s="44"/>
    </row>
    <row r="68" spans="3:15" s="59" customFormat="1" ht="21" customHeight="1">
      <c r="C68" s="61" t="s">
        <v>1215</v>
      </c>
      <c r="D68" s="56" t="s">
        <v>1216</v>
      </c>
      <c r="E68" s="57"/>
      <c r="F68" s="57"/>
      <c r="G68" s="57"/>
      <c r="H68" s="57"/>
      <c r="I68" s="44"/>
      <c r="J68" s="44"/>
      <c r="K68" s="44"/>
    </row>
    <row r="69" spans="3:15" s="59" customFormat="1" ht="21" customHeight="1">
      <c r="C69" s="450" t="s">
        <v>1217</v>
      </c>
      <c r="D69" s="67"/>
      <c r="E69" s="67"/>
      <c r="F69" s="67"/>
      <c r="G69" s="69"/>
      <c r="H69" s="589">
        <v>0</v>
      </c>
      <c r="I69" s="44"/>
      <c r="J69" s="44"/>
      <c r="K69" s="44"/>
    </row>
    <row r="70" spans="3:15" s="59" customFormat="1" ht="21" customHeight="1">
      <c r="C70" s="288" t="s">
        <v>1218</v>
      </c>
      <c r="D70" s="76" t="s">
        <v>1219</v>
      </c>
      <c r="E70" s="77"/>
      <c r="F70" s="77"/>
      <c r="G70" s="78"/>
      <c r="H70" s="585">
        <f>H69+H67+H64</f>
        <v>14550</v>
      </c>
      <c r="I70" s="369"/>
      <c r="J70" s="44"/>
      <c r="K70" s="44"/>
    </row>
    <row r="71" spans="3:15" s="59" customFormat="1" ht="21" customHeight="1">
      <c r="C71" s="288" t="s">
        <v>1220</v>
      </c>
      <c r="D71" s="76" t="s">
        <v>1321</v>
      </c>
      <c r="E71" s="77"/>
      <c r="F71" s="78"/>
      <c r="G71" s="80">
        <v>0.1</v>
      </c>
      <c r="H71" s="63">
        <f>H70*G71</f>
        <v>1455</v>
      </c>
      <c r="I71" s="369"/>
      <c r="J71" s="44"/>
      <c r="K71" s="44"/>
    </row>
    <row r="72" spans="3:15" s="59" customFormat="1" ht="21" customHeight="1">
      <c r="C72" s="288" t="s">
        <v>1221</v>
      </c>
      <c r="D72" s="76" t="s">
        <v>1222</v>
      </c>
      <c r="E72" s="77"/>
      <c r="F72" s="77"/>
      <c r="G72" s="78"/>
      <c r="H72" s="799">
        <f>SUM(H70:H71)</f>
        <v>16005</v>
      </c>
      <c r="I72" s="369"/>
      <c r="J72" s="44"/>
      <c r="K72" s="44"/>
    </row>
    <row r="73" spans="3:15" ht="21" customHeight="1">
      <c r="D73" s="86" t="s">
        <v>3830</v>
      </c>
    </row>
    <row r="74" spans="3:15" ht="21" customHeight="1"/>
    <row r="75" spans="3:15" ht="21" customHeight="1"/>
    <row r="76" spans="3:15" s="59" customFormat="1" ht="21" customHeight="1">
      <c r="C76" s="47" t="s">
        <v>3831</v>
      </c>
      <c r="D76" s="794" t="s">
        <v>8101</v>
      </c>
      <c r="E76" s="795"/>
      <c r="F76" s="795"/>
      <c r="G76" s="795"/>
      <c r="H76" s="795"/>
      <c r="I76" s="50">
        <f>ROUNDDOWN(H91,-2)</f>
        <v>18800</v>
      </c>
      <c r="J76" s="50" t="s">
        <v>6451</v>
      </c>
      <c r="K76" s="50" t="s">
        <v>8092</v>
      </c>
    </row>
    <row r="77" spans="3:15" s="59" customFormat="1" ht="21" customHeight="1">
      <c r="C77" s="591" t="s">
        <v>1195</v>
      </c>
      <c r="D77" s="591" t="s">
        <v>1196</v>
      </c>
      <c r="E77" s="591" t="s">
        <v>1197</v>
      </c>
      <c r="F77" s="591" t="s">
        <v>1198</v>
      </c>
      <c r="G77" s="591" t="s">
        <v>1199</v>
      </c>
      <c r="H77" s="591" t="s">
        <v>1200</v>
      </c>
      <c r="I77" s="44"/>
      <c r="J77" s="44"/>
      <c r="K77" s="44"/>
    </row>
    <row r="78" spans="3:15" s="59" customFormat="1" ht="21" customHeight="1">
      <c r="C78" s="61" t="s">
        <v>1201</v>
      </c>
      <c r="D78" s="56" t="s">
        <v>1202</v>
      </c>
      <c r="E78" s="57"/>
      <c r="F78" s="57"/>
      <c r="G78" s="57"/>
      <c r="H78" s="57"/>
      <c r="I78" s="44"/>
      <c r="J78" s="44"/>
      <c r="K78" s="44"/>
      <c r="L78" s="152" t="s">
        <v>1247</v>
      </c>
    </row>
    <row r="79" spans="3:15" s="59" customFormat="1" ht="21" customHeight="1">
      <c r="C79" s="588">
        <v>1</v>
      </c>
      <c r="D79" s="56" t="s">
        <v>5</v>
      </c>
      <c r="E79" s="577" t="s">
        <v>6</v>
      </c>
      <c r="F79" s="62">
        <v>4.8000000000000001E-2</v>
      </c>
      <c r="G79" s="63">
        <f>VLOOKUP(D79,upahbahan,3,FALSE)</f>
        <v>100000</v>
      </c>
      <c r="H79" s="63">
        <f>F79*G79</f>
        <v>4800</v>
      </c>
      <c r="I79" s="44"/>
      <c r="J79" s="44"/>
      <c r="K79" s="44"/>
      <c r="L79" s="152" t="s">
        <v>1248</v>
      </c>
      <c r="O79" s="65">
        <v>0.1</v>
      </c>
    </row>
    <row r="80" spans="3:15" s="59" customFormat="1" ht="21" customHeight="1">
      <c r="C80" s="588">
        <v>2</v>
      </c>
      <c r="D80" s="56" t="s">
        <v>10</v>
      </c>
      <c r="E80" s="577" t="s">
        <v>6</v>
      </c>
      <c r="F80" s="62">
        <v>0.08</v>
      </c>
      <c r="G80" s="63">
        <f>VLOOKUP(D80,upahbahan,3,FALSE)</f>
        <v>135000</v>
      </c>
      <c r="H80" s="63">
        <f>F80*G80</f>
        <v>10800</v>
      </c>
      <c r="I80" s="44"/>
      <c r="J80" s="44"/>
      <c r="K80" s="44"/>
    </row>
    <row r="81" spans="3:12" s="59" customFormat="1" ht="21" customHeight="1">
      <c r="C81" s="588">
        <v>3</v>
      </c>
      <c r="D81" s="56" t="s">
        <v>18</v>
      </c>
      <c r="E81" s="577" t="s">
        <v>6</v>
      </c>
      <c r="F81" s="62">
        <v>8.0000000000000002E-3</v>
      </c>
      <c r="G81" s="63">
        <f>VLOOKUP(D81,upahbahan,3,FALSE)</f>
        <v>150000</v>
      </c>
      <c r="H81" s="63">
        <f>F81*G81</f>
        <v>1200</v>
      </c>
      <c r="I81" s="44"/>
      <c r="J81" s="44"/>
      <c r="K81" s="44"/>
    </row>
    <row r="82" spans="3:12" s="59" customFormat="1" ht="21" customHeight="1">
      <c r="C82" s="588">
        <v>4</v>
      </c>
      <c r="D82" s="56" t="s">
        <v>19</v>
      </c>
      <c r="E82" s="577" t="s">
        <v>6</v>
      </c>
      <c r="F82" s="62">
        <v>2E-3</v>
      </c>
      <c r="G82" s="63">
        <f>VLOOKUP(D82,upahbahan,3,FALSE)</f>
        <v>160000</v>
      </c>
      <c r="H82" s="63">
        <f>F82*G82</f>
        <v>320</v>
      </c>
      <c r="I82" s="44"/>
      <c r="J82" s="44"/>
      <c r="K82" s="44"/>
    </row>
    <row r="83" spans="3:12" s="59" customFormat="1" ht="21" customHeight="1">
      <c r="C83" s="450" t="s">
        <v>1208</v>
      </c>
      <c r="D83" s="67"/>
      <c r="E83" s="67"/>
      <c r="F83" s="142"/>
      <c r="G83" s="153"/>
      <c r="H83" s="63">
        <f>SUM(H79:H82)</f>
        <v>17120</v>
      </c>
      <c r="I83" s="154"/>
      <c r="J83" s="154"/>
      <c r="K83" s="154"/>
    </row>
    <row r="84" spans="3:12" s="59" customFormat="1" ht="21" customHeight="1">
      <c r="C84" s="61" t="s">
        <v>1209</v>
      </c>
      <c r="D84" s="56" t="s">
        <v>1210</v>
      </c>
      <c r="E84" s="57"/>
      <c r="F84" s="57"/>
      <c r="G84" s="57"/>
      <c r="H84" s="57"/>
      <c r="I84" s="44"/>
      <c r="J84" s="44"/>
      <c r="K84" s="44"/>
    </row>
    <row r="85" spans="3:12" s="59" customFormat="1" ht="21" customHeight="1">
      <c r="C85" s="588">
        <v>1</v>
      </c>
      <c r="D85" s="56" t="s">
        <v>8102</v>
      </c>
      <c r="E85" s="73" t="s">
        <v>113</v>
      </c>
      <c r="F85" s="276">
        <v>1.45</v>
      </c>
      <c r="G85" s="63">
        <f>VLOOKUP(D85,upahbahan,3,FALSE)</f>
        <v>0</v>
      </c>
      <c r="H85" s="63">
        <f>F85*G85</f>
        <v>0</v>
      </c>
      <c r="I85" s="44"/>
      <c r="J85" s="44"/>
      <c r="K85" s="44"/>
    </row>
    <row r="86" spans="3:12" s="59" customFormat="1" ht="21" customHeight="1">
      <c r="C86" s="450" t="s">
        <v>1214</v>
      </c>
      <c r="D86" s="67"/>
      <c r="E86" s="67"/>
      <c r="F86" s="67"/>
      <c r="G86" s="69"/>
      <c r="H86" s="63">
        <f>SUM(H85:H85)</f>
        <v>0</v>
      </c>
      <c r="I86" s="44"/>
      <c r="J86" s="44"/>
      <c r="K86" s="44"/>
    </row>
    <row r="87" spans="3:12" s="59" customFormat="1" ht="21" customHeight="1">
      <c r="C87" s="61" t="s">
        <v>1215</v>
      </c>
      <c r="D87" s="56" t="s">
        <v>1216</v>
      </c>
      <c r="E87" s="57"/>
      <c r="F87" s="57"/>
      <c r="G87" s="57"/>
      <c r="H87" s="57"/>
      <c r="I87" s="44"/>
      <c r="J87" s="44"/>
      <c r="K87" s="44"/>
    </row>
    <row r="88" spans="3:12" s="59" customFormat="1" ht="21" customHeight="1">
      <c r="C88" s="450" t="s">
        <v>1217</v>
      </c>
      <c r="D88" s="67"/>
      <c r="E88" s="67"/>
      <c r="F88" s="67"/>
      <c r="G88" s="69"/>
      <c r="H88" s="589">
        <v>0</v>
      </c>
      <c r="I88" s="44"/>
      <c r="J88" s="44"/>
      <c r="K88" s="44"/>
    </row>
    <row r="89" spans="3:12" s="59" customFormat="1" ht="21" customHeight="1">
      <c r="C89" s="288" t="s">
        <v>1218</v>
      </c>
      <c r="D89" s="76" t="s">
        <v>1219</v>
      </c>
      <c r="E89" s="77"/>
      <c r="F89" s="77"/>
      <c r="G89" s="78"/>
      <c r="H89" s="585">
        <f>H88+H86+H83</f>
        <v>17120</v>
      </c>
      <c r="I89" s="369"/>
      <c r="J89" s="44"/>
      <c r="K89" s="44"/>
    </row>
    <row r="90" spans="3:12" s="59" customFormat="1" ht="21" customHeight="1">
      <c r="C90" s="288" t="s">
        <v>1220</v>
      </c>
      <c r="D90" s="76" t="s">
        <v>1321</v>
      </c>
      <c r="E90" s="77"/>
      <c r="F90" s="78"/>
      <c r="G90" s="80">
        <v>0.1</v>
      </c>
      <c r="H90" s="63">
        <f>H89*G90</f>
        <v>1712</v>
      </c>
      <c r="I90" s="369"/>
      <c r="J90" s="44"/>
      <c r="K90" s="44"/>
    </row>
    <row r="91" spans="3:12" s="59" customFormat="1" ht="21" customHeight="1">
      <c r="C91" s="288" t="s">
        <v>1221</v>
      </c>
      <c r="D91" s="76" t="s">
        <v>1222</v>
      </c>
      <c r="E91" s="77"/>
      <c r="F91" s="77"/>
      <c r="G91" s="78"/>
      <c r="H91" s="799">
        <f>SUM(H89:H90)</f>
        <v>18832</v>
      </c>
      <c r="I91" s="369"/>
      <c r="J91" s="44"/>
      <c r="K91" s="44"/>
    </row>
    <row r="92" spans="3:12" ht="21" customHeight="1">
      <c r="D92" s="86" t="s">
        <v>3830</v>
      </c>
    </row>
    <row r="93" spans="3:12" ht="21" customHeight="1"/>
    <row r="94" spans="3:12" s="59" customFormat="1" ht="21" customHeight="1">
      <c r="C94" s="47" t="s">
        <v>3832</v>
      </c>
      <c r="D94" s="794" t="s">
        <v>8103</v>
      </c>
      <c r="E94" s="795"/>
      <c r="F94" s="795"/>
      <c r="G94" s="795"/>
      <c r="H94" s="795"/>
      <c r="I94" s="50">
        <f>ROUNDDOWN(H109,-2)</f>
        <v>24500</v>
      </c>
      <c r="J94" s="50" t="s">
        <v>6451</v>
      </c>
      <c r="K94" s="50" t="s">
        <v>8092</v>
      </c>
    </row>
    <row r="95" spans="3:12" s="59" customFormat="1" ht="21" customHeight="1">
      <c r="C95" s="591" t="s">
        <v>1195</v>
      </c>
      <c r="D95" s="591" t="s">
        <v>1196</v>
      </c>
      <c r="E95" s="591" t="s">
        <v>1197</v>
      </c>
      <c r="F95" s="591" t="s">
        <v>1198</v>
      </c>
      <c r="G95" s="591" t="s">
        <v>1199</v>
      </c>
      <c r="H95" s="591" t="s">
        <v>1200</v>
      </c>
      <c r="I95" s="44"/>
      <c r="J95" s="44"/>
      <c r="K95" s="44"/>
    </row>
    <row r="96" spans="3:12" s="59" customFormat="1" ht="21" customHeight="1">
      <c r="C96" s="61" t="s">
        <v>1201</v>
      </c>
      <c r="D96" s="56" t="s">
        <v>1202</v>
      </c>
      <c r="E96" s="57"/>
      <c r="F96" s="57"/>
      <c r="G96" s="57"/>
      <c r="H96" s="57"/>
      <c r="I96" s="44"/>
      <c r="J96" s="44"/>
      <c r="K96" s="44"/>
      <c r="L96" s="152" t="s">
        <v>1247</v>
      </c>
    </row>
    <row r="97" spans="3:15" s="59" customFormat="1" ht="21" customHeight="1">
      <c r="C97" s="588">
        <v>1</v>
      </c>
      <c r="D97" s="56" t="s">
        <v>5</v>
      </c>
      <c r="E97" s="577" t="s">
        <v>6</v>
      </c>
      <c r="F97" s="62">
        <v>6.3E-2</v>
      </c>
      <c r="G97" s="63">
        <f>VLOOKUP(D97,upahbahan,3,FALSE)</f>
        <v>100000</v>
      </c>
      <c r="H97" s="63">
        <f>F97*G97</f>
        <v>6300</v>
      </c>
      <c r="I97" s="44"/>
      <c r="J97" s="44"/>
      <c r="K97" s="44"/>
      <c r="L97" s="152" t="s">
        <v>1248</v>
      </c>
      <c r="O97" s="65">
        <v>0.1</v>
      </c>
    </row>
    <row r="98" spans="3:15" s="59" customFormat="1" ht="21" customHeight="1">
      <c r="C98" s="588">
        <v>2</v>
      </c>
      <c r="D98" s="56" t="s">
        <v>10</v>
      </c>
      <c r="E98" s="577" t="s">
        <v>6</v>
      </c>
      <c r="F98" s="62">
        <v>0.104</v>
      </c>
      <c r="G98" s="63">
        <f>VLOOKUP(D98,upahbahan,3,FALSE)</f>
        <v>135000</v>
      </c>
      <c r="H98" s="63">
        <f>F98*G98</f>
        <v>14040</v>
      </c>
      <c r="I98" s="44"/>
      <c r="J98" s="44"/>
      <c r="K98" s="44"/>
    </row>
    <row r="99" spans="3:15" s="59" customFormat="1" ht="21" customHeight="1">
      <c r="C99" s="588">
        <v>3</v>
      </c>
      <c r="D99" s="56" t="s">
        <v>18</v>
      </c>
      <c r="E99" s="577" t="s">
        <v>6</v>
      </c>
      <c r="F99" s="62">
        <v>0.01</v>
      </c>
      <c r="G99" s="63">
        <f>VLOOKUP(D99,upahbahan,3,FALSE)</f>
        <v>150000</v>
      </c>
      <c r="H99" s="63">
        <f>F99*G99</f>
        <v>1500</v>
      </c>
      <c r="I99" s="44"/>
      <c r="J99" s="44"/>
      <c r="K99" s="44"/>
    </row>
    <row r="100" spans="3:15" s="59" customFormat="1" ht="21" customHeight="1">
      <c r="C100" s="588">
        <v>4</v>
      </c>
      <c r="D100" s="56" t="s">
        <v>19</v>
      </c>
      <c r="E100" s="577" t="s">
        <v>6</v>
      </c>
      <c r="F100" s="62">
        <v>3.0000000000000001E-3</v>
      </c>
      <c r="G100" s="63">
        <f>VLOOKUP(D100,upahbahan,3,FALSE)</f>
        <v>160000</v>
      </c>
      <c r="H100" s="63">
        <f>F100*G100</f>
        <v>480</v>
      </c>
      <c r="I100" s="44"/>
      <c r="J100" s="44"/>
      <c r="K100" s="44"/>
    </row>
    <row r="101" spans="3:15" s="59" customFormat="1" ht="21" customHeight="1">
      <c r="C101" s="450" t="s">
        <v>1208</v>
      </c>
      <c r="D101" s="67"/>
      <c r="E101" s="67"/>
      <c r="F101" s="142"/>
      <c r="G101" s="153"/>
      <c r="H101" s="63">
        <f>SUM(H97:H100)</f>
        <v>22320</v>
      </c>
      <c r="I101" s="154"/>
      <c r="J101" s="154"/>
      <c r="K101" s="154"/>
    </row>
    <row r="102" spans="3:15" s="59" customFormat="1" ht="21" customHeight="1">
      <c r="C102" s="61" t="s">
        <v>1209</v>
      </c>
      <c r="D102" s="56" t="s">
        <v>1210</v>
      </c>
      <c r="E102" s="57"/>
      <c r="F102" s="57"/>
      <c r="G102" s="57"/>
      <c r="H102" s="57"/>
      <c r="I102" s="44"/>
      <c r="J102" s="44"/>
      <c r="K102" s="44"/>
    </row>
    <row r="103" spans="3:15" s="59" customFormat="1" ht="21" customHeight="1">
      <c r="C103" s="588">
        <v>1</v>
      </c>
      <c r="D103" s="72" t="s">
        <v>8104</v>
      </c>
      <c r="E103" s="73" t="s">
        <v>113</v>
      </c>
      <c r="F103" s="276">
        <v>1.45</v>
      </c>
      <c r="G103" s="63">
        <f>VLOOKUP(D103,upahbahan,3,FALSE)</f>
        <v>0</v>
      </c>
      <c r="H103" s="63">
        <f>F103*G103</f>
        <v>0</v>
      </c>
      <c r="I103" s="44"/>
      <c r="J103" s="44"/>
      <c r="K103" s="44"/>
    </row>
    <row r="104" spans="3:15" s="59" customFormat="1" ht="21" customHeight="1">
      <c r="C104" s="450" t="s">
        <v>1214</v>
      </c>
      <c r="D104" s="67"/>
      <c r="E104" s="67"/>
      <c r="F104" s="67"/>
      <c r="G104" s="69"/>
      <c r="H104" s="63">
        <f>SUM(H103:H103)</f>
        <v>0</v>
      </c>
      <c r="I104" s="44"/>
      <c r="J104" s="44"/>
      <c r="K104" s="44"/>
    </row>
    <row r="105" spans="3:15" s="59" customFormat="1" ht="21" customHeight="1">
      <c r="C105" s="61" t="s">
        <v>1215</v>
      </c>
      <c r="D105" s="56" t="s">
        <v>1216</v>
      </c>
      <c r="E105" s="57"/>
      <c r="F105" s="57"/>
      <c r="G105" s="57"/>
      <c r="H105" s="57"/>
      <c r="I105" s="44"/>
      <c r="J105" s="44"/>
      <c r="K105" s="44"/>
    </row>
    <row r="106" spans="3:15" s="59" customFormat="1" ht="21" customHeight="1">
      <c r="C106" s="450" t="s">
        <v>1217</v>
      </c>
      <c r="D106" s="67"/>
      <c r="E106" s="67"/>
      <c r="F106" s="67"/>
      <c r="G106" s="69"/>
      <c r="H106" s="589">
        <v>0</v>
      </c>
      <c r="I106" s="44"/>
      <c r="J106" s="44"/>
      <c r="K106" s="44"/>
    </row>
    <row r="107" spans="3:15" s="59" customFormat="1" ht="21" customHeight="1">
      <c r="C107" s="288" t="s">
        <v>1218</v>
      </c>
      <c r="D107" s="76" t="s">
        <v>1219</v>
      </c>
      <c r="E107" s="77"/>
      <c r="F107" s="77"/>
      <c r="G107" s="78"/>
      <c r="H107" s="585">
        <f>H106+H104+H101</f>
        <v>22320</v>
      </c>
      <c r="I107" s="369"/>
      <c r="J107" s="44"/>
      <c r="K107" s="44"/>
    </row>
    <row r="108" spans="3:15" s="59" customFormat="1" ht="21" customHeight="1">
      <c r="C108" s="288" t="s">
        <v>1220</v>
      </c>
      <c r="D108" s="76" t="s">
        <v>1321</v>
      </c>
      <c r="E108" s="77"/>
      <c r="F108" s="78"/>
      <c r="G108" s="80">
        <v>0.1</v>
      </c>
      <c r="H108" s="63">
        <f>H107*G108</f>
        <v>2232</v>
      </c>
      <c r="I108" s="369"/>
      <c r="J108" s="44"/>
      <c r="K108" s="44"/>
    </row>
    <row r="109" spans="3:15" s="59" customFormat="1" ht="21" customHeight="1">
      <c r="C109" s="288" t="s">
        <v>1221</v>
      </c>
      <c r="D109" s="76" t="s">
        <v>1222</v>
      </c>
      <c r="E109" s="77"/>
      <c r="F109" s="77"/>
      <c r="G109" s="78"/>
      <c r="H109" s="799">
        <f>SUM(H107:H108)</f>
        <v>24552</v>
      </c>
      <c r="I109" s="369"/>
      <c r="J109" s="44"/>
      <c r="K109" s="44"/>
    </row>
    <row r="110" spans="3:15" ht="21" customHeight="1">
      <c r="D110" s="86" t="s">
        <v>3830</v>
      </c>
    </row>
    <row r="111" spans="3:15" ht="21" customHeight="1"/>
    <row r="112" spans="3:15" s="59" customFormat="1" ht="21" customHeight="1">
      <c r="C112" s="47" t="s">
        <v>3833</v>
      </c>
      <c r="D112" s="794" t="s">
        <v>8105</v>
      </c>
      <c r="E112" s="795"/>
      <c r="F112" s="795"/>
      <c r="G112" s="795"/>
      <c r="H112" s="795"/>
      <c r="I112" s="50">
        <f>ROUNDDOWN(H127,-2)</f>
        <v>30400</v>
      </c>
      <c r="J112" s="50" t="s">
        <v>6451</v>
      </c>
      <c r="K112" s="50" t="s">
        <v>8092</v>
      </c>
    </row>
    <row r="113" spans="3:15" s="59" customFormat="1" ht="21" customHeight="1">
      <c r="C113" s="591" t="s">
        <v>1195</v>
      </c>
      <c r="D113" s="591" t="s">
        <v>1196</v>
      </c>
      <c r="E113" s="591" t="s">
        <v>1197</v>
      </c>
      <c r="F113" s="591" t="s">
        <v>1198</v>
      </c>
      <c r="G113" s="591" t="s">
        <v>1199</v>
      </c>
      <c r="H113" s="591" t="s">
        <v>1200</v>
      </c>
      <c r="I113" s="44"/>
      <c r="J113" s="44"/>
      <c r="K113" s="44"/>
    </row>
    <row r="114" spans="3:15" s="59" customFormat="1" ht="21" customHeight="1">
      <c r="C114" s="61" t="s">
        <v>1201</v>
      </c>
      <c r="D114" s="56" t="s">
        <v>1202</v>
      </c>
      <c r="E114" s="57"/>
      <c r="F114" s="57"/>
      <c r="G114" s="57"/>
      <c r="H114" s="57"/>
      <c r="I114" s="44"/>
      <c r="J114" s="44"/>
      <c r="K114" s="44"/>
      <c r="L114" s="152" t="s">
        <v>1247</v>
      </c>
    </row>
    <row r="115" spans="3:15" s="59" customFormat="1" ht="21" customHeight="1">
      <c r="C115" s="588">
        <v>1</v>
      </c>
      <c r="D115" s="56" t="s">
        <v>5</v>
      </c>
      <c r="E115" s="577" t="s">
        <v>6</v>
      </c>
      <c r="F115" s="62">
        <v>7.6999999999999999E-2</v>
      </c>
      <c r="G115" s="63">
        <f>VLOOKUP(D115,upahbahan,3,FALSE)</f>
        <v>100000</v>
      </c>
      <c r="H115" s="63">
        <f>F115*G115</f>
        <v>7700</v>
      </c>
      <c r="I115" s="44"/>
      <c r="J115" s="44"/>
      <c r="K115" s="44"/>
      <c r="L115" s="152" t="s">
        <v>1248</v>
      </c>
      <c r="O115" s="65">
        <v>0.1</v>
      </c>
    </row>
    <row r="116" spans="3:15" s="59" customFormat="1" ht="21" customHeight="1">
      <c r="C116" s="588">
        <v>2</v>
      </c>
      <c r="D116" s="56" t="s">
        <v>10</v>
      </c>
      <c r="E116" s="577" t="s">
        <v>6</v>
      </c>
      <c r="F116" s="62">
        <v>0.129</v>
      </c>
      <c r="G116" s="63">
        <f>VLOOKUP(D116,upahbahan,3,FALSE)</f>
        <v>135000</v>
      </c>
      <c r="H116" s="63">
        <f>F116*G116</f>
        <v>17415</v>
      </c>
      <c r="I116" s="44"/>
      <c r="J116" s="44"/>
      <c r="K116" s="44"/>
    </row>
    <row r="117" spans="3:15" s="59" customFormat="1" ht="21" customHeight="1">
      <c r="C117" s="588">
        <v>3</v>
      </c>
      <c r="D117" s="56" t="s">
        <v>18</v>
      </c>
      <c r="E117" s="577" t="s">
        <v>6</v>
      </c>
      <c r="F117" s="62">
        <v>1.2999999999999999E-2</v>
      </c>
      <c r="G117" s="63">
        <f>VLOOKUP(D117,upahbahan,3,FALSE)</f>
        <v>150000</v>
      </c>
      <c r="H117" s="63">
        <f>F117*G117</f>
        <v>1950</v>
      </c>
      <c r="I117" s="44"/>
      <c r="J117" s="44"/>
      <c r="K117" s="44"/>
    </row>
    <row r="118" spans="3:15" s="59" customFormat="1" ht="21" customHeight="1">
      <c r="C118" s="588">
        <v>4</v>
      </c>
      <c r="D118" s="56" t="s">
        <v>19</v>
      </c>
      <c r="E118" s="577" t="s">
        <v>6</v>
      </c>
      <c r="F118" s="62">
        <v>4.0000000000000001E-3</v>
      </c>
      <c r="G118" s="63">
        <f>VLOOKUP(D118,upahbahan,3,FALSE)</f>
        <v>160000</v>
      </c>
      <c r="H118" s="63">
        <f>F118*G118</f>
        <v>640</v>
      </c>
      <c r="I118" s="44"/>
      <c r="J118" s="44"/>
      <c r="K118" s="44"/>
    </row>
    <row r="119" spans="3:15" s="59" customFormat="1" ht="21" customHeight="1">
      <c r="C119" s="450" t="s">
        <v>1208</v>
      </c>
      <c r="D119" s="67"/>
      <c r="E119" s="67"/>
      <c r="F119" s="142"/>
      <c r="G119" s="153"/>
      <c r="H119" s="63">
        <f>SUM(H115:H118)</f>
        <v>27705</v>
      </c>
      <c r="I119" s="154"/>
      <c r="J119" s="154"/>
      <c r="K119" s="154"/>
    </row>
    <row r="120" spans="3:15" s="59" customFormat="1" ht="21" customHeight="1">
      <c r="C120" s="61" t="s">
        <v>1209</v>
      </c>
      <c r="D120" s="56" t="s">
        <v>1210</v>
      </c>
      <c r="E120" s="57"/>
      <c r="F120" s="57"/>
      <c r="G120" s="57"/>
      <c r="H120" s="57"/>
      <c r="I120" s="44"/>
      <c r="J120" s="44"/>
      <c r="K120" s="44"/>
    </row>
    <row r="121" spans="3:15" s="59" customFormat="1" ht="21" customHeight="1">
      <c r="C121" s="588">
        <v>1</v>
      </c>
      <c r="D121" s="72" t="s">
        <v>8106</v>
      </c>
      <c r="E121" s="73" t="s">
        <v>113</v>
      </c>
      <c r="F121" s="276">
        <v>1.45</v>
      </c>
      <c r="G121" s="63">
        <f>VLOOKUP(D121,upahbahan,3,FALSE)</f>
        <v>0</v>
      </c>
      <c r="H121" s="63">
        <f>F121*G121</f>
        <v>0</v>
      </c>
      <c r="I121" s="44"/>
      <c r="J121" s="44"/>
      <c r="K121" s="44"/>
    </row>
    <row r="122" spans="3:15" s="59" customFormat="1" ht="21" customHeight="1">
      <c r="C122" s="450" t="s">
        <v>1214</v>
      </c>
      <c r="D122" s="67"/>
      <c r="E122" s="67"/>
      <c r="F122" s="67"/>
      <c r="G122" s="69"/>
      <c r="H122" s="63">
        <f>SUM(H121:H121)</f>
        <v>0</v>
      </c>
      <c r="I122" s="44"/>
      <c r="J122" s="44"/>
      <c r="K122" s="44"/>
    </row>
    <row r="123" spans="3:15" s="59" customFormat="1" ht="21" customHeight="1">
      <c r="C123" s="61" t="s">
        <v>1215</v>
      </c>
      <c r="D123" s="56" t="s">
        <v>1216</v>
      </c>
      <c r="E123" s="57"/>
      <c r="F123" s="57"/>
      <c r="G123" s="57"/>
      <c r="H123" s="57"/>
      <c r="I123" s="44"/>
      <c r="J123" s="44"/>
      <c r="K123" s="44"/>
    </row>
    <row r="124" spans="3:15" s="59" customFormat="1" ht="21" customHeight="1">
      <c r="C124" s="450" t="s">
        <v>1217</v>
      </c>
      <c r="D124" s="67"/>
      <c r="E124" s="67"/>
      <c r="F124" s="67"/>
      <c r="G124" s="69"/>
      <c r="H124" s="589">
        <v>0</v>
      </c>
      <c r="I124" s="44"/>
      <c r="J124" s="44"/>
      <c r="K124" s="44"/>
    </row>
    <row r="125" spans="3:15" s="59" customFormat="1" ht="21" customHeight="1">
      <c r="C125" s="288" t="s">
        <v>1218</v>
      </c>
      <c r="D125" s="76" t="s">
        <v>1219</v>
      </c>
      <c r="E125" s="77"/>
      <c r="F125" s="77"/>
      <c r="G125" s="78"/>
      <c r="H125" s="585">
        <f>H124+H122+H119</f>
        <v>27705</v>
      </c>
      <c r="I125" s="369"/>
      <c r="J125" s="44"/>
      <c r="K125" s="44"/>
    </row>
    <row r="126" spans="3:15" s="59" customFormat="1" ht="21" customHeight="1">
      <c r="C126" s="288" t="s">
        <v>1220</v>
      </c>
      <c r="D126" s="76" t="s">
        <v>1321</v>
      </c>
      <c r="E126" s="77"/>
      <c r="F126" s="78"/>
      <c r="G126" s="80">
        <v>0.1</v>
      </c>
      <c r="H126" s="63">
        <f>H125*G126</f>
        <v>2770.5</v>
      </c>
      <c r="I126" s="369"/>
      <c r="J126" s="44"/>
      <c r="K126" s="44"/>
    </row>
    <row r="127" spans="3:15" s="59" customFormat="1" ht="21" customHeight="1">
      <c r="C127" s="288" t="s">
        <v>1221</v>
      </c>
      <c r="D127" s="76" t="s">
        <v>1222</v>
      </c>
      <c r="E127" s="77"/>
      <c r="F127" s="77"/>
      <c r="G127" s="78"/>
      <c r="H127" s="799">
        <f>SUM(H125:H126)</f>
        <v>30475.5</v>
      </c>
      <c r="I127" s="369"/>
      <c r="J127" s="44"/>
      <c r="K127" s="44"/>
    </row>
    <row r="128" spans="3:15" ht="21" customHeight="1">
      <c r="D128" s="86" t="s">
        <v>3830</v>
      </c>
    </row>
    <row r="129" spans="3:15" ht="21" customHeight="1"/>
    <row r="130" spans="3:15" ht="21" customHeight="1"/>
    <row r="131" spans="3:15" s="59" customFormat="1" ht="21" customHeight="1">
      <c r="C131" s="47" t="s">
        <v>3834</v>
      </c>
      <c r="D131" s="794" t="s">
        <v>8107</v>
      </c>
      <c r="E131" s="795"/>
      <c r="F131" s="795"/>
      <c r="G131" s="795"/>
      <c r="H131" s="795"/>
      <c r="I131" s="50">
        <f>ROUNDDOWN(H146,-2)</f>
        <v>37100</v>
      </c>
      <c r="J131" s="50" t="s">
        <v>6451</v>
      </c>
      <c r="K131" s="50" t="s">
        <v>8092</v>
      </c>
    </row>
    <row r="132" spans="3:15" s="59" customFormat="1" ht="21" customHeight="1">
      <c r="C132" s="591" t="s">
        <v>1195</v>
      </c>
      <c r="D132" s="591" t="s">
        <v>1196</v>
      </c>
      <c r="E132" s="591" t="s">
        <v>1197</v>
      </c>
      <c r="F132" s="591" t="s">
        <v>1198</v>
      </c>
      <c r="G132" s="591" t="s">
        <v>1199</v>
      </c>
      <c r="H132" s="591" t="s">
        <v>1200</v>
      </c>
      <c r="I132" s="44"/>
      <c r="J132" s="44"/>
      <c r="K132" s="44"/>
    </row>
    <row r="133" spans="3:15" s="59" customFormat="1" ht="21" customHeight="1">
      <c r="C133" s="61" t="s">
        <v>1201</v>
      </c>
      <c r="D133" s="56" t="s">
        <v>1202</v>
      </c>
      <c r="E133" s="57"/>
      <c r="F133" s="57"/>
      <c r="G133" s="57"/>
      <c r="H133" s="57"/>
      <c r="I133" s="44"/>
      <c r="J133" s="44"/>
      <c r="K133" s="44"/>
      <c r="L133" s="152" t="s">
        <v>1247</v>
      </c>
    </row>
    <row r="134" spans="3:15" s="59" customFormat="1" ht="21" customHeight="1">
      <c r="C134" s="588">
        <v>1</v>
      </c>
      <c r="D134" s="56" t="s">
        <v>5</v>
      </c>
      <c r="E134" s="577" t="s">
        <v>6</v>
      </c>
      <c r="F134" s="62">
        <v>9.4E-2</v>
      </c>
      <c r="G134" s="63">
        <f>VLOOKUP(D134,upahbahan,3,FALSE)</f>
        <v>100000</v>
      </c>
      <c r="H134" s="63">
        <f>F134*G134</f>
        <v>9400</v>
      </c>
      <c r="I134" s="44"/>
      <c r="J134" s="44"/>
      <c r="K134" s="44"/>
      <c r="L134" s="152" t="s">
        <v>1248</v>
      </c>
      <c r="O134" s="65">
        <v>0.1</v>
      </c>
    </row>
    <row r="135" spans="3:15" s="59" customFormat="1" ht="21" customHeight="1">
      <c r="C135" s="588">
        <v>2</v>
      </c>
      <c r="D135" s="56" t="s">
        <v>10</v>
      </c>
      <c r="E135" s="577" t="s">
        <v>6</v>
      </c>
      <c r="F135" s="62">
        <v>0.157</v>
      </c>
      <c r="G135" s="63">
        <f>VLOOKUP(D135,upahbahan,3,FALSE)</f>
        <v>135000</v>
      </c>
      <c r="H135" s="63">
        <f>F135*G135</f>
        <v>21195</v>
      </c>
      <c r="I135" s="44"/>
      <c r="J135" s="44"/>
      <c r="K135" s="44"/>
    </row>
    <row r="136" spans="3:15" s="59" customFormat="1" ht="21" customHeight="1">
      <c r="C136" s="588">
        <v>3</v>
      </c>
      <c r="D136" s="56" t="s">
        <v>18</v>
      </c>
      <c r="E136" s="577" t="s">
        <v>6</v>
      </c>
      <c r="F136" s="62">
        <v>1.6E-2</v>
      </c>
      <c r="G136" s="63">
        <f>VLOOKUP(D136,upahbahan,3,FALSE)</f>
        <v>150000</v>
      </c>
      <c r="H136" s="63">
        <f>F136*G136</f>
        <v>2400</v>
      </c>
      <c r="I136" s="44"/>
      <c r="J136" s="44"/>
      <c r="K136" s="44"/>
    </row>
    <row r="137" spans="3:15" s="59" customFormat="1" ht="21" customHeight="1">
      <c r="C137" s="588">
        <v>4</v>
      </c>
      <c r="D137" s="56" t="s">
        <v>19</v>
      </c>
      <c r="E137" s="577" t="s">
        <v>6</v>
      </c>
      <c r="F137" s="62">
        <v>5.0000000000000001E-3</v>
      </c>
      <c r="G137" s="63">
        <f>VLOOKUP(D137,upahbahan,3,FALSE)</f>
        <v>160000</v>
      </c>
      <c r="H137" s="63">
        <f>F137*G137</f>
        <v>800</v>
      </c>
      <c r="I137" s="44"/>
      <c r="J137" s="44"/>
      <c r="K137" s="44"/>
    </row>
    <row r="138" spans="3:15" s="59" customFormat="1" ht="21" customHeight="1">
      <c r="C138" s="450" t="s">
        <v>1208</v>
      </c>
      <c r="D138" s="67"/>
      <c r="E138" s="67"/>
      <c r="F138" s="142"/>
      <c r="G138" s="153"/>
      <c r="H138" s="63">
        <f>SUM(H134:H137)</f>
        <v>33795</v>
      </c>
      <c r="I138" s="154"/>
      <c r="J138" s="154"/>
      <c r="K138" s="154"/>
    </row>
    <row r="139" spans="3:15" s="59" customFormat="1" ht="21" customHeight="1">
      <c r="C139" s="61" t="s">
        <v>1209</v>
      </c>
      <c r="D139" s="56" t="s">
        <v>1210</v>
      </c>
      <c r="E139" s="57"/>
      <c r="F139" s="57"/>
      <c r="G139" s="57"/>
      <c r="H139" s="57"/>
      <c r="I139" s="44"/>
      <c r="J139" s="44"/>
      <c r="K139" s="44"/>
    </row>
    <row r="140" spans="3:15" s="59" customFormat="1" ht="21" customHeight="1">
      <c r="C140" s="588">
        <v>1</v>
      </c>
      <c r="D140" s="56" t="s">
        <v>8108</v>
      </c>
      <c r="E140" s="73" t="s">
        <v>113</v>
      </c>
      <c r="F140" s="276">
        <v>1.45</v>
      </c>
      <c r="G140" s="63">
        <f>VLOOKUP(D140,upahbahan,3,FALSE)</f>
        <v>0</v>
      </c>
      <c r="H140" s="63">
        <f>F140*G140</f>
        <v>0</v>
      </c>
      <c r="I140" s="44"/>
      <c r="J140" s="44"/>
      <c r="K140" s="44"/>
    </row>
    <row r="141" spans="3:15" s="59" customFormat="1" ht="21" customHeight="1">
      <c r="C141" s="450" t="s">
        <v>1214</v>
      </c>
      <c r="D141" s="67"/>
      <c r="E141" s="67"/>
      <c r="F141" s="67"/>
      <c r="G141" s="69"/>
      <c r="H141" s="63">
        <f>SUM(H140:H140)</f>
        <v>0</v>
      </c>
      <c r="I141" s="44"/>
      <c r="J141" s="44"/>
      <c r="K141" s="44"/>
    </row>
    <row r="142" spans="3:15" s="59" customFormat="1" ht="21" customHeight="1">
      <c r="C142" s="61" t="s">
        <v>1215</v>
      </c>
      <c r="D142" s="56" t="s">
        <v>1216</v>
      </c>
      <c r="E142" s="57"/>
      <c r="F142" s="57"/>
      <c r="G142" s="57"/>
      <c r="H142" s="57"/>
      <c r="I142" s="44"/>
      <c r="J142" s="44"/>
      <c r="K142" s="44"/>
    </row>
    <row r="143" spans="3:15" s="59" customFormat="1" ht="21" customHeight="1">
      <c r="C143" s="450" t="s">
        <v>1217</v>
      </c>
      <c r="D143" s="67"/>
      <c r="E143" s="67"/>
      <c r="F143" s="67"/>
      <c r="G143" s="69"/>
      <c r="H143" s="589">
        <v>0</v>
      </c>
      <c r="I143" s="44"/>
      <c r="J143" s="44"/>
      <c r="K143" s="44"/>
    </row>
    <row r="144" spans="3:15" s="59" customFormat="1" ht="21" customHeight="1">
      <c r="C144" s="288" t="s">
        <v>1218</v>
      </c>
      <c r="D144" s="76" t="s">
        <v>1219</v>
      </c>
      <c r="E144" s="77"/>
      <c r="F144" s="77"/>
      <c r="G144" s="78"/>
      <c r="H144" s="585">
        <f>H143+H141+H138</f>
        <v>33795</v>
      </c>
      <c r="I144" s="369"/>
      <c r="J144" s="44"/>
      <c r="K144" s="44"/>
    </row>
    <row r="145" spans="3:15" s="59" customFormat="1" ht="21" customHeight="1">
      <c r="C145" s="288" t="s">
        <v>1220</v>
      </c>
      <c r="D145" s="76" t="s">
        <v>1321</v>
      </c>
      <c r="E145" s="77"/>
      <c r="F145" s="78"/>
      <c r="G145" s="80">
        <v>0.1</v>
      </c>
      <c r="H145" s="63">
        <f>H144*G145</f>
        <v>3379.5</v>
      </c>
      <c r="I145" s="369"/>
      <c r="J145" s="44"/>
      <c r="K145" s="44"/>
    </row>
    <row r="146" spans="3:15" s="59" customFormat="1" ht="21" customHeight="1">
      <c r="C146" s="288" t="s">
        <v>1221</v>
      </c>
      <c r="D146" s="76" t="s">
        <v>1222</v>
      </c>
      <c r="E146" s="77"/>
      <c r="F146" s="77"/>
      <c r="G146" s="78"/>
      <c r="H146" s="799">
        <f>SUM(H144:H145)</f>
        <v>37174.5</v>
      </c>
      <c r="I146" s="369"/>
      <c r="J146" s="44"/>
      <c r="K146" s="44"/>
    </row>
    <row r="147" spans="3:15" ht="21" customHeight="1">
      <c r="D147" s="86" t="s">
        <v>3830</v>
      </c>
    </row>
    <row r="148" spans="3:15" ht="21" customHeight="1"/>
    <row r="149" spans="3:15" s="59" customFormat="1" ht="21" customHeight="1">
      <c r="C149" s="47" t="s">
        <v>3835</v>
      </c>
      <c r="D149" s="794" t="s">
        <v>8109</v>
      </c>
      <c r="E149" s="795"/>
      <c r="F149" s="795"/>
      <c r="G149" s="795"/>
      <c r="H149" s="795"/>
      <c r="I149" s="50">
        <f>ROUNDDOWN(H164,-2)</f>
        <v>166500</v>
      </c>
      <c r="J149" s="50" t="s">
        <v>6451</v>
      </c>
      <c r="K149" s="50" t="s">
        <v>8092</v>
      </c>
    </row>
    <row r="150" spans="3:15" s="59" customFormat="1" ht="21" customHeight="1">
      <c r="C150" s="591" t="s">
        <v>1195</v>
      </c>
      <c r="D150" s="591" t="s">
        <v>1196</v>
      </c>
      <c r="E150" s="591" t="s">
        <v>1197</v>
      </c>
      <c r="F150" s="591" t="s">
        <v>1198</v>
      </c>
      <c r="G150" s="591" t="s">
        <v>1199</v>
      </c>
      <c r="H150" s="591" t="s">
        <v>1200</v>
      </c>
      <c r="I150" s="44"/>
      <c r="J150" s="44"/>
      <c r="K150" s="44"/>
    </row>
    <row r="151" spans="3:15" s="59" customFormat="1" ht="21" customHeight="1">
      <c r="C151" s="61" t="s">
        <v>1201</v>
      </c>
      <c r="D151" s="56" t="s">
        <v>1202</v>
      </c>
      <c r="E151" s="57"/>
      <c r="F151" s="57"/>
      <c r="G151" s="57"/>
      <c r="H151" s="57"/>
      <c r="I151" s="44"/>
      <c r="J151" s="44"/>
      <c r="K151" s="44"/>
      <c r="L151" s="152" t="s">
        <v>1247</v>
      </c>
    </row>
    <row r="152" spans="3:15" s="59" customFormat="1" ht="21" customHeight="1">
      <c r="C152" s="588">
        <v>1</v>
      </c>
      <c r="D152" s="56" t="s">
        <v>5</v>
      </c>
      <c r="E152" s="577" t="s">
        <v>6</v>
      </c>
      <c r="F152" s="62">
        <v>0.123</v>
      </c>
      <c r="G152" s="63">
        <f>VLOOKUP(D152,upahbahan,3,FALSE)</f>
        <v>100000</v>
      </c>
      <c r="H152" s="63">
        <f>F152*G152</f>
        <v>12300</v>
      </c>
      <c r="I152" s="44"/>
      <c r="J152" s="44"/>
      <c r="K152" s="44"/>
      <c r="L152" s="152" t="s">
        <v>1248</v>
      </c>
      <c r="O152" s="65">
        <v>0.1</v>
      </c>
    </row>
    <row r="153" spans="3:15" s="59" customFormat="1" ht="21" customHeight="1">
      <c r="C153" s="588">
        <v>2</v>
      </c>
      <c r="D153" s="56" t="s">
        <v>10</v>
      </c>
      <c r="E153" s="577" t="s">
        <v>6</v>
      </c>
      <c r="F153" s="62">
        <v>0.20499999999999999</v>
      </c>
      <c r="G153" s="63">
        <f>VLOOKUP(D153,upahbahan,3,FALSE)</f>
        <v>135000</v>
      </c>
      <c r="H153" s="63">
        <f>F153*G153</f>
        <v>27675</v>
      </c>
      <c r="I153" s="44"/>
      <c r="J153" s="44"/>
      <c r="K153" s="44"/>
    </row>
    <row r="154" spans="3:15" s="59" customFormat="1" ht="21" customHeight="1">
      <c r="C154" s="588">
        <v>3</v>
      </c>
      <c r="D154" s="56" t="s">
        <v>18</v>
      </c>
      <c r="E154" s="577" t="s">
        <v>6</v>
      </c>
      <c r="F154" s="62">
        <v>2.1000000000000001E-2</v>
      </c>
      <c r="G154" s="63">
        <f>VLOOKUP(D154,upahbahan,3,FALSE)</f>
        <v>150000</v>
      </c>
      <c r="H154" s="63">
        <f>F154*G154</f>
        <v>3150</v>
      </c>
      <c r="I154" s="44"/>
      <c r="J154" s="44"/>
      <c r="K154" s="44"/>
    </row>
    <row r="155" spans="3:15" s="59" customFormat="1" ht="21" customHeight="1">
      <c r="C155" s="588">
        <v>4</v>
      </c>
      <c r="D155" s="56" t="s">
        <v>19</v>
      </c>
      <c r="E155" s="577" t="s">
        <v>6</v>
      </c>
      <c r="F155" s="62">
        <v>6.0000000000000001E-3</v>
      </c>
      <c r="G155" s="63">
        <f>VLOOKUP(D155,upahbahan,3,FALSE)</f>
        <v>160000</v>
      </c>
      <c r="H155" s="63">
        <f>F155*G155</f>
        <v>960</v>
      </c>
      <c r="I155" s="44"/>
      <c r="J155" s="44"/>
      <c r="K155" s="44"/>
    </row>
    <row r="156" spans="3:15" s="59" customFormat="1" ht="21" customHeight="1">
      <c r="C156" s="450" t="s">
        <v>1208</v>
      </c>
      <c r="D156" s="67"/>
      <c r="E156" s="67"/>
      <c r="F156" s="142"/>
      <c r="G156" s="153"/>
      <c r="H156" s="63">
        <f>SUM(H152:H155)</f>
        <v>44085</v>
      </c>
      <c r="I156" s="154"/>
      <c r="J156" s="154"/>
      <c r="K156" s="154"/>
    </row>
    <row r="157" spans="3:15" s="59" customFormat="1" ht="21" customHeight="1">
      <c r="C157" s="61" t="s">
        <v>1209</v>
      </c>
      <c r="D157" s="56" t="s">
        <v>1210</v>
      </c>
      <c r="E157" s="57"/>
      <c r="F157" s="57"/>
      <c r="G157" s="57"/>
      <c r="H157" s="57"/>
      <c r="I157" s="44"/>
      <c r="J157" s="44"/>
      <c r="K157" s="44"/>
    </row>
    <row r="158" spans="3:15" s="59" customFormat="1" ht="21" customHeight="1">
      <c r="C158" s="588">
        <v>1</v>
      </c>
      <c r="D158" s="56" t="s">
        <v>8110</v>
      </c>
      <c r="E158" s="73" t="s">
        <v>113</v>
      </c>
      <c r="F158" s="276">
        <v>1.45</v>
      </c>
      <c r="G158" s="63">
        <f>VLOOKUP(D158,upahbahan,3,FALSE)</f>
        <v>74000</v>
      </c>
      <c r="H158" s="63">
        <f>F158*G158</f>
        <v>107300</v>
      </c>
      <c r="I158" s="44"/>
      <c r="J158" s="44"/>
      <c r="K158" s="44"/>
    </row>
    <row r="159" spans="3:15" s="59" customFormat="1" ht="21" customHeight="1">
      <c r="C159" s="450" t="s">
        <v>1214</v>
      </c>
      <c r="D159" s="67"/>
      <c r="E159" s="67"/>
      <c r="F159" s="67"/>
      <c r="G159" s="69"/>
      <c r="H159" s="63">
        <f>SUM(H158:H158)</f>
        <v>107300</v>
      </c>
      <c r="I159" s="44"/>
      <c r="J159" s="44"/>
      <c r="K159" s="44"/>
    </row>
    <row r="160" spans="3:15" s="59" customFormat="1" ht="21" customHeight="1">
      <c r="C160" s="61" t="s">
        <v>1215</v>
      </c>
      <c r="D160" s="56" t="s">
        <v>1216</v>
      </c>
      <c r="E160" s="57"/>
      <c r="F160" s="57"/>
      <c r="G160" s="57"/>
      <c r="H160" s="57"/>
      <c r="I160" s="44"/>
      <c r="J160" s="44"/>
      <c r="K160" s="44"/>
    </row>
    <row r="161" spans="3:15" s="59" customFormat="1" ht="21" customHeight="1">
      <c r="C161" s="450" t="s">
        <v>1217</v>
      </c>
      <c r="D161" s="67"/>
      <c r="E161" s="67"/>
      <c r="F161" s="67"/>
      <c r="G161" s="69"/>
      <c r="H161" s="589">
        <v>0</v>
      </c>
      <c r="I161" s="44"/>
      <c r="J161" s="44"/>
      <c r="K161" s="44"/>
    </row>
    <row r="162" spans="3:15" s="59" customFormat="1" ht="21" customHeight="1">
      <c r="C162" s="288" t="s">
        <v>1218</v>
      </c>
      <c r="D162" s="76" t="s">
        <v>1219</v>
      </c>
      <c r="E162" s="77"/>
      <c r="F162" s="77"/>
      <c r="G162" s="78"/>
      <c r="H162" s="585">
        <f>H161+H159+H156</f>
        <v>151385</v>
      </c>
      <c r="I162" s="369"/>
      <c r="J162" s="44"/>
      <c r="K162" s="44"/>
    </row>
    <row r="163" spans="3:15" s="59" customFormat="1" ht="21" customHeight="1">
      <c r="C163" s="288" t="s">
        <v>1220</v>
      </c>
      <c r="D163" s="76" t="s">
        <v>1321</v>
      </c>
      <c r="E163" s="77"/>
      <c r="F163" s="78"/>
      <c r="G163" s="80">
        <v>0.1</v>
      </c>
      <c r="H163" s="63">
        <f>H162*G163</f>
        <v>15138.5</v>
      </c>
      <c r="I163" s="369"/>
      <c r="J163" s="44"/>
      <c r="K163" s="44"/>
    </row>
    <row r="164" spans="3:15" s="59" customFormat="1" ht="21" customHeight="1">
      <c r="C164" s="288" t="s">
        <v>1221</v>
      </c>
      <c r="D164" s="76" t="s">
        <v>1222</v>
      </c>
      <c r="E164" s="77"/>
      <c r="F164" s="77"/>
      <c r="G164" s="78"/>
      <c r="H164" s="799">
        <f>SUM(H162:H163)</f>
        <v>166523.5</v>
      </c>
      <c r="I164" s="369"/>
      <c r="J164" s="44"/>
      <c r="K164" s="44"/>
    </row>
    <row r="165" spans="3:15" ht="21" customHeight="1">
      <c r="D165" s="86" t="s">
        <v>3830</v>
      </c>
    </row>
    <row r="166" spans="3:15" ht="21" customHeight="1"/>
    <row r="167" spans="3:15" s="59" customFormat="1" ht="21" customHeight="1">
      <c r="C167" s="47" t="s">
        <v>3836</v>
      </c>
      <c r="D167" s="794" t="s">
        <v>8111</v>
      </c>
      <c r="E167" s="795"/>
      <c r="F167" s="795"/>
      <c r="G167" s="795"/>
      <c r="H167" s="795"/>
      <c r="I167" s="50">
        <f>ROUNDDOWN(H182,-2)</f>
        <v>221000</v>
      </c>
      <c r="J167" s="50" t="s">
        <v>6451</v>
      </c>
      <c r="K167" s="50" t="s">
        <v>8092</v>
      </c>
    </row>
    <row r="168" spans="3:15" s="59" customFormat="1" ht="21" customHeight="1">
      <c r="C168" s="591" t="s">
        <v>1195</v>
      </c>
      <c r="D168" s="591" t="s">
        <v>1196</v>
      </c>
      <c r="E168" s="591" t="s">
        <v>1197</v>
      </c>
      <c r="F168" s="591" t="s">
        <v>1198</v>
      </c>
      <c r="G168" s="591" t="s">
        <v>1199</v>
      </c>
      <c r="H168" s="591" t="s">
        <v>1200</v>
      </c>
      <c r="I168" s="44"/>
      <c r="J168" s="44"/>
      <c r="K168" s="44"/>
    </row>
    <row r="169" spans="3:15" s="59" customFormat="1" ht="21" customHeight="1">
      <c r="C169" s="61" t="s">
        <v>1201</v>
      </c>
      <c r="D169" s="56" t="s">
        <v>1202</v>
      </c>
      <c r="E169" s="57"/>
      <c r="F169" s="57"/>
      <c r="G169" s="57"/>
      <c r="H169" s="57"/>
      <c r="I169" s="44"/>
      <c r="J169" s="44"/>
      <c r="K169" s="44"/>
      <c r="L169" s="152" t="s">
        <v>1247</v>
      </c>
    </row>
    <row r="170" spans="3:15" s="59" customFormat="1" ht="21" customHeight="1">
      <c r="C170" s="588">
        <v>1</v>
      </c>
      <c r="D170" s="56" t="s">
        <v>5</v>
      </c>
      <c r="E170" s="577" t="s">
        <v>6</v>
      </c>
      <c r="F170" s="62">
        <v>0.152</v>
      </c>
      <c r="G170" s="63">
        <f>VLOOKUP(D170,upahbahan,3,FALSE)</f>
        <v>100000</v>
      </c>
      <c r="H170" s="63">
        <f>F170*G170</f>
        <v>15200</v>
      </c>
      <c r="I170" s="44"/>
      <c r="J170" s="44"/>
      <c r="K170" s="44"/>
      <c r="L170" s="152" t="s">
        <v>1248</v>
      </c>
      <c r="O170" s="65">
        <v>0.1</v>
      </c>
    </row>
    <row r="171" spans="3:15" s="59" customFormat="1" ht="21" customHeight="1">
      <c r="C171" s="588">
        <v>2</v>
      </c>
      <c r="D171" s="56" t="s">
        <v>10</v>
      </c>
      <c r="E171" s="577" t="s">
        <v>6</v>
      </c>
      <c r="F171" s="62">
        <v>0.254</v>
      </c>
      <c r="G171" s="63">
        <f>VLOOKUP(D171,upahbahan,3,FALSE)</f>
        <v>135000</v>
      </c>
      <c r="H171" s="63">
        <f>F171*G171</f>
        <v>34290</v>
      </c>
      <c r="I171" s="44"/>
      <c r="J171" s="44"/>
      <c r="K171" s="44"/>
    </row>
    <row r="172" spans="3:15" s="59" customFormat="1" ht="21" customHeight="1">
      <c r="C172" s="588">
        <v>3</v>
      </c>
      <c r="D172" s="56" t="s">
        <v>18</v>
      </c>
      <c r="E172" s="577" t="s">
        <v>6</v>
      </c>
      <c r="F172" s="62">
        <v>2.5000000000000001E-2</v>
      </c>
      <c r="G172" s="63">
        <f>VLOOKUP(D172,upahbahan,3,FALSE)</f>
        <v>150000</v>
      </c>
      <c r="H172" s="63">
        <f>F172*G172</f>
        <v>3750</v>
      </c>
      <c r="I172" s="44"/>
      <c r="J172" s="44"/>
      <c r="K172" s="44"/>
    </row>
    <row r="173" spans="3:15" s="59" customFormat="1" ht="21" customHeight="1">
      <c r="C173" s="588">
        <v>4</v>
      </c>
      <c r="D173" s="56" t="s">
        <v>19</v>
      </c>
      <c r="E173" s="577" t="s">
        <v>6</v>
      </c>
      <c r="F173" s="62">
        <v>8.0000000000000002E-3</v>
      </c>
      <c r="G173" s="63">
        <f>VLOOKUP(D173,upahbahan,3,FALSE)</f>
        <v>160000</v>
      </c>
      <c r="H173" s="63">
        <f>F173*G173</f>
        <v>1280</v>
      </c>
      <c r="I173" s="44"/>
      <c r="J173" s="44"/>
      <c r="K173" s="44"/>
    </row>
    <row r="174" spans="3:15" s="59" customFormat="1" ht="21" customHeight="1">
      <c r="C174" s="450" t="s">
        <v>1208</v>
      </c>
      <c r="D174" s="67"/>
      <c r="E174" s="67"/>
      <c r="F174" s="142"/>
      <c r="G174" s="153"/>
      <c r="H174" s="63">
        <f>SUM(H170:H173)</f>
        <v>54520</v>
      </c>
      <c r="I174" s="154"/>
      <c r="J174" s="154"/>
      <c r="K174" s="154"/>
    </row>
    <row r="175" spans="3:15" s="59" customFormat="1" ht="21" customHeight="1">
      <c r="C175" s="61" t="s">
        <v>1209</v>
      </c>
      <c r="D175" s="56" t="s">
        <v>1210</v>
      </c>
      <c r="E175" s="57"/>
      <c r="F175" s="57"/>
      <c r="G175" s="57"/>
      <c r="H175" s="57"/>
      <c r="I175" s="44"/>
      <c r="J175" s="44"/>
      <c r="K175" s="44"/>
    </row>
    <row r="176" spans="3:15" s="59" customFormat="1" ht="21" customHeight="1">
      <c r="C176" s="588">
        <v>1</v>
      </c>
      <c r="D176" s="56" t="s">
        <v>8112</v>
      </c>
      <c r="E176" s="73" t="s">
        <v>113</v>
      </c>
      <c r="F176" s="276">
        <v>1.45</v>
      </c>
      <c r="G176" s="63">
        <f>VLOOKUP(D176,upahbahan,3,FALSE)</f>
        <v>101000</v>
      </c>
      <c r="H176" s="63">
        <f>F176*G176</f>
        <v>146450</v>
      </c>
      <c r="I176" s="44"/>
      <c r="J176" s="44"/>
      <c r="K176" s="44"/>
    </row>
    <row r="177" spans="3:15" s="59" customFormat="1" ht="21" customHeight="1">
      <c r="C177" s="450" t="s">
        <v>1214</v>
      </c>
      <c r="D177" s="67"/>
      <c r="E177" s="67"/>
      <c r="F177" s="67"/>
      <c r="G177" s="69"/>
      <c r="H177" s="63">
        <f>SUM(H176:H176)</f>
        <v>146450</v>
      </c>
      <c r="I177" s="44"/>
      <c r="J177" s="44"/>
      <c r="K177" s="44"/>
    </row>
    <row r="178" spans="3:15" s="59" customFormat="1" ht="21" customHeight="1">
      <c r="C178" s="61" t="s">
        <v>1215</v>
      </c>
      <c r="D178" s="56" t="s">
        <v>1216</v>
      </c>
      <c r="E178" s="57"/>
      <c r="F178" s="57"/>
      <c r="G178" s="57"/>
      <c r="H178" s="57"/>
      <c r="I178" s="44"/>
      <c r="J178" s="44"/>
      <c r="K178" s="44"/>
    </row>
    <row r="179" spans="3:15" s="59" customFormat="1" ht="21" customHeight="1">
      <c r="C179" s="450" t="s">
        <v>1217</v>
      </c>
      <c r="D179" s="67"/>
      <c r="E179" s="67"/>
      <c r="F179" s="67"/>
      <c r="G179" s="69"/>
      <c r="H179" s="589">
        <v>0</v>
      </c>
      <c r="I179" s="44"/>
      <c r="J179" s="44"/>
      <c r="K179" s="44"/>
    </row>
    <row r="180" spans="3:15" s="59" customFormat="1" ht="21" customHeight="1">
      <c r="C180" s="288" t="s">
        <v>1218</v>
      </c>
      <c r="D180" s="76" t="s">
        <v>1219</v>
      </c>
      <c r="E180" s="77"/>
      <c r="F180" s="77"/>
      <c r="G180" s="78"/>
      <c r="H180" s="585">
        <f>H179+H177+H174</f>
        <v>200970</v>
      </c>
      <c r="I180" s="369"/>
      <c r="J180" s="44"/>
      <c r="K180" s="44"/>
    </row>
    <row r="181" spans="3:15" s="59" customFormat="1" ht="21" customHeight="1">
      <c r="C181" s="288" t="s">
        <v>1220</v>
      </c>
      <c r="D181" s="76" t="s">
        <v>1321</v>
      </c>
      <c r="E181" s="77"/>
      <c r="F181" s="78"/>
      <c r="G181" s="80">
        <v>0.1</v>
      </c>
      <c r="H181" s="63">
        <f>H180*G181</f>
        <v>20097</v>
      </c>
      <c r="I181" s="369"/>
      <c r="J181" s="44"/>
      <c r="K181" s="44"/>
    </row>
    <row r="182" spans="3:15" s="59" customFormat="1" ht="21" customHeight="1">
      <c r="C182" s="288" t="s">
        <v>1221</v>
      </c>
      <c r="D182" s="76" t="s">
        <v>1222</v>
      </c>
      <c r="E182" s="77"/>
      <c r="F182" s="77"/>
      <c r="G182" s="78"/>
      <c r="H182" s="799">
        <f>SUM(H180:H181)</f>
        <v>221067</v>
      </c>
      <c r="I182" s="369"/>
      <c r="J182" s="44"/>
      <c r="K182" s="44"/>
    </row>
    <row r="183" spans="3:15" ht="21" customHeight="1">
      <c r="D183" s="86" t="s">
        <v>3830</v>
      </c>
    </row>
    <row r="184" spans="3:15" ht="21" customHeight="1"/>
    <row r="185" spans="3:15" ht="21" customHeight="1"/>
    <row r="186" spans="3:15" s="59" customFormat="1" ht="21" customHeight="1">
      <c r="C186" s="47" t="s">
        <v>3837</v>
      </c>
      <c r="D186" s="794" t="s">
        <v>8113</v>
      </c>
      <c r="E186" s="795"/>
      <c r="F186" s="795"/>
      <c r="G186" s="795"/>
      <c r="H186" s="795"/>
      <c r="I186" s="50">
        <f>ROUNDDOWN(H201,-2)</f>
        <v>244500</v>
      </c>
      <c r="J186" s="50" t="s">
        <v>6451</v>
      </c>
      <c r="K186" s="50" t="s">
        <v>8092</v>
      </c>
    </row>
    <row r="187" spans="3:15" s="59" customFormat="1" ht="21" customHeight="1">
      <c r="C187" s="591" t="s">
        <v>1195</v>
      </c>
      <c r="D187" s="591" t="s">
        <v>1196</v>
      </c>
      <c r="E187" s="591" t="s">
        <v>1197</v>
      </c>
      <c r="F187" s="591" t="s">
        <v>1198</v>
      </c>
      <c r="G187" s="591" t="s">
        <v>1199</v>
      </c>
      <c r="H187" s="591" t="s">
        <v>1200</v>
      </c>
      <c r="I187" s="44"/>
      <c r="J187" s="44"/>
      <c r="K187" s="44"/>
    </row>
    <row r="188" spans="3:15" s="59" customFormat="1" ht="21" customHeight="1">
      <c r="C188" s="61" t="s">
        <v>1201</v>
      </c>
      <c r="D188" s="56" t="s">
        <v>1202</v>
      </c>
      <c r="E188" s="57"/>
      <c r="F188" s="57"/>
      <c r="G188" s="57"/>
      <c r="H188" s="57"/>
      <c r="I188" s="44"/>
      <c r="J188" s="44"/>
      <c r="K188" s="44"/>
      <c r="L188" s="152" t="s">
        <v>1247</v>
      </c>
    </row>
    <row r="189" spans="3:15" s="59" customFormat="1" ht="21" customHeight="1">
      <c r="C189" s="588">
        <v>1</v>
      </c>
      <c r="D189" s="56" t="s">
        <v>5</v>
      </c>
      <c r="E189" s="577" t="s">
        <v>6</v>
      </c>
      <c r="F189" s="62">
        <v>0.183</v>
      </c>
      <c r="G189" s="63">
        <f>VLOOKUP(D189,upahbahan,3,FALSE)</f>
        <v>100000</v>
      </c>
      <c r="H189" s="63">
        <f>F189*G189</f>
        <v>18300</v>
      </c>
      <c r="I189" s="44"/>
      <c r="J189" s="44"/>
      <c r="K189" s="44"/>
      <c r="L189" s="152" t="s">
        <v>1248</v>
      </c>
      <c r="O189" s="65">
        <v>0.1</v>
      </c>
    </row>
    <row r="190" spans="3:15" s="59" customFormat="1" ht="21" customHeight="1">
      <c r="C190" s="588">
        <v>2</v>
      </c>
      <c r="D190" s="56" t="s">
        <v>10</v>
      </c>
      <c r="E190" s="577" t="s">
        <v>6</v>
      </c>
      <c r="F190" s="62">
        <v>0.30599999999999999</v>
      </c>
      <c r="G190" s="63">
        <f>VLOOKUP(D190,upahbahan,3,FALSE)</f>
        <v>135000</v>
      </c>
      <c r="H190" s="63">
        <f>F190*G190</f>
        <v>41310</v>
      </c>
      <c r="I190" s="44"/>
      <c r="J190" s="44"/>
      <c r="K190" s="44"/>
    </row>
    <row r="191" spans="3:15" s="59" customFormat="1" ht="21" customHeight="1">
      <c r="C191" s="588">
        <v>3</v>
      </c>
      <c r="D191" s="56" t="s">
        <v>18</v>
      </c>
      <c r="E191" s="577" t="s">
        <v>6</v>
      </c>
      <c r="F191" s="62">
        <v>3.1E-2</v>
      </c>
      <c r="G191" s="63">
        <f>VLOOKUP(D191,upahbahan,3,FALSE)</f>
        <v>150000</v>
      </c>
      <c r="H191" s="63">
        <f>F191*G191</f>
        <v>4650</v>
      </c>
      <c r="I191" s="44"/>
      <c r="J191" s="44"/>
      <c r="K191" s="44"/>
    </row>
    <row r="192" spans="3:15" s="59" customFormat="1" ht="21" customHeight="1">
      <c r="C192" s="588">
        <v>4</v>
      </c>
      <c r="D192" s="56" t="s">
        <v>19</v>
      </c>
      <c r="E192" s="577" t="s">
        <v>6</v>
      </c>
      <c r="F192" s="62">
        <v>8.9999999999999993E-3</v>
      </c>
      <c r="G192" s="63">
        <f>VLOOKUP(D192,upahbahan,3,FALSE)</f>
        <v>160000</v>
      </c>
      <c r="H192" s="63">
        <f>F192*G192</f>
        <v>1440</v>
      </c>
      <c r="I192" s="44"/>
      <c r="J192" s="44"/>
      <c r="K192" s="44"/>
    </row>
    <row r="193" spans="3:15" s="59" customFormat="1" ht="21" customHeight="1">
      <c r="C193" s="450" t="s">
        <v>1208</v>
      </c>
      <c r="D193" s="67"/>
      <c r="E193" s="67"/>
      <c r="F193" s="142"/>
      <c r="G193" s="153"/>
      <c r="H193" s="63">
        <f>SUM(H189:H192)</f>
        <v>65700</v>
      </c>
      <c r="I193" s="154"/>
      <c r="J193" s="154"/>
      <c r="K193" s="154"/>
    </row>
    <row r="194" spans="3:15" s="59" customFormat="1" ht="21" customHeight="1">
      <c r="C194" s="61" t="s">
        <v>1209</v>
      </c>
      <c r="D194" s="56" t="s">
        <v>1210</v>
      </c>
      <c r="E194" s="57"/>
      <c r="F194" s="57"/>
      <c r="G194" s="57"/>
      <c r="H194" s="57"/>
      <c r="I194" s="44"/>
      <c r="J194" s="44"/>
      <c r="K194" s="44"/>
    </row>
    <row r="195" spans="3:15" s="59" customFormat="1" ht="21" customHeight="1">
      <c r="C195" s="588">
        <v>1</v>
      </c>
      <c r="D195" s="72" t="s">
        <v>8113</v>
      </c>
      <c r="E195" s="73" t="s">
        <v>113</v>
      </c>
      <c r="F195" s="276">
        <v>1.45</v>
      </c>
      <c r="G195" s="63">
        <f>VLOOKUP(D195,upahbahan,3,FALSE)</f>
        <v>108000</v>
      </c>
      <c r="H195" s="63">
        <f>F195*G195</f>
        <v>156600</v>
      </c>
      <c r="I195" s="44"/>
      <c r="J195" s="44"/>
      <c r="K195" s="44"/>
    </row>
    <row r="196" spans="3:15" s="59" customFormat="1" ht="21" customHeight="1">
      <c r="C196" s="450" t="s">
        <v>1214</v>
      </c>
      <c r="D196" s="67"/>
      <c r="E196" s="67"/>
      <c r="F196" s="67"/>
      <c r="G196" s="69"/>
      <c r="H196" s="63">
        <f>SUM(H195:H195)</f>
        <v>156600</v>
      </c>
      <c r="I196" s="44"/>
      <c r="J196" s="44"/>
      <c r="K196" s="44"/>
    </row>
    <row r="197" spans="3:15" s="59" customFormat="1" ht="21" customHeight="1">
      <c r="C197" s="61" t="s">
        <v>1215</v>
      </c>
      <c r="D197" s="56" t="s">
        <v>1216</v>
      </c>
      <c r="E197" s="57"/>
      <c r="F197" s="57"/>
      <c r="G197" s="57"/>
      <c r="H197" s="57"/>
      <c r="I197" s="44"/>
      <c r="J197" s="44"/>
      <c r="K197" s="44"/>
    </row>
    <row r="198" spans="3:15" s="59" customFormat="1" ht="21" customHeight="1">
      <c r="C198" s="450" t="s">
        <v>1217</v>
      </c>
      <c r="D198" s="67"/>
      <c r="E198" s="67"/>
      <c r="F198" s="67"/>
      <c r="G198" s="69"/>
      <c r="H198" s="589">
        <v>0</v>
      </c>
      <c r="I198" s="44"/>
      <c r="J198" s="44"/>
      <c r="K198" s="44"/>
    </row>
    <row r="199" spans="3:15" s="59" customFormat="1" ht="21" customHeight="1">
      <c r="C199" s="288" t="s">
        <v>1218</v>
      </c>
      <c r="D199" s="76" t="s">
        <v>1219</v>
      </c>
      <c r="E199" s="77"/>
      <c r="F199" s="77"/>
      <c r="G199" s="78"/>
      <c r="H199" s="585">
        <f>H198+H196+H193</f>
        <v>222300</v>
      </c>
      <c r="I199" s="369"/>
      <c r="J199" s="44"/>
      <c r="K199" s="44"/>
    </row>
    <row r="200" spans="3:15" s="59" customFormat="1" ht="21" customHeight="1">
      <c r="C200" s="288" t="s">
        <v>1220</v>
      </c>
      <c r="D200" s="76" t="s">
        <v>1321</v>
      </c>
      <c r="E200" s="77"/>
      <c r="F200" s="78"/>
      <c r="G200" s="80">
        <v>0.1</v>
      </c>
      <c r="H200" s="63">
        <f>H199*G200</f>
        <v>22230</v>
      </c>
      <c r="I200" s="369"/>
      <c r="J200" s="44"/>
      <c r="K200" s="44"/>
    </row>
    <row r="201" spans="3:15" s="59" customFormat="1" ht="21" customHeight="1">
      <c r="C201" s="288" t="s">
        <v>1221</v>
      </c>
      <c r="D201" s="76" t="s">
        <v>1222</v>
      </c>
      <c r="E201" s="77"/>
      <c r="F201" s="77"/>
      <c r="G201" s="78"/>
      <c r="H201" s="799">
        <f>SUM(H199:H200)</f>
        <v>244530</v>
      </c>
      <c r="I201" s="369"/>
      <c r="J201" s="44"/>
      <c r="K201" s="44"/>
    </row>
    <row r="202" spans="3:15" ht="21" customHeight="1">
      <c r="D202" s="86" t="s">
        <v>3830</v>
      </c>
    </row>
    <row r="203" spans="3:15" ht="21" customHeight="1"/>
    <row r="204" spans="3:15" s="59" customFormat="1" ht="21" customHeight="1">
      <c r="C204" s="47" t="s">
        <v>3838</v>
      </c>
      <c r="D204" s="794" t="s">
        <v>8114</v>
      </c>
      <c r="E204" s="795"/>
      <c r="F204" s="795"/>
      <c r="G204" s="795"/>
      <c r="H204" s="795"/>
      <c r="I204" s="50">
        <f>ROUNDDOWN(H219,-2)</f>
        <v>309100</v>
      </c>
      <c r="J204" s="50" t="s">
        <v>6451</v>
      </c>
      <c r="K204" s="50" t="s">
        <v>8092</v>
      </c>
    </row>
    <row r="205" spans="3:15" s="59" customFormat="1" ht="21" customHeight="1">
      <c r="C205" s="591" t="s">
        <v>1195</v>
      </c>
      <c r="D205" s="591" t="s">
        <v>1196</v>
      </c>
      <c r="E205" s="591" t="s">
        <v>1197</v>
      </c>
      <c r="F205" s="591" t="s">
        <v>1198</v>
      </c>
      <c r="G205" s="591" t="s">
        <v>1199</v>
      </c>
      <c r="H205" s="591" t="s">
        <v>1200</v>
      </c>
      <c r="I205" s="44"/>
      <c r="J205" s="44"/>
      <c r="K205" s="44"/>
    </row>
    <row r="206" spans="3:15" s="59" customFormat="1" ht="21" customHeight="1">
      <c r="C206" s="61" t="s">
        <v>1201</v>
      </c>
      <c r="D206" s="56" t="s">
        <v>1202</v>
      </c>
      <c r="E206" s="57"/>
      <c r="F206" s="57"/>
      <c r="G206" s="57"/>
      <c r="H206" s="57"/>
      <c r="I206" s="44"/>
      <c r="J206" s="44"/>
      <c r="K206" s="44"/>
      <c r="L206" s="152" t="s">
        <v>1247</v>
      </c>
    </row>
    <row r="207" spans="3:15" s="59" customFormat="1" ht="21" customHeight="1">
      <c r="C207" s="588">
        <v>1</v>
      </c>
      <c r="D207" s="56" t="s">
        <v>5</v>
      </c>
      <c r="E207" s="577" t="s">
        <v>6</v>
      </c>
      <c r="F207" s="62">
        <v>0.246</v>
      </c>
      <c r="G207" s="63">
        <f>VLOOKUP(D207,upahbahan,3,FALSE)</f>
        <v>100000</v>
      </c>
      <c r="H207" s="63">
        <f>F207*G207</f>
        <v>24600</v>
      </c>
      <c r="I207" s="44"/>
      <c r="J207" s="44"/>
      <c r="K207" s="44"/>
      <c r="L207" s="152" t="s">
        <v>1248</v>
      </c>
      <c r="O207" s="65">
        <v>0.1</v>
      </c>
    </row>
    <row r="208" spans="3:15" s="59" customFormat="1" ht="21" customHeight="1">
      <c r="C208" s="588">
        <v>2</v>
      </c>
      <c r="D208" s="56" t="s">
        <v>10</v>
      </c>
      <c r="E208" s="577" t="s">
        <v>6</v>
      </c>
      <c r="F208" s="62">
        <v>0.41099999999999998</v>
      </c>
      <c r="G208" s="63">
        <f>VLOOKUP(D208,upahbahan,3,FALSE)</f>
        <v>135000</v>
      </c>
      <c r="H208" s="63">
        <f>F208*G208</f>
        <v>55485</v>
      </c>
      <c r="I208" s="44"/>
      <c r="J208" s="44"/>
      <c r="K208" s="44"/>
    </row>
    <row r="209" spans="3:12" s="59" customFormat="1" ht="21" customHeight="1">
      <c r="C209" s="588">
        <v>3</v>
      </c>
      <c r="D209" s="56" t="s">
        <v>18</v>
      </c>
      <c r="E209" s="577" t="s">
        <v>6</v>
      </c>
      <c r="F209" s="62">
        <v>4.1000000000000002E-2</v>
      </c>
      <c r="G209" s="63">
        <f>VLOOKUP(D209,upahbahan,3,FALSE)</f>
        <v>150000</v>
      </c>
      <c r="H209" s="63">
        <f>F209*G209</f>
        <v>6150</v>
      </c>
      <c r="I209" s="44"/>
      <c r="J209" s="44"/>
      <c r="K209" s="44"/>
    </row>
    <row r="210" spans="3:12" s="59" customFormat="1" ht="21" customHeight="1">
      <c r="C210" s="588">
        <v>4</v>
      </c>
      <c r="D210" s="56" t="s">
        <v>19</v>
      </c>
      <c r="E210" s="577" t="s">
        <v>6</v>
      </c>
      <c r="F210" s="62">
        <v>1.2E-2</v>
      </c>
      <c r="G210" s="63">
        <f>VLOOKUP(D210,upahbahan,3,FALSE)</f>
        <v>160000</v>
      </c>
      <c r="H210" s="63">
        <f>F210*G210</f>
        <v>1920</v>
      </c>
      <c r="I210" s="44"/>
      <c r="J210" s="44"/>
      <c r="K210" s="44"/>
    </row>
    <row r="211" spans="3:12" s="59" customFormat="1" ht="21" customHeight="1">
      <c r="C211" s="450" t="s">
        <v>1208</v>
      </c>
      <c r="D211" s="67"/>
      <c r="E211" s="67"/>
      <c r="F211" s="142"/>
      <c r="G211" s="153"/>
      <c r="H211" s="63">
        <f>SUM(H207:H210)</f>
        <v>88155</v>
      </c>
      <c r="I211" s="154"/>
      <c r="J211" s="154"/>
      <c r="K211" s="154"/>
    </row>
    <row r="212" spans="3:12" s="59" customFormat="1" ht="21" customHeight="1">
      <c r="C212" s="61" t="s">
        <v>1209</v>
      </c>
      <c r="D212" s="56" t="s">
        <v>1210</v>
      </c>
      <c r="E212" s="57"/>
      <c r="F212" s="57"/>
      <c r="G212" s="57"/>
      <c r="H212" s="57"/>
      <c r="I212" s="44"/>
      <c r="J212" s="44"/>
      <c r="K212" s="44"/>
    </row>
    <row r="213" spans="3:12" s="59" customFormat="1" ht="21" customHeight="1">
      <c r="C213" s="588">
        <v>1</v>
      </c>
      <c r="D213" s="56" t="s">
        <v>8115</v>
      </c>
      <c r="E213" s="73" t="s">
        <v>113</v>
      </c>
      <c r="F213" s="276">
        <v>1.45</v>
      </c>
      <c r="G213" s="63">
        <f>VLOOKUP(D213,upahbahan,3,FALSE)</f>
        <v>133000</v>
      </c>
      <c r="H213" s="63">
        <f>F213*G213</f>
        <v>192850</v>
      </c>
      <c r="I213" s="44"/>
      <c r="J213" s="44"/>
      <c r="K213" s="44"/>
    </row>
    <row r="214" spans="3:12" s="59" customFormat="1" ht="21" customHeight="1">
      <c r="C214" s="450" t="s">
        <v>1214</v>
      </c>
      <c r="D214" s="67"/>
      <c r="E214" s="67"/>
      <c r="F214" s="67"/>
      <c r="G214" s="69"/>
      <c r="H214" s="63">
        <f>SUM(H213:H213)</f>
        <v>192850</v>
      </c>
      <c r="I214" s="44"/>
      <c r="J214" s="44"/>
      <c r="K214" s="44"/>
    </row>
    <row r="215" spans="3:12" s="59" customFormat="1" ht="21" customHeight="1">
      <c r="C215" s="61" t="s">
        <v>1215</v>
      </c>
      <c r="D215" s="56" t="s">
        <v>1216</v>
      </c>
      <c r="E215" s="57"/>
      <c r="F215" s="57"/>
      <c r="G215" s="57"/>
      <c r="H215" s="57"/>
      <c r="I215" s="44"/>
      <c r="J215" s="44"/>
      <c r="K215" s="44"/>
    </row>
    <row r="216" spans="3:12" s="59" customFormat="1" ht="21" customHeight="1">
      <c r="C216" s="450" t="s">
        <v>1217</v>
      </c>
      <c r="D216" s="67"/>
      <c r="E216" s="67"/>
      <c r="F216" s="67"/>
      <c r="G216" s="69"/>
      <c r="H216" s="589">
        <v>0</v>
      </c>
      <c r="I216" s="44"/>
      <c r="J216" s="44"/>
      <c r="K216" s="44"/>
    </row>
    <row r="217" spans="3:12" s="59" customFormat="1" ht="21" customHeight="1">
      <c r="C217" s="288" t="s">
        <v>1218</v>
      </c>
      <c r="D217" s="76" t="s">
        <v>1219</v>
      </c>
      <c r="E217" s="77"/>
      <c r="F217" s="77"/>
      <c r="G217" s="78"/>
      <c r="H217" s="585">
        <f>H216+H214+H211</f>
        <v>281005</v>
      </c>
      <c r="I217" s="369"/>
      <c r="J217" s="44"/>
      <c r="K217" s="44"/>
    </row>
    <row r="218" spans="3:12" s="59" customFormat="1" ht="21" customHeight="1">
      <c r="C218" s="288" t="s">
        <v>1220</v>
      </c>
      <c r="D218" s="76" t="s">
        <v>1321</v>
      </c>
      <c r="E218" s="77"/>
      <c r="F218" s="78"/>
      <c r="G218" s="80">
        <v>0.1</v>
      </c>
      <c r="H218" s="63">
        <f>H217*G218</f>
        <v>28100.5</v>
      </c>
      <c r="I218" s="369"/>
      <c r="J218" s="44"/>
      <c r="K218" s="44"/>
    </row>
    <row r="219" spans="3:12" s="59" customFormat="1" ht="21" customHeight="1">
      <c r="C219" s="288" t="s">
        <v>1221</v>
      </c>
      <c r="D219" s="76" t="s">
        <v>1222</v>
      </c>
      <c r="E219" s="77"/>
      <c r="F219" s="77"/>
      <c r="G219" s="78"/>
      <c r="H219" s="799">
        <f>SUM(H217:H218)</f>
        <v>309105.5</v>
      </c>
      <c r="I219" s="369"/>
      <c r="J219" s="44"/>
      <c r="K219" s="44"/>
    </row>
    <row r="220" spans="3:12" ht="21" customHeight="1">
      <c r="D220" s="86" t="s">
        <v>3830</v>
      </c>
    </row>
    <row r="221" spans="3:12" ht="21" customHeight="1"/>
    <row r="222" spans="3:12" s="59" customFormat="1" ht="21" customHeight="1">
      <c r="C222" s="47" t="s">
        <v>3839</v>
      </c>
      <c r="D222" s="794" t="s">
        <v>8116</v>
      </c>
      <c r="E222" s="795"/>
      <c r="F222" s="795"/>
      <c r="G222" s="795"/>
      <c r="H222" s="795"/>
      <c r="I222" s="50">
        <f>ROUNDDOWN(H237,-2)</f>
        <v>490600</v>
      </c>
      <c r="J222" s="50" t="s">
        <v>6451</v>
      </c>
      <c r="K222" s="50" t="s">
        <v>8092</v>
      </c>
    </row>
    <row r="223" spans="3:12" s="59" customFormat="1" ht="21" customHeight="1">
      <c r="C223" s="591" t="s">
        <v>1195</v>
      </c>
      <c r="D223" s="591" t="s">
        <v>1196</v>
      </c>
      <c r="E223" s="591" t="s">
        <v>1197</v>
      </c>
      <c r="F223" s="591" t="s">
        <v>1198</v>
      </c>
      <c r="G223" s="591" t="s">
        <v>1199</v>
      </c>
      <c r="H223" s="591" t="s">
        <v>1200</v>
      </c>
      <c r="I223" s="44"/>
      <c r="J223" s="44"/>
      <c r="K223" s="44"/>
    </row>
    <row r="224" spans="3:12" s="59" customFormat="1" ht="21" customHeight="1">
      <c r="C224" s="61" t="s">
        <v>1201</v>
      </c>
      <c r="D224" s="56" t="s">
        <v>1202</v>
      </c>
      <c r="E224" s="57"/>
      <c r="F224" s="57"/>
      <c r="G224" s="57"/>
      <c r="H224" s="57"/>
      <c r="I224" s="44"/>
      <c r="J224" s="44"/>
      <c r="K224" s="44"/>
      <c r="L224" s="152" t="s">
        <v>1247</v>
      </c>
    </row>
    <row r="225" spans="3:15" s="59" customFormat="1" ht="21" customHeight="1">
      <c r="C225" s="588">
        <v>1</v>
      </c>
      <c r="D225" s="56" t="s">
        <v>5</v>
      </c>
      <c r="E225" s="577" t="s">
        <v>6</v>
      </c>
      <c r="F225" s="62">
        <v>0.30599999999999999</v>
      </c>
      <c r="G225" s="63">
        <f>VLOOKUP(D225,upahbahan,3,FALSE)</f>
        <v>100000</v>
      </c>
      <c r="H225" s="63">
        <f>F225*G225</f>
        <v>30600</v>
      </c>
      <c r="I225" s="44"/>
      <c r="J225" s="44"/>
      <c r="K225" s="44"/>
      <c r="L225" s="152" t="s">
        <v>1248</v>
      </c>
      <c r="O225" s="65">
        <v>0.1</v>
      </c>
    </row>
    <row r="226" spans="3:15" s="59" customFormat="1" ht="21" customHeight="1">
      <c r="C226" s="588">
        <v>2</v>
      </c>
      <c r="D226" s="56" t="s">
        <v>10</v>
      </c>
      <c r="E226" s="577" t="s">
        <v>6</v>
      </c>
      <c r="F226" s="62">
        <v>0.51100000000000001</v>
      </c>
      <c r="G226" s="63">
        <f>VLOOKUP(D226,upahbahan,3,FALSE)</f>
        <v>135000</v>
      </c>
      <c r="H226" s="63">
        <f>F226*G226</f>
        <v>68985</v>
      </c>
      <c r="I226" s="44"/>
      <c r="J226" s="44"/>
      <c r="K226" s="44"/>
    </row>
    <row r="227" spans="3:15" s="59" customFormat="1" ht="21" customHeight="1">
      <c r="C227" s="588">
        <v>3</v>
      </c>
      <c r="D227" s="56" t="s">
        <v>18</v>
      </c>
      <c r="E227" s="577" t="s">
        <v>6</v>
      </c>
      <c r="F227" s="62">
        <v>5.0999999999999997E-2</v>
      </c>
      <c r="G227" s="63">
        <f>VLOOKUP(D227,upahbahan,3,FALSE)</f>
        <v>150000</v>
      </c>
      <c r="H227" s="63">
        <f>F227*G227</f>
        <v>7649.9999999999991</v>
      </c>
      <c r="I227" s="44"/>
      <c r="J227" s="44"/>
      <c r="K227" s="44"/>
    </row>
    <row r="228" spans="3:15" s="59" customFormat="1" ht="21" customHeight="1">
      <c r="C228" s="588">
        <v>4</v>
      </c>
      <c r="D228" s="56" t="s">
        <v>19</v>
      </c>
      <c r="E228" s="577" t="s">
        <v>6</v>
      </c>
      <c r="F228" s="62">
        <v>1.4999999999999999E-2</v>
      </c>
      <c r="G228" s="63">
        <f>VLOOKUP(D228,upahbahan,3,FALSE)</f>
        <v>160000</v>
      </c>
      <c r="H228" s="63">
        <f>F228*G228</f>
        <v>2400</v>
      </c>
      <c r="I228" s="44"/>
      <c r="J228" s="44"/>
      <c r="K228" s="44"/>
    </row>
    <row r="229" spans="3:15" s="59" customFormat="1" ht="21" customHeight="1">
      <c r="C229" s="450" t="s">
        <v>1208</v>
      </c>
      <c r="D229" s="67"/>
      <c r="E229" s="67"/>
      <c r="F229" s="142"/>
      <c r="G229" s="153"/>
      <c r="H229" s="63">
        <f>SUM(H225:H228)</f>
        <v>109635</v>
      </c>
      <c r="I229" s="154"/>
      <c r="J229" s="154"/>
      <c r="K229" s="154"/>
    </row>
    <row r="230" spans="3:15" s="59" customFormat="1" ht="21" customHeight="1">
      <c r="C230" s="61" t="s">
        <v>1209</v>
      </c>
      <c r="D230" s="56" t="s">
        <v>1210</v>
      </c>
      <c r="E230" s="57"/>
      <c r="F230" s="57"/>
      <c r="G230" s="57"/>
      <c r="H230" s="57"/>
      <c r="I230" s="44"/>
      <c r="J230" s="44"/>
      <c r="K230" s="44"/>
    </row>
    <row r="231" spans="3:15" s="59" customFormat="1" ht="21" customHeight="1">
      <c r="C231" s="588">
        <v>1</v>
      </c>
      <c r="D231" s="56" t="s">
        <v>8117</v>
      </c>
      <c r="E231" s="73" t="s">
        <v>113</v>
      </c>
      <c r="F231" s="276">
        <v>1.45</v>
      </c>
      <c r="G231" s="63">
        <f>VLOOKUP(D231,upahbahan,3,FALSE)</f>
        <v>232000</v>
      </c>
      <c r="H231" s="63">
        <f>F231*G231</f>
        <v>336400</v>
      </c>
      <c r="I231" s="44"/>
      <c r="J231" s="44"/>
      <c r="K231" s="44"/>
    </row>
    <row r="232" spans="3:15" s="59" customFormat="1" ht="21" customHeight="1">
      <c r="C232" s="450" t="s">
        <v>1214</v>
      </c>
      <c r="D232" s="67"/>
      <c r="E232" s="67"/>
      <c r="F232" s="67"/>
      <c r="G232" s="69"/>
      <c r="H232" s="63">
        <f>SUM(H231:H231)</f>
        <v>336400</v>
      </c>
      <c r="I232" s="44"/>
      <c r="J232" s="44"/>
      <c r="K232" s="44"/>
    </row>
    <row r="233" spans="3:15" s="59" customFormat="1" ht="21" customHeight="1">
      <c r="C233" s="61" t="s">
        <v>1215</v>
      </c>
      <c r="D233" s="56" t="s">
        <v>1216</v>
      </c>
      <c r="E233" s="57"/>
      <c r="F233" s="57"/>
      <c r="G233" s="57"/>
      <c r="H233" s="57"/>
      <c r="I233" s="44"/>
      <c r="J233" s="44"/>
      <c r="K233" s="44"/>
    </row>
    <row r="234" spans="3:15" s="59" customFormat="1" ht="21" customHeight="1">
      <c r="C234" s="450" t="s">
        <v>1217</v>
      </c>
      <c r="D234" s="67"/>
      <c r="E234" s="67"/>
      <c r="F234" s="67"/>
      <c r="G234" s="69"/>
      <c r="H234" s="589">
        <v>0</v>
      </c>
      <c r="I234" s="44"/>
      <c r="J234" s="44"/>
      <c r="K234" s="44"/>
    </row>
    <row r="235" spans="3:15" s="59" customFormat="1" ht="21" customHeight="1">
      <c r="C235" s="288" t="s">
        <v>1218</v>
      </c>
      <c r="D235" s="76" t="s">
        <v>1219</v>
      </c>
      <c r="E235" s="77"/>
      <c r="F235" s="77"/>
      <c r="G235" s="78"/>
      <c r="H235" s="585">
        <f>H234+H232+H229</f>
        <v>446035</v>
      </c>
      <c r="I235" s="369"/>
      <c r="J235" s="44"/>
      <c r="K235" s="44"/>
    </row>
    <row r="236" spans="3:15" s="59" customFormat="1" ht="21" customHeight="1">
      <c r="C236" s="288" t="s">
        <v>1220</v>
      </c>
      <c r="D236" s="76" t="s">
        <v>1321</v>
      </c>
      <c r="E236" s="77"/>
      <c r="F236" s="78"/>
      <c r="G236" s="80">
        <v>0.1</v>
      </c>
      <c r="H236" s="63">
        <f>H235*G236</f>
        <v>44603.5</v>
      </c>
      <c r="I236" s="369"/>
      <c r="J236" s="44"/>
      <c r="K236" s="44"/>
    </row>
    <row r="237" spans="3:15" s="59" customFormat="1" ht="21" customHeight="1">
      <c r="C237" s="288" t="s">
        <v>1221</v>
      </c>
      <c r="D237" s="76" t="s">
        <v>1222</v>
      </c>
      <c r="E237" s="77"/>
      <c r="F237" s="77"/>
      <c r="G237" s="78"/>
      <c r="H237" s="799">
        <f>SUM(H235:H236)</f>
        <v>490638.5</v>
      </c>
      <c r="I237" s="369"/>
      <c r="J237" s="44"/>
      <c r="K237" s="44"/>
    </row>
    <row r="238" spans="3:15" ht="21" customHeight="1">
      <c r="D238" s="86" t="s">
        <v>3830</v>
      </c>
    </row>
    <row r="239" spans="3:15" ht="21" customHeight="1"/>
    <row r="240" spans="3:15" s="59" customFormat="1" ht="21" customHeight="1">
      <c r="C240" s="47" t="s">
        <v>3840</v>
      </c>
      <c r="D240" s="794" t="s">
        <v>8118</v>
      </c>
      <c r="E240" s="795"/>
      <c r="F240" s="795"/>
      <c r="G240" s="795"/>
      <c r="H240" s="795"/>
      <c r="I240" s="50">
        <f>ROUNDDOWN(H255,-2)</f>
        <v>144600</v>
      </c>
      <c r="J240" s="50" t="s">
        <v>6451</v>
      </c>
      <c r="K240" s="50" t="s">
        <v>8092</v>
      </c>
    </row>
    <row r="241" spans="3:15" s="59" customFormat="1" ht="21" customHeight="1">
      <c r="C241" s="591" t="s">
        <v>1195</v>
      </c>
      <c r="D241" s="591" t="s">
        <v>1196</v>
      </c>
      <c r="E241" s="591" t="s">
        <v>1197</v>
      </c>
      <c r="F241" s="591" t="s">
        <v>1198</v>
      </c>
      <c r="G241" s="591" t="s">
        <v>1199</v>
      </c>
      <c r="H241" s="591" t="s">
        <v>1200</v>
      </c>
      <c r="I241" s="44"/>
      <c r="J241" s="44"/>
      <c r="K241" s="44"/>
    </row>
    <row r="242" spans="3:15" s="59" customFormat="1" ht="21" customHeight="1">
      <c r="C242" s="61" t="s">
        <v>1201</v>
      </c>
      <c r="D242" s="56" t="s">
        <v>1202</v>
      </c>
      <c r="E242" s="57"/>
      <c r="F242" s="57"/>
      <c r="G242" s="57"/>
      <c r="H242" s="57"/>
      <c r="I242" s="44"/>
      <c r="J242" s="44"/>
      <c r="K242" s="44"/>
      <c r="L242" s="152" t="s">
        <v>1247</v>
      </c>
    </row>
    <row r="243" spans="3:15" s="59" customFormat="1" ht="21" customHeight="1">
      <c r="C243" s="588">
        <v>1</v>
      </c>
      <c r="D243" s="56" t="s">
        <v>5</v>
      </c>
      <c r="E243" s="577" t="s">
        <v>6</v>
      </c>
      <c r="F243" s="62">
        <v>0.36699999999999999</v>
      </c>
      <c r="G243" s="63">
        <f>VLOOKUP(D243,upahbahan,3,FALSE)</f>
        <v>100000</v>
      </c>
      <c r="H243" s="63">
        <f>F243*G243</f>
        <v>36700</v>
      </c>
      <c r="I243" s="44"/>
      <c r="J243" s="44"/>
      <c r="K243" s="44"/>
      <c r="L243" s="152" t="s">
        <v>1248</v>
      </c>
      <c r="O243" s="65">
        <v>0.1</v>
      </c>
    </row>
    <row r="244" spans="3:15" s="59" customFormat="1" ht="21" customHeight="1">
      <c r="C244" s="588">
        <v>2</v>
      </c>
      <c r="D244" s="56" t="s">
        <v>10</v>
      </c>
      <c r="E244" s="577" t="s">
        <v>6</v>
      </c>
      <c r="F244" s="62">
        <v>0.61299999999999999</v>
      </c>
      <c r="G244" s="63">
        <f>VLOOKUP(D244,upahbahan,3,FALSE)</f>
        <v>135000</v>
      </c>
      <c r="H244" s="63">
        <f>F244*G244</f>
        <v>82755</v>
      </c>
      <c r="I244" s="44"/>
      <c r="J244" s="44"/>
      <c r="K244" s="44"/>
    </row>
    <row r="245" spans="3:15" s="59" customFormat="1" ht="21" customHeight="1">
      <c r="C245" s="588">
        <v>3</v>
      </c>
      <c r="D245" s="56" t="s">
        <v>18</v>
      </c>
      <c r="E245" s="577" t="s">
        <v>6</v>
      </c>
      <c r="F245" s="62">
        <v>6.0999999999999999E-2</v>
      </c>
      <c r="G245" s="63">
        <f>VLOOKUP(D245,upahbahan,3,FALSE)</f>
        <v>150000</v>
      </c>
      <c r="H245" s="63">
        <f>F245*G245</f>
        <v>9150</v>
      </c>
      <c r="I245" s="44"/>
      <c r="J245" s="44"/>
      <c r="K245" s="44"/>
    </row>
    <row r="246" spans="3:15" s="59" customFormat="1" ht="21" customHeight="1">
      <c r="C246" s="588">
        <v>4</v>
      </c>
      <c r="D246" s="56" t="s">
        <v>19</v>
      </c>
      <c r="E246" s="577" t="s">
        <v>6</v>
      </c>
      <c r="F246" s="62">
        <v>1.7999999999999999E-2</v>
      </c>
      <c r="G246" s="63">
        <f>VLOOKUP(D246,upahbahan,3,FALSE)</f>
        <v>160000</v>
      </c>
      <c r="H246" s="63">
        <f>F246*G246</f>
        <v>2880</v>
      </c>
      <c r="I246" s="44"/>
      <c r="J246" s="44"/>
      <c r="K246" s="44"/>
    </row>
    <row r="247" spans="3:15" s="59" customFormat="1" ht="21" customHeight="1">
      <c r="C247" s="450" t="s">
        <v>1208</v>
      </c>
      <c r="D247" s="67"/>
      <c r="E247" s="67"/>
      <c r="F247" s="142"/>
      <c r="G247" s="153"/>
      <c r="H247" s="63">
        <f>SUM(H243:H246)</f>
        <v>131485</v>
      </c>
      <c r="I247" s="154"/>
      <c r="J247" s="154"/>
      <c r="K247" s="154"/>
    </row>
    <row r="248" spans="3:15" s="59" customFormat="1" ht="21" customHeight="1">
      <c r="C248" s="61" t="s">
        <v>1209</v>
      </c>
      <c r="D248" s="56" t="s">
        <v>1210</v>
      </c>
      <c r="E248" s="57"/>
      <c r="F248" s="57"/>
      <c r="G248" s="57"/>
      <c r="H248" s="57"/>
      <c r="I248" s="44"/>
      <c r="J248" s="44"/>
      <c r="K248" s="44"/>
    </row>
    <row r="249" spans="3:15" s="59" customFormat="1" ht="21" customHeight="1">
      <c r="C249" s="588">
        <v>1</v>
      </c>
      <c r="D249" s="72" t="s">
        <v>8119</v>
      </c>
      <c r="E249" s="73" t="s">
        <v>113</v>
      </c>
      <c r="F249" s="276">
        <v>1.45</v>
      </c>
      <c r="G249" s="63">
        <f>VLOOKUP(D249,upahbahan,3,FALSE)</f>
        <v>0</v>
      </c>
      <c r="H249" s="63">
        <f>F249*G249</f>
        <v>0</v>
      </c>
      <c r="I249" s="44"/>
      <c r="J249" s="44"/>
      <c r="K249" s="44"/>
    </row>
    <row r="250" spans="3:15" s="59" customFormat="1" ht="21" customHeight="1">
      <c r="C250" s="450" t="s">
        <v>1214</v>
      </c>
      <c r="D250" s="67"/>
      <c r="E250" s="67"/>
      <c r="F250" s="67"/>
      <c r="G250" s="69"/>
      <c r="H250" s="63">
        <f>SUM(H249:H249)</f>
        <v>0</v>
      </c>
      <c r="I250" s="44"/>
      <c r="J250" s="44"/>
      <c r="K250" s="44"/>
    </row>
    <row r="251" spans="3:15" s="59" customFormat="1" ht="21" customHeight="1">
      <c r="C251" s="61" t="s">
        <v>1215</v>
      </c>
      <c r="D251" s="56" t="s">
        <v>1216</v>
      </c>
      <c r="E251" s="57"/>
      <c r="F251" s="57"/>
      <c r="G251" s="57"/>
      <c r="H251" s="57"/>
      <c r="I251" s="44"/>
      <c r="J251" s="44"/>
      <c r="K251" s="44"/>
    </row>
    <row r="252" spans="3:15" s="59" customFormat="1" ht="21" customHeight="1">
      <c r="C252" s="450" t="s">
        <v>1217</v>
      </c>
      <c r="D252" s="67"/>
      <c r="E252" s="67"/>
      <c r="F252" s="67"/>
      <c r="G252" s="69"/>
      <c r="H252" s="589">
        <v>0</v>
      </c>
      <c r="I252" s="44"/>
      <c r="J252" s="44"/>
      <c r="K252" s="44"/>
    </row>
    <row r="253" spans="3:15" s="59" customFormat="1" ht="21" customHeight="1">
      <c r="C253" s="288" t="s">
        <v>1218</v>
      </c>
      <c r="D253" s="76" t="s">
        <v>1219</v>
      </c>
      <c r="E253" s="77"/>
      <c r="F253" s="77"/>
      <c r="G253" s="78"/>
      <c r="H253" s="585">
        <f>H252+H250+H247</f>
        <v>131485</v>
      </c>
      <c r="I253" s="369"/>
      <c r="J253" s="44"/>
      <c r="K253" s="44"/>
    </row>
    <row r="254" spans="3:15" s="59" customFormat="1" ht="21" customHeight="1">
      <c r="C254" s="288" t="s">
        <v>1220</v>
      </c>
      <c r="D254" s="76" t="s">
        <v>1321</v>
      </c>
      <c r="E254" s="77"/>
      <c r="F254" s="78"/>
      <c r="G254" s="80">
        <v>0.1</v>
      </c>
      <c r="H254" s="63">
        <f>H253*G254</f>
        <v>13148.5</v>
      </c>
      <c r="I254" s="369"/>
      <c r="J254" s="44"/>
      <c r="K254" s="44"/>
    </row>
    <row r="255" spans="3:15" s="59" customFormat="1" ht="21" customHeight="1">
      <c r="C255" s="288" t="s">
        <v>1221</v>
      </c>
      <c r="D255" s="76" t="s">
        <v>1222</v>
      </c>
      <c r="E255" s="77"/>
      <c r="F255" s="77"/>
      <c r="G255" s="78"/>
      <c r="H255" s="799">
        <f>SUM(H253:H254)</f>
        <v>144633.5</v>
      </c>
      <c r="I255" s="369"/>
      <c r="J255" s="44"/>
      <c r="K255" s="44"/>
    </row>
    <row r="256" spans="3:15" ht="21" customHeight="1">
      <c r="D256" s="86" t="s">
        <v>3830</v>
      </c>
    </row>
    <row r="257" spans="3:15" ht="21" customHeight="1"/>
    <row r="258" spans="3:15" s="59" customFormat="1" ht="21" customHeight="1">
      <c r="C258" s="47" t="s">
        <v>3841</v>
      </c>
      <c r="D258" s="794" t="s">
        <v>8120</v>
      </c>
      <c r="E258" s="795"/>
      <c r="F258" s="795"/>
      <c r="G258" s="795"/>
      <c r="H258" s="795"/>
      <c r="I258" s="50">
        <f>ROUNDDOWN(H273,-2)</f>
        <v>168200</v>
      </c>
      <c r="J258" s="50" t="s">
        <v>6451</v>
      </c>
      <c r="K258" s="50" t="s">
        <v>8092</v>
      </c>
    </row>
    <row r="259" spans="3:15" s="59" customFormat="1" ht="21" customHeight="1">
      <c r="C259" s="591" t="s">
        <v>1195</v>
      </c>
      <c r="D259" s="591" t="s">
        <v>1196</v>
      </c>
      <c r="E259" s="591" t="s">
        <v>1197</v>
      </c>
      <c r="F259" s="591" t="s">
        <v>1198</v>
      </c>
      <c r="G259" s="591" t="s">
        <v>1199</v>
      </c>
      <c r="H259" s="591" t="s">
        <v>1200</v>
      </c>
      <c r="I259" s="44"/>
      <c r="J259" s="44"/>
      <c r="K259" s="44"/>
    </row>
    <row r="260" spans="3:15" s="59" customFormat="1" ht="21" customHeight="1">
      <c r="C260" s="61" t="s">
        <v>1201</v>
      </c>
      <c r="D260" s="56" t="s">
        <v>1202</v>
      </c>
      <c r="E260" s="57"/>
      <c r="F260" s="57"/>
      <c r="G260" s="57"/>
      <c r="H260" s="57"/>
      <c r="I260" s="44"/>
      <c r="J260" s="44"/>
      <c r="K260" s="44"/>
      <c r="L260" s="152" t="s">
        <v>1247</v>
      </c>
    </row>
    <row r="261" spans="3:15" s="59" customFormat="1" ht="21" customHeight="1">
      <c r="C261" s="588">
        <v>1</v>
      </c>
      <c r="D261" s="56" t="s">
        <v>5</v>
      </c>
      <c r="E261" s="577" t="s">
        <v>6</v>
      </c>
      <c r="F261" s="62">
        <v>0.42699999999999999</v>
      </c>
      <c r="G261" s="63">
        <f>VLOOKUP(D261,upahbahan,3,FALSE)</f>
        <v>100000</v>
      </c>
      <c r="H261" s="63">
        <f>F261*G261</f>
        <v>42700</v>
      </c>
      <c r="I261" s="44"/>
      <c r="J261" s="44"/>
      <c r="K261" s="44"/>
      <c r="L261" s="152" t="s">
        <v>1248</v>
      </c>
      <c r="O261" s="65">
        <v>0.1</v>
      </c>
    </row>
    <row r="262" spans="3:15" s="59" customFormat="1" ht="21" customHeight="1">
      <c r="C262" s="588">
        <v>2</v>
      </c>
      <c r="D262" s="56" t="s">
        <v>10</v>
      </c>
      <c r="E262" s="577" t="s">
        <v>6</v>
      </c>
      <c r="F262" s="62">
        <v>0.71299999999999997</v>
      </c>
      <c r="G262" s="63">
        <f>VLOOKUP(D262,upahbahan,3,FALSE)</f>
        <v>135000</v>
      </c>
      <c r="H262" s="63">
        <f>F262*G262</f>
        <v>96255</v>
      </c>
      <c r="I262" s="44"/>
      <c r="J262" s="44"/>
      <c r="K262" s="44"/>
    </row>
    <row r="263" spans="3:15" s="59" customFormat="1" ht="21" customHeight="1">
      <c r="C263" s="588">
        <v>3</v>
      </c>
      <c r="D263" s="56" t="s">
        <v>18</v>
      </c>
      <c r="E263" s="577" t="s">
        <v>6</v>
      </c>
      <c r="F263" s="62">
        <v>7.0999999999999994E-2</v>
      </c>
      <c r="G263" s="63">
        <f>VLOOKUP(D263,upahbahan,3,FALSE)</f>
        <v>150000</v>
      </c>
      <c r="H263" s="63">
        <f>F263*G263</f>
        <v>10649.999999999998</v>
      </c>
      <c r="I263" s="44"/>
      <c r="J263" s="44"/>
      <c r="K263" s="44"/>
    </row>
    <row r="264" spans="3:15" s="59" customFormat="1" ht="21" customHeight="1">
      <c r="C264" s="588">
        <v>4</v>
      </c>
      <c r="D264" s="56" t="s">
        <v>19</v>
      </c>
      <c r="E264" s="577" t="s">
        <v>6</v>
      </c>
      <c r="F264" s="62">
        <v>2.1000000000000001E-2</v>
      </c>
      <c r="G264" s="63">
        <f>VLOOKUP(D264,upahbahan,3,FALSE)</f>
        <v>160000</v>
      </c>
      <c r="H264" s="63">
        <f>F264*G264</f>
        <v>3360</v>
      </c>
      <c r="I264" s="44"/>
      <c r="J264" s="44"/>
      <c r="K264" s="44"/>
    </row>
    <row r="265" spans="3:15" s="59" customFormat="1" ht="21" customHeight="1">
      <c r="C265" s="450" t="s">
        <v>1208</v>
      </c>
      <c r="D265" s="67"/>
      <c r="E265" s="67"/>
      <c r="F265" s="142"/>
      <c r="G265" s="153"/>
      <c r="H265" s="63">
        <f>SUM(H261:H264)</f>
        <v>152965</v>
      </c>
      <c r="I265" s="154"/>
      <c r="J265" s="154"/>
      <c r="K265" s="154"/>
    </row>
    <row r="266" spans="3:15" s="59" customFormat="1" ht="21" customHeight="1">
      <c r="C266" s="61" t="s">
        <v>1209</v>
      </c>
      <c r="D266" s="56" t="s">
        <v>1210</v>
      </c>
      <c r="E266" s="57"/>
      <c r="F266" s="57"/>
      <c r="G266" s="57"/>
      <c r="H266" s="57"/>
      <c r="I266" s="44"/>
      <c r="J266" s="44"/>
      <c r="K266" s="44"/>
    </row>
    <row r="267" spans="3:15" s="59" customFormat="1" ht="21" customHeight="1">
      <c r="C267" s="588">
        <v>1</v>
      </c>
      <c r="D267" s="72" t="s">
        <v>8121</v>
      </c>
      <c r="E267" s="73" t="s">
        <v>113</v>
      </c>
      <c r="F267" s="276">
        <v>1.45</v>
      </c>
      <c r="G267" s="63">
        <f>VLOOKUP(D267,upahbahan,3,FALSE)</f>
        <v>0</v>
      </c>
      <c r="H267" s="63">
        <f>F267*G267</f>
        <v>0</v>
      </c>
      <c r="I267" s="44"/>
      <c r="J267" s="44"/>
      <c r="K267" s="44"/>
    </row>
    <row r="268" spans="3:15" s="59" customFormat="1" ht="21" customHeight="1">
      <c r="C268" s="450" t="s">
        <v>1214</v>
      </c>
      <c r="D268" s="67"/>
      <c r="E268" s="67"/>
      <c r="F268" s="67"/>
      <c r="G268" s="69"/>
      <c r="H268" s="63">
        <f>SUM(H267:H267)</f>
        <v>0</v>
      </c>
      <c r="I268" s="44"/>
      <c r="J268" s="44"/>
      <c r="K268" s="44"/>
    </row>
    <row r="269" spans="3:15" s="59" customFormat="1" ht="21" customHeight="1">
      <c r="C269" s="61" t="s">
        <v>1215</v>
      </c>
      <c r="D269" s="56" t="s">
        <v>1216</v>
      </c>
      <c r="E269" s="57"/>
      <c r="F269" s="57"/>
      <c r="G269" s="57"/>
      <c r="H269" s="57"/>
      <c r="I269" s="44"/>
      <c r="J269" s="44"/>
      <c r="K269" s="44"/>
    </row>
    <row r="270" spans="3:15" s="59" customFormat="1" ht="21" customHeight="1">
      <c r="C270" s="450" t="s">
        <v>1217</v>
      </c>
      <c r="D270" s="67"/>
      <c r="E270" s="67"/>
      <c r="F270" s="67"/>
      <c r="G270" s="69"/>
      <c r="H270" s="589">
        <v>0</v>
      </c>
      <c r="I270" s="44"/>
      <c r="J270" s="44"/>
      <c r="K270" s="44"/>
    </row>
    <row r="271" spans="3:15" s="59" customFormat="1" ht="21" customHeight="1">
      <c r="C271" s="288" t="s">
        <v>1218</v>
      </c>
      <c r="D271" s="76" t="s">
        <v>1219</v>
      </c>
      <c r="E271" s="77"/>
      <c r="F271" s="77"/>
      <c r="G271" s="78"/>
      <c r="H271" s="585">
        <f>H270+H268+H265</f>
        <v>152965</v>
      </c>
      <c r="I271" s="369"/>
      <c r="J271" s="44"/>
      <c r="K271" s="44"/>
    </row>
    <row r="272" spans="3:15" s="59" customFormat="1" ht="21" customHeight="1">
      <c r="C272" s="288" t="s">
        <v>1220</v>
      </c>
      <c r="D272" s="76" t="s">
        <v>1321</v>
      </c>
      <c r="E272" s="77"/>
      <c r="F272" s="78"/>
      <c r="G272" s="80">
        <v>0.1</v>
      </c>
      <c r="H272" s="63">
        <f>H271*G272</f>
        <v>15296.5</v>
      </c>
      <c r="I272" s="369"/>
      <c r="J272" s="44"/>
      <c r="K272" s="44"/>
    </row>
    <row r="273" spans="3:15" s="59" customFormat="1" ht="21" customHeight="1">
      <c r="C273" s="288" t="s">
        <v>1221</v>
      </c>
      <c r="D273" s="76" t="s">
        <v>1222</v>
      </c>
      <c r="E273" s="77"/>
      <c r="F273" s="77"/>
      <c r="G273" s="78"/>
      <c r="H273" s="799">
        <f>SUM(H271:H272)</f>
        <v>168261.5</v>
      </c>
      <c r="I273" s="369"/>
      <c r="J273" s="44"/>
      <c r="K273" s="44"/>
    </row>
    <row r="274" spans="3:15" ht="21" customHeight="1">
      <c r="D274" s="86" t="s">
        <v>3830</v>
      </c>
    </row>
    <row r="275" spans="3:15" ht="21" customHeight="1"/>
    <row r="276" spans="3:15" s="59" customFormat="1" ht="21" customHeight="1">
      <c r="C276" s="47" t="s">
        <v>3842</v>
      </c>
      <c r="D276" s="794" t="s">
        <v>8122</v>
      </c>
      <c r="E276" s="795"/>
      <c r="F276" s="795"/>
      <c r="G276" s="795"/>
      <c r="H276" s="795"/>
      <c r="I276" s="50">
        <f>ROUNDDOWN(H291,-2)</f>
        <v>192200</v>
      </c>
      <c r="J276" s="50" t="s">
        <v>6451</v>
      </c>
      <c r="K276" s="50" t="s">
        <v>8092</v>
      </c>
    </row>
    <row r="277" spans="3:15" s="59" customFormat="1" ht="21" customHeight="1">
      <c r="C277" s="591" t="s">
        <v>1195</v>
      </c>
      <c r="D277" s="591" t="s">
        <v>1196</v>
      </c>
      <c r="E277" s="591" t="s">
        <v>1197</v>
      </c>
      <c r="F277" s="591" t="s">
        <v>1198</v>
      </c>
      <c r="G277" s="591" t="s">
        <v>1199</v>
      </c>
      <c r="H277" s="591" t="s">
        <v>1200</v>
      </c>
      <c r="I277" s="44"/>
      <c r="J277" s="44"/>
      <c r="K277" s="44"/>
    </row>
    <row r="278" spans="3:15" s="59" customFormat="1" ht="21" customHeight="1">
      <c r="C278" s="61" t="s">
        <v>1201</v>
      </c>
      <c r="D278" s="56" t="s">
        <v>1202</v>
      </c>
      <c r="E278" s="57"/>
      <c r="F278" s="57"/>
      <c r="G278" s="57"/>
      <c r="H278" s="57"/>
      <c r="I278" s="44"/>
      <c r="J278" s="44"/>
      <c r="K278" s="44"/>
      <c r="L278" s="152" t="s">
        <v>1247</v>
      </c>
    </row>
    <row r="279" spans="3:15" s="59" customFormat="1" ht="21" customHeight="1">
      <c r="C279" s="588">
        <v>1</v>
      </c>
      <c r="D279" s="56" t="s">
        <v>5</v>
      </c>
      <c r="E279" s="577" t="s">
        <v>6</v>
      </c>
      <c r="F279" s="62">
        <v>0.48799999999999999</v>
      </c>
      <c r="G279" s="63">
        <f>VLOOKUP(D279,upahbahan,3,FALSE)</f>
        <v>100000</v>
      </c>
      <c r="H279" s="63">
        <f>F279*G279</f>
        <v>48800</v>
      </c>
      <c r="I279" s="44"/>
      <c r="J279" s="44"/>
      <c r="K279" s="44"/>
      <c r="L279" s="152" t="s">
        <v>1248</v>
      </c>
      <c r="O279" s="65">
        <v>0.1</v>
      </c>
    </row>
    <row r="280" spans="3:15" s="59" customFormat="1" ht="21" customHeight="1">
      <c r="C280" s="588">
        <v>2</v>
      </c>
      <c r="D280" s="56" t="s">
        <v>10</v>
      </c>
      <c r="E280" s="577" t="s">
        <v>6</v>
      </c>
      <c r="F280" s="62">
        <v>0.81499999999999995</v>
      </c>
      <c r="G280" s="63">
        <f>VLOOKUP(D280,upahbahan,3,FALSE)</f>
        <v>135000</v>
      </c>
      <c r="H280" s="63">
        <f>F280*G280</f>
        <v>110025</v>
      </c>
      <c r="I280" s="44"/>
      <c r="J280" s="44"/>
      <c r="K280" s="44"/>
    </row>
    <row r="281" spans="3:15" s="59" customFormat="1" ht="21" customHeight="1">
      <c r="C281" s="588">
        <v>3</v>
      </c>
      <c r="D281" s="56" t="s">
        <v>18</v>
      </c>
      <c r="E281" s="577" t="s">
        <v>6</v>
      </c>
      <c r="F281" s="62">
        <v>8.1000000000000003E-2</v>
      </c>
      <c r="G281" s="63">
        <f>VLOOKUP(D281,upahbahan,3,FALSE)</f>
        <v>150000</v>
      </c>
      <c r="H281" s="63">
        <f>F281*G281</f>
        <v>12150</v>
      </c>
      <c r="I281" s="44"/>
      <c r="J281" s="44"/>
      <c r="K281" s="44"/>
    </row>
    <row r="282" spans="3:15" s="59" customFormat="1" ht="21" customHeight="1">
      <c r="C282" s="588">
        <v>4</v>
      </c>
      <c r="D282" s="56" t="s">
        <v>19</v>
      </c>
      <c r="E282" s="577" t="s">
        <v>6</v>
      </c>
      <c r="F282" s="62">
        <v>2.4E-2</v>
      </c>
      <c r="G282" s="63">
        <f>VLOOKUP(D282,upahbahan,3,FALSE)</f>
        <v>160000</v>
      </c>
      <c r="H282" s="63">
        <f>F282*G282</f>
        <v>3840</v>
      </c>
      <c r="I282" s="44"/>
      <c r="J282" s="44"/>
      <c r="K282" s="44"/>
    </row>
    <row r="283" spans="3:15" s="59" customFormat="1" ht="21" customHeight="1">
      <c r="C283" s="450" t="s">
        <v>1208</v>
      </c>
      <c r="D283" s="67"/>
      <c r="E283" s="67"/>
      <c r="F283" s="142"/>
      <c r="G283" s="153"/>
      <c r="H283" s="63">
        <f>SUM(H279:H282)</f>
        <v>174815</v>
      </c>
      <c r="I283" s="154"/>
      <c r="J283" s="154"/>
      <c r="K283" s="154"/>
    </row>
    <row r="284" spans="3:15" s="59" customFormat="1" ht="21" customHeight="1">
      <c r="C284" s="61" t="s">
        <v>1209</v>
      </c>
      <c r="D284" s="56" t="s">
        <v>1210</v>
      </c>
      <c r="E284" s="57"/>
      <c r="F284" s="57"/>
      <c r="G284" s="57"/>
      <c r="H284" s="57"/>
      <c r="I284" s="44"/>
      <c r="J284" s="44"/>
      <c r="K284" s="44"/>
    </row>
    <row r="285" spans="3:15" s="59" customFormat="1" ht="21" customHeight="1">
      <c r="C285" s="588">
        <v>1</v>
      </c>
      <c r="D285" s="72" t="s">
        <v>8123</v>
      </c>
      <c r="E285" s="73" t="s">
        <v>113</v>
      </c>
      <c r="F285" s="276">
        <v>1.45</v>
      </c>
      <c r="G285" s="63">
        <f>VLOOKUP(D285,upahbahan,3,FALSE)</f>
        <v>0</v>
      </c>
      <c r="H285" s="63">
        <f>F285*G285</f>
        <v>0</v>
      </c>
      <c r="I285" s="44"/>
      <c r="J285" s="44"/>
      <c r="K285" s="44"/>
    </row>
    <row r="286" spans="3:15" s="59" customFormat="1" ht="21" customHeight="1">
      <c r="C286" s="450" t="s">
        <v>1214</v>
      </c>
      <c r="D286" s="67"/>
      <c r="E286" s="67"/>
      <c r="F286" s="67"/>
      <c r="G286" s="69"/>
      <c r="H286" s="63">
        <f>SUM(H285:H285)</f>
        <v>0</v>
      </c>
      <c r="I286" s="44"/>
      <c r="J286" s="44"/>
      <c r="K286" s="44"/>
    </row>
    <row r="287" spans="3:15" s="59" customFormat="1" ht="21" customHeight="1">
      <c r="C287" s="61" t="s">
        <v>1215</v>
      </c>
      <c r="D287" s="56" t="s">
        <v>1216</v>
      </c>
      <c r="E287" s="57"/>
      <c r="F287" s="57"/>
      <c r="G287" s="57"/>
      <c r="H287" s="57"/>
      <c r="I287" s="44"/>
      <c r="J287" s="44"/>
      <c r="K287" s="44"/>
    </row>
    <row r="288" spans="3:15" s="59" customFormat="1" ht="21" customHeight="1">
      <c r="C288" s="450" t="s">
        <v>1217</v>
      </c>
      <c r="D288" s="67"/>
      <c r="E288" s="67"/>
      <c r="F288" s="67"/>
      <c r="G288" s="69"/>
      <c r="H288" s="589">
        <v>0</v>
      </c>
      <c r="I288" s="44"/>
      <c r="J288" s="44"/>
      <c r="K288" s="44"/>
    </row>
    <row r="289" spans="3:15" s="59" customFormat="1" ht="21" customHeight="1">
      <c r="C289" s="288" t="s">
        <v>1218</v>
      </c>
      <c r="D289" s="76" t="s">
        <v>1219</v>
      </c>
      <c r="E289" s="77"/>
      <c r="F289" s="77"/>
      <c r="G289" s="78"/>
      <c r="H289" s="585">
        <f>H288+H286+H283</f>
        <v>174815</v>
      </c>
      <c r="I289" s="369"/>
      <c r="J289" s="44"/>
      <c r="K289" s="44"/>
    </row>
    <row r="290" spans="3:15" s="59" customFormat="1" ht="21" customHeight="1">
      <c r="C290" s="288" t="s">
        <v>1220</v>
      </c>
      <c r="D290" s="76" t="s">
        <v>1321</v>
      </c>
      <c r="E290" s="77"/>
      <c r="F290" s="78"/>
      <c r="G290" s="80">
        <v>0.1</v>
      </c>
      <c r="H290" s="63">
        <f>H289*G290</f>
        <v>17481.5</v>
      </c>
      <c r="I290" s="369"/>
      <c r="J290" s="44"/>
      <c r="K290" s="44"/>
    </row>
    <row r="291" spans="3:15" s="59" customFormat="1" ht="21" customHeight="1">
      <c r="C291" s="288" t="s">
        <v>1221</v>
      </c>
      <c r="D291" s="76" t="s">
        <v>1222</v>
      </c>
      <c r="E291" s="77"/>
      <c r="F291" s="77"/>
      <c r="G291" s="78"/>
      <c r="H291" s="799">
        <f>SUM(H289:H290)</f>
        <v>192296.5</v>
      </c>
      <c r="I291" s="369"/>
      <c r="J291" s="44"/>
      <c r="K291" s="44"/>
    </row>
    <row r="292" spans="3:15" ht="21" customHeight="1">
      <c r="D292" s="86" t="s">
        <v>3830</v>
      </c>
    </row>
    <row r="293" spans="3:15" ht="21" customHeight="1"/>
    <row r="294" spans="3:15" s="59" customFormat="1" ht="21" customHeight="1">
      <c r="C294" s="47" t="s">
        <v>3843</v>
      </c>
      <c r="D294" s="794" t="s">
        <v>8124</v>
      </c>
      <c r="E294" s="795"/>
      <c r="F294" s="795"/>
      <c r="G294" s="795"/>
      <c r="H294" s="795"/>
      <c r="I294" s="50">
        <f>ROUNDDOWN(H309,-2)</f>
        <v>33400</v>
      </c>
      <c r="J294" s="50" t="s">
        <v>6451</v>
      </c>
      <c r="K294" s="50" t="s">
        <v>8092</v>
      </c>
    </row>
    <row r="295" spans="3:15" s="59" customFormat="1" ht="21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I295" s="44"/>
      <c r="J295" s="44"/>
      <c r="K295" s="44"/>
    </row>
    <row r="296" spans="3:15" s="59" customFormat="1" ht="21" customHeight="1">
      <c r="C296" s="61" t="s">
        <v>1201</v>
      </c>
      <c r="D296" s="56" t="s">
        <v>1202</v>
      </c>
      <c r="E296" s="57"/>
      <c r="F296" s="57"/>
      <c r="G296" s="57"/>
      <c r="H296" s="57"/>
      <c r="I296" s="44"/>
      <c r="J296" s="44"/>
      <c r="K296" s="44"/>
      <c r="L296" s="152" t="s">
        <v>1247</v>
      </c>
    </row>
    <row r="297" spans="3:15" s="59" customFormat="1" ht="21" customHeight="1">
      <c r="C297" s="588">
        <v>1</v>
      </c>
      <c r="D297" s="56" t="s">
        <v>5</v>
      </c>
      <c r="E297" s="577" t="s">
        <v>6</v>
      </c>
      <c r="F297" s="62">
        <v>0.04</v>
      </c>
      <c r="G297" s="63">
        <f>VLOOKUP(D297,upahbahan,3,FALSE)</f>
        <v>100000</v>
      </c>
      <c r="H297" s="63">
        <f>F297*G297</f>
        <v>4000</v>
      </c>
      <c r="I297" s="44"/>
      <c r="J297" s="44"/>
      <c r="K297" s="44"/>
      <c r="L297" s="152" t="s">
        <v>1248</v>
      </c>
      <c r="O297" s="65">
        <v>0.1</v>
      </c>
    </row>
    <row r="298" spans="3:15" s="59" customFormat="1" ht="21" customHeight="1">
      <c r="C298" s="588">
        <v>2</v>
      </c>
      <c r="D298" s="56" t="s">
        <v>10</v>
      </c>
      <c r="E298" s="577" t="s">
        <v>6</v>
      </c>
      <c r="F298" s="62">
        <v>6.7000000000000004E-2</v>
      </c>
      <c r="G298" s="63">
        <f>VLOOKUP(D298,upahbahan,3,FALSE)</f>
        <v>135000</v>
      </c>
      <c r="H298" s="63">
        <f>F298*G298</f>
        <v>9045</v>
      </c>
      <c r="I298" s="44"/>
      <c r="J298" s="44"/>
      <c r="K298" s="44"/>
    </row>
    <row r="299" spans="3:15" s="59" customFormat="1" ht="21" customHeight="1">
      <c r="C299" s="588">
        <v>3</v>
      </c>
      <c r="D299" s="56" t="s">
        <v>18</v>
      </c>
      <c r="E299" s="577" t="s">
        <v>6</v>
      </c>
      <c r="F299" s="62">
        <v>7.0000000000000001E-3</v>
      </c>
      <c r="G299" s="63">
        <f>VLOOKUP(D299,upahbahan,3,FALSE)</f>
        <v>150000</v>
      </c>
      <c r="H299" s="63">
        <f>F299*G299</f>
        <v>1050</v>
      </c>
      <c r="I299" s="44"/>
      <c r="J299" s="44"/>
      <c r="K299" s="44"/>
    </row>
    <row r="300" spans="3:15" s="59" customFormat="1" ht="21" customHeight="1">
      <c r="C300" s="588">
        <v>4</v>
      </c>
      <c r="D300" s="56" t="s">
        <v>19</v>
      </c>
      <c r="E300" s="577" t="s">
        <v>6</v>
      </c>
      <c r="F300" s="62">
        <v>2E-3</v>
      </c>
      <c r="G300" s="63">
        <f>VLOOKUP(D300,upahbahan,3,FALSE)</f>
        <v>160000</v>
      </c>
      <c r="H300" s="63">
        <f>F300*G300</f>
        <v>320</v>
      </c>
      <c r="I300" s="44"/>
      <c r="J300" s="44"/>
      <c r="K300" s="44"/>
    </row>
    <row r="301" spans="3:15" s="59" customFormat="1" ht="21" customHeight="1">
      <c r="C301" s="450" t="s">
        <v>1208</v>
      </c>
      <c r="D301" s="67"/>
      <c r="E301" s="67"/>
      <c r="F301" s="142"/>
      <c r="G301" s="153"/>
      <c r="H301" s="63">
        <f>SUM(H297:H300)</f>
        <v>14415</v>
      </c>
      <c r="I301" s="154"/>
      <c r="J301" s="154"/>
      <c r="K301" s="154"/>
    </row>
    <row r="302" spans="3:15" s="59" customFormat="1" ht="21" customHeight="1">
      <c r="C302" s="61" t="s">
        <v>1209</v>
      </c>
      <c r="D302" s="56" t="s">
        <v>1210</v>
      </c>
      <c r="E302" s="57"/>
      <c r="F302" s="57"/>
      <c r="G302" s="57"/>
      <c r="H302" s="57"/>
      <c r="I302" s="44"/>
      <c r="J302" s="44"/>
      <c r="K302" s="44"/>
    </row>
    <row r="303" spans="3:15" s="59" customFormat="1" ht="21" customHeight="1">
      <c r="C303" s="588">
        <v>1</v>
      </c>
      <c r="D303" s="72" t="s">
        <v>8125</v>
      </c>
      <c r="E303" s="73" t="s">
        <v>113</v>
      </c>
      <c r="F303" s="276">
        <v>1.45</v>
      </c>
      <c r="G303" s="63">
        <f>VLOOKUP(D303,upahbahan,3,FALSE)</f>
        <v>11000</v>
      </c>
      <c r="H303" s="63">
        <f>F303*G303</f>
        <v>15950</v>
      </c>
      <c r="I303" s="44"/>
      <c r="J303" s="44"/>
      <c r="K303" s="44"/>
    </row>
    <row r="304" spans="3:15" s="59" customFormat="1" ht="21" customHeight="1">
      <c r="C304" s="450" t="s">
        <v>1214</v>
      </c>
      <c r="D304" s="67"/>
      <c r="E304" s="67"/>
      <c r="F304" s="67"/>
      <c r="G304" s="69"/>
      <c r="H304" s="63">
        <f>SUM(H303:H303)</f>
        <v>15950</v>
      </c>
      <c r="I304" s="44"/>
      <c r="J304" s="44"/>
      <c r="K304" s="44"/>
    </row>
    <row r="305" spans="3:15" s="59" customFormat="1" ht="21" customHeight="1">
      <c r="C305" s="61" t="s">
        <v>1215</v>
      </c>
      <c r="D305" s="56" t="s">
        <v>1216</v>
      </c>
      <c r="E305" s="57"/>
      <c r="F305" s="57"/>
      <c r="G305" s="57"/>
      <c r="H305" s="57"/>
      <c r="I305" s="44"/>
      <c r="J305" s="44"/>
      <c r="K305" s="44"/>
    </row>
    <row r="306" spans="3:15" s="59" customFormat="1" ht="21" customHeight="1">
      <c r="C306" s="450" t="s">
        <v>1217</v>
      </c>
      <c r="D306" s="67"/>
      <c r="E306" s="67"/>
      <c r="F306" s="67"/>
      <c r="G306" s="69"/>
      <c r="H306" s="589">
        <v>0</v>
      </c>
      <c r="I306" s="44"/>
      <c r="J306" s="44"/>
      <c r="K306" s="44"/>
    </row>
    <row r="307" spans="3:15" s="59" customFormat="1" ht="21" customHeight="1">
      <c r="C307" s="288" t="s">
        <v>1218</v>
      </c>
      <c r="D307" s="76" t="s">
        <v>1219</v>
      </c>
      <c r="E307" s="77"/>
      <c r="F307" s="77"/>
      <c r="G307" s="78"/>
      <c r="H307" s="585">
        <f>H306+H304+H301</f>
        <v>30365</v>
      </c>
      <c r="I307" s="369"/>
      <c r="J307" s="44"/>
      <c r="K307" s="44"/>
    </row>
    <row r="308" spans="3:15" s="59" customFormat="1" ht="21" customHeight="1">
      <c r="C308" s="288" t="s">
        <v>1220</v>
      </c>
      <c r="D308" s="76" t="s">
        <v>1321</v>
      </c>
      <c r="E308" s="77"/>
      <c r="F308" s="78"/>
      <c r="G308" s="80">
        <v>0.1</v>
      </c>
      <c r="H308" s="63">
        <f>H307*G308</f>
        <v>3036.5</v>
      </c>
      <c r="I308" s="369"/>
      <c r="J308" s="44"/>
      <c r="K308" s="44"/>
    </row>
    <row r="309" spans="3:15" s="59" customFormat="1" ht="21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33401.5</v>
      </c>
      <c r="I309" s="369"/>
      <c r="J309" s="44"/>
      <c r="K309" s="44"/>
    </row>
    <row r="310" spans="3:15" ht="21" customHeight="1">
      <c r="D310" s="86" t="s">
        <v>3830</v>
      </c>
    </row>
    <row r="311" spans="3:15" ht="21" customHeight="1"/>
    <row r="312" spans="3:15" s="59" customFormat="1" ht="21" customHeight="1">
      <c r="C312" s="47" t="s">
        <v>3844</v>
      </c>
      <c r="D312" s="794" t="s">
        <v>8126</v>
      </c>
      <c r="E312" s="795"/>
      <c r="F312" s="795"/>
      <c r="G312" s="795"/>
      <c r="H312" s="795"/>
      <c r="I312" s="50">
        <f>ROUNDDOWN(H327,-2)</f>
        <v>37900</v>
      </c>
      <c r="J312" s="50" t="s">
        <v>6451</v>
      </c>
      <c r="K312" s="50" t="s">
        <v>8092</v>
      </c>
    </row>
    <row r="313" spans="3:15" s="59" customFormat="1" ht="21" customHeight="1">
      <c r="C313" s="591" t="s">
        <v>1195</v>
      </c>
      <c r="D313" s="591" t="s">
        <v>1196</v>
      </c>
      <c r="E313" s="591" t="s">
        <v>1197</v>
      </c>
      <c r="F313" s="591" t="s">
        <v>1198</v>
      </c>
      <c r="G313" s="591" t="s">
        <v>1199</v>
      </c>
      <c r="H313" s="591" t="s">
        <v>1200</v>
      </c>
      <c r="I313" s="44"/>
      <c r="J313" s="44"/>
      <c r="K313" s="44"/>
    </row>
    <row r="314" spans="3:15" s="59" customFormat="1" ht="21" customHeight="1">
      <c r="C314" s="61" t="s">
        <v>1201</v>
      </c>
      <c r="D314" s="56" t="s">
        <v>1202</v>
      </c>
      <c r="E314" s="57"/>
      <c r="F314" s="57"/>
      <c r="G314" s="57"/>
      <c r="H314" s="57"/>
      <c r="I314" s="44"/>
      <c r="J314" s="44"/>
      <c r="K314" s="44"/>
      <c r="L314" s="152" t="s">
        <v>1247</v>
      </c>
    </row>
    <row r="315" spans="3:15" s="59" customFormat="1" ht="21" customHeight="1">
      <c r="C315" s="588">
        <v>1</v>
      </c>
      <c r="D315" s="56" t="s">
        <v>5</v>
      </c>
      <c r="E315" s="577" t="s">
        <v>6</v>
      </c>
      <c r="F315" s="62">
        <v>4.8000000000000001E-2</v>
      </c>
      <c r="G315" s="63">
        <f>VLOOKUP(D315,upahbahan,3,FALSE)</f>
        <v>100000</v>
      </c>
      <c r="H315" s="63">
        <f>F315*G315</f>
        <v>4800</v>
      </c>
      <c r="I315" s="44"/>
      <c r="J315" s="44"/>
      <c r="K315" s="44"/>
      <c r="L315" s="152" t="s">
        <v>1248</v>
      </c>
      <c r="O315" s="65">
        <v>0.1</v>
      </c>
    </row>
    <row r="316" spans="3:15" s="59" customFormat="1" ht="21" customHeight="1">
      <c r="C316" s="588">
        <v>2</v>
      </c>
      <c r="D316" s="56" t="s">
        <v>10</v>
      </c>
      <c r="E316" s="577" t="s">
        <v>6</v>
      </c>
      <c r="F316" s="62">
        <v>0.08</v>
      </c>
      <c r="G316" s="63">
        <f>VLOOKUP(D316,upahbahan,3,FALSE)</f>
        <v>135000</v>
      </c>
      <c r="H316" s="63">
        <f>F316*G316</f>
        <v>10800</v>
      </c>
      <c r="I316" s="44"/>
      <c r="J316" s="44"/>
      <c r="K316" s="44"/>
    </row>
    <row r="317" spans="3:15" s="59" customFormat="1" ht="21" customHeight="1">
      <c r="C317" s="588">
        <v>3</v>
      </c>
      <c r="D317" s="56" t="s">
        <v>18</v>
      </c>
      <c r="E317" s="577" t="s">
        <v>6</v>
      </c>
      <c r="F317" s="62">
        <v>8.0000000000000002E-3</v>
      </c>
      <c r="G317" s="63">
        <f>VLOOKUP(D317,upahbahan,3,FALSE)</f>
        <v>150000</v>
      </c>
      <c r="H317" s="63">
        <f>F317*G317</f>
        <v>1200</v>
      </c>
      <c r="I317" s="44"/>
      <c r="J317" s="44"/>
      <c r="K317" s="44"/>
    </row>
    <row r="318" spans="3:15" s="59" customFormat="1" ht="21" customHeight="1">
      <c r="C318" s="588">
        <v>4</v>
      </c>
      <c r="D318" s="56" t="s">
        <v>19</v>
      </c>
      <c r="E318" s="577" t="s">
        <v>6</v>
      </c>
      <c r="F318" s="62">
        <v>2E-3</v>
      </c>
      <c r="G318" s="63">
        <f>VLOOKUP(D318,upahbahan,3,FALSE)</f>
        <v>160000</v>
      </c>
      <c r="H318" s="63">
        <f>F318*G318</f>
        <v>320</v>
      </c>
      <c r="I318" s="44"/>
      <c r="J318" s="44"/>
      <c r="K318" s="44"/>
    </row>
    <row r="319" spans="3:15" s="59" customFormat="1" ht="21" customHeight="1">
      <c r="C319" s="450" t="s">
        <v>1208</v>
      </c>
      <c r="D319" s="67"/>
      <c r="E319" s="67"/>
      <c r="F319" s="142"/>
      <c r="G319" s="153"/>
      <c r="H319" s="63">
        <f>SUM(H315:H318)</f>
        <v>17120</v>
      </c>
      <c r="I319" s="154"/>
      <c r="J319" s="154"/>
      <c r="K319" s="154"/>
    </row>
    <row r="320" spans="3:15" s="59" customFormat="1" ht="21" customHeight="1">
      <c r="C320" s="61" t="s">
        <v>1209</v>
      </c>
      <c r="D320" s="56" t="s">
        <v>1210</v>
      </c>
      <c r="E320" s="57"/>
      <c r="F320" s="57"/>
      <c r="G320" s="57"/>
      <c r="H320" s="57"/>
      <c r="I320" s="44"/>
      <c r="J320" s="44"/>
      <c r="K320" s="44"/>
    </row>
    <row r="321" spans="3:15" s="59" customFormat="1" ht="21" customHeight="1">
      <c r="C321" s="588">
        <v>1</v>
      </c>
      <c r="D321" s="72" t="s">
        <v>8127</v>
      </c>
      <c r="E321" s="73" t="s">
        <v>113</v>
      </c>
      <c r="F321" s="276">
        <v>1.45</v>
      </c>
      <c r="G321" s="63">
        <f>VLOOKUP(D321,upahbahan,3,FALSE)</f>
        <v>12000</v>
      </c>
      <c r="H321" s="63">
        <f>F321*G321</f>
        <v>17400</v>
      </c>
      <c r="I321" s="44"/>
      <c r="J321" s="44"/>
      <c r="K321" s="44"/>
    </row>
    <row r="322" spans="3:15" s="59" customFormat="1" ht="21" customHeight="1">
      <c r="C322" s="450" t="s">
        <v>1214</v>
      </c>
      <c r="D322" s="67"/>
      <c r="E322" s="67"/>
      <c r="F322" s="67"/>
      <c r="G322" s="69"/>
      <c r="H322" s="63">
        <f>SUM(H321:H321)</f>
        <v>17400</v>
      </c>
      <c r="I322" s="44"/>
      <c r="J322" s="44"/>
      <c r="K322" s="44"/>
    </row>
    <row r="323" spans="3:15" s="59" customFormat="1" ht="21" customHeight="1">
      <c r="C323" s="61" t="s">
        <v>1215</v>
      </c>
      <c r="D323" s="56" t="s">
        <v>1216</v>
      </c>
      <c r="E323" s="57"/>
      <c r="F323" s="57"/>
      <c r="G323" s="57"/>
      <c r="H323" s="57"/>
      <c r="I323" s="44"/>
      <c r="J323" s="44"/>
      <c r="K323" s="44"/>
    </row>
    <row r="324" spans="3:15" s="59" customFormat="1" ht="21" customHeight="1">
      <c r="C324" s="450" t="s">
        <v>1217</v>
      </c>
      <c r="D324" s="67"/>
      <c r="E324" s="67"/>
      <c r="F324" s="67"/>
      <c r="G324" s="69"/>
      <c r="H324" s="589">
        <v>0</v>
      </c>
      <c r="I324" s="44"/>
      <c r="J324" s="44"/>
      <c r="K324" s="44"/>
    </row>
    <row r="325" spans="3:15" s="59" customFormat="1" ht="21" customHeight="1">
      <c r="C325" s="288" t="s">
        <v>1218</v>
      </c>
      <c r="D325" s="76" t="s">
        <v>1219</v>
      </c>
      <c r="E325" s="77"/>
      <c r="F325" s="77"/>
      <c r="G325" s="78"/>
      <c r="H325" s="585">
        <f>H324+H322+H319</f>
        <v>34520</v>
      </c>
      <c r="I325" s="369"/>
      <c r="J325" s="44"/>
      <c r="K325" s="44"/>
    </row>
    <row r="326" spans="3:15" s="59" customFormat="1" ht="21" customHeight="1">
      <c r="C326" s="288" t="s">
        <v>1220</v>
      </c>
      <c r="D326" s="76" t="s">
        <v>1321</v>
      </c>
      <c r="E326" s="77"/>
      <c r="F326" s="78"/>
      <c r="G326" s="80">
        <v>0.1</v>
      </c>
      <c r="H326" s="63">
        <f>H325*G326</f>
        <v>3452</v>
      </c>
      <c r="I326" s="369"/>
      <c r="J326" s="44"/>
      <c r="K326" s="44"/>
    </row>
    <row r="327" spans="3:15" s="59" customFormat="1" ht="21" customHeight="1">
      <c r="C327" s="288" t="s">
        <v>1221</v>
      </c>
      <c r="D327" s="76" t="s">
        <v>1222</v>
      </c>
      <c r="E327" s="77"/>
      <c r="F327" s="77"/>
      <c r="G327" s="78"/>
      <c r="H327" s="799">
        <f>SUM(H325:H326)</f>
        <v>37972</v>
      </c>
      <c r="I327" s="369"/>
      <c r="J327" s="44"/>
      <c r="K327" s="44"/>
    </row>
    <row r="328" spans="3:15" ht="21" customHeight="1">
      <c r="D328" s="86" t="s">
        <v>3830</v>
      </c>
    </row>
    <row r="329" spans="3:15" ht="21" customHeight="1"/>
    <row r="330" spans="3:15" s="59" customFormat="1" ht="21" customHeight="1">
      <c r="C330" s="47" t="s">
        <v>3845</v>
      </c>
      <c r="D330" s="794" t="s">
        <v>8128</v>
      </c>
      <c r="E330" s="795"/>
      <c r="F330" s="795"/>
      <c r="G330" s="795"/>
      <c r="H330" s="795"/>
      <c r="I330" s="50">
        <f>ROUNDDOWN(H345,-2)</f>
        <v>48400</v>
      </c>
      <c r="J330" s="50" t="s">
        <v>6451</v>
      </c>
      <c r="K330" s="50" t="s">
        <v>8092</v>
      </c>
    </row>
    <row r="331" spans="3:15" s="59" customFormat="1" ht="21" customHeight="1">
      <c r="C331" s="591" t="s">
        <v>1195</v>
      </c>
      <c r="D331" s="591" t="s">
        <v>1196</v>
      </c>
      <c r="E331" s="591" t="s">
        <v>1197</v>
      </c>
      <c r="F331" s="591" t="s">
        <v>1198</v>
      </c>
      <c r="G331" s="591" t="s">
        <v>1199</v>
      </c>
      <c r="H331" s="591" t="s">
        <v>1200</v>
      </c>
      <c r="I331" s="44"/>
      <c r="J331" s="44"/>
      <c r="K331" s="44"/>
    </row>
    <row r="332" spans="3:15" s="59" customFormat="1" ht="21" customHeight="1">
      <c r="C332" s="61" t="s">
        <v>1201</v>
      </c>
      <c r="D332" s="56" t="s">
        <v>1202</v>
      </c>
      <c r="E332" s="57"/>
      <c r="F332" s="57"/>
      <c r="G332" s="57"/>
      <c r="H332" s="57"/>
      <c r="I332" s="44"/>
      <c r="J332" s="44"/>
      <c r="K332" s="44"/>
      <c r="L332" s="152" t="s">
        <v>1247</v>
      </c>
    </row>
    <row r="333" spans="3:15" s="59" customFormat="1" ht="21" customHeight="1">
      <c r="C333" s="588">
        <v>1</v>
      </c>
      <c r="D333" s="56" t="s">
        <v>5</v>
      </c>
      <c r="E333" s="577" t="s">
        <v>6</v>
      </c>
      <c r="F333" s="62">
        <v>6.3E-2</v>
      </c>
      <c r="G333" s="63">
        <f>VLOOKUP(D333,upahbahan,3,FALSE)</f>
        <v>100000</v>
      </c>
      <c r="H333" s="63">
        <f>F333*G333</f>
        <v>6300</v>
      </c>
      <c r="I333" s="44"/>
      <c r="J333" s="44"/>
      <c r="K333" s="44"/>
      <c r="L333" s="152" t="s">
        <v>1248</v>
      </c>
      <c r="O333" s="65">
        <v>0.1</v>
      </c>
    </row>
    <row r="334" spans="3:15" s="59" customFormat="1" ht="21" customHeight="1">
      <c r="C334" s="588">
        <v>2</v>
      </c>
      <c r="D334" s="56" t="s">
        <v>10</v>
      </c>
      <c r="E334" s="577" t="s">
        <v>6</v>
      </c>
      <c r="F334" s="62">
        <v>0.104</v>
      </c>
      <c r="G334" s="63">
        <f>VLOOKUP(D334,upahbahan,3,FALSE)</f>
        <v>135000</v>
      </c>
      <c r="H334" s="63">
        <f>F334*G334</f>
        <v>14040</v>
      </c>
      <c r="I334" s="44"/>
      <c r="J334" s="44"/>
      <c r="K334" s="44"/>
    </row>
    <row r="335" spans="3:15" s="59" customFormat="1" ht="21" customHeight="1">
      <c r="C335" s="588">
        <v>3</v>
      </c>
      <c r="D335" s="56" t="s">
        <v>18</v>
      </c>
      <c r="E335" s="577" t="s">
        <v>6</v>
      </c>
      <c r="F335" s="62">
        <v>0.01</v>
      </c>
      <c r="G335" s="63">
        <f>VLOOKUP(D335,upahbahan,3,FALSE)</f>
        <v>150000</v>
      </c>
      <c r="H335" s="63">
        <f>F335*G335</f>
        <v>1500</v>
      </c>
      <c r="I335" s="44"/>
      <c r="J335" s="44"/>
      <c r="K335" s="44"/>
    </row>
    <row r="336" spans="3:15" s="59" customFormat="1" ht="21" customHeight="1">
      <c r="C336" s="588">
        <v>4</v>
      </c>
      <c r="D336" s="56" t="s">
        <v>19</v>
      </c>
      <c r="E336" s="577" t="s">
        <v>6</v>
      </c>
      <c r="F336" s="62">
        <v>3.0000000000000001E-3</v>
      </c>
      <c r="G336" s="63">
        <f>VLOOKUP(D336,upahbahan,3,FALSE)</f>
        <v>160000</v>
      </c>
      <c r="H336" s="63">
        <f>F336*G336</f>
        <v>480</v>
      </c>
      <c r="I336" s="44"/>
      <c r="J336" s="44"/>
      <c r="K336" s="44"/>
    </row>
    <row r="337" spans="3:15" s="59" customFormat="1" ht="21" customHeight="1">
      <c r="C337" s="450" t="s">
        <v>1208</v>
      </c>
      <c r="D337" s="67"/>
      <c r="E337" s="67"/>
      <c r="F337" s="142"/>
      <c r="G337" s="153"/>
      <c r="H337" s="63">
        <f>SUM(H333:H336)</f>
        <v>22320</v>
      </c>
      <c r="I337" s="154"/>
      <c r="J337" s="154"/>
      <c r="K337" s="154"/>
    </row>
    <row r="338" spans="3:15" s="59" customFormat="1" ht="21" customHeight="1">
      <c r="C338" s="61" t="s">
        <v>1209</v>
      </c>
      <c r="D338" s="56" t="s">
        <v>1210</v>
      </c>
      <c r="E338" s="57"/>
      <c r="F338" s="57"/>
      <c r="G338" s="57"/>
      <c r="H338" s="57"/>
      <c r="I338" s="44"/>
      <c r="J338" s="44"/>
      <c r="K338" s="44"/>
    </row>
    <row r="339" spans="3:15" s="59" customFormat="1" ht="21" customHeight="1">
      <c r="C339" s="588">
        <v>1</v>
      </c>
      <c r="D339" s="72" t="s">
        <v>8129</v>
      </c>
      <c r="E339" s="73" t="s">
        <v>113</v>
      </c>
      <c r="F339" s="276">
        <v>1.45</v>
      </c>
      <c r="G339" s="63">
        <f>VLOOKUP(D339,upahbahan,3,FALSE)</f>
        <v>15000</v>
      </c>
      <c r="H339" s="63">
        <f>F339*G339</f>
        <v>21750</v>
      </c>
      <c r="I339" s="44"/>
      <c r="J339" s="44"/>
      <c r="K339" s="44"/>
    </row>
    <row r="340" spans="3:15" s="59" customFormat="1" ht="21" customHeight="1">
      <c r="C340" s="450" t="s">
        <v>1214</v>
      </c>
      <c r="D340" s="67"/>
      <c r="E340" s="67"/>
      <c r="F340" s="67"/>
      <c r="G340" s="69"/>
      <c r="H340" s="63">
        <f>SUM(H339:H339)</f>
        <v>21750</v>
      </c>
      <c r="I340" s="44"/>
      <c r="J340" s="44"/>
      <c r="K340" s="44"/>
    </row>
    <row r="341" spans="3:15" s="59" customFormat="1" ht="21" customHeight="1">
      <c r="C341" s="61" t="s">
        <v>1215</v>
      </c>
      <c r="D341" s="56" t="s">
        <v>1216</v>
      </c>
      <c r="E341" s="57"/>
      <c r="F341" s="57"/>
      <c r="G341" s="57"/>
      <c r="H341" s="57"/>
      <c r="I341" s="44"/>
      <c r="J341" s="44"/>
      <c r="K341" s="44"/>
    </row>
    <row r="342" spans="3:15" s="59" customFormat="1" ht="21" customHeight="1">
      <c r="C342" s="450" t="s">
        <v>1217</v>
      </c>
      <c r="D342" s="67"/>
      <c r="E342" s="67"/>
      <c r="F342" s="67"/>
      <c r="G342" s="69"/>
      <c r="H342" s="589">
        <v>0</v>
      </c>
      <c r="I342" s="44"/>
      <c r="J342" s="44"/>
      <c r="K342" s="44"/>
    </row>
    <row r="343" spans="3:15" s="59" customFormat="1" ht="21" customHeight="1">
      <c r="C343" s="288" t="s">
        <v>1218</v>
      </c>
      <c r="D343" s="76" t="s">
        <v>1219</v>
      </c>
      <c r="E343" s="77"/>
      <c r="F343" s="77"/>
      <c r="G343" s="78"/>
      <c r="H343" s="585">
        <f>H342+H340+H337</f>
        <v>44070</v>
      </c>
      <c r="I343" s="369"/>
      <c r="J343" s="44"/>
      <c r="K343" s="44"/>
    </row>
    <row r="344" spans="3:15" s="59" customFormat="1" ht="21" customHeight="1">
      <c r="C344" s="288" t="s">
        <v>1220</v>
      </c>
      <c r="D344" s="76" t="s">
        <v>1321</v>
      </c>
      <c r="E344" s="77"/>
      <c r="F344" s="78"/>
      <c r="G344" s="80">
        <v>0.1</v>
      </c>
      <c r="H344" s="63">
        <f>H343*G344</f>
        <v>4407</v>
      </c>
      <c r="I344" s="369"/>
      <c r="J344" s="44"/>
      <c r="K344" s="44"/>
    </row>
    <row r="345" spans="3:15" s="59" customFormat="1" ht="21" customHeight="1">
      <c r="C345" s="288" t="s">
        <v>1221</v>
      </c>
      <c r="D345" s="76" t="s">
        <v>1222</v>
      </c>
      <c r="E345" s="77"/>
      <c r="F345" s="77"/>
      <c r="G345" s="78"/>
      <c r="H345" s="799">
        <f>SUM(H343:H344)</f>
        <v>48477</v>
      </c>
      <c r="I345" s="369"/>
      <c r="J345" s="44"/>
      <c r="K345" s="44"/>
    </row>
    <row r="346" spans="3:15" ht="21" customHeight="1">
      <c r="D346" s="86" t="s">
        <v>3830</v>
      </c>
    </row>
    <row r="347" spans="3:15" ht="21" customHeight="1"/>
    <row r="348" spans="3:15" s="59" customFormat="1" ht="21" customHeight="1">
      <c r="C348" s="47" t="s">
        <v>3846</v>
      </c>
      <c r="D348" s="794" t="s">
        <v>8130</v>
      </c>
      <c r="E348" s="795"/>
      <c r="F348" s="795"/>
      <c r="G348" s="795"/>
      <c r="H348" s="795"/>
      <c r="I348" s="50">
        <f>ROUNDDOWN(H363,-2)</f>
        <v>63900</v>
      </c>
      <c r="J348" s="50" t="s">
        <v>6451</v>
      </c>
      <c r="K348" s="50" t="s">
        <v>8092</v>
      </c>
    </row>
    <row r="349" spans="3:15" s="59" customFormat="1" ht="21" customHeight="1">
      <c r="C349" s="591" t="s">
        <v>1195</v>
      </c>
      <c r="D349" s="591" t="s">
        <v>1196</v>
      </c>
      <c r="E349" s="591" t="s">
        <v>1197</v>
      </c>
      <c r="F349" s="591" t="s">
        <v>1198</v>
      </c>
      <c r="G349" s="591" t="s">
        <v>1199</v>
      </c>
      <c r="H349" s="591" t="s">
        <v>1200</v>
      </c>
      <c r="I349" s="44"/>
      <c r="J349" s="44"/>
      <c r="K349" s="44"/>
    </row>
    <row r="350" spans="3:15" s="59" customFormat="1" ht="21" customHeight="1">
      <c r="C350" s="61" t="s">
        <v>1201</v>
      </c>
      <c r="D350" s="56" t="s">
        <v>1202</v>
      </c>
      <c r="E350" s="57"/>
      <c r="F350" s="57"/>
      <c r="G350" s="57"/>
      <c r="H350" s="57"/>
      <c r="I350" s="44"/>
      <c r="J350" s="44"/>
      <c r="K350" s="44"/>
      <c r="L350" s="152" t="s">
        <v>1247</v>
      </c>
    </row>
    <row r="351" spans="3:15" s="59" customFormat="1" ht="21" customHeight="1">
      <c r="C351" s="588">
        <v>1</v>
      </c>
      <c r="D351" s="56" t="s">
        <v>5</v>
      </c>
      <c r="E351" s="577" t="s">
        <v>6</v>
      </c>
      <c r="F351" s="62">
        <v>7.6999999999999999E-2</v>
      </c>
      <c r="G351" s="63">
        <f>VLOOKUP(D351,upahbahan,3,FALSE)</f>
        <v>100000</v>
      </c>
      <c r="H351" s="63">
        <f>F351*G351</f>
        <v>7700</v>
      </c>
      <c r="I351" s="44"/>
      <c r="J351" s="44"/>
      <c r="K351" s="44"/>
      <c r="L351" s="152" t="s">
        <v>1248</v>
      </c>
      <c r="O351" s="65">
        <v>0.1</v>
      </c>
    </row>
    <row r="352" spans="3:15" s="59" customFormat="1" ht="21" customHeight="1">
      <c r="C352" s="588">
        <v>2</v>
      </c>
      <c r="D352" s="56" t="s">
        <v>10</v>
      </c>
      <c r="E352" s="577" t="s">
        <v>6</v>
      </c>
      <c r="F352" s="62">
        <v>0.129</v>
      </c>
      <c r="G352" s="63">
        <f>VLOOKUP(D352,upahbahan,3,FALSE)</f>
        <v>135000</v>
      </c>
      <c r="H352" s="63">
        <f>F352*G352</f>
        <v>17415</v>
      </c>
      <c r="I352" s="44"/>
      <c r="J352" s="44"/>
      <c r="K352" s="44"/>
    </row>
    <row r="353" spans="3:12" s="59" customFormat="1" ht="21" customHeight="1">
      <c r="C353" s="588">
        <v>3</v>
      </c>
      <c r="D353" s="56" t="s">
        <v>18</v>
      </c>
      <c r="E353" s="577" t="s">
        <v>6</v>
      </c>
      <c r="F353" s="62">
        <v>1.2999999999999999E-2</v>
      </c>
      <c r="G353" s="63">
        <f>VLOOKUP(D353,upahbahan,3,FALSE)</f>
        <v>150000</v>
      </c>
      <c r="H353" s="63">
        <f>F353*G353</f>
        <v>1950</v>
      </c>
      <c r="I353" s="44"/>
      <c r="J353" s="44"/>
      <c r="K353" s="44"/>
    </row>
    <row r="354" spans="3:12" s="59" customFormat="1" ht="21" customHeight="1">
      <c r="C354" s="588">
        <v>4</v>
      </c>
      <c r="D354" s="56" t="s">
        <v>19</v>
      </c>
      <c r="E354" s="577" t="s">
        <v>6</v>
      </c>
      <c r="F354" s="62">
        <v>4.0000000000000001E-3</v>
      </c>
      <c r="G354" s="63">
        <f>VLOOKUP(D354,upahbahan,3,FALSE)</f>
        <v>160000</v>
      </c>
      <c r="H354" s="63">
        <f>F354*G354</f>
        <v>640</v>
      </c>
      <c r="I354" s="44"/>
      <c r="J354" s="44"/>
      <c r="K354" s="44"/>
    </row>
    <row r="355" spans="3:12" s="59" customFormat="1" ht="21" customHeight="1">
      <c r="C355" s="450" t="s">
        <v>1208</v>
      </c>
      <c r="D355" s="67"/>
      <c r="E355" s="67"/>
      <c r="F355" s="142"/>
      <c r="G355" s="153"/>
      <c r="H355" s="63">
        <f>SUM(H351:H354)</f>
        <v>27705</v>
      </c>
      <c r="I355" s="154"/>
      <c r="J355" s="154"/>
      <c r="K355" s="154"/>
    </row>
    <row r="356" spans="3:12" s="59" customFormat="1" ht="21" customHeight="1">
      <c r="C356" s="61" t="s">
        <v>1209</v>
      </c>
      <c r="D356" s="56" t="s">
        <v>1210</v>
      </c>
      <c r="E356" s="57"/>
      <c r="F356" s="57"/>
      <c r="G356" s="57"/>
      <c r="H356" s="57"/>
      <c r="I356" s="44"/>
      <c r="J356" s="44"/>
      <c r="K356" s="44"/>
    </row>
    <row r="357" spans="3:12" s="59" customFormat="1" ht="21" customHeight="1">
      <c r="C357" s="588">
        <v>1</v>
      </c>
      <c r="D357" s="56" t="s">
        <v>8131</v>
      </c>
      <c r="E357" s="73" t="s">
        <v>113</v>
      </c>
      <c r="F357" s="276">
        <v>1.45</v>
      </c>
      <c r="G357" s="63">
        <f>VLOOKUP(D357,upahbahan,3,FALSE)</f>
        <v>21000</v>
      </c>
      <c r="H357" s="63">
        <f>F357*G357</f>
        <v>30450</v>
      </c>
      <c r="I357" s="44"/>
      <c r="J357" s="44"/>
      <c r="K357" s="44"/>
    </row>
    <row r="358" spans="3:12" s="59" customFormat="1" ht="21" customHeight="1">
      <c r="C358" s="450" t="s">
        <v>1214</v>
      </c>
      <c r="D358" s="67"/>
      <c r="E358" s="67"/>
      <c r="F358" s="67"/>
      <c r="G358" s="69"/>
      <c r="H358" s="63">
        <f>SUM(H357:H357)</f>
        <v>30450</v>
      </c>
      <c r="I358" s="44"/>
      <c r="J358" s="44"/>
      <c r="K358" s="44"/>
    </row>
    <row r="359" spans="3:12" s="59" customFormat="1" ht="21" customHeight="1">
      <c r="C359" s="61" t="s">
        <v>1215</v>
      </c>
      <c r="D359" s="56" t="s">
        <v>1216</v>
      </c>
      <c r="E359" s="57"/>
      <c r="F359" s="57"/>
      <c r="G359" s="57"/>
      <c r="H359" s="57"/>
      <c r="I359" s="44"/>
      <c r="J359" s="44"/>
      <c r="K359" s="44"/>
    </row>
    <row r="360" spans="3:12" s="59" customFormat="1" ht="21" customHeight="1">
      <c r="C360" s="450" t="s">
        <v>1217</v>
      </c>
      <c r="D360" s="67"/>
      <c r="E360" s="67"/>
      <c r="F360" s="67"/>
      <c r="G360" s="69"/>
      <c r="H360" s="589">
        <v>0</v>
      </c>
      <c r="I360" s="44"/>
      <c r="J360" s="44"/>
      <c r="K360" s="44"/>
    </row>
    <row r="361" spans="3:12" s="59" customFormat="1" ht="21" customHeight="1">
      <c r="C361" s="288" t="s">
        <v>1218</v>
      </c>
      <c r="D361" s="76" t="s">
        <v>1219</v>
      </c>
      <c r="E361" s="77"/>
      <c r="F361" s="77"/>
      <c r="G361" s="78"/>
      <c r="H361" s="585">
        <f>H360+H358+H355</f>
        <v>58155</v>
      </c>
      <c r="I361" s="369"/>
      <c r="J361" s="44"/>
      <c r="K361" s="44"/>
    </row>
    <row r="362" spans="3:12" s="59" customFormat="1" ht="21" customHeight="1">
      <c r="C362" s="288" t="s">
        <v>1220</v>
      </c>
      <c r="D362" s="76" t="s">
        <v>1321</v>
      </c>
      <c r="E362" s="77"/>
      <c r="F362" s="78"/>
      <c r="G362" s="80">
        <v>0.1</v>
      </c>
      <c r="H362" s="63">
        <f>H361*G362</f>
        <v>5815.5</v>
      </c>
      <c r="I362" s="369"/>
      <c r="J362" s="44"/>
      <c r="K362" s="44"/>
    </row>
    <row r="363" spans="3:12" s="59" customFormat="1" ht="21" customHeight="1">
      <c r="C363" s="288" t="s">
        <v>1221</v>
      </c>
      <c r="D363" s="76" t="s">
        <v>1222</v>
      </c>
      <c r="E363" s="77"/>
      <c r="F363" s="77"/>
      <c r="G363" s="78"/>
      <c r="H363" s="799">
        <f>SUM(H361:H362)</f>
        <v>63970.5</v>
      </c>
      <c r="I363" s="369"/>
      <c r="J363" s="44"/>
      <c r="K363" s="44"/>
    </row>
    <row r="364" spans="3:12" ht="21" customHeight="1">
      <c r="D364" s="86" t="s">
        <v>3830</v>
      </c>
    </row>
    <row r="365" spans="3:12" ht="21" customHeight="1"/>
    <row r="366" spans="3:12" s="59" customFormat="1" ht="21" customHeight="1">
      <c r="C366" s="47" t="s">
        <v>3847</v>
      </c>
      <c r="D366" s="794" t="s">
        <v>8132</v>
      </c>
      <c r="E366" s="795"/>
      <c r="F366" s="795"/>
      <c r="G366" s="795"/>
      <c r="H366" s="795"/>
      <c r="I366" s="50">
        <f>ROUNDDOWN(H381,-2)</f>
        <v>83400</v>
      </c>
      <c r="J366" s="50" t="s">
        <v>6451</v>
      </c>
      <c r="K366" s="50" t="s">
        <v>8092</v>
      </c>
    </row>
    <row r="367" spans="3:12" s="59" customFormat="1" ht="21" customHeight="1">
      <c r="C367" s="591" t="s">
        <v>1195</v>
      </c>
      <c r="D367" s="591" t="s">
        <v>1196</v>
      </c>
      <c r="E367" s="591" t="s">
        <v>1197</v>
      </c>
      <c r="F367" s="591" t="s">
        <v>1198</v>
      </c>
      <c r="G367" s="591" t="s">
        <v>1199</v>
      </c>
      <c r="H367" s="591" t="s">
        <v>1200</v>
      </c>
      <c r="I367" s="44"/>
      <c r="J367" s="44"/>
      <c r="K367" s="44"/>
    </row>
    <row r="368" spans="3:12" s="59" customFormat="1" ht="21" customHeight="1">
      <c r="C368" s="61" t="s">
        <v>1201</v>
      </c>
      <c r="D368" s="56" t="s">
        <v>1202</v>
      </c>
      <c r="E368" s="57"/>
      <c r="F368" s="57"/>
      <c r="G368" s="57"/>
      <c r="H368" s="57"/>
      <c r="I368" s="44"/>
      <c r="J368" s="44"/>
      <c r="K368" s="44"/>
      <c r="L368" s="152" t="s">
        <v>1247</v>
      </c>
    </row>
    <row r="369" spans="3:15" s="59" customFormat="1" ht="21" customHeight="1">
      <c r="C369" s="588">
        <v>1</v>
      </c>
      <c r="D369" s="56" t="s">
        <v>5</v>
      </c>
      <c r="E369" s="577" t="s">
        <v>6</v>
      </c>
      <c r="F369" s="62">
        <v>9.4E-2</v>
      </c>
      <c r="G369" s="63">
        <f>VLOOKUP(D369,upahbahan,3,FALSE)</f>
        <v>100000</v>
      </c>
      <c r="H369" s="63">
        <f>F369*G369</f>
        <v>9400</v>
      </c>
      <c r="I369" s="44"/>
      <c r="J369" s="44"/>
      <c r="K369" s="44"/>
      <c r="L369" s="152" t="s">
        <v>1248</v>
      </c>
      <c r="O369" s="65">
        <v>0.1</v>
      </c>
    </row>
    <row r="370" spans="3:15" s="59" customFormat="1" ht="21" customHeight="1">
      <c r="C370" s="588">
        <v>2</v>
      </c>
      <c r="D370" s="56" t="s">
        <v>10</v>
      </c>
      <c r="E370" s="577" t="s">
        <v>6</v>
      </c>
      <c r="F370" s="62">
        <v>0.157</v>
      </c>
      <c r="G370" s="63">
        <f>VLOOKUP(D370,upahbahan,3,FALSE)</f>
        <v>135000</v>
      </c>
      <c r="H370" s="63">
        <f>F370*G370</f>
        <v>21195</v>
      </c>
      <c r="I370" s="44"/>
      <c r="J370" s="44"/>
      <c r="K370" s="44"/>
    </row>
    <row r="371" spans="3:15" s="59" customFormat="1" ht="21" customHeight="1">
      <c r="C371" s="588">
        <v>3</v>
      </c>
      <c r="D371" s="56" t="s">
        <v>18</v>
      </c>
      <c r="E371" s="577" t="s">
        <v>6</v>
      </c>
      <c r="F371" s="62">
        <v>1.6E-2</v>
      </c>
      <c r="G371" s="63">
        <f>VLOOKUP(D371,upahbahan,3,FALSE)</f>
        <v>150000</v>
      </c>
      <c r="H371" s="63">
        <f>F371*G371</f>
        <v>2400</v>
      </c>
      <c r="I371" s="44"/>
      <c r="J371" s="44"/>
      <c r="K371" s="44"/>
    </row>
    <row r="372" spans="3:15" s="59" customFormat="1" ht="21" customHeight="1">
      <c r="C372" s="588">
        <v>4</v>
      </c>
      <c r="D372" s="56" t="s">
        <v>19</v>
      </c>
      <c r="E372" s="577" t="s">
        <v>6</v>
      </c>
      <c r="F372" s="62">
        <v>5.0000000000000001E-3</v>
      </c>
      <c r="G372" s="63">
        <f>VLOOKUP(D372,upahbahan,3,FALSE)</f>
        <v>160000</v>
      </c>
      <c r="H372" s="63">
        <f>F372*G372</f>
        <v>800</v>
      </c>
      <c r="I372" s="44"/>
      <c r="J372" s="44"/>
      <c r="K372" s="44"/>
    </row>
    <row r="373" spans="3:15" s="59" customFormat="1" ht="21" customHeight="1">
      <c r="C373" s="450" t="s">
        <v>1208</v>
      </c>
      <c r="D373" s="67"/>
      <c r="E373" s="67"/>
      <c r="F373" s="142"/>
      <c r="G373" s="153"/>
      <c r="H373" s="63">
        <f>SUM(H369:H372)</f>
        <v>33795</v>
      </c>
      <c r="I373" s="154"/>
      <c r="J373" s="154"/>
      <c r="K373" s="154"/>
    </row>
    <row r="374" spans="3:15" s="59" customFormat="1" ht="21" customHeight="1">
      <c r="C374" s="61" t="s">
        <v>1209</v>
      </c>
      <c r="D374" s="56" t="s">
        <v>1210</v>
      </c>
      <c r="E374" s="57"/>
      <c r="F374" s="57"/>
      <c r="G374" s="57"/>
      <c r="H374" s="57"/>
      <c r="I374" s="44"/>
      <c r="J374" s="44"/>
      <c r="K374" s="44"/>
    </row>
    <row r="375" spans="3:15" s="59" customFormat="1" ht="21" customHeight="1">
      <c r="C375" s="588">
        <v>1</v>
      </c>
      <c r="D375" s="56" t="s">
        <v>8133</v>
      </c>
      <c r="E375" s="73" t="s">
        <v>113</v>
      </c>
      <c r="F375" s="276">
        <v>1.45</v>
      </c>
      <c r="G375" s="63">
        <f>VLOOKUP(D375,upahbahan,3,FALSE)</f>
        <v>29000</v>
      </c>
      <c r="H375" s="63">
        <f>F375*G375</f>
        <v>42050</v>
      </c>
      <c r="I375" s="44"/>
      <c r="J375" s="44"/>
      <c r="K375" s="44"/>
    </row>
    <row r="376" spans="3:15" s="59" customFormat="1" ht="21" customHeight="1">
      <c r="C376" s="450" t="s">
        <v>1214</v>
      </c>
      <c r="D376" s="67"/>
      <c r="E376" s="67"/>
      <c r="F376" s="67"/>
      <c r="G376" s="69"/>
      <c r="H376" s="63">
        <f>SUM(H375:H375)</f>
        <v>42050</v>
      </c>
      <c r="I376" s="44"/>
      <c r="J376" s="44"/>
      <c r="K376" s="44"/>
    </row>
    <row r="377" spans="3:15" s="59" customFormat="1" ht="21" customHeight="1">
      <c r="C377" s="61" t="s">
        <v>1215</v>
      </c>
      <c r="D377" s="56" t="s">
        <v>1216</v>
      </c>
      <c r="E377" s="57"/>
      <c r="F377" s="57"/>
      <c r="G377" s="57"/>
      <c r="H377" s="57"/>
      <c r="I377" s="44"/>
      <c r="J377" s="44"/>
      <c r="K377" s="44"/>
    </row>
    <row r="378" spans="3:15" s="59" customFormat="1" ht="21" customHeight="1">
      <c r="C378" s="450" t="s">
        <v>1217</v>
      </c>
      <c r="D378" s="67"/>
      <c r="E378" s="67"/>
      <c r="F378" s="67"/>
      <c r="G378" s="69"/>
      <c r="H378" s="589">
        <v>0</v>
      </c>
      <c r="I378" s="44"/>
      <c r="J378" s="44"/>
      <c r="K378" s="44"/>
    </row>
    <row r="379" spans="3:15" s="59" customFormat="1" ht="21" customHeight="1">
      <c r="C379" s="288" t="s">
        <v>1218</v>
      </c>
      <c r="D379" s="76" t="s">
        <v>1219</v>
      </c>
      <c r="E379" s="77"/>
      <c r="F379" s="77"/>
      <c r="G379" s="78"/>
      <c r="H379" s="585">
        <f>H378+H376+H373</f>
        <v>75845</v>
      </c>
      <c r="I379" s="369"/>
      <c r="J379" s="44"/>
      <c r="K379" s="44"/>
    </row>
    <row r="380" spans="3:15" s="59" customFormat="1" ht="21" customHeight="1">
      <c r="C380" s="288" t="s">
        <v>1220</v>
      </c>
      <c r="D380" s="76" t="s">
        <v>1321</v>
      </c>
      <c r="E380" s="77"/>
      <c r="F380" s="78"/>
      <c r="G380" s="80">
        <v>0.1</v>
      </c>
      <c r="H380" s="63">
        <f>H379*G380</f>
        <v>7584.5</v>
      </c>
      <c r="I380" s="369"/>
      <c r="J380" s="44"/>
      <c r="K380" s="44"/>
    </row>
    <row r="381" spans="3:15" s="59" customFormat="1" ht="21" customHeight="1">
      <c r="C381" s="288" t="s">
        <v>1221</v>
      </c>
      <c r="D381" s="76" t="s">
        <v>1222</v>
      </c>
      <c r="E381" s="77"/>
      <c r="F381" s="77"/>
      <c r="G381" s="78"/>
      <c r="H381" s="799">
        <f>SUM(H379:H380)</f>
        <v>83429.5</v>
      </c>
      <c r="I381" s="369"/>
      <c r="J381" s="44"/>
      <c r="K381" s="44"/>
    </row>
    <row r="382" spans="3:15" ht="21" customHeight="1">
      <c r="D382" s="86" t="s">
        <v>3830</v>
      </c>
    </row>
    <row r="383" spans="3:15" ht="21" customHeight="1"/>
    <row r="384" spans="3:15" s="59" customFormat="1" ht="21" customHeight="1">
      <c r="C384" s="47" t="s">
        <v>3848</v>
      </c>
      <c r="D384" s="794" t="s">
        <v>8134</v>
      </c>
      <c r="E384" s="795"/>
      <c r="F384" s="795"/>
      <c r="G384" s="795"/>
      <c r="H384" s="795"/>
      <c r="I384" s="50">
        <f>ROUNDDOWN(H399,-2)</f>
        <v>112200</v>
      </c>
      <c r="J384" s="50" t="s">
        <v>6451</v>
      </c>
      <c r="K384" s="50" t="s">
        <v>8092</v>
      </c>
    </row>
    <row r="385" spans="3:15" s="59" customFormat="1" ht="21" customHeight="1">
      <c r="C385" s="591" t="s">
        <v>1195</v>
      </c>
      <c r="D385" s="591" t="s">
        <v>1196</v>
      </c>
      <c r="E385" s="591" t="s">
        <v>1197</v>
      </c>
      <c r="F385" s="591" t="s">
        <v>1198</v>
      </c>
      <c r="G385" s="591" t="s">
        <v>1199</v>
      </c>
      <c r="H385" s="591" t="s">
        <v>1200</v>
      </c>
      <c r="I385" s="44"/>
      <c r="J385" s="44"/>
      <c r="K385" s="44"/>
    </row>
    <row r="386" spans="3:15" s="59" customFormat="1" ht="21" customHeight="1">
      <c r="C386" s="61" t="s">
        <v>1201</v>
      </c>
      <c r="D386" s="56" t="s">
        <v>1202</v>
      </c>
      <c r="E386" s="57"/>
      <c r="F386" s="57"/>
      <c r="G386" s="57"/>
      <c r="H386" s="57"/>
      <c r="I386" s="44"/>
      <c r="J386" s="44"/>
      <c r="K386" s="44"/>
      <c r="L386" s="152" t="s">
        <v>1247</v>
      </c>
    </row>
    <row r="387" spans="3:15" s="59" customFormat="1" ht="21" customHeight="1">
      <c r="C387" s="588">
        <v>1</v>
      </c>
      <c r="D387" s="56" t="s">
        <v>5</v>
      </c>
      <c r="E387" s="577" t="s">
        <v>6</v>
      </c>
      <c r="F387" s="62">
        <v>0.123</v>
      </c>
      <c r="G387" s="63">
        <f>VLOOKUP(D387,upahbahan,3,FALSE)</f>
        <v>100000</v>
      </c>
      <c r="H387" s="63">
        <f>F387*G387</f>
        <v>12300</v>
      </c>
      <c r="I387" s="44"/>
      <c r="J387" s="44"/>
      <c r="K387" s="44"/>
      <c r="L387" s="152" t="s">
        <v>1248</v>
      </c>
      <c r="O387" s="65">
        <v>0.1</v>
      </c>
    </row>
    <row r="388" spans="3:15" s="59" customFormat="1" ht="21" customHeight="1">
      <c r="C388" s="588">
        <v>2</v>
      </c>
      <c r="D388" s="56" t="s">
        <v>10</v>
      </c>
      <c r="E388" s="577" t="s">
        <v>6</v>
      </c>
      <c r="F388" s="62">
        <v>0.20499999999999999</v>
      </c>
      <c r="G388" s="63">
        <f>VLOOKUP(D388,upahbahan,3,FALSE)</f>
        <v>135000</v>
      </c>
      <c r="H388" s="63">
        <f>F388*G388</f>
        <v>27675</v>
      </c>
      <c r="I388" s="44"/>
      <c r="J388" s="44"/>
      <c r="K388" s="44"/>
    </row>
    <row r="389" spans="3:15" s="59" customFormat="1" ht="21" customHeight="1">
      <c r="C389" s="588">
        <v>3</v>
      </c>
      <c r="D389" s="56" t="s">
        <v>18</v>
      </c>
      <c r="E389" s="577" t="s">
        <v>6</v>
      </c>
      <c r="F389" s="62">
        <v>2.1000000000000001E-2</v>
      </c>
      <c r="G389" s="63">
        <f>VLOOKUP(D389,upahbahan,3,FALSE)</f>
        <v>150000</v>
      </c>
      <c r="H389" s="63">
        <f>F389*G389</f>
        <v>3150</v>
      </c>
      <c r="I389" s="44"/>
      <c r="J389" s="44"/>
      <c r="K389" s="44"/>
    </row>
    <row r="390" spans="3:15" s="59" customFormat="1" ht="21" customHeight="1">
      <c r="C390" s="588">
        <v>4</v>
      </c>
      <c r="D390" s="56" t="s">
        <v>19</v>
      </c>
      <c r="E390" s="577" t="s">
        <v>6</v>
      </c>
      <c r="F390" s="62">
        <v>6.0000000000000001E-3</v>
      </c>
      <c r="G390" s="63">
        <f>VLOOKUP(D390,upahbahan,3,FALSE)</f>
        <v>160000</v>
      </c>
      <c r="H390" s="63">
        <f>F390*G390</f>
        <v>960</v>
      </c>
      <c r="I390" s="44"/>
      <c r="J390" s="44"/>
      <c r="K390" s="44"/>
    </row>
    <row r="391" spans="3:15" s="59" customFormat="1" ht="21" customHeight="1">
      <c r="C391" s="450" t="s">
        <v>1208</v>
      </c>
      <c r="D391" s="67"/>
      <c r="E391" s="67"/>
      <c r="F391" s="142"/>
      <c r="G391" s="153"/>
      <c r="H391" s="63">
        <f>SUM(H387:H390)</f>
        <v>44085</v>
      </c>
      <c r="I391" s="154"/>
      <c r="J391" s="154"/>
      <c r="K391" s="154"/>
    </row>
    <row r="392" spans="3:15" s="59" customFormat="1" ht="21" customHeight="1">
      <c r="C392" s="61" t="s">
        <v>1209</v>
      </c>
      <c r="D392" s="56" t="s">
        <v>1210</v>
      </c>
      <c r="E392" s="57"/>
      <c r="F392" s="57"/>
      <c r="G392" s="57"/>
      <c r="H392" s="57"/>
      <c r="I392" s="44"/>
      <c r="J392" s="44"/>
      <c r="K392" s="44"/>
    </row>
    <row r="393" spans="3:15" s="59" customFormat="1" ht="21" customHeight="1">
      <c r="C393" s="588">
        <v>1</v>
      </c>
      <c r="D393" s="72" t="s">
        <v>8135</v>
      </c>
      <c r="E393" s="73" t="s">
        <v>113</v>
      </c>
      <c r="F393" s="276">
        <v>1.45</v>
      </c>
      <c r="G393" s="63">
        <f>VLOOKUP(D393,upahbahan,3,FALSE)</f>
        <v>40000</v>
      </c>
      <c r="H393" s="63">
        <f>F393*G393</f>
        <v>58000</v>
      </c>
      <c r="I393" s="44"/>
      <c r="J393" s="44"/>
      <c r="K393" s="44"/>
    </row>
    <row r="394" spans="3:15" s="59" customFormat="1" ht="21" customHeight="1">
      <c r="C394" s="450" t="s">
        <v>1214</v>
      </c>
      <c r="D394" s="67"/>
      <c r="E394" s="67"/>
      <c r="F394" s="67"/>
      <c r="G394" s="69"/>
      <c r="H394" s="63">
        <f>SUM(H393:H393)</f>
        <v>58000</v>
      </c>
      <c r="I394" s="44"/>
      <c r="J394" s="44"/>
      <c r="K394" s="44"/>
    </row>
    <row r="395" spans="3:15" s="59" customFormat="1" ht="21" customHeight="1">
      <c r="C395" s="61" t="s">
        <v>1215</v>
      </c>
      <c r="D395" s="56" t="s">
        <v>1216</v>
      </c>
      <c r="E395" s="57"/>
      <c r="F395" s="57"/>
      <c r="G395" s="57"/>
      <c r="H395" s="57"/>
      <c r="I395" s="44"/>
      <c r="J395" s="44"/>
      <c r="K395" s="44"/>
    </row>
    <row r="396" spans="3:15" s="59" customFormat="1" ht="21" customHeight="1">
      <c r="C396" s="450" t="s">
        <v>1217</v>
      </c>
      <c r="D396" s="67"/>
      <c r="E396" s="67"/>
      <c r="F396" s="67"/>
      <c r="G396" s="69"/>
      <c r="H396" s="589">
        <v>0</v>
      </c>
      <c r="I396" s="44"/>
      <c r="J396" s="44"/>
      <c r="K396" s="44"/>
    </row>
    <row r="397" spans="3:15" s="59" customFormat="1" ht="21" customHeight="1">
      <c r="C397" s="288" t="s">
        <v>1218</v>
      </c>
      <c r="D397" s="76" t="s">
        <v>1219</v>
      </c>
      <c r="E397" s="77"/>
      <c r="F397" s="77"/>
      <c r="G397" s="78"/>
      <c r="H397" s="585">
        <f>H396+H394+H391</f>
        <v>102085</v>
      </c>
      <c r="I397" s="369"/>
      <c r="J397" s="44"/>
      <c r="K397" s="44"/>
    </row>
    <row r="398" spans="3:15" s="59" customFormat="1" ht="21" customHeight="1">
      <c r="C398" s="288" t="s">
        <v>1220</v>
      </c>
      <c r="D398" s="76" t="s">
        <v>1321</v>
      </c>
      <c r="E398" s="77"/>
      <c r="F398" s="78"/>
      <c r="G398" s="80">
        <v>0.1</v>
      </c>
      <c r="H398" s="63">
        <f>H397*G398</f>
        <v>10208.5</v>
      </c>
      <c r="I398" s="369"/>
      <c r="J398" s="44"/>
      <c r="K398" s="44"/>
    </row>
    <row r="399" spans="3:15" s="59" customFormat="1" ht="21" customHeight="1">
      <c r="C399" s="288" t="s">
        <v>1221</v>
      </c>
      <c r="D399" s="76" t="s">
        <v>1222</v>
      </c>
      <c r="E399" s="77"/>
      <c r="F399" s="77"/>
      <c r="G399" s="78"/>
      <c r="H399" s="799">
        <f>SUM(H397:H398)</f>
        <v>112293.5</v>
      </c>
      <c r="I399" s="369"/>
      <c r="J399" s="44"/>
      <c r="K399" s="44"/>
    </row>
    <row r="400" spans="3:15" ht="21" customHeight="1">
      <c r="D400" s="86" t="s">
        <v>3830</v>
      </c>
    </row>
    <row r="401" spans="3:15" ht="21" customHeight="1"/>
    <row r="402" spans="3:15" s="59" customFormat="1" ht="21" customHeight="1">
      <c r="C402" s="47" t="s">
        <v>3849</v>
      </c>
      <c r="D402" s="794" t="s">
        <v>8136</v>
      </c>
      <c r="E402" s="795"/>
      <c r="F402" s="795"/>
      <c r="G402" s="795"/>
      <c r="H402" s="795"/>
      <c r="I402" s="50">
        <f>ROUNDDOWN(H417,-2)</f>
        <v>162000</v>
      </c>
      <c r="J402" s="50" t="s">
        <v>6451</v>
      </c>
      <c r="K402" s="50" t="s">
        <v>8092</v>
      </c>
    </row>
    <row r="403" spans="3:15" s="59" customFormat="1" ht="21" customHeight="1">
      <c r="C403" s="591" t="s">
        <v>1195</v>
      </c>
      <c r="D403" s="591" t="s">
        <v>1196</v>
      </c>
      <c r="E403" s="591" t="s">
        <v>1197</v>
      </c>
      <c r="F403" s="591" t="s">
        <v>1198</v>
      </c>
      <c r="G403" s="591" t="s">
        <v>1199</v>
      </c>
      <c r="H403" s="591" t="s">
        <v>1200</v>
      </c>
      <c r="I403" s="44"/>
      <c r="J403" s="44"/>
      <c r="K403" s="44"/>
    </row>
    <row r="404" spans="3:15" s="59" customFormat="1" ht="21" customHeight="1">
      <c r="C404" s="61" t="s">
        <v>1201</v>
      </c>
      <c r="D404" s="56" t="s">
        <v>1202</v>
      </c>
      <c r="E404" s="57"/>
      <c r="F404" s="57"/>
      <c r="G404" s="57"/>
      <c r="H404" s="57"/>
      <c r="I404" s="44"/>
      <c r="J404" s="44"/>
      <c r="K404" s="44"/>
      <c r="L404" s="152" t="s">
        <v>1247</v>
      </c>
    </row>
    <row r="405" spans="3:15" s="59" customFormat="1" ht="21" customHeight="1">
      <c r="C405" s="588">
        <v>1</v>
      </c>
      <c r="D405" s="56" t="s">
        <v>5</v>
      </c>
      <c r="E405" s="577" t="s">
        <v>6</v>
      </c>
      <c r="F405" s="62">
        <v>0.152</v>
      </c>
      <c r="G405" s="63">
        <f>VLOOKUP(D405,upahbahan,3,FALSE)</f>
        <v>100000</v>
      </c>
      <c r="H405" s="63">
        <f>F405*G405</f>
        <v>15200</v>
      </c>
      <c r="I405" s="44"/>
      <c r="J405" s="44"/>
      <c r="K405" s="44"/>
      <c r="L405" s="152" t="s">
        <v>1248</v>
      </c>
      <c r="O405" s="65">
        <v>0.1</v>
      </c>
    </row>
    <row r="406" spans="3:15" s="59" customFormat="1" ht="21" customHeight="1">
      <c r="C406" s="588">
        <v>2</v>
      </c>
      <c r="D406" s="56" t="s">
        <v>10</v>
      </c>
      <c r="E406" s="577" t="s">
        <v>6</v>
      </c>
      <c r="F406" s="62">
        <v>0.254</v>
      </c>
      <c r="G406" s="63">
        <f>VLOOKUP(D406,upahbahan,3,FALSE)</f>
        <v>135000</v>
      </c>
      <c r="H406" s="63">
        <f>F406*G406</f>
        <v>34290</v>
      </c>
      <c r="I406" s="44"/>
      <c r="J406" s="44"/>
      <c r="K406" s="44"/>
    </row>
    <row r="407" spans="3:15" s="59" customFormat="1" ht="21" customHeight="1">
      <c r="C407" s="588">
        <v>3</v>
      </c>
      <c r="D407" s="56" t="s">
        <v>18</v>
      </c>
      <c r="E407" s="577" t="s">
        <v>6</v>
      </c>
      <c r="F407" s="62">
        <v>2.5000000000000001E-2</v>
      </c>
      <c r="G407" s="63">
        <f>VLOOKUP(D407,upahbahan,3,FALSE)</f>
        <v>150000</v>
      </c>
      <c r="H407" s="63">
        <f>F407*G407</f>
        <v>3750</v>
      </c>
      <c r="I407" s="44"/>
      <c r="J407" s="44"/>
      <c r="K407" s="44"/>
    </row>
    <row r="408" spans="3:15" s="59" customFormat="1" ht="21" customHeight="1">
      <c r="C408" s="588">
        <v>4</v>
      </c>
      <c r="D408" s="56" t="s">
        <v>19</v>
      </c>
      <c r="E408" s="577" t="s">
        <v>6</v>
      </c>
      <c r="F408" s="62">
        <v>8.0000000000000002E-3</v>
      </c>
      <c r="G408" s="63">
        <f>VLOOKUP(D408,upahbahan,3,FALSE)</f>
        <v>160000</v>
      </c>
      <c r="H408" s="63">
        <f>F408*G408</f>
        <v>1280</v>
      </c>
      <c r="I408" s="44"/>
      <c r="J408" s="44"/>
      <c r="K408" s="44"/>
    </row>
    <row r="409" spans="3:15" s="59" customFormat="1" ht="21" customHeight="1">
      <c r="C409" s="450" t="s">
        <v>1208</v>
      </c>
      <c r="D409" s="67"/>
      <c r="E409" s="67"/>
      <c r="F409" s="142"/>
      <c r="G409" s="153"/>
      <c r="H409" s="63">
        <f>SUM(H405:H408)</f>
        <v>54520</v>
      </c>
      <c r="I409" s="154"/>
      <c r="J409" s="154"/>
      <c r="K409" s="154"/>
    </row>
    <row r="410" spans="3:15" s="59" customFormat="1" ht="21" customHeight="1">
      <c r="C410" s="61" t="s">
        <v>1209</v>
      </c>
      <c r="D410" s="56" t="s">
        <v>1210</v>
      </c>
      <c r="E410" s="57"/>
      <c r="F410" s="57"/>
      <c r="G410" s="57"/>
      <c r="H410" s="57"/>
      <c r="I410" s="44"/>
      <c r="J410" s="44"/>
      <c r="K410" s="44"/>
    </row>
    <row r="411" spans="3:15" s="59" customFormat="1" ht="21" customHeight="1">
      <c r="C411" s="588">
        <v>1</v>
      </c>
      <c r="D411" s="72" t="s">
        <v>8137</v>
      </c>
      <c r="E411" s="73" t="s">
        <v>113</v>
      </c>
      <c r="F411" s="276">
        <v>1.45</v>
      </c>
      <c r="G411" s="63">
        <f>VLOOKUP(D411,upahbahan,3,FALSE)</f>
        <v>64000</v>
      </c>
      <c r="H411" s="63">
        <f>F411*G411</f>
        <v>92800</v>
      </c>
      <c r="I411" s="44"/>
      <c r="J411" s="44"/>
      <c r="K411" s="44"/>
    </row>
    <row r="412" spans="3:15" s="59" customFormat="1" ht="21" customHeight="1">
      <c r="C412" s="450" t="s">
        <v>1214</v>
      </c>
      <c r="D412" s="67"/>
      <c r="E412" s="67"/>
      <c r="F412" s="67"/>
      <c r="G412" s="69"/>
      <c r="H412" s="63">
        <f>SUM(H411:H411)</f>
        <v>92800</v>
      </c>
      <c r="I412" s="44"/>
      <c r="J412" s="44"/>
      <c r="K412" s="44"/>
    </row>
    <row r="413" spans="3:15" s="59" customFormat="1" ht="21" customHeight="1">
      <c r="C413" s="61" t="s">
        <v>1215</v>
      </c>
      <c r="D413" s="56" t="s">
        <v>1216</v>
      </c>
      <c r="E413" s="57"/>
      <c r="F413" s="57"/>
      <c r="G413" s="57"/>
      <c r="H413" s="57"/>
      <c r="I413" s="44"/>
      <c r="J413" s="44"/>
      <c r="K413" s="44"/>
    </row>
    <row r="414" spans="3:15" s="59" customFormat="1" ht="21" customHeight="1">
      <c r="C414" s="450" t="s">
        <v>1217</v>
      </c>
      <c r="D414" s="67"/>
      <c r="E414" s="67"/>
      <c r="F414" s="67"/>
      <c r="G414" s="69"/>
      <c r="H414" s="589">
        <v>0</v>
      </c>
      <c r="I414" s="44"/>
      <c r="J414" s="44"/>
      <c r="K414" s="44"/>
    </row>
    <row r="415" spans="3:15" s="59" customFormat="1" ht="21" customHeight="1">
      <c r="C415" s="288" t="s">
        <v>1218</v>
      </c>
      <c r="D415" s="76" t="s">
        <v>1219</v>
      </c>
      <c r="E415" s="77"/>
      <c r="F415" s="77"/>
      <c r="G415" s="78"/>
      <c r="H415" s="585">
        <f>H414+H412+H409</f>
        <v>147320</v>
      </c>
      <c r="I415" s="369"/>
      <c r="J415" s="44"/>
      <c r="K415" s="44"/>
    </row>
    <row r="416" spans="3:15" s="59" customFormat="1" ht="21" customHeight="1">
      <c r="C416" s="288" t="s">
        <v>1220</v>
      </c>
      <c r="D416" s="76" t="s">
        <v>1321</v>
      </c>
      <c r="E416" s="77"/>
      <c r="F416" s="78"/>
      <c r="G416" s="80">
        <v>0.1</v>
      </c>
      <c r="H416" s="63">
        <f>H415*G416</f>
        <v>14732</v>
      </c>
      <c r="I416" s="369"/>
      <c r="J416" s="44"/>
      <c r="K416" s="44"/>
    </row>
    <row r="417" spans="3:15" s="59" customFormat="1" ht="21" customHeight="1">
      <c r="C417" s="288" t="s">
        <v>1221</v>
      </c>
      <c r="D417" s="76" t="s">
        <v>1222</v>
      </c>
      <c r="E417" s="77"/>
      <c r="F417" s="77"/>
      <c r="G417" s="78"/>
      <c r="H417" s="799">
        <f>SUM(H415:H416)</f>
        <v>162052</v>
      </c>
      <c r="I417" s="369"/>
      <c r="J417" s="44"/>
      <c r="K417" s="44"/>
    </row>
    <row r="418" spans="3:15" ht="21" customHeight="1">
      <c r="D418" s="86" t="s">
        <v>3830</v>
      </c>
    </row>
    <row r="419" spans="3:15" ht="21" customHeight="1"/>
    <row r="420" spans="3:15" s="59" customFormat="1" ht="21" customHeight="1">
      <c r="C420" s="47" t="s">
        <v>3850</v>
      </c>
      <c r="D420" s="794" t="s">
        <v>8138</v>
      </c>
      <c r="E420" s="795"/>
      <c r="F420" s="795"/>
      <c r="G420" s="795"/>
      <c r="H420" s="795"/>
      <c r="I420" s="50">
        <f>ROUNDDOWN(H435,-2)</f>
        <v>199800</v>
      </c>
      <c r="J420" s="50" t="s">
        <v>6451</v>
      </c>
      <c r="K420" s="50" t="s">
        <v>8092</v>
      </c>
    </row>
    <row r="421" spans="3:15" s="59" customFormat="1" ht="21" customHeight="1">
      <c r="C421" s="591" t="s">
        <v>1195</v>
      </c>
      <c r="D421" s="591" t="s">
        <v>1196</v>
      </c>
      <c r="E421" s="591" t="s">
        <v>1197</v>
      </c>
      <c r="F421" s="591" t="s">
        <v>1198</v>
      </c>
      <c r="G421" s="591" t="s">
        <v>1199</v>
      </c>
      <c r="H421" s="591" t="s">
        <v>1200</v>
      </c>
      <c r="I421" s="44"/>
      <c r="J421" s="44"/>
      <c r="K421" s="44"/>
    </row>
    <row r="422" spans="3:15" s="59" customFormat="1" ht="21" customHeight="1">
      <c r="C422" s="61" t="s">
        <v>1201</v>
      </c>
      <c r="D422" s="56" t="s">
        <v>1202</v>
      </c>
      <c r="E422" s="57"/>
      <c r="F422" s="57"/>
      <c r="G422" s="57"/>
      <c r="H422" s="57"/>
      <c r="I422" s="44"/>
      <c r="J422" s="44"/>
      <c r="K422" s="44"/>
      <c r="L422" s="152" t="s">
        <v>1247</v>
      </c>
    </row>
    <row r="423" spans="3:15" s="59" customFormat="1" ht="21" customHeight="1">
      <c r="C423" s="588">
        <v>1</v>
      </c>
      <c r="D423" s="56" t="s">
        <v>5</v>
      </c>
      <c r="E423" s="577" t="s">
        <v>6</v>
      </c>
      <c r="F423" s="62">
        <v>0.183</v>
      </c>
      <c r="G423" s="63">
        <f>VLOOKUP(D423,upahbahan,3,FALSE)</f>
        <v>100000</v>
      </c>
      <c r="H423" s="63">
        <f>F423*G423</f>
        <v>18300</v>
      </c>
      <c r="I423" s="44"/>
      <c r="J423" s="44"/>
      <c r="K423" s="44"/>
      <c r="L423" s="152" t="s">
        <v>1248</v>
      </c>
      <c r="O423" s="65">
        <v>0.1</v>
      </c>
    </row>
    <row r="424" spans="3:15" s="59" customFormat="1" ht="21" customHeight="1">
      <c r="C424" s="588">
        <v>2</v>
      </c>
      <c r="D424" s="56" t="s">
        <v>10</v>
      </c>
      <c r="E424" s="577" t="s">
        <v>6</v>
      </c>
      <c r="F424" s="62">
        <v>0.30599999999999999</v>
      </c>
      <c r="G424" s="63">
        <f>VLOOKUP(D424,upahbahan,3,FALSE)</f>
        <v>135000</v>
      </c>
      <c r="H424" s="63">
        <f>F424*G424</f>
        <v>41310</v>
      </c>
      <c r="I424" s="44"/>
      <c r="J424" s="44"/>
      <c r="K424" s="44"/>
    </row>
    <row r="425" spans="3:15" s="59" customFormat="1" ht="21" customHeight="1">
      <c r="C425" s="588">
        <v>3</v>
      </c>
      <c r="D425" s="56" t="s">
        <v>18</v>
      </c>
      <c r="E425" s="577" t="s">
        <v>6</v>
      </c>
      <c r="F425" s="62">
        <v>3.1E-2</v>
      </c>
      <c r="G425" s="63">
        <f>VLOOKUP(D425,upahbahan,3,FALSE)</f>
        <v>150000</v>
      </c>
      <c r="H425" s="63">
        <f>F425*G425</f>
        <v>4650</v>
      </c>
      <c r="I425" s="44"/>
      <c r="J425" s="44"/>
      <c r="K425" s="44"/>
    </row>
    <row r="426" spans="3:15" s="59" customFormat="1" ht="21" customHeight="1">
      <c r="C426" s="588">
        <v>4</v>
      </c>
      <c r="D426" s="56" t="s">
        <v>19</v>
      </c>
      <c r="E426" s="577" t="s">
        <v>6</v>
      </c>
      <c r="F426" s="62">
        <v>8.9999999999999993E-3</v>
      </c>
      <c r="G426" s="63">
        <f>VLOOKUP(D426,upahbahan,3,FALSE)</f>
        <v>160000</v>
      </c>
      <c r="H426" s="63">
        <f>F426*G426</f>
        <v>1440</v>
      </c>
      <c r="I426" s="44"/>
      <c r="J426" s="44"/>
      <c r="K426" s="44"/>
    </row>
    <row r="427" spans="3:15" s="59" customFormat="1" ht="21" customHeight="1">
      <c r="C427" s="450" t="s">
        <v>1208</v>
      </c>
      <c r="D427" s="67"/>
      <c r="E427" s="67"/>
      <c r="F427" s="142"/>
      <c r="G427" s="153"/>
      <c r="H427" s="63">
        <f>SUM(H423:H426)</f>
        <v>65700</v>
      </c>
      <c r="I427" s="154"/>
      <c r="J427" s="154"/>
      <c r="K427" s="154"/>
    </row>
    <row r="428" spans="3:15" s="59" customFormat="1" ht="21" customHeight="1">
      <c r="C428" s="61" t="s">
        <v>1209</v>
      </c>
      <c r="D428" s="56" t="s">
        <v>1210</v>
      </c>
      <c r="E428" s="57"/>
      <c r="F428" s="57"/>
      <c r="G428" s="57"/>
      <c r="H428" s="57"/>
      <c r="I428" s="44"/>
      <c r="J428" s="44"/>
      <c r="K428" s="44"/>
    </row>
    <row r="429" spans="3:15" s="59" customFormat="1" ht="21" customHeight="1">
      <c r="C429" s="588">
        <v>1</v>
      </c>
      <c r="D429" s="72" t="s">
        <v>8139</v>
      </c>
      <c r="E429" s="73" t="s">
        <v>113</v>
      </c>
      <c r="F429" s="276">
        <v>1.45</v>
      </c>
      <c r="G429" s="63">
        <f>VLOOKUP(D429,upahbahan,3,FALSE)</f>
        <v>80000</v>
      </c>
      <c r="H429" s="63">
        <f>F429*G429</f>
        <v>116000</v>
      </c>
      <c r="I429" s="44"/>
      <c r="J429" s="44"/>
      <c r="K429" s="44"/>
    </row>
    <row r="430" spans="3:15" s="59" customFormat="1" ht="21" customHeight="1">
      <c r="C430" s="450" t="s">
        <v>1214</v>
      </c>
      <c r="D430" s="67"/>
      <c r="E430" s="67"/>
      <c r="F430" s="67"/>
      <c r="G430" s="69"/>
      <c r="H430" s="63">
        <f>SUM(H429:H429)</f>
        <v>116000</v>
      </c>
      <c r="I430" s="44"/>
      <c r="J430" s="44"/>
      <c r="K430" s="44"/>
    </row>
    <row r="431" spans="3:15" s="59" customFormat="1" ht="21" customHeight="1">
      <c r="C431" s="61" t="s">
        <v>1215</v>
      </c>
      <c r="D431" s="56" t="s">
        <v>1216</v>
      </c>
      <c r="E431" s="57"/>
      <c r="F431" s="57"/>
      <c r="G431" s="57"/>
      <c r="H431" s="57"/>
      <c r="I431" s="44"/>
      <c r="J431" s="44"/>
      <c r="K431" s="44"/>
    </row>
    <row r="432" spans="3:15" s="59" customFormat="1" ht="21" customHeight="1">
      <c r="C432" s="450" t="s">
        <v>1217</v>
      </c>
      <c r="D432" s="67"/>
      <c r="E432" s="67"/>
      <c r="F432" s="67"/>
      <c r="G432" s="69"/>
      <c r="H432" s="589">
        <v>0</v>
      </c>
      <c r="I432" s="44"/>
      <c r="J432" s="44"/>
      <c r="K432" s="44"/>
    </row>
    <row r="433" spans="3:15" s="59" customFormat="1" ht="21" customHeight="1">
      <c r="C433" s="288" t="s">
        <v>1218</v>
      </c>
      <c r="D433" s="76" t="s">
        <v>1219</v>
      </c>
      <c r="E433" s="77"/>
      <c r="F433" s="77"/>
      <c r="G433" s="78"/>
      <c r="H433" s="585">
        <f>H432+H430+H427</f>
        <v>181700</v>
      </c>
      <c r="I433" s="369"/>
      <c r="J433" s="44"/>
      <c r="K433" s="44"/>
    </row>
    <row r="434" spans="3:15" s="59" customFormat="1" ht="21" customHeight="1">
      <c r="C434" s="288" t="s">
        <v>1220</v>
      </c>
      <c r="D434" s="76" t="s">
        <v>1321</v>
      </c>
      <c r="E434" s="77"/>
      <c r="F434" s="78"/>
      <c r="G434" s="80">
        <v>0.1</v>
      </c>
      <c r="H434" s="63">
        <f>H433*G434</f>
        <v>18170</v>
      </c>
      <c r="I434" s="369"/>
      <c r="J434" s="44"/>
      <c r="K434" s="44"/>
    </row>
    <row r="435" spans="3:15" s="59" customFormat="1" ht="21" customHeight="1">
      <c r="C435" s="288" t="s">
        <v>1221</v>
      </c>
      <c r="D435" s="76" t="s">
        <v>1222</v>
      </c>
      <c r="E435" s="77"/>
      <c r="F435" s="77"/>
      <c r="G435" s="78"/>
      <c r="H435" s="799">
        <f>SUM(H433:H434)</f>
        <v>199870</v>
      </c>
      <c r="I435" s="369"/>
      <c r="J435" s="44"/>
      <c r="K435" s="44"/>
    </row>
    <row r="436" spans="3:15" ht="21" customHeight="1">
      <c r="D436" s="86" t="s">
        <v>3830</v>
      </c>
    </row>
    <row r="437" spans="3:15" ht="21" customHeight="1"/>
    <row r="438" spans="3:15" s="59" customFormat="1" ht="21" customHeight="1">
      <c r="C438" s="47" t="s">
        <v>3851</v>
      </c>
      <c r="D438" s="794" t="s">
        <v>8140</v>
      </c>
      <c r="E438" s="795"/>
      <c r="F438" s="795"/>
      <c r="G438" s="795"/>
      <c r="H438" s="795"/>
      <c r="I438" s="50">
        <f>ROUNDDOWN(H453,-2)</f>
        <v>320200</v>
      </c>
      <c r="J438" s="50" t="s">
        <v>6451</v>
      </c>
      <c r="K438" s="50" t="s">
        <v>8092</v>
      </c>
    </row>
    <row r="439" spans="3:15" s="59" customFormat="1" ht="21" customHeight="1">
      <c r="C439" s="591" t="s">
        <v>1195</v>
      </c>
      <c r="D439" s="591" t="s">
        <v>1196</v>
      </c>
      <c r="E439" s="591" t="s">
        <v>1197</v>
      </c>
      <c r="F439" s="591" t="s">
        <v>1198</v>
      </c>
      <c r="G439" s="591" t="s">
        <v>1199</v>
      </c>
      <c r="H439" s="591" t="s">
        <v>1200</v>
      </c>
      <c r="I439" s="44"/>
      <c r="J439" s="44"/>
      <c r="K439" s="44"/>
    </row>
    <row r="440" spans="3:15" s="59" customFormat="1" ht="21" customHeight="1">
      <c r="C440" s="61" t="s">
        <v>1201</v>
      </c>
      <c r="D440" s="56" t="s">
        <v>1202</v>
      </c>
      <c r="E440" s="57"/>
      <c r="F440" s="57"/>
      <c r="G440" s="57"/>
      <c r="H440" s="57"/>
      <c r="I440" s="44"/>
      <c r="J440" s="44"/>
      <c r="K440" s="44"/>
      <c r="L440" s="152" t="s">
        <v>1247</v>
      </c>
    </row>
    <row r="441" spans="3:15" s="59" customFormat="1" ht="21" customHeight="1">
      <c r="C441" s="588">
        <v>1</v>
      </c>
      <c r="D441" s="56" t="s">
        <v>5</v>
      </c>
      <c r="E441" s="577" t="s">
        <v>6</v>
      </c>
      <c r="F441" s="62">
        <v>0.246</v>
      </c>
      <c r="G441" s="63">
        <f>VLOOKUP(D441,upahbahan,3,FALSE)</f>
        <v>100000</v>
      </c>
      <c r="H441" s="63">
        <f>F441*G441</f>
        <v>24600</v>
      </c>
      <c r="I441" s="44"/>
      <c r="J441" s="44"/>
      <c r="K441" s="44"/>
      <c r="L441" s="152" t="s">
        <v>1248</v>
      </c>
      <c r="O441" s="65">
        <v>0.1</v>
      </c>
    </row>
    <row r="442" spans="3:15" s="59" customFormat="1" ht="21" customHeight="1">
      <c r="C442" s="588">
        <v>2</v>
      </c>
      <c r="D442" s="56" t="s">
        <v>10</v>
      </c>
      <c r="E442" s="577" t="s">
        <v>6</v>
      </c>
      <c r="F442" s="62">
        <v>0.41099999999999998</v>
      </c>
      <c r="G442" s="63">
        <f>VLOOKUP(D442,upahbahan,3,FALSE)</f>
        <v>135000</v>
      </c>
      <c r="H442" s="63">
        <f>F442*G442</f>
        <v>55485</v>
      </c>
      <c r="I442" s="44"/>
      <c r="J442" s="44"/>
      <c r="K442" s="44"/>
    </row>
    <row r="443" spans="3:15" s="59" customFormat="1" ht="21" customHeight="1">
      <c r="C443" s="588">
        <v>3</v>
      </c>
      <c r="D443" s="56" t="s">
        <v>18</v>
      </c>
      <c r="E443" s="577" t="s">
        <v>6</v>
      </c>
      <c r="F443" s="62">
        <v>4.1000000000000002E-2</v>
      </c>
      <c r="G443" s="63">
        <f>VLOOKUP(D443,upahbahan,3,FALSE)</f>
        <v>150000</v>
      </c>
      <c r="H443" s="63">
        <f>F443*G443</f>
        <v>6150</v>
      </c>
      <c r="I443" s="44"/>
      <c r="J443" s="44"/>
      <c r="K443" s="44"/>
    </row>
    <row r="444" spans="3:15" s="59" customFormat="1" ht="21" customHeight="1">
      <c r="C444" s="588">
        <v>4</v>
      </c>
      <c r="D444" s="56" t="s">
        <v>19</v>
      </c>
      <c r="E444" s="577" t="s">
        <v>6</v>
      </c>
      <c r="F444" s="62">
        <v>1.2E-2</v>
      </c>
      <c r="G444" s="63">
        <f>VLOOKUP(D444,upahbahan,3,FALSE)</f>
        <v>160000</v>
      </c>
      <c r="H444" s="63">
        <f>F444*G444</f>
        <v>1920</v>
      </c>
      <c r="I444" s="44"/>
      <c r="J444" s="44"/>
      <c r="K444" s="44"/>
    </row>
    <row r="445" spans="3:15" s="59" customFormat="1" ht="21" customHeight="1">
      <c r="C445" s="450" t="s">
        <v>1208</v>
      </c>
      <c r="D445" s="67"/>
      <c r="E445" s="67"/>
      <c r="F445" s="142"/>
      <c r="G445" s="153"/>
      <c r="H445" s="63">
        <f>SUM(H441:H444)</f>
        <v>88155</v>
      </c>
      <c r="I445" s="154"/>
      <c r="J445" s="154"/>
      <c r="K445" s="154"/>
    </row>
    <row r="446" spans="3:15" s="59" customFormat="1" ht="21" customHeight="1">
      <c r="C446" s="61" t="s">
        <v>1209</v>
      </c>
      <c r="D446" s="56" t="s">
        <v>1210</v>
      </c>
      <c r="E446" s="57"/>
      <c r="F446" s="57"/>
      <c r="G446" s="57"/>
      <c r="H446" s="57"/>
      <c r="I446" s="44"/>
      <c r="J446" s="44"/>
      <c r="K446" s="44"/>
    </row>
    <row r="447" spans="3:15" s="59" customFormat="1" ht="21" customHeight="1">
      <c r="C447" s="588">
        <v>1</v>
      </c>
      <c r="D447" s="72" t="s">
        <v>8141</v>
      </c>
      <c r="E447" s="73" t="s">
        <v>113</v>
      </c>
      <c r="F447" s="276">
        <v>1.45</v>
      </c>
      <c r="G447" s="63">
        <f>VLOOKUP(D447,upahbahan,3,FALSE)</f>
        <v>140000</v>
      </c>
      <c r="H447" s="63">
        <f>F447*G447</f>
        <v>203000</v>
      </c>
      <c r="I447" s="44"/>
      <c r="J447" s="44"/>
      <c r="K447" s="44"/>
    </row>
    <row r="448" spans="3:15" s="59" customFormat="1" ht="21" customHeight="1">
      <c r="C448" s="450" t="s">
        <v>1214</v>
      </c>
      <c r="D448" s="67"/>
      <c r="E448" s="67"/>
      <c r="F448" s="67"/>
      <c r="G448" s="69"/>
      <c r="H448" s="63">
        <f>SUM(H447:H447)</f>
        <v>203000</v>
      </c>
      <c r="I448" s="44"/>
      <c r="J448" s="44"/>
      <c r="K448" s="44"/>
    </row>
    <row r="449" spans="3:15" s="59" customFormat="1" ht="21" customHeight="1">
      <c r="C449" s="61" t="s">
        <v>1215</v>
      </c>
      <c r="D449" s="56" t="s">
        <v>1216</v>
      </c>
      <c r="E449" s="57"/>
      <c r="F449" s="57"/>
      <c r="G449" s="57"/>
      <c r="H449" s="57"/>
      <c r="I449" s="44"/>
      <c r="J449" s="44"/>
      <c r="K449" s="44"/>
    </row>
    <row r="450" spans="3:15" s="59" customFormat="1" ht="21" customHeight="1">
      <c r="C450" s="450" t="s">
        <v>1217</v>
      </c>
      <c r="D450" s="67"/>
      <c r="E450" s="67"/>
      <c r="F450" s="67"/>
      <c r="G450" s="69"/>
      <c r="H450" s="589">
        <v>0</v>
      </c>
      <c r="I450" s="44"/>
      <c r="J450" s="44"/>
      <c r="K450" s="44"/>
    </row>
    <row r="451" spans="3:15" s="59" customFormat="1" ht="21" customHeight="1">
      <c r="C451" s="288" t="s">
        <v>1218</v>
      </c>
      <c r="D451" s="76" t="s">
        <v>1219</v>
      </c>
      <c r="E451" s="77"/>
      <c r="F451" s="77"/>
      <c r="G451" s="78"/>
      <c r="H451" s="585">
        <f>H450+H448+H445</f>
        <v>291155</v>
      </c>
      <c r="I451" s="369"/>
      <c r="J451" s="44"/>
      <c r="K451" s="44"/>
    </row>
    <row r="452" spans="3:15" s="59" customFormat="1" ht="21" customHeight="1">
      <c r="C452" s="288" t="s">
        <v>1220</v>
      </c>
      <c r="D452" s="76" t="s">
        <v>1321</v>
      </c>
      <c r="E452" s="77"/>
      <c r="F452" s="78"/>
      <c r="G452" s="80">
        <v>0.1</v>
      </c>
      <c r="H452" s="63">
        <f>H451*G452</f>
        <v>29115.5</v>
      </c>
      <c r="I452" s="369"/>
      <c r="J452" s="44"/>
      <c r="K452" s="44"/>
    </row>
    <row r="453" spans="3:15" s="59" customFormat="1" ht="21" customHeight="1">
      <c r="C453" s="288" t="s">
        <v>1221</v>
      </c>
      <c r="D453" s="76" t="s">
        <v>1222</v>
      </c>
      <c r="E453" s="77"/>
      <c r="F453" s="77"/>
      <c r="G453" s="78"/>
      <c r="H453" s="799">
        <f>SUM(H451:H452)</f>
        <v>320270.5</v>
      </c>
      <c r="I453" s="369"/>
      <c r="J453" s="44"/>
      <c r="K453" s="44"/>
    </row>
    <row r="454" spans="3:15" ht="21" customHeight="1">
      <c r="D454" s="86" t="s">
        <v>3830</v>
      </c>
    </row>
    <row r="455" spans="3:15" ht="21" customHeight="1"/>
    <row r="456" spans="3:15" s="59" customFormat="1" ht="21" customHeight="1">
      <c r="C456" s="47" t="s">
        <v>3852</v>
      </c>
      <c r="D456" s="794" t="s">
        <v>8142</v>
      </c>
      <c r="E456" s="795"/>
      <c r="F456" s="795"/>
      <c r="G456" s="795"/>
      <c r="H456" s="795"/>
      <c r="I456" s="50">
        <f>ROUNDDOWN(H471,-2)</f>
        <v>492200</v>
      </c>
      <c r="J456" s="50" t="s">
        <v>6451</v>
      </c>
      <c r="K456" s="50" t="s">
        <v>8092</v>
      </c>
    </row>
    <row r="457" spans="3:15" s="59" customFormat="1" ht="21" customHeight="1">
      <c r="C457" s="591" t="s">
        <v>1195</v>
      </c>
      <c r="D457" s="591" t="s">
        <v>1196</v>
      </c>
      <c r="E457" s="591" t="s">
        <v>1197</v>
      </c>
      <c r="F457" s="591" t="s">
        <v>1198</v>
      </c>
      <c r="G457" s="591" t="s">
        <v>1199</v>
      </c>
      <c r="H457" s="591" t="s">
        <v>1200</v>
      </c>
      <c r="I457" s="44"/>
      <c r="J457" s="44"/>
      <c r="K457" s="44"/>
    </row>
    <row r="458" spans="3:15" s="59" customFormat="1" ht="21" customHeight="1">
      <c r="C458" s="61" t="s">
        <v>1201</v>
      </c>
      <c r="D458" s="56" t="s">
        <v>1202</v>
      </c>
      <c r="E458" s="57"/>
      <c r="F458" s="57"/>
      <c r="G458" s="57"/>
      <c r="H458" s="57"/>
      <c r="I458" s="44"/>
      <c r="J458" s="44"/>
      <c r="K458" s="44"/>
      <c r="L458" s="152" t="s">
        <v>1247</v>
      </c>
    </row>
    <row r="459" spans="3:15" s="59" customFormat="1" ht="21" customHeight="1">
      <c r="C459" s="588">
        <v>1</v>
      </c>
      <c r="D459" s="56" t="s">
        <v>5</v>
      </c>
      <c r="E459" s="577" t="s">
        <v>6</v>
      </c>
      <c r="F459" s="62">
        <v>0.30599999999999999</v>
      </c>
      <c r="G459" s="63">
        <f>VLOOKUP(D459,upahbahan,3,FALSE)</f>
        <v>100000</v>
      </c>
      <c r="H459" s="63">
        <f>F459*G459</f>
        <v>30600</v>
      </c>
      <c r="I459" s="44"/>
      <c r="J459" s="44"/>
      <c r="K459" s="44"/>
      <c r="L459" s="152" t="s">
        <v>1248</v>
      </c>
      <c r="O459" s="65">
        <v>0.1</v>
      </c>
    </row>
    <row r="460" spans="3:15" s="59" customFormat="1" ht="21" customHeight="1">
      <c r="C460" s="588">
        <v>2</v>
      </c>
      <c r="D460" s="56" t="s">
        <v>10</v>
      </c>
      <c r="E460" s="577" t="s">
        <v>6</v>
      </c>
      <c r="F460" s="62">
        <v>0.51100000000000001</v>
      </c>
      <c r="G460" s="63">
        <f>VLOOKUP(D460,upahbahan,3,FALSE)</f>
        <v>135000</v>
      </c>
      <c r="H460" s="63">
        <f>F460*G460</f>
        <v>68985</v>
      </c>
      <c r="I460" s="44"/>
      <c r="J460" s="44"/>
      <c r="K460" s="44"/>
    </row>
    <row r="461" spans="3:15" s="59" customFormat="1" ht="21" customHeight="1">
      <c r="C461" s="588">
        <v>3</v>
      </c>
      <c r="D461" s="56" t="s">
        <v>18</v>
      </c>
      <c r="E461" s="577" t="s">
        <v>6</v>
      </c>
      <c r="F461" s="62">
        <v>5.0999999999999997E-2</v>
      </c>
      <c r="G461" s="63">
        <f>VLOOKUP(D461,upahbahan,3,FALSE)</f>
        <v>150000</v>
      </c>
      <c r="H461" s="63">
        <f>F461*G461</f>
        <v>7649.9999999999991</v>
      </c>
      <c r="I461" s="44"/>
      <c r="J461" s="44"/>
      <c r="K461" s="44"/>
    </row>
    <row r="462" spans="3:15" s="59" customFormat="1" ht="21" customHeight="1">
      <c r="C462" s="588">
        <v>4</v>
      </c>
      <c r="D462" s="56" t="s">
        <v>19</v>
      </c>
      <c r="E462" s="577" t="s">
        <v>6</v>
      </c>
      <c r="F462" s="62">
        <v>1.4999999999999999E-2</v>
      </c>
      <c r="G462" s="63">
        <f>VLOOKUP(D462,upahbahan,3,FALSE)</f>
        <v>160000</v>
      </c>
      <c r="H462" s="63">
        <f>F462*G462</f>
        <v>2400</v>
      </c>
      <c r="I462" s="44"/>
      <c r="J462" s="44"/>
      <c r="K462" s="44"/>
    </row>
    <row r="463" spans="3:15" s="59" customFormat="1" ht="21" customHeight="1">
      <c r="C463" s="450" t="s">
        <v>1208</v>
      </c>
      <c r="D463" s="67"/>
      <c r="E463" s="67"/>
      <c r="F463" s="142"/>
      <c r="G463" s="153"/>
      <c r="H463" s="63">
        <f>SUM(H459:H462)</f>
        <v>109635</v>
      </c>
      <c r="I463" s="154"/>
      <c r="J463" s="154"/>
      <c r="K463" s="154"/>
    </row>
    <row r="464" spans="3:15" s="59" customFormat="1" ht="21" customHeight="1">
      <c r="C464" s="61" t="s">
        <v>1209</v>
      </c>
      <c r="D464" s="56" t="s">
        <v>1210</v>
      </c>
      <c r="E464" s="57"/>
      <c r="F464" s="57"/>
      <c r="G464" s="57"/>
      <c r="H464" s="57"/>
      <c r="I464" s="44"/>
      <c r="J464" s="44"/>
      <c r="K464" s="44"/>
    </row>
    <row r="465" spans="3:15" s="59" customFormat="1" ht="21" customHeight="1">
      <c r="C465" s="588">
        <v>1</v>
      </c>
      <c r="D465" s="56" t="s">
        <v>8143</v>
      </c>
      <c r="E465" s="73" t="s">
        <v>113</v>
      </c>
      <c r="F465" s="276">
        <v>1.45</v>
      </c>
      <c r="G465" s="63">
        <f>VLOOKUP(D465,upahbahan,3,FALSE)</f>
        <v>233000</v>
      </c>
      <c r="H465" s="63">
        <f>F465*G465</f>
        <v>337850</v>
      </c>
      <c r="I465" s="44"/>
      <c r="J465" s="44"/>
      <c r="K465" s="44"/>
    </row>
    <row r="466" spans="3:15" s="59" customFormat="1" ht="21" customHeight="1">
      <c r="C466" s="450" t="s">
        <v>1214</v>
      </c>
      <c r="D466" s="67"/>
      <c r="E466" s="67"/>
      <c r="F466" s="67"/>
      <c r="G466" s="69"/>
      <c r="H466" s="63">
        <f>SUM(H465:H465)</f>
        <v>337850</v>
      </c>
      <c r="I466" s="44"/>
      <c r="J466" s="44"/>
      <c r="K466" s="44"/>
    </row>
    <row r="467" spans="3:15" s="59" customFormat="1" ht="21" customHeight="1">
      <c r="C467" s="61" t="s">
        <v>1215</v>
      </c>
      <c r="D467" s="56" t="s">
        <v>1216</v>
      </c>
      <c r="E467" s="57"/>
      <c r="F467" s="57"/>
      <c r="G467" s="57"/>
      <c r="H467" s="57"/>
      <c r="I467" s="44"/>
      <c r="J467" s="44"/>
      <c r="K467" s="44"/>
    </row>
    <row r="468" spans="3:15" s="59" customFormat="1" ht="21" customHeight="1">
      <c r="C468" s="450" t="s">
        <v>1217</v>
      </c>
      <c r="D468" s="67"/>
      <c r="E468" s="67"/>
      <c r="F468" s="67"/>
      <c r="G468" s="69"/>
      <c r="H468" s="589">
        <v>0</v>
      </c>
      <c r="I468" s="44"/>
      <c r="J468" s="44"/>
      <c r="K468" s="44"/>
    </row>
    <row r="469" spans="3:15" s="59" customFormat="1" ht="21" customHeight="1">
      <c r="C469" s="288" t="s">
        <v>1218</v>
      </c>
      <c r="D469" s="76" t="s">
        <v>1219</v>
      </c>
      <c r="E469" s="77"/>
      <c r="F469" s="77"/>
      <c r="G469" s="78"/>
      <c r="H469" s="585">
        <f>H468+H466+H463</f>
        <v>447485</v>
      </c>
      <c r="I469" s="369"/>
      <c r="J469" s="44"/>
      <c r="K469" s="44"/>
    </row>
    <row r="470" spans="3:15" s="59" customFormat="1" ht="21" customHeight="1">
      <c r="C470" s="288" t="s">
        <v>1220</v>
      </c>
      <c r="D470" s="76" t="s">
        <v>1321</v>
      </c>
      <c r="E470" s="77"/>
      <c r="F470" s="78"/>
      <c r="G470" s="80">
        <v>0.1</v>
      </c>
      <c r="H470" s="63">
        <f>H469*G470</f>
        <v>44748.5</v>
      </c>
      <c r="I470" s="369"/>
      <c r="J470" s="44"/>
      <c r="K470" s="44"/>
    </row>
    <row r="471" spans="3:15" s="59" customFormat="1" ht="21" customHeight="1">
      <c r="C471" s="288" t="s">
        <v>1221</v>
      </c>
      <c r="D471" s="76" t="s">
        <v>1222</v>
      </c>
      <c r="E471" s="77"/>
      <c r="F471" s="77"/>
      <c r="G471" s="78"/>
      <c r="H471" s="799">
        <f>SUM(H469:H470)</f>
        <v>492233.5</v>
      </c>
      <c r="I471" s="369"/>
      <c r="J471" s="44"/>
      <c r="K471" s="44"/>
    </row>
    <row r="472" spans="3:15" ht="21" customHeight="1">
      <c r="D472" s="86" t="s">
        <v>3830</v>
      </c>
    </row>
    <row r="473" spans="3:15" ht="21" customHeight="1"/>
    <row r="474" spans="3:15" s="59" customFormat="1" ht="21" customHeight="1">
      <c r="C474" s="47" t="s">
        <v>3853</v>
      </c>
      <c r="D474" s="794" t="s">
        <v>8144</v>
      </c>
      <c r="E474" s="795"/>
      <c r="F474" s="795"/>
      <c r="G474" s="795"/>
      <c r="H474" s="795"/>
      <c r="I474" s="50">
        <f>ROUNDDOWN(H489,-2)</f>
        <v>655000</v>
      </c>
      <c r="J474" s="50" t="s">
        <v>6451</v>
      </c>
      <c r="K474" s="50" t="s">
        <v>8092</v>
      </c>
    </row>
    <row r="475" spans="3:15" s="59" customFormat="1" ht="21" customHeight="1">
      <c r="C475" s="591" t="s">
        <v>1195</v>
      </c>
      <c r="D475" s="591" t="s">
        <v>1196</v>
      </c>
      <c r="E475" s="591" t="s">
        <v>1197</v>
      </c>
      <c r="F475" s="591" t="s">
        <v>1198</v>
      </c>
      <c r="G475" s="591" t="s">
        <v>1199</v>
      </c>
      <c r="H475" s="591" t="s">
        <v>1200</v>
      </c>
      <c r="I475" s="44"/>
      <c r="J475" s="44"/>
      <c r="K475" s="44"/>
    </row>
    <row r="476" spans="3:15" s="59" customFormat="1" ht="21" customHeight="1">
      <c r="C476" s="61" t="s">
        <v>1201</v>
      </c>
      <c r="D476" s="56" t="s">
        <v>1202</v>
      </c>
      <c r="E476" s="57"/>
      <c r="F476" s="57"/>
      <c r="G476" s="57"/>
      <c r="H476" s="57"/>
      <c r="I476" s="44"/>
      <c r="J476" s="44"/>
      <c r="K476" s="44"/>
      <c r="L476" s="152" t="s">
        <v>1247</v>
      </c>
    </row>
    <row r="477" spans="3:15" s="59" customFormat="1" ht="21" customHeight="1">
      <c r="C477" s="588">
        <v>1</v>
      </c>
      <c r="D477" s="56" t="s">
        <v>5</v>
      </c>
      <c r="E477" s="577" t="s">
        <v>6</v>
      </c>
      <c r="F477" s="62">
        <v>0.36699999999999999</v>
      </c>
      <c r="G477" s="63">
        <f>VLOOKUP(D477,upahbahan,3,FALSE)</f>
        <v>100000</v>
      </c>
      <c r="H477" s="63">
        <f>F477*G477</f>
        <v>36700</v>
      </c>
      <c r="I477" s="44"/>
      <c r="J477" s="44"/>
      <c r="K477" s="44"/>
      <c r="L477" s="152" t="s">
        <v>1248</v>
      </c>
      <c r="O477" s="65">
        <v>0.1</v>
      </c>
    </row>
    <row r="478" spans="3:15" s="59" customFormat="1" ht="21" customHeight="1">
      <c r="C478" s="588">
        <v>2</v>
      </c>
      <c r="D478" s="56" t="s">
        <v>10</v>
      </c>
      <c r="E478" s="577" t="s">
        <v>6</v>
      </c>
      <c r="F478" s="62">
        <v>0.61299999999999999</v>
      </c>
      <c r="G478" s="63">
        <f>VLOOKUP(D478,upahbahan,3,FALSE)</f>
        <v>135000</v>
      </c>
      <c r="H478" s="63">
        <f>F478*G478</f>
        <v>82755</v>
      </c>
      <c r="I478" s="44"/>
      <c r="J478" s="44"/>
      <c r="K478" s="44"/>
    </row>
    <row r="479" spans="3:15" s="59" customFormat="1" ht="21" customHeight="1">
      <c r="C479" s="588">
        <v>3</v>
      </c>
      <c r="D479" s="56" t="s">
        <v>18</v>
      </c>
      <c r="E479" s="577" t="s">
        <v>6</v>
      </c>
      <c r="F479" s="62">
        <v>6.0999999999999999E-2</v>
      </c>
      <c r="G479" s="63">
        <f>VLOOKUP(D479,upahbahan,3,FALSE)</f>
        <v>150000</v>
      </c>
      <c r="H479" s="63">
        <f>F479*G479</f>
        <v>9150</v>
      </c>
      <c r="I479" s="44"/>
      <c r="J479" s="44"/>
      <c r="K479" s="44"/>
    </row>
    <row r="480" spans="3:15" s="59" customFormat="1" ht="21" customHeight="1">
      <c r="C480" s="588">
        <v>4</v>
      </c>
      <c r="D480" s="56" t="s">
        <v>19</v>
      </c>
      <c r="E480" s="577" t="s">
        <v>6</v>
      </c>
      <c r="F480" s="62">
        <v>1.7999999999999999E-2</v>
      </c>
      <c r="G480" s="63">
        <f>VLOOKUP(D480,upahbahan,3,FALSE)</f>
        <v>160000</v>
      </c>
      <c r="H480" s="63">
        <f>F480*G480</f>
        <v>2880</v>
      </c>
      <c r="I480" s="44"/>
      <c r="J480" s="44"/>
      <c r="K480" s="44"/>
    </row>
    <row r="481" spans="3:15" s="59" customFormat="1" ht="21" customHeight="1">
      <c r="C481" s="450" t="s">
        <v>1208</v>
      </c>
      <c r="D481" s="67"/>
      <c r="E481" s="67"/>
      <c r="F481" s="142"/>
      <c r="G481" s="153"/>
      <c r="H481" s="63">
        <f>SUM(H477:H480)</f>
        <v>131485</v>
      </c>
      <c r="I481" s="154"/>
      <c r="J481" s="154"/>
      <c r="K481" s="154"/>
    </row>
    <row r="482" spans="3:15" s="59" customFormat="1" ht="21" customHeight="1">
      <c r="C482" s="61" t="s">
        <v>1209</v>
      </c>
      <c r="D482" s="56" t="s">
        <v>1210</v>
      </c>
      <c r="E482" s="57"/>
      <c r="F482" s="57"/>
      <c r="G482" s="57"/>
      <c r="H482" s="57"/>
      <c r="I482" s="44"/>
      <c r="J482" s="44"/>
      <c r="K482" s="44"/>
    </row>
    <row r="483" spans="3:15" s="59" customFormat="1" ht="21" customHeight="1">
      <c r="C483" s="588">
        <v>1</v>
      </c>
      <c r="D483" s="56" t="s">
        <v>8145</v>
      </c>
      <c r="E483" s="73" t="s">
        <v>113</v>
      </c>
      <c r="F483" s="276">
        <v>1.45</v>
      </c>
      <c r="G483" s="63">
        <f>VLOOKUP(D483,upahbahan,3,FALSE)</f>
        <v>320000</v>
      </c>
      <c r="H483" s="63">
        <f>F483*G483</f>
        <v>464000</v>
      </c>
      <c r="I483" s="44"/>
      <c r="J483" s="44"/>
      <c r="K483" s="44"/>
    </row>
    <row r="484" spans="3:15" s="59" customFormat="1" ht="21" customHeight="1">
      <c r="C484" s="450" t="s">
        <v>1214</v>
      </c>
      <c r="D484" s="67"/>
      <c r="E484" s="67"/>
      <c r="F484" s="67"/>
      <c r="G484" s="69"/>
      <c r="H484" s="63">
        <f>SUM(H483:H483)</f>
        <v>464000</v>
      </c>
      <c r="I484" s="44"/>
      <c r="J484" s="44"/>
      <c r="K484" s="44"/>
    </row>
    <row r="485" spans="3:15" s="59" customFormat="1" ht="21" customHeight="1">
      <c r="C485" s="61" t="s">
        <v>1215</v>
      </c>
      <c r="D485" s="56" t="s">
        <v>1216</v>
      </c>
      <c r="E485" s="57"/>
      <c r="F485" s="57"/>
      <c r="G485" s="57"/>
      <c r="H485" s="57"/>
      <c r="I485" s="44"/>
      <c r="J485" s="44"/>
      <c r="K485" s="44"/>
    </row>
    <row r="486" spans="3:15" s="59" customFormat="1" ht="21" customHeight="1">
      <c r="C486" s="450" t="s">
        <v>1217</v>
      </c>
      <c r="D486" s="67"/>
      <c r="E486" s="67"/>
      <c r="F486" s="67"/>
      <c r="G486" s="69"/>
      <c r="H486" s="589">
        <v>0</v>
      </c>
      <c r="I486" s="44"/>
      <c r="J486" s="44"/>
      <c r="K486" s="44"/>
    </row>
    <row r="487" spans="3:15" s="59" customFormat="1" ht="21" customHeight="1">
      <c r="C487" s="288" t="s">
        <v>1218</v>
      </c>
      <c r="D487" s="76" t="s">
        <v>1219</v>
      </c>
      <c r="E487" s="77"/>
      <c r="F487" s="77"/>
      <c r="G487" s="78"/>
      <c r="H487" s="585">
        <f>H486+H484+H481</f>
        <v>595485</v>
      </c>
      <c r="I487" s="369"/>
      <c r="J487" s="44"/>
      <c r="K487" s="44"/>
    </row>
    <row r="488" spans="3:15" s="59" customFormat="1" ht="21" customHeight="1">
      <c r="C488" s="288" t="s">
        <v>1220</v>
      </c>
      <c r="D488" s="76" t="s">
        <v>1321</v>
      </c>
      <c r="E488" s="77"/>
      <c r="F488" s="78"/>
      <c r="G488" s="80">
        <v>0.1</v>
      </c>
      <c r="H488" s="63">
        <f>H487*G488</f>
        <v>59548.5</v>
      </c>
      <c r="I488" s="369"/>
      <c r="J488" s="44"/>
      <c r="K488" s="44"/>
    </row>
    <row r="489" spans="3:15" s="59" customFormat="1" ht="21" customHeight="1">
      <c r="C489" s="288" t="s">
        <v>1221</v>
      </c>
      <c r="D489" s="76" t="s">
        <v>1222</v>
      </c>
      <c r="E489" s="77"/>
      <c r="F489" s="77"/>
      <c r="G489" s="78"/>
      <c r="H489" s="799">
        <f>SUM(H487:H488)</f>
        <v>655033.5</v>
      </c>
      <c r="I489" s="369"/>
      <c r="J489" s="44"/>
      <c r="K489" s="44"/>
    </row>
    <row r="490" spans="3:15" ht="21" customHeight="1">
      <c r="D490" s="86" t="s">
        <v>3830</v>
      </c>
    </row>
    <row r="491" spans="3:15" ht="21" customHeight="1"/>
    <row r="492" spans="3:15" s="59" customFormat="1" ht="21" customHeight="1">
      <c r="C492" s="47" t="s">
        <v>3854</v>
      </c>
      <c r="D492" s="794" t="s">
        <v>8146</v>
      </c>
      <c r="E492" s="795"/>
      <c r="F492" s="795"/>
      <c r="G492" s="795"/>
      <c r="H492" s="795"/>
      <c r="I492" s="50">
        <f>ROUNDDOWN(H507,-2)</f>
        <v>683400</v>
      </c>
      <c r="J492" s="50" t="s">
        <v>6451</v>
      </c>
      <c r="K492" s="50" t="s">
        <v>8092</v>
      </c>
    </row>
    <row r="493" spans="3:15" s="59" customFormat="1" ht="21" customHeight="1">
      <c r="C493" s="591" t="s">
        <v>1195</v>
      </c>
      <c r="D493" s="591" t="s">
        <v>1196</v>
      </c>
      <c r="E493" s="591" t="s">
        <v>1197</v>
      </c>
      <c r="F493" s="591" t="s">
        <v>1198</v>
      </c>
      <c r="G493" s="591" t="s">
        <v>1199</v>
      </c>
      <c r="H493" s="591" t="s">
        <v>1200</v>
      </c>
      <c r="I493" s="44"/>
      <c r="J493" s="44"/>
      <c r="K493" s="44"/>
    </row>
    <row r="494" spans="3:15" s="59" customFormat="1" ht="21" customHeight="1">
      <c r="C494" s="61" t="s">
        <v>1201</v>
      </c>
      <c r="D494" s="56" t="s">
        <v>1202</v>
      </c>
      <c r="E494" s="57"/>
      <c r="F494" s="57"/>
      <c r="G494" s="57"/>
      <c r="H494" s="57"/>
      <c r="I494" s="44"/>
      <c r="J494" s="44"/>
      <c r="K494" s="44"/>
      <c r="L494" s="152" t="s">
        <v>1247</v>
      </c>
    </row>
    <row r="495" spans="3:15" s="59" customFormat="1" ht="21" customHeight="1">
      <c r="C495" s="588">
        <v>1</v>
      </c>
      <c r="D495" s="56" t="s">
        <v>5</v>
      </c>
      <c r="E495" s="577" t="s">
        <v>6</v>
      </c>
      <c r="F495" s="62">
        <v>0.42699999999999999</v>
      </c>
      <c r="G495" s="63">
        <f>VLOOKUP(D495,upahbahan,3,FALSE)</f>
        <v>100000</v>
      </c>
      <c r="H495" s="63">
        <f>F495*G495</f>
        <v>42700</v>
      </c>
      <c r="I495" s="44"/>
      <c r="J495" s="44"/>
      <c r="K495" s="44"/>
      <c r="L495" s="152" t="s">
        <v>1248</v>
      </c>
      <c r="O495" s="65">
        <v>0.1</v>
      </c>
    </row>
    <row r="496" spans="3:15" s="59" customFormat="1" ht="21" customHeight="1">
      <c r="C496" s="588">
        <v>2</v>
      </c>
      <c r="D496" s="56" t="s">
        <v>10</v>
      </c>
      <c r="E496" s="577" t="s">
        <v>6</v>
      </c>
      <c r="F496" s="62">
        <v>0.71299999999999997</v>
      </c>
      <c r="G496" s="63">
        <f>VLOOKUP(D496,upahbahan,3,FALSE)</f>
        <v>135000</v>
      </c>
      <c r="H496" s="63">
        <f>F496*G496</f>
        <v>96255</v>
      </c>
      <c r="I496" s="44"/>
      <c r="J496" s="44"/>
      <c r="K496" s="44"/>
    </row>
    <row r="497" spans="3:12" s="59" customFormat="1" ht="21" customHeight="1">
      <c r="C497" s="588">
        <v>3</v>
      </c>
      <c r="D497" s="56" t="s">
        <v>18</v>
      </c>
      <c r="E497" s="577" t="s">
        <v>6</v>
      </c>
      <c r="F497" s="62">
        <v>7.0999999999999994E-2</v>
      </c>
      <c r="G497" s="63">
        <f>VLOOKUP(D497,upahbahan,3,FALSE)</f>
        <v>150000</v>
      </c>
      <c r="H497" s="63">
        <f>F497*G497</f>
        <v>10649.999999999998</v>
      </c>
      <c r="I497" s="44"/>
      <c r="J497" s="44"/>
      <c r="K497" s="44"/>
    </row>
    <row r="498" spans="3:12" s="59" customFormat="1" ht="21" customHeight="1">
      <c r="C498" s="588">
        <v>4</v>
      </c>
      <c r="D498" s="56" t="s">
        <v>19</v>
      </c>
      <c r="E498" s="577" t="s">
        <v>6</v>
      </c>
      <c r="F498" s="62">
        <v>2.1000000000000001E-2</v>
      </c>
      <c r="G498" s="63">
        <f>VLOOKUP(D498,upahbahan,3,FALSE)</f>
        <v>160000</v>
      </c>
      <c r="H498" s="63">
        <f>F498*G498</f>
        <v>3360</v>
      </c>
      <c r="I498" s="44"/>
      <c r="J498" s="44"/>
      <c r="K498" s="44"/>
    </row>
    <row r="499" spans="3:12" s="59" customFormat="1" ht="21" customHeight="1">
      <c r="C499" s="450" t="s">
        <v>1208</v>
      </c>
      <c r="D499" s="67"/>
      <c r="E499" s="67"/>
      <c r="F499" s="142"/>
      <c r="G499" s="153"/>
      <c r="H499" s="63">
        <f>SUM(H495:H498)</f>
        <v>152965</v>
      </c>
      <c r="I499" s="154"/>
      <c r="J499" s="154"/>
      <c r="K499" s="154"/>
    </row>
    <row r="500" spans="3:12" s="59" customFormat="1" ht="21" customHeight="1">
      <c r="C500" s="61" t="s">
        <v>1209</v>
      </c>
      <c r="D500" s="56" t="s">
        <v>1210</v>
      </c>
      <c r="E500" s="57"/>
      <c r="F500" s="57"/>
      <c r="G500" s="57"/>
      <c r="H500" s="57"/>
      <c r="I500" s="44"/>
      <c r="J500" s="44"/>
      <c r="K500" s="44"/>
    </row>
    <row r="501" spans="3:12" s="59" customFormat="1" ht="21" customHeight="1">
      <c r="C501" s="588">
        <v>1</v>
      </c>
      <c r="D501" s="72" t="s">
        <v>8147</v>
      </c>
      <c r="E501" s="73" t="s">
        <v>113</v>
      </c>
      <c r="F501" s="276">
        <v>1.45</v>
      </c>
      <c r="G501" s="63">
        <f>VLOOKUP(D501,upahbahan,3,FALSE)</f>
        <v>323000</v>
      </c>
      <c r="H501" s="63">
        <f>F501*G501</f>
        <v>468350</v>
      </c>
      <c r="I501" s="44"/>
      <c r="J501" s="44"/>
      <c r="K501" s="44"/>
    </row>
    <row r="502" spans="3:12" s="59" customFormat="1" ht="21" customHeight="1">
      <c r="C502" s="450" t="s">
        <v>1214</v>
      </c>
      <c r="D502" s="67"/>
      <c r="E502" s="67"/>
      <c r="F502" s="67"/>
      <c r="G502" s="69"/>
      <c r="H502" s="63">
        <f>SUM(H501:H501)</f>
        <v>468350</v>
      </c>
      <c r="I502" s="44"/>
      <c r="J502" s="44"/>
      <c r="K502" s="44"/>
    </row>
    <row r="503" spans="3:12" s="59" customFormat="1" ht="21" customHeight="1">
      <c r="C503" s="61" t="s">
        <v>1215</v>
      </c>
      <c r="D503" s="56" t="s">
        <v>1216</v>
      </c>
      <c r="E503" s="57"/>
      <c r="F503" s="57"/>
      <c r="G503" s="57"/>
      <c r="H503" s="57"/>
      <c r="I503" s="44"/>
      <c r="J503" s="44"/>
      <c r="K503" s="44"/>
    </row>
    <row r="504" spans="3:12" s="59" customFormat="1" ht="21" customHeight="1">
      <c r="C504" s="450" t="s">
        <v>1217</v>
      </c>
      <c r="D504" s="67"/>
      <c r="E504" s="67"/>
      <c r="F504" s="67"/>
      <c r="G504" s="69"/>
      <c r="H504" s="589">
        <v>0</v>
      </c>
      <c r="I504" s="44"/>
      <c r="J504" s="44"/>
      <c r="K504" s="44"/>
    </row>
    <row r="505" spans="3:12" s="59" customFormat="1" ht="21" customHeight="1">
      <c r="C505" s="288" t="s">
        <v>1218</v>
      </c>
      <c r="D505" s="76" t="s">
        <v>1219</v>
      </c>
      <c r="E505" s="77"/>
      <c r="F505" s="77"/>
      <c r="G505" s="78"/>
      <c r="H505" s="585">
        <f>H504+H502+H499</f>
        <v>621315</v>
      </c>
      <c r="I505" s="369"/>
      <c r="J505" s="44"/>
      <c r="K505" s="44"/>
    </row>
    <row r="506" spans="3:12" s="59" customFormat="1" ht="21" customHeight="1">
      <c r="C506" s="288" t="s">
        <v>1220</v>
      </c>
      <c r="D506" s="76" t="s">
        <v>1321</v>
      </c>
      <c r="E506" s="77"/>
      <c r="F506" s="78"/>
      <c r="G506" s="80">
        <v>0.1</v>
      </c>
      <c r="H506" s="63">
        <f>H505*G506</f>
        <v>62131.5</v>
      </c>
      <c r="I506" s="369"/>
      <c r="J506" s="44"/>
      <c r="K506" s="44"/>
    </row>
    <row r="507" spans="3:12" s="59" customFormat="1" ht="21" customHeight="1">
      <c r="C507" s="288" t="s">
        <v>1221</v>
      </c>
      <c r="D507" s="76" t="s">
        <v>1222</v>
      </c>
      <c r="E507" s="77"/>
      <c r="F507" s="77"/>
      <c r="G507" s="78"/>
      <c r="H507" s="799">
        <f>SUM(H505:H506)</f>
        <v>683446.5</v>
      </c>
      <c r="I507" s="369"/>
      <c r="J507" s="44"/>
      <c r="K507" s="44"/>
    </row>
    <row r="508" spans="3:12" ht="21" customHeight="1">
      <c r="D508" s="86" t="s">
        <v>3830</v>
      </c>
    </row>
    <row r="509" spans="3:12" ht="21" customHeight="1"/>
    <row r="510" spans="3:12" s="59" customFormat="1" ht="21" customHeight="1">
      <c r="C510" s="47" t="s">
        <v>3855</v>
      </c>
      <c r="D510" s="794" t="s">
        <v>8148</v>
      </c>
      <c r="E510" s="795"/>
      <c r="F510" s="795"/>
      <c r="G510" s="795"/>
      <c r="H510" s="795"/>
      <c r="I510" s="50">
        <f>ROUNDDOWN(H525,-2)</f>
        <v>771100</v>
      </c>
      <c r="J510" s="50" t="s">
        <v>6451</v>
      </c>
      <c r="K510" s="50" t="s">
        <v>8092</v>
      </c>
    </row>
    <row r="511" spans="3:12" s="59" customFormat="1" ht="21" customHeight="1">
      <c r="C511" s="591" t="s">
        <v>1195</v>
      </c>
      <c r="D511" s="591" t="s">
        <v>1196</v>
      </c>
      <c r="E511" s="591" t="s">
        <v>1197</v>
      </c>
      <c r="F511" s="591" t="s">
        <v>1198</v>
      </c>
      <c r="G511" s="591" t="s">
        <v>1199</v>
      </c>
      <c r="H511" s="591" t="s">
        <v>1200</v>
      </c>
      <c r="I511" s="44"/>
      <c r="J511" s="44"/>
      <c r="K511" s="44"/>
    </row>
    <row r="512" spans="3:12" s="59" customFormat="1" ht="21" customHeight="1">
      <c r="C512" s="61" t="s">
        <v>1201</v>
      </c>
      <c r="D512" s="56" t="s">
        <v>1202</v>
      </c>
      <c r="E512" s="57"/>
      <c r="F512" s="57"/>
      <c r="G512" s="57"/>
      <c r="H512" s="57"/>
      <c r="I512" s="44"/>
      <c r="J512" s="44"/>
      <c r="K512" s="44"/>
      <c r="L512" s="152" t="s">
        <v>1247</v>
      </c>
    </row>
    <row r="513" spans="3:15" s="59" customFormat="1" ht="21" customHeight="1">
      <c r="C513" s="588">
        <v>1</v>
      </c>
      <c r="D513" s="56" t="s">
        <v>5</v>
      </c>
      <c r="E513" s="577" t="s">
        <v>6</v>
      </c>
      <c r="F513" s="62">
        <v>0.48799999999999999</v>
      </c>
      <c r="G513" s="63">
        <f>VLOOKUP(D513,upahbahan,3,FALSE)</f>
        <v>100000</v>
      </c>
      <c r="H513" s="63">
        <f>F513*G513</f>
        <v>48800</v>
      </c>
      <c r="I513" s="44"/>
      <c r="J513" s="44"/>
      <c r="K513" s="44"/>
      <c r="L513" s="152" t="s">
        <v>1248</v>
      </c>
      <c r="O513" s="65">
        <v>0.1</v>
      </c>
    </row>
    <row r="514" spans="3:15" s="59" customFormat="1" ht="21" customHeight="1">
      <c r="C514" s="588">
        <v>2</v>
      </c>
      <c r="D514" s="56" t="s">
        <v>10</v>
      </c>
      <c r="E514" s="577" t="s">
        <v>6</v>
      </c>
      <c r="F514" s="62">
        <v>0.81399999999999995</v>
      </c>
      <c r="G514" s="63">
        <f>VLOOKUP(D514,upahbahan,3,FALSE)</f>
        <v>135000</v>
      </c>
      <c r="H514" s="63">
        <f>F514*G514</f>
        <v>109889.99999999999</v>
      </c>
      <c r="I514" s="44"/>
      <c r="J514" s="44"/>
      <c r="K514" s="44"/>
    </row>
    <row r="515" spans="3:15" s="59" customFormat="1" ht="21" customHeight="1">
      <c r="C515" s="588">
        <v>3</v>
      </c>
      <c r="D515" s="56" t="s">
        <v>18</v>
      </c>
      <c r="E515" s="577" t="s">
        <v>6</v>
      </c>
      <c r="F515" s="62">
        <v>8.1000000000000003E-2</v>
      </c>
      <c r="G515" s="63">
        <f>VLOOKUP(D515,upahbahan,3,FALSE)</f>
        <v>150000</v>
      </c>
      <c r="H515" s="63">
        <f>F515*G515</f>
        <v>12150</v>
      </c>
      <c r="I515" s="44"/>
      <c r="J515" s="44"/>
      <c r="K515" s="44"/>
    </row>
    <row r="516" spans="3:15" s="59" customFormat="1" ht="21" customHeight="1">
      <c r="C516" s="588">
        <v>4</v>
      </c>
      <c r="D516" s="56" t="s">
        <v>19</v>
      </c>
      <c r="E516" s="577" t="s">
        <v>6</v>
      </c>
      <c r="F516" s="62">
        <v>2.4E-2</v>
      </c>
      <c r="G516" s="63">
        <f>VLOOKUP(D516,upahbahan,3,FALSE)</f>
        <v>160000</v>
      </c>
      <c r="H516" s="63">
        <f>F516*G516</f>
        <v>3840</v>
      </c>
      <c r="I516" s="44"/>
      <c r="J516" s="44"/>
      <c r="K516" s="44"/>
    </row>
    <row r="517" spans="3:15" s="59" customFormat="1" ht="21" customHeight="1">
      <c r="C517" s="450" t="s">
        <v>1208</v>
      </c>
      <c r="D517" s="67"/>
      <c r="E517" s="67"/>
      <c r="F517" s="142"/>
      <c r="G517" s="153"/>
      <c r="H517" s="63">
        <f>SUM(H513:H516)</f>
        <v>174680</v>
      </c>
      <c r="I517" s="154"/>
      <c r="J517" s="154"/>
      <c r="K517" s="154"/>
    </row>
    <row r="518" spans="3:15" s="59" customFormat="1" ht="21" customHeight="1">
      <c r="C518" s="61" t="s">
        <v>1209</v>
      </c>
      <c r="D518" s="56" t="s">
        <v>1210</v>
      </c>
      <c r="E518" s="57"/>
      <c r="F518" s="57"/>
      <c r="G518" s="57"/>
      <c r="H518" s="57"/>
      <c r="I518" s="44"/>
      <c r="J518" s="44"/>
      <c r="K518" s="44"/>
    </row>
    <row r="519" spans="3:15" s="59" customFormat="1" ht="21" customHeight="1">
      <c r="C519" s="588">
        <v>1</v>
      </c>
      <c r="D519" s="56" t="s">
        <v>8149</v>
      </c>
      <c r="E519" s="73" t="s">
        <v>113</v>
      </c>
      <c r="F519" s="276">
        <v>1.45</v>
      </c>
      <c r="G519" s="63">
        <f>VLOOKUP(D519,upahbahan,3,FALSE)</f>
        <v>363000</v>
      </c>
      <c r="H519" s="63">
        <f>F519*G519</f>
        <v>526350</v>
      </c>
      <c r="I519" s="44"/>
      <c r="J519" s="44"/>
      <c r="K519" s="44"/>
    </row>
    <row r="520" spans="3:15" s="59" customFormat="1" ht="21" customHeight="1">
      <c r="C520" s="450" t="s">
        <v>1214</v>
      </c>
      <c r="D520" s="67"/>
      <c r="E520" s="67"/>
      <c r="F520" s="67"/>
      <c r="G520" s="69"/>
      <c r="H520" s="63">
        <f>SUM(H519:H519)</f>
        <v>526350</v>
      </c>
      <c r="I520" s="44"/>
      <c r="J520" s="44"/>
      <c r="K520" s="44"/>
    </row>
    <row r="521" spans="3:15" s="59" customFormat="1" ht="21" customHeight="1">
      <c r="C521" s="61" t="s">
        <v>1215</v>
      </c>
      <c r="D521" s="56" t="s">
        <v>1216</v>
      </c>
      <c r="E521" s="57"/>
      <c r="F521" s="57"/>
      <c r="G521" s="57"/>
      <c r="H521" s="57"/>
      <c r="I521" s="44"/>
      <c r="J521" s="44"/>
      <c r="K521" s="44"/>
    </row>
    <row r="522" spans="3:15" s="59" customFormat="1" ht="21" customHeight="1">
      <c r="C522" s="450" t="s">
        <v>1217</v>
      </c>
      <c r="D522" s="67"/>
      <c r="E522" s="67"/>
      <c r="F522" s="67"/>
      <c r="G522" s="69"/>
      <c r="H522" s="589">
        <v>0</v>
      </c>
      <c r="I522" s="44"/>
      <c r="J522" s="44"/>
      <c r="K522" s="44"/>
    </row>
    <row r="523" spans="3:15" s="59" customFormat="1" ht="21" customHeight="1">
      <c r="C523" s="288" t="s">
        <v>1218</v>
      </c>
      <c r="D523" s="76" t="s">
        <v>1219</v>
      </c>
      <c r="E523" s="77"/>
      <c r="F523" s="77"/>
      <c r="G523" s="78"/>
      <c r="H523" s="585">
        <f>H522+H520+H517</f>
        <v>701030</v>
      </c>
      <c r="I523" s="369"/>
      <c r="J523" s="44"/>
      <c r="K523" s="44"/>
    </row>
    <row r="524" spans="3:15" s="59" customFormat="1" ht="21" customHeight="1">
      <c r="C524" s="288" t="s">
        <v>1220</v>
      </c>
      <c r="D524" s="76" t="s">
        <v>1321</v>
      </c>
      <c r="E524" s="77"/>
      <c r="F524" s="78"/>
      <c r="G524" s="80">
        <v>0.1</v>
      </c>
      <c r="H524" s="63">
        <f>H523*G524</f>
        <v>70103</v>
      </c>
      <c r="I524" s="369"/>
      <c r="J524" s="44"/>
      <c r="K524" s="44"/>
    </row>
    <row r="525" spans="3:15" s="59" customFormat="1" ht="21" customHeight="1">
      <c r="C525" s="288" t="s">
        <v>1221</v>
      </c>
      <c r="D525" s="76" t="s">
        <v>1222</v>
      </c>
      <c r="E525" s="77"/>
      <c r="F525" s="77"/>
      <c r="G525" s="78"/>
      <c r="H525" s="799">
        <f>SUM(H523:H524)</f>
        <v>771133</v>
      </c>
      <c r="I525" s="369"/>
      <c r="J525" s="44"/>
      <c r="K525" s="44"/>
    </row>
    <row r="526" spans="3:15" ht="21" customHeight="1">
      <c r="D526" s="86" t="s">
        <v>3830</v>
      </c>
    </row>
    <row r="527" spans="3:15" ht="21" customHeight="1"/>
    <row r="528" spans="3:15" ht="21" customHeight="1">
      <c r="C528" s="43" t="s">
        <v>3856</v>
      </c>
      <c r="D528" s="128" t="s">
        <v>3857</v>
      </c>
    </row>
    <row r="529" spans="3:15" s="59" customFormat="1" ht="21" customHeight="1">
      <c r="C529" s="47" t="s">
        <v>3858</v>
      </c>
      <c r="D529" s="794" t="s">
        <v>8150</v>
      </c>
      <c r="E529" s="795"/>
      <c r="F529" s="795"/>
      <c r="G529" s="795"/>
      <c r="H529" s="795"/>
      <c r="I529" s="50">
        <f>ROUNDDOWN(H544,-2)</f>
        <v>60000</v>
      </c>
      <c r="J529" s="50" t="s">
        <v>6451</v>
      </c>
      <c r="K529" s="50" t="s">
        <v>8092</v>
      </c>
    </row>
    <row r="530" spans="3:15" s="59" customFormat="1" ht="21" customHeight="1">
      <c r="C530" s="591" t="s">
        <v>1195</v>
      </c>
      <c r="D530" s="591" t="s">
        <v>1196</v>
      </c>
      <c r="E530" s="591" t="s">
        <v>1197</v>
      </c>
      <c r="F530" s="591" t="s">
        <v>1198</v>
      </c>
      <c r="G530" s="591" t="s">
        <v>1199</v>
      </c>
      <c r="H530" s="591" t="s">
        <v>1200</v>
      </c>
      <c r="I530" s="44"/>
      <c r="J530" s="44"/>
      <c r="K530" s="44"/>
    </row>
    <row r="531" spans="3:15" s="59" customFormat="1" ht="21" customHeight="1">
      <c r="C531" s="61" t="s">
        <v>1201</v>
      </c>
      <c r="D531" s="56" t="s">
        <v>1202</v>
      </c>
      <c r="E531" s="57"/>
      <c r="F531" s="57"/>
      <c r="G531" s="57"/>
      <c r="H531" s="57"/>
      <c r="I531" s="44"/>
      <c r="J531" s="44"/>
      <c r="K531" s="44"/>
      <c r="L531" s="152" t="s">
        <v>1247</v>
      </c>
    </row>
    <row r="532" spans="3:15" s="59" customFormat="1" ht="21" customHeight="1">
      <c r="C532" s="588">
        <v>1</v>
      </c>
      <c r="D532" s="56" t="s">
        <v>5</v>
      </c>
      <c r="E532" s="577" t="s">
        <v>6</v>
      </c>
      <c r="F532" s="62">
        <v>3.5000000000000003E-2</v>
      </c>
      <c r="G532" s="63">
        <f>VLOOKUP(D532,upahbahan,3,FALSE)</f>
        <v>100000</v>
      </c>
      <c r="H532" s="63">
        <f>F532*G532</f>
        <v>3500.0000000000005</v>
      </c>
      <c r="I532" s="44"/>
      <c r="J532" s="44"/>
      <c r="K532" s="44"/>
      <c r="L532" s="152" t="s">
        <v>1248</v>
      </c>
      <c r="O532" s="65">
        <v>0.1</v>
      </c>
    </row>
    <row r="533" spans="3:15" s="59" customFormat="1" ht="21" customHeight="1">
      <c r="C533" s="588">
        <v>2</v>
      </c>
      <c r="D533" s="56" t="s">
        <v>10</v>
      </c>
      <c r="E533" s="577" t="s">
        <v>6</v>
      </c>
      <c r="F533" s="62">
        <v>5.8000000000000003E-2</v>
      </c>
      <c r="G533" s="63">
        <f>VLOOKUP(D533,upahbahan,3,FALSE)</f>
        <v>135000</v>
      </c>
      <c r="H533" s="63">
        <f>F533*G533</f>
        <v>7830</v>
      </c>
      <c r="I533" s="44"/>
      <c r="J533" s="44"/>
      <c r="K533" s="44"/>
    </row>
    <row r="534" spans="3:15" s="59" customFormat="1" ht="21" customHeight="1">
      <c r="C534" s="588">
        <v>3</v>
      </c>
      <c r="D534" s="56" t="s">
        <v>18</v>
      </c>
      <c r="E534" s="577" t="s">
        <v>6</v>
      </c>
      <c r="F534" s="62">
        <v>6.0000000000000001E-3</v>
      </c>
      <c r="G534" s="63">
        <f>VLOOKUP(D534,upahbahan,3,FALSE)</f>
        <v>150000</v>
      </c>
      <c r="H534" s="63">
        <f>F534*G534</f>
        <v>900</v>
      </c>
      <c r="I534" s="44"/>
      <c r="J534" s="44"/>
      <c r="K534" s="44"/>
    </row>
    <row r="535" spans="3:15" s="59" customFormat="1" ht="21" customHeight="1">
      <c r="C535" s="588">
        <v>4</v>
      </c>
      <c r="D535" s="56" t="s">
        <v>19</v>
      </c>
      <c r="E535" s="577" t="s">
        <v>6</v>
      </c>
      <c r="F535" s="62">
        <v>2E-3</v>
      </c>
      <c r="G535" s="63">
        <f>VLOOKUP(D535,upahbahan,3,FALSE)</f>
        <v>160000</v>
      </c>
      <c r="H535" s="63">
        <f>F535*G535</f>
        <v>320</v>
      </c>
      <c r="I535" s="44"/>
      <c r="J535" s="44"/>
      <c r="K535" s="44"/>
    </row>
    <row r="536" spans="3:15" s="59" customFormat="1" ht="21" customHeight="1">
      <c r="C536" s="450" t="s">
        <v>1208</v>
      </c>
      <c r="D536" s="67"/>
      <c r="E536" s="67"/>
      <c r="F536" s="142"/>
      <c r="G536" s="153"/>
      <c r="H536" s="63">
        <f>SUM(H532:H535)</f>
        <v>12550</v>
      </c>
      <c r="I536" s="154"/>
      <c r="J536" s="154"/>
      <c r="K536" s="154"/>
    </row>
    <row r="537" spans="3:15" s="59" customFormat="1" ht="21" customHeight="1">
      <c r="C537" s="61" t="s">
        <v>1209</v>
      </c>
      <c r="D537" s="56" t="s">
        <v>1210</v>
      </c>
      <c r="E537" s="57"/>
      <c r="F537" s="57"/>
      <c r="G537" s="57"/>
      <c r="H537" s="57"/>
      <c r="I537" s="44"/>
      <c r="J537" s="44"/>
      <c r="K537" s="44"/>
    </row>
    <row r="538" spans="3:15" s="59" customFormat="1" ht="21" customHeight="1">
      <c r="C538" s="588">
        <v>1</v>
      </c>
      <c r="D538" s="72" t="s">
        <v>8151</v>
      </c>
      <c r="E538" s="73" t="s">
        <v>113</v>
      </c>
      <c r="F538" s="276">
        <v>1.5</v>
      </c>
      <c r="G538" s="63">
        <f>VLOOKUP(D538,upahbahan,3,FALSE)</f>
        <v>28000</v>
      </c>
      <c r="H538" s="63">
        <f>F538*G538</f>
        <v>42000</v>
      </c>
      <c r="I538" s="44"/>
      <c r="J538" s="44"/>
      <c r="K538" s="44"/>
    </row>
    <row r="539" spans="3:15" s="59" customFormat="1" ht="21" customHeight="1">
      <c r="C539" s="450" t="s">
        <v>1214</v>
      </c>
      <c r="D539" s="67"/>
      <c r="E539" s="67"/>
      <c r="F539" s="67"/>
      <c r="G539" s="69"/>
      <c r="H539" s="63">
        <f>SUM(H538:H538)</f>
        <v>42000</v>
      </c>
      <c r="I539" s="44"/>
      <c r="J539" s="44"/>
      <c r="K539" s="44"/>
    </row>
    <row r="540" spans="3:15" s="59" customFormat="1" ht="21" customHeight="1">
      <c r="C540" s="61" t="s">
        <v>1215</v>
      </c>
      <c r="D540" s="56" t="s">
        <v>1216</v>
      </c>
      <c r="E540" s="57"/>
      <c r="F540" s="57"/>
      <c r="G540" s="57"/>
      <c r="H540" s="57"/>
      <c r="I540" s="44"/>
      <c r="J540" s="44"/>
      <c r="K540" s="44"/>
    </row>
    <row r="541" spans="3:15" s="59" customFormat="1" ht="21" customHeight="1">
      <c r="C541" s="450" t="s">
        <v>1217</v>
      </c>
      <c r="D541" s="67"/>
      <c r="E541" s="67"/>
      <c r="F541" s="67"/>
      <c r="G541" s="69"/>
      <c r="H541" s="589">
        <v>0</v>
      </c>
      <c r="I541" s="44"/>
      <c r="J541" s="44"/>
      <c r="K541" s="44"/>
    </row>
    <row r="542" spans="3:15" s="59" customFormat="1" ht="21" customHeight="1">
      <c r="C542" s="288" t="s">
        <v>1218</v>
      </c>
      <c r="D542" s="76" t="s">
        <v>1219</v>
      </c>
      <c r="E542" s="77"/>
      <c r="F542" s="77"/>
      <c r="G542" s="78"/>
      <c r="H542" s="585">
        <f>H541+H539+H536</f>
        <v>54550</v>
      </c>
      <c r="I542" s="369"/>
      <c r="J542" s="44"/>
      <c r="K542" s="44"/>
    </row>
    <row r="543" spans="3:15" s="59" customFormat="1" ht="21" customHeight="1">
      <c r="C543" s="288" t="s">
        <v>1220</v>
      </c>
      <c r="D543" s="76" t="s">
        <v>1321</v>
      </c>
      <c r="E543" s="77"/>
      <c r="F543" s="78"/>
      <c r="G543" s="80">
        <v>0.1</v>
      </c>
      <c r="H543" s="63">
        <f>H542*G543</f>
        <v>5455</v>
      </c>
      <c r="I543" s="369"/>
      <c r="J543" s="44"/>
      <c r="K543" s="44"/>
    </row>
    <row r="544" spans="3:15" s="59" customFormat="1" ht="21" customHeight="1">
      <c r="C544" s="288" t="s">
        <v>1221</v>
      </c>
      <c r="D544" s="76" t="s">
        <v>1222</v>
      </c>
      <c r="E544" s="77"/>
      <c r="F544" s="77"/>
      <c r="G544" s="78"/>
      <c r="H544" s="799">
        <f>SUM(H542:H543)</f>
        <v>60005</v>
      </c>
      <c r="I544" s="369"/>
      <c r="J544" s="44"/>
      <c r="K544" s="44"/>
    </row>
    <row r="545" spans="3:15" ht="21" customHeight="1">
      <c r="D545" s="86"/>
    </row>
    <row r="546" spans="3:15" ht="21" customHeight="1"/>
    <row r="547" spans="3:15" s="59" customFormat="1" ht="21" customHeight="1">
      <c r="C547" s="47" t="s">
        <v>3868</v>
      </c>
      <c r="D547" s="794" t="s">
        <v>8152</v>
      </c>
      <c r="E547" s="795"/>
      <c r="F547" s="795"/>
      <c r="G547" s="795"/>
      <c r="H547" s="795"/>
      <c r="I547" s="50">
        <f>ROUNDDOWN(H562,-2)</f>
        <v>80000</v>
      </c>
      <c r="J547" s="50" t="s">
        <v>6451</v>
      </c>
      <c r="K547" s="50" t="s">
        <v>8092</v>
      </c>
    </row>
    <row r="548" spans="3:15" s="59" customFormat="1" ht="21" customHeight="1">
      <c r="C548" s="591" t="s">
        <v>1195</v>
      </c>
      <c r="D548" s="591" t="s">
        <v>1196</v>
      </c>
      <c r="E548" s="591" t="s">
        <v>1197</v>
      </c>
      <c r="F548" s="591" t="s">
        <v>1198</v>
      </c>
      <c r="G548" s="591" t="s">
        <v>1199</v>
      </c>
      <c r="H548" s="591" t="s">
        <v>1200</v>
      </c>
      <c r="I548" s="44"/>
      <c r="J548" s="44"/>
      <c r="K548" s="44"/>
    </row>
    <row r="549" spans="3:15" s="59" customFormat="1" ht="21" customHeight="1">
      <c r="C549" s="61" t="s">
        <v>1201</v>
      </c>
      <c r="D549" s="56" t="s">
        <v>1202</v>
      </c>
      <c r="E549" s="57"/>
      <c r="F549" s="57"/>
      <c r="G549" s="57"/>
      <c r="H549" s="57"/>
      <c r="I549" s="44"/>
      <c r="J549" s="44"/>
      <c r="K549" s="44"/>
      <c r="L549" s="152" t="s">
        <v>1247</v>
      </c>
    </row>
    <row r="550" spans="3:15" s="59" customFormat="1" ht="21" customHeight="1">
      <c r="C550" s="588">
        <v>1</v>
      </c>
      <c r="D550" s="56" t="s">
        <v>5</v>
      </c>
      <c r="E550" s="577" t="s">
        <v>6</v>
      </c>
      <c r="F550" s="62">
        <v>5.1999999999999998E-2</v>
      </c>
      <c r="G550" s="63">
        <f>VLOOKUP(D550,upahbahan,3,FALSE)</f>
        <v>100000</v>
      </c>
      <c r="H550" s="63">
        <f>F550*G550</f>
        <v>5200</v>
      </c>
      <c r="I550" s="44"/>
      <c r="J550" s="44"/>
      <c r="K550" s="44"/>
      <c r="L550" s="152" t="s">
        <v>1248</v>
      </c>
      <c r="O550" s="65">
        <v>0.1</v>
      </c>
    </row>
    <row r="551" spans="3:15" s="59" customFormat="1" ht="21" customHeight="1">
      <c r="C551" s="588">
        <v>2</v>
      </c>
      <c r="D551" s="56" t="s">
        <v>10</v>
      </c>
      <c r="E551" s="577" t="s">
        <v>6</v>
      </c>
      <c r="F551" s="62">
        <v>8.6999999999999994E-2</v>
      </c>
      <c r="G551" s="63">
        <f>VLOOKUP(D551,upahbahan,3,FALSE)</f>
        <v>135000</v>
      </c>
      <c r="H551" s="63">
        <f>F551*G551</f>
        <v>11745</v>
      </c>
      <c r="I551" s="44"/>
      <c r="J551" s="44"/>
      <c r="K551" s="44"/>
    </row>
    <row r="552" spans="3:15" s="59" customFormat="1" ht="21" customHeight="1">
      <c r="C552" s="588">
        <v>3</v>
      </c>
      <c r="D552" s="56" t="s">
        <v>18</v>
      </c>
      <c r="E552" s="577" t="s">
        <v>6</v>
      </c>
      <c r="F552" s="62">
        <v>8.9999999999999993E-3</v>
      </c>
      <c r="G552" s="63">
        <f>VLOOKUP(D552,upahbahan,3,FALSE)</f>
        <v>150000</v>
      </c>
      <c r="H552" s="63">
        <f>F552*G552</f>
        <v>1350</v>
      </c>
      <c r="I552" s="44"/>
      <c r="J552" s="44"/>
      <c r="K552" s="44"/>
    </row>
    <row r="553" spans="3:15" s="59" customFormat="1" ht="21" customHeight="1">
      <c r="C553" s="588">
        <v>4</v>
      </c>
      <c r="D553" s="56" t="s">
        <v>19</v>
      </c>
      <c r="E553" s="577" t="s">
        <v>6</v>
      </c>
      <c r="F553" s="62">
        <v>3.0000000000000001E-3</v>
      </c>
      <c r="G553" s="63">
        <f>VLOOKUP(D553,upahbahan,3,FALSE)</f>
        <v>160000</v>
      </c>
      <c r="H553" s="63">
        <f>F553*G553</f>
        <v>480</v>
      </c>
      <c r="I553" s="44"/>
      <c r="J553" s="44"/>
      <c r="K553" s="44"/>
    </row>
    <row r="554" spans="3:15" s="59" customFormat="1" ht="21" customHeight="1">
      <c r="C554" s="450" t="s">
        <v>1208</v>
      </c>
      <c r="D554" s="67"/>
      <c r="E554" s="67"/>
      <c r="F554" s="142"/>
      <c r="G554" s="153"/>
      <c r="H554" s="63">
        <f>SUM(H550:H553)</f>
        <v>18775</v>
      </c>
      <c r="I554" s="154"/>
      <c r="J554" s="154"/>
      <c r="K554" s="154"/>
    </row>
    <row r="555" spans="3:15" s="59" customFormat="1" ht="21" customHeight="1">
      <c r="C555" s="61" t="s">
        <v>1209</v>
      </c>
      <c r="D555" s="56" t="s">
        <v>1210</v>
      </c>
      <c r="E555" s="57"/>
      <c r="F555" s="57"/>
      <c r="G555" s="57"/>
      <c r="H555" s="57"/>
      <c r="I555" s="44"/>
      <c r="J555" s="44"/>
      <c r="K555" s="44"/>
    </row>
    <row r="556" spans="3:15" s="59" customFormat="1" ht="21" customHeight="1">
      <c r="C556" s="588">
        <v>1</v>
      </c>
      <c r="D556" s="72" t="s">
        <v>8153</v>
      </c>
      <c r="E556" s="73" t="s">
        <v>113</v>
      </c>
      <c r="F556" s="276">
        <v>1.5</v>
      </c>
      <c r="G556" s="63">
        <f>VLOOKUP(D556,upahbahan,3,FALSE)</f>
        <v>36000</v>
      </c>
      <c r="H556" s="63">
        <f>F556*G556</f>
        <v>54000</v>
      </c>
      <c r="I556" s="44"/>
      <c r="J556" s="44"/>
      <c r="K556" s="44"/>
    </row>
    <row r="557" spans="3:15" s="59" customFormat="1" ht="21" customHeight="1">
      <c r="C557" s="450" t="s">
        <v>1214</v>
      </c>
      <c r="D557" s="67"/>
      <c r="E557" s="67"/>
      <c r="F557" s="67"/>
      <c r="G557" s="69"/>
      <c r="H557" s="63">
        <f>SUM(H556:H556)</f>
        <v>54000</v>
      </c>
      <c r="I557" s="44"/>
      <c r="J557" s="44"/>
      <c r="K557" s="44"/>
    </row>
    <row r="558" spans="3:15" s="59" customFormat="1" ht="21" customHeight="1">
      <c r="C558" s="61" t="s">
        <v>1215</v>
      </c>
      <c r="D558" s="56" t="s">
        <v>1216</v>
      </c>
      <c r="E558" s="57"/>
      <c r="F558" s="57"/>
      <c r="G558" s="57"/>
      <c r="H558" s="57"/>
      <c r="I558" s="44"/>
      <c r="J558" s="44"/>
      <c r="K558" s="44"/>
    </row>
    <row r="559" spans="3:15" s="59" customFormat="1" ht="21" customHeight="1">
      <c r="C559" s="450" t="s">
        <v>1217</v>
      </c>
      <c r="D559" s="67"/>
      <c r="E559" s="67"/>
      <c r="F559" s="67"/>
      <c r="G559" s="69"/>
      <c r="H559" s="589">
        <v>0</v>
      </c>
      <c r="I559" s="44"/>
      <c r="J559" s="44"/>
      <c r="K559" s="44"/>
    </row>
    <row r="560" spans="3:15" s="59" customFormat="1" ht="21" customHeight="1">
      <c r="C560" s="288" t="s">
        <v>1218</v>
      </c>
      <c r="D560" s="76" t="s">
        <v>1219</v>
      </c>
      <c r="E560" s="77"/>
      <c r="F560" s="77"/>
      <c r="G560" s="78"/>
      <c r="H560" s="585">
        <f>H559+H557+H554</f>
        <v>72775</v>
      </c>
      <c r="I560" s="369"/>
      <c r="J560" s="44"/>
      <c r="K560" s="44"/>
    </row>
    <row r="561" spans="3:15" s="59" customFormat="1" ht="21" customHeight="1">
      <c r="C561" s="288" t="s">
        <v>1220</v>
      </c>
      <c r="D561" s="76" t="s">
        <v>1321</v>
      </c>
      <c r="E561" s="77"/>
      <c r="F561" s="78"/>
      <c r="G561" s="80">
        <v>0.1</v>
      </c>
      <c r="H561" s="63">
        <f>H560*G561</f>
        <v>7277.5</v>
      </c>
      <c r="I561" s="369"/>
      <c r="J561" s="44"/>
      <c r="K561" s="44"/>
    </row>
    <row r="562" spans="3:15" s="59" customFormat="1" ht="21" customHeight="1">
      <c r="C562" s="288" t="s">
        <v>1221</v>
      </c>
      <c r="D562" s="76" t="s">
        <v>1222</v>
      </c>
      <c r="E562" s="77"/>
      <c r="F562" s="77"/>
      <c r="G562" s="78"/>
      <c r="H562" s="799">
        <f>SUM(H560:H561)</f>
        <v>80052.5</v>
      </c>
      <c r="I562" s="369"/>
      <c r="J562" s="44"/>
      <c r="K562" s="44"/>
    </row>
    <row r="563" spans="3:15" ht="21" customHeight="1">
      <c r="D563" s="86"/>
    </row>
    <row r="564" spans="3:15" s="59" customFormat="1" ht="21" customHeight="1">
      <c r="C564" s="47" t="s">
        <v>3870</v>
      </c>
      <c r="D564" s="794" t="s">
        <v>8154</v>
      </c>
      <c r="E564" s="795"/>
      <c r="F564" s="795"/>
      <c r="G564" s="795"/>
      <c r="H564" s="795"/>
      <c r="I564" s="50">
        <f>ROUNDDOWN(H579,-2)</f>
        <v>109500</v>
      </c>
      <c r="J564" s="50" t="s">
        <v>6451</v>
      </c>
      <c r="K564" s="50" t="s">
        <v>8092</v>
      </c>
    </row>
    <row r="565" spans="3:15" s="59" customFormat="1" ht="21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  <c r="I565" s="44"/>
      <c r="J565" s="44"/>
      <c r="K565" s="44"/>
    </row>
    <row r="566" spans="3:15" s="59" customFormat="1" ht="21" customHeight="1">
      <c r="C566" s="61" t="s">
        <v>1201</v>
      </c>
      <c r="D566" s="56" t="s">
        <v>1202</v>
      </c>
      <c r="E566" s="57"/>
      <c r="F566" s="57"/>
      <c r="G566" s="57"/>
      <c r="H566" s="57"/>
      <c r="I566" s="44"/>
      <c r="J566" s="44"/>
      <c r="K566" s="44"/>
      <c r="L566" s="152" t="s">
        <v>1247</v>
      </c>
    </row>
    <row r="567" spans="3:15" s="59" customFormat="1" ht="21" customHeight="1">
      <c r="C567" s="588">
        <v>1</v>
      </c>
      <c r="D567" s="56" t="s">
        <v>5</v>
      </c>
      <c r="E567" s="577" t="s">
        <v>6</v>
      </c>
      <c r="F567" s="62">
        <v>6.9000000000000006E-2</v>
      </c>
      <c r="G567" s="63">
        <f>VLOOKUP(D567,upahbahan,3,FALSE)</f>
        <v>100000</v>
      </c>
      <c r="H567" s="63">
        <f>F567*G567</f>
        <v>6900.0000000000009</v>
      </c>
      <c r="I567" s="44"/>
      <c r="J567" s="44"/>
      <c r="K567" s="44"/>
      <c r="L567" s="152" t="s">
        <v>1248</v>
      </c>
      <c r="O567" s="65">
        <v>0.1</v>
      </c>
    </row>
    <row r="568" spans="3:15" s="59" customFormat="1" ht="21" customHeight="1">
      <c r="C568" s="588">
        <v>2</v>
      </c>
      <c r="D568" s="56" t="s">
        <v>10</v>
      </c>
      <c r="E568" s="577" t="s">
        <v>6</v>
      </c>
      <c r="F568" s="62">
        <v>0.115</v>
      </c>
      <c r="G568" s="63">
        <f>VLOOKUP(D568,upahbahan,3,FALSE)</f>
        <v>135000</v>
      </c>
      <c r="H568" s="63">
        <f>F568*G568</f>
        <v>15525</v>
      </c>
      <c r="I568" s="44"/>
      <c r="J568" s="44"/>
      <c r="K568" s="44"/>
    </row>
    <row r="569" spans="3:15" s="59" customFormat="1" ht="21" customHeight="1">
      <c r="C569" s="588">
        <v>3</v>
      </c>
      <c r="D569" s="56" t="s">
        <v>18</v>
      </c>
      <c r="E569" s="577" t="s">
        <v>6</v>
      </c>
      <c r="F569" s="62">
        <v>1.0999999999999999E-2</v>
      </c>
      <c r="G569" s="63">
        <f>VLOOKUP(D569,upahbahan,3,FALSE)</f>
        <v>150000</v>
      </c>
      <c r="H569" s="63">
        <f>F569*G569</f>
        <v>1650</v>
      </c>
      <c r="I569" s="44"/>
      <c r="J569" s="44"/>
      <c r="K569" s="44"/>
    </row>
    <row r="570" spans="3:15" s="59" customFormat="1" ht="21" customHeight="1">
      <c r="C570" s="588">
        <v>4</v>
      </c>
      <c r="D570" s="56" t="s">
        <v>19</v>
      </c>
      <c r="E570" s="577" t="s">
        <v>6</v>
      </c>
      <c r="F570" s="62">
        <v>3.0000000000000001E-3</v>
      </c>
      <c r="G570" s="63">
        <f>VLOOKUP(D570,upahbahan,3,FALSE)</f>
        <v>160000</v>
      </c>
      <c r="H570" s="63">
        <f>F570*G570</f>
        <v>480</v>
      </c>
      <c r="I570" s="44"/>
      <c r="J570" s="44"/>
      <c r="K570" s="44"/>
    </row>
    <row r="571" spans="3:15" s="59" customFormat="1" ht="21" customHeight="1">
      <c r="C571" s="450" t="s">
        <v>1208</v>
      </c>
      <c r="D571" s="67"/>
      <c r="E571" s="67"/>
      <c r="F571" s="142"/>
      <c r="G571" s="153"/>
      <c r="H571" s="63">
        <f>SUM(H567:H570)</f>
        <v>24555</v>
      </c>
      <c r="I571" s="154"/>
      <c r="J571" s="154"/>
      <c r="K571" s="154"/>
    </row>
    <row r="572" spans="3:15" s="59" customFormat="1" ht="21" customHeight="1">
      <c r="C572" s="61" t="s">
        <v>1209</v>
      </c>
      <c r="D572" s="56" t="s">
        <v>1210</v>
      </c>
      <c r="E572" s="57"/>
      <c r="F572" s="57"/>
      <c r="G572" s="57"/>
      <c r="H572" s="57"/>
      <c r="I572" s="44"/>
      <c r="J572" s="44"/>
      <c r="K572" s="44"/>
    </row>
    <row r="573" spans="3:15" s="59" customFormat="1" ht="21" customHeight="1">
      <c r="C573" s="588">
        <v>1</v>
      </c>
      <c r="D573" s="72" t="s">
        <v>8155</v>
      </c>
      <c r="E573" s="73" t="s">
        <v>113</v>
      </c>
      <c r="F573" s="276">
        <v>1.5</v>
      </c>
      <c r="G573" s="63">
        <f>VLOOKUP(D573,upahbahan,3,FALSE)</f>
        <v>50000</v>
      </c>
      <c r="H573" s="63">
        <f>F573*G573</f>
        <v>75000</v>
      </c>
      <c r="I573" s="44"/>
      <c r="J573" s="44"/>
      <c r="K573" s="44"/>
    </row>
    <row r="574" spans="3:15" s="59" customFormat="1" ht="21" customHeight="1">
      <c r="C574" s="450" t="s">
        <v>1214</v>
      </c>
      <c r="D574" s="67"/>
      <c r="E574" s="67"/>
      <c r="F574" s="67"/>
      <c r="G574" s="69"/>
      <c r="H574" s="63">
        <f>SUM(H573:H573)</f>
        <v>75000</v>
      </c>
      <c r="I574" s="44"/>
      <c r="J574" s="44"/>
      <c r="K574" s="44"/>
    </row>
    <row r="575" spans="3:15" s="59" customFormat="1" ht="21" customHeight="1">
      <c r="C575" s="61" t="s">
        <v>1215</v>
      </c>
      <c r="D575" s="56" t="s">
        <v>1216</v>
      </c>
      <c r="E575" s="57"/>
      <c r="F575" s="57"/>
      <c r="G575" s="57"/>
      <c r="H575" s="57"/>
      <c r="I575" s="44"/>
      <c r="J575" s="44"/>
      <c r="K575" s="44"/>
    </row>
    <row r="576" spans="3:15" s="59" customFormat="1" ht="21" customHeight="1">
      <c r="C576" s="450" t="s">
        <v>1217</v>
      </c>
      <c r="D576" s="67"/>
      <c r="E576" s="67"/>
      <c r="F576" s="67"/>
      <c r="G576" s="69"/>
      <c r="H576" s="589">
        <v>0</v>
      </c>
      <c r="I576" s="44"/>
      <c r="J576" s="44"/>
      <c r="K576" s="44"/>
    </row>
    <row r="577" spans="3:15" s="59" customFormat="1" ht="21" customHeight="1">
      <c r="C577" s="288" t="s">
        <v>1218</v>
      </c>
      <c r="D577" s="76" t="s">
        <v>1219</v>
      </c>
      <c r="E577" s="77"/>
      <c r="F577" s="77"/>
      <c r="G577" s="78"/>
      <c r="H577" s="585">
        <f>H576+H574+H571</f>
        <v>99555</v>
      </c>
      <c r="I577" s="369"/>
      <c r="J577" s="44"/>
      <c r="K577" s="44"/>
    </row>
    <row r="578" spans="3:15" s="59" customFormat="1" ht="21" customHeight="1">
      <c r="C578" s="288" t="s">
        <v>1220</v>
      </c>
      <c r="D578" s="76" t="s">
        <v>1321</v>
      </c>
      <c r="E578" s="77"/>
      <c r="F578" s="78"/>
      <c r="G578" s="80">
        <v>0.1</v>
      </c>
      <c r="H578" s="63">
        <f>H577*G578</f>
        <v>9955.5</v>
      </c>
      <c r="I578" s="369"/>
      <c r="J578" s="44"/>
      <c r="K578" s="44"/>
    </row>
    <row r="579" spans="3:15" s="59" customFormat="1" ht="21" customHeight="1">
      <c r="C579" s="288" t="s">
        <v>1221</v>
      </c>
      <c r="D579" s="76" t="s">
        <v>1222</v>
      </c>
      <c r="E579" s="77"/>
      <c r="F579" s="77"/>
      <c r="G579" s="78"/>
      <c r="H579" s="799">
        <f>SUM(H577:H578)</f>
        <v>109510.5</v>
      </c>
      <c r="I579" s="369"/>
      <c r="J579" s="44"/>
      <c r="K579" s="44"/>
    </row>
    <row r="580" spans="3:15" ht="21" customHeight="1"/>
    <row r="581" spans="3:15" s="59" customFormat="1" ht="21" customHeight="1">
      <c r="C581" s="47" t="s">
        <v>3871</v>
      </c>
      <c r="D581" s="794" t="s">
        <v>8156</v>
      </c>
      <c r="E581" s="795"/>
      <c r="F581" s="795"/>
      <c r="G581" s="795"/>
      <c r="H581" s="795"/>
      <c r="I581" s="50">
        <f>ROUNDDOWN(H596,-2)</f>
        <v>167200</v>
      </c>
      <c r="J581" s="50" t="s">
        <v>6451</v>
      </c>
      <c r="K581" s="50" t="s">
        <v>8092</v>
      </c>
    </row>
    <row r="582" spans="3:15" s="59" customFormat="1" ht="21" customHeight="1">
      <c r="C582" s="591" t="s">
        <v>1195</v>
      </c>
      <c r="D582" s="591" t="s">
        <v>1196</v>
      </c>
      <c r="E582" s="591" t="s">
        <v>1197</v>
      </c>
      <c r="F582" s="591" t="s">
        <v>1198</v>
      </c>
      <c r="G582" s="591" t="s">
        <v>1199</v>
      </c>
      <c r="H582" s="591" t="s">
        <v>1200</v>
      </c>
      <c r="I582" s="44"/>
      <c r="J582" s="44"/>
      <c r="K582" s="44"/>
    </row>
    <row r="583" spans="3:15" s="59" customFormat="1" ht="21" customHeight="1">
      <c r="C583" s="61" t="s">
        <v>1201</v>
      </c>
      <c r="D583" s="56" t="s">
        <v>1202</v>
      </c>
      <c r="E583" s="57"/>
      <c r="F583" s="57"/>
      <c r="G583" s="57"/>
      <c r="H583" s="57"/>
      <c r="I583" s="44"/>
      <c r="J583" s="44"/>
      <c r="K583" s="44"/>
      <c r="L583" s="152" t="s">
        <v>1247</v>
      </c>
    </row>
    <row r="584" spans="3:15" s="59" customFormat="1" ht="21" customHeight="1">
      <c r="C584" s="588">
        <v>1</v>
      </c>
      <c r="D584" s="56" t="s">
        <v>5</v>
      </c>
      <c r="E584" s="577" t="s">
        <v>6</v>
      </c>
      <c r="F584" s="62">
        <v>8.5000000000000006E-2</v>
      </c>
      <c r="G584" s="63">
        <f>VLOOKUP(D584,upahbahan,3,FALSE)</f>
        <v>100000</v>
      </c>
      <c r="H584" s="63">
        <f>F584*G584</f>
        <v>8500</v>
      </c>
      <c r="I584" s="44"/>
      <c r="J584" s="44"/>
      <c r="K584" s="44"/>
      <c r="L584" s="152" t="s">
        <v>1248</v>
      </c>
      <c r="O584" s="65">
        <v>0.1</v>
      </c>
    </row>
    <row r="585" spans="3:15" s="59" customFormat="1" ht="21" customHeight="1">
      <c r="C585" s="588">
        <v>2</v>
      </c>
      <c r="D585" s="56" t="s">
        <v>10</v>
      </c>
      <c r="E585" s="577" t="s">
        <v>6</v>
      </c>
      <c r="F585" s="62">
        <v>0.14299999999999999</v>
      </c>
      <c r="G585" s="63">
        <f>VLOOKUP(D585,upahbahan,3,FALSE)</f>
        <v>135000</v>
      </c>
      <c r="H585" s="63">
        <f>F585*G585</f>
        <v>19305</v>
      </c>
      <c r="I585" s="44"/>
      <c r="J585" s="44"/>
      <c r="K585" s="44"/>
    </row>
    <row r="586" spans="3:15" s="59" customFormat="1" ht="21" customHeight="1">
      <c r="C586" s="588">
        <v>3</v>
      </c>
      <c r="D586" s="56" t="s">
        <v>18</v>
      </c>
      <c r="E586" s="577" t="s">
        <v>6</v>
      </c>
      <c r="F586" s="62">
        <v>1.4E-2</v>
      </c>
      <c r="G586" s="63">
        <f>VLOOKUP(D586,upahbahan,3,FALSE)</f>
        <v>150000</v>
      </c>
      <c r="H586" s="63">
        <f>F586*G586</f>
        <v>2100</v>
      </c>
      <c r="I586" s="44"/>
      <c r="J586" s="44"/>
      <c r="K586" s="44"/>
    </row>
    <row r="587" spans="3:15" s="59" customFormat="1" ht="21" customHeight="1">
      <c r="C587" s="588">
        <v>4</v>
      </c>
      <c r="D587" s="56" t="s">
        <v>19</v>
      </c>
      <c r="E587" s="577" t="s">
        <v>6</v>
      </c>
      <c r="F587" s="62">
        <v>4.0000000000000001E-3</v>
      </c>
      <c r="G587" s="63">
        <f>VLOOKUP(D587,upahbahan,3,FALSE)</f>
        <v>160000</v>
      </c>
      <c r="H587" s="63">
        <f>F587*G587</f>
        <v>640</v>
      </c>
      <c r="I587" s="44"/>
      <c r="J587" s="44"/>
      <c r="K587" s="44"/>
    </row>
    <row r="588" spans="3:15" s="59" customFormat="1" ht="21" customHeight="1">
      <c r="C588" s="450" t="s">
        <v>1208</v>
      </c>
      <c r="D588" s="67"/>
      <c r="E588" s="67"/>
      <c r="F588" s="142"/>
      <c r="G588" s="153"/>
      <c r="H588" s="63">
        <f>SUM(H584:H587)</f>
        <v>30545</v>
      </c>
      <c r="I588" s="154"/>
      <c r="J588" s="154"/>
      <c r="K588" s="154"/>
    </row>
    <row r="589" spans="3:15" s="59" customFormat="1" ht="21" customHeight="1">
      <c r="C589" s="61" t="s">
        <v>1209</v>
      </c>
      <c r="D589" s="56" t="s">
        <v>1210</v>
      </c>
      <c r="E589" s="57"/>
      <c r="F589" s="57"/>
      <c r="G589" s="57"/>
      <c r="H589" s="57"/>
      <c r="I589" s="44"/>
      <c r="J589" s="44"/>
      <c r="K589" s="44"/>
    </row>
    <row r="590" spans="3:15" s="59" customFormat="1" ht="21" customHeight="1">
      <c r="C590" s="588">
        <v>1</v>
      </c>
      <c r="D590" s="56" t="s">
        <v>8157</v>
      </c>
      <c r="E590" s="73" t="s">
        <v>113</v>
      </c>
      <c r="F590" s="276">
        <v>1.5</v>
      </c>
      <c r="G590" s="63">
        <f>VLOOKUP(D590,upahbahan,3,FALSE)</f>
        <v>81000</v>
      </c>
      <c r="H590" s="63">
        <f>F590*G590</f>
        <v>121500</v>
      </c>
      <c r="I590" s="44"/>
      <c r="J590" s="44"/>
      <c r="K590" s="44"/>
    </row>
    <row r="591" spans="3:15" s="59" customFormat="1" ht="21" customHeight="1">
      <c r="C591" s="450" t="s">
        <v>1214</v>
      </c>
      <c r="D591" s="67"/>
      <c r="E591" s="67"/>
      <c r="F591" s="67"/>
      <c r="G591" s="69"/>
      <c r="H591" s="63">
        <f>SUM(H590:H590)</f>
        <v>121500</v>
      </c>
      <c r="I591" s="44"/>
      <c r="J591" s="44"/>
      <c r="K591" s="44"/>
    </row>
    <row r="592" spans="3:15" s="59" customFormat="1" ht="21" customHeight="1">
      <c r="C592" s="61" t="s">
        <v>1215</v>
      </c>
      <c r="D592" s="56" t="s">
        <v>1216</v>
      </c>
      <c r="E592" s="57"/>
      <c r="F592" s="57"/>
      <c r="G592" s="57"/>
      <c r="H592" s="57"/>
      <c r="I592" s="44"/>
      <c r="J592" s="44"/>
      <c r="K592" s="44"/>
    </row>
    <row r="593" spans="3:15" s="59" customFormat="1" ht="21" customHeight="1">
      <c r="C593" s="450" t="s">
        <v>1217</v>
      </c>
      <c r="D593" s="67"/>
      <c r="E593" s="67"/>
      <c r="F593" s="67"/>
      <c r="G593" s="69"/>
      <c r="H593" s="589">
        <v>0</v>
      </c>
      <c r="I593" s="44"/>
      <c r="J593" s="44"/>
      <c r="K593" s="44"/>
    </row>
    <row r="594" spans="3:15" s="59" customFormat="1" ht="21" customHeight="1">
      <c r="C594" s="288" t="s">
        <v>1218</v>
      </c>
      <c r="D594" s="76" t="s">
        <v>1219</v>
      </c>
      <c r="E594" s="77"/>
      <c r="F594" s="77"/>
      <c r="G594" s="78"/>
      <c r="H594" s="585">
        <f>H593+H591+H588</f>
        <v>152045</v>
      </c>
      <c r="I594" s="369"/>
      <c r="J594" s="44"/>
      <c r="K594" s="44"/>
    </row>
    <row r="595" spans="3:15" s="59" customFormat="1" ht="21" customHeight="1">
      <c r="C595" s="288" t="s">
        <v>1220</v>
      </c>
      <c r="D595" s="76" t="s">
        <v>1321</v>
      </c>
      <c r="E595" s="77"/>
      <c r="F595" s="78"/>
      <c r="G595" s="80">
        <v>0.1</v>
      </c>
      <c r="H595" s="63">
        <f>H594*G595</f>
        <v>15204.5</v>
      </c>
      <c r="I595" s="369"/>
      <c r="J595" s="44"/>
      <c r="K595" s="44"/>
    </row>
    <row r="596" spans="3:15" s="59" customFormat="1" ht="21" customHeight="1">
      <c r="C596" s="288" t="s">
        <v>1221</v>
      </c>
      <c r="D596" s="76" t="s">
        <v>1222</v>
      </c>
      <c r="E596" s="77"/>
      <c r="F596" s="77"/>
      <c r="G596" s="78"/>
      <c r="H596" s="799">
        <f>SUM(H594:H595)</f>
        <v>167249.5</v>
      </c>
      <c r="I596" s="369"/>
      <c r="J596" s="44"/>
      <c r="K596" s="44"/>
    </row>
    <row r="597" spans="3:15" ht="21" customHeight="1"/>
    <row r="598" spans="3:15" s="59" customFormat="1" ht="21" customHeight="1">
      <c r="C598" s="47" t="s">
        <v>3873</v>
      </c>
      <c r="D598" s="794" t="s">
        <v>8158</v>
      </c>
      <c r="E598" s="795"/>
      <c r="F598" s="795"/>
      <c r="G598" s="795"/>
      <c r="H598" s="795"/>
      <c r="I598" s="50">
        <f>ROUNDDOWN(H613,-2)</f>
        <v>177000</v>
      </c>
      <c r="J598" s="50" t="s">
        <v>6451</v>
      </c>
      <c r="K598" s="50" t="s">
        <v>8092</v>
      </c>
    </row>
    <row r="599" spans="3:15" s="59" customFormat="1" ht="21" customHeight="1">
      <c r="C599" s="591" t="s">
        <v>1195</v>
      </c>
      <c r="D599" s="591" t="s">
        <v>1196</v>
      </c>
      <c r="E599" s="591" t="s">
        <v>1197</v>
      </c>
      <c r="F599" s="591" t="s">
        <v>1198</v>
      </c>
      <c r="G599" s="591" t="s">
        <v>1199</v>
      </c>
      <c r="H599" s="591" t="s">
        <v>1200</v>
      </c>
      <c r="I599" s="44"/>
      <c r="J599" s="44"/>
      <c r="K599" s="44"/>
    </row>
    <row r="600" spans="3:15" s="59" customFormat="1" ht="21" customHeight="1">
      <c r="C600" s="61" t="s">
        <v>1201</v>
      </c>
      <c r="D600" s="56" t="s">
        <v>1202</v>
      </c>
      <c r="E600" s="57"/>
      <c r="F600" s="57"/>
      <c r="G600" s="57"/>
      <c r="H600" s="57"/>
      <c r="I600" s="44"/>
      <c r="J600" s="44"/>
      <c r="K600" s="44"/>
      <c r="L600" s="152" t="s">
        <v>1247</v>
      </c>
    </row>
    <row r="601" spans="3:15" s="59" customFormat="1" ht="21" customHeight="1">
      <c r="C601" s="588">
        <v>1</v>
      </c>
      <c r="D601" s="56" t="s">
        <v>5</v>
      </c>
      <c r="E601" s="577" t="s">
        <v>6</v>
      </c>
      <c r="F601" s="62">
        <v>0.104</v>
      </c>
      <c r="G601" s="63">
        <f>VLOOKUP(D601,upahbahan,3,FALSE)</f>
        <v>100000</v>
      </c>
      <c r="H601" s="63">
        <f>F601*G601</f>
        <v>10400</v>
      </c>
      <c r="I601" s="44"/>
      <c r="J601" s="44"/>
      <c r="K601" s="44"/>
      <c r="L601" s="152" t="s">
        <v>1248</v>
      </c>
      <c r="O601" s="65">
        <v>0.1</v>
      </c>
    </row>
    <row r="602" spans="3:15" s="59" customFormat="1" ht="21" customHeight="1">
      <c r="C602" s="588">
        <v>2</v>
      </c>
      <c r="D602" s="56" t="s">
        <v>10</v>
      </c>
      <c r="E602" s="577" t="s">
        <v>6</v>
      </c>
      <c r="F602" s="62">
        <v>0.17399999999999999</v>
      </c>
      <c r="G602" s="63">
        <f>VLOOKUP(D602,upahbahan,3,FALSE)</f>
        <v>135000</v>
      </c>
      <c r="H602" s="63">
        <f>F602*G602</f>
        <v>23490</v>
      </c>
      <c r="I602" s="44"/>
      <c r="J602" s="44"/>
      <c r="K602" s="44"/>
    </row>
    <row r="603" spans="3:15" s="59" customFormat="1" ht="21" customHeight="1">
      <c r="C603" s="588">
        <v>3</v>
      </c>
      <c r="D603" s="56" t="s">
        <v>18</v>
      </c>
      <c r="E603" s="577" t="s">
        <v>6</v>
      </c>
      <c r="F603" s="62">
        <v>1.7000000000000001E-2</v>
      </c>
      <c r="G603" s="63">
        <f>VLOOKUP(D603,upahbahan,3,FALSE)</f>
        <v>150000</v>
      </c>
      <c r="H603" s="63">
        <f>F603*G603</f>
        <v>2550</v>
      </c>
      <c r="I603" s="44"/>
      <c r="J603" s="44"/>
      <c r="K603" s="44"/>
    </row>
    <row r="604" spans="3:15" s="59" customFormat="1" ht="21" customHeight="1">
      <c r="C604" s="588">
        <v>4</v>
      </c>
      <c r="D604" s="56" t="s">
        <v>19</v>
      </c>
      <c r="E604" s="577" t="s">
        <v>6</v>
      </c>
      <c r="F604" s="62">
        <v>5.0000000000000001E-3</v>
      </c>
      <c r="G604" s="63">
        <f>VLOOKUP(D604,upahbahan,3,FALSE)</f>
        <v>160000</v>
      </c>
      <c r="H604" s="63">
        <f>F604*G604</f>
        <v>800</v>
      </c>
      <c r="I604" s="44"/>
      <c r="J604" s="44"/>
      <c r="K604" s="44"/>
    </row>
    <row r="605" spans="3:15" s="59" customFormat="1" ht="21" customHeight="1">
      <c r="C605" s="450" t="s">
        <v>1208</v>
      </c>
      <c r="D605" s="67"/>
      <c r="E605" s="67"/>
      <c r="F605" s="142"/>
      <c r="G605" s="153"/>
      <c r="H605" s="63">
        <f>SUM(H601:H604)</f>
        <v>37240</v>
      </c>
      <c r="I605" s="154"/>
      <c r="J605" s="154"/>
      <c r="K605" s="154"/>
    </row>
    <row r="606" spans="3:15" s="59" customFormat="1" ht="21" customHeight="1">
      <c r="C606" s="61" t="s">
        <v>1209</v>
      </c>
      <c r="D606" s="56" t="s">
        <v>1210</v>
      </c>
      <c r="E606" s="57"/>
      <c r="F606" s="57"/>
      <c r="G606" s="57"/>
      <c r="H606" s="57"/>
      <c r="I606" s="44"/>
      <c r="J606" s="44"/>
      <c r="K606" s="44"/>
    </row>
    <row r="607" spans="3:15" s="59" customFormat="1" ht="21" customHeight="1">
      <c r="C607" s="588">
        <v>1</v>
      </c>
      <c r="D607" s="72" t="s">
        <v>8159</v>
      </c>
      <c r="E607" s="73" t="s">
        <v>113</v>
      </c>
      <c r="F607" s="276">
        <v>1.5</v>
      </c>
      <c r="G607" s="63">
        <f>VLOOKUP(D607,upahbahan,3,FALSE)</f>
        <v>82500</v>
      </c>
      <c r="H607" s="63">
        <f>F607*G607</f>
        <v>123750</v>
      </c>
      <c r="I607" s="44"/>
      <c r="J607" s="44"/>
      <c r="K607" s="44"/>
    </row>
    <row r="608" spans="3:15" s="59" customFormat="1" ht="21" customHeight="1">
      <c r="C608" s="450" t="s">
        <v>1214</v>
      </c>
      <c r="D608" s="67"/>
      <c r="E608" s="67"/>
      <c r="F608" s="67"/>
      <c r="G608" s="69"/>
      <c r="H608" s="63">
        <f>SUM(H607:H607)</f>
        <v>123750</v>
      </c>
      <c r="I608" s="44"/>
      <c r="J608" s="44"/>
      <c r="K608" s="44"/>
    </row>
    <row r="609" spans="3:15" s="59" customFormat="1" ht="21" customHeight="1">
      <c r="C609" s="61" t="s">
        <v>1215</v>
      </c>
      <c r="D609" s="56" t="s">
        <v>1216</v>
      </c>
      <c r="E609" s="57"/>
      <c r="F609" s="57"/>
      <c r="G609" s="57"/>
      <c r="H609" s="57"/>
      <c r="I609" s="44"/>
      <c r="J609" s="44"/>
      <c r="K609" s="44"/>
    </row>
    <row r="610" spans="3:15" s="59" customFormat="1" ht="21" customHeight="1">
      <c r="C610" s="450" t="s">
        <v>1217</v>
      </c>
      <c r="D610" s="67"/>
      <c r="E610" s="67"/>
      <c r="F610" s="67"/>
      <c r="G610" s="69"/>
      <c r="H610" s="589">
        <v>0</v>
      </c>
      <c r="I610" s="44"/>
      <c r="J610" s="44"/>
      <c r="K610" s="44"/>
    </row>
    <row r="611" spans="3:15" s="59" customFormat="1" ht="21" customHeight="1">
      <c r="C611" s="288" t="s">
        <v>1218</v>
      </c>
      <c r="D611" s="76" t="s">
        <v>1219</v>
      </c>
      <c r="E611" s="77"/>
      <c r="F611" s="77"/>
      <c r="G611" s="78"/>
      <c r="H611" s="585">
        <f>H610+H608+H605</f>
        <v>160990</v>
      </c>
      <c r="I611" s="369"/>
      <c r="J611" s="44"/>
      <c r="K611" s="44"/>
    </row>
    <row r="612" spans="3:15" s="59" customFormat="1" ht="21" customHeight="1">
      <c r="C612" s="288" t="s">
        <v>1220</v>
      </c>
      <c r="D612" s="76" t="s">
        <v>1321</v>
      </c>
      <c r="E612" s="77"/>
      <c r="F612" s="78"/>
      <c r="G612" s="80">
        <v>0.1</v>
      </c>
      <c r="H612" s="63">
        <f>H611*G612</f>
        <v>16099</v>
      </c>
      <c r="I612" s="369"/>
      <c r="J612" s="44"/>
      <c r="K612" s="44"/>
    </row>
    <row r="613" spans="3:15" s="59" customFormat="1" ht="21" customHeight="1">
      <c r="C613" s="288" t="s">
        <v>1221</v>
      </c>
      <c r="D613" s="76" t="s">
        <v>1222</v>
      </c>
      <c r="E613" s="77"/>
      <c r="F613" s="77"/>
      <c r="G613" s="78"/>
      <c r="H613" s="799">
        <f>SUM(H611:H612)</f>
        <v>177089</v>
      </c>
      <c r="I613" s="369"/>
      <c r="J613" s="44"/>
      <c r="K613" s="44"/>
    </row>
    <row r="614" spans="3:15" ht="21" customHeight="1"/>
    <row r="615" spans="3:15" s="59" customFormat="1" ht="21" customHeight="1">
      <c r="C615" s="47" t="s">
        <v>3874</v>
      </c>
      <c r="D615" s="794" t="s">
        <v>8160</v>
      </c>
      <c r="E615" s="795"/>
      <c r="F615" s="795"/>
      <c r="G615" s="795"/>
      <c r="H615" s="795"/>
      <c r="I615" s="50">
        <f>ROUNDDOWN(H630,-2)</f>
        <v>209400</v>
      </c>
      <c r="J615" s="50" t="s">
        <v>6451</v>
      </c>
      <c r="K615" s="50" t="s">
        <v>8092</v>
      </c>
    </row>
    <row r="616" spans="3:15" s="59" customFormat="1" ht="21" customHeight="1">
      <c r="C616" s="591" t="s">
        <v>1195</v>
      </c>
      <c r="D616" s="591" t="s">
        <v>1196</v>
      </c>
      <c r="E616" s="591" t="s">
        <v>1197</v>
      </c>
      <c r="F616" s="591" t="s">
        <v>1198</v>
      </c>
      <c r="G616" s="591" t="s">
        <v>1199</v>
      </c>
      <c r="H616" s="591" t="s">
        <v>1200</v>
      </c>
      <c r="I616" s="44"/>
      <c r="J616" s="44"/>
      <c r="K616" s="44"/>
    </row>
    <row r="617" spans="3:15" s="59" customFormat="1" ht="21" customHeight="1">
      <c r="C617" s="61" t="s">
        <v>1201</v>
      </c>
      <c r="D617" s="56" t="s">
        <v>1202</v>
      </c>
      <c r="E617" s="57"/>
      <c r="F617" s="57"/>
      <c r="G617" s="57"/>
      <c r="H617" s="57"/>
      <c r="I617" s="44"/>
      <c r="J617" s="44"/>
      <c r="K617" s="44"/>
      <c r="L617" s="152" t="s">
        <v>1247</v>
      </c>
    </row>
    <row r="618" spans="3:15" s="59" customFormat="1" ht="21" customHeight="1">
      <c r="C618" s="588">
        <v>1</v>
      </c>
      <c r="D618" s="56" t="s">
        <v>5</v>
      </c>
      <c r="E618" s="577" t="s">
        <v>6</v>
      </c>
      <c r="F618" s="62">
        <v>0.13800000000000001</v>
      </c>
      <c r="G618" s="63">
        <f>VLOOKUP(D618,upahbahan,3,FALSE)</f>
        <v>100000</v>
      </c>
      <c r="H618" s="63">
        <f>F618*G618</f>
        <v>13800.000000000002</v>
      </c>
      <c r="I618" s="44"/>
      <c r="J618" s="44"/>
      <c r="K618" s="44"/>
      <c r="L618" s="152" t="s">
        <v>1248</v>
      </c>
      <c r="O618" s="65">
        <v>0.1</v>
      </c>
    </row>
    <row r="619" spans="3:15" s="59" customFormat="1" ht="21" customHeight="1">
      <c r="C619" s="588">
        <v>2</v>
      </c>
      <c r="D619" s="56" t="s">
        <v>10</v>
      </c>
      <c r="E619" s="577" t="s">
        <v>6</v>
      </c>
      <c r="F619" s="62">
        <v>0.23</v>
      </c>
      <c r="G619" s="63">
        <f>VLOOKUP(D619,upahbahan,3,FALSE)</f>
        <v>135000</v>
      </c>
      <c r="H619" s="63">
        <f>F619*G619</f>
        <v>31050</v>
      </c>
      <c r="I619" s="44"/>
      <c r="J619" s="44"/>
      <c r="K619" s="44"/>
    </row>
    <row r="620" spans="3:15" s="59" customFormat="1" ht="21" customHeight="1">
      <c r="C620" s="588">
        <v>3</v>
      </c>
      <c r="D620" s="56" t="s">
        <v>18</v>
      </c>
      <c r="E620" s="577" t="s">
        <v>6</v>
      </c>
      <c r="F620" s="62">
        <v>2.3E-2</v>
      </c>
      <c r="G620" s="63">
        <f>VLOOKUP(D620,upahbahan,3,FALSE)</f>
        <v>150000</v>
      </c>
      <c r="H620" s="63">
        <f>F620*G620</f>
        <v>3450</v>
      </c>
      <c r="I620" s="44"/>
      <c r="J620" s="44"/>
      <c r="K620" s="44"/>
    </row>
    <row r="621" spans="3:15" s="59" customFormat="1" ht="21" customHeight="1">
      <c r="C621" s="588">
        <v>4</v>
      </c>
      <c r="D621" s="56" t="s">
        <v>19</v>
      </c>
      <c r="E621" s="577" t="s">
        <v>6</v>
      </c>
      <c r="F621" s="62">
        <v>7.0000000000000001E-3</v>
      </c>
      <c r="G621" s="63">
        <f>VLOOKUP(D621,upahbahan,3,FALSE)</f>
        <v>160000</v>
      </c>
      <c r="H621" s="63">
        <f>F621*G621</f>
        <v>1120</v>
      </c>
      <c r="I621" s="44"/>
      <c r="J621" s="44"/>
      <c r="K621" s="44"/>
    </row>
    <row r="622" spans="3:15" s="59" customFormat="1" ht="21" customHeight="1">
      <c r="C622" s="450" t="s">
        <v>1208</v>
      </c>
      <c r="D622" s="67"/>
      <c r="E622" s="67"/>
      <c r="F622" s="142"/>
      <c r="G622" s="153"/>
      <c r="H622" s="63">
        <f>SUM(H618:H621)</f>
        <v>49420</v>
      </c>
      <c r="I622" s="154"/>
      <c r="J622" s="154"/>
      <c r="K622" s="154"/>
    </row>
    <row r="623" spans="3:15" s="59" customFormat="1" ht="21" customHeight="1">
      <c r="C623" s="61" t="s">
        <v>1209</v>
      </c>
      <c r="D623" s="56" t="s">
        <v>1210</v>
      </c>
      <c r="E623" s="57"/>
      <c r="F623" s="57"/>
      <c r="G623" s="57"/>
      <c r="H623" s="57"/>
      <c r="I623" s="44"/>
      <c r="J623" s="44"/>
      <c r="K623" s="44"/>
    </row>
    <row r="624" spans="3:15" s="59" customFormat="1" ht="21" customHeight="1">
      <c r="C624" s="588">
        <v>1</v>
      </c>
      <c r="D624" s="72" t="s">
        <v>8161</v>
      </c>
      <c r="E624" s="73" t="s">
        <v>113</v>
      </c>
      <c r="F624" s="276">
        <v>1.5</v>
      </c>
      <c r="G624" s="63">
        <f>VLOOKUP(D624,upahbahan,3,FALSE)</f>
        <v>94000</v>
      </c>
      <c r="H624" s="63">
        <f>F624*G624</f>
        <v>141000</v>
      </c>
      <c r="I624" s="44"/>
      <c r="J624" s="44"/>
      <c r="K624" s="44"/>
    </row>
    <row r="625" spans="3:15" s="59" customFormat="1" ht="21" customHeight="1">
      <c r="C625" s="450" t="s">
        <v>1214</v>
      </c>
      <c r="D625" s="67"/>
      <c r="E625" s="67"/>
      <c r="F625" s="67"/>
      <c r="G625" s="69"/>
      <c r="H625" s="63">
        <f>SUM(H624:H624)</f>
        <v>141000</v>
      </c>
      <c r="I625" s="44"/>
      <c r="J625" s="44"/>
      <c r="K625" s="44"/>
    </row>
    <row r="626" spans="3:15" s="59" customFormat="1" ht="21" customHeight="1">
      <c r="C626" s="61" t="s">
        <v>1215</v>
      </c>
      <c r="D626" s="56" t="s">
        <v>1216</v>
      </c>
      <c r="E626" s="57"/>
      <c r="F626" s="57"/>
      <c r="G626" s="57"/>
      <c r="H626" s="57"/>
      <c r="I626" s="44"/>
      <c r="J626" s="44"/>
      <c r="K626" s="44"/>
    </row>
    <row r="627" spans="3:15" s="59" customFormat="1" ht="21" customHeight="1">
      <c r="C627" s="450" t="s">
        <v>1217</v>
      </c>
      <c r="D627" s="67"/>
      <c r="E627" s="67"/>
      <c r="F627" s="67"/>
      <c r="G627" s="69"/>
      <c r="H627" s="589">
        <v>0</v>
      </c>
      <c r="I627" s="44"/>
      <c r="J627" s="44"/>
      <c r="K627" s="44"/>
    </row>
    <row r="628" spans="3:15" s="59" customFormat="1" ht="21" customHeight="1">
      <c r="C628" s="288" t="s">
        <v>1218</v>
      </c>
      <c r="D628" s="76" t="s">
        <v>1219</v>
      </c>
      <c r="E628" s="77"/>
      <c r="F628" s="77"/>
      <c r="G628" s="78"/>
      <c r="H628" s="585">
        <f>H627+H625+H622</f>
        <v>190420</v>
      </c>
      <c r="I628" s="369"/>
      <c r="J628" s="44"/>
      <c r="K628" s="44"/>
    </row>
    <row r="629" spans="3:15" s="59" customFormat="1" ht="21" customHeight="1">
      <c r="C629" s="288" t="s">
        <v>1220</v>
      </c>
      <c r="D629" s="76" t="s">
        <v>1321</v>
      </c>
      <c r="E629" s="77"/>
      <c r="F629" s="78"/>
      <c r="G629" s="80">
        <v>0.1</v>
      </c>
      <c r="H629" s="63">
        <f>H628*G629</f>
        <v>19042</v>
      </c>
      <c r="I629" s="369"/>
      <c r="J629" s="44"/>
      <c r="K629" s="44"/>
    </row>
    <row r="630" spans="3:15" s="59" customFormat="1" ht="21" customHeight="1">
      <c r="C630" s="288" t="s">
        <v>1221</v>
      </c>
      <c r="D630" s="76" t="s">
        <v>1222</v>
      </c>
      <c r="E630" s="77"/>
      <c r="F630" s="77"/>
      <c r="G630" s="78"/>
      <c r="H630" s="799">
        <f>SUM(H628:H629)</f>
        <v>209462</v>
      </c>
      <c r="I630" s="369"/>
      <c r="J630" s="44"/>
      <c r="K630" s="44"/>
    </row>
    <row r="631" spans="3:15" ht="21" customHeight="1"/>
    <row r="632" spans="3:15" s="59" customFormat="1" ht="21" customHeight="1">
      <c r="C632" s="47" t="s">
        <v>3875</v>
      </c>
      <c r="D632" s="794" t="s">
        <v>8162</v>
      </c>
      <c r="E632" s="795"/>
      <c r="F632" s="795"/>
      <c r="G632" s="795"/>
      <c r="H632" s="795"/>
      <c r="I632" s="50">
        <f>ROUNDDOWN(H647,-2)</f>
        <v>224200</v>
      </c>
      <c r="J632" s="50" t="s">
        <v>6451</v>
      </c>
      <c r="K632" s="50" t="s">
        <v>8092</v>
      </c>
    </row>
    <row r="633" spans="3:15" s="59" customFormat="1" ht="21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  <c r="I633" s="44"/>
      <c r="J633" s="44"/>
      <c r="K633" s="44"/>
    </row>
    <row r="634" spans="3:15" s="59" customFormat="1" ht="21" customHeight="1">
      <c r="C634" s="61" t="s">
        <v>1201</v>
      </c>
      <c r="D634" s="56" t="s">
        <v>1202</v>
      </c>
      <c r="E634" s="57"/>
      <c r="F634" s="57"/>
      <c r="G634" s="57"/>
      <c r="H634" s="57"/>
      <c r="I634" s="44"/>
      <c r="J634" s="44"/>
      <c r="K634" s="44"/>
      <c r="L634" s="152" t="s">
        <v>1247</v>
      </c>
    </row>
    <row r="635" spans="3:15" s="59" customFormat="1" ht="21" customHeight="1">
      <c r="C635" s="588">
        <v>1</v>
      </c>
      <c r="D635" s="56" t="s">
        <v>5</v>
      </c>
      <c r="E635" s="577" t="s">
        <v>6</v>
      </c>
      <c r="F635" s="62">
        <v>0.17100000000000001</v>
      </c>
      <c r="G635" s="63">
        <f>VLOOKUP(D635,upahbahan,3,FALSE)</f>
        <v>100000</v>
      </c>
      <c r="H635" s="63">
        <f>F635*G635</f>
        <v>17100</v>
      </c>
      <c r="I635" s="44"/>
      <c r="J635" s="44"/>
      <c r="K635" s="44"/>
      <c r="L635" s="152" t="s">
        <v>1248</v>
      </c>
      <c r="O635" s="65">
        <v>0.1</v>
      </c>
    </row>
    <row r="636" spans="3:15" s="59" customFormat="1" ht="21" customHeight="1">
      <c r="C636" s="588">
        <v>2</v>
      </c>
      <c r="D636" s="56" t="s">
        <v>10</v>
      </c>
      <c r="E636" s="577" t="s">
        <v>6</v>
      </c>
      <c r="F636" s="62">
        <v>0.28499999999999998</v>
      </c>
      <c r="G636" s="63">
        <f>VLOOKUP(D636,upahbahan,3,FALSE)</f>
        <v>135000</v>
      </c>
      <c r="H636" s="63">
        <f>F636*G636</f>
        <v>38475</v>
      </c>
      <c r="I636" s="44"/>
      <c r="J636" s="44"/>
      <c r="K636" s="44"/>
    </row>
    <row r="637" spans="3:15" s="59" customFormat="1" ht="21" customHeight="1">
      <c r="C637" s="588">
        <v>3</v>
      </c>
      <c r="D637" s="56" t="s">
        <v>18</v>
      </c>
      <c r="E637" s="577" t="s">
        <v>6</v>
      </c>
      <c r="F637" s="62">
        <v>2.9000000000000001E-2</v>
      </c>
      <c r="G637" s="63">
        <f>VLOOKUP(D637,upahbahan,3,FALSE)</f>
        <v>150000</v>
      </c>
      <c r="H637" s="63">
        <f>F637*G637</f>
        <v>4350</v>
      </c>
      <c r="I637" s="44"/>
      <c r="J637" s="44"/>
      <c r="K637" s="44"/>
    </row>
    <row r="638" spans="3:15" s="59" customFormat="1" ht="21" customHeight="1">
      <c r="C638" s="588">
        <v>4</v>
      </c>
      <c r="D638" s="56" t="s">
        <v>19</v>
      </c>
      <c r="E638" s="577" t="s">
        <v>6</v>
      </c>
      <c r="F638" s="62">
        <v>8.9999999999999993E-3</v>
      </c>
      <c r="G638" s="63">
        <f>VLOOKUP(D638,upahbahan,3,FALSE)</f>
        <v>160000</v>
      </c>
      <c r="H638" s="63">
        <f>F638*G638</f>
        <v>1440</v>
      </c>
      <c r="I638" s="44"/>
      <c r="J638" s="44"/>
      <c r="K638" s="44"/>
    </row>
    <row r="639" spans="3:15" s="59" customFormat="1" ht="21" customHeight="1">
      <c r="C639" s="450" t="s">
        <v>1208</v>
      </c>
      <c r="D639" s="67"/>
      <c r="E639" s="67"/>
      <c r="F639" s="142"/>
      <c r="G639" s="153"/>
      <c r="H639" s="63">
        <f>SUM(H635:H638)</f>
        <v>61365</v>
      </c>
      <c r="I639" s="154"/>
      <c r="J639" s="154"/>
      <c r="K639" s="154"/>
    </row>
    <row r="640" spans="3:15" s="59" customFormat="1" ht="21" customHeight="1">
      <c r="C640" s="61" t="s">
        <v>1209</v>
      </c>
      <c r="D640" s="56" t="s">
        <v>1210</v>
      </c>
      <c r="E640" s="57"/>
      <c r="F640" s="57"/>
      <c r="G640" s="57"/>
      <c r="H640" s="57"/>
      <c r="I640" s="44"/>
      <c r="J640" s="44"/>
      <c r="K640" s="44"/>
    </row>
    <row r="641" spans="3:15" s="59" customFormat="1" ht="21" customHeight="1">
      <c r="C641" s="588">
        <v>1</v>
      </c>
      <c r="D641" s="72" t="s">
        <v>8163</v>
      </c>
      <c r="E641" s="73" t="s">
        <v>113</v>
      </c>
      <c r="F641" s="276">
        <v>1.5</v>
      </c>
      <c r="G641" s="63">
        <f>VLOOKUP(D641,upahbahan,3,FALSE)</f>
        <v>95000</v>
      </c>
      <c r="H641" s="63">
        <f>F641*G641</f>
        <v>142500</v>
      </c>
      <c r="I641" s="44"/>
      <c r="J641" s="44"/>
      <c r="K641" s="44"/>
    </row>
    <row r="642" spans="3:15" s="59" customFormat="1" ht="21" customHeight="1">
      <c r="C642" s="450" t="s">
        <v>1214</v>
      </c>
      <c r="D642" s="67"/>
      <c r="E642" s="67"/>
      <c r="F642" s="67"/>
      <c r="G642" s="69"/>
      <c r="H642" s="63">
        <f>SUM(H641:H641)</f>
        <v>142500</v>
      </c>
      <c r="I642" s="44"/>
      <c r="J642" s="44"/>
      <c r="K642" s="44"/>
    </row>
    <row r="643" spans="3:15" s="59" customFormat="1" ht="21" customHeight="1">
      <c r="C643" s="61" t="s">
        <v>1215</v>
      </c>
      <c r="D643" s="56" t="s">
        <v>1216</v>
      </c>
      <c r="E643" s="57"/>
      <c r="F643" s="57"/>
      <c r="G643" s="57"/>
      <c r="H643" s="57"/>
      <c r="I643" s="44"/>
      <c r="J643" s="44"/>
      <c r="K643" s="44"/>
    </row>
    <row r="644" spans="3:15" s="59" customFormat="1" ht="21" customHeight="1">
      <c r="C644" s="450" t="s">
        <v>1217</v>
      </c>
      <c r="D644" s="67"/>
      <c r="E644" s="67"/>
      <c r="F644" s="67"/>
      <c r="G644" s="69"/>
      <c r="H644" s="589">
        <v>0</v>
      </c>
      <c r="I644" s="44"/>
      <c r="J644" s="44"/>
      <c r="K644" s="44"/>
    </row>
    <row r="645" spans="3:15" s="59" customFormat="1" ht="21" customHeight="1">
      <c r="C645" s="288" t="s">
        <v>1218</v>
      </c>
      <c r="D645" s="76" t="s">
        <v>1219</v>
      </c>
      <c r="E645" s="77"/>
      <c r="F645" s="77"/>
      <c r="G645" s="78"/>
      <c r="H645" s="585">
        <f>H644+H642+H639</f>
        <v>203865</v>
      </c>
      <c r="I645" s="369"/>
      <c r="J645" s="44"/>
      <c r="K645" s="44"/>
    </row>
    <row r="646" spans="3:15" s="59" customFormat="1" ht="21" customHeight="1">
      <c r="C646" s="288" t="s">
        <v>1220</v>
      </c>
      <c r="D646" s="76" t="s">
        <v>1321</v>
      </c>
      <c r="E646" s="77"/>
      <c r="F646" s="78"/>
      <c r="G646" s="80">
        <v>0.1</v>
      </c>
      <c r="H646" s="63">
        <f>H645*G646</f>
        <v>20386.5</v>
      </c>
      <c r="I646" s="369"/>
      <c r="J646" s="44"/>
      <c r="K646" s="44"/>
    </row>
    <row r="647" spans="3:15" s="59" customFormat="1" ht="21" customHeight="1">
      <c r="C647" s="288" t="s">
        <v>1221</v>
      </c>
      <c r="D647" s="76" t="s">
        <v>1222</v>
      </c>
      <c r="E647" s="77"/>
      <c r="F647" s="77"/>
      <c r="G647" s="78"/>
      <c r="H647" s="799">
        <f>SUM(H645:H646)</f>
        <v>224251.5</v>
      </c>
      <c r="I647" s="369"/>
      <c r="J647" s="44"/>
      <c r="K647" s="44"/>
    </row>
    <row r="648" spans="3:15" ht="21" customHeight="1"/>
    <row r="649" spans="3:15" s="59" customFormat="1" ht="21" customHeight="1">
      <c r="C649" s="47" t="s">
        <v>3876</v>
      </c>
      <c r="D649" s="794" t="s">
        <v>8164</v>
      </c>
      <c r="E649" s="795"/>
      <c r="F649" s="795"/>
      <c r="G649" s="795"/>
      <c r="H649" s="795"/>
      <c r="I649" s="50">
        <f>ROUNDDOWN(H664,-2)</f>
        <v>384200</v>
      </c>
      <c r="J649" s="50" t="s">
        <v>6451</v>
      </c>
      <c r="K649" s="50" t="s">
        <v>8092</v>
      </c>
    </row>
    <row r="650" spans="3:15" s="59" customFormat="1" ht="21" customHeight="1">
      <c r="C650" s="591" t="s">
        <v>1195</v>
      </c>
      <c r="D650" s="591" t="s">
        <v>1196</v>
      </c>
      <c r="E650" s="591" t="s">
        <v>1197</v>
      </c>
      <c r="F650" s="591" t="s">
        <v>1198</v>
      </c>
      <c r="G650" s="591" t="s">
        <v>1199</v>
      </c>
      <c r="H650" s="591" t="s">
        <v>1200</v>
      </c>
      <c r="I650" s="44"/>
      <c r="J650" s="44"/>
      <c r="K650" s="44"/>
    </row>
    <row r="651" spans="3:15" s="59" customFormat="1" ht="21" customHeight="1">
      <c r="C651" s="61" t="s">
        <v>1201</v>
      </c>
      <c r="D651" s="56" t="s">
        <v>1202</v>
      </c>
      <c r="E651" s="57"/>
      <c r="F651" s="57"/>
      <c r="G651" s="57"/>
      <c r="H651" s="57"/>
      <c r="I651" s="44"/>
      <c r="J651" s="44"/>
      <c r="K651" s="44"/>
      <c r="L651" s="152" t="s">
        <v>1247</v>
      </c>
    </row>
    <row r="652" spans="3:15" s="59" customFormat="1" ht="21" customHeight="1">
      <c r="C652" s="588">
        <v>1</v>
      </c>
      <c r="D652" s="56" t="s">
        <v>5</v>
      </c>
      <c r="E652" s="577" t="s">
        <v>6</v>
      </c>
      <c r="F652" s="62">
        <v>0.23799999999999999</v>
      </c>
      <c r="G652" s="63">
        <f>VLOOKUP(D652,upahbahan,3,FALSE)</f>
        <v>100000</v>
      </c>
      <c r="H652" s="63">
        <f>F652*G652</f>
        <v>23800</v>
      </c>
      <c r="I652" s="44"/>
      <c r="J652" s="44"/>
      <c r="K652" s="44"/>
      <c r="L652" s="152" t="s">
        <v>1248</v>
      </c>
      <c r="O652" s="65">
        <v>0.1</v>
      </c>
    </row>
    <row r="653" spans="3:15" s="59" customFormat="1" ht="21" customHeight="1">
      <c r="C653" s="588">
        <v>2</v>
      </c>
      <c r="D653" s="56" t="s">
        <v>10</v>
      </c>
      <c r="E653" s="577" t="s">
        <v>6</v>
      </c>
      <c r="F653" s="62">
        <v>0.39700000000000002</v>
      </c>
      <c r="G653" s="63">
        <f>VLOOKUP(D653,upahbahan,3,FALSE)</f>
        <v>135000</v>
      </c>
      <c r="H653" s="63">
        <f>F653*G653</f>
        <v>53595</v>
      </c>
      <c r="I653" s="44"/>
      <c r="J653" s="44"/>
      <c r="K653" s="44"/>
    </row>
    <row r="654" spans="3:15" s="59" customFormat="1" ht="21" customHeight="1">
      <c r="C654" s="588">
        <v>3</v>
      </c>
      <c r="D654" s="56" t="s">
        <v>18</v>
      </c>
      <c r="E654" s="577" t="s">
        <v>6</v>
      </c>
      <c r="F654" s="62">
        <v>0.04</v>
      </c>
      <c r="G654" s="63">
        <f>VLOOKUP(D654,upahbahan,3,FALSE)</f>
        <v>150000</v>
      </c>
      <c r="H654" s="63">
        <f>F654*G654</f>
        <v>6000</v>
      </c>
      <c r="I654" s="44"/>
      <c r="J654" s="44"/>
      <c r="K654" s="44"/>
    </row>
    <row r="655" spans="3:15" s="59" customFormat="1" ht="21" customHeight="1">
      <c r="C655" s="588">
        <v>4</v>
      </c>
      <c r="D655" s="56" t="s">
        <v>19</v>
      </c>
      <c r="E655" s="577" t="s">
        <v>6</v>
      </c>
      <c r="F655" s="62">
        <v>1.2E-2</v>
      </c>
      <c r="G655" s="63">
        <f>VLOOKUP(D655,upahbahan,3,FALSE)</f>
        <v>160000</v>
      </c>
      <c r="H655" s="63">
        <f>F655*G655</f>
        <v>1920</v>
      </c>
      <c r="I655" s="44"/>
      <c r="J655" s="44"/>
      <c r="K655" s="44"/>
    </row>
    <row r="656" spans="3:15" s="59" customFormat="1" ht="21" customHeight="1">
      <c r="C656" s="450" t="s">
        <v>1208</v>
      </c>
      <c r="D656" s="67"/>
      <c r="E656" s="67"/>
      <c r="F656" s="142"/>
      <c r="G656" s="153"/>
      <c r="H656" s="63">
        <f>SUM(H652:H655)</f>
        <v>85315</v>
      </c>
      <c r="I656" s="154"/>
      <c r="J656" s="154"/>
      <c r="K656" s="154"/>
    </row>
    <row r="657" spans="3:15" s="59" customFormat="1" ht="21" customHeight="1">
      <c r="C657" s="61" t="s">
        <v>1209</v>
      </c>
      <c r="D657" s="56" t="s">
        <v>1210</v>
      </c>
      <c r="E657" s="57"/>
      <c r="F657" s="57"/>
      <c r="G657" s="57"/>
      <c r="H657" s="57"/>
      <c r="I657" s="44"/>
      <c r="J657" s="44"/>
      <c r="K657" s="44"/>
    </row>
    <row r="658" spans="3:15" s="59" customFormat="1" ht="21" customHeight="1">
      <c r="C658" s="588">
        <v>1</v>
      </c>
      <c r="D658" s="72" t="s">
        <v>8165</v>
      </c>
      <c r="E658" s="73" t="s">
        <v>113</v>
      </c>
      <c r="F658" s="276">
        <v>1.5</v>
      </c>
      <c r="G658" s="63">
        <f>VLOOKUP(D658,upahbahan,3,FALSE)</f>
        <v>176000</v>
      </c>
      <c r="H658" s="63">
        <f>F658*G658</f>
        <v>264000</v>
      </c>
      <c r="I658" s="44"/>
      <c r="J658" s="44"/>
      <c r="K658" s="44"/>
    </row>
    <row r="659" spans="3:15" s="59" customFormat="1" ht="21" customHeight="1">
      <c r="C659" s="450" t="s">
        <v>1214</v>
      </c>
      <c r="D659" s="67"/>
      <c r="E659" s="67"/>
      <c r="F659" s="67"/>
      <c r="G659" s="69"/>
      <c r="H659" s="63">
        <f>SUM(H658:H658)</f>
        <v>264000</v>
      </c>
      <c r="I659" s="44"/>
      <c r="J659" s="44"/>
      <c r="K659" s="44"/>
    </row>
    <row r="660" spans="3:15" s="59" customFormat="1" ht="21" customHeight="1">
      <c r="C660" s="61" t="s">
        <v>1215</v>
      </c>
      <c r="D660" s="56" t="s">
        <v>1216</v>
      </c>
      <c r="E660" s="57"/>
      <c r="F660" s="57"/>
      <c r="G660" s="57"/>
      <c r="H660" s="57"/>
      <c r="I660" s="44"/>
      <c r="J660" s="44"/>
      <c r="K660" s="44"/>
    </row>
    <row r="661" spans="3:15" s="59" customFormat="1" ht="21" customHeight="1">
      <c r="C661" s="450" t="s">
        <v>1217</v>
      </c>
      <c r="D661" s="67"/>
      <c r="E661" s="67"/>
      <c r="F661" s="67"/>
      <c r="G661" s="69"/>
      <c r="H661" s="589">
        <v>0</v>
      </c>
      <c r="I661" s="44"/>
      <c r="J661" s="44"/>
      <c r="K661" s="44"/>
    </row>
    <row r="662" spans="3:15" s="59" customFormat="1" ht="21" customHeight="1">
      <c r="C662" s="288" t="s">
        <v>1218</v>
      </c>
      <c r="D662" s="76" t="s">
        <v>1219</v>
      </c>
      <c r="E662" s="77"/>
      <c r="F662" s="77"/>
      <c r="G662" s="78"/>
      <c r="H662" s="585">
        <f>H661+H659+H656</f>
        <v>349315</v>
      </c>
      <c r="I662" s="369"/>
      <c r="J662" s="44"/>
      <c r="K662" s="44"/>
    </row>
    <row r="663" spans="3:15" s="59" customFormat="1" ht="21" customHeight="1">
      <c r="C663" s="288" t="s">
        <v>1220</v>
      </c>
      <c r="D663" s="76" t="s">
        <v>1321</v>
      </c>
      <c r="E663" s="77"/>
      <c r="F663" s="78"/>
      <c r="G663" s="80">
        <v>0.1</v>
      </c>
      <c r="H663" s="63">
        <f>H662*G663</f>
        <v>34931.5</v>
      </c>
      <c r="I663" s="369"/>
      <c r="J663" s="44"/>
      <c r="K663" s="44"/>
    </row>
    <row r="664" spans="3:15" s="59" customFormat="1" ht="21" customHeight="1">
      <c r="C664" s="288" t="s">
        <v>1221</v>
      </c>
      <c r="D664" s="76" t="s">
        <v>1222</v>
      </c>
      <c r="E664" s="77"/>
      <c r="F664" s="77"/>
      <c r="G664" s="78"/>
      <c r="H664" s="799">
        <f>SUM(H662:H663)</f>
        <v>384246.5</v>
      </c>
      <c r="I664" s="369"/>
      <c r="J664" s="44"/>
      <c r="K664" s="44"/>
    </row>
    <row r="665" spans="3:15" ht="21" customHeight="1"/>
    <row r="666" spans="3:15" s="59" customFormat="1" ht="21" customHeight="1">
      <c r="C666" s="47" t="s">
        <v>3878</v>
      </c>
      <c r="D666" s="794" t="s">
        <v>8166</v>
      </c>
      <c r="E666" s="795"/>
      <c r="F666" s="795"/>
      <c r="G666" s="795"/>
      <c r="H666" s="795"/>
      <c r="I666" s="50">
        <f>ROUNDDOWN(H681,-2)</f>
        <v>543200</v>
      </c>
      <c r="J666" s="50" t="s">
        <v>6451</v>
      </c>
      <c r="K666" s="50" t="s">
        <v>8092</v>
      </c>
    </row>
    <row r="667" spans="3:15" s="59" customFormat="1" ht="21" customHeight="1">
      <c r="C667" s="591" t="s">
        <v>1195</v>
      </c>
      <c r="D667" s="591" t="s">
        <v>1196</v>
      </c>
      <c r="E667" s="591" t="s">
        <v>1197</v>
      </c>
      <c r="F667" s="591" t="s">
        <v>1198</v>
      </c>
      <c r="G667" s="591" t="s">
        <v>1199</v>
      </c>
      <c r="H667" s="591" t="s">
        <v>1200</v>
      </c>
      <c r="I667" s="44"/>
      <c r="J667" s="44"/>
      <c r="K667" s="44"/>
    </row>
    <row r="668" spans="3:15" s="59" customFormat="1" ht="21" customHeight="1">
      <c r="C668" s="61" t="s">
        <v>1201</v>
      </c>
      <c r="D668" s="56" t="s">
        <v>1202</v>
      </c>
      <c r="E668" s="57"/>
      <c r="F668" s="57"/>
      <c r="G668" s="57"/>
      <c r="H668" s="57"/>
      <c r="I668" s="44"/>
      <c r="J668" s="44"/>
      <c r="K668" s="44"/>
      <c r="L668" s="152" t="s">
        <v>1247</v>
      </c>
    </row>
    <row r="669" spans="3:15" s="59" customFormat="1" ht="21" customHeight="1">
      <c r="C669" s="588">
        <v>1</v>
      </c>
      <c r="D669" s="56" t="s">
        <v>5</v>
      </c>
      <c r="E669" s="577" t="s">
        <v>6</v>
      </c>
      <c r="F669" s="62">
        <v>0.317</v>
      </c>
      <c r="G669" s="63">
        <f>VLOOKUP(D669,upahbahan,3,FALSE)</f>
        <v>100000</v>
      </c>
      <c r="H669" s="63">
        <f>F669*G669</f>
        <v>31700</v>
      </c>
      <c r="I669" s="44"/>
      <c r="J669" s="44"/>
      <c r="K669" s="44"/>
      <c r="L669" s="152" t="s">
        <v>1248</v>
      </c>
      <c r="O669" s="65">
        <v>0.1</v>
      </c>
    </row>
    <row r="670" spans="3:15" s="59" customFormat="1" ht="21" customHeight="1">
      <c r="C670" s="588">
        <v>2</v>
      </c>
      <c r="D670" s="56" t="s">
        <v>10</v>
      </c>
      <c r="E670" s="577" t="s">
        <v>6</v>
      </c>
      <c r="F670" s="62">
        <v>0.52900000000000003</v>
      </c>
      <c r="G670" s="63">
        <f>VLOOKUP(D670,upahbahan,3,FALSE)</f>
        <v>135000</v>
      </c>
      <c r="H670" s="63">
        <f>F670*G670</f>
        <v>71415</v>
      </c>
      <c r="I670" s="44"/>
      <c r="J670" s="44"/>
      <c r="K670" s="44"/>
    </row>
    <row r="671" spans="3:15" s="59" customFormat="1" ht="21" customHeight="1">
      <c r="C671" s="588">
        <v>3</v>
      </c>
      <c r="D671" s="56" t="s">
        <v>18</v>
      </c>
      <c r="E671" s="577" t="s">
        <v>6</v>
      </c>
      <c r="F671" s="62">
        <v>5.2999999999999999E-2</v>
      </c>
      <c r="G671" s="63">
        <f>VLOOKUP(D671,upahbahan,3,FALSE)</f>
        <v>150000</v>
      </c>
      <c r="H671" s="63">
        <f>F671*G671</f>
        <v>7950</v>
      </c>
      <c r="I671" s="44"/>
      <c r="J671" s="44"/>
      <c r="K671" s="44"/>
    </row>
    <row r="672" spans="3:15" s="59" customFormat="1" ht="21" customHeight="1">
      <c r="C672" s="588">
        <v>4</v>
      </c>
      <c r="D672" s="56" t="s">
        <v>19</v>
      </c>
      <c r="E672" s="577" t="s">
        <v>6</v>
      </c>
      <c r="F672" s="62">
        <v>1.6E-2</v>
      </c>
      <c r="G672" s="63">
        <f>VLOOKUP(D672,upahbahan,3,FALSE)</f>
        <v>160000</v>
      </c>
      <c r="H672" s="63">
        <f>F672*G672</f>
        <v>2560</v>
      </c>
      <c r="I672" s="44"/>
      <c r="J672" s="44"/>
      <c r="K672" s="44"/>
    </row>
    <row r="673" spans="3:15" s="59" customFormat="1" ht="21" customHeight="1">
      <c r="C673" s="450" t="s">
        <v>1208</v>
      </c>
      <c r="D673" s="67"/>
      <c r="E673" s="67"/>
      <c r="F673" s="142"/>
      <c r="G673" s="153"/>
      <c r="H673" s="63">
        <f>SUM(H669:H672)</f>
        <v>113625</v>
      </c>
      <c r="I673" s="154"/>
      <c r="J673" s="154"/>
      <c r="K673" s="154"/>
    </row>
    <row r="674" spans="3:15" s="59" customFormat="1" ht="21" customHeight="1">
      <c r="C674" s="61" t="s">
        <v>1209</v>
      </c>
      <c r="D674" s="56" t="s">
        <v>1210</v>
      </c>
      <c r="E674" s="57"/>
      <c r="F674" s="57"/>
      <c r="G674" s="57"/>
      <c r="H674" s="57"/>
      <c r="I674" s="44"/>
      <c r="J674" s="44"/>
      <c r="K674" s="44"/>
    </row>
    <row r="675" spans="3:15" s="59" customFormat="1" ht="21" customHeight="1">
      <c r="C675" s="588">
        <v>1</v>
      </c>
      <c r="D675" s="72" t="s">
        <v>8167</v>
      </c>
      <c r="E675" s="73" t="s">
        <v>113</v>
      </c>
      <c r="F675" s="276">
        <v>1.5</v>
      </c>
      <c r="G675" s="63">
        <f>VLOOKUP(D675,upahbahan,3,FALSE)</f>
        <v>253500</v>
      </c>
      <c r="H675" s="63">
        <f>F675*G675</f>
        <v>380250</v>
      </c>
      <c r="I675" s="44"/>
      <c r="J675" s="44"/>
      <c r="K675" s="44"/>
    </row>
    <row r="676" spans="3:15" s="59" customFormat="1" ht="21" customHeight="1">
      <c r="C676" s="450" t="s">
        <v>1214</v>
      </c>
      <c r="D676" s="67"/>
      <c r="E676" s="67"/>
      <c r="F676" s="67"/>
      <c r="G676" s="69"/>
      <c r="H676" s="63">
        <f>SUM(H675:H675)</f>
        <v>380250</v>
      </c>
      <c r="I676" s="44"/>
      <c r="J676" s="44"/>
      <c r="K676" s="44"/>
    </row>
    <row r="677" spans="3:15" s="59" customFormat="1" ht="21" customHeight="1">
      <c r="C677" s="61" t="s">
        <v>1215</v>
      </c>
      <c r="D677" s="56" t="s">
        <v>1216</v>
      </c>
      <c r="E677" s="57"/>
      <c r="F677" s="57"/>
      <c r="G677" s="57"/>
      <c r="H677" s="57"/>
      <c r="I677" s="44"/>
      <c r="J677" s="44"/>
      <c r="K677" s="44"/>
    </row>
    <row r="678" spans="3:15" s="59" customFormat="1" ht="21" customHeight="1">
      <c r="C678" s="450" t="s">
        <v>1217</v>
      </c>
      <c r="D678" s="67"/>
      <c r="E678" s="67"/>
      <c r="F678" s="67"/>
      <c r="G678" s="69"/>
      <c r="H678" s="589">
        <v>0</v>
      </c>
      <c r="I678" s="44"/>
      <c r="J678" s="44"/>
      <c r="K678" s="44"/>
    </row>
    <row r="679" spans="3:15" s="59" customFormat="1" ht="21" customHeight="1">
      <c r="C679" s="288" t="s">
        <v>1218</v>
      </c>
      <c r="D679" s="76" t="s">
        <v>1219</v>
      </c>
      <c r="E679" s="77"/>
      <c r="F679" s="77"/>
      <c r="G679" s="78"/>
      <c r="H679" s="585">
        <f>H678+H676+H673</f>
        <v>493875</v>
      </c>
      <c r="I679" s="369"/>
      <c r="J679" s="44"/>
      <c r="K679" s="44"/>
    </row>
    <row r="680" spans="3:15" s="59" customFormat="1" ht="21" customHeight="1">
      <c r="C680" s="288" t="s">
        <v>1220</v>
      </c>
      <c r="D680" s="76" t="s">
        <v>1321</v>
      </c>
      <c r="E680" s="77"/>
      <c r="F680" s="78"/>
      <c r="G680" s="80">
        <v>0.1</v>
      </c>
      <c r="H680" s="63">
        <f>H679*G680</f>
        <v>49387.5</v>
      </c>
      <c r="I680" s="369"/>
      <c r="J680" s="44"/>
      <c r="K680" s="44"/>
    </row>
    <row r="681" spans="3:15" s="59" customFormat="1" ht="21" customHeight="1">
      <c r="C681" s="288" t="s">
        <v>1221</v>
      </c>
      <c r="D681" s="76" t="s">
        <v>1222</v>
      </c>
      <c r="E681" s="77"/>
      <c r="F681" s="77"/>
      <c r="G681" s="78"/>
      <c r="H681" s="799">
        <f>SUM(H679:H680)</f>
        <v>543262.5</v>
      </c>
      <c r="I681" s="369"/>
      <c r="J681" s="44"/>
      <c r="K681" s="44"/>
    </row>
    <row r="682" spans="3:15" ht="21" customHeight="1"/>
    <row r="683" spans="3:15" s="59" customFormat="1" ht="21" customHeight="1">
      <c r="C683" s="47" t="s">
        <v>3879</v>
      </c>
      <c r="D683" s="794" t="s">
        <v>8168</v>
      </c>
      <c r="E683" s="795"/>
      <c r="F683" s="795"/>
      <c r="G683" s="795"/>
      <c r="H683" s="795"/>
      <c r="I683" s="50">
        <f>ROUNDDOWN(H698,-2)</f>
        <v>709800</v>
      </c>
      <c r="J683" s="50" t="s">
        <v>6451</v>
      </c>
      <c r="K683" s="50" t="s">
        <v>8092</v>
      </c>
    </row>
    <row r="684" spans="3:15" s="59" customFormat="1" ht="21" customHeight="1">
      <c r="C684" s="591" t="s">
        <v>1195</v>
      </c>
      <c r="D684" s="591" t="s">
        <v>1196</v>
      </c>
      <c r="E684" s="591" t="s">
        <v>1197</v>
      </c>
      <c r="F684" s="591" t="s">
        <v>1198</v>
      </c>
      <c r="G684" s="591" t="s">
        <v>1199</v>
      </c>
      <c r="H684" s="591" t="s">
        <v>1200</v>
      </c>
      <c r="I684" s="44"/>
      <c r="J684" s="44"/>
      <c r="K684" s="44"/>
    </row>
    <row r="685" spans="3:15" s="59" customFormat="1" ht="21" customHeight="1">
      <c r="C685" s="61" t="s">
        <v>1201</v>
      </c>
      <c r="D685" s="56" t="s">
        <v>1202</v>
      </c>
      <c r="E685" s="57"/>
      <c r="F685" s="57"/>
      <c r="G685" s="57"/>
      <c r="H685" s="57"/>
      <c r="I685" s="44"/>
      <c r="J685" s="44"/>
      <c r="K685" s="44"/>
      <c r="L685" s="152" t="s">
        <v>1247</v>
      </c>
    </row>
    <row r="686" spans="3:15" s="59" customFormat="1" ht="21" customHeight="1">
      <c r="C686" s="588">
        <v>1</v>
      </c>
      <c r="D686" s="56" t="s">
        <v>5</v>
      </c>
      <c r="E686" s="577" t="s">
        <v>6</v>
      </c>
      <c r="F686" s="62">
        <v>0.39400000000000002</v>
      </c>
      <c r="G686" s="63">
        <f>VLOOKUP(D686,upahbahan,3,FALSE)</f>
        <v>100000</v>
      </c>
      <c r="H686" s="63">
        <f>F686*G686</f>
        <v>39400</v>
      </c>
      <c r="I686" s="44"/>
      <c r="J686" s="44"/>
      <c r="K686" s="44"/>
      <c r="L686" s="152" t="s">
        <v>1248</v>
      </c>
      <c r="O686" s="65">
        <v>0.1</v>
      </c>
    </row>
    <row r="687" spans="3:15" s="59" customFormat="1" ht="21" customHeight="1">
      <c r="C687" s="588">
        <v>2</v>
      </c>
      <c r="D687" s="56" t="s">
        <v>10</v>
      </c>
      <c r="E687" s="577" t="s">
        <v>6</v>
      </c>
      <c r="F687" s="62">
        <v>0.65800000000000003</v>
      </c>
      <c r="G687" s="63">
        <f>VLOOKUP(D687,upahbahan,3,FALSE)</f>
        <v>135000</v>
      </c>
      <c r="H687" s="63">
        <f>F687*G687</f>
        <v>88830</v>
      </c>
      <c r="I687" s="44"/>
      <c r="J687" s="44"/>
      <c r="K687" s="44"/>
    </row>
    <row r="688" spans="3:15" s="59" customFormat="1" ht="21" customHeight="1">
      <c r="C688" s="588">
        <v>3</v>
      </c>
      <c r="D688" s="56" t="s">
        <v>18</v>
      </c>
      <c r="E688" s="577" t="s">
        <v>6</v>
      </c>
      <c r="F688" s="62">
        <v>6.6000000000000003E-2</v>
      </c>
      <c r="G688" s="63">
        <f>VLOOKUP(D688,upahbahan,3,FALSE)</f>
        <v>150000</v>
      </c>
      <c r="H688" s="63">
        <f>F688*G688</f>
        <v>9900</v>
      </c>
      <c r="I688" s="44"/>
      <c r="J688" s="44"/>
      <c r="K688" s="44"/>
    </row>
    <row r="689" spans="3:15" s="59" customFormat="1" ht="21" customHeight="1">
      <c r="C689" s="588">
        <v>4</v>
      </c>
      <c r="D689" s="56" t="s">
        <v>19</v>
      </c>
      <c r="E689" s="577" t="s">
        <v>6</v>
      </c>
      <c r="F689" s="62">
        <v>0.02</v>
      </c>
      <c r="G689" s="63">
        <f>VLOOKUP(D689,upahbahan,3,FALSE)</f>
        <v>160000</v>
      </c>
      <c r="H689" s="63">
        <f>F689*G689</f>
        <v>3200</v>
      </c>
      <c r="I689" s="44"/>
      <c r="J689" s="44"/>
      <c r="K689" s="44"/>
    </row>
    <row r="690" spans="3:15" s="59" customFormat="1" ht="21" customHeight="1">
      <c r="C690" s="450" t="s">
        <v>1208</v>
      </c>
      <c r="D690" s="67"/>
      <c r="E690" s="67"/>
      <c r="F690" s="142"/>
      <c r="G690" s="153"/>
      <c r="H690" s="63">
        <f>SUM(H686:H689)</f>
        <v>141330</v>
      </c>
      <c r="I690" s="154"/>
      <c r="J690" s="154"/>
      <c r="K690" s="154"/>
    </row>
    <row r="691" spans="3:15" s="59" customFormat="1" ht="21" customHeight="1">
      <c r="C691" s="61" t="s">
        <v>1209</v>
      </c>
      <c r="D691" s="56" t="s">
        <v>1210</v>
      </c>
      <c r="E691" s="57"/>
      <c r="F691" s="57"/>
      <c r="G691" s="57"/>
      <c r="H691" s="57"/>
      <c r="I691" s="44"/>
      <c r="J691" s="44"/>
      <c r="K691" s="44"/>
    </row>
    <row r="692" spans="3:15" s="59" customFormat="1" ht="21" customHeight="1">
      <c r="C692" s="588">
        <v>1</v>
      </c>
      <c r="D692" s="72" t="s">
        <v>8169</v>
      </c>
      <c r="E692" s="73" t="s">
        <v>113</v>
      </c>
      <c r="F692" s="276">
        <v>1.5</v>
      </c>
      <c r="G692" s="63">
        <f>VLOOKUP(D692,upahbahan,3,FALSE)</f>
        <v>336000</v>
      </c>
      <c r="H692" s="63">
        <f>F692*G692</f>
        <v>504000</v>
      </c>
      <c r="I692" s="44"/>
      <c r="J692" s="44"/>
      <c r="K692" s="44"/>
    </row>
    <row r="693" spans="3:15" s="59" customFormat="1" ht="21" customHeight="1">
      <c r="C693" s="450" t="s">
        <v>1214</v>
      </c>
      <c r="D693" s="67"/>
      <c r="E693" s="67"/>
      <c r="F693" s="67"/>
      <c r="G693" s="69"/>
      <c r="H693" s="63">
        <f>SUM(H692:H692)</f>
        <v>504000</v>
      </c>
      <c r="I693" s="44"/>
      <c r="J693" s="44"/>
      <c r="K693" s="44"/>
    </row>
    <row r="694" spans="3:15" s="59" customFormat="1" ht="21" customHeight="1">
      <c r="C694" s="61" t="s">
        <v>1215</v>
      </c>
      <c r="D694" s="56" t="s">
        <v>1216</v>
      </c>
      <c r="E694" s="57"/>
      <c r="F694" s="57"/>
      <c r="G694" s="57"/>
      <c r="H694" s="57"/>
      <c r="I694" s="44"/>
      <c r="J694" s="44"/>
      <c r="K694" s="44"/>
    </row>
    <row r="695" spans="3:15" s="59" customFormat="1" ht="21" customHeight="1">
      <c r="C695" s="450" t="s">
        <v>1217</v>
      </c>
      <c r="D695" s="67"/>
      <c r="E695" s="67"/>
      <c r="F695" s="67"/>
      <c r="G695" s="69"/>
      <c r="H695" s="589">
        <v>0</v>
      </c>
      <c r="I695" s="44"/>
      <c r="J695" s="44"/>
      <c r="K695" s="44"/>
    </row>
    <row r="696" spans="3:15" s="59" customFormat="1" ht="21" customHeight="1">
      <c r="C696" s="288" t="s">
        <v>1218</v>
      </c>
      <c r="D696" s="76" t="s">
        <v>1219</v>
      </c>
      <c r="E696" s="77"/>
      <c r="F696" s="77"/>
      <c r="G696" s="78"/>
      <c r="H696" s="585">
        <f>H695+H693+H690</f>
        <v>645330</v>
      </c>
      <c r="I696" s="369"/>
      <c r="J696" s="44"/>
      <c r="K696" s="44"/>
    </row>
    <row r="697" spans="3:15" s="59" customFormat="1" ht="21" customHeight="1">
      <c r="C697" s="288" t="s">
        <v>1220</v>
      </c>
      <c r="D697" s="76" t="s">
        <v>1321</v>
      </c>
      <c r="E697" s="77"/>
      <c r="F697" s="78"/>
      <c r="G697" s="80">
        <v>0.1</v>
      </c>
      <c r="H697" s="63">
        <f>H696*G697</f>
        <v>64533</v>
      </c>
      <c r="I697" s="369"/>
      <c r="J697" s="44"/>
      <c r="K697" s="44"/>
    </row>
    <row r="698" spans="3:15" s="59" customFormat="1" ht="21" customHeight="1">
      <c r="C698" s="288" t="s">
        <v>1221</v>
      </c>
      <c r="D698" s="76" t="s">
        <v>1222</v>
      </c>
      <c r="E698" s="77"/>
      <c r="F698" s="77"/>
      <c r="G698" s="78"/>
      <c r="H698" s="799">
        <f>SUM(H696:H697)</f>
        <v>709863</v>
      </c>
      <c r="I698" s="369"/>
      <c r="J698" s="44"/>
      <c r="K698" s="44"/>
    </row>
    <row r="699" spans="3:15" ht="21" customHeight="1"/>
    <row r="700" spans="3:15" s="59" customFormat="1" ht="21" customHeight="1">
      <c r="C700" s="47" t="s">
        <v>3880</v>
      </c>
      <c r="D700" s="794" t="s">
        <v>8170</v>
      </c>
      <c r="E700" s="795"/>
      <c r="F700" s="795"/>
      <c r="G700" s="795"/>
      <c r="H700" s="795"/>
      <c r="I700" s="50">
        <f>ROUNDDOWN(H715,-2)</f>
        <v>625500</v>
      </c>
      <c r="J700" s="50" t="s">
        <v>6451</v>
      </c>
      <c r="K700" s="50" t="s">
        <v>8092</v>
      </c>
    </row>
    <row r="701" spans="3:15" s="59" customFormat="1" ht="21" customHeight="1">
      <c r="C701" s="591" t="s">
        <v>1195</v>
      </c>
      <c r="D701" s="591" t="s">
        <v>1196</v>
      </c>
      <c r="E701" s="591" t="s">
        <v>1197</v>
      </c>
      <c r="F701" s="591" t="s">
        <v>1198</v>
      </c>
      <c r="G701" s="591" t="s">
        <v>1199</v>
      </c>
      <c r="H701" s="591" t="s">
        <v>1200</v>
      </c>
      <c r="I701" s="44"/>
      <c r="J701" s="44"/>
      <c r="K701" s="44"/>
    </row>
    <row r="702" spans="3:15" s="59" customFormat="1" ht="21" customHeight="1">
      <c r="C702" s="61" t="s">
        <v>1201</v>
      </c>
      <c r="D702" s="56" t="s">
        <v>1202</v>
      </c>
      <c r="E702" s="57"/>
      <c r="F702" s="57"/>
      <c r="G702" s="57"/>
      <c r="H702" s="57"/>
      <c r="I702" s="44"/>
      <c r="J702" s="44"/>
      <c r="K702" s="44"/>
      <c r="L702" s="152" t="s">
        <v>1247</v>
      </c>
    </row>
    <row r="703" spans="3:15" s="59" customFormat="1" ht="21" customHeight="1">
      <c r="C703" s="588">
        <v>1</v>
      </c>
      <c r="D703" s="56" t="s">
        <v>5</v>
      </c>
      <c r="E703" s="577" t="s">
        <v>6</v>
      </c>
      <c r="F703" s="62">
        <v>0.47299999999999998</v>
      </c>
      <c r="G703" s="63">
        <f>VLOOKUP(D703,upahbahan,3,FALSE)</f>
        <v>100000</v>
      </c>
      <c r="H703" s="63">
        <f>F703*G703</f>
        <v>47300</v>
      </c>
      <c r="I703" s="44"/>
      <c r="J703" s="44"/>
      <c r="K703" s="44"/>
      <c r="L703" s="152" t="s">
        <v>1248</v>
      </c>
      <c r="O703" s="65">
        <v>0.1</v>
      </c>
    </row>
    <row r="704" spans="3:15" s="59" customFormat="1" ht="21" customHeight="1">
      <c r="C704" s="588">
        <v>2</v>
      </c>
      <c r="D704" s="56" t="s">
        <v>10</v>
      </c>
      <c r="E704" s="577" t="s">
        <v>6</v>
      </c>
      <c r="F704" s="62">
        <v>0.79</v>
      </c>
      <c r="G704" s="63">
        <f>VLOOKUP(D704,upahbahan,3,FALSE)</f>
        <v>135000</v>
      </c>
      <c r="H704" s="63">
        <f>F704*G704</f>
        <v>106650</v>
      </c>
      <c r="I704" s="44"/>
      <c r="J704" s="44"/>
      <c r="K704" s="44"/>
    </row>
    <row r="705" spans="3:15" s="59" customFormat="1" ht="21" customHeight="1">
      <c r="C705" s="588">
        <v>3</v>
      </c>
      <c r="D705" s="56" t="s">
        <v>18</v>
      </c>
      <c r="E705" s="577" t="s">
        <v>6</v>
      </c>
      <c r="F705" s="62">
        <v>7.9000000000000001E-2</v>
      </c>
      <c r="G705" s="63">
        <f>VLOOKUP(D705,upahbahan,3,FALSE)</f>
        <v>150000</v>
      </c>
      <c r="H705" s="63">
        <f>F705*G705</f>
        <v>11850</v>
      </c>
      <c r="I705" s="44"/>
      <c r="J705" s="44"/>
      <c r="K705" s="44"/>
    </row>
    <row r="706" spans="3:15" s="59" customFormat="1" ht="21" customHeight="1">
      <c r="C706" s="588">
        <v>4</v>
      </c>
      <c r="D706" s="56" t="s">
        <v>19</v>
      </c>
      <c r="E706" s="577" t="s">
        <v>6</v>
      </c>
      <c r="F706" s="62">
        <v>2.4E-2</v>
      </c>
      <c r="G706" s="63">
        <f>VLOOKUP(D706,upahbahan,3,FALSE)</f>
        <v>160000</v>
      </c>
      <c r="H706" s="63">
        <f>F706*G706</f>
        <v>3840</v>
      </c>
      <c r="I706" s="44"/>
      <c r="J706" s="44"/>
      <c r="K706" s="44"/>
    </row>
    <row r="707" spans="3:15" s="59" customFormat="1" ht="21" customHeight="1">
      <c r="C707" s="450" t="s">
        <v>1208</v>
      </c>
      <c r="D707" s="67"/>
      <c r="E707" s="67"/>
      <c r="F707" s="142"/>
      <c r="G707" s="153"/>
      <c r="H707" s="63">
        <f>SUM(H703:H706)</f>
        <v>169640</v>
      </c>
      <c r="I707" s="154"/>
      <c r="J707" s="154"/>
      <c r="K707" s="154"/>
    </row>
    <row r="708" spans="3:15" s="59" customFormat="1" ht="21" customHeight="1">
      <c r="C708" s="61" t="s">
        <v>1209</v>
      </c>
      <c r="D708" s="56" t="s">
        <v>1210</v>
      </c>
      <c r="E708" s="57"/>
      <c r="F708" s="57"/>
      <c r="G708" s="57"/>
      <c r="H708" s="57"/>
      <c r="I708" s="44"/>
      <c r="J708" s="44"/>
      <c r="K708" s="44"/>
    </row>
    <row r="709" spans="3:15" s="59" customFormat="1" ht="21" customHeight="1">
      <c r="C709" s="588">
        <v>1</v>
      </c>
      <c r="D709" s="72" t="s">
        <v>8171</v>
      </c>
      <c r="E709" s="73" t="s">
        <v>113</v>
      </c>
      <c r="F709" s="276">
        <v>1.5</v>
      </c>
      <c r="G709" s="63">
        <f>VLOOKUP(D709,upahbahan,3,FALSE)</f>
        <v>266000</v>
      </c>
      <c r="H709" s="63">
        <f>F709*G709</f>
        <v>399000</v>
      </c>
      <c r="I709" s="44"/>
      <c r="J709" s="44"/>
      <c r="K709" s="44"/>
    </row>
    <row r="710" spans="3:15" s="59" customFormat="1" ht="21" customHeight="1">
      <c r="C710" s="450" t="s">
        <v>1214</v>
      </c>
      <c r="D710" s="67"/>
      <c r="E710" s="67"/>
      <c r="F710" s="67"/>
      <c r="G710" s="69"/>
      <c r="H710" s="63">
        <f>SUM(H709:H709)</f>
        <v>399000</v>
      </c>
      <c r="I710" s="44"/>
      <c r="J710" s="44"/>
      <c r="K710" s="44"/>
    </row>
    <row r="711" spans="3:15" s="59" customFormat="1" ht="21" customHeight="1">
      <c r="C711" s="61" t="s">
        <v>1215</v>
      </c>
      <c r="D711" s="56" t="s">
        <v>1216</v>
      </c>
      <c r="E711" s="57"/>
      <c r="F711" s="57"/>
      <c r="G711" s="57"/>
      <c r="H711" s="57"/>
      <c r="I711" s="44"/>
      <c r="J711" s="44"/>
      <c r="K711" s="44"/>
    </row>
    <row r="712" spans="3:15" s="59" customFormat="1" ht="21" customHeight="1">
      <c r="C712" s="450" t="s">
        <v>1217</v>
      </c>
      <c r="D712" s="67"/>
      <c r="E712" s="67"/>
      <c r="F712" s="67"/>
      <c r="G712" s="69"/>
      <c r="H712" s="589">
        <v>0</v>
      </c>
      <c r="I712" s="44"/>
      <c r="J712" s="44"/>
      <c r="K712" s="44"/>
    </row>
    <row r="713" spans="3:15" s="59" customFormat="1" ht="21" customHeight="1">
      <c r="C713" s="288" t="s">
        <v>1218</v>
      </c>
      <c r="D713" s="76" t="s">
        <v>1219</v>
      </c>
      <c r="E713" s="77"/>
      <c r="F713" s="77"/>
      <c r="G713" s="78"/>
      <c r="H713" s="585">
        <f>H712+H710+H707</f>
        <v>568640</v>
      </c>
      <c r="I713" s="369"/>
      <c r="J713" s="44"/>
      <c r="K713" s="44"/>
    </row>
    <row r="714" spans="3:15" s="59" customFormat="1" ht="21" customHeight="1">
      <c r="C714" s="288" t="s">
        <v>1220</v>
      </c>
      <c r="D714" s="76" t="s">
        <v>1321</v>
      </c>
      <c r="E714" s="77"/>
      <c r="F714" s="78"/>
      <c r="G714" s="80">
        <v>0.1</v>
      </c>
      <c r="H714" s="63">
        <f>H713*G714</f>
        <v>56864</v>
      </c>
      <c r="I714" s="369"/>
      <c r="J714" s="44"/>
      <c r="K714" s="44"/>
    </row>
    <row r="715" spans="3:15" s="59" customFormat="1" ht="21" customHeight="1">
      <c r="C715" s="288" t="s">
        <v>1221</v>
      </c>
      <c r="D715" s="76" t="s">
        <v>1222</v>
      </c>
      <c r="E715" s="77"/>
      <c r="F715" s="77"/>
      <c r="G715" s="78"/>
      <c r="H715" s="799">
        <f>SUM(H713:H714)</f>
        <v>625504</v>
      </c>
      <c r="I715" s="369"/>
      <c r="J715" s="44"/>
      <c r="K715" s="44"/>
    </row>
    <row r="716" spans="3:15" ht="21" customHeight="1"/>
    <row r="717" spans="3:15" s="59" customFormat="1" ht="21" customHeight="1">
      <c r="C717" s="47" t="s">
        <v>3881</v>
      </c>
      <c r="D717" s="794" t="s">
        <v>8172</v>
      </c>
      <c r="E717" s="795"/>
      <c r="F717" s="795"/>
      <c r="G717" s="795"/>
      <c r="H717" s="795"/>
      <c r="I717" s="50">
        <f>ROUNDDOWN(H732,-2)</f>
        <v>881800</v>
      </c>
      <c r="J717" s="50" t="s">
        <v>6451</v>
      </c>
      <c r="K717" s="50" t="s">
        <v>8092</v>
      </c>
    </row>
    <row r="718" spans="3:15" s="59" customFormat="1" ht="21" customHeight="1">
      <c r="C718" s="591" t="s">
        <v>1195</v>
      </c>
      <c r="D718" s="591" t="s">
        <v>1196</v>
      </c>
      <c r="E718" s="591" t="s">
        <v>1197</v>
      </c>
      <c r="F718" s="591" t="s">
        <v>1198</v>
      </c>
      <c r="G718" s="591" t="s">
        <v>1199</v>
      </c>
      <c r="H718" s="591" t="s">
        <v>1200</v>
      </c>
      <c r="I718" s="44"/>
      <c r="J718" s="44"/>
      <c r="K718" s="44"/>
    </row>
    <row r="719" spans="3:15" s="59" customFormat="1" ht="21" customHeight="1">
      <c r="C719" s="61" t="s">
        <v>1201</v>
      </c>
      <c r="D719" s="56" t="s">
        <v>1202</v>
      </c>
      <c r="E719" s="57"/>
      <c r="F719" s="57"/>
      <c r="G719" s="57"/>
      <c r="H719" s="57"/>
      <c r="I719" s="44"/>
      <c r="J719" s="44"/>
      <c r="K719" s="44"/>
      <c r="L719" s="152" t="s">
        <v>1247</v>
      </c>
    </row>
    <row r="720" spans="3:15" s="59" customFormat="1" ht="21" customHeight="1">
      <c r="C720" s="588">
        <v>1</v>
      </c>
      <c r="D720" s="56" t="s">
        <v>5</v>
      </c>
      <c r="E720" s="577" t="s">
        <v>6</v>
      </c>
      <c r="F720" s="62">
        <v>0.629</v>
      </c>
      <c r="G720" s="63">
        <f>VLOOKUP(D720,upahbahan,3,FALSE)</f>
        <v>100000</v>
      </c>
      <c r="H720" s="63">
        <f>F720*G720</f>
        <v>62900</v>
      </c>
      <c r="I720" s="44"/>
      <c r="J720" s="44"/>
      <c r="K720" s="44"/>
      <c r="L720" s="152" t="s">
        <v>1248</v>
      </c>
      <c r="O720" s="65">
        <v>0.1</v>
      </c>
    </row>
    <row r="721" spans="3:11" s="59" customFormat="1" ht="21" customHeight="1">
      <c r="C721" s="588">
        <v>2</v>
      </c>
      <c r="D721" s="56" t="s">
        <v>10</v>
      </c>
      <c r="E721" s="577" t="s">
        <v>6</v>
      </c>
      <c r="F721" s="62">
        <v>1.0509999999999999</v>
      </c>
      <c r="G721" s="63">
        <f>VLOOKUP(D721,upahbahan,3,FALSE)</f>
        <v>135000</v>
      </c>
      <c r="H721" s="63">
        <f>F721*G721</f>
        <v>141885</v>
      </c>
      <c r="I721" s="44"/>
      <c r="J721" s="44"/>
      <c r="K721" s="44"/>
    </row>
    <row r="722" spans="3:11" s="59" customFormat="1" ht="21" customHeight="1">
      <c r="C722" s="588">
        <v>3</v>
      </c>
      <c r="D722" s="56" t="s">
        <v>18</v>
      </c>
      <c r="E722" s="577" t="s">
        <v>6</v>
      </c>
      <c r="F722" s="62">
        <v>0.105</v>
      </c>
      <c r="G722" s="63">
        <f>VLOOKUP(D722,upahbahan,3,FALSE)</f>
        <v>150000</v>
      </c>
      <c r="H722" s="63">
        <f>F722*G722</f>
        <v>15750</v>
      </c>
      <c r="I722" s="44"/>
      <c r="J722" s="44"/>
      <c r="K722" s="44"/>
    </row>
    <row r="723" spans="3:11" s="59" customFormat="1" ht="21" customHeight="1">
      <c r="C723" s="588">
        <v>4</v>
      </c>
      <c r="D723" s="56" t="s">
        <v>19</v>
      </c>
      <c r="E723" s="577" t="s">
        <v>6</v>
      </c>
      <c r="F723" s="62">
        <v>3.2000000000000001E-2</v>
      </c>
      <c r="G723" s="63">
        <f>VLOOKUP(D723,upahbahan,3,FALSE)</f>
        <v>160000</v>
      </c>
      <c r="H723" s="63">
        <f>F723*G723</f>
        <v>5120</v>
      </c>
      <c r="I723" s="44"/>
      <c r="J723" s="44"/>
      <c r="K723" s="44"/>
    </row>
    <row r="724" spans="3:11" s="59" customFormat="1" ht="21" customHeight="1">
      <c r="C724" s="450" t="s">
        <v>1208</v>
      </c>
      <c r="D724" s="67"/>
      <c r="E724" s="67"/>
      <c r="F724" s="142"/>
      <c r="G724" s="153"/>
      <c r="H724" s="63">
        <f>SUM(H720:H723)</f>
        <v>225655</v>
      </c>
      <c r="I724" s="154"/>
      <c r="J724" s="154"/>
      <c r="K724" s="154"/>
    </row>
    <row r="725" spans="3:11" s="59" customFormat="1" ht="21" customHeight="1">
      <c r="C725" s="61" t="s">
        <v>1209</v>
      </c>
      <c r="D725" s="56" t="s">
        <v>1210</v>
      </c>
      <c r="E725" s="57"/>
      <c r="F725" s="57"/>
      <c r="G725" s="57"/>
      <c r="H725" s="57"/>
      <c r="I725" s="44"/>
      <c r="J725" s="44"/>
      <c r="K725" s="44"/>
    </row>
    <row r="726" spans="3:11" s="59" customFormat="1" ht="21" customHeight="1">
      <c r="C726" s="588">
        <v>1</v>
      </c>
      <c r="D726" s="72" t="s">
        <v>8173</v>
      </c>
      <c r="E726" s="73" t="s">
        <v>113</v>
      </c>
      <c r="F726" s="276">
        <v>1.5</v>
      </c>
      <c r="G726" s="63">
        <f>VLOOKUP(D726,upahbahan,3,FALSE)</f>
        <v>384000</v>
      </c>
      <c r="H726" s="63">
        <f>F726*G726</f>
        <v>576000</v>
      </c>
      <c r="I726" s="44"/>
      <c r="J726" s="44"/>
      <c r="K726" s="44"/>
    </row>
    <row r="727" spans="3:11" s="59" customFormat="1" ht="21" customHeight="1">
      <c r="C727" s="450" t="s">
        <v>1214</v>
      </c>
      <c r="D727" s="67"/>
      <c r="E727" s="67"/>
      <c r="F727" s="67"/>
      <c r="G727" s="69"/>
      <c r="H727" s="63">
        <f>SUM(H726:H726)</f>
        <v>576000</v>
      </c>
      <c r="I727" s="44"/>
      <c r="J727" s="44"/>
      <c r="K727" s="44"/>
    </row>
    <row r="728" spans="3:11" s="59" customFormat="1" ht="21" customHeight="1">
      <c r="C728" s="61" t="s">
        <v>1215</v>
      </c>
      <c r="D728" s="56" t="s">
        <v>1216</v>
      </c>
      <c r="E728" s="57"/>
      <c r="F728" s="57"/>
      <c r="G728" s="57"/>
      <c r="H728" s="57"/>
      <c r="I728" s="44"/>
      <c r="J728" s="44"/>
      <c r="K728" s="44"/>
    </row>
    <row r="729" spans="3:11" s="59" customFormat="1" ht="21" customHeight="1">
      <c r="C729" s="450" t="s">
        <v>1217</v>
      </c>
      <c r="D729" s="67"/>
      <c r="E729" s="67"/>
      <c r="F729" s="67"/>
      <c r="G729" s="69"/>
      <c r="H729" s="589">
        <v>0</v>
      </c>
      <c r="I729" s="44"/>
      <c r="J729" s="44"/>
      <c r="K729" s="44"/>
    </row>
    <row r="730" spans="3:11" s="59" customFormat="1" ht="21" customHeight="1">
      <c r="C730" s="288" t="s">
        <v>1218</v>
      </c>
      <c r="D730" s="76" t="s">
        <v>1219</v>
      </c>
      <c r="E730" s="77"/>
      <c r="F730" s="77"/>
      <c r="G730" s="78"/>
      <c r="H730" s="585">
        <f>H729+H727+H724</f>
        <v>801655</v>
      </c>
      <c r="I730" s="369"/>
      <c r="J730" s="44"/>
      <c r="K730" s="44"/>
    </row>
    <row r="731" spans="3:11" s="59" customFormat="1" ht="21" customHeight="1">
      <c r="C731" s="288" t="s">
        <v>1220</v>
      </c>
      <c r="D731" s="76" t="s">
        <v>1321</v>
      </c>
      <c r="E731" s="77"/>
      <c r="F731" s="78"/>
      <c r="G731" s="80">
        <v>0.1</v>
      </c>
      <c r="H731" s="63">
        <f>H730*G731</f>
        <v>80165.5</v>
      </c>
      <c r="I731" s="369"/>
      <c r="J731" s="44"/>
      <c r="K731" s="44"/>
    </row>
    <row r="732" spans="3:11" s="59" customFormat="1" ht="21" customHeight="1">
      <c r="C732" s="288" t="s">
        <v>1221</v>
      </c>
      <c r="D732" s="76" t="s">
        <v>1222</v>
      </c>
      <c r="E732" s="77"/>
      <c r="F732" s="77"/>
      <c r="G732" s="78"/>
      <c r="H732" s="799">
        <f>SUM(H730:H731)</f>
        <v>881820.5</v>
      </c>
      <c r="I732" s="369"/>
      <c r="J732" s="44"/>
      <c r="K732" s="44"/>
    </row>
    <row r="733" spans="3:11" ht="21" customHeight="1"/>
    <row r="734" spans="3:11" ht="21" customHeight="1"/>
    <row r="735" spans="3:11" s="59" customFormat="1" ht="21" customHeight="1">
      <c r="C735" s="47" t="s">
        <v>3882</v>
      </c>
      <c r="D735" s="794" t="s">
        <v>8174</v>
      </c>
      <c r="E735" s="795"/>
      <c r="F735" s="795"/>
      <c r="G735" s="795"/>
      <c r="H735" s="795"/>
      <c r="I735" s="50">
        <f>ROUNDDOWN(H750,-2)</f>
        <v>955700</v>
      </c>
      <c r="J735" s="50" t="s">
        <v>6451</v>
      </c>
      <c r="K735" s="50" t="s">
        <v>8092</v>
      </c>
    </row>
    <row r="736" spans="3:11" s="59" customFormat="1" ht="21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  <c r="J736" s="44"/>
      <c r="K736" s="44"/>
    </row>
    <row r="737" spans="3:15" s="59" customFormat="1" ht="21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44"/>
      <c r="K737" s="44"/>
      <c r="L737" s="152" t="s">
        <v>1247</v>
      </c>
    </row>
    <row r="738" spans="3:15" s="59" customFormat="1" ht="21" customHeight="1">
      <c r="C738" s="588">
        <v>1</v>
      </c>
      <c r="D738" s="56" t="s">
        <v>5</v>
      </c>
      <c r="E738" s="577" t="s">
        <v>6</v>
      </c>
      <c r="F738" s="62">
        <v>0.78800000000000003</v>
      </c>
      <c r="G738" s="63">
        <f>VLOOKUP(D738,upahbahan,3,FALSE)</f>
        <v>100000</v>
      </c>
      <c r="H738" s="63">
        <f>F738*G738</f>
        <v>78800</v>
      </c>
      <c r="I738" s="44"/>
      <c r="J738" s="44"/>
      <c r="K738" s="44"/>
      <c r="L738" s="152" t="s">
        <v>1248</v>
      </c>
      <c r="O738" s="65">
        <v>0.1</v>
      </c>
    </row>
    <row r="739" spans="3:15" s="59" customFormat="1" ht="21" customHeight="1">
      <c r="C739" s="588">
        <v>2</v>
      </c>
      <c r="D739" s="56" t="s">
        <v>10</v>
      </c>
      <c r="E739" s="577" t="s">
        <v>6</v>
      </c>
      <c r="F739" s="62">
        <v>1.3149999999999999</v>
      </c>
      <c r="G739" s="63">
        <f>VLOOKUP(D739,upahbahan,3,FALSE)</f>
        <v>135000</v>
      </c>
      <c r="H739" s="63">
        <f>F739*G739</f>
        <v>177525</v>
      </c>
      <c r="I739" s="44"/>
      <c r="J739" s="44"/>
      <c r="K739" s="44"/>
    </row>
    <row r="740" spans="3:15" s="59" customFormat="1" ht="21" customHeight="1">
      <c r="C740" s="588">
        <v>3</v>
      </c>
      <c r="D740" s="56" t="s">
        <v>18</v>
      </c>
      <c r="E740" s="577" t="s">
        <v>6</v>
      </c>
      <c r="F740" s="62">
        <v>0.13200000000000001</v>
      </c>
      <c r="G740" s="63">
        <f>VLOOKUP(D740,upahbahan,3,FALSE)</f>
        <v>150000</v>
      </c>
      <c r="H740" s="63">
        <f>F740*G740</f>
        <v>19800</v>
      </c>
      <c r="I740" s="44"/>
      <c r="J740" s="44"/>
      <c r="K740" s="44"/>
    </row>
    <row r="741" spans="3:15" s="59" customFormat="1" ht="21" customHeight="1">
      <c r="C741" s="588">
        <v>4</v>
      </c>
      <c r="D741" s="56" t="s">
        <v>19</v>
      </c>
      <c r="E741" s="577" t="s">
        <v>6</v>
      </c>
      <c r="F741" s="62">
        <v>3.9E-2</v>
      </c>
      <c r="G741" s="63">
        <f>VLOOKUP(D741,upahbahan,3,FALSE)</f>
        <v>160000</v>
      </c>
      <c r="H741" s="63">
        <f>F741*G741</f>
        <v>6240</v>
      </c>
      <c r="I741" s="44"/>
      <c r="J741" s="44"/>
      <c r="K741" s="44"/>
    </row>
    <row r="742" spans="3:15" s="59" customFormat="1" ht="21" customHeight="1">
      <c r="C742" s="450" t="s">
        <v>1208</v>
      </c>
      <c r="D742" s="67"/>
      <c r="E742" s="67"/>
      <c r="F742" s="142"/>
      <c r="G742" s="153"/>
      <c r="H742" s="63">
        <f>SUM(H738:H741)</f>
        <v>282365</v>
      </c>
      <c r="I742" s="154"/>
      <c r="J742" s="154"/>
      <c r="K742" s="154"/>
    </row>
    <row r="743" spans="3:15" s="59" customFormat="1" ht="21" customHeight="1">
      <c r="C743" s="61" t="s">
        <v>1209</v>
      </c>
      <c r="D743" s="56" t="s">
        <v>1210</v>
      </c>
      <c r="E743" s="57"/>
      <c r="F743" s="57"/>
      <c r="G743" s="57"/>
      <c r="H743" s="57"/>
      <c r="I743" s="44"/>
      <c r="J743" s="44"/>
      <c r="K743" s="44"/>
    </row>
    <row r="744" spans="3:15" s="59" customFormat="1" ht="21" customHeight="1">
      <c r="C744" s="588">
        <v>1</v>
      </c>
      <c r="D744" s="72" t="s">
        <v>8175</v>
      </c>
      <c r="E744" s="73" t="s">
        <v>113</v>
      </c>
      <c r="F744" s="276">
        <v>1.5</v>
      </c>
      <c r="G744" s="63">
        <f>VLOOKUP(D744,upahbahan,3,FALSE)</f>
        <v>391000</v>
      </c>
      <c r="H744" s="63">
        <f>F744*G744</f>
        <v>586500</v>
      </c>
      <c r="I744" s="44"/>
      <c r="J744" s="44"/>
      <c r="K744" s="44"/>
    </row>
    <row r="745" spans="3:15" s="59" customFormat="1" ht="21" customHeight="1">
      <c r="C745" s="450" t="s">
        <v>1214</v>
      </c>
      <c r="D745" s="67"/>
      <c r="E745" s="67"/>
      <c r="F745" s="67"/>
      <c r="G745" s="69"/>
      <c r="H745" s="63">
        <f>SUM(H744:H744)</f>
        <v>586500</v>
      </c>
      <c r="I745" s="44"/>
      <c r="J745" s="44"/>
      <c r="K745" s="44"/>
    </row>
    <row r="746" spans="3:15" s="59" customFormat="1" ht="21" customHeight="1">
      <c r="C746" s="61" t="s">
        <v>1215</v>
      </c>
      <c r="D746" s="56" t="s">
        <v>1216</v>
      </c>
      <c r="E746" s="57"/>
      <c r="F746" s="57"/>
      <c r="G746" s="57"/>
      <c r="H746" s="57"/>
      <c r="I746" s="44"/>
      <c r="J746" s="44"/>
      <c r="K746" s="44"/>
    </row>
    <row r="747" spans="3:15" s="59" customFormat="1" ht="21" customHeight="1">
      <c r="C747" s="450" t="s">
        <v>1217</v>
      </c>
      <c r="D747" s="67"/>
      <c r="E747" s="67"/>
      <c r="F747" s="67"/>
      <c r="G747" s="69"/>
      <c r="H747" s="589">
        <v>0</v>
      </c>
      <c r="I747" s="44"/>
      <c r="J747" s="44"/>
      <c r="K747" s="44"/>
    </row>
    <row r="748" spans="3:15" s="59" customFormat="1" ht="21" customHeight="1">
      <c r="C748" s="288" t="s">
        <v>1218</v>
      </c>
      <c r="D748" s="76" t="s">
        <v>1219</v>
      </c>
      <c r="E748" s="77"/>
      <c r="F748" s="77"/>
      <c r="G748" s="78"/>
      <c r="H748" s="585">
        <f>H747+H745+H742</f>
        <v>868865</v>
      </c>
      <c r="I748" s="369"/>
      <c r="J748" s="44"/>
      <c r="K748" s="44"/>
    </row>
    <row r="749" spans="3:15" s="59" customFormat="1" ht="21" customHeight="1">
      <c r="C749" s="288" t="s">
        <v>1220</v>
      </c>
      <c r="D749" s="76" t="s">
        <v>1321</v>
      </c>
      <c r="E749" s="77"/>
      <c r="F749" s="78"/>
      <c r="G749" s="80">
        <v>0.1</v>
      </c>
      <c r="H749" s="63">
        <f>H748*G749</f>
        <v>86886.5</v>
      </c>
      <c r="I749" s="369"/>
      <c r="J749" s="44"/>
      <c r="K749" s="44"/>
    </row>
    <row r="750" spans="3:15" s="59" customFormat="1" ht="21" customHeight="1">
      <c r="C750" s="288" t="s">
        <v>1221</v>
      </c>
      <c r="D750" s="76" t="s">
        <v>1222</v>
      </c>
      <c r="E750" s="77"/>
      <c r="F750" s="77"/>
      <c r="G750" s="78"/>
      <c r="H750" s="799">
        <f>SUM(H748:H749)</f>
        <v>955751.5</v>
      </c>
      <c r="I750" s="369"/>
      <c r="J750" s="44"/>
      <c r="K750" s="44"/>
    </row>
    <row r="751" spans="3:15" ht="21" customHeight="1"/>
    <row r="752" spans="3:15" s="59" customFormat="1" ht="21" customHeight="1">
      <c r="C752" s="47" t="s">
        <v>3884</v>
      </c>
      <c r="D752" s="794" t="s">
        <v>8176</v>
      </c>
      <c r="E752" s="795"/>
      <c r="F752" s="795"/>
      <c r="G752" s="795"/>
      <c r="H752" s="795"/>
      <c r="I752" s="50">
        <f>ROUNDDOWN(H767,-2)</f>
        <v>933200</v>
      </c>
      <c r="J752" s="50" t="s">
        <v>6451</v>
      </c>
      <c r="K752" s="50" t="s">
        <v>8092</v>
      </c>
    </row>
    <row r="753" spans="3:15" s="59" customFormat="1" ht="21" customHeight="1">
      <c r="C753" s="591" t="s">
        <v>1195</v>
      </c>
      <c r="D753" s="591" t="s">
        <v>1196</v>
      </c>
      <c r="E753" s="591" t="s">
        <v>1197</v>
      </c>
      <c r="F753" s="591" t="s">
        <v>1198</v>
      </c>
      <c r="G753" s="591" t="s">
        <v>1199</v>
      </c>
      <c r="H753" s="591" t="s">
        <v>1200</v>
      </c>
      <c r="I753" s="44"/>
      <c r="J753" s="44"/>
      <c r="K753" s="44"/>
    </row>
    <row r="754" spans="3:15" s="59" customFormat="1" ht="21" customHeight="1">
      <c r="C754" s="61" t="s">
        <v>1201</v>
      </c>
      <c r="D754" s="56" t="s">
        <v>1202</v>
      </c>
      <c r="E754" s="57"/>
      <c r="F754" s="57"/>
      <c r="G754" s="57"/>
      <c r="H754" s="57"/>
      <c r="I754" s="44"/>
      <c r="J754" s="44"/>
      <c r="K754" s="44"/>
      <c r="L754" s="152" t="s">
        <v>1247</v>
      </c>
    </row>
    <row r="755" spans="3:15" s="59" customFormat="1" ht="21" customHeight="1">
      <c r="C755" s="588">
        <v>1</v>
      </c>
      <c r="D755" s="56" t="s">
        <v>5</v>
      </c>
      <c r="E755" s="577" t="s">
        <v>6</v>
      </c>
      <c r="F755" s="62">
        <v>0.94399999999999995</v>
      </c>
      <c r="G755" s="63">
        <f>VLOOKUP(D755,upahbahan,3,FALSE)</f>
        <v>100000</v>
      </c>
      <c r="H755" s="63">
        <f>F755*G755</f>
        <v>94400</v>
      </c>
      <c r="I755" s="44"/>
      <c r="J755" s="44"/>
      <c r="K755" s="44"/>
      <c r="L755" s="152" t="s">
        <v>1248</v>
      </c>
      <c r="O755" s="65">
        <v>0.1</v>
      </c>
    </row>
    <row r="756" spans="3:15" s="59" customFormat="1" ht="21" customHeight="1">
      <c r="C756" s="588">
        <v>2</v>
      </c>
      <c r="D756" s="56" t="s">
        <v>10</v>
      </c>
      <c r="E756" s="577" t="s">
        <v>6</v>
      </c>
      <c r="F756" s="62">
        <v>1.5760000000000001</v>
      </c>
      <c r="G756" s="63">
        <f>VLOOKUP(D756,upahbahan,3,FALSE)</f>
        <v>135000</v>
      </c>
      <c r="H756" s="63">
        <f>F756*G756</f>
        <v>212760</v>
      </c>
      <c r="I756" s="44"/>
      <c r="J756" s="44"/>
      <c r="K756" s="44"/>
    </row>
    <row r="757" spans="3:15" s="59" customFormat="1" ht="21" customHeight="1">
      <c r="C757" s="588">
        <v>3</v>
      </c>
      <c r="D757" s="56" t="s">
        <v>18</v>
      </c>
      <c r="E757" s="577" t="s">
        <v>6</v>
      </c>
      <c r="F757" s="62">
        <v>0.158</v>
      </c>
      <c r="G757" s="63">
        <f>VLOOKUP(D757,upahbahan,3,FALSE)</f>
        <v>150000</v>
      </c>
      <c r="H757" s="63">
        <f>F757*G757</f>
        <v>23700</v>
      </c>
      <c r="I757" s="44"/>
      <c r="J757" s="44"/>
      <c r="K757" s="44"/>
    </row>
    <row r="758" spans="3:15" s="59" customFormat="1" ht="21" customHeight="1">
      <c r="C758" s="588">
        <v>4</v>
      </c>
      <c r="D758" s="56" t="s">
        <v>19</v>
      </c>
      <c r="E758" s="577" t="s">
        <v>6</v>
      </c>
      <c r="F758" s="62">
        <v>4.7E-2</v>
      </c>
      <c r="G758" s="63">
        <f>VLOOKUP(D758,upahbahan,3,FALSE)</f>
        <v>160000</v>
      </c>
      <c r="H758" s="63">
        <f>F758*G758</f>
        <v>7520</v>
      </c>
      <c r="I758" s="44"/>
      <c r="J758" s="44"/>
      <c r="K758" s="44"/>
    </row>
    <row r="759" spans="3:15" s="59" customFormat="1" ht="21" customHeight="1">
      <c r="C759" s="450" t="s">
        <v>1208</v>
      </c>
      <c r="D759" s="67"/>
      <c r="E759" s="67"/>
      <c r="F759" s="142"/>
      <c r="G759" s="153"/>
      <c r="H759" s="63">
        <f>SUM(H755:H758)</f>
        <v>338380</v>
      </c>
      <c r="I759" s="154"/>
      <c r="J759" s="154"/>
      <c r="K759" s="154"/>
    </row>
    <row r="760" spans="3:15" s="59" customFormat="1" ht="21" customHeight="1">
      <c r="C760" s="61" t="s">
        <v>1209</v>
      </c>
      <c r="D760" s="56" t="s">
        <v>1210</v>
      </c>
      <c r="E760" s="57"/>
      <c r="F760" s="57"/>
      <c r="G760" s="57"/>
      <c r="H760" s="57"/>
      <c r="I760" s="44"/>
      <c r="J760" s="44"/>
      <c r="K760" s="44"/>
    </row>
    <row r="761" spans="3:15" s="59" customFormat="1" ht="21" customHeight="1">
      <c r="C761" s="588">
        <v>1</v>
      </c>
      <c r="D761" s="72" t="s">
        <v>8177</v>
      </c>
      <c r="E761" s="73" t="s">
        <v>113</v>
      </c>
      <c r="F761" s="276">
        <v>1.5</v>
      </c>
      <c r="G761" s="63">
        <f>VLOOKUP(D761,upahbahan,3,FALSE)</f>
        <v>340000</v>
      </c>
      <c r="H761" s="63">
        <f>F761*G761</f>
        <v>510000</v>
      </c>
      <c r="I761" s="44"/>
      <c r="J761" s="44"/>
      <c r="K761" s="44"/>
    </row>
    <row r="762" spans="3:15" s="59" customFormat="1" ht="21" customHeight="1">
      <c r="C762" s="450" t="s">
        <v>1214</v>
      </c>
      <c r="D762" s="67"/>
      <c r="E762" s="67"/>
      <c r="F762" s="67"/>
      <c r="G762" s="69"/>
      <c r="H762" s="63">
        <f>SUM(H761:H761)</f>
        <v>510000</v>
      </c>
      <c r="I762" s="44"/>
      <c r="J762" s="44"/>
      <c r="K762" s="44"/>
    </row>
    <row r="763" spans="3:15" s="59" customFormat="1" ht="21" customHeight="1">
      <c r="C763" s="61" t="s">
        <v>1215</v>
      </c>
      <c r="D763" s="56" t="s">
        <v>1216</v>
      </c>
      <c r="E763" s="57"/>
      <c r="F763" s="57"/>
      <c r="G763" s="57"/>
      <c r="H763" s="57"/>
      <c r="I763" s="44"/>
      <c r="J763" s="44"/>
      <c r="K763" s="44"/>
    </row>
    <row r="764" spans="3:15" s="59" customFormat="1" ht="21" customHeight="1">
      <c r="C764" s="450" t="s">
        <v>1217</v>
      </c>
      <c r="D764" s="67"/>
      <c r="E764" s="67"/>
      <c r="F764" s="67"/>
      <c r="G764" s="69"/>
      <c r="H764" s="589">
        <v>0</v>
      </c>
      <c r="I764" s="44"/>
      <c r="J764" s="44"/>
      <c r="K764" s="44"/>
    </row>
    <row r="765" spans="3:15" s="59" customFormat="1" ht="21" customHeight="1">
      <c r="C765" s="288" t="s">
        <v>1218</v>
      </c>
      <c r="D765" s="76" t="s">
        <v>1219</v>
      </c>
      <c r="E765" s="77"/>
      <c r="F765" s="77"/>
      <c r="G765" s="78"/>
      <c r="H765" s="585">
        <f>H764+H762+H759</f>
        <v>848380</v>
      </c>
      <c r="I765" s="369"/>
      <c r="J765" s="44"/>
      <c r="K765" s="44"/>
    </row>
    <row r="766" spans="3:15" s="59" customFormat="1" ht="21" customHeight="1">
      <c r="C766" s="288" t="s">
        <v>1220</v>
      </c>
      <c r="D766" s="76" t="s">
        <v>1321</v>
      </c>
      <c r="E766" s="77"/>
      <c r="F766" s="78"/>
      <c r="G766" s="80">
        <v>0.1</v>
      </c>
      <c r="H766" s="63">
        <f>H765*G766</f>
        <v>84838</v>
      </c>
      <c r="I766" s="369"/>
      <c r="J766" s="44"/>
      <c r="K766" s="44"/>
    </row>
    <row r="767" spans="3:15" s="59" customFormat="1" ht="21" customHeight="1">
      <c r="C767" s="288" t="s">
        <v>1221</v>
      </c>
      <c r="D767" s="76" t="s">
        <v>1222</v>
      </c>
      <c r="E767" s="77"/>
      <c r="F767" s="77"/>
      <c r="G767" s="78"/>
      <c r="H767" s="799">
        <f>SUM(H765:H766)</f>
        <v>933218</v>
      </c>
      <c r="I767" s="369"/>
      <c r="J767" s="44"/>
      <c r="K767" s="44"/>
    </row>
    <row r="768" spans="3:15" ht="21" customHeight="1"/>
    <row r="769" spans="3:15" s="59" customFormat="1" ht="21" customHeight="1">
      <c r="C769" s="47" t="s">
        <v>3886</v>
      </c>
      <c r="D769" s="794" t="s">
        <v>8178</v>
      </c>
      <c r="E769" s="795"/>
      <c r="F769" s="795"/>
      <c r="G769" s="795"/>
      <c r="H769" s="795"/>
      <c r="I769" s="50">
        <f>ROUNDDOWN(H784,-2)</f>
        <v>1112600</v>
      </c>
      <c r="J769" s="50" t="s">
        <v>6451</v>
      </c>
      <c r="K769" s="50" t="s">
        <v>8092</v>
      </c>
    </row>
    <row r="770" spans="3:15" s="59" customFormat="1" ht="21" customHeight="1">
      <c r="C770" s="591" t="s">
        <v>1195</v>
      </c>
      <c r="D770" s="591" t="s">
        <v>1196</v>
      </c>
      <c r="E770" s="591" t="s">
        <v>1197</v>
      </c>
      <c r="F770" s="591" t="s">
        <v>1198</v>
      </c>
      <c r="G770" s="591" t="s">
        <v>1199</v>
      </c>
      <c r="H770" s="591" t="s">
        <v>1200</v>
      </c>
      <c r="I770" s="44"/>
      <c r="J770" s="44"/>
      <c r="K770" s="44"/>
    </row>
    <row r="771" spans="3:15" s="59" customFormat="1" ht="21" customHeight="1">
      <c r="C771" s="61" t="s">
        <v>1201</v>
      </c>
      <c r="D771" s="56" t="s">
        <v>1202</v>
      </c>
      <c r="E771" s="57"/>
      <c r="F771" s="57"/>
      <c r="G771" s="57"/>
      <c r="H771" s="57"/>
      <c r="I771" s="44"/>
      <c r="J771" s="44"/>
      <c r="K771" s="44"/>
      <c r="L771" s="152" t="s">
        <v>1247</v>
      </c>
    </row>
    <row r="772" spans="3:15" s="59" customFormat="1" ht="21" customHeight="1">
      <c r="C772" s="588">
        <v>1</v>
      </c>
      <c r="D772" s="56" t="s">
        <v>5</v>
      </c>
      <c r="E772" s="577" t="s">
        <v>6</v>
      </c>
      <c r="F772" s="62">
        <v>1.1020000000000001</v>
      </c>
      <c r="G772" s="63">
        <f>VLOOKUP(D772,upahbahan,3,FALSE)</f>
        <v>100000</v>
      </c>
      <c r="H772" s="63">
        <f>F772*G772</f>
        <v>110200.00000000001</v>
      </c>
      <c r="I772" s="44"/>
      <c r="J772" s="44"/>
      <c r="K772" s="44"/>
      <c r="L772" s="152" t="s">
        <v>1248</v>
      </c>
      <c r="O772" s="65">
        <v>0.1</v>
      </c>
    </row>
    <row r="773" spans="3:15" s="59" customFormat="1" ht="21" customHeight="1">
      <c r="C773" s="588">
        <v>2</v>
      </c>
      <c r="D773" s="56" t="s">
        <v>10</v>
      </c>
      <c r="E773" s="577" t="s">
        <v>6</v>
      </c>
      <c r="F773" s="62">
        <v>1.84</v>
      </c>
      <c r="G773" s="63">
        <f>VLOOKUP(D773,upahbahan,3,FALSE)</f>
        <v>135000</v>
      </c>
      <c r="H773" s="63">
        <f>F773*G773</f>
        <v>248400</v>
      </c>
      <c r="I773" s="44"/>
      <c r="J773" s="44"/>
      <c r="K773" s="44"/>
    </row>
    <row r="774" spans="3:15" s="59" customFormat="1" ht="21" customHeight="1">
      <c r="C774" s="588">
        <v>3</v>
      </c>
      <c r="D774" s="56" t="s">
        <v>18</v>
      </c>
      <c r="E774" s="577" t="s">
        <v>6</v>
      </c>
      <c r="F774" s="62">
        <v>0.184</v>
      </c>
      <c r="G774" s="63">
        <f>VLOOKUP(D774,upahbahan,3,FALSE)</f>
        <v>150000</v>
      </c>
      <c r="H774" s="63">
        <f>F774*G774</f>
        <v>27600</v>
      </c>
      <c r="I774" s="44"/>
      <c r="J774" s="44"/>
      <c r="K774" s="44"/>
    </row>
    <row r="775" spans="3:15" s="59" customFormat="1" ht="21" customHeight="1">
      <c r="C775" s="588">
        <v>4</v>
      </c>
      <c r="D775" s="56" t="s">
        <v>19</v>
      </c>
      <c r="E775" s="577" t="s">
        <v>6</v>
      </c>
      <c r="F775" s="62">
        <v>5.5E-2</v>
      </c>
      <c r="G775" s="63">
        <f>VLOOKUP(D775,upahbahan,3,FALSE)</f>
        <v>160000</v>
      </c>
      <c r="H775" s="63">
        <f>F775*G775</f>
        <v>8800</v>
      </c>
      <c r="I775" s="44"/>
      <c r="J775" s="44"/>
      <c r="K775" s="44"/>
    </row>
    <row r="776" spans="3:15" s="59" customFormat="1" ht="21" customHeight="1">
      <c r="C776" s="450" t="s">
        <v>1208</v>
      </c>
      <c r="D776" s="67"/>
      <c r="E776" s="67"/>
      <c r="F776" s="142"/>
      <c r="G776" s="153"/>
      <c r="H776" s="63">
        <f>SUM(H772:H775)</f>
        <v>395000</v>
      </c>
      <c r="I776" s="154"/>
      <c r="J776" s="154"/>
      <c r="K776" s="154"/>
    </row>
    <row r="777" spans="3:15" s="59" customFormat="1" ht="21" customHeight="1">
      <c r="C777" s="61" t="s">
        <v>1209</v>
      </c>
      <c r="D777" s="56" t="s">
        <v>1210</v>
      </c>
      <c r="E777" s="57"/>
      <c r="F777" s="57"/>
      <c r="G777" s="57"/>
      <c r="H777" s="57"/>
      <c r="I777" s="44"/>
      <c r="J777" s="44"/>
      <c r="K777" s="44"/>
    </row>
    <row r="778" spans="3:15" s="59" customFormat="1" ht="21" customHeight="1">
      <c r="C778" s="588">
        <v>1</v>
      </c>
      <c r="D778" s="72" t="s">
        <v>8179</v>
      </c>
      <c r="E778" s="73" t="s">
        <v>113</v>
      </c>
      <c r="F778" s="276">
        <v>1.5</v>
      </c>
      <c r="G778" s="63">
        <f>VLOOKUP(D778,upahbahan,3,FALSE)</f>
        <v>411000</v>
      </c>
      <c r="H778" s="63">
        <f>F778*G778</f>
        <v>616500</v>
      </c>
      <c r="I778" s="44"/>
      <c r="J778" s="44"/>
      <c r="K778" s="44"/>
    </row>
    <row r="779" spans="3:15" s="59" customFormat="1" ht="21" customHeight="1">
      <c r="C779" s="450" t="s">
        <v>1214</v>
      </c>
      <c r="D779" s="67"/>
      <c r="E779" s="67"/>
      <c r="F779" s="67"/>
      <c r="G779" s="69"/>
      <c r="H779" s="63">
        <f>SUM(H778:H778)</f>
        <v>616500</v>
      </c>
      <c r="I779" s="44"/>
      <c r="J779" s="44"/>
      <c r="K779" s="44"/>
    </row>
    <row r="780" spans="3:15" s="59" customFormat="1" ht="21" customHeight="1">
      <c r="C780" s="61" t="s">
        <v>1215</v>
      </c>
      <c r="D780" s="56" t="s">
        <v>1216</v>
      </c>
      <c r="E780" s="57"/>
      <c r="F780" s="57"/>
      <c r="G780" s="57"/>
      <c r="H780" s="57"/>
      <c r="I780" s="44"/>
      <c r="J780" s="44"/>
      <c r="K780" s="44"/>
    </row>
    <row r="781" spans="3:15" s="59" customFormat="1" ht="21" customHeight="1">
      <c r="C781" s="450" t="s">
        <v>1217</v>
      </c>
      <c r="D781" s="67"/>
      <c r="E781" s="67"/>
      <c r="F781" s="67"/>
      <c r="G781" s="69"/>
      <c r="H781" s="589">
        <v>0</v>
      </c>
      <c r="I781" s="44"/>
      <c r="J781" s="44"/>
      <c r="K781" s="44"/>
    </row>
    <row r="782" spans="3:15" s="59" customFormat="1" ht="21" customHeight="1">
      <c r="C782" s="288" t="s">
        <v>1218</v>
      </c>
      <c r="D782" s="76" t="s">
        <v>1219</v>
      </c>
      <c r="E782" s="77"/>
      <c r="F782" s="77"/>
      <c r="G782" s="78"/>
      <c r="H782" s="585">
        <f>H781+H779+H776</f>
        <v>1011500</v>
      </c>
      <c r="I782" s="369"/>
      <c r="J782" s="44"/>
      <c r="K782" s="44"/>
    </row>
    <row r="783" spans="3:15" s="59" customFormat="1" ht="21" customHeight="1">
      <c r="C783" s="288" t="s">
        <v>1220</v>
      </c>
      <c r="D783" s="76" t="s">
        <v>1321</v>
      </c>
      <c r="E783" s="77"/>
      <c r="F783" s="78"/>
      <c r="G783" s="80">
        <v>0.1</v>
      </c>
      <c r="H783" s="63">
        <f>H782*G783</f>
        <v>101150</v>
      </c>
      <c r="I783" s="369"/>
      <c r="J783" s="44"/>
      <c r="K783" s="44"/>
    </row>
    <row r="784" spans="3:15" s="59" customFormat="1" ht="21" customHeight="1">
      <c r="C784" s="288" t="s">
        <v>1221</v>
      </c>
      <c r="D784" s="76" t="s">
        <v>1222</v>
      </c>
      <c r="E784" s="77"/>
      <c r="F784" s="77"/>
      <c r="G784" s="78"/>
      <c r="H784" s="799">
        <f>SUM(H782:H783)</f>
        <v>1112650</v>
      </c>
      <c r="I784" s="369"/>
      <c r="J784" s="44"/>
      <c r="K784" s="44"/>
    </row>
    <row r="785" spans="3:15" ht="21" customHeight="1"/>
    <row r="786" spans="3:15" s="59" customFormat="1" ht="21" customHeight="1">
      <c r="C786" s="47" t="s">
        <v>3888</v>
      </c>
      <c r="D786" s="794" t="s">
        <v>8180</v>
      </c>
      <c r="E786" s="795"/>
      <c r="F786" s="795"/>
      <c r="G786" s="795"/>
      <c r="H786" s="795"/>
      <c r="I786" s="50">
        <f>ROUNDDOWN(H801,-2)</f>
        <v>1185800</v>
      </c>
      <c r="J786" s="50" t="s">
        <v>6451</v>
      </c>
      <c r="K786" s="50" t="s">
        <v>8092</v>
      </c>
    </row>
    <row r="787" spans="3:15" s="59" customFormat="1" ht="21" customHeight="1">
      <c r="C787" s="591" t="s">
        <v>1195</v>
      </c>
      <c r="D787" s="591" t="s">
        <v>1196</v>
      </c>
      <c r="E787" s="591" t="s">
        <v>1197</v>
      </c>
      <c r="F787" s="591" t="s">
        <v>1198</v>
      </c>
      <c r="G787" s="591" t="s">
        <v>1199</v>
      </c>
      <c r="H787" s="591" t="s">
        <v>1200</v>
      </c>
      <c r="I787" s="44"/>
      <c r="J787" s="44"/>
      <c r="K787" s="44"/>
    </row>
    <row r="788" spans="3:15" s="59" customFormat="1" ht="21" customHeight="1">
      <c r="C788" s="61" t="s">
        <v>1201</v>
      </c>
      <c r="D788" s="56" t="s">
        <v>1202</v>
      </c>
      <c r="E788" s="57"/>
      <c r="F788" s="57"/>
      <c r="G788" s="57"/>
      <c r="H788" s="57"/>
      <c r="I788" s="44"/>
      <c r="J788" s="44"/>
      <c r="K788" s="44"/>
      <c r="L788" s="152" t="s">
        <v>1247</v>
      </c>
    </row>
    <row r="789" spans="3:15" s="59" customFormat="1" ht="21" customHeight="1">
      <c r="C789" s="588">
        <v>1</v>
      </c>
      <c r="D789" s="56" t="s">
        <v>5</v>
      </c>
      <c r="E789" s="577" t="s">
        <v>6</v>
      </c>
      <c r="F789" s="62">
        <v>1.258</v>
      </c>
      <c r="G789" s="63">
        <f>VLOOKUP(D789,upahbahan,3,FALSE)</f>
        <v>100000</v>
      </c>
      <c r="H789" s="63">
        <f>F789*G789</f>
        <v>125800</v>
      </c>
      <c r="I789" s="44"/>
      <c r="J789" s="44"/>
      <c r="K789" s="44"/>
      <c r="L789" s="152" t="s">
        <v>1248</v>
      </c>
      <c r="O789" s="65">
        <v>0.1</v>
      </c>
    </row>
    <row r="790" spans="3:15" s="59" customFormat="1" ht="21" customHeight="1">
      <c r="C790" s="588">
        <v>2</v>
      </c>
      <c r="D790" s="56" t="s">
        <v>10</v>
      </c>
      <c r="E790" s="577" t="s">
        <v>6</v>
      </c>
      <c r="F790" s="62">
        <v>2.101</v>
      </c>
      <c r="G790" s="63">
        <f>VLOOKUP(D790,upahbahan,3,FALSE)</f>
        <v>135000</v>
      </c>
      <c r="H790" s="63">
        <f>F790*G790</f>
        <v>283635</v>
      </c>
      <c r="I790" s="44"/>
      <c r="J790" s="44"/>
      <c r="K790" s="44"/>
    </row>
    <row r="791" spans="3:15" s="59" customFormat="1" ht="21" customHeight="1">
      <c r="C791" s="588">
        <v>3</v>
      </c>
      <c r="D791" s="56" t="s">
        <v>18</v>
      </c>
      <c r="E791" s="577" t="s">
        <v>6</v>
      </c>
      <c r="F791" s="62">
        <v>0.21</v>
      </c>
      <c r="G791" s="63">
        <f>VLOOKUP(D791,upahbahan,3,FALSE)</f>
        <v>150000</v>
      </c>
      <c r="H791" s="63">
        <f>F791*G791</f>
        <v>31500</v>
      </c>
      <c r="I791" s="44"/>
      <c r="J791" s="44"/>
      <c r="K791" s="44"/>
    </row>
    <row r="792" spans="3:15" s="59" customFormat="1" ht="21" customHeight="1">
      <c r="C792" s="588">
        <v>4</v>
      </c>
      <c r="D792" s="56" t="s">
        <v>19</v>
      </c>
      <c r="E792" s="577" t="s">
        <v>6</v>
      </c>
      <c r="F792" s="62">
        <v>6.3E-2</v>
      </c>
      <c r="G792" s="63">
        <f>VLOOKUP(D792,upahbahan,3,FALSE)</f>
        <v>160000</v>
      </c>
      <c r="H792" s="63">
        <f>F792*G792</f>
        <v>10080</v>
      </c>
      <c r="I792" s="44"/>
      <c r="J792" s="44"/>
      <c r="K792" s="44"/>
    </row>
    <row r="793" spans="3:15" s="59" customFormat="1" ht="21" customHeight="1">
      <c r="C793" s="450" t="s">
        <v>1208</v>
      </c>
      <c r="D793" s="67"/>
      <c r="E793" s="67"/>
      <c r="F793" s="142"/>
      <c r="G793" s="153"/>
      <c r="H793" s="63">
        <f>SUM(H789:H792)</f>
        <v>451015</v>
      </c>
      <c r="I793" s="154"/>
      <c r="J793" s="154"/>
      <c r="K793" s="154"/>
    </row>
    <row r="794" spans="3:15" s="59" customFormat="1" ht="21" customHeight="1">
      <c r="C794" s="61" t="s">
        <v>1209</v>
      </c>
      <c r="D794" s="56" t="s">
        <v>1210</v>
      </c>
      <c r="E794" s="57"/>
      <c r="F794" s="57"/>
      <c r="G794" s="57"/>
      <c r="H794" s="57"/>
      <c r="I794" s="44"/>
      <c r="J794" s="44"/>
      <c r="K794" s="44"/>
    </row>
    <row r="795" spans="3:15" s="59" customFormat="1" ht="21" customHeight="1">
      <c r="C795" s="588">
        <v>1</v>
      </c>
      <c r="D795" s="72" t="s">
        <v>8181</v>
      </c>
      <c r="E795" s="73" t="s">
        <v>113</v>
      </c>
      <c r="F795" s="276">
        <v>1.5</v>
      </c>
      <c r="G795" s="63">
        <f>VLOOKUP(D795,upahbahan,3,FALSE)</f>
        <v>418000</v>
      </c>
      <c r="H795" s="63">
        <f>F795*G795</f>
        <v>627000</v>
      </c>
      <c r="I795" s="44"/>
      <c r="J795" s="44"/>
      <c r="K795" s="44"/>
    </row>
    <row r="796" spans="3:15" s="59" customFormat="1" ht="21" customHeight="1">
      <c r="C796" s="450" t="s">
        <v>1214</v>
      </c>
      <c r="D796" s="67"/>
      <c r="E796" s="67"/>
      <c r="F796" s="67"/>
      <c r="G796" s="69"/>
      <c r="H796" s="63">
        <f>SUM(H795:H795)</f>
        <v>627000</v>
      </c>
      <c r="I796" s="44"/>
      <c r="J796" s="44"/>
      <c r="K796" s="44"/>
    </row>
    <row r="797" spans="3:15" s="59" customFormat="1" ht="21" customHeight="1">
      <c r="C797" s="61" t="s">
        <v>1215</v>
      </c>
      <c r="D797" s="56" t="s">
        <v>1216</v>
      </c>
      <c r="E797" s="57"/>
      <c r="F797" s="57"/>
      <c r="G797" s="57"/>
      <c r="H797" s="57"/>
      <c r="I797" s="44"/>
      <c r="J797" s="44"/>
      <c r="K797" s="44"/>
    </row>
    <row r="798" spans="3:15" s="59" customFormat="1" ht="21" customHeight="1">
      <c r="C798" s="450" t="s">
        <v>1217</v>
      </c>
      <c r="D798" s="67"/>
      <c r="E798" s="67"/>
      <c r="F798" s="67"/>
      <c r="G798" s="69"/>
      <c r="H798" s="589">
        <v>0</v>
      </c>
      <c r="I798" s="44"/>
      <c r="J798" s="44"/>
      <c r="K798" s="44"/>
    </row>
    <row r="799" spans="3:15" s="59" customFormat="1" ht="21" customHeight="1">
      <c r="C799" s="288" t="s">
        <v>1218</v>
      </c>
      <c r="D799" s="76" t="s">
        <v>1219</v>
      </c>
      <c r="E799" s="77"/>
      <c r="F799" s="77"/>
      <c r="G799" s="78"/>
      <c r="H799" s="585">
        <f>H798+H796+H793</f>
        <v>1078015</v>
      </c>
      <c r="I799" s="369"/>
      <c r="J799" s="44"/>
      <c r="K799" s="44"/>
    </row>
    <row r="800" spans="3:15" s="59" customFormat="1" ht="21" customHeight="1">
      <c r="C800" s="288" t="s">
        <v>1220</v>
      </c>
      <c r="D800" s="76" t="s">
        <v>1321</v>
      </c>
      <c r="E800" s="77"/>
      <c r="F800" s="78"/>
      <c r="G800" s="80">
        <v>0.1</v>
      </c>
      <c r="H800" s="63">
        <f>H799*G800</f>
        <v>107801.5</v>
      </c>
      <c r="I800" s="369"/>
      <c r="J800" s="44"/>
      <c r="K800" s="44"/>
    </row>
    <row r="801" spans="3:15" s="59" customFormat="1" ht="21" customHeight="1">
      <c r="C801" s="288" t="s">
        <v>1221</v>
      </c>
      <c r="D801" s="76" t="s">
        <v>1222</v>
      </c>
      <c r="E801" s="77"/>
      <c r="F801" s="77"/>
      <c r="G801" s="78"/>
      <c r="H801" s="799">
        <f>SUM(H799:H800)</f>
        <v>1185816.5</v>
      </c>
      <c r="I801" s="369"/>
      <c r="J801" s="44"/>
      <c r="K801" s="44"/>
    </row>
    <row r="802" spans="3:15" ht="21" customHeight="1"/>
    <row r="803" spans="3:15" s="59" customFormat="1" ht="21" customHeight="1">
      <c r="C803" s="47" t="s">
        <v>3890</v>
      </c>
      <c r="D803" s="794" t="s">
        <v>8182</v>
      </c>
      <c r="E803" s="795"/>
      <c r="F803" s="795"/>
      <c r="G803" s="795"/>
      <c r="H803" s="795"/>
      <c r="I803" s="50">
        <f>ROUNDDOWN(H818,-2)</f>
        <v>79800</v>
      </c>
      <c r="J803" s="50" t="s">
        <v>6451</v>
      </c>
      <c r="K803" s="50" t="s">
        <v>8092</v>
      </c>
    </row>
    <row r="804" spans="3:15" s="59" customFormat="1" ht="21" customHeight="1">
      <c r="C804" s="591" t="s">
        <v>1195</v>
      </c>
      <c r="D804" s="591" t="s">
        <v>1196</v>
      </c>
      <c r="E804" s="591" t="s">
        <v>1197</v>
      </c>
      <c r="F804" s="591" t="s">
        <v>1198</v>
      </c>
      <c r="G804" s="591" t="s">
        <v>1199</v>
      </c>
      <c r="H804" s="591" t="s">
        <v>1200</v>
      </c>
      <c r="I804" s="44"/>
      <c r="J804" s="44"/>
      <c r="K804" s="44"/>
    </row>
    <row r="805" spans="3:15" s="59" customFormat="1" ht="21" customHeight="1">
      <c r="C805" s="61" t="s">
        <v>1201</v>
      </c>
      <c r="D805" s="56" t="s">
        <v>1202</v>
      </c>
      <c r="E805" s="57"/>
      <c r="F805" s="57"/>
      <c r="G805" s="57"/>
      <c r="H805" s="57"/>
      <c r="I805" s="44"/>
      <c r="J805" s="44"/>
      <c r="K805" s="44"/>
      <c r="L805" s="152" t="s">
        <v>1247</v>
      </c>
    </row>
    <row r="806" spans="3:15" s="59" customFormat="1" ht="21" customHeight="1">
      <c r="C806" s="588">
        <v>1</v>
      </c>
      <c r="D806" s="56" t="s">
        <v>5</v>
      </c>
      <c r="E806" s="577" t="s">
        <v>6</v>
      </c>
      <c r="F806" s="62">
        <v>3.5000000000000003E-2</v>
      </c>
      <c r="G806" s="63">
        <f>VLOOKUP(D806,upahbahan,3,FALSE)</f>
        <v>100000</v>
      </c>
      <c r="H806" s="63">
        <f>F806*G806</f>
        <v>3500.0000000000005</v>
      </c>
      <c r="I806" s="44"/>
      <c r="J806" s="44"/>
      <c r="K806" s="44"/>
      <c r="L806" s="152" t="s">
        <v>1248</v>
      </c>
      <c r="O806" s="65">
        <v>0.1</v>
      </c>
    </row>
    <row r="807" spans="3:15" s="59" customFormat="1" ht="21" customHeight="1">
      <c r="C807" s="588">
        <v>2</v>
      </c>
      <c r="D807" s="56" t="s">
        <v>10</v>
      </c>
      <c r="E807" s="577" t="s">
        <v>6</v>
      </c>
      <c r="F807" s="62">
        <v>5.8000000000000003E-2</v>
      </c>
      <c r="G807" s="63">
        <f>VLOOKUP(D807,upahbahan,3,FALSE)</f>
        <v>135000</v>
      </c>
      <c r="H807" s="63">
        <f>F807*G807</f>
        <v>7830</v>
      </c>
      <c r="I807" s="44"/>
      <c r="J807" s="44"/>
      <c r="K807" s="44"/>
    </row>
    <row r="808" spans="3:15" s="59" customFormat="1" ht="21" customHeight="1">
      <c r="C808" s="588">
        <v>3</v>
      </c>
      <c r="D808" s="56" t="s">
        <v>18</v>
      </c>
      <c r="E808" s="577" t="s">
        <v>6</v>
      </c>
      <c r="F808" s="62">
        <v>6.0000000000000001E-3</v>
      </c>
      <c r="G808" s="63">
        <f>VLOOKUP(D808,upahbahan,3,FALSE)</f>
        <v>150000</v>
      </c>
      <c r="H808" s="63">
        <f>F808*G808</f>
        <v>900</v>
      </c>
      <c r="I808" s="44"/>
      <c r="J808" s="44"/>
      <c r="K808" s="44"/>
    </row>
    <row r="809" spans="3:15" s="59" customFormat="1" ht="21" customHeight="1">
      <c r="C809" s="588">
        <v>4</v>
      </c>
      <c r="D809" s="56" t="s">
        <v>19</v>
      </c>
      <c r="E809" s="577" t="s">
        <v>6</v>
      </c>
      <c r="F809" s="62">
        <v>2E-3</v>
      </c>
      <c r="G809" s="63">
        <f>VLOOKUP(D809,upahbahan,3,FALSE)</f>
        <v>160000</v>
      </c>
      <c r="H809" s="63">
        <f>F809*G809</f>
        <v>320</v>
      </c>
      <c r="I809" s="44"/>
      <c r="J809" s="44"/>
      <c r="K809" s="44"/>
    </row>
    <row r="810" spans="3:15" s="59" customFormat="1" ht="21" customHeight="1">
      <c r="C810" s="450" t="s">
        <v>1208</v>
      </c>
      <c r="D810" s="67"/>
      <c r="E810" s="67"/>
      <c r="F810" s="142"/>
      <c r="G810" s="153"/>
      <c r="H810" s="63">
        <f>SUM(H806:H809)</f>
        <v>12550</v>
      </c>
      <c r="I810" s="154"/>
      <c r="J810" s="154"/>
      <c r="K810" s="154"/>
    </row>
    <row r="811" spans="3:15" s="59" customFormat="1" ht="21" customHeight="1">
      <c r="C811" s="61" t="s">
        <v>1209</v>
      </c>
      <c r="D811" s="56" t="s">
        <v>1210</v>
      </c>
      <c r="E811" s="57"/>
      <c r="F811" s="57"/>
      <c r="G811" s="57"/>
      <c r="H811" s="57"/>
      <c r="I811" s="44"/>
      <c r="J811" s="44"/>
      <c r="K811" s="44"/>
    </row>
    <row r="812" spans="3:15" s="59" customFormat="1" ht="21" customHeight="1">
      <c r="C812" s="588">
        <v>1</v>
      </c>
      <c r="D812" s="72" t="s">
        <v>8183</v>
      </c>
      <c r="E812" s="73" t="s">
        <v>113</v>
      </c>
      <c r="F812" s="276">
        <v>1.5</v>
      </c>
      <c r="G812" s="63">
        <f>VLOOKUP(D812,upahbahan,3,FALSE)</f>
        <v>40000</v>
      </c>
      <c r="H812" s="63">
        <f>F812*G812</f>
        <v>60000</v>
      </c>
      <c r="I812" s="44"/>
      <c r="J812" s="44"/>
      <c r="K812" s="44"/>
    </row>
    <row r="813" spans="3:15" s="59" customFormat="1" ht="21" customHeight="1">
      <c r="C813" s="450" t="s">
        <v>1214</v>
      </c>
      <c r="D813" s="67"/>
      <c r="E813" s="67"/>
      <c r="F813" s="67"/>
      <c r="G813" s="69"/>
      <c r="H813" s="63">
        <f>SUM(H812:H812)</f>
        <v>60000</v>
      </c>
      <c r="I813" s="44"/>
      <c r="J813" s="44"/>
      <c r="K813" s="44"/>
    </row>
    <row r="814" spans="3:15" s="59" customFormat="1" ht="21" customHeight="1">
      <c r="C814" s="61" t="s">
        <v>1215</v>
      </c>
      <c r="D814" s="56" t="s">
        <v>1216</v>
      </c>
      <c r="E814" s="57"/>
      <c r="F814" s="57"/>
      <c r="G814" s="57"/>
      <c r="H814" s="57"/>
      <c r="I814" s="44"/>
      <c r="J814" s="44"/>
      <c r="K814" s="44"/>
    </row>
    <row r="815" spans="3:15" s="59" customFormat="1" ht="21" customHeight="1">
      <c r="C815" s="450" t="s">
        <v>1217</v>
      </c>
      <c r="D815" s="67"/>
      <c r="E815" s="67"/>
      <c r="F815" s="67"/>
      <c r="G815" s="69"/>
      <c r="H815" s="589">
        <v>0</v>
      </c>
      <c r="I815" s="44"/>
      <c r="J815" s="44"/>
      <c r="K815" s="44"/>
    </row>
    <row r="816" spans="3:15" s="59" customFormat="1" ht="21" customHeight="1">
      <c r="C816" s="288" t="s">
        <v>1218</v>
      </c>
      <c r="D816" s="76" t="s">
        <v>1219</v>
      </c>
      <c r="E816" s="77"/>
      <c r="F816" s="77"/>
      <c r="G816" s="78"/>
      <c r="H816" s="585">
        <f>H815+H813+H810</f>
        <v>72550</v>
      </c>
      <c r="I816" s="369"/>
      <c r="J816" s="44"/>
      <c r="K816" s="44"/>
    </row>
    <row r="817" spans="3:15" s="59" customFormat="1" ht="21" customHeight="1">
      <c r="C817" s="288" t="s">
        <v>1220</v>
      </c>
      <c r="D817" s="76" t="s">
        <v>1321</v>
      </c>
      <c r="E817" s="77"/>
      <c r="F817" s="78"/>
      <c r="G817" s="80">
        <v>0.1</v>
      </c>
      <c r="H817" s="63">
        <f>H816*G817</f>
        <v>7255</v>
      </c>
      <c r="I817" s="369"/>
      <c r="J817" s="44"/>
      <c r="K817" s="44"/>
    </row>
    <row r="818" spans="3:15" s="59" customFormat="1" ht="21" customHeight="1">
      <c r="C818" s="288" t="s">
        <v>1221</v>
      </c>
      <c r="D818" s="76" t="s">
        <v>1222</v>
      </c>
      <c r="E818" s="77"/>
      <c r="F818" s="77"/>
      <c r="G818" s="78"/>
      <c r="H818" s="799">
        <f>SUM(H816:H817)</f>
        <v>79805</v>
      </c>
      <c r="I818" s="369"/>
      <c r="J818" s="44"/>
      <c r="K818" s="44"/>
    </row>
    <row r="819" spans="3:15" ht="21" customHeight="1"/>
    <row r="820" spans="3:15" s="59" customFormat="1" ht="21" customHeight="1">
      <c r="C820" s="47" t="s">
        <v>3891</v>
      </c>
      <c r="D820" s="794" t="s">
        <v>8184</v>
      </c>
      <c r="E820" s="795"/>
      <c r="F820" s="795"/>
      <c r="G820" s="795"/>
      <c r="H820" s="795"/>
      <c r="I820" s="50">
        <f>ROUNDDOWN(H835,-2)</f>
        <v>99800</v>
      </c>
      <c r="J820" s="50" t="s">
        <v>6451</v>
      </c>
      <c r="K820" s="50" t="s">
        <v>8092</v>
      </c>
    </row>
    <row r="821" spans="3:15" s="59" customFormat="1" ht="21" customHeight="1">
      <c r="C821" s="591" t="s">
        <v>1195</v>
      </c>
      <c r="D821" s="591" t="s">
        <v>1196</v>
      </c>
      <c r="E821" s="591" t="s">
        <v>1197</v>
      </c>
      <c r="F821" s="591" t="s">
        <v>1198</v>
      </c>
      <c r="G821" s="591" t="s">
        <v>1199</v>
      </c>
      <c r="H821" s="591" t="s">
        <v>1200</v>
      </c>
      <c r="I821" s="44"/>
      <c r="J821" s="44"/>
      <c r="K821" s="44"/>
    </row>
    <row r="822" spans="3:15" s="59" customFormat="1" ht="21" customHeight="1">
      <c r="C822" s="61" t="s">
        <v>1201</v>
      </c>
      <c r="D822" s="56" t="s">
        <v>1202</v>
      </c>
      <c r="E822" s="57"/>
      <c r="F822" s="57"/>
      <c r="G822" s="57"/>
      <c r="H822" s="57"/>
      <c r="I822" s="44"/>
      <c r="J822" s="44"/>
      <c r="K822" s="44"/>
      <c r="L822" s="152" t="s">
        <v>1247</v>
      </c>
    </row>
    <row r="823" spans="3:15" s="59" customFormat="1" ht="21" customHeight="1">
      <c r="C823" s="588">
        <v>1</v>
      </c>
      <c r="D823" s="56" t="s">
        <v>5</v>
      </c>
      <c r="E823" s="577" t="s">
        <v>6</v>
      </c>
      <c r="F823" s="62">
        <v>5.1999999999999998E-2</v>
      </c>
      <c r="G823" s="63">
        <f>VLOOKUP(D823,upahbahan,3,FALSE)</f>
        <v>100000</v>
      </c>
      <c r="H823" s="63">
        <f>F823*G823</f>
        <v>5200</v>
      </c>
      <c r="I823" s="44"/>
      <c r="J823" s="44"/>
      <c r="K823" s="44"/>
      <c r="L823" s="152" t="s">
        <v>1248</v>
      </c>
      <c r="O823" s="65">
        <v>0.1</v>
      </c>
    </row>
    <row r="824" spans="3:15" s="59" customFormat="1" ht="21" customHeight="1">
      <c r="C824" s="588">
        <v>2</v>
      </c>
      <c r="D824" s="56" t="s">
        <v>10</v>
      </c>
      <c r="E824" s="577" t="s">
        <v>6</v>
      </c>
      <c r="F824" s="62">
        <v>8.6999999999999994E-2</v>
      </c>
      <c r="G824" s="63">
        <f>VLOOKUP(D824,upahbahan,3,FALSE)</f>
        <v>135000</v>
      </c>
      <c r="H824" s="63">
        <f>F824*G824</f>
        <v>11745</v>
      </c>
      <c r="I824" s="44"/>
      <c r="J824" s="44"/>
      <c r="K824" s="44"/>
    </row>
    <row r="825" spans="3:15" s="59" customFormat="1" ht="21" customHeight="1">
      <c r="C825" s="588">
        <v>3</v>
      </c>
      <c r="D825" s="56" t="s">
        <v>18</v>
      </c>
      <c r="E825" s="577" t="s">
        <v>6</v>
      </c>
      <c r="F825" s="62">
        <v>8.9999999999999993E-3</v>
      </c>
      <c r="G825" s="63">
        <f>VLOOKUP(D825,upahbahan,3,FALSE)</f>
        <v>150000</v>
      </c>
      <c r="H825" s="63">
        <f>F825*G825</f>
        <v>1350</v>
      </c>
      <c r="I825" s="44"/>
      <c r="J825" s="44"/>
      <c r="K825" s="44"/>
    </row>
    <row r="826" spans="3:15" s="59" customFormat="1" ht="21" customHeight="1">
      <c r="C826" s="588">
        <v>4</v>
      </c>
      <c r="D826" s="56" t="s">
        <v>19</v>
      </c>
      <c r="E826" s="577" t="s">
        <v>6</v>
      </c>
      <c r="F826" s="62">
        <v>3.0000000000000001E-3</v>
      </c>
      <c r="G826" s="63">
        <f>VLOOKUP(D826,upahbahan,3,FALSE)</f>
        <v>160000</v>
      </c>
      <c r="H826" s="63">
        <f>F826*G826</f>
        <v>480</v>
      </c>
      <c r="I826" s="44"/>
      <c r="J826" s="44"/>
      <c r="K826" s="44"/>
    </row>
    <row r="827" spans="3:15" s="59" customFormat="1" ht="21" customHeight="1">
      <c r="C827" s="450" t="s">
        <v>1208</v>
      </c>
      <c r="D827" s="67"/>
      <c r="E827" s="67"/>
      <c r="F827" s="142"/>
      <c r="G827" s="153"/>
      <c r="H827" s="63">
        <f>SUM(H823:H826)</f>
        <v>18775</v>
      </c>
      <c r="I827" s="154"/>
      <c r="J827" s="154"/>
      <c r="K827" s="154"/>
    </row>
    <row r="828" spans="3:15" s="59" customFormat="1" ht="21" customHeight="1">
      <c r="C828" s="61" t="s">
        <v>1209</v>
      </c>
      <c r="D828" s="56" t="s">
        <v>1210</v>
      </c>
      <c r="E828" s="57"/>
      <c r="F828" s="57"/>
      <c r="G828" s="57"/>
      <c r="H828" s="57"/>
      <c r="I828" s="44"/>
      <c r="J828" s="44"/>
      <c r="K828" s="44"/>
    </row>
    <row r="829" spans="3:15" s="59" customFormat="1" ht="21" customHeight="1">
      <c r="C829" s="588">
        <v>1</v>
      </c>
      <c r="D829" s="72" t="s">
        <v>8185</v>
      </c>
      <c r="E829" s="73" t="s">
        <v>113</v>
      </c>
      <c r="F829" s="276">
        <v>1.5</v>
      </c>
      <c r="G829" s="63">
        <f>VLOOKUP(D829,upahbahan,3,FALSE)</f>
        <v>48000</v>
      </c>
      <c r="H829" s="63">
        <f>F829*G829</f>
        <v>72000</v>
      </c>
      <c r="I829" s="44"/>
      <c r="J829" s="44"/>
      <c r="K829" s="44"/>
    </row>
    <row r="830" spans="3:15" s="59" customFormat="1" ht="21" customHeight="1">
      <c r="C830" s="450" t="s">
        <v>1214</v>
      </c>
      <c r="D830" s="67"/>
      <c r="E830" s="67"/>
      <c r="F830" s="67"/>
      <c r="G830" s="69"/>
      <c r="H830" s="63">
        <f>SUM(H829:H829)</f>
        <v>72000</v>
      </c>
      <c r="I830" s="44"/>
      <c r="J830" s="44"/>
      <c r="K830" s="44"/>
    </row>
    <row r="831" spans="3:15" s="59" customFormat="1" ht="21" customHeight="1">
      <c r="C831" s="61" t="s">
        <v>1215</v>
      </c>
      <c r="D831" s="56" t="s">
        <v>1216</v>
      </c>
      <c r="E831" s="57"/>
      <c r="F831" s="57"/>
      <c r="G831" s="57"/>
      <c r="H831" s="57"/>
      <c r="I831" s="44"/>
      <c r="J831" s="44"/>
      <c r="K831" s="44"/>
    </row>
    <row r="832" spans="3:15" s="59" customFormat="1" ht="21" customHeight="1">
      <c r="C832" s="450" t="s">
        <v>1217</v>
      </c>
      <c r="D832" s="67"/>
      <c r="E832" s="67"/>
      <c r="F832" s="67"/>
      <c r="G832" s="69"/>
      <c r="H832" s="589">
        <v>0</v>
      </c>
      <c r="I832" s="44"/>
      <c r="J832" s="44"/>
      <c r="K832" s="44"/>
    </row>
    <row r="833" spans="3:15" s="59" customFormat="1" ht="21" customHeight="1">
      <c r="C833" s="288" t="s">
        <v>1218</v>
      </c>
      <c r="D833" s="76" t="s">
        <v>1219</v>
      </c>
      <c r="E833" s="77"/>
      <c r="F833" s="77"/>
      <c r="G833" s="78"/>
      <c r="H833" s="585">
        <f>H832+H830+H827</f>
        <v>90775</v>
      </c>
      <c r="I833" s="369"/>
      <c r="J833" s="44"/>
      <c r="K833" s="44"/>
    </row>
    <row r="834" spans="3:15" s="59" customFormat="1" ht="21" customHeight="1">
      <c r="C834" s="288" t="s">
        <v>1220</v>
      </c>
      <c r="D834" s="76" t="s">
        <v>1321</v>
      </c>
      <c r="E834" s="77"/>
      <c r="F834" s="78"/>
      <c r="G834" s="80">
        <v>0.1</v>
      </c>
      <c r="H834" s="63">
        <f>H833*G834</f>
        <v>9077.5</v>
      </c>
      <c r="I834" s="369"/>
      <c r="J834" s="44"/>
      <c r="K834" s="44"/>
    </row>
    <row r="835" spans="3:15" s="59" customFormat="1" ht="21" customHeight="1">
      <c r="C835" s="288" t="s">
        <v>1221</v>
      </c>
      <c r="D835" s="76" t="s">
        <v>1222</v>
      </c>
      <c r="E835" s="77"/>
      <c r="F835" s="77"/>
      <c r="G835" s="78"/>
      <c r="H835" s="799">
        <f>SUM(H833:H834)</f>
        <v>99852.5</v>
      </c>
      <c r="I835" s="369"/>
      <c r="J835" s="44"/>
      <c r="K835" s="44"/>
    </row>
    <row r="836" spans="3:15" ht="21" customHeight="1"/>
    <row r="837" spans="3:15" s="59" customFormat="1" ht="21" customHeight="1">
      <c r="C837" s="47" t="s">
        <v>3894</v>
      </c>
      <c r="D837" s="794" t="s">
        <v>8186</v>
      </c>
      <c r="E837" s="795"/>
      <c r="F837" s="795"/>
      <c r="G837" s="795"/>
      <c r="H837" s="795"/>
      <c r="I837" s="50">
        <f>ROUNDDOWN(H852,-2)</f>
        <v>136700</v>
      </c>
      <c r="J837" s="50" t="s">
        <v>6451</v>
      </c>
      <c r="K837" s="50" t="s">
        <v>8092</v>
      </c>
    </row>
    <row r="838" spans="3:15" s="59" customFormat="1" ht="21" customHeight="1">
      <c r="C838" s="591" t="s">
        <v>1195</v>
      </c>
      <c r="D838" s="591" t="s">
        <v>1196</v>
      </c>
      <c r="E838" s="591" t="s">
        <v>1197</v>
      </c>
      <c r="F838" s="591" t="s">
        <v>1198</v>
      </c>
      <c r="G838" s="591" t="s">
        <v>1199</v>
      </c>
      <c r="H838" s="591" t="s">
        <v>1200</v>
      </c>
      <c r="I838" s="44"/>
      <c r="J838" s="44"/>
      <c r="K838" s="44"/>
    </row>
    <row r="839" spans="3:15" s="59" customFormat="1" ht="21" customHeight="1">
      <c r="C839" s="61" t="s">
        <v>1201</v>
      </c>
      <c r="D839" s="56" t="s">
        <v>1202</v>
      </c>
      <c r="E839" s="57"/>
      <c r="F839" s="57"/>
      <c r="G839" s="57"/>
      <c r="H839" s="57"/>
      <c r="I839" s="44"/>
      <c r="J839" s="44"/>
      <c r="K839" s="44"/>
      <c r="L839" s="152" t="s">
        <v>1247</v>
      </c>
    </row>
    <row r="840" spans="3:15" s="59" customFormat="1" ht="21" customHeight="1">
      <c r="C840" s="588">
        <v>1</v>
      </c>
      <c r="D840" s="56" t="s">
        <v>5</v>
      </c>
      <c r="E840" s="577" t="s">
        <v>6</v>
      </c>
      <c r="F840" s="62">
        <v>6.9000000000000006E-2</v>
      </c>
      <c r="G840" s="63">
        <f>VLOOKUP(D840,upahbahan,3,FALSE)</f>
        <v>100000</v>
      </c>
      <c r="H840" s="63">
        <f>F840*G840</f>
        <v>6900.0000000000009</v>
      </c>
      <c r="I840" s="44"/>
      <c r="J840" s="44"/>
      <c r="K840" s="44"/>
      <c r="L840" s="152" t="s">
        <v>1248</v>
      </c>
      <c r="O840" s="65">
        <v>0.1</v>
      </c>
    </row>
    <row r="841" spans="3:15" s="59" customFormat="1" ht="21" customHeight="1">
      <c r="C841" s="588">
        <v>2</v>
      </c>
      <c r="D841" s="56" t="s">
        <v>10</v>
      </c>
      <c r="E841" s="577" t="s">
        <v>6</v>
      </c>
      <c r="F841" s="62">
        <v>0.115</v>
      </c>
      <c r="G841" s="63">
        <f>VLOOKUP(D841,upahbahan,3,FALSE)</f>
        <v>135000</v>
      </c>
      <c r="H841" s="63">
        <f>F841*G841</f>
        <v>15525</v>
      </c>
      <c r="I841" s="44"/>
      <c r="J841" s="44"/>
      <c r="K841" s="44"/>
    </row>
    <row r="842" spans="3:15" s="59" customFormat="1" ht="21" customHeight="1">
      <c r="C842" s="588">
        <v>3</v>
      </c>
      <c r="D842" s="56" t="s">
        <v>18</v>
      </c>
      <c r="E842" s="577" t="s">
        <v>6</v>
      </c>
      <c r="F842" s="62">
        <v>1.0999999999999999E-2</v>
      </c>
      <c r="G842" s="63">
        <f>VLOOKUP(D842,upahbahan,3,FALSE)</f>
        <v>150000</v>
      </c>
      <c r="H842" s="63">
        <f>F842*G842</f>
        <v>1650</v>
      </c>
      <c r="I842" s="44"/>
      <c r="J842" s="44"/>
      <c r="K842" s="44"/>
    </row>
    <row r="843" spans="3:15" s="59" customFormat="1" ht="21" customHeight="1">
      <c r="C843" s="588">
        <v>4</v>
      </c>
      <c r="D843" s="56" t="s">
        <v>19</v>
      </c>
      <c r="E843" s="577" t="s">
        <v>6</v>
      </c>
      <c r="F843" s="62">
        <v>3.0000000000000001E-3</v>
      </c>
      <c r="G843" s="63">
        <f>VLOOKUP(D843,upahbahan,3,FALSE)</f>
        <v>160000</v>
      </c>
      <c r="H843" s="63">
        <f>F843*G843</f>
        <v>480</v>
      </c>
      <c r="I843" s="44"/>
      <c r="J843" s="44"/>
      <c r="K843" s="44"/>
    </row>
    <row r="844" spans="3:15" s="59" customFormat="1" ht="21" customHeight="1">
      <c r="C844" s="450" t="s">
        <v>1208</v>
      </c>
      <c r="D844" s="67"/>
      <c r="E844" s="67"/>
      <c r="F844" s="142"/>
      <c r="G844" s="153"/>
      <c r="H844" s="63">
        <f>SUM(H840:H843)</f>
        <v>24555</v>
      </c>
      <c r="I844" s="154"/>
      <c r="J844" s="154"/>
      <c r="K844" s="154"/>
    </row>
    <row r="845" spans="3:15" s="59" customFormat="1" ht="21" customHeight="1">
      <c r="C845" s="61" t="s">
        <v>1209</v>
      </c>
      <c r="D845" s="56" t="s">
        <v>1210</v>
      </c>
      <c r="E845" s="57"/>
      <c r="F845" s="57"/>
      <c r="G845" s="57"/>
      <c r="H845" s="57"/>
      <c r="I845" s="44"/>
      <c r="J845" s="44"/>
      <c r="K845" s="44"/>
    </row>
    <row r="846" spans="3:15" s="59" customFormat="1" ht="21" customHeight="1">
      <c r="C846" s="588">
        <v>1</v>
      </c>
      <c r="D846" s="72" t="s">
        <v>8187</v>
      </c>
      <c r="E846" s="73" t="s">
        <v>113</v>
      </c>
      <c r="F846" s="276">
        <v>1.5</v>
      </c>
      <c r="G846" s="63">
        <f>VLOOKUP(D846,upahbahan,3,FALSE)</f>
        <v>66500</v>
      </c>
      <c r="H846" s="63">
        <f>F846*G846</f>
        <v>99750</v>
      </c>
      <c r="I846" s="44"/>
      <c r="J846" s="44"/>
      <c r="K846" s="44"/>
    </row>
    <row r="847" spans="3:15" s="59" customFormat="1" ht="21" customHeight="1">
      <c r="C847" s="450" t="s">
        <v>1214</v>
      </c>
      <c r="D847" s="67"/>
      <c r="E847" s="67"/>
      <c r="F847" s="67"/>
      <c r="G847" s="69"/>
      <c r="H847" s="63">
        <f>SUM(H846:H846)</f>
        <v>99750</v>
      </c>
      <c r="I847" s="44"/>
      <c r="J847" s="44"/>
      <c r="K847" s="44"/>
    </row>
    <row r="848" spans="3:15" s="59" customFormat="1" ht="21" customHeight="1">
      <c r="C848" s="61" t="s">
        <v>1215</v>
      </c>
      <c r="D848" s="56" t="s">
        <v>1216</v>
      </c>
      <c r="E848" s="57"/>
      <c r="F848" s="57"/>
      <c r="G848" s="57"/>
      <c r="H848" s="57"/>
      <c r="I848" s="44"/>
      <c r="J848" s="44"/>
      <c r="K848" s="44"/>
    </row>
    <row r="849" spans="3:15" s="59" customFormat="1" ht="21" customHeight="1">
      <c r="C849" s="450" t="s">
        <v>1217</v>
      </c>
      <c r="D849" s="67"/>
      <c r="E849" s="67"/>
      <c r="F849" s="67"/>
      <c r="G849" s="69"/>
      <c r="H849" s="589">
        <v>0</v>
      </c>
      <c r="I849" s="44"/>
      <c r="J849" s="44"/>
      <c r="K849" s="44"/>
    </row>
    <row r="850" spans="3:15" s="59" customFormat="1" ht="21" customHeight="1">
      <c r="C850" s="288" t="s">
        <v>1218</v>
      </c>
      <c r="D850" s="76" t="s">
        <v>1219</v>
      </c>
      <c r="E850" s="77"/>
      <c r="F850" s="77"/>
      <c r="G850" s="78"/>
      <c r="H850" s="585">
        <f>H849+H847+H844</f>
        <v>124305</v>
      </c>
      <c r="I850" s="369"/>
      <c r="J850" s="44"/>
      <c r="K850" s="44"/>
    </row>
    <row r="851" spans="3:15" s="59" customFormat="1" ht="21" customHeight="1">
      <c r="C851" s="288" t="s">
        <v>1220</v>
      </c>
      <c r="D851" s="76" t="s">
        <v>1321</v>
      </c>
      <c r="E851" s="77"/>
      <c r="F851" s="78"/>
      <c r="G851" s="80">
        <v>0.1</v>
      </c>
      <c r="H851" s="63">
        <f>H850*G851</f>
        <v>12430.5</v>
      </c>
      <c r="I851" s="369"/>
      <c r="J851" s="44"/>
      <c r="K851" s="44"/>
    </row>
    <row r="852" spans="3:15" s="59" customFormat="1" ht="21" customHeight="1">
      <c r="C852" s="288" t="s">
        <v>1221</v>
      </c>
      <c r="D852" s="76" t="s">
        <v>1222</v>
      </c>
      <c r="E852" s="77"/>
      <c r="F852" s="77"/>
      <c r="G852" s="78"/>
      <c r="H852" s="799">
        <f>SUM(H850:H851)</f>
        <v>136735.5</v>
      </c>
      <c r="I852" s="369"/>
      <c r="J852" s="44"/>
      <c r="K852" s="44"/>
    </row>
    <row r="853" spans="3:15" ht="21" customHeight="1"/>
    <row r="854" spans="3:15" s="59" customFormat="1" ht="21" customHeight="1">
      <c r="C854" s="47" t="s">
        <v>3896</v>
      </c>
      <c r="D854" s="794" t="s">
        <v>8188</v>
      </c>
      <c r="E854" s="795"/>
      <c r="F854" s="795"/>
      <c r="G854" s="795"/>
      <c r="H854" s="795"/>
      <c r="I854" s="50">
        <f>ROUNDDOWN(H869,-2)</f>
        <v>179600</v>
      </c>
      <c r="J854" s="50" t="s">
        <v>6451</v>
      </c>
      <c r="K854" s="50" t="s">
        <v>8092</v>
      </c>
    </row>
    <row r="855" spans="3:15" s="59" customFormat="1" ht="21" customHeight="1">
      <c r="C855" s="591" t="s">
        <v>1195</v>
      </c>
      <c r="D855" s="591" t="s">
        <v>1196</v>
      </c>
      <c r="E855" s="591" t="s">
        <v>1197</v>
      </c>
      <c r="F855" s="591" t="s">
        <v>1198</v>
      </c>
      <c r="G855" s="591" t="s">
        <v>1199</v>
      </c>
      <c r="H855" s="591" t="s">
        <v>1200</v>
      </c>
      <c r="I855" s="44"/>
      <c r="J855" s="44"/>
      <c r="K855" s="44"/>
    </row>
    <row r="856" spans="3:15" s="59" customFormat="1" ht="21" customHeight="1">
      <c r="C856" s="61" t="s">
        <v>1201</v>
      </c>
      <c r="D856" s="56" t="s">
        <v>1202</v>
      </c>
      <c r="E856" s="57"/>
      <c r="F856" s="57"/>
      <c r="G856" s="57"/>
      <c r="H856" s="57"/>
      <c r="I856" s="44"/>
      <c r="J856" s="44"/>
      <c r="K856" s="44"/>
      <c r="L856" s="152" t="s">
        <v>1247</v>
      </c>
    </row>
    <row r="857" spans="3:15" s="59" customFormat="1" ht="21" customHeight="1">
      <c r="C857" s="588">
        <v>1</v>
      </c>
      <c r="D857" s="56" t="s">
        <v>5</v>
      </c>
      <c r="E857" s="577" t="s">
        <v>6</v>
      </c>
      <c r="F857" s="62">
        <v>8.5000000000000006E-2</v>
      </c>
      <c r="G857" s="63">
        <f>VLOOKUP(D857,upahbahan,3,FALSE)</f>
        <v>100000</v>
      </c>
      <c r="H857" s="63">
        <f>F857*G857</f>
        <v>8500</v>
      </c>
      <c r="I857" s="44"/>
      <c r="J857" s="44"/>
      <c r="K857" s="44"/>
      <c r="L857" s="152" t="s">
        <v>1248</v>
      </c>
      <c r="O857" s="65">
        <v>0.1</v>
      </c>
    </row>
    <row r="858" spans="3:15" s="59" customFormat="1" ht="21" customHeight="1">
      <c r="C858" s="588">
        <v>2</v>
      </c>
      <c r="D858" s="56" t="s">
        <v>10</v>
      </c>
      <c r="E858" s="577" t="s">
        <v>6</v>
      </c>
      <c r="F858" s="62">
        <v>0.14299999999999999</v>
      </c>
      <c r="G858" s="63">
        <f>VLOOKUP(D858,upahbahan,3,FALSE)</f>
        <v>135000</v>
      </c>
      <c r="H858" s="63">
        <f>F858*G858</f>
        <v>19305</v>
      </c>
      <c r="I858" s="44"/>
      <c r="J858" s="44"/>
      <c r="K858" s="44"/>
    </row>
    <row r="859" spans="3:15" s="59" customFormat="1" ht="21" customHeight="1">
      <c r="C859" s="588">
        <v>3</v>
      </c>
      <c r="D859" s="56" t="s">
        <v>18</v>
      </c>
      <c r="E859" s="577" t="s">
        <v>6</v>
      </c>
      <c r="F859" s="62">
        <v>1.4E-2</v>
      </c>
      <c r="G859" s="63">
        <f>VLOOKUP(D859,upahbahan,3,FALSE)</f>
        <v>150000</v>
      </c>
      <c r="H859" s="63">
        <f>F859*G859</f>
        <v>2100</v>
      </c>
      <c r="I859" s="44"/>
      <c r="J859" s="44"/>
      <c r="K859" s="44"/>
    </row>
    <row r="860" spans="3:15" s="59" customFormat="1" ht="21" customHeight="1">
      <c r="C860" s="588">
        <v>4</v>
      </c>
      <c r="D860" s="56" t="s">
        <v>19</v>
      </c>
      <c r="E860" s="577" t="s">
        <v>6</v>
      </c>
      <c r="F860" s="62">
        <v>4.0000000000000001E-3</v>
      </c>
      <c r="G860" s="63">
        <f>VLOOKUP(D860,upahbahan,3,FALSE)</f>
        <v>160000</v>
      </c>
      <c r="H860" s="63">
        <f>F860*G860</f>
        <v>640</v>
      </c>
      <c r="I860" s="44"/>
      <c r="J860" s="44"/>
      <c r="K860" s="44"/>
    </row>
    <row r="861" spans="3:15" s="59" customFormat="1" ht="21" customHeight="1">
      <c r="C861" s="450" t="s">
        <v>1208</v>
      </c>
      <c r="D861" s="67"/>
      <c r="E861" s="67"/>
      <c r="F861" s="142"/>
      <c r="G861" s="153"/>
      <c r="H861" s="63">
        <f>SUM(H857:H860)</f>
        <v>30545</v>
      </c>
      <c r="I861" s="154"/>
      <c r="J861" s="154"/>
      <c r="K861" s="154"/>
    </row>
    <row r="862" spans="3:15" s="59" customFormat="1" ht="21" customHeight="1">
      <c r="C862" s="61" t="s">
        <v>1209</v>
      </c>
      <c r="D862" s="56" t="s">
        <v>1210</v>
      </c>
      <c r="E862" s="57"/>
      <c r="F862" s="57"/>
      <c r="G862" s="57"/>
      <c r="H862" s="57"/>
      <c r="I862" s="44"/>
      <c r="J862" s="44"/>
      <c r="K862" s="44"/>
    </row>
    <row r="863" spans="3:15" s="59" customFormat="1" ht="21" customHeight="1">
      <c r="C863" s="588">
        <v>1</v>
      </c>
      <c r="D863" s="72" t="s">
        <v>8189</v>
      </c>
      <c r="E863" s="73" t="s">
        <v>113</v>
      </c>
      <c r="F863" s="276">
        <v>1.5</v>
      </c>
      <c r="G863" s="63">
        <f>VLOOKUP(D863,upahbahan,3,FALSE)</f>
        <v>88500</v>
      </c>
      <c r="H863" s="63">
        <f>F863*G863</f>
        <v>132750</v>
      </c>
      <c r="I863" s="44"/>
      <c r="J863" s="44"/>
      <c r="K863" s="44"/>
    </row>
    <row r="864" spans="3:15" s="59" customFormat="1" ht="21" customHeight="1">
      <c r="C864" s="450" t="s">
        <v>1214</v>
      </c>
      <c r="D864" s="67"/>
      <c r="E864" s="67"/>
      <c r="F864" s="67"/>
      <c r="G864" s="69"/>
      <c r="H864" s="63">
        <f>SUM(H863:H863)</f>
        <v>132750</v>
      </c>
      <c r="I864" s="44"/>
      <c r="J864" s="44"/>
      <c r="K864" s="44"/>
    </row>
    <row r="865" spans="3:15" s="59" customFormat="1" ht="21" customHeight="1">
      <c r="C865" s="61" t="s">
        <v>1215</v>
      </c>
      <c r="D865" s="56" t="s">
        <v>1216</v>
      </c>
      <c r="E865" s="57"/>
      <c r="F865" s="57"/>
      <c r="G865" s="57"/>
      <c r="H865" s="57"/>
      <c r="I865" s="44"/>
      <c r="J865" s="44"/>
      <c r="K865" s="44"/>
    </row>
    <row r="866" spans="3:15" s="59" customFormat="1" ht="21" customHeight="1">
      <c r="C866" s="450" t="s">
        <v>1217</v>
      </c>
      <c r="D866" s="67"/>
      <c r="E866" s="67"/>
      <c r="F866" s="67"/>
      <c r="G866" s="69"/>
      <c r="H866" s="589">
        <v>0</v>
      </c>
      <c r="I866" s="44"/>
      <c r="J866" s="44"/>
      <c r="K866" s="44"/>
    </row>
    <row r="867" spans="3:15" s="59" customFormat="1" ht="21" customHeight="1">
      <c r="C867" s="288" t="s">
        <v>1218</v>
      </c>
      <c r="D867" s="76" t="s">
        <v>1219</v>
      </c>
      <c r="E867" s="77"/>
      <c r="F867" s="77"/>
      <c r="G867" s="78"/>
      <c r="H867" s="585">
        <f>H866+H864+H861</f>
        <v>163295</v>
      </c>
      <c r="I867" s="369"/>
      <c r="J867" s="44"/>
      <c r="K867" s="44"/>
    </row>
    <row r="868" spans="3:15" s="59" customFormat="1" ht="21" customHeight="1">
      <c r="C868" s="288" t="s">
        <v>1220</v>
      </c>
      <c r="D868" s="76" t="s">
        <v>1321</v>
      </c>
      <c r="E868" s="77"/>
      <c r="F868" s="78"/>
      <c r="G868" s="80">
        <v>0.1</v>
      </c>
      <c r="H868" s="63">
        <f>H867*G868</f>
        <v>16329.5</v>
      </c>
      <c r="I868" s="369"/>
      <c r="J868" s="44"/>
      <c r="K868" s="44"/>
    </row>
    <row r="869" spans="3:15" s="59" customFormat="1" ht="21" customHeight="1">
      <c r="C869" s="288" t="s">
        <v>1221</v>
      </c>
      <c r="D869" s="76" t="s">
        <v>1222</v>
      </c>
      <c r="E869" s="77"/>
      <c r="F869" s="77"/>
      <c r="G869" s="78"/>
      <c r="H869" s="799">
        <f>SUM(H867:H868)</f>
        <v>179624.5</v>
      </c>
      <c r="I869" s="369"/>
      <c r="J869" s="44"/>
      <c r="K869" s="44"/>
    </row>
    <row r="870" spans="3:15" ht="21" customHeight="1"/>
    <row r="871" spans="3:15" s="59" customFormat="1" ht="21" customHeight="1">
      <c r="C871" s="47" t="s">
        <v>3898</v>
      </c>
      <c r="D871" s="794" t="s">
        <v>8190</v>
      </c>
      <c r="E871" s="795"/>
      <c r="F871" s="795"/>
      <c r="G871" s="795"/>
      <c r="H871" s="795"/>
      <c r="I871" s="50">
        <f>ROUNDDOWN(H886,-2)</f>
        <v>210900</v>
      </c>
      <c r="J871" s="50" t="s">
        <v>6451</v>
      </c>
      <c r="K871" s="50" t="s">
        <v>8092</v>
      </c>
    </row>
    <row r="872" spans="3:15" s="59" customFormat="1" ht="21" customHeight="1">
      <c r="C872" s="591" t="s">
        <v>1195</v>
      </c>
      <c r="D872" s="591" t="s">
        <v>1196</v>
      </c>
      <c r="E872" s="591" t="s">
        <v>1197</v>
      </c>
      <c r="F872" s="591" t="s">
        <v>1198</v>
      </c>
      <c r="G872" s="591" t="s">
        <v>1199</v>
      </c>
      <c r="H872" s="591" t="s">
        <v>1200</v>
      </c>
      <c r="I872" s="44"/>
      <c r="J872" s="44"/>
      <c r="K872" s="44"/>
    </row>
    <row r="873" spans="3:15" s="59" customFormat="1" ht="21" customHeight="1">
      <c r="C873" s="61" t="s">
        <v>1201</v>
      </c>
      <c r="D873" s="56" t="s">
        <v>1202</v>
      </c>
      <c r="E873" s="57"/>
      <c r="F873" s="57"/>
      <c r="G873" s="57"/>
      <c r="H873" s="57"/>
      <c r="I873" s="44"/>
      <c r="J873" s="44"/>
      <c r="K873" s="44"/>
      <c r="L873" s="152" t="s">
        <v>1247</v>
      </c>
    </row>
    <row r="874" spans="3:15" s="59" customFormat="1" ht="21" customHeight="1">
      <c r="C874" s="588">
        <v>1</v>
      </c>
      <c r="D874" s="56" t="s">
        <v>5</v>
      </c>
      <c r="E874" s="577" t="s">
        <v>6</v>
      </c>
      <c r="F874" s="62">
        <v>0.104</v>
      </c>
      <c r="G874" s="63">
        <f>VLOOKUP(D874,upahbahan,3,FALSE)</f>
        <v>100000</v>
      </c>
      <c r="H874" s="63">
        <f>F874*G874</f>
        <v>10400</v>
      </c>
      <c r="I874" s="44"/>
      <c r="J874" s="44"/>
      <c r="K874" s="44"/>
      <c r="L874" s="152" t="s">
        <v>1248</v>
      </c>
      <c r="O874" s="65">
        <v>0.1</v>
      </c>
    </row>
    <row r="875" spans="3:15" s="59" customFormat="1" ht="21" customHeight="1">
      <c r="C875" s="588">
        <v>2</v>
      </c>
      <c r="D875" s="56" t="s">
        <v>10</v>
      </c>
      <c r="E875" s="577" t="s">
        <v>6</v>
      </c>
      <c r="F875" s="62">
        <v>0.17399999999999999</v>
      </c>
      <c r="G875" s="63">
        <f>VLOOKUP(D875,upahbahan,3,FALSE)</f>
        <v>135000</v>
      </c>
      <c r="H875" s="63">
        <f>F875*G875</f>
        <v>23490</v>
      </c>
      <c r="I875" s="44"/>
      <c r="J875" s="44"/>
      <c r="K875" s="44"/>
    </row>
    <row r="876" spans="3:15" s="59" customFormat="1" ht="21" customHeight="1">
      <c r="C876" s="588">
        <v>3</v>
      </c>
      <c r="D876" s="56" t="s">
        <v>18</v>
      </c>
      <c r="E876" s="577" t="s">
        <v>6</v>
      </c>
      <c r="F876" s="62">
        <v>1.7000000000000001E-2</v>
      </c>
      <c r="G876" s="63">
        <f>VLOOKUP(D876,upahbahan,3,FALSE)</f>
        <v>150000</v>
      </c>
      <c r="H876" s="63">
        <f>F876*G876</f>
        <v>2550</v>
      </c>
      <c r="I876" s="44"/>
      <c r="J876" s="44"/>
      <c r="K876" s="44"/>
    </row>
    <row r="877" spans="3:15" s="59" customFormat="1" ht="21" customHeight="1">
      <c r="C877" s="588">
        <v>4</v>
      </c>
      <c r="D877" s="56" t="s">
        <v>19</v>
      </c>
      <c r="E877" s="577" t="s">
        <v>6</v>
      </c>
      <c r="F877" s="62">
        <v>5.0000000000000001E-3</v>
      </c>
      <c r="G877" s="63">
        <f>VLOOKUP(D877,upahbahan,3,FALSE)</f>
        <v>160000</v>
      </c>
      <c r="H877" s="63">
        <f>F877*G877</f>
        <v>800</v>
      </c>
      <c r="I877" s="44"/>
      <c r="J877" s="44"/>
      <c r="K877" s="44"/>
    </row>
    <row r="878" spans="3:15" s="59" customFormat="1" ht="21" customHeight="1">
      <c r="C878" s="450" t="s">
        <v>1208</v>
      </c>
      <c r="D878" s="67"/>
      <c r="E878" s="67"/>
      <c r="F878" s="142"/>
      <c r="G878" s="153"/>
      <c r="H878" s="63">
        <f>SUM(H874:H877)</f>
        <v>37240</v>
      </c>
      <c r="I878" s="154"/>
      <c r="J878" s="154"/>
      <c r="K878" s="154"/>
    </row>
    <row r="879" spans="3:15" s="59" customFormat="1" ht="21" customHeight="1">
      <c r="C879" s="61" t="s">
        <v>1209</v>
      </c>
      <c r="D879" s="56" t="s">
        <v>1210</v>
      </c>
      <c r="E879" s="57"/>
      <c r="F879" s="57"/>
      <c r="G879" s="57"/>
      <c r="H879" s="57"/>
      <c r="I879" s="44"/>
      <c r="J879" s="44"/>
      <c r="K879" s="44"/>
    </row>
    <row r="880" spans="3:15" s="59" customFormat="1" ht="21" customHeight="1">
      <c r="C880" s="588">
        <v>1</v>
      </c>
      <c r="D880" s="72" t="s">
        <v>8191</v>
      </c>
      <c r="E880" s="73" t="s">
        <v>113</v>
      </c>
      <c r="F880" s="276">
        <v>1.5</v>
      </c>
      <c r="G880" s="63">
        <f>VLOOKUP(D880,upahbahan,3,FALSE)</f>
        <v>103000</v>
      </c>
      <c r="H880" s="63">
        <f>F880*G880</f>
        <v>154500</v>
      </c>
      <c r="I880" s="44"/>
      <c r="J880" s="44"/>
      <c r="K880" s="44"/>
    </row>
    <row r="881" spans="3:15" s="59" customFormat="1" ht="21" customHeight="1">
      <c r="C881" s="450" t="s">
        <v>1214</v>
      </c>
      <c r="D881" s="67"/>
      <c r="E881" s="67"/>
      <c r="F881" s="67"/>
      <c r="G881" s="69"/>
      <c r="H881" s="63">
        <f>SUM(H880:H880)</f>
        <v>154500</v>
      </c>
      <c r="I881" s="44"/>
      <c r="J881" s="44"/>
      <c r="K881" s="44"/>
    </row>
    <row r="882" spans="3:15" s="59" customFormat="1" ht="21" customHeight="1">
      <c r="C882" s="61" t="s">
        <v>1215</v>
      </c>
      <c r="D882" s="56" t="s">
        <v>1216</v>
      </c>
      <c r="E882" s="57"/>
      <c r="F882" s="57"/>
      <c r="G882" s="57"/>
      <c r="H882" s="57"/>
      <c r="I882" s="44"/>
      <c r="J882" s="44"/>
      <c r="K882" s="44"/>
    </row>
    <row r="883" spans="3:15" s="59" customFormat="1" ht="21" customHeight="1">
      <c r="C883" s="450" t="s">
        <v>1217</v>
      </c>
      <c r="D883" s="67"/>
      <c r="E883" s="67"/>
      <c r="F883" s="67"/>
      <c r="G883" s="69"/>
      <c r="H883" s="589">
        <v>0</v>
      </c>
      <c r="I883" s="44"/>
      <c r="J883" s="44"/>
      <c r="K883" s="44"/>
    </row>
    <row r="884" spans="3:15" s="59" customFormat="1" ht="21" customHeight="1">
      <c r="C884" s="288" t="s">
        <v>1218</v>
      </c>
      <c r="D884" s="76" t="s">
        <v>1219</v>
      </c>
      <c r="E884" s="77"/>
      <c r="F884" s="77"/>
      <c r="G884" s="78"/>
      <c r="H884" s="585">
        <f>H883+H881+H878</f>
        <v>191740</v>
      </c>
      <c r="I884" s="369"/>
      <c r="J884" s="44"/>
      <c r="K884" s="44"/>
    </row>
    <row r="885" spans="3:15" s="59" customFormat="1" ht="21" customHeight="1">
      <c r="C885" s="288" t="s">
        <v>1220</v>
      </c>
      <c r="D885" s="76" t="s">
        <v>1321</v>
      </c>
      <c r="E885" s="77"/>
      <c r="F885" s="78"/>
      <c r="G885" s="80">
        <v>0.1</v>
      </c>
      <c r="H885" s="63">
        <f>H884*G885</f>
        <v>19174</v>
      </c>
      <c r="I885" s="369"/>
      <c r="J885" s="44"/>
      <c r="K885" s="44"/>
    </row>
    <row r="886" spans="3:15" s="59" customFormat="1" ht="21" customHeight="1">
      <c r="C886" s="288" t="s">
        <v>1221</v>
      </c>
      <c r="D886" s="76" t="s">
        <v>1222</v>
      </c>
      <c r="E886" s="77"/>
      <c r="F886" s="77"/>
      <c r="G886" s="78"/>
      <c r="H886" s="799">
        <f>SUM(H884:H885)</f>
        <v>210914</v>
      </c>
      <c r="I886" s="369"/>
      <c r="J886" s="44"/>
      <c r="K886" s="44"/>
    </row>
    <row r="887" spans="3:15" ht="21" customHeight="1"/>
    <row r="888" spans="3:15" s="59" customFormat="1" ht="21" customHeight="1">
      <c r="C888" s="47" t="s">
        <v>3900</v>
      </c>
      <c r="D888" s="794" t="s">
        <v>8192</v>
      </c>
      <c r="E888" s="795"/>
      <c r="F888" s="795"/>
      <c r="G888" s="795"/>
      <c r="H888" s="795"/>
      <c r="I888" s="50">
        <f>ROUNDDOWN(H903,-2)</f>
        <v>366200</v>
      </c>
      <c r="J888" s="50" t="s">
        <v>6451</v>
      </c>
      <c r="K888" s="50" t="s">
        <v>8092</v>
      </c>
    </row>
    <row r="889" spans="3:15" s="59" customFormat="1" ht="21" customHeight="1">
      <c r="C889" s="591" t="s">
        <v>1195</v>
      </c>
      <c r="D889" s="591" t="s">
        <v>1196</v>
      </c>
      <c r="E889" s="591" t="s">
        <v>1197</v>
      </c>
      <c r="F889" s="591" t="s">
        <v>1198</v>
      </c>
      <c r="G889" s="591" t="s">
        <v>1199</v>
      </c>
      <c r="H889" s="591" t="s">
        <v>1200</v>
      </c>
      <c r="I889" s="44"/>
      <c r="J889" s="44"/>
      <c r="K889" s="44"/>
    </row>
    <row r="890" spans="3:15" s="59" customFormat="1" ht="21" customHeight="1">
      <c r="C890" s="61" t="s">
        <v>1201</v>
      </c>
      <c r="D890" s="56" t="s">
        <v>1202</v>
      </c>
      <c r="E890" s="57"/>
      <c r="F890" s="57"/>
      <c r="G890" s="57"/>
      <c r="H890" s="57"/>
      <c r="I890" s="44"/>
      <c r="J890" s="44"/>
      <c r="K890" s="44"/>
      <c r="L890" s="152" t="s">
        <v>1247</v>
      </c>
    </row>
    <row r="891" spans="3:15" s="59" customFormat="1" ht="21" customHeight="1">
      <c r="C891" s="588">
        <v>1</v>
      </c>
      <c r="D891" s="56" t="s">
        <v>5</v>
      </c>
      <c r="E891" s="577" t="s">
        <v>6</v>
      </c>
      <c r="F891" s="62">
        <v>0.13800000000000001</v>
      </c>
      <c r="G891" s="63">
        <f>VLOOKUP(D891,upahbahan,3,FALSE)</f>
        <v>100000</v>
      </c>
      <c r="H891" s="63">
        <f>F891*G891</f>
        <v>13800.000000000002</v>
      </c>
      <c r="I891" s="44"/>
      <c r="J891" s="44"/>
      <c r="K891" s="44"/>
      <c r="L891" s="152" t="s">
        <v>1248</v>
      </c>
      <c r="O891" s="65">
        <v>0.1</v>
      </c>
    </row>
    <row r="892" spans="3:15" s="59" customFormat="1" ht="21" customHeight="1">
      <c r="C892" s="588">
        <v>2</v>
      </c>
      <c r="D892" s="56" t="s">
        <v>10</v>
      </c>
      <c r="E892" s="577" t="s">
        <v>6</v>
      </c>
      <c r="F892" s="62">
        <v>0.23</v>
      </c>
      <c r="G892" s="63">
        <f>VLOOKUP(D892,upahbahan,3,FALSE)</f>
        <v>135000</v>
      </c>
      <c r="H892" s="63">
        <f>F892*G892</f>
        <v>31050</v>
      </c>
      <c r="I892" s="44"/>
      <c r="J892" s="44"/>
      <c r="K892" s="44"/>
    </row>
    <row r="893" spans="3:15" s="59" customFormat="1" ht="21" customHeight="1">
      <c r="C893" s="588">
        <v>3</v>
      </c>
      <c r="D893" s="56" t="s">
        <v>18</v>
      </c>
      <c r="E893" s="577" t="s">
        <v>6</v>
      </c>
      <c r="F893" s="62">
        <v>2.3E-2</v>
      </c>
      <c r="G893" s="63">
        <f>VLOOKUP(D893,upahbahan,3,FALSE)</f>
        <v>150000</v>
      </c>
      <c r="H893" s="63">
        <f>F893*G893</f>
        <v>3450</v>
      </c>
      <c r="I893" s="44"/>
      <c r="J893" s="44"/>
      <c r="K893" s="44"/>
    </row>
    <row r="894" spans="3:15" s="59" customFormat="1" ht="21" customHeight="1">
      <c r="C894" s="588">
        <v>4</v>
      </c>
      <c r="D894" s="56" t="s">
        <v>19</v>
      </c>
      <c r="E894" s="577" t="s">
        <v>6</v>
      </c>
      <c r="F894" s="62">
        <v>7.0000000000000001E-3</v>
      </c>
      <c r="G894" s="63">
        <f>VLOOKUP(D894,upahbahan,3,FALSE)</f>
        <v>160000</v>
      </c>
      <c r="H894" s="63">
        <f>F894*G894</f>
        <v>1120</v>
      </c>
      <c r="I894" s="44"/>
      <c r="J894" s="44"/>
      <c r="K894" s="44"/>
    </row>
    <row r="895" spans="3:15" s="59" customFormat="1" ht="21" customHeight="1">
      <c r="C895" s="450" t="s">
        <v>1208</v>
      </c>
      <c r="D895" s="67"/>
      <c r="E895" s="67"/>
      <c r="F895" s="142"/>
      <c r="G895" s="153"/>
      <c r="H895" s="63">
        <f>SUM(H891:H894)</f>
        <v>49420</v>
      </c>
      <c r="I895" s="154"/>
      <c r="J895" s="154"/>
      <c r="K895" s="154"/>
    </row>
    <row r="896" spans="3:15" s="59" customFormat="1" ht="21" customHeight="1">
      <c r="C896" s="61" t="s">
        <v>1209</v>
      </c>
      <c r="D896" s="56" t="s">
        <v>1210</v>
      </c>
      <c r="E896" s="57"/>
      <c r="F896" s="57"/>
      <c r="G896" s="57"/>
      <c r="H896" s="57"/>
      <c r="I896" s="44"/>
      <c r="J896" s="44"/>
      <c r="K896" s="44"/>
    </row>
    <row r="897" spans="3:15" s="59" customFormat="1" ht="21" customHeight="1">
      <c r="C897" s="588">
        <v>1</v>
      </c>
      <c r="D897" s="72" t="s">
        <v>8193</v>
      </c>
      <c r="E897" s="73" t="s">
        <v>113</v>
      </c>
      <c r="F897" s="276">
        <v>1.5</v>
      </c>
      <c r="G897" s="63">
        <f>VLOOKUP(D897,upahbahan,3,FALSE)</f>
        <v>189000</v>
      </c>
      <c r="H897" s="63">
        <f>F897*G897</f>
        <v>283500</v>
      </c>
      <c r="I897" s="44"/>
      <c r="J897" s="44"/>
      <c r="K897" s="44"/>
    </row>
    <row r="898" spans="3:15" s="59" customFormat="1" ht="21" customHeight="1">
      <c r="C898" s="450" t="s">
        <v>1214</v>
      </c>
      <c r="D898" s="67"/>
      <c r="E898" s="67"/>
      <c r="F898" s="67"/>
      <c r="G898" s="69"/>
      <c r="H898" s="63">
        <f>SUM(H897:H897)</f>
        <v>283500</v>
      </c>
      <c r="I898" s="44"/>
      <c r="J898" s="44"/>
      <c r="K898" s="44"/>
    </row>
    <row r="899" spans="3:15" s="59" customFormat="1" ht="21" customHeight="1">
      <c r="C899" s="61" t="s">
        <v>1215</v>
      </c>
      <c r="D899" s="56" t="s">
        <v>1216</v>
      </c>
      <c r="E899" s="57"/>
      <c r="F899" s="57"/>
      <c r="G899" s="57"/>
      <c r="H899" s="57"/>
      <c r="I899" s="44"/>
      <c r="J899" s="44"/>
      <c r="K899" s="44"/>
    </row>
    <row r="900" spans="3:15" s="59" customFormat="1" ht="21" customHeight="1">
      <c r="C900" s="450" t="s">
        <v>1217</v>
      </c>
      <c r="D900" s="67"/>
      <c r="E900" s="67"/>
      <c r="F900" s="67"/>
      <c r="G900" s="69"/>
      <c r="H900" s="589">
        <v>0</v>
      </c>
      <c r="I900" s="44"/>
      <c r="J900" s="44"/>
      <c r="K900" s="44"/>
    </row>
    <row r="901" spans="3:15" s="59" customFormat="1" ht="21" customHeight="1">
      <c r="C901" s="288" t="s">
        <v>1218</v>
      </c>
      <c r="D901" s="76" t="s">
        <v>1219</v>
      </c>
      <c r="E901" s="77"/>
      <c r="F901" s="77"/>
      <c r="G901" s="78"/>
      <c r="H901" s="585">
        <f>H900+H898+H895</f>
        <v>332920</v>
      </c>
      <c r="I901" s="369"/>
      <c r="J901" s="44"/>
      <c r="K901" s="44"/>
    </row>
    <row r="902" spans="3:15" s="59" customFormat="1" ht="21" customHeight="1">
      <c r="C902" s="288" t="s">
        <v>1220</v>
      </c>
      <c r="D902" s="76" t="s">
        <v>1321</v>
      </c>
      <c r="E902" s="77"/>
      <c r="F902" s="78"/>
      <c r="G902" s="80">
        <v>0.1</v>
      </c>
      <c r="H902" s="63">
        <f>H901*G902</f>
        <v>33292</v>
      </c>
      <c r="I902" s="369"/>
      <c r="J902" s="44"/>
      <c r="K902" s="44"/>
    </row>
    <row r="903" spans="3:15" s="59" customFormat="1" ht="21" customHeight="1">
      <c r="C903" s="288" t="s">
        <v>1221</v>
      </c>
      <c r="D903" s="76" t="s">
        <v>1222</v>
      </c>
      <c r="E903" s="77"/>
      <c r="F903" s="77"/>
      <c r="G903" s="78"/>
      <c r="H903" s="799">
        <f>SUM(H901:H902)</f>
        <v>366212</v>
      </c>
      <c r="I903" s="369"/>
      <c r="J903" s="44"/>
      <c r="K903" s="44"/>
    </row>
    <row r="904" spans="3:15" ht="21" customHeight="1"/>
    <row r="905" spans="3:15" s="59" customFormat="1" ht="21" customHeight="1">
      <c r="C905" s="47" t="s">
        <v>3902</v>
      </c>
      <c r="D905" s="794" t="s">
        <v>8194</v>
      </c>
      <c r="E905" s="795"/>
      <c r="F905" s="795"/>
      <c r="G905" s="795"/>
      <c r="H905" s="795"/>
      <c r="I905" s="50">
        <f>ROUNDDOWN(H920,-2)</f>
        <v>407400</v>
      </c>
      <c r="J905" s="50" t="s">
        <v>6451</v>
      </c>
      <c r="K905" s="50" t="s">
        <v>8092</v>
      </c>
    </row>
    <row r="906" spans="3:15" s="59" customFormat="1" ht="21" customHeight="1">
      <c r="C906" s="591" t="s">
        <v>1195</v>
      </c>
      <c r="D906" s="591" t="s">
        <v>1196</v>
      </c>
      <c r="E906" s="591" t="s">
        <v>1197</v>
      </c>
      <c r="F906" s="591" t="s">
        <v>1198</v>
      </c>
      <c r="G906" s="591" t="s">
        <v>1199</v>
      </c>
      <c r="H906" s="591" t="s">
        <v>1200</v>
      </c>
      <c r="I906" s="44"/>
      <c r="J906" s="44"/>
      <c r="K906" s="44"/>
    </row>
    <row r="907" spans="3:15" s="59" customFormat="1" ht="21" customHeight="1">
      <c r="C907" s="61" t="s">
        <v>1201</v>
      </c>
      <c r="D907" s="56" t="s">
        <v>1202</v>
      </c>
      <c r="E907" s="57"/>
      <c r="F907" s="57"/>
      <c r="G907" s="57"/>
      <c r="H907" s="57"/>
      <c r="I907" s="44"/>
      <c r="J907" s="44"/>
      <c r="K907" s="44"/>
      <c r="L907" s="152" t="s">
        <v>1247</v>
      </c>
    </row>
    <row r="908" spans="3:15" s="59" customFormat="1" ht="21" customHeight="1">
      <c r="C908" s="588">
        <v>1</v>
      </c>
      <c r="D908" s="56" t="s">
        <v>5</v>
      </c>
      <c r="E908" s="577" t="s">
        <v>6</v>
      </c>
      <c r="F908" s="62">
        <v>0.17100000000000001</v>
      </c>
      <c r="G908" s="63">
        <f>VLOOKUP(D908,upahbahan,3,FALSE)</f>
        <v>100000</v>
      </c>
      <c r="H908" s="63">
        <f>F908*G908</f>
        <v>17100</v>
      </c>
      <c r="I908" s="44"/>
      <c r="J908" s="44"/>
      <c r="K908" s="44"/>
      <c r="L908" s="152" t="s">
        <v>1248</v>
      </c>
      <c r="O908" s="65">
        <v>0.1</v>
      </c>
    </row>
    <row r="909" spans="3:15" s="59" customFormat="1" ht="21" customHeight="1">
      <c r="C909" s="588">
        <v>2</v>
      </c>
      <c r="D909" s="56" t="s">
        <v>10</v>
      </c>
      <c r="E909" s="577" t="s">
        <v>6</v>
      </c>
      <c r="F909" s="62">
        <v>0.28499999999999998</v>
      </c>
      <c r="G909" s="63">
        <f>VLOOKUP(D909,upahbahan,3,FALSE)</f>
        <v>135000</v>
      </c>
      <c r="H909" s="63">
        <f>F909*G909</f>
        <v>38475</v>
      </c>
      <c r="I909" s="44"/>
      <c r="J909" s="44"/>
      <c r="K909" s="44"/>
    </row>
    <row r="910" spans="3:15" s="59" customFormat="1" ht="21" customHeight="1">
      <c r="C910" s="588">
        <v>3</v>
      </c>
      <c r="D910" s="56" t="s">
        <v>18</v>
      </c>
      <c r="E910" s="577" t="s">
        <v>6</v>
      </c>
      <c r="F910" s="62">
        <v>2.9000000000000001E-2</v>
      </c>
      <c r="G910" s="63">
        <f>VLOOKUP(D910,upahbahan,3,FALSE)</f>
        <v>150000</v>
      </c>
      <c r="H910" s="63">
        <f>F910*G910</f>
        <v>4350</v>
      </c>
      <c r="I910" s="44"/>
      <c r="J910" s="44"/>
      <c r="K910" s="44"/>
    </row>
    <row r="911" spans="3:15" s="59" customFormat="1" ht="21" customHeight="1">
      <c r="C911" s="588">
        <v>4</v>
      </c>
      <c r="D911" s="56" t="s">
        <v>19</v>
      </c>
      <c r="E911" s="577" t="s">
        <v>6</v>
      </c>
      <c r="F911" s="62">
        <v>8.9999999999999993E-3</v>
      </c>
      <c r="G911" s="63">
        <f>VLOOKUP(D911,upahbahan,3,FALSE)</f>
        <v>160000</v>
      </c>
      <c r="H911" s="63">
        <f>F911*G911</f>
        <v>1440</v>
      </c>
      <c r="I911" s="44"/>
      <c r="J911" s="44"/>
      <c r="K911" s="44"/>
    </row>
    <row r="912" spans="3:15" s="59" customFormat="1" ht="21" customHeight="1">
      <c r="C912" s="450" t="s">
        <v>1208</v>
      </c>
      <c r="D912" s="67"/>
      <c r="E912" s="67"/>
      <c r="F912" s="142"/>
      <c r="G912" s="153"/>
      <c r="H912" s="63">
        <f>SUM(H908:H911)</f>
        <v>61365</v>
      </c>
      <c r="I912" s="154"/>
      <c r="J912" s="154"/>
      <c r="K912" s="154"/>
    </row>
    <row r="913" spans="3:15" s="59" customFormat="1" ht="21" customHeight="1">
      <c r="C913" s="61" t="s">
        <v>1209</v>
      </c>
      <c r="D913" s="56" t="s">
        <v>1210</v>
      </c>
      <c r="E913" s="57"/>
      <c r="F913" s="57"/>
      <c r="G913" s="57"/>
      <c r="H913" s="57"/>
      <c r="I913" s="44"/>
      <c r="J913" s="44"/>
      <c r="K913" s="44"/>
    </row>
    <row r="914" spans="3:15" s="59" customFormat="1" ht="21" customHeight="1">
      <c r="C914" s="588">
        <v>1</v>
      </c>
      <c r="D914" s="72" t="s">
        <v>8195</v>
      </c>
      <c r="E914" s="73" t="s">
        <v>113</v>
      </c>
      <c r="F914" s="276">
        <v>1.5</v>
      </c>
      <c r="G914" s="63">
        <f>VLOOKUP(D914,upahbahan,3,FALSE)</f>
        <v>206000</v>
      </c>
      <c r="H914" s="63">
        <f>F914*G914</f>
        <v>309000</v>
      </c>
      <c r="I914" s="44"/>
      <c r="J914" s="44"/>
      <c r="K914" s="44"/>
    </row>
    <row r="915" spans="3:15" s="59" customFormat="1" ht="21" customHeight="1">
      <c r="C915" s="450" t="s">
        <v>1214</v>
      </c>
      <c r="D915" s="67"/>
      <c r="E915" s="67"/>
      <c r="F915" s="67"/>
      <c r="G915" s="69"/>
      <c r="H915" s="63">
        <f>SUM(H914:H914)</f>
        <v>309000</v>
      </c>
      <c r="I915" s="44"/>
      <c r="J915" s="44"/>
      <c r="K915" s="44"/>
    </row>
    <row r="916" spans="3:15" s="59" customFormat="1" ht="21" customHeight="1">
      <c r="C916" s="61" t="s">
        <v>1215</v>
      </c>
      <c r="D916" s="56" t="s">
        <v>1216</v>
      </c>
      <c r="E916" s="57"/>
      <c r="F916" s="57"/>
      <c r="G916" s="57"/>
      <c r="H916" s="57"/>
      <c r="I916" s="44"/>
      <c r="J916" s="44"/>
      <c r="K916" s="44"/>
    </row>
    <row r="917" spans="3:15" s="59" customFormat="1" ht="21" customHeight="1">
      <c r="C917" s="450" t="s">
        <v>1217</v>
      </c>
      <c r="D917" s="67"/>
      <c r="E917" s="67"/>
      <c r="F917" s="67"/>
      <c r="G917" s="69"/>
      <c r="H917" s="589">
        <v>0</v>
      </c>
      <c r="I917" s="44"/>
      <c r="J917" s="44"/>
      <c r="K917" s="44"/>
    </row>
    <row r="918" spans="3:15" s="59" customFormat="1" ht="21" customHeight="1">
      <c r="C918" s="288" t="s">
        <v>1218</v>
      </c>
      <c r="D918" s="76" t="s">
        <v>1219</v>
      </c>
      <c r="E918" s="77"/>
      <c r="F918" s="77"/>
      <c r="G918" s="78"/>
      <c r="H918" s="585">
        <f>H917+H915+H912</f>
        <v>370365</v>
      </c>
      <c r="I918" s="369"/>
      <c r="J918" s="44"/>
      <c r="K918" s="44"/>
    </row>
    <row r="919" spans="3:15" s="59" customFormat="1" ht="21" customHeight="1">
      <c r="C919" s="288" t="s">
        <v>1220</v>
      </c>
      <c r="D919" s="76" t="s">
        <v>1321</v>
      </c>
      <c r="E919" s="77"/>
      <c r="F919" s="78"/>
      <c r="G919" s="80">
        <v>0.1</v>
      </c>
      <c r="H919" s="63">
        <f>H918*G919</f>
        <v>37036.5</v>
      </c>
      <c r="I919" s="369"/>
      <c r="J919" s="44"/>
      <c r="K919" s="44"/>
    </row>
    <row r="920" spans="3:15" s="59" customFormat="1" ht="21" customHeight="1">
      <c r="C920" s="288" t="s">
        <v>1221</v>
      </c>
      <c r="D920" s="76" t="s">
        <v>1222</v>
      </c>
      <c r="E920" s="77"/>
      <c r="F920" s="77"/>
      <c r="G920" s="78"/>
      <c r="H920" s="799">
        <f>SUM(H918:H919)</f>
        <v>407401.5</v>
      </c>
      <c r="I920" s="369"/>
      <c r="J920" s="44"/>
      <c r="K920" s="44"/>
    </row>
    <row r="921" spans="3:15" ht="21" customHeight="1"/>
    <row r="922" spans="3:15" s="59" customFormat="1" ht="21" customHeight="1">
      <c r="C922" s="47" t="s">
        <v>3904</v>
      </c>
      <c r="D922" s="794" t="s">
        <v>8196</v>
      </c>
      <c r="E922" s="795"/>
      <c r="F922" s="795"/>
      <c r="G922" s="795"/>
      <c r="H922" s="795"/>
      <c r="I922" s="50">
        <f>ROUNDDOWN(H937,-2)</f>
        <v>687800</v>
      </c>
      <c r="J922" s="50" t="s">
        <v>6451</v>
      </c>
      <c r="K922" s="50" t="s">
        <v>8092</v>
      </c>
    </row>
    <row r="923" spans="3:15" s="59" customFormat="1" ht="21" customHeight="1">
      <c r="C923" s="591" t="s">
        <v>1195</v>
      </c>
      <c r="D923" s="591" t="s">
        <v>1196</v>
      </c>
      <c r="E923" s="591" t="s">
        <v>1197</v>
      </c>
      <c r="F923" s="591" t="s">
        <v>1198</v>
      </c>
      <c r="G923" s="591" t="s">
        <v>1199</v>
      </c>
      <c r="H923" s="591" t="s">
        <v>1200</v>
      </c>
      <c r="I923" s="44"/>
      <c r="J923" s="44"/>
      <c r="K923" s="44"/>
    </row>
    <row r="924" spans="3:15" s="59" customFormat="1" ht="21" customHeight="1">
      <c r="C924" s="61" t="s">
        <v>1201</v>
      </c>
      <c r="D924" s="56" t="s">
        <v>1202</v>
      </c>
      <c r="E924" s="57"/>
      <c r="F924" s="57"/>
      <c r="G924" s="57"/>
      <c r="H924" s="57"/>
      <c r="I924" s="44"/>
      <c r="J924" s="44"/>
      <c r="K924" s="44"/>
      <c r="L924" s="152" t="s">
        <v>1247</v>
      </c>
    </row>
    <row r="925" spans="3:15" s="59" customFormat="1" ht="21" customHeight="1">
      <c r="C925" s="588">
        <v>1</v>
      </c>
      <c r="D925" s="56" t="s">
        <v>5</v>
      </c>
      <c r="E925" s="577" t="s">
        <v>6</v>
      </c>
      <c r="F925" s="62">
        <v>0.23799999999999999</v>
      </c>
      <c r="G925" s="63">
        <f>VLOOKUP(D925,upahbahan,3,FALSE)</f>
        <v>100000</v>
      </c>
      <c r="H925" s="63">
        <f>F925*G925</f>
        <v>23800</v>
      </c>
      <c r="I925" s="44"/>
      <c r="J925" s="44"/>
      <c r="K925" s="44"/>
      <c r="L925" s="152" t="s">
        <v>1248</v>
      </c>
      <c r="O925" s="65">
        <v>0.1</v>
      </c>
    </row>
    <row r="926" spans="3:15" s="59" customFormat="1" ht="21" customHeight="1">
      <c r="C926" s="588">
        <v>2</v>
      </c>
      <c r="D926" s="56" t="s">
        <v>10</v>
      </c>
      <c r="E926" s="577" t="s">
        <v>6</v>
      </c>
      <c r="F926" s="62">
        <v>0.39700000000000002</v>
      </c>
      <c r="G926" s="63">
        <f>VLOOKUP(D926,upahbahan,3,FALSE)</f>
        <v>135000</v>
      </c>
      <c r="H926" s="63">
        <f>F926*G926</f>
        <v>53595</v>
      </c>
      <c r="I926" s="44"/>
      <c r="J926" s="44"/>
      <c r="K926" s="44"/>
    </row>
    <row r="927" spans="3:15" s="59" customFormat="1" ht="21" customHeight="1">
      <c r="C927" s="588">
        <v>3</v>
      </c>
      <c r="D927" s="56" t="s">
        <v>18</v>
      </c>
      <c r="E927" s="577" t="s">
        <v>6</v>
      </c>
      <c r="F927" s="62">
        <v>0.04</v>
      </c>
      <c r="G927" s="63">
        <f>VLOOKUP(D927,upahbahan,3,FALSE)</f>
        <v>150000</v>
      </c>
      <c r="H927" s="63">
        <f>F927*G927</f>
        <v>6000</v>
      </c>
      <c r="I927" s="44"/>
      <c r="J927" s="44"/>
      <c r="K927" s="44"/>
    </row>
    <row r="928" spans="3:15" s="59" customFormat="1" ht="21" customHeight="1">
      <c r="C928" s="588">
        <v>4</v>
      </c>
      <c r="D928" s="56" t="s">
        <v>19</v>
      </c>
      <c r="E928" s="577" t="s">
        <v>6</v>
      </c>
      <c r="F928" s="62">
        <v>1.2E-2</v>
      </c>
      <c r="G928" s="63">
        <f>VLOOKUP(D928,upahbahan,3,FALSE)</f>
        <v>160000</v>
      </c>
      <c r="H928" s="63">
        <f>F928*G928</f>
        <v>1920</v>
      </c>
      <c r="I928" s="44"/>
      <c r="J928" s="44"/>
      <c r="K928" s="44"/>
    </row>
    <row r="929" spans="3:15" s="59" customFormat="1" ht="21" customHeight="1">
      <c r="C929" s="450" t="s">
        <v>1208</v>
      </c>
      <c r="D929" s="67"/>
      <c r="E929" s="67"/>
      <c r="F929" s="142"/>
      <c r="G929" s="153"/>
      <c r="H929" s="63">
        <f>SUM(H925:H928)</f>
        <v>85315</v>
      </c>
      <c r="I929" s="154"/>
      <c r="J929" s="154"/>
      <c r="K929" s="154"/>
    </row>
    <row r="930" spans="3:15" s="59" customFormat="1" ht="21" customHeight="1">
      <c r="C930" s="61" t="s">
        <v>1209</v>
      </c>
      <c r="D930" s="56" t="s">
        <v>1210</v>
      </c>
      <c r="E930" s="57"/>
      <c r="F930" s="57"/>
      <c r="G930" s="57"/>
      <c r="H930" s="57"/>
      <c r="I930" s="44"/>
      <c r="J930" s="44"/>
      <c r="K930" s="44"/>
    </row>
    <row r="931" spans="3:15" s="59" customFormat="1" ht="21" customHeight="1">
      <c r="C931" s="588">
        <v>1</v>
      </c>
      <c r="D931" s="72" t="s">
        <v>8197</v>
      </c>
      <c r="E931" s="73" t="s">
        <v>113</v>
      </c>
      <c r="F931" s="276">
        <v>1.5</v>
      </c>
      <c r="G931" s="63">
        <f>VLOOKUP(D931,upahbahan,3,FALSE)</f>
        <v>360000</v>
      </c>
      <c r="H931" s="63">
        <f>F931*G931</f>
        <v>540000</v>
      </c>
      <c r="I931" s="44"/>
      <c r="J931" s="44"/>
      <c r="K931" s="44"/>
    </row>
    <row r="932" spans="3:15" s="59" customFormat="1" ht="21" customHeight="1">
      <c r="C932" s="450" t="s">
        <v>1214</v>
      </c>
      <c r="D932" s="67"/>
      <c r="E932" s="67"/>
      <c r="F932" s="67"/>
      <c r="G932" s="69"/>
      <c r="H932" s="63">
        <f>SUM(H931:H931)</f>
        <v>540000</v>
      </c>
      <c r="I932" s="44"/>
      <c r="J932" s="44"/>
      <c r="K932" s="44"/>
    </row>
    <row r="933" spans="3:15" s="59" customFormat="1" ht="21" customHeight="1">
      <c r="C933" s="61" t="s">
        <v>1215</v>
      </c>
      <c r="D933" s="56" t="s">
        <v>1216</v>
      </c>
      <c r="E933" s="57"/>
      <c r="F933" s="57"/>
      <c r="G933" s="57"/>
      <c r="H933" s="57"/>
      <c r="I933" s="44"/>
      <c r="J933" s="44"/>
      <c r="K933" s="44"/>
    </row>
    <row r="934" spans="3:15" s="59" customFormat="1" ht="21" customHeight="1">
      <c r="C934" s="450" t="s">
        <v>1217</v>
      </c>
      <c r="D934" s="67"/>
      <c r="E934" s="67"/>
      <c r="F934" s="67"/>
      <c r="G934" s="69"/>
      <c r="H934" s="589">
        <v>0</v>
      </c>
      <c r="I934" s="44"/>
      <c r="J934" s="44"/>
      <c r="K934" s="44"/>
    </row>
    <row r="935" spans="3:15" s="59" customFormat="1" ht="21" customHeight="1">
      <c r="C935" s="288" t="s">
        <v>1218</v>
      </c>
      <c r="D935" s="76" t="s">
        <v>1219</v>
      </c>
      <c r="E935" s="77"/>
      <c r="F935" s="77"/>
      <c r="G935" s="78"/>
      <c r="H935" s="585">
        <f>H934+H932+H929</f>
        <v>625315</v>
      </c>
      <c r="I935" s="369"/>
      <c r="J935" s="44"/>
      <c r="K935" s="44"/>
    </row>
    <row r="936" spans="3:15" s="59" customFormat="1" ht="21" customHeight="1">
      <c r="C936" s="288" t="s">
        <v>1220</v>
      </c>
      <c r="D936" s="76" t="s">
        <v>6045</v>
      </c>
      <c r="E936" s="77"/>
      <c r="F936" s="78"/>
      <c r="G936" s="80">
        <v>0.1</v>
      </c>
      <c r="H936" s="63">
        <f>H935*G936</f>
        <v>62531.5</v>
      </c>
      <c r="I936" s="369"/>
      <c r="J936" s="44"/>
      <c r="K936" s="44"/>
    </row>
    <row r="937" spans="3:15" s="59" customFormat="1" ht="21" customHeight="1">
      <c r="C937" s="288" t="s">
        <v>1221</v>
      </c>
      <c r="D937" s="76" t="s">
        <v>1222</v>
      </c>
      <c r="E937" s="77"/>
      <c r="F937" s="77"/>
      <c r="G937" s="78"/>
      <c r="H937" s="799">
        <f>SUM(H935:H936)</f>
        <v>687846.5</v>
      </c>
      <c r="I937" s="369"/>
      <c r="J937" s="44"/>
      <c r="K937" s="44"/>
    </row>
    <row r="938" spans="3:15" ht="21" customHeight="1"/>
    <row r="939" spans="3:15" s="59" customFormat="1" ht="21" customHeight="1">
      <c r="C939" s="47" t="s">
        <v>3906</v>
      </c>
      <c r="D939" s="794" t="s">
        <v>8200</v>
      </c>
      <c r="E939" s="795"/>
      <c r="F939" s="795"/>
      <c r="G939" s="795"/>
      <c r="H939" s="795"/>
      <c r="I939" s="50">
        <f>ROUNDDOWN(H954,-2)</f>
        <v>753600</v>
      </c>
      <c r="J939" s="50" t="s">
        <v>6451</v>
      </c>
      <c r="K939" s="50" t="s">
        <v>8092</v>
      </c>
    </row>
    <row r="940" spans="3:15" s="59" customFormat="1" ht="21" customHeight="1">
      <c r="C940" s="591" t="s">
        <v>1195</v>
      </c>
      <c r="D940" s="591" t="s">
        <v>1196</v>
      </c>
      <c r="E940" s="591" t="s">
        <v>1197</v>
      </c>
      <c r="F940" s="591" t="s">
        <v>1198</v>
      </c>
      <c r="G940" s="591" t="s">
        <v>1199</v>
      </c>
      <c r="H940" s="591" t="s">
        <v>1200</v>
      </c>
      <c r="I940" s="44"/>
      <c r="J940" s="44"/>
      <c r="K940" s="44"/>
    </row>
    <row r="941" spans="3:15" s="59" customFormat="1" ht="21" customHeight="1">
      <c r="C941" s="61" t="s">
        <v>1201</v>
      </c>
      <c r="D941" s="56" t="s">
        <v>1202</v>
      </c>
      <c r="E941" s="57"/>
      <c r="F941" s="57"/>
      <c r="G941" s="57"/>
      <c r="H941" s="57"/>
      <c r="I941" s="44"/>
      <c r="J941" s="44"/>
      <c r="K941" s="44"/>
      <c r="L941" s="152" t="s">
        <v>1247</v>
      </c>
    </row>
    <row r="942" spans="3:15" s="59" customFormat="1" ht="21" customHeight="1">
      <c r="C942" s="588">
        <v>1</v>
      </c>
      <c r="D942" s="56" t="s">
        <v>5</v>
      </c>
      <c r="E942" s="577" t="s">
        <v>6</v>
      </c>
      <c r="F942" s="62">
        <v>0.317</v>
      </c>
      <c r="G942" s="63">
        <f>VLOOKUP(D942,upahbahan,3,FALSE)</f>
        <v>100000</v>
      </c>
      <c r="H942" s="63">
        <f>F942*G942</f>
        <v>31700</v>
      </c>
      <c r="I942" s="44"/>
      <c r="J942" s="44"/>
      <c r="K942" s="44"/>
      <c r="L942" s="152" t="s">
        <v>1248</v>
      </c>
      <c r="O942" s="65">
        <v>0.1</v>
      </c>
    </row>
    <row r="943" spans="3:15" s="59" customFormat="1" ht="21" customHeight="1">
      <c r="C943" s="588">
        <v>2</v>
      </c>
      <c r="D943" s="56" t="s">
        <v>10</v>
      </c>
      <c r="E943" s="577" t="s">
        <v>6</v>
      </c>
      <c r="F943" s="62">
        <v>0.52900000000000003</v>
      </c>
      <c r="G943" s="63">
        <f>VLOOKUP(D943,upahbahan,3,FALSE)</f>
        <v>135000</v>
      </c>
      <c r="H943" s="63">
        <f>F943*G943</f>
        <v>71415</v>
      </c>
      <c r="I943" s="44"/>
      <c r="J943" s="44"/>
      <c r="K943" s="44"/>
    </row>
    <row r="944" spans="3:15" s="59" customFormat="1" ht="21" customHeight="1">
      <c r="C944" s="588">
        <v>3</v>
      </c>
      <c r="D944" s="56" t="s">
        <v>18</v>
      </c>
      <c r="E944" s="577" t="s">
        <v>6</v>
      </c>
      <c r="F944" s="62">
        <v>5.2999999999999999E-2</v>
      </c>
      <c r="G944" s="63">
        <f>VLOOKUP(D944,upahbahan,3,FALSE)</f>
        <v>150000</v>
      </c>
      <c r="H944" s="63">
        <f>F944*G944</f>
        <v>7950</v>
      </c>
      <c r="I944" s="44"/>
      <c r="J944" s="44"/>
      <c r="K944" s="44"/>
    </row>
    <row r="945" spans="3:15" s="59" customFormat="1" ht="21" customHeight="1">
      <c r="C945" s="588">
        <v>4</v>
      </c>
      <c r="D945" s="56" t="s">
        <v>19</v>
      </c>
      <c r="E945" s="577" t="s">
        <v>6</v>
      </c>
      <c r="F945" s="62">
        <v>1.6E-2</v>
      </c>
      <c r="G945" s="63">
        <f>VLOOKUP(D945,upahbahan,3,FALSE)</f>
        <v>160000</v>
      </c>
      <c r="H945" s="63">
        <f>F945*G945</f>
        <v>2560</v>
      </c>
      <c r="I945" s="44"/>
      <c r="J945" s="44"/>
      <c r="K945" s="44"/>
    </row>
    <row r="946" spans="3:15" s="59" customFormat="1" ht="21" customHeight="1">
      <c r="C946" s="450" t="s">
        <v>1208</v>
      </c>
      <c r="D946" s="67"/>
      <c r="E946" s="67"/>
      <c r="F946" s="142"/>
      <c r="G946" s="153"/>
      <c r="H946" s="63">
        <f>SUM(H942:H945)</f>
        <v>113625</v>
      </c>
      <c r="I946" s="154"/>
      <c r="J946" s="154"/>
      <c r="K946" s="154"/>
    </row>
    <row r="947" spans="3:15" s="59" customFormat="1" ht="21" customHeight="1">
      <c r="C947" s="61" t="s">
        <v>1209</v>
      </c>
      <c r="D947" s="56" t="s">
        <v>1210</v>
      </c>
      <c r="E947" s="57"/>
      <c r="F947" s="57"/>
      <c r="G947" s="57"/>
      <c r="H947" s="57"/>
      <c r="I947" s="44"/>
      <c r="J947" s="44"/>
      <c r="K947" s="44"/>
    </row>
    <row r="948" spans="3:15" s="59" customFormat="1" ht="21" customHeight="1">
      <c r="C948" s="588">
        <v>1</v>
      </c>
      <c r="D948" s="72" t="s">
        <v>8198</v>
      </c>
      <c r="E948" s="73" t="s">
        <v>113</v>
      </c>
      <c r="F948" s="276">
        <v>1.5</v>
      </c>
      <c r="G948" s="63">
        <f>VLOOKUP(D948,upahbahan,3,FALSE)</f>
        <v>381000</v>
      </c>
      <c r="H948" s="63">
        <f>F948*G948</f>
        <v>571500</v>
      </c>
      <c r="I948" s="44"/>
      <c r="J948" s="44"/>
      <c r="K948" s="44"/>
    </row>
    <row r="949" spans="3:15" s="59" customFormat="1" ht="21" customHeight="1">
      <c r="C949" s="450" t="s">
        <v>1214</v>
      </c>
      <c r="D949" s="67"/>
      <c r="E949" s="67"/>
      <c r="F949" s="67"/>
      <c r="G949" s="69"/>
      <c r="H949" s="63">
        <f>SUM(H948:H948)</f>
        <v>571500</v>
      </c>
      <c r="I949" s="44"/>
      <c r="J949" s="44"/>
      <c r="K949" s="44"/>
    </row>
    <row r="950" spans="3:15" s="59" customFormat="1" ht="21" customHeight="1">
      <c r="C950" s="61" t="s">
        <v>1215</v>
      </c>
      <c r="D950" s="56" t="s">
        <v>1216</v>
      </c>
      <c r="E950" s="57"/>
      <c r="F950" s="57"/>
      <c r="G950" s="57"/>
      <c r="H950" s="57"/>
      <c r="I950" s="44"/>
      <c r="J950" s="44"/>
      <c r="K950" s="44"/>
    </row>
    <row r="951" spans="3:15" s="59" customFormat="1" ht="21" customHeight="1">
      <c r="C951" s="450" t="s">
        <v>1217</v>
      </c>
      <c r="D951" s="67"/>
      <c r="E951" s="67"/>
      <c r="F951" s="67"/>
      <c r="G951" s="69"/>
      <c r="H951" s="589">
        <v>0</v>
      </c>
      <c r="I951" s="44"/>
      <c r="J951" s="44"/>
      <c r="K951" s="44"/>
    </row>
    <row r="952" spans="3:15" s="59" customFormat="1" ht="21" customHeight="1">
      <c r="C952" s="288" t="s">
        <v>1218</v>
      </c>
      <c r="D952" s="76" t="s">
        <v>1219</v>
      </c>
      <c r="E952" s="77"/>
      <c r="F952" s="77"/>
      <c r="G952" s="78"/>
      <c r="H952" s="585">
        <f>H951+H949+H946</f>
        <v>685125</v>
      </c>
      <c r="I952" s="369"/>
      <c r="J952" s="44"/>
      <c r="K952" s="44"/>
    </row>
    <row r="953" spans="3:15" s="59" customFormat="1" ht="21" customHeight="1">
      <c r="C953" s="288" t="s">
        <v>1220</v>
      </c>
      <c r="D953" s="76" t="s">
        <v>1321</v>
      </c>
      <c r="E953" s="77"/>
      <c r="F953" s="78"/>
      <c r="G953" s="80">
        <v>0.1</v>
      </c>
      <c r="H953" s="63">
        <f>H952*G953</f>
        <v>68512.5</v>
      </c>
      <c r="I953" s="369"/>
      <c r="J953" s="44"/>
      <c r="K953" s="44"/>
    </row>
    <row r="954" spans="3:15" s="59" customFormat="1" ht="21" customHeight="1">
      <c r="C954" s="288" t="s">
        <v>1221</v>
      </c>
      <c r="D954" s="76" t="s">
        <v>1222</v>
      </c>
      <c r="E954" s="77"/>
      <c r="F954" s="77"/>
      <c r="G954" s="78"/>
      <c r="H954" s="799">
        <f>SUM(H952:H953)</f>
        <v>753637.5</v>
      </c>
      <c r="I954" s="369"/>
      <c r="J954" s="44"/>
      <c r="K954" s="44"/>
    </row>
    <row r="955" spans="3:15" ht="21" customHeight="1"/>
    <row r="956" spans="3:15" s="59" customFormat="1" ht="21" customHeight="1">
      <c r="C956" s="47" t="s">
        <v>3908</v>
      </c>
      <c r="D956" s="794" t="s">
        <v>8199</v>
      </c>
      <c r="E956" s="795"/>
      <c r="F956" s="795"/>
      <c r="G956" s="795"/>
      <c r="H956" s="795"/>
      <c r="I956" s="50">
        <f>ROUNDDOWN(H971,-2)</f>
        <v>983700</v>
      </c>
      <c r="J956" s="50" t="s">
        <v>6451</v>
      </c>
      <c r="K956" s="50" t="s">
        <v>8092</v>
      </c>
    </row>
    <row r="957" spans="3:15" s="59" customFormat="1" ht="21" customHeight="1">
      <c r="C957" s="591" t="s">
        <v>1195</v>
      </c>
      <c r="D957" s="591" t="s">
        <v>1196</v>
      </c>
      <c r="E957" s="591" t="s">
        <v>1197</v>
      </c>
      <c r="F957" s="591" t="s">
        <v>1198</v>
      </c>
      <c r="G957" s="591" t="s">
        <v>1199</v>
      </c>
      <c r="H957" s="591" t="s">
        <v>1200</v>
      </c>
      <c r="I957" s="44"/>
      <c r="J957" s="44"/>
      <c r="K957" s="44"/>
    </row>
    <row r="958" spans="3:15" s="59" customFormat="1" ht="21" customHeight="1">
      <c r="C958" s="61" t="s">
        <v>1201</v>
      </c>
      <c r="D958" s="56" t="s">
        <v>1202</v>
      </c>
      <c r="E958" s="57"/>
      <c r="F958" s="57"/>
      <c r="G958" s="57"/>
      <c r="H958" s="57"/>
      <c r="I958" s="44"/>
      <c r="J958" s="44"/>
      <c r="K958" s="44"/>
      <c r="L958" s="152" t="s">
        <v>1247</v>
      </c>
    </row>
    <row r="959" spans="3:15" s="59" customFormat="1" ht="21" customHeight="1">
      <c r="C959" s="588">
        <v>1</v>
      </c>
      <c r="D959" s="56" t="s">
        <v>5</v>
      </c>
      <c r="E959" s="577" t="s">
        <v>6</v>
      </c>
      <c r="F959" s="62">
        <v>0.39400000000000002</v>
      </c>
      <c r="G959" s="63">
        <f>VLOOKUP(D959,upahbahan,3,FALSE)</f>
        <v>100000</v>
      </c>
      <c r="H959" s="63">
        <f>F959*G959</f>
        <v>39400</v>
      </c>
      <c r="I959" s="44"/>
      <c r="J959" s="44"/>
      <c r="K959" s="44"/>
      <c r="L959" s="152" t="s">
        <v>1248</v>
      </c>
      <c r="O959" s="65">
        <v>0.1</v>
      </c>
    </row>
    <row r="960" spans="3:15" s="59" customFormat="1" ht="21" customHeight="1">
      <c r="C960" s="588">
        <v>2</v>
      </c>
      <c r="D960" s="56" t="s">
        <v>10</v>
      </c>
      <c r="E960" s="577" t="s">
        <v>6</v>
      </c>
      <c r="F960" s="62">
        <v>0.65800000000000003</v>
      </c>
      <c r="G960" s="63">
        <f>VLOOKUP(D960,upahbahan,3,FALSE)</f>
        <v>135000</v>
      </c>
      <c r="H960" s="63">
        <f>F960*G960</f>
        <v>88830</v>
      </c>
      <c r="I960" s="44"/>
      <c r="J960" s="44"/>
      <c r="K960" s="44"/>
    </row>
    <row r="961" spans="3:15" s="59" customFormat="1" ht="21" customHeight="1">
      <c r="C961" s="588">
        <v>3</v>
      </c>
      <c r="D961" s="56" t="s">
        <v>18</v>
      </c>
      <c r="E961" s="577" t="s">
        <v>6</v>
      </c>
      <c r="F961" s="62">
        <v>6.6000000000000003E-2</v>
      </c>
      <c r="G961" s="63">
        <f>VLOOKUP(D961,upahbahan,3,FALSE)</f>
        <v>150000</v>
      </c>
      <c r="H961" s="63">
        <f>F961*G961</f>
        <v>9900</v>
      </c>
      <c r="I961" s="44"/>
      <c r="J961" s="44"/>
      <c r="K961" s="44"/>
    </row>
    <row r="962" spans="3:15" s="59" customFormat="1" ht="21" customHeight="1">
      <c r="C962" s="588">
        <v>4</v>
      </c>
      <c r="D962" s="56" t="s">
        <v>19</v>
      </c>
      <c r="E962" s="577" t="s">
        <v>6</v>
      </c>
      <c r="F962" s="62">
        <v>0.02</v>
      </c>
      <c r="G962" s="63">
        <f>VLOOKUP(D962,upahbahan,3,FALSE)</f>
        <v>160000</v>
      </c>
      <c r="H962" s="63">
        <f>F962*G962</f>
        <v>3200</v>
      </c>
      <c r="I962" s="44"/>
      <c r="J962" s="44"/>
      <c r="K962" s="44"/>
    </row>
    <row r="963" spans="3:15" s="59" customFormat="1" ht="21" customHeight="1">
      <c r="C963" s="450" t="s">
        <v>1208</v>
      </c>
      <c r="D963" s="67"/>
      <c r="E963" s="67"/>
      <c r="F963" s="142"/>
      <c r="G963" s="153"/>
      <c r="H963" s="63">
        <f>SUM(H959:H962)</f>
        <v>141330</v>
      </c>
      <c r="I963" s="154"/>
      <c r="J963" s="154"/>
      <c r="K963" s="154"/>
    </row>
    <row r="964" spans="3:15" s="59" customFormat="1" ht="21" customHeight="1">
      <c r="C964" s="61" t="s">
        <v>1209</v>
      </c>
      <c r="D964" s="56" t="s">
        <v>1210</v>
      </c>
      <c r="E964" s="57"/>
      <c r="F964" s="57"/>
      <c r="G964" s="57"/>
      <c r="H964" s="57"/>
      <c r="I964" s="44"/>
      <c r="J964" s="44"/>
      <c r="K964" s="44"/>
    </row>
    <row r="965" spans="3:15" s="59" customFormat="1" ht="21" customHeight="1">
      <c r="C965" s="588">
        <v>1</v>
      </c>
      <c r="D965" s="72" t="s">
        <v>8201</v>
      </c>
      <c r="E965" s="73" t="s">
        <v>113</v>
      </c>
      <c r="F965" s="276">
        <v>1.5</v>
      </c>
      <c r="G965" s="63">
        <f>VLOOKUP(D965,upahbahan,3,FALSE)</f>
        <v>502000</v>
      </c>
      <c r="H965" s="63">
        <f>F965*G965</f>
        <v>753000</v>
      </c>
      <c r="I965" s="44"/>
      <c r="J965" s="44"/>
      <c r="K965" s="44"/>
    </row>
    <row r="966" spans="3:15" s="59" customFormat="1" ht="21" customHeight="1">
      <c r="C966" s="450" t="s">
        <v>1214</v>
      </c>
      <c r="D966" s="67"/>
      <c r="E966" s="67"/>
      <c r="F966" s="67"/>
      <c r="G966" s="69"/>
      <c r="H966" s="63">
        <f>SUM(H965:H965)</f>
        <v>753000</v>
      </c>
      <c r="I966" s="44"/>
      <c r="J966" s="44"/>
      <c r="K966" s="44"/>
    </row>
    <row r="967" spans="3:15" s="59" customFormat="1" ht="21" customHeight="1">
      <c r="C967" s="61" t="s">
        <v>1215</v>
      </c>
      <c r="D967" s="56" t="s">
        <v>1216</v>
      </c>
      <c r="E967" s="57"/>
      <c r="F967" s="57"/>
      <c r="G967" s="57"/>
      <c r="H967" s="57"/>
      <c r="I967" s="44"/>
      <c r="J967" s="44"/>
      <c r="K967" s="44"/>
    </row>
    <row r="968" spans="3:15" s="59" customFormat="1" ht="21" customHeight="1">
      <c r="C968" s="450" t="s">
        <v>1217</v>
      </c>
      <c r="D968" s="67"/>
      <c r="E968" s="67"/>
      <c r="F968" s="67"/>
      <c r="G968" s="69"/>
      <c r="H968" s="589">
        <v>0</v>
      </c>
      <c r="I968" s="44"/>
      <c r="J968" s="44"/>
      <c r="K968" s="44"/>
    </row>
    <row r="969" spans="3:15" s="59" customFormat="1" ht="21" customHeight="1">
      <c r="C969" s="288" t="s">
        <v>1218</v>
      </c>
      <c r="D969" s="76" t="s">
        <v>1219</v>
      </c>
      <c r="E969" s="77"/>
      <c r="F969" s="77"/>
      <c r="G969" s="78"/>
      <c r="H969" s="585">
        <f>H968+H966+H963</f>
        <v>894330</v>
      </c>
      <c r="I969" s="369"/>
      <c r="J969" s="44"/>
      <c r="K969" s="44"/>
    </row>
    <row r="970" spans="3:15" s="59" customFormat="1" ht="21" customHeight="1">
      <c r="C970" s="288" t="s">
        <v>1220</v>
      </c>
      <c r="D970" s="76" t="s">
        <v>1321</v>
      </c>
      <c r="E970" s="77"/>
      <c r="F970" s="78"/>
      <c r="G970" s="80">
        <v>0.1</v>
      </c>
      <c r="H970" s="63">
        <f>H969*G970</f>
        <v>89433</v>
      </c>
      <c r="I970" s="369"/>
      <c r="J970" s="44"/>
      <c r="K970" s="44"/>
    </row>
    <row r="971" spans="3:15" s="59" customFormat="1" ht="21" customHeight="1">
      <c r="C971" s="288" t="s">
        <v>1221</v>
      </c>
      <c r="D971" s="76" t="s">
        <v>1222</v>
      </c>
      <c r="E971" s="77"/>
      <c r="F971" s="77"/>
      <c r="G971" s="78"/>
      <c r="H971" s="799">
        <f>SUM(H969:H970)</f>
        <v>983763</v>
      </c>
      <c r="I971" s="369"/>
      <c r="J971" s="44"/>
      <c r="K971" s="44"/>
    </row>
    <row r="972" spans="3:15" ht="21" customHeight="1"/>
    <row r="973" spans="3:15" s="59" customFormat="1" ht="21" customHeight="1">
      <c r="C973" s="47" t="s">
        <v>3910</v>
      </c>
      <c r="D973" s="794" t="s">
        <v>8202</v>
      </c>
      <c r="E973" s="795"/>
      <c r="F973" s="795"/>
      <c r="G973" s="795"/>
      <c r="H973" s="795"/>
      <c r="I973" s="50">
        <f>ROUNDDOWN(H988,-2)</f>
        <v>1236000</v>
      </c>
      <c r="J973" s="50" t="s">
        <v>6451</v>
      </c>
      <c r="K973" s="50" t="s">
        <v>8092</v>
      </c>
    </row>
    <row r="974" spans="3:15" s="59" customFormat="1" ht="21" customHeight="1">
      <c r="C974" s="591" t="s">
        <v>1195</v>
      </c>
      <c r="D974" s="591" t="s">
        <v>1196</v>
      </c>
      <c r="E974" s="591" t="s">
        <v>1197</v>
      </c>
      <c r="F974" s="591" t="s">
        <v>1198</v>
      </c>
      <c r="G974" s="591" t="s">
        <v>1199</v>
      </c>
      <c r="H974" s="591" t="s">
        <v>1200</v>
      </c>
      <c r="I974" s="44"/>
      <c r="J974" s="44"/>
      <c r="K974" s="44"/>
    </row>
    <row r="975" spans="3:15" s="59" customFormat="1" ht="21" customHeight="1">
      <c r="C975" s="61" t="s">
        <v>1201</v>
      </c>
      <c r="D975" s="56" t="s">
        <v>1202</v>
      </c>
      <c r="E975" s="57"/>
      <c r="F975" s="57"/>
      <c r="G975" s="57"/>
      <c r="H975" s="57"/>
      <c r="I975" s="44"/>
      <c r="J975" s="44"/>
      <c r="K975" s="44"/>
      <c r="L975" s="152" t="s">
        <v>1247</v>
      </c>
    </row>
    <row r="976" spans="3:15" s="59" customFormat="1" ht="21" customHeight="1">
      <c r="C976" s="588">
        <v>1</v>
      </c>
      <c r="D976" s="56" t="s">
        <v>5</v>
      </c>
      <c r="E976" s="577" t="s">
        <v>6</v>
      </c>
      <c r="F976" s="62">
        <v>0.47299999999999998</v>
      </c>
      <c r="G976" s="63">
        <f>VLOOKUP(D976,upahbahan,3,FALSE)</f>
        <v>100000</v>
      </c>
      <c r="H976" s="63">
        <f>F976*G976</f>
        <v>47300</v>
      </c>
      <c r="I976" s="44"/>
      <c r="J976" s="44"/>
      <c r="K976" s="44"/>
      <c r="L976" s="152" t="s">
        <v>1248</v>
      </c>
      <c r="O976" s="65">
        <v>0.1</v>
      </c>
    </row>
    <row r="977" spans="3:12" s="59" customFormat="1" ht="21" customHeight="1">
      <c r="C977" s="588">
        <v>2</v>
      </c>
      <c r="D977" s="56" t="s">
        <v>10</v>
      </c>
      <c r="E977" s="577" t="s">
        <v>6</v>
      </c>
      <c r="F977" s="62">
        <v>0.79</v>
      </c>
      <c r="G977" s="63">
        <f>VLOOKUP(D977,upahbahan,3,FALSE)</f>
        <v>135000</v>
      </c>
      <c r="H977" s="63">
        <f>F977*G977</f>
        <v>106650</v>
      </c>
      <c r="I977" s="44"/>
      <c r="J977" s="44"/>
      <c r="K977" s="44"/>
    </row>
    <row r="978" spans="3:12" s="59" customFormat="1" ht="21" customHeight="1">
      <c r="C978" s="588">
        <v>3</v>
      </c>
      <c r="D978" s="56" t="s">
        <v>18</v>
      </c>
      <c r="E978" s="577" t="s">
        <v>6</v>
      </c>
      <c r="F978" s="62">
        <v>7.9000000000000001E-2</v>
      </c>
      <c r="G978" s="63">
        <f>VLOOKUP(D978,upahbahan,3,FALSE)</f>
        <v>150000</v>
      </c>
      <c r="H978" s="63">
        <f>F978*G978</f>
        <v>11850</v>
      </c>
      <c r="I978" s="44"/>
      <c r="J978" s="44"/>
      <c r="K978" s="44"/>
    </row>
    <row r="979" spans="3:12" s="59" customFormat="1" ht="21" customHeight="1">
      <c r="C979" s="588">
        <v>4</v>
      </c>
      <c r="D979" s="56" t="s">
        <v>19</v>
      </c>
      <c r="E979" s="577" t="s">
        <v>6</v>
      </c>
      <c r="F979" s="62">
        <v>2.4E-2</v>
      </c>
      <c r="G979" s="63">
        <f>VLOOKUP(D979,upahbahan,3,FALSE)</f>
        <v>160000</v>
      </c>
      <c r="H979" s="63">
        <f>F979*G979</f>
        <v>3840</v>
      </c>
      <c r="I979" s="44"/>
      <c r="J979" s="44"/>
      <c r="K979" s="44"/>
    </row>
    <row r="980" spans="3:12" s="59" customFormat="1" ht="21" customHeight="1">
      <c r="C980" s="450" t="s">
        <v>1208</v>
      </c>
      <c r="D980" s="67"/>
      <c r="E980" s="67"/>
      <c r="F980" s="142"/>
      <c r="G980" s="153"/>
      <c r="H980" s="63">
        <f>SUM(H976:H979)</f>
        <v>169640</v>
      </c>
      <c r="I980" s="154"/>
      <c r="J980" s="154"/>
      <c r="K980" s="154"/>
    </row>
    <row r="981" spans="3:12" s="59" customFormat="1" ht="21" customHeight="1">
      <c r="C981" s="61" t="s">
        <v>1209</v>
      </c>
      <c r="D981" s="56" t="s">
        <v>1210</v>
      </c>
      <c r="E981" s="57"/>
      <c r="F981" s="57"/>
      <c r="G981" s="57"/>
      <c r="H981" s="57"/>
      <c r="I981" s="44"/>
      <c r="J981" s="44"/>
      <c r="K981" s="44"/>
    </row>
    <row r="982" spans="3:12" s="59" customFormat="1" ht="21" customHeight="1">
      <c r="C982" s="588">
        <v>1</v>
      </c>
      <c r="D982" s="72" t="s">
        <v>8203</v>
      </c>
      <c r="E982" s="73" t="s">
        <v>113</v>
      </c>
      <c r="F982" s="276">
        <v>1.5</v>
      </c>
      <c r="G982" s="63">
        <f>VLOOKUP(D982,upahbahan,3,FALSE)</f>
        <v>636000</v>
      </c>
      <c r="H982" s="63">
        <f>F982*G982</f>
        <v>954000</v>
      </c>
      <c r="I982" s="44"/>
      <c r="J982" s="44"/>
      <c r="K982" s="44"/>
    </row>
    <row r="983" spans="3:12" s="59" customFormat="1" ht="21" customHeight="1">
      <c r="C983" s="450" t="s">
        <v>1214</v>
      </c>
      <c r="D983" s="67"/>
      <c r="E983" s="67"/>
      <c r="F983" s="67"/>
      <c r="G983" s="69"/>
      <c r="H983" s="63">
        <f>SUM(H982:H982)</f>
        <v>954000</v>
      </c>
      <c r="I983" s="44"/>
      <c r="J983" s="44"/>
      <c r="K983" s="44"/>
    </row>
    <row r="984" spans="3:12" s="59" customFormat="1" ht="21" customHeight="1">
      <c r="C984" s="61" t="s">
        <v>1215</v>
      </c>
      <c r="D984" s="56" t="s">
        <v>1216</v>
      </c>
      <c r="E984" s="57"/>
      <c r="F984" s="57"/>
      <c r="G984" s="57"/>
      <c r="H984" s="57"/>
      <c r="I984" s="44"/>
      <c r="J984" s="44"/>
      <c r="K984" s="44"/>
    </row>
    <row r="985" spans="3:12" s="59" customFormat="1" ht="21" customHeight="1">
      <c r="C985" s="450" t="s">
        <v>1217</v>
      </c>
      <c r="D985" s="67"/>
      <c r="E985" s="67"/>
      <c r="F985" s="67"/>
      <c r="G985" s="69"/>
      <c r="H985" s="589">
        <v>0</v>
      </c>
      <c r="I985" s="44"/>
      <c r="J985" s="44"/>
      <c r="K985" s="44"/>
    </row>
    <row r="986" spans="3:12" s="59" customFormat="1" ht="21" customHeight="1">
      <c r="C986" s="288" t="s">
        <v>1218</v>
      </c>
      <c r="D986" s="76" t="s">
        <v>1219</v>
      </c>
      <c r="E986" s="77"/>
      <c r="F986" s="77"/>
      <c r="G986" s="78"/>
      <c r="H986" s="585">
        <f>H985+H983+H980</f>
        <v>1123640</v>
      </c>
      <c r="I986" s="369"/>
      <c r="J986" s="44"/>
      <c r="K986" s="44"/>
    </row>
    <row r="987" spans="3:12" s="59" customFormat="1" ht="21" customHeight="1">
      <c r="C987" s="288" t="s">
        <v>1220</v>
      </c>
      <c r="D987" s="76" t="s">
        <v>1321</v>
      </c>
      <c r="E987" s="77"/>
      <c r="F987" s="78"/>
      <c r="G987" s="80">
        <v>0.1</v>
      </c>
      <c r="H987" s="63">
        <f>H986*G987</f>
        <v>112364</v>
      </c>
      <c r="I987" s="369"/>
      <c r="J987" s="44"/>
      <c r="K987" s="44"/>
    </row>
    <row r="988" spans="3:12" s="59" customFormat="1" ht="21" customHeight="1">
      <c r="C988" s="288" t="s">
        <v>1221</v>
      </c>
      <c r="D988" s="76" t="s">
        <v>1222</v>
      </c>
      <c r="E988" s="77"/>
      <c r="F988" s="77"/>
      <c r="G988" s="78"/>
      <c r="H988" s="799">
        <f>SUM(H986:H987)</f>
        <v>1236004</v>
      </c>
      <c r="I988" s="369"/>
      <c r="J988" s="44"/>
      <c r="K988" s="44"/>
    </row>
    <row r="989" spans="3:12" ht="21" customHeight="1"/>
    <row r="990" spans="3:12" s="59" customFormat="1" ht="21" customHeight="1">
      <c r="C990" s="47" t="s">
        <v>3912</v>
      </c>
      <c r="D990" s="794" t="s">
        <v>8204</v>
      </c>
      <c r="E990" s="795"/>
      <c r="F990" s="795"/>
      <c r="G990" s="795"/>
      <c r="H990" s="795"/>
      <c r="I990" s="50">
        <f>ROUNDDOWN(H1005,-2)</f>
        <v>1877500</v>
      </c>
      <c r="J990" s="50" t="s">
        <v>6451</v>
      </c>
      <c r="K990" s="50" t="s">
        <v>8092</v>
      </c>
    </row>
    <row r="991" spans="3:12" s="59" customFormat="1" ht="21" customHeight="1">
      <c r="C991" s="591" t="s">
        <v>1195</v>
      </c>
      <c r="D991" s="591" t="s">
        <v>1196</v>
      </c>
      <c r="E991" s="591" t="s">
        <v>1197</v>
      </c>
      <c r="F991" s="591" t="s">
        <v>1198</v>
      </c>
      <c r="G991" s="591" t="s">
        <v>1199</v>
      </c>
      <c r="H991" s="591" t="s">
        <v>1200</v>
      </c>
      <c r="I991" s="44"/>
      <c r="J991" s="44"/>
      <c r="K991" s="44"/>
    </row>
    <row r="992" spans="3:12" s="59" customFormat="1" ht="21" customHeight="1">
      <c r="C992" s="61" t="s">
        <v>1201</v>
      </c>
      <c r="D992" s="56" t="s">
        <v>1202</v>
      </c>
      <c r="E992" s="57"/>
      <c r="F992" s="57"/>
      <c r="G992" s="57"/>
      <c r="H992" s="57"/>
      <c r="I992" s="44"/>
      <c r="J992" s="44"/>
      <c r="K992" s="44"/>
      <c r="L992" s="152" t="s">
        <v>1247</v>
      </c>
    </row>
    <row r="993" spans="3:15" s="59" customFormat="1" ht="21" customHeight="1">
      <c r="C993" s="588">
        <v>1</v>
      </c>
      <c r="D993" s="56" t="s">
        <v>5</v>
      </c>
      <c r="E993" s="577" t="s">
        <v>6</v>
      </c>
      <c r="F993" s="62">
        <v>0.629</v>
      </c>
      <c r="G993" s="63">
        <f>VLOOKUP(D993,upahbahan,3,FALSE)</f>
        <v>100000</v>
      </c>
      <c r="H993" s="63">
        <f>F993*G993</f>
        <v>62900</v>
      </c>
      <c r="I993" s="44"/>
      <c r="J993" s="44"/>
      <c r="K993" s="44"/>
      <c r="L993" s="152" t="s">
        <v>1248</v>
      </c>
      <c r="O993" s="65">
        <v>0.1</v>
      </c>
    </row>
    <row r="994" spans="3:15" s="59" customFormat="1" ht="21" customHeight="1">
      <c r="C994" s="588">
        <v>2</v>
      </c>
      <c r="D994" s="56" t="s">
        <v>10</v>
      </c>
      <c r="E994" s="577" t="s">
        <v>6</v>
      </c>
      <c r="F994" s="62">
        <v>1.0509999999999999</v>
      </c>
      <c r="G994" s="63">
        <f>VLOOKUP(D994,upahbahan,3,FALSE)</f>
        <v>135000</v>
      </c>
      <c r="H994" s="63">
        <f>F994*G994</f>
        <v>141885</v>
      </c>
      <c r="I994" s="44"/>
      <c r="J994" s="44"/>
      <c r="K994" s="44"/>
    </row>
    <row r="995" spans="3:15" s="59" customFormat="1" ht="21" customHeight="1">
      <c r="C995" s="588">
        <v>3</v>
      </c>
      <c r="D995" s="56" t="s">
        <v>18</v>
      </c>
      <c r="E995" s="577" t="s">
        <v>6</v>
      </c>
      <c r="F995" s="62">
        <v>0.105</v>
      </c>
      <c r="G995" s="63">
        <f>VLOOKUP(D995,upahbahan,3,FALSE)</f>
        <v>150000</v>
      </c>
      <c r="H995" s="63">
        <f>F995*G995</f>
        <v>15750</v>
      </c>
      <c r="I995" s="44"/>
      <c r="J995" s="44"/>
      <c r="K995" s="44"/>
    </row>
    <row r="996" spans="3:15" s="59" customFormat="1" ht="21" customHeight="1">
      <c r="C996" s="588">
        <v>4</v>
      </c>
      <c r="D996" s="56" t="s">
        <v>19</v>
      </c>
      <c r="E996" s="577" t="s">
        <v>6</v>
      </c>
      <c r="F996" s="62">
        <v>3.2000000000000001E-2</v>
      </c>
      <c r="G996" s="63">
        <f>VLOOKUP(D996,upahbahan,3,FALSE)</f>
        <v>160000</v>
      </c>
      <c r="H996" s="63">
        <f>F996*G996</f>
        <v>5120</v>
      </c>
      <c r="I996" s="44"/>
      <c r="J996" s="44"/>
      <c r="K996" s="44"/>
    </row>
    <row r="997" spans="3:15" s="59" customFormat="1" ht="21" customHeight="1">
      <c r="C997" s="450" t="s">
        <v>1208</v>
      </c>
      <c r="D997" s="67"/>
      <c r="E997" s="67"/>
      <c r="F997" s="142"/>
      <c r="G997" s="153"/>
      <c r="H997" s="63">
        <f>SUM(H993:H996)</f>
        <v>225655</v>
      </c>
      <c r="I997" s="154"/>
      <c r="J997" s="154"/>
      <c r="K997" s="154"/>
    </row>
    <row r="998" spans="3:15" s="59" customFormat="1" ht="21" customHeight="1">
      <c r="C998" s="61" t="s">
        <v>1209</v>
      </c>
      <c r="D998" s="56" t="s">
        <v>1210</v>
      </c>
      <c r="E998" s="57"/>
      <c r="F998" s="57"/>
      <c r="G998" s="57"/>
      <c r="H998" s="57"/>
      <c r="I998" s="44"/>
      <c r="J998" s="44"/>
      <c r="K998" s="44"/>
    </row>
    <row r="999" spans="3:15" s="59" customFormat="1" ht="21" customHeight="1">
      <c r="C999" s="588">
        <v>1</v>
      </c>
      <c r="D999" s="72" t="s">
        <v>8205</v>
      </c>
      <c r="E999" s="73" t="s">
        <v>113</v>
      </c>
      <c r="F999" s="276">
        <v>1.5</v>
      </c>
      <c r="G999" s="63">
        <f>VLOOKUP(D999,upahbahan,3,FALSE)</f>
        <v>987500</v>
      </c>
      <c r="H999" s="63">
        <f>F999*G999</f>
        <v>1481250</v>
      </c>
      <c r="I999" s="44"/>
      <c r="J999" s="44"/>
      <c r="K999" s="44"/>
    </row>
    <row r="1000" spans="3:15" s="59" customFormat="1" ht="21" customHeight="1">
      <c r="C1000" s="450" t="s">
        <v>1214</v>
      </c>
      <c r="D1000" s="67"/>
      <c r="E1000" s="67"/>
      <c r="F1000" s="67"/>
      <c r="G1000" s="69"/>
      <c r="H1000" s="63">
        <f>SUM(H999:H999)</f>
        <v>1481250</v>
      </c>
      <c r="I1000" s="44"/>
      <c r="J1000" s="44"/>
      <c r="K1000" s="44"/>
    </row>
    <row r="1001" spans="3:15" s="59" customFormat="1" ht="21" customHeight="1">
      <c r="C1001" s="61" t="s">
        <v>1215</v>
      </c>
      <c r="D1001" s="56" t="s">
        <v>1216</v>
      </c>
      <c r="E1001" s="57"/>
      <c r="F1001" s="57"/>
      <c r="G1001" s="57"/>
      <c r="H1001" s="57"/>
      <c r="I1001" s="44"/>
      <c r="J1001" s="44"/>
      <c r="K1001" s="44"/>
    </row>
    <row r="1002" spans="3:15" s="59" customFormat="1" ht="21" customHeight="1">
      <c r="C1002" s="450" t="s">
        <v>1217</v>
      </c>
      <c r="D1002" s="67"/>
      <c r="E1002" s="67"/>
      <c r="F1002" s="67"/>
      <c r="G1002" s="69"/>
      <c r="H1002" s="589">
        <v>0</v>
      </c>
      <c r="I1002" s="44"/>
      <c r="J1002" s="44"/>
      <c r="K1002" s="44"/>
    </row>
    <row r="1003" spans="3:15" s="59" customFormat="1" ht="21" customHeight="1">
      <c r="C1003" s="288" t="s">
        <v>1218</v>
      </c>
      <c r="D1003" s="76" t="s">
        <v>1219</v>
      </c>
      <c r="E1003" s="77"/>
      <c r="F1003" s="77"/>
      <c r="G1003" s="78"/>
      <c r="H1003" s="585">
        <f>H1002+H1000+H997</f>
        <v>1706905</v>
      </c>
      <c r="I1003" s="369"/>
      <c r="J1003" s="44"/>
      <c r="K1003" s="44"/>
    </row>
    <row r="1004" spans="3:15" s="59" customFormat="1" ht="21" customHeight="1">
      <c r="C1004" s="288" t="s">
        <v>1220</v>
      </c>
      <c r="D1004" s="76" t="s">
        <v>1321</v>
      </c>
      <c r="E1004" s="77"/>
      <c r="F1004" s="78"/>
      <c r="G1004" s="80">
        <v>0.1</v>
      </c>
      <c r="H1004" s="63">
        <f>H1003*G1004</f>
        <v>170690.5</v>
      </c>
      <c r="I1004" s="369"/>
      <c r="J1004" s="44"/>
      <c r="K1004" s="44"/>
    </row>
    <row r="1005" spans="3:15" s="59" customFormat="1" ht="21" customHeight="1">
      <c r="C1005" s="288" t="s">
        <v>1221</v>
      </c>
      <c r="D1005" s="76" t="s">
        <v>1222</v>
      </c>
      <c r="E1005" s="77"/>
      <c r="F1005" s="77"/>
      <c r="G1005" s="78"/>
      <c r="H1005" s="799">
        <f>SUM(H1003:H1004)</f>
        <v>1877595.5</v>
      </c>
      <c r="I1005" s="369"/>
      <c r="J1005" s="44"/>
      <c r="K1005" s="44"/>
    </row>
    <row r="1006" spans="3:15" ht="21" customHeight="1"/>
    <row r="1007" spans="3:15" s="59" customFormat="1" ht="21" customHeight="1">
      <c r="C1007" s="47" t="s">
        <v>3914</v>
      </c>
      <c r="D1007" s="794" t="s">
        <v>8206</v>
      </c>
      <c r="E1007" s="795"/>
      <c r="F1007" s="795"/>
      <c r="G1007" s="795"/>
      <c r="H1007" s="795"/>
      <c r="I1007" s="50">
        <f>ROUNDDOWN(H1022,-2)</f>
        <v>2492700</v>
      </c>
      <c r="J1007" s="50" t="s">
        <v>6451</v>
      </c>
      <c r="K1007" s="50" t="s">
        <v>8092</v>
      </c>
    </row>
    <row r="1008" spans="3:15" s="59" customFormat="1" ht="21" customHeight="1">
      <c r="C1008" s="591" t="s">
        <v>1195</v>
      </c>
      <c r="D1008" s="591" t="s">
        <v>1196</v>
      </c>
      <c r="E1008" s="591" t="s">
        <v>1197</v>
      </c>
      <c r="F1008" s="591" t="s">
        <v>1198</v>
      </c>
      <c r="G1008" s="591" t="s">
        <v>1199</v>
      </c>
      <c r="H1008" s="591" t="s">
        <v>1200</v>
      </c>
      <c r="I1008" s="44"/>
      <c r="J1008" s="44"/>
      <c r="K1008" s="44"/>
    </row>
    <row r="1009" spans="3:15" s="59" customFormat="1" ht="21" customHeight="1">
      <c r="C1009" s="61" t="s">
        <v>1201</v>
      </c>
      <c r="D1009" s="56" t="s">
        <v>1202</v>
      </c>
      <c r="E1009" s="57"/>
      <c r="F1009" s="57"/>
      <c r="G1009" s="57"/>
      <c r="H1009" s="57"/>
      <c r="I1009" s="44"/>
      <c r="J1009" s="44"/>
      <c r="K1009" s="44"/>
      <c r="L1009" s="152" t="s">
        <v>1247</v>
      </c>
    </row>
    <row r="1010" spans="3:15" s="59" customFormat="1" ht="21" customHeight="1">
      <c r="C1010" s="588">
        <v>1</v>
      </c>
      <c r="D1010" s="56" t="s">
        <v>5</v>
      </c>
      <c r="E1010" s="577" t="s">
        <v>6</v>
      </c>
      <c r="F1010" s="62">
        <v>0.78800000000000003</v>
      </c>
      <c r="G1010" s="63">
        <f>VLOOKUP(D1010,upahbahan,3,FALSE)</f>
        <v>100000</v>
      </c>
      <c r="H1010" s="63">
        <f>F1010*G1010</f>
        <v>78800</v>
      </c>
      <c r="I1010" s="44"/>
      <c r="J1010" s="44"/>
      <c r="K1010" s="44"/>
      <c r="L1010" s="152" t="s">
        <v>1248</v>
      </c>
      <c r="O1010" s="65">
        <v>0.1</v>
      </c>
    </row>
    <row r="1011" spans="3:15" s="59" customFormat="1" ht="21" customHeight="1">
      <c r="C1011" s="588">
        <v>2</v>
      </c>
      <c r="D1011" s="56" t="s">
        <v>10</v>
      </c>
      <c r="E1011" s="577" t="s">
        <v>6</v>
      </c>
      <c r="F1011" s="62">
        <v>1.3149999999999999</v>
      </c>
      <c r="G1011" s="63">
        <f>VLOOKUP(D1011,upahbahan,3,FALSE)</f>
        <v>135000</v>
      </c>
      <c r="H1011" s="63">
        <f>F1011*G1011</f>
        <v>177525</v>
      </c>
      <c r="I1011" s="44"/>
      <c r="J1011" s="44"/>
      <c r="K1011" s="44"/>
    </row>
    <row r="1012" spans="3:15" s="59" customFormat="1" ht="21" customHeight="1">
      <c r="C1012" s="588">
        <v>3</v>
      </c>
      <c r="D1012" s="56" t="s">
        <v>18</v>
      </c>
      <c r="E1012" s="577" t="s">
        <v>6</v>
      </c>
      <c r="F1012" s="62">
        <v>0.13200000000000001</v>
      </c>
      <c r="G1012" s="63">
        <f>VLOOKUP(D1012,upahbahan,3,FALSE)</f>
        <v>150000</v>
      </c>
      <c r="H1012" s="63">
        <f>F1012*G1012</f>
        <v>19800</v>
      </c>
      <c r="I1012" s="44"/>
      <c r="J1012" s="44"/>
      <c r="K1012" s="44"/>
    </row>
    <row r="1013" spans="3:15" s="59" customFormat="1" ht="21" customHeight="1">
      <c r="C1013" s="588">
        <v>4</v>
      </c>
      <c r="D1013" s="56" t="s">
        <v>19</v>
      </c>
      <c r="E1013" s="577" t="s">
        <v>6</v>
      </c>
      <c r="F1013" s="62">
        <v>3.9E-2</v>
      </c>
      <c r="G1013" s="63">
        <f>VLOOKUP(D1013,upahbahan,3,FALSE)</f>
        <v>160000</v>
      </c>
      <c r="H1013" s="63">
        <f>F1013*G1013</f>
        <v>6240</v>
      </c>
      <c r="I1013" s="44"/>
      <c r="J1013" s="44"/>
      <c r="K1013" s="44"/>
    </row>
    <row r="1014" spans="3:15" s="59" customFormat="1" ht="21" customHeight="1">
      <c r="C1014" s="450" t="s">
        <v>1208</v>
      </c>
      <c r="D1014" s="67"/>
      <c r="E1014" s="67"/>
      <c r="F1014" s="142"/>
      <c r="G1014" s="153"/>
      <c r="H1014" s="63">
        <f>SUM(H1010:H1013)</f>
        <v>282365</v>
      </c>
      <c r="I1014" s="154"/>
      <c r="J1014" s="154"/>
      <c r="K1014" s="154"/>
    </row>
    <row r="1015" spans="3:15" s="59" customFormat="1" ht="21" customHeight="1">
      <c r="C1015" s="61" t="s">
        <v>1209</v>
      </c>
      <c r="D1015" s="56" t="s">
        <v>1210</v>
      </c>
      <c r="E1015" s="57"/>
      <c r="F1015" s="57"/>
      <c r="G1015" s="57"/>
      <c r="H1015" s="57"/>
      <c r="I1015" s="44"/>
      <c r="J1015" s="44"/>
      <c r="K1015" s="44"/>
    </row>
    <row r="1016" spans="3:15" s="59" customFormat="1" ht="21" customHeight="1">
      <c r="C1016" s="588">
        <v>1</v>
      </c>
      <c r="D1016" s="72" t="s">
        <v>8207</v>
      </c>
      <c r="E1016" s="73" t="s">
        <v>113</v>
      </c>
      <c r="F1016" s="276">
        <v>1.5</v>
      </c>
      <c r="G1016" s="63">
        <f>VLOOKUP(D1016,upahbahan,3,FALSE)</f>
        <v>1322500</v>
      </c>
      <c r="H1016" s="63">
        <f>F1016*G1016</f>
        <v>1983750</v>
      </c>
      <c r="I1016" s="44"/>
      <c r="J1016" s="44"/>
      <c r="K1016" s="44"/>
    </row>
    <row r="1017" spans="3:15" s="59" customFormat="1" ht="21" customHeight="1">
      <c r="C1017" s="450" t="s">
        <v>1214</v>
      </c>
      <c r="D1017" s="67"/>
      <c r="E1017" s="67"/>
      <c r="F1017" s="67"/>
      <c r="G1017" s="69"/>
      <c r="H1017" s="63">
        <f>SUM(H1016:H1016)</f>
        <v>1983750</v>
      </c>
      <c r="I1017" s="44"/>
      <c r="J1017" s="44"/>
      <c r="K1017" s="44"/>
    </row>
    <row r="1018" spans="3:15" s="59" customFormat="1" ht="21" customHeight="1">
      <c r="C1018" s="61" t="s">
        <v>1215</v>
      </c>
      <c r="D1018" s="56" t="s">
        <v>1216</v>
      </c>
      <c r="E1018" s="57"/>
      <c r="F1018" s="57"/>
      <c r="G1018" s="57"/>
      <c r="H1018" s="57"/>
      <c r="I1018" s="44"/>
      <c r="J1018" s="44"/>
      <c r="K1018" s="44"/>
    </row>
    <row r="1019" spans="3:15" s="59" customFormat="1" ht="21" customHeight="1">
      <c r="C1019" s="450" t="s">
        <v>1217</v>
      </c>
      <c r="D1019" s="67"/>
      <c r="E1019" s="67"/>
      <c r="F1019" s="67"/>
      <c r="G1019" s="69"/>
      <c r="H1019" s="589">
        <v>0</v>
      </c>
      <c r="I1019" s="44"/>
      <c r="J1019" s="44"/>
      <c r="K1019" s="44"/>
    </row>
    <row r="1020" spans="3:15" s="59" customFormat="1" ht="21" customHeight="1">
      <c r="C1020" s="288" t="s">
        <v>1218</v>
      </c>
      <c r="D1020" s="76" t="s">
        <v>1219</v>
      </c>
      <c r="E1020" s="77"/>
      <c r="F1020" s="77"/>
      <c r="G1020" s="78"/>
      <c r="H1020" s="585">
        <f>H1019+H1017+H1014</f>
        <v>2266115</v>
      </c>
      <c r="I1020" s="369"/>
      <c r="J1020" s="44"/>
      <c r="K1020" s="44"/>
    </row>
    <row r="1021" spans="3:15" s="59" customFormat="1" ht="21" customHeight="1">
      <c r="C1021" s="288" t="s">
        <v>1220</v>
      </c>
      <c r="D1021" s="76" t="s">
        <v>1321</v>
      </c>
      <c r="E1021" s="77"/>
      <c r="F1021" s="78"/>
      <c r="G1021" s="80">
        <v>0.1</v>
      </c>
      <c r="H1021" s="63">
        <f>H1020*G1021</f>
        <v>226611.5</v>
      </c>
      <c r="I1021" s="369"/>
      <c r="J1021" s="44"/>
      <c r="K1021" s="44"/>
    </row>
    <row r="1022" spans="3:15" s="59" customFormat="1" ht="21" customHeight="1">
      <c r="C1022" s="288" t="s">
        <v>1221</v>
      </c>
      <c r="D1022" s="76" t="s">
        <v>1222</v>
      </c>
      <c r="E1022" s="77"/>
      <c r="F1022" s="77"/>
      <c r="G1022" s="78"/>
      <c r="H1022" s="799">
        <f>SUM(H1020:H1021)</f>
        <v>2492726.5</v>
      </c>
      <c r="I1022" s="369"/>
      <c r="J1022" s="44"/>
      <c r="K1022" s="44"/>
    </row>
    <row r="1023" spans="3:15" ht="21" customHeight="1"/>
    <row r="1024" spans="3:15" s="59" customFormat="1" ht="21" customHeight="1">
      <c r="C1024" s="47" t="s">
        <v>3916</v>
      </c>
      <c r="D1024" s="794" t="s">
        <v>8208</v>
      </c>
      <c r="E1024" s="795"/>
      <c r="F1024" s="795"/>
      <c r="G1024" s="795"/>
      <c r="H1024" s="795"/>
      <c r="I1024" s="50">
        <f>ROUNDDOWN(H1039,-2)</f>
        <v>2692100</v>
      </c>
      <c r="J1024" s="50" t="s">
        <v>6451</v>
      </c>
      <c r="K1024" s="50" t="s">
        <v>8092</v>
      </c>
    </row>
    <row r="1025" spans="3:15" s="59" customFormat="1" ht="21" customHeight="1">
      <c r="C1025" s="591" t="s">
        <v>1195</v>
      </c>
      <c r="D1025" s="591" t="s">
        <v>1196</v>
      </c>
      <c r="E1025" s="591" t="s">
        <v>1197</v>
      </c>
      <c r="F1025" s="591" t="s">
        <v>1198</v>
      </c>
      <c r="G1025" s="591" t="s">
        <v>1199</v>
      </c>
      <c r="H1025" s="591" t="s">
        <v>1200</v>
      </c>
      <c r="I1025" s="44"/>
      <c r="J1025" s="44"/>
      <c r="K1025" s="44"/>
    </row>
    <row r="1026" spans="3:15" s="59" customFormat="1" ht="21" customHeight="1">
      <c r="C1026" s="61" t="s">
        <v>1201</v>
      </c>
      <c r="D1026" s="56" t="s">
        <v>1202</v>
      </c>
      <c r="E1026" s="57"/>
      <c r="F1026" s="57"/>
      <c r="G1026" s="57"/>
      <c r="H1026" s="57"/>
      <c r="I1026" s="44"/>
      <c r="J1026" s="44"/>
      <c r="K1026" s="44"/>
      <c r="L1026" s="152" t="s">
        <v>1247</v>
      </c>
    </row>
    <row r="1027" spans="3:15" s="59" customFormat="1" ht="21" customHeight="1">
      <c r="C1027" s="588">
        <v>1</v>
      </c>
      <c r="D1027" s="56" t="s">
        <v>5</v>
      </c>
      <c r="E1027" s="577" t="s">
        <v>6</v>
      </c>
      <c r="F1027" s="62">
        <v>0.94399999999999995</v>
      </c>
      <c r="G1027" s="63">
        <f>VLOOKUP(D1027,upahbahan,3,FALSE)</f>
        <v>100000</v>
      </c>
      <c r="H1027" s="63">
        <f>F1027*G1027</f>
        <v>94400</v>
      </c>
      <c r="I1027" s="44"/>
      <c r="J1027" s="44"/>
      <c r="K1027" s="44"/>
      <c r="L1027" s="152" t="s">
        <v>1248</v>
      </c>
      <c r="O1027" s="65">
        <v>0.1</v>
      </c>
    </row>
    <row r="1028" spans="3:15" s="59" customFormat="1" ht="21" customHeight="1">
      <c r="C1028" s="588">
        <v>2</v>
      </c>
      <c r="D1028" s="56" t="s">
        <v>10</v>
      </c>
      <c r="E1028" s="577" t="s">
        <v>6</v>
      </c>
      <c r="F1028" s="62">
        <v>1.5760000000000001</v>
      </c>
      <c r="G1028" s="63">
        <f>VLOOKUP(D1028,upahbahan,3,FALSE)</f>
        <v>135000</v>
      </c>
      <c r="H1028" s="63">
        <f>F1028*G1028</f>
        <v>212760</v>
      </c>
      <c r="I1028" s="44"/>
      <c r="J1028" s="44"/>
      <c r="K1028" s="44"/>
    </row>
    <row r="1029" spans="3:15" s="59" customFormat="1" ht="21" customHeight="1">
      <c r="C1029" s="588">
        <v>3</v>
      </c>
      <c r="D1029" s="56" t="s">
        <v>18</v>
      </c>
      <c r="E1029" s="577" t="s">
        <v>6</v>
      </c>
      <c r="F1029" s="62">
        <v>0.158</v>
      </c>
      <c r="G1029" s="63">
        <f>VLOOKUP(D1029,upahbahan,3,FALSE)</f>
        <v>150000</v>
      </c>
      <c r="H1029" s="63">
        <f>F1029*G1029</f>
        <v>23700</v>
      </c>
      <c r="I1029" s="44"/>
      <c r="J1029" s="44"/>
      <c r="K1029" s="44"/>
    </row>
    <row r="1030" spans="3:15" s="59" customFormat="1" ht="21" customHeight="1">
      <c r="C1030" s="588">
        <v>4</v>
      </c>
      <c r="D1030" s="56" t="s">
        <v>19</v>
      </c>
      <c r="E1030" s="577" t="s">
        <v>6</v>
      </c>
      <c r="F1030" s="62">
        <v>4.7E-2</v>
      </c>
      <c r="G1030" s="63">
        <f>VLOOKUP(D1030,upahbahan,3,FALSE)</f>
        <v>160000</v>
      </c>
      <c r="H1030" s="63">
        <f>F1030*G1030</f>
        <v>7520</v>
      </c>
      <c r="I1030" s="44"/>
      <c r="J1030" s="44"/>
      <c r="K1030" s="44"/>
    </row>
    <row r="1031" spans="3:15" s="59" customFormat="1" ht="21" customHeight="1">
      <c r="C1031" s="450" t="s">
        <v>1208</v>
      </c>
      <c r="D1031" s="67"/>
      <c r="E1031" s="67"/>
      <c r="F1031" s="142"/>
      <c r="G1031" s="153"/>
      <c r="H1031" s="63">
        <f>SUM(H1027:H1030)</f>
        <v>338380</v>
      </c>
      <c r="I1031" s="154"/>
      <c r="J1031" s="154"/>
      <c r="K1031" s="154"/>
    </row>
    <row r="1032" spans="3:15" s="59" customFormat="1" ht="21" customHeight="1">
      <c r="C1032" s="61" t="s">
        <v>1209</v>
      </c>
      <c r="D1032" s="56" t="s">
        <v>1210</v>
      </c>
      <c r="E1032" s="57"/>
      <c r="F1032" s="57"/>
      <c r="G1032" s="57"/>
      <c r="H1032" s="57"/>
      <c r="I1032" s="44"/>
      <c r="J1032" s="44"/>
      <c r="K1032" s="44"/>
    </row>
    <row r="1033" spans="3:15" s="59" customFormat="1" ht="21" customHeight="1">
      <c r="C1033" s="588">
        <v>1</v>
      </c>
      <c r="D1033" s="72" t="s">
        <v>8209</v>
      </c>
      <c r="E1033" s="73" t="s">
        <v>113</v>
      </c>
      <c r="F1033" s="276">
        <v>1.5</v>
      </c>
      <c r="G1033" s="63">
        <f>VLOOKUP(D1033,upahbahan,3,FALSE)</f>
        <v>1406000</v>
      </c>
      <c r="H1033" s="63">
        <f>F1033*G1033</f>
        <v>2109000</v>
      </c>
      <c r="I1033" s="44"/>
      <c r="J1033" s="44"/>
      <c r="K1033" s="44"/>
    </row>
    <row r="1034" spans="3:15" s="59" customFormat="1" ht="21" customHeight="1">
      <c r="C1034" s="450" t="s">
        <v>1214</v>
      </c>
      <c r="D1034" s="67"/>
      <c r="E1034" s="67"/>
      <c r="F1034" s="67"/>
      <c r="G1034" s="69"/>
      <c r="H1034" s="63">
        <f>SUM(H1033:H1033)</f>
        <v>2109000</v>
      </c>
      <c r="I1034" s="44"/>
      <c r="J1034" s="44"/>
      <c r="K1034" s="44"/>
    </row>
    <row r="1035" spans="3:15" s="59" customFormat="1" ht="21" customHeight="1">
      <c r="C1035" s="61" t="s">
        <v>1215</v>
      </c>
      <c r="D1035" s="56" t="s">
        <v>1216</v>
      </c>
      <c r="E1035" s="57"/>
      <c r="F1035" s="57"/>
      <c r="G1035" s="57"/>
      <c r="H1035" s="57"/>
      <c r="I1035" s="44"/>
      <c r="J1035" s="44"/>
      <c r="K1035" s="44"/>
    </row>
    <row r="1036" spans="3:15" s="59" customFormat="1" ht="21" customHeight="1">
      <c r="C1036" s="450" t="s">
        <v>1217</v>
      </c>
      <c r="D1036" s="67"/>
      <c r="E1036" s="67"/>
      <c r="F1036" s="67"/>
      <c r="G1036" s="69"/>
      <c r="H1036" s="589">
        <v>0</v>
      </c>
      <c r="I1036" s="44"/>
      <c r="J1036" s="44"/>
      <c r="K1036" s="44"/>
    </row>
    <row r="1037" spans="3:15" s="59" customFormat="1" ht="21" customHeight="1">
      <c r="C1037" s="288" t="s">
        <v>1218</v>
      </c>
      <c r="D1037" s="76" t="s">
        <v>1219</v>
      </c>
      <c r="E1037" s="77"/>
      <c r="F1037" s="77"/>
      <c r="G1037" s="78"/>
      <c r="H1037" s="585">
        <f>H1036+H1034+H1031</f>
        <v>2447380</v>
      </c>
      <c r="I1037" s="369"/>
      <c r="J1037" s="44"/>
      <c r="K1037" s="44"/>
    </row>
    <row r="1038" spans="3:15" s="59" customFormat="1" ht="21" customHeight="1">
      <c r="C1038" s="288" t="s">
        <v>1220</v>
      </c>
      <c r="D1038" s="76" t="s">
        <v>1321</v>
      </c>
      <c r="E1038" s="77"/>
      <c r="F1038" s="78"/>
      <c r="G1038" s="80">
        <v>0.1</v>
      </c>
      <c r="H1038" s="63">
        <f>H1037*G1038</f>
        <v>244738</v>
      </c>
      <c r="I1038" s="369"/>
      <c r="J1038" s="44"/>
      <c r="K1038" s="44"/>
    </row>
    <row r="1039" spans="3:15" s="59" customFormat="1" ht="21" customHeight="1">
      <c r="C1039" s="288" t="s">
        <v>1221</v>
      </c>
      <c r="D1039" s="76" t="s">
        <v>1222</v>
      </c>
      <c r="E1039" s="77"/>
      <c r="F1039" s="77"/>
      <c r="G1039" s="78"/>
      <c r="H1039" s="799">
        <f>SUM(H1037:H1038)</f>
        <v>2692118</v>
      </c>
      <c r="I1039" s="369"/>
      <c r="J1039" s="44"/>
      <c r="K1039" s="44"/>
    </row>
    <row r="1040" spans="3:15" ht="21" customHeight="1"/>
    <row r="1041" spans="3:15" s="59" customFormat="1" ht="21" customHeight="1">
      <c r="C1041" s="47" t="s">
        <v>3918</v>
      </c>
      <c r="D1041" s="794" t="s">
        <v>8210</v>
      </c>
      <c r="E1041" s="795"/>
      <c r="F1041" s="795"/>
      <c r="G1041" s="795"/>
      <c r="H1041" s="795"/>
      <c r="I1041" s="50">
        <f>ROUNDDOWN(H1056,-2)</f>
        <v>2850100</v>
      </c>
      <c r="J1041" s="50" t="s">
        <v>6451</v>
      </c>
      <c r="K1041" s="50" t="s">
        <v>8092</v>
      </c>
    </row>
    <row r="1042" spans="3:15" s="59" customFormat="1" ht="21" customHeight="1">
      <c r="C1042" s="591" t="s">
        <v>1195</v>
      </c>
      <c r="D1042" s="591" t="s">
        <v>1196</v>
      </c>
      <c r="E1042" s="591" t="s">
        <v>1197</v>
      </c>
      <c r="F1042" s="591" t="s">
        <v>1198</v>
      </c>
      <c r="G1042" s="591" t="s">
        <v>1199</v>
      </c>
      <c r="H1042" s="591" t="s">
        <v>1200</v>
      </c>
      <c r="I1042" s="44"/>
      <c r="J1042" s="44"/>
      <c r="K1042" s="44"/>
    </row>
    <row r="1043" spans="3:15" s="59" customFormat="1" ht="21" customHeight="1">
      <c r="C1043" s="61" t="s">
        <v>1201</v>
      </c>
      <c r="D1043" s="56" t="s">
        <v>1202</v>
      </c>
      <c r="E1043" s="57"/>
      <c r="F1043" s="57"/>
      <c r="G1043" s="57"/>
      <c r="H1043" s="57"/>
      <c r="I1043" s="44"/>
      <c r="J1043" s="44"/>
      <c r="K1043" s="44"/>
      <c r="L1043" s="152" t="s">
        <v>1247</v>
      </c>
    </row>
    <row r="1044" spans="3:15" s="59" customFormat="1" ht="21" customHeight="1">
      <c r="C1044" s="588">
        <v>1</v>
      </c>
      <c r="D1044" s="56" t="s">
        <v>5</v>
      </c>
      <c r="E1044" s="577" t="s">
        <v>6</v>
      </c>
      <c r="F1044" s="62">
        <v>1.1020000000000001</v>
      </c>
      <c r="G1044" s="63">
        <f>VLOOKUP(D1044,upahbahan,3,FALSE)</f>
        <v>100000</v>
      </c>
      <c r="H1044" s="63">
        <f>F1044*G1044</f>
        <v>110200.00000000001</v>
      </c>
      <c r="I1044" s="44"/>
      <c r="J1044" s="44"/>
      <c r="K1044" s="44"/>
      <c r="L1044" s="152" t="s">
        <v>1248</v>
      </c>
      <c r="O1044" s="65">
        <v>0.1</v>
      </c>
    </row>
    <row r="1045" spans="3:15" s="59" customFormat="1" ht="21" customHeight="1">
      <c r="C1045" s="588">
        <v>2</v>
      </c>
      <c r="D1045" s="56" t="s">
        <v>10</v>
      </c>
      <c r="E1045" s="577" t="s">
        <v>6</v>
      </c>
      <c r="F1045" s="62">
        <v>1.84</v>
      </c>
      <c r="G1045" s="63">
        <f>VLOOKUP(D1045,upahbahan,3,FALSE)</f>
        <v>135000</v>
      </c>
      <c r="H1045" s="63">
        <f>F1045*G1045</f>
        <v>248400</v>
      </c>
      <c r="I1045" s="44"/>
      <c r="J1045" s="44"/>
      <c r="K1045" s="44"/>
    </row>
    <row r="1046" spans="3:15" s="59" customFormat="1" ht="21" customHeight="1">
      <c r="C1046" s="588">
        <v>3</v>
      </c>
      <c r="D1046" s="56" t="s">
        <v>18</v>
      </c>
      <c r="E1046" s="577" t="s">
        <v>6</v>
      </c>
      <c r="F1046" s="62">
        <v>0.184</v>
      </c>
      <c r="G1046" s="63">
        <f>VLOOKUP(D1046,upahbahan,3,FALSE)</f>
        <v>150000</v>
      </c>
      <c r="H1046" s="63">
        <f>F1046*G1046</f>
        <v>27600</v>
      </c>
      <c r="I1046" s="44"/>
      <c r="J1046" s="44"/>
      <c r="K1046" s="44"/>
    </row>
    <row r="1047" spans="3:15" s="59" customFormat="1" ht="21" customHeight="1">
      <c r="C1047" s="588">
        <v>4</v>
      </c>
      <c r="D1047" s="56" t="s">
        <v>19</v>
      </c>
      <c r="E1047" s="577" t="s">
        <v>6</v>
      </c>
      <c r="F1047" s="62">
        <v>5.5E-2</v>
      </c>
      <c r="G1047" s="63">
        <f>VLOOKUP(D1047,upahbahan,3,FALSE)</f>
        <v>160000</v>
      </c>
      <c r="H1047" s="63">
        <f>F1047*G1047</f>
        <v>8800</v>
      </c>
      <c r="I1047" s="44"/>
      <c r="J1047" s="44"/>
      <c r="K1047" s="44"/>
    </row>
    <row r="1048" spans="3:15" s="59" customFormat="1" ht="21" customHeight="1">
      <c r="C1048" s="450" t="s">
        <v>1208</v>
      </c>
      <c r="D1048" s="67"/>
      <c r="E1048" s="67"/>
      <c r="F1048" s="142"/>
      <c r="G1048" s="153"/>
      <c r="H1048" s="63">
        <f>SUM(H1044:H1047)</f>
        <v>395000</v>
      </c>
      <c r="I1048" s="154"/>
      <c r="J1048" s="154"/>
      <c r="K1048" s="154"/>
    </row>
    <row r="1049" spans="3:15" s="59" customFormat="1" ht="21" customHeight="1">
      <c r="C1049" s="61" t="s">
        <v>1209</v>
      </c>
      <c r="D1049" s="56" t="s">
        <v>1210</v>
      </c>
      <c r="E1049" s="57"/>
      <c r="F1049" s="57"/>
      <c r="G1049" s="57"/>
      <c r="H1049" s="57"/>
      <c r="I1049" s="44"/>
      <c r="J1049" s="44"/>
      <c r="K1049" s="44"/>
    </row>
    <row r="1050" spans="3:15" s="59" customFormat="1" ht="21" customHeight="1">
      <c r="C1050" s="588">
        <v>1</v>
      </c>
      <c r="D1050" s="72" t="s">
        <v>8211</v>
      </c>
      <c r="E1050" s="73" t="s">
        <v>113</v>
      </c>
      <c r="F1050" s="276">
        <v>1.5</v>
      </c>
      <c r="G1050" s="63">
        <f>VLOOKUP(D1050,upahbahan,3,FALSE)</f>
        <v>1464000</v>
      </c>
      <c r="H1050" s="63">
        <f>F1050*G1050</f>
        <v>2196000</v>
      </c>
      <c r="I1050" s="44"/>
      <c r="J1050" s="44"/>
      <c r="K1050" s="44"/>
    </row>
    <row r="1051" spans="3:15" s="59" customFormat="1" ht="21" customHeight="1">
      <c r="C1051" s="450" t="s">
        <v>1214</v>
      </c>
      <c r="D1051" s="67"/>
      <c r="E1051" s="67"/>
      <c r="F1051" s="67"/>
      <c r="G1051" s="69"/>
      <c r="H1051" s="63">
        <f>SUM(H1050:H1050)</f>
        <v>2196000</v>
      </c>
      <c r="I1051" s="44"/>
      <c r="J1051" s="44"/>
      <c r="K1051" s="44"/>
    </row>
    <row r="1052" spans="3:15" s="59" customFormat="1" ht="21" customHeight="1">
      <c r="C1052" s="61" t="s">
        <v>1215</v>
      </c>
      <c r="D1052" s="56" t="s">
        <v>1216</v>
      </c>
      <c r="E1052" s="57"/>
      <c r="F1052" s="57"/>
      <c r="G1052" s="57"/>
      <c r="H1052" s="57"/>
      <c r="I1052" s="44"/>
      <c r="J1052" s="44"/>
      <c r="K1052" s="44"/>
    </row>
    <row r="1053" spans="3:15" s="59" customFormat="1" ht="21" customHeight="1">
      <c r="C1053" s="450" t="s">
        <v>1217</v>
      </c>
      <c r="D1053" s="67"/>
      <c r="E1053" s="67"/>
      <c r="F1053" s="67"/>
      <c r="G1053" s="69"/>
      <c r="H1053" s="589">
        <v>0</v>
      </c>
      <c r="I1053" s="44"/>
      <c r="J1053" s="44"/>
      <c r="K1053" s="44"/>
    </row>
    <row r="1054" spans="3:15" s="59" customFormat="1" ht="21" customHeight="1">
      <c r="C1054" s="288" t="s">
        <v>1218</v>
      </c>
      <c r="D1054" s="76" t="s">
        <v>1219</v>
      </c>
      <c r="E1054" s="77"/>
      <c r="F1054" s="77"/>
      <c r="G1054" s="78"/>
      <c r="H1054" s="585">
        <f>H1053+H1051+H1048</f>
        <v>2591000</v>
      </c>
      <c r="I1054" s="369"/>
      <c r="J1054" s="44"/>
      <c r="K1054" s="44"/>
    </row>
    <row r="1055" spans="3:15" s="59" customFormat="1" ht="21" customHeight="1">
      <c r="C1055" s="288" t="s">
        <v>1220</v>
      </c>
      <c r="D1055" s="76" t="s">
        <v>1321</v>
      </c>
      <c r="E1055" s="77"/>
      <c r="F1055" s="78"/>
      <c r="G1055" s="80">
        <v>0.1</v>
      </c>
      <c r="H1055" s="63">
        <f>H1054*G1055</f>
        <v>259100</v>
      </c>
      <c r="I1055" s="369"/>
      <c r="J1055" s="44"/>
      <c r="K1055" s="44"/>
    </row>
    <row r="1056" spans="3:15" s="59" customFormat="1" ht="21" customHeight="1">
      <c r="C1056" s="288" t="s">
        <v>1221</v>
      </c>
      <c r="D1056" s="76" t="s">
        <v>1222</v>
      </c>
      <c r="E1056" s="77"/>
      <c r="F1056" s="77"/>
      <c r="G1056" s="78"/>
      <c r="H1056" s="799">
        <f>SUM(H1054:H1055)</f>
        <v>2850100</v>
      </c>
      <c r="I1056" s="369"/>
      <c r="J1056" s="44"/>
      <c r="K1056" s="44"/>
    </row>
    <row r="1057" spans="3:15" ht="21" customHeight="1"/>
    <row r="1058" spans="3:15" s="59" customFormat="1" ht="21" customHeight="1">
      <c r="C1058" s="47" t="s">
        <v>3920</v>
      </c>
      <c r="D1058" s="794" t="s">
        <v>8212</v>
      </c>
      <c r="E1058" s="795"/>
      <c r="F1058" s="795"/>
      <c r="G1058" s="795"/>
      <c r="H1058" s="795"/>
      <c r="I1058" s="50">
        <f>ROUNDDOWN(H1073,-2)</f>
        <v>2974400</v>
      </c>
      <c r="J1058" s="50" t="s">
        <v>6451</v>
      </c>
      <c r="K1058" s="50" t="s">
        <v>8092</v>
      </c>
    </row>
    <row r="1059" spans="3:15" s="59" customFormat="1" ht="21" customHeight="1">
      <c r="C1059" s="591" t="s">
        <v>1195</v>
      </c>
      <c r="D1059" s="591" t="s">
        <v>1196</v>
      </c>
      <c r="E1059" s="591" t="s">
        <v>1197</v>
      </c>
      <c r="F1059" s="591" t="s">
        <v>1198</v>
      </c>
      <c r="G1059" s="591" t="s">
        <v>1199</v>
      </c>
      <c r="H1059" s="591" t="s">
        <v>1200</v>
      </c>
      <c r="I1059" s="44"/>
      <c r="J1059" s="44"/>
      <c r="K1059" s="44"/>
    </row>
    <row r="1060" spans="3:15" s="59" customFormat="1" ht="21" customHeight="1">
      <c r="C1060" s="61" t="s">
        <v>1201</v>
      </c>
      <c r="D1060" s="56" t="s">
        <v>1202</v>
      </c>
      <c r="E1060" s="57"/>
      <c r="F1060" s="57"/>
      <c r="G1060" s="57"/>
      <c r="H1060" s="57"/>
      <c r="I1060" s="44"/>
      <c r="J1060" s="44"/>
      <c r="K1060" s="44"/>
      <c r="L1060" s="152" t="s">
        <v>1247</v>
      </c>
    </row>
    <row r="1061" spans="3:15" s="59" customFormat="1" ht="21" customHeight="1">
      <c r="C1061" s="588">
        <v>1</v>
      </c>
      <c r="D1061" s="56" t="s">
        <v>5</v>
      </c>
      <c r="E1061" s="577" t="s">
        <v>6</v>
      </c>
      <c r="F1061" s="62">
        <v>1.258</v>
      </c>
      <c r="G1061" s="63">
        <f>VLOOKUP(D1061,upahbahan,3,FALSE)</f>
        <v>100000</v>
      </c>
      <c r="H1061" s="63">
        <f>F1061*G1061</f>
        <v>125800</v>
      </c>
      <c r="I1061" s="44"/>
      <c r="J1061" s="44"/>
      <c r="K1061" s="44"/>
      <c r="L1061" s="152" t="s">
        <v>1248</v>
      </c>
      <c r="O1061" s="65">
        <v>0.1</v>
      </c>
    </row>
    <row r="1062" spans="3:15" s="59" customFormat="1" ht="21" customHeight="1">
      <c r="C1062" s="588">
        <v>2</v>
      </c>
      <c r="D1062" s="56" t="s">
        <v>10</v>
      </c>
      <c r="E1062" s="577" t="s">
        <v>6</v>
      </c>
      <c r="F1062" s="62">
        <v>2.101</v>
      </c>
      <c r="G1062" s="63">
        <f>VLOOKUP(D1062,upahbahan,3,FALSE)</f>
        <v>135000</v>
      </c>
      <c r="H1062" s="63">
        <f>F1062*G1062</f>
        <v>283635</v>
      </c>
      <c r="I1062" s="44"/>
      <c r="J1062" s="44"/>
      <c r="K1062" s="44"/>
    </row>
    <row r="1063" spans="3:15" s="59" customFormat="1" ht="21" customHeight="1">
      <c r="C1063" s="588">
        <v>3</v>
      </c>
      <c r="D1063" s="56" t="s">
        <v>18</v>
      </c>
      <c r="E1063" s="577" t="s">
        <v>6</v>
      </c>
      <c r="F1063" s="62">
        <v>0.21</v>
      </c>
      <c r="G1063" s="63">
        <f>VLOOKUP(D1063,upahbahan,3,FALSE)</f>
        <v>150000</v>
      </c>
      <c r="H1063" s="63">
        <f>F1063*G1063</f>
        <v>31500</v>
      </c>
      <c r="I1063" s="44"/>
      <c r="J1063" s="44"/>
      <c r="K1063" s="44"/>
    </row>
    <row r="1064" spans="3:15" s="59" customFormat="1" ht="21" customHeight="1">
      <c r="C1064" s="588">
        <v>4</v>
      </c>
      <c r="D1064" s="56" t="s">
        <v>19</v>
      </c>
      <c r="E1064" s="577" t="s">
        <v>6</v>
      </c>
      <c r="F1064" s="62">
        <v>6.3E-2</v>
      </c>
      <c r="G1064" s="63">
        <f>VLOOKUP(D1064,upahbahan,3,FALSE)</f>
        <v>160000</v>
      </c>
      <c r="H1064" s="63">
        <f>F1064*G1064</f>
        <v>10080</v>
      </c>
      <c r="I1064" s="44"/>
      <c r="J1064" s="44"/>
      <c r="K1064" s="44"/>
    </row>
    <row r="1065" spans="3:15" s="59" customFormat="1" ht="21" customHeight="1">
      <c r="C1065" s="450" t="s">
        <v>1208</v>
      </c>
      <c r="D1065" s="67"/>
      <c r="E1065" s="67"/>
      <c r="F1065" s="142"/>
      <c r="G1065" s="153"/>
      <c r="H1065" s="63">
        <f>SUM(H1061:H1064)</f>
        <v>451015</v>
      </c>
      <c r="I1065" s="154"/>
      <c r="J1065" s="154"/>
      <c r="K1065" s="154"/>
    </row>
    <row r="1066" spans="3:15" s="59" customFormat="1" ht="21" customHeight="1">
      <c r="C1066" s="61" t="s">
        <v>1209</v>
      </c>
      <c r="D1066" s="56" t="s">
        <v>1210</v>
      </c>
      <c r="E1066" s="57"/>
      <c r="F1066" s="57"/>
      <c r="G1066" s="57"/>
      <c r="H1066" s="57"/>
      <c r="I1066" s="44"/>
      <c r="J1066" s="44"/>
      <c r="K1066" s="44"/>
    </row>
    <row r="1067" spans="3:15" s="59" customFormat="1" ht="21" customHeight="1">
      <c r="C1067" s="588">
        <v>1</v>
      </c>
      <c r="D1067" s="72" t="s">
        <v>8213</v>
      </c>
      <c r="E1067" s="73" t="s">
        <v>113</v>
      </c>
      <c r="F1067" s="276">
        <v>1.5</v>
      </c>
      <c r="G1067" s="63">
        <f>VLOOKUP(D1067,upahbahan,3,FALSE)</f>
        <v>1502000</v>
      </c>
      <c r="H1067" s="63">
        <f>F1067*G1067</f>
        <v>2253000</v>
      </c>
      <c r="I1067" s="44"/>
      <c r="J1067" s="44"/>
      <c r="K1067" s="44"/>
    </row>
    <row r="1068" spans="3:15" s="59" customFormat="1" ht="21" customHeight="1">
      <c r="C1068" s="450" t="s">
        <v>1214</v>
      </c>
      <c r="D1068" s="67"/>
      <c r="E1068" s="67"/>
      <c r="F1068" s="67"/>
      <c r="G1068" s="69"/>
      <c r="H1068" s="63">
        <f>SUM(H1067:H1067)</f>
        <v>2253000</v>
      </c>
      <c r="I1068" s="44"/>
      <c r="J1068" s="44"/>
      <c r="K1068" s="44"/>
    </row>
    <row r="1069" spans="3:15" s="59" customFormat="1" ht="21" customHeight="1">
      <c r="C1069" s="61" t="s">
        <v>1215</v>
      </c>
      <c r="D1069" s="56" t="s">
        <v>1216</v>
      </c>
      <c r="E1069" s="57"/>
      <c r="F1069" s="57"/>
      <c r="G1069" s="57"/>
      <c r="H1069" s="57"/>
      <c r="I1069" s="44"/>
      <c r="J1069" s="44"/>
      <c r="K1069" s="44"/>
    </row>
    <row r="1070" spans="3:15" s="59" customFormat="1" ht="21" customHeight="1">
      <c r="C1070" s="450" t="s">
        <v>1217</v>
      </c>
      <c r="D1070" s="67"/>
      <c r="E1070" s="67"/>
      <c r="F1070" s="67"/>
      <c r="G1070" s="69"/>
      <c r="H1070" s="589">
        <v>0</v>
      </c>
      <c r="I1070" s="44"/>
      <c r="J1070" s="44"/>
      <c r="K1070" s="44"/>
    </row>
    <row r="1071" spans="3:15" s="59" customFormat="1" ht="21" customHeight="1">
      <c r="C1071" s="288" t="s">
        <v>1218</v>
      </c>
      <c r="D1071" s="76" t="s">
        <v>1219</v>
      </c>
      <c r="E1071" s="77"/>
      <c r="F1071" s="77"/>
      <c r="G1071" s="78"/>
      <c r="H1071" s="585">
        <f>H1070+H1068+H1065</f>
        <v>2704015</v>
      </c>
      <c r="I1071" s="369"/>
      <c r="J1071" s="44"/>
      <c r="K1071" s="44"/>
    </row>
    <row r="1072" spans="3:15" s="59" customFormat="1" ht="21" customHeight="1">
      <c r="C1072" s="288" t="s">
        <v>1220</v>
      </c>
      <c r="D1072" s="76" t="s">
        <v>1321</v>
      </c>
      <c r="E1072" s="77"/>
      <c r="F1072" s="78"/>
      <c r="G1072" s="80">
        <v>0.1</v>
      </c>
      <c r="H1072" s="63">
        <f>H1071*G1072</f>
        <v>270401.5</v>
      </c>
      <c r="I1072" s="369"/>
      <c r="J1072" s="44"/>
      <c r="K1072" s="44"/>
    </row>
    <row r="1073" spans="3:15" s="59" customFormat="1" ht="21" customHeight="1">
      <c r="C1073" s="288" t="s">
        <v>1221</v>
      </c>
      <c r="D1073" s="76" t="s">
        <v>1222</v>
      </c>
      <c r="E1073" s="77"/>
      <c r="F1073" s="77"/>
      <c r="G1073" s="78"/>
      <c r="H1073" s="799">
        <f>SUM(H1071:H1072)</f>
        <v>2974416.5</v>
      </c>
      <c r="I1073" s="369"/>
      <c r="J1073" s="44"/>
      <c r="K1073" s="44"/>
    </row>
    <row r="1074" spans="3:15" ht="21" customHeight="1"/>
    <row r="1075" spans="3:15" ht="21" customHeight="1">
      <c r="C1075" s="54" t="s">
        <v>3922</v>
      </c>
      <c r="D1075" s="86" t="s">
        <v>3923</v>
      </c>
    </row>
    <row r="1076" spans="3:15" s="59" customFormat="1" ht="21" customHeight="1">
      <c r="C1076" s="47" t="s">
        <v>3925</v>
      </c>
      <c r="D1076" s="794" t="s">
        <v>8214</v>
      </c>
      <c r="E1076" s="795"/>
      <c r="F1076" s="795"/>
      <c r="G1076" s="795"/>
      <c r="H1076" s="795"/>
      <c r="I1076" s="50">
        <f>ROUNDDOWN(H1091,-2)</f>
        <v>37400</v>
      </c>
      <c r="J1076" s="50" t="s">
        <v>6451</v>
      </c>
      <c r="K1076" s="50" t="s">
        <v>8092</v>
      </c>
    </row>
    <row r="1077" spans="3:15" s="59" customFormat="1" ht="21" customHeight="1">
      <c r="C1077" s="591" t="s">
        <v>1195</v>
      </c>
      <c r="D1077" s="591" t="s">
        <v>1196</v>
      </c>
      <c r="E1077" s="591" t="s">
        <v>1197</v>
      </c>
      <c r="F1077" s="591" t="s">
        <v>1198</v>
      </c>
      <c r="G1077" s="591" t="s">
        <v>1199</v>
      </c>
      <c r="H1077" s="591" t="s">
        <v>1200</v>
      </c>
      <c r="I1077" s="44"/>
      <c r="J1077" s="44"/>
      <c r="K1077" s="44"/>
    </row>
    <row r="1078" spans="3:15" s="59" customFormat="1" ht="21" customHeight="1">
      <c r="C1078" s="61" t="s">
        <v>1201</v>
      </c>
      <c r="D1078" s="56" t="s">
        <v>1202</v>
      </c>
      <c r="E1078" s="57"/>
      <c r="F1078" s="57"/>
      <c r="G1078" s="57"/>
      <c r="H1078" s="57"/>
      <c r="I1078" s="44"/>
      <c r="J1078" s="44"/>
      <c r="K1078" s="44"/>
      <c r="L1078" s="152" t="s">
        <v>1247</v>
      </c>
    </row>
    <row r="1079" spans="3:15" s="59" customFormat="1" ht="21" customHeight="1">
      <c r="C1079" s="588">
        <v>1</v>
      </c>
      <c r="D1079" s="56" t="s">
        <v>5</v>
      </c>
      <c r="E1079" s="577" t="s">
        <v>6</v>
      </c>
      <c r="F1079" s="62">
        <v>2.1000000000000001E-2</v>
      </c>
      <c r="G1079" s="63">
        <f>VLOOKUP(D1079,upahbahan,3,FALSE)</f>
        <v>100000</v>
      </c>
      <c r="H1079" s="63">
        <f>F1079*G1079</f>
        <v>2100</v>
      </c>
      <c r="I1079" s="44"/>
      <c r="J1079" s="44"/>
      <c r="K1079" s="44"/>
      <c r="L1079" s="152" t="s">
        <v>1248</v>
      </c>
      <c r="O1079" s="65">
        <v>0.1</v>
      </c>
    </row>
    <row r="1080" spans="3:15" s="59" customFormat="1" ht="21" customHeight="1">
      <c r="C1080" s="588">
        <v>2</v>
      </c>
      <c r="D1080" s="56" t="s">
        <v>10</v>
      </c>
      <c r="E1080" s="577" t="s">
        <v>6</v>
      </c>
      <c r="F1080" s="62">
        <v>3.5000000000000003E-2</v>
      </c>
      <c r="G1080" s="63">
        <f>VLOOKUP(D1080,upahbahan,3,FALSE)</f>
        <v>135000</v>
      </c>
      <c r="H1080" s="63">
        <f>F1080*G1080</f>
        <v>4725</v>
      </c>
      <c r="I1080" s="44"/>
      <c r="J1080" s="44"/>
      <c r="K1080" s="44"/>
    </row>
    <row r="1081" spans="3:15" s="59" customFormat="1" ht="21" customHeight="1">
      <c r="C1081" s="588">
        <v>3</v>
      </c>
      <c r="D1081" s="56" t="s">
        <v>18</v>
      </c>
      <c r="E1081" s="577" t="s">
        <v>6</v>
      </c>
      <c r="F1081" s="62">
        <v>3.0000000000000001E-3</v>
      </c>
      <c r="G1081" s="63">
        <f>VLOOKUP(D1081,upahbahan,3,FALSE)</f>
        <v>150000</v>
      </c>
      <c r="H1081" s="63">
        <f>F1081*G1081</f>
        <v>450</v>
      </c>
      <c r="I1081" s="44"/>
      <c r="J1081" s="44"/>
      <c r="K1081" s="44"/>
    </row>
    <row r="1082" spans="3:15" s="59" customFormat="1" ht="21" customHeight="1">
      <c r="C1082" s="588">
        <v>4</v>
      </c>
      <c r="D1082" s="56" t="s">
        <v>19</v>
      </c>
      <c r="E1082" s="577" t="s">
        <v>6</v>
      </c>
      <c r="F1082" s="62">
        <v>1E-3</v>
      </c>
      <c r="G1082" s="63">
        <f>VLOOKUP(D1082,upahbahan,3,FALSE)</f>
        <v>160000</v>
      </c>
      <c r="H1082" s="63">
        <f>F1082*G1082</f>
        <v>160</v>
      </c>
      <c r="I1082" s="44"/>
      <c r="J1082" s="44"/>
      <c r="K1082" s="44"/>
    </row>
    <row r="1083" spans="3:15" s="59" customFormat="1" ht="21" customHeight="1">
      <c r="C1083" s="450" t="s">
        <v>1208</v>
      </c>
      <c r="D1083" s="67"/>
      <c r="E1083" s="67"/>
      <c r="F1083" s="142"/>
      <c r="G1083" s="153"/>
      <c r="H1083" s="63">
        <f>SUM(H1079:H1082)</f>
        <v>7435</v>
      </c>
      <c r="I1083" s="154"/>
      <c r="J1083" s="154"/>
      <c r="K1083" s="154"/>
    </row>
    <row r="1084" spans="3:15" s="59" customFormat="1" ht="21" customHeight="1">
      <c r="C1084" s="61" t="s">
        <v>1209</v>
      </c>
      <c r="D1084" s="56" t="s">
        <v>1210</v>
      </c>
      <c r="E1084" s="57"/>
      <c r="F1084" s="57"/>
      <c r="G1084" s="57"/>
      <c r="H1084" s="57"/>
      <c r="I1084" s="44"/>
      <c r="J1084" s="44"/>
      <c r="K1084" s="44"/>
    </row>
    <row r="1085" spans="3:15" s="59" customFormat="1" ht="21" customHeight="1">
      <c r="C1085" s="588">
        <v>1</v>
      </c>
      <c r="D1085" s="72" t="s">
        <v>8215</v>
      </c>
      <c r="E1085" s="73" t="s">
        <v>113</v>
      </c>
      <c r="F1085" s="276">
        <v>1.65</v>
      </c>
      <c r="G1085" s="63">
        <f>VLOOKUP(D1085,upahbahan,3,FALSE)</f>
        <v>16100</v>
      </c>
      <c r="H1085" s="63">
        <f>F1085*G1085</f>
        <v>26565</v>
      </c>
      <c r="I1085" s="44"/>
      <c r="J1085" s="44"/>
      <c r="K1085" s="44"/>
    </row>
    <row r="1086" spans="3:15" s="59" customFormat="1" ht="21" customHeight="1">
      <c r="C1086" s="450" t="s">
        <v>1214</v>
      </c>
      <c r="D1086" s="67"/>
      <c r="E1086" s="67"/>
      <c r="F1086" s="67"/>
      <c r="G1086" s="69"/>
      <c r="H1086" s="63">
        <f>SUM(H1085:H1085)</f>
        <v>26565</v>
      </c>
      <c r="I1086" s="44"/>
      <c r="J1086" s="44"/>
      <c r="K1086" s="44"/>
    </row>
    <row r="1087" spans="3:15" s="59" customFormat="1" ht="21" customHeight="1">
      <c r="C1087" s="61" t="s">
        <v>1215</v>
      </c>
      <c r="D1087" s="56" t="s">
        <v>1216</v>
      </c>
      <c r="E1087" s="57"/>
      <c r="F1087" s="57"/>
      <c r="G1087" s="57"/>
      <c r="H1087" s="57"/>
      <c r="I1087" s="44"/>
      <c r="J1087" s="44"/>
      <c r="K1087" s="44"/>
    </row>
    <row r="1088" spans="3:15" s="59" customFormat="1" ht="21" customHeight="1">
      <c r="C1088" s="450" t="s">
        <v>1217</v>
      </c>
      <c r="D1088" s="67"/>
      <c r="E1088" s="67"/>
      <c r="F1088" s="67"/>
      <c r="G1088" s="69"/>
      <c r="H1088" s="589">
        <v>0</v>
      </c>
      <c r="I1088" s="44"/>
      <c r="J1088" s="44"/>
      <c r="K1088" s="44"/>
    </row>
    <row r="1089" spans="3:15" s="59" customFormat="1" ht="21" customHeight="1">
      <c r="C1089" s="288" t="s">
        <v>1218</v>
      </c>
      <c r="D1089" s="76" t="s">
        <v>1219</v>
      </c>
      <c r="E1089" s="77"/>
      <c r="F1089" s="77"/>
      <c r="G1089" s="78"/>
      <c r="H1089" s="585">
        <f>H1088+H1086+H1083</f>
        <v>34000</v>
      </c>
      <c r="I1089" s="369"/>
      <c r="J1089" s="44"/>
      <c r="K1089" s="44"/>
    </row>
    <row r="1090" spans="3:15" s="59" customFormat="1" ht="21" customHeight="1">
      <c r="C1090" s="288" t="s">
        <v>1220</v>
      </c>
      <c r="D1090" s="76" t="s">
        <v>1321</v>
      </c>
      <c r="E1090" s="77"/>
      <c r="F1090" s="78"/>
      <c r="G1090" s="80">
        <v>0.1</v>
      </c>
      <c r="H1090" s="63">
        <f>H1089*G1090</f>
        <v>3400</v>
      </c>
      <c r="I1090" s="369"/>
      <c r="J1090" s="44"/>
      <c r="K1090" s="44"/>
    </row>
    <row r="1091" spans="3:15" s="59" customFormat="1" ht="21" customHeight="1">
      <c r="C1091" s="288" t="s">
        <v>1221</v>
      </c>
      <c r="D1091" s="76" t="s">
        <v>1222</v>
      </c>
      <c r="E1091" s="77"/>
      <c r="F1091" s="77"/>
      <c r="G1091" s="78"/>
      <c r="H1091" s="799">
        <f>SUM(H1089:H1090)</f>
        <v>37400</v>
      </c>
      <c r="I1091" s="369"/>
      <c r="J1091" s="44"/>
      <c r="K1091" s="44"/>
    </row>
    <row r="1092" spans="3:15" ht="21" customHeight="1"/>
    <row r="1093" spans="3:15" s="59" customFormat="1" ht="21" customHeight="1">
      <c r="C1093" s="47" t="s">
        <v>3926</v>
      </c>
      <c r="D1093" s="794" t="s">
        <v>8216</v>
      </c>
      <c r="E1093" s="795"/>
      <c r="F1093" s="795"/>
      <c r="G1093" s="795"/>
      <c r="H1093" s="795"/>
      <c r="I1093" s="50">
        <f>ROUNDDOWN(H1108,-2)</f>
        <v>48000</v>
      </c>
      <c r="J1093" s="50" t="s">
        <v>6451</v>
      </c>
      <c r="K1093" s="50" t="s">
        <v>8092</v>
      </c>
    </row>
    <row r="1094" spans="3:15" s="59" customFormat="1" ht="21" customHeight="1">
      <c r="C1094" s="591" t="s">
        <v>1195</v>
      </c>
      <c r="D1094" s="591" t="s">
        <v>1196</v>
      </c>
      <c r="E1094" s="591" t="s">
        <v>1197</v>
      </c>
      <c r="F1094" s="591" t="s">
        <v>1198</v>
      </c>
      <c r="G1094" s="591" t="s">
        <v>1199</v>
      </c>
      <c r="H1094" s="591" t="s">
        <v>1200</v>
      </c>
      <c r="I1094" s="44"/>
      <c r="J1094" s="44"/>
      <c r="K1094" s="44"/>
    </row>
    <row r="1095" spans="3:15" s="59" customFormat="1" ht="21" customHeight="1">
      <c r="C1095" s="61" t="s">
        <v>1201</v>
      </c>
      <c r="D1095" s="56" t="s">
        <v>1202</v>
      </c>
      <c r="E1095" s="57"/>
      <c r="F1095" s="57"/>
      <c r="G1095" s="57"/>
      <c r="H1095" s="57"/>
      <c r="I1095" s="44"/>
      <c r="J1095" s="44"/>
      <c r="K1095" s="44"/>
      <c r="L1095" s="152" t="s">
        <v>1247</v>
      </c>
    </row>
    <row r="1096" spans="3:15" s="59" customFormat="1" ht="21" customHeight="1">
      <c r="C1096" s="588">
        <v>1</v>
      </c>
      <c r="D1096" s="56" t="s">
        <v>5</v>
      </c>
      <c r="E1096" s="577" t="s">
        <v>6</v>
      </c>
      <c r="F1096" s="62">
        <v>3.1E-2</v>
      </c>
      <c r="G1096" s="63">
        <f>VLOOKUP(D1096,upahbahan,3,FALSE)</f>
        <v>100000</v>
      </c>
      <c r="H1096" s="63">
        <f>F1096*G1096</f>
        <v>3100</v>
      </c>
      <c r="I1096" s="44"/>
      <c r="J1096" s="44"/>
      <c r="K1096" s="44"/>
      <c r="L1096" s="152" t="s">
        <v>1248</v>
      </c>
      <c r="O1096" s="65">
        <v>0.1</v>
      </c>
    </row>
    <row r="1097" spans="3:15" s="59" customFormat="1" ht="21" customHeight="1">
      <c r="C1097" s="588">
        <v>2</v>
      </c>
      <c r="D1097" s="56" t="s">
        <v>10</v>
      </c>
      <c r="E1097" s="577" t="s">
        <v>6</v>
      </c>
      <c r="F1097" s="62">
        <v>5.1999999999999998E-2</v>
      </c>
      <c r="G1097" s="63">
        <f>VLOOKUP(D1097,upahbahan,3,FALSE)</f>
        <v>135000</v>
      </c>
      <c r="H1097" s="63">
        <f>F1097*G1097</f>
        <v>7020</v>
      </c>
      <c r="I1097" s="44"/>
      <c r="J1097" s="44"/>
      <c r="K1097" s="44"/>
    </row>
    <row r="1098" spans="3:15" s="59" customFormat="1" ht="21" customHeight="1">
      <c r="C1098" s="588">
        <v>3</v>
      </c>
      <c r="D1098" s="56" t="s">
        <v>18</v>
      </c>
      <c r="E1098" s="577" t="s">
        <v>6</v>
      </c>
      <c r="F1098" s="62">
        <v>5.0000000000000001E-3</v>
      </c>
      <c r="G1098" s="63">
        <f>VLOOKUP(D1098,upahbahan,3,FALSE)</f>
        <v>150000</v>
      </c>
      <c r="H1098" s="63">
        <f>F1098*G1098</f>
        <v>750</v>
      </c>
      <c r="I1098" s="44"/>
      <c r="J1098" s="44"/>
      <c r="K1098" s="44"/>
    </row>
    <row r="1099" spans="3:15" s="59" customFormat="1" ht="21" customHeight="1">
      <c r="C1099" s="588">
        <v>4</v>
      </c>
      <c r="D1099" s="56" t="s">
        <v>19</v>
      </c>
      <c r="E1099" s="577" t="s">
        <v>6</v>
      </c>
      <c r="F1099" s="62">
        <v>2E-3</v>
      </c>
      <c r="G1099" s="63">
        <f>VLOOKUP(D1099,upahbahan,3,FALSE)</f>
        <v>160000</v>
      </c>
      <c r="H1099" s="63">
        <f>F1099*G1099</f>
        <v>320</v>
      </c>
      <c r="I1099" s="44"/>
      <c r="J1099" s="44"/>
      <c r="K1099" s="44"/>
    </row>
    <row r="1100" spans="3:15" s="59" customFormat="1" ht="21" customHeight="1">
      <c r="C1100" s="450" t="s">
        <v>1208</v>
      </c>
      <c r="D1100" s="67"/>
      <c r="E1100" s="67"/>
      <c r="F1100" s="142"/>
      <c r="G1100" s="153"/>
      <c r="H1100" s="63">
        <f>SUM(H1096:H1099)</f>
        <v>11190</v>
      </c>
      <c r="I1100" s="154"/>
      <c r="J1100" s="154"/>
      <c r="K1100" s="154"/>
    </row>
    <row r="1101" spans="3:15" s="59" customFormat="1" ht="21" customHeight="1">
      <c r="C1101" s="61" t="s">
        <v>1209</v>
      </c>
      <c r="D1101" s="56" t="s">
        <v>1210</v>
      </c>
      <c r="E1101" s="57"/>
      <c r="F1101" s="57"/>
      <c r="G1101" s="57"/>
      <c r="H1101" s="57"/>
      <c r="I1101" s="44"/>
      <c r="J1101" s="44"/>
      <c r="K1101" s="44"/>
    </row>
    <row r="1102" spans="3:15" s="59" customFormat="1" ht="21" customHeight="1">
      <c r="C1102" s="588">
        <v>1</v>
      </c>
      <c r="D1102" s="72" t="s">
        <v>8217</v>
      </c>
      <c r="E1102" s="73" t="s">
        <v>113</v>
      </c>
      <c r="F1102" s="276">
        <v>1.65</v>
      </c>
      <c r="G1102" s="63">
        <f>VLOOKUP(D1102,upahbahan,3,FALSE)</f>
        <v>19700</v>
      </c>
      <c r="H1102" s="63">
        <f>F1102*G1102</f>
        <v>32505</v>
      </c>
      <c r="I1102" s="44"/>
      <c r="J1102" s="44"/>
      <c r="K1102" s="44"/>
    </row>
    <row r="1103" spans="3:15" s="59" customFormat="1" ht="21" customHeight="1">
      <c r="C1103" s="450" t="s">
        <v>1214</v>
      </c>
      <c r="D1103" s="67"/>
      <c r="E1103" s="67"/>
      <c r="F1103" s="67"/>
      <c r="G1103" s="69"/>
      <c r="H1103" s="63">
        <f>SUM(H1102:H1102)</f>
        <v>32505</v>
      </c>
      <c r="I1103" s="44"/>
      <c r="J1103" s="44"/>
      <c r="K1103" s="44"/>
    </row>
    <row r="1104" spans="3:15" s="59" customFormat="1" ht="21" customHeight="1">
      <c r="C1104" s="61" t="s">
        <v>1215</v>
      </c>
      <c r="D1104" s="56" t="s">
        <v>1216</v>
      </c>
      <c r="E1104" s="57"/>
      <c r="F1104" s="57"/>
      <c r="G1104" s="57"/>
      <c r="H1104" s="57"/>
      <c r="I1104" s="44"/>
      <c r="J1104" s="44"/>
      <c r="K1104" s="44"/>
    </row>
    <row r="1105" spans="3:15" s="59" customFormat="1" ht="21" customHeight="1">
      <c r="C1105" s="450" t="s">
        <v>1217</v>
      </c>
      <c r="D1105" s="67"/>
      <c r="E1105" s="67"/>
      <c r="F1105" s="67"/>
      <c r="G1105" s="69"/>
      <c r="H1105" s="589">
        <v>0</v>
      </c>
      <c r="I1105" s="44"/>
      <c r="J1105" s="44"/>
      <c r="K1105" s="44"/>
    </row>
    <row r="1106" spans="3:15" s="59" customFormat="1" ht="21" customHeight="1">
      <c r="C1106" s="288" t="s">
        <v>1218</v>
      </c>
      <c r="D1106" s="76" t="s">
        <v>1219</v>
      </c>
      <c r="E1106" s="77"/>
      <c r="F1106" s="77"/>
      <c r="G1106" s="78"/>
      <c r="H1106" s="585">
        <f>H1105+H1103+H1100</f>
        <v>43695</v>
      </c>
      <c r="I1106" s="369"/>
      <c r="J1106" s="44"/>
      <c r="K1106" s="44"/>
    </row>
    <row r="1107" spans="3:15" s="59" customFormat="1" ht="21" customHeight="1">
      <c r="C1107" s="288" t="s">
        <v>1220</v>
      </c>
      <c r="D1107" s="76" t="s">
        <v>1321</v>
      </c>
      <c r="E1107" s="77"/>
      <c r="F1107" s="78"/>
      <c r="G1107" s="80">
        <v>0.1</v>
      </c>
      <c r="H1107" s="63">
        <f>H1106*G1107</f>
        <v>4369.5</v>
      </c>
      <c r="I1107" s="369"/>
      <c r="J1107" s="44"/>
      <c r="K1107" s="44"/>
    </row>
    <row r="1108" spans="3:15" s="59" customFormat="1" ht="21" customHeight="1">
      <c r="C1108" s="288" t="s">
        <v>1221</v>
      </c>
      <c r="D1108" s="76" t="s">
        <v>1222</v>
      </c>
      <c r="E1108" s="77"/>
      <c r="F1108" s="77"/>
      <c r="G1108" s="78"/>
      <c r="H1108" s="799">
        <f>SUM(H1106:H1107)</f>
        <v>48064.5</v>
      </c>
      <c r="I1108" s="369"/>
      <c r="J1108" s="44"/>
      <c r="K1108" s="44"/>
    </row>
    <row r="1109" spans="3:15" ht="21" customHeight="1"/>
    <row r="1110" spans="3:15" s="59" customFormat="1" ht="21" customHeight="1">
      <c r="C1110" s="47" t="s">
        <v>3928</v>
      </c>
      <c r="D1110" s="794" t="s">
        <v>8218</v>
      </c>
      <c r="E1110" s="795"/>
      <c r="F1110" s="795"/>
      <c r="G1110" s="795"/>
      <c r="H1110" s="795"/>
      <c r="I1110" s="50">
        <f>ROUNDDOWN(H1125,-2)</f>
        <v>68900</v>
      </c>
      <c r="J1110" s="50" t="s">
        <v>6451</v>
      </c>
      <c r="K1110" s="50" t="s">
        <v>8092</v>
      </c>
    </row>
    <row r="1111" spans="3:15" s="59" customFormat="1" ht="21" customHeight="1">
      <c r="C1111" s="591" t="s">
        <v>1195</v>
      </c>
      <c r="D1111" s="591" t="s">
        <v>1196</v>
      </c>
      <c r="E1111" s="591" t="s">
        <v>1197</v>
      </c>
      <c r="F1111" s="591" t="s">
        <v>1198</v>
      </c>
      <c r="G1111" s="591" t="s">
        <v>1199</v>
      </c>
      <c r="H1111" s="591" t="s">
        <v>1200</v>
      </c>
      <c r="I1111" s="44"/>
      <c r="J1111" s="44"/>
      <c r="K1111" s="44"/>
    </row>
    <row r="1112" spans="3:15" s="59" customFormat="1" ht="21" customHeight="1">
      <c r="C1112" s="61" t="s">
        <v>1201</v>
      </c>
      <c r="D1112" s="56" t="s">
        <v>1202</v>
      </c>
      <c r="E1112" s="57"/>
      <c r="F1112" s="57"/>
      <c r="G1112" s="57"/>
      <c r="H1112" s="57"/>
      <c r="I1112" s="44"/>
      <c r="J1112" s="44"/>
      <c r="K1112" s="44"/>
      <c r="L1112" s="152" t="s">
        <v>1247</v>
      </c>
    </row>
    <row r="1113" spans="3:15" s="59" customFormat="1" ht="21" customHeight="1">
      <c r="C1113" s="588">
        <v>1</v>
      </c>
      <c r="D1113" s="56" t="s">
        <v>5</v>
      </c>
      <c r="E1113" s="577" t="s">
        <v>6</v>
      </c>
      <c r="F1113" s="62">
        <v>4.3999999999999997E-2</v>
      </c>
      <c r="G1113" s="63">
        <f>VLOOKUP(D1113,upahbahan,3,FALSE)</f>
        <v>100000</v>
      </c>
      <c r="H1113" s="63">
        <f>F1113*G1113</f>
        <v>4400</v>
      </c>
      <c r="I1113" s="44"/>
      <c r="J1113" s="44"/>
      <c r="K1113" s="44"/>
      <c r="L1113" s="152" t="s">
        <v>1248</v>
      </c>
      <c r="O1113" s="65">
        <v>0.1</v>
      </c>
    </row>
    <row r="1114" spans="3:15" s="59" customFormat="1" ht="21" customHeight="1">
      <c r="C1114" s="588">
        <v>2</v>
      </c>
      <c r="D1114" s="56" t="s">
        <v>10</v>
      </c>
      <c r="E1114" s="577" t="s">
        <v>6</v>
      </c>
      <c r="F1114" s="62">
        <v>7.2999999999999995E-2</v>
      </c>
      <c r="G1114" s="63">
        <f>VLOOKUP(D1114,upahbahan,3,FALSE)</f>
        <v>135000</v>
      </c>
      <c r="H1114" s="63">
        <f>F1114*G1114</f>
        <v>9855</v>
      </c>
      <c r="I1114" s="44"/>
      <c r="J1114" s="44"/>
      <c r="K1114" s="44"/>
    </row>
    <row r="1115" spans="3:15" s="59" customFormat="1" ht="21" customHeight="1">
      <c r="C1115" s="588">
        <v>3</v>
      </c>
      <c r="D1115" s="56" t="s">
        <v>18</v>
      </c>
      <c r="E1115" s="577" t="s">
        <v>6</v>
      </c>
      <c r="F1115" s="62">
        <v>7.0000000000000001E-3</v>
      </c>
      <c r="G1115" s="63">
        <f>VLOOKUP(D1115,upahbahan,3,FALSE)</f>
        <v>150000</v>
      </c>
      <c r="H1115" s="63">
        <f>F1115*G1115</f>
        <v>1050</v>
      </c>
      <c r="I1115" s="44"/>
      <c r="J1115" s="44"/>
      <c r="K1115" s="44"/>
    </row>
    <row r="1116" spans="3:15" s="59" customFormat="1" ht="21" customHeight="1">
      <c r="C1116" s="588">
        <v>4</v>
      </c>
      <c r="D1116" s="56" t="s">
        <v>19</v>
      </c>
      <c r="E1116" s="577" t="s">
        <v>6</v>
      </c>
      <c r="F1116" s="62">
        <v>2E-3</v>
      </c>
      <c r="G1116" s="63">
        <f>VLOOKUP(D1116,upahbahan,3,FALSE)</f>
        <v>160000</v>
      </c>
      <c r="H1116" s="63">
        <f>F1116*G1116</f>
        <v>320</v>
      </c>
      <c r="I1116" s="44"/>
      <c r="J1116" s="44"/>
      <c r="K1116" s="44"/>
    </row>
    <row r="1117" spans="3:15" s="59" customFormat="1" ht="21" customHeight="1">
      <c r="C1117" s="450" t="s">
        <v>1208</v>
      </c>
      <c r="D1117" s="67"/>
      <c r="E1117" s="67"/>
      <c r="F1117" s="142"/>
      <c r="G1117" s="153"/>
      <c r="H1117" s="63">
        <f>SUM(H1113:H1116)</f>
        <v>15625</v>
      </c>
      <c r="I1117" s="154"/>
      <c r="J1117" s="154"/>
      <c r="K1117" s="154"/>
    </row>
    <row r="1118" spans="3:15" s="59" customFormat="1" ht="21" customHeight="1">
      <c r="C1118" s="61" t="s">
        <v>1209</v>
      </c>
      <c r="D1118" s="56" t="s">
        <v>1210</v>
      </c>
      <c r="E1118" s="57"/>
      <c r="F1118" s="57"/>
      <c r="G1118" s="57"/>
      <c r="H1118" s="57"/>
      <c r="I1118" s="44"/>
      <c r="J1118" s="44"/>
      <c r="K1118" s="44"/>
    </row>
    <row r="1119" spans="3:15" s="59" customFormat="1" ht="21" customHeight="1">
      <c r="C1119" s="588">
        <v>1</v>
      </c>
      <c r="D1119" s="72" t="s">
        <v>8219</v>
      </c>
      <c r="E1119" s="73" t="s">
        <v>113</v>
      </c>
      <c r="F1119" s="276">
        <v>1.65</v>
      </c>
      <c r="G1119" s="63">
        <f>VLOOKUP(D1119,upahbahan,3,FALSE)</f>
        <v>28500</v>
      </c>
      <c r="H1119" s="63">
        <f>F1119*G1119</f>
        <v>47025</v>
      </c>
      <c r="I1119" s="44"/>
      <c r="J1119" s="44"/>
      <c r="K1119" s="44"/>
    </row>
    <row r="1120" spans="3:15" s="59" customFormat="1" ht="21" customHeight="1">
      <c r="C1120" s="450" t="s">
        <v>1214</v>
      </c>
      <c r="D1120" s="67"/>
      <c r="E1120" s="67"/>
      <c r="F1120" s="67"/>
      <c r="G1120" s="69"/>
      <c r="H1120" s="63">
        <f>SUM(H1119:H1119)</f>
        <v>47025</v>
      </c>
      <c r="I1120" s="44"/>
      <c r="J1120" s="44"/>
      <c r="K1120" s="44"/>
    </row>
    <row r="1121" spans="3:15" s="59" customFormat="1" ht="21" customHeight="1">
      <c r="C1121" s="61" t="s">
        <v>1215</v>
      </c>
      <c r="D1121" s="56" t="s">
        <v>1216</v>
      </c>
      <c r="E1121" s="57"/>
      <c r="F1121" s="57"/>
      <c r="G1121" s="57"/>
      <c r="H1121" s="57"/>
      <c r="I1121" s="44"/>
      <c r="J1121" s="44"/>
      <c r="K1121" s="44"/>
    </row>
    <row r="1122" spans="3:15" s="59" customFormat="1" ht="21" customHeight="1">
      <c r="C1122" s="450" t="s">
        <v>1217</v>
      </c>
      <c r="D1122" s="67"/>
      <c r="E1122" s="67"/>
      <c r="F1122" s="67"/>
      <c r="G1122" s="69"/>
      <c r="H1122" s="589">
        <v>0</v>
      </c>
      <c r="I1122" s="44"/>
      <c r="J1122" s="44"/>
      <c r="K1122" s="44"/>
    </row>
    <row r="1123" spans="3:15" s="59" customFormat="1" ht="21" customHeight="1">
      <c r="C1123" s="288" t="s">
        <v>1218</v>
      </c>
      <c r="D1123" s="76" t="s">
        <v>1219</v>
      </c>
      <c r="E1123" s="77"/>
      <c r="F1123" s="77"/>
      <c r="G1123" s="78"/>
      <c r="H1123" s="585">
        <f>H1122+H1120+H1117</f>
        <v>62650</v>
      </c>
      <c r="I1123" s="369"/>
      <c r="J1123" s="44"/>
      <c r="K1123" s="44"/>
    </row>
    <row r="1124" spans="3:15" s="59" customFormat="1" ht="21" customHeight="1">
      <c r="C1124" s="288" t="s">
        <v>1220</v>
      </c>
      <c r="D1124" s="76" t="s">
        <v>1321</v>
      </c>
      <c r="E1124" s="77"/>
      <c r="F1124" s="78"/>
      <c r="G1124" s="80">
        <v>0.1</v>
      </c>
      <c r="H1124" s="63">
        <f>H1123*G1124</f>
        <v>6265</v>
      </c>
      <c r="I1124" s="369"/>
      <c r="J1124" s="44"/>
      <c r="K1124" s="44"/>
    </row>
    <row r="1125" spans="3:15" s="59" customFormat="1" ht="21" customHeight="1">
      <c r="C1125" s="288" t="s">
        <v>1221</v>
      </c>
      <c r="D1125" s="76" t="s">
        <v>1222</v>
      </c>
      <c r="E1125" s="77"/>
      <c r="F1125" s="77"/>
      <c r="G1125" s="78"/>
      <c r="H1125" s="799">
        <f>SUM(H1123:H1124)</f>
        <v>68915</v>
      </c>
      <c r="I1125" s="369"/>
      <c r="J1125" s="44"/>
      <c r="K1125" s="44"/>
    </row>
    <row r="1126" spans="3:15" ht="21" customHeight="1"/>
    <row r="1127" spans="3:15" s="59" customFormat="1" ht="21" customHeight="1">
      <c r="C1127" s="47" t="s">
        <v>3930</v>
      </c>
      <c r="D1127" s="794" t="s">
        <v>8220</v>
      </c>
      <c r="E1127" s="795"/>
      <c r="F1127" s="795"/>
      <c r="G1127" s="795"/>
      <c r="H1127" s="795"/>
      <c r="I1127" s="50">
        <f>ROUNDDOWN(H1142,-2)</f>
        <v>97500</v>
      </c>
      <c r="J1127" s="50" t="s">
        <v>6451</v>
      </c>
      <c r="K1127" s="50" t="s">
        <v>8092</v>
      </c>
    </row>
    <row r="1128" spans="3:15" s="59" customFormat="1" ht="21" customHeight="1">
      <c r="C1128" s="591" t="s">
        <v>1195</v>
      </c>
      <c r="D1128" s="591" t="s">
        <v>1196</v>
      </c>
      <c r="E1128" s="591" t="s">
        <v>1197</v>
      </c>
      <c r="F1128" s="591" t="s">
        <v>1198</v>
      </c>
      <c r="G1128" s="591" t="s">
        <v>1199</v>
      </c>
      <c r="H1128" s="591" t="s">
        <v>1200</v>
      </c>
      <c r="I1128" s="44"/>
      <c r="J1128" s="44"/>
      <c r="K1128" s="44"/>
    </row>
    <row r="1129" spans="3:15" s="59" customFormat="1" ht="21" customHeight="1">
      <c r="C1129" s="61" t="s">
        <v>1201</v>
      </c>
      <c r="D1129" s="56" t="s">
        <v>1202</v>
      </c>
      <c r="E1129" s="57"/>
      <c r="F1129" s="57"/>
      <c r="G1129" s="57"/>
      <c r="H1129" s="57"/>
      <c r="I1129" s="44"/>
      <c r="J1129" s="44"/>
      <c r="K1129" s="44"/>
      <c r="L1129" s="152" t="s">
        <v>1247</v>
      </c>
    </row>
    <row r="1130" spans="3:15" s="59" customFormat="1" ht="21" customHeight="1">
      <c r="C1130" s="588">
        <v>1</v>
      </c>
      <c r="D1130" s="56" t="s">
        <v>5</v>
      </c>
      <c r="E1130" s="577" t="s">
        <v>6</v>
      </c>
      <c r="F1130" s="62">
        <v>5.3999999999999999E-2</v>
      </c>
      <c r="G1130" s="63">
        <f>VLOOKUP(D1130,upahbahan,3,FALSE)</f>
        <v>100000</v>
      </c>
      <c r="H1130" s="63">
        <f>F1130*G1130</f>
        <v>5400</v>
      </c>
      <c r="I1130" s="44"/>
      <c r="J1130" s="44"/>
      <c r="K1130" s="44"/>
      <c r="L1130" s="152" t="s">
        <v>1248</v>
      </c>
      <c r="O1130" s="65">
        <v>0.1</v>
      </c>
    </row>
    <row r="1131" spans="3:15" s="59" customFormat="1" ht="21" customHeight="1">
      <c r="C1131" s="588">
        <v>2</v>
      </c>
      <c r="D1131" s="56" t="s">
        <v>10</v>
      </c>
      <c r="E1131" s="577" t="s">
        <v>6</v>
      </c>
      <c r="F1131" s="62">
        <v>0.09</v>
      </c>
      <c r="G1131" s="63">
        <f>VLOOKUP(D1131,upahbahan,3,FALSE)</f>
        <v>135000</v>
      </c>
      <c r="H1131" s="63">
        <f>F1131*G1131</f>
        <v>12150</v>
      </c>
      <c r="I1131" s="44"/>
      <c r="J1131" s="44"/>
      <c r="K1131" s="44"/>
    </row>
    <row r="1132" spans="3:15" s="59" customFormat="1" ht="21" customHeight="1">
      <c r="C1132" s="588">
        <v>3</v>
      </c>
      <c r="D1132" s="56" t="s">
        <v>18</v>
      </c>
      <c r="E1132" s="577" t="s">
        <v>6</v>
      </c>
      <c r="F1132" s="62">
        <v>8.9999999999999993E-3</v>
      </c>
      <c r="G1132" s="63">
        <f>VLOOKUP(D1132,upahbahan,3,FALSE)</f>
        <v>150000</v>
      </c>
      <c r="H1132" s="63">
        <f>F1132*G1132</f>
        <v>1350</v>
      </c>
      <c r="I1132" s="44"/>
      <c r="J1132" s="44"/>
      <c r="K1132" s="44"/>
    </row>
    <row r="1133" spans="3:15" s="59" customFormat="1" ht="21" customHeight="1">
      <c r="C1133" s="588">
        <v>4</v>
      </c>
      <c r="D1133" s="56" t="s">
        <v>19</v>
      </c>
      <c r="E1133" s="577" t="s">
        <v>6</v>
      </c>
      <c r="F1133" s="62">
        <v>3.0000000000000001E-3</v>
      </c>
      <c r="G1133" s="63">
        <f>VLOOKUP(D1133,upahbahan,3,FALSE)</f>
        <v>160000</v>
      </c>
      <c r="H1133" s="63">
        <f>F1133*G1133</f>
        <v>480</v>
      </c>
      <c r="I1133" s="44"/>
      <c r="J1133" s="44"/>
      <c r="K1133" s="44"/>
    </row>
    <row r="1134" spans="3:15" s="59" customFormat="1" ht="21" customHeight="1">
      <c r="C1134" s="450" t="s">
        <v>1208</v>
      </c>
      <c r="D1134" s="67"/>
      <c r="E1134" s="67"/>
      <c r="F1134" s="142"/>
      <c r="G1134" s="153"/>
      <c r="H1134" s="63">
        <f>SUM(H1130:H1133)</f>
        <v>19380</v>
      </c>
      <c r="I1134" s="154"/>
      <c r="J1134" s="154"/>
      <c r="K1134" s="154"/>
    </row>
    <row r="1135" spans="3:15" s="59" customFormat="1" ht="21" customHeight="1">
      <c r="C1135" s="61" t="s">
        <v>1209</v>
      </c>
      <c r="D1135" s="56" t="s">
        <v>1210</v>
      </c>
      <c r="E1135" s="57"/>
      <c r="F1135" s="57"/>
      <c r="G1135" s="57"/>
      <c r="H1135" s="57"/>
      <c r="I1135" s="44"/>
      <c r="J1135" s="44"/>
      <c r="K1135" s="44"/>
    </row>
    <row r="1136" spans="3:15" s="59" customFormat="1" ht="21" customHeight="1">
      <c r="C1136" s="588">
        <v>1</v>
      </c>
      <c r="D1136" s="72" t="s">
        <v>8221</v>
      </c>
      <c r="E1136" s="73" t="s">
        <v>113</v>
      </c>
      <c r="F1136" s="276">
        <v>1.65</v>
      </c>
      <c r="G1136" s="63">
        <f>VLOOKUP(D1136,upahbahan,3,FALSE)</f>
        <v>42000</v>
      </c>
      <c r="H1136" s="63">
        <f>F1136*G1136</f>
        <v>69300</v>
      </c>
      <c r="I1136" s="44"/>
      <c r="J1136" s="44"/>
      <c r="K1136" s="44"/>
    </row>
    <row r="1137" spans="3:15" s="59" customFormat="1" ht="21" customHeight="1">
      <c r="C1137" s="450" t="s">
        <v>1214</v>
      </c>
      <c r="D1137" s="67"/>
      <c r="E1137" s="67"/>
      <c r="F1137" s="67"/>
      <c r="G1137" s="69"/>
      <c r="H1137" s="63">
        <f>SUM(H1136:H1136)</f>
        <v>69300</v>
      </c>
      <c r="I1137" s="44"/>
      <c r="J1137" s="44"/>
      <c r="K1137" s="44"/>
    </row>
    <row r="1138" spans="3:15" s="59" customFormat="1" ht="21" customHeight="1">
      <c r="C1138" s="61" t="s">
        <v>1215</v>
      </c>
      <c r="D1138" s="56" t="s">
        <v>1216</v>
      </c>
      <c r="E1138" s="57"/>
      <c r="F1138" s="57"/>
      <c r="G1138" s="57"/>
      <c r="H1138" s="57"/>
      <c r="I1138" s="44"/>
      <c r="J1138" s="44"/>
      <c r="K1138" s="44"/>
    </row>
    <row r="1139" spans="3:15" s="59" customFormat="1" ht="21" customHeight="1">
      <c r="C1139" s="450" t="s">
        <v>1217</v>
      </c>
      <c r="D1139" s="67"/>
      <c r="E1139" s="67"/>
      <c r="F1139" s="67"/>
      <c r="G1139" s="69"/>
      <c r="H1139" s="589">
        <v>0</v>
      </c>
      <c r="I1139" s="44"/>
      <c r="J1139" s="44"/>
      <c r="K1139" s="44"/>
    </row>
    <row r="1140" spans="3:15" s="59" customFormat="1" ht="21" customHeight="1">
      <c r="C1140" s="288" t="s">
        <v>1218</v>
      </c>
      <c r="D1140" s="76" t="s">
        <v>1219</v>
      </c>
      <c r="E1140" s="77"/>
      <c r="F1140" s="77"/>
      <c r="G1140" s="78"/>
      <c r="H1140" s="585">
        <f>H1139+H1137+H1134</f>
        <v>88680</v>
      </c>
      <c r="I1140" s="369"/>
      <c r="J1140" s="44"/>
      <c r="K1140" s="44"/>
    </row>
    <row r="1141" spans="3:15" s="59" customFormat="1" ht="21" customHeight="1">
      <c r="C1141" s="288" t="s">
        <v>1220</v>
      </c>
      <c r="D1141" s="76" t="s">
        <v>1321</v>
      </c>
      <c r="E1141" s="77"/>
      <c r="F1141" s="78"/>
      <c r="G1141" s="80">
        <v>0.1</v>
      </c>
      <c r="H1141" s="63">
        <f>H1140*G1141</f>
        <v>8868</v>
      </c>
      <c r="I1141" s="369"/>
      <c r="J1141" s="44"/>
      <c r="K1141" s="44"/>
    </row>
    <row r="1142" spans="3:15" s="59" customFormat="1" ht="21" customHeight="1">
      <c r="C1142" s="288" t="s">
        <v>1221</v>
      </c>
      <c r="D1142" s="76" t="s">
        <v>1222</v>
      </c>
      <c r="E1142" s="77"/>
      <c r="F1142" s="77"/>
      <c r="G1142" s="78"/>
      <c r="H1142" s="799">
        <f>SUM(H1140:H1141)</f>
        <v>97548</v>
      </c>
      <c r="I1142" s="369"/>
      <c r="J1142" s="44"/>
      <c r="K1142" s="44"/>
    </row>
    <row r="1143" spans="3:15" ht="21" customHeight="1"/>
    <row r="1144" spans="3:15" s="59" customFormat="1" ht="21" customHeight="1">
      <c r="C1144" s="47" t="s">
        <v>3932</v>
      </c>
      <c r="D1144" s="794" t="s">
        <v>8222</v>
      </c>
      <c r="E1144" s="795"/>
      <c r="F1144" s="795"/>
      <c r="G1144" s="795"/>
      <c r="H1144" s="795"/>
      <c r="I1144" s="50">
        <f>ROUNDDOWN(H1159,-2)</f>
        <v>138900</v>
      </c>
      <c r="J1144" s="50" t="s">
        <v>6451</v>
      </c>
      <c r="K1144" s="50" t="s">
        <v>8092</v>
      </c>
    </row>
    <row r="1145" spans="3:15" s="59" customFormat="1" ht="21" customHeight="1">
      <c r="C1145" s="591" t="s">
        <v>1195</v>
      </c>
      <c r="D1145" s="591" t="s">
        <v>1196</v>
      </c>
      <c r="E1145" s="591" t="s">
        <v>1197</v>
      </c>
      <c r="F1145" s="591" t="s">
        <v>1198</v>
      </c>
      <c r="G1145" s="591" t="s">
        <v>1199</v>
      </c>
      <c r="H1145" s="591" t="s">
        <v>1200</v>
      </c>
      <c r="I1145" s="44"/>
      <c r="J1145" s="44"/>
      <c r="K1145" s="44"/>
    </row>
    <row r="1146" spans="3:15" s="59" customFormat="1" ht="21" customHeight="1">
      <c r="C1146" s="61" t="s">
        <v>1201</v>
      </c>
      <c r="D1146" s="56" t="s">
        <v>1202</v>
      </c>
      <c r="E1146" s="57"/>
      <c r="F1146" s="57"/>
      <c r="G1146" s="57"/>
      <c r="H1146" s="57"/>
      <c r="I1146" s="44"/>
      <c r="J1146" s="44"/>
      <c r="K1146" s="44"/>
      <c r="L1146" s="152" t="s">
        <v>1247</v>
      </c>
    </row>
    <row r="1147" spans="3:15" s="59" customFormat="1" ht="21" customHeight="1">
      <c r="C1147" s="588">
        <v>1</v>
      </c>
      <c r="D1147" s="56" t="s">
        <v>5</v>
      </c>
      <c r="E1147" s="577" t="s">
        <v>6</v>
      </c>
      <c r="F1147" s="62">
        <v>6.5000000000000002E-2</v>
      </c>
      <c r="G1147" s="63">
        <f>VLOOKUP(D1147,upahbahan,3,FALSE)</f>
        <v>100000</v>
      </c>
      <c r="H1147" s="63">
        <f>F1147*G1147</f>
        <v>6500</v>
      </c>
      <c r="I1147" s="44"/>
      <c r="J1147" s="44"/>
      <c r="K1147" s="44"/>
      <c r="L1147" s="152" t="s">
        <v>1248</v>
      </c>
      <c r="O1147" s="65">
        <v>0.1</v>
      </c>
    </row>
    <row r="1148" spans="3:15" s="59" customFormat="1" ht="21" customHeight="1">
      <c r="C1148" s="588">
        <v>2</v>
      </c>
      <c r="D1148" s="56" t="s">
        <v>10</v>
      </c>
      <c r="E1148" s="577" t="s">
        <v>6</v>
      </c>
      <c r="F1148" s="62">
        <v>0.108</v>
      </c>
      <c r="G1148" s="63">
        <f>VLOOKUP(D1148,upahbahan,3,FALSE)</f>
        <v>135000</v>
      </c>
      <c r="H1148" s="63">
        <f>F1148*G1148</f>
        <v>14580</v>
      </c>
      <c r="I1148" s="44"/>
      <c r="J1148" s="44"/>
      <c r="K1148" s="44"/>
    </row>
    <row r="1149" spans="3:15" s="59" customFormat="1" ht="21" customHeight="1">
      <c r="C1149" s="588">
        <v>3</v>
      </c>
      <c r="D1149" s="56" t="s">
        <v>18</v>
      </c>
      <c r="E1149" s="577" t="s">
        <v>6</v>
      </c>
      <c r="F1149" s="62">
        <v>1.0999999999999999E-2</v>
      </c>
      <c r="G1149" s="63">
        <f>VLOOKUP(D1149,upahbahan,3,FALSE)</f>
        <v>150000</v>
      </c>
      <c r="H1149" s="63">
        <f>F1149*G1149</f>
        <v>1650</v>
      </c>
      <c r="I1149" s="44"/>
      <c r="J1149" s="44"/>
      <c r="K1149" s="44"/>
    </row>
    <row r="1150" spans="3:15" s="59" customFormat="1" ht="21" customHeight="1">
      <c r="C1150" s="588">
        <v>4</v>
      </c>
      <c r="D1150" s="56" t="s">
        <v>19</v>
      </c>
      <c r="E1150" s="577" t="s">
        <v>6</v>
      </c>
      <c r="F1150" s="62">
        <v>3.0000000000000001E-3</v>
      </c>
      <c r="G1150" s="63">
        <f>VLOOKUP(D1150,upahbahan,3,FALSE)</f>
        <v>160000</v>
      </c>
      <c r="H1150" s="63">
        <f>F1150*G1150</f>
        <v>480</v>
      </c>
      <c r="I1150" s="44"/>
      <c r="J1150" s="44"/>
      <c r="K1150" s="44"/>
    </row>
    <row r="1151" spans="3:15" s="59" customFormat="1" ht="21" customHeight="1">
      <c r="C1151" s="450" t="s">
        <v>1208</v>
      </c>
      <c r="D1151" s="67"/>
      <c r="E1151" s="67"/>
      <c r="F1151" s="142"/>
      <c r="G1151" s="153"/>
      <c r="H1151" s="63">
        <f>SUM(H1147:H1150)</f>
        <v>23210</v>
      </c>
      <c r="I1151" s="154"/>
      <c r="J1151" s="154"/>
      <c r="K1151" s="154"/>
    </row>
    <row r="1152" spans="3:15" s="59" customFormat="1" ht="21" customHeight="1">
      <c r="C1152" s="61" t="s">
        <v>1209</v>
      </c>
      <c r="D1152" s="56" t="s">
        <v>1210</v>
      </c>
      <c r="E1152" s="57"/>
      <c r="F1152" s="57"/>
      <c r="G1152" s="57"/>
      <c r="H1152" s="57"/>
      <c r="I1152" s="44"/>
      <c r="J1152" s="44"/>
      <c r="K1152" s="44"/>
    </row>
    <row r="1153" spans="3:15" s="59" customFormat="1" ht="21" customHeight="1">
      <c r="C1153" s="588">
        <v>1</v>
      </c>
      <c r="D1153" s="72" t="s">
        <v>8223</v>
      </c>
      <c r="E1153" s="73" t="s">
        <v>113</v>
      </c>
      <c r="F1153" s="276">
        <v>1.65</v>
      </c>
      <c r="G1153" s="63">
        <f>VLOOKUP(D1153,upahbahan,3,FALSE)</f>
        <v>62500</v>
      </c>
      <c r="H1153" s="63">
        <f>F1153*G1153</f>
        <v>103125</v>
      </c>
      <c r="I1153" s="44"/>
      <c r="J1153" s="44"/>
      <c r="K1153" s="44"/>
    </row>
    <row r="1154" spans="3:15" s="59" customFormat="1" ht="21" customHeight="1">
      <c r="C1154" s="450" t="s">
        <v>1214</v>
      </c>
      <c r="D1154" s="67"/>
      <c r="E1154" s="67"/>
      <c r="F1154" s="67"/>
      <c r="G1154" s="69"/>
      <c r="H1154" s="63">
        <f>SUM(H1153:H1153)</f>
        <v>103125</v>
      </c>
      <c r="I1154" s="44"/>
      <c r="J1154" s="44"/>
      <c r="K1154" s="44"/>
    </row>
    <row r="1155" spans="3:15" s="59" customFormat="1" ht="21" customHeight="1">
      <c r="C1155" s="61" t="s">
        <v>1215</v>
      </c>
      <c r="D1155" s="56" t="s">
        <v>1216</v>
      </c>
      <c r="E1155" s="57"/>
      <c r="F1155" s="57"/>
      <c r="G1155" s="57"/>
      <c r="H1155" s="57"/>
      <c r="I1155" s="44"/>
      <c r="J1155" s="44"/>
      <c r="K1155" s="44"/>
    </row>
    <row r="1156" spans="3:15" s="59" customFormat="1" ht="21" customHeight="1">
      <c r="C1156" s="450" t="s">
        <v>1217</v>
      </c>
      <c r="D1156" s="67"/>
      <c r="E1156" s="67"/>
      <c r="F1156" s="67"/>
      <c r="G1156" s="69"/>
      <c r="H1156" s="589">
        <v>0</v>
      </c>
      <c r="I1156" s="44"/>
      <c r="J1156" s="44"/>
      <c r="K1156" s="44"/>
    </row>
    <row r="1157" spans="3:15" s="59" customFormat="1" ht="21" customHeight="1">
      <c r="C1157" s="288" t="s">
        <v>1218</v>
      </c>
      <c r="D1157" s="76" t="s">
        <v>1219</v>
      </c>
      <c r="E1157" s="77"/>
      <c r="F1157" s="77"/>
      <c r="G1157" s="78"/>
      <c r="H1157" s="585">
        <f>H1156+H1154+H1151</f>
        <v>126335</v>
      </c>
      <c r="I1157" s="369"/>
      <c r="J1157" s="44"/>
      <c r="K1157" s="44"/>
    </row>
    <row r="1158" spans="3:15" s="59" customFormat="1" ht="21" customHeight="1">
      <c r="C1158" s="288" t="s">
        <v>1220</v>
      </c>
      <c r="D1158" s="76" t="s">
        <v>1321</v>
      </c>
      <c r="E1158" s="77"/>
      <c r="F1158" s="78"/>
      <c r="G1158" s="80">
        <v>0.1</v>
      </c>
      <c r="H1158" s="63">
        <f>H1157*G1158</f>
        <v>12633.5</v>
      </c>
      <c r="I1158" s="369"/>
      <c r="J1158" s="44"/>
      <c r="K1158" s="44"/>
    </row>
    <row r="1159" spans="3:15" s="59" customFormat="1" ht="21" customHeight="1">
      <c r="C1159" s="288" t="s">
        <v>1221</v>
      </c>
      <c r="D1159" s="76" t="s">
        <v>1222</v>
      </c>
      <c r="E1159" s="77"/>
      <c r="F1159" s="77"/>
      <c r="G1159" s="78"/>
      <c r="H1159" s="799">
        <f>SUM(H1157:H1158)</f>
        <v>138968.5</v>
      </c>
      <c r="I1159" s="369"/>
      <c r="J1159" s="44"/>
      <c r="K1159" s="44"/>
    </row>
    <row r="1160" spans="3:15" ht="21" customHeight="1"/>
    <row r="1161" spans="3:15" s="59" customFormat="1" ht="21" customHeight="1">
      <c r="C1161" s="47" t="s">
        <v>3934</v>
      </c>
      <c r="D1161" s="794" t="s">
        <v>8224</v>
      </c>
      <c r="E1161" s="795"/>
      <c r="F1161" s="795"/>
      <c r="G1161" s="795"/>
      <c r="H1161" s="795"/>
      <c r="I1161" s="50">
        <f>ROUNDDOWN(H1176,-2)</f>
        <v>204700</v>
      </c>
      <c r="J1161" s="50" t="s">
        <v>6451</v>
      </c>
      <c r="K1161" s="50" t="s">
        <v>8092</v>
      </c>
    </row>
    <row r="1162" spans="3:15" s="59" customFormat="1" ht="21" customHeight="1">
      <c r="C1162" s="591" t="s">
        <v>1195</v>
      </c>
      <c r="D1162" s="591" t="s">
        <v>1196</v>
      </c>
      <c r="E1162" s="591" t="s">
        <v>1197</v>
      </c>
      <c r="F1162" s="591" t="s">
        <v>1198</v>
      </c>
      <c r="G1162" s="591" t="s">
        <v>1199</v>
      </c>
      <c r="H1162" s="591" t="s">
        <v>1200</v>
      </c>
      <c r="I1162" s="44"/>
      <c r="J1162" s="44"/>
      <c r="K1162" s="44"/>
    </row>
    <row r="1163" spans="3:15" s="59" customFormat="1" ht="21" customHeight="1">
      <c r="C1163" s="61" t="s">
        <v>1201</v>
      </c>
      <c r="D1163" s="56" t="s">
        <v>1202</v>
      </c>
      <c r="E1163" s="57"/>
      <c r="F1163" s="57"/>
      <c r="G1163" s="57"/>
      <c r="H1163" s="57"/>
      <c r="I1163" s="44"/>
      <c r="J1163" s="44"/>
      <c r="K1163" s="44"/>
      <c r="L1163" s="152" t="s">
        <v>1247</v>
      </c>
    </row>
    <row r="1164" spans="3:15" s="59" customFormat="1" ht="21" customHeight="1">
      <c r="C1164" s="588">
        <v>1</v>
      </c>
      <c r="D1164" s="56" t="s">
        <v>5</v>
      </c>
      <c r="E1164" s="577" t="s">
        <v>6</v>
      </c>
      <c r="F1164" s="62">
        <v>7.6999999999999999E-2</v>
      </c>
      <c r="G1164" s="63">
        <f>VLOOKUP(D1164,upahbahan,3,FALSE)</f>
        <v>100000</v>
      </c>
      <c r="H1164" s="63">
        <f>F1164*G1164</f>
        <v>7700</v>
      </c>
      <c r="I1164" s="44"/>
      <c r="J1164" s="44"/>
      <c r="K1164" s="44"/>
      <c r="L1164" s="152" t="s">
        <v>1248</v>
      </c>
      <c r="O1164" s="65">
        <v>0.1</v>
      </c>
    </row>
    <row r="1165" spans="3:15" s="59" customFormat="1" ht="21" customHeight="1">
      <c r="C1165" s="588">
        <v>2</v>
      </c>
      <c r="D1165" s="56" t="s">
        <v>10</v>
      </c>
      <c r="E1165" s="577" t="s">
        <v>6</v>
      </c>
      <c r="F1165" s="62">
        <v>0.129</v>
      </c>
      <c r="G1165" s="63">
        <f>VLOOKUP(D1165,upahbahan,3,FALSE)</f>
        <v>135000</v>
      </c>
      <c r="H1165" s="63">
        <f>F1165*G1165</f>
        <v>17415</v>
      </c>
      <c r="I1165" s="44"/>
      <c r="J1165" s="44"/>
      <c r="K1165" s="44"/>
    </row>
    <row r="1166" spans="3:15" s="59" customFormat="1" ht="21" customHeight="1">
      <c r="C1166" s="588">
        <v>3</v>
      </c>
      <c r="D1166" s="56" t="s">
        <v>18</v>
      </c>
      <c r="E1166" s="577" t="s">
        <v>6</v>
      </c>
      <c r="F1166" s="62">
        <v>1.2999999999999999E-2</v>
      </c>
      <c r="G1166" s="63">
        <f>VLOOKUP(D1166,upahbahan,3,FALSE)</f>
        <v>150000</v>
      </c>
      <c r="H1166" s="63">
        <f>F1166*G1166</f>
        <v>1950</v>
      </c>
      <c r="I1166" s="44"/>
      <c r="J1166" s="44"/>
      <c r="K1166" s="44"/>
    </row>
    <row r="1167" spans="3:15" s="59" customFormat="1" ht="21" customHeight="1">
      <c r="C1167" s="588">
        <v>4</v>
      </c>
      <c r="D1167" s="56" t="s">
        <v>19</v>
      </c>
      <c r="E1167" s="577" t="s">
        <v>6</v>
      </c>
      <c r="F1167" s="62">
        <v>4.0000000000000001E-3</v>
      </c>
      <c r="G1167" s="63">
        <f>VLOOKUP(D1167,upahbahan,3,FALSE)</f>
        <v>160000</v>
      </c>
      <c r="H1167" s="63">
        <f>F1167*G1167</f>
        <v>640</v>
      </c>
      <c r="I1167" s="44"/>
      <c r="J1167" s="44"/>
      <c r="K1167" s="44"/>
    </row>
    <row r="1168" spans="3:15" s="59" customFormat="1" ht="21" customHeight="1">
      <c r="C1168" s="450" t="s">
        <v>1208</v>
      </c>
      <c r="D1168" s="67"/>
      <c r="E1168" s="67"/>
      <c r="F1168" s="142"/>
      <c r="G1168" s="153"/>
      <c r="H1168" s="63">
        <f>SUM(H1164:H1167)</f>
        <v>27705</v>
      </c>
      <c r="I1168" s="154"/>
      <c r="J1168" s="154"/>
      <c r="K1168" s="154"/>
    </row>
    <row r="1169" spans="3:15" s="59" customFormat="1" ht="21" customHeight="1">
      <c r="C1169" s="61" t="s">
        <v>1209</v>
      </c>
      <c r="D1169" s="56" t="s">
        <v>1210</v>
      </c>
      <c r="E1169" s="57"/>
      <c r="F1169" s="57"/>
      <c r="G1169" s="57"/>
      <c r="H1169" s="57"/>
      <c r="I1169" s="44"/>
      <c r="J1169" s="44"/>
      <c r="K1169" s="44"/>
    </row>
    <row r="1170" spans="3:15" s="59" customFormat="1" ht="21" customHeight="1">
      <c r="C1170" s="588">
        <v>1</v>
      </c>
      <c r="D1170" s="72" t="s">
        <v>8225</v>
      </c>
      <c r="E1170" s="73" t="s">
        <v>113</v>
      </c>
      <c r="F1170" s="276">
        <v>1.65</v>
      </c>
      <c r="G1170" s="63">
        <f>VLOOKUP(D1170,upahbahan,3,FALSE)</f>
        <v>96000</v>
      </c>
      <c r="H1170" s="63">
        <f>F1170*G1170</f>
        <v>158400</v>
      </c>
      <c r="I1170" s="44"/>
      <c r="J1170" s="44"/>
      <c r="K1170" s="44"/>
    </row>
    <row r="1171" spans="3:15" s="59" customFormat="1" ht="21" customHeight="1">
      <c r="C1171" s="450" t="s">
        <v>1214</v>
      </c>
      <c r="D1171" s="67"/>
      <c r="E1171" s="67"/>
      <c r="F1171" s="67"/>
      <c r="G1171" s="69"/>
      <c r="H1171" s="63">
        <f>SUM(H1170:H1170)</f>
        <v>158400</v>
      </c>
      <c r="I1171" s="44"/>
      <c r="J1171" s="44"/>
      <c r="K1171" s="44"/>
    </row>
    <row r="1172" spans="3:15" s="59" customFormat="1" ht="21" customHeight="1">
      <c r="C1172" s="61" t="s">
        <v>1215</v>
      </c>
      <c r="D1172" s="56" t="s">
        <v>1216</v>
      </c>
      <c r="E1172" s="57"/>
      <c r="F1172" s="57"/>
      <c r="G1172" s="57"/>
      <c r="H1172" s="57"/>
      <c r="I1172" s="44"/>
      <c r="J1172" s="44"/>
      <c r="K1172" s="44"/>
    </row>
    <row r="1173" spans="3:15" s="59" customFormat="1" ht="21" customHeight="1">
      <c r="C1173" s="450" t="s">
        <v>1217</v>
      </c>
      <c r="D1173" s="67"/>
      <c r="E1173" s="67"/>
      <c r="F1173" s="67"/>
      <c r="G1173" s="69"/>
      <c r="H1173" s="589">
        <v>0</v>
      </c>
      <c r="I1173" s="44"/>
      <c r="J1173" s="44"/>
      <c r="K1173" s="44"/>
    </row>
    <row r="1174" spans="3:15" s="59" customFormat="1" ht="21" customHeight="1">
      <c r="C1174" s="288" t="s">
        <v>1218</v>
      </c>
      <c r="D1174" s="76" t="s">
        <v>1219</v>
      </c>
      <c r="E1174" s="77"/>
      <c r="F1174" s="77"/>
      <c r="G1174" s="78"/>
      <c r="H1174" s="585">
        <f>H1173+H1171+H1168</f>
        <v>186105</v>
      </c>
      <c r="I1174" s="369"/>
      <c r="J1174" s="44"/>
      <c r="K1174" s="44"/>
    </row>
    <row r="1175" spans="3:15" s="59" customFormat="1" ht="21" customHeight="1">
      <c r="C1175" s="288" t="s">
        <v>1220</v>
      </c>
      <c r="D1175" s="76" t="s">
        <v>1321</v>
      </c>
      <c r="E1175" s="77"/>
      <c r="F1175" s="78"/>
      <c r="G1175" s="80">
        <v>0.1</v>
      </c>
      <c r="H1175" s="63">
        <f>H1174*G1175</f>
        <v>18610.5</v>
      </c>
      <c r="I1175" s="369"/>
      <c r="J1175" s="44"/>
      <c r="K1175" s="44"/>
    </row>
    <row r="1176" spans="3:15" s="59" customFormat="1" ht="21" customHeight="1">
      <c r="C1176" s="288" t="s">
        <v>1221</v>
      </c>
      <c r="D1176" s="76" t="s">
        <v>1222</v>
      </c>
      <c r="E1176" s="77"/>
      <c r="F1176" s="77"/>
      <c r="G1176" s="78"/>
      <c r="H1176" s="799">
        <f>SUM(H1174:H1175)</f>
        <v>204715.5</v>
      </c>
      <c r="I1176" s="369"/>
      <c r="J1176" s="44"/>
      <c r="K1176" s="44"/>
    </row>
    <row r="1177" spans="3:15" ht="21" customHeight="1"/>
    <row r="1178" spans="3:15" s="59" customFormat="1" ht="21" customHeight="1">
      <c r="C1178" s="47" t="s">
        <v>3936</v>
      </c>
      <c r="D1178" s="794" t="s">
        <v>8226</v>
      </c>
      <c r="E1178" s="795"/>
      <c r="F1178" s="795"/>
      <c r="G1178" s="795"/>
      <c r="H1178" s="795"/>
      <c r="I1178" s="50">
        <f>ROUNDDOWN(H1193,-2)</f>
        <v>282100</v>
      </c>
      <c r="J1178" s="50" t="s">
        <v>6451</v>
      </c>
      <c r="K1178" s="50" t="s">
        <v>8092</v>
      </c>
    </row>
    <row r="1179" spans="3:15" s="59" customFormat="1" ht="21" customHeight="1">
      <c r="C1179" s="591" t="s">
        <v>1195</v>
      </c>
      <c r="D1179" s="591" t="s">
        <v>1196</v>
      </c>
      <c r="E1179" s="591" t="s">
        <v>1197</v>
      </c>
      <c r="F1179" s="591" t="s">
        <v>1198</v>
      </c>
      <c r="G1179" s="591" t="s">
        <v>1199</v>
      </c>
      <c r="H1179" s="591" t="s">
        <v>1200</v>
      </c>
      <c r="I1179" s="44"/>
      <c r="J1179" s="44"/>
      <c r="K1179" s="44"/>
    </row>
    <row r="1180" spans="3:15" s="59" customFormat="1" ht="21" customHeight="1">
      <c r="C1180" s="61" t="s">
        <v>1201</v>
      </c>
      <c r="D1180" s="56" t="s">
        <v>1202</v>
      </c>
      <c r="E1180" s="57"/>
      <c r="F1180" s="57"/>
      <c r="G1180" s="57"/>
      <c r="H1180" s="57"/>
      <c r="I1180" s="44"/>
      <c r="J1180" s="44"/>
      <c r="K1180" s="44"/>
      <c r="L1180" s="152" t="s">
        <v>1247</v>
      </c>
    </row>
    <row r="1181" spans="3:15" s="59" customFormat="1" ht="21" customHeight="1">
      <c r="C1181" s="588">
        <v>1</v>
      </c>
      <c r="D1181" s="56" t="s">
        <v>5</v>
      </c>
      <c r="E1181" s="577" t="s">
        <v>6</v>
      </c>
      <c r="F1181" s="62">
        <v>0.108</v>
      </c>
      <c r="G1181" s="63">
        <f>VLOOKUP(D1181,upahbahan,3,FALSE)</f>
        <v>100000</v>
      </c>
      <c r="H1181" s="63">
        <f>F1181*G1181</f>
        <v>10800</v>
      </c>
      <c r="I1181" s="44"/>
      <c r="J1181" s="44"/>
      <c r="K1181" s="44"/>
      <c r="L1181" s="152" t="s">
        <v>1248</v>
      </c>
      <c r="O1181" s="65">
        <v>0.1</v>
      </c>
    </row>
    <row r="1182" spans="3:15" s="59" customFormat="1" ht="21" customHeight="1">
      <c r="C1182" s="588">
        <v>2</v>
      </c>
      <c r="D1182" s="56" t="s">
        <v>10</v>
      </c>
      <c r="E1182" s="577" t="s">
        <v>6</v>
      </c>
      <c r="F1182" s="62">
        <v>0.18099999999999999</v>
      </c>
      <c r="G1182" s="63">
        <f>VLOOKUP(D1182,upahbahan,3,FALSE)</f>
        <v>135000</v>
      </c>
      <c r="H1182" s="63">
        <f>F1182*G1182</f>
        <v>24435</v>
      </c>
      <c r="I1182" s="44"/>
      <c r="J1182" s="44"/>
      <c r="K1182" s="44"/>
    </row>
    <row r="1183" spans="3:15" s="59" customFormat="1" ht="21" customHeight="1">
      <c r="C1183" s="588">
        <v>3</v>
      </c>
      <c r="D1183" s="56" t="s">
        <v>18</v>
      </c>
      <c r="E1183" s="577" t="s">
        <v>6</v>
      </c>
      <c r="F1183" s="62">
        <v>1.7999999999999999E-2</v>
      </c>
      <c r="G1183" s="63">
        <f>VLOOKUP(D1183,upahbahan,3,FALSE)</f>
        <v>150000</v>
      </c>
      <c r="H1183" s="63">
        <f>F1183*G1183</f>
        <v>2700</v>
      </c>
      <c r="I1183" s="44"/>
      <c r="J1183" s="44"/>
      <c r="K1183" s="44"/>
    </row>
    <row r="1184" spans="3:15" s="59" customFormat="1" ht="21" customHeight="1">
      <c r="C1184" s="588">
        <v>4</v>
      </c>
      <c r="D1184" s="56" t="s">
        <v>19</v>
      </c>
      <c r="E1184" s="577" t="s">
        <v>6</v>
      </c>
      <c r="F1184" s="62">
        <v>5.0000000000000001E-3</v>
      </c>
      <c r="G1184" s="63">
        <f>VLOOKUP(D1184,upahbahan,3,FALSE)</f>
        <v>160000</v>
      </c>
      <c r="H1184" s="63">
        <f>F1184*G1184</f>
        <v>800</v>
      </c>
      <c r="I1184" s="44"/>
      <c r="J1184" s="44"/>
      <c r="K1184" s="44"/>
    </row>
    <row r="1185" spans="3:15" s="59" customFormat="1" ht="21" customHeight="1">
      <c r="C1185" s="450" t="s">
        <v>1208</v>
      </c>
      <c r="D1185" s="67"/>
      <c r="E1185" s="67"/>
      <c r="F1185" s="142"/>
      <c r="G1185" s="153"/>
      <c r="H1185" s="63">
        <f>SUM(H1181:H1184)</f>
        <v>38735</v>
      </c>
      <c r="I1185" s="154"/>
      <c r="J1185" s="154"/>
      <c r="K1185" s="154"/>
    </row>
    <row r="1186" spans="3:15" s="59" customFormat="1" ht="21" customHeight="1">
      <c r="C1186" s="61" t="s">
        <v>1209</v>
      </c>
      <c r="D1186" s="56" t="s">
        <v>1210</v>
      </c>
      <c r="E1186" s="57"/>
      <c r="F1186" s="57"/>
      <c r="G1186" s="57"/>
      <c r="H1186" s="57"/>
      <c r="I1186" s="44"/>
      <c r="J1186" s="44"/>
      <c r="K1186" s="44"/>
    </row>
    <row r="1187" spans="3:15" s="59" customFormat="1" ht="21" customHeight="1">
      <c r="C1187" s="588">
        <v>1</v>
      </c>
      <c r="D1187" s="72" t="s">
        <v>8227</v>
      </c>
      <c r="E1187" s="73" t="s">
        <v>113</v>
      </c>
      <c r="F1187" s="276">
        <v>1.65</v>
      </c>
      <c r="G1187" s="63">
        <f>VLOOKUP(D1187,upahbahan,3,FALSE)</f>
        <v>132000</v>
      </c>
      <c r="H1187" s="63">
        <f>F1187*G1187</f>
        <v>217800</v>
      </c>
      <c r="I1187" s="44"/>
      <c r="J1187" s="44"/>
      <c r="K1187" s="44"/>
    </row>
    <row r="1188" spans="3:15" s="59" customFormat="1" ht="21" customHeight="1">
      <c r="C1188" s="450" t="s">
        <v>1214</v>
      </c>
      <c r="D1188" s="67"/>
      <c r="E1188" s="67"/>
      <c r="F1188" s="67"/>
      <c r="G1188" s="69"/>
      <c r="H1188" s="63">
        <f>SUM(H1187:H1187)</f>
        <v>217800</v>
      </c>
      <c r="I1188" s="44"/>
      <c r="J1188" s="44"/>
      <c r="K1188" s="44"/>
    </row>
    <row r="1189" spans="3:15" s="59" customFormat="1" ht="21" customHeight="1">
      <c r="C1189" s="61" t="s">
        <v>1215</v>
      </c>
      <c r="D1189" s="56" t="s">
        <v>1216</v>
      </c>
      <c r="E1189" s="57"/>
      <c r="F1189" s="57"/>
      <c r="G1189" s="57"/>
      <c r="H1189" s="57"/>
      <c r="I1189" s="44"/>
      <c r="J1189" s="44"/>
      <c r="K1189" s="44"/>
    </row>
    <row r="1190" spans="3:15" s="59" customFormat="1" ht="21" customHeight="1">
      <c r="C1190" s="450" t="s">
        <v>1217</v>
      </c>
      <c r="D1190" s="67"/>
      <c r="E1190" s="67"/>
      <c r="F1190" s="67"/>
      <c r="G1190" s="69"/>
      <c r="H1190" s="589">
        <v>0</v>
      </c>
      <c r="I1190" s="44"/>
      <c r="J1190" s="44"/>
      <c r="K1190" s="44"/>
    </row>
    <row r="1191" spans="3:15" s="59" customFormat="1" ht="21" customHeight="1">
      <c r="C1191" s="288" t="s">
        <v>1218</v>
      </c>
      <c r="D1191" s="76" t="s">
        <v>1219</v>
      </c>
      <c r="E1191" s="77"/>
      <c r="F1191" s="77"/>
      <c r="G1191" s="78"/>
      <c r="H1191" s="585">
        <f>H1190+H1188+H1185</f>
        <v>256535</v>
      </c>
      <c r="I1191" s="369"/>
      <c r="J1191" s="44"/>
      <c r="K1191" s="44"/>
    </row>
    <row r="1192" spans="3:15" s="59" customFormat="1" ht="21" customHeight="1">
      <c r="C1192" s="288" t="s">
        <v>1220</v>
      </c>
      <c r="D1192" s="76" t="s">
        <v>1321</v>
      </c>
      <c r="E1192" s="77"/>
      <c r="F1192" s="78"/>
      <c r="G1192" s="80">
        <v>0.1</v>
      </c>
      <c r="H1192" s="63">
        <f>H1191*G1192</f>
        <v>25653.5</v>
      </c>
      <c r="I1192" s="369"/>
      <c r="J1192" s="44"/>
      <c r="K1192" s="44"/>
    </row>
    <row r="1193" spans="3:15" s="59" customFormat="1" ht="21" customHeight="1">
      <c r="C1193" s="288" t="s">
        <v>1221</v>
      </c>
      <c r="D1193" s="76" t="s">
        <v>1222</v>
      </c>
      <c r="E1193" s="77"/>
      <c r="F1193" s="77"/>
      <c r="G1193" s="78"/>
      <c r="H1193" s="799">
        <f>SUM(H1191:H1192)</f>
        <v>282188.5</v>
      </c>
      <c r="I1193" s="369"/>
      <c r="J1193" s="44"/>
      <c r="K1193" s="44"/>
    </row>
    <row r="1194" spans="3:15" ht="21" customHeight="1"/>
    <row r="1195" spans="3:15" s="59" customFormat="1" ht="21" customHeight="1">
      <c r="C1195" s="47" t="s">
        <v>3938</v>
      </c>
      <c r="D1195" s="794" t="s">
        <v>8228</v>
      </c>
      <c r="E1195" s="795"/>
      <c r="F1195" s="795"/>
      <c r="G1195" s="795"/>
      <c r="H1195" s="795"/>
      <c r="I1195" s="50">
        <f>ROUNDDOWN(H1210,-2)</f>
        <v>384000</v>
      </c>
      <c r="J1195" s="50" t="s">
        <v>6451</v>
      </c>
      <c r="K1195" s="50" t="s">
        <v>8092</v>
      </c>
    </row>
    <row r="1196" spans="3:15" s="59" customFormat="1" ht="21" customHeight="1">
      <c r="C1196" s="591" t="s">
        <v>1195</v>
      </c>
      <c r="D1196" s="591" t="s">
        <v>1196</v>
      </c>
      <c r="E1196" s="591" t="s">
        <v>1197</v>
      </c>
      <c r="F1196" s="591" t="s">
        <v>1198</v>
      </c>
      <c r="G1196" s="591" t="s">
        <v>1199</v>
      </c>
      <c r="H1196" s="591" t="s">
        <v>1200</v>
      </c>
      <c r="I1196" s="44"/>
      <c r="J1196" s="44"/>
      <c r="K1196" s="44"/>
    </row>
    <row r="1197" spans="3:15" s="59" customFormat="1" ht="21" customHeight="1">
      <c r="C1197" s="61" t="s">
        <v>1201</v>
      </c>
      <c r="D1197" s="56" t="s">
        <v>1202</v>
      </c>
      <c r="E1197" s="57"/>
      <c r="F1197" s="57"/>
      <c r="G1197" s="57"/>
      <c r="H1197" s="57"/>
      <c r="I1197" s="44"/>
      <c r="J1197" s="44"/>
      <c r="K1197" s="44"/>
      <c r="L1197" s="152" t="s">
        <v>1247</v>
      </c>
    </row>
    <row r="1198" spans="3:15" s="59" customFormat="1" ht="21" customHeight="1">
      <c r="C1198" s="588">
        <v>1</v>
      </c>
      <c r="D1198" s="56" t="s">
        <v>5</v>
      </c>
      <c r="E1198" s="577" t="s">
        <v>6</v>
      </c>
      <c r="F1198" s="62">
        <v>0.129</v>
      </c>
      <c r="G1198" s="63">
        <f>VLOOKUP(D1198,upahbahan,3,FALSE)</f>
        <v>100000</v>
      </c>
      <c r="H1198" s="63">
        <f>F1198*G1198</f>
        <v>12900</v>
      </c>
      <c r="I1198" s="44"/>
      <c r="J1198" s="44"/>
      <c r="K1198" s="44"/>
      <c r="L1198" s="152" t="s">
        <v>1248</v>
      </c>
      <c r="O1198" s="65">
        <v>0.1</v>
      </c>
    </row>
    <row r="1199" spans="3:15" s="59" customFormat="1" ht="21" customHeight="1">
      <c r="C1199" s="588">
        <v>2</v>
      </c>
      <c r="D1199" s="56" t="s">
        <v>10</v>
      </c>
      <c r="E1199" s="577" t="s">
        <v>6</v>
      </c>
      <c r="F1199" s="62">
        <v>0.216</v>
      </c>
      <c r="G1199" s="63">
        <f>VLOOKUP(D1199,upahbahan,3,FALSE)</f>
        <v>135000</v>
      </c>
      <c r="H1199" s="63">
        <f>F1199*G1199</f>
        <v>29160</v>
      </c>
      <c r="I1199" s="44"/>
      <c r="J1199" s="44"/>
      <c r="K1199" s="44"/>
    </row>
    <row r="1200" spans="3:15" s="59" customFormat="1" ht="21" customHeight="1">
      <c r="C1200" s="588">
        <v>3</v>
      </c>
      <c r="D1200" s="56" t="s">
        <v>18</v>
      </c>
      <c r="E1200" s="577" t="s">
        <v>6</v>
      </c>
      <c r="F1200" s="62">
        <v>2.1999999999999999E-2</v>
      </c>
      <c r="G1200" s="63">
        <f>VLOOKUP(D1200,upahbahan,3,FALSE)</f>
        <v>150000</v>
      </c>
      <c r="H1200" s="63">
        <f>F1200*G1200</f>
        <v>3300</v>
      </c>
      <c r="I1200" s="44"/>
      <c r="J1200" s="44"/>
      <c r="K1200" s="44"/>
    </row>
    <row r="1201" spans="3:15" s="59" customFormat="1" ht="21" customHeight="1">
      <c r="C1201" s="588">
        <v>4</v>
      </c>
      <c r="D1201" s="56" t="s">
        <v>19</v>
      </c>
      <c r="E1201" s="577" t="s">
        <v>6</v>
      </c>
      <c r="F1201" s="62">
        <v>6.0000000000000001E-3</v>
      </c>
      <c r="G1201" s="63">
        <f>VLOOKUP(D1201,upahbahan,3,FALSE)</f>
        <v>160000</v>
      </c>
      <c r="H1201" s="63">
        <f>F1201*G1201</f>
        <v>960</v>
      </c>
      <c r="I1201" s="44"/>
      <c r="J1201" s="44"/>
      <c r="K1201" s="44"/>
    </row>
    <row r="1202" spans="3:15" s="59" customFormat="1" ht="21" customHeight="1">
      <c r="C1202" s="450" t="s">
        <v>1208</v>
      </c>
      <c r="D1202" s="67"/>
      <c r="E1202" s="67"/>
      <c r="F1202" s="142"/>
      <c r="G1202" s="153"/>
      <c r="H1202" s="63">
        <f>SUM(H1198:H1201)</f>
        <v>46320</v>
      </c>
      <c r="I1202" s="154"/>
      <c r="J1202" s="154"/>
      <c r="K1202" s="154"/>
    </row>
    <row r="1203" spans="3:15" s="59" customFormat="1" ht="21" customHeight="1">
      <c r="C1203" s="61" t="s">
        <v>1209</v>
      </c>
      <c r="D1203" s="56" t="s">
        <v>1210</v>
      </c>
      <c r="E1203" s="57"/>
      <c r="F1203" s="57"/>
      <c r="G1203" s="57"/>
      <c r="H1203" s="57"/>
      <c r="I1203" s="44"/>
      <c r="J1203" s="44"/>
      <c r="K1203" s="44"/>
    </row>
    <row r="1204" spans="3:15" s="59" customFormat="1" ht="21" customHeight="1">
      <c r="C1204" s="588">
        <v>1</v>
      </c>
      <c r="D1204" s="72" t="s">
        <v>8229</v>
      </c>
      <c r="E1204" s="73" t="s">
        <v>113</v>
      </c>
      <c r="F1204" s="276">
        <v>1.65</v>
      </c>
      <c r="G1204" s="63">
        <f>VLOOKUP(D1204,upahbahan,3,FALSE)</f>
        <v>183500</v>
      </c>
      <c r="H1204" s="63">
        <f>F1204*G1204</f>
        <v>302775</v>
      </c>
      <c r="I1204" s="44"/>
      <c r="J1204" s="44"/>
      <c r="K1204" s="44"/>
    </row>
    <row r="1205" spans="3:15" s="59" customFormat="1" ht="21" customHeight="1">
      <c r="C1205" s="450" t="s">
        <v>1214</v>
      </c>
      <c r="D1205" s="67"/>
      <c r="E1205" s="67"/>
      <c r="F1205" s="67"/>
      <c r="G1205" s="69"/>
      <c r="H1205" s="63">
        <f>SUM(H1204:H1204)</f>
        <v>302775</v>
      </c>
      <c r="I1205" s="44"/>
      <c r="J1205" s="44"/>
      <c r="K1205" s="44"/>
    </row>
    <row r="1206" spans="3:15" s="59" customFormat="1" ht="21" customHeight="1">
      <c r="C1206" s="61" t="s">
        <v>1215</v>
      </c>
      <c r="D1206" s="56" t="s">
        <v>1216</v>
      </c>
      <c r="E1206" s="57"/>
      <c r="F1206" s="57"/>
      <c r="G1206" s="57"/>
      <c r="H1206" s="57"/>
      <c r="I1206" s="44"/>
      <c r="J1206" s="44"/>
      <c r="K1206" s="44"/>
    </row>
    <row r="1207" spans="3:15" s="59" customFormat="1" ht="21" customHeight="1">
      <c r="C1207" s="450" t="s">
        <v>1217</v>
      </c>
      <c r="D1207" s="67"/>
      <c r="E1207" s="67"/>
      <c r="F1207" s="67"/>
      <c r="G1207" s="69"/>
      <c r="H1207" s="589">
        <v>0</v>
      </c>
      <c r="I1207" s="44"/>
      <c r="J1207" s="44"/>
      <c r="K1207" s="44"/>
    </row>
    <row r="1208" spans="3:15" s="59" customFormat="1" ht="21" customHeight="1">
      <c r="C1208" s="288" t="s">
        <v>1218</v>
      </c>
      <c r="D1208" s="76" t="s">
        <v>1219</v>
      </c>
      <c r="E1208" s="77"/>
      <c r="F1208" s="77"/>
      <c r="G1208" s="78"/>
      <c r="H1208" s="585">
        <f>H1207+H1205+H1202</f>
        <v>349095</v>
      </c>
      <c r="I1208" s="369"/>
      <c r="J1208" s="44"/>
      <c r="K1208" s="44"/>
    </row>
    <row r="1209" spans="3:15" s="59" customFormat="1" ht="21" customHeight="1">
      <c r="C1209" s="288" t="s">
        <v>1220</v>
      </c>
      <c r="D1209" s="76" t="s">
        <v>1321</v>
      </c>
      <c r="E1209" s="77"/>
      <c r="F1209" s="78"/>
      <c r="G1209" s="80">
        <v>0.1</v>
      </c>
      <c r="H1209" s="63">
        <f>H1208*G1209</f>
        <v>34909.5</v>
      </c>
      <c r="I1209" s="369"/>
      <c r="J1209" s="44"/>
      <c r="K1209" s="44"/>
    </row>
    <row r="1210" spans="3:15" s="59" customFormat="1" ht="21" customHeight="1">
      <c r="C1210" s="288" t="s">
        <v>1221</v>
      </c>
      <c r="D1210" s="76" t="s">
        <v>1222</v>
      </c>
      <c r="E1210" s="77"/>
      <c r="F1210" s="77"/>
      <c r="G1210" s="78"/>
      <c r="H1210" s="799">
        <f>SUM(H1208:H1209)</f>
        <v>384004.5</v>
      </c>
      <c r="I1210" s="369"/>
      <c r="J1210" s="44"/>
      <c r="K1210" s="44"/>
    </row>
    <row r="1211" spans="3:15" ht="21" customHeight="1"/>
    <row r="1212" spans="3:15" s="59" customFormat="1" ht="21" customHeight="1">
      <c r="C1212" s="47" t="s">
        <v>3940</v>
      </c>
      <c r="D1212" s="794" t="s">
        <v>8230</v>
      </c>
      <c r="E1212" s="795"/>
      <c r="F1212" s="795"/>
      <c r="G1212" s="795"/>
      <c r="H1212" s="795"/>
      <c r="I1212" s="50">
        <f>ROUNDDOWN(H1227,-2)</f>
        <v>570300</v>
      </c>
      <c r="J1212" s="50" t="s">
        <v>6451</v>
      </c>
      <c r="K1212" s="50" t="s">
        <v>8092</v>
      </c>
    </row>
    <row r="1213" spans="3:15" s="59" customFormat="1" ht="21" customHeight="1">
      <c r="C1213" s="591" t="s">
        <v>1195</v>
      </c>
      <c r="D1213" s="591" t="s">
        <v>1196</v>
      </c>
      <c r="E1213" s="591" t="s">
        <v>1197</v>
      </c>
      <c r="F1213" s="591" t="s">
        <v>1198</v>
      </c>
      <c r="G1213" s="591" t="s">
        <v>1199</v>
      </c>
      <c r="H1213" s="591" t="s">
        <v>1200</v>
      </c>
      <c r="I1213" s="44"/>
      <c r="J1213" s="44"/>
      <c r="K1213" s="44"/>
    </row>
    <row r="1214" spans="3:15" s="59" customFormat="1" ht="21" customHeight="1">
      <c r="C1214" s="61" t="s">
        <v>1201</v>
      </c>
      <c r="D1214" s="56" t="s">
        <v>1202</v>
      </c>
      <c r="E1214" s="57"/>
      <c r="F1214" s="57"/>
      <c r="G1214" s="57"/>
      <c r="H1214" s="57"/>
      <c r="I1214" s="44"/>
      <c r="J1214" s="44"/>
      <c r="K1214" s="44"/>
      <c r="L1214" s="152" t="s">
        <v>1247</v>
      </c>
    </row>
    <row r="1215" spans="3:15" s="59" customFormat="1" ht="21" customHeight="1">
      <c r="C1215" s="588">
        <v>1</v>
      </c>
      <c r="D1215" s="56" t="s">
        <v>5</v>
      </c>
      <c r="E1215" s="577" t="s">
        <v>6</v>
      </c>
      <c r="F1215" s="62">
        <v>0.17299999999999999</v>
      </c>
      <c r="G1215" s="63">
        <f>VLOOKUP(D1215,upahbahan,3,FALSE)</f>
        <v>100000</v>
      </c>
      <c r="H1215" s="63">
        <f>F1215*G1215</f>
        <v>17300</v>
      </c>
      <c r="I1215" s="44"/>
      <c r="J1215" s="44"/>
      <c r="K1215" s="44"/>
      <c r="L1215" s="152" t="s">
        <v>1248</v>
      </c>
      <c r="O1215" s="65">
        <v>0.1</v>
      </c>
    </row>
    <row r="1216" spans="3:15" s="59" customFormat="1" ht="21" customHeight="1">
      <c r="C1216" s="588">
        <v>2</v>
      </c>
      <c r="D1216" s="56" t="s">
        <v>10</v>
      </c>
      <c r="E1216" s="577" t="s">
        <v>6</v>
      </c>
      <c r="F1216" s="62">
        <v>0.28899999999999998</v>
      </c>
      <c r="G1216" s="63">
        <f>VLOOKUP(D1216,upahbahan,3,FALSE)</f>
        <v>135000</v>
      </c>
      <c r="H1216" s="63">
        <f>F1216*G1216</f>
        <v>39015</v>
      </c>
      <c r="I1216" s="44"/>
      <c r="J1216" s="44"/>
      <c r="K1216" s="44"/>
    </row>
    <row r="1217" spans="3:15" s="59" customFormat="1" ht="21" customHeight="1">
      <c r="C1217" s="588">
        <v>3</v>
      </c>
      <c r="D1217" s="56" t="s">
        <v>18</v>
      </c>
      <c r="E1217" s="577" t="s">
        <v>6</v>
      </c>
      <c r="F1217" s="62">
        <v>2.9000000000000001E-2</v>
      </c>
      <c r="G1217" s="63">
        <f>VLOOKUP(D1217,upahbahan,3,FALSE)</f>
        <v>150000</v>
      </c>
      <c r="H1217" s="63">
        <f>F1217*G1217</f>
        <v>4350</v>
      </c>
      <c r="I1217" s="44"/>
      <c r="J1217" s="44"/>
      <c r="K1217" s="44"/>
    </row>
    <row r="1218" spans="3:15" s="59" customFormat="1" ht="21" customHeight="1">
      <c r="C1218" s="588">
        <v>4</v>
      </c>
      <c r="D1218" s="56" t="s">
        <v>19</v>
      </c>
      <c r="E1218" s="577" t="s">
        <v>6</v>
      </c>
      <c r="F1218" s="62">
        <v>8.9999999999999993E-3</v>
      </c>
      <c r="G1218" s="63">
        <f>VLOOKUP(D1218,upahbahan,3,FALSE)</f>
        <v>160000</v>
      </c>
      <c r="H1218" s="63">
        <f>F1218*G1218</f>
        <v>1440</v>
      </c>
      <c r="I1218" s="44"/>
      <c r="J1218" s="44"/>
      <c r="K1218" s="44"/>
    </row>
    <row r="1219" spans="3:15" s="59" customFormat="1" ht="21" customHeight="1">
      <c r="C1219" s="450" t="s">
        <v>1208</v>
      </c>
      <c r="D1219" s="67"/>
      <c r="E1219" s="67"/>
      <c r="F1219" s="142"/>
      <c r="G1219" s="153"/>
      <c r="H1219" s="63">
        <f>SUM(H1215:H1218)</f>
        <v>62105</v>
      </c>
      <c r="I1219" s="154"/>
      <c r="J1219" s="154"/>
      <c r="K1219" s="154"/>
    </row>
    <row r="1220" spans="3:15" s="59" customFormat="1" ht="21" customHeight="1">
      <c r="C1220" s="61" t="s">
        <v>1209</v>
      </c>
      <c r="D1220" s="56" t="s">
        <v>1210</v>
      </c>
      <c r="E1220" s="57"/>
      <c r="F1220" s="57"/>
      <c r="G1220" s="57"/>
      <c r="H1220" s="57"/>
      <c r="I1220" s="44"/>
      <c r="J1220" s="44"/>
      <c r="K1220" s="44"/>
    </row>
    <row r="1221" spans="3:15" s="59" customFormat="1" ht="21" customHeight="1">
      <c r="C1221" s="588">
        <v>1</v>
      </c>
      <c r="D1221" s="72" t="s">
        <v>8231</v>
      </c>
      <c r="E1221" s="73" t="s">
        <v>113</v>
      </c>
      <c r="F1221" s="276">
        <v>1.65</v>
      </c>
      <c r="G1221" s="63">
        <f>VLOOKUP(D1221,upahbahan,3,FALSE)</f>
        <v>276600</v>
      </c>
      <c r="H1221" s="63">
        <f>F1221*G1221</f>
        <v>456390</v>
      </c>
      <c r="I1221" s="44"/>
      <c r="J1221" s="44"/>
      <c r="K1221" s="44"/>
    </row>
    <row r="1222" spans="3:15" s="59" customFormat="1" ht="21" customHeight="1">
      <c r="C1222" s="450" t="s">
        <v>1214</v>
      </c>
      <c r="D1222" s="67"/>
      <c r="E1222" s="67"/>
      <c r="F1222" s="67"/>
      <c r="G1222" s="69"/>
      <c r="H1222" s="63">
        <f>SUM(H1221:H1221)</f>
        <v>456390</v>
      </c>
      <c r="I1222" s="44"/>
      <c r="J1222" s="44"/>
      <c r="K1222" s="44"/>
    </row>
    <row r="1223" spans="3:15" s="59" customFormat="1" ht="21" customHeight="1">
      <c r="C1223" s="61" t="s">
        <v>1215</v>
      </c>
      <c r="D1223" s="56" t="s">
        <v>1216</v>
      </c>
      <c r="E1223" s="57"/>
      <c r="F1223" s="57"/>
      <c r="G1223" s="57"/>
      <c r="H1223" s="57"/>
      <c r="I1223" s="44"/>
      <c r="J1223" s="44"/>
      <c r="K1223" s="44"/>
    </row>
    <row r="1224" spans="3:15" s="59" customFormat="1" ht="21" customHeight="1">
      <c r="C1224" s="450" t="s">
        <v>1217</v>
      </c>
      <c r="D1224" s="67"/>
      <c r="E1224" s="67"/>
      <c r="F1224" s="67"/>
      <c r="G1224" s="69"/>
      <c r="H1224" s="589">
        <v>0</v>
      </c>
      <c r="I1224" s="44"/>
      <c r="J1224" s="44"/>
      <c r="K1224" s="44"/>
    </row>
    <row r="1225" spans="3:15" s="59" customFormat="1" ht="21" customHeight="1">
      <c r="C1225" s="288" t="s">
        <v>1218</v>
      </c>
      <c r="D1225" s="76" t="s">
        <v>1219</v>
      </c>
      <c r="E1225" s="77"/>
      <c r="F1225" s="77"/>
      <c r="G1225" s="78"/>
      <c r="H1225" s="585">
        <f>H1224+H1222+H1219</f>
        <v>518495</v>
      </c>
      <c r="I1225" s="369"/>
      <c r="J1225" s="44"/>
      <c r="K1225" s="44"/>
    </row>
    <row r="1226" spans="3:15" s="59" customFormat="1" ht="21" customHeight="1">
      <c r="C1226" s="288" t="s">
        <v>1220</v>
      </c>
      <c r="D1226" s="76" t="s">
        <v>1321</v>
      </c>
      <c r="E1226" s="77"/>
      <c r="F1226" s="78"/>
      <c r="G1226" s="80">
        <v>0.1</v>
      </c>
      <c r="H1226" s="63">
        <f>H1225*G1226</f>
        <v>51849.5</v>
      </c>
      <c r="I1226" s="369"/>
      <c r="J1226" s="44"/>
      <c r="K1226" s="44"/>
    </row>
    <row r="1227" spans="3:15" s="59" customFormat="1" ht="21" customHeight="1">
      <c r="C1227" s="288" t="s">
        <v>1221</v>
      </c>
      <c r="D1227" s="76" t="s">
        <v>1222</v>
      </c>
      <c r="E1227" s="77"/>
      <c r="F1227" s="77"/>
      <c r="G1227" s="78"/>
      <c r="H1227" s="799">
        <f>SUM(H1225:H1226)</f>
        <v>570344.5</v>
      </c>
      <c r="I1227" s="369"/>
      <c r="J1227" s="44"/>
      <c r="K1227" s="44"/>
    </row>
    <row r="1228" spans="3:15" ht="21" customHeight="1"/>
    <row r="1229" spans="3:15" s="59" customFormat="1" ht="21" customHeight="1">
      <c r="C1229" s="47" t="s">
        <v>3942</v>
      </c>
      <c r="D1229" s="794" t="s">
        <v>8232</v>
      </c>
      <c r="E1229" s="795"/>
      <c r="F1229" s="795"/>
      <c r="G1229" s="795"/>
      <c r="H1229" s="795"/>
      <c r="I1229" s="50">
        <f>ROUNDDOWN(H1244,-2)</f>
        <v>1791400</v>
      </c>
      <c r="J1229" s="50" t="s">
        <v>6451</v>
      </c>
      <c r="K1229" s="50" t="s">
        <v>8092</v>
      </c>
    </row>
    <row r="1230" spans="3:15" s="59" customFormat="1" ht="21" customHeight="1">
      <c r="C1230" s="591" t="s">
        <v>1195</v>
      </c>
      <c r="D1230" s="591" t="s">
        <v>1196</v>
      </c>
      <c r="E1230" s="591" t="s">
        <v>1197</v>
      </c>
      <c r="F1230" s="591" t="s">
        <v>1198</v>
      </c>
      <c r="G1230" s="591" t="s">
        <v>1199</v>
      </c>
      <c r="H1230" s="591" t="s">
        <v>1200</v>
      </c>
      <c r="I1230" s="44"/>
      <c r="J1230" s="44"/>
      <c r="K1230" s="44"/>
    </row>
    <row r="1231" spans="3:15" s="59" customFormat="1" ht="21" customHeight="1">
      <c r="C1231" s="61" t="s">
        <v>1201</v>
      </c>
      <c r="D1231" s="56" t="s">
        <v>1202</v>
      </c>
      <c r="E1231" s="57"/>
      <c r="F1231" s="57"/>
      <c r="G1231" s="57"/>
      <c r="H1231" s="57"/>
      <c r="I1231" s="44"/>
      <c r="J1231" s="44"/>
      <c r="K1231" s="44"/>
      <c r="L1231" s="152" t="s">
        <v>1247</v>
      </c>
    </row>
    <row r="1232" spans="3:15" s="59" customFormat="1" ht="21" customHeight="1">
      <c r="C1232" s="588">
        <v>1</v>
      </c>
      <c r="D1232" s="56" t="s">
        <v>5</v>
      </c>
      <c r="E1232" s="577" t="s">
        <v>6</v>
      </c>
      <c r="F1232" s="62">
        <v>0.26</v>
      </c>
      <c r="G1232" s="63">
        <f>VLOOKUP(D1232,upahbahan,3,FALSE)</f>
        <v>100000</v>
      </c>
      <c r="H1232" s="63">
        <f>F1232*G1232</f>
        <v>26000</v>
      </c>
      <c r="I1232" s="44"/>
      <c r="J1232" s="44"/>
      <c r="K1232" s="44"/>
      <c r="L1232" s="152" t="s">
        <v>1248</v>
      </c>
      <c r="O1232" s="65">
        <v>0.1</v>
      </c>
    </row>
    <row r="1233" spans="3:12" s="59" customFormat="1" ht="21" customHeight="1">
      <c r="C1233" s="588">
        <v>2</v>
      </c>
      <c r="D1233" s="56" t="s">
        <v>10</v>
      </c>
      <c r="E1233" s="577" t="s">
        <v>6</v>
      </c>
      <c r="F1233" s="62">
        <v>0.435</v>
      </c>
      <c r="G1233" s="63">
        <f>VLOOKUP(D1233,upahbahan,3,FALSE)</f>
        <v>135000</v>
      </c>
      <c r="H1233" s="63">
        <f>F1233*G1233</f>
        <v>58725</v>
      </c>
      <c r="I1233" s="44"/>
      <c r="J1233" s="44"/>
      <c r="K1233" s="44"/>
    </row>
    <row r="1234" spans="3:12" s="59" customFormat="1" ht="21" customHeight="1">
      <c r="C1234" s="588">
        <v>3</v>
      </c>
      <c r="D1234" s="56" t="s">
        <v>18</v>
      </c>
      <c r="E1234" s="577" t="s">
        <v>6</v>
      </c>
      <c r="F1234" s="62">
        <v>4.2999999999999997E-2</v>
      </c>
      <c r="G1234" s="63">
        <f>VLOOKUP(D1234,upahbahan,3,FALSE)</f>
        <v>150000</v>
      </c>
      <c r="H1234" s="63">
        <f>F1234*G1234</f>
        <v>6449.9999999999991</v>
      </c>
      <c r="I1234" s="44"/>
      <c r="J1234" s="44"/>
      <c r="K1234" s="44"/>
    </row>
    <row r="1235" spans="3:12" s="59" customFormat="1" ht="21" customHeight="1">
      <c r="C1235" s="588">
        <v>4</v>
      </c>
      <c r="D1235" s="56" t="s">
        <v>19</v>
      </c>
      <c r="E1235" s="577" t="s">
        <v>6</v>
      </c>
      <c r="F1235" s="62">
        <v>1.2999999999999999E-2</v>
      </c>
      <c r="G1235" s="63">
        <f>VLOOKUP(D1235,upahbahan,3,FALSE)</f>
        <v>160000</v>
      </c>
      <c r="H1235" s="63">
        <f>F1235*G1235</f>
        <v>2080</v>
      </c>
      <c r="I1235" s="44"/>
      <c r="J1235" s="44"/>
      <c r="K1235" s="44"/>
    </row>
    <row r="1236" spans="3:12" s="59" customFormat="1" ht="21" customHeight="1">
      <c r="C1236" s="450" t="s">
        <v>1208</v>
      </c>
      <c r="D1236" s="67"/>
      <c r="E1236" s="67"/>
      <c r="F1236" s="142"/>
      <c r="G1236" s="153"/>
      <c r="H1236" s="63">
        <f>SUM(H1232:H1235)</f>
        <v>93255</v>
      </c>
      <c r="I1236" s="154"/>
      <c r="J1236" s="154"/>
      <c r="K1236" s="154"/>
    </row>
    <row r="1237" spans="3:12" s="59" customFormat="1" ht="21" customHeight="1">
      <c r="C1237" s="61" t="s">
        <v>1209</v>
      </c>
      <c r="D1237" s="56" t="s">
        <v>1210</v>
      </c>
      <c r="E1237" s="57"/>
      <c r="F1237" s="57"/>
      <c r="G1237" s="57"/>
      <c r="H1237" s="57"/>
      <c r="I1237" s="44"/>
      <c r="J1237" s="44"/>
      <c r="K1237" s="44"/>
    </row>
    <row r="1238" spans="3:12" s="59" customFormat="1" ht="21" customHeight="1">
      <c r="C1238" s="588">
        <v>1</v>
      </c>
      <c r="D1238" s="72" t="s">
        <v>8233</v>
      </c>
      <c r="E1238" s="73" t="s">
        <v>113</v>
      </c>
      <c r="F1238" s="276">
        <v>1.65</v>
      </c>
      <c r="G1238" s="63">
        <f>VLOOKUP(D1238,upahbahan,3,FALSE)</f>
        <v>930500</v>
      </c>
      <c r="H1238" s="63">
        <f>F1238*G1238</f>
        <v>1535325</v>
      </c>
      <c r="I1238" s="44"/>
      <c r="J1238" s="44"/>
      <c r="K1238" s="44"/>
    </row>
    <row r="1239" spans="3:12" s="59" customFormat="1" ht="21" customHeight="1">
      <c r="C1239" s="450" t="s">
        <v>1214</v>
      </c>
      <c r="D1239" s="67"/>
      <c r="E1239" s="67"/>
      <c r="F1239" s="67"/>
      <c r="G1239" s="69"/>
      <c r="H1239" s="63">
        <f>SUM(H1238:H1238)</f>
        <v>1535325</v>
      </c>
      <c r="I1239" s="44"/>
      <c r="J1239" s="44"/>
      <c r="K1239" s="44"/>
    </row>
    <row r="1240" spans="3:12" s="59" customFormat="1" ht="21" customHeight="1">
      <c r="C1240" s="61" t="s">
        <v>1215</v>
      </c>
      <c r="D1240" s="56" t="s">
        <v>1216</v>
      </c>
      <c r="E1240" s="57"/>
      <c r="F1240" s="57"/>
      <c r="G1240" s="57"/>
      <c r="H1240" s="57"/>
      <c r="I1240" s="44"/>
      <c r="J1240" s="44"/>
      <c r="K1240" s="44"/>
    </row>
    <row r="1241" spans="3:12" s="59" customFormat="1" ht="21" customHeight="1">
      <c r="C1241" s="450" t="s">
        <v>1217</v>
      </c>
      <c r="D1241" s="67"/>
      <c r="E1241" s="67"/>
      <c r="F1241" s="67"/>
      <c r="G1241" s="69"/>
      <c r="H1241" s="589">
        <v>0</v>
      </c>
      <c r="I1241" s="44"/>
      <c r="J1241" s="44"/>
      <c r="K1241" s="44"/>
    </row>
    <row r="1242" spans="3:12" s="59" customFormat="1" ht="21" customHeight="1">
      <c r="C1242" s="288" t="s">
        <v>1218</v>
      </c>
      <c r="D1242" s="76" t="s">
        <v>1219</v>
      </c>
      <c r="E1242" s="77"/>
      <c r="F1242" s="77"/>
      <c r="G1242" s="78"/>
      <c r="H1242" s="585">
        <f>H1241+H1239+H1236</f>
        <v>1628580</v>
      </c>
      <c r="I1242" s="369"/>
      <c r="J1242" s="44"/>
      <c r="K1242" s="44"/>
    </row>
    <row r="1243" spans="3:12" s="59" customFormat="1" ht="21" customHeight="1">
      <c r="C1243" s="288" t="s">
        <v>1220</v>
      </c>
      <c r="D1243" s="76" t="s">
        <v>1321</v>
      </c>
      <c r="E1243" s="77"/>
      <c r="F1243" s="78"/>
      <c r="G1243" s="80">
        <v>0.1</v>
      </c>
      <c r="H1243" s="63">
        <f>H1242*G1243</f>
        <v>162858</v>
      </c>
      <c r="I1243" s="369"/>
      <c r="J1243" s="44"/>
      <c r="K1243" s="44"/>
    </row>
    <row r="1244" spans="3:12" s="59" customFormat="1" ht="21" customHeight="1">
      <c r="C1244" s="288" t="s">
        <v>1221</v>
      </c>
      <c r="D1244" s="76" t="s">
        <v>1222</v>
      </c>
      <c r="E1244" s="77"/>
      <c r="F1244" s="77"/>
      <c r="G1244" s="78"/>
      <c r="H1244" s="799">
        <f>SUM(H1242:H1243)</f>
        <v>1791438</v>
      </c>
      <c r="I1244" s="369"/>
      <c r="J1244" s="44"/>
      <c r="K1244" s="44"/>
    </row>
    <row r="1245" spans="3:12" ht="21" customHeight="1"/>
    <row r="1246" spans="3:12" s="59" customFormat="1" ht="21" customHeight="1">
      <c r="C1246" s="47" t="s">
        <v>3944</v>
      </c>
      <c r="D1246" s="794" t="s">
        <v>8234</v>
      </c>
      <c r="E1246" s="795"/>
      <c r="F1246" s="795"/>
      <c r="G1246" s="795"/>
      <c r="H1246" s="795"/>
      <c r="I1246" s="50">
        <f>ROUNDDOWN(H1261,-2)</f>
        <v>1697900</v>
      </c>
      <c r="J1246" s="50" t="s">
        <v>6451</v>
      </c>
      <c r="K1246" s="50" t="s">
        <v>8092</v>
      </c>
    </row>
    <row r="1247" spans="3:12" s="59" customFormat="1" ht="21" customHeight="1">
      <c r="C1247" s="591" t="s">
        <v>1195</v>
      </c>
      <c r="D1247" s="591" t="s">
        <v>1196</v>
      </c>
      <c r="E1247" s="591" t="s">
        <v>1197</v>
      </c>
      <c r="F1247" s="591" t="s">
        <v>1198</v>
      </c>
      <c r="G1247" s="591" t="s">
        <v>1199</v>
      </c>
      <c r="H1247" s="591" t="s">
        <v>1200</v>
      </c>
      <c r="I1247" s="44"/>
      <c r="J1247" s="44"/>
      <c r="K1247" s="44"/>
    </row>
    <row r="1248" spans="3:12" s="59" customFormat="1" ht="21" customHeight="1">
      <c r="C1248" s="61" t="s">
        <v>1201</v>
      </c>
      <c r="D1248" s="56" t="s">
        <v>1202</v>
      </c>
      <c r="E1248" s="57"/>
      <c r="F1248" s="57"/>
      <c r="G1248" s="57"/>
      <c r="H1248" s="57"/>
      <c r="I1248" s="44"/>
      <c r="J1248" s="44"/>
      <c r="K1248" s="44"/>
      <c r="L1248" s="152" t="s">
        <v>1247</v>
      </c>
    </row>
    <row r="1249" spans="3:15" s="59" customFormat="1" ht="21" customHeight="1">
      <c r="C1249" s="588">
        <v>1</v>
      </c>
      <c r="D1249" s="56" t="s">
        <v>5</v>
      </c>
      <c r="E1249" s="577" t="s">
        <v>6</v>
      </c>
      <c r="F1249" s="62">
        <v>2.1000000000000001E-2</v>
      </c>
      <c r="G1249" s="63">
        <f>VLOOKUP(D1249,upahbahan,3,FALSE)</f>
        <v>100000</v>
      </c>
      <c r="H1249" s="63">
        <f>F1249*G1249</f>
        <v>2100</v>
      </c>
      <c r="I1249" s="44"/>
      <c r="J1249" s="44"/>
      <c r="K1249" s="44"/>
      <c r="L1249" s="152" t="s">
        <v>1248</v>
      </c>
      <c r="O1249" s="65">
        <v>0.1</v>
      </c>
    </row>
    <row r="1250" spans="3:15" s="59" customFormat="1" ht="21" customHeight="1">
      <c r="C1250" s="588">
        <v>2</v>
      </c>
      <c r="D1250" s="56" t="s">
        <v>10</v>
      </c>
      <c r="E1250" s="577" t="s">
        <v>6</v>
      </c>
      <c r="F1250" s="62">
        <v>3.5000000000000003E-2</v>
      </c>
      <c r="G1250" s="63">
        <f>VLOOKUP(D1250,upahbahan,3,FALSE)</f>
        <v>135000</v>
      </c>
      <c r="H1250" s="63">
        <f>F1250*G1250</f>
        <v>4725</v>
      </c>
      <c r="I1250" s="44"/>
      <c r="J1250" s="44"/>
      <c r="K1250" s="44"/>
    </row>
    <row r="1251" spans="3:15" s="59" customFormat="1" ht="21" customHeight="1">
      <c r="C1251" s="588">
        <v>3</v>
      </c>
      <c r="D1251" s="56" t="s">
        <v>18</v>
      </c>
      <c r="E1251" s="577" t="s">
        <v>6</v>
      </c>
      <c r="F1251" s="62">
        <v>3.0000000000000001E-3</v>
      </c>
      <c r="G1251" s="63">
        <f>VLOOKUP(D1251,upahbahan,3,FALSE)</f>
        <v>150000</v>
      </c>
      <c r="H1251" s="63">
        <f>F1251*G1251</f>
        <v>450</v>
      </c>
      <c r="I1251" s="44"/>
      <c r="J1251" s="44"/>
      <c r="K1251" s="44"/>
    </row>
    <row r="1252" spans="3:15" s="59" customFormat="1" ht="21" customHeight="1">
      <c r="C1252" s="588">
        <v>4</v>
      </c>
      <c r="D1252" s="56" t="s">
        <v>19</v>
      </c>
      <c r="E1252" s="577" t="s">
        <v>6</v>
      </c>
      <c r="F1252" s="62">
        <v>1E-3</v>
      </c>
      <c r="G1252" s="63">
        <f>VLOOKUP(D1252,upahbahan,3,FALSE)</f>
        <v>160000</v>
      </c>
      <c r="H1252" s="63">
        <f>F1252*G1252</f>
        <v>160</v>
      </c>
      <c r="I1252" s="44"/>
      <c r="J1252" s="44"/>
      <c r="K1252" s="44"/>
    </row>
    <row r="1253" spans="3:15" s="59" customFormat="1" ht="21" customHeight="1">
      <c r="C1253" s="450" t="s">
        <v>1208</v>
      </c>
      <c r="D1253" s="67"/>
      <c r="E1253" s="67"/>
      <c r="F1253" s="142"/>
      <c r="G1253" s="153"/>
      <c r="H1253" s="63">
        <f>SUM(H1249:H1252)</f>
        <v>7435</v>
      </c>
      <c r="I1253" s="154"/>
      <c r="J1253" s="154"/>
      <c r="K1253" s="154"/>
    </row>
    <row r="1254" spans="3:15" s="59" customFormat="1" ht="21" customHeight="1">
      <c r="C1254" s="61" t="s">
        <v>1209</v>
      </c>
      <c r="D1254" s="56" t="s">
        <v>1210</v>
      </c>
      <c r="E1254" s="57"/>
      <c r="F1254" s="57"/>
      <c r="G1254" s="57"/>
      <c r="H1254" s="57"/>
      <c r="I1254" s="44"/>
      <c r="J1254" s="44"/>
      <c r="K1254" s="44"/>
    </row>
    <row r="1255" spans="3:15" s="59" customFormat="1" ht="21" customHeight="1">
      <c r="C1255" s="588">
        <v>1</v>
      </c>
      <c r="D1255" s="72" t="s">
        <v>8235</v>
      </c>
      <c r="E1255" s="73" t="s">
        <v>113</v>
      </c>
      <c r="F1255" s="276">
        <v>1.65</v>
      </c>
      <c r="G1255" s="63">
        <f>VLOOKUP(D1255,upahbahan,3,FALSE)</f>
        <v>931000</v>
      </c>
      <c r="H1255" s="63">
        <f>F1255*G1255</f>
        <v>1536150</v>
      </c>
      <c r="I1255" s="44"/>
      <c r="J1255" s="44"/>
      <c r="K1255" s="44"/>
    </row>
    <row r="1256" spans="3:15" s="59" customFormat="1" ht="21" customHeight="1">
      <c r="C1256" s="450" t="s">
        <v>1214</v>
      </c>
      <c r="D1256" s="67"/>
      <c r="E1256" s="67"/>
      <c r="F1256" s="67"/>
      <c r="G1256" s="69"/>
      <c r="H1256" s="63">
        <f>SUM(H1255:H1255)</f>
        <v>1536150</v>
      </c>
      <c r="I1256" s="44"/>
      <c r="J1256" s="44"/>
      <c r="K1256" s="44"/>
    </row>
    <row r="1257" spans="3:15" s="59" customFormat="1" ht="21" customHeight="1">
      <c r="C1257" s="61" t="s">
        <v>1215</v>
      </c>
      <c r="D1257" s="56" t="s">
        <v>1216</v>
      </c>
      <c r="E1257" s="57"/>
      <c r="F1257" s="57"/>
      <c r="G1257" s="57"/>
      <c r="H1257" s="57"/>
      <c r="I1257" s="44"/>
      <c r="J1257" s="44"/>
      <c r="K1257" s="44"/>
    </row>
    <row r="1258" spans="3:15" s="59" customFormat="1" ht="21" customHeight="1">
      <c r="C1258" s="450" t="s">
        <v>1217</v>
      </c>
      <c r="D1258" s="67"/>
      <c r="E1258" s="67"/>
      <c r="F1258" s="67"/>
      <c r="G1258" s="69"/>
      <c r="H1258" s="589">
        <v>0</v>
      </c>
      <c r="I1258" s="44"/>
      <c r="J1258" s="44"/>
      <c r="K1258" s="44"/>
    </row>
    <row r="1259" spans="3:15" s="59" customFormat="1" ht="21" customHeight="1">
      <c r="C1259" s="288" t="s">
        <v>1218</v>
      </c>
      <c r="D1259" s="76" t="s">
        <v>1219</v>
      </c>
      <c r="E1259" s="77"/>
      <c r="F1259" s="77"/>
      <c r="G1259" s="78"/>
      <c r="H1259" s="585">
        <f>H1258+H1256+H1253</f>
        <v>1543585</v>
      </c>
      <c r="I1259" s="369"/>
      <c r="J1259" s="44"/>
      <c r="K1259" s="44"/>
    </row>
    <row r="1260" spans="3:15" s="59" customFormat="1" ht="21" customHeight="1">
      <c r="C1260" s="288" t="s">
        <v>1220</v>
      </c>
      <c r="D1260" s="76" t="s">
        <v>1321</v>
      </c>
      <c r="E1260" s="77"/>
      <c r="F1260" s="78"/>
      <c r="G1260" s="80">
        <v>0.1</v>
      </c>
      <c r="H1260" s="63">
        <f>H1259*G1260</f>
        <v>154358.5</v>
      </c>
      <c r="I1260" s="369"/>
      <c r="J1260" s="44"/>
      <c r="K1260" s="44"/>
    </row>
    <row r="1261" spans="3:15" s="59" customFormat="1" ht="21" customHeight="1">
      <c r="C1261" s="288" t="s">
        <v>1221</v>
      </c>
      <c r="D1261" s="76" t="s">
        <v>1222</v>
      </c>
      <c r="E1261" s="77"/>
      <c r="F1261" s="77"/>
      <c r="G1261" s="78"/>
      <c r="H1261" s="799">
        <f>SUM(H1259:H1260)</f>
        <v>1697943.5</v>
      </c>
      <c r="I1261" s="369"/>
      <c r="J1261" s="44"/>
      <c r="K1261" s="44"/>
    </row>
    <row r="1262" spans="3:15" ht="21" customHeight="1"/>
    <row r="1263" spans="3:15" s="59" customFormat="1" ht="21" customHeight="1">
      <c r="C1263" s="47" t="s">
        <v>3946</v>
      </c>
      <c r="D1263" s="794" t="s">
        <v>8236</v>
      </c>
      <c r="E1263" s="795"/>
      <c r="F1263" s="795"/>
      <c r="G1263" s="795"/>
      <c r="H1263" s="795"/>
      <c r="I1263" s="50">
        <f>ROUNDDOWN(H1278,-2)</f>
        <v>64900</v>
      </c>
      <c r="J1263" s="50" t="s">
        <v>6451</v>
      </c>
      <c r="K1263" s="50" t="s">
        <v>8092</v>
      </c>
    </row>
    <row r="1264" spans="3:15" s="59" customFormat="1" ht="21" customHeight="1">
      <c r="C1264" s="591" t="s">
        <v>1195</v>
      </c>
      <c r="D1264" s="591" t="s">
        <v>1196</v>
      </c>
      <c r="E1264" s="591" t="s">
        <v>1197</v>
      </c>
      <c r="F1264" s="591" t="s">
        <v>1198</v>
      </c>
      <c r="G1264" s="591" t="s">
        <v>1199</v>
      </c>
      <c r="H1264" s="591" t="s">
        <v>1200</v>
      </c>
      <c r="I1264" s="44"/>
      <c r="J1264" s="44"/>
      <c r="K1264" s="44"/>
    </row>
    <row r="1265" spans="3:15" s="59" customFormat="1" ht="21" customHeight="1">
      <c r="C1265" s="61" t="s">
        <v>1201</v>
      </c>
      <c r="D1265" s="56" t="s">
        <v>1202</v>
      </c>
      <c r="E1265" s="57"/>
      <c r="F1265" s="57"/>
      <c r="G1265" s="57"/>
      <c r="H1265" s="57"/>
      <c r="I1265" s="44"/>
      <c r="J1265" s="44"/>
      <c r="K1265" s="44"/>
      <c r="L1265" s="152" t="s">
        <v>1247</v>
      </c>
    </row>
    <row r="1266" spans="3:15" s="59" customFormat="1" ht="21" customHeight="1">
      <c r="C1266" s="588">
        <v>1</v>
      </c>
      <c r="D1266" s="56" t="s">
        <v>5</v>
      </c>
      <c r="E1266" s="577" t="s">
        <v>6</v>
      </c>
      <c r="F1266" s="62">
        <v>3.1E-2</v>
      </c>
      <c r="G1266" s="63">
        <f>VLOOKUP(D1266,upahbahan,3,FALSE)</f>
        <v>100000</v>
      </c>
      <c r="H1266" s="63">
        <f>F1266*G1266</f>
        <v>3100</v>
      </c>
      <c r="I1266" s="44"/>
      <c r="J1266" s="44"/>
      <c r="K1266" s="44"/>
      <c r="L1266" s="152" t="s">
        <v>1248</v>
      </c>
      <c r="O1266" s="65">
        <v>0.1</v>
      </c>
    </row>
    <row r="1267" spans="3:15" s="59" customFormat="1" ht="21" customHeight="1">
      <c r="C1267" s="588">
        <v>2</v>
      </c>
      <c r="D1267" s="56" t="s">
        <v>10</v>
      </c>
      <c r="E1267" s="577" t="s">
        <v>6</v>
      </c>
      <c r="F1267" s="62">
        <v>5.1999999999999998E-2</v>
      </c>
      <c r="G1267" s="63">
        <f>VLOOKUP(D1267,upahbahan,3,FALSE)</f>
        <v>135000</v>
      </c>
      <c r="H1267" s="63">
        <f>F1267*G1267</f>
        <v>7020</v>
      </c>
      <c r="I1267" s="44"/>
      <c r="J1267" s="44"/>
      <c r="K1267" s="44"/>
    </row>
    <row r="1268" spans="3:15" s="59" customFormat="1" ht="21" customHeight="1">
      <c r="C1268" s="588">
        <v>3</v>
      </c>
      <c r="D1268" s="56" t="s">
        <v>18</v>
      </c>
      <c r="E1268" s="577" t="s">
        <v>6</v>
      </c>
      <c r="F1268" s="62">
        <v>5.0000000000000001E-3</v>
      </c>
      <c r="G1268" s="63">
        <f>VLOOKUP(D1268,upahbahan,3,FALSE)</f>
        <v>150000</v>
      </c>
      <c r="H1268" s="63">
        <f>F1268*G1268</f>
        <v>750</v>
      </c>
      <c r="I1268" s="44"/>
      <c r="J1268" s="44"/>
      <c r="K1268" s="44"/>
    </row>
    <row r="1269" spans="3:15" s="59" customFormat="1" ht="21" customHeight="1">
      <c r="C1269" s="588">
        <v>4</v>
      </c>
      <c r="D1269" s="56" t="s">
        <v>19</v>
      </c>
      <c r="E1269" s="577" t="s">
        <v>6</v>
      </c>
      <c r="F1269" s="62">
        <v>2E-3</v>
      </c>
      <c r="G1269" s="63">
        <f>VLOOKUP(D1269,upahbahan,3,FALSE)</f>
        <v>160000</v>
      </c>
      <c r="H1269" s="63">
        <f>F1269*G1269</f>
        <v>320</v>
      </c>
      <c r="I1269" s="44"/>
      <c r="J1269" s="44"/>
      <c r="K1269" s="44"/>
    </row>
    <row r="1270" spans="3:15" s="59" customFormat="1" ht="21" customHeight="1">
      <c r="C1270" s="450" t="s">
        <v>1208</v>
      </c>
      <c r="D1270" s="67"/>
      <c r="E1270" s="67"/>
      <c r="F1270" s="142"/>
      <c r="G1270" s="153"/>
      <c r="H1270" s="63">
        <f>SUM(H1266:H1269)</f>
        <v>11190</v>
      </c>
      <c r="I1270" s="154"/>
      <c r="J1270" s="154"/>
      <c r="K1270" s="154"/>
    </row>
    <row r="1271" spans="3:15" s="59" customFormat="1" ht="21" customHeight="1">
      <c r="C1271" s="61" t="s">
        <v>1209</v>
      </c>
      <c r="D1271" s="56" t="s">
        <v>1210</v>
      </c>
      <c r="E1271" s="57"/>
      <c r="F1271" s="57"/>
      <c r="G1271" s="57"/>
      <c r="H1271" s="57"/>
      <c r="I1271" s="44"/>
      <c r="J1271" s="44"/>
      <c r="K1271" s="44"/>
    </row>
    <row r="1272" spans="3:15" s="59" customFormat="1" ht="21" customHeight="1">
      <c r="C1272" s="588">
        <v>1</v>
      </c>
      <c r="D1272" s="72" t="s">
        <v>8237</v>
      </c>
      <c r="E1272" s="73" t="s">
        <v>113</v>
      </c>
      <c r="F1272" s="62">
        <v>1.65</v>
      </c>
      <c r="G1272" s="63">
        <f>VLOOKUP(D1272,upahbahan,3,FALSE)</f>
        <v>29000</v>
      </c>
      <c r="H1272" s="63">
        <f>F1272*G1272</f>
        <v>47850</v>
      </c>
      <c r="I1272" s="44"/>
      <c r="J1272" s="44"/>
      <c r="K1272" s="44"/>
    </row>
    <row r="1273" spans="3:15" s="59" customFormat="1" ht="21" customHeight="1">
      <c r="C1273" s="450" t="s">
        <v>1214</v>
      </c>
      <c r="D1273" s="67"/>
      <c r="E1273" s="67"/>
      <c r="F1273" s="67"/>
      <c r="G1273" s="69"/>
      <c r="H1273" s="63">
        <f>SUM(H1272:H1272)</f>
        <v>47850</v>
      </c>
      <c r="I1273" s="44"/>
      <c r="J1273" s="44"/>
      <c r="K1273" s="44"/>
    </row>
    <row r="1274" spans="3:15" s="59" customFormat="1" ht="21" customHeight="1">
      <c r="C1274" s="61" t="s">
        <v>1215</v>
      </c>
      <c r="D1274" s="56" t="s">
        <v>1216</v>
      </c>
      <c r="E1274" s="57"/>
      <c r="F1274" s="57"/>
      <c r="G1274" s="57"/>
      <c r="H1274" s="57"/>
      <c r="I1274" s="44"/>
      <c r="J1274" s="44"/>
      <c r="K1274" s="44"/>
    </row>
    <row r="1275" spans="3:15" s="59" customFormat="1" ht="21" customHeight="1">
      <c r="C1275" s="450" t="s">
        <v>1217</v>
      </c>
      <c r="D1275" s="67"/>
      <c r="E1275" s="67"/>
      <c r="F1275" s="67"/>
      <c r="G1275" s="69"/>
      <c r="H1275" s="589">
        <v>0</v>
      </c>
      <c r="I1275" s="44"/>
      <c r="J1275" s="44"/>
      <c r="K1275" s="44"/>
    </row>
    <row r="1276" spans="3:15" s="59" customFormat="1" ht="21" customHeight="1">
      <c r="C1276" s="288" t="s">
        <v>1218</v>
      </c>
      <c r="D1276" s="76" t="s">
        <v>1219</v>
      </c>
      <c r="E1276" s="77"/>
      <c r="F1276" s="77"/>
      <c r="G1276" s="78"/>
      <c r="H1276" s="585">
        <f>H1275+H1273+H1270</f>
        <v>59040</v>
      </c>
      <c r="I1276" s="369"/>
      <c r="J1276" s="44"/>
      <c r="K1276" s="44"/>
    </row>
    <row r="1277" spans="3:15" s="59" customFormat="1" ht="21" customHeight="1">
      <c r="C1277" s="288" t="s">
        <v>1220</v>
      </c>
      <c r="D1277" s="76" t="s">
        <v>1321</v>
      </c>
      <c r="E1277" s="77"/>
      <c r="F1277" s="78"/>
      <c r="G1277" s="80">
        <v>0.1</v>
      </c>
      <c r="H1277" s="63">
        <f>H1276*G1277</f>
        <v>5904</v>
      </c>
      <c r="I1277" s="369"/>
      <c r="J1277" s="44"/>
      <c r="K1277" s="44"/>
    </row>
    <row r="1278" spans="3:15" s="59" customFormat="1" ht="21" customHeight="1">
      <c r="C1278" s="288" t="s">
        <v>1221</v>
      </c>
      <c r="D1278" s="76" t="s">
        <v>1222</v>
      </c>
      <c r="E1278" s="77"/>
      <c r="F1278" s="77"/>
      <c r="G1278" s="78"/>
      <c r="H1278" s="799">
        <f>SUM(H1276:H1277)</f>
        <v>64944</v>
      </c>
      <c r="I1278" s="369"/>
      <c r="J1278" s="44"/>
      <c r="K1278" s="44"/>
    </row>
    <row r="1279" spans="3:15" ht="21" customHeight="1"/>
    <row r="1280" spans="3:15" ht="21" customHeight="1"/>
    <row r="1281" spans="3:15" s="59" customFormat="1" ht="21" customHeight="1">
      <c r="C1281" s="47" t="s">
        <v>3948</v>
      </c>
      <c r="D1281" s="794" t="s">
        <v>8238</v>
      </c>
      <c r="E1281" s="795"/>
      <c r="F1281" s="795"/>
      <c r="G1281" s="795"/>
      <c r="H1281" s="795"/>
      <c r="I1281" s="50">
        <f>ROUNDDOWN(H1296,-2)</f>
        <v>97000</v>
      </c>
      <c r="J1281" s="50" t="s">
        <v>6451</v>
      </c>
      <c r="K1281" s="50" t="s">
        <v>8092</v>
      </c>
    </row>
    <row r="1282" spans="3:15" s="59" customFormat="1" ht="21" customHeight="1">
      <c r="C1282" s="591" t="s">
        <v>1195</v>
      </c>
      <c r="D1282" s="591" t="s">
        <v>1196</v>
      </c>
      <c r="E1282" s="591" t="s">
        <v>1197</v>
      </c>
      <c r="F1282" s="591" t="s">
        <v>1198</v>
      </c>
      <c r="G1282" s="591" t="s">
        <v>1199</v>
      </c>
      <c r="H1282" s="591" t="s">
        <v>1200</v>
      </c>
      <c r="I1282" s="44"/>
      <c r="J1282" s="44"/>
      <c r="K1282" s="44"/>
    </row>
    <row r="1283" spans="3:15" s="59" customFormat="1" ht="21" customHeight="1">
      <c r="C1283" s="61" t="s">
        <v>1201</v>
      </c>
      <c r="D1283" s="56" t="s">
        <v>1202</v>
      </c>
      <c r="E1283" s="57"/>
      <c r="F1283" s="57"/>
      <c r="G1283" s="57"/>
      <c r="H1283" s="57"/>
      <c r="I1283" s="44"/>
      <c r="J1283" s="44"/>
      <c r="K1283" s="44"/>
      <c r="L1283" s="152" t="s">
        <v>1247</v>
      </c>
    </row>
    <row r="1284" spans="3:15" s="59" customFormat="1" ht="21" customHeight="1">
      <c r="C1284" s="588">
        <v>1</v>
      </c>
      <c r="D1284" s="56" t="s">
        <v>5</v>
      </c>
      <c r="E1284" s="577" t="s">
        <v>6</v>
      </c>
      <c r="F1284" s="62">
        <v>4.3999999999999997E-2</v>
      </c>
      <c r="G1284" s="63">
        <f>VLOOKUP(D1284,upahbahan,3,FALSE)</f>
        <v>100000</v>
      </c>
      <c r="H1284" s="63">
        <f>F1284*G1284</f>
        <v>4400</v>
      </c>
      <c r="I1284" s="44"/>
      <c r="J1284" s="44"/>
      <c r="K1284" s="44"/>
      <c r="L1284" s="152" t="s">
        <v>1248</v>
      </c>
      <c r="O1284" s="65">
        <v>0.1</v>
      </c>
    </row>
    <row r="1285" spans="3:15" s="59" customFormat="1" ht="21" customHeight="1">
      <c r="C1285" s="588">
        <v>2</v>
      </c>
      <c r="D1285" s="56" t="s">
        <v>10</v>
      </c>
      <c r="E1285" s="577" t="s">
        <v>6</v>
      </c>
      <c r="F1285" s="62">
        <v>7.2999999999999995E-2</v>
      </c>
      <c r="G1285" s="63">
        <f>VLOOKUP(D1285,upahbahan,3,FALSE)</f>
        <v>135000</v>
      </c>
      <c r="H1285" s="63">
        <f>F1285*G1285</f>
        <v>9855</v>
      </c>
      <c r="I1285" s="44"/>
      <c r="J1285" s="44"/>
      <c r="K1285" s="44"/>
    </row>
    <row r="1286" spans="3:15" s="59" customFormat="1" ht="21" customHeight="1">
      <c r="C1286" s="588">
        <v>3</v>
      </c>
      <c r="D1286" s="56" t="s">
        <v>18</v>
      </c>
      <c r="E1286" s="577" t="s">
        <v>6</v>
      </c>
      <c r="F1286" s="62">
        <v>7.0000000000000001E-3</v>
      </c>
      <c r="G1286" s="63">
        <f>VLOOKUP(D1286,upahbahan,3,FALSE)</f>
        <v>150000</v>
      </c>
      <c r="H1286" s="63">
        <f>F1286*G1286</f>
        <v>1050</v>
      </c>
      <c r="I1286" s="44"/>
      <c r="J1286" s="44"/>
      <c r="K1286" s="44"/>
    </row>
    <row r="1287" spans="3:15" s="59" customFormat="1" ht="21" customHeight="1">
      <c r="C1287" s="588">
        <v>4</v>
      </c>
      <c r="D1287" s="56" t="s">
        <v>19</v>
      </c>
      <c r="E1287" s="577" t="s">
        <v>6</v>
      </c>
      <c r="F1287" s="62">
        <v>2E-3</v>
      </c>
      <c r="G1287" s="63">
        <f>VLOOKUP(D1287,upahbahan,3,FALSE)</f>
        <v>160000</v>
      </c>
      <c r="H1287" s="63">
        <f>F1287*G1287</f>
        <v>320</v>
      </c>
      <c r="I1287" s="44"/>
      <c r="J1287" s="44"/>
      <c r="K1287" s="44"/>
    </row>
    <row r="1288" spans="3:15" s="59" customFormat="1" ht="21" customHeight="1">
      <c r="C1288" s="450" t="s">
        <v>1208</v>
      </c>
      <c r="D1288" s="67"/>
      <c r="E1288" s="67"/>
      <c r="F1288" s="142"/>
      <c r="G1288" s="153"/>
      <c r="H1288" s="63">
        <f>SUM(H1284:H1287)</f>
        <v>15625</v>
      </c>
      <c r="I1288" s="154"/>
      <c r="J1288" s="154"/>
      <c r="K1288" s="154"/>
    </row>
    <row r="1289" spans="3:15" s="59" customFormat="1" ht="21" customHeight="1">
      <c r="C1289" s="61" t="s">
        <v>1209</v>
      </c>
      <c r="D1289" s="56" t="s">
        <v>1210</v>
      </c>
      <c r="E1289" s="57"/>
      <c r="F1289" s="57"/>
      <c r="G1289" s="57"/>
      <c r="H1289" s="57"/>
      <c r="I1289" s="44"/>
      <c r="J1289" s="44"/>
      <c r="K1289" s="44"/>
    </row>
    <row r="1290" spans="3:15" s="59" customFormat="1" ht="21" customHeight="1">
      <c r="C1290" s="588">
        <v>1</v>
      </c>
      <c r="D1290" s="72" t="s">
        <v>8239</v>
      </c>
      <c r="E1290" s="73" t="s">
        <v>113</v>
      </c>
      <c r="F1290" s="62">
        <v>1.65</v>
      </c>
      <c r="G1290" s="63">
        <f>VLOOKUP(D1290,upahbahan,3,FALSE)</f>
        <v>44000</v>
      </c>
      <c r="H1290" s="63">
        <f>F1290*G1290</f>
        <v>72600</v>
      </c>
      <c r="I1290" s="44"/>
      <c r="J1290" s="44"/>
      <c r="K1290" s="44"/>
    </row>
    <row r="1291" spans="3:15" s="59" customFormat="1" ht="21" customHeight="1">
      <c r="C1291" s="450" t="s">
        <v>1214</v>
      </c>
      <c r="D1291" s="67"/>
      <c r="E1291" s="67"/>
      <c r="F1291" s="67"/>
      <c r="G1291" s="69"/>
      <c r="H1291" s="63">
        <f>SUM(H1290:H1290)</f>
        <v>72600</v>
      </c>
      <c r="I1291" s="44"/>
      <c r="J1291" s="44"/>
      <c r="K1291" s="44"/>
    </row>
    <row r="1292" spans="3:15" s="59" customFormat="1" ht="21" customHeight="1">
      <c r="C1292" s="61" t="s">
        <v>1215</v>
      </c>
      <c r="D1292" s="56" t="s">
        <v>1216</v>
      </c>
      <c r="E1292" s="57"/>
      <c r="F1292" s="57"/>
      <c r="G1292" s="57"/>
      <c r="H1292" s="57"/>
      <c r="I1292" s="44"/>
      <c r="J1292" s="44"/>
      <c r="K1292" s="44"/>
    </row>
    <row r="1293" spans="3:15" s="59" customFormat="1" ht="21" customHeight="1">
      <c r="C1293" s="450" t="s">
        <v>1217</v>
      </c>
      <c r="D1293" s="67"/>
      <c r="E1293" s="67"/>
      <c r="F1293" s="67"/>
      <c r="G1293" s="69"/>
      <c r="H1293" s="589">
        <v>0</v>
      </c>
      <c r="I1293" s="44"/>
      <c r="J1293" s="44"/>
      <c r="K1293" s="44"/>
    </row>
    <row r="1294" spans="3:15" s="59" customFormat="1" ht="21" customHeight="1">
      <c r="C1294" s="288" t="s">
        <v>1218</v>
      </c>
      <c r="D1294" s="76" t="s">
        <v>1219</v>
      </c>
      <c r="E1294" s="77"/>
      <c r="F1294" s="77"/>
      <c r="G1294" s="78"/>
      <c r="H1294" s="585">
        <f>H1293+H1291+H1288</f>
        <v>88225</v>
      </c>
      <c r="I1294" s="369"/>
      <c r="J1294" s="44"/>
      <c r="K1294" s="44"/>
    </row>
    <row r="1295" spans="3:15" s="59" customFormat="1" ht="21" customHeight="1">
      <c r="C1295" s="288" t="s">
        <v>1220</v>
      </c>
      <c r="D1295" s="76" t="s">
        <v>1321</v>
      </c>
      <c r="E1295" s="77"/>
      <c r="F1295" s="78"/>
      <c r="G1295" s="80">
        <v>0.1</v>
      </c>
      <c r="H1295" s="63">
        <f>H1294*G1295</f>
        <v>8822.5</v>
      </c>
      <c r="I1295" s="369"/>
      <c r="J1295" s="44"/>
      <c r="K1295" s="44"/>
    </row>
    <row r="1296" spans="3:15" s="59" customFormat="1" ht="21" customHeight="1">
      <c r="C1296" s="288" t="s">
        <v>1221</v>
      </c>
      <c r="D1296" s="76" t="s">
        <v>1222</v>
      </c>
      <c r="E1296" s="77"/>
      <c r="F1296" s="77"/>
      <c r="G1296" s="78"/>
      <c r="H1296" s="799">
        <f>SUM(H1294:H1295)</f>
        <v>97047.5</v>
      </c>
      <c r="I1296" s="369"/>
      <c r="J1296" s="44"/>
      <c r="K1296" s="44"/>
    </row>
    <row r="1297" spans="3:15" ht="21" customHeight="1"/>
    <row r="1298" spans="3:15" s="59" customFormat="1" ht="21" customHeight="1">
      <c r="C1298" s="47" t="s">
        <v>3950</v>
      </c>
      <c r="D1298" s="794" t="s">
        <v>8240</v>
      </c>
      <c r="E1298" s="795"/>
      <c r="F1298" s="795"/>
      <c r="G1298" s="795"/>
      <c r="H1298" s="795"/>
      <c r="I1298" s="50">
        <f>ROUNDDOWN(H1313,-2)</f>
        <v>139200</v>
      </c>
      <c r="J1298" s="50" t="s">
        <v>6451</v>
      </c>
      <c r="K1298" s="50" t="s">
        <v>8092</v>
      </c>
    </row>
    <row r="1299" spans="3:15" s="59" customFormat="1" ht="21" customHeight="1">
      <c r="C1299" s="591" t="s">
        <v>1195</v>
      </c>
      <c r="D1299" s="591" t="s">
        <v>1196</v>
      </c>
      <c r="E1299" s="591" t="s">
        <v>1197</v>
      </c>
      <c r="F1299" s="591" t="s">
        <v>1198</v>
      </c>
      <c r="G1299" s="591" t="s">
        <v>1199</v>
      </c>
      <c r="H1299" s="591" t="s">
        <v>1200</v>
      </c>
      <c r="I1299" s="44"/>
      <c r="J1299" s="44"/>
      <c r="K1299" s="44"/>
    </row>
    <row r="1300" spans="3:15" s="59" customFormat="1" ht="21" customHeight="1">
      <c r="C1300" s="61" t="s">
        <v>1201</v>
      </c>
      <c r="D1300" s="56" t="s">
        <v>1202</v>
      </c>
      <c r="E1300" s="57"/>
      <c r="F1300" s="57"/>
      <c r="G1300" s="57"/>
      <c r="H1300" s="57"/>
      <c r="I1300" s="44"/>
      <c r="J1300" s="44"/>
      <c r="K1300" s="44"/>
      <c r="L1300" s="152" t="s">
        <v>1247</v>
      </c>
    </row>
    <row r="1301" spans="3:15" s="59" customFormat="1" ht="21" customHeight="1">
      <c r="C1301" s="588">
        <v>1</v>
      </c>
      <c r="D1301" s="56" t="s">
        <v>5</v>
      </c>
      <c r="E1301" s="577" t="s">
        <v>6</v>
      </c>
      <c r="F1301" s="62">
        <v>5.3999999999999999E-2</v>
      </c>
      <c r="G1301" s="63">
        <f>VLOOKUP(D1301,upahbahan,3,FALSE)</f>
        <v>100000</v>
      </c>
      <c r="H1301" s="63">
        <f>F1301*G1301</f>
        <v>5400</v>
      </c>
      <c r="I1301" s="44"/>
      <c r="J1301" s="44"/>
      <c r="K1301" s="44"/>
      <c r="L1301" s="152" t="s">
        <v>1248</v>
      </c>
      <c r="O1301" s="65">
        <v>0.1</v>
      </c>
    </row>
    <row r="1302" spans="3:15" s="59" customFormat="1" ht="21" customHeight="1">
      <c r="C1302" s="588">
        <v>2</v>
      </c>
      <c r="D1302" s="56" t="s">
        <v>10</v>
      </c>
      <c r="E1302" s="577" t="s">
        <v>6</v>
      </c>
      <c r="F1302" s="62">
        <v>0.09</v>
      </c>
      <c r="G1302" s="63">
        <f>VLOOKUP(D1302,upahbahan,3,FALSE)</f>
        <v>135000</v>
      </c>
      <c r="H1302" s="63">
        <f>F1302*G1302</f>
        <v>12150</v>
      </c>
      <c r="I1302" s="44"/>
      <c r="J1302" s="44"/>
      <c r="K1302" s="44"/>
    </row>
    <row r="1303" spans="3:15" s="59" customFormat="1" ht="21" customHeight="1">
      <c r="C1303" s="588">
        <v>3</v>
      </c>
      <c r="D1303" s="56" t="s">
        <v>18</v>
      </c>
      <c r="E1303" s="577" t="s">
        <v>6</v>
      </c>
      <c r="F1303" s="62">
        <v>8.9999999999999993E-3</v>
      </c>
      <c r="G1303" s="63">
        <f>VLOOKUP(D1303,upahbahan,3,FALSE)</f>
        <v>150000</v>
      </c>
      <c r="H1303" s="63">
        <f>F1303*G1303</f>
        <v>1350</v>
      </c>
      <c r="I1303" s="44"/>
      <c r="J1303" s="44"/>
      <c r="K1303" s="44"/>
    </row>
    <row r="1304" spans="3:15" s="59" customFormat="1" ht="21" customHeight="1">
      <c r="C1304" s="588">
        <v>4</v>
      </c>
      <c r="D1304" s="56" t="s">
        <v>19</v>
      </c>
      <c r="E1304" s="577" t="s">
        <v>6</v>
      </c>
      <c r="F1304" s="62">
        <v>3.0000000000000001E-3</v>
      </c>
      <c r="G1304" s="63">
        <f>VLOOKUP(D1304,upahbahan,3,FALSE)</f>
        <v>160000</v>
      </c>
      <c r="H1304" s="63">
        <f>F1304*G1304</f>
        <v>480</v>
      </c>
      <c r="I1304" s="44"/>
      <c r="J1304" s="44"/>
      <c r="K1304" s="44"/>
    </row>
    <row r="1305" spans="3:15" s="59" customFormat="1" ht="21" customHeight="1">
      <c r="C1305" s="450" t="s">
        <v>1208</v>
      </c>
      <c r="D1305" s="67"/>
      <c r="E1305" s="67"/>
      <c r="F1305" s="142"/>
      <c r="G1305" s="153"/>
      <c r="H1305" s="63">
        <f>SUM(H1301:H1304)</f>
        <v>19380</v>
      </c>
      <c r="I1305" s="154"/>
      <c r="J1305" s="154"/>
      <c r="K1305" s="154"/>
    </row>
    <row r="1306" spans="3:15" s="59" customFormat="1" ht="21" customHeight="1">
      <c r="C1306" s="61" t="s">
        <v>1209</v>
      </c>
      <c r="D1306" s="56" t="s">
        <v>1210</v>
      </c>
      <c r="E1306" s="57"/>
      <c r="F1306" s="57"/>
      <c r="G1306" s="57"/>
      <c r="H1306" s="57"/>
      <c r="I1306" s="44"/>
      <c r="J1306" s="44"/>
      <c r="K1306" s="44"/>
    </row>
    <row r="1307" spans="3:15" s="59" customFormat="1" ht="21" customHeight="1">
      <c r="C1307" s="588">
        <v>1</v>
      </c>
      <c r="D1307" s="72" t="s">
        <v>8241</v>
      </c>
      <c r="E1307" s="73" t="s">
        <v>113</v>
      </c>
      <c r="F1307" s="62">
        <v>1.65</v>
      </c>
      <c r="G1307" s="63">
        <f>VLOOKUP(D1307,upahbahan,3,FALSE)</f>
        <v>65000</v>
      </c>
      <c r="H1307" s="63">
        <f>F1307*G1307</f>
        <v>107250</v>
      </c>
      <c r="I1307" s="44"/>
      <c r="J1307" s="44"/>
      <c r="K1307" s="44"/>
    </row>
    <row r="1308" spans="3:15" s="59" customFormat="1" ht="21" customHeight="1">
      <c r="C1308" s="450" t="s">
        <v>1214</v>
      </c>
      <c r="D1308" s="67"/>
      <c r="E1308" s="67"/>
      <c r="F1308" s="67"/>
      <c r="G1308" s="69"/>
      <c r="H1308" s="63">
        <f>SUM(H1307:H1307)</f>
        <v>107250</v>
      </c>
      <c r="I1308" s="44"/>
      <c r="J1308" s="44"/>
      <c r="K1308" s="44"/>
    </row>
    <row r="1309" spans="3:15" s="59" customFormat="1" ht="21" customHeight="1">
      <c r="C1309" s="61" t="s">
        <v>1215</v>
      </c>
      <c r="D1309" s="56" t="s">
        <v>1216</v>
      </c>
      <c r="E1309" s="57"/>
      <c r="F1309" s="57"/>
      <c r="G1309" s="57"/>
      <c r="H1309" s="57"/>
      <c r="I1309" s="44"/>
      <c r="J1309" s="44"/>
      <c r="K1309" s="44"/>
    </row>
    <row r="1310" spans="3:15" s="59" customFormat="1" ht="21" customHeight="1">
      <c r="C1310" s="450" t="s">
        <v>1217</v>
      </c>
      <c r="D1310" s="67"/>
      <c r="E1310" s="67"/>
      <c r="F1310" s="67"/>
      <c r="G1310" s="69"/>
      <c r="H1310" s="589">
        <v>0</v>
      </c>
      <c r="I1310" s="44"/>
      <c r="J1310" s="44"/>
      <c r="K1310" s="44"/>
    </row>
    <row r="1311" spans="3:15" s="59" customFormat="1" ht="21" customHeight="1">
      <c r="C1311" s="288" t="s">
        <v>1218</v>
      </c>
      <c r="D1311" s="76" t="s">
        <v>1219</v>
      </c>
      <c r="E1311" s="77"/>
      <c r="F1311" s="77"/>
      <c r="G1311" s="78"/>
      <c r="H1311" s="585">
        <f>H1310+H1308+H1305</f>
        <v>126630</v>
      </c>
      <c r="I1311" s="369"/>
      <c r="J1311" s="44"/>
      <c r="K1311" s="44"/>
    </row>
    <row r="1312" spans="3:15" s="59" customFormat="1" ht="21" customHeight="1">
      <c r="C1312" s="288" t="s">
        <v>1220</v>
      </c>
      <c r="D1312" s="76" t="s">
        <v>1321</v>
      </c>
      <c r="E1312" s="77"/>
      <c r="F1312" s="78"/>
      <c r="G1312" s="80">
        <v>0.1</v>
      </c>
      <c r="H1312" s="63">
        <f>H1311*G1312</f>
        <v>12663</v>
      </c>
      <c r="I1312" s="369"/>
      <c r="J1312" s="44"/>
      <c r="K1312" s="44"/>
    </row>
    <row r="1313" spans="3:15" s="59" customFormat="1" ht="21" customHeight="1">
      <c r="C1313" s="288" t="s">
        <v>1221</v>
      </c>
      <c r="D1313" s="76" t="s">
        <v>1222</v>
      </c>
      <c r="E1313" s="77"/>
      <c r="F1313" s="77"/>
      <c r="G1313" s="78"/>
      <c r="H1313" s="799">
        <f>SUM(H1311:H1312)</f>
        <v>139293</v>
      </c>
      <c r="I1313" s="369"/>
      <c r="J1313" s="44"/>
      <c r="K1313" s="44"/>
    </row>
    <row r="1314" spans="3:15" ht="21" customHeight="1"/>
    <row r="1315" spans="3:15" s="59" customFormat="1" ht="21" customHeight="1">
      <c r="C1315" s="47" t="s">
        <v>3952</v>
      </c>
      <c r="D1315" s="794" t="s">
        <v>8242</v>
      </c>
      <c r="E1315" s="795"/>
      <c r="F1315" s="795"/>
      <c r="G1315" s="795"/>
      <c r="H1315" s="795"/>
      <c r="I1315" s="50">
        <f>ROUNDDOWN(H1330,-2)</f>
        <v>204300</v>
      </c>
      <c r="J1315" s="50" t="s">
        <v>6451</v>
      </c>
      <c r="K1315" s="50" t="s">
        <v>8092</v>
      </c>
    </row>
    <row r="1316" spans="3:15" s="59" customFormat="1" ht="21" customHeight="1">
      <c r="C1316" s="591" t="s">
        <v>1195</v>
      </c>
      <c r="D1316" s="591" t="s">
        <v>1196</v>
      </c>
      <c r="E1316" s="591" t="s">
        <v>1197</v>
      </c>
      <c r="F1316" s="591" t="s">
        <v>1198</v>
      </c>
      <c r="G1316" s="591" t="s">
        <v>1199</v>
      </c>
      <c r="H1316" s="591" t="s">
        <v>1200</v>
      </c>
      <c r="I1316" s="44"/>
      <c r="J1316" s="44"/>
      <c r="K1316" s="44"/>
    </row>
    <row r="1317" spans="3:15" s="59" customFormat="1" ht="21" customHeight="1">
      <c r="C1317" s="61" t="s">
        <v>1201</v>
      </c>
      <c r="D1317" s="56" t="s">
        <v>1202</v>
      </c>
      <c r="E1317" s="57"/>
      <c r="F1317" s="57"/>
      <c r="G1317" s="57"/>
      <c r="H1317" s="57"/>
      <c r="I1317" s="44"/>
      <c r="J1317" s="44"/>
      <c r="K1317" s="44"/>
      <c r="L1317" s="152" t="s">
        <v>1247</v>
      </c>
    </row>
    <row r="1318" spans="3:15" s="59" customFormat="1" ht="21" customHeight="1">
      <c r="C1318" s="588">
        <v>1</v>
      </c>
      <c r="D1318" s="56" t="s">
        <v>5</v>
      </c>
      <c r="E1318" s="577" t="s">
        <v>6</v>
      </c>
      <c r="F1318" s="62">
        <v>6.5000000000000002E-2</v>
      </c>
      <c r="G1318" s="63">
        <f>VLOOKUP(D1318,upahbahan,3,FALSE)</f>
        <v>100000</v>
      </c>
      <c r="H1318" s="63">
        <f>F1318*G1318</f>
        <v>6500</v>
      </c>
      <c r="I1318" s="44"/>
      <c r="J1318" s="44"/>
      <c r="K1318" s="44"/>
      <c r="L1318" s="152" t="s">
        <v>1248</v>
      </c>
      <c r="O1318" s="65">
        <v>0.1</v>
      </c>
    </row>
    <row r="1319" spans="3:15" s="59" customFormat="1" ht="21" customHeight="1">
      <c r="C1319" s="588">
        <v>2</v>
      </c>
      <c r="D1319" s="56" t="s">
        <v>10</v>
      </c>
      <c r="E1319" s="577" t="s">
        <v>6</v>
      </c>
      <c r="F1319" s="62">
        <v>0.108</v>
      </c>
      <c r="G1319" s="63">
        <f>VLOOKUP(D1319,upahbahan,3,FALSE)</f>
        <v>135000</v>
      </c>
      <c r="H1319" s="63">
        <f>F1319*G1319</f>
        <v>14580</v>
      </c>
      <c r="I1319" s="44"/>
      <c r="J1319" s="44"/>
      <c r="K1319" s="44"/>
    </row>
    <row r="1320" spans="3:15" s="59" customFormat="1" ht="21" customHeight="1">
      <c r="C1320" s="588">
        <v>3</v>
      </c>
      <c r="D1320" s="56" t="s">
        <v>18</v>
      </c>
      <c r="E1320" s="577" t="s">
        <v>6</v>
      </c>
      <c r="F1320" s="62">
        <v>1.0999999999999999E-2</v>
      </c>
      <c r="G1320" s="63">
        <f>VLOOKUP(D1320,upahbahan,3,FALSE)</f>
        <v>150000</v>
      </c>
      <c r="H1320" s="63">
        <f>F1320*G1320</f>
        <v>1650</v>
      </c>
      <c r="I1320" s="44"/>
      <c r="J1320" s="44"/>
      <c r="K1320" s="44"/>
    </row>
    <row r="1321" spans="3:15" s="59" customFormat="1" ht="21" customHeight="1">
      <c r="C1321" s="588">
        <v>4</v>
      </c>
      <c r="D1321" s="56" t="s">
        <v>19</v>
      </c>
      <c r="E1321" s="577" t="s">
        <v>6</v>
      </c>
      <c r="F1321" s="62">
        <v>3.0000000000000001E-3</v>
      </c>
      <c r="G1321" s="63">
        <f>VLOOKUP(D1321,upahbahan,3,FALSE)</f>
        <v>160000</v>
      </c>
      <c r="H1321" s="63">
        <f>F1321*G1321</f>
        <v>480</v>
      </c>
      <c r="I1321" s="44"/>
      <c r="J1321" s="44"/>
      <c r="K1321" s="44"/>
    </row>
    <row r="1322" spans="3:15" s="59" customFormat="1" ht="21" customHeight="1">
      <c r="C1322" s="450" t="s">
        <v>1208</v>
      </c>
      <c r="D1322" s="67"/>
      <c r="E1322" s="67"/>
      <c r="F1322" s="142"/>
      <c r="G1322" s="153"/>
      <c r="H1322" s="63">
        <f>SUM(H1318:H1321)</f>
        <v>23210</v>
      </c>
      <c r="I1322" s="154"/>
      <c r="J1322" s="154"/>
      <c r="K1322" s="154"/>
    </row>
    <row r="1323" spans="3:15" s="59" customFormat="1" ht="21" customHeight="1">
      <c r="C1323" s="61" t="s">
        <v>1209</v>
      </c>
      <c r="D1323" s="56" t="s">
        <v>1210</v>
      </c>
      <c r="E1323" s="57"/>
      <c r="F1323" s="57"/>
      <c r="G1323" s="57"/>
      <c r="H1323" s="57"/>
      <c r="I1323" s="44"/>
      <c r="J1323" s="44"/>
      <c r="K1323" s="44"/>
    </row>
    <row r="1324" spans="3:15" s="59" customFormat="1" ht="21" customHeight="1">
      <c r="C1324" s="588">
        <v>1</v>
      </c>
      <c r="D1324" s="72" t="s">
        <v>8243</v>
      </c>
      <c r="E1324" s="73" t="s">
        <v>113</v>
      </c>
      <c r="F1324" s="62">
        <v>1.65</v>
      </c>
      <c r="G1324" s="63">
        <f>VLOOKUP(D1324,upahbahan,3,FALSE)</f>
        <v>98500</v>
      </c>
      <c r="H1324" s="63">
        <f>F1324*G1324</f>
        <v>162525</v>
      </c>
      <c r="I1324" s="44"/>
      <c r="J1324" s="44"/>
      <c r="K1324" s="44"/>
    </row>
    <row r="1325" spans="3:15" s="59" customFormat="1" ht="21" customHeight="1">
      <c r="C1325" s="450" t="s">
        <v>1214</v>
      </c>
      <c r="D1325" s="67"/>
      <c r="E1325" s="67"/>
      <c r="F1325" s="67"/>
      <c r="G1325" s="69"/>
      <c r="H1325" s="63">
        <f>SUM(H1324:H1324)</f>
        <v>162525</v>
      </c>
      <c r="I1325" s="44"/>
      <c r="J1325" s="44"/>
      <c r="K1325" s="44"/>
    </row>
    <row r="1326" spans="3:15" s="59" customFormat="1" ht="21" customHeight="1">
      <c r="C1326" s="61" t="s">
        <v>1215</v>
      </c>
      <c r="D1326" s="56" t="s">
        <v>1216</v>
      </c>
      <c r="E1326" s="57"/>
      <c r="F1326" s="57"/>
      <c r="G1326" s="57"/>
      <c r="H1326" s="57"/>
      <c r="I1326" s="44"/>
      <c r="J1326" s="44"/>
      <c r="K1326" s="44"/>
    </row>
    <row r="1327" spans="3:15" s="59" customFormat="1" ht="21" customHeight="1">
      <c r="C1327" s="450" t="s">
        <v>1217</v>
      </c>
      <c r="D1327" s="67"/>
      <c r="E1327" s="67"/>
      <c r="F1327" s="67"/>
      <c r="G1327" s="69"/>
      <c r="H1327" s="589">
        <v>0</v>
      </c>
      <c r="I1327" s="44"/>
      <c r="J1327" s="44"/>
      <c r="K1327" s="44"/>
    </row>
    <row r="1328" spans="3:15" s="59" customFormat="1" ht="21" customHeight="1">
      <c r="C1328" s="288" t="s">
        <v>1218</v>
      </c>
      <c r="D1328" s="76" t="s">
        <v>1219</v>
      </c>
      <c r="E1328" s="77"/>
      <c r="F1328" s="77"/>
      <c r="G1328" s="78"/>
      <c r="H1328" s="585">
        <f>H1327+H1325+H1322</f>
        <v>185735</v>
      </c>
      <c r="I1328" s="369"/>
      <c r="J1328" s="44"/>
      <c r="K1328" s="44"/>
    </row>
    <row r="1329" spans="3:15" s="59" customFormat="1" ht="21" customHeight="1">
      <c r="C1329" s="288" t="s">
        <v>1220</v>
      </c>
      <c r="D1329" s="76" t="s">
        <v>1321</v>
      </c>
      <c r="E1329" s="77"/>
      <c r="F1329" s="78"/>
      <c r="G1329" s="80">
        <v>0.1</v>
      </c>
      <c r="H1329" s="63">
        <f>H1328*G1329</f>
        <v>18573.5</v>
      </c>
      <c r="I1329" s="369"/>
      <c r="J1329" s="44"/>
      <c r="K1329" s="44"/>
    </row>
    <row r="1330" spans="3:15" s="59" customFormat="1" ht="21" customHeight="1">
      <c r="C1330" s="288" t="s">
        <v>1221</v>
      </c>
      <c r="D1330" s="76" t="s">
        <v>1222</v>
      </c>
      <c r="E1330" s="77"/>
      <c r="F1330" s="77"/>
      <c r="G1330" s="78"/>
      <c r="H1330" s="799">
        <f>SUM(H1328:H1329)</f>
        <v>204308.5</v>
      </c>
      <c r="I1330" s="369"/>
      <c r="J1330" s="44"/>
      <c r="K1330" s="44"/>
    </row>
    <row r="1331" spans="3:15" ht="21" customHeight="1"/>
    <row r="1332" spans="3:15" s="59" customFormat="1" ht="21" customHeight="1">
      <c r="C1332" s="47" t="s">
        <v>3954</v>
      </c>
      <c r="D1332" s="794" t="s">
        <v>8244</v>
      </c>
      <c r="E1332" s="795"/>
      <c r="F1332" s="795"/>
      <c r="G1332" s="795"/>
      <c r="H1332" s="795"/>
      <c r="I1332" s="50">
        <f>ROUNDDOWN(H1347,-2)</f>
        <v>312300</v>
      </c>
      <c r="J1332" s="50" t="s">
        <v>6451</v>
      </c>
      <c r="K1332" s="50" t="s">
        <v>8092</v>
      </c>
    </row>
    <row r="1333" spans="3:15" s="59" customFormat="1" ht="21" customHeight="1">
      <c r="C1333" s="591" t="s">
        <v>1195</v>
      </c>
      <c r="D1333" s="591" t="s">
        <v>1196</v>
      </c>
      <c r="E1333" s="591" t="s">
        <v>1197</v>
      </c>
      <c r="F1333" s="591" t="s">
        <v>1198</v>
      </c>
      <c r="G1333" s="591" t="s">
        <v>1199</v>
      </c>
      <c r="H1333" s="591" t="s">
        <v>1200</v>
      </c>
      <c r="I1333" s="44"/>
      <c r="J1333" s="44"/>
      <c r="K1333" s="44"/>
    </row>
    <row r="1334" spans="3:15" s="59" customFormat="1" ht="21" customHeight="1">
      <c r="C1334" s="61" t="s">
        <v>1201</v>
      </c>
      <c r="D1334" s="56" t="s">
        <v>1202</v>
      </c>
      <c r="E1334" s="57"/>
      <c r="F1334" s="57"/>
      <c r="G1334" s="57"/>
      <c r="H1334" s="57"/>
      <c r="I1334" s="44"/>
      <c r="J1334" s="44"/>
      <c r="K1334" s="44"/>
      <c r="L1334" s="152" t="s">
        <v>1247</v>
      </c>
    </row>
    <row r="1335" spans="3:15" s="59" customFormat="1" ht="21" customHeight="1">
      <c r="C1335" s="588">
        <v>1</v>
      </c>
      <c r="D1335" s="56" t="s">
        <v>5</v>
      </c>
      <c r="E1335" s="577" t="s">
        <v>6</v>
      </c>
      <c r="F1335" s="62">
        <v>8.7999999999999995E-2</v>
      </c>
      <c r="G1335" s="63">
        <f>VLOOKUP(D1335,upahbahan,3,FALSE)</f>
        <v>100000</v>
      </c>
      <c r="H1335" s="63">
        <f>F1335*G1335</f>
        <v>8800</v>
      </c>
      <c r="I1335" s="44"/>
      <c r="J1335" s="44"/>
      <c r="K1335" s="44"/>
      <c r="L1335" s="152" t="s">
        <v>1248</v>
      </c>
      <c r="O1335" s="65">
        <v>0.1</v>
      </c>
    </row>
    <row r="1336" spans="3:15" s="59" customFormat="1" ht="21" customHeight="1">
      <c r="C1336" s="588">
        <v>2</v>
      </c>
      <c r="D1336" s="56" t="s">
        <v>10</v>
      </c>
      <c r="E1336" s="577" t="s">
        <v>6</v>
      </c>
      <c r="F1336" s="62">
        <v>0.14699999999999999</v>
      </c>
      <c r="G1336" s="63">
        <f>VLOOKUP(D1336,upahbahan,3,FALSE)</f>
        <v>135000</v>
      </c>
      <c r="H1336" s="63">
        <f>F1336*G1336</f>
        <v>19845</v>
      </c>
      <c r="I1336" s="44"/>
      <c r="J1336" s="44"/>
      <c r="K1336" s="44"/>
    </row>
    <row r="1337" spans="3:15" s="59" customFormat="1" ht="21" customHeight="1">
      <c r="C1337" s="588">
        <v>3</v>
      </c>
      <c r="D1337" s="56" t="s">
        <v>18</v>
      </c>
      <c r="E1337" s="577" t="s">
        <v>6</v>
      </c>
      <c r="F1337" s="62">
        <v>1.4999999999999999E-2</v>
      </c>
      <c r="G1337" s="63">
        <f>VLOOKUP(D1337,upahbahan,3,FALSE)</f>
        <v>150000</v>
      </c>
      <c r="H1337" s="63">
        <f>F1337*G1337</f>
        <v>2250</v>
      </c>
      <c r="I1337" s="44"/>
      <c r="J1337" s="44"/>
      <c r="K1337" s="44"/>
    </row>
    <row r="1338" spans="3:15" s="59" customFormat="1" ht="21" customHeight="1">
      <c r="C1338" s="588">
        <v>4</v>
      </c>
      <c r="D1338" s="56" t="s">
        <v>19</v>
      </c>
      <c r="E1338" s="577" t="s">
        <v>6</v>
      </c>
      <c r="F1338" s="62">
        <v>4.0000000000000001E-3</v>
      </c>
      <c r="G1338" s="63">
        <f>VLOOKUP(D1338,upahbahan,3,FALSE)</f>
        <v>160000</v>
      </c>
      <c r="H1338" s="63">
        <f>F1338*G1338</f>
        <v>640</v>
      </c>
      <c r="I1338" s="44"/>
      <c r="J1338" s="44"/>
      <c r="K1338" s="44"/>
    </row>
    <row r="1339" spans="3:15" s="59" customFormat="1" ht="21" customHeight="1">
      <c r="C1339" s="450" t="s">
        <v>1208</v>
      </c>
      <c r="D1339" s="67"/>
      <c r="E1339" s="67"/>
      <c r="F1339" s="142"/>
      <c r="G1339" s="153"/>
      <c r="H1339" s="63">
        <f>SUM(H1335:H1338)</f>
        <v>31535</v>
      </c>
      <c r="I1339" s="154"/>
      <c r="J1339" s="154"/>
      <c r="K1339" s="154"/>
    </row>
    <row r="1340" spans="3:15" s="59" customFormat="1" ht="21" customHeight="1">
      <c r="C1340" s="61" t="s">
        <v>1209</v>
      </c>
      <c r="D1340" s="56" t="s">
        <v>1210</v>
      </c>
      <c r="E1340" s="57"/>
      <c r="F1340" s="57"/>
      <c r="G1340" s="57"/>
      <c r="H1340" s="57"/>
      <c r="I1340" s="44"/>
      <c r="J1340" s="44"/>
      <c r="K1340" s="44"/>
    </row>
    <row r="1341" spans="3:15" s="59" customFormat="1" ht="21" customHeight="1">
      <c r="C1341" s="588">
        <v>1</v>
      </c>
      <c r="D1341" s="72" t="s">
        <v>8245</v>
      </c>
      <c r="E1341" s="73" t="s">
        <v>113</v>
      </c>
      <c r="F1341" s="62">
        <v>1.65</v>
      </c>
      <c r="G1341" s="63">
        <f>VLOOKUP(D1341,upahbahan,3,FALSE)</f>
        <v>153000</v>
      </c>
      <c r="H1341" s="63">
        <f>F1341*G1341</f>
        <v>252450</v>
      </c>
      <c r="I1341" s="44"/>
      <c r="J1341" s="44"/>
      <c r="K1341" s="44"/>
    </row>
    <row r="1342" spans="3:15" s="59" customFormat="1" ht="21" customHeight="1">
      <c r="C1342" s="450" t="s">
        <v>1214</v>
      </c>
      <c r="D1342" s="67"/>
      <c r="E1342" s="67"/>
      <c r="F1342" s="67"/>
      <c r="G1342" s="69"/>
      <c r="H1342" s="63">
        <f>SUM(H1341:H1341)</f>
        <v>252450</v>
      </c>
      <c r="I1342" s="44"/>
      <c r="J1342" s="44"/>
      <c r="K1342" s="44"/>
    </row>
    <row r="1343" spans="3:15" s="59" customFormat="1" ht="21" customHeight="1">
      <c r="C1343" s="61" t="s">
        <v>1215</v>
      </c>
      <c r="D1343" s="56" t="s">
        <v>1216</v>
      </c>
      <c r="E1343" s="57"/>
      <c r="F1343" s="57"/>
      <c r="G1343" s="57"/>
      <c r="H1343" s="57"/>
      <c r="I1343" s="44"/>
      <c r="J1343" s="44"/>
      <c r="K1343" s="44"/>
    </row>
    <row r="1344" spans="3:15" s="59" customFormat="1" ht="21" customHeight="1">
      <c r="C1344" s="450" t="s">
        <v>1217</v>
      </c>
      <c r="D1344" s="67"/>
      <c r="E1344" s="67"/>
      <c r="F1344" s="67"/>
      <c r="G1344" s="69"/>
      <c r="H1344" s="589">
        <v>0</v>
      </c>
      <c r="I1344" s="44"/>
      <c r="J1344" s="44"/>
      <c r="K1344" s="44"/>
    </row>
    <row r="1345" spans="3:15" s="59" customFormat="1" ht="21" customHeight="1">
      <c r="C1345" s="288" t="s">
        <v>1218</v>
      </c>
      <c r="D1345" s="76" t="s">
        <v>1219</v>
      </c>
      <c r="E1345" s="77"/>
      <c r="F1345" s="77"/>
      <c r="G1345" s="78"/>
      <c r="H1345" s="585">
        <f>H1344+H1342+H1339</f>
        <v>283985</v>
      </c>
      <c r="I1345" s="369"/>
      <c r="J1345" s="44"/>
      <c r="K1345" s="44"/>
    </row>
    <row r="1346" spans="3:15" s="59" customFormat="1" ht="21" customHeight="1">
      <c r="C1346" s="288" t="s">
        <v>1220</v>
      </c>
      <c r="D1346" s="76" t="s">
        <v>1321</v>
      </c>
      <c r="E1346" s="77"/>
      <c r="F1346" s="78"/>
      <c r="G1346" s="80">
        <v>0.1</v>
      </c>
      <c r="H1346" s="63">
        <f>H1345*G1346</f>
        <v>28398.5</v>
      </c>
      <c r="I1346" s="369"/>
      <c r="J1346" s="44"/>
      <c r="K1346" s="44"/>
    </row>
    <row r="1347" spans="3:15" s="59" customFormat="1" ht="21" customHeight="1">
      <c r="C1347" s="288" t="s">
        <v>1221</v>
      </c>
      <c r="D1347" s="76" t="s">
        <v>1222</v>
      </c>
      <c r="E1347" s="77"/>
      <c r="F1347" s="77"/>
      <c r="G1347" s="78"/>
      <c r="H1347" s="799">
        <f>SUM(H1345:H1346)</f>
        <v>312383.5</v>
      </c>
      <c r="I1347" s="369"/>
      <c r="J1347" s="44"/>
      <c r="K1347" s="44"/>
    </row>
    <row r="1348" spans="3:15" ht="21" customHeight="1"/>
    <row r="1349" spans="3:15" s="59" customFormat="1" ht="21" customHeight="1">
      <c r="C1349" s="47" t="s">
        <v>3956</v>
      </c>
      <c r="D1349" s="794" t="s">
        <v>8246</v>
      </c>
      <c r="E1349" s="795"/>
      <c r="F1349" s="795"/>
      <c r="G1349" s="795"/>
      <c r="H1349" s="795"/>
      <c r="I1349" s="50">
        <f>ROUNDDOWN(H1364,-2)</f>
        <v>431900</v>
      </c>
      <c r="J1349" s="50" t="s">
        <v>6451</v>
      </c>
      <c r="K1349" s="50" t="s">
        <v>8092</v>
      </c>
    </row>
    <row r="1350" spans="3:15" s="59" customFormat="1" ht="21" customHeight="1">
      <c r="C1350" s="591" t="s">
        <v>1195</v>
      </c>
      <c r="D1350" s="591" t="s">
        <v>1196</v>
      </c>
      <c r="E1350" s="591" t="s">
        <v>1197</v>
      </c>
      <c r="F1350" s="591" t="s">
        <v>1198</v>
      </c>
      <c r="G1350" s="591" t="s">
        <v>1199</v>
      </c>
      <c r="H1350" s="591" t="s">
        <v>1200</v>
      </c>
      <c r="I1350" s="44"/>
      <c r="J1350" s="44"/>
      <c r="K1350" s="44"/>
    </row>
    <row r="1351" spans="3:15" s="59" customFormat="1" ht="21" customHeight="1">
      <c r="C1351" s="61" t="s">
        <v>1201</v>
      </c>
      <c r="D1351" s="56" t="s">
        <v>1202</v>
      </c>
      <c r="E1351" s="57"/>
      <c r="F1351" s="57"/>
      <c r="G1351" s="57"/>
      <c r="H1351" s="57"/>
      <c r="I1351" s="44"/>
      <c r="J1351" s="44"/>
      <c r="K1351" s="44"/>
      <c r="L1351" s="152" t="s">
        <v>1247</v>
      </c>
    </row>
    <row r="1352" spans="3:15" s="59" customFormat="1" ht="21" customHeight="1">
      <c r="C1352" s="588">
        <v>1</v>
      </c>
      <c r="D1352" s="56" t="s">
        <v>5</v>
      </c>
      <c r="E1352" s="577" t="s">
        <v>6</v>
      </c>
      <c r="F1352" s="62">
        <v>0.108</v>
      </c>
      <c r="G1352" s="63">
        <f>VLOOKUP(D1352,upahbahan,3,FALSE)</f>
        <v>100000</v>
      </c>
      <c r="H1352" s="63">
        <f>F1352*G1352</f>
        <v>10800</v>
      </c>
      <c r="I1352" s="44"/>
      <c r="J1352" s="44"/>
      <c r="K1352" s="44"/>
      <c r="L1352" s="152" t="s">
        <v>1248</v>
      </c>
      <c r="O1352" s="65">
        <v>0.1</v>
      </c>
    </row>
    <row r="1353" spans="3:15" s="59" customFormat="1" ht="21" customHeight="1">
      <c r="C1353" s="588">
        <v>2</v>
      </c>
      <c r="D1353" s="56" t="s">
        <v>10</v>
      </c>
      <c r="E1353" s="577" t="s">
        <v>6</v>
      </c>
      <c r="F1353" s="62">
        <v>0.18099999999999999</v>
      </c>
      <c r="G1353" s="63">
        <f>VLOOKUP(D1353,upahbahan,3,FALSE)</f>
        <v>135000</v>
      </c>
      <c r="H1353" s="63">
        <f>F1353*G1353</f>
        <v>24435</v>
      </c>
      <c r="I1353" s="44"/>
      <c r="J1353" s="44"/>
      <c r="K1353" s="44"/>
    </row>
    <row r="1354" spans="3:15" s="59" customFormat="1" ht="21" customHeight="1">
      <c r="C1354" s="588">
        <v>3</v>
      </c>
      <c r="D1354" s="56" t="s">
        <v>18</v>
      </c>
      <c r="E1354" s="577" t="s">
        <v>6</v>
      </c>
      <c r="F1354" s="62">
        <v>1.7999999999999999E-2</v>
      </c>
      <c r="G1354" s="63">
        <f>VLOOKUP(D1354,upahbahan,3,FALSE)</f>
        <v>150000</v>
      </c>
      <c r="H1354" s="63">
        <f>F1354*G1354</f>
        <v>2700</v>
      </c>
      <c r="I1354" s="44"/>
      <c r="J1354" s="44"/>
      <c r="K1354" s="44"/>
    </row>
    <row r="1355" spans="3:15" s="59" customFormat="1" ht="21" customHeight="1">
      <c r="C1355" s="588">
        <v>4</v>
      </c>
      <c r="D1355" s="56" t="s">
        <v>19</v>
      </c>
      <c r="E1355" s="577" t="s">
        <v>6</v>
      </c>
      <c r="F1355" s="62">
        <v>5.0000000000000001E-3</v>
      </c>
      <c r="G1355" s="63">
        <f>VLOOKUP(D1355,upahbahan,3,FALSE)</f>
        <v>160000</v>
      </c>
      <c r="H1355" s="63">
        <f>F1355*G1355</f>
        <v>800</v>
      </c>
      <c r="I1355" s="44"/>
      <c r="J1355" s="44"/>
      <c r="K1355" s="44"/>
    </row>
    <row r="1356" spans="3:15" s="59" customFormat="1" ht="21" customHeight="1">
      <c r="C1356" s="450" t="s">
        <v>1208</v>
      </c>
      <c r="D1356" s="67"/>
      <c r="E1356" s="67"/>
      <c r="F1356" s="142"/>
      <c r="G1356" s="153"/>
      <c r="H1356" s="63">
        <f>SUM(H1352:H1355)</f>
        <v>38735</v>
      </c>
      <c r="I1356" s="154"/>
      <c r="J1356" s="154"/>
      <c r="K1356" s="154"/>
    </row>
    <row r="1357" spans="3:15" s="59" customFormat="1" ht="21" customHeight="1">
      <c r="C1357" s="61" t="s">
        <v>1209</v>
      </c>
      <c r="D1357" s="56" t="s">
        <v>1210</v>
      </c>
      <c r="E1357" s="57"/>
      <c r="F1357" s="57"/>
      <c r="G1357" s="57"/>
      <c r="H1357" s="57"/>
      <c r="I1357" s="44"/>
      <c r="J1357" s="44"/>
      <c r="K1357" s="44"/>
    </row>
    <row r="1358" spans="3:15" s="59" customFormat="1" ht="21" customHeight="1">
      <c r="C1358" s="588">
        <v>1</v>
      </c>
      <c r="D1358" s="72" t="s">
        <v>8247</v>
      </c>
      <c r="E1358" s="73" t="s">
        <v>113</v>
      </c>
      <c r="F1358" s="62">
        <v>1.65</v>
      </c>
      <c r="G1358" s="63">
        <f>VLOOKUP(D1358,upahbahan,3,FALSE)</f>
        <v>214500</v>
      </c>
      <c r="H1358" s="63">
        <f>F1358*G1358</f>
        <v>353925</v>
      </c>
      <c r="I1358" s="44"/>
      <c r="J1358" s="44"/>
      <c r="K1358" s="44"/>
    </row>
    <row r="1359" spans="3:15" s="59" customFormat="1" ht="21" customHeight="1">
      <c r="C1359" s="450" t="s">
        <v>1214</v>
      </c>
      <c r="D1359" s="67"/>
      <c r="E1359" s="67"/>
      <c r="F1359" s="67"/>
      <c r="G1359" s="69"/>
      <c r="H1359" s="63">
        <f>SUM(H1358:H1358)</f>
        <v>353925</v>
      </c>
      <c r="I1359" s="44"/>
      <c r="J1359" s="44"/>
      <c r="K1359" s="44"/>
    </row>
    <row r="1360" spans="3:15" s="59" customFormat="1" ht="21" customHeight="1">
      <c r="C1360" s="61" t="s">
        <v>1215</v>
      </c>
      <c r="D1360" s="56" t="s">
        <v>1216</v>
      </c>
      <c r="E1360" s="57"/>
      <c r="F1360" s="57"/>
      <c r="G1360" s="57"/>
      <c r="H1360" s="57"/>
      <c r="I1360" s="44"/>
      <c r="J1360" s="44"/>
      <c r="K1360" s="44"/>
    </row>
    <row r="1361" spans="3:15" s="59" customFormat="1" ht="21" customHeight="1">
      <c r="C1361" s="450" t="s">
        <v>1217</v>
      </c>
      <c r="D1361" s="67"/>
      <c r="E1361" s="67"/>
      <c r="F1361" s="67"/>
      <c r="G1361" s="69"/>
      <c r="H1361" s="589">
        <v>0</v>
      </c>
      <c r="I1361" s="44"/>
      <c r="J1361" s="44"/>
      <c r="K1361" s="44"/>
    </row>
    <row r="1362" spans="3:15" s="59" customFormat="1" ht="21" customHeight="1">
      <c r="C1362" s="288" t="s">
        <v>1218</v>
      </c>
      <c r="D1362" s="76" t="s">
        <v>1219</v>
      </c>
      <c r="E1362" s="77"/>
      <c r="F1362" s="77"/>
      <c r="G1362" s="78"/>
      <c r="H1362" s="585">
        <f>H1361+H1359+H1356</f>
        <v>392660</v>
      </c>
      <c r="I1362" s="369"/>
      <c r="J1362" s="44"/>
      <c r="K1362" s="44"/>
    </row>
    <row r="1363" spans="3:15" s="59" customFormat="1" ht="21" customHeight="1">
      <c r="C1363" s="288" t="s">
        <v>1220</v>
      </c>
      <c r="D1363" s="76" t="s">
        <v>1321</v>
      </c>
      <c r="E1363" s="77"/>
      <c r="F1363" s="78"/>
      <c r="G1363" s="80">
        <v>0.1</v>
      </c>
      <c r="H1363" s="63">
        <f>H1362*G1363</f>
        <v>39266</v>
      </c>
      <c r="I1363" s="369"/>
      <c r="J1363" s="44"/>
      <c r="K1363" s="44"/>
    </row>
    <row r="1364" spans="3:15" s="59" customFormat="1" ht="21" customHeight="1">
      <c r="C1364" s="288" t="s">
        <v>1221</v>
      </c>
      <c r="D1364" s="76" t="s">
        <v>1222</v>
      </c>
      <c r="E1364" s="77"/>
      <c r="F1364" s="77"/>
      <c r="G1364" s="78"/>
      <c r="H1364" s="799">
        <f>SUM(H1362:H1363)</f>
        <v>431926</v>
      </c>
      <c r="I1364" s="369"/>
      <c r="J1364" s="44"/>
      <c r="K1364" s="44"/>
    </row>
    <row r="1365" spans="3:15" ht="21" customHeight="1"/>
    <row r="1366" spans="3:15" s="59" customFormat="1" ht="21" customHeight="1">
      <c r="C1366" s="47" t="s">
        <v>3958</v>
      </c>
      <c r="D1366" s="794" t="s">
        <v>8248</v>
      </c>
      <c r="E1366" s="795"/>
      <c r="F1366" s="795"/>
      <c r="G1366" s="795"/>
      <c r="H1366" s="795"/>
      <c r="I1366" s="50">
        <f>ROUNDDOWN(H1381,-2)</f>
        <v>605400</v>
      </c>
      <c r="J1366" s="50" t="s">
        <v>6451</v>
      </c>
      <c r="K1366" s="50" t="s">
        <v>8092</v>
      </c>
    </row>
    <row r="1367" spans="3:15" s="59" customFormat="1" ht="21" customHeight="1">
      <c r="C1367" s="591" t="s">
        <v>1195</v>
      </c>
      <c r="D1367" s="591" t="s">
        <v>1196</v>
      </c>
      <c r="E1367" s="591" t="s">
        <v>1197</v>
      </c>
      <c r="F1367" s="591" t="s">
        <v>1198</v>
      </c>
      <c r="G1367" s="591" t="s">
        <v>1199</v>
      </c>
      <c r="H1367" s="591" t="s">
        <v>1200</v>
      </c>
      <c r="I1367" s="44"/>
      <c r="J1367" s="44"/>
      <c r="K1367" s="44"/>
    </row>
    <row r="1368" spans="3:15" s="59" customFormat="1" ht="21" customHeight="1">
      <c r="C1368" s="61" t="s">
        <v>1201</v>
      </c>
      <c r="D1368" s="56" t="s">
        <v>1202</v>
      </c>
      <c r="E1368" s="57"/>
      <c r="F1368" s="57"/>
      <c r="G1368" s="57"/>
      <c r="H1368" s="57"/>
      <c r="I1368" s="44"/>
      <c r="J1368" s="44"/>
      <c r="K1368" s="44"/>
      <c r="L1368" s="152" t="s">
        <v>1247</v>
      </c>
    </row>
    <row r="1369" spans="3:15" s="59" customFormat="1" ht="21" customHeight="1">
      <c r="C1369" s="588">
        <v>1</v>
      </c>
      <c r="D1369" s="56" t="s">
        <v>5</v>
      </c>
      <c r="E1369" s="577" t="s">
        <v>6</v>
      </c>
      <c r="F1369" s="62">
        <v>0.129</v>
      </c>
      <c r="G1369" s="63">
        <f>VLOOKUP(D1369,upahbahan,3,FALSE)</f>
        <v>100000</v>
      </c>
      <c r="H1369" s="63">
        <f>F1369*G1369</f>
        <v>12900</v>
      </c>
      <c r="I1369" s="44"/>
      <c r="J1369" s="44"/>
      <c r="K1369" s="44"/>
      <c r="L1369" s="152" t="s">
        <v>1248</v>
      </c>
      <c r="O1369" s="65">
        <v>0.1</v>
      </c>
    </row>
    <row r="1370" spans="3:15" s="59" customFormat="1" ht="21" customHeight="1">
      <c r="C1370" s="588">
        <v>2</v>
      </c>
      <c r="D1370" s="56" t="s">
        <v>10</v>
      </c>
      <c r="E1370" s="577" t="s">
        <v>6</v>
      </c>
      <c r="F1370" s="62">
        <v>0.216</v>
      </c>
      <c r="G1370" s="63">
        <f>VLOOKUP(D1370,upahbahan,3,FALSE)</f>
        <v>135000</v>
      </c>
      <c r="H1370" s="63">
        <f>F1370*G1370</f>
        <v>29160</v>
      </c>
      <c r="I1370" s="44"/>
      <c r="J1370" s="44"/>
      <c r="K1370" s="44"/>
    </row>
    <row r="1371" spans="3:15" s="59" customFormat="1" ht="21" customHeight="1">
      <c r="C1371" s="588">
        <v>3</v>
      </c>
      <c r="D1371" s="56" t="s">
        <v>18</v>
      </c>
      <c r="E1371" s="577" t="s">
        <v>6</v>
      </c>
      <c r="F1371" s="62">
        <v>2.1999999999999999E-2</v>
      </c>
      <c r="G1371" s="63">
        <f>VLOOKUP(D1371,upahbahan,3,FALSE)</f>
        <v>150000</v>
      </c>
      <c r="H1371" s="63">
        <f>F1371*G1371</f>
        <v>3300</v>
      </c>
      <c r="I1371" s="44"/>
      <c r="J1371" s="44"/>
      <c r="K1371" s="44"/>
    </row>
    <row r="1372" spans="3:15" s="59" customFormat="1" ht="21" customHeight="1">
      <c r="C1372" s="588">
        <v>4</v>
      </c>
      <c r="D1372" s="56" t="s">
        <v>19</v>
      </c>
      <c r="E1372" s="577" t="s">
        <v>6</v>
      </c>
      <c r="F1372" s="62">
        <v>6.0000000000000001E-3</v>
      </c>
      <c r="G1372" s="63">
        <f>VLOOKUP(D1372,upahbahan,3,FALSE)</f>
        <v>160000</v>
      </c>
      <c r="H1372" s="63">
        <f>F1372*G1372</f>
        <v>960</v>
      </c>
      <c r="I1372" s="44"/>
      <c r="J1372" s="44"/>
      <c r="K1372" s="44"/>
    </row>
    <row r="1373" spans="3:15" s="59" customFormat="1" ht="21" customHeight="1">
      <c r="C1373" s="450" t="s">
        <v>1208</v>
      </c>
      <c r="D1373" s="67"/>
      <c r="E1373" s="67"/>
      <c r="F1373" s="142"/>
      <c r="G1373" s="153"/>
      <c r="H1373" s="63">
        <f>SUM(H1369:H1372)</f>
        <v>46320</v>
      </c>
      <c r="I1373" s="154"/>
      <c r="J1373" s="154"/>
      <c r="K1373" s="154"/>
    </row>
    <row r="1374" spans="3:15" s="59" customFormat="1" ht="21" customHeight="1">
      <c r="C1374" s="61" t="s">
        <v>1209</v>
      </c>
      <c r="D1374" s="56" t="s">
        <v>1210</v>
      </c>
      <c r="E1374" s="57"/>
      <c r="F1374" s="57"/>
      <c r="G1374" s="57"/>
      <c r="H1374" s="57"/>
      <c r="I1374" s="44"/>
      <c r="J1374" s="44"/>
      <c r="K1374" s="44"/>
    </row>
    <row r="1375" spans="3:15" s="59" customFormat="1" ht="21" customHeight="1">
      <c r="C1375" s="588">
        <v>1</v>
      </c>
      <c r="D1375" s="72" t="s">
        <v>8249</v>
      </c>
      <c r="E1375" s="73" t="s">
        <v>113</v>
      </c>
      <c r="F1375" s="62">
        <v>1.65</v>
      </c>
      <c r="G1375" s="63">
        <f>VLOOKUP(D1375,upahbahan,3,FALSE)</f>
        <v>305500</v>
      </c>
      <c r="H1375" s="63">
        <f>F1375*G1375</f>
        <v>504075</v>
      </c>
      <c r="I1375" s="44"/>
      <c r="J1375" s="44"/>
      <c r="K1375" s="44"/>
    </row>
    <row r="1376" spans="3:15" s="59" customFormat="1" ht="21" customHeight="1">
      <c r="C1376" s="450" t="s">
        <v>1214</v>
      </c>
      <c r="D1376" s="67"/>
      <c r="E1376" s="67"/>
      <c r="F1376" s="67"/>
      <c r="G1376" s="69"/>
      <c r="H1376" s="63">
        <f>SUM(H1375:H1375)</f>
        <v>504075</v>
      </c>
      <c r="I1376" s="44"/>
      <c r="J1376" s="44"/>
      <c r="K1376" s="44"/>
    </row>
    <row r="1377" spans="3:15" s="59" customFormat="1" ht="21" customHeight="1">
      <c r="C1377" s="61" t="s">
        <v>1215</v>
      </c>
      <c r="D1377" s="56" t="s">
        <v>1216</v>
      </c>
      <c r="E1377" s="57"/>
      <c r="F1377" s="57"/>
      <c r="G1377" s="57"/>
      <c r="H1377" s="57"/>
      <c r="I1377" s="44"/>
      <c r="J1377" s="44"/>
      <c r="K1377" s="44"/>
    </row>
    <row r="1378" spans="3:15" s="59" customFormat="1" ht="21" customHeight="1">
      <c r="C1378" s="450" t="s">
        <v>1217</v>
      </c>
      <c r="D1378" s="67"/>
      <c r="E1378" s="67"/>
      <c r="F1378" s="67"/>
      <c r="G1378" s="69"/>
      <c r="H1378" s="589">
        <v>0</v>
      </c>
      <c r="I1378" s="44"/>
      <c r="J1378" s="44"/>
      <c r="K1378" s="44"/>
    </row>
    <row r="1379" spans="3:15" s="59" customFormat="1" ht="21" customHeight="1">
      <c r="C1379" s="288" t="s">
        <v>1218</v>
      </c>
      <c r="D1379" s="76" t="s">
        <v>1219</v>
      </c>
      <c r="E1379" s="77"/>
      <c r="F1379" s="77"/>
      <c r="G1379" s="78"/>
      <c r="H1379" s="585">
        <f>H1378+H1376+H1373</f>
        <v>550395</v>
      </c>
      <c r="I1379" s="369"/>
      <c r="J1379" s="44"/>
      <c r="K1379" s="44"/>
    </row>
    <row r="1380" spans="3:15" s="59" customFormat="1" ht="21" customHeight="1">
      <c r="C1380" s="288" t="s">
        <v>1220</v>
      </c>
      <c r="D1380" s="76" t="s">
        <v>1321</v>
      </c>
      <c r="E1380" s="77"/>
      <c r="F1380" s="78"/>
      <c r="G1380" s="80">
        <v>0.1</v>
      </c>
      <c r="H1380" s="63">
        <f>H1379*G1380</f>
        <v>55039.5</v>
      </c>
      <c r="I1380" s="369"/>
      <c r="J1380" s="44"/>
      <c r="K1380" s="44"/>
    </row>
    <row r="1381" spans="3:15" s="59" customFormat="1" ht="21" customHeight="1">
      <c r="C1381" s="288" t="s">
        <v>1221</v>
      </c>
      <c r="D1381" s="76" t="s">
        <v>1222</v>
      </c>
      <c r="E1381" s="77"/>
      <c r="F1381" s="77"/>
      <c r="G1381" s="78"/>
      <c r="H1381" s="799">
        <f>SUM(H1379:H1380)</f>
        <v>605434.5</v>
      </c>
      <c r="I1381" s="369"/>
      <c r="J1381" s="44"/>
      <c r="K1381" s="44"/>
    </row>
    <row r="1382" spans="3:15" ht="21" customHeight="1"/>
    <row r="1383" spans="3:15" s="59" customFormat="1" ht="21" customHeight="1">
      <c r="C1383" s="47" t="s">
        <v>3960</v>
      </c>
      <c r="D1383" s="794" t="s">
        <v>8250</v>
      </c>
      <c r="E1383" s="795"/>
      <c r="F1383" s="795"/>
      <c r="G1383" s="795"/>
      <c r="H1383" s="795"/>
      <c r="I1383" s="50">
        <f>ROUNDDOWN(H1398,-2)</f>
        <v>892300</v>
      </c>
      <c r="J1383" s="50" t="s">
        <v>6451</v>
      </c>
      <c r="K1383" s="50" t="s">
        <v>8092</v>
      </c>
    </row>
    <row r="1384" spans="3:15" s="59" customFormat="1" ht="21" customHeight="1">
      <c r="C1384" s="591" t="s">
        <v>1195</v>
      </c>
      <c r="D1384" s="591" t="s">
        <v>1196</v>
      </c>
      <c r="E1384" s="591" t="s">
        <v>1197</v>
      </c>
      <c r="F1384" s="591" t="s">
        <v>1198</v>
      </c>
      <c r="G1384" s="591" t="s">
        <v>1199</v>
      </c>
      <c r="H1384" s="591" t="s">
        <v>1200</v>
      </c>
      <c r="I1384" s="44"/>
      <c r="J1384" s="44"/>
      <c r="K1384" s="44"/>
    </row>
    <row r="1385" spans="3:15" s="59" customFormat="1" ht="21" customHeight="1">
      <c r="C1385" s="61" t="s">
        <v>1201</v>
      </c>
      <c r="D1385" s="56" t="s">
        <v>1202</v>
      </c>
      <c r="E1385" s="57"/>
      <c r="F1385" s="57"/>
      <c r="G1385" s="57"/>
      <c r="H1385" s="57"/>
      <c r="I1385" s="44"/>
      <c r="J1385" s="44"/>
      <c r="K1385" s="44"/>
      <c r="L1385" s="152" t="s">
        <v>1247</v>
      </c>
    </row>
    <row r="1386" spans="3:15" s="59" customFormat="1" ht="21" customHeight="1">
      <c r="C1386" s="588">
        <v>1</v>
      </c>
      <c r="D1386" s="56" t="s">
        <v>5</v>
      </c>
      <c r="E1386" s="577" t="s">
        <v>6</v>
      </c>
      <c r="F1386" s="62">
        <v>0.17299999999999999</v>
      </c>
      <c r="G1386" s="63">
        <f>VLOOKUP(D1386,upahbahan,3,FALSE)</f>
        <v>100000</v>
      </c>
      <c r="H1386" s="63">
        <f>F1386*G1386</f>
        <v>17300</v>
      </c>
      <c r="I1386" s="44"/>
      <c r="J1386" s="44"/>
      <c r="K1386" s="44"/>
      <c r="L1386" s="152" t="s">
        <v>1248</v>
      </c>
      <c r="O1386" s="65">
        <v>0.1</v>
      </c>
    </row>
    <row r="1387" spans="3:15" s="59" customFormat="1" ht="21" customHeight="1">
      <c r="C1387" s="588">
        <v>2</v>
      </c>
      <c r="D1387" s="56" t="s">
        <v>10</v>
      </c>
      <c r="E1387" s="577" t="s">
        <v>6</v>
      </c>
      <c r="F1387" s="62">
        <v>0.28899999999999998</v>
      </c>
      <c r="G1387" s="63">
        <f>VLOOKUP(D1387,upahbahan,3,FALSE)</f>
        <v>135000</v>
      </c>
      <c r="H1387" s="63">
        <f>F1387*G1387</f>
        <v>39015</v>
      </c>
      <c r="I1387" s="44"/>
      <c r="J1387" s="44"/>
      <c r="K1387" s="44"/>
    </row>
    <row r="1388" spans="3:15" s="59" customFormat="1" ht="21" customHeight="1">
      <c r="C1388" s="588">
        <v>3</v>
      </c>
      <c r="D1388" s="56" t="s">
        <v>18</v>
      </c>
      <c r="E1388" s="577" t="s">
        <v>6</v>
      </c>
      <c r="F1388" s="62">
        <v>2.9000000000000001E-2</v>
      </c>
      <c r="G1388" s="63">
        <f>VLOOKUP(D1388,upahbahan,3,FALSE)</f>
        <v>150000</v>
      </c>
      <c r="H1388" s="63">
        <f>F1388*G1388</f>
        <v>4350</v>
      </c>
      <c r="I1388" s="44"/>
      <c r="J1388" s="44"/>
      <c r="K1388" s="44"/>
    </row>
    <row r="1389" spans="3:15" s="59" customFormat="1" ht="21" customHeight="1">
      <c r="C1389" s="588">
        <v>4</v>
      </c>
      <c r="D1389" s="56" t="s">
        <v>19</v>
      </c>
      <c r="E1389" s="577" t="s">
        <v>6</v>
      </c>
      <c r="F1389" s="62">
        <v>8.9999999999999993E-3</v>
      </c>
      <c r="G1389" s="63">
        <f>VLOOKUP(D1389,upahbahan,3,FALSE)</f>
        <v>160000</v>
      </c>
      <c r="H1389" s="63">
        <f>F1389*G1389</f>
        <v>1440</v>
      </c>
      <c r="I1389" s="44"/>
      <c r="J1389" s="44"/>
      <c r="K1389" s="44"/>
    </row>
    <row r="1390" spans="3:15" s="59" customFormat="1" ht="21" customHeight="1">
      <c r="C1390" s="450" t="s">
        <v>1208</v>
      </c>
      <c r="D1390" s="67"/>
      <c r="E1390" s="67"/>
      <c r="F1390" s="142"/>
      <c r="G1390" s="153"/>
      <c r="H1390" s="63">
        <f>SUM(H1386:H1389)</f>
        <v>62105</v>
      </c>
      <c r="I1390" s="154"/>
      <c r="J1390" s="154"/>
      <c r="K1390" s="154"/>
    </row>
    <row r="1391" spans="3:15" s="59" customFormat="1" ht="21" customHeight="1">
      <c r="C1391" s="61" t="s">
        <v>1209</v>
      </c>
      <c r="D1391" s="56" t="s">
        <v>1210</v>
      </c>
      <c r="E1391" s="57"/>
      <c r="F1391" s="57"/>
      <c r="G1391" s="57"/>
      <c r="H1391" s="57"/>
      <c r="I1391" s="44"/>
      <c r="J1391" s="44"/>
      <c r="K1391" s="44"/>
    </row>
    <row r="1392" spans="3:15" s="59" customFormat="1" ht="21" customHeight="1">
      <c r="C1392" s="588">
        <v>1</v>
      </c>
      <c r="D1392" s="72" t="s">
        <v>8251</v>
      </c>
      <c r="E1392" s="73" t="s">
        <v>113</v>
      </c>
      <c r="F1392" s="62">
        <v>1.65</v>
      </c>
      <c r="G1392" s="63">
        <f>VLOOKUP(D1392,upahbahan,3,FALSE)</f>
        <v>454000</v>
      </c>
      <c r="H1392" s="63">
        <f>F1392*G1392</f>
        <v>749100</v>
      </c>
      <c r="I1392" s="44"/>
      <c r="J1392" s="44"/>
      <c r="K1392" s="44"/>
    </row>
    <row r="1393" spans="3:15" s="59" customFormat="1" ht="21" customHeight="1">
      <c r="C1393" s="450" t="s">
        <v>1214</v>
      </c>
      <c r="D1393" s="67"/>
      <c r="E1393" s="67"/>
      <c r="F1393" s="67"/>
      <c r="G1393" s="69"/>
      <c r="H1393" s="63">
        <f>SUM(H1392:H1392)</f>
        <v>749100</v>
      </c>
      <c r="I1393" s="44"/>
      <c r="J1393" s="44"/>
      <c r="K1393" s="44"/>
    </row>
    <row r="1394" spans="3:15" s="59" customFormat="1" ht="21" customHeight="1">
      <c r="C1394" s="61" t="s">
        <v>1215</v>
      </c>
      <c r="D1394" s="56" t="s">
        <v>1216</v>
      </c>
      <c r="E1394" s="57"/>
      <c r="F1394" s="57"/>
      <c r="G1394" s="57"/>
      <c r="H1394" s="57"/>
      <c r="I1394" s="44"/>
      <c r="J1394" s="44"/>
      <c r="K1394" s="44"/>
    </row>
    <row r="1395" spans="3:15" s="59" customFormat="1" ht="21" customHeight="1">
      <c r="C1395" s="450" t="s">
        <v>1217</v>
      </c>
      <c r="D1395" s="67"/>
      <c r="E1395" s="67"/>
      <c r="F1395" s="67"/>
      <c r="G1395" s="69"/>
      <c r="H1395" s="589">
        <v>0</v>
      </c>
      <c r="I1395" s="44"/>
      <c r="J1395" s="44"/>
      <c r="K1395" s="44"/>
    </row>
    <row r="1396" spans="3:15" s="59" customFormat="1" ht="21" customHeight="1">
      <c r="C1396" s="288" t="s">
        <v>1218</v>
      </c>
      <c r="D1396" s="76" t="s">
        <v>1219</v>
      </c>
      <c r="E1396" s="77"/>
      <c r="F1396" s="77"/>
      <c r="G1396" s="78"/>
      <c r="H1396" s="585">
        <f>H1395+H1393+H1390</f>
        <v>811205</v>
      </c>
      <c r="I1396" s="369"/>
      <c r="J1396" s="44"/>
      <c r="K1396" s="44"/>
    </row>
    <row r="1397" spans="3:15" s="59" customFormat="1" ht="21" customHeight="1">
      <c r="C1397" s="288" t="s">
        <v>1220</v>
      </c>
      <c r="D1397" s="76" t="s">
        <v>1321</v>
      </c>
      <c r="E1397" s="77"/>
      <c r="F1397" s="78"/>
      <c r="G1397" s="80">
        <v>0.1</v>
      </c>
      <c r="H1397" s="63">
        <f>H1396*G1397</f>
        <v>81120.5</v>
      </c>
      <c r="I1397" s="369"/>
      <c r="J1397" s="44"/>
      <c r="K1397" s="44"/>
    </row>
    <row r="1398" spans="3:15" s="59" customFormat="1" ht="21" customHeight="1">
      <c r="C1398" s="288" t="s">
        <v>1221</v>
      </c>
      <c r="D1398" s="76" t="s">
        <v>1222</v>
      </c>
      <c r="E1398" s="77"/>
      <c r="F1398" s="77"/>
      <c r="G1398" s="78"/>
      <c r="H1398" s="799">
        <f>SUM(H1396:H1397)</f>
        <v>892325.5</v>
      </c>
      <c r="I1398" s="369"/>
      <c r="J1398" s="44"/>
      <c r="K1398" s="44"/>
    </row>
    <row r="1399" spans="3:15" ht="21" customHeight="1"/>
    <row r="1400" spans="3:15" s="59" customFormat="1" ht="21" customHeight="1">
      <c r="C1400" s="47" t="s">
        <v>3962</v>
      </c>
      <c r="D1400" s="794" t="s">
        <v>8252</v>
      </c>
      <c r="E1400" s="795"/>
      <c r="F1400" s="795"/>
      <c r="G1400" s="795"/>
      <c r="H1400" s="795"/>
      <c r="I1400" s="50">
        <f>ROUNDDOWN(H1415,-2)</f>
        <v>2888600</v>
      </c>
      <c r="J1400" s="50" t="s">
        <v>6451</v>
      </c>
      <c r="K1400" s="50" t="s">
        <v>8092</v>
      </c>
    </row>
    <row r="1401" spans="3:15" s="59" customFormat="1" ht="21" customHeight="1">
      <c r="C1401" s="591" t="s">
        <v>1195</v>
      </c>
      <c r="D1401" s="591" t="s">
        <v>1196</v>
      </c>
      <c r="E1401" s="591" t="s">
        <v>1197</v>
      </c>
      <c r="F1401" s="591" t="s">
        <v>1198</v>
      </c>
      <c r="G1401" s="591" t="s">
        <v>1199</v>
      </c>
      <c r="H1401" s="591" t="s">
        <v>1200</v>
      </c>
      <c r="I1401" s="44"/>
      <c r="J1401" s="44"/>
      <c r="K1401" s="44"/>
    </row>
    <row r="1402" spans="3:15" s="59" customFormat="1" ht="21" customHeight="1">
      <c r="C1402" s="61" t="s">
        <v>1201</v>
      </c>
      <c r="D1402" s="56" t="s">
        <v>1202</v>
      </c>
      <c r="E1402" s="57"/>
      <c r="F1402" s="57"/>
      <c r="G1402" s="57"/>
      <c r="H1402" s="57"/>
      <c r="I1402" s="44"/>
      <c r="J1402" s="44"/>
      <c r="K1402" s="44"/>
      <c r="L1402" s="152" t="s">
        <v>1247</v>
      </c>
    </row>
    <row r="1403" spans="3:15" s="59" customFormat="1" ht="21" customHeight="1">
      <c r="C1403" s="588">
        <v>1</v>
      </c>
      <c r="D1403" s="56" t="s">
        <v>5</v>
      </c>
      <c r="E1403" s="577" t="s">
        <v>6</v>
      </c>
      <c r="F1403" s="62">
        <v>0.26</v>
      </c>
      <c r="G1403" s="63">
        <f>VLOOKUP(D1403,upahbahan,3,FALSE)</f>
        <v>100000</v>
      </c>
      <c r="H1403" s="63">
        <f>F1403*G1403</f>
        <v>26000</v>
      </c>
      <c r="I1403" s="44"/>
      <c r="J1403" s="44"/>
      <c r="K1403" s="44"/>
      <c r="L1403" s="152" t="s">
        <v>1248</v>
      </c>
      <c r="O1403" s="65">
        <v>0.1</v>
      </c>
    </row>
    <row r="1404" spans="3:15" s="59" customFormat="1" ht="21" customHeight="1">
      <c r="C1404" s="588">
        <v>2</v>
      </c>
      <c r="D1404" s="56" t="s">
        <v>10</v>
      </c>
      <c r="E1404" s="577" t="s">
        <v>6</v>
      </c>
      <c r="F1404" s="62">
        <v>0.435</v>
      </c>
      <c r="G1404" s="63">
        <f>VLOOKUP(D1404,upahbahan,3,FALSE)</f>
        <v>135000</v>
      </c>
      <c r="H1404" s="63">
        <f>F1404*G1404</f>
        <v>58725</v>
      </c>
      <c r="I1404" s="44"/>
      <c r="J1404" s="44"/>
      <c r="K1404" s="44"/>
    </row>
    <row r="1405" spans="3:15" s="59" customFormat="1" ht="21" customHeight="1">
      <c r="C1405" s="588">
        <v>3</v>
      </c>
      <c r="D1405" s="56" t="s">
        <v>18</v>
      </c>
      <c r="E1405" s="577" t="s">
        <v>6</v>
      </c>
      <c r="F1405" s="62">
        <v>4.2999999999999997E-2</v>
      </c>
      <c r="G1405" s="63">
        <f>VLOOKUP(D1405,upahbahan,3,FALSE)</f>
        <v>150000</v>
      </c>
      <c r="H1405" s="63">
        <f>F1405*G1405</f>
        <v>6449.9999999999991</v>
      </c>
      <c r="I1405" s="44"/>
      <c r="J1405" s="44"/>
      <c r="K1405" s="44"/>
    </row>
    <row r="1406" spans="3:15" s="59" customFormat="1" ht="21" customHeight="1">
      <c r="C1406" s="588">
        <v>4</v>
      </c>
      <c r="D1406" s="56" t="s">
        <v>19</v>
      </c>
      <c r="E1406" s="577" t="s">
        <v>6</v>
      </c>
      <c r="F1406" s="62">
        <v>1.2999999999999999E-2</v>
      </c>
      <c r="G1406" s="63">
        <f>VLOOKUP(D1406,upahbahan,3,FALSE)</f>
        <v>160000</v>
      </c>
      <c r="H1406" s="63">
        <f>F1406*G1406</f>
        <v>2080</v>
      </c>
      <c r="I1406" s="44"/>
      <c r="J1406" s="44"/>
      <c r="K1406" s="44"/>
    </row>
    <row r="1407" spans="3:15" s="59" customFormat="1" ht="21" customHeight="1">
      <c r="C1407" s="450" t="s">
        <v>1208</v>
      </c>
      <c r="D1407" s="67"/>
      <c r="E1407" s="67"/>
      <c r="F1407" s="142"/>
      <c r="G1407" s="153"/>
      <c r="H1407" s="63">
        <f>SUM(H1403:H1406)</f>
        <v>93255</v>
      </c>
      <c r="I1407" s="154"/>
      <c r="J1407" s="154"/>
      <c r="K1407" s="154"/>
    </row>
    <row r="1408" spans="3:15" s="59" customFormat="1" ht="21" customHeight="1">
      <c r="C1408" s="61" t="s">
        <v>1209</v>
      </c>
      <c r="D1408" s="56" t="s">
        <v>1210</v>
      </c>
      <c r="E1408" s="57"/>
      <c r="F1408" s="57"/>
      <c r="G1408" s="57"/>
      <c r="H1408" s="57"/>
      <c r="I1408" s="44"/>
      <c r="J1408" s="44"/>
      <c r="K1408" s="44"/>
    </row>
    <row r="1409" spans="3:15" s="59" customFormat="1" ht="21" customHeight="1">
      <c r="C1409" s="588">
        <v>1</v>
      </c>
      <c r="D1409" s="72" t="s">
        <v>8253</v>
      </c>
      <c r="E1409" s="73" t="s">
        <v>113</v>
      </c>
      <c r="F1409" s="62">
        <v>1.65</v>
      </c>
      <c r="G1409" s="63">
        <f>VLOOKUP(D1409,upahbahan,3,FALSE)</f>
        <v>1535000</v>
      </c>
      <c r="H1409" s="63">
        <f>F1409*G1409</f>
        <v>2532750</v>
      </c>
      <c r="I1409" s="44"/>
      <c r="J1409" s="44"/>
      <c r="K1409" s="44"/>
    </row>
    <row r="1410" spans="3:15" s="59" customFormat="1" ht="21" customHeight="1">
      <c r="C1410" s="450" t="s">
        <v>1214</v>
      </c>
      <c r="D1410" s="67"/>
      <c r="E1410" s="67"/>
      <c r="F1410" s="67"/>
      <c r="G1410" s="69"/>
      <c r="H1410" s="63">
        <f>SUM(H1409:H1409)</f>
        <v>2532750</v>
      </c>
      <c r="I1410" s="44"/>
      <c r="J1410" s="44"/>
      <c r="K1410" s="44"/>
    </row>
    <row r="1411" spans="3:15" s="59" customFormat="1" ht="21" customHeight="1">
      <c r="C1411" s="61" t="s">
        <v>1215</v>
      </c>
      <c r="D1411" s="56" t="s">
        <v>1216</v>
      </c>
      <c r="E1411" s="57"/>
      <c r="F1411" s="57"/>
      <c r="G1411" s="57"/>
      <c r="H1411" s="57"/>
      <c r="I1411" s="44"/>
      <c r="J1411" s="44"/>
      <c r="K1411" s="44"/>
    </row>
    <row r="1412" spans="3:15" s="59" customFormat="1" ht="21" customHeight="1">
      <c r="C1412" s="450" t="s">
        <v>1217</v>
      </c>
      <c r="D1412" s="67"/>
      <c r="E1412" s="67"/>
      <c r="F1412" s="67"/>
      <c r="G1412" s="69"/>
      <c r="H1412" s="589">
        <v>0</v>
      </c>
      <c r="I1412" s="44"/>
      <c r="J1412" s="44"/>
      <c r="K1412" s="44"/>
    </row>
    <row r="1413" spans="3:15" s="59" customFormat="1" ht="21" customHeight="1">
      <c r="C1413" s="288" t="s">
        <v>1218</v>
      </c>
      <c r="D1413" s="76" t="s">
        <v>1219</v>
      </c>
      <c r="E1413" s="77"/>
      <c r="F1413" s="77"/>
      <c r="G1413" s="78"/>
      <c r="H1413" s="585">
        <f>H1412+H1410+H1407</f>
        <v>2626005</v>
      </c>
      <c r="I1413" s="369"/>
      <c r="J1413" s="44"/>
      <c r="K1413" s="44"/>
    </row>
    <row r="1414" spans="3:15" s="59" customFormat="1" ht="21" customHeight="1">
      <c r="C1414" s="288" t="s">
        <v>1220</v>
      </c>
      <c r="D1414" s="76" t="s">
        <v>1321</v>
      </c>
      <c r="E1414" s="77"/>
      <c r="F1414" s="78"/>
      <c r="G1414" s="80">
        <v>0.1</v>
      </c>
      <c r="H1414" s="63">
        <f>H1413*G1414</f>
        <v>262600.5</v>
      </c>
      <c r="I1414" s="369"/>
      <c r="J1414" s="44"/>
      <c r="K1414" s="44"/>
    </row>
    <row r="1415" spans="3:15" s="59" customFormat="1" ht="21" customHeight="1">
      <c r="C1415" s="288" t="s">
        <v>1221</v>
      </c>
      <c r="D1415" s="76" t="s">
        <v>1222</v>
      </c>
      <c r="E1415" s="77"/>
      <c r="F1415" s="77"/>
      <c r="G1415" s="78"/>
      <c r="H1415" s="799">
        <f>SUM(H1413:H1414)</f>
        <v>2888605.5</v>
      </c>
      <c r="I1415" s="369"/>
      <c r="J1415" s="44"/>
      <c r="K1415" s="44"/>
    </row>
    <row r="1416" spans="3:15" ht="21" customHeight="1"/>
    <row r="1417" spans="3:15" ht="21" customHeight="1"/>
    <row r="1418" spans="3:15" ht="21" customHeight="1">
      <c r="C1418" s="43" t="s">
        <v>3964</v>
      </c>
      <c r="D1418" s="128" t="s">
        <v>3965</v>
      </c>
    </row>
    <row r="1419" spans="3:15" s="59" customFormat="1" ht="21" customHeight="1">
      <c r="C1419" s="47" t="s">
        <v>3966</v>
      </c>
      <c r="D1419" s="794" t="s">
        <v>8254</v>
      </c>
      <c r="E1419" s="795"/>
      <c r="F1419" s="795"/>
      <c r="G1419" s="795"/>
      <c r="H1419" s="795"/>
      <c r="I1419" s="50">
        <f>ROUNDDOWN(H1434,-2)</f>
        <v>65800</v>
      </c>
      <c r="J1419" s="50" t="s">
        <v>6451</v>
      </c>
      <c r="K1419" s="50" t="s">
        <v>8092</v>
      </c>
    </row>
    <row r="1420" spans="3:15" s="59" customFormat="1" ht="21" customHeight="1">
      <c r="C1420" s="591" t="s">
        <v>1195</v>
      </c>
      <c r="D1420" s="591" t="s">
        <v>1196</v>
      </c>
      <c r="E1420" s="591" t="s">
        <v>1197</v>
      </c>
      <c r="F1420" s="591" t="s">
        <v>1198</v>
      </c>
      <c r="G1420" s="591" t="s">
        <v>1199</v>
      </c>
      <c r="H1420" s="591" t="s">
        <v>1200</v>
      </c>
      <c r="I1420" s="44"/>
      <c r="J1420" s="44"/>
      <c r="K1420" s="44"/>
    </row>
    <row r="1421" spans="3:15" s="59" customFormat="1" ht="21" customHeight="1">
      <c r="C1421" s="61" t="s">
        <v>1201</v>
      </c>
      <c r="D1421" s="56" t="s">
        <v>1202</v>
      </c>
      <c r="E1421" s="57"/>
      <c r="F1421" s="57"/>
      <c r="G1421" s="57"/>
      <c r="H1421" s="57"/>
      <c r="I1421" s="44"/>
      <c r="J1421" s="44"/>
      <c r="K1421" s="44"/>
      <c r="L1421" s="152" t="s">
        <v>1247</v>
      </c>
    </row>
    <row r="1422" spans="3:15" s="59" customFormat="1" ht="21" customHeight="1">
      <c r="C1422" s="588">
        <v>1</v>
      </c>
      <c r="D1422" s="56" t="s">
        <v>5</v>
      </c>
      <c r="E1422" s="577" t="s">
        <v>6</v>
      </c>
      <c r="F1422" s="62">
        <v>3.5000000000000003E-2</v>
      </c>
      <c r="G1422" s="63">
        <f>VLOOKUP(D1422,upahbahan,3,FALSE)</f>
        <v>100000</v>
      </c>
      <c r="H1422" s="63">
        <f>F1422*G1422</f>
        <v>3500.0000000000005</v>
      </c>
      <c r="I1422" s="44"/>
      <c r="J1422" s="44"/>
      <c r="K1422" s="44"/>
      <c r="L1422" s="152" t="s">
        <v>1248</v>
      </c>
      <c r="O1422" s="65">
        <v>0.1</v>
      </c>
    </row>
    <row r="1423" spans="3:15" s="59" customFormat="1" ht="21" customHeight="1">
      <c r="C1423" s="588">
        <v>2</v>
      </c>
      <c r="D1423" s="56" t="s">
        <v>10</v>
      </c>
      <c r="E1423" s="577" t="s">
        <v>6</v>
      </c>
      <c r="F1423" s="62">
        <v>5.8000000000000003E-2</v>
      </c>
      <c r="G1423" s="63">
        <f>VLOOKUP(D1423,upahbahan,3,FALSE)</f>
        <v>135000</v>
      </c>
      <c r="H1423" s="63">
        <f>F1423*G1423</f>
        <v>7830</v>
      </c>
      <c r="I1423" s="44"/>
      <c r="J1423" s="44"/>
      <c r="K1423" s="44"/>
    </row>
    <row r="1424" spans="3:15" s="59" customFormat="1" ht="21" customHeight="1">
      <c r="C1424" s="588">
        <v>3</v>
      </c>
      <c r="D1424" s="56" t="s">
        <v>18</v>
      </c>
      <c r="E1424" s="577" t="s">
        <v>6</v>
      </c>
      <c r="F1424" s="62">
        <v>6.0000000000000001E-3</v>
      </c>
      <c r="G1424" s="63">
        <f>VLOOKUP(D1424,upahbahan,3,FALSE)</f>
        <v>150000</v>
      </c>
      <c r="H1424" s="63">
        <f>F1424*G1424</f>
        <v>900</v>
      </c>
      <c r="I1424" s="44"/>
      <c r="J1424" s="44"/>
      <c r="K1424" s="44"/>
    </row>
    <row r="1425" spans="3:15" s="59" customFormat="1" ht="21" customHeight="1">
      <c r="C1425" s="588">
        <v>4</v>
      </c>
      <c r="D1425" s="56" t="s">
        <v>19</v>
      </c>
      <c r="E1425" s="577" t="s">
        <v>6</v>
      </c>
      <c r="F1425" s="62">
        <v>2E-3</v>
      </c>
      <c r="G1425" s="63">
        <f>VLOOKUP(D1425,upahbahan,3,FALSE)</f>
        <v>160000</v>
      </c>
      <c r="H1425" s="63">
        <f>F1425*G1425</f>
        <v>320</v>
      </c>
      <c r="I1425" s="44"/>
      <c r="J1425" s="44"/>
      <c r="K1425" s="44"/>
    </row>
    <row r="1426" spans="3:15" s="59" customFormat="1" ht="21" customHeight="1">
      <c r="C1426" s="450" t="s">
        <v>1208</v>
      </c>
      <c r="D1426" s="67"/>
      <c r="E1426" s="67"/>
      <c r="F1426" s="142"/>
      <c r="G1426" s="153"/>
      <c r="H1426" s="63">
        <f>SUM(H1422:H1425)</f>
        <v>12550</v>
      </c>
      <c r="I1426" s="154"/>
      <c r="J1426" s="154"/>
      <c r="K1426" s="154"/>
    </row>
    <row r="1427" spans="3:15" s="59" customFormat="1" ht="21" customHeight="1">
      <c r="C1427" s="61" t="s">
        <v>1209</v>
      </c>
      <c r="D1427" s="56" t="s">
        <v>1210</v>
      </c>
      <c r="E1427" s="57"/>
      <c r="F1427" s="57"/>
      <c r="G1427" s="57"/>
      <c r="H1427" s="57"/>
      <c r="I1427" s="44"/>
      <c r="J1427" s="44"/>
      <c r="K1427" s="44"/>
    </row>
    <row r="1428" spans="3:15" s="59" customFormat="1" ht="21" customHeight="1">
      <c r="C1428" s="588">
        <v>1</v>
      </c>
      <c r="D1428" s="72" t="s">
        <v>8255</v>
      </c>
      <c r="E1428" s="73" t="s">
        <v>113</v>
      </c>
      <c r="F1428" s="62">
        <v>1.55</v>
      </c>
      <c r="G1428" s="63">
        <f>VLOOKUP(D1428,upahbahan,3,FALSE)</f>
        <v>30500</v>
      </c>
      <c r="H1428" s="63">
        <f>F1428*G1428</f>
        <v>47275</v>
      </c>
      <c r="I1428" s="44"/>
      <c r="J1428" s="44"/>
      <c r="K1428" s="44"/>
    </row>
    <row r="1429" spans="3:15" s="59" customFormat="1" ht="21" customHeight="1">
      <c r="C1429" s="450" t="s">
        <v>1214</v>
      </c>
      <c r="D1429" s="67"/>
      <c r="E1429" s="67"/>
      <c r="F1429" s="67"/>
      <c r="G1429" s="69"/>
      <c r="H1429" s="63">
        <f>SUM(H1428:H1428)</f>
        <v>47275</v>
      </c>
      <c r="I1429" s="44"/>
      <c r="J1429" s="44"/>
      <c r="K1429" s="44"/>
    </row>
    <row r="1430" spans="3:15" s="59" customFormat="1" ht="21" customHeight="1">
      <c r="C1430" s="61" t="s">
        <v>1215</v>
      </c>
      <c r="D1430" s="56" t="s">
        <v>1216</v>
      </c>
      <c r="E1430" s="57"/>
      <c r="F1430" s="57"/>
      <c r="G1430" s="57"/>
      <c r="H1430" s="57"/>
      <c r="I1430" s="44"/>
      <c r="J1430" s="44"/>
      <c r="K1430" s="44"/>
    </row>
    <row r="1431" spans="3:15" s="59" customFormat="1" ht="21" customHeight="1">
      <c r="C1431" s="450" t="s">
        <v>1217</v>
      </c>
      <c r="D1431" s="67"/>
      <c r="E1431" s="67"/>
      <c r="F1431" s="67"/>
      <c r="G1431" s="69"/>
      <c r="H1431" s="589">
        <v>0</v>
      </c>
      <c r="I1431" s="44"/>
      <c r="J1431" s="44"/>
      <c r="K1431" s="44"/>
    </row>
    <row r="1432" spans="3:15" s="59" customFormat="1" ht="21" customHeight="1">
      <c r="C1432" s="288" t="s">
        <v>1218</v>
      </c>
      <c r="D1432" s="76" t="s">
        <v>1219</v>
      </c>
      <c r="E1432" s="77"/>
      <c r="F1432" s="77"/>
      <c r="G1432" s="78"/>
      <c r="H1432" s="585">
        <f>H1431+H1429+H1426</f>
        <v>59825</v>
      </c>
      <c r="I1432" s="369"/>
      <c r="J1432" s="44"/>
      <c r="K1432" s="44"/>
    </row>
    <row r="1433" spans="3:15" s="59" customFormat="1" ht="21" customHeight="1">
      <c r="C1433" s="288" t="s">
        <v>1220</v>
      </c>
      <c r="D1433" s="76" t="s">
        <v>1321</v>
      </c>
      <c r="E1433" s="77"/>
      <c r="F1433" s="78"/>
      <c r="G1433" s="80">
        <v>0.1</v>
      </c>
      <c r="H1433" s="63">
        <f>H1432*G1433</f>
        <v>5982.5</v>
      </c>
      <c r="I1433" s="369"/>
      <c r="J1433" s="44"/>
      <c r="K1433" s="44"/>
    </row>
    <row r="1434" spans="3:15" s="59" customFormat="1" ht="21" customHeight="1">
      <c r="C1434" s="288" t="s">
        <v>1221</v>
      </c>
      <c r="D1434" s="76" t="s">
        <v>1222</v>
      </c>
      <c r="E1434" s="77"/>
      <c r="F1434" s="77"/>
      <c r="G1434" s="78"/>
      <c r="H1434" s="799">
        <f>SUM(H1432:H1433)</f>
        <v>65807.5</v>
      </c>
      <c r="I1434" s="369"/>
      <c r="J1434" s="44"/>
      <c r="K1434" s="44"/>
    </row>
    <row r="1435" spans="3:15" ht="21" customHeight="1"/>
    <row r="1436" spans="3:15" s="59" customFormat="1" ht="21" customHeight="1">
      <c r="C1436" s="47" t="s">
        <v>3967</v>
      </c>
      <c r="D1436" s="794" t="s">
        <v>8256</v>
      </c>
      <c r="E1436" s="795"/>
      <c r="F1436" s="795"/>
      <c r="G1436" s="795"/>
      <c r="H1436" s="795"/>
      <c r="I1436" s="50">
        <f>ROUNDDOWN(H1451,-2)</f>
        <v>84500</v>
      </c>
      <c r="J1436" s="50" t="s">
        <v>6451</v>
      </c>
      <c r="K1436" s="50" t="s">
        <v>8092</v>
      </c>
    </row>
    <row r="1437" spans="3:15" s="59" customFormat="1" ht="21" customHeight="1">
      <c r="C1437" s="591" t="s">
        <v>1195</v>
      </c>
      <c r="D1437" s="591" t="s">
        <v>1196</v>
      </c>
      <c r="E1437" s="591" t="s">
        <v>1197</v>
      </c>
      <c r="F1437" s="591" t="s">
        <v>1198</v>
      </c>
      <c r="G1437" s="591" t="s">
        <v>1199</v>
      </c>
      <c r="H1437" s="591" t="s">
        <v>1200</v>
      </c>
      <c r="I1437" s="44"/>
      <c r="J1437" s="44"/>
      <c r="K1437" s="44"/>
    </row>
    <row r="1438" spans="3:15" s="59" customFormat="1" ht="21" customHeight="1">
      <c r="C1438" s="61" t="s">
        <v>1201</v>
      </c>
      <c r="D1438" s="56" t="s">
        <v>1202</v>
      </c>
      <c r="E1438" s="57"/>
      <c r="F1438" s="57"/>
      <c r="G1438" s="57"/>
      <c r="H1438" s="57"/>
      <c r="I1438" s="44"/>
      <c r="J1438" s="44"/>
      <c r="K1438" s="44"/>
      <c r="L1438" s="152" t="s">
        <v>1247</v>
      </c>
    </row>
    <row r="1439" spans="3:15" s="59" customFormat="1" ht="21" customHeight="1">
      <c r="C1439" s="588">
        <v>1</v>
      </c>
      <c r="D1439" s="56" t="s">
        <v>5</v>
      </c>
      <c r="E1439" s="577" t="s">
        <v>6</v>
      </c>
      <c r="F1439" s="62">
        <v>5.1999999999999998E-2</v>
      </c>
      <c r="G1439" s="63">
        <f>VLOOKUP(D1439,upahbahan,3,FALSE)</f>
        <v>100000</v>
      </c>
      <c r="H1439" s="63">
        <f>F1439*G1439</f>
        <v>5200</v>
      </c>
      <c r="I1439" s="44"/>
      <c r="J1439" s="44"/>
      <c r="K1439" s="44"/>
      <c r="L1439" s="152" t="s">
        <v>1248</v>
      </c>
      <c r="O1439" s="65">
        <v>0.1</v>
      </c>
    </row>
    <row r="1440" spans="3:15" s="59" customFormat="1" ht="21" customHeight="1">
      <c r="C1440" s="588">
        <v>2</v>
      </c>
      <c r="D1440" s="56" t="s">
        <v>10</v>
      </c>
      <c r="E1440" s="577" t="s">
        <v>6</v>
      </c>
      <c r="F1440" s="62">
        <v>8.6999999999999994E-2</v>
      </c>
      <c r="G1440" s="63">
        <f>VLOOKUP(D1440,upahbahan,3,FALSE)</f>
        <v>135000</v>
      </c>
      <c r="H1440" s="63">
        <f>F1440*G1440</f>
        <v>11745</v>
      </c>
      <c r="I1440" s="44"/>
      <c r="J1440" s="44"/>
      <c r="K1440" s="44"/>
    </row>
    <row r="1441" spans="3:15" s="59" customFormat="1" ht="21" customHeight="1">
      <c r="C1441" s="588">
        <v>3</v>
      </c>
      <c r="D1441" s="56" t="s">
        <v>18</v>
      </c>
      <c r="E1441" s="577" t="s">
        <v>6</v>
      </c>
      <c r="F1441" s="62">
        <v>8.9999999999999993E-3</v>
      </c>
      <c r="G1441" s="63">
        <f>VLOOKUP(D1441,upahbahan,3,FALSE)</f>
        <v>150000</v>
      </c>
      <c r="H1441" s="63">
        <f>F1441*G1441</f>
        <v>1350</v>
      </c>
      <c r="I1441" s="44"/>
      <c r="J1441" s="44"/>
      <c r="K1441" s="44"/>
    </row>
    <row r="1442" spans="3:15" s="59" customFormat="1" ht="21" customHeight="1">
      <c r="C1442" s="588">
        <v>4</v>
      </c>
      <c r="D1442" s="56" t="s">
        <v>19</v>
      </c>
      <c r="E1442" s="577" t="s">
        <v>6</v>
      </c>
      <c r="F1442" s="62">
        <v>3.0000000000000001E-3</v>
      </c>
      <c r="G1442" s="63">
        <f>VLOOKUP(D1442,upahbahan,3,FALSE)</f>
        <v>160000</v>
      </c>
      <c r="H1442" s="63">
        <f>F1442*G1442</f>
        <v>480</v>
      </c>
      <c r="I1442" s="44"/>
      <c r="J1442" s="44"/>
      <c r="K1442" s="44"/>
    </row>
    <row r="1443" spans="3:15" s="59" customFormat="1" ht="21" customHeight="1">
      <c r="C1443" s="450" t="s">
        <v>1208</v>
      </c>
      <c r="D1443" s="67"/>
      <c r="E1443" s="67"/>
      <c r="F1443" s="142"/>
      <c r="G1443" s="153"/>
      <c r="H1443" s="63">
        <f>SUM(H1439:H1442)</f>
        <v>18775</v>
      </c>
      <c r="I1443" s="154"/>
      <c r="J1443" s="154"/>
      <c r="K1443" s="154"/>
    </row>
    <row r="1444" spans="3:15" s="59" customFormat="1" ht="21" customHeight="1">
      <c r="C1444" s="61" t="s">
        <v>1209</v>
      </c>
      <c r="D1444" s="56" t="s">
        <v>1210</v>
      </c>
      <c r="E1444" s="57"/>
      <c r="F1444" s="57"/>
      <c r="G1444" s="57"/>
      <c r="H1444" s="57"/>
      <c r="I1444" s="44"/>
      <c r="J1444" s="44"/>
      <c r="K1444" s="44"/>
    </row>
    <row r="1445" spans="3:15" s="59" customFormat="1" ht="21" customHeight="1">
      <c r="C1445" s="588">
        <v>1</v>
      </c>
      <c r="D1445" s="72" t="s">
        <v>8257</v>
      </c>
      <c r="E1445" s="73" t="s">
        <v>113</v>
      </c>
      <c r="F1445" s="62">
        <v>1.55</v>
      </c>
      <c r="G1445" s="63">
        <f>VLOOKUP(D1445,upahbahan,3,FALSE)</f>
        <v>37500</v>
      </c>
      <c r="H1445" s="63">
        <f>F1445*G1445</f>
        <v>58125</v>
      </c>
      <c r="I1445" s="44"/>
      <c r="J1445" s="44"/>
      <c r="K1445" s="44"/>
    </row>
    <row r="1446" spans="3:15" s="59" customFormat="1" ht="21" customHeight="1">
      <c r="C1446" s="450" t="s">
        <v>1214</v>
      </c>
      <c r="D1446" s="67"/>
      <c r="E1446" s="67"/>
      <c r="F1446" s="67"/>
      <c r="G1446" s="69"/>
      <c r="H1446" s="63">
        <f>SUM(H1445:H1445)</f>
        <v>58125</v>
      </c>
      <c r="I1446" s="44"/>
      <c r="J1446" s="44"/>
      <c r="K1446" s="44"/>
    </row>
    <row r="1447" spans="3:15" s="59" customFormat="1" ht="21" customHeight="1">
      <c r="C1447" s="61" t="s">
        <v>1215</v>
      </c>
      <c r="D1447" s="56" t="s">
        <v>1216</v>
      </c>
      <c r="E1447" s="57"/>
      <c r="F1447" s="57"/>
      <c r="G1447" s="57"/>
      <c r="H1447" s="57"/>
      <c r="I1447" s="44"/>
      <c r="J1447" s="44"/>
      <c r="K1447" s="44"/>
    </row>
    <row r="1448" spans="3:15" s="59" customFormat="1" ht="21" customHeight="1">
      <c r="C1448" s="450" t="s">
        <v>1217</v>
      </c>
      <c r="D1448" s="67"/>
      <c r="E1448" s="67"/>
      <c r="F1448" s="67"/>
      <c r="G1448" s="69"/>
      <c r="H1448" s="589">
        <v>0</v>
      </c>
      <c r="I1448" s="44"/>
      <c r="J1448" s="44"/>
      <c r="K1448" s="44"/>
    </row>
    <row r="1449" spans="3:15" s="59" customFormat="1" ht="21" customHeight="1">
      <c r="C1449" s="288" t="s">
        <v>1218</v>
      </c>
      <c r="D1449" s="76" t="s">
        <v>1219</v>
      </c>
      <c r="E1449" s="77"/>
      <c r="F1449" s="77"/>
      <c r="G1449" s="78"/>
      <c r="H1449" s="585">
        <f>H1448+H1446+H1443</f>
        <v>76900</v>
      </c>
      <c r="I1449" s="369"/>
      <c r="J1449" s="44"/>
      <c r="K1449" s="44"/>
    </row>
    <row r="1450" spans="3:15" s="59" customFormat="1" ht="21" customHeight="1">
      <c r="C1450" s="288" t="s">
        <v>1220</v>
      </c>
      <c r="D1450" s="76" t="s">
        <v>1321</v>
      </c>
      <c r="E1450" s="77"/>
      <c r="F1450" s="78"/>
      <c r="G1450" s="80">
        <v>0.1</v>
      </c>
      <c r="H1450" s="63">
        <f>H1449*G1450</f>
        <v>7690</v>
      </c>
      <c r="I1450" s="369"/>
      <c r="J1450" s="44"/>
      <c r="K1450" s="44"/>
    </row>
    <row r="1451" spans="3:15" s="59" customFormat="1" ht="21" customHeight="1">
      <c r="C1451" s="288" t="s">
        <v>1221</v>
      </c>
      <c r="D1451" s="76" t="s">
        <v>1222</v>
      </c>
      <c r="E1451" s="77"/>
      <c r="F1451" s="77"/>
      <c r="G1451" s="78"/>
      <c r="H1451" s="799">
        <f>SUM(H1449:H1450)</f>
        <v>84590</v>
      </c>
      <c r="I1451" s="369"/>
      <c r="J1451" s="44"/>
      <c r="K1451" s="44"/>
    </row>
    <row r="1452" spans="3:15" ht="21" customHeight="1"/>
    <row r="1453" spans="3:15" s="59" customFormat="1" ht="21" customHeight="1">
      <c r="C1453" s="47" t="s">
        <v>3968</v>
      </c>
      <c r="D1453" s="794" t="s">
        <v>8258</v>
      </c>
      <c r="E1453" s="795"/>
      <c r="F1453" s="795"/>
      <c r="G1453" s="795"/>
      <c r="H1453" s="795"/>
      <c r="I1453" s="50">
        <f>ROUNDDOWN(H1468,-2)</f>
        <v>117300</v>
      </c>
      <c r="J1453" s="50" t="s">
        <v>6451</v>
      </c>
      <c r="K1453" s="50" t="s">
        <v>8092</v>
      </c>
    </row>
    <row r="1454" spans="3:15" s="59" customFormat="1" ht="21" customHeight="1">
      <c r="C1454" s="591" t="s">
        <v>1195</v>
      </c>
      <c r="D1454" s="591" t="s">
        <v>1196</v>
      </c>
      <c r="E1454" s="591" t="s">
        <v>1197</v>
      </c>
      <c r="F1454" s="591" t="s">
        <v>1198</v>
      </c>
      <c r="G1454" s="591" t="s">
        <v>1199</v>
      </c>
      <c r="H1454" s="591" t="s">
        <v>1200</v>
      </c>
      <c r="I1454" s="44"/>
      <c r="J1454" s="44"/>
      <c r="K1454" s="44"/>
    </row>
    <row r="1455" spans="3:15" s="59" customFormat="1" ht="21" customHeight="1">
      <c r="C1455" s="61" t="s">
        <v>1201</v>
      </c>
      <c r="D1455" s="56" t="s">
        <v>1202</v>
      </c>
      <c r="E1455" s="57"/>
      <c r="F1455" s="57"/>
      <c r="G1455" s="57"/>
      <c r="H1455" s="57"/>
      <c r="I1455" s="44"/>
      <c r="J1455" s="44"/>
      <c r="K1455" s="44"/>
      <c r="L1455" s="152" t="s">
        <v>1247</v>
      </c>
    </row>
    <row r="1456" spans="3:15" s="59" customFormat="1" ht="21" customHeight="1">
      <c r="C1456" s="588">
        <v>1</v>
      </c>
      <c r="D1456" s="56" t="s">
        <v>5</v>
      </c>
      <c r="E1456" s="577" t="s">
        <v>6</v>
      </c>
      <c r="F1456" s="62">
        <v>6.9000000000000006E-2</v>
      </c>
      <c r="G1456" s="63">
        <f>VLOOKUP(D1456,upahbahan,3,FALSE)</f>
        <v>100000</v>
      </c>
      <c r="H1456" s="63">
        <f>F1456*G1456</f>
        <v>6900.0000000000009</v>
      </c>
      <c r="I1456" s="44"/>
      <c r="J1456" s="44"/>
      <c r="K1456" s="44"/>
      <c r="L1456" s="152" t="s">
        <v>1248</v>
      </c>
      <c r="O1456" s="65">
        <v>0.1</v>
      </c>
    </row>
    <row r="1457" spans="3:12" s="59" customFormat="1" ht="21" customHeight="1">
      <c r="C1457" s="588">
        <v>2</v>
      </c>
      <c r="D1457" s="56" t="s">
        <v>10</v>
      </c>
      <c r="E1457" s="577" t="s">
        <v>6</v>
      </c>
      <c r="F1457" s="62">
        <v>0.115</v>
      </c>
      <c r="G1457" s="63">
        <f>VLOOKUP(D1457,upahbahan,3,FALSE)</f>
        <v>135000</v>
      </c>
      <c r="H1457" s="63">
        <f>F1457*G1457</f>
        <v>15525</v>
      </c>
      <c r="I1457" s="44"/>
      <c r="J1457" s="44"/>
      <c r="K1457" s="44"/>
    </row>
    <row r="1458" spans="3:12" s="59" customFormat="1" ht="21" customHeight="1">
      <c r="C1458" s="588">
        <v>3</v>
      </c>
      <c r="D1458" s="56" t="s">
        <v>18</v>
      </c>
      <c r="E1458" s="577" t="s">
        <v>6</v>
      </c>
      <c r="F1458" s="62">
        <v>1.0999999999999999E-2</v>
      </c>
      <c r="G1458" s="63">
        <f>VLOOKUP(D1458,upahbahan,3,FALSE)</f>
        <v>150000</v>
      </c>
      <c r="H1458" s="63">
        <f>F1458*G1458</f>
        <v>1650</v>
      </c>
      <c r="I1458" s="44"/>
      <c r="J1458" s="44"/>
      <c r="K1458" s="44"/>
    </row>
    <row r="1459" spans="3:12" s="59" customFormat="1" ht="21" customHeight="1">
      <c r="C1459" s="588">
        <v>4</v>
      </c>
      <c r="D1459" s="56" t="s">
        <v>19</v>
      </c>
      <c r="E1459" s="577" t="s">
        <v>6</v>
      </c>
      <c r="F1459" s="62">
        <v>3.0000000000000001E-3</v>
      </c>
      <c r="G1459" s="63">
        <f>VLOOKUP(D1459,upahbahan,3,FALSE)</f>
        <v>160000</v>
      </c>
      <c r="H1459" s="63">
        <f>F1459*G1459</f>
        <v>480</v>
      </c>
      <c r="I1459" s="44"/>
      <c r="J1459" s="44"/>
      <c r="K1459" s="44"/>
    </row>
    <row r="1460" spans="3:12" s="59" customFormat="1" ht="21" customHeight="1">
      <c r="C1460" s="450" t="s">
        <v>1208</v>
      </c>
      <c r="D1460" s="67"/>
      <c r="E1460" s="67"/>
      <c r="F1460" s="142"/>
      <c r="G1460" s="153"/>
      <c r="H1460" s="63">
        <f>SUM(H1456:H1459)</f>
        <v>24555</v>
      </c>
      <c r="I1460" s="154"/>
      <c r="J1460" s="154"/>
      <c r="K1460" s="154"/>
    </row>
    <row r="1461" spans="3:12" s="59" customFormat="1" ht="21" customHeight="1">
      <c r="C1461" s="61" t="s">
        <v>1209</v>
      </c>
      <c r="D1461" s="56" t="s">
        <v>1210</v>
      </c>
      <c r="E1461" s="57"/>
      <c r="F1461" s="57"/>
      <c r="G1461" s="57"/>
      <c r="H1461" s="57"/>
      <c r="I1461" s="44"/>
      <c r="J1461" s="44"/>
      <c r="K1461" s="44"/>
    </row>
    <row r="1462" spans="3:12" s="59" customFormat="1" ht="21" customHeight="1">
      <c r="C1462" s="588">
        <v>1</v>
      </c>
      <c r="D1462" s="72" t="s">
        <v>8259</v>
      </c>
      <c r="E1462" s="73" t="s">
        <v>113</v>
      </c>
      <c r="F1462" s="62">
        <v>1.55</v>
      </c>
      <c r="G1462" s="63">
        <f>VLOOKUP(D1462,upahbahan,3,FALSE)</f>
        <v>53000</v>
      </c>
      <c r="H1462" s="63">
        <f>F1462*G1462</f>
        <v>82150</v>
      </c>
      <c r="I1462" s="44"/>
      <c r="J1462" s="44"/>
      <c r="K1462" s="44"/>
    </row>
    <row r="1463" spans="3:12" s="59" customFormat="1" ht="21" customHeight="1">
      <c r="C1463" s="450" t="s">
        <v>1214</v>
      </c>
      <c r="D1463" s="67"/>
      <c r="E1463" s="67"/>
      <c r="F1463" s="67"/>
      <c r="G1463" s="69"/>
      <c r="H1463" s="63">
        <f>SUM(H1462:H1462)</f>
        <v>82150</v>
      </c>
      <c r="I1463" s="44"/>
      <c r="J1463" s="44"/>
      <c r="K1463" s="44"/>
    </row>
    <row r="1464" spans="3:12" s="59" customFormat="1" ht="21" customHeight="1">
      <c r="C1464" s="61" t="s">
        <v>1215</v>
      </c>
      <c r="D1464" s="56" t="s">
        <v>1216</v>
      </c>
      <c r="E1464" s="57"/>
      <c r="F1464" s="57"/>
      <c r="G1464" s="57"/>
      <c r="H1464" s="57"/>
      <c r="I1464" s="44"/>
      <c r="J1464" s="44"/>
      <c r="K1464" s="44"/>
    </row>
    <row r="1465" spans="3:12" s="59" customFormat="1" ht="21" customHeight="1">
      <c r="C1465" s="450" t="s">
        <v>1217</v>
      </c>
      <c r="D1465" s="67"/>
      <c r="E1465" s="67"/>
      <c r="F1465" s="67"/>
      <c r="G1465" s="69"/>
      <c r="H1465" s="589">
        <v>0</v>
      </c>
      <c r="I1465" s="44"/>
      <c r="J1465" s="44"/>
      <c r="K1465" s="44"/>
    </row>
    <row r="1466" spans="3:12" s="59" customFormat="1" ht="21" customHeight="1">
      <c r="C1466" s="288" t="s">
        <v>1218</v>
      </c>
      <c r="D1466" s="76" t="s">
        <v>1219</v>
      </c>
      <c r="E1466" s="77"/>
      <c r="F1466" s="77"/>
      <c r="G1466" s="78"/>
      <c r="H1466" s="585">
        <f>H1465+H1463+H1460</f>
        <v>106705</v>
      </c>
      <c r="I1466" s="369"/>
      <c r="J1466" s="44"/>
      <c r="K1466" s="44"/>
    </row>
    <row r="1467" spans="3:12" s="59" customFormat="1" ht="21" customHeight="1">
      <c r="C1467" s="288" t="s">
        <v>1220</v>
      </c>
      <c r="D1467" s="76" t="s">
        <v>1321</v>
      </c>
      <c r="E1467" s="77"/>
      <c r="F1467" s="78"/>
      <c r="G1467" s="80">
        <v>0.1</v>
      </c>
      <c r="H1467" s="63">
        <f>H1466*G1467</f>
        <v>10670.5</v>
      </c>
      <c r="I1467" s="369"/>
      <c r="J1467" s="44"/>
      <c r="K1467" s="44"/>
    </row>
    <row r="1468" spans="3:12" s="59" customFormat="1" ht="21" customHeight="1">
      <c r="C1468" s="288" t="s">
        <v>1221</v>
      </c>
      <c r="D1468" s="76" t="s">
        <v>1222</v>
      </c>
      <c r="E1468" s="77"/>
      <c r="F1468" s="77"/>
      <c r="G1468" s="78"/>
      <c r="H1468" s="799">
        <f>SUM(H1466:H1467)</f>
        <v>117375.5</v>
      </c>
      <c r="I1468" s="369"/>
      <c r="J1468" s="44"/>
      <c r="K1468" s="44"/>
    </row>
    <row r="1469" spans="3:12" ht="21" customHeight="1"/>
    <row r="1470" spans="3:12" s="59" customFormat="1" ht="21" customHeight="1">
      <c r="C1470" s="47" t="s">
        <v>3969</v>
      </c>
      <c r="D1470" s="794" t="s">
        <v>8260</v>
      </c>
      <c r="E1470" s="795"/>
      <c r="F1470" s="795"/>
      <c r="G1470" s="795"/>
      <c r="H1470" s="795"/>
      <c r="I1470" s="50">
        <f>ROUNDDOWN(H1485,-2)</f>
        <v>149500</v>
      </c>
      <c r="J1470" s="50" t="s">
        <v>6451</v>
      </c>
      <c r="K1470" s="50" t="s">
        <v>8092</v>
      </c>
    </row>
    <row r="1471" spans="3:12" s="59" customFormat="1" ht="21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  <c r="J1471" s="44"/>
      <c r="K1471" s="44"/>
    </row>
    <row r="1472" spans="3:12" s="59" customFormat="1" ht="21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44"/>
      <c r="K1472" s="44"/>
      <c r="L1472" s="152" t="s">
        <v>1247</v>
      </c>
    </row>
    <row r="1473" spans="3:15" s="59" customFormat="1" ht="21" customHeight="1">
      <c r="C1473" s="588">
        <v>1</v>
      </c>
      <c r="D1473" s="56" t="s">
        <v>5</v>
      </c>
      <c r="E1473" s="577" t="s">
        <v>6</v>
      </c>
      <c r="F1473" s="62">
        <v>8.5000000000000006E-2</v>
      </c>
      <c r="G1473" s="63">
        <f>VLOOKUP(D1473,upahbahan,3,FALSE)</f>
        <v>100000</v>
      </c>
      <c r="H1473" s="63">
        <f>F1473*G1473</f>
        <v>8500</v>
      </c>
      <c r="I1473" s="44"/>
      <c r="J1473" s="44"/>
      <c r="K1473" s="44"/>
      <c r="L1473" s="152" t="s">
        <v>1248</v>
      </c>
      <c r="O1473" s="65">
        <v>0.1</v>
      </c>
    </row>
    <row r="1474" spans="3:15" s="59" customFormat="1" ht="21" customHeight="1">
      <c r="C1474" s="588">
        <v>2</v>
      </c>
      <c r="D1474" s="56" t="s">
        <v>10</v>
      </c>
      <c r="E1474" s="577" t="s">
        <v>6</v>
      </c>
      <c r="F1474" s="62">
        <v>0.14299999999999999</v>
      </c>
      <c r="G1474" s="63">
        <f>VLOOKUP(D1474,upahbahan,3,FALSE)</f>
        <v>135000</v>
      </c>
      <c r="H1474" s="63">
        <f>F1474*G1474</f>
        <v>19305</v>
      </c>
      <c r="I1474" s="44"/>
      <c r="J1474" s="44"/>
      <c r="K1474" s="44"/>
    </row>
    <row r="1475" spans="3:15" s="59" customFormat="1" ht="21" customHeight="1">
      <c r="C1475" s="588">
        <v>3</v>
      </c>
      <c r="D1475" s="56" t="s">
        <v>18</v>
      </c>
      <c r="E1475" s="577" t="s">
        <v>6</v>
      </c>
      <c r="F1475" s="62">
        <v>1.4E-2</v>
      </c>
      <c r="G1475" s="63">
        <f>VLOOKUP(D1475,upahbahan,3,FALSE)</f>
        <v>150000</v>
      </c>
      <c r="H1475" s="63">
        <f>F1475*G1475</f>
        <v>2100</v>
      </c>
      <c r="I1475" s="44"/>
      <c r="J1475" s="44"/>
      <c r="K1475" s="44"/>
    </row>
    <row r="1476" spans="3:15" s="59" customFormat="1" ht="21" customHeight="1">
      <c r="C1476" s="588">
        <v>4</v>
      </c>
      <c r="D1476" s="56" t="s">
        <v>19</v>
      </c>
      <c r="E1476" s="577" t="s">
        <v>6</v>
      </c>
      <c r="F1476" s="62">
        <v>4.0000000000000001E-3</v>
      </c>
      <c r="G1476" s="63">
        <f>VLOOKUP(D1476,upahbahan,3,FALSE)</f>
        <v>160000</v>
      </c>
      <c r="H1476" s="63">
        <f>F1476*G1476</f>
        <v>640</v>
      </c>
      <c r="I1476" s="44"/>
      <c r="J1476" s="44"/>
      <c r="K1476" s="44"/>
    </row>
    <row r="1477" spans="3:15" s="59" customFormat="1" ht="21" customHeight="1">
      <c r="C1477" s="450" t="s">
        <v>1208</v>
      </c>
      <c r="D1477" s="67"/>
      <c r="E1477" s="67"/>
      <c r="F1477" s="142"/>
      <c r="G1477" s="153"/>
      <c r="H1477" s="63">
        <f>SUM(H1473:H1476)</f>
        <v>30545</v>
      </c>
      <c r="I1477" s="154"/>
      <c r="J1477" s="154"/>
      <c r="K1477" s="154"/>
    </row>
    <row r="1478" spans="3:15" s="59" customFormat="1" ht="21" customHeight="1">
      <c r="C1478" s="61" t="s">
        <v>1209</v>
      </c>
      <c r="D1478" s="56" t="s">
        <v>1210</v>
      </c>
      <c r="E1478" s="57"/>
      <c r="F1478" s="57"/>
      <c r="G1478" s="57"/>
      <c r="H1478" s="57"/>
      <c r="I1478" s="44"/>
      <c r="J1478" s="44"/>
      <c r="K1478" s="44"/>
    </row>
    <row r="1479" spans="3:15" s="59" customFormat="1" ht="21" customHeight="1">
      <c r="C1479" s="588">
        <v>1</v>
      </c>
      <c r="D1479" s="72" t="s">
        <v>8261</v>
      </c>
      <c r="E1479" s="73" t="s">
        <v>113</v>
      </c>
      <c r="F1479" s="62">
        <v>1.55</v>
      </c>
      <c r="G1479" s="63">
        <f>VLOOKUP(D1479,upahbahan,3,FALSE)</f>
        <v>68000</v>
      </c>
      <c r="H1479" s="63">
        <f>F1479*G1479</f>
        <v>105400</v>
      </c>
      <c r="I1479" s="44"/>
      <c r="J1479" s="44"/>
      <c r="K1479" s="44"/>
    </row>
    <row r="1480" spans="3:15" s="59" customFormat="1" ht="21" customHeight="1">
      <c r="C1480" s="450" t="s">
        <v>1214</v>
      </c>
      <c r="D1480" s="67"/>
      <c r="E1480" s="67"/>
      <c r="F1480" s="67"/>
      <c r="G1480" s="69"/>
      <c r="H1480" s="63">
        <f>SUM(H1479:H1479)</f>
        <v>105400</v>
      </c>
      <c r="I1480" s="44"/>
      <c r="J1480" s="44"/>
      <c r="K1480" s="44"/>
    </row>
    <row r="1481" spans="3:15" s="59" customFormat="1" ht="21" customHeight="1">
      <c r="C1481" s="61" t="s">
        <v>1215</v>
      </c>
      <c r="D1481" s="56" t="s">
        <v>1216</v>
      </c>
      <c r="E1481" s="57"/>
      <c r="F1481" s="57"/>
      <c r="G1481" s="57"/>
      <c r="H1481" s="57"/>
      <c r="I1481" s="44"/>
      <c r="J1481" s="44"/>
      <c r="K1481" s="44"/>
    </row>
    <row r="1482" spans="3:15" s="59" customFormat="1" ht="21" customHeight="1">
      <c r="C1482" s="450" t="s">
        <v>1217</v>
      </c>
      <c r="D1482" s="67"/>
      <c r="E1482" s="67"/>
      <c r="F1482" s="67"/>
      <c r="G1482" s="69"/>
      <c r="H1482" s="589">
        <v>0</v>
      </c>
      <c r="I1482" s="44"/>
      <c r="J1482" s="44"/>
      <c r="K1482" s="44"/>
    </row>
    <row r="1483" spans="3:15" s="59" customFormat="1" ht="21" customHeight="1">
      <c r="C1483" s="288" t="s">
        <v>1218</v>
      </c>
      <c r="D1483" s="76" t="s">
        <v>1219</v>
      </c>
      <c r="E1483" s="77"/>
      <c r="F1483" s="77"/>
      <c r="G1483" s="78"/>
      <c r="H1483" s="585">
        <f>H1482+H1480+H1477</f>
        <v>135945</v>
      </c>
      <c r="I1483" s="369"/>
      <c r="J1483" s="44"/>
      <c r="K1483" s="44"/>
    </row>
    <row r="1484" spans="3:15" s="59" customFormat="1" ht="21" customHeight="1">
      <c r="C1484" s="288" t="s">
        <v>1220</v>
      </c>
      <c r="D1484" s="76" t="s">
        <v>1321</v>
      </c>
      <c r="E1484" s="77"/>
      <c r="F1484" s="78"/>
      <c r="G1484" s="80">
        <v>0.1</v>
      </c>
      <c r="H1484" s="63">
        <f>H1483*G1484</f>
        <v>13594.5</v>
      </c>
      <c r="I1484" s="369"/>
      <c r="J1484" s="44"/>
      <c r="K1484" s="44"/>
    </row>
    <row r="1485" spans="3:15" s="59" customFormat="1" ht="21" customHeight="1">
      <c r="C1485" s="288" t="s">
        <v>1221</v>
      </c>
      <c r="D1485" s="76" t="s">
        <v>1222</v>
      </c>
      <c r="E1485" s="77"/>
      <c r="F1485" s="77"/>
      <c r="G1485" s="78"/>
      <c r="H1485" s="799">
        <f>SUM(H1483:H1484)</f>
        <v>149539.5</v>
      </c>
      <c r="I1485" s="369"/>
      <c r="J1485" s="44"/>
      <c r="K1485" s="44"/>
    </row>
    <row r="1486" spans="3:15" ht="21" customHeight="1"/>
    <row r="1487" spans="3:15" s="59" customFormat="1" ht="21" customHeight="1">
      <c r="C1487" s="47" t="s">
        <v>3970</v>
      </c>
      <c r="D1487" s="794" t="s">
        <v>8262</v>
      </c>
      <c r="E1487" s="795"/>
      <c r="F1487" s="795"/>
      <c r="G1487" s="795"/>
      <c r="H1487" s="795"/>
      <c r="I1487" s="50">
        <f>ROUNDDOWN(H1502,-2)</f>
        <v>172200</v>
      </c>
      <c r="J1487" s="50" t="s">
        <v>6451</v>
      </c>
      <c r="K1487" s="50" t="s">
        <v>8092</v>
      </c>
    </row>
    <row r="1488" spans="3:15" s="59" customFormat="1" ht="21" customHeight="1">
      <c r="C1488" s="591" t="s">
        <v>1195</v>
      </c>
      <c r="D1488" s="591" t="s">
        <v>1196</v>
      </c>
      <c r="E1488" s="591" t="s">
        <v>1197</v>
      </c>
      <c r="F1488" s="591" t="s">
        <v>1198</v>
      </c>
      <c r="G1488" s="591" t="s">
        <v>1199</v>
      </c>
      <c r="H1488" s="591" t="s">
        <v>1200</v>
      </c>
      <c r="I1488" s="44"/>
      <c r="J1488" s="44"/>
      <c r="K1488" s="44"/>
    </row>
    <row r="1489" spans="3:15" s="59" customFormat="1" ht="21" customHeight="1">
      <c r="C1489" s="61" t="s">
        <v>1201</v>
      </c>
      <c r="D1489" s="56" t="s">
        <v>1202</v>
      </c>
      <c r="E1489" s="57"/>
      <c r="F1489" s="57"/>
      <c r="G1489" s="57"/>
      <c r="H1489" s="57"/>
      <c r="I1489" s="44"/>
      <c r="J1489" s="44"/>
      <c r="K1489" s="44"/>
      <c r="L1489" s="152" t="s">
        <v>1247</v>
      </c>
    </row>
    <row r="1490" spans="3:15" s="59" customFormat="1" ht="21" customHeight="1">
      <c r="C1490" s="588">
        <v>1</v>
      </c>
      <c r="D1490" s="56" t="s">
        <v>5</v>
      </c>
      <c r="E1490" s="577" t="s">
        <v>6</v>
      </c>
      <c r="F1490" s="62">
        <v>0.104</v>
      </c>
      <c r="G1490" s="63">
        <f>VLOOKUP(D1490,upahbahan,3,FALSE)</f>
        <v>100000</v>
      </c>
      <c r="H1490" s="63">
        <f>F1490*G1490</f>
        <v>10400</v>
      </c>
      <c r="I1490" s="44"/>
      <c r="J1490" s="44"/>
      <c r="K1490" s="44"/>
      <c r="L1490" s="152" t="s">
        <v>1248</v>
      </c>
      <c r="O1490" s="65">
        <v>0.1</v>
      </c>
    </row>
    <row r="1491" spans="3:15" s="59" customFormat="1" ht="21" customHeight="1">
      <c r="C1491" s="588">
        <v>2</v>
      </c>
      <c r="D1491" s="56" t="s">
        <v>10</v>
      </c>
      <c r="E1491" s="577" t="s">
        <v>6</v>
      </c>
      <c r="F1491" s="62">
        <v>0.17399999999999999</v>
      </c>
      <c r="G1491" s="63">
        <f>VLOOKUP(D1491,upahbahan,3,FALSE)</f>
        <v>135000</v>
      </c>
      <c r="H1491" s="63">
        <f>F1491*G1491</f>
        <v>23490</v>
      </c>
      <c r="I1491" s="44"/>
      <c r="J1491" s="44"/>
      <c r="K1491" s="44"/>
    </row>
    <row r="1492" spans="3:15" s="59" customFormat="1" ht="21" customHeight="1">
      <c r="C1492" s="588">
        <v>3</v>
      </c>
      <c r="D1492" s="56" t="s">
        <v>18</v>
      </c>
      <c r="E1492" s="577" t="s">
        <v>6</v>
      </c>
      <c r="F1492" s="62">
        <v>1.7000000000000001E-2</v>
      </c>
      <c r="G1492" s="63">
        <f>VLOOKUP(D1492,upahbahan,3,FALSE)</f>
        <v>150000</v>
      </c>
      <c r="H1492" s="63">
        <f>F1492*G1492</f>
        <v>2550</v>
      </c>
      <c r="I1492" s="44"/>
      <c r="J1492" s="44"/>
      <c r="K1492" s="44"/>
    </row>
    <row r="1493" spans="3:15" s="59" customFormat="1" ht="21" customHeight="1">
      <c r="C1493" s="588">
        <v>4</v>
      </c>
      <c r="D1493" s="56" t="s">
        <v>19</v>
      </c>
      <c r="E1493" s="577" t="s">
        <v>6</v>
      </c>
      <c r="F1493" s="62">
        <v>5.0000000000000001E-3</v>
      </c>
      <c r="G1493" s="63">
        <f>VLOOKUP(D1493,upahbahan,3,FALSE)</f>
        <v>160000</v>
      </c>
      <c r="H1493" s="63">
        <f>F1493*G1493</f>
        <v>800</v>
      </c>
      <c r="I1493" s="44"/>
      <c r="J1493" s="44"/>
      <c r="K1493" s="44"/>
    </row>
    <row r="1494" spans="3:15" s="59" customFormat="1" ht="21" customHeight="1">
      <c r="C1494" s="450" t="s">
        <v>1208</v>
      </c>
      <c r="D1494" s="67"/>
      <c r="E1494" s="67"/>
      <c r="F1494" s="142"/>
      <c r="G1494" s="153"/>
      <c r="H1494" s="63">
        <f>SUM(H1490:H1493)</f>
        <v>37240</v>
      </c>
      <c r="I1494" s="154"/>
      <c r="J1494" s="154"/>
      <c r="K1494" s="154"/>
    </row>
    <row r="1495" spans="3:15" s="59" customFormat="1" ht="21" customHeight="1">
      <c r="C1495" s="61" t="s">
        <v>1209</v>
      </c>
      <c r="D1495" s="56" t="s">
        <v>1210</v>
      </c>
      <c r="E1495" s="57"/>
      <c r="F1495" s="57"/>
      <c r="G1495" s="57"/>
      <c r="H1495" s="57"/>
      <c r="I1495" s="44"/>
      <c r="J1495" s="44"/>
      <c r="K1495" s="44"/>
    </row>
    <row r="1496" spans="3:15" s="59" customFormat="1" ht="21" customHeight="1">
      <c r="C1496" s="588">
        <v>1</v>
      </c>
      <c r="D1496" s="72" t="s">
        <v>8263</v>
      </c>
      <c r="E1496" s="73" t="s">
        <v>113</v>
      </c>
      <c r="F1496" s="62">
        <v>1.55</v>
      </c>
      <c r="G1496" s="63">
        <f>VLOOKUP(D1496,upahbahan,3,FALSE)</f>
        <v>77000</v>
      </c>
      <c r="H1496" s="63">
        <f>F1496*G1496</f>
        <v>119350</v>
      </c>
      <c r="I1496" s="44"/>
      <c r="J1496" s="44"/>
      <c r="K1496" s="44"/>
    </row>
    <row r="1497" spans="3:15" s="59" customFormat="1" ht="21" customHeight="1">
      <c r="C1497" s="450" t="s">
        <v>1214</v>
      </c>
      <c r="D1497" s="67"/>
      <c r="E1497" s="67"/>
      <c r="F1497" s="67"/>
      <c r="G1497" s="69"/>
      <c r="H1497" s="63">
        <f>SUM(H1496:H1496)</f>
        <v>119350</v>
      </c>
      <c r="I1497" s="44"/>
      <c r="J1497" s="44"/>
      <c r="K1497" s="44"/>
    </row>
    <row r="1498" spans="3:15" s="59" customFormat="1" ht="21" customHeight="1">
      <c r="C1498" s="61" t="s">
        <v>1215</v>
      </c>
      <c r="D1498" s="56" t="s">
        <v>1216</v>
      </c>
      <c r="E1498" s="57"/>
      <c r="F1498" s="57"/>
      <c r="G1498" s="57"/>
      <c r="H1498" s="57"/>
      <c r="I1498" s="44"/>
      <c r="J1498" s="44"/>
      <c r="K1498" s="44"/>
    </row>
    <row r="1499" spans="3:15" s="59" customFormat="1" ht="21" customHeight="1">
      <c r="C1499" s="450" t="s">
        <v>1217</v>
      </c>
      <c r="D1499" s="67"/>
      <c r="E1499" s="67"/>
      <c r="F1499" s="67"/>
      <c r="G1499" s="69"/>
      <c r="H1499" s="589">
        <v>0</v>
      </c>
      <c r="I1499" s="44"/>
      <c r="J1499" s="44"/>
      <c r="K1499" s="44"/>
    </row>
    <row r="1500" spans="3:15" s="59" customFormat="1" ht="21" customHeight="1">
      <c r="C1500" s="288" t="s">
        <v>1218</v>
      </c>
      <c r="D1500" s="76" t="s">
        <v>1219</v>
      </c>
      <c r="E1500" s="77"/>
      <c r="F1500" s="77"/>
      <c r="G1500" s="78"/>
      <c r="H1500" s="585">
        <f>H1499+H1497+H1494</f>
        <v>156590</v>
      </c>
      <c r="I1500" s="369"/>
      <c r="J1500" s="44"/>
      <c r="K1500" s="44"/>
    </row>
    <row r="1501" spans="3:15" s="59" customFormat="1" ht="21" customHeight="1">
      <c r="C1501" s="288" t="s">
        <v>1220</v>
      </c>
      <c r="D1501" s="76" t="s">
        <v>1321</v>
      </c>
      <c r="E1501" s="77"/>
      <c r="F1501" s="78"/>
      <c r="G1501" s="80">
        <v>0.1</v>
      </c>
      <c r="H1501" s="63">
        <f>H1500*G1501</f>
        <v>15659</v>
      </c>
      <c r="I1501" s="369"/>
      <c r="J1501" s="44"/>
      <c r="K1501" s="44"/>
    </row>
    <row r="1502" spans="3:15" s="59" customFormat="1" ht="21" customHeight="1">
      <c r="C1502" s="288" t="s">
        <v>1221</v>
      </c>
      <c r="D1502" s="76" t="s">
        <v>1222</v>
      </c>
      <c r="E1502" s="77"/>
      <c r="F1502" s="77"/>
      <c r="G1502" s="78"/>
      <c r="H1502" s="799">
        <f>SUM(H1500:H1501)</f>
        <v>172249</v>
      </c>
      <c r="I1502" s="369"/>
      <c r="J1502" s="44"/>
      <c r="K1502" s="44"/>
    </row>
    <row r="1503" spans="3:15" ht="21" customHeight="1"/>
    <row r="1504" spans="3:15" s="59" customFormat="1" ht="21" customHeight="1">
      <c r="C1504" s="47" t="s">
        <v>3971</v>
      </c>
      <c r="D1504" s="794" t="s">
        <v>8264</v>
      </c>
      <c r="E1504" s="795"/>
      <c r="F1504" s="795"/>
      <c r="G1504" s="795"/>
      <c r="H1504" s="795"/>
      <c r="I1504" s="50">
        <f>ROUNDDOWN(H1519,-2)</f>
        <v>229900</v>
      </c>
      <c r="J1504" s="50" t="s">
        <v>6451</v>
      </c>
      <c r="K1504" s="50" t="s">
        <v>8092</v>
      </c>
    </row>
    <row r="1505" spans="3:15" s="59" customFormat="1" ht="21" customHeight="1">
      <c r="C1505" s="591" t="s">
        <v>1195</v>
      </c>
      <c r="D1505" s="591" t="s">
        <v>1196</v>
      </c>
      <c r="E1505" s="591" t="s">
        <v>1197</v>
      </c>
      <c r="F1505" s="591" t="s">
        <v>1198</v>
      </c>
      <c r="G1505" s="591" t="s">
        <v>1199</v>
      </c>
      <c r="H1505" s="591" t="s">
        <v>1200</v>
      </c>
      <c r="I1505" s="44"/>
      <c r="J1505" s="44"/>
      <c r="K1505" s="44"/>
    </row>
    <row r="1506" spans="3:15" s="59" customFormat="1" ht="21" customHeight="1">
      <c r="C1506" s="61" t="s">
        <v>1201</v>
      </c>
      <c r="D1506" s="56" t="s">
        <v>1202</v>
      </c>
      <c r="E1506" s="57"/>
      <c r="F1506" s="57"/>
      <c r="G1506" s="57"/>
      <c r="H1506" s="57"/>
      <c r="I1506" s="44"/>
      <c r="J1506" s="44"/>
      <c r="K1506" s="44"/>
      <c r="L1506" s="152" t="s">
        <v>1247</v>
      </c>
    </row>
    <row r="1507" spans="3:15" s="59" customFormat="1" ht="21" customHeight="1">
      <c r="C1507" s="588">
        <v>1</v>
      </c>
      <c r="D1507" s="56" t="s">
        <v>5</v>
      </c>
      <c r="E1507" s="577" t="s">
        <v>6</v>
      </c>
      <c r="F1507" s="62">
        <v>0.13800000000000001</v>
      </c>
      <c r="G1507" s="63">
        <f>VLOOKUP(D1507,upahbahan,3,FALSE)</f>
        <v>100000</v>
      </c>
      <c r="H1507" s="63">
        <f>F1507*G1507</f>
        <v>13800.000000000002</v>
      </c>
      <c r="I1507" s="44"/>
      <c r="J1507" s="44"/>
      <c r="K1507" s="44"/>
      <c r="L1507" s="152" t="s">
        <v>1248</v>
      </c>
      <c r="O1507" s="65">
        <v>0.1</v>
      </c>
    </row>
    <row r="1508" spans="3:15" s="59" customFormat="1" ht="21" customHeight="1">
      <c r="C1508" s="588">
        <v>2</v>
      </c>
      <c r="D1508" s="56" t="s">
        <v>10</v>
      </c>
      <c r="E1508" s="577" t="s">
        <v>6</v>
      </c>
      <c r="F1508" s="62">
        <v>0.23</v>
      </c>
      <c r="G1508" s="63">
        <f>VLOOKUP(D1508,upahbahan,3,FALSE)</f>
        <v>135000</v>
      </c>
      <c r="H1508" s="63">
        <f>F1508*G1508</f>
        <v>31050</v>
      </c>
      <c r="I1508" s="44"/>
      <c r="J1508" s="44"/>
      <c r="K1508" s="44"/>
    </row>
    <row r="1509" spans="3:15" s="59" customFormat="1" ht="21" customHeight="1">
      <c r="C1509" s="588">
        <v>3</v>
      </c>
      <c r="D1509" s="56" t="s">
        <v>18</v>
      </c>
      <c r="E1509" s="577" t="s">
        <v>6</v>
      </c>
      <c r="F1509" s="62">
        <v>2.3E-2</v>
      </c>
      <c r="G1509" s="63">
        <f>VLOOKUP(D1509,upahbahan,3,FALSE)</f>
        <v>150000</v>
      </c>
      <c r="H1509" s="63">
        <f>F1509*G1509</f>
        <v>3450</v>
      </c>
      <c r="I1509" s="44"/>
      <c r="J1509" s="44"/>
      <c r="K1509" s="44"/>
    </row>
    <row r="1510" spans="3:15" s="59" customFormat="1" ht="21" customHeight="1">
      <c r="C1510" s="588">
        <v>4</v>
      </c>
      <c r="D1510" s="56" t="s">
        <v>19</v>
      </c>
      <c r="E1510" s="577" t="s">
        <v>6</v>
      </c>
      <c r="F1510" s="62">
        <v>7.0000000000000001E-3</v>
      </c>
      <c r="G1510" s="63">
        <f>VLOOKUP(D1510,upahbahan,3,FALSE)</f>
        <v>160000</v>
      </c>
      <c r="H1510" s="63">
        <f>F1510*G1510</f>
        <v>1120</v>
      </c>
      <c r="I1510" s="44"/>
      <c r="J1510" s="44"/>
      <c r="K1510" s="44"/>
    </row>
    <row r="1511" spans="3:15" s="59" customFormat="1" ht="21" customHeight="1">
      <c r="C1511" s="450" t="s">
        <v>1208</v>
      </c>
      <c r="D1511" s="67"/>
      <c r="E1511" s="67"/>
      <c r="F1511" s="142"/>
      <c r="G1511" s="153"/>
      <c r="H1511" s="63">
        <f>SUM(H1507:H1510)</f>
        <v>49420</v>
      </c>
      <c r="I1511" s="154"/>
      <c r="J1511" s="154"/>
      <c r="K1511" s="154"/>
    </row>
    <row r="1512" spans="3:15" s="59" customFormat="1" ht="21" customHeight="1">
      <c r="C1512" s="61" t="s">
        <v>1209</v>
      </c>
      <c r="D1512" s="56" t="s">
        <v>1210</v>
      </c>
      <c r="E1512" s="57"/>
      <c r="F1512" s="57"/>
      <c r="G1512" s="57"/>
      <c r="H1512" s="57"/>
      <c r="I1512" s="44"/>
      <c r="J1512" s="44"/>
      <c r="K1512" s="44"/>
    </row>
    <row r="1513" spans="3:15" s="59" customFormat="1" ht="21" customHeight="1">
      <c r="C1513" s="588">
        <v>1</v>
      </c>
      <c r="D1513" s="72" t="s">
        <v>8265</v>
      </c>
      <c r="E1513" s="73" t="s">
        <v>113</v>
      </c>
      <c r="F1513" s="62">
        <v>1.55</v>
      </c>
      <c r="G1513" s="63">
        <f>VLOOKUP(D1513,upahbahan,3,FALSE)</f>
        <v>103000</v>
      </c>
      <c r="H1513" s="63">
        <f>F1513*G1513</f>
        <v>159650</v>
      </c>
      <c r="I1513" s="44"/>
      <c r="J1513" s="44"/>
      <c r="K1513" s="44"/>
    </row>
    <row r="1514" spans="3:15" s="59" customFormat="1" ht="21" customHeight="1">
      <c r="C1514" s="450" t="s">
        <v>1214</v>
      </c>
      <c r="D1514" s="67"/>
      <c r="E1514" s="67"/>
      <c r="F1514" s="67"/>
      <c r="G1514" s="69"/>
      <c r="H1514" s="63">
        <f>SUM(H1513:H1513)</f>
        <v>159650</v>
      </c>
      <c r="I1514" s="44"/>
      <c r="J1514" s="44"/>
      <c r="K1514" s="44"/>
    </row>
    <row r="1515" spans="3:15" s="59" customFormat="1" ht="21" customHeight="1">
      <c r="C1515" s="61" t="s">
        <v>1215</v>
      </c>
      <c r="D1515" s="56" t="s">
        <v>1216</v>
      </c>
      <c r="E1515" s="57"/>
      <c r="F1515" s="57"/>
      <c r="G1515" s="57"/>
      <c r="H1515" s="57"/>
      <c r="I1515" s="44"/>
      <c r="J1515" s="44"/>
      <c r="K1515" s="44"/>
    </row>
    <row r="1516" spans="3:15" s="59" customFormat="1" ht="21" customHeight="1">
      <c r="C1516" s="450" t="s">
        <v>1217</v>
      </c>
      <c r="D1516" s="67"/>
      <c r="E1516" s="67"/>
      <c r="F1516" s="67"/>
      <c r="G1516" s="69"/>
      <c r="H1516" s="589">
        <v>0</v>
      </c>
      <c r="I1516" s="44"/>
      <c r="J1516" s="44"/>
      <c r="K1516" s="44"/>
    </row>
    <row r="1517" spans="3:15" s="59" customFormat="1" ht="21" customHeight="1">
      <c r="C1517" s="288" t="s">
        <v>1218</v>
      </c>
      <c r="D1517" s="76" t="s">
        <v>1219</v>
      </c>
      <c r="E1517" s="77"/>
      <c r="F1517" s="77"/>
      <c r="G1517" s="78"/>
      <c r="H1517" s="585">
        <f>H1516+H1514+H1511</f>
        <v>209070</v>
      </c>
      <c r="I1517" s="369"/>
      <c r="J1517" s="44"/>
      <c r="K1517" s="44"/>
    </row>
    <row r="1518" spans="3:15" s="59" customFormat="1" ht="21" customHeight="1">
      <c r="C1518" s="288" t="s">
        <v>1220</v>
      </c>
      <c r="D1518" s="76" t="s">
        <v>1321</v>
      </c>
      <c r="E1518" s="77"/>
      <c r="F1518" s="78"/>
      <c r="G1518" s="80">
        <v>0.1</v>
      </c>
      <c r="H1518" s="63">
        <f>H1517*G1518</f>
        <v>20907</v>
      </c>
      <c r="I1518" s="369"/>
      <c r="J1518" s="44"/>
      <c r="K1518" s="44"/>
    </row>
    <row r="1519" spans="3:15" s="59" customFormat="1" ht="21" customHeight="1">
      <c r="C1519" s="288" t="s">
        <v>1221</v>
      </c>
      <c r="D1519" s="76" t="s">
        <v>1222</v>
      </c>
      <c r="E1519" s="77"/>
      <c r="F1519" s="77"/>
      <c r="G1519" s="78"/>
      <c r="H1519" s="799">
        <f>SUM(H1517:H1518)</f>
        <v>229977</v>
      </c>
      <c r="I1519" s="369"/>
      <c r="J1519" s="44"/>
      <c r="K1519" s="44"/>
    </row>
    <row r="1520" spans="3:15" ht="21" customHeight="1"/>
    <row r="1521" spans="3:15" s="59" customFormat="1" ht="21" customHeight="1">
      <c r="C1521" s="47" t="s">
        <v>3972</v>
      </c>
      <c r="D1521" s="794" t="s">
        <v>8266</v>
      </c>
      <c r="E1521" s="795"/>
      <c r="F1521" s="795"/>
      <c r="G1521" s="795"/>
      <c r="H1521" s="795"/>
      <c r="I1521" s="50">
        <f>ROUNDDOWN(H1536,-2)</f>
        <v>289100</v>
      </c>
      <c r="J1521" s="50" t="s">
        <v>6451</v>
      </c>
      <c r="K1521" s="50" t="s">
        <v>8092</v>
      </c>
    </row>
    <row r="1522" spans="3:15" s="59" customFormat="1" ht="21" customHeight="1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I1522" s="44"/>
      <c r="J1522" s="44"/>
      <c r="K1522" s="44"/>
    </row>
    <row r="1523" spans="3:15" s="59" customFormat="1" ht="21" customHeight="1">
      <c r="C1523" s="61" t="s">
        <v>1201</v>
      </c>
      <c r="D1523" s="56" t="s">
        <v>1202</v>
      </c>
      <c r="E1523" s="57"/>
      <c r="F1523" s="57"/>
      <c r="G1523" s="57"/>
      <c r="H1523" s="57"/>
      <c r="I1523" s="44"/>
      <c r="J1523" s="44"/>
      <c r="K1523" s="44"/>
      <c r="L1523" s="152" t="s">
        <v>1247</v>
      </c>
    </row>
    <row r="1524" spans="3:15" s="59" customFormat="1" ht="21" customHeight="1">
      <c r="C1524" s="588">
        <v>1</v>
      </c>
      <c r="D1524" s="56" t="s">
        <v>5</v>
      </c>
      <c r="E1524" s="577" t="s">
        <v>6</v>
      </c>
      <c r="F1524" s="62">
        <v>0.17100000000000001</v>
      </c>
      <c r="G1524" s="63">
        <f>VLOOKUP(D1524,upahbahan,3,FALSE)</f>
        <v>100000</v>
      </c>
      <c r="H1524" s="63">
        <f>F1524*G1524</f>
        <v>17100</v>
      </c>
      <c r="I1524" s="44"/>
      <c r="J1524" s="44"/>
      <c r="K1524" s="44"/>
      <c r="L1524" s="152" t="s">
        <v>1248</v>
      </c>
      <c r="O1524" s="65">
        <v>0.1</v>
      </c>
    </row>
    <row r="1525" spans="3:15" s="59" customFormat="1" ht="21" customHeight="1">
      <c r="C1525" s="588">
        <v>2</v>
      </c>
      <c r="D1525" s="56" t="s">
        <v>10</v>
      </c>
      <c r="E1525" s="577" t="s">
        <v>6</v>
      </c>
      <c r="F1525" s="62">
        <v>0.28499999999999998</v>
      </c>
      <c r="G1525" s="63">
        <f>VLOOKUP(D1525,upahbahan,3,FALSE)</f>
        <v>135000</v>
      </c>
      <c r="H1525" s="63">
        <f>F1525*G1525</f>
        <v>38475</v>
      </c>
      <c r="I1525" s="44"/>
      <c r="J1525" s="44"/>
      <c r="K1525" s="44"/>
    </row>
    <row r="1526" spans="3:15" s="59" customFormat="1" ht="21" customHeight="1">
      <c r="C1526" s="588">
        <v>3</v>
      </c>
      <c r="D1526" s="56" t="s">
        <v>18</v>
      </c>
      <c r="E1526" s="577" t="s">
        <v>6</v>
      </c>
      <c r="F1526" s="62">
        <v>2.9000000000000001E-2</v>
      </c>
      <c r="G1526" s="63">
        <f>VLOOKUP(D1526,upahbahan,3,FALSE)</f>
        <v>150000</v>
      </c>
      <c r="H1526" s="63">
        <f>F1526*G1526</f>
        <v>4350</v>
      </c>
      <c r="I1526" s="44"/>
      <c r="J1526" s="44"/>
      <c r="K1526" s="44"/>
    </row>
    <row r="1527" spans="3:15" s="59" customFormat="1" ht="21" customHeight="1">
      <c r="C1527" s="588">
        <v>4</v>
      </c>
      <c r="D1527" s="56" t="s">
        <v>19</v>
      </c>
      <c r="E1527" s="577" t="s">
        <v>6</v>
      </c>
      <c r="F1527" s="62">
        <v>8.9999999999999993E-3</v>
      </c>
      <c r="G1527" s="63">
        <f>VLOOKUP(D1527,upahbahan,3,FALSE)</f>
        <v>160000</v>
      </c>
      <c r="H1527" s="63">
        <f>F1527*G1527</f>
        <v>1440</v>
      </c>
      <c r="I1527" s="44"/>
      <c r="J1527" s="44"/>
      <c r="K1527" s="44"/>
    </row>
    <row r="1528" spans="3:15" s="59" customFormat="1" ht="21" customHeight="1">
      <c r="C1528" s="450" t="s">
        <v>1208</v>
      </c>
      <c r="D1528" s="67"/>
      <c r="E1528" s="67"/>
      <c r="F1528" s="142"/>
      <c r="G1528" s="153"/>
      <c r="H1528" s="63">
        <f>SUM(H1524:H1527)</f>
        <v>61365</v>
      </c>
      <c r="I1528" s="154"/>
      <c r="J1528" s="154"/>
      <c r="K1528" s="154"/>
    </row>
    <row r="1529" spans="3:15" s="59" customFormat="1" ht="21" customHeight="1">
      <c r="C1529" s="61" t="s">
        <v>1209</v>
      </c>
      <c r="D1529" s="56" t="s">
        <v>1210</v>
      </c>
      <c r="E1529" s="57"/>
      <c r="F1529" s="57"/>
      <c r="G1529" s="57"/>
      <c r="H1529" s="57"/>
      <c r="I1529" s="44"/>
      <c r="J1529" s="44"/>
      <c r="K1529" s="44"/>
    </row>
    <row r="1530" spans="3:15" s="59" customFormat="1" ht="21" customHeight="1">
      <c r="C1530" s="588">
        <v>1</v>
      </c>
      <c r="D1530" s="72" t="s">
        <v>8267</v>
      </c>
      <c r="E1530" s="73" t="s">
        <v>113</v>
      </c>
      <c r="F1530" s="62">
        <v>1.55</v>
      </c>
      <c r="G1530" s="63">
        <f>VLOOKUP(D1530,upahbahan,3,FALSE)</f>
        <v>130000</v>
      </c>
      <c r="H1530" s="63">
        <f>F1530*G1530</f>
        <v>201500</v>
      </c>
      <c r="I1530" s="44"/>
      <c r="J1530" s="44"/>
      <c r="K1530" s="44"/>
    </row>
    <row r="1531" spans="3:15" s="59" customFormat="1" ht="21" customHeight="1">
      <c r="C1531" s="450" t="s">
        <v>1214</v>
      </c>
      <c r="D1531" s="67"/>
      <c r="E1531" s="67"/>
      <c r="F1531" s="67"/>
      <c r="G1531" s="69"/>
      <c r="H1531" s="63">
        <f>SUM(H1530:H1530)</f>
        <v>201500</v>
      </c>
      <c r="I1531" s="44"/>
      <c r="J1531" s="44"/>
      <c r="K1531" s="44"/>
    </row>
    <row r="1532" spans="3:15" s="59" customFormat="1" ht="21" customHeight="1">
      <c r="C1532" s="61" t="s">
        <v>1215</v>
      </c>
      <c r="D1532" s="56" t="s">
        <v>1216</v>
      </c>
      <c r="E1532" s="57"/>
      <c r="F1532" s="57"/>
      <c r="G1532" s="57"/>
      <c r="H1532" s="57"/>
      <c r="I1532" s="44"/>
      <c r="J1532" s="44"/>
      <c r="K1532" s="44"/>
    </row>
    <row r="1533" spans="3:15" s="59" customFormat="1" ht="21" customHeight="1">
      <c r="C1533" s="450" t="s">
        <v>1217</v>
      </c>
      <c r="D1533" s="67"/>
      <c r="E1533" s="67"/>
      <c r="F1533" s="67"/>
      <c r="G1533" s="69"/>
      <c r="H1533" s="589">
        <v>0</v>
      </c>
      <c r="I1533" s="44"/>
      <c r="J1533" s="44"/>
      <c r="K1533" s="44"/>
    </row>
    <row r="1534" spans="3:15" s="59" customFormat="1" ht="21" customHeight="1">
      <c r="C1534" s="288" t="s">
        <v>1218</v>
      </c>
      <c r="D1534" s="76" t="s">
        <v>1219</v>
      </c>
      <c r="E1534" s="77"/>
      <c r="F1534" s="77"/>
      <c r="G1534" s="78"/>
      <c r="H1534" s="585">
        <f>H1533+H1531+H1528</f>
        <v>262865</v>
      </c>
      <c r="I1534" s="369"/>
      <c r="J1534" s="44"/>
      <c r="K1534" s="44"/>
    </row>
    <row r="1535" spans="3:15" s="59" customFormat="1" ht="21" customHeight="1">
      <c r="C1535" s="288" t="s">
        <v>1220</v>
      </c>
      <c r="D1535" s="76" t="s">
        <v>1321</v>
      </c>
      <c r="E1535" s="77"/>
      <c r="F1535" s="78"/>
      <c r="G1535" s="80">
        <v>0.1</v>
      </c>
      <c r="H1535" s="63">
        <f>H1534*G1535</f>
        <v>26286.5</v>
      </c>
      <c r="I1535" s="369"/>
      <c r="J1535" s="44"/>
      <c r="K1535" s="44"/>
    </row>
    <row r="1536" spans="3:15" s="59" customFormat="1" ht="21" customHeight="1">
      <c r="C1536" s="288" t="s">
        <v>1221</v>
      </c>
      <c r="D1536" s="76" t="s">
        <v>1222</v>
      </c>
      <c r="E1536" s="77"/>
      <c r="F1536" s="77"/>
      <c r="G1536" s="78"/>
      <c r="H1536" s="799">
        <f>SUM(H1534:H1535)</f>
        <v>289151.5</v>
      </c>
      <c r="I1536" s="369"/>
      <c r="J1536" s="44"/>
      <c r="K1536" s="44"/>
    </row>
    <row r="1537" spans="3:15" ht="21" customHeight="1"/>
    <row r="1538" spans="3:15" s="59" customFormat="1" ht="21" customHeight="1">
      <c r="C1538" s="47" t="s">
        <v>3973</v>
      </c>
      <c r="D1538" s="794" t="s">
        <v>8268</v>
      </c>
      <c r="E1538" s="795"/>
      <c r="F1538" s="795"/>
      <c r="G1538" s="795"/>
      <c r="H1538" s="795"/>
      <c r="I1538" s="50">
        <f>ROUNDDOWN(H1553,-2)</f>
        <v>376800</v>
      </c>
      <c r="J1538" s="50" t="s">
        <v>6451</v>
      </c>
      <c r="K1538" s="50" t="s">
        <v>8092</v>
      </c>
    </row>
    <row r="1539" spans="3:15" s="59" customFormat="1" ht="21" customHeight="1">
      <c r="C1539" s="591" t="s">
        <v>1195</v>
      </c>
      <c r="D1539" s="591" t="s">
        <v>1196</v>
      </c>
      <c r="E1539" s="591" t="s">
        <v>1197</v>
      </c>
      <c r="F1539" s="591" t="s">
        <v>1198</v>
      </c>
      <c r="G1539" s="591" t="s">
        <v>1199</v>
      </c>
      <c r="H1539" s="591" t="s">
        <v>1200</v>
      </c>
      <c r="I1539" s="44"/>
      <c r="J1539" s="44"/>
      <c r="K1539" s="44"/>
    </row>
    <row r="1540" spans="3:15" s="59" customFormat="1" ht="21" customHeight="1">
      <c r="C1540" s="61" t="s">
        <v>1201</v>
      </c>
      <c r="D1540" s="56" t="s">
        <v>1202</v>
      </c>
      <c r="E1540" s="57"/>
      <c r="F1540" s="57"/>
      <c r="G1540" s="57"/>
      <c r="H1540" s="57"/>
      <c r="I1540" s="44"/>
      <c r="J1540" s="44"/>
      <c r="K1540" s="44"/>
      <c r="L1540" s="152" t="s">
        <v>1247</v>
      </c>
    </row>
    <row r="1541" spans="3:15" s="59" customFormat="1" ht="21" customHeight="1">
      <c r="C1541" s="588">
        <v>1</v>
      </c>
      <c r="D1541" s="56" t="s">
        <v>5</v>
      </c>
      <c r="E1541" s="577" t="s">
        <v>6</v>
      </c>
      <c r="F1541" s="62">
        <v>0.23799999999999999</v>
      </c>
      <c r="G1541" s="63">
        <f>VLOOKUP(D1541,upahbahan,3,FALSE)</f>
        <v>100000</v>
      </c>
      <c r="H1541" s="63">
        <f>F1541*G1541</f>
        <v>23800</v>
      </c>
      <c r="I1541" s="44"/>
      <c r="J1541" s="44"/>
      <c r="K1541" s="44"/>
      <c r="L1541" s="152" t="s">
        <v>1248</v>
      </c>
      <c r="O1541" s="65">
        <v>0.1</v>
      </c>
    </row>
    <row r="1542" spans="3:15" s="59" customFormat="1" ht="21" customHeight="1">
      <c r="C1542" s="588">
        <v>2</v>
      </c>
      <c r="D1542" s="56" t="s">
        <v>10</v>
      </c>
      <c r="E1542" s="577" t="s">
        <v>6</v>
      </c>
      <c r="F1542" s="62">
        <v>0.39700000000000002</v>
      </c>
      <c r="G1542" s="63">
        <f>VLOOKUP(D1542,upahbahan,3,FALSE)</f>
        <v>135000</v>
      </c>
      <c r="H1542" s="63">
        <f>F1542*G1542</f>
        <v>53595</v>
      </c>
      <c r="I1542" s="44"/>
      <c r="J1542" s="44"/>
      <c r="K1542" s="44"/>
    </row>
    <row r="1543" spans="3:15" s="59" customFormat="1" ht="21" customHeight="1">
      <c r="C1543" s="588">
        <v>3</v>
      </c>
      <c r="D1543" s="56" t="s">
        <v>18</v>
      </c>
      <c r="E1543" s="577" t="s">
        <v>6</v>
      </c>
      <c r="F1543" s="62">
        <v>0.04</v>
      </c>
      <c r="G1543" s="63">
        <f>VLOOKUP(D1543,upahbahan,3,FALSE)</f>
        <v>150000</v>
      </c>
      <c r="H1543" s="63">
        <f>F1543*G1543</f>
        <v>6000</v>
      </c>
      <c r="I1543" s="44"/>
      <c r="J1543" s="44"/>
      <c r="K1543" s="44"/>
    </row>
    <row r="1544" spans="3:15" s="59" customFormat="1" ht="21" customHeight="1">
      <c r="C1544" s="588">
        <v>4</v>
      </c>
      <c r="D1544" s="56" t="s">
        <v>19</v>
      </c>
      <c r="E1544" s="577" t="s">
        <v>6</v>
      </c>
      <c r="F1544" s="62">
        <v>1.2E-2</v>
      </c>
      <c r="G1544" s="63">
        <f>VLOOKUP(D1544,upahbahan,3,FALSE)</f>
        <v>160000</v>
      </c>
      <c r="H1544" s="63">
        <f>F1544*G1544</f>
        <v>1920</v>
      </c>
      <c r="I1544" s="44"/>
      <c r="J1544" s="44"/>
      <c r="K1544" s="44"/>
    </row>
    <row r="1545" spans="3:15" s="59" customFormat="1" ht="21" customHeight="1">
      <c r="C1545" s="450" t="s">
        <v>1208</v>
      </c>
      <c r="D1545" s="67"/>
      <c r="E1545" s="67"/>
      <c r="F1545" s="142"/>
      <c r="G1545" s="153"/>
      <c r="H1545" s="63">
        <f>SUM(H1541:H1544)</f>
        <v>85315</v>
      </c>
      <c r="I1545" s="154"/>
      <c r="J1545" s="154"/>
      <c r="K1545" s="154"/>
    </row>
    <row r="1546" spans="3:15" s="59" customFormat="1" ht="21" customHeight="1">
      <c r="C1546" s="61" t="s">
        <v>1209</v>
      </c>
      <c r="D1546" s="56" t="s">
        <v>1210</v>
      </c>
      <c r="E1546" s="57"/>
      <c r="F1546" s="57"/>
      <c r="G1546" s="57"/>
      <c r="H1546" s="57"/>
      <c r="I1546" s="44"/>
      <c r="J1546" s="44"/>
      <c r="K1546" s="44"/>
    </row>
    <row r="1547" spans="3:15" s="59" customFormat="1" ht="21" customHeight="1">
      <c r="C1547" s="588">
        <v>1</v>
      </c>
      <c r="D1547" s="72" t="s">
        <v>8269</v>
      </c>
      <c r="E1547" s="73" t="s">
        <v>113</v>
      </c>
      <c r="F1547" s="62">
        <v>1.55</v>
      </c>
      <c r="G1547" s="63">
        <f>VLOOKUP(D1547,upahbahan,3,FALSE)</f>
        <v>166000</v>
      </c>
      <c r="H1547" s="63">
        <f>F1547*G1547</f>
        <v>257300</v>
      </c>
      <c r="I1547" s="44"/>
      <c r="J1547" s="44"/>
      <c r="K1547" s="44"/>
    </row>
    <row r="1548" spans="3:15" s="59" customFormat="1" ht="21" customHeight="1">
      <c r="C1548" s="450" t="s">
        <v>1214</v>
      </c>
      <c r="D1548" s="67"/>
      <c r="E1548" s="67"/>
      <c r="F1548" s="67"/>
      <c r="G1548" s="69"/>
      <c r="H1548" s="63">
        <f>SUM(H1547:H1547)</f>
        <v>257300</v>
      </c>
      <c r="I1548" s="44"/>
      <c r="J1548" s="44"/>
      <c r="K1548" s="44"/>
    </row>
    <row r="1549" spans="3:15" s="59" customFormat="1" ht="21" customHeight="1">
      <c r="C1549" s="61" t="s">
        <v>1215</v>
      </c>
      <c r="D1549" s="56" t="s">
        <v>1216</v>
      </c>
      <c r="E1549" s="57"/>
      <c r="F1549" s="57"/>
      <c r="G1549" s="57"/>
      <c r="H1549" s="57"/>
      <c r="I1549" s="44"/>
      <c r="J1549" s="44"/>
      <c r="K1549" s="44"/>
    </row>
    <row r="1550" spans="3:15" s="59" customFormat="1" ht="21" customHeight="1">
      <c r="C1550" s="450" t="s">
        <v>1217</v>
      </c>
      <c r="D1550" s="67"/>
      <c r="E1550" s="67"/>
      <c r="F1550" s="67"/>
      <c r="G1550" s="69"/>
      <c r="H1550" s="589">
        <v>0</v>
      </c>
      <c r="I1550" s="44"/>
      <c r="J1550" s="44"/>
      <c r="K1550" s="44"/>
    </row>
    <row r="1551" spans="3:15" s="59" customFormat="1" ht="21" customHeight="1">
      <c r="C1551" s="288" t="s">
        <v>1218</v>
      </c>
      <c r="D1551" s="76" t="s">
        <v>1219</v>
      </c>
      <c r="E1551" s="77"/>
      <c r="F1551" s="77"/>
      <c r="G1551" s="78"/>
      <c r="H1551" s="585">
        <f>H1550+H1548+H1545</f>
        <v>342615</v>
      </c>
      <c r="I1551" s="369"/>
      <c r="J1551" s="44"/>
      <c r="K1551" s="44"/>
    </row>
    <row r="1552" spans="3:15" s="59" customFormat="1" ht="21" customHeight="1">
      <c r="C1552" s="288" t="s">
        <v>1220</v>
      </c>
      <c r="D1552" s="76" t="s">
        <v>1321</v>
      </c>
      <c r="E1552" s="77"/>
      <c r="F1552" s="78"/>
      <c r="G1552" s="80">
        <v>0.1</v>
      </c>
      <c r="H1552" s="63">
        <f>H1551*G1552</f>
        <v>34261.5</v>
      </c>
      <c r="I1552" s="369"/>
      <c r="J1552" s="44"/>
      <c r="K1552" s="44"/>
    </row>
    <row r="1553" spans="3:15" s="59" customFormat="1" ht="21" customHeight="1">
      <c r="C1553" s="288" t="s">
        <v>1221</v>
      </c>
      <c r="D1553" s="76" t="s">
        <v>1222</v>
      </c>
      <c r="E1553" s="77"/>
      <c r="F1553" s="77"/>
      <c r="G1553" s="78"/>
      <c r="H1553" s="799">
        <f>SUM(H1551:H1552)</f>
        <v>376876.5</v>
      </c>
      <c r="I1553" s="369"/>
      <c r="J1553" s="44"/>
      <c r="K1553" s="44"/>
    </row>
    <row r="1554" spans="3:15" ht="21" customHeight="1"/>
    <row r="1555" spans="3:15" s="59" customFormat="1" ht="21" customHeight="1">
      <c r="C1555" s="47" t="s">
        <v>3974</v>
      </c>
      <c r="D1555" s="794" t="s">
        <v>8270</v>
      </c>
      <c r="E1555" s="795"/>
      <c r="F1555" s="795"/>
      <c r="G1555" s="795"/>
      <c r="H1555" s="795"/>
      <c r="I1555" s="50">
        <f>ROUNDDOWN(H1570,-2)</f>
        <v>529900</v>
      </c>
      <c r="J1555" s="50" t="s">
        <v>6451</v>
      </c>
      <c r="K1555" s="50" t="s">
        <v>8092</v>
      </c>
    </row>
    <row r="1556" spans="3:15" s="59" customFormat="1" ht="21" customHeight="1">
      <c r="C1556" s="591" t="s">
        <v>1195</v>
      </c>
      <c r="D1556" s="591" t="s">
        <v>1196</v>
      </c>
      <c r="E1556" s="591" t="s">
        <v>1197</v>
      </c>
      <c r="F1556" s="591" t="s">
        <v>1198</v>
      </c>
      <c r="G1556" s="591" t="s">
        <v>1199</v>
      </c>
      <c r="H1556" s="591" t="s">
        <v>1200</v>
      </c>
      <c r="I1556" s="44"/>
      <c r="J1556" s="44"/>
      <c r="K1556" s="44"/>
    </row>
    <row r="1557" spans="3:15" s="59" customFormat="1" ht="21" customHeight="1">
      <c r="C1557" s="61" t="s">
        <v>1201</v>
      </c>
      <c r="D1557" s="56" t="s">
        <v>1202</v>
      </c>
      <c r="E1557" s="57"/>
      <c r="F1557" s="57"/>
      <c r="G1557" s="57"/>
      <c r="H1557" s="57"/>
      <c r="I1557" s="44"/>
      <c r="J1557" s="44"/>
      <c r="K1557" s="44"/>
      <c r="L1557" s="152" t="s">
        <v>1247</v>
      </c>
    </row>
    <row r="1558" spans="3:15" s="59" customFormat="1" ht="21" customHeight="1">
      <c r="C1558" s="588">
        <v>1</v>
      </c>
      <c r="D1558" s="56" t="s">
        <v>5</v>
      </c>
      <c r="E1558" s="577" t="s">
        <v>6</v>
      </c>
      <c r="F1558" s="62">
        <v>0.317</v>
      </c>
      <c r="G1558" s="63">
        <f>VLOOKUP(D1558,upahbahan,3,FALSE)</f>
        <v>100000</v>
      </c>
      <c r="H1558" s="63">
        <f>F1558*G1558</f>
        <v>31700</v>
      </c>
      <c r="I1558" s="44"/>
      <c r="J1558" s="44"/>
      <c r="K1558" s="44"/>
      <c r="L1558" s="152" t="s">
        <v>1248</v>
      </c>
      <c r="O1558" s="65">
        <v>0.1</v>
      </c>
    </row>
    <row r="1559" spans="3:15" s="59" customFormat="1" ht="21" customHeight="1">
      <c r="C1559" s="588">
        <v>2</v>
      </c>
      <c r="D1559" s="56" t="s">
        <v>10</v>
      </c>
      <c r="E1559" s="577" t="s">
        <v>6</v>
      </c>
      <c r="F1559" s="62">
        <v>0.52900000000000003</v>
      </c>
      <c r="G1559" s="63">
        <f>VLOOKUP(D1559,upahbahan,3,FALSE)</f>
        <v>135000</v>
      </c>
      <c r="H1559" s="63">
        <f>F1559*G1559</f>
        <v>71415</v>
      </c>
      <c r="I1559" s="44"/>
      <c r="J1559" s="44"/>
      <c r="K1559" s="44"/>
    </row>
    <row r="1560" spans="3:15" s="59" customFormat="1" ht="21" customHeight="1">
      <c r="C1560" s="588">
        <v>3</v>
      </c>
      <c r="D1560" s="56" t="s">
        <v>18</v>
      </c>
      <c r="E1560" s="577" t="s">
        <v>6</v>
      </c>
      <c r="F1560" s="62">
        <v>5.2999999999999999E-2</v>
      </c>
      <c r="G1560" s="63">
        <f>VLOOKUP(D1560,upahbahan,3,FALSE)</f>
        <v>150000</v>
      </c>
      <c r="H1560" s="63">
        <f>F1560*G1560</f>
        <v>7950</v>
      </c>
      <c r="I1560" s="44"/>
      <c r="J1560" s="44"/>
      <c r="K1560" s="44"/>
    </row>
    <row r="1561" spans="3:15" s="59" customFormat="1" ht="21" customHeight="1">
      <c r="C1561" s="588">
        <v>4</v>
      </c>
      <c r="D1561" s="56" t="s">
        <v>19</v>
      </c>
      <c r="E1561" s="577" t="s">
        <v>6</v>
      </c>
      <c r="F1561" s="62">
        <v>1.6E-2</v>
      </c>
      <c r="G1561" s="63">
        <f>VLOOKUP(D1561,upahbahan,3,FALSE)</f>
        <v>160000</v>
      </c>
      <c r="H1561" s="63">
        <f>F1561*G1561</f>
        <v>2560</v>
      </c>
      <c r="I1561" s="44"/>
      <c r="J1561" s="44"/>
      <c r="K1561" s="44"/>
    </row>
    <row r="1562" spans="3:15" s="59" customFormat="1" ht="21" customHeight="1">
      <c r="C1562" s="450" t="s">
        <v>1208</v>
      </c>
      <c r="D1562" s="67"/>
      <c r="E1562" s="67"/>
      <c r="F1562" s="142"/>
      <c r="G1562" s="153"/>
      <c r="H1562" s="63">
        <f>SUM(H1558:H1561)</f>
        <v>113625</v>
      </c>
      <c r="I1562" s="154"/>
      <c r="J1562" s="154"/>
      <c r="K1562" s="154"/>
    </row>
    <row r="1563" spans="3:15" s="59" customFormat="1" ht="21" customHeight="1">
      <c r="C1563" s="61" t="s">
        <v>1209</v>
      </c>
      <c r="D1563" s="56" t="s">
        <v>1210</v>
      </c>
      <c r="E1563" s="57"/>
      <c r="F1563" s="57"/>
      <c r="G1563" s="57"/>
      <c r="H1563" s="57"/>
      <c r="I1563" s="44"/>
      <c r="J1563" s="44"/>
      <c r="K1563" s="44"/>
    </row>
    <row r="1564" spans="3:15" s="59" customFormat="1" ht="21" customHeight="1">
      <c r="C1564" s="588">
        <v>1</v>
      </c>
      <c r="D1564" s="72" t="s">
        <v>8271</v>
      </c>
      <c r="E1564" s="73" t="s">
        <v>113</v>
      </c>
      <c r="F1564" s="62">
        <v>1.55</v>
      </c>
      <c r="G1564" s="63">
        <f>VLOOKUP(D1564,upahbahan,3,FALSE)</f>
        <v>237500</v>
      </c>
      <c r="H1564" s="63">
        <f>F1564*G1564</f>
        <v>368125</v>
      </c>
      <c r="I1564" s="44"/>
      <c r="J1564" s="44"/>
      <c r="K1564" s="44"/>
    </row>
    <row r="1565" spans="3:15" s="59" customFormat="1" ht="21" customHeight="1">
      <c r="C1565" s="450" t="s">
        <v>1214</v>
      </c>
      <c r="D1565" s="67"/>
      <c r="E1565" s="67"/>
      <c r="F1565" s="67"/>
      <c r="G1565" s="69"/>
      <c r="H1565" s="63">
        <f>SUM(H1564:H1564)</f>
        <v>368125</v>
      </c>
      <c r="I1565" s="44"/>
      <c r="J1565" s="44"/>
      <c r="K1565" s="44"/>
    </row>
    <row r="1566" spans="3:15" s="59" customFormat="1" ht="21" customHeight="1">
      <c r="C1566" s="61" t="s">
        <v>1215</v>
      </c>
      <c r="D1566" s="56" t="s">
        <v>1216</v>
      </c>
      <c r="E1566" s="57"/>
      <c r="F1566" s="57"/>
      <c r="G1566" s="57"/>
      <c r="H1566" s="57"/>
      <c r="I1566" s="44"/>
      <c r="J1566" s="44"/>
      <c r="K1566" s="44"/>
    </row>
    <row r="1567" spans="3:15" s="59" customFormat="1" ht="21" customHeight="1">
      <c r="C1567" s="450" t="s">
        <v>1217</v>
      </c>
      <c r="D1567" s="67"/>
      <c r="E1567" s="67"/>
      <c r="F1567" s="67"/>
      <c r="G1567" s="69"/>
      <c r="H1567" s="589">
        <v>0</v>
      </c>
      <c r="I1567" s="44"/>
      <c r="J1567" s="44"/>
      <c r="K1567" s="44"/>
    </row>
    <row r="1568" spans="3:15" s="59" customFormat="1" ht="21" customHeight="1">
      <c r="C1568" s="288" t="s">
        <v>1218</v>
      </c>
      <c r="D1568" s="76" t="s">
        <v>1219</v>
      </c>
      <c r="E1568" s="77"/>
      <c r="F1568" s="77"/>
      <c r="G1568" s="78"/>
      <c r="H1568" s="585">
        <f>H1567+H1565+H1562</f>
        <v>481750</v>
      </c>
      <c r="I1568" s="369"/>
      <c r="J1568" s="44"/>
      <c r="K1568" s="44"/>
    </row>
    <row r="1569" spans="3:15" s="59" customFormat="1" ht="21" customHeight="1">
      <c r="C1569" s="288" t="s">
        <v>1220</v>
      </c>
      <c r="D1569" s="76" t="s">
        <v>1321</v>
      </c>
      <c r="E1569" s="77"/>
      <c r="F1569" s="78"/>
      <c r="G1569" s="80">
        <v>0.1</v>
      </c>
      <c r="H1569" s="63">
        <f>H1568*G1569</f>
        <v>48175</v>
      </c>
      <c r="I1569" s="369"/>
      <c r="J1569" s="44"/>
      <c r="K1569" s="44"/>
    </row>
    <row r="1570" spans="3:15" s="59" customFormat="1" ht="21" customHeight="1">
      <c r="C1570" s="288" t="s">
        <v>1221</v>
      </c>
      <c r="D1570" s="76" t="s">
        <v>1222</v>
      </c>
      <c r="E1570" s="77"/>
      <c r="F1570" s="77"/>
      <c r="G1570" s="78"/>
      <c r="H1570" s="799">
        <f>SUM(H1568:H1569)</f>
        <v>529925</v>
      </c>
      <c r="I1570" s="369"/>
      <c r="J1570" s="44"/>
      <c r="K1570" s="44"/>
    </row>
    <row r="1571" spans="3:15" ht="21" customHeight="1"/>
    <row r="1572" spans="3:15" s="59" customFormat="1" ht="21" customHeight="1">
      <c r="C1572" s="47" t="s">
        <v>3975</v>
      </c>
      <c r="D1572" s="794" t="s">
        <v>8272</v>
      </c>
      <c r="E1572" s="795"/>
      <c r="F1572" s="795"/>
      <c r="G1572" s="795"/>
      <c r="H1572" s="795"/>
      <c r="I1572" s="50">
        <f>ROUNDDOWN(H1587,-2)</f>
        <v>696800</v>
      </c>
      <c r="J1572" s="50" t="s">
        <v>6451</v>
      </c>
      <c r="K1572" s="50" t="s">
        <v>8092</v>
      </c>
    </row>
    <row r="1573" spans="3:15" s="59" customFormat="1" ht="21" customHeight="1">
      <c r="C1573" s="591" t="s">
        <v>1195</v>
      </c>
      <c r="D1573" s="591" t="s">
        <v>1196</v>
      </c>
      <c r="E1573" s="591" t="s">
        <v>1197</v>
      </c>
      <c r="F1573" s="591" t="s">
        <v>1198</v>
      </c>
      <c r="G1573" s="591" t="s">
        <v>1199</v>
      </c>
      <c r="H1573" s="591" t="s">
        <v>1200</v>
      </c>
      <c r="I1573" s="44"/>
      <c r="J1573" s="44"/>
      <c r="K1573" s="44"/>
    </row>
    <row r="1574" spans="3:15" s="59" customFormat="1" ht="21" customHeight="1">
      <c r="C1574" s="61" t="s">
        <v>1201</v>
      </c>
      <c r="D1574" s="56" t="s">
        <v>1202</v>
      </c>
      <c r="E1574" s="57"/>
      <c r="F1574" s="57"/>
      <c r="G1574" s="57"/>
      <c r="H1574" s="57"/>
      <c r="I1574" s="44"/>
      <c r="J1574" s="44"/>
      <c r="K1574" s="44"/>
      <c r="L1574" s="152" t="s">
        <v>1247</v>
      </c>
    </row>
    <row r="1575" spans="3:15" s="59" customFormat="1" ht="21" customHeight="1">
      <c r="C1575" s="588">
        <v>1</v>
      </c>
      <c r="D1575" s="56" t="s">
        <v>5</v>
      </c>
      <c r="E1575" s="577" t="s">
        <v>6</v>
      </c>
      <c r="F1575" s="62">
        <v>0.39400000000000002</v>
      </c>
      <c r="G1575" s="63">
        <f>VLOOKUP(D1575,upahbahan,3,FALSE)</f>
        <v>100000</v>
      </c>
      <c r="H1575" s="63">
        <f>F1575*G1575</f>
        <v>39400</v>
      </c>
      <c r="I1575" s="44"/>
      <c r="J1575" s="44"/>
      <c r="K1575" s="44"/>
      <c r="L1575" s="152" t="s">
        <v>1248</v>
      </c>
      <c r="O1575" s="65">
        <v>0.1</v>
      </c>
    </row>
    <row r="1576" spans="3:15" s="59" customFormat="1" ht="21" customHeight="1">
      <c r="C1576" s="588">
        <v>2</v>
      </c>
      <c r="D1576" s="56" t="s">
        <v>10</v>
      </c>
      <c r="E1576" s="577" t="s">
        <v>6</v>
      </c>
      <c r="F1576" s="62">
        <v>0.65800000000000003</v>
      </c>
      <c r="G1576" s="63">
        <f>VLOOKUP(D1576,upahbahan,3,FALSE)</f>
        <v>135000</v>
      </c>
      <c r="H1576" s="63">
        <f>F1576*G1576</f>
        <v>88830</v>
      </c>
      <c r="I1576" s="44"/>
      <c r="J1576" s="44"/>
      <c r="K1576" s="44"/>
    </row>
    <row r="1577" spans="3:15" s="59" customFormat="1" ht="21" customHeight="1">
      <c r="C1577" s="588">
        <v>3</v>
      </c>
      <c r="D1577" s="56" t="s">
        <v>18</v>
      </c>
      <c r="E1577" s="577" t="s">
        <v>6</v>
      </c>
      <c r="F1577" s="62">
        <v>6.6000000000000003E-2</v>
      </c>
      <c r="G1577" s="63">
        <f>VLOOKUP(D1577,upahbahan,3,FALSE)</f>
        <v>150000</v>
      </c>
      <c r="H1577" s="63">
        <f>F1577*G1577</f>
        <v>9900</v>
      </c>
      <c r="I1577" s="44"/>
      <c r="J1577" s="44"/>
      <c r="K1577" s="44"/>
    </row>
    <row r="1578" spans="3:15" s="59" customFormat="1" ht="21" customHeight="1">
      <c r="C1578" s="588">
        <v>4</v>
      </c>
      <c r="D1578" s="56" t="s">
        <v>19</v>
      </c>
      <c r="E1578" s="577" t="s">
        <v>6</v>
      </c>
      <c r="F1578" s="62">
        <v>0.02</v>
      </c>
      <c r="G1578" s="63">
        <f>VLOOKUP(D1578,upahbahan,3,FALSE)</f>
        <v>160000</v>
      </c>
      <c r="H1578" s="63">
        <f>F1578*G1578</f>
        <v>3200</v>
      </c>
      <c r="I1578" s="44"/>
      <c r="J1578" s="44"/>
      <c r="K1578" s="44"/>
    </row>
    <row r="1579" spans="3:15" s="59" customFormat="1" ht="21" customHeight="1">
      <c r="C1579" s="450" t="s">
        <v>1208</v>
      </c>
      <c r="D1579" s="67"/>
      <c r="E1579" s="67"/>
      <c r="F1579" s="142"/>
      <c r="G1579" s="153"/>
      <c r="H1579" s="63">
        <f>SUM(H1575:H1578)</f>
        <v>141330</v>
      </c>
      <c r="I1579" s="154"/>
      <c r="J1579" s="154"/>
      <c r="K1579" s="154"/>
    </row>
    <row r="1580" spans="3:15" s="59" customFormat="1" ht="21" customHeight="1">
      <c r="C1580" s="61" t="s">
        <v>1209</v>
      </c>
      <c r="D1580" s="56" t="s">
        <v>1210</v>
      </c>
      <c r="E1580" s="57"/>
      <c r="F1580" s="57"/>
      <c r="G1580" s="57"/>
      <c r="H1580" s="57"/>
      <c r="I1580" s="44"/>
      <c r="J1580" s="44"/>
      <c r="K1580" s="44"/>
    </row>
    <row r="1581" spans="3:15" s="59" customFormat="1" ht="21" customHeight="1">
      <c r="C1581" s="588">
        <v>1</v>
      </c>
      <c r="D1581" s="72" t="s">
        <v>8273</v>
      </c>
      <c r="E1581" s="73" t="s">
        <v>113</v>
      </c>
      <c r="F1581" s="62">
        <v>1.55</v>
      </c>
      <c r="G1581" s="63">
        <f>VLOOKUP(D1581,upahbahan,3,FALSE)</f>
        <v>317500</v>
      </c>
      <c r="H1581" s="63">
        <f>F1581*G1581</f>
        <v>492125</v>
      </c>
      <c r="I1581" s="44"/>
      <c r="J1581" s="44"/>
      <c r="K1581" s="44"/>
    </row>
    <row r="1582" spans="3:15" s="59" customFormat="1" ht="21" customHeight="1">
      <c r="C1582" s="450" t="s">
        <v>1214</v>
      </c>
      <c r="D1582" s="67"/>
      <c r="E1582" s="67"/>
      <c r="F1582" s="67"/>
      <c r="G1582" s="69"/>
      <c r="H1582" s="63">
        <f>SUM(H1581:H1581)</f>
        <v>492125</v>
      </c>
      <c r="I1582" s="44"/>
      <c r="J1582" s="44"/>
      <c r="K1582" s="44"/>
    </row>
    <row r="1583" spans="3:15" s="59" customFormat="1" ht="21" customHeight="1">
      <c r="C1583" s="61" t="s">
        <v>1215</v>
      </c>
      <c r="D1583" s="56" t="s">
        <v>1216</v>
      </c>
      <c r="E1583" s="57"/>
      <c r="F1583" s="57"/>
      <c r="G1583" s="57"/>
      <c r="H1583" s="57"/>
      <c r="I1583" s="44"/>
      <c r="J1583" s="44"/>
      <c r="K1583" s="44"/>
    </row>
    <row r="1584" spans="3:15" s="59" customFormat="1" ht="21" customHeight="1">
      <c r="C1584" s="450" t="s">
        <v>1217</v>
      </c>
      <c r="D1584" s="67"/>
      <c r="E1584" s="67"/>
      <c r="F1584" s="67"/>
      <c r="G1584" s="69"/>
      <c r="H1584" s="589">
        <v>0</v>
      </c>
      <c r="I1584" s="44"/>
      <c r="J1584" s="44"/>
      <c r="K1584" s="44"/>
    </row>
    <row r="1585" spans="3:15" s="59" customFormat="1" ht="21" customHeight="1">
      <c r="C1585" s="288" t="s">
        <v>1218</v>
      </c>
      <c r="D1585" s="76" t="s">
        <v>1219</v>
      </c>
      <c r="E1585" s="77"/>
      <c r="F1585" s="77"/>
      <c r="G1585" s="78"/>
      <c r="H1585" s="585">
        <f>H1584+H1582+H1579</f>
        <v>633455</v>
      </c>
      <c r="I1585" s="369"/>
      <c r="J1585" s="44"/>
      <c r="K1585" s="44"/>
    </row>
    <row r="1586" spans="3:15" s="59" customFormat="1" ht="21" customHeight="1">
      <c r="C1586" s="288" t="s">
        <v>1220</v>
      </c>
      <c r="D1586" s="76" t="s">
        <v>1321</v>
      </c>
      <c r="E1586" s="77"/>
      <c r="F1586" s="78"/>
      <c r="G1586" s="80">
        <v>0.1</v>
      </c>
      <c r="H1586" s="63">
        <f>H1585*G1586</f>
        <v>63345.5</v>
      </c>
      <c r="I1586" s="369"/>
      <c r="J1586" s="44"/>
      <c r="K1586" s="44"/>
    </row>
    <row r="1587" spans="3:15" s="59" customFormat="1" ht="21" customHeight="1">
      <c r="C1587" s="288" t="s">
        <v>1221</v>
      </c>
      <c r="D1587" s="76" t="s">
        <v>1222</v>
      </c>
      <c r="E1587" s="77"/>
      <c r="F1587" s="77"/>
      <c r="G1587" s="78"/>
      <c r="H1587" s="799">
        <f>SUM(H1585:H1586)</f>
        <v>696800.5</v>
      </c>
      <c r="I1587" s="369"/>
      <c r="J1587" s="44"/>
      <c r="K1587" s="44"/>
    </row>
    <row r="1588" spans="3:15" ht="21" customHeight="1"/>
    <row r="1589" spans="3:15" s="59" customFormat="1" ht="21" customHeight="1">
      <c r="C1589" s="47" t="s">
        <v>3976</v>
      </c>
      <c r="D1589" s="794" t="s">
        <v>8274</v>
      </c>
      <c r="E1589" s="795"/>
      <c r="F1589" s="795"/>
      <c r="G1589" s="795"/>
      <c r="H1589" s="795"/>
      <c r="I1589" s="50">
        <f>ROUNDDOWN(H1604,-2)</f>
        <v>829300</v>
      </c>
      <c r="J1589" s="50" t="s">
        <v>6451</v>
      </c>
      <c r="K1589" s="50" t="s">
        <v>8092</v>
      </c>
    </row>
    <row r="1590" spans="3:15" s="59" customFormat="1" ht="21" customHeight="1">
      <c r="C1590" s="591" t="s">
        <v>1195</v>
      </c>
      <c r="D1590" s="591" t="s">
        <v>1196</v>
      </c>
      <c r="E1590" s="591" t="s">
        <v>1197</v>
      </c>
      <c r="F1590" s="591" t="s">
        <v>1198</v>
      </c>
      <c r="G1590" s="591" t="s">
        <v>1199</v>
      </c>
      <c r="H1590" s="591" t="s">
        <v>1200</v>
      </c>
      <c r="I1590" s="44"/>
      <c r="J1590" s="44"/>
      <c r="K1590" s="44"/>
    </row>
    <row r="1591" spans="3:15" s="59" customFormat="1" ht="21" customHeight="1">
      <c r="C1591" s="61" t="s">
        <v>1201</v>
      </c>
      <c r="D1591" s="56" t="s">
        <v>1202</v>
      </c>
      <c r="E1591" s="57"/>
      <c r="F1591" s="57"/>
      <c r="G1591" s="57"/>
      <c r="H1591" s="57"/>
      <c r="I1591" s="44"/>
      <c r="J1591" s="44"/>
      <c r="K1591" s="44"/>
      <c r="L1591" s="152" t="s">
        <v>1247</v>
      </c>
    </row>
    <row r="1592" spans="3:15" s="59" customFormat="1" ht="21" customHeight="1">
      <c r="C1592" s="588">
        <v>1</v>
      </c>
      <c r="D1592" s="56" t="s">
        <v>5</v>
      </c>
      <c r="E1592" s="577" t="s">
        <v>6</v>
      </c>
      <c r="F1592" s="62">
        <v>0.47299999999999998</v>
      </c>
      <c r="G1592" s="63">
        <f>VLOOKUP(D1592,upahbahan,3,FALSE)</f>
        <v>100000</v>
      </c>
      <c r="H1592" s="63">
        <f>F1592*G1592</f>
        <v>47300</v>
      </c>
      <c r="I1592" s="44"/>
      <c r="J1592" s="44"/>
      <c r="K1592" s="44"/>
      <c r="L1592" s="152" t="s">
        <v>1248</v>
      </c>
      <c r="O1592" s="65">
        <v>0.1</v>
      </c>
    </row>
    <row r="1593" spans="3:15" s="59" customFormat="1" ht="21" customHeight="1">
      <c r="C1593" s="588">
        <v>2</v>
      </c>
      <c r="D1593" s="56" t="s">
        <v>10</v>
      </c>
      <c r="E1593" s="577" t="s">
        <v>6</v>
      </c>
      <c r="F1593" s="62">
        <v>0.79</v>
      </c>
      <c r="G1593" s="63">
        <f>VLOOKUP(D1593,upahbahan,3,FALSE)</f>
        <v>135000</v>
      </c>
      <c r="H1593" s="63">
        <f>F1593*G1593</f>
        <v>106650</v>
      </c>
      <c r="I1593" s="44"/>
      <c r="J1593" s="44"/>
      <c r="K1593" s="44"/>
    </row>
    <row r="1594" spans="3:15" s="59" customFormat="1" ht="21" customHeight="1">
      <c r="C1594" s="588">
        <v>3</v>
      </c>
      <c r="D1594" s="56" t="s">
        <v>18</v>
      </c>
      <c r="E1594" s="577" t="s">
        <v>6</v>
      </c>
      <c r="F1594" s="62">
        <v>7.9000000000000001E-2</v>
      </c>
      <c r="G1594" s="63">
        <f>VLOOKUP(D1594,upahbahan,3,FALSE)</f>
        <v>150000</v>
      </c>
      <c r="H1594" s="63">
        <f>F1594*G1594</f>
        <v>11850</v>
      </c>
      <c r="I1594" s="44"/>
      <c r="J1594" s="44"/>
      <c r="K1594" s="44"/>
    </row>
    <row r="1595" spans="3:15" s="59" customFormat="1" ht="21" customHeight="1">
      <c r="C1595" s="588">
        <v>4</v>
      </c>
      <c r="D1595" s="56" t="s">
        <v>19</v>
      </c>
      <c r="E1595" s="577" t="s">
        <v>6</v>
      </c>
      <c r="F1595" s="62">
        <v>2.4E-2</v>
      </c>
      <c r="G1595" s="63">
        <f>VLOOKUP(D1595,upahbahan,3,FALSE)</f>
        <v>160000</v>
      </c>
      <c r="H1595" s="63">
        <f>F1595*G1595</f>
        <v>3840</v>
      </c>
      <c r="I1595" s="44"/>
      <c r="J1595" s="44"/>
      <c r="K1595" s="44"/>
    </row>
    <row r="1596" spans="3:15" s="59" customFormat="1" ht="21" customHeight="1">
      <c r="C1596" s="450" t="s">
        <v>1208</v>
      </c>
      <c r="D1596" s="67"/>
      <c r="E1596" s="67"/>
      <c r="F1596" s="142"/>
      <c r="G1596" s="153"/>
      <c r="H1596" s="63">
        <f>SUM(H1592:H1595)</f>
        <v>169640</v>
      </c>
      <c r="I1596" s="154"/>
      <c r="J1596" s="154"/>
      <c r="K1596" s="154"/>
    </row>
    <row r="1597" spans="3:15" s="59" customFormat="1" ht="21" customHeight="1">
      <c r="C1597" s="61" t="s">
        <v>1209</v>
      </c>
      <c r="D1597" s="56" t="s">
        <v>1210</v>
      </c>
      <c r="E1597" s="57"/>
      <c r="F1597" s="57"/>
      <c r="G1597" s="57"/>
      <c r="H1597" s="57"/>
      <c r="I1597" s="44"/>
      <c r="J1597" s="44"/>
      <c r="K1597" s="44"/>
    </row>
    <row r="1598" spans="3:15" s="59" customFormat="1" ht="21" customHeight="1">
      <c r="C1598" s="588">
        <v>1</v>
      </c>
      <c r="D1598" s="72" t="s">
        <v>8275</v>
      </c>
      <c r="E1598" s="73" t="s">
        <v>113</v>
      </c>
      <c r="F1598" s="62">
        <v>1.55</v>
      </c>
      <c r="G1598" s="63">
        <f>VLOOKUP(D1598,upahbahan,3,FALSE)</f>
        <v>377000</v>
      </c>
      <c r="H1598" s="63">
        <f>F1598*G1598</f>
        <v>584350</v>
      </c>
      <c r="I1598" s="44"/>
      <c r="J1598" s="44"/>
      <c r="K1598" s="44"/>
    </row>
    <row r="1599" spans="3:15" s="59" customFormat="1" ht="21" customHeight="1">
      <c r="C1599" s="450" t="s">
        <v>1214</v>
      </c>
      <c r="D1599" s="67"/>
      <c r="E1599" s="67"/>
      <c r="F1599" s="67"/>
      <c r="G1599" s="69"/>
      <c r="H1599" s="63">
        <f>SUM(H1598:H1598)</f>
        <v>584350</v>
      </c>
      <c r="I1599" s="44"/>
      <c r="J1599" s="44"/>
      <c r="K1599" s="44"/>
    </row>
    <row r="1600" spans="3:15" s="59" customFormat="1" ht="21" customHeight="1">
      <c r="C1600" s="61" t="s">
        <v>1215</v>
      </c>
      <c r="D1600" s="56" t="s">
        <v>1216</v>
      </c>
      <c r="E1600" s="57"/>
      <c r="F1600" s="57"/>
      <c r="G1600" s="57"/>
      <c r="H1600" s="57"/>
      <c r="I1600" s="44"/>
      <c r="J1600" s="44"/>
      <c r="K1600" s="44"/>
    </row>
    <row r="1601" spans="3:15" s="59" customFormat="1" ht="21" customHeight="1">
      <c r="C1601" s="450" t="s">
        <v>1217</v>
      </c>
      <c r="D1601" s="67"/>
      <c r="E1601" s="67"/>
      <c r="F1601" s="67"/>
      <c r="G1601" s="69"/>
      <c r="H1601" s="589">
        <v>0</v>
      </c>
      <c r="I1601" s="44"/>
      <c r="J1601" s="44"/>
      <c r="K1601" s="44"/>
    </row>
    <row r="1602" spans="3:15" s="59" customFormat="1" ht="21" customHeight="1">
      <c r="C1602" s="288" t="s">
        <v>1218</v>
      </c>
      <c r="D1602" s="76" t="s">
        <v>1219</v>
      </c>
      <c r="E1602" s="77"/>
      <c r="F1602" s="77"/>
      <c r="G1602" s="78"/>
      <c r="H1602" s="585">
        <f>H1601+H1599+H1596</f>
        <v>753990</v>
      </c>
      <c r="I1602" s="369"/>
      <c r="J1602" s="44"/>
      <c r="K1602" s="44"/>
    </row>
    <row r="1603" spans="3:15" s="59" customFormat="1" ht="21" customHeight="1">
      <c r="C1603" s="288" t="s">
        <v>1220</v>
      </c>
      <c r="D1603" s="76" t="s">
        <v>1321</v>
      </c>
      <c r="E1603" s="77"/>
      <c r="F1603" s="78"/>
      <c r="G1603" s="80">
        <v>0.1</v>
      </c>
      <c r="H1603" s="63">
        <f>H1602*G1603</f>
        <v>75399</v>
      </c>
      <c r="I1603" s="369"/>
      <c r="J1603" s="44"/>
      <c r="K1603" s="44"/>
    </row>
    <row r="1604" spans="3:15" s="59" customFormat="1" ht="21" customHeight="1">
      <c r="C1604" s="288" t="s">
        <v>1221</v>
      </c>
      <c r="D1604" s="76" t="s">
        <v>1222</v>
      </c>
      <c r="E1604" s="77"/>
      <c r="F1604" s="77"/>
      <c r="G1604" s="78"/>
      <c r="H1604" s="799">
        <f>SUM(H1602:H1603)</f>
        <v>829389</v>
      </c>
      <c r="I1604" s="369"/>
      <c r="J1604" s="44"/>
      <c r="K1604" s="44"/>
    </row>
    <row r="1605" spans="3:15" ht="21" customHeight="1"/>
    <row r="1606" spans="3:15" s="59" customFormat="1" ht="21" customHeight="1">
      <c r="C1606" s="47" t="s">
        <v>3977</v>
      </c>
      <c r="D1606" s="794" t="s">
        <v>8276</v>
      </c>
      <c r="E1606" s="795"/>
      <c r="F1606" s="795"/>
      <c r="G1606" s="795"/>
      <c r="H1606" s="795"/>
      <c r="I1606" s="50">
        <f>ROUNDDOWN(H1621,-2)</f>
        <v>1379400</v>
      </c>
      <c r="J1606" s="50" t="s">
        <v>6451</v>
      </c>
      <c r="K1606" s="50" t="s">
        <v>8092</v>
      </c>
    </row>
    <row r="1607" spans="3:15" s="59" customFormat="1" ht="21" customHeight="1">
      <c r="C1607" s="591" t="s">
        <v>1195</v>
      </c>
      <c r="D1607" s="591" t="s">
        <v>1196</v>
      </c>
      <c r="E1607" s="591" t="s">
        <v>1197</v>
      </c>
      <c r="F1607" s="591" t="s">
        <v>1198</v>
      </c>
      <c r="G1607" s="591" t="s">
        <v>1199</v>
      </c>
      <c r="H1607" s="591" t="s">
        <v>1200</v>
      </c>
      <c r="I1607" s="44"/>
      <c r="J1607" s="44"/>
      <c r="K1607" s="44"/>
    </row>
    <row r="1608" spans="3:15" s="59" customFormat="1" ht="21" customHeight="1">
      <c r="C1608" s="61" t="s">
        <v>1201</v>
      </c>
      <c r="D1608" s="56" t="s">
        <v>1202</v>
      </c>
      <c r="E1608" s="57"/>
      <c r="F1608" s="57"/>
      <c r="G1608" s="57"/>
      <c r="H1608" s="57"/>
      <c r="I1608" s="44"/>
      <c r="J1608" s="44"/>
      <c r="K1608" s="44"/>
      <c r="L1608" s="152" t="s">
        <v>1247</v>
      </c>
    </row>
    <row r="1609" spans="3:15" s="59" customFormat="1" ht="21" customHeight="1">
      <c r="C1609" s="588">
        <v>1</v>
      </c>
      <c r="D1609" s="56" t="s">
        <v>5</v>
      </c>
      <c r="E1609" s="577" t="s">
        <v>6</v>
      </c>
      <c r="F1609" s="62">
        <v>0.629</v>
      </c>
      <c r="G1609" s="63">
        <f>VLOOKUP(D1609,upahbahan,3,FALSE)</f>
        <v>100000</v>
      </c>
      <c r="H1609" s="63">
        <f>F1609*G1609</f>
        <v>62900</v>
      </c>
      <c r="I1609" s="44"/>
      <c r="J1609" s="44"/>
      <c r="K1609" s="44"/>
      <c r="L1609" s="152" t="s">
        <v>1248</v>
      </c>
      <c r="O1609" s="65">
        <v>0.1</v>
      </c>
    </row>
    <row r="1610" spans="3:15" s="59" customFormat="1" ht="21" customHeight="1">
      <c r="C1610" s="588">
        <v>2</v>
      </c>
      <c r="D1610" s="56" t="s">
        <v>10</v>
      </c>
      <c r="E1610" s="577" t="s">
        <v>6</v>
      </c>
      <c r="F1610" s="62">
        <v>1.0509999999999999</v>
      </c>
      <c r="G1610" s="63">
        <f>VLOOKUP(D1610,upahbahan,3,FALSE)</f>
        <v>135000</v>
      </c>
      <c r="H1610" s="63">
        <f>F1610*G1610</f>
        <v>141885</v>
      </c>
      <c r="I1610" s="44"/>
      <c r="J1610" s="44"/>
      <c r="K1610" s="44"/>
    </row>
    <row r="1611" spans="3:15" s="59" customFormat="1" ht="21" customHeight="1">
      <c r="C1611" s="588">
        <v>3</v>
      </c>
      <c r="D1611" s="56" t="s">
        <v>18</v>
      </c>
      <c r="E1611" s="577" t="s">
        <v>6</v>
      </c>
      <c r="F1611" s="62">
        <v>0.105</v>
      </c>
      <c r="G1611" s="63">
        <f>VLOOKUP(D1611,upahbahan,3,FALSE)</f>
        <v>150000</v>
      </c>
      <c r="H1611" s="63">
        <f>F1611*G1611</f>
        <v>15750</v>
      </c>
      <c r="I1611" s="44"/>
      <c r="J1611" s="44"/>
      <c r="K1611" s="44"/>
    </row>
    <row r="1612" spans="3:15" s="59" customFormat="1" ht="21" customHeight="1">
      <c r="C1612" s="588">
        <v>4</v>
      </c>
      <c r="D1612" s="56" t="s">
        <v>19</v>
      </c>
      <c r="E1612" s="577" t="s">
        <v>6</v>
      </c>
      <c r="F1612" s="62">
        <v>3.2000000000000001E-2</v>
      </c>
      <c r="G1612" s="63">
        <f>VLOOKUP(D1612,upahbahan,3,FALSE)</f>
        <v>160000</v>
      </c>
      <c r="H1612" s="63">
        <f>F1612*G1612</f>
        <v>5120</v>
      </c>
      <c r="I1612" s="44"/>
      <c r="J1612" s="44"/>
      <c r="K1612" s="44"/>
    </row>
    <row r="1613" spans="3:15" s="59" customFormat="1" ht="21" customHeight="1">
      <c r="C1613" s="450" t="s">
        <v>1208</v>
      </c>
      <c r="D1613" s="67"/>
      <c r="E1613" s="67"/>
      <c r="F1613" s="142"/>
      <c r="G1613" s="153"/>
      <c r="H1613" s="63">
        <f>SUM(H1609:H1612)</f>
        <v>225655</v>
      </c>
      <c r="I1613" s="154"/>
      <c r="J1613" s="154"/>
      <c r="K1613" s="154"/>
    </row>
    <row r="1614" spans="3:15" s="59" customFormat="1" ht="21" customHeight="1">
      <c r="C1614" s="61" t="s">
        <v>1209</v>
      </c>
      <c r="D1614" s="56" t="s">
        <v>1210</v>
      </c>
      <c r="E1614" s="57"/>
      <c r="F1614" s="57"/>
      <c r="G1614" s="57"/>
      <c r="H1614" s="57"/>
      <c r="I1614" s="44"/>
      <c r="J1614" s="44"/>
      <c r="K1614" s="44"/>
    </row>
    <row r="1615" spans="3:15" s="59" customFormat="1" ht="21" customHeight="1">
      <c r="C1615" s="588">
        <v>1</v>
      </c>
      <c r="D1615" s="72" t="s">
        <v>8277</v>
      </c>
      <c r="E1615" s="73" t="s">
        <v>113</v>
      </c>
      <c r="F1615" s="62">
        <v>1.55</v>
      </c>
      <c r="G1615" s="63">
        <f>VLOOKUP(D1615,upahbahan,3,FALSE)</f>
        <v>663500</v>
      </c>
      <c r="H1615" s="63">
        <f>F1615*G1615</f>
        <v>1028425</v>
      </c>
      <c r="I1615" s="44"/>
      <c r="J1615" s="44"/>
      <c r="K1615" s="44"/>
    </row>
    <row r="1616" spans="3:15" s="59" customFormat="1" ht="21" customHeight="1">
      <c r="C1616" s="450" t="s">
        <v>1214</v>
      </c>
      <c r="D1616" s="67"/>
      <c r="E1616" s="67"/>
      <c r="F1616" s="67"/>
      <c r="G1616" s="69"/>
      <c r="H1616" s="63">
        <f>SUM(H1615:H1615)</f>
        <v>1028425</v>
      </c>
      <c r="I1616" s="44"/>
      <c r="J1616" s="44"/>
      <c r="K1616" s="44"/>
    </row>
    <row r="1617" spans="3:15" s="59" customFormat="1" ht="21" customHeight="1">
      <c r="C1617" s="61" t="s">
        <v>1215</v>
      </c>
      <c r="D1617" s="56" t="s">
        <v>1216</v>
      </c>
      <c r="E1617" s="57"/>
      <c r="F1617" s="57"/>
      <c r="G1617" s="57"/>
      <c r="H1617" s="57"/>
      <c r="I1617" s="44"/>
      <c r="J1617" s="44"/>
      <c r="K1617" s="44"/>
    </row>
    <row r="1618" spans="3:15" s="59" customFormat="1" ht="21" customHeight="1">
      <c r="C1618" s="450" t="s">
        <v>1217</v>
      </c>
      <c r="D1618" s="67"/>
      <c r="E1618" s="67"/>
      <c r="F1618" s="67"/>
      <c r="G1618" s="69"/>
      <c r="H1618" s="589">
        <v>0</v>
      </c>
      <c r="I1618" s="44"/>
      <c r="J1618" s="44"/>
      <c r="K1618" s="44"/>
    </row>
    <row r="1619" spans="3:15" s="59" customFormat="1" ht="21" customHeight="1">
      <c r="C1619" s="288" t="s">
        <v>1218</v>
      </c>
      <c r="D1619" s="76" t="s">
        <v>1219</v>
      </c>
      <c r="E1619" s="77"/>
      <c r="F1619" s="77"/>
      <c r="G1619" s="78"/>
      <c r="H1619" s="585">
        <f>H1618+H1616+H1613</f>
        <v>1254080</v>
      </c>
      <c r="I1619" s="369"/>
      <c r="J1619" s="44"/>
      <c r="K1619" s="44"/>
    </row>
    <row r="1620" spans="3:15" s="59" customFormat="1" ht="21" customHeight="1">
      <c r="C1620" s="288" t="s">
        <v>1220</v>
      </c>
      <c r="D1620" s="76" t="s">
        <v>1321</v>
      </c>
      <c r="E1620" s="77"/>
      <c r="F1620" s="78"/>
      <c r="G1620" s="80">
        <v>0.1</v>
      </c>
      <c r="H1620" s="63">
        <f>H1619*G1620</f>
        <v>125408</v>
      </c>
      <c r="I1620" s="369"/>
      <c r="J1620" s="44"/>
      <c r="K1620" s="44"/>
    </row>
    <row r="1621" spans="3:15" s="59" customFormat="1" ht="21" customHeight="1">
      <c r="C1621" s="288" t="s">
        <v>1221</v>
      </c>
      <c r="D1621" s="76" t="s">
        <v>1222</v>
      </c>
      <c r="E1621" s="77"/>
      <c r="F1621" s="77"/>
      <c r="G1621" s="78"/>
      <c r="H1621" s="799">
        <f>SUM(H1619:H1620)</f>
        <v>1379488</v>
      </c>
      <c r="I1621" s="369"/>
      <c r="J1621" s="44"/>
      <c r="K1621" s="44"/>
    </row>
    <row r="1622" spans="3:15" ht="21" customHeight="1"/>
    <row r="1623" spans="3:15" s="59" customFormat="1" ht="21" customHeight="1">
      <c r="C1623" s="47" t="s">
        <v>3978</v>
      </c>
      <c r="D1623" s="794" t="s">
        <v>8278</v>
      </c>
      <c r="E1623" s="795"/>
      <c r="F1623" s="795"/>
      <c r="G1623" s="795"/>
      <c r="H1623" s="795"/>
      <c r="I1623" s="50">
        <f>ROUNDDOWN(H1638,-2)</f>
        <v>1599500</v>
      </c>
      <c r="J1623" s="50" t="s">
        <v>6451</v>
      </c>
      <c r="K1623" s="50" t="s">
        <v>8092</v>
      </c>
    </row>
    <row r="1624" spans="3:15" s="59" customFormat="1" ht="21" customHeight="1">
      <c r="C1624" s="591" t="s">
        <v>1195</v>
      </c>
      <c r="D1624" s="591" t="s">
        <v>1196</v>
      </c>
      <c r="E1624" s="591" t="s">
        <v>1197</v>
      </c>
      <c r="F1624" s="591" t="s">
        <v>1198</v>
      </c>
      <c r="G1624" s="591" t="s">
        <v>1199</v>
      </c>
      <c r="H1624" s="591" t="s">
        <v>1200</v>
      </c>
      <c r="I1624" s="44"/>
      <c r="J1624" s="44"/>
      <c r="K1624" s="44"/>
    </row>
    <row r="1625" spans="3:15" s="59" customFormat="1" ht="21" customHeight="1">
      <c r="C1625" s="61" t="s">
        <v>1201</v>
      </c>
      <c r="D1625" s="56" t="s">
        <v>1202</v>
      </c>
      <c r="E1625" s="57"/>
      <c r="F1625" s="57"/>
      <c r="G1625" s="57"/>
      <c r="H1625" s="57"/>
      <c r="I1625" s="44"/>
      <c r="J1625" s="44"/>
      <c r="K1625" s="44"/>
      <c r="L1625" s="152" t="s">
        <v>1247</v>
      </c>
    </row>
    <row r="1626" spans="3:15" s="59" customFormat="1" ht="21" customHeight="1">
      <c r="C1626" s="588">
        <v>1</v>
      </c>
      <c r="D1626" s="56" t="s">
        <v>5</v>
      </c>
      <c r="E1626" s="577" t="s">
        <v>6</v>
      </c>
      <c r="F1626" s="62">
        <v>0.78800000000000003</v>
      </c>
      <c r="G1626" s="63">
        <f>VLOOKUP(D1626,upahbahan,3,FALSE)</f>
        <v>100000</v>
      </c>
      <c r="H1626" s="63">
        <f>F1626*G1626</f>
        <v>78800</v>
      </c>
      <c r="I1626" s="44"/>
      <c r="J1626" s="44"/>
      <c r="K1626" s="44"/>
      <c r="L1626" s="152" t="s">
        <v>1248</v>
      </c>
      <c r="O1626" s="65">
        <v>0.1</v>
      </c>
    </row>
    <row r="1627" spans="3:15" s="59" customFormat="1" ht="21" customHeight="1">
      <c r="C1627" s="588">
        <v>2</v>
      </c>
      <c r="D1627" s="56" t="s">
        <v>10</v>
      </c>
      <c r="E1627" s="577" t="s">
        <v>6</v>
      </c>
      <c r="F1627" s="62">
        <v>1.3149999999999999</v>
      </c>
      <c r="G1627" s="63">
        <f>VLOOKUP(D1627,upahbahan,3,FALSE)</f>
        <v>135000</v>
      </c>
      <c r="H1627" s="63">
        <f>F1627*G1627</f>
        <v>177525</v>
      </c>
      <c r="I1627" s="44"/>
      <c r="J1627" s="44"/>
      <c r="K1627" s="44"/>
    </row>
    <row r="1628" spans="3:15" s="59" customFormat="1" ht="21" customHeight="1">
      <c r="C1628" s="588">
        <v>3</v>
      </c>
      <c r="D1628" s="56" t="s">
        <v>18</v>
      </c>
      <c r="E1628" s="577" t="s">
        <v>6</v>
      </c>
      <c r="F1628" s="62">
        <v>0.13200000000000001</v>
      </c>
      <c r="G1628" s="63">
        <f>VLOOKUP(D1628,upahbahan,3,FALSE)</f>
        <v>150000</v>
      </c>
      <c r="H1628" s="63">
        <f>F1628*G1628</f>
        <v>19800</v>
      </c>
      <c r="I1628" s="44"/>
      <c r="J1628" s="44"/>
      <c r="K1628" s="44"/>
    </row>
    <row r="1629" spans="3:15" s="59" customFormat="1" ht="21" customHeight="1">
      <c r="C1629" s="588">
        <v>4</v>
      </c>
      <c r="D1629" s="56" t="s">
        <v>19</v>
      </c>
      <c r="E1629" s="577" t="s">
        <v>6</v>
      </c>
      <c r="F1629" s="62">
        <v>3.9E-2</v>
      </c>
      <c r="G1629" s="63">
        <f>VLOOKUP(D1629,upahbahan,3,FALSE)</f>
        <v>160000</v>
      </c>
      <c r="H1629" s="63">
        <f>F1629*G1629</f>
        <v>6240</v>
      </c>
      <c r="I1629" s="44"/>
      <c r="J1629" s="44"/>
      <c r="K1629" s="44"/>
    </row>
    <row r="1630" spans="3:15" s="59" customFormat="1" ht="21" customHeight="1">
      <c r="C1630" s="450" t="s">
        <v>1208</v>
      </c>
      <c r="D1630" s="67"/>
      <c r="E1630" s="67"/>
      <c r="F1630" s="142"/>
      <c r="G1630" s="153"/>
      <c r="H1630" s="63">
        <f>SUM(H1626:H1629)</f>
        <v>282365</v>
      </c>
      <c r="I1630" s="154"/>
      <c r="J1630" s="154"/>
      <c r="K1630" s="154"/>
    </row>
    <row r="1631" spans="3:15" s="59" customFormat="1" ht="21" customHeight="1">
      <c r="C1631" s="61" t="s">
        <v>1209</v>
      </c>
      <c r="D1631" s="56" t="s">
        <v>1210</v>
      </c>
      <c r="E1631" s="57"/>
      <c r="F1631" s="57"/>
      <c r="G1631" s="57"/>
      <c r="H1631" s="57"/>
      <c r="I1631" s="44"/>
      <c r="J1631" s="44"/>
      <c r="K1631" s="44"/>
    </row>
    <row r="1632" spans="3:15" s="59" customFormat="1" ht="21" customHeight="1">
      <c r="C1632" s="588">
        <v>1</v>
      </c>
      <c r="D1632" s="72" t="s">
        <v>8279</v>
      </c>
      <c r="E1632" s="73" t="s">
        <v>113</v>
      </c>
      <c r="F1632" s="62">
        <v>1.55</v>
      </c>
      <c r="G1632" s="63">
        <f>VLOOKUP(D1632,upahbahan,3,FALSE)</f>
        <v>756000</v>
      </c>
      <c r="H1632" s="63">
        <f>F1632*G1632</f>
        <v>1171800</v>
      </c>
      <c r="I1632" s="44"/>
      <c r="J1632" s="44"/>
      <c r="K1632" s="44"/>
    </row>
    <row r="1633" spans="3:15" s="59" customFormat="1" ht="21" customHeight="1">
      <c r="C1633" s="450" t="s">
        <v>1214</v>
      </c>
      <c r="D1633" s="67"/>
      <c r="E1633" s="67"/>
      <c r="F1633" s="67"/>
      <c r="G1633" s="69"/>
      <c r="H1633" s="63">
        <f>SUM(H1632:H1632)</f>
        <v>1171800</v>
      </c>
      <c r="I1633" s="44"/>
      <c r="J1633" s="44"/>
      <c r="K1633" s="44"/>
    </row>
    <row r="1634" spans="3:15" s="59" customFormat="1" ht="21" customHeight="1">
      <c r="C1634" s="61" t="s">
        <v>1215</v>
      </c>
      <c r="D1634" s="56" t="s">
        <v>1216</v>
      </c>
      <c r="E1634" s="57"/>
      <c r="F1634" s="57"/>
      <c r="G1634" s="57"/>
      <c r="H1634" s="57"/>
      <c r="I1634" s="44"/>
      <c r="J1634" s="44"/>
      <c r="K1634" s="44"/>
    </row>
    <row r="1635" spans="3:15" s="59" customFormat="1" ht="21" customHeight="1">
      <c r="C1635" s="450" t="s">
        <v>1217</v>
      </c>
      <c r="D1635" s="67"/>
      <c r="E1635" s="67"/>
      <c r="F1635" s="67"/>
      <c r="G1635" s="69"/>
      <c r="H1635" s="589">
        <v>0</v>
      </c>
      <c r="I1635" s="44"/>
      <c r="J1635" s="44"/>
      <c r="K1635" s="44"/>
    </row>
    <row r="1636" spans="3:15" s="59" customFormat="1" ht="21" customHeight="1">
      <c r="C1636" s="288" t="s">
        <v>1218</v>
      </c>
      <c r="D1636" s="76" t="s">
        <v>1219</v>
      </c>
      <c r="E1636" s="77"/>
      <c r="F1636" s="77"/>
      <c r="G1636" s="78"/>
      <c r="H1636" s="585">
        <f>H1635+H1633+H1630</f>
        <v>1454165</v>
      </c>
      <c r="I1636" s="369"/>
      <c r="J1636" s="44"/>
      <c r="K1636" s="44"/>
    </row>
    <row r="1637" spans="3:15" s="59" customFormat="1" ht="21" customHeight="1">
      <c r="C1637" s="288" t="s">
        <v>1220</v>
      </c>
      <c r="D1637" s="76" t="s">
        <v>1321</v>
      </c>
      <c r="E1637" s="77"/>
      <c r="F1637" s="78"/>
      <c r="G1637" s="80">
        <v>0.1</v>
      </c>
      <c r="H1637" s="63">
        <f>H1636*G1637</f>
        <v>145416.5</v>
      </c>
      <c r="I1637" s="369"/>
      <c r="J1637" s="44"/>
      <c r="K1637" s="44"/>
    </row>
    <row r="1638" spans="3:15" s="59" customFormat="1" ht="21" customHeight="1">
      <c r="C1638" s="288" t="s">
        <v>1221</v>
      </c>
      <c r="D1638" s="76" t="s">
        <v>1222</v>
      </c>
      <c r="E1638" s="77"/>
      <c r="F1638" s="77"/>
      <c r="G1638" s="78"/>
      <c r="H1638" s="799">
        <f>SUM(H1636:H1637)</f>
        <v>1599581.5</v>
      </c>
      <c r="I1638" s="369"/>
      <c r="J1638" s="44"/>
      <c r="K1638" s="44"/>
    </row>
    <row r="1639" spans="3:15" ht="21" customHeight="1"/>
    <row r="1640" spans="3:15" s="59" customFormat="1" ht="21" customHeight="1">
      <c r="C1640" s="47" t="s">
        <v>3979</v>
      </c>
      <c r="D1640" s="794" t="s">
        <v>8280</v>
      </c>
      <c r="E1640" s="795"/>
      <c r="F1640" s="795"/>
      <c r="G1640" s="795"/>
      <c r="H1640" s="795"/>
      <c r="I1640" s="50">
        <f>ROUNDDOWN(H1655,-2)</f>
        <v>1877700</v>
      </c>
      <c r="J1640" s="50" t="s">
        <v>6451</v>
      </c>
      <c r="K1640" s="50" t="s">
        <v>8092</v>
      </c>
    </row>
    <row r="1641" spans="3:15" s="59" customFormat="1" ht="21" customHeight="1">
      <c r="C1641" s="591" t="s">
        <v>1195</v>
      </c>
      <c r="D1641" s="591" t="s">
        <v>1196</v>
      </c>
      <c r="E1641" s="591" t="s">
        <v>1197</v>
      </c>
      <c r="F1641" s="591" t="s">
        <v>1198</v>
      </c>
      <c r="G1641" s="591" t="s">
        <v>1199</v>
      </c>
      <c r="H1641" s="591" t="s">
        <v>1200</v>
      </c>
      <c r="I1641" s="44"/>
      <c r="J1641" s="44"/>
      <c r="K1641" s="44"/>
    </row>
    <row r="1642" spans="3:15" s="59" customFormat="1" ht="21" customHeight="1">
      <c r="C1642" s="61" t="s">
        <v>1201</v>
      </c>
      <c r="D1642" s="56" t="s">
        <v>1202</v>
      </c>
      <c r="E1642" s="57"/>
      <c r="F1642" s="57"/>
      <c r="G1642" s="57"/>
      <c r="H1642" s="57"/>
      <c r="I1642" s="44"/>
      <c r="J1642" s="44"/>
      <c r="K1642" s="44"/>
      <c r="L1642" s="152" t="s">
        <v>1247</v>
      </c>
    </row>
    <row r="1643" spans="3:15" s="59" customFormat="1" ht="21" customHeight="1">
      <c r="C1643" s="588">
        <v>1</v>
      </c>
      <c r="D1643" s="56" t="s">
        <v>5</v>
      </c>
      <c r="E1643" s="577" t="s">
        <v>6</v>
      </c>
      <c r="F1643" s="62">
        <v>0.94399999999999995</v>
      </c>
      <c r="G1643" s="63">
        <f>VLOOKUP(D1643,upahbahan,3,FALSE)</f>
        <v>100000</v>
      </c>
      <c r="H1643" s="63">
        <f>F1643*G1643</f>
        <v>94400</v>
      </c>
      <c r="I1643" s="44"/>
      <c r="J1643" s="44"/>
      <c r="K1643" s="44"/>
      <c r="L1643" s="152" t="s">
        <v>1248</v>
      </c>
      <c r="O1643" s="65">
        <v>0.1</v>
      </c>
    </row>
    <row r="1644" spans="3:15" s="59" customFormat="1" ht="21" customHeight="1">
      <c r="C1644" s="588">
        <v>2</v>
      </c>
      <c r="D1644" s="56" t="s">
        <v>10</v>
      </c>
      <c r="E1644" s="577" t="s">
        <v>6</v>
      </c>
      <c r="F1644" s="62">
        <v>1.5760000000000001</v>
      </c>
      <c r="G1644" s="63">
        <f>VLOOKUP(D1644,upahbahan,3,FALSE)</f>
        <v>135000</v>
      </c>
      <c r="H1644" s="63">
        <f>F1644*G1644</f>
        <v>212760</v>
      </c>
      <c r="I1644" s="44"/>
      <c r="J1644" s="44"/>
      <c r="K1644" s="44"/>
    </row>
    <row r="1645" spans="3:15" s="59" customFormat="1" ht="21" customHeight="1">
      <c r="C1645" s="588">
        <v>3</v>
      </c>
      <c r="D1645" s="56" t="s">
        <v>18</v>
      </c>
      <c r="E1645" s="577" t="s">
        <v>6</v>
      </c>
      <c r="F1645" s="62">
        <v>0.158</v>
      </c>
      <c r="G1645" s="63">
        <f>VLOOKUP(D1645,upahbahan,3,FALSE)</f>
        <v>150000</v>
      </c>
      <c r="H1645" s="63">
        <f>F1645*G1645</f>
        <v>23700</v>
      </c>
      <c r="I1645" s="44"/>
      <c r="J1645" s="44"/>
      <c r="K1645" s="44"/>
    </row>
    <row r="1646" spans="3:15" s="59" customFormat="1" ht="21" customHeight="1">
      <c r="C1646" s="588">
        <v>4</v>
      </c>
      <c r="D1646" s="56" t="s">
        <v>19</v>
      </c>
      <c r="E1646" s="577" t="s">
        <v>6</v>
      </c>
      <c r="F1646" s="62">
        <v>4.7E-2</v>
      </c>
      <c r="G1646" s="63">
        <f>VLOOKUP(D1646,upahbahan,3,FALSE)</f>
        <v>160000</v>
      </c>
      <c r="H1646" s="63">
        <f>F1646*G1646</f>
        <v>7520</v>
      </c>
      <c r="I1646" s="44"/>
      <c r="J1646" s="44"/>
      <c r="K1646" s="44"/>
    </row>
    <row r="1647" spans="3:15" s="59" customFormat="1" ht="21" customHeight="1">
      <c r="C1647" s="450" t="s">
        <v>1208</v>
      </c>
      <c r="D1647" s="67"/>
      <c r="E1647" s="67"/>
      <c r="F1647" s="142"/>
      <c r="G1647" s="153"/>
      <c r="H1647" s="63">
        <f>SUM(H1643:H1646)</f>
        <v>338380</v>
      </c>
      <c r="I1647" s="154"/>
      <c r="J1647" s="154"/>
      <c r="K1647" s="154"/>
    </row>
    <row r="1648" spans="3:15" s="59" customFormat="1" ht="21" customHeight="1">
      <c r="C1648" s="61" t="s">
        <v>1209</v>
      </c>
      <c r="D1648" s="56" t="s">
        <v>1210</v>
      </c>
      <c r="E1648" s="57"/>
      <c r="F1648" s="57"/>
      <c r="G1648" s="57"/>
      <c r="H1648" s="57"/>
      <c r="I1648" s="44"/>
      <c r="J1648" s="44"/>
      <c r="K1648" s="44"/>
    </row>
    <row r="1649" spans="3:15" s="59" customFormat="1" ht="21" customHeight="1">
      <c r="C1649" s="588">
        <v>1</v>
      </c>
      <c r="D1649" s="72" t="s">
        <v>8281</v>
      </c>
      <c r="E1649" s="73" t="s">
        <v>113</v>
      </c>
      <c r="F1649" s="62">
        <v>1.55</v>
      </c>
      <c r="G1649" s="63">
        <f>VLOOKUP(D1649,upahbahan,3,FALSE)</f>
        <v>883000</v>
      </c>
      <c r="H1649" s="63">
        <f>F1649*G1649</f>
        <v>1368650</v>
      </c>
      <c r="I1649" s="44"/>
      <c r="J1649" s="44"/>
      <c r="K1649" s="44"/>
    </row>
    <row r="1650" spans="3:15" s="59" customFormat="1" ht="21" customHeight="1">
      <c r="C1650" s="450" t="s">
        <v>1214</v>
      </c>
      <c r="D1650" s="67"/>
      <c r="E1650" s="67"/>
      <c r="F1650" s="67"/>
      <c r="G1650" s="69"/>
      <c r="H1650" s="63">
        <f>SUM(H1649:H1649)</f>
        <v>1368650</v>
      </c>
      <c r="I1650" s="44"/>
      <c r="J1650" s="44"/>
      <c r="K1650" s="44"/>
    </row>
    <row r="1651" spans="3:15" s="59" customFormat="1" ht="21" customHeight="1">
      <c r="C1651" s="61" t="s">
        <v>1215</v>
      </c>
      <c r="D1651" s="56" t="s">
        <v>1216</v>
      </c>
      <c r="E1651" s="57"/>
      <c r="F1651" s="57"/>
      <c r="G1651" s="57"/>
      <c r="H1651" s="57"/>
      <c r="I1651" s="44"/>
      <c r="J1651" s="44"/>
      <c r="K1651" s="44"/>
    </row>
    <row r="1652" spans="3:15" s="59" customFormat="1" ht="21" customHeight="1">
      <c r="C1652" s="450" t="s">
        <v>1217</v>
      </c>
      <c r="D1652" s="67"/>
      <c r="E1652" s="67"/>
      <c r="F1652" s="67"/>
      <c r="G1652" s="69"/>
      <c r="H1652" s="589">
        <v>0</v>
      </c>
      <c r="I1652" s="44"/>
      <c r="J1652" s="44"/>
      <c r="K1652" s="44"/>
    </row>
    <row r="1653" spans="3:15" s="59" customFormat="1" ht="21" customHeight="1">
      <c r="C1653" s="288" t="s">
        <v>1218</v>
      </c>
      <c r="D1653" s="76" t="s">
        <v>1219</v>
      </c>
      <c r="E1653" s="77"/>
      <c r="F1653" s="77"/>
      <c r="G1653" s="78"/>
      <c r="H1653" s="585">
        <f>H1652+H1650+H1647</f>
        <v>1707030</v>
      </c>
      <c r="I1653" s="369"/>
      <c r="J1653" s="44"/>
      <c r="K1653" s="44"/>
    </row>
    <row r="1654" spans="3:15" s="59" customFormat="1" ht="21" customHeight="1">
      <c r="C1654" s="288" t="s">
        <v>1220</v>
      </c>
      <c r="D1654" s="76" t="s">
        <v>1321</v>
      </c>
      <c r="E1654" s="77"/>
      <c r="F1654" s="78"/>
      <c r="G1654" s="80">
        <v>0.1</v>
      </c>
      <c r="H1654" s="63">
        <f>H1653*G1654</f>
        <v>170703</v>
      </c>
      <c r="I1654" s="369"/>
      <c r="J1654" s="44"/>
      <c r="K1654" s="44"/>
    </row>
    <row r="1655" spans="3:15" s="59" customFormat="1" ht="21" customHeight="1">
      <c r="C1655" s="288" t="s">
        <v>1221</v>
      </c>
      <c r="D1655" s="76" t="s">
        <v>1222</v>
      </c>
      <c r="E1655" s="77"/>
      <c r="F1655" s="77"/>
      <c r="G1655" s="78"/>
      <c r="H1655" s="799">
        <f>SUM(H1653:H1654)</f>
        <v>1877733</v>
      </c>
      <c r="I1655" s="369"/>
      <c r="J1655" s="44"/>
      <c r="K1655" s="44"/>
    </row>
    <row r="1656" spans="3:15" ht="21" customHeight="1"/>
    <row r="1657" spans="3:15" s="59" customFormat="1" ht="21" customHeight="1">
      <c r="C1657" s="47" t="s">
        <v>3980</v>
      </c>
      <c r="D1657" s="794" t="s">
        <v>8282</v>
      </c>
      <c r="E1657" s="795"/>
      <c r="F1657" s="795"/>
      <c r="G1657" s="795"/>
      <c r="H1657" s="795"/>
      <c r="I1657" s="50">
        <f>ROUNDDOWN(H1672,-2)</f>
        <v>2286100</v>
      </c>
      <c r="J1657" s="50" t="s">
        <v>6451</v>
      </c>
      <c r="K1657" s="50" t="s">
        <v>8092</v>
      </c>
    </row>
    <row r="1658" spans="3:15" s="59" customFormat="1" ht="21" customHeight="1">
      <c r="C1658" s="591" t="s">
        <v>1195</v>
      </c>
      <c r="D1658" s="591" t="s">
        <v>1196</v>
      </c>
      <c r="E1658" s="591" t="s">
        <v>1197</v>
      </c>
      <c r="F1658" s="591" t="s">
        <v>1198</v>
      </c>
      <c r="G1658" s="591" t="s">
        <v>1199</v>
      </c>
      <c r="H1658" s="591" t="s">
        <v>1200</v>
      </c>
      <c r="I1658" s="44"/>
      <c r="J1658" s="44"/>
      <c r="K1658" s="44"/>
    </row>
    <row r="1659" spans="3:15" s="59" customFormat="1" ht="21" customHeight="1">
      <c r="C1659" s="61" t="s">
        <v>1201</v>
      </c>
      <c r="D1659" s="56" t="s">
        <v>1202</v>
      </c>
      <c r="E1659" s="57"/>
      <c r="F1659" s="57"/>
      <c r="G1659" s="57"/>
      <c r="H1659" s="57"/>
      <c r="I1659" s="44"/>
      <c r="J1659" s="44"/>
      <c r="K1659" s="44"/>
      <c r="L1659" s="152" t="s">
        <v>1247</v>
      </c>
    </row>
    <row r="1660" spans="3:15" s="59" customFormat="1" ht="21" customHeight="1">
      <c r="C1660" s="588">
        <v>1</v>
      </c>
      <c r="D1660" s="56" t="s">
        <v>5</v>
      </c>
      <c r="E1660" s="577" t="s">
        <v>6</v>
      </c>
      <c r="F1660" s="62">
        <v>1.1020000000000001</v>
      </c>
      <c r="G1660" s="63">
        <f>VLOOKUP(D1660,upahbahan,3,FALSE)</f>
        <v>100000</v>
      </c>
      <c r="H1660" s="63">
        <f>F1660*G1660</f>
        <v>110200.00000000001</v>
      </c>
      <c r="I1660" s="44"/>
      <c r="J1660" s="44"/>
      <c r="K1660" s="44"/>
      <c r="L1660" s="152" t="s">
        <v>1248</v>
      </c>
      <c r="O1660" s="65">
        <v>0.1</v>
      </c>
    </row>
    <row r="1661" spans="3:15" s="59" customFormat="1" ht="21" customHeight="1">
      <c r="C1661" s="588">
        <v>2</v>
      </c>
      <c r="D1661" s="56" t="s">
        <v>10</v>
      </c>
      <c r="E1661" s="577" t="s">
        <v>6</v>
      </c>
      <c r="F1661" s="62">
        <v>1.84</v>
      </c>
      <c r="G1661" s="63">
        <f>VLOOKUP(D1661,upahbahan,3,FALSE)</f>
        <v>135000</v>
      </c>
      <c r="H1661" s="63">
        <f>F1661*G1661</f>
        <v>248400</v>
      </c>
      <c r="I1661" s="44"/>
      <c r="J1661" s="44"/>
      <c r="K1661" s="44"/>
    </row>
    <row r="1662" spans="3:15" s="59" customFormat="1" ht="21" customHeight="1">
      <c r="C1662" s="588">
        <v>3</v>
      </c>
      <c r="D1662" s="56" t="s">
        <v>18</v>
      </c>
      <c r="E1662" s="577" t="s">
        <v>6</v>
      </c>
      <c r="F1662" s="62">
        <v>0.184</v>
      </c>
      <c r="G1662" s="63">
        <f>VLOOKUP(D1662,upahbahan,3,FALSE)</f>
        <v>150000</v>
      </c>
      <c r="H1662" s="63">
        <f>F1662*G1662</f>
        <v>27600</v>
      </c>
      <c r="I1662" s="44"/>
      <c r="J1662" s="44"/>
      <c r="K1662" s="44"/>
    </row>
    <row r="1663" spans="3:15" s="59" customFormat="1" ht="21" customHeight="1">
      <c r="C1663" s="588">
        <v>4</v>
      </c>
      <c r="D1663" s="56" t="s">
        <v>19</v>
      </c>
      <c r="E1663" s="577" t="s">
        <v>6</v>
      </c>
      <c r="F1663" s="62">
        <v>5.5E-2</v>
      </c>
      <c r="G1663" s="63">
        <f>VLOOKUP(D1663,upahbahan,3,FALSE)</f>
        <v>160000</v>
      </c>
      <c r="H1663" s="63">
        <f>F1663*G1663</f>
        <v>8800</v>
      </c>
      <c r="I1663" s="44"/>
      <c r="J1663" s="44"/>
      <c r="K1663" s="44"/>
    </row>
    <row r="1664" spans="3:15" s="59" customFormat="1" ht="21" customHeight="1">
      <c r="C1664" s="450" t="s">
        <v>1208</v>
      </c>
      <c r="D1664" s="67"/>
      <c r="E1664" s="67"/>
      <c r="F1664" s="142"/>
      <c r="G1664" s="153"/>
      <c r="H1664" s="63">
        <f>SUM(H1660:H1663)</f>
        <v>395000</v>
      </c>
      <c r="I1664" s="154"/>
      <c r="J1664" s="154"/>
      <c r="K1664" s="154"/>
    </row>
    <row r="1665" spans="3:15" s="59" customFormat="1" ht="21" customHeight="1">
      <c r="C1665" s="61" t="s">
        <v>1209</v>
      </c>
      <c r="D1665" s="56" t="s">
        <v>1210</v>
      </c>
      <c r="E1665" s="57"/>
      <c r="F1665" s="57"/>
      <c r="G1665" s="57"/>
      <c r="H1665" s="57"/>
      <c r="I1665" s="44"/>
      <c r="J1665" s="44"/>
      <c r="K1665" s="44"/>
    </row>
    <row r="1666" spans="3:15" s="59" customFormat="1" ht="21" customHeight="1">
      <c r="C1666" s="588">
        <v>1</v>
      </c>
      <c r="D1666" s="72" t="s">
        <v>8283</v>
      </c>
      <c r="E1666" s="73" t="s">
        <v>113</v>
      </c>
      <c r="F1666" s="62">
        <v>1.55</v>
      </c>
      <c r="G1666" s="63">
        <f>VLOOKUP(D1666,upahbahan,3,FALSE)</f>
        <v>1086000</v>
      </c>
      <c r="H1666" s="63">
        <f>F1666*G1666</f>
        <v>1683300</v>
      </c>
      <c r="I1666" s="44"/>
      <c r="J1666" s="44"/>
      <c r="K1666" s="44"/>
    </row>
    <row r="1667" spans="3:15" s="59" customFormat="1" ht="21" customHeight="1">
      <c r="C1667" s="450" t="s">
        <v>1214</v>
      </c>
      <c r="D1667" s="67"/>
      <c r="E1667" s="67"/>
      <c r="F1667" s="67"/>
      <c r="G1667" s="69"/>
      <c r="H1667" s="63">
        <f>SUM(H1666:H1666)</f>
        <v>1683300</v>
      </c>
      <c r="I1667" s="44"/>
      <c r="J1667" s="44"/>
      <c r="K1667" s="44"/>
    </row>
    <row r="1668" spans="3:15" s="59" customFormat="1" ht="21" customHeight="1">
      <c r="C1668" s="61" t="s">
        <v>1215</v>
      </c>
      <c r="D1668" s="56" t="s">
        <v>1216</v>
      </c>
      <c r="E1668" s="57"/>
      <c r="F1668" s="57"/>
      <c r="G1668" s="57"/>
      <c r="H1668" s="57"/>
      <c r="I1668" s="44"/>
      <c r="J1668" s="44"/>
      <c r="K1668" s="44"/>
    </row>
    <row r="1669" spans="3:15" s="59" customFormat="1" ht="21" customHeight="1">
      <c r="C1669" s="450" t="s">
        <v>1217</v>
      </c>
      <c r="D1669" s="67"/>
      <c r="E1669" s="67"/>
      <c r="F1669" s="67"/>
      <c r="G1669" s="69"/>
      <c r="H1669" s="589">
        <v>0</v>
      </c>
      <c r="I1669" s="44"/>
      <c r="J1669" s="44"/>
      <c r="K1669" s="44"/>
    </row>
    <row r="1670" spans="3:15" s="59" customFormat="1" ht="21" customHeight="1">
      <c r="C1670" s="288" t="s">
        <v>1218</v>
      </c>
      <c r="D1670" s="76" t="s">
        <v>1219</v>
      </c>
      <c r="E1670" s="77"/>
      <c r="F1670" s="77"/>
      <c r="G1670" s="78"/>
      <c r="H1670" s="585">
        <f>H1669+H1667+H1664</f>
        <v>2078300</v>
      </c>
      <c r="I1670" s="369"/>
      <c r="J1670" s="44"/>
      <c r="K1670" s="44"/>
    </row>
    <row r="1671" spans="3:15" s="59" customFormat="1" ht="21" customHeight="1">
      <c r="C1671" s="288" t="s">
        <v>1220</v>
      </c>
      <c r="D1671" s="76" t="s">
        <v>1321</v>
      </c>
      <c r="E1671" s="77"/>
      <c r="F1671" s="78"/>
      <c r="G1671" s="80">
        <v>0.1</v>
      </c>
      <c r="H1671" s="63">
        <f>H1670*G1671</f>
        <v>207830</v>
      </c>
      <c r="I1671" s="369"/>
      <c r="J1671" s="44"/>
      <c r="K1671" s="44"/>
    </row>
    <row r="1672" spans="3:15" s="59" customFormat="1" ht="21" customHeight="1">
      <c r="C1672" s="288" t="s">
        <v>1221</v>
      </c>
      <c r="D1672" s="76" t="s">
        <v>1222</v>
      </c>
      <c r="E1672" s="77"/>
      <c r="F1672" s="77"/>
      <c r="G1672" s="78"/>
      <c r="H1672" s="799">
        <f>SUM(H1670:H1671)</f>
        <v>2286130</v>
      </c>
      <c r="I1672" s="369"/>
      <c r="J1672" s="44"/>
      <c r="K1672" s="44"/>
    </row>
    <row r="1673" spans="3:15" ht="21" customHeight="1"/>
    <row r="1674" spans="3:15" s="59" customFormat="1" ht="21" customHeight="1">
      <c r="C1674" s="47" t="s">
        <v>3981</v>
      </c>
      <c r="D1674" s="794" t="s">
        <v>8284</v>
      </c>
      <c r="E1674" s="795"/>
      <c r="F1674" s="795"/>
      <c r="G1674" s="795"/>
      <c r="H1674" s="795"/>
      <c r="I1674" s="50">
        <f>ROUNDDOWN(H1689,-2)</f>
        <v>2612000</v>
      </c>
      <c r="J1674" s="50" t="s">
        <v>6451</v>
      </c>
      <c r="K1674" s="50" t="s">
        <v>8092</v>
      </c>
    </row>
    <row r="1675" spans="3:15" s="59" customFormat="1" ht="21" customHeight="1">
      <c r="C1675" s="591" t="s">
        <v>1195</v>
      </c>
      <c r="D1675" s="591" t="s">
        <v>1196</v>
      </c>
      <c r="E1675" s="591" t="s">
        <v>1197</v>
      </c>
      <c r="F1675" s="591" t="s">
        <v>1198</v>
      </c>
      <c r="G1675" s="591" t="s">
        <v>1199</v>
      </c>
      <c r="H1675" s="591" t="s">
        <v>1200</v>
      </c>
      <c r="I1675" s="44"/>
      <c r="J1675" s="44"/>
      <c r="K1675" s="44"/>
    </row>
    <row r="1676" spans="3:15" s="59" customFormat="1" ht="21" customHeight="1">
      <c r="C1676" s="61" t="s">
        <v>1201</v>
      </c>
      <c r="D1676" s="56" t="s">
        <v>1202</v>
      </c>
      <c r="E1676" s="57"/>
      <c r="F1676" s="57"/>
      <c r="G1676" s="57"/>
      <c r="H1676" s="57"/>
      <c r="I1676" s="44"/>
      <c r="J1676" s="44"/>
      <c r="K1676" s="44"/>
      <c r="L1676" s="152" t="s">
        <v>1247</v>
      </c>
    </row>
    <row r="1677" spans="3:15" s="59" customFormat="1" ht="21" customHeight="1">
      <c r="C1677" s="588">
        <v>1</v>
      </c>
      <c r="D1677" s="56" t="s">
        <v>5</v>
      </c>
      <c r="E1677" s="577" t="s">
        <v>6</v>
      </c>
      <c r="F1677" s="62">
        <v>1.258</v>
      </c>
      <c r="G1677" s="63">
        <f>VLOOKUP(D1677,upahbahan,3,FALSE)</f>
        <v>100000</v>
      </c>
      <c r="H1677" s="63">
        <f>F1677*G1677</f>
        <v>125800</v>
      </c>
      <c r="I1677" s="44"/>
      <c r="J1677" s="44"/>
      <c r="K1677" s="44"/>
      <c r="L1677" s="152" t="s">
        <v>1248</v>
      </c>
      <c r="O1677" s="65">
        <v>0.1</v>
      </c>
    </row>
    <row r="1678" spans="3:15" s="59" customFormat="1" ht="21" customHeight="1">
      <c r="C1678" s="588">
        <v>2</v>
      </c>
      <c r="D1678" s="56" t="s">
        <v>10</v>
      </c>
      <c r="E1678" s="577" t="s">
        <v>6</v>
      </c>
      <c r="F1678" s="62">
        <v>2.101</v>
      </c>
      <c r="G1678" s="63">
        <f>VLOOKUP(D1678,upahbahan,3,FALSE)</f>
        <v>135000</v>
      </c>
      <c r="H1678" s="63">
        <f>F1678*G1678</f>
        <v>283635</v>
      </c>
      <c r="I1678" s="44"/>
      <c r="J1678" s="44"/>
      <c r="K1678" s="44"/>
    </row>
    <row r="1679" spans="3:15" s="59" customFormat="1" ht="21" customHeight="1">
      <c r="C1679" s="588">
        <v>3</v>
      </c>
      <c r="D1679" s="56" t="s">
        <v>18</v>
      </c>
      <c r="E1679" s="577" t="s">
        <v>6</v>
      </c>
      <c r="F1679" s="62">
        <v>0.21</v>
      </c>
      <c r="G1679" s="63">
        <f>VLOOKUP(D1679,upahbahan,3,FALSE)</f>
        <v>150000</v>
      </c>
      <c r="H1679" s="63">
        <f>F1679*G1679</f>
        <v>31500</v>
      </c>
      <c r="I1679" s="44"/>
      <c r="J1679" s="44"/>
      <c r="K1679" s="44"/>
    </row>
    <row r="1680" spans="3:15" s="59" customFormat="1" ht="21" customHeight="1">
      <c r="C1680" s="588">
        <v>4</v>
      </c>
      <c r="D1680" s="56" t="s">
        <v>19</v>
      </c>
      <c r="E1680" s="577" t="s">
        <v>6</v>
      </c>
      <c r="F1680" s="62">
        <v>6.3E-2</v>
      </c>
      <c r="G1680" s="63">
        <f>VLOOKUP(D1680,upahbahan,3,FALSE)</f>
        <v>160000</v>
      </c>
      <c r="H1680" s="63">
        <f>F1680*G1680</f>
        <v>10080</v>
      </c>
      <c r="I1680" s="44"/>
      <c r="J1680" s="44"/>
      <c r="K1680" s="44"/>
    </row>
    <row r="1681" spans="3:15" s="59" customFormat="1" ht="21" customHeight="1">
      <c r="C1681" s="450" t="s">
        <v>1208</v>
      </c>
      <c r="D1681" s="67"/>
      <c r="E1681" s="67"/>
      <c r="F1681" s="142"/>
      <c r="G1681" s="153"/>
      <c r="H1681" s="63">
        <f>SUM(H1677:H1680)</f>
        <v>451015</v>
      </c>
      <c r="I1681" s="154"/>
      <c r="J1681" s="154"/>
      <c r="K1681" s="154"/>
    </row>
    <row r="1682" spans="3:15" s="59" customFormat="1" ht="21" customHeight="1">
      <c r="C1682" s="61" t="s">
        <v>1209</v>
      </c>
      <c r="D1682" s="56" t="s">
        <v>1210</v>
      </c>
      <c r="E1682" s="57"/>
      <c r="F1682" s="57"/>
      <c r="G1682" s="57"/>
      <c r="H1682" s="57"/>
      <c r="I1682" s="44"/>
      <c r="J1682" s="44"/>
      <c r="K1682" s="44"/>
    </row>
    <row r="1683" spans="3:15" s="59" customFormat="1" ht="21" customHeight="1">
      <c r="C1683" s="588">
        <v>1</v>
      </c>
      <c r="D1683" s="72" t="s">
        <v>8285</v>
      </c>
      <c r="E1683" s="73" t="s">
        <v>113</v>
      </c>
      <c r="F1683" s="62">
        <v>1.55</v>
      </c>
      <c r="G1683" s="63">
        <f>VLOOKUP(D1683,upahbahan,3,FALSE)</f>
        <v>1241000</v>
      </c>
      <c r="H1683" s="63">
        <f>F1683*G1683</f>
        <v>1923550</v>
      </c>
      <c r="I1683" s="44"/>
      <c r="J1683" s="44"/>
      <c r="K1683" s="44"/>
    </row>
    <row r="1684" spans="3:15" s="59" customFormat="1" ht="21" customHeight="1">
      <c r="C1684" s="450" t="s">
        <v>1214</v>
      </c>
      <c r="D1684" s="67"/>
      <c r="E1684" s="67"/>
      <c r="F1684" s="67"/>
      <c r="G1684" s="69"/>
      <c r="H1684" s="63">
        <f>SUM(H1683:H1683)</f>
        <v>1923550</v>
      </c>
      <c r="I1684" s="44"/>
      <c r="J1684" s="44"/>
      <c r="K1684" s="44"/>
    </row>
    <row r="1685" spans="3:15" s="59" customFormat="1" ht="21" customHeight="1">
      <c r="C1685" s="61" t="s">
        <v>1215</v>
      </c>
      <c r="D1685" s="56" t="s">
        <v>1216</v>
      </c>
      <c r="E1685" s="57"/>
      <c r="F1685" s="57"/>
      <c r="G1685" s="57"/>
      <c r="H1685" s="57"/>
      <c r="I1685" s="44"/>
      <c r="J1685" s="44"/>
      <c r="K1685" s="44"/>
    </row>
    <row r="1686" spans="3:15" s="59" customFormat="1" ht="21" customHeight="1">
      <c r="C1686" s="450" t="s">
        <v>1217</v>
      </c>
      <c r="D1686" s="67"/>
      <c r="E1686" s="67"/>
      <c r="F1686" s="67"/>
      <c r="G1686" s="69"/>
      <c r="H1686" s="589">
        <v>0</v>
      </c>
      <c r="I1686" s="44"/>
      <c r="J1686" s="44"/>
      <c r="K1686" s="44"/>
    </row>
    <row r="1687" spans="3:15" s="59" customFormat="1" ht="21" customHeight="1">
      <c r="C1687" s="288" t="s">
        <v>1218</v>
      </c>
      <c r="D1687" s="76" t="s">
        <v>1219</v>
      </c>
      <c r="E1687" s="77"/>
      <c r="F1687" s="77"/>
      <c r="G1687" s="78"/>
      <c r="H1687" s="585">
        <f>H1686+H1684+H1681</f>
        <v>2374565</v>
      </c>
      <c r="I1687" s="369"/>
      <c r="J1687" s="44"/>
      <c r="K1687" s="44"/>
    </row>
    <row r="1688" spans="3:15" s="59" customFormat="1" ht="21" customHeight="1">
      <c r="C1688" s="288" t="s">
        <v>1220</v>
      </c>
      <c r="D1688" s="76" t="s">
        <v>1321</v>
      </c>
      <c r="E1688" s="77"/>
      <c r="F1688" s="78"/>
      <c r="G1688" s="80">
        <v>0.1</v>
      </c>
      <c r="H1688" s="63">
        <f>H1687*G1688</f>
        <v>237456.5</v>
      </c>
      <c r="I1688" s="369"/>
      <c r="J1688" s="44"/>
      <c r="K1688" s="44"/>
    </row>
    <row r="1689" spans="3:15" s="59" customFormat="1" ht="21" customHeight="1">
      <c r="C1689" s="288" t="s">
        <v>1221</v>
      </c>
      <c r="D1689" s="76" t="s">
        <v>1222</v>
      </c>
      <c r="E1689" s="77"/>
      <c r="F1689" s="77"/>
      <c r="G1689" s="78"/>
      <c r="H1689" s="799">
        <f>SUM(H1687:H1688)</f>
        <v>2612021.5</v>
      </c>
      <c r="I1689" s="369"/>
      <c r="J1689" s="44"/>
      <c r="K1689" s="44"/>
    </row>
    <row r="1690" spans="3:15" ht="21" customHeight="1"/>
    <row r="1691" spans="3:15" s="59" customFormat="1" ht="21" customHeight="1">
      <c r="C1691" s="47" t="s">
        <v>8286</v>
      </c>
      <c r="D1691" s="794" t="s">
        <v>8287</v>
      </c>
      <c r="E1691" s="795"/>
      <c r="F1691" s="795"/>
      <c r="G1691" s="795"/>
      <c r="H1691" s="795"/>
      <c r="I1691" s="50">
        <f>ROUNDDOWN(H1706,-2)</f>
        <v>440000</v>
      </c>
      <c r="J1691" s="50" t="s">
        <v>6760</v>
      </c>
      <c r="K1691" s="50"/>
    </row>
    <row r="1692" spans="3:15" s="59" customFormat="1" ht="21" customHeight="1">
      <c r="C1692" s="591" t="s">
        <v>1195</v>
      </c>
      <c r="D1692" s="591" t="s">
        <v>1196</v>
      </c>
      <c r="E1692" s="591" t="s">
        <v>1197</v>
      </c>
      <c r="F1692" s="591" t="s">
        <v>1198</v>
      </c>
      <c r="G1692" s="591" t="s">
        <v>1199</v>
      </c>
      <c r="H1692" s="591" t="s">
        <v>1200</v>
      </c>
      <c r="I1692" s="44"/>
      <c r="J1692" s="44"/>
      <c r="K1692" s="44"/>
    </row>
    <row r="1693" spans="3:15" s="59" customFormat="1" ht="21" customHeight="1">
      <c r="C1693" s="61" t="s">
        <v>1201</v>
      </c>
      <c r="D1693" s="56" t="s">
        <v>1202</v>
      </c>
      <c r="E1693" s="57"/>
      <c r="F1693" s="57"/>
      <c r="G1693" s="57"/>
      <c r="H1693" s="57"/>
      <c r="I1693" s="44"/>
      <c r="J1693" s="44"/>
      <c r="K1693" s="44"/>
      <c r="L1693" s="152" t="s">
        <v>1247</v>
      </c>
    </row>
    <row r="1694" spans="3:15" s="59" customFormat="1" ht="21" customHeight="1">
      <c r="C1694" s="588">
        <v>1</v>
      </c>
      <c r="D1694" s="56" t="s">
        <v>5</v>
      </c>
      <c r="E1694" s="577" t="s">
        <v>6</v>
      </c>
      <c r="F1694" s="62">
        <v>3.5000000000000003E-2</v>
      </c>
      <c r="G1694" s="63">
        <f>VLOOKUP(D1694,upahbahan,3,FALSE)</f>
        <v>100000</v>
      </c>
      <c r="H1694" s="63">
        <f>F1694*G1694</f>
        <v>3500.0000000000005</v>
      </c>
      <c r="I1694" s="44"/>
      <c r="J1694" s="44"/>
      <c r="K1694" s="44"/>
      <c r="L1694" s="152" t="s">
        <v>1248</v>
      </c>
      <c r="O1694" s="65">
        <v>0.1</v>
      </c>
    </row>
    <row r="1695" spans="3:15" s="59" customFormat="1" ht="21" customHeight="1">
      <c r="C1695" s="588">
        <v>2</v>
      </c>
      <c r="D1695" s="56" t="s">
        <v>10</v>
      </c>
      <c r="E1695" s="577" t="s">
        <v>6</v>
      </c>
      <c r="F1695" s="62">
        <v>5.8000000000000003E-2</v>
      </c>
      <c r="G1695" s="63">
        <f>VLOOKUP(D1695,upahbahan,3,FALSE)</f>
        <v>135000</v>
      </c>
      <c r="H1695" s="63">
        <f>F1695*G1695</f>
        <v>7830</v>
      </c>
      <c r="I1695" s="44"/>
      <c r="J1695" s="44"/>
      <c r="K1695" s="44"/>
    </row>
    <row r="1696" spans="3:15" s="59" customFormat="1" ht="21" customHeight="1">
      <c r="C1696" s="588">
        <v>3</v>
      </c>
      <c r="D1696" s="56" t="s">
        <v>18</v>
      </c>
      <c r="E1696" s="577" t="s">
        <v>6</v>
      </c>
      <c r="F1696" s="62">
        <v>6.0000000000000001E-3</v>
      </c>
      <c r="G1696" s="63">
        <f>VLOOKUP(D1696,upahbahan,3,FALSE)</f>
        <v>150000</v>
      </c>
      <c r="H1696" s="63">
        <f>F1696*G1696</f>
        <v>900</v>
      </c>
      <c r="I1696" s="44"/>
      <c r="J1696" s="44"/>
      <c r="K1696" s="44"/>
    </row>
    <row r="1697" spans="3:15" s="59" customFormat="1" ht="21" customHeight="1">
      <c r="C1697" s="588">
        <v>4</v>
      </c>
      <c r="D1697" s="56" t="s">
        <v>19</v>
      </c>
      <c r="E1697" s="577" t="s">
        <v>6</v>
      </c>
      <c r="F1697" s="62">
        <v>2E-3</v>
      </c>
      <c r="G1697" s="63">
        <f>VLOOKUP(D1697,upahbahan,3,FALSE)</f>
        <v>160000</v>
      </c>
      <c r="H1697" s="63">
        <f>F1697*G1697</f>
        <v>320</v>
      </c>
      <c r="I1697" s="44"/>
      <c r="J1697" s="44"/>
      <c r="K1697" s="44"/>
    </row>
    <row r="1698" spans="3:15" s="59" customFormat="1" ht="21" customHeight="1">
      <c r="C1698" s="450" t="s">
        <v>1208</v>
      </c>
      <c r="D1698" s="67"/>
      <c r="E1698" s="67"/>
      <c r="F1698" s="142"/>
      <c r="G1698" s="153"/>
      <c r="H1698" s="63">
        <f>SUM(H1694:H1697)</f>
        <v>12550</v>
      </c>
      <c r="I1698" s="154"/>
      <c r="J1698" s="154"/>
      <c r="K1698" s="154"/>
    </row>
    <row r="1699" spans="3:15" s="59" customFormat="1" ht="21" customHeight="1">
      <c r="C1699" s="61" t="s">
        <v>1209</v>
      </c>
      <c r="D1699" s="56" t="s">
        <v>1210</v>
      </c>
      <c r="E1699" s="57"/>
      <c r="F1699" s="57"/>
      <c r="G1699" s="57"/>
      <c r="H1699" s="57"/>
      <c r="I1699" s="44"/>
      <c r="J1699" s="44"/>
      <c r="K1699" s="44"/>
    </row>
    <row r="1700" spans="3:15" s="59" customFormat="1" ht="21" customHeight="1">
      <c r="C1700" s="588">
        <v>1</v>
      </c>
      <c r="D1700" s="72" t="s">
        <v>8288</v>
      </c>
      <c r="E1700" s="73" t="s">
        <v>113</v>
      </c>
      <c r="F1700" s="62">
        <v>1.55</v>
      </c>
      <c r="G1700" s="63">
        <f>VLOOKUP(D1700,upahbahan,3,FALSE)</f>
        <v>250000</v>
      </c>
      <c r="H1700" s="63">
        <f>F1700*G1700</f>
        <v>387500</v>
      </c>
      <c r="I1700" s="44"/>
      <c r="J1700" s="44"/>
      <c r="K1700" s="44"/>
    </row>
    <row r="1701" spans="3:15" s="59" customFormat="1" ht="21" customHeight="1">
      <c r="C1701" s="450" t="s">
        <v>1214</v>
      </c>
      <c r="D1701" s="67"/>
      <c r="E1701" s="67"/>
      <c r="F1701" s="67"/>
      <c r="G1701" s="69"/>
      <c r="H1701" s="63">
        <f>SUM(H1700:H1700)</f>
        <v>387500</v>
      </c>
      <c r="I1701" s="44"/>
      <c r="J1701" s="44"/>
      <c r="K1701" s="44"/>
    </row>
    <row r="1702" spans="3:15" s="59" customFormat="1" ht="21" customHeight="1">
      <c r="C1702" s="61" t="s">
        <v>1215</v>
      </c>
      <c r="D1702" s="56" t="s">
        <v>1216</v>
      </c>
      <c r="E1702" s="57"/>
      <c r="F1702" s="57"/>
      <c r="G1702" s="57"/>
      <c r="H1702" s="57"/>
      <c r="I1702" s="44"/>
      <c r="J1702" s="44"/>
      <c r="K1702" s="44"/>
    </row>
    <row r="1703" spans="3:15" s="59" customFormat="1" ht="21" customHeight="1">
      <c r="C1703" s="450" t="s">
        <v>1217</v>
      </c>
      <c r="D1703" s="67"/>
      <c r="E1703" s="67"/>
      <c r="F1703" s="67"/>
      <c r="G1703" s="69"/>
      <c r="H1703" s="589">
        <v>0</v>
      </c>
      <c r="I1703" s="44"/>
      <c r="J1703" s="44"/>
      <c r="K1703" s="44"/>
    </row>
    <row r="1704" spans="3:15" s="59" customFormat="1" ht="21" customHeight="1">
      <c r="C1704" s="288" t="s">
        <v>1218</v>
      </c>
      <c r="D1704" s="76" t="s">
        <v>1219</v>
      </c>
      <c r="E1704" s="77"/>
      <c r="F1704" s="77"/>
      <c r="G1704" s="78"/>
      <c r="H1704" s="585">
        <f>H1703+H1701+H1698</f>
        <v>400050</v>
      </c>
      <c r="I1704" s="369"/>
      <c r="J1704" s="44"/>
      <c r="K1704" s="44"/>
    </row>
    <row r="1705" spans="3:15" s="59" customFormat="1" ht="21" customHeight="1">
      <c r="C1705" s="288" t="s">
        <v>1220</v>
      </c>
      <c r="D1705" s="76" t="s">
        <v>1321</v>
      </c>
      <c r="E1705" s="77"/>
      <c r="F1705" s="78"/>
      <c r="G1705" s="80">
        <v>0.1</v>
      </c>
      <c r="H1705" s="63">
        <f>H1704*G1705</f>
        <v>40005</v>
      </c>
      <c r="I1705" s="369"/>
      <c r="J1705" s="44"/>
      <c r="K1705" s="44"/>
    </row>
    <row r="1706" spans="3:15" s="59" customFormat="1" ht="21" customHeight="1">
      <c r="C1706" s="288" t="s">
        <v>1221</v>
      </c>
      <c r="D1706" s="76" t="s">
        <v>1222</v>
      </c>
      <c r="E1706" s="77"/>
      <c r="F1706" s="77"/>
      <c r="G1706" s="78"/>
      <c r="H1706" s="799">
        <f>SUM(H1704:H1705)</f>
        <v>440055</v>
      </c>
      <c r="I1706" s="369"/>
      <c r="J1706" s="44"/>
      <c r="K1706" s="44"/>
    </row>
    <row r="1707" spans="3:15" ht="21" customHeight="1"/>
    <row r="1708" spans="3:15" s="59" customFormat="1" ht="21" customHeight="1">
      <c r="C1708" s="47" t="s">
        <v>8289</v>
      </c>
      <c r="D1708" s="794" t="s">
        <v>8290</v>
      </c>
      <c r="E1708" s="795"/>
      <c r="F1708" s="795"/>
      <c r="G1708" s="795"/>
      <c r="H1708" s="795"/>
      <c r="I1708" s="50">
        <f>ROUNDDOWN(H1723,-2)</f>
        <v>463900</v>
      </c>
      <c r="J1708" s="50" t="s">
        <v>7804</v>
      </c>
      <c r="K1708" s="50"/>
    </row>
    <row r="1709" spans="3:15" s="59" customFormat="1" ht="21" customHeight="1">
      <c r="C1709" s="591" t="s">
        <v>1195</v>
      </c>
      <c r="D1709" s="591" t="s">
        <v>1196</v>
      </c>
      <c r="E1709" s="591" t="s">
        <v>1197</v>
      </c>
      <c r="F1709" s="591" t="s">
        <v>1198</v>
      </c>
      <c r="G1709" s="591" t="s">
        <v>1199</v>
      </c>
      <c r="H1709" s="591" t="s">
        <v>1200</v>
      </c>
      <c r="I1709" s="44"/>
      <c r="J1709" s="44"/>
      <c r="K1709" s="44"/>
    </row>
    <row r="1710" spans="3:15" s="59" customFormat="1" ht="21" customHeight="1">
      <c r="C1710" s="61" t="s">
        <v>1201</v>
      </c>
      <c r="D1710" s="56" t="s">
        <v>1202</v>
      </c>
      <c r="E1710" s="57"/>
      <c r="F1710" s="57"/>
      <c r="G1710" s="57"/>
      <c r="H1710" s="57"/>
      <c r="I1710" s="44"/>
      <c r="J1710" s="44"/>
      <c r="K1710" s="44"/>
      <c r="L1710" s="152" t="s">
        <v>1247</v>
      </c>
    </row>
    <row r="1711" spans="3:15" s="59" customFormat="1" ht="21" customHeight="1">
      <c r="C1711" s="588">
        <v>1</v>
      </c>
      <c r="D1711" s="56" t="s">
        <v>5</v>
      </c>
      <c r="E1711" s="577" t="s">
        <v>6</v>
      </c>
      <c r="F1711" s="62">
        <v>5.1999999999999998E-2</v>
      </c>
      <c r="G1711" s="63">
        <f>VLOOKUP(D1711,upahbahan,3,FALSE)</f>
        <v>100000</v>
      </c>
      <c r="H1711" s="63">
        <f>F1711*G1711</f>
        <v>5200</v>
      </c>
      <c r="I1711" s="44"/>
      <c r="J1711" s="44"/>
      <c r="K1711" s="44"/>
      <c r="L1711" s="152" t="s">
        <v>1248</v>
      </c>
      <c r="O1711" s="65">
        <v>0.1</v>
      </c>
    </row>
    <row r="1712" spans="3:15" s="59" customFormat="1" ht="21" customHeight="1">
      <c r="C1712" s="588">
        <v>2</v>
      </c>
      <c r="D1712" s="56" t="s">
        <v>10</v>
      </c>
      <c r="E1712" s="577" t="s">
        <v>6</v>
      </c>
      <c r="F1712" s="62">
        <v>8.6999999999999994E-2</v>
      </c>
      <c r="G1712" s="63">
        <f>VLOOKUP(D1712,upahbahan,3,FALSE)</f>
        <v>135000</v>
      </c>
      <c r="H1712" s="63">
        <f>F1712*G1712</f>
        <v>11745</v>
      </c>
      <c r="I1712" s="44"/>
      <c r="J1712" s="44"/>
      <c r="K1712" s="44"/>
    </row>
    <row r="1713" spans="3:15" s="59" customFormat="1" ht="21" customHeight="1">
      <c r="C1713" s="588">
        <v>3</v>
      </c>
      <c r="D1713" s="56" t="s">
        <v>18</v>
      </c>
      <c r="E1713" s="577" t="s">
        <v>6</v>
      </c>
      <c r="F1713" s="62">
        <v>8.9999999999999993E-3</v>
      </c>
      <c r="G1713" s="63">
        <f>VLOOKUP(D1713,upahbahan,3,FALSE)</f>
        <v>150000</v>
      </c>
      <c r="H1713" s="63">
        <f>F1713*G1713</f>
        <v>1350</v>
      </c>
      <c r="I1713" s="44"/>
      <c r="J1713" s="44"/>
      <c r="K1713" s="44"/>
    </row>
    <row r="1714" spans="3:15" s="59" customFormat="1" ht="21" customHeight="1">
      <c r="C1714" s="588">
        <v>4</v>
      </c>
      <c r="D1714" s="56" t="s">
        <v>19</v>
      </c>
      <c r="E1714" s="577" t="s">
        <v>6</v>
      </c>
      <c r="F1714" s="62">
        <v>3.0000000000000001E-3</v>
      </c>
      <c r="G1714" s="63">
        <f>VLOOKUP(D1714,upahbahan,3,FALSE)</f>
        <v>160000</v>
      </c>
      <c r="H1714" s="63">
        <f>F1714*G1714</f>
        <v>480</v>
      </c>
      <c r="I1714" s="44"/>
      <c r="J1714" s="44"/>
      <c r="K1714" s="44"/>
    </row>
    <row r="1715" spans="3:15" s="59" customFormat="1" ht="21" customHeight="1">
      <c r="C1715" s="450" t="s">
        <v>1208</v>
      </c>
      <c r="D1715" s="67"/>
      <c r="E1715" s="67"/>
      <c r="F1715" s="142"/>
      <c r="G1715" s="153"/>
      <c r="H1715" s="63">
        <f>SUM(H1711:H1714)</f>
        <v>18775</v>
      </c>
      <c r="I1715" s="154"/>
      <c r="J1715" s="154"/>
      <c r="K1715" s="154"/>
    </row>
    <row r="1716" spans="3:15" s="59" customFormat="1" ht="21" customHeight="1">
      <c r="C1716" s="61" t="s">
        <v>1209</v>
      </c>
      <c r="D1716" s="56" t="s">
        <v>1210</v>
      </c>
      <c r="E1716" s="57"/>
      <c r="F1716" s="57"/>
      <c r="G1716" s="57"/>
      <c r="H1716" s="57"/>
      <c r="I1716" s="44"/>
      <c r="J1716" s="44"/>
      <c r="K1716" s="44"/>
    </row>
    <row r="1717" spans="3:15" s="59" customFormat="1" ht="21" customHeight="1">
      <c r="C1717" s="588">
        <v>1</v>
      </c>
      <c r="D1717" s="72" t="s">
        <v>8291</v>
      </c>
      <c r="E1717" s="73" t="s">
        <v>113</v>
      </c>
      <c r="F1717" s="62">
        <v>1.55</v>
      </c>
      <c r="G1717" s="63">
        <f>VLOOKUP(D1717,upahbahan,3,FALSE)</f>
        <v>260000</v>
      </c>
      <c r="H1717" s="63">
        <f>F1717*G1717</f>
        <v>403000</v>
      </c>
      <c r="I1717" s="44"/>
      <c r="J1717" s="44"/>
      <c r="K1717" s="44"/>
    </row>
    <row r="1718" spans="3:15" s="59" customFormat="1" ht="21" customHeight="1">
      <c r="C1718" s="450" t="s">
        <v>1214</v>
      </c>
      <c r="D1718" s="67"/>
      <c r="E1718" s="67"/>
      <c r="F1718" s="67"/>
      <c r="G1718" s="69"/>
      <c r="H1718" s="63">
        <f>SUM(H1717:H1717)</f>
        <v>403000</v>
      </c>
      <c r="I1718" s="44"/>
      <c r="J1718" s="44"/>
      <c r="K1718" s="44"/>
    </row>
    <row r="1719" spans="3:15" s="59" customFormat="1" ht="21" customHeight="1">
      <c r="C1719" s="61" t="s">
        <v>1215</v>
      </c>
      <c r="D1719" s="56" t="s">
        <v>1216</v>
      </c>
      <c r="E1719" s="57"/>
      <c r="F1719" s="57"/>
      <c r="G1719" s="57"/>
      <c r="H1719" s="57"/>
      <c r="I1719" s="44"/>
      <c r="J1719" s="44"/>
      <c r="K1719" s="44"/>
    </row>
    <row r="1720" spans="3:15" s="59" customFormat="1" ht="21" customHeight="1">
      <c r="C1720" s="450" t="s">
        <v>1217</v>
      </c>
      <c r="D1720" s="67"/>
      <c r="E1720" s="67"/>
      <c r="F1720" s="67"/>
      <c r="G1720" s="69"/>
      <c r="H1720" s="589">
        <v>0</v>
      </c>
      <c r="I1720" s="44"/>
      <c r="J1720" s="44"/>
      <c r="K1720" s="44"/>
    </row>
    <row r="1721" spans="3:15" s="59" customFormat="1" ht="21" customHeight="1">
      <c r="C1721" s="288" t="s">
        <v>1218</v>
      </c>
      <c r="D1721" s="76" t="s">
        <v>1219</v>
      </c>
      <c r="E1721" s="77"/>
      <c r="F1721" s="77"/>
      <c r="G1721" s="78"/>
      <c r="H1721" s="585">
        <f>H1720+H1718+H1715</f>
        <v>421775</v>
      </c>
      <c r="I1721" s="369"/>
      <c r="J1721" s="44"/>
      <c r="K1721" s="44"/>
    </row>
    <row r="1722" spans="3:15" s="59" customFormat="1" ht="21" customHeight="1">
      <c r="C1722" s="288" t="s">
        <v>1220</v>
      </c>
      <c r="D1722" s="76" t="s">
        <v>1321</v>
      </c>
      <c r="E1722" s="77"/>
      <c r="F1722" s="78"/>
      <c r="G1722" s="80">
        <v>0.1</v>
      </c>
      <c r="H1722" s="63">
        <f>H1721*G1722</f>
        <v>42177.5</v>
      </c>
      <c r="I1722" s="369"/>
      <c r="J1722" s="44"/>
      <c r="K1722" s="44"/>
    </row>
    <row r="1723" spans="3:15" s="59" customFormat="1" ht="21" customHeight="1">
      <c r="C1723" s="288" t="s">
        <v>1221</v>
      </c>
      <c r="D1723" s="76" t="s">
        <v>1222</v>
      </c>
      <c r="E1723" s="77"/>
      <c r="F1723" s="77"/>
      <c r="G1723" s="78"/>
      <c r="H1723" s="799">
        <f>SUM(H1721:H1722)</f>
        <v>463952.5</v>
      </c>
      <c r="I1723" s="369"/>
      <c r="J1723" s="44"/>
      <c r="K1723" s="44"/>
    </row>
    <row r="1724" spans="3:15" ht="21" customHeight="1"/>
    <row r="1725" spans="3:15" s="59" customFormat="1" ht="21" customHeight="1">
      <c r="C1725" s="47" t="s">
        <v>8292</v>
      </c>
      <c r="D1725" s="794" t="s">
        <v>8293</v>
      </c>
      <c r="E1725" s="795"/>
      <c r="F1725" s="795"/>
      <c r="G1725" s="795"/>
      <c r="H1725" s="795"/>
      <c r="I1725" s="50">
        <f>ROUNDDOWN(H1740,-2)</f>
        <v>470300</v>
      </c>
      <c r="J1725" s="50" t="s">
        <v>7804</v>
      </c>
      <c r="K1725" s="50"/>
    </row>
    <row r="1726" spans="3:15" s="59" customFormat="1" ht="21" customHeight="1">
      <c r="C1726" s="591" t="s">
        <v>1195</v>
      </c>
      <c r="D1726" s="591" t="s">
        <v>1196</v>
      </c>
      <c r="E1726" s="591" t="s">
        <v>1197</v>
      </c>
      <c r="F1726" s="591" t="s">
        <v>1198</v>
      </c>
      <c r="G1726" s="591" t="s">
        <v>1199</v>
      </c>
      <c r="H1726" s="591" t="s">
        <v>1200</v>
      </c>
      <c r="I1726" s="44"/>
      <c r="J1726" s="44"/>
      <c r="K1726" s="44"/>
    </row>
    <row r="1727" spans="3:15" s="59" customFormat="1" ht="21" customHeight="1">
      <c r="C1727" s="61" t="s">
        <v>1201</v>
      </c>
      <c r="D1727" s="56" t="s">
        <v>1202</v>
      </c>
      <c r="E1727" s="57"/>
      <c r="F1727" s="57"/>
      <c r="G1727" s="57"/>
      <c r="H1727" s="57"/>
      <c r="I1727" s="44"/>
      <c r="J1727" s="44"/>
      <c r="K1727" s="44"/>
      <c r="L1727" s="152" t="s">
        <v>1247</v>
      </c>
    </row>
    <row r="1728" spans="3:15" s="59" customFormat="1" ht="21" customHeight="1">
      <c r="C1728" s="588">
        <v>1</v>
      </c>
      <c r="D1728" s="56" t="s">
        <v>5</v>
      </c>
      <c r="E1728" s="577" t="s">
        <v>6</v>
      </c>
      <c r="F1728" s="62">
        <v>6.9000000000000006E-2</v>
      </c>
      <c r="G1728" s="63">
        <f>VLOOKUP(D1728,upahbahan,3,FALSE)</f>
        <v>100000</v>
      </c>
      <c r="H1728" s="63">
        <f>F1728*G1728</f>
        <v>6900.0000000000009</v>
      </c>
      <c r="I1728" s="44"/>
      <c r="J1728" s="44"/>
      <c r="K1728" s="44"/>
      <c r="L1728" s="152" t="s">
        <v>1248</v>
      </c>
      <c r="O1728" s="65">
        <v>0.1</v>
      </c>
    </row>
    <row r="1729" spans="3:12" s="59" customFormat="1" ht="21" customHeight="1">
      <c r="C1729" s="588">
        <v>2</v>
      </c>
      <c r="D1729" s="56" t="s">
        <v>10</v>
      </c>
      <c r="E1729" s="577" t="s">
        <v>6</v>
      </c>
      <c r="F1729" s="62">
        <v>0.115</v>
      </c>
      <c r="G1729" s="63">
        <f>VLOOKUP(D1729,upahbahan,3,FALSE)</f>
        <v>135000</v>
      </c>
      <c r="H1729" s="63">
        <f>F1729*G1729</f>
        <v>15525</v>
      </c>
      <c r="I1729" s="44"/>
      <c r="J1729" s="44"/>
      <c r="K1729" s="44"/>
    </row>
    <row r="1730" spans="3:12" s="59" customFormat="1" ht="21" customHeight="1">
      <c r="C1730" s="588">
        <v>3</v>
      </c>
      <c r="D1730" s="56" t="s">
        <v>18</v>
      </c>
      <c r="E1730" s="577" t="s">
        <v>6</v>
      </c>
      <c r="F1730" s="62">
        <v>1.0999999999999999E-2</v>
      </c>
      <c r="G1730" s="63">
        <f>VLOOKUP(D1730,upahbahan,3,FALSE)</f>
        <v>150000</v>
      </c>
      <c r="H1730" s="63">
        <f>F1730*G1730</f>
        <v>1650</v>
      </c>
      <c r="I1730" s="44"/>
      <c r="J1730" s="44"/>
      <c r="K1730" s="44"/>
    </row>
    <row r="1731" spans="3:12" s="59" customFormat="1" ht="21" customHeight="1">
      <c r="C1731" s="588">
        <v>4</v>
      </c>
      <c r="D1731" s="56" t="s">
        <v>19</v>
      </c>
      <c r="E1731" s="577" t="s">
        <v>6</v>
      </c>
      <c r="F1731" s="62">
        <v>3.0000000000000001E-3</v>
      </c>
      <c r="G1731" s="63">
        <f>VLOOKUP(D1731,upahbahan,3,FALSE)</f>
        <v>160000</v>
      </c>
      <c r="H1731" s="63">
        <f>F1731*G1731</f>
        <v>480</v>
      </c>
      <c r="I1731" s="44"/>
      <c r="J1731" s="44"/>
      <c r="K1731" s="44"/>
    </row>
    <row r="1732" spans="3:12" s="59" customFormat="1" ht="21" customHeight="1">
      <c r="C1732" s="450" t="s">
        <v>1208</v>
      </c>
      <c r="D1732" s="67"/>
      <c r="E1732" s="67"/>
      <c r="F1732" s="142"/>
      <c r="G1732" s="153"/>
      <c r="H1732" s="63">
        <f>SUM(H1728:H1731)</f>
        <v>24555</v>
      </c>
      <c r="I1732" s="154"/>
      <c r="J1732" s="154"/>
      <c r="K1732" s="154"/>
    </row>
    <row r="1733" spans="3:12" s="59" customFormat="1" ht="21" customHeight="1">
      <c r="C1733" s="61" t="s">
        <v>1209</v>
      </c>
      <c r="D1733" s="56" t="s">
        <v>1210</v>
      </c>
      <c r="E1733" s="57"/>
      <c r="F1733" s="57"/>
      <c r="G1733" s="57"/>
      <c r="H1733" s="57"/>
      <c r="I1733" s="44"/>
      <c r="J1733" s="44"/>
      <c r="K1733" s="44"/>
    </row>
    <row r="1734" spans="3:12" s="59" customFormat="1" ht="21" customHeight="1">
      <c r="C1734" s="588">
        <v>1</v>
      </c>
      <c r="D1734" s="72" t="s">
        <v>8291</v>
      </c>
      <c r="E1734" s="73" t="s">
        <v>113</v>
      </c>
      <c r="F1734" s="62">
        <v>1.55</v>
      </c>
      <c r="G1734" s="63">
        <f>VLOOKUP(D1734,upahbahan,3,FALSE)</f>
        <v>260000</v>
      </c>
      <c r="H1734" s="63">
        <f>F1734*G1734</f>
        <v>403000</v>
      </c>
      <c r="I1734" s="44"/>
      <c r="J1734" s="44"/>
      <c r="K1734" s="44"/>
    </row>
    <row r="1735" spans="3:12" s="59" customFormat="1" ht="21" customHeight="1">
      <c r="C1735" s="450" t="s">
        <v>1214</v>
      </c>
      <c r="D1735" s="67"/>
      <c r="E1735" s="67"/>
      <c r="F1735" s="67"/>
      <c r="G1735" s="69"/>
      <c r="H1735" s="63">
        <f>SUM(H1734:H1734)</f>
        <v>403000</v>
      </c>
      <c r="I1735" s="44"/>
      <c r="J1735" s="44"/>
      <c r="K1735" s="44"/>
    </row>
    <row r="1736" spans="3:12" s="59" customFormat="1" ht="21" customHeight="1">
      <c r="C1736" s="61" t="s">
        <v>1215</v>
      </c>
      <c r="D1736" s="56" t="s">
        <v>1216</v>
      </c>
      <c r="E1736" s="57"/>
      <c r="F1736" s="57"/>
      <c r="G1736" s="57"/>
      <c r="H1736" s="57"/>
      <c r="I1736" s="44"/>
      <c r="J1736" s="44"/>
      <c r="K1736" s="44"/>
    </row>
    <row r="1737" spans="3:12" s="59" customFormat="1" ht="21" customHeight="1">
      <c r="C1737" s="450" t="s">
        <v>1217</v>
      </c>
      <c r="D1737" s="67"/>
      <c r="E1737" s="67"/>
      <c r="F1737" s="67"/>
      <c r="G1737" s="69"/>
      <c r="H1737" s="589">
        <v>0</v>
      </c>
      <c r="I1737" s="44"/>
      <c r="J1737" s="44"/>
      <c r="K1737" s="44"/>
    </row>
    <row r="1738" spans="3:12" s="59" customFormat="1" ht="21" customHeight="1">
      <c r="C1738" s="288" t="s">
        <v>1218</v>
      </c>
      <c r="D1738" s="76" t="s">
        <v>1219</v>
      </c>
      <c r="E1738" s="77"/>
      <c r="F1738" s="77"/>
      <c r="G1738" s="78"/>
      <c r="H1738" s="585">
        <f>H1737+H1735+H1732</f>
        <v>427555</v>
      </c>
      <c r="I1738" s="369"/>
      <c r="J1738" s="44"/>
      <c r="K1738" s="44"/>
    </row>
    <row r="1739" spans="3:12" s="59" customFormat="1" ht="21" customHeight="1">
      <c r="C1739" s="288" t="s">
        <v>1220</v>
      </c>
      <c r="D1739" s="76" t="s">
        <v>1321</v>
      </c>
      <c r="E1739" s="77"/>
      <c r="F1739" s="78"/>
      <c r="G1739" s="80">
        <v>0.1</v>
      </c>
      <c r="H1739" s="63">
        <f>H1738*G1739</f>
        <v>42755.5</v>
      </c>
      <c r="I1739" s="369"/>
      <c r="J1739" s="44"/>
      <c r="K1739" s="44"/>
    </row>
    <row r="1740" spans="3:12" s="59" customFormat="1" ht="21" customHeight="1">
      <c r="C1740" s="288" t="s">
        <v>1221</v>
      </c>
      <c r="D1740" s="76" t="s">
        <v>1222</v>
      </c>
      <c r="E1740" s="77"/>
      <c r="F1740" s="77"/>
      <c r="G1740" s="78"/>
      <c r="H1740" s="799">
        <f>SUM(H1738:H1739)</f>
        <v>470310.5</v>
      </c>
      <c r="I1740" s="369"/>
      <c r="J1740" s="44"/>
      <c r="K1740" s="44"/>
    </row>
    <row r="1741" spans="3:12" ht="21" customHeight="1"/>
    <row r="1742" spans="3:12" s="59" customFormat="1" ht="21" customHeight="1">
      <c r="C1742" s="47" t="s">
        <v>8294</v>
      </c>
      <c r="D1742" s="794" t="s">
        <v>8295</v>
      </c>
      <c r="E1742" s="795"/>
      <c r="F1742" s="795"/>
      <c r="G1742" s="795"/>
      <c r="H1742" s="795"/>
      <c r="I1742" s="50">
        <f>ROUNDDOWN(H1757,-2)</f>
        <v>493900</v>
      </c>
      <c r="J1742" s="50" t="s">
        <v>7804</v>
      </c>
      <c r="K1742" s="50"/>
    </row>
    <row r="1743" spans="3:12" s="59" customFormat="1" ht="21" customHeight="1">
      <c r="C1743" s="591" t="s">
        <v>1195</v>
      </c>
      <c r="D1743" s="591" t="s">
        <v>1196</v>
      </c>
      <c r="E1743" s="591" t="s">
        <v>1197</v>
      </c>
      <c r="F1743" s="591" t="s">
        <v>1198</v>
      </c>
      <c r="G1743" s="591" t="s">
        <v>1199</v>
      </c>
      <c r="H1743" s="591" t="s">
        <v>1200</v>
      </c>
      <c r="I1743" s="44"/>
      <c r="J1743" s="44"/>
      <c r="K1743" s="44"/>
    </row>
    <row r="1744" spans="3:12" s="59" customFormat="1" ht="21" customHeight="1">
      <c r="C1744" s="61" t="s">
        <v>1201</v>
      </c>
      <c r="D1744" s="56" t="s">
        <v>1202</v>
      </c>
      <c r="E1744" s="57"/>
      <c r="F1744" s="57"/>
      <c r="G1744" s="57"/>
      <c r="H1744" s="57"/>
      <c r="I1744" s="44"/>
      <c r="J1744" s="44"/>
      <c r="K1744" s="44"/>
      <c r="L1744" s="152" t="s">
        <v>1247</v>
      </c>
    </row>
    <row r="1745" spans="3:15" s="59" customFormat="1" ht="21" customHeight="1">
      <c r="C1745" s="588">
        <v>1</v>
      </c>
      <c r="D1745" s="56" t="s">
        <v>5</v>
      </c>
      <c r="E1745" s="577" t="s">
        <v>6</v>
      </c>
      <c r="F1745" s="62">
        <v>8.5000000000000006E-2</v>
      </c>
      <c r="G1745" s="63">
        <f>VLOOKUP(D1745,upahbahan,3,FALSE)</f>
        <v>100000</v>
      </c>
      <c r="H1745" s="63">
        <f>F1745*G1745</f>
        <v>8500</v>
      </c>
      <c r="I1745" s="44"/>
      <c r="J1745" s="44"/>
      <c r="K1745" s="44"/>
      <c r="L1745" s="152" t="s">
        <v>1248</v>
      </c>
      <c r="O1745" s="65">
        <v>0.1</v>
      </c>
    </row>
    <row r="1746" spans="3:15" s="59" customFormat="1" ht="21" customHeight="1">
      <c r="C1746" s="588">
        <v>2</v>
      </c>
      <c r="D1746" s="56" t="s">
        <v>10</v>
      </c>
      <c r="E1746" s="577" t="s">
        <v>6</v>
      </c>
      <c r="F1746" s="62">
        <v>0.14299999999999999</v>
      </c>
      <c r="G1746" s="63">
        <f>VLOOKUP(D1746,upahbahan,3,FALSE)</f>
        <v>135000</v>
      </c>
      <c r="H1746" s="63">
        <f>F1746*G1746</f>
        <v>19305</v>
      </c>
      <c r="I1746" s="44"/>
      <c r="J1746" s="44"/>
      <c r="K1746" s="44"/>
    </row>
    <row r="1747" spans="3:15" s="59" customFormat="1" ht="21" customHeight="1">
      <c r="C1747" s="588">
        <v>3</v>
      </c>
      <c r="D1747" s="56" t="s">
        <v>18</v>
      </c>
      <c r="E1747" s="577" t="s">
        <v>6</v>
      </c>
      <c r="F1747" s="62">
        <v>1.4E-2</v>
      </c>
      <c r="G1747" s="63">
        <f>VLOOKUP(D1747,upahbahan,3,FALSE)</f>
        <v>150000</v>
      </c>
      <c r="H1747" s="63">
        <f>F1747*G1747</f>
        <v>2100</v>
      </c>
      <c r="I1747" s="44"/>
      <c r="J1747" s="44"/>
      <c r="K1747" s="44"/>
    </row>
    <row r="1748" spans="3:15" s="59" customFormat="1" ht="21" customHeight="1">
      <c r="C1748" s="588">
        <v>4</v>
      </c>
      <c r="D1748" s="56" t="s">
        <v>19</v>
      </c>
      <c r="E1748" s="577" t="s">
        <v>6</v>
      </c>
      <c r="F1748" s="62">
        <v>4.0000000000000001E-3</v>
      </c>
      <c r="G1748" s="63">
        <f>VLOOKUP(D1748,upahbahan,3,FALSE)</f>
        <v>160000</v>
      </c>
      <c r="H1748" s="63">
        <f>F1748*G1748</f>
        <v>640</v>
      </c>
      <c r="I1748" s="44"/>
      <c r="J1748" s="44"/>
      <c r="K1748" s="44"/>
    </row>
    <row r="1749" spans="3:15" s="59" customFormat="1" ht="21" customHeight="1">
      <c r="C1749" s="450" t="s">
        <v>1208</v>
      </c>
      <c r="D1749" s="67"/>
      <c r="E1749" s="67"/>
      <c r="F1749" s="142"/>
      <c r="G1749" s="153"/>
      <c r="H1749" s="63">
        <f>SUM(H1745:H1748)</f>
        <v>30545</v>
      </c>
      <c r="I1749" s="154"/>
      <c r="J1749" s="154"/>
      <c r="K1749" s="154"/>
    </row>
    <row r="1750" spans="3:15" s="59" customFormat="1" ht="21" customHeight="1">
      <c r="C1750" s="61" t="s">
        <v>1209</v>
      </c>
      <c r="D1750" s="56" t="s">
        <v>1210</v>
      </c>
      <c r="E1750" s="57"/>
      <c r="F1750" s="57"/>
      <c r="G1750" s="57"/>
      <c r="H1750" s="57"/>
      <c r="I1750" s="44"/>
      <c r="J1750" s="44"/>
      <c r="K1750" s="44"/>
    </row>
    <row r="1751" spans="3:15" s="59" customFormat="1" ht="21" customHeight="1">
      <c r="C1751" s="588">
        <v>1</v>
      </c>
      <c r="D1751" s="72" t="s">
        <v>8296</v>
      </c>
      <c r="E1751" s="73" t="s">
        <v>113</v>
      </c>
      <c r="F1751" s="62">
        <v>1.55</v>
      </c>
      <c r="G1751" s="63">
        <f>VLOOKUP(D1751,upahbahan,3,FALSE)</f>
        <v>270000</v>
      </c>
      <c r="H1751" s="63">
        <f>F1751*G1751</f>
        <v>418500</v>
      </c>
      <c r="I1751" s="44"/>
      <c r="J1751" s="44"/>
      <c r="K1751" s="44"/>
    </row>
    <row r="1752" spans="3:15" s="59" customFormat="1" ht="21" customHeight="1">
      <c r="C1752" s="450" t="s">
        <v>1214</v>
      </c>
      <c r="D1752" s="67"/>
      <c r="E1752" s="67"/>
      <c r="F1752" s="67"/>
      <c r="G1752" s="69"/>
      <c r="H1752" s="63">
        <f>SUM(H1751:H1751)</f>
        <v>418500</v>
      </c>
      <c r="I1752" s="44"/>
      <c r="J1752" s="44"/>
      <c r="K1752" s="44"/>
    </row>
    <row r="1753" spans="3:15" s="59" customFormat="1" ht="21" customHeight="1">
      <c r="C1753" s="61" t="s">
        <v>1215</v>
      </c>
      <c r="D1753" s="56" t="s">
        <v>1216</v>
      </c>
      <c r="E1753" s="57"/>
      <c r="F1753" s="57"/>
      <c r="G1753" s="57"/>
      <c r="H1753" s="57"/>
      <c r="I1753" s="44"/>
      <c r="J1753" s="44"/>
      <c r="K1753" s="44"/>
    </row>
    <row r="1754" spans="3:15" s="59" customFormat="1" ht="21" customHeight="1">
      <c r="C1754" s="450" t="s">
        <v>1217</v>
      </c>
      <c r="D1754" s="67"/>
      <c r="E1754" s="67"/>
      <c r="F1754" s="67"/>
      <c r="G1754" s="69"/>
      <c r="H1754" s="589">
        <v>0</v>
      </c>
      <c r="I1754" s="44"/>
      <c r="J1754" s="44"/>
      <c r="K1754" s="44"/>
    </row>
    <row r="1755" spans="3:15" s="59" customFormat="1" ht="21" customHeight="1">
      <c r="C1755" s="288" t="s">
        <v>1218</v>
      </c>
      <c r="D1755" s="76" t="s">
        <v>1219</v>
      </c>
      <c r="E1755" s="77"/>
      <c r="F1755" s="77"/>
      <c r="G1755" s="78"/>
      <c r="H1755" s="585">
        <f>H1754+H1752+H1749</f>
        <v>449045</v>
      </c>
      <c r="I1755" s="369"/>
      <c r="J1755" s="44"/>
      <c r="K1755" s="44"/>
    </row>
    <row r="1756" spans="3:15" s="59" customFormat="1" ht="21" customHeight="1">
      <c r="C1756" s="288" t="s">
        <v>1220</v>
      </c>
      <c r="D1756" s="76" t="s">
        <v>1321</v>
      </c>
      <c r="E1756" s="77"/>
      <c r="F1756" s="78"/>
      <c r="G1756" s="80">
        <v>0.1</v>
      </c>
      <c r="H1756" s="63">
        <f>H1755*G1756</f>
        <v>44904.5</v>
      </c>
      <c r="I1756" s="369"/>
      <c r="J1756" s="44"/>
      <c r="K1756" s="44"/>
    </row>
    <row r="1757" spans="3:15" s="59" customFormat="1" ht="21" customHeight="1">
      <c r="C1757" s="288" t="s">
        <v>1221</v>
      </c>
      <c r="D1757" s="76" t="s">
        <v>1222</v>
      </c>
      <c r="E1757" s="77"/>
      <c r="F1757" s="77"/>
      <c r="G1757" s="78"/>
      <c r="H1757" s="799">
        <f>SUM(H1755:H1756)</f>
        <v>493949.5</v>
      </c>
      <c r="I1757" s="369"/>
      <c r="J1757" s="44"/>
      <c r="K1757" s="44"/>
    </row>
    <row r="1758" spans="3:15" ht="21" customHeight="1"/>
    <row r="1759" spans="3:15" s="59" customFormat="1" ht="21" customHeight="1">
      <c r="C1759" s="47" t="s">
        <v>8297</v>
      </c>
      <c r="D1759" s="794" t="s">
        <v>8298</v>
      </c>
      <c r="E1759" s="795"/>
      <c r="F1759" s="795"/>
      <c r="G1759" s="795"/>
      <c r="H1759" s="795"/>
      <c r="I1759" s="50">
        <f>ROUNDDOWN(H1774,-2)</f>
        <v>518300</v>
      </c>
      <c r="J1759" s="50" t="s">
        <v>7804</v>
      </c>
      <c r="K1759" s="50"/>
    </row>
    <row r="1760" spans="3:15" s="59" customFormat="1" ht="21" customHeight="1">
      <c r="C1760" s="591" t="s">
        <v>1195</v>
      </c>
      <c r="D1760" s="591" t="s">
        <v>1196</v>
      </c>
      <c r="E1760" s="591" t="s">
        <v>1197</v>
      </c>
      <c r="F1760" s="591" t="s">
        <v>1198</v>
      </c>
      <c r="G1760" s="591" t="s">
        <v>1199</v>
      </c>
      <c r="H1760" s="591" t="s">
        <v>1200</v>
      </c>
      <c r="I1760" s="44"/>
      <c r="J1760" s="44"/>
      <c r="K1760" s="44"/>
    </row>
    <row r="1761" spans="3:15" s="59" customFormat="1" ht="21" customHeight="1">
      <c r="C1761" s="61" t="s">
        <v>1201</v>
      </c>
      <c r="D1761" s="56" t="s">
        <v>1202</v>
      </c>
      <c r="E1761" s="57"/>
      <c r="F1761" s="57"/>
      <c r="G1761" s="57"/>
      <c r="H1761" s="57"/>
      <c r="I1761" s="44"/>
      <c r="J1761" s="44"/>
      <c r="K1761" s="44"/>
      <c r="L1761" s="152" t="s">
        <v>1247</v>
      </c>
    </row>
    <row r="1762" spans="3:15" s="59" customFormat="1" ht="21" customHeight="1">
      <c r="C1762" s="588">
        <v>1</v>
      </c>
      <c r="D1762" s="56" t="s">
        <v>5</v>
      </c>
      <c r="E1762" s="577" t="s">
        <v>6</v>
      </c>
      <c r="F1762" s="62">
        <v>0.104</v>
      </c>
      <c r="G1762" s="63">
        <f>VLOOKUP(D1762,upahbahan,3,FALSE)</f>
        <v>100000</v>
      </c>
      <c r="H1762" s="63">
        <f>F1762*G1762</f>
        <v>10400</v>
      </c>
      <c r="I1762" s="44"/>
      <c r="J1762" s="44"/>
      <c r="K1762" s="44"/>
      <c r="L1762" s="152" t="s">
        <v>1248</v>
      </c>
      <c r="O1762" s="65">
        <v>0.1</v>
      </c>
    </row>
    <row r="1763" spans="3:15" s="59" customFormat="1" ht="21" customHeight="1">
      <c r="C1763" s="588">
        <v>2</v>
      </c>
      <c r="D1763" s="56" t="s">
        <v>10</v>
      </c>
      <c r="E1763" s="577" t="s">
        <v>6</v>
      </c>
      <c r="F1763" s="62">
        <v>0.17399999999999999</v>
      </c>
      <c r="G1763" s="63">
        <f>VLOOKUP(D1763,upahbahan,3,FALSE)</f>
        <v>135000</v>
      </c>
      <c r="H1763" s="63">
        <f>F1763*G1763</f>
        <v>23490</v>
      </c>
      <c r="I1763" s="44"/>
      <c r="J1763" s="44"/>
      <c r="K1763" s="44"/>
    </row>
    <row r="1764" spans="3:15" s="59" customFormat="1" ht="21" customHeight="1">
      <c r="C1764" s="588">
        <v>3</v>
      </c>
      <c r="D1764" s="56" t="s">
        <v>18</v>
      </c>
      <c r="E1764" s="577" t="s">
        <v>6</v>
      </c>
      <c r="F1764" s="62">
        <v>1.7000000000000001E-2</v>
      </c>
      <c r="G1764" s="63">
        <f>VLOOKUP(D1764,upahbahan,3,FALSE)</f>
        <v>150000</v>
      </c>
      <c r="H1764" s="63">
        <f>F1764*G1764</f>
        <v>2550</v>
      </c>
      <c r="I1764" s="44"/>
      <c r="J1764" s="44"/>
      <c r="K1764" s="44"/>
    </row>
    <row r="1765" spans="3:15" s="59" customFormat="1" ht="21" customHeight="1">
      <c r="C1765" s="588">
        <v>4</v>
      </c>
      <c r="D1765" s="56" t="s">
        <v>19</v>
      </c>
      <c r="E1765" s="577" t="s">
        <v>6</v>
      </c>
      <c r="F1765" s="62">
        <v>5.0000000000000001E-3</v>
      </c>
      <c r="G1765" s="63">
        <f>VLOOKUP(D1765,upahbahan,3,FALSE)</f>
        <v>160000</v>
      </c>
      <c r="H1765" s="63">
        <f>F1765*G1765</f>
        <v>800</v>
      </c>
      <c r="I1765" s="44"/>
      <c r="J1765" s="44"/>
      <c r="K1765" s="44"/>
    </row>
    <row r="1766" spans="3:15" s="59" customFormat="1" ht="21" customHeight="1">
      <c r="C1766" s="450" t="s">
        <v>1208</v>
      </c>
      <c r="D1766" s="67"/>
      <c r="E1766" s="67"/>
      <c r="F1766" s="142"/>
      <c r="G1766" s="153"/>
      <c r="H1766" s="63">
        <f>SUM(H1762:H1765)</f>
        <v>37240</v>
      </c>
      <c r="I1766" s="154"/>
      <c r="J1766" s="154"/>
      <c r="K1766" s="154"/>
    </row>
    <row r="1767" spans="3:15" s="59" customFormat="1" ht="21" customHeight="1">
      <c r="C1767" s="61" t="s">
        <v>1209</v>
      </c>
      <c r="D1767" s="56" t="s">
        <v>1210</v>
      </c>
      <c r="E1767" s="57"/>
      <c r="F1767" s="57"/>
      <c r="G1767" s="57"/>
      <c r="H1767" s="57"/>
      <c r="I1767" s="44"/>
      <c r="J1767" s="44"/>
      <c r="K1767" s="44"/>
    </row>
    <row r="1768" spans="3:15" s="59" customFormat="1" ht="21" customHeight="1">
      <c r="C1768" s="588">
        <v>1</v>
      </c>
      <c r="D1768" s="72" t="s">
        <v>8299</v>
      </c>
      <c r="E1768" s="73" t="s">
        <v>113</v>
      </c>
      <c r="F1768" s="62">
        <v>1.55</v>
      </c>
      <c r="G1768" s="63">
        <f>VLOOKUP(D1768,upahbahan,3,FALSE)</f>
        <v>280000</v>
      </c>
      <c r="H1768" s="63">
        <f>F1768*G1768</f>
        <v>434000</v>
      </c>
      <c r="I1768" s="44"/>
      <c r="J1768" s="44"/>
      <c r="K1768" s="44"/>
    </row>
    <row r="1769" spans="3:15" s="59" customFormat="1" ht="21" customHeight="1">
      <c r="C1769" s="450" t="s">
        <v>1214</v>
      </c>
      <c r="D1769" s="67"/>
      <c r="E1769" s="67"/>
      <c r="F1769" s="67"/>
      <c r="G1769" s="69"/>
      <c r="H1769" s="63">
        <f>SUM(H1768:H1768)</f>
        <v>434000</v>
      </c>
      <c r="I1769" s="44"/>
      <c r="J1769" s="44"/>
      <c r="K1769" s="44"/>
    </row>
    <row r="1770" spans="3:15" s="59" customFormat="1" ht="21" customHeight="1">
      <c r="C1770" s="61" t="s">
        <v>1215</v>
      </c>
      <c r="D1770" s="56" t="s">
        <v>1216</v>
      </c>
      <c r="E1770" s="57"/>
      <c r="F1770" s="57"/>
      <c r="G1770" s="57"/>
      <c r="H1770" s="57"/>
      <c r="I1770" s="44"/>
      <c r="J1770" s="44"/>
      <c r="K1770" s="44"/>
    </row>
    <row r="1771" spans="3:15" s="59" customFormat="1" ht="21" customHeight="1">
      <c r="C1771" s="450" t="s">
        <v>1217</v>
      </c>
      <c r="D1771" s="67"/>
      <c r="E1771" s="67"/>
      <c r="F1771" s="67"/>
      <c r="G1771" s="69"/>
      <c r="H1771" s="589">
        <v>0</v>
      </c>
      <c r="I1771" s="44"/>
      <c r="J1771" s="44"/>
      <c r="K1771" s="44"/>
    </row>
    <row r="1772" spans="3:15" s="59" customFormat="1" ht="21" customHeight="1">
      <c r="C1772" s="288" t="s">
        <v>1218</v>
      </c>
      <c r="D1772" s="76" t="s">
        <v>1219</v>
      </c>
      <c r="E1772" s="77"/>
      <c r="F1772" s="77"/>
      <c r="G1772" s="78"/>
      <c r="H1772" s="585">
        <f>H1771+H1769+H1766</f>
        <v>471240</v>
      </c>
      <c r="I1772" s="369"/>
      <c r="J1772" s="44"/>
      <c r="K1772" s="44"/>
    </row>
    <row r="1773" spans="3:15" s="59" customFormat="1" ht="21" customHeight="1">
      <c r="C1773" s="288" t="s">
        <v>1220</v>
      </c>
      <c r="D1773" s="76" t="s">
        <v>1321</v>
      </c>
      <c r="E1773" s="77"/>
      <c r="F1773" s="78"/>
      <c r="G1773" s="80">
        <v>0.1</v>
      </c>
      <c r="H1773" s="63">
        <f>H1772*G1773</f>
        <v>47124</v>
      </c>
      <c r="I1773" s="369"/>
      <c r="J1773" s="44"/>
      <c r="K1773" s="44"/>
    </row>
    <row r="1774" spans="3:15" s="59" customFormat="1" ht="21" customHeight="1">
      <c r="C1774" s="288" t="s">
        <v>1221</v>
      </c>
      <c r="D1774" s="76" t="s">
        <v>1222</v>
      </c>
      <c r="E1774" s="77"/>
      <c r="F1774" s="77"/>
      <c r="G1774" s="78"/>
      <c r="H1774" s="799">
        <f>SUM(H1772:H1773)</f>
        <v>518364</v>
      </c>
      <c r="I1774" s="369"/>
      <c r="J1774" s="44"/>
      <c r="K1774" s="44"/>
    </row>
    <row r="1775" spans="3:15" ht="21" customHeight="1"/>
    <row r="1776" spans="3:15" s="59" customFormat="1" ht="21" customHeight="1">
      <c r="C1776" s="47" t="s">
        <v>8300</v>
      </c>
      <c r="D1776" s="794" t="s">
        <v>8301</v>
      </c>
      <c r="E1776" s="795"/>
      <c r="F1776" s="795"/>
      <c r="G1776" s="795"/>
      <c r="H1776" s="795"/>
      <c r="I1776" s="50">
        <f>ROUNDDOWN(H1791,-2)</f>
        <v>548800</v>
      </c>
      <c r="J1776" s="50" t="s">
        <v>7804</v>
      </c>
      <c r="K1776" s="50"/>
    </row>
    <row r="1777" spans="3:15" s="59" customFormat="1" ht="21" customHeight="1">
      <c r="C1777" s="591" t="s">
        <v>1195</v>
      </c>
      <c r="D1777" s="591" t="s">
        <v>1196</v>
      </c>
      <c r="E1777" s="591" t="s">
        <v>1197</v>
      </c>
      <c r="F1777" s="591" t="s">
        <v>1198</v>
      </c>
      <c r="G1777" s="591" t="s">
        <v>1199</v>
      </c>
      <c r="H1777" s="591" t="s">
        <v>1200</v>
      </c>
      <c r="I1777" s="44"/>
      <c r="J1777" s="44"/>
      <c r="K1777" s="44"/>
    </row>
    <row r="1778" spans="3:15" s="59" customFormat="1" ht="21" customHeight="1">
      <c r="C1778" s="61" t="s">
        <v>1201</v>
      </c>
      <c r="D1778" s="56" t="s">
        <v>1202</v>
      </c>
      <c r="E1778" s="57"/>
      <c r="F1778" s="57"/>
      <c r="G1778" s="57"/>
      <c r="H1778" s="57"/>
      <c r="I1778" s="44"/>
      <c r="J1778" s="44"/>
      <c r="K1778" s="44"/>
      <c r="L1778" s="152" t="s">
        <v>1247</v>
      </c>
    </row>
    <row r="1779" spans="3:15" s="59" customFormat="1" ht="21" customHeight="1">
      <c r="C1779" s="588">
        <v>1</v>
      </c>
      <c r="D1779" s="56" t="s">
        <v>5</v>
      </c>
      <c r="E1779" s="577" t="s">
        <v>6</v>
      </c>
      <c r="F1779" s="62">
        <v>0.13800000000000001</v>
      </c>
      <c r="G1779" s="63">
        <f>VLOOKUP(D1779,upahbahan,3,FALSE)</f>
        <v>100000</v>
      </c>
      <c r="H1779" s="63">
        <f>F1779*G1779</f>
        <v>13800.000000000002</v>
      </c>
      <c r="I1779" s="44"/>
      <c r="J1779" s="44"/>
      <c r="K1779" s="44"/>
      <c r="L1779" s="152" t="s">
        <v>1248</v>
      </c>
      <c r="O1779" s="65">
        <v>0.1</v>
      </c>
    </row>
    <row r="1780" spans="3:15" s="59" customFormat="1" ht="21" customHeight="1">
      <c r="C1780" s="588">
        <v>2</v>
      </c>
      <c r="D1780" s="56" t="s">
        <v>10</v>
      </c>
      <c r="E1780" s="577" t="s">
        <v>6</v>
      </c>
      <c r="F1780" s="62">
        <v>0.23</v>
      </c>
      <c r="G1780" s="63">
        <f>VLOOKUP(D1780,upahbahan,3,FALSE)</f>
        <v>135000</v>
      </c>
      <c r="H1780" s="63">
        <f>F1780*G1780</f>
        <v>31050</v>
      </c>
      <c r="I1780" s="44"/>
      <c r="J1780" s="44"/>
      <c r="K1780" s="44"/>
    </row>
    <row r="1781" spans="3:15" s="59" customFormat="1" ht="21" customHeight="1">
      <c r="C1781" s="588">
        <v>3</v>
      </c>
      <c r="D1781" s="56" t="s">
        <v>18</v>
      </c>
      <c r="E1781" s="577" t="s">
        <v>6</v>
      </c>
      <c r="F1781" s="62">
        <v>2.3E-2</v>
      </c>
      <c r="G1781" s="63">
        <f>VLOOKUP(D1781,upahbahan,3,FALSE)</f>
        <v>150000</v>
      </c>
      <c r="H1781" s="63">
        <f>F1781*G1781</f>
        <v>3450</v>
      </c>
      <c r="I1781" s="44"/>
      <c r="J1781" s="44"/>
      <c r="K1781" s="44"/>
    </row>
    <row r="1782" spans="3:15" s="59" customFormat="1" ht="21" customHeight="1">
      <c r="C1782" s="588">
        <v>4</v>
      </c>
      <c r="D1782" s="56" t="s">
        <v>19</v>
      </c>
      <c r="E1782" s="577" t="s">
        <v>6</v>
      </c>
      <c r="F1782" s="62">
        <v>7.0000000000000001E-3</v>
      </c>
      <c r="G1782" s="63">
        <f>VLOOKUP(D1782,upahbahan,3,FALSE)</f>
        <v>160000</v>
      </c>
      <c r="H1782" s="63">
        <f>F1782*G1782</f>
        <v>1120</v>
      </c>
      <c r="I1782" s="44"/>
      <c r="J1782" s="44"/>
      <c r="K1782" s="44"/>
    </row>
    <row r="1783" spans="3:15" s="59" customFormat="1" ht="21" customHeight="1">
      <c r="C1783" s="450" t="s">
        <v>1208</v>
      </c>
      <c r="D1783" s="67"/>
      <c r="E1783" s="67"/>
      <c r="F1783" s="142"/>
      <c r="G1783" s="153"/>
      <c r="H1783" s="63">
        <f>SUM(H1779:H1782)</f>
        <v>49420</v>
      </c>
      <c r="I1783" s="154"/>
      <c r="J1783" s="154"/>
      <c r="K1783" s="154"/>
    </row>
    <row r="1784" spans="3:15" s="59" customFormat="1" ht="21" customHeight="1">
      <c r="C1784" s="61" t="s">
        <v>1209</v>
      </c>
      <c r="D1784" s="56" t="s">
        <v>1210</v>
      </c>
      <c r="E1784" s="57"/>
      <c r="F1784" s="57"/>
      <c r="G1784" s="57"/>
      <c r="H1784" s="57"/>
      <c r="I1784" s="44"/>
      <c r="J1784" s="44"/>
      <c r="K1784" s="44"/>
    </row>
    <row r="1785" spans="3:15" s="59" customFormat="1" ht="21" customHeight="1">
      <c r="C1785" s="588">
        <v>1</v>
      </c>
      <c r="D1785" s="72" t="s">
        <v>8302</v>
      </c>
      <c r="E1785" s="73" t="s">
        <v>113</v>
      </c>
      <c r="F1785" s="62">
        <v>1.55</v>
      </c>
      <c r="G1785" s="63">
        <f>VLOOKUP(D1785,upahbahan,3,FALSE)</f>
        <v>290000</v>
      </c>
      <c r="H1785" s="63">
        <f>F1785*G1785</f>
        <v>449500</v>
      </c>
      <c r="I1785" s="44"/>
      <c r="J1785" s="44"/>
      <c r="K1785" s="44"/>
    </row>
    <row r="1786" spans="3:15" s="59" customFormat="1" ht="21" customHeight="1">
      <c r="C1786" s="450" t="s">
        <v>1214</v>
      </c>
      <c r="D1786" s="67"/>
      <c r="E1786" s="67"/>
      <c r="F1786" s="67"/>
      <c r="G1786" s="69"/>
      <c r="H1786" s="63">
        <f>SUM(H1785:H1785)</f>
        <v>449500</v>
      </c>
      <c r="I1786" s="44"/>
      <c r="J1786" s="44"/>
      <c r="K1786" s="44"/>
    </row>
    <row r="1787" spans="3:15" s="59" customFormat="1" ht="21" customHeight="1">
      <c r="C1787" s="61" t="s">
        <v>1215</v>
      </c>
      <c r="D1787" s="56" t="s">
        <v>1216</v>
      </c>
      <c r="E1787" s="57"/>
      <c r="F1787" s="57"/>
      <c r="G1787" s="57"/>
      <c r="H1787" s="57"/>
      <c r="I1787" s="44"/>
      <c r="J1787" s="44"/>
      <c r="K1787" s="44"/>
    </row>
    <row r="1788" spans="3:15" s="59" customFormat="1" ht="21" customHeight="1">
      <c r="C1788" s="450" t="s">
        <v>1217</v>
      </c>
      <c r="D1788" s="67"/>
      <c r="E1788" s="67"/>
      <c r="F1788" s="67"/>
      <c r="G1788" s="69"/>
      <c r="H1788" s="589">
        <v>0</v>
      </c>
      <c r="I1788" s="44"/>
      <c r="J1788" s="44"/>
      <c r="K1788" s="44"/>
    </row>
    <row r="1789" spans="3:15" s="59" customFormat="1" ht="21" customHeight="1">
      <c r="C1789" s="288" t="s">
        <v>1218</v>
      </c>
      <c r="D1789" s="76" t="s">
        <v>1219</v>
      </c>
      <c r="E1789" s="77"/>
      <c r="F1789" s="77"/>
      <c r="G1789" s="78"/>
      <c r="H1789" s="585">
        <f>H1788+H1786+H1783</f>
        <v>498920</v>
      </c>
      <c r="I1789" s="369"/>
      <c r="J1789" s="44"/>
      <c r="K1789" s="44"/>
    </row>
    <row r="1790" spans="3:15" s="59" customFormat="1" ht="21" customHeight="1">
      <c r="C1790" s="288" t="s">
        <v>1220</v>
      </c>
      <c r="D1790" s="76" t="s">
        <v>1321</v>
      </c>
      <c r="E1790" s="77"/>
      <c r="F1790" s="78"/>
      <c r="G1790" s="80">
        <v>0.1</v>
      </c>
      <c r="H1790" s="63">
        <f>H1789*G1790</f>
        <v>49892</v>
      </c>
      <c r="I1790" s="369"/>
      <c r="J1790" s="44"/>
      <c r="K1790" s="44"/>
    </row>
    <row r="1791" spans="3:15" s="59" customFormat="1" ht="21" customHeight="1">
      <c r="C1791" s="288" t="s">
        <v>1221</v>
      </c>
      <c r="D1791" s="76" t="s">
        <v>1222</v>
      </c>
      <c r="E1791" s="77"/>
      <c r="F1791" s="77"/>
      <c r="G1791" s="78"/>
      <c r="H1791" s="799">
        <f>SUM(H1789:H1790)</f>
        <v>548812</v>
      </c>
      <c r="I1791" s="369"/>
      <c r="J1791" s="44"/>
      <c r="K1791" s="44"/>
    </row>
    <row r="1792" spans="3:15" ht="21" customHeight="1"/>
    <row r="1793" spans="3:15" s="59" customFormat="1" ht="21" customHeight="1">
      <c r="C1793" s="47" t="s">
        <v>8303</v>
      </c>
      <c r="D1793" s="794" t="s">
        <v>8304</v>
      </c>
      <c r="E1793" s="795"/>
      <c r="F1793" s="795"/>
      <c r="G1793" s="795"/>
      <c r="H1793" s="795"/>
      <c r="I1793" s="50">
        <f>ROUNDDOWN(H1808,-2)</f>
        <v>579000</v>
      </c>
      <c r="J1793" s="50" t="s">
        <v>7804</v>
      </c>
      <c r="K1793" s="50"/>
    </row>
    <row r="1794" spans="3:15" s="59" customFormat="1" ht="21" customHeight="1">
      <c r="C1794" s="591" t="s">
        <v>1195</v>
      </c>
      <c r="D1794" s="591" t="s">
        <v>1196</v>
      </c>
      <c r="E1794" s="591" t="s">
        <v>1197</v>
      </c>
      <c r="F1794" s="591" t="s">
        <v>1198</v>
      </c>
      <c r="G1794" s="591" t="s">
        <v>1199</v>
      </c>
      <c r="H1794" s="591" t="s">
        <v>1200</v>
      </c>
      <c r="I1794" s="44"/>
      <c r="J1794" s="44"/>
      <c r="K1794" s="44"/>
    </row>
    <row r="1795" spans="3:15" s="59" customFormat="1" ht="21" customHeight="1">
      <c r="C1795" s="61" t="s">
        <v>1201</v>
      </c>
      <c r="D1795" s="56" t="s">
        <v>1202</v>
      </c>
      <c r="E1795" s="57"/>
      <c r="F1795" s="57"/>
      <c r="G1795" s="57"/>
      <c r="H1795" s="57"/>
      <c r="I1795" s="44"/>
      <c r="J1795" s="44"/>
      <c r="K1795" s="44"/>
      <c r="L1795" s="152" t="s">
        <v>1247</v>
      </c>
    </row>
    <row r="1796" spans="3:15" s="59" customFormat="1" ht="21" customHeight="1">
      <c r="C1796" s="588">
        <v>1</v>
      </c>
      <c r="D1796" s="56" t="s">
        <v>5</v>
      </c>
      <c r="E1796" s="577" t="s">
        <v>6</v>
      </c>
      <c r="F1796" s="62">
        <v>0.17100000000000001</v>
      </c>
      <c r="G1796" s="63">
        <f>VLOOKUP(D1796,upahbahan,3,FALSE)</f>
        <v>100000</v>
      </c>
      <c r="H1796" s="63">
        <f>F1796*G1796</f>
        <v>17100</v>
      </c>
      <c r="I1796" s="44"/>
      <c r="J1796" s="44"/>
      <c r="K1796" s="44"/>
      <c r="L1796" s="152" t="s">
        <v>1248</v>
      </c>
      <c r="O1796" s="65">
        <v>0.1</v>
      </c>
    </row>
    <row r="1797" spans="3:15" s="59" customFormat="1" ht="21" customHeight="1">
      <c r="C1797" s="588">
        <v>2</v>
      </c>
      <c r="D1797" s="56" t="s">
        <v>10</v>
      </c>
      <c r="E1797" s="577" t="s">
        <v>6</v>
      </c>
      <c r="F1797" s="62">
        <v>0.28499999999999998</v>
      </c>
      <c r="G1797" s="63">
        <f>VLOOKUP(D1797,upahbahan,3,FALSE)</f>
        <v>135000</v>
      </c>
      <c r="H1797" s="63">
        <f>F1797*G1797</f>
        <v>38475</v>
      </c>
      <c r="I1797" s="44"/>
      <c r="J1797" s="44"/>
      <c r="K1797" s="44"/>
    </row>
    <row r="1798" spans="3:15" s="59" customFormat="1" ht="21" customHeight="1">
      <c r="C1798" s="588">
        <v>3</v>
      </c>
      <c r="D1798" s="56" t="s">
        <v>18</v>
      </c>
      <c r="E1798" s="577" t="s">
        <v>6</v>
      </c>
      <c r="F1798" s="62">
        <v>2.9000000000000001E-2</v>
      </c>
      <c r="G1798" s="63">
        <f>VLOOKUP(D1798,upahbahan,3,FALSE)</f>
        <v>150000</v>
      </c>
      <c r="H1798" s="63">
        <f>F1798*G1798</f>
        <v>4350</v>
      </c>
      <c r="I1798" s="44"/>
      <c r="J1798" s="44"/>
      <c r="K1798" s="44"/>
    </row>
    <row r="1799" spans="3:15" s="59" customFormat="1" ht="21" customHeight="1">
      <c r="C1799" s="588">
        <v>4</v>
      </c>
      <c r="D1799" s="56" t="s">
        <v>19</v>
      </c>
      <c r="E1799" s="577" t="s">
        <v>6</v>
      </c>
      <c r="F1799" s="62">
        <v>8.9999999999999993E-3</v>
      </c>
      <c r="G1799" s="63">
        <f>VLOOKUP(D1799,upahbahan,3,FALSE)</f>
        <v>160000</v>
      </c>
      <c r="H1799" s="63">
        <f>F1799*G1799</f>
        <v>1440</v>
      </c>
      <c r="I1799" s="44"/>
      <c r="J1799" s="44"/>
      <c r="K1799" s="44"/>
    </row>
    <row r="1800" spans="3:15" s="59" customFormat="1" ht="21" customHeight="1">
      <c r="C1800" s="450" t="s">
        <v>1208</v>
      </c>
      <c r="D1800" s="67"/>
      <c r="E1800" s="67"/>
      <c r="F1800" s="142"/>
      <c r="G1800" s="153"/>
      <c r="H1800" s="63">
        <f>SUM(H1796:H1799)</f>
        <v>61365</v>
      </c>
      <c r="I1800" s="154"/>
      <c r="J1800" s="154"/>
      <c r="K1800" s="154"/>
    </row>
    <row r="1801" spans="3:15" s="59" customFormat="1" ht="21" customHeight="1">
      <c r="C1801" s="61" t="s">
        <v>1209</v>
      </c>
      <c r="D1801" s="56" t="s">
        <v>1210</v>
      </c>
      <c r="E1801" s="57"/>
      <c r="F1801" s="57"/>
      <c r="G1801" s="57"/>
      <c r="H1801" s="57"/>
      <c r="I1801" s="44"/>
      <c r="J1801" s="44"/>
      <c r="K1801" s="44"/>
    </row>
    <row r="1802" spans="3:15" s="59" customFormat="1" ht="21" customHeight="1">
      <c r="C1802" s="588">
        <v>1</v>
      </c>
      <c r="D1802" s="72" t="s">
        <v>8305</v>
      </c>
      <c r="E1802" s="73" t="s">
        <v>113</v>
      </c>
      <c r="F1802" s="62">
        <v>1.55</v>
      </c>
      <c r="G1802" s="63">
        <f>VLOOKUP(D1802,upahbahan,3,FALSE)</f>
        <v>300000</v>
      </c>
      <c r="H1802" s="63">
        <f>F1802*G1802</f>
        <v>465000</v>
      </c>
      <c r="I1802" s="44"/>
      <c r="J1802" s="44"/>
      <c r="K1802" s="44"/>
    </row>
    <row r="1803" spans="3:15" s="59" customFormat="1" ht="21" customHeight="1">
      <c r="C1803" s="450" t="s">
        <v>1214</v>
      </c>
      <c r="D1803" s="67"/>
      <c r="E1803" s="67"/>
      <c r="F1803" s="67"/>
      <c r="G1803" s="69"/>
      <c r="H1803" s="63">
        <f>SUM(H1802:H1802)</f>
        <v>465000</v>
      </c>
      <c r="I1803" s="44"/>
      <c r="J1803" s="44"/>
      <c r="K1803" s="44"/>
    </row>
    <row r="1804" spans="3:15" s="59" customFormat="1" ht="21" customHeight="1">
      <c r="C1804" s="61" t="s">
        <v>1215</v>
      </c>
      <c r="D1804" s="56" t="s">
        <v>1216</v>
      </c>
      <c r="E1804" s="57"/>
      <c r="F1804" s="57"/>
      <c r="G1804" s="57"/>
      <c r="H1804" s="57"/>
      <c r="I1804" s="44"/>
      <c r="J1804" s="44"/>
      <c r="K1804" s="44"/>
    </row>
    <row r="1805" spans="3:15" s="59" customFormat="1" ht="21" customHeight="1">
      <c r="C1805" s="450" t="s">
        <v>1217</v>
      </c>
      <c r="D1805" s="67"/>
      <c r="E1805" s="67"/>
      <c r="F1805" s="67"/>
      <c r="G1805" s="69"/>
      <c r="H1805" s="589">
        <v>0</v>
      </c>
      <c r="I1805" s="44"/>
      <c r="J1805" s="44"/>
      <c r="K1805" s="44"/>
    </row>
    <row r="1806" spans="3:15" s="59" customFormat="1" ht="21" customHeight="1">
      <c r="C1806" s="288" t="s">
        <v>1218</v>
      </c>
      <c r="D1806" s="76" t="s">
        <v>1219</v>
      </c>
      <c r="E1806" s="77"/>
      <c r="F1806" s="77"/>
      <c r="G1806" s="78"/>
      <c r="H1806" s="585">
        <f>H1805+H1803+H1800</f>
        <v>526365</v>
      </c>
      <c r="I1806" s="369"/>
      <c r="J1806" s="44"/>
      <c r="K1806" s="44"/>
    </row>
    <row r="1807" spans="3:15" s="59" customFormat="1" ht="21" customHeight="1">
      <c r="C1807" s="288" t="s">
        <v>1220</v>
      </c>
      <c r="D1807" s="76" t="s">
        <v>1321</v>
      </c>
      <c r="E1807" s="77"/>
      <c r="F1807" s="78"/>
      <c r="G1807" s="80">
        <v>0.1</v>
      </c>
      <c r="H1807" s="63">
        <f>H1806*G1807</f>
        <v>52636.5</v>
      </c>
      <c r="I1807" s="369"/>
      <c r="J1807" s="44"/>
      <c r="K1807" s="44"/>
    </row>
    <row r="1808" spans="3:15" s="59" customFormat="1" ht="21" customHeight="1">
      <c r="C1808" s="288" t="s">
        <v>1221</v>
      </c>
      <c r="D1808" s="76" t="s">
        <v>1222</v>
      </c>
      <c r="E1808" s="77"/>
      <c r="F1808" s="77"/>
      <c r="G1808" s="78"/>
      <c r="H1808" s="799">
        <f>SUM(H1806:H1807)</f>
        <v>579001.5</v>
      </c>
      <c r="I1808" s="369"/>
      <c r="J1808" s="44"/>
      <c r="K1808" s="44"/>
    </row>
    <row r="1809" spans="3:15" ht="21" customHeight="1"/>
    <row r="1810" spans="3:15" s="59" customFormat="1" ht="21" customHeight="1">
      <c r="C1810" s="47" t="s">
        <v>8306</v>
      </c>
      <c r="D1810" s="794" t="s">
        <v>8307</v>
      </c>
      <c r="E1810" s="795"/>
      <c r="F1810" s="795"/>
      <c r="G1810" s="795"/>
      <c r="H1810" s="795"/>
      <c r="I1810" s="50">
        <f>ROUNDDOWN(H1825,-2)</f>
        <v>622300</v>
      </c>
      <c r="J1810" s="50" t="s">
        <v>7804</v>
      </c>
      <c r="K1810" s="50"/>
    </row>
    <row r="1811" spans="3:15" s="59" customFormat="1" ht="21" customHeight="1">
      <c r="C1811" s="591" t="s">
        <v>1195</v>
      </c>
      <c r="D1811" s="591" t="s">
        <v>1196</v>
      </c>
      <c r="E1811" s="591" t="s">
        <v>1197</v>
      </c>
      <c r="F1811" s="591" t="s">
        <v>1198</v>
      </c>
      <c r="G1811" s="591" t="s">
        <v>1199</v>
      </c>
      <c r="H1811" s="591" t="s">
        <v>1200</v>
      </c>
      <c r="I1811" s="44"/>
      <c r="J1811" s="44"/>
      <c r="K1811" s="44"/>
    </row>
    <row r="1812" spans="3:15" s="59" customFormat="1" ht="21" customHeight="1">
      <c r="C1812" s="61" t="s">
        <v>1201</v>
      </c>
      <c r="D1812" s="56" t="s">
        <v>1202</v>
      </c>
      <c r="E1812" s="57"/>
      <c r="F1812" s="57"/>
      <c r="G1812" s="57"/>
      <c r="H1812" s="57"/>
      <c r="I1812" s="44"/>
      <c r="J1812" s="44"/>
      <c r="K1812" s="44"/>
      <c r="L1812" s="152" t="s">
        <v>1247</v>
      </c>
    </row>
    <row r="1813" spans="3:15" s="59" customFormat="1" ht="21" customHeight="1">
      <c r="C1813" s="588">
        <v>1</v>
      </c>
      <c r="D1813" s="56" t="s">
        <v>5</v>
      </c>
      <c r="E1813" s="577" t="s">
        <v>6</v>
      </c>
      <c r="F1813" s="62">
        <v>0.23799999999999999</v>
      </c>
      <c r="G1813" s="63">
        <f>VLOOKUP(D1813,upahbahan,3,FALSE)</f>
        <v>100000</v>
      </c>
      <c r="H1813" s="63">
        <f>F1813*G1813</f>
        <v>23800</v>
      </c>
      <c r="I1813" s="44"/>
      <c r="J1813" s="44"/>
      <c r="K1813" s="44"/>
      <c r="L1813" s="152" t="s">
        <v>1248</v>
      </c>
      <c r="O1813" s="65">
        <v>0.1</v>
      </c>
    </row>
    <row r="1814" spans="3:15" s="59" customFormat="1" ht="21" customHeight="1">
      <c r="C1814" s="588">
        <v>2</v>
      </c>
      <c r="D1814" s="56" t="s">
        <v>10</v>
      </c>
      <c r="E1814" s="577" t="s">
        <v>6</v>
      </c>
      <c r="F1814" s="62">
        <v>0.39700000000000002</v>
      </c>
      <c r="G1814" s="63">
        <f>VLOOKUP(D1814,upahbahan,3,FALSE)</f>
        <v>135000</v>
      </c>
      <c r="H1814" s="63">
        <f>F1814*G1814</f>
        <v>53595</v>
      </c>
      <c r="I1814" s="44"/>
      <c r="J1814" s="44"/>
      <c r="K1814" s="44"/>
    </row>
    <row r="1815" spans="3:15" s="59" customFormat="1" ht="21" customHeight="1">
      <c r="C1815" s="588">
        <v>3</v>
      </c>
      <c r="D1815" s="56" t="s">
        <v>18</v>
      </c>
      <c r="E1815" s="577" t="s">
        <v>6</v>
      </c>
      <c r="F1815" s="62">
        <v>0.04</v>
      </c>
      <c r="G1815" s="63">
        <f>VLOOKUP(D1815,upahbahan,3,FALSE)</f>
        <v>150000</v>
      </c>
      <c r="H1815" s="63">
        <f>F1815*G1815</f>
        <v>6000</v>
      </c>
      <c r="I1815" s="44"/>
      <c r="J1815" s="44"/>
      <c r="K1815" s="44"/>
    </row>
    <row r="1816" spans="3:15" s="59" customFormat="1" ht="21" customHeight="1">
      <c r="C1816" s="588">
        <v>4</v>
      </c>
      <c r="D1816" s="56" t="s">
        <v>19</v>
      </c>
      <c r="E1816" s="577" t="s">
        <v>6</v>
      </c>
      <c r="F1816" s="62">
        <v>1.2E-2</v>
      </c>
      <c r="G1816" s="63">
        <f>VLOOKUP(D1816,upahbahan,3,FALSE)</f>
        <v>160000</v>
      </c>
      <c r="H1816" s="63">
        <f>F1816*G1816</f>
        <v>1920</v>
      </c>
      <c r="I1816" s="44"/>
      <c r="J1816" s="44"/>
      <c r="K1816" s="44"/>
    </row>
    <row r="1817" spans="3:15" s="59" customFormat="1" ht="21" customHeight="1">
      <c r="C1817" s="450" t="s">
        <v>1208</v>
      </c>
      <c r="D1817" s="67"/>
      <c r="E1817" s="67"/>
      <c r="F1817" s="142"/>
      <c r="G1817" s="153"/>
      <c r="H1817" s="63">
        <f>SUM(H1813:H1816)</f>
        <v>85315</v>
      </c>
      <c r="I1817" s="154"/>
      <c r="J1817" s="154"/>
      <c r="K1817" s="154"/>
    </row>
    <row r="1818" spans="3:15" s="59" customFormat="1" ht="21" customHeight="1">
      <c r="C1818" s="61" t="s">
        <v>1209</v>
      </c>
      <c r="D1818" s="56" t="s">
        <v>1210</v>
      </c>
      <c r="E1818" s="57"/>
      <c r="F1818" s="57"/>
      <c r="G1818" s="57"/>
      <c r="H1818" s="57"/>
      <c r="I1818" s="44"/>
      <c r="J1818" s="44"/>
      <c r="K1818" s="44"/>
    </row>
    <row r="1819" spans="3:15" s="59" customFormat="1" ht="21" customHeight="1">
      <c r="C1819" s="588">
        <v>1</v>
      </c>
      <c r="D1819" s="72" t="s">
        <v>8308</v>
      </c>
      <c r="E1819" s="73" t="s">
        <v>113</v>
      </c>
      <c r="F1819" s="62">
        <v>1.55</v>
      </c>
      <c r="G1819" s="63">
        <f>VLOOKUP(D1819,upahbahan,3,FALSE)</f>
        <v>310000</v>
      </c>
      <c r="H1819" s="63">
        <f>F1819*G1819</f>
        <v>480500</v>
      </c>
      <c r="I1819" s="44"/>
      <c r="J1819" s="44"/>
      <c r="K1819" s="44"/>
    </row>
    <row r="1820" spans="3:15" s="59" customFormat="1" ht="21" customHeight="1">
      <c r="C1820" s="450" t="s">
        <v>1214</v>
      </c>
      <c r="D1820" s="67"/>
      <c r="E1820" s="67"/>
      <c r="F1820" s="67"/>
      <c r="G1820" s="69"/>
      <c r="H1820" s="63">
        <f>SUM(H1819:H1819)</f>
        <v>480500</v>
      </c>
      <c r="I1820" s="44"/>
      <c r="J1820" s="44"/>
      <c r="K1820" s="44"/>
    </row>
    <row r="1821" spans="3:15" s="59" customFormat="1" ht="21" customHeight="1">
      <c r="C1821" s="61" t="s">
        <v>1215</v>
      </c>
      <c r="D1821" s="56" t="s">
        <v>1216</v>
      </c>
      <c r="E1821" s="57"/>
      <c r="F1821" s="57"/>
      <c r="G1821" s="57"/>
      <c r="H1821" s="57"/>
      <c r="I1821" s="44"/>
      <c r="J1821" s="44"/>
      <c r="K1821" s="44"/>
    </row>
    <row r="1822" spans="3:15" s="59" customFormat="1" ht="21" customHeight="1">
      <c r="C1822" s="450" t="s">
        <v>1217</v>
      </c>
      <c r="D1822" s="67"/>
      <c r="E1822" s="67"/>
      <c r="F1822" s="67"/>
      <c r="G1822" s="69"/>
      <c r="H1822" s="589">
        <v>0</v>
      </c>
      <c r="I1822" s="44"/>
      <c r="J1822" s="44"/>
      <c r="K1822" s="44"/>
    </row>
    <row r="1823" spans="3:15" s="59" customFormat="1" ht="21" customHeight="1">
      <c r="C1823" s="288" t="s">
        <v>1218</v>
      </c>
      <c r="D1823" s="76" t="s">
        <v>1219</v>
      </c>
      <c r="E1823" s="77"/>
      <c r="F1823" s="77"/>
      <c r="G1823" s="78"/>
      <c r="H1823" s="585">
        <f>H1822+H1820+H1817</f>
        <v>565815</v>
      </c>
      <c r="I1823" s="369"/>
      <c r="J1823" s="44"/>
      <c r="K1823" s="44"/>
    </row>
    <row r="1824" spans="3:15" s="59" customFormat="1" ht="21" customHeight="1">
      <c r="C1824" s="288" t="s">
        <v>1220</v>
      </c>
      <c r="D1824" s="76" t="s">
        <v>1321</v>
      </c>
      <c r="E1824" s="77"/>
      <c r="F1824" s="78"/>
      <c r="G1824" s="80">
        <v>0.1</v>
      </c>
      <c r="H1824" s="63">
        <f>H1823*G1824</f>
        <v>56581.5</v>
      </c>
      <c r="I1824" s="369"/>
      <c r="J1824" s="44"/>
      <c r="K1824" s="44"/>
    </row>
    <row r="1825" spans="3:15" s="59" customFormat="1" ht="21" customHeight="1">
      <c r="C1825" s="288" t="s">
        <v>1221</v>
      </c>
      <c r="D1825" s="76" t="s">
        <v>1222</v>
      </c>
      <c r="E1825" s="77"/>
      <c r="F1825" s="77"/>
      <c r="G1825" s="78"/>
      <c r="H1825" s="799">
        <f>SUM(H1823:H1824)</f>
        <v>622396.5</v>
      </c>
      <c r="I1825" s="369"/>
      <c r="J1825" s="44"/>
      <c r="K1825" s="44"/>
    </row>
    <row r="1826" spans="3:15" ht="21" customHeight="1"/>
    <row r="1827" spans="3:15" s="59" customFormat="1" ht="21" customHeight="1">
      <c r="C1827" s="47" t="s">
        <v>8309</v>
      </c>
      <c r="D1827" s="794" t="s">
        <v>8310</v>
      </c>
      <c r="E1827" s="795"/>
      <c r="F1827" s="795"/>
      <c r="G1827" s="795"/>
      <c r="H1827" s="795"/>
      <c r="I1827" s="50">
        <f>ROUNDDOWN(H1842,-2)</f>
        <v>670500</v>
      </c>
      <c r="J1827" s="50" t="s">
        <v>7804</v>
      </c>
      <c r="K1827" s="50"/>
    </row>
    <row r="1828" spans="3:15" s="59" customFormat="1" ht="21" customHeight="1">
      <c r="C1828" s="591" t="s">
        <v>1195</v>
      </c>
      <c r="D1828" s="591" t="s">
        <v>1196</v>
      </c>
      <c r="E1828" s="591" t="s">
        <v>1197</v>
      </c>
      <c r="F1828" s="591" t="s">
        <v>1198</v>
      </c>
      <c r="G1828" s="591" t="s">
        <v>1199</v>
      </c>
      <c r="H1828" s="591" t="s">
        <v>1200</v>
      </c>
      <c r="I1828" s="44"/>
      <c r="J1828" s="44"/>
      <c r="K1828" s="44"/>
    </row>
    <row r="1829" spans="3:15" s="59" customFormat="1" ht="21" customHeight="1">
      <c r="C1829" s="61" t="s">
        <v>1201</v>
      </c>
      <c r="D1829" s="56" t="s">
        <v>1202</v>
      </c>
      <c r="E1829" s="57"/>
      <c r="F1829" s="57"/>
      <c r="G1829" s="57"/>
      <c r="H1829" s="57"/>
      <c r="I1829" s="44"/>
      <c r="J1829" s="44"/>
      <c r="K1829" s="44"/>
      <c r="L1829" s="152" t="s">
        <v>1247</v>
      </c>
    </row>
    <row r="1830" spans="3:15" s="59" customFormat="1" ht="21" customHeight="1">
      <c r="C1830" s="588">
        <v>1</v>
      </c>
      <c r="D1830" s="56" t="s">
        <v>5</v>
      </c>
      <c r="E1830" s="577" t="s">
        <v>6</v>
      </c>
      <c r="F1830" s="62">
        <v>0.317</v>
      </c>
      <c r="G1830" s="63">
        <f>VLOOKUP(D1830,upahbahan,3,FALSE)</f>
        <v>100000</v>
      </c>
      <c r="H1830" s="63">
        <f>F1830*G1830</f>
        <v>31700</v>
      </c>
      <c r="I1830" s="44"/>
      <c r="J1830" s="44"/>
      <c r="K1830" s="44"/>
      <c r="L1830" s="152" t="s">
        <v>1248</v>
      </c>
      <c r="O1830" s="65">
        <v>0.1</v>
      </c>
    </row>
    <row r="1831" spans="3:15" s="59" customFormat="1" ht="21" customHeight="1">
      <c r="C1831" s="588">
        <v>2</v>
      </c>
      <c r="D1831" s="56" t="s">
        <v>10</v>
      </c>
      <c r="E1831" s="577" t="s">
        <v>6</v>
      </c>
      <c r="F1831" s="62">
        <v>0.52900000000000003</v>
      </c>
      <c r="G1831" s="63">
        <f>VLOOKUP(D1831,upahbahan,3,FALSE)</f>
        <v>135000</v>
      </c>
      <c r="H1831" s="63">
        <f>F1831*G1831</f>
        <v>71415</v>
      </c>
      <c r="I1831" s="44"/>
      <c r="J1831" s="44"/>
      <c r="K1831" s="44"/>
    </row>
    <row r="1832" spans="3:15" s="59" customFormat="1" ht="21" customHeight="1">
      <c r="C1832" s="588">
        <v>3</v>
      </c>
      <c r="D1832" s="56" t="s">
        <v>18</v>
      </c>
      <c r="E1832" s="577" t="s">
        <v>6</v>
      </c>
      <c r="F1832" s="62">
        <v>5.2999999999999999E-2</v>
      </c>
      <c r="G1832" s="63">
        <f>VLOOKUP(D1832,upahbahan,3,FALSE)</f>
        <v>150000</v>
      </c>
      <c r="H1832" s="63">
        <f>F1832*G1832</f>
        <v>7950</v>
      </c>
      <c r="I1832" s="44"/>
      <c r="J1832" s="44"/>
      <c r="K1832" s="44"/>
    </row>
    <row r="1833" spans="3:15" s="59" customFormat="1" ht="21" customHeight="1">
      <c r="C1833" s="588">
        <v>4</v>
      </c>
      <c r="D1833" s="56" t="s">
        <v>19</v>
      </c>
      <c r="E1833" s="577" t="s">
        <v>6</v>
      </c>
      <c r="F1833" s="62">
        <v>1.6E-2</v>
      </c>
      <c r="G1833" s="63">
        <f>VLOOKUP(D1833,upahbahan,3,FALSE)</f>
        <v>160000</v>
      </c>
      <c r="H1833" s="63">
        <f>F1833*G1833</f>
        <v>2560</v>
      </c>
      <c r="I1833" s="44"/>
      <c r="J1833" s="44"/>
      <c r="K1833" s="44"/>
    </row>
    <row r="1834" spans="3:15" s="59" customFormat="1" ht="21" customHeight="1">
      <c r="C1834" s="450" t="s">
        <v>1208</v>
      </c>
      <c r="D1834" s="67"/>
      <c r="E1834" s="67"/>
      <c r="F1834" s="142"/>
      <c r="G1834" s="153"/>
      <c r="H1834" s="63">
        <f>SUM(H1830:H1833)</f>
        <v>113625</v>
      </c>
      <c r="I1834" s="154"/>
      <c r="J1834" s="154"/>
      <c r="K1834" s="154"/>
    </row>
    <row r="1835" spans="3:15" s="59" customFormat="1" ht="21" customHeight="1">
      <c r="C1835" s="61" t="s">
        <v>1209</v>
      </c>
      <c r="D1835" s="56" t="s">
        <v>1210</v>
      </c>
      <c r="E1835" s="57"/>
      <c r="F1835" s="57"/>
      <c r="G1835" s="57"/>
      <c r="H1835" s="57"/>
      <c r="I1835" s="44"/>
      <c r="J1835" s="44"/>
      <c r="K1835" s="44"/>
    </row>
    <row r="1836" spans="3:15" s="59" customFormat="1" ht="21" customHeight="1">
      <c r="C1836" s="588">
        <v>1</v>
      </c>
      <c r="D1836" s="72" t="s">
        <v>8311</v>
      </c>
      <c r="E1836" s="73" t="s">
        <v>113</v>
      </c>
      <c r="F1836" s="62">
        <v>1.55</v>
      </c>
      <c r="G1836" s="63">
        <f>VLOOKUP(D1836,upahbahan,3,FALSE)</f>
        <v>320000</v>
      </c>
      <c r="H1836" s="63">
        <f>F1836*G1836</f>
        <v>496000</v>
      </c>
      <c r="I1836" s="44"/>
      <c r="J1836" s="44"/>
      <c r="K1836" s="44"/>
    </row>
    <row r="1837" spans="3:15" s="59" customFormat="1" ht="21" customHeight="1">
      <c r="C1837" s="450" t="s">
        <v>1214</v>
      </c>
      <c r="D1837" s="67"/>
      <c r="E1837" s="67"/>
      <c r="F1837" s="67"/>
      <c r="G1837" s="69"/>
      <c r="H1837" s="63">
        <f>SUM(H1836:H1836)</f>
        <v>496000</v>
      </c>
      <c r="I1837" s="44"/>
      <c r="J1837" s="44"/>
      <c r="K1837" s="44"/>
    </row>
    <row r="1838" spans="3:15" s="59" customFormat="1" ht="21" customHeight="1">
      <c r="C1838" s="61" t="s">
        <v>1215</v>
      </c>
      <c r="D1838" s="56" t="s">
        <v>1216</v>
      </c>
      <c r="E1838" s="57"/>
      <c r="F1838" s="57"/>
      <c r="G1838" s="57"/>
      <c r="H1838" s="57"/>
      <c r="I1838" s="44"/>
      <c r="J1838" s="44"/>
      <c r="K1838" s="44"/>
    </row>
    <row r="1839" spans="3:15" s="59" customFormat="1" ht="21" customHeight="1">
      <c r="C1839" s="450" t="s">
        <v>1217</v>
      </c>
      <c r="D1839" s="67"/>
      <c r="E1839" s="67"/>
      <c r="F1839" s="67"/>
      <c r="G1839" s="69"/>
      <c r="H1839" s="589">
        <v>0</v>
      </c>
      <c r="I1839" s="44"/>
      <c r="J1839" s="44"/>
      <c r="K1839" s="44"/>
    </row>
    <row r="1840" spans="3:15" s="59" customFormat="1" ht="21" customHeight="1">
      <c r="C1840" s="288" t="s">
        <v>1218</v>
      </c>
      <c r="D1840" s="76" t="s">
        <v>1219</v>
      </c>
      <c r="E1840" s="77"/>
      <c r="F1840" s="77"/>
      <c r="G1840" s="78"/>
      <c r="H1840" s="585">
        <f>H1839+H1837+H1834</f>
        <v>609625</v>
      </c>
      <c r="I1840" s="369"/>
      <c r="J1840" s="44"/>
      <c r="K1840" s="44"/>
    </row>
    <row r="1841" spans="3:15" s="59" customFormat="1" ht="21" customHeight="1">
      <c r="C1841" s="288" t="s">
        <v>1220</v>
      </c>
      <c r="D1841" s="76" t="s">
        <v>1321</v>
      </c>
      <c r="E1841" s="77"/>
      <c r="F1841" s="78"/>
      <c r="G1841" s="80">
        <v>0.1</v>
      </c>
      <c r="H1841" s="63">
        <f>H1840*G1841</f>
        <v>60962.5</v>
      </c>
      <c r="I1841" s="369"/>
      <c r="J1841" s="44"/>
      <c r="K1841" s="44"/>
    </row>
    <row r="1842" spans="3:15" s="59" customFormat="1" ht="21" customHeight="1">
      <c r="C1842" s="288" t="s">
        <v>1221</v>
      </c>
      <c r="D1842" s="76" t="s">
        <v>1222</v>
      </c>
      <c r="E1842" s="77"/>
      <c r="F1842" s="77"/>
      <c r="G1842" s="78"/>
      <c r="H1842" s="799">
        <f>SUM(H1840:H1841)</f>
        <v>670587.5</v>
      </c>
      <c r="I1842" s="369"/>
      <c r="J1842" s="44"/>
      <c r="K1842" s="44"/>
    </row>
    <row r="1843" spans="3:15" ht="21" customHeight="1"/>
    <row r="1844" spans="3:15" s="59" customFormat="1" ht="21" customHeight="1">
      <c r="C1844" s="47" t="s">
        <v>8312</v>
      </c>
      <c r="D1844" s="794" t="s">
        <v>8313</v>
      </c>
      <c r="E1844" s="795"/>
      <c r="F1844" s="795"/>
      <c r="G1844" s="795"/>
      <c r="H1844" s="795"/>
      <c r="I1844" s="50">
        <f>ROUNDDOWN(H1859,-2)</f>
        <v>718100</v>
      </c>
      <c r="J1844" s="50" t="s">
        <v>7804</v>
      </c>
      <c r="K1844" s="50"/>
    </row>
    <row r="1845" spans="3:15" s="59" customFormat="1" ht="21" customHeight="1">
      <c r="C1845" s="591" t="s">
        <v>1195</v>
      </c>
      <c r="D1845" s="591" t="s">
        <v>1196</v>
      </c>
      <c r="E1845" s="591" t="s">
        <v>1197</v>
      </c>
      <c r="F1845" s="591" t="s">
        <v>1198</v>
      </c>
      <c r="G1845" s="591" t="s">
        <v>1199</v>
      </c>
      <c r="H1845" s="591" t="s">
        <v>1200</v>
      </c>
      <c r="I1845" s="44"/>
      <c r="J1845" s="44"/>
      <c r="K1845" s="44"/>
    </row>
    <row r="1846" spans="3:15" s="59" customFormat="1" ht="21" customHeight="1">
      <c r="C1846" s="61" t="s">
        <v>1201</v>
      </c>
      <c r="D1846" s="56" t="s">
        <v>1202</v>
      </c>
      <c r="E1846" s="57"/>
      <c r="F1846" s="57"/>
      <c r="G1846" s="57"/>
      <c r="H1846" s="57"/>
      <c r="I1846" s="44"/>
      <c r="J1846" s="44"/>
      <c r="K1846" s="44"/>
      <c r="L1846" s="152" t="s">
        <v>1247</v>
      </c>
    </row>
    <row r="1847" spans="3:15" s="59" customFormat="1" ht="21" customHeight="1">
      <c r="C1847" s="588">
        <v>1</v>
      </c>
      <c r="D1847" s="56" t="s">
        <v>5</v>
      </c>
      <c r="E1847" s="577" t="s">
        <v>6</v>
      </c>
      <c r="F1847" s="62">
        <v>0.39400000000000002</v>
      </c>
      <c r="G1847" s="63">
        <f>VLOOKUP(D1847,upahbahan,3,FALSE)</f>
        <v>100000</v>
      </c>
      <c r="H1847" s="63">
        <f>F1847*G1847</f>
        <v>39400</v>
      </c>
      <c r="I1847" s="44"/>
      <c r="J1847" s="44"/>
      <c r="K1847" s="44"/>
      <c r="L1847" s="152" t="s">
        <v>1248</v>
      </c>
      <c r="O1847" s="65">
        <v>0.1</v>
      </c>
    </row>
    <row r="1848" spans="3:15" s="59" customFormat="1" ht="21" customHeight="1">
      <c r="C1848" s="588">
        <v>2</v>
      </c>
      <c r="D1848" s="56" t="s">
        <v>10</v>
      </c>
      <c r="E1848" s="577" t="s">
        <v>6</v>
      </c>
      <c r="F1848" s="62">
        <v>0.65800000000000003</v>
      </c>
      <c r="G1848" s="63">
        <f>VLOOKUP(D1848,upahbahan,3,FALSE)</f>
        <v>135000</v>
      </c>
      <c r="H1848" s="63">
        <f>F1848*G1848</f>
        <v>88830</v>
      </c>
      <c r="I1848" s="44"/>
      <c r="J1848" s="44"/>
      <c r="K1848" s="44"/>
    </row>
    <row r="1849" spans="3:15" s="59" customFormat="1" ht="21" customHeight="1">
      <c r="C1849" s="588">
        <v>3</v>
      </c>
      <c r="D1849" s="56" t="s">
        <v>18</v>
      </c>
      <c r="E1849" s="577" t="s">
        <v>6</v>
      </c>
      <c r="F1849" s="62">
        <v>6.6000000000000003E-2</v>
      </c>
      <c r="G1849" s="63">
        <f>VLOOKUP(D1849,upahbahan,3,FALSE)</f>
        <v>150000</v>
      </c>
      <c r="H1849" s="63">
        <f>F1849*G1849</f>
        <v>9900</v>
      </c>
      <c r="I1849" s="44"/>
      <c r="J1849" s="44"/>
      <c r="K1849" s="44"/>
    </row>
    <row r="1850" spans="3:15" s="59" customFormat="1" ht="21" customHeight="1">
      <c r="C1850" s="588">
        <v>4</v>
      </c>
      <c r="D1850" s="56" t="s">
        <v>19</v>
      </c>
      <c r="E1850" s="577" t="s">
        <v>6</v>
      </c>
      <c r="F1850" s="62">
        <v>0.02</v>
      </c>
      <c r="G1850" s="63">
        <f>VLOOKUP(D1850,upahbahan,3,FALSE)</f>
        <v>160000</v>
      </c>
      <c r="H1850" s="63">
        <f>F1850*G1850</f>
        <v>3200</v>
      </c>
      <c r="I1850" s="44"/>
      <c r="J1850" s="44"/>
      <c r="K1850" s="44"/>
    </row>
    <row r="1851" spans="3:15" s="59" customFormat="1" ht="21" customHeight="1">
      <c r="C1851" s="450" t="s">
        <v>1208</v>
      </c>
      <c r="D1851" s="67"/>
      <c r="E1851" s="67"/>
      <c r="F1851" s="142"/>
      <c r="G1851" s="153"/>
      <c r="H1851" s="63">
        <f>SUM(H1847:H1850)</f>
        <v>141330</v>
      </c>
      <c r="I1851" s="154"/>
      <c r="J1851" s="154"/>
      <c r="K1851" s="154"/>
    </row>
    <row r="1852" spans="3:15" s="59" customFormat="1" ht="21" customHeight="1">
      <c r="C1852" s="61" t="s">
        <v>1209</v>
      </c>
      <c r="D1852" s="56" t="s">
        <v>1210</v>
      </c>
      <c r="E1852" s="57"/>
      <c r="F1852" s="57"/>
      <c r="G1852" s="57"/>
      <c r="H1852" s="57"/>
      <c r="I1852" s="44"/>
      <c r="J1852" s="44"/>
      <c r="K1852" s="44"/>
    </row>
    <row r="1853" spans="3:15" s="59" customFormat="1" ht="21" customHeight="1">
      <c r="C1853" s="588">
        <v>1</v>
      </c>
      <c r="D1853" s="72" t="s">
        <v>8314</v>
      </c>
      <c r="E1853" s="73" t="s">
        <v>113</v>
      </c>
      <c r="F1853" s="62">
        <v>1.55</v>
      </c>
      <c r="G1853" s="63">
        <f>VLOOKUP(D1853,upahbahan,3,FALSE)</f>
        <v>330000</v>
      </c>
      <c r="H1853" s="63">
        <f>F1853*G1853</f>
        <v>511500</v>
      </c>
      <c r="I1853" s="44"/>
      <c r="J1853" s="44"/>
      <c r="K1853" s="44"/>
    </row>
    <row r="1854" spans="3:15" s="59" customFormat="1" ht="21" customHeight="1">
      <c r="C1854" s="450" t="s">
        <v>1214</v>
      </c>
      <c r="D1854" s="67"/>
      <c r="E1854" s="67"/>
      <c r="F1854" s="67"/>
      <c r="G1854" s="69"/>
      <c r="H1854" s="63">
        <f>SUM(H1853:H1853)</f>
        <v>511500</v>
      </c>
      <c r="I1854" s="44"/>
      <c r="J1854" s="44"/>
      <c r="K1854" s="44"/>
    </row>
    <row r="1855" spans="3:15" s="59" customFormat="1" ht="21" customHeight="1">
      <c r="C1855" s="61" t="s">
        <v>1215</v>
      </c>
      <c r="D1855" s="56" t="s">
        <v>1216</v>
      </c>
      <c r="E1855" s="57"/>
      <c r="F1855" s="57"/>
      <c r="G1855" s="57"/>
      <c r="H1855" s="57"/>
      <c r="I1855" s="44"/>
      <c r="J1855" s="44"/>
      <c r="K1855" s="44"/>
    </row>
    <row r="1856" spans="3:15" s="59" customFormat="1" ht="21" customHeight="1">
      <c r="C1856" s="450" t="s">
        <v>1217</v>
      </c>
      <c r="D1856" s="67"/>
      <c r="E1856" s="67"/>
      <c r="F1856" s="67"/>
      <c r="G1856" s="69"/>
      <c r="H1856" s="589">
        <v>0</v>
      </c>
      <c r="I1856" s="44"/>
      <c r="J1856" s="44"/>
      <c r="K1856" s="44"/>
    </row>
    <row r="1857" spans="3:15" s="59" customFormat="1" ht="21" customHeight="1">
      <c r="C1857" s="288" t="s">
        <v>1218</v>
      </c>
      <c r="D1857" s="76" t="s">
        <v>1219</v>
      </c>
      <c r="E1857" s="77"/>
      <c r="F1857" s="77"/>
      <c r="G1857" s="78"/>
      <c r="H1857" s="585">
        <f>H1856+H1854+H1851</f>
        <v>652830</v>
      </c>
      <c r="I1857" s="369"/>
      <c r="J1857" s="44"/>
      <c r="K1857" s="44"/>
    </row>
    <row r="1858" spans="3:15" s="59" customFormat="1" ht="21" customHeight="1">
      <c r="C1858" s="288" t="s">
        <v>1220</v>
      </c>
      <c r="D1858" s="76" t="s">
        <v>1321</v>
      </c>
      <c r="E1858" s="77"/>
      <c r="F1858" s="78"/>
      <c r="G1858" s="80">
        <v>0.1</v>
      </c>
      <c r="H1858" s="63">
        <f>H1857*G1858</f>
        <v>65283</v>
      </c>
      <c r="I1858" s="369"/>
      <c r="J1858" s="44"/>
      <c r="K1858" s="44"/>
    </row>
    <row r="1859" spans="3:15" s="59" customFormat="1" ht="21" customHeight="1">
      <c r="C1859" s="288" t="s">
        <v>1221</v>
      </c>
      <c r="D1859" s="76" t="s">
        <v>1222</v>
      </c>
      <c r="E1859" s="77"/>
      <c r="F1859" s="77"/>
      <c r="G1859" s="78"/>
      <c r="H1859" s="799">
        <f>SUM(H1857:H1858)</f>
        <v>718113</v>
      </c>
      <c r="I1859" s="369"/>
      <c r="J1859" s="44"/>
      <c r="K1859" s="44"/>
    </row>
    <row r="1860" spans="3:15" ht="21" customHeight="1"/>
    <row r="1861" spans="3:15" s="59" customFormat="1" ht="21" customHeight="1">
      <c r="C1861" s="47" t="s">
        <v>8315</v>
      </c>
      <c r="D1861" s="794" t="s">
        <v>8316</v>
      </c>
      <c r="E1861" s="795"/>
      <c r="F1861" s="795"/>
      <c r="G1861" s="795"/>
      <c r="H1861" s="795"/>
      <c r="I1861" s="50">
        <f>ROUNDDOWN(H1876,-2)</f>
        <v>766300</v>
      </c>
      <c r="J1861" s="50" t="s">
        <v>7804</v>
      </c>
      <c r="K1861" s="50"/>
    </row>
    <row r="1862" spans="3:15" s="59" customFormat="1" ht="21" customHeight="1">
      <c r="C1862" s="591" t="s">
        <v>1195</v>
      </c>
      <c r="D1862" s="591" t="s">
        <v>1196</v>
      </c>
      <c r="E1862" s="591" t="s">
        <v>1197</v>
      </c>
      <c r="F1862" s="591" t="s">
        <v>1198</v>
      </c>
      <c r="G1862" s="591" t="s">
        <v>1199</v>
      </c>
      <c r="H1862" s="591" t="s">
        <v>1200</v>
      </c>
      <c r="I1862" s="44"/>
      <c r="J1862" s="44"/>
      <c r="K1862" s="44"/>
    </row>
    <row r="1863" spans="3:15" s="59" customFormat="1" ht="21" customHeight="1">
      <c r="C1863" s="61" t="s">
        <v>1201</v>
      </c>
      <c r="D1863" s="56" t="s">
        <v>1202</v>
      </c>
      <c r="E1863" s="57"/>
      <c r="F1863" s="57"/>
      <c r="G1863" s="57"/>
      <c r="H1863" s="57"/>
      <c r="I1863" s="44"/>
      <c r="J1863" s="44"/>
      <c r="K1863" s="44"/>
      <c r="L1863" s="152" t="s">
        <v>1247</v>
      </c>
    </row>
    <row r="1864" spans="3:15" s="59" customFormat="1" ht="21" customHeight="1">
      <c r="C1864" s="588">
        <v>1</v>
      </c>
      <c r="D1864" s="56" t="s">
        <v>5</v>
      </c>
      <c r="E1864" s="577" t="s">
        <v>6</v>
      </c>
      <c r="F1864" s="62">
        <v>0.47299999999999998</v>
      </c>
      <c r="G1864" s="63">
        <f>VLOOKUP(D1864,upahbahan,3,FALSE)</f>
        <v>100000</v>
      </c>
      <c r="H1864" s="63">
        <f>F1864*G1864</f>
        <v>47300</v>
      </c>
      <c r="I1864" s="44"/>
      <c r="J1864" s="44"/>
      <c r="K1864" s="44"/>
      <c r="L1864" s="152" t="s">
        <v>1248</v>
      </c>
      <c r="O1864" s="65">
        <v>0.1</v>
      </c>
    </row>
    <row r="1865" spans="3:15" s="59" customFormat="1" ht="21" customHeight="1">
      <c r="C1865" s="588">
        <v>2</v>
      </c>
      <c r="D1865" s="56" t="s">
        <v>10</v>
      </c>
      <c r="E1865" s="577" t="s">
        <v>6</v>
      </c>
      <c r="F1865" s="62">
        <v>0.79</v>
      </c>
      <c r="G1865" s="63">
        <f>VLOOKUP(D1865,upahbahan,3,FALSE)</f>
        <v>135000</v>
      </c>
      <c r="H1865" s="63">
        <f>F1865*G1865</f>
        <v>106650</v>
      </c>
      <c r="I1865" s="44"/>
      <c r="J1865" s="44"/>
      <c r="K1865" s="44"/>
    </row>
    <row r="1866" spans="3:15" s="59" customFormat="1" ht="21" customHeight="1">
      <c r="C1866" s="588">
        <v>3</v>
      </c>
      <c r="D1866" s="56" t="s">
        <v>18</v>
      </c>
      <c r="E1866" s="577" t="s">
        <v>6</v>
      </c>
      <c r="F1866" s="62">
        <v>7.9000000000000001E-2</v>
      </c>
      <c r="G1866" s="63">
        <f>VLOOKUP(D1866,upahbahan,3,FALSE)</f>
        <v>150000</v>
      </c>
      <c r="H1866" s="63">
        <f>F1866*G1866</f>
        <v>11850</v>
      </c>
      <c r="I1866" s="44"/>
      <c r="J1866" s="44"/>
      <c r="K1866" s="44"/>
    </row>
    <row r="1867" spans="3:15" s="59" customFormat="1" ht="21" customHeight="1">
      <c r="C1867" s="588">
        <v>4</v>
      </c>
      <c r="D1867" s="56" t="s">
        <v>19</v>
      </c>
      <c r="E1867" s="577" t="s">
        <v>6</v>
      </c>
      <c r="F1867" s="62">
        <v>2.4E-2</v>
      </c>
      <c r="G1867" s="63">
        <f>VLOOKUP(D1867,upahbahan,3,FALSE)</f>
        <v>160000</v>
      </c>
      <c r="H1867" s="63">
        <f>F1867*G1867</f>
        <v>3840</v>
      </c>
      <c r="I1867" s="44"/>
      <c r="J1867" s="44"/>
      <c r="K1867" s="44"/>
    </row>
    <row r="1868" spans="3:15" s="59" customFormat="1" ht="21" customHeight="1">
      <c r="C1868" s="450" t="s">
        <v>1208</v>
      </c>
      <c r="D1868" s="67"/>
      <c r="E1868" s="67"/>
      <c r="F1868" s="142"/>
      <c r="G1868" s="153"/>
      <c r="H1868" s="63">
        <f>SUM(H1864:H1867)</f>
        <v>169640</v>
      </c>
      <c r="I1868" s="154"/>
      <c r="J1868" s="154"/>
      <c r="K1868" s="154"/>
    </row>
    <row r="1869" spans="3:15" s="59" customFormat="1" ht="21" customHeight="1">
      <c r="C1869" s="61" t="s">
        <v>1209</v>
      </c>
      <c r="D1869" s="56" t="s">
        <v>1210</v>
      </c>
      <c r="E1869" s="57"/>
      <c r="F1869" s="57"/>
      <c r="G1869" s="57"/>
      <c r="H1869" s="57"/>
      <c r="I1869" s="44"/>
      <c r="J1869" s="44"/>
      <c r="K1869" s="44"/>
    </row>
    <row r="1870" spans="3:15" s="59" customFormat="1" ht="21" customHeight="1">
      <c r="C1870" s="588">
        <v>1</v>
      </c>
      <c r="D1870" s="72" t="s">
        <v>8317</v>
      </c>
      <c r="E1870" s="73" t="s">
        <v>113</v>
      </c>
      <c r="F1870" s="62">
        <v>1.55</v>
      </c>
      <c r="G1870" s="63">
        <f>VLOOKUP(D1870,upahbahan,3,FALSE)</f>
        <v>340000</v>
      </c>
      <c r="H1870" s="63">
        <f>F1870*G1870</f>
        <v>527000</v>
      </c>
      <c r="I1870" s="44"/>
      <c r="J1870" s="44"/>
      <c r="K1870" s="44"/>
    </row>
    <row r="1871" spans="3:15" s="59" customFormat="1" ht="21" customHeight="1">
      <c r="C1871" s="450" t="s">
        <v>1214</v>
      </c>
      <c r="D1871" s="67"/>
      <c r="E1871" s="67"/>
      <c r="F1871" s="67"/>
      <c r="G1871" s="69"/>
      <c r="H1871" s="63">
        <f>SUM(H1870:H1870)</f>
        <v>527000</v>
      </c>
      <c r="I1871" s="44"/>
      <c r="J1871" s="44"/>
      <c r="K1871" s="44"/>
    </row>
    <row r="1872" spans="3:15" s="59" customFormat="1" ht="21" customHeight="1">
      <c r="C1872" s="61" t="s">
        <v>1215</v>
      </c>
      <c r="D1872" s="56" t="s">
        <v>1216</v>
      </c>
      <c r="E1872" s="57"/>
      <c r="F1872" s="57"/>
      <c r="G1872" s="57"/>
      <c r="H1872" s="57"/>
      <c r="I1872" s="44"/>
      <c r="J1872" s="44"/>
      <c r="K1872" s="44"/>
    </row>
    <row r="1873" spans="3:15" s="59" customFormat="1" ht="21" customHeight="1">
      <c r="C1873" s="450" t="s">
        <v>1217</v>
      </c>
      <c r="D1873" s="67"/>
      <c r="E1873" s="67"/>
      <c r="F1873" s="67"/>
      <c r="G1873" s="69"/>
      <c r="H1873" s="589">
        <v>0</v>
      </c>
      <c r="I1873" s="44"/>
      <c r="J1873" s="44"/>
      <c r="K1873" s="44"/>
    </row>
    <row r="1874" spans="3:15" s="59" customFormat="1" ht="21" customHeight="1">
      <c r="C1874" s="288" t="s">
        <v>1218</v>
      </c>
      <c r="D1874" s="76" t="s">
        <v>1219</v>
      </c>
      <c r="E1874" s="77"/>
      <c r="F1874" s="77"/>
      <c r="G1874" s="78"/>
      <c r="H1874" s="585">
        <f>H1873+H1871+H1868</f>
        <v>696640</v>
      </c>
      <c r="I1874" s="369"/>
      <c r="J1874" s="44"/>
      <c r="K1874" s="44"/>
    </row>
    <row r="1875" spans="3:15" s="59" customFormat="1" ht="21" customHeight="1">
      <c r="C1875" s="288" t="s">
        <v>1220</v>
      </c>
      <c r="D1875" s="76" t="s">
        <v>1321</v>
      </c>
      <c r="E1875" s="77"/>
      <c r="F1875" s="78"/>
      <c r="G1875" s="80">
        <v>0.1</v>
      </c>
      <c r="H1875" s="63">
        <f>H1874*G1875</f>
        <v>69664</v>
      </c>
      <c r="I1875" s="369"/>
      <c r="J1875" s="44"/>
      <c r="K1875" s="44"/>
    </row>
    <row r="1876" spans="3:15" s="59" customFormat="1" ht="21" customHeight="1">
      <c r="C1876" s="288" t="s">
        <v>1221</v>
      </c>
      <c r="D1876" s="76" t="s">
        <v>1222</v>
      </c>
      <c r="E1876" s="77"/>
      <c r="F1876" s="77"/>
      <c r="G1876" s="78"/>
      <c r="H1876" s="799">
        <f>SUM(H1874:H1875)</f>
        <v>766304</v>
      </c>
      <c r="I1876" s="369"/>
      <c r="J1876" s="44"/>
      <c r="K1876" s="44"/>
    </row>
    <row r="1877" spans="3:15" ht="21" customHeight="1"/>
    <row r="1878" spans="3:15" s="59" customFormat="1" ht="21" customHeight="1">
      <c r="C1878" s="47" t="s">
        <v>8318</v>
      </c>
      <c r="D1878" s="794" t="s">
        <v>8319</v>
      </c>
      <c r="E1878" s="795"/>
      <c r="F1878" s="795"/>
      <c r="G1878" s="795"/>
      <c r="H1878" s="795"/>
      <c r="I1878" s="50">
        <f>ROUNDDOWN(H1893,-2)</f>
        <v>844900</v>
      </c>
      <c r="J1878" s="50" t="s">
        <v>7804</v>
      </c>
      <c r="K1878" s="50"/>
    </row>
    <row r="1879" spans="3:15" s="59" customFormat="1" ht="21" customHeight="1">
      <c r="C1879" s="591" t="s">
        <v>1195</v>
      </c>
      <c r="D1879" s="591" t="s">
        <v>1196</v>
      </c>
      <c r="E1879" s="591" t="s">
        <v>1197</v>
      </c>
      <c r="F1879" s="591" t="s">
        <v>1198</v>
      </c>
      <c r="G1879" s="591" t="s">
        <v>1199</v>
      </c>
      <c r="H1879" s="591" t="s">
        <v>1200</v>
      </c>
      <c r="I1879" s="44"/>
      <c r="J1879" s="44"/>
      <c r="K1879" s="44"/>
    </row>
    <row r="1880" spans="3:15" s="59" customFormat="1" ht="21" customHeight="1">
      <c r="C1880" s="61" t="s">
        <v>1201</v>
      </c>
      <c r="D1880" s="56" t="s">
        <v>1202</v>
      </c>
      <c r="E1880" s="57"/>
      <c r="F1880" s="57"/>
      <c r="G1880" s="57"/>
      <c r="H1880" s="57"/>
      <c r="I1880" s="44"/>
      <c r="J1880" s="44"/>
      <c r="K1880" s="44"/>
      <c r="L1880" s="152" t="s">
        <v>1247</v>
      </c>
    </row>
    <row r="1881" spans="3:15" s="59" customFormat="1" ht="21" customHeight="1">
      <c r="C1881" s="588">
        <v>1</v>
      </c>
      <c r="D1881" s="56" t="s">
        <v>5</v>
      </c>
      <c r="E1881" s="577" t="s">
        <v>6</v>
      </c>
      <c r="F1881" s="62">
        <v>0.629</v>
      </c>
      <c r="G1881" s="63">
        <f>VLOOKUP(D1881,upahbahan,3,FALSE)</f>
        <v>100000</v>
      </c>
      <c r="H1881" s="63">
        <f>F1881*G1881</f>
        <v>62900</v>
      </c>
      <c r="I1881" s="44"/>
      <c r="J1881" s="44"/>
      <c r="K1881" s="44"/>
      <c r="L1881" s="152" t="s">
        <v>1248</v>
      </c>
      <c r="O1881" s="65">
        <v>0.1</v>
      </c>
    </row>
    <row r="1882" spans="3:15" s="59" customFormat="1" ht="21" customHeight="1">
      <c r="C1882" s="588">
        <v>2</v>
      </c>
      <c r="D1882" s="56" t="s">
        <v>10</v>
      </c>
      <c r="E1882" s="577" t="s">
        <v>6</v>
      </c>
      <c r="F1882" s="62">
        <v>1.0509999999999999</v>
      </c>
      <c r="G1882" s="63">
        <f>VLOOKUP(D1882,upahbahan,3,FALSE)</f>
        <v>135000</v>
      </c>
      <c r="H1882" s="63">
        <f>F1882*G1882</f>
        <v>141885</v>
      </c>
      <c r="I1882" s="44"/>
      <c r="J1882" s="44"/>
      <c r="K1882" s="44"/>
    </row>
    <row r="1883" spans="3:15" s="59" customFormat="1" ht="21" customHeight="1">
      <c r="C1883" s="588">
        <v>3</v>
      </c>
      <c r="D1883" s="56" t="s">
        <v>18</v>
      </c>
      <c r="E1883" s="577" t="s">
        <v>6</v>
      </c>
      <c r="F1883" s="62">
        <v>0.105</v>
      </c>
      <c r="G1883" s="63">
        <f>VLOOKUP(D1883,upahbahan,3,FALSE)</f>
        <v>150000</v>
      </c>
      <c r="H1883" s="63">
        <f>F1883*G1883</f>
        <v>15750</v>
      </c>
      <c r="I1883" s="44"/>
      <c r="J1883" s="44"/>
      <c r="K1883" s="44"/>
    </row>
    <row r="1884" spans="3:15" s="59" customFormat="1" ht="21" customHeight="1">
      <c r="C1884" s="588">
        <v>4</v>
      </c>
      <c r="D1884" s="56" t="s">
        <v>19</v>
      </c>
      <c r="E1884" s="577" t="s">
        <v>6</v>
      </c>
      <c r="F1884" s="62">
        <v>3.2000000000000001E-2</v>
      </c>
      <c r="G1884" s="63">
        <f>VLOOKUP(D1884,upahbahan,3,FALSE)</f>
        <v>160000</v>
      </c>
      <c r="H1884" s="63">
        <f>F1884*G1884</f>
        <v>5120</v>
      </c>
      <c r="I1884" s="44"/>
      <c r="J1884" s="44"/>
      <c r="K1884" s="44"/>
    </row>
    <row r="1885" spans="3:15" s="59" customFormat="1" ht="21" customHeight="1">
      <c r="C1885" s="450" t="s">
        <v>1208</v>
      </c>
      <c r="D1885" s="67"/>
      <c r="E1885" s="67"/>
      <c r="F1885" s="142"/>
      <c r="G1885" s="153"/>
      <c r="H1885" s="63">
        <f>SUM(H1881:H1884)</f>
        <v>225655</v>
      </c>
      <c r="I1885" s="154"/>
      <c r="J1885" s="154"/>
      <c r="K1885" s="154"/>
    </row>
    <row r="1886" spans="3:15" s="59" customFormat="1" ht="21" customHeight="1">
      <c r="C1886" s="61" t="s">
        <v>1209</v>
      </c>
      <c r="D1886" s="56" t="s">
        <v>1210</v>
      </c>
      <c r="E1886" s="57"/>
      <c r="F1886" s="57"/>
      <c r="G1886" s="57"/>
      <c r="H1886" s="57"/>
      <c r="I1886" s="44"/>
      <c r="J1886" s="44"/>
      <c r="K1886" s="44"/>
    </row>
    <row r="1887" spans="3:15" s="59" customFormat="1" ht="21" customHeight="1">
      <c r="C1887" s="588">
        <v>1</v>
      </c>
      <c r="D1887" s="72" t="s">
        <v>8320</v>
      </c>
      <c r="E1887" s="73" t="s">
        <v>113</v>
      </c>
      <c r="F1887" s="62">
        <v>1.55</v>
      </c>
      <c r="G1887" s="63">
        <f>VLOOKUP(D1887,upahbahan,3,FALSE)</f>
        <v>350000</v>
      </c>
      <c r="H1887" s="63">
        <f>F1887*G1887</f>
        <v>542500</v>
      </c>
      <c r="I1887" s="44"/>
      <c r="J1887" s="44"/>
      <c r="K1887" s="44"/>
    </row>
    <row r="1888" spans="3:15" s="59" customFormat="1" ht="21" customHeight="1">
      <c r="C1888" s="450" t="s">
        <v>1214</v>
      </c>
      <c r="D1888" s="67"/>
      <c r="E1888" s="67"/>
      <c r="F1888" s="67"/>
      <c r="G1888" s="69"/>
      <c r="H1888" s="63">
        <f>SUM(H1887:H1887)</f>
        <v>542500</v>
      </c>
      <c r="I1888" s="44"/>
      <c r="J1888" s="44"/>
      <c r="K1888" s="44"/>
    </row>
    <row r="1889" spans="3:15" s="59" customFormat="1" ht="21" customHeight="1">
      <c r="C1889" s="61" t="s">
        <v>1215</v>
      </c>
      <c r="D1889" s="56" t="s">
        <v>1216</v>
      </c>
      <c r="E1889" s="57"/>
      <c r="F1889" s="57"/>
      <c r="G1889" s="57"/>
      <c r="H1889" s="57"/>
      <c r="I1889" s="44"/>
      <c r="J1889" s="44"/>
      <c r="K1889" s="44"/>
    </row>
    <row r="1890" spans="3:15" s="59" customFormat="1" ht="21" customHeight="1">
      <c r="C1890" s="450" t="s">
        <v>1217</v>
      </c>
      <c r="D1890" s="67"/>
      <c r="E1890" s="67"/>
      <c r="F1890" s="67"/>
      <c r="G1890" s="69"/>
      <c r="H1890" s="589">
        <v>0</v>
      </c>
      <c r="I1890" s="44"/>
      <c r="J1890" s="44"/>
      <c r="K1890" s="44"/>
    </row>
    <row r="1891" spans="3:15" s="59" customFormat="1" ht="21" customHeight="1">
      <c r="C1891" s="288" t="s">
        <v>1218</v>
      </c>
      <c r="D1891" s="76" t="s">
        <v>1219</v>
      </c>
      <c r="E1891" s="77"/>
      <c r="F1891" s="77"/>
      <c r="G1891" s="78"/>
      <c r="H1891" s="585">
        <f>H1890+H1888+H1885</f>
        <v>768155</v>
      </c>
      <c r="I1891" s="369"/>
      <c r="J1891" s="44"/>
      <c r="K1891" s="44"/>
    </row>
    <row r="1892" spans="3:15" s="59" customFormat="1" ht="21" customHeight="1">
      <c r="C1892" s="288" t="s">
        <v>1220</v>
      </c>
      <c r="D1892" s="76" t="s">
        <v>1321</v>
      </c>
      <c r="E1892" s="77"/>
      <c r="F1892" s="78"/>
      <c r="G1892" s="80">
        <v>0.1</v>
      </c>
      <c r="H1892" s="63">
        <f>H1891*G1892</f>
        <v>76815.5</v>
      </c>
      <c r="I1892" s="369"/>
      <c r="J1892" s="44"/>
      <c r="K1892" s="44"/>
    </row>
    <row r="1893" spans="3:15" s="59" customFormat="1" ht="21" customHeight="1">
      <c r="C1893" s="288" t="s">
        <v>1221</v>
      </c>
      <c r="D1893" s="76" t="s">
        <v>1222</v>
      </c>
      <c r="E1893" s="77"/>
      <c r="F1893" s="77"/>
      <c r="G1893" s="78"/>
      <c r="H1893" s="799">
        <f>SUM(H1891:H1892)</f>
        <v>844970.5</v>
      </c>
      <c r="I1893" s="369"/>
      <c r="J1893" s="44"/>
      <c r="K1893" s="44"/>
    </row>
    <row r="1894" spans="3:15" ht="21" customHeight="1"/>
    <row r="1895" spans="3:15" s="59" customFormat="1" ht="21" customHeight="1">
      <c r="C1895" s="47" t="s">
        <v>8321</v>
      </c>
      <c r="D1895" s="794" t="s">
        <v>8322</v>
      </c>
      <c r="E1895" s="795"/>
      <c r="F1895" s="795"/>
      <c r="G1895" s="795"/>
      <c r="H1895" s="795"/>
      <c r="I1895" s="50">
        <f>ROUNDDOWN(H1910,-2)</f>
        <v>924400</v>
      </c>
      <c r="J1895" s="50" t="s">
        <v>7804</v>
      </c>
      <c r="K1895" s="50"/>
    </row>
    <row r="1896" spans="3:15" s="59" customFormat="1" ht="21" customHeight="1">
      <c r="C1896" s="591" t="s">
        <v>1195</v>
      </c>
      <c r="D1896" s="591" t="s">
        <v>1196</v>
      </c>
      <c r="E1896" s="591" t="s">
        <v>1197</v>
      </c>
      <c r="F1896" s="591" t="s">
        <v>1198</v>
      </c>
      <c r="G1896" s="591" t="s">
        <v>1199</v>
      </c>
      <c r="H1896" s="591" t="s">
        <v>1200</v>
      </c>
      <c r="I1896" s="44"/>
      <c r="J1896" s="44"/>
      <c r="K1896" s="44"/>
    </row>
    <row r="1897" spans="3:15" s="59" customFormat="1" ht="21" customHeight="1">
      <c r="C1897" s="61" t="s">
        <v>1201</v>
      </c>
      <c r="D1897" s="56" t="s">
        <v>1202</v>
      </c>
      <c r="E1897" s="57"/>
      <c r="F1897" s="57"/>
      <c r="G1897" s="57"/>
      <c r="H1897" s="57"/>
      <c r="I1897" s="44"/>
      <c r="J1897" s="44"/>
      <c r="K1897" s="44"/>
      <c r="L1897" s="152" t="s">
        <v>1247</v>
      </c>
    </row>
    <row r="1898" spans="3:15" s="59" customFormat="1" ht="21" customHeight="1">
      <c r="C1898" s="588">
        <v>1</v>
      </c>
      <c r="D1898" s="56" t="s">
        <v>5</v>
      </c>
      <c r="E1898" s="577" t="s">
        <v>6</v>
      </c>
      <c r="F1898" s="62">
        <v>0.78800000000000003</v>
      </c>
      <c r="G1898" s="63">
        <f>VLOOKUP(D1898,upahbahan,3,FALSE)</f>
        <v>100000</v>
      </c>
      <c r="H1898" s="63">
        <f>F1898*G1898</f>
        <v>78800</v>
      </c>
      <c r="I1898" s="44"/>
      <c r="J1898" s="44"/>
      <c r="K1898" s="44"/>
      <c r="L1898" s="152" t="s">
        <v>1248</v>
      </c>
      <c r="O1898" s="65">
        <v>0.1</v>
      </c>
    </row>
    <row r="1899" spans="3:15" s="59" customFormat="1" ht="21" customHeight="1">
      <c r="C1899" s="588">
        <v>2</v>
      </c>
      <c r="D1899" s="56" t="s">
        <v>10</v>
      </c>
      <c r="E1899" s="577" t="s">
        <v>6</v>
      </c>
      <c r="F1899" s="62">
        <v>1.3149999999999999</v>
      </c>
      <c r="G1899" s="63">
        <f>VLOOKUP(D1899,upahbahan,3,FALSE)</f>
        <v>135000</v>
      </c>
      <c r="H1899" s="63">
        <f>F1899*G1899</f>
        <v>177525</v>
      </c>
      <c r="I1899" s="44"/>
      <c r="J1899" s="44"/>
      <c r="K1899" s="44"/>
    </row>
    <row r="1900" spans="3:15" s="59" customFormat="1" ht="21" customHeight="1">
      <c r="C1900" s="588">
        <v>3</v>
      </c>
      <c r="D1900" s="56" t="s">
        <v>18</v>
      </c>
      <c r="E1900" s="577" t="s">
        <v>6</v>
      </c>
      <c r="F1900" s="62">
        <v>0.13200000000000001</v>
      </c>
      <c r="G1900" s="63">
        <f>VLOOKUP(D1900,upahbahan,3,FALSE)</f>
        <v>150000</v>
      </c>
      <c r="H1900" s="63">
        <f>F1900*G1900</f>
        <v>19800</v>
      </c>
      <c r="I1900" s="44"/>
      <c r="J1900" s="44"/>
      <c r="K1900" s="44"/>
    </row>
    <row r="1901" spans="3:15" s="59" customFormat="1" ht="21" customHeight="1">
      <c r="C1901" s="588">
        <v>4</v>
      </c>
      <c r="D1901" s="56" t="s">
        <v>19</v>
      </c>
      <c r="E1901" s="577" t="s">
        <v>6</v>
      </c>
      <c r="F1901" s="62">
        <v>3.9E-2</v>
      </c>
      <c r="G1901" s="63">
        <f>VLOOKUP(D1901,upahbahan,3,FALSE)</f>
        <v>160000</v>
      </c>
      <c r="H1901" s="63">
        <f>F1901*G1901</f>
        <v>6240</v>
      </c>
      <c r="I1901" s="44"/>
      <c r="J1901" s="44"/>
      <c r="K1901" s="44"/>
    </row>
    <row r="1902" spans="3:15" s="59" customFormat="1" ht="21" customHeight="1">
      <c r="C1902" s="450" t="s">
        <v>1208</v>
      </c>
      <c r="D1902" s="67"/>
      <c r="E1902" s="67"/>
      <c r="F1902" s="142"/>
      <c r="G1902" s="153"/>
      <c r="H1902" s="63">
        <f>SUM(H1898:H1901)</f>
        <v>282365</v>
      </c>
      <c r="I1902" s="154"/>
      <c r="J1902" s="154"/>
      <c r="K1902" s="154"/>
    </row>
    <row r="1903" spans="3:15" s="59" customFormat="1" ht="21" customHeight="1">
      <c r="C1903" s="61" t="s">
        <v>1209</v>
      </c>
      <c r="D1903" s="56" t="s">
        <v>1210</v>
      </c>
      <c r="E1903" s="57"/>
      <c r="F1903" s="57"/>
      <c r="G1903" s="57"/>
      <c r="H1903" s="57"/>
      <c r="I1903" s="44"/>
      <c r="J1903" s="44"/>
      <c r="K1903" s="44"/>
    </row>
    <row r="1904" spans="3:15" s="59" customFormat="1" ht="21" customHeight="1">
      <c r="C1904" s="588">
        <v>1</v>
      </c>
      <c r="D1904" s="72" t="s">
        <v>8323</v>
      </c>
      <c r="E1904" s="73" t="s">
        <v>113</v>
      </c>
      <c r="F1904" s="62">
        <v>1.55</v>
      </c>
      <c r="G1904" s="63">
        <f>VLOOKUP(D1904,upahbahan,3,FALSE)</f>
        <v>360000</v>
      </c>
      <c r="H1904" s="63">
        <f>F1904*G1904</f>
        <v>558000</v>
      </c>
      <c r="I1904" s="44"/>
      <c r="J1904" s="44"/>
      <c r="K1904" s="44"/>
    </row>
    <row r="1905" spans="3:15" s="59" customFormat="1" ht="21" customHeight="1">
      <c r="C1905" s="450" t="s">
        <v>1214</v>
      </c>
      <c r="D1905" s="67"/>
      <c r="E1905" s="67"/>
      <c r="F1905" s="67"/>
      <c r="G1905" s="69"/>
      <c r="H1905" s="63">
        <f>SUM(H1904:H1904)</f>
        <v>558000</v>
      </c>
      <c r="I1905" s="44"/>
      <c r="J1905" s="44"/>
      <c r="K1905" s="44"/>
    </row>
    <row r="1906" spans="3:15" s="59" customFormat="1" ht="21" customHeight="1">
      <c r="C1906" s="61" t="s">
        <v>1215</v>
      </c>
      <c r="D1906" s="56" t="s">
        <v>1216</v>
      </c>
      <c r="E1906" s="57"/>
      <c r="F1906" s="57"/>
      <c r="G1906" s="57"/>
      <c r="H1906" s="57"/>
      <c r="I1906" s="44"/>
      <c r="J1906" s="44"/>
      <c r="K1906" s="44"/>
    </row>
    <row r="1907" spans="3:15" s="59" customFormat="1" ht="21" customHeight="1">
      <c r="C1907" s="450" t="s">
        <v>1217</v>
      </c>
      <c r="D1907" s="67"/>
      <c r="E1907" s="67"/>
      <c r="F1907" s="67"/>
      <c r="G1907" s="69"/>
      <c r="H1907" s="589">
        <v>0</v>
      </c>
      <c r="I1907" s="44"/>
      <c r="J1907" s="44"/>
      <c r="K1907" s="44"/>
    </row>
    <row r="1908" spans="3:15" s="59" customFormat="1" ht="21" customHeight="1">
      <c r="C1908" s="288" t="s">
        <v>1218</v>
      </c>
      <c r="D1908" s="76" t="s">
        <v>1219</v>
      </c>
      <c r="E1908" s="77"/>
      <c r="F1908" s="77"/>
      <c r="G1908" s="78"/>
      <c r="H1908" s="585">
        <f>H1907+H1905+H1902</f>
        <v>840365</v>
      </c>
      <c r="I1908" s="369"/>
      <c r="J1908" s="44"/>
      <c r="K1908" s="44"/>
    </row>
    <row r="1909" spans="3:15" s="59" customFormat="1" ht="21" customHeight="1">
      <c r="C1909" s="288" t="s">
        <v>1220</v>
      </c>
      <c r="D1909" s="76" t="s">
        <v>1321</v>
      </c>
      <c r="E1909" s="77"/>
      <c r="F1909" s="78"/>
      <c r="G1909" s="80">
        <v>0.1</v>
      </c>
      <c r="H1909" s="63">
        <f>H1908*G1909</f>
        <v>84036.5</v>
      </c>
      <c r="I1909" s="369"/>
      <c r="J1909" s="44"/>
      <c r="K1909" s="44"/>
    </row>
    <row r="1910" spans="3:15" s="59" customFormat="1" ht="21" customHeight="1">
      <c r="C1910" s="288" t="s">
        <v>1221</v>
      </c>
      <c r="D1910" s="76" t="s">
        <v>1222</v>
      </c>
      <c r="E1910" s="77"/>
      <c r="F1910" s="77"/>
      <c r="G1910" s="78"/>
      <c r="H1910" s="799">
        <f>SUM(H1908:H1909)</f>
        <v>924401.5</v>
      </c>
      <c r="I1910" s="369"/>
      <c r="J1910" s="44"/>
      <c r="K1910" s="44"/>
    </row>
    <row r="1911" spans="3:15" ht="21" customHeight="1"/>
    <row r="1912" spans="3:15" s="59" customFormat="1" ht="21" customHeight="1">
      <c r="C1912" s="47" t="s">
        <v>8324</v>
      </c>
      <c r="D1912" s="794" t="s">
        <v>8325</v>
      </c>
      <c r="E1912" s="795"/>
      <c r="F1912" s="795"/>
      <c r="G1912" s="795"/>
      <c r="H1912" s="795"/>
      <c r="I1912" s="50">
        <f>ROUNDDOWN(H1927,-2)</f>
        <v>1003000</v>
      </c>
      <c r="J1912" s="50" t="s">
        <v>7804</v>
      </c>
      <c r="K1912" s="50"/>
    </row>
    <row r="1913" spans="3:15" s="59" customFormat="1" ht="21" customHeight="1">
      <c r="C1913" s="591" t="s">
        <v>1195</v>
      </c>
      <c r="D1913" s="591" t="s">
        <v>1196</v>
      </c>
      <c r="E1913" s="591" t="s">
        <v>1197</v>
      </c>
      <c r="F1913" s="591" t="s">
        <v>1198</v>
      </c>
      <c r="G1913" s="591" t="s">
        <v>1199</v>
      </c>
      <c r="H1913" s="591" t="s">
        <v>1200</v>
      </c>
      <c r="I1913" s="44"/>
      <c r="J1913" s="44"/>
      <c r="K1913" s="44"/>
    </row>
    <row r="1914" spans="3:15" s="59" customFormat="1" ht="21" customHeight="1">
      <c r="C1914" s="61" t="s">
        <v>1201</v>
      </c>
      <c r="D1914" s="56" t="s">
        <v>1202</v>
      </c>
      <c r="E1914" s="57"/>
      <c r="F1914" s="57"/>
      <c r="G1914" s="57"/>
      <c r="H1914" s="57"/>
      <c r="I1914" s="44"/>
      <c r="J1914" s="44"/>
      <c r="K1914" s="44"/>
      <c r="L1914" s="152" t="s">
        <v>1247</v>
      </c>
    </row>
    <row r="1915" spans="3:15" s="59" customFormat="1" ht="21" customHeight="1">
      <c r="C1915" s="588">
        <v>1</v>
      </c>
      <c r="D1915" s="56" t="s">
        <v>5</v>
      </c>
      <c r="E1915" s="577" t="s">
        <v>6</v>
      </c>
      <c r="F1915" s="62">
        <v>0.94399999999999995</v>
      </c>
      <c r="G1915" s="63">
        <f>VLOOKUP(D1915,upahbahan,3,FALSE)</f>
        <v>100000</v>
      </c>
      <c r="H1915" s="63">
        <f>F1915*G1915</f>
        <v>94400</v>
      </c>
      <c r="I1915" s="44"/>
      <c r="J1915" s="44"/>
      <c r="K1915" s="44"/>
      <c r="L1915" s="152" t="s">
        <v>1248</v>
      </c>
      <c r="O1915" s="65">
        <v>0.1</v>
      </c>
    </row>
    <row r="1916" spans="3:15" s="59" customFormat="1" ht="21" customHeight="1">
      <c r="C1916" s="588">
        <v>2</v>
      </c>
      <c r="D1916" s="56" t="s">
        <v>10</v>
      </c>
      <c r="E1916" s="577" t="s">
        <v>6</v>
      </c>
      <c r="F1916" s="62">
        <v>1.5760000000000001</v>
      </c>
      <c r="G1916" s="63">
        <f>VLOOKUP(D1916,upahbahan,3,FALSE)</f>
        <v>135000</v>
      </c>
      <c r="H1916" s="63">
        <f>F1916*G1916</f>
        <v>212760</v>
      </c>
      <c r="I1916" s="44"/>
      <c r="J1916" s="44"/>
      <c r="K1916" s="44"/>
    </row>
    <row r="1917" spans="3:15" s="59" customFormat="1" ht="21" customHeight="1">
      <c r="C1917" s="588">
        <v>3</v>
      </c>
      <c r="D1917" s="56" t="s">
        <v>18</v>
      </c>
      <c r="E1917" s="577" t="s">
        <v>6</v>
      </c>
      <c r="F1917" s="62">
        <v>0.158</v>
      </c>
      <c r="G1917" s="63">
        <f>VLOOKUP(D1917,upahbahan,3,FALSE)</f>
        <v>150000</v>
      </c>
      <c r="H1917" s="63">
        <f>F1917*G1917</f>
        <v>23700</v>
      </c>
      <c r="I1917" s="44"/>
      <c r="J1917" s="44"/>
      <c r="K1917" s="44"/>
    </row>
    <row r="1918" spans="3:15" s="59" customFormat="1" ht="21" customHeight="1">
      <c r="C1918" s="588">
        <v>4</v>
      </c>
      <c r="D1918" s="56" t="s">
        <v>19</v>
      </c>
      <c r="E1918" s="577" t="s">
        <v>6</v>
      </c>
      <c r="F1918" s="62">
        <v>4.7E-2</v>
      </c>
      <c r="G1918" s="63">
        <f>VLOOKUP(D1918,upahbahan,3,FALSE)</f>
        <v>160000</v>
      </c>
      <c r="H1918" s="63">
        <f>F1918*G1918</f>
        <v>7520</v>
      </c>
      <c r="I1918" s="44"/>
      <c r="J1918" s="44"/>
      <c r="K1918" s="44"/>
    </row>
    <row r="1919" spans="3:15" s="59" customFormat="1" ht="21" customHeight="1">
      <c r="C1919" s="450" t="s">
        <v>1208</v>
      </c>
      <c r="D1919" s="67"/>
      <c r="E1919" s="67"/>
      <c r="F1919" s="142"/>
      <c r="G1919" s="153"/>
      <c r="H1919" s="63">
        <f>SUM(H1915:H1918)</f>
        <v>338380</v>
      </c>
      <c r="I1919" s="154"/>
      <c r="J1919" s="154"/>
      <c r="K1919" s="154"/>
    </row>
    <row r="1920" spans="3:15" s="59" customFormat="1" ht="21" customHeight="1">
      <c r="C1920" s="61" t="s">
        <v>1209</v>
      </c>
      <c r="D1920" s="56" t="s">
        <v>1210</v>
      </c>
      <c r="E1920" s="57"/>
      <c r="F1920" s="57"/>
      <c r="G1920" s="57"/>
      <c r="H1920" s="57"/>
      <c r="I1920" s="44"/>
      <c r="J1920" s="44"/>
      <c r="K1920" s="44"/>
    </row>
    <row r="1921" spans="3:15" s="59" customFormat="1" ht="21" customHeight="1">
      <c r="C1921" s="588">
        <v>1</v>
      </c>
      <c r="D1921" s="72" t="s">
        <v>8326</v>
      </c>
      <c r="E1921" s="73" t="s">
        <v>113</v>
      </c>
      <c r="F1921" s="62">
        <v>1.55</v>
      </c>
      <c r="G1921" s="63">
        <f>VLOOKUP(D1921,upahbahan,3,FALSE)</f>
        <v>370000</v>
      </c>
      <c r="H1921" s="63">
        <f>F1921*G1921</f>
        <v>573500</v>
      </c>
      <c r="I1921" s="44"/>
      <c r="J1921" s="44"/>
      <c r="K1921" s="44"/>
    </row>
    <row r="1922" spans="3:15" s="59" customFormat="1" ht="21" customHeight="1">
      <c r="C1922" s="450" t="s">
        <v>1214</v>
      </c>
      <c r="D1922" s="67"/>
      <c r="E1922" s="67"/>
      <c r="F1922" s="67"/>
      <c r="G1922" s="69"/>
      <c r="H1922" s="63">
        <f>SUM(H1921:H1921)</f>
        <v>573500</v>
      </c>
      <c r="I1922" s="44"/>
      <c r="J1922" s="44"/>
      <c r="K1922" s="44"/>
    </row>
    <row r="1923" spans="3:15" s="59" customFormat="1" ht="21" customHeight="1">
      <c r="C1923" s="61" t="s">
        <v>1215</v>
      </c>
      <c r="D1923" s="56" t="s">
        <v>1216</v>
      </c>
      <c r="E1923" s="57"/>
      <c r="F1923" s="57"/>
      <c r="G1923" s="57"/>
      <c r="H1923" s="57"/>
      <c r="I1923" s="44"/>
      <c r="J1923" s="44"/>
      <c r="K1923" s="44"/>
    </row>
    <row r="1924" spans="3:15" s="59" customFormat="1" ht="21" customHeight="1">
      <c r="C1924" s="450" t="s">
        <v>1217</v>
      </c>
      <c r="D1924" s="67"/>
      <c r="E1924" s="67"/>
      <c r="F1924" s="67"/>
      <c r="G1924" s="69"/>
      <c r="H1924" s="589">
        <v>0</v>
      </c>
      <c r="I1924" s="44"/>
      <c r="J1924" s="44"/>
      <c r="K1924" s="44"/>
    </row>
    <row r="1925" spans="3:15" s="59" customFormat="1" ht="21" customHeight="1">
      <c r="C1925" s="288" t="s">
        <v>1218</v>
      </c>
      <c r="D1925" s="76" t="s">
        <v>1219</v>
      </c>
      <c r="E1925" s="77"/>
      <c r="F1925" s="77"/>
      <c r="G1925" s="78"/>
      <c r="H1925" s="585">
        <f>H1924+H1922+H1919</f>
        <v>911880</v>
      </c>
      <c r="I1925" s="369"/>
      <c r="J1925" s="44"/>
      <c r="K1925" s="44"/>
    </row>
    <row r="1926" spans="3:15" s="59" customFormat="1" ht="21" customHeight="1">
      <c r="C1926" s="288" t="s">
        <v>1220</v>
      </c>
      <c r="D1926" s="76" t="s">
        <v>1321</v>
      </c>
      <c r="E1926" s="77"/>
      <c r="F1926" s="78"/>
      <c r="G1926" s="80">
        <v>0.1</v>
      </c>
      <c r="H1926" s="63">
        <f>H1925*G1926</f>
        <v>91188</v>
      </c>
      <c r="I1926" s="369"/>
      <c r="J1926" s="44"/>
      <c r="K1926" s="44"/>
    </row>
    <row r="1927" spans="3:15" s="59" customFormat="1" ht="21" customHeight="1">
      <c r="C1927" s="288" t="s">
        <v>1221</v>
      </c>
      <c r="D1927" s="76" t="s">
        <v>1222</v>
      </c>
      <c r="E1927" s="77"/>
      <c r="F1927" s="77"/>
      <c r="G1927" s="78"/>
      <c r="H1927" s="799">
        <f>SUM(H1925:H1926)</f>
        <v>1003068</v>
      </c>
      <c r="I1927" s="369"/>
      <c r="J1927" s="44"/>
      <c r="K1927" s="44"/>
    </row>
    <row r="1928" spans="3:15" ht="21" customHeight="1"/>
    <row r="1929" spans="3:15" s="59" customFormat="1" ht="21" customHeight="1">
      <c r="C1929" s="47" t="s">
        <v>8327</v>
      </c>
      <c r="D1929" s="794" t="s">
        <v>8328</v>
      </c>
      <c r="E1929" s="795"/>
      <c r="F1929" s="795"/>
      <c r="G1929" s="795"/>
      <c r="H1929" s="795"/>
      <c r="I1929" s="50">
        <f>ROUNDDOWN(H1944,-2)</f>
        <v>1082400</v>
      </c>
      <c r="J1929" s="50" t="s">
        <v>7804</v>
      </c>
      <c r="K1929" s="50"/>
    </row>
    <row r="1930" spans="3:15" s="59" customFormat="1" ht="21" customHeight="1">
      <c r="C1930" s="591" t="s">
        <v>1195</v>
      </c>
      <c r="D1930" s="591" t="s">
        <v>1196</v>
      </c>
      <c r="E1930" s="591" t="s">
        <v>1197</v>
      </c>
      <c r="F1930" s="591" t="s">
        <v>1198</v>
      </c>
      <c r="G1930" s="591" t="s">
        <v>1199</v>
      </c>
      <c r="H1930" s="591" t="s">
        <v>1200</v>
      </c>
      <c r="I1930" s="44"/>
      <c r="J1930" s="44"/>
      <c r="K1930" s="44"/>
    </row>
    <row r="1931" spans="3:15" s="59" customFormat="1" ht="21" customHeight="1">
      <c r="C1931" s="61" t="s">
        <v>1201</v>
      </c>
      <c r="D1931" s="56" t="s">
        <v>1202</v>
      </c>
      <c r="E1931" s="57"/>
      <c r="F1931" s="57"/>
      <c r="G1931" s="57"/>
      <c r="H1931" s="57"/>
      <c r="I1931" s="44"/>
      <c r="J1931" s="44"/>
      <c r="K1931" s="44"/>
      <c r="L1931" s="152" t="s">
        <v>1247</v>
      </c>
    </row>
    <row r="1932" spans="3:15" s="59" customFormat="1" ht="21" customHeight="1">
      <c r="C1932" s="588">
        <v>1</v>
      </c>
      <c r="D1932" s="56" t="s">
        <v>5</v>
      </c>
      <c r="E1932" s="577" t="s">
        <v>6</v>
      </c>
      <c r="F1932" s="62">
        <v>1.1020000000000001</v>
      </c>
      <c r="G1932" s="63">
        <f>VLOOKUP(D1932,upahbahan,3,FALSE)</f>
        <v>100000</v>
      </c>
      <c r="H1932" s="63">
        <f>F1932*G1932</f>
        <v>110200.00000000001</v>
      </c>
      <c r="I1932" s="44"/>
      <c r="J1932" s="44"/>
      <c r="K1932" s="44"/>
      <c r="L1932" s="152" t="s">
        <v>1248</v>
      </c>
      <c r="O1932" s="65">
        <v>0.1</v>
      </c>
    </row>
    <row r="1933" spans="3:15" s="59" customFormat="1" ht="21" customHeight="1">
      <c r="C1933" s="588">
        <v>2</v>
      </c>
      <c r="D1933" s="56" t="s">
        <v>10</v>
      </c>
      <c r="E1933" s="577" t="s">
        <v>6</v>
      </c>
      <c r="F1933" s="62">
        <v>1.84</v>
      </c>
      <c r="G1933" s="63">
        <f>VLOOKUP(D1933,upahbahan,3,FALSE)</f>
        <v>135000</v>
      </c>
      <c r="H1933" s="63">
        <f>F1933*G1933</f>
        <v>248400</v>
      </c>
      <c r="I1933" s="44"/>
      <c r="J1933" s="44"/>
      <c r="K1933" s="44"/>
    </row>
    <row r="1934" spans="3:15" s="59" customFormat="1" ht="21" customHeight="1">
      <c r="C1934" s="588">
        <v>3</v>
      </c>
      <c r="D1934" s="56" t="s">
        <v>18</v>
      </c>
      <c r="E1934" s="577" t="s">
        <v>6</v>
      </c>
      <c r="F1934" s="62">
        <v>0.184</v>
      </c>
      <c r="G1934" s="63">
        <f>VLOOKUP(D1934,upahbahan,3,FALSE)</f>
        <v>150000</v>
      </c>
      <c r="H1934" s="63">
        <f>F1934*G1934</f>
        <v>27600</v>
      </c>
      <c r="I1934" s="44"/>
      <c r="J1934" s="44"/>
      <c r="K1934" s="44"/>
    </row>
    <row r="1935" spans="3:15" s="59" customFormat="1" ht="21" customHeight="1">
      <c r="C1935" s="588">
        <v>4</v>
      </c>
      <c r="D1935" s="56" t="s">
        <v>19</v>
      </c>
      <c r="E1935" s="577" t="s">
        <v>6</v>
      </c>
      <c r="F1935" s="62">
        <v>5.5E-2</v>
      </c>
      <c r="G1935" s="63">
        <f>VLOOKUP(D1935,upahbahan,3,FALSE)</f>
        <v>160000</v>
      </c>
      <c r="H1935" s="63">
        <f>F1935*G1935</f>
        <v>8800</v>
      </c>
      <c r="I1935" s="44"/>
      <c r="J1935" s="44"/>
      <c r="K1935" s="44"/>
    </row>
    <row r="1936" spans="3:15" s="59" customFormat="1" ht="21" customHeight="1">
      <c r="C1936" s="450" t="s">
        <v>1208</v>
      </c>
      <c r="D1936" s="67"/>
      <c r="E1936" s="67"/>
      <c r="F1936" s="142"/>
      <c r="G1936" s="153"/>
      <c r="H1936" s="63">
        <f>SUM(H1932:H1935)</f>
        <v>395000</v>
      </c>
      <c r="I1936" s="154"/>
      <c r="J1936" s="154"/>
      <c r="K1936" s="154"/>
    </row>
    <row r="1937" spans="3:15" s="59" customFormat="1" ht="21" customHeight="1">
      <c r="C1937" s="61" t="s">
        <v>1209</v>
      </c>
      <c r="D1937" s="56" t="s">
        <v>1210</v>
      </c>
      <c r="E1937" s="57"/>
      <c r="F1937" s="57"/>
      <c r="G1937" s="57"/>
      <c r="H1937" s="57"/>
      <c r="I1937" s="44"/>
      <c r="J1937" s="44"/>
      <c r="K1937" s="44"/>
    </row>
    <row r="1938" spans="3:15" s="59" customFormat="1" ht="21" customHeight="1">
      <c r="C1938" s="588">
        <v>1</v>
      </c>
      <c r="D1938" s="72" t="s">
        <v>8329</v>
      </c>
      <c r="E1938" s="73" t="s">
        <v>113</v>
      </c>
      <c r="F1938" s="62">
        <v>1.55</v>
      </c>
      <c r="G1938" s="63">
        <f>VLOOKUP(D1938,upahbahan,3,FALSE)</f>
        <v>380000</v>
      </c>
      <c r="H1938" s="63">
        <f>F1938*G1938</f>
        <v>589000</v>
      </c>
      <c r="I1938" s="44"/>
      <c r="J1938" s="44"/>
      <c r="K1938" s="44"/>
    </row>
    <row r="1939" spans="3:15" s="59" customFormat="1" ht="21" customHeight="1">
      <c r="C1939" s="450" t="s">
        <v>1214</v>
      </c>
      <c r="D1939" s="67"/>
      <c r="E1939" s="67"/>
      <c r="F1939" s="67"/>
      <c r="G1939" s="69"/>
      <c r="H1939" s="63">
        <f>SUM(H1938:H1938)</f>
        <v>589000</v>
      </c>
      <c r="I1939" s="44"/>
      <c r="J1939" s="44"/>
      <c r="K1939" s="44"/>
    </row>
    <row r="1940" spans="3:15" s="59" customFormat="1" ht="21" customHeight="1">
      <c r="C1940" s="61" t="s">
        <v>1215</v>
      </c>
      <c r="D1940" s="56" t="s">
        <v>1216</v>
      </c>
      <c r="E1940" s="57"/>
      <c r="F1940" s="57"/>
      <c r="G1940" s="57"/>
      <c r="H1940" s="57"/>
      <c r="I1940" s="44"/>
      <c r="J1940" s="44"/>
      <c r="K1940" s="44"/>
    </row>
    <row r="1941" spans="3:15" s="59" customFormat="1" ht="21" customHeight="1">
      <c r="C1941" s="450" t="s">
        <v>1217</v>
      </c>
      <c r="D1941" s="67"/>
      <c r="E1941" s="67"/>
      <c r="F1941" s="67"/>
      <c r="G1941" s="69"/>
      <c r="H1941" s="589">
        <v>0</v>
      </c>
      <c r="I1941" s="44"/>
      <c r="J1941" s="44"/>
      <c r="K1941" s="44"/>
    </row>
    <row r="1942" spans="3:15" s="59" customFormat="1" ht="21" customHeight="1">
      <c r="C1942" s="288" t="s">
        <v>1218</v>
      </c>
      <c r="D1942" s="76" t="s">
        <v>1219</v>
      </c>
      <c r="E1942" s="77"/>
      <c r="F1942" s="77"/>
      <c r="G1942" s="78"/>
      <c r="H1942" s="585">
        <f>H1941+H1939+H1936</f>
        <v>984000</v>
      </c>
      <c r="I1942" s="369"/>
      <c r="J1942" s="44"/>
      <c r="K1942" s="44"/>
    </row>
    <row r="1943" spans="3:15" s="59" customFormat="1" ht="21" customHeight="1">
      <c r="C1943" s="288" t="s">
        <v>1220</v>
      </c>
      <c r="D1943" s="76" t="s">
        <v>1321</v>
      </c>
      <c r="E1943" s="77"/>
      <c r="F1943" s="78"/>
      <c r="G1943" s="80">
        <v>0.1</v>
      </c>
      <c r="H1943" s="63">
        <f>H1942*G1943</f>
        <v>98400</v>
      </c>
      <c r="I1943" s="369"/>
      <c r="J1943" s="44"/>
      <c r="K1943" s="44"/>
    </row>
    <row r="1944" spans="3:15" s="59" customFormat="1" ht="21" customHeight="1">
      <c r="C1944" s="288" t="s">
        <v>1221</v>
      </c>
      <c r="D1944" s="76" t="s">
        <v>1222</v>
      </c>
      <c r="E1944" s="77"/>
      <c r="F1944" s="77"/>
      <c r="G1944" s="78"/>
      <c r="H1944" s="799">
        <f>SUM(H1942:H1943)</f>
        <v>1082400</v>
      </c>
      <c r="I1944" s="369"/>
      <c r="J1944" s="44"/>
      <c r="K1944" s="44"/>
    </row>
    <row r="1945" spans="3:15" ht="21" customHeight="1"/>
    <row r="1946" spans="3:15" s="59" customFormat="1" ht="21" customHeight="1">
      <c r="C1946" s="47" t="s">
        <v>8330</v>
      </c>
      <c r="D1946" s="794" t="s">
        <v>8331</v>
      </c>
      <c r="E1946" s="795"/>
      <c r="F1946" s="795"/>
      <c r="G1946" s="795"/>
      <c r="H1946" s="795"/>
      <c r="I1946" s="50">
        <f>ROUNDDOWN(H1961,-2)</f>
        <v>1161000</v>
      </c>
      <c r="J1946" s="50" t="s">
        <v>7804</v>
      </c>
      <c r="K1946" s="50"/>
    </row>
    <row r="1947" spans="3:15" s="59" customFormat="1" ht="21" customHeight="1">
      <c r="C1947" s="591" t="s">
        <v>1195</v>
      </c>
      <c r="D1947" s="591" t="s">
        <v>1196</v>
      </c>
      <c r="E1947" s="591" t="s">
        <v>1197</v>
      </c>
      <c r="F1947" s="591" t="s">
        <v>1198</v>
      </c>
      <c r="G1947" s="591" t="s">
        <v>1199</v>
      </c>
      <c r="H1947" s="591" t="s">
        <v>1200</v>
      </c>
      <c r="I1947" s="44"/>
      <c r="J1947" s="44"/>
      <c r="K1947" s="44"/>
    </row>
    <row r="1948" spans="3:15" s="59" customFormat="1" ht="21" customHeight="1">
      <c r="C1948" s="61" t="s">
        <v>1201</v>
      </c>
      <c r="D1948" s="56" t="s">
        <v>1202</v>
      </c>
      <c r="E1948" s="57"/>
      <c r="F1948" s="57"/>
      <c r="G1948" s="57"/>
      <c r="H1948" s="57"/>
      <c r="I1948" s="44"/>
      <c r="J1948" s="44"/>
      <c r="K1948" s="44"/>
      <c r="L1948" s="152" t="s">
        <v>1247</v>
      </c>
    </row>
    <row r="1949" spans="3:15" s="59" customFormat="1" ht="21" customHeight="1">
      <c r="C1949" s="588">
        <v>1</v>
      </c>
      <c r="D1949" s="56" t="s">
        <v>5</v>
      </c>
      <c r="E1949" s="577" t="s">
        <v>6</v>
      </c>
      <c r="F1949" s="62">
        <v>1.258</v>
      </c>
      <c r="G1949" s="63">
        <f>VLOOKUP(D1949,upahbahan,3,FALSE)</f>
        <v>100000</v>
      </c>
      <c r="H1949" s="63">
        <f>F1949*G1949</f>
        <v>125800</v>
      </c>
      <c r="I1949" s="44"/>
      <c r="J1949" s="44"/>
      <c r="K1949" s="44"/>
      <c r="L1949" s="152" t="s">
        <v>1248</v>
      </c>
      <c r="O1949" s="65">
        <v>0.1</v>
      </c>
    </row>
    <row r="1950" spans="3:15" s="59" customFormat="1" ht="21" customHeight="1">
      <c r="C1950" s="588">
        <v>2</v>
      </c>
      <c r="D1950" s="56" t="s">
        <v>10</v>
      </c>
      <c r="E1950" s="577" t="s">
        <v>6</v>
      </c>
      <c r="F1950" s="62">
        <v>2.101</v>
      </c>
      <c r="G1950" s="63">
        <f>VLOOKUP(D1950,upahbahan,3,FALSE)</f>
        <v>135000</v>
      </c>
      <c r="H1950" s="63">
        <f>F1950*G1950</f>
        <v>283635</v>
      </c>
      <c r="I1950" s="44"/>
      <c r="J1950" s="44"/>
      <c r="K1950" s="44"/>
    </row>
    <row r="1951" spans="3:15" s="59" customFormat="1" ht="21" customHeight="1">
      <c r="C1951" s="588">
        <v>3</v>
      </c>
      <c r="D1951" s="56" t="s">
        <v>18</v>
      </c>
      <c r="E1951" s="577" t="s">
        <v>6</v>
      </c>
      <c r="F1951" s="62">
        <v>0.21</v>
      </c>
      <c r="G1951" s="63">
        <f>VLOOKUP(D1951,upahbahan,3,FALSE)</f>
        <v>150000</v>
      </c>
      <c r="H1951" s="63">
        <f>F1951*G1951</f>
        <v>31500</v>
      </c>
      <c r="I1951" s="44"/>
      <c r="J1951" s="44"/>
      <c r="K1951" s="44"/>
    </row>
    <row r="1952" spans="3:15" s="59" customFormat="1" ht="21" customHeight="1">
      <c r="C1952" s="588">
        <v>4</v>
      </c>
      <c r="D1952" s="56" t="s">
        <v>19</v>
      </c>
      <c r="E1952" s="577" t="s">
        <v>6</v>
      </c>
      <c r="F1952" s="62">
        <v>6.3E-2</v>
      </c>
      <c r="G1952" s="63">
        <f>VLOOKUP(D1952,upahbahan,3,FALSE)</f>
        <v>160000</v>
      </c>
      <c r="H1952" s="63">
        <f>F1952*G1952</f>
        <v>10080</v>
      </c>
      <c r="I1952" s="44"/>
      <c r="J1952" s="44"/>
      <c r="K1952" s="44"/>
    </row>
    <row r="1953" spans="3:15" s="59" customFormat="1" ht="21" customHeight="1">
      <c r="C1953" s="450" t="s">
        <v>1208</v>
      </c>
      <c r="D1953" s="67"/>
      <c r="E1953" s="67"/>
      <c r="F1953" s="142"/>
      <c r="G1953" s="153"/>
      <c r="H1953" s="63">
        <f>SUM(H1949:H1952)</f>
        <v>451015</v>
      </c>
      <c r="I1953" s="154"/>
      <c r="J1953" s="154"/>
      <c r="K1953" s="154"/>
    </row>
    <row r="1954" spans="3:15" s="59" customFormat="1" ht="21" customHeight="1">
      <c r="C1954" s="61" t="s">
        <v>1209</v>
      </c>
      <c r="D1954" s="56" t="s">
        <v>1210</v>
      </c>
      <c r="E1954" s="57"/>
      <c r="F1954" s="57"/>
      <c r="G1954" s="57"/>
      <c r="H1954" s="57"/>
      <c r="I1954" s="44"/>
      <c r="J1954" s="44"/>
      <c r="K1954" s="44"/>
    </row>
    <row r="1955" spans="3:15" s="59" customFormat="1" ht="21" customHeight="1">
      <c r="C1955" s="588">
        <v>1</v>
      </c>
      <c r="D1955" s="72" t="s">
        <v>8332</v>
      </c>
      <c r="E1955" s="73" t="s">
        <v>113</v>
      </c>
      <c r="F1955" s="62">
        <v>1.55</v>
      </c>
      <c r="G1955" s="63">
        <f>VLOOKUP(D1955,upahbahan,3,FALSE)</f>
        <v>390000</v>
      </c>
      <c r="H1955" s="63">
        <f>F1955*G1955</f>
        <v>604500</v>
      </c>
      <c r="I1955" s="44"/>
      <c r="J1955" s="44"/>
      <c r="K1955" s="44"/>
    </row>
    <row r="1956" spans="3:15" s="59" customFormat="1" ht="21" customHeight="1">
      <c r="C1956" s="450" t="s">
        <v>1214</v>
      </c>
      <c r="D1956" s="67"/>
      <c r="E1956" s="67"/>
      <c r="F1956" s="67"/>
      <c r="G1956" s="69"/>
      <c r="H1956" s="63">
        <f>SUM(H1955:H1955)</f>
        <v>604500</v>
      </c>
      <c r="I1956" s="44"/>
      <c r="J1956" s="44"/>
      <c r="K1956" s="44"/>
    </row>
    <row r="1957" spans="3:15" s="59" customFormat="1" ht="21" customHeight="1">
      <c r="C1957" s="61" t="s">
        <v>1215</v>
      </c>
      <c r="D1957" s="56" t="s">
        <v>1216</v>
      </c>
      <c r="E1957" s="57"/>
      <c r="F1957" s="57"/>
      <c r="G1957" s="57"/>
      <c r="H1957" s="57"/>
      <c r="I1957" s="44"/>
      <c r="J1957" s="44"/>
      <c r="K1957" s="44"/>
    </row>
    <row r="1958" spans="3:15" s="59" customFormat="1" ht="21" customHeight="1">
      <c r="C1958" s="450" t="s">
        <v>1217</v>
      </c>
      <c r="D1958" s="67"/>
      <c r="E1958" s="67"/>
      <c r="F1958" s="67"/>
      <c r="G1958" s="69"/>
      <c r="H1958" s="589">
        <v>0</v>
      </c>
      <c r="I1958" s="44"/>
      <c r="J1958" s="44"/>
      <c r="K1958" s="44"/>
    </row>
    <row r="1959" spans="3:15" s="59" customFormat="1" ht="21" customHeight="1">
      <c r="C1959" s="288" t="s">
        <v>1218</v>
      </c>
      <c r="D1959" s="76" t="s">
        <v>1219</v>
      </c>
      <c r="E1959" s="77"/>
      <c r="F1959" s="77"/>
      <c r="G1959" s="78"/>
      <c r="H1959" s="585">
        <f>H1958+H1956+H1953</f>
        <v>1055515</v>
      </c>
      <c r="I1959" s="369"/>
      <c r="J1959" s="44"/>
      <c r="K1959" s="44"/>
    </row>
    <row r="1960" spans="3:15" s="59" customFormat="1" ht="21" customHeight="1">
      <c r="C1960" s="288" t="s">
        <v>1220</v>
      </c>
      <c r="D1960" s="76" t="s">
        <v>1321</v>
      </c>
      <c r="E1960" s="77"/>
      <c r="F1960" s="78"/>
      <c r="G1960" s="80">
        <v>0.1</v>
      </c>
      <c r="H1960" s="63">
        <f>H1959*G1960</f>
        <v>105551.5</v>
      </c>
      <c r="I1960" s="369"/>
      <c r="J1960" s="44"/>
      <c r="K1960" s="44"/>
    </row>
    <row r="1961" spans="3:15" s="59" customFormat="1" ht="21" customHeight="1">
      <c r="C1961" s="288" t="s">
        <v>1221</v>
      </c>
      <c r="D1961" s="76" t="s">
        <v>1222</v>
      </c>
      <c r="E1961" s="77"/>
      <c r="F1961" s="77"/>
      <c r="G1961" s="78"/>
      <c r="H1961" s="799">
        <f>SUM(H1959:H1960)</f>
        <v>1161066.5</v>
      </c>
      <c r="I1961" s="369"/>
      <c r="J1961" s="44"/>
      <c r="K1961" s="44"/>
    </row>
    <row r="1962" spans="3:15" ht="21" customHeight="1"/>
    <row r="1963" spans="3:15" ht="21" customHeight="1"/>
    <row r="1964" spans="3:15" ht="21" customHeight="1">
      <c r="C1964" s="43" t="s">
        <v>3998</v>
      </c>
      <c r="D1964" s="128" t="s">
        <v>3999</v>
      </c>
    </row>
    <row r="1965" spans="3:15" s="59" customFormat="1" ht="21" customHeight="1">
      <c r="C1965" s="47" t="s">
        <v>4000</v>
      </c>
      <c r="D1965" s="794" t="s">
        <v>8333</v>
      </c>
      <c r="E1965" s="795"/>
      <c r="F1965" s="795"/>
      <c r="G1965" s="795"/>
      <c r="H1965" s="795"/>
      <c r="I1965" s="50">
        <f>ROUNDDOWN(H1983,-2)</f>
        <v>350800</v>
      </c>
      <c r="J1965" s="50" t="s">
        <v>6451</v>
      </c>
      <c r="K1965" s="50" t="s">
        <v>8336</v>
      </c>
    </row>
    <row r="1966" spans="3:15" s="59" customFormat="1" ht="21" customHeight="1">
      <c r="C1966" s="591" t="s">
        <v>1195</v>
      </c>
      <c r="D1966" s="591" t="s">
        <v>1196</v>
      </c>
      <c r="E1966" s="591" t="s">
        <v>1197</v>
      </c>
      <c r="F1966" s="591" t="s">
        <v>1198</v>
      </c>
      <c r="G1966" s="591" t="s">
        <v>1199</v>
      </c>
      <c r="H1966" s="591" t="s">
        <v>1200</v>
      </c>
      <c r="I1966" s="44"/>
      <c r="J1966" s="44"/>
      <c r="K1966" s="44"/>
    </row>
    <row r="1967" spans="3:15" s="59" customFormat="1" ht="21" customHeight="1">
      <c r="C1967" s="61" t="s">
        <v>1201</v>
      </c>
      <c r="D1967" s="56" t="s">
        <v>1202</v>
      </c>
      <c r="E1967" s="57"/>
      <c r="F1967" s="57"/>
      <c r="G1967" s="57"/>
      <c r="H1967" s="57"/>
      <c r="I1967" s="44"/>
      <c r="J1967" s="44"/>
      <c r="K1967" s="44"/>
      <c r="L1967" s="152" t="s">
        <v>1247</v>
      </c>
    </row>
    <row r="1968" spans="3:15" s="59" customFormat="1" ht="21" customHeight="1">
      <c r="C1968" s="588">
        <v>1</v>
      </c>
      <c r="D1968" s="56" t="s">
        <v>5</v>
      </c>
      <c r="E1968" s="577" t="s">
        <v>6</v>
      </c>
      <c r="F1968" s="62">
        <v>0.06</v>
      </c>
      <c r="G1968" s="63">
        <f>VLOOKUP(D1968,upahbahan,3,FALSE)</f>
        <v>100000</v>
      </c>
      <c r="H1968" s="63">
        <f>F1968*G1968</f>
        <v>6000</v>
      </c>
      <c r="I1968" s="44"/>
      <c r="J1968" s="44"/>
      <c r="K1968" s="44"/>
      <c r="L1968" s="152" t="s">
        <v>1248</v>
      </c>
      <c r="O1968" s="65">
        <v>0.1</v>
      </c>
    </row>
    <row r="1969" spans="3:11" s="59" customFormat="1" ht="21" customHeight="1">
      <c r="C1969" s="588">
        <v>2</v>
      </c>
      <c r="D1969" s="56" t="s">
        <v>10</v>
      </c>
      <c r="E1969" s="577" t="s">
        <v>6</v>
      </c>
      <c r="F1969" s="62">
        <v>0.03</v>
      </c>
      <c r="G1969" s="63">
        <f>VLOOKUP(D1969,upahbahan,3,FALSE)</f>
        <v>135000</v>
      </c>
      <c r="H1969" s="63">
        <f>F1969*G1969</f>
        <v>4050</v>
      </c>
      <c r="I1969" s="44"/>
      <c r="J1969" s="44"/>
      <c r="K1969" s="44"/>
    </row>
    <row r="1970" spans="3:11" s="59" customFormat="1" ht="21" customHeight="1">
      <c r="C1970" s="588">
        <v>3</v>
      </c>
      <c r="D1970" s="56" t="s">
        <v>18</v>
      </c>
      <c r="E1970" s="577" t="s">
        <v>6</v>
      </c>
      <c r="F1970" s="62">
        <v>3.0000000000000001E-3</v>
      </c>
      <c r="G1970" s="63">
        <f>VLOOKUP(D1970,upahbahan,3,FALSE)</f>
        <v>150000</v>
      </c>
      <c r="H1970" s="63">
        <f>F1970*G1970</f>
        <v>450</v>
      </c>
      <c r="I1970" s="44"/>
      <c r="J1970" s="44"/>
      <c r="K1970" s="44"/>
    </row>
    <row r="1971" spans="3:11" s="59" customFormat="1" ht="21" customHeight="1">
      <c r="C1971" s="588">
        <v>4</v>
      </c>
      <c r="D1971" s="56" t="s">
        <v>19</v>
      </c>
      <c r="E1971" s="577" t="s">
        <v>6</v>
      </c>
      <c r="F1971" s="62">
        <v>3.0000000000000001E-3</v>
      </c>
      <c r="G1971" s="63">
        <f>VLOOKUP(D1971,upahbahan,3,FALSE)</f>
        <v>160000</v>
      </c>
      <c r="H1971" s="63">
        <f>F1971*G1971</f>
        <v>480</v>
      </c>
      <c r="I1971" s="44"/>
      <c r="J1971" s="44"/>
      <c r="K1971" s="44"/>
    </row>
    <row r="1972" spans="3:11" s="59" customFormat="1" ht="21" customHeight="1">
      <c r="C1972" s="450" t="s">
        <v>1208</v>
      </c>
      <c r="D1972" s="67"/>
      <c r="E1972" s="67"/>
      <c r="F1972" s="142"/>
      <c r="G1972" s="153"/>
      <c r="H1972" s="63">
        <f>SUM(H1968:H1971)</f>
        <v>10980</v>
      </c>
      <c r="I1972" s="154"/>
      <c r="J1972" s="154"/>
      <c r="K1972" s="154"/>
    </row>
    <row r="1973" spans="3:11" s="59" customFormat="1" ht="21" customHeight="1">
      <c r="C1973" s="61" t="s">
        <v>1209</v>
      </c>
      <c r="D1973" s="56" t="s">
        <v>1210</v>
      </c>
      <c r="E1973" s="57"/>
      <c r="F1973" s="57"/>
      <c r="G1973" s="57"/>
      <c r="H1973" s="57"/>
      <c r="I1973" s="44"/>
      <c r="J1973" s="44"/>
      <c r="K1973" s="44"/>
    </row>
    <row r="1974" spans="3:11" s="59" customFormat="1" ht="21" customHeight="1">
      <c r="C1974" s="61">
        <v>1</v>
      </c>
      <c r="D1974" s="56" t="s">
        <v>8334</v>
      </c>
      <c r="E1974" s="93" t="s">
        <v>113</v>
      </c>
      <c r="F1974" s="94">
        <v>1.6</v>
      </c>
      <c r="G1974" s="63">
        <f>VLOOKUP(D1974,upahbahan,3,FALSE)</f>
        <v>187500</v>
      </c>
      <c r="H1974" s="586">
        <f>G1974*F1974</f>
        <v>300000</v>
      </c>
      <c r="I1974" s="44"/>
      <c r="J1974" s="44"/>
      <c r="K1974" s="44"/>
    </row>
    <row r="1975" spans="3:11" s="59" customFormat="1" ht="21" customHeight="1">
      <c r="C1975" s="61">
        <v>2</v>
      </c>
      <c r="D1975" s="56" t="s">
        <v>1796</v>
      </c>
      <c r="E1975" s="93" t="s">
        <v>65</v>
      </c>
      <c r="F1975" s="94">
        <v>0.96</v>
      </c>
      <c r="G1975" s="63">
        <f>VLOOKUP(D1975,upahbahan,3,FALSE)</f>
        <v>1530</v>
      </c>
      <c r="H1975" s="586">
        <f t="shared" ref="H1975:H1977" si="3">G1975*F1975</f>
        <v>1468.8</v>
      </c>
      <c r="I1975" s="44"/>
      <c r="J1975" s="44"/>
      <c r="K1975" s="44"/>
    </row>
    <row r="1976" spans="3:11" s="59" customFormat="1" ht="21" customHeight="1">
      <c r="C1976" s="61">
        <v>3</v>
      </c>
      <c r="D1976" s="56" t="s">
        <v>85</v>
      </c>
      <c r="E1976" s="93" t="s">
        <v>42</v>
      </c>
      <c r="F1976" s="94">
        <v>1.2999999999999999E-2</v>
      </c>
      <c r="G1976" s="63">
        <f>VLOOKUP(D1976,upahbahan,3,FALSE)</f>
        <v>310500</v>
      </c>
      <c r="H1976" s="586">
        <f t="shared" si="3"/>
        <v>4036.5</v>
      </c>
      <c r="I1976" s="44"/>
      <c r="J1976" s="44"/>
      <c r="K1976" s="44"/>
    </row>
    <row r="1977" spans="3:11" s="59" customFormat="1" ht="21" customHeight="1">
      <c r="C1977" s="61">
        <v>4</v>
      </c>
      <c r="D1977" s="56" t="s">
        <v>88</v>
      </c>
      <c r="E1977" s="93" t="s">
        <v>42</v>
      </c>
      <c r="F1977" s="94">
        <v>1.0999999999999999E-2</v>
      </c>
      <c r="G1977" s="63">
        <f>VLOOKUP(D1977,upahbahan,3,FALSE)</f>
        <v>220500</v>
      </c>
      <c r="H1977" s="586">
        <f t="shared" si="3"/>
        <v>2425.5</v>
      </c>
      <c r="I1977" s="44"/>
      <c r="J1977" s="44"/>
      <c r="K1977" s="44"/>
    </row>
    <row r="1978" spans="3:11" s="59" customFormat="1" ht="21" customHeight="1">
      <c r="C1978" s="450" t="s">
        <v>1214</v>
      </c>
      <c r="D1978" s="67"/>
      <c r="E1978" s="67"/>
      <c r="F1978" s="67"/>
      <c r="G1978" s="69"/>
      <c r="H1978" s="63">
        <f>SUM(H1974:H1977)</f>
        <v>307930.8</v>
      </c>
      <c r="I1978" s="44"/>
      <c r="J1978" s="44"/>
      <c r="K1978" s="44"/>
    </row>
    <row r="1979" spans="3:11" s="59" customFormat="1" ht="21" customHeight="1">
      <c r="C1979" s="61" t="s">
        <v>1215</v>
      </c>
      <c r="D1979" s="56" t="s">
        <v>1216</v>
      </c>
      <c r="E1979" s="57"/>
      <c r="F1979" s="57"/>
      <c r="G1979" s="57"/>
      <c r="H1979" s="57"/>
      <c r="I1979" s="44"/>
      <c r="J1979" s="44"/>
      <c r="K1979" s="44"/>
    </row>
    <row r="1980" spans="3:11" s="59" customFormat="1" ht="21" customHeight="1">
      <c r="C1980" s="450" t="s">
        <v>1217</v>
      </c>
      <c r="D1980" s="67"/>
      <c r="E1980" s="67"/>
      <c r="F1980" s="67"/>
      <c r="G1980" s="69"/>
      <c r="H1980" s="589">
        <v>0</v>
      </c>
      <c r="I1980" s="44"/>
      <c r="J1980" s="44"/>
      <c r="K1980" s="44"/>
    </row>
    <row r="1981" spans="3:11" s="59" customFormat="1" ht="21" customHeight="1">
      <c r="C1981" s="288" t="s">
        <v>1218</v>
      </c>
      <c r="D1981" s="76" t="s">
        <v>1219</v>
      </c>
      <c r="E1981" s="77"/>
      <c r="F1981" s="77"/>
      <c r="G1981" s="78"/>
      <c r="H1981" s="585">
        <f>H1980+H1978+H1972</f>
        <v>318910.8</v>
      </c>
      <c r="I1981" s="369"/>
      <c r="J1981" s="44"/>
      <c r="K1981" s="44"/>
    </row>
    <row r="1982" spans="3:11" s="59" customFormat="1" ht="21" customHeight="1">
      <c r="C1982" s="288" t="s">
        <v>1220</v>
      </c>
      <c r="D1982" s="76" t="s">
        <v>1321</v>
      </c>
      <c r="E1982" s="77"/>
      <c r="F1982" s="78"/>
      <c r="G1982" s="80">
        <v>0.1</v>
      </c>
      <c r="H1982" s="63">
        <f>H1981*G1982</f>
        <v>31891.08</v>
      </c>
      <c r="I1982" s="369"/>
      <c r="J1982" s="44"/>
      <c r="K1982" s="44"/>
    </row>
    <row r="1983" spans="3:11" s="59" customFormat="1" ht="21" customHeight="1">
      <c r="C1983" s="288" t="s">
        <v>1221</v>
      </c>
      <c r="D1983" s="76" t="s">
        <v>1222</v>
      </c>
      <c r="E1983" s="77"/>
      <c r="F1983" s="77"/>
      <c r="G1983" s="78"/>
      <c r="H1983" s="799">
        <f>SUM(H1981:H1982)</f>
        <v>350801.88</v>
      </c>
      <c r="I1983" s="369"/>
      <c r="J1983" s="44"/>
      <c r="K1983" s="44"/>
    </row>
    <row r="1984" spans="3:11" ht="21" customHeight="1"/>
    <row r="1985" spans="3:15" s="59" customFormat="1" ht="21" customHeight="1">
      <c r="C1985" s="47" t="s">
        <v>4001</v>
      </c>
      <c r="D1985" s="794" t="s">
        <v>8335</v>
      </c>
      <c r="E1985" s="795"/>
      <c r="F1985" s="795"/>
      <c r="G1985" s="795"/>
      <c r="H1985" s="795"/>
      <c r="I1985" s="50">
        <f>ROUNDDOWN(H2003,-2)</f>
        <v>443900</v>
      </c>
      <c r="J1985" s="50" t="s">
        <v>6451</v>
      </c>
      <c r="K1985" s="50" t="s">
        <v>8092</v>
      </c>
    </row>
    <row r="1986" spans="3:15" s="59" customFormat="1" ht="21" customHeight="1">
      <c r="C1986" s="591" t="s">
        <v>1195</v>
      </c>
      <c r="D1986" s="591" t="s">
        <v>1196</v>
      </c>
      <c r="E1986" s="591" t="s">
        <v>1197</v>
      </c>
      <c r="F1986" s="591" t="s">
        <v>1198</v>
      </c>
      <c r="G1986" s="591" t="s">
        <v>1199</v>
      </c>
      <c r="H1986" s="591" t="s">
        <v>1200</v>
      </c>
      <c r="I1986" s="44"/>
      <c r="J1986" s="44"/>
      <c r="K1986" s="44"/>
    </row>
    <row r="1987" spans="3:15" s="59" customFormat="1" ht="21" customHeight="1">
      <c r="C1987" s="61" t="s">
        <v>1201</v>
      </c>
      <c r="D1987" s="56" t="s">
        <v>1202</v>
      </c>
      <c r="E1987" s="57"/>
      <c r="F1987" s="57"/>
      <c r="G1987" s="57"/>
      <c r="H1987" s="57"/>
      <c r="I1987" s="44"/>
      <c r="J1987" s="44"/>
      <c r="K1987" s="44"/>
      <c r="L1987" s="152" t="s">
        <v>1247</v>
      </c>
    </row>
    <row r="1988" spans="3:15" s="59" customFormat="1" ht="21" customHeight="1">
      <c r="C1988" s="588">
        <v>1</v>
      </c>
      <c r="D1988" s="56" t="s">
        <v>5</v>
      </c>
      <c r="E1988" s="577" t="s">
        <v>6</v>
      </c>
      <c r="F1988" s="62">
        <v>0.08</v>
      </c>
      <c r="G1988" s="63">
        <f>VLOOKUP(D1988,upahbahan,3,FALSE)</f>
        <v>100000</v>
      </c>
      <c r="H1988" s="63">
        <f>F1988*G1988</f>
        <v>8000</v>
      </c>
      <c r="I1988" s="44"/>
      <c r="J1988" s="44"/>
      <c r="K1988" s="44"/>
      <c r="L1988" s="152" t="s">
        <v>1248</v>
      </c>
      <c r="O1988" s="65">
        <v>0.1</v>
      </c>
    </row>
    <row r="1989" spans="3:15" s="59" customFormat="1" ht="21" customHeight="1">
      <c r="C1989" s="588">
        <v>2</v>
      </c>
      <c r="D1989" s="56" t="s">
        <v>10</v>
      </c>
      <c r="E1989" s="577" t="s">
        <v>6</v>
      </c>
      <c r="F1989" s="62">
        <v>0.04</v>
      </c>
      <c r="G1989" s="63">
        <f>VLOOKUP(D1989,upahbahan,3,FALSE)</f>
        <v>135000</v>
      </c>
      <c r="H1989" s="63">
        <f>F1989*G1989</f>
        <v>5400</v>
      </c>
      <c r="I1989" s="44"/>
      <c r="J1989" s="44"/>
      <c r="K1989" s="44"/>
    </row>
    <row r="1990" spans="3:15" s="59" customFormat="1" ht="21" customHeight="1">
      <c r="C1990" s="588">
        <v>3</v>
      </c>
      <c r="D1990" s="56" t="s">
        <v>18</v>
      </c>
      <c r="E1990" s="577" t="s">
        <v>6</v>
      </c>
      <c r="F1990" s="62">
        <v>4.0000000000000001E-3</v>
      </c>
      <c r="G1990" s="63">
        <f>VLOOKUP(D1990,upahbahan,3,FALSE)</f>
        <v>150000</v>
      </c>
      <c r="H1990" s="63">
        <f>F1990*G1990</f>
        <v>600</v>
      </c>
      <c r="I1990" s="44"/>
      <c r="J1990" s="44"/>
      <c r="K1990" s="44"/>
    </row>
    <row r="1991" spans="3:15" s="59" customFormat="1" ht="21" customHeight="1">
      <c r="C1991" s="588">
        <v>4</v>
      </c>
      <c r="D1991" s="56" t="s">
        <v>19</v>
      </c>
      <c r="E1991" s="577" t="s">
        <v>6</v>
      </c>
      <c r="F1991" s="62">
        <v>4.0000000000000001E-3</v>
      </c>
      <c r="G1991" s="63">
        <f>VLOOKUP(D1991,upahbahan,3,FALSE)</f>
        <v>160000</v>
      </c>
      <c r="H1991" s="63">
        <f>F1991*G1991</f>
        <v>640</v>
      </c>
      <c r="I1991" s="44"/>
      <c r="J1991" s="44"/>
      <c r="K1991" s="44"/>
    </row>
    <row r="1992" spans="3:15" s="59" customFormat="1" ht="21" customHeight="1">
      <c r="C1992" s="450" t="s">
        <v>1208</v>
      </c>
      <c r="D1992" s="67"/>
      <c r="E1992" s="67"/>
      <c r="F1992" s="142"/>
      <c r="G1992" s="153"/>
      <c r="H1992" s="63">
        <f>SUM(H1988:H1991)</f>
        <v>14640</v>
      </c>
      <c r="I1992" s="154"/>
      <c r="J1992" s="154"/>
      <c r="K1992" s="154"/>
    </row>
    <row r="1993" spans="3:15" s="59" customFormat="1" ht="21" customHeight="1">
      <c r="C1993" s="61" t="s">
        <v>1209</v>
      </c>
      <c r="D1993" s="56" t="s">
        <v>1210</v>
      </c>
      <c r="E1993" s="57"/>
      <c r="F1993" s="57"/>
      <c r="G1993" s="57"/>
      <c r="H1993" s="57"/>
      <c r="I1993" s="44"/>
      <c r="J1993" s="44"/>
      <c r="K1993" s="44"/>
    </row>
    <row r="1994" spans="3:15" s="59" customFormat="1" ht="21" customHeight="1">
      <c r="C1994" s="61">
        <v>1</v>
      </c>
      <c r="D1994" s="56" t="s">
        <v>8337</v>
      </c>
      <c r="E1994" s="93" t="s">
        <v>113</v>
      </c>
      <c r="F1994" s="94">
        <v>1.6</v>
      </c>
      <c r="G1994" s="63">
        <f>VLOOKUP(D1994,upahbahan,3,FALSE)</f>
        <v>205000</v>
      </c>
      <c r="H1994" s="586">
        <f>G1994*F1994</f>
        <v>328000</v>
      </c>
      <c r="I1994" s="44"/>
      <c r="J1994" s="44"/>
      <c r="K1994" s="44"/>
    </row>
    <row r="1995" spans="3:15" s="59" customFormat="1" ht="21" customHeight="1">
      <c r="C1995" s="61">
        <v>2</v>
      </c>
      <c r="D1995" s="56" t="s">
        <v>1796</v>
      </c>
      <c r="E1995" s="93" t="s">
        <v>65</v>
      </c>
      <c r="F1995" s="94">
        <v>35</v>
      </c>
      <c r="G1995" s="63">
        <f>VLOOKUP(D1995,upahbahan,3,FALSE)</f>
        <v>1530</v>
      </c>
      <c r="H1995" s="586">
        <f t="shared" ref="H1995:H1997" si="4">G1995*F1995</f>
        <v>53550</v>
      </c>
      <c r="I1995" s="44"/>
      <c r="J1995" s="44"/>
      <c r="K1995" s="44"/>
    </row>
    <row r="1996" spans="3:15" s="59" customFormat="1" ht="21" customHeight="1">
      <c r="C1996" s="61">
        <v>3</v>
      </c>
      <c r="D1996" s="56" t="s">
        <v>85</v>
      </c>
      <c r="E1996" s="93" t="s">
        <v>42</v>
      </c>
      <c r="F1996" s="94">
        <v>1.4E-2</v>
      </c>
      <c r="G1996" s="63">
        <f>VLOOKUP(D1996,upahbahan,3,FALSE)</f>
        <v>310500</v>
      </c>
      <c r="H1996" s="586">
        <f t="shared" si="4"/>
        <v>4347</v>
      </c>
      <c r="I1996" s="44"/>
      <c r="J1996" s="44"/>
      <c r="K1996" s="44"/>
    </row>
    <row r="1997" spans="3:15" s="59" customFormat="1" ht="21" customHeight="1">
      <c r="C1997" s="61">
        <v>4</v>
      </c>
      <c r="D1997" s="56" t="s">
        <v>88</v>
      </c>
      <c r="E1997" s="93" t="s">
        <v>42</v>
      </c>
      <c r="F1997" s="94">
        <v>1.4E-2</v>
      </c>
      <c r="G1997" s="63">
        <f>VLOOKUP(D1997,upahbahan,3,FALSE)</f>
        <v>220500</v>
      </c>
      <c r="H1997" s="586">
        <f t="shared" si="4"/>
        <v>3087</v>
      </c>
      <c r="I1997" s="44"/>
      <c r="J1997" s="44"/>
      <c r="K1997" s="44"/>
    </row>
    <row r="1998" spans="3:15" s="59" customFormat="1" ht="21" customHeight="1">
      <c r="C1998" s="450" t="s">
        <v>1214</v>
      </c>
      <c r="D1998" s="67"/>
      <c r="E1998" s="67"/>
      <c r="F1998" s="67"/>
      <c r="G1998" s="69"/>
      <c r="H1998" s="63">
        <f>SUM(H1994:H1997)</f>
        <v>388984</v>
      </c>
      <c r="I1998" s="44"/>
      <c r="J1998" s="44"/>
      <c r="K1998" s="44"/>
    </row>
    <row r="1999" spans="3:15" s="59" customFormat="1" ht="21" customHeight="1">
      <c r="C1999" s="61" t="s">
        <v>1215</v>
      </c>
      <c r="D1999" s="56" t="s">
        <v>1216</v>
      </c>
      <c r="E1999" s="57"/>
      <c r="F1999" s="57"/>
      <c r="G1999" s="57"/>
      <c r="H1999" s="57"/>
      <c r="I1999" s="44"/>
      <c r="J1999" s="44"/>
      <c r="K1999" s="44"/>
    </row>
    <row r="2000" spans="3:15" s="59" customFormat="1" ht="21" customHeight="1">
      <c r="C2000" s="450" t="s">
        <v>1217</v>
      </c>
      <c r="D2000" s="67"/>
      <c r="E2000" s="67"/>
      <c r="F2000" s="67"/>
      <c r="G2000" s="69"/>
      <c r="H2000" s="589">
        <v>0</v>
      </c>
      <c r="I2000" s="44"/>
      <c r="J2000" s="44"/>
      <c r="K2000" s="44"/>
    </row>
    <row r="2001" spans="3:15" s="59" customFormat="1" ht="21" customHeight="1">
      <c r="C2001" s="288" t="s">
        <v>1218</v>
      </c>
      <c r="D2001" s="76" t="s">
        <v>1219</v>
      </c>
      <c r="E2001" s="77"/>
      <c r="F2001" s="77"/>
      <c r="G2001" s="78"/>
      <c r="H2001" s="585">
        <f>H2000+H1998+H1992</f>
        <v>403624</v>
      </c>
      <c r="I2001" s="369"/>
      <c r="J2001" s="44"/>
      <c r="K2001" s="44"/>
    </row>
    <row r="2002" spans="3:15" s="59" customFormat="1" ht="21" customHeight="1">
      <c r="C2002" s="288" t="s">
        <v>1220</v>
      </c>
      <c r="D2002" s="76" t="s">
        <v>1321</v>
      </c>
      <c r="E2002" s="77"/>
      <c r="F2002" s="78"/>
      <c r="G2002" s="80">
        <v>0.1</v>
      </c>
      <c r="H2002" s="63">
        <f>H2001*G2002</f>
        <v>40362.400000000001</v>
      </c>
      <c r="I2002" s="369"/>
      <c r="J2002" s="44"/>
      <c r="K2002" s="44"/>
    </row>
    <row r="2003" spans="3:15" s="59" customFormat="1" ht="21" customHeight="1">
      <c r="C2003" s="288" t="s">
        <v>1221</v>
      </c>
      <c r="D2003" s="76" t="s">
        <v>1222</v>
      </c>
      <c r="E2003" s="77"/>
      <c r="F2003" s="77"/>
      <c r="G2003" s="78"/>
      <c r="H2003" s="799">
        <f>SUM(H2001:H2002)</f>
        <v>443986.4</v>
      </c>
      <c r="I2003" s="369"/>
      <c r="J2003" s="44"/>
      <c r="K2003" s="44"/>
    </row>
    <row r="2004" spans="3:15" ht="21" customHeight="1"/>
    <row r="2005" spans="3:15" ht="21" customHeight="1">
      <c r="C2005" s="43" t="s">
        <v>8338</v>
      </c>
      <c r="D2005" s="128" t="s">
        <v>4887</v>
      </c>
    </row>
    <row r="2006" spans="3:15" ht="21" customHeight="1">
      <c r="C2006" s="43" t="s">
        <v>5320</v>
      </c>
      <c r="D2006" s="128" t="s">
        <v>8339</v>
      </c>
    </row>
    <row r="2007" spans="3:15" ht="21" customHeight="1">
      <c r="C2007" s="43" t="s">
        <v>5321</v>
      </c>
      <c r="D2007" s="128" t="s">
        <v>5322</v>
      </c>
    </row>
    <row r="2008" spans="3:15" ht="21" customHeight="1">
      <c r="C2008" s="43"/>
      <c r="D2008" s="128"/>
    </row>
    <row r="2009" spans="3:15" ht="21" customHeight="1">
      <c r="C2009" s="46" t="s">
        <v>5319</v>
      </c>
      <c r="D2009" s="128" t="s">
        <v>4002</v>
      </c>
    </row>
    <row r="2010" spans="3:15" ht="21" customHeight="1">
      <c r="C2010" s="46" t="s">
        <v>5323</v>
      </c>
      <c r="D2010" s="128" t="s">
        <v>4004</v>
      </c>
    </row>
    <row r="2011" spans="3:15" s="59" customFormat="1" ht="21" customHeight="1">
      <c r="C2011" s="147" t="s">
        <v>5324</v>
      </c>
      <c r="D2011" s="794" t="s">
        <v>8340</v>
      </c>
      <c r="E2011" s="795"/>
      <c r="F2011" s="795"/>
      <c r="G2011" s="795"/>
      <c r="H2011" s="795"/>
      <c r="I2011" s="50">
        <f>ROUNDDOWN(H2026,-2)</f>
        <v>1918100</v>
      </c>
      <c r="J2011" s="50"/>
      <c r="K2011" s="50"/>
    </row>
    <row r="2012" spans="3:15" s="59" customFormat="1" ht="21" customHeight="1">
      <c r="C2012" s="591" t="s">
        <v>1195</v>
      </c>
      <c r="D2012" s="591" t="s">
        <v>1196</v>
      </c>
      <c r="E2012" s="591" t="s">
        <v>1197</v>
      </c>
      <c r="F2012" s="591" t="s">
        <v>1198</v>
      </c>
      <c r="G2012" s="591" t="s">
        <v>1199</v>
      </c>
      <c r="H2012" s="591" t="s">
        <v>1200</v>
      </c>
      <c r="I2012" s="44"/>
      <c r="J2012" s="44"/>
      <c r="K2012" s="44"/>
    </row>
    <row r="2013" spans="3:15" s="59" customFormat="1" ht="21" customHeight="1">
      <c r="C2013" s="61" t="s">
        <v>1201</v>
      </c>
      <c r="D2013" s="56" t="s">
        <v>1202</v>
      </c>
      <c r="E2013" s="57"/>
      <c r="F2013" s="57"/>
      <c r="G2013" s="57"/>
      <c r="H2013" s="57"/>
      <c r="I2013" s="44"/>
      <c r="J2013" s="44"/>
      <c r="K2013" s="44"/>
      <c r="L2013" s="152" t="s">
        <v>1247</v>
      </c>
    </row>
    <row r="2014" spans="3:15" s="59" customFormat="1" ht="21" customHeight="1">
      <c r="C2014" s="588">
        <v>1</v>
      </c>
      <c r="D2014" s="56" t="s">
        <v>5</v>
      </c>
      <c r="E2014" s="577" t="s">
        <v>6</v>
      </c>
      <c r="F2014" s="62">
        <v>5.1999999999999998E-2</v>
      </c>
      <c r="G2014" s="63">
        <f>VLOOKUP(D2014,upahbahan,3,FALSE)</f>
        <v>100000</v>
      </c>
      <c r="H2014" s="63">
        <f>F2014*G2014</f>
        <v>5200</v>
      </c>
      <c r="I2014" s="44"/>
      <c r="J2014" s="44"/>
      <c r="K2014" s="44"/>
      <c r="L2014" s="152" t="s">
        <v>1248</v>
      </c>
      <c r="O2014" s="65">
        <v>0.1</v>
      </c>
    </row>
    <row r="2015" spans="3:15" s="59" customFormat="1" ht="21" customHeight="1">
      <c r="C2015" s="588">
        <v>2</v>
      </c>
      <c r="D2015" s="56" t="s">
        <v>10</v>
      </c>
      <c r="E2015" s="577" t="s">
        <v>6</v>
      </c>
      <c r="F2015" s="62">
        <v>8.6999999999999994E-2</v>
      </c>
      <c r="G2015" s="63">
        <f>VLOOKUP(D2015,upahbahan,3,FALSE)</f>
        <v>135000</v>
      </c>
      <c r="H2015" s="63">
        <f>F2015*G2015</f>
        <v>11745</v>
      </c>
      <c r="I2015" s="44"/>
      <c r="J2015" s="44"/>
      <c r="K2015" s="44"/>
    </row>
    <row r="2016" spans="3:15" s="59" customFormat="1" ht="21" customHeight="1">
      <c r="C2016" s="588">
        <v>3</v>
      </c>
      <c r="D2016" s="56" t="s">
        <v>18</v>
      </c>
      <c r="E2016" s="577" t="s">
        <v>6</v>
      </c>
      <c r="F2016" s="62">
        <v>8.9999999999999993E-3</v>
      </c>
      <c r="G2016" s="63">
        <f>VLOOKUP(D2016,upahbahan,3,FALSE)</f>
        <v>150000</v>
      </c>
      <c r="H2016" s="63">
        <f>F2016*G2016</f>
        <v>1350</v>
      </c>
      <c r="I2016" s="44"/>
      <c r="J2016" s="44"/>
      <c r="K2016" s="44"/>
    </row>
    <row r="2017" spans="3:15" s="59" customFormat="1" ht="21" customHeight="1">
      <c r="C2017" s="588">
        <v>4</v>
      </c>
      <c r="D2017" s="56" t="s">
        <v>19</v>
      </c>
      <c r="E2017" s="577" t="s">
        <v>6</v>
      </c>
      <c r="F2017" s="62">
        <v>3.0000000000000001E-3</v>
      </c>
      <c r="G2017" s="63">
        <f>VLOOKUP(D2017,upahbahan,3,FALSE)</f>
        <v>160000</v>
      </c>
      <c r="H2017" s="63">
        <f>F2017*G2017</f>
        <v>480</v>
      </c>
      <c r="I2017" s="44"/>
      <c r="J2017" s="44"/>
      <c r="K2017" s="44"/>
    </row>
    <row r="2018" spans="3:15" s="59" customFormat="1" ht="21" customHeight="1">
      <c r="C2018" s="450" t="s">
        <v>1208</v>
      </c>
      <c r="D2018" s="67"/>
      <c r="E2018" s="67"/>
      <c r="F2018" s="142"/>
      <c r="G2018" s="153"/>
      <c r="H2018" s="63">
        <f>SUM(H2014:H2017)</f>
        <v>18775</v>
      </c>
      <c r="I2018" s="154"/>
      <c r="J2018" s="154"/>
      <c r="K2018" s="154"/>
    </row>
    <row r="2019" spans="3:15" s="59" customFormat="1" ht="21" customHeight="1">
      <c r="C2019" s="61" t="s">
        <v>1209</v>
      </c>
      <c r="D2019" s="56" t="s">
        <v>1210</v>
      </c>
      <c r="E2019" s="57"/>
      <c r="F2019" s="57"/>
      <c r="G2019" s="57"/>
      <c r="H2019" s="57"/>
      <c r="I2019" s="44"/>
      <c r="J2019" s="44"/>
      <c r="K2019" s="44"/>
    </row>
    <row r="2020" spans="3:15" s="59" customFormat="1" ht="21" customHeight="1">
      <c r="C2020" s="61">
        <v>1</v>
      </c>
      <c r="D2020" s="56" t="s">
        <v>4005</v>
      </c>
      <c r="E2020" s="93" t="s">
        <v>135</v>
      </c>
      <c r="F2020" s="104">
        <v>1.1499999999999999</v>
      </c>
      <c r="G2020" s="63">
        <f>VLOOKUP(D2020,upahbahan,3,FALSE)</f>
        <v>1500000</v>
      </c>
      <c r="H2020" s="586">
        <f>G2020*F2020</f>
        <v>1724999.9999999998</v>
      </c>
      <c r="I2020" s="44"/>
      <c r="J2020" s="44"/>
      <c r="K2020" s="44"/>
    </row>
    <row r="2021" spans="3:15" s="59" customFormat="1" ht="21" customHeight="1">
      <c r="C2021" s="450" t="s">
        <v>1214</v>
      </c>
      <c r="D2021" s="67"/>
      <c r="E2021" s="67"/>
      <c r="F2021" s="67"/>
      <c r="G2021" s="69"/>
      <c r="H2021" s="63">
        <f>SUM(H2020:H2020)</f>
        <v>1724999.9999999998</v>
      </c>
      <c r="I2021" s="44"/>
      <c r="J2021" s="44"/>
      <c r="K2021" s="44"/>
    </row>
    <row r="2022" spans="3:15" s="59" customFormat="1" ht="21" customHeight="1">
      <c r="C2022" s="61" t="s">
        <v>1215</v>
      </c>
      <c r="D2022" s="56" t="s">
        <v>1216</v>
      </c>
      <c r="E2022" s="57"/>
      <c r="F2022" s="57"/>
      <c r="G2022" s="57"/>
      <c r="H2022" s="57"/>
      <c r="I2022" s="44"/>
      <c r="J2022" s="44"/>
      <c r="K2022" s="44"/>
    </row>
    <row r="2023" spans="3:15" s="59" customFormat="1" ht="21" customHeight="1">
      <c r="C2023" s="450" t="s">
        <v>1217</v>
      </c>
      <c r="D2023" s="67"/>
      <c r="E2023" s="67"/>
      <c r="F2023" s="67"/>
      <c r="G2023" s="69"/>
      <c r="H2023" s="589">
        <v>0</v>
      </c>
      <c r="I2023" s="44"/>
      <c r="J2023" s="44"/>
      <c r="K2023" s="44"/>
    </row>
    <row r="2024" spans="3:15" s="59" customFormat="1" ht="21" customHeight="1">
      <c r="C2024" s="288" t="s">
        <v>1218</v>
      </c>
      <c r="D2024" s="76" t="s">
        <v>1219</v>
      </c>
      <c r="E2024" s="77"/>
      <c r="F2024" s="77"/>
      <c r="G2024" s="78"/>
      <c r="H2024" s="585">
        <f>H2023+H2021+H2018</f>
        <v>1743774.9999999998</v>
      </c>
      <c r="I2024" s="369"/>
      <c r="J2024" s="44"/>
      <c r="K2024" s="44"/>
    </row>
    <row r="2025" spans="3:15" s="59" customFormat="1" ht="21" customHeight="1">
      <c r="C2025" s="288" t="s">
        <v>1220</v>
      </c>
      <c r="D2025" s="76" t="s">
        <v>1321</v>
      </c>
      <c r="E2025" s="77"/>
      <c r="F2025" s="78"/>
      <c r="G2025" s="80">
        <v>0.1</v>
      </c>
      <c r="H2025" s="63">
        <f>H2024*G2025</f>
        <v>174377.5</v>
      </c>
      <c r="I2025" s="369"/>
      <c r="J2025" s="44"/>
      <c r="K2025" s="44"/>
    </row>
    <row r="2026" spans="3:15" s="59" customFormat="1" ht="21" customHeight="1">
      <c r="C2026" s="288" t="s">
        <v>1221</v>
      </c>
      <c r="D2026" s="76" t="s">
        <v>1222</v>
      </c>
      <c r="E2026" s="77"/>
      <c r="F2026" s="77"/>
      <c r="G2026" s="78"/>
      <c r="H2026" s="799">
        <f>SUM(H2024:H2025)</f>
        <v>1918152.4999999998</v>
      </c>
      <c r="I2026" s="369"/>
      <c r="J2026" s="44"/>
      <c r="K2026" s="44"/>
    </row>
    <row r="2027" spans="3:15" ht="21" customHeight="1"/>
    <row r="2028" spans="3:15" s="59" customFormat="1" ht="21" customHeight="1">
      <c r="C2028" s="147" t="s">
        <v>5325</v>
      </c>
      <c r="D2028" s="794" t="s">
        <v>8341</v>
      </c>
      <c r="E2028" s="795"/>
      <c r="F2028" s="795"/>
      <c r="G2028" s="795"/>
      <c r="H2028" s="795"/>
      <c r="I2028" s="50">
        <f>ROUNDDOWN(H2043,-2)</f>
        <v>2181400</v>
      </c>
      <c r="J2028" s="50"/>
      <c r="K2028" s="50"/>
    </row>
    <row r="2029" spans="3:15" s="59" customFormat="1" ht="21" customHeight="1">
      <c r="C2029" s="591" t="s">
        <v>1195</v>
      </c>
      <c r="D2029" s="591" t="s">
        <v>1196</v>
      </c>
      <c r="E2029" s="591" t="s">
        <v>1197</v>
      </c>
      <c r="F2029" s="591" t="s">
        <v>1198</v>
      </c>
      <c r="G2029" s="591" t="s">
        <v>1199</v>
      </c>
      <c r="H2029" s="591" t="s">
        <v>1200</v>
      </c>
      <c r="I2029" s="44"/>
      <c r="J2029" s="44"/>
      <c r="K2029" s="44"/>
    </row>
    <row r="2030" spans="3:15" s="59" customFormat="1" ht="21" customHeight="1">
      <c r="C2030" s="61" t="s">
        <v>1201</v>
      </c>
      <c r="D2030" s="56" t="s">
        <v>1202</v>
      </c>
      <c r="E2030" s="57"/>
      <c r="F2030" s="57"/>
      <c r="G2030" s="57"/>
      <c r="H2030" s="57"/>
      <c r="I2030" s="44"/>
      <c r="J2030" s="44"/>
      <c r="K2030" s="44"/>
      <c r="L2030" s="152" t="s">
        <v>1247</v>
      </c>
    </row>
    <row r="2031" spans="3:15" s="59" customFormat="1" ht="21" customHeight="1">
      <c r="C2031" s="588">
        <v>1</v>
      </c>
      <c r="D2031" s="56" t="s">
        <v>5</v>
      </c>
      <c r="E2031" s="577" t="s">
        <v>6</v>
      </c>
      <c r="F2031" s="62">
        <v>7.9000000000000001E-2</v>
      </c>
      <c r="G2031" s="63">
        <f>VLOOKUP(D2031,upahbahan,3,FALSE)</f>
        <v>100000</v>
      </c>
      <c r="H2031" s="63">
        <f>F2031*G2031</f>
        <v>7900</v>
      </c>
      <c r="I2031" s="44"/>
      <c r="J2031" s="44"/>
      <c r="K2031" s="44"/>
      <c r="L2031" s="152" t="s">
        <v>1248</v>
      </c>
      <c r="O2031" s="65">
        <v>0.1</v>
      </c>
    </row>
    <row r="2032" spans="3:15" s="59" customFormat="1" ht="21" customHeight="1">
      <c r="C2032" s="588">
        <v>2</v>
      </c>
      <c r="D2032" s="56" t="s">
        <v>10</v>
      </c>
      <c r="E2032" s="577" t="s">
        <v>6</v>
      </c>
      <c r="F2032" s="62">
        <v>0.13100000000000001</v>
      </c>
      <c r="G2032" s="63">
        <f>VLOOKUP(D2032,upahbahan,3,FALSE)</f>
        <v>135000</v>
      </c>
      <c r="H2032" s="63">
        <f>F2032*G2032</f>
        <v>17685</v>
      </c>
      <c r="I2032" s="44"/>
      <c r="J2032" s="44"/>
      <c r="K2032" s="44"/>
    </row>
    <row r="2033" spans="3:12" s="59" customFormat="1" ht="21" customHeight="1">
      <c r="C2033" s="588">
        <v>3</v>
      </c>
      <c r="D2033" s="56" t="s">
        <v>18</v>
      </c>
      <c r="E2033" s="577" t="s">
        <v>6</v>
      </c>
      <c r="F2033" s="62">
        <v>1.2999999999999999E-2</v>
      </c>
      <c r="G2033" s="63">
        <f>VLOOKUP(D2033,upahbahan,3,FALSE)</f>
        <v>150000</v>
      </c>
      <c r="H2033" s="63">
        <f>F2033*G2033</f>
        <v>1950</v>
      </c>
      <c r="I2033" s="44"/>
      <c r="J2033" s="44"/>
      <c r="K2033" s="44"/>
    </row>
    <row r="2034" spans="3:12" s="59" customFormat="1" ht="21" customHeight="1">
      <c r="C2034" s="588">
        <v>4</v>
      </c>
      <c r="D2034" s="56" t="s">
        <v>19</v>
      </c>
      <c r="E2034" s="577" t="s">
        <v>6</v>
      </c>
      <c r="F2034" s="62">
        <v>4.0000000000000001E-3</v>
      </c>
      <c r="G2034" s="63">
        <f>VLOOKUP(D2034,upahbahan,3,FALSE)</f>
        <v>160000</v>
      </c>
      <c r="H2034" s="63">
        <f>F2034*G2034</f>
        <v>640</v>
      </c>
      <c r="I2034" s="44"/>
      <c r="J2034" s="44"/>
      <c r="K2034" s="44"/>
    </row>
    <row r="2035" spans="3:12" s="59" customFormat="1" ht="21" customHeight="1">
      <c r="C2035" s="450" t="s">
        <v>1208</v>
      </c>
      <c r="D2035" s="67"/>
      <c r="E2035" s="67"/>
      <c r="F2035" s="142"/>
      <c r="G2035" s="153"/>
      <c r="H2035" s="63">
        <f>SUM(H2031:H2034)</f>
        <v>28175</v>
      </c>
      <c r="I2035" s="154"/>
      <c r="J2035" s="154"/>
      <c r="K2035" s="154"/>
    </row>
    <row r="2036" spans="3:12" s="59" customFormat="1" ht="21" customHeight="1">
      <c r="C2036" s="61" t="s">
        <v>1209</v>
      </c>
      <c r="D2036" s="56" t="s">
        <v>1210</v>
      </c>
      <c r="E2036" s="57"/>
      <c r="F2036" s="57"/>
      <c r="G2036" s="57"/>
      <c r="H2036" s="57"/>
      <c r="I2036" s="44"/>
      <c r="J2036" s="44"/>
      <c r="K2036" s="44"/>
    </row>
    <row r="2037" spans="3:12" s="59" customFormat="1" ht="21" customHeight="1">
      <c r="C2037" s="61">
        <v>1</v>
      </c>
      <c r="D2037" s="56" t="s">
        <v>4006</v>
      </c>
      <c r="E2037" s="93" t="s">
        <v>135</v>
      </c>
      <c r="F2037" s="104">
        <v>1.1499999999999999</v>
      </c>
      <c r="G2037" s="63">
        <f>VLOOKUP(D2037,upahbahan,3,FALSE)</f>
        <v>1700000</v>
      </c>
      <c r="H2037" s="586">
        <f>G2037*F2037</f>
        <v>1954999.9999999998</v>
      </c>
      <c r="I2037" s="44"/>
      <c r="J2037" s="44"/>
      <c r="K2037" s="44"/>
    </row>
    <row r="2038" spans="3:12" s="59" customFormat="1" ht="21" customHeight="1">
      <c r="C2038" s="450" t="s">
        <v>1214</v>
      </c>
      <c r="D2038" s="67"/>
      <c r="E2038" s="67"/>
      <c r="F2038" s="67"/>
      <c r="G2038" s="69"/>
      <c r="H2038" s="63">
        <f>SUM(H2037:H2037)</f>
        <v>1954999.9999999998</v>
      </c>
      <c r="I2038" s="44"/>
      <c r="J2038" s="44"/>
      <c r="K2038" s="44"/>
    </row>
    <row r="2039" spans="3:12" s="59" customFormat="1" ht="21" customHeight="1">
      <c r="C2039" s="61" t="s">
        <v>1215</v>
      </c>
      <c r="D2039" s="56" t="s">
        <v>1216</v>
      </c>
      <c r="E2039" s="57"/>
      <c r="F2039" s="57"/>
      <c r="G2039" s="57"/>
      <c r="H2039" s="57"/>
      <c r="I2039" s="44"/>
      <c r="J2039" s="44"/>
      <c r="K2039" s="44"/>
    </row>
    <row r="2040" spans="3:12" s="59" customFormat="1" ht="21" customHeight="1">
      <c r="C2040" s="450" t="s">
        <v>1217</v>
      </c>
      <c r="D2040" s="67"/>
      <c r="E2040" s="67"/>
      <c r="F2040" s="67"/>
      <c r="G2040" s="69"/>
      <c r="H2040" s="589">
        <v>0</v>
      </c>
      <c r="I2040" s="44"/>
      <c r="J2040" s="44"/>
      <c r="K2040" s="44"/>
    </row>
    <row r="2041" spans="3:12" s="59" customFormat="1" ht="21" customHeight="1">
      <c r="C2041" s="288" t="s">
        <v>1218</v>
      </c>
      <c r="D2041" s="76" t="s">
        <v>1219</v>
      </c>
      <c r="E2041" s="77"/>
      <c r="F2041" s="77"/>
      <c r="G2041" s="78"/>
      <c r="H2041" s="585">
        <f>H2040+H2038+H2035</f>
        <v>1983174.9999999998</v>
      </c>
      <c r="I2041" s="369"/>
      <c r="J2041" s="44"/>
      <c r="K2041" s="44"/>
    </row>
    <row r="2042" spans="3:12" s="59" customFormat="1" ht="21" customHeight="1">
      <c r="C2042" s="288" t="s">
        <v>1220</v>
      </c>
      <c r="D2042" s="76" t="s">
        <v>1321</v>
      </c>
      <c r="E2042" s="77"/>
      <c r="F2042" s="78"/>
      <c r="G2042" s="80">
        <v>0.1</v>
      </c>
      <c r="H2042" s="63">
        <f>H2041*G2042</f>
        <v>198317.5</v>
      </c>
      <c r="I2042" s="369"/>
      <c r="J2042" s="44"/>
      <c r="K2042" s="44"/>
    </row>
    <row r="2043" spans="3:12" s="59" customFormat="1" ht="21" customHeight="1">
      <c r="C2043" s="288" t="s">
        <v>1221</v>
      </c>
      <c r="D2043" s="76" t="s">
        <v>1222</v>
      </c>
      <c r="E2043" s="77"/>
      <c r="F2043" s="77"/>
      <c r="G2043" s="78"/>
      <c r="H2043" s="799">
        <f>SUM(H2041:H2042)</f>
        <v>2181492.5</v>
      </c>
      <c r="I2043" s="369"/>
      <c r="J2043" s="44"/>
      <c r="K2043" s="44"/>
    </row>
    <row r="2044" spans="3:12" ht="21" customHeight="1"/>
    <row r="2045" spans="3:12" ht="21" customHeight="1"/>
    <row r="2046" spans="3:12" s="59" customFormat="1" ht="21" customHeight="1">
      <c r="C2046" s="147" t="s">
        <v>5326</v>
      </c>
      <c r="D2046" s="794" t="s">
        <v>4007</v>
      </c>
      <c r="E2046" s="795"/>
      <c r="F2046" s="795"/>
      <c r="G2046" s="795"/>
      <c r="H2046" s="795"/>
      <c r="I2046" s="50">
        <f>ROUNDDOWN(H2061,-2)</f>
        <v>2444700</v>
      </c>
      <c r="J2046" s="50"/>
      <c r="K2046" s="50"/>
    </row>
    <row r="2047" spans="3:12" s="59" customFormat="1" ht="21" customHeight="1">
      <c r="C2047" s="591" t="s">
        <v>1195</v>
      </c>
      <c r="D2047" s="591" t="s">
        <v>1196</v>
      </c>
      <c r="E2047" s="591" t="s">
        <v>1197</v>
      </c>
      <c r="F2047" s="591" t="s">
        <v>1198</v>
      </c>
      <c r="G2047" s="591" t="s">
        <v>1199</v>
      </c>
      <c r="H2047" s="591" t="s">
        <v>1200</v>
      </c>
      <c r="I2047" s="44"/>
      <c r="J2047" s="44"/>
      <c r="K2047" s="44"/>
    </row>
    <row r="2048" spans="3:12" s="59" customFormat="1" ht="21" customHeight="1">
      <c r="C2048" s="61" t="s">
        <v>1201</v>
      </c>
      <c r="D2048" s="56" t="s">
        <v>1202</v>
      </c>
      <c r="E2048" s="57"/>
      <c r="F2048" s="57"/>
      <c r="G2048" s="57"/>
      <c r="H2048" s="57"/>
      <c r="I2048" s="44"/>
      <c r="J2048" s="44"/>
      <c r="K2048" s="44"/>
      <c r="L2048" s="152" t="s">
        <v>1247</v>
      </c>
    </row>
    <row r="2049" spans="3:15" s="59" customFormat="1" ht="21" customHeight="1">
      <c r="C2049" s="588">
        <v>1</v>
      </c>
      <c r="D2049" s="56" t="s">
        <v>5</v>
      </c>
      <c r="E2049" s="577" t="s">
        <v>6</v>
      </c>
      <c r="F2049" s="62">
        <v>0.105</v>
      </c>
      <c r="G2049" s="63">
        <f>VLOOKUP(D2049,upahbahan,3,FALSE)</f>
        <v>100000</v>
      </c>
      <c r="H2049" s="63">
        <f>F2049*G2049</f>
        <v>10500</v>
      </c>
      <c r="I2049" s="44"/>
      <c r="J2049" s="44"/>
      <c r="K2049" s="44"/>
      <c r="L2049" s="152" t="s">
        <v>1248</v>
      </c>
      <c r="O2049" s="65">
        <v>0.1</v>
      </c>
    </row>
    <row r="2050" spans="3:15" s="59" customFormat="1" ht="21" customHeight="1">
      <c r="C2050" s="588">
        <v>2</v>
      </c>
      <c r="D2050" s="56" t="s">
        <v>10</v>
      </c>
      <c r="E2050" s="577" t="s">
        <v>6</v>
      </c>
      <c r="F2050" s="62">
        <v>0.17499999999999999</v>
      </c>
      <c r="G2050" s="63">
        <f>VLOOKUP(D2050,upahbahan,3,FALSE)</f>
        <v>135000</v>
      </c>
      <c r="H2050" s="63">
        <f>F2050*G2050</f>
        <v>23625</v>
      </c>
      <c r="I2050" s="44"/>
      <c r="J2050" s="44"/>
      <c r="K2050" s="44"/>
    </row>
    <row r="2051" spans="3:15" s="59" customFormat="1" ht="21" customHeight="1">
      <c r="C2051" s="588">
        <v>3</v>
      </c>
      <c r="D2051" s="56" t="s">
        <v>18</v>
      </c>
      <c r="E2051" s="577" t="s">
        <v>6</v>
      </c>
      <c r="F2051" s="62">
        <v>1.7000000000000001E-2</v>
      </c>
      <c r="G2051" s="63">
        <f>VLOOKUP(D2051,upahbahan,3,FALSE)</f>
        <v>150000</v>
      </c>
      <c r="H2051" s="63">
        <f>F2051*G2051</f>
        <v>2550</v>
      </c>
      <c r="I2051" s="44"/>
      <c r="J2051" s="44"/>
      <c r="K2051" s="44"/>
    </row>
    <row r="2052" spans="3:15" s="59" customFormat="1" ht="21" customHeight="1">
      <c r="C2052" s="588">
        <v>4</v>
      </c>
      <c r="D2052" s="56" t="s">
        <v>19</v>
      </c>
      <c r="E2052" s="577" t="s">
        <v>6</v>
      </c>
      <c r="F2052" s="62">
        <v>5.0000000000000001E-3</v>
      </c>
      <c r="G2052" s="63">
        <f>VLOOKUP(D2052,upahbahan,3,FALSE)</f>
        <v>160000</v>
      </c>
      <c r="H2052" s="63">
        <f>F2052*G2052</f>
        <v>800</v>
      </c>
      <c r="I2052" s="44"/>
      <c r="J2052" s="44"/>
      <c r="K2052" s="44"/>
    </row>
    <row r="2053" spans="3:15" s="59" customFormat="1" ht="21" customHeight="1">
      <c r="C2053" s="450" t="s">
        <v>1208</v>
      </c>
      <c r="D2053" s="67"/>
      <c r="E2053" s="67"/>
      <c r="F2053" s="142"/>
      <c r="G2053" s="153"/>
      <c r="H2053" s="63">
        <f>SUM(H2049:H2052)</f>
        <v>37475</v>
      </c>
      <c r="I2053" s="154"/>
      <c r="J2053" s="154"/>
      <c r="K2053" s="154"/>
    </row>
    <row r="2054" spans="3:15" s="59" customFormat="1" ht="21" customHeight="1">
      <c r="C2054" s="61" t="s">
        <v>1209</v>
      </c>
      <c r="D2054" s="56" t="s">
        <v>1210</v>
      </c>
      <c r="E2054" s="57"/>
      <c r="F2054" s="57"/>
      <c r="G2054" s="57"/>
      <c r="H2054" s="57"/>
      <c r="I2054" s="44"/>
      <c r="J2054" s="44"/>
      <c r="K2054" s="44"/>
    </row>
    <row r="2055" spans="3:15" s="59" customFormat="1" ht="21" customHeight="1">
      <c r="C2055" s="61">
        <v>1</v>
      </c>
      <c r="D2055" s="56" t="s">
        <v>4030</v>
      </c>
      <c r="E2055" s="93" t="s">
        <v>135</v>
      </c>
      <c r="F2055" s="104">
        <v>1.1499999999999999</v>
      </c>
      <c r="G2055" s="63">
        <f>VLOOKUP(D2055,upahbahan,3,FALSE)</f>
        <v>1900000</v>
      </c>
      <c r="H2055" s="586">
        <f>G2055*F2055</f>
        <v>2185000</v>
      </c>
      <c r="I2055" s="44"/>
      <c r="J2055" s="44"/>
      <c r="K2055" s="44"/>
    </row>
    <row r="2056" spans="3:15" s="59" customFormat="1" ht="21" customHeight="1">
      <c r="C2056" s="450" t="s">
        <v>1214</v>
      </c>
      <c r="D2056" s="67"/>
      <c r="E2056" s="67"/>
      <c r="F2056" s="67"/>
      <c r="G2056" s="69"/>
      <c r="H2056" s="63">
        <f>SUM(H2055:H2055)</f>
        <v>2185000</v>
      </c>
      <c r="I2056" s="44"/>
      <c r="J2056" s="44"/>
      <c r="K2056" s="44"/>
    </row>
    <row r="2057" spans="3:15" s="59" customFormat="1" ht="21" customHeight="1">
      <c r="C2057" s="61" t="s">
        <v>1215</v>
      </c>
      <c r="D2057" s="56" t="s">
        <v>1216</v>
      </c>
      <c r="E2057" s="57"/>
      <c r="F2057" s="57"/>
      <c r="G2057" s="57"/>
      <c r="H2057" s="57"/>
      <c r="I2057" s="44"/>
      <c r="J2057" s="44"/>
      <c r="K2057" s="44"/>
    </row>
    <row r="2058" spans="3:15" s="59" customFormat="1" ht="21" customHeight="1">
      <c r="C2058" s="450" t="s">
        <v>1217</v>
      </c>
      <c r="D2058" s="67"/>
      <c r="E2058" s="67"/>
      <c r="F2058" s="67"/>
      <c r="G2058" s="69"/>
      <c r="H2058" s="589">
        <v>0</v>
      </c>
      <c r="I2058" s="44"/>
      <c r="J2058" s="44"/>
      <c r="K2058" s="44"/>
    </row>
    <row r="2059" spans="3:15" s="59" customFormat="1" ht="21" customHeight="1">
      <c r="C2059" s="288" t="s">
        <v>1218</v>
      </c>
      <c r="D2059" s="76" t="s">
        <v>1219</v>
      </c>
      <c r="E2059" s="77"/>
      <c r="F2059" s="77"/>
      <c r="G2059" s="78"/>
      <c r="H2059" s="585">
        <f>H2058+H2056+H2053</f>
        <v>2222475</v>
      </c>
      <c r="I2059" s="369"/>
      <c r="J2059" s="44"/>
      <c r="K2059" s="44"/>
    </row>
    <row r="2060" spans="3:15" s="59" customFormat="1" ht="21" customHeight="1">
      <c r="C2060" s="288" t="s">
        <v>1220</v>
      </c>
      <c r="D2060" s="76" t="s">
        <v>1321</v>
      </c>
      <c r="E2060" s="77"/>
      <c r="F2060" s="78"/>
      <c r="G2060" s="80">
        <v>0.1</v>
      </c>
      <c r="H2060" s="63">
        <f>H2059*G2060</f>
        <v>222247.5</v>
      </c>
      <c r="I2060" s="369"/>
      <c r="J2060" s="44"/>
      <c r="K2060" s="44"/>
    </row>
    <row r="2061" spans="3:15" s="59" customFormat="1" ht="21" customHeight="1">
      <c r="C2061" s="288" t="s">
        <v>1221</v>
      </c>
      <c r="D2061" s="76" t="s">
        <v>1222</v>
      </c>
      <c r="E2061" s="77"/>
      <c r="F2061" s="77"/>
      <c r="G2061" s="78"/>
      <c r="H2061" s="799">
        <f>SUM(H2059:H2060)</f>
        <v>2444722.5</v>
      </c>
      <c r="I2061" s="369"/>
      <c r="J2061" s="44"/>
      <c r="K2061" s="44"/>
    </row>
    <row r="2062" spans="3:15" ht="21" customHeight="1"/>
    <row r="2063" spans="3:15" s="59" customFormat="1" ht="21" customHeight="1">
      <c r="C2063" s="147" t="s">
        <v>5327</v>
      </c>
      <c r="D2063" s="794" t="s">
        <v>4008</v>
      </c>
      <c r="E2063" s="795"/>
      <c r="F2063" s="795"/>
      <c r="G2063" s="795"/>
      <c r="H2063" s="795"/>
      <c r="I2063" s="50">
        <f>ROUNDDOWN(H2078,-2)</f>
        <v>2643800</v>
      </c>
      <c r="J2063" s="50"/>
      <c r="K2063" s="50"/>
    </row>
    <row r="2064" spans="3:15" s="59" customFormat="1" ht="21" customHeight="1">
      <c r="C2064" s="591" t="s">
        <v>1195</v>
      </c>
      <c r="D2064" s="591" t="s">
        <v>1196</v>
      </c>
      <c r="E2064" s="591" t="s">
        <v>1197</v>
      </c>
      <c r="F2064" s="591" t="s">
        <v>1198</v>
      </c>
      <c r="G2064" s="591" t="s">
        <v>1199</v>
      </c>
      <c r="H2064" s="591" t="s">
        <v>1200</v>
      </c>
      <c r="I2064" s="44"/>
      <c r="J2064" s="44"/>
      <c r="K2064" s="44"/>
    </row>
    <row r="2065" spans="3:15" s="59" customFormat="1" ht="21" customHeight="1">
      <c r="C2065" s="61" t="s">
        <v>1201</v>
      </c>
      <c r="D2065" s="56" t="s">
        <v>1202</v>
      </c>
      <c r="E2065" s="57"/>
      <c r="F2065" s="57"/>
      <c r="G2065" s="57"/>
      <c r="H2065" s="57"/>
      <c r="I2065" s="44"/>
      <c r="J2065" s="44"/>
      <c r="K2065" s="44"/>
      <c r="L2065" s="152" t="s">
        <v>1247</v>
      </c>
    </row>
    <row r="2066" spans="3:15" s="59" customFormat="1" ht="21" customHeight="1">
      <c r="C2066" s="588">
        <v>1</v>
      </c>
      <c r="D2066" s="56" t="s">
        <v>5</v>
      </c>
      <c r="E2066" s="577" t="s">
        <v>6</v>
      </c>
      <c r="F2066" s="62">
        <v>0.129</v>
      </c>
      <c r="G2066" s="63">
        <f>VLOOKUP(D2066,upahbahan,3,FALSE)</f>
        <v>100000</v>
      </c>
      <c r="H2066" s="63">
        <f>F2066*G2066</f>
        <v>12900</v>
      </c>
      <c r="I2066" s="44"/>
      <c r="J2066" s="44"/>
      <c r="K2066" s="44"/>
      <c r="L2066" s="152" t="s">
        <v>1248</v>
      </c>
      <c r="O2066" s="65">
        <v>0.1</v>
      </c>
    </row>
    <row r="2067" spans="3:15" s="59" customFormat="1" ht="21" customHeight="1">
      <c r="C2067" s="588">
        <v>2</v>
      </c>
      <c r="D2067" s="56" t="s">
        <v>10</v>
      </c>
      <c r="E2067" s="577" t="s">
        <v>6</v>
      </c>
      <c r="F2067" s="62">
        <v>0.215</v>
      </c>
      <c r="G2067" s="63">
        <f>VLOOKUP(D2067,upahbahan,3,FALSE)</f>
        <v>135000</v>
      </c>
      <c r="H2067" s="63">
        <f>F2067*G2067</f>
        <v>29025</v>
      </c>
      <c r="I2067" s="44"/>
      <c r="J2067" s="44"/>
      <c r="K2067" s="44"/>
    </row>
    <row r="2068" spans="3:15" s="59" customFormat="1" ht="21" customHeight="1">
      <c r="C2068" s="588">
        <v>3</v>
      </c>
      <c r="D2068" s="56" t="s">
        <v>18</v>
      </c>
      <c r="E2068" s="577" t="s">
        <v>6</v>
      </c>
      <c r="F2068" s="62">
        <v>2.1000000000000001E-2</v>
      </c>
      <c r="G2068" s="63">
        <f>VLOOKUP(D2068,upahbahan,3,FALSE)</f>
        <v>150000</v>
      </c>
      <c r="H2068" s="63">
        <f>F2068*G2068</f>
        <v>3150</v>
      </c>
      <c r="I2068" s="44"/>
      <c r="J2068" s="44"/>
      <c r="K2068" s="44"/>
    </row>
    <row r="2069" spans="3:15" s="59" customFormat="1" ht="21" customHeight="1">
      <c r="C2069" s="588">
        <v>4</v>
      </c>
      <c r="D2069" s="56" t="s">
        <v>19</v>
      </c>
      <c r="E2069" s="577" t="s">
        <v>6</v>
      </c>
      <c r="F2069" s="62">
        <v>6.0000000000000001E-3</v>
      </c>
      <c r="G2069" s="63">
        <f>VLOOKUP(D2069,upahbahan,3,FALSE)</f>
        <v>160000</v>
      </c>
      <c r="H2069" s="63">
        <f>F2069*G2069</f>
        <v>960</v>
      </c>
      <c r="I2069" s="44"/>
      <c r="J2069" s="44"/>
      <c r="K2069" s="44"/>
    </row>
    <row r="2070" spans="3:15" s="59" customFormat="1" ht="21" customHeight="1">
      <c r="C2070" s="450" t="s">
        <v>1208</v>
      </c>
      <c r="D2070" s="67"/>
      <c r="E2070" s="67"/>
      <c r="F2070" s="142"/>
      <c r="G2070" s="153"/>
      <c r="H2070" s="63">
        <f>SUM(H2066:H2069)</f>
        <v>46035</v>
      </c>
      <c r="I2070" s="154"/>
      <c r="J2070" s="154"/>
      <c r="K2070" s="154"/>
    </row>
    <row r="2071" spans="3:15" s="59" customFormat="1" ht="21" customHeight="1">
      <c r="C2071" s="61" t="s">
        <v>1209</v>
      </c>
      <c r="D2071" s="56" t="s">
        <v>1210</v>
      </c>
      <c r="E2071" s="57"/>
      <c r="F2071" s="57"/>
      <c r="G2071" s="57"/>
      <c r="H2071" s="57"/>
      <c r="I2071" s="44"/>
      <c r="J2071" s="44"/>
      <c r="K2071" s="44"/>
    </row>
    <row r="2072" spans="3:15" s="59" customFormat="1" ht="21" customHeight="1">
      <c r="C2072" s="61">
        <v>1</v>
      </c>
      <c r="D2072" s="56" t="s">
        <v>4009</v>
      </c>
      <c r="E2072" s="93" t="s">
        <v>135</v>
      </c>
      <c r="F2072" s="104">
        <v>1.1499999999999999</v>
      </c>
      <c r="G2072" s="63">
        <f>VLOOKUP(D2072,upahbahan,3,FALSE)</f>
        <v>2050000</v>
      </c>
      <c r="H2072" s="586">
        <f>G2072*F2072</f>
        <v>2357500</v>
      </c>
      <c r="I2072" s="44"/>
      <c r="J2072" s="44"/>
      <c r="K2072" s="44"/>
    </row>
    <row r="2073" spans="3:15" s="59" customFormat="1" ht="21" customHeight="1">
      <c r="C2073" s="450" t="s">
        <v>1214</v>
      </c>
      <c r="D2073" s="67"/>
      <c r="E2073" s="67"/>
      <c r="F2073" s="67"/>
      <c r="G2073" s="69"/>
      <c r="H2073" s="63">
        <f>SUM(H2072:H2072)</f>
        <v>2357500</v>
      </c>
      <c r="I2073" s="44"/>
      <c r="J2073" s="44"/>
      <c r="K2073" s="44"/>
    </row>
    <row r="2074" spans="3:15" s="59" customFormat="1" ht="21" customHeight="1">
      <c r="C2074" s="61" t="s">
        <v>1215</v>
      </c>
      <c r="D2074" s="56" t="s">
        <v>1216</v>
      </c>
      <c r="E2074" s="57"/>
      <c r="F2074" s="57"/>
      <c r="G2074" s="57"/>
      <c r="H2074" s="57"/>
      <c r="I2074" s="44"/>
      <c r="J2074" s="44"/>
      <c r="K2074" s="44"/>
    </row>
    <row r="2075" spans="3:15" s="59" customFormat="1" ht="21" customHeight="1">
      <c r="C2075" s="450" t="s">
        <v>1217</v>
      </c>
      <c r="D2075" s="67"/>
      <c r="E2075" s="67"/>
      <c r="F2075" s="67"/>
      <c r="G2075" s="69"/>
      <c r="H2075" s="589">
        <v>0</v>
      </c>
      <c r="I2075" s="44"/>
      <c r="J2075" s="44"/>
      <c r="K2075" s="44"/>
    </row>
    <row r="2076" spans="3:15" s="59" customFormat="1" ht="21" customHeight="1">
      <c r="C2076" s="288" t="s">
        <v>1218</v>
      </c>
      <c r="D2076" s="76" t="s">
        <v>1219</v>
      </c>
      <c r="E2076" s="77"/>
      <c r="F2076" s="77"/>
      <c r="G2076" s="78"/>
      <c r="H2076" s="585">
        <f>H2075+H2073+H2070</f>
        <v>2403535</v>
      </c>
      <c r="I2076" s="369"/>
      <c r="J2076" s="44"/>
      <c r="K2076" s="44"/>
    </row>
    <row r="2077" spans="3:15" s="59" customFormat="1" ht="21" customHeight="1">
      <c r="C2077" s="288" t="s">
        <v>1220</v>
      </c>
      <c r="D2077" s="76" t="s">
        <v>1321</v>
      </c>
      <c r="E2077" s="77"/>
      <c r="F2077" s="78"/>
      <c r="G2077" s="80">
        <v>0.1</v>
      </c>
      <c r="H2077" s="63">
        <f>H2076*G2077</f>
        <v>240353.5</v>
      </c>
      <c r="I2077" s="369"/>
      <c r="J2077" s="44"/>
      <c r="K2077" s="44"/>
    </row>
    <row r="2078" spans="3:15" s="59" customFormat="1" ht="21" customHeight="1">
      <c r="C2078" s="288" t="s">
        <v>1221</v>
      </c>
      <c r="D2078" s="76" t="s">
        <v>1222</v>
      </c>
      <c r="E2078" s="77"/>
      <c r="F2078" s="77"/>
      <c r="G2078" s="78"/>
      <c r="H2078" s="799">
        <f>SUM(H2076:H2077)</f>
        <v>2643888.5</v>
      </c>
      <c r="I2078" s="369"/>
      <c r="J2078" s="44"/>
      <c r="K2078" s="44"/>
    </row>
    <row r="2079" spans="3:15" ht="21" customHeight="1"/>
    <row r="2080" spans="3:15" s="59" customFormat="1" ht="21" customHeight="1">
      <c r="C2080" s="147" t="s">
        <v>5328</v>
      </c>
      <c r="D2080" s="794" t="s">
        <v>4010</v>
      </c>
      <c r="E2080" s="795"/>
      <c r="F2080" s="795"/>
      <c r="G2080" s="795"/>
      <c r="H2080" s="795"/>
      <c r="I2080" s="50">
        <f>ROUNDDOWN(H2095,-2)</f>
        <v>2750000</v>
      </c>
      <c r="J2080" s="50"/>
      <c r="K2080" s="50"/>
    </row>
    <row r="2081" spans="3:15" s="59" customFormat="1" ht="21" customHeight="1">
      <c r="C2081" s="591" t="s">
        <v>1195</v>
      </c>
      <c r="D2081" s="591" t="s">
        <v>1196</v>
      </c>
      <c r="E2081" s="591" t="s">
        <v>1197</v>
      </c>
      <c r="F2081" s="591" t="s">
        <v>1198</v>
      </c>
      <c r="G2081" s="591" t="s">
        <v>1199</v>
      </c>
      <c r="H2081" s="591" t="s">
        <v>1200</v>
      </c>
      <c r="I2081" s="44"/>
      <c r="J2081" s="44"/>
      <c r="K2081" s="44"/>
    </row>
    <row r="2082" spans="3:15" s="59" customFormat="1" ht="21" customHeight="1">
      <c r="C2082" s="61" t="s">
        <v>1201</v>
      </c>
      <c r="D2082" s="56" t="s">
        <v>1202</v>
      </c>
      <c r="E2082" s="57"/>
      <c r="F2082" s="57"/>
      <c r="G2082" s="57"/>
      <c r="H2082" s="57"/>
      <c r="I2082" s="44"/>
      <c r="J2082" s="44"/>
      <c r="K2082" s="44"/>
      <c r="L2082" s="152" t="s">
        <v>1247</v>
      </c>
    </row>
    <row r="2083" spans="3:15" s="59" customFormat="1" ht="21" customHeight="1">
      <c r="C2083" s="588">
        <v>1</v>
      </c>
      <c r="D2083" s="56" t="s">
        <v>5</v>
      </c>
      <c r="E2083" s="577" t="s">
        <v>6</v>
      </c>
      <c r="F2083" s="62">
        <v>0.157</v>
      </c>
      <c r="G2083" s="63">
        <f>VLOOKUP(D2083,upahbahan,3,FALSE)</f>
        <v>100000</v>
      </c>
      <c r="H2083" s="63">
        <f>F2083*G2083</f>
        <v>15700</v>
      </c>
      <c r="I2083" s="44"/>
      <c r="J2083" s="44"/>
      <c r="K2083" s="44"/>
      <c r="L2083" s="152" t="s">
        <v>1248</v>
      </c>
      <c r="O2083" s="65">
        <v>0.1</v>
      </c>
    </row>
    <row r="2084" spans="3:15" s="59" customFormat="1" ht="21" customHeight="1">
      <c r="C2084" s="588">
        <v>2</v>
      </c>
      <c r="D2084" s="56" t="s">
        <v>10</v>
      </c>
      <c r="E2084" s="577" t="s">
        <v>6</v>
      </c>
      <c r="F2084" s="62">
        <v>0.26200000000000001</v>
      </c>
      <c r="G2084" s="63">
        <f>VLOOKUP(D2084,upahbahan,3,FALSE)</f>
        <v>135000</v>
      </c>
      <c r="H2084" s="63">
        <f>F2084*G2084</f>
        <v>35370</v>
      </c>
      <c r="I2084" s="44"/>
      <c r="J2084" s="44"/>
      <c r="K2084" s="44"/>
    </row>
    <row r="2085" spans="3:15" s="59" customFormat="1" ht="21" customHeight="1">
      <c r="C2085" s="588">
        <v>3</v>
      </c>
      <c r="D2085" s="56" t="s">
        <v>18</v>
      </c>
      <c r="E2085" s="577" t="s">
        <v>6</v>
      </c>
      <c r="F2085" s="62">
        <v>2.5999999999999999E-2</v>
      </c>
      <c r="G2085" s="63">
        <f>VLOOKUP(D2085,upahbahan,3,FALSE)</f>
        <v>150000</v>
      </c>
      <c r="H2085" s="63">
        <f>F2085*G2085</f>
        <v>3900</v>
      </c>
      <c r="I2085" s="44"/>
      <c r="J2085" s="44"/>
      <c r="K2085" s="44"/>
    </row>
    <row r="2086" spans="3:15" s="59" customFormat="1" ht="21" customHeight="1">
      <c r="C2086" s="588">
        <v>4</v>
      </c>
      <c r="D2086" s="56" t="s">
        <v>19</v>
      </c>
      <c r="E2086" s="577" t="s">
        <v>6</v>
      </c>
      <c r="F2086" s="62">
        <v>8.0000000000000002E-3</v>
      </c>
      <c r="G2086" s="63">
        <f>VLOOKUP(D2086,upahbahan,3,FALSE)</f>
        <v>160000</v>
      </c>
      <c r="H2086" s="63">
        <f>F2086*G2086</f>
        <v>1280</v>
      </c>
      <c r="I2086" s="44"/>
      <c r="J2086" s="44"/>
      <c r="K2086" s="44"/>
    </row>
    <row r="2087" spans="3:15" s="59" customFormat="1" ht="21" customHeight="1">
      <c r="C2087" s="450" t="s">
        <v>1208</v>
      </c>
      <c r="D2087" s="67"/>
      <c r="E2087" s="67"/>
      <c r="F2087" s="142"/>
      <c r="G2087" s="153"/>
      <c r="H2087" s="63">
        <f>SUM(H2083:H2086)</f>
        <v>56250</v>
      </c>
      <c r="I2087" s="154"/>
      <c r="J2087" s="154"/>
      <c r="K2087" s="154"/>
    </row>
    <row r="2088" spans="3:15" s="59" customFormat="1" ht="21" customHeight="1">
      <c r="C2088" s="61" t="s">
        <v>1209</v>
      </c>
      <c r="D2088" s="56" t="s">
        <v>1210</v>
      </c>
      <c r="E2088" s="57"/>
      <c r="F2088" s="57"/>
      <c r="G2088" s="57"/>
      <c r="H2088" s="57"/>
      <c r="I2088" s="44"/>
      <c r="J2088" s="44"/>
      <c r="K2088" s="44"/>
    </row>
    <row r="2089" spans="3:15" s="59" customFormat="1" ht="21" customHeight="1">
      <c r="C2089" s="61">
        <v>1</v>
      </c>
      <c r="D2089" s="56" t="s">
        <v>4011</v>
      </c>
      <c r="E2089" s="93" t="s">
        <v>135</v>
      </c>
      <c r="F2089" s="104">
        <v>1.1499999999999999</v>
      </c>
      <c r="G2089" s="63">
        <f>VLOOKUP(D2089,upahbahan,3,FALSE)</f>
        <v>2125000</v>
      </c>
      <c r="H2089" s="586">
        <f>G2089*F2089</f>
        <v>2443750</v>
      </c>
      <c r="I2089" s="44"/>
      <c r="J2089" s="44"/>
      <c r="K2089" s="44"/>
    </row>
    <row r="2090" spans="3:15" s="59" customFormat="1" ht="21" customHeight="1">
      <c r="C2090" s="450" t="s">
        <v>1214</v>
      </c>
      <c r="D2090" s="67"/>
      <c r="E2090" s="67"/>
      <c r="F2090" s="67"/>
      <c r="G2090" s="69"/>
      <c r="H2090" s="63">
        <f>SUM(H2089:H2089)</f>
        <v>2443750</v>
      </c>
      <c r="I2090" s="44"/>
      <c r="J2090" s="44"/>
      <c r="K2090" s="44"/>
    </row>
    <row r="2091" spans="3:15" s="59" customFormat="1" ht="21" customHeight="1">
      <c r="C2091" s="61" t="s">
        <v>1215</v>
      </c>
      <c r="D2091" s="56" t="s">
        <v>1216</v>
      </c>
      <c r="E2091" s="57"/>
      <c r="F2091" s="57"/>
      <c r="G2091" s="57"/>
      <c r="H2091" s="57"/>
      <c r="I2091" s="44"/>
      <c r="J2091" s="44"/>
      <c r="K2091" s="44"/>
    </row>
    <row r="2092" spans="3:15" s="59" customFormat="1" ht="21" customHeight="1">
      <c r="C2092" s="450" t="s">
        <v>1217</v>
      </c>
      <c r="D2092" s="67"/>
      <c r="E2092" s="67"/>
      <c r="F2092" s="67"/>
      <c r="G2092" s="69"/>
      <c r="H2092" s="589">
        <v>0</v>
      </c>
      <c r="I2092" s="44"/>
      <c r="J2092" s="44"/>
      <c r="K2092" s="44"/>
    </row>
    <row r="2093" spans="3:15" s="59" customFormat="1" ht="21" customHeight="1">
      <c r="C2093" s="288" t="s">
        <v>1218</v>
      </c>
      <c r="D2093" s="76" t="s">
        <v>1219</v>
      </c>
      <c r="E2093" s="77"/>
      <c r="F2093" s="77"/>
      <c r="G2093" s="78"/>
      <c r="H2093" s="585">
        <f>H2092+H2090+H2087</f>
        <v>2500000</v>
      </c>
      <c r="I2093" s="369"/>
      <c r="J2093" s="44"/>
      <c r="K2093" s="44"/>
    </row>
    <row r="2094" spans="3:15" s="59" customFormat="1" ht="21" customHeight="1">
      <c r="C2094" s="288" t="s">
        <v>1220</v>
      </c>
      <c r="D2094" s="76" t="s">
        <v>1321</v>
      </c>
      <c r="E2094" s="77"/>
      <c r="F2094" s="78"/>
      <c r="G2094" s="80">
        <v>0.1</v>
      </c>
      <c r="H2094" s="63">
        <f>H2093*G2094</f>
        <v>250000</v>
      </c>
      <c r="I2094" s="369"/>
      <c r="J2094" s="44"/>
      <c r="K2094" s="44"/>
    </row>
    <row r="2095" spans="3:15" s="59" customFormat="1" ht="21" customHeight="1">
      <c r="C2095" s="288" t="s">
        <v>1221</v>
      </c>
      <c r="D2095" s="76" t="s">
        <v>1222</v>
      </c>
      <c r="E2095" s="77"/>
      <c r="F2095" s="77"/>
      <c r="G2095" s="78"/>
      <c r="H2095" s="799">
        <f>SUM(H2093:H2094)</f>
        <v>2750000</v>
      </c>
      <c r="I2095" s="369"/>
      <c r="J2095" s="44"/>
      <c r="K2095" s="44"/>
    </row>
    <row r="2096" spans="3:15" ht="21" customHeight="1"/>
    <row r="2097" spans="3:15" s="59" customFormat="1" ht="21" customHeight="1">
      <c r="C2097" s="147" t="s">
        <v>5329</v>
      </c>
      <c r="D2097" s="794" t="s">
        <v>4012</v>
      </c>
      <c r="E2097" s="795"/>
      <c r="F2097" s="795"/>
      <c r="G2097" s="795"/>
      <c r="H2097" s="795"/>
      <c r="I2097" s="50">
        <f>ROUNDDOWN(H2112,-2)</f>
        <v>3010100</v>
      </c>
      <c r="J2097" s="50"/>
      <c r="K2097" s="50"/>
    </row>
    <row r="2098" spans="3:15" s="59" customFormat="1" ht="21" customHeight="1">
      <c r="C2098" s="591" t="s">
        <v>1195</v>
      </c>
      <c r="D2098" s="591" t="s">
        <v>1196</v>
      </c>
      <c r="E2098" s="591" t="s">
        <v>1197</v>
      </c>
      <c r="F2098" s="591" t="s">
        <v>1198</v>
      </c>
      <c r="G2098" s="591" t="s">
        <v>1199</v>
      </c>
      <c r="H2098" s="591" t="s">
        <v>1200</v>
      </c>
      <c r="I2098" s="44"/>
      <c r="J2098" s="44"/>
      <c r="K2098" s="44"/>
    </row>
    <row r="2099" spans="3:15" s="59" customFormat="1" ht="21" customHeight="1">
      <c r="C2099" s="61" t="s">
        <v>1201</v>
      </c>
      <c r="D2099" s="56" t="s">
        <v>1202</v>
      </c>
      <c r="E2099" s="57"/>
      <c r="F2099" s="57"/>
      <c r="G2099" s="57"/>
      <c r="H2099" s="57"/>
      <c r="I2099" s="44"/>
      <c r="J2099" s="44"/>
      <c r="K2099" s="44"/>
      <c r="L2099" s="152" t="s">
        <v>1247</v>
      </c>
    </row>
    <row r="2100" spans="3:15" s="59" customFormat="1" ht="21" customHeight="1">
      <c r="C2100" s="588">
        <v>1</v>
      </c>
      <c r="D2100" s="56" t="s">
        <v>5</v>
      </c>
      <c r="E2100" s="577" t="s">
        <v>6</v>
      </c>
      <c r="F2100" s="62">
        <v>0.20699999999999999</v>
      </c>
      <c r="G2100" s="63">
        <f>VLOOKUP(D2100,upahbahan,3,FALSE)</f>
        <v>100000</v>
      </c>
      <c r="H2100" s="63">
        <f>F2100*G2100</f>
        <v>20700</v>
      </c>
      <c r="I2100" s="44"/>
      <c r="J2100" s="44"/>
      <c r="K2100" s="44"/>
      <c r="L2100" s="152" t="s">
        <v>1248</v>
      </c>
      <c r="O2100" s="65">
        <v>0.1</v>
      </c>
    </row>
    <row r="2101" spans="3:15" s="59" customFormat="1" ht="21" customHeight="1">
      <c r="C2101" s="588">
        <v>2</v>
      </c>
      <c r="D2101" s="56" t="s">
        <v>10</v>
      </c>
      <c r="E2101" s="577" t="s">
        <v>6</v>
      </c>
      <c r="F2101" s="62">
        <v>0.34599999999999997</v>
      </c>
      <c r="G2101" s="63">
        <f>VLOOKUP(D2101,upahbahan,3,FALSE)</f>
        <v>135000</v>
      </c>
      <c r="H2101" s="63">
        <f>F2101*G2101</f>
        <v>46710</v>
      </c>
      <c r="I2101" s="44"/>
      <c r="J2101" s="44"/>
      <c r="K2101" s="44"/>
    </row>
    <row r="2102" spans="3:15" s="59" customFormat="1" ht="21" customHeight="1">
      <c r="C2102" s="588">
        <v>3</v>
      </c>
      <c r="D2102" s="56" t="s">
        <v>18</v>
      </c>
      <c r="E2102" s="577" t="s">
        <v>6</v>
      </c>
      <c r="F2102" s="62">
        <v>3.5000000000000003E-2</v>
      </c>
      <c r="G2102" s="63">
        <f>VLOOKUP(D2102,upahbahan,3,FALSE)</f>
        <v>150000</v>
      </c>
      <c r="H2102" s="63">
        <f>F2102*G2102</f>
        <v>5250.0000000000009</v>
      </c>
      <c r="I2102" s="44"/>
      <c r="J2102" s="44"/>
      <c r="K2102" s="44"/>
    </row>
    <row r="2103" spans="3:15" s="59" customFormat="1" ht="21" customHeight="1">
      <c r="C2103" s="588">
        <v>4</v>
      </c>
      <c r="D2103" s="56" t="s">
        <v>19</v>
      </c>
      <c r="E2103" s="577" t="s">
        <v>6</v>
      </c>
      <c r="F2103" s="62">
        <v>0.01</v>
      </c>
      <c r="G2103" s="63">
        <f>VLOOKUP(D2103,upahbahan,3,FALSE)</f>
        <v>160000</v>
      </c>
      <c r="H2103" s="63">
        <f>F2103*G2103</f>
        <v>1600</v>
      </c>
      <c r="I2103" s="44"/>
      <c r="J2103" s="44"/>
      <c r="K2103" s="44"/>
    </row>
    <row r="2104" spans="3:15" s="59" customFormat="1" ht="21" customHeight="1">
      <c r="C2104" s="450" t="s">
        <v>1208</v>
      </c>
      <c r="D2104" s="67"/>
      <c r="E2104" s="67"/>
      <c r="F2104" s="142"/>
      <c r="G2104" s="153"/>
      <c r="H2104" s="63">
        <f>SUM(H2100:H2103)</f>
        <v>74260</v>
      </c>
      <c r="I2104" s="154"/>
      <c r="J2104" s="154"/>
      <c r="K2104" s="154"/>
    </row>
    <row r="2105" spans="3:15" s="59" customFormat="1" ht="21" customHeight="1">
      <c r="C2105" s="61" t="s">
        <v>1209</v>
      </c>
      <c r="D2105" s="56" t="s">
        <v>1210</v>
      </c>
      <c r="E2105" s="57"/>
      <c r="F2105" s="57"/>
      <c r="G2105" s="57"/>
      <c r="H2105" s="57"/>
      <c r="I2105" s="44"/>
      <c r="J2105" s="44"/>
      <c r="K2105" s="44"/>
    </row>
    <row r="2106" spans="3:15" s="59" customFormat="1" ht="21" customHeight="1">
      <c r="C2106" s="61">
        <v>1</v>
      </c>
      <c r="D2106" s="56" t="s">
        <v>4013</v>
      </c>
      <c r="E2106" s="93" t="s">
        <v>135</v>
      </c>
      <c r="F2106" s="104">
        <v>1.1499999999999999</v>
      </c>
      <c r="G2106" s="63">
        <f>VLOOKUP(D2106,upahbahan,3,FALSE)</f>
        <v>2315000</v>
      </c>
      <c r="H2106" s="586">
        <f>G2106*F2106</f>
        <v>2662250</v>
      </c>
      <c r="I2106" s="44"/>
      <c r="J2106" s="44"/>
      <c r="K2106" s="44"/>
    </row>
    <row r="2107" spans="3:15" s="59" customFormat="1" ht="21" customHeight="1">
      <c r="C2107" s="450" t="s">
        <v>1214</v>
      </c>
      <c r="D2107" s="67"/>
      <c r="E2107" s="67"/>
      <c r="F2107" s="67"/>
      <c r="G2107" s="69"/>
      <c r="H2107" s="63">
        <f>SUM(H2106:H2106)</f>
        <v>2662250</v>
      </c>
      <c r="I2107" s="44"/>
      <c r="J2107" s="44"/>
      <c r="K2107" s="44"/>
    </row>
    <row r="2108" spans="3:15" s="59" customFormat="1" ht="21" customHeight="1">
      <c r="C2108" s="61" t="s">
        <v>1215</v>
      </c>
      <c r="D2108" s="56" t="s">
        <v>1216</v>
      </c>
      <c r="E2108" s="57"/>
      <c r="F2108" s="57"/>
      <c r="G2108" s="57"/>
      <c r="H2108" s="57"/>
      <c r="I2108" s="44"/>
      <c r="J2108" s="44"/>
      <c r="K2108" s="44"/>
    </row>
    <row r="2109" spans="3:15" s="59" customFormat="1" ht="21" customHeight="1">
      <c r="C2109" s="450" t="s">
        <v>1217</v>
      </c>
      <c r="D2109" s="67"/>
      <c r="E2109" s="67"/>
      <c r="F2109" s="67"/>
      <c r="G2109" s="69"/>
      <c r="H2109" s="589">
        <v>0</v>
      </c>
      <c r="I2109" s="44"/>
      <c r="J2109" s="44"/>
      <c r="K2109" s="44"/>
    </row>
    <row r="2110" spans="3:15" s="59" customFormat="1" ht="21" customHeight="1">
      <c r="C2110" s="288" t="s">
        <v>1218</v>
      </c>
      <c r="D2110" s="76" t="s">
        <v>1219</v>
      </c>
      <c r="E2110" s="77"/>
      <c r="F2110" s="77"/>
      <c r="G2110" s="78"/>
      <c r="H2110" s="585">
        <f>H2109+H2107+H2104</f>
        <v>2736510</v>
      </c>
      <c r="I2110" s="369"/>
      <c r="J2110" s="44"/>
      <c r="K2110" s="44"/>
    </row>
    <row r="2111" spans="3:15" s="59" customFormat="1" ht="21" customHeight="1">
      <c r="C2111" s="288" t="s">
        <v>1220</v>
      </c>
      <c r="D2111" s="76" t="s">
        <v>1321</v>
      </c>
      <c r="E2111" s="77"/>
      <c r="F2111" s="78"/>
      <c r="G2111" s="80">
        <v>0.1</v>
      </c>
      <c r="H2111" s="63">
        <f>H2110*G2111</f>
        <v>273651</v>
      </c>
      <c r="I2111" s="369"/>
      <c r="J2111" s="44"/>
      <c r="K2111" s="44"/>
    </row>
    <row r="2112" spans="3:15" s="59" customFormat="1" ht="21" customHeight="1">
      <c r="C2112" s="288" t="s">
        <v>1221</v>
      </c>
      <c r="D2112" s="76" t="s">
        <v>1222</v>
      </c>
      <c r="E2112" s="77"/>
      <c r="F2112" s="77"/>
      <c r="G2112" s="78"/>
      <c r="H2112" s="799">
        <f>SUM(H2110:H2111)</f>
        <v>3010161</v>
      </c>
      <c r="I2112" s="369"/>
      <c r="J2112" s="44"/>
      <c r="K2112" s="44"/>
    </row>
    <row r="2113" spans="3:15" ht="21" customHeight="1"/>
    <row r="2114" spans="3:15" s="59" customFormat="1" ht="21" customHeight="1">
      <c r="C2114" s="147" t="s">
        <v>5330</v>
      </c>
      <c r="D2114" s="794" t="s">
        <v>4014</v>
      </c>
      <c r="E2114" s="795"/>
      <c r="F2114" s="795"/>
      <c r="G2114" s="795"/>
      <c r="H2114" s="795"/>
      <c r="I2114" s="50">
        <f>ROUNDDOWN(H2129,-2)</f>
        <v>3233100</v>
      </c>
      <c r="J2114" s="50"/>
      <c r="K2114" s="50"/>
    </row>
    <row r="2115" spans="3:15" s="59" customFormat="1" ht="21" customHeight="1">
      <c r="C2115" s="591" t="s">
        <v>1195</v>
      </c>
      <c r="D2115" s="591" t="s">
        <v>1196</v>
      </c>
      <c r="E2115" s="591" t="s">
        <v>1197</v>
      </c>
      <c r="F2115" s="591" t="s">
        <v>1198</v>
      </c>
      <c r="G2115" s="591" t="s">
        <v>1199</v>
      </c>
      <c r="H2115" s="591" t="s">
        <v>1200</v>
      </c>
      <c r="I2115" s="44"/>
      <c r="J2115" s="44"/>
      <c r="K2115" s="44"/>
    </row>
    <row r="2116" spans="3:15" s="59" customFormat="1" ht="21" customHeight="1">
      <c r="C2116" s="61" t="s">
        <v>1201</v>
      </c>
      <c r="D2116" s="56" t="s">
        <v>1202</v>
      </c>
      <c r="E2116" s="57"/>
      <c r="F2116" s="57"/>
      <c r="G2116" s="57"/>
      <c r="H2116" s="57"/>
      <c r="I2116" s="44"/>
      <c r="J2116" s="44"/>
      <c r="K2116" s="44"/>
      <c r="L2116" s="152" t="s">
        <v>1247</v>
      </c>
    </row>
    <row r="2117" spans="3:15" s="59" customFormat="1" ht="21" customHeight="1">
      <c r="C2117" s="588">
        <v>1</v>
      </c>
      <c r="D2117" s="56" t="s">
        <v>5</v>
      </c>
      <c r="E2117" s="577" t="s">
        <v>6</v>
      </c>
      <c r="F2117" s="62">
        <v>0.26</v>
      </c>
      <c r="G2117" s="63">
        <f>VLOOKUP(D2117,upahbahan,3,FALSE)</f>
        <v>100000</v>
      </c>
      <c r="H2117" s="63">
        <f>F2117*G2117</f>
        <v>26000</v>
      </c>
      <c r="I2117" s="44"/>
      <c r="J2117" s="44"/>
      <c r="K2117" s="44"/>
      <c r="L2117" s="152" t="s">
        <v>1248</v>
      </c>
      <c r="O2117" s="65">
        <v>0.1</v>
      </c>
    </row>
    <row r="2118" spans="3:15" s="59" customFormat="1" ht="21" customHeight="1">
      <c r="C2118" s="588">
        <v>2</v>
      </c>
      <c r="D2118" s="56" t="s">
        <v>10</v>
      </c>
      <c r="E2118" s="577" t="s">
        <v>6</v>
      </c>
      <c r="F2118" s="62">
        <v>0.433</v>
      </c>
      <c r="G2118" s="63">
        <f>VLOOKUP(D2118,upahbahan,3,FALSE)</f>
        <v>135000</v>
      </c>
      <c r="H2118" s="63">
        <f>F2118*G2118</f>
        <v>58455</v>
      </c>
      <c r="I2118" s="44"/>
      <c r="J2118" s="44"/>
      <c r="K2118" s="44"/>
    </row>
    <row r="2119" spans="3:15" s="59" customFormat="1" ht="21" customHeight="1">
      <c r="C2119" s="588">
        <v>3</v>
      </c>
      <c r="D2119" s="56" t="s">
        <v>18</v>
      </c>
      <c r="E2119" s="577" t="s">
        <v>6</v>
      </c>
      <c r="F2119" s="62">
        <v>4.2999999999999997E-2</v>
      </c>
      <c r="G2119" s="63">
        <f>VLOOKUP(D2119,upahbahan,3,FALSE)</f>
        <v>150000</v>
      </c>
      <c r="H2119" s="63">
        <f>F2119*G2119</f>
        <v>6449.9999999999991</v>
      </c>
      <c r="I2119" s="44"/>
      <c r="J2119" s="44"/>
      <c r="K2119" s="44"/>
    </row>
    <row r="2120" spans="3:15" s="59" customFormat="1" ht="21" customHeight="1">
      <c r="C2120" s="588">
        <v>4</v>
      </c>
      <c r="D2120" s="56" t="s">
        <v>19</v>
      </c>
      <c r="E2120" s="577" t="s">
        <v>6</v>
      </c>
      <c r="F2120" s="62">
        <v>1.2999999999999999E-2</v>
      </c>
      <c r="G2120" s="63">
        <f>VLOOKUP(D2120,upahbahan,3,FALSE)</f>
        <v>160000</v>
      </c>
      <c r="H2120" s="63">
        <f>F2120*G2120</f>
        <v>2080</v>
      </c>
      <c r="I2120" s="44"/>
      <c r="J2120" s="44"/>
      <c r="K2120" s="44"/>
    </row>
    <row r="2121" spans="3:15" s="59" customFormat="1" ht="21" customHeight="1">
      <c r="C2121" s="450" t="s">
        <v>1208</v>
      </c>
      <c r="D2121" s="67"/>
      <c r="E2121" s="67"/>
      <c r="F2121" s="142"/>
      <c r="G2121" s="153"/>
      <c r="H2121" s="63">
        <f>SUM(H2117:H2120)</f>
        <v>92985</v>
      </c>
      <c r="I2121" s="154"/>
      <c r="J2121" s="154"/>
      <c r="K2121" s="154"/>
    </row>
    <row r="2122" spans="3:15" s="59" customFormat="1" ht="21" customHeight="1">
      <c r="C2122" s="61" t="s">
        <v>1209</v>
      </c>
      <c r="D2122" s="56" t="s">
        <v>1210</v>
      </c>
      <c r="E2122" s="57"/>
      <c r="F2122" s="57"/>
      <c r="G2122" s="57"/>
      <c r="H2122" s="57"/>
      <c r="I2122" s="44"/>
      <c r="J2122" s="44"/>
      <c r="K2122" s="44"/>
    </row>
    <row r="2123" spans="3:15" s="59" customFormat="1" ht="21" customHeight="1">
      <c r="C2123" s="61">
        <v>1</v>
      </c>
      <c r="D2123" s="56" t="s">
        <v>4015</v>
      </c>
      <c r="E2123" s="93" t="s">
        <v>135</v>
      </c>
      <c r="F2123" s="104">
        <v>1.1499999999999999</v>
      </c>
      <c r="G2123" s="63">
        <f>VLOOKUP(D2123,upahbahan,3,FALSE)</f>
        <v>2475000</v>
      </c>
      <c r="H2123" s="586">
        <f>G2123*F2123</f>
        <v>2846250</v>
      </c>
      <c r="I2123" s="44"/>
      <c r="J2123" s="44"/>
      <c r="K2123" s="44"/>
    </row>
    <row r="2124" spans="3:15" s="59" customFormat="1" ht="21" customHeight="1">
      <c r="C2124" s="450" t="s">
        <v>1214</v>
      </c>
      <c r="D2124" s="67"/>
      <c r="E2124" s="67"/>
      <c r="F2124" s="67"/>
      <c r="G2124" s="69"/>
      <c r="H2124" s="63">
        <f>SUM(H2123:H2123)</f>
        <v>2846250</v>
      </c>
      <c r="I2124" s="44"/>
      <c r="J2124" s="44"/>
      <c r="K2124" s="44"/>
    </row>
    <row r="2125" spans="3:15" s="59" customFormat="1" ht="21" customHeight="1">
      <c r="C2125" s="61" t="s">
        <v>1215</v>
      </c>
      <c r="D2125" s="56" t="s">
        <v>1216</v>
      </c>
      <c r="E2125" s="57"/>
      <c r="F2125" s="57"/>
      <c r="G2125" s="57"/>
      <c r="H2125" s="57"/>
      <c r="I2125" s="44"/>
      <c r="J2125" s="44"/>
      <c r="K2125" s="44"/>
    </row>
    <row r="2126" spans="3:15" s="59" customFormat="1" ht="21" customHeight="1">
      <c r="C2126" s="450" t="s">
        <v>1217</v>
      </c>
      <c r="D2126" s="67"/>
      <c r="E2126" s="67"/>
      <c r="F2126" s="67"/>
      <c r="G2126" s="69"/>
      <c r="H2126" s="589">
        <v>0</v>
      </c>
      <c r="I2126" s="44"/>
      <c r="J2126" s="44"/>
      <c r="K2126" s="44"/>
    </row>
    <row r="2127" spans="3:15" s="59" customFormat="1" ht="21" customHeight="1">
      <c r="C2127" s="288" t="s">
        <v>1218</v>
      </c>
      <c r="D2127" s="76" t="s">
        <v>1219</v>
      </c>
      <c r="E2127" s="77"/>
      <c r="F2127" s="77"/>
      <c r="G2127" s="78"/>
      <c r="H2127" s="585">
        <f>H2126+H2124+H2121</f>
        <v>2939235</v>
      </c>
      <c r="I2127" s="369"/>
      <c r="J2127" s="44"/>
      <c r="K2127" s="44"/>
    </row>
    <row r="2128" spans="3:15" s="59" customFormat="1" ht="21" customHeight="1">
      <c r="C2128" s="288" t="s">
        <v>1220</v>
      </c>
      <c r="D2128" s="76" t="s">
        <v>1321</v>
      </c>
      <c r="E2128" s="77"/>
      <c r="F2128" s="78"/>
      <c r="G2128" s="80">
        <v>0.1</v>
      </c>
      <c r="H2128" s="63">
        <f>H2127*G2128</f>
        <v>293923.5</v>
      </c>
      <c r="I2128" s="369"/>
      <c r="J2128" s="44"/>
      <c r="K2128" s="44"/>
    </row>
    <row r="2129" spans="3:15" s="59" customFormat="1" ht="21" customHeight="1">
      <c r="C2129" s="288" t="s">
        <v>1221</v>
      </c>
      <c r="D2129" s="76" t="s">
        <v>1222</v>
      </c>
      <c r="E2129" s="77"/>
      <c r="F2129" s="77"/>
      <c r="G2129" s="78"/>
      <c r="H2129" s="799">
        <f>SUM(H2127:H2128)</f>
        <v>3233158.5</v>
      </c>
      <c r="I2129" s="369"/>
      <c r="J2129" s="44"/>
      <c r="K2129" s="44"/>
    </row>
    <row r="2130" spans="3:15" ht="21" customHeight="1"/>
    <row r="2131" spans="3:15" ht="21" customHeight="1"/>
    <row r="2132" spans="3:15" s="59" customFormat="1" ht="21" customHeight="1">
      <c r="C2132" s="147" t="s">
        <v>5331</v>
      </c>
      <c r="D2132" s="794" t="s">
        <v>4016</v>
      </c>
      <c r="E2132" s="795"/>
      <c r="F2132" s="795"/>
      <c r="G2132" s="795"/>
      <c r="H2132" s="795"/>
      <c r="I2132" s="50">
        <f>ROUNDDOWN(H2147,-2)</f>
        <v>4118400</v>
      </c>
      <c r="J2132" s="50"/>
      <c r="K2132" s="50"/>
    </row>
    <row r="2133" spans="3:15" s="59" customFormat="1" ht="21" customHeight="1">
      <c r="C2133" s="591" t="s">
        <v>1195</v>
      </c>
      <c r="D2133" s="591" t="s">
        <v>1196</v>
      </c>
      <c r="E2133" s="591" t="s">
        <v>1197</v>
      </c>
      <c r="F2133" s="591" t="s">
        <v>1198</v>
      </c>
      <c r="G2133" s="591" t="s">
        <v>1199</v>
      </c>
      <c r="H2133" s="591" t="s">
        <v>1200</v>
      </c>
      <c r="I2133" s="44"/>
      <c r="J2133" s="44"/>
      <c r="K2133" s="44"/>
    </row>
    <row r="2134" spans="3:15" s="59" customFormat="1" ht="21" customHeight="1">
      <c r="C2134" s="61" t="s">
        <v>1201</v>
      </c>
      <c r="D2134" s="56" t="s">
        <v>1202</v>
      </c>
      <c r="E2134" s="57"/>
      <c r="F2134" s="57"/>
      <c r="G2134" s="57"/>
      <c r="H2134" s="57"/>
      <c r="I2134" s="44"/>
      <c r="J2134" s="44"/>
      <c r="K2134" s="44"/>
      <c r="L2134" s="152" t="s">
        <v>1247</v>
      </c>
    </row>
    <row r="2135" spans="3:15" s="59" customFormat="1" ht="21" customHeight="1">
      <c r="C2135" s="588">
        <v>1</v>
      </c>
      <c r="D2135" s="56" t="s">
        <v>5</v>
      </c>
      <c r="E2135" s="577" t="s">
        <v>6</v>
      </c>
      <c r="F2135" s="62">
        <v>0.47099999999999997</v>
      </c>
      <c r="G2135" s="63">
        <f>VLOOKUP(D2135,upahbahan,3,FALSE)</f>
        <v>100000</v>
      </c>
      <c r="H2135" s="63">
        <f>F2135*G2135</f>
        <v>47100</v>
      </c>
      <c r="I2135" s="44"/>
      <c r="J2135" s="44"/>
      <c r="K2135" s="44"/>
      <c r="L2135" s="152" t="s">
        <v>1248</v>
      </c>
      <c r="O2135" s="65">
        <v>0.1</v>
      </c>
    </row>
    <row r="2136" spans="3:15" s="59" customFormat="1" ht="21" customHeight="1">
      <c r="C2136" s="588">
        <v>2</v>
      </c>
      <c r="D2136" s="56" t="s">
        <v>10</v>
      </c>
      <c r="E2136" s="577" t="s">
        <v>6</v>
      </c>
      <c r="F2136" s="62">
        <v>0.78700000000000003</v>
      </c>
      <c r="G2136" s="63">
        <f>VLOOKUP(D2136,upahbahan,3,FALSE)</f>
        <v>135000</v>
      </c>
      <c r="H2136" s="63">
        <f>F2136*G2136</f>
        <v>106245</v>
      </c>
      <c r="I2136" s="44"/>
      <c r="J2136" s="44"/>
      <c r="K2136" s="44"/>
    </row>
    <row r="2137" spans="3:15" s="59" customFormat="1" ht="21" customHeight="1">
      <c r="C2137" s="588">
        <v>3</v>
      </c>
      <c r="D2137" s="56" t="s">
        <v>18</v>
      </c>
      <c r="E2137" s="577" t="s">
        <v>6</v>
      </c>
      <c r="F2137" s="62">
        <v>7.9000000000000001E-2</v>
      </c>
      <c r="G2137" s="63">
        <f>VLOOKUP(D2137,upahbahan,3,FALSE)</f>
        <v>150000</v>
      </c>
      <c r="H2137" s="63">
        <f>F2137*G2137</f>
        <v>11850</v>
      </c>
      <c r="I2137" s="44"/>
      <c r="J2137" s="44"/>
      <c r="K2137" s="44"/>
    </row>
    <row r="2138" spans="3:15" s="59" customFormat="1" ht="21" customHeight="1">
      <c r="C2138" s="588">
        <v>4</v>
      </c>
      <c r="D2138" s="56" t="s">
        <v>19</v>
      </c>
      <c r="E2138" s="577" t="s">
        <v>6</v>
      </c>
      <c r="F2138" s="62">
        <v>2.4E-2</v>
      </c>
      <c r="G2138" s="63">
        <f>VLOOKUP(D2138,upahbahan,3,FALSE)</f>
        <v>160000</v>
      </c>
      <c r="H2138" s="63">
        <f>F2138*G2138</f>
        <v>3840</v>
      </c>
      <c r="I2138" s="44"/>
      <c r="J2138" s="44"/>
      <c r="K2138" s="44"/>
    </row>
    <row r="2139" spans="3:15" s="59" customFormat="1" ht="21" customHeight="1">
      <c r="C2139" s="450" t="s">
        <v>1208</v>
      </c>
      <c r="D2139" s="67"/>
      <c r="E2139" s="67"/>
      <c r="F2139" s="142"/>
      <c r="G2139" s="153"/>
      <c r="H2139" s="63">
        <f>SUM(H2135:H2138)</f>
        <v>169035</v>
      </c>
      <c r="I2139" s="154"/>
      <c r="J2139" s="154"/>
      <c r="K2139" s="154"/>
    </row>
    <row r="2140" spans="3:15" s="59" customFormat="1" ht="21" customHeight="1">
      <c r="C2140" s="61" t="s">
        <v>1209</v>
      </c>
      <c r="D2140" s="56" t="s">
        <v>1210</v>
      </c>
      <c r="E2140" s="57"/>
      <c r="F2140" s="57"/>
      <c r="G2140" s="57"/>
      <c r="H2140" s="57"/>
      <c r="I2140" s="44"/>
      <c r="J2140" s="44"/>
      <c r="K2140" s="44"/>
    </row>
    <row r="2141" spans="3:15" s="59" customFormat="1" ht="21" customHeight="1">
      <c r="C2141" s="61">
        <v>1</v>
      </c>
      <c r="D2141" s="56" t="s">
        <v>4017</v>
      </c>
      <c r="E2141" s="93" t="s">
        <v>135</v>
      </c>
      <c r="F2141" s="104">
        <v>1.3</v>
      </c>
      <c r="G2141" s="63">
        <f>VLOOKUP(D2141,upahbahan,3,FALSE)</f>
        <v>2750000</v>
      </c>
      <c r="H2141" s="586">
        <f>G2141*F2141</f>
        <v>3575000</v>
      </c>
      <c r="I2141" s="44"/>
      <c r="J2141" s="44"/>
      <c r="K2141" s="44"/>
    </row>
    <row r="2142" spans="3:15" s="59" customFormat="1" ht="21" customHeight="1">
      <c r="C2142" s="450" t="s">
        <v>1214</v>
      </c>
      <c r="D2142" s="67"/>
      <c r="E2142" s="67"/>
      <c r="F2142" s="67"/>
      <c r="G2142" s="69"/>
      <c r="H2142" s="63">
        <f>SUM(H2141:H2141)</f>
        <v>3575000</v>
      </c>
      <c r="I2142" s="44"/>
      <c r="J2142" s="44"/>
      <c r="K2142" s="44"/>
    </row>
    <row r="2143" spans="3:15" s="59" customFormat="1" ht="21" customHeight="1">
      <c r="C2143" s="61" t="s">
        <v>1215</v>
      </c>
      <c r="D2143" s="56" t="s">
        <v>1216</v>
      </c>
      <c r="E2143" s="57"/>
      <c r="F2143" s="57"/>
      <c r="G2143" s="57"/>
      <c r="H2143" s="57"/>
      <c r="I2143" s="44"/>
      <c r="J2143" s="44"/>
      <c r="K2143" s="44"/>
    </row>
    <row r="2144" spans="3:15" s="59" customFormat="1" ht="21" customHeight="1">
      <c r="C2144" s="450" t="s">
        <v>1217</v>
      </c>
      <c r="D2144" s="67"/>
      <c r="E2144" s="67"/>
      <c r="F2144" s="67"/>
      <c r="G2144" s="69"/>
      <c r="H2144" s="589">
        <v>0</v>
      </c>
      <c r="I2144" s="44"/>
      <c r="J2144" s="44"/>
      <c r="K2144" s="44"/>
    </row>
    <row r="2145" spans="3:15" s="59" customFormat="1" ht="21" customHeight="1">
      <c r="C2145" s="288" t="s">
        <v>1218</v>
      </c>
      <c r="D2145" s="76" t="s">
        <v>1219</v>
      </c>
      <c r="E2145" s="77"/>
      <c r="F2145" s="77"/>
      <c r="G2145" s="78"/>
      <c r="H2145" s="585">
        <f>H2144+H2142+H2139</f>
        <v>3744035</v>
      </c>
      <c r="I2145" s="369"/>
      <c r="J2145" s="44"/>
      <c r="K2145" s="44"/>
    </row>
    <row r="2146" spans="3:15" s="59" customFormat="1" ht="21" customHeight="1">
      <c r="C2146" s="288" t="s">
        <v>1220</v>
      </c>
      <c r="D2146" s="76" t="s">
        <v>1321</v>
      </c>
      <c r="E2146" s="77"/>
      <c r="F2146" s="78"/>
      <c r="G2146" s="80">
        <v>0.1</v>
      </c>
      <c r="H2146" s="63">
        <f>H2145*G2146</f>
        <v>374403.5</v>
      </c>
      <c r="I2146" s="369"/>
      <c r="J2146" s="44"/>
      <c r="K2146" s="44"/>
    </row>
    <row r="2147" spans="3:15" s="59" customFormat="1" ht="21" customHeight="1">
      <c r="C2147" s="288" t="s">
        <v>1221</v>
      </c>
      <c r="D2147" s="76" t="s">
        <v>1222</v>
      </c>
      <c r="E2147" s="77"/>
      <c r="F2147" s="77"/>
      <c r="G2147" s="78"/>
      <c r="H2147" s="799">
        <f>SUM(H2145:H2146)</f>
        <v>4118438.5</v>
      </c>
      <c r="I2147" s="369"/>
      <c r="J2147" s="44"/>
      <c r="K2147" s="44"/>
    </row>
    <row r="2148" spans="3:15" ht="21" customHeight="1"/>
    <row r="2149" spans="3:15" s="59" customFormat="1" ht="21" customHeight="1">
      <c r="C2149" s="147" t="s">
        <v>5332</v>
      </c>
      <c r="D2149" s="794" t="s">
        <v>4018</v>
      </c>
      <c r="E2149" s="795"/>
      <c r="F2149" s="795"/>
      <c r="G2149" s="795"/>
      <c r="H2149" s="795"/>
      <c r="I2149" s="50">
        <f>ROUNDDOWN(H2164,-2)</f>
        <v>4531700</v>
      </c>
      <c r="J2149" s="50"/>
      <c r="K2149" s="50"/>
    </row>
    <row r="2150" spans="3:15" s="59" customFormat="1" ht="21" customHeight="1">
      <c r="C2150" s="591" t="s">
        <v>1195</v>
      </c>
      <c r="D2150" s="591" t="s">
        <v>1196</v>
      </c>
      <c r="E2150" s="591" t="s">
        <v>1197</v>
      </c>
      <c r="F2150" s="591" t="s">
        <v>1198</v>
      </c>
      <c r="G2150" s="591" t="s">
        <v>1199</v>
      </c>
      <c r="H2150" s="591" t="s">
        <v>1200</v>
      </c>
      <c r="I2150" s="44"/>
      <c r="J2150" s="44"/>
      <c r="K2150" s="44"/>
    </row>
    <row r="2151" spans="3:15" s="59" customFormat="1" ht="21" customHeight="1">
      <c r="C2151" s="61" t="s">
        <v>1201</v>
      </c>
      <c r="D2151" s="56" t="s">
        <v>1202</v>
      </c>
      <c r="E2151" s="57"/>
      <c r="F2151" s="57"/>
      <c r="G2151" s="57"/>
      <c r="H2151" s="57"/>
      <c r="I2151" s="44"/>
      <c r="J2151" s="44"/>
      <c r="K2151" s="44"/>
      <c r="L2151" s="152" t="s">
        <v>1247</v>
      </c>
    </row>
    <row r="2152" spans="3:15" s="59" customFormat="1" ht="21" customHeight="1">
      <c r="C2152" s="588">
        <v>1</v>
      </c>
      <c r="D2152" s="56" t="s">
        <v>5</v>
      </c>
      <c r="E2152" s="577" t="s">
        <v>6</v>
      </c>
      <c r="F2152" s="62">
        <v>0.63100000000000001</v>
      </c>
      <c r="G2152" s="63">
        <f>VLOOKUP(D2152,upahbahan,3,FALSE)</f>
        <v>100000</v>
      </c>
      <c r="H2152" s="63">
        <f>F2152*G2152</f>
        <v>63100</v>
      </c>
      <c r="I2152" s="44"/>
      <c r="J2152" s="44"/>
      <c r="K2152" s="44"/>
      <c r="L2152" s="152" t="s">
        <v>1248</v>
      </c>
      <c r="O2152" s="65">
        <v>0.1</v>
      </c>
    </row>
    <row r="2153" spans="3:15" s="59" customFormat="1" ht="21" customHeight="1">
      <c r="C2153" s="588">
        <v>2</v>
      </c>
      <c r="D2153" s="56" t="s">
        <v>10</v>
      </c>
      <c r="E2153" s="577" t="s">
        <v>6</v>
      </c>
      <c r="F2153" s="62">
        <v>1.054</v>
      </c>
      <c r="G2153" s="63">
        <f>VLOOKUP(D2153,upahbahan,3,FALSE)</f>
        <v>135000</v>
      </c>
      <c r="H2153" s="63">
        <f>F2153*G2153</f>
        <v>142290</v>
      </c>
      <c r="I2153" s="44"/>
      <c r="J2153" s="44"/>
      <c r="K2153" s="44"/>
    </row>
    <row r="2154" spans="3:15" s="59" customFormat="1" ht="21" customHeight="1">
      <c r="C2154" s="588">
        <v>3</v>
      </c>
      <c r="D2154" s="56" t="s">
        <v>18</v>
      </c>
      <c r="E2154" s="577" t="s">
        <v>6</v>
      </c>
      <c r="F2154" s="62">
        <v>0.105</v>
      </c>
      <c r="G2154" s="63">
        <f>VLOOKUP(D2154,upahbahan,3,FALSE)</f>
        <v>150000</v>
      </c>
      <c r="H2154" s="63">
        <f>F2154*G2154</f>
        <v>15750</v>
      </c>
      <c r="I2154" s="44"/>
      <c r="J2154" s="44"/>
      <c r="K2154" s="44"/>
    </row>
    <row r="2155" spans="3:15" s="59" customFormat="1" ht="21" customHeight="1">
      <c r="C2155" s="588">
        <v>4</v>
      </c>
      <c r="D2155" s="56" t="s">
        <v>19</v>
      </c>
      <c r="E2155" s="577" t="s">
        <v>6</v>
      </c>
      <c r="F2155" s="62">
        <v>3.2000000000000001E-2</v>
      </c>
      <c r="G2155" s="63">
        <f>VLOOKUP(D2155,upahbahan,3,FALSE)</f>
        <v>160000</v>
      </c>
      <c r="H2155" s="63">
        <f>F2155*G2155</f>
        <v>5120</v>
      </c>
      <c r="I2155" s="44"/>
      <c r="J2155" s="44"/>
      <c r="K2155" s="44"/>
    </row>
    <row r="2156" spans="3:15" s="59" customFormat="1" ht="21" customHeight="1">
      <c r="C2156" s="450" t="s">
        <v>1208</v>
      </c>
      <c r="D2156" s="67"/>
      <c r="E2156" s="67"/>
      <c r="F2156" s="142"/>
      <c r="G2156" s="153"/>
      <c r="H2156" s="63">
        <f>SUM(H2152:H2155)</f>
        <v>226260</v>
      </c>
      <c r="I2156" s="154"/>
      <c r="J2156" s="154"/>
      <c r="K2156" s="154"/>
    </row>
    <row r="2157" spans="3:15" s="59" customFormat="1" ht="21" customHeight="1">
      <c r="C2157" s="61" t="s">
        <v>1209</v>
      </c>
      <c r="D2157" s="56" t="s">
        <v>1210</v>
      </c>
      <c r="E2157" s="57"/>
      <c r="F2157" s="57"/>
      <c r="G2157" s="57"/>
      <c r="H2157" s="57"/>
      <c r="I2157" s="44"/>
      <c r="J2157" s="44"/>
      <c r="K2157" s="44"/>
    </row>
    <row r="2158" spans="3:15" s="59" customFormat="1" ht="21" customHeight="1">
      <c r="C2158" s="61">
        <v>1</v>
      </c>
      <c r="D2158" s="56" t="s">
        <v>4019</v>
      </c>
      <c r="E2158" s="93" t="s">
        <v>135</v>
      </c>
      <c r="F2158" s="104">
        <v>1.3</v>
      </c>
      <c r="G2158" s="63">
        <f>VLOOKUP(D2158,upahbahan,3,FALSE)</f>
        <v>2995000</v>
      </c>
      <c r="H2158" s="586">
        <f>G2158*F2158</f>
        <v>3893500</v>
      </c>
      <c r="I2158" s="44"/>
      <c r="J2158" s="44"/>
      <c r="K2158" s="44"/>
    </row>
    <row r="2159" spans="3:15" s="59" customFormat="1" ht="21" customHeight="1">
      <c r="C2159" s="450" t="s">
        <v>1214</v>
      </c>
      <c r="D2159" s="67"/>
      <c r="E2159" s="67"/>
      <c r="F2159" s="67"/>
      <c r="G2159" s="69"/>
      <c r="H2159" s="63">
        <f>SUM(H2158:H2158)</f>
        <v>3893500</v>
      </c>
      <c r="I2159" s="44"/>
      <c r="J2159" s="44"/>
      <c r="K2159" s="44"/>
    </row>
    <row r="2160" spans="3:15" s="59" customFormat="1" ht="21" customHeight="1">
      <c r="C2160" s="61" t="s">
        <v>1215</v>
      </c>
      <c r="D2160" s="56" t="s">
        <v>1216</v>
      </c>
      <c r="E2160" s="57"/>
      <c r="F2160" s="57"/>
      <c r="G2160" s="57"/>
      <c r="H2160" s="57"/>
      <c r="I2160" s="44"/>
      <c r="J2160" s="44"/>
      <c r="K2160" s="44"/>
    </row>
    <row r="2161" spans="3:15" s="59" customFormat="1" ht="21" customHeight="1">
      <c r="C2161" s="450" t="s">
        <v>1217</v>
      </c>
      <c r="D2161" s="67"/>
      <c r="E2161" s="67"/>
      <c r="F2161" s="67"/>
      <c r="G2161" s="69"/>
      <c r="H2161" s="589">
        <v>0</v>
      </c>
      <c r="I2161" s="44"/>
      <c r="J2161" s="44"/>
      <c r="K2161" s="44"/>
    </row>
    <row r="2162" spans="3:15" s="59" customFormat="1" ht="21" customHeight="1">
      <c r="C2162" s="288" t="s">
        <v>1218</v>
      </c>
      <c r="D2162" s="76" t="s">
        <v>1219</v>
      </c>
      <c r="E2162" s="77"/>
      <c r="F2162" s="77"/>
      <c r="G2162" s="78"/>
      <c r="H2162" s="585">
        <f>H2161+H2159+H2156</f>
        <v>4119760</v>
      </c>
      <c r="I2162" s="369"/>
      <c r="J2162" s="44"/>
      <c r="K2162" s="44"/>
    </row>
    <row r="2163" spans="3:15" s="59" customFormat="1" ht="21" customHeight="1">
      <c r="C2163" s="288" t="s">
        <v>1220</v>
      </c>
      <c r="D2163" s="76" t="s">
        <v>1321</v>
      </c>
      <c r="E2163" s="77"/>
      <c r="F2163" s="78"/>
      <c r="G2163" s="80">
        <v>0.1</v>
      </c>
      <c r="H2163" s="63">
        <f>H2162*G2163</f>
        <v>411976</v>
      </c>
      <c r="I2163" s="369"/>
      <c r="J2163" s="44"/>
      <c r="K2163" s="44"/>
    </row>
    <row r="2164" spans="3:15" s="59" customFormat="1" ht="21" customHeight="1">
      <c r="C2164" s="288" t="s">
        <v>1221</v>
      </c>
      <c r="D2164" s="76" t="s">
        <v>1222</v>
      </c>
      <c r="E2164" s="77"/>
      <c r="F2164" s="77"/>
      <c r="G2164" s="78"/>
      <c r="H2164" s="799">
        <f>SUM(H2162:H2163)</f>
        <v>4531736</v>
      </c>
      <c r="I2164" s="369"/>
      <c r="J2164" s="44"/>
      <c r="K2164" s="44"/>
    </row>
    <row r="2165" spans="3:15" ht="21" customHeight="1"/>
    <row r="2166" spans="3:15" s="59" customFormat="1" ht="21" customHeight="1">
      <c r="C2166" s="147" t="s">
        <v>5333</v>
      </c>
      <c r="D2166" s="794" t="s">
        <v>4020</v>
      </c>
      <c r="E2166" s="795"/>
      <c r="F2166" s="795"/>
      <c r="G2166" s="795"/>
      <c r="H2166" s="795"/>
      <c r="I2166" s="50">
        <f>ROUNDDOWN(H2181,-2)</f>
        <v>4958200</v>
      </c>
      <c r="J2166" s="50"/>
      <c r="K2166" s="50"/>
    </row>
    <row r="2167" spans="3:15" s="59" customFormat="1" ht="21" customHeight="1">
      <c r="C2167" s="591" t="s">
        <v>1195</v>
      </c>
      <c r="D2167" s="591" t="s">
        <v>1196</v>
      </c>
      <c r="E2167" s="591" t="s">
        <v>1197</v>
      </c>
      <c r="F2167" s="591" t="s">
        <v>1198</v>
      </c>
      <c r="G2167" s="591" t="s">
        <v>1199</v>
      </c>
      <c r="H2167" s="591" t="s">
        <v>1200</v>
      </c>
      <c r="I2167" s="44"/>
      <c r="J2167" s="44"/>
      <c r="K2167" s="44"/>
    </row>
    <row r="2168" spans="3:15" s="59" customFormat="1" ht="21" customHeight="1">
      <c r="C2168" s="61" t="s">
        <v>1201</v>
      </c>
      <c r="D2168" s="56" t="s">
        <v>1202</v>
      </c>
      <c r="E2168" s="57"/>
      <c r="F2168" s="57"/>
      <c r="G2168" s="57"/>
      <c r="H2168" s="57"/>
      <c r="I2168" s="44"/>
      <c r="J2168" s="44"/>
      <c r="K2168" s="44"/>
      <c r="L2168" s="152" t="s">
        <v>1247</v>
      </c>
    </row>
    <row r="2169" spans="3:15" s="59" customFormat="1" ht="21" customHeight="1">
      <c r="C2169" s="588">
        <v>1</v>
      </c>
      <c r="D2169" s="56" t="s">
        <v>5</v>
      </c>
      <c r="E2169" s="577" t="s">
        <v>6</v>
      </c>
      <c r="F2169" s="62">
        <v>0.78800000000000003</v>
      </c>
      <c r="G2169" s="63">
        <f>VLOOKUP(D2169,upahbahan,3,FALSE)</f>
        <v>100000</v>
      </c>
      <c r="H2169" s="63">
        <f>F2169*G2169</f>
        <v>78800</v>
      </c>
      <c r="I2169" s="44"/>
      <c r="J2169" s="44"/>
      <c r="K2169" s="44"/>
      <c r="L2169" s="152" t="s">
        <v>1248</v>
      </c>
      <c r="O2169" s="65">
        <v>0.1</v>
      </c>
    </row>
    <row r="2170" spans="3:15" s="59" customFormat="1" ht="21" customHeight="1">
      <c r="C2170" s="588">
        <v>2</v>
      </c>
      <c r="D2170" s="56" t="s">
        <v>10</v>
      </c>
      <c r="E2170" s="577" t="s">
        <v>6</v>
      </c>
      <c r="F2170" s="62">
        <v>1.3160000000000001</v>
      </c>
      <c r="G2170" s="63">
        <f>VLOOKUP(D2170,upahbahan,3,FALSE)</f>
        <v>135000</v>
      </c>
      <c r="H2170" s="63">
        <f>F2170*G2170</f>
        <v>177660</v>
      </c>
      <c r="I2170" s="44"/>
      <c r="J2170" s="44"/>
      <c r="K2170" s="44"/>
    </row>
    <row r="2171" spans="3:15" s="59" customFormat="1" ht="21" customHeight="1">
      <c r="C2171" s="588">
        <v>3</v>
      </c>
      <c r="D2171" s="56" t="s">
        <v>18</v>
      </c>
      <c r="E2171" s="577" t="s">
        <v>6</v>
      </c>
      <c r="F2171" s="62">
        <v>0.13200000000000001</v>
      </c>
      <c r="G2171" s="63">
        <f>VLOOKUP(D2171,upahbahan,3,FALSE)</f>
        <v>150000</v>
      </c>
      <c r="H2171" s="63">
        <f>F2171*G2171</f>
        <v>19800</v>
      </c>
      <c r="I2171" s="44"/>
      <c r="J2171" s="44"/>
      <c r="K2171" s="44"/>
    </row>
    <row r="2172" spans="3:15" s="59" customFormat="1" ht="21" customHeight="1">
      <c r="C2172" s="588">
        <v>4</v>
      </c>
      <c r="D2172" s="56" t="s">
        <v>19</v>
      </c>
      <c r="E2172" s="577" t="s">
        <v>6</v>
      </c>
      <c r="F2172" s="62">
        <v>3.9E-2</v>
      </c>
      <c r="G2172" s="63">
        <f>VLOOKUP(D2172,upahbahan,3,FALSE)</f>
        <v>160000</v>
      </c>
      <c r="H2172" s="63">
        <f>F2172*G2172</f>
        <v>6240</v>
      </c>
      <c r="I2172" s="44"/>
      <c r="J2172" s="44"/>
      <c r="K2172" s="44"/>
    </row>
    <row r="2173" spans="3:15" s="59" customFormat="1" ht="21" customHeight="1">
      <c r="C2173" s="450" t="s">
        <v>1208</v>
      </c>
      <c r="D2173" s="67"/>
      <c r="E2173" s="67"/>
      <c r="F2173" s="142"/>
      <c r="G2173" s="153"/>
      <c r="H2173" s="63">
        <f>SUM(H2169:H2172)</f>
        <v>282500</v>
      </c>
      <c r="I2173" s="154"/>
      <c r="J2173" s="154"/>
      <c r="K2173" s="154"/>
    </row>
    <row r="2174" spans="3:15" s="59" customFormat="1" ht="21" customHeight="1">
      <c r="C2174" s="61" t="s">
        <v>1209</v>
      </c>
      <c r="D2174" s="56" t="s">
        <v>1210</v>
      </c>
      <c r="E2174" s="57"/>
      <c r="F2174" s="57"/>
      <c r="G2174" s="57"/>
      <c r="H2174" s="57"/>
      <c r="I2174" s="44"/>
      <c r="J2174" s="44"/>
      <c r="K2174" s="44"/>
    </row>
    <row r="2175" spans="3:15" s="59" customFormat="1" ht="21" customHeight="1">
      <c r="C2175" s="61">
        <v>1</v>
      </c>
      <c r="D2175" s="56" t="s">
        <v>4028</v>
      </c>
      <c r="E2175" s="93" t="s">
        <v>135</v>
      </c>
      <c r="F2175" s="104">
        <v>1.3</v>
      </c>
      <c r="G2175" s="63">
        <f>VLOOKUP(D2175,upahbahan,3,FALSE)</f>
        <v>3250000</v>
      </c>
      <c r="H2175" s="586">
        <f>G2175*F2175</f>
        <v>4225000</v>
      </c>
      <c r="I2175" s="44"/>
      <c r="J2175" s="44"/>
      <c r="K2175" s="44"/>
    </row>
    <row r="2176" spans="3:15" s="59" customFormat="1" ht="21" customHeight="1">
      <c r="C2176" s="450" t="s">
        <v>1214</v>
      </c>
      <c r="D2176" s="67"/>
      <c r="E2176" s="67"/>
      <c r="F2176" s="67"/>
      <c r="G2176" s="69"/>
      <c r="H2176" s="63">
        <f>SUM(H2175:H2175)</f>
        <v>4225000</v>
      </c>
      <c r="I2176" s="44"/>
      <c r="J2176" s="44"/>
      <c r="K2176" s="44"/>
    </row>
    <row r="2177" spans="3:15" s="59" customFormat="1" ht="21" customHeight="1">
      <c r="C2177" s="61" t="s">
        <v>1215</v>
      </c>
      <c r="D2177" s="56" t="s">
        <v>1216</v>
      </c>
      <c r="E2177" s="57"/>
      <c r="F2177" s="57"/>
      <c r="G2177" s="57"/>
      <c r="H2177" s="57"/>
      <c r="I2177" s="44"/>
      <c r="J2177" s="44"/>
      <c r="K2177" s="44"/>
    </row>
    <row r="2178" spans="3:15" s="59" customFormat="1" ht="21" customHeight="1">
      <c r="C2178" s="450" t="s">
        <v>1217</v>
      </c>
      <c r="D2178" s="67"/>
      <c r="E2178" s="67"/>
      <c r="F2178" s="67"/>
      <c r="G2178" s="69"/>
      <c r="H2178" s="589">
        <v>0</v>
      </c>
      <c r="I2178" s="44"/>
      <c r="J2178" s="44"/>
      <c r="K2178" s="44"/>
    </row>
    <row r="2179" spans="3:15" s="59" customFormat="1" ht="21" customHeight="1">
      <c r="C2179" s="288" t="s">
        <v>1218</v>
      </c>
      <c r="D2179" s="76" t="s">
        <v>1219</v>
      </c>
      <c r="E2179" s="77"/>
      <c r="F2179" s="77"/>
      <c r="G2179" s="78"/>
      <c r="H2179" s="585">
        <f>H2178+H2176+H2173</f>
        <v>4507500</v>
      </c>
      <c r="I2179" s="369"/>
      <c r="J2179" s="44"/>
      <c r="K2179" s="44"/>
    </row>
    <row r="2180" spans="3:15" s="59" customFormat="1" ht="21" customHeight="1">
      <c r="C2180" s="288" t="s">
        <v>1220</v>
      </c>
      <c r="D2180" s="76" t="s">
        <v>1321</v>
      </c>
      <c r="E2180" s="77"/>
      <c r="F2180" s="78"/>
      <c r="G2180" s="80">
        <v>0.1</v>
      </c>
      <c r="H2180" s="63">
        <f>H2179*G2180</f>
        <v>450750</v>
      </c>
      <c r="I2180" s="369"/>
      <c r="J2180" s="44"/>
      <c r="K2180" s="44"/>
    </row>
    <row r="2181" spans="3:15" s="59" customFormat="1" ht="21" customHeight="1">
      <c r="C2181" s="288" t="s">
        <v>1221</v>
      </c>
      <c r="D2181" s="76" t="s">
        <v>1222</v>
      </c>
      <c r="E2181" s="77"/>
      <c r="F2181" s="77"/>
      <c r="G2181" s="78"/>
      <c r="H2181" s="799">
        <f>SUM(H2179:H2180)</f>
        <v>4958250</v>
      </c>
      <c r="I2181" s="369"/>
      <c r="J2181" s="44"/>
      <c r="K2181" s="44"/>
    </row>
    <row r="2182" spans="3:15" ht="21" customHeight="1"/>
    <row r="2183" spans="3:15" s="59" customFormat="1" ht="21" customHeight="1">
      <c r="C2183" s="147" t="s">
        <v>5334</v>
      </c>
      <c r="D2183" s="794" t="s">
        <v>4021</v>
      </c>
      <c r="E2183" s="795"/>
      <c r="F2183" s="795"/>
      <c r="G2183" s="795"/>
      <c r="H2183" s="795"/>
      <c r="I2183" s="50">
        <f>ROUNDDOWN(H2198,-2)</f>
        <v>5477800</v>
      </c>
      <c r="J2183" s="50"/>
      <c r="K2183" s="50"/>
    </row>
    <row r="2184" spans="3:15" s="59" customFormat="1" ht="21" customHeight="1">
      <c r="C2184" s="591" t="s">
        <v>1195</v>
      </c>
      <c r="D2184" s="591" t="s">
        <v>1196</v>
      </c>
      <c r="E2184" s="591" t="s">
        <v>1197</v>
      </c>
      <c r="F2184" s="591" t="s">
        <v>1198</v>
      </c>
      <c r="G2184" s="591" t="s">
        <v>1199</v>
      </c>
      <c r="H2184" s="591" t="s">
        <v>1200</v>
      </c>
      <c r="I2184" s="44"/>
      <c r="J2184" s="44"/>
      <c r="K2184" s="44"/>
    </row>
    <row r="2185" spans="3:15" s="59" customFormat="1" ht="21" customHeight="1">
      <c r="C2185" s="61" t="s">
        <v>1201</v>
      </c>
      <c r="D2185" s="56" t="s">
        <v>1202</v>
      </c>
      <c r="E2185" s="57"/>
      <c r="F2185" s="57"/>
      <c r="G2185" s="57"/>
      <c r="H2185" s="57"/>
      <c r="I2185" s="44"/>
      <c r="J2185" s="44"/>
      <c r="K2185" s="44"/>
      <c r="L2185" s="152" t="s">
        <v>1247</v>
      </c>
    </row>
    <row r="2186" spans="3:15" s="59" customFormat="1" ht="21" customHeight="1">
      <c r="C2186" s="588">
        <v>1</v>
      </c>
      <c r="D2186" s="56" t="s">
        <v>5</v>
      </c>
      <c r="E2186" s="577" t="s">
        <v>6</v>
      </c>
      <c r="F2186" s="62">
        <v>0.94499999999999995</v>
      </c>
      <c r="G2186" s="63">
        <f>VLOOKUP(D2186,upahbahan,3,FALSE)</f>
        <v>100000</v>
      </c>
      <c r="H2186" s="63">
        <f>F2186*G2186</f>
        <v>94500</v>
      </c>
      <c r="I2186" s="44"/>
      <c r="J2186" s="44"/>
      <c r="K2186" s="44"/>
      <c r="L2186" s="152" t="s">
        <v>1248</v>
      </c>
      <c r="O2186" s="65">
        <v>0.1</v>
      </c>
    </row>
    <row r="2187" spans="3:15" s="59" customFormat="1" ht="21" customHeight="1">
      <c r="C2187" s="588">
        <v>2</v>
      </c>
      <c r="D2187" s="56" t="s">
        <v>10</v>
      </c>
      <c r="E2187" s="577" t="s">
        <v>6</v>
      </c>
      <c r="F2187" s="62">
        <v>1.579</v>
      </c>
      <c r="G2187" s="63">
        <f>VLOOKUP(D2187,upahbahan,3,FALSE)</f>
        <v>135000</v>
      </c>
      <c r="H2187" s="63">
        <f>F2187*G2187</f>
        <v>213165</v>
      </c>
      <c r="I2187" s="44"/>
      <c r="J2187" s="44"/>
      <c r="K2187" s="44"/>
    </row>
    <row r="2188" spans="3:15" s="59" customFormat="1" ht="21" customHeight="1">
      <c r="C2188" s="588">
        <v>3</v>
      </c>
      <c r="D2188" s="56" t="s">
        <v>18</v>
      </c>
      <c r="E2188" s="577" t="s">
        <v>6</v>
      </c>
      <c r="F2188" s="62">
        <v>0.158</v>
      </c>
      <c r="G2188" s="63">
        <f>VLOOKUP(D2188,upahbahan,3,FALSE)</f>
        <v>150000</v>
      </c>
      <c r="H2188" s="63">
        <f>F2188*G2188</f>
        <v>23700</v>
      </c>
      <c r="I2188" s="44"/>
      <c r="J2188" s="44"/>
      <c r="K2188" s="44"/>
    </row>
    <row r="2189" spans="3:15" s="59" customFormat="1" ht="21" customHeight="1">
      <c r="C2189" s="588">
        <v>4</v>
      </c>
      <c r="D2189" s="56" t="s">
        <v>19</v>
      </c>
      <c r="E2189" s="577" t="s">
        <v>6</v>
      </c>
      <c r="F2189" s="62">
        <v>4.7E-2</v>
      </c>
      <c r="G2189" s="63">
        <f>VLOOKUP(D2189,upahbahan,3,FALSE)</f>
        <v>160000</v>
      </c>
      <c r="H2189" s="63">
        <f>F2189*G2189</f>
        <v>7520</v>
      </c>
      <c r="I2189" s="44"/>
      <c r="J2189" s="44"/>
      <c r="K2189" s="44"/>
    </row>
    <row r="2190" spans="3:15" s="59" customFormat="1" ht="21" customHeight="1">
      <c r="C2190" s="450" t="s">
        <v>1208</v>
      </c>
      <c r="D2190" s="67"/>
      <c r="E2190" s="67"/>
      <c r="F2190" s="142"/>
      <c r="G2190" s="153"/>
      <c r="H2190" s="63">
        <f>SUM(H2186:H2189)</f>
        <v>338885</v>
      </c>
      <c r="I2190" s="154"/>
      <c r="J2190" s="154"/>
      <c r="K2190" s="154"/>
    </row>
    <row r="2191" spans="3:15" s="59" customFormat="1" ht="21" customHeight="1">
      <c r="C2191" s="61" t="s">
        <v>1209</v>
      </c>
      <c r="D2191" s="56" t="s">
        <v>1210</v>
      </c>
      <c r="E2191" s="57"/>
      <c r="F2191" s="57"/>
      <c r="G2191" s="57"/>
      <c r="H2191" s="57"/>
      <c r="I2191" s="44"/>
      <c r="J2191" s="44"/>
      <c r="K2191" s="44"/>
    </row>
    <row r="2192" spans="3:15" s="59" customFormat="1" ht="21" customHeight="1">
      <c r="C2192" s="61">
        <v>1</v>
      </c>
      <c r="D2192" s="56" t="s">
        <v>4022</v>
      </c>
      <c r="E2192" s="93" t="s">
        <v>135</v>
      </c>
      <c r="F2192" s="104">
        <v>1.3</v>
      </c>
      <c r="G2192" s="63">
        <f>VLOOKUP(D2192,upahbahan,3,FALSE)</f>
        <v>3570000</v>
      </c>
      <c r="H2192" s="586">
        <f>G2192*F2192</f>
        <v>4641000</v>
      </c>
      <c r="I2192" s="44"/>
      <c r="J2192" s="44"/>
      <c r="K2192" s="44"/>
    </row>
    <row r="2193" spans="3:15" s="59" customFormat="1" ht="21" customHeight="1">
      <c r="C2193" s="450" t="s">
        <v>1214</v>
      </c>
      <c r="D2193" s="67"/>
      <c r="E2193" s="67"/>
      <c r="F2193" s="67"/>
      <c r="G2193" s="69"/>
      <c r="H2193" s="63">
        <f>SUM(H2192:H2192)</f>
        <v>4641000</v>
      </c>
      <c r="I2193" s="44"/>
      <c r="J2193" s="44"/>
      <c r="K2193" s="44"/>
    </row>
    <row r="2194" spans="3:15" s="59" customFormat="1" ht="21" customHeight="1">
      <c r="C2194" s="61" t="s">
        <v>1215</v>
      </c>
      <c r="D2194" s="56" t="s">
        <v>1216</v>
      </c>
      <c r="E2194" s="57"/>
      <c r="F2194" s="57"/>
      <c r="G2194" s="57"/>
      <c r="H2194" s="57"/>
      <c r="I2194" s="44"/>
      <c r="J2194" s="44"/>
      <c r="K2194" s="44"/>
    </row>
    <row r="2195" spans="3:15" s="59" customFormat="1" ht="21" customHeight="1">
      <c r="C2195" s="450" t="s">
        <v>1217</v>
      </c>
      <c r="D2195" s="67"/>
      <c r="E2195" s="67"/>
      <c r="F2195" s="67"/>
      <c r="G2195" s="69"/>
      <c r="H2195" s="589">
        <v>0</v>
      </c>
      <c r="I2195" s="44"/>
      <c r="J2195" s="44"/>
      <c r="K2195" s="44"/>
    </row>
    <row r="2196" spans="3:15" s="59" customFormat="1" ht="21" customHeight="1">
      <c r="C2196" s="288" t="s">
        <v>1218</v>
      </c>
      <c r="D2196" s="76" t="s">
        <v>1219</v>
      </c>
      <c r="E2196" s="77"/>
      <c r="F2196" s="77"/>
      <c r="G2196" s="78"/>
      <c r="H2196" s="585">
        <f>H2195+H2193+H2190</f>
        <v>4979885</v>
      </c>
      <c r="I2196" s="369"/>
      <c r="J2196" s="44"/>
      <c r="K2196" s="44"/>
    </row>
    <row r="2197" spans="3:15" s="59" customFormat="1" ht="21" customHeight="1">
      <c r="C2197" s="288" t="s">
        <v>1220</v>
      </c>
      <c r="D2197" s="76" t="s">
        <v>1321</v>
      </c>
      <c r="E2197" s="77"/>
      <c r="F2197" s="78"/>
      <c r="G2197" s="80">
        <v>0.1</v>
      </c>
      <c r="H2197" s="63">
        <f>H2196*G2197</f>
        <v>497988.5</v>
      </c>
      <c r="I2197" s="369"/>
      <c r="J2197" s="44"/>
      <c r="K2197" s="44"/>
    </row>
    <row r="2198" spans="3:15" s="59" customFormat="1" ht="21" customHeight="1">
      <c r="C2198" s="288" t="s">
        <v>1221</v>
      </c>
      <c r="D2198" s="76" t="s">
        <v>1222</v>
      </c>
      <c r="E2198" s="77"/>
      <c r="F2198" s="77"/>
      <c r="G2198" s="78"/>
      <c r="H2198" s="799">
        <f>SUM(H2196:H2197)</f>
        <v>5477873.5</v>
      </c>
      <c r="I2198" s="369"/>
      <c r="J2198" s="44"/>
      <c r="K2198" s="44"/>
    </row>
    <row r="2199" spans="3:15" ht="21" customHeight="1"/>
    <row r="2200" spans="3:15" s="59" customFormat="1" ht="21" customHeight="1">
      <c r="C2200" s="147" t="s">
        <v>5335</v>
      </c>
      <c r="D2200" s="794" t="s">
        <v>4023</v>
      </c>
      <c r="E2200" s="795"/>
      <c r="F2200" s="795"/>
      <c r="G2200" s="795"/>
      <c r="H2200" s="795"/>
      <c r="I2200" s="50">
        <f>ROUNDDOWN(H2215,-2)</f>
        <v>6145100</v>
      </c>
      <c r="J2200" s="50"/>
      <c r="K2200" s="50"/>
    </row>
    <row r="2201" spans="3:15" s="59" customFormat="1" ht="21" customHeight="1">
      <c r="C2201" s="591" t="s">
        <v>1195</v>
      </c>
      <c r="D2201" s="591" t="s">
        <v>1196</v>
      </c>
      <c r="E2201" s="591" t="s">
        <v>1197</v>
      </c>
      <c r="F2201" s="591" t="s">
        <v>1198</v>
      </c>
      <c r="G2201" s="591" t="s">
        <v>1199</v>
      </c>
      <c r="H2201" s="591" t="s">
        <v>1200</v>
      </c>
      <c r="I2201" s="44"/>
      <c r="J2201" s="44"/>
      <c r="K2201" s="44"/>
    </row>
    <row r="2202" spans="3:15" s="59" customFormat="1" ht="21" customHeight="1">
      <c r="C2202" s="61" t="s">
        <v>1201</v>
      </c>
      <c r="D2202" s="56" t="s">
        <v>1202</v>
      </c>
      <c r="E2202" s="57"/>
      <c r="F2202" s="57"/>
      <c r="G2202" s="57"/>
      <c r="H2202" s="57"/>
      <c r="I2202" s="44"/>
      <c r="J2202" s="44"/>
      <c r="K2202" s="44"/>
      <c r="L2202" s="152" t="s">
        <v>1247</v>
      </c>
    </row>
    <row r="2203" spans="3:15" s="59" customFormat="1" ht="21" customHeight="1">
      <c r="C2203" s="588">
        <v>1</v>
      </c>
      <c r="D2203" s="56" t="s">
        <v>5</v>
      </c>
      <c r="E2203" s="577" t="s">
        <v>6</v>
      </c>
      <c r="F2203" s="62">
        <v>1.26</v>
      </c>
      <c r="G2203" s="63">
        <f>VLOOKUP(D2203,upahbahan,3,FALSE)</f>
        <v>100000</v>
      </c>
      <c r="H2203" s="63">
        <f>F2203*G2203</f>
        <v>126000</v>
      </c>
      <c r="I2203" s="44"/>
      <c r="J2203" s="44"/>
      <c r="K2203" s="44"/>
      <c r="L2203" s="152" t="s">
        <v>1248</v>
      </c>
      <c r="O2203" s="65">
        <v>0.1</v>
      </c>
    </row>
    <row r="2204" spans="3:15" s="59" customFormat="1" ht="21" customHeight="1">
      <c r="C2204" s="588">
        <v>2</v>
      </c>
      <c r="D2204" s="56" t="s">
        <v>10</v>
      </c>
      <c r="E2204" s="577" t="s">
        <v>6</v>
      </c>
      <c r="F2204" s="62">
        <v>2.1030000000000002</v>
      </c>
      <c r="G2204" s="63">
        <f>VLOOKUP(D2204,upahbahan,3,FALSE)</f>
        <v>135000</v>
      </c>
      <c r="H2204" s="63">
        <f>F2204*G2204</f>
        <v>283905</v>
      </c>
      <c r="I2204" s="44"/>
      <c r="J2204" s="44"/>
      <c r="K2204" s="44"/>
    </row>
    <row r="2205" spans="3:15" s="59" customFormat="1" ht="21" customHeight="1">
      <c r="C2205" s="588">
        <v>3</v>
      </c>
      <c r="D2205" s="56" t="s">
        <v>18</v>
      </c>
      <c r="E2205" s="577" t="s">
        <v>6</v>
      </c>
      <c r="F2205" s="62">
        <v>0.21</v>
      </c>
      <c r="G2205" s="63">
        <f>VLOOKUP(D2205,upahbahan,3,FALSE)</f>
        <v>150000</v>
      </c>
      <c r="H2205" s="63">
        <f>F2205*G2205</f>
        <v>31500</v>
      </c>
      <c r="I2205" s="44"/>
      <c r="J2205" s="44"/>
      <c r="K2205" s="44"/>
    </row>
    <row r="2206" spans="3:15" s="59" customFormat="1" ht="21" customHeight="1">
      <c r="C2206" s="588">
        <v>4</v>
      </c>
      <c r="D2206" s="56" t="s">
        <v>19</v>
      </c>
      <c r="E2206" s="577" t="s">
        <v>6</v>
      </c>
      <c r="F2206" s="62">
        <v>6.3E-2</v>
      </c>
      <c r="G2206" s="63">
        <f>VLOOKUP(D2206,upahbahan,3,FALSE)</f>
        <v>160000</v>
      </c>
      <c r="H2206" s="63">
        <f>F2206*G2206</f>
        <v>10080</v>
      </c>
      <c r="I2206" s="44"/>
      <c r="J2206" s="44"/>
      <c r="K2206" s="44"/>
    </row>
    <row r="2207" spans="3:15" s="59" customFormat="1" ht="21" customHeight="1">
      <c r="C2207" s="450" t="s">
        <v>1208</v>
      </c>
      <c r="D2207" s="67"/>
      <c r="E2207" s="67"/>
      <c r="F2207" s="142"/>
      <c r="G2207" s="153"/>
      <c r="H2207" s="63">
        <f>SUM(H2203:H2206)</f>
        <v>451485</v>
      </c>
      <c r="I2207" s="154"/>
      <c r="J2207" s="154"/>
      <c r="K2207" s="154"/>
    </row>
    <row r="2208" spans="3:15" s="59" customFormat="1" ht="21" customHeight="1">
      <c r="C2208" s="61" t="s">
        <v>1209</v>
      </c>
      <c r="D2208" s="56" t="s">
        <v>1210</v>
      </c>
      <c r="E2208" s="57"/>
      <c r="F2208" s="57"/>
      <c r="G2208" s="57"/>
      <c r="H2208" s="57"/>
      <c r="I2208" s="44"/>
      <c r="J2208" s="44"/>
      <c r="K2208" s="44"/>
    </row>
    <row r="2209" spans="3:15" s="59" customFormat="1" ht="21" customHeight="1">
      <c r="C2209" s="61">
        <v>1</v>
      </c>
      <c r="D2209" s="56" t="s">
        <v>4024</v>
      </c>
      <c r="E2209" s="93" t="s">
        <v>135</v>
      </c>
      <c r="F2209" s="104">
        <v>1.3</v>
      </c>
      <c r="G2209" s="63">
        <f>VLOOKUP(D2209,upahbahan,3,FALSE)</f>
        <v>3950000</v>
      </c>
      <c r="H2209" s="586">
        <f>G2209*F2209</f>
        <v>5135000</v>
      </c>
      <c r="I2209" s="44"/>
      <c r="J2209" s="44"/>
      <c r="K2209" s="44"/>
    </row>
    <row r="2210" spans="3:15" s="59" customFormat="1" ht="21" customHeight="1">
      <c r="C2210" s="450" t="s">
        <v>1214</v>
      </c>
      <c r="D2210" s="67"/>
      <c r="E2210" s="67"/>
      <c r="F2210" s="67"/>
      <c r="G2210" s="69"/>
      <c r="H2210" s="63">
        <f>SUM(H2209:H2209)</f>
        <v>5135000</v>
      </c>
      <c r="I2210" s="44"/>
      <c r="J2210" s="44"/>
      <c r="K2210" s="44"/>
    </row>
    <row r="2211" spans="3:15" s="59" customFormat="1" ht="21" customHeight="1">
      <c r="C2211" s="61" t="s">
        <v>1215</v>
      </c>
      <c r="D2211" s="56" t="s">
        <v>1216</v>
      </c>
      <c r="E2211" s="57"/>
      <c r="F2211" s="57"/>
      <c r="G2211" s="57"/>
      <c r="H2211" s="57"/>
      <c r="I2211" s="44"/>
      <c r="J2211" s="44"/>
      <c r="K2211" s="44"/>
    </row>
    <row r="2212" spans="3:15" s="59" customFormat="1" ht="21" customHeight="1">
      <c r="C2212" s="450" t="s">
        <v>1217</v>
      </c>
      <c r="D2212" s="67"/>
      <c r="E2212" s="67"/>
      <c r="F2212" s="67"/>
      <c r="G2212" s="69"/>
      <c r="H2212" s="589">
        <v>0</v>
      </c>
      <c r="I2212" s="44"/>
      <c r="J2212" s="44"/>
      <c r="K2212" s="44"/>
    </row>
    <row r="2213" spans="3:15" s="59" customFormat="1" ht="21" customHeight="1">
      <c r="C2213" s="288" t="s">
        <v>1218</v>
      </c>
      <c r="D2213" s="76" t="s">
        <v>1219</v>
      </c>
      <c r="E2213" s="77"/>
      <c r="F2213" s="77"/>
      <c r="G2213" s="78"/>
      <c r="H2213" s="585">
        <f>H2212+H2210+H2207</f>
        <v>5586485</v>
      </c>
      <c r="I2213" s="369"/>
      <c r="J2213" s="44"/>
      <c r="K2213" s="44"/>
    </row>
    <row r="2214" spans="3:15" s="59" customFormat="1" ht="21" customHeight="1">
      <c r="C2214" s="288" t="s">
        <v>1220</v>
      </c>
      <c r="D2214" s="76" t="s">
        <v>1321</v>
      </c>
      <c r="E2214" s="77"/>
      <c r="F2214" s="78"/>
      <c r="G2214" s="80">
        <v>0.1</v>
      </c>
      <c r="H2214" s="63">
        <f>H2213*G2214</f>
        <v>558648.5</v>
      </c>
      <c r="I2214" s="369"/>
      <c r="J2214" s="44"/>
      <c r="K2214" s="44"/>
    </row>
    <row r="2215" spans="3:15" s="59" customFormat="1" ht="21" customHeight="1">
      <c r="C2215" s="288" t="s">
        <v>1221</v>
      </c>
      <c r="D2215" s="76" t="s">
        <v>1222</v>
      </c>
      <c r="E2215" s="77"/>
      <c r="F2215" s="77"/>
      <c r="G2215" s="78"/>
      <c r="H2215" s="799">
        <f>SUM(H2213:H2214)</f>
        <v>6145133.5</v>
      </c>
      <c r="I2215" s="369"/>
      <c r="J2215" s="44"/>
      <c r="K2215" s="44"/>
    </row>
    <row r="2216" spans="3:15" ht="21" customHeight="1"/>
    <row r="2217" spans="3:15" s="59" customFormat="1" ht="21" customHeight="1">
      <c r="C2217" s="147" t="s">
        <v>5336</v>
      </c>
      <c r="D2217" s="794" t="s">
        <v>4025</v>
      </c>
      <c r="E2217" s="795"/>
      <c r="F2217" s="795"/>
      <c r="G2217" s="795"/>
      <c r="H2217" s="795"/>
      <c r="I2217" s="50">
        <f>ROUNDDOWN(H2232,-2)</f>
        <v>6640900</v>
      </c>
      <c r="J2217" s="50"/>
      <c r="K2217" s="50"/>
    </row>
    <row r="2218" spans="3:15" s="59" customFormat="1" ht="21" customHeight="1">
      <c r="C2218" s="591" t="s">
        <v>1195</v>
      </c>
      <c r="D2218" s="591" t="s">
        <v>1196</v>
      </c>
      <c r="E2218" s="591" t="s">
        <v>1197</v>
      </c>
      <c r="F2218" s="591" t="s">
        <v>1198</v>
      </c>
      <c r="G2218" s="591" t="s">
        <v>1199</v>
      </c>
      <c r="H2218" s="591" t="s">
        <v>1200</v>
      </c>
      <c r="I2218" s="44"/>
      <c r="J2218" s="44"/>
      <c r="K2218" s="44"/>
    </row>
    <row r="2219" spans="3:15" s="59" customFormat="1" ht="21" customHeight="1">
      <c r="C2219" s="61" t="s">
        <v>1201</v>
      </c>
      <c r="D2219" s="56" t="s">
        <v>1202</v>
      </c>
      <c r="E2219" s="57"/>
      <c r="F2219" s="57"/>
      <c r="G2219" s="57"/>
      <c r="H2219" s="57"/>
      <c r="I2219" s="44"/>
      <c r="J2219" s="44"/>
      <c r="K2219" s="44"/>
      <c r="L2219" s="152" t="s">
        <v>1247</v>
      </c>
    </row>
    <row r="2220" spans="3:15" s="59" customFormat="1" ht="21" customHeight="1">
      <c r="C2220" s="588">
        <v>1</v>
      </c>
      <c r="D2220" s="56" t="s">
        <v>5</v>
      </c>
      <c r="E2220" s="577" t="s">
        <v>6</v>
      </c>
      <c r="F2220" s="62">
        <v>1.5740000000000001</v>
      </c>
      <c r="G2220" s="63">
        <f>VLOOKUP(D2220,upahbahan,3,FALSE)</f>
        <v>100000</v>
      </c>
      <c r="H2220" s="63">
        <f>F2220*G2220</f>
        <v>157400</v>
      </c>
      <c r="I2220" s="44"/>
      <c r="J2220" s="44"/>
      <c r="K2220" s="44"/>
      <c r="L2220" s="152" t="s">
        <v>1248</v>
      </c>
      <c r="O2220" s="65">
        <v>0.1</v>
      </c>
    </row>
    <row r="2221" spans="3:15" s="59" customFormat="1" ht="21" customHeight="1">
      <c r="C2221" s="588">
        <v>2</v>
      </c>
      <c r="D2221" s="56" t="s">
        <v>10</v>
      </c>
      <c r="E2221" s="577" t="s">
        <v>6</v>
      </c>
      <c r="F2221" s="62">
        <v>2.6280000000000001</v>
      </c>
      <c r="G2221" s="63">
        <f>VLOOKUP(D2221,upahbahan,3,FALSE)</f>
        <v>135000</v>
      </c>
      <c r="H2221" s="63">
        <f>F2221*G2221</f>
        <v>354780</v>
      </c>
      <c r="I2221" s="44"/>
      <c r="J2221" s="44"/>
      <c r="K2221" s="44"/>
    </row>
    <row r="2222" spans="3:15" s="59" customFormat="1" ht="21" customHeight="1">
      <c r="C2222" s="588">
        <v>3</v>
      </c>
      <c r="D2222" s="56" t="s">
        <v>18</v>
      </c>
      <c r="E2222" s="577" t="s">
        <v>6</v>
      </c>
      <c r="F2222" s="62">
        <v>0.26300000000000001</v>
      </c>
      <c r="G2222" s="63">
        <f>VLOOKUP(D2222,upahbahan,3,FALSE)</f>
        <v>150000</v>
      </c>
      <c r="H2222" s="63">
        <f>F2222*G2222</f>
        <v>39450</v>
      </c>
      <c r="I2222" s="44"/>
      <c r="J2222" s="44"/>
      <c r="K2222" s="44"/>
    </row>
    <row r="2223" spans="3:15" s="59" customFormat="1" ht="21" customHeight="1">
      <c r="C2223" s="588">
        <v>4</v>
      </c>
      <c r="D2223" s="56" t="s">
        <v>19</v>
      </c>
      <c r="E2223" s="577" t="s">
        <v>6</v>
      </c>
      <c r="F2223" s="62">
        <v>7.9000000000000001E-2</v>
      </c>
      <c r="G2223" s="63">
        <f>VLOOKUP(D2223,upahbahan,3,FALSE)</f>
        <v>160000</v>
      </c>
      <c r="H2223" s="63">
        <f>F2223*G2223</f>
        <v>12640</v>
      </c>
      <c r="I2223" s="44"/>
      <c r="J2223" s="44"/>
      <c r="K2223" s="44"/>
    </row>
    <row r="2224" spans="3:15" s="59" customFormat="1" ht="21" customHeight="1">
      <c r="C2224" s="450" t="s">
        <v>1208</v>
      </c>
      <c r="D2224" s="67"/>
      <c r="E2224" s="67"/>
      <c r="F2224" s="142"/>
      <c r="G2224" s="153"/>
      <c r="H2224" s="63">
        <f>SUM(H2220:H2223)</f>
        <v>564270</v>
      </c>
      <c r="I2224" s="154"/>
      <c r="J2224" s="154"/>
      <c r="K2224" s="154"/>
    </row>
    <row r="2225" spans="3:15" s="59" customFormat="1" ht="21" customHeight="1">
      <c r="C2225" s="61" t="s">
        <v>1209</v>
      </c>
      <c r="D2225" s="56" t="s">
        <v>1210</v>
      </c>
      <c r="E2225" s="57"/>
      <c r="F2225" s="57"/>
      <c r="G2225" s="57"/>
      <c r="H2225" s="57"/>
      <c r="I2225" s="44"/>
      <c r="J2225" s="44"/>
      <c r="K2225" s="44"/>
    </row>
    <row r="2226" spans="3:15" s="59" customFormat="1" ht="21" customHeight="1">
      <c r="C2226" s="61">
        <v>1</v>
      </c>
      <c r="D2226" s="56" t="s">
        <v>4029</v>
      </c>
      <c r="E2226" s="93" t="s">
        <v>135</v>
      </c>
      <c r="F2226" s="104">
        <v>1.3</v>
      </c>
      <c r="G2226" s="63">
        <f>VLOOKUP(D2226,upahbahan,3,FALSE)</f>
        <v>4210000</v>
      </c>
      <c r="H2226" s="586">
        <f>G2226*F2226</f>
        <v>5473000</v>
      </c>
      <c r="I2226" s="44"/>
      <c r="J2226" s="44"/>
      <c r="K2226" s="44"/>
    </row>
    <row r="2227" spans="3:15" s="59" customFormat="1" ht="21" customHeight="1">
      <c r="C2227" s="450" t="s">
        <v>1214</v>
      </c>
      <c r="D2227" s="67"/>
      <c r="E2227" s="67"/>
      <c r="F2227" s="67"/>
      <c r="G2227" s="69"/>
      <c r="H2227" s="63">
        <f>SUM(H2226:H2226)</f>
        <v>5473000</v>
      </c>
      <c r="I2227" s="44"/>
      <c r="J2227" s="44"/>
      <c r="K2227" s="44"/>
    </row>
    <row r="2228" spans="3:15" s="59" customFormat="1" ht="21" customHeight="1">
      <c r="C2228" s="61" t="s">
        <v>1215</v>
      </c>
      <c r="D2228" s="56" t="s">
        <v>1216</v>
      </c>
      <c r="E2228" s="57"/>
      <c r="F2228" s="57"/>
      <c r="G2228" s="57"/>
      <c r="H2228" s="57"/>
      <c r="I2228" s="44"/>
      <c r="J2228" s="44"/>
      <c r="K2228" s="44"/>
    </row>
    <row r="2229" spans="3:15" s="59" customFormat="1" ht="21" customHeight="1">
      <c r="C2229" s="450" t="s">
        <v>1217</v>
      </c>
      <c r="D2229" s="67"/>
      <c r="E2229" s="67"/>
      <c r="F2229" s="67"/>
      <c r="G2229" s="69"/>
      <c r="H2229" s="589">
        <v>0</v>
      </c>
      <c r="I2229" s="44"/>
      <c r="J2229" s="44"/>
      <c r="K2229" s="44"/>
    </row>
    <row r="2230" spans="3:15" s="59" customFormat="1" ht="21" customHeight="1">
      <c r="C2230" s="288" t="s">
        <v>1218</v>
      </c>
      <c r="D2230" s="76" t="s">
        <v>1219</v>
      </c>
      <c r="E2230" s="77"/>
      <c r="F2230" s="77"/>
      <c r="G2230" s="78"/>
      <c r="H2230" s="585">
        <f>H2229+H2227+H2224</f>
        <v>6037270</v>
      </c>
      <c r="I2230" s="369"/>
      <c r="J2230" s="44"/>
      <c r="K2230" s="44"/>
    </row>
    <row r="2231" spans="3:15" s="59" customFormat="1" ht="21" customHeight="1">
      <c r="C2231" s="288" t="s">
        <v>1220</v>
      </c>
      <c r="D2231" s="76" t="s">
        <v>1321</v>
      </c>
      <c r="E2231" s="77"/>
      <c r="F2231" s="78"/>
      <c r="G2231" s="80">
        <v>0.1</v>
      </c>
      <c r="H2231" s="63">
        <f>H2230*G2231</f>
        <v>603727</v>
      </c>
      <c r="I2231" s="369"/>
      <c r="J2231" s="44"/>
      <c r="K2231" s="44"/>
    </row>
    <row r="2232" spans="3:15" s="59" customFormat="1" ht="21" customHeight="1">
      <c r="C2232" s="288" t="s">
        <v>1221</v>
      </c>
      <c r="D2232" s="76" t="s">
        <v>1222</v>
      </c>
      <c r="E2232" s="77"/>
      <c r="F2232" s="77"/>
      <c r="G2232" s="78"/>
      <c r="H2232" s="799">
        <f>SUM(H2230:H2231)</f>
        <v>6640997</v>
      </c>
      <c r="I2232" s="369"/>
      <c r="J2232" s="44"/>
      <c r="K2232" s="44"/>
    </row>
    <row r="2233" spans="3:15" ht="21" customHeight="1"/>
    <row r="2234" spans="3:15" s="59" customFormat="1" ht="21" customHeight="1">
      <c r="C2234" s="147" t="s">
        <v>5337</v>
      </c>
      <c r="D2234" s="794" t="s">
        <v>4026</v>
      </c>
      <c r="E2234" s="795"/>
      <c r="F2234" s="795"/>
      <c r="G2234" s="795"/>
      <c r="H2234" s="795"/>
      <c r="I2234" s="50">
        <f>ROUNDDOWN(H2249,-2)</f>
        <v>7207200</v>
      </c>
      <c r="J2234" s="50"/>
      <c r="K2234" s="50"/>
    </row>
    <row r="2235" spans="3:15" s="59" customFormat="1" ht="21" customHeight="1">
      <c r="C2235" s="591" t="s">
        <v>1195</v>
      </c>
      <c r="D2235" s="591" t="s">
        <v>1196</v>
      </c>
      <c r="E2235" s="591" t="s">
        <v>1197</v>
      </c>
      <c r="F2235" s="591" t="s">
        <v>1198</v>
      </c>
      <c r="G2235" s="591" t="s">
        <v>1199</v>
      </c>
      <c r="H2235" s="591" t="s">
        <v>1200</v>
      </c>
      <c r="I2235" s="44"/>
      <c r="J2235" s="44"/>
      <c r="K2235" s="44"/>
    </row>
    <row r="2236" spans="3:15" s="59" customFormat="1" ht="21" customHeight="1">
      <c r="C2236" s="61" t="s">
        <v>1201</v>
      </c>
      <c r="D2236" s="56" t="s">
        <v>1202</v>
      </c>
      <c r="E2236" s="57"/>
      <c r="F2236" s="57"/>
      <c r="G2236" s="57"/>
      <c r="H2236" s="57"/>
      <c r="I2236" s="44"/>
      <c r="J2236" s="44"/>
      <c r="K2236" s="44"/>
      <c r="L2236" s="152" t="s">
        <v>1247</v>
      </c>
    </row>
    <row r="2237" spans="3:15" s="59" customFormat="1" ht="21" customHeight="1">
      <c r="C2237" s="588">
        <v>1</v>
      </c>
      <c r="D2237" s="56" t="s">
        <v>5</v>
      </c>
      <c r="E2237" s="577" t="s">
        <v>6</v>
      </c>
      <c r="F2237" s="62">
        <v>1.8859999999999999</v>
      </c>
      <c r="G2237" s="63">
        <f>VLOOKUP(D2237,upahbahan,3,FALSE)</f>
        <v>100000</v>
      </c>
      <c r="H2237" s="63">
        <f>F2237*G2237</f>
        <v>188600</v>
      </c>
      <c r="I2237" s="44"/>
      <c r="J2237" s="44"/>
      <c r="K2237" s="44"/>
      <c r="L2237" s="152" t="s">
        <v>1248</v>
      </c>
      <c r="O2237" s="65">
        <v>0.1</v>
      </c>
    </row>
    <row r="2238" spans="3:15" s="59" customFormat="1" ht="21" customHeight="1">
      <c r="C2238" s="588">
        <v>2</v>
      </c>
      <c r="D2238" s="56" t="s">
        <v>10</v>
      </c>
      <c r="E2238" s="577" t="s">
        <v>6</v>
      </c>
      <c r="F2238" s="62">
        <v>3.149</v>
      </c>
      <c r="G2238" s="63">
        <f>VLOOKUP(D2238,upahbahan,3,FALSE)</f>
        <v>135000</v>
      </c>
      <c r="H2238" s="63">
        <f>F2238*G2238</f>
        <v>425115</v>
      </c>
      <c r="I2238" s="44"/>
      <c r="J2238" s="44"/>
      <c r="K2238" s="44"/>
    </row>
    <row r="2239" spans="3:15" s="59" customFormat="1" ht="21" customHeight="1">
      <c r="C2239" s="588">
        <v>3</v>
      </c>
      <c r="D2239" s="56" t="s">
        <v>18</v>
      </c>
      <c r="E2239" s="577" t="s">
        <v>6</v>
      </c>
      <c r="F2239" s="62">
        <v>0.315</v>
      </c>
      <c r="G2239" s="63">
        <f>VLOOKUP(D2239,upahbahan,3,FALSE)</f>
        <v>150000</v>
      </c>
      <c r="H2239" s="63">
        <f>F2239*G2239</f>
        <v>47250</v>
      </c>
      <c r="I2239" s="44"/>
      <c r="J2239" s="44"/>
      <c r="K2239" s="44"/>
    </row>
    <row r="2240" spans="3:15" s="59" customFormat="1" ht="21" customHeight="1">
      <c r="C2240" s="588">
        <v>4</v>
      </c>
      <c r="D2240" s="56" t="s">
        <v>19</v>
      </c>
      <c r="E2240" s="577" t="s">
        <v>6</v>
      </c>
      <c r="F2240" s="62">
        <v>9.4E-2</v>
      </c>
      <c r="G2240" s="63">
        <f>VLOOKUP(D2240,upahbahan,3,FALSE)</f>
        <v>160000</v>
      </c>
      <c r="H2240" s="63">
        <f>F2240*G2240</f>
        <v>15040</v>
      </c>
      <c r="I2240" s="44"/>
      <c r="J2240" s="44"/>
      <c r="K2240" s="44"/>
    </row>
    <row r="2241" spans="3:15" s="59" customFormat="1" ht="21" customHeight="1">
      <c r="C2241" s="450" t="s">
        <v>1208</v>
      </c>
      <c r="D2241" s="67"/>
      <c r="E2241" s="67"/>
      <c r="F2241" s="142"/>
      <c r="G2241" s="153"/>
      <c r="H2241" s="63">
        <f>SUM(H2237:H2240)</f>
        <v>676005</v>
      </c>
      <c r="I2241" s="154"/>
      <c r="J2241" s="154"/>
      <c r="K2241" s="154"/>
    </row>
    <row r="2242" spans="3:15" s="59" customFormat="1" ht="21" customHeight="1">
      <c r="C2242" s="61" t="s">
        <v>1209</v>
      </c>
      <c r="D2242" s="56" t="s">
        <v>1210</v>
      </c>
      <c r="E2242" s="57"/>
      <c r="F2242" s="57"/>
      <c r="G2242" s="57"/>
      <c r="H2242" s="57"/>
      <c r="I2242" s="44"/>
      <c r="J2242" s="44"/>
      <c r="K2242" s="44"/>
    </row>
    <row r="2243" spans="3:15" s="59" customFormat="1" ht="21" customHeight="1">
      <c r="C2243" s="61">
        <v>1</v>
      </c>
      <c r="D2243" s="56" t="s">
        <v>4027</v>
      </c>
      <c r="E2243" s="93" t="s">
        <v>135</v>
      </c>
      <c r="F2243" s="104">
        <v>1.3</v>
      </c>
      <c r="G2243" s="63">
        <f>VLOOKUP(D2243,upahbahan,3,FALSE)</f>
        <v>4520000</v>
      </c>
      <c r="H2243" s="586">
        <f>G2243*F2243</f>
        <v>5876000</v>
      </c>
      <c r="I2243" s="44"/>
      <c r="J2243" s="44"/>
      <c r="K2243" s="44"/>
    </row>
    <row r="2244" spans="3:15" s="59" customFormat="1" ht="21" customHeight="1">
      <c r="C2244" s="450" t="s">
        <v>1214</v>
      </c>
      <c r="D2244" s="67"/>
      <c r="E2244" s="67"/>
      <c r="F2244" s="67"/>
      <c r="G2244" s="69"/>
      <c r="H2244" s="63">
        <f>SUM(H2243:H2243)</f>
        <v>5876000</v>
      </c>
      <c r="I2244" s="44"/>
      <c r="J2244" s="44"/>
      <c r="K2244" s="44"/>
    </row>
    <row r="2245" spans="3:15" s="59" customFormat="1" ht="21" customHeight="1">
      <c r="C2245" s="61" t="s">
        <v>1215</v>
      </c>
      <c r="D2245" s="56" t="s">
        <v>1216</v>
      </c>
      <c r="E2245" s="57"/>
      <c r="F2245" s="57"/>
      <c r="G2245" s="57"/>
      <c r="H2245" s="57"/>
      <c r="I2245" s="44"/>
      <c r="J2245" s="44"/>
      <c r="K2245" s="44"/>
    </row>
    <row r="2246" spans="3:15" s="59" customFormat="1" ht="21" customHeight="1">
      <c r="C2246" s="450" t="s">
        <v>1217</v>
      </c>
      <c r="D2246" s="67"/>
      <c r="E2246" s="67"/>
      <c r="F2246" s="67"/>
      <c r="G2246" s="69"/>
      <c r="H2246" s="589">
        <v>0</v>
      </c>
      <c r="I2246" s="44"/>
      <c r="J2246" s="44"/>
      <c r="K2246" s="44"/>
    </row>
    <row r="2247" spans="3:15" s="59" customFormat="1" ht="21" customHeight="1">
      <c r="C2247" s="288" t="s">
        <v>1218</v>
      </c>
      <c r="D2247" s="76" t="s">
        <v>1219</v>
      </c>
      <c r="E2247" s="77"/>
      <c r="F2247" s="77"/>
      <c r="G2247" s="78"/>
      <c r="H2247" s="585">
        <f>H2246+H2244+H2241</f>
        <v>6552005</v>
      </c>
      <c r="I2247" s="369"/>
      <c r="J2247" s="44"/>
      <c r="K2247" s="44"/>
    </row>
    <row r="2248" spans="3:15" s="59" customFormat="1" ht="21" customHeight="1">
      <c r="C2248" s="288" t="s">
        <v>1220</v>
      </c>
      <c r="D2248" s="76" t="s">
        <v>1321</v>
      </c>
      <c r="E2248" s="77"/>
      <c r="F2248" s="78"/>
      <c r="G2248" s="80">
        <v>0.1</v>
      </c>
      <c r="H2248" s="63">
        <f>H2247*G2248</f>
        <v>655200.5</v>
      </c>
      <c r="I2248" s="369"/>
      <c r="J2248" s="44"/>
      <c r="K2248" s="44"/>
    </row>
    <row r="2249" spans="3:15" s="59" customFormat="1" ht="21" customHeight="1">
      <c r="C2249" s="288" t="s">
        <v>1221</v>
      </c>
      <c r="D2249" s="76" t="s">
        <v>1222</v>
      </c>
      <c r="E2249" s="77"/>
      <c r="F2249" s="77"/>
      <c r="G2249" s="78"/>
      <c r="H2249" s="799">
        <f>SUM(H2247:H2248)</f>
        <v>7207205.5</v>
      </c>
      <c r="I2249" s="369"/>
      <c r="J2249" s="44"/>
      <c r="K2249" s="44"/>
    </row>
    <row r="2250" spans="3:15" ht="21" customHeight="1"/>
    <row r="2251" spans="3:15" ht="21" customHeight="1"/>
    <row r="2252" spans="3:15" ht="21" customHeight="1">
      <c r="C2252" s="43" t="s">
        <v>8342</v>
      </c>
      <c r="D2252" s="128" t="s">
        <v>4031</v>
      </c>
    </row>
    <row r="2253" spans="3:15" s="59" customFormat="1" ht="21" customHeight="1">
      <c r="C2253" s="147" t="s">
        <v>5338</v>
      </c>
      <c r="D2253" s="794" t="s">
        <v>4032</v>
      </c>
      <c r="E2253" s="795"/>
      <c r="F2253" s="795"/>
      <c r="G2253" s="795"/>
      <c r="H2253" s="795"/>
      <c r="I2253" s="50">
        <f>ROUNDDOWN(H2268,-2)</f>
        <v>52200</v>
      </c>
      <c r="J2253" s="50"/>
      <c r="K2253" s="50"/>
    </row>
    <row r="2254" spans="3:15" s="59" customFormat="1" ht="21" customHeight="1">
      <c r="C2254" s="591" t="s">
        <v>1195</v>
      </c>
      <c r="D2254" s="591" t="s">
        <v>1196</v>
      </c>
      <c r="E2254" s="591" t="s">
        <v>1197</v>
      </c>
      <c r="F2254" s="591" t="s">
        <v>1198</v>
      </c>
      <c r="G2254" s="591" t="s">
        <v>1199</v>
      </c>
      <c r="H2254" s="591" t="s">
        <v>1200</v>
      </c>
      <c r="I2254" s="44"/>
      <c r="J2254" s="44"/>
      <c r="K2254" s="44"/>
    </row>
    <row r="2255" spans="3:15" s="59" customFormat="1" ht="21" customHeight="1">
      <c r="C2255" s="61" t="s">
        <v>1201</v>
      </c>
      <c r="D2255" s="56" t="s">
        <v>1202</v>
      </c>
      <c r="E2255" s="57"/>
      <c r="F2255" s="57"/>
      <c r="G2255" s="57"/>
      <c r="H2255" s="57"/>
      <c r="I2255" s="44"/>
      <c r="J2255" s="44"/>
      <c r="K2255" s="44"/>
      <c r="L2255" s="152" t="s">
        <v>1247</v>
      </c>
    </row>
    <row r="2256" spans="3:15" s="59" customFormat="1" ht="21" customHeight="1">
      <c r="C2256" s="588">
        <v>1</v>
      </c>
      <c r="D2256" s="56" t="s">
        <v>5</v>
      </c>
      <c r="E2256" s="577" t="s">
        <v>6</v>
      </c>
      <c r="F2256" s="62">
        <v>5.1999999999999998E-2</v>
      </c>
      <c r="G2256" s="63">
        <f>VLOOKUP(D2256,upahbahan,3,FALSE)</f>
        <v>100000</v>
      </c>
      <c r="H2256" s="63">
        <f>F2256*G2256</f>
        <v>5200</v>
      </c>
      <c r="I2256" s="44"/>
      <c r="J2256" s="44"/>
      <c r="K2256" s="44"/>
      <c r="L2256" s="152" t="s">
        <v>1248</v>
      </c>
      <c r="O2256" s="65">
        <v>0.1</v>
      </c>
    </row>
    <row r="2257" spans="3:12" s="59" customFormat="1" ht="21" customHeight="1">
      <c r="C2257" s="588">
        <v>2</v>
      </c>
      <c r="D2257" s="56" t="s">
        <v>10</v>
      </c>
      <c r="E2257" s="577" t="s">
        <v>6</v>
      </c>
      <c r="F2257" s="62">
        <v>8.6999999999999994E-2</v>
      </c>
      <c r="G2257" s="63">
        <f>VLOOKUP(D2257,upahbahan,3,FALSE)</f>
        <v>135000</v>
      </c>
      <c r="H2257" s="63">
        <f>F2257*G2257</f>
        <v>11745</v>
      </c>
      <c r="I2257" s="44"/>
      <c r="J2257" s="44"/>
      <c r="K2257" s="44"/>
    </row>
    <row r="2258" spans="3:12" s="59" customFormat="1" ht="21" customHeight="1">
      <c r="C2258" s="588">
        <v>3</v>
      </c>
      <c r="D2258" s="56" t="s">
        <v>18</v>
      </c>
      <c r="E2258" s="577" t="s">
        <v>6</v>
      </c>
      <c r="F2258" s="62">
        <v>8.9999999999999993E-3</v>
      </c>
      <c r="G2258" s="63">
        <f>VLOOKUP(D2258,upahbahan,3,FALSE)</f>
        <v>150000</v>
      </c>
      <c r="H2258" s="63">
        <f>F2258*G2258</f>
        <v>1350</v>
      </c>
      <c r="I2258" s="44"/>
      <c r="J2258" s="44"/>
      <c r="K2258" s="44"/>
    </row>
    <row r="2259" spans="3:12" s="59" customFormat="1" ht="21" customHeight="1">
      <c r="C2259" s="588">
        <v>4</v>
      </c>
      <c r="D2259" s="56" t="s">
        <v>19</v>
      </c>
      <c r="E2259" s="577" t="s">
        <v>6</v>
      </c>
      <c r="F2259" s="62">
        <v>3.0000000000000001E-3</v>
      </c>
      <c r="G2259" s="63">
        <f>VLOOKUP(D2259,upahbahan,3,FALSE)</f>
        <v>160000</v>
      </c>
      <c r="H2259" s="63">
        <f>F2259*G2259</f>
        <v>480</v>
      </c>
      <c r="I2259" s="44"/>
      <c r="J2259" s="44"/>
      <c r="K2259" s="44"/>
    </row>
    <row r="2260" spans="3:12" s="59" customFormat="1" ht="21" customHeight="1">
      <c r="C2260" s="450" t="s">
        <v>1208</v>
      </c>
      <c r="D2260" s="67"/>
      <c r="E2260" s="67"/>
      <c r="F2260" s="142"/>
      <c r="G2260" s="153"/>
      <c r="H2260" s="63">
        <f>SUM(H2256:H2259)</f>
        <v>18775</v>
      </c>
      <c r="I2260" s="154"/>
      <c r="J2260" s="154"/>
      <c r="K2260" s="154"/>
    </row>
    <row r="2261" spans="3:12" s="59" customFormat="1" ht="21" customHeight="1">
      <c r="C2261" s="61" t="s">
        <v>1209</v>
      </c>
      <c r="D2261" s="56" t="s">
        <v>1210</v>
      </c>
      <c r="E2261" s="57"/>
      <c r="F2261" s="57"/>
      <c r="G2261" s="57"/>
      <c r="H2261" s="57"/>
      <c r="I2261" s="44"/>
      <c r="J2261" s="44"/>
      <c r="K2261" s="44"/>
    </row>
    <row r="2262" spans="3:12" s="59" customFormat="1" ht="21" customHeight="1">
      <c r="C2262" s="61">
        <v>1</v>
      </c>
      <c r="D2262" s="56" t="s">
        <v>4033</v>
      </c>
      <c r="E2262" s="93" t="s">
        <v>135</v>
      </c>
      <c r="F2262" s="104">
        <v>1.1499999999999999</v>
      </c>
      <c r="G2262" s="63">
        <f>VLOOKUP(D2262,upahbahan,3,FALSE)</f>
        <v>25000</v>
      </c>
      <c r="H2262" s="586">
        <f>G2262*F2262</f>
        <v>28749.999999999996</v>
      </c>
      <c r="I2262" s="44"/>
      <c r="J2262" s="44"/>
      <c r="K2262" s="44"/>
    </row>
    <row r="2263" spans="3:12" s="59" customFormat="1" ht="21" customHeight="1">
      <c r="C2263" s="450" t="s">
        <v>1214</v>
      </c>
      <c r="D2263" s="67"/>
      <c r="E2263" s="67"/>
      <c r="F2263" s="67"/>
      <c r="G2263" s="69"/>
      <c r="H2263" s="63">
        <f>SUM(H2262:H2262)</f>
        <v>28749.999999999996</v>
      </c>
      <c r="I2263" s="44"/>
      <c r="J2263" s="44"/>
      <c r="K2263" s="44"/>
    </row>
    <row r="2264" spans="3:12" s="59" customFormat="1" ht="21" customHeight="1">
      <c r="C2264" s="61" t="s">
        <v>1215</v>
      </c>
      <c r="D2264" s="56" t="s">
        <v>1216</v>
      </c>
      <c r="E2264" s="57"/>
      <c r="F2264" s="57"/>
      <c r="G2264" s="57"/>
      <c r="H2264" s="57"/>
      <c r="I2264" s="44"/>
      <c r="J2264" s="44"/>
      <c r="K2264" s="44"/>
    </row>
    <row r="2265" spans="3:12" s="59" customFormat="1" ht="21" customHeight="1">
      <c r="C2265" s="450" t="s">
        <v>1217</v>
      </c>
      <c r="D2265" s="67"/>
      <c r="E2265" s="67"/>
      <c r="F2265" s="67"/>
      <c r="G2265" s="69"/>
      <c r="H2265" s="589">
        <v>0</v>
      </c>
      <c r="I2265" s="44"/>
      <c r="J2265" s="44"/>
      <c r="K2265" s="44"/>
    </row>
    <row r="2266" spans="3:12" s="59" customFormat="1" ht="21" customHeight="1">
      <c r="C2266" s="288" t="s">
        <v>1218</v>
      </c>
      <c r="D2266" s="76" t="s">
        <v>1219</v>
      </c>
      <c r="E2266" s="77"/>
      <c r="F2266" s="77"/>
      <c r="G2266" s="78"/>
      <c r="H2266" s="585">
        <f>H2265+H2263+H2260</f>
        <v>47525</v>
      </c>
      <c r="I2266" s="369"/>
      <c r="J2266" s="44"/>
      <c r="K2266" s="44"/>
    </row>
    <row r="2267" spans="3:12" s="59" customFormat="1" ht="21" customHeight="1">
      <c r="C2267" s="288" t="s">
        <v>1220</v>
      </c>
      <c r="D2267" s="76" t="s">
        <v>1321</v>
      </c>
      <c r="E2267" s="77"/>
      <c r="F2267" s="78"/>
      <c r="G2267" s="80">
        <v>0.1</v>
      </c>
      <c r="H2267" s="63">
        <f>H2266*G2267</f>
        <v>4752.5</v>
      </c>
      <c r="I2267" s="369"/>
      <c r="J2267" s="44"/>
      <c r="K2267" s="44"/>
    </row>
    <row r="2268" spans="3:12" s="59" customFormat="1" ht="21" customHeight="1">
      <c r="C2268" s="288" t="s">
        <v>1221</v>
      </c>
      <c r="D2268" s="76" t="s">
        <v>1222</v>
      </c>
      <c r="E2268" s="77"/>
      <c r="F2268" s="77"/>
      <c r="G2268" s="78"/>
      <c r="H2268" s="799">
        <f>SUM(H2266:H2267)</f>
        <v>52277.5</v>
      </c>
      <c r="I2268" s="369"/>
      <c r="J2268" s="44"/>
      <c r="K2268" s="44"/>
    </row>
    <row r="2269" spans="3:12" ht="21" customHeight="1"/>
    <row r="2270" spans="3:12" s="59" customFormat="1" ht="21" customHeight="1">
      <c r="C2270" s="147" t="s">
        <v>5339</v>
      </c>
      <c r="D2270" s="794" t="s">
        <v>4034</v>
      </c>
      <c r="E2270" s="795"/>
      <c r="F2270" s="795"/>
      <c r="G2270" s="795"/>
      <c r="H2270" s="795"/>
      <c r="I2270" s="50">
        <f>ROUNDDOWN(H2285,-2)</f>
        <v>77400</v>
      </c>
      <c r="J2270" s="50"/>
      <c r="K2270" s="50"/>
    </row>
    <row r="2271" spans="3:12" s="59" customFormat="1" ht="21" customHeight="1">
      <c r="C2271" s="591" t="s">
        <v>1195</v>
      </c>
      <c r="D2271" s="591" t="s">
        <v>1196</v>
      </c>
      <c r="E2271" s="591" t="s">
        <v>1197</v>
      </c>
      <c r="F2271" s="591" t="s">
        <v>1198</v>
      </c>
      <c r="G2271" s="591" t="s">
        <v>1199</v>
      </c>
      <c r="H2271" s="591" t="s">
        <v>1200</v>
      </c>
      <c r="I2271" s="44"/>
      <c r="J2271" s="44"/>
      <c r="K2271" s="44"/>
    </row>
    <row r="2272" spans="3:12" s="59" customFormat="1" ht="21" customHeight="1">
      <c r="C2272" s="61" t="s">
        <v>1201</v>
      </c>
      <c r="D2272" s="56" t="s">
        <v>1202</v>
      </c>
      <c r="E2272" s="57"/>
      <c r="F2272" s="57"/>
      <c r="G2272" s="57"/>
      <c r="H2272" s="57"/>
      <c r="I2272" s="44"/>
      <c r="J2272" s="44"/>
      <c r="K2272" s="44"/>
      <c r="L2272" s="152" t="s">
        <v>1247</v>
      </c>
    </row>
    <row r="2273" spans="3:15" s="59" customFormat="1" ht="21" customHeight="1">
      <c r="C2273" s="588">
        <v>1</v>
      </c>
      <c r="D2273" s="56" t="s">
        <v>5</v>
      </c>
      <c r="E2273" s="577" t="s">
        <v>6</v>
      </c>
      <c r="F2273" s="62">
        <v>7.9000000000000001E-2</v>
      </c>
      <c r="G2273" s="63">
        <f>VLOOKUP(D2273,upahbahan,3,FALSE)</f>
        <v>100000</v>
      </c>
      <c r="H2273" s="63">
        <f>F2273*G2273</f>
        <v>7900</v>
      </c>
      <c r="I2273" s="44"/>
      <c r="J2273" s="44"/>
      <c r="K2273" s="44"/>
      <c r="L2273" s="152" t="s">
        <v>1248</v>
      </c>
      <c r="O2273" s="65">
        <v>0.1</v>
      </c>
    </row>
    <row r="2274" spans="3:15" s="59" customFormat="1" ht="21" customHeight="1">
      <c r="C2274" s="588">
        <v>2</v>
      </c>
      <c r="D2274" s="56" t="s">
        <v>10</v>
      </c>
      <c r="E2274" s="577" t="s">
        <v>6</v>
      </c>
      <c r="F2274" s="62">
        <v>0.13100000000000001</v>
      </c>
      <c r="G2274" s="63">
        <f>VLOOKUP(D2274,upahbahan,3,FALSE)</f>
        <v>135000</v>
      </c>
      <c r="H2274" s="63">
        <f>F2274*G2274</f>
        <v>17685</v>
      </c>
      <c r="I2274" s="44"/>
      <c r="J2274" s="44"/>
      <c r="K2274" s="44"/>
    </row>
    <row r="2275" spans="3:15" s="59" customFormat="1" ht="21" customHeight="1">
      <c r="C2275" s="588">
        <v>3</v>
      </c>
      <c r="D2275" s="56" t="s">
        <v>18</v>
      </c>
      <c r="E2275" s="577" t="s">
        <v>6</v>
      </c>
      <c r="F2275" s="62">
        <v>1.2999999999999999E-2</v>
      </c>
      <c r="G2275" s="63">
        <f>VLOOKUP(D2275,upahbahan,3,FALSE)</f>
        <v>150000</v>
      </c>
      <c r="H2275" s="63">
        <f>F2275*G2275</f>
        <v>1950</v>
      </c>
      <c r="I2275" s="44"/>
      <c r="J2275" s="44"/>
      <c r="K2275" s="44"/>
    </row>
    <row r="2276" spans="3:15" s="59" customFormat="1" ht="21" customHeight="1">
      <c r="C2276" s="588">
        <v>4</v>
      </c>
      <c r="D2276" s="56" t="s">
        <v>19</v>
      </c>
      <c r="E2276" s="577" t="s">
        <v>6</v>
      </c>
      <c r="F2276" s="62">
        <v>4.0000000000000001E-3</v>
      </c>
      <c r="G2276" s="63">
        <f>VLOOKUP(D2276,upahbahan,3,FALSE)</f>
        <v>160000</v>
      </c>
      <c r="H2276" s="63">
        <f>F2276*G2276</f>
        <v>640</v>
      </c>
      <c r="I2276" s="44"/>
      <c r="J2276" s="44"/>
      <c r="K2276" s="44"/>
    </row>
    <row r="2277" spans="3:15" s="59" customFormat="1" ht="21" customHeight="1">
      <c r="C2277" s="450" t="s">
        <v>1208</v>
      </c>
      <c r="D2277" s="67"/>
      <c r="E2277" s="67"/>
      <c r="F2277" s="142"/>
      <c r="G2277" s="153"/>
      <c r="H2277" s="63">
        <f>SUM(H2273:H2276)</f>
        <v>28175</v>
      </c>
      <c r="I2277" s="154"/>
      <c r="J2277" s="154"/>
      <c r="K2277" s="154"/>
    </row>
    <row r="2278" spans="3:15" s="59" customFormat="1" ht="21" customHeight="1">
      <c r="C2278" s="61" t="s">
        <v>1209</v>
      </c>
      <c r="D2278" s="56" t="s">
        <v>1210</v>
      </c>
      <c r="E2278" s="57"/>
      <c r="F2278" s="57"/>
      <c r="G2278" s="57"/>
      <c r="H2278" s="57"/>
      <c r="I2278" s="44"/>
      <c r="J2278" s="44"/>
      <c r="K2278" s="44"/>
    </row>
    <row r="2279" spans="3:15" s="59" customFormat="1" ht="21" customHeight="1">
      <c r="C2279" s="61">
        <v>1</v>
      </c>
      <c r="D2279" s="56" t="s">
        <v>4035</v>
      </c>
      <c r="E2279" s="93" t="s">
        <v>135</v>
      </c>
      <c r="F2279" s="104">
        <v>1.1499999999999999</v>
      </c>
      <c r="G2279" s="63">
        <f>VLOOKUP(D2279,upahbahan,3,FALSE)</f>
        <v>36750</v>
      </c>
      <c r="H2279" s="586">
        <f>G2279*F2279</f>
        <v>42262.5</v>
      </c>
      <c r="I2279" s="44"/>
      <c r="J2279" s="44"/>
      <c r="K2279" s="44"/>
    </row>
    <row r="2280" spans="3:15" s="59" customFormat="1" ht="21" customHeight="1">
      <c r="C2280" s="450" t="s">
        <v>1214</v>
      </c>
      <c r="D2280" s="67"/>
      <c r="E2280" s="67"/>
      <c r="F2280" s="67"/>
      <c r="G2280" s="69"/>
      <c r="H2280" s="63">
        <f>SUM(H2279:H2279)</f>
        <v>42262.5</v>
      </c>
      <c r="I2280" s="44"/>
      <c r="J2280" s="44"/>
      <c r="K2280" s="44"/>
    </row>
    <row r="2281" spans="3:15" s="59" customFormat="1" ht="21" customHeight="1">
      <c r="C2281" s="61" t="s">
        <v>1215</v>
      </c>
      <c r="D2281" s="56" t="s">
        <v>1216</v>
      </c>
      <c r="E2281" s="57"/>
      <c r="F2281" s="57"/>
      <c r="G2281" s="57"/>
      <c r="H2281" s="57"/>
      <c r="I2281" s="44"/>
      <c r="J2281" s="44"/>
      <c r="K2281" s="44"/>
    </row>
    <row r="2282" spans="3:15" s="59" customFormat="1" ht="21" customHeight="1">
      <c r="C2282" s="450" t="s">
        <v>1217</v>
      </c>
      <c r="D2282" s="67"/>
      <c r="E2282" s="67"/>
      <c r="F2282" s="67"/>
      <c r="G2282" s="69"/>
      <c r="H2282" s="589">
        <v>0</v>
      </c>
      <c r="I2282" s="44"/>
      <c r="J2282" s="44"/>
      <c r="K2282" s="44"/>
    </row>
    <row r="2283" spans="3:15" s="59" customFormat="1" ht="21" customHeight="1">
      <c r="C2283" s="288" t="s">
        <v>1218</v>
      </c>
      <c r="D2283" s="76" t="s">
        <v>1219</v>
      </c>
      <c r="E2283" s="77"/>
      <c r="F2283" s="77"/>
      <c r="G2283" s="78"/>
      <c r="H2283" s="585">
        <f>H2282+H2280+H2277</f>
        <v>70437.5</v>
      </c>
      <c r="I2283" s="369"/>
      <c r="J2283" s="44"/>
      <c r="K2283" s="44"/>
    </row>
    <row r="2284" spans="3:15" s="59" customFormat="1" ht="21" customHeight="1">
      <c r="C2284" s="288" t="s">
        <v>1220</v>
      </c>
      <c r="D2284" s="76" t="s">
        <v>1321</v>
      </c>
      <c r="E2284" s="77"/>
      <c r="F2284" s="78"/>
      <c r="G2284" s="80">
        <v>0.1</v>
      </c>
      <c r="H2284" s="63">
        <f>H2283*G2284</f>
        <v>7043.75</v>
      </c>
      <c r="I2284" s="369"/>
      <c r="J2284" s="44"/>
      <c r="K2284" s="44"/>
    </row>
    <row r="2285" spans="3:15" s="59" customFormat="1" ht="21" customHeight="1">
      <c r="C2285" s="288" t="s">
        <v>1221</v>
      </c>
      <c r="D2285" s="76" t="s">
        <v>1222</v>
      </c>
      <c r="E2285" s="77"/>
      <c r="F2285" s="77"/>
      <c r="G2285" s="78"/>
      <c r="H2285" s="799">
        <f>SUM(H2283:H2284)</f>
        <v>77481.25</v>
      </c>
      <c r="I2285" s="369"/>
      <c r="J2285" s="44"/>
      <c r="K2285" s="44"/>
    </row>
    <row r="2286" spans="3:15" ht="21" customHeight="1"/>
    <row r="2287" spans="3:15" s="59" customFormat="1" ht="21" customHeight="1">
      <c r="C2287" s="147" t="s">
        <v>5340</v>
      </c>
      <c r="D2287" s="794" t="s">
        <v>4036</v>
      </c>
      <c r="E2287" s="795"/>
      <c r="F2287" s="795"/>
      <c r="G2287" s="795"/>
      <c r="H2287" s="795"/>
      <c r="I2287" s="50">
        <f>ROUNDDOWN(H2302,-2)</f>
        <v>99500</v>
      </c>
      <c r="J2287" s="50"/>
      <c r="K2287" s="50"/>
    </row>
    <row r="2288" spans="3:15" s="59" customFormat="1" ht="21" customHeight="1">
      <c r="C2288" s="591" t="s">
        <v>1195</v>
      </c>
      <c r="D2288" s="591" t="s">
        <v>1196</v>
      </c>
      <c r="E2288" s="591" t="s">
        <v>1197</v>
      </c>
      <c r="F2288" s="591" t="s">
        <v>1198</v>
      </c>
      <c r="G2288" s="591" t="s">
        <v>1199</v>
      </c>
      <c r="H2288" s="591" t="s">
        <v>1200</v>
      </c>
      <c r="I2288" s="44"/>
      <c r="J2288" s="44"/>
      <c r="K2288" s="44"/>
    </row>
    <row r="2289" spans="3:15" s="59" customFormat="1" ht="21" customHeight="1">
      <c r="C2289" s="61" t="s">
        <v>1201</v>
      </c>
      <c r="D2289" s="56" t="s">
        <v>1202</v>
      </c>
      <c r="E2289" s="57"/>
      <c r="F2289" s="57"/>
      <c r="G2289" s="57"/>
      <c r="H2289" s="57"/>
      <c r="I2289" s="44"/>
      <c r="J2289" s="44"/>
      <c r="K2289" s="44"/>
      <c r="L2289" s="152" t="s">
        <v>1247</v>
      </c>
    </row>
    <row r="2290" spans="3:15" s="59" customFormat="1" ht="21" customHeight="1">
      <c r="C2290" s="588">
        <v>1</v>
      </c>
      <c r="D2290" s="56" t="s">
        <v>5</v>
      </c>
      <c r="E2290" s="577" t="s">
        <v>6</v>
      </c>
      <c r="F2290" s="62">
        <v>0.105</v>
      </c>
      <c r="G2290" s="63">
        <f>VLOOKUP(D2290,upahbahan,3,FALSE)</f>
        <v>100000</v>
      </c>
      <c r="H2290" s="63">
        <f>F2290*G2290</f>
        <v>10500</v>
      </c>
      <c r="I2290" s="44"/>
      <c r="J2290" s="44"/>
      <c r="K2290" s="44"/>
      <c r="L2290" s="152" t="s">
        <v>1248</v>
      </c>
      <c r="O2290" s="65">
        <v>0.1</v>
      </c>
    </row>
    <row r="2291" spans="3:15" s="59" customFormat="1" ht="21" customHeight="1">
      <c r="C2291" s="588">
        <v>2</v>
      </c>
      <c r="D2291" s="56" t="s">
        <v>10</v>
      </c>
      <c r="E2291" s="577" t="s">
        <v>6</v>
      </c>
      <c r="F2291" s="62">
        <v>0.17499999999999999</v>
      </c>
      <c r="G2291" s="63">
        <f>VLOOKUP(D2291,upahbahan,3,FALSE)</f>
        <v>135000</v>
      </c>
      <c r="H2291" s="63">
        <f>F2291*G2291</f>
        <v>23625</v>
      </c>
      <c r="I2291" s="44"/>
      <c r="J2291" s="44"/>
      <c r="K2291" s="44"/>
    </row>
    <row r="2292" spans="3:15" s="59" customFormat="1" ht="21" customHeight="1">
      <c r="C2292" s="588">
        <v>3</v>
      </c>
      <c r="D2292" s="56" t="s">
        <v>18</v>
      </c>
      <c r="E2292" s="577" t="s">
        <v>6</v>
      </c>
      <c r="F2292" s="62">
        <v>1.7000000000000001E-2</v>
      </c>
      <c r="G2292" s="63">
        <f>VLOOKUP(D2292,upahbahan,3,FALSE)</f>
        <v>150000</v>
      </c>
      <c r="H2292" s="63">
        <f>F2292*G2292</f>
        <v>2550</v>
      </c>
      <c r="I2292" s="44"/>
      <c r="J2292" s="44"/>
      <c r="K2292" s="44"/>
    </row>
    <row r="2293" spans="3:15" s="59" customFormat="1" ht="21" customHeight="1">
      <c r="C2293" s="588">
        <v>4</v>
      </c>
      <c r="D2293" s="56" t="s">
        <v>19</v>
      </c>
      <c r="E2293" s="577" t="s">
        <v>6</v>
      </c>
      <c r="F2293" s="62">
        <v>5.0000000000000001E-3</v>
      </c>
      <c r="G2293" s="63">
        <f>VLOOKUP(D2293,upahbahan,3,FALSE)</f>
        <v>160000</v>
      </c>
      <c r="H2293" s="63">
        <f>F2293*G2293</f>
        <v>800</v>
      </c>
      <c r="I2293" s="44"/>
      <c r="J2293" s="44"/>
      <c r="K2293" s="44"/>
    </row>
    <row r="2294" spans="3:15" s="59" customFormat="1" ht="21" customHeight="1">
      <c r="C2294" s="450" t="s">
        <v>1208</v>
      </c>
      <c r="D2294" s="67"/>
      <c r="E2294" s="67"/>
      <c r="F2294" s="142"/>
      <c r="G2294" s="153"/>
      <c r="H2294" s="63">
        <f>SUM(H2290:H2293)</f>
        <v>37475</v>
      </c>
      <c r="I2294" s="154"/>
      <c r="J2294" s="154"/>
      <c r="K2294" s="154"/>
    </row>
    <row r="2295" spans="3:15" s="59" customFormat="1" ht="21" customHeight="1">
      <c r="C2295" s="61" t="s">
        <v>1209</v>
      </c>
      <c r="D2295" s="56" t="s">
        <v>1210</v>
      </c>
      <c r="E2295" s="57"/>
      <c r="F2295" s="57"/>
      <c r="G2295" s="57"/>
      <c r="H2295" s="57"/>
      <c r="I2295" s="44"/>
      <c r="J2295" s="44"/>
      <c r="K2295" s="44"/>
    </row>
    <row r="2296" spans="3:15" s="59" customFormat="1" ht="21" customHeight="1">
      <c r="C2296" s="61">
        <v>1</v>
      </c>
      <c r="D2296" s="56" t="s">
        <v>4037</v>
      </c>
      <c r="E2296" s="93" t="s">
        <v>135</v>
      </c>
      <c r="F2296" s="104">
        <v>1.1499999999999999</v>
      </c>
      <c r="G2296" s="63">
        <f>VLOOKUP(D2296,upahbahan,3,FALSE)</f>
        <v>46100</v>
      </c>
      <c r="H2296" s="586">
        <f>G2296*F2296</f>
        <v>53014.999999999993</v>
      </c>
      <c r="I2296" s="44"/>
      <c r="J2296" s="44"/>
      <c r="K2296" s="44"/>
    </row>
    <row r="2297" spans="3:15" s="59" customFormat="1" ht="21" customHeight="1">
      <c r="C2297" s="450" t="s">
        <v>1214</v>
      </c>
      <c r="D2297" s="67"/>
      <c r="E2297" s="67"/>
      <c r="F2297" s="67"/>
      <c r="G2297" s="69"/>
      <c r="H2297" s="63">
        <f>SUM(H2296:H2296)</f>
        <v>53014.999999999993</v>
      </c>
      <c r="I2297" s="44"/>
      <c r="J2297" s="44"/>
      <c r="K2297" s="44"/>
    </row>
    <row r="2298" spans="3:15" s="59" customFormat="1" ht="21" customHeight="1">
      <c r="C2298" s="61" t="s">
        <v>1215</v>
      </c>
      <c r="D2298" s="56" t="s">
        <v>1216</v>
      </c>
      <c r="E2298" s="57"/>
      <c r="F2298" s="57"/>
      <c r="G2298" s="57"/>
      <c r="H2298" s="57"/>
      <c r="I2298" s="44"/>
      <c r="J2298" s="44"/>
      <c r="K2298" s="44"/>
    </row>
    <row r="2299" spans="3:15" s="59" customFormat="1" ht="21" customHeight="1">
      <c r="C2299" s="450" t="s">
        <v>1217</v>
      </c>
      <c r="D2299" s="67"/>
      <c r="E2299" s="67"/>
      <c r="F2299" s="67"/>
      <c r="G2299" s="69"/>
      <c r="H2299" s="589">
        <v>0</v>
      </c>
      <c r="I2299" s="44"/>
      <c r="J2299" s="44"/>
      <c r="K2299" s="44"/>
    </row>
    <row r="2300" spans="3:15" s="59" customFormat="1" ht="21" customHeight="1">
      <c r="C2300" s="288" t="s">
        <v>1218</v>
      </c>
      <c r="D2300" s="76" t="s">
        <v>1219</v>
      </c>
      <c r="E2300" s="77"/>
      <c r="F2300" s="77"/>
      <c r="G2300" s="78"/>
      <c r="H2300" s="585">
        <f>H2299+H2297+H2294</f>
        <v>90490</v>
      </c>
      <c r="I2300" s="369"/>
      <c r="J2300" s="44"/>
      <c r="K2300" s="44"/>
    </row>
    <row r="2301" spans="3:15" s="59" customFormat="1" ht="21" customHeight="1">
      <c r="C2301" s="288" t="s">
        <v>1220</v>
      </c>
      <c r="D2301" s="76" t="s">
        <v>1321</v>
      </c>
      <c r="E2301" s="77"/>
      <c r="F2301" s="78"/>
      <c r="G2301" s="80">
        <v>0.1</v>
      </c>
      <c r="H2301" s="63">
        <f>H2300*G2301</f>
        <v>9049</v>
      </c>
      <c r="I2301" s="369"/>
      <c r="J2301" s="44"/>
      <c r="K2301" s="44"/>
    </row>
    <row r="2302" spans="3:15" s="59" customFormat="1" ht="21" customHeight="1">
      <c r="C2302" s="288" t="s">
        <v>1221</v>
      </c>
      <c r="D2302" s="76" t="s">
        <v>1222</v>
      </c>
      <c r="E2302" s="77"/>
      <c r="F2302" s="77"/>
      <c r="G2302" s="78"/>
      <c r="H2302" s="799">
        <f>SUM(H2300:H2301)</f>
        <v>99539</v>
      </c>
      <c r="I2302" s="369"/>
      <c r="J2302" s="44"/>
      <c r="K2302" s="44"/>
    </row>
    <row r="2303" spans="3:15" ht="21" customHeight="1"/>
    <row r="2304" spans="3:15" s="59" customFormat="1" ht="21" customHeight="1">
      <c r="C2304" s="147" t="s">
        <v>5341</v>
      </c>
      <c r="D2304" s="794" t="s">
        <v>4038</v>
      </c>
      <c r="E2304" s="795"/>
      <c r="F2304" s="795"/>
      <c r="G2304" s="795"/>
      <c r="H2304" s="795"/>
      <c r="I2304" s="50">
        <f>ROUNDDOWN(H2319,-2)</f>
        <v>136600</v>
      </c>
      <c r="J2304" s="50"/>
      <c r="K2304" s="50"/>
    </row>
    <row r="2305" spans="3:15" s="59" customFormat="1" ht="21" customHeight="1">
      <c r="C2305" s="591" t="s">
        <v>1195</v>
      </c>
      <c r="D2305" s="591" t="s">
        <v>1196</v>
      </c>
      <c r="E2305" s="591" t="s">
        <v>1197</v>
      </c>
      <c r="F2305" s="591" t="s">
        <v>1198</v>
      </c>
      <c r="G2305" s="591" t="s">
        <v>1199</v>
      </c>
      <c r="H2305" s="591" t="s">
        <v>1200</v>
      </c>
      <c r="I2305" s="44"/>
      <c r="J2305" s="44"/>
      <c r="K2305" s="44"/>
    </row>
    <row r="2306" spans="3:15" s="59" customFormat="1" ht="21" customHeight="1">
      <c r="C2306" s="61" t="s">
        <v>1201</v>
      </c>
      <c r="D2306" s="56" t="s">
        <v>1202</v>
      </c>
      <c r="E2306" s="57"/>
      <c r="F2306" s="57"/>
      <c r="G2306" s="57"/>
      <c r="H2306" s="57"/>
      <c r="I2306" s="44"/>
      <c r="J2306" s="44"/>
      <c r="K2306" s="44"/>
      <c r="L2306" s="152" t="s">
        <v>1247</v>
      </c>
    </row>
    <row r="2307" spans="3:15" s="59" customFormat="1" ht="21" customHeight="1">
      <c r="C2307" s="588">
        <v>1</v>
      </c>
      <c r="D2307" s="56" t="s">
        <v>5</v>
      </c>
      <c r="E2307" s="577" t="s">
        <v>6</v>
      </c>
      <c r="F2307" s="62">
        <v>0.129</v>
      </c>
      <c r="G2307" s="63">
        <f>VLOOKUP(D2307,upahbahan,3,FALSE)</f>
        <v>100000</v>
      </c>
      <c r="H2307" s="63">
        <f>F2307*G2307</f>
        <v>12900</v>
      </c>
      <c r="I2307" s="44"/>
      <c r="J2307" s="44"/>
      <c r="K2307" s="44"/>
      <c r="L2307" s="152" t="s">
        <v>1248</v>
      </c>
      <c r="O2307" s="65">
        <v>0.1</v>
      </c>
    </row>
    <row r="2308" spans="3:15" s="59" customFormat="1" ht="21" customHeight="1">
      <c r="C2308" s="588">
        <v>2</v>
      </c>
      <c r="D2308" s="56" t="s">
        <v>10</v>
      </c>
      <c r="E2308" s="577" t="s">
        <v>6</v>
      </c>
      <c r="F2308" s="62">
        <v>0.215</v>
      </c>
      <c r="G2308" s="63">
        <f>VLOOKUP(D2308,upahbahan,3,FALSE)</f>
        <v>135000</v>
      </c>
      <c r="H2308" s="63">
        <f>F2308*G2308</f>
        <v>29025</v>
      </c>
      <c r="I2308" s="44"/>
      <c r="J2308" s="44"/>
      <c r="K2308" s="44"/>
    </row>
    <row r="2309" spans="3:15" s="59" customFormat="1" ht="21" customHeight="1">
      <c r="C2309" s="588">
        <v>3</v>
      </c>
      <c r="D2309" s="56" t="s">
        <v>18</v>
      </c>
      <c r="E2309" s="577" t="s">
        <v>6</v>
      </c>
      <c r="F2309" s="62">
        <v>2.1000000000000001E-2</v>
      </c>
      <c r="G2309" s="63">
        <f>VLOOKUP(D2309,upahbahan,3,FALSE)</f>
        <v>150000</v>
      </c>
      <c r="H2309" s="63">
        <f>F2309*G2309</f>
        <v>3150</v>
      </c>
      <c r="I2309" s="44"/>
      <c r="J2309" s="44"/>
      <c r="K2309" s="44"/>
    </row>
    <row r="2310" spans="3:15" s="59" customFormat="1" ht="21" customHeight="1">
      <c r="C2310" s="588">
        <v>4</v>
      </c>
      <c r="D2310" s="56" t="s">
        <v>19</v>
      </c>
      <c r="E2310" s="577" t="s">
        <v>6</v>
      </c>
      <c r="F2310" s="62">
        <v>6.0000000000000001E-3</v>
      </c>
      <c r="G2310" s="63">
        <f>VLOOKUP(D2310,upahbahan,3,FALSE)</f>
        <v>160000</v>
      </c>
      <c r="H2310" s="63">
        <f>F2310*G2310</f>
        <v>960</v>
      </c>
      <c r="I2310" s="44"/>
      <c r="J2310" s="44"/>
      <c r="K2310" s="44"/>
    </row>
    <row r="2311" spans="3:15" s="59" customFormat="1" ht="21" customHeight="1">
      <c r="C2311" s="450" t="s">
        <v>1208</v>
      </c>
      <c r="D2311" s="67"/>
      <c r="E2311" s="67"/>
      <c r="F2311" s="142"/>
      <c r="G2311" s="153"/>
      <c r="H2311" s="63">
        <f>SUM(H2307:H2310)</f>
        <v>46035</v>
      </c>
      <c r="I2311" s="154"/>
      <c r="J2311" s="154"/>
      <c r="K2311" s="154"/>
    </row>
    <row r="2312" spans="3:15" s="59" customFormat="1" ht="21" customHeight="1">
      <c r="C2312" s="61" t="s">
        <v>1209</v>
      </c>
      <c r="D2312" s="56" t="s">
        <v>1210</v>
      </c>
      <c r="E2312" s="57"/>
      <c r="F2312" s="57"/>
      <c r="G2312" s="57"/>
      <c r="H2312" s="57"/>
      <c r="I2312" s="44"/>
      <c r="J2312" s="44"/>
      <c r="K2312" s="44"/>
    </row>
    <row r="2313" spans="3:15" s="59" customFormat="1" ht="21" customHeight="1">
      <c r="C2313" s="61">
        <v>1</v>
      </c>
      <c r="D2313" s="56" t="s">
        <v>4039</v>
      </c>
      <c r="E2313" s="93" t="s">
        <v>135</v>
      </c>
      <c r="F2313" s="104">
        <v>1.1499999999999999</v>
      </c>
      <c r="G2313" s="63">
        <f>VLOOKUP(D2313,upahbahan,3,FALSE)</f>
        <v>68000</v>
      </c>
      <c r="H2313" s="586">
        <f>G2313*F2313</f>
        <v>78200</v>
      </c>
      <c r="I2313" s="44"/>
      <c r="J2313" s="44"/>
      <c r="K2313" s="44"/>
    </row>
    <row r="2314" spans="3:15" s="59" customFormat="1" ht="21" customHeight="1">
      <c r="C2314" s="450" t="s">
        <v>1214</v>
      </c>
      <c r="D2314" s="67"/>
      <c r="E2314" s="67"/>
      <c r="F2314" s="67"/>
      <c r="G2314" s="69"/>
      <c r="H2314" s="63">
        <f>SUM(H2313:H2313)</f>
        <v>78200</v>
      </c>
      <c r="I2314" s="44"/>
      <c r="J2314" s="44"/>
      <c r="K2314" s="44"/>
    </row>
    <row r="2315" spans="3:15" s="59" customFormat="1" ht="21" customHeight="1">
      <c r="C2315" s="61" t="s">
        <v>1215</v>
      </c>
      <c r="D2315" s="56" t="s">
        <v>1216</v>
      </c>
      <c r="E2315" s="57"/>
      <c r="F2315" s="57"/>
      <c r="G2315" s="57"/>
      <c r="H2315" s="57"/>
      <c r="I2315" s="44"/>
      <c r="J2315" s="44"/>
      <c r="K2315" s="44"/>
    </row>
    <row r="2316" spans="3:15" s="59" customFormat="1" ht="21" customHeight="1">
      <c r="C2316" s="450" t="s">
        <v>1217</v>
      </c>
      <c r="D2316" s="67"/>
      <c r="E2316" s="67"/>
      <c r="F2316" s="67"/>
      <c r="G2316" s="69"/>
      <c r="H2316" s="589">
        <v>0</v>
      </c>
      <c r="I2316" s="44"/>
      <c r="J2316" s="44"/>
      <c r="K2316" s="44"/>
    </row>
    <row r="2317" spans="3:15" s="59" customFormat="1" ht="21" customHeight="1">
      <c r="C2317" s="288" t="s">
        <v>1218</v>
      </c>
      <c r="D2317" s="76" t="s">
        <v>1219</v>
      </c>
      <c r="E2317" s="77"/>
      <c r="F2317" s="77"/>
      <c r="G2317" s="78"/>
      <c r="H2317" s="585">
        <f>H2316+H2314+H2311</f>
        <v>124235</v>
      </c>
      <c r="I2317" s="369"/>
      <c r="J2317" s="44"/>
      <c r="K2317" s="44"/>
    </row>
    <row r="2318" spans="3:15" s="59" customFormat="1" ht="21" customHeight="1">
      <c r="C2318" s="288" t="s">
        <v>1220</v>
      </c>
      <c r="D2318" s="76" t="s">
        <v>1321</v>
      </c>
      <c r="E2318" s="77"/>
      <c r="F2318" s="78"/>
      <c r="G2318" s="80">
        <v>0.1</v>
      </c>
      <c r="H2318" s="63">
        <f>H2317*G2318</f>
        <v>12423.5</v>
      </c>
      <c r="I2318" s="369"/>
      <c r="J2318" s="44"/>
      <c r="K2318" s="44"/>
    </row>
    <row r="2319" spans="3:15" s="59" customFormat="1" ht="21" customHeight="1">
      <c r="C2319" s="288" t="s">
        <v>1221</v>
      </c>
      <c r="D2319" s="76" t="s">
        <v>1222</v>
      </c>
      <c r="E2319" s="77"/>
      <c r="F2319" s="77"/>
      <c r="G2319" s="78"/>
      <c r="H2319" s="799">
        <f>SUM(H2317:H2318)</f>
        <v>136658.5</v>
      </c>
      <c r="I2319" s="369"/>
      <c r="J2319" s="44"/>
      <c r="K2319" s="44"/>
    </row>
    <row r="2320" spans="3:15" ht="21" customHeight="1"/>
    <row r="2321" spans="3:15" s="59" customFormat="1" ht="21" customHeight="1">
      <c r="C2321" s="147" t="s">
        <v>5342</v>
      </c>
      <c r="D2321" s="794" t="s">
        <v>4040</v>
      </c>
      <c r="E2321" s="795"/>
      <c r="F2321" s="795"/>
      <c r="G2321" s="795"/>
      <c r="H2321" s="795"/>
      <c r="I2321" s="50">
        <f>ROUNDDOWN(H2336,-2)</f>
        <v>161800</v>
      </c>
      <c r="J2321" s="50"/>
      <c r="K2321" s="50"/>
    </row>
    <row r="2322" spans="3:15" s="59" customFormat="1" ht="21" customHeight="1">
      <c r="C2322" s="591" t="s">
        <v>1195</v>
      </c>
      <c r="D2322" s="591" t="s">
        <v>1196</v>
      </c>
      <c r="E2322" s="591" t="s">
        <v>1197</v>
      </c>
      <c r="F2322" s="591" t="s">
        <v>1198</v>
      </c>
      <c r="G2322" s="591" t="s">
        <v>1199</v>
      </c>
      <c r="H2322" s="591" t="s">
        <v>1200</v>
      </c>
      <c r="I2322" s="44"/>
      <c r="J2322" s="44"/>
      <c r="K2322" s="44"/>
    </row>
    <row r="2323" spans="3:15" s="59" customFormat="1" ht="21" customHeight="1">
      <c r="C2323" s="61" t="s">
        <v>1201</v>
      </c>
      <c r="D2323" s="56" t="s">
        <v>1202</v>
      </c>
      <c r="E2323" s="57"/>
      <c r="F2323" s="57"/>
      <c r="G2323" s="57"/>
      <c r="H2323" s="57"/>
      <c r="I2323" s="44"/>
      <c r="J2323" s="44"/>
      <c r="K2323" s="44"/>
      <c r="L2323" s="152" t="s">
        <v>1247</v>
      </c>
    </row>
    <row r="2324" spans="3:15" s="59" customFormat="1" ht="21" customHeight="1">
      <c r="C2324" s="588">
        <v>1</v>
      </c>
      <c r="D2324" s="56" t="s">
        <v>5</v>
      </c>
      <c r="E2324" s="577" t="s">
        <v>6</v>
      </c>
      <c r="F2324" s="62">
        <v>0.157</v>
      </c>
      <c r="G2324" s="63">
        <f>VLOOKUP(D2324,upahbahan,3,FALSE)</f>
        <v>100000</v>
      </c>
      <c r="H2324" s="63">
        <f>F2324*G2324</f>
        <v>15700</v>
      </c>
      <c r="I2324" s="44"/>
      <c r="J2324" s="44"/>
      <c r="K2324" s="44"/>
      <c r="L2324" s="152" t="s">
        <v>1248</v>
      </c>
      <c r="O2324" s="65">
        <v>0.1</v>
      </c>
    </row>
    <row r="2325" spans="3:15" s="59" customFormat="1" ht="21" customHeight="1">
      <c r="C2325" s="588">
        <v>2</v>
      </c>
      <c r="D2325" s="56" t="s">
        <v>10</v>
      </c>
      <c r="E2325" s="577" t="s">
        <v>6</v>
      </c>
      <c r="F2325" s="62">
        <v>0.26200000000000001</v>
      </c>
      <c r="G2325" s="63">
        <f>VLOOKUP(D2325,upahbahan,3,FALSE)</f>
        <v>135000</v>
      </c>
      <c r="H2325" s="63">
        <f>F2325*G2325</f>
        <v>35370</v>
      </c>
      <c r="I2325" s="44"/>
      <c r="J2325" s="44"/>
      <c r="K2325" s="44"/>
    </row>
    <row r="2326" spans="3:15" s="59" customFormat="1" ht="21" customHeight="1">
      <c r="C2326" s="588">
        <v>3</v>
      </c>
      <c r="D2326" s="56" t="s">
        <v>18</v>
      </c>
      <c r="E2326" s="577" t="s">
        <v>6</v>
      </c>
      <c r="F2326" s="62">
        <v>2.5999999999999999E-2</v>
      </c>
      <c r="G2326" s="63">
        <f>VLOOKUP(D2326,upahbahan,3,FALSE)</f>
        <v>150000</v>
      </c>
      <c r="H2326" s="63">
        <f>F2326*G2326</f>
        <v>3900</v>
      </c>
      <c r="I2326" s="44"/>
      <c r="J2326" s="44"/>
      <c r="K2326" s="44"/>
    </row>
    <row r="2327" spans="3:15" s="59" customFormat="1" ht="21" customHeight="1">
      <c r="C2327" s="588">
        <v>4</v>
      </c>
      <c r="D2327" s="56" t="s">
        <v>19</v>
      </c>
      <c r="E2327" s="577" t="s">
        <v>6</v>
      </c>
      <c r="F2327" s="62">
        <v>8.0000000000000002E-3</v>
      </c>
      <c r="G2327" s="63">
        <f>VLOOKUP(D2327,upahbahan,3,FALSE)</f>
        <v>160000</v>
      </c>
      <c r="H2327" s="63">
        <f>F2327*G2327</f>
        <v>1280</v>
      </c>
      <c r="I2327" s="44"/>
      <c r="J2327" s="44"/>
      <c r="K2327" s="44"/>
    </row>
    <row r="2328" spans="3:15" s="59" customFormat="1" ht="21" customHeight="1">
      <c r="C2328" s="450" t="s">
        <v>1208</v>
      </c>
      <c r="D2328" s="67"/>
      <c r="E2328" s="67"/>
      <c r="F2328" s="142"/>
      <c r="G2328" s="153"/>
      <c r="H2328" s="63">
        <f>SUM(H2324:H2327)</f>
        <v>56250</v>
      </c>
      <c r="I2328" s="154"/>
      <c r="J2328" s="154"/>
      <c r="K2328" s="154"/>
    </row>
    <row r="2329" spans="3:15" s="59" customFormat="1" ht="21" customHeight="1">
      <c r="C2329" s="61" t="s">
        <v>1209</v>
      </c>
      <c r="D2329" s="56" t="s">
        <v>1210</v>
      </c>
      <c r="E2329" s="57"/>
      <c r="F2329" s="57"/>
      <c r="G2329" s="57"/>
      <c r="H2329" s="57"/>
      <c r="I2329" s="44"/>
      <c r="J2329" s="44"/>
      <c r="K2329" s="44"/>
    </row>
    <row r="2330" spans="3:15" s="59" customFormat="1" ht="21" customHeight="1">
      <c r="C2330" s="61">
        <v>1</v>
      </c>
      <c r="D2330" s="56" t="s">
        <v>4041</v>
      </c>
      <c r="E2330" s="93" t="s">
        <v>135</v>
      </c>
      <c r="F2330" s="104">
        <v>1.1499999999999999</v>
      </c>
      <c r="G2330" s="63">
        <f>VLOOKUP(D2330,upahbahan,3,FALSE)</f>
        <v>79000</v>
      </c>
      <c r="H2330" s="586">
        <f>G2330*F2330</f>
        <v>90850</v>
      </c>
      <c r="I2330" s="44"/>
      <c r="J2330" s="44"/>
      <c r="K2330" s="44"/>
    </row>
    <row r="2331" spans="3:15" s="59" customFormat="1" ht="21" customHeight="1">
      <c r="C2331" s="450" t="s">
        <v>1214</v>
      </c>
      <c r="D2331" s="67"/>
      <c r="E2331" s="67"/>
      <c r="F2331" s="67"/>
      <c r="G2331" s="69"/>
      <c r="H2331" s="63">
        <f>SUM(H2330:H2330)</f>
        <v>90850</v>
      </c>
      <c r="I2331" s="44"/>
      <c r="J2331" s="44"/>
      <c r="K2331" s="44"/>
    </row>
    <row r="2332" spans="3:15" s="59" customFormat="1" ht="21" customHeight="1">
      <c r="C2332" s="61" t="s">
        <v>1215</v>
      </c>
      <c r="D2332" s="56" t="s">
        <v>1216</v>
      </c>
      <c r="E2332" s="57"/>
      <c r="F2332" s="57"/>
      <c r="G2332" s="57"/>
      <c r="H2332" s="57"/>
      <c r="I2332" s="44"/>
      <c r="J2332" s="44"/>
      <c r="K2332" s="44"/>
    </row>
    <row r="2333" spans="3:15" s="59" customFormat="1" ht="21" customHeight="1">
      <c r="C2333" s="450" t="s">
        <v>1217</v>
      </c>
      <c r="D2333" s="67"/>
      <c r="E2333" s="67"/>
      <c r="F2333" s="67"/>
      <c r="G2333" s="69"/>
      <c r="H2333" s="589">
        <v>0</v>
      </c>
      <c r="I2333" s="44"/>
      <c r="J2333" s="44"/>
      <c r="K2333" s="44"/>
    </row>
    <row r="2334" spans="3:15" s="59" customFormat="1" ht="21" customHeight="1">
      <c r="C2334" s="288" t="s">
        <v>1218</v>
      </c>
      <c r="D2334" s="76" t="s">
        <v>1219</v>
      </c>
      <c r="E2334" s="77"/>
      <c r="F2334" s="77"/>
      <c r="G2334" s="78"/>
      <c r="H2334" s="585">
        <f>H2333+H2331+H2328</f>
        <v>147100</v>
      </c>
      <c r="I2334" s="369"/>
      <c r="J2334" s="44"/>
      <c r="K2334" s="44"/>
    </row>
    <row r="2335" spans="3:15" s="59" customFormat="1" ht="21" customHeight="1">
      <c r="C2335" s="288" t="s">
        <v>1220</v>
      </c>
      <c r="D2335" s="76" t="s">
        <v>1321</v>
      </c>
      <c r="E2335" s="77"/>
      <c r="F2335" s="78"/>
      <c r="G2335" s="80">
        <v>0.1</v>
      </c>
      <c r="H2335" s="63">
        <f>H2334*G2335</f>
        <v>14710</v>
      </c>
      <c r="I2335" s="369"/>
      <c r="J2335" s="44"/>
      <c r="K2335" s="44"/>
    </row>
    <row r="2336" spans="3:15" s="59" customFormat="1" ht="21" customHeight="1">
      <c r="C2336" s="288" t="s">
        <v>1221</v>
      </c>
      <c r="D2336" s="76" t="s">
        <v>1222</v>
      </c>
      <c r="E2336" s="77"/>
      <c r="F2336" s="77"/>
      <c r="G2336" s="78"/>
      <c r="H2336" s="799">
        <f>SUM(H2334:H2335)</f>
        <v>161810</v>
      </c>
      <c r="I2336" s="369"/>
      <c r="J2336" s="44"/>
      <c r="K2336" s="44"/>
    </row>
    <row r="2337" spans="3:15" ht="21" customHeight="1"/>
    <row r="2338" spans="3:15" s="59" customFormat="1" ht="21" customHeight="1">
      <c r="C2338" s="147" t="s">
        <v>5343</v>
      </c>
      <c r="D2338" s="794" t="s">
        <v>4042</v>
      </c>
      <c r="E2338" s="795"/>
      <c r="F2338" s="795"/>
      <c r="G2338" s="795"/>
      <c r="H2338" s="795"/>
      <c r="I2338" s="50">
        <f>ROUNDDOWN(H2353,-2)</f>
        <v>230900</v>
      </c>
      <c r="J2338" s="50"/>
      <c r="K2338" s="50"/>
    </row>
    <row r="2339" spans="3:15" s="59" customFormat="1" ht="21" customHeight="1">
      <c r="C2339" s="591" t="s">
        <v>1195</v>
      </c>
      <c r="D2339" s="591" t="s">
        <v>1196</v>
      </c>
      <c r="E2339" s="591" t="s">
        <v>1197</v>
      </c>
      <c r="F2339" s="591" t="s">
        <v>1198</v>
      </c>
      <c r="G2339" s="591" t="s">
        <v>1199</v>
      </c>
      <c r="H2339" s="591" t="s">
        <v>1200</v>
      </c>
      <c r="I2339" s="44"/>
      <c r="J2339" s="44"/>
      <c r="K2339" s="44"/>
    </row>
    <row r="2340" spans="3:15" s="59" customFormat="1" ht="21" customHeight="1">
      <c r="C2340" s="61" t="s">
        <v>1201</v>
      </c>
      <c r="D2340" s="56" t="s">
        <v>1202</v>
      </c>
      <c r="E2340" s="57"/>
      <c r="F2340" s="57"/>
      <c r="G2340" s="57"/>
      <c r="H2340" s="57"/>
      <c r="I2340" s="44"/>
      <c r="J2340" s="44"/>
      <c r="K2340" s="44"/>
      <c r="L2340" s="152" t="s">
        <v>1247</v>
      </c>
    </row>
    <row r="2341" spans="3:15" s="59" customFormat="1" ht="21" customHeight="1">
      <c r="C2341" s="588">
        <v>1</v>
      </c>
      <c r="D2341" s="56" t="s">
        <v>5</v>
      </c>
      <c r="E2341" s="577" t="s">
        <v>6</v>
      </c>
      <c r="F2341" s="62">
        <v>0.20699999999999999</v>
      </c>
      <c r="G2341" s="63">
        <f>VLOOKUP(D2341,upahbahan,3,FALSE)</f>
        <v>100000</v>
      </c>
      <c r="H2341" s="63">
        <f>F2341*G2341</f>
        <v>20700</v>
      </c>
      <c r="I2341" s="44"/>
      <c r="J2341" s="44"/>
      <c r="K2341" s="44"/>
      <c r="L2341" s="152" t="s">
        <v>1248</v>
      </c>
      <c r="O2341" s="65">
        <v>0.1</v>
      </c>
    </row>
    <row r="2342" spans="3:15" s="59" customFormat="1" ht="21" customHeight="1">
      <c r="C2342" s="588">
        <v>2</v>
      </c>
      <c r="D2342" s="56" t="s">
        <v>10</v>
      </c>
      <c r="E2342" s="577" t="s">
        <v>6</v>
      </c>
      <c r="F2342" s="62">
        <v>0.34599999999999997</v>
      </c>
      <c r="G2342" s="63">
        <f>VLOOKUP(D2342,upahbahan,3,FALSE)</f>
        <v>135000</v>
      </c>
      <c r="H2342" s="63">
        <f>F2342*G2342</f>
        <v>46710</v>
      </c>
      <c r="I2342" s="44"/>
      <c r="J2342" s="44"/>
      <c r="K2342" s="44"/>
    </row>
    <row r="2343" spans="3:15" s="59" customFormat="1" ht="21" customHeight="1">
      <c r="C2343" s="588">
        <v>3</v>
      </c>
      <c r="D2343" s="56" t="s">
        <v>18</v>
      </c>
      <c r="E2343" s="577" t="s">
        <v>6</v>
      </c>
      <c r="F2343" s="62">
        <v>3.5000000000000003E-2</v>
      </c>
      <c r="G2343" s="63">
        <f>VLOOKUP(D2343,upahbahan,3,FALSE)</f>
        <v>150000</v>
      </c>
      <c r="H2343" s="63">
        <f>F2343*G2343</f>
        <v>5250.0000000000009</v>
      </c>
      <c r="I2343" s="44"/>
      <c r="J2343" s="44"/>
      <c r="K2343" s="44"/>
    </row>
    <row r="2344" spans="3:15" s="59" customFormat="1" ht="21" customHeight="1">
      <c r="C2344" s="588">
        <v>4</v>
      </c>
      <c r="D2344" s="56" t="s">
        <v>19</v>
      </c>
      <c r="E2344" s="577" t="s">
        <v>6</v>
      </c>
      <c r="F2344" s="62">
        <v>0.01</v>
      </c>
      <c r="G2344" s="63">
        <f>VLOOKUP(D2344,upahbahan,3,FALSE)</f>
        <v>160000</v>
      </c>
      <c r="H2344" s="63">
        <f>F2344*G2344</f>
        <v>1600</v>
      </c>
      <c r="I2344" s="44"/>
      <c r="J2344" s="44"/>
      <c r="K2344" s="44"/>
    </row>
    <row r="2345" spans="3:15" s="59" customFormat="1" ht="21" customHeight="1">
      <c r="C2345" s="450" t="s">
        <v>1208</v>
      </c>
      <c r="D2345" s="67"/>
      <c r="E2345" s="67"/>
      <c r="F2345" s="142"/>
      <c r="G2345" s="153"/>
      <c r="H2345" s="63">
        <f>SUM(H2341:H2344)</f>
        <v>74260</v>
      </c>
      <c r="I2345" s="154"/>
      <c r="J2345" s="154"/>
      <c r="K2345" s="154"/>
    </row>
    <row r="2346" spans="3:15" s="59" customFormat="1" ht="21" customHeight="1">
      <c r="C2346" s="61" t="s">
        <v>1209</v>
      </c>
      <c r="D2346" s="56" t="s">
        <v>1210</v>
      </c>
      <c r="E2346" s="57"/>
      <c r="F2346" s="57"/>
      <c r="G2346" s="57"/>
      <c r="H2346" s="57"/>
      <c r="I2346" s="44"/>
      <c r="J2346" s="44"/>
      <c r="K2346" s="44"/>
    </row>
    <row r="2347" spans="3:15" s="59" customFormat="1" ht="21" customHeight="1">
      <c r="C2347" s="61">
        <v>1</v>
      </c>
      <c r="D2347" s="56" t="s">
        <v>4046</v>
      </c>
      <c r="E2347" s="93" t="s">
        <v>135</v>
      </c>
      <c r="F2347" s="104">
        <v>1.1499999999999999</v>
      </c>
      <c r="G2347" s="63">
        <f>VLOOKUP(D2347,upahbahan,3,FALSE)</f>
        <v>118000</v>
      </c>
      <c r="H2347" s="586">
        <f>G2347*F2347</f>
        <v>135700</v>
      </c>
      <c r="I2347" s="44"/>
      <c r="J2347" s="44"/>
      <c r="K2347" s="44"/>
    </row>
    <row r="2348" spans="3:15" s="59" customFormat="1" ht="21" customHeight="1">
      <c r="C2348" s="450" t="s">
        <v>1214</v>
      </c>
      <c r="D2348" s="67"/>
      <c r="E2348" s="67"/>
      <c r="F2348" s="67"/>
      <c r="G2348" s="69"/>
      <c r="H2348" s="63">
        <f>SUM(H2347:H2347)</f>
        <v>135700</v>
      </c>
      <c r="I2348" s="44"/>
      <c r="J2348" s="44"/>
      <c r="K2348" s="44"/>
    </row>
    <row r="2349" spans="3:15" s="59" customFormat="1" ht="21" customHeight="1">
      <c r="C2349" s="61" t="s">
        <v>1215</v>
      </c>
      <c r="D2349" s="56" t="s">
        <v>1216</v>
      </c>
      <c r="E2349" s="57"/>
      <c r="F2349" s="57"/>
      <c r="G2349" s="57"/>
      <c r="H2349" s="57"/>
      <c r="I2349" s="44"/>
      <c r="J2349" s="44"/>
      <c r="K2349" s="44"/>
    </row>
    <row r="2350" spans="3:15" s="59" customFormat="1" ht="21" customHeight="1">
      <c r="C2350" s="450" t="s">
        <v>1217</v>
      </c>
      <c r="D2350" s="67"/>
      <c r="E2350" s="67"/>
      <c r="F2350" s="67"/>
      <c r="G2350" s="69"/>
      <c r="H2350" s="589">
        <v>0</v>
      </c>
      <c r="I2350" s="44"/>
      <c r="J2350" s="44"/>
      <c r="K2350" s="44"/>
    </row>
    <row r="2351" spans="3:15" s="59" customFormat="1" ht="21" customHeight="1">
      <c r="C2351" s="288" t="s">
        <v>1218</v>
      </c>
      <c r="D2351" s="76" t="s">
        <v>1219</v>
      </c>
      <c r="E2351" s="77"/>
      <c r="F2351" s="77"/>
      <c r="G2351" s="78"/>
      <c r="H2351" s="585">
        <f>H2350+H2348+H2345</f>
        <v>209960</v>
      </c>
      <c r="I2351" s="369"/>
      <c r="J2351" s="44"/>
      <c r="K2351" s="44"/>
    </row>
    <row r="2352" spans="3:15" s="59" customFormat="1" ht="21" customHeight="1">
      <c r="C2352" s="288" t="s">
        <v>1220</v>
      </c>
      <c r="D2352" s="76" t="s">
        <v>1321</v>
      </c>
      <c r="E2352" s="77"/>
      <c r="F2352" s="78"/>
      <c r="G2352" s="80">
        <v>0.1</v>
      </c>
      <c r="H2352" s="63">
        <f>H2351*G2352</f>
        <v>20996</v>
      </c>
      <c r="I2352" s="369"/>
      <c r="J2352" s="44"/>
      <c r="K2352" s="44"/>
    </row>
    <row r="2353" spans="3:15" s="59" customFormat="1" ht="21" customHeight="1">
      <c r="C2353" s="288" t="s">
        <v>1221</v>
      </c>
      <c r="D2353" s="76" t="s">
        <v>1222</v>
      </c>
      <c r="E2353" s="77"/>
      <c r="F2353" s="77"/>
      <c r="G2353" s="78"/>
      <c r="H2353" s="799">
        <f>SUM(H2351:H2352)</f>
        <v>230956</v>
      </c>
      <c r="I2353" s="369"/>
      <c r="J2353" s="44"/>
      <c r="K2353" s="44"/>
    </row>
    <row r="2354" spans="3:15" ht="21" customHeight="1"/>
    <row r="2355" spans="3:15" ht="21" customHeight="1"/>
    <row r="2356" spans="3:15" s="59" customFormat="1" ht="21" customHeight="1">
      <c r="C2356" s="147" t="s">
        <v>5344</v>
      </c>
      <c r="D2356" s="794" t="s">
        <v>4043</v>
      </c>
      <c r="E2356" s="795"/>
      <c r="F2356" s="795"/>
      <c r="G2356" s="795"/>
      <c r="H2356" s="795"/>
      <c r="I2356" s="50">
        <f>ROUNDDOWN(H2371,-2)</f>
        <v>285700</v>
      </c>
      <c r="J2356" s="50"/>
      <c r="K2356" s="50"/>
    </row>
    <row r="2357" spans="3:15" s="59" customFormat="1" ht="21" customHeight="1">
      <c r="C2357" s="591" t="s">
        <v>1195</v>
      </c>
      <c r="D2357" s="591" t="s">
        <v>1196</v>
      </c>
      <c r="E2357" s="591" t="s">
        <v>1197</v>
      </c>
      <c r="F2357" s="591" t="s">
        <v>1198</v>
      </c>
      <c r="G2357" s="591" t="s">
        <v>1199</v>
      </c>
      <c r="H2357" s="591" t="s">
        <v>1200</v>
      </c>
      <c r="I2357" s="44"/>
      <c r="J2357" s="44"/>
      <c r="K2357" s="44"/>
    </row>
    <row r="2358" spans="3:15" s="59" customFormat="1" ht="21" customHeight="1">
      <c r="C2358" s="61" t="s">
        <v>1201</v>
      </c>
      <c r="D2358" s="56" t="s">
        <v>1202</v>
      </c>
      <c r="E2358" s="57"/>
      <c r="F2358" s="57"/>
      <c r="G2358" s="57"/>
      <c r="H2358" s="57"/>
      <c r="I2358" s="44"/>
      <c r="J2358" s="44"/>
      <c r="K2358" s="44"/>
      <c r="L2358" s="152" t="s">
        <v>1247</v>
      </c>
    </row>
    <row r="2359" spans="3:15" s="59" customFormat="1" ht="21" customHeight="1">
      <c r="C2359" s="588">
        <v>1</v>
      </c>
      <c r="D2359" s="56" t="s">
        <v>5</v>
      </c>
      <c r="E2359" s="577" t="s">
        <v>6</v>
      </c>
      <c r="F2359" s="62">
        <v>0.26</v>
      </c>
      <c r="G2359" s="63">
        <f>VLOOKUP(D2359,upahbahan,3,FALSE)</f>
        <v>100000</v>
      </c>
      <c r="H2359" s="63">
        <f>F2359*G2359</f>
        <v>26000</v>
      </c>
      <c r="I2359" s="44"/>
      <c r="J2359" s="44"/>
      <c r="K2359" s="44"/>
      <c r="L2359" s="152" t="s">
        <v>1248</v>
      </c>
      <c r="O2359" s="65">
        <v>0.1</v>
      </c>
    </row>
    <row r="2360" spans="3:15" s="59" customFormat="1" ht="21" customHeight="1">
      <c r="C2360" s="588">
        <v>2</v>
      </c>
      <c r="D2360" s="56" t="s">
        <v>10</v>
      </c>
      <c r="E2360" s="577" t="s">
        <v>6</v>
      </c>
      <c r="F2360" s="62">
        <v>0.433</v>
      </c>
      <c r="G2360" s="63">
        <f>VLOOKUP(D2360,upahbahan,3,FALSE)</f>
        <v>135000</v>
      </c>
      <c r="H2360" s="63">
        <f>F2360*G2360</f>
        <v>58455</v>
      </c>
      <c r="I2360" s="44"/>
      <c r="J2360" s="44"/>
      <c r="K2360" s="44"/>
    </row>
    <row r="2361" spans="3:15" s="59" customFormat="1" ht="21" customHeight="1">
      <c r="C2361" s="588">
        <v>3</v>
      </c>
      <c r="D2361" s="56" t="s">
        <v>18</v>
      </c>
      <c r="E2361" s="577" t="s">
        <v>6</v>
      </c>
      <c r="F2361" s="62">
        <v>4.2999999999999997E-2</v>
      </c>
      <c r="G2361" s="63">
        <f>VLOOKUP(D2361,upahbahan,3,FALSE)</f>
        <v>150000</v>
      </c>
      <c r="H2361" s="63">
        <f>F2361*G2361</f>
        <v>6449.9999999999991</v>
      </c>
      <c r="I2361" s="44"/>
      <c r="J2361" s="44"/>
      <c r="K2361" s="44"/>
    </row>
    <row r="2362" spans="3:15" s="59" customFormat="1" ht="21" customHeight="1">
      <c r="C2362" s="588">
        <v>4</v>
      </c>
      <c r="D2362" s="56" t="s">
        <v>19</v>
      </c>
      <c r="E2362" s="577" t="s">
        <v>6</v>
      </c>
      <c r="F2362" s="62">
        <v>1.2999999999999999E-2</v>
      </c>
      <c r="G2362" s="63">
        <f>VLOOKUP(D2362,upahbahan,3,FALSE)</f>
        <v>160000</v>
      </c>
      <c r="H2362" s="63">
        <f>F2362*G2362</f>
        <v>2080</v>
      </c>
      <c r="I2362" s="44"/>
      <c r="J2362" s="44"/>
      <c r="K2362" s="44"/>
    </row>
    <row r="2363" spans="3:15" s="59" customFormat="1" ht="21" customHeight="1">
      <c r="C2363" s="450" t="s">
        <v>1208</v>
      </c>
      <c r="D2363" s="67"/>
      <c r="E2363" s="67"/>
      <c r="F2363" s="142"/>
      <c r="G2363" s="153"/>
      <c r="H2363" s="63">
        <f>SUM(H2359:H2362)</f>
        <v>92985</v>
      </c>
      <c r="I2363" s="154"/>
      <c r="J2363" s="154"/>
      <c r="K2363" s="154"/>
    </row>
    <row r="2364" spans="3:15" s="59" customFormat="1" ht="21" customHeight="1">
      <c r="C2364" s="61" t="s">
        <v>1209</v>
      </c>
      <c r="D2364" s="56" t="s">
        <v>1210</v>
      </c>
      <c r="E2364" s="57"/>
      <c r="F2364" s="57"/>
      <c r="G2364" s="57"/>
      <c r="H2364" s="57"/>
      <c r="I2364" s="44"/>
      <c r="J2364" s="44"/>
      <c r="K2364" s="44"/>
    </row>
    <row r="2365" spans="3:15" s="59" customFormat="1" ht="21" customHeight="1">
      <c r="C2365" s="61">
        <v>1</v>
      </c>
      <c r="D2365" s="56" t="s">
        <v>4049</v>
      </c>
      <c r="E2365" s="93" t="s">
        <v>135</v>
      </c>
      <c r="F2365" s="104">
        <v>1.1499999999999999</v>
      </c>
      <c r="G2365" s="63">
        <f>VLOOKUP(D2365,upahbahan,3,FALSE)</f>
        <v>145000</v>
      </c>
      <c r="H2365" s="586">
        <f>G2365*F2365</f>
        <v>166750</v>
      </c>
      <c r="I2365" s="44"/>
      <c r="J2365" s="44"/>
      <c r="K2365" s="44"/>
    </row>
    <row r="2366" spans="3:15" s="59" customFormat="1" ht="21" customHeight="1">
      <c r="C2366" s="450" t="s">
        <v>1214</v>
      </c>
      <c r="D2366" s="67"/>
      <c r="E2366" s="67"/>
      <c r="F2366" s="67"/>
      <c r="G2366" s="69"/>
      <c r="H2366" s="63">
        <f>SUM(H2365:H2365)</f>
        <v>166750</v>
      </c>
      <c r="I2366" s="44"/>
      <c r="J2366" s="44"/>
      <c r="K2366" s="44"/>
    </row>
    <row r="2367" spans="3:15" s="59" customFormat="1" ht="21" customHeight="1">
      <c r="C2367" s="61" t="s">
        <v>1215</v>
      </c>
      <c r="D2367" s="56" t="s">
        <v>1216</v>
      </c>
      <c r="E2367" s="57"/>
      <c r="F2367" s="57"/>
      <c r="G2367" s="57"/>
      <c r="H2367" s="57"/>
      <c r="I2367" s="44"/>
      <c r="J2367" s="44"/>
      <c r="K2367" s="44"/>
    </row>
    <row r="2368" spans="3:15" s="59" customFormat="1" ht="21" customHeight="1">
      <c r="C2368" s="450" t="s">
        <v>1217</v>
      </c>
      <c r="D2368" s="67"/>
      <c r="E2368" s="67"/>
      <c r="F2368" s="67"/>
      <c r="G2368" s="69"/>
      <c r="H2368" s="589">
        <v>0</v>
      </c>
      <c r="I2368" s="44"/>
      <c r="J2368" s="44"/>
      <c r="K2368" s="44"/>
    </row>
    <row r="2369" spans="3:15" s="59" customFormat="1" ht="21" customHeight="1">
      <c r="C2369" s="288" t="s">
        <v>1218</v>
      </c>
      <c r="D2369" s="76" t="s">
        <v>1219</v>
      </c>
      <c r="E2369" s="77"/>
      <c r="F2369" s="77"/>
      <c r="G2369" s="78"/>
      <c r="H2369" s="585">
        <f>H2368+H2366+H2363</f>
        <v>259735</v>
      </c>
      <c r="I2369" s="369"/>
      <c r="J2369" s="44"/>
      <c r="K2369" s="44"/>
    </row>
    <row r="2370" spans="3:15" s="59" customFormat="1" ht="21" customHeight="1">
      <c r="C2370" s="288" t="s">
        <v>1220</v>
      </c>
      <c r="D2370" s="76" t="s">
        <v>1321</v>
      </c>
      <c r="E2370" s="77"/>
      <c r="F2370" s="78"/>
      <c r="G2370" s="80">
        <v>0.1</v>
      </c>
      <c r="H2370" s="63">
        <f>H2369*G2370</f>
        <v>25973.5</v>
      </c>
      <c r="I2370" s="369"/>
      <c r="J2370" s="44"/>
      <c r="K2370" s="44"/>
    </row>
    <row r="2371" spans="3:15" s="59" customFormat="1" ht="21" customHeight="1">
      <c r="C2371" s="288" t="s">
        <v>1221</v>
      </c>
      <c r="D2371" s="76" t="s">
        <v>1222</v>
      </c>
      <c r="E2371" s="77"/>
      <c r="F2371" s="77"/>
      <c r="G2371" s="78"/>
      <c r="H2371" s="799">
        <f>SUM(H2369:H2370)</f>
        <v>285708.5</v>
      </c>
      <c r="I2371" s="369"/>
      <c r="J2371" s="44"/>
      <c r="K2371" s="44"/>
    </row>
    <row r="2372" spans="3:15" ht="21" customHeight="1"/>
    <row r="2373" spans="3:15" s="59" customFormat="1" ht="21" customHeight="1">
      <c r="C2373" s="147" t="s">
        <v>5345</v>
      </c>
      <c r="D2373" s="794" t="s">
        <v>4044</v>
      </c>
      <c r="E2373" s="795"/>
      <c r="F2373" s="795"/>
      <c r="G2373" s="795"/>
      <c r="H2373" s="795"/>
      <c r="I2373" s="50">
        <f>ROUNDDOWN(H2388,-2)</f>
        <v>493300</v>
      </c>
      <c r="J2373" s="50"/>
      <c r="K2373" s="50"/>
    </row>
    <row r="2374" spans="3:15" s="59" customFormat="1" ht="21" customHeight="1">
      <c r="C2374" s="591" t="s">
        <v>1195</v>
      </c>
      <c r="D2374" s="591" t="s">
        <v>1196</v>
      </c>
      <c r="E2374" s="591" t="s">
        <v>1197</v>
      </c>
      <c r="F2374" s="591" t="s">
        <v>1198</v>
      </c>
      <c r="G2374" s="591" t="s">
        <v>1199</v>
      </c>
      <c r="H2374" s="591" t="s">
        <v>1200</v>
      </c>
      <c r="I2374" s="44"/>
      <c r="J2374" s="44"/>
      <c r="K2374" s="44"/>
    </row>
    <row r="2375" spans="3:15" s="59" customFormat="1" ht="21" customHeight="1">
      <c r="C2375" s="61" t="s">
        <v>1201</v>
      </c>
      <c r="D2375" s="56" t="s">
        <v>1202</v>
      </c>
      <c r="E2375" s="57"/>
      <c r="F2375" s="57"/>
      <c r="G2375" s="57"/>
      <c r="H2375" s="57"/>
      <c r="I2375" s="44"/>
      <c r="J2375" s="44"/>
      <c r="K2375" s="44"/>
      <c r="L2375" s="152" t="s">
        <v>1247</v>
      </c>
    </row>
    <row r="2376" spans="3:15" s="59" customFormat="1" ht="21" customHeight="1">
      <c r="C2376" s="588">
        <v>1</v>
      </c>
      <c r="D2376" s="56" t="s">
        <v>5</v>
      </c>
      <c r="E2376" s="577" t="s">
        <v>6</v>
      </c>
      <c r="F2376" s="62">
        <v>0.47099999999999997</v>
      </c>
      <c r="G2376" s="63">
        <f>VLOOKUP(D2376,upahbahan,3,FALSE)</f>
        <v>100000</v>
      </c>
      <c r="H2376" s="63">
        <f>F2376*G2376</f>
        <v>47100</v>
      </c>
      <c r="I2376" s="44"/>
      <c r="J2376" s="44"/>
      <c r="K2376" s="44"/>
      <c r="L2376" s="152" t="s">
        <v>1248</v>
      </c>
      <c r="O2376" s="65">
        <v>0.1</v>
      </c>
    </row>
    <row r="2377" spans="3:15" s="59" customFormat="1" ht="21" customHeight="1">
      <c r="C2377" s="588">
        <v>2</v>
      </c>
      <c r="D2377" s="56" t="s">
        <v>10</v>
      </c>
      <c r="E2377" s="577" t="s">
        <v>6</v>
      </c>
      <c r="F2377" s="62">
        <v>0.78700000000000003</v>
      </c>
      <c r="G2377" s="63">
        <f>VLOOKUP(D2377,upahbahan,3,FALSE)</f>
        <v>135000</v>
      </c>
      <c r="H2377" s="63">
        <f>F2377*G2377</f>
        <v>106245</v>
      </c>
      <c r="I2377" s="44"/>
      <c r="J2377" s="44"/>
      <c r="K2377" s="44"/>
    </row>
    <row r="2378" spans="3:15" s="59" customFormat="1" ht="21" customHeight="1">
      <c r="C2378" s="588">
        <v>3</v>
      </c>
      <c r="D2378" s="56" t="s">
        <v>18</v>
      </c>
      <c r="E2378" s="577" t="s">
        <v>6</v>
      </c>
      <c r="F2378" s="62">
        <v>7.9000000000000001E-2</v>
      </c>
      <c r="G2378" s="63">
        <f>VLOOKUP(D2378,upahbahan,3,FALSE)</f>
        <v>150000</v>
      </c>
      <c r="H2378" s="63">
        <f>F2378*G2378</f>
        <v>11850</v>
      </c>
      <c r="I2378" s="44"/>
      <c r="J2378" s="44"/>
      <c r="K2378" s="44"/>
    </row>
    <row r="2379" spans="3:15" s="59" customFormat="1" ht="21" customHeight="1">
      <c r="C2379" s="588">
        <v>4</v>
      </c>
      <c r="D2379" s="56" t="s">
        <v>19</v>
      </c>
      <c r="E2379" s="577" t="s">
        <v>6</v>
      </c>
      <c r="F2379" s="62">
        <v>2.4E-2</v>
      </c>
      <c r="G2379" s="63">
        <f>VLOOKUP(D2379,upahbahan,3,FALSE)</f>
        <v>160000</v>
      </c>
      <c r="H2379" s="63">
        <f>F2379*G2379</f>
        <v>3840</v>
      </c>
      <c r="I2379" s="44"/>
      <c r="J2379" s="44"/>
      <c r="K2379" s="44"/>
    </row>
    <row r="2380" spans="3:15" s="59" customFormat="1" ht="21" customHeight="1">
      <c r="C2380" s="450" t="s">
        <v>1208</v>
      </c>
      <c r="D2380" s="67"/>
      <c r="E2380" s="67"/>
      <c r="F2380" s="142"/>
      <c r="G2380" s="153"/>
      <c r="H2380" s="63">
        <f>SUM(H2376:H2379)</f>
        <v>169035</v>
      </c>
      <c r="I2380" s="154"/>
      <c r="J2380" s="154"/>
      <c r="K2380" s="154"/>
    </row>
    <row r="2381" spans="3:15" s="59" customFormat="1" ht="21" customHeight="1">
      <c r="C2381" s="61" t="s">
        <v>1209</v>
      </c>
      <c r="D2381" s="56" t="s">
        <v>1210</v>
      </c>
      <c r="E2381" s="57"/>
      <c r="F2381" s="57"/>
      <c r="G2381" s="57"/>
      <c r="H2381" s="57"/>
      <c r="I2381" s="44"/>
      <c r="J2381" s="44"/>
      <c r="K2381" s="44"/>
    </row>
    <row r="2382" spans="3:15" s="59" customFormat="1" ht="21" customHeight="1">
      <c r="C2382" s="61">
        <v>1</v>
      </c>
      <c r="D2382" s="56" t="s">
        <v>4047</v>
      </c>
      <c r="E2382" s="93" t="s">
        <v>135</v>
      </c>
      <c r="F2382" s="104">
        <v>1.3</v>
      </c>
      <c r="G2382" s="63">
        <f>VLOOKUP(D2382,upahbahan,3,FALSE)</f>
        <v>215000</v>
      </c>
      <c r="H2382" s="586">
        <f>G2382*F2382</f>
        <v>279500</v>
      </c>
      <c r="I2382" s="44"/>
      <c r="J2382" s="44"/>
      <c r="K2382" s="44"/>
    </row>
    <row r="2383" spans="3:15" s="59" customFormat="1" ht="21" customHeight="1">
      <c r="C2383" s="450" t="s">
        <v>1214</v>
      </c>
      <c r="D2383" s="67"/>
      <c r="E2383" s="67"/>
      <c r="F2383" s="67"/>
      <c r="G2383" s="69"/>
      <c r="H2383" s="63">
        <f>SUM(H2382:H2382)</f>
        <v>279500</v>
      </c>
      <c r="I2383" s="44"/>
      <c r="J2383" s="44"/>
      <c r="K2383" s="44"/>
    </row>
    <row r="2384" spans="3:15" s="59" customFormat="1" ht="21" customHeight="1">
      <c r="C2384" s="61" t="s">
        <v>1215</v>
      </c>
      <c r="D2384" s="56" t="s">
        <v>1216</v>
      </c>
      <c r="E2384" s="57"/>
      <c r="F2384" s="57"/>
      <c r="G2384" s="57"/>
      <c r="H2384" s="57"/>
      <c r="I2384" s="44"/>
      <c r="J2384" s="44"/>
      <c r="K2384" s="44"/>
    </row>
    <row r="2385" spans="3:15" s="59" customFormat="1" ht="21" customHeight="1">
      <c r="C2385" s="450" t="s">
        <v>1217</v>
      </c>
      <c r="D2385" s="67"/>
      <c r="E2385" s="67"/>
      <c r="F2385" s="67"/>
      <c r="G2385" s="69"/>
      <c r="H2385" s="589">
        <v>0</v>
      </c>
      <c r="I2385" s="44"/>
      <c r="J2385" s="44"/>
      <c r="K2385" s="44"/>
    </row>
    <row r="2386" spans="3:15" s="59" customFormat="1" ht="21" customHeight="1">
      <c r="C2386" s="288" t="s">
        <v>1218</v>
      </c>
      <c r="D2386" s="76" t="s">
        <v>1219</v>
      </c>
      <c r="E2386" s="77"/>
      <c r="F2386" s="77"/>
      <c r="G2386" s="78"/>
      <c r="H2386" s="585">
        <f>H2385+H2383+H2380</f>
        <v>448535</v>
      </c>
      <c r="I2386" s="369"/>
      <c r="J2386" s="44"/>
      <c r="K2386" s="44"/>
    </row>
    <row r="2387" spans="3:15" s="59" customFormat="1" ht="21" customHeight="1">
      <c r="C2387" s="288" t="s">
        <v>1220</v>
      </c>
      <c r="D2387" s="76" t="s">
        <v>1321</v>
      </c>
      <c r="E2387" s="77"/>
      <c r="F2387" s="78"/>
      <c r="G2387" s="80">
        <v>0.1</v>
      </c>
      <c r="H2387" s="63">
        <f>H2386*G2387</f>
        <v>44853.5</v>
      </c>
      <c r="I2387" s="369"/>
      <c r="J2387" s="44"/>
      <c r="K2387" s="44"/>
    </row>
    <row r="2388" spans="3:15" s="59" customFormat="1" ht="21" customHeight="1">
      <c r="C2388" s="288" t="s">
        <v>1221</v>
      </c>
      <c r="D2388" s="76" t="s">
        <v>1222</v>
      </c>
      <c r="E2388" s="77"/>
      <c r="F2388" s="77"/>
      <c r="G2388" s="78"/>
      <c r="H2388" s="799">
        <f>SUM(H2386:H2387)</f>
        <v>493388.5</v>
      </c>
      <c r="I2388" s="369"/>
      <c r="J2388" s="44"/>
      <c r="K2388" s="44"/>
    </row>
    <row r="2389" spans="3:15" ht="21" customHeight="1"/>
    <row r="2390" spans="3:15" s="59" customFormat="1" ht="21" customHeight="1">
      <c r="C2390" s="147" t="s">
        <v>5346</v>
      </c>
      <c r="D2390" s="794" t="s">
        <v>4045</v>
      </c>
      <c r="E2390" s="795"/>
      <c r="F2390" s="795"/>
      <c r="G2390" s="795"/>
      <c r="H2390" s="795"/>
      <c r="I2390" s="50">
        <f>ROUNDDOWN(H2405,-2)</f>
        <v>582500</v>
      </c>
      <c r="J2390" s="50"/>
      <c r="K2390" s="50"/>
    </row>
    <row r="2391" spans="3:15" s="59" customFormat="1" ht="21" customHeight="1">
      <c r="C2391" s="591" t="s">
        <v>1195</v>
      </c>
      <c r="D2391" s="591" t="s">
        <v>1196</v>
      </c>
      <c r="E2391" s="591" t="s">
        <v>1197</v>
      </c>
      <c r="F2391" s="591" t="s">
        <v>1198</v>
      </c>
      <c r="G2391" s="591" t="s">
        <v>1199</v>
      </c>
      <c r="H2391" s="591" t="s">
        <v>1200</v>
      </c>
      <c r="I2391" s="44"/>
      <c r="J2391" s="44"/>
      <c r="K2391" s="44"/>
    </row>
    <row r="2392" spans="3:15" s="59" customFormat="1" ht="21" customHeight="1">
      <c r="C2392" s="61" t="s">
        <v>1201</v>
      </c>
      <c r="D2392" s="56" t="s">
        <v>1202</v>
      </c>
      <c r="E2392" s="57"/>
      <c r="F2392" s="57"/>
      <c r="G2392" s="57"/>
      <c r="H2392" s="57"/>
      <c r="I2392" s="44"/>
      <c r="J2392" s="44"/>
      <c r="K2392" s="44"/>
      <c r="L2392" s="152" t="s">
        <v>1247</v>
      </c>
    </row>
    <row r="2393" spans="3:15" s="59" customFormat="1" ht="21" customHeight="1">
      <c r="C2393" s="588">
        <v>1</v>
      </c>
      <c r="D2393" s="56" t="s">
        <v>5</v>
      </c>
      <c r="E2393" s="577" t="s">
        <v>6</v>
      </c>
      <c r="F2393" s="62">
        <v>0.63100000000000001</v>
      </c>
      <c r="G2393" s="63">
        <f>VLOOKUP(D2393,upahbahan,3,FALSE)</f>
        <v>100000</v>
      </c>
      <c r="H2393" s="63">
        <f>F2393*G2393</f>
        <v>63100</v>
      </c>
      <c r="I2393" s="44"/>
      <c r="J2393" s="44"/>
      <c r="K2393" s="44"/>
      <c r="L2393" s="152" t="s">
        <v>1248</v>
      </c>
      <c r="O2393" s="65">
        <v>0.1</v>
      </c>
    </row>
    <row r="2394" spans="3:15" s="59" customFormat="1" ht="21" customHeight="1">
      <c r="C2394" s="588">
        <v>2</v>
      </c>
      <c r="D2394" s="56" t="s">
        <v>10</v>
      </c>
      <c r="E2394" s="577" t="s">
        <v>6</v>
      </c>
      <c r="F2394" s="62">
        <v>1.054</v>
      </c>
      <c r="G2394" s="63">
        <f>VLOOKUP(D2394,upahbahan,3,FALSE)</f>
        <v>135000</v>
      </c>
      <c r="H2394" s="63">
        <f>F2394*G2394</f>
        <v>142290</v>
      </c>
      <c r="I2394" s="44"/>
      <c r="J2394" s="44"/>
      <c r="K2394" s="44"/>
    </row>
    <row r="2395" spans="3:15" s="59" customFormat="1" ht="21" customHeight="1">
      <c r="C2395" s="588">
        <v>3</v>
      </c>
      <c r="D2395" s="56" t="s">
        <v>18</v>
      </c>
      <c r="E2395" s="577" t="s">
        <v>6</v>
      </c>
      <c r="F2395" s="62">
        <v>0.105</v>
      </c>
      <c r="G2395" s="63">
        <f>VLOOKUP(D2395,upahbahan,3,FALSE)</f>
        <v>150000</v>
      </c>
      <c r="H2395" s="63">
        <f>F2395*G2395</f>
        <v>15750</v>
      </c>
      <c r="I2395" s="44"/>
      <c r="J2395" s="44"/>
      <c r="K2395" s="44"/>
    </row>
    <row r="2396" spans="3:15" s="59" customFormat="1" ht="21" customHeight="1">
      <c r="C2396" s="588">
        <v>4</v>
      </c>
      <c r="D2396" s="56" t="s">
        <v>19</v>
      </c>
      <c r="E2396" s="577" t="s">
        <v>6</v>
      </c>
      <c r="F2396" s="62">
        <v>3.2000000000000001E-2</v>
      </c>
      <c r="G2396" s="63">
        <f>VLOOKUP(D2396,upahbahan,3,FALSE)</f>
        <v>160000</v>
      </c>
      <c r="H2396" s="63">
        <f>F2396*G2396</f>
        <v>5120</v>
      </c>
      <c r="I2396" s="44"/>
      <c r="J2396" s="44"/>
      <c r="K2396" s="44"/>
    </row>
    <row r="2397" spans="3:15" s="59" customFormat="1" ht="21" customHeight="1">
      <c r="C2397" s="450" t="s">
        <v>1208</v>
      </c>
      <c r="D2397" s="67"/>
      <c r="E2397" s="67"/>
      <c r="F2397" s="142"/>
      <c r="G2397" s="153"/>
      <c r="H2397" s="63">
        <f>SUM(H2393:H2396)</f>
        <v>226260</v>
      </c>
      <c r="I2397" s="154"/>
      <c r="J2397" s="154"/>
      <c r="K2397" s="154"/>
    </row>
    <row r="2398" spans="3:15" s="59" customFormat="1" ht="21" customHeight="1">
      <c r="C2398" s="61" t="s">
        <v>1209</v>
      </c>
      <c r="D2398" s="56" t="s">
        <v>1210</v>
      </c>
      <c r="E2398" s="57"/>
      <c r="F2398" s="57"/>
      <c r="G2398" s="57"/>
      <c r="H2398" s="57"/>
      <c r="I2398" s="44"/>
      <c r="J2398" s="44"/>
      <c r="K2398" s="44"/>
    </row>
    <row r="2399" spans="3:15" s="59" customFormat="1" ht="21" customHeight="1">
      <c r="C2399" s="61">
        <v>1</v>
      </c>
      <c r="D2399" s="56" t="s">
        <v>4048</v>
      </c>
      <c r="E2399" s="93" t="s">
        <v>135</v>
      </c>
      <c r="F2399" s="104">
        <v>1.3</v>
      </c>
      <c r="G2399" s="63">
        <f>VLOOKUP(D2399,upahbahan,3,FALSE)</f>
        <v>233300</v>
      </c>
      <c r="H2399" s="586">
        <f>G2399*F2399</f>
        <v>303290</v>
      </c>
      <c r="I2399" s="44"/>
      <c r="J2399" s="44"/>
      <c r="K2399" s="44"/>
    </row>
    <row r="2400" spans="3:15" s="59" customFormat="1" ht="21" customHeight="1">
      <c r="C2400" s="450" t="s">
        <v>1214</v>
      </c>
      <c r="D2400" s="67"/>
      <c r="E2400" s="67"/>
      <c r="F2400" s="67"/>
      <c r="G2400" s="69"/>
      <c r="H2400" s="63">
        <f>SUM(H2399:H2399)</f>
        <v>303290</v>
      </c>
      <c r="I2400" s="44"/>
      <c r="J2400" s="44"/>
      <c r="K2400" s="44"/>
    </row>
    <row r="2401" spans="3:15" s="59" customFormat="1" ht="21" customHeight="1">
      <c r="C2401" s="61" t="s">
        <v>1215</v>
      </c>
      <c r="D2401" s="56" t="s">
        <v>1216</v>
      </c>
      <c r="E2401" s="57"/>
      <c r="F2401" s="57"/>
      <c r="G2401" s="57"/>
      <c r="H2401" s="57"/>
      <c r="I2401" s="44"/>
      <c r="J2401" s="44"/>
      <c r="K2401" s="44"/>
    </row>
    <row r="2402" spans="3:15" s="59" customFormat="1" ht="21" customHeight="1">
      <c r="C2402" s="450" t="s">
        <v>1217</v>
      </c>
      <c r="D2402" s="67"/>
      <c r="E2402" s="67"/>
      <c r="F2402" s="67"/>
      <c r="G2402" s="69"/>
      <c r="H2402" s="589">
        <v>0</v>
      </c>
      <c r="I2402" s="44"/>
      <c r="J2402" s="44"/>
      <c r="K2402" s="44"/>
    </row>
    <row r="2403" spans="3:15" s="59" customFormat="1" ht="21" customHeight="1">
      <c r="C2403" s="288" t="s">
        <v>1218</v>
      </c>
      <c r="D2403" s="76" t="s">
        <v>1219</v>
      </c>
      <c r="E2403" s="77"/>
      <c r="F2403" s="77"/>
      <c r="G2403" s="78"/>
      <c r="H2403" s="585">
        <f>H2402+H2400+H2397</f>
        <v>529550</v>
      </c>
      <c r="I2403" s="369"/>
      <c r="J2403" s="44"/>
      <c r="K2403" s="44"/>
    </row>
    <row r="2404" spans="3:15" s="59" customFormat="1" ht="21" customHeight="1">
      <c r="C2404" s="288" t="s">
        <v>1220</v>
      </c>
      <c r="D2404" s="76" t="s">
        <v>1321</v>
      </c>
      <c r="E2404" s="77"/>
      <c r="F2404" s="78"/>
      <c r="G2404" s="80">
        <v>0.1</v>
      </c>
      <c r="H2404" s="63">
        <f>H2403*G2404</f>
        <v>52955</v>
      </c>
      <c r="I2404" s="369"/>
      <c r="J2404" s="44"/>
      <c r="K2404" s="44"/>
    </row>
    <row r="2405" spans="3:15" s="59" customFormat="1" ht="21" customHeight="1">
      <c r="C2405" s="288" t="s">
        <v>1221</v>
      </c>
      <c r="D2405" s="76" t="s">
        <v>1222</v>
      </c>
      <c r="E2405" s="77"/>
      <c r="F2405" s="77"/>
      <c r="G2405" s="78"/>
      <c r="H2405" s="799">
        <f>SUM(H2403:H2404)</f>
        <v>582505</v>
      </c>
      <c r="I2405" s="369"/>
      <c r="J2405" s="44"/>
      <c r="K2405" s="44"/>
    </row>
    <row r="2406" spans="3:15" ht="21" customHeight="1"/>
    <row r="2407" spans="3:15" ht="21" customHeight="1">
      <c r="C2407" s="43" t="s">
        <v>5347</v>
      </c>
      <c r="D2407" s="128" t="s">
        <v>4050</v>
      </c>
    </row>
    <row r="2408" spans="3:15" s="59" customFormat="1" ht="21" customHeight="1">
      <c r="C2408" s="147" t="s">
        <v>5348</v>
      </c>
      <c r="D2408" s="794" t="s">
        <v>4051</v>
      </c>
      <c r="E2408" s="795"/>
      <c r="F2408" s="795"/>
      <c r="G2408" s="795"/>
      <c r="H2408" s="795"/>
      <c r="I2408" s="50">
        <f>ROUNDDOWN(H2423,-2)</f>
        <v>69900</v>
      </c>
      <c r="J2408" s="50"/>
      <c r="K2408" s="50"/>
    </row>
    <row r="2409" spans="3:15" s="59" customFormat="1" ht="21" customHeight="1">
      <c r="C2409" s="591" t="s">
        <v>1195</v>
      </c>
      <c r="D2409" s="591" t="s">
        <v>1196</v>
      </c>
      <c r="E2409" s="591" t="s">
        <v>1197</v>
      </c>
      <c r="F2409" s="591" t="s">
        <v>1198</v>
      </c>
      <c r="G2409" s="591" t="s">
        <v>1199</v>
      </c>
      <c r="H2409" s="591" t="s">
        <v>1200</v>
      </c>
      <c r="I2409" s="44"/>
      <c r="J2409" s="44"/>
      <c r="K2409" s="44"/>
    </row>
    <row r="2410" spans="3:15" s="59" customFormat="1" ht="21" customHeight="1">
      <c r="C2410" s="61" t="s">
        <v>1201</v>
      </c>
      <c r="D2410" s="56" t="s">
        <v>1202</v>
      </c>
      <c r="E2410" s="57"/>
      <c r="F2410" s="57"/>
      <c r="G2410" s="57"/>
      <c r="H2410" s="57"/>
      <c r="I2410" s="44"/>
      <c r="J2410" s="44"/>
      <c r="K2410" s="44"/>
      <c r="L2410" s="152" t="s">
        <v>1247</v>
      </c>
    </row>
    <row r="2411" spans="3:15" s="59" customFormat="1" ht="21" customHeight="1">
      <c r="C2411" s="588">
        <v>1</v>
      </c>
      <c r="D2411" s="56" t="s">
        <v>5</v>
      </c>
      <c r="E2411" s="577" t="s">
        <v>6</v>
      </c>
      <c r="F2411" s="62">
        <v>5.1999999999999998E-2</v>
      </c>
      <c r="G2411" s="63">
        <f>VLOOKUP(D2411,upahbahan,3,FALSE)</f>
        <v>100000</v>
      </c>
      <c r="H2411" s="63">
        <f>F2411*G2411</f>
        <v>5200</v>
      </c>
      <c r="I2411" s="44"/>
      <c r="J2411" s="44"/>
      <c r="K2411" s="44"/>
      <c r="L2411" s="152" t="s">
        <v>1248</v>
      </c>
      <c r="O2411" s="65">
        <v>0.1</v>
      </c>
    </row>
    <row r="2412" spans="3:15" s="59" customFormat="1" ht="21" customHeight="1">
      <c r="C2412" s="588">
        <v>2</v>
      </c>
      <c r="D2412" s="56" t="s">
        <v>10</v>
      </c>
      <c r="E2412" s="577" t="s">
        <v>6</v>
      </c>
      <c r="F2412" s="62">
        <v>8.6999999999999994E-2</v>
      </c>
      <c r="G2412" s="63">
        <f>VLOOKUP(D2412,upahbahan,3,FALSE)</f>
        <v>135000</v>
      </c>
      <c r="H2412" s="63">
        <f>F2412*G2412</f>
        <v>11745</v>
      </c>
      <c r="I2412" s="44"/>
      <c r="J2412" s="44"/>
      <c r="K2412" s="44"/>
    </row>
    <row r="2413" spans="3:15" s="59" customFormat="1" ht="21" customHeight="1">
      <c r="C2413" s="588">
        <v>3</v>
      </c>
      <c r="D2413" s="56" t="s">
        <v>18</v>
      </c>
      <c r="E2413" s="577" t="s">
        <v>6</v>
      </c>
      <c r="F2413" s="62">
        <v>8.9999999999999993E-3</v>
      </c>
      <c r="G2413" s="63">
        <f>VLOOKUP(D2413,upahbahan,3,FALSE)</f>
        <v>150000</v>
      </c>
      <c r="H2413" s="63">
        <f>F2413*G2413</f>
        <v>1350</v>
      </c>
      <c r="I2413" s="44"/>
      <c r="J2413" s="44"/>
      <c r="K2413" s="44"/>
    </row>
    <row r="2414" spans="3:15" s="59" customFormat="1" ht="21" customHeight="1">
      <c r="C2414" s="588">
        <v>4</v>
      </c>
      <c r="D2414" s="56" t="s">
        <v>19</v>
      </c>
      <c r="E2414" s="577" t="s">
        <v>6</v>
      </c>
      <c r="F2414" s="62">
        <v>3.0000000000000001E-3</v>
      </c>
      <c r="G2414" s="63">
        <f>VLOOKUP(D2414,upahbahan,3,FALSE)</f>
        <v>160000</v>
      </c>
      <c r="H2414" s="63">
        <f>F2414*G2414</f>
        <v>480</v>
      </c>
      <c r="I2414" s="44"/>
      <c r="J2414" s="44"/>
      <c r="K2414" s="44"/>
    </row>
    <row r="2415" spans="3:15" s="59" customFormat="1" ht="21" customHeight="1">
      <c r="C2415" s="450" t="s">
        <v>1208</v>
      </c>
      <c r="D2415" s="67"/>
      <c r="E2415" s="67"/>
      <c r="F2415" s="142"/>
      <c r="G2415" s="153"/>
      <c r="H2415" s="63">
        <f>SUM(H2411:H2414)</f>
        <v>18775</v>
      </c>
      <c r="I2415" s="154"/>
      <c r="J2415" s="154"/>
      <c r="K2415" s="154"/>
    </row>
    <row r="2416" spans="3:15" s="59" customFormat="1" ht="21" customHeight="1">
      <c r="C2416" s="61" t="s">
        <v>1209</v>
      </c>
      <c r="D2416" s="56" t="s">
        <v>1210</v>
      </c>
      <c r="E2416" s="57"/>
      <c r="F2416" s="57"/>
      <c r="G2416" s="57"/>
      <c r="H2416" s="57"/>
      <c r="I2416" s="44"/>
      <c r="J2416" s="44"/>
      <c r="K2416" s="44"/>
    </row>
    <row r="2417" spans="3:15" s="59" customFormat="1" ht="21" customHeight="1">
      <c r="C2417" s="61">
        <v>1</v>
      </c>
      <c r="D2417" s="56" t="s">
        <v>4052</v>
      </c>
      <c r="E2417" s="93" t="s">
        <v>135</v>
      </c>
      <c r="F2417" s="104">
        <v>1.1499999999999999</v>
      </c>
      <c r="G2417" s="63">
        <f>VLOOKUP(D2417,upahbahan,3,FALSE)</f>
        <v>39000</v>
      </c>
      <c r="H2417" s="586">
        <f>G2417*F2417</f>
        <v>44850</v>
      </c>
      <c r="I2417" s="44"/>
      <c r="J2417" s="44"/>
      <c r="K2417" s="44"/>
    </row>
    <row r="2418" spans="3:15" s="59" customFormat="1" ht="21" customHeight="1">
      <c r="C2418" s="450" t="s">
        <v>1214</v>
      </c>
      <c r="D2418" s="67"/>
      <c r="E2418" s="67"/>
      <c r="F2418" s="67"/>
      <c r="G2418" s="69"/>
      <c r="H2418" s="63">
        <f>SUM(H2417:H2417)</f>
        <v>44850</v>
      </c>
      <c r="I2418" s="44"/>
      <c r="J2418" s="44"/>
      <c r="K2418" s="44"/>
    </row>
    <row r="2419" spans="3:15" s="59" customFormat="1" ht="21" customHeight="1">
      <c r="C2419" s="61" t="s">
        <v>1215</v>
      </c>
      <c r="D2419" s="56" t="s">
        <v>1216</v>
      </c>
      <c r="E2419" s="57"/>
      <c r="F2419" s="57"/>
      <c r="G2419" s="57"/>
      <c r="H2419" s="57"/>
      <c r="I2419" s="44"/>
      <c r="J2419" s="44"/>
      <c r="K2419" s="44"/>
    </row>
    <row r="2420" spans="3:15" s="59" customFormat="1" ht="21" customHeight="1">
      <c r="C2420" s="450" t="s">
        <v>1217</v>
      </c>
      <c r="D2420" s="67"/>
      <c r="E2420" s="67"/>
      <c r="F2420" s="67"/>
      <c r="G2420" s="69"/>
      <c r="H2420" s="589">
        <v>0</v>
      </c>
      <c r="I2420" s="44"/>
      <c r="J2420" s="44"/>
      <c r="K2420" s="44"/>
    </row>
    <row r="2421" spans="3:15" s="59" customFormat="1" ht="21" customHeight="1">
      <c r="C2421" s="288" t="s">
        <v>1218</v>
      </c>
      <c r="D2421" s="76" t="s">
        <v>1219</v>
      </c>
      <c r="E2421" s="77"/>
      <c r="F2421" s="77"/>
      <c r="G2421" s="78"/>
      <c r="H2421" s="585">
        <f>H2420+H2418+H2415</f>
        <v>63625</v>
      </c>
      <c r="I2421" s="369"/>
      <c r="J2421" s="44"/>
      <c r="K2421" s="44"/>
    </row>
    <row r="2422" spans="3:15" s="59" customFormat="1" ht="21" customHeight="1">
      <c r="C2422" s="288" t="s">
        <v>1220</v>
      </c>
      <c r="D2422" s="76" t="s">
        <v>1321</v>
      </c>
      <c r="E2422" s="77"/>
      <c r="F2422" s="78"/>
      <c r="G2422" s="80">
        <v>0.1</v>
      </c>
      <c r="H2422" s="63">
        <f>H2421*G2422</f>
        <v>6362.5</v>
      </c>
      <c r="I2422" s="369"/>
      <c r="J2422" s="44"/>
      <c r="K2422" s="44"/>
    </row>
    <row r="2423" spans="3:15" s="59" customFormat="1" ht="21" customHeight="1">
      <c r="C2423" s="288" t="s">
        <v>1221</v>
      </c>
      <c r="D2423" s="76" t="s">
        <v>1222</v>
      </c>
      <c r="E2423" s="77"/>
      <c r="F2423" s="77"/>
      <c r="G2423" s="78"/>
      <c r="H2423" s="799">
        <f>SUM(H2421:H2422)</f>
        <v>69987.5</v>
      </c>
      <c r="I2423" s="369"/>
      <c r="J2423" s="44"/>
      <c r="K2423" s="44"/>
    </row>
    <row r="2424" spans="3:15" ht="21" customHeight="1"/>
    <row r="2425" spans="3:15" s="59" customFormat="1" ht="21" customHeight="1">
      <c r="C2425" s="147" t="s">
        <v>5349</v>
      </c>
      <c r="D2425" s="794" t="s">
        <v>4053</v>
      </c>
      <c r="E2425" s="795"/>
      <c r="F2425" s="795"/>
      <c r="G2425" s="795"/>
      <c r="H2425" s="795"/>
      <c r="I2425" s="50">
        <f>ROUNDDOWN(H2440,-2)</f>
        <v>105600</v>
      </c>
      <c r="J2425" s="50"/>
      <c r="K2425" s="50"/>
    </row>
    <row r="2426" spans="3:15" s="59" customFormat="1" ht="21" customHeight="1">
      <c r="C2426" s="591" t="s">
        <v>1195</v>
      </c>
      <c r="D2426" s="591" t="s">
        <v>1196</v>
      </c>
      <c r="E2426" s="591" t="s">
        <v>1197</v>
      </c>
      <c r="F2426" s="591" t="s">
        <v>1198</v>
      </c>
      <c r="G2426" s="591" t="s">
        <v>1199</v>
      </c>
      <c r="H2426" s="591" t="s">
        <v>1200</v>
      </c>
      <c r="I2426" s="44"/>
      <c r="J2426" s="44"/>
      <c r="K2426" s="44"/>
    </row>
    <row r="2427" spans="3:15" s="59" customFormat="1" ht="21" customHeight="1">
      <c r="C2427" s="61" t="s">
        <v>1201</v>
      </c>
      <c r="D2427" s="56" t="s">
        <v>1202</v>
      </c>
      <c r="E2427" s="57"/>
      <c r="F2427" s="57"/>
      <c r="G2427" s="57"/>
      <c r="H2427" s="57"/>
      <c r="I2427" s="44"/>
      <c r="J2427" s="44"/>
      <c r="K2427" s="44"/>
      <c r="L2427" s="152" t="s">
        <v>1247</v>
      </c>
    </row>
    <row r="2428" spans="3:15" s="59" customFormat="1" ht="21" customHeight="1">
      <c r="C2428" s="588">
        <v>1</v>
      </c>
      <c r="D2428" s="56" t="s">
        <v>5</v>
      </c>
      <c r="E2428" s="577" t="s">
        <v>6</v>
      </c>
      <c r="F2428" s="62">
        <v>7.9000000000000001E-2</v>
      </c>
      <c r="G2428" s="63">
        <f>VLOOKUP(D2428,upahbahan,3,FALSE)</f>
        <v>100000</v>
      </c>
      <c r="H2428" s="63">
        <f>F2428*G2428</f>
        <v>7900</v>
      </c>
      <c r="I2428" s="44"/>
      <c r="J2428" s="44"/>
      <c r="K2428" s="44"/>
      <c r="L2428" s="152" t="s">
        <v>1248</v>
      </c>
      <c r="O2428" s="65">
        <v>0.1</v>
      </c>
    </row>
    <row r="2429" spans="3:15" s="59" customFormat="1" ht="21" customHeight="1">
      <c r="C2429" s="588">
        <v>2</v>
      </c>
      <c r="D2429" s="56" t="s">
        <v>10</v>
      </c>
      <c r="E2429" s="577" t="s">
        <v>6</v>
      </c>
      <c r="F2429" s="62">
        <v>0.13100000000000001</v>
      </c>
      <c r="G2429" s="63">
        <f>VLOOKUP(D2429,upahbahan,3,FALSE)</f>
        <v>135000</v>
      </c>
      <c r="H2429" s="63">
        <f>F2429*G2429</f>
        <v>17685</v>
      </c>
      <c r="I2429" s="44"/>
      <c r="J2429" s="44"/>
      <c r="K2429" s="44"/>
    </row>
    <row r="2430" spans="3:15" s="59" customFormat="1" ht="21" customHeight="1">
      <c r="C2430" s="588">
        <v>3</v>
      </c>
      <c r="D2430" s="56" t="s">
        <v>18</v>
      </c>
      <c r="E2430" s="577" t="s">
        <v>6</v>
      </c>
      <c r="F2430" s="62">
        <v>1.2999999999999999E-2</v>
      </c>
      <c r="G2430" s="63">
        <f>VLOOKUP(D2430,upahbahan,3,FALSE)</f>
        <v>150000</v>
      </c>
      <c r="H2430" s="63">
        <f>F2430*G2430</f>
        <v>1950</v>
      </c>
      <c r="I2430" s="44"/>
      <c r="J2430" s="44"/>
      <c r="K2430" s="44"/>
    </row>
    <row r="2431" spans="3:15" s="59" customFormat="1" ht="21" customHeight="1">
      <c r="C2431" s="588">
        <v>4</v>
      </c>
      <c r="D2431" s="56" t="s">
        <v>19</v>
      </c>
      <c r="E2431" s="577" t="s">
        <v>6</v>
      </c>
      <c r="F2431" s="62">
        <v>4.0000000000000001E-3</v>
      </c>
      <c r="G2431" s="63">
        <f>VLOOKUP(D2431,upahbahan,3,FALSE)</f>
        <v>160000</v>
      </c>
      <c r="H2431" s="63">
        <f>F2431*G2431</f>
        <v>640</v>
      </c>
      <c r="I2431" s="44"/>
      <c r="J2431" s="44"/>
      <c r="K2431" s="44"/>
    </row>
    <row r="2432" spans="3:15" s="59" customFormat="1" ht="21" customHeight="1">
      <c r="C2432" s="450" t="s">
        <v>1208</v>
      </c>
      <c r="D2432" s="67"/>
      <c r="E2432" s="67"/>
      <c r="F2432" s="142"/>
      <c r="G2432" s="153"/>
      <c r="H2432" s="63">
        <f>SUM(H2428:H2431)</f>
        <v>28175</v>
      </c>
      <c r="I2432" s="154"/>
      <c r="J2432" s="154"/>
      <c r="K2432" s="154"/>
    </row>
    <row r="2433" spans="3:15" s="59" customFormat="1" ht="21" customHeight="1">
      <c r="C2433" s="61" t="s">
        <v>1209</v>
      </c>
      <c r="D2433" s="56" t="s">
        <v>1210</v>
      </c>
      <c r="E2433" s="57"/>
      <c r="F2433" s="57"/>
      <c r="G2433" s="57"/>
      <c r="H2433" s="57"/>
      <c r="I2433" s="44"/>
      <c r="J2433" s="44"/>
      <c r="K2433" s="44"/>
    </row>
    <row r="2434" spans="3:15" s="59" customFormat="1" ht="21" customHeight="1">
      <c r="C2434" s="61">
        <v>1</v>
      </c>
      <c r="D2434" s="56" t="s">
        <v>4054</v>
      </c>
      <c r="E2434" s="93" t="s">
        <v>135</v>
      </c>
      <c r="F2434" s="104">
        <v>1.1499999999999999</v>
      </c>
      <c r="G2434" s="63">
        <f>VLOOKUP(D2434,upahbahan,3,FALSE)</f>
        <v>59000</v>
      </c>
      <c r="H2434" s="586">
        <f>G2434*F2434</f>
        <v>67850</v>
      </c>
      <c r="I2434" s="44"/>
      <c r="J2434" s="44"/>
      <c r="K2434" s="44"/>
    </row>
    <row r="2435" spans="3:15" s="59" customFormat="1" ht="21" customHeight="1">
      <c r="C2435" s="450" t="s">
        <v>1214</v>
      </c>
      <c r="D2435" s="67"/>
      <c r="E2435" s="67"/>
      <c r="F2435" s="67"/>
      <c r="G2435" s="69"/>
      <c r="H2435" s="63">
        <f>SUM(H2434:H2434)</f>
        <v>67850</v>
      </c>
      <c r="I2435" s="44"/>
      <c r="J2435" s="44"/>
      <c r="K2435" s="44"/>
    </row>
    <row r="2436" spans="3:15" s="59" customFormat="1" ht="21" customHeight="1">
      <c r="C2436" s="61" t="s">
        <v>1215</v>
      </c>
      <c r="D2436" s="56" t="s">
        <v>1216</v>
      </c>
      <c r="E2436" s="57"/>
      <c r="F2436" s="57"/>
      <c r="G2436" s="57"/>
      <c r="H2436" s="57"/>
      <c r="I2436" s="44"/>
      <c r="J2436" s="44"/>
      <c r="K2436" s="44"/>
    </row>
    <row r="2437" spans="3:15" s="59" customFormat="1" ht="21" customHeight="1">
      <c r="C2437" s="450" t="s">
        <v>1217</v>
      </c>
      <c r="D2437" s="67"/>
      <c r="E2437" s="67"/>
      <c r="F2437" s="67"/>
      <c r="G2437" s="69"/>
      <c r="H2437" s="589">
        <v>0</v>
      </c>
      <c r="I2437" s="44"/>
      <c r="J2437" s="44"/>
      <c r="K2437" s="44"/>
    </row>
    <row r="2438" spans="3:15" s="59" customFormat="1" ht="21" customHeight="1">
      <c r="C2438" s="288" t="s">
        <v>1218</v>
      </c>
      <c r="D2438" s="76" t="s">
        <v>1219</v>
      </c>
      <c r="E2438" s="77"/>
      <c r="F2438" s="77"/>
      <c r="G2438" s="78"/>
      <c r="H2438" s="585">
        <f>H2437+H2435+H2432</f>
        <v>96025</v>
      </c>
      <c r="I2438" s="369"/>
      <c r="J2438" s="44"/>
      <c r="K2438" s="44"/>
    </row>
    <row r="2439" spans="3:15" s="59" customFormat="1" ht="21" customHeight="1">
      <c r="C2439" s="288" t="s">
        <v>1220</v>
      </c>
      <c r="D2439" s="76" t="s">
        <v>1321</v>
      </c>
      <c r="E2439" s="77"/>
      <c r="F2439" s="78"/>
      <c r="G2439" s="80">
        <v>0.1</v>
      </c>
      <c r="H2439" s="63">
        <f>H2438*G2439</f>
        <v>9602.5</v>
      </c>
      <c r="I2439" s="369"/>
      <c r="J2439" s="44"/>
      <c r="K2439" s="44"/>
    </row>
    <row r="2440" spans="3:15" s="59" customFormat="1" ht="21" customHeight="1">
      <c r="C2440" s="288" t="s">
        <v>1221</v>
      </c>
      <c r="D2440" s="76" t="s">
        <v>1222</v>
      </c>
      <c r="E2440" s="77"/>
      <c r="F2440" s="77"/>
      <c r="G2440" s="78"/>
      <c r="H2440" s="799">
        <f>SUM(H2438:H2439)</f>
        <v>105627.5</v>
      </c>
      <c r="I2440" s="369"/>
      <c r="J2440" s="44"/>
      <c r="K2440" s="44"/>
    </row>
    <row r="2441" spans="3:15" ht="21" customHeight="1"/>
    <row r="2442" spans="3:15" s="59" customFormat="1" ht="21" customHeight="1">
      <c r="C2442" s="147" t="s">
        <v>5350</v>
      </c>
      <c r="D2442" s="794" t="s">
        <v>4055</v>
      </c>
      <c r="E2442" s="795"/>
      <c r="F2442" s="795"/>
      <c r="G2442" s="795"/>
      <c r="H2442" s="795"/>
      <c r="I2442" s="50">
        <f>ROUNDDOWN(H2457,-2)</f>
        <v>152900</v>
      </c>
      <c r="J2442" s="50"/>
      <c r="K2442" s="50"/>
    </row>
    <row r="2443" spans="3:15" s="59" customFormat="1" ht="21" customHeight="1">
      <c r="C2443" s="591" t="s">
        <v>1195</v>
      </c>
      <c r="D2443" s="591" t="s">
        <v>1196</v>
      </c>
      <c r="E2443" s="591" t="s">
        <v>1197</v>
      </c>
      <c r="F2443" s="591" t="s">
        <v>1198</v>
      </c>
      <c r="G2443" s="591" t="s">
        <v>1199</v>
      </c>
      <c r="H2443" s="591" t="s">
        <v>1200</v>
      </c>
      <c r="I2443" s="44"/>
      <c r="J2443" s="44"/>
      <c r="K2443" s="44"/>
    </row>
    <row r="2444" spans="3:15" s="59" customFormat="1" ht="21" customHeight="1">
      <c r="C2444" s="61" t="s">
        <v>1201</v>
      </c>
      <c r="D2444" s="56" t="s">
        <v>1202</v>
      </c>
      <c r="E2444" s="57"/>
      <c r="F2444" s="57"/>
      <c r="G2444" s="57"/>
      <c r="H2444" s="57"/>
      <c r="I2444" s="44"/>
      <c r="J2444" s="44"/>
      <c r="K2444" s="44"/>
      <c r="L2444" s="152" t="s">
        <v>1247</v>
      </c>
    </row>
    <row r="2445" spans="3:15" s="59" customFormat="1" ht="21" customHeight="1">
      <c r="C2445" s="588">
        <v>1</v>
      </c>
      <c r="D2445" s="56" t="s">
        <v>5</v>
      </c>
      <c r="E2445" s="577" t="s">
        <v>6</v>
      </c>
      <c r="F2445" s="62">
        <v>0.105</v>
      </c>
      <c r="G2445" s="63">
        <f>VLOOKUP(D2445,upahbahan,3,FALSE)</f>
        <v>100000</v>
      </c>
      <c r="H2445" s="63">
        <f>F2445*G2445</f>
        <v>10500</v>
      </c>
      <c r="I2445" s="44"/>
      <c r="J2445" s="44"/>
      <c r="K2445" s="44"/>
      <c r="L2445" s="152" t="s">
        <v>1248</v>
      </c>
      <c r="O2445" s="65">
        <v>0.1</v>
      </c>
    </row>
    <row r="2446" spans="3:15" s="59" customFormat="1" ht="21" customHeight="1">
      <c r="C2446" s="588">
        <v>2</v>
      </c>
      <c r="D2446" s="56" t="s">
        <v>10</v>
      </c>
      <c r="E2446" s="577" t="s">
        <v>6</v>
      </c>
      <c r="F2446" s="62">
        <v>0.17499999999999999</v>
      </c>
      <c r="G2446" s="63">
        <f>VLOOKUP(D2446,upahbahan,3,FALSE)</f>
        <v>135000</v>
      </c>
      <c r="H2446" s="63">
        <f>F2446*G2446</f>
        <v>23625</v>
      </c>
      <c r="I2446" s="44"/>
      <c r="J2446" s="44"/>
      <c r="K2446" s="44"/>
    </row>
    <row r="2447" spans="3:15" s="59" customFormat="1" ht="21" customHeight="1">
      <c r="C2447" s="588">
        <v>3</v>
      </c>
      <c r="D2447" s="56" t="s">
        <v>18</v>
      </c>
      <c r="E2447" s="577" t="s">
        <v>6</v>
      </c>
      <c r="F2447" s="62">
        <v>1.7000000000000001E-2</v>
      </c>
      <c r="G2447" s="63">
        <f>VLOOKUP(D2447,upahbahan,3,FALSE)</f>
        <v>150000</v>
      </c>
      <c r="H2447" s="63">
        <f>F2447*G2447</f>
        <v>2550</v>
      </c>
      <c r="I2447" s="44"/>
      <c r="J2447" s="44"/>
      <c r="K2447" s="44"/>
    </row>
    <row r="2448" spans="3:15" s="59" customFormat="1" ht="21" customHeight="1">
      <c r="C2448" s="588">
        <v>4</v>
      </c>
      <c r="D2448" s="56" t="s">
        <v>19</v>
      </c>
      <c r="E2448" s="577" t="s">
        <v>6</v>
      </c>
      <c r="F2448" s="62">
        <v>5.0000000000000001E-3</v>
      </c>
      <c r="G2448" s="63">
        <f>VLOOKUP(D2448,upahbahan,3,FALSE)</f>
        <v>160000</v>
      </c>
      <c r="H2448" s="63">
        <f>F2448*G2448</f>
        <v>800</v>
      </c>
      <c r="I2448" s="44"/>
      <c r="J2448" s="44"/>
      <c r="K2448" s="44"/>
    </row>
    <row r="2449" spans="3:15" s="59" customFormat="1" ht="21" customHeight="1">
      <c r="C2449" s="450" t="s">
        <v>1208</v>
      </c>
      <c r="D2449" s="67"/>
      <c r="E2449" s="67"/>
      <c r="F2449" s="142"/>
      <c r="G2449" s="153"/>
      <c r="H2449" s="63">
        <f>SUM(H2445:H2448)</f>
        <v>37475</v>
      </c>
      <c r="I2449" s="154"/>
      <c r="J2449" s="154"/>
      <c r="K2449" s="154"/>
    </row>
    <row r="2450" spans="3:15" s="59" customFormat="1" ht="21" customHeight="1">
      <c r="C2450" s="61" t="s">
        <v>1209</v>
      </c>
      <c r="D2450" s="56" t="s">
        <v>1210</v>
      </c>
      <c r="E2450" s="57"/>
      <c r="F2450" s="57"/>
      <c r="G2450" s="57"/>
      <c r="H2450" s="57"/>
      <c r="I2450" s="44"/>
      <c r="J2450" s="44"/>
      <c r="K2450" s="44"/>
    </row>
    <row r="2451" spans="3:15" s="59" customFormat="1" ht="21" customHeight="1">
      <c r="C2451" s="61">
        <v>1</v>
      </c>
      <c r="D2451" s="56" t="s">
        <v>4056</v>
      </c>
      <c r="E2451" s="93" t="s">
        <v>135</v>
      </c>
      <c r="F2451" s="104">
        <v>1.1499999999999999</v>
      </c>
      <c r="G2451" s="63">
        <f>VLOOKUP(D2451,upahbahan,3,FALSE)</f>
        <v>88350</v>
      </c>
      <c r="H2451" s="586">
        <f>G2451*F2451</f>
        <v>101602.49999999999</v>
      </c>
      <c r="I2451" s="44"/>
      <c r="J2451" s="44"/>
      <c r="K2451" s="44"/>
    </row>
    <row r="2452" spans="3:15" s="59" customFormat="1" ht="21" customHeight="1">
      <c r="C2452" s="450" t="s">
        <v>1214</v>
      </c>
      <c r="D2452" s="67"/>
      <c r="E2452" s="67"/>
      <c r="F2452" s="67"/>
      <c r="G2452" s="69"/>
      <c r="H2452" s="63">
        <f>SUM(H2451:H2451)</f>
        <v>101602.49999999999</v>
      </c>
      <c r="I2452" s="44"/>
      <c r="J2452" s="44"/>
      <c r="K2452" s="44"/>
    </row>
    <row r="2453" spans="3:15" s="59" customFormat="1" ht="21" customHeight="1">
      <c r="C2453" s="61" t="s">
        <v>1215</v>
      </c>
      <c r="D2453" s="56" t="s">
        <v>1216</v>
      </c>
      <c r="E2453" s="57"/>
      <c r="F2453" s="57"/>
      <c r="G2453" s="57"/>
      <c r="H2453" s="57"/>
      <c r="I2453" s="44"/>
      <c r="J2453" s="44"/>
      <c r="K2453" s="44"/>
    </row>
    <row r="2454" spans="3:15" s="59" customFormat="1" ht="21" customHeight="1">
      <c r="C2454" s="450" t="s">
        <v>1217</v>
      </c>
      <c r="D2454" s="67"/>
      <c r="E2454" s="67"/>
      <c r="F2454" s="67"/>
      <c r="G2454" s="69"/>
      <c r="H2454" s="589">
        <v>0</v>
      </c>
      <c r="I2454" s="44"/>
      <c r="J2454" s="44"/>
      <c r="K2454" s="44"/>
    </row>
    <row r="2455" spans="3:15" s="59" customFormat="1" ht="21" customHeight="1">
      <c r="C2455" s="288" t="s">
        <v>1218</v>
      </c>
      <c r="D2455" s="76" t="s">
        <v>1219</v>
      </c>
      <c r="E2455" s="77"/>
      <c r="F2455" s="77"/>
      <c r="G2455" s="78"/>
      <c r="H2455" s="585">
        <f>H2454+H2452+H2449</f>
        <v>139077.5</v>
      </c>
      <c r="I2455" s="369"/>
      <c r="J2455" s="44"/>
      <c r="K2455" s="44"/>
    </row>
    <row r="2456" spans="3:15" s="59" customFormat="1" ht="21" customHeight="1">
      <c r="C2456" s="288" t="s">
        <v>1220</v>
      </c>
      <c r="D2456" s="76" t="s">
        <v>1321</v>
      </c>
      <c r="E2456" s="77"/>
      <c r="F2456" s="78"/>
      <c r="G2456" s="80">
        <v>0.1</v>
      </c>
      <c r="H2456" s="63">
        <f>H2455*G2456</f>
        <v>13907.75</v>
      </c>
      <c r="I2456" s="369"/>
      <c r="J2456" s="44"/>
      <c r="K2456" s="44"/>
    </row>
    <row r="2457" spans="3:15" s="59" customFormat="1" ht="21" customHeight="1">
      <c r="C2457" s="288" t="s">
        <v>1221</v>
      </c>
      <c r="D2457" s="76" t="s">
        <v>1222</v>
      </c>
      <c r="E2457" s="77"/>
      <c r="F2457" s="77"/>
      <c r="G2457" s="78"/>
      <c r="H2457" s="799">
        <f>SUM(H2455:H2456)</f>
        <v>152985.25</v>
      </c>
      <c r="I2457" s="369"/>
      <c r="J2457" s="44"/>
      <c r="K2457" s="44"/>
    </row>
    <row r="2458" spans="3:15" ht="21" customHeight="1"/>
    <row r="2459" spans="3:15" s="59" customFormat="1" ht="21" customHeight="1">
      <c r="C2459" s="147" t="s">
        <v>5351</v>
      </c>
      <c r="D2459" s="794" t="s">
        <v>4057</v>
      </c>
      <c r="E2459" s="795"/>
      <c r="F2459" s="795"/>
      <c r="G2459" s="795"/>
      <c r="H2459" s="795"/>
      <c r="I2459" s="50">
        <f>ROUNDDOWN(H2474,-2)</f>
        <v>191000</v>
      </c>
      <c r="J2459" s="50"/>
      <c r="K2459" s="50"/>
    </row>
    <row r="2460" spans="3:15" s="59" customFormat="1" ht="21" customHeight="1">
      <c r="C2460" s="591" t="s">
        <v>1195</v>
      </c>
      <c r="D2460" s="591" t="s">
        <v>1196</v>
      </c>
      <c r="E2460" s="591" t="s">
        <v>1197</v>
      </c>
      <c r="F2460" s="591" t="s">
        <v>1198</v>
      </c>
      <c r="G2460" s="591" t="s">
        <v>1199</v>
      </c>
      <c r="H2460" s="591" t="s">
        <v>1200</v>
      </c>
      <c r="I2460" s="44"/>
      <c r="J2460" s="44"/>
      <c r="K2460" s="44"/>
    </row>
    <row r="2461" spans="3:15" s="59" customFormat="1" ht="21" customHeight="1">
      <c r="C2461" s="61" t="s">
        <v>1201</v>
      </c>
      <c r="D2461" s="56" t="s">
        <v>1202</v>
      </c>
      <c r="E2461" s="57"/>
      <c r="F2461" s="57"/>
      <c r="G2461" s="57"/>
      <c r="H2461" s="57"/>
      <c r="I2461" s="44"/>
      <c r="J2461" s="44"/>
      <c r="K2461" s="44"/>
      <c r="L2461" s="152" t="s">
        <v>1247</v>
      </c>
    </row>
    <row r="2462" spans="3:15" s="59" customFormat="1" ht="21" customHeight="1">
      <c r="C2462" s="588">
        <v>1</v>
      </c>
      <c r="D2462" s="56" t="s">
        <v>5</v>
      </c>
      <c r="E2462" s="577" t="s">
        <v>6</v>
      </c>
      <c r="F2462" s="62">
        <v>0.129</v>
      </c>
      <c r="G2462" s="63">
        <f>VLOOKUP(D2462,upahbahan,3,FALSE)</f>
        <v>100000</v>
      </c>
      <c r="H2462" s="63">
        <f>F2462*G2462</f>
        <v>12900</v>
      </c>
      <c r="I2462" s="44"/>
      <c r="J2462" s="44"/>
      <c r="K2462" s="44"/>
      <c r="L2462" s="152" t="s">
        <v>1248</v>
      </c>
      <c r="O2462" s="65">
        <v>0.1</v>
      </c>
    </row>
    <row r="2463" spans="3:15" s="59" customFormat="1" ht="21" customHeight="1">
      <c r="C2463" s="588">
        <v>2</v>
      </c>
      <c r="D2463" s="56" t="s">
        <v>10</v>
      </c>
      <c r="E2463" s="577" t="s">
        <v>6</v>
      </c>
      <c r="F2463" s="62">
        <v>0.215</v>
      </c>
      <c r="G2463" s="63">
        <f>VLOOKUP(D2463,upahbahan,3,FALSE)</f>
        <v>135000</v>
      </c>
      <c r="H2463" s="63">
        <f>F2463*G2463</f>
        <v>29025</v>
      </c>
      <c r="I2463" s="44"/>
      <c r="J2463" s="44"/>
      <c r="K2463" s="44"/>
    </row>
    <row r="2464" spans="3:15" s="59" customFormat="1" ht="21" customHeight="1">
      <c r="C2464" s="588">
        <v>3</v>
      </c>
      <c r="D2464" s="56" t="s">
        <v>18</v>
      </c>
      <c r="E2464" s="577" t="s">
        <v>6</v>
      </c>
      <c r="F2464" s="62">
        <v>2.1000000000000001E-2</v>
      </c>
      <c r="G2464" s="63">
        <f>VLOOKUP(D2464,upahbahan,3,FALSE)</f>
        <v>150000</v>
      </c>
      <c r="H2464" s="63">
        <f>F2464*G2464</f>
        <v>3150</v>
      </c>
      <c r="I2464" s="44"/>
      <c r="J2464" s="44"/>
      <c r="K2464" s="44"/>
    </row>
    <row r="2465" spans="3:15" s="59" customFormat="1" ht="21" customHeight="1">
      <c r="C2465" s="588">
        <v>4</v>
      </c>
      <c r="D2465" s="56" t="s">
        <v>19</v>
      </c>
      <c r="E2465" s="577" t="s">
        <v>6</v>
      </c>
      <c r="F2465" s="62">
        <v>6.0000000000000001E-3</v>
      </c>
      <c r="G2465" s="63">
        <f>VLOOKUP(D2465,upahbahan,3,FALSE)</f>
        <v>160000</v>
      </c>
      <c r="H2465" s="63">
        <f>F2465*G2465</f>
        <v>960</v>
      </c>
      <c r="I2465" s="44"/>
      <c r="J2465" s="44"/>
      <c r="K2465" s="44"/>
    </row>
    <row r="2466" spans="3:15" s="59" customFormat="1" ht="21" customHeight="1">
      <c r="C2466" s="450" t="s">
        <v>1208</v>
      </c>
      <c r="D2466" s="67"/>
      <c r="E2466" s="67"/>
      <c r="F2466" s="142"/>
      <c r="G2466" s="153"/>
      <c r="H2466" s="63">
        <f>SUM(H2462:H2465)</f>
        <v>46035</v>
      </c>
      <c r="I2466" s="154"/>
      <c r="J2466" s="154"/>
      <c r="K2466" s="154"/>
    </row>
    <row r="2467" spans="3:15" s="59" customFormat="1" ht="21" customHeight="1">
      <c r="C2467" s="61" t="s">
        <v>1209</v>
      </c>
      <c r="D2467" s="56" t="s">
        <v>1210</v>
      </c>
      <c r="E2467" s="57"/>
      <c r="F2467" s="57"/>
      <c r="G2467" s="57"/>
      <c r="H2467" s="57"/>
      <c r="I2467" s="44"/>
      <c r="J2467" s="44"/>
      <c r="K2467" s="44"/>
    </row>
    <row r="2468" spans="3:15" s="59" customFormat="1" ht="21" customHeight="1">
      <c r="C2468" s="61">
        <v>1</v>
      </c>
      <c r="D2468" s="56" t="s">
        <v>4058</v>
      </c>
      <c r="E2468" s="93" t="s">
        <v>135</v>
      </c>
      <c r="F2468" s="104">
        <v>1.1499999999999999</v>
      </c>
      <c r="G2468" s="63">
        <f>VLOOKUP(D2468,upahbahan,3,FALSE)</f>
        <v>110960</v>
      </c>
      <c r="H2468" s="586">
        <f>G2468*F2468</f>
        <v>127603.99999999999</v>
      </c>
      <c r="I2468" s="44"/>
      <c r="J2468" s="44"/>
      <c r="K2468" s="44"/>
    </row>
    <row r="2469" spans="3:15" s="59" customFormat="1" ht="21" customHeight="1">
      <c r="C2469" s="450" t="s">
        <v>1214</v>
      </c>
      <c r="D2469" s="67"/>
      <c r="E2469" s="67"/>
      <c r="F2469" s="67"/>
      <c r="G2469" s="69"/>
      <c r="H2469" s="63">
        <f>SUM(H2468:H2468)</f>
        <v>127603.99999999999</v>
      </c>
      <c r="I2469" s="44"/>
      <c r="J2469" s="44"/>
      <c r="K2469" s="44"/>
    </row>
    <row r="2470" spans="3:15" s="59" customFormat="1" ht="21" customHeight="1">
      <c r="C2470" s="61" t="s">
        <v>1215</v>
      </c>
      <c r="D2470" s="56" t="s">
        <v>1216</v>
      </c>
      <c r="E2470" s="57"/>
      <c r="F2470" s="57"/>
      <c r="G2470" s="57"/>
      <c r="H2470" s="57"/>
      <c r="I2470" s="44"/>
      <c r="J2470" s="44"/>
      <c r="K2470" s="44"/>
    </row>
    <row r="2471" spans="3:15" s="59" customFormat="1" ht="21" customHeight="1">
      <c r="C2471" s="450" t="s">
        <v>1217</v>
      </c>
      <c r="D2471" s="67"/>
      <c r="E2471" s="67"/>
      <c r="F2471" s="67"/>
      <c r="G2471" s="69"/>
      <c r="H2471" s="589">
        <v>0</v>
      </c>
      <c r="I2471" s="44"/>
      <c r="J2471" s="44"/>
      <c r="K2471" s="44"/>
    </row>
    <row r="2472" spans="3:15" s="59" customFormat="1" ht="21" customHeight="1">
      <c r="C2472" s="288" t="s">
        <v>1218</v>
      </c>
      <c r="D2472" s="76" t="s">
        <v>1219</v>
      </c>
      <c r="E2472" s="77"/>
      <c r="F2472" s="77"/>
      <c r="G2472" s="78"/>
      <c r="H2472" s="585">
        <f>H2471+H2469+H2466</f>
        <v>173639</v>
      </c>
      <c r="I2472" s="369"/>
      <c r="J2472" s="44"/>
      <c r="K2472" s="44"/>
    </row>
    <row r="2473" spans="3:15" s="59" customFormat="1" ht="21" customHeight="1">
      <c r="C2473" s="288" t="s">
        <v>1220</v>
      </c>
      <c r="D2473" s="76" t="s">
        <v>1321</v>
      </c>
      <c r="E2473" s="77"/>
      <c r="F2473" s="78"/>
      <c r="G2473" s="80">
        <v>0.1</v>
      </c>
      <c r="H2473" s="63">
        <f>H2472*G2473</f>
        <v>17363.900000000001</v>
      </c>
      <c r="I2473" s="369"/>
      <c r="J2473" s="44"/>
      <c r="K2473" s="44"/>
    </row>
    <row r="2474" spans="3:15" s="59" customFormat="1" ht="21" customHeight="1">
      <c r="C2474" s="288" t="s">
        <v>1221</v>
      </c>
      <c r="D2474" s="76" t="s">
        <v>1222</v>
      </c>
      <c r="E2474" s="77"/>
      <c r="F2474" s="77"/>
      <c r="G2474" s="78"/>
      <c r="H2474" s="799">
        <f>SUM(H2472:H2473)</f>
        <v>191002.9</v>
      </c>
      <c r="I2474" s="369"/>
      <c r="J2474" s="44"/>
      <c r="K2474" s="44"/>
    </row>
    <row r="2475" spans="3:15" ht="21" customHeight="1"/>
    <row r="2476" spans="3:15" s="59" customFormat="1" ht="21" customHeight="1">
      <c r="C2476" s="147" t="s">
        <v>5352</v>
      </c>
      <c r="D2476" s="794" t="s">
        <v>4059</v>
      </c>
      <c r="E2476" s="795"/>
      <c r="F2476" s="795"/>
      <c r="G2476" s="795"/>
      <c r="H2476" s="795"/>
      <c r="I2476" s="50">
        <f>ROUNDDOWN(H2491,-2)</f>
        <v>250300</v>
      </c>
      <c r="J2476" s="50"/>
      <c r="K2476" s="50"/>
    </row>
    <row r="2477" spans="3:15" s="59" customFormat="1" ht="21" customHeight="1">
      <c r="C2477" s="591" t="s">
        <v>1195</v>
      </c>
      <c r="D2477" s="591" t="s">
        <v>1196</v>
      </c>
      <c r="E2477" s="591" t="s">
        <v>1197</v>
      </c>
      <c r="F2477" s="591" t="s">
        <v>1198</v>
      </c>
      <c r="G2477" s="591" t="s">
        <v>1199</v>
      </c>
      <c r="H2477" s="591" t="s">
        <v>1200</v>
      </c>
      <c r="I2477" s="44"/>
      <c r="J2477" s="44"/>
      <c r="K2477" s="44"/>
    </row>
    <row r="2478" spans="3:15" s="59" customFormat="1" ht="21" customHeight="1">
      <c r="C2478" s="61" t="s">
        <v>1201</v>
      </c>
      <c r="D2478" s="56" t="s">
        <v>1202</v>
      </c>
      <c r="E2478" s="57"/>
      <c r="F2478" s="57"/>
      <c r="G2478" s="57"/>
      <c r="H2478" s="57"/>
      <c r="I2478" s="44"/>
      <c r="J2478" s="44"/>
      <c r="K2478" s="44"/>
      <c r="L2478" s="152" t="s">
        <v>1247</v>
      </c>
    </row>
    <row r="2479" spans="3:15" s="59" customFormat="1" ht="21" customHeight="1">
      <c r="C2479" s="588">
        <v>1</v>
      </c>
      <c r="D2479" s="56" t="s">
        <v>5</v>
      </c>
      <c r="E2479" s="577" t="s">
        <v>6</v>
      </c>
      <c r="F2479" s="62">
        <v>0.157</v>
      </c>
      <c r="G2479" s="63">
        <f>VLOOKUP(D2479,upahbahan,3,FALSE)</f>
        <v>100000</v>
      </c>
      <c r="H2479" s="63">
        <f>F2479*G2479</f>
        <v>15700</v>
      </c>
      <c r="I2479" s="44"/>
      <c r="J2479" s="44"/>
      <c r="K2479" s="44"/>
      <c r="L2479" s="152" t="s">
        <v>1248</v>
      </c>
      <c r="O2479" s="65">
        <v>0.1</v>
      </c>
    </row>
    <row r="2480" spans="3:15" s="59" customFormat="1" ht="21" customHeight="1">
      <c r="C2480" s="588">
        <v>2</v>
      </c>
      <c r="D2480" s="56" t="s">
        <v>10</v>
      </c>
      <c r="E2480" s="577" t="s">
        <v>6</v>
      </c>
      <c r="F2480" s="62">
        <v>0.26200000000000001</v>
      </c>
      <c r="G2480" s="63">
        <f>VLOOKUP(D2480,upahbahan,3,FALSE)</f>
        <v>135000</v>
      </c>
      <c r="H2480" s="63">
        <f>F2480*G2480</f>
        <v>35370</v>
      </c>
      <c r="I2480" s="44"/>
      <c r="J2480" s="44"/>
      <c r="K2480" s="44"/>
    </row>
    <row r="2481" spans="3:15" s="59" customFormat="1" ht="21" customHeight="1">
      <c r="C2481" s="588">
        <v>3</v>
      </c>
      <c r="D2481" s="56" t="s">
        <v>18</v>
      </c>
      <c r="E2481" s="577" t="s">
        <v>6</v>
      </c>
      <c r="F2481" s="62">
        <v>2.5999999999999999E-2</v>
      </c>
      <c r="G2481" s="63">
        <f>VLOOKUP(D2481,upahbahan,3,FALSE)</f>
        <v>150000</v>
      </c>
      <c r="H2481" s="63">
        <f>F2481*G2481</f>
        <v>3900</v>
      </c>
      <c r="I2481" s="44"/>
      <c r="J2481" s="44"/>
      <c r="K2481" s="44"/>
    </row>
    <row r="2482" spans="3:15" s="59" customFormat="1" ht="21" customHeight="1">
      <c r="C2482" s="588">
        <v>4</v>
      </c>
      <c r="D2482" s="56" t="s">
        <v>19</v>
      </c>
      <c r="E2482" s="577" t="s">
        <v>6</v>
      </c>
      <c r="F2482" s="62">
        <v>8.0000000000000002E-3</v>
      </c>
      <c r="G2482" s="63">
        <f>VLOOKUP(D2482,upahbahan,3,FALSE)</f>
        <v>160000</v>
      </c>
      <c r="H2482" s="63">
        <f>F2482*G2482</f>
        <v>1280</v>
      </c>
      <c r="I2482" s="44"/>
      <c r="J2482" s="44"/>
      <c r="K2482" s="44"/>
    </row>
    <row r="2483" spans="3:15" s="59" customFormat="1" ht="21" customHeight="1">
      <c r="C2483" s="450" t="s">
        <v>1208</v>
      </c>
      <c r="D2483" s="67"/>
      <c r="E2483" s="67"/>
      <c r="F2483" s="142"/>
      <c r="G2483" s="153"/>
      <c r="H2483" s="63">
        <f>SUM(H2479:H2482)</f>
        <v>56250</v>
      </c>
      <c r="I2483" s="154"/>
      <c r="J2483" s="154"/>
      <c r="K2483" s="154"/>
    </row>
    <row r="2484" spans="3:15" s="59" customFormat="1" ht="21" customHeight="1">
      <c r="C2484" s="61" t="s">
        <v>1209</v>
      </c>
      <c r="D2484" s="56" t="s">
        <v>1210</v>
      </c>
      <c r="E2484" s="57"/>
      <c r="F2484" s="57"/>
      <c r="G2484" s="57"/>
      <c r="H2484" s="57"/>
      <c r="I2484" s="44"/>
      <c r="J2484" s="44"/>
      <c r="K2484" s="44"/>
    </row>
    <row r="2485" spans="3:15" s="59" customFormat="1" ht="21" customHeight="1">
      <c r="C2485" s="61">
        <v>1</v>
      </c>
      <c r="D2485" s="56" t="s">
        <v>4060</v>
      </c>
      <c r="E2485" s="93" t="s">
        <v>135</v>
      </c>
      <c r="F2485" s="104">
        <v>1.1499999999999999</v>
      </c>
      <c r="G2485" s="63">
        <f>VLOOKUP(D2485,upahbahan,3,FALSE)</f>
        <v>148960</v>
      </c>
      <c r="H2485" s="586">
        <f>G2485*F2485</f>
        <v>171304</v>
      </c>
      <c r="I2485" s="44"/>
      <c r="J2485" s="44"/>
      <c r="K2485" s="44"/>
    </row>
    <row r="2486" spans="3:15" s="59" customFormat="1" ht="21" customHeight="1">
      <c r="C2486" s="450" t="s">
        <v>1214</v>
      </c>
      <c r="D2486" s="67"/>
      <c r="E2486" s="67"/>
      <c r="F2486" s="67"/>
      <c r="G2486" s="69"/>
      <c r="H2486" s="63">
        <f>SUM(H2485:H2485)</f>
        <v>171304</v>
      </c>
      <c r="I2486" s="44"/>
      <c r="J2486" s="44"/>
      <c r="K2486" s="44"/>
    </row>
    <row r="2487" spans="3:15" s="59" customFormat="1" ht="21" customHeight="1">
      <c r="C2487" s="61" t="s">
        <v>1215</v>
      </c>
      <c r="D2487" s="56" t="s">
        <v>1216</v>
      </c>
      <c r="E2487" s="57"/>
      <c r="F2487" s="57"/>
      <c r="G2487" s="57"/>
      <c r="H2487" s="57"/>
      <c r="I2487" s="44"/>
      <c r="J2487" s="44"/>
      <c r="K2487" s="44"/>
    </row>
    <row r="2488" spans="3:15" s="59" customFormat="1" ht="21" customHeight="1">
      <c r="C2488" s="450" t="s">
        <v>1217</v>
      </c>
      <c r="D2488" s="67"/>
      <c r="E2488" s="67"/>
      <c r="F2488" s="67"/>
      <c r="G2488" s="69"/>
      <c r="H2488" s="589">
        <v>0</v>
      </c>
      <c r="I2488" s="44"/>
      <c r="J2488" s="44"/>
      <c r="K2488" s="44"/>
    </row>
    <row r="2489" spans="3:15" s="59" customFormat="1" ht="21" customHeight="1">
      <c r="C2489" s="288" t="s">
        <v>1218</v>
      </c>
      <c r="D2489" s="76" t="s">
        <v>1219</v>
      </c>
      <c r="E2489" s="77"/>
      <c r="F2489" s="77"/>
      <c r="G2489" s="78"/>
      <c r="H2489" s="585">
        <f>H2488+H2486+H2483</f>
        <v>227554</v>
      </c>
      <c r="I2489" s="369"/>
      <c r="J2489" s="44"/>
      <c r="K2489" s="44"/>
    </row>
    <row r="2490" spans="3:15" s="59" customFormat="1" ht="21" customHeight="1">
      <c r="C2490" s="288" t="s">
        <v>1220</v>
      </c>
      <c r="D2490" s="76" t="s">
        <v>1321</v>
      </c>
      <c r="E2490" s="77"/>
      <c r="F2490" s="78"/>
      <c r="G2490" s="80">
        <v>0.1</v>
      </c>
      <c r="H2490" s="63">
        <f>H2489*G2490</f>
        <v>22755.4</v>
      </c>
      <c r="I2490" s="369"/>
      <c r="J2490" s="44"/>
      <c r="K2490" s="44"/>
    </row>
    <row r="2491" spans="3:15" s="59" customFormat="1" ht="21" customHeight="1">
      <c r="C2491" s="288" t="s">
        <v>1221</v>
      </c>
      <c r="D2491" s="76" t="s">
        <v>1222</v>
      </c>
      <c r="E2491" s="77"/>
      <c r="F2491" s="77"/>
      <c r="G2491" s="78"/>
      <c r="H2491" s="799">
        <f>SUM(H2489:H2490)</f>
        <v>250309.4</v>
      </c>
      <c r="I2491" s="369"/>
      <c r="J2491" s="44"/>
      <c r="K2491" s="44"/>
    </row>
    <row r="2492" spans="3:15" ht="21" customHeight="1"/>
    <row r="2493" spans="3:15" s="59" customFormat="1" ht="21" customHeight="1">
      <c r="C2493" s="147" t="s">
        <v>5353</v>
      </c>
      <c r="D2493" s="794" t="s">
        <v>4070</v>
      </c>
      <c r="E2493" s="795"/>
      <c r="F2493" s="795"/>
      <c r="G2493" s="795"/>
      <c r="H2493" s="795"/>
      <c r="I2493" s="50">
        <f>ROUNDDOWN(H2508,-2)</f>
        <v>354200</v>
      </c>
      <c r="J2493" s="50"/>
      <c r="K2493" s="50"/>
    </row>
    <row r="2494" spans="3:15" s="59" customFormat="1" ht="21" customHeight="1">
      <c r="C2494" s="591" t="s">
        <v>1195</v>
      </c>
      <c r="D2494" s="591" t="s">
        <v>1196</v>
      </c>
      <c r="E2494" s="591" t="s">
        <v>1197</v>
      </c>
      <c r="F2494" s="591" t="s">
        <v>1198</v>
      </c>
      <c r="G2494" s="591" t="s">
        <v>1199</v>
      </c>
      <c r="H2494" s="591" t="s">
        <v>1200</v>
      </c>
      <c r="I2494" s="44"/>
      <c r="J2494" s="44"/>
      <c r="K2494" s="44"/>
    </row>
    <row r="2495" spans="3:15" s="59" customFormat="1" ht="21" customHeight="1">
      <c r="C2495" s="61" t="s">
        <v>1201</v>
      </c>
      <c r="D2495" s="56" t="s">
        <v>1202</v>
      </c>
      <c r="E2495" s="57"/>
      <c r="F2495" s="57"/>
      <c r="G2495" s="57"/>
      <c r="H2495" s="57"/>
      <c r="I2495" s="44"/>
      <c r="J2495" s="44"/>
      <c r="K2495" s="44"/>
      <c r="L2495" s="152" t="s">
        <v>1247</v>
      </c>
    </row>
    <row r="2496" spans="3:15" s="59" customFormat="1" ht="21" customHeight="1">
      <c r="C2496" s="588">
        <v>1</v>
      </c>
      <c r="D2496" s="56" t="s">
        <v>5</v>
      </c>
      <c r="E2496" s="577" t="s">
        <v>6</v>
      </c>
      <c r="F2496" s="62">
        <v>0.20699999999999999</v>
      </c>
      <c r="G2496" s="63">
        <f>VLOOKUP(D2496,upahbahan,3,FALSE)</f>
        <v>100000</v>
      </c>
      <c r="H2496" s="63">
        <f>F2496*G2496</f>
        <v>20700</v>
      </c>
      <c r="I2496" s="44"/>
      <c r="J2496" s="44"/>
      <c r="K2496" s="44"/>
      <c r="L2496" s="152" t="s">
        <v>1248</v>
      </c>
      <c r="O2496" s="65">
        <v>0.1</v>
      </c>
    </row>
    <row r="2497" spans="3:12" s="59" customFormat="1" ht="21" customHeight="1">
      <c r="C2497" s="588">
        <v>2</v>
      </c>
      <c r="D2497" s="56" t="s">
        <v>10</v>
      </c>
      <c r="E2497" s="577" t="s">
        <v>6</v>
      </c>
      <c r="F2497" s="62">
        <v>0.34599999999999997</v>
      </c>
      <c r="G2497" s="63">
        <f>VLOOKUP(D2497,upahbahan,3,FALSE)</f>
        <v>135000</v>
      </c>
      <c r="H2497" s="63">
        <f>F2497*G2497</f>
        <v>46710</v>
      </c>
      <c r="I2497" s="44"/>
      <c r="J2497" s="44"/>
      <c r="K2497" s="44"/>
    </row>
    <row r="2498" spans="3:12" s="59" customFormat="1" ht="21" customHeight="1">
      <c r="C2498" s="588">
        <v>3</v>
      </c>
      <c r="D2498" s="56" t="s">
        <v>18</v>
      </c>
      <c r="E2498" s="577" t="s">
        <v>6</v>
      </c>
      <c r="F2498" s="62">
        <v>3.5000000000000003E-2</v>
      </c>
      <c r="G2498" s="63">
        <f>VLOOKUP(D2498,upahbahan,3,FALSE)</f>
        <v>150000</v>
      </c>
      <c r="H2498" s="63">
        <f>F2498*G2498</f>
        <v>5250.0000000000009</v>
      </c>
      <c r="I2498" s="44"/>
      <c r="J2498" s="44"/>
      <c r="K2498" s="44"/>
    </row>
    <row r="2499" spans="3:12" s="59" customFormat="1" ht="21" customHeight="1">
      <c r="C2499" s="588">
        <v>4</v>
      </c>
      <c r="D2499" s="56" t="s">
        <v>19</v>
      </c>
      <c r="E2499" s="577" t="s">
        <v>6</v>
      </c>
      <c r="F2499" s="62">
        <v>0.01</v>
      </c>
      <c r="G2499" s="63">
        <f>VLOOKUP(D2499,upahbahan,3,FALSE)</f>
        <v>160000</v>
      </c>
      <c r="H2499" s="63">
        <f>F2499*G2499</f>
        <v>1600</v>
      </c>
      <c r="I2499" s="44"/>
      <c r="J2499" s="44"/>
      <c r="K2499" s="44"/>
    </row>
    <row r="2500" spans="3:12" s="59" customFormat="1" ht="21" customHeight="1">
      <c r="C2500" s="450" t="s">
        <v>1208</v>
      </c>
      <c r="D2500" s="67"/>
      <c r="E2500" s="67"/>
      <c r="F2500" s="142"/>
      <c r="G2500" s="153"/>
      <c r="H2500" s="63">
        <f>SUM(H2496:H2499)</f>
        <v>74260</v>
      </c>
      <c r="I2500" s="154"/>
      <c r="J2500" s="154"/>
      <c r="K2500" s="154"/>
    </row>
    <row r="2501" spans="3:12" s="59" customFormat="1" ht="21" customHeight="1">
      <c r="C2501" s="61" t="s">
        <v>1209</v>
      </c>
      <c r="D2501" s="56" t="s">
        <v>1210</v>
      </c>
      <c r="E2501" s="57"/>
      <c r="F2501" s="57"/>
      <c r="G2501" s="57"/>
      <c r="H2501" s="57"/>
      <c r="I2501" s="44"/>
      <c r="J2501" s="44"/>
      <c r="K2501" s="44"/>
    </row>
    <row r="2502" spans="3:12" s="59" customFormat="1" ht="21" customHeight="1">
      <c r="C2502" s="61">
        <v>1</v>
      </c>
      <c r="D2502" s="56" t="s">
        <v>4061</v>
      </c>
      <c r="E2502" s="93" t="s">
        <v>135</v>
      </c>
      <c r="F2502" s="104">
        <v>1.1499999999999999</v>
      </c>
      <c r="G2502" s="63">
        <f>VLOOKUP(D2502,upahbahan,3,FALSE)</f>
        <v>215460</v>
      </c>
      <c r="H2502" s="586">
        <f>G2502*F2502</f>
        <v>247778.99999999997</v>
      </c>
      <c r="I2502" s="44"/>
      <c r="J2502" s="44"/>
      <c r="K2502" s="44"/>
    </row>
    <row r="2503" spans="3:12" s="59" customFormat="1" ht="21" customHeight="1">
      <c r="C2503" s="450" t="s">
        <v>1214</v>
      </c>
      <c r="D2503" s="67"/>
      <c r="E2503" s="67"/>
      <c r="F2503" s="67"/>
      <c r="G2503" s="69"/>
      <c r="H2503" s="63">
        <f>SUM(H2502:H2502)</f>
        <v>247778.99999999997</v>
      </c>
      <c r="I2503" s="44"/>
      <c r="J2503" s="44"/>
      <c r="K2503" s="44"/>
    </row>
    <row r="2504" spans="3:12" s="59" customFormat="1" ht="21" customHeight="1">
      <c r="C2504" s="61" t="s">
        <v>1215</v>
      </c>
      <c r="D2504" s="56" t="s">
        <v>1216</v>
      </c>
      <c r="E2504" s="57"/>
      <c r="F2504" s="57"/>
      <c r="G2504" s="57"/>
      <c r="H2504" s="57"/>
      <c r="I2504" s="44"/>
      <c r="J2504" s="44"/>
      <c r="K2504" s="44"/>
    </row>
    <row r="2505" spans="3:12" s="59" customFormat="1" ht="21" customHeight="1">
      <c r="C2505" s="450" t="s">
        <v>1217</v>
      </c>
      <c r="D2505" s="67"/>
      <c r="E2505" s="67"/>
      <c r="F2505" s="67"/>
      <c r="G2505" s="69"/>
      <c r="H2505" s="589">
        <v>0</v>
      </c>
      <c r="I2505" s="44"/>
      <c r="J2505" s="44"/>
      <c r="K2505" s="44"/>
    </row>
    <row r="2506" spans="3:12" s="59" customFormat="1" ht="21" customHeight="1">
      <c r="C2506" s="288" t="s">
        <v>1218</v>
      </c>
      <c r="D2506" s="76" t="s">
        <v>1219</v>
      </c>
      <c r="E2506" s="77"/>
      <c r="F2506" s="77"/>
      <c r="G2506" s="78"/>
      <c r="H2506" s="585">
        <f>H2505+H2503+H2500</f>
        <v>322039</v>
      </c>
      <c r="I2506" s="369"/>
      <c r="J2506" s="44"/>
      <c r="K2506" s="44"/>
    </row>
    <row r="2507" spans="3:12" s="59" customFormat="1" ht="21" customHeight="1">
      <c r="C2507" s="288" t="s">
        <v>1220</v>
      </c>
      <c r="D2507" s="76" t="s">
        <v>1321</v>
      </c>
      <c r="E2507" s="77"/>
      <c r="F2507" s="78"/>
      <c r="G2507" s="80">
        <v>0.1</v>
      </c>
      <c r="H2507" s="63">
        <f>H2506*G2507</f>
        <v>32203.9</v>
      </c>
      <c r="I2507" s="369"/>
      <c r="J2507" s="44"/>
      <c r="K2507" s="44"/>
    </row>
    <row r="2508" spans="3:12" s="59" customFormat="1" ht="21" customHeight="1">
      <c r="C2508" s="288" t="s">
        <v>1221</v>
      </c>
      <c r="D2508" s="76" t="s">
        <v>1222</v>
      </c>
      <c r="E2508" s="77"/>
      <c r="F2508" s="77"/>
      <c r="G2508" s="78"/>
      <c r="H2508" s="799">
        <f>SUM(H2506:H2507)</f>
        <v>354242.9</v>
      </c>
      <c r="I2508" s="369"/>
      <c r="J2508" s="44"/>
      <c r="K2508" s="44"/>
    </row>
    <row r="2509" spans="3:12" ht="21" customHeight="1"/>
    <row r="2510" spans="3:12" s="59" customFormat="1" ht="21" customHeight="1">
      <c r="C2510" s="147" t="s">
        <v>5354</v>
      </c>
      <c r="D2510" s="794" t="s">
        <v>4071</v>
      </c>
      <c r="E2510" s="795"/>
      <c r="F2510" s="795"/>
      <c r="G2510" s="795"/>
      <c r="H2510" s="795"/>
      <c r="I2510" s="50">
        <f>ROUNDDOWN(H2525,-2)</f>
        <v>437500</v>
      </c>
      <c r="J2510" s="50"/>
      <c r="K2510" s="50"/>
    </row>
    <row r="2511" spans="3:12" s="59" customFormat="1" ht="21" customHeight="1">
      <c r="C2511" s="591" t="s">
        <v>1195</v>
      </c>
      <c r="D2511" s="591" t="s">
        <v>1196</v>
      </c>
      <c r="E2511" s="591" t="s">
        <v>1197</v>
      </c>
      <c r="F2511" s="591" t="s">
        <v>1198</v>
      </c>
      <c r="G2511" s="591" t="s">
        <v>1199</v>
      </c>
      <c r="H2511" s="591" t="s">
        <v>1200</v>
      </c>
      <c r="I2511" s="44"/>
      <c r="J2511" s="44"/>
      <c r="K2511" s="44"/>
    </row>
    <row r="2512" spans="3:12" s="59" customFormat="1" ht="21" customHeight="1">
      <c r="C2512" s="61" t="s">
        <v>1201</v>
      </c>
      <c r="D2512" s="56" t="s">
        <v>1202</v>
      </c>
      <c r="E2512" s="57"/>
      <c r="F2512" s="57"/>
      <c r="G2512" s="57"/>
      <c r="H2512" s="57"/>
      <c r="I2512" s="44"/>
      <c r="J2512" s="44"/>
      <c r="K2512" s="44"/>
      <c r="L2512" s="152" t="s">
        <v>1247</v>
      </c>
    </row>
    <row r="2513" spans="3:15" s="59" customFormat="1" ht="21" customHeight="1">
      <c r="C2513" s="588">
        <v>1</v>
      </c>
      <c r="D2513" s="56" t="s">
        <v>5</v>
      </c>
      <c r="E2513" s="577" t="s">
        <v>6</v>
      </c>
      <c r="F2513" s="62">
        <v>0.26</v>
      </c>
      <c r="G2513" s="63">
        <f>VLOOKUP(D2513,upahbahan,3,FALSE)</f>
        <v>100000</v>
      </c>
      <c r="H2513" s="63">
        <f>F2513*G2513</f>
        <v>26000</v>
      </c>
      <c r="I2513" s="44"/>
      <c r="J2513" s="44"/>
      <c r="K2513" s="44"/>
      <c r="L2513" s="152" t="s">
        <v>1248</v>
      </c>
      <c r="O2513" s="65">
        <v>0.1</v>
      </c>
    </row>
    <row r="2514" spans="3:15" s="59" customFormat="1" ht="21" customHeight="1">
      <c r="C2514" s="588">
        <v>2</v>
      </c>
      <c r="D2514" s="56" t="s">
        <v>10</v>
      </c>
      <c r="E2514" s="577" t="s">
        <v>6</v>
      </c>
      <c r="F2514" s="62">
        <v>0.433</v>
      </c>
      <c r="G2514" s="63">
        <f>VLOOKUP(D2514,upahbahan,3,FALSE)</f>
        <v>135000</v>
      </c>
      <c r="H2514" s="63">
        <f>F2514*G2514</f>
        <v>58455</v>
      </c>
      <c r="I2514" s="44"/>
      <c r="J2514" s="44"/>
      <c r="K2514" s="44"/>
    </row>
    <row r="2515" spans="3:15" s="59" customFormat="1" ht="21" customHeight="1">
      <c r="C2515" s="588">
        <v>3</v>
      </c>
      <c r="D2515" s="56" t="s">
        <v>18</v>
      </c>
      <c r="E2515" s="577" t="s">
        <v>6</v>
      </c>
      <c r="F2515" s="62">
        <v>4.2999999999999997E-2</v>
      </c>
      <c r="G2515" s="63">
        <f>VLOOKUP(D2515,upahbahan,3,FALSE)</f>
        <v>150000</v>
      </c>
      <c r="H2515" s="63">
        <f>F2515*G2515</f>
        <v>6449.9999999999991</v>
      </c>
      <c r="I2515" s="44"/>
      <c r="J2515" s="44"/>
      <c r="K2515" s="44"/>
    </row>
    <row r="2516" spans="3:15" s="59" customFormat="1" ht="21" customHeight="1">
      <c r="C2516" s="588">
        <v>4</v>
      </c>
      <c r="D2516" s="56" t="s">
        <v>19</v>
      </c>
      <c r="E2516" s="577" t="s">
        <v>6</v>
      </c>
      <c r="F2516" s="62">
        <v>1.2999999999999999E-2</v>
      </c>
      <c r="G2516" s="63">
        <f>VLOOKUP(D2516,upahbahan,3,FALSE)</f>
        <v>160000</v>
      </c>
      <c r="H2516" s="63">
        <f>F2516*G2516</f>
        <v>2080</v>
      </c>
      <c r="I2516" s="44"/>
      <c r="J2516" s="44"/>
      <c r="K2516" s="44"/>
    </row>
    <row r="2517" spans="3:15" s="59" customFormat="1" ht="21" customHeight="1">
      <c r="C2517" s="450" t="s">
        <v>1208</v>
      </c>
      <c r="D2517" s="67"/>
      <c r="E2517" s="67"/>
      <c r="F2517" s="142"/>
      <c r="G2517" s="153"/>
      <c r="H2517" s="63">
        <f>SUM(H2513:H2516)</f>
        <v>92985</v>
      </c>
      <c r="I2517" s="154"/>
      <c r="J2517" s="154"/>
      <c r="K2517" s="154"/>
    </row>
    <row r="2518" spans="3:15" s="59" customFormat="1" ht="21" customHeight="1">
      <c r="C2518" s="61" t="s">
        <v>1209</v>
      </c>
      <c r="D2518" s="56" t="s">
        <v>1210</v>
      </c>
      <c r="E2518" s="57"/>
      <c r="F2518" s="57"/>
      <c r="G2518" s="57"/>
      <c r="H2518" s="57"/>
      <c r="I2518" s="44"/>
      <c r="J2518" s="44"/>
      <c r="K2518" s="44"/>
    </row>
    <row r="2519" spans="3:15" s="59" customFormat="1" ht="21" customHeight="1">
      <c r="C2519" s="61">
        <v>1</v>
      </c>
      <c r="D2519" s="56" t="s">
        <v>4062</v>
      </c>
      <c r="E2519" s="93" t="s">
        <v>135</v>
      </c>
      <c r="F2519" s="104">
        <v>1.1499999999999999</v>
      </c>
      <c r="G2519" s="63">
        <f>VLOOKUP(D2519,upahbahan,3,FALSE)</f>
        <v>265000</v>
      </c>
      <c r="H2519" s="586">
        <f>G2519*F2519</f>
        <v>304750</v>
      </c>
      <c r="I2519" s="44"/>
      <c r="J2519" s="44"/>
      <c r="K2519" s="44"/>
    </row>
    <row r="2520" spans="3:15" s="59" customFormat="1" ht="21" customHeight="1">
      <c r="C2520" s="450" t="s">
        <v>1214</v>
      </c>
      <c r="D2520" s="67"/>
      <c r="E2520" s="67"/>
      <c r="F2520" s="67"/>
      <c r="G2520" s="69"/>
      <c r="H2520" s="63">
        <f>SUM(H2519:H2519)</f>
        <v>304750</v>
      </c>
      <c r="I2520" s="44"/>
      <c r="J2520" s="44"/>
      <c r="K2520" s="44"/>
    </row>
    <row r="2521" spans="3:15" s="59" customFormat="1" ht="21" customHeight="1">
      <c r="C2521" s="61" t="s">
        <v>1215</v>
      </c>
      <c r="D2521" s="56" t="s">
        <v>1216</v>
      </c>
      <c r="E2521" s="57"/>
      <c r="F2521" s="57"/>
      <c r="G2521" s="57"/>
      <c r="H2521" s="57"/>
      <c r="I2521" s="44"/>
      <c r="J2521" s="44"/>
      <c r="K2521" s="44"/>
    </row>
    <row r="2522" spans="3:15" s="59" customFormat="1" ht="21" customHeight="1">
      <c r="C2522" s="450" t="s">
        <v>1217</v>
      </c>
      <c r="D2522" s="67"/>
      <c r="E2522" s="67"/>
      <c r="F2522" s="67"/>
      <c r="G2522" s="69"/>
      <c r="H2522" s="589">
        <v>0</v>
      </c>
      <c r="I2522" s="44"/>
      <c r="J2522" s="44"/>
      <c r="K2522" s="44"/>
    </row>
    <row r="2523" spans="3:15" s="59" customFormat="1" ht="21" customHeight="1">
      <c r="C2523" s="288" t="s">
        <v>1218</v>
      </c>
      <c r="D2523" s="76" t="s">
        <v>1219</v>
      </c>
      <c r="E2523" s="77"/>
      <c r="F2523" s="77"/>
      <c r="G2523" s="78"/>
      <c r="H2523" s="585">
        <f>H2522+H2520+H2517</f>
        <v>397735</v>
      </c>
      <c r="I2523" s="369"/>
      <c r="J2523" s="44"/>
      <c r="K2523" s="44"/>
    </row>
    <row r="2524" spans="3:15" s="59" customFormat="1" ht="21" customHeight="1">
      <c r="C2524" s="288" t="s">
        <v>1220</v>
      </c>
      <c r="D2524" s="76" t="s">
        <v>1321</v>
      </c>
      <c r="E2524" s="77"/>
      <c r="F2524" s="78"/>
      <c r="G2524" s="80">
        <v>0.1</v>
      </c>
      <c r="H2524" s="63">
        <f>H2523*G2524</f>
        <v>39773.5</v>
      </c>
      <c r="I2524" s="369"/>
      <c r="J2524" s="44"/>
      <c r="K2524" s="44"/>
    </row>
    <row r="2525" spans="3:15" s="59" customFormat="1" ht="21" customHeight="1">
      <c r="C2525" s="288" t="s">
        <v>1221</v>
      </c>
      <c r="D2525" s="76" t="s">
        <v>1222</v>
      </c>
      <c r="E2525" s="77"/>
      <c r="F2525" s="77"/>
      <c r="G2525" s="78"/>
      <c r="H2525" s="799">
        <f>SUM(H2523:H2524)</f>
        <v>437508.5</v>
      </c>
      <c r="I2525" s="369"/>
      <c r="J2525" s="44"/>
      <c r="K2525" s="44"/>
    </row>
    <row r="2526" spans="3:15" ht="21" customHeight="1"/>
    <row r="2527" spans="3:15" s="59" customFormat="1" ht="21" customHeight="1">
      <c r="C2527" s="147" t="s">
        <v>5355</v>
      </c>
      <c r="D2527" s="794" t="s">
        <v>4072</v>
      </c>
      <c r="E2527" s="795"/>
      <c r="F2527" s="795"/>
      <c r="G2527" s="795"/>
      <c r="H2527" s="795"/>
      <c r="I2527" s="50">
        <f>ROUNDDOWN(H2542,-2)</f>
        <v>1025300</v>
      </c>
      <c r="J2527" s="50"/>
      <c r="K2527" s="50"/>
    </row>
    <row r="2528" spans="3:15" s="59" customFormat="1" ht="21" customHeight="1">
      <c r="C2528" s="591" t="s">
        <v>1195</v>
      </c>
      <c r="D2528" s="591" t="s">
        <v>1196</v>
      </c>
      <c r="E2528" s="591" t="s">
        <v>1197</v>
      </c>
      <c r="F2528" s="591" t="s">
        <v>1198</v>
      </c>
      <c r="G2528" s="591" t="s">
        <v>1199</v>
      </c>
      <c r="H2528" s="591" t="s">
        <v>1200</v>
      </c>
      <c r="I2528" s="44"/>
      <c r="J2528" s="44"/>
      <c r="K2528" s="44"/>
    </row>
    <row r="2529" spans="3:15" s="59" customFormat="1" ht="21" customHeight="1">
      <c r="C2529" s="61" t="s">
        <v>1201</v>
      </c>
      <c r="D2529" s="56" t="s">
        <v>1202</v>
      </c>
      <c r="E2529" s="57"/>
      <c r="F2529" s="57"/>
      <c r="G2529" s="57"/>
      <c r="H2529" s="57"/>
      <c r="I2529" s="44"/>
      <c r="J2529" s="44"/>
      <c r="K2529" s="44"/>
      <c r="L2529" s="152" t="s">
        <v>1247</v>
      </c>
    </row>
    <row r="2530" spans="3:15" s="59" customFormat="1" ht="21" customHeight="1">
      <c r="C2530" s="588">
        <v>1</v>
      </c>
      <c r="D2530" s="56" t="s">
        <v>5</v>
      </c>
      <c r="E2530" s="577" t="s">
        <v>6</v>
      </c>
      <c r="F2530" s="62">
        <v>0.47099999999999997</v>
      </c>
      <c r="G2530" s="63">
        <f>VLOOKUP(D2530,upahbahan,3,FALSE)</f>
        <v>100000</v>
      </c>
      <c r="H2530" s="63">
        <f>F2530*G2530</f>
        <v>47100</v>
      </c>
      <c r="I2530" s="44"/>
      <c r="J2530" s="44"/>
      <c r="K2530" s="44"/>
      <c r="L2530" s="152" t="s">
        <v>1248</v>
      </c>
      <c r="O2530" s="65">
        <v>0.1</v>
      </c>
    </row>
    <row r="2531" spans="3:15" s="59" customFormat="1" ht="21" customHeight="1">
      <c r="C2531" s="588">
        <v>2</v>
      </c>
      <c r="D2531" s="56" t="s">
        <v>10</v>
      </c>
      <c r="E2531" s="577" t="s">
        <v>6</v>
      </c>
      <c r="F2531" s="62">
        <v>0.78700000000000003</v>
      </c>
      <c r="G2531" s="63">
        <f>VLOOKUP(D2531,upahbahan,3,FALSE)</f>
        <v>135000</v>
      </c>
      <c r="H2531" s="63">
        <f>F2531*G2531</f>
        <v>106245</v>
      </c>
      <c r="I2531" s="44"/>
      <c r="J2531" s="44"/>
      <c r="K2531" s="44"/>
    </row>
    <row r="2532" spans="3:15" s="59" customFormat="1" ht="21" customHeight="1">
      <c r="C2532" s="588">
        <v>3</v>
      </c>
      <c r="D2532" s="56" t="s">
        <v>18</v>
      </c>
      <c r="E2532" s="577" t="s">
        <v>6</v>
      </c>
      <c r="F2532" s="62">
        <v>7.9000000000000001E-2</v>
      </c>
      <c r="G2532" s="63">
        <f>VLOOKUP(D2532,upahbahan,3,FALSE)</f>
        <v>150000</v>
      </c>
      <c r="H2532" s="63">
        <f>F2532*G2532</f>
        <v>11850</v>
      </c>
      <c r="I2532" s="44"/>
      <c r="J2532" s="44"/>
      <c r="K2532" s="44"/>
    </row>
    <row r="2533" spans="3:15" s="59" customFormat="1" ht="21" customHeight="1">
      <c r="C2533" s="588">
        <v>4</v>
      </c>
      <c r="D2533" s="56" t="s">
        <v>19</v>
      </c>
      <c r="E2533" s="577" t="s">
        <v>6</v>
      </c>
      <c r="F2533" s="62">
        <v>2.4E-2</v>
      </c>
      <c r="G2533" s="63">
        <f>VLOOKUP(D2533,upahbahan,3,FALSE)</f>
        <v>160000</v>
      </c>
      <c r="H2533" s="63">
        <f>F2533*G2533</f>
        <v>3840</v>
      </c>
      <c r="I2533" s="44"/>
      <c r="J2533" s="44"/>
      <c r="K2533" s="44"/>
    </row>
    <row r="2534" spans="3:15" s="59" customFormat="1" ht="21" customHeight="1">
      <c r="C2534" s="450" t="s">
        <v>1208</v>
      </c>
      <c r="D2534" s="67"/>
      <c r="E2534" s="67"/>
      <c r="F2534" s="142"/>
      <c r="G2534" s="153"/>
      <c r="H2534" s="63">
        <f>SUM(H2530:H2533)</f>
        <v>169035</v>
      </c>
      <c r="I2534" s="154"/>
      <c r="J2534" s="154"/>
      <c r="K2534" s="154"/>
    </row>
    <row r="2535" spans="3:15" s="59" customFormat="1" ht="21" customHeight="1">
      <c r="C2535" s="61" t="s">
        <v>1209</v>
      </c>
      <c r="D2535" s="56" t="s">
        <v>1210</v>
      </c>
      <c r="E2535" s="57"/>
      <c r="F2535" s="57"/>
      <c r="G2535" s="57"/>
      <c r="H2535" s="57"/>
      <c r="I2535" s="44"/>
      <c r="J2535" s="44"/>
      <c r="K2535" s="44"/>
    </row>
    <row r="2536" spans="3:15" s="59" customFormat="1" ht="21" customHeight="1">
      <c r="C2536" s="61">
        <v>1</v>
      </c>
      <c r="D2536" s="56" t="s">
        <v>4063</v>
      </c>
      <c r="E2536" s="93" t="s">
        <v>135</v>
      </c>
      <c r="F2536" s="104">
        <v>1.3</v>
      </c>
      <c r="G2536" s="63">
        <f>VLOOKUP(D2536,upahbahan,3,FALSE)</f>
        <v>587000</v>
      </c>
      <c r="H2536" s="586">
        <f>G2536*F2536</f>
        <v>763100</v>
      </c>
      <c r="I2536" s="44"/>
      <c r="J2536" s="44"/>
      <c r="K2536" s="44"/>
    </row>
    <row r="2537" spans="3:15" s="59" customFormat="1" ht="21" customHeight="1">
      <c r="C2537" s="450" t="s">
        <v>1214</v>
      </c>
      <c r="D2537" s="67"/>
      <c r="E2537" s="67"/>
      <c r="F2537" s="67"/>
      <c r="G2537" s="69"/>
      <c r="H2537" s="63">
        <f>SUM(H2536:H2536)</f>
        <v>763100</v>
      </c>
      <c r="I2537" s="44"/>
      <c r="J2537" s="44"/>
      <c r="K2537" s="44"/>
    </row>
    <row r="2538" spans="3:15" s="59" customFormat="1" ht="21" customHeight="1">
      <c r="C2538" s="61" t="s">
        <v>1215</v>
      </c>
      <c r="D2538" s="56" t="s">
        <v>1216</v>
      </c>
      <c r="E2538" s="57"/>
      <c r="F2538" s="57"/>
      <c r="G2538" s="57"/>
      <c r="H2538" s="57"/>
      <c r="I2538" s="44"/>
      <c r="J2538" s="44"/>
      <c r="K2538" s="44"/>
    </row>
    <row r="2539" spans="3:15" s="59" customFormat="1" ht="21" customHeight="1">
      <c r="C2539" s="450" t="s">
        <v>1217</v>
      </c>
      <c r="D2539" s="67"/>
      <c r="E2539" s="67"/>
      <c r="F2539" s="67"/>
      <c r="G2539" s="69"/>
      <c r="H2539" s="589">
        <v>0</v>
      </c>
      <c r="I2539" s="44"/>
      <c r="J2539" s="44"/>
      <c r="K2539" s="44"/>
    </row>
    <row r="2540" spans="3:15" s="59" customFormat="1" ht="21" customHeight="1">
      <c r="C2540" s="288" t="s">
        <v>1218</v>
      </c>
      <c r="D2540" s="76" t="s">
        <v>1219</v>
      </c>
      <c r="E2540" s="77"/>
      <c r="F2540" s="77"/>
      <c r="G2540" s="78"/>
      <c r="H2540" s="585">
        <f>H2539+H2537+H2534</f>
        <v>932135</v>
      </c>
      <c r="I2540" s="369"/>
      <c r="J2540" s="44"/>
      <c r="K2540" s="44"/>
    </row>
    <row r="2541" spans="3:15" s="59" customFormat="1" ht="21" customHeight="1">
      <c r="C2541" s="288" t="s">
        <v>1220</v>
      </c>
      <c r="D2541" s="76" t="s">
        <v>1321</v>
      </c>
      <c r="E2541" s="77"/>
      <c r="F2541" s="78"/>
      <c r="G2541" s="80">
        <v>0.1</v>
      </c>
      <c r="H2541" s="63">
        <f>H2540*G2541</f>
        <v>93213.5</v>
      </c>
      <c r="I2541" s="369"/>
      <c r="J2541" s="44"/>
      <c r="K2541" s="44"/>
    </row>
    <row r="2542" spans="3:15" s="59" customFormat="1" ht="21" customHeight="1">
      <c r="C2542" s="288" t="s">
        <v>1221</v>
      </c>
      <c r="D2542" s="76" t="s">
        <v>1222</v>
      </c>
      <c r="E2542" s="77"/>
      <c r="F2542" s="77"/>
      <c r="G2542" s="78"/>
      <c r="H2542" s="799">
        <f>SUM(H2540:H2541)</f>
        <v>1025348.5</v>
      </c>
      <c r="I2542" s="369"/>
      <c r="J2542" s="44"/>
      <c r="K2542" s="44"/>
    </row>
    <row r="2543" spans="3:15" ht="21" customHeight="1"/>
    <row r="2544" spans="3:15" ht="21" customHeight="1"/>
    <row r="2545" spans="3:15" s="59" customFormat="1" ht="21" customHeight="1">
      <c r="C2545" s="147" t="s">
        <v>5356</v>
      </c>
      <c r="D2545" s="794" t="s">
        <v>4073</v>
      </c>
      <c r="E2545" s="795"/>
      <c r="F2545" s="795"/>
      <c r="G2545" s="795"/>
      <c r="H2545" s="795"/>
      <c r="I2545" s="50">
        <f>ROUNDDOWN(H2560,-2)</f>
        <v>2308000</v>
      </c>
      <c r="J2545" s="50"/>
      <c r="K2545" s="50"/>
    </row>
    <row r="2546" spans="3:15" s="59" customFormat="1" ht="21" customHeight="1">
      <c r="C2546" s="591" t="s">
        <v>1195</v>
      </c>
      <c r="D2546" s="591" t="s">
        <v>1196</v>
      </c>
      <c r="E2546" s="591" t="s">
        <v>1197</v>
      </c>
      <c r="F2546" s="591" t="s">
        <v>1198</v>
      </c>
      <c r="G2546" s="591" t="s">
        <v>1199</v>
      </c>
      <c r="H2546" s="591" t="s">
        <v>1200</v>
      </c>
      <c r="I2546" s="44"/>
      <c r="J2546" s="44"/>
      <c r="K2546" s="44"/>
    </row>
    <row r="2547" spans="3:15" s="59" customFormat="1" ht="21" customHeight="1">
      <c r="C2547" s="61" t="s">
        <v>1201</v>
      </c>
      <c r="D2547" s="56" t="s">
        <v>1202</v>
      </c>
      <c r="E2547" s="57"/>
      <c r="F2547" s="57"/>
      <c r="G2547" s="57"/>
      <c r="H2547" s="57"/>
      <c r="I2547" s="44"/>
      <c r="J2547" s="44"/>
      <c r="K2547" s="44"/>
      <c r="L2547" s="152" t="s">
        <v>1247</v>
      </c>
    </row>
    <row r="2548" spans="3:15" s="59" customFormat="1" ht="21" customHeight="1">
      <c r="C2548" s="588">
        <v>1</v>
      </c>
      <c r="D2548" s="56" t="s">
        <v>5</v>
      </c>
      <c r="E2548" s="577" t="s">
        <v>6</v>
      </c>
      <c r="F2548" s="62">
        <v>0.63100000000000001</v>
      </c>
      <c r="G2548" s="63">
        <f>VLOOKUP(D2548,upahbahan,3,FALSE)</f>
        <v>100000</v>
      </c>
      <c r="H2548" s="63">
        <f>F2548*G2548</f>
        <v>63100</v>
      </c>
      <c r="I2548" s="44"/>
      <c r="J2548" s="44"/>
      <c r="K2548" s="44"/>
      <c r="L2548" s="152" t="s">
        <v>1248</v>
      </c>
      <c r="O2548" s="65">
        <v>0.1</v>
      </c>
    </row>
    <row r="2549" spans="3:15" s="59" customFormat="1" ht="21" customHeight="1">
      <c r="C2549" s="588">
        <v>2</v>
      </c>
      <c r="D2549" s="56" t="s">
        <v>10</v>
      </c>
      <c r="E2549" s="577" t="s">
        <v>6</v>
      </c>
      <c r="F2549" s="62">
        <v>1.054</v>
      </c>
      <c r="G2549" s="63">
        <f>VLOOKUP(D2549,upahbahan,3,FALSE)</f>
        <v>135000</v>
      </c>
      <c r="H2549" s="63">
        <f>F2549*G2549</f>
        <v>142290</v>
      </c>
      <c r="I2549" s="44"/>
      <c r="J2549" s="44"/>
      <c r="K2549" s="44"/>
    </row>
    <row r="2550" spans="3:15" s="59" customFormat="1" ht="21" customHeight="1">
      <c r="C2550" s="588">
        <v>3</v>
      </c>
      <c r="D2550" s="56" t="s">
        <v>18</v>
      </c>
      <c r="E2550" s="577" t="s">
        <v>6</v>
      </c>
      <c r="F2550" s="62">
        <v>0.105</v>
      </c>
      <c r="G2550" s="63">
        <f>VLOOKUP(D2550,upahbahan,3,FALSE)</f>
        <v>150000</v>
      </c>
      <c r="H2550" s="63">
        <f>F2550*G2550</f>
        <v>15750</v>
      </c>
      <c r="I2550" s="44"/>
      <c r="J2550" s="44"/>
      <c r="K2550" s="44"/>
    </row>
    <row r="2551" spans="3:15" s="59" customFormat="1" ht="21" customHeight="1">
      <c r="C2551" s="588">
        <v>4</v>
      </c>
      <c r="D2551" s="56" t="s">
        <v>19</v>
      </c>
      <c r="E2551" s="577" t="s">
        <v>6</v>
      </c>
      <c r="F2551" s="62">
        <v>3.2000000000000001E-2</v>
      </c>
      <c r="G2551" s="63">
        <f>VLOOKUP(D2551,upahbahan,3,FALSE)</f>
        <v>160000</v>
      </c>
      <c r="H2551" s="63">
        <f>F2551*G2551</f>
        <v>5120</v>
      </c>
      <c r="I2551" s="44"/>
      <c r="J2551" s="44"/>
      <c r="K2551" s="44"/>
    </row>
    <row r="2552" spans="3:15" s="59" customFormat="1" ht="21" customHeight="1">
      <c r="C2552" s="450" t="s">
        <v>1208</v>
      </c>
      <c r="D2552" s="67"/>
      <c r="E2552" s="67"/>
      <c r="F2552" s="142"/>
      <c r="G2552" s="153"/>
      <c r="H2552" s="63">
        <f>SUM(H2548:H2551)</f>
        <v>226260</v>
      </c>
      <c r="I2552" s="154"/>
      <c r="J2552" s="154"/>
      <c r="K2552" s="154"/>
    </row>
    <row r="2553" spans="3:15" s="59" customFormat="1" ht="21" customHeight="1">
      <c r="C2553" s="61" t="s">
        <v>1209</v>
      </c>
      <c r="D2553" s="56" t="s">
        <v>1210</v>
      </c>
      <c r="E2553" s="57"/>
      <c r="F2553" s="57"/>
      <c r="G2553" s="57"/>
      <c r="H2553" s="57"/>
      <c r="I2553" s="44"/>
      <c r="J2553" s="44"/>
      <c r="K2553" s="44"/>
    </row>
    <row r="2554" spans="3:15" s="59" customFormat="1" ht="21" customHeight="1">
      <c r="C2554" s="61">
        <v>1</v>
      </c>
      <c r="D2554" s="56" t="s">
        <v>4064</v>
      </c>
      <c r="E2554" s="93" t="s">
        <v>135</v>
      </c>
      <c r="F2554" s="104">
        <v>1.3</v>
      </c>
      <c r="G2554" s="63">
        <f>VLOOKUP(D2554,upahbahan,3,FALSE)</f>
        <v>1440000</v>
      </c>
      <c r="H2554" s="586">
        <f>G2554*F2554</f>
        <v>1872000</v>
      </c>
      <c r="I2554" s="44"/>
      <c r="J2554" s="44"/>
      <c r="K2554" s="44"/>
    </row>
    <row r="2555" spans="3:15" s="59" customFormat="1" ht="21" customHeight="1">
      <c r="C2555" s="450" t="s">
        <v>1214</v>
      </c>
      <c r="D2555" s="67"/>
      <c r="E2555" s="67"/>
      <c r="F2555" s="67"/>
      <c r="G2555" s="69"/>
      <c r="H2555" s="63">
        <f>SUM(H2554:H2554)</f>
        <v>1872000</v>
      </c>
      <c r="I2555" s="44"/>
      <c r="J2555" s="44"/>
      <c r="K2555" s="44"/>
    </row>
    <row r="2556" spans="3:15" s="59" customFormat="1" ht="21" customHeight="1">
      <c r="C2556" s="61" t="s">
        <v>1215</v>
      </c>
      <c r="D2556" s="56" t="s">
        <v>1216</v>
      </c>
      <c r="E2556" s="57"/>
      <c r="F2556" s="57"/>
      <c r="G2556" s="57"/>
      <c r="H2556" s="57"/>
      <c r="I2556" s="44"/>
      <c r="J2556" s="44"/>
      <c r="K2556" s="44"/>
    </row>
    <row r="2557" spans="3:15" s="59" customFormat="1" ht="21" customHeight="1">
      <c r="C2557" s="450" t="s">
        <v>1217</v>
      </c>
      <c r="D2557" s="67"/>
      <c r="E2557" s="67"/>
      <c r="F2557" s="67"/>
      <c r="G2557" s="69"/>
      <c r="H2557" s="589">
        <v>0</v>
      </c>
      <c r="I2557" s="44"/>
      <c r="J2557" s="44"/>
      <c r="K2557" s="44"/>
    </row>
    <row r="2558" spans="3:15" s="59" customFormat="1" ht="21" customHeight="1">
      <c r="C2558" s="288" t="s">
        <v>1218</v>
      </c>
      <c r="D2558" s="76" t="s">
        <v>1219</v>
      </c>
      <c r="E2558" s="77"/>
      <c r="F2558" s="77"/>
      <c r="G2558" s="78"/>
      <c r="H2558" s="585">
        <f>H2557+H2555+H2552</f>
        <v>2098260</v>
      </c>
      <c r="I2558" s="369"/>
      <c r="J2558" s="44"/>
      <c r="K2558" s="44"/>
    </row>
    <row r="2559" spans="3:15" s="59" customFormat="1" ht="21" customHeight="1">
      <c r="C2559" s="288" t="s">
        <v>1220</v>
      </c>
      <c r="D2559" s="76" t="s">
        <v>1321</v>
      </c>
      <c r="E2559" s="77"/>
      <c r="F2559" s="78"/>
      <c r="G2559" s="80">
        <v>0.1</v>
      </c>
      <c r="H2559" s="63">
        <f>H2558*G2559</f>
        <v>209826</v>
      </c>
      <c r="I2559" s="369"/>
      <c r="J2559" s="44"/>
      <c r="K2559" s="44"/>
    </row>
    <row r="2560" spans="3:15" s="59" customFormat="1" ht="21" customHeight="1">
      <c r="C2560" s="288" t="s">
        <v>1221</v>
      </c>
      <c r="D2560" s="76" t="s">
        <v>1222</v>
      </c>
      <c r="E2560" s="77"/>
      <c r="F2560" s="77"/>
      <c r="G2560" s="78"/>
      <c r="H2560" s="799">
        <f>SUM(H2558:H2559)</f>
        <v>2308086</v>
      </c>
      <c r="I2560" s="369"/>
      <c r="J2560" s="44"/>
      <c r="K2560" s="44"/>
    </row>
    <row r="2561" spans="3:15" ht="21" customHeight="1"/>
    <row r="2562" spans="3:15" s="59" customFormat="1" ht="21" customHeight="1">
      <c r="C2562" s="147" t="s">
        <v>5357</v>
      </c>
      <c r="D2562" s="794" t="s">
        <v>4074</v>
      </c>
      <c r="E2562" s="795"/>
      <c r="F2562" s="795"/>
      <c r="G2562" s="795"/>
      <c r="H2562" s="795"/>
      <c r="I2562" s="50">
        <f>ROUNDDOWN(H2577,-2)</f>
        <v>4243200</v>
      </c>
      <c r="J2562" s="50"/>
      <c r="K2562" s="50"/>
    </row>
    <row r="2563" spans="3:15" s="59" customFormat="1" ht="21" customHeight="1">
      <c r="C2563" s="591" t="s">
        <v>1195</v>
      </c>
      <c r="D2563" s="591" t="s">
        <v>1196</v>
      </c>
      <c r="E2563" s="591" t="s">
        <v>1197</v>
      </c>
      <c r="F2563" s="591" t="s">
        <v>1198</v>
      </c>
      <c r="G2563" s="591" t="s">
        <v>1199</v>
      </c>
      <c r="H2563" s="591" t="s">
        <v>1200</v>
      </c>
      <c r="I2563" s="44"/>
      <c r="J2563" s="44"/>
      <c r="K2563" s="44"/>
    </row>
    <row r="2564" spans="3:15" s="59" customFormat="1" ht="21" customHeight="1">
      <c r="C2564" s="61" t="s">
        <v>1201</v>
      </c>
      <c r="D2564" s="56" t="s">
        <v>1202</v>
      </c>
      <c r="E2564" s="57"/>
      <c r="F2564" s="57"/>
      <c r="G2564" s="57"/>
      <c r="H2564" s="57"/>
      <c r="I2564" s="44"/>
      <c r="J2564" s="44"/>
      <c r="K2564" s="44"/>
      <c r="L2564" s="152" t="s">
        <v>1247</v>
      </c>
    </row>
    <row r="2565" spans="3:15" s="59" customFormat="1" ht="21" customHeight="1">
      <c r="C2565" s="588">
        <v>1</v>
      </c>
      <c r="D2565" s="56" t="s">
        <v>5</v>
      </c>
      <c r="E2565" s="577" t="s">
        <v>6</v>
      </c>
      <c r="F2565" s="62">
        <v>0.78800000000000003</v>
      </c>
      <c r="G2565" s="63">
        <f>VLOOKUP(D2565,upahbahan,3,FALSE)</f>
        <v>100000</v>
      </c>
      <c r="H2565" s="63">
        <f>F2565*G2565</f>
        <v>78800</v>
      </c>
      <c r="I2565" s="44"/>
      <c r="J2565" s="44"/>
      <c r="K2565" s="44"/>
      <c r="L2565" s="152" t="s">
        <v>1248</v>
      </c>
      <c r="O2565" s="65">
        <v>0.1</v>
      </c>
    </row>
    <row r="2566" spans="3:15" s="59" customFormat="1" ht="21" customHeight="1">
      <c r="C2566" s="588">
        <v>2</v>
      </c>
      <c r="D2566" s="56" t="s">
        <v>10</v>
      </c>
      <c r="E2566" s="577" t="s">
        <v>6</v>
      </c>
      <c r="F2566" s="62">
        <v>1.3160000000000001</v>
      </c>
      <c r="G2566" s="63">
        <f>VLOOKUP(D2566,upahbahan,3,FALSE)</f>
        <v>135000</v>
      </c>
      <c r="H2566" s="63">
        <f>F2566*G2566</f>
        <v>177660</v>
      </c>
      <c r="I2566" s="44"/>
      <c r="J2566" s="44"/>
      <c r="K2566" s="44"/>
    </row>
    <row r="2567" spans="3:15" s="59" customFormat="1" ht="21" customHeight="1">
      <c r="C2567" s="588">
        <v>3</v>
      </c>
      <c r="D2567" s="56" t="s">
        <v>18</v>
      </c>
      <c r="E2567" s="577" t="s">
        <v>6</v>
      </c>
      <c r="F2567" s="62">
        <v>0.13200000000000001</v>
      </c>
      <c r="G2567" s="63">
        <f>VLOOKUP(D2567,upahbahan,3,FALSE)</f>
        <v>150000</v>
      </c>
      <c r="H2567" s="63">
        <f>F2567*G2567</f>
        <v>19800</v>
      </c>
      <c r="I2567" s="44"/>
      <c r="J2567" s="44"/>
      <c r="K2567" s="44"/>
    </row>
    <row r="2568" spans="3:15" s="59" customFormat="1" ht="21" customHeight="1">
      <c r="C2568" s="588">
        <v>4</v>
      </c>
      <c r="D2568" s="56" t="s">
        <v>19</v>
      </c>
      <c r="E2568" s="577" t="s">
        <v>6</v>
      </c>
      <c r="F2568" s="62">
        <v>3.9E-2</v>
      </c>
      <c r="G2568" s="63">
        <f>VLOOKUP(D2568,upahbahan,3,FALSE)</f>
        <v>160000</v>
      </c>
      <c r="H2568" s="63">
        <f>F2568*G2568</f>
        <v>6240</v>
      </c>
      <c r="I2568" s="44"/>
      <c r="J2568" s="44"/>
      <c r="K2568" s="44"/>
    </row>
    <row r="2569" spans="3:15" s="59" customFormat="1" ht="21" customHeight="1">
      <c r="C2569" s="450" t="s">
        <v>1208</v>
      </c>
      <c r="D2569" s="67"/>
      <c r="E2569" s="67"/>
      <c r="F2569" s="142"/>
      <c r="G2569" s="153"/>
      <c r="H2569" s="63">
        <f>SUM(H2565:H2568)</f>
        <v>282500</v>
      </c>
      <c r="I2569" s="154"/>
      <c r="J2569" s="154"/>
      <c r="K2569" s="154"/>
    </row>
    <row r="2570" spans="3:15" s="59" customFormat="1" ht="21" customHeight="1">
      <c r="C2570" s="61" t="s">
        <v>1209</v>
      </c>
      <c r="D2570" s="56" t="s">
        <v>1210</v>
      </c>
      <c r="E2570" s="57"/>
      <c r="F2570" s="57"/>
      <c r="G2570" s="57"/>
      <c r="H2570" s="57"/>
      <c r="I2570" s="44"/>
      <c r="J2570" s="44"/>
      <c r="K2570" s="44"/>
    </row>
    <row r="2571" spans="3:15" s="59" customFormat="1" ht="21" customHeight="1">
      <c r="C2571" s="61">
        <v>1</v>
      </c>
      <c r="D2571" s="56" t="s">
        <v>4065</v>
      </c>
      <c r="E2571" s="93" t="s">
        <v>135</v>
      </c>
      <c r="F2571" s="104">
        <v>1.3</v>
      </c>
      <c r="G2571" s="63">
        <f>VLOOKUP(D2571,upahbahan,3,FALSE)</f>
        <v>2750000</v>
      </c>
      <c r="H2571" s="586">
        <f>G2571*F2571</f>
        <v>3575000</v>
      </c>
      <c r="I2571" s="44"/>
      <c r="J2571" s="44"/>
      <c r="K2571" s="44"/>
    </row>
    <row r="2572" spans="3:15" s="59" customFormat="1" ht="21" customHeight="1">
      <c r="C2572" s="450" t="s">
        <v>1214</v>
      </c>
      <c r="D2572" s="67"/>
      <c r="E2572" s="67"/>
      <c r="F2572" s="67"/>
      <c r="G2572" s="69"/>
      <c r="H2572" s="63">
        <f>SUM(H2571:H2571)</f>
        <v>3575000</v>
      </c>
      <c r="I2572" s="44"/>
      <c r="J2572" s="44"/>
      <c r="K2572" s="44"/>
    </row>
    <row r="2573" spans="3:15" s="59" customFormat="1" ht="21" customHeight="1">
      <c r="C2573" s="61" t="s">
        <v>1215</v>
      </c>
      <c r="D2573" s="56" t="s">
        <v>1216</v>
      </c>
      <c r="E2573" s="57"/>
      <c r="F2573" s="57"/>
      <c r="G2573" s="57"/>
      <c r="H2573" s="57"/>
      <c r="I2573" s="44"/>
      <c r="J2573" s="44"/>
      <c r="K2573" s="44"/>
    </row>
    <row r="2574" spans="3:15" s="59" customFormat="1" ht="21" customHeight="1">
      <c r="C2574" s="450" t="s">
        <v>1217</v>
      </c>
      <c r="D2574" s="67"/>
      <c r="E2574" s="67"/>
      <c r="F2574" s="67"/>
      <c r="G2574" s="69"/>
      <c r="H2574" s="589">
        <v>0</v>
      </c>
      <c r="I2574" s="44"/>
      <c r="J2574" s="44"/>
      <c r="K2574" s="44"/>
    </row>
    <row r="2575" spans="3:15" s="59" customFormat="1" ht="21" customHeight="1">
      <c r="C2575" s="288" t="s">
        <v>1218</v>
      </c>
      <c r="D2575" s="76" t="s">
        <v>1219</v>
      </c>
      <c r="E2575" s="77"/>
      <c r="F2575" s="77"/>
      <c r="G2575" s="78"/>
      <c r="H2575" s="585">
        <f>H2574+H2572+H2569</f>
        <v>3857500</v>
      </c>
      <c r="I2575" s="369"/>
      <c r="J2575" s="44"/>
      <c r="K2575" s="44"/>
    </row>
    <row r="2576" spans="3:15" s="59" customFormat="1" ht="21" customHeight="1">
      <c r="C2576" s="288" t="s">
        <v>1220</v>
      </c>
      <c r="D2576" s="76" t="s">
        <v>1321</v>
      </c>
      <c r="E2576" s="77"/>
      <c r="F2576" s="78"/>
      <c r="G2576" s="80">
        <v>0.1</v>
      </c>
      <c r="H2576" s="63">
        <f>H2575*G2576</f>
        <v>385750</v>
      </c>
      <c r="I2576" s="369"/>
      <c r="J2576" s="44"/>
      <c r="K2576" s="44"/>
    </row>
    <row r="2577" spans="3:15" s="59" customFormat="1" ht="21" customHeight="1">
      <c r="C2577" s="288" t="s">
        <v>1221</v>
      </c>
      <c r="D2577" s="76" t="s">
        <v>1222</v>
      </c>
      <c r="E2577" s="77"/>
      <c r="F2577" s="77"/>
      <c r="G2577" s="78"/>
      <c r="H2577" s="799">
        <f>SUM(H2575:H2576)</f>
        <v>4243250</v>
      </c>
      <c r="I2577" s="369"/>
      <c r="J2577" s="44"/>
      <c r="K2577" s="44"/>
    </row>
    <row r="2578" spans="3:15" ht="21" customHeight="1"/>
    <row r="2579" spans="3:15" s="59" customFormat="1" ht="21" customHeight="1">
      <c r="C2579" s="147" t="s">
        <v>5358</v>
      </c>
      <c r="D2579" s="794" t="s">
        <v>4075</v>
      </c>
      <c r="E2579" s="795"/>
      <c r="F2579" s="795"/>
      <c r="G2579" s="795"/>
      <c r="H2579" s="795"/>
      <c r="I2579" s="50">
        <f>ROUNDDOWN(H2594,-2)</f>
        <v>4734200</v>
      </c>
      <c r="J2579" s="50"/>
      <c r="K2579" s="50"/>
    </row>
    <row r="2580" spans="3:15" s="59" customFormat="1" ht="21" customHeight="1">
      <c r="C2580" s="591" t="s">
        <v>1195</v>
      </c>
      <c r="D2580" s="591" t="s">
        <v>1196</v>
      </c>
      <c r="E2580" s="591" t="s">
        <v>1197</v>
      </c>
      <c r="F2580" s="591" t="s">
        <v>1198</v>
      </c>
      <c r="G2580" s="591" t="s">
        <v>1199</v>
      </c>
      <c r="H2580" s="591" t="s">
        <v>1200</v>
      </c>
      <c r="I2580" s="44"/>
      <c r="J2580" s="44"/>
      <c r="K2580" s="44"/>
    </row>
    <row r="2581" spans="3:15" s="59" customFormat="1" ht="21" customHeight="1">
      <c r="C2581" s="61" t="s">
        <v>1201</v>
      </c>
      <c r="D2581" s="56" t="s">
        <v>1202</v>
      </c>
      <c r="E2581" s="57"/>
      <c r="F2581" s="57"/>
      <c r="G2581" s="57"/>
      <c r="H2581" s="57"/>
      <c r="I2581" s="44"/>
      <c r="J2581" s="44"/>
      <c r="K2581" s="44"/>
      <c r="L2581" s="152" t="s">
        <v>1247</v>
      </c>
    </row>
    <row r="2582" spans="3:15" s="59" customFormat="1" ht="21" customHeight="1">
      <c r="C2582" s="588">
        <v>1</v>
      </c>
      <c r="D2582" s="56" t="s">
        <v>5</v>
      </c>
      <c r="E2582" s="577" t="s">
        <v>6</v>
      </c>
      <c r="F2582" s="62">
        <v>0.94499999999999995</v>
      </c>
      <c r="G2582" s="63">
        <f>VLOOKUP(D2582,upahbahan,3,FALSE)</f>
        <v>100000</v>
      </c>
      <c r="H2582" s="63">
        <f>F2582*G2582</f>
        <v>94500</v>
      </c>
      <c r="I2582" s="44"/>
      <c r="J2582" s="44"/>
      <c r="K2582" s="44"/>
      <c r="L2582" s="152" t="s">
        <v>1248</v>
      </c>
      <c r="O2582" s="65">
        <v>0.1</v>
      </c>
    </row>
    <row r="2583" spans="3:15" s="59" customFormat="1" ht="21" customHeight="1">
      <c r="C2583" s="588">
        <v>2</v>
      </c>
      <c r="D2583" s="56" t="s">
        <v>10</v>
      </c>
      <c r="E2583" s="577" t="s">
        <v>6</v>
      </c>
      <c r="F2583" s="62">
        <v>1.579</v>
      </c>
      <c r="G2583" s="63">
        <f>VLOOKUP(D2583,upahbahan,3,FALSE)</f>
        <v>135000</v>
      </c>
      <c r="H2583" s="63">
        <f>F2583*G2583</f>
        <v>213165</v>
      </c>
      <c r="I2583" s="44"/>
      <c r="J2583" s="44"/>
      <c r="K2583" s="44"/>
    </row>
    <row r="2584" spans="3:15" s="59" customFormat="1" ht="21" customHeight="1">
      <c r="C2584" s="588">
        <v>3</v>
      </c>
      <c r="D2584" s="56" t="s">
        <v>18</v>
      </c>
      <c r="E2584" s="577" t="s">
        <v>6</v>
      </c>
      <c r="F2584" s="62">
        <v>0.158</v>
      </c>
      <c r="G2584" s="63">
        <f>VLOOKUP(D2584,upahbahan,3,FALSE)</f>
        <v>150000</v>
      </c>
      <c r="H2584" s="63">
        <f>F2584*G2584</f>
        <v>23700</v>
      </c>
      <c r="I2584" s="44"/>
      <c r="J2584" s="44"/>
      <c r="K2584" s="44"/>
    </row>
    <row r="2585" spans="3:15" s="59" customFormat="1" ht="21" customHeight="1">
      <c r="C2585" s="588">
        <v>4</v>
      </c>
      <c r="D2585" s="56" t="s">
        <v>19</v>
      </c>
      <c r="E2585" s="577" t="s">
        <v>6</v>
      </c>
      <c r="F2585" s="62">
        <v>4.7E-2</v>
      </c>
      <c r="G2585" s="63">
        <f>VLOOKUP(D2585,upahbahan,3,FALSE)</f>
        <v>160000</v>
      </c>
      <c r="H2585" s="63">
        <f>F2585*G2585</f>
        <v>7520</v>
      </c>
      <c r="I2585" s="44"/>
      <c r="J2585" s="44"/>
      <c r="K2585" s="44"/>
    </row>
    <row r="2586" spans="3:15" s="59" customFormat="1" ht="21" customHeight="1">
      <c r="C2586" s="450" t="s">
        <v>1208</v>
      </c>
      <c r="D2586" s="67"/>
      <c r="E2586" s="67"/>
      <c r="F2586" s="142"/>
      <c r="G2586" s="153"/>
      <c r="H2586" s="63">
        <f>SUM(H2582:H2585)</f>
        <v>338885</v>
      </c>
      <c r="I2586" s="154"/>
      <c r="J2586" s="154"/>
      <c r="K2586" s="154"/>
    </row>
    <row r="2587" spans="3:15" s="59" customFormat="1" ht="21" customHeight="1">
      <c r="C2587" s="61" t="s">
        <v>1209</v>
      </c>
      <c r="D2587" s="56" t="s">
        <v>1210</v>
      </c>
      <c r="E2587" s="57"/>
      <c r="F2587" s="57"/>
      <c r="G2587" s="57"/>
      <c r="H2587" s="57"/>
      <c r="I2587" s="44"/>
      <c r="J2587" s="44"/>
      <c r="K2587" s="44"/>
    </row>
    <row r="2588" spans="3:15" s="59" customFormat="1" ht="21" customHeight="1">
      <c r="C2588" s="61">
        <v>1</v>
      </c>
      <c r="D2588" s="56" t="s">
        <v>4066</v>
      </c>
      <c r="E2588" s="93" t="s">
        <v>135</v>
      </c>
      <c r="F2588" s="104">
        <v>1.3</v>
      </c>
      <c r="G2588" s="63">
        <f>VLOOKUP(D2588,upahbahan,3,FALSE)</f>
        <v>3050000</v>
      </c>
      <c r="H2588" s="586">
        <f>G2588*F2588</f>
        <v>3965000</v>
      </c>
      <c r="I2588" s="44"/>
      <c r="J2588" s="44"/>
      <c r="K2588" s="44"/>
    </row>
    <row r="2589" spans="3:15" s="59" customFormat="1" ht="21" customHeight="1">
      <c r="C2589" s="450" t="s">
        <v>1214</v>
      </c>
      <c r="D2589" s="67"/>
      <c r="E2589" s="67"/>
      <c r="F2589" s="67"/>
      <c r="G2589" s="69"/>
      <c r="H2589" s="63">
        <f>SUM(H2588:H2588)</f>
        <v>3965000</v>
      </c>
      <c r="I2589" s="44"/>
      <c r="J2589" s="44"/>
      <c r="K2589" s="44"/>
    </row>
    <row r="2590" spans="3:15" s="59" customFormat="1" ht="21" customHeight="1">
      <c r="C2590" s="61" t="s">
        <v>1215</v>
      </c>
      <c r="D2590" s="56" t="s">
        <v>1216</v>
      </c>
      <c r="E2590" s="57"/>
      <c r="F2590" s="57"/>
      <c r="G2590" s="57"/>
      <c r="H2590" s="57"/>
      <c r="I2590" s="44"/>
      <c r="J2590" s="44"/>
      <c r="K2590" s="44"/>
    </row>
    <row r="2591" spans="3:15" s="59" customFormat="1" ht="21" customHeight="1">
      <c r="C2591" s="450" t="s">
        <v>1217</v>
      </c>
      <c r="D2591" s="67"/>
      <c r="E2591" s="67"/>
      <c r="F2591" s="67"/>
      <c r="G2591" s="69"/>
      <c r="H2591" s="589">
        <v>0</v>
      </c>
      <c r="I2591" s="44"/>
      <c r="J2591" s="44"/>
      <c r="K2591" s="44"/>
    </row>
    <row r="2592" spans="3:15" s="59" customFormat="1" ht="21" customHeight="1">
      <c r="C2592" s="288" t="s">
        <v>1218</v>
      </c>
      <c r="D2592" s="76" t="s">
        <v>1219</v>
      </c>
      <c r="E2592" s="77"/>
      <c r="F2592" s="77"/>
      <c r="G2592" s="78"/>
      <c r="H2592" s="585">
        <f>H2591+H2589+H2586</f>
        <v>4303885</v>
      </c>
      <c r="I2592" s="369"/>
      <c r="J2592" s="44"/>
      <c r="K2592" s="44"/>
    </row>
    <row r="2593" spans="3:15" s="59" customFormat="1" ht="21" customHeight="1">
      <c r="C2593" s="288" t="s">
        <v>1220</v>
      </c>
      <c r="D2593" s="76" t="s">
        <v>1321</v>
      </c>
      <c r="E2593" s="77"/>
      <c r="F2593" s="78"/>
      <c r="G2593" s="80">
        <v>0.1</v>
      </c>
      <c r="H2593" s="63">
        <f>H2592*G2593</f>
        <v>430388.5</v>
      </c>
      <c r="I2593" s="369"/>
      <c r="J2593" s="44"/>
      <c r="K2593" s="44"/>
    </row>
    <row r="2594" spans="3:15" s="59" customFormat="1" ht="21" customHeight="1">
      <c r="C2594" s="288" t="s">
        <v>1221</v>
      </c>
      <c r="D2594" s="76" t="s">
        <v>1222</v>
      </c>
      <c r="E2594" s="77"/>
      <c r="F2594" s="77"/>
      <c r="G2594" s="78"/>
      <c r="H2594" s="799">
        <f>SUM(H2592:H2593)</f>
        <v>4734273.5</v>
      </c>
      <c r="I2594" s="369"/>
      <c r="J2594" s="44"/>
      <c r="K2594" s="44"/>
    </row>
    <row r="2595" spans="3:15" ht="21" customHeight="1"/>
    <row r="2596" spans="3:15" s="59" customFormat="1" ht="21" customHeight="1">
      <c r="C2596" s="147" t="s">
        <v>5359</v>
      </c>
      <c r="D2596" s="794" t="s">
        <v>4076</v>
      </c>
      <c r="E2596" s="795"/>
      <c r="F2596" s="795"/>
      <c r="G2596" s="795"/>
      <c r="H2596" s="795"/>
      <c r="I2596" s="50">
        <f>ROUNDDOWN(H2611,-2)</f>
        <v>5458700</v>
      </c>
      <c r="J2596" s="50"/>
      <c r="K2596" s="50"/>
    </row>
    <row r="2597" spans="3:15" s="59" customFormat="1" ht="21" customHeight="1">
      <c r="C2597" s="591" t="s">
        <v>1195</v>
      </c>
      <c r="D2597" s="591" t="s">
        <v>1196</v>
      </c>
      <c r="E2597" s="591" t="s">
        <v>1197</v>
      </c>
      <c r="F2597" s="591" t="s">
        <v>1198</v>
      </c>
      <c r="G2597" s="591" t="s">
        <v>1199</v>
      </c>
      <c r="H2597" s="591" t="s">
        <v>1200</v>
      </c>
      <c r="I2597" s="44"/>
      <c r="J2597" s="44"/>
      <c r="K2597" s="44"/>
    </row>
    <row r="2598" spans="3:15" s="59" customFormat="1" ht="21" customHeight="1">
      <c r="C2598" s="61" t="s">
        <v>1201</v>
      </c>
      <c r="D2598" s="56" t="s">
        <v>1202</v>
      </c>
      <c r="E2598" s="57"/>
      <c r="F2598" s="57"/>
      <c r="G2598" s="57"/>
      <c r="H2598" s="57"/>
      <c r="I2598" s="44"/>
      <c r="J2598" s="44"/>
      <c r="K2598" s="44"/>
      <c r="L2598" s="152" t="s">
        <v>1247</v>
      </c>
    </row>
    <row r="2599" spans="3:15" s="59" customFormat="1" ht="21" customHeight="1">
      <c r="C2599" s="588">
        <v>1</v>
      </c>
      <c r="D2599" s="56" t="s">
        <v>5</v>
      </c>
      <c r="E2599" s="577" t="s">
        <v>6</v>
      </c>
      <c r="F2599" s="62">
        <v>1.26</v>
      </c>
      <c r="G2599" s="63">
        <f>VLOOKUP(D2599,upahbahan,3,FALSE)</f>
        <v>100000</v>
      </c>
      <c r="H2599" s="63">
        <f>F2599*G2599</f>
        <v>126000</v>
      </c>
      <c r="I2599" s="44"/>
      <c r="J2599" s="44"/>
      <c r="K2599" s="44"/>
      <c r="L2599" s="152" t="s">
        <v>1248</v>
      </c>
      <c r="O2599" s="65">
        <v>0.1</v>
      </c>
    </row>
    <row r="2600" spans="3:15" s="59" customFormat="1" ht="21" customHeight="1">
      <c r="C2600" s="588">
        <v>2</v>
      </c>
      <c r="D2600" s="56" t="s">
        <v>10</v>
      </c>
      <c r="E2600" s="577" t="s">
        <v>6</v>
      </c>
      <c r="F2600" s="62">
        <v>2.1030000000000002</v>
      </c>
      <c r="G2600" s="63">
        <f>VLOOKUP(D2600,upahbahan,3,FALSE)</f>
        <v>135000</v>
      </c>
      <c r="H2600" s="63">
        <f>F2600*G2600</f>
        <v>283905</v>
      </c>
      <c r="I2600" s="44"/>
      <c r="J2600" s="44"/>
      <c r="K2600" s="44"/>
    </row>
    <row r="2601" spans="3:15" s="59" customFormat="1" ht="21" customHeight="1">
      <c r="C2601" s="588">
        <v>3</v>
      </c>
      <c r="D2601" s="56" t="s">
        <v>18</v>
      </c>
      <c r="E2601" s="577" t="s">
        <v>6</v>
      </c>
      <c r="F2601" s="62">
        <v>0.21</v>
      </c>
      <c r="G2601" s="63">
        <f>VLOOKUP(D2601,upahbahan,3,FALSE)</f>
        <v>150000</v>
      </c>
      <c r="H2601" s="63">
        <f>F2601*G2601</f>
        <v>31500</v>
      </c>
      <c r="I2601" s="44"/>
      <c r="J2601" s="44"/>
      <c r="K2601" s="44"/>
    </row>
    <row r="2602" spans="3:15" s="59" customFormat="1" ht="21" customHeight="1">
      <c r="C2602" s="588">
        <v>4</v>
      </c>
      <c r="D2602" s="56" t="s">
        <v>19</v>
      </c>
      <c r="E2602" s="577" t="s">
        <v>6</v>
      </c>
      <c r="F2602" s="62">
        <v>6.3E-2</v>
      </c>
      <c r="G2602" s="63">
        <f>VLOOKUP(D2602,upahbahan,3,FALSE)</f>
        <v>160000</v>
      </c>
      <c r="H2602" s="63">
        <f>F2602*G2602</f>
        <v>10080</v>
      </c>
      <c r="I2602" s="44"/>
      <c r="J2602" s="44"/>
      <c r="K2602" s="44"/>
    </row>
    <row r="2603" spans="3:15" s="59" customFormat="1" ht="21" customHeight="1">
      <c r="C2603" s="450" t="s">
        <v>1208</v>
      </c>
      <c r="D2603" s="67"/>
      <c r="E2603" s="67"/>
      <c r="F2603" s="142"/>
      <c r="G2603" s="153"/>
      <c r="H2603" s="63">
        <f>SUM(H2599:H2602)</f>
        <v>451485</v>
      </c>
      <c r="I2603" s="154"/>
      <c r="J2603" s="154"/>
      <c r="K2603" s="154"/>
    </row>
    <row r="2604" spans="3:15" s="59" customFormat="1" ht="21" customHeight="1">
      <c r="C2604" s="61" t="s">
        <v>1209</v>
      </c>
      <c r="D2604" s="56" t="s">
        <v>1210</v>
      </c>
      <c r="E2604" s="57"/>
      <c r="F2604" s="57"/>
      <c r="G2604" s="57"/>
      <c r="H2604" s="57"/>
      <c r="I2604" s="44"/>
      <c r="J2604" s="44"/>
      <c r="K2604" s="44"/>
    </row>
    <row r="2605" spans="3:15" s="59" customFormat="1" ht="21" customHeight="1">
      <c r="C2605" s="61">
        <v>1</v>
      </c>
      <c r="D2605" s="56" t="s">
        <v>4067</v>
      </c>
      <c r="E2605" s="93" t="s">
        <v>135</v>
      </c>
      <c r="F2605" s="104">
        <v>1.3</v>
      </c>
      <c r="G2605" s="63">
        <f>VLOOKUP(D2605,upahbahan,3,FALSE)</f>
        <v>3470000</v>
      </c>
      <c r="H2605" s="586">
        <f>G2605*F2605</f>
        <v>4511000</v>
      </c>
      <c r="I2605" s="44"/>
      <c r="J2605" s="44"/>
      <c r="K2605" s="44"/>
    </row>
    <row r="2606" spans="3:15" s="59" customFormat="1" ht="21" customHeight="1">
      <c r="C2606" s="450" t="s">
        <v>1214</v>
      </c>
      <c r="D2606" s="67"/>
      <c r="E2606" s="67"/>
      <c r="F2606" s="67"/>
      <c r="G2606" s="69"/>
      <c r="H2606" s="63">
        <f>SUM(H2605:H2605)</f>
        <v>4511000</v>
      </c>
      <c r="I2606" s="44"/>
      <c r="J2606" s="44"/>
      <c r="K2606" s="44"/>
    </row>
    <row r="2607" spans="3:15" s="59" customFormat="1" ht="21" customHeight="1">
      <c r="C2607" s="61" t="s">
        <v>1215</v>
      </c>
      <c r="D2607" s="56" t="s">
        <v>1216</v>
      </c>
      <c r="E2607" s="57"/>
      <c r="F2607" s="57"/>
      <c r="G2607" s="57"/>
      <c r="H2607" s="57"/>
      <c r="I2607" s="44"/>
      <c r="J2607" s="44"/>
      <c r="K2607" s="44"/>
    </row>
    <row r="2608" spans="3:15" s="59" customFormat="1" ht="21" customHeight="1">
      <c r="C2608" s="450" t="s">
        <v>1217</v>
      </c>
      <c r="D2608" s="67"/>
      <c r="E2608" s="67"/>
      <c r="F2608" s="67"/>
      <c r="G2608" s="69"/>
      <c r="H2608" s="589">
        <v>0</v>
      </c>
      <c r="I2608" s="44"/>
      <c r="J2608" s="44"/>
      <c r="K2608" s="44"/>
    </row>
    <row r="2609" spans="3:15" s="59" customFormat="1" ht="21" customHeight="1">
      <c r="C2609" s="288" t="s">
        <v>1218</v>
      </c>
      <c r="D2609" s="76" t="s">
        <v>1219</v>
      </c>
      <c r="E2609" s="77"/>
      <c r="F2609" s="77"/>
      <c r="G2609" s="78"/>
      <c r="H2609" s="585">
        <f>H2608+H2606+H2603</f>
        <v>4962485</v>
      </c>
      <c r="I2609" s="369"/>
      <c r="J2609" s="44"/>
      <c r="K2609" s="44"/>
    </row>
    <row r="2610" spans="3:15" s="59" customFormat="1" ht="21" customHeight="1">
      <c r="C2610" s="288" t="s">
        <v>1220</v>
      </c>
      <c r="D2610" s="76" t="s">
        <v>1321</v>
      </c>
      <c r="E2610" s="77"/>
      <c r="F2610" s="78"/>
      <c r="G2610" s="80">
        <v>0.1</v>
      </c>
      <c r="H2610" s="63">
        <f>H2609*G2610</f>
        <v>496248.5</v>
      </c>
      <c r="I2610" s="369"/>
      <c r="J2610" s="44"/>
      <c r="K2610" s="44"/>
    </row>
    <row r="2611" spans="3:15" s="59" customFormat="1" ht="21" customHeight="1">
      <c r="C2611" s="288" t="s">
        <v>1221</v>
      </c>
      <c r="D2611" s="76" t="s">
        <v>1222</v>
      </c>
      <c r="E2611" s="77"/>
      <c r="F2611" s="77"/>
      <c r="G2611" s="78"/>
      <c r="H2611" s="799">
        <f>SUM(H2609:H2610)</f>
        <v>5458733.5</v>
      </c>
      <c r="I2611" s="369"/>
      <c r="J2611" s="44"/>
      <c r="K2611" s="44"/>
    </row>
    <row r="2612" spans="3:15" ht="21" customHeight="1"/>
    <row r="2613" spans="3:15" s="59" customFormat="1" ht="21" customHeight="1">
      <c r="C2613" s="147" t="s">
        <v>5360</v>
      </c>
      <c r="D2613" s="794" t="s">
        <v>4077</v>
      </c>
      <c r="E2613" s="795"/>
      <c r="F2613" s="795"/>
      <c r="G2613" s="795"/>
      <c r="H2613" s="795"/>
      <c r="I2613" s="50">
        <f>ROUNDDOWN(H2628,-2)</f>
        <v>5883000</v>
      </c>
      <c r="J2613" s="50"/>
      <c r="K2613" s="50"/>
    </row>
    <row r="2614" spans="3:15" s="59" customFormat="1" ht="21" customHeight="1">
      <c r="C2614" s="591" t="s">
        <v>1195</v>
      </c>
      <c r="D2614" s="591" t="s">
        <v>1196</v>
      </c>
      <c r="E2614" s="591" t="s">
        <v>1197</v>
      </c>
      <c r="F2614" s="591" t="s">
        <v>1198</v>
      </c>
      <c r="G2614" s="591" t="s">
        <v>1199</v>
      </c>
      <c r="H2614" s="591" t="s">
        <v>1200</v>
      </c>
      <c r="I2614" s="44"/>
      <c r="J2614" s="44"/>
      <c r="K2614" s="44"/>
    </row>
    <row r="2615" spans="3:15" s="59" customFormat="1" ht="21" customHeight="1">
      <c r="C2615" s="61" t="s">
        <v>1201</v>
      </c>
      <c r="D2615" s="56" t="s">
        <v>1202</v>
      </c>
      <c r="E2615" s="57"/>
      <c r="F2615" s="57"/>
      <c r="G2615" s="57"/>
      <c r="H2615" s="57"/>
      <c r="I2615" s="44"/>
      <c r="J2615" s="44"/>
      <c r="K2615" s="44"/>
      <c r="L2615" s="152" t="s">
        <v>1247</v>
      </c>
    </row>
    <row r="2616" spans="3:15" s="59" customFormat="1" ht="21" customHeight="1">
      <c r="C2616" s="588">
        <v>1</v>
      </c>
      <c r="D2616" s="56" t="s">
        <v>5</v>
      </c>
      <c r="E2616" s="577" t="s">
        <v>6</v>
      </c>
      <c r="F2616" s="62">
        <v>1.5740000000000001</v>
      </c>
      <c r="G2616" s="63">
        <f>VLOOKUP(D2616,upahbahan,3,FALSE)</f>
        <v>100000</v>
      </c>
      <c r="H2616" s="63">
        <f>F2616*G2616</f>
        <v>157400</v>
      </c>
      <c r="I2616" s="44"/>
      <c r="J2616" s="44"/>
      <c r="K2616" s="44"/>
      <c r="L2616" s="152" t="s">
        <v>1248</v>
      </c>
      <c r="O2616" s="65">
        <v>0.1</v>
      </c>
    </row>
    <row r="2617" spans="3:15" s="59" customFormat="1" ht="21" customHeight="1">
      <c r="C2617" s="588">
        <v>2</v>
      </c>
      <c r="D2617" s="56" t="s">
        <v>10</v>
      </c>
      <c r="E2617" s="577" t="s">
        <v>6</v>
      </c>
      <c r="F2617" s="62">
        <v>2.6280000000000001</v>
      </c>
      <c r="G2617" s="63">
        <f>VLOOKUP(D2617,upahbahan,3,FALSE)</f>
        <v>135000</v>
      </c>
      <c r="H2617" s="63">
        <f>F2617*G2617</f>
        <v>354780</v>
      </c>
      <c r="I2617" s="44"/>
      <c r="J2617" s="44"/>
      <c r="K2617" s="44"/>
    </row>
    <row r="2618" spans="3:15" s="59" customFormat="1" ht="21" customHeight="1">
      <c r="C2618" s="588">
        <v>3</v>
      </c>
      <c r="D2618" s="56" t="s">
        <v>18</v>
      </c>
      <c r="E2618" s="577" t="s">
        <v>6</v>
      </c>
      <c r="F2618" s="62">
        <v>0.26300000000000001</v>
      </c>
      <c r="G2618" s="63">
        <f>VLOOKUP(D2618,upahbahan,3,FALSE)</f>
        <v>150000</v>
      </c>
      <c r="H2618" s="63">
        <f>F2618*G2618</f>
        <v>39450</v>
      </c>
      <c r="I2618" s="44"/>
      <c r="J2618" s="44"/>
      <c r="K2618" s="44"/>
    </row>
    <row r="2619" spans="3:15" s="59" customFormat="1" ht="21" customHeight="1">
      <c r="C2619" s="588">
        <v>4</v>
      </c>
      <c r="D2619" s="56" t="s">
        <v>19</v>
      </c>
      <c r="E2619" s="577" t="s">
        <v>6</v>
      </c>
      <c r="F2619" s="62">
        <v>7.9000000000000001E-2</v>
      </c>
      <c r="G2619" s="63">
        <f>VLOOKUP(D2619,upahbahan,3,FALSE)</f>
        <v>160000</v>
      </c>
      <c r="H2619" s="63">
        <f>F2619*G2619</f>
        <v>12640</v>
      </c>
      <c r="I2619" s="44"/>
      <c r="J2619" s="44"/>
      <c r="K2619" s="44"/>
    </row>
    <row r="2620" spans="3:15" s="59" customFormat="1" ht="21" customHeight="1">
      <c r="C2620" s="450" t="s">
        <v>1208</v>
      </c>
      <c r="D2620" s="67"/>
      <c r="E2620" s="67"/>
      <c r="F2620" s="142"/>
      <c r="G2620" s="153"/>
      <c r="H2620" s="63">
        <f>SUM(H2616:H2619)</f>
        <v>564270</v>
      </c>
      <c r="I2620" s="154"/>
      <c r="J2620" s="154"/>
      <c r="K2620" s="154"/>
    </row>
    <row r="2621" spans="3:15" s="59" customFormat="1" ht="21" customHeight="1">
      <c r="C2621" s="61" t="s">
        <v>1209</v>
      </c>
      <c r="D2621" s="56" t="s">
        <v>1210</v>
      </c>
      <c r="E2621" s="57"/>
      <c r="F2621" s="57"/>
      <c r="G2621" s="57"/>
      <c r="H2621" s="57"/>
      <c r="I2621" s="44"/>
      <c r="J2621" s="44"/>
      <c r="K2621" s="44"/>
    </row>
    <row r="2622" spans="3:15" s="59" customFormat="1" ht="21" customHeight="1">
      <c r="C2622" s="61">
        <v>1</v>
      </c>
      <c r="D2622" s="56" t="s">
        <v>4068</v>
      </c>
      <c r="E2622" s="93" t="s">
        <v>135</v>
      </c>
      <c r="F2622" s="104">
        <v>1.3</v>
      </c>
      <c r="G2622" s="63">
        <f>VLOOKUP(D2622,upahbahan,3,FALSE)</f>
        <v>3680000</v>
      </c>
      <c r="H2622" s="586">
        <f>G2622*F2622</f>
        <v>4784000</v>
      </c>
      <c r="I2622" s="44"/>
      <c r="J2622" s="44"/>
      <c r="K2622" s="44"/>
    </row>
    <row r="2623" spans="3:15" s="59" customFormat="1" ht="21" customHeight="1">
      <c r="C2623" s="450" t="s">
        <v>1214</v>
      </c>
      <c r="D2623" s="67"/>
      <c r="E2623" s="67"/>
      <c r="F2623" s="67"/>
      <c r="G2623" s="69"/>
      <c r="H2623" s="63">
        <f>SUM(H2622:H2622)</f>
        <v>4784000</v>
      </c>
      <c r="I2623" s="44"/>
      <c r="J2623" s="44"/>
      <c r="K2623" s="44"/>
    </row>
    <row r="2624" spans="3:15" s="59" customFormat="1" ht="21" customHeight="1">
      <c r="C2624" s="61" t="s">
        <v>1215</v>
      </c>
      <c r="D2624" s="56" t="s">
        <v>1216</v>
      </c>
      <c r="E2624" s="57"/>
      <c r="F2624" s="57"/>
      <c r="G2624" s="57"/>
      <c r="H2624" s="57"/>
      <c r="I2624" s="44"/>
      <c r="J2624" s="44"/>
      <c r="K2624" s="44"/>
    </row>
    <row r="2625" spans="3:15" s="59" customFormat="1" ht="21" customHeight="1">
      <c r="C2625" s="450" t="s">
        <v>1217</v>
      </c>
      <c r="D2625" s="67"/>
      <c r="E2625" s="67"/>
      <c r="F2625" s="67"/>
      <c r="G2625" s="69"/>
      <c r="H2625" s="589">
        <v>0</v>
      </c>
      <c r="I2625" s="44"/>
      <c r="J2625" s="44"/>
      <c r="K2625" s="44"/>
    </row>
    <row r="2626" spans="3:15" s="59" customFormat="1" ht="21" customHeight="1">
      <c r="C2626" s="288" t="s">
        <v>1218</v>
      </c>
      <c r="D2626" s="76" t="s">
        <v>1219</v>
      </c>
      <c r="E2626" s="77"/>
      <c r="F2626" s="77"/>
      <c r="G2626" s="78"/>
      <c r="H2626" s="585">
        <f>H2625+H2623+H2620</f>
        <v>5348270</v>
      </c>
      <c r="I2626" s="369"/>
      <c r="J2626" s="44"/>
      <c r="K2626" s="44"/>
    </row>
    <row r="2627" spans="3:15" s="59" customFormat="1" ht="21" customHeight="1">
      <c r="C2627" s="288" t="s">
        <v>1220</v>
      </c>
      <c r="D2627" s="76" t="s">
        <v>1321</v>
      </c>
      <c r="E2627" s="77"/>
      <c r="F2627" s="78"/>
      <c r="G2627" s="80">
        <v>0.1</v>
      </c>
      <c r="H2627" s="63">
        <f>H2626*G2627</f>
        <v>534827</v>
      </c>
      <c r="I2627" s="369"/>
      <c r="J2627" s="44"/>
      <c r="K2627" s="44"/>
    </row>
    <row r="2628" spans="3:15" s="59" customFormat="1" ht="21" customHeight="1">
      <c r="C2628" s="288" t="s">
        <v>1221</v>
      </c>
      <c r="D2628" s="76" t="s">
        <v>1222</v>
      </c>
      <c r="E2628" s="77"/>
      <c r="F2628" s="77"/>
      <c r="G2628" s="78"/>
      <c r="H2628" s="799">
        <f>SUM(H2626:H2627)</f>
        <v>5883097</v>
      </c>
      <c r="I2628" s="369"/>
      <c r="J2628" s="44"/>
      <c r="K2628" s="44"/>
    </row>
    <row r="2629" spans="3:15" ht="21" customHeight="1"/>
    <row r="2630" spans="3:15" s="59" customFormat="1" ht="21" customHeight="1">
      <c r="C2630" s="147" t="s">
        <v>5361</v>
      </c>
      <c r="D2630" s="794" t="s">
        <v>4078</v>
      </c>
      <c r="E2630" s="795"/>
      <c r="F2630" s="795"/>
      <c r="G2630" s="795"/>
      <c r="H2630" s="795"/>
      <c r="I2630" s="50">
        <f>ROUNDDOWN(H2645,-2)</f>
        <v>6420700</v>
      </c>
      <c r="J2630" s="50"/>
      <c r="K2630" s="50"/>
    </row>
    <row r="2631" spans="3:15" s="59" customFormat="1" ht="21" customHeight="1">
      <c r="C2631" s="591" t="s">
        <v>1195</v>
      </c>
      <c r="D2631" s="591" t="s">
        <v>1196</v>
      </c>
      <c r="E2631" s="591" t="s">
        <v>1197</v>
      </c>
      <c r="F2631" s="591" t="s">
        <v>1198</v>
      </c>
      <c r="G2631" s="591" t="s">
        <v>1199</v>
      </c>
      <c r="H2631" s="591" t="s">
        <v>1200</v>
      </c>
      <c r="I2631" s="44"/>
      <c r="J2631" s="44"/>
      <c r="K2631" s="44"/>
    </row>
    <row r="2632" spans="3:15" s="59" customFormat="1" ht="21" customHeight="1">
      <c r="C2632" s="61" t="s">
        <v>1201</v>
      </c>
      <c r="D2632" s="56" t="s">
        <v>1202</v>
      </c>
      <c r="E2632" s="57"/>
      <c r="F2632" s="57"/>
      <c r="G2632" s="57"/>
      <c r="H2632" s="57"/>
      <c r="I2632" s="44"/>
      <c r="J2632" s="44"/>
      <c r="K2632" s="44"/>
      <c r="L2632" s="152" t="s">
        <v>1247</v>
      </c>
    </row>
    <row r="2633" spans="3:15" s="59" customFormat="1" ht="21" customHeight="1">
      <c r="C2633" s="588">
        <v>1</v>
      </c>
      <c r="D2633" s="56" t="s">
        <v>5</v>
      </c>
      <c r="E2633" s="577" t="s">
        <v>6</v>
      </c>
      <c r="F2633" s="62">
        <v>1.8859999999999999</v>
      </c>
      <c r="G2633" s="63">
        <f>VLOOKUP(D2633,upahbahan,3,FALSE)</f>
        <v>100000</v>
      </c>
      <c r="H2633" s="63">
        <f>F2633*G2633</f>
        <v>188600</v>
      </c>
      <c r="I2633" s="44"/>
      <c r="J2633" s="44"/>
      <c r="K2633" s="44"/>
      <c r="L2633" s="152" t="s">
        <v>1248</v>
      </c>
      <c r="O2633" s="65">
        <v>0.1</v>
      </c>
    </row>
    <row r="2634" spans="3:15" s="59" customFormat="1" ht="21" customHeight="1">
      <c r="C2634" s="588">
        <v>2</v>
      </c>
      <c r="D2634" s="56" t="s">
        <v>10</v>
      </c>
      <c r="E2634" s="577" t="s">
        <v>6</v>
      </c>
      <c r="F2634" s="62">
        <v>3.149</v>
      </c>
      <c r="G2634" s="63">
        <f>VLOOKUP(D2634,upahbahan,3,FALSE)</f>
        <v>135000</v>
      </c>
      <c r="H2634" s="63">
        <f>F2634*G2634</f>
        <v>425115</v>
      </c>
      <c r="I2634" s="44"/>
      <c r="J2634" s="44"/>
      <c r="K2634" s="44"/>
    </row>
    <row r="2635" spans="3:15" s="59" customFormat="1" ht="21" customHeight="1">
      <c r="C2635" s="588">
        <v>3</v>
      </c>
      <c r="D2635" s="56" t="s">
        <v>18</v>
      </c>
      <c r="E2635" s="577" t="s">
        <v>6</v>
      </c>
      <c r="F2635" s="62">
        <v>0.315</v>
      </c>
      <c r="G2635" s="63">
        <f>VLOOKUP(D2635,upahbahan,3,FALSE)</f>
        <v>150000</v>
      </c>
      <c r="H2635" s="63">
        <f>F2635*G2635</f>
        <v>47250</v>
      </c>
      <c r="I2635" s="44"/>
      <c r="J2635" s="44"/>
      <c r="K2635" s="44"/>
    </row>
    <row r="2636" spans="3:15" s="59" customFormat="1" ht="21" customHeight="1">
      <c r="C2636" s="588">
        <v>4</v>
      </c>
      <c r="D2636" s="56" t="s">
        <v>19</v>
      </c>
      <c r="E2636" s="577" t="s">
        <v>6</v>
      </c>
      <c r="F2636" s="62">
        <v>9.4E-2</v>
      </c>
      <c r="G2636" s="63">
        <f>VLOOKUP(D2636,upahbahan,3,FALSE)</f>
        <v>160000</v>
      </c>
      <c r="H2636" s="63">
        <f>F2636*G2636</f>
        <v>15040</v>
      </c>
      <c r="I2636" s="44"/>
      <c r="J2636" s="44"/>
      <c r="K2636" s="44"/>
    </row>
    <row r="2637" spans="3:15" s="59" customFormat="1" ht="21" customHeight="1">
      <c r="C2637" s="450" t="s">
        <v>1208</v>
      </c>
      <c r="D2637" s="67"/>
      <c r="E2637" s="67"/>
      <c r="F2637" s="142"/>
      <c r="G2637" s="153"/>
      <c r="H2637" s="63">
        <f>SUM(H2633:H2636)</f>
        <v>676005</v>
      </c>
      <c r="I2637" s="154"/>
      <c r="J2637" s="154"/>
      <c r="K2637" s="154"/>
    </row>
    <row r="2638" spans="3:15" s="59" customFormat="1" ht="21" customHeight="1">
      <c r="C2638" s="61" t="s">
        <v>1209</v>
      </c>
      <c r="D2638" s="56" t="s">
        <v>1210</v>
      </c>
      <c r="E2638" s="57"/>
      <c r="F2638" s="57"/>
      <c r="G2638" s="57"/>
      <c r="H2638" s="57"/>
      <c r="I2638" s="44"/>
      <c r="J2638" s="44"/>
      <c r="K2638" s="44"/>
    </row>
    <row r="2639" spans="3:15" s="59" customFormat="1" ht="21" customHeight="1">
      <c r="C2639" s="61">
        <v>1</v>
      </c>
      <c r="D2639" s="56" t="s">
        <v>4069</v>
      </c>
      <c r="E2639" s="93" t="s">
        <v>135</v>
      </c>
      <c r="F2639" s="104">
        <v>1.3</v>
      </c>
      <c r="G2639" s="63">
        <f>VLOOKUP(D2639,upahbahan,3,FALSE)</f>
        <v>3970000</v>
      </c>
      <c r="H2639" s="586">
        <f>G2639*F2639</f>
        <v>5161000</v>
      </c>
      <c r="I2639" s="44"/>
      <c r="J2639" s="44"/>
      <c r="K2639" s="44"/>
    </row>
    <row r="2640" spans="3:15" s="59" customFormat="1" ht="21" customHeight="1">
      <c r="C2640" s="450" t="s">
        <v>1214</v>
      </c>
      <c r="D2640" s="67"/>
      <c r="E2640" s="67"/>
      <c r="F2640" s="67"/>
      <c r="G2640" s="69"/>
      <c r="H2640" s="63">
        <f>SUM(H2639:H2639)</f>
        <v>5161000</v>
      </c>
      <c r="I2640" s="44"/>
      <c r="J2640" s="44"/>
      <c r="K2640" s="44"/>
    </row>
    <row r="2641" spans="3:15" s="59" customFormat="1" ht="21" customHeight="1">
      <c r="C2641" s="61" t="s">
        <v>1215</v>
      </c>
      <c r="D2641" s="56" t="s">
        <v>1216</v>
      </c>
      <c r="E2641" s="57"/>
      <c r="F2641" s="57"/>
      <c r="G2641" s="57"/>
      <c r="H2641" s="57"/>
      <c r="I2641" s="44"/>
      <c r="J2641" s="44"/>
      <c r="K2641" s="44"/>
    </row>
    <row r="2642" spans="3:15" s="59" customFormat="1" ht="21" customHeight="1">
      <c r="C2642" s="450" t="s">
        <v>1217</v>
      </c>
      <c r="D2642" s="67"/>
      <c r="E2642" s="67"/>
      <c r="F2642" s="67"/>
      <c r="G2642" s="69"/>
      <c r="H2642" s="589">
        <v>0</v>
      </c>
      <c r="I2642" s="44"/>
      <c r="J2642" s="44"/>
      <c r="K2642" s="44"/>
    </row>
    <row r="2643" spans="3:15" s="59" customFormat="1" ht="21" customHeight="1">
      <c r="C2643" s="288" t="s">
        <v>1218</v>
      </c>
      <c r="D2643" s="76" t="s">
        <v>1219</v>
      </c>
      <c r="E2643" s="77"/>
      <c r="F2643" s="77"/>
      <c r="G2643" s="78"/>
      <c r="H2643" s="585">
        <f>H2642+H2640+H2637</f>
        <v>5837005</v>
      </c>
      <c r="I2643" s="369"/>
      <c r="J2643" s="44"/>
      <c r="K2643" s="44"/>
    </row>
    <row r="2644" spans="3:15" s="59" customFormat="1" ht="21" customHeight="1">
      <c r="C2644" s="288" t="s">
        <v>1220</v>
      </c>
      <c r="D2644" s="76" t="s">
        <v>1321</v>
      </c>
      <c r="E2644" s="77"/>
      <c r="F2644" s="78"/>
      <c r="G2644" s="80">
        <v>0.1</v>
      </c>
      <c r="H2644" s="63">
        <f>H2643*G2644</f>
        <v>583700.5</v>
      </c>
      <c r="I2644" s="369"/>
      <c r="J2644" s="44"/>
      <c r="K2644" s="44"/>
    </row>
    <row r="2645" spans="3:15" s="59" customFormat="1" ht="21" customHeight="1">
      <c r="C2645" s="288" t="s">
        <v>1221</v>
      </c>
      <c r="D2645" s="76" t="s">
        <v>1222</v>
      </c>
      <c r="E2645" s="77"/>
      <c r="F2645" s="77"/>
      <c r="G2645" s="78"/>
      <c r="H2645" s="799">
        <f>SUM(H2643:H2644)</f>
        <v>6420705.5</v>
      </c>
      <c r="I2645" s="369"/>
      <c r="J2645" s="50"/>
      <c r="K2645" s="50"/>
    </row>
    <row r="2646" spans="3:15" ht="21" customHeight="1"/>
    <row r="2647" spans="3:15" ht="21" customHeight="1">
      <c r="C2647" s="43" t="s">
        <v>5362</v>
      </c>
      <c r="D2647" s="128" t="s">
        <v>4079</v>
      </c>
    </row>
    <row r="2648" spans="3:15" s="59" customFormat="1" ht="21" customHeight="1">
      <c r="C2648" s="147" t="s">
        <v>5363</v>
      </c>
      <c r="D2648" s="794" t="s">
        <v>4080</v>
      </c>
      <c r="E2648" s="795"/>
      <c r="F2648" s="795"/>
      <c r="G2648" s="795"/>
      <c r="H2648" s="795"/>
      <c r="I2648" s="50">
        <f>ROUNDDOWN(H2663,-2)</f>
        <v>66100</v>
      </c>
      <c r="J2648" s="50"/>
      <c r="K2648" s="50"/>
    </row>
    <row r="2649" spans="3:15" s="59" customFormat="1" ht="21" customHeight="1">
      <c r="C2649" s="591" t="s">
        <v>1195</v>
      </c>
      <c r="D2649" s="591" t="s">
        <v>1196</v>
      </c>
      <c r="E2649" s="591" t="s">
        <v>1197</v>
      </c>
      <c r="F2649" s="591" t="s">
        <v>1198</v>
      </c>
      <c r="G2649" s="591" t="s">
        <v>1199</v>
      </c>
      <c r="H2649" s="591" t="s">
        <v>1200</v>
      </c>
      <c r="I2649" s="44"/>
      <c r="J2649" s="44"/>
      <c r="K2649" s="44"/>
    </row>
    <row r="2650" spans="3:15" s="59" customFormat="1" ht="21" customHeight="1">
      <c r="C2650" s="61" t="s">
        <v>1201</v>
      </c>
      <c r="D2650" s="56" t="s">
        <v>1202</v>
      </c>
      <c r="E2650" s="57"/>
      <c r="F2650" s="57"/>
      <c r="G2650" s="57"/>
      <c r="H2650" s="57"/>
      <c r="I2650" s="44"/>
      <c r="J2650" s="44"/>
      <c r="K2650" s="44"/>
      <c r="L2650" s="152" t="s">
        <v>1247</v>
      </c>
    </row>
    <row r="2651" spans="3:15" s="59" customFormat="1" ht="21" customHeight="1">
      <c r="C2651" s="588">
        <v>1</v>
      </c>
      <c r="D2651" s="56" t="s">
        <v>5</v>
      </c>
      <c r="E2651" s="577" t="s">
        <v>6</v>
      </c>
      <c r="F2651" s="62">
        <v>5.1999999999999998E-2</v>
      </c>
      <c r="G2651" s="63">
        <f>VLOOKUP(D2651,upahbahan,3,FALSE)</f>
        <v>100000</v>
      </c>
      <c r="H2651" s="63">
        <f>F2651*G2651</f>
        <v>5200</v>
      </c>
      <c r="I2651" s="44"/>
      <c r="J2651" s="44"/>
      <c r="K2651" s="44"/>
      <c r="L2651" s="152" t="s">
        <v>1248</v>
      </c>
      <c r="O2651" s="65">
        <v>0.1</v>
      </c>
    </row>
    <row r="2652" spans="3:15" s="59" customFormat="1" ht="21" customHeight="1">
      <c r="C2652" s="588">
        <v>2</v>
      </c>
      <c r="D2652" s="56" t="s">
        <v>10</v>
      </c>
      <c r="E2652" s="577" t="s">
        <v>6</v>
      </c>
      <c r="F2652" s="62">
        <v>8.6999999999999994E-2</v>
      </c>
      <c r="G2652" s="63">
        <f>VLOOKUP(D2652,upahbahan,3,FALSE)</f>
        <v>135000</v>
      </c>
      <c r="H2652" s="63">
        <f>F2652*G2652</f>
        <v>11745</v>
      </c>
      <c r="I2652" s="44"/>
      <c r="J2652" s="44"/>
      <c r="K2652" s="44"/>
    </row>
    <row r="2653" spans="3:15" s="59" customFormat="1" ht="21" customHeight="1">
      <c r="C2653" s="588">
        <v>3</v>
      </c>
      <c r="D2653" s="56" t="s">
        <v>18</v>
      </c>
      <c r="E2653" s="577" t="s">
        <v>6</v>
      </c>
      <c r="F2653" s="62">
        <v>8.9999999999999993E-3</v>
      </c>
      <c r="G2653" s="63">
        <f>VLOOKUP(D2653,upahbahan,3,FALSE)</f>
        <v>150000</v>
      </c>
      <c r="H2653" s="63">
        <f>F2653*G2653</f>
        <v>1350</v>
      </c>
      <c r="I2653" s="44"/>
      <c r="J2653" s="44"/>
      <c r="K2653" s="44"/>
    </row>
    <row r="2654" spans="3:15" s="59" customFormat="1" ht="21" customHeight="1">
      <c r="C2654" s="588">
        <v>4</v>
      </c>
      <c r="D2654" s="56" t="s">
        <v>19</v>
      </c>
      <c r="E2654" s="577" t="s">
        <v>6</v>
      </c>
      <c r="F2654" s="62">
        <v>3.0000000000000001E-3</v>
      </c>
      <c r="G2654" s="63">
        <f>VLOOKUP(D2654,upahbahan,3,FALSE)</f>
        <v>160000</v>
      </c>
      <c r="H2654" s="63">
        <f>F2654*G2654</f>
        <v>480</v>
      </c>
      <c r="I2654" s="44"/>
      <c r="J2654" s="44"/>
      <c r="K2654" s="44"/>
    </row>
    <row r="2655" spans="3:15" s="59" customFormat="1" ht="21" customHeight="1">
      <c r="C2655" s="450" t="s">
        <v>1208</v>
      </c>
      <c r="D2655" s="67"/>
      <c r="E2655" s="67"/>
      <c r="F2655" s="142"/>
      <c r="G2655" s="153"/>
      <c r="H2655" s="63">
        <f>SUM(H2651:H2654)</f>
        <v>18775</v>
      </c>
      <c r="I2655" s="154"/>
      <c r="J2655" s="154"/>
      <c r="K2655" s="154"/>
    </row>
    <row r="2656" spans="3:15" s="59" customFormat="1" ht="21" customHeight="1">
      <c r="C2656" s="61" t="s">
        <v>1209</v>
      </c>
      <c r="D2656" s="56" t="s">
        <v>1210</v>
      </c>
      <c r="E2656" s="57"/>
      <c r="F2656" s="57"/>
      <c r="G2656" s="57"/>
      <c r="H2656" s="57"/>
      <c r="I2656" s="44"/>
      <c r="J2656" s="44"/>
      <c r="K2656" s="44"/>
    </row>
    <row r="2657" spans="3:15" s="59" customFormat="1" ht="21" customHeight="1">
      <c r="C2657" s="61">
        <v>1</v>
      </c>
      <c r="D2657" s="56" t="s">
        <v>4081</v>
      </c>
      <c r="E2657" s="93" t="s">
        <v>135</v>
      </c>
      <c r="F2657" s="104">
        <v>1.1499999999999999</v>
      </c>
      <c r="G2657" s="63">
        <f>VLOOKUP(D2657,upahbahan,3,FALSE)</f>
        <v>36000</v>
      </c>
      <c r="H2657" s="586">
        <f>G2657*F2657</f>
        <v>41400</v>
      </c>
      <c r="I2657" s="44"/>
      <c r="J2657" s="44"/>
      <c r="K2657" s="44"/>
    </row>
    <row r="2658" spans="3:15" s="59" customFormat="1" ht="21" customHeight="1">
      <c r="C2658" s="450" t="s">
        <v>1214</v>
      </c>
      <c r="D2658" s="67"/>
      <c r="E2658" s="67"/>
      <c r="F2658" s="67"/>
      <c r="G2658" s="69"/>
      <c r="H2658" s="63">
        <f>SUM(H2657:H2657)</f>
        <v>41400</v>
      </c>
      <c r="I2658" s="44"/>
      <c r="J2658" s="44"/>
      <c r="K2658" s="44"/>
    </row>
    <row r="2659" spans="3:15" s="59" customFormat="1" ht="21" customHeight="1">
      <c r="C2659" s="61" t="s">
        <v>1215</v>
      </c>
      <c r="D2659" s="56" t="s">
        <v>1216</v>
      </c>
      <c r="E2659" s="57"/>
      <c r="F2659" s="57"/>
      <c r="G2659" s="57"/>
      <c r="H2659" s="57"/>
      <c r="I2659" s="44"/>
      <c r="J2659" s="44"/>
      <c r="K2659" s="44"/>
    </row>
    <row r="2660" spans="3:15" s="59" customFormat="1" ht="21" customHeight="1">
      <c r="C2660" s="450" t="s">
        <v>1217</v>
      </c>
      <c r="D2660" s="67"/>
      <c r="E2660" s="67"/>
      <c r="F2660" s="67"/>
      <c r="G2660" s="69"/>
      <c r="H2660" s="589">
        <v>0</v>
      </c>
      <c r="I2660" s="44"/>
      <c r="J2660" s="44"/>
      <c r="K2660" s="44"/>
    </row>
    <row r="2661" spans="3:15" s="59" customFormat="1" ht="21" customHeight="1">
      <c r="C2661" s="288" t="s">
        <v>1218</v>
      </c>
      <c r="D2661" s="76" t="s">
        <v>1219</v>
      </c>
      <c r="E2661" s="77"/>
      <c r="F2661" s="77"/>
      <c r="G2661" s="78"/>
      <c r="H2661" s="585">
        <f>H2660+H2658+H2655</f>
        <v>60175</v>
      </c>
      <c r="I2661" s="369"/>
      <c r="J2661" s="44"/>
      <c r="K2661" s="44"/>
    </row>
    <row r="2662" spans="3:15" s="59" customFormat="1" ht="21" customHeight="1">
      <c r="C2662" s="288" t="s">
        <v>1220</v>
      </c>
      <c r="D2662" s="76" t="s">
        <v>1321</v>
      </c>
      <c r="E2662" s="77"/>
      <c r="F2662" s="78"/>
      <c r="G2662" s="80">
        <v>0.1</v>
      </c>
      <c r="H2662" s="63">
        <f>H2661*G2662</f>
        <v>6017.5</v>
      </c>
      <c r="I2662" s="369"/>
      <c r="J2662" s="44"/>
      <c r="K2662" s="44"/>
    </row>
    <row r="2663" spans="3:15" s="59" customFormat="1" ht="21" customHeight="1">
      <c r="C2663" s="288" t="s">
        <v>1221</v>
      </c>
      <c r="D2663" s="76" t="s">
        <v>1222</v>
      </c>
      <c r="E2663" s="77"/>
      <c r="F2663" s="77"/>
      <c r="G2663" s="78"/>
      <c r="H2663" s="799">
        <f>SUM(H2661:H2662)</f>
        <v>66192.5</v>
      </c>
      <c r="I2663" s="369"/>
      <c r="J2663" s="44"/>
      <c r="K2663" s="44"/>
    </row>
    <row r="2664" spans="3:15" ht="21" customHeight="1"/>
    <row r="2665" spans="3:15" ht="21" customHeight="1"/>
    <row r="2666" spans="3:15" s="59" customFormat="1" ht="21" customHeight="1">
      <c r="C2666" s="147" t="s">
        <v>5364</v>
      </c>
      <c r="D2666" s="794" t="s">
        <v>4082</v>
      </c>
      <c r="E2666" s="795"/>
      <c r="F2666" s="795"/>
      <c r="G2666" s="795"/>
      <c r="H2666" s="795"/>
      <c r="I2666" s="50">
        <f>ROUNDDOWN(H2681,-2)</f>
        <v>90400</v>
      </c>
      <c r="J2666" s="50"/>
      <c r="K2666" s="50"/>
    </row>
    <row r="2667" spans="3:15" s="59" customFormat="1" ht="21" customHeight="1">
      <c r="C2667" s="591" t="s">
        <v>1195</v>
      </c>
      <c r="D2667" s="591" t="s">
        <v>1196</v>
      </c>
      <c r="E2667" s="591" t="s">
        <v>1197</v>
      </c>
      <c r="F2667" s="591" t="s">
        <v>1198</v>
      </c>
      <c r="G2667" s="591" t="s">
        <v>1199</v>
      </c>
      <c r="H2667" s="591" t="s">
        <v>1200</v>
      </c>
      <c r="I2667" s="44"/>
      <c r="J2667" s="44"/>
      <c r="K2667" s="44"/>
    </row>
    <row r="2668" spans="3:15" s="59" customFormat="1" ht="21" customHeight="1">
      <c r="C2668" s="61" t="s">
        <v>1201</v>
      </c>
      <c r="D2668" s="56" t="s">
        <v>1202</v>
      </c>
      <c r="E2668" s="57"/>
      <c r="F2668" s="57"/>
      <c r="G2668" s="57"/>
      <c r="H2668" s="57"/>
      <c r="I2668" s="44"/>
      <c r="J2668" s="44"/>
      <c r="K2668" s="44"/>
      <c r="L2668" s="152" t="s">
        <v>1247</v>
      </c>
    </row>
    <row r="2669" spans="3:15" s="59" customFormat="1" ht="21" customHeight="1">
      <c r="C2669" s="588">
        <v>1</v>
      </c>
      <c r="D2669" s="56" t="s">
        <v>5</v>
      </c>
      <c r="E2669" s="577" t="s">
        <v>6</v>
      </c>
      <c r="F2669" s="62">
        <v>7.9000000000000001E-2</v>
      </c>
      <c r="G2669" s="63">
        <f>VLOOKUP(D2669,upahbahan,3,FALSE)</f>
        <v>100000</v>
      </c>
      <c r="H2669" s="63">
        <f>F2669*G2669</f>
        <v>7900</v>
      </c>
      <c r="I2669" s="44"/>
      <c r="J2669" s="44"/>
      <c r="K2669" s="44"/>
      <c r="L2669" s="152" t="s">
        <v>1248</v>
      </c>
      <c r="O2669" s="65">
        <v>0.1</v>
      </c>
    </row>
    <row r="2670" spans="3:15" s="59" customFormat="1" ht="21" customHeight="1">
      <c r="C2670" s="588">
        <v>2</v>
      </c>
      <c r="D2670" s="56" t="s">
        <v>10</v>
      </c>
      <c r="E2670" s="577" t="s">
        <v>6</v>
      </c>
      <c r="F2670" s="62">
        <v>0.13100000000000001</v>
      </c>
      <c r="G2670" s="63">
        <f>VLOOKUP(D2670,upahbahan,3,FALSE)</f>
        <v>135000</v>
      </c>
      <c r="H2670" s="63">
        <f>F2670*G2670</f>
        <v>17685</v>
      </c>
      <c r="I2670" s="44"/>
      <c r="J2670" s="44"/>
      <c r="K2670" s="44"/>
    </row>
    <row r="2671" spans="3:15" s="59" customFormat="1" ht="21" customHeight="1">
      <c r="C2671" s="588">
        <v>3</v>
      </c>
      <c r="D2671" s="56" t="s">
        <v>18</v>
      </c>
      <c r="E2671" s="577" t="s">
        <v>6</v>
      </c>
      <c r="F2671" s="62">
        <v>1.2999999999999999E-2</v>
      </c>
      <c r="G2671" s="63">
        <f>VLOOKUP(D2671,upahbahan,3,FALSE)</f>
        <v>150000</v>
      </c>
      <c r="H2671" s="63">
        <f>F2671*G2671</f>
        <v>1950</v>
      </c>
      <c r="I2671" s="44"/>
      <c r="J2671" s="44"/>
      <c r="K2671" s="44"/>
    </row>
    <row r="2672" spans="3:15" s="59" customFormat="1" ht="21" customHeight="1">
      <c r="C2672" s="588">
        <v>4</v>
      </c>
      <c r="D2672" s="56" t="s">
        <v>19</v>
      </c>
      <c r="E2672" s="577" t="s">
        <v>6</v>
      </c>
      <c r="F2672" s="62">
        <v>4.0000000000000001E-3</v>
      </c>
      <c r="G2672" s="63">
        <f>VLOOKUP(D2672,upahbahan,3,FALSE)</f>
        <v>160000</v>
      </c>
      <c r="H2672" s="63">
        <f>F2672*G2672</f>
        <v>640</v>
      </c>
      <c r="I2672" s="44"/>
      <c r="J2672" s="44"/>
      <c r="K2672" s="44"/>
    </row>
    <row r="2673" spans="3:15" s="59" customFormat="1" ht="21" customHeight="1">
      <c r="C2673" s="450" t="s">
        <v>1208</v>
      </c>
      <c r="D2673" s="67"/>
      <c r="E2673" s="67"/>
      <c r="F2673" s="142"/>
      <c r="G2673" s="153"/>
      <c r="H2673" s="63">
        <f>SUM(H2669:H2672)</f>
        <v>28175</v>
      </c>
      <c r="I2673" s="154"/>
      <c r="J2673" s="154"/>
      <c r="K2673" s="154"/>
    </row>
    <row r="2674" spans="3:15" s="59" customFormat="1" ht="21" customHeight="1">
      <c r="C2674" s="61" t="s">
        <v>1209</v>
      </c>
      <c r="D2674" s="56" t="s">
        <v>1210</v>
      </c>
      <c r="E2674" s="57"/>
      <c r="F2674" s="57"/>
      <c r="G2674" s="57"/>
      <c r="H2674" s="57"/>
      <c r="I2674" s="44"/>
      <c r="J2674" s="44"/>
      <c r="K2674" s="44"/>
    </row>
    <row r="2675" spans="3:15" s="59" customFormat="1" ht="21" customHeight="1">
      <c r="C2675" s="61">
        <v>1</v>
      </c>
      <c r="D2675" s="56" t="s">
        <v>4083</v>
      </c>
      <c r="E2675" s="93" t="s">
        <v>135</v>
      </c>
      <c r="F2675" s="104">
        <v>1.1499999999999999</v>
      </c>
      <c r="G2675" s="63">
        <f>VLOOKUP(D2675,upahbahan,3,FALSE)</f>
        <v>47000</v>
      </c>
      <c r="H2675" s="586">
        <f>G2675*F2675</f>
        <v>54049.999999999993</v>
      </c>
      <c r="I2675" s="44"/>
      <c r="J2675" s="44"/>
      <c r="K2675" s="44"/>
    </row>
    <row r="2676" spans="3:15" s="59" customFormat="1" ht="21" customHeight="1">
      <c r="C2676" s="450" t="s">
        <v>1214</v>
      </c>
      <c r="D2676" s="67"/>
      <c r="E2676" s="67"/>
      <c r="F2676" s="67"/>
      <c r="G2676" s="69"/>
      <c r="H2676" s="63">
        <f>SUM(H2675:H2675)</f>
        <v>54049.999999999993</v>
      </c>
      <c r="I2676" s="44"/>
      <c r="J2676" s="44"/>
      <c r="K2676" s="44"/>
    </row>
    <row r="2677" spans="3:15" s="59" customFormat="1" ht="21" customHeight="1">
      <c r="C2677" s="61" t="s">
        <v>1215</v>
      </c>
      <c r="D2677" s="56" t="s">
        <v>1216</v>
      </c>
      <c r="E2677" s="57"/>
      <c r="F2677" s="57"/>
      <c r="G2677" s="57"/>
      <c r="H2677" s="57"/>
      <c r="I2677" s="44"/>
      <c r="J2677" s="44"/>
      <c r="K2677" s="44"/>
    </row>
    <row r="2678" spans="3:15" s="59" customFormat="1" ht="21" customHeight="1">
      <c r="C2678" s="450" t="s">
        <v>1217</v>
      </c>
      <c r="D2678" s="67"/>
      <c r="E2678" s="67"/>
      <c r="F2678" s="67"/>
      <c r="G2678" s="69"/>
      <c r="H2678" s="589">
        <v>0</v>
      </c>
      <c r="I2678" s="44"/>
      <c r="J2678" s="44"/>
      <c r="K2678" s="44"/>
    </row>
    <row r="2679" spans="3:15" s="59" customFormat="1" ht="21" customHeight="1">
      <c r="C2679" s="288" t="s">
        <v>1218</v>
      </c>
      <c r="D2679" s="76" t="s">
        <v>1219</v>
      </c>
      <c r="E2679" s="77"/>
      <c r="F2679" s="77"/>
      <c r="G2679" s="78"/>
      <c r="H2679" s="585">
        <f>H2678+H2676+H2673</f>
        <v>82225</v>
      </c>
      <c r="I2679" s="369"/>
      <c r="J2679" s="44"/>
      <c r="K2679" s="44"/>
    </row>
    <row r="2680" spans="3:15" s="59" customFormat="1" ht="21" customHeight="1">
      <c r="C2680" s="288" t="s">
        <v>1220</v>
      </c>
      <c r="D2680" s="76" t="s">
        <v>1321</v>
      </c>
      <c r="E2680" s="77"/>
      <c r="F2680" s="78"/>
      <c r="G2680" s="80">
        <v>0.1</v>
      </c>
      <c r="H2680" s="63">
        <f>H2679*G2680</f>
        <v>8222.5</v>
      </c>
      <c r="I2680" s="369"/>
      <c r="J2680" s="44"/>
      <c r="K2680" s="44"/>
    </row>
    <row r="2681" spans="3:15" s="59" customFormat="1" ht="21" customHeight="1">
      <c r="C2681" s="288" t="s">
        <v>1221</v>
      </c>
      <c r="D2681" s="76" t="s">
        <v>1222</v>
      </c>
      <c r="E2681" s="77"/>
      <c r="F2681" s="77"/>
      <c r="G2681" s="78"/>
      <c r="H2681" s="799">
        <f>SUM(H2679:H2680)</f>
        <v>90447.5</v>
      </c>
      <c r="I2681" s="369"/>
      <c r="J2681" s="44"/>
      <c r="K2681" s="44"/>
    </row>
    <row r="2682" spans="3:15" ht="21" customHeight="1"/>
    <row r="2683" spans="3:15" ht="21" customHeight="1"/>
    <row r="2684" spans="3:15" s="59" customFormat="1" ht="21" customHeight="1">
      <c r="C2684" s="147" t="s">
        <v>5365</v>
      </c>
      <c r="D2684" s="794" t="s">
        <v>4084</v>
      </c>
      <c r="E2684" s="795"/>
      <c r="F2684" s="795"/>
      <c r="G2684" s="795"/>
      <c r="H2684" s="795"/>
      <c r="I2684" s="50">
        <f>ROUNDDOWN(H2699,-2)</f>
        <v>115800</v>
      </c>
      <c r="J2684" s="50"/>
      <c r="K2684" s="50"/>
    </row>
    <row r="2685" spans="3:15" s="59" customFormat="1" ht="21" customHeight="1">
      <c r="C2685" s="591" t="s">
        <v>1195</v>
      </c>
      <c r="D2685" s="591" t="s">
        <v>1196</v>
      </c>
      <c r="E2685" s="591" t="s">
        <v>1197</v>
      </c>
      <c r="F2685" s="591" t="s">
        <v>1198</v>
      </c>
      <c r="G2685" s="591" t="s">
        <v>1199</v>
      </c>
      <c r="H2685" s="591" t="s">
        <v>1200</v>
      </c>
      <c r="I2685" s="44"/>
      <c r="J2685" s="44"/>
      <c r="K2685" s="44"/>
    </row>
    <row r="2686" spans="3:15" s="59" customFormat="1" ht="21" customHeight="1">
      <c r="C2686" s="61" t="s">
        <v>1201</v>
      </c>
      <c r="D2686" s="56" t="s">
        <v>1202</v>
      </c>
      <c r="E2686" s="57"/>
      <c r="F2686" s="57"/>
      <c r="G2686" s="57"/>
      <c r="H2686" s="57"/>
      <c r="I2686" s="44"/>
      <c r="J2686" s="44"/>
      <c r="K2686" s="44"/>
      <c r="L2686" s="152" t="s">
        <v>1247</v>
      </c>
    </row>
    <row r="2687" spans="3:15" s="59" customFormat="1" ht="21" customHeight="1">
      <c r="C2687" s="588">
        <v>1</v>
      </c>
      <c r="D2687" s="56" t="s">
        <v>5</v>
      </c>
      <c r="E2687" s="577" t="s">
        <v>6</v>
      </c>
      <c r="F2687" s="62">
        <v>0.105</v>
      </c>
      <c r="G2687" s="63">
        <f>VLOOKUP(D2687,upahbahan,3,FALSE)</f>
        <v>100000</v>
      </c>
      <c r="H2687" s="63">
        <f>F2687*G2687</f>
        <v>10500</v>
      </c>
      <c r="I2687" s="44"/>
      <c r="J2687" s="44"/>
      <c r="K2687" s="44"/>
      <c r="L2687" s="152" t="s">
        <v>1248</v>
      </c>
      <c r="O2687" s="65">
        <v>0.1</v>
      </c>
    </row>
    <row r="2688" spans="3:15" s="59" customFormat="1" ht="21" customHeight="1">
      <c r="C2688" s="588">
        <v>2</v>
      </c>
      <c r="D2688" s="56" t="s">
        <v>10</v>
      </c>
      <c r="E2688" s="577" t="s">
        <v>6</v>
      </c>
      <c r="F2688" s="62">
        <v>0.17499999999999999</v>
      </c>
      <c r="G2688" s="63">
        <f>VLOOKUP(D2688,upahbahan,3,FALSE)</f>
        <v>135000</v>
      </c>
      <c r="H2688" s="63">
        <f>F2688*G2688</f>
        <v>23625</v>
      </c>
      <c r="I2688" s="44"/>
      <c r="J2688" s="44"/>
      <c r="K2688" s="44"/>
    </row>
    <row r="2689" spans="3:15" s="59" customFormat="1" ht="21" customHeight="1">
      <c r="C2689" s="588">
        <v>3</v>
      </c>
      <c r="D2689" s="56" t="s">
        <v>18</v>
      </c>
      <c r="E2689" s="577" t="s">
        <v>6</v>
      </c>
      <c r="F2689" s="62">
        <v>1.7000000000000001E-2</v>
      </c>
      <c r="G2689" s="63">
        <f>VLOOKUP(D2689,upahbahan,3,FALSE)</f>
        <v>150000</v>
      </c>
      <c r="H2689" s="63">
        <f>F2689*G2689</f>
        <v>2550</v>
      </c>
      <c r="I2689" s="44"/>
      <c r="J2689" s="44"/>
      <c r="K2689" s="44"/>
    </row>
    <row r="2690" spans="3:15" s="59" customFormat="1" ht="21" customHeight="1">
      <c r="C2690" s="588">
        <v>4</v>
      </c>
      <c r="D2690" s="56" t="s">
        <v>19</v>
      </c>
      <c r="E2690" s="577" t="s">
        <v>6</v>
      </c>
      <c r="F2690" s="62">
        <v>5.0000000000000001E-3</v>
      </c>
      <c r="G2690" s="63">
        <f>VLOOKUP(D2690,upahbahan,3,FALSE)</f>
        <v>160000</v>
      </c>
      <c r="H2690" s="63">
        <f>F2690*G2690</f>
        <v>800</v>
      </c>
      <c r="I2690" s="44"/>
      <c r="J2690" s="44"/>
      <c r="K2690" s="44"/>
    </row>
    <row r="2691" spans="3:15" s="59" customFormat="1" ht="21" customHeight="1">
      <c r="C2691" s="450" t="s">
        <v>1208</v>
      </c>
      <c r="D2691" s="67"/>
      <c r="E2691" s="67"/>
      <c r="F2691" s="142"/>
      <c r="G2691" s="153"/>
      <c r="H2691" s="63">
        <f>SUM(H2687:H2690)</f>
        <v>37475</v>
      </c>
      <c r="I2691" s="154"/>
      <c r="J2691" s="154"/>
      <c r="K2691" s="154"/>
    </row>
    <row r="2692" spans="3:15" s="59" customFormat="1" ht="21" customHeight="1">
      <c r="C2692" s="61" t="s">
        <v>1209</v>
      </c>
      <c r="D2692" s="56" t="s">
        <v>1210</v>
      </c>
      <c r="E2692" s="57"/>
      <c r="F2692" s="57"/>
      <c r="G2692" s="57"/>
      <c r="H2692" s="57"/>
      <c r="I2692" s="44"/>
      <c r="J2692" s="44"/>
      <c r="K2692" s="44"/>
    </row>
    <row r="2693" spans="3:15" s="59" customFormat="1" ht="21" customHeight="1">
      <c r="C2693" s="61">
        <v>1</v>
      </c>
      <c r="D2693" s="56" t="s">
        <v>4085</v>
      </c>
      <c r="E2693" s="93" t="s">
        <v>135</v>
      </c>
      <c r="F2693" s="104">
        <v>1.1499999999999999</v>
      </c>
      <c r="G2693" s="63">
        <f>VLOOKUP(D2693,upahbahan,3,FALSE)</f>
        <v>59000</v>
      </c>
      <c r="H2693" s="586">
        <f>G2693*F2693</f>
        <v>67850</v>
      </c>
      <c r="I2693" s="44"/>
      <c r="J2693" s="44"/>
      <c r="K2693" s="44"/>
    </row>
    <row r="2694" spans="3:15" s="59" customFormat="1" ht="21" customHeight="1">
      <c r="C2694" s="450" t="s">
        <v>1214</v>
      </c>
      <c r="D2694" s="67"/>
      <c r="E2694" s="67"/>
      <c r="F2694" s="67"/>
      <c r="G2694" s="69"/>
      <c r="H2694" s="63">
        <f>SUM(H2693:H2693)</f>
        <v>67850</v>
      </c>
      <c r="I2694" s="44"/>
      <c r="J2694" s="44"/>
      <c r="K2694" s="44"/>
    </row>
    <row r="2695" spans="3:15" s="59" customFormat="1" ht="21" customHeight="1">
      <c r="C2695" s="61" t="s">
        <v>1215</v>
      </c>
      <c r="D2695" s="56" t="s">
        <v>1216</v>
      </c>
      <c r="E2695" s="57"/>
      <c r="F2695" s="57"/>
      <c r="G2695" s="57"/>
      <c r="H2695" s="57"/>
      <c r="I2695" s="44"/>
      <c r="J2695" s="44"/>
      <c r="K2695" s="44"/>
    </row>
    <row r="2696" spans="3:15" s="59" customFormat="1" ht="21" customHeight="1">
      <c r="C2696" s="450" t="s">
        <v>1217</v>
      </c>
      <c r="D2696" s="67"/>
      <c r="E2696" s="67"/>
      <c r="F2696" s="67"/>
      <c r="G2696" s="69"/>
      <c r="H2696" s="589">
        <v>0</v>
      </c>
      <c r="I2696" s="44"/>
      <c r="J2696" s="44"/>
      <c r="K2696" s="44"/>
    </row>
    <row r="2697" spans="3:15" s="59" customFormat="1" ht="21" customHeight="1">
      <c r="C2697" s="288" t="s">
        <v>1218</v>
      </c>
      <c r="D2697" s="76" t="s">
        <v>1219</v>
      </c>
      <c r="E2697" s="77"/>
      <c r="F2697" s="77"/>
      <c r="G2697" s="78"/>
      <c r="H2697" s="585">
        <f>H2696+H2694+H2691</f>
        <v>105325</v>
      </c>
      <c r="I2697" s="369"/>
      <c r="J2697" s="44"/>
      <c r="K2697" s="44"/>
    </row>
    <row r="2698" spans="3:15" s="59" customFormat="1" ht="21" customHeight="1">
      <c r="C2698" s="288" t="s">
        <v>1220</v>
      </c>
      <c r="D2698" s="76" t="s">
        <v>1321</v>
      </c>
      <c r="E2698" s="77"/>
      <c r="F2698" s="78"/>
      <c r="G2698" s="80">
        <v>0.1</v>
      </c>
      <c r="H2698" s="63">
        <f>H2697*G2698</f>
        <v>10532.5</v>
      </c>
      <c r="I2698" s="369"/>
      <c r="J2698" s="44"/>
      <c r="K2698" s="44"/>
    </row>
    <row r="2699" spans="3:15" s="59" customFormat="1" ht="21" customHeight="1">
      <c r="C2699" s="288" t="s">
        <v>1221</v>
      </c>
      <c r="D2699" s="76" t="s">
        <v>1222</v>
      </c>
      <c r="E2699" s="77"/>
      <c r="F2699" s="77"/>
      <c r="G2699" s="78"/>
      <c r="H2699" s="799">
        <f>SUM(H2697:H2698)</f>
        <v>115857.5</v>
      </c>
      <c r="I2699" s="369"/>
      <c r="J2699" s="44"/>
      <c r="K2699" s="44"/>
    </row>
    <row r="2700" spans="3:15" ht="21" customHeight="1"/>
    <row r="2701" spans="3:15" s="59" customFormat="1" ht="21" customHeight="1">
      <c r="C2701" s="147" t="s">
        <v>5366</v>
      </c>
      <c r="D2701" s="794" t="s">
        <v>4086</v>
      </c>
      <c r="E2701" s="795"/>
      <c r="F2701" s="795"/>
      <c r="G2701" s="795"/>
      <c r="H2701" s="795"/>
      <c r="I2701" s="50">
        <f>ROUNDDOWN(H2716,-2)</f>
        <v>171500</v>
      </c>
      <c r="J2701" s="50"/>
      <c r="K2701" s="50"/>
    </row>
    <row r="2702" spans="3:15" s="59" customFormat="1" ht="21" customHeight="1">
      <c r="C2702" s="591" t="s">
        <v>1195</v>
      </c>
      <c r="D2702" s="591" t="s">
        <v>1196</v>
      </c>
      <c r="E2702" s="591" t="s">
        <v>1197</v>
      </c>
      <c r="F2702" s="591" t="s">
        <v>1198</v>
      </c>
      <c r="G2702" s="591" t="s">
        <v>1199</v>
      </c>
      <c r="H2702" s="591" t="s">
        <v>1200</v>
      </c>
      <c r="I2702" s="44"/>
      <c r="J2702" s="44"/>
      <c r="K2702" s="44"/>
    </row>
    <row r="2703" spans="3:15" s="59" customFormat="1" ht="21" customHeight="1">
      <c r="C2703" s="61" t="s">
        <v>1201</v>
      </c>
      <c r="D2703" s="56" t="s">
        <v>1202</v>
      </c>
      <c r="E2703" s="57"/>
      <c r="F2703" s="57"/>
      <c r="G2703" s="57"/>
      <c r="H2703" s="57"/>
      <c r="I2703" s="44"/>
      <c r="J2703" s="44"/>
      <c r="K2703" s="44"/>
      <c r="L2703" s="152" t="s">
        <v>1247</v>
      </c>
    </row>
    <row r="2704" spans="3:15" s="59" customFormat="1" ht="21" customHeight="1">
      <c r="C2704" s="588">
        <v>1</v>
      </c>
      <c r="D2704" s="56" t="s">
        <v>5</v>
      </c>
      <c r="E2704" s="577" t="s">
        <v>6</v>
      </c>
      <c r="F2704" s="62">
        <v>0.129</v>
      </c>
      <c r="G2704" s="63">
        <f>VLOOKUP(D2704,upahbahan,3,FALSE)</f>
        <v>100000</v>
      </c>
      <c r="H2704" s="63">
        <f>F2704*G2704</f>
        <v>12900</v>
      </c>
      <c r="I2704" s="44"/>
      <c r="J2704" s="44"/>
      <c r="K2704" s="44"/>
      <c r="L2704" s="152" t="s">
        <v>1248</v>
      </c>
      <c r="O2704" s="65">
        <v>0.1</v>
      </c>
    </row>
    <row r="2705" spans="3:11" s="59" customFormat="1" ht="21" customHeight="1">
      <c r="C2705" s="588">
        <v>2</v>
      </c>
      <c r="D2705" s="56" t="s">
        <v>10</v>
      </c>
      <c r="E2705" s="577" t="s">
        <v>6</v>
      </c>
      <c r="F2705" s="62">
        <v>0.215</v>
      </c>
      <c r="G2705" s="63">
        <f>VLOOKUP(D2705,upahbahan,3,FALSE)</f>
        <v>135000</v>
      </c>
      <c r="H2705" s="63">
        <f>F2705*G2705</f>
        <v>29025</v>
      </c>
      <c r="I2705" s="44"/>
      <c r="J2705" s="44"/>
      <c r="K2705" s="44"/>
    </row>
    <row r="2706" spans="3:11" s="59" customFormat="1" ht="21" customHeight="1">
      <c r="C2706" s="588">
        <v>3</v>
      </c>
      <c r="D2706" s="56" t="s">
        <v>18</v>
      </c>
      <c r="E2706" s="577" t="s">
        <v>6</v>
      </c>
      <c r="F2706" s="62">
        <v>2.1000000000000001E-2</v>
      </c>
      <c r="G2706" s="63">
        <f>VLOOKUP(D2706,upahbahan,3,FALSE)</f>
        <v>150000</v>
      </c>
      <c r="H2706" s="63">
        <f>F2706*G2706</f>
        <v>3150</v>
      </c>
      <c r="I2706" s="44"/>
      <c r="J2706" s="44"/>
      <c r="K2706" s="44"/>
    </row>
    <row r="2707" spans="3:11" s="59" customFormat="1" ht="21" customHeight="1">
      <c r="C2707" s="588">
        <v>4</v>
      </c>
      <c r="D2707" s="56" t="s">
        <v>19</v>
      </c>
      <c r="E2707" s="577" t="s">
        <v>6</v>
      </c>
      <c r="F2707" s="62">
        <v>6.0000000000000001E-3</v>
      </c>
      <c r="G2707" s="63">
        <f>VLOOKUP(D2707,upahbahan,3,FALSE)</f>
        <v>160000</v>
      </c>
      <c r="H2707" s="63">
        <f>F2707*G2707</f>
        <v>960</v>
      </c>
      <c r="I2707" s="44"/>
      <c r="J2707" s="44"/>
      <c r="K2707" s="44"/>
    </row>
    <row r="2708" spans="3:11" s="59" customFormat="1" ht="21" customHeight="1">
      <c r="C2708" s="450" t="s">
        <v>1208</v>
      </c>
      <c r="D2708" s="67"/>
      <c r="E2708" s="67"/>
      <c r="F2708" s="142"/>
      <c r="G2708" s="153"/>
      <c r="H2708" s="63">
        <f>SUM(H2704:H2707)</f>
        <v>46035</v>
      </c>
      <c r="I2708" s="154"/>
      <c r="J2708" s="154"/>
      <c r="K2708" s="154"/>
    </row>
    <row r="2709" spans="3:11" s="59" customFormat="1" ht="21" customHeight="1">
      <c r="C2709" s="61" t="s">
        <v>1209</v>
      </c>
      <c r="D2709" s="56" t="s">
        <v>1210</v>
      </c>
      <c r="E2709" s="57"/>
      <c r="F2709" s="57"/>
      <c r="G2709" s="57"/>
      <c r="H2709" s="57"/>
      <c r="I2709" s="44"/>
      <c r="J2709" s="44"/>
      <c r="K2709" s="44"/>
    </row>
    <row r="2710" spans="3:11" s="59" customFormat="1" ht="21" customHeight="1">
      <c r="C2710" s="61">
        <v>1</v>
      </c>
      <c r="D2710" s="56" t="s">
        <v>4089</v>
      </c>
      <c r="E2710" s="93" t="s">
        <v>135</v>
      </c>
      <c r="F2710" s="104">
        <v>1.1499999999999999</v>
      </c>
      <c r="G2710" s="63">
        <f>VLOOKUP(D2710,upahbahan,3,FALSE)</f>
        <v>95600</v>
      </c>
      <c r="H2710" s="586">
        <f>G2710*F2710</f>
        <v>109939.99999999999</v>
      </c>
      <c r="I2710" s="44"/>
      <c r="J2710" s="44"/>
      <c r="K2710" s="44"/>
    </row>
    <row r="2711" spans="3:11" s="59" customFormat="1" ht="21" customHeight="1">
      <c r="C2711" s="450" t="s">
        <v>1214</v>
      </c>
      <c r="D2711" s="67"/>
      <c r="E2711" s="67"/>
      <c r="F2711" s="67"/>
      <c r="G2711" s="69"/>
      <c r="H2711" s="63">
        <f>SUM(H2710:H2710)</f>
        <v>109939.99999999999</v>
      </c>
      <c r="I2711" s="44"/>
      <c r="J2711" s="44"/>
      <c r="K2711" s="44"/>
    </row>
    <row r="2712" spans="3:11" s="59" customFormat="1" ht="21" customHeight="1">
      <c r="C2712" s="61" t="s">
        <v>1215</v>
      </c>
      <c r="D2712" s="56" t="s">
        <v>1216</v>
      </c>
      <c r="E2712" s="57"/>
      <c r="F2712" s="57"/>
      <c r="G2712" s="57"/>
      <c r="H2712" s="57"/>
      <c r="I2712" s="44"/>
      <c r="J2712" s="44"/>
      <c r="K2712" s="44"/>
    </row>
    <row r="2713" spans="3:11" s="59" customFormat="1" ht="21" customHeight="1">
      <c r="C2713" s="450" t="s">
        <v>1217</v>
      </c>
      <c r="D2713" s="67"/>
      <c r="E2713" s="67"/>
      <c r="F2713" s="67"/>
      <c r="G2713" s="69"/>
      <c r="H2713" s="589">
        <v>0</v>
      </c>
      <c r="I2713" s="44"/>
      <c r="J2713" s="44"/>
      <c r="K2713" s="44"/>
    </row>
    <row r="2714" spans="3:11" s="59" customFormat="1" ht="21" customHeight="1">
      <c r="C2714" s="288" t="s">
        <v>1218</v>
      </c>
      <c r="D2714" s="76" t="s">
        <v>1219</v>
      </c>
      <c r="E2714" s="77"/>
      <c r="F2714" s="77"/>
      <c r="G2714" s="78"/>
      <c r="H2714" s="585">
        <f>H2713+H2711+H2708</f>
        <v>155975</v>
      </c>
      <c r="I2714" s="369"/>
      <c r="J2714" s="44"/>
      <c r="K2714" s="44"/>
    </row>
    <row r="2715" spans="3:11" s="59" customFormat="1" ht="21" customHeight="1">
      <c r="C2715" s="288" t="s">
        <v>1220</v>
      </c>
      <c r="D2715" s="76" t="s">
        <v>1321</v>
      </c>
      <c r="E2715" s="77"/>
      <c r="F2715" s="78"/>
      <c r="G2715" s="80">
        <v>0.1</v>
      </c>
      <c r="H2715" s="63">
        <f>H2714*G2715</f>
        <v>15597.5</v>
      </c>
      <c r="I2715" s="369"/>
      <c r="J2715" s="44"/>
      <c r="K2715" s="44"/>
    </row>
    <row r="2716" spans="3:11" s="59" customFormat="1" ht="21" customHeight="1">
      <c r="C2716" s="288" t="s">
        <v>1221</v>
      </c>
      <c r="D2716" s="76" t="s">
        <v>1222</v>
      </c>
      <c r="E2716" s="77"/>
      <c r="F2716" s="77"/>
      <c r="G2716" s="78"/>
      <c r="H2716" s="799">
        <f>SUM(H2714:H2715)</f>
        <v>171572.5</v>
      </c>
      <c r="I2716" s="369"/>
      <c r="J2716" s="44"/>
      <c r="K2716" s="44"/>
    </row>
    <row r="2717" spans="3:11" ht="21" customHeight="1"/>
    <row r="2718" spans="3:11" ht="21" customHeight="1"/>
    <row r="2719" spans="3:11" s="59" customFormat="1" ht="21" customHeight="1">
      <c r="C2719" s="147" t="s">
        <v>5367</v>
      </c>
      <c r="D2719" s="794" t="s">
        <v>4087</v>
      </c>
      <c r="E2719" s="795"/>
      <c r="F2719" s="795"/>
      <c r="G2719" s="795"/>
      <c r="H2719" s="795"/>
      <c r="I2719" s="50">
        <f>ROUNDDOWN(H2734,-2)</f>
        <v>242700</v>
      </c>
      <c r="J2719" s="50"/>
      <c r="K2719" s="50"/>
    </row>
    <row r="2720" spans="3:11" s="59" customFormat="1" ht="21" customHeight="1">
      <c r="C2720" s="591" t="s">
        <v>1195</v>
      </c>
      <c r="D2720" s="591" t="s">
        <v>1196</v>
      </c>
      <c r="E2720" s="591" t="s">
        <v>1197</v>
      </c>
      <c r="F2720" s="591" t="s">
        <v>1198</v>
      </c>
      <c r="G2720" s="591" t="s">
        <v>1199</v>
      </c>
      <c r="H2720" s="591" t="s">
        <v>1200</v>
      </c>
      <c r="I2720" s="44"/>
      <c r="J2720" s="44"/>
      <c r="K2720" s="44"/>
    </row>
    <row r="2721" spans="3:15" s="59" customFormat="1" ht="21" customHeight="1">
      <c r="C2721" s="61" t="s">
        <v>1201</v>
      </c>
      <c r="D2721" s="56" t="s">
        <v>1202</v>
      </c>
      <c r="E2721" s="57"/>
      <c r="F2721" s="57"/>
      <c r="G2721" s="57"/>
      <c r="H2721" s="57"/>
      <c r="I2721" s="44"/>
      <c r="J2721" s="44"/>
      <c r="K2721" s="44"/>
      <c r="L2721" s="152" t="s">
        <v>1247</v>
      </c>
    </row>
    <row r="2722" spans="3:15" s="59" customFormat="1" ht="21" customHeight="1">
      <c r="C2722" s="588">
        <v>1</v>
      </c>
      <c r="D2722" s="56" t="s">
        <v>5</v>
      </c>
      <c r="E2722" s="577" t="s">
        <v>6</v>
      </c>
      <c r="F2722" s="62">
        <v>0.157</v>
      </c>
      <c r="G2722" s="63">
        <f>VLOOKUP(D2722,upahbahan,3,FALSE)</f>
        <v>100000</v>
      </c>
      <c r="H2722" s="63">
        <f>F2722*G2722</f>
        <v>15700</v>
      </c>
      <c r="I2722" s="44"/>
      <c r="J2722" s="44"/>
      <c r="K2722" s="44"/>
      <c r="L2722" s="152" t="s">
        <v>1248</v>
      </c>
      <c r="O2722" s="65">
        <v>0.1</v>
      </c>
    </row>
    <row r="2723" spans="3:15" s="59" customFormat="1" ht="21" customHeight="1">
      <c r="C2723" s="588">
        <v>2</v>
      </c>
      <c r="D2723" s="56" t="s">
        <v>10</v>
      </c>
      <c r="E2723" s="577" t="s">
        <v>6</v>
      </c>
      <c r="F2723" s="62">
        <v>0.26200000000000001</v>
      </c>
      <c r="G2723" s="63">
        <f>VLOOKUP(D2723,upahbahan,3,FALSE)</f>
        <v>135000</v>
      </c>
      <c r="H2723" s="63">
        <f>F2723*G2723</f>
        <v>35370</v>
      </c>
      <c r="I2723" s="44"/>
      <c r="J2723" s="44"/>
      <c r="K2723" s="44"/>
    </row>
    <row r="2724" spans="3:15" s="59" customFormat="1" ht="21" customHeight="1">
      <c r="C2724" s="588">
        <v>3</v>
      </c>
      <c r="D2724" s="56" t="s">
        <v>18</v>
      </c>
      <c r="E2724" s="577" t="s">
        <v>6</v>
      </c>
      <c r="F2724" s="62">
        <v>2.5999999999999999E-2</v>
      </c>
      <c r="G2724" s="63">
        <f>VLOOKUP(D2724,upahbahan,3,FALSE)</f>
        <v>150000</v>
      </c>
      <c r="H2724" s="63">
        <f>F2724*G2724</f>
        <v>3900</v>
      </c>
      <c r="I2724" s="44"/>
      <c r="J2724" s="44"/>
      <c r="K2724" s="44"/>
    </row>
    <row r="2725" spans="3:15" s="59" customFormat="1" ht="21" customHeight="1">
      <c r="C2725" s="588">
        <v>4</v>
      </c>
      <c r="D2725" s="56" t="s">
        <v>19</v>
      </c>
      <c r="E2725" s="577" t="s">
        <v>6</v>
      </c>
      <c r="F2725" s="62">
        <v>8.0000000000000002E-3</v>
      </c>
      <c r="G2725" s="63">
        <f>VLOOKUP(D2725,upahbahan,3,FALSE)</f>
        <v>160000</v>
      </c>
      <c r="H2725" s="63">
        <f>F2725*G2725</f>
        <v>1280</v>
      </c>
      <c r="I2725" s="44"/>
      <c r="J2725" s="44"/>
      <c r="K2725" s="44"/>
    </row>
    <row r="2726" spans="3:15" s="59" customFormat="1" ht="21" customHeight="1">
      <c r="C2726" s="450" t="s">
        <v>1208</v>
      </c>
      <c r="D2726" s="67"/>
      <c r="E2726" s="67"/>
      <c r="F2726" s="142"/>
      <c r="G2726" s="153"/>
      <c r="H2726" s="63">
        <f>SUM(H2722:H2725)</f>
        <v>56250</v>
      </c>
      <c r="I2726" s="154"/>
      <c r="J2726" s="154"/>
      <c r="K2726" s="154"/>
    </row>
    <row r="2727" spans="3:15" s="59" customFormat="1" ht="21" customHeight="1">
      <c r="C2727" s="61" t="s">
        <v>1209</v>
      </c>
      <c r="D2727" s="56" t="s">
        <v>1210</v>
      </c>
      <c r="E2727" s="57"/>
      <c r="F2727" s="57"/>
      <c r="G2727" s="57"/>
      <c r="H2727" s="57"/>
      <c r="I2727" s="44"/>
      <c r="J2727" s="44"/>
      <c r="K2727" s="44"/>
    </row>
    <row r="2728" spans="3:15" s="59" customFormat="1" ht="21" customHeight="1">
      <c r="C2728" s="61">
        <v>1</v>
      </c>
      <c r="D2728" s="56" t="s">
        <v>4088</v>
      </c>
      <c r="E2728" s="93" t="s">
        <v>135</v>
      </c>
      <c r="F2728" s="104">
        <v>1.1499999999999999</v>
      </c>
      <c r="G2728" s="63">
        <f>VLOOKUP(D2728,upahbahan,3,FALSE)</f>
        <v>143000</v>
      </c>
      <c r="H2728" s="586">
        <f>G2728*F2728</f>
        <v>164450</v>
      </c>
      <c r="I2728" s="44"/>
      <c r="J2728" s="44"/>
      <c r="K2728" s="44"/>
    </row>
    <row r="2729" spans="3:15" s="59" customFormat="1" ht="21" customHeight="1">
      <c r="C2729" s="450" t="s">
        <v>1214</v>
      </c>
      <c r="D2729" s="67"/>
      <c r="E2729" s="67"/>
      <c r="F2729" s="67"/>
      <c r="G2729" s="69"/>
      <c r="H2729" s="63">
        <f>SUM(H2728:H2728)</f>
        <v>164450</v>
      </c>
      <c r="I2729" s="44"/>
      <c r="J2729" s="44"/>
      <c r="K2729" s="44"/>
    </row>
    <row r="2730" spans="3:15" s="59" customFormat="1" ht="21" customHeight="1">
      <c r="C2730" s="61" t="s">
        <v>1215</v>
      </c>
      <c r="D2730" s="56" t="s">
        <v>1216</v>
      </c>
      <c r="E2730" s="57"/>
      <c r="F2730" s="57"/>
      <c r="G2730" s="57"/>
      <c r="H2730" s="57"/>
      <c r="I2730" s="44"/>
      <c r="J2730" s="44"/>
      <c r="K2730" s="44"/>
    </row>
    <row r="2731" spans="3:15" s="59" customFormat="1" ht="21" customHeight="1">
      <c r="C2731" s="450" t="s">
        <v>1217</v>
      </c>
      <c r="D2731" s="67"/>
      <c r="E2731" s="67"/>
      <c r="F2731" s="67"/>
      <c r="G2731" s="69"/>
      <c r="H2731" s="589">
        <v>0</v>
      </c>
      <c r="I2731" s="44"/>
      <c r="J2731" s="44"/>
      <c r="K2731" s="44"/>
    </row>
    <row r="2732" spans="3:15" s="59" customFormat="1" ht="21" customHeight="1">
      <c r="C2732" s="288" t="s">
        <v>1218</v>
      </c>
      <c r="D2732" s="76" t="s">
        <v>1219</v>
      </c>
      <c r="E2732" s="77"/>
      <c r="F2732" s="77"/>
      <c r="G2732" s="78"/>
      <c r="H2732" s="585">
        <f>H2731+H2729+H2726</f>
        <v>220700</v>
      </c>
      <c r="I2732" s="369"/>
      <c r="J2732" s="44"/>
      <c r="K2732" s="44"/>
    </row>
    <row r="2733" spans="3:15" s="59" customFormat="1" ht="21" customHeight="1">
      <c r="C2733" s="288" t="s">
        <v>1220</v>
      </c>
      <c r="D2733" s="76" t="s">
        <v>1321</v>
      </c>
      <c r="E2733" s="77"/>
      <c r="F2733" s="78"/>
      <c r="G2733" s="80">
        <v>0.1</v>
      </c>
      <c r="H2733" s="63">
        <f>H2732*G2733</f>
        <v>22070</v>
      </c>
      <c r="I2733" s="369"/>
      <c r="J2733" s="44"/>
      <c r="K2733" s="44"/>
    </row>
    <row r="2734" spans="3:15" s="59" customFormat="1" ht="21" customHeight="1">
      <c r="C2734" s="288" t="s">
        <v>1221</v>
      </c>
      <c r="D2734" s="76" t="s">
        <v>1222</v>
      </c>
      <c r="E2734" s="77"/>
      <c r="F2734" s="77"/>
      <c r="G2734" s="78"/>
      <c r="H2734" s="799">
        <f>SUM(H2732:H2733)</f>
        <v>242770</v>
      </c>
      <c r="I2734" s="369"/>
      <c r="J2734" s="44"/>
      <c r="K2734" s="44"/>
    </row>
    <row r="2735" spans="3:15" ht="21" customHeight="1"/>
    <row r="2736" spans="3:15" s="59" customFormat="1" ht="21" customHeight="1">
      <c r="C2736" s="147" t="s">
        <v>5368</v>
      </c>
      <c r="D2736" s="794" t="s">
        <v>4101</v>
      </c>
      <c r="E2736" s="795"/>
      <c r="F2736" s="795"/>
      <c r="G2736" s="795"/>
      <c r="H2736" s="795"/>
      <c r="I2736" s="50">
        <f>ROUNDDOWN(H2751,-2)</f>
        <v>465700</v>
      </c>
      <c r="J2736" s="50"/>
      <c r="K2736" s="50"/>
    </row>
    <row r="2737" spans="3:15" s="59" customFormat="1" ht="21" customHeight="1">
      <c r="C2737" s="591" t="s">
        <v>1195</v>
      </c>
      <c r="D2737" s="591" t="s">
        <v>1196</v>
      </c>
      <c r="E2737" s="591" t="s">
        <v>1197</v>
      </c>
      <c r="F2737" s="591" t="s">
        <v>1198</v>
      </c>
      <c r="G2737" s="591" t="s">
        <v>1199</v>
      </c>
      <c r="H2737" s="591" t="s">
        <v>1200</v>
      </c>
      <c r="I2737" s="44"/>
      <c r="J2737" s="44"/>
      <c r="K2737" s="44"/>
    </row>
    <row r="2738" spans="3:15" s="59" customFormat="1" ht="21" customHeight="1">
      <c r="C2738" s="61" t="s">
        <v>1201</v>
      </c>
      <c r="D2738" s="56" t="s">
        <v>1202</v>
      </c>
      <c r="E2738" s="57"/>
      <c r="F2738" s="57"/>
      <c r="G2738" s="57"/>
      <c r="H2738" s="57"/>
      <c r="I2738" s="44"/>
      <c r="J2738" s="44"/>
      <c r="K2738" s="44"/>
      <c r="L2738" s="152" t="s">
        <v>1247</v>
      </c>
    </row>
    <row r="2739" spans="3:15" s="59" customFormat="1" ht="21" customHeight="1">
      <c r="C2739" s="588">
        <v>1</v>
      </c>
      <c r="D2739" s="56" t="s">
        <v>5</v>
      </c>
      <c r="E2739" s="577" t="s">
        <v>6</v>
      </c>
      <c r="F2739" s="62">
        <v>0.20699999999999999</v>
      </c>
      <c r="G2739" s="63">
        <f>VLOOKUP(D2739,upahbahan,3,FALSE)</f>
        <v>100000</v>
      </c>
      <c r="H2739" s="63">
        <f>F2739*G2739</f>
        <v>20700</v>
      </c>
      <c r="I2739" s="44"/>
      <c r="J2739" s="44"/>
      <c r="K2739" s="44"/>
      <c r="L2739" s="152" t="s">
        <v>1248</v>
      </c>
      <c r="O2739" s="65">
        <v>0.1</v>
      </c>
    </row>
    <row r="2740" spans="3:15" s="59" customFormat="1" ht="21" customHeight="1">
      <c r="C2740" s="588">
        <v>2</v>
      </c>
      <c r="D2740" s="56" t="s">
        <v>10</v>
      </c>
      <c r="E2740" s="577" t="s">
        <v>6</v>
      </c>
      <c r="F2740" s="62">
        <v>0.34599999999999997</v>
      </c>
      <c r="G2740" s="63">
        <f>VLOOKUP(D2740,upahbahan,3,FALSE)</f>
        <v>135000</v>
      </c>
      <c r="H2740" s="63">
        <f>F2740*G2740</f>
        <v>46710</v>
      </c>
      <c r="I2740" s="44"/>
      <c r="J2740" s="44"/>
      <c r="K2740" s="44"/>
    </row>
    <row r="2741" spans="3:15" s="59" customFormat="1" ht="21" customHeight="1">
      <c r="C2741" s="588">
        <v>3</v>
      </c>
      <c r="D2741" s="56" t="s">
        <v>18</v>
      </c>
      <c r="E2741" s="577" t="s">
        <v>6</v>
      </c>
      <c r="F2741" s="62">
        <v>3.5000000000000003E-2</v>
      </c>
      <c r="G2741" s="63">
        <f>VLOOKUP(D2741,upahbahan,3,FALSE)</f>
        <v>150000</v>
      </c>
      <c r="H2741" s="63">
        <f>F2741*G2741</f>
        <v>5250.0000000000009</v>
      </c>
      <c r="I2741" s="44"/>
      <c r="J2741" s="44"/>
      <c r="K2741" s="44"/>
    </row>
    <row r="2742" spans="3:15" s="59" customFormat="1" ht="21" customHeight="1">
      <c r="C2742" s="588">
        <v>4</v>
      </c>
      <c r="D2742" s="56" t="s">
        <v>19</v>
      </c>
      <c r="E2742" s="577" t="s">
        <v>6</v>
      </c>
      <c r="F2742" s="62">
        <v>0.01</v>
      </c>
      <c r="G2742" s="63">
        <f>VLOOKUP(D2742,upahbahan,3,FALSE)</f>
        <v>160000</v>
      </c>
      <c r="H2742" s="63">
        <f>F2742*G2742</f>
        <v>1600</v>
      </c>
      <c r="I2742" s="44"/>
      <c r="J2742" s="44"/>
      <c r="K2742" s="44"/>
    </row>
    <row r="2743" spans="3:15" s="59" customFormat="1" ht="21" customHeight="1">
      <c r="C2743" s="450" t="s">
        <v>1208</v>
      </c>
      <c r="D2743" s="67"/>
      <c r="E2743" s="67"/>
      <c r="F2743" s="142"/>
      <c r="G2743" s="153"/>
      <c r="H2743" s="63">
        <f>SUM(H2739:H2742)</f>
        <v>74260</v>
      </c>
      <c r="I2743" s="154"/>
      <c r="J2743" s="154"/>
      <c r="K2743" s="154"/>
    </row>
    <row r="2744" spans="3:15" s="59" customFormat="1" ht="21" customHeight="1">
      <c r="C2744" s="61" t="s">
        <v>1209</v>
      </c>
      <c r="D2744" s="56" t="s">
        <v>1210</v>
      </c>
      <c r="E2744" s="57"/>
      <c r="F2744" s="57"/>
      <c r="G2744" s="57"/>
      <c r="H2744" s="57"/>
      <c r="I2744" s="44"/>
      <c r="J2744" s="44"/>
      <c r="K2744" s="44"/>
    </row>
    <row r="2745" spans="3:15" s="59" customFormat="1" ht="21" customHeight="1">
      <c r="C2745" s="61">
        <v>1</v>
      </c>
      <c r="D2745" s="56" t="s">
        <v>4090</v>
      </c>
      <c r="E2745" s="93" t="s">
        <v>135</v>
      </c>
      <c r="F2745" s="104">
        <v>1.1499999999999999</v>
      </c>
      <c r="G2745" s="63">
        <f>VLOOKUP(D2745,upahbahan,3,FALSE)</f>
        <v>303600</v>
      </c>
      <c r="H2745" s="586">
        <f>G2745*F2745</f>
        <v>349140</v>
      </c>
      <c r="I2745" s="44"/>
      <c r="J2745" s="44"/>
      <c r="K2745" s="44"/>
    </row>
    <row r="2746" spans="3:15" s="59" customFormat="1" ht="21" customHeight="1">
      <c r="C2746" s="450" t="s">
        <v>1214</v>
      </c>
      <c r="D2746" s="67"/>
      <c r="E2746" s="67"/>
      <c r="F2746" s="67"/>
      <c r="G2746" s="69"/>
      <c r="H2746" s="63">
        <f>SUM(H2745:H2745)</f>
        <v>349140</v>
      </c>
      <c r="I2746" s="44"/>
      <c r="J2746" s="44"/>
      <c r="K2746" s="44"/>
    </row>
    <row r="2747" spans="3:15" s="59" customFormat="1" ht="21" customHeight="1">
      <c r="C2747" s="61" t="s">
        <v>1215</v>
      </c>
      <c r="D2747" s="56" t="s">
        <v>1216</v>
      </c>
      <c r="E2747" s="57"/>
      <c r="F2747" s="57"/>
      <c r="G2747" s="57"/>
      <c r="H2747" s="57"/>
      <c r="I2747" s="44"/>
      <c r="J2747" s="44"/>
      <c r="K2747" s="44"/>
    </row>
    <row r="2748" spans="3:15" s="59" customFormat="1" ht="21" customHeight="1">
      <c r="C2748" s="450" t="s">
        <v>1217</v>
      </c>
      <c r="D2748" s="67"/>
      <c r="E2748" s="67"/>
      <c r="F2748" s="67"/>
      <c r="G2748" s="69"/>
      <c r="H2748" s="589">
        <v>0</v>
      </c>
      <c r="I2748" s="44"/>
      <c r="J2748" s="44"/>
      <c r="K2748" s="44"/>
    </row>
    <row r="2749" spans="3:15" s="59" customFormat="1" ht="21" customHeight="1">
      <c r="C2749" s="288" t="s">
        <v>1218</v>
      </c>
      <c r="D2749" s="76" t="s">
        <v>1219</v>
      </c>
      <c r="E2749" s="77"/>
      <c r="F2749" s="77"/>
      <c r="G2749" s="78"/>
      <c r="H2749" s="585">
        <f>H2748+H2746+H2743</f>
        <v>423400</v>
      </c>
      <c r="I2749" s="369"/>
      <c r="J2749" s="44"/>
      <c r="K2749" s="44"/>
    </row>
    <row r="2750" spans="3:15" s="59" customFormat="1" ht="21" customHeight="1">
      <c r="C2750" s="288" t="s">
        <v>1220</v>
      </c>
      <c r="D2750" s="76" t="s">
        <v>1321</v>
      </c>
      <c r="E2750" s="77"/>
      <c r="F2750" s="78"/>
      <c r="G2750" s="80">
        <v>0.1</v>
      </c>
      <c r="H2750" s="63">
        <f>H2749*G2750</f>
        <v>42340</v>
      </c>
      <c r="I2750" s="369"/>
      <c r="J2750" s="44"/>
      <c r="K2750" s="44"/>
    </row>
    <row r="2751" spans="3:15" s="59" customFormat="1" ht="21" customHeight="1">
      <c r="C2751" s="288" t="s">
        <v>1221</v>
      </c>
      <c r="D2751" s="76" t="s">
        <v>1222</v>
      </c>
      <c r="E2751" s="77"/>
      <c r="F2751" s="77"/>
      <c r="G2751" s="78"/>
      <c r="H2751" s="799">
        <f>SUM(H2749:H2750)</f>
        <v>465740</v>
      </c>
      <c r="I2751" s="369"/>
      <c r="J2751" s="44"/>
      <c r="K2751" s="44"/>
    </row>
    <row r="2752" spans="3:15" ht="21" customHeight="1"/>
    <row r="2753" spans="3:15" s="59" customFormat="1" ht="21" customHeight="1">
      <c r="C2753" s="147" t="s">
        <v>5369</v>
      </c>
      <c r="D2753" s="794" t="s">
        <v>4102</v>
      </c>
      <c r="E2753" s="795"/>
      <c r="F2753" s="795"/>
      <c r="G2753" s="795"/>
      <c r="H2753" s="795"/>
      <c r="I2753" s="50">
        <f>ROUNDDOWN(H2768,-2)</f>
        <v>628000</v>
      </c>
      <c r="J2753" s="50"/>
      <c r="K2753" s="50"/>
    </row>
    <row r="2754" spans="3:15" s="59" customFormat="1" ht="21" customHeight="1">
      <c r="C2754" s="591" t="s">
        <v>1195</v>
      </c>
      <c r="D2754" s="591" t="s">
        <v>1196</v>
      </c>
      <c r="E2754" s="591" t="s">
        <v>1197</v>
      </c>
      <c r="F2754" s="591" t="s">
        <v>1198</v>
      </c>
      <c r="G2754" s="591" t="s">
        <v>1199</v>
      </c>
      <c r="H2754" s="591" t="s">
        <v>1200</v>
      </c>
      <c r="I2754" s="44"/>
      <c r="J2754" s="44"/>
      <c r="K2754" s="44"/>
    </row>
    <row r="2755" spans="3:15" s="59" customFormat="1" ht="21" customHeight="1">
      <c r="C2755" s="61" t="s">
        <v>1201</v>
      </c>
      <c r="D2755" s="56" t="s">
        <v>1202</v>
      </c>
      <c r="E2755" s="57"/>
      <c r="F2755" s="57"/>
      <c r="G2755" s="57"/>
      <c r="H2755" s="57"/>
      <c r="I2755" s="44"/>
      <c r="J2755" s="44"/>
      <c r="K2755" s="44"/>
      <c r="L2755" s="152" t="s">
        <v>1247</v>
      </c>
    </row>
    <row r="2756" spans="3:15" s="59" customFormat="1" ht="21" customHeight="1">
      <c r="C2756" s="588">
        <v>1</v>
      </c>
      <c r="D2756" s="56" t="s">
        <v>5</v>
      </c>
      <c r="E2756" s="577" t="s">
        <v>6</v>
      </c>
      <c r="F2756" s="62">
        <v>0.26</v>
      </c>
      <c r="G2756" s="63">
        <f>VLOOKUP(D2756,upahbahan,3,FALSE)</f>
        <v>100000</v>
      </c>
      <c r="H2756" s="63">
        <f>F2756*G2756</f>
        <v>26000</v>
      </c>
      <c r="I2756" s="44"/>
      <c r="J2756" s="44"/>
      <c r="K2756" s="44"/>
      <c r="L2756" s="152" t="s">
        <v>1248</v>
      </c>
      <c r="O2756" s="65">
        <v>0.1</v>
      </c>
    </row>
    <row r="2757" spans="3:15" s="59" customFormat="1" ht="21" customHeight="1">
      <c r="C2757" s="588">
        <v>2</v>
      </c>
      <c r="D2757" s="56" t="s">
        <v>10</v>
      </c>
      <c r="E2757" s="577" t="s">
        <v>6</v>
      </c>
      <c r="F2757" s="62">
        <v>0.433</v>
      </c>
      <c r="G2757" s="63">
        <f>VLOOKUP(D2757,upahbahan,3,FALSE)</f>
        <v>135000</v>
      </c>
      <c r="H2757" s="63">
        <f>F2757*G2757</f>
        <v>58455</v>
      </c>
      <c r="I2757" s="44"/>
      <c r="J2757" s="44"/>
      <c r="K2757" s="44"/>
    </row>
    <row r="2758" spans="3:15" s="59" customFormat="1" ht="21" customHeight="1">
      <c r="C2758" s="588">
        <v>3</v>
      </c>
      <c r="D2758" s="56" t="s">
        <v>18</v>
      </c>
      <c r="E2758" s="577" t="s">
        <v>6</v>
      </c>
      <c r="F2758" s="62">
        <v>4.2999999999999997E-2</v>
      </c>
      <c r="G2758" s="63">
        <f>VLOOKUP(D2758,upahbahan,3,FALSE)</f>
        <v>150000</v>
      </c>
      <c r="H2758" s="63">
        <f>F2758*G2758</f>
        <v>6449.9999999999991</v>
      </c>
      <c r="I2758" s="44"/>
      <c r="J2758" s="44"/>
      <c r="K2758" s="44"/>
    </row>
    <row r="2759" spans="3:15" s="59" customFormat="1" ht="21" customHeight="1">
      <c r="C2759" s="588">
        <v>4</v>
      </c>
      <c r="D2759" s="56" t="s">
        <v>19</v>
      </c>
      <c r="E2759" s="577" t="s">
        <v>6</v>
      </c>
      <c r="F2759" s="62">
        <v>1.2999999999999999E-2</v>
      </c>
      <c r="G2759" s="63">
        <f>VLOOKUP(D2759,upahbahan,3,FALSE)</f>
        <v>160000</v>
      </c>
      <c r="H2759" s="63">
        <f>F2759*G2759</f>
        <v>2080</v>
      </c>
      <c r="I2759" s="44"/>
      <c r="J2759" s="44"/>
      <c r="K2759" s="44"/>
    </row>
    <row r="2760" spans="3:15" s="59" customFormat="1" ht="21" customHeight="1">
      <c r="C2760" s="450" t="s">
        <v>1208</v>
      </c>
      <c r="D2760" s="67"/>
      <c r="E2760" s="67"/>
      <c r="F2760" s="142"/>
      <c r="G2760" s="153"/>
      <c r="H2760" s="63">
        <f>SUM(H2756:H2759)</f>
        <v>92985</v>
      </c>
      <c r="I2760" s="154"/>
      <c r="J2760" s="154"/>
      <c r="K2760" s="154"/>
    </row>
    <row r="2761" spans="3:15" s="59" customFormat="1" ht="21" customHeight="1">
      <c r="C2761" s="61" t="s">
        <v>1209</v>
      </c>
      <c r="D2761" s="56" t="s">
        <v>1210</v>
      </c>
      <c r="E2761" s="57"/>
      <c r="F2761" s="57"/>
      <c r="G2761" s="57"/>
      <c r="H2761" s="57"/>
      <c r="I2761" s="44"/>
      <c r="J2761" s="44"/>
      <c r="K2761" s="44"/>
    </row>
    <row r="2762" spans="3:15" s="59" customFormat="1" ht="21" customHeight="1">
      <c r="C2762" s="61">
        <v>1</v>
      </c>
      <c r="D2762" s="56" t="s">
        <v>4091</v>
      </c>
      <c r="E2762" s="93" t="s">
        <v>135</v>
      </c>
      <c r="F2762" s="104">
        <v>1.1499999999999999</v>
      </c>
      <c r="G2762" s="63">
        <f>VLOOKUP(D2762,upahbahan,3,FALSE)</f>
        <v>415600</v>
      </c>
      <c r="H2762" s="586">
        <f>G2762*F2762</f>
        <v>477939.99999999994</v>
      </c>
      <c r="I2762" s="44"/>
      <c r="J2762" s="44"/>
      <c r="K2762" s="44"/>
    </row>
    <row r="2763" spans="3:15" s="59" customFormat="1" ht="21" customHeight="1">
      <c r="C2763" s="450" t="s">
        <v>1214</v>
      </c>
      <c r="D2763" s="67"/>
      <c r="E2763" s="67"/>
      <c r="F2763" s="67"/>
      <c r="G2763" s="69"/>
      <c r="H2763" s="63">
        <f>SUM(H2762:H2762)</f>
        <v>477939.99999999994</v>
      </c>
      <c r="I2763" s="44"/>
      <c r="J2763" s="44"/>
      <c r="K2763" s="44"/>
    </row>
    <row r="2764" spans="3:15" s="59" customFormat="1" ht="21" customHeight="1">
      <c r="C2764" s="61" t="s">
        <v>1215</v>
      </c>
      <c r="D2764" s="56" t="s">
        <v>1216</v>
      </c>
      <c r="E2764" s="57"/>
      <c r="F2764" s="57"/>
      <c r="G2764" s="57"/>
      <c r="H2764" s="57"/>
      <c r="I2764" s="44"/>
      <c r="J2764" s="44"/>
      <c r="K2764" s="44"/>
    </row>
    <row r="2765" spans="3:15" s="59" customFormat="1" ht="21" customHeight="1">
      <c r="C2765" s="450" t="s">
        <v>1217</v>
      </c>
      <c r="D2765" s="67"/>
      <c r="E2765" s="67"/>
      <c r="F2765" s="67"/>
      <c r="G2765" s="69"/>
      <c r="H2765" s="589">
        <v>0</v>
      </c>
      <c r="I2765" s="44"/>
      <c r="J2765" s="44"/>
      <c r="K2765" s="44"/>
    </row>
    <row r="2766" spans="3:15" s="59" customFormat="1" ht="21" customHeight="1">
      <c r="C2766" s="288" t="s">
        <v>1218</v>
      </c>
      <c r="D2766" s="76" t="s">
        <v>1219</v>
      </c>
      <c r="E2766" s="77"/>
      <c r="F2766" s="77"/>
      <c r="G2766" s="78"/>
      <c r="H2766" s="585">
        <f>H2765+H2763+H2760</f>
        <v>570925</v>
      </c>
      <c r="I2766" s="369"/>
      <c r="J2766" s="44"/>
      <c r="K2766" s="44"/>
    </row>
    <row r="2767" spans="3:15" s="59" customFormat="1" ht="21" customHeight="1">
      <c r="C2767" s="288" t="s">
        <v>1220</v>
      </c>
      <c r="D2767" s="76" t="s">
        <v>1321</v>
      </c>
      <c r="E2767" s="77"/>
      <c r="F2767" s="78"/>
      <c r="G2767" s="80">
        <v>0.1</v>
      </c>
      <c r="H2767" s="63">
        <f>H2766*G2767</f>
        <v>57092.5</v>
      </c>
      <c r="I2767" s="369"/>
      <c r="J2767" s="44"/>
      <c r="K2767" s="44"/>
    </row>
    <row r="2768" spans="3:15" s="59" customFormat="1" ht="21" customHeight="1">
      <c r="C2768" s="288" t="s">
        <v>1221</v>
      </c>
      <c r="D2768" s="76" t="s">
        <v>1222</v>
      </c>
      <c r="E2768" s="77"/>
      <c r="F2768" s="77"/>
      <c r="G2768" s="78"/>
      <c r="H2768" s="799">
        <f>SUM(H2766:H2767)</f>
        <v>628017.5</v>
      </c>
      <c r="I2768" s="369"/>
      <c r="J2768" s="44"/>
      <c r="K2768" s="44"/>
    </row>
    <row r="2769" spans="3:15" ht="21" customHeight="1"/>
    <row r="2770" spans="3:15" s="59" customFormat="1" ht="21" customHeight="1">
      <c r="C2770" s="147" t="s">
        <v>5370</v>
      </c>
      <c r="D2770" s="794" t="s">
        <v>4103</v>
      </c>
      <c r="E2770" s="795"/>
      <c r="F2770" s="795"/>
      <c r="G2770" s="795"/>
      <c r="H2770" s="795"/>
      <c r="I2770" s="50">
        <f>ROUNDDOWN(H2785,-2)</f>
        <v>975200</v>
      </c>
      <c r="J2770" s="50"/>
      <c r="K2770" s="50"/>
    </row>
    <row r="2771" spans="3:15" s="59" customFormat="1" ht="21" customHeight="1">
      <c r="C2771" s="591" t="s">
        <v>1195</v>
      </c>
      <c r="D2771" s="591" t="s">
        <v>1196</v>
      </c>
      <c r="E2771" s="591" t="s">
        <v>1197</v>
      </c>
      <c r="F2771" s="591" t="s">
        <v>1198</v>
      </c>
      <c r="G2771" s="591" t="s">
        <v>1199</v>
      </c>
      <c r="H2771" s="591" t="s">
        <v>1200</v>
      </c>
      <c r="I2771" s="44"/>
      <c r="J2771" s="44"/>
      <c r="K2771" s="44"/>
    </row>
    <row r="2772" spans="3:15" s="59" customFormat="1" ht="21" customHeight="1">
      <c r="C2772" s="61" t="s">
        <v>1201</v>
      </c>
      <c r="D2772" s="56" t="s">
        <v>1202</v>
      </c>
      <c r="E2772" s="57"/>
      <c r="F2772" s="57"/>
      <c r="G2772" s="57"/>
      <c r="H2772" s="57"/>
      <c r="I2772" s="44"/>
      <c r="J2772" s="44"/>
      <c r="K2772" s="44"/>
      <c r="L2772" s="152" t="s">
        <v>1247</v>
      </c>
    </row>
    <row r="2773" spans="3:15" s="59" customFormat="1" ht="21" customHeight="1">
      <c r="C2773" s="588">
        <v>1</v>
      </c>
      <c r="D2773" s="56" t="s">
        <v>5</v>
      </c>
      <c r="E2773" s="577" t="s">
        <v>6</v>
      </c>
      <c r="F2773" s="62">
        <v>0.47099999999999997</v>
      </c>
      <c r="G2773" s="63">
        <f>VLOOKUP(D2773,upahbahan,3,FALSE)</f>
        <v>100000</v>
      </c>
      <c r="H2773" s="63">
        <f>F2773*G2773</f>
        <v>47100</v>
      </c>
      <c r="I2773" s="44"/>
      <c r="J2773" s="44"/>
      <c r="K2773" s="44"/>
      <c r="L2773" s="152" t="s">
        <v>1248</v>
      </c>
      <c r="O2773" s="65">
        <v>0.1</v>
      </c>
    </row>
    <row r="2774" spans="3:15" s="59" customFormat="1" ht="21" customHeight="1">
      <c r="C2774" s="588">
        <v>2</v>
      </c>
      <c r="D2774" s="56" t="s">
        <v>10</v>
      </c>
      <c r="E2774" s="577" t="s">
        <v>6</v>
      </c>
      <c r="F2774" s="62">
        <v>0.78700000000000003</v>
      </c>
      <c r="G2774" s="63">
        <f>VLOOKUP(D2774,upahbahan,3,FALSE)</f>
        <v>135000</v>
      </c>
      <c r="H2774" s="63">
        <f>F2774*G2774</f>
        <v>106245</v>
      </c>
      <c r="I2774" s="44"/>
      <c r="J2774" s="44"/>
      <c r="K2774" s="44"/>
    </row>
    <row r="2775" spans="3:15" s="59" customFormat="1" ht="21" customHeight="1">
      <c r="C2775" s="588">
        <v>3</v>
      </c>
      <c r="D2775" s="56" t="s">
        <v>18</v>
      </c>
      <c r="E2775" s="577" t="s">
        <v>6</v>
      </c>
      <c r="F2775" s="62">
        <v>7.9000000000000001E-2</v>
      </c>
      <c r="G2775" s="63">
        <f>VLOOKUP(D2775,upahbahan,3,FALSE)</f>
        <v>150000</v>
      </c>
      <c r="H2775" s="63">
        <f>F2775*G2775</f>
        <v>11850</v>
      </c>
      <c r="I2775" s="44"/>
      <c r="J2775" s="44"/>
      <c r="K2775" s="44"/>
    </row>
    <row r="2776" spans="3:15" s="59" customFormat="1" ht="21" customHeight="1">
      <c r="C2776" s="588">
        <v>4</v>
      </c>
      <c r="D2776" s="56" t="s">
        <v>19</v>
      </c>
      <c r="E2776" s="577" t="s">
        <v>6</v>
      </c>
      <c r="F2776" s="62">
        <v>2.4E-2</v>
      </c>
      <c r="G2776" s="63">
        <f>VLOOKUP(D2776,upahbahan,3,FALSE)</f>
        <v>160000</v>
      </c>
      <c r="H2776" s="63">
        <f>F2776*G2776</f>
        <v>3840</v>
      </c>
      <c r="I2776" s="44"/>
      <c r="J2776" s="44"/>
      <c r="K2776" s="44"/>
    </row>
    <row r="2777" spans="3:15" s="59" customFormat="1" ht="21" customHeight="1">
      <c r="C2777" s="450" t="s">
        <v>1208</v>
      </c>
      <c r="D2777" s="67"/>
      <c r="E2777" s="67"/>
      <c r="F2777" s="142"/>
      <c r="G2777" s="153"/>
      <c r="H2777" s="63">
        <f>SUM(H2773:H2776)</f>
        <v>169035</v>
      </c>
      <c r="I2777" s="154"/>
      <c r="J2777" s="154"/>
      <c r="K2777" s="154"/>
    </row>
    <row r="2778" spans="3:15" s="59" customFormat="1" ht="21" customHeight="1">
      <c r="C2778" s="61" t="s">
        <v>1209</v>
      </c>
      <c r="D2778" s="56" t="s">
        <v>1210</v>
      </c>
      <c r="E2778" s="57"/>
      <c r="F2778" s="57"/>
      <c r="G2778" s="57"/>
      <c r="H2778" s="57"/>
      <c r="I2778" s="44"/>
      <c r="J2778" s="44"/>
      <c r="K2778" s="44"/>
    </row>
    <row r="2779" spans="3:15" s="59" customFormat="1" ht="21" customHeight="1">
      <c r="C2779" s="61">
        <v>1</v>
      </c>
      <c r="D2779" s="56" t="s">
        <v>4092</v>
      </c>
      <c r="E2779" s="93" t="s">
        <v>135</v>
      </c>
      <c r="F2779" s="104">
        <v>1.3</v>
      </c>
      <c r="G2779" s="63">
        <f>VLOOKUP(D2779,upahbahan,3,FALSE)</f>
        <v>552000</v>
      </c>
      <c r="H2779" s="586">
        <f>G2779*F2779</f>
        <v>717600</v>
      </c>
      <c r="I2779" s="44"/>
      <c r="J2779" s="44"/>
      <c r="K2779" s="44"/>
    </row>
    <row r="2780" spans="3:15" s="59" customFormat="1" ht="21" customHeight="1">
      <c r="C2780" s="450" t="s">
        <v>1214</v>
      </c>
      <c r="D2780" s="67"/>
      <c r="E2780" s="67"/>
      <c r="F2780" s="67"/>
      <c r="G2780" s="69"/>
      <c r="H2780" s="63">
        <f>SUM(H2779:H2779)</f>
        <v>717600</v>
      </c>
      <c r="I2780" s="44"/>
      <c r="J2780" s="44"/>
      <c r="K2780" s="44"/>
    </row>
    <row r="2781" spans="3:15" s="59" customFormat="1" ht="21" customHeight="1">
      <c r="C2781" s="61" t="s">
        <v>1215</v>
      </c>
      <c r="D2781" s="56" t="s">
        <v>1216</v>
      </c>
      <c r="E2781" s="57"/>
      <c r="F2781" s="57"/>
      <c r="G2781" s="57"/>
      <c r="H2781" s="57"/>
      <c r="I2781" s="44"/>
      <c r="J2781" s="44"/>
      <c r="K2781" s="44"/>
    </row>
    <row r="2782" spans="3:15" s="59" customFormat="1" ht="21" customHeight="1">
      <c r="C2782" s="450" t="s">
        <v>1217</v>
      </c>
      <c r="D2782" s="67"/>
      <c r="E2782" s="67"/>
      <c r="F2782" s="67"/>
      <c r="G2782" s="69"/>
      <c r="H2782" s="589">
        <v>0</v>
      </c>
      <c r="I2782" s="44"/>
      <c r="J2782" s="44"/>
      <c r="K2782" s="44"/>
    </row>
    <row r="2783" spans="3:15" s="59" customFormat="1" ht="21" customHeight="1">
      <c r="C2783" s="288" t="s">
        <v>1218</v>
      </c>
      <c r="D2783" s="76" t="s">
        <v>1219</v>
      </c>
      <c r="E2783" s="77"/>
      <c r="F2783" s="77"/>
      <c r="G2783" s="78"/>
      <c r="H2783" s="585">
        <f>H2782+H2780+H2777</f>
        <v>886635</v>
      </c>
      <c r="I2783" s="369"/>
      <c r="J2783" s="44"/>
      <c r="K2783" s="44"/>
    </row>
    <row r="2784" spans="3:15" s="59" customFormat="1" ht="21" customHeight="1">
      <c r="C2784" s="288" t="s">
        <v>1220</v>
      </c>
      <c r="D2784" s="76" t="s">
        <v>1321</v>
      </c>
      <c r="E2784" s="77"/>
      <c r="F2784" s="78"/>
      <c r="G2784" s="80">
        <v>0.1</v>
      </c>
      <c r="H2784" s="63">
        <f>H2783*G2784</f>
        <v>88663.5</v>
      </c>
      <c r="I2784" s="369"/>
      <c r="J2784" s="44"/>
      <c r="K2784" s="44"/>
    </row>
    <row r="2785" spans="3:15" s="59" customFormat="1" ht="21" customHeight="1">
      <c r="C2785" s="288" t="s">
        <v>1221</v>
      </c>
      <c r="D2785" s="76" t="s">
        <v>1222</v>
      </c>
      <c r="E2785" s="77"/>
      <c r="F2785" s="77"/>
      <c r="G2785" s="78"/>
      <c r="H2785" s="799">
        <f>SUM(H2783:H2784)</f>
        <v>975298.5</v>
      </c>
      <c r="I2785" s="369"/>
      <c r="J2785" s="44"/>
      <c r="K2785" s="44"/>
    </row>
    <row r="2786" spans="3:15" ht="21" customHeight="1"/>
    <row r="2787" spans="3:15" s="59" customFormat="1" ht="21" customHeight="1">
      <c r="C2787" s="147" t="s">
        <v>5371</v>
      </c>
      <c r="D2787" s="794" t="s">
        <v>4104</v>
      </c>
      <c r="E2787" s="795"/>
      <c r="F2787" s="795"/>
      <c r="G2787" s="795"/>
      <c r="H2787" s="795"/>
      <c r="I2787" s="50">
        <f>ROUNDDOWN(H2802,-2)</f>
        <v>1406600</v>
      </c>
      <c r="J2787" s="50"/>
      <c r="K2787" s="50"/>
    </row>
    <row r="2788" spans="3:15" s="59" customFormat="1" ht="21" customHeight="1">
      <c r="C2788" s="591" t="s">
        <v>1195</v>
      </c>
      <c r="D2788" s="591" t="s">
        <v>1196</v>
      </c>
      <c r="E2788" s="591" t="s">
        <v>1197</v>
      </c>
      <c r="F2788" s="591" t="s">
        <v>1198</v>
      </c>
      <c r="G2788" s="591" t="s">
        <v>1199</v>
      </c>
      <c r="H2788" s="591" t="s">
        <v>1200</v>
      </c>
      <c r="I2788" s="44"/>
      <c r="J2788" s="44"/>
      <c r="K2788" s="44"/>
    </row>
    <row r="2789" spans="3:15" s="59" customFormat="1" ht="21" customHeight="1">
      <c r="C2789" s="61" t="s">
        <v>1201</v>
      </c>
      <c r="D2789" s="56" t="s">
        <v>1202</v>
      </c>
      <c r="E2789" s="57"/>
      <c r="F2789" s="57"/>
      <c r="G2789" s="57"/>
      <c r="H2789" s="57"/>
      <c r="I2789" s="44"/>
      <c r="J2789" s="44"/>
      <c r="K2789" s="44"/>
      <c r="L2789" s="152" t="s">
        <v>1247</v>
      </c>
    </row>
    <row r="2790" spans="3:15" s="59" customFormat="1" ht="21" customHeight="1">
      <c r="C2790" s="588">
        <v>1</v>
      </c>
      <c r="D2790" s="56" t="s">
        <v>5</v>
      </c>
      <c r="E2790" s="577" t="s">
        <v>6</v>
      </c>
      <c r="F2790" s="62">
        <v>0.63100000000000001</v>
      </c>
      <c r="G2790" s="63">
        <f>VLOOKUP(D2790,upahbahan,3,FALSE)</f>
        <v>100000</v>
      </c>
      <c r="H2790" s="63">
        <f>F2790*G2790</f>
        <v>63100</v>
      </c>
      <c r="I2790" s="44"/>
      <c r="J2790" s="44"/>
      <c r="K2790" s="44"/>
      <c r="L2790" s="152" t="s">
        <v>1248</v>
      </c>
      <c r="O2790" s="65">
        <v>0.1</v>
      </c>
    </row>
    <row r="2791" spans="3:15" s="59" customFormat="1" ht="21" customHeight="1">
      <c r="C2791" s="588">
        <v>2</v>
      </c>
      <c r="D2791" s="56" t="s">
        <v>10</v>
      </c>
      <c r="E2791" s="577" t="s">
        <v>6</v>
      </c>
      <c r="F2791" s="62">
        <v>1.054</v>
      </c>
      <c r="G2791" s="63">
        <f>VLOOKUP(D2791,upahbahan,3,FALSE)</f>
        <v>135000</v>
      </c>
      <c r="H2791" s="63">
        <f>F2791*G2791</f>
        <v>142290</v>
      </c>
      <c r="I2791" s="44"/>
      <c r="J2791" s="44"/>
      <c r="K2791" s="44"/>
    </row>
    <row r="2792" spans="3:15" s="59" customFormat="1" ht="21" customHeight="1">
      <c r="C2792" s="588">
        <v>3</v>
      </c>
      <c r="D2792" s="56" t="s">
        <v>18</v>
      </c>
      <c r="E2792" s="577" t="s">
        <v>6</v>
      </c>
      <c r="F2792" s="62">
        <v>0.105</v>
      </c>
      <c r="G2792" s="63">
        <f>VLOOKUP(D2792,upahbahan,3,FALSE)</f>
        <v>150000</v>
      </c>
      <c r="H2792" s="63">
        <f>F2792*G2792</f>
        <v>15750</v>
      </c>
      <c r="I2792" s="44"/>
      <c r="J2792" s="44"/>
      <c r="K2792" s="44"/>
    </row>
    <row r="2793" spans="3:15" s="59" customFormat="1" ht="21" customHeight="1">
      <c r="C2793" s="588">
        <v>4</v>
      </c>
      <c r="D2793" s="56" t="s">
        <v>19</v>
      </c>
      <c r="E2793" s="577" t="s">
        <v>6</v>
      </c>
      <c r="F2793" s="62">
        <v>3.2000000000000001E-2</v>
      </c>
      <c r="G2793" s="63">
        <f>VLOOKUP(D2793,upahbahan,3,FALSE)</f>
        <v>160000</v>
      </c>
      <c r="H2793" s="63">
        <f>F2793*G2793</f>
        <v>5120</v>
      </c>
      <c r="I2793" s="44"/>
      <c r="J2793" s="44"/>
      <c r="K2793" s="44"/>
    </row>
    <row r="2794" spans="3:15" s="59" customFormat="1" ht="21" customHeight="1">
      <c r="C2794" s="450" t="s">
        <v>1208</v>
      </c>
      <c r="D2794" s="67"/>
      <c r="E2794" s="67"/>
      <c r="F2794" s="142"/>
      <c r="G2794" s="153"/>
      <c r="H2794" s="63">
        <f>SUM(H2790:H2793)</f>
        <v>226260</v>
      </c>
      <c r="I2794" s="154"/>
      <c r="J2794" s="154"/>
      <c r="K2794" s="154"/>
    </row>
    <row r="2795" spans="3:15" s="59" customFormat="1" ht="21" customHeight="1">
      <c r="C2795" s="61" t="s">
        <v>1209</v>
      </c>
      <c r="D2795" s="56" t="s">
        <v>1210</v>
      </c>
      <c r="E2795" s="57"/>
      <c r="F2795" s="57"/>
      <c r="G2795" s="57"/>
      <c r="H2795" s="57"/>
      <c r="I2795" s="44"/>
      <c r="J2795" s="44"/>
      <c r="K2795" s="44"/>
    </row>
    <row r="2796" spans="3:15" s="59" customFormat="1" ht="21" customHeight="1">
      <c r="C2796" s="61">
        <v>1</v>
      </c>
      <c r="D2796" s="56" t="s">
        <v>4093</v>
      </c>
      <c r="E2796" s="93" t="s">
        <v>135</v>
      </c>
      <c r="F2796" s="104">
        <v>1.3</v>
      </c>
      <c r="G2796" s="63">
        <f>VLOOKUP(D2796,upahbahan,3,FALSE)</f>
        <v>809600</v>
      </c>
      <c r="H2796" s="586">
        <f>G2796*F2796</f>
        <v>1052480</v>
      </c>
      <c r="I2796" s="44"/>
      <c r="J2796" s="44"/>
      <c r="K2796" s="44"/>
    </row>
    <row r="2797" spans="3:15" s="59" customFormat="1" ht="21" customHeight="1">
      <c r="C2797" s="450" t="s">
        <v>1214</v>
      </c>
      <c r="D2797" s="67"/>
      <c r="E2797" s="67"/>
      <c r="F2797" s="67"/>
      <c r="G2797" s="69"/>
      <c r="H2797" s="63">
        <f>SUM(H2796:H2796)</f>
        <v>1052480</v>
      </c>
      <c r="I2797" s="44"/>
      <c r="J2797" s="44"/>
      <c r="K2797" s="44"/>
    </row>
    <row r="2798" spans="3:15" s="59" customFormat="1" ht="21" customHeight="1">
      <c r="C2798" s="61" t="s">
        <v>1215</v>
      </c>
      <c r="D2798" s="56" t="s">
        <v>1216</v>
      </c>
      <c r="E2798" s="57"/>
      <c r="F2798" s="57"/>
      <c r="G2798" s="57"/>
      <c r="H2798" s="57"/>
      <c r="I2798" s="44"/>
      <c r="J2798" s="44"/>
      <c r="K2798" s="44"/>
    </row>
    <row r="2799" spans="3:15" s="59" customFormat="1" ht="21" customHeight="1">
      <c r="C2799" s="450" t="s">
        <v>1217</v>
      </c>
      <c r="D2799" s="67"/>
      <c r="E2799" s="67"/>
      <c r="F2799" s="67"/>
      <c r="G2799" s="69"/>
      <c r="H2799" s="589">
        <v>0</v>
      </c>
      <c r="I2799" s="44"/>
      <c r="J2799" s="44"/>
      <c r="K2799" s="44"/>
    </row>
    <row r="2800" spans="3:15" s="59" customFormat="1" ht="21" customHeight="1">
      <c r="C2800" s="288" t="s">
        <v>1218</v>
      </c>
      <c r="D2800" s="76" t="s">
        <v>1219</v>
      </c>
      <c r="E2800" s="77"/>
      <c r="F2800" s="77"/>
      <c r="G2800" s="78"/>
      <c r="H2800" s="585">
        <f>H2799+H2797+H2794</f>
        <v>1278740</v>
      </c>
      <c r="I2800" s="369"/>
      <c r="J2800" s="44"/>
      <c r="K2800" s="44"/>
    </row>
    <row r="2801" spans="3:15" s="59" customFormat="1" ht="21" customHeight="1">
      <c r="C2801" s="288" t="s">
        <v>1220</v>
      </c>
      <c r="D2801" s="76" t="s">
        <v>1321</v>
      </c>
      <c r="E2801" s="77"/>
      <c r="F2801" s="78"/>
      <c r="G2801" s="80">
        <v>0.1</v>
      </c>
      <c r="H2801" s="63">
        <f>H2800*G2801</f>
        <v>127874</v>
      </c>
      <c r="I2801" s="369"/>
      <c r="J2801" s="44"/>
      <c r="K2801" s="44"/>
    </row>
    <row r="2802" spans="3:15" s="59" customFormat="1" ht="21" customHeight="1">
      <c r="C2802" s="288" t="s">
        <v>1221</v>
      </c>
      <c r="D2802" s="76" t="s">
        <v>1222</v>
      </c>
      <c r="E2802" s="77"/>
      <c r="F2802" s="77"/>
      <c r="G2802" s="78"/>
      <c r="H2802" s="799">
        <f>SUM(H2800:H2801)</f>
        <v>1406614</v>
      </c>
      <c r="I2802" s="369"/>
      <c r="J2802" s="44"/>
      <c r="K2802" s="44"/>
    </row>
    <row r="2803" spans="3:15" ht="21" customHeight="1"/>
    <row r="2804" spans="3:15" s="59" customFormat="1" ht="21" customHeight="1">
      <c r="C2804" s="147" t="s">
        <v>5372</v>
      </c>
      <c r="D2804" s="794" t="s">
        <v>4105</v>
      </c>
      <c r="E2804" s="795"/>
      <c r="F2804" s="795"/>
      <c r="G2804" s="795"/>
      <c r="H2804" s="795"/>
      <c r="I2804" s="50">
        <f>ROUNDDOWN(H2819,-2)</f>
        <v>1559100</v>
      </c>
      <c r="J2804" s="50"/>
      <c r="K2804" s="50"/>
    </row>
    <row r="2805" spans="3:15" s="59" customFormat="1" ht="21" customHeight="1">
      <c r="C2805" s="591" t="s">
        <v>1195</v>
      </c>
      <c r="D2805" s="591" t="s">
        <v>1196</v>
      </c>
      <c r="E2805" s="591" t="s">
        <v>1197</v>
      </c>
      <c r="F2805" s="591" t="s">
        <v>1198</v>
      </c>
      <c r="G2805" s="591" t="s">
        <v>1199</v>
      </c>
      <c r="H2805" s="591" t="s">
        <v>1200</v>
      </c>
      <c r="I2805" s="44"/>
      <c r="J2805" s="44"/>
      <c r="K2805" s="44"/>
    </row>
    <row r="2806" spans="3:15" s="59" customFormat="1" ht="21" customHeight="1">
      <c r="C2806" s="61" t="s">
        <v>1201</v>
      </c>
      <c r="D2806" s="56" t="s">
        <v>1202</v>
      </c>
      <c r="E2806" s="57"/>
      <c r="F2806" s="57"/>
      <c r="G2806" s="57"/>
      <c r="H2806" s="57"/>
      <c r="I2806" s="44"/>
      <c r="J2806" s="44"/>
      <c r="K2806" s="44"/>
      <c r="L2806" s="152" t="s">
        <v>1247</v>
      </c>
    </row>
    <row r="2807" spans="3:15" s="59" customFormat="1" ht="21" customHeight="1">
      <c r="C2807" s="588">
        <v>1</v>
      </c>
      <c r="D2807" s="56" t="s">
        <v>5</v>
      </c>
      <c r="E2807" s="577" t="s">
        <v>6</v>
      </c>
      <c r="F2807" s="62">
        <v>0.78800000000000003</v>
      </c>
      <c r="G2807" s="63">
        <f>VLOOKUP(D2807,upahbahan,3,FALSE)</f>
        <v>100000</v>
      </c>
      <c r="H2807" s="63">
        <f>F2807*G2807</f>
        <v>78800</v>
      </c>
      <c r="I2807" s="44"/>
      <c r="J2807" s="44"/>
      <c r="K2807" s="44"/>
      <c r="L2807" s="152" t="s">
        <v>1248</v>
      </c>
      <c r="O2807" s="65">
        <v>0.1</v>
      </c>
    </row>
    <row r="2808" spans="3:15" s="59" customFormat="1" ht="21" customHeight="1">
      <c r="C2808" s="588">
        <v>2</v>
      </c>
      <c r="D2808" s="56" t="s">
        <v>10</v>
      </c>
      <c r="E2808" s="577" t="s">
        <v>6</v>
      </c>
      <c r="F2808" s="62">
        <v>1.3160000000000001</v>
      </c>
      <c r="G2808" s="63">
        <f>VLOOKUP(D2808,upahbahan,3,FALSE)</f>
        <v>135000</v>
      </c>
      <c r="H2808" s="63">
        <f>F2808*G2808</f>
        <v>177660</v>
      </c>
      <c r="I2808" s="44"/>
      <c r="J2808" s="44"/>
      <c r="K2808" s="44"/>
    </row>
    <row r="2809" spans="3:15" s="59" customFormat="1" ht="21" customHeight="1">
      <c r="C2809" s="588">
        <v>3</v>
      </c>
      <c r="D2809" s="56" t="s">
        <v>18</v>
      </c>
      <c r="E2809" s="577" t="s">
        <v>6</v>
      </c>
      <c r="F2809" s="62">
        <v>0.13200000000000001</v>
      </c>
      <c r="G2809" s="63">
        <f>VLOOKUP(D2809,upahbahan,3,FALSE)</f>
        <v>150000</v>
      </c>
      <c r="H2809" s="63">
        <f>F2809*G2809</f>
        <v>19800</v>
      </c>
      <c r="I2809" s="44"/>
      <c r="J2809" s="44"/>
      <c r="K2809" s="44"/>
    </row>
    <row r="2810" spans="3:15" s="59" customFormat="1" ht="21" customHeight="1">
      <c r="C2810" s="588">
        <v>4</v>
      </c>
      <c r="D2810" s="56" t="s">
        <v>19</v>
      </c>
      <c r="E2810" s="577" t="s">
        <v>6</v>
      </c>
      <c r="F2810" s="62">
        <v>3.9E-2</v>
      </c>
      <c r="G2810" s="63">
        <f>VLOOKUP(D2810,upahbahan,3,FALSE)</f>
        <v>160000</v>
      </c>
      <c r="H2810" s="63">
        <f>F2810*G2810</f>
        <v>6240</v>
      </c>
      <c r="I2810" s="44"/>
      <c r="J2810" s="44"/>
      <c r="K2810" s="44"/>
    </row>
    <row r="2811" spans="3:15" s="59" customFormat="1" ht="21" customHeight="1">
      <c r="C2811" s="450" t="s">
        <v>1208</v>
      </c>
      <c r="D2811" s="67"/>
      <c r="E2811" s="67"/>
      <c r="F2811" s="142"/>
      <c r="G2811" s="153"/>
      <c r="H2811" s="63">
        <f>SUM(H2807:H2810)</f>
        <v>282500</v>
      </c>
      <c r="I2811" s="154"/>
      <c r="J2811" s="154"/>
      <c r="K2811" s="154"/>
    </row>
    <row r="2812" spans="3:15" s="59" customFormat="1" ht="21" customHeight="1">
      <c r="C2812" s="61" t="s">
        <v>1209</v>
      </c>
      <c r="D2812" s="56" t="s">
        <v>1210</v>
      </c>
      <c r="E2812" s="57"/>
      <c r="F2812" s="57"/>
      <c r="G2812" s="57"/>
      <c r="H2812" s="57"/>
      <c r="I2812" s="44"/>
      <c r="J2812" s="44"/>
      <c r="K2812" s="44"/>
    </row>
    <row r="2813" spans="3:15" s="59" customFormat="1" ht="21" customHeight="1">
      <c r="C2813" s="61">
        <v>1</v>
      </c>
      <c r="D2813" s="56" t="s">
        <v>4094</v>
      </c>
      <c r="E2813" s="93" t="s">
        <v>135</v>
      </c>
      <c r="F2813" s="104">
        <v>1.3</v>
      </c>
      <c r="G2813" s="63">
        <f>VLOOKUP(D2813,upahbahan,3,FALSE)</f>
        <v>873000</v>
      </c>
      <c r="H2813" s="586">
        <f>G2813*F2813</f>
        <v>1134900</v>
      </c>
      <c r="I2813" s="44"/>
      <c r="J2813" s="44"/>
      <c r="K2813" s="44"/>
    </row>
    <row r="2814" spans="3:15" s="59" customFormat="1" ht="21" customHeight="1">
      <c r="C2814" s="450" t="s">
        <v>1214</v>
      </c>
      <c r="D2814" s="67"/>
      <c r="E2814" s="67"/>
      <c r="F2814" s="67"/>
      <c r="G2814" s="69"/>
      <c r="H2814" s="63">
        <f>SUM(H2813:H2813)</f>
        <v>1134900</v>
      </c>
      <c r="I2814" s="44"/>
      <c r="J2814" s="44"/>
      <c r="K2814" s="44"/>
    </row>
    <row r="2815" spans="3:15" s="59" customFormat="1" ht="21" customHeight="1">
      <c r="C2815" s="61" t="s">
        <v>1215</v>
      </c>
      <c r="D2815" s="56" t="s">
        <v>1216</v>
      </c>
      <c r="E2815" s="57"/>
      <c r="F2815" s="57"/>
      <c r="G2815" s="57"/>
      <c r="H2815" s="57"/>
      <c r="I2815" s="44"/>
      <c r="J2815" s="44"/>
      <c r="K2815" s="44"/>
    </row>
    <row r="2816" spans="3:15" s="59" customFormat="1" ht="21" customHeight="1">
      <c r="C2816" s="450" t="s">
        <v>1217</v>
      </c>
      <c r="D2816" s="67"/>
      <c r="E2816" s="67"/>
      <c r="F2816" s="67"/>
      <c r="G2816" s="69"/>
      <c r="H2816" s="589">
        <v>0</v>
      </c>
      <c r="I2816" s="44"/>
      <c r="J2816" s="44"/>
      <c r="K2816" s="44"/>
    </row>
    <row r="2817" spans="3:15" s="59" customFormat="1" ht="21" customHeight="1">
      <c r="C2817" s="288" t="s">
        <v>1218</v>
      </c>
      <c r="D2817" s="76" t="s">
        <v>1219</v>
      </c>
      <c r="E2817" s="77"/>
      <c r="F2817" s="77"/>
      <c r="G2817" s="78"/>
      <c r="H2817" s="585">
        <f>H2816+H2814+H2811</f>
        <v>1417400</v>
      </c>
      <c r="I2817" s="369"/>
      <c r="J2817" s="44"/>
      <c r="K2817" s="44"/>
    </row>
    <row r="2818" spans="3:15" s="59" customFormat="1" ht="21" customHeight="1">
      <c r="C2818" s="288" t="s">
        <v>1220</v>
      </c>
      <c r="D2818" s="76" t="s">
        <v>1321</v>
      </c>
      <c r="E2818" s="77"/>
      <c r="F2818" s="78"/>
      <c r="G2818" s="80">
        <v>0.1</v>
      </c>
      <c r="H2818" s="63">
        <f>H2817*G2818</f>
        <v>141740</v>
      </c>
      <c r="I2818" s="369"/>
      <c r="J2818" s="44"/>
      <c r="K2818" s="44"/>
    </row>
    <row r="2819" spans="3:15" s="59" customFormat="1" ht="21" customHeight="1">
      <c r="C2819" s="288" t="s">
        <v>1221</v>
      </c>
      <c r="D2819" s="76" t="s">
        <v>1222</v>
      </c>
      <c r="E2819" s="77"/>
      <c r="F2819" s="77"/>
      <c r="G2819" s="78"/>
      <c r="H2819" s="799">
        <f>SUM(H2817:H2818)</f>
        <v>1559140</v>
      </c>
      <c r="I2819" s="369"/>
      <c r="J2819" s="44"/>
      <c r="K2819" s="44"/>
    </row>
    <row r="2820" spans="3:15" ht="21" customHeight="1"/>
    <row r="2821" spans="3:15" s="59" customFormat="1" ht="21" customHeight="1">
      <c r="C2821" s="147" t="s">
        <v>5373</v>
      </c>
      <c r="D2821" s="794" t="s">
        <v>4106</v>
      </c>
      <c r="E2821" s="795"/>
      <c r="F2821" s="795"/>
      <c r="G2821" s="795"/>
      <c r="H2821" s="795"/>
      <c r="I2821" s="50">
        <f>ROUNDDOWN(H2836,-2)</f>
        <v>1760500</v>
      </c>
      <c r="J2821" s="50"/>
      <c r="K2821" s="50"/>
    </row>
    <row r="2822" spans="3:15" s="59" customFormat="1" ht="21" customHeight="1">
      <c r="C2822" s="591" t="s">
        <v>1195</v>
      </c>
      <c r="D2822" s="591" t="s">
        <v>1196</v>
      </c>
      <c r="E2822" s="591" t="s">
        <v>1197</v>
      </c>
      <c r="F2822" s="591" t="s">
        <v>1198</v>
      </c>
      <c r="G2822" s="591" t="s">
        <v>1199</v>
      </c>
      <c r="H2822" s="591" t="s">
        <v>1200</v>
      </c>
      <c r="I2822" s="44"/>
      <c r="J2822" s="44"/>
      <c r="K2822" s="44"/>
    </row>
    <row r="2823" spans="3:15" s="59" customFormat="1" ht="21" customHeight="1">
      <c r="C2823" s="61" t="s">
        <v>1201</v>
      </c>
      <c r="D2823" s="56" t="s">
        <v>1202</v>
      </c>
      <c r="E2823" s="57"/>
      <c r="F2823" s="57"/>
      <c r="G2823" s="57"/>
      <c r="H2823" s="57"/>
      <c r="I2823" s="44"/>
      <c r="J2823" s="44"/>
      <c r="K2823" s="44"/>
      <c r="L2823" s="152" t="s">
        <v>1247</v>
      </c>
    </row>
    <row r="2824" spans="3:15" s="59" customFormat="1" ht="21" customHeight="1">
      <c r="C2824" s="588">
        <v>1</v>
      </c>
      <c r="D2824" s="56" t="s">
        <v>5</v>
      </c>
      <c r="E2824" s="577" t="s">
        <v>6</v>
      </c>
      <c r="F2824" s="62">
        <v>0.94499999999999995</v>
      </c>
      <c r="G2824" s="63">
        <f>VLOOKUP(D2824,upahbahan,3,FALSE)</f>
        <v>100000</v>
      </c>
      <c r="H2824" s="63">
        <f>F2824*G2824</f>
        <v>94500</v>
      </c>
      <c r="I2824" s="44"/>
      <c r="J2824" s="44"/>
      <c r="K2824" s="44"/>
      <c r="L2824" s="152" t="s">
        <v>1248</v>
      </c>
      <c r="O2824" s="65">
        <v>0.1</v>
      </c>
    </row>
    <row r="2825" spans="3:15" s="59" customFormat="1" ht="21" customHeight="1">
      <c r="C2825" s="588">
        <v>2</v>
      </c>
      <c r="D2825" s="56" t="s">
        <v>10</v>
      </c>
      <c r="E2825" s="577" t="s">
        <v>6</v>
      </c>
      <c r="F2825" s="62">
        <v>1.579</v>
      </c>
      <c r="G2825" s="63">
        <f>VLOOKUP(D2825,upahbahan,3,FALSE)</f>
        <v>135000</v>
      </c>
      <c r="H2825" s="63">
        <f>F2825*G2825</f>
        <v>213165</v>
      </c>
      <c r="I2825" s="44"/>
      <c r="J2825" s="44"/>
      <c r="K2825" s="44"/>
    </row>
    <row r="2826" spans="3:15" s="59" customFormat="1" ht="21" customHeight="1">
      <c r="C2826" s="588">
        <v>3</v>
      </c>
      <c r="D2826" s="56" t="s">
        <v>18</v>
      </c>
      <c r="E2826" s="577" t="s">
        <v>6</v>
      </c>
      <c r="F2826" s="62">
        <v>0.158</v>
      </c>
      <c r="G2826" s="63">
        <f>VLOOKUP(D2826,upahbahan,3,FALSE)</f>
        <v>150000</v>
      </c>
      <c r="H2826" s="63">
        <f>F2826*G2826</f>
        <v>23700</v>
      </c>
      <c r="I2826" s="44"/>
      <c r="J2826" s="44"/>
      <c r="K2826" s="44"/>
    </row>
    <row r="2827" spans="3:15" s="59" customFormat="1" ht="21" customHeight="1">
      <c r="C2827" s="588">
        <v>4</v>
      </c>
      <c r="D2827" s="56" t="s">
        <v>19</v>
      </c>
      <c r="E2827" s="577" t="s">
        <v>6</v>
      </c>
      <c r="F2827" s="62">
        <v>4.7E-2</v>
      </c>
      <c r="G2827" s="63">
        <f>VLOOKUP(D2827,upahbahan,3,FALSE)</f>
        <v>160000</v>
      </c>
      <c r="H2827" s="63">
        <f>F2827*G2827</f>
        <v>7520</v>
      </c>
      <c r="I2827" s="44"/>
      <c r="J2827" s="44"/>
      <c r="K2827" s="44"/>
    </row>
    <row r="2828" spans="3:15" s="59" customFormat="1" ht="21" customHeight="1">
      <c r="C2828" s="450" t="s">
        <v>1208</v>
      </c>
      <c r="D2828" s="67"/>
      <c r="E2828" s="67"/>
      <c r="F2828" s="142"/>
      <c r="G2828" s="153"/>
      <c r="H2828" s="63">
        <f>SUM(H2824:H2827)</f>
        <v>338885</v>
      </c>
      <c r="I2828" s="154"/>
      <c r="J2828" s="154"/>
      <c r="K2828" s="154"/>
    </row>
    <row r="2829" spans="3:15" s="59" customFormat="1" ht="21" customHeight="1">
      <c r="C2829" s="61" t="s">
        <v>1209</v>
      </c>
      <c r="D2829" s="56" t="s">
        <v>1210</v>
      </c>
      <c r="E2829" s="57"/>
      <c r="F2829" s="57"/>
      <c r="G2829" s="57"/>
      <c r="H2829" s="57"/>
      <c r="I2829" s="44"/>
      <c r="J2829" s="44"/>
      <c r="K2829" s="44"/>
    </row>
    <row r="2830" spans="3:15" s="59" customFormat="1" ht="21" customHeight="1">
      <c r="C2830" s="61">
        <v>1</v>
      </c>
      <c r="D2830" s="56" t="s">
        <v>4095</v>
      </c>
      <c r="E2830" s="93" t="s">
        <v>135</v>
      </c>
      <c r="F2830" s="104">
        <v>1.3</v>
      </c>
      <c r="G2830" s="63">
        <f>VLOOKUP(D2830,upahbahan,3,FALSE)</f>
        <v>970500</v>
      </c>
      <c r="H2830" s="586">
        <f>G2830*F2830</f>
        <v>1261650</v>
      </c>
      <c r="I2830" s="44"/>
      <c r="J2830" s="44"/>
      <c r="K2830" s="44"/>
    </row>
    <row r="2831" spans="3:15" s="59" customFormat="1" ht="21" customHeight="1">
      <c r="C2831" s="450" t="s">
        <v>1214</v>
      </c>
      <c r="D2831" s="67"/>
      <c r="E2831" s="67"/>
      <c r="F2831" s="67"/>
      <c r="G2831" s="69"/>
      <c r="H2831" s="63">
        <f>SUM(H2830:H2830)</f>
        <v>1261650</v>
      </c>
      <c r="I2831" s="44"/>
      <c r="J2831" s="44"/>
      <c r="K2831" s="44"/>
    </row>
    <row r="2832" spans="3:15" s="59" customFormat="1" ht="21" customHeight="1">
      <c r="C2832" s="61" t="s">
        <v>1215</v>
      </c>
      <c r="D2832" s="56" t="s">
        <v>1216</v>
      </c>
      <c r="E2832" s="57"/>
      <c r="F2832" s="57"/>
      <c r="G2832" s="57"/>
      <c r="H2832" s="57"/>
      <c r="I2832" s="44"/>
      <c r="J2832" s="44"/>
      <c r="K2832" s="44"/>
    </row>
    <row r="2833" spans="3:15" s="59" customFormat="1" ht="21" customHeight="1">
      <c r="C2833" s="450" t="s">
        <v>1217</v>
      </c>
      <c r="D2833" s="67"/>
      <c r="E2833" s="67"/>
      <c r="F2833" s="67"/>
      <c r="G2833" s="69"/>
      <c r="H2833" s="589">
        <v>0</v>
      </c>
      <c r="I2833" s="44"/>
      <c r="J2833" s="44"/>
      <c r="K2833" s="44"/>
    </row>
    <row r="2834" spans="3:15" s="59" customFormat="1" ht="21" customHeight="1">
      <c r="C2834" s="288" t="s">
        <v>1218</v>
      </c>
      <c r="D2834" s="76" t="s">
        <v>1219</v>
      </c>
      <c r="E2834" s="77"/>
      <c r="F2834" s="77"/>
      <c r="G2834" s="78"/>
      <c r="H2834" s="585">
        <f>H2833+H2831+H2828</f>
        <v>1600535</v>
      </c>
      <c r="I2834" s="369"/>
      <c r="J2834" s="44"/>
      <c r="K2834" s="44"/>
    </row>
    <row r="2835" spans="3:15" s="59" customFormat="1" ht="21" customHeight="1">
      <c r="C2835" s="288" t="s">
        <v>1220</v>
      </c>
      <c r="D2835" s="76" t="s">
        <v>1321</v>
      </c>
      <c r="E2835" s="77"/>
      <c r="F2835" s="78"/>
      <c r="G2835" s="80">
        <v>0.1</v>
      </c>
      <c r="H2835" s="63">
        <f>H2834*G2835</f>
        <v>160053.5</v>
      </c>
      <c r="I2835" s="369"/>
      <c r="J2835" s="44"/>
      <c r="K2835" s="44"/>
    </row>
    <row r="2836" spans="3:15" s="59" customFormat="1" ht="21" customHeight="1">
      <c r="C2836" s="288" t="s">
        <v>1221</v>
      </c>
      <c r="D2836" s="76" t="s">
        <v>1222</v>
      </c>
      <c r="E2836" s="77"/>
      <c r="F2836" s="77"/>
      <c r="G2836" s="78"/>
      <c r="H2836" s="799">
        <f>SUM(H2834:H2835)</f>
        <v>1760588.5</v>
      </c>
      <c r="I2836" s="369"/>
      <c r="J2836" s="44"/>
      <c r="K2836" s="44"/>
    </row>
    <row r="2837" spans="3:15" ht="21" customHeight="1"/>
    <row r="2838" spans="3:15" s="59" customFormat="1" ht="21" customHeight="1">
      <c r="C2838" s="147" t="s">
        <v>5375</v>
      </c>
      <c r="D2838" s="794" t="s">
        <v>4107</v>
      </c>
      <c r="E2838" s="795"/>
      <c r="F2838" s="795"/>
      <c r="G2838" s="795"/>
      <c r="H2838" s="795"/>
      <c r="I2838" s="50">
        <f>ROUNDDOWN(H2853,-2)</f>
        <v>2298400</v>
      </c>
      <c r="J2838" s="50"/>
      <c r="K2838" s="50"/>
    </row>
    <row r="2839" spans="3:15" s="59" customFormat="1" ht="21" customHeight="1">
      <c r="C2839" s="591" t="s">
        <v>1195</v>
      </c>
      <c r="D2839" s="591" t="s">
        <v>1196</v>
      </c>
      <c r="E2839" s="591" t="s">
        <v>1197</v>
      </c>
      <c r="F2839" s="591" t="s">
        <v>1198</v>
      </c>
      <c r="G2839" s="591" t="s">
        <v>1199</v>
      </c>
      <c r="H2839" s="591" t="s">
        <v>1200</v>
      </c>
      <c r="I2839" s="44"/>
      <c r="J2839" s="44"/>
      <c r="K2839" s="44"/>
    </row>
    <row r="2840" spans="3:15" s="59" customFormat="1" ht="21" customHeight="1">
      <c r="C2840" s="61" t="s">
        <v>1201</v>
      </c>
      <c r="D2840" s="56" t="s">
        <v>1202</v>
      </c>
      <c r="E2840" s="57"/>
      <c r="F2840" s="57"/>
      <c r="G2840" s="57"/>
      <c r="H2840" s="57"/>
      <c r="I2840" s="44"/>
      <c r="J2840" s="44"/>
      <c r="K2840" s="44"/>
      <c r="L2840" s="152" t="s">
        <v>1247</v>
      </c>
    </row>
    <row r="2841" spans="3:15" s="59" customFormat="1" ht="21" customHeight="1">
      <c r="C2841" s="588">
        <v>1</v>
      </c>
      <c r="D2841" s="56" t="s">
        <v>5</v>
      </c>
      <c r="E2841" s="577" t="s">
        <v>6</v>
      </c>
      <c r="F2841" s="62">
        <v>1.26</v>
      </c>
      <c r="G2841" s="63">
        <f>VLOOKUP(D2841,upahbahan,3,FALSE)</f>
        <v>100000</v>
      </c>
      <c r="H2841" s="63">
        <f>F2841*G2841</f>
        <v>126000</v>
      </c>
      <c r="I2841" s="44"/>
      <c r="J2841" s="44"/>
      <c r="K2841" s="44"/>
      <c r="L2841" s="152" t="s">
        <v>1248</v>
      </c>
      <c r="O2841" s="65">
        <v>0.1</v>
      </c>
    </row>
    <row r="2842" spans="3:15" s="59" customFormat="1" ht="21" customHeight="1">
      <c r="C2842" s="588">
        <v>2</v>
      </c>
      <c r="D2842" s="56" t="s">
        <v>10</v>
      </c>
      <c r="E2842" s="577" t="s">
        <v>6</v>
      </c>
      <c r="F2842" s="62">
        <v>2.1030000000000002</v>
      </c>
      <c r="G2842" s="63">
        <f>VLOOKUP(D2842,upahbahan,3,FALSE)</f>
        <v>135000</v>
      </c>
      <c r="H2842" s="63">
        <f>F2842*G2842</f>
        <v>283905</v>
      </c>
      <c r="I2842" s="44"/>
      <c r="J2842" s="44"/>
      <c r="K2842" s="44"/>
    </row>
    <row r="2843" spans="3:15" s="59" customFormat="1" ht="21" customHeight="1">
      <c r="C2843" s="588">
        <v>3</v>
      </c>
      <c r="D2843" s="56" t="s">
        <v>18</v>
      </c>
      <c r="E2843" s="577" t="s">
        <v>6</v>
      </c>
      <c r="F2843" s="62">
        <v>0.21</v>
      </c>
      <c r="G2843" s="63">
        <f>VLOOKUP(D2843,upahbahan,3,FALSE)</f>
        <v>150000</v>
      </c>
      <c r="H2843" s="63">
        <f>F2843*G2843</f>
        <v>31500</v>
      </c>
      <c r="I2843" s="44"/>
      <c r="J2843" s="44"/>
      <c r="K2843" s="44"/>
    </row>
    <row r="2844" spans="3:15" s="59" customFormat="1" ht="21" customHeight="1">
      <c r="C2844" s="588">
        <v>4</v>
      </c>
      <c r="D2844" s="56" t="s">
        <v>19</v>
      </c>
      <c r="E2844" s="577" t="s">
        <v>6</v>
      </c>
      <c r="F2844" s="62">
        <v>6.3E-2</v>
      </c>
      <c r="G2844" s="63">
        <f>VLOOKUP(D2844,upahbahan,3,FALSE)</f>
        <v>160000</v>
      </c>
      <c r="H2844" s="63">
        <f>F2844*G2844</f>
        <v>10080</v>
      </c>
      <c r="I2844" s="44"/>
      <c r="J2844" s="44"/>
      <c r="K2844" s="44"/>
    </row>
    <row r="2845" spans="3:15" s="59" customFormat="1" ht="21" customHeight="1">
      <c r="C2845" s="450" t="s">
        <v>1208</v>
      </c>
      <c r="D2845" s="67"/>
      <c r="E2845" s="67"/>
      <c r="F2845" s="142"/>
      <c r="G2845" s="153"/>
      <c r="H2845" s="63">
        <f>SUM(H2841:H2844)</f>
        <v>451485</v>
      </c>
      <c r="I2845" s="154"/>
      <c r="J2845" s="154"/>
      <c r="K2845" s="154"/>
    </row>
    <row r="2846" spans="3:15" s="59" customFormat="1" ht="21" customHeight="1">
      <c r="C2846" s="61" t="s">
        <v>1209</v>
      </c>
      <c r="D2846" s="56" t="s">
        <v>1210</v>
      </c>
      <c r="E2846" s="57"/>
      <c r="F2846" s="57"/>
      <c r="G2846" s="57"/>
      <c r="H2846" s="57"/>
      <c r="I2846" s="44"/>
      <c r="J2846" s="44"/>
      <c r="K2846" s="44"/>
    </row>
    <row r="2847" spans="3:15" s="59" customFormat="1" ht="21" customHeight="1">
      <c r="C2847" s="61">
        <v>1</v>
      </c>
      <c r="D2847" s="56" t="s">
        <v>4097</v>
      </c>
      <c r="E2847" s="93" t="s">
        <v>135</v>
      </c>
      <c r="F2847" s="104">
        <v>1.3</v>
      </c>
      <c r="G2847" s="63">
        <f>VLOOKUP(D2847,upahbahan,3,FALSE)</f>
        <v>1260000</v>
      </c>
      <c r="H2847" s="586">
        <f>G2847*F2847</f>
        <v>1638000</v>
      </c>
      <c r="I2847" s="44"/>
      <c r="J2847" s="44"/>
      <c r="K2847" s="44"/>
    </row>
    <row r="2848" spans="3:15" s="59" customFormat="1" ht="21" customHeight="1">
      <c r="C2848" s="450" t="s">
        <v>1214</v>
      </c>
      <c r="D2848" s="67"/>
      <c r="E2848" s="67"/>
      <c r="F2848" s="67"/>
      <c r="G2848" s="69"/>
      <c r="H2848" s="63">
        <f>SUM(H2847:H2847)</f>
        <v>1638000</v>
      </c>
      <c r="I2848" s="44"/>
      <c r="J2848" s="44"/>
      <c r="K2848" s="44"/>
    </row>
    <row r="2849" spans="3:15" s="59" customFormat="1" ht="21" customHeight="1">
      <c r="C2849" s="61" t="s">
        <v>1215</v>
      </c>
      <c r="D2849" s="56" t="s">
        <v>1216</v>
      </c>
      <c r="E2849" s="57"/>
      <c r="F2849" s="57"/>
      <c r="G2849" s="57"/>
      <c r="H2849" s="57"/>
      <c r="I2849" s="44"/>
      <c r="J2849" s="44"/>
      <c r="K2849" s="44"/>
    </row>
    <row r="2850" spans="3:15" s="59" customFormat="1" ht="21" customHeight="1">
      <c r="C2850" s="450" t="s">
        <v>1217</v>
      </c>
      <c r="D2850" s="67"/>
      <c r="E2850" s="67"/>
      <c r="F2850" s="67"/>
      <c r="G2850" s="69"/>
      <c r="H2850" s="589">
        <v>0</v>
      </c>
      <c r="I2850" s="44"/>
      <c r="J2850" s="44"/>
      <c r="K2850" s="44"/>
    </row>
    <row r="2851" spans="3:15" s="59" customFormat="1" ht="21" customHeight="1">
      <c r="C2851" s="288" t="s">
        <v>1218</v>
      </c>
      <c r="D2851" s="76" t="s">
        <v>1219</v>
      </c>
      <c r="E2851" s="77"/>
      <c r="F2851" s="77"/>
      <c r="G2851" s="78"/>
      <c r="H2851" s="585">
        <f>H2850+H2848+H2845</f>
        <v>2089485</v>
      </c>
      <c r="I2851" s="369"/>
      <c r="J2851" s="44"/>
      <c r="K2851" s="44"/>
    </row>
    <row r="2852" spans="3:15" s="59" customFormat="1" ht="21" customHeight="1">
      <c r="C2852" s="288" t="s">
        <v>1220</v>
      </c>
      <c r="D2852" s="76" t="s">
        <v>1321</v>
      </c>
      <c r="E2852" s="77"/>
      <c r="F2852" s="78"/>
      <c r="G2852" s="80">
        <v>0.1</v>
      </c>
      <c r="H2852" s="63">
        <f>H2851*G2852</f>
        <v>208948.5</v>
      </c>
      <c r="I2852" s="369"/>
      <c r="J2852" s="44"/>
      <c r="K2852" s="44"/>
    </row>
    <row r="2853" spans="3:15" s="59" customFormat="1" ht="21" customHeight="1">
      <c r="C2853" s="288" t="s">
        <v>1221</v>
      </c>
      <c r="D2853" s="76" t="s">
        <v>1222</v>
      </c>
      <c r="E2853" s="77"/>
      <c r="F2853" s="77"/>
      <c r="G2853" s="78"/>
      <c r="H2853" s="799">
        <f>SUM(H2851:H2852)</f>
        <v>2298433.5</v>
      </c>
      <c r="I2853" s="369"/>
      <c r="J2853" s="44"/>
      <c r="K2853" s="44"/>
    </row>
    <row r="2854" spans="3:15" ht="21" customHeight="1"/>
    <row r="2855" spans="3:15" ht="21" customHeight="1"/>
    <row r="2856" spans="3:15" s="59" customFormat="1" ht="21" customHeight="1">
      <c r="C2856" s="147" t="s">
        <v>5376</v>
      </c>
      <c r="D2856" s="794" t="s">
        <v>4108</v>
      </c>
      <c r="E2856" s="795"/>
      <c r="F2856" s="795"/>
      <c r="G2856" s="795"/>
      <c r="H2856" s="795"/>
      <c r="I2856" s="50">
        <f>ROUNDDOWN(H2871,-2)</f>
        <v>2822800</v>
      </c>
      <c r="J2856" s="50"/>
      <c r="K2856" s="50"/>
    </row>
    <row r="2857" spans="3:15" s="59" customFormat="1" ht="21" customHeight="1">
      <c r="C2857" s="591" t="s">
        <v>1195</v>
      </c>
      <c r="D2857" s="591" t="s">
        <v>1196</v>
      </c>
      <c r="E2857" s="591" t="s">
        <v>1197</v>
      </c>
      <c r="F2857" s="591" t="s">
        <v>1198</v>
      </c>
      <c r="G2857" s="591" t="s">
        <v>1199</v>
      </c>
      <c r="H2857" s="591" t="s">
        <v>1200</v>
      </c>
      <c r="I2857" s="44"/>
      <c r="J2857" s="44"/>
      <c r="K2857" s="44"/>
    </row>
    <row r="2858" spans="3:15" s="59" customFormat="1" ht="21" customHeight="1">
      <c r="C2858" s="61" t="s">
        <v>1201</v>
      </c>
      <c r="D2858" s="56" t="s">
        <v>1202</v>
      </c>
      <c r="E2858" s="57"/>
      <c r="F2858" s="57"/>
      <c r="G2858" s="57"/>
      <c r="H2858" s="57"/>
      <c r="I2858" s="44"/>
      <c r="J2858" s="44"/>
      <c r="K2858" s="44"/>
      <c r="L2858" s="152" t="s">
        <v>1247</v>
      </c>
    </row>
    <row r="2859" spans="3:15" s="59" customFormat="1" ht="21" customHeight="1">
      <c r="C2859" s="588">
        <v>1</v>
      </c>
      <c r="D2859" s="56" t="s">
        <v>5</v>
      </c>
      <c r="E2859" s="577" t="s">
        <v>6</v>
      </c>
      <c r="F2859" s="62">
        <v>1.5740000000000001</v>
      </c>
      <c r="G2859" s="63">
        <f>VLOOKUP(D2859,upahbahan,3,FALSE)</f>
        <v>100000</v>
      </c>
      <c r="H2859" s="63">
        <f>F2859*G2859</f>
        <v>157400</v>
      </c>
      <c r="I2859" s="44"/>
      <c r="J2859" s="44"/>
      <c r="K2859" s="44"/>
      <c r="L2859" s="152" t="s">
        <v>1248</v>
      </c>
      <c r="O2859" s="65">
        <v>0.1</v>
      </c>
    </row>
    <row r="2860" spans="3:15" s="59" customFormat="1" ht="21" customHeight="1">
      <c r="C2860" s="588">
        <v>2</v>
      </c>
      <c r="D2860" s="56" t="s">
        <v>10</v>
      </c>
      <c r="E2860" s="577" t="s">
        <v>6</v>
      </c>
      <c r="F2860" s="62">
        <v>2.6280000000000001</v>
      </c>
      <c r="G2860" s="63">
        <f>VLOOKUP(D2860,upahbahan,3,FALSE)</f>
        <v>135000</v>
      </c>
      <c r="H2860" s="63">
        <f>F2860*G2860</f>
        <v>354780</v>
      </c>
      <c r="I2860" s="44"/>
      <c r="J2860" s="44"/>
      <c r="K2860" s="44"/>
    </row>
    <row r="2861" spans="3:15" s="59" customFormat="1" ht="21" customHeight="1">
      <c r="C2861" s="588">
        <v>3</v>
      </c>
      <c r="D2861" s="56" t="s">
        <v>18</v>
      </c>
      <c r="E2861" s="577" t="s">
        <v>6</v>
      </c>
      <c r="F2861" s="62">
        <v>0.26300000000000001</v>
      </c>
      <c r="G2861" s="63">
        <f>VLOOKUP(D2861,upahbahan,3,FALSE)</f>
        <v>150000</v>
      </c>
      <c r="H2861" s="63">
        <f>F2861*G2861</f>
        <v>39450</v>
      </c>
      <c r="I2861" s="44"/>
      <c r="J2861" s="44"/>
      <c r="K2861" s="44"/>
    </row>
    <row r="2862" spans="3:15" s="59" customFormat="1" ht="21" customHeight="1">
      <c r="C2862" s="588">
        <v>4</v>
      </c>
      <c r="D2862" s="56" t="s">
        <v>19</v>
      </c>
      <c r="E2862" s="577" t="s">
        <v>6</v>
      </c>
      <c r="F2862" s="62">
        <v>7.9000000000000001E-2</v>
      </c>
      <c r="G2862" s="63">
        <f>VLOOKUP(D2862,upahbahan,3,FALSE)</f>
        <v>160000</v>
      </c>
      <c r="H2862" s="63">
        <f>F2862*G2862</f>
        <v>12640</v>
      </c>
      <c r="I2862" s="44"/>
      <c r="J2862" s="44"/>
      <c r="K2862" s="44"/>
    </row>
    <row r="2863" spans="3:15" s="59" customFormat="1" ht="21" customHeight="1">
      <c r="C2863" s="450" t="s">
        <v>1208</v>
      </c>
      <c r="D2863" s="67"/>
      <c r="E2863" s="67"/>
      <c r="F2863" s="142"/>
      <c r="G2863" s="153"/>
      <c r="H2863" s="63">
        <f>SUM(H2859:H2862)</f>
        <v>564270</v>
      </c>
      <c r="I2863" s="154"/>
      <c r="J2863" s="154"/>
      <c r="K2863" s="154"/>
    </row>
    <row r="2864" spans="3:15" s="59" customFormat="1" ht="21" customHeight="1">
      <c r="C2864" s="61" t="s">
        <v>1209</v>
      </c>
      <c r="D2864" s="56" t="s">
        <v>1210</v>
      </c>
      <c r="E2864" s="57"/>
      <c r="F2864" s="57"/>
      <c r="G2864" s="57"/>
      <c r="H2864" s="57"/>
      <c r="I2864" s="44"/>
      <c r="J2864" s="44"/>
      <c r="K2864" s="44"/>
    </row>
    <row r="2865" spans="3:15" s="59" customFormat="1" ht="21" customHeight="1">
      <c r="C2865" s="61">
        <v>1</v>
      </c>
      <c r="D2865" s="56" t="s">
        <v>4096</v>
      </c>
      <c r="E2865" s="93" t="s">
        <v>135</v>
      </c>
      <c r="F2865" s="104">
        <v>1.3</v>
      </c>
      <c r="G2865" s="63">
        <f>VLOOKUP(D2865,upahbahan,3,FALSE)</f>
        <v>1540000</v>
      </c>
      <c r="H2865" s="586">
        <f>G2865*F2865</f>
        <v>2002000</v>
      </c>
      <c r="I2865" s="44"/>
      <c r="J2865" s="44"/>
      <c r="K2865" s="44"/>
    </row>
    <row r="2866" spans="3:15" s="59" customFormat="1" ht="21" customHeight="1">
      <c r="C2866" s="450" t="s">
        <v>1214</v>
      </c>
      <c r="D2866" s="67"/>
      <c r="E2866" s="67"/>
      <c r="F2866" s="67"/>
      <c r="G2866" s="69"/>
      <c r="H2866" s="63">
        <f>SUM(H2865:H2865)</f>
        <v>2002000</v>
      </c>
      <c r="I2866" s="44"/>
      <c r="J2866" s="44"/>
      <c r="K2866" s="44"/>
    </row>
    <row r="2867" spans="3:15" s="59" customFormat="1" ht="21" customHeight="1">
      <c r="C2867" s="61" t="s">
        <v>1215</v>
      </c>
      <c r="D2867" s="56" t="s">
        <v>1216</v>
      </c>
      <c r="E2867" s="57"/>
      <c r="F2867" s="57"/>
      <c r="G2867" s="57"/>
      <c r="H2867" s="57"/>
      <c r="I2867" s="44"/>
      <c r="J2867" s="44"/>
      <c r="K2867" s="44"/>
    </row>
    <row r="2868" spans="3:15" s="59" customFormat="1" ht="21" customHeight="1">
      <c r="C2868" s="450" t="s">
        <v>1217</v>
      </c>
      <c r="D2868" s="67"/>
      <c r="E2868" s="67"/>
      <c r="F2868" s="67"/>
      <c r="G2868" s="69"/>
      <c r="H2868" s="589">
        <v>0</v>
      </c>
      <c r="I2868" s="44"/>
      <c r="J2868" s="44"/>
      <c r="K2868" s="44"/>
    </row>
    <row r="2869" spans="3:15" s="59" customFormat="1" ht="21" customHeight="1">
      <c r="C2869" s="288" t="s">
        <v>1218</v>
      </c>
      <c r="D2869" s="76" t="s">
        <v>1219</v>
      </c>
      <c r="E2869" s="77"/>
      <c r="F2869" s="77"/>
      <c r="G2869" s="78"/>
      <c r="H2869" s="585">
        <f>H2868+H2866+H2863</f>
        <v>2566270</v>
      </c>
      <c r="I2869" s="369"/>
      <c r="J2869" s="44"/>
      <c r="K2869" s="44"/>
    </row>
    <row r="2870" spans="3:15" s="59" customFormat="1" ht="21" customHeight="1">
      <c r="C2870" s="288" t="s">
        <v>1220</v>
      </c>
      <c r="D2870" s="76" t="s">
        <v>1321</v>
      </c>
      <c r="E2870" s="77"/>
      <c r="F2870" s="78"/>
      <c r="G2870" s="80">
        <v>0.1</v>
      </c>
      <c r="H2870" s="63">
        <f>H2869*G2870</f>
        <v>256627</v>
      </c>
      <c r="I2870" s="369"/>
      <c r="J2870" s="44"/>
      <c r="K2870" s="44"/>
    </row>
    <row r="2871" spans="3:15" s="59" customFormat="1" ht="21" customHeight="1">
      <c r="C2871" s="288" t="s">
        <v>1221</v>
      </c>
      <c r="D2871" s="76" t="s">
        <v>1222</v>
      </c>
      <c r="E2871" s="77"/>
      <c r="F2871" s="77"/>
      <c r="G2871" s="78"/>
      <c r="H2871" s="799">
        <f>SUM(H2869:H2870)</f>
        <v>2822897</v>
      </c>
      <c r="I2871" s="369"/>
      <c r="J2871" s="44"/>
      <c r="K2871" s="44"/>
    </row>
    <row r="2872" spans="3:15" ht="21" customHeight="1"/>
    <row r="2873" spans="3:15" s="59" customFormat="1" ht="21" customHeight="1">
      <c r="C2873" s="147" t="s">
        <v>5377</v>
      </c>
      <c r="D2873" s="794" t="s">
        <v>4109</v>
      </c>
      <c r="E2873" s="795"/>
      <c r="F2873" s="795"/>
      <c r="G2873" s="795"/>
      <c r="H2873" s="795"/>
      <c r="I2873" s="50">
        <f>ROUNDDOWN(H2888,-2)</f>
        <v>3131700</v>
      </c>
      <c r="J2873" s="50"/>
      <c r="K2873" s="50"/>
    </row>
    <row r="2874" spans="3:15" s="59" customFormat="1" ht="21" customHeight="1">
      <c r="C2874" s="591" t="s">
        <v>1195</v>
      </c>
      <c r="D2874" s="591" t="s">
        <v>1196</v>
      </c>
      <c r="E2874" s="591" t="s">
        <v>1197</v>
      </c>
      <c r="F2874" s="591" t="s">
        <v>1198</v>
      </c>
      <c r="G2874" s="591" t="s">
        <v>1199</v>
      </c>
      <c r="H2874" s="591" t="s">
        <v>1200</v>
      </c>
      <c r="I2874" s="44"/>
      <c r="J2874" s="44"/>
      <c r="K2874" s="44"/>
    </row>
    <row r="2875" spans="3:15" s="59" customFormat="1" ht="21" customHeight="1">
      <c r="C2875" s="61" t="s">
        <v>1201</v>
      </c>
      <c r="D2875" s="56" t="s">
        <v>1202</v>
      </c>
      <c r="E2875" s="57"/>
      <c r="F2875" s="57"/>
      <c r="G2875" s="57"/>
      <c r="H2875" s="57"/>
      <c r="I2875" s="44"/>
      <c r="J2875" s="44"/>
      <c r="K2875" s="44"/>
      <c r="L2875" s="152" t="s">
        <v>1247</v>
      </c>
    </row>
    <row r="2876" spans="3:15" s="59" customFormat="1" ht="21" customHeight="1">
      <c r="C2876" s="588">
        <v>1</v>
      </c>
      <c r="D2876" s="56" t="s">
        <v>5</v>
      </c>
      <c r="E2876" s="577" t="s">
        <v>6</v>
      </c>
      <c r="F2876" s="62">
        <v>1.8859999999999999</v>
      </c>
      <c r="G2876" s="63">
        <f>VLOOKUP(D2876,upahbahan,3,FALSE)</f>
        <v>100000</v>
      </c>
      <c r="H2876" s="63">
        <f>F2876*G2876</f>
        <v>188600</v>
      </c>
      <c r="I2876" s="44"/>
      <c r="J2876" s="44"/>
      <c r="K2876" s="44"/>
      <c r="L2876" s="152" t="s">
        <v>1248</v>
      </c>
      <c r="O2876" s="65">
        <v>0.1</v>
      </c>
    </row>
    <row r="2877" spans="3:15" s="59" customFormat="1" ht="21" customHeight="1">
      <c r="C2877" s="588">
        <v>2</v>
      </c>
      <c r="D2877" s="56" t="s">
        <v>10</v>
      </c>
      <c r="E2877" s="577" t="s">
        <v>6</v>
      </c>
      <c r="F2877" s="62">
        <v>3.149</v>
      </c>
      <c r="G2877" s="63">
        <f>VLOOKUP(D2877,upahbahan,3,FALSE)</f>
        <v>135000</v>
      </c>
      <c r="H2877" s="63">
        <f>F2877*G2877</f>
        <v>425115</v>
      </c>
      <c r="I2877" s="44"/>
      <c r="J2877" s="44"/>
      <c r="K2877" s="44"/>
    </row>
    <row r="2878" spans="3:15" s="59" customFormat="1" ht="21" customHeight="1">
      <c r="C2878" s="588">
        <v>3</v>
      </c>
      <c r="D2878" s="56" t="s">
        <v>18</v>
      </c>
      <c r="E2878" s="577" t="s">
        <v>6</v>
      </c>
      <c r="F2878" s="62">
        <v>0.315</v>
      </c>
      <c r="G2878" s="63">
        <f>VLOOKUP(D2878,upahbahan,3,FALSE)</f>
        <v>150000</v>
      </c>
      <c r="H2878" s="63">
        <f>F2878*G2878</f>
        <v>47250</v>
      </c>
      <c r="I2878" s="44"/>
      <c r="J2878" s="44"/>
      <c r="K2878" s="44"/>
    </row>
    <row r="2879" spans="3:15" s="59" customFormat="1" ht="21" customHeight="1">
      <c r="C2879" s="588">
        <v>4</v>
      </c>
      <c r="D2879" s="56" t="s">
        <v>19</v>
      </c>
      <c r="E2879" s="577" t="s">
        <v>6</v>
      </c>
      <c r="F2879" s="62">
        <v>9.4E-2</v>
      </c>
      <c r="G2879" s="63">
        <f>VLOOKUP(D2879,upahbahan,3,FALSE)</f>
        <v>160000</v>
      </c>
      <c r="H2879" s="63">
        <f>F2879*G2879</f>
        <v>15040</v>
      </c>
      <c r="I2879" s="44"/>
      <c r="J2879" s="44"/>
      <c r="K2879" s="44"/>
    </row>
    <row r="2880" spans="3:15" s="59" customFormat="1" ht="21" customHeight="1">
      <c r="C2880" s="450" t="s">
        <v>1208</v>
      </c>
      <c r="D2880" s="67"/>
      <c r="E2880" s="67"/>
      <c r="F2880" s="142"/>
      <c r="G2880" s="153"/>
      <c r="H2880" s="63">
        <f>SUM(H2876:H2879)</f>
        <v>676005</v>
      </c>
      <c r="I2880" s="154"/>
      <c r="J2880" s="154"/>
      <c r="K2880" s="154"/>
    </row>
    <row r="2881" spans="3:15" s="59" customFormat="1" ht="21" customHeight="1">
      <c r="C2881" s="61" t="s">
        <v>1209</v>
      </c>
      <c r="D2881" s="56" t="s">
        <v>1210</v>
      </c>
      <c r="E2881" s="57"/>
      <c r="F2881" s="57"/>
      <c r="G2881" s="57"/>
      <c r="H2881" s="57"/>
      <c r="I2881" s="44"/>
      <c r="J2881" s="44"/>
      <c r="K2881" s="44"/>
    </row>
    <row r="2882" spans="3:15" s="59" customFormat="1" ht="21" customHeight="1">
      <c r="C2882" s="61">
        <v>1</v>
      </c>
      <c r="D2882" s="56" t="s">
        <v>4098</v>
      </c>
      <c r="E2882" s="93" t="s">
        <v>135</v>
      </c>
      <c r="F2882" s="104">
        <v>1.3</v>
      </c>
      <c r="G2882" s="63">
        <f>VLOOKUP(D2882,upahbahan,3,FALSE)</f>
        <v>1670000</v>
      </c>
      <c r="H2882" s="586">
        <f>G2882*F2882</f>
        <v>2171000</v>
      </c>
      <c r="I2882" s="44"/>
      <c r="J2882" s="44"/>
      <c r="K2882" s="44"/>
    </row>
    <row r="2883" spans="3:15" s="59" customFormat="1" ht="21" customHeight="1">
      <c r="C2883" s="450" t="s">
        <v>1214</v>
      </c>
      <c r="D2883" s="67"/>
      <c r="E2883" s="67"/>
      <c r="F2883" s="67"/>
      <c r="G2883" s="69"/>
      <c r="H2883" s="63">
        <f>SUM(H2882:H2882)</f>
        <v>2171000</v>
      </c>
      <c r="I2883" s="44"/>
      <c r="J2883" s="44"/>
      <c r="K2883" s="44"/>
    </row>
    <row r="2884" spans="3:15" s="59" customFormat="1" ht="21" customHeight="1">
      <c r="C2884" s="61" t="s">
        <v>1215</v>
      </c>
      <c r="D2884" s="56" t="s">
        <v>1216</v>
      </c>
      <c r="E2884" s="57"/>
      <c r="F2884" s="57"/>
      <c r="G2884" s="57"/>
      <c r="H2884" s="57"/>
      <c r="I2884" s="44"/>
      <c r="J2884" s="44"/>
      <c r="K2884" s="44"/>
    </row>
    <row r="2885" spans="3:15" s="59" customFormat="1" ht="21" customHeight="1">
      <c r="C2885" s="450" t="s">
        <v>1217</v>
      </c>
      <c r="D2885" s="67"/>
      <c r="E2885" s="67"/>
      <c r="F2885" s="67"/>
      <c r="G2885" s="69"/>
      <c r="H2885" s="589">
        <v>0</v>
      </c>
      <c r="I2885" s="44"/>
      <c r="J2885" s="44"/>
      <c r="K2885" s="44"/>
    </row>
    <row r="2886" spans="3:15" s="59" customFormat="1" ht="21" customHeight="1">
      <c r="C2886" s="288" t="s">
        <v>1218</v>
      </c>
      <c r="D2886" s="76" t="s">
        <v>1219</v>
      </c>
      <c r="E2886" s="77"/>
      <c r="F2886" s="77"/>
      <c r="G2886" s="78"/>
      <c r="H2886" s="585">
        <f>H2885+H2883+H2880</f>
        <v>2847005</v>
      </c>
      <c r="I2886" s="369"/>
      <c r="J2886" s="44"/>
      <c r="K2886" s="44"/>
    </row>
    <row r="2887" spans="3:15" s="59" customFormat="1" ht="21" customHeight="1">
      <c r="C2887" s="288" t="s">
        <v>1220</v>
      </c>
      <c r="D2887" s="76" t="s">
        <v>1321</v>
      </c>
      <c r="E2887" s="77"/>
      <c r="F2887" s="78"/>
      <c r="G2887" s="80">
        <v>0.1</v>
      </c>
      <c r="H2887" s="63">
        <f>H2886*G2887</f>
        <v>284700.5</v>
      </c>
      <c r="I2887" s="369"/>
      <c r="J2887" s="44"/>
      <c r="K2887" s="44"/>
    </row>
    <row r="2888" spans="3:15" s="59" customFormat="1" ht="21" customHeight="1">
      <c r="C2888" s="288" t="s">
        <v>1221</v>
      </c>
      <c r="D2888" s="76" t="s">
        <v>1222</v>
      </c>
      <c r="E2888" s="77"/>
      <c r="F2888" s="77"/>
      <c r="G2888" s="78"/>
      <c r="H2888" s="799">
        <f>SUM(H2886:H2887)</f>
        <v>3131705.5</v>
      </c>
      <c r="I2888" s="369"/>
      <c r="J2888" s="44"/>
      <c r="K2888" s="44"/>
    </row>
    <row r="2889" spans="3:15" ht="21" customHeight="1"/>
    <row r="2890" spans="3:15" s="59" customFormat="1" ht="21" customHeight="1">
      <c r="C2890" s="147" t="s">
        <v>5378</v>
      </c>
      <c r="D2890" s="794" t="s">
        <v>4099</v>
      </c>
      <c r="E2890" s="795"/>
      <c r="F2890" s="795"/>
      <c r="G2890" s="795"/>
      <c r="H2890" s="795"/>
      <c r="I2890" s="50">
        <f>ROUNDDOWN(H2905,-2)</f>
        <v>3471000</v>
      </c>
      <c r="J2890" s="50"/>
      <c r="K2890" s="50"/>
    </row>
    <row r="2891" spans="3:15" s="59" customFormat="1" ht="21" customHeight="1">
      <c r="C2891" s="591" t="s">
        <v>1195</v>
      </c>
      <c r="D2891" s="591" t="s">
        <v>1196</v>
      </c>
      <c r="E2891" s="591" t="s">
        <v>1197</v>
      </c>
      <c r="F2891" s="591" t="s">
        <v>1198</v>
      </c>
      <c r="G2891" s="591" t="s">
        <v>1199</v>
      </c>
      <c r="H2891" s="591" t="s">
        <v>1200</v>
      </c>
      <c r="I2891" s="44"/>
      <c r="J2891" s="44"/>
      <c r="K2891" s="44"/>
    </row>
    <row r="2892" spans="3:15" s="59" customFormat="1" ht="21" customHeight="1">
      <c r="C2892" s="61" t="s">
        <v>1201</v>
      </c>
      <c r="D2892" s="56" t="s">
        <v>1202</v>
      </c>
      <c r="E2892" s="57"/>
      <c r="F2892" s="57"/>
      <c r="G2892" s="57"/>
      <c r="H2892" s="57"/>
      <c r="I2892" s="44"/>
      <c r="J2892" s="44"/>
      <c r="K2892" s="44"/>
      <c r="L2892" s="152" t="s">
        <v>1247</v>
      </c>
    </row>
    <row r="2893" spans="3:15" s="59" customFormat="1" ht="21" customHeight="1">
      <c r="C2893" s="588">
        <v>1</v>
      </c>
      <c r="D2893" s="56" t="s">
        <v>5</v>
      </c>
      <c r="E2893" s="577" t="s">
        <v>6</v>
      </c>
      <c r="F2893" s="62">
        <v>2.202</v>
      </c>
      <c r="G2893" s="63">
        <f>VLOOKUP(D2893,upahbahan,3,FALSE)</f>
        <v>100000</v>
      </c>
      <c r="H2893" s="63">
        <f>F2893*G2893</f>
        <v>220200</v>
      </c>
      <c r="I2893" s="44"/>
      <c r="J2893" s="44"/>
      <c r="K2893" s="44"/>
      <c r="L2893" s="152" t="s">
        <v>1248</v>
      </c>
      <c r="O2893" s="65">
        <v>0.1</v>
      </c>
    </row>
    <row r="2894" spans="3:15" s="59" customFormat="1" ht="21" customHeight="1">
      <c r="C2894" s="588">
        <v>2</v>
      </c>
      <c r="D2894" s="56" t="s">
        <v>10</v>
      </c>
      <c r="E2894" s="577" t="s">
        <v>6</v>
      </c>
      <c r="F2894" s="62">
        <v>3.6779999999999999</v>
      </c>
      <c r="G2894" s="63">
        <f>VLOOKUP(D2894,upahbahan,3,FALSE)</f>
        <v>135000</v>
      </c>
      <c r="H2894" s="63">
        <f>F2894*G2894</f>
        <v>496530</v>
      </c>
      <c r="I2894" s="44"/>
      <c r="J2894" s="44"/>
      <c r="K2894" s="44"/>
    </row>
    <row r="2895" spans="3:15" s="59" customFormat="1" ht="21" customHeight="1">
      <c r="C2895" s="588">
        <v>3</v>
      </c>
      <c r="D2895" s="56" t="s">
        <v>18</v>
      </c>
      <c r="E2895" s="577" t="s">
        <v>6</v>
      </c>
      <c r="F2895" s="62">
        <v>0.36799999999999999</v>
      </c>
      <c r="G2895" s="63">
        <f>VLOOKUP(D2895,upahbahan,3,FALSE)</f>
        <v>150000</v>
      </c>
      <c r="H2895" s="63">
        <f>F2895*G2895</f>
        <v>55200</v>
      </c>
      <c r="I2895" s="44"/>
      <c r="J2895" s="44"/>
      <c r="K2895" s="44"/>
    </row>
    <row r="2896" spans="3:15" s="59" customFormat="1" ht="21" customHeight="1">
      <c r="C2896" s="588">
        <v>4</v>
      </c>
      <c r="D2896" s="56" t="s">
        <v>19</v>
      </c>
      <c r="E2896" s="577" t="s">
        <v>6</v>
      </c>
      <c r="F2896" s="62">
        <v>0.11</v>
      </c>
      <c r="G2896" s="63">
        <f>VLOOKUP(D2896,upahbahan,3,FALSE)</f>
        <v>160000</v>
      </c>
      <c r="H2896" s="63">
        <f>F2896*G2896</f>
        <v>17600</v>
      </c>
      <c r="I2896" s="44"/>
      <c r="J2896" s="44"/>
      <c r="K2896" s="44"/>
    </row>
    <row r="2897" spans="3:15" s="59" customFormat="1" ht="21" customHeight="1">
      <c r="C2897" s="450" t="s">
        <v>1208</v>
      </c>
      <c r="D2897" s="67"/>
      <c r="E2897" s="67"/>
      <c r="F2897" s="142"/>
      <c r="G2897" s="153"/>
      <c r="H2897" s="63">
        <f>SUM(H2893:H2896)</f>
        <v>789530</v>
      </c>
      <c r="I2897" s="154"/>
      <c r="J2897" s="154"/>
      <c r="K2897" s="154"/>
    </row>
    <row r="2898" spans="3:15" s="59" customFormat="1" ht="21" customHeight="1">
      <c r="C2898" s="61" t="s">
        <v>1209</v>
      </c>
      <c r="D2898" s="56" t="s">
        <v>1210</v>
      </c>
      <c r="E2898" s="57"/>
      <c r="F2898" s="57"/>
      <c r="G2898" s="57"/>
      <c r="H2898" s="57"/>
      <c r="I2898" s="44"/>
      <c r="J2898" s="44"/>
      <c r="K2898" s="44"/>
    </row>
    <row r="2899" spans="3:15" s="59" customFormat="1" ht="21" customHeight="1">
      <c r="C2899" s="61">
        <v>1</v>
      </c>
      <c r="D2899" s="56" t="s">
        <v>4100</v>
      </c>
      <c r="E2899" s="93" t="s">
        <v>135</v>
      </c>
      <c r="F2899" s="104">
        <v>1.3</v>
      </c>
      <c r="G2899" s="63">
        <f>VLOOKUP(D2899,upahbahan,3,FALSE)</f>
        <v>1820000</v>
      </c>
      <c r="H2899" s="586">
        <f>G2899*F2899</f>
        <v>2366000</v>
      </c>
      <c r="I2899" s="44"/>
      <c r="J2899" s="44"/>
      <c r="K2899" s="44"/>
    </row>
    <row r="2900" spans="3:15" s="59" customFormat="1" ht="21" customHeight="1">
      <c r="C2900" s="450" t="s">
        <v>1214</v>
      </c>
      <c r="D2900" s="67"/>
      <c r="E2900" s="67"/>
      <c r="F2900" s="67"/>
      <c r="G2900" s="69"/>
      <c r="H2900" s="63">
        <f>SUM(H2899:H2899)</f>
        <v>2366000</v>
      </c>
      <c r="I2900" s="44"/>
      <c r="J2900" s="44"/>
      <c r="K2900" s="44"/>
    </row>
    <row r="2901" spans="3:15" s="59" customFormat="1" ht="21" customHeight="1">
      <c r="C2901" s="61" t="s">
        <v>1215</v>
      </c>
      <c r="D2901" s="56" t="s">
        <v>1216</v>
      </c>
      <c r="E2901" s="57"/>
      <c r="F2901" s="57"/>
      <c r="G2901" s="57"/>
      <c r="H2901" s="57"/>
      <c r="I2901" s="44"/>
      <c r="J2901" s="44"/>
      <c r="K2901" s="44"/>
    </row>
    <row r="2902" spans="3:15" s="59" customFormat="1" ht="21" customHeight="1">
      <c r="C2902" s="450" t="s">
        <v>1217</v>
      </c>
      <c r="D2902" s="67"/>
      <c r="E2902" s="67"/>
      <c r="F2902" s="67"/>
      <c r="G2902" s="69"/>
      <c r="H2902" s="589">
        <v>0</v>
      </c>
      <c r="I2902" s="44"/>
      <c r="J2902" s="44"/>
      <c r="K2902" s="44"/>
    </row>
    <row r="2903" spans="3:15" s="59" customFormat="1" ht="21" customHeight="1">
      <c r="C2903" s="288" t="s">
        <v>1218</v>
      </c>
      <c r="D2903" s="76" t="s">
        <v>1219</v>
      </c>
      <c r="E2903" s="77"/>
      <c r="F2903" s="77"/>
      <c r="G2903" s="78"/>
      <c r="H2903" s="585">
        <f>H2902+H2900+H2897</f>
        <v>3155530</v>
      </c>
      <c r="I2903" s="369"/>
      <c r="J2903" s="44"/>
      <c r="K2903" s="44"/>
    </row>
    <row r="2904" spans="3:15" s="59" customFormat="1" ht="21" customHeight="1">
      <c r="C2904" s="288" t="s">
        <v>1220</v>
      </c>
      <c r="D2904" s="76" t="s">
        <v>1321</v>
      </c>
      <c r="E2904" s="77"/>
      <c r="F2904" s="78"/>
      <c r="G2904" s="80">
        <v>0.1</v>
      </c>
      <c r="H2904" s="63">
        <f>H2903*G2904</f>
        <v>315553</v>
      </c>
      <c r="I2904" s="369"/>
      <c r="J2904" s="44"/>
      <c r="K2904" s="44"/>
    </row>
    <row r="2905" spans="3:15" s="59" customFormat="1" ht="21" customHeight="1">
      <c r="C2905" s="288" t="s">
        <v>1221</v>
      </c>
      <c r="D2905" s="76" t="s">
        <v>1222</v>
      </c>
      <c r="E2905" s="77"/>
      <c r="F2905" s="77"/>
      <c r="G2905" s="78"/>
      <c r="H2905" s="799">
        <f>SUM(H2903:H2904)</f>
        <v>3471083</v>
      </c>
      <c r="I2905" s="369"/>
      <c r="J2905" s="44"/>
      <c r="K2905" s="44"/>
    </row>
    <row r="2906" spans="3:15" ht="21" customHeight="1"/>
    <row r="2907" spans="3:15" ht="21" customHeight="1">
      <c r="C2907" s="43" t="s">
        <v>5374</v>
      </c>
      <c r="D2907" s="128" t="s">
        <v>4110</v>
      </c>
    </row>
    <row r="2908" spans="3:15" s="59" customFormat="1" ht="21" customHeight="1">
      <c r="C2908" s="147" t="s">
        <v>5379</v>
      </c>
      <c r="D2908" s="794" t="s">
        <v>4111</v>
      </c>
      <c r="E2908" s="795"/>
      <c r="F2908" s="795"/>
      <c r="G2908" s="795"/>
      <c r="H2908" s="795"/>
      <c r="I2908" s="50">
        <f>ROUNDDOWN(H2923,-2)</f>
        <v>300200</v>
      </c>
      <c r="J2908" s="50"/>
      <c r="K2908" s="50"/>
    </row>
    <row r="2909" spans="3:15" s="59" customFormat="1" ht="21" customHeight="1">
      <c r="C2909" s="591" t="s">
        <v>1195</v>
      </c>
      <c r="D2909" s="591" t="s">
        <v>1196</v>
      </c>
      <c r="E2909" s="591" t="s">
        <v>1197</v>
      </c>
      <c r="F2909" s="591" t="s">
        <v>1198</v>
      </c>
      <c r="G2909" s="591" t="s">
        <v>1199</v>
      </c>
      <c r="H2909" s="591" t="s">
        <v>1200</v>
      </c>
      <c r="I2909" s="44"/>
      <c r="J2909" s="44"/>
      <c r="K2909" s="44"/>
    </row>
    <row r="2910" spans="3:15" s="59" customFormat="1" ht="21" customHeight="1">
      <c r="C2910" s="61" t="s">
        <v>1201</v>
      </c>
      <c r="D2910" s="56" t="s">
        <v>1202</v>
      </c>
      <c r="E2910" s="57"/>
      <c r="F2910" s="57"/>
      <c r="G2910" s="57"/>
      <c r="H2910" s="57"/>
      <c r="I2910" s="44"/>
      <c r="J2910" s="44"/>
      <c r="K2910" s="44"/>
      <c r="L2910" s="152" t="s">
        <v>1247</v>
      </c>
    </row>
    <row r="2911" spans="3:15" s="59" customFormat="1" ht="21" customHeight="1">
      <c r="C2911" s="588">
        <v>1</v>
      </c>
      <c r="D2911" s="56" t="s">
        <v>5</v>
      </c>
      <c r="E2911" s="577" t="s">
        <v>6</v>
      </c>
      <c r="F2911" s="62">
        <v>5.1999999999999998E-2</v>
      </c>
      <c r="G2911" s="63">
        <f>VLOOKUP(D2911,upahbahan,3,FALSE)</f>
        <v>100000</v>
      </c>
      <c r="H2911" s="63">
        <f>F2911*G2911</f>
        <v>5200</v>
      </c>
      <c r="I2911" s="44"/>
      <c r="J2911" s="44"/>
      <c r="K2911" s="44"/>
      <c r="L2911" s="152" t="s">
        <v>1248</v>
      </c>
      <c r="O2911" s="65">
        <v>0.1</v>
      </c>
    </row>
    <row r="2912" spans="3:15" s="59" customFormat="1" ht="21" customHeight="1">
      <c r="C2912" s="588">
        <v>2</v>
      </c>
      <c r="D2912" s="56" t="s">
        <v>10</v>
      </c>
      <c r="E2912" s="577" t="s">
        <v>6</v>
      </c>
      <c r="F2912" s="62">
        <v>8.6999999999999994E-2</v>
      </c>
      <c r="G2912" s="63">
        <f>VLOOKUP(D2912,upahbahan,3,FALSE)</f>
        <v>135000</v>
      </c>
      <c r="H2912" s="63">
        <f>F2912*G2912</f>
        <v>11745</v>
      </c>
      <c r="I2912" s="44"/>
      <c r="J2912" s="44"/>
      <c r="K2912" s="44"/>
    </row>
    <row r="2913" spans="3:15" s="59" customFormat="1" ht="21" customHeight="1">
      <c r="C2913" s="588">
        <v>3</v>
      </c>
      <c r="D2913" s="56" t="s">
        <v>18</v>
      </c>
      <c r="E2913" s="577" t="s">
        <v>6</v>
      </c>
      <c r="F2913" s="62">
        <v>8.9999999999999993E-3</v>
      </c>
      <c r="G2913" s="63">
        <f>VLOOKUP(D2913,upahbahan,3,FALSE)</f>
        <v>150000</v>
      </c>
      <c r="H2913" s="63">
        <f>F2913*G2913</f>
        <v>1350</v>
      </c>
      <c r="I2913" s="44"/>
      <c r="J2913" s="44"/>
      <c r="K2913" s="44"/>
    </row>
    <row r="2914" spans="3:15" s="59" customFormat="1" ht="21" customHeight="1">
      <c r="C2914" s="588">
        <v>4</v>
      </c>
      <c r="D2914" s="56" t="s">
        <v>19</v>
      </c>
      <c r="E2914" s="577" t="s">
        <v>6</v>
      </c>
      <c r="F2914" s="62">
        <v>3.0000000000000001E-3</v>
      </c>
      <c r="G2914" s="63">
        <f>VLOOKUP(D2914,upahbahan,3,FALSE)</f>
        <v>160000</v>
      </c>
      <c r="H2914" s="63">
        <f>F2914*G2914</f>
        <v>480</v>
      </c>
      <c r="I2914" s="44"/>
      <c r="J2914" s="44"/>
      <c r="K2914" s="44"/>
    </row>
    <row r="2915" spans="3:15" s="59" customFormat="1" ht="21" customHeight="1">
      <c r="C2915" s="450" t="s">
        <v>1208</v>
      </c>
      <c r="D2915" s="67"/>
      <c r="E2915" s="67"/>
      <c r="F2915" s="142"/>
      <c r="G2915" s="153"/>
      <c r="H2915" s="63">
        <f>SUM(H2911:H2914)</f>
        <v>18775</v>
      </c>
      <c r="I2915" s="154"/>
      <c r="J2915" s="154"/>
      <c r="K2915" s="154"/>
    </row>
    <row r="2916" spans="3:15" s="59" customFormat="1" ht="21" customHeight="1">
      <c r="C2916" s="61" t="s">
        <v>1209</v>
      </c>
      <c r="D2916" s="56" t="s">
        <v>1210</v>
      </c>
      <c r="E2916" s="57"/>
      <c r="F2916" s="57"/>
      <c r="G2916" s="57"/>
      <c r="H2916" s="57"/>
      <c r="I2916" s="44"/>
      <c r="J2916" s="44"/>
      <c r="K2916" s="44"/>
    </row>
    <row r="2917" spans="3:15" s="59" customFormat="1" ht="21" customHeight="1">
      <c r="C2917" s="61">
        <v>1</v>
      </c>
      <c r="D2917" s="56" t="s">
        <v>4112</v>
      </c>
      <c r="E2917" s="93" t="s">
        <v>135</v>
      </c>
      <c r="F2917" s="104">
        <v>1.1499999999999999</v>
      </c>
      <c r="G2917" s="63">
        <f>VLOOKUP(D2917,upahbahan,3,FALSE)</f>
        <v>221000</v>
      </c>
      <c r="H2917" s="586">
        <f>G2917*F2917</f>
        <v>254149.99999999997</v>
      </c>
      <c r="I2917" s="44"/>
      <c r="J2917" s="44"/>
      <c r="K2917" s="44"/>
    </row>
    <row r="2918" spans="3:15" s="59" customFormat="1" ht="21" customHeight="1">
      <c r="C2918" s="450" t="s">
        <v>1214</v>
      </c>
      <c r="D2918" s="67"/>
      <c r="E2918" s="67"/>
      <c r="F2918" s="67"/>
      <c r="G2918" s="69"/>
      <c r="H2918" s="63">
        <f>SUM(H2917:H2917)</f>
        <v>254149.99999999997</v>
      </c>
      <c r="I2918" s="44"/>
      <c r="J2918" s="44"/>
      <c r="K2918" s="44"/>
    </row>
    <row r="2919" spans="3:15" s="59" customFormat="1" ht="21" customHeight="1">
      <c r="C2919" s="61" t="s">
        <v>1215</v>
      </c>
      <c r="D2919" s="56" t="s">
        <v>1216</v>
      </c>
      <c r="E2919" s="57"/>
      <c r="F2919" s="57"/>
      <c r="G2919" s="57"/>
      <c r="H2919" s="57"/>
      <c r="I2919" s="44"/>
      <c r="J2919" s="44"/>
      <c r="K2919" s="44"/>
    </row>
    <row r="2920" spans="3:15" s="59" customFormat="1" ht="21" customHeight="1">
      <c r="C2920" s="450" t="s">
        <v>1217</v>
      </c>
      <c r="D2920" s="67"/>
      <c r="E2920" s="67"/>
      <c r="F2920" s="67"/>
      <c r="G2920" s="69"/>
      <c r="H2920" s="589">
        <v>0</v>
      </c>
      <c r="I2920" s="44"/>
      <c r="J2920" s="44"/>
      <c r="K2920" s="44"/>
    </row>
    <row r="2921" spans="3:15" s="59" customFormat="1" ht="21" customHeight="1">
      <c r="C2921" s="288" t="s">
        <v>1218</v>
      </c>
      <c r="D2921" s="76" t="s">
        <v>1219</v>
      </c>
      <c r="E2921" s="77"/>
      <c r="F2921" s="77"/>
      <c r="G2921" s="78"/>
      <c r="H2921" s="585">
        <f>H2920+H2918+H2915</f>
        <v>272925</v>
      </c>
      <c r="I2921" s="369"/>
      <c r="J2921" s="44"/>
      <c r="K2921" s="44"/>
    </row>
    <row r="2922" spans="3:15" s="59" customFormat="1" ht="21" customHeight="1">
      <c r="C2922" s="288" t="s">
        <v>1220</v>
      </c>
      <c r="D2922" s="76" t="s">
        <v>1321</v>
      </c>
      <c r="E2922" s="77"/>
      <c r="F2922" s="78"/>
      <c r="G2922" s="80">
        <v>0.1</v>
      </c>
      <c r="H2922" s="63">
        <f>H2921*G2922</f>
        <v>27292.5</v>
      </c>
      <c r="I2922" s="369"/>
      <c r="J2922" s="44"/>
      <c r="K2922" s="44"/>
    </row>
    <row r="2923" spans="3:15" s="59" customFormat="1" ht="21" customHeight="1">
      <c r="C2923" s="288" t="s">
        <v>1221</v>
      </c>
      <c r="D2923" s="76" t="s">
        <v>1222</v>
      </c>
      <c r="E2923" s="77"/>
      <c r="F2923" s="77"/>
      <c r="G2923" s="78"/>
      <c r="H2923" s="799">
        <f>SUM(H2921:H2922)</f>
        <v>300217.5</v>
      </c>
      <c r="I2923" s="369"/>
      <c r="J2923" s="44"/>
      <c r="K2923" s="44"/>
    </row>
    <row r="2924" spans="3:15" ht="21" customHeight="1"/>
    <row r="2925" spans="3:15" s="59" customFormat="1" ht="21" customHeight="1">
      <c r="C2925" s="147" t="s">
        <v>5380</v>
      </c>
      <c r="D2925" s="794" t="s">
        <v>4113</v>
      </c>
      <c r="E2925" s="795"/>
      <c r="F2925" s="795"/>
      <c r="G2925" s="795"/>
      <c r="H2925" s="795"/>
      <c r="I2925" s="50">
        <f>ROUNDDOWN(H2940,-2)</f>
        <v>347200</v>
      </c>
      <c r="J2925" s="50"/>
      <c r="K2925" s="50"/>
    </row>
    <row r="2926" spans="3:15" s="59" customFormat="1" ht="21" customHeight="1">
      <c r="C2926" s="591" t="s">
        <v>1195</v>
      </c>
      <c r="D2926" s="591" t="s">
        <v>1196</v>
      </c>
      <c r="E2926" s="591" t="s">
        <v>1197</v>
      </c>
      <c r="F2926" s="591" t="s">
        <v>1198</v>
      </c>
      <c r="G2926" s="591" t="s">
        <v>1199</v>
      </c>
      <c r="H2926" s="591" t="s">
        <v>1200</v>
      </c>
      <c r="I2926" s="44"/>
      <c r="J2926" s="44"/>
      <c r="K2926" s="44"/>
    </row>
    <row r="2927" spans="3:15" s="59" customFormat="1" ht="21" customHeight="1">
      <c r="C2927" s="61" t="s">
        <v>1201</v>
      </c>
      <c r="D2927" s="56" t="s">
        <v>1202</v>
      </c>
      <c r="E2927" s="57"/>
      <c r="F2927" s="57"/>
      <c r="G2927" s="57"/>
      <c r="H2927" s="57"/>
      <c r="I2927" s="44"/>
      <c r="J2927" s="44"/>
      <c r="K2927" s="44"/>
      <c r="L2927" s="152" t="s">
        <v>1247</v>
      </c>
    </row>
    <row r="2928" spans="3:15" s="59" customFormat="1" ht="21" customHeight="1">
      <c r="C2928" s="588">
        <v>1</v>
      </c>
      <c r="D2928" s="56" t="s">
        <v>5</v>
      </c>
      <c r="E2928" s="577" t="s">
        <v>6</v>
      </c>
      <c r="F2928" s="62">
        <v>7.9000000000000001E-2</v>
      </c>
      <c r="G2928" s="63">
        <f>VLOOKUP(D2928,upahbahan,3,FALSE)</f>
        <v>100000</v>
      </c>
      <c r="H2928" s="63">
        <f>F2928*G2928</f>
        <v>7900</v>
      </c>
      <c r="I2928" s="44"/>
      <c r="J2928" s="44"/>
      <c r="K2928" s="44"/>
      <c r="L2928" s="152" t="s">
        <v>1248</v>
      </c>
      <c r="O2928" s="65">
        <v>0.1</v>
      </c>
    </row>
    <row r="2929" spans="3:12" s="59" customFormat="1" ht="21" customHeight="1">
      <c r="C2929" s="588">
        <v>2</v>
      </c>
      <c r="D2929" s="56" t="s">
        <v>10</v>
      </c>
      <c r="E2929" s="577" t="s">
        <v>6</v>
      </c>
      <c r="F2929" s="62">
        <v>0.13100000000000001</v>
      </c>
      <c r="G2929" s="63">
        <f>VLOOKUP(D2929,upahbahan,3,FALSE)</f>
        <v>135000</v>
      </c>
      <c r="H2929" s="63">
        <f>F2929*G2929</f>
        <v>17685</v>
      </c>
      <c r="I2929" s="44"/>
      <c r="J2929" s="44"/>
      <c r="K2929" s="44"/>
    </row>
    <row r="2930" spans="3:12" s="59" customFormat="1" ht="21" customHeight="1">
      <c r="C2930" s="588">
        <v>3</v>
      </c>
      <c r="D2930" s="56" t="s">
        <v>18</v>
      </c>
      <c r="E2930" s="577" t="s">
        <v>6</v>
      </c>
      <c r="F2930" s="62">
        <v>1.2999999999999999E-2</v>
      </c>
      <c r="G2930" s="63">
        <f>VLOOKUP(D2930,upahbahan,3,FALSE)</f>
        <v>150000</v>
      </c>
      <c r="H2930" s="63">
        <f>F2930*G2930</f>
        <v>1950</v>
      </c>
      <c r="I2930" s="44"/>
      <c r="J2930" s="44"/>
      <c r="K2930" s="44"/>
    </row>
    <row r="2931" spans="3:12" s="59" customFormat="1" ht="21" customHeight="1">
      <c r="C2931" s="588">
        <v>4</v>
      </c>
      <c r="D2931" s="56" t="s">
        <v>19</v>
      </c>
      <c r="E2931" s="577" t="s">
        <v>6</v>
      </c>
      <c r="F2931" s="62">
        <v>4.0000000000000001E-3</v>
      </c>
      <c r="G2931" s="63">
        <f>VLOOKUP(D2931,upahbahan,3,FALSE)</f>
        <v>160000</v>
      </c>
      <c r="H2931" s="63">
        <f>F2931*G2931</f>
        <v>640</v>
      </c>
      <c r="I2931" s="44"/>
      <c r="J2931" s="44"/>
      <c r="K2931" s="44"/>
    </row>
    <row r="2932" spans="3:12" s="59" customFormat="1" ht="21" customHeight="1">
      <c r="C2932" s="450" t="s">
        <v>1208</v>
      </c>
      <c r="D2932" s="67"/>
      <c r="E2932" s="67"/>
      <c r="F2932" s="142"/>
      <c r="G2932" s="153"/>
      <c r="H2932" s="63">
        <f>SUM(H2928:H2931)</f>
        <v>28175</v>
      </c>
      <c r="I2932" s="154"/>
      <c r="J2932" s="154"/>
      <c r="K2932" s="154"/>
    </row>
    <row r="2933" spans="3:12" s="59" customFormat="1" ht="21" customHeight="1">
      <c r="C2933" s="61" t="s">
        <v>1209</v>
      </c>
      <c r="D2933" s="56" t="s">
        <v>1210</v>
      </c>
      <c r="E2933" s="57"/>
      <c r="F2933" s="57"/>
      <c r="G2933" s="57"/>
      <c r="H2933" s="57"/>
      <c r="I2933" s="44"/>
      <c r="J2933" s="44"/>
      <c r="K2933" s="44"/>
    </row>
    <row r="2934" spans="3:12" s="59" customFormat="1" ht="21" customHeight="1">
      <c r="C2934" s="61">
        <v>1</v>
      </c>
      <c r="D2934" s="56" t="s">
        <v>4114</v>
      </c>
      <c r="E2934" s="93" t="s">
        <v>135</v>
      </c>
      <c r="F2934" s="104">
        <v>1.1499999999999999</v>
      </c>
      <c r="G2934" s="63">
        <f>VLOOKUP(D2934,upahbahan,3,FALSE)</f>
        <v>250000</v>
      </c>
      <c r="H2934" s="586">
        <f>G2934*F2934</f>
        <v>287500</v>
      </c>
      <c r="I2934" s="44"/>
      <c r="J2934" s="44"/>
      <c r="K2934" s="44"/>
    </row>
    <row r="2935" spans="3:12" s="59" customFormat="1" ht="21" customHeight="1">
      <c r="C2935" s="450" t="s">
        <v>1214</v>
      </c>
      <c r="D2935" s="67"/>
      <c r="E2935" s="67"/>
      <c r="F2935" s="67"/>
      <c r="G2935" s="69"/>
      <c r="H2935" s="63">
        <f>SUM(H2934:H2934)</f>
        <v>287500</v>
      </c>
      <c r="I2935" s="44"/>
      <c r="J2935" s="44"/>
      <c r="K2935" s="44"/>
    </row>
    <row r="2936" spans="3:12" s="59" customFormat="1" ht="21" customHeight="1">
      <c r="C2936" s="61" t="s">
        <v>1215</v>
      </c>
      <c r="D2936" s="56" t="s">
        <v>1216</v>
      </c>
      <c r="E2936" s="57"/>
      <c r="F2936" s="57"/>
      <c r="G2936" s="57"/>
      <c r="H2936" s="57"/>
      <c r="I2936" s="44"/>
      <c r="J2936" s="44"/>
      <c r="K2936" s="44"/>
    </row>
    <row r="2937" spans="3:12" s="59" customFormat="1" ht="21" customHeight="1">
      <c r="C2937" s="450" t="s">
        <v>1217</v>
      </c>
      <c r="D2937" s="67"/>
      <c r="E2937" s="67"/>
      <c r="F2937" s="67"/>
      <c r="G2937" s="69"/>
      <c r="H2937" s="589">
        <v>0</v>
      </c>
      <c r="I2937" s="44"/>
      <c r="J2937" s="44"/>
      <c r="K2937" s="44"/>
    </row>
    <row r="2938" spans="3:12" s="59" customFormat="1" ht="21" customHeight="1">
      <c r="C2938" s="288" t="s">
        <v>1218</v>
      </c>
      <c r="D2938" s="76" t="s">
        <v>1219</v>
      </c>
      <c r="E2938" s="77"/>
      <c r="F2938" s="77"/>
      <c r="G2938" s="78"/>
      <c r="H2938" s="585">
        <f>H2937+H2935+H2932</f>
        <v>315675</v>
      </c>
      <c r="I2938" s="369"/>
      <c r="J2938" s="44"/>
      <c r="K2938" s="44"/>
    </row>
    <row r="2939" spans="3:12" s="59" customFormat="1" ht="21" customHeight="1">
      <c r="C2939" s="288" t="s">
        <v>1220</v>
      </c>
      <c r="D2939" s="76" t="s">
        <v>1321</v>
      </c>
      <c r="E2939" s="77"/>
      <c r="F2939" s="78"/>
      <c r="G2939" s="80">
        <v>0.1</v>
      </c>
      <c r="H2939" s="63">
        <f>H2938*G2939</f>
        <v>31567.5</v>
      </c>
      <c r="I2939" s="369"/>
      <c r="J2939" s="44"/>
      <c r="K2939" s="44"/>
    </row>
    <row r="2940" spans="3:12" s="59" customFormat="1" ht="21" customHeight="1">
      <c r="C2940" s="288" t="s">
        <v>1221</v>
      </c>
      <c r="D2940" s="76" t="s">
        <v>1222</v>
      </c>
      <c r="E2940" s="77"/>
      <c r="F2940" s="77"/>
      <c r="G2940" s="78"/>
      <c r="H2940" s="799">
        <f>SUM(H2938:H2939)</f>
        <v>347242.5</v>
      </c>
      <c r="I2940" s="369"/>
      <c r="J2940" s="44"/>
      <c r="K2940" s="44"/>
    </row>
    <row r="2941" spans="3:12" ht="21" customHeight="1"/>
    <row r="2942" spans="3:12" s="59" customFormat="1" ht="21" customHeight="1">
      <c r="C2942" s="147" t="s">
        <v>5381</v>
      </c>
      <c r="D2942" s="794" t="s">
        <v>4115</v>
      </c>
      <c r="E2942" s="795"/>
      <c r="F2942" s="795"/>
      <c r="G2942" s="795"/>
      <c r="H2942" s="795"/>
      <c r="I2942" s="50">
        <f>ROUNDDOWN(H2957,-2)</f>
        <v>515500</v>
      </c>
      <c r="J2942" s="50"/>
      <c r="K2942" s="50"/>
    </row>
    <row r="2943" spans="3:12" s="59" customFormat="1" ht="21" customHeight="1">
      <c r="C2943" s="591" t="s">
        <v>1195</v>
      </c>
      <c r="D2943" s="591" t="s">
        <v>1196</v>
      </c>
      <c r="E2943" s="591" t="s">
        <v>1197</v>
      </c>
      <c r="F2943" s="591" t="s">
        <v>1198</v>
      </c>
      <c r="G2943" s="591" t="s">
        <v>1199</v>
      </c>
      <c r="H2943" s="591" t="s">
        <v>1200</v>
      </c>
      <c r="I2943" s="44"/>
      <c r="J2943" s="44"/>
      <c r="K2943" s="44"/>
    </row>
    <row r="2944" spans="3:12" s="59" customFormat="1" ht="21" customHeight="1">
      <c r="C2944" s="61" t="s">
        <v>1201</v>
      </c>
      <c r="D2944" s="56" t="s">
        <v>1202</v>
      </c>
      <c r="E2944" s="57"/>
      <c r="F2944" s="57"/>
      <c r="G2944" s="57"/>
      <c r="H2944" s="57"/>
      <c r="I2944" s="44"/>
      <c r="J2944" s="44"/>
      <c r="K2944" s="44"/>
      <c r="L2944" s="152" t="s">
        <v>1247</v>
      </c>
    </row>
    <row r="2945" spans="3:15" s="59" customFormat="1" ht="21" customHeight="1">
      <c r="C2945" s="588">
        <v>1</v>
      </c>
      <c r="D2945" s="56" t="s">
        <v>5</v>
      </c>
      <c r="E2945" s="577" t="s">
        <v>6</v>
      </c>
      <c r="F2945" s="62">
        <v>0.105</v>
      </c>
      <c r="G2945" s="63">
        <f>VLOOKUP(D2945,upahbahan,3,FALSE)</f>
        <v>100000</v>
      </c>
      <c r="H2945" s="63">
        <f>F2945*G2945</f>
        <v>10500</v>
      </c>
      <c r="I2945" s="44"/>
      <c r="J2945" s="44"/>
      <c r="K2945" s="44"/>
      <c r="L2945" s="152" t="s">
        <v>1248</v>
      </c>
      <c r="O2945" s="65">
        <v>0.1</v>
      </c>
    </row>
    <row r="2946" spans="3:15" s="59" customFormat="1" ht="21" customHeight="1">
      <c r="C2946" s="588">
        <v>2</v>
      </c>
      <c r="D2946" s="56" t="s">
        <v>10</v>
      </c>
      <c r="E2946" s="577" t="s">
        <v>6</v>
      </c>
      <c r="F2946" s="62">
        <v>0.17499999999999999</v>
      </c>
      <c r="G2946" s="63">
        <f>VLOOKUP(D2946,upahbahan,3,FALSE)</f>
        <v>135000</v>
      </c>
      <c r="H2946" s="63">
        <f>F2946*G2946</f>
        <v>23625</v>
      </c>
      <c r="I2946" s="44"/>
      <c r="J2946" s="44"/>
      <c r="K2946" s="44"/>
    </row>
    <row r="2947" spans="3:15" s="59" customFormat="1" ht="21" customHeight="1">
      <c r="C2947" s="588">
        <v>3</v>
      </c>
      <c r="D2947" s="56" t="s">
        <v>18</v>
      </c>
      <c r="E2947" s="577" t="s">
        <v>6</v>
      </c>
      <c r="F2947" s="62">
        <v>1.7000000000000001E-2</v>
      </c>
      <c r="G2947" s="63">
        <f>VLOOKUP(D2947,upahbahan,3,FALSE)</f>
        <v>150000</v>
      </c>
      <c r="H2947" s="63">
        <f>F2947*G2947</f>
        <v>2550</v>
      </c>
      <c r="I2947" s="44"/>
      <c r="J2947" s="44"/>
      <c r="K2947" s="44"/>
    </row>
    <row r="2948" spans="3:15" s="59" customFormat="1" ht="21" customHeight="1">
      <c r="C2948" s="588">
        <v>4</v>
      </c>
      <c r="D2948" s="56" t="s">
        <v>19</v>
      </c>
      <c r="E2948" s="577" t="s">
        <v>6</v>
      </c>
      <c r="F2948" s="62">
        <v>5.0000000000000001E-3</v>
      </c>
      <c r="G2948" s="63">
        <f>VLOOKUP(D2948,upahbahan,3,FALSE)</f>
        <v>160000</v>
      </c>
      <c r="H2948" s="63">
        <f>F2948*G2948</f>
        <v>800</v>
      </c>
      <c r="I2948" s="44"/>
      <c r="J2948" s="44"/>
      <c r="K2948" s="44"/>
    </row>
    <row r="2949" spans="3:15" s="59" customFormat="1" ht="21" customHeight="1">
      <c r="C2949" s="450" t="s">
        <v>1208</v>
      </c>
      <c r="D2949" s="67"/>
      <c r="E2949" s="67"/>
      <c r="F2949" s="142"/>
      <c r="G2949" s="153"/>
      <c r="H2949" s="63">
        <f>SUM(H2945:H2948)</f>
        <v>37475</v>
      </c>
      <c r="I2949" s="154"/>
      <c r="J2949" s="154"/>
      <c r="K2949" s="154"/>
    </row>
    <row r="2950" spans="3:15" s="59" customFormat="1" ht="21" customHeight="1">
      <c r="C2950" s="61" t="s">
        <v>1209</v>
      </c>
      <c r="D2950" s="56" t="s">
        <v>1210</v>
      </c>
      <c r="E2950" s="57"/>
      <c r="F2950" s="57"/>
      <c r="G2950" s="57"/>
      <c r="H2950" s="57"/>
      <c r="I2950" s="44"/>
      <c r="J2950" s="44"/>
      <c r="K2950" s="44"/>
    </row>
    <row r="2951" spans="3:15" s="59" customFormat="1" ht="21" customHeight="1">
      <c r="C2951" s="61">
        <v>1</v>
      </c>
      <c r="D2951" s="56" t="s">
        <v>4116</v>
      </c>
      <c r="E2951" s="93" t="s">
        <v>135</v>
      </c>
      <c r="F2951" s="104">
        <v>1.1499999999999999</v>
      </c>
      <c r="G2951" s="63">
        <f>VLOOKUP(D2951,upahbahan,3,FALSE)</f>
        <v>375000</v>
      </c>
      <c r="H2951" s="586">
        <f>G2951*F2951</f>
        <v>431249.99999999994</v>
      </c>
      <c r="I2951" s="44"/>
      <c r="J2951" s="44"/>
      <c r="K2951" s="44"/>
    </row>
    <row r="2952" spans="3:15" s="59" customFormat="1" ht="21" customHeight="1">
      <c r="C2952" s="450" t="s">
        <v>1214</v>
      </c>
      <c r="D2952" s="67"/>
      <c r="E2952" s="67"/>
      <c r="F2952" s="67"/>
      <c r="G2952" s="69"/>
      <c r="H2952" s="63">
        <f>SUM(H2951:H2951)</f>
        <v>431249.99999999994</v>
      </c>
      <c r="I2952" s="44"/>
      <c r="J2952" s="44"/>
      <c r="K2952" s="44"/>
    </row>
    <row r="2953" spans="3:15" s="59" customFormat="1" ht="21" customHeight="1">
      <c r="C2953" s="61" t="s">
        <v>1215</v>
      </c>
      <c r="D2953" s="56" t="s">
        <v>1216</v>
      </c>
      <c r="E2953" s="57"/>
      <c r="F2953" s="57"/>
      <c r="G2953" s="57"/>
      <c r="H2953" s="57"/>
      <c r="I2953" s="44"/>
      <c r="J2953" s="44"/>
      <c r="K2953" s="44"/>
    </row>
    <row r="2954" spans="3:15" s="59" customFormat="1" ht="21" customHeight="1">
      <c r="C2954" s="450" t="s">
        <v>1217</v>
      </c>
      <c r="D2954" s="67"/>
      <c r="E2954" s="67"/>
      <c r="F2954" s="67"/>
      <c r="G2954" s="69"/>
      <c r="H2954" s="589">
        <v>0</v>
      </c>
      <c r="I2954" s="44"/>
      <c r="J2954" s="44"/>
      <c r="K2954" s="44"/>
    </row>
    <row r="2955" spans="3:15" s="59" customFormat="1" ht="21" customHeight="1">
      <c r="C2955" s="288" t="s">
        <v>1218</v>
      </c>
      <c r="D2955" s="76" t="s">
        <v>1219</v>
      </c>
      <c r="E2955" s="77"/>
      <c r="F2955" s="77"/>
      <c r="G2955" s="78"/>
      <c r="H2955" s="585">
        <f>H2954+H2952+H2949</f>
        <v>468724.99999999994</v>
      </c>
      <c r="I2955" s="369"/>
      <c r="J2955" s="44"/>
      <c r="K2955" s="44"/>
    </row>
    <row r="2956" spans="3:15" s="59" customFormat="1" ht="21" customHeight="1">
      <c r="C2956" s="288" t="s">
        <v>1220</v>
      </c>
      <c r="D2956" s="76" t="s">
        <v>1321</v>
      </c>
      <c r="E2956" s="77"/>
      <c r="F2956" s="78"/>
      <c r="G2956" s="80">
        <v>0.1</v>
      </c>
      <c r="H2956" s="63">
        <f>H2955*G2956</f>
        <v>46872.5</v>
      </c>
      <c r="I2956" s="369"/>
      <c r="J2956" s="44"/>
      <c r="K2956" s="44"/>
    </row>
    <row r="2957" spans="3:15" s="59" customFormat="1" ht="21" customHeight="1">
      <c r="C2957" s="288" t="s">
        <v>1221</v>
      </c>
      <c r="D2957" s="76" t="s">
        <v>1222</v>
      </c>
      <c r="E2957" s="77"/>
      <c r="F2957" s="77"/>
      <c r="G2957" s="78"/>
      <c r="H2957" s="799">
        <f>SUM(H2955:H2956)</f>
        <v>515597.49999999994</v>
      </c>
      <c r="I2957" s="369"/>
      <c r="J2957" s="44"/>
      <c r="K2957" s="44"/>
    </row>
    <row r="2958" spans="3:15" ht="21" customHeight="1"/>
    <row r="2959" spans="3:15" s="59" customFormat="1" ht="21" customHeight="1">
      <c r="C2959" s="147" t="s">
        <v>5382</v>
      </c>
      <c r="D2959" s="794" t="s">
        <v>4117</v>
      </c>
      <c r="E2959" s="795"/>
      <c r="F2959" s="795"/>
      <c r="G2959" s="795"/>
      <c r="H2959" s="795"/>
      <c r="I2959" s="50">
        <f>ROUNDDOWN(H2974,-2)</f>
        <v>664100</v>
      </c>
      <c r="J2959" s="50"/>
      <c r="K2959" s="50"/>
    </row>
    <row r="2960" spans="3:15" s="59" customFormat="1" ht="21" customHeight="1">
      <c r="C2960" s="591" t="s">
        <v>1195</v>
      </c>
      <c r="D2960" s="591" t="s">
        <v>1196</v>
      </c>
      <c r="E2960" s="591" t="s">
        <v>1197</v>
      </c>
      <c r="F2960" s="591" t="s">
        <v>1198</v>
      </c>
      <c r="G2960" s="591" t="s">
        <v>1199</v>
      </c>
      <c r="H2960" s="591" t="s">
        <v>1200</v>
      </c>
      <c r="I2960" s="44"/>
      <c r="J2960" s="44"/>
      <c r="K2960" s="44"/>
    </row>
    <row r="2961" spans="3:15" s="59" customFormat="1" ht="21" customHeight="1">
      <c r="C2961" s="61" t="s">
        <v>1201</v>
      </c>
      <c r="D2961" s="56" t="s">
        <v>1202</v>
      </c>
      <c r="E2961" s="57"/>
      <c r="F2961" s="57"/>
      <c r="G2961" s="57"/>
      <c r="H2961" s="57"/>
      <c r="I2961" s="44"/>
      <c r="J2961" s="44"/>
      <c r="K2961" s="44"/>
      <c r="L2961" s="152" t="s">
        <v>1247</v>
      </c>
    </row>
    <row r="2962" spans="3:15" s="59" customFormat="1" ht="21" customHeight="1">
      <c r="C2962" s="588">
        <v>1</v>
      </c>
      <c r="D2962" s="56" t="s">
        <v>5</v>
      </c>
      <c r="E2962" s="577" t="s">
        <v>6</v>
      </c>
      <c r="F2962" s="62">
        <v>0.129</v>
      </c>
      <c r="G2962" s="63">
        <f>VLOOKUP(D2962,upahbahan,3,FALSE)</f>
        <v>100000</v>
      </c>
      <c r="H2962" s="63">
        <f>F2962*G2962</f>
        <v>12900</v>
      </c>
      <c r="I2962" s="44"/>
      <c r="J2962" s="44"/>
      <c r="K2962" s="44"/>
      <c r="L2962" s="152" t="s">
        <v>1248</v>
      </c>
      <c r="O2962" s="65">
        <v>0.1</v>
      </c>
    </row>
    <row r="2963" spans="3:15" s="59" customFormat="1" ht="21" customHeight="1">
      <c r="C2963" s="588">
        <v>2</v>
      </c>
      <c r="D2963" s="56" t="s">
        <v>10</v>
      </c>
      <c r="E2963" s="577" t="s">
        <v>6</v>
      </c>
      <c r="F2963" s="62">
        <v>0.215</v>
      </c>
      <c r="G2963" s="63">
        <f>VLOOKUP(D2963,upahbahan,3,FALSE)</f>
        <v>135000</v>
      </c>
      <c r="H2963" s="63">
        <f>F2963*G2963</f>
        <v>29025</v>
      </c>
      <c r="I2963" s="44"/>
      <c r="J2963" s="44"/>
      <c r="K2963" s="44"/>
    </row>
    <row r="2964" spans="3:15" s="59" customFormat="1" ht="21" customHeight="1">
      <c r="C2964" s="588">
        <v>3</v>
      </c>
      <c r="D2964" s="56" t="s">
        <v>18</v>
      </c>
      <c r="E2964" s="577" t="s">
        <v>6</v>
      </c>
      <c r="F2964" s="62">
        <v>2.1000000000000001E-2</v>
      </c>
      <c r="G2964" s="63">
        <f>VLOOKUP(D2964,upahbahan,3,FALSE)</f>
        <v>150000</v>
      </c>
      <c r="H2964" s="63">
        <f>F2964*G2964</f>
        <v>3150</v>
      </c>
      <c r="I2964" s="44"/>
      <c r="J2964" s="44"/>
      <c r="K2964" s="44"/>
    </row>
    <row r="2965" spans="3:15" s="59" customFormat="1" ht="21" customHeight="1">
      <c r="C2965" s="588">
        <v>4</v>
      </c>
      <c r="D2965" s="56" t="s">
        <v>19</v>
      </c>
      <c r="E2965" s="577" t="s">
        <v>6</v>
      </c>
      <c r="F2965" s="62">
        <v>6.0000000000000001E-3</v>
      </c>
      <c r="G2965" s="63">
        <f>VLOOKUP(D2965,upahbahan,3,FALSE)</f>
        <v>160000</v>
      </c>
      <c r="H2965" s="63">
        <f>F2965*G2965</f>
        <v>960</v>
      </c>
      <c r="I2965" s="44"/>
      <c r="J2965" s="44"/>
      <c r="K2965" s="44"/>
    </row>
    <row r="2966" spans="3:15" s="59" customFormat="1" ht="21" customHeight="1">
      <c r="C2966" s="450" t="s">
        <v>1208</v>
      </c>
      <c r="D2966" s="67"/>
      <c r="E2966" s="67"/>
      <c r="F2966" s="142"/>
      <c r="G2966" s="153"/>
      <c r="H2966" s="63">
        <f>SUM(H2962:H2965)</f>
        <v>46035</v>
      </c>
      <c r="I2966" s="154"/>
      <c r="J2966" s="154"/>
      <c r="K2966" s="154"/>
    </row>
    <row r="2967" spans="3:15" s="59" customFormat="1" ht="21" customHeight="1">
      <c r="C2967" s="61" t="s">
        <v>1209</v>
      </c>
      <c r="D2967" s="56" t="s">
        <v>1210</v>
      </c>
      <c r="E2967" s="57"/>
      <c r="F2967" s="57"/>
      <c r="G2967" s="57"/>
      <c r="H2967" s="57"/>
      <c r="I2967" s="44"/>
      <c r="J2967" s="44"/>
      <c r="K2967" s="44"/>
    </row>
    <row r="2968" spans="3:15" s="59" customFormat="1" ht="21" customHeight="1">
      <c r="C2968" s="61">
        <v>1</v>
      </c>
      <c r="D2968" s="56" t="s">
        <v>4118</v>
      </c>
      <c r="E2968" s="93" t="s">
        <v>135</v>
      </c>
      <c r="F2968" s="104">
        <v>1.1499999999999999</v>
      </c>
      <c r="G2968" s="63">
        <f>VLOOKUP(D2968,upahbahan,3,FALSE)</f>
        <v>485000</v>
      </c>
      <c r="H2968" s="586">
        <f>G2968*F2968</f>
        <v>557750</v>
      </c>
      <c r="I2968" s="44"/>
      <c r="J2968" s="44"/>
      <c r="K2968" s="44"/>
    </row>
    <row r="2969" spans="3:15" s="59" customFormat="1" ht="21" customHeight="1">
      <c r="C2969" s="450" t="s">
        <v>1214</v>
      </c>
      <c r="D2969" s="67"/>
      <c r="E2969" s="67"/>
      <c r="F2969" s="67"/>
      <c r="G2969" s="69"/>
      <c r="H2969" s="63">
        <f>SUM(H2968:H2968)</f>
        <v>557750</v>
      </c>
      <c r="I2969" s="44"/>
      <c r="J2969" s="44"/>
      <c r="K2969" s="44"/>
    </row>
    <row r="2970" spans="3:15" s="59" customFormat="1" ht="21" customHeight="1">
      <c r="C2970" s="61" t="s">
        <v>1215</v>
      </c>
      <c r="D2970" s="56" t="s">
        <v>1216</v>
      </c>
      <c r="E2970" s="57"/>
      <c r="F2970" s="57"/>
      <c r="G2970" s="57"/>
      <c r="H2970" s="57"/>
      <c r="I2970" s="44"/>
      <c r="J2970" s="44"/>
      <c r="K2970" s="44"/>
    </row>
    <row r="2971" spans="3:15" s="59" customFormat="1" ht="21" customHeight="1">
      <c r="C2971" s="450" t="s">
        <v>1217</v>
      </c>
      <c r="D2971" s="67"/>
      <c r="E2971" s="67"/>
      <c r="F2971" s="67"/>
      <c r="G2971" s="69"/>
      <c r="H2971" s="589">
        <v>0</v>
      </c>
      <c r="I2971" s="44"/>
      <c r="J2971" s="44"/>
      <c r="K2971" s="44"/>
    </row>
    <row r="2972" spans="3:15" s="59" customFormat="1" ht="21" customHeight="1">
      <c r="C2972" s="288" t="s">
        <v>1218</v>
      </c>
      <c r="D2972" s="76" t="s">
        <v>1219</v>
      </c>
      <c r="E2972" s="77"/>
      <c r="F2972" s="77"/>
      <c r="G2972" s="78"/>
      <c r="H2972" s="585">
        <f>H2971+H2969+H2966</f>
        <v>603785</v>
      </c>
      <c r="I2972" s="369"/>
      <c r="J2972" s="44"/>
      <c r="K2972" s="44"/>
    </row>
    <row r="2973" spans="3:15" s="59" customFormat="1" ht="21" customHeight="1">
      <c r="C2973" s="288" t="s">
        <v>1220</v>
      </c>
      <c r="D2973" s="76" t="s">
        <v>1321</v>
      </c>
      <c r="E2973" s="77"/>
      <c r="F2973" s="78"/>
      <c r="G2973" s="80">
        <v>0.1</v>
      </c>
      <c r="H2973" s="63">
        <f>H2972*G2973</f>
        <v>60378.5</v>
      </c>
      <c r="I2973" s="369"/>
      <c r="J2973" s="44"/>
      <c r="K2973" s="44"/>
    </row>
    <row r="2974" spans="3:15" s="59" customFormat="1" ht="21" customHeight="1">
      <c r="C2974" s="288" t="s">
        <v>1221</v>
      </c>
      <c r="D2974" s="76" t="s">
        <v>1222</v>
      </c>
      <c r="E2974" s="77"/>
      <c r="F2974" s="77"/>
      <c r="G2974" s="78"/>
      <c r="H2974" s="799">
        <f>SUM(H2972:H2973)</f>
        <v>664163.5</v>
      </c>
      <c r="I2974" s="369"/>
      <c r="J2974" s="44"/>
      <c r="K2974" s="44"/>
    </row>
    <row r="2975" spans="3:15" ht="21" customHeight="1"/>
    <row r="2976" spans="3:15" ht="21" customHeight="1"/>
    <row r="2977" spans="3:15" s="59" customFormat="1" ht="21" customHeight="1">
      <c r="C2977" s="147" t="s">
        <v>5383</v>
      </c>
      <c r="D2977" s="794" t="s">
        <v>4119</v>
      </c>
      <c r="E2977" s="795"/>
      <c r="F2977" s="795"/>
      <c r="G2977" s="795"/>
      <c r="H2977" s="795"/>
      <c r="I2977" s="50">
        <f>ROUNDDOWN(H2992,-2)</f>
        <v>858800</v>
      </c>
      <c r="J2977" s="50"/>
      <c r="K2977" s="50"/>
    </row>
    <row r="2978" spans="3:15" s="59" customFormat="1" ht="21" customHeight="1">
      <c r="C2978" s="591" t="s">
        <v>1195</v>
      </c>
      <c r="D2978" s="591" t="s">
        <v>1196</v>
      </c>
      <c r="E2978" s="591" t="s">
        <v>1197</v>
      </c>
      <c r="F2978" s="591" t="s">
        <v>1198</v>
      </c>
      <c r="G2978" s="591" t="s">
        <v>1199</v>
      </c>
      <c r="H2978" s="591" t="s">
        <v>1200</v>
      </c>
      <c r="I2978" s="44"/>
      <c r="J2978" s="44"/>
      <c r="K2978" s="44"/>
    </row>
    <row r="2979" spans="3:15" s="59" customFormat="1" ht="21" customHeight="1">
      <c r="C2979" s="61" t="s">
        <v>1201</v>
      </c>
      <c r="D2979" s="56" t="s">
        <v>1202</v>
      </c>
      <c r="E2979" s="57"/>
      <c r="F2979" s="57"/>
      <c r="G2979" s="57"/>
      <c r="H2979" s="57"/>
      <c r="I2979" s="44"/>
      <c r="J2979" s="44"/>
      <c r="K2979" s="44"/>
      <c r="L2979" s="152" t="s">
        <v>1247</v>
      </c>
    </row>
    <row r="2980" spans="3:15" s="59" customFormat="1" ht="21" customHeight="1">
      <c r="C2980" s="588">
        <v>1</v>
      </c>
      <c r="D2980" s="56" t="s">
        <v>5</v>
      </c>
      <c r="E2980" s="577" t="s">
        <v>6</v>
      </c>
      <c r="F2980" s="62">
        <v>0.157</v>
      </c>
      <c r="G2980" s="63">
        <f>VLOOKUP(D2980,upahbahan,3,FALSE)</f>
        <v>100000</v>
      </c>
      <c r="H2980" s="63">
        <f>F2980*G2980</f>
        <v>15700</v>
      </c>
      <c r="I2980" s="44"/>
      <c r="J2980" s="44"/>
      <c r="K2980" s="44"/>
      <c r="L2980" s="152" t="s">
        <v>1248</v>
      </c>
      <c r="O2980" s="65">
        <v>0.1</v>
      </c>
    </row>
    <row r="2981" spans="3:15" s="59" customFormat="1" ht="21" customHeight="1">
      <c r="C2981" s="588">
        <v>2</v>
      </c>
      <c r="D2981" s="56" t="s">
        <v>10</v>
      </c>
      <c r="E2981" s="577" t="s">
        <v>6</v>
      </c>
      <c r="F2981" s="62">
        <v>0.26200000000000001</v>
      </c>
      <c r="G2981" s="63">
        <f>VLOOKUP(D2981,upahbahan,3,FALSE)</f>
        <v>135000</v>
      </c>
      <c r="H2981" s="63">
        <f>F2981*G2981</f>
        <v>35370</v>
      </c>
      <c r="I2981" s="44"/>
      <c r="J2981" s="44"/>
      <c r="K2981" s="44"/>
    </row>
    <row r="2982" spans="3:15" s="59" customFormat="1" ht="21" customHeight="1">
      <c r="C2982" s="588">
        <v>3</v>
      </c>
      <c r="D2982" s="56" t="s">
        <v>18</v>
      </c>
      <c r="E2982" s="577" t="s">
        <v>6</v>
      </c>
      <c r="F2982" s="62">
        <v>2.5999999999999999E-2</v>
      </c>
      <c r="G2982" s="63">
        <f>VLOOKUP(D2982,upahbahan,3,FALSE)</f>
        <v>150000</v>
      </c>
      <c r="H2982" s="63">
        <f>F2982*G2982</f>
        <v>3900</v>
      </c>
      <c r="I2982" s="44"/>
      <c r="J2982" s="44"/>
      <c r="K2982" s="44"/>
    </row>
    <row r="2983" spans="3:15" s="59" customFormat="1" ht="21" customHeight="1">
      <c r="C2983" s="588">
        <v>4</v>
      </c>
      <c r="D2983" s="56" t="s">
        <v>19</v>
      </c>
      <c r="E2983" s="577" t="s">
        <v>6</v>
      </c>
      <c r="F2983" s="62">
        <v>8.0000000000000002E-3</v>
      </c>
      <c r="G2983" s="63">
        <f>VLOOKUP(D2983,upahbahan,3,FALSE)</f>
        <v>160000</v>
      </c>
      <c r="H2983" s="63">
        <f>F2983*G2983</f>
        <v>1280</v>
      </c>
      <c r="I2983" s="44"/>
      <c r="J2983" s="44"/>
      <c r="K2983" s="44"/>
    </row>
    <row r="2984" spans="3:15" s="59" customFormat="1" ht="21" customHeight="1">
      <c r="C2984" s="450" t="s">
        <v>1208</v>
      </c>
      <c r="D2984" s="67"/>
      <c r="E2984" s="67"/>
      <c r="F2984" s="142"/>
      <c r="G2984" s="153"/>
      <c r="H2984" s="63">
        <f>SUM(H2980:H2983)</f>
        <v>56250</v>
      </c>
      <c r="I2984" s="154"/>
      <c r="J2984" s="154"/>
      <c r="K2984" s="154"/>
    </row>
    <row r="2985" spans="3:15" s="59" customFormat="1" ht="21" customHeight="1">
      <c r="C2985" s="61" t="s">
        <v>1209</v>
      </c>
      <c r="D2985" s="56" t="s">
        <v>1210</v>
      </c>
      <c r="E2985" s="57"/>
      <c r="F2985" s="57"/>
      <c r="G2985" s="57"/>
      <c r="H2985" s="57"/>
      <c r="I2985" s="44"/>
      <c r="J2985" s="44"/>
      <c r="K2985" s="44"/>
    </row>
    <row r="2986" spans="3:15" s="59" customFormat="1" ht="21" customHeight="1">
      <c r="C2986" s="61">
        <v>1</v>
      </c>
      <c r="D2986" s="56" t="s">
        <v>4120</v>
      </c>
      <c r="E2986" s="93" t="s">
        <v>135</v>
      </c>
      <c r="F2986" s="104">
        <v>1.1499999999999999</v>
      </c>
      <c r="G2986" s="63">
        <f>VLOOKUP(D2986,upahbahan,3,FALSE)</f>
        <v>630000</v>
      </c>
      <c r="H2986" s="586">
        <f>G2986*F2986</f>
        <v>724500</v>
      </c>
      <c r="I2986" s="44"/>
      <c r="J2986" s="44"/>
      <c r="K2986" s="44"/>
    </row>
    <row r="2987" spans="3:15" s="59" customFormat="1" ht="21" customHeight="1">
      <c r="C2987" s="450" t="s">
        <v>1214</v>
      </c>
      <c r="D2987" s="67"/>
      <c r="E2987" s="67"/>
      <c r="F2987" s="67"/>
      <c r="G2987" s="69"/>
      <c r="H2987" s="63">
        <f>SUM(H2986:H2986)</f>
        <v>724500</v>
      </c>
      <c r="I2987" s="44"/>
      <c r="J2987" s="44"/>
      <c r="K2987" s="44"/>
    </row>
    <row r="2988" spans="3:15" s="59" customFormat="1" ht="21" customHeight="1">
      <c r="C2988" s="61" t="s">
        <v>1215</v>
      </c>
      <c r="D2988" s="56" t="s">
        <v>1216</v>
      </c>
      <c r="E2988" s="57"/>
      <c r="F2988" s="57"/>
      <c r="G2988" s="57"/>
      <c r="H2988" s="57"/>
      <c r="I2988" s="44"/>
      <c r="J2988" s="44"/>
      <c r="K2988" s="44"/>
    </row>
    <row r="2989" spans="3:15" s="59" customFormat="1" ht="21" customHeight="1">
      <c r="C2989" s="450" t="s">
        <v>1217</v>
      </c>
      <c r="D2989" s="67"/>
      <c r="E2989" s="67"/>
      <c r="F2989" s="67"/>
      <c r="G2989" s="69"/>
      <c r="H2989" s="589">
        <v>0</v>
      </c>
      <c r="I2989" s="44"/>
      <c r="J2989" s="44"/>
      <c r="K2989" s="44"/>
    </row>
    <row r="2990" spans="3:15" s="59" customFormat="1" ht="21" customHeight="1">
      <c r="C2990" s="288" t="s">
        <v>1218</v>
      </c>
      <c r="D2990" s="76" t="s">
        <v>1219</v>
      </c>
      <c r="E2990" s="77"/>
      <c r="F2990" s="77"/>
      <c r="G2990" s="78"/>
      <c r="H2990" s="585">
        <f>H2989+H2987+H2984</f>
        <v>780750</v>
      </c>
      <c r="I2990" s="369"/>
      <c r="J2990" s="44"/>
      <c r="K2990" s="44"/>
    </row>
    <row r="2991" spans="3:15" s="59" customFormat="1" ht="21" customHeight="1">
      <c r="C2991" s="288" t="s">
        <v>1220</v>
      </c>
      <c r="D2991" s="76" t="s">
        <v>1321</v>
      </c>
      <c r="E2991" s="77"/>
      <c r="F2991" s="78"/>
      <c r="G2991" s="80">
        <v>0.1</v>
      </c>
      <c r="H2991" s="63">
        <f>H2990*G2991</f>
        <v>78075</v>
      </c>
      <c r="I2991" s="369"/>
      <c r="J2991" s="44"/>
      <c r="K2991" s="44"/>
    </row>
    <row r="2992" spans="3:15" s="59" customFormat="1" ht="21" customHeight="1">
      <c r="C2992" s="288" t="s">
        <v>1221</v>
      </c>
      <c r="D2992" s="76" t="s">
        <v>1222</v>
      </c>
      <c r="E2992" s="77"/>
      <c r="F2992" s="77"/>
      <c r="G2992" s="78"/>
      <c r="H2992" s="799">
        <f>SUM(H2990:H2991)</f>
        <v>858825</v>
      </c>
      <c r="I2992" s="369"/>
      <c r="J2992" s="44"/>
      <c r="K2992" s="44"/>
    </row>
    <row r="2993" spans="3:15" ht="21" customHeight="1"/>
    <row r="2994" spans="3:15" s="59" customFormat="1" ht="21" customHeight="1">
      <c r="C2994" s="147" t="s">
        <v>5384</v>
      </c>
      <c r="D2994" s="794" t="s">
        <v>4121</v>
      </c>
      <c r="E2994" s="795"/>
      <c r="F2994" s="795"/>
      <c r="G2994" s="795"/>
      <c r="H2994" s="795"/>
      <c r="I2994" s="50">
        <f>ROUNDDOWN(H3009,-2)</f>
        <v>1182200</v>
      </c>
      <c r="J2994" s="50"/>
      <c r="K2994" s="50"/>
    </row>
    <row r="2995" spans="3:15" s="59" customFormat="1" ht="21" customHeight="1">
      <c r="C2995" s="591" t="s">
        <v>1195</v>
      </c>
      <c r="D2995" s="591" t="s">
        <v>1196</v>
      </c>
      <c r="E2995" s="591" t="s">
        <v>1197</v>
      </c>
      <c r="F2995" s="591" t="s">
        <v>1198</v>
      </c>
      <c r="G2995" s="591" t="s">
        <v>1199</v>
      </c>
      <c r="H2995" s="591" t="s">
        <v>1200</v>
      </c>
      <c r="I2995" s="44"/>
      <c r="J2995" s="44"/>
      <c r="K2995" s="44"/>
    </row>
    <row r="2996" spans="3:15" s="59" customFormat="1" ht="21" customHeight="1">
      <c r="C2996" s="61" t="s">
        <v>1201</v>
      </c>
      <c r="D2996" s="56" t="s">
        <v>1202</v>
      </c>
      <c r="E2996" s="57"/>
      <c r="F2996" s="57"/>
      <c r="G2996" s="57"/>
      <c r="H2996" s="57"/>
      <c r="I2996" s="44"/>
      <c r="J2996" s="44"/>
      <c r="K2996" s="44"/>
      <c r="L2996" s="152" t="s">
        <v>1247</v>
      </c>
    </row>
    <row r="2997" spans="3:15" s="59" customFormat="1" ht="21" customHeight="1">
      <c r="C2997" s="588">
        <v>1</v>
      </c>
      <c r="D2997" s="56" t="s">
        <v>5</v>
      </c>
      <c r="E2997" s="577" t="s">
        <v>6</v>
      </c>
      <c r="F2997" s="62">
        <v>0.20699999999999999</v>
      </c>
      <c r="G2997" s="63">
        <f>VLOOKUP(D2997,upahbahan,3,FALSE)</f>
        <v>100000</v>
      </c>
      <c r="H2997" s="63">
        <f>F2997*G2997</f>
        <v>20700</v>
      </c>
      <c r="I2997" s="44"/>
      <c r="J2997" s="44"/>
      <c r="K2997" s="44"/>
      <c r="L2997" s="152" t="s">
        <v>1248</v>
      </c>
      <c r="O2997" s="65">
        <v>0.1</v>
      </c>
    </row>
    <row r="2998" spans="3:15" s="59" customFormat="1" ht="21" customHeight="1">
      <c r="C2998" s="588">
        <v>2</v>
      </c>
      <c r="D2998" s="56" t="s">
        <v>10</v>
      </c>
      <c r="E2998" s="577" t="s">
        <v>6</v>
      </c>
      <c r="F2998" s="62">
        <v>0.34599999999999997</v>
      </c>
      <c r="G2998" s="63">
        <f>VLOOKUP(D2998,upahbahan,3,FALSE)</f>
        <v>135000</v>
      </c>
      <c r="H2998" s="63">
        <f>F2998*G2998</f>
        <v>46710</v>
      </c>
      <c r="I2998" s="44"/>
      <c r="J2998" s="44"/>
      <c r="K2998" s="44"/>
    </row>
    <row r="2999" spans="3:15" s="59" customFormat="1" ht="21" customHeight="1">
      <c r="C2999" s="588">
        <v>3</v>
      </c>
      <c r="D2999" s="56" t="s">
        <v>18</v>
      </c>
      <c r="E2999" s="577" t="s">
        <v>6</v>
      </c>
      <c r="F2999" s="62">
        <v>3.5000000000000003E-2</v>
      </c>
      <c r="G2999" s="63">
        <f>VLOOKUP(D2999,upahbahan,3,FALSE)</f>
        <v>150000</v>
      </c>
      <c r="H2999" s="63">
        <f>F2999*G2999</f>
        <v>5250.0000000000009</v>
      </c>
      <c r="I2999" s="44"/>
      <c r="J2999" s="44"/>
      <c r="K2999" s="44"/>
    </row>
    <row r="3000" spans="3:15" s="59" customFormat="1" ht="21" customHeight="1">
      <c r="C3000" s="588">
        <v>4</v>
      </c>
      <c r="D3000" s="56" t="s">
        <v>19</v>
      </c>
      <c r="E3000" s="577" t="s">
        <v>6</v>
      </c>
      <c r="F3000" s="62">
        <v>0.01</v>
      </c>
      <c r="G3000" s="63">
        <f>VLOOKUP(D3000,upahbahan,3,FALSE)</f>
        <v>160000</v>
      </c>
      <c r="H3000" s="63">
        <f>F3000*G3000</f>
        <v>1600</v>
      </c>
      <c r="I3000" s="44"/>
      <c r="J3000" s="44"/>
      <c r="K3000" s="44"/>
    </row>
    <row r="3001" spans="3:15" s="59" customFormat="1" ht="21" customHeight="1">
      <c r="C3001" s="450" t="s">
        <v>1208</v>
      </c>
      <c r="D3001" s="67"/>
      <c r="E3001" s="67"/>
      <c r="F3001" s="142"/>
      <c r="G3001" s="153"/>
      <c r="H3001" s="63">
        <f>SUM(H2997:H3000)</f>
        <v>74260</v>
      </c>
      <c r="I3001" s="154"/>
      <c r="J3001" s="154"/>
      <c r="K3001" s="154"/>
    </row>
    <row r="3002" spans="3:15" s="59" customFormat="1" ht="21" customHeight="1">
      <c r="C3002" s="61" t="s">
        <v>1209</v>
      </c>
      <c r="D3002" s="56" t="s">
        <v>1210</v>
      </c>
      <c r="E3002" s="57"/>
      <c r="F3002" s="57"/>
      <c r="G3002" s="57"/>
      <c r="H3002" s="57"/>
      <c r="I3002" s="44"/>
      <c r="J3002" s="44"/>
      <c r="K3002" s="44"/>
    </row>
    <row r="3003" spans="3:15" s="59" customFormat="1" ht="21" customHeight="1">
      <c r="C3003" s="61">
        <v>1</v>
      </c>
      <c r="D3003" s="56" t="s">
        <v>4122</v>
      </c>
      <c r="E3003" s="93" t="s">
        <v>135</v>
      </c>
      <c r="F3003" s="104">
        <v>1.1499999999999999</v>
      </c>
      <c r="G3003" s="63">
        <f>VLOOKUP(D3003,upahbahan,3,FALSE)</f>
        <v>870000</v>
      </c>
      <c r="H3003" s="586">
        <f>G3003*F3003</f>
        <v>1000499.9999999999</v>
      </c>
      <c r="I3003" s="44"/>
      <c r="J3003" s="44"/>
      <c r="K3003" s="44"/>
    </row>
    <row r="3004" spans="3:15" s="59" customFormat="1" ht="21" customHeight="1">
      <c r="C3004" s="450" t="s">
        <v>1214</v>
      </c>
      <c r="D3004" s="67"/>
      <c r="E3004" s="67"/>
      <c r="F3004" s="67"/>
      <c r="G3004" s="69"/>
      <c r="H3004" s="63">
        <f>SUM(H3003:H3003)</f>
        <v>1000499.9999999999</v>
      </c>
      <c r="I3004" s="44"/>
      <c r="J3004" s="44"/>
      <c r="K3004" s="44"/>
    </row>
    <row r="3005" spans="3:15" s="59" customFormat="1" ht="21" customHeight="1">
      <c r="C3005" s="61" t="s">
        <v>1215</v>
      </c>
      <c r="D3005" s="56" t="s">
        <v>1216</v>
      </c>
      <c r="E3005" s="57"/>
      <c r="F3005" s="57"/>
      <c r="G3005" s="57"/>
      <c r="H3005" s="57"/>
      <c r="I3005" s="44"/>
      <c r="J3005" s="44"/>
      <c r="K3005" s="44"/>
    </row>
    <row r="3006" spans="3:15" s="59" customFormat="1" ht="21" customHeight="1">
      <c r="C3006" s="450" t="s">
        <v>1217</v>
      </c>
      <c r="D3006" s="67"/>
      <c r="E3006" s="67"/>
      <c r="F3006" s="67"/>
      <c r="G3006" s="69"/>
      <c r="H3006" s="589">
        <v>0</v>
      </c>
      <c r="I3006" s="44"/>
      <c r="J3006" s="44"/>
      <c r="K3006" s="44"/>
    </row>
    <row r="3007" spans="3:15" s="59" customFormat="1" ht="21" customHeight="1">
      <c r="C3007" s="288" t="s">
        <v>1218</v>
      </c>
      <c r="D3007" s="76" t="s">
        <v>1219</v>
      </c>
      <c r="E3007" s="77"/>
      <c r="F3007" s="77"/>
      <c r="G3007" s="78"/>
      <c r="H3007" s="585">
        <f>H3006+H3004+H3001</f>
        <v>1074760</v>
      </c>
      <c r="I3007" s="369"/>
      <c r="J3007" s="44"/>
      <c r="K3007" s="44"/>
    </row>
    <row r="3008" spans="3:15" s="59" customFormat="1" ht="21" customHeight="1">
      <c r="C3008" s="288" t="s">
        <v>1220</v>
      </c>
      <c r="D3008" s="76" t="s">
        <v>1321</v>
      </c>
      <c r="E3008" s="77"/>
      <c r="F3008" s="78"/>
      <c r="G3008" s="80">
        <v>0.1</v>
      </c>
      <c r="H3008" s="63">
        <f>H3007*G3008</f>
        <v>107476</v>
      </c>
      <c r="I3008" s="369"/>
      <c r="J3008" s="44"/>
      <c r="K3008" s="44"/>
    </row>
    <row r="3009" spans="3:15" s="59" customFormat="1" ht="21" customHeight="1">
      <c r="C3009" s="288" t="s">
        <v>1221</v>
      </c>
      <c r="D3009" s="76" t="s">
        <v>1222</v>
      </c>
      <c r="E3009" s="77"/>
      <c r="F3009" s="77"/>
      <c r="G3009" s="78"/>
      <c r="H3009" s="799">
        <f>SUM(H3007:H3008)</f>
        <v>1182236</v>
      </c>
      <c r="I3009" s="369"/>
      <c r="J3009" s="44"/>
      <c r="K3009" s="44"/>
    </row>
    <row r="3010" spans="3:15" ht="21" customHeight="1"/>
    <row r="3011" spans="3:15" s="59" customFormat="1" ht="21" customHeight="1">
      <c r="C3011" s="147" t="s">
        <v>5385</v>
      </c>
      <c r="D3011" s="794" t="s">
        <v>4123</v>
      </c>
      <c r="E3011" s="795"/>
      <c r="F3011" s="795"/>
      <c r="G3011" s="795"/>
      <c r="H3011" s="795"/>
      <c r="I3011" s="50">
        <f>ROUNDDOWN(H3026,-2)</f>
        <v>1341900</v>
      </c>
      <c r="J3011" s="50"/>
      <c r="K3011" s="50"/>
    </row>
    <row r="3012" spans="3:15" s="59" customFormat="1" ht="21" customHeight="1">
      <c r="C3012" s="591" t="s">
        <v>1195</v>
      </c>
      <c r="D3012" s="591" t="s">
        <v>1196</v>
      </c>
      <c r="E3012" s="591" t="s">
        <v>1197</v>
      </c>
      <c r="F3012" s="591" t="s">
        <v>1198</v>
      </c>
      <c r="G3012" s="591" t="s">
        <v>1199</v>
      </c>
      <c r="H3012" s="591" t="s">
        <v>1200</v>
      </c>
      <c r="I3012" s="44"/>
      <c r="J3012" s="44"/>
      <c r="K3012" s="44"/>
    </row>
    <row r="3013" spans="3:15" s="59" customFormat="1" ht="21" customHeight="1">
      <c r="C3013" s="61" t="s">
        <v>1201</v>
      </c>
      <c r="D3013" s="56" t="s">
        <v>1202</v>
      </c>
      <c r="E3013" s="57"/>
      <c r="F3013" s="57"/>
      <c r="G3013" s="57"/>
      <c r="H3013" s="57"/>
      <c r="I3013" s="44"/>
      <c r="J3013" s="44"/>
      <c r="K3013" s="44"/>
      <c r="L3013" s="152" t="s">
        <v>1247</v>
      </c>
    </row>
    <row r="3014" spans="3:15" s="59" customFormat="1" ht="21" customHeight="1">
      <c r="C3014" s="588">
        <v>1</v>
      </c>
      <c r="D3014" s="56" t="s">
        <v>5</v>
      </c>
      <c r="E3014" s="577" t="s">
        <v>6</v>
      </c>
      <c r="F3014" s="62">
        <v>0.26</v>
      </c>
      <c r="G3014" s="63">
        <f>VLOOKUP(D3014,upahbahan,3,FALSE)</f>
        <v>100000</v>
      </c>
      <c r="H3014" s="63">
        <f>F3014*G3014</f>
        <v>26000</v>
      </c>
      <c r="I3014" s="44"/>
      <c r="J3014" s="44"/>
      <c r="K3014" s="44"/>
      <c r="L3014" s="152" t="s">
        <v>1248</v>
      </c>
      <c r="O3014" s="65">
        <v>0.1</v>
      </c>
    </row>
    <row r="3015" spans="3:15" s="59" customFormat="1" ht="21" customHeight="1">
      <c r="C3015" s="588">
        <v>2</v>
      </c>
      <c r="D3015" s="56" t="s">
        <v>10</v>
      </c>
      <c r="E3015" s="577" t="s">
        <v>6</v>
      </c>
      <c r="F3015" s="62">
        <v>0.433</v>
      </c>
      <c r="G3015" s="63">
        <f>VLOOKUP(D3015,upahbahan,3,FALSE)</f>
        <v>135000</v>
      </c>
      <c r="H3015" s="63">
        <f>F3015*G3015</f>
        <v>58455</v>
      </c>
      <c r="I3015" s="44"/>
      <c r="J3015" s="44"/>
      <c r="K3015" s="44"/>
    </row>
    <row r="3016" spans="3:15" s="59" customFormat="1" ht="21" customHeight="1">
      <c r="C3016" s="588">
        <v>3</v>
      </c>
      <c r="D3016" s="56" t="s">
        <v>18</v>
      </c>
      <c r="E3016" s="577" t="s">
        <v>6</v>
      </c>
      <c r="F3016" s="62">
        <v>4.2999999999999997E-2</v>
      </c>
      <c r="G3016" s="63">
        <f>VLOOKUP(D3016,upahbahan,3,FALSE)</f>
        <v>150000</v>
      </c>
      <c r="H3016" s="63">
        <f>F3016*G3016</f>
        <v>6449.9999999999991</v>
      </c>
      <c r="I3016" s="44"/>
      <c r="J3016" s="44"/>
      <c r="K3016" s="44"/>
    </row>
    <row r="3017" spans="3:15" s="59" customFormat="1" ht="21" customHeight="1">
      <c r="C3017" s="588">
        <v>4</v>
      </c>
      <c r="D3017" s="56" t="s">
        <v>19</v>
      </c>
      <c r="E3017" s="577" t="s">
        <v>6</v>
      </c>
      <c r="F3017" s="62">
        <v>1.2999999999999999E-2</v>
      </c>
      <c r="G3017" s="63">
        <f>VLOOKUP(D3017,upahbahan,3,FALSE)</f>
        <v>160000</v>
      </c>
      <c r="H3017" s="63">
        <f>F3017*G3017</f>
        <v>2080</v>
      </c>
      <c r="I3017" s="44"/>
      <c r="J3017" s="44"/>
      <c r="K3017" s="44"/>
    </row>
    <row r="3018" spans="3:15" s="59" customFormat="1" ht="21" customHeight="1">
      <c r="C3018" s="450" t="s">
        <v>1208</v>
      </c>
      <c r="D3018" s="67"/>
      <c r="E3018" s="67"/>
      <c r="F3018" s="142"/>
      <c r="G3018" s="153"/>
      <c r="H3018" s="63">
        <f>SUM(H3014:H3017)</f>
        <v>92985</v>
      </c>
      <c r="I3018" s="154"/>
      <c r="J3018" s="154"/>
      <c r="K3018" s="154"/>
    </row>
    <row r="3019" spans="3:15" s="59" customFormat="1" ht="21" customHeight="1">
      <c r="C3019" s="61" t="s">
        <v>1209</v>
      </c>
      <c r="D3019" s="56" t="s">
        <v>1210</v>
      </c>
      <c r="E3019" s="57"/>
      <c r="F3019" s="57"/>
      <c r="G3019" s="57"/>
      <c r="H3019" s="57"/>
      <c r="I3019" s="44"/>
      <c r="J3019" s="44"/>
      <c r="K3019" s="44"/>
    </row>
    <row r="3020" spans="3:15" s="59" customFormat="1" ht="21" customHeight="1">
      <c r="C3020" s="61">
        <v>1</v>
      </c>
      <c r="D3020" s="56" t="s">
        <v>4124</v>
      </c>
      <c r="E3020" s="93" t="s">
        <v>135</v>
      </c>
      <c r="F3020" s="104">
        <v>1.1499999999999999</v>
      </c>
      <c r="G3020" s="63">
        <f>VLOOKUP(D3020,upahbahan,3,FALSE)</f>
        <v>980000</v>
      </c>
      <c r="H3020" s="586">
        <f>G3020*F3020</f>
        <v>1127000</v>
      </c>
      <c r="I3020" s="44"/>
      <c r="J3020" s="44"/>
      <c r="K3020" s="44"/>
    </row>
    <row r="3021" spans="3:15" s="59" customFormat="1" ht="21" customHeight="1">
      <c r="C3021" s="450" t="s">
        <v>1214</v>
      </c>
      <c r="D3021" s="67"/>
      <c r="E3021" s="67"/>
      <c r="F3021" s="67"/>
      <c r="G3021" s="69"/>
      <c r="H3021" s="63">
        <f>SUM(H3020:H3020)</f>
        <v>1127000</v>
      </c>
      <c r="I3021" s="44"/>
      <c r="J3021" s="44"/>
      <c r="K3021" s="44"/>
    </row>
    <row r="3022" spans="3:15" s="59" customFormat="1" ht="21" customHeight="1">
      <c r="C3022" s="61" t="s">
        <v>1215</v>
      </c>
      <c r="D3022" s="56" t="s">
        <v>1216</v>
      </c>
      <c r="E3022" s="57"/>
      <c r="F3022" s="57"/>
      <c r="G3022" s="57"/>
      <c r="H3022" s="57"/>
      <c r="I3022" s="44"/>
      <c r="J3022" s="44"/>
      <c r="K3022" s="44"/>
    </row>
    <row r="3023" spans="3:15" s="59" customFormat="1" ht="21" customHeight="1">
      <c r="C3023" s="450" t="s">
        <v>1217</v>
      </c>
      <c r="D3023" s="67"/>
      <c r="E3023" s="67"/>
      <c r="F3023" s="67"/>
      <c r="G3023" s="69"/>
      <c r="H3023" s="589">
        <v>0</v>
      </c>
      <c r="I3023" s="44"/>
      <c r="J3023" s="44"/>
      <c r="K3023" s="44"/>
    </row>
    <row r="3024" spans="3:15" s="59" customFormat="1" ht="21" customHeight="1">
      <c r="C3024" s="288" t="s">
        <v>1218</v>
      </c>
      <c r="D3024" s="76" t="s">
        <v>1219</v>
      </c>
      <c r="E3024" s="77"/>
      <c r="F3024" s="77"/>
      <c r="G3024" s="78"/>
      <c r="H3024" s="585">
        <f>H3023+H3021+H3018</f>
        <v>1219985</v>
      </c>
      <c r="I3024" s="369"/>
      <c r="J3024" s="44"/>
      <c r="K3024" s="44"/>
    </row>
    <row r="3025" spans="3:15" s="59" customFormat="1" ht="21" customHeight="1">
      <c r="C3025" s="288" t="s">
        <v>1220</v>
      </c>
      <c r="D3025" s="76" t="s">
        <v>1321</v>
      </c>
      <c r="E3025" s="77"/>
      <c r="F3025" s="78"/>
      <c r="G3025" s="80">
        <v>0.1</v>
      </c>
      <c r="H3025" s="63">
        <f>H3024*G3025</f>
        <v>121998.5</v>
      </c>
      <c r="I3025" s="369"/>
      <c r="J3025" s="44"/>
      <c r="K3025" s="44"/>
    </row>
    <row r="3026" spans="3:15" s="59" customFormat="1" ht="21" customHeight="1">
      <c r="C3026" s="288" t="s">
        <v>1221</v>
      </c>
      <c r="D3026" s="76" t="s">
        <v>1222</v>
      </c>
      <c r="E3026" s="77"/>
      <c r="F3026" s="77"/>
      <c r="G3026" s="78"/>
      <c r="H3026" s="799">
        <f>SUM(H3024:H3025)</f>
        <v>1341983.5</v>
      </c>
      <c r="I3026" s="369"/>
      <c r="J3026" s="44"/>
      <c r="K3026" s="44"/>
    </row>
    <row r="3027" spans="3:15" ht="21" customHeight="1"/>
    <row r="3028" spans="3:15" s="59" customFormat="1" ht="21" customHeight="1">
      <c r="C3028" s="147" t="s">
        <v>5386</v>
      </c>
      <c r="D3028" s="794" t="s">
        <v>4125</v>
      </c>
      <c r="E3028" s="795"/>
      <c r="F3028" s="795"/>
      <c r="G3028" s="795"/>
      <c r="H3028" s="795"/>
      <c r="I3028" s="50">
        <f>ROUNDDOWN(H3043,-2)</f>
        <v>1859000</v>
      </c>
      <c r="J3028" s="50"/>
      <c r="K3028" s="50"/>
    </row>
    <row r="3029" spans="3:15" s="59" customFormat="1" ht="21" customHeight="1">
      <c r="C3029" s="591" t="s">
        <v>1195</v>
      </c>
      <c r="D3029" s="591" t="s">
        <v>1196</v>
      </c>
      <c r="E3029" s="591" t="s">
        <v>1197</v>
      </c>
      <c r="F3029" s="591" t="s">
        <v>1198</v>
      </c>
      <c r="G3029" s="591" t="s">
        <v>1199</v>
      </c>
      <c r="H3029" s="591" t="s">
        <v>1200</v>
      </c>
      <c r="I3029" s="44"/>
      <c r="J3029" s="44"/>
      <c r="K3029" s="44"/>
    </row>
    <row r="3030" spans="3:15" s="59" customFormat="1" ht="21" customHeight="1">
      <c r="C3030" s="61" t="s">
        <v>1201</v>
      </c>
      <c r="D3030" s="56" t="s">
        <v>1202</v>
      </c>
      <c r="E3030" s="57"/>
      <c r="F3030" s="57"/>
      <c r="G3030" s="57"/>
      <c r="H3030" s="57"/>
      <c r="I3030" s="44"/>
      <c r="J3030" s="44"/>
      <c r="K3030" s="44"/>
      <c r="L3030" s="152" t="s">
        <v>1247</v>
      </c>
    </row>
    <row r="3031" spans="3:15" s="59" customFormat="1" ht="21" customHeight="1">
      <c r="C3031" s="588">
        <v>1</v>
      </c>
      <c r="D3031" s="56" t="s">
        <v>5</v>
      </c>
      <c r="E3031" s="577" t="s">
        <v>6</v>
      </c>
      <c r="F3031" s="62">
        <v>0.47099999999999997</v>
      </c>
      <c r="G3031" s="63">
        <f>VLOOKUP(D3031,upahbahan,3,FALSE)</f>
        <v>100000</v>
      </c>
      <c r="H3031" s="63">
        <f>F3031*G3031</f>
        <v>47100</v>
      </c>
      <c r="I3031" s="44"/>
      <c r="J3031" s="44"/>
      <c r="K3031" s="44"/>
      <c r="L3031" s="152" t="s">
        <v>1248</v>
      </c>
      <c r="O3031" s="65">
        <v>0.1</v>
      </c>
    </row>
    <row r="3032" spans="3:15" s="59" customFormat="1" ht="21" customHeight="1">
      <c r="C3032" s="588">
        <v>2</v>
      </c>
      <c r="D3032" s="56" t="s">
        <v>10</v>
      </c>
      <c r="E3032" s="577" t="s">
        <v>6</v>
      </c>
      <c r="F3032" s="62">
        <v>0.78700000000000003</v>
      </c>
      <c r="G3032" s="63">
        <f>VLOOKUP(D3032,upahbahan,3,FALSE)</f>
        <v>135000</v>
      </c>
      <c r="H3032" s="63">
        <f>F3032*G3032</f>
        <v>106245</v>
      </c>
      <c r="I3032" s="44"/>
      <c r="J3032" s="44"/>
      <c r="K3032" s="44"/>
    </row>
    <row r="3033" spans="3:15" s="59" customFormat="1" ht="21" customHeight="1">
      <c r="C3033" s="588">
        <v>3</v>
      </c>
      <c r="D3033" s="56" t="s">
        <v>18</v>
      </c>
      <c r="E3033" s="577" t="s">
        <v>6</v>
      </c>
      <c r="F3033" s="62">
        <v>7.9000000000000001E-2</v>
      </c>
      <c r="G3033" s="63">
        <f>VLOOKUP(D3033,upahbahan,3,FALSE)</f>
        <v>150000</v>
      </c>
      <c r="H3033" s="63">
        <f>F3033*G3033</f>
        <v>11850</v>
      </c>
      <c r="I3033" s="44"/>
      <c r="J3033" s="44"/>
      <c r="K3033" s="44"/>
    </row>
    <row r="3034" spans="3:15" s="59" customFormat="1" ht="21" customHeight="1">
      <c r="C3034" s="588">
        <v>4</v>
      </c>
      <c r="D3034" s="56" t="s">
        <v>19</v>
      </c>
      <c r="E3034" s="577" t="s">
        <v>6</v>
      </c>
      <c r="F3034" s="62">
        <v>2.4E-2</v>
      </c>
      <c r="G3034" s="63">
        <f>VLOOKUP(D3034,upahbahan,3,FALSE)</f>
        <v>160000</v>
      </c>
      <c r="H3034" s="63">
        <f>F3034*G3034</f>
        <v>3840</v>
      </c>
      <c r="I3034" s="44"/>
      <c r="J3034" s="44"/>
      <c r="K3034" s="44"/>
    </row>
    <row r="3035" spans="3:15" s="59" customFormat="1" ht="21" customHeight="1">
      <c r="C3035" s="450" t="s">
        <v>1208</v>
      </c>
      <c r="D3035" s="67"/>
      <c r="E3035" s="67"/>
      <c r="F3035" s="142"/>
      <c r="G3035" s="153"/>
      <c r="H3035" s="63">
        <f>SUM(H3031:H3034)</f>
        <v>169035</v>
      </c>
      <c r="I3035" s="154"/>
      <c r="J3035" s="154"/>
      <c r="K3035" s="154"/>
    </row>
    <row r="3036" spans="3:15" s="59" customFormat="1" ht="21" customHeight="1">
      <c r="C3036" s="61" t="s">
        <v>1209</v>
      </c>
      <c r="D3036" s="56" t="s">
        <v>1210</v>
      </c>
      <c r="E3036" s="57"/>
      <c r="F3036" s="57"/>
      <c r="G3036" s="57"/>
      <c r="H3036" s="57"/>
      <c r="I3036" s="44"/>
      <c r="J3036" s="44"/>
      <c r="K3036" s="44"/>
    </row>
    <row r="3037" spans="3:15" s="59" customFormat="1" ht="21" customHeight="1">
      <c r="C3037" s="61">
        <v>1</v>
      </c>
      <c r="D3037" s="56" t="s">
        <v>4126</v>
      </c>
      <c r="E3037" s="93" t="s">
        <v>135</v>
      </c>
      <c r="F3037" s="104">
        <v>1.3</v>
      </c>
      <c r="G3037" s="63">
        <f>VLOOKUP(D3037,upahbahan,3,FALSE)</f>
        <v>1170000</v>
      </c>
      <c r="H3037" s="586">
        <f>G3037*F3037</f>
        <v>1521000</v>
      </c>
      <c r="I3037" s="44"/>
      <c r="J3037" s="44"/>
      <c r="K3037" s="44"/>
    </row>
    <row r="3038" spans="3:15" s="59" customFormat="1" ht="21" customHeight="1">
      <c r="C3038" s="450" t="s">
        <v>1214</v>
      </c>
      <c r="D3038" s="67"/>
      <c r="E3038" s="67"/>
      <c r="F3038" s="67"/>
      <c r="G3038" s="69"/>
      <c r="H3038" s="63">
        <f>SUM(H3037:H3037)</f>
        <v>1521000</v>
      </c>
      <c r="I3038" s="44"/>
      <c r="J3038" s="44"/>
      <c r="K3038" s="44"/>
    </row>
    <row r="3039" spans="3:15" s="59" customFormat="1" ht="21" customHeight="1">
      <c r="C3039" s="61" t="s">
        <v>1215</v>
      </c>
      <c r="D3039" s="56" t="s">
        <v>1216</v>
      </c>
      <c r="E3039" s="57"/>
      <c r="F3039" s="57"/>
      <c r="G3039" s="57"/>
      <c r="H3039" s="57"/>
      <c r="I3039" s="44"/>
      <c r="J3039" s="44"/>
      <c r="K3039" s="44"/>
    </row>
    <row r="3040" spans="3:15" s="59" customFormat="1" ht="21" customHeight="1">
      <c r="C3040" s="450" t="s">
        <v>1217</v>
      </c>
      <c r="D3040" s="67"/>
      <c r="E3040" s="67"/>
      <c r="F3040" s="67"/>
      <c r="G3040" s="69"/>
      <c r="H3040" s="589">
        <v>0</v>
      </c>
      <c r="I3040" s="44"/>
      <c r="J3040" s="44"/>
      <c r="K3040" s="44"/>
    </row>
    <row r="3041" spans="3:15" s="59" customFormat="1" ht="21" customHeight="1">
      <c r="C3041" s="288" t="s">
        <v>1218</v>
      </c>
      <c r="D3041" s="76" t="s">
        <v>1219</v>
      </c>
      <c r="E3041" s="77"/>
      <c r="F3041" s="77"/>
      <c r="G3041" s="78"/>
      <c r="H3041" s="585">
        <f>H3040+H3038+H3035</f>
        <v>1690035</v>
      </c>
      <c r="I3041" s="369"/>
      <c r="J3041" s="44"/>
      <c r="K3041" s="44"/>
    </row>
    <row r="3042" spans="3:15" s="59" customFormat="1" ht="21" customHeight="1">
      <c r="C3042" s="288" t="s">
        <v>1220</v>
      </c>
      <c r="D3042" s="76" t="s">
        <v>1321</v>
      </c>
      <c r="E3042" s="77"/>
      <c r="F3042" s="78"/>
      <c r="G3042" s="80">
        <v>0.1</v>
      </c>
      <c r="H3042" s="63">
        <f>H3041*G3042</f>
        <v>169003.5</v>
      </c>
      <c r="I3042" s="369"/>
      <c r="J3042" s="44"/>
      <c r="K3042" s="44"/>
    </row>
    <row r="3043" spans="3:15" s="59" customFormat="1" ht="21" customHeight="1">
      <c r="C3043" s="288" t="s">
        <v>1221</v>
      </c>
      <c r="D3043" s="76" t="s">
        <v>1222</v>
      </c>
      <c r="E3043" s="77"/>
      <c r="F3043" s="77"/>
      <c r="G3043" s="78"/>
      <c r="H3043" s="799">
        <f>SUM(H3041:H3042)</f>
        <v>1859038.5</v>
      </c>
      <c r="I3043" s="369"/>
      <c r="J3043" s="44"/>
      <c r="K3043" s="44"/>
    </row>
    <row r="3044" spans="3:15" ht="21" customHeight="1"/>
    <row r="3045" spans="3:15" s="59" customFormat="1" ht="21" customHeight="1">
      <c r="C3045" s="147" t="s">
        <v>5387</v>
      </c>
      <c r="D3045" s="794" t="s">
        <v>4127</v>
      </c>
      <c r="E3045" s="795"/>
      <c r="F3045" s="795"/>
      <c r="G3045" s="795"/>
      <c r="H3045" s="795"/>
      <c r="I3045" s="50">
        <f>ROUNDDOWN(H3060,-2)</f>
        <v>2207900</v>
      </c>
      <c r="J3045" s="50"/>
      <c r="K3045" s="50"/>
    </row>
    <row r="3046" spans="3:15" s="59" customFormat="1" ht="21" customHeight="1">
      <c r="C3046" s="591" t="s">
        <v>1195</v>
      </c>
      <c r="D3046" s="591" t="s">
        <v>1196</v>
      </c>
      <c r="E3046" s="591" t="s">
        <v>1197</v>
      </c>
      <c r="F3046" s="591" t="s">
        <v>1198</v>
      </c>
      <c r="G3046" s="591" t="s">
        <v>1199</v>
      </c>
      <c r="H3046" s="591" t="s">
        <v>1200</v>
      </c>
      <c r="I3046" s="44"/>
      <c r="J3046" s="44"/>
      <c r="K3046" s="44"/>
    </row>
    <row r="3047" spans="3:15" s="59" customFormat="1" ht="21" customHeight="1">
      <c r="C3047" s="61" t="s">
        <v>1201</v>
      </c>
      <c r="D3047" s="56" t="s">
        <v>1202</v>
      </c>
      <c r="E3047" s="57"/>
      <c r="F3047" s="57"/>
      <c r="G3047" s="57"/>
      <c r="H3047" s="57"/>
      <c r="I3047" s="44"/>
      <c r="J3047" s="44"/>
      <c r="K3047" s="44"/>
      <c r="L3047" s="152" t="s">
        <v>1247</v>
      </c>
    </row>
    <row r="3048" spans="3:15" s="59" customFormat="1" ht="21" customHeight="1">
      <c r="C3048" s="588">
        <v>1</v>
      </c>
      <c r="D3048" s="56" t="s">
        <v>5</v>
      </c>
      <c r="E3048" s="577" t="s">
        <v>6</v>
      </c>
      <c r="F3048" s="62">
        <v>0.63100000000000001</v>
      </c>
      <c r="G3048" s="63">
        <f>VLOOKUP(D3048,upahbahan,3,FALSE)</f>
        <v>100000</v>
      </c>
      <c r="H3048" s="63">
        <f>F3048*G3048</f>
        <v>63100</v>
      </c>
      <c r="I3048" s="44"/>
      <c r="J3048" s="44"/>
      <c r="K3048" s="44"/>
      <c r="L3048" s="152" t="s">
        <v>1248</v>
      </c>
      <c r="O3048" s="65">
        <v>0.1</v>
      </c>
    </row>
    <row r="3049" spans="3:15" s="59" customFormat="1" ht="21" customHeight="1">
      <c r="C3049" s="588">
        <v>2</v>
      </c>
      <c r="D3049" s="56" t="s">
        <v>10</v>
      </c>
      <c r="E3049" s="577" t="s">
        <v>6</v>
      </c>
      <c r="F3049" s="62">
        <v>1.054</v>
      </c>
      <c r="G3049" s="63">
        <f>VLOOKUP(D3049,upahbahan,3,FALSE)</f>
        <v>135000</v>
      </c>
      <c r="H3049" s="63">
        <f>F3049*G3049</f>
        <v>142290</v>
      </c>
      <c r="I3049" s="44"/>
      <c r="J3049" s="44"/>
      <c r="K3049" s="44"/>
    </row>
    <row r="3050" spans="3:15" s="59" customFormat="1" ht="21" customHeight="1">
      <c r="C3050" s="588">
        <v>3</v>
      </c>
      <c r="D3050" s="56" t="s">
        <v>18</v>
      </c>
      <c r="E3050" s="577" t="s">
        <v>6</v>
      </c>
      <c r="F3050" s="62">
        <v>0.105</v>
      </c>
      <c r="G3050" s="63">
        <f>VLOOKUP(D3050,upahbahan,3,FALSE)</f>
        <v>150000</v>
      </c>
      <c r="H3050" s="63">
        <f>F3050*G3050</f>
        <v>15750</v>
      </c>
      <c r="I3050" s="44"/>
      <c r="J3050" s="44"/>
      <c r="K3050" s="44"/>
    </row>
    <row r="3051" spans="3:15" s="59" customFormat="1" ht="21" customHeight="1">
      <c r="C3051" s="588">
        <v>4</v>
      </c>
      <c r="D3051" s="56" t="s">
        <v>19</v>
      </c>
      <c r="E3051" s="577" t="s">
        <v>6</v>
      </c>
      <c r="F3051" s="62">
        <v>3.2000000000000001E-2</v>
      </c>
      <c r="G3051" s="63">
        <f>VLOOKUP(D3051,upahbahan,3,FALSE)</f>
        <v>160000</v>
      </c>
      <c r="H3051" s="63">
        <f>F3051*G3051</f>
        <v>5120</v>
      </c>
      <c r="I3051" s="44"/>
      <c r="J3051" s="44"/>
      <c r="K3051" s="44"/>
    </row>
    <row r="3052" spans="3:15" s="59" customFormat="1" ht="21" customHeight="1">
      <c r="C3052" s="450" t="s">
        <v>1208</v>
      </c>
      <c r="D3052" s="67"/>
      <c r="E3052" s="67"/>
      <c r="F3052" s="142"/>
      <c r="G3052" s="153"/>
      <c r="H3052" s="63">
        <f>SUM(H3048:H3051)</f>
        <v>226260</v>
      </c>
      <c r="I3052" s="154"/>
      <c r="J3052" s="154"/>
      <c r="K3052" s="154"/>
    </row>
    <row r="3053" spans="3:15" s="59" customFormat="1" ht="21" customHeight="1">
      <c r="C3053" s="61" t="s">
        <v>1209</v>
      </c>
      <c r="D3053" s="56" t="s">
        <v>1210</v>
      </c>
      <c r="E3053" s="57"/>
      <c r="F3053" s="57"/>
      <c r="G3053" s="57"/>
      <c r="H3053" s="57"/>
      <c r="I3053" s="44"/>
      <c r="J3053" s="44"/>
      <c r="K3053" s="44"/>
    </row>
    <row r="3054" spans="3:15" s="59" customFormat="1" ht="21" customHeight="1">
      <c r="C3054" s="61">
        <v>1</v>
      </c>
      <c r="D3054" s="56" t="s">
        <v>4128</v>
      </c>
      <c r="E3054" s="93" t="s">
        <v>135</v>
      </c>
      <c r="F3054" s="104">
        <v>1.3</v>
      </c>
      <c r="G3054" s="63">
        <f>VLOOKUP(D3054,upahbahan,3,FALSE)</f>
        <v>1370000</v>
      </c>
      <c r="H3054" s="586">
        <f>G3054*F3054</f>
        <v>1781000</v>
      </c>
      <c r="I3054" s="44"/>
      <c r="J3054" s="44"/>
      <c r="K3054" s="44"/>
    </row>
    <row r="3055" spans="3:15" s="59" customFormat="1" ht="21" customHeight="1">
      <c r="C3055" s="450" t="s">
        <v>1214</v>
      </c>
      <c r="D3055" s="67"/>
      <c r="E3055" s="67"/>
      <c r="F3055" s="67"/>
      <c r="G3055" s="69"/>
      <c r="H3055" s="63">
        <f>SUM(H3054:H3054)</f>
        <v>1781000</v>
      </c>
      <c r="I3055" s="44"/>
      <c r="J3055" s="44"/>
      <c r="K3055" s="44"/>
    </row>
    <row r="3056" spans="3:15" s="59" customFormat="1" ht="21" customHeight="1">
      <c r="C3056" s="61" t="s">
        <v>1215</v>
      </c>
      <c r="D3056" s="56" t="s">
        <v>1216</v>
      </c>
      <c r="E3056" s="57"/>
      <c r="F3056" s="57"/>
      <c r="G3056" s="57"/>
      <c r="H3056" s="57"/>
      <c r="I3056" s="44"/>
      <c r="J3056" s="44"/>
      <c r="K3056" s="44"/>
    </row>
    <row r="3057" spans="3:15" s="59" customFormat="1" ht="21" customHeight="1">
      <c r="C3057" s="450" t="s">
        <v>1217</v>
      </c>
      <c r="D3057" s="67"/>
      <c r="E3057" s="67"/>
      <c r="F3057" s="67"/>
      <c r="G3057" s="69"/>
      <c r="H3057" s="589">
        <v>0</v>
      </c>
      <c r="I3057" s="44"/>
      <c r="J3057" s="44"/>
      <c r="K3057" s="44"/>
    </row>
    <row r="3058" spans="3:15" s="59" customFormat="1" ht="21" customHeight="1">
      <c r="C3058" s="288" t="s">
        <v>1218</v>
      </c>
      <c r="D3058" s="76" t="s">
        <v>1219</v>
      </c>
      <c r="E3058" s="77"/>
      <c r="F3058" s="77"/>
      <c r="G3058" s="78"/>
      <c r="H3058" s="585">
        <f>H3057+H3055+H3052</f>
        <v>2007260</v>
      </c>
      <c r="I3058" s="369"/>
      <c r="J3058" s="44"/>
      <c r="K3058" s="44"/>
    </row>
    <row r="3059" spans="3:15" s="59" customFormat="1" ht="21" customHeight="1">
      <c r="C3059" s="288" t="s">
        <v>1220</v>
      </c>
      <c r="D3059" s="76" t="s">
        <v>1321</v>
      </c>
      <c r="E3059" s="77"/>
      <c r="F3059" s="78"/>
      <c r="G3059" s="80">
        <v>0.1</v>
      </c>
      <c r="H3059" s="63">
        <f>H3058*G3059</f>
        <v>200726</v>
      </c>
      <c r="I3059" s="369"/>
      <c r="J3059" s="44"/>
      <c r="K3059" s="44"/>
    </row>
    <row r="3060" spans="3:15" s="59" customFormat="1" ht="21" customHeight="1">
      <c r="C3060" s="288" t="s">
        <v>1221</v>
      </c>
      <c r="D3060" s="76" t="s">
        <v>1222</v>
      </c>
      <c r="E3060" s="77"/>
      <c r="F3060" s="77"/>
      <c r="G3060" s="78"/>
      <c r="H3060" s="799">
        <f>SUM(H3058:H3059)</f>
        <v>2207986</v>
      </c>
      <c r="I3060" s="369"/>
      <c r="J3060" s="44"/>
      <c r="K3060" s="44"/>
    </row>
    <row r="3061" spans="3:15" ht="21" customHeight="1"/>
    <row r="3062" spans="3:15" s="59" customFormat="1" ht="21" customHeight="1">
      <c r="C3062" s="147" t="s">
        <v>5388</v>
      </c>
      <c r="D3062" s="794" t="s">
        <v>4129</v>
      </c>
      <c r="E3062" s="795"/>
      <c r="F3062" s="795"/>
      <c r="G3062" s="795"/>
      <c r="H3062" s="795"/>
      <c r="I3062" s="50">
        <f>ROUNDDOWN(H3077,-2)</f>
        <v>2484300</v>
      </c>
      <c r="J3062" s="50"/>
      <c r="K3062" s="50"/>
    </row>
    <row r="3063" spans="3:15" s="59" customFormat="1" ht="21" customHeight="1">
      <c r="C3063" s="591" t="s">
        <v>1195</v>
      </c>
      <c r="D3063" s="591" t="s">
        <v>1196</v>
      </c>
      <c r="E3063" s="591" t="s">
        <v>1197</v>
      </c>
      <c r="F3063" s="591" t="s">
        <v>1198</v>
      </c>
      <c r="G3063" s="591" t="s">
        <v>1199</v>
      </c>
      <c r="H3063" s="591" t="s">
        <v>1200</v>
      </c>
      <c r="I3063" s="44"/>
      <c r="J3063" s="44"/>
      <c r="K3063" s="44"/>
    </row>
    <row r="3064" spans="3:15" s="59" customFormat="1" ht="21" customHeight="1">
      <c r="C3064" s="61" t="s">
        <v>1201</v>
      </c>
      <c r="D3064" s="56" t="s">
        <v>1202</v>
      </c>
      <c r="E3064" s="57"/>
      <c r="F3064" s="57"/>
      <c r="G3064" s="57"/>
      <c r="H3064" s="57"/>
      <c r="I3064" s="44"/>
      <c r="J3064" s="44"/>
      <c r="K3064" s="44"/>
      <c r="L3064" s="152" t="s">
        <v>1247</v>
      </c>
    </row>
    <row r="3065" spans="3:15" s="59" customFormat="1" ht="21" customHeight="1">
      <c r="C3065" s="588">
        <v>1</v>
      </c>
      <c r="D3065" s="56" t="s">
        <v>5</v>
      </c>
      <c r="E3065" s="577" t="s">
        <v>6</v>
      </c>
      <c r="F3065" s="62">
        <v>0.78800000000000003</v>
      </c>
      <c r="G3065" s="63">
        <f>VLOOKUP(D3065,upahbahan,3,FALSE)</f>
        <v>100000</v>
      </c>
      <c r="H3065" s="63">
        <f>F3065*G3065</f>
        <v>78800</v>
      </c>
      <c r="I3065" s="44"/>
      <c r="J3065" s="44"/>
      <c r="K3065" s="44"/>
      <c r="L3065" s="152" t="s">
        <v>1248</v>
      </c>
      <c r="O3065" s="65">
        <v>0.1</v>
      </c>
    </row>
    <row r="3066" spans="3:15" s="59" customFormat="1" ht="21" customHeight="1">
      <c r="C3066" s="588">
        <v>2</v>
      </c>
      <c r="D3066" s="56" t="s">
        <v>10</v>
      </c>
      <c r="E3066" s="577" t="s">
        <v>6</v>
      </c>
      <c r="F3066" s="62">
        <v>1.3160000000000001</v>
      </c>
      <c r="G3066" s="63">
        <f>VLOOKUP(D3066,upahbahan,3,FALSE)</f>
        <v>135000</v>
      </c>
      <c r="H3066" s="63">
        <f>F3066*G3066</f>
        <v>177660</v>
      </c>
      <c r="I3066" s="44"/>
      <c r="J3066" s="44"/>
      <c r="K3066" s="44"/>
    </row>
    <row r="3067" spans="3:15" s="59" customFormat="1" ht="21" customHeight="1">
      <c r="C3067" s="588">
        <v>3</v>
      </c>
      <c r="D3067" s="56" t="s">
        <v>18</v>
      </c>
      <c r="E3067" s="577" t="s">
        <v>6</v>
      </c>
      <c r="F3067" s="62">
        <v>0.13200000000000001</v>
      </c>
      <c r="G3067" s="63">
        <f>VLOOKUP(D3067,upahbahan,3,FALSE)</f>
        <v>150000</v>
      </c>
      <c r="H3067" s="63">
        <f>F3067*G3067</f>
        <v>19800</v>
      </c>
      <c r="I3067" s="44"/>
      <c r="J3067" s="44"/>
      <c r="K3067" s="44"/>
    </row>
    <row r="3068" spans="3:15" s="59" customFormat="1" ht="21" customHeight="1">
      <c r="C3068" s="588">
        <v>4</v>
      </c>
      <c r="D3068" s="56" t="s">
        <v>19</v>
      </c>
      <c r="E3068" s="577" t="s">
        <v>6</v>
      </c>
      <c r="F3068" s="62">
        <v>3.9E-2</v>
      </c>
      <c r="G3068" s="63">
        <f>VLOOKUP(D3068,upahbahan,3,FALSE)</f>
        <v>160000</v>
      </c>
      <c r="H3068" s="63">
        <f>F3068*G3068</f>
        <v>6240</v>
      </c>
      <c r="I3068" s="44"/>
      <c r="J3068" s="44"/>
      <c r="K3068" s="44"/>
    </row>
    <row r="3069" spans="3:15" s="59" customFormat="1" ht="21" customHeight="1">
      <c r="C3069" s="450" t="s">
        <v>1208</v>
      </c>
      <c r="D3069" s="67"/>
      <c r="E3069" s="67"/>
      <c r="F3069" s="142"/>
      <c r="G3069" s="153"/>
      <c r="H3069" s="63">
        <f>SUM(H3065:H3068)</f>
        <v>282500</v>
      </c>
      <c r="I3069" s="154"/>
      <c r="J3069" s="154"/>
      <c r="K3069" s="154"/>
    </row>
    <row r="3070" spans="3:15" s="59" customFormat="1" ht="21" customHeight="1">
      <c r="C3070" s="61" t="s">
        <v>1209</v>
      </c>
      <c r="D3070" s="56" t="s">
        <v>1210</v>
      </c>
      <c r="E3070" s="57"/>
      <c r="F3070" s="57"/>
      <c r="G3070" s="57"/>
      <c r="H3070" s="57"/>
      <c r="I3070" s="44"/>
      <c r="J3070" s="44"/>
      <c r="K3070" s="44"/>
    </row>
    <row r="3071" spans="3:15" s="59" customFormat="1" ht="21" customHeight="1">
      <c r="C3071" s="61">
        <v>1</v>
      </c>
      <c r="D3071" s="56" t="s">
        <v>4130</v>
      </c>
      <c r="E3071" s="93" t="s">
        <v>135</v>
      </c>
      <c r="F3071" s="104">
        <v>1.3</v>
      </c>
      <c r="G3071" s="63">
        <f>VLOOKUP(D3071,upahbahan,3,FALSE)</f>
        <v>1520000</v>
      </c>
      <c r="H3071" s="586">
        <f>G3071*F3071</f>
        <v>1976000</v>
      </c>
      <c r="I3071" s="44"/>
      <c r="J3071" s="44"/>
      <c r="K3071" s="44"/>
    </row>
    <row r="3072" spans="3:15" s="59" customFormat="1" ht="21" customHeight="1">
      <c r="C3072" s="450" t="s">
        <v>1214</v>
      </c>
      <c r="D3072" s="67"/>
      <c r="E3072" s="67"/>
      <c r="F3072" s="67"/>
      <c r="G3072" s="69"/>
      <c r="H3072" s="63">
        <f>SUM(H3071:H3071)</f>
        <v>1976000</v>
      </c>
      <c r="I3072" s="44"/>
      <c r="J3072" s="44"/>
      <c r="K3072" s="44"/>
    </row>
    <row r="3073" spans="3:15" s="59" customFormat="1" ht="21" customHeight="1">
      <c r="C3073" s="61" t="s">
        <v>1215</v>
      </c>
      <c r="D3073" s="56" t="s">
        <v>1216</v>
      </c>
      <c r="E3073" s="57"/>
      <c r="F3073" s="57"/>
      <c r="G3073" s="57"/>
      <c r="H3073" s="57"/>
      <c r="I3073" s="44"/>
      <c r="J3073" s="44"/>
      <c r="K3073" s="44"/>
    </row>
    <row r="3074" spans="3:15" s="59" customFormat="1" ht="21" customHeight="1">
      <c r="C3074" s="450" t="s">
        <v>1217</v>
      </c>
      <c r="D3074" s="67"/>
      <c r="E3074" s="67"/>
      <c r="F3074" s="67"/>
      <c r="G3074" s="69"/>
      <c r="H3074" s="589">
        <v>0</v>
      </c>
      <c r="I3074" s="44"/>
      <c r="J3074" s="44"/>
      <c r="K3074" s="44"/>
    </row>
    <row r="3075" spans="3:15" s="59" customFormat="1" ht="21" customHeight="1">
      <c r="C3075" s="288" t="s">
        <v>1218</v>
      </c>
      <c r="D3075" s="76" t="s">
        <v>1219</v>
      </c>
      <c r="E3075" s="77"/>
      <c r="F3075" s="77"/>
      <c r="G3075" s="78"/>
      <c r="H3075" s="585">
        <f>H3074+H3072+H3069</f>
        <v>2258500</v>
      </c>
      <c r="I3075" s="369"/>
      <c r="J3075" s="44"/>
      <c r="K3075" s="44"/>
    </row>
    <row r="3076" spans="3:15" s="59" customFormat="1" ht="21" customHeight="1">
      <c r="C3076" s="288" t="s">
        <v>1220</v>
      </c>
      <c r="D3076" s="76" t="s">
        <v>1321</v>
      </c>
      <c r="E3076" s="77"/>
      <c r="F3076" s="78"/>
      <c r="G3076" s="80">
        <v>0.1</v>
      </c>
      <c r="H3076" s="63">
        <f>H3075*G3076</f>
        <v>225850</v>
      </c>
      <c r="I3076" s="369"/>
      <c r="J3076" s="44"/>
      <c r="K3076" s="44"/>
    </row>
    <row r="3077" spans="3:15" s="59" customFormat="1" ht="21" customHeight="1">
      <c r="C3077" s="288" t="s">
        <v>1221</v>
      </c>
      <c r="D3077" s="76" t="s">
        <v>1222</v>
      </c>
      <c r="E3077" s="77"/>
      <c r="F3077" s="77"/>
      <c r="G3077" s="78"/>
      <c r="H3077" s="799">
        <f>SUM(H3075:H3076)</f>
        <v>2484350</v>
      </c>
      <c r="I3077" s="369"/>
      <c r="J3077" s="44"/>
      <c r="K3077" s="44"/>
    </row>
    <row r="3078" spans="3:15" ht="21" customHeight="1"/>
    <row r="3079" spans="3:15" s="59" customFormat="1" ht="21" customHeight="1">
      <c r="C3079" s="147" t="s">
        <v>5389</v>
      </c>
      <c r="D3079" s="794" t="s">
        <v>4131</v>
      </c>
      <c r="E3079" s="795"/>
      <c r="F3079" s="795"/>
      <c r="G3079" s="795"/>
      <c r="H3079" s="795"/>
      <c r="I3079" s="50">
        <f>ROUNDDOWN(H3094,-2)</f>
        <v>2860900</v>
      </c>
      <c r="J3079" s="50"/>
      <c r="K3079" s="50"/>
    </row>
    <row r="3080" spans="3:15" s="59" customFormat="1" ht="21" customHeight="1">
      <c r="C3080" s="591" t="s">
        <v>1195</v>
      </c>
      <c r="D3080" s="591" t="s">
        <v>1196</v>
      </c>
      <c r="E3080" s="591" t="s">
        <v>1197</v>
      </c>
      <c r="F3080" s="591" t="s">
        <v>1198</v>
      </c>
      <c r="G3080" s="591" t="s">
        <v>1199</v>
      </c>
      <c r="H3080" s="591" t="s">
        <v>1200</v>
      </c>
      <c r="I3080" s="44"/>
      <c r="J3080" s="44"/>
      <c r="K3080" s="44"/>
    </row>
    <row r="3081" spans="3:15" s="59" customFormat="1" ht="21" customHeight="1">
      <c r="C3081" s="61" t="s">
        <v>1201</v>
      </c>
      <c r="D3081" s="56" t="s">
        <v>1202</v>
      </c>
      <c r="E3081" s="57"/>
      <c r="F3081" s="57"/>
      <c r="G3081" s="57"/>
      <c r="H3081" s="57"/>
      <c r="I3081" s="44"/>
      <c r="J3081" s="44"/>
      <c r="K3081" s="44"/>
      <c r="L3081" s="152" t="s">
        <v>1247</v>
      </c>
    </row>
    <row r="3082" spans="3:15" s="59" customFormat="1" ht="21" customHeight="1">
      <c r="C3082" s="588">
        <v>1</v>
      </c>
      <c r="D3082" s="56" t="s">
        <v>5</v>
      </c>
      <c r="E3082" s="577" t="s">
        <v>6</v>
      </c>
      <c r="F3082" s="62">
        <v>0.94499999999999995</v>
      </c>
      <c r="G3082" s="63">
        <f>VLOOKUP(D3082,upahbahan,3,FALSE)</f>
        <v>100000</v>
      </c>
      <c r="H3082" s="63">
        <f>F3082*G3082</f>
        <v>94500</v>
      </c>
      <c r="I3082" s="44"/>
      <c r="J3082" s="44"/>
      <c r="K3082" s="44"/>
      <c r="L3082" s="152" t="s">
        <v>1248</v>
      </c>
      <c r="O3082" s="65">
        <v>0.1</v>
      </c>
    </row>
    <row r="3083" spans="3:15" s="59" customFormat="1" ht="21" customHeight="1">
      <c r="C3083" s="588">
        <v>2</v>
      </c>
      <c r="D3083" s="56" t="s">
        <v>10</v>
      </c>
      <c r="E3083" s="577" t="s">
        <v>6</v>
      </c>
      <c r="F3083" s="62">
        <v>1.579</v>
      </c>
      <c r="G3083" s="63">
        <f>VLOOKUP(D3083,upahbahan,3,FALSE)</f>
        <v>135000</v>
      </c>
      <c r="H3083" s="63">
        <f>F3083*G3083</f>
        <v>213165</v>
      </c>
      <c r="I3083" s="44"/>
      <c r="J3083" s="44"/>
      <c r="K3083" s="44"/>
    </row>
    <row r="3084" spans="3:15" s="59" customFormat="1" ht="21" customHeight="1">
      <c r="C3084" s="588">
        <v>3</v>
      </c>
      <c r="D3084" s="56" t="s">
        <v>18</v>
      </c>
      <c r="E3084" s="577" t="s">
        <v>6</v>
      </c>
      <c r="F3084" s="62">
        <v>0.158</v>
      </c>
      <c r="G3084" s="63">
        <f>VLOOKUP(D3084,upahbahan,3,FALSE)</f>
        <v>150000</v>
      </c>
      <c r="H3084" s="63">
        <f>F3084*G3084</f>
        <v>23700</v>
      </c>
      <c r="I3084" s="44"/>
      <c r="J3084" s="44"/>
      <c r="K3084" s="44"/>
    </row>
    <row r="3085" spans="3:15" s="59" customFormat="1" ht="21" customHeight="1">
      <c r="C3085" s="588">
        <v>4</v>
      </c>
      <c r="D3085" s="56" t="s">
        <v>19</v>
      </c>
      <c r="E3085" s="577" t="s">
        <v>6</v>
      </c>
      <c r="F3085" s="62">
        <v>4.7E-2</v>
      </c>
      <c r="G3085" s="63">
        <f>VLOOKUP(D3085,upahbahan,3,FALSE)</f>
        <v>160000</v>
      </c>
      <c r="H3085" s="63">
        <f>F3085*G3085</f>
        <v>7520</v>
      </c>
      <c r="I3085" s="44"/>
      <c r="J3085" s="44"/>
      <c r="K3085" s="44"/>
    </row>
    <row r="3086" spans="3:15" s="59" customFormat="1" ht="21" customHeight="1">
      <c r="C3086" s="450" t="s">
        <v>1208</v>
      </c>
      <c r="D3086" s="67"/>
      <c r="E3086" s="67"/>
      <c r="F3086" s="142"/>
      <c r="G3086" s="153"/>
      <c r="H3086" s="63">
        <f>SUM(H3082:H3085)</f>
        <v>338885</v>
      </c>
      <c r="I3086" s="154"/>
      <c r="J3086" s="154"/>
      <c r="K3086" s="154"/>
    </row>
    <row r="3087" spans="3:15" s="59" customFormat="1" ht="21" customHeight="1">
      <c r="C3087" s="61" t="s">
        <v>1209</v>
      </c>
      <c r="D3087" s="56" t="s">
        <v>1210</v>
      </c>
      <c r="E3087" s="57"/>
      <c r="F3087" s="57"/>
      <c r="G3087" s="57"/>
      <c r="H3087" s="57"/>
      <c r="I3087" s="44"/>
      <c r="J3087" s="44"/>
      <c r="K3087" s="44"/>
    </row>
    <row r="3088" spans="3:15" s="59" customFormat="1" ht="21" customHeight="1">
      <c r="C3088" s="61">
        <v>1</v>
      </c>
      <c r="D3088" s="56" t="s">
        <v>4132</v>
      </c>
      <c r="E3088" s="93" t="s">
        <v>135</v>
      </c>
      <c r="F3088" s="104">
        <v>1.3</v>
      </c>
      <c r="G3088" s="63">
        <f>VLOOKUP(D3088,upahbahan,3,FALSE)</f>
        <v>1740000</v>
      </c>
      <c r="H3088" s="586">
        <f>G3088*F3088</f>
        <v>2262000</v>
      </c>
      <c r="I3088" s="44"/>
      <c r="J3088" s="44"/>
      <c r="K3088" s="44"/>
    </row>
    <row r="3089" spans="3:15" s="59" customFormat="1" ht="21" customHeight="1">
      <c r="C3089" s="450" t="s">
        <v>1214</v>
      </c>
      <c r="D3089" s="67"/>
      <c r="E3089" s="67"/>
      <c r="F3089" s="67"/>
      <c r="G3089" s="69"/>
      <c r="H3089" s="63">
        <f>SUM(H3088:H3088)</f>
        <v>2262000</v>
      </c>
      <c r="I3089" s="44"/>
      <c r="J3089" s="44"/>
      <c r="K3089" s="44"/>
    </row>
    <row r="3090" spans="3:15" s="59" customFormat="1" ht="21" customHeight="1">
      <c r="C3090" s="61" t="s">
        <v>1215</v>
      </c>
      <c r="D3090" s="56" t="s">
        <v>1216</v>
      </c>
      <c r="E3090" s="57"/>
      <c r="F3090" s="57"/>
      <c r="G3090" s="57"/>
      <c r="H3090" s="57"/>
      <c r="I3090" s="44"/>
      <c r="J3090" s="44"/>
      <c r="K3090" s="44"/>
    </row>
    <row r="3091" spans="3:15" s="59" customFormat="1" ht="21" customHeight="1">
      <c r="C3091" s="450" t="s">
        <v>1217</v>
      </c>
      <c r="D3091" s="67"/>
      <c r="E3091" s="67"/>
      <c r="F3091" s="67"/>
      <c r="G3091" s="69"/>
      <c r="H3091" s="589">
        <v>0</v>
      </c>
      <c r="I3091" s="44"/>
      <c r="J3091" s="44"/>
      <c r="K3091" s="44"/>
    </row>
    <row r="3092" spans="3:15" s="59" customFormat="1" ht="21" customHeight="1">
      <c r="C3092" s="288" t="s">
        <v>1218</v>
      </c>
      <c r="D3092" s="76" t="s">
        <v>1219</v>
      </c>
      <c r="E3092" s="77"/>
      <c r="F3092" s="77"/>
      <c r="G3092" s="78"/>
      <c r="H3092" s="585">
        <f>H3091+H3089+H3086</f>
        <v>2600885</v>
      </c>
      <c r="I3092" s="369"/>
      <c r="J3092" s="44"/>
      <c r="K3092" s="44"/>
    </row>
    <row r="3093" spans="3:15" s="59" customFormat="1" ht="21" customHeight="1">
      <c r="C3093" s="288" t="s">
        <v>1220</v>
      </c>
      <c r="D3093" s="76" t="s">
        <v>1321</v>
      </c>
      <c r="E3093" s="77"/>
      <c r="F3093" s="78"/>
      <c r="G3093" s="80">
        <v>0.1</v>
      </c>
      <c r="H3093" s="63">
        <f>H3092*G3093</f>
        <v>260088.5</v>
      </c>
      <c r="I3093" s="369"/>
      <c r="J3093" s="44"/>
      <c r="K3093" s="44"/>
    </row>
    <row r="3094" spans="3:15" s="59" customFormat="1" ht="21" customHeight="1">
      <c r="C3094" s="288" t="s">
        <v>1221</v>
      </c>
      <c r="D3094" s="76" t="s">
        <v>1222</v>
      </c>
      <c r="E3094" s="77"/>
      <c r="F3094" s="77"/>
      <c r="G3094" s="78"/>
      <c r="H3094" s="799">
        <f>SUM(H3092:H3093)</f>
        <v>2860973.5</v>
      </c>
      <c r="I3094" s="369"/>
      <c r="J3094" s="44"/>
      <c r="K3094" s="44"/>
    </row>
    <row r="3095" spans="3:15" ht="21" customHeight="1"/>
    <row r="3096" spans="3:15" s="59" customFormat="1" ht="21" customHeight="1">
      <c r="C3096" s="147" t="s">
        <v>5390</v>
      </c>
      <c r="D3096" s="794" t="s">
        <v>4133</v>
      </c>
      <c r="E3096" s="795"/>
      <c r="F3096" s="795"/>
      <c r="G3096" s="795"/>
      <c r="H3096" s="795"/>
      <c r="I3096" s="50">
        <f>ROUNDDOWN(H3111,-2)</f>
        <v>3299400</v>
      </c>
      <c r="J3096" s="50"/>
      <c r="K3096" s="50"/>
    </row>
    <row r="3097" spans="3:15" s="59" customFormat="1" ht="21" customHeight="1">
      <c r="C3097" s="591" t="s">
        <v>1195</v>
      </c>
      <c r="D3097" s="591" t="s">
        <v>1196</v>
      </c>
      <c r="E3097" s="591" t="s">
        <v>1197</v>
      </c>
      <c r="F3097" s="591" t="s">
        <v>1198</v>
      </c>
      <c r="G3097" s="591" t="s">
        <v>1199</v>
      </c>
      <c r="H3097" s="591" t="s">
        <v>1200</v>
      </c>
      <c r="I3097" s="44"/>
      <c r="J3097" s="44"/>
      <c r="K3097" s="44"/>
    </row>
    <row r="3098" spans="3:15" s="59" customFormat="1" ht="21" customHeight="1">
      <c r="C3098" s="61" t="s">
        <v>1201</v>
      </c>
      <c r="D3098" s="56" t="s">
        <v>1202</v>
      </c>
      <c r="E3098" s="57"/>
      <c r="F3098" s="57"/>
      <c r="G3098" s="57"/>
      <c r="H3098" s="57"/>
      <c r="I3098" s="44"/>
      <c r="J3098" s="44"/>
      <c r="K3098" s="44"/>
      <c r="L3098" s="152" t="s">
        <v>1247</v>
      </c>
    </row>
    <row r="3099" spans="3:15" s="59" customFormat="1" ht="21" customHeight="1">
      <c r="C3099" s="588">
        <v>1</v>
      </c>
      <c r="D3099" s="56" t="s">
        <v>5</v>
      </c>
      <c r="E3099" s="577" t="s">
        <v>6</v>
      </c>
      <c r="F3099" s="62">
        <v>1.26</v>
      </c>
      <c r="G3099" s="63">
        <f>VLOOKUP(D3099,upahbahan,3,FALSE)</f>
        <v>100000</v>
      </c>
      <c r="H3099" s="63">
        <f>F3099*G3099</f>
        <v>126000</v>
      </c>
      <c r="I3099" s="44"/>
      <c r="J3099" s="44"/>
      <c r="K3099" s="44"/>
      <c r="L3099" s="152" t="s">
        <v>1248</v>
      </c>
      <c r="O3099" s="65">
        <v>0.1</v>
      </c>
    </row>
    <row r="3100" spans="3:15" s="59" customFormat="1" ht="21" customHeight="1">
      <c r="C3100" s="588">
        <v>2</v>
      </c>
      <c r="D3100" s="56" t="s">
        <v>10</v>
      </c>
      <c r="E3100" s="577" t="s">
        <v>6</v>
      </c>
      <c r="F3100" s="62">
        <v>2.1030000000000002</v>
      </c>
      <c r="G3100" s="63">
        <f>VLOOKUP(D3100,upahbahan,3,FALSE)</f>
        <v>135000</v>
      </c>
      <c r="H3100" s="63">
        <f>F3100*G3100</f>
        <v>283905</v>
      </c>
      <c r="I3100" s="44"/>
      <c r="J3100" s="44"/>
      <c r="K3100" s="44"/>
    </row>
    <row r="3101" spans="3:15" s="59" customFormat="1" ht="21" customHeight="1">
      <c r="C3101" s="588">
        <v>3</v>
      </c>
      <c r="D3101" s="56" t="s">
        <v>18</v>
      </c>
      <c r="E3101" s="577" t="s">
        <v>6</v>
      </c>
      <c r="F3101" s="62">
        <v>0.21</v>
      </c>
      <c r="G3101" s="63">
        <f>VLOOKUP(D3101,upahbahan,3,FALSE)</f>
        <v>150000</v>
      </c>
      <c r="H3101" s="63">
        <f>F3101*G3101</f>
        <v>31500</v>
      </c>
      <c r="I3101" s="44"/>
      <c r="J3101" s="44"/>
      <c r="K3101" s="44"/>
    </row>
    <row r="3102" spans="3:15" s="59" customFormat="1" ht="21" customHeight="1">
      <c r="C3102" s="588">
        <v>4</v>
      </c>
      <c r="D3102" s="56" t="s">
        <v>19</v>
      </c>
      <c r="E3102" s="577" t="s">
        <v>6</v>
      </c>
      <c r="F3102" s="62">
        <v>6.3E-2</v>
      </c>
      <c r="G3102" s="63">
        <f>VLOOKUP(D3102,upahbahan,3,FALSE)</f>
        <v>160000</v>
      </c>
      <c r="H3102" s="63">
        <f>F3102*G3102</f>
        <v>10080</v>
      </c>
      <c r="I3102" s="44"/>
      <c r="J3102" s="44"/>
      <c r="K3102" s="44"/>
    </row>
    <row r="3103" spans="3:15" s="59" customFormat="1" ht="21" customHeight="1">
      <c r="C3103" s="450" t="s">
        <v>1208</v>
      </c>
      <c r="D3103" s="67"/>
      <c r="E3103" s="67"/>
      <c r="F3103" s="142"/>
      <c r="G3103" s="153"/>
      <c r="H3103" s="63">
        <f>SUM(H3099:H3102)</f>
        <v>451485</v>
      </c>
      <c r="I3103" s="154"/>
      <c r="J3103" s="154"/>
      <c r="K3103" s="154"/>
    </row>
    <row r="3104" spans="3:15" s="59" customFormat="1" ht="21" customHeight="1">
      <c r="C3104" s="61" t="s">
        <v>1209</v>
      </c>
      <c r="D3104" s="56" t="s">
        <v>1210</v>
      </c>
      <c r="E3104" s="57"/>
      <c r="F3104" s="57"/>
      <c r="G3104" s="57"/>
      <c r="H3104" s="57"/>
      <c r="I3104" s="44"/>
      <c r="J3104" s="44"/>
      <c r="K3104" s="44"/>
    </row>
    <row r="3105" spans="3:15" s="59" customFormat="1" ht="21" customHeight="1">
      <c r="C3105" s="61">
        <v>1</v>
      </c>
      <c r="D3105" s="56" t="s">
        <v>4134</v>
      </c>
      <c r="E3105" s="93" t="s">
        <v>135</v>
      </c>
      <c r="F3105" s="104">
        <v>1.3</v>
      </c>
      <c r="G3105" s="63">
        <f>VLOOKUP(D3105,upahbahan,3,FALSE)</f>
        <v>1960000</v>
      </c>
      <c r="H3105" s="586">
        <f>G3105*F3105</f>
        <v>2548000</v>
      </c>
      <c r="I3105" s="44"/>
      <c r="J3105" s="44"/>
      <c r="K3105" s="44"/>
    </row>
    <row r="3106" spans="3:15" s="59" customFormat="1" ht="21" customHeight="1">
      <c r="C3106" s="450" t="s">
        <v>1214</v>
      </c>
      <c r="D3106" s="67"/>
      <c r="E3106" s="67"/>
      <c r="F3106" s="67"/>
      <c r="G3106" s="69"/>
      <c r="H3106" s="63">
        <f>SUM(H3105:H3105)</f>
        <v>2548000</v>
      </c>
      <c r="I3106" s="44"/>
      <c r="J3106" s="44"/>
      <c r="K3106" s="44"/>
    </row>
    <row r="3107" spans="3:15" s="59" customFormat="1" ht="21" customHeight="1">
      <c r="C3107" s="61" t="s">
        <v>1215</v>
      </c>
      <c r="D3107" s="56" t="s">
        <v>1216</v>
      </c>
      <c r="E3107" s="57"/>
      <c r="F3107" s="57"/>
      <c r="G3107" s="57"/>
      <c r="H3107" s="57"/>
      <c r="I3107" s="44"/>
      <c r="J3107" s="44"/>
      <c r="K3107" s="44"/>
    </row>
    <row r="3108" spans="3:15" s="59" customFormat="1" ht="21" customHeight="1">
      <c r="C3108" s="450" t="s">
        <v>1217</v>
      </c>
      <c r="D3108" s="67"/>
      <c r="E3108" s="67"/>
      <c r="F3108" s="67"/>
      <c r="G3108" s="69"/>
      <c r="H3108" s="589">
        <v>0</v>
      </c>
      <c r="I3108" s="44"/>
      <c r="J3108" s="44"/>
      <c r="K3108" s="44"/>
    </row>
    <row r="3109" spans="3:15" s="59" customFormat="1" ht="21" customHeight="1">
      <c r="C3109" s="288" t="s">
        <v>1218</v>
      </c>
      <c r="D3109" s="76" t="s">
        <v>1219</v>
      </c>
      <c r="E3109" s="77"/>
      <c r="F3109" s="77"/>
      <c r="G3109" s="78"/>
      <c r="H3109" s="585">
        <f>H3108+H3106+H3103</f>
        <v>2999485</v>
      </c>
      <c r="I3109" s="369"/>
      <c r="J3109" s="44"/>
      <c r="K3109" s="44"/>
    </row>
    <row r="3110" spans="3:15" s="59" customFormat="1" ht="21" customHeight="1">
      <c r="C3110" s="288" t="s">
        <v>1220</v>
      </c>
      <c r="D3110" s="76" t="s">
        <v>1321</v>
      </c>
      <c r="E3110" s="77"/>
      <c r="F3110" s="78"/>
      <c r="G3110" s="80">
        <v>0.1</v>
      </c>
      <c r="H3110" s="63">
        <f>H3109*G3110</f>
        <v>299948.5</v>
      </c>
      <c r="I3110" s="369"/>
      <c r="J3110" s="44"/>
      <c r="K3110" s="44"/>
    </row>
    <row r="3111" spans="3:15" s="59" customFormat="1" ht="21" customHeight="1">
      <c r="C3111" s="288" t="s">
        <v>1221</v>
      </c>
      <c r="D3111" s="76" t="s">
        <v>1222</v>
      </c>
      <c r="E3111" s="77"/>
      <c r="F3111" s="77"/>
      <c r="G3111" s="78"/>
      <c r="H3111" s="799">
        <f>SUM(H3109:H3110)</f>
        <v>3299433.5</v>
      </c>
      <c r="I3111" s="369"/>
      <c r="J3111" s="44"/>
      <c r="K3111" s="44"/>
    </row>
    <row r="3112" spans="3:15" ht="21" customHeight="1"/>
    <row r="3113" spans="3:15" ht="21" customHeight="1"/>
    <row r="3114" spans="3:15" s="59" customFormat="1" ht="21" customHeight="1">
      <c r="C3114" s="147" t="s">
        <v>5391</v>
      </c>
      <c r="D3114" s="794" t="s">
        <v>4135</v>
      </c>
      <c r="E3114" s="795"/>
      <c r="F3114" s="795"/>
      <c r="G3114" s="795"/>
      <c r="H3114" s="795"/>
      <c r="I3114" s="50">
        <f>ROUNDDOWN(H3129,-2)</f>
        <v>3666500</v>
      </c>
      <c r="J3114" s="50"/>
      <c r="K3114" s="50"/>
    </row>
    <row r="3115" spans="3:15" s="59" customFormat="1" ht="21" customHeight="1">
      <c r="C3115" s="591" t="s">
        <v>1195</v>
      </c>
      <c r="D3115" s="591" t="s">
        <v>1196</v>
      </c>
      <c r="E3115" s="591" t="s">
        <v>1197</v>
      </c>
      <c r="F3115" s="591" t="s">
        <v>1198</v>
      </c>
      <c r="G3115" s="591" t="s">
        <v>1199</v>
      </c>
      <c r="H3115" s="591" t="s">
        <v>1200</v>
      </c>
      <c r="I3115" s="44"/>
      <c r="J3115" s="44"/>
      <c r="K3115" s="44"/>
    </row>
    <row r="3116" spans="3:15" s="59" customFormat="1" ht="21" customHeight="1">
      <c r="C3116" s="61" t="s">
        <v>1201</v>
      </c>
      <c r="D3116" s="56" t="s">
        <v>1202</v>
      </c>
      <c r="E3116" s="57"/>
      <c r="F3116" s="57"/>
      <c r="G3116" s="57"/>
      <c r="H3116" s="57"/>
      <c r="I3116" s="44"/>
      <c r="J3116" s="44"/>
      <c r="K3116" s="44"/>
      <c r="L3116" s="152" t="s">
        <v>1247</v>
      </c>
    </row>
    <row r="3117" spans="3:15" s="59" customFormat="1" ht="21" customHeight="1">
      <c r="C3117" s="588">
        <v>1</v>
      </c>
      <c r="D3117" s="56" t="s">
        <v>5</v>
      </c>
      <c r="E3117" s="577" t="s">
        <v>6</v>
      </c>
      <c r="F3117" s="62">
        <v>1.5740000000000001</v>
      </c>
      <c r="G3117" s="63">
        <f>VLOOKUP(D3117,upahbahan,3,FALSE)</f>
        <v>100000</v>
      </c>
      <c r="H3117" s="63">
        <f>F3117*G3117</f>
        <v>157400</v>
      </c>
      <c r="I3117" s="44"/>
      <c r="J3117" s="44"/>
      <c r="K3117" s="44"/>
      <c r="L3117" s="152" t="s">
        <v>1248</v>
      </c>
      <c r="O3117" s="65">
        <v>0.1</v>
      </c>
    </row>
    <row r="3118" spans="3:15" s="59" customFormat="1" ht="21" customHeight="1">
      <c r="C3118" s="588">
        <v>2</v>
      </c>
      <c r="D3118" s="56" t="s">
        <v>10</v>
      </c>
      <c r="E3118" s="577" t="s">
        <v>6</v>
      </c>
      <c r="F3118" s="62">
        <v>2.6280000000000001</v>
      </c>
      <c r="G3118" s="63">
        <f>VLOOKUP(D3118,upahbahan,3,FALSE)</f>
        <v>135000</v>
      </c>
      <c r="H3118" s="63">
        <f>F3118*G3118</f>
        <v>354780</v>
      </c>
      <c r="I3118" s="44"/>
      <c r="J3118" s="44"/>
      <c r="K3118" s="44"/>
    </row>
    <row r="3119" spans="3:15" s="59" customFormat="1" ht="21" customHeight="1">
      <c r="C3119" s="588">
        <v>3</v>
      </c>
      <c r="D3119" s="56" t="s">
        <v>18</v>
      </c>
      <c r="E3119" s="577" t="s">
        <v>6</v>
      </c>
      <c r="F3119" s="62">
        <v>0.26300000000000001</v>
      </c>
      <c r="G3119" s="63">
        <f>VLOOKUP(D3119,upahbahan,3,FALSE)</f>
        <v>150000</v>
      </c>
      <c r="H3119" s="63">
        <f>F3119*G3119</f>
        <v>39450</v>
      </c>
      <c r="I3119" s="44"/>
      <c r="J3119" s="44"/>
      <c r="K3119" s="44"/>
    </row>
    <row r="3120" spans="3:15" s="59" customFormat="1" ht="21" customHeight="1">
      <c r="C3120" s="588">
        <v>4</v>
      </c>
      <c r="D3120" s="56" t="s">
        <v>19</v>
      </c>
      <c r="E3120" s="577" t="s">
        <v>6</v>
      </c>
      <c r="F3120" s="62">
        <v>7.9000000000000001E-2</v>
      </c>
      <c r="G3120" s="63">
        <f>VLOOKUP(D3120,upahbahan,3,FALSE)</f>
        <v>160000</v>
      </c>
      <c r="H3120" s="63">
        <f>F3120*G3120</f>
        <v>12640</v>
      </c>
      <c r="I3120" s="44"/>
      <c r="J3120" s="44"/>
      <c r="K3120" s="44"/>
    </row>
    <row r="3121" spans="3:15" s="59" customFormat="1" ht="21" customHeight="1">
      <c r="C3121" s="450" t="s">
        <v>1208</v>
      </c>
      <c r="D3121" s="67"/>
      <c r="E3121" s="67"/>
      <c r="F3121" s="142"/>
      <c r="G3121" s="153"/>
      <c r="H3121" s="63">
        <f>SUM(H3117:H3120)</f>
        <v>564270</v>
      </c>
      <c r="I3121" s="154"/>
      <c r="J3121" s="154"/>
      <c r="K3121" s="154"/>
    </row>
    <row r="3122" spans="3:15" s="59" customFormat="1" ht="21" customHeight="1">
      <c r="C3122" s="61" t="s">
        <v>1209</v>
      </c>
      <c r="D3122" s="56" t="s">
        <v>1210</v>
      </c>
      <c r="E3122" s="57"/>
      <c r="F3122" s="57"/>
      <c r="G3122" s="57"/>
      <c r="H3122" s="57"/>
      <c r="I3122" s="44"/>
      <c r="J3122" s="44"/>
      <c r="K3122" s="44"/>
    </row>
    <row r="3123" spans="3:15" s="59" customFormat="1" ht="21" customHeight="1">
      <c r="C3123" s="61">
        <v>1</v>
      </c>
      <c r="D3123" s="56" t="s">
        <v>4136</v>
      </c>
      <c r="E3123" s="93" t="s">
        <v>135</v>
      </c>
      <c r="F3123" s="104">
        <v>1.3</v>
      </c>
      <c r="G3123" s="63">
        <f>VLOOKUP(D3123,upahbahan,3,FALSE)</f>
        <v>2130000</v>
      </c>
      <c r="H3123" s="586">
        <f>G3123*F3123</f>
        <v>2769000</v>
      </c>
      <c r="I3123" s="44"/>
      <c r="J3123" s="44"/>
      <c r="K3123" s="44"/>
    </row>
    <row r="3124" spans="3:15" s="59" customFormat="1" ht="21" customHeight="1">
      <c r="C3124" s="450" t="s">
        <v>1214</v>
      </c>
      <c r="D3124" s="67"/>
      <c r="E3124" s="67"/>
      <c r="F3124" s="67"/>
      <c r="G3124" s="69"/>
      <c r="H3124" s="63">
        <f>SUM(H3123:H3123)</f>
        <v>2769000</v>
      </c>
      <c r="I3124" s="44"/>
      <c r="J3124" s="44"/>
      <c r="K3124" s="44"/>
    </row>
    <row r="3125" spans="3:15" s="59" customFormat="1" ht="21" customHeight="1">
      <c r="C3125" s="61" t="s">
        <v>1215</v>
      </c>
      <c r="D3125" s="56" t="s">
        <v>1216</v>
      </c>
      <c r="E3125" s="57"/>
      <c r="F3125" s="57"/>
      <c r="G3125" s="57"/>
      <c r="H3125" s="57"/>
      <c r="I3125" s="44"/>
      <c r="J3125" s="44"/>
      <c r="K3125" s="44"/>
    </row>
    <row r="3126" spans="3:15" s="59" customFormat="1" ht="21" customHeight="1">
      <c r="C3126" s="450" t="s">
        <v>1217</v>
      </c>
      <c r="D3126" s="67"/>
      <c r="E3126" s="67"/>
      <c r="F3126" s="67"/>
      <c r="G3126" s="69"/>
      <c r="H3126" s="589">
        <v>0</v>
      </c>
      <c r="I3126" s="44"/>
      <c r="J3126" s="44"/>
      <c r="K3126" s="44"/>
    </row>
    <row r="3127" spans="3:15" s="59" customFormat="1" ht="21" customHeight="1">
      <c r="C3127" s="288" t="s">
        <v>1218</v>
      </c>
      <c r="D3127" s="76" t="s">
        <v>1219</v>
      </c>
      <c r="E3127" s="77"/>
      <c r="F3127" s="77"/>
      <c r="G3127" s="78"/>
      <c r="H3127" s="585">
        <f>H3126+H3124+H3121</f>
        <v>3333270</v>
      </c>
      <c r="I3127" s="369"/>
      <c r="J3127" s="44"/>
      <c r="K3127" s="44"/>
    </row>
    <row r="3128" spans="3:15" s="59" customFormat="1" ht="21" customHeight="1">
      <c r="C3128" s="288" t="s">
        <v>1220</v>
      </c>
      <c r="D3128" s="76" t="s">
        <v>1321</v>
      </c>
      <c r="E3128" s="77"/>
      <c r="F3128" s="78"/>
      <c r="G3128" s="80">
        <v>0.1</v>
      </c>
      <c r="H3128" s="63">
        <f>H3127*G3128</f>
        <v>333327</v>
      </c>
      <c r="I3128" s="369"/>
      <c r="J3128" s="44"/>
      <c r="K3128" s="44"/>
    </row>
    <row r="3129" spans="3:15" s="59" customFormat="1" ht="21" customHeight="1">
      <c r="C3129" s="288" t="s">
        <v>1221</v>
      </c>
      <c r="D3129" s="76" t="s">
        <v>1222</v>
      </c>
      <c r="E3129" s="77"/>
      <c r="F3129" s="77"/>
      <c r="G3129" s="78"/>
      <c r="H3129" s="799">
        <f>SUM(H3127:H3128)</f>
        <v>3666597</v>
      </c>
      <c r="I3129" s="369"/>
      <c r="J3129" s="44"/>
      <c r="K3129" s="44"/>
    </row>
    <row r="3130" spans="3:15" ht="21" customHeight="1"/>
    <row r="3131" spans="3:15" s="59" customFormat="1" ht="21" customHeight="1">
      <c r="C3131" s="147" t="s">
        <v>5392</v>
      </c>
      <c r="D3131" s="794" t="s">
        <v>4137</v>
      </c>
      <c r="E3131" s="795"/>
      <c r="F3131" s="795"/>
      <c r="G3131" s="795"/>
      <c r="H3131" s="795"/>
      <c r="I3131" s="50">
        <f>ROUNDDOWN(H3146,-2)</f>
        <v>4290000</v>
      </c>
      <c r="J3131" s="50"/>
      <c r="K3131" s="50"/>
    </row>
    <row r="3132" spans="3:15" s="59" customFormat="1" ht="21" customHeight="1">
      <c r="C3132" s="591" t="s">
        <v>1195</v>
      </c>
      <c r="D3132" s="591" t="s">
        <v>1196</v>
      </c>
      <c r="E3132" s="591" t="s">
        <v>1197</v>
      </c>
      <c r="F3132" s="591" t="s">
        <v>1198</v>
      </c>
      <c r="G3132" s="591" t="s">
        <v>1199</v>
      </c>
      <c r="H3132" s="591" t="s">
        <v>1200</v>
      </c>
      <c r="I3132" s="44"/>
      <c r="J3132" s="44"/>
      <c r="K3132" s="44"/>
    </row>
    <row r="3133" spans="3:15" s="59" customFormat="1" ht="21" customHeight="1">
      <c r="C3133" s="61" t="s">
        <v>1201</v>
      </c>
      <c r="D3133" s="56" t="s">
        <v>1202</v>
      </c>
      <c r="E3133" s="57"/>
      <c r="F3133" s="57"/>
      <c r="G3133" s="57"/>
      <c r="H3133" s="57"/>
      <c r="I3133" s="44"/>
      <c r="J3133" s="44"/>
      <c r="K3133" s="44"/>
      <c r="L3133" s="152" t="s">
        <v>1247</v>
      </c>
    </row>
    <row r="3134" spans="3:15" s="59" customFormat="1" ht="21" customHeight="1">
      <c r="C3134" s="588">
        <v>1</v>
      </c>
      <c r="D3134" s="56" t="s">
        <v>5</v>
      </c>
      <c r="E3134" s="577" t="s">
        <v>6</v>
      </c>
      <c r="F3134" s="62">
        <v>1.8859999999999999</v>
      </c>
      <c r="G3134" s="63">
        <f>VLOOKUP(D3134,upahbahan,3,FALSE)</f>
        <v>100000</v>
      </c>
      <c r="H3134" s="63">
        <f>F3134*G3134</f>
        <v>188600</v>
      </c>
      <c r="I3134" s="44"/>
      <c r="J3134" s="44"/>
      <c r="K3134" s="44"/>
      <c r="L3134" s="152" t="s">
        <v>1248</v>
      </c>
      <c r="O3134" s="65">
        <v>0.1</v>
      </c>
    </row>
    <row r="3135" spans="3:15" s="59" customFormat="1" ht="21" customHeight="1">
      <c r="C3135" s="588">
        <v>2</v>
      </c>
      <c r="D3135" s="56" t="s">
        <v>10</v>
      </c>
      <c r="E3135" s="577" t="s">
        <v>6</v>
      </c>
      <c r="F3135" s="62">
        <v>3.149</v>
      </c>
      <c r="G3135" s="63">
        <f>VLOOKUP(D3135,upahbahan,3,FALSE)</f>
        <v>135000</v>
      </c>
      <c r="H3135" s="63">
        <f>F3135*G3135</f>
        <v>425115</v>
      </c>
      <c r="I3135" s="44"/>
      <c r="J3135" s="44"/>
      <c r="K3135" s="44"/>
    </row>
    <row r="3136" spans="3:15" s="59" customFormat="1" ht="21" customHeight="1">
      <c r="C3136" s="588">
        <v>3</v>
      </c>
      <c r="D3136" s="56" t="s">
        <v>18</v>
      </c>
      <c r="E3136" s="577" t="s">
        <v>6</v>
      </c>
      <c r="F3136" s="62">
        <v>0.315</v>
      </c>
      <c r="G3136" s="63">
        <f>VLOOKUP(D3136,upahbahan,3,FALSE)</f>
        <v>150000</v>
      </c>
      <c r="H3136" s="63">
        <f>F3136*G3136</f>
        <v>47250</v>
      </c>
      <c r="I3136" s="44"/>
      <c r="J3136" s="44"/>
      <c r="K3136" s="44"/>
    </row>
    <row r="3137" spans="3:12" s="59" customFormat="1" ht="21" customHeight="1">
      <c r="C3137" s="588">
        <v>4</v>
      </c>
      <c r="D3137" s="56" t="s">
        <v>19</v>
      </c>
      <c r="E3137" s="577" t="s">
        <v>6</v>
      </c>
      <c r="F3137" s="62">
        <v>9.4E-2</v>
      </c>
      <c r="G3137" s="63">
        <f>VLOOKUP(D3137,upahbahan,3,FALSE)</f>
        <v>160000</v>
      </c>
      <c r="H3137" s="63">
        <f>F3137*G3137</f>
        <v>15040</v>
      </c>
      <c r="I3137" s="44"/>
      <c r="J3137" s="44"/>
      <c r="K3137" s="44"/>
    </row>
    <row r="3138" spans="3:12" s="59" customFormat="1" ht="21" customHeight="1">
      <c r="C3138" s="450" t="s">
        <v>1208</v>
      </c>
      <c r="D3138" s="67"/>
      <c r="E3138" s="67"/>
      <c r="F3138" s="142"/>
      <c r="G3138" s="153"/>
      <c r="H3138" s="63">
        <f>SUM(H3134:H3137)</f>
        <v>676005</v>
      </c>
      <c r="I3138" s="154"/>
      <c r="J3138" s="154"/>
      <c r="K3138" s="154"/>
    </row>
    <row r="3139" spans="3:12" s="59" customFormat="1" ht="21" customHeight="1">
      <c r="C3139" s="61" t="s">
        <v>1209</v>
      </c>
      <c r="D3139" s="56" t="s">
        <v>1210</v>
      </c>
      <c r="E3139" s="57"/>
      <c r="F3139" s="57"/>
      <c r="G3139" s="57"/>
      <c r="H3139" s="57"/>
      <c r="I3139" s="44"/>
      <c r="J3139" s="44"/>
      <c r="K3139" s="44"/>
    </row>
    <row r="3140" spans="3:12" s="59" customFormat="1" ht="21" customHeight="1">
      <c r="C3140" s="61">
        <v>1</v>
      </c>
      <c r="D3140" s="56" t="s">
        <v>4138</v>
      </c>
      <c r="E3140" s="93" t="s">
        <v>135</v>
      </c>
      <c r="F3140" s="104">
        <v>1.3</v>
      </c>
      <c r="G3140" s="63">
        <f>VLOOKUP(D3140,upahbahan,3,FALSE)</f>
        <v>2480000</v>
      </c>
      <c r="H3140" s="586">
        <f>G3140*F3140</f>
        <v>3224000</v>
      </c>
      <c r="I3140" s="44"/>
      <c r="J3140" s="44"/>
      <c r="K3140" s="44"/>
    </row>
    <row r="3141" spans="3:12" s="59" customFormat="1" ht="21" customHeight="1">
      <c r="C3141" s="450" t="s">
        <v>1214</v>
      </c>
      <c r="D3141" s="67"/>
      <c r="E3141" s="67"/>
      <c r="F3141" s="67"/>
      <c r="G3141" s="69"/>
      <c r="H3141" s="63">
        <f>SUM(H3140:H3140)</f>
        <v>3224000</v>
      </c>
      <c r="I3141" s="44"/>
      <c r="J3141" s="44"/>
      <c r="K3141" s="44"/>
    </row>
    <row r="3142" spans="3:12" s="59" customFormat="1" ht="21" customHeight="1">
      <c r="C3142" s="61" t="s">
        <v>1215</v>
      </c>
      <c r="D3142" s="56" t="s">
        <v>1216</v>
      </c>
      <c r="E3142" s="57"/>
      <c r="F3142" s="57"/>
      <c r="G3142" s="57"/>
      <c r="H3142" s="57"/>
      <c r="I3142" s="44"/>
      <c r="J3142" s="44"/>
      <c r="K3142" s="44"/>
    </row>
    <row r="3143" spans="3:12" s="59" customFormat="1" ht="21" customHeight="1">
      <c r="C3143" s="450" t="s">
        <v>1217</v>
      </c>
      <c r="D3143" s="67"/>
      <c r="E3143" s="67"/>
      <c r="F3143" s="67"/>
      <c r="G3143" s="69"/>
      <c r="H3143" s="589">
        <v>0</v>
      </c>
      <c r="I3143" s="44"/>
      <c r="J3143" s="44"/>
      <c r="K3143" s="44"/>
    </row>
    <row r="3144" spans="3:12" s="59" customFormat="1" ht="21" customHeight="1">
      <c r="C3144" s="288" t="s">
        <v>1218</v>
      </c>
      <c r="D3144" s="76" t="s">
        <v>1219</v>
      </c>
      <c r="E3144" s="77"/>
      <c r="F3144" s="77"/>
      <c r="G3144" s="78"/>
      <c r="H3144" s="585">
        <f>H3143+H3141+H3138</f>
        <v>3900005</v>
      </c>
      <c r="I3144" s="369"/>
      <c r="J3144" s="44"/>
      <c r="K3144" s="44"/>
    </row>
    <row r="3145" spans="3:12" s="59" customFormat="1" ht="21" customHeight="1">
      <c r="C3145" s="288" t="s">
        <v>1220</v>
      </c>
      <c r="D3145" s="76" t="s">
        <v>1321</v>
      </c>
      <c r="E3145" s="77"/>
      <c r="F3145" s="78"/>
      <c r="G3145" s="80">
        <v>0.1</v>
      </c>
      <c r="H3145" s="63">
        <f>H3144*G3145</f>
        <v>390000.5</v>
      </c>
      <c r="I3145" s="369"/>
      <c r="J3145" s="44"/>
      <c r="K3145" s="44"/>
    </row>
    <row r="3146" spans="3:12" s="59" customFormat="1" ht="21" customHeight="1">
      <c r="C3146" s="288" t="s">
        <v>1221</v>
      </c>
      <c r="D3146" s="76" t="s">
        <v>1222</v>
      </c>
      <c r="E3146" s="77"/>
      <c r="F3146" s="77"/>
      <c r="G3146" s="78"/>
      <c r="H3146" s="799">
        <f>SUM(H3144:H3145)</f>
        <v>4290005.5</v>
      </c>
      <c r="I3146" s="369"/>
      <c r="J3146" s="44"/>
      <c r="K3146" s="44"/>
    </row>
    <row r="3147" spans="3:12" ht="21" customHeight="1"/>
    <row r="3148" spans="3:12" ht="21" customHeight="1"/>
    <row r="3149" spans="3:12" ht="21" customHeight="1">
      <c r="C3149" s="43" t="s">
        <v>5393</v>
      </c>
      <c r="D3149" s="128" t="s">
        <v>4139</v>
      </c>
    </row>
    <row r="3150" spans="3:12" s="59" customFormat="1" ht="21" customHeight="1">
      <c r="C3150" s="147" t="s">
        <v>5394</v>
      </c>
      <c r="D3150" s="794" t="s">
        <v>4140</v>
      </c>
      <c r="E3150" s="795"/>
      <c r="F3150" s="795"/>
      <c r="G3150" s="795"/>
      <c r="H3150" s="795"/>
      <c r="I3150" s="50">
        <f>ROUNDDOWN(H3165,-2)</f>
        <v>47700</v>
      </c>
      <c r="J3150" s="50"/>
      <c r="K3150" s="50"/>
    </row>
    <row r="3151" spans="3:12" s="59" customFormat="1" ht="21" customHeight="1">
      <c r="C3151" s="591" t="s">
        <v>1195</v>
      </c>
      <c r="D3151" s="591" t="s">
        <v>1196</v>
      </c>
      <c r="E3151" s="591" t="s">
        <v>1197</v>
      </c>
      <c r="F3151" s="591" t="s">
        <v>1198</v>
      </c>
      <c r="G3151" s="591" t="s">
        <v>1199</v>
      </c>
      <c r="H3151" s="591" t="s">
        <v>1200</v>
      </c>
      <c r="I3151" s="44"/>
      <c r="J3151" s="44"/>
      <c r="K3151" s="44"/>
    </row>
    <row r="3152" spans="3:12" s="59" customFormat="1" ht="21" customHeight="1">
      <c r="C3152" s="61" t="s">
        <v>1201</v>
      </c>
      <c r="D3152" s="56" t="s">
        <v>1202</v>
      </c>
      <c r="E3152" s="57"/>
      <c r="F3152" s="57"/>
      <c r="G3152" s="57"/>
      <c r="H3152" s="57"/>
      <c r="I3152" s="44"/>
      <c r="J3152" s="44"/>
      <c r="K3152" s="44"/>
      <c r="L3152" s="152" t="s">
        <v>1247</v>
      </c>
    </row>
    <row r="3153" spans="3:15" s="59" customFormat="1" ht="21" customHeight="1">
      <c r="C3153" s="588">
        <v>1</v>
      </c>
      <c r="D3153" s="56" t="s">
        <v>5</v>
      </c>
      <c r="E3153" s="577" t="s">
        <v>6</v>
      </c>
      <c r="F3153" s="62">
        <v>5.1999999999999998E-2</v>
      </c>
      <c r="G3153" s="63">
        <f>VLOOKUP(D3153,upahbahan,3,FALSE)</f>
        <v>100000</v>
      </c>
      <c r="H3153" s="63">
        <f>F3153*G3153</f>
        <v>5200</v>
      </c>
      <c r="I3153" s="44"/>
      <c r="J3153" s="44"/>
      <c r="K3153" s="44"/>
      <c r="L3153" s="152" t="s">
        <v>1248</v>
      </c>
      <c r="O3153" s="65">
        <v>0.1</v>
      </c>
    </row>
    <row r="3154" spans="3:15" s="59" customFormat="1" ht="21" customHeight="1">
      <c r="C3154" s="588">
        <v>2</v>
      </c>
      <c r="D3154" s="56" t="s">
        <v>10</v>
      </c>
      <c r="E3154" s="577" t="s">
        <v>6</v>
      </c>
      <c r="F3154" s="62">
        <v>8.6999999999999994E-2</v>
      </c>
      <c r="G3154" s="63">
        <f>VLOOKUP(D3154,upahbahan,3,FALSE)</f>
        <v>135000</v>
      </c>
      <c r="H3154" s="63">
        <f>F3154*G3154</f>
        <v>11745</v>
      </c>
      <c r="I3154" s="44"/>
      <c r="J3154" s="44"/>
      <c r="K3154" s="44"/>
    </row>
    <row r="3155" spans="3:15" s="59" customFormat="1" ht="21" customHeight="1">
      <c r="C3155" s="588">
        <v>3</v>
      </c>
      <c r="D3155" s="56" t="s">
        <v>18</v>
      </c>
      <c r="E3155" s="577" t="s">
        <v>6</v>
      </c>
      <c r="F3155" s="62">
        <v>8.9999999999999993E-3</v>
      </c>
      <c r="G3155" s="63">
        <f>VLOOKUP(D3155,upahbahan,3,FALSE)</f>
        <v>150000</v>
      </c>
      <c r="H3155" s="63">
        <f>F3155*G3155</f>
        <v>1350</v>
      </c>
      <c r="I3155" s="44"/>
      <c r="J3155" s="44"/>
      <c r="K3155" s="44"/>
    </row>
    <row r="3156" spans="3:15" s="59" customFormat="1" ht="21" customHeight="1">
      <c r="C3156" s="588">
        <v>4</v>
      </c>
      <c r="D3156" s="56" t="s">
        <v>19</v>
      </c>
      <c r="E3156" s="577" t="s">
        <v>6</v>
      </c>
      <c r="F3156" s="62">
        <v>3.0000000000000001E-3</v>
      </c>
      <c r="G3156" s="63">
        <f>VLOOKUP(D3156,upahbahan,3,FALSE)</f>
        <v>160000</v>
      </c>
      <c r="H3156" s="63">
        <f>F3156*G3156</f>
        <v>480</v>
      </c>
      <c r="I3156" s="44"/>
      <c r="J3156" s="44"/>
      <c r="K3156" s="44"/>
    </row>
    <row r="3157" spans="3:15" s="59" customFormat="1" ht="21" customHeight="1">
      <c r="C3157" s="450" t="s">
        <v>1208</v>
      </c>
      <c r="D3157" s="67"/>
      <c r="E3157" s="67"/>
      <c r="F3157" s="142"/>
      <c r="G3157" s="153"/>
      <c r="H3157" s="63">
        <f>SUM(H3153:H3156)</f>
        <v>18775</v>
      </c>
      <c r="I3157" s="154"/>
      <c r="J3157" s="154"/>
      <c r="K3157" s="154"/>
    </row>
    <row r="3158" spans="3:15" s="59" customFormat="1" ht="21" customHeight="1">
      <c r="C3158" s="61" t="s">
        <v>1209</v>
      </c>
      <c r="D3158" s="56" t="s">
        <v>1210</v>
      </c>
      <c r="E3158" s="57"/>
      <c r="F3158" s="57"/>
      <c r="G3158" s="57"/>
      <c r="H3158" s="57"/>
      <c r="I3158" s="44"/>
      <c r="J3158" s="44"/>
      <c r="K3158" s="44"/>
    </row>
    <row r="3159" spans="3:15" s="59" customFormat="1" ht="21" customHeight="1">
      <c r="C3159" s="61">
        <v>1</v>
      </c>
      <c r="D3159" s="56" t="s">
        <v>4141</v>
      </c>
      <c r="E3159" s="93" t="s">
        <v>135</v>
      </c>
      <c r="F3159" s="104">
        <v>1.1499999999999999</v>
      </c>
      <c r="G3159" s="63">
        <f>VLOOKUP(D3159,upahbahan,3,FALSE)</f>
        <v>21450</v>
      </c>
      <c r="H3159" s="586">
        <f>G3159*F3159</f>
        <v>24667.499999999996</v>
      </c>
      <c r="I3159" s="44"/>
      <c r="J3159" s="44"/>
      <c r="K3159" s="44"/>
    </row>
    <row r="3160" spans="3:15" s="59" customFormat="1" ht="21" customHeight="1">
      <c r="C3160" s="450" t="s">
        <v>1214</v>
      </c>
      <c r="D3160" s="67"/>
      <c r="E3160" s="67"/>
      <c r="F3160" s="67"/>
      <c r="G3160" s="69"/>
      <c r="H3160" s="63">
        <f>SUM(H3159:H3159)</f>
        <v>24667.499999999996</v>
      </c>
      <c r="I3160" s="44"/>
      <c r="J3160" s="44"/>
      <c r="K3160" s="44"/>
    </row>
    <row r="3161" spans="3:15" s="59" customFormat="1" ht="21" customHeight="1">
      <c r="C3161" s="61" t="s">
        <v>1215</v>
      </c>
      <c r="D3161" s="56" t="s">
        <v>1216</v>
      </c>
      <c r="E3161" s="57"/>
      <c r="F3161" s="57"/>
      <c r="G3161" s="57"/>
      <c r="H3161" s="57"/>
      <c r="I3161" s="44"/>
      <c r="J3161" s="44"/>
      <c r="K3161" s="44"/>
    </row>
    <row r="3162" spans="3:15" s="59" customFormat="1" ht="21" customHeight="1">
      <c r="C3162" s="450" t="s">
        <v>1217</v>
      </c>
      <c r="D3162" s="67"/>
      <c r="E3162" s="67"/>
      <c r="F3162" s="67"/>
      <c r="G3162" s="69"/>
      <c r="H3162" s="589">
        <v>0</v>
      </c>
      <c r="I3162" s="44"/>
      <c r="J3162" s="44"/>
      <c r="K3162" s="44"/>
    </row>
    <row r="3163" spans="3:15" s="59" customFormat="1" ht="21" customHeight="1">
      <c r="C3163" s="288" t="s">
        <v>1218</v>
      </c>
      <c r="D3163" s="76" t="s">
        <v>1219</v>
      </c>
      <c r="E3163" s="77"/>
      <c r="F3163" s="77"/>
      <c r="G3163" s="78"/>
      <c r="H3163" s="585">
        <f>H3162+H3160+H3157</f>
        <v>43442.5</v>
      </c>
      <c r="I3163" s="369"/>
      <c r="J3163" s="44"/>
      <c r="K3163" s="44"/>
    </row>
    <row r="3164" spans="3:15" s="59" customFormat="1" ht="21" customHeight="1">
      <c r="C3164" s="288" t="s">
        <v>1220</v>
      </c>
      <c r="D3164" s="76" t="s">
        <v>1321</v>
      </c>
      <c r="E3164" s="77"/>
      <c r="F3164" s="78"/>
      <c r="G3164" s="80">
        <v>0.1</v>
      </c>
      <c r="H3164" s="63">
        <f>H3163*G3164</f>
        <v>4344.25</v>
      </c>
      <c r="I3164" s="369"/>
      <c r="J3164" s="44"/>
      <c r="K3164" s="44"/>
    </row>
    <row r="3165" spans="3:15" s="59" customFormat="1" ht="21" customHeight="1">
      <c r="C3165" s="288" t="s">
        <v>1221</v>
      </c>
      <c r="D3165" s="76" t="s">
        <v>1222</v>
      </c>
      <c r="E3165" s="77"/>
      <c r="F3165" s="77"/>
      <c r="G3165" s="78"/>
      <c r="H3165" s="799">
        <f>SUM(H3163:H3164)</f>
        <v>47786.75</v>
      </c>
      <c r="I3165" s="369"/>
      <c r="J3165" s="44"/>
      <c r="K3165" s="44"/>
    </row>
    <row r="3166" spans="3:15" ht="21" customHeight="1"/>
    <row r="3167" spans="3:15" s="59" customFormat="1" ht="21" customHeight="1">
      <c r="C3167" s="147" t="s">
        <v>5395</v>
      </c>
      <c r="D3167" s="794" t="s">
        <v>4142</v>
      </c>
      <c r="E3167" s="795"/>
      <c r="F3167" s="795"/>
      <c r="G3167" s="795"/>
      <c r="H3167" s="795"/>
      <c r="I3167" s="50">
        <f>ROUNDDOWN(H3182,-2)</f>
        <v>118700</v>
      </c>
      <c r="J3167" s="50"/>
      <c r="K3167" s="50"/>
    </row>
    <row r="3168" spans="3:15" s="59" customFormat="1" ht="21" customHeight="1">
      <c r="C3168" s="591" t="s">
        <v>1195</v>
      </c>
      <c r="D3168" s="591" t="s">
        <v>1196</v>
      </c>
      <c r="E3168" s="591" t="s">
        <v>1197</v>
      </c>
      <c r="F3168" s="591" t="s">
        <v>1198</v>
      </c>
      <c r="G3168" s="591" t="s">
        <v>1199</v>
      </c>
      <c r="H3168" s="591" t="s">
        <v>1200</v>
      </c>
      <c r="I3168" s="44"/>
      <c r="J3168" s="44"/>
      <c r="K3168" s="44"/>
    </row>
    <row r="3169" spans="3:15" s="59" customFormat="1" ht="21" customHeight="1">
      <c r="C3169" s="61" t="s">
        <v>1201</v>
      </c>
      <c r="D3169" s="56" t="s">
        <v>1202</v>
      </c>
      <c r="E3169" s="57"/>
      <c r="F3169" s="57"/>
      <c r="G3169" s="57"/>
      <c r="H3169" s="57"/>
      <c r="I3169" s="44"/>
      <c r="J3169" s="44"/>
      <c r="K3169" s="44"/>
      <c r="L3169" s="152" t="s">
        <v>1247</v>
      </c>
    </row>
    <row r="3170" spans="3:15" s="59" customFormat="1" ht="21" customHeight="1">
      <c r="C3170" s="588">
        <v>1</v>
      </c>
      <c r="D3170" s="56" t="s">
        <v>5</v>
      </c>
      <c r="E3170" s="577" t="s">
        <v>6</v>
      </c>
      <c r="F3170" s="62">
        <v>7.9000000000000001E-2</v>
      </c>
      <c r="G3170" s="63">
        <f>VLOOKUP(D3170,upahbahan,3,FALSE)</f>
        <v>100000</v>
      </c>
      <c r="H3170" s="63">
        <f>F3170*G3170</f>
        <v>7900</v>
      </c>
      <c r="I3170" s="44"/>
      <c r="J3170" s="44"/>
      <c r="K3170" s="44"/>
      <c r="L3170" s="152" t="s">
        <v>1248</v>
      </c>
      <c r="O3170" s="65">
        <v>0.1</v>
      </c>
    </row>
    <row r="3171" spans="3:15" s="59" customFormat="1" ht="21" customHeight="1">
      <c r="C3171" s="588">
        <v>2</v>
      </c>
      <c r="D3171" s="56" t="s">
        <v>10</v>
      </c>
      <c r="E3171" s="577" t="s">
        <v>6</v>
      </c>
      <c r="F3171" s="62">
        <v>0.13100000000000001</v>
      </c>
      <c r="G3171" s="63">
        <f>VLOOKUP(D3171,upahbahan,3,FALSE)</f>
        <v>135000</v>
      </c>
      <c r="H3171" s="63">
        <f>F3171*G3171</f>
        <v>17685</v>
      </c>
      <c r="I3171" s="44"/>
      <c r="J3171" s="44"/>
      <c r="K3171" s="44"/>
    </row>
    <row r="3172" spans="3:15" s="59" customFormat="1" ht="21" customHeight="1">
      <c r="C3172" s="588">
        <v>3</v>
      </c>
      <c r="D3172" s="56" t="s">
        <v>18</v>
      </c>
      <c r="E3172" s="577" t="s">
        <v>6</v>
      </c>
      <c r="F3172" s="62">
        <v>1.2999999999999999E-2</v>
      </c>
      <c r="G3172" s="63">
        <f>VLOOKUP(D3172,upahbahan,3,FALSE)</f>
        <v>150000</v>
      </c>
      <c r="H3172" s="63">
        <f>F3172*G3172</f>
        <v>1950</v>
      </c>
      <c r="I3172" s="44"/>
      <c r="J3172" s="44"/>
      <c r="K3172" s="44"/>
    </row>
    <row r="3173" spans="3:15" s="59" customFormat="1" ht="21" customHeight="1">
      <c r="C3173" s="588">
        <v>4</v>
      </c>
      <c r="D3173" s="56" t="s">
        <v>19</v>
      </c>
      <c r="E3173" s="577" t="s">
        <v>6</v>
      </c>
      <c r="F3173" s="62">
        <v>4.0000000000000001E-3</v>
      </c>
      <c r="G3173" s="63">
        <f>VLOOKUP(D3173,upahbahan,3,FALSE)</f>
        <v>160000</v>
      </c>
      <c r="H3173" s="63">
        <f>F3173*G3173</f>
        <v>640</v>
      </c>
      <c r="I3173" s="44"/>
      <c r="J3173" s="44"/>
      <c r="K3173" s="44"/>
    </row>
    <row r="3174" spans="3:15" s="59" customFormat="1" ht="21" customHeight="1">
      <c r="C3174" s="450" t="s">
        <v>1208</v>
      </c>
      <c r="D3174" s="67"/>
      <c r="E3174" s="67"/>
      <c r="F3174" s="142"/>
      <c r="G3174" s="153"/>
      <c r="H3174" s="63">
        <f>SUM(H3170:H3173)</f>
        <v>28175</v>
      </c>
      <c r="I3174" s="154"/>
      <c r="J3174" s="154"/>
      <c r="K3174" s="154"/>
    </row>
    <row r="3175" spans="3:15" s="59" customFormat="1" ht="21" customHeight="1">
      <c r="C3175" s="61" t="s">
        <v>1209</v>
      </c>
      <c r="D3175" s="56" t="s">
        <v>1210</v>
      </c>
      <c r="E3175" s="57"/>
      <c r="F3175" s="57"/>
      <c r="G3175" s="57"/>
      <c r="H3175" s="57"/>
      <c r="I3175" s="44"/>
      <c r="J3175" s="44"/>
      <c r="K3175" s="44"/>
    </row>
    <row r="3176" spans="3:15" s="59" customFormat="1" ht="21" customHeight="1">
      <c r="C3176" s="61">
        <v>1</v>
      </c>
      <c r="D3176" s="56" t="s">
        <v>4143</v>
      </c>
      <c r="E3176" s="93" t="s">
        <v>135</v>
      </c>
      <c r="F3176" s="104">
        <v>1.1499999999999999</v>
      </c>
      <c r="G3176" s="63">
        <f>VLOOKUP(D3176,upahbahan,3,FALSE)</f>
        <v>69400</v>
      </c>
      <c r="H3176" s="586">
        <f>G3176*F3176</f>
        <v>79810</v>
      </c>
      <c r="I3176" s="44"/>
      <c r="J3176" s="44"/>
      <c r="K3176" s="44"/>
    </row>
    <row r="3177" spans="3:15" s="59" customFormat="1" ht="21" customHeight="1">
      <c r="C3177" s="450" t="s">
        <v>1214</v>
      </c>
      <c r="D3177" s="67"/>
      <c r="E3177" s="67"/>
      <c r="F3177" s="67"/>
      <c r="G3177" s="69"/>
      <c r="H3177" s="63">
        <f>SUM(H3176:H3176)</f>
        <v>79810</v>
      </c>
      <c r="I3177" s="44"/>
      <c r="J3177" s="44"/>
      <c r="K3177" s="44"/>
    </row>
    <row r="3178" spans="3:15" s="59" customFormat="1" ht="21" customHeight="1">
      <c r="C3178" s="61" t="s">
        <v>1215</v>
      </c>
      <c r="D3178" s="56" t="s">
        <v>1216</v>
      </c>
      <c r="E3178" s="57"/>
      <c r="F3178" s="57"/>
      <c r="G3178" s="57"/>
      <c r="H3178" s="57"/>
      <c r="I3178" s="44"/>
      <c r="J3178" s="44"/>
      <c r="K3178" s="44"/>
    </row>
    <row r="3179" spans="3:15" s="59" customFormat="1" ht="21" customHeight="1">
      <c r="C3179" s="450" t="s">
        <v>1217</v>
      </c>
      <c r="D3179" s="67"/>
      <c r="E3179" s="67"/>
      <c r="F3179" s="67"/>
      <c r="G3179" s="69"/>
      <c r="H3179" s="589">
        <v>0</v>
      </c>
      <c r="I3179" s="44"/>
      <c r="J3179" s="44"/>
      <c r="K3179" s="44"/>
    </row>
    <row r="3180" spans="3:15" s="59" customFormat="1" ht="21" customHeight="1">
      <c r="C3180" s="288" t="s">
        <v>1218</v>
      </c>
      <c r="D3180" s="76" t="s">
        <v>1219</v>
      </c>
      <c r="E3180" s="77"/>
      <c r="F3180" s="77"/>
      <c r="G3180" s="78"/>
      <c r="H3180" s="585">
        <f>H3179+H3177+H3174</f>
        <v>107985</v>
      </c>
      <c r="I3180" s="369"/>
      <c r="J3180" s="44"/>
      <c r="K3180" s="44"/>
    </row>
    <row r="3181" spans="3:15" s="59" customFormat="1" ht="21" customHeight="1">
      <c r="C3181" s="288" t="s">
        <v>1220</v>
      </c>
      <c r="D3181" s="76" t="s">
        <v>1321</v>
      </c>
      <c r="E3181" s="77"/>
      <c r="F3181" s="78"/>
      <c r="G3181" s="80">
        <v>0.1</v>
      </c>
      <c r="H3181" s="63">
        <f>H3180*G3181</f>
        <v>10798.5</v>
      </c>
      <c r="I3181" s="369"/>
      <c r="J3181" s="44"/>
      <c r="K3181" s="44"/>
    </row>
    <row r="3182" spans="3:15" s="59" customFormat="1" ht="21" customHeight="1">
      <c r="C3182" s="288" t="s">
        <v>1221</v>
      </c>
      <c r="D3182" s="76" t="s">
        <v>1222</v>
      </c>
      <c r="E3182" s="77"/>
      <c r="F3182" s="77"/>
      <c r="G3182" s="78"/>
      <c r="H3182" s="799">
        <f>SUM(H3180:H3181)</f>
        <v>118783.5</v>
      </c>
      <c r="I3182" s="369"/>
      <c r="J3182" s="44"/>
      <c r="K3182" s="44"/>
    </row>
    <row r="3183" spans="3:15" ht="21" customHeight="1"/>
    <row r="3184" spans="3:15" s="59" customFormat="1" ht="21" customHeight="1">
      <c r="C3184" s="147" t="s">
        <v>5396</v>
      </c>
      <c r="D3184" s="794" t="s">
        <v>4115</v>
      </c>
      <c r="E3184" s="795"/>
      <c r="F3184" s="795"/>
      <c r="G3184" s="795"/>
      <c r="H3184" s="795"/>
      <c r="I3184" s="50">
        <f>ROUNDDOWN(H3199,-2)</f>
        <v>515500</v>
      </c>
      <c r="J3184" s="50"/>
      <c r="K3184" s="50"/>
    </row>
    <row r="3185" spans="3:15" s="59" customFormat="1" ht="21" customHeight="1">
      <c r="C3185" s="591" t="s">
        <v>1195</v>
      </c>
      <c r="D3185" s="591" t="s">
        <v>1196</v>
      </c>
      <c r="E3185" s="591" t="s">
        <v>1197</v>
      </c>
      <c r="F3185" s="591" t="s">
        <v>1198</v>
      </c>
      <c r="G3185" s="591" t="s">
        <v>1199</v>
      </c>
      <c r="H3185" s="591" t="s">
        <v>1200</v>
      </c>
      <c r="I3185" s="44"/>
      <c r="J3185" s="44"/>
      <c r="K3185" s="44"/>
    </row>
    <row r="3186" spans="3:15" s="59" customFormat="1" ht="21" customHeight="1">
      <c r="C3186" s="61" t="s">
        <v>1201</v>
      </c>
      <c r="D3186" s="56" t="s">
        <v>1202</v>
      </c>
      <c r="E3186" s="57"/>
      <c r="F3186" s="57"/>
      <c r="G3186" s="57"/>
      <c r="H3186" s="57"/>
      <c r="I3186" s="44"/>
      <c r="J3186" s="44"/>
      <c r="K3186" s="44"/>
      <c r="L3186" s="152" t="s">
        <v>1247</v>
      </c>
    </row>
    <row r="3187" spans="3:15" s="59" customFormat="1" ht="21" customHeight="1">
      <c r="C3187" s="588">
        <v>1</v>
      </c>
      <c r="D3187" s="56" t="s">
        <v>5</v>
      </c>
      <c r="E3187" s="577" t="s">
        <v>6</v>
      </c>
      <c r="F3187" s="62">
        <v>0.105</v>
      </c>
      <c r="G3187" s="63">
        <f>VLOOKUP(D3187,upahbahan,3,FALSE)</f>
        <v>100000</v>
      </c>
      <c r="H3187" s="63">
        <f>F3187*G3187</f>
        <v>10500</v>
      </c>
      <c r="I3187" s="44"/>
      <c r="J3187" s="44"/>
      <c r="K3187" s="44"/>
      <c r="L3187" s="152" t="s">
        <v>1248</v>
      </c>
      <c r="O3187" s="65">
        <v>0.1</v>
      </c>
    </row>
    <row r="3188" spans="3:15" s="59" customFormat="1" ht="21" customHeight="1">
      <c r="C3188" s="588">
        <v>2</v>
      </c>
      <c r="D3188" s="56" t="s">
        <v>10</v>
      </c>
      <c r="E3188" s="577" t="s">
        <v>6</v>
      </c>
      <c r="F3188" s="62">
        <v>0.17499999999999999</v>
      </c>
      <c r="G3188" s="63">
        <f>VLOOKUP(D3188,upahbahan,3,FALSE)</f>
        <v>135000</v>
      </c>
      <c r="H3188" s="63">
        <f>F3188*G3188</f>
        <v>23625</v>
      </c>
      <c r="I3188" s="44"/>
      <c r="J3188" s="44"/>
      <c r="K3188" s="44"/>
    </row>
    <row r="3189" spans="3:15" s="59" customFormat="1" ht="21" customHeight="1">
      <c r="C3189" s="588">
        <v>3</v>
      </c>
      <c r="D3189" s="56" t="s">
        <v>18</v>
      </c>
      <c r="E3189" s="577" t="s">
        <v>6</v>
      </c>
      <c r="F3189" s="62">
        <v>1.7000000000000001E-2</v>
      </c>
      <c r="G3189" s="63">
        <f>VLOOKUP(D3189,upahbahan,3,FALSE)</f>
        <v>150000</v>
      </c>
      <c r="H3189" s="63">
        <f>F3189*G3189</f>
        <v>2550</v>
      </c>
      <c r="I3189" s="44"/>
      <c r="J3189" s="44"/>
      <c r="K3189" s="44"/>
    </row>
    <row r="3190" spans="3:15" s="59" customFormat="1" ht="21" customHeight="1">
      <c r="C3190" s="588">
        <v>4</v>
      </c>
      <c r="D3190" s="56" t="s">
        <v>19</v>
      </c>
      <c r="E3190" s="577" t="s">
        <v>6</v>
      </c>
      <c r="F3190" s="62">
        <v>5.0000000000000001E-3</v>
      </c>
      <c r="G3190" s="63">
        <f>VLOOKUP(D3190,upahbahan,3,FALSE)</f>
        <v>160000</v>
      </c>
      <c r="H3190" s="63">
        <f>F3190*G3190</f>
        <v>800</v>
      </c>
      <c r="I3190" s="44"/>
      <c r="J3190" s="44"/>
      <c r="K3190" s="44"/>
    </row>
    <row r="3191" spans="3:15" s="59" customFormat="1" ht="21" customHeight="1">
      <c r="C3191" s="450" t="s">
        <v>1208</v>
      </c>
      <c r="D3191" s="67"/>
      <c r="E3191" s="67"/>
      <c r="F3191" s="142"/>
      <c r="G3191" s="153"/>
      <c r="H3191" s="63">
        <f>SUM(H3187:H3190)</f>
        <v>37475</v>
      </c>
      <c r="I3191" s="154"/>
      <c r="J3191" s="154"/>
      <c r="K3191" s="154"/>
    </row>
    <row r="3192" spans="3:15" s="59" customFormat="1" ht="21" customHeight="1">
      <c r="C3192" s="61" t="s">
        <v>1209</v>
      </c>
      <c r="D3192" s="56" t="s">
        <v>1210</v>
      </c>
      <c r="E3192" s="57"/>
      <c r="F3192" s="57"/>
      <c r="G3192" s="57"/>
      <c r="H3192" s="57"/>
      <c r="I3192" s="44"/>
      <c r="J3192" s="44"/>
      <c r="K3192" s="44"/>
    </row>
    <row r="3193" spans="3:15" s="59" customFormat="1" ht="21" customHeight="1">
      <c r="C3193" s="61">
        <v>1</v>
      </c>
      <c r="D3193" s="56" t="s">
        <v>4116</v>
      </c>
      <c r="E3193" s="93" t="s">
        <v>135</v>
      </c>
      <c r="F3193" s="104">
        <v>1.1499999999999999</v>
      </c>
      <c r="G3193" s="63">
        <f>VLOOKUP(D3193,upahbahan,3,FALSE)</f>
        <v>375000</v>
      </c>
      <c r="H3193" s="586">
        <f>G3193*F3193</f>
        <v>431249.99999999994</v>
      </c>
      <c r="I3193" s="44"/>
      <c r="J3193" s="44"/>
      <c r="K3193" s="44"/>
    </row>
    <row r="3194" spans="3:15" s="59" customFormat="1" ht="21" customHeight="1">
      <c r="C3194" s="450" t="s">
        <v>1214</v>
      </c>
      <c r="D3194" s="67"/>
      <c r="E3194" s="67"/>
      <c r="F3194" s="67"/>
      <c r="G3194" s="69"/>
      <c r="H3194" s="63">
        <f>SUM(H3193:H3193)</f>
        <v>431249.99999999994</v>
      </c>
      <c r="I3194" s="44"/>
      <c r="J3194" s="44"/>
      <c r="K3194" s="44"/>
    </row>
    <row r="3195" spans="3:15" s="59" customFormat="1" ht="21" customHeight="1">
      <c r="C3195" s="61" t="s">
        <v>1215</v>
      </c>
      <c r="D3195" s="56" t="s">
        <v>1216</v>
      </c>
      <c r="E3195" s="57"/>
      <c r="F3195" s="57"/>
      <c r="G3195" s="57"/>
      <c r="H3195" s="57"/>
      <c r="I3195" s="44"/>
      <c r="J3195" s="44"/>
      <c r="K3195" s="44"/>
    </row>
    <row r="3196" spans="3:15" s="59" customFormat="1" ht="21" customHeight="1">
      <c r="C3196" s="450" t="s">
        <v>1217</v>
      </c>
      <c r="D3196" s="67"/>
      <c r="E3196" s="67"/>
      <c r="F3196" s="67"/>
      <c r="G3196" s="69"/>
      <c r="H3196" s="589">
        <v>0</v>
      </c>
      <c r="I3196" s="44"/>
      <c r="J3196" s="44"/>
      <c r="K3196" s="44"/>
    </row>
    <row r="3197" spans="3:15" s="59" customFormat="1" ht="21" customHeight="1">
      <c r="C3197" s="288" t="s">
        <v>1218</v>
      </c>
      <c r="D3197" s="76" t="s">
        <v>1219</v>
      </c>
      <c r="E3197" s="77"/>
      <c r="F3197" s="77"/>
      <c r="G3197" s="78"/>
      <c r="H3197" s="585">
        <f>H3196+H3194+H3191</f>
        <v>468724.99999999994</v>
      </c>
      <c r="I3197" s="369"/>
      <c r="J3197" s="44"/>
      <c r="K3197" s="44"/>
    </row>
    <row r="3198" spans="3:15" s="59" customFormat="1" ht="21" customHeight="1">
      <c r="C3198" s="288" t="s">
        <v>1220</v>
      </c>
      <c r="D3198" s="76" t="s">
        <v>1321</v>
      </c>
      <c r="E3198" s="77"/>
      <c r="F3198" s="78"/>
      <c r="G3198" s="80">
        <v>0.1</v>
      </c>
      <c r="H3198" s="63">
        <f>H3197*G3198</f>
        <v>46872.5</v>
      </c>
      <c r="I3198" s="369"/>
      <c r="J3198" s="44"/>
      <c r="K3198" s="44"/>
    </row>
    <row r="3199" spans="3:15" s="59" customFormat="1" ht="21" customHeight="1">
      <c r="C3199" s="288" t="s">
        <v>1221</v>
      </c>
      <c r="D3199" s="76" t="s">
        <v>1222</v>
      </c>
      <c r="E3199" s="77"/>
      <c r="F3199" s="77"/>
      <c r="G3199" s="78"/>
      <c r="H3199" s="799">
        <f>SUM(H3197:H3198)</f>
        <v>515597.49999999994</v>
      </c>
      <c r="I3199" s="369"/>
      <c r="J3199" s="44"/>
      <c r="K3199" s="44"/>
    </row>
    <row r="3200" spans="3:15" ht="21" customHeight="1"/>
    <row r="3201" spans="3:15" s="59" customFormat="1" ht="21" customHeight="1">
      <c r="C3201" s="147" t="s">
        <v>5382</v>
      </c>
      <c r="D3201" s="794" t="s">
        <v>4144</v>
      </c>
      <c r="E3201" s="795"/>
      <c r="F3201" s="795"/>
      <c r="G3201" s="795"/>
      <c r="H3201" s="795"/>
      <c r="I3201" s="50">
        <f>ROUNDDOWN(H3216,-2)</f>
        <v>228500</v>
      </c>
      <c r="J3201" s="50"/>
      <c r="K3201" s="50"/>
    </row>
    <row r="3202" spans="3:15" s="59" customFormat="1" ht="21" customHeight="1">
      <c r="C3202" s="591" t="s">
        <v>1195</v>
      </c>
      <c r="D3202" s="591" t="s">
        <v>1196</v>
      </c>
      <c r="E3202" s="591" t="s">
        <v>1197</v>
      </c>
      <c r="F3202" s="591" t="s">
        <v>1198</v>
      </c>
      <c r="G3202" s="591" t="s">
        <v>1199</v>
      </c>
      <c r="H3202" s="591" t="s">
        <v>1200</v>
      </c>
      <c r="I3202" s="44"/>
      <c r="J3202" s="44"/>
      <c r="K3202" s="44"/>
    </row>
    <row r="3203" spans="3:15" s="59" customFormat="1" ht="21" customHeight="1">
      <c r="C3203" s="61" t="s">
        <v>1201</v>
      </c>
      <c r="D3203" s="56" t="s">
        <v>1202</v>
      </c>
      <c r="E3203" s="57"/>
      <c r="F3203" s="57"/>
      <c r="G3203" s="57"/>
      <c r="H3203" s="57"/>
      <c r="I3203" s="44"/>
      <c r="J3203" s="44"/>
      <c r="K3203" s="44"/>
      <c r="L3203" s="152" t="s">
        <v>1247</v>
      </c>
    </row>
    <row r="3204" spans="3:15" s="59" customFormat="1" ht="21" customHeight="1">
      <c r="C3204" s="588">
        <v>1</v>
      </c>
      <c r="D3204" s="56" t="s">
        <v>5</v>
      </c>
      <c r="E3204" s="577" t="s">
        <v>6</v>
      </c>
      <c r="F3204" s="62">
        <v>0.14799999999999999</v>
      </c>
      <c r="G3204" s="63">
        <f>VLOOKUP(D3204,upahbahan,3,FALSE)</f>
        <v>100000</v>
      </c>
      <c r="H3204" s="63">
        <f>F3204*G3204</f>
        <v>14800</v>
      </c>
      <c r="I3204" s="44"/>
      <c r="J3204" s="44"/>
      <c r="K3204" s="44"/>
      <c r="L3204" s="152" t="s">
        <v>1248</v>
      </c>
      <c r="O3204" s="65">
        <v>0.1</v>
      </c>
    </row>
    <row r="3205" spans="3:15" s="59" customFormat="1" ht="21" customHeight="1">
      <c r="C3205" s="588">
        <v>2</v>
      </c>
      <c r="D3205" s="56" t="s">
        <v>10</v>
      </c>
      <c r="E3205" s="577" t="s">
        <v>6</v>
      </c>
      <c r="F3205" s="62">
        <v>0.247</v>
      </c>
      <c r="G3205" s="63">
        <f>VLOOKUP(D3205,upahbahan,3,FALSE)</f>
        <v>135000</v>
      </c>
      <c r="H3205" s="63">
        <f>F3205*G3205</f>
        <v>33345</v>
      </c>
      <c r="I3205" s="44"/>
      <c r="J3205" s="44"/>
      <c r="K3205" s="44"/>
    </row>
    <row r="3206" spans="3:15" s="59" customFormat="1" ht="21" customHeight="1">
      <c r="C3206" s="588">
        <v>3</v>
      </c>
      <c r="D3206" s="56" t="s">
        <v>18</v>
      </c>
      <c r="E3206" s="577" t="s">
        <v>6</v>
      </c>
      <c r="F3206" s="62">
        <v>2.5000000000000001E-2</v>
      </c>
      <c r="G3206" s="63">
        <f>VLOOKUP(D3206,upahbahan,3,FALSE)</f>
        <v>150000</v>
      </c>
      <c r="H3206" s="63">
        <f>F3206*G3206</f>
        <v>3750</v>
      </c>
      <c r="I3206" s="44"/>
      <c r="J3206" s="44"/>
      <c r="K3206" s="44"/>
    </row>
    <row r="3207" spans="3:15" s="59" customFormat="1" ht="21" customHeight="1">
      <c r="C3207" s="588">
        <v>4</v>
      </c>
      <c r="D3207" s="56" t="s">
        <v>19</v>
      </c>
      <c r="E3207" s="577" t="s">
        <v>6</v>
      </c>
      <c r="F3207" s="62">
        <v>7.0000000000000001E-3</v>
      </c>
      <c r="G3207" s="63">
        <f>VLOOKUP(D3207,upahbahan,3,FALSE)</f>
        <v>160000</v>
      </c>
      <c r="H3207" s="63">
        <f>F3207*G3207</f>
        <v>1120</v>
      </c>
      <c r="I3207" s="44"/>
      <c r="J3207" s="44"/>
      <c r="K3207" s="44"/>
    </row>
    <row r="3208" spans="3:15" s="59" customFormat="1" ht="21" customHeight="1">
      <c r="C3208" s="450" t="s">
        <v>1208</v>
      </c>
      <c r="D3208" s="67"/>
      <c r="E3208" s="67"/>
      <c r="F3208" s="142"/>
      <c r="G3208" s="153"/>
      <c r="H3208" s="63">
        <f>SUM(H3204:H3207)</f>
        <v>53015</v>
      </c>
      <c r="I3208" s="154"/>
      <c r="J3208" s="154"/>
      <c r="K3208" s="154"/>
    </row>
    <row r="3209" spans="3:15" s="59" customFormat="1" ht="21" customHeight="1">
      <c r="C3209" s="61" t="s">
        <v>1209</v>
      </c>
      <c r="D3209" s="56" t="s">
        <v>1210</v>
      </c>
      <c r="E3209" s="57"/>
      <c r="F3209" s="57"/>
      <c r="G3209" s="57"/>
      <c r="H3209" s="57"/>
      <c r="I3209" s="44"/>
      <c r="J3209" s="44"/>
      <c r="K3209" s="44"/>
    </row>
    <row r="3210" spans="3:15" s="59" customFormat="1" ht="21" customHeight="1">
      <c r="C3210" s="61">
        <v>1</v>
      </c>
      <c r="D3210" s="56" t="s">
        <v>4145</v>
      </c>
      <c r="E3210" s="93" t="s">
        <v>135</v>
      </c>
      <c r="F3210" s="104">
        <v>1.1499999999999999</v>
      </c>
      <c r="G3210" s="63">
        <f>VLOOKUP(D3210,upahbahan,3,FALSE)</f>
        <v>134600</v>
      </c>
      <c r="H3210" s="586">
        <f>G3210*F3210</f>
        <v>154790</v>
      </c>
      <c r="I3210" s="44"/>
      <c r="J3210" s="44"/>
      <c r="K3210" s="44"/>
    </row>
    <row r="3211" spans="3:15" s="59" customFormat="1" ht="21" customHeight="1">
      <c r="C3211" s="450" t="s">
        <v>1214</v>
      </c>
      <c r="D3211" s="67"/>
      <c r="E3211" s="67"/>
      <c r="F3211" s="67"/>
      <c r="G3211" s="69"/>
      <c r="H3211" s="63">
        <f>SUM(H3210:H3210)</f>
        <v>154790</v>
      </c>
      <c r="I3211" s="44"/>
      <c r="J3211" s="44"/>
      <c r="K3211" s="44"/>
    </row>
    <row r="3212" spans="3:15" s="59" customFormat="1" ht="21" customHeight="1">
      <c r="C3212" s="61" t="s">
        <v>1215</v>
      </c>
      <c r="D3212" s="56" t="s">
        <v>1216</v>
      </c>
      <c r="E3212" s="57"/>
      <c r="F3212" s="57"/>
      <c r="G3212" s="57"/>
      <c r="H3212" s="57"/>
      <c r="I3212" s="44"/>
      <c r="J3212" s="44"/>
      <c r="K3212" s="44"/>
    </row>
    <row r="3213" spans="3:15" s="59" customFormat="1" ht="21" customHeight="1">
      <c r="C3213" s="450" t="s">
        <v>1217</v>
      </c>
      <c r="D3213" s="67"/>
      <c r="E3213" s="67"/>
      <c r="F3213" s="67"/>
      <c r="G3213" s="69"/>
      <c r="H3213" s="589">
        <v>0</v>
      </c>
      <c r="I3213" s="44"/>
      <c r="J3213" s="44"/>
      <c r="K3213" s="44"/>
    </row>
    <row r="3214" spans="3:15" s="59" customFormat="1" ht="21" customHeight="1">
      <c r="C3214" s="288" t="s">
        <v>1218</v>
      </c>
      <c r="D3214" s="76" t="s">
        <v>1219</v>
      </c>
      <c r="E3214" s="77"/>
      <c r="F3214" s="77"/>
      <c r="G3214" s="78"/>
      <c r="H3214" s="585">
        <f>H3213+H3211+H3208</f>
        <v>207805</v>
      </c>
      <c r="I3214" s="369"/>
      <c r="J3214" s="44"/>
      <c r="K3214" s="44"/>
    </row>
    <row r="3215" spans="3:15" s="59" customFormat="1" ht="21" customHeight="1">
      <c r="C3215" s="288" t="s">
        <v>1220</v>
      </c>
      <c r="D3215" s="76" t="s">
        <v>1321</v>
      </c>
      <c r="E3215" s="77"/>
      <c r="F3215" s="78"/>
      <c r="G3215" s="80">
        <v>0.1</v>
      </c>
      <c r="H3215" s="63">
        <f>H3214*G3215</f>
        <v>20780.5</v>
      </c>
      <c r="I3215" s="369"/>
      <c r="J3215" s="44"/>
      <c r="K3215" s="44"/>
    </row>
    <row r="3216" spans="3:15" s="59" customFormat="1" ht="21" customHeight="1">
      <c r="C3216" s="288" t="s">
        <v>1221</v>
      </c>
      <c r="D3216" s="76" t="s">
        <v>1222</v>
      </c>
      <c r="E3216" s="77"/>
      <c r="F3216" s="77"/>
      <c r="G3216" s="78"/>
      <c r="H3216" s="799">
        <f>SUM(H3214:H3215)</f>
        <v>228585.5</v>
      </c>
      <c r="I3216" s="369"/>
      <c r="J3216" s="44"/>
      <c r="K3216" s="44"/>
    </row>
    <row r="3217" spans="3:15" ht="21" customHeight="1"/>
    <row r="3218" spans="3:15" ht="21" customHeight="1"/>
    <row r="3219" spans="3:15" s="59" customFormat="1" ht="21" customHeight="1">
      <c r="C3219" s="147" t="s">
        <v>5383</v>
      </c>
      <c r="D3219" s="794" t="s">
        <v>4119</v>
      </c>
      <c r="E3219" s="795"/>
      <c r="F3219" s="795"/>
      <c r="G3219" s="795"/>
      <c r="H3219" s="795"/>
      <c r="I3219" s="50">
        <f>ROUNDDOWN(H3234,-2)</f>
        <v>317400</v>
      </c>
      <c r="J3219" s="50"/>
      <c r="K3219" s="50"/>
    </row>
    <row r="3220" spans="3:15" s="59" customFormat="1" ht="21" customHeight="1">
      <c r="C3220" s="591" t="s">
        <v>1195</v>
      </c>
      <c r="D3220" s="591" t="s">
        <v>1196</v>
      </c>
      <c r="E3220" s="591" t="s">
        <v>1197</v>
      </c>
      <c r="F3220" s="591" t="s">
        <v>1198</v>
      </c>
      <c r="G3220" s="591" t="s">
        <v>1199</v>
      </c>
      <c r="H3220" s="591" t="s">
        <v>1200</v>
      </c>
      <c r="I3220" s="44"/>
      <c r="J3220" s="44"/>
      <c r="K3220" s="44"/>
    </row>
    <row r="3221" spans="3:15" s="59" customFormat="1" ht="21" customHeight="1">
      <c r="C3221" s="61" t="s">
        <v>1201</v>
      </c>
      <c r="D3221" s="56" t="s">
        <v>1202</v>
      </c>
      <c r="E3221" s="57"/>
      <c r="F3221" s="57"/>
      <c r="G3221" s="57"/>
      <c r="H3221" s="57"/>
      <c r="I3221" s="44"/>
      <c r="J3221" s="44"/>
      <c r="K3221" s="44"/>
      <c r="L3221" s="152" t="s">
        <v>1247</v>
      </c>
    </row>
    <row r="3222" spans="3:15" s="59" customFormat="1" ht="21" customHeight="1">
      <c r="C3222" s="588">
        <v>1</v>
      </c>
      <c r="D3222" s="56" t="s">
        <v>5</v>
      </c>
      <c r="E3222" s="577" t="s">
        <v>6</v>
      </c>
      <c r="F3222" s="62">
        <v>0.157</v>
      </c>
      <c r="G3222" s="63">
        <f>VLOOKUP(D3222,upahbahan,3,FALSE)</f>
        <v>100000</v>
      </c>
      <c r="H3222" s="63">
        <f>F3222*G3222</f>
        <v>15700</v>
      </c>
      <c r="I3222" s="44"/>
      <c r="J3222" s="44"/>
      <c r="K3222" s="44"/>
      <c r="L3222" s="152" t="s">
        <v>1248</v>
      </c>
      <c r="O3222" s="65">
        <v>0.1</v>
      </c>
    </row>
    <row r="3223" spans="3:15" s="59" customFormat="1" ht="21" customHeight="1">
      <c r="C3223" s="588">
        <v>2</v>
      </c>
      <c r="D3223" s="56" t="s">
        <v>10</v>
      </c>
      <c r="E3223" s="577" t="s">
        <v>6</v>
      </c>
      <c r="F3223" s="62">
        <v>0.26200000000000001</v>
      </c>
      <c r="G3223" s="63">
        <f>VLOOKUP(D3223,upahbahan,3,FALSE)</f>
        <v>135000</v>
      </c>
      <c r="H3223" s="63">
        <f>F3223*G3223</f>
        <v>35370</v>
      </c>
      <c r="I3223" s="44"/>
      <c r="J3223" s="44"/>
      <c r="K3223" s="44"/>
    </row>
    <row r="3224" spans="3:15" s="59" customFormat="1" ht="21" customHeight="1">
      <c r="C3224" s="588">
        <v>3</v>
      </c>
      <c r="D3224" s="56" t="s">
        <v>18</v>
      </c>
      <c r="E3224" s="577" t="s">
        <v>6</v>
      </c>
      <c r="F3224" s="62">
        <v>2.5999999999999999E-2</v>
      </c>
      <c r="G3224" s="63">
        <f>VLOOKUP(D3224,upahbahan,3,FALSE)</f>
        <v>150000</v>
      </c>
      <c r="H3224" s="63">
        <f>F3224*G3224</f>
        <v>3900</v>
      </c>
      <c r="I3224" s="44"/>
      <c r="J3224" s="44"/>
      <c r="K3224" s="44"/>
    </row>
    <row r="3225" spans="3:15" s="59" customFormat="1" ht="21" customHeight="1">
      <c r="C3225" s="588">
        <v>4</v>
      </c>
      <c r="D3225" s="56" t="s">
        <v>19</v>
      </c>
      <c r="E3225" s="577" t="s">
        <v>6</v>
      </c>
      <c r="F3225" s="62">
        <v>8.0000000000000002E-3</v>
      </c>
      <c r="G3225" s="63">
        <f>VLOOKUP(D3225,upahbahan,3,FALSE)</f>
        <v>160000</v>
      </c>
      <c r="H3225" s="63">
        <f>F3225*G3225</f>
        <v>1280</v>
      </c>
      <c r="I3225" s="44"/>
      <c r="J3225" s="44"/>
      <c r="K3225" s="44"/>
    </row>
    <row r="3226" spans="3:15" s="59" customFormat="1" ht="21" customHeight="1">
      <c r="C3226" s="450" t="s">
        <v>1208</v>
      </c>
      <c r="D3226" s="67"/>
      <c r="E3226" s="67"/>
      <c r="F3226" s="142"/>
      <c r="G3226" s="153"/>
      <c r="H3226" s="63">
        <f>SUM(H3222:H3225)</f>
        <v>56250</v>
      </c>
      <c r="I3226" s="154"/>
      <c r="J3226" s="154"/>
      <c r="K3226" s="154"/>
    </row>
    <row r="3227" spans="3:15" s="59" customFormat="1" ht="21" customHeight="1">
      <c r="C3227" s="61" t="s">
        <v>1209</v>
      </c>
      <c r="D3227" s="56" t="s">
        <v>1210</v>
      </c>
      <c r="E3227" s="57"/>
      <c r="F3227" s="57"/>
      <c r="G3227" s="57"/>
      <c r="H3227" s="57"/>
      <c r="I3227" s="44"/>
      <c r="J3227" s="44"/>
      <c r="K3227" s="44"/>
    </row>
    <row r="3228" spans="3:15" s="59" customFormat="1" ht="21" customHeight="1">
      <c r="C3228" s="61">
        <v>1</v>
      </c>
      <c r="D3228" s="56" t="s">
        <v>4146</v>
      </c>
      <c r="E3228" s="93" t="s">
        <v>135</v>
      </c>
      <c r="F3228" s="104">
        <v>1.1499999999999999</v>
      </c>
      <c r="G3228" s="63">
        <f>VLOOKUP(D3228,upahbahan,3,FALSE)</f>
        <v>202000</v>
      </c>
      <c r="H3228" s="586">
        <f>G3228*F3228</f>
        <v>232299.99999999997</v>
      </c>
      <c r="I3228" s="44"/>
      <c r="J3228" s="44"/>
      <c r="K3228" s="44"/>
    </row>
    <row r="3229" spans="3:15" s="59" customFormat="1" ht="21" customHeight="1">
      <c r="C3229" s="450" t="s">
        <v>1214</v>
      </c>
      <c r="D3229" s="67"/>
      <c r="E3229" s="67"/>
      <c r="F3229" s="67"/>
      <c r="G3229" s="69"/>
      <c r="H3229" s="63">
        <f>SUM(H3228:H3228)</f>
        <v>232299.99999999997</v>
      </c>
      <c r="I3229" s="44"/>
      <c r="J3229" s="44"/>
      <c r="K3229" s="44"/>
    </row>
    <row r="3230" spans="3:15" s="59" customFormat="1" ht="21" customHeight="1">
      <c r="C3230" s="61" t="s">
        <v>1215</v>
      </c>
      <c r="D3230" s="56" t="s">
        <v>1216</v>
      </c>
      <c r="E3230" s="57"/>
      <c r="F3230" s="57"/>
      <c r="G3230" s="57"/>
      <c r="H3230" s="57"/>
      <c r="I3230" s="44"/>
      <c r="J3230" s="44"/>
      <c r="K3230" s="44"/>
    </row>
    <row r="3231" spans="3:15" s="59" customFormat="1" ht="21" customHeight="1">
      <c r="C3231" s="450" t="s">
        <v>1217</v>
      </c>
      <c r="D3231" s="67"/>
      <c r="E3231" s="67"/>
      <c r="F3231" s="67"/>
      <c r="G3231" s="69"/>
      <c r="H3231" s="589">
        <v>0</v>
      </c>
      <c r="I3231" s="44"/>
      <c r="J3231" s="44"/>
      <c r="K3231" s="44"/>
    </row>
    <row r="3232" spans="3:15" s="59" customFormat="1" ht="21" customHeight="1">
      <c r="C3232" s="288" t="s">
        <v>1218</v>
      </c>
      <c r="D3232" s="76" t="s">
        <v>1219</v>
      </c>
      <c r="E3232" s="77"/>
      <c r="F3232" s="77"/>
      <c r="G3232" s="78"/>
      <c r="H3232" s="585">
        <f>H3231+H3229+H3226</f>
        <v>288550</v>
      </c>
      <c r="I3232" s="369"/>
      <c r="J3232" s="44"/>
      <c r="K3232" s="44"/>
    </row>
    <row r="3233" spans="3:15" s="59" customFormat="1" ht="21" customHeight="1">
      <c r="C3233" s="288" t="s">
        <v>1220</v>
      </c>
      <c r="D3233" s="76" t="s">
        <v>1321</v>
      </c>
      <c r="E3233" s="77"/>
      <c r="F3233" s="78"/>
      <c r="G3233" s="80">
        <v>0.1</v>
      </c>
      <c r="H3233" s="63">
        <f>H3232*G3233</f>
        <v>28855</v>
      </c>
      <c r="I3233" s="369"/>
      <c r="J3233" s="44"/>
      <c r="K3233" s="44"/>
    </row>
    <row r="3234" spans="3:15" s="59" customFormat="1" ht="21" customHeight="1">
      <c r="C3234" s="288" t="s">
        <v>1221</v>
      </c>
      <c r="D3234" s="76" t="s">
        <v>1222</v>
      </c>
      <c r="E3234" s="77"/>
      <c r="F3234" s="77"/>
      <c r="G3234" s="78"/>
      <c r="H3234" s="799">
        <f>SUM(H3232:H3233)</f>
        <v>317405</v>
      </c>
      <c r="I3234" s="369"/>
      <c r="J3234" s="44"/>
      <c r="K3234" s="44"/>
    </row>
    <row r="3235" spans="3:15" ht="21" customHeight="1"/>
    <row r="3236" spans="3:15" s="59" customFormat="1" ht="21" customHeight="1">
      <c r="C3236" s="147" t="s">
        <v>5397</v>
      </c>
      <c r="D3236" s="794" t="s">
        <v>4147</v>
      </c>
      <c r="E3236" s="795"/>
      <c r="F3236" s="795"/>
      <c r="G3236" s="795"/>
      <c r="H3236" s="795"/>
      <c r="I3236" s="50">
        <f>ROUNDDOWN(H3251,-2)</f>
        <v>500700</v>
      </c>
      <c r="J3236" s="50"/>
      <c r="K3236" s="50"/>
    </row>
    <row r="3237" spans="3:15" s="59" customFormat="1" ht="21" customHeight="1">
      <c r="C3237" s="591" t="s">
        <v>1195</v>
      </c>
      <c r="D3237" s="591" t="s">
        <v>1196</v>
      </c>
      <c r="E3237" s="591" t="s">
        <v>1197</v>
      </c>
      <c r="F3237" s="591" t="s">
        <v>1198</v>
      </c>
      <c r="G3237" s="591" t="s">
        <v>1199</v>
      </c>
      <c r="H3237" s="591" t="s">
        <v>1200</v>
      </c>
      <c r="I3237" s="44"/>
      <c r="J3237" s="44"/>
      <c r="K3237" s="44"/>
    </row>
    <row r="3238" spans="3:15" s="59" customFormat="1" ht="21" customHeight="1">
      <c r="C3238" s="61" t="s">
        <v>1201</v>
      </c>
      <c r="D3238" s="56" t="s">
        <v>1202</v>
      </c>
      <c r="E3238" s="57"/>
      <c r="F3238" s="57"/>
      <c r="G3238" s="57"/>
      <c r="H3238" s="57"/>
      <c r="I3238" s="44"/>
      <c r="J3238" s="44"/>
      <c r="K3238" s="44"/>
      <c r="L3238" s="152" t="s">
        <v>1247</v>
      </c>
    </row>
    <row r="3239" spans="3:15" s="59" customFormat="1" ht="21" customHeight="1">
      <c r="C3239" s="588">
        <v>1</v>
      </c>
      <c r="D3239" s="56" t="s">
        <v>5</v>
      </c>
      <c r="E3239" s="577" t="s">
        <v>6</v>
      </c>
      <c r="F3239" s="62">
        <v>0.20699999999999999</v>
      </c>
      <c r="G3239" s="63">
        <f>VLOOKUP(D3239,upahbahan,3,FALSE)</f>
        <v>100000</v>
      </c>
      <c r="H3239" s="63">
        <f>F3239*G3239</f>
        <v>20700</v>
      </c>
      <c r="I3239" s="44"/>
      <c r="J3239" s="44"/>
      <c r="K3239" s="44"/>
      <c r="L3239" s="152" t="s">
        <v>1248</v>
      </c>
      <c r="O3239" s="65">
        <v>0.1</v>
      </c>
    </row>
    <row r="3240" spans="3:15" s="59" customFormat="1" ht="21" customHeight="1">
      <c r="C3240" s="588">
        <v>2</v>
      </c>
      <c r="D3240" s="56" t="s">
        <v>10</v>
      </c>
      <c r="E3240" s="577" t="s">
        <v>6</v>
      </c>
      <c r="F3240" s="62">
        <v>0.34599999999999997</v>
      </c>
      <c r="G3240" s="63">
        <f>VLOOKUP(D3240,upahbahan,3,FALSE)</f>
        <v>135000</v>
      </c>
      <c r="H3240" s="63">
        <f>F3240*G3240</f>
        <v>46710</v>
      </c>
      <c r="I3240" s="44"/>
      <c r="J3240" s="44"/>
      <c r="K3240" s="44"/>
    </row>
    <row r="3241" spans="3:15" s="59" customFormat="1" ht="21" customHeight="1">
      <c r="C3241" s="588">
        <v>3</v>
      </c>
      <c r="D3241" s="56" t="s">
        <v>18</v>
      </c>
      <c r="E3241" s="577" t="s">
        <v>6</v>
      </c>
      <c r="F3241" s="62">
        <v>3.5000000000000003E-2</v>
      </c>
      <c r="G3241" s="63">
        <f>VLOOKUP(D3241,upahbahan,3,FALSE)</f>
        <v>150000</v>
      </c>
      <c r="H3241" s="63">
        <f>F3241*G3241</f>
        <v>5250.0000000000009</v>
      </c>
      <c r="I3241" s="44"/>
      <c r="J3241" s="44"/>
      <c r="K3241" s="44"/>
    </row>
    <row r="3242" spans="3:15" s="59" customFormat="1" ht="21" customHeight="1">
      <c r="C3242" s="588">
        <v>4</v>
      </c>
      <c r="D3242" s="56" t="s">
        <v>19</v>
      </c>
      <c r="E3242" s="577" t="s">
        <v>6</v>
      </c>
      <c r="F3242" s="62">
        <v>0.01</v>
      </c>
      <c r="G3242" s="63">
        <f>VLOOKUP(D3242,upahbahan,3,FALSE)</f>
        <v>160000</v>
      </c>
      <c r="H3242" s="63">
        <f>F3242*G3242</f>
        <v>1600</v>
      </c>
      <c r="I3242" s="44"/>
      <c r="J3242" s="44"/>
      <c r="K3242" s="44"/>
    </row>
    <row r="3243" spans="3:15" s="59" customFormat="1" ht="21" customHeight="1">
      <c r="C3243" s="450" t="s">
        <v>1208</v>
      </c>
      <c r="D3243" s="67"/>
      <c r="E3243" s="67"/>
      <c r="F3243" s="142"/>
      <c r="G3243" s="153"/>
      <c r="H3243" s="63">
        <f>SUM(H3239:H3242)</f>
        <v>74260</v>
      </c>
      <c r="I3243" s="154"/>
      <c r="J3243" s="154"/>
      <c r="K3243" s="154"/>
    </row>
    <row r="3244" spans="3:15" s="59" customFormat="1" ht="21" customHeight="1">
      <c r="C3244" s="61" t="s">
        <v>1209</v>
      </c>
      <c r="D3244" s="56" t="s">
        <v>1210</v>
      </c>
      <c r="E3244" s="57"/>
      <c r="F3244" s="57"/>
      <c r="G3244" s="57"/>
      <c r="H3244" s="57"/>
      <c r="I3244" s="44"/>
      <c r="J3244" s="44"/>
      <c r="K3244" s="44"/>
    </row>
    <row r="3245" spans="3:15" s="59" customFormat="1" ht="21" customHeight="1">
      <c r="C3245" s="61">
        <v>1</v>
      </c>
      <c r="D3245" s="56" t="s">
        <v>4148</v>
      </c>
      <c r="E3245" s="93" t="s">
        <v>135</v>
      </c>
      <c r="F3245" s="104">
        <v>1.1499999999999999</v>
      </c>
      <c r="G3245" s="63">
        <f>VLOOKUP(D3245,upahbahan,3,FALSE)</f>
        <v>331300</v>
      </c>
      <c r="H3245" s="586">
        <f>G3245*F3245</f>
        <v>380994.99999999994</v>
      </c>
      <c r="I3245" s="44"/>
      <c r="J3245" s="44"/>
      <c r="K3245" s="44"/>
    </row>
    <row r="3246" spans="3:15" s="59" customFormat="1" ht="21" customHeight="1">
      <c r="C3246" s="450" t="s">
        <v>1214</v>
      </c>
      <c r="D3246" s="67"/>
      <c r="E3246" s="67"/>
      <c r="F3246" s="67"/>
      <c r="G3246" s="69"/>
      <c r="H3246" s="63">
        <f>SUM(H3245:H3245)</f>
        <v>380994.99999999994</v>
      </c>
      <c r="I3246" s="44"/>
      <c r="J3246" s="44"/>
      <c r="K3246" s="44"/>
    </row>
    <row r="3247" spans="3:15" s="59" customFormat="1" ht="21" customHeight="1">
      <c r="C3247" s="61" t="s">
        <v>1215</v>
      </c>
      <c r="D3247" s="56" t="s">
        <v>1216</v>
      </c>
      <c r="E3247" s="57"/>
      <c r="F3247" s="57"/>
      <c r="G3247" s="57"/>
      <c r="H3247" s="57"/>
      <c r="I3247" s="44"/>
      <c r="J3247" s="44"/>
      <c r="K3247" s="44"/>
    </row>
    <row r="3248" spans="3:15" s="59" customFormat="1" ht="21" customHeight="1">
      <c r="C3248" s="450" t="s">
        <v>1217</v>
      </c>
      <c r="D3248" s="67"/>
      <c r="E3248" s="67"/>
      <c r="F3248" s="67"/>
      <c r="G3248" s="69"/>
      <c r="H3248" s="589">
        <v>0</v>
      </c>
      <c r="I3248" s="44"/>
      <c r="J3248" s="44"/>
      <c r="K3248" s="44"/>
    </row>
    <row r="3249" spans="3:15" s="59" customFormat="1" ht="21" customHeight="1">
      <c r="C3249" s="288" t="s">
        <v>1218</v>
      </c>
      <c r="D3249" s="76" t="s">
        <v>1219</v>
      </c>
      <c r="E3249" s="77"/>
      <c r="F3249" s="77"/>
      <c r="G3249" s="78"/>
      <c r="H3249" s="585">
        <f>H3248+H3246+H3243</f>
        <v>455254.99999999994</v>
      </c>
      <c r="I3249" s="369"/>
      <c r="J3249" s="44"/>
      <c r="K3249" s="44"/>
    </row>
    <row r="3250" spans="3:15" s="59" customFormat="1" ht="21" customHeight="1">
      <c r="C3250" s="288" t="s">
        <v>1220</v>
      </c>
      <c r="D3250" s="76" t="s">
        <v>1321</v>
      </c>
      <c r="E3250" s="77"/>
      <c r="F3250" s="78"/>
      <c r="G3250" s="80">
        <v>0.1</v>
      </c>
      <c r="H3250" s="63">
        <f>H3249*G3250</f>
        <v>45525.5</v>
      </c>
      <c r="I3250" s="369"/>
      <c r="J3250" s="44"/>
      <c r="K3250" s="44"/>
    </row>
    <row r="3251" spans="3:15" s="59" customFormat="1" ht="21" customHeight="1">
      <c r="C3251" s="288" t="s">
        <v>1221</v>
      </c>
      <c r="D3251" s="76" t="s">
        <v>1222</v>
      </c>
      <c r="E3251" s="77"/>
      <c r="F3251" s="77"/>
      <c r="G3251" s="78"/>
      <c r="H3251" s="799">
        <f>SUM(H3249:H3250)</f>
        <v>500780.49999999994</v>
      </c>
      <c r="I3251" s="369"/>
      <c r="J3251" s="44"/>
      <c r="K3251" s="44"/>
    </row>
    <row r="3252" spans="3:15" ht="21" customHeight="1"/>
    <row r="3253" spans="3:15" s="59" customFormat="1" ht="21" customHeight="1">
      <c r="C3253" s="147" t="s">
        <v>5398</v>
      </c>
      <c r="D3253" s="794" t="s">
        <v>4149</v>
      </c>
      <c r="E3253" s="795"/>
      <c r="F3253" s="795"/>
      <c r="G3253" s="795"/>
      <c r="H3253" s="795"/>
      <c r="I3253" s="50">
        <f>ROUNDDOWN(H3268,-2)</f>
        <v>542500</v>
      </c>
      <c r="J3253" s="50"/>
      <c r="K3253" s="50"/>
    </row>
    <row r="3254" spans="3:15" s="59" customFormat="1" ht="21" customHeight="1">
      <c r="C3254" s="591" t="s">
        <v>1195</v>
      </c>
      <c r="D3254" s="591" t="s">
        <v>1196</v>
      </c>
      <c r="E3254" s="591" t="s">
        <v>1197</v>
      </c>
      <c r="F3254" s="591" t="s">
        <v>1198</v>
      </c>
      <c r="G3254" s="591" t="s">
        <v>1199</v>
      </c>
      <c r="H3254" s="591" t="s">
        <v>1200</v>
      </c>
      <c r="I3254" s="44"/>
      <c r="J3254" s="44"/>
      <c r="K3254" s="44"/>
    </row>
    <row r="3255" spans="3:15" s="59" customFormat="1" ht="21" customHeight="1">
      <c r="C3255" s="61" t="s">
        <v>1201</v>
      </c>
      <c r="D3255" s="56" t="s">
        <v>1202</v>
      </c>
      <c r="E3255" s="57"/>
      <c r="F3255" s="57"/>
      <c r="G3255" s="57"/>
      <c r="H3255" s="57"/>
      <c r="I3255" s="44"/>
      <c r="J3255" s="44"/>
      <c r="K3255" s="44"/>
      <c r="L3255" s="152" t="s">
        <v>1247</v>
      </c>
    </row>
    <row r="3256" spans="3:15" s="59" customFormat="1" ht="21" customHeight="1">
      <c r="C3256" s="588">
        <v>1</v>
      </c>
      <c r="D3256" s="56" t="s">
        <v>5</v>
      </c>
      <c r="E3256" s="577" t="s">
        <v>6</v>
      </c>
      <c r="F3256" s="62">
        <v>0.26</v>
      </c>
      <c r="G3256" s="63">
        <f>VLOOKUP(D3256,upahbahan,3,FALSE)</f>
        <v>100000</v>
      </c>
      <c r="H3256" s="63">
        <f>F3256*G3256</f>
        <v>26000</v>
      </c>
      <c r="I3256" s="44"/>
      <c r="J3256" s="44"/>
      <c r="K3256" s="44"/>
      <c r="L3256" s="152" t="s">
        <v>1248</v>
      </c>
      <c r="O3256" s="65">
        <v>0.1</v>
      </c>
    </row>
    <row r="3257" spans="3:15" s="59" customFormat="1" ht="21" customHeight="1">
      <c r="C3257" s="588">
        <v>2</v>
      </c>
      <c r="D3257" s="56" t="s">
        <v>10</v>
      </c>
      <c r="E3257" s="577" t="s">
        <v>6</v>
      </c>
      <c r="F3257" s="62">
        <v>0.433</v>
      </c>
      <c r="G3257" s="63">
        <f>VLOOKUP(D3257,upahbahan,3,FALSE)</f>
        <v>135000</v>
      </c>
      <c r="H3257" s="63">
        <f>F3257*G3257</f>
        <v>58455</v>
      </c>
      <c r="I3257" s="44"/>
      <c r="J3257" s="44"/>
      <c r="K3257" s="44"/>
    </row>
    <row r="3258" spans="3:15" s="59" customFormat="1" ht="21" customHeight="1">
      <c r="C3258" s="588">
        <v>3</v>
      </c>
      <c r="D3258" s="56" t="s">
        <v>18</v>
      </c>
      <c r="E3258" s="577" t="s">
        <v>6</v>
      </c>
      <c r="F3258" s="62">
        <v>4.2999999999999997E-2</v>
      </c>
      <c r="G3258" s="63">
        <f>VLOOKUP(D3258,upahbahan,3,FALSE)</f>
        <v>150000</v>
      </c>
      <c r="H3258" s="63">
        <f>F3258*G3258</f>
        <v>6449.9999999999991</v>
      </c>
      <c r="I3258" s="44"/>
      <c r="J3258" s="44"/>
      <c r="K3258" s="44"/>
    </row>
    <row r="3259" spans="3:15" s="59" customFormat="1" ht="21" customHeight="1">
      <c r="C3259" s="588">
        <v>4</v>
      </c>
      <c r="D3259" s="56" t="s">
        <v>19</v>
      </c>
      <c r="E3259" s="577" t="s">
        <v>6</v>
      </c>
      <c r="F3259" s="62">
        <v>1.2999999999999999E-2</v>
      </c>
      <c r="G3259" s="63">
        <f>VLOOKUP(D3259,upahbahan,3,FALSE)</f>
        <v>160000</v>
      </c>
      <c r="H3259" s="63">
        <f>F3259*G3259</f>
        <v>2080</v>
      </c>
      <c r="I3259" s="44"/>
      <c r="J3259" s="44"/>
      <c r="K3259" s="44"/>
    </row>
    <row r="3260" spans="3:15" s="59" customFormat="1" ht="21" customHeight="1">
      <c r="C3260" s="450" t="s">
        <v>1208</v>
      </c>
      <c r="D3260" s="67"/>
      <c r="E3260" s="67"/>
      <c r="F3260" s="142"/>
      <c r="G3260" s="153"/>
      <c r="H3260" s="63">
        <f>SUM(H3256:H3259)</f>
        <v>92985</v>
      </c>
      <c r="I3260" s="154"/>
      <c r="J3260" s="154"/>
      <c r="K3260" s="154"/>
    </row>
    <row r="3261" spans="3:15" s="59" customFormat="1" ht="21" customHeight="1">
      <c r="C3261" s="61" t="s">
        <v>1209</v>
      </c>
      <c r="D3261" s="56" t="s">
        <v>1210</v>
      </c>
      <c r="E3261" s="57"/>
      <c r="F3261" s="57"/>
      <c r="G3261" s="57"/>
      <c r="H3261" s="57"/>
      <c r="I3261" s="44"/>
      <c r="J3261" s="44"/>
      <c r="K3261" s="44"/>
    </row>
    <row r="3262" spans="3:15" s="59" customFormat="1" ht="21" customHeight="1">
      <c r="C3262" s="61">
        <v>1</v>
      </c>
      <c r="D3262" s="56" t="s">
        <v>4150</v>
      </c>
      <c r="E3262" s="93" t="s">
        <v>135</v>
      </c>
      <c r="F3262" s="104">
        <v>1.1499999999999999</v>
      </c>
      <c r="G3262" s="63">
        <f>VLOOKUP(D3262,upahbahan,3,FALSE)</f>
        <v>348000</v>
      </c>
      <c r="H3262" s="586">
        <f>G3262*F3262</f>
        <v>400199.99999999994</v>
      </c>
      <c r="I3262" s="44"/>
      <c r="J3262" s="44"/>
      <c r="K3262" s="44"/>
    </row>
    <row r="3263" spans="3:15" s="59" customFormat="1" ht="21" customHeight="1">
      <c r="C3263" s="450" t="s">
        <v>1214</v>
      </c>
      <c r="D3263" s="67"/>
      <c r="E3263" s="67"/>
      <c r="F3263" s="67"/>
      <c r="G3263" s="69"/>
      <c r="H3263" s="63">
        <f>SUM(H3262:H3262)</f>
        <v>400199.99999999994</v>
      </c>
      <c r="I3263" s="44"/>
      <c r="J3263" s="44"/>
      <c r="K3263" s="44"/>
    </row>
    <row r="3264" spans="3:15" s="59" customFormat="1" ht="21" customHeight="1">
      <c r="C3264" s="61" t="s">
        <v>1215</v>
      </c>
      <c r="D3264" s="56" t="s">
        <v>1216</v>
      </c>
      <c r="E3264" s="57"/>
      <c r="F3264" s="57"/>
      <c r="G3264" s="57"/>
      <c r="H3264" s="57"/>
      <c r="I3264" s="44"/>
      <c r="J3264" s="44"/>
      <c r="K3264" s="44"/>
    </row>
    <row r="3265" spans="3:15" s="59" customFormat="1" ht="21" customHeight="1">
      <c r="C3265" s="450" t="s">
        <v>1217</v>
      </c>
      <c r="D3265" s="67"/>
      <c r="E3265" s="67"/>
      <c r="F3265" s="67"/>
      <c r="G3265" s="69"/>
      <c r="H3265" s="589">
        <v>0</v>
      </c>
      <c r="I3265" s="44"/>
      <c r="J3265" s="44"/>
      <c r="K3265" s="44"/>
    </row>
    <row r="3266" spans="3:15" s="59" customFormat="1" ht="21" customHeight="1">
      <c r="C3266" s="288" t="s">
        <v>1218</v>
      </c>
      <c r="D3266" s="76" t="s">
        <v>1219</v>
      </c>
      <c r="E3266" s="77"/>
      <c r="F3266" s="77"/>
      <c r="G3266" s="78"/>
      <c r="H3266" s="585">
        <f>H3265+H3263+H3260</f>
        <v>493184.99999999994</v>
      </c>
      <c r="I3266" s="369"/>
      <c r="J3266" s="44"/>
      <c r="K3266" s="44"/>
    </row>
    <row r="3267" spans="3:15" s="59" customFormat="1" ht="21" customHeight="1">
      <c r="C3267" s="288" t="s">
        <v>1220</v>
      </c>
      <c r="D3267" s="76" t="s">
        <v>1321</v>
      </c>
      <c r="E3267" s="77"/>
      <c r="F3267" s="78"/>
      <c r="G3267" s="80">
        <v>0.1</v>
      </c>
      <c r="H3267" s="63">
        <f>H3266*G3267</f>
        <v>49318.5</v>
      </c>
      <c r="I3267" s="369"/>
      <c r="J3267" s="44"/>
      <c r="K3267" s="44"/>
    </row>
    <row r="3268" spans="3:15" s="59" customFormat="1" ht="21" customHeight="1">
      <c r="C3268" s="288" t="s">
        <v>1221</v>
      </c>
      <c r="D3268" s="76" t="s">
        <v>1222</v>
      </c>
      <c r="E3268" s="77"/>
      <c r="F3268" s="77"/>
      <c r="G3268" s="78"/>
      <c r="H3268" s="799">
        <f>SUM(H3266:H3267)</f>
        <v>542503.5</v>
      </c>
      <c r="I3268" s="369"/>
      <c r="J3268" s="44"/>
      <c r="K3268" s="44"/>
    </row>
    <row r="3269" spans="3:15" ht="21" customHeight="1"/>
    <row r="3270" spans="3:15" s="59" customFormat="1" ht="21" customHeight="1">
      <c r="C3270" s="147" t="s">
        <v>5399</v>
      </c>
      <c r="D3270" s="794" t="s">
        <v>4151</v>
      </c>
      <c r="E3270" s="795"/>
      <c r="F3270" s="795"/>
      <c r="G3270" s="795"/>
      <c r="H3270" s="795"/>
      <c r="I3270" s="50">
        <f>ROUNDDOWN(H3285,-2)</f>
        <v>1056800</v>
      </c>
      <c r="J3270" s="50"/>
      <c r="K3270" s="50"/>
    </row>
    <row r="3271" spans="3:15" s="59" customFormat="1" ht="21" customHeight="1">
      <c r="C3271" s="591" t="s">
        <v>1195</v>
      </c>
      <c r="D3271" s="591" t="s">
        <v>1196</v>
      </c>
      <c r="E3271" s="591" t="s">
        <v>1197</v>
      </c>
      <c r="F3271" s="591" t="s">
        <v>1198</v>
      </c>
      <c r="G3271" s="591" t="s">
        <v>1199</v>
      </c>
      <c r="H3271" s="591" t="s">
        <v>1200</v>
      </c>
      <c r="I3271" s="44"/>
      <c r="J3271" s="44"/>
      <c r="K3271" s="44"/>
    </row>
    <row r="3272" spans="3:15" s="59" customFormat="1" ht="21" customHeight="1">
      <c r="C3272" s="61" t="s">
        <v>1201</v>
      </c>
      <c r="D3272" s="56" t="s">
        <v>1202</v>
      </c>
      <c r="E3272" s="57"/>
      <c r="F3272" s="57"/>
      <c r="G3272" s="57"/>
      <c r="H3272" s="57"/>
      <c r="I3272" s="44"/>
      <c r="J3272" s="44"/>
      <c r="K3272" s="44"/>
      <c r="L3272" s="152" t="s">
        <v>1247</v>
      </c>
    </row>
    <row r="3273" spans="3:15" s="59" customFormat="1" ht="21" customHeight="1">
      <c r="C3273" s="588">
        <v>1</v>
      </c>
      <c r="D3273" s="56" t="s">
        <v>5</v>
      </c>
      <c r="E3273" s="577" t="s">
        <v>6</v>
      </c>
      <c r="F3273" s="62">
        <v>0.47099999999999997</v>
      </c>
      <c r="G3273" s="63">
        <f>VLOOKUP(D3273,upahbahan,3,FALSE)</f>
        <v>100000</v>
      </c>
      <c r="H3273" s="63">
        <f>F3273*G3273</f>
        <v>47100</v>
      </c>
      <c r="I3273" s="44"/>
      <c r="J3273" s="44"/>
      <c r="K3273" s="44"/>
      <c r="L3273" s="152" t="s">
        <v>1248</v>
      </c>
      <c r="O3273" s="65">
        <v>0.1</v>
      </c>
    </row>
    <row r="3274" spans="3:15" s="59" customFormat="1" ht="21" customHeight="1">
      <c r="C3274" s="588">
        <v>2</v>
      </c>
      <c r="D3274" s="56" t="s">
        <v>10</v>
      </c>
      <c r="E3274" s="577" t="s">
        <v>6</v>
      </c>
      <c r="F3274" s="62">
        <v>0.78700000000000003</v>
      </c>
      <c r="G3274" s="63">
        <f>VLOOKUP(D3274,upahbahan,3,FALSE)</f>
        <v>135000</v>
      </c>
      <c r="H3274" s="63">
        <f>F3274*G3274</f>
        <v>106245</v>
      </c>
      <c r="I3274" s="44"/>
      <c r="J3274" s="44"/>
      <c r="K3274" s="44"/>
    </row>
    <row r="3275" spans="3:15" s="59" customFormat="1" ht="21" customHeight="1">
      <c r="C3275" s="588">
        <v>3</v>
      </c>
      <c r="D3275" s="56" t="s">
        <v>18</v>
      </c>
      <c r="E3275" s="577" t="s">
        <v>6</v>
      </c>
      <c r="F3275" s="62">
        <v>7.9000000000000001E-2</v>
      </c>
      <c r="G3275" s="63">
        <f>VLOOKUP(D3275,upahbahan,3,FALSE)</f>
        <v>150000</v>
      </c>
      <c r="H3275" s="63">
        <f>F3275*G3275</f>
        <v>11850</v>
      </c>
      <c r="I3275" s="44"/>
      <c r="J3275" s="44"/>
      <c r="K3275" s="44"/>
    </row>
    <row r="3276" spans="3:15" s="59" customFormat="1" ht="21" customHeight="1">
      <c r="C3276" s="588">
        <v>4</v>
      </c>
      <c r="D3276" s="56" t="s">
        <v>19</v>
      </c>
      <c r="E3276" s="577" t="s">
        <v>6</v>
      </c>
      <c r="F3276" s="62">
        <v>2.4E-2</v>
      </c>
      <c r="G3276" s="63">
        <f>VLOOKUP(D3276,upahbahan,3,FALSE)</f>
        <v>160000</v>
      </c>
      <c r="H3276" s="63">
        <f>F3276*G3276</f>
        <v>3840</v>
      </c>
      <c r="I3276" s="44"/>
      <c r="J3276" s="44"/>
      <c r="K3276" s="44"/>
    </row>
    <row r="3277" spans="3:15" s="59" customFormat="1" ht="21" customHeight="1">
      <c r="C3277" s="450" t="s">
        <v>1208</v>
      </c>
      <c r="D3277" s="67"/>
      <c r="E3277" s="67"/>
      <c r="F3277" s="142"/>
      <c r="G3277" s="153"/>
      <c r="H3277" s="63">
        <f>SUM(H3273:H3276)</f>
        <v>169035</v>
      </c>
      <c r="I3277" s="154"/>
      <c r="J3277" s="154"/>
      <c r="K3277" s="154"/>
    </row>
    <row r="3278" spans="3:15" s="59" customFormat="1" ht="21" customHeight="1">
      <c r="C3278" s="61" t="s">
        <v>1209</v>
      </c>
      <c r="D3278" s="56" t="s">
        <v>1210</v>
      </c>
      <c r="E3278" s="57"/>
      <c r="F3278" s="57"/>
      <c r="G3278" s="57"/>
      <c r="H3278" s="57"/>
      <c r="I3278" s="44"/>
      <c r="J3278" s="44"/>
      <c r="K3278" s="44"/>
    </row>
    <row r="3279" spans="3:15" s="59" customFormat="1" ht="21" customHeight="1">
      <c r="C3279" s="61">
        <v>1</v>
      </c>
      <c r="D3279" s="56" t="s">
        <v>4152</v>
      </c>
      <c r="E3279" s="93" t="s">
        <v>135</v>
      </c>
      <c r="F3279" s="104">
        <v>1.3</v>
      </c>
      <c r="G3279" s="63">
        <f>VLOOKUP(D3279,upahbahan,3,FALSE)</f>
        <v>609000</v>
      </c>
      <c r="H3279" s="586">
        <f>G3279*F3279</f>
        <v>791700</v>
      </c>
      <c r="I3279" s="44"/>
      <c r="J3279" s="44"/>
      <c r="K3279" s="44"/>
    </row>
    <row r="3280" spans="3:15" s="59" customFormat="1" ht="21" customHeight="1">
      <c r="C3280" s="450" t="s">
        <v>1214</v>
      </c>
      <c r="D3280" s="67"/>
      <c r="E3280" s="67"/>
      <c r="F3280" s="67"/>
      <c r="G3280" s="69"/>
      <c r="H3280" s="63">
        <f>SUM(H3279:H3279)</f>
        <v>791700</v>
      </c>
      <c r="I3280" s="44"/>
      <c r="J3280" s="44"/>
      <c r="K3280" s="44"/>
    </row>
    <row r="3281" spans="3:15" s="59" customFormat="1" ht="21" customHeight="1">
      <c r="C3281" s="61" t="s">
        <v>1215</v>
      </c>
      <c r="D3281" s="56" t="s">
        <v>1216</v>
      </c>
      <c r="E3281" s="57"/>
      <c r="F3281" s="57"/>
      <c r="G3281" s="57"/>
      <c r="H3281" s="57"/>
      <c r="I3281" s="44"/>
      <c r="J3281" s="44"/>
      <c r="K3281" s="44"/>
    </row>
    <row r="3282" spans="3:15" s="59" customFormat="1" ht="21" customHeight="1">
      <c r="C3282" s="450" t="s">
        <v>1217</v>
      </c>
      <c r="D3282" s="67"/>
      <c r="E3282" s="67"/>
      <c r="F3282" s="67"/>
      <c r="G3282" s="69"/>
      <c r="H3282" s="589">
        <v>0</v>
      </c>
      <c r="I3282" s="44"/>
      <c r="J3282" s="44"/>
      <c r="K3282" s="44"/>
    </row>
    <row r="3283" spans="3:15" s="59" customFormat="1" ht="21" customHeight="1">
      <c r="C3283" s="288" t="s">
        <v>1218</v>
      </c>
      <c r="D3283" s="76" t="s">
        <v>1219</v>
      </c>
      <c r="E3283" s="77"/>
      <c r="F3283" s="77"/>
      <c r="G3283" s="78"/>
      <c r="H3283" s="585">
        <f>H3282+H3280+H3277</f>
        <v>960735</v>
      </c>
      <c r="I3283" s="369"/>
      <c r="J3283" s="44"/>
      <c r="K3283" s="44"/>
    </row>
    <row r="3284" spans="3:15" s="59" customFormat="1" ht="21" customHeight="1">
      <c r="C3284" s="288" t="s">
        <v>1220</v>
      </c>
      <c r="D3284" s="76" t="s">
        <v>1321</v>
      </c>
      <c r="E3284" s="77"/>
      <c r="F3284" s="78"/>
      <c r="G3284" s="80">
        <v>0.1</v>
      </c>
      <c r="H3284" s="63">
        <f>H3283*G3284</f>
        <v>96073.5</v>
      </c>
      <c r="I3284" s="369"/>
      <c r="J3284" s="44"/>
      <c r="K3284" s="44"/>
    </row>
    <row r="3285" spans="3:15" s="59" customFormat="1" ht="21" customHeight="1">
      <c r="C3285" s="288" t="s">
        <v>1221</v>
      </c>
      <c r="D3285" s="76" t="s">
        <v>1222</v>
      </c>
      <c r="E3285" s="77"/>
      <c r="F3285" s="77"/>
      <c r="G3285" s="78"/>
      <c r="H3285" s="799">
        <f>SUM(H3283:H3284)</f>
        <v>1056808.5</v>
      </c>
      <c r="I3285" s="369"/>
      <c r="J3285" s="44"/>
      <c r="K3285" s="44"/>
    </row>
    <row r="3286" spans="3:15" ht="21" customHeight="1"/>
    <row r="3287" spans="3:15" s="59" customFormat="1" ht="21" customHeight="1">
      <c r="C3287" s="147" t="s">
        <v>5400</v>
      </c>
      <c r="D3287" s="794" t="s">
        <v>4153</v>
      </c>
      <c r="E3287" s="795"/>
      <c r="F3287" s="795"/>
      <c r="G3287" s="795"/>
      <c r="H3287" s="795"/>
      <c r="I3287" s="50">
        <f>ROUNDDOWN(H3302,-2)</f>
        <v>1492900</v>
      </c>
      <c r="J3287" s="50"/>
      <c r="K3287" s="50"/>
    </row>
    <row r="3288" spans="3:15" s="59" customFormat="1" ht="21" customHeight="1">
      <c r="C3288" s="591" t="s">
        <v>1195</v>
      </c>
      <c r="D3288" s="591" t="s">
        <v>1196</v>
      </c>
      <c r="E3288" s="591" t="s">
        <v>1197</v>
      </c>
      <c r="F3288" s="591" t="s">
        <v>1198</v>
      </c>
      <c r="G3288" s="591" t="s">
        <v>1199</v>
      </c>
      <c r="H3288" s="591" t="s">
        <v>1200</v>
      </c>
      <c r="I3288" s="44"/>
      <c r="J3288" s="44"/>
      <c r="K3288" s="44"/>
    </row>
    <row r="3289" spans="3:15" s="59" customFormat="1" ht="21" customHeight="1">
      <c r="C3289" s="61" t="s">
        <v>1201</v>
      </c>
      <c r="D3289" s="56" t="s">
        <v>1202</v>
      </c>
      <c r="E3289" s="57"/>
      <c r="F3289" s="57"/>
      <c r="G3289" s="57"/>
      <c r="H3289" s="57"/>
      <c r="I3289" s="44"/>
      <c r="J3289" s="44"/>
      <c r="K3289" s="44"/>
      <c r="L3289" s="152" t="s">
        <v>1247</v>
      </c>
    </row>
    <row r="3290" spans="3:15" s="59" customFormat="1" ht="21" customHeight="1">
      <c r="C3290" s="588">
        <v>1</v>
      </c>
      <c r="D3290" s="56" t="s">
        <v>5</v>
      </c>
      <c r="E3290" s="577" t="s">
        <v>6</v>
      </c>
      <c r="F3290" s="62">
        <v>0.63100000000000001</v>
      </c>
      <c r="G3290" s="63">
        <f>VLOOKUP(D3290,upahbahan,3,FALSE)</f>
        <v>100000</v>
      </c>
      <c r="H3290" s="63">
        <f>F3290*G3290</f>
        <v>63100</v>
      </c>
      <c r="I3290" s="44"/>
      <c r="J3290" s="44"/>
      <c r="K3290" s="44"/>
      <c r="L3290" s="152" t="s">
        <v>1248</v>
      </c>
      <c r="O3290" s="65">
        <v>0.1</v>
      </c>
    </row>
    <row r="3291" spans="3:15" s="59" customFormat="1" ht="21" customHeight="1">
      <c r="C3291" s="588">
        <v>2</v>
      </c>
      <c r="D3291" s="56" t="s">
        <v>10</v>
      </c>
      <c r="E3291" s="577" t="s">
        <v>6</v>
      </c>
      <c r="F3291" s="62">
        <v>1.054</v>
      </c>
      <c r="G3291" s="63">
        <f>VLOOKUP(D3291,upahbahan,3,FALSE)</f>
        <v>135000</v>
      </c>
      <c r="H3291" s="63">
        <f>F3291*G3291</f>
        <v>142290</v>
      </c>
      <c r="I3291" s="44"/>
      <c r="J3291" s="44"/>
      <c r="K3291" s="44"/>
    </row>
    <row r="3292" spans="3:15" s="59" customFormat="1" ht="21" customHeight="1">
      <c r="C3292" s="588">
        <v>3</v>
      </c>
      <c r="D3292" s="56" t="s">
        <v>18</v>
      </c>
      <c r="E3292" s="577" t="s">
        <v>6</v>
      </c>
      <c r="F3292" s="62">
        <v>0.105</v>
      </c>
      <c r="G3292" s="63">
        <f>VLOOKUP(D3292,upahbahan,3,FALSE)</f>
        <v>150000</v>
      </c>
      <c r="H3292" s="63">
        <f>F3292*G3292</f>
        <v>15750</v>
      </c>
      <c r="I3292" s="44"/>
      <c r="J3292" s="44"/>
      <c r="K3292" s="44"/>
    </row>
    <row r="3293" spans="3:15" s="59" customFormat="1" ht="21" customHeight="1">
      <c r="C3293" s="588">
        <v>4</v>
      </c>
      <c r="D3293" s="56" t="s">
        <v>19</v>
      </c>
      <c r="E3293" s="577" t="s">
        <v>6</v>
      </c>
      <c r="F3293" s="62">
        <v>3.2000000000000001E-2</v>
      </c>
      <c r="G3293" s="63">
        <f>VLOOKUP(D3293,upahbahan,3,FALSE)</f>
        <v>160000</v>
      </c>
      <c r="H3293" s="63">
        <f>F3293*G3293</f>
        <v>5120</v>
      </c>
      <c r="I3293" s="44"/>
      <c r="J3293" s="44"/>
      <c r="K3293" s="44"/>
    </row>
    <row r="3294" spans="3:15" s="59" customFormat="1" ht="21" customHeight="1">
      <c r="C3294" s="450" t="s">
        <v>1208</v>
      </c>
      <c r="D3294" s="67"/>
      <c r="E3294" s="67"/>
      <c r="F3294" s="142"/>
      <c r="G3294" s="153"/>
      <c r="H3294" s="63">
        <f>SUM(H3290:H3293)</f>
        <v>226260</v>
      </c>
      <c r="I3294" s="154"/>
      <c r="J3294" s="154"/>
      <c r="K3294" s="154"/>
    </row>
    <row r="3295" spans="3:15" s="59" customFormat="1" ht="21" customHeight="1">
      <c r="C3295" s="61" t="s">
        <v>1209</v>
      </c>
      <c r="D3295" s="56" t="s">
        <v>1210</v>
      </c>
      <c r="E3295" s="57"/>
      <c r="F3295" s="57"/>
      <c r="G3295" s="57"/>
      <c r="H3295" s="57"/>
      <c r="I3295" s="44"/>
      <c r="J3295" s="44"/>
      <c r="K3295" s="44"/>
    </row>
    <row r="3296" spans="3:15" s="59" customFormat="1" ht="21" customHeight="1">
      <c r="C3296" s="61">
        <v>1</v>
      </c>
      <c r="D3296" s="56" t="s">
        <v>4154</v>
      </c>
      <c r="E3296" s="93" t="s">
        <v>135</v>
      </c>
      <c r="F3296" s="104">
        <v>1.3</v>
      </c>
      <c r="G3296" s="63">
        <f>VLOOKUP(D3296,upahbahan,3,FALSE)</f>
        <v>870000</v>
      </c>
      <c r="H3296" s="586">
        <f>G3296*F3296</f>
        <v>1131000</v>
      </c>
      <c r="I3296" s="44"/>
      <c r="J3296" s="44"/>
      <c r="K3296" s="44"/>
    </row>
    <row r="3297" spans="3:15" s="59" customFormat="1" ht="21" customHeight="1">
      <c r="C3297" s="450" t="s">
        <v>1214</v>
      </c>
      <c r="D3297" s="67"/>
      <c r="E3297" s="67"/>
      <c r="F3297" s="67"/>
      <c r="G3297" s="69"/>
      <c r="H3297" s="63">
        <f>SUM(H3296:H3296)</f>
        <v>1131000</v>
      </c>
      <c r="I3297" s="44"/>
      <c r="J3297" s="44"/>
      <c r="K3297" s="44"/>
    </row>
    <row r="3298" spans="3:15" s="59" customFormat="1" ht="21" customHeight="1">
      <c r="C3298" s="61" t="s">
        <v>1215</v>
      </c>
      <c r="D3298" s="56" t="s">
        <v>1216</v>
      </c>
      <c r="E3298" s="57"/>
      <c r="F3298" s="57"/>
      <c r="G3298" s="57"/>
      <c r="H3298" s="57"/>
      <c r="I3298" s="44"/>
      <c r="J3298" s="44"/>
      <c r="K3298" s="44"/>
    </row>
    <row r="3299" spans="3:15" s="59" customFormat="1" ht="21" customHeight="1">
      <c r="C3299" s="450" t="s">
        <v>1217</v>
      </c>
      <c r="D3299" s="67"/>
      <c r="E3299" s="67"/>
      <c r="F3299" s="67"/>
      <c r="G3299" s="69"/>
      <c r="H3299" s="589">
        <v>0</v>
      </c>
      <c r="I3299" s="44"/>
      <c r="J3299" s="44"/>
      <c r="K3299" s="44"/>
    </row>
    <row r="3300" spans="3:15" s="59" customFormat="1" ht="21" customHeight="1">
      <c r="C3300" s="288" t="s">
        <v>1218</v>
      </c>
      <c r="D3300" s="76" t="s">
        <v>1219</v>
      </c>
      <c r="E3300" s="77"/>
      <c r="F3300" s="77"/>
      <c r="G3300" s="78"/>
      <c r="H3300" s="585">
        <f>H3299+H3297+H3294</f>
        <v>1357260</v>
      </c>
      <c r="I3300" s="369"/>
      <c r="J3300" s="44"/>
      <c r="K3300" s="44"/>
    </row>
    <row r="3301" spans="3:15" s="59" customFormat="1" ht="21" customHeight="1">
      <c r="C3301" s="288" t="s">
        <v>1220</v>
      </c>
      <c r="D3301" s="76" t="s">
        <v>1321</v>
      </c>
      <c r="E3301" s="77"/>
      <c r="F3301" s="78"/>
      <c r="G3301" s="80">
        <v>0.1</v>
      </c>
      <c r="H3301" s="63">
        <f>H3300*G3301</f>
        <v>135726</v>
      </c>
      <c r="I3301" s="369"/>
      <c r="J3301" s="44"/>
      <c r="K3301" s="44"/>
    </row>
    <row r="3302" spans="3:15" s="59" customFormat="1" ht="21" customHeight="1">
      <c r="C3302" s="288" t="s">
        <v>1221</v>
      </c>
      <c r="D3302" s="76" t="s">
        <v>1222</v>
      </c>
      <c r="E3302" s="77"/>
      <c r="F3302" s="77"/>
      <c r="G3302" s="78"/>
      <c r="H3302" s="799">
        <f>SUM(H3300:H3301)</f>
        <v>1492986</v>
      </c>
      <c r="I3302" s="369"/>
      <c r="J3302" s="44"/>
      <c r="K3302" s="44"/>
    </row>
    <row r="3303" spans="3:15" ht="21" customHeight="1"/>
    <row r="3304" spans="3:15" s="59" customFormat="1" ht="21" customHeight="1">
      <c r="C3304" s="147" t="s">
        <v>5401</v>
      </c>
      <c r="D3304" s="794" t="s">
        <v>4155</v>
      </c>
      <c r="E3304" s="795"/>
      <c r="F3304" s="795"/>
      <c r="G3304" s="795"/>
      <c r="H3304" s="795"/>
      <c r="I3304" s="50">
        <f>ROUNDDOWN(H3319,-2)</f>
        <v>1627000</v>
      </c>
      <c r="J3304" s="50"/>
      <c r="K3304" s="50"/>
    </row>
    <row r="3305" spans="3:15" s="59" customFormat="1" ht="21" customHeight="1">
      <c r="C3305" s="591" t="s">
        <v>1195</v>
      </c>
      <c r="D3305" s="591" t="s">
        <v>1196</v>
      </c>
      <c r="E3305" s="591" t="s">
        <v>1197</v>
      </c>
      <c r="F3305" s="591" t="s">
        <v>1198</v>
      </c>
      <c r="G3305" s="591" t="s">
        <v>1199</v>
      </c>
      <c r="H3305" s="591" t="s">
        <v>1200</v>
      </c>
      <c r="I3305" s="44"/>
      <c r="J3305" s="44"/>
      <c r="K3305" s="44"/>
    </row>
    <row r="3306" spans="3:15" s="59" customFormat="1" ht="21" customHeight="1">
      <c r="C3306" s="61" t="s">
        <v>1201</v>
      </c>
      <c r="D3306" s="56" t="s">
        <v>1202</v>
      </c>
      <c r="E3306" s="57"/>
      <c r="F3306" s="57"/>
      <c r="G3306" s="57"/>
      <c r="H3306" s="57"/>
      <c r="I3306" s="44"/>
      <c r="J3306" s="44"/>
      <c r="K3306" s="44"/>
      <c r="L3306" s="152" t="s">
        <v>1247</v>
      </c>
    </row>
    <row r="3307" spans="3:15" s="59" customFormat="1" ht="21" customHeight="1">
      <c r="C3307" s="588">
        <v>1</v>
      </c>
      <c r="D3307" s="56" t="s">
        <v>5</v>
      </c>
      <c r="E3307" s="577" t="s">
        <v>6</v>
      </c>
      <c r="F3307" s="62">
        <v>0.78800000000000003</v>
      </c>
      <c r="G3307" s="63">
        <f>VLOOKUP(D3307,upahbahan,3,FALSE)</f>
        <v>100000</v>
      </c>
      <c r="H3307" s="63">
        <f>F3307*G3307</f>
        <v>78800</v>
      </c>
      <c r="I3307" s="44"/>
      <c r="J3307" s="44"/>
      <c r="K3307" s="44"/>
      <c r="L3307" s="152" t="s">
        <v>1248</v>
      </c>
      <c r="O3307" s="65">
        <v>0.1</v>
      </c>
    </row>
    <row r="3308" spans="3:15" s="59" customFormat="1" ht="21" customHeight="1">
      <c r="C3308" s="588">
        <v>2</v>
      </c>
      <c r="D3308" s="56" t="s">
        <v>10</v>
      </c>
      <c r="E3308" s="577" t="s">
        <v>6</v>
      </c>
      <c r="F3308" s="62">
        <v>1.3160000000000001</v>
      </c>
      <c r="G3308" s="63">
        <f>VLOOKUP(D3308,upahbahan,3,FALSE)</f>
        <v>135000</v>
      </c>
      <c r="H3308" s="63">
        <f>F3308*G3308</f>
        <v>177660</v>
      </c>
      <c r="I3308" s="44"/>
      <c r="J3308" s="44"/>
      <c r="K3308" s="44"/>
    </row>
    <row r="3309" spans="3:15" s="59" customFormat="1" ht="21" customHeight="1">
      <c r="C3309" s="588">
        <v>3</v>
      </c>
      <c r="D3309" s="56" t="s">
        <v>18</v>
      </c>
      <c r="E3309" s="577" t="s">
        <v>6</v>
      </c>
      <c r="F3309" s="62">
        <v>0.13200000000000001</v>
      </c>
      <c r="G3309" s="63">
        <f>VLOOKUP(D3309,upahbahan,3,FALSE)</f>
        <v>150000</v>
      </c>
      <c r="H3309" s="63">
        <f>F3309*G3309</f>
        <v>19800</v>
      </c>
      <c r="I3309" s="44"/>
      <c r="J3309" s="44"/>
      <c r="K3309" s="44"/>
    </row>
    <row r="3310" spans="3:15" s="59" customFormat="1" ht="21" customHeight="1">
      <c r="C3310" s="588">
        <v>4</v>
      </c>
      <c r="D3310" s="56" t="s">
        <v>19</v>
      </c>
      <c r="E3310" s="577" t="s">
        <v>6</v>
      </c>
      <c r="F3310" s="62">
        <v>3.9E-2</v>
      </c>
      <c r="G3310" s="63">
        <f>VLOOKUP(D3310,upahbahan,3,FALSE)</f>
        <v>160000</v>
      </c>
      <c r="H3310" s="63">
        <f>F3310*G3310</f>
        <v>6240</v>
      </c>
      <c r="I3310" s="44"/>
      <c r="J3310" s="44"/>
      <c r="K3310" s="44"/>
    </row>
    <row r="3311" spans="3:15" s="59" customFormat="1" ht="21" customHeight="1">
      <c r="C3311" s="450" t="s">
        <v>1208</v>
      </c>
      <c r="D3311" s="67"/>
      <c r="E3311" s="67"/>
      <c r="F3311" s="142"/>
      <c r="G3311" s="153"/>
      <c r="H3311" s="63">
        <f>SUM(H3307:H3310)</f>
        <v>282500</v>
      </c>
      <c r="I3311" s="154"/>
      <c r="J3311" s="154"/>
      <c r="K3311" s="154"/>
    </row>
    <row r="3312" spans="3:15" s="59" customFormat="1" ht="21" customHeight="1">
      <c r="C3312" s="61" t="s">
        <v>1209</v>
      </c>
      <c r="D3312" s="56" t="s">
        <v>1210</v>
      </c>
      <c r="E3312" s="57"/>
      <c r="F3312" s="57"/>
      <c r="G3312" s="57"/>
      <c r="H3312" s="57"/>
      <c r="I3312" s="44"/>
      <c r="J3312" s="44"/>
      <c r="K3312" s="44"/>
    </row>
    <row r="3313" spans="3:15" s="59" customFormat="1" ht="21" customHeight="1">
      <c r="C3313" s="61">
        <v>1</v>
      </c>
      <c r="D3313" s="56" t="s">
        <v>4156</v>
      </c>
      <c r="E3313" s="93" t="s">
        <v>135</v>
      </c>
      <c r="F3313" s="104">
        <v>1.3</v>
      </c>
      <c r="G3313" s="63">
        <f>VLOOKUP(D3313,upahbahan,3,FALSE)</f>
        <v>920500</v>
      </c>
      <c r="H3313" s="586">
        <f>G3313*F3313</f>
        <v>1196650</v>
      </c>
      <c r="I3313" s="44"/>
      <c r="J3313" s="44"/>
      <c r="K3313" s="44"/>
    </row>
    <row r="3314" spans="3:15" s="59" customFormat="1" ht="21" customHeight="1">
      <c r="C3314" s="450" t="s">
        <v>1214</v>
      </c>
      <c r="D3314" s="67"/>
      <c r="E3314" s="67"/>
      <c r="F3314" s="67"/>
      <c r="G3314" s="69"/>
      <c r="H3314" s="63">
        <f>SUM(H3313:H3313)</f>
        <v>1196650</v>
      </c>
      <c r="I3314" s="44"/>
      <c r="J3314" s="44"/>
      <c r="K3314" s="44"/>
    </row>
    <row r="3315" spans="3:15" s="59" customFormat="1" ht="21" customHeight="1">
      <c r="C3315" s="61" t="s">
        <v>1215</v>
      </c>
      <c r="D3315" s="56" t="s">
        <v>1216</v>
      </c>
      <c r="E3315" s="57"/>
      <c r="F3315" s="57"/>
      <c r="G3315" s="57"/>
      <c r="H3315" s="57"/>
      <c r="I3315" s="44"/>
      <c r="J3315" s="44"/>
      <c r="K3315" s="44"/>
    </row>
    <row r="3316" spans="3:15" s="59" customFormat="1" ht="21" customHeight="1">
      <c r="C3316" s="450" t="s">
        <v>1217</v>
      </c>
      <c r="D3316" s="67"/>
      <c r="E3316" s="67"/>
      <c r="F3316" s="67"/>
      <c r="G3316" s="69"/>
      <c r="H3316" s="589">
        <v>0</v>
      </c>
      <c r="I3316" s="44"/>
      <c r="J3316" s="44"/>
      <c r="K3316" s="44"/>
    </row>
    <row r="3317" spans="3:15" s="59" customFormat="1" ht="21" customHeight="1">
      <c r="C3317" s="288" t="s">
        <v>1218</v>
      </c>
      <c r="D3317" s="76" t="s">
        <v>1219</v>
      </c>
      <c r="E3317" s="77"/>
      <c r="F3317" s="77"/>
      <c r="G3317" s="78"/>
      <c r="H3317" s="585">
        <f>H3316+H3314+H3311</f>
        <v>1479150</v>
      </c>
      <c r="I3317" s="369"/>
      <c r="J3317" s="44"/>
      <c r="K3317" s="44"/>
    </row>
    <row r="3318" spans="3:15" s="59" customFormat="1" ht="21" customHeight="1">
      <c r="C3318" s="288" t="s">
        <v>1220</v>
      </c>
      <c r="D3318" s="76" t="s">
        <v>1321</v>
      </c>
      <c r="E3318" s="77"/>
      <c r="F3318" s="78"/>
      <c r="G3318" s="80">
        <v>0.1</v>
      </c>
      <c r="H3318" s="63">
        <f>H3317*G3318</f>
        <v>147915</v>
      </c>
      <c r="I3318" s="369"/>
      <c r="J3318" s="44"/>
      <c r="K3318" s="44"/>
    </row>
    <row r="3319" spans="3:15" s="59" customFormat="1" ht="21" customHeight="1">
      <c r="C3319" s="288" t="s">
        <v>1221</v>
      </c>
      <c r="D3319" s="76" t="s">
        <v>1222</v>
      </c>
      <c r="E3319" s="77"/>
      <c r="F3319" s="77"/>
      <c r="G3319" s="78"/>
      <c r="H3319" s="799">
        <f>SUM(H3317:H3318)</f>
        <v>1627065</v>
      </c>
      <c r="I3319" s="369"/>
      <c r="J3319" s="44"/>
      <c r="K3319" s="44"/>
    </row>
    <row r="3320" spans="3:15" ht="21" customHeight="1"/>
    <row r="3321" spans="3:15" s="59" customFormat="1" ht="21" customHeight="1">
      <c r="C3321" s="147" t="s">
        <v>5402</v>
      </c>
      <c r="D3321" s="794" t="s">
        <v>4157</v>
      </c>
      <c r="E3321" s="795"/>
      <c r="F3321" s="795"/>
      <c r="G3321" s="795"/>
      <c r="H3321" s="795"/>
      <c r="I3321" s="50">
        <f>ROUNDDOWN(H3336,-2)</f>
        <v>1881400</v>
      </c>
      <c r="J3321" s="50"/>
      <c r="K3321" s="50"/>
    </row>
    <row r="3322" spans="3:15" s="59" customFormat="1" ht="21" customHeight="1">
      <c r="C3322" s="591" t="s">
        <v>1195</v>
      </c>
      <c r="D3322" s="591" t="s">
        <v>1196</v>
      </c>
      <c r="E3322" s="591" t="s">
        <v>1197</v>
      </c>
      <c r="F3322" s="591" t="s">
        <v>1198</v>
      </c>
      <c r="G3322" s="591" t="s">
        <v>1199</v>
      </c>
      <c r="H3322" s="591" t="s">
        <v>1200</v>
      </c>
      <c r="I3322" s="44"/>
      <c r="J3322" s="44"/>
      <c r="K3322" s="44"/>
    </row>
    <row r="3323" spans="3:15" s="59" customFormat="1" ht="21" customHeight="1">
      <c r="C3323" s="61" t="s">
        <v>1201</v>
      </c>
      <c r="D3323" s="56" t="s">
        <v>1202</v>
      </c>
      <c r="E3323" s="57"/>
      <c r="F3323" s="57"/>
      <c r="G3323" s="57"/>
      <c r="H3323" s="57"/>
      <c r="I3323" s="44"/>
      <c r="J3323" s="44"/>
      <c r="K3323" s="44"/>
      <c r="L3323" s="152" t="s">
        <v>1247</v>
      </c>
    </row>
    <row r="3324" spans="3:15" s="59" customFormat="1" ht="21" customHeight="1">
      <c r="C3324" s="588">
        <v>1</v>
      </c>
      <c r="D3324" s="56" t="s">
        <v>5</v>
      </c>
      <c r="E3324" s="577" t="s">
        <v>6</v>
      </c>
      <c r="F3324" s="62">
        <v>0.94499999999999995</v>
      </c>
      <c r="G3324" s="63">
        <f>VLOOKUP(D3324,upahbahan,3,FALSE)</f>
        <v>100000</v>
      </c>
      <c r="H3324" s="63">
        <f>F3324*G3324</f>
        <v>94500</v>
      </c>
      <c r="I3324" s="44"/>
      <c r="J3324" s="44"/>
      <c r="K3324" s="44"/>
      <c r="L3324" s="152" t="s">
        <v>1248</v>
      </c>
      <c r="O3324" s="65">
        <v>0.1</v>
      </c>
    </row>
    <row r="3325" spans="3:15" s="59" customFormat="1" ht="21" customHeight="1">
      <c r="C3325" s="588">
        <v>2</v>
      </c>
      <c r="D3325" s="56" t="s">
        <v>10</v>
      </c>
      <c r="E3325" s="577" t="s">
        <v>6</v>
      </c>
      <c r="F3325" s="62">
        <v>1.579</v>
      </c>
      <c r="G3325" s="63">
        <f>VLOOKUP(D3325,upahbahan,3,FALSE)</f>
        <v>135000</v>
      </c>
      <c r="H3325" s="63">
        <f>F3325*G3325</f>
        <v>213165</v>
      </c>
      <c r="I3325" s="44"/>
      <c r="J3325" s="44"/>
      <c r="K3325" s="44"/>
    </row>
    <row r="3326" spans="3:15" s="59" customFormat="1" ht="21" customHeight="1">
      <c r="C3326" s="588">
        <v>3</v>
      </c>
      <c r="D3326" s="56" t="s">
        <v>18</v>
      </c>
      <c r="E3326" s="577" t="s">
        <v>6</v>
      </c>
      <c r="F3326" s="62">
        <v>0.158</v>
      </c>
      <c r="G3326" s="63">
        <f>VLOOKUP(D3326,upahbahan,3,FALSE)</f>
        <v>150000</v>
      </c>
      <c r="H3326" s="63">
        <f>F3326*G3326</f>
        <v>23700</v>
      </c>
      <c r="I3326" s="44"/>
      <c r="J3326" s="44"/>
      <c r="K3326" s="44"/>
    </row>
    <row r="3327" spans="3:15" s="59" customFormat="1" ht="21" customHeight="1">
      <c r="C3327" s="588">
        <v>4</v>
      </c>
      <c r="D3327" s="56" t="s">
        <v>19</v>
      </c>
      <c r="E3327" s="577" t="s">
        <v>6</v>
      </c>
      <c r="F3327" s="62">
        <v>4.7E-2</v>
      </c>
      <c r="G3327" s="63">
        <f>VLOOKUP(D3327,upahbahan,3,FALSE)</f>
        <v>160000</v>
      </c>
      <c r="H3327" s="63">
        <f>F3327*G3327</f>
        <v>7520</v>
      </c>
      <c r="I3327" s="44"/>
      <c r="J3327" s="44"/>
      <c r="K3327" s="44"/>
    </row>
    <row r="3328" spans="3:15" s="59" customFormat="1" ht="21" customHeight="1">
      <c r="C3328" s="450" t="s">
        <v>1208</v>
      </c>
      <c r="D3328" s="67"/>
      <c r="E3328" s="67"/>
      <c r="F3328" s="142"/>
      <c r="G3328" s="153"/>
      <c r="H3328" s="63">
        <f>SUM(H3324:H3327)</f>
        <v>338885</v>
      </c>
      <c r="I3328" s="154"/>
      <c r="J3328" s="154"/>
      <c r="K3328" s="154"/>
    </row>
    <row r="3329" spans="3:15" s="59" customFormat="1" ht="21" customHeight="1">
      <c r="C3329" s="61" t="s">
        <v>1209</v>
      </c>
      <c r="D3329" s="56" t="s">
        <v>1210</v>
      </c>
      <c r="E3329" s="57"/>
      <c r="F3329" s="57"/>
      <c r="G3329" s="57"/>
      <c r="H3329" s="57"/>
      <c r="I3329" s="44"/>
      <c r="J3329" s="44"/>
      <c r="K3329" s="44"/>
    </row>
    <row r="3330" spans="3:15" s="59" customFormat="1" ht="21" customHeight="1">
      <c r="C3330" s="61">
        <v>1</v>
      </c>
      <c r="D3330" s="56" t="s">
        <v>4158</v>
      </c>
      <c r="E3330" s="93" t="s">
        <v>135</v>
      </c>
      <c r="F3330" s="104">
        <v>1.3</v>
      </c>
      <c r="G3330" s="63">
        <f>VLOOKUP(D3330,upahbahan,3,FALSE)</f>
        <v>1055000</v>
      </c>
      <c r="H3330" s="586">
        <f>G3330*F3330</f>
        <v>1371500</v>
      </c>
      <c r="I3330" s="44"/>
      <c r="J3330" s="44"/>
      <c r="K3330" s="44"/>
    </row>
    <row r="3331" spans="3:15" s="59" customFormat="1" ht="21" customHeight="1">
      <c r="C3331" s="450" t="s">
        <v>1214</v>
      </c>
      <c r="D3331" s="67"/>
      <c r="E3331" s="67"/>
      <c r="F3331" s="67"/>
      <c r="G3331" s="69"/>
      <c r="H3331" s="63">
        <f>SUM(H3330:H3330)</f>
        <v>1371500</v>
      </c>
      <c r="I3331" s="44"/>
      <c r="J3331" s="44"/>
      <c r="K3331" s="44"/>
    </row>
    <row r="3332" spans="3:15" s="59" customFormat="1" ht="21" customHeight="1">
      <c r="C3332" s="61" t="s">
        <v>1215</v>
      </c>
      <c r="D3332" s="56" t="s">
        <v>1216</v>
      </c>
      <c r="E3332" s="57"/>
      <c r="F3332" s="57"/>
      <c r="G3332" s="57"/>
      <c r="H3332" s="57"/>
      <c r="I3332" s="44"/>
      <c r="J3332" s="44"/>
      <c r="K3332" s="44"/>
    </row>
    <row r="3333" spans="3:15" s="59" customFormat="1" ht="21" customHeight="1">
      <c r="C3333" s="450" t="s">
        <v>1217</v>
      </c>
      <c r="D3333" s="67"/>
      <c r="E3333" s="67"/>
      <c r="F3333" s="67"/>
      <c r="G3333" s="69"/>
      <c r="H3333" s="589">
        <v>0</v>
      </c>
      <c r="I3333" s="44"/>
      <c r="J3333" s="44"/>
      <c r="K3333" s="44"/>
    </row>
    <row r="3334" spans="3:15" s="59" customFormat="1" ht="21" customHeight="1">
      <c r="C3334" s="288" t="s">
        <v>1218</v>
      </c>
      <c r="D3334" s="76" t="s">
        <v>1219</v>
      </c>
      <c r="E3334" s="77"/>
      <c r="F3334" s="77"/>
      <c r="G3334" s="78"/>
      <c r="H3334" s="585">
        <f>H3333+H3331+H3328</f>
        <v>1710385</v>
      </c>
      <c r="I3334" s="369"/>
      <c r="J3334" s="44"/>
      <c r="K3334" s="44"/>
    </row>
    <row r="3335" spans="3:15" s="59" customFormat="1" ht="21" customHeight="1">
      <c r="C3335" s="288" t="s">
        <v>1220</v>
      </c>
      <c r="D3335" s="76" t="s">
        <v>1321</v>
      </c>
      <c r="E3335" s="77"/>
      <c r="F3335" s="78"/>
      <c r="G3335" s="80">
        <v>0.1</v>
      </c>
      <c r="H3335" s="63">
        <f>H3334*G3335</f>
        <v>171038.5</v>
      </c>
      <c r="I3335" s="369"/>
      <c r="J3335" s="44"/>
      <c r="K3335" s="44"/>
    </row>
    <row r="3336" spans="3:15" s="59" customFormat="1" ht="21" customHeight="1">
      <c r="C3336" s="288" t="s">
        <v>1221</v>
      </c>
      <c r="D3336" s="76" t="s">
        <v>1222</v>
      </c>
      <c r="E3336" s="77"/>
      <c r="F3336" s="77"/>
      <c r="G3336" s="78"/>
      <c r="H3336" s="799">
        <f>SUM(H3334:H3335)</f>
        <v>1881423.5</v>
      </c>
      <c r="I3336" s="369"/>
      <c r="J3336" s="44"/>
      <c r="K3336" s="44"/>
    </row>
    <row r="3337" spans="3:15" ht="21" customHeight="1"/>
    <row r="3338" spans="3:15" s="59" customFormat="1" ht="21" customHeight="1">
      <c r="C3338" s="147" t="s">
        <v>5403</v>
      </c>
      <c r="D3338" s="794" t="s">
        <v>4133</v>
      </c>
      <c r="E3338" s="795"/>
      <c r="F3338" s="795"/>
      <c r="G3338" s="795"/>
      <c r="H3338" s="795"/>
      <c r="I3338" s="50">
        <f>ROUNDDOWN(H3353,-2)</f>
        <v>2377000</v>
      </c>
      <c r="J3338" s="50"/>
      <c r="K3338" s="50"/>
    </row>
    <row r="3339" spans="3:15" s="59" customFormat="1" ht="21" customHeight="1">
      <c r="C3339" s="591" t="s">
        <v>1195</v>
      </c>
      <c r="D3339" s="591" t="s">
        <v>1196</v>
      </c>
      <c r="E3339" s="591" t="s">
        <v>1197</v>
      </c>
      <c r="F3339" s="591" t="s">
        <v>1198</v>
      </c>
      <c r="G3339" s="591" t="s">
        <v>1199</v>
      </c>
      <c r="H3339" s="591" t="s">
        <v>1200</v>
      </c>
      <c r="I3339" s="44"/>
      <c r="J3339" s="44"/>
      <c r="K3339" s="44"/>
    </row>
    <row r="3340" spans="3:15" s="59" customFormat="1" ht="21" customHeight="1">
      <c r="C3340" s="61" t="s">
        <v>1201</v>
      </c>
      <c r="D3340" s="56" t="s">
        <v>1202</v>
      </c>
      <c r="E3340" s="57"/>
      <c r="F3340" s="57"/>
      <c r="G3340" s="57"/>
      <c r="H3340" s="57"/>
      <c r="I3340" s="44"/>
      <c r="J3340" s="44"/>
      <c r="K3340" s="44"/>
      <c r="L3340" s="152" t="s">
        <v>1247</v>
      </c>
    </row>
    <row r="3341" spans="3:15" s="59" customFormat="1" ht="21" customHeight="1">
      <c r="C3341" s="588">
        <v>1</v>
      </c>
      <c r="D3341" s="56" t="s">
        <v>5</v>
      </c>
      <c r="E3341" s="577" t="s">
        <v>6</v>
      </c>
      <c r="F3341" s="62">
        <v>1.26</v>
      </c>
      <c r="G3341" s="63">
        <f>VLOOKUP(D3341,upahbahan,3,FALSE)</f>
        <v>100000</v>
      </c>
      <c r="H3341" s="63">
        <f>F3341*G3341</f>
        <v>126000</v>
      </c>
      <c r="I3341" s="44"/>
      <c r="J3341" s="44"/>
      <c r="K3341" s="44"/>
      <c r="L3341" s="152" t="s">
        <v>1248</v>
      </c>
      <c r="O3341" s="65">
        <v>0.1</v>
      </c>
    </row>
    <row r="3342" spans="3:15" s="59" customFormat="1" ht="21" customHeight="1">
      <c r="C3342" s="588">
        <v>2</v>
      </c>
      <c r="D3342" s="56" t="s">
        <v>10</v>
      </c>
      <c r="E3342" s="577" t="s">
        <v>6</v>
      </c>
      <c r="F3342" s="62">
        <v>2.1030000000000002</v>
      </c>
      <c r="G3342" s="63">
        <f>VLOOKUP(D3342,upahbahan,3,FALSE)</f>
        <v>135000</v>
      </c>
      <c r="H3342" s="63">
        <f>F3342*G3342</f>
        <v>283905</v>
      </c>
      <c r="I3342" s="44"/>
      <c r="J3342" s="44"/>
      <c r="K3342" s="44"/>
    </row>
    <row r="3343" spans="3:15" s="59" customFormat="1" ht="21" customHeight="1">
      <c r="C3343" s="588">
        <v>3</v>
      </c>
      <c r="D3343" s="56" t="s">
        <v>18</v>
      </c>
      <c r="E3343" s="577" t="s">
        <v>6</v>
      </c>
      <c r="F3343" s="62">
        <v>0.21</v>
      </c>
      <c r="G3343" s="63">
        <f>VLOOKUP(D3343,upahbahan,3,FALSE)</f>
        <v>150000</v>
      </c>
      <c r="H3343" s="63">
        <f>F3343*G3343</f>
        <v>31500</v>
      </c>
      <c r="I3343" s="44"/>
      <c r="J3343" s="44"/>
      <c r="K3343" s="44"/>
    </row>
    <row r="3344" spans="3:15" s="59" customFormat="1" ht="21" customHeight="1">
      <c r="C3344" s="588">
        <v>4</v>
      </c>
      <c r="D3344" s="56" t="s">
        <v>19</v>
      </c>
      <c r="E3344" s="577" t="s">
        <v>6</v>
      </c>
      <c r="F3344" s="62">
        <v>6.3E-2</v>
      </c>
      <c r="G3344" s="63">
        <f>VLOOKUP(D3344,upahbahan,3,FALSE)</f>
        <v>160000</v>
      </c>
      <c r="H3344" s="63">
        <f>F3344*G3344</f>
        <v>10080</v>
      </c>
      <c r="I3344" s="44"/>
      <c r="J3344" s="44"/>
      <c r="K3344" s="44"/>
    </row>
    <row r="3345" spans="3:15" s="59" customFormat="1" ht="21" customHeight="1">
      <c r="C3345" s="450" t="s">
        <v>1208</v>
      </c>
      <c r="D3345" s="67"/>
      <c r="E3345" s="67"/>
      <c r="F3345" s="142"/>
      <c r="G3345" s="153"/>
      <c r="H3345" s="63">
        <f>SUM(H3341:H3344)</f>
        <v>451485</v>
      </c>
      <c r="I3345" s="154"/>
      <c r="J3345" s="154"/>
      <c r="K3345" s="154"/>
    </row>
    <row r="3346" spans="3:15" s="59" customFormat="1" ht="21" customHeight="1">
      <c r="C3346" s="61" t="s">
        <v>1209</v>
      </c>
      <c r="D3346" s="56" t="s">
        <v>1210</v>
      </c>
      <c r="E3346" s="57"/>
      <c r="F3346" s="57"/>
      <c r="G3346" s="57"/>
      <c r="H3346" s="57"/>
      <c r="I3346" s="44"/>
      <c r="J3346" s="44"/>
      <c r="K3346" s="44"/>
    </row>
    <row r="3347" spans="3:15" s="59" customFormat="1" ht="21" customHeight="1">
      <c r="C3347" s="61">
        <v>1</v>
      </c>
      <c r="D3347" s="56" t="s">
        <v>4159</v>
      </c>
      <c r="E3347" s="93" t="s">
        <v>135</v>
      </c>
      <c r="F3347" s="104">
        <v>1.3</v>
      </c>
      <c r="G3347" s="63">
        <f>VLOOKUP(D3347,upahbahan,3,FALSE)</f>
        <v>1315000</v>
      </c>
      <c r="H3347" s="586">
        <f>G3347*F3347</f>
        <v>1709500</v>
      </c>
      <c r="I3347" s="44"/>
      <c r="J3347" s="44"/>
      <c r="K3347" s="44"/>
    </row>
    <row r="3348" spans="3:15" s="59" customFormat="1" ht="21" customHeight="1">
      <c r="C3348" s="450" t="s">
        <v>1214</v>
      </c>
      <c r="D3348" s="67"/>
      <c r="E3348" s="67"/>
      <c r="F3348" s="67"/>
      <c r="G3348" s="69"/>
      <c r="H3348" s="63">
        <f>SUM(H3347:H3347)</f>
        <v>1709500</v>
      </c>
      <c r="I3348" s="44"/>
      <c r="J3348" s="44"/>
      <c r="K3348" s="44"/>
    </row>
    <row r="3349" spans="3:15" s="59" customFormat="1" ht="21" customHeight="1">
      <c r="C3349" s="61" t="s">
        <v>1215</v>
      </c>
      <c r="D3349" s="56" t="s">
        <v>1216</v>
      </c>
      <c r="E3349" s="57"/>
      <c r="F3349" s="57"/>
      <c r="G3349" s="57"/>
      <c r="H3349" s="57"/>
      <c r="I3349" s="44"/>
      <c r="J3349" s="44"/>
      <c r="K3349" s="44"/>
    </row>
    <row r="3350" spans="3:15" s="59" customFormat="1" ht="21" customHeight="1">
      <c r="C3350" s="450" t="s">
        <v>1217</v>
      </c>
      <c r="D3350" s="67"/>
      <c r="E3350" s="67"/>
      <c r="F3350" s="67"/>
      <c r="G3350" s="69"/>
      <c r="H3350" s="589">
        <v>0</v>
      </c>
      <c r="I3350" s="44"/>
      <c r="J3350" s="44"/>
      <c r="K3350" s="44"/>
    </row>
    <row r="3351" spans="3:15" s="59" customFormat="1" ht="21" customHeight="1">
      <c r="C3351" s="288" t="s">
        <v>1218</v>
      </c>
      <c r="D3351" s="76" t="s">
        <v>1219</v>
      </c>
      <c r="E3351" s="77"/>
      <c r="F3351" s="77"/>
      <c r="G3351" s="78"/>
      <c r="H3351" s="585">
        <f>H3350+H3348+H3345</f>
        <v>2160985</v>
      </c>
      <c r="I3351" s="369"/>
      <c r="J3351" s="44"/>
      <c r="K3351" s="44"/>
    </row>
    <row r="3352" spans="3:15" s="59" customFormat="1" ht="21" customHeight="1">
      <c r="C3352" s="288" t="s">
        <v>1220</v>
      </c>
      <c r="D3352" s="76" t="s">
        <v>1321</v>
      </c>
      <c r="E3352" s="77"/>
      <c r="F3352" s="78"/>
      <c r="G3352" s="80">
        <v>0.1</v>
      </c>
      <c r="H3352" s="63">
        <f>H3351*G3352</f>
        <v>216098.5</v>
      </c>
      <c r="I3352" s="369"/>
      <c r="J3352" s="44"/>
      <c r="K3352" s="44"/>
    </row>
    <row r="3353" spans="3:15" s="59" customFormat="1" ht="21" customHeight="1">
      <c r="C3353" s="288" t="s">
        <v>1221</v>
      </c>
      <c r="D3353" s="76" t="s">
        <v>1222</v>
      </c>
      <c r="E3353" s="77"/>
      <c r="F3353" s="77"/>
      <c r="G3353" s="78"/>
      <c r="H3353" s="799">
        <f>SUM(H3351:H3352)</f>
        <v>2377083.5</v>
      </c>
      <c r="I3353" s="369"/>
      <c r="J3353" s="44"/>
      <c r="K3353" s="44"/>
    </row>
    <row r="3354" spans="3:15" ht="21" customHeight="1"/>
    <row r="3355" spans="3:15" ht="21" customHeight="1"/>
    <row r="3356" spans="3:15" s="59" customFormat="1" ht="21" customHeight="1">
      <c r="C3356" s="147" t="s">
        <v>5404</v>
      </c>
      <c r="D3356" s="794" t="s">
        <v>4160</v>
      </c>
      <c r="E3356" s="795"/>
      <c r="F3356" s="795"/>
      <c r="G3356" s="795"/>
      <c r="H3356" s="795"/>
      <c r="I3356" s="50">
        <f>ROUNDDOWN(H3371,-2)</f>
        <v>2801400</v>
      </c>
      <c r="J3356" s="50"/>
      <c r="K3356" s="50"/>
    </row>
    <row r="3357" spans="3:15" s="59" customFormat="1" ht="21" customHeight="1">
      <c r="C3357" s="591" t="s">
        <v>1195</v>
      </c>
      <c r="D3357" s="591" t="s">
        <v>1196</v>
      </c>
      <c r="E3357" s="591" t="s">
        <v>1197</v>
      </c>
      <c r="F3357" s="591" t="s">
        <v>1198</v>
      </c>
      <c r="G3357" s="591" t="s">
        <v>1199</v>
      </c>
      <c r="H3357" s="591" t="s">
        <v>1200</v>
      </c>
      <c r="I3357" s="44"/>
      <c r="J3357" s="44"/>
      <c r="K3357" s="44"/>
    </row>
    <row r="3358" spans="3:15" s="59" customFormat="1" ht="21" customHeight="1">
      <c r="C3358" s="61" t="s">
        <v>1201</v>
      </c>
      <c r="D3358" s="56" t="s">
        <v>1202</v>
      </c>
      <c r="E3358" s="57"/>
      <c r="F3358" s="57"/>
      <c r="G3358" s="57"/>
      <c r="H3358" s="57"/>
      <c r="I3358" s="44"/>
      <c r="J3358" s="44"/>
      <c r="K3358" s="44"/>
      <c r="L3358" s="152" t="s">
        <v>1247</v>
      </c>
    </row>
    <row r="3359" spans="3:15" s="59" customFormat="1" ht="21" customHeight="1">
      <c r="C3359" s="588">
        <v>1</v>
      </c>
      <c r="D3359" s="56" t="s">
        <v>5</v>
      </c>
      <c r="E3359" s="577" t="s">
        <v>6</v>
      </c>
      <c r="F3359" s="62">
        <v>1.5740000000000001</v>
      </c>
      <c r="G3359" s="63">
        <f>VLOOKUP(D3359,upahbahan,3,FALSE)</f>
        <v>100000</v>
      </c>
      <c r="H3359" s="63">
        <f>F3359*G3359</f>
        <v>157400</v>
      </c>
      <c r="I3359" s="44"/>
      <c r="J3359" s="44"/>
      <c r="K3359" s="44"/>
      <c r="L3359" s="152" t="s">
        <v>1248</v>
      </c>
      <c r="O3359" s="65">
        <v>0.1</v>
      </c>
    </row>
    <row r="3360" spans="3:15" s="59" customFormat="1" ht="21" customHeight="1">
      <c r="C3360" s="588">
        <v>2</v>
      </c>
      <c r="D3360" s="56" t="s">
        <v>10</v>
      </c>
      <c r="E3360" s="577" t="s">
        <v>6</v>
      </c>
      <c r="F3360" s="62">
        <v>2.6280000000000001</v>
      </c>
      <c r="G3360" s="63">
        <f>VLOOKUP(D3360,upahbahan,3,FALSE)</f>
        <v>135000</v>
      </c>
      <c r="H3360" s="63">
        <f>F3360*G3360</f>
        <v>354780</v>
      </c>
      <c r="I3360" s="44"/>
      <c r="J3360" s="44"/>
      <c r="K3360" s="44"/>
    </row>
    <row r="3361" spans="3:15" s="59" customFormat="1" ht="21" customHeight="1">
      <c r="C3361" s="588">
        <v>3</v>
      </c>
      <c r="D3361" s="56" t="s">
        <v>18</v>
      </c>
      <c r="E3361" s="577" t="s">
        <v>6</v>
      </c>
      <c r="F3361" s="62">
        <v>0.26300000000000001</v>
      </c>
      <c r="G3361" s="63">
        <f>VLOOKUP(D3361,upahbahan,3,FALSE)</f>
        <v>150000</v>
      </c>
      <c r="H3361" s="63">
        <f>F3361*G3361</f>
        <v>39450</v>
      </c>
      <c r="I3361" s="44"/>
      <c r="J3361" s="44"/>
      <c r="K3361" s="44"/>
    </row>
    <row r="3362" spans="3:15" s="59" customFormat="1" ht="21" customHeight="1">
      <c r="C3362" s="588">
        <v>4</v>
      </c>
      <c r="D3362" s="56" t="s">
        <v>19</v>
      </c>
      <c r="E3362" s="577" t="s">
        <v>6</v>
      </c>
      <c r="F3362" s="62">
        <v>7.9000000000000001E-2</v>
      </c>
      <c r="G3362" s="63">
        <f>VLOOKUP(D3362,upahbahan,3,FALSE)</f>
        <v>160000</v>
      </c>
      <c r="H3362" s="63">
        <f>F3362*G3362</f>
        <v>12640</v>
      </c>
      <c r="I3362" s="44"/>
      <c r="J3362" s="44"/>
      <c r="K3362" s="44"/>
    </row>
    <row r="3363" spans="3:15" s="59" customFormat="1" ht="21" customHeight="1">
      <c r="C3363" s="450" t="s">
        <v>1208</v>
      </c>
      <c r="D3363" s="67"/>
      <c r="E3363" s="67"/>
      <c r="F3363" s="142"/>
      <c r="G3363" s="153"/>
      <c r="H3363" s="63">
        <f>SUM(H3359:H3362)</f>
        <v>564270</v>
      </c>
      <c r="I3363" s="154"/>
      <c r="J3363" s="154"/>
      <c r="K3363" s="154"/>
    </row>
    <row r="3364" spans="3:15" s="59" customFormat="1" ht="21" customHeight="1">
      <c r="C3364" s="61" t="s">
        <v>1209</v>
      </c>
      <c r="D3364" s="56" t="s">
        <v>1210</v>
      </c>
      <c r="E3364" s="57"/>
      <c r="F3364" s="57"/>
      <c r="G3364" s="57"/>
      <c r="H3364" s="57"/>
      <c r="I3364" s="44"/>
      <c r="J3364" s="44"/>
      <c r="K3364" s="44"/>
    </row>
    <row r="3365" spans="3:15" s="59" customFormat="1" ht="21" customHeight="1">
      <c r="C3365" s="61">
        <v>1</v>
      </c>
      <c r="D3365" s="56" t="s">
        <v>4161</v>
      </c>
      <c r="E3365" s="93" t="s">
        <v>135</v>
      </c>
      <c r="F3365" s="104">
        <v>1.3</v>
      </c>
      <c r="G3365" s="63">
        <f>VLOOKUP(D3365,upahbahan,3,FALSE)</f>
        <v>1525000</v>
      </c>
      <c r="H3365" s="586">
        <f>G3365*F3365</f>
        <v>1982500</v>
      </c>
      <c r="I3365" s="44"/>
      <c r="J3365" s="44"/>
      <c r="K3365" s="44"/>
    </row>
    <row r="3366" spans="3:15" s="59" customFormat="1" ht="21" customHeight="1">
      <c r="C3366" s="450" t="s">
        <v>1214</v>
      </c>
      <c r="D3366" s="67"/>
      <c r="E3366" s="67"/>
      <c r="F3366" s="67"/>
      <c r="G3366" s="69"/>
      <c r="H3366" s="63">
        <f>SUM(H3365:H3365)</f>
        <v>1982500</v>
      </c>
      <c r="I3366" s="44"/>
      <c r="J3366" s="44"/>
      <c r="K3366" s="44"/>
    </row>
    <row r="3367" spans="3:15" s="59" customFormat="1" ht="21" customHeight="1">
      <c r="C3367" s="61" t="s">
        <v>1215</v>
      </c>
      <c r="D3367" s="56" t="s">
        <v>1216</v>
      </c>
      <c r="E3367" s="57"/>
      <c r="F3367" s="57"/>
      <c r="G3367" s="57"/>
      <c r="H3367" s="57"/>
      <c r="I3367" s="44"/>
      <c r="J3367" s="44"/>
      <c r="K3367" s="44"/>
    </row>
    <row r="3368" spans="3:15" s="59" customFormat="1" ht="21" customHeight="1">
      <c r="C3368" s="450" t="s">
        <v>1217</v>
      </c>
      <c r="D3368" s="67"/>
      <c r="E3368" s="67"/>
      <c r="F3368" s="67"/>
      <c r="G3368" s="69"/>
      <c r="H3368" s="589">
        <v>0</v>
      </c>
      <c r="I3368" s="44"/>
      <c r="J3368" s="44"/>
      <c r="K3368" s="44"/>
    </row>
    <row r="3369" spans="3:15" s="59" customFormat="1" ht="21" customHeight="1">
      <c r="C3369" s="288" t="s">
        <v>1218</v>
      </c>
      <c r="D3369" s="76" t="s">
        <v>1219</v>
      </c>
      <c r="E3369" s="77"/>
      <c r="F3369" s="77"/>
      <c r="G3369" s="78"/>
      <c r="H3369" s="585">
        <f>H3368+H3366+H3363</f>
        <v>2546770</v>
      </c>
      <c r="I3369" s="369"/>
      <c r="J3369" s="44"/>
      <c r="K3369" s="44"/>
    </row>
    <row r="3370" spans="3:15" s="59" customFormat="1" ht="21" customHeight="1">
      <c r="C3370" s="288" t="s">
        <v>1220</v>
      </c>
      <c r="D3370" s="76" t="s">
        <v>1321</v>
      </c>
      <c r="E3370" s="77"/>
      <c r="F3370" s="78"/>
      <c r="G3370" s="80">
        <v>0.1</v>
      </c>
      <c r="H3370" s="63">
        <f>H3369*G3370</f>
        <v>254677</v>
      </c>
      <c r="I3370" s="369"/>
      <c r="J3370" s="44"/>
      <c r="K3370" s="44"/>
    </row>
    <row r="3371" spans="3:15" s="59" customFormat="1" ht="21" customHeight="1">
      <c r="C3371" s="288" t="s">
        <v>1221</v>
      </c>
      <c r="D3371" s="76" t="s">
        <v>1222</v>
      </c>
      <c r="E3371" s="77"/>
      <c r="F3371" s="77"/>
      <c r="G3371" s="78"/>
      <c r="H3371" s="799">
        <f>SUM(H3369:H3370)</f>
        <v>2801447</v>
      </c>
      <c r="I3371" s="369"/>
      <c r="J3371" s="44"/>
      <c r="K3371" s="44"/>
    </row>
    <row r="3372" spans="3:15" ht="21" customHeight="1"/>
    <row r="3373" spans="3:15" s="59" customFormat="1" ht="21" customHeight="1">
      <c r="C3373" s="147" t="s">
        <v>5405</v>
      </c>
      <c r="D3373" s="794" t="s">
        <v>4162</v>
      </c>
      <c r="E3373" s="795"/>
      <c r="F3373" s="795"/>
      <c r="G3373" s="795"/>
      <c r="H3373" s="795"/>
      <c r="I3373" s="50">
        <f>ROUNDDOWN(H3388,-2)</f>
        <v>3231800</v>
      </c>
      <c r="J3373" s="50"/>
      <c r="K3373" s="50"/>
    </row>
    <row r="3374" spans="3:15" s="59" customFormat="1" ht="21" customHeight="1">
      <c r="C3374" s="591" t="s">
        <v>1195</v>
      </c>
      <c r="D3374" s="591" t="s">
        <v>1196</v>
      </c>
      <c r="E3374" s="591" t="s">
        <v>1197</v>
      </c>
      <c r="F3374" s="591" t="s">
        <v>1198</v>
      </c>
      <c r="G3374" s="591" t="s">
        <v>1199</v>
      </c>
      <c r="H3374" s="591" t="s">
        <v>1200</v>
      </c>
      <c r="I3374" s="44"/>
      <c r="J3374" s="44"/>
      <c r="K3374" s="44"/>
    </row>
    <row r="3375" spans="3:15" s="59" customFormat="1" ht="21" customHeight="1">
      <c r="C3375" s="61" t="s">
        <v>1201</v>
      </c>
      <c r="D3375" s="56" t="s">
        <v>1202</v>
      </c>
      <c r="E3375" s="57"/>
      <c r="F3375" s="57"/>
      <c r="G3375" s="57"/>
      <c r="H3375" s="57"/>
      <c r="I3375" s="44"/>
      <c r="J3375" s="44"/>
      <c r="K3375" s="44"/>
      <c r="L3375" s="152" t="s">
        <v>1247</v>
      </c>
    </row>
    <row r="3376" spans="3:15" s="59" customFormat="1" ht="21" customHeight="1">
      <c r="C3376" s="588">
        <v>1</v>
      </c>
      <c r="D3376" s="56" t="s">
        <v>5</v>
      </c>
      <c r="E3376" s="577" t="s">
        <v>6</v>
      </c>
      <c r="F3376" s="62">
        <v>1.8859999999999999</v>
      </c>
      <c r="G3376" s="63">
        <f>VLOOKUP(D3376,upahbahan,3,FALSE)</f>
        <v>100000</v>
      </c>
      <c r="H3376" s="63">
        <f>F3376*G3376</f>
        <v>188600</v>
      </c>
      <c r="I3376" s="44"/>
      <c r="J3376" s="44"/>
      <c r="K3376" s="44"/>
      <c r="L3376" s="152" t="s">
        <v>1248</v>
      </c>
      <c r="O3376" s="65">
        <v>0.1</v>
      </c>
    </row>
    <row r="3377" spans="3:12" s="59" customFormat="1" ht="21" customHeight="1">
      <c r="C3377" s="588">
        <v>2</v>
      </c>
      <c r="D3377" s="56" t="s">
        <v>10</v>
      </c>
      <c r="E3377" s="577" t="s">
        <v>6</v>
      </c>
      <c r="F3377" s="62">
        <v>3.149</v>
      </c>
      <c r="G3377" s="63">
        <f>VLOOKUP(D3377,upahbahan,3,FALSE)</f>
        <v>135000</v>
      </c>
      <c r="H3377" s="63">
        <f>F3377*G3377</f>
        <v>425115</v>
      </c>
      <c r="I3377" s="44"/>
      <c r="J3377" s="44"/>
      <c r="K3377" s="44"/>
    </row>
    <row r="3378" spans="3:12" s="59" customFormat="1" ht="21" customHeight="1">
      <c r="C3378" s="588">
        <v>3</v>
      </c>
      <c r="D3378" s="56" t="s">
        <v>18</v>
      </c>
      <c r="E3378" s="577" t="s">
        <v>6</v>
      </c>
      <c r="F3378" s="62">
        <v>0.315</v>
      </c>
      <c r="G3378" s="63">
        <f>VLOOKUP(D3378,upahbahan,3,FALSE)</f>
        <v>150000</v>
      </c>
      <c r="H3378" s="63">
        <f>F3378*G3378</f>
        <v>47250</v>
      </c>
      <c r="I3378" s="44"/>
      <c r="J3378" s="44"/>
      <c r="K3378" s="44"/>
    </row>
    <row r="3379" spans="3:12" s="59" customFormat="1" ht="21" customHeight="1">
      <c r="C3379" s="588">
        <v>4</v>
      </c>
      <c r="D3379" s="56" t="s">
        <v>19</v>
      </c>
      <c r="E3379" s="577" t="s">
        <v>6</v>
      </c>
      <c r="F3379" s="62">
        <v>9.4E-2</v>
      </c>
      <c r="G3379" s="63">
        <f>VLOOKUP(D3379,upahbahan,3,FALSE)</f>
        <v>160000</v>
      </c>
      <c r="H3379" s="63">
        <f>F3379*G3379</f>
        <v>15040</v>
      </c>
      <c r="I3379" s="44"/>
      <c r="J3379" s="44"/>
      <c r="K3379" s="44"/>
    </row>
    <row r="3380" spans="3:12" s="59" customFormat="1" ht="21" customHeight="1">
      <c r="C3380" s="450" t="s">
        <v>1208</v>
      </c>
      <c r="D3380" s="67"/>
      <c r="E3380" s="67"/>
      <c r="F3380" s="142"/>
      <c r="G3380" s="153"/>
      <c r="H3380" s="63">
        <f>SUM(H3376:H3379)</f>
        <v>676005</v>
      </c>
      <c r="I3380" s="154"/>
      <c r="J3380" s="154"/>
      <c r="K3380" s="154"/>
    </row>
    <row r="3381" spans="3:12" s="59" customFormat="1" ht="21" customHeight="1">
      <c r="C3381" s="61" t="s">
        <v>1209</v>
      </c>
      <c r="D3381" s="56" t="s">
        <v>1210</v>
      </c>
      <c r="E3381" s="57"/>
      <c r="F3381" s="57"/>
      <c r="G3381" s="57"/>
      <c r="H3381" s="57"/>
      <c r="I3381" s="44"/>
      <c r="J3381" s="44"/>
      <c r="K3381" s="44"/>
    </row>
    <row r="3382" spans="3:12" s="59" customFormat="1" ht="21" customHeight="1">
      <c r="C3382" s="61">
        <v>1</v>
      </c>
      <c r="D3382" s="56" t="s">
        <v>4163</v>
      </c>
      <c r="E3382" s="93" t="s">
        <v>135</v>
      </c>
      <c r="F3382" s="104">
        <v>1.3</v>
      </c>
      <c r="G3382" s="63">
        <f>VLOOKUP(D3382,upahbahan,3,FALSE)</f>
        <v>1740000</v>
      </c>
      <c r="H3382" s="586">
        <f>G3382*F3382</f>
        <v>2262000</v>
      </c>
      <c r="I3382" s="44"/>
      <c r="J3382" s="44"/>
      <c r="K3382" s="44"/>
    </row>
    <row r="3383" spans="3:12" s="59" customFormat="1" ht="21" customHeight="1">
      <c r="C3383" s="450" t="s">
        <v>1214</v>
      </c>
      <c r="D3383" s="67"/>
      <c r="E3383" s="67"/>
      <c r="F3383" s="67"/>
      <c r="G3383" s="69"/>
      <c r="H3383" s="63">
        <f>SUM(H3382:H3382)</f>
        <v>2262000</v>
      </c>
      <c r="I3383" s="44"/>
      <c r="J3383" s="44"/>
      <c r="K3383" s="44"/>
    </row>
    <row r="3384" spans="3:12" s="59" customFormat="1" ht="21" customHeight="1">
      <c r="C3384" s="61" t="s">
        <v>1215</v>
      </c>
      <c r="D3384" s="56" t="s">
        <v>1216</v>
      </c>
      <c r="E3384" s="57"/>
      <c r="F3384" s="57"/>
      <c r="G3384" s="57"/>
      <c r="H3384" s="57"/>
      <c r="I3384" s="44"/>
      <c r="J3384" s="44"/>
      <c r="K3384" s="44"/>
    </row>
    <row r="3385" spans="3:12" s="59" customFormat="1" ht="21" customHeight="1">
      <c r="C3385" s="450" t="s">
        <v>1217</v>
      </c>
      <c r="D3385" s="67"/>
      <c r="E3385" s="67"/>
      <c r="F3385" s="67"/>
      <c r="G3385" s="69"/>
      <c r="H3385" s="589">
        <v>0</v>
      </c>
      <c r="I3385" s="44"/>
      <c r="J3385" s="44"/>
      <c r="K3385" s="44"/>
    </row>
    <row r="3386" spans="3:12" s="59" customFormat="1" ht="21" customHeight="1">
      <c r="C3386" s="288" t="s">
        <v>1218</v>
      </c>
      <c r="D3386" s="76" t="s">
        <v>1219</v>
      </c>
      <c r="E3386" s="77"/>
      <c r="F3386" s="77"/>
      <c r="G3386" s="78"/>
      <c r="H3386" s="585">
        <f>H3385+H3383+H3380</f>
        <v>2938005</v>
      </c>
      <c r="I3386" s="369"/>
      <c r="J3386" s="44"/>
      <c r="K3386" s="44"/>
    </row>
    <row r="3387" spans="3:12" s="59" customFormat="1" ht="21" customHeight="1">
      <c r="C3387" s="288" t="s">
        <v>1220</v>
      </c>
      <c r="D3387" s="76" t="s">
        <v>1321</v>
      </c>
      <c r="E3387" s="77"/>
      <c r="F3387" s="78"/>
      <c r="G3387" s="80">
        <v>0.1</v>
      </c>
      <c r="H3387" s="63">
        <f>H3386*G3387</f>
        <v>293800.5</v>
      </c>
      <c r="I3387" s="369"/>
      <c r="J3387" s="44"/>
      <c r="K3387" s="44"/>
    </row>
    <row r="3388" spans="3:12" s="59" customFormat="1" ht="21" customHeight="1">
      <c r="C3388" s="288" t="s">
        <v>1221</v>
      </c>
      <c r="D3388" s="76" t="s">
        <v>1222</v>
      </c>
      <c r="E3388" s="77"/>
      <c r="F3388" s="77"/>
      <c r="G3388" s="78"/>
      <c r="H3388" s="799">
        <f>SUM(H3386:H3387)</f>
        <v>3231805.5</v>
      </c>
      <c r="I3388" s="369"/>
      <c r="J3388" s="44"/>
      <c r="K3388" s="44"/>
    </row>
    <row r="3389" spans="3:12" ht="21" customHeight="1"/>
    <row r="3390" spans="3:12" s="59" customFormat="1" ht="21" customHeight="1">
      <c r="C3390" s="147" t="s">
        <v>5406</v>
      </c>
      <c r="D3390" s="794" t="s">
        <v>4164</v>
      </c>
      <c r="E3390" s="795"/>
      <c r="F3390" s="795"/>
      <c r="G3390" s="795"/>
      <c r="H3390" s="795"/>
      <c r="I3390" s="50">
        <f>ROUNDDOWN(H3405,-2)</f>
        <v>3699800</v>
      </c>
      <c r="J3390" s="50"/>
      <c r="K3390" s="50"/>
    </row>
    <row r="3391" spans="3:12" s="59" customFormat="1" ht="21" customHeight="1">
      <c r="C3391" s="591" t="s">
        <v>1195</v>
      </c>
      <c r="D3391" s="591" t="s">
        <v>1196</v>
      </c>
      <c r="E3391" s="591" t="s">
        <v>1197</v>
      </c>
      <c r="F3391" s="591" t="s">
        <v>1198</v>
      </c>
      <c r="G3391" s="591" t="s">
        <v>1199</v>
      </c>
      <c r="H3391" s="591" t="s">
        <v>1200</v>
      </c>
      <c r="I3391" s="44"/>
      <c r="J3391" s="44"/>
      <c r="K3391" s="44"/>
    </row>
    <row r="3392" spans="3:12" s="59" customFormat="1" ht="21" customHeight="1">
      <c r="C3392" s="61" t="s">
        <v>1201</v>
      </c>
      <c r="D3392" s="56" t="s">
        <v>1202</v>
      </c>
      <c r="E3392" s="57"/>
      <c r="F3392" s="57"/>
      <c r="G3392" s="57"/>
      <c r="H3392" s="57"/>
      <c r="I3392" s="44"/>
      <c r="J3392" s="44"/>
      <c r="K3392" s="44"/>
      <c r="L3392" s="152" t="s">
        <v>1247</v>
      </c>
    </row>
    <row r="3393" spans="3:15" s="59" customFormat="1" ht="21" customHeight="1">
      <c r="C3393" s="588">
        <v>1</v>
      </c>
      <c r="D3393" s="56" t="s">
        <v>5</v>
      </c>
      <c r="E3393" s="577" t="s">
        <v>6</v>
      </c>
      <c r="F3393" s="62">
        <v>2.202</v>
      </c>
      <c r="G3393" s="63">
        <f>VLOOKUP(D3393,upahbahan,3,FALSE)</f>
        <v>100000</v>
      </c>
      <c r="H3393" s="63">
        <f>F3393*G3393</f>
        <v>220200</v>
      </c>
      <c r="I3393" s="44"/>
      <c r="J3393" s="44"/>
      <c r="K3393" s="44"/>
      <c r="L3393" s="152" t="s">
        <v>1248</v>
      </c>
      <c r="O3393" s="65">
        <v>0.1</v>
      </c>
    </row>
    <row r="3394" spans="3:15" s="59" customFormat="1" ht="21" customHeight="1">
      <c r="C3394" s="588">
        <v>2</v>
      </c>
      <c r="D3394" s="56" t="s">
        <v>10</v>
      </c>
      <c r="E3394" s="577" t="s">
        <v>6</v>
      </c>
      <c r="F3394" s="62">
        <v>3.6779999999999999</v>
      </c>
      <c r="G3394" s="63">
        <f>VLOOKUP(D3394,upahbahan,3,FALSE)</f>
        <v>135000</v>
      </c>
      <c r="H3394" s="63">
        <f>F3394*G3394</f>
        <v>496530</v>
      </c>
      <c r="I3394" s="44"/>
      <c r="J3394" s="44"/>
      <c r="K3394" s="44"/>
    </row>
    <row r="3395" spans="3:15" s="59" customFormat="1" ht="21" customHeight="1">
      <c r="C3395" s="588">
        <v>3</v>
      </c>
      <c r="D3395" s="56" t="s">
        <v>18</v>
      </c>
      <c r="E3395" s="577" t="s">
        <v>6</v>
      </c>
      <c r="F3395" s="62">
        <v>0.36799999999999999</v>
      </c>
      <c r="G3395" s="63">
        <f>VLOOKUP(D3395,upahbahan,3,FALSE)</f>
        <v>150000</v>
      </c>
      <c r="H3395" s="63">
        <f>F3395*G3395</f>
        <v>55200</v>
      </c>
      <c r="I3395" s="44"/>
      <c r="J3395" s="44"/>
      <c r="K3395" s="44"/>
    </row>
    <row r="3396" spans="3:15" s="59" customFormat="1" ht="21" customHeight="1">
      <c r="C3396" s="588">
        <v>4</v>
      </c>
      <c r="D3396" s="56" t="s">
        <v>19</v>
      </c>
      <c r="E3396" s="577" t="s">
        <v>6</v>
      </c>
      <c r="F3396" s="62">
        <v>0.11</v>
      </c>
      <c r="G3396" s="63">
        <f>VLOOKUP(D3396,upahbahan,3,FALSE)</f>
        <v>160000</v>
      </c>
      <c r="H3396" s="63">
        <f>F3396*G3396</f>
        <v>17600</v>
      </c>
      <c r="I3396" s="44"/>
      <c r="J3396" s="44"/>
      <c r="K3396" s="44"/>
    </row>
    <row r="3397" spans="3:15" s="59" customFormat="1" ht="21" customHeight="1">
      <c r="C3397" s="450" t="s">
        <v>1208</v>
      </c>
      <c r="D3397" s="67"/>
      <c r="E3397" s="67"/>
      <c r="F3397" s="142"/>
      <c r="G3397" s="153"/>
      <c r="H3397" s="63">
        <f>SUM(H3393:H3396)</f>
        <v>789530</v>
      </c>
      <c r="I3397" s="154"/>
      <c r="J3397" s="154"/>
      <c r="K3397" s="154"/>
    </row>
    <row r="3398" spans="3:15" s="59" customFormat="1" ht="21" customHeight="1">
      <c r="C3398" s="61" t="s">
        <v>1209</v>
      </c>
      <c r="D3398" s="56" t="s">
        <v>1210</v>
      </c>
      <c r="E3398" s="57"/>
      <c r="F3398" s="57"/>
      <c r="G3398" s="57"/>
      <c r="H3398" s="57"/>
      <c r="I3398" s="44"/>
      <c r="J3398" s="44"/>
      <c r="K3398" s="44"/>
    </row>
    <row r="3399" spans="3:15" s="59" customFormat="1" ht="21" customHeight="1">
      <c r="C3399" s="61">
        <v>1</v>
      </c>
      <c r="D3399" s="56" t="s">
        <v>4165</v>
      </c>
      <c r="E3399" s="93" t="s">
        <v>135</v>
      </c>
      <c r="F3399" s="104">
        <v>1.3</v>
      </c>
      <c r="G3399" s="63">
        <f>VLOOKUP(D3399,upahbahan,3,FALSE)</f>
        <v>1980000</v>
      </c>
      <c r="H3399" s="586">
        <f>G3399*F3399</f>
        <v>2574000</v>
      </c>
      <c r="I3399" s="44"/>
      <c r="J3399" s="44"/>
      <c r="K3399" s="44"/>
    </row>
    <row r="3400" spans="3:15" s="59" customFormat="1" ht="21" customHeight="1">
      <c r="C3400" s="450" t="s">
        <v>1214</v>
      </c>
      <c r="D3400" s="67"/>
      <c r="E3400" s="67"/>
      <c r="F3400" s="67"/>
      <c r="G3400" s="69"/>
      <c r="H3400" s="63">
        <f>SUM(H3399:H3399)</f>
        <v>2574000</v>
      </c>
      <c r="I3400" s="44"/>
      <c r="J3400" s="44"/>
      <c r="K3400" s="44"/>
    </row>
    <row r="3401" spans="3:15" s="59" customFormat="1" ht="21" customHeight="1">
      <c r="C3401" s="61" t="s">
        <v>1215</v>
      </c>
      <c r="D3401" s="56" t="s">
        <v>1216</v>
      </c>
      <c r="E3401" s="57"/>
      <c r="F3401" s="57"/>
      <c r="G3401" s="57"/>
      <c r="H3401" s="57"/>
      <c r="I3401" s="44"/>
      <c r="J3401" s="44"/>
      <c r="K3401" s="44"/>
    </row>
    <row r="3402" spans="3:15" s="59" customFormat="1" ht="21" customHeight="1">
      <c r="C3402" s="450" t="s">
        <v>1217</v>
      </c>
      <c r="D3402" s="67"/>
      <c r="E3402" s="67"/>
      <c r="F3402" s="67"/>
      <c r="G3402" s="69"/>
      <c r="H3402" s="589">
        <v>0</v>
      </c>
      <c r="I3402" s="44"/>
      <c r="J3402" s="44"/>
      <c r="K3402" s="44"/>
    </row>
    <row r="3403" spans="3:15" s="59" customFormat="1" ht="21" customHeight="1">
      <c r="C3403" s="288" t="s">
        <v>1218</v>
      </c>
      <c r="D3403" s="76" t="s">
        <v>1219</v>
      </c>
      <c r="E3403" s="77"/>
      <c r="F3403" s="77"/>
      <c r="G3403" s="78"/>
      <c r="H3403" s="585">
        <f>H3402+H3400+H3397</f>
        <v>3363530</v>
      </c>
      <c r="I3403" s="369"/>
      <c r="J3403" s="44"/>
      <c r="K3403" s="44"/>
    </row>
    <row r="3404" spans="3:15" s="59" customFormat="1" ht="21" customHeight="1">
      <c r="C3404" s="288" t="s">
        <v>1220</v>
      </c>
      <c r="D3404" s="76" t="s">
        <v>1321</v>
      </c>
      <c r="E3404" s="77"/>
      <c r="F3404" s="78"/>
      <c r="G3404" s="80">
        <v>0.1</v>
      </c>
      <c r="H3404" s="63">
        <f>H3403*G3404</f>
        <v>336353</v>
      </c>
      <c r="I3404" s="369"/>
      <c r="J3404" s="44"/>
      <c r="K3404" s="44"/>
    </row>
    <row r="3405" spans="3:15" s="59" customFormat="1" ht="21" customHeight="1">
      <c r="C3405" s="288" t="s">
        <v>1221</v>
      </c>
      <c r="D3405" s="76" t="s">
        <v>1222</v>
      </c>
      <c r="E3405" s="77"/>
      <c r="F3405" s="77"/>
      <c r="G3405" s="78"/>
      <c r="H3405" s="799">
        <f>SUM(H3403:H3404)</f>
        <v>3699883</v>
      </c>
      <c r="I3405" s="369"/>
      <c r="J3405" s="44"/>
      <c r="K3405" s="44"/>
    </row>
    <row r="3406" spans="3:15" ht="21" customHeight="1"/>
    <row r="3407" spans="3:15" ht="21" customHeight="1"/>
    <row r="3408" spans="3:15" ht="21" customHeight="1">
      <c r="C3408" s="43" t="s">
        <v>5407</v>
      </c>
      <c r="D3408" s="128" t="s">
        <v>4167</v>
      </c>
    </row>
    <row r="3409" spans="3:15" s="59" customFormat="1" ht="21" customHeight="1">
      <c r="C3409" s="147" t="s">
        <v>5408</v>
      </c>
      <c r="D3409" s="794" t="s">
        <v>4168</v>
      </c>
      <c r="E3409" s="795"/>
      <c r="F3409" s="795"/>
      <c r="G3409" s="795"/>
      <c r="H3409" s="795"/>
      <c r="I3409" s="50">
        <f>ROUNDDOWN(H3424,-2)</f>
        <v>63100</v>
      </c>
      <c r="J3409" s="50"/>
      <c r="K3409" s="50"/>
    </row>
    <row r="3410" spans="3:15" s="59" customFormat="1" ht="21" customHeight="1">
      <c r="C3410" s="591" t="s">
        <v>1195</v>
      </c>
      <c r="D3410" s="591" t="s">
        <v>1196</v>
      </c>
      <c r="E3410" s="591" t="s">
        <v>1197</v>
      </c>
      <c r="F3410" s="591" t="s">
        <v>1198</v>
      </c>
      <c r="G3410" s="591" t="s">
        <v>1199</v>
      </c>
      <c r="H3410" s="591" t="s">
        <v>1200</v>
      </c>
      <c r="I3410" s="44"/>
      <c r="J3410" s="44"/>
      <c r="K3410" s="44"/>
    </row>
    <row r="3411" spans="3:15" s="59" customFormat="1" ht="21" customHeight="1">
      <c r="C3411" s="61" t="s">
        <v>1201</v>
      </c>
      <c r="D3411" s="56" t="s">
        <v>1202</v>
      </c>
      <c r="E3411" s="57"/>
      <c r="F3411" s="57"/>
      <c r="G3411" s="57"/>
      <c r="H3411" s="57"/>
      <c r="I3411" s="44"/>
      <c r="J3411" s="44"/>
      <c r="K3411" s="44"/>
      <c r="L3411" s="152" t="s">
        <v>1247</v>
      </c>
    </row>
    <row r="3412" spans="3:15" s="59" customFormat="1" ht="21" customHeight="1">
      <c r="C3412" s="588">
        <v>1</v>
      </c>
      <c r="D3412" s="56" t="s">
        <v>5</v>
      </c>
      <c r="E3412" s="577" t="s">
        <v>6</v>
      </c>
      <c r="F3412" s="62">
        <v>5.1999999999999998E-2</v>
      </c>
      <c r="G3412" s="63">
        <f>VLOOKUP(D3412,upahbahan,3,FALSE)</f>
        <v>100000</v>
      </c>
      <c r="H3412" s="63">
        <f>F3412*G3412</f>
        <v>5200</v>
      </c>
      <c r="I3412" s="44"/>
      <c r="J3412" s="44"/>
      <c r="K3412" s="44"/>
      <c r="L3412" s="152" t="s">
        <v>1248</v>
      </c>
      <c r="O3412" s="65">
        <v>0.1</v>
      </c>
    </row>
    <row r="3413" spans="3:15" s="59" customFormat="1" ht="21" customHeight="1">
      <c r="C3413" s="588">
        <v>2</v>
      </c>
      <c r="D3413" s="56" t="s">
        <v>10</v>
      </c>
      <c r="E3413" s="577" t="s">
        <v>6</v>
      </c>
      <c r="F3413" s="62">
        <v>8.6999999999999994E-2</v>
      </c>
      <c r="G3413" s="63">
        <f>VLOOKUP(D3413,upahbahan,3,FALSE)</f>
        <v>135000</v>
      </c>
      <c r="H3413" s="63">
        <f>F3413*G3413</f>
        <v>11745</v>
      </c>
      <c r="I3413" s="44"/>
      <c r="J3413" s="44"/>
      <c r="K3413" s="44"/>
    </row>
    <row r="3414" spans="3:15" s="59" customFormat="1" ht="21" customHeight="1">
      <c r="C3414" s="588">
        <v>3</v>
      </c>
      <c r="D3414" s="56" t="s">
        <v>18</v>
      </c>
      <c r="E3414" s="577" t="s">
        <v>6</v>
      </c>
      <c r="F3414" s="62">
        <v>8.9999999999999993E-3</v>
      </c>
      <c r="G3414" s="63">
        <f>VLOOKUP(D3414,upahbahan,3,FALSE)</f>
        <v>150000</v>
      </c>
      <c r="H3414" s="63">
        <f>F3414*G3414</f>
        <v>1350</v>
      </c>
      <c r="I3414" s="44"/>
      <c r="J3414" s="44"/>
      <c r="K3414" s="44"/>
    </row>
    <row r="3415" spans="3:15" s="59" customFormat="1" ht="21" customHeight="1">
      <c r="C3415" s="588">
        <v>4</v>
      </c>
      <c r="D3415" s="56" t="s">
        <v>19</v>
      </c>
      <c r="E3415" s="577" t="s">
        <v>6</v>
      </c>
      <c r="F3415" s="62">
        <v>3.0000000000000001E-3</v>
      </c>
      <c r="G3415" s="63">
        <f>VLOOKUP(D3415,upahbahan,3,FALSE)</f>
        <v>160000</v>
      </c>
      <c r="H3415" s="63">
        <f>F3415*G3415</f>
        <v>480</v>
      </c>
      <c r="I3415" s="44"/>
      <c r="J3415" s="44"/>
      <c r="K3415" s="44"/>
    </row>
    <row r="3416" spans="3:15" s="59" customFormat="1" ht="21" customHeight="1">
      <c r="C3416" s="450" t="s">
        <v>1208</v>
      </c>
      <c r="D3416" s="67"/>
      <c r="E3416" s="67"/>
      <c r="F3416" s="142"/>
      <c r="G3416" s="153"/>
      <c r="H3416" s="63">
        <f>SUM(H3412:H3415)</f>
        <v>18775</v>
      </c>
      <c r="I3416" s="154"/>
      <c r="J3416" s="154"/>
      <c r="K3416" s="154"/>
    </row>
    <row r="3417" spans="3:15" s="59" customFormat="1" ht="21" customHeight="1">
      <c r="C3417" s="61" t="s">
        <v>1209</v>
      </c>
      <c r="D3417" s="56" t="s">
        <v>1210</v>
      </c>
      <c r="E3417" s="57"/>
      <c r="F3417" s="57"/>
      <c r="G3417" s="57"/>
      <c r="H3417" s="57"/>
      <c r="I3417" s="44"/>
      <c r="J3417" s="44"/>
      <c r="K3417" s="44"/>
    </row>
    <row r="3418" spans="3:15" s="59" customFormat="1" ht="21" customHeight="1">
      <c r="C3418" s="61">
        <v>1</v>
      </c>
      <c r="D3418" s="56" t="s">
        <v>4198</v>
      </c>
      <c r="E3418" s="93" t="s">
        <v>135</v>
      </c>
      <c r="F3418" s="104">
        <v>1.1499999999999999</v>
      </c>
      <c r="G3418" s="63">
        <f>VLOOKUP(D3418,upahbahan,3,FALSE)</f>
        <v>33600</v>
      </c>
      <c r="H3418" s="586">
        <f>G3418*F3418</f>
        <v>38640</v>
      </c>
      <c r="I3418" s="44"/>
      <c r="J3418" s="44"/>
      <c r="K3418" s="44"/>
    </row>
    <row r="3419" spans="3:15" s="59" customFormat="1" ht="21" customHeight="1">
      <c r="C3419" s="450" t="s">
        <v>1214</v>
      </c>
      <c r="D3419" s="67"/>
      <c r="E3419" s="67"/>
      <c r="F3419" s="67"/>
      <c r="G3419" s="69"/>
      <c r="H3419" s="63">
        <f>SUM(H3418:H3418)</f>
        <v>38640</v>
      </c>
      <c r="I3419" s="44"/>
      <c r="J3419" s="44"/>
      <c r="K3419" s="44"/>
    </row>
    <row r="3420" spans="3:15" s="59" customFormat="1" ht="21" customHeight="1">
      <c r="C3420" s="61" t="s">
        <v>1215</v>
      </c>
      <c r="D3420" s="56" t="s">
        <v>1216</v>
      </c>
      <c r="E3420" s="57"/>
      <c r="F3420" s="57"/>
      <c r="G3420" s="57"/>
      <c r="H3420" s="57"/>
      <c r="I3420" s="44"/>
      <c r="J3420" s="44"/>
      <c r="K3420" s="44"/>
    </row>
    <row r="3421" spans="3:15" s="59" customFormat="1" ht="21" customHeight="1">
      <c r="C3421" s="450" t="s">
        <v>1217</v>
      </c>
      <c r="D3421" s="67"/>
      <c r="E3421" s="67"/>
      <c r="F3421" s="67"/>
      <c r="G3421" s="69"/>
      <c r="H3421" s="589">
        <v>0</v>
      </c>
      <c r="I3421" s="44"/>
      <c r="J3421" s="44"/>
      <c r="K3421" s="44"/>
    </row>
    <row r="3422" spans="3:15" s="59" customFormat="1" ht="21" customHeight="1">
      <c r="C3422" s="288" t="s">
        <v>1218</v>
      </c>
      <c r="D3422" s="76" t="s">
        <v>1219</v>
      </c>
      <c r="E3422" s="77"/>
      <c r="F3422" s="77"/>
      <c r="G3422" s="78"/>
      <c r="H3422" s="585">
        <f>H3421+H3419+H3416</f>
        <v>57415</v>
      </c>
      <c r="I3422" s="369"/>
      <c r="J3422" s="44"/>
      <c r="K3422" s="44"/>
    </row>
    <row r="3423" spans="3:15" s="59" customFormat="1" ht="21" customHeight="1">
      <c r="C3423" s="288" t="s">
        <v>1220</v>
      </c>
      <c r="D3423" s="76" t="s">
        <v>1321</v>
      </c>
      <c r="E3423" s="77"/>
      <c r="F3423" s="78"/>
      <c r="G3423" s="80">
        <v>0.1</v>
      </c>
      <c r="H3423" s="63">
        <f>H3422*G3423</f>
        <v>5741.5</v>
      </c>
      <c r="I3423" s="369"/>
      <c r="J3423" s="44"/>
      <c r="K3423" s="44"/>
    </row>
    <row r="3424" spans="3:15" s="59" customFormat="1" ht="21" customHeight="1">
      <c r="C3424" s="288" t="s">
        <v>1221</v>
      </c>
      <c r="D3424" s="76" t="s">
        <v>1222</v>
      </c>
      <c r="E3424" s="77"/>
      <c r="F3424" s="77"/>
      <c r="G3424" s="78"/>
      <c r="H3424" s="799">
        <f>SUM(H3422:H3423)</f>
        <v>63156.5</v>
      </c>
      <c r="I3424" s="369"/>
      <c r="J3424" s="44"/>
      <c r="K3424" s="44"/>
    </row>
    <row r="3425" spans="3:15" ht="21" customHeight="1"/>
    <row r="3426" spans="3:15" s="59" customFormat="1" ht="21" customHeight="1">
      <c r="C3426" s="147" t="s">
        <v>5409</v>
      </c>
      <c r="D3426" s="794" t="s">
        <v>4169</v>
      </c>
      <c r="E3426" s="795"/>
      <c r="F3426" s="795"/>
      <c r="G3426" s="795"/>
      <c r="H3426" s="795"/>
      <c r="I3426" s="50">
        <f>ROUNDDOWN(H3441,-2)</f>
        <v>89800</v>
      </c>
      <c r="J3426" s="50"/>
      <c r="K3426" s="50"/>
    </row>
    <row r="3427" spans="3:15" s="59" customFormat="1" ht="21" customHeight="1">
      <c r="C3427" s="591" t="s">
        <v>1195</v>
      </c>
      <c r="D3427" s="591" t="s">
        <v>1196</v>
      </c>
      <c r="E3427" s="591" t="s">
        <v>1197</v>
      </c>
      <c r="F3427" s="591" t="s">
        <v>1198</v>
      </c>
      <c r="G3427" s="591" t="s">
        <v>1199</v>
      </c>
      <c r="H3427" s="591" t="s">
        <v>1200</v>
      </c>
      <c r="I3427" s="44"/>
      <c r="J3427" s="44"/>
      <c r="K3427" s="44"/>
    </row>
    <row r="3428" spans="3:15" s="59" customFormat="1" ht="21" customHeight="1">
      <c r="C3428" s="61" t="s">
        <v>1201</v>
      </c>
      <c r="D3428" s="56" t="s">
        <v>1202</v>
      </c>
      <c r="E3428" s="57"/>
      <c r="F3428" s="57"/>
      <c r="G3428" s="57"/>
      <c r="H3428" s="57"/>
      <c r="I3428" s="44"/>
      <c r="J3428" s="44"/>
      <c r="K3428" s="44"/>
      <c r="L3428" s="152" t="s">
        <v>1247</v>
      </c>
    </row>
    <row r="3429" spans="3:15" s="59" customFormat="1" ht="21" customHeight="1">
      <c r="C3429" s="588">
        <v>1</v>
      </c>
      <c r="D3429" s="56" t="s">
        <v>5</v>
      </c>
      <c r="E3429" s="577" t="s">
        <v>6</v>
      </c>
      <c r="F3429" s="62">
        <v>7.9000000000000001E-2</v>
      </c>
      <c r="G3429" s="63">
        <f>VLOOKUP(D3429,upahbahan,3,FALSE)</f>
        <v>100000</v>
      </c>
      <c r="H3429" s="63">
        <f>F3429*G3429</f>
        <v>7900</v>
      </c>
      <c r="I3429" s="44"/>
      <c r="J3429" s="44"/>
      <c r="K3429" s="44"/>
      <c r="L3429" s="152" t="s">
        <v>1248</v>
      </c>
      <c r="O3429" s="65">
        <v>0.1</v>
      </c>
    </row>
    <row r="3430" spans="3:15" s="59" customFormat="1" ht="21" customHeight="1">
      <c r="C3430" s="588">
        <v>2</v>
      </c>
      <c r="D3430" s="56" t="s">
        <v>10</v>
      </c>
      <c r="E3430" s="577" t="s">
        <v>6</v>
      </c>
      <c r="F3430" s="62">
        <v>0.13100000000000001</v>
      </c>
      <c r="G3430" s="63">
        <f>VLOOKUP(D3430,upahbahan,3,FALSE)</f>
        <v>135000</v>
      </c>
      <c r="H3430" s="63">
        <f>F3430*G3430</f>
        <v>17685</v>
      </c>
      <c r="I3430" s="44"/>
      <c r="J3430" s="44"/>
      <c r="K3430" s="44"/>
    </row>
    <row r="3431" spans="3:15" s="59" customFormat="1" ht="21" customHeight="1">
      <c r="C3431" s="588">
        <v>3</v>
      </c>
      <c r="D3431" s="56" t="s">
        <v>18</v>
      </c>
      <c r="E3431" s="577" t="s">
        <v>6</v>
      </c>
      <c r="F3431" s="62">
        <v>1.2999999999999999E-2</v>
      </c>
      <c r="G3431" s="63">
        <f>VLOOKUP(D3431,upahbahan,3,FALSE)</f>
        <v>150000</v>
      </c>
      <c r="H3431" s="63">
        <f>F3431*G3431</f>
        <v>1950</v>
      </c>
      <c r="I3431" s="44"/>
      <c r="J3431" s="44"/>
      <c r="K3431" s="44"/>
    </row>
    <row r="3432" spans="3:15" s="59" customFormat="1" ht="21" customHeight="1">
      <c r="C3432" s="588">
        <v>4</v>
      </c>
      <c r="D3432" s="56" t="s">
        <v>19</v>
      </c>
      <c r="E3432" s="577" t="s">
        <v>6</v>
      </c>
      <c r="F3432" s="62">
        <v>4.0000000000000001E-3</v>
      </c>
      <c r="G3432" s="63">
        <f>VLOOKUP(D3432,upahbahan,3,FALSE)</f>
        <v>160000</v>
      </c>
      <c r="H3432" s="63">
        <f>F3432*G3432</f>
        <v>640</v>
      </c>
      <c r="I3432" s="44"/>
      <c r="J3432" s="44"/>
      <c r="K3432" s="44"/>
    </row>
    <row r="3433" spans="3:15" s="59" customFormat="1" ht="21" customHeight="1">
      <c r="C3433" s="450" t="s">
        <v>1208</v>
      </c>
      <c r="D3433" s="67"/>
      <c r="E3433" s="67"/>
      <c r="F3433" s="142"/>
      <c r="G3433" s="153"/>
      <c r="H3433" s="63">
        <f>SUM(H3429:H3432)</f>
        <v>28175</v>
      </c>
      <c r="I3433" s="154"/>
      <c r="J3433" s="154"/>
      <c r="K3433" s="154"/>
    </row>
    <row r="3434" spans="3:15" s="59" customFormat="1" ht="21" customHeight="1">
      <c r="C3434" s="61" t="s">
        <v>1209</v>
      </c>
      <c r="D3434" s="56" t="s">
        <v>1210</v>
      </c>
      <c r="E3434" s="57"/>
      <c r="F3434" s="57"/>
      <c r="G3434" s="57"/>
      <c r="H3434" s="57"/>
      <c r="I3434" s="44"/>
      <c r="J3434" s="44"/>
      <c r="K3434" s="44"/>
    </row>
    <row r="3435" spans="3:15" s="59" customFormat="1" ht="21" customHeight="1">
      <c r="C3435" s="61">
        <v>1</v>
      </c>
      <c r="D3435" s="56" t="s">
        <v>4170</v>
      </c>
      <c r="E3435" s="93" t="s">
        <v>135</v>
      </c>
      <c r="F3435" s="104">
        <v>1.1499999999999999</v>
      </c>
      <c r="G3435" s="63">
        <f>VLOOKUP(D3435,upahbahan,3,FALSE)</f>
        <v>46500</v>
      </c>
      <c r="H3435" s="586">
        <f>G3435*F3435</f>
        <v>53474.999999999993</v>
      </c>
      <c r="I3435" s="44"/>
      <c r="J3435" s="44"/>
      <c r="K3435" s="44"/>
    </row>
    <row r="3436" spans="3:15" s="59" customFormat="1" ht="21" customHeight="1">
      <c r="C3436" s="450" t="s">
        <v>1214</v>
      </c>
      <c r="D3436" s="67"/>
      <c r="E3436" s="67"/>
      <c r="F3436" s="67"/>
      <c r="G3436" s="69"/>
      <c r="H3436" s="63">
        <f>SUM(H3435:H3435)</f>
        <v>53474.999999999993</v>
      </c>
      <c r="I3436" s="44"/>
      <c r="J3436" s="44"/>
      <c r="K3436" s="44"/>
    </row>
    <row r="3437" spans="3:15" s="59" customFormat="1" ht="21" customHeight="1">
      <c r="C3437" s="61" t="s">
        <v>1215</v>
      </c>
      <c r="D3437" s="56" t="s">
        <v>1216</v>
      </c>
      <c r="E3437" s="57"/>
      <c r="F3437" s="57"/>
      <c r="G3437" s="57"/>
      <c r="H3437" s="57"/>
      <c r="I3437" s="44"/>
      <c r="J3437" s="44"/>
      <c r="K3437" s="44"/>
    </row>
    <row r="3438" spans="3:15" s="59" customFormat="1" ht="21" customHeight="1">
      <c r="C3438" s="450" t="s">
        <v>1217</v>
      </c>
      <c r="D3438" s="67"/>
      <c r="E3438" s="67"/>
      <c r="F3438" s="67"/>
      <c r="G3438" s="69"/>
      <c r="H3438" s="589">
        <v>0</v>
      </c>
      <c r="I3438" s="44"/>
      <c r="J3438" s="44"/>
      <c r="K3438" s="44"/>
    </row>
    <row r="3439" spans="3:15" s="59" customFormat="1" ht="21" customHeight="1">
      <c r="C3439" s="288" t="s">
        <v>1218</v>
      </c>
      <c r="D3439" s="76" t="s">
        <v>1219</v>
      </c>
      <c r="E3439" s="77"/>
      <c r="F3439" s="77"/>
      <c r="G3439" s="78"/>
      <c r="H3439" s="585">
        <f>H3438+H3436+H3433</f>
        <v>81650</v>
      </c>
      <c r="I3439" s="369"/>
      <c r="J3439" s="44"/>
      <c r="K3439" s="44"/>
    </row>
    <row r="3440" spans="3:15" s="59" customFormat="1" ht="21" customHeight="1">
      <c r="C3440" s="288" t="s">
        <v>1220</v>
      </c>
      <c r="D3440" s="76" t="s">
        <v>1321</v>
      </c>
      <c r="E3440" s="77"/>
      <c r="F3440" s="78"/>
      <c r="G3440" s="80">
        <v>0.1</v>
      </c>
      <c r="H3440" s="63">
        <f>H3439*G3440</f>
        <v>8165</v>
      </c>
      <c r="I3440" s="369"/>
      <c r="J3440" s="44"/>
      <c r="K3440" s="44"/>
    </row>
    <row r="3441" spans="3:15" s="59" customFormat="1" ht="21" customHeight="1">
      <c r="C3441" s="288" t="s">
        <v>1221</v>
      </c>
      <c r="D3441" s="76" t="s">
        <v>1222</v>
      </c>
      <c r="E3441" s="77"/>
      <c r="F3441" s="77"/>
      <c r="G3441" s="78"/>
      <c r="H3441" s="799">
        <f>SUM(H3439:H3440)</f>
        <v>89815</v>
      </c>
      <c r="I3441" s="369"/>
      <c r="J3441" s="44"/>
      <c r="K3441" s="44"/>
    </row>
    <row r="3442" spans="3:15" ht="21" customHeight="1"/>
    <row r="3443" spans="3:15" s="59" customFormat="1" ht="21" customHeight="1">
      <c r="C3443" s="147" t="s">
        <v>5410</v>
      </c>
      <c r="D3443" s="794" t="s">
        <v>4171</v>
      </c>
      <c r="E3443" s="795"/>
      <c r="F3443" s="795"/>
      <c r="G3443" s="795"/>
      <c r="H3443" s="795"/>
      <c r="I3443" s="50">
        <f>ROUNDDOWN(H3458,-2)</f>
        <v>151900</v>
      </c>
      <c r="J3443" s="50"/>
      <c r="K3443" s="50"/>
    </row>
    <row r="3444" spans="3:15" s="59" customFormat="1" ht="21" customHeight="1">
      <c r="C3444" s="591" t="s">
        <v>1195</v>
      </c>
      <c r="D3444" s="591" t="s">
        <v>1196</v>
      </c>
      <c r="E3444" s="591" t="s">
        <v>1197</v>
      </c>
      <c r="F3444" s="591" t="s">
        <v>1198</v>
      </c>
      <c r="G3444" s="591" t="s">
        <v>1199</v>
      </c>
      <c r="H3444" s="591" t="s">
        <v>1200</v>
      </c>
      <c r="I3444" s="44"/>
      <c r="J3444" s="44"/>
      <c r="K3444" s="44"/>
    </row>
    <row r="3445" spans="3:15" s="59" customFormat="1" ht="21" customHeight="1">
      <c r="C3445" s="61" t="s">
        <v>1201</v>
      </c>
      <c r="D3445" s="56" t="s">
        <v>1202</v>
      </c>
      <c r="E3445" s="57"/>
      <c r="F3445" s="57"/>
      <c r="G3445" s="57"/>
      <c r="H3445" s="57"/>
      <c r="I3445" s="44"/>
      <c r="J3445" s="44"/>
      <c r="K3445" s="44"/>
      <c r="L3445" s="152" t="s">
        <v>1247</v>
      </c>
    </row>
    <row r="3446" spans="3:15" s="59" customFormat="1" ht="21" customHeight="1">
      <c r="C3446" s="588">
        <v>1</v>
      </c>
      <c r="D3446" s="56" t="s">
        <v>5</v>
      </c>
      <c r="E3446" s="577" t="s">
        <v>6</v>
      </c>
      <c r="F3446" s="62">
        <v>0.105</v>
      </c>
      <c r="G3446" s="63">
        <f>VLOOKUP(D3446,upahbahan,3,FALSE)</f>
        <v>100000</v>
      </c>
      <c r="H3446" s="63">
        <f>F3446*G3446</f>
        <v>10500</v>
      </c>
      <c r="I3446" s="44"/>
      <c r="J3446" s="44"/>
      <c r="K3446" s="44"/>
      <c r="L3446" s="152" t="s">
        <v>1248</v>
      </c>
      <c r="O3446" s="65">
        <v>0.1</v>
      </c>
    </row>
    <row r="3447" spans="3:15" s="59" customFormat="1" ht="21" customHeight="1">
      <c r="C3447" s="588">
        <v>2</v>
      </c>
      <c r="D3447" s="56" t="s">
        <v>10</v>
      </c>
      <c r="E3447" s="577" t="s">
        <v>6</v>
      </c>
      <c r="F3447" s="62">
        <v>0.17499999999999999</v>
      </c>
      <c r="G3447" s="63">
        <f>VLOOKUP(D3447,upahbahan,3,FALSE)</f>
        <v>135000</v>
      </c>
      <c r="H3447" s="63">
        <f>F3447*G3447</f>
        <v>23625</v>
      </c>
      <c r="I3447" s="44"/>
      <c r="J3447" s="44"/>
      <c r="K3447" s="44"/>
    </row>
    <row r="3448" spans="3:15" s="59" customFormat="1" ht="21" customHeight="1">
      <c r="C3448" s="588">
        <v>3</v>
      </c>
      <c r="D3448" s="56" t="s">
        <v>18</v>
      </c>
      <c r="E3448" s="577" t="s">
        <v>6</v>
      </c>
      <c r="F3448" s="62">
        <v>1.7000000000000001E-2</v>
      </c>
      <c r="G3448" s="63">
        <f>VLOOKUP(D3448,upahbahan,3,FALSE)</f>
        <v>150000</v>
      </c>
      <c r="H3448" s="63">
        <f>F3448*G3448</f>
        <v>2550</v>
      </c>
      <c r="I3448" s="44"/>
      <c r="J3448" s="44"/>
      <c r="K3448" s="44"/>
    </row>
    <row r="3449" spans="3:15" s="59" customFormat="1" ht="21" customHeight="1">
      <c r="C3449" s="588">
        <v>4</v>
      </c>
      <c r="D3449" s="56" t="s">
        <v>19</v>
      </c>
      <c r="E3449" s="577" t="s">
        <v>6</v>
      </c>
      <c r="F3449" s="62">
        <v>5.0000000000000001E-3</v>
      </c>
      <c r="G3449" s="63">
        <f>VLOOKUP(D3449,upahbahan,3,FALSE)</f>
        <v>160000</v>
      </c>
      <c r="H3449" s="63">
        <f>F3449*G3449</f>
        <v>800</v>
      </c>
      <c r="I3449" s="44"/>
      <c r="J3449" s="44"/>
      <c r="K3449" s="44"/>
    </row>
    <row r="3450" spans="3:15" s="59" customFormat="1" ht="21" customHeight="1">
      <c r="C3450" s="450" t="s">
        <v>1208</v>
      </c>
      <c r="D3450" s="67"/>
      <c r="E3450" s="67"/>
      <c r="F3450" s="142"/>
      <c r="G3450" s="153"/>
      <c r="H3450" s="63">
        <f>SUM(H3446:H3449)</f>
        <v>37475</v>
      </c>
      <c r="I3450" s="154"/>
      <c r="J3450" s="154"/>
      <c r="K3450" s="154"/>
    </row>
    <row r="3451" spans="3:15" s="59" customFormat="1" ht="21" customHeight="1">
      <c r="C3451" s="61" t="s">
        <v>1209</v>
      </c>
      <c r="D3451" s="56" t="s">
        <v>1210</v>
      </c>
      <c r="E3451" s="57"/>
      <c r="F3451" s="57"/>
      <c r="G3451" s="57"/>
      <c r="H3451" s="57"/>
      <c r="I3451" s="44"/>
      <c r="J3451" s="44"/>
      <c r="K3451" s="44"/>
    </row>
    <row r="3452" spans="3:15" s="59" customFormat="1" ht="21" customHeight="1">
      <c r="C3452" s="61">
        <v>1</v>
      </c>
      <c r="D3452" s="56" t="s">
        <v>4172</v>
      </c>
      <c r="E3452" s="93" t="s">
        <v>135</v>
      </c>
      <c r="F3452" s="104">
        <v>1.1499999999999999</v>
      </c>
      <c r="G3452" s="63">
        <f>VLOOKUP(D3452,upahbahan,3,FALSE)</f>
        <v>87500</v>
      </c>
      <c r="H3452" s="586">
        <f>G3452*F3452</f>
        <v>100624.99999999999</v>
      </c>
      <c r="I3452" s="44"/>
      <c r="J3452" s="44"/>
      <c r="K3452" s="44"/>
    </row>
    <row r="3453" spans="3:15" s="59" customFormat="1" ht="21" customHeight="1">
      <c r="C3453" s="450" t="s">
        <v>1214</v>
      </c>
      <c r="D3453" s="67"/>
      <c r="E3453" s="67"/>
      <c r="F3453" s="67"/>
      <c r="G3453" s="69"/>
      <c r="H3453" s="63">
        <f>SUM(H3452:H3452)</f>
        <v>100624.99999999999</v>
      </c>
      <c r="I3453" s="44"/>
      <c r="J3453" s="44"/>
      <c r="K3453" s="44"/>
    </row>
    <row r="3454" spans="3:15" s="59" customFormat="1" ht="21" customHeight="1">
      <c r="C3454" s="61" t="s">
        <v>1215</v>
      </c>
      <c r="D3454" s="56" t="s">
        <v>1216</v>
      </c>
      <c r="E3454" s="57"/>
      <c r="F3454" s="57"/>
      <c r="G3454" s="57"/>
      <c r="H3454" s="57"/>
      <c r="I3454" s="44"/>
      <c r="J3454" s="44"/>
      <c r="K3454" s="44"/>
    </row>
    <row r="3455" spans="3:15" s="59" customFormat="1" ht="21" customHeight="1">
      <c r="C3455" s="450" t="s">
        <v>1217</v>
      </c>
      <c r="D3455" s="67"/>
      <c r="E3455" s="67"/>
      <c r="F3455" s="67"/>
      <c r="G3455" s="69"/>
      <c r="H3455" s="589">
        <v>0</v>
      </c>
      <c r="I3455" s="44"/>
      <c r="J3455" s="44"/>
      <c r="K3455" s="44"/>
    </row>
    <row r="3456" spans="3:15" s="59" customFormat="1" ht="21" customHeight="1">
      <c r="C3456" s="288" t="s">
        <v>1218</v>
      </c>
      <c r="D3456" s="76" t="s">
        <v>1219</v>
      </c>
      <c r="E3456" s="77"/>
      <c r="F3456" s="77"/>
      <c r="G3456" s="78"/>
      <c r="H3456" s="585">
        <f>H3455+H3453+H3450</f>
        <v>138100</v>
      </c>
      <c r="I3456" s="369"/>
      <c r="J3456" s="44"/>
      <c r="K3456" s="44"/>
    </row>
    <row r="3457" spans="3:15" s="59" customFormat="1" ht="21" customHeight="1">
      <c r="C3457" s="288" t="s">
        <v>1220</v>
      </c>
      <c r="D3457" s="76" t="s">
        <v>1321</v>
      </c>
      <c r="E3457" s="77"/>
      <c r="F3457" s="78"/>
      <c r="G3457" s="80">
        <v>0.1</v>
      </c>
      <c r="H3457" s="63">
        <f>H3456*G3457</f>
        <v>13810</v>
      </c>
      <c r="I3457" s="369"/>
      <c r="J3457" s="44"/>
      <c r="K3457" s="44"/>
    </row>
    <row r="3458" spans="3:15" s="59" customFormat="1" ht="21" customHeight="1">
      <c r="C3458" s="288" t="s">
        <v>1221</v>
      </c>
      <c r="D3458" s="76" t="s">
        <v>1222</v>
      </c>
      <c r="E3458" s="77"/>
      <c r="F3458" s="77"/>
      <c r="G3458" s="78"/>
      <c r="H3458" s="799">
        <f>SUM(H3456:H3457)</f>
        <v>151910</v>
      </c>
      <c r="I3458" s="369"/>
      <c r="J3458" s="44"/>
      <c r="K3458" s="44"/>
    </row>
    <row r="3459" spans="3:15" ht="21" customHeight="1"/>
    <row r="3460" spans="3:15" s="59" customFormat="1" ht="21" customHeight="1">
      <c r="C3460" s="147" t="s">
        <v>5411</v>
      </c>
      <c r="D3460" s="794" t="s">
        <v>4173</v>
      </c>
      <c r="E3460" s="795"/>
      <c r="F3460" s="795"/>
      <c r="G3460" s="795"/>
      <c r="H3460" s="795"/>
      <c r="I3460" s="50">
        <f>ROUNDDOWN(H3475,-2)</f>
        <v>174300</v>
      </c>
      <c r="J3460" s="50"/>
      <c r="K3460" s="50"/>
    </row>
    <row r="3461" spans="3:15" s="59" customFormat="1" ht="21" customHeight="1">
      <c r="C3461" s="591" t="s">
        <v>1195</v>
      </c>
      <c r="D3461" s="591" t="s">
        <v>1196</v>
      </c>
      <c r="E3461" s="591" t="s">
        <v>1197</v>
      </c>
      <c r="F3461" s="591" t="s">
        <v>1198</v>
      </c>
      <c r="G3461" s="591" t="s">
        <v>1199</v>
      </c>
      <c r="H3461" s="591" t="s">
        <v>1200</v>
      </c>
      <c r="I3461" s="44"/>
      <c r="J3461" s="44"/>
      <c r="K3461" s="44"/>
    </row>
    <row r="3462" spans="3:15" s="59" customFormat="1" ht="21" customHeight="1">
      <c r="C3462" s="61" t="s">
        <v>1201</v>
      </c>
      <c r="D3462" s="56" t="s">
        <v>1202</v>
      </c>
      <c r="E3462" s="57"/>
      <c r="F3462" s="57"/>
      <c r="G3462" s="57"/>
      <c r="H3462" s="57"/>
      <c r="I3462" s="44"/>
      <c r="J3462" s="44"/>
      <c r="K3462" s="44"/>
      <c r="L3462" s="152" t="s">
        <v>1247</v>
      </c>
    </row>
    <row r="3463" spans="3:15" s="59" customFormat="1" ht="21" customHeight="1">
      <c r="C3463" s="588">
        <v>1</v>
      </c>
      <c r="D3463" s="56" t="s">
        <v>5</v>
      </c>
      <c r="E3463" s="577" t="s">
        <v>6</v>
      </c>
      <c r="F3463" s="62">
        <v>0.129</v>
      </c>
      <c r="G3463" s="63">
        <f>VLOOKUP(D3463,upahbahan,3,FALSE)</f>
        <v>100000</v>
      </c>
      <c r="H3463" s="63">
        <f>F3463*G3463</f>
        <v>12900</v>
      </c>
      <c r="I3463" s="44"/>
      <c r="J3463" s="44"/>
      <c r="K3463" s="44"/>
      <c r="L3463" s="152" t="s">
        <v>1248</v>
      </c>
      <c r="O3463" s="65">
        <v>0.1</v>
      </c>
    </row>
    <row r="3464" spans="3:15" s="59" customFormat="1" ht="21" customHeight="1">
      <c r="C3464" s="588">
        <v>2</v>
      </c>
      <c r="D3464" s="56" t="s">
        <v>10</v>
      </c>
      <c r="E3464" s="577" t="s">
        <v>6</v>
      </c>
      <c r="F3464" s="62">
        <v>0.215</v>
      </c>
      <c r="G3464" s="63">
        <f>VLOOKUP(D3464,upahbahan,3,FALSE)</f>
        <v>135000</v>
      </c>
      <c r="H3464" s="63">
        <f>F3464*G3464</f>
        <v>29025</v>
      </c>
      <c r="I3464" s="44"/>
      <c r="J3464" s="44"/>
      <c r="K3464" s="44"/>
    </row>
    <row r="3465" spans="3:15" s="59" customFormat="1" ht="21" customHeight="1">
      <c r="C3465" s="588">
        <v>3</v>
      </c>
      <c r="D3465" s="56" t="s">
        <v>18</v>
      </c>
      <c r="E3465" s="577" t="s">
        <v>6</v>
      </c>
      <c r="F3465" s="62">
        <v>2.1000000000000001E-2</v>
      </c>
      <c r="G3465" s="63">
        <f>VLOOKUP(D3465,upahbahan,3,FALSE)</f>
        <v>150000</v>
      </c>
      <c r="H3465" s="63">
        <f>F3465*G3465</f>
        <v>3150</v>
      </c>
      <c r="I3465" s="44"/>
      <c r="J3465" s="44"/>
      <c r="K3465" s="44"/>
    </row>
    <row r="3466" spans="3:15" s="59" customFormat="1" ht="21" customHeight="1">
      <c r="C3466" s="588">
        <v>4</v>
      </c>
      <c r="D3466" s="56" t="s">
        <v>19</v>
      </c>
      <c r="E3466" s="577" t="s">
        <v>6</v>
      </c>
      <c r="F3466" s="62">
        <v>6.0000000000000001E-3</v>
      </c>
      <c r="G3466" s="63">
        <f>VLOOKUP(D3466,upahbahan,3,FALSE)</f>
        <v>160000</v>
      </c>
      <c r="H3466" s="63">
        <f>F3466*G3466</f>
        <v>960</v>
      </c>
      <c r="I3466" s="44"/>
      <c r="J3466" s="44"/>
      <c r="K3466" s="44"/>
    </row>
    <row r="3467" spans="3:15" s="59" customFormat="1" ht="21" customHeight="1">
      <c r="C3467" s="450" t="s">
        <v>1208</v>
      </c>
      <c r="D3467" s="67"/>
      <c r="E3467" s="67"/>
      <c r="F3467" s="142"/>
      <c r="G3467" s="153"/>
      <c r="H3467" s="63">
        <f>SUM(H3463:H3466)</f>
        <v>46035</v>
      </c>
      <c r="I3467" s="154"/>
      <c r="J3467" s="154"/>
      <c r="K3467" s="154"/>
    </row>
    <row r="3468" spans="3:15" s="59" customFormat="1" ht="21" customHeight="1">
      <c r="C3468" s="61" t="s">
        <v>1209</v>
      </c>
      <c r="D3468" s="56" t="s">
        <v>1210</v>
      </c>
      <c r="E3468" s="57"/>
      <c r="F3468" s="57"/>
      <c r="G3468" s="57"/>
      <c r="H3468" s="57"/>
      <c r="I3468" s="44"/>
      <c r="J3468" s="44"/>
      <c r="K3468" s="44"/>
    </row>
    <row r="3469" spans="3:15" s="59" customFormat="1" ht="21" customHeight="1">
      <c r="C3469" s="61">
        <v>1</v>
      </c>
      <c r="D3469" s="56" t="s">
        <v>4174</v>
      </c>
      <c r="E3469" s="93" t="s">
        <v>135</v>
      </c>
      <c r="F3469" s="104">
        <v>1.1499999999999999</v>
      </c>
      <c r="G3469" s="63">
        <f>VLOOKUP(D3469,upahbahan,3,FALSE)</f>
        <v>97800</v>
      </c>
      <c r="H3469" s="586">
        <f>G3469*F3469</f>
        <v>112469.99999999999</v>
      </c>
      <c r="I3469" s="44"/>
      <c r="J3469" s="44"/>
      <c r="K3469" s="44"/>
    </row>
    <row r="3470" spans="3:15" s="59" customFormat="1" ht="21" customHeight="1">
      <c r="C3470" s="450" t="s">
        <v>1214</v>
      </c>
      <c r="D3470" s="67"/>
      <c r="E3470" s="67"/>
      <c r="F3470" s="67"/>
      <c r="G3470" s="69"/>
      <c r="H3470" s="63">
        <f>SUM(H3469:H3469)</f>
        <v>112469.99999999999</v>
      </c>
      <c r="I3470" s="44"/>
      <c r="J3470" s="44"/>
      <c r="K3470" s="44"/>
    </row>
    <row r="3471" spans="3:15" s="59" customFormat="1" ht="21" customHeight="1">
      <c r="C3471" s="61" t="s">
        <v>1215</v>
      </c>
      <c r="D3471" s="56" t="s">
        <v>1216</v>
      </c>
      <c r="E3471" s="57"/>
      <c r="F3471" s="57"/>
      <c r="G3471" s="57"/>
      <c r="H3471" s="57"/>
      <c r="I3471" s="44"/>
      <c r="J3471" s="44"/>
      <c r="K3471" s="44"/>
    </row>
    <row r="3472" spans="3:15" s="59" customFormat="1" ht="21" customHeight="1">
      <c r="C3472" s="450" t="s">
        <v>1217</v>
      </c>
      <c r="D3472" s="67"/>
      <c r="E3472" s="67"/>
      <c r="F3472" s="67"/>
      <c r="G3472" s="69"/>
      <c r="H3472" s="589">
        <v>0</v>
      </c>
      <c r="I3472" s="44"/>
      <c r="J3472" s="44"/>
      <c r="K3472" s="44"/>
    </row>
    <row r="3473" spans="3:15" s="59" customFormat="1" ht="21" customHeight="1">
      <c r="C3473" s="288" t="s">
        <v>1218</v>
      </c>
      <c r="D3473" s="76" t="s">
        <v>1219</v>
      </c>
      <c r="E3473" s="77"/>
      <c r="F3473" s="77"/>
      <c r="G3473" s="78"/>
      <c r="H3473" s="585">
        <f>H3472+H3470+H3467</f>
        <v>158505</v>
      </c>
      <c r="I3473" s="369"/>
      <c r="J3473" s="44"/>
      <c r="K3473" s="44"/>
    </row>
    <row r="3474" spans="3:15" s="59" customFormat="1" ht="21" customHeight="1">
      <c r="C3474" s="288" t="s">
        <v>1220</v>
      </c>
      <c r="D3474" s="76" t="s">
        <v>1321</v>
      </c>
      <c r="E3474" s="77"/>
      <c r="F3474" s="78"/>
      <c r="G3474" s="80">
        <v>0.1</v>
      </c>
      <c r="H3474" s="63">
        <f>H3473*G3474</f>
        <v>15850.5</v>
      </c>
      <c r="I3474" s="369"/>
      <c r="J3474" s="44"/>
      <c r="K3474" s="44"/>
    </row>
    <row r="3475" spans="3:15" s="59" customFormat="1" ht="21" customHeight="1">
      <c r="C3475" s="288" t="s">
        <v>1221</v>
      </c>
      <c r="D3475" s="76" t="s">
        <v>1222</v>
      </c>
      <c r="E3475" s="77"/>
      <c r="F3475" s="77"/>
      <c r="G3475" s="78"/>
      <c r="H3475" s="799">
        <f>SUM(H3473:H3474)</f>
        <v>174355.5</v>
      </c>
      <c r="I3475" s="369"/>
      <c r="J3475" s="44"/>
      <c r="K3475" s="44"/>
    </row>
    <row r="3476" spans="3:15" ht="21" customHeight="1"/>
    <row r="3477" spans="3:15" ht="21" customHeight="1"/>
    <row r="3478" spans="3:15" s="59" customFormat="1" ht="21" customHeight="1">
      <c r="C3478" s="147" t="s">
        <v>5412</v>
      </c>
      <c r="D3478" s="794" t="s">
        <v>4175</v>
      </c>
      <c r="E3478" s="795"/>
      <c r="F3478" s="795"/>
      <c r="G3478" s="795"/>
      <c r="H3478" s="795"/>
      <c r="I3478" s="50">
        <f>ROUNDDOWN(H3493,-2)</f>
        <v>195500</v>
      </c>
      <c r="J3478" s="50"/>
      <c r="K3478" s="50"/>
    </row>
    <row r="3479" spans="3:15" s="59" customFormat="1" ht="21" customHeight="1">
      <c r="C3479" s="591" t="s">
        <v>1195</v>
      </c>
      <c r="D3479" s="591" t="s">
        <v>1196</v>
      </c>
      <c r="E3479" s="591" t="s">
        <v>1197</v>
      </c>
      <c r="F3479" s="591" t="s">
        <v>1198</v>
      </c>
      <c r="G3479" s="591" t="s">
        <v>1199</v>
      </c>
      <c r="H3479" s="591" t="s">
        <v>1200</v>
      </c>
      <c r="I3479" s="44"/>
      <c r="J3479" s="44"/>
      <c r="K3479" s="44"/>
    </row>
    <row r="3480" spans="3:15" s="59" customFormat="1" ht="21" customHeight="1">
      <c r="C3480" s="61" t="s">
        <v>1201</v>
      </c>
      <c r="D3480" s="56" t="s">
        <v>1202</v>
      </c>
      <c r="E3480" s="57"/>
      <c r="F3480" s="57"/>
      <c r="G3480" s="57"/>
      <c r="H3480" s="57"/>
      <c r="I3480" s="44"/>
      <c r="J3480" s="44"/>
      <c r="K3480" s="44"/>
      <c r="L3480" s="152" t="s">
        <v>1247</v>
      </c>
    </row>
    <row r="3481" spans="3:15" s="59" customFormat="1" ht="21" customHeight="1">
      <c r="C3481" s="588">
        <v>1</v>
      </c>
      <c r="D3481" s="56" t="s">
        <v>5</v>
      </c>
      <c r="E3481" s="577" t="s">
        <v>6</v>
      </c>
      <c r="F3481" s="62">
        <v>0.157</v>
      </c>
      <c r="G3481" s="63">
        <f>VLOOKUP(D3481,upahbahan,3,FALSE)</f>
        <v>100000</v>
      </c>
      <c r="H3481" s="63">
        <f>F3481*G3481</f>
        <v>15700</v>
      </c>
      <c r="I3481" s="44"/>
      <c r="J3481" s="44"/>
      <c r="K3481" s="44"/>
      <c r="L3481" s="152" t="s">
        <v>1248</v>
      </c>
      <c r="O3481" s="65">
        <v>0.1</v>
      </c>
    </row>
    <row r="3482" spans="3:15" s="59" customFormat="1" ht="21" customHeight="1">
      <c r="C3482" s="588">
        <v>2</v>
      </c>
      <c r="D3482" s="56" t="s">
        <v>10</v>
      </c>
      <c r="E3482" s="577" t="s">
        <v>6</v>
      </c>
      <c r="F3482" s="62">
        <v>0.26200000000000001</v>
      </c>
      <c r="G3482" s="63">
        <f>VLOOKUP(D3482,upahbahan,3,FALSE)</f>
        <v>135000</v>
      </c>
      <c r="H3482" s="63">
        <f>F3482*G3482</f>
        <v>35370</v>
      </c>
      <c r="I3482" s="44"/>
      <c r="J3482" s="44"/>
      <c r="K3482" s="44"/>
    </row>
    <row r="3483" spans="3:15" s="59" customFormat="1" ht="21" customHeight="1">
      <c r="C3483" s="588">
        <v>3</v>
      </c>
      <c r="D3483" s="56" t="s">
        <v>18</v>
      </c>
      <c r="E3483" s="577" t="s">
        <v>6</v>
      </c>
      <c r="F3483" s="62">
        <v>2.5999999999999999E-2</v>
      </c>
      <c r="G3483" s="63">
        <f>VLOOKUP(D3483,upahbahan,3,FALSE)</f>
        <v>150000</v>
      </c>
      <c r="H3483" s="63">
        <f>F3483*G3483</f>
        <v>3900</v>
      </c>
      <c r="I3483" s="44"/>
      <c r="J3483" s="44"/>
      <c r="K3483" s="44"/>
    </row>
    <row r="3484" spans="3:15" s="59" customFormat="1" ht="21" customHeight="1">
      <c r="C3484" s="588">
        <v>4</v>
      </c>
      <c r="D3484" s="56" t="s">
        <v>19</v>
      </c>
      <c r="E3484" s="577" t="s">
        <v>6</v>
      </c>
      <c r="F3484" s="62">
        <v>8.0000000000000002E-3</v>
      </c>
      <c r="G3484" s="63">
        <f>VLOOKUP(D3484,upahbahan,3,FALSE)</f>
        <v>160000</v>
      </c>
      <c r="H3484" s="63">
        <f>F3484*G3484</f>
        <v>1280</v>
      </c>
      <c r="I3484" s="44"/>
      <c r="J3484" s="44"/>
      <c r="K3484" s="44"/>
    </row>
    <row r="3485" spans="3:15" s="59" customFormat="1" ht="21" customHeight="1">
      <c r="C3485" s="450" t="s">
        <v>1208</v>
      </c>
      <c r="D3485" s="67"/>
      <c r="E3485" s="67"/>
      <c r="F3485" s="142"/>
      <c r="G3485" s="153"/>
      <c r="H3485" s="63">
        <f>SUM(H3481:H3484)</f>
        <v>56250</v>
      </c>
      <c r="I3485" s="154"/>
      <c r="J3485" s="154"/>
      <c r="K3485" s="154"/>
    </row>
    <row r="3486" spans="3:15" s="59" customFormat="1" ht="21" customHeight="1">
      <c r="C3486" s="61" t="s">
        <v>1209</v>
      </c>
      <c r="D3486" s="56" t="s">
        <v>1210</v>
      </c>
      <c r="E3486" s="57"/>
      <c r="F3486" s="57"/>
      <c r="G3486" s="57"/>
      <c r="H3486" s="57"/>
      <c r="I3486" s="44"/>
      <c r="J3486" s="44"/>
      <c r="K3486" s="44"/>
    </row>
    <row r="3487" spans="3:15" s="59" customFormat="1" ht="21" customHeight="1">
      <c r="C3487" s="61">
        <v>1</v>
      </c>
      <c r="D3487" s="56" t="s">
        <v>4176</v>
      </c>
      <c r="E3487" s="93" t="s">
        <v>135</v>
      </c>
      <c r="F3487" s="104">
        <v>1.1499999999999999</v>
      </c>
      <c r="G3487" s="63">
        <f>VLOOKUP(D3487,upahbahan,3,FALSE)</f>
        <v>105700</v>
      </c>
      <c r="H3487" s="586">
        <f>G3487*F3487</f>
        <v>121554.99999999999</v>
      </c>
      <c r="I3487" s="44"/>
      <c r="J3487" s="44"/>
      <c r="K3487" s="44"/>
    </row>
    <row r="3488" spans="3:15" s="59" customFormat="1" ht="21" customHeight="1">
      <c r="C3488" s="450" t="s">
        <v>1214</v>
      </c>
      <c r="D3488" s="67"/>
      <c r="E3488" s="67"/>
      <c r="F3488" s="67"/>
      <c r="G3488" s="69"/>
      <c r="H3488" s="63">
        <f>SUM(H3487:H3487)</f>
        <v>121554.99999999999</v>
      </c>
      <c r="I3488" s="44"/>
      <c r="J3488" s="44"/>
      <c r="K3488" s="44"/>
    </row>
    <row r="3489" spans="3:15" s="59" customFormat="1" ht="21" customHeight="1">
      <c r="C3489" s="61" t="s">
        <v>1215</v>
      </c>
      <c r="D3489" s="56" t="s">
        <v>1216</v>
      </c>
      <c r="E3489" s="57"/>
      <c r="F3489" s="57"/>
      <c r="G3489" s="57"/>
      <c r="H3489" s="57"/>
      <c r="I3489" s="44"/>
      <c r="J3489" s="44"/>
      <c r="K3489" s="44"/>
    </row>
    <row r="3490" spans="3:15" s="59" customFormat="1" ht="21" customHeight="1">
      <c r="C3490" s="450" t="s">
        <v>1217</v>
      </c>
      <c r="D3490" s="67"/>
      <c r="E3490" s="67"/>
      <c r="F3490" s="67"/>
      <c r="G3490" s="69"/>
      <c r="H3490" s="589">
        <v>0</v>
      </c>
      <c r="I3490" s="44"/>
      <c r="J3490" s="44"/>
      <c r="K3490" s="44"/>
    </row>
    <row r="3491" spans="3:15" s="59" customFormat="1" ht="21" customHeight="1">
      <c r="C3491" s="288" t="s">
        <v>1218</v>
      </c>
      <c r="D3491" s="76" t="s">
        <v>1219</v>
      </c>
      <c r="E3491" s="77"/>
      <c r="F3491" s="77"/>
      <c r="G3491" s="78"/>
      <c r="H3491" s="585">
        <f>H3490+H3488+H3485</f>
        <v>177805</v>
      </c>
      <c r="I3491" s="369"/>
      <c r="J3491" s="44"/>
      <c r="K3491" s="44"/>
    </row>
    <row r="3492" spans="3:15" s="59" customFormat="1" ht="21" customHeight="1">
      <c r="C3492" s="288" t="s">
        <v>1220</v>
      </c>
      <c r="D3492" s="76" t="s">
        <v>1321</v>
      </c>
      <c r="E3492" s="77"/>
      <c r="F3492" s="78"/>
      <c r="G3492" s="80">
        <v>0.1</v>
      </c>
      <c r="H3492" s="63">
        <f>H3491*G3492</f>
        <v>17780.5</v>
      </c>
      <c r="I3492" s="369"/>
      <c r="J3492" s="44"/>
      <c r="K3492" s="44"/>
    </row>
    <row r="3493" spans="3:15" s="59" customFormat="1" ht="21" customHeight="1">
      <c r="C3493" s="288" t="s">
        <v>1221</v>
      </c>
      <c r="D3493" s="76" t="s">
        <v>1222</v>
      </c>
      <c r="E3493" s="77"/>
      <c r="F3493" s="77"/>
      <c r="G3493" s="78"/>
      <c r="H3493" s="799">
        <f>SUM(H3491:H3492)</f>
        <v>195585.5</v>
      </c>
      <c r="I3493" s="369"/>
      <c r="J3493" s="44"/>
      <c r="K3493" s="44"/>
    </row>
    <row r="3494" spans="3:15" ht="21" customHeight="1"/>
    <row r="3495" spans="3:15" s="59" customFormat="1" ht="21" customHeight="1">
      <c r="C3495" s="147" t="s">
        <v>5413</v>
      </c>
      <c r="D3495" s="794" t="s">
        <v>4187</v>
      </c>
      <c r="E3495" s="795"/>
      <c r="F3495" s="795"/>
      <c r="G3495" s="795"/>
      <c r="H3495" s="795"/>
      <c r="I3495" s="50">
        <f>ROUNDDOWN(H3510,-2)</f>
        <v>254300</v>
      </c>
      <c r="J3495" s="50"/>
      <c r="K3495" s="50"/>
    </row>
    <row r="3496" spans="3:15" s="59" customFormat="1" ht="21" customHeight="1">
      <c r="C3496" s="591" t="s">
        <v>1195</v>
      </c>
      <c r="D3496" s="591" t="s">
        <v>1196</v>
      </c>
      <c r="E3496" s="591" t="s">
        <v>1197</v>
      </c>
      <c r="F3496" s="591" t="s">
        <v>1198</v>
      </c>
      <c r="G3496" s="591" t="s">
        <v>1199</v>
      </c>
      <c r="H3496" s="591" t="s">
        <v>1200</v>
      </c>
      <c r="I3496" s="44"/>
      <c r="J3496" s="44"/>
      <c r="K3496" s="44"/>
    </row>
    <row r="3497" spans="3:15" s="59" customFormat="1" ht="21" customHeight="1">
      <c r="C3497" s="61" t="s">
        <v>1201</v>
      </c>
      <c r="D3497" s="56" t="s">
        <v>1202</v>
      </c>
      <c r="E3497" s="57"/>
      <c r="F3497" s="57"/>
      <c r="G3497" s="57"/>
      <c r="H3497" s="57"/>
      <c r="I3497" s="44"/>
      <c r="J3497" s="44"/>
      <c r="K3497" s="44"/>
      <c r="L3497" s="152" t="s">
        <v>1247</v>
      </c>
    </row>
    <row r="3498" spans="3:15" s="59" customFormat="1" ht="21" customHeight="1">
      <c r="C3498" s="588">
        <v>1</v>
      </c>
      <c r="D3498" s="56" t="s">
        <v>5</v>
      </c>
      <c r="E3498" s="577" t="s">
        <v>6</v>
      </c>
      <c r="F3498" s="62">
        <v>0.20699999999999999</v>
      </c>
      <c r="G3498" s="63">
        <f>VLOOKUP(D3498,upahbahan,3,FALSE)</f>
        <v>100000</v>
      </c>
      <c r="H3498" s="63">
        <f>F3498*G3498</f>
        <v>20700</v>
      </c>
      <c r="I3498" s="44"/>
      <c r="J3498" s="44"/>
      <c r="K3498" s="44"/>
      <c r="L3498" s="152" t="s">
        <v>1248</v>
      </c>
      <c r="O3498" s="65">
        <v>0.1</v>
      </c>
    </row>
    <row r="3499" spans="3:15" s="59" customFormat="1" ht="21" customHeight="1">
      <c r="C3499" s="588">
        <v>2</v>
      </c>
      <c r="D3499" s="56" t="s">
        <v>10</v>
      </c>
      <c r="E3499" s="577" t="s">
        <v>6</v>
      </c>
      <c r="F3499" s="62">
        <v>0.34599999999999997</v>
      </c>
      <c r="G3499" s="63">
        <f>VLOOKUP(D3499,upahbahan,3,FALSE)</f>
        <v>135000</v>
      </c>
      <c r="H3499" s="63">
        <f>F3499*G3499</f>
        <v>46710</v>
      </c>
      <c r="I3499" s="44"/>
      <c r="J3499" s="44"/>
      <c r="K3499" s="44"/>
    </row>
    <row r="3500" spans="3:15" s="59" customFormat="1" ht="21" customHeight="1">
      <c r="C3500" s="588">
        <v>3</v>
      </c>
      <c r="D3500" s="56" t="s">
        <v>18</v>
      </c>
      <c r="E3500" s="577" t="s">
        <v>6</v>
      </c>
      <c r="F3500" s="62">
        <v>3.5000000000000003E-2</v>
      </c>
      <c r="G3500" s="63">
        <f>VLOOKUP(D3500,upahbahan,3,FALSE)</f>
        <v>150000</v>
      </c>
      <c r="H3500" s="63">
        <f>F3500*G3500</f>
        <v>5250.0000000000009</v>
      </c>
      <c r="I3500" s="44"/>
      <c r="J3500" s="44"/>
      <c r="K3500" s="44"/>
    </row>
    <row r="3501" spans="3:15" s="59" customFormat="1" ht="21" customHeight="1">
      <c r="C3501" s="588">
        <v>4</v>
      </c>
      <c r="D3501" s="56" t="s">
        <v>19</v>
      </c>
      <c r="E3501" s="577" t="s">
        <v>6</v>
      </c>
      <c r="F3501" s="62">
        <v>0.01</v>
      </c>
      <c r="G3501" s="63">
        <f>VLOOKUP(D3501,upahbahan,3,FALSE)</f>
        <v>160000</v>
      </c>
      <c r="H3501" s="63">
        <f>F3501*G3501</f>
        <v>1600</v>
      </c>
      <c r="I3501" s="44"/>
      <c r="J3501" s="44"/>
      <c r="K3501" s="44"/>
    </row>
    <row r="3502" spans="3:15" s="59" customFormat="1" ht="21" customHeight="1">
      <c r="C3502" s="450" t="s">
        <v>1208</v>
      </c>
      <c r="D3502" s="67"/>
      <c r="E3502" s="67"/>
      <c r="F3502" s="142"/>
      <c r="G3502" s="153"/>
      <c r="H3502" s="63">
        <f>SUM(H3498:H3501)</f>
        <v>74260</v>
      </c>
      <c r="I3502" s="154"/>
      <c r="J3502" s="154"/>
      <c r="K3502" s="154"/>
    </row>
    <row r="3503" spans="3:15" s="59" customFormat="1" ht="21" customHeight="1">
      <c r="C3503" s="61" t="s">
        <v>1209</v>
      </c>
      <c r="D3503" s="56" t="s">
        <v>1210</v>
      </c>
      <c r="E3503" s="57"/>
      <c r="F3503" s="57"/>
      <c r="G3503" s="57"/>
      <c r="H3503" s="57"/>
      <c r="I3503" s="44"/>
      <c r="J3503" s="44"/>
      <c r="K3503" s="44"/>
    </row>
    <row r="3504" spans="3:15" s="59" customFormat="1" ht="21" customHeight="1">
      <c r="C3504" s="61">
        <v>1</v>
      </c>
      <c r="D3504" s="56" t="s">
        <v>4177</v>
      </c>
      <c r="E3504" s="93" t="s">
        <v>135</v>
      </c>
      <c r="F3504" s="104">
        <v>1.1499999999999999</v>
      </c>
      <c r="G3504" s="63">
        <f>VLOOKUP(D3504,upahbahan,3,FALSE)</f>
        <v>136500</v>
      </c>
      <c r="H3504" s="586">
        <f>G3504*F3504</f>
        <v>156975</v>
      </c>
      <c r="I3504" s="44"/>
      <c r="J3504" s="44"/>
      <c r="K3504" s="44"/>
    </row>
    <row r="3505" spans="3:15" s="59" customFormat="1" ht="21" customHeight="1">
      <c r="C3505" s="450" t="s">
        <v>1214</v>
      </c>
      <c r="D3505" s="67"/>
      <c r="E3505" s="67"/>
      <c r="F3505" s="67"/>
      <c r="G3505" s="69"/>
      <c r="H3505" s="63">
        <f>SUM(H3504:H3504)</f>
        <v>156975</v>
      </c>
      <c r="I3505" s="44"/>
      <c r="J3505" s="44"/>
      <c r="K3505" s="44"/>
    </row>
    <row r="3506" spans="3:15" s="59" customFormat="1" ht="21" customHeight="1">
      <c r="C3506" s="61" t="s">
        <v>1215</v>
      </c>
      <c r="D3506" s="56" t="s">
        <v>1216</v>
      </c>
      <c r="E3506" s="57"/>
      <c r="F3506" s="57"/>
      <c r="G3506" s="57"/>
      <c r="H3506" s="57"/>
      <c r="I3506" s="44"/>
      <c r="J3506" s="44"/>
      <c r="K3506" s="44"/>
    </row>
    <row r="3507" spans="3:15" s="59" customFormat="1" ht="21" customHeight="1">
      <c r="C3507" s="450" t="s">
        <v>1217</v>
      </c>
      <c r="D3507" s="67"/>
      <c r="E3507" s="67"/>
      <c r="F3507" s="67"/>
      <c r="G3507" s="69"/>
      <c r="H3507" s="589">
        <v>0</v>
      </c>
      <c r="I3507" s="44"/>
      <c r="J3507" s="44"/>
      <c r="K3507" s="44"/>
    </row>
    <row r="3508" spans="3:15" s="59" customFormat="1" ht="21" customHeight="1">
      <c r="C3508" s="288" t="s">
        <v>1218</v>
      </c>
      <c r="D3508" s="76" t="s">
        <v>1219</v>
      </c>
      <c r="E3508" s="77"/>
      <c r="F3508" s="77"/>
      <c r="G3508" s="78"/>
      <c r="H3508" s="585">
        <f>H3507+H3505+H3502</f>
        <v>231235</v>
      </c>
      <c r="I3508" s="369"/>
      <c r="J3508" s="44"/>
      <c r="K3508" s="44"/>
    </row>
    <row r="3509" spans="3:15" s="59" customFormat="1" ht="21" customHeight="1">
      <c r="C3509" s="288" t="s">
        <v>1220</v>
      </c>
      <c r="D3509" s="76" t="s">
        <v>1321</v>
      </c>
      <c r="E3509" s="77"/>
      <c r="F3509" s="78"/>
      <c r="G3509" s="80">
        <v>0.1</v>
      </c>
      <c r="H3509" s="63">
        <f>H3508*G3509</f>
        <v>23123.5</v>
      </c>
      <c r="I3509" s="369"/>
      <c r="J3509" s="44"/>
      <c r="K3509" s="44"/>
    </row>
    <row r="3510" spans="3:15" s="59" customFormat="1" ht="21" customHeight="1">
      <c r="C3510" s="288" t="s">
        <v>1221</v>
      </c>
      <c r="D3510" s="76" t="s">
        <v>1222</v>
      </c>
      <c r="E3510" s="77"/>
      <c r="F3510" s="77"/>
      <c r="G3510" s="78"/>
      <c r="H3510" s="799">
        <f>SUM(H3508:H3509)</f>
        <v>254358.5</v>
      </c>
      <c r="I3510" s="369"/>
      <c r="J3510" s="44"/>
      <c r="K3510" s="44"/>
    </row>
    <row r="3511" spans="3:15" ht="21" customHeight="1"/>
    <row r="3512" spans="3:15" s="59" customFormat="1" ht="21" customHeight="1">
      <c r="C3512" s="147" t="s">
        <v>5414</v>
      </c>
      <c r="D3512" s="794" t="s">
        <v>4188</v>
      </c>
      <c r="E3512" s="795"/>
      <c r="F3512" s="795"/>
      <c r="G3512" s="795"/>
      <c r="H3512" s="795"/>
      <c r="I3512" s="50">
        <f>ROUNDDOWN(H3527,-2)</f>
        <v>302000</v>
      </c>
      <c r="J3512" s="50"/>
      <c r="K3512" s="50"/>
    </row>
    <row r="3513" spans="3:15" s="59" customFormat="1" ht="21" customHeight="1">
      <c r="C3513" s="591" t="s">
        <v>1195</v>
      </c>
      <c r="D3513" s="591" t="s">
        <v>1196</v>
      </c>
      <c r="E3513" s="591" t="s">
        <v>1197</v>
      </c>
      <c r="F3513" s="591" t="s">
        <v>1198</v>
      </c>
      <c r="G3513" s="591" t="s">
        <v>1199</v>
      </c>
      <c r="H3513" s="591" t="s">
        <v>1200</v>
      </c>
      <c r="I3513" s="44"/>
      <c r="J3513" s="44"/>
      <c r="K3513" s="44"/>
    </row>
    <row r="3514" spans="3:15" s="59" customFormat="1" ht="21" customHeight="1">
      <c r="C3514" s="61" t="s">
        <v>1201</v>
      </c>
      <c r="D3514" s="56" t="s">
        <v>1202</v>
      </c>
      <c r="E3514" s="57"/>
      <c r="F3514" s="57"/>
      <c r="G3514" s="57"/>
      <c r="H3514" s="57"/>
      <c r="I3514" s="44"/>
      <c r="J3514" s="44"/>
      <c r="K3514" s="44"/>
      <c r="L3514" s="152" t="s">
        <v>1247</v>
      </c>
    </row>
    <row r="3515" spans="3:15" s="59" customFormat="1" ht="21" customHeight="1">
      <c r="C3515" s="588">
        <v>1</v>
      </c>
      <c r="D3515" s="56" t="s">
        <v>5</v>
      </c>
      <c r="E3515" s="577" t="s">
        <v>6</v>
      </c>
      <c r="F3515" s="62">
        <v>0.26</v>
      </c>
      <c r="G3515" s="63">
        <f>VLOOKUP(D3515,upahbahan,3,FALSE)</f>
        <v>100000</v>
      </c>
      <c r="H3515" s="63">
        <f>F3515*G3515</f>
        <v>26000</v>
      </c>
      <c r="I3515" s="44"/>
      <c r="J3515" s="44"/>
      <c r="K3515" s="44"/>
      <c r="L3515" s="152" t="s">
        <v>1248</v>
      </c>
      <c r="O3515" s="65">
        <v>0.1</v>
      </c>
    </row>
    <row r="3516" spans="3:15" s="59" customFormat="1" ht="21" customHeight="1">
      <c r="C3516" s="588">
        <v>2</v>
      </c>
      <c r="D3516" s="56" t="s">
        <v>10</v>
      </c>
      <c r="E3516" s="577" t="s">
        <v>6</v>
      </c>
      <c r="F3516" s="62">
        <v>0.433</v>
      </c>
      <c r="G3516" s="63">
        <f>VLOOKUP(D3516,upahbahan,3,FALSE)</f>
        <v>135000</v>
      </c>
      <c r="H3516" s="63">
        <f>F3516*G3516</f>
        <v>58455</v>
      </c>
      <c r="I3516" s="44"/>
      <c r="J3516" s="44"/>
      <c r="K3516" s="44"/>
    </row>
    <row r="3517" spans="3:15" s="59" customFormat="1" ht="21" customHeight="1">
      <c r="C3517" s="588">
        <v>3</v>
      </c>
      <c r="D3517" s="56" t="s">
        <v>18</v>
      </c>
      <c r="E3517" s="577" t="s">
        <v>6</v>
      </c>
      <c r="F3517" s="62">
        <v>4.2999999999999997E-2</v>
      </c>
      <c r="G3517" s="63">
        <f>VLOOKUP(D3517,upahbahan,3,FALSE)</f>
        <v>150000</v>
      </c>
      <c r="H3517" s="63">
        <f>F3517*G3517</f>
        <v>6449.9999999999991</v>
      </c>
      <c r="I3517" s="44"/>
      <c r="J3517" s="44"/>
      <c r="K3517" s="44"/>
    </row>
    <row r="3518" spans="3:15" s="59" customFormat="1" ht="21" customHeight="1">
      <c r="C3518" s="588">
        <v>4</v>
      </c>
      <c r="D3518" s="56" t="s">
        <v>19</v>
      </c>
      <c r="E3518" s="577" t="s">
        <v>6</v>
      </c>
      <c r="F3518" s="62">
        <v>1.2999999999999999E-2</v>
      </c>
      <c r="G3518" s="63">
        <f>VLOOKUP(D3518,upahbahan,3,FALSE)</f>
        <v>160000</v>
      </c>
      <c r="H3518" s="63">
        <f>F3518*G3518</f>
        <v>2080</v>
      </c>
      <c r="I3518" s="44"/>
      <c r="J3518" s="44"/>
      <c r="K3518" s="44"/>
    </row>
    <row r="3519" spans="3:15" s="59" customFormat="1" ht="21" customHeight="1">
      <c r="C3519" s="450" t="s">
        <v>1208</v>
      </c>
      <c r="D3519" s="67"/>
      <c r="E3519" s="67"/>
      <c r="F3519" s="142"/>
      <c r="G3519" s="153"/>
      <c r="H3519" s="63">
        <f>SUM(H3515:H3518)</f>
        <v>92985</v>
      </c>
      <c r="I3519" s="154"/>
      <c r="J3519" s="154"/>
      <c r="K3519" s="154"/>
    </row>
    <row r="3520" spans="3:15" s="59" customFormat="1" ht="21" customHeight="1">
      <c r="C3520" s="61" t="s">
        <v>1209</v>
      </c>
      <c r="D3520" s="56" t="s">
        <v>1210</v>
      </c>
      <c r="E3520" s="57"/>
      <c r="F3520" s="57"/>
      <c r="G3520" s="57"/>
      <c r="H3520" s="57"/>
      <c r="I3520" s="44"/>
      <c r="J3520" s="44"/>
      <c r="K3520" s="44"/>
    </row>
    <row r="3521" spans="3:15" s="59" customFormat="1" ht="21" customHeight="1">
      <c r="C3521" s="61">
        <v>1</v>
      </c>
      <c r="D3521" s="56" t="s">
        <v>4178</v>
      </c>
      <c r="E3521" s="93" t="s">
        <v>135</v>
      </c>
      <c r="F3521" s="104">
        <v>1.1499999999999999</v>
      </c>
      <c r="G3521" s="63">
        <f>VLOOKUP(D3521,upahbahan,3,FALSE)</f>
        <v>157900</v>
      </c>
      <c r="H3521" s="586">
        <f>G3521*F3521</f>
        <v>181585</v>
      </c>
      <c r="I3521" s="44"/>
      <c r="J3521" s="44"/>
      <c r="K3521" s="44"/>
    </row>
    <row r="3522" spans="3:15" s="59" customFormat="1" ht="21" customHeight="1">
      <c r="C3522" s="450" t="s">
        <v>1214</v>
      </c>
      <c r="D3522" s="67"/>
      <c r="E3522" s="67"/>
      <c r="F3522" s="67"/>
      <c r="G3522" s="69"/>
      <c r="H3522" s="63">
        <f>SUM(H3521:H3521)</f>
        <v>181585</v>
      </c>
      <c r="I3522" s="44"/>
      <c r="J3522" s="44"/>
      <c r="K3522" s="44"/>
    </row>
    <row r="3523" spans="3:15" s="59" customFormat="1" ht="21" customHeight="1">
      <c r="C3523" s="61" t="s">
        <v>1215</v>
      </c>
      <c r="D3523" s="56" t="s">
        <v>1216</v>
      </c>
      <c r="E3523" s="57"/>
      <c r="F3523" s="57"/>
      <c r="G3523" s="57"/>
      <c r="H3523" s="57"/>
      <c r="I3523" s="44"/>
      <c r="J3523" s="44"/>
      <c r="K3523" s="44"/>
    </row>
    <row r="3524" spans="3:15" s="59" customFormat="1" ht="21" customHeight="1">
      <c r="C3524" s="450" t="s">
        <v>1217</v>
      </c>
      <c r="D3524" s="67"/>
      <c r="E3524" s="67"/>
      <c r="F3524" s="67"/>
      <c r="G3524" s="69"/>
      <c r="H3524" s="589">
        <v>0</v>
      </c>
      <c r="I3524" s="44"/>
      <c r="J3524" s="44"/>
      <c r="K3524" s="44"/>
    </row>
    <row r="3525" spans="3:15" s="59" customFormat="1" ht="21" customHeight="1">
      <c r="C3525" s="288" t="s">
        <v>1218</v>
      </c>
      <c r="D3525" s="76" t="s">
        <v>1219</v>
      </c>
      <c r="E3525" s="77"/>
      <c r="F3525" s="77"/>
      <c r="G3525" s="78"/>
      <c r="H3525" s="585">
        <f>H3524+H3522+H3519</f>
        <v>274570</v>
      </c>
      <c r="I3525" s="369"/>
      <c r="J3525" s="44"/>
      <c r="K3525" s="44"/>
    </row>
    <row r="3526" spans="3:15" s="59" customFormat="1" ht="21" customHeight="1">
      <c r="C3526" s="288" t="s">
        <v>1220</v>
      </c>
      <c r="D3526" s="76" t="s">
        <v>1321</v>
      </c>
      <c r="E3526" s="77"/>
      <c r="F3526" s="78"/>
      <c r="G3526" s="80">
        <v>0.1</v>
      </c>
      <c r="H3526" s="63">
        <f>H3525*G3526</f>
        <v>27457</v>
      </c>
      <c r="I3526" s="369"/>
      <c r="J3526" s="44"/>
      <c r="K3526" s="44"/>
    </row>
    <row r="3527" spans="3:15" s="59" customFormat="1" ht="21" customHeight="1">
      <c r="C3527" s="288" t="s">
        <v>1221</v>
      </c>
      <c r="D3527" s="76" t="s">
        <v>1222</v>
      </c>
      <c r="E3527" s="77"/>
      <c r="F3527" s="77"/>
      <c r="G3527" s="78"/>
      <c r="H3527" s="799">
        <f>SUM(H3525:H3526)</f>
        <v>302027</v>
      </c>
      <c r="I3527" s="369"/>
      <c r="J3527" s="44"/>
      <c r="K3527" s="44"/>
    </row>
    <row r="3528" spans="3:15" ht="21" customHeight="1"/>
    <row r="3529" spans="3:15" s="59" customFormat="1" ht="21" customHeight="1">
      <c r="C3529" s="147" t="s">
        <v>5415</v>
      </c>
      <c r="D3529" s="794" t="s">
        <v>4189</v>
      </c>
      <c r="E3529" s="795"/>
      <c r="F3529" s="795"/>
      <c r="G3529" s="795"/>
      <c r="H3529" s="795"/>
      <c r="I3529" s="50">
        <f>ROUNDDOWN(H3544,-2)</f>
        <v>422400</v>
      </c>
      <c r="J3529" s="50"/>
      <c r="K3529" s="50"/>
    </row>
    <row r="3530" spans="3:15" s="59" customFormat="1" ht="21" customHeight="1">
      <c r="C3530" s="591" t="s">
        <v>1195</v>
      </c>
      <c r="D3530" s="591" t="s">
        <v>1196</v>
      </c>
      <c r="E3530" s="591" t="s">
        <v>1197</v>
      </c>
      <c r="F3530" s="591" t="s">
        <v>1198</v>
      </c>
      <c r="G3530" s="591" t="s">
        <v>1199</v>
      </c>
      <c r="H3530" s="591" t="s">
        <v>1200</v>
      </c>
      <c r="I3530" s="44"/>
      <c r="J3530" s="44"/>
      <c r="K3530" s="44"/>
    </row>
    <row r="3531" spans="3:15" s="59" customFormat="1" ht="21" customHeight="1">
      <c r="C3531" s="61" t="s">
        <v>1201</v>
      </c>
      <c r="D3531" s="56" t="s">
        <v>1202</v>
      </c>
      <c r="E3531" s="57"/>
      <c r="F3531" s="57"/>
      <c r="G3531" s="57"/>
      <c r="H3531" s="57"/>
      <c r="I3531" s="44"/>
      <c r="J3531" s="44"/>
      <c r="K3531" s="44"/>
      <c r="L3531" s="152" t="s">
        <v>1247</v>
      </c>
    </row>
    <row r="3532" spans="3:15" s="59" customFormat="1" ht="21" customHeight="1">
      <c r="C3532" s="588">
        <v>1</v>
      </c>
      <c r="D3532" s="56" t="s">
        <v>5</v>
      </c>
      <c r="E3532" s="577" t="s">
        <v>6</v>
      </c>
      <c r="F3532" s="62">
        <v>0.47099999999999997</v>
      </c>
      <c r="G3532" s="63">
        <f>VLOOKUP(D3532,upahbahan,3,FALSE)</f>
        <v>100000</v>
      </c>
      <c r="H3532" s="63">
        <f>F3532*G3532</f>
        <v>47100</v>
      </c>
      <c r="I3532" s="44"/>
      <c r="J3532" s="44"/>
      <c r="K3532" s="44"/>
      <c r="L3532" s="152" t="s">
        <v>1248</v>
      </c>
      <c r="O3532" s="65">
        <v>0.1</v>
      </c>
    </row>
    <row r="3533" spans="3:15" s="59" customFormat="1" ht="21" customHeight="1">
      <c r="C3533" s="588">
        <v>2</v>
      </c>
      <c r="D3533" s="56" t="s">
        <v>10</v>
      </c>
      <c r="E3533" s="577" t="s">
        <v>6</v>
      </c>
      <c r="F3533" s="62">
        <v>0.78700000000000003</v>
      </c>
      <c r="G3533" s="63">
        <f>VLOOKUP(D3533,upahbahan,3,FALSE)</f>
        <v>135000</v>
      </c>
      <c r="H3533" s="63">
        <f>F3533*G3533</f>
        <v>106245</v>
      </c>
      <c r="I3533" s="44"/>
      <c r="J3533" s="44"/>
      <c r="K3533" s="44"/>
    </row>
    <row r="3534" spans="3:15" s="59" customFormat="1" ht="21" customHeight="1">
      <c r="C3534" s="588">
        <v>3</v>
      </c>
      <c r="D3534" s="56" t="s">
        <v>18</v>
      </c>
      <c r="E3534" s="577" t="s">
        <v>6</v>
      </c>
      <c r="F3534" s="62">
        <v>7.9000000000000001E-2</v>
      </c>
      <c r="G3534" s="63">
        <f>VLOOKUP(D3534,upahbahan,3,FALSE)</f>
        <v>150000</v>
      </c>
      <c r="H3534" s="63">
        <f>F3534*G3534</f>
        <v>11850</v>
      </c>
      <c r="I3534" s="44"/>
      <c r="J3534" s="44"/>
      <c r="K3534" s="44"/>
    </row>
    <row r="3535" spans="3:15" s="59" customFormat="1" ht="21" customHeight="1">
      <c r="C3535" s="588">
        <v>4</v>
      </c>
      <c r="D3535" s="56" t="s">
        <v>19</v>
      </c>
      <c r="E3535" s="577" t="s">
        <v>6</v>
      </c>
      <c r="F3535" s="62">
        <v>2.4E-2</v>
      </c>
      <c r="G3535" s="63">
        <f>VLOOKUP(D3535,upahbahan,3,FALSE)</f>
        <v>160000</v>
      </c>
      <c r="H3535" s="63">
        <f>F3535*G3535</f>
        <v>3840</v>
      </c>
      <c r="I3535" s="44"/>
      <c r="J3535" s="44"/>
      <c r="K3535" s="44"/>
    </row>
    <row r="3536" spans="3:15" s="59" customFormat="1" ht="21" customHeight="1">
      <c r="C3536" s="450" t="s">
        <v>1208</v>
      </c>
      <c r="D3536" s="67"/>
      <c r="E3536" s="67"/>
      <c r="F3536" s="142"/>
      <c r="G3536" s="153"/>
      <c r="H3536" s="63">
        <f>SUM(H3532:H3535)</f>
        <v>169035</v>
      </c>
      <c r="I3536" s="154"/>
      <c r="J3536" s="154"/>
      <c r="K3536" s="154"/>
    </row>
    <row r="3537" spans="3:15" s="59" customFormat="1" ht="21" customHeight="1">
      <c r="C3537" s="61" t="s">
        <v>1209</v>
      </c>
      <c r="D3537" s="56" t="s">
        <v>1210</v>
      </c>
      <c r="E3537" s="57"/>
      <c r="F3537" s="57"/>
      <c r="G3537" s="57"/>
      <c r="H3537" s="57"/>
      <c r="I3537" s="44"/>
      <c r="J3537" s="44"/>
      <c r="K3537" s="44"/>
    </row>
    <row r="3538" spans="3:15" s="59" customFormat="1" ht="21" customHeight="1">
      <c r="C3538" s="61">
        <v>1</v>
      </c>
      <c r="D3538" s="56" t="s">
        <v>4179</v>
      </c>
      <c r="E3538" s="93" t="s">
        <v>135</v>
      </c>
      <c r="F3538" s="104">
        <v>1.3</v>
      </c>
      <c r="G3538" s="63">
        <f>VLOOKUP(D3538,upahbahan,3,FALSE)</f>
        <v>165400</v>
      </c>
      <c r="H3538" s="586">
        <f>G3538*F3538</f>
        <v>215020</v>
      </c>
      <c r="I3538" s="44"/>
      <c r="J3538" s="44"/>
      <c r="K3538" s="44"/>
    </row>
    <row r="3539" spans="3:15" s="59" customFormat="1" ht="21" customHeight="1">
      <c r="C3539" s="450" t="s">
        <v>1214</v>
      </c>
      <c r="D3539" s="67"/>
      <c r="E3539" s="67"/>
      <c r="F3539" s="67"/>
      <c r="G3539" s="69"/>
      <c r="H3539" s="63">
        <f>SUM(H3538:H3538)</f>
        <v>215020</v>
      </c>
      <c r="I3539" s="44"/>
      <c r="J3539" s="44"/>
      <c r="K3539" s="44"/>
    </row>
    <row r="3540" spans="3:15" s="59" customFormat="1" ht="21" customHeight="1">
      <c r="C3540" s="61" t="s">
        <v>1215</v>
      </c>
      <c r="D3540" s="56" t="s">
        <v>1216</v>
      </c>
      <c r="E3540" s="57"/>
      <c r="F3540" s="57"/>
      <c r="G3540" s="57"/>
      <c r="H3540" s="57"/>
      <c r="I3540" s="44"/>
      <c r="J3540" s="44"/>
      <c r="K3540" s="44"/>
    </row>
    <row r="3541" spans="3:15" s="59" customFormat="1" ht="21" customHeight="1">
      <c r="C3541" s="450" t="s">
        <v>1217</v>
      </c>
      <c r="D3541" s="67"/>
      <c r="E3541" s="67"/>
      <c r="F3541" s="67"/>
      <c r="G3541" s="69"/>
      <c r="H3541" s="589">
        <v>0</v>
      </c>
      <c r="I3541" s="44"/>
      <c r="J3541" s="44"/>
      <c r="K3541" s="44"/>
    </row>
    <row r="3542" spans="3:15" s="59" customFormat="1" ht="21" customHeight="1">
      <c r="C3542" s="288" t="s">
        <v>1218</v>
      </c>
      <c r="D3542" s="76" t="s">
        <v>1219</v>
      </c>
      <c r="E3542" s="77"/>
      <c r="F3542" s="77"/>
      <c r="G3542" s="78"/>
      <c r="H3542" s="585">
        <f>H3541+H3539+H3536</f>
        <v>384055</v>
      </c>
      <c r="I3542" s="369"/>
      <c r="J3542" s="44"/>
      <c r="K3542" s="44"/>
    </row>
    <row r="3543" spans="3:15" s="59" customFormat="1" ht="21" customHeight="1">
      <c r="C3543" s="288" t="s">
        <v>1220</v>
      </c>
      <c r="D3543" s="76" t="s">
        <v>1321</v>
      </c>
      <c r="E3543" s="77"/>
      <c r="F3543" s="78"/>
      <c r="G3543" s="80">
        <v>0.1</v>
      </c>
      <c r="H3543" s="63">
        <f>H3542*G3543</f>
        <v>38405.5</v>
      </c>
      <c r="I3543" s="369"/>
      <c r="J3543" s="44"/>
      <c r="K3543" s="44"/>
    </row>
    <row r="3544" spans="3:15" s="59" customFormat="1" ht="21" customHeight="1">
      <c r="C3544" s="288" t="s">
        <v>1221</v>
      </c>
      <c r="D3544" s="76" t="s">
        <v>1222</v>
      </c>
      <c r="E3544" s="77"/>
      <c r="F3544" s="77"/>
      <c r="G3544" s="78"/>
      <c r="H3544" s="799">
        <f>SUM(H3542:H3543)</f>
        <v>422460.5</v>
      </c>
      <c r="I3544" s="369"/>
      <c r="J3544" s="44"/>
      <c r="K3544" s="44"/>
    </row>
    <row r="3545" spans="3:15" ht="21" customHeight="1"/>
    <row r="3546" spans="3:15" s="59" customFormat="1" ht="21" customHeight="1">
      <c r="C3546" s="147" t="s">
        <v>5416</v>
      </c>
      <c r="D3546" s="794" t="s">
        <v>4190</v>
      </c>
      <c r="E3546" s="795"/>
      <c r="F3546" s="795"/>
      <c r="G3546" s="795"/>
      <c r="H3546" s="795"/>
      <c r="I3546" s="50">
        <f>ROUNDDOWN(H3561,-2)</f>
        <v>763600</v>
      </c>
      <c r="J3546" s="50"/>
      <c r="K3546" s="50"/>
    </row>
    <row r="3547" spans="3:15" s="59" customFormat="1" ht="21" customHeight="1">
      <c r="C3547" s="591" t="s">
        <v>1195</v>
      </c>
      <c r="D3547" s="591" t="s">
        <v>1196</v>
      </c>
      <c r="E3547" s="591" t="s">
        <v>1197</v>
      </c>
      <c r="F3547" s="591" t="s">
        <v>1198</v>
      </c>
      <c r="G3547" s="591" t="s">
        <v>1199</v>
      </c>
      <c r="H3547" s="591" t="s">
        <v>1200</v>
      </c>
      <c r="I3547" s="44"/>
      <c r="J3547" s="44"/>
      <c r="K3547" s="44"/>
    </row>
    <row r="3548" spans="3:15" s="59" customFormat="1" ht="21" customHeight="1">
      <c r="C3548" s="61" t="s">
        <v>1201</v>
      </c>
      <c r="D3548" s="56" t="s">
        <v>1202</v>
      </c>
      <c r="E3548" s="57"/>
      <c r="F3548" s="57"/>
      <c r="G3548" s="57"/>
      <c r="H3548" s="57"/>
      <c r="I3548" s="44"/>
      <c r="J3548" s="44"/>
      <c r="K3548" s="44"/>
      <c r="L3548" s="152" t="s">
        <v>1247</v>
      </c>
    </row>
    <row r="3549" spans="3:15" s="59" customFormat="1" ht="21" customHeight="1">
      <c r="C3549" s="588">
        <v>1</v>
      </c>
      <c r="D3549" s="56" t="s">
        <v>5</v>
      </c>
      <c r="E3549" s="577" t="s">
        <v>6</v>
      </c>
      <c r="F3549" s="62">
        <v>0.63100000000000001</v>
      </c>
      <c r="G3549" s="63">
        <f>VLOOKUP(D3549,upahbahan,3,FALSE)</f>
        <v>100000</v>
      </c>
      <c r="H3549" s="63">
        <f>F3549*G3549</f>
        <v>63100</v>
      </c>
      <c r="I3549" s="44"/>
      <c r="J3549" s="44"/>
      <c r="K3549" s="44"/>
      <c r="L3549" s="152" t="s">
        <v>1248</v>
      </c>
      <c r="O3549" s="65">
        <v>0.1</v>
      </c>
    </row>
    <row r="3550" spans="3:15" s="59" customFormat="1" ht="21" customHeight="1">
      <c r="C3550" s="588">
        <v>2</v>
      </c>
      <c r="D3550" s="56" t="s">
        <v>10</v>
      </c>
      <c r="E3550" s="577" t="s">
        <v>6</v>
      </c>
      <c r="F3550" s="62">
        <v>1.054</v>
      </c>
      <c r="G3550" s="63">
        <f>VLOOKUP(D3550,upahbahan,3,FALSE)</f>
        <v>135000</v>
      </c>
      <c r="H3550" s="63">
        <f>F3550*G3550</f>
        <v>142290</v>
      </c>
      <c r="I3550" s="44"/>
      <c r="J3550" s="44"/>
      <c r="K3550" s="44"/>
    </row>
    <row r="3551" spans="3:15" s="59" customFormat="1" ht="21" customHeight="1">
      <c r="C3551" s="588">
        <v>3</v>
      </c>
      <c r="D3551" s="56" t="s">
        <v>18</v>
      </c>
      <c r="E3551" s="577" t="s">
        <v>6</v>
      </c>
      <c r="F3551" s="62">
        <v>0.105</v>
      </c>
      <c r="G3551" s="63">
        <f>VLOOKUP(D3551,upahbahan,3,FALSE)</f>
        <v>150000</v>
      </c>
      <c r="H3551" s="63">
        <f>F3551*G3551</f>
        <v>15750</v>
      </c>
      <c r="I3551" s="44"/>
      <c r="J3551" s="44"/>
      <c r="K3551" s="44"/>
    </row>
    <row r="3552" spans="3:15" s="59" customFormat="1" ht="21" customHeight="1">
      <c r="C3552" s="588">
        <v>4</v>
      </c>
      <c r="D3552" s="56" t="s">
        <v>19</v>
      </c>
      <c r="E3552" s="577" t="s">
        <v>6</v>
      </c>
      <c r="F3552" s="62">
        <v>3.2000000000000001E-2</v>
      </c>
      <c r="G3552" s="63">
        <f>VLOOKUP(D3552,upahbahan,3,FALSE)</f>
        <v>160000</v>
      </c>
      <c r="H3552" s="63">
        <f>F3552*G3552</f>
        <v>5120</v>
      </c>
      <c r="I3552" s="44"/>
      <c r="J3552" s="44"/>
      <c r="K3552" s="44"/>
    </row>
    <row r="3553" spans="3:15" s="59" customFormat="1" ht="21" customHeight="1">
      <c r="C3553" s="450" t="s">
        <v>1208</v>
      </c>
      <c r="D3553" s="67"/>
      <c r="E3553" s="67"/>
      <c r="F3553" s="142"/>
      <c r="G3553" s="153"/>
      <c r="H3553" s="63">
        <f>SUM(H3549:H3552)</f>
        <v>226260</v>
      </c>
      <c r="I3553" s="154"/>
      <c r="J3553" s="154"/>
      <c r="K3553" s="154"/>
    </row>
    <row r="3554" spans="3:15" s="59" customFormat="1" ht="21" customHeight="1">
      <c r="C3554" s="61" t="s">
        <v>1209</v>
      </c>
      <c r="D3554" s="56" t="s">
        <v>1210</v>
      </c>
      <c r="E3554" s="57"/>
      <c r="F3554" s="57"/>
      <c r="G3554" s="57"/>
      <c r="H3554" s="57"/>
      <c r="I3554" s="44"/>
      <c r="J3554" s="44"/>
      <c r="K3554" s="44"/>
    </row>
    <row r="3555" spans="3:15" s="59" customFormat="1" ht="21" customHeight="1">
      <c r="C3555" s="61">
        <v>1</v>
      </c>
      <c r="D3555" s="56" t="s">
        <v>4180</v>
      </c>
      <c r="E3555" s="93" t="s">
        <v>135</v>
      </c>
      <c r="F3555" s="104">
        <v>1.3</v>
      </c>
      <c r="G3555" s="63">
        <f>VLOOKUP(D3555,upahbahan,3,FALSE)</f>
        <v>360000</v>
      </c>
      <c r="H3555" s="586">
        <f>G3555*F3555</f>
        <v>468000</v>
      </c>
      <c r="I3555" s="44"/>
      <c r="J3555" s="44"/>
      <c r="K3555" s="44"/>
    </row>
    <row r="3556" spans="3:15" s="59" customFormat="1" ht="21" customHeight="1">
      <c r="C3556" s="450" t="s">
        <v>1214</v>
      </c>
      <c r="D3556" s="67"/>
      <c r="E3556" s="67"/>
      <c r="F3556" s="67"/>
      <c r="G3556" s="69"/>
      <c r="H3556" s="63">
        <f>SUM(H3555:H3555)</f>
        <v>468000</v>
      </c>
      <c r="I3556" s="44"/>
      <c r="J3556" s="44"/>
      <c r="K3556" s="44"/>
    </row>
    <row r="3557" spans="3:15" s="59" customFormat="1" ht="21" customHeight="1">
      <c r="C3557" s="61" t="s">
        <v>1215</v>
      </c>
      <c r="D3557" s="56" t="s">
        <v>1216</v>
      </c>
      <c r="E3557" s="57"/>
      <c r="F3557" s="57"/>
      <c r="G3557" s="57"/>
      <c r="H3557" s="57"/>
      <c r="I3557" s="44"/>
      <c r="J3557" s="44"/>
      <c r="K3557" s="44"/>
    </row>
    <row r="3558" spans="3:15" s="59" customFormat="1" ht="21" customHeight="1">
      <c r="C3558" s="450" t="s">
        <v>1217</v>
      </c>
      <c r="D3558" s="67"/>
      <c r="E3558" s="67"/>
      <c r="F3558" s="67"/>
      <c r="G3558" s="69"/>
      <c r="H3558" s="589">
        <v>0</v>
      </c>
      <c r="I3558" s="44"/>
      <c r="J3558" s="44"/>
      <c r="K3558" s="44"/>
    </row>
    <row r="3559" spans="3:15" s="59" customFormat="1" ht="21" customHeight="1">
      <c r="C3559" s="288" t="s">
        <v>1218</v>
      </c>
      <c r="D3559" s="76" t="s">
        <v>1219</v>
      </c>
      <c r="E3559" s="77"/>
      <c r="F3559" s="77"/>
      <c r="G3559" s="78"/>
      <c r="H3559" s="585">
        <f>H3558+H3556+H3553</f>
        <v>694260</v>
      </c>
      <c r="I3559" s="369"/>
      <c r="J3559" s="44"/>
      <c r="K3559" s="44"/>
    </row>
    <row r="3560" spans="3:15" s="59" customFormat="1" ht="21" customHeight="1">
      <c r="C3560" s="288" t="s">
        <v>1220</v>
      </c>
      <c r="D3560" s="76" t="s">
        <v>1321</v>
      </c>
      <c r="E3560" s="77"/>
      <c r="F3560" s="78"/>
      <c r="G3560" s="80">
        <v>0.1</v>
      </c>
      <c r="H3560" s="63">
        <f>H3559*G3560</f>
        <v>69426</v>
      </c>
      <c r="I3560" s="369"/>
      <c r="J3560" s="44"/>
      <c r="K3560" s="44"/>
    </row>
    <row r="3561" spans="3:15" s="59" customFormat="1" ht="21" customHeight="1">
      <c r="C3561" s="288" t="s">
        <v>1221</v>
      </c>
      <c r="D3561" s="76" t="s">
        <v>1222</v>
      </c>
      <c r="E3561" s="77"/>
      <c r="F3561" s="77"/>
      <c r="G3561" s="78"/>
      <c r="H3561" s="799">
        <f>SUM(H3559:H3560)</f>
        <v>763686</v>
      </c>
      <c r="I3561" s="369"/>
      <c r="J3561" s="44"/>
      <c r="K3561" s="44"/>
    </row>
    <row r="3562" spans="3:15" ht="21" customHeight="1"/>
    <row r="3563" spans="3:15" s="59" customFormat="1" ht="21" customHeight="1">
      <c r="C3563" s="147" t="s">
        <v>5417</v>
      </c>
      <c r="D3563" s="794" t="s">
        <v>4191</v>
      </c>
      <c r="E3563" s="795"/>
      <c r="F3563" s="795"/>
      <c r="G3563" s="795"/>
      <c r="H3563" s="795"/>
      <c r="I3563" s="50">
        <f>ROUNDDOWN(H3578,-2)</f>
        <v>1370200</v>
      </c>
      <c r="J3563" s="50"/>
      <c r="K3563" s="50"/>
    </row>
    <row r="3564" spans="3:15" s="59" customFormat="1" ht="21" customHeight="1">
      <c r="C3564" s="591" t="s">
        <v>1195</v>
      </c>
      <c r="D3564" s="591" t="s">
        <v>1196</v>
      </c>
      <c r="E3564" s="591" t="s">
        <v>1197</v>
      </c>
      <c r="F3564" s="591" t="s">
        <v>1198</v>
      </c>
      <c r="G3564" s="591" t="s">
        <v>1199</v>
      </c>
      <c r="H3564" s="591" t="s">
        <v>1200</v>
      </c>
      <c r="I3564" s="44"/>
      <c r="J3564" s="44"/>
      <c r="K3564" s="44"/>
    </row>
    <row r="3565" spans="3:15" s="59" customFormat="1" ht="21" customHeight="1">
      <c r="C3565" s="61" t="s">
        <v>1201</v>
      </c>
      <c r="D3565" s="56" t="s">
        <v>1202</v>
      </c>
      <c r="E3565" s="57"/>
      <c r="F3565" s="57"/>
      <c r="G3565" s="57"/>
      <c r="H3565" s="57"/>
      <c r="I3565" s="44"/>
      <c r="J3565" s="44"/>
      <c r="K3565" s="44"/>
      <c r="L3565" s="152" t="s">
        <v>1247</v>
      </c>
    </row>
    <row r="3566" spans="3:15" s="59" customFormat="1" ht="21" customHeight="1">
      <c r="C3566" s="588">
        <v>1</v>
      </c>
      <c r="D3566" s="56" t="s">
        <v>5</v>
      </c>
      <c r="E3566" s="577" t="s">
        <v>6</v>
      </c>
      <c r="F3566" s="62">
        <v>0.78800000000000003</v>
      </c>
      <c r="G3566" s="63">
        <f>VLOOKUP(D3566,upahbahan,3,FALSE)</f>
        <v>100000</v>
      </c>
      <c r="H3566" s="63">
        <f>F3566*G3566</f>
        <v>78800</v>
      </c>
      <c r="I3566" s="44"/>
      <c r="J3566" s="44"/>
      <c r="K3566" s="44"/>
      <c r="L3566" s="152" t="s">
        <v>1248</v>
      </c>
      <c r="O3566" s="65">
        <v>0.1</v>
      </c>
    </row>
    <row r="3567" spans="3:15" s="59" customFormat="1" ht="21" customHeight="1">
      <c r="C3567" s="588">
        <v>2</v>
      </c>
      <c r="D3567" s="56" t="s">
        <v>10</v>
      </c>
      <c r="E3567" s="577" t="s">
        <v>6</v>
      </c>
      <c r="F3567" s="62">
        <v>1.3160000000000001</v>
      </c>
      <c r="G3567" s="63">
        <f>VLOOKUP(D3567,upahbahan,3,FALSE)</f>
        <v>135000</v>
      </c>
      <c r="H3567" s="63">
        <f>F3567*G3567</f>
        <v>177660</v>
      </c>
      <c r="I3567" s="44"/>
      <c r="J3567" s="44"/>
      <c r="K3567" s="44"/>
    </row>
    <row r="3568" spans="3:15" s="59" customFormat="1" ht="21" customHeight="1">
      <c r="C3568" s="588">
        <v>3</v>
      </c>
      <c r="D3568" s="56" t="s">
        <v>18</v>
      </c>
      <c r="E3568" s="577" t="s">
        <v>6</v>
      </c>
      <c r="F3568" s="62">
        <v>0.13200000000000001</v>
      </c>
      <c r="G3568" s="63">
        <f>VLOOKUP(D3568,upahbahan,3,FALSE)</f>
        <v>150000</v>
      </c>
      <c r="H3568" s="63">
        <f>F3568*G3568</f>
        <v>19800</v>
      </c>
      <c r="I3568" s="44"/>
      <c r="J3568" s="44"/>
      <c r="K3568" s="44"/>
    </row>
    <row r="3569" spans="3:15" s="59" customFormat="1" ht="21" customHeight="1">
      <c r="C3569" s="588">
        <v>4</v>
      </c>
      <c r="D3569" s="56" t="s">
        <v>19</v>
      </c>
      <c r="E3569" s="577" t="s">
        <v>6</v>
      </c>
      <c r="F3569" s="62">
        <v>3.9E-2</v>
      </c>
      <c r="G3569" s="63">
        <f>VLOOKUP(D3569,upahbahan,3,FALSE)</f>
        <v>160000</v>
      </c>
      <c r="H3569" s="63">
        <f>F3569*G3569</f>
        <v>6240</v>
      </c>
      <c r="I3569" s="44"/>
      <c r="J3569" s="44"/>
      <c r="K3569" s="44"/>
    </row>
    <row r="3570" spans="3:15" s="59" customFormat="1" ht="21" customHeight="1">
      <c r="C3570" s="450" t="s">
        <v>1208</v>
      </c>
      <c r="D3570" s="67"/>
      <c r="E3570" s="67"/>
      <c r="F3570" s="142"/>
      <c r="G3570" s="153"/>
      <c r="H3570" s="63">
        <f>SUM(H3566:H3569)</f>
        <v>282500</v>
      </c>
      <c r="I3570" s="154"/>
      <c r="J3570" s="154"/>
      <c r="K3570" s="154"/>
    </row>
    <row r="3571" spans="3:15" s="59" customFormat="1" ht="21" customHeight="1">
      <c r="C3571" s="61" t="s">
        <v>1209</v>
      </c>
      <c r="D3571" s="56" t="s">
        <v>1210</v>
      </c>
      <c r="E3571" s="57"/>
      <c r="F3571" s="57"/>
      <c r="G3571" s="57"/>
      <c r="H3571" s="57"/>
      <c r="I3571" s="44"/>
      <c r="J3571" s="44"/>
      <c r="K3571" s="44"/>
    </row>
    <row r="3572" spans="3:15" s="59" customFormat="1" ht="21" customHeight="1">
      <c r="C3572" s="61">
        <v>1</v>
      </c>
      <c r="D3572" s="56" t="s">
        <v>4181</v>
      </c>
      <c r="E3572" s="93" t="s">
        <v>135</v>
      </c>
      <c r="F3572" s="104">
        <v>1.3</v>
      </c>
      <c r="G3572" s="63">
        <f>VLOOKUP(D3572,upahbahan,3,FALSE)</f>
        <v>740900</v>
      </c>
      <c r="H3572" s="586">
        <f>G3572*F3572</f>
        <v>963170</v>
      </c>
      <c r="I3572" s="44"/>
      <c r="J3572" s="44"/>
      <c r="K3572" s="44"/>
    </row>
    <row r="3573" spans="3:15" s="59" customFormat="1" ht="21" customHeight="1">
      <c r="C3573" s="450" t="s">
        <v>1214</v>
      </c>
      <c r="D3573" s="67"/>
      <c r="E3573" s="67"/>
      <c r="F3573" s="67"/>
      <c r="G3573" s="69"/>
      <c r="H3573" s="63">
        <f>SUM(H3572:H3572)</f>
        <v>963170</v>
      </c>
      <c r="I3573" s="44"/>
      <c r="J3573" s="44"/>
      <c r="K3573" s="44"/>
    </row>
    <row r="3574" spans="3:15" s="59" customFormat="1" ht="21" customHeight="1">
      <c r="C3574" s="61" t="s">
        <v>1215</v>
      </c>
      <c r="D3574" s="56" t="s">
        <v>1216</v>
      </c>
      <c r="E3574" s="57"/>
      <c r="F3574" s="57"/>
      <c r="G3574" s="57"/>
      <c r="H3574" s="57"/>
      <c r="I3574" s="44"/>
      <c r="J3574" s="44"/>
      <c r="K3574" s="44"/>
    </row>
    <row r="3575" spans="3:15" s="59" customFormat="1" ht="21" customHeight="1">
      <c r="C3575" s="450" t="s">
        <v>1217</v>
      </c>
      <c r="D3575" s="67"/>
      <c r="E3575" s="67"/>
      <c r="F3575" s="67"/>
      <c r="G3575" s="69"/>
      <c r="H3575" s="589">
        <v>0</v>
      </c>
      <c r="I3575" s="44"/>
      <c r="J3575" s="44"/>
      <c r="K3575" s="44"/>
    </row>
    <row r="3576" spans="3:15" s="59" customFormat="1" ht="21" customHeight="1">
      <c r="C3576" s="288" t="s">
        <v>1218</v>
      </c>
      <c r="D3576" s="76" t="s">
        <v>1219</v>
      </c>
      <c r="E3576" s="77"/>
      <c r="F3576" s="77"/>
      <c r="G3576" s="78"/>
      <c r="H3576" s="585">
        <f>H3575+H3573+H3570</f>
        <v>1245670</v>
      </c>
      <c r="I3576" s="369"/>
      <c r="J3576" s="44"/>
      <c r="K3576" s="44"/>
    </row>
    <row r="3577" spans="3:15" s="59" customFormat="1" ht="21" customHeight="1">
      <c r="C3577" s="288" t="s">
        <v>1220</v>
      </c>
      <c r="D3577" s="76" t="s">
        <v>1321</v>
      </c>
      <c r="E3577" s="77"/>
      <c r="F3577" s="78"/>
      <c r="G3577" s="80">
        <v>0.1</v>
      </c>
      <c r="H3577" s="63">
        <f>H3576*G3577</f>
        <v>124567</v>
      </c>
      <c r="I3577" s="369"/>
      <c r="J3577" s="44"/>
      <c r="K3577" s="44"/>
    </row>
    <row r="3578" spans="3:15" s="59" customFormat="1" ht="21" customHeight="1">
      <c r="C3578" s="288" t="s">
        <v>1221</v>
      </c>
      <c r="D3578" s="76" t="s">
        <v>1222</v>
      </c>
      <c r="E3578" s="77"/>
      <c r="F3578" s="77"/>
      <c r="G3578" s="78"/>
      <c r="H3578" s="799">
        <f>SUM(H3576:H3577)</f>
        <v>1370237</v>
      </c>
      <c r="I3578" s="369"/>
      <c r="J3578" s="44"/>
      <c r="K3578" s="44"/>
    </row>
    <row r="3579" spans="3:15" ht="21" customHeight="1"/>
    <row r="3580" spans="3:15" s="59" customFormat="1" ht="21" customHeight="1">
      <c r="C3580" s="147" t="s">
        <v>5418</v>
      </c>
      <c r="D3580" s="794" t="s">
        <v>4192</v>
      </c>
      <c r="E3580" s="795"/>
      <c r="F3580" s="795"/>
      <c r="G3580" s="795"/>
      <c r="H3580" s="795"/>
      <c r="I3580" s="50">
        <f>ROUNDDOWN(H3595,-2)</f>
        <v>1713300</v>
      </c>
      <c r="J3580" s="50"/>
      <c r="K3580" s="50"/>
    </row>
    <row r="3581" spans="3:15" s="59" customFormat="1" ht="21" customHeight="1">
      <c r="C3581" s="591" t="s">
        <v>1195</v>
      </c>
      <c r="D3581" s="591" t="s">
        <v>1196</v>
      </c>
      <c r="E3581" s="591" t="s">
        <v>1197</v>
      </c>
      <c r="F3581" s="591" t="s">
        <v>1198</v>
      </c>
      <c r="G3581" s="591" t="s">
        <v>1199</v>
      </c>
      <c r="H3581" s="591" t="s">
        <v>1200</v>
      </c>
      <c r="I3581" s="44"/>
      <c r="J3581" s="44"/>
      <c r="K3581" s="44"/>
    </row>
    <row r="3582" spans="3:15" s="59" customFormat="1" ht="21" customHeight="1">
      <c r="C3582" s="61" t="s">
        <v>1201</v>
      </c>
      <c r="D3582" s="56" t="s">
        <v>1202</v>
      </c>
      <c r="E3582" s="57"/>
      <c r="F3582" s="57"/>
      <c r="G3582" s="57"/>
      <c r="H3582" s="57"/>
      <c r="I3582" s="44"/>
      <c r="J3582" s="44"/>
      <c r="K3582" s="44"/>
      <c r="L3582" s="152" t="s">
        <v>1247</v>
      </c>
    </row>
    <row r="3583" spans="3:15" s="59" customFormat="1" ht="21" customHeight="1">
      <c r="C3583" s="588">
        <v>1</v>
      </c>
      <c r="D3583" s="56" t="s">
        <v>5</v>
      </c>
      <c r="E3583" s="577" t="s">
        <v>6</v>
      </c>
      <c r="F3583" s="62">
        <v>0.94499999999999995</v>
      </c>
      <c r="G3583" s="63">
        <f>VLOOKUP(D3583,upahbahan,3,FALSE)</f>
        <v>100000</v>
      </c>
      <c r="H3583" s="63">
        <f>F3583*G3583</f>
        <v>94500</v>
      </c>
      <c r="I3583" s="44"/>
      <c r="J3583" s="44"/>
      <c r="K3583" s="44"/>
      <c r="L3583" s="152" t="s">
        <v>1248</v>
      </c>
      <c r="O3583" s="65">
        <v>0.1</v>
      </c>
    </row>
    <row r="3584" spans="3:15" s="59" customFormat="1" ht="21" customHeight="1">
      <c r="C3584" s="588">
        <v>2</v>
      </c>
      <c r="D3584" s="56" t="s">
        <v>10</v>
      </c>
      <c r="E3584" s="577" t="s">
        <v>6</v>
      </c>
      <c r="F3584" s="62">
        <v>1.579</v>
      </c>
      <c r="G3584" s="63">
        <f>VLOOKUP(D3584,upahbahan,3,FALSE)</f>
        <v>135000</v>
      </c>
      <c r="H3584" s="63">
        <f>F3584*G3584</f>
        <v>213165</v>
      </c>
      <c r="I3584" s="44"/>
      <c r="J3584" s="44"/>
      <c r="K3584" s="44"/>
    </row>
    <row r="3585" spans="3:15" s="59" customFormat="1" ht="21" customHeight="1">
      <c r="C3585" s="588">
        <v>3</v>
      </c>
      <c r="D3585" s="56" t="s">
        <v>18</v>
      </c>
      <c r="E3585" s="577" t="s">
        <v>6</v>
      </c>
      <c r="F3585" s="62">
        <v>0.158</v>
      </c>
      <c r="G3585" s="63">
        <f>VLOOKUP(D3585,upahbahan,3,FALSE)</f>
        <v>150000</v>
      </c>
      <c r="H3585" s="63">
        <f>F3585*G3585</f>
        <v>23700</v>
      </c>
      <c r="I3585" s="44"/>
      <c r="J3585" s="44"/>
      <c r="K3585" s="44"/>
    </row>
    <row r="3586" spans="3:15" s="59" customFormat="1" ht="21" customHeight="1">
      <c r="C3586" s="588">
        <v>4</v>
      </c>
      <c r="D3586" s="56" t="s">
        <v>19</v>
      </c>
      <c r="E3586" s="577" t="s">
        <v>6</v>
      </c>
      <c r="F3586" s="62">
        <v>4.7E-2</v>
      </c>
      <c r="G3586" s="63">
        <f>VLOOKUP(D3586,upahbahan,3,FALSE)</f>
        <v>160000</v>
      </c>
      <c r="H3586" s="63">
        <f>F3586*G3586</f>
        <v>7520</v>
      </c>
      <c r="I3586" s="44"/>
      <c r="J3586" s="44"/>
      <c r="K3586" s="44"/>
    </row>
    <row r="3587" spans="3:15" s="59" customFormat="1" ht="21" customHeight="1">
      <c r="C3587" s="450" t="s">
        <v>1208</v>
      </c>
      <c r="D3587" s="67"/>
      <c r="E3587" s="67"/>
      <c r="F3587" s="142"/>
      <c r="G3587" s="153"/>
      <c r="H3587" s="63">
        <f>SUM(H3583:H3586)</f>
        <v>338885</v>
      </c>
      <c r="I3587" s="154"/>
      <c r="J3587" s="154"/>
      <c r="K3587" s="154"/>
    </row>
    <row r="3588" spans="3:15" s="59" customFormat="1" ht="21" customHeight="1">
      <c r="C3588" s="61" t="s">
        <v>1209</v>
      </c>
      <c r="D3588" s="56" t="s">
        <v>1210</v>
      </c>
      <c r="E3588" s="57"/>
      <c r="F3588" s="57"/>
      <c r="G3588" s="57"/>
      <c r="H3588" s="57"/>
      <c r="I3588" s="44"/>
      <c r="J3588" s="44"/>
      <c r="K3588" s="44"/>
    </row>
    <row r="3589" spans="3:15" s="59" customFormat="1" ht="21" customHeight="1">
      <c r="C3589" s="61">
        <v>1</v>
      </c>
      <c r="D3589" s="56" t="s">
        <v>4182</v>
      </c>
      <c r="E3589" s="93" t="s">
        <v>135</v>
      </c>
      <c r="F3589" s="104">
        <v>1.3</v>
      </c>
      <c r="G3589" s="63">
        <f>VLOOKUP(D3589,upahbahan,3,FALSE)</f>
        <v>937500</v>
      </c>
      <c r="H3589" s="586">
        <f>G3589*F3589</f>
        <v>1218750</v>
      </c>
      <c r="I3589" s="44"/>
      <c r="J3589" s="44"/>
      <c r="K3589" s="44"/>
    </row>
    <row r="3590" spans="3:15" s="59" customFormat="1" ht="21" customHeight="1">
      <c r="C3590" s="450" t="s">
        <v>1214</v>
      </c>
      <c r="D3590" s="67"/>
      <c r="E3590" s="67"/>
      <c r="F3590" s="67"/>
      <c r="G3590" s="69"/>
      <c r="H3590" s="63">
        <f>SUM(H3589:H3589)</f>
        <v>1218750</v>
      </c>
      <c r="I3590" s="44"/>
      <c r="J3590" s="44"/>
      <c r="K3590" s="44"/>
    </row>
    <row r="3591" spans="3:15" s="59" customFormat="1" ht="21" customHeight="1">
      <c r="C3591" s="61" t="s">
        <v>1215</v>
      </c>
      <c r="D3591" s="56" t="s">
        <v>1216</v>
      </c>
      <c r="E3591" s="57"/>
      <c r="F3591" s="57"/>
      <c r="G3591" s="57"/>
      <c r="H3591" s="57"/>
      <c r="I3591" s="44"/>
      <c r="J3591" s="44"/>
      <c r="K3591" s="44"/>
    </row>
    <row r="3592" spans="3:15" s="59" customFormat="1" ht="21" customHeight="1">
      <c r="C3592" s="450" t="s">
        <v>1217</v>
      </c>
      <c r="D3592" s="67"/>
      <c r="E3592" s="67"/>
      <c r="F3592" s="67"/>
      <c r="G3592" s="69"/>
      <c r="H3592" s="589">
        <v>0</v>
      </c>
      <c r="I3592" s="44"/>
      <c r="J3592" s="44"/>
      <c r="K3592" s="44"/>
    </row>
    <row r="3593" spans="3:15" s="59" customFormat="1" ht="21" customHeight="1">
      <c r="C3593" s="288" t="s">
        <v>1218</v>
      </c>
      <c r="D3593" s="76" t="s">
        <v>1219</v>
      </c>
      <c r="E3593" s="77"/>
      <c r="F3593" s="77"/>
      <c r="G3593" s="78"/>
      <c r="H3593" s="585">
        <f>H3592+H3590+H3587</f>
        <v>1557635</v>
      </c>
      <c r="I3593" s="369"/>
      <c r="J3593" s="44"/>
      <c r="K3593" s="44"/>
    </row>
    <row r="3594" spans="3:15" s="59" customFormat="1" ht="21" customHeight="1">
      <c r="C3594" s="288" t="s">
        <v>1220</v>
      </c>
      <c r="D3594" s="76" t="s">
        <v>1321</v>
      </c>
      <c r="E3594" s="77"/>
      <c r="F3594" s="78"/>
      <c r="G3594" s="80">
        <v>0.1</v>
      </c>
      <c r="H3594" s="63">
        <f>H3593*G3594</f>
        <v>155763.5</v>
      </c>
      <c r="I3594" s="369"/>
      <c r="J3594" s="44"/>
      <c r="K3594" s="44"/>
    </row>
    <row r="3595" spans="3:15" s="59" customFormat="1" ht="21" customHeight="1">
      <c r="C3595" s="288" t="s">
        <v>1221</v>
      </c>
      <c r="D3595" s="76" t="s">
        <v>1222</v>
      </c>
      <c r="E3595" s="77"/>
      <c r="F3595" s="77"/>
      <c r="G3595" s="78"/>
      <c r="H3595" s="799">
        <f>SUM(H3593:H3594)</f>
        <v>1713398.5</v>
      </c>
      <c r="I3595" s="369"/>
      <c r="J3595" s="44"/>
      <c r="K3595" s="44"/>
    </row>
    <row r="3596" spans="3:15" ht="21" customHeight="1"/>
    <row r="3597" spans="3:15" s="59" customFormat="1" ht="21" customHeight="1">
      <c r="C3597" s="147" t="s">
        <v>5419</v>
      </c>
      <c r="D3597" s="794" t="s">
        <v>4193</v>
      </c>
      <c r="E3597" s="795"/>
      <c r="F3597" s="795"/>
      <c r="G3597" s="795"/>
      <c r="H3597" s="795"/>
      <c r="I3597" s="50">
        <f>ROUNDDOWN(H3612,-2)</f>
        <v>1999400</v>
      </c>
      <c r="J3597" s="50"/>
      <c r="K3597" s="50"/>
    </row>
    <row r="3598" spans="3:15" s="59" customFormat="1" ht="21" customHeight="1">
      <c r="C3598" s="591" t="s">
        <v>1195</v>
      </c>
      <c r="D3598" s="591" t="s">
        <v>1196</v>
      </c>
      <c r="E3598" s="591" t="s">
        <v>1197</v>
      </c>
      <c r="F3598" s="591" t="s">
        <v>1198</v>
      </c>
      <c r="G3598" s="591" t="s">
        <v>1199</v>
      </c>
      <c r="H3598" s="591" t="s">
        <v>1200</v>
      </c>
      <c r="I3598" s="44"/>
      <c r="J3598" s="44"/>
      <c r="K3598" s="44"/>
    </row>
    <row r="3599" spans="3:15" s="59" customFormat="1" ht="21" customHeight="1">
      <c r="C3599" s="61" t="s">
        <v>1201</v>
      </c>
      <c r="D3599" s="56" t="s">
        <v>1202</v>
      </c>
      <c r="E3599" s="57"/>
      <c r="F3599" s="57"/>
      <c r="G3599" s="57"/>
      <c r="H3599" s="57"/>
      <c r="I3599" s="44"/>
      <c r="J3599" s="44"/>
      <c r="K3599" s="44"/>
      <c r="L3599" s="152" t="s">
        <v>1247</v>
      </c>
    </row>
    <row r="3600" spans="3:15" s="59" customFormat="1" ht="21" customHeight="1">
      <c r="C3600" s="588">
        <v>1</v>
      </c>
      <c r="D3600" s="56" t="s">
        <v>5</v>
      </c>
      <c r="E3600" s="577" t="s">
        <v>6</v>
      </c>
      <c r="F3600" s="62">
        <v>1.26</v>
      </c>
      <c r="G3600" s="63">
        <f>VLOOKUP(D3600,upahbahan,3,FALSE)</f>
        <v>100000</v>
      </c>
      <c r="H3600" s="63">
        <f>F3600*G3600</f>
        <v>126000</v>
      </c>
      <c r="I3600" s="44"/>
      <c r="J3600" s="44"/>
      <c r="K3600" s="44"/>
      <c r="L3600" s="152" t="s">
        <v>1248</v>
      </c>
      <c r="O3600" s="65">
        <v>0.1</v>
      </c>
    </row>
    <row r="3601" spans="3:11" s="59" customFormat="1" ht="21" customHeight="1">
      <c r="C3601" s="588">
        <v>2</v>
      </c>
      <c r="D3601" s="56" t="s">
        <v>10</v>
      </c>
      <c r="E3601" s="577" t="s">
        <v>6</v>
      </c>
      <c r="F3601" s="62">
        <v>2.1030000000000002</v>
      </c>
      <c r="G3601" s="63">
        <f>VLOOKUP(D3601,upahbahan,3,FALSE)</f>
        <v>135000</v>
      </c>
      <c r="H3601" s="63">
        <f>F3601*G3601</f>
        <v>283905</v>
      </c>
      <c r="I3601" s="44"/>
      <c r="J3601" s="44"/>
      <c r="K3601" s="44"/>
    </row>
    <row r="3602" spans="3:11" s="59" customFormat="1" ht="21" customHeight="1">
      <c r="C3602" s="588">
        <v>3</v>
      </c>
      <c r="D3602" s="56" t="s">
        <v>18</v>
      </c>
      <c r="E3602" s="577" t="s">
        <v>6</v>
      </c>
      <c r="F3602" s="62">
        <v>0.21</v>
      </c>
      <c r="G3602" s="63">
        <f>VLOOKUP(D3602,upahbahan,3,FALSE)</f>
        <v>150000</v>
      </c>
      <c r="H3602" s="63">
        <f>F3602*G3602</f>
        <v>31500</v>
      </c>
      <c r="I3602" s="44"/>
      <c r="J3602" s="44"/>
      <c r="K3602" s="44"/>
    </row>
    <row r="3603" spans="3:11" s="59" customFormat="1" ht="21" customHeight="1">
      <c r="C3603" s="588">
        <v>4</v>
      </c>
      <c r="D3603" s="56" t="s">
        <v>19</v>
      </c>
      <c r="E3603" s="577" t="s">
        <v>6</v>
      </c>
      <c r="F3603" s="62">
        <v>6.3E-2</v>
      </c>
      <c r="G3603" s="63">
        <f>VLOOKUP(D3603,upahbahan,3,FALSE)</f>
        <v>160000</v>
      </c>
      <c r="H3603" s="63">
        <f>F3603*G3603</f>
        <v>10080</v>
      </c>
      <c r="I3603" s="44"/>
      <c r="J3603" s="44"/>
      <c r="K3603" s="44"/>
    </row>
    <row r="3604" spans="3:11" s="59" customFormat="1" ht="21" customHeight="1">
      <c r="C3604" s="450" t="s">
        <v>1208</v>
      </c>
      <c r="D3604" s="67"/>
      <c r="E3604" s="67"/>
      <c r="F3604" s="142"/>
      <c r="G3604" s="153"/>
      <c r="H3604" s="63">
        <f>SUM(H3600:H3603)</f>
        <v>451485</v>
      </c>
      <c r="I3604" s="154"/>
      <c r="J3604" s="154"/>
      <c r="K3604" s="154"/>
    </row>
    <row r="3605" spans="3:11" s="59" customFormat="1" ht="21" customHeight="1">
      <c r="C3605" s="61" t="s">
        <v>1209</v>
      </c>
      <c r="D3605" s="56" t="s">
        <v>1210</v>
      </c>
      <c r="E3605" s="57"/>
      <c r="F3605" s="57"/>
      <c r="G3605" s="57"/>
      <c r="H3605" s="57"/>
      <c r="I3605" s="44"/>
      <c r="J3605" s="44"/>
      <c r="K3605" s="44"/>
    </row>
    <row r="3606" spans="3:11" s="59" customFormat="1" ht="21" customHeight="1">
      <c r="C3606" s="61">
        <v>1</v>
      </c>
      <c r="D3606" s="56" t="s">
        <v>4183</v>
      </c>
      <c r="E3606" s="93" t="s">
        <v>135</v>
      </c>
      <c r="F3606" s="104">
        <v>1.3</v>
      </c>
      <c r="G3606" s="63">
        <f>VLOOKUP(D3606,upahbahan,3,FALSE)</f>
        <v>1050900</v>
      </c>
      <c r="H3606" s="586">
        <f>G3606*F3606</f>
        <v>1366170</v>
      </c>
      <c r="I3606" s="44"/>
      <c r="J3606" s="44"/>
      <c r="K3606" s="44"/>
    </row>
    <row r="3607" spans="3:11" s="59" customFormat="1" ht="21" customHeight="1">
      <c r="C3607" s="450" t="s">
        <v>1214</v>
      </c>
      <c r="D3607" s="67"/>
      <c r="E3607" s="67"/>
      <c r="F3607" s="67"/>
      <c r="G3607" s="69"/>
      <c r="H3607" s="63">
        <f>SUM(H3606:H3606)</f>
        <v>1366170</v>
      </c>
      <c r="I3607" s="44"/>
      <c r="J3607" s="44"/>
      <c r="K3607" s="44"/>
    </row>
    <row r="3608" spans="3:11" s="59" customFormat="1" ht="21" customHeight="1">
      <c r="C3608" s="61" t="s">
        <v>1215</v>
      </c>
      <c r="D3608" s="56" t="s">
        <v>1216</v>
      </c>
      <c r="E3608" s="57"/>
      <c r="F3608" s="57"/>
      <c r="G3608" s="57"/>
      <c r="H3608" s="57"/>
      <c r="I3608" s="44"/>
      <c r="J3608" s="44"/>
      <c r="K3608" s="44"/>
    </row>
    <row r="3609" spans="3:11" s="59" customFormat="1" ht="21" customHeight="1">
      <c r="C3609" s="450" t="s">
        <v>1217</v>
      </c>
      <c r="D3609" s="67"/>
      <c r="E3609" s="67"/>
      <c r="F3609" s="67"/>
      <c r="G3609" s="69"/>
      <c r="H3609" s="589">
        <v>0</v>
      </c>
      <c r="I3609" s="44"/>
      <c r="J3609" s="44"/>
      <c r="K3609" s="44"/>
    </row>
    <row r="3610" spans="3:11" s="59" customFormat="1" ht="21" customHeight="1">
      <c r="C3610" s="288" t="s">
        <v>1218</v>
      </c>
      <c r="D3610" s="76" t="s">
        <v>1219</v>
      </c>
      <c r="E3610" s="77"/>
      <c r="F3610" s="77"/>
      <c r="G3610" s="78"/>
      <c r="H3610" s="585">
        <f>H3609+H3607+H3604</f>
        <v>1817655</v>
      </c>
      <c r="I3610" s="369"/>
      <c r="J3610" s="44"/>
      <c r="K3610" s="44"/>
    </row>
    <row r="3611" spans="3:11" s="59" customFormat="1" ht="21" customHeight="1">
      <c r="C3611" s="288" t="s">
        <v>1220</v>
      </c>
      <c r="D3611" s="76" t="s">
        <v>1321</v>
      </c>
      <c r="E3611" s="77"/>
      <c r="F3611" s="78"/>
      <c r="G3611" s="80">
        <v>0.1</v>
      </c>
      <c r="H3611" s="63">
        <f>H3610*G3611</f>
        <v>181765.5</v>
      </c>
      <c r="I3611" s="369"/>
      <c r="J3611" s="44"/>
      <c r="K3611" s="44"/>
    </row>
    <row r="3612" spans="3:11" s="59" customFormat="1" ht="21" customHeight="1">
      <c r="C3612" s="288" t="s">
        <v>1221</v>
      </c>
      <c r="D3612" s="76" t="s">
        <v>1222</v>
      </c>
      <c r="E3612" s="77"/>
      <c r="F3612" s="77"/>
      <c r="G3612" s="78"/>
      <c r="H3612" s="799">
        <f>SUM(H3610:H3611)</f>
        <v>1999420.5</v>
      </c>
      <c r="I3612" s="369"/>
      <c r="J3612" s="44"/>
      <c r="K3612" s="44"/>
    </row>
    <row r="3613" spans="3:11" ht="21" customHeight="1"/>
    <row r="3614" spans="3:11" ht="21" customHeight="1"/>
    <row r="3615" spans="3:11" s="59" customFormat="1" ht="21" customHeight="1">
      <c r="C3615" s="147" t="s">
        <v>5420</v>
      </c>
      <c r="D3615" s="794" t="s">
        <v>4194</v>
      </c>
      <c r="E3615" s="795"/>
      <c r="F3615" s="795"/>
      <c r="G3615" s="795"/>
      <c r="H3615" s="795"/>
      <c r="I3615" s="50">
        <f>ROUNDDOWN(H3630,-2)</f>
        <v>2544000</v>
      </c>
      <c r="J3615" s="50"/>
      <c r="K3615" s="50"/>
    </row>
    <row r="3616" spans="3:11" s="59" customFormat="1" ht="21" customHeight="1">
      <c r="C3616" s="591" t="s">
        <v>1195</v>
      </c>
      <c r="D3616" s="591" t="s">
        <v>1196</v>
      </c>
      <c r="E3616" s="591" t="s">
        <v>1197</v>
      </c>
      <c r="F3616" s="591" t="s">
        <v>1198</v>
      </c>
      <c r="G3616" s="591" t="s">
        <v>1199</v>
      </c>
      <c r="H3616" s="591" t="s">
        <v>1200</v>
      </c>
      <c r="I3616" s="44"/>
      <c r="J3616" s="44"/>
      <c r="K3616" s="44"/>
    </row>
    <row r="3617" spans="3:15" s="59" customFormat="1" ht="21" customHeight="1">
      <c r="C3617" s="61" t="s">
        <v>1201</v>
      </c>
      <c r="D3617" s="56" t="s">
        <v>1202</v>
      </c>
      <c r="E3617" s="57"/>
      <c r="F3617" s="57"/>
      <c r="G3617" s="57"/>
      <c r="H3617" s="57"/>
      <c r="I3617" s="44"/>
      <c r="J3617" s="44"/>
      <c r="K3617" s="44"/>
      <c r="L3617" s="152" t="s">
        <v>1247</v>
      </c>
    </row>
    <row r="3618" spans="3:15" s="59" customFormat="1" ht="21" customHeight="1">
      <c r="C3618" s="588">
        <v>1</v>
      </c>
      <c r="D3618" s="56" t="s">
        <v>5</v>
      </c>
      <c r="E3618" s="577" t="s">
        <v>6</v>
      </c>
      <c r="F3618" s="62">
        <v>1.5740000000000001</v>
      </c>
      <c r="G3618" s="63">
        <f>VLOOKUP(D3618,upahbahan,3,FALSE)</f>
        <v>100000</v>
      </c>
      <c r="H3618" s="63">
        <f>F3618*G3618</f>
        <v>157400</v>
      </c>
      <c r="I3618" s="44"/>
      <c r="J3618" s="44"/>
      <c r="K3618" s="44"/>
      <c r="L3618" s="152" t="s">
        <v>1248</v>
      </c>
      <c r="O3618" s="65">
        <v>0.1</v>
      </c>
    </row>
    <row r="3619" spans="3:15" s="59" customFormat="1" ht="21" customHeight="1">
      <c r="C3619" s="588">
        <v>2</v>
      </c>
      <c r="D3619" s="56" t="s">
        <v>10</v>
      </c>
      <c r="E3619" s="577" t="s">
        <v>6</v>
      </c>
      <c r="F3619" s="62">
        <v>2.6280000000000001</v>
      </c>
      <c r="G3619" s="63">
        <f>VLOOKUP(D3619,upahbahan,3,FALSE)</f>
        <v>135000</v>
      </c>
      <c r="H3619" s="63">
        <f>F3619*G3619</f>
        <v>354780</v>
      </c>
      <c r="I3619" s="44"/>
      <c r="J3619" s="44"/>
      <c r="K3619" s="44"/>
    </row>
    <row r="3620" spans="3:15" s="59" customFormat="1" ht="21" customHeight="1">
      <c r="C3620" s="588">
        <v>3</v>
      </c>
      <c r="D3620" s="56" t="s">
        <v>18</v>
      </c>
      <c r="E3620" s="577" t="s">
        <v>6</v>
      </c>
      <c r="F3620" s="62">
        <v>0.26300000000000001</v>
      </c>
      <c r="G3620" s="63">
        <f>VLOOKUP(D3620,upahbahan,3,FALSE)</f>
        <v>150000</v>
      </c>
      <c r="H3620" s="63">
        <f>F3620*G3620</f>
        <v>39450</v>
      </c>
      <c r="I3620" s="44"/>
      <c r="J3620" s="44"/>
      <c r="K3620" s="44"/>
    </row>
    <row r="3621" spans="3:15" s="59" customFormat="1" ht="21" customHeight="1">
      <c r="C3621" s="588">
        <v>4</v>
      </c>
      <c r="D3621" s="56" t="s">
        <v>19</v>
      </c>
      <c r="E3621" s="577" t="s">
        <v>6</v>
      </c>
      <c r="F3621" s="62">
        <v>7.9000000000000001E-2</v>
      </c>
      <c r="G3621" s="63">
        <f>VLOOKUP(D3621,upahbahan,3,FALSE)</f>
        <v>160000</v>
      </c>
      <c r="H3621" s="63">
        <f>F3621*G3621</f>
        <v>12640</v>
      </c>
      <c r="I3621" s="44"/>
      <c r="J3621" s="44"/>
      <c r="K3621" s="44"/>
    </row>
    <row r="3622" spans="3:15" s="59" customFormat="1" ht="21" customHeight="1">
      <c r="C3622" s="450" t="s">
        <v>1208</v>
      </c>
      <c r="D3622" s="67"/>
      <c r="E3622" s="67"/>
      <c r="F3622" s="142"/>
      <c r="G3622" s="153"/>
      <c r="H3622" s="63">
        <f>SUM(H3618:H3621)</f>
        <v>564270</v>
      </c>
      <c r="I3622" s="154"/>
      <c r="J3622" s="154"/>
      <c r="K3622" s="154"/>
    </row>
    <row r="3623" spans="3:15" s="59" customFormat="1" ht="21" customHeight="1">
      <c r="C3623" s="61" t="s">
        <v>1209</v>
      </c>
      <c r="D3623" s="56" t="s">
        <v>1210</v>
      </c>
      <c r="E3623" s="57"/>
      <c r="F3623" s="57"/>
      <c r="G3623" s="57"/>
      <c r="H3623" s="57"/>
      <c r="I3623" s="44"/>
      <c r="J3623" s="44"/>
      <c r="K3623" s="44"/>
    </row>
    <row r="3624" spans="3:15" s="59" customFormat="1" ht="21" customHeight="1">
      <c r="C3624" s="61">
        <v>1</v>
      </c>
      <c r="D3624" s="56" t="s">
        <v>4184</v>
      </c>
      <c r="E3624" s="93" t="s">
        <v>135</v>
      </c>
      <c r="F3624" s="104">
        <v>1.3</v>
      </c>
      <c r="G3624" s="63">
        <f>VLOOKUP(D3624,upahbahan,3,FALSE)</f>
        <v>1345000</v>
      </c>
      <c r="H3624" s="586">
        <f>G3624*F3624</f>
        <v>1748500</v>
      </c>
      <c r="I3624" s="44"/>
      <c r="J3624" s="44"/>
      <c r="K3624" s="44"/>
    </row>
    <row r="3625" spans="3:15" s="59" customFormat="1" ht="21" customHeight="1">
      <c r="C3625" s="450" t="s">
        <v>1214</v>
      </c>
      <c r="D3625" s="67"/>
      <c r="E3625" s="67"/>
      <c r="F3625" s="67"/>
      <c r="G3625" s="69"/>
      <c r="H3625" s="63">
        <f>SUM(H3624:H3624)</f>
        <v>1748500</v>
      </c>
      <c r="I3625" s="44"/>
      <c r="J3625" s="44"/>
      <c r="K3625" s="44"/>
    </row>
    <row r="3626" spans="3:15" s="59" customFormat="1" ht="21" customHeight="1">
      <c r="C3626" s="61" t="s">
        <v>1215</v>
      </c>
      <c r="D3626" s="56" t="s">
        <v>1216</v>
      </c>
      <c r="E3626" s="57"/>
      <c r="F3626" s="57"/>
      <c r="G3626" s="57"/>
      <c r="H3626" s="57"/>
      <c r="I3626" s="44"/>
      <c r="J3626" s="44"/>
      <c r="K3626" s="44"/>
    </row>
    <row r="3627" spans="3:15" s="59" customFormat="1" ht="21" customHeight="1">
      <c r="C3627" s="450" t="s">
        <v>1217</v>
      </c>
      <c r="D3627" s="67"/>
      <c r="E3627" s="67"/>
      <c r="F3627" s="67"/>
      <c r="G3627" s="69"/>
      <c r="H3627" s="589">
        <v>0</v>
      </c>
      <c r="I3627" s="44"/>
      <c r="J3627" s="44"/>
      <c r="K3627" s="44"/>
    </row>
    <row r="3628" spans="3:15" s="59" customFormat="1" ht="21" customHeight="1">
      <c r="C3628" s="288" t="s">
        <v>1218</v>
      </c>
      <c r="D3628" s="76" t="s">
        <v>1219</v>
      </c>
      <c r="E3628" s="77"/>
      <c r="F3628" s="77"/>
      <c r="G3628" s="78"/>
      <c r="H3628" s="585">
        <f>H3627+H3625+H3622</f>
        <v>2312770</v>
      </c>
      <c r="I3628" s="369"/>
      <c r="J3628" s="44"/>
      <c r="K3628" s="44"/>
    </row>
    <row r="3629" spans="3:15" s="59" customFormat="1" ht="21" customHeight="1">
      <c r="C3629" s="288" t="s">
        <v>1220</v>
      </c>
      <c r="D3629" s="76" t="s">
        <v>1321</v>
      </c>
      <c r="E3629" s="77"/>
      <c r="F3629" s="78"/>
      <c r="G3629" s="80">
        <v>0.1</v>
      </c>
      <c r="H3629" s="63">
        <f>H3628*G3629</f>
        <v>231277</v>
      </c>
      <c r="I3629" s="369"/>
      <c r="J3629" s="44"/>
      <c r="K3629" s="44"/>
    </row>
    <row r="3630" spans="3:15" s="59" customFormat="1" ht="21" customHeight="1">
      <c r="C3630" s="288" t="s">
        <v>1221</v>
      </c>
      <c r="D3630" s="76" t="s">
        <v>1222</v>
      </c>
      <c r="E3630" s="77"/>
      <c r="F3630" s="77"/>
      <c r="G3630" s="78"/>
      <c r="H3630" s="799">
        <f>SUM(H3628:H3629)</f>
        <v>2544047</v>
      </c>
      <c r="I3630" s="369"/>
      <c r="J3630" s="44"/>
      <c r="K3630" s="44"/>
    </row>
    <row r="3631" spans="3:15" ht="21" customHeight="1"/>
    <row r="3632" spans="3:15" s="59" customFormat="1" ht="21" customHeight="1">
      <c r="C3632" s="147" t="s">
        <v>5421</v>
      </c>
      <c r="D3632" s="794" t="s">
        <v>4185</v>
      </c>
      <c r="E3632" s="795"/>
      <c r="F3632" s="795"/>
      <c r="G3632" s="795"/>
      <c r="H3632" s="795"/>
      <c r="I3632" s="50">
        <f>ROUNDDOWN(H3647,-2)</f>
        <v>3050400</v>
      </c>
      <c r="J3632" s="50"/>
      <c r="K3632" s="50"/>
    </row>
    <row r="3633" spans="3:15" s="59" customFormat="1" ht="21" customHeight="1">
      <c r="C3633" s="591" t="s">
        <v>1195</v>
      </c>
      <c r="D3633" s="591" t="s">
        <v>1196</v>
      </c>
      <c r="E3633" s="591" t="s">
        <v>1197</v>
      </c>
      <c r="F3633" s="591" t="s">
        <v>1198</v>
      </c>
      <c r="G3633" s="591" t="s">
        <v>1199</v>
      </c>
      <c r="H3633" s="591" t="s">
        <v>1200</v>
      </c>
      <c r="I3633" s="44"/>
      <c r="J3633" s="44"/>
      <c r="K3633" s="44"/>
    </row>
    <row r="3634" spans="3:15" s="59" customFormat="1" ht="21" customHeight="1">
      <c r="C3634" s="61" t="s">
        <v>1201</v>
      </c>
      <c r="D3634" s="56" t="s">
        <v>1202</v>
      </c>
      <c r="E3634" s="57"/>
      <c r="F3634" s="57"/>
      <c r="G3634" s="57"/>
      <c r="H3634" s="57"/>
      <c r="I3634" s="44"/>
      <c r="J3634" s="44"/>
      <c r="K3634" s="44"/>
      <c r="L3634" s="152" t="s">
        <v>1247</v>
      </c>
    </row>
    <row r="3635" spans="3:15" s="59" customFormat="1" ht="21" customHeight="1">
      <c r="C3635" s="588">
        <v>1</v>
      </c>
      <c r="D3635" s="56" t="s">
        <v>5</v>
      </c>
      <c r="E3635" s="577" t="s">
        <v>6</v>
      </c>
      <c r="F3635" s="62">
        <v>1.65</v>
      </c>
      <c r="G3635" s="63">
        <f>VLOOKUP(D3635,upahbahan,3,FALSE)</f>
        <v>100000</v>
      </c>
      <c r="H3635" s="63">
        <f>F3635*G3635</f>
        <v>165000</v>
      </c>
      <c r="I3635" s="44"/>
      <c r="J3635" s="44"/>
      <c r="K3635" s="44"/>
      <c r="L3635" s="152" t="s">
        <v>1248</v>
      </c>
      <c r="O3635" s="65">
        <v>0.1</v>
      </c>
    </row>
    <row r="3636" spans="3:15" s="59" customFormat="1" ht="21" customHeight="1">
      <c r="C3636" s="588">
        <v>2</v>
      </c>
      <c r="D3636" s="56" t="s">
        <v>10</v>
      </c>
      <c r="E3636" s="577" t="s">
        <v>6</v>
      </c>
      <c r="F3636" s="62">
        <v>2.7559999999999998</v>
      </c>
      <c r="G3636" s="63">
        <f>VLOOKUP(D3636,upahbahan,3,FALSE)</f>
        <v>135000</v>
      </c>
      <c r="H3636" s="63">
        <f>F3636*G3636</f>
        <v>372059.99999999994</v>
      </c>
      <c r="I3636" s="44"/>
      <c r="J3636" s="44"/>
      <c r="K3636" s="44"/>
    </row>
    <row r="3637" spans="3:15" s="59" customFormat="1" ht="21" customHeight="1">
      <c r="C3637" s="588">
        <v>3</v>
      </c>
      <c r="D3637" s="56" t="s">
        <v>18</v>
      </c>
      <c r="E3637" s="577" t="s">
        <v>6</v>
      </c>
      <c r="F3637" s="62">
        <v>0.27600000000000002</v>
      </c>
      <c r="G3637" s="63">
        <f>VLOOKUP(D3637,upahbahan,3,FALSE)</f>
        <v>150000</v>
      </c>
      <c r="H3637" s="63">
        <f>F3637*G3637</f>
        <v>41400</v>
      </c>
      <c r="I3637" s="44"/>
      <c r="J3637" s="44"/>
      <c r="K3637" s="44"/>
    </row>
    <row r="3638" spans="3:15" s="59" customFormat="1" ht="21" customHeight="1">
      <c r="C3638" s="588">
        <v>4</v>
      </c>
      <c r="D3638" s="56" t="s">
        <v>19</v>
      </c>
      <c r="E3638" s="577" t="s">
        <v>6</v>
      </c>
      <c r="F3638" s="62">
        <v>8.3000000000000004E-2</v>
      </c>
      <c r="G3638" s="63">
        <f>VLOOKUP(D3638,upahbahan,3,FALSE)</f>
        <v>160000</v>
      </c>
      <c r="H3638" s="63">
        <f>F3638*G3638</f>
        <v>13280</v>
      </c>
      <c r="I3638" s="44"/>
      <c r="J3638" s="44"/>
      <c r="K3638" s="44"/>
    </row>
    <row r="3639" spans="3:15" s="59" customFormat="1" ht="21" customHeight="1">
      <c r="C3639" s="450" t="s">
        <v>1208</v>
      </c>
      <c r="D3639" s="67"/>
      <c r="E3639" s="67"/>
      <c r="F3639" s="142"/>
      <c r="G3639" s="153"/>
      <c r="H3639" s="63">
        <f>SUM(H3635:H3638)</f>
        <v>591740</v>
      </c>
      <c r="I3639" s="154"/>
      <c r="J3639" s="154"/>
      <c r="K3639" s="154"/>
    </row>
    <row r="3640" spans="3:15" s="59" customFormat="1" ht="21" customHeight="1">
      <c r="C3640" s="61" t="s">
        <v>1209</v>
      </c>
      <c r="D3640" s="56" t="s">
        <v>1210</v>
      </c>
      <c r="E3640" s="57"/>
      <c r="F3640" s="57"/>
      <c r="G3640" s="57"/>
      <c r="H3640" s="57"/>
      <c r="I3640" s="44"/>
      <c r="J3640" s="44"/>
      <c r="K3640" s="44"/>
    </row>
    <row r="3641" spans="3:15" s="59" customFormat="1" ht="21" customHeight="1">
      <c r="C3641" s="61">
        <v>1</v>
      </c>
      <c r="D3641" s="56" t="s">
        <v>4186</v>
      </c>
      <c r="E3641" s="93" t="s">
        <v>135</v>
      </c>
      <c r="F3641" s="104">
        <v>1.3</v>
      </c>
      <c r="G3641" s="63">
        <f>VLOOKUP(D3641,upahbahan,3,FALSE)</f>
        <v>1678000</v>
      </c>
      <c r="H3641" s="586">
        <f>G3641*F3641</f>
        <v>2181400</v>
      </c>
      <c r="I3641" s="44"/>
      <c r="J3641" s="44"/>
      <c r="K3641" s="44"/>
    </row>
    <row r="3642" spans="3:15" s="59" customFormat="1" ht="21" customHeight="1">
      <c r="C3642" s="450" t="s">
        <v>1214</v>
      </c>
      <c r="D3642" s="67"/>
      <c r="E3642" s="67"/>
      <c r="F3642" s="67"/>
      <c r="G3642" s="69"/>
      <c r="H3642" s="63">
        <f>SUM(H3641:H3641)</f>
        <v>2181400</v>
      </c>
      <c r="I3642" s="44"/>
      <c r="J3642" s="44"/>
      <c r="K3642" s="44"/>
    </row>
    <row r="3643" spans="3:15" s="59" customFormat="1" ht="21" customHeight="1">
      <c r="C3643" s="61" t="s">
        <v>1215</v>
      </c>
      <c r="D3643" s="56" t="s">
        <v>1216</v>
      </c>
      <c r="E3643" s="57"/>
      <c r="F3643" s="57"/>
      <c r="G3643" s="57"/>
      <c r="H3643" s="57"/>
      <c r="I3643" s="44"/>
      <c r="J3643" s="44"/>
      <c r="K3643" s="44"/>
    </row>
    <row r="3644" spans="3:15" s="59" customFormat="1" ht="21" customHeight="1">
      <c r="C3644" s="450" t="s">
        <v>1217</v>
      </c>
      <c r="D3644" s="67"/>
      <c r="E3644" s="67"/>
      <c r="F3644" s="67"/>
      <c r="G3644" s="69"/>
      <c r="H3644" s="589">
        <v>0</v>
      </c>
      <c r="I3644" s="44"/>
      <c r="J3644" s="44"/>
      <c r="K3644" s="44"/>
    </row>
    <row r="3645" spans="3:15" s="59" customFormat="1" ht="21" customHeight="1">
      <c r="C3645" s="288" t="s">
        <v>1218</v>
      </c>
      <c r="D3645" s="76" t="s">
        <v>1219</v>
      </c>
      <c r="E3645" s="77"/>
      <c r="F3645" s="77"/>
      <c r="G3645" s="78"/>
      <c r="H3645" s="585">
        <f>H3644+H3642+H3639</f>
        <v>2773140</v>
      </c>
      <c r="I3645" s="369"/>
      <c r="J3645" s="44"/>
      <c r="K3645" s="44"/>
    </row>
    <row r="3646" spans="3:15" s="59" customFormat="1" ht="21" customHeight="1">
      <c r="C3646" s="288" t="s">
        <v>1220</v>
      </c>
      <c r="D3646" s="76" t="s">
        <v>1321</v>
      </c>
      <c r="E3646" s="77"/>
      <c r="F3646" s="78"/>
      <c r="G3646" s="80">
        <v>0.1</v>
      </c>
      <c r="H3646" s="63">
        <f>H3645*G3646</f>
        <v>277314</v>
      </c>
      <c r="I3646" s="369"/>
      <c r="J3646" s="44"/>
      <c r="K3646" s="44"/>
    </row>
    <row r="3647" spans="3:15" s="59" customFormat="1" ht="21" customHeight="1">
      <c r="C3647" s="288" t="s">
        <v>1221</v>
      </c>
      <c r="D3647" s="76" t="s">
        <v>1222</v>
      </c>
      <c r="E3647" s="77"/>
      <c r="F3647" s="77"/>
      <c r="G3647" s="78"/>
      <c r="H3647" s="799">
        <f>SUM(H3645:H3646)</f>
        <v>3050454</v>
      </c>
      <c r="I3647" s="369"/>
      <c r="J3647" s="44"/>
      <c r="K3647" s="44"/>
    </row>
    <row r="3648" spans="3:15" ht="21" customHeight="1"/>
    <row r="3649" spans="3:15" s="59" customFormat="1" ht="21" customHeight="1">
      <c r="C3649" s="147" t="s">
        <v>5422</v>
      </c>
      <c r="D3649" s="794" t="s">
        <v>4195</v>
      </c>
      <c r="E3649" s="795"/>
      <c r="F3649" s="795"/>
      <c r="G3649" s="795"/>
      <c r="H3649" s="795"/>
      <c r="I3649" s="50">
        <f>ROUNDDOWN(H3664,-2)</f>
        <v>3143100</v>
      </c>
      <c r="J3649" s="50"/>
      <c r="K3649" s="50"/>
    </row>
    <row r="3650" spans="3:15" s="59" customFormat="1" ht="21" customHeight="1">
      <c r="C3650" s="591" t="s">
        <v>1195</v>
      </c>
      <c r="D3650" s="591" t="s">
        <v>1196</v>
      </c>
      <c r="E3650" s="591" t="s">
        <v>1197</v>
      </c>
      <c r="F3650" s="591" t="s">
        <v>1198</v>
      </c>
      <c r="G3650" s="591" t="s">
        <v>1199</v>
      </c>
      <c r="H3650" s="591" t="s">
        <v>1200</v>
      </c>
      <c r="I3650" s="44"/>
      <c r="J3650" s="44"/>
      <c r="K3650" s="44"/>
    </row>
    <row r="3651" spans="3:15" s="59" customFormat="1" ht="21" customHeight="1">
      <c r="C3651" s="61" t="s">
        <v>1201</v>
      </c>
      <c r="D3651" s="56" t="s">
        <v>1202</v>
      </c>
      <c r="E3651" s="57"/>
      <c r="F3651" s="57"/>
      <c r="G3651" s="57"/>
      <c r="H3651" s="57"/>
      <c r="I3651" s="44"/>
      <c r="J3651" s="44"/>
      <c r="K3651" s="44"/>
      <c r="L3651" s="152" t="s">
        <v>1247</v>
      </c>
    </row>
    <row r="3652" spans="3:15" s="59" customFormat="1" ht="21" customHeight="1">
      <c r="C3652" s="588">
        <v>1</v>
      </c>
      <c r="D3652" s="56" t="s">
        <v>5</v>
      </c>
      <c r="E3652" s="577" t="s">
        <v>6</v>
      </c>
      <c r="F3652" s="62">
        <v>1.8859999999999999</v>
      </c>
      <c r="G3652" s="63">
        <f>VLOOKUP(D3652,upahbahan,3,FALSE)</f>
        <v>100000</v>
      </c>
      <c r="H3652" s="63">
        <f>F3652*G3652</f>
        <v>188600</v>
      </c>
      <c r="I3652" s="44"/>
      <c r="J3652" s="44"/>
      <c r="K3652" s="44"/>
      <c r="L3652" s="152" t="s">
        <v>1248</v>
      </c>
      <c r="O3652" s="65">
        <v>0.1</v>
      </c>
    </row>
    <row r="3653" spans="3:15" s="59" customFormat="1" ht="21" customHeight="1">
      <c r="C3653" s="588">
        <v>2</v>
      </c>
      <c r="D3653" s="56" t="s">
        <v>10</v>
      </c>
      <c r="E3653" s="577" t="s">
        <v>6</v>
      </c>
      <c r="F3653" s="62">
        <v>3.149</v>
      </c>
      <c r="G3653" s="63">
        <f>VLOOKUP(D3653,upahbahan,3,FALSE)</f>
        <v>135000</v>
      </c>
      <c r="H3653" s="63">
        <f>F3653*G3653</f>
        <v>425115</v>
      </c>
      <c r="I3653" s="44"/>
      <c r="J3653" s="44"/>
      <c r="K3653" s="44"/>
    </row>
    <row r="3654" spans="3:15" s="59" customFormat="1" ht="21" customHeight="1">
      <c r="C3654" s="588">
        <v>3</v>
      </c>
      <c r="D3654" s="56" t="s">
        <v>18</v>
      </c>
      <c r="E3654" s="577" t="s">
        <v>6</v>
      </c>
      <c r="F3654" s="62">
        <v>0.315</v>
      </c>
      <c r="G3654" s="63">
        <f>VLOOKUP(D3654,upahbahan,3,FALSE)</f>
        <v>150000</v>
      </c>
      <c r="H3654" s="63">
        <f>F3654*G3654</f>
        <v>47250</v>
      </c>
      <c r="I3654" s="44"/>
      <c r="J3654" s="44"/>
      <c r="K3654" s="44"/>
    </row>
    <row r="3655" spans="3:15" s="59" customFormat="1" ht="21" customHeight="1">
      <c r="C3655" s="588">
        <v>4</v>
      </c>
      <c r="D3655" s="56" t="s">
        <v>19</v>
      </c>
      <c r="E3655" s="577" t="s">
        <v>6</v>
      </c>
      <c r="F3655" s="62">
        <v>9.4E-2</v>
      </c>
      <c r="G3655" s="63">
        <f>VLOOKUP(D3655,upahbahan,3,FALSE)</f>
        <v>160000</v>
      </c>
      <c r="H3655" s="63">
        <f>F3655*G3655</f>
        <v>15040</v>
      </c>
      <c r="I3655" s="44"/>
      <c r="J3655" s="44"/>
      <c r="K3655" s="44"/>
    </row>
    <row r="3656" spans="3:15" s="59" customFormat="1" ht="21" customHeight="1">
      <c r="C3656" s="450" t="s">
        <v>1208</v>
      </c>
      <c r="D3656" s="67"/>
      <c r="E3656" s="67"/>
      <c r="F3656" s="142"/>
      <c r="G3656" s="153"/>
      <c r="H3656" s="63">
        <f>SUM(H3652:H3655)</f>
        <v>676005</v>
      </c>
      <c r="I3656" s="154"/>
      <c r="J3656" s="154"/>
      <c r="K3656" s="154"/>
    </row>
    <row r="3657" spans="3:15" s="59" customFormat="1" ht="21" customHeight="1">
      <c r="C3657" s="61" t="s">
        <v>1209</v>
      </c>
      <c r="D3657" s="56" t="s">
        <v>1210</v>
      </c>
      <c r="E3657" s="57"/>
      <c r="F3657" s="57"/>
      <c r="G3657" s="57"/>
      <c r="H3657" s="57"/>
      <c r="I3657" s="44"/>
      <c r="J3657" s="44"/>
      <c r="K3657" s="44"/>
    </row>
    <row r="3658" spans="3:15" s="59" customFormat="1" ht="21" customHeight="1">
      <c r="C3658" s="61">
        <v>1</v>
      </c>
      <c r="D3658" s="56" t="s">
        <v>4186</v>
      </c>
      <c r="E3658" s="93" t="s">
        <v>135</v>
      </c>
      <c r="F3658" s="104">
        <v>1.3</v>
      </c>
      <c r="G3658" s="63">
        <f>VLOOKUP(D3658,upahbahan,3,FALSE)</f>
        <v>1678000</v>
      </c>
      <c r="H3658" s="586">
        <f>G3658*F3658</f>
        <v>2181400</v>
      </c>
      <c r="I3658" s="44"/>
      <c r="J3658" s="44"/>
      <c r="K3658" s="44"/>
    </row>
    <row r="3659" spans="3:15" s="59" customFormat="1" ht="21" customHeight="1">
      <c r="C3659" s="450" t="s">
        <v>1214</v>
      </c>
      <c r="D3659" s="67"/>
      <c r="E3659" s="67"/>
      <c r="F3659" s="67"/>
      <c r="G3659" s="69"/>
      <c r="H3659" s="63">
        <f>SUM(H3658:H3658)</f>
        <v>2181400</v>
      </c>
      <c r="I3659" s="44"/>
      <c r="J3659" s="44"/>
      <c r="K3659" s="44"/>
    </row>
    <row r="3660" spans="3:15" s="59" customFormat="1" ht="21" customHeight="1">
      <c r="C3660" s="61" t="s">
        <v>1215</v>
      </c>
      <c r="D3660" s="56" t="s">
        <v>1216</v>
      </c>
      <c r="E3660" s="57"/>
      <c r="F3660" s="57"/>
      <c r="G3660" s="57"/>
      <c r="H3660" s="57"/>
      <c r="I3660" s="44"/>
      <c r="J3660" s="44"/>
      <c r="K3660" s="44"/>
    </row>
    <row r="3661" spans="3:15" s="59" customFormat="1" ht="21" customHeight="1">
      <c r="C3661" s="450" t="s">
        <v>1217</v>
      </c>
      <c r="D3661" s="67"/>
      <c r="E3661" s="67"/>
      <c r="F3661" s="67"/>
      <c r="G3661" s="69"/>
      <c r="H3661" s="589">
        <v>0</v>
      </c>
      <c r="I3661" s="44"/>
      <c r="J3661" s="44"/>
      <c r="K3661" s="44"/>
    </row>
    <row r="3662" spans="3:15" s="59" customFormat="1" ht="21" customHeight="1">
      <c r="C3662" s="288" t="s">
        <v>1218</v>
      </c>
      <c r="D3662" s="76" t="s">
        <v>1219</v>
      </c>
      <c r="E3662" s="77"/>
      <c r="F3662" s="77"/>
      <c r="G3662" s="78"/>
      <c r="H3662" s="585">
        <f>H3661+H3659+H3656</f>
        <v>2857405</v>
      </c>
      <c r="I3662" s="369"/>
      <c r="J3662" s="44"/>
      <c r="K3662" s="44"/>
    </row>
    <row r="3663" spans="3:15" s="59" customFormat="1" ht="21" customHeight="1">
      <c r="C3663" s="288" t="s">
        <v>1220</v>
      </c>
      <c r="D3663" s="76" t="s">
        <v>1321</v>
      </c>
      <c r="E3663" s="77"/>
      <c r="F3663" s="78"/>
      <c r="G3663" s="80">
        <v>0.1</v>
      </c>
      <c r="H3663" s="63">
        <f>H3662*G3663</f>
        <v>285740.5</v>
      </c>
      <c r="I3663" s="369"/>
      <c r="J3663" s="44"/>
      <c r="K3663" s="44"/>
    </row>
    <row r="3664" spans="3:15" s="59" customFormat="1" ht="21" customHeight="1">
      <c r="C3664" s="288" t="s">
        <v>1221</v>
      </c>
      <c r="D3664" s="76" t="s">
        <v>1222</v>
      </c>
      <c r="E3664" s="77"/>
      <c r="F3664" s="77"/>
      <c r="G3664" s="78"/>
      <c r="H3664" s="799">
        <f>SUM(H3662:H3663)</f>
        <v>3143145.5</v>
      </c>
      <c r="I3664" s="369"/>
      <c r="J3664" s="44"/>
      <c r="K3664" s="44"/>
    </row>
    <row r="3665" spans="3:15" ht="21" customHeight="1"/>
    <row r="3666" spans="3:15" s="59" customFormat="1" ht="21" customHeight="1">
      <c r="C3666" s="147" t="s">
        <v>5423</v>
      </c>
      <c r="D3666" s="794" t="s">
        <v>4196</v>
      </c>
      <c r="E3666" s="795"/>
      <c r="F3666" s="795"/>
      <c r="G3666" s="795"/>
      <c r="H3666" s="795"/>
      <c r="I3666" s="50">
        <f>ROUNDDOWN(H3681,-2)</f>
        <v>3649800</v>
      </c>
      <c r="J3666" s="50"/>
      <c r="K3666" s="50"/>
    </row>
    <row r="3667" spans="3:15" s="59" customFormat="1" ht="21" customHeight="1">
      <c r="C3667" s="591" t="s">
        <v>1195</v>
      </c>
      <c r="D3667" s="591" t="s">
        <v>1196</v>
      </c>
      <c r="E3667" s="591" t="s">
        <v>1197</v>
      </c>
      <c r="F3667" s="591" t="s">
        <v>1198</v>
      </c>
      <c r="G3667" s="591" t="s">
        <v>1199</v>
      </c>
      <c r="H3667" s="591" t="s">
        <v>1200</v>
      </c>
      <c r="I3667" s="44"/>
      <c r="J3667" s="44"/>
      <c r="K3667" s="44"/>
    </row>
    <row r="3668" spans="3:15" s="59" customFormat="1" ht="21" customHeight="1">
      <c r="C3668" s="61" t="s">
        <v>1201</v>
      </c>
      <c r="D3668" s="56" t="s">
        <v>1202</v>
      </c>
      <c r="E3668" s="57"/>
      <c r="F3668" s="57"/>
      <c r="G3668" s="57"/>
      <c r="H3668" s="57"/>
      <c r="I3668" s="44"/>
      <c r="J3668" s="44"/>
      <c r="K3668" s="44"/>
      <c r="L3668" s="152" t="s">
        <v>1247</v>
      </c>
    </row>
    <row r="3669" spans="3:15" s="59" customFormat="1" ht="21" customHeight="1">
      <c r="C3669" s="588">
        <v>1</v>
      </c>
      <c r="D3669" s="56" t="s">
        <v>5</v>
      </c>
      <c r="E3669" s="577" t="s">
        <v>6</v>
      </c>
      <c r="F3669" s="62">
        <v>2.202</v>
      </c>
      <c r="G3669" s="63">
        <f>VLOOKUP(D3669,upahbahan,3,FALSE)</f>
        <v>100000</v>
      </c>
      <c r="H3669" s="63">
        <f>F3669*G3669</f>
        <v>220200</v>
      </c>
      <c r="I3669" s="44"/>
      <c r="J3669" s="44"/>
      <c r="K3669" s="44"/>
      <c r="L3669" s="152" t="s">
        <v>1248</v>
      </c>
      <c r="O3669" s="65">
        <v>0.1</v>
      </c>
    </row>
    <row r="3670" spans="3:15" s="59" customFormat="1" ht="21" customHeight="1">
      <c r="C3670" s="588">
        <v>2</v>
      </c>
      <c r="D3670" s="56" t="s">
        <v>10</v>
      </c>
      <c r="E3670" s="577" t="s">
        <v>6</v>
      </c>
      <c r="F3670" s="62">
        <v>3.6779999999999999</v>
      </c>
      <c r="G3670" s="63">
        <f>VLOOKUP(D3670,upahbahan,3,FALSE)</f>
        <v>135000</v>
      </c>
      <c r="H3670" s="63">
        <f>F3670*G3670</f>
        <v>496530</v>
      </c>
      <c r="I3670" s="44"/>
      <c r="J3670" s="44"/>
      <c r="K3670" s="44"/>
    </row>
    <row r="3671" spans="3:15" s="59" customFormat="1" ht="21" customHeight="1">
      <c r="C3671" s="588">
        <v>3</v>
      </c>
      <c r="D3671" s="56" t="s">
        <v>18</v>
      </c>
      <c r="E3671" s="577" t="s">
        <v>6</v>
      </c>
      <c r="F3671" s="62">
        <v>0.36799999999999999</v>
      </c>
      <c r="G3671" s="63">
        <f>VLOOKUP(D3671,upahbahan,3,FALSE)</f>
        <v>150000</v>
      </c>
      <c r="H3671" s="63">
        <f>F3671*G3671</f>
        <v>55200</v>
      </c>
      <c r="I3671" s="44"/>
      <c r="J3671" s="44"/>
      <c r="K3671" s="44"/>
    </row>
    <row r="3672" spans="3:15" s="59" customFormat="1" ht="21" customHeight="1">
      <c r="C3672" s="588">
        <v>4</v>
      </c>
      <c r="D3672" s="56" t="s">
        <v>19</v>
      </c>
      <c r="E3672" s="577" t="s">
        <v>6</v>
      </c>
      <c r="F3672" s="62">
        <v>0.11</v>
      </c>
      <c r="G3672" s="63">
        <f>VLOOKUP(D3672,upahbahan,3,FALSE)</f>
        <v>160000</v>
      </c>
      <c r="H3672" s="63">
        <f>F3672*G3672</f>
        <v>17600</v>
      </c>
      <c r="I3672" s="44"/>
      <c r="J3672" s="44"/>
      <c r="K3672" s="44"/>
    </row>
    <row r="3673" spans="3:15" s="59" customFormat="1" ht="21" customHeight="1">
      <c r="C3673" s="450" t="s">
        <v>1208</v>
      </c>
      <c r="D3673" s="67"/>
      <c r="E3673" s="67"/>
      <c r="F3673" s="142"/>
      <c r="G3673" s="153"/>
      <c r="H3673" s="63">
        <f>SUM(H3669:H3672)</f>
        <v>789530</v>
      </c>
      <c r="I3673" s="154"/>
      <c r="J3673" s="154"/>
      <c r="K3673" s="154"/>
    </row>
    <row r="3674" spans="3:15" s="59" customFormat="1" ht="21" customHeight="1">
      <c r="C3674" s="61" t="s">
        <v>1209</v>
      </c>
      <c r="D3674" s="56" t="s">
        <v>1210</v>
      </c>
      <c r="E3674" s="57"/>
      <c r="F3674" s="57"/>
      <c r="G3674" s="57"/>
      <c r="H3674" s="57"/>
      <c r="I3674" s="44"/>
      <c r="J3674" s="44"/>
      <c r="K3674" s="44"/>
    </row>
    <row r="3675" spans="3:15" s="59" customFormat="1" ht="21" customHeight="1">
      <c r="C3675" s="61">
        <v>1</v>
      </c>
      <c r="D3675" s="56" t="s">
        <v>4197</v>
      </c>
      <c r="E3675" s="93" t="s">
        <v>135</v>
      </c>
      <c r="F3675" s="104">
        <v>1.3</v>
      </c>
      <c r="G3675" s="63">
        <f>VLOOKUP(D3675,upahbahan,3,FALSE)</f>
        <v>1945000</v>
      </c>
      <c r="H3675" s="586">
        <f>G3675*F3675</f>
        <v>2528500</v>
      </c>
      <c r="I3675" s="44"/>
      <c r="J3675" s="44"/>
      <c r="K3675" s="44"/>
    </row>
    <row r="3676" spans="3:15" s="59" customFormat="1" ht="21" customHeight="1">
      <c r="C3676" s="450" t="s">
        <v>1214</v>
      </c>
      <c r="D3676" s="67"/>
      <c r="E3676" s="67"/>
      <c r="F3676" s="67"/>
      <c r="G3676" s="69"/>
      <c r="H3676" s="63">
        <f>SUM(H3675:H3675)</f>
        <v>2528500</v>
      </c>
      <c r="I3676" s="44"/>
      <c r="J3676" s="44"/>
      <c r="K3676" s="44"/>
    </row>
    <row r="3677" spans="3:15" s="59" customFormat="1" ht="21" customHeight="1">
      <c r="C3677" s="61" t="s">
        <v>1215</v>
      </c>
      <c r="D3677" s="56" t="s">
        <v>1216</v>
      </c>
      <c r="E3677" s="57"/>
      <c r="F3677" s="57"/>
      <c r="G3677" s="57"/>
      <c r="H3677" s="57"/>
      <c r="I3677" s="44"/>
      <c r="J3677" s="44"/>
      <c r="K3677" s="44"/>
    </row>
    <row r="3678" spans="3:15" s="59" customFormat="1" ht="21" customHeight="1">
      <c r="C3678" s="450" t="s">
        <v>1217</v>
      </c>
      <c r="D3678" s="67"/>
      <c r="E3678" s="67"/>
      <c r="F3678" s="67"/>
      <c r="G3678" s="69"/>
      <c r="H3678" s="589">
        <v>0</v>
      </c>
      <c r="I3678" s="44"/>
      <c r="J3678" s="44"/>
      <c r="K3678" s="44"/>
    </row>
    <row r="3679" spans="3:15" s="59" customFormat="1" ht="21" customHeight="1">
      <c r="C3679" s="288" t="s">
        <v>1218</v>
      </c>
      <c r="D3679" s="76" t="s">
        <v>1219</v>
      </c>
      <c r="E3679" s="77"/>
      <c r="F3679" s="77"/>
      <c r="G3679" s="78"/>
      <c r="H3679" s="585">
        <f>H3678+H3676+H3673</f>
        <v>3318030</v>
      </c>
      <c r="I3679" s="369"/>
      <c r="J3679" s="44"/>
      <c r="K3679" s="44"/>
    </row>
    <row r="3680" spans="3:15" s="59" customFormat="1" ht="21" customHeight="1">
      <c r="C3680" s="288" t="s">
        <v>1220</v>
      </c>
      <c r="D3680" s="76" t="s">
        <v>1321</v>
      </c>
      <c r="E3680" s="77"/>
      <c r="F3680" s="78"/>
      <c r="G3680" s="80">
        <v>0.1</v>
      </c>
      <c r="H3680" s="63">
        <f>H3679*G3680</f>
        <v>331803</v>
      </c>
      <c r="I3680" s="369"/>
      <c r="J3680" s="44"/>
      <c r="K3680" s="44"/>
    </row>
    <row r="3681" spans="3:15" s="59" customFormat="1" ht="21" customHeight="1">
      <c r="C3681" s="288" t="s">
        <v>1221</v>
      </c>
      <c r="D3681" s="76" t="s">
        <v>1222</v>
      </c>
      <c r="E3681" s="77"/>
      <c r="F3681" s="77"/>
      <c r="G3681" s="78"/>
      <c r="H3681" s="799">
        <f>SUM(H3679:H3680)</f>
        <v>3649833</v>
      </c>
      <c r="I3681" s="369"/>
      <c r="J3681" s="44"/>
      <c r="K3681" s="44"/>
    </row>
    <row r="3682" spans="3:15" ht="21" customHeight="1"/>
    <row r="3683" spans="3:15" ht="21" customHeight="1">
      <c r="C3683" s="43" t="s">
        <v>8343</v>
      </c>
      <c r="D3683" s="128" t="s">
        <v>4199</v>
      </c>
    </row>
    <row r="3684" spans="3:15" s="59" customFormat="1" ht="21" customHeight="1">
      <c r="C3684" s="147" t="s">
        <v>5424</v>
      </c>
      <c r="D3684" s="794" t="s">
        <v>4200</v>
      </c>
      <c r="E3684" s="795"/>
      <c r="F3684" s="795"/>
      <c r="G3684" s="795"/>
      <c r="H3684" s="795"/>
      <c r="I3684" s="50">
        <f>ROUNDDOWN(H3699,-2)</f>
        <v>253800</v>
      </c>
      <c r="J3684" s="50"/>
      <c r="K3684" s="50"/>
    </row>
    <row r="3685" spans="3:15" s="59" customFormat="1" ht="21" customHeight="1">
      <c r="C3685" s="591" t="s">
        <v>1195</v>
      </c>
      <c r="D3685" s="591" t="s">
        <v>1196</v>
      </c>
      <c r="E3685" s="591" t="s">
        <v>1197</v>
      </c>
      <c r="F3685" s="591" t="s">
        <v>1198</v>
      </c>
      <c r="G3685" s="591" t="s">
        <v>1199</v>
      </c>
      <c r="H3685" s="591" t="s">
        <v>1200</v>
      </c>
      <c r="I3685" s="44"/>
      <c r="J3685" s="44"/>
      <c r="K3685" s="44"/>
    </row>
    <row r="3686" spans="3:15" s="59" customFormat="1" ht="21" customHeight="1">
      <c r="C3686" s="61" t="s">
        <v>1201</v>
      </c>
      <c r="D3686" s="56" t="s">
        <v>1202</v>
      </c>
      <c r="E3686" s="57"/>
      <c r="F3686" s="57"/>
      <c r="G3686" s="57"/>
      <c r="H3686" s="57"/>
      <c r="I3686" s="44"/>
      <c r="J3686" s="44"/>
      <c r="K3686" s="44"/>
      <c r="L3686" s="152" t="s">
        <v>1247</v>
      </c>
    </row>
    <row r="3687" spans="3:15" s="59" customFormat="1" ht="21" customHeight="1">
      <c r="C3687" s="588">
        <v>1</v>
      </c>
      <c r="D3687" s="56" t="s">
        <v>5</v>
      </c>
      <c r="E3687" s="577" t="s">
        <v>6</v>
      </c>
      <c r="F3687" s="62">
        <v>0.20699999999999999</v>
      </c>
      <c r="G3687" s="63">
        <f>VLOOKUP(D3687,upahbahan,3,FALSE)</f>
        <v>100000</v>
      </c>
      <c r="H3687" s="63">
        <f>F3687*G3687</f>
        <v>20700</v>
      </c>
      <c r="I3687" s="44"/>
      <c r="J3687" s="44"/>
      <c r="K3687" s="44"/>
      <c r="L3687" s="152" t="s">
        <v>1248</v>
      </c>
      <c r="O3687" s="65">
        <v>0.1</v>
      </c>
    </row>
    <row r="3688" spans="3:15" s="59" customFormat="1" ht="21" customHeight="1">
      <c r="C3688" s="588">
        <v>2</v>
      </c>
      <c r="D3688" s="56" t="s">
        <v>10</v>
      </c>
      <c r="E3688" s="577" t="s">
        <v>6</v>
      </c>
      <c r="F3688" s="62">
        <v>0.34599999999999997</v>
      </c>
      <c r="G3688" s="63">
        <f>VLOOKUP(D3688,upahbahan,3,FALSE)</f>
        <v>135000</v>
      </c>
      <c r="H3688" s="63">
        <f>F3688*G3688</f>
        <v>46710</v>
      </c>
      <c r="I3688" s="44"/>
      <c r="J3688" s="44"/>
      <c r="K3688" s="44"/>
    </row>
    <row r="3689" spans="3:15" s="59" customFormat="1" ht="21" customHeight="1">
      <c r="C3689" s="588">
        <v>3</v>
      </c>
      <c r="D3689" s="56" t="s">
        <v>18</v>
      </c>
      <c r="E3689" s="577" t="s">
        <v>6</v>
      </c>
      <c r="F3689" s="62">
        <v>3.5000000000000003E-2</v>
      </c>
      <c r="G3689" s="63">
        <f>VLOOKUP(D3689,upahbahan,3,FALSE)</f>
        <v>150000</v>
      </c>
      <c r="H3689" s="63">
        <f>F3689*G3689</f>
        <v>5250.0000000000009</v>
      </c>
      <c r="I3689" s="44"/>
      <c r="J3689" s="44"/>
      <c r="K3689" s="44"/>
    </row>
    <row r="3690" spans="3:15" s="59" customFormat="1" ht="21" customHeight="1">
      <c r="C3690" s="588">
        <v>4</v>
      </c>
      <c r="D3690" s="56" t="s">
        <v>19</v>
      </c>
      <c r="E3690" s="577" t="s">
        <v>6</v>
      </c>
      <c r="F3690" s="62">
        <v>0.01</v>
      </c>
      <c r="G3690" s="63">
        <f>VLOOKUP(D3690,upahbahan,3,FALSE)</f>
        <v>160000</v>
      </c>
      <c r="H3690" s="63">
        <f>F3690*G3690</f>
        <v>1600</v>
      </c>
      <c r="I3690" s="44"/>
      <c r="J3690" s="44"/>
      <c r="K3690" s="44"/>
    </row>
    <row r="3691" spans="3:15" s="59" customFormat="1" ht="21" customHeight="1">
      <c r="C3691" s="450" t="s">
        <v>1208</v>
      </c>
      <c r="D3691" s="67"/>
      <c r="E3691" s="67"/>
      <c r="F3691" s="142"/>
      <c r="G3691" s="153"/>
      <c r="H3691" s="63">
        <f>SUM(H3687:H3690)</f>
        <v>74260</v>
      </c>
      <c r="I3691" s="154"/>
      <c r="J3691" s="154"/>
      <c r="K3691" s="154"/>
    </row>
    <row r="3692" spans="3:15" s="59" customFormat="1" ht="21" customHeight="1">
      <c r="C3692" s="61" t="s">
        <v>1209</v>
      </c>
      <c r="D3692" s="56" t="s">
        <v>1210</v>
      </c>
      <c r="E3692" s="57"/>
      <c r="F3692" s="57"/>
      <c r="G3692" s="57"/>
      <c r="H3692" s="57"/>
      <c r="I3692" s="44"/>
      <c r="J3692" s="44"/>
      <c r="K3692" s="44"/>
    </row>
    <row r="3693" spans="3:15" s="59" customFormat="1" ht="21" customHeight="1">
      <c r="C3693" s="61">
        <v>1</v>
      </c>
      <c r="D3693" s="56" t="s">
        <v>4201</v>
      </c>
      <c r="E3693" s="93" t="s">
        <v>135</v>
      </c>
      <c r="F3693" s="104">
        <v>1.1499999999999999</v>
      </c>
      <c r="G3693" s="63">
        <f>VLOOKUP(D3693,upahbahan,3,FALSE)</f>
        <v>136100</v>
      </c>
      <c r="H3693" s="586">
        <f>G3693*F3693</f>
        <v>156515</v>
      </c>
      <c r="I3693" s="44"/>
      <c r="J3693" s="44"/>
      <c r="K3693" s="44"/>
    </row>
    <row r="3694" spans="3:15" s="59" customFormat="1" ht="21" customHeight="1">
      <c r="C3694" s="450" t="s">
        <v>1214</v>
      </c>
      <c r="D3694" s="67"/>
      <c r="E3694" s="67"/>
      <c r="F3694" s="67"/>
      <c r="G3694" s="69"/>
      <c r="H3694" s="63">
        <f>SUM(H3693:H3693)</f>
        <v>156515</v>
      </c>
      <c r="I3694" s="44"/>
      <c r="J3694" s="44"/>
      <c r="K3694" s="44"/>
    </row>
    <row r="3695" spans="3:15" s="59" customFormat="1" ht="21" customHeight="1">
      <c r="C3695" s="61" t="s">
        <v>1215</v>
      </c>
      <c r="D3695" s="56" t="s">
        <v>1216</v>
      </c>
      <c r="E3695" s="57"/>
      <c r="F3695" s="57"/>
      <c r="G3695" s="57"/>
      <c r="H3695" s="57"/>
      <c r="I3695" s="44"/>
      <c r="J3695" s="44"/>
      <c r="K3695" s="44"/>
    </row>
    <row r="3696" spans="3:15" s="59" customFormat="1" ht="21" customHeight="1">
      <c r="C3696" s="450" t="s">
        <v>1217</v>
      </c>
      <c r="D3696" s="67"/>
      <c r="E3696" s="67"/>
      <c r="F3696" s="67"/>
      <c r="G3696" s="69"/>
      <c r="H3696" s="589">
        <v>0</v>
      </c>
      <c r="I3696" s="44"/>
      <c r="J3696" s="44"/>
      <c r="K3696" s="44"/>
    </row>
    <row r="3697" spans="3:15" s="59" customFormat="1" ht="21" customHeight="1">
      <c r="C3697" s="288" t="s">
        <v>1218</v>
      </c>
      <c r="D3697" s="76" t="s">
        <v>1219</v>
      </c>
      <c r="E3697" s="77"/>
      <c r="F3697" s="77"/>
      <c r="G3697" s="78"/>
      <c r="H3697" s="585">
        <f>H3696+H3694+H3691</f>
        <v>230775</v>
      </c>
      <c r="I3697" s="369"/>
      <c r="J3697" s="44"/>
      <c r="K3697" s="44"/>
    </row>
    <row r="3698" spans="3:15" s="59" customFormat="1" ht="21" customHeight="1">
      <c r="C3698" s="288" t="s">
        <v>1220</v>
      </c>
      <c r="D3698" s="76" t="s">
        <v>1321</v>
      </c>
      <c r="E3698" s="77"/>
      <c r="F3698" s="78"/>
      <c r="G3698" s="80">
        <v>0.1</v>
      </c>
      <c r="H3698" s="63">
        <f>H3697*G3698</f>
        <v>23077.5</v>
      </c>
      <c r="I3698" s="369"/>
      <c r="J3698" s="44"/>
      <c r="K3698" s="44"/>
    </row>
    <row r="3699" spans="3:15" s="59" customFormat="1" ht="21" customHeight="1">
      <c r="C3699" s="288" t="s">
        <v>1221</v>
      </c>
      <c r="D3699" s="76" t="s">
        <v>1222</v>
      </c>
      <c r="E3699" s="77"/>
      <c r="F3699" s="77"/>
      <c r="G3699" s="78"/>
      <c r="H3699" s="799">
        <f>SUM(H3697:H3698)</f>
        <v>253852.5</v>
      </c>
      <c r="I3699" s="369"/>
      <c r="J3699" s="44"/>
      <c r="K3699" s="44"/>
    </row>
    <row r="3700" spans="3:15" ht="21" customHeight="1"/>
    <row r="3701" spans="3:15" s="59" customFormat="1" ht="21" customHeight="1">
      <c r="C3701" s="147" t="s">
        <v>5425</v>
      </c>
      <c r="D3701" s="794" t="s">
        <v>4202</v>
      </c>
      <c r="E3701" s="795"/>
      <c r="F3701" s="795"/>
      <c r="G3701" s="795"/>
      <c r="H3701" s="795"/>
      <c r="I3701" s="50">
        <f>ROUNDDOWN(H3716,-2)</f>
        <v>318200</v>
      </c>
      <c r="J3701" s="50"/>
      <c r="K3701" s="50"/>
    </row>
    <row r="3702" spans="3:15" s="59" customFormat="1" ht="21" customHeight="1">
      <c r="C3702" s="591" t="s">
        <v>1195</v>
      </c>
      <c r="D3702" s="591" t="s">
        <v>1196</v>
      </c>
      <c r="E3702" s="591" t="s">
        <v>1197</v>
      </c>
      <c r="F3702" s="591" t="s">
        <v>1198</v>
      </c>
      <c r="G3702" s="591" t="s">
        <v>1199</v>
      </c>
      <c r="H3702" s="591" t="s">
        <v>1200</v>
      </c>
      <c r="I3702" s="44"/>
      <c r="J3702" s="44"/>
      <c r="K3702" s="44"/>
    </row>
    <row r="3703" spans="3:15" s="59" customFormat="1" ht="21" customHeight="1">
      <c r="C3703" s="61" t="s">
        <v>1201</v>
      </c>
      <c r="D3703" s="56" t="s">
        <v>1202</v>
      </c>
      <c r="E3703" s="57"/>
      <c r="F3703" s="57"/>
      <c r="G3703" s="57"/>
      <c r="H3703" s="57"/>
      <c r="I3703" s="44"/>
      <c r="J3703" s="44"/>
      <c r="K3703" s="44"/>
      <c r="L3703" s="152" t="s">
        <v>1247</v>
      </c>
    </row>
    <row r="3704" spans="3:15" s="59" customFormat="1" ht="21" customHeight="1">
      <c r="C3704" s="588">
        <v>1</v>
      </c>
      <c r="D3704" s="56" t="s">
        <v>5</v>
      </c>
      <c r="E3704" s="577" t="s">
        <v>6</v>
      </c>
      <c r="F3704" s="62">
        <v>0.26</v>
      </c>
      <c r="G3704" s="63">
        <f>VLOOKUP(D3704,upahbahan,3,FALSE)</f>
        <v>100000</v>
      </c>
      <c r="H3704" s="63">
        <f>F3704*G3704</f>
        <v>26000</v>
      </c>
      <c r="I3704" s="44"/>
      <c r="J3704" s="44"/>
      <c r="K3704" s="44"/>
      <c r="L3704" s="152" t="s">
        <v>1248</v>
      </c>
      <c r="O3704" s="65">
        <v>0.1</v>
      </c>
    </row>
    <row r="3705" spans="3:15" s="59" customFormat="1" ht="21" customHeight="1">
      <c r="C3705" s="588">
        <v>2</v>
      </c>
      <c r="D3705" s="56" t="s">
        <v>10</v>
      </c>
      <c r="E3705" s="577" t="s">
        <v>6</v>
      </c>
      <c r="F3705" s="62">
        <v>0.433</v>
      </c>
      <c r="G3705" s="63">
        <f>VLOOKUP(D3705,upahbahan,3,FALSE)</f>
        <v>135000</v>
      </c>
      <c r="H3705" s="63">
        <f>F3705*G3705</f>
        <v>58455</v>
      </c>
      <c r="I3705" s="44"/>
      <c r="J3705" s="44"/>
      <c r="K3705" s="44"/>
    </row>
    <row r="3706" spans="3:15" s="59" customFormat="1" ht="21" customHeight="1">
      <c r="C3706" s="588">
        <v>3</v>
      </c>
      <c r="D3706" s="56" t="s">
        <v>18</v>
      </c>
      <c r="E3706" s="577" t="s">
        <v>6</v>
      </c>
      <c r="F3706" s="62">
        <v>4.2999999999999997E-2</v>
      </c>
      <c r="G3706" s="63">
        <f>VLOOKUP(D3706,upahbahan,3,FALSE)</f>
        <v>150000</v>
      </c>
      <c r="H3706" s="63">
        <f>F3706*G3706</f>
        <v>6449.9999999999991</v>
      </c>
      <c r="I3706" s="44"/>
      <c r="J3706" s="44"/>
      <c r="K3706" s="44"/>
    </row>
    <row r="3707" spans="3:15" s="59" customFormat="1" ht="21" customHeight="1">
      <c r="C3707" s="588">
        <v>4</v>
      </c>
      <c r="D3707" s="56" t="s">
        <v>19</v>
      </c>
      <c r="E3707" s="577" t="s">
        <v>6</v>
      </c>
      <c r="F3707" s="62">
        <v>1.2999999999999999E-2</v>
      </c>
      <c r="G3707" s="63">
        <f>VLOOKUP(D3707,upahbahan,3,FALSE)</f>
        <v>160000</v>
      </c>
      <c r="H3707" s="63">
        <f>F3707*G3707</f>
        <v>2080</v>
      </c>
      <c r="I3707" s="44"/>
      <c r="J3707" s="44"/>
      <c r="K3707" s="44"/>
    </row>
    <row r="3708" spans="3:15" s="59" customFormat="1" ht="21" customHeight="1">
      <c r="C3708" s="450" t="s">
        <v>1208</v>
      </c>
      <c r="D3708" s="67"/>
      <c r="E3708" s="67"/>
      <c r="F3708" s="142"/>
      <c r="G3708" s="153"/>
      <c r="H3708" s="63">
        <f>SUM(H3704:H3707)</f>
        <v>92985</v>
      </c>
      <c r="I3708" s="154"/>
      <c r="J3708" s="154"/>
      <c r="K3708" s="154"/>
    </row>
    <row r="3709" spans="3:15" s="59" customFormat="1" ht="21" customHeight="1">
      <c r="C3709" s="61" t="s">
        <v>1209</v>
      </c>
      <c r="D3709" s="56" t="s">
        <v>1210</v>
      </c>
      <c r="E3709" s="57"/>
      <c r="F3709" s="57"/>
      <c r="G3709" s="57"/>
      <c r="H3709" s="57"/>
      <c r="I3709" s="44"/>
      <c r="J3709" s="44"/>
      <c r="K3709" s="44"/>
    </row>
    <row r="3710" spans="3:15" s="59" customFormat="1" ht="21" customHeight="1">
      <c r="C3710" s="61">
        <v>1</v>
      </c>
      <c r="D3710" s="56" t="s">
        <v>4203</v>
      </c>
      <c r="E3710" s="93" t="s">
        <v>135</v>
      </c>
      <c r="F3710" s="104">
        <v>1.1499999999999999</v>
      </c>
      <c r="G3710" s="63">
        <f>VLOOKUP(D3710,upahbahan,3,FALSE)</f>
        <v>170700</v>
      </c>
      <c r="H3710" s="586">
        <f>G3710*F3710</f>
        <v>196304.99999999997</v>
      </c>
      <c r="I3710" s="44"/>
      <c r="J3710" s="44"/>
      <c r="K3710" s="44"/>
    </row>
    <row r="3711" spans="3:15" s="59" customFormat="1" ht="21" customHeight="1">
      <c r="C3711" s="450" t="s">
        <v>1214</v>
      </c>
      <c r="D3711" s="67"/>
      <c r="E3711" s="67"/>
      <c r="F3711" s="67"/>
      <c r="G3711" s="69"/>
      <c r="H3711" s="63">
        <f>SUM(H3710:H3710)</f>
        <v>196304.99999999997</v>
      </c>
      <c r="I3711" s="44"/>
      <c r="J3711" s="44"/>
      <c r="K3711" s="44"/>
    </row>
    <row r="3712" spans="3:15" s="59" customFormat="1" ht="21" customHeight="1">
      <c r="C3712" s="61" t="s">
        <v>1215</v>
      </c>
      <c r="D3712" s="56" t="s">
        <v>1216</v>
      </c>
      <c r="E3712" s="57"/>
      <c r="F3712" s="57"/>
      <c r="G3712" s="57"/>
      <c r="H3712" s="57"/>
      <c r="I3712" s="44"/>
      <c r="J3712" s="44"/>
      <c r="K3712" s="44"/>
    </row>
    <row r="3713" spans="3:15" s="59" customFormat="1" ht="21" customHeight="1">
      <c r="C3713" s="450" t="s">
        <v>1217</v>
      </c>
      <c r="D3713" s="67"/>
      <c r="E3713" s="67"/>
      <c r="F3713" s="67"/>
      <c r="G3713" s="69"/>
      <c r="H3713" s="589">
        <v>0</v>
      </c>
      <c r="I3713" s="44"/>
      <c r="J3713" s="44"/>
      <c r="K3713" s="44"/>
    </row>
    <row r="3714" spans="3:15" s="59" customFormat="1" ht="21" customHeight="1">
      <c r="C3714" s="288" t="s">
        <v>1218</v>
      </c>
      <c r="D3714" s="76" t="s">
        <v>1219</v>
      </c>
      <c r="E3714" s="77"/>
      <c r="F3714" s="77"/>
      <c r="G3714" s="78"/>
      <c r="H3714" s="585">
        <f>H3713+H3711+H3708</f>
        <v>289290</v>
      </c>
      <c r="I3714" s="369"/>
      <c r="J3714" s="44"/>
      <c r="K3714" s="44"/>
    </row>
    <row r="3715" spans="3:15" s="59" customFormat="1" ht="21" customHeight="1">
      <c r="C3715" s="288" t="s">
        <v>1220</v>
      </c>
      <c r="D3715" s="76" t="s">
        <v>1321</v>
      </c>
      <c r="E3715" s="77"/>
      <c r="F3715" s="78"/>
      <c r="G3715" s="80">
        <v>0.1</v>
      </c>
      <c r="H3715" s="63">
        <f>H3714*G3715</f>
        <v>28929</v>
      </c>
      <c r="I3715" s="369"/>
      <c r="J3715" s="44"/>
      <c r="K3715" s="44"/>
    </row>
    <row r="3716" spans="3:15" s="59" customFormat="1" ht="21" customHeight="1">
      <c r="C3716" s="288" t="s">
        <v>1221</v>
      </c>
      <c r="D3716" s="76" t="s">
        <v>1222</v>
      </c>
      <c r="E3716" s="77"/>
      <c r="F3716" s="77"/>
      <c r="G3716" s="78"/>
      <c r="H3716" s="799">
        <f>SUM(H3714:H3715)</f>
        <v>318219</v>
      </c>
      <c r="I3716" s="369"/>
      <c r="J3716" s="44"/>
      <c r="K3716" s="44"/>
    </row>
    <row r="3717" spans="3:15" ht="21" customHeight="1"/>
    <row r="3718" spans="3:15" s="59" customFormat="1" ht="21" customHeight="1">
      <c r="C3718" s="147" t="s">
        <v>5426</v>
      </c>
      <c r="D3718" s="794" t="s">
        <v>4204</v>
      </c>
      <c r="E3718" s="795"/>
      <c r="F3718" s="795"/>
      <c r="G3718" s="795"/>
      <c r="H3718" s="795"/>
      <c r="I3718" s="50">
        <f>ROUNDDOWN(H3733,-2)</f>
        <v>581100</v>
      </c>
      <c r="J3718" s="50"/>
      <c r="K3718" s="50"/>
    </row>
    <row r="3719" spans="3:15" s="59" customFormat="1" ht="21" customHeight="1">
      <c r="C3719" s="591" t="s">
        <v>1195</v>
      </c>
      <c r="D3719" s="591" t="s">
        <v>1196</v>
      </c>
      <c r="E3719" s="591" t="s">
        <v>1197</v>
      </c>
      <c r="F3719" s="591" t="s">
        <v>1198</v>
      </c>
      <c r="G3719" s="591" t="s">
        <v>1199</v>
      </c>
      <c r="H3719" s="591" t="s">
        <v>1200</v>
      </c>
      <c r="I3719" s="44"/>
      <c r="J3719" s="44"/>
      <c r="K3719" s="44"/>
    </row>
    <row r="3720" spans="3:15" s="59" customFormat="1" ht="21" customHeight="1">
      <c r="C3720" s="61" t="s">
        <v>1201</v>
      </c>
      <c r="D3720" s="56" t="s">
        <v>1202</v>
      </c>
      <c r="E3720" s="57"/>
      <c r="F3720" s="57"/>
      <c r="G3720" s="57"/>
      <c r="H3720" s="57"/>
      <c r="I3720" s="44"/>
      <c r="J3720" s="44"/>
      <c r="K3720" s="44"/>
      <c r="L3720" s="152" t="s">
        <v>1247</v>
      </c>
    </row>
    <row r="3721" spans="3:15" s="59" customFormat="1" ht="21" customHeight="1">
      <c r="C3721" s="588">
        <v>1</v>
      </c>
      <c r="D3721" s="56" t="s">
        <v>5</v>
      </c>
      <c r="E3721" s="577" t="s">
        <v>6</v>
      </c>
      <c r="F3721" s="62">
        <v>0.47099999999999997</v>
      </c>
      <c r="G3721" s="63">
        <f>VLOOKUP(D3721,upahbahan,3,FALSE)</f>
        <v>100000</v>
      </c>
      <c r="H3721" s="63">
        <f>F3721*G3721</f>
        <v>47100</v>
      </c>
      <c r="I3721" s="44"/>
      <c r="J3721" s="44"/>
      <c r="K3721" s="44"/>
      <c r="L3721" s="152" t="s">
        <v>1248</v>
      </c>
      <c r="O3721" s="65">
        <v>0.1</v>
      </c>
    </row>
    <row r="3722" spans="3:15" s="59" customFormat="1" ht="21" customHeight="1">
      <c r="C3722" s="588">
        <v>2</v>
      </c>
      <c r="D3722" s="56" t="s">
        <v>10</v>
      </c>
      <c r="E3722" s="577" t="s">
        <v>6</v>
      </c>
      <c r="F3722" s="62">
        <v>0.78700000000000003</v>
      </c>
      <c r="G3722" s="63">
        <f>VLOOKUP(D3722,upahbahan,3,FALSE)</f>
        <v>135000</v>
      </c>
      <c r="H3722" s="63">
        <f>F3722*G3722</f>
        <v>106245</v>
      </c>
      <c r="I3722" s="44"/>
      <c r="J3722" s="44"/>
      <c r="K3722" s="44"/>
    </row>
    <row r="3723" spans="3:15" s="59" customFormat="1" ht="21" customHeight="1">
      <c r="C3723" s="588">
        <v>3</v>
      </c>
      <c r="D3723" s="56" t="s">
        <v>18</v>
      </c>
      <c r="E3723" s="577" t="s">
        <v>6</v>
      </c>
      <c r="F3723" s="62">
        <v>7.9000000000000001E-2</v>
      </c>
      <c r="G3723" s="63">
        <f>VLOOKUP(D3723,upahbahan,3,FALSE)</f>
        <v>150000</v>
      </c>
      <c r="H3723" s="63">
        <f>F3723*G3723</f>
        <v>11850</v>
      </c>
      <c r="I3723" s="44"/>
      <c r="J3723" s="44"/>
      <c r="K3723" s="44"/>
    </row>
    <row r="3724" spans="3:15" s="59" customFormat="1" ht="21" customHeight="1">
      <c r="C3724" s="588">
        <v>4</v>
      </c>
      <c r="D3724" s="56" t="s">
        <v>19</v>
      </c>
      <c r="E3724" s="577" t="s">
        <v>6</v>
      </c>
      <c r="F3724" s="62">
        <v>2.4E-2</v>
      </c>
      <c r="G3724" s="63">
        <f>VLOOKUP(D3724,upahbahan,3,FALSE)</f>
        <v>160000</v>
      </c>
      <c r="H3724" s="63">
        <f>F3724*G3724</f>
        <v>3840</v>
      </c>
      <c r="I3724" s="44"/>
      <c r="J3724" s="44"/>
      <c r="K3724" s="44"/>
    </row>
    <row r="3725" spans="3:15" s="59" customFormat="1" ht="21" customHeight="1">
      <c r="C3725" s="450" t="s">
        <v>1208</v>
      </c>
      <c r="D3725" s="67"/>
      <c r="E3725" s="67"/>
      <c r="F3725" s="142"/>
      <c r="G3725" s="153"/>
      <c r="H3725" s="63">
        <f>SUM(H3721:H3724)</f>
        <v>169035</v>
      </c>
      <c r="I3725" s="154"/>
      <c r="J3725" s="154"/>
      <c r="K3725" s="154"/>
    </row>
    <row r="3726" spans="3:15" s="59" customFormat="1" ht="21" customHeight="1">
      <c r="C3726" s="61" t="s">
        <v>1209</v>
      </c>
      <c r="D3726" s="56" t="s">
        <v>1210</v>
      </c>
      <c r="E3726" s="57"/>
      <c r="F3726" s="57"/>
      <c r="G3726" s="57"/>
      <c r="H3726" s="57"/>
      <c r="I3726" s="44"/>
      <c r="J3726" s="44"/>
      <c r="K3726" s="44"/>
    </row>
    <row r="3727" spans="3:15" s="59" customFormat="1" ht="21" customHeight="1">
      <c r="C3727" s="61">
        <v>1</v>
      </c>
      <c r="D3727" s="56" t="s">
        <v>4217</v>
      </c>
      <c r="E3727" s="93" t="s">
        <v>135</v>
      </c>
      <c r="F3727" s="104">
        <v>1.3</v>
      </c>
      <c r="G3727" s="63">
        <f>VLOOKUP(D3727,upahbahan,3,FALSE)</f>
        <v>276400</v>
      </c>
      <c r="H3727" s="586">
        <f>G3727*F3727</f>
        <v>359320</v>
      </c>
      <c r="I3727" s="44"/>
      <c r="J3727" s="44"/>
      <c r="K3727" s="44"/>
    </row>
    <row r="3728" spans="3:15" s="59" customFormat="1" ht="21" customHeight="1">
      <c r="C3728" s="450" t="s">
        <v>1214</v>
      </c>
      <c r="D3728" s="67"/>
      <c r="E3728" s="67"/>
      <c r="F3728" s="67"/>
      <c r="G3728" s="69"/>
      <c r="H3728" s="63">
        <f>SUM(H3727:H3727)</f>
        <v>359320</v>
      </c>
      <c r="I3728" s="44"/>
      <c r="J3728" s="44"/>
      <c r="K3728" s="44"/>
    </row>
    <row r="3729" spans="3:15" s="59" customFormat="1" ht="21" customHeight="1">
      <c r="C3729" s="61" t="s">
        <v>1215</v>
      </c>
      <c r="D3729" s="56" t="s">
        <v>1216</v>
      </c>
      <c r="E3729" s="57"/>
      <c r="F3729" s="57"/>
      <c r="G3729" s="57"/>
      <c r="H3729" s="57"/>
      <c r="I3729" s="44"/>
      <c r="J3729" s="44"/>
      <c r="K3729" s="44"/>
    </row>
    <row r="3730" spans="3:15" s="59" customFormat="1" ht="21" customHeight="1">
      <c r="C3730" s="450" t="s">
        <v>1217</v>
      </c>
      <c r="D3730" s="67"/>
      <c r="E3730" s="67"/>
      <c r="F3730" s="67"/>
      <c r="G3730" s="69"/>
      <c r="H3730" s="589">
        <v>0</v>
      </c>
      <c r="I3730" s="44"/>
      <c r="J3730" s="44"/>
      <c r="K3730" s="44"/>
    </row>
    <row r="3731" spans="3:15" s="59" customFormat="1" ht="21" customHeight="1">
      <c r="C3731" s="288" t="s">
        <v>1218</v>
      </c>
      <c r="D3731" s="76" t="s">
        <v>1219</v>
      </c>
      <c r="E3731" s="77"/>
      <c r="F3731" s="77"/>
      <c r="G3731" s="78"/>
      <c r="H3731" s="585">
        <f>H3730+H3728+H3725</f>
        <v>528355</v>
      </c>
      <c r="I3731" s="369"/>
      <c r="J3731" s="44"/>
      <c r="K3731" s="44"/>
    </row>
    <row r="3732" spans="3:15" s="59" customFormat="1" ht="21" customHeight="1">
      <c r="C3732" s="288" t="s">
        <v>1220</v>
      </c>
      <c r="D3732" s="76" t="s">
        <v>1321</v>
      </c>
      <c r="E3732" s="77"/>
      <c r="F3732" s="78"/>
      <c r="G3732" s="80">
        <v>0.1</v>
      </c>
      <c r="H3732" s="63">
        <f>H3731*G3732</f>
        <v>52835.5</v>
      </c>
      <c r="I3732" s="369"/>
      <c r="J3732" s="44"/>
      <c r="K3732" s="44"/>
    </row>
    <row r="3733" spans="3:15" s="59" customFormat="1" ht="21" customHeight="1">
      <c r="C3733" s="288" t="s">
        <v>1221</v>
      </c>
      <c r="D3733" s="76" t="s">
        <v>1222</v>
      </c>
      <c r="E3733" s="77"/>
      <c r="F3733" s="77"/>
      <c r="G3733" s="78"/>
      <c r="H3733" s="799">
        <f>SUM(H3731:H3732)</f>
        <v>581190.5</v>
      </c>
      <c r="I3733" s="369"/>
      <c r="J3733" s="44"/>
      <c r="K3733" s="44"/>
    </row>
    <row r="3734" spans="3:15" ht="21" customHeight="1"/>
    <row r="3735" spans="3:15" s="59" customFormat="1" ht="21" customHeight="1">
      <c r="C3735" s="147" t="s">
        <v>5427</v>
      </c>
      <c r="D3735" s="794" t="s">
        <v>4205</v>
      </c>
      <c r="E3735" s="795"/>
      <c r="F3735" s="795"/>
      <c r="G3735" s="795"/>
      <c r="H3735" s="795"/>
      <c r="I3735" s="50">
        <f>ROUNDDOWN(H3750,-2)</f>
        <v>683000</v>
      </c>
      <c r="J3735" s="50"/>
      <c r="K3735" s="50"/>
    </row>
    <row r="3736" spans="3:15" s="59" customFormat="1" ht="21" customHeight="1">
      <c r="C3736" s="591" t="s">
        <v>1195</v>
      </c>
      <c r="D3736" s="591" t="s">
        <v>1196</v>
      </c>
      <c r="E3736" s="591" t="s">
        <v>1197</v>
      </c>
      <c r="F3736" s="591" t="s">
        <v>1198</v>
      </c>
      <c r="G3736" s="591" t="s">
        <v>1199</v>
      </c>
      <c r="H3736" s="591" t="s">
        <v>1200</v>
      </c>
      <c r="I3736" s="44"/>
      <c r="J3736" s="44"/>
      <c r="K3736" s="44"/>
    </row>
    <row r="3737" spans="3:15" s="59" customFormat="1" ht="21" customHeight="1">
      <c r="C3737" s="61" t="s">
        <v>1201</v>
      </c>
      <c r="D3737" s="56" t="s">
        <v>1202</v>
      </c>
      <c r="E3737" s="57"/>
      <c r="F3737" s="57"/>
      <c r="G3737" s="57"/>
      <c r="H3737" s="57"/>
      <c r="I3737" s="44"/>
      <c r="J3737" s="44"/>
      <c r="K3737" s="44"/>
      <c r="L3737" s="152" t="s">
        <v>1247</v>
      </c>
    </row>
    <row r="3738" spans="3:15" s="59" customFormat="1" ht="21" customHeight="1">
      <c r="C3738" s="588">
        <v>1</v>
      </c>
      <c r="D3738" s="56" t="s">
        <v>5</v>
      </c>
      <c r="E3738" s="577" t="s">
        <v>6</v>
      </c>
      <c r="F3738" s="62">
        <v>0.63100000000000001</v>
      </c>
      <c r="G3738" s="63">
        <f>VLOOKUP(D3738,upahbahan,3,FALSE)</f>
        <v>100000</v>
      </c>
      <c r="H3738" s="63">
        <f>F3738*G3738</f>
        <v>63100</v>
      </c>
      <c r="I3738" s="44"/>
      <c r="J3738" s="44"/>
      <c r="K3738" s="44"/>
      <c r="L3738" s="152" t="s">
        <v>1248</v>
      </c>
      <c r="O3738" s="65">
        <v>0.1</v>
      </c>
    </row>
    <row r="3739" spans="3:15" s="59" customFormat="1" ht="21" customHeight="1">
      <c r="C3739" s="588">
        <v>2</v>
      </c>
      <c r="D3739" s="56" t="s">
        <v>10</v>
      </c>
      <c r="E3739" s="577" t="s">
        <v>6</v>
      </c>
      <c r="F3739" s="62">
        <v>1.054</v>
      </c>
      <c r="G3739" s="63">
        <f>VLOOKUP(D3739,upahbahan,3,FALSE)</f>
        <v>135000</v>
      </c>
      <c r="H3739" s="63">
        <f>F3739*G3739</f>
        <v>142290</v>
      </c>
      <c r="I3739" s="44"/>
      <c r="J3739" s="44"/>
      <c r="K3739" s="44"/>
    </row>
    <row r="3740" spans="3:15" s="59" customFormat="1" ht="21" customHeight="1">
      <c r="C3740" s="588">
        <v>3</v>
      </c>
      <c r="D3740" s="56" t="s">
        <v>18</v>
      </c>
      <c r="E3740" s="577" t="s">
        <v>6</v>
      </c>
      <c r="F3740" s="62">
        <v>0.105</v>
      </c>
      <c r="G3740" s="63">
        <f>VLOOKUP(D3740,upahbahan,3,FALSE)</f>
        <v>150000</v>
      </c>
      <c r="H3740" s="63">
        <f>F3740*G3740</f>
        <v>15750</v>
      </c>
      <c r="I3740" s="44"/>
      <c r="J3740" s="44"/>
      <c r="K3740" s="44"/>
    </row>
    <row r="3741" spans="3:15" s="59" customFormat="1" ht="21" customHeight="1">
      <c r="C3741" s="588">
        <v>4</v>
      </c>
      <c r="D3741" s="56" t="s">
        <v>19</v>
      </c>
      <c r="E3741" s="577" t="s">
        <v>6</v>
      </c>
      <c r="F3741" s="62">
        <v>3.2000000000000001E-2</v>
      </c>
      <c r="G3741" s="63">
        <f>VLOOKUP(D3741,upahbahan,3,FALSE)</f>
        <v>160000</v>
      </c>
      <c r="H3741" s="63">
        <f>F3741*G3741</f>
        <v>5120</v>
      </c>
      <c r="I3741" s="44"/>
      <c r="J3741" s="44"/>
      <c r="K3741" s="44"/>
    </row>
    <row r="3742" spans="3:15" s="59" customFormat="1" ht="21" customHeight="1">
      <c r="C3742" s="450" t="s">
        <v>1208</v>
      </c>
      <c r="D3742" s="67"/>
      <c r="E3742" s="67"/>
      <c r="F3742" s="142"/>
      <c r="G3742" s="153"/>
      <c r="H3742" s="63">
        <f>SUM(H3738:H3741)</f>
        <v>226260</v>
      </c>
      <c r="I3742" s="154"/>
      <c r="J3742" s="154"/>
      <c r="K3742" s="154"/>
    </row>
    <row r="3743" spans="3:15" s="59" customFormat="1" ht="21" customHeight="1">
      <c r="C3743" s="61" t="s">
        <v>1209</v>
      </c>
      <c r="D3743" s="56" t="s">
        <v>1210</v>
      </c>
      <c r="E3743" s="57"/>
      <c r="F3743" s="57"/>
      <c r="G3743" s="57"/>
      <c r="H3743" s="57"/>
      <c r="I3743" s="44"/>
      <c r="J3743" s="44"/>
      <c r="K3743" s="44"/>
    </row>
    <row r="3744" spans="3:15" s="59" customFormat="1" ht="21" customHeight="1">
      <c r="C3744" s="61">
        <v>1</v>
      </c>
      <c r="D3744" s="56" t="s">
        <v>4206</v>
      </c>
      <c r="E3744" s="93" t="s">
        <v>135</v>
      </c>
      <c r="F3744" s="104">
        <v>1.3</v>
      </c>
      <c r="G3744" s="63">
        <f>VLOOKUP(D3744,upahbahan,3,FALSE)</f>
        <v>303600</v>
      </c>
      <c r="H3744" s="586">
        <f>G3744*F3744</f>
        <v>394680</v>
      </c>
      <c r="I3744" s="44"/>
      <c r="J3744" s="44"/>
      <c r="K3744" s="44"/>
    </row>
    <row r="3745" spans="3:15" s="59" customFormat="1" ht="21" customHeight="1">
      <c r="C3745" s="450" t="s">
        <v>1214</v>
      </c>
      <c r="D3745" s="67"/>
      <c r="E3745" s="67"/>
      <c r="F3745" s="67"/>
      <c r="G3745" s="69"/>
      <c r="H3745" s="63">
        <f>SUM(H3744:H3744)</f>
        <v>394680</v>
      </c>
      <c r="I3745" s="44"/>
      <c r="J3745" s="44"/>
      <c r="K3745" s="44"/>
    </row>
    <row r="3746" spans="3:15" s="59" customFormat="1" ht="21" customHeight="1">
      <c r="C3746" s="61" t="s">
        <v>1215</v>
      </c>
      <c r="D3746" s="56" t="s">
        <v>1216</v>
      </c>
      <c r="E3746" s="57"/>
      <c r="F3746" s="57"/>
      <c r="G3746" s="57"/>
      <c r="H3746" s="57"/>
      <c r="I3746" s="44"/>
      <c r="J3746" s="44"/>
      <c r="K3746" s="44"/>
    </row>
    <row r="3747" spans="3:15" s="59" customFormat="1" ht="21" customHeight="1">
      <c r="C3747" s="450" t="s">
        <v>1217</v>
      </c>
      <c r="D3747" s="67"/>
      <c r="E3747" s="67"/>
      <c r="F3747" s="67"/>
      <c r="G3747" s="69"/>
      <c r="H3747" s="589">
        <v>0</v>
      </c>
      <c r="I3747" s="44"/>
      <c r="J3747" s="44"/>
      <c r="K3747" s="44"/>
    </row>
    <row r="3748" spans="3:15" s="59" customFormat="1" ht="21" customHeight="1">
      <c r="C3748" s="288" t="s">
        <v>1218</v>
      </c>
      <c r="D3748" s="76" t="s">
        <v>1219</v>
      </c>
      <c r="E3748" s="77"/>
      <c r="F3748" s="77"/>
      <c r="G3748" s="78"/>
      <c r="H3748" s="585">
        <f>H3747+H3745+H3742</f>
        <v>620940</v>
      </c>
      <c r="I3748" s="369"/>
      <c r="J3748" s="44"/>
      <c r="K3748" s="44"/>
    </row>
    <row r="3749" spans="3:15" s="59" customFormat="1" ht="21" customHeight="1">
      <c r="C3749" s="288" t="s">
        <v>1220</v>
      </c>
      <c r="D3749" s="76" t="s">
        <v>1321</v>
      </c>
      <c r="E3749" s="77"/>
      <c r="F3749" s="78"/>
      <c r="G3749" s="80">
        <v>0.1</v>
      </c>
      <c r="H3749" s="63">
        <f>H3748*G3749</f>
        <v>62094</v>
      </c>
      <c r="I3749" s="369"/>
      <c r="J3749" s="44"/>
      <c r="K3749" s="44"/>
    </row>
    <row r="3750" spans="3:15" s="59" customFormat="1" ht="21" customHeight="1">
      <c r="C3750" s="288" t="s">
        <v>1221</v>
      </c>
      <c r="D3750" s="76" t="s">
        <v>1222</v>
      </c>
      <c r="E3750" s="77"/>
      <c r="F3750" s="77"/>
      <c r="G3750" s="78"/>
      <c r="H3750" s="799">
        <f>SUM(H3748:H3749)</f>
        <v>683034</v>
      </c>
      <c r="I3750" s="369"/>
      <c r="J3750" s="44"/>
      <c r="K3750" s="44"/>
    </row>
    <row r="3751" spans="3:15" ht="21" customHeight="1"/>
    <row r="3752" spans="3:15" s="59" customFormat="1" ht="21" customHeight="1">
      <c r="C3752" s="147" t="s">
        <v>5428</v>
      </c>
      <c r="D3752" s="794" t="s">
        <v>4207</v>
      </c>
      <c r="E3752" s="795"/>
      <c r="F3752" s="795"/>
      <c r="G3752" s="795"/>
      <c r="H3752" s="795"/>
      <c r="I3752" s="50">
        <f>ROUNDDOWN(H3767,-2)</f>
        <v>1047400</v>
      </c>
      <c r="J3752" s="50"/>
      <c r="K3752" s="50"/>
    </row>
    <row r="3753" spans="3:15" s="59" customFormat="1" ht="21" customHeight="1">
      <c r="C3753" s="591" t="s">
        <v>1195</v>
      </c>
      <c r="D3753" s="591" t="s">
        <v>1196</v>
      </c>
      <c r="E3753" s="591" t="s">
        <v>1197</v>
      </c>
      <c r="F3753" s="591" t="s">
        <v>1198</v>
      </c>
      <c r="G3753" s="591" t="s">
        <v>1199</v>
      </c>
      <c r="H3753" s="591" t="s">
        <v>1200</v>
      </c>
      <c r="I3753" s="44"/>
      <c r="J3753" s="44"/>
      <c r="K3753" s="44"/>
    </row>
    <row r="3754" spans="3:15" s="59" customFormat="1" ht="21" customHeight="1">
      <c r="C3754" s="61" t="s">
        <v>1201</v>
      </c>
      <c r="D3754" s="56" t="s">
        <v>1202</v>
      </c>
      <c r="E3754" s="57"/>
      <c r="F3754" s="57"/>
      <c r="G3754" s="57"/>
      <c r="H3754" s="57"/>
      <c r="I3754" s="44"/>
      <c r="J3754" s="44"/>
      <c r="K3754" s="44"/>
      <c r="L3754" s="152" t="s">
        <v>1247</v>
      </c>
    </row>
    <row r="3755" spans="3:15" s="59" customFormat="1" ht="21" customHeight="1">
      <c r="C3755" s="588">
        <v>1</v>
      </c>
      <c r="D3755" s="56" t="s">
        <v>5</v>
      </c>
      <c r="E3755" s="577" t="s">
        <v>6</v>
      </c>
      <c r="F3755" s="62">
        <v>0.78800000000000003</v>
      </c>
      <c r="G3755" s="63">
        <f>VLOOKUP(D3755,upahbahan,3,FALSE)</f>
        <v>100000</v>
      </c>
      <c r="H3755" s="63">
        <f>F3755*G3755</f>
        <v>78800</v>
      </c>
      <c r="I3755" s="44"/>
      <c r="J3755" s="44"/>
      <c r="K3755" s="44"/>
      <c r="L3755" s="152" t="s">
        <v>1248</v>
      </c>
      <c r="O3755" s="65">
        <v>0.1</v>
      </c>
    </row>
    <row r="3756" spans="3:15" s="59" customFormat="1" ht="21" customHeight="1">
      <c r="C3756" s="588">
        <v>2</v>
      </c>
      <c r="D3756" s="56" t="s">
        <v>10</v>
      </c>
      <c r="E3756" s="577" t="s">
        <v>6</v>
      </c>
      <c r="F3756" s="62">
        <v>1.3160000000000001</v>
      </c>
      <c r="G3756" s="63">
        <f>VLOOKUP(D3756,upahbahan,3,FALSE)</f>
        <v>135000</v>
      </c>
      <c r="H3756" s="63">
        <f>F3756*G3756</f>
        <v>177660</v>
      </c>
      <c r="I3756" s="44"/>
      <c r="J3756" s="44"/>
      <c r="K3756" s="44"/>
    </row>
    <row r="3757" spans="3:15" s="59" customFormat="1" ht="21" customHeight="1">
      <c r="C3757" s="588">
        <v>3</v>
      </c>
      <c r="D3757" s="56" t="s">
        <v>18</v>
      </c>
      <c r="E3757" s="577" t="s">
        <v>6</v>
      </c>
      <c r="F3757" s="62">
        <v>0.13200000000000001</v>
      </c>
      <c r="G3757" s="63">
        <f>VLOOKUP(D3757,upahbahan,3,FALSE)</f>
        <v>150000</v>
      </c>
      <c r="H3757" s="63">
        <f>F3757*G3757</f>
        <v>19800</v>
      </c>
      <c r="I3757" s="44"/>
      <c r="J3757" s="44"/>
      <c r="K3757" s="44"/>
    </row>
    <row r="3758" spans="3:15" s="59" customFormat="1" ht="21" customHeight="1">
      <c r="C3758" s="588">
        <v>4</v>
      </c>
      <c r="D3758" s="56" t="s">
        <v>19</v>
      </c>
      <c r="E3758" s="577" t="s">
        <v>6</v>
      </c>
      <c r="F3758" s="62">
        <v>3.9E-2</v>
      </c>
      <c r="G3758" s="63">
        <f>VLOOKUP(D3758,upahbahan,3,FALSE)</f>
        <v>160000</v>
      </c>
      <c r="H3758" s="63">
        <f>F3758*G3758</f>
        <v>6240</v>
      </c>
      <c r="I3758" s="44"/>
      <c r="J3758" s="44"/>
      <c r="K3758" s="44"/>
    </row>
    <row r="3759" spans="3:15" s="59" customFormat="1" ht="21" customHeight="1">
      <c r="C3759" s="450" t="s">
        <v>1208</v>
      </c>
      <c r="D3759" s="67"/>
      <c r="E3759" s="67"/>
      <c r="F3759" s="142"/>
      <c r="G3759" s="153"/>
      <c r="H3759" s="63">
        <f>SUM(H3755:H3758)</f>
        <v>282500</v>
      </c>
      <c r="I3759" s="154"/>
      <c r="J3759" s="154"/>
      <c r="K3759" s="154"/>
    </row>
    <row r="3760" spans="3:15" s="59" customFormat="1" ht="21" customHeight="1">
      <c r="C3760" s="61" t="s">
        <v>1209</v>
      </c>
      <c r="D3760" s="56" t="s">
        <v>1210</v>
      </c>
      <c r="E3760" s="57"/>
      <c r="F3760" s="57"/>
      <c r="G3760" s="57"/>
      <c r="H3760" s="57"/>
      <c r="I3760" s="44"/>
      <c r="J3760" s="44"/>
      <c r="K3760" s="44"/>
    </row>
    <row r="3761" spans="3:15" s="59" customFormat="1" ht="21" customHeight="1">
      <c r="C3761" s="61">
        <v>1</v>
      </c>
      <c r="D3761" s="56" t="s">
        <v>4208</v>
      </c>
      <c r="E3761" s="93" t="s">
        <v>135</v>
      </c>
      <c r="F3761" s="104">
        <v>1.3</v>
      </c>
      <c r="G3761" s="63">
        <f>VLOOKUP(D3761,upahbahan,3,FALSE)</f>
        <v>515200</v>
      </c>
      <c r="H3761" s="586">
        <f>G3761*F3761</f>
        <v>669760</v>
      </c>
      <c r="I3761" s="44"/>
      <c r="J3761" s="44"/>
      <c r="K3761" s="44"/>
    </row>
    <row r="3762" spans="3:15" s="59" customFormat="1" ht="21" customHeight="1">
      <c r="C3762" s="450" t="s">
        <v>1214</v>
      </c>
      <c r="D3762" s="67"/>
      <c r="E3762" s="67"/>
      <c r="F3762" s="67"/>
      <c r="G3762" s="69"/>
      <c r="H3762" s="63">
        <f>SUM(H3761:H3761)</f>
        <v>669760</v>
      </c>
      <c r="I3762" s="44"/>
      <c r="J3762" s="44"/>
      <c r="K3762" s="44"/>
    </row>
    <row r="3763" spans="3:15" s="59" customFormat="1" ht="21" customHeight="1">
      <c r="C3763" s="61" t="s">
        <v>1215</v>
      </c>
      <c r="D3763" s="56" t="s">
        <v>1216</v>
      </c>
      <c r="E3763" s="57"/>
      <c r="F3763" s="57"/>
      <c r="G3763" s="57"/>
      <c r="H3763" s="57"/>
      <c r="I3763" s="44"/>
      <c r="J3763" s="44"/>
      <c r="K3763" s="44"/>
    </row>
    <row r="3764" spans="3:15" s="59" customFormat="1" ht="21" customHeight="1">
      <c r="C3764" s="450" t="s">
        <v>1217</v>
      </c>
      <c r="D3764" s="67"/>
      <c r="E3764" s="67"/>
      <c r="F3764" s="67"/>
      <c r="G3764" s="69"/>
      <c r="H3764" s="589">
        <v>0</v>
      </c>
      <c r="I3764" s="44"/>
      <c r="J3764" s="44"/>
      <c r="K3764" s="44"/>
    </row>
    <row r="3765" spans="3:15" s="59" customFormat="1" ht="21" customHeight="1">
      <c r="C3765" s="288" t="s">
        <v>1218</v>
      </c>
      <c r="D3765" s="76" t="s">
        <v>1219</v>
      </c>
      <c r="E3765" s="77"/>
      <c r="F3765" s="77"/>
      <c r="G3765" s="78"/>
      <c r="H3765" s="585">
        <f>H3764+H3762+H3759</f>
        <v>952260</v>
      </c>
      <c r="I3765" s="369"/>
      <c r="J3765" s="44"/>
      <c r="K3765" s="44"/>
    </row>
    <row r="3766" spans="3:15" s="59" customFormat="1" ht="21" customHeight="1">
      <c r="C3766" s="288" t="s">
        <v>1220</v>
      </c>
      <c r="D3766" s="76" t="s">
        <v>1321</v>
      </c>
      <c r="E3766" s="77"/>
      <c r="F3766" s="78"/>
      <c r="G3766" s="80">
        <v>0.1</v>
      </c>
      <c r="H3766" s="63">
        <f>H3765*G3766</f>
        <v>95226</v>
      </c>
      <c r="I3766" s="369"/>
      <c r="J3766" s="44"/>
      <c r="K3766" s="44"/>
    </row>
    <row r="3767" spans="3:15" s="59" customFormat="1" ht="21" customHeight="1">
      <c r="C3767" s="288" t="s">
        <v>1221</v>
      </c>
      <c r="D3767" s="76" t="s">
        <v>1222</v>
      </c>
      <c r="E3767" s="77"/>
      <c r="F3767" s="77"/>
      <c r="G3767" s="78"/>
      <c r="H3767" s="799">
        <f>SUM(H3765:H3766)</f>
        <v>1047486</v>
      </c>
      <c r="I3767" s="369"/>
      <c r="J3767" s="44"/>
      <c r="K3767" s="44"/>
    </row>
    <row r="3768" spans="3:15" ht="21" customHeight="1"/>
    <row r="3769" spans="3:15" s="59" customFormat="1" ht="21" customHeight="1">
      <c r="C3769" s="147" t="s">
        <v>5429</v>
      </c>
      <c r="D3769" s="794" t="s">
        <v>4209</v>
      </c>
      <c r="E3769" s="795"/>
      <c r="F3769" s="795"/>
      <c r="G3769" s="795"/>
      <c r="H3769" s="795"/>
      <c r="I3769" s="50">
        <f>ROUNDDOWN(H3784,-2)</f>
        <v>1558600</v>
      </c>
      <c r="J3769" s="50"/>
      <c r="K3769" s="50"/>
    </row>
    <row r="3770" spans="3:15" s="59" customFormat="1" ht="21" customHeight="1">
      <c r="C3770" s="591" t="s">
        <v>1195</v>
      </c>
      <c r="D3770" s="591" t="s">
        <v>1196</v>
      </c>
      <c r="E3770" s="591" t="s">
        <v>1197</v>
      </c>
      <c r="F3770" s="591" t="s">
        <v>1198</v>
      </c>
      <c r="G3770" s="591" t="s">
        <v>1199</v>
      </c>
      <c r="H3770" s="591" t="s">
        <v>1200</v>
      </c>
      <c r="I3770" s="44"/>
      <c r="J3770" s="44"/>
      <c r="K3770" s="44"/>
    </row>
    <row r="3771" spans="3:15" s="59" customFormat="1" ht="21" customHeight="1">
      <c r="C3771" s="61" t="s">
        <v>1201</v>
      </c>
      <c r="D3771" s="56" t="s">
        <v>1202</v>
      </c>
      <c r="E3771" s="57"/>
      <c r="F3771" s="57"/>
      <c r="G3771" s="57"/>
      <c r="H3771" s="57"/>
      <c r="I3771" s="44"/>
      <c r="J3771" s="44"/>
      <c r="K3771" s="44"/>
      <c r="L3771" s="152" t="s">
        <v>1247</v>
      </c>
    </row>
    <row r="3772" spans="3:15" s="59" customFormat="1" ht="21" customHeight="1">
      <c r="C3772" s="588">
        <v>1</v>
      </c>
      <c r="D3772" s="56" t="s">
        <v>5</v>
      </c>
      <c r="E3772" s="577" t="s">
        <v>6</v>
      </c>
      <c r="F3772" s="62">
        <v>0.94499999999999995</v>
      </c>
      <c r="G3772" s="63">
        <f>VLOOKUP(D3772,upahbahan,3,FALSE)</f>
        <v>100000</v>
      </c>
      <c r="H3772" s="63">
        <f>F3772*G3772</f>
        <v>94500</v>
      </c>
      <c r="I3772" s="44"/>
      <c r="J3772" s="44"/>
      <c r="K3772" s="44"/>
      <c r="L3772" s="152" t="s">
        <v>1248</v>
      </c>
      <c r="O3772" s="65">
        <v>0.1</v>
      </c>
    </row>
    <row r="3773" spans="3:15" s="59" customFormat="1" ht="21" customHeight="1">
      <c r="C3773" s="588">
        <v>2</v>
      </c>
      <c r="D3773" s="56" t="s">
        <v>10</v>
      </c>
      <c r="E3773" s="577" t="s">
        <v>6</v>
      </c>
      <c r="F3773" s="62">
        <v>1.579</v>
      </c>
      <c r="G3773" s="63">
        <f>VLOOKUP(D3773,upahbahan,3,FALSE)</f>
        <v>135000</v>
      </c>
      <c r="H3773" s="63">
        <f>F3773*G3773</f>
        <v>213165</v>
      </c>
      <c r="I3773" s="44"/>
      <c r="J3773" s="44"/>
      <c r="K3773" s="44"/>
    </row>
    <row r="3774" spans="3:15" s="59" customFormat="1" ht="21" customHeight="1">
      <c r="C3774" s="588">
        <v>3</v>
      </c>
      <c r="D3774" s="56" t="s">
        <v>18</v>
      </c>
      <c r="E3774" s="577" t="s">
        <v>6</v>
      </c>
      <c r="F3774" s="62">
        <v>0.158</v>
      </c>
      <c r="G3774" s="63">
        <f>VLOOKUP(D3774,upahbahan,3,FALSE)</f>
        <v>150000</v>
      </c>
      <c r="H3774" s="63">
        <f>F3774*G3774</f>
        <v>23700</v>
      </c>
      <c r="I3774" s="44"/>
      <c r="J3774" s="44"/>
      <c r="K3774" s="44"/>
    </row>
    <row r="3775" spans="3:15" s="59" customFormat="1" ht="21" customHeight="1">
      <c r="C3775" s="588">
        <v>4</v>
      </c>
      <c r="D3775" s="56" t="s">
        <v>19</v>
      </c>
      <c r="E3775" s="577" t="s">
        <v>6</v>
      </c>
      <c r="F3775" s="62">
        <v>4.7E-2</v>
      </c>
      <c r="G3775" s="63">
        <f>VLOOKUP(D3775,upahbahan,3,FALSE)</f>
        <v>160000</v>
      </c>
      <c r="H3775" s="63">
        <f>F3775*G3775</f>
        <v>7520</v>
      </c>
      <c r="I3775" s="44"/>
      <c r="J3775" s="44"/>
      <c r="K3775" s="44"/>
    </row>
    <row r="3776" spans="3:15" s="59" customFormat="1" ht="21" customHeight="1">
      <c r="C3776" s="450" t="s">
        <v>1208</v>
      </c>
      <c r="D3776" s="67"/>
      <c r="E3776" s="67"/>
      <c r="F3776" s="142"/>
      <c r="G3776" s="153"/>
      <c r="H3776" s="63">
        <f>SUM(H3772:H3775)</f>
        <v>338885</v>
      </c>
      <c r="I3776" s="154"/>
      <c r="J3776" s="154"/>
      <c r="K3776" s="154"/>
    </row>
    <row r="3777" spans="3:15" s="59" customFormat="1" ht="21" customHeight="1">
      <c r="C3777" s="61" t="s">
        <v>1209</v>
      </c>
      <c r="D3777" s="56" t="s">
        <v>1210</v>
      </c>
      <c r="E3777" s="57"/>
      <c r="F3777" s="57"/>
      <c r="G3777" s="57"/>
      <c r="H3777" s="57"/>
      <c r="I3777" s="44"/>
      <c r="J3777" s="44"/>
      <c r="K3777" s="44"/>
    </row>
    <row r="3778" spans="3:15" s="59" customFormat="1" ht="21" customHeight="1">
      <c r="C3778" s="61">
        <v>1</v>
      </c>
      <c r="D3778" s="56" t="s">
        <v>4210</v>
      </c>
      <c r="E3778" s="93" t="s">
        <v>135</v>
      </c>
      <c r="F3778" s="104">
        <v>1.3</v>
      </c>
      <c r="G3778" s="63">
        <f>VLOOKUP(D3778,upahbahan,3,FALSE)</f>
        <v>829300</v>
      </c>
      <c r="H3778" s="586">
        <f>G3778*F3778</f>
        <v>1078090</v>
      </c>
      <c r="I3778" s="44"/>
      <c r="J3778" s="44"/>
      <c r="K3778" s="44"/>
    </row>
    <row r="3779" spans="3:15" s="59" customFormat="1" ht="21" customHeight="1">
      <c r="C3779" s="450" t="s">
        <v>1214</v>
      </c>
      <c r="D3779" s="67"/>
      <c r="E3779" s="67"/>
      <c r="F3779" s="67"/>
      <c r="G3779" s="69"/>
      <c r="H3779" s="63">
        <f>SUM(H3778:H3778)</f>
        <v>1078090</v>
      </c>
      <c r="I3779" s="44"/>
      <c r="J3779" s="44"/>
      <c r="K3779" s="44"/>
    </row>
    <row r="3780" spans="3:15" s="59" customFormat="1" ht="21" customHeight="1">
      <c r="C3780" s="61" t="s">
        <v>1215</v>
      </c>
      <c r="D3780" s="56" t="s">
        <v>1216</v>
      </c>
      <c r="E3780" s="57"/>
      <c r="F3780" s="57"/>
      <c r="G3780" s="57"/>
      <c r="H3780" s="57"/>
      <c r="I3780" s="44"/>
      <c r="J3780" s="44"/>
      <c r="K3780" s="44"/>
    </row>
    <row r="3781" spans="3:15" s="59" customFormat="1" ht="21" customHeight="1">
      <c r="C3781" s="450" t="s">
        <v>1217</v>
      </c>
      <c r="D3781" s="67"/>
      <c r="E3781" s="67"/>
      <c r="F3781" s="67"/>
      <c r="G3781" s="69"/>
      <c r="H3781" s="589">
        <v>0</v>
      </c>
      <c r="I3781" s="44"/>
      <c r="J3781" s="44"/>
      <c r="K3781" s="44"/>
    </row>
    <row r="3782" spans="3:15" s="59" customFormat="1" ht="21" customHeight="1">
      <c r="C3782" s="288" t="s">
        <v>1218</v>
      </c>
      <c r="D3782" s="76" t="s">
        <v>1219</v>
      </c>
      <c r="E3782" s="77"/>
      <c r="F3782" s="77"/>
      <c r="G3782" s="78"/>
      <c r="H3782" s="585">
        <f>H3781+H3779+H3776</f>
        <v>1416975</v>
      </c>
      <c r="I3782" s="369"/>
      <c r="J3782" s="44"/>
      <c r="K3782" s="44"/>
    </row>
    <row r="3783" spans="3:15" s="59" customFormat="1" ht="21" customHeight="1">
      <c r="C3783" s="288" t="s">
        <v>1220</v>
      </c>
      <c r="D3783" s="76" t="s">
        <v>1321</v>
      </c>
      <c r="E3783" s="77"/>
      <c r="F3783" s="78"/>
      <c r="G3783" s="80">
        <v>0.1</v>
      </c>
      <c r="H3783" s="63">
        <f>H3782*G3783</f>
        <v>141697.5</v>
      </c>
      <c r="I3783" s="369"/>
      <c r="J3783" s="44"/>
      <c r="K3783" s="44"/>
    </row>
    <row r="3784" spans="3:15" s="59" customFormat="1" ht="21" customHeight="1">
      <c r="C3784" s="288" t="s">
        <v>1221</v>
      </c>
      <c r="D3784" s="76" t="s">
        <v>1222</v>
      </c>
      <c r="E3784" s="77"/>
      <c r="F3784" s="77"/>
      <c r="G3784" s="78"/>
      <c r="H3784" s="799">
        <f>SUM(H3782:H3783)</f>
        <v>1558672.5</v>
      </c>
      <c r="I3784" s="369"/>
      <c r="J3784" s="44"/>
      <c r="K3784" s="44"/>
    </row>
    <row r="3785" spans="3:15" ht="21" customHeight="1"/>
    <row r="3786" spans="3:15" s="59" customFormat="1" ht="21" customHeight="1">
      <c r="C3786" s="147" t="s">
        <v>5430</v>
      </c>
      <c r="D3786" s="794" t="s">
        <v>4211</v>
      </c>
      <c r="E3786" s="795"/>
      <c r="F3786" s="795"/>
      <c r="G3786" s="795"/>
      <c r="H3786" s="795"/>
      <c r="I3786" s="50">
        <f>ROUNDDOWN(H3801,-2)</f>
        <v>2447800</v>
      </c>
      <c r="J3786" s="50"/>
      <c r="K3786" s="50"/>
    </row>
    <row r="3787" spans="3:15" s="59" customFormat="1" ht="21" customHeight="1">
      <c r="C3787" s="591" t="s">
        <v>1195</v>
      </c>
      <c r="D3787" s="591" t="s">
        <v>1196</v>
      </c>
      <c r="E3787" s="591" t="s">
        <v>1197</v>
      </c>
      <c r="F3787" s="591" t="s">
        <v>1198</v>
      </c>
      <c r="G3787" s="591" t="s">
        <v>1199</v>
      </c>
      <c r="H3787" s="591" t="s">
        <v>1200</v>
      </c>
      <c r="I3787" s="44"/>
      <c r="J3787" s="44"/>
      <c r="K3787" s="44"/>
    </row>
    <row r="3788" spans="3:15" s="59" customFormat="1" ht="21" customHeight="1">
      <c r="C3788" s="61" t="s">
        <v>1201</v>
      </c>
      <c r="D3788" s="56" t="s">
        <v>1202</v>
      </c>
      <c r="E3788" s="57"/>
      <c r="F3788" s="57"/>
      <c r="G3788" s="57"/>
      <c r="H3788" s="57"/>
      <c r="I3788" s="44"/>
      <c r="J3788" s="44"/>
      <c r="K3788" s="44"/>
      <c r="L3788" s="152" t="s">
        <v>1247</v>
      </c>
    </row>
    <row r="3789" spans="3:15" s="59" customFormat="1" ht="21" customHeight="1">
      <c r="C3789" s="588">
        <v>1</v>
      </c>
      <c r="D3789" s="56" t="s">
        <v>5</v>
      </c>
      <c r="E3789" s="577" t="s">
        <v>6</v>
      </c>
      <c r="F3789" s="62">
        <v>1.26</v>
      </c>
      <c r="G3789" s="63">
        <f>VLOOKUP(D3789,upahbahan,3,FALSE)</f>
        <v>100000</v>
      </c>
      <c r="H3789" s="63">
        <f>F3789*G3789</f>
        <v>126000</v>
      </c>
      <c r="I3789" s="44"/>
      <c r="J3789" s="44"/>
      <c r="K3789" s="44"/>
      <c r="L3789" s="152" t="s">
        <v>1248</v>
      </c>
      <c r="O3789" s="65">
        <v>0.1</v>
      </c>
    </row>
    <row r="3790" spans="3:15" s="59" customFormat="1" ht="21" customHeight="1">
      <c r="C3790" s="588">
        <v>2</v>
      </c>
      <c r="D3790" s="56" t="s">
        <v>10</v>
      </c>
      <c r="E3790" s="577" t="s">
        <v>6</v>
      </c>
      <c r="F3790" s="62">
        <v>2.1030000000000002</v>
      </c>
      <c r="G3790" s="63">
        <f>VLOOKUP(D3790,upahbahan,3,FALSE)</f>
        <v>135000</v>
      </c>
      <c r="H3790" s="63">
        <f>F3790*G3790</f>
        <v>283905</v>
      </c>
      <c r="I3790" s="44"/>
      <c r="J3790" s="44"/>
      <c r="K3790" s="44"/>
    </row>
    <row r="3791" spans="3:15" s="59" customFormat="1" ht="21" customHeight="1">
      <c r="C3791" s="588">
        <v>3</v>
      </c>
      <c r="D3791" s="56" t="s">
        <v>18</v>
      </c>
      <c r="E3791" s="577" t="s">
        <v>6</v>
      </c>
      <c r="F3791" s="62">
        <v>0.21</v>
      </c>
      <c r="G3791" s="63">
        <f>VLOOKUP(D3791,upahbahan,3,FALSE)</f>
        <v>150000</v>
      </c>
      <c r="H3791" s="63">
        <f>F3791*G3791</f>
        <v>31500</v>
      </c>
      <c r="I3791" s="44"/>
      <c r="J3791" s="44"/>
      <c r="K3791" s="44"/>
    </row>
    <row r="3792" spans="3:15" s="59" customFormat="1" ht="21" customHeight="1">
      <c r="C3792" s="588">
        <v>4</v>
      </c>
      <c r="D3792" s="56" t="s">
        <v>19</v>
      </c>
      <c r="E3792" s="577" t="s">
        <v>6</v>
      </c>
      <c r="F3792" s="62">
        <v>6.3E-2</v>
      </c>
      <c r="G3792" s="63">
        <f>VLOOKUP(D3792,upahbahan,3,FALSE)</f>
        <v>160000</v>
      </c>
      <c r="H3792" s="63">
        <f>F3792*G3792</f>
        <v>10080</v>
      </c>
      <c r="I3792" s="44"/>
      <c r="J3792" s="44"/>
      <c r="K3792" s="44"/>
    </row>
    <row r="3793" spans="3:15" s="59" customFormat="1" ht="21" customHeight="1">
      <c r="C3793" s="450" t="s">
        <v>1208</v>
      </c>
      <c r="D3793" s="67"/>
      <c r="E3793" s="67"/>
      <c r="F3793" s="142"/>
      <c r="G3793" s="153"/>
      <c r="H3793" s="63">
        <f>SUM(H3789:H3792)</f>
        <v>451485</v>
      </c>
      <c r="I3793" s="154"/>
      <c r="J3793" s="154"/>
      <c r="K3793" s="154"/>
    </row>
    <row r="3794" spans="3:15" s="59" customFormat="1" ht="21" customHeight="1">
      <c r="C3794" s="61" t="s">
        <v>1209</v>
      </c>
      <c r="D3794" s="56" t="s">
        <v>1210</v>
      </c>
      <c r="E3794" s="57"/>
      <c r="F3794" s="57"/>
      <c r="G3794" s="57"/>
      <c r="H3794" s="57"/>
      <c r="I3794" s="44"/>
      <c r="J3794" s="44"/>
      <c r="K3794" s="44"/>
    </row>
    <row r="3795" spans="3:15" s="59" customFormat="1" ht="21" customHeight="1">
      <c r="C3795" s="61">
        <v>1</v>
      </c>
      <c r="D3795" s="56" t="s">
        <v>4212</v>
      </c>
      <c r="E3795" s="93" t="s">
        <v>135</v>
      </c>
      <c r="F3795" s="104">
        <v>1.3</v>
      </c>
      <c r="G3795" s="63">
        <f>VLOOKUP(D3795,upahbahan,3,FALSE)</f>
        <v>1364500</v>
      </c>
      <c r="H3795" s="586">
        <f>G3795*F3795</f>
        <v>1773850</v>
      </c>
      <c r="I3795" s="44"/>
      <c r="J3795" s="44"/>
      <c r="K3795" s="44"/>
    </row>
    <row r="3796" spans="3:15" s="59" customFormat="1" ht="21" customHeight="1">
      <c r="C3796" s="450" t="s">
        <v>1214</v>
      </c>
      <c r="D3796" s="67"/>
      <c r="E3796" s="67"/>
      <c r="F3796" s="67"/>
      <c r="G3796" s="69"/>
      <c r="H3796" s="63">
        <f>SUM(H3795:H3795)</f>
        <v>1773850</v>
      </c>
      <c r="I3796" s="44"/>
      <c r="J3796" s="44"/>
      <c r="K3796" s="44"/>
    </row>
    <row r="3797" spans="3:15" s="59" customFormat="1" ht="21" customHeight="1">
      <c r="C3797" s="61" t="s">
        <v>1215</v>
      </c>
      <c r="D3797" s="56" t="s">
        <v>1216</v>
      </c>
      <c r="E3797" s="57"/>
      <c r="F3797" s="57"/>
      <c r="G3797" s="57"/>
      <c r="H3797" s="57"/>
      <c r="I3797" s="44"/>
      <c r="J3797" s="44"/>
      <c r="K3797" s="44"/>
    </row>
    <row r="3798" spans="3:15" s="59" customFormat="1" ht="21" customHeight="1">
      <c r="C3798" s="450" t="s">
        <v>1217</v>
      </c>
      <c r="D3798" s="67"/>
      <c r="E3798" s="67"/>
      <c r="F3798" s="67"/>
      <c r="G3798" s="69"/>
      <c r="H3798" s="589">
        <v>0</v>
      </c>
      <c r="I3798" s="44"/>
      <c r="J3798" s="44"/>
      <c r="K3798" s="44"/>
    </row>
    <row r="3799" spans="3:15" s="59" customFormat="1" ht="21" customHeight="1">
      <c r="C3799" s="288" t="s">
        <v>1218</v>
      </c>
      <c r="D3799" s="76" t="s">
        <v>1219</v>
      </c>
      <c r="E3799" s="77"/>
      <c r="F3799" s="77"/>
      <c r="G3799" s="78"/>
      <c r="H3799" s="585">
        <f>H3798+H3796+H3793</f>
        <v>2225335</v>
      </c>
      <c r="I3799" s="369"/>
      <c r="J3799" s="44"/>
      <c r="K3799" s="44"/>
    </row>
    <row r="3800" spans="3:15" s="59" customFormat="1" ht="21" customHeight="1">
      <c r="C3800" s="288" t="s">
        <v>1220</v>
      </c>
      <c r="D3800" s="76" t="s">
        <v>1321</v>
      </c>
      <c r="E3800" s="77"/>
      <c r="F3800" s="78"/>
      <c r="G3800" s="80">
        <v>0.1</v>
      </c>
      <c r="H3800" s="63">
        <f>H3799*G3800</f>
        <v>222533.5</v>
      </c>
      <c r="I3800" s="369"/>
      <c r="J3800" s="44"/>
      <c r="K3800" s="44"/>
    </row>
    <row r="3801" spans="3:15" s="59" customFormat="1" ht="21" customHeight="1">
      <c r="C3801" s="288" t="s">
        <v>1221</v>
      </c>
      <c r="D3801" s="76" t="s">
        <v>1222</v>
      </c>
      <c r="E3801" s="77"/>
      <c r="F3801" s="77"/>
      <c r="G3801" s="78"/>
      <c r="H3801" s="799">
        <f>SUM(H3799:H3800)</f>
        <v>2447868.5</v>
      </c>
      <c r="I3801" s="369"/>
      <c r="J3801" s="44"/>
      <c r="K3801" s="44"/>
    </row>
    <row r="3802" spans="3:15" ht="21" customHeight="1"/>
    <row r="3803" spans="3:15" ht="21" customHeight="1"/>
    <row r="3804" spans="3:15" s="59" customFormat="1" ht="21" customHeight="1">
      <c r="C3804" s="147" t="s">
        <v>5431</v>
      </c>
      <c r="D3804" s="794" t="s">
        <v>4213</v>
      </c>
      <c r="E3804" s="795"/>
      <c r="F3804" s="795"/>
      <c r="G3804" s="795"/>
      <c r="H3804" s="795"/>
      <c r="I3804" s="50">
        <f>ROUNDDOWN(H3819,-2)</f>
        <v>3207400</v>
      </c>
      <c r="J3804" s="50"/>
      <c r="K3804" s="50"/>
    </row>
    <row r="3805" spans="3:15" s="59" customFormat="1" ht="21" customHeight="1">
      <c r="C3805" s="591" t="s">
        <v>1195</v>
      </c>
      <c r="D3805" s="591" t="s">
        <v>1196</v>
      </c>
      <c r="E3805" s="591" t="s">
        <v>1197</v>
      </c>
      <c r="F3805" s="591" t="s">
        <v>1198</v>
      </c>
      <c r="G3805" s="591" t="s">
        <v>1199</v>
      </c>
      <c r="H3805" s="591" t="s">
        <v>1200</v>
      </c>
      <c r="I3805" s="44"/>
      <c r="J3805" s="44"/>
      <c r="K3805" s="44"/>
    </row>
    <row r="3806" spans="3:15" s="59" customFormat="1" ht="21" customHeight="1">
      <c r="C3806" s="61" t="s">
        <v>1201</v>
      </c>
      <c r="D3806" s="56" t="s">
        <v>1202</v>
      </c>
      <c r="E3806" s="57"/>
      <c r="F3806" s="57"/>
      <c r="G3806" s="57"/>
      <c r="H3806" s="57"/>
      <c r="I3806" s="44"/>
      <c r="J3806" s="44"/>
      <c r="K3806" s="44"/>
      <c r="L3806" s="152" t="s">
        <v>1247</v>
      </c>
    </row>
    <row r="3807" spans="3:15" s="59" customFormat="1" ht="21" customHeight="1">
      <c r="C3807" s="588">
        <v>1</v>
      </c>
      <c r="D3807" s="56" t="s">
        <v>5</v>
      </c>
      <c r="E3807" s="577" t="s">
        <v>6</v>
      </c>
      <c r="F3807" s="62">
        <v>1.5740000000000001</v>
      </c>
      <c r="G3807" s="63">
        <f>VLOOKUP(D3807,upahbahan,3,FALSE)</f>
        <v>100000</v>
      </c>
      <c r="H3807" s="63">
        <f>F3807*G3807</f>
        <v>157400</v>
      </c>
      <c r="I3807" s="44"/>
      <c r="J3807" s="44"/>
      <c r="K3807" s="44"/>
      <c r="L3807" s="152" t="s">
        <v>1248</v>
      </c>
      <c r="O3807" s="65">
        <v>0.1</v>
      </c>
    </row>
    <row r="3808" spans="3:15" s="59" customFormat="1" ht="21" customHeight="1">
      <c r="C3808" s="588">
        <v>2</v>
      </c>
      <c r="D3808" s="56" t="s">
        <v>10</v>
      </c>
      <c r="E3808" s="577" t="s">
        <v>6</v>
      </c>
      <c r="F3808" s="62">
        <v>2.6280000000000001</v>
      </c>
      <c r="G3808" s="63">
        <f>VLOOKUP(D3808,upahbahan,3,FALSE)</f>
        <v>135000</v>
      </c>
      <c r="H3808" s="63">
        <f>F3808*G3808</f>
        <v>354780</v>
      </c>
      <c r="I3808" s="44"/>
      <c r="J3808" s="44"/>
      <c r="K3808" s="44"/>
    </row>
    <row r="3809" spans="3:15" s="59" customFormat="1" ht="21" customHeight="1">
      <c r="C3809" s="588">
        <v>3</v>
      </c>
      <c r="D3809" s="56" t="s">
        <v>18</v>
      </c>
      <c r="E3809" s="577" t="s">
        <v>6</v>
      </c>
      <c r="F3809" s="62">
        <v>0.26300000000000001</v>
      </c>
      <c r="G3809" s="63">
        <f>VLOOKUP(D3809,upahbahan,3,FALSE)</f>
        <v>150000</v>
      </c>
      <c r="H3809" s="63">
        <f>F3809*G3809</f>
        <v>39450</v>
      </c>
      <c r="I3809" s="44"/>
      <c r="J3809" s="44"/>
      <c r="K3809" s="44"/>
    </row>
    <row r="3810" spans="3:15" s="59" customFormat="1" ht="21" customHeight="1">
      <c r="C3810" s="588">
        <v>4</v>
      </c>
      <c r="D3810" s="56" t="s">
        <v>19</v>
      </c>
      <c r="E3810" s="577" t="s">
        <v>6</v>
      </c>
      <c r="F3810" s="62">
        <v>7.9000000000000001E-2</v>
      </c>
      <c r="G3810" s="63">
        <f>VLOOKUP(D3810,upahbahan,3,FALSE)</f>
        <v>160000</v>
      </c>
      <c r="H3810" s="63">
        <f>F3810*G3810</f>
        <v>12640</v>
      </c>
      <c r="I3810" s="44"/>
      <c r="J3810" s="44"/>
      <c r="K3810" s="44"/>
    </row>
    <row r="3811" spans="3:15" s="59" customFormat="1" ht="21" customHeight="1">
      <c r="C3811" s="450" t="s">
        <v>1208</v>
      </c>
      <c r="D3811" s="67"/>
      <c r="E3811" s="67"/>
      <c r="F3811" s="142"/>
      <c r="G3811" s="153"/>
      <c r="H3811" s="63">
        <f>SUM(H3807:H3810)</f>
        <v>564270</v>
      </c>
      <c r="I3811" s="154"/>
      <c r="J3811" s="154"/>
      <c r="K3811" s="154"/>
    </row>
    <row r="3812" spans="3:15" s="59" customFormat="1" ht="21" customHeight="1">
      <c r="C3812" s="61" t="s">
        <v>1209</v>
      </c>
      <c r="D3812" s="56" t="s">
        <v>1210</v>
      </c>
      <c r="E3812" s="57"/>
      <c r="F3812" s="57"/>
      <c r="G3812" s="57"/>
      <c r="H3812" s="57"/>
      <c r="I3812" s="44"/>
      <c r="J3812" s="44"/>
      <c r="K3812" s="44"/>
    </row>
    <row r="3813" spans="3:15" s="59" customFormat="1" ht="21" customHeight="1">
      <c r="C3813" s="61">
        <v>1</v>
      </c>
      <c r="D3813" s="56" t="s">
        <v>4214</v>
      </c>
      <c r="E3813" s="93" t="s">
        <v>135</v>
      </c>
      <c r="F3813" s="104">
        <v>1.3</v>
      </c>
      <c r="G3813" s="63">
        <f>VLOOKUP(D3813,upahbahan,3,FALSE)</f>
        <v>1808900</v>
      </c>
      <c r="H3813" s="586">
        <f>G3813*F3813</f>
        <v>2351570</v>
      </c>
      <c r="I3813" s="44"/>
      <c r="J3813" s="44"/>
      <c r="K3813" s="44"/>
    </row>
    <row r="3814" spans="3:15" s="59" customFormat="1" ht="21" customHeight="1">
      <c r="C3814" s="450" t="s">
        <v>1214</v>
      </c>
      <c r="D3814" s="67"/>
      <c r="E3814" s="67"/>
      <c r="F3814" s="67"/>
      <c r="G3814" s="69"/>
      <c r="H3814" s="63">
        <f>SUM(H3813:H3813)</f>
        <v>2351570</v>
      </c>
      <c r="I3814" s="44"/>
      <c r="J3814" s="44"/>
      <c r="K3814" s="44"/>
    </row>
    <row r="3815" spans="3:15" s="59" customFormat="1" ht="21" customHeight="1">
      <c r="C3815" s="61" t="s">
        <v>1215</v>
      </c>
      <c r="D3815" s="56" t="s">
        <v>1216</v>
      </c>
      <c r="E3815" s="57"/>
      <c r="F3815" s="57"/>
      <c r="G3815" s="57"/>
      <c r="H3815" s="57"/>
      <c r="I3815" s="44"/>
      <c r="J3815" s="44"/>
      <c r="K3815" s="44"/>
    </row>
    <row r="3816" spans="3:15" s="59" customFormat="1" ht="21" customHeight="1">
      <c r="C3816" s="450" t="s">
        <v>1217</v>
      </c>
      <c r="D3816" s="67"/>
      <c r="E3816" s="67"/>
      <c r="F3816" s="67"/>
      <c r="G3816" s="69"/>
      <c r="H3816" s="589">
        <v>0</v>
      </c>
      <c r="I3816" s="44"/>
      <c r="J3816" s="44"/>
      <c r="K3816" s="44"/>
    </row>
    <row r="3817" spans="3:15" s="59" customFormat="1" ht="21" customHeight="1">
      <c r="C3817" s="288" t="s">
        <v>1218</v>
      </c>
      <c r="D3817" s="76" t="s">
        <v>1219</v>
      </c>
      <c r="E3817" s="77"/>
      <c r="F3817" s="77"/>
      <c r="G3817" s="78"/>
      <c r="H3817" s="585">
        <f>H3816+H3814+H3811</f>
        <v>2915840</v>
      </c>
      <c r="I3817" s="369"/>
      <c r="J3817" s="44"/>
      <c r="K3817" s="44"/>
    </row>
    <row r="3818" spans="3:15" s="59" customFormat="1" ht="21" customHeight="1">
      <c r="C3818" s="288" t="s">
        <v>1220</v>
      </c>
      <c r="D3818" s="76" t="s">
        <v>1321</v>
      </c>
      <c r="E3818" s="77"/>
      <c r="F3818" s="78"/>
      <c r="G3818" s="80">
        <v>0.1</v>
      </c>
      <c r="H3818" s="63">
        <f>H3817*G3818</f>
        <v>291584</v>
      </c>
      <c r="I3818" s="369"/>
      <c r="J3818" s="44"/>
      <c r="K3818" s="44"/>
    </row>
    <row r="3819" spans="3:15" s="59" customFormat="1" ht="21" customHeight="1">
      <c r="C3819" s="288" t="s">
        <v>1221</v>
      </c>
      <c r="D3819" s="76" t="s">
        <v>1222</v>
      </c>
      <c r="E3819" s="77"/>
      <c r="F3819" s="77"/>
      <c r="G3819" s="78"/>
      <c r="H3819" s="799">
        <f>SUM(H3817:H3818)</f>
        <v>3207424</v>
      </c>
      <c r="I3819" s="369"/>
      <c r="J3819" s="44"/>
      <c r="K3819" s="44"/>
    </row>
    <row r="3820" spans="3:15" ht="21" customHeight="1"/>
    <row r="3821" spans="3:15" s="59" customFormat="1" ht="21" customHeight="1">
      <c r="C3821" s="147" t="s">
        <v>5432</v>
      </c>
      <c r="D3821" s="794" t="s">
        <v>4215</v>
      </c>
      <c r="E3821" s="795"/>
      <c r="F3821" s="795"/>
      <c r="G3821" s="795"/>
      <c r="H3821" s="795"/>
      <c r="I3821" s="50">
        <f>ROUNDDOWN(H3836,-2)</f>
        <v>3755100</v>
      </c>
      <c r="J3821" s="50"/>
      <c r="K3821" s="50"/>
    </row>
    <row r="3822" spans="3:15" s="59" customFormat="1" ht="21" customHeight="1">
      <c r="C3822" s="591" t="s">
        <v>1195</v>
      </c>
      <c r="D3822" s="591" t="s">
        <v>1196</v>
      </c>
      <c r="E3822" s="591" t="s">
        <v>1197</v>
      </c>
      <c r="F3822" s="591" t="s">
        <v>1198</v>
      </c>
      <c r="G3822" s="591" t="s">
        <v>1199</v>
      </c>
      <c r="H3822" s="591" t="s">
        <v>1200</v>
      </c>
      <c r="I3822" s="44"/>
      <c r="J3822" s="44"/>
      <c r="K3822" s="44"/>
    </row>
    <row r="3823" spans="3:15" s="59" customFormat="1" ht="21" customHeight="1">
      <c r="C3823" s="61" t="s">
        <v>1201</v>
      </c>
      <c r="D3823" s="56" t="s">
        <v>1202</v>
      </c>
      <c r="E3823" s="57"/>
      <c r="F3823" s="57"/>
      <c r="G3823" s="57"/>
      <c r="H3823" s="57"/>
      <c r="I3823" s="44"/>
      <c r="J3823" s="44"/>
      <c r="K3823" s="44"/>
      <c r="L3823" s="152" t="s">
        <v>1247</v>
      </c>
    </row>
    <row r="3824" spans="3:15" s="59" customFormat="1" ht="21" customHeight="1">
      <c r="C3824" s="588">
        <v>1</v>
      </c>
      <c r="D3824" s="56" t="s">
        <v>5</v>
      </c>
      <c r="E3824" s="577" t="s">
        <v>6</v>
      </c>
      <c r="F3824" s="62">
        <v>1.65</v>
      </c>
      <c r="G3824" s="63">
        <f>VLOOKUP(D3824,upahbahan,3,FALSE)</f>
        <v>100000</v>
      </c>
      <c r="H3824" s="63">
        <f>F3824*G3824</f>
        <v>165000</v>
      </c>
      <c r="I3824" s="44"/>
      <c r="J3824" s="44"/>
      <c r="K3824" s="44"/>
      <c r="L3824" s="152" t="s">
        <v>1248</v>
      </c>
      <c r="O3824" s="65">
        <v>0.1</v>
      </c>
    </row>
    <row r="3825" spans="3:12" s="59" customFormat="1" ht="21" customHeight="1">
      <c r="C3825" s="588">
        <v>2</v>
      </c>
      <c r="D3825" s="56" t="s">
        <v>10</v>
      </c>
      <c r="E3825" s="577" t="s">
        <v>6</v>
      </c>
      <c r="F3825" s="62">
        <v>2.7559999999999998</v>
      </c>
      <c r="G3825" s="63">
        <f>VLOOKUP(D3825,upahbahan,3,FALSE)</f>
        <v>135000</v>
      </c>
      <c r="H3825" s="63">
        <f>F3825*G3825</f>
        <v>372059.99999999994</v>
      </c>
      <c r="I3825" s="44"/>
      <c r="J3825" s="44"/>
      <c r="K3825" s="44"/>
    </row>
    <row r="3826" spans="3:12" s="59" customFormat="1" ht="21" customHeight="1">
      <c r="C3826" s="588">
        <v>3</v>
      </c>
      <c r="D3826" s="56" t="s">
        <v>18</v>
      </c>
      <c r="E3826" s="577" t="s">
        <v>6</v>
      </c>
      <c r="F3826" s="62">
        <v>0.27600000000000002</v>
      </c>
      <c r="G3826" s="63">
        <f>VLOOKUP(D3826,upahbahan,3,FALSE)</f>
        <v>150000</v>
      </c>
      <c r="H3826" s="63">
        <f>F3826*G3826</f>
        <v>41400</v>
      </c>
      <c r="I3826" s="44"/>
      <c r="J3826" s="44"/>
      <c r="K3826" s="44"/>
    </row>
    <row r="3827" spans="3:12" s="59" customFormat="1" ht="21" customHeight="1">
      <c r="C3827" s="588">
        <v>4</v>
      </c>
      <c r="D3827" s="56" t="s">
        <v>19</v>
      </c>
      <c r="E3827" s="577" t="s">
        <v>6</v>
      </c>
      <c r="F3827" s="62">
        <v>8.3000000000000004E-2</v>
      </c>
      <c r="G3827" s="63">
        <f>VLOOKUP(D3827,upahbahan,3,FALSE)</f>
        <v>160000</v>
      </c>
      <c r="H3827" s="63">
        <f>F3827*G3827</f>
        <v>13280</v>
      </c>
      <c r="I3827" s="44"/>
      <c r="J3827" s="44"/>
      <c r="K3827" s="44"/>
    </row>
    <row r="3828" spans="3:12" s="59" customFormat="1" ht="21" customHeight="1">
      <c r="C3828" s="450" t="s">
        <v>1208</v>
      </c>
      <c r="D3828" s="67"/>
      <c r="E3828" s="67"/>
      <c r="F3828" s="142"/>
      <c r="G3828" s="153"/>
      <c r="H3828" s="63">
        <f>SUM(H3824:H3827)</f>
        <v>591740</v>
      </c>
      <c r="I3828" s="154"/>
      <c r="J3828" s="154"/>
      <c r="K3828" s="154"/>
    </row>
    <row r="3829" spans="3:12" s="59" customFormat="1" ht="21" customHeight="1">
      <c r="C3829" s="61" t="s">
        <v>1209</v>
      </c>
      <c r="D3829" s="56" t="s">
        <v>1210</v>
      </c>
      <c r="E3829" s="57"/>
      <c r="F3829" s="57"/>
      <c r="G3829" s="57"/>
      <c r="H3829" s="57"/>
      <c r="I3829" s="44"/>
      <c r="J3829" s="44"/>
      <c r="K3829" s="44"/>
    </row>
    <row r="3830" spans="3:12" s="59" customFormat="1" ht="21" customHeight="1">
      <c r="C3830" s="61">
        <v>1</v>
      </c>
      <c r="D3830" s="56" t="s">
        <v>4216</v>
      </c>
      <c r="E3830" s="93" t="s">
        <v>135</v>
      </c>
      <c r="F3830" s="104">
        <v>1.3</v>
      </c>
      <c r="G3830" s="63">
        <f>VLOOKUP(D3830,upahbahan,3,FALSE)</f>
        <v>2170800</v>
      </c>
      <c r="H3830" s="586">
        <f>G3830*F3830</f>
        <v>2822040</v>
      </c>
      <c r="I3830" s="44"/>
      <c r="J3830" s="44"/>
      <c r="K3830" s="44"/>
    </row>
    <row r="3831" spans="3:12" s="59" customFormat="1" ht="21" customHeight="1">
      <c r="C3831" s="450" t="s">
        <v>1214</v>
      </c>
      <c r="D3831" s="67"/>
      <c r="E3831" s="67"/>
      <c r="F3831" s="67"/>
      <c r="G3831" s="69"/>
      <c r="H3831" s="63">
        <f>SUM(H3830:H3830)</f>
        <v>2822040</v>
      </c>
      <c r="I3831" s="44"/>
      <c r="J3831" s="44"/>
      <c r="K3831" s="44"/>
    </row>
    <row r="3832" spans="3:12" s="59" customFormat="1" ht="21" customHeight="1">
      <c r="C3832" s="61" t="s">
        <v>1215</v>
      </c>
      <c r="D3832" s="56" t="s">
        <v>1216</v>
      </c>
      <c r="E3832" s="57"/>
      <c r="F3832" s="57"/>
      <c r="G3832" s="57"/>
      <c r="H3832" s="57"/>
      <c r="I3832" s="44"/>
      <c r="J3832" s="44"/>
      <c r="K3832" s="44"/>
    </row>
    <row r="3833" spans="3:12" s="59" customFormat="1" ht="21" customHeight="1">
      <c r="C3833" s="450" t="s">
        <v>1217</v>
      </c>
      <c r="D3833" s="67"/>
      <c r="E3833" s="67"/>
      <c r="F3833" s="67"/>
      <c r="G3833" s="69"/>
      <c r="H3833" s="589">
        <v>0</v>
      </c>
      <c r="I3833" s="44"/>
      <c r="J3833" s="44"/>
      <c r="K3833" s="44"/>
    </row>
    <row r="3834" spans="3:12" s="59" customFormat="1" ht="21" customHeight="1">
      <c r="C3834" s="288" t="s">
        <v>1218</v>
      </c>
      <c r="D3834" s="76" t="s">
        <v>1219</v>
      </c>
      <c r="E3834" s="77"/>
      <c r="F3834" s="77"/>
      <c r="G3834" s="78"/>
      <c r="H3834" s="585">
        <f>H3833+H3831+H3828</f>
        <v>3413780</v>
      </c>
      <c r="I3834" s="369"/>
      <c r="J3834" s="44"/>
      <c r="K3834" s="44"/>
    </row>
    <row r="3835" spans="3:12" s="59" customFormat="1" ht="21" customHeight="1">
      <c r="C3835" s="288" t="s">
        <v>1220</v>
      </c>
      <c r="D3835" s="76" t="s">
        <v>1321</v>
      </c>
      <c r="E3835" s="77"/>
      <c r="F3835" s="78"/>
      <c r="G3835" s="80">
        <v>0.1</v>
      </c>
      <c r="H3835" s="63">
        <f>H3834*G3835</f>
        <v>341378</v>
      </c>
      <c r="I3835" s="369"/>
      <c r="J3835" s="44"/>
      <c r="K3835" s="44"/>
    </row>
    <row r="3836" spans="3:12" s="59" customFormat="1" ht="21" customHeight="1">
      <c r="C3836" s="288" t="s">
        <v>1221</v>
      </c>
      <c r="D3836" s="76" t="s">
        <v>1222</v>
      </c>
      <c r="E3836" s="77"/>
      <c r="F3836" s="77"/>
      <c r="G3836" s="78"/>
      <c r="H3836" s="799">
        <f>SUM(H3834:H3835)</f>
        <v>3755158</v>
      </c>
      <c r="I3836" s="369"/>
      <c r="J3836" s="44"/>
      <c r="K3836" s="44"/>
    </row>
    <row r="3837" spans="3:12" ht="21" customHeight="1"/>
    <row r="3838" spans="3:12" s="59" customFormat="1" ht="21" customHeight="1">
      <c r="C3838" s="147" t="s">
        <v>5433</v>
      </c>
      <c r="D3838" s="794" t="s">
        <v>4215</v>
      </c>
      <c r="E3838" s="795"/>
      <c r="F3838" s="795"/>
      <c r="G3838" s="795"/>
      <c r="H3838" s="795"/>
      <c r="I3838" s="50">
        <f>ROUNDDOWN(H3853,-2)</f>
        <v>3847800</v>
      </c>
      <c r="J3838" s="50"/>
      <c r="K3838" s="50"/>
    </row>
    <row r="3839" spans="3:12" s="59" customFormat="1" ht="21" customHeight="1">
      <c r="C3839" s="591" t="s">
        <v>1195</v>
      </c>
      <c r="D3839" s="591" t="s">
        <v>1196</v>
      </c>
      <c r="E3839" s="591" t="s">
        <v>1197</v>
      </c>
      <c r="F3839" s="591" t="s">
        <v>1198</v>
      </c>
      <c r="G3839" s="591" t="s">
        <v>1199</v>
      </c>
      <c r="H3839" s="591" t="s">
        <v>1200</v>
      </c>
      <c r="I3839" s="44"/>
      <c r="J3839" s="44"/>
      <c r="K3839" s="44"/>
    </row>
    <row r="3840" spans="3:12" s="59" customFormat="1" ht="21" customHeight="1">
      <c r="C3840" s="61" t="s">
        <v>1201</v>
      </c>
      <c r="D3840" s="56" t="s">
        <v>1202</v>
      </c>
      <c r="E3840" s="57"/>
      <c r="F3840" s="57"/>
      <c r="G3840" s="57"/>
      <c r="H3840" s="57"/>
      <c r="I3840" s="44"/>
      <c r="J3840" s="44"/>
      <c r="K3840" s="44"/>
      <c r="L3840" s="152" t="s">
        <v>1247</v>
      </c>
    </row>
    <row r="3841" spans="3:15" s="59" customFormat="1" ht="21" customHeight="1">
      <c r="C3841" s="588">
        <v>1</v>
      </c>
      <c r="D3841" s="56" t="s">
        <v>5</v>
      </c>
      <c r="E3841" s="577" t="s">
        <v>6</v>
      </c>
      <c r="F3841" s="62">
        <v>1.8859999999999999</v>
      </c>
      <c r="G3841" s="63">
        <f>VLOOKUP(D3841,upahbahan,3,FALSE)</f>
        <v>100000</v>
      </c>
      <c r="H3841" s="63">
        <f>F3841*G3841</f>
        <v>188600</v>
      </c>
      <c r="I3841" s="44"/>
      <c r="J3841" s="44"/>
      <c r="K3841" s="44"/>
      <c r="L3841" s="152" t="s">
        <v>1248</v>
      </c>
      <c r="O3841" s="65">
        <v>0.1</v>
      </c>
    </row>
    <row r="3842" spans="3:15" s="59" customFormat="1" ht="21" customHeight="1">
      <c r="C3842" s="588">
        <v>2</v>
      </c>
      <c r="D3842" s="56" t="s">
        <v>10</v>
      </c>
      <c r="E3842" s="577" t="s">
        <v>6</v>
      </c>
      <c r="F3842" s="62">
        <v>3.149</v>
      </c>
      <c r="G3842" s="63">
        <f>VLOOKUP(D3842,upahbahan,3,FALSE)</f>
        <v>135000</v>
      </c>
      <c r="H3842" s="63">
        <f>F3842*G3842</f>
        <v>425115</v>
      </c>
      <c r="I3842" s="44"/>
      <c r="J3842" s="44"/>
      <c r="K3842" s="44"/>
    </row>
    <row r="3843" spans="3:15" s="59" customFormat="1" ht="21" customHeight="1">
      <c r="C3843" s="588">
        <v>3</v>
      </c>
      <c r="D3843" s="56" t="s">
        <v>18</v>
      </c>
      <c r="E3843" s="577" t="s">
        <v>6</v>
      </c>
      <c r="F3843" s="62">
        <v>0.315</v>
      </c>
      <c r="G3843" s="63">
        <f>VLOOKUP(D3843,upahbahan,3,FALSE)</f>
        <v>150000</v>
      </c>
      <c r="H3843" s="63">
        <f>F3843*G3843</f>
        <v>47250</v>
      </c>
      <c r="I3843" s="44"/>
      <c r="J3843" s="44"/>
      <c r="K3843" s="44"/>
    </row>
    <row r="3844" spans="3:15" s="59" customFormat="1" ht="21" customHeight="1">
      <c r="C3844" s="588">
        <v>4</v>
      </c>
      <c r="D3844" s="56" t="s">
        <v>19</v>
      </c>
      <c r="E3844" s="577" t="s">
        <v>6</v>
      </c>
      <c r="F3844" s="62">
        <v>9.4E-2</v>
      </c>
      <c r="G3844" s="63">
        <f>VLOOKUP(D3844,upahbahan,3,FALSE)</f>
        <v>160000</v>
      </c>
      <c r="H3844" s="63">
        <f>F3844*G3844</f>
        <v>15040</v>
      </c>
      <c r="I3844" s="44"/>
      <c r="J3844" s="44"/>
      <c r="K3844" s="44"/>
    </row>
    <row r="3845" spans="3:15" s="59" customFormat="1" ht="21" customHeight="1">
      <c r="C3845" s="450" t="s">
        <v>1208</v>
      </c>
      <c r="D3845" s="67"/>
      <c r="E3845" s="67"/>
      <c r="F3845" s="142"/>
      <c r="G3845" s="153"/>
      <c r="H3845" s="63">
        <f>SUM(H3841:H3844)</f>
        <v>676005</v>
      </c>
      <c r="I3845" s="154"/>
      <c r="J3845" s="154"/>
      <c r="K3845" s="154"/>
    </row>
    <row r="3846" spans="3:15" s="59" customFormat="1" ht="21" customHeight="1">
      <c r="C3846" s="61" t="s">
        <v>1209</v>
      </c>
      <c r="D3846" s="56" t="s">
        <v>1210</v>
      </c>
      <c r="E3846" s="57"/>
      <c r="F3846" s="57"/>
      <c r="G3846" s="57"/>
      <c r="H3846" s="57"/>
      <c r="I3846" s="44"/>
      <c r="J3846" s="44"/>
      <c r="K3846" s="44"/>
    </row>
    <row r="3847" spans="3:15" s="59" customFormat="1" ht="21" customHeight="1">
      <c r="C3847" s="61">
        <v>1</v>
      </c>
      <c r="D3847" s="56" t="s">
        <v>4216</v>
      </c>
      <c r="E3847" s="93" t="s">
        <v>135</v>
      </c>
      <c r="F3847" s="104">
        <v>1.3</v>
      </c>
      <c r="G3847" s="63">
        <f>VLOOKUP(D3847,upahbahan,3,FALSE)</f>
        <v>2170800</v>
      </c>
      <c r="H3847" s="586">
        <f>G3847*F3847</f>
        <v>2822040</v>
      </c>
      <c r="I3847" s="44"/>
      <c r="J3847" s="44"/>
      <c r="K3847" s="44"/>
    </row>
    <row r="3848" spans="3:15" s="59" customFormat="1" ht="21" customHeight="1">
      <c r="C3848" s="450" t="s">
        <v>1214</v>
      </c>
      <c r="D3848" s="67"/>
      <c r="E3848" s="67"/>
      <c r="F3848" s="67"/>
      <c r="G3848" s="69"/>
      <c r="H3848" s="63">
        <f>SUM(H3847:H3847)</f>
        <v>2822040</v>
      </c>
      <c r="I3848" s="44"/>
      <c r="J3848" s="44"/>
      <c r="K3848" s="44"/>
    </row>
    <row r="3849" spans="3:15" s="59" customFormat="1" ht="21" customHeight="1">
      <c r="C3849" s="61" t="s">
        <v>1215</v>
      </c>
      <c r="D3849" s="56" t="s">
        <v>1216</v>
      </c>
      <c r="E3849" s="57"/>
      <c r="F3849" s="57"/>
      <c r="G3849" s="57"/>
      <c r="H3849" s="57"/>
      <c r="I3849" s="44"/>
      <c r="J3849" s="44"/>
      <c r="K3849" s="44"/>
    </row>
    <row r="3850" spans="3:15" s="59" customFormat="1" ht="21" customHeight="1">
      <c r="C3850" s="450" t="s">
        <v>1217</v>
      </c>
      <c r="D3850" s="67"/>
      <c r="E3850" s="67"/>
      <c r="F3850" s="67"/>
      <c r="G3850" s="69"/>
      <c r="H3850" s="589">
        <v>0</v>
      </c>
      <c r="I3850" s="44"/>
      <c r="J3850" s="44"/>
      <c r="K3850" s="44"/>
    </row>
    <row r="3851" spans="3:15" s="59" customFormat="1" ht="21" customHeight="1">
      <c r="C3851" s="288" t="s">
        <v>1218</v>
      </c>
      <c r="D3851" s="76" t="s">
        <v>1219</v>
      </c>
      <c r="E3851" s="77"/>
      <c r="F3851" s="77"/>
      <c r="G3851" s="78"/>
      <c r="H3851" s="585">
        <f>H3850+H3848+H3845</f>
        <v>3498045</v>
      </c>
      <c r="I3851" s="369"/>
      <c r="J3851" s="44"/>
      <c r="K3851" s="44"/>
    </row>
    <row r="3852" spans="3:15" s="59" customFormat="1" ht="21" customHeight="1">
      <c r="C3852" s="288" t="s">
        <v>1220</v>
      </c>
      <c r="D3852" s="76" t="s">
        <v>1321</v>
      </c>
      <c r="E3852" s="77"/>
      <c r="F3852" s="78"/>
      <c r="G3852" s="80">
        <v>0.1</v>
      </c>
      <c r="H3852" s="63">
        <f>H3851*G3852</f>
        <v>349804.5</v>
      </c>
      <c r="I3852" s="369"/>
      <c r="J3852" s="44"/>
      <c r="K3852" s="44"/>
    </row>
    <row r="3853" spans="3:15" s="59" customFormat="1" ht="21" customHeight="1">
      <c r="C3853" s="288" t="s">
        <v>1221</v>
      </c>
      <c r="D3853" s="76" t="s">
        <v>1222</v>
      </c>
      <c r="E3853" s="77"/>
      <c r="F3853" s="77"/>
      <c r="G3853" s="78"/>
      <c r="H3853" s="799">
        <f>SUM(H3851:H3852)</f>
        <v>3847849.5</v>
      </c>
      <c r="I3853" s="369"/>
      <c r="J3853" s="44"/>
      <c r="K3853" s="44"/>
    </row>
    <row r="3854" spans="3:15" ht="21" customHeight="1"/>
    <row r="3855" spans="3:15" ht="21" customHeight="1">
      <c r="C3855" s="43" t="s">
        <v>5434</v>
      </c>
      <c r="D3855" s="128" t="s">
        <v>4218</v>
      </c>
    </row>
    <row r="3856" spans="3:15" s="59" customFormat="1" ht="21" customHeight="1">
      <c r="C3856" s="147" t="s">
        <v>5435</v>
      </c>
      <c r="D3856" s="794" t="s">
        <v>4219</v>
      </c>
      <c r="E3856" s="795"/>
      <c r="F3856" s="795"/>
      <c r="G3856" s="795"/>
      <c r="H3856" s="795"/>
      <c r="I3856" s="50">
        <f>ROUNDDOWN(H3871,-2)</f>
        <v>152800</v>
      </c>
      <c r="J3856" s="50"/>
      <c r="K3856" s="50"/>
    </row>
    <row r="3857" spans="3:15" s="59" customFormat="1" ht="21" customHeight="1">
      <c r="C3857" s="591" t="s">
        <v>1195</v>
      </c>
      <c r="D3857" s="591" t="s">
        <v>1196</v>
      </c>
      <c r="E3857" s="591" t="s">
        <v>1197</v>
      </c>
      <c r="F3857" s="591" t="s">
        <v>1198</v>
      </c>
      <c r="G3857" s="591" t="s">
        <v>1199</v>
      </c>
      <c r="H3857" s="591" t="s">
        <v>1200</v>
      </c>
      <c r="I3857" s="44"/>
      <c r="J3857" s="44"/>
      <c r="K3857" s="44"/>
    </row>
    <row r="3858" spans="3:15" s="59" customFormat="1" ht="21" customHeight="1">
      <c r="C3858" s="61" t="s">
        <v>1201</v>
      </c>
      <c r="D3858" s="56" t="s">
        <v>1202</v>
      </c>
      <c r="E3858" s="57"/>
      <c r="F3858" s="57"/>
      <c r="G3858" s="57"/>
      <c r="H3858" s="57"/>
      <c r="I3858" s="44"/>
      <c r="J3858" s="44"/>
      <c r="K3858" s="44"/>
      <c r="L3858" s="152" t="s">
        <v>1247</v>
      </c>
    </row>
    <row r="3859" spans="3:15" s="59" customFormat="1" ht="21" customHeight="1">
      <c r="C3859" s="588">
        <v>1</v>
      </c>
      <c r="D3859" s="56" t="s">
        <v>5</v>
      </c>
      <c r="E3859" s="577" t="s">
        <v>6</v>
      </c>
      <c r="F3859" s="62">
        <v>5.1999999999999998E-2</v>
      </c>
      <c r="G3859" s="63">
        <f>VLOOKUP(D3859,upahbahan,3,FALSE)</f>
        <v>100000</v>
      </c>
      <c r="H3859" s="63">
        <f>F3859*G3859</f>
        <v>5200</v>
      </c>
      <c r="I3859" s="44"/>
      <c r="J3859" s="44"/>
      <c r="K3859" s="44"/>
      <c r="L3859" s="152" t="s">
        <v>1248</v>
      </c>
      <c r="O3859" s="65">
        <v>0.1</v>
      </c>
    </row>
    <row r="3860" spans="3:15" s="59" customFormat="1" ht="21" customHeight="1">
      <c r="C3860" s="588">
        <v>2</v>
      </c>
      <c r="D3860" s="56" t="s">
        <v>10</v>
      </c>
      <c r="E3860" s="577" t="s">
        <v>6</v>
      </c>
      <c r="F3860" s="62">
        <v>8.6999999999999994E-2</v>
      </c>
      <c r="G3860" s="63">
        <f>VLOOKUP(D3860,upahbahan,3,FALSE)</f>
        <v>135000</v>
      </c>
      <c r="H3860" s="63">
        <f>F3860*G3860</f>
        <v>11745</v>
      </c>
      <c r="I3860" s="44"/>
      <c r="J3860" s="44"/>
      <c r="K3860" s="44"/>
    </row>
    <row r="3861" spans="3:15" s="59" customFormat="1" ht="21" customHeight="1">
      <c r="C3861" s="588">
        <v>3</v>
      </c>
      <c r="D3861" s="56" t="s">
        <v>18</v>
      </c>
      <c r="E3861" s="577" t="s">
        <v>6</v>
      </c>
      <c r="F3861" s="62">
        <v>8.9999999999999993E-3</v>
      </c>
      <c r="G3861" s="63">
        <f>VLOOKUP(D3861,upahbahan,3,FALSE)</f>
        <v>150000</v>
      </c>
      <c r="H3861" s="63">
        <f>F3861*G3861</f>
        <v>1350</v>
      </c>
      <c r="I3861" s="44"/>
      <c r="J3861" s="44"/>
      <c r="K3861" s="44"/>
    </row>
    <row r="3862" spans="3:15" s="59" customFormat="1" ht="21" customHeight="1">
      <c r="C3862" s="588">
        <v>4</v>
      </c>
      <c r="D3862" s="56" t="s">
        <v>19</v>
      </c>
      <c r="E3862" s="577" t="s">
        <v>6</v>
      </c>
      <c r="F3862" s="62">
        <v>3.0000000000000001E-3</v>
      </c>
      <c r="G3862" s="63">
        <f>VLOOKUP(D3862,upahbahan,3,FALSE)</f>
        <v>160000</v>
      </c>
      <c r="H3862" s="63">
        <f>F3862*G3862</f>
        <v>480</v>
      </c>
      <c r="I3862" s="44"/>
      <c r="J3862" s="44"/>
      <c r="K3862" s="44"/>
    </row>
    <row r="3863" spans="3:15" s="59" customFormat="1" ht="21" customHeight="1">
      <c r="C3863" s="450" t="s">
        <v>1208</v>
      </c>
      <c r="D3863" s="67"/>
      <c r="E3863" s="67"/>
      <c r="F3863" s="142"/>
      <c r="G3863" s="153"/>
      <c r="H3863" s="63">
        <f>SUM(H3859:H3862)</f>
        <v>18775</v>
      </c>
      <c r="I3863" s="154"/>
      <c r="J3863" s="154"/>
      <c r="K3863" s="154"/>
    </row>
    <row r="3864" spans="3:15" s="59" customFormat="1" ht="21" customHeight="1">
      <c r="C3864" s="61" t="s">
        <v>1209</v>
      </c>
      <c r="D3864" s="56" t="s">
        <v>1210</v>
      </c>
      <c r="E3864" s="57"/>
      <c r="F3864" s="57"/>
      <c r="G3864" s="57"/>
      <c r="H3864" s="57"/>
      <c r="I3864" s="44"/>
      <c r="J3864" s="44"/>
      <c r="K3864" s="44"/>
    </row>
    <row r="3865" spans="3:15" s="59" customFormat="1" ht="21" customHeight="1">
      <c r="C3865" s="61">
        <v>1</v>
      </c>
      <c r="D3865" s="56" t="s">
        <v>4220</v>
      </c>
      <c r="E3865" s="93" t="s">
        <v>135</v>
      </c>
      <c r="F3865" s="104">
        <v>1.1499999999999999</v>
      </c>
      <c r="G3865" s="63">
        <f>VLOOKUP(D3865,upahbahan,3,FALSE)</f>
        <v>104500</v>
      </c>
      <c r="H3865" s="586">
        <f>G3865*F3865</f>
        <v>120174.99999999999</v>
      </c>
      <c r="I3865" s="44"/>
      <c r="J3865" s="44"/>
      <c r="K3865" s="44"/>
    </row>
    <row r="3866" spans="3:15" s="59" customFormat="1" ht="21" customHeight="1">
      <c r="C3866" s="450" t="s">
        <v>1214</v>
      </c>
      <c r="D3866" s="67"/>
      <c r="E3866" s="67"/>
      <c r="F3866" s="67"/>
      <c r="G3866" s="69"/>
      <c r="H3866" s="63">
        <f>SUM(H3865:H3865)</f>
        <v>120174.99999999999</v>
      </c>
      <c r="I3866" s="44"/>
      <c r="J3866" s="44"/>
      <c r="K3866" s="44"/>
    </row>
    <row r="3867" spans="3:15" s="59" customFormat="1" ht="21" customHeight="1">
      <c r="C3867" s="61" t="s">
        <v>1215</v>
      </c>
      <c r="D3867" s="56" t="s">
        <v>1216</v>
      </c>
      <c r="E3867" s="57"/>
      <c r="F3867" s="57"/>
      <c r="G3867" s="57"/>
      <c r="H3867" s="57"/>
      <c r="I3867" s="44"/>
      <c r="J3867" s="44"/>
      <c r="K3867" s="44"/>
    </row>
    <row r="3868" spans="3:15" s="59" customFormat="1" ht="21" customHeight="1">
      <c r="C3868" s="450" t="s">
        <v>1217</v>
      </c>
      <c r="D3868" s="67"/>
      <c r="E3868" s="67"/>
      <c r="F3868" s="67"/>
      <c r="G3868" s="69"/>
      <c r="H3868" s="589">
        <v>0</v>
      </c>
      <c r="I3868" s="44"/>
      <c r="J3868" s="44"/>
      <c r="K3868" s="44"/>
    </row>
    <row r="3869" spans="3:15" s="59" customFormat="1" ht="21" customHeight="1">
      <c r="C3869" s="288" t="s">
        <v>1218</v>
      </c>
      <c r="D3869" s="76" t="s">
        <v>1219</v>
      </c>
      <c r="E3869" s="77"/>
      <c r="F3869" s="77"/>
      <c r="G3869" s="78"/>
      <c r="H3869" s="585">
        <f>H3868+H3866+H3863</f>
        <v>138950</v>
      </c>
      <c r="I3869" s="369"/>
      <c r="J3869" s="44"/>
      <c r="K3869" s="44"/>
    </row>
    <row r="3870" spans="3:15" s="59" customFormat="1" ht="21" customHeight="1">
      <c r="C3870" s="288" t="s">
        <v>1220</v>
      </c>
      <c r="D3870" s="76" t="s">
        <v>1321</v>
      </c>
      <c r="E3870" s="77"/>
      <c r="F3870" s="78"/>
      <c r="G3870" s="80">
        <v>0.1</v>
      </c>
      <c r="H3870" s="63">
        <f>H3869*G3870</f>
        <v>13895</v>
      </c>
      <c r="I3870" s="369"/>
      <c r="J3870" s="44"/>
      <c r="K3870" s="44"/>
    </row>
    <row r="3871" spans="3:15" s="59" customFormat="1" ht="21" customHeight="1">
      <c r="C3871" s="288" t="s">
        <v>1221</v>
      </c>
      <c r="D3871" s="76" t="s">
        <v>1222</v>
      </c>
      <c r="E3871" s="77"/>
      <c r="F3871" s="77"/>
      <c r="G3871" s="78"/>
      <c r="H3871" s="799">
        <f>SUM(H3869:H3870)</f>
        <v>152845</v>
      </c>
      <c r="I3871" s="369"/>
      <c r="J3871" s="44"/>
      <c r="K3871" s="44"/>
    </row>
    <row r="3872" spans="3:15" ht="21" customHeight="1"/>
    <row r="3873" spans="3:15" s="59" customFormat="1" ht="21" customHeight="1">
      <c r="C3873" s="147" t="s">
        <v>5436</v>
      </c>
      <c r="D3873" s="794" t="s">
        <v>4221</v>
      </c>
      <c r="E3873" s="795"/>
      <c r="F3873" s="795"/>
      <c r="G3873" s="795"/>
      <c r="H3873" s="795"/>
      <c r="I3873" s="50">
        <f>ROUNDDOWN(H3888,-2)</f>
        <v>180200</v>
      </c>
      <c r="J3873" s="50"/>
      <c r="K3873" s="50"/>
    </row>
    <row r="3874" spans="3:15" s="59" customFormat="1" ht="21" customHeight="1">
      <c r="C3874" s="591" t="s">
        <v>1195</v>
      </c>
      <c r="D3874" s="591" t="s">
        <v>1196</v>
      </c>
      <c r="E3874" s="591" t="s">
        <v>1197</v>
      </c>
      <c r="F3874" s="591" t="s">
        <v>1198</v>
      </c>
      <c r="G3874" s="591" t="s">
        <v>1199</v>
      </c>
      <c r="H3874" s="591" t="s">
        <v>1200</v>
      </c>
      <c r="I3874" s="44"/>
      <c r="J3874" s="44"/>
      <c r="K3874" s="44"/>
    </row>
    <row r="3875" spans="3:15" s="59" customFormat="1" ht="21" customHeight="1">
      <c r="C3875" s="61" t="s">
        <v>1201</v>
      </c>
      <c r="D3875" s="56" t="s">
        <v>1202</v>
      </c>
      <c r="E3875" s="57"/>
      <c r="F3875" s="57"/>
      <c r="G3875" s="57"/>
      <c r="H3875" s="57"/>
      <c r="I3875" s="44"/>
      <c r="J3875" s="44"/>
      <c r="K3875" s="44"/>
      <c r="L3875" s="152" t="s">
        <v>1247</v>
      </c>
    </row>
    <row r="3876" spans="3:15" s="59" customFormat="1" ht="21" customHeight="1">
      <c r="C3876" s="588">
        <v>1</v>
      </c>
      <c r="D3876" s="56" t="s">
        <v>5</v>
      </c>
      <c r="E3876" s="577" t="s">
        <v>6</v>
      </c>
      <c r="F3876" s="62">
        <v>7.9000000000000001E-2</v>
      </c>
      <c r="G3876" s="63">
        <f>VLOOKUP(D3876,upahbahan,3,FALSE)</f>
        <v>100000</v>
      </c>
      <c r="H3876" s="63">
        <f>F3876*G3876</f>
        <v>7900</v>
      </c>
      <c r="I3876" s="44"/>
      <c r="J3876" s="44"/>
      <c r="K3876" s="44"/>
      <c r="L3876" s="152" t="s">
        <v>1248</v>
      </c>
      <c r="O3876" s="65">
        <v>0.1</v>
      </c>
    </row>
    <row r="3877" spans="3:15" s="59" customFormat="1" ht="21" customHeight="1">
      <c r="C3877" s="588">
        <v>2</v>
      </c>
      <c r="D3877" s="56" t="s">
        <v>10</v>
      </c>
      <c r="E3877" s="577" t="s">
        <v>6</v>
      </c>
      <c r="F3877" s="62">
        <v>0.13100000000000001</v>
      </c>
      <c r="G3877" s="63">
        <f>VLOOKUP(D3877,upahbahan,3,FALSE)</f>
        <v>135000</v>
      </c>
      <c r="H3877" s="63">
        <f>F3877*G3877</f>
        <v>17685</v>
      </c>
      <c r="I3877" s="44"/>
      <c r="J3877" s="44"/>
      <c r="K3877" s="44"/>
    </row>
    <row r="3878" spans="3:15" s="59" customFormat="1" ht="21" customHeight="1">
      <c r="C3878" s="588">
        <v>3</v>
      </c>
      <c r="D3878" s="56" t="s">
        <v>18</v>
      </c>
      <c r="E3878" s="577" t="s">
        <v>6</v>
      </c>
      <c r="F3878" s="62">
        <v>1.2999999999999999E-2</v>
      </c>
      <c r="G3878" s="63">
        <f>VLOOKUP(D3878,upahbahan,3,FALSE)</f>
        <v>150000</v>
      </c>
      <c r="H3878" s="63">
        <f>F3878*G3878</f>
        <v>1950</v>
      </c>
      <c r="I3878" s="44"/>
      <c r="J3878" s="44"/>
      <c r="K3878" s="44"/>
    </row>
    <row r="3879" spans="3:15" s="59" customFormat="1" ht="21" customHeight="1">
      <c r="C3879" s="588">
        <v>4</v>
      </c>
      <c r="D3879" s="56" t="s">
        <v>19</v>
      </c>
      <c r="E3879" s="577" t="s">
        <v>6</v>
      </c>
      <c r="F3879" s="62">
        <v>4.0000000000000001E-3</v>
      </c>
      <c r="G3879" s="63">
        <f>VLOOKUP(D3879,upahbahan,3,FALSE)</f>
        <v>160000</v>
      </c>
      <c r="H3879" s="63">
        <f>F3879*G3879</f>
        <v>640</v>
      </c>
      <c r="I3879" s="44"/>
      <c r="J3879" s="44"/>
      <c r="K3879" s="44"/>
    </row>
    <row r="3880" spans="3:15" s="59" customFormat="1" ht="21" customHeight="1">
      <c r="C3880" s="450" t="s">
        <v>1208</v>
      </c>
      <c r="D3880" s="67"/>
      <c r="E3880" s="67"/>
      <c r="F3880" s="142"/>
      <c r="G3880" s="153"/>
      <c r="H3880" s="63">
        <f>SUM(H3876:H3879)</f>
        <v>28175</v>
      </c>
      <c r="I3880" s="154"/>
      <c r="J3880" s="154"/>
      <c r="K3880" s="154"/>
    </row>
    <row r="3881" spans="3:15" s="59" customFormat="1" ht="21" customHeight="1">
      <c r="C3881" s="61" t="s">
        <v>1209</v>
      </c>
      <c r="D3881" s="56" t="s">
        <v>1210</v>
      </c>
      <c r="E3881" s="57"/>
      <c r="F3881" s="57"/>
      <c r="G3881" s="57"/>
      <c r="H3881" s="57"/>
      <c r="I3881" s="44"/>
      <c r="J3881" s="44"/>
      <c r="K3881" s="44"/>
    </row>
    <row r="3882" spans="3:15" s="59" customFormat="1" ht="21" customHeight="1">
      <c r="C3882" s="61">
        <v>1</v>
      </c>
      <c r="D3882" s="56" t="s">
        <v>4222</v>
      </c>
      <c r="E3882" s="93" t="s">
        <v>135</v>
      </c>
      <c r="F3882" s="104">
        <v>1.1499999999999999</v>
      </c>
      <c r="G3882" s="63">
        <f>VLOOKUP(D3882,upahbahan,3,FALSE)</f>
        <v>118000</v>
      </c>
      <c r="H3882" s="586">
        <f>G3882*F3882</f>
        <v>135700</v>
      </c>
      <c r="I3882" s="44"/>
      <c r="J3882" s="44"/>
      <c r="K3882" s="44"/>
    </row>
    <row r="3883" spans="3:15" s="59" customFormat="1" ht="21" customHeight="1">
      <c r="C3883" s="450" t="s">
        <v>1214</v>
      </c>
      <c r="D3883" s="67"/>
      <c r="E3883" s="67"/>
      <c r="F3883" s="67"/>
      <c r="G3883" s="69"/>
      <c r="H3883" s="63">
        <f>SUM(H3882:H3882)</f>
        <v>135700</v>
      </c>
      <c r="I3883" s="44"/>
      <c r="J3883" s="44"/>
      <c r="K3883" s="44"/>
    </row>
    <row r="3884" spans="3:15" s="59" customFormat="1" ht="21" customHeight="1">
      <c r="C3884" s="61" t="s">
        <v>1215</v>
      </c>
      <c r="D3884" s="56" t="s">
        <v>1216</v>
      </c>
      <c r="E3884" s="57"/>
      <c r="F3884" s="57"/>
      <c r="G3884" s="57"/>
      <c r="H3884" s="57"/>
      <c r="I3884" s="44"/>
      <c r="J3884" s="44"/>
      <c r="K3884" s="44"/>
    </row>
    <row r="3885" spans="3:15" s="59" customFormat="1" ht="21" customHeight="1">
      <c r="C3885" s="450" t="s">
        <v>1217</v>
      </c>
      <c r="D3885" s="67"/>
      <c r="E3885" s="67"/>
      <c r="F3885" s="67"/>
      <c r="G3885" s="69"/>
      <c r="H3885" s="589">
        <v>0</v>
      </c>
      <c r="I3885" s="44"/>
      <c r="J3885" s="44"/>
      <c r="K3885" s="44"/>
    </row>
    <row r="3886" spans="3:15" s="59" customFormat="1" ht="21" customHeight="1">
      <c r="C3886" s="288" t="s">
        <v>1218</v>
      </c>
      <c r="D3886" s="76" t="s">
        <v>1219</v>
      </c>
      <c r="E3886" s="77"/>
      <c r="F3886" s="77"/>
      <c r="G3886" s="78"/>
      <c r="H3886" s="585">
        <f>H3885+H3883+H3880</f>
        <v>163875</v>
      </c>
      <c r="I3886" s="369"/>
      <c r="J3886" s="44"/>
      <c r="K3886" s="44"/>
    </row>
    <row r="3887" spans="3:15" s="59" customFormat="1" ht="21" customHeight="1">
      <c r="C3887" s="288" t="s">
        <v>1220</v>
      </c>
      <c r="D3887" s="76" t="s">
        <v>1321</v>
      </c>
      <c r="E3887" s="77"/>
      <c r="F3887" s="78"/>
      <c r="G3887" s="80">
        <v>0.1</v>
      </c>
      <c r="H3887" s="63">
        <f>H3886*G3887</f>
        <v>16387.5</v>
      </c>
      <c r="I3887" s="369"/>
      <c r="J3887" s="44"/>
      <c r="K3887" s="44"/>
    </row>
    <row r="3888" spans="3:15" s="59" customFormat="1" ht="21" customHeight="1">
      <c r="C3888" s="288" t="s">
        <v>1221</v>
      </c>
      <c r="D3888" s="76" t="s">
        <v>1222</v>
      </c>
      <c r="E3888" s="77"/>
      <c r="F3888" s="77"/>
      <c r="G3888" s="78"/>
      <c r="H3888" s="799">
        <f>SUM(H3886:H3887)</f>
        <v>180262.5</v>
      </c>
      <c r="I3888" s="369"/>
      <c r="J3888" s="44"/>
      <c r="K3888" s="44"/>
    </row>
    <row r="3889" spans="3:15" ht="21" customHeight="1"/>
    <row r="3890" spans="3:15" s="59" customFormat="1" ht="21" customHeight="1">
      <c r="C3890" s="147" t="s">
        <v>5437</v>
      </c>
      <c r="D3890" s="794" t="s">
        <v>4223</v>
      </c>
      <c r="E3890" s="795"/>
      <c r="F3890" s="795"/>
      <c r="G3890" s="795"/>
      <c r="H3890" s="795"/>
      <c r="I3890" s="50">
        <f>ROUNDDOWN(H3905,-2)</f>
        <v>218900</v>
      </c>
      <c r="J3890" s="50"/>
      <c r="K3890" s="50"/>
    </row>
    <row r="3891" spans="3:15" s="59" customFormat="1" ht="21" customHeight="1">
      <c r="C3891" s="591" t="s">
        <v>1195</v>
      </c>
      <c r="D3891" s="591" t="s">
        <v>1196</v>
      </c>
      <c r="E3891" s="591" t="s">
        <v>1197</v>
      </c>
      <c r="F3891" s="591" t="s">
        <v>1198</v>
      </c>
      <c r="G3891" s="591" t="s">
        <v>1199</v>
      </c>
      <c r="H3891" s="591" t="s">
        <v>1200</v>
      </c>
      <c r="I3891" s="44"/>
      <c r="J3891" s="44"/>
      <c r="K3891" s="44"/>
    </row>
    <row r="3892" spans="3:15" s="59" customFormat="1" ht="21" customHeight="1">
      <c r="C3892" s="61" t="s">
        <v>1201</v>
      </c>
      <c r="D3892" s="56" t="s">
        <v>1202</v>
      </c>
      <c r="E3892" s="57"/>
      <c r="F3892" s="57"/>
      <c r="G3892" s="57"/>
      <c r="H3892" s="57"/>
      <c r="I3892" s="44"/>
      <c r="J3892" s="44"/>
      <c r="K3892" s="44"/>
      <c r="L3892" s="152" t="s">
        <v>1247</v>
      </c>
    </row>
    <row r="3893" spans="3:15" s="59" customFormat="1" ht="21" customHeight="1">
      <c r="C3893" s="588">
        <v>1</v>
      </c>
      <c r="D3893" s="56" t="s">
        <v>5</v>
      </c>
      <c r="E3893" s="577" t="s">
        <v>6</v>
      </c>
      <c r="F3893" s="62">
        <v>0.105</v>
      </c>
      <c r="G3893" s="63">
        <f>VLOOKUP(D3893,upahbahan,3,FALSE)</f>
        <v>100000</v>
      </c>
      <c r="H3893" s="63">
        <f>F3893*G3893</f>
        <v>10500</v>
      </c>
      <c r="I3893" s="44"/>
      <c r="J3893" s="44"/>
      <c r="K3893" s="44"/>
      <c r="L3893" s="152" t="s">
        <v>1248</v>
      </c>
      <c r="O3893" s="65">
        <v>0.1</v>
      </c>
    </row>
    <row r="3894" spans="3:15" s="59" customFormat="1" ht="21" customHeight="1">
      <c r="C3894" s="588">
        <v>2</v>
      </c>
      <c r="D3894" s="56" t="s">
        <v>10</v>
      </c>
      <c r="E3894" s="577" t="s">
        <v>6</v>
      </c>
      <c r="F3894" s="62">
        <v>0.17499999999999999</v>
      </c>
      <c r="G3894" s="63">
        <f>VLOOKUP(D3894,upahbahan,3,FALSE)</f>
        <v>135000</v>
      </c>
      <c r="H3894" s="63">
        <f>F3894*G3894</f>
        <v>23625</v>
      </c>
      <c r="I3894" s="44"/>
      <c r="J3894" s="44"/>
      <c r="K3894" s="44"/>
    </row>
    <row r="3895" spans="3:15" s="59" customFormat="1" ht="21" customHeight="1">
      <c r="C3895" s="588">
        <v>3</v>
      </c>
      <c r="D3895" s="56" t="s">
        <v>18</v>
      </c>
      <c r="E3895" s="577" t="s">
        <v>6</v>
      </c>
      <c r="F3895" s="62">
        <v>1.7000000000000001E-2</v>
      </c>
      <c r="G3895" s="63">
        <f>VLOOKUP(D3895,upahbahan,3,FALSE)</f>
        <v>150000</v>
      </c>
      <c r="H3895" s="63">
        <f>F3895*G3895</f>
        <v>2550</v>
      </c>
      <c r="I3895" s="44"/>
      <c r="J3895" s="44"/>
      <c r="K3895" s="44"/>
    </row>
    <row r="3896" spans="3:15" s="59" customFormat="1" ht="21" customHeight="1">
      <c r="C3896" s="588">
        <v>4</v>
      </c>
      <c r="D3896" s="56" t="s">
        <v>19</v>
      </c>
      <c r="E3896" s="577" t="s">
        <v>6</v>
      </c>
      <c r="F3896" s="62">
        <v>5.0000000000000001E-3</v>
      </c>
      <c r="G3896" s="63">
        <f>VLOOKUP(D3896,upahbahan,3,FALSE)</f>
        <v>160000</v>
      </c>
      <c r="H3896" s="63">
        <f>F3896*G3896</f>
        <v>800</v>
      </c>
      <c r="I3896" s="44"/>
      <c r="J3896" s="44"/>
      <c r="K3896" s="44"/>
    </row>
    <row r="3897" spans="3:15" s="59" customFormat="1" ht="21" customHeight="1">
      <c r="C3897" s="450" t="s">
        <v>1208</v>
      </c>
      <c r="D3897" s="67"/>
      <c r="E3897" s="67"/>
      <c r="F3897" s="142"/>
      <c r="G3897" s="153"/>
      <c r="H3897" s="63">
        <f>SUM(H3893:H3896)</f>
        <v>37475</v>
      </c>
      <c r="I3897" s="154"/>
      <c r="J3897" s="154"/>
      <c r="K3897" s="154"/>
    </row>
    <row r="3898" spans="3:15" s="59" customFormat="1" ht="21" customHeight="1">
      <c r="C3898" s="61" t="s">
        <v>1209</v>
      </c>
      <c r="D3898" s="56" t="s">
        <v>1210</v>
      </c>
      <c r="E3898" s="57"/>
      <c r="F3898" s="57"/>
      <c r="G3898" s="57"/>
      <c r="H3898" s="57"/>
      <c r="I3898" s="44"/>
      <c r="J3898" s="44"/>
      <c r="K3898" s="44"/>
    </row>
    <row r="3899" spans="3:15" s="59" customFormat="1" ht="21" customHeight="1">
      <c r="C3899" s="61">
        <v>1</v>
      </c>
      <c r="D3899" s="56" t="s">
        <v>4224</v>
      </c>
      <c r="E3899" s="93" t="s">
        <v>135</v>
      </c>
      <c r="F3899" s="104">
        <v>1.1499999999999999</v>
      </c>
      <c r="G3899" s="63">
        <f>VLOOKUP(D3899,upahbahan,3,FALSE)</f>
        <v>140500</v>
      </c>
      <c r="H3899" s="586">
        <f>G3899*F3899</f>
        <v>161575</v>
      </c>
      <c r="I3899" s="44"/>
      <c r="J3899" s="44"/>
      <c r="K3899" s="44"/>
    </row>
    <row r="3900" spans="3:15" s="59" customFormat="1" ht="21" customHeight="1">
      <c r="C3900" s="450" t="s">
        <v>1214</v>
      </c>
      <c r="D3900" s="67"/>
      <c r="E3900" s="67"/>
      <c r="F3900" s="67"/>
      <c r="G3900" s="69"/>
      <c r="H3900" s="63">
        <f>SUM(H3899:H3899)</f>
        <v>161575</v>
      </c>
      <c r="I3900" s="44"/>
      <c r="J3900" s="44"/>
      <c r="K3900" s="44"/>
    </row>
    <row r="3901" spans="3:15" s="59" customFormat="1" ht="21" customHeight="1">
      <c r="C3901" s="61" t="s">
        <v>1215</v>
      </c>
      <c r="D3901" s="56" t="s">
        <v>1216</v>
      </c>
      <c r="E3901" s="57"/>
      <c r="F3901" s="57"/>
      <c r="G3901" s="57"/>
      <c r="H3901" s="57"/>
      <c r="I3901" s="44"/>
      <c r="J3901" s="44"/>
      <c r="K3901" s="44"/>
    </row>
    <row r="3902" spans="3:15" s="59" customFormat="1" ht="21" customHeight="1">
      <c r="C3902" s="450" t="s">
        <v>1217</v>
      </c>
      <c r="D3902" s="67"/>
      <c r="E3902" s="67"/>
      <c r="F3902" s="67"/>
      <c r="G3902" s="69"/>
      <c r="H3902" s="589">
        <v>0</v>
      </c>
      <c r="I3902" s="44"/>
      <c r="J3902" s="44"/>
      <c r="K3902" s="44"/>
    </row>
    <row r="3903" spans="3:15" s="59" customFormat="1" ht="21" customHeight="1">
      <c r="C3903" s="288" t="s">
        <v>1218</v>
      </c>
      <c r="D3903" s="76" t="s">
        <v>1219</v>
      </c>
      <c r="E3903" s="77"/>
      <c r="F3903" s="77"/>
      <c r="G3903" s="78"/>
      <c r="H3903" s="585">
        <f>H3902+H3900+H3897</f>
        <v>199050</v>
      </c>
      <c r="I3903" s="369"/>
      <c r="J3903" s="44"/>
      <c r="K3903" s="44"/>
    </row>
    <row r="3904" spans="3:15" s="59" customFormat="1" ht="21" customHeight="1">
      <c r="C3904" s="288" t="s">
        <v>1220</v>
      </c>
      <c r="D3904" s="76" t="s">
        <v>1321</v>
      </c>
      <c r="E3904" s="77"/>
      <c r="F3904" s="78"/>
      <c r="G3904" s="80">
        <v>0.1</v>
      </c>
      <c r="H3904" s="63">
        <f>H3903*G3904</f>
        <v>19905</v>
      </c>
      <c r="I3904" s="369"/>
      <c r="J3904" s="44"/>
      <c r="K3904" s="44"/>
    </row>
    <row r="3905" spans="3:15" s="59" customFormat="1" ht="21" customHeight="1">
      <c r="C3905" s="288" t="s">
        <v>1221</v>
      </c>
      <c r="D3905" s="76" t="s">
        <v>1222</v>
      </c>
      <c r="E3905" s="77"/>
      <c r="F3905" s="77"/>
      <c r="G3905" s="78"/>
      <c r="H3905" s="799">
        <f>SUM(H3903:H3904)</f>
        <v>218955</v>
      </c>
      <c r="I3905" s="369"/>
      <c r="J3905" s="44"/>
      <c r="K3905" s="44"/>
    </row>
    <row r="3906" spans="3:15" ht="21" customHeight="1"/>
    <row r="3907" spans="3:15" s="59" customFormat="1" ht="21" customHeight="1">
      <c r="C3907" s="147" t="s">
        <v>5438</v>
      </c>
      <c r="D3907" s="794" t="s">
        <v>4225</v>
      </c>
      <c r="E3907" s="795"/>
      <c r="F3907" s="795"/>
      <c r="G3907" s="795"/>
      <c r="H3907" s="795"/>
      <c r="I3907" s="50">
        <f>ROUNDDOWN(H3922,-2)</f>
        <v>290800</v>
      </c>
      <c r="J3907" s="50"/>
      <c r="K3907" s="50"/>
    </row>
    <row r="3908" spans="3:15" s="59" customFormat="1" ht="21" customHeight="1">
      <c r="C3908" s="591" t="s">
        <v>1195</v>
      </c>
      <c r="D3908" s="591" t="s">
        <v>1196</v>
      </c>
      <c r="E3908" s="591" t="s">
        <v>1197</v>
      </c>
      <c r="F3908" s="591" t="s">
        <v>1198</v>
      </c>
      <c r="G3908" s="591" t="s">
        <v>1199</v>
      </c>
      <c r="H3908" s="591" t="s">
        <v>1200</v>
      </c>
      <c r="I3908" s="44"/>
      <c r="J3908" s="44"/>
      <c r="K3908" s="44"/>
    </row>
    <row r="3909" spans="3:15" s="59" customFormat="1" ht="21" customHeight="1">
      <c r="C3909" s="61" t="s">
        <v>1201</v>
      </c>
      <c r="D3909" s="56" t="s">
        <v>1202</v>
      </c>
      <c r="E3909" s="57"/>
      <c r="F3909" s="57"/>
      <c r="G3909" s="57"/>
      <c r="H3909" s="57"/>
      <c r="I3909" s="44"/>
      <c r="J3909" s="44"/>
      <c r="K3909" s="44"/>
      <c r="L3909" s="152" t="s">
        <v>1247</v>
      </c>
    </row>
    <row r="3910" spans="3:15" s="59" customFormat="1" ht="21" customHeight="1">
      <c r="C3910" s="588">
        <v>1</v>
      </c>
      <c r="D3910" s="56" t="s">
        <v>5</v>
      </c>
      <c r="E3910" s="577" t="s">
        <v>6</v>
      </c>
      <c r="F3910" s="62">
        <v>0.129</v>
      </c>
      <c r="G3910" s="63">
        <f>VLOOKUP(D3910,upahbahan,3,FALSE)</f>
        <v>100000</v>
      </c>
      <c r="H3910" s="63">
        <f>F3910*G3910</f>
        <v>12900</v>
      </c>
      <c r="I3910" s="44"/>
      <c r="J3910" s="44"/>
      <c r="K3910" s="44"/>
      <c r="L3910" s="152" t="s">
        <v>1248</v>
      </c>
      <c r="O3910" s="65">
        <v>0.1</v>
      </c>
    </row>
    <row r="3911" spans="3:15" s="59" customFormat="1" ht="21" customHeight="1">
      <c r="C3911" s="588">
        <v>2</v>
      </c>
      <c r="D3911" s="56" t="s">
        <v>10</v>
      </c>
      <c r="E3911" s="577" t="s">
        <v>6</v>
      </c>
      <c r="F3911" s="62">
        <v>0.215</v>
      </c>
      <c r="G3911" s="63">
        <f>VLOOKUP(D3911,upahbahan,3,FALSE)</f>
        <v>135000</v>
      </c>
      <c r="H3911" s="63">
        <f>F3911*G3911</f>
        <v>29025</v>
      </c>
      <c r="I3911" s="44"/>
      <c r="J3911" s="44"/>
      <c r="K3911" s="44"/>
    </row>
    <row r="3912" spans="3:15" s="59" customFormat="1" ht="21" customHeight="1">
      <c r="C3912" s="588">
        <v>3</v>
      </c>
      <c r="D3912" s="56" t="s">
        <v>18</v>
      </c>
      <c r="E3912" s="577" t="s">
        <v>6</v>
      </c>
      <c r="F3912" s="62">
        <v>2.1000000000000001E-2</v>
      </c>
      <c r="G3912" s="63">
        <f>VLOOKUP(D3912,upahbahan,3,FALSE)</f>
        <v>150000</v>
      </c>
      <c r="H3912" s="63">
        <f>F3912*G3912</f>
        <v>3150</v>
      </c>
      <c r="I3912" s="44"/>
      <c r="J3912" s="44"/>
      <c r="K3912" s="44"/>
    </row>
    <row r="3913" spans="3:15" s="59" customFormat="1" ht="21" customHeight="1">
      <c r="C3913" s="588">
        <v>4</v>
      </c>
      <c r="D3913" s="56" t="s">
        <v>19</v>
      </c>
      <c r="E3913" s="577" t="s">
        <v>6</v>
      </c>
      <c r="F3913" s="62">
        <v>6.0000000000000001E-3</v>
      </c>
      <c r="G3913" s="63">
        <f>VLOOKUP(D3913,upahbahan,3,FALSE)</f>
        <v>160000</v>
      </c>
      <c r="H3913" s="63">
        <f>F3913*G3913</f>
        <v>960</v>
      </c>
      <c r="I3913" s="44"/>
      <c r="J3913" s="44"/>
      <c r="K3913" s="44"/>
    </row>
    <row r="3914" spans="3:15" s="59" customFormat="1" ht="21" customHeight="1">
      <c r="C3914" s="450" t="s">
        <v>1208</v>
      </c>
      <c r="D3914" s="67"/>
      <c r="E3914" s="67"/>
      <c r="F3914" s="142"/>
      <c r="G3914" s="153"/>
      <c r="H3914" s="63">
        <f>SUM(H3910:H3913)</f>
        <v>46035</v>
      </c>
      <c r="I3914" s="154"/>
      <c r="J3914" s="154"/>
      <c r="K3914" s="154"/>
    </row>
    <row r="3915" spans="3:15" s="59" customFormat="1" ht="21" customHeight="1">
      <c r="C3915" s="61" t="s">
        <v>1209</v>
      </c>
      <c r="D3915" s="56" t="s">
        <v>1210</v>
      </c>
      <c r="E3915" s="57"/>
      <c r="F3915" s="57"/>
      <c r="G3915" s="57"/>
      <c r="H3915" s="57"/>
      <c r="I3915" s="44"/>
      <c r="J3915" s="44"/>
      <c r="K3915" s="44"/>
    </row>
    <row r="3916" spans="3:15" s="59" customFormat="1" ht="21" customHeight="1">
      <c r="C3916" s="61">
        <v>1</v>
      </c>
      <c r="D3916" s="56" t="s">
        <v>4238</v>
      </c>
      <c r="E3916" s="93" t="s">
        <v>135</v>
      </c>
      <c r="F3916" s="104">
        <v>1.1499999999999999</v>
      </c>
      <c r="G3916" s="63">
        <f>VLOOKUP(D3916,upahbahan,3,FALSE)</f>
        <v>189900</v>
      </c>
      <c r="H3916" s="586">
        <f>G3916*F3916</f>
        <v>218384.99999999997</v>
      </c>
      <c r="I3916" s="44"/>
      <c r="J3916" s="44"/>
      <c r="K3916" s="44"/>
    </row>
    <row r="3917" spans="3:15" s="59" customFormat="1" ht="21" customHeight="1">
      <c r="C3917" s="450" t="s">
        <v>1214</v>
      </c>
      <c r="D3917" s="67"/>
      <c r="E3917" s="67"/>
      <c r="F3917" s="67"/>
      <c r="G3917" s="69"/>
      <c r="H3917" s="63">
        <f>SUM(H3916:H3916)</f>
        <v>218384.99999999997</v>
      </c>
      <c r="I3917" s="44"/>
      <c r="J3917" s="44"/>
      <c r="K3917" s="44"/>
    </row>
    <row r="3918" spans="3:15" s="59" customFormat="1" ht="21" customHeight="1">
      <c r="C3918" s="61" t="s">
        <v>1215</v>
      </c>
      <c r="D3918" s="56" t="s">
        <v>1216</v>
      </c>
      <c r="E3918" s="57"/>
      <c r="F3918" s="57"/>
      <c r="G3918" s="57"/>
      <c r="H3918" s="57"/>
      <c r="I3918" s="44"/>
      <c r="J3918" s="44"/>
      <c r="K3918" s="44"/>
    </row>
    <row r="3919" spans="3:15" s="59" customFormat="1" ht="21" customHeight="1">
      <c r="C3919" s="450" t="s">
        <v>1217</v>
      </c>
      <c r="D3919" s="67"/>
      <c r="E3919" s="67"/>
      <c r="F3919" s="67"/>
      <c r="G3919" s="69"/>
      <c r="H3919" s="589">
        <v>0</v>
      </c>
      <c r="I3919" s="44"/>
      <c r="J3919" s="44"/>
      <c r="K3919" s="44"/>
    </row>
    <row r="3920" spans="3:15" s="59" customFormat="1" ht="21" customHeight="1">
      <c r="C3920" s="288" t="s">
        <v>1218</v>
      </c>
      <c r="D3920" s="76" t="s">
        <v>1219</v>
      </c>
      <c r="E3920" s="77"/>
      <c r="F3920" s="77"/>
      <c r="G3920" s="78"/>
      <c r="H3920" s="585">
        <f>H3919+H3917+H3914</f>
        <v>264420</v>
      </c>
      <c r="I3920" s="369"/>
      <c r="J3920" s="44"/>
      <c r="K3920" s="44"/>
    </row>
    <row r="3921" spans="3:15" s="59" customFormat="1" ht="21" customHeight="1">
      <c r="C3921" s="288" t="s">
        <v>1220</v>
      </c>
      <c r="D3921" s="76" t="s">
        <v>1321</v>
      </c>
      <c r="E3921" s="77"/>
      <c r="F3921" s="78"/>
      <c r="G3921" s="80">
        <v>0.1</v>
      </c>
      <c r="H3921" s="63">
        <f>H3920*G3921</f>
        <v>26442</v>
      </c>
      <c r="I3921" s="369"/>
      <c r="J3921" s="44"/>
      <c r="K3921" s="44"/>
    </row>
    <row r="3922" spans="3:15" s="59" customFormat="1" ht="21" customHeight="1">
      <c r="C3922" s="288" t="s">
        <v>1221</v>
      </c>
      <c r="D3922" s="76" t="s">
        <v>1222</v>
      </c>
      <c r="E3922" s="77"/>
      <c r="F3922" s="77"/>
      <c r="G3922" s="78"/>
      <c r="H3922" s="799">
        <f>SUM(H3920:H3921)</f>
        <v>290862</v>
      </c>
      <c r="I3922" s="369"/>
      <c r="J3922" s="44"/>
      <c r="K3922" s="44"/>
    </row>
    <row r="3923" spans="3:15" ht="21" customHeight="1"/>
    <row r="3924" spans="3:15" ht="21" customHeight="1"/>
    <row r="3925" spans="3:15" s="59" customFormat="1" ht="21" customHeight="1">
      <c r="C3925" s="147" t="s">
        <v>5439</v>
      </c>
      <c r="D3925" s="794" t="s">
        <v>4226</v>
      </c>
      <c r="E3925" s="795"/>
      <c r="F3925" s="795"/>
      <c r="G3925" s="795"/>
      <c r="H3925" s="795"/>
      <c r="I3925" s="50">
        <f>ROUNDDOWN(H3940,-2)</f>
        <v>381700</v>
      </c>
      <c r="J3925" s="50"/>
      <c r="K3925" s="50"/>
    </row>
    <row r="3926" spans="3:15" s="59" customFormat="1" ht="21" customHeight="1">
      <c r="C3926" s="591" t="s">
        <v>1195</v>
      </c>
      <c r="D3926" s="591" t="s">
        <v>1196</v>
      </c>
      <c r="E3926" s="591" t="s">
        <v>1197</v>
      </c>
      <c r="F3926" s="591" t="s">
        <v>1198</v>
      </c>
      <c r="G3926" s="591" t="s">
        <v>1199</v>
      </c>
      <c r="H3926" s="591" t="s">
        <v>1200</v>
      </c>
      <c r="I3926" s="44"/>
      <c r="J3926" s="44"/>
      <c r="K3926" s="44"/>
    </row>
    <row r="3927" spans="3:15" s="59" customFormat="1" ht="21" customHeight="1">
      <c r="C3927" s="61" t="s">
        <v>1201</v>
      </c>
      <c r="D3927" s="56" t="s">
        <v>1202</v>
      </c>
      <c r="E3927" s="57"/>
      <c r="F3927" s="57"/>
      <c r="G3927" s="57"/>
      <c r="H3927" s="57"/>
      <c r="I3927" s="44"/>
      <c r="J3927" s="44"/>
      <c r="K3927" s="44"/>
      <c r="L3927" s="152" t="s">
        <v>1247</v>
      </c>
    </row>
    <row r="3928" spans="3:15" s="59" customFormat="1" ht="21" customHeight="1">
      <c r="C3928" s="588">
        <v>1</v>
      </c>
      <c r="D3928" s="56" t="s">
        <v>5</v>
      </c>
      <c r="E3928" s="577" t="s">
        <v>6</v>
      </c>
      <c r="F3928" s="62">
        <v>0.157</v>
      </c>
      <c r="G3928" s="63">
        <f>VLOOKUP(D3928,upahbahan,3,FALSE)</f>
        <v>100000</v>
      </c>
      <c r="H3928" s="63">
        <f>F3928*G3928</f>
        <v>15700</v>
      </c>
      <c r="I3928" s="44"/>
      <c r="J3928" s="44"/>
      <c r="K3928" s="44"/>
      <c r="L3928" s="152" t="s">
        <v>1248</v>
      </c>
      <c r="O3928" s="65">
        <v>0.1</v>
      </c>
    </row>
    <row r="3929" spans="3:15" s="59" customFormat="1" ht="21" customHeight="1">
      <c r="C3929" s="588">
        <v>2</v>
      </c>
      <c r="D3929" s="56" t="s">
        <v>10</v>
      </c>
      <c r="E3929" s="577" t="s">
        <v>6</v>
      </c>
      <c r="F3929" s="62">
        <v>0.26200000000000001</v>
      </c>
      <c r="G3929" s="63">
        <f>VLOOKUP(D3929,upahbahan,3,FALSE)</f>
        <v>135000</v>
      </c>
      <c r="H3929" s="63">
        <f>F3929*G3929</f>
        <v>35370</v>
      </c>
      <c r="I3929" s="44"/>
      <c r="J3929" s="44"/>
      <c r="K3929" s="44"/>
    </row>
    <row r="3930" spans="3:15" s="59" customFormat="1" ht="21" customHeight="1">
      <c r="C3930" s="588">
        <v>3</v>
      </c>
      <c r="D3930" s="56" t="s">
        <v>18</v>
      </c>
      <c r="E3930" s="577" t="s">
        <v>6</v>
      </c>
      <c r="F3930" s="62">
        <v>2.5999999999999999E-2</v>
      </c>
      <c r="G3930" s="63">
        <f>VLOOKUP(D3930,upahbahan,3,FALSE)</f>
        <v>150000</v>
      </c>
      <c r="H3930" s="63">
        <f>F3930*G3930</f>
        <v>3900</v>
      </c>
      <c r="I3930" s="44"/>
      <c r="J3930" s="44"/>
      <c r="K3930" s="44"/>
    </row>
    <row r="3931" spans="3:15" s="59" customFormat="1" ht="21" customHeight="1">
      <c r="C3931" s="588">
        <v>4</v>
      </c>
      <c r="D3931" s="56" t="s">
        <v>19</v>
      </c>
      <c r="E3931" s="577" t="s">
        <v>6</v>
      </c>
      <c r="F3931" s="62">
        <v>8.0000000000000002E-3</v>
      </c>
      <c r="G3931" s="63">
        <f>VLOOKUP(D3931,upahbahan,3,FALSE)</f>
        <v>160000</v>
      </c>
      <c r="H3931" s="63">
        <f>F3931*G3931</f>
        <v>1280</v>
      </c>
      <c r="I3931" s="44"/>
      <c r="J3931" s="44"/>
      <c r="K3931" s="44"/>
    </row>
    <row r="3932" spans="3:15" s="59" customFormat="1" ht="21" customHeight="1">
      <c r="C3932" s="450" t="s">
        <v>1208</v>
      </c>
      <c r="D3932" s="67"/>
      <c r="E3932" s="67"/>
      <c r="F3932" s="142"/>
      <c r="G3932" s="153"/>
      <c r="H3932" s="63">
        <f>SUM(H3928:H3931)</f>
        <v>56250</v>
      </c>
      <c r="I3932" s="154"/>
      <c r="J3932" s="154"/>
      <c r="K3932" s="154"/>
    </row>
    <row r="3933" spans="3:15" s="59" customFormat="1" ht="21" customHeight="1">
      <c r="C3933" s="61" t="s">
        <v>1209</v>
      </c>
      <c r="D3933" s="56" t="s">
        <v>1210</v>
      </c>
      <c r="E3933" s="57"/>
      <c r="F3933" s="57"/>
      <c r="G3933" s="57"/>
      <c r="H3933" s="57"/>
      <c r="I3933" s="44"/>
      <c r="J3933" s="44"/>
      <c r="K3933" s="44"/>
    </row>
    <row r="3934" spans="3:15" s="59" customFormat="1" ht="21" customHeight="1">
      <c r="C3934" s="61">
        <v>1</v>
      </c>
      <c r="D3934" s="56" t="s">
        <v>4227</v>
      </c>
      <c r="E3934" s="93" t="s">
        <v>135</v>
      </c>
      <c r="F3934" s="104">
        <v>1.1499999999999999</v>
      </c>
      <c r="G3934" s="63">
        <f>VLOOKUP(D3934,upahbahan,3,FALSE)</f>
        <v>252900</v>
      </c>
      <c r="H3934" s="586">
        <f>G3934*F3934</f>
        <v>290835</v>
      </c>
      <c r="I3934" s="44"/>
      <c r="J3934" s="44"/>
      <c r="K3934" s="44"/>
    </row>
    <row r="3935" spans="3:15" s="59" customFormat="1" ht="21" customHeight="1">
      <c r="C3935" s="450" t="s">
        <v>1214</v>
      </c>
      <c r="D3935" s="67"/>
      <c r="E3935" s="67"/>
      <c r="F3935" s="67"/>
      <c r="G3935" s="69"/>
      <c r="H3935" s="63">
        <f>SUM(H3934:H3934)</f>
        <v>290835</v>
      </c>
      <c r="I3935" s="44"/>
      <c r="J3935" s="44"/>
      <c r="K3935" s="44"/>
    </row>
    <row r="3936" spans="3:15" s="59" customFormat="1" ht="21" customHeight="1">
      <c r="C3936" s="61" t="s">
        <v>1215</v>
      </c>
      <c r="D3936" s="56" t="s">
        <v>1216</v>
      </c>
      <c r="E3936" s="57"/>
      <c r="F3936" s="57"/>
      <c r="G3936" s="57"/>
      <c r="H3936" s="57"/>
      <c r="I3936" s="44"/>
      <c r="J3936" s="44"/>
      <c r="K3936" s="44"/>
    </row>
    <row r="3937" spans="3:15" s="59" customFormat="1" ht="21" customHeight="1">
      <c r="C3937" s="450" t="s">
        <v>1217</v>
      </c>
      <c r="D3937" s="67"/>
      <c r="E3937" s="67"/>
      <c r="F3937" s="67"/>
      <c r="G3937" s="69"/>
      <c r="H3937" s="589">
        <v>0</v>
      </c>
      <c r="I3937" s="44"/>
      <c r="J3937" s="44"/>
      <c r="K3937" s="44"/>
    </row>
    <row r="3938" spans="3:15" s="59" customFormat="1" ht="21" customHeight="1">
      <c r="C3938" s="288" t="s">
        <v>1218</v>
      </c>
      <c r="D3938" s="76" t="s">
        <v>1219</v>
      </c>
      <c r="E3938" s="77"/>
      <c r="F3938" s="77"/>
      <c r="G3938" s="78"/>
      <c r="H3938" s="585">
        <f>H3937+H3935+H3932</f>
        <v>347085</v>
      </c>
      <c r="I3938" s="369"/>
      <c r="J3938" s="44"/>
      <c r="K3938" s="44"/>
    </row>
    <row r="3939" spans="3:15" s="59" customFormat="1" ht="21" customHeight="1">
      <c r="C3939" s="288" t="s">
        <v>1220</v>
      </c>
      <c r="D3939" s="76" t="s">
        <v>1321</v>
      </c>
      <c r="E3939" s="77"/>
      <c r="F3939" s="78"/>
      <c r="G3939" s="80">
        <v>0.1</v>
      </c>
      <c r="H3939" s="63">
        <f>H3938*G3939</f>
        <v>34708.5</v>
      </c>
      <c r="I3939" s="369"/>
      <c r="J3939" s="44"/>
      <c r="K3939" s="44"/>
    </row>
    <row r="3940" spans="3:15" s="59" customFormat="1" ht="21" customHeight="1">
      <c r="C3940" s="288" t="s">
        <v>1221</v>
      </c>
      <c r="D3940" s="76" t="s">
        <v>1222</v>
      </c>
      <c r="E3940" s="77"/>
      <c r="F3940" s="77"/>
      <c r="G3940" s="78"/>
      <c r="H3940" s="799">
        <f>SUM(H3938:H3939)</f>
        <v>381793.5</v>
      </c>
      <c r="I3940" s="369"/>
      <c r="J3940" s="44"/>
      <c r="K3940" s="44"/>
    </row>
    <row r="3941" spans="3:15" ht="21" customHeight="1"/>
    <row r="3942" spans="3:15" s="59" customFormat="1" ht="21" customHeight="1">
      <c r="C3942" s="147" t="s">
        <v>5440</v>
      </c>
      <c r="D3942" s="794" t="s">
        <v>4228</v>
      </c>
      <c r="E3942" s="795"/>
      <c r="F3942" s="795"/>
      <c r="G3942" s="795"/>
      <c r="H3942" s="795"/>
      <c r="I3942" s="50">
        <f>ROUNDDOWN(H3957,-2)</f>
        <v>1304000</v>
      </c>
      <c r="J3942" s="50"/>
      <c r="K3942" s="50"/>
    </row>
    <row r="3943" spans="3:15" s="59" customFormat="1" ht="21" customHeight="1">
      <c r="C3943" s="591" t="s">
        <v>1195</v>
      </c>
      <c r="D3943" s="591" t="s">
        <v>1196</v>
      </c>
      <c r="E3943" s="591" t="s">
        <v>1197</v>
      </c>
      <c r="F3943" s="591" t="s">
        <v>1198</v>
      </c>
      <c r="G3943" s="591" t="s">
        <v>1199</v>
      </c>
      <c r="H3943" s="591" t="s">
        <v>1200</v>
      </c>
      <c r="I3943" s="44"/>
      <c r="J3943" s="44"/>
      <c r="K3943" s="44"/>
    </row>
    <row r="3944" spans="3:15" s="59" customFormat="1" ht="21" customHeight="1">
      <c r="C3944" s="61" t="s">
        <v>1201</v>
      </c>
      <c r="D3944" s="56" t="s">
        <v>1202</v>
      </c>
      <c r="E3944" s="57"/>
      <c r="F3944" s="57"/>
      <c r="G3944" s="57"/>
      <c r="H3944" s="57"/>
      <c r="I3944" s="44"/>
      <c r="J3944" s="44"/>
      <c r="K3944" s="44"/>
      <c r="L3944" s="152" t="s">
        <v>1247</v>
      </c>
    </row>
    <row r="3945" spans="3:15" s="59" customFormat="1" ht="21" customHeight="1">
      <c r="C3945" s="588">
        <v>1</v>
      </c>
      <c r="D3945" s="56" t="s">
        <v>5</v>
      </c>
      <c r="E3945" s="577" t="s">
        <v>6</v>
      </c>
      <c r="F3945" s="62">
        <v>0.20699999999999999</v>
      </c>
      <c r="G3945" s="63">
        <f>VLOOKUP(D3945,upahbahan,3,FALSE)</f>
        <v>100000</v>
      </c>
      <c r="H3945" s="63">
        <f>F3945*G3945</f>
        <v>20700</v>
      </c>
      <c r="I3945" s="44"/>
      <c r="J3945" s="44"/>
      <c r="K3945" s="44"/>
      <c r="L3945" s="152" t="s">
        <v>1248</v>
      </c>
      <c r="O3945" s="65">
        <v>0.1</v>
      </c>
    </row>
    <row r="3946" spans="3:15" s="59" customFormat="1" ht="21" customHeight="1">
      <c r="C3946" s="588">
        <v>2</v>
      </c>
      <c r="D3946" s="56" t="s">
        <v>10</v>
      </c>
      <c r="E3946" s="577" t="s">
        <v>6</v>
      </c>
      <c r="F3946" s="62">
        <v>0.34599999999999997</v>
      </c>
      <c r="G3946" s="63">
        <f>VLOOKUP(D3946,upahbahan,3,FALSE)</f>
        <v>135000</v>
      </c>
      <c r="H3946" s="63">
        <f>F3946*G3946</f>
        <v>46710</v>
      </c>
      <c r="I3946" s="44"/>
      <c r="J3946" s="44"/>
      <c r="K3946" s="44"/>
    </row>
    <row r="3947" spans="3:15" s="59" customFormat="1" ht="21" customHeight="1">
      <c r="C3947" s="588">
        <v>3</v>
      </c>
      <c r="D3947" s="56" t="s">
        <v>18</v>
      </c>
      <c r="E3947" s="577" t="s">
        <v>6</v>
      </c>
      <c r="F3947" s="62">
        <v>3.5000000000000003E-2</v>
      </c>
      <c r="G3947" s="63">
        <f>VLOOKUP(D3947,upahbahan,3,FALSE)</f>
        <v>150000</v>
      </c>
      <c r="H3947" s="63">
        <f>F3947*G3947</f>
        <v>5250.0000000000009</v>
      </c>
      <c r="I3947" s="44"/>
      <c r="J3947" s="44"/>
      <c r="K3947" s="44"/>
    </row>
    <row r="3948" spans="3:15" s="59" customFormat="1" ht="21" customHeight="1">
      <c r="C3948" s="588">
        <v>4</v>
      </c>
      <c r="D3948" s="56" t="s">
        <v>19</v>
      </c>
      <c r="E3948" s="577" t="s">
        <v>6</v>
      </c>
      <c r="F3948" s="62">
        <v>0.01</v>
      </c>
      <c r="G3948" s="63">
        <f>VLOOKUP(D3948,upahbahan,3,FALSE)</f>
        <v>160000</v>
      </c>
      <c r="H3948" s="63">
        <f>F3948*G3948</f>
        <v>1600</v>
      </c>
      <c r="I3948" s="44"/>
      <c r="J3948" s="44"/>
      <c r="K3948" s="44"/>
    </row>
    <row r="3949" spans="3:15" s="59" customFormat="1" ht="21" customHeight="1">
      <c r="C3949" s="450" t="s">
        <v>1208</v>
      </c>
      <c r="D3949" s="67"/>
      <c r="E3949" s="67"/>
      <c r="F3949" s="142"/>
      <c r="G3949" s="153"/>
      <c r="H3949" s="63">
        <f>SUM(H3945:H3948)</f>
        <v>74260</v>
      </c>
      <c r="I3949" s="154"/>
      <c r="J3949" s="154"/>
      <c r="K3949" s="154"/>
    </row>
    <row r="3950" spans="3:15" s="59" customFormat="1" ht="21" customHeight="1">
      <c r="C3950" s="61" t="s">
        <v>1209</v>
      </c>
      <c r="D3950" s="56" t="s">
        <v>1210</v>
      </c>
      <c r="E3950" s="57"/>
      <c r="F3950" s="57"/>
      <c r="G3950" s="57"/>
      <c r="H3950" s="57"/>
      <c r="I3950" s="44"/>
      <c r="J3950" s="44"/>
      <c r="K3950" s="44"/>
    </row>
    <row r="3951" spans="3:15" s="59" customFormat="1" ht="21" customHeight="1">
      <c r="C3951" s="61">
        <v>1</v>
      </c>
      <c r="D3951" s="56" t="s">
        <v>4229</v>
      </c>
      <c r="E3951" s="93" t="s">
        <v>135</v>
      </c>
      <c r="F3951" s="104">
        <v>1.1499999999999999</v>
      </c>
      <c r="G3951" s="63">
        <f>VLOOKUP(D3951,upahbahan,3,FALSE)</f>
        <v>966300</v>
      </c>
      <c r="H3951" s="586">
        <f>G3951*F3951</f>
        <v>1111245</v>
      </c>
      <c r="I3951" s="44"/>
      <c r="J3951" s="44"/>
      <c r="K3951" s="44"/>
    </row>
    <row r="3952" spans="3:15" s="59" customFormat="1" ht="21" customHeight="1">
      <c r="C3952" s="450" t="s">
        <v>1214</v>
      </c>
      <c r="D3952" s="67"/>
      <c r="E3952" s="67"/>
      <c r="F3952" s="67"/>
      <c r="G3952" s="69"/>
      <c r="H3952" s="63">
        <f>SUM(H3951:H3951)</f>
        <v>1111245</v>
      </c>
      <c r="I3952" s="44"/>
      <c r="J3952" s="44"/>
      <c r="K3952" s="44"/>
    </row>
    <row r="3953" spans="3:15" s="59" customFormat="1" ht="21" customHeight="1">
      <c r="C3953" s="61" t="s">
        <v>1215</v>
      </c>
      <c r="D3953" s="56" t="s">
        <v>1216</v>
      </c>
      <c r="E3953" s="57"/>
      <c r="F3953" s="57"/>
      <c r="G3953" s="57"/>
      <c r="H3953" s="57"/>
      <c r="I3953" s="44"/>
      <c r="J3953" s="44"/>
      <c r="K3953" s="44"/>
    </row>
    <row r="3954" spans="3:15" s="59" customFormat="1" ht="21" customHeight="1">
      <c r="C3954" s="450" t="s">
        <v>1217</v>
      </c>
      <c r="D3954" s="67"/>
      <c r="E3954" s="67"/>
      <c r="F3954" s="67"/>
      <c r="G3954" s="69"/>
      <c r="H3954" s="589">
        <v>0</v>
      </c>
      <c r="I3954" s="44"/>
      <c r="J3954" s="44"/>
      <c r="K3954" s="44"/>
    </row>
    <row r="3955" spans="3:15" s="59" customFormat="1" ht="21" customHeight="1">
      <c r="C3955" s="288" t="s">
        <v>1218</v>
      </c>
      <c r="D3955" s="76" t="s">
        <v>1219</v>
      </c>
      <c r="E3955" s="77"/>
      <c r="F3955" s="77"/>
      <c r="G3955" s="78"/>
      <c r="H3955" s="585">
        <f>H3954+H3952+H3949</f>
        <v>1185505</v>
      </c>
      <c r="I3955" s="369"/>
      <c r="J3955" s="44"/>
      <c r="K3955" s="44"/>
    </row>
    <row r="3956" spans="3:15" s="59" customFormat="1" ht="21" customHeight="1">
      <c r="C3956" s="288" t="s">
        <v>1220</v>
      </c>
      <c r="D3956" s="76" t="s">
        <v>1321</v>
      </c>
      <c r="E3956" s="77"/>
      <c r="F3956" s="78"/>
      <c r="G3956" s="80">
        <v>0.1</v>
      </c>
      <c r="H3956" s="63">
        <f>H3955*G3956</f>
        <v>118550.5</v>
      </c>
      <c r="I3956" s="369"/>
      <c r="J3956" s="44"/>
      <c r="K3956" s="44"/>
    </row>
    <row r="3957" spans="3:15" s="59" customFormat="1" ht="21" customHeight="1">
      <c r="C3957" s="288" t="s">
        <v>1221</v>
      </c>
      <c r="D3957" s="76" t="s">
        <v>1222</v>
      </c>
      <c r="E3957" s="77"/>
      <c r="F3957" s="77"/>
      <c r="G3957" s="78"/>
      <c r="H3957" s="799">
        <f>SUM(H3955:H3956)</f>
        <v>1304055.5</v>
      </c>
      <c r="I3957" s="369"/>
      <c r="J3957" s="44"/>
      <c r="K3957" s="44"/>
    </row>
    <row r="3958" spans="3:15" ht="21" customHeight="1"/>
    <row r="3959" spans="3:15" s="59" customFormat="1" ht="21" customHeight="1">
      <c r="C3959" s="147" t="s">
        <v>5441</v>
      </c>
      <c r="D3959" s="794" t="s">
        <v>4230</v>
      </c>
      <c r="E3959" s="795"/>
      <c r="F3959" s="795"/>
      <c r="G3959" s="795"/>
      <c r="H3959" s="795"/>
      <c r="I3959" s="50">
        <f>ROUNDDOWN(H3974,-2)</f>
        <v>1638300</v>
      </c>
      <c r="J3959" s="50"/>
      <c r="K3959" s="50"/>
    </row>
    <row r="3960" spans="3:15" s="59" customFormat="1" ht="21" customHeight="1">
      <c r="C3960" s="591" t="s">
        <v>1195</v>
      </c>
      <c r="D3960" s="591" t="s">
        <v>1196</v>
      </c>
      <c r="E3960" s="591" t="s">
        <v>1197</v>
      </c>
      <c r="F3960" s="591" t="s">
        <v>1198</v>
      </c>
      <c r="G3960" s="591" t="s">
        <v>1199</v>
      </c>
      <c r="H3960" s="591" t="s">
        <v>1200</v>
      </c>
      <c r="I3960" s="44"/>
      <c r="J3960" s="44"/>
      <c r="K3960" s="44"/>
    </row>
    <row r="3961" spans="3:15" s="59" customFormat="1" ht="21" customHeight="1">
      <c r="C3961" s="61" t="s">
        <v>1201</v>
      </c>
      <c r="D3961" s="56" t="s">
        <v>1202</v>
      </c>
      <c r="E3961" s="57"/>
      <c r="F3961" s="57"/>
      <c r="G3961" s="57"/>
      <c r="H3961" s="57"/>
      <c r="I3961" s="44"/>
      <c r="J3961" s="44"/>
      <c r="K3961" s="44"/>
      <c r="L3961" s="152" t="s">
        <v>1247</v>
      </c>
    </row>
    <row r="3962" spans="3:15" s="59" customFormat="1" ht="21" customHeight="1">
      <c r="C3962" s="588">
        <v>1</v>
      </c>
      <c r="D3962" s="56" t="s">
        <v>5</v>
      </c>
      <c r="E3962" s="577" t="s">
        <v>6</v>
      </c>
      <c r="F3962" s="62">
        <v>0.26</v>
      </c>
      <c r="G3962" s="63">
        <f>VLOOKUP(D3962,upahbahan,3,FALSE)</f>
        <v>100000</v>
      </c>
      <c r="H3962" s="63">
        <f>F3962*G3962</f>
        <v>26000</v>
      </c>
      <c r="I3962" s="44"/>
      <c r="J3962" s="44"/>
      <c r="K3962" s="44"/>
      <c r="L3962" s="152" t="s">
        <v>1248</v>
      </c>
      <c r="O3962" s="65">
        <v>0.1</v>
      </c>
    </row>
    <row r="3963" spans="3:15" s="59" customFormat="1" ht="21" customHeight="1">
      <c r="C3963" s="588">
        <v>2</v>
      </c>
      <c r="D3963" s="56" t="s">
        <v>10</v>
      </c>
      <c r="E3963" s="577" t="s">
        <v>6</v>
      </c>
      <c r="F3963" s="62">
        <v>0.433</v>
      </c>
      <c r="G3963" s="63">
        <f>VLOOKUP(D3963,upahbahan,3,FALSE)</f>
        <v>135000</v>
      </c>
      <c r="H3963" s="63">
        <f>F3963*G3963</f>
        <v>58455</v>
      </c>
      <c r="I3963" s="44"/>
      <c r="J3963" s="44"/>
      <c r="K3963" s="44"/>
    </row>
    <row r="3964" spans="3:15" s="59" customFormat="1" ht="21" customHeight="1">
      <c r="C3964" s="588">
        <v>3</v>
      </c>
      <c r="D3964" s="56" t="s">
        <v>18</v>
      </c>
      <c r="E3964" s="577" t="s">
        <v>6</v>
      </c>
      <c r="F3964" s="62">
        <v>4.2999999999999997E-2</v>
      </c>
      <c r="G3964" s="63">
        <f>VLOOKUP(D3964,upahbahan,3,FALSE)</f>
        <v>150000</v>
      </c>
      <c r="H3964" s="63">
        <f>F3964*G3964</f>
        <v>6449.9999999999991</v>
      </c>
      <c r="I3964" s="44"/>
      <c r="J3964" s="44"/>
      <c r="K3964" s="44"/>
    </row>
    <row r="3965" spans="3:15" s="59" customFormat="1" ht="21" customHeight="1">
      <c r="C3965" s="588">
        <v>4</v>
      </c>
      <c r="D3965" s="56" t="s">
        <v>19</v>
      </c>
      <c r="E3965" s="577" t="s">
        <v>6</v>
      </c>
      <c r="F3965" s="62">
        <v>1.2999999999999999E-2</v>
      </c>
      <c r="G3965" s="63">
        <f>VLOOKUP(D3965,upahbahan,3,FALSE)</f>
        <v>160000</v>
      </c>
      <c r="H3965" s="63">
        <f>F3965*G3965</f>
        <v>2080</v>
      </c>
      <c r="I3965" s="44"/>
      <c r="J3965" s="44"/>
      <c r="K3965" s="44"/>
    </row>
    <row r="3966" spans="3:15" s="59" customFormat="1" ht="21" customHeight="1">
      <c r="C3966" s="450" t="s">
        <v>1208</v>
      </c>
      <c r="D3966" s="67"/>
      <c r="E3966" s="67"/>
      <c r="F3966" s="142"/>
      <c r="G3966" s="153"/>
      <c r="H3966" s="63">
        <f>SUM(H3962:H3965)</f>
        <v>92985</v>
      </c>
      <c r="I3966" s="154"/>
      <c r="J3966" s="154"/>
      <c r="K3966" s="154"/>
    </row>
    <row r="3967" spans="3:15" s="59" customFormat="1" ht="21" customHeight="1">
      <c r="C3967" s="61" t="s">
        <v>1209</v>
      </c>
      <c r="D3967" s="56" t="s">
        <v>1210</v>
      </c>
      <c r="E3967" s="57"/>
      <c r="F3967" s="57"/>
      <c r="G3967" s="57"/>
      <c r="H3967" s="57"/>
      <c r="I3967" s="44"/>
      <c r="J3967" s="44"/>
      <c r="K3967" s="44"/>
    </row>
    <row r="3968" spans="3:15" s="59" customFormat="1" ht="21" customHeight="1">
      <c r="C3968" s="61">
        <v>1</v>
      </c>
      <c r="D3968" s="56" t="s">
        <v>4231</v>
      </c>
      <c r="E3968" s="93" t="s">
        <v>135</v>
      </c>
      <c r="F3968" s="104">
        <v>1.1499999999999999</v>
      </c>
      <c r="G3968" s="63">
        <f>VLOOKUP(D3968,upahbahan,3,FALSE)</f>
        <v>1214300</v>
      </c>
      <c r="H3968" s="586">
        <f>G3968*F3968</f>
        <v>1396445</v>
      </c>
      <c r="I3968" s="44"/>
      <c r="J3968" s="44"/>
      <c r="K3968" s="44"/>
    </row>
    <row r="3969" spans="3:15" s="59" customFormat="1" ht="21" customHeight="1">
      <c r="C3969" s="450" t="s">
        <v>1214</v>
      </c>
      <c r="D3969" s="67"/>
      <c r="E3969" s="67"/>
      <c r="F3969" s="67"/>
      <c r="G3969" s="69"/>
      <c r="H3969" s="63">
        <f>SUM(H3968:H3968)</f>
        <v>1396445</v>
      </c>
      <c r="I3969" s="44"/>
      <c r="J3969" s="44"/>
      <c r="K3969" s="44"/>
    </row>
    <row r="3970" spans="3:15" s="59" customFormat="1" ht="21" customHeight="1">
      <c r="C3970" s="61" t="s">
        <v>1215</v>
      </c>
      <c r="D3970" s="56" t="s">
        <v>1216</v>
      </c>
      <c r="E3970" s="57"/>
      <c r="F3970" s="57"/>
      <c r="G3970" s="57"/>
      <c r="H3970" s="57"/>
      <c r="I3970" s="44"/>
      <c r="J3970" s="44"/>
      <c r="K3970" s="44"/>
    </row>
    <row r="3971" spans="3:15" s="59" customFormat="1" ht="21" customHeight="1">
      <c r="C3971" s="450" t="s">
        <v>1217</v>
      </c>
      <c r="D3971" s="67"/>
      <c r="E3971" s="67"/>
      <c r="F3971" s="67"/>
      <c r="G3971" s="69"/>
      <c r="H3971" s="589">
        <v>0</v>
      </c>
      <c r="I3971" s="44"/>
      <c r="J3971" s="44"/>
      <c r="K3971" s="44"/>
    </row>
    <row r="3972" spans="3:15" s="59" customFormat="1" ht="21" customHeight="1">
      <c r="C3972" s="288" t="s">
        <v>1218</v>
      </c>
      <c r="D3972" s="76" t="s">
        <v>1219</v>
      </c>
      <c r="E3972" s="77"/>
      <c r="F3972" s="77"/>
      <c r="G3972" s="78"/>
      <c r="H3972" s="585">
        <f>H3971+H3969+H3966</f>
        <v>1489430</v>
      </c>
      <c r="I3972" s="369"/>
      <c r="J3972" s="44"/>
      <c r="K3972" s="44"/>
    </row>
    <row r="3973" spans="3:15" s="59" customFormat="1" ht="21" customHeight="1">
      <c r="C3973" s="288" t="s">
        <v>1220</v>
      </c>
      <c r="D3973" s="76" t="s">
        <v>1321</v>
      </c>
      <c r="E3973" s="77"/>
      <c r="F3973" s="78"/>
      <c r="G3973" s="80">
        <v>0.1</v>
      </c>
      <c r="H3973" s="63">
        <f>H3972*G3973</f>
        <v>148943</v>
      </c>
      <c r="I3973" s="369"/>
      <c r="J3973" s="44"/>
      <c r="K3973" s="44"/>
    </row>
    <row r="3974" spans="3:15" s="59" customFormat="1" ht="21" customHeight="1">
      <c r="C3974" s="288" t="s">
        <v>1221</v>
      </c>
      <c r="D3974" s="76" t="s">
        <v>1222</v>
      </c>
      <c r="E3974" s="77"/>
      <c r="F3974" s="77"/>
      <c r="G3974" s="78"/>
      <c r="H3974" s="799">
        <f>SUM(H3972:H3973)</f>
        <v>1638373</v>
      </c>
      <c r="I3974" s="369"/>
      <c r="J3974" s="44"/>
      <c r="K3974" s="44"/>
    </row>
    <row r="3975" spans="3:15" ht="21" customHeight="1"/>
    <row r="3976" spans="3:15" s="59" customFormat="1" ht="21" customHeight="1">
      <c r="C3976" s="147" t="s">
        <v>5442</v>
      </c>
      <c r="D3976" s="794" t="s">
        <v>4232</v>
      </c>
      <c r="E3976" s="795"/>
      <c r="F3976" s="795"/>
      <c r="G3976" s="795"/>
      <c r="H3976" s="795"/>
      <c r="I3976" s="50">
        <f>ROUNDDOWN(H3991,-2)</f>
        <v>2435400</v>
      </c>
      <c r="J3976" s="50"/>
      <c r="K3976" s="50"/>
    </row>
    <row r="3977" spans="3:15" s="59" customFormat="1" ht="21" customHeight="1">
      <c r="C3977" s="591" t="s">
        <v>1195</v>
      </c>
      <c r="D3977" s="591" t="s">
        <v>1196</v>
      </c>
      <c r="E3977" s="591" t="s">
        <v>1197</v>
      </c>
      <c r="F3977" s="591" t="s">
        <v>1198</v>
      </c>
      <c r="G3977" s="591" t="s">
        <v>1199</v>
      </c>
      <c r="H3977" s="591" t="s">
        <v>1200</v>
      </c>
      <c r="I3977" s="44"/>
      <c r="J3977" s="44"/>
      <c r="K3977" s="44"/>
    </row>
    <row r="3978" spans="3:15" s="59" customFormat="1" ht="21" customHeight="1">
      <c r="C3978" s="61" t="s">
        <v>1201</v>
      </c>
      <c r="D3978" s="56" t="s">
        <v>1202</v>
      </c>
      <c r="E3978" s="57"/>
      <c r="F3978" s="57"/>
      <c r="G3978" s="57"/>
      <c r="H3978" s="57"/>
      <c r="I3978" s="44"/>
      <c r="J3978" s="44"/>
      <c r="K3978" s="44"/>
      <c r="L3978" s="152" t="s">
        <v>1247</v>
      </c>
    </row>
    <row r="3979" spans="3:15" s="59" customFormat="1" ht="21" customHeight="1">
      <c r="C3979" s="588">
        <v>1</v>
      </c>
      <c r="D3979" s="56" t="s">
        <v>5</v>
      </c>
      <c r="E3979" s="577" t="s">
        <v>6</v>
      </c>
      <c r="F3979" s="62">
        <v>0.47099999999999997</v>
      </c>
      <c r="G3979" s="63">
        <f>VLOOKUP(D3979,upahbahan,3,FALSE)</f>
        <v>100000</v>
      </c>
      <c r="H3979" s="63">
        <f>F3979*G3979</f>
        <v>47100</v>
      </c>
      <c r="I3979" s="44"/>
      <c r="J3979" s="44"/>
      <c r="K3979" s="44"/>
      <c r="L3979" s="152" t="s">
        <v>1248</v>
      </c>
      <c r="O3979" s="65">
        <v>0.1</v>
      </c>
    </row>
    <row r="3980" spans="3:15" s="59" customFormat="1" ht="21" customHeight="1">
      <c r="C3980" s="588">
        <v>2</v>
      </c>
      <c r="D3980" s="56" t="s">
        <v>10</v>
      </c>
      <c r="E3980" s="577" t="s">
        <v>6</v>
      </c>
      <c r="F3980" s="62">
        <v>0.78700000000000003</v>
      </c>
      <c r="G3980" s="63">
        <f>VLOOKUP(D3980,upahbahan,3,FALSE)</f>
        <v>135000</v>
      </c>
      <c r="H3980" s="63">
        <f>F3980*G3980</f>
        <v>106245</v>
      </c>
      <c r="I3980" s="44"/>
      <c r="J3980" s="44"/>
      <c r="K3980" s="44"/>
    </row>
    <row r="3981" spans="3:15" s="59" customFormat="1" ht="21" customHeight="1">
      <c r="C3981" s="588">
        <v>3</v>
      </c>
      <c r="D3981" s="56" t="s">
        <v>18</v>
      </c>
      <c r="E3981" s="577" t="s">
        <v>6</v>
      </c>
      <c r="F3981" s="62">
        <v>7.9000000000000001E-2</v>
      </c>
      <c r="G3981" s="63">
        <f>VLOOKUP(D3981,upahbahan,3,FALSE)</f>
        <v>150000</v>
      </c>
      <c r="H3981" s="63">
        <f>F3981*G3981</f>
        <v>11850</v>
      </c>
      <c r="I3981" s="44"/>
      <c r="J3981" s="44"/>
      <c r="K3981" s="44"/>
    </row>
    <row r="3982" spans="3:15" s="59" customFormat="1" ht="21" customHeight="1">
      <c r="C3982" s="588">
        <v>4</v>
      </c>
      <c r="D3982" s="56" t="s">
        <v>19</v>
      </c>
      <c r="E3982" s="577" t="s">
        <v>6</v>
      </c>
      <c r="F3982" s="62">
        <v>2.4E-2</v>
      </c>
      <c r="G3982" s="63">
        <f>VLOOKUP(D3982,upahbahan,3,FALSE)</f>
        <v>160000</v>
      </c>
      <c r="H3982" s="63">
        <f>F3982*G3982</f>
        <v>3840</v>
      </c>
      <c r="I3982" s="44"/>
      <c r="J3982" s="44"/>
      <c r="K3982" s="44"/>
    </row>
    <row r="3983" spans="3:15" s="59" customFormat="1" ht="21" customHeight="1">
      <c r="C3983" s="450" t="s">
        <v>1208</v>
      </c>
      <c r="D3983" s="67"/>
      <c r="E3983" s="67"/>
      <c r="F3983" s="142"/>
      <c r="G3983" s="153"/>
      <c r="H3983" s="63">
        <f>SUM(H3979:H3982)</f>
        <v>169035</v>
      </c>
      <c r="I3983" s="154"/>
      <c r="J3983" s="154"/>
      <c r="K3983" s="154"/>
    </row>
    <row r="3984" spans="3:15" s="59" customFormat="1" ht="21" customHeight="1">
      <c r="C3984" s="61" t="s">
        <v>1209</v>
      </c>
      <c r="D3984" s="56" t="s">
        <v>1210</v>
      </c>
      <c r="E3984" s="57"/>
      <c r="F3984" s="57"/>
      <c r="G3984" s="57"/>
      <c r="H3984" s="57"/>
      <c r="I3984" s="44"/>
      <c r="J3984" s="44"/>
      <c r="K3984" s="44"/>
    </row>
    <row r="3985" spans="3:15" s="59" customFormat="1" ht="21" customHeight="1">
      <c r="C3985" s="61">
        <v>1</v>
      </c>
      <c r="D3985" s="56" t="s">
        <v>4233</v>
      </c>
      <c r="E3985" s="93" t="s">
        <v>135</v>
      </c>
      <c r="F3985" s="104">
        <v>1.3</v>
      </c>
      <c r="G3985" s="63">
        <f>VLOOKUP(D3985,upahbahan,3,FALSE)</f>
        <v>1573100</v>
      </c>
      <c r="H3985" s="586">
        <f>G3985*F3985</f>
        <v>2045030</v>
      </c>
      <c r="I3985" s="44"/>
      <c r="J3985" s="44"/>
      <c r="K3985" s="44"/>
    </row>
    <row r="3986" spans="3:15" s="59" customFormat="1" ht="21" customHeight="1">
      <c r="C3986" s="450" t="s">
        <v>1214</v>
      </c>
      <c r="D3986" s="67"/>
      <c r="E3986" s="67"/>
      <c r="F3986" s="67"/>
      <c r="G3986" s="69"/>
      <c r="H3986" s="63">
        <f>SUM(H3985:H3985)</f>
        <v>2045030</v>
      </c>
      <c r="I3986" s="44"/>
      <c r="J3986" s="44"/>
      <c r="K3986" s="44"/>
    </row>
    <row r="3987" spans="3:15" s="59" customFormat="1" ht="21" customHeight="1">
      <c r="C3987" s="61" t="s">
        <v>1215</v>
      </c>
      <c r="D3987" s="56" t="s">
        <v>1216</v>
      </c>
      <c r="E3987" s="57"/>
      <c r="F3987" s="57"/>
      <c r="G3987" s="57"/>
      <c r="H3987" s="57"/>
      <c r="I3987" s="44"/>
      <c r="J3987" s="44"/>
      <c r="K3987" s="44"/>
    </row>
    <row r="3988" spans="3:15" s="59" customFormat="1" ht="21" customHeight="1">
      <c r="C3988" s="450" t="s">
        <v>1217</v>
      </c>
      <c r="D3988" s="67"/>
      <c r="E3988" s="67"/>
      <c r="F3988" s="67"/>
      <c r="G3988" s="69"/>
      <c r="H3988" s="589">
        <v>0</v>
      </c>
      <c r="I3988" s="44"/>
      <c r="J3988" s="44"/>
      <c r="K3988" s="44"/>
    </row>
    <row r="3989" spans="3:15" s="59" customFormat="1" ht="21" customHeight="1">
      <c r="C3989" s="288" t="s">
        <v>1218</v>
      </c>
      <c r="D3989" s="76" t="s">
        <v>1219</v>
      </c>
      <c r="E3989" s="77"/>
      <c r="F3989" s="77"/>
      <c r="G3989" s="78"/>
      <c r="H3989" s="585">
        <f>H3988+H3986+H3983</f>
        <v>2214065</v>
      </c>
      <c r="I3989" s="369"/>
      <c r="J3989" s="44"/>
      <c r="K3989" s="44"/>
    </row>
    <row r="3990" spans="3:15" s="59" customFormat="1" ht="21" customHeight="1">
      <c r="C3990" s="288" t="s">
        <v>1220</v>
      </c>
      <c r="D3990" s="76" t="s">
        <v>1321</v>
      </c>
      <c r="E3990" s="77"/>
      <c r="F3990" s="78"/>
      <c r="G3990" s="80">
        <v>0.1</v>
      </c>
      <c r="H3990" s="63">
        <f>H3989*G3990</f>
        <v>221406.5</v>
      </c>
      <c r="I3990" s="369"/>
      <c r="J3990" s="44"/>
      <c r="K3990" s="44"/>
    </row>
    <row r="3991" spans="3:15" s="59" customFormat="1" ht="21" customHeight="1">
      <c r="C3991" s="288" t="s">
        <v>1221</v>
      </c>
      <c r="D3991" s="76" t="s">
        <v>1222</v>
      </c>
      <c r="E3991" s="77"/>
      <c r="F3991" s="77"/>
      <c r="G3991" s="78"/>
      <c r="H3991" s="799">
        <f>SUM(H3989:H3990)</f>
        <v>2435471.5</v>
      </c>
      <c r="I3991" s="369"/>
      <c r="J3991" s="44"/>
      <c r="K3991" s="44"/>
    </row>
    <row r="3992" spans="3:15" ht="21" customHeight="1"/>
    <row r="3993" spans="3:15" s="59" customFormat="1" ht="21" customHeight="1">
      <c r="C3993" s="147" t="s">
        <v>5443</v>
      </c>
      <c r="D3993" s="794" t="s">
        <v>4190</v>
      </c>
      <c r="E3993" s="795"/>
      <c r="F3993" s="795"/>
      <c r="G3993" s="795"/>
      <c r="H3993" s="795"/>
      <c r="I3993" s="50">
        <f>ROUNDDOWN(H4008,-2)</f>
        <v>3282400</v>
      </c>
      <c r="J3993" s="50"/>
      <c r="K3993" s="50"/>
    </row>
    <row r="3994" spans="3:15" s="59" customFormat="1" ht="21" customHeight="1">
      <c r="C3994" s="591" t="s">
        <v>1195</v>
      </c>
      <c r="D3994" s="591" t="s">
        <v>1196</v>
      </c>
      <c r="E3994" s="591" t="s">
        <v>1197</v>
      </c>
      <c r="F3994" s="591" t="s">
        <v>1198</v>
      </c>
      <c r="G3994" s="591" t="s">
        <v>1199</v>
      </c>
      <c r="H3994" s="591" t="s">
        <v>1200</v>
      </c>
      <c r="I3994" s="44"/>
      <c r="J3994" s="44"/>
      <c r="K3994" s="44"/>
    </row>
    <row r="3995" spans="3:15" s="59" customFormat="1" ht="21" customHeight="1">
      <c r="C3995" s="61" t="s">
        <v>1201</v>
      </c>
      <c r="D3995" s="56" t="s">
        <v>1202</v>
      </c>
      <c r="E3995" s="57"/>
      <c r="F3995" s="57"/>
      <c r="G3995" s="57"/>
      <c r="H3995" s="57"/>
      <c r="I3995" s="44"/>
      <c r="J3995" s="44"/>
      <c r="K3995" s="44"/>
      <c r="L3995" s="152" t="s">
        <v>1247</v>
      </c>
    </row>
    <row r="3996" spans="3:15" s="59" customFormat="1" ht="21" customHeight="1">
      <c r="C3996" s="588">
        <v>1</v>
      </c>
      <c r="D3996" s="56" t="s">
        <v>5</v>
      </c>
      <c r="E3996" s="577" t="s">
        <v>6</v>
      </c>
      <c r="F3996" s="62">
        <v>0.63100000000000001</v>
      </c>
      <c r="G3996" s="63">
        <f>VLOOKUP(D3996,upahbahan,3,FALSE)</f>
        <v>100000</v>
      </c>
      <c r="H3996" s="63">
        <f>F3996*G3996</f>
        <v>63100</v>
      </c>
      <c r="I3996" s="44"/>
      <c r="J3996" s="44"/>
      <c r="K3996" s="44"/>
      <c r="L3996" s="152" t="s">
        <v>1248</v>
      </c>
      <c r="O3996" s="65">
        <v>0.1</v>
      </c>
    </row>
    <row r="3997" spans="3:15" s="59" customFormat="1" ht="21" customHeight="1">
      <c r="C3997" s="588">
        <v>2</v>
      </c>
      <c r="D3997" s="56" t="s">
        <v>10</v>
      </c>
      <c r="E3997" s="577" t="s">
        <v>6</v>
      </c>
      <c r="F3997" s="62">
        <v>1.054</v>
      </c>
      <c r="G3997" s="63">
        <f>VLOOKUP(D3997,upahbahan,3,FALSE)</f>
        <v>135000</v>
      </c>
      <c r="H3997" s="63">
        <f>F3997*G3997</f>
        <v>142290</v>
      </c>
      <c r="I3997" s="44"/>
      <c r="J3997" s="44"/>
      <c r="K3997" s="44"/>
    </row>
    <row r="3998" spans="3:15" s="59" customFormat="1" ht="21" customHeight="1">
      <c r="C3998" s="588">
        <v>3</v>
      </c>
      <c r="D3998" s="56" t="s">
        <v>18</v>
      </c>
      <c r="E3998" s="577" t="s">
        <v>6</v>
      </c>
      <c r="F3998" s="62">
        <v>0.105</v>
      </c>
      <c r="G3998" s="63">
        <f>VLOOKUP(D3998,upahbahan,3,FALSE)</f>
        <v>150000</v>
      </c>
      <c r="H3998" s="63">
        <f>F3998*G3998</f>
        <v>15750</v>
      </c>
      <c r="I3998" s="44"/>
      <c r="J3998" s="44"/>
      <c r="K3998" s="44"/>
    </row>
    <row r="3999" spans="3:15" s="59" customFormat="1" ht="21" customHeight="1">
      <c r="C3999" s="588">
        <v>4</v>
      </c>
      <c r="D3999" s="56" t="s">
        <v>19</v>
      </c>
      <c r="E3999" s="577" t="s">
        <v>6</v>
      </c>
      <c r="F3999" s="62">
        <v>3.2000000000000001E-2</v>
      </c>
      <c r="G3999" s="63">
        <f>VLOOKUP(D3999,upahbahan,3,FALSE)</f>
        <v>160000</v>
      </c>
      <c r="H3999" s="63">
        <f>F3999*G3999</f>
        <v>5120</v>
      </c>
      <c r="I3999" s="44"/>
      <c r="J3999" s="44"/>
      <c r="K3999" s="44"/>
    </row>
    <row r="4000" spans="3:15" s="59" customFormat="1" ht="21" customHeight="1">
      <c r="C4000" s="450" t="s">
        <v>1208</v>
      </c>
      <c r="D4000" s="67"/>
      <c r="E4000" s="67"/>
      <c r="F4000" s="142"/>
      <c r="G4000" s="153"/>
      <c r="H4000" s="63">
        <f>SUM(H3996:H3999)</f>
        <v>226260</v>
      </c>
      <c r="I4000" s="154"/>
      <c r="J4000" s="154"/>
      <c r="K4000" s="154"/>
    </row>
    <row r="4001" spans="3:15" s="59" customFormat="1" ht="21" customHeight="1">
      <c r="C4001" s="61" t="s">
        <v>1209</v>
      </c>
      <c r="D4001" s="56" t="s">
        <v>1210</v>
      </c>
      <c r="E4001" s="57"/>
      <c r="F4001" s="57"/>
      <c r="G4001" s="57"/>
      <c r="H4001" s="57"/>
      <c r="I4001" s="44"/>
      <c r="J4001" s="44"/>
      <c r="K4001" s="44"/>
    </row>
    <row r="4002" spans="3:15" s="59" customFormat="1" ht="21" customHeight="1">
      <c r="C4002" s="61">
        <v>1</v>
      </c>
      <c r="D4002" s="56" t="s">
        <v>4234</v>
      </c>
      <c r="E4002" s="93" t="s">
        <v>135</v>
      </c>
      <c r="F4002" s="104">
        <v>1.3</v>
      </c>
      <c r="G4002" s="63">
        <f>VLOOKUP(D4002,upahbahan,3,FALSE)</f>
        <v>2121400</v>
      </c>
      <c r="H4002" s="586">
        <f>G4002*F4002</f>
        <v>2757820</v>
      </c>
      <c r="I4002" s="44"/>
      <c r="J4002" s="44"/>
      <c r="K4002" s="44"/>
    </row>
    <row r="4003" spans="3:15" s="59" customFormat="1" ht="21" customHeight="1">
      <c r="C4003" s="450" t="s">
        <v>1214</v>
      </c>
      <c r="D4003" s="67"/>
      <c r="E4003" s="67"/>
      <c r="F4003" s="67"/>
      <c r="G4003" s="69"/>
      <c r="H4003" s="63">
        <f>SUM(H4002:H4002)</f>
        <v>2757820</v>
      </c>
      <c r="I4003" s="44"/>
      <c r="J4003" s="44"/>
      <c r="K4003" s="44"/>
    </row>
    <row r="4004" spans="3:15" s="59" customFormat="1" ht="21" customHeight="1">
      <c r="C4004" s="61" t="s">
        <v>1215</v>
      </c>
      <c r="D4004" s="56" t="s">
        <v>1216</v>
      </c>
      <c r="E4004" s="57"/>
      <c r="F4004" s="57"/>
      <c r="G4004" s="57"/>
      <c r="H4004" s="57"/>
      <c r="I4004" s="44"/>
      <c r="J4004" s="44"/>
      <c r="K4004" s="44"/>
    </row>
    <row r="4005" spans="3:15" s="59" customFormat="1" ht="21" customHeight="1">
      <c r="C4005" s="450" t="s">
        <v>1217</v>
      </c>
      <c r="D4005" s="67"/>
      <c r="E4005" s="67"/>
      <c r="F4005" s="67"/>
      <c r="G4005" s="69"/>
      <c r="H4005" s="589">
        <v>0</v>
      </c>
      <c r="I4005" s="44"/>
      <c r="J4005" s="44"/>
      <c r="K4005" s="44"/>
    </row>
    <row r="4006" spans="3:15" s="59" customFormat="1" ht="21" customHeight="1">
      <c r="C4006" s="288" t="s">
        <v>1218</v>
      </c>
      <c r="D4006" s="76" t="s">
        <v>1219</v>
      </c>
      <c r="E4006" s="77"/>
      <c r="F4006" s="77"/>
      <c r="G4006" s="78"/>
      <c r="H4006" s="585">
        <f>H4005+H4003+H4000</f>
        <v>2984080</v>
      </c>
      <c r="I4006" s="369"/>
      <c r="J4006" s="44"/>
      <c r="K4006" s="44"/>
    </row>
    <row r="4007" spans="3:15" s="59" customFormat="1" ht="21" customHeight="1">
      <c r="C4007" s="288" t="s">
        <v>1220</v>
      </c>
      <c r="D4007" s="76" t="s">
        <v>1321</v>
      </c>
      <c r="E4007" s="77"/>
      <c r="F4007" s="78"/>
      <c r="G4007" s="80">
        <v>0.1</v>
      </c>
      <c r="H4007" s="63">
        <f>H4006*G4007</f>
        <v>298408</v>
      </c>
      <c r="I4007" s="369"/>
      <c r="J4007" s="44"/>
      <c r="K4007" s="44"/>
    </row>
    <row r="4008" spans="3:15" s="59" customFormat="1" ht="21" customHeight="1">
      <c r="C4008" s="288" t="s">
        <v>1221</v>
      </c>
      <c r="D4008" s="76" t="s">
        <v>1222</v>
      </c>
      <c r="E4008" s="77"/>
      <c r="F4008" s="77"/>
      <c r="G4008" s="78"/>
      <c r="H4008" s="799">
        <f>SUM(H4006:H4007)</f>
        <v>3282488</v>
      </c>
      <c r="I4008" s="369"/>
      <c r="J4008" s="44"/>
      <c r="K4008" s="44"/>
    </row>
    <row r="4009" spans="3:15" ht="21" customHeight="1"/>
    <row r="4010" spans="3:15" s="59" customFormat="1" ht="21" customHeight="1">
      <c r="C4010" s="147" t="s">
        <v>5444</v>
      </c>
      <c r="D4010" s="794" t="s">
        <v>4191</v>
      </c>
      <c r="E4010" s="795"/>
      <c r="F4010" s="795"/>
      <c r="G4010" s="795"/>
      <c r="H4010" s="795"/>
      <c r="I4010" s="50">
        <f>ROUNDDOWN(H4025,-2)</f>
        <v>5873400</v>
      </c>
      <c r="J4010" s="50"/>
      <c r="K4010" s="50"/>
    </row>
    <row r="4011" spans="3:15" s="59" customFormat="1" ht="21" customHeight="1">
      <c r="C4011" s="591" t="s">
        <v>1195</v>
      </c>
      <c r="D4011" s="591" t="s">
        <v>1196</v>
      </c>
      <c r="E4011" s="591" t="s">
        <v>1197</v>
      </c>
      <c r="F4011" s="591" t="s">
        <v>1198</v>
      </c>
      <c r="G4011" s="591" t="s">
        <v>1199</v>
      </c>
      <c r="H4011" s="591" t="s">
        <v>1200</v>
      </c>
      <c r="I4011" s="44"/>
      <c r="J4011" s="44"/>
      <c r="K4011" s="44"/>
    </row>
    <row r="4012" spans="3:15" s="59" customFormat="1" ht="21" customHeight="1">
      <c r="C4012" s="61" t="s">
        <v>1201</v>
      </c>
      <c r="D4012" s="56" t="s">
        <v>1202</v>
      </c>
      <c r="E4012" s="57"/>
      <c r="F4012" s="57"/>
      <c r="G4012" s="57"/>
      <c r="H4012" s="57"/>
      <c r="I4012" s="44"/>
      <c r="J4012" s="44"/>
      <c r="K4012" s="44"/>
      <c r="L4012" s="152" t="s">
        <v>1247</v>
      </c>
    </row>
    <row r="4013" spans="3:15" s="59" customFormat="1" ht="21" customHeight="1">
      <c r="C4013" s="588">
        <v>1</v>
      </c>
      <c r="D4013" s="56" t="s">
        <v>5</v>
      </c>
      <c r="E4013" s="577" t="s">
        <v>6</v>
      </c>
      <c r="F4013" s="62">
        <v>0.78800000000000003</v>
      </c>
      <c r="G4013" s="63">
        <f>VLOOKUP(D4013,upahbahan,3,FALSE)</f>
        <v>100000</v>
      </c>
      <c r="H4013" s="63">
        <f>F4013*G4013</f>
        <v>78800</v>
      </c>
      <c r="I4013" s="44"/>
      <c r="J4013" s="44"/>
      <c r="K4013" s="44"/>
      <c r="L4013" s="152" t="s">
        <v>1248</v>
      </c>
      <c r="O4013" s="65">
        <v>0.1</v>
      </c>
    </row>
    <row r="4014" spans="3:15" s="59" customFormat="1" ht="21" customHeight="1">
      <c r="C4014" s="588">
        <v>2</v>
      </c>
      <c r="D4014" s="56" t="s">
        <v>10</v>
      </c>
      <c r="E4014" s="577" t="s">
        <v>6</v>
      </c>
      <c r="F4014" s="62">
        <v>1.3160000000000001</v>
      </c>
      <c r="G4014" s="63">
        <f>VLOOKUP(D4014,upahbahan,3,FALSE)</f>
        <v>135000</v>
      </c>
      <c r="H4014" s="63">
        <f>F4014*G4014</f>
        <v>177660</v>
      </c>
      <c r="I4014" s="44"/>
      <c r="J4014" s="44"/>
      <c r="K4014" s="44"/>
    </row>
    <row r="4015" spans="3:15" s="59" customFormat="1" ht="21" customHeight="1">
      <c r="C4015" s="588">
        <v>3</v>
      </c>
      <c r="D4015" s="56" t="s">
        <v>18</v>
      </c>
      <c r="E4015" s="577" t="s">
        <v>6</v>
      </c>
      <c r="F4015" s="62">
        <v>0.13200000000000001</v>
      </c>
      <c r="G4015" s="63">
        <f>VLOOKUP(D4015,upahbahan,3,FALSE)</f>
        <v>150000</v>
      </c>
      <c r="H4015" s="63">
        <f>F4015*G4015</f>
        <v>19800</v>
      </c>
      <c r="I4015" s="44"/>
      <c r="J4015" s="44"/>
      <c r="K4015" s="44"/>
    </row>
    <row r="4016" spans="3:15" s="59" customFormat="1" ht="21" customHeight="1">
      <c r="C4016" s="588">
        <v>4</v>
      </c>
      <c r="D4016" s="56" t="s">
        <v>19</v>
      </c>
      <c r="E4016" s="577" t="s">
        <v>6</v>
      </c>
      <c r="F4016" s="62">
        <v>3.9E-2</v>
      </c>
      <c r="G4016" s="63">
        <f>VLOOKUP(D4016,upahbahan,3,FALSE)</f>
        <v>160000</v>
      </c>
      <c r="H4016" s="63">
        <f>F4016*G4016</f>
        <v>6240</v>
      </c>
      <c r="I4016" s="44"/>
      <c r="J4016" s="44"/>
      <c r="K4016" s="44"/>
    </row>
    <row r="4017" spans="3:15" s="59" customFormat="1" ht="21" customHeight="1">
      <c r="C4017" s="450" t="s">
        <v>1208</v>
      </c>
      <c r="D4017" s="67"/>
      <c r="E4017" s="67"/>
      <c r="F4017" s="142"/>
      <c r="G4017" s="153"/>
      <c r="H4017" s="63">
        <f>SUM(H4013:H4016)</f>
        <v>282500</v>
      </c>
      <c r="I4017" s="154"/>
      <c r="J4017" s="154"/>
      <c r="K4017" s="154"/>
    </row>
    <row r="4018" spans="3:15" s="59" customFormat="1" ht="21" customHeight="1">
      <c r="C4018" s="61" t="s">
        <v>1209</v>
      </c>
      <c r="D4018" s="56" t="s">
        <v>1210</v>
      </c>
      <c r="E4018" s="57"/>
      <c r="F4018" s="57"/>
      <c r="G4018" s="57"/>
      <c r="H4018" s="57"/>
      <c r="I4018" s="44"/>
      <c r="J4018" s="44"/>
      <c r="K4018" s="44"/>
    </row>
    <row r="4019" spans="3:15" s="59" customFormat="1" ht="21" customHeight="1">
      <c r="C4019" s="61">
        <v>1</v>
      </c>
      <c r="D4019" s="56" t="s">
        <v>4239</v>
      </c>
      <c r="E4019" s="93" t="s">
        <v>135</v>
      </c>
      <c r="F4019" s="104">
        <v>1.3</v>
      </c>
      <c r="G4019" s="63">
        <f>VLOOKUP(D4019,upahbahan,3,FALSE)</f>
        <v>3890000</v>
      </c>
      <c r="H4019" s="586">
        <f>G4019*F4019</f>
        <v>5057000</v>
      </c>
      <c r="I4019" s="44"/>
      <c r="J4019" s="44"/>
      <c r="K4019" s="44"/>
    </row>
    <row r="4020" spans="3:15" s="59" customFormat="1" ht="21" customHeight="1">
      <c r="C4020" s="450" t="s">
        <v>1214</v>
      </c>
      <c r="D4020" s="67"/>
      <c r="E4020" s="67"/>
      <c r="F4020" s="67"/>
      <c r="G4020" s="69"/>
      <c r="H4020" s="63">
        <f>SUM(H4019:H4019)</f>
        <v>5057000</v>
      </c>
      <c r="I4020" s="44"/>
      <c r="J4020" s="44"/>
      <c r="K4020" s="44"/>
    </row>
    <row r="4021" spans="3:15" s="59" customFormat="1" ht="21" customHeight="1">
      <c r="C4021" s="61" t="s">
        <v>1215</v>
      </c>
      <c r="D4021" s="56" t="s">
        <v>1216</v>
      </c>
      <c r="E4021" s="57"/>
      <c r="F4021" s="57"/>
      <c r="G4021" s="57"/>
      <c r="H4021" s="57"/>
      <c r="I4021" s="44"/>
      <c r="J4021" s="44"/>
      <c r="K4021" s="44"/>
    </row>
    <row r="4022" spans="3:15" s="59" customFormat="1" ht="21" customHeight="1">
      <c r="C4022" s="450" t="s">
        <v>1217</v>
      </c>
      <c r="D4022" s="67"/>
      <c r="E4022" s="67"/>
      <c r="F4022" s="67"/>
      <c r="G4022" s="69"/>
      <c r="H4022" s="589">
        <v>0</v>
      </c>
      <c r="I4022" s="44"/>
      <c r="J4022" s="44"/>
      <c r="K4022" s="44"/>
    </row>
    <row r="4023" spans="3:15" s="59" customFormat="1" ht="21" customHeight="1">
      <c r="C4023" s="288" t="s">
        <v>1218</v>
      </c>
      <c r="D4023" s="76" t="s">
        <v>1219</v>
      </c>
      <c r="E4023" s="77"/>
      <c r="F4023" s="77"/>
      <c r="G4023" s="78"/>
      <c r="H4023" s="585">
        <f>H4022+H4020+H4017</f>
        <v>5339500</v>
      </c>
      <c r="I4023" s="369"/>
      <c r="J4023" s="44"/>
      <c r="K4023" s="44"/>
    </row>
    <row r="4024" spans="3:15" s="59" customFormat="1" ht="21" customHeight="1">
      <c r="C4024" s="288" t="s">
        <v>1220</v>
      </c>
      <c r="D4024" s="76" t="s">
        <v>1321</v>
      </c>
      <c r="E4024" s="77"/>
      <c r="F4024" s="78"/>
      <c r="G4024" s="80">
        <v>0.1</v>
      </c>
      <c r="H4024" s="63">
        <f>H4023*G4024</f>
        <v>533950</v>
      </c>
      <c r="I4024" s="369"/>
      <c r="J4024" s="44"/>
      <c r="K4024" s="44"/>
    </row>
    <row r="4025" spans="3:15" s="59" customFormat="1" ht="21" customHeight="1">
      <c r="C4025" s="288" t="s">
        <v>1221</v>
      </c>
      <c r="D4025" s="76" t="s">
        <v>1222</v>
      </c>
      <c r="E4025" s="77"/>
      <c r="F4025" s="77"/>
      <c r="G4025" s="78"/>
      <c r="H4025" s="799">
        <f>SUM(H4023:H4024)</f>
        <v>5873450</v>
      </c>
      <c r="I4025" s="369"/>
      <c r="J4025" s="44"/>
      <c r="K4025" s="44"/>
    </row>
    <row r="4026" spans="3:15" ht="21" customHeight="1"/>
    <row r="4027" spans="3:15" s="59" customFormat="1" ht="21" customHeight="1">
      <c r="C4027" s="147" t="s">
        <v>5445</v>
      </c>
      <c r="D4027" s="794" t="s">
        <v>4235</v>
      </c>
      <c r="E4027" s="795"/>
      <c r="F4027" s="795"/>
      <c r="G4027" s="795"/>
      <c r="H4027" s="795"/>
      <c r="I4027" s="50">
        <f>ROUNDDOWN(H4042,-2)</f>
        <v>7517000</v>
      </c>
      <c r="J4027" s="50"/>
      <c r="K4027" s="50"/>
    </row>
    <row r="4028" spans="3:15" s="59" customFormat="1" ht="21" customHeight="1">
      <c r="C4028" s="591" t="s">
        <v>1195</v>
      </c>
      <c r="D4028" s="591" t="s">
        <v>1196</v>
      </c>
      <c r="E4028" s="591" t="s">
        <v>1197</v>
      </c>
      <c r="F4028" s="591" t="s">
        <v>1198</v>
      </c>
      <c r="G4028" s="591" t="s">
        <v>1199</v>
      </c>
      <c r="H4028" s="591" t="s">
        <v>1200</v>
      </c>
      <c r="I4028" s="44"/>
      <c r="J4028" s="44"/>
      <c r="K4028" s="44"/>
    </row>
    <row r="4029" spans="3:15" s="59" customFormat="1" ht="21" customHeight="1">
      <c r="C4029" s="61" t="s">
        <v>1201</v>
      </c>
      <c r="D4029" s="56" t="s">
        <v>1202</v>
      </c>
      <c r="E4029" s="57"/>
      <c r="F4029" s="57"/>
      <c r="G4029" s="57"/>
      <c r="H4029" s="57"/>
      <c r="I4029" s="44"/>
      <c r="J4029" s="44"/>
      <c r="K4029" s="44"/>
      <c r="L4029" s="152" t="s">
        <v>1247</v>
      </c>
    </row>
    <row r="4030" spans="3:15" s="59" customFormat="1" ht="21" customHeight="1">
      <c r="C4030" s="588">
        <v>1</v>
      </c>
      <c r="D4030" s="56" t="s">
        <v>5</v>
      </c>
      <c r="E4030" s="577" t="s">
        <v>6</v>
      </c>
      <c r="F4030" s="62">
        <v>0.94499999999999995</v>
      </c>
      <c r="G4030" s="63">
        <f>VLOOKUP(D4030,upahbahan,3,FALSE)</f>
        <v>100000</v>
      </c>
      <c r="H4030" s="63">
        <f>F4030*G4030</f>
        <v>94500</v>
      </c>
      <c r="I4030" s="44"/>
      <c r="J4030" s="44"/>
      <c r="K4030" s="44"/>
      <c r="L4030" s="152" t="s">
        <v>1248</v>
      </c>
      <c r="O4030" s="65">
        <v>0.1</v>
      </c>
    </row>
    <row r="4031" spans="3:15" s="59" customFormat="1" ht="21" customHeight="1">
      <c r="C4031" s="588">
        <v>2</v>
      </c>
      <c r="D4031" s="56" t="s">
        <v>10</v>
      </c>
      <c r="E4031" s="577" t="s">
        <v>6</v>
      </c>
      <c r="F4031" s="62">
        <v>1.579</v>
      </c>
      <c r="G4031" s="63">
        <f>VLOOKUP(D4031,upahbahan,3,FALSE)</f>
        <v>135000</v>
      </c>
      <c r="H4031" s="63">
        <f>F4031*G4031</f>
        <v>213165</v>
      </c>
      <c r="I4031" s="44"/>
      <c r="J4031" s="44"/>
      <c r="K4031" s="44"/>
    </row>
    <row r="4032" spans="3:15" s="59" customFormat="1" ht="21" customHeight="1">
      <c r="C4032" s="588">
        <v>3</v>
      </c>
      <c r="D4032" s="56" t="s">
        <v>18</v>
      </c>
      <c r="E4032" s="577" t="s">
        <v>6</v>
      </c>
      <c r="F4032" s="62">
        <v>0.158</v>
      </c>
      <c r="G4032" s="63">
        <f>VLOOKUP(D4032,upahbahan,3,FALSE)</f>
        <v>150000</v>
      </c>
      <c r="H4032" s="63">
        <f>F4032*G4032</f>
        <v>23700</v>
      </c>
      <c r="I4032" s="44"/>
      <c r="J4032" s="44"/>
      <c r="K4032" s="44"/>
    </row>
    <row r="4033" spans="3:15" s="59" customFormat="1" ht="21" customHeight="1">
      <c r="C4033" s="588">
        <v>4</v>
      </c>
      <c r="D4033" s="56" t="s">
        <v>19</v>
      </c>
      <c r="E4033" s="577" t="s">
        <v>6</v>
      </c>
      <c r="F4033" s="62">
        <v>4.7E-2</v>
      </c>
      <c r="G4033" s="63">
        <f>VLOOKUP(D4033,upahbahan,3,FALSE)</f>
        <v>160000</v>
      </c>
      <c r="H4033" s="63">
        <f>F4033*G4033</f>
        <v>7520</v>
      </c>
      <c r="I4033" s="44"/>
      <c r="J4033" s="44"/>
      <c r="K4033" s="44"/>
    </row>
    <row r="4034" spans="3:15" s="59" customFormat="1" ht="21" customHeight="1">
      <c r="C4034" s="450" t="s">
        <v>1208</v>
      </c>
      <c r="D4034" s="67"/>
      <c r="E4034" s="67"/>
      <c r="F4034" s="142"/>
      <c r="G4034" s="153"/>
      <c r="H4034" s="63">
        <f>SUM(H4030:H4033)</f>
        <v>338885</v>
      </c>
      <c r="I4034" s="154"/>
      <c r="J4034" s="154"/>
      <c r="K4034" s="154"/>
    </row>
    <row r="4035" spans="3:15" s="59" customFormat="1" ht="21" customHeight="1">
      <c r="C4035" s="61" t="s">
        <v>1209</v>
      </c>
      <c r="D4035" s="56" t="s">
        <v>1210</v>
      </c>
      <c r="E4035" s="57"/>
      <c r="F4035" s="57"/>
      <c r="G4035" s="57"/>
      <c r="H4035" s="57"/>
      <c r="I4035" s="44"/>
      <c r="J4035" s="44"/>
      <c r="K4035" s="44"/>
    </row>
    <row r="4036" spans="3:15" s="59" customFormat="1" ht="21" customHeight="1">
      <c r="C4036" s="61">
        <v>1</v>
      </c>
      <c r="D4036" s="56" t="s">
        <v>4236</v>
      </c>
      <c r="E4036" s="93" t="s">
        <v>135</v>
      </c>
      <c r="F4036" s="104">
        <v>1.3</v>
      </c>
      <c r="G4036" s="63">
        <f>VLOOKUP(D4036,upahbahan,3,FALSE)</f>
        <v>4996000</v>
      </c>
      <c r="H4036" s="586">
        <f>G4036*F4036</f>
        <v>6494800</v>
      </c>
      <c r="I4036" s="44"/>
      <c r="J4036" s="44"/>
      <c r="K4036" s="44"/>
    </row>
    <row r="4037" spans="3:15" s="59" customFormat="1" ht="21" customHeight="1">
      <c r="C4037" s="450" t="s">
        <v>1214</v>
      </c>
      <c r="D4037" s="67"/>
      <c r="E4037" s="67"/>
      <c r="F4037" s="67"/>
      <c r="G4037" s="69"/>
      <c r="H4037" s="63">
        <f>SUM(H4036:H4036)</f>
        <v>6494800</v>
      </c>
      <c r="I4037" s="44"/>
      <c r="J4037" s="44"/>
      <c r="K4037" s="44"/>
    </row>
    <row r="4038" spans="3:15" s="59" customFormat="1" ht="21" customHeight="1">
      <c r="C4038" s="61" t="s">
        <v>1215</v>
      </c>
      <c r="D4038" s="56" t="s">
        <v>1216</v>
      </c>
      <c r="E4038" s="57"/>
      <c r="F4038" s="57"/>
      <c r="G4038" s="57"/>
      <c r="H4038" s="57"/>
      <c r="I4038" s="44"/>
      <c r="J4038" s="44"/>
      <c r="K4038" s="44"/>
    </row>
    <row r="4039" spans="3:15" s="59" customFormat="1" ht="21" customHeight="1">
      <c r="C4039" s="450" t="s">
        <v>1217</v>
      </c>
      <c r="D4039" s="67"/>
      <c r="E4039" s="67"/>
      <c r="F4039" s="67"/>
      <c r="G4039" s="69"/>
      <c r="H4039" s="589">
        <v>0</v>
      </c>
      <c r="I4039" s="44"/>
      <c r="J4039" s="44"/>
      <c r="K4039" s="44"/>
    </row>
    <row r="4040" spans="3:15" s="59" customFormat="1" ht="21" customHeight="1">
      <c r="C4040" s="288" t="s">
        <v>1218</v>
      </c>
      <c r="D4040" s="76" t="s">
        <v>1219</v>
      </c>
      <c r="E4040" s="77"/>
      <c r="F4040" s="77"/>
      <c r="G4040" s="78"/>
      <c r="H4040" s="585">
        <f>H4039+H4037+H4034</f>
        <v>6833685</v>
      </c>
      <c r="I4040" s="369"/>
      <c r="J4040" s="44"/>
      <c r="K4040" s="44"/>
    </row>
    <row r="4041" spans="3:15" s="59" customFormat="1" ht="21" customHeight="1">
      <c r="C4041" s="288" t="s">
        <v>1220</v>
      </c>
      <c r="D4041" s="76" t="s">
        <v>1321</v>
      </c>
      <c r="E4041" s="77"/>
      <c r="F4041" s="78"/>
      <c r="G4041" s="80">
        <v>0.1</v>
      </c>
      <c r="H4041" s="63">
        <f>H4040*G4041</f>
        <v>683368.5</v>
      </c>
      <c r="I4041" s="369"/>
      <c r="J4041" s="44"/>
      <c r="K4041" s="44"/>
    </row>
    <row r="4042" spans="3:15" s="59" customFormat="1" ht="21" customHeight="1">
      <c r="C4042" s="288" t="s">
        <v>1221</v>
      </c>
      <c r="D4042" s="76" t="s">
        <v>1222</v>
      </c>
      <c r="E4042" s="77"/>
      <c r="F4042" s="77"/>
      <c r="G4042" s="78"/>
      <c r="H4042" s="799">
        <f>SUM(H4040:H4041)</f>
        <v>7517053.5</v>
      </c>
      <c r="I4042" s="369"/>
      <c r="J4042" s="44"/>
      <c r="K4042" s="44"/>
    </row>
    <row r="4043" spans="3:15" ht="21" customHeight="1"/>
    <row r="4044" spans="3:15" s="59" customFormat="1" ht="21" customHeight="1">
      <c r="C4044" s="147" t="s">
        <v>5446</v>
      </c>
      <c r="D4044" s="794" t="s">
        <v>4244</v>
      </c>
      <c r="E4044" s="795"/>
      <c r="F4044" s="795"/>
      <c r="G4044" s="795"/>
      <c r="H4044" s="795"/>
      <c r="I4044" s="50">
        <f>ROUNDDOWN(H4059,-2)</f>
        <v>8704800</v>
      </c>
      <c r="J4044" s="50"/>
      <c r="K4044" s="50"/>
    </row>
    <row r="4045" spans="3:15" s="59" customFormat="1" ht="21" customHeight="1">
      <c r="C4045" s="591" t="s">
        <v>1195</v>
      </c>
      <c r="D4045" s="591" t="s">
        <v>1196</v>
      </c>
      <c r="E4045" s="591" t="s">
        <v>1197</v>
      </c>
      <c r="F4045" s="591" t="s">
        <v>1198</v>
      </c>
      <c r="G4045" s="591" t="s">
        <v>1199</v>
      </c>
      <c r="H4045" s="591" t="s">
        <v>1200</v>
      </c>
      <c r="I4045" s="44"/>
      <c r="J4045" s="44"/>
      <c r="K4045" s="44"/>
    </row>
    <row r="4046" spans="3:15" s="59" customFormat="1" ht="21" customHeight="1">
      <c r="C4046" s="61" t="s">
        <v>1201</v>
      </c>
      <c r="D4046" s="56" t="s">
        <v>1202</v>
      </c>
      <c r="E4046" s="57"/>
      <c r="F4046" s="57"/>
      <c r="G4046" s="57"/>
      <c r="H4046" s="57"/>
      <c r="I4046" s="44"/>
      <c r="J4046" s="44"/>
      <c r="K4046" s="44"/>
      <c r="L4046" s="152" t="s">
        <v>1247</v>
      </c>
    </row>
    <row r="4047" spans="3:15" s="59" customFormat="1" ht="21" customHeight="1">
      <c r="C4047" s="588">
        <v>1</v>
      </c>
      <c r="D4047" s="56" t="s">
        <v>5</v>
      </c>
      <c r="E4047" s="577" t="s">
        <v>6</v>
      </c>
      <c r="F4047" s="62">
        <v>1.26</v>
      </c>
      <c r="G4047" s="63">
        <f>VLOOKUP(D4047,upahbahan,3,FALSE)</f>
        <v>100000</v>
      </c>
      <c r="H4047" s="63">
        <f>F4047*G4047</f>
        <v>126000</v>
      </c>
      <c r="I4047" s="44"/>
      <c r="J4047" s="44"/>
      <c r="K4047" s="44"/>
      <c r="L4047" s="152" t="s">
        <v>1248</v>
      </c>
      <c r="O4047" s="65">
        <v>0.1</v>
      </c>
    </row>
    <row r="4048" spans="3:15" s="59" customFormat="1" ht="21" customHeight="1">
      <c r="C4048" s="588">
        <v>2</v>
      </c>
      <c r="D4048" s="56" t="s">
        <v>10</v>
      </c>
      <c r="E4048" s="577" t="s">
        <v>6</v>
      </c>
      <c r="F4048" s="62">
        <v>2.1030000000000002</v>
      </c>
      <c r="G4048" s="63">
        <f>VLOOKUP(D4048,upahbahan,3,FALSE)</f>
        <v>135000</v>
      </c>
      <c r="H4048" s="63">
        <f>F4048*G4048</f>
        <v>283905</v>
      </c>
      <c r="I4048" s="44"/>
      <c r="J4048" s="44"/>
      <c r="K4048" s="44"/>
    </row>
    <row r="4049" spans="3:12" s="59" customFormat="1" ht="21" customHeight="1">
      <c r="C4049" s="588">
        <v>3</v>
      </c>
      <c r="D4049" s="56" t="s">
        <v>18</v>
      </c>
      <c r="E4049" s="577" t="s">
        <v>6</v>
      </c>
      <c r="F4049" s="62">
        <v>0.21</v>
      </c>
      <c r="G4049" s="63">
        <f>VLOOKUP(D4049,upahbahan,3,FALSE)</f>
        <v>150000</v>
      </c>
      <c r="H4049" s="63">
        <f>F4049*G4049</f>
        <v>31500</v>
      </c>
      <c r="I4049" s="44"/>
      <c r="J4049" s="44"/>
      <c r="K4049" s="44"/>
    </row>
    <row r="4050" spans="3:12" s="59" customFormat="1" ht="21" customHeight="1">
      <c r="C4050" s="588">
        <v>4</v>
      </c>
      <c r="D4050" s="56" t="s">
        <v>19</v>
      </c>
      <c r="E4050" s="577" t="s">
        <v>6</v>
      </c>
      <c r="F4050" s="62">
        <v>6.3E-2</v>
      </c>
      <c r="G4050" s="63">
        <f>VLOOKUP(D4050,upahbahan,3,FALSE)</f>
        <v>160000</v>
      </c>
      <c r="H4050" s="63">
        <f>F4050*G4050</f>
        <v>10080</v>
      </c>
      <c r="I4050" s="44"/>
      <c r="J4050" s="44"/>
      <c r="K4050" s="44"/>
    </row>
    <row r="4051" spans="3:12" s="59" customFormat="1" ht="21" customHeight="1">
      <c r="C4051" s="450" t="s">
        <v>1208</v>
      </c>
      <c r="D4051" s="67"/>
      <c r="E4051" s="67"/>
      <c r="F4051" s="142"/>
      <c r="G4051" s="153"/>
      <c r="H4051" s="63">
        <f>SUM(H4047:H4050)</f>
        <v>451485</v>
      </c>
      <c r="I4051" s="154"/>
      <c r="J4051" s="154"/>
      <c r="K4051" s="154"/>
    </row>
    <row r="4052" spans="3:12" s="59" customFormat="1" ht="21" customHeight="1">
      <c r="C4052" s="61" t="s">
        <v>1209</v>
      </c>
      <c r="D4052" s="56" t="s">
        <v>1210</v>
      </c>
      <c r="E4052" s="57"/>
      <c r="F4052" s="57"/>
      <c r="G4052" s="57"/>
      <c r="H4052" s="57"/>
      <c r="I4052" s="44"/>
      <c r="J4052" s="44"/>
      <c r="K4052" s="44"/>
    </row>
    <row r="4053" spans="3:12" s="59" customFormat="1" ht="21" customHeight="1">
      <c r="C4053" s="61">
        <v>1</v>
      </c>
      <c r="D4053" s="56" t="s">
        <v>4237</v>
      </c>
      <c r="E4053" s="93" t="s">
        <v>135</v>
      </c>
      <c r="F4053" s="104">
        <v>1.3</v>
      </c>
      <c r="G4053" s="63">
        <f>VLOOKUP(D4053,upahbahan,3,FALSE)</f>
        <v>5740000</v>
      </c>
      <c r="H4053" s="586">
        <f>G4053*F4053</f>
        <v>7462000</v>
      </c>
      <c r="I4053" s="44"/>
      <c r="J4053" s="44"/>
      <c r="K4053" s="44"/>
    </row>
    <row r="4054" spans="3:12" s="59" customFormat="1" ht="21" customHeight="1">
      <c r="C4054" s="450" t="s">
        <v>1214</v>
      </c>
      <c r="D4054" s="67"/>
      <c r="E4054" s="67"/>
      <c r="F4054" s="67"/>
      <c r="G4054" s="69"/>
      <c r="H4054" s="63">
        <f>SUM(H4053:H4053)</f>
        <v>7462000</v>
      </c>
      <c r="I4054" s="44"/>
      <c r="J4054" s="44"/>
      <c r="K4054" s="44"/>
    </row>
    <row r="4055" spans="3:12" s="59" customFormat="1" ht="21" customHeight="1">
      <c r="C4055" s="61" t="s">
        <v>1215</v>
      </c>
      <c r="D4055" s="56" t="s">
        <v>1216</v>
      </c>
      <c r="E4055" s="57"/>
      <c r="F4055" s="57"/>
      <c r="G4055" s="57"/>
      <c r="H4055" s="57"/>
      <c r="I4055" s="44"/>
      <c r="J4055" s="44"/>
      <c r="K4055" s="44"/>
    </row>
    <row r="4056" spans="3:12" s="59" customFormat="1" ht="21" customHeight="1">
      <c r="C4056" s="450" t="s">
        <v>1217</v>
      </c>
      <c r="D4056" s="67"/>
      <c r="E4056" s="67"/>
      <c r="F4056" s="67"/>
      <c r="G4056" s="69"/>
      <c r="H4056" s="589">
        <v>0</v>
      </c>
      <c r="I4056" s="44"/>
      <c r="J4056" s="44"/>
      <c r="K4056" s="44"/>
    </row>
    <row r="4057" spans="3:12" s="59" customFormat="1" ht="21" customHeight="1">
      <c r="C4057" s="288" t="s">
        <v>1218</v>
      </c>
      <c r="D4057" s="76" t="s">
        <v>1219</v>
      </c>
      <c r="E4057" s="77"/>
      <c r="F4057" s="77"/>
      <c r="G4057" s="78"/>
      <c r="H4057" s="585">
        <f>H4056+H4054+H4051</f>
        <v>7913485</v>
      </c>
      <c r="I4057" s="369"/>
      <c r="J4057" s="44"/>
      <c r="K4057" s="44"/>
    </row>
    <row r="4058" spans="3:12" s="59" customFormat="1" ht="21" customHeight="1">
      <c r="C4058" s="288" t="s">
        <v>1220</v>
      </c>
      <c r="D4058" s="76" t="s">
        <v>1321</v>
      </c>
      <c r="E4058" s="77"/>
      <c r="F4058" s="78"/>
      <c r="G4058" s="80">
        <v>0.1</v>
      </c>
      <c r="H4058" s="63">
        <f>H4057*G4058</f>
        <v>791348.5</v>
      </c>
      <c r="I4058" s="369"/>
      <c r="J4058" s="44"/>
      <c r="K4058" s="44"/>
    </row>
    <row r="4059" spans="3:12" s="59" customFormat="1" ht="21" customHeight="1">
      <c r="C4059" s="288" t="s">
        <v>1221</v>
      </c>
      <c r="D4059" s="76" t="s">
        <v>1222</v>
      </c>
      <c r="E4059" s="77"/>
      <c r="F4059" s="77"/>
      <c r="G4059" s="78"/>
      <c r="H4059" s="799">
        <f>SUM(H4057:H4058)</f>
        <v>8704833.5</v>
      </c>
      <c r="I4059" s="369"/>
      <c r="J4059" s="44"/>
      <c r="K4059" s="44"/>
    </row>
    <row r="4060" spans="3:12" ht="21" customHeight="1"/>
    <row r="4061" spans="3:12" ht="21" customHeight="1">
      <c r="C4061" s="43" t="s">
        <v>5447</v>
      </c>
      <c r="D4061" s="128" t="s">
        <v>4240</v>
      </c>
    </row>
    <row r="4062" spans="3:12" s="59" customFormat="1" ht="21" customHeight="1">
      <c r="C4062" s="147" t="s">
        <v>5448</v>
      </c>
      <c r="D4062" s="794" t="s">
        <v>4249</v>
      </c>
      <c r="E4062" s="795"/>
      <c r="F4062" s="795"/>
      <c r="G4062" s="795"/>
      <c r="H4062" s="795"/>
      <c r="I4062" s="50">
        <f>ROUNDDOWN(H4078,-2)</f>
        <v>1744000</v>
      </c>
      <c r="J4062" s="50"/>
      <c r="K4062" s="50"/>
    </row>
    <row r="4063" spans="3:12" s="59" customFormat="1" ht="21" customHeight="1">
      <c r="C4063" s="591" t="s">
        <v>1195</v>
      </c>
      <c r="D4063" s="591" t="s">
        <v>1196</v>
      </c>
      <c r="E4063" s="591" t="s">
        <v>1197</v>
      </c>
      <c r="F4063" s="591" t="s">
        <v>1198</v>
      </c>
      <c r="G4063" s="591" t="s">
        <v>1199</v>
      </c>
      <c r="H4063" s="591" t="s">
        <v>1200</v>
      </c>
      <c r="I4063" s="44"/>
      <c r="J4063" s="44"/>
      <c r="K4063" s="44"/>
    </row>
    <row r="4064" spans="3:12" s="59" customFormat="1" ht="21" customHeight="1">
      <c r="C4064" s="61" t="s">
        <v>1201</v>
      </c>
      <c r="D4064" s="56" t="s">
        <v>1202</v>
      </c>
      <c r="E4064" s="57"/>
      <c r="F4064" s="57"/>
      <c r="G4064" s="57"/>
      <c r="H4064" s="57"/>
      <c r="I4064" s="44"/>
      <c r="J4064" s="44"/>
      <c r="K4064" s="44"/>
      <c r="L4064" s="152" t="s">
        <v>1247</v>
      </c>
    </row>
    <row r="4065" spans="3:15" s="59" customFormat="1" ht="21" customHeight="1">
      <c r="C4065" s="588">
        <v>1</v>
      </c>
      <c r="D4065" s="56" t="s">
        <v>5</v>
      </c>
      <c r="E4065" s="577" t="s">
        <v>6</v>
      </c>
      <c r="F4065" s="62">
        <v>5.1999999999999998E-2</v>
      </c>
      <c r="G4065" s="63">
        <f>VLOOKUP(D4065,upahbahan,3,FALSE)</f>
        <v>100000</v>
      </c>
      <c r="H4065" s="63">
        <f>F4065*G4065</f>
        <v>5200</v>
      </c>
      <c r="I4065" s="44"/>
      <c r="J4065" s="44"/>
      <c r="K4065" s="44"/>
      <c r="L4065" s="152" t="s">
        <v>1248</v>
      </c>
      <c r="O4065" s="65">
        <v>0.1</v>
      </c>
    </row>
    <row r="4066" spans="3:15" s="59" customFormat="1" ht="21" customHeight="1">
      <c r="C4066" s="588">
        <v>2</v>
      </c>
      <c r="D4066" s="56" t="s">
        <v>10</v>
      </c>
      <c r="E4066" s="577" t="s">
        <v>6</v>
      </c>
      <c r="F4066" s="62">
        <v>8.6999999999999994E-2</v>
      </c>
      <c r="G4066" s="63">
        <f>VLOOKUP(D4066,upahbahan,3,FALSE)</f>
        <v>135000</v>
      </c>
      <c r="H4066" s="63">
        <f>F4066*G4066</f>
        <v>11745</v>
      </c>
      <c r="I4066" s="44"/>
      <c r="J4066" s="44"/>
      <c r="K4066" s="44"/>
    </row>
    <row r="4067" spans="3:15" s="59" customFormat="1" ht="21" customHeight="1">
      <c r="C4067" s="588">
        <v>3</v>
      </c>
      <c r="D4067" s="56" t="s">
        <v>18</v>
      </c>
      <c r="E4067" s="577" t="s">
        <v>6</v>
      </c>
      <c r="F4067" s="62">
        <v>8.9999999999999993E-3</v>
      </c>
      <c r="G4067" s="63">
        <f>VLOOKUP(D4067,upahbahan,3,FALSE)</f>
        <v>150000</v>
      </c>
      <c r="H4067" s="63">
        <f>F4067*G4067</f>
        <v>1350</v>
      </c>
      <c r="I4067" s="44"/>
      <c r="J4067" s="44"/>
      <c r="K4067" s="44"/>
    </row>
    <row r="4068" spans="3:15" s="59" customFormat="1" ht="21" customHeight="1">
      <c r="C4068" s="588">
        <v>4</v>
      </c>
      <c r="D4068" s="56" t="s">
        <v>19</v>
      </c>
      <c r="E4068" s="577" t="s">
        <v>6</v>
      </c>
      <c r="F4068" s="62">
        <v>3.0000000000000001E-3</v>
      </c>
      <c r="G4068" s="63">
        <f>VLOOKUP(D4068,upahbahan,3,FALSE)</f>
        <v>160000</v>
      </c>
      <c r="H4068" s="63">
        <f>F4068*G4068</f>
        <v>480</v>
      </c>
      <c r="I4068" s="44"/>
      <c r="J4068" s="44"/>
      <c r="K4068" s="44"/>
    </row>
    <row r="4069" spans="3:15" s="59" customFormat="1" ht="21" customHeight="1">
      <c r="C4069" s="450" t="s">
        <v>1208</v>
      </c>
      <c r="D4069" s="67"/>
      <c r="E4069" s="67"/>
      <c r="F4069" s="142"/>
      <c r="G4069" s="153"/>
      <c r="H4069" s="63">
        <f>SUM(H4065:H4068)</f>
        <v>18775</v>
      </c>
      <c r="I4069" s="154"/>
      <c r="J4069" s="154"/>
      <c r="K4069" s="154"/>
    </row>
    <row r="4070" spans="3:15" s="59" customFormat="1" ht="21" customHeight="1">
      <c r="C4070" s="61" t="s">
        <v>1209</v>
      </c>
      <c r="D4070" s="56" t="s">
        <v>1210</v>
      </c>
      <c r="E4070" s="57"/>
      <c r="F4070" s="57"/>
      <c r="G4070" s="57"/>
      <c r="H4070" s="57"/>
      <c r="I4070" s="44"/>
      <c r="J4070" s="44"/>
      <c r="K4070" s="44"/>
    </row>
    <row r="4071" spans="3:15" s="59" customFormat="1" ht="21" customHeight="1">
      <c r="C4071" s="61">
        <v>1</v>
      </c>
      <c r="D4071" s="56" t="s">
        <v>4241</v>
      </c>
      <c r="E4071" s="93" t="s">
        <v>3409</v>
      </c>
      <c r="F4071" s="104">
        <v>1.1499999999999999</v>
      </c>
      <c r="G4071" s="63">
        <f>VLOOKUP(D4071,upahbahan,3,FALSE)</f>
        <v>58000</v>
      </c>
      <c r="H4071" s="63">
        <f>F4071*G4071</f>
        <v>66700</v>
      </c>
      <c r="I4071" s="44"/>
      <c r="J4071" s="44"/>
      <c r="K4071" s="44"/>
    </row>
    <row r="4072" spans="3:15" s="59" customFormat="1" ht="21" customHeight="1">
      <c r="C4072" s="61">
        <v>2</v>
      </c>
      <c r="D4072" s="56" t="s">
        <v>4005</v>
      </c>
      <c r="E4072" s="93" t="s">
        <v>135</v>
      </c>
      <c r="F4072" s="104">
        <v>1</v>
      </c>
      <c r="G4072" s="63">
        <f>VLOOKUP(D4072,upahbahan,3,FALSE)</f>
        <v>1500000</v>
      </c>
      <c r="H4072" s="586">
        <f>G4072*F4072</f>
        <v>1500000</v>
      </c>
      <c r="I4072" s="44"/>
      <c r="J4072" s="44"/>
      <c r="K4072" s="44"/>
    </row>
    <row r="4073" spans="3:15" s="59" customFormat="1" ht="21" customHeight="1">
      <c r="C4073" s="450" t="s">
        <v>1214</v>
      </c>
      <c r="D4073" s="67"/>
      <c r="E4073" s="67"/>
      <c r="F4073" s="67"/>
      <c r="G4073" s="69"/>
      <c r="H4073" s="63">
        <f>SUM(H4071:H4072)</f>
        <v>1566700</v>
      </c>
      <c r="I4073" s="44"/>
      <c r="J4073" s="44"/>
      <c r="K4073" s="44"/>
    </row>
    <row r="4074" spans="3:15" s="59" customFormat="1" ht="21" customHeight="1">
      <c r="C4074" s="61" t="s">
        <v>1215</v>
      </c>
      <c r="D4074" s="56" t="s">
        <v>1216</v>
      </c>
      <c r="E4074" s="57"/>
      <c r="F4074" s="57"/>
      <c r="G4074" s="57"/>
      <c r="H4074" s="57"/>
      <c r="I4074" s="44"/>
      <c r="J4074" s="44"/>
      <c r="K4074" s="44"/>
    </row>
    <row r="4075" spans="3:15" s="59" customFormat="1" ht="21" customHeight="1">
      <c r="C4075" s="450" t="s">
        <v>1217</v>
      </c>
      <c r="D4075" s="67"/>
      <c r="E4075" s="67"/>
      <c r="F4075" s="67"/>
      <c r="G4075" s="69"/>
      <c r="H4075" s="589">
        <v>0</v>
      </c>
      <c r="I4075" s="44"/>
      <c r="J4075" s="44"/>
      <c r="K4075" s="44"/>
    </row>
    <row r="4076" spans="3:15" s="59" customFormat="1" ht="21" customHeight="1">
      <c r="C4076" s="288" t="s">
        <v>1218</v>
      </c>
      <c r="D4076" s="76" t="s">
        <v>1219</v>
      </c>
      <c r="E4076" s="77"/>
      <c r="F4076" s="77"/>
      <c r="G4076" s="78"/>
      <c r="H4076" s="585">
        <f>H4075+H4073+H4069</f>
        <v>1585475</v>
      </c>
      <c r="I4076" s="369"/>
      <c r="J4076" s="44"/>
      <c r="K4076" s="44"/>
    </row>
    <row r="4077" spans="3:15" s="59" customFormat="1" ht="21" customHeight="1">
      <c r="C4077" s="288" t="s">
        <v>1220</v>
      </c>
      <c r="D4077" s="76" t="s">
        <v>1321</v>
      </c>
      <c r="E4077" s="77"/>
      <c r="F4077" s="78"/>
      <c r="G4077" s="80">
        <v>0.1</v>
      </c>
      <c r="H4077" s="63">
        <f>H4076*G4077</f>
        <v>158547.5</v>
      </c>
      <c r="I4077" s="369"/>
      <c r="J4077" s="44"/>
      <c r="K4077" s="44"/>
    </row>
    <row r="4078" spans="3:15" s="59" customFormat="1" ht="21" customHeight="1">
      <c r="C4078" s="288" t="s">
        <v>1221</v>
      </c>
      <c r="D4078" s="76" t="s">
        <v>1222</v>
      </c>
      <c r="E4078" s="77"/>
      <c r="F4078" s="77"/>
      <c r="G4078" s="78"/>
      <c r="H4078" s="799">
        <f>SUM(H4076:H4077)</f>
        <v>1744022.5</v>
      </c>
      <c r="I4078" s="369"/>
      <c r="J4078" s="44"/>
      <c r="K4078" s="44"/>
    </row>
    <row r="4079" spans="3:15" ht="21" customHeight="1"/>
    <row r="4080" spans="3:15" s="59" customFormat="1" ht="21" customHeight="1">
      <c r="C4080" s="147" t="s">
        <v>5450</v>
      </c>
      <c r="D4080" s="794" t="s">
        <v>4250</v>
      </c>
      <c r="E4080" s="795"/>
      <c r="F4080" s="795"/>
      <c r="G4080" s="795"/>
      <c r="H4080" s="795"/>
      <c r="I4080" s="50">
        <f>ROUNDDOWN(H4096,-2)</f>
        <v>2232100</v>
      </c>
      <c r="J4080" s="50"/>
      <c r="K4080" s="50"/>
    </row>
    <row r="4081" spans="3:15" s="59" customFormat="1" ht="21" customHeight="1">
      <c r="C4081" s="591" t="s">
        <v>1195</v>
      </c>
      <c r="D4081" s="591" t="s">
        <v>1196</v>
      </c>
      <c r="E4081" s="591" t="s">
        <v>1197</v>
      </c>
      <c r="F4081" s="591" t="s">
        <v>1198</v>
      </c>
      <c r="G4081" s="591" t="s">
        <v>1199</v>
      </c>
      <c r="H4081" s="591" t="s">
        <v>1200</v>
      </c>
      <c r="I4081" s="44"/>
      <c r="J4081" s="44"/>
      <c r="K4081" s="44"/>
    </row>
    <row r="4082" spans="3:15" s="59" customFormat="1" ht="21" customHeight="1">
      <c r="C4082" s="61" t="s">
        <v>1201</v>
      </c>
      <c r="D4082" s="56" t="s">
        <v>1202</v>
      </c>
      <c r="E4082" s="57"/>
      <c r="F4082" s="57"/>
      <c r="G4082" s="57"/>
      <c r="H4082" s="57"/>
      <c r="I4082" s="44"/>
      <c r="J4082" s="44"/>
      <c r="K4082" s="44"/>
      <c r="L4082" s="152" t="s">
        <v>1247</v>
      </c>
    </row>
    <row r="4083" spans="3:15" s="59" customFormat="1" ht="21" customHeight="1">
      <c r="C4083" s="588">
        <v>1</v>
      </c>
      <c r="D4083" s="56" t="s">
        <v>5</v>
      </c>
      <c r="E4083" s="577" t="s">
        <v>6</v>
      </c>
      <c r="F4083" s="62">
        <v>0.105</v>
      </c>
      <c r="G4083" s="63">
        <f>VLOOKUP(D4083,upahbahan,3,FALSE)</f>
        <v>100000</v>
      </c>
      <c r="H4083" s="63">
        <f>F4083*G4083</f>
        <v>10500</v>
      </c>
      <c r="I4083" s="44"/>
      <c r="J4083" s="44"/>
      <c r="K4083" s="44"/>
      <c r="L4083" s="152" t="s">
        <v>1248</v>
      </c>
      <c r="O4083" s="65">
        <v>0.1</v>
      </c>
    </row>
    <row r="4084" spans="3:15" s="59" customFormat="1" ht="21" customHeight="1">
      <c r="C4084" s="588">
        <v>2</v>
      </c>
      <c r="D4084" s="56" t="s">
        <v>10</v>
      </c>
      <c r="E4084" s="577" t="s">
        <v>6</v>
      </c>
      <c r="F4084" s="62">
        <v>0.17499999999999999</v>
      </c>
      <c r="G4084" s="63">
        <f>VLOOKUP(D4084,upahbahan,3,FALSE)</f>
        <v>135000</v>
      </c>
      <c r="H4084" s="63">
        <f>F4084*G4084</f>
        <v>23625</v>
      </c>
      <c r="I4084" s="44"/>
      <c r="J4084" s="44"/>
      <c r="K4084" s="44"/>
    </row>
    <row r="4085" spans="3:15" s="59" customFormat="1" ht="21" customHeight="1">
      <c r="C4085" s="588">
        <v>3</v>
      </c>
      <c r="D4085" s="56" t="s">
        <v>18</v>
      </c>
      <c r="E4085" s="577" t="s">
        <v>6</v>
      </c>
      <c r="F4085" s="62">
        <v>1.7000000000000001E-2</v>
      </c>
      <c r="G4085" s="63">
        <f>VLOOKUP(D4085,upahbahan,3,FALSE)</f>
        <v>150000</v>
      </c>
      <c r="H4085" s="63">
        <f>F4085*G4085</f>
        <v>2550</v>
      </c>
      <c r="I4085" s="44"/>
      <c r="J4085" s="44"/>
      <c r="K4085" s="44"/>
    </row>
    <row r="4086" spans="3:15" s="59" customFormat="1" ht="21" customHeight="1">
      <c r="C4086" s="588">
        <v>4</v>
      </c>
      <c r="D4086" s="56" t="s">
        <v>19</v>
      </c>
      <c r="E4086" s="577" t="s">
        <v>6</v>
      </c>
      <c r="F4086" s="62">
        <v>5.0000000000000001E-3</v>
      </c>
      <c r="G4086" s="63">
        <f>VLOOKUP(D4086,upahbahan,3,FALSE)</f>
        <v>160000</v>
      </c>
      <c r="H4086" s="63">
        <f>F4086*G4086</f>
        <v>800</v>
      </c>
      <c r="I4086" s="44"/>
      <c r="J4086" s="44"/>
      <c r="K4086" s="44"/>
    </row>
    <row r="4087" spans="3:15" s="59" customFormat="1" ht="21" customHeight="1">
      <c r="C4087" s="450" t="s">
        <v>1208</v>
      </c>
      <c r="D4087" s="67"/>
      <c r="E4087" s="67"/>
      <c r="F4087" s="142"/>
      <c r="G4087" s="153"/>
      <c r="H4087" s="63">
        <f>SUM(H4083:H4086)</f>
        <v>37475</v>
      </c>
      <c r="I4087" s="154"/>
      <c r="J4087" s="154"/>
      <c r="K4087" s="154"/>
    </row>
    <row r="4088" spans="3:15" s="59" customFormat="1" ht="21" customHeight="1">
      <c r="C4088" s="61" t="s">
        <v>1209</v>
      </c>
      <c r="D4088" s="56" t="s">
        <v>1210</v>
      </c>
      <c r="E4088" s="57"/>
      <c r="F4088" s="57"/>
      <c r="G4088" s="57"/>
      <c r="H4088" s="57"/>
      <c r="I4088" s="44"/>
      <c r="J4088" s="44"/>
      <c r="K4088" s="44"/>
    </row>
    <row r="4089" spans="3:15" s="59" customFormat="1" ht="21" customHeight="1">
      <c r="C4089" s="61">
        <v>1</v>
      </c>
      <c r="D4089" s="56" t="s">
        <v>4242</v>
      </c>
      <c r="E4089" s="93" t="s">
        <v>135</v>
      </c>
      <c r="F4089" s="880">
        <v>1.1499999999999999</v>
      </c>
      <c r="G4089" s="63">
        <f>VLOOKUP(D4089,upahbahan,3,FALSE)</f>
        <v>79800</v>
      </c>
      <c r="H4089" s="586">
        <f>G4089*F4089</f>
        <v>91770</v>
      </c>
      <c r="I4089" s="44"/>
      <c r="J4089" s="44"/>
      <c r="K4089" s="44"/>
    </row>
    <row r="4090" spans="3:15" s="59" customFormat="1" ht="21" customHeight="1">
      <c r="C4090" s="61">
        <v>2</v>
      </c>
      <c r="D4090" s="56" t="s">
        <v>4030</v>
      </c>
      <c r="E4090" s="93" t="s">
        <v>135</v>
      </c>
      <c r="F4090" s="104">
        <v>1</v>
      </c>
      <c r="G4090" s="63">
        <f>VLOOKUP(D4090,upahbahan,3,FALSE)</f>
        <v>1900000</v>
      </c>
      <c r="H4090" s="586">
        <f>G4090*F4090</f>
        <v>1900000</v>
      </c>
      <c r="I4090" s="44"/>
      <c r="J4090" s="44"/>
      <c r="K4090" s="44"/>
    </row>
    <row r="4091" spans="3:15" s="59" customFormat="1" ht="21" customHeight="1">
      <c r="C4091" s="450" t="s">
        <v>1214</v>
      </c>
      <c r="D4091" s="67"/>
      <c r="E4091" s="67"/>
      <c r="F4091" s="67"/>
      <c r="G4091" s="69"/>
      <c r="H4091" s="63">
        <f>SUM(H4089:H4090)</f>
        <v>1991770</v>
      </c>
      <c r="I4091" s="44"/>
      <c r="J4091" s="44"/>
      <c r="K4091" s="44"/>
    </row>
    <row r="4092" spans="3:15" s="59" customFormat="1" ht="21" customHeight="1">
      <c r="C4092" s="61" t="s">
        <v>1215</v>
      </c>
      <c r="D4092" s="56" t="s">
        <v>1216</v>
      </c>
      <c r="E4092" s="57"/>
      <c r="F4092" s="57"/>
      <c r="G4092" s="57"/>
      <c r="H4092" s="57"/>
      <c r="I4092" s="44"/>
      <c r="J4092" s="44"/>
      <c r="K4092" s="44"/>
    </row>
    <row r="4093" spans="3:15" s="59" customFormat="1" ht="21" customHeight="1">
      <c r="C4093" s="450" t="s">
        <v>1217</v>
      </c>
      <c r="D4093" s="67"/>
      <c r="E4093" s="67"/>
      <c r="F4093" s="67"/>
      <c r="G4093" s="69"/>
      <c r="H4093" s="589">
        <v>0</v>
      </c>
      <c r="I4093" s="44"/>
      <c r="J4093" s="44"/>
      <c r="K4093" s="44"/>
    </row>
    <row r="4094" spans="3:15" s="59" customFormat="1" ht="21" customHeight="1">
      <c r="C4094" s="288" t="s">
        <v>1218</v>
      </c>
      <c r="D4094" s="76" t="s">
        <v>1219</v>
      </c>
      <c r="E4094" s="77"/>
      <c r="F4094" s="77"/>
      <c r="G4094" s="78"/>
      <c r="H4094" s="585">
        <f>H4093+H4091+H4087</f>
        <v>2029245</v>
      </c>
      <c r="I4094" s="369"/>
      <c r="J4094" s="44"/>
      <c r="K4094" s="44"/>
    </row>
    <row r="4095" spans="3:15" s="59" customFormat="1" ht="21" customHeight="1">
      <c r="C4095" s="288" t="s">
        <v>1220</v>
      </c>
      <c r="D4095" s="76" t="s">
        <v>1321</v>
      </c>
      <c r="E4095" s="77"/>
      <c r="F4095" s="78"/>
      <c r="G4095" s="80">
        <v>0.1</v>
      </c>
      <c r="H4095" s="63">
        <f>H4094*G4095</f>
        <v>202924.5</v>
      </c>
      <c r="I4095" s="369"/>
      <c r="J4095" s="44"/>
      <c r="K4095" s="44"/>
    </row>
    <row r="4096" spans="3:15" s="59" customFormat="1" ht="21" customHeight="1">
      <c r="C4096" s="288" t="s">
        <v>1221</v>
      </c>
      <c r="D4096" s="76" t="s">
        <v>1222</v>
      </c>
      <c r="E4096" s="77"/>
      <c r="F4096" s="77"/>
      <c r="G4096" s="78"/>
      <c r="H4096" s="799">
        <f>SUM(H4094:H4095)</f>
        <v>2232169.5</v>
      </c>
      <c r="I4096" s="369"/>
      <c r="J4096" s="44"/>
      <c r="K4096" s="44"/>
    </row>
    <row r="4097" spans="3:15" ht="21" customHeight="1"/>
    <row r="4098" spans="3:15" s="59" customFormat="1" ht="21" customHeight="1">
      <c r="C4098" s="147" t="s">
        <v>5449</v>
      </c>
      <c r="D4098" s="794" t="s">
        <v>4245</v>
      </c>
      <c r="E4098" s="795"/>
      <c r="F4098" s="795"/>
      <c r="G4098" s="795"/>
      <c r="H4098" s="795"/>
      <c r="I4098" s="50">
        <f>ROUNDDOWN(H4114,-2)</f>
        <v>2783700</v>
      </c>
      <c r="J4098" s="50"/>
      <c r="K4098" s="50"/>
    </row>
    <row r="4099" spans="3:15" s="59" customFormat="1" ht="21" customHeight="1">
      <c r="C4099" s="591" t="s">
        <v>1195</v>
      </c>
      <c r="D4099" s="591" t="s">
        <v>1196</v>
      </c>
      <c r="E4099" s="591" t="s">
        <v>1197</v>
      </c>
      <c r="F4099" s="591" t="s">
        <v>1198</v>
      </c>
      <c r="G4099" s="591" t="s">
        <v>1199</v>
      </c>
      <c r="H4099" s="591" t="s">
        <v>1200</v>
      </c>
      <c r="I4099" s="44"/>
      <c r="J4099" s="44"/>
      <c r="K4099" s="44"/>
    </row>
    <row r="4100" spans="3:15" s="59" customFormat="1" ht="21" customHeight="1">
      <c r="C4100" s="61" t="s">
        <v>1201</v>
      </c>
      <c r="D4100" s="56" t="s">
        <v>1202</v>
      </c>
      <c r="E4100" s="57"/>
      <c r="F4100" s="57"/>
      <c r="G4100" s="57"/>
      <c r="H4100" s="57"/>
      <c r="I4100" s="44"/>
      <c r="J4100" s="44"/>
      <c r="K4100" s="44"/>
      <c r="L4100" s="152" t="s">
        <v>1247</v>
      </c>
    </row>
    <row r="4101" spans="3:15" s="59" customFormat="1" ht="21" customHeight="1">
      <c r="C4101" s="588">
        <v>1</v>
      </c>
      <c r="D4101" s="56" t="s">
        <v>5</v>
      </c>
      <c r="E4101" s="577" t="s">
        <v>6</v>
      </c>
      <c r="F4101" s="62">
        <v>0.20699999999999999</v>
      </c>
      <c r="G4101" s="63">
        <f>VLOOKUP(D4101,upahbahan,3,FALSE)</f>
        <v>100000</v>
      </c>
      <c r="H4101" s="63">
        <f>F4101*G4101</f>
        <v>20700</v>
      </c>
      <c r="I4101" s="44"/>
      <c r="J4101" s="44"/>
      <c r="K4101" s="44"/>
      <c r="L4101" s="152" t="s">
        <v>1248</v>
      </c>
      <c r="O4101" s="65">
        <v>0.1</v>
      </c>
    </row>
    <row r="4102" spans="3:15" s="59" customFormat="1" ht="21" customHeight="1">
      <c r="C4102" s="588">
        <v>2</v>
      </c>
      <c r="D4102" s="56" t="s">
        <v>10</v>
      </c>
      <c r="E4102" s="577" t="s">
        <v>6</v>
      </c>
      <c r="F4102" s="62">
        <v>0.34599999999999997</v>
      </c>
      <c r="G4102" s="63">
        <f>VLOOKUP(D4102,upahbahan,3,FALSE)</f>
        <v>135000</v>
      </c>
      <c r="H4102" s="63">
        <f>F4102*G4102</f>
        <v>46710</v>
      </c>
      <c r="I4102" s="44"/>
      <c r="J4102" s="44"/>
      <c r="K4102" s="44"/>
    </row>
    <row r="4103" spans="3:15" s="59" customFormat="1" ht="21" customHeight="1">
      <c r="C4103" s="588">
        <v>3</v>
      </c>
      <c r="D4103" s="56" t="s">
        <v>18</v>
      </c>
      <c r="E4103" s="577" t="s">
        <v>6</v>
      </c>
      <c r="F4103" s="62">
        <v>3.5000000000000003E-2</v>
      </c>
      <c r="G4103" s="63">
        <f>VLOOKUP(D4103,upahbahan,3,FALSE)</f>
        <v>150000</v>
      </c>
      <c r="H4103" s="63">
        <f>F4103*G4103</f>
        <v>5250.0000000000009</v>
      </c>
      <c r="I4103" s="44"/>
      <c r="J4103" s="44"/>
      <c r="K4103" s="44"/>
    </row>
    <row r="4104" spans="3:15" s="59" customFormat="1" ht="21" customHeight="1">
      <c r="C4104" s="588">
        <v>4</v>
      </c>
      <c r="D4104" s="56" t="s">
        <v>19</v>
      </c>
      <c r="E4104" s="577" t="s">
        <v>6</v>
      </c>
      <c r="F4104" s="62">
        <v>0.01</v>
      </c>
      <c r="G4104" s="63">
        <f>VLOOKUP(D4104,upahbahan,3,FALSE)</f>
        <v>160000</v>
      </c>
      <c r="H4104" s="63">
        <f>F4104*G4104</f>
        <v>1600</v>
      </c>
      <c r="I4104" s="44"/>
      <c r="J4104" s="44"/>
      <c r="K4104" s="44"/>
    </row>
    <row r="4105" spans="3:15" s="59" customFormat="1" ht="21" customHeight="1">
      <c r="C4105" s="450" t="s">
        <v>1208</v>
      </c>
      <c r="D4105" s="67"/>
      <c r="E4105" s="67"/>
      <c r="F4105" s="142"/>
      <c r="G4105" s="153"/>
      <c r="H4105" s="63">
        <f>SUM(H4101:H4104)</f>
        <v>74260</v>
      </c>
      <c r="I4105" s="154"/>
      <c r="J4105" s="154"/>
      <c r="K4105" s="154"/>
    </row>
    <row r="4106" spans="3:15" s="59" customFormat="1" ht="21" customHeight="1">
      <c r="C4106" s="61" t="s">
        <v>1209</v>
      </c>
      <c r="D4106" s="56" t="s">
        <v>1210</v>
      </c>
      <c r="E4106" s="57"/>
      <c r="F4106" s="57"/>
      <c r="G4106" s="57"/>
      <c r="H4106" s="57"/>
      <c r="I4106" s="44"/>
      <c r="J4106" s="44"/>
      <c r="K4106" s="44"/>
    </row>
    <row r="4107" spans="3:15" s="59" customFormat="1" ht="21" customHeight="1">
      <c r="C4107" s="61">
        <v>1</v>
      </c>
      <c r="D4107" s="56" t="s">
        <v>4252</v>
      </c>
      <c r="E4107" s="93" t="s">
        <v>135</v>
      </c>
      <c r="F4107" s="104">
        <v>1.1499999999999999</v>
      </c>
      <c r="G4107" s="63">
        <f>VLOOKUP(D4107,upahbahan,3,FALSE)</f>
        <v>123000</v>
      </c>
      <c r="H4107" s="586">
        <f>G4107*F4107</f>
        <v>141450</v>
      </c>
      <c r="I4107" s="44"/>
      <c r="J4107" s="44"/>
      <c r="K4107" s="44"/>
    </row>
    <row r="4108" spans="3:15" s="59" customFormat="1" ht="21" customHeight="1">
      <c r="C4108" s="61">
        <v>2</v>
      </c>
      <c r="D4108" s="56" t="s">
        <v>4013</v>
      </c>
      <c r="E4108" s="93" t="s">
        <v>135</v>
      </c>
      <c r="F4108" s="104">
        <v>1</v>
      </c>
      <c r="G4108" s="63">
        <f>VLOOKUP(D4108,upahbahan,3,FALSE)</f>
        <v>2315000</v>
      </c>
      <c r="H4108" s="586">
        <f>G4108*F4108</f>
        <v>2315000</v>
      </c>
      <c r="I4108" s="44"/>
      <c r="J4108" s="44"/>
      <c r="K4108" s="44"/>
    </row>
    <row r="4109" spans="3:15" s="59" customFormat="1" ht="21" customHeight="1">
      <c r="C4109" s="450" t="s">
        <v>1214</v>
      </c>
      <c r="D4109" s="67"/>
      <c r="E4109" s="67"/>
      <c r="F4109" s="67"/>
      <c r="G4109" s="69"/>
      <c r="H4109" s="63">
        <f>SUM(H4107:H4108)</f>
        <v>2456450</v>
      </c>
      <c r="I4109" s="44"/>
      <c r="J4109" s="44"/>
      <c r="K4109" s="44"/>
    </row>
    <row r="4110" spans="3:15" s="59" customFormat="1" ht="21" customHeight="1">
      <c r="C4110" s="61" t="s">
        <v>1215</v>
      </c>
      <c r="D4110" s="56" t="s">
        <v>1216</v>
      </c>
      <c r="E4110" s="57"/>
      <c r="F4110" s="57"/>
      <c r="G4110" s="57"/>
      <c r="H4110" s="57"/>
      <c r="I4110" s="44"/>
      <c r="J4110" s="44"/>
      <c r="K4110" s="44"/>
    </row>
    <row r="4111" spans="3:15" s="59" customFormat="1" ht="21" customHeight="1">
      <c r="C4111" s="450" t="s">
        <v>1217</v>
      </c>
      <c r="D4111" s="67"/>
      <c r="E4111" s="67"/>
      <c r="F4111" s="67"/>
      <c r="G4111" s="69"/>
      <c r="H4111" s="589">
        <v>0</v>
      </c>
      <c r="I4111" s="44"/>
      <c r="J4111" s="44"/>
      <c r="K4111" s="44"/>
    </row>
    <row r="4112" spans="3:15" s="59" customFormat="1" ht="21" customHeight="1">
      <c r="C4112" s="288" t="s">
        <v>1218</v>
      </c>
      <c r="D4112" s="76" t="s">
        <v>1219</v>
      </c>
      <c r="E4112" s="77"/>
      <c r="F4112" s="77"/>
      <c r="G4112" s="78"/>
      <c r="H4112" s="585">
        <f>H4111+H4109+H4105</f>
        <v>2530710</v>
      </c>
      <c r="I4112" s="369"/>
      <c r="J4112" s="44"/>
      <c r="K4112" s="44"/>
    </row>
    <row r="4113" spans="3:15" s="59" customFormat="1" ht="21" customHeight="1">
      <c r="C4113" s="288" t="s">
        <v>1220</v>
      </c>
      <c r="D4113" s="76" t="s">
        <v>1321</v>
      </c>
      <c r="E4113" s="77"/>
      <c r="F4113" s="78"/>
      <c r="G4113" s="80">
        <v>0.1</v>
      </c>
      <c r="H4113" s="63">
        <f>H4112*G4113</f>
        <v>253071</v>
      </c>
      <c r="I4113" s="369"/>
      <c r="J4113" s="44"/>
      <c r="K4113" s="44"/>
    </row>
    <row r="4114" spans="3:15" s="59" customFormat="1" ht="21" customHeight="1">
      <c r="C4114" s="288" t="s">
        <v>1221</v>
      </c>
      <c r="D4114" s="76" t="s">
        <v>1222</v>
      </c>
      <c r="E4114" s="77"/>
      <c r="F4114" s="77"/>
      <c r="G4114" s="78"/>
      <c r="H4114" s="799">
        <f>SUM(H4112:H4113)</f>
        <v>2783781</v>
      </c>
      <c r="I4114" s="369"/>
      <c r="J4114" s="44"/>
      <c r="K4114" s="44"/>
    </row>
    <row r="4115" spans="3:15" ht="21" customHeight="1"/>
    <row r="4116" spans="3:15" s="59" customFormat="1" ht="21" customHeight="1">
      <c r="C4116" s="147" t="s">
        <v>5451</v>
      </c>
      <c r="D4116" s="794" t="s">
        <v>4243</v>
      </c>
      <c r="E4116" s="795"/>
      <c r="F4116" s="795"/>
      <c r="G4116" s="795"/>
      <c r="H4116" s="795"/>
      <c r="I4116" s="50">
        <f>ROUNDDOWN(H4132,-2)</f>
        <v>3447400</v>
      </c>
      <c r="J4116" s="50"/>
      <c r="K4116" s="50"/>
    </row>
    <row r="4117" spans="3:15" s="59" customFormat="1" ht="21" customHeight="1">
      <c r="C4117" s="591" t="s">
        <v>1195</v>
      </c>
      <c r="D4117" s="591" t="s">
        <v>1196</v>
      </c>
      <c r="E4117" s="591" t="s">
        <v>1197</v>
      </c>
      <c r="F4117" s="591" t="s">
        <v>1198</v>
      </c>
      <c r="G4117" s="591" t="s">
        <v>1199</v>
      </c>
      <c r="H4117" s="591" t="s">
        <v>1200</v>
      </c>
      <c r="I4117" s="44"/>
      <c r="J4117" s="44"/>
      <c r="K4117" s="44"/>
    </row>
    <row r="4118" spans="3:15" s="59" customFormat="1" ht="21" customHeight="1">
      <c r="C4118" s="61" t="s">
        <v>1201</v>
      </c>
      <c r="D4118" s="56" t="s">
        <v>1202</v>
      </c>
      <c r="E4118" s="57"/>
      <c r="F4118" s="57"/>
      <c r="G4118" s="57"/>
      <c r="H4118" s="57"/>
      <c r="I4118" s="44"/>
      <c r="J4118" s="44"/>
      <c r="K4118" s="44"/>
      <c r="L4118" s="152" t="s">
        <v>1247</v>
      </c>
    </row>
    <row r="4119" spans="3:15" s="59" customFormat="1" ht="21" customHeight="1">
      <c r="C4119" s="588">
        <v>1</v>
      </c>
      <c r="D4119" s="56" t="s">
        <v>5</v>
      </c>
      <c r="E4119" s="577" t="s">
        <v>6</v>
      </c>
      <c r="F4119" s="62">
        <v>0.47099999999999997</v>
      </c>
      <c r="G4119" s="63">
        <f>VLOOKUP(D4119,upahbahan,3,FALSE)</f>
        <v>100000</v>
      </c>
      <c r="H4119" s="63">
        <f>F4119*G4119</f>
        <v>47100</v>
      </c>
      <c r="I4119" s="44"/>
      <c r="J4119" s="44"/>
      <c r="K4119" s="44"/>
      <c r="L4119" s="152" t="s">
        <v>1248</v>
      </c>
      <c r="O4119" s="65">
        <v>0.1</v>
      </c>
    </row>
    <row r="4120" spans="3:15" s="59" customFormat="1" ht="21" customHeight="1">
      <c r="C4120" s="588">
        <v>2</v>
      </c>
      <c r="D4120" s="56" t="s">
        <v>10</v>
      </c>
      <c r="E4120" s="577" t="s">
        <v>6</v>
      </c>
      <c r="F4120" s="62">
        <v>0.78700000000000003</v>
      </c>
      <c r="G4120" s="63">
        <f>VLOOKUP(D4120,upahbahan,3,FALSE)</f>
        <v>135000</v>
      </c>
      <c r="H4120" s="63">
        <f>F4120*G4120</f>
        <v>106245</v>
      </c>
      <c r="I4120" s="44"/>
      <c r="J4120" s="44"/>
      <c r="K4120" s="44"/>
    </row>
    <row r="4121" spans="3:15" s="59" customFormat="1" ht="21" customHeight="1">
      <c r="C4121" s="588">
        <v>3</v>
      </c>
      <c r="D4121" s="56" t="s">
        <v>18</v>
      </c>
      <c r="E4121" s="577" t="s">
        <v>6</v>
      </c>
      <c r="F4121" s="62">
        <v>7.9000000000000001E-2</v>
      </c>
      <c r="G4121" s="63">
        <f>VLOOKUP(D4121,upahbahan,3,FALSE)</f>
        <v>150000</v>
      </c>
      <c r="H4121" s="63">
        <f>F4121*G4121</f>
        <v>11850</v>
      </c>
      <c r="I4121" s="44"/>
      <c r="J4121" s="44"/>
      <c r="K4121" s="44"/>
    </row>
    <row r="4122" spans="3:15" s="59" customFormat="1" ht="21" customHeight="1">
      <c r="C4122" s="588">
        <v>4</v>
      </c>
      <c r="D4122" s="56" t="s">
        <v>19</v>
      </c>
      <c r="E4122" s="577" t="s">
        <v>6</v>
      </c>
      <c r="F4122" s="62">
        <v>2.4E-2</v>
      </c>
      <c r="G4122" s="63">
        <f>VLOOKUP(D4122,upahbahan,3,FALSE)</f>
        <v>160000</v>
      </c>
      <c r="H4122" s="63">
        <f>F4122*G4122</f>
        <v>3840</v>
      </c>
      <c r="I4122" s="44"/>
      <c r="J4122" s="44"/>
      <c r="K4122" s="44"/>
    </row>
    <row r="4123" spans="3:15" s="59" customFormat="1" ht="21" customHeight="1">
      <c r="C4123" s="450" t="s">
        <v>1208</v>
      </c>
      <c r="D4123" s="67"/>
      <c r="E4123" s="67"/>
      <c r="F4123" s="142"/>
      <c r="G4123" s="153"/>
      <c r="H4123" s="63">
        <f>SUM(H4119:H4122)</f>
        <v>169035</v>
      </c>
      <c r="I4123" s="154"/>
      <c r="J4123" s="154"/>
      <c r="K4123" s="154"/>
    </row>
    <row r="4124" spans="3:15" s="59" customFormat="1" ht="21" customHeight="1">
      <c r="C4124" s="61" t="s">
        <v>1209</v>
      </c>
      <c r="D4124" s="56" t="s">
        <v>1210</v>
      </c>
      <c r="E4124" s="57"/>
      <c r="F4124" s="57"/>
      <c r="G4124" s="57"/>
      <c r="H4124" s="57"/>
      <c r="I4124" s="44"/>
      <c r="J4124" s="44"/>
      <c r="K4124" s="44"/>
    </row>
    <row r="4125" spans="3:15" s="59" customFormat="1" ht="21" customHeight="1">
      <c r="C4125" s="61">
        <v>1</v>
      </c>
      <c r="D4125" s="56" t="s">
        <v>4254</v>
      </c>
      <c r="E4125" s="93" t="s">
        <v>135</v>
      </c>
      <c r="F4125" s="104">
        <v>1.3</v>
      </c>
      <c r="G4125" s="63">
        <f>VLOOKUP(D4125,upahbahan,3,FALSE)</f>
        <v>165400</v>
      </c>
      <c r="H4125" s="586">
        <f>G4125*F4125</f>
        <v>215020</v>
      </c>
      <c r="I4125" s="44"/>
      <c r="J4125" s="44"/>
      <c r="K4125" s="44"/>
    </row>
    <row r="4126" spans="3:15" s="59" customFormat="1" ht="21" customHeight="1">
      <c r="C4126" s="61">
        <v>2</v>
      </c>
      <c r="D4126" s="56" t="s">
        <v>4017</v>
      </c>
      <c r="E4126" s="93" t="s">
        <v>135</v>
      </c>
      <c r="F4126" s="104">
        <v>1</v>
      </c>
      <c r="G4126" s="63">
        <f>VLOOKUP(D4126,upahbahan,3,FALSE)</f>
        <v>2750000</v>
      </c>
      <c r="H4126" s="586">
        <f>G4126*F4126</f>
        <v>2750000</v>
      </c>
      <c r="I4126" s="44"/>
      <c r="J4126" s="44"/>
      <c r="K4126" s="44"/>
    </row>
    <row r="4127" spans="3:15" s="59" customFormat="1" ht="21" customHeight="1">
      <c r="C4127" s="450" t="s">
        <v>1214</v>
      </c>
      <c r="D4127" s="67"/>
      <c r="E4127" s="67"/>
      <c r="F4127" s="67"/>
      <c r="G4127" s="69"/>
      <c r="H4127" s="63">
        <f>SUM(H4125:H4126)</f>
        <v>2965020</v>
      </c>
      <c r="I4127" s="44"/>
      <c r="J4127" s="44"/>
      <c r="K4127" s="44"/>
    </row>
    <row r="4128" spans="3:15" s="59" customFormat="1" ht="21" customHeight="1">
      <c r="C4128" s="61" t="s">
        <v>1215</v>
      </c>
      <c r="D4128" s="56" t="s">
        <v>1216</v>
      </c>
      <c r="E4128" s="57"/>
      <c r="F4128" s="57"/>
      <c r="G4128" s="57"/>
      <c r="H4128" s="57"/>
      <c r="I4128" s="44"/>
      <c r="J4128" s="44"/>
      <c r="K4128" s="44"/>
    </row>
    <row r="4129" spans="3:15" s="59" customFormat="1" ht="21" customHeight="1">
      <c r="C4129" s="450" t="s">
        <v>1217</v>
      </c>
      <c r="D4129" s="67"/>
      <c r="E4129" s="67"/>
      <c r="F4129" s="67"/>
      <c r="G4129" s="69"/>
      <c r="H4129" s="589">
        <v>0</v>
      </c>
      <c r="I4129" s="44"/>
      <c r="J4129" s="44"/>
      <c r="K4129" s="44"/>
    </row>
    <row r="4130" spans="3:15" s="59" customFormat="1" ht="21" customHeight="1">
      <c r="C4130" s="288" t="s">
        <v>1218</v>
      </c>
      <c r="D4130" s="76" t="s">
        <v>1219</v>
      </c>
      <c r="E4130" s="77"/>
      <c r="F4130" s="77"/>
      <c r="G4130" s="78"/>
      <c r="H4130" s="585">
        <f>H4129+H4127+H4123</f>
        <v>3134055</v>
      </c>
      <c r="I4130" s="369"/>
      <c r="J4130" s="44"/>
      <c r="K4130" s="44"/>
    </row>
    <row r="4131" spans="3:15" s="59" customFormat="1" ht="21" customHeight="1">
      <c r="C4131" s="288" t="s">
        <v>1220</v>
      </c>
      <c r="D4131" s="76" t="s">
        <v>1321</v>
      </c>
      <c r="E4131" s="77"/>
      <c r="F4131" s="78"/>
      <c r="G4131" s="80">
        <v>0.1</v>
      </c>
      <c r="H4131" s="63">
        <f>H4130*G4131</f>
        <v>313405.5</v>
      </c>
      <c r="I4131" s="369"/>
      <c r="J4131" s="44"/>
      <c r="K4131" s="44"/>
    </row>
    <row r="4132" spans="3:15" s="59" customFormat="1" ht="21" customHeight="1">
      <c r="C4132" s="288" t="s">
        <v>1221</v>
      </c>
      <c r="D4132" s="76" t="s">
        <v>1222</v>
      </c>
      <c r="E4132" s="77"/>
      <c r="F4132" s="77"/>
      <c r="G4132" s="78"/>
      <c r="H4132" s="799">
        <f>SUM(H4130:H4131)</f>
        <v>3447460.5</v>
      </c>
      <c r="I4132" s="369"/>
      <c r="J4132" s="44"/>
      <c r="K4132" s="44"/>
    </row>
    <row r="4133" spans="3:15" ht="21" customHeight="1"/>
    <row r="4134" spans="3:15" s="59" customFormat="1" ht="21" customHeight="1">
      <c r="C4134" s="147" t="s">
        <v>5452</v>
      </c>
      <c r="D4134" s="794" t="s">
        <v>4246</v>
      </c>
      <c r="E4134" s="795"/>
      <c r="F4134" s="795"/>
      <c r="G4134" s="795"/>
      <c r="H4134" s="795"/>
      <c r="I4134" s="50">
        <f>ROUNDDOWN(H4150,-2)</f>
        <v>3855800</v>
      </c>
      <c r="J4134" s="50"/>
      <c r="K4134" s="50"/>
    </row>
    <row r="4135" spans="3:15" s="59" customFormat="1" ht="21" customHeight="1">
      <c r="C4135" s="591" t="s">
        <v>1195</v>
      </c>
      <c r="D4135" s="591" t="s">
        <v>1196</v>
      </c>
      <c r="E4135" s="591" t="s">
        <v>1197</v>
      </c>
      <c r="F4135" s="591" t="s">
        <v>1198</v>
      </c>
      <c r="G4135" s="591" t="s">
        <v>1199</v>
      </c>
      <c r="H4135" s="591" t="s">
        <v>1200</v>
      </c>
      <c r="I4135" s="44"/>
      <c r="J4135" s="44"/>
      <c r="K4135" s="44"/>
    </row>
    <row r="4136" spans="3:15" s="59" customFormat="1" ht="21" customHeight="1">
      <c r="C4136" s="61" t="s">
        <v>1201</v>
      </c>
      <c r="D4136" s="56" t="s">
        <v>1202</v>
      </c>
      <c r="E4136" s="57"/>
      <c r="F4136" s="57"/>
      <c r="G4136" s="57"/>
      <c r="H4136" s="57"/>
      <c r="I4136" s="44"/>
      <c r="J4136" s="44"/>
      <c r="K4136" s="44"/>
      <c r="L4136" s="152" t="s">
        <v>1247</v>
      </c>
    </row>
    <row r="4137" spans="3:15" s="59" customFormat="1" ht="21" customHeight="1">
      <c r="C4137" s="588">
        <v>1</v>
      </c>
      <c r="D4137" s="56" t="s">
        <v>5</v>
      </c>
      <c r="E4137" s="577" t="s">
        <v>6</v>
      </c>
      <c r="F4137" s="62">
        <v>0.63100000000000001</v>
      </c>
      <c r="G4137" s="63">
        <f>VLOOKUP(D4137,upahbahan,3,FALSE)</f>
        <v>100000</v>
      </c>
      <c r="H4137" s="63">
        <f>F4137*G4137</f>
        <v>63100</v>
      </c>
      <c r="I4137" s="44"/>
      <c r="J4137" s="44"/>
      <c r="K4137" s="44"/>
      <c r="L4137" s="152" t="s">
        <v>1248</v>
      </c>
      <c r="O4137" s="65">
        <v>0.1</v>
      </c>
    </row>
    <row r="4138" spans="3:15" s="59" customFormat="1" ht="21" customHeight="1">
      <c r="C4138" s="588">
        <v>2</v>
      </c>
      <c r="D4138" s="56" t="s">
        <v>10</v>
      </c>
      <c r="E4138" s="577" t="s">
        <v>6</v>
      </c>
      <c r="F4138" s="62">
        <v>1.054</v>
      </c>
      <c r="G4138" s="63">
        <f>VLOOKUP(D4138,upahbahan,3,FALSE)</f>
        <v>135000</v>
      </c>
      <c r="H4138" s="63">
        <f>F4138*G4138</f>
        <v>142290</v>
      </c>
      <c r="I4138" s="44"/>
      <c r="J4138" s="44"/>
      <c r="K4138" s="44"/>
    </row>
    <row r="4139" spans="3:15" s="59" customFormat="1" ht="21" customHeight="1">
      <c r="C4139" s="588">
        <v>3</v>
      </c>
      <c r="D4139" s="56" t="s">
        <v>18</v>
      </c>
      <c r="E4139" s="577" t="s">
        <v>6</v>
      </c>
      <c r="F4139" s="62">
        <v>0.105</v>
      </c>
      <c r="G4139" s="63">
        <f>VLOOKUP(D4139,upahbahan,3,FALSE)</f>
        <v>150000</v>
      </c>
      <c r="H4139" s="63">
        <f>F4139*G4139</f>
        <v>15750</v>
      </c>
      <c r="I4139" s="44"/>
      <c r="J4139" s="44"/>
      <c r="K4139" s="44"/>
    </row>
    <row r="4140" spans="3:15" s="59" customFormat="1" ht="21" customHeight="1">
      <c r="C4140" s="588">
        <v>4</v>
      </c>
      <c r="D4140" s="56" t="s">
        <v>19</v>
      </c>
      <c r="E4140" s="577" t="s">
        <v>6</v>
      </c>
      <c r="F4140" s="62">
        <v>3.2000000000000001E-2</v>
      </c>
      <c r="G4140" s="63">
        <f>VLOOKUP(D4140,upahbahan,3,FALSE)</f>
        <v>160000</v>
      </c>
      <c r="H4140" s="63">
        <f>F4140*G4140</f>
        <v>5120</v>
      </c>
      <c r="I4140" s="44"/>
      <c r="J4140" s="44"/>
      <c r="K4140" s="44"/>
    </row>
    <row r="4141" spans="3:15" s="59" customFormat="1" ht="21" customHeight="1">
      <c r="C4141" s="450" t="s">
        <v>1208</v>
      </c>
      <c r="D4141" s="67"/>
      <c r="E4141" s="67"/>
      <c r="F4141" s="142"/>
      <c r="G4141" s="153"/>
      <c r="H4141" s="63">
        <f>SUM(H4137:H4140)</f>
        <v>226260</v>
      </c>
      <c r="I4141" s="154"/>
      <c r="J4141" s="154"/>
      <c r="K4141" s="154"/>
    </row>
    <row r="4142" spans="3:15" s="59" customFormat="1" ht="21" customHeight="1">
      <c r="C4142" s="61" t="s">
        <v>1209</v>
      </c>
      <c r="D4142" s="56" t="s">
        <v>1210</v>
      </c>
      <c r="E4142" s="57"/>
      <c r="F4142" s="57"/>
      <c r="G4142" s="57"/>
      <c r="H4142" s="57"/>
      <c r="I4142" s="44"/>
      <c r="J4142" s="44"/>
      <c r="K4142" s="44"/>
    </row>
    <row r="4143" spans="3:15" s="59" customFormat="1" ht="21" customHeight="1">
      <c r="C4143" s="61">
        <v>1</v>
      </c>
      <c r="D4143" s="56" t="s">
        <v>4255</v>
      </c>
      <c r="E4143" s="93" t="s">
        <v>3182</v>
      </c>
      <c r="F4143" s="104">
        <v>1.3</v>
      </c>
      <c r="G4143" s="63">
        <f>VLOOKUP(D4143,upahbahan,3,FALSE)</f>
        <v>218500</v>
      </c>
      <c r="H4143" s="586">
        <f>G4143*F4143</f>
        <v>284050</v>
      </c>
      <c r="I4143" s="44"/>
      <c r="J4143" s="44"/>
      <c r="K4143" s="44"/>
    </row>
    <row r="4144" spans="3:15" s="59" customFormat="1" ht="21" customHeight="1">
      <c r="C4144" s="61">
        <v>2</v>
      </c>
      <c r="D4144" s="56" t="s">
        <v>4019</v>
      </c>
      <c r="E4144" s="93" t="s">
        <v>135</v>
      </c>
      <c r="F4144" s="104">
        <v>1</v>
      </c>
      <c r="G4144" s="63">
        <f>VLOOKUP(D4144,upahbahan,3,FALSE)</f>
        <v>2995000</v>
      </c>
      <c r="H4144" s="586">
        <f>G4144*F4144</f>
        <v>2995000</v>
      </c>
      <c r="I4144" s="44"/>
      <c r="J4144" s="44"/>
      <c r="K4144" s="44"/>
    </row>
    <row r="4145" spans="3:15" s="59" customFormat="1" ht="21" customHeight="1">
      <c r="C4145" s="450" t="s">
        <v>1214</v>
      </c>
      <c r="D4145" s="67"/>
      <c r="E4145" s="67"/>
      <c r="F4145" s="67"/>
      <c r="G4145" s="69"/>
      <c r="H4145" s="63">
        <f>SUM(H4143:H4144)</f>
        <v>3279050</v>
      </c>
      <c r="I4145" s="44"/>
      <c r="J4145" s="44"/>
      <c r="K4145" s="44"/>
    </row>
    <row r="4146" spans="3:15" s="59" customFormat="1" ht="21" customHeight="1">
      <c r="C4146" s="61" t="s">
        <v>1215</v>
      </c>
      <c r="D4146" s="56" t="s">
        <v>1216</v>
      </c>
      <c r="E4146" s="57"/>
      <c r="F4146" s="57"/>
      <c r="G4146" s="57"/>
      <c r="H4146" s="57"/>
      <c r="I4146" s="44"/>
      <c r="J4146" s="44"/>
      <c r="K4146" s="44"/>
    </row>
    <row r="4147" spans="3:15" s="59" customFormat="1" ht="21" customHeight="1">
      <c r="C4147" s="450" t="s">
        <v>1217</v>
      </c>
      <c r="D4147" s="67"/>
      <c r="E4147" s="67"/>
      <c r="F4147" s="67"/>
      <c r="G4147" s="69"/>
      <c r="H4147" s="589">
        <v>0</v>
      </c>
      <c r="I4147" s="44"/>
      <c r="J4147" s="44"/>
      <c r="K4147" s="44"/>
    </row>
    <row r="4148" spans="3:15" s="59" customFormat="1" ht="21" customHeight="1">
      <c r="C4148" s="288" t="s">
        <v>1218</v>
      </c>
      <c r="D4148" s="76" t="s">
        <v>1219</v>
      </c>
      <c r="E4148" s="77"/>
      <c r="F4148" s="77"/>
      <c r="G4148" s="78"/>
      <c r="H4148" s="585">
        <f>H4147+H4145+H4141</f>
        <v>3505310</v>
      </c>
      <c r="I4148" s="369"/>
      <c r="J4148" s="44"/>
      <c r="K4148" s="44"/>
    </row>
    <row r="4149" spans="3:15" s="59" customFormat="1" ht="21" customHeight="1">
      <c r="C4149" s="288" t="s">
        <v>1220</v>
      </c>
      <c r="D4149" s="76" t="s">
        <v>1321</v>
      </c>
      <c r="E4149" s="77"/>
      <c r="F4149" s="78"/>
      <c r="G4149" s="80">
        <v>0.1</v>
      </c>
      <c r="H4149" s="63">
        <f>H4148*G4149</f>
        <v>350531</v>
      </c>
      <c r="I4149" s="369"/>
      <c r="J4149" s="44"/>
      <c r="K4149" s="44"/>
    </row>
    <row r="4150" spans="3:15" s="59" customFormat="1" ht="21" customHeight="1">
      <c r="C4150" s="288" t="s">
        <v>1221</v>
      </c>
      <c r="D4150" s="76" t="s">
        <v>1222</v>
      </c>
      <c r="E4150" s="77"/>
      <c r="F4150" s="77"/>
      <c r="G4150" s="78"/>
      <c r="H4150" s="799">
        <f>SUM(H4148:H4149)</f>
        <v>3855841</v>
      </c>
      <c r="I4150" s="369"/>
      <c r="J4150" s="44"/>
      <c r="K4150" s="44"/>
    </row>
    <row r="4151" spans="3:15" ht="21" customHeight="1"/>
    <row r="4152" spans="3:15" s="59" customFormat="1" ht="21" customHeight="1">
      <c r="C4152" s="147" t="s">
        <v>5453</v>
      </c>
      <c r="D4152" s="794" t="s">
        <v>4247</v>
      </c>
      <c r="E4152" s="795"/>
      <c r="F4152" s="795"/>
      <c r="G4152" s="795"/>
      <c r="H4152" s="795"/>
      <c r="I4152" s="50">
        <f>ROUNDDOWN(H4168,-2)</f>
        <v>3792800</v>
      </c>
      <c r="J4152" s="50"/>
      <c r="K4152" s="50"/>
    </row>
    <row r="4153" spans="3:15" s="59" customFormat="1" ht="21" customHeight="1">
      <c r="C4153" s="591" t="s">
        <v>1195</v>
      </c>
      <c r="D4153" s="591" t="s">
        <v>1196</v>
      </c>
      <c r="E4153" s="591" t="s">
        <v>1197</v>
      </c>
      <c r="F4153" s="591" t="s">
        <v>1198</v>
      </c>
      <c r="G4153" s="591" t="s">
        <v>1199</v>
      </c>
      <c r="H4153" s="591" t="s">
        <v>1200</v>
      </c>
      <c r="I4153" s="44"/>
      <c r="J4153" s="44"/>
      <c r="K4153" s="44"/>
    </row>
    <row r="4154" spans="3:15" s="59" customFormat="1" ht="21" customHeight="1">
      <c r="C4154" s="61" t="s">
        <v>1201</v>
      </c>
      <c r="D4154" s="56" t="s">
        <v>1202</v>
      </c>
      <c r="E4154" s="57"/>
      <c r="F4154" s="57"/>
      <c r="G4154" s="57"/>
      <c r="H4154" s="57"/>
      <c r="I4154" s="44"/>
      <c r="J4154" s="44"/>
      <c r="K4154" s="44"/>
      <c r="L4154" s="152" t="s">
        <v>1247</v>
      </c>
    </row>
    <row r="4155" spans="3:15" s="59" customFormat="1" ht="21" customHeight="1">
      <c r="C4155" s="588">
        <v>1</v>
      </c>
      <c r="D4155" s="56" t="s">
        <v>5</v>
      </c>
      <c r="E4155" s="577" t="s">
        <v>6</v>
      </c>
      <c r="F4155" s="62">
        <v>0.47099999999999997</v>
      </c>
      <c r="G4155" s="63">
        <f>VLOOKUP(D4155,upahbahan,3,FALSE)</f>
        <v>100000</v>
      </c>
      <c r="H4155" s="63">
        <f>F4155*G4155</f>
        <v>47100</v>
      </c>
      <c r="I4155" s="44"/>
      <c r="J4155" s="44"/>
      <c r="K4155" s="44"/>
      <c r="L4155" s="152" t="s">
        <v>1248</v>
      </c>
      <c r="O4155" s="65">
        <v>0.1</v>
      </c>
    </row>
    <row r="4156" spans="3:15" s="59" customFormat="1" ht="21" customHeight="1">
      <c r="C4156" s="588">
        <v>2</v>
      </c>
      <c r="D4156" s="56" t="s">
        <v>10</v>
      </c>
      <c r="E4156" s="577" t="s">
        <v>6</v>
      </c>
      <c r="F4156" s="62">
        <v>0.78700000000000003</v>
      </c>
      <c r="G4156" s="63">
        <f>VLOOKUP(D4156,upahbahan,3,FALSE)</f>
        <v>135000</v>
      </c>
      <c r="H4156" s="63">
        <f>F4156*G4156</f>
        <v>106245</v>
      </c>
      <c r="I4156" s="44"/>
      <c r="J4156" s="44"/>
      <c r="K4156" s="44"/>
    </row>
    <row r="4157" spans="3:15" s="59" customFormat="1" ht="21" customHeight="1">
      <c r="C4157" s="588">
        <v>3</v>
      </c>
      <c r="D4157" s="56" t="s">
        <v>18</v>
      </c>
      <c r="E4157" s="577" t="s">
        <v>6</v>
      </c>
      <c r="F4157" s="62">
        <v>7.9000000000000001E-2</v>
      </c>
      <c r="G4157" s="63">
        <f>VLOOKUP(D4157,upahbahan,3,FALSE)</f>
        <v>150000</v>
      </c>
      <c r="H4157" s="63">
        <f>F4157*G4157</f>
        <v>11850</v>
      </c>
      <c r="I4157" s="44"/>
      <c r="J4157" s="44"/>
      <c r="K4157" s="44"/>
    </row>
    <row r="4158" spans="3:15" s="59" customFormat="1" ht="21" customHeight="1">
      <c r="C4158" s="588">
        <v>4</v>
      </c>
      <c r="D4158" s="56" t="s">
        <v>19</v>
      </c>
      <c r="E4158" s="577" t="s">
        <v>6</v>
      </c>
      <c r="F4158" s="62">
        <v>2.4E-2</v>
      </c>
      <c r="G4158" s="63">
        <f>VLOOKUP(D4158,upahbahan,3,FALSE)</f>
        <v>160000</v>
      </c>
      <c r="H4158" s="63">
        <f>F4158*G4158</f>
        <v>3840</v>
      </c>
      <c r="I4158" s="44"/>
      <c r="J4158" s="44"/>
      <c r="K4158" s="44"/>
    </row>
    <row r="4159" spans="3:15" s="59" customFormat="1" ht="21" customHeight="1">
      <c r="C4159" s="450" t="s">
        <v>1208</v>
      </c>
      <c r="D4159" s="67"/>
      <c r="E4159" s="67"/>
      <c r="F4159" s="142"/>
      <c r="G4159" s="153"/>
      <c r="H4159" s="63">
        <f>SUM(H4155:H4158)</f>
        <v>169035</v>
      </c>
      <c r="I4159" s="154"/>
      <c r="J4159" s="154"/>
      <c r="K4159" s="154"/>
    </row>
    <row r="4160" spans="3:15" s="59" customFormat="1" ht="21" customHeight="1">
      <c r="C4160" s="61" t="s">
        <v>1209</v>
      </c>
      <c r="D4160" s="56" t="s">
        <v>1210</v>
      </c>
      <c r="E4160" s="57"/>
      <c r="F4160" s="57"/>
      <c r="G4160" s="57"/>
      <c r="H4160" s="57"/>
      <c r="I4160" s="44"/>
      <c r="J4160" s="44"/>
      <c r="K4160" s="44"/>
    </row>
    <row r="4161" spans="3:15" s="59" customFormat="1" ht="21" customHeight="1">
      <c r="C4161" s="61">
        <v>1</v>
      </c>
      <c r="D4161" s="56" t="s">
        <v>4255</v>
      </c>
      <c r="E4161" s="93" t="s">
        <v>135</v>
      </c>
      <c r="F4161" s="104">
        <v>1.3</v>
      </c>
      <c r="G4161" s="63">
        <f>VLOOKUP(D4161,upahbahan,3,FALSE)</f>
        <v>218500</v>
      </c>
      <c r="H4161" s="586">
        <f>G4161*F4161</f>
        <v>284050</v>
      </c>
      <c r="I4161" s="44"/>
      <c r="J4161" s="44"/>
      <c r="K4161" s="44"/>
    </row>
    <row r="4162" spans="3:15" s="59" customFormat="1" ht="21" customHeight="1">
      <c r="C4162" s="61">
        <v>2</v>
      </c>
      <c r="D4162" s="56" t="s">
        <v>4019</v>
      </c>
      <c r="E4162" s="93" t="s">
        <v>135</v>
      </c>
      <c r="F4162" s="104">
        <v>1</v>
      </c>
      <c r="G4162" s="63">
        <f>VLOOKUP(D4162,upahbahan,3,FALSE)</f>
        <v>2995000</v>
      </c>
      <c r="H4162" s="586">
        <f>G4162*F4162</f>
        <v>2995000</v>
      </c>
      <c r="I4162" s="44"/>
      <c r="J4162" s="44"/>
      <c r="K4162" s="44"/>
    </row>
    <row r="4163" spans="3:15" s="59" customFormat="1" ht="21" customHeight="1">
      <c r="C4163" s="450" t="s">
        <v>1214</v>
      </c>
      <c r="D4163" s="67"/>
      <c r="E4163" s="67"/>
      <c r="F4163" s="67"/>
      <c r="G4163" s="69"/>
      <c r="H4163" s="63">
        <f>SUM(H4161:H4162)</f>
        <v>3279050</v>
      </c>
      <c r="I4163" s="44"/>
      <c r="J4163" s="44"/>
      <c r="K4163" s="44"/>
    </row>
    <row r="4164" spans="3:15" s="59" customFormat="1" ht="21" customHeight="1">
      <c r="C4164" s="61" t="s">
        <v>1215</v>
      </c>
      <c r="D4164" s="56" t="s">
        <v>1216</v>
      </c>
      <c r="E4164" s="57"/>
      <c r="F4164" s="57"/>
      <c r="G4164" s="57"/>
      <c r="H4164" s="57"/>
      <c r="I4164" s="44"/>
      <c r="J4164" s="44"/>
      <c r="K4164" s="44"/>
    </row>
    <row r="4165" spans="3:15" s="59" customFormat="1" ht="21" customHeight="1">
      <c r="C4165" s="450" t="s">
        <v>1217</v>
      </c>
      <c r="D4165" s="67"/>
      <c r="E4165" s="67"/>
      <c r="F4165" s="67"/>
      <c r="G4165" s="69"/>
      <c r="H4165" s="589">
        <v>0</v>
      </c>
      <c r="I4165" s="44"/>
      <c r="J4165" s="44"/>
      <c r="K4165" s="44"/>
    </row>
    <row r="4166" spans="3:15" s="59" customFormat="1" ht="21" customHeight="1">
      <c r="C4166" s="288" t="s">
        <v>1218</v>
      </c>
      <c r="D4166" s="76" t="s">
        <v>1219</v>
      </c>
      <c r="E4166" s="77"/>
      <c r="F4166" s="77"/>
      <c r="G4166" s="78"/>
      <c r="H4166" s="585">
        <f>H4165+H4163+H4159</f>
        <v>3448085</v>
      </c>
      <c r="I4166" s="369"/>
      <c r="J4166" s="44"/>
      <c r="K4166" s="44"/>
    </row>
    <row r="4167" spans="3:15" s="59" customFormat="1" ht="21" customHeight="1">
      <c r="C4167" s="288" t="s">
        <v>1220</v>
      </c>
      <c r="D4167" s="76" t="s">
        <v>1321</v>
      </c>
      <c r="E4167" s="77"/>
      <c r="F4167" s="78"/>
      <c r="G4167" s="80">
        <v>0.1</v>
      </c>
      <c r="H4167" s="63">
        <f>H4166*G4167</f>
        <v>344808.5</v>
      </c>
      <c r="I4167" s="369"/>
      <c r="J4167" s="44"/>
      <c r="K4167" s="44"/>
    </row>
    <row r="4168" spans="3:15" s="59" customFormat="1" ht="21" customHeight="1">
      <c r="C4168" s="288" t="s">
        <v>1221</v>
      </c>
      <c r="D4168" s="76" t="s">
        <v>1222</v>
      </c>
      <c r="E4168" s="77"/>
      <c r="F4168" s="77"/>
      <c r="G4168" s="78"/>
      <c r="H4168" s="799">
        <f>SUM(H4166:H4167)</f>
        <v>3792893.5</v>
      </c>
      <c r="I4168" s="369"/>
      <c r="J4168" s="44"/>
      <c r="K4168" s="44"/>
    </row>
    <row r="4169" spans="3:15" ht="21" customHeight="1"/>
    <row r="4170" spans="3:15" s="59" customFormat="1" ht="21" customHeight="1">
      <c r="C4170" s="147" t="s">
        <v>5454</v>
      </c>
      <c r="D4170" s="794" t="s">
        <v>4248</v>
      </c>
      <c r="E4170" s="795"/>
      <c r="F4170" s="795"/>
      <c r="G4170" s="795"/>
      <c r="H4170" s="795"/>
      <c r="I4170" s="50">
        <f>ROUNDDOWN(H4186,-2)</f>
        <v>3510400</v>
      </c>
      <c r="J4170" s="50"/>
      <c r="K4170" s="50"/>
    </row>
    <row r="4171" spans="3:15" s="59" customFormat="1" ht="21" customHeight="1">
      <c r="C4171" s="591" t="s">
        <v>1195</v>
      </c>
      <c r="D4171" s="591" t="s">
        <v>1196</v>
      </c>
      <c r="E4171" s="591" t="s">
        <v>1197</v>
      </c>
      <c r="F4171" s="591" t="s">
        <v>1198</v>
      </c>
      <c r="G4171" s="591" t="s">
        <v>1199</v>
      </c>
      <c r="H4171" s="591" t="s">
        <v>1200</v>
      </c>
      <c r="I4171" s="44"/>
      <c r="J4171" s="44"/>
      <c r="K4171" s="44"/>
    </row>
    <row r="4172" spans="3:15" s="59" customFormat="1" ht="21" customHeight="1">
      <c r="C4172" s="61" t="s">
        <v>1201</v>
      </c>
      <c r="D4172" s="56" t="s">
        <v>1202</v>
      </c>
      <c r="E4172" s="57"/>
      <c r="F4172" s="57"/>
      <c r="G4172" s="57"/>
      <c r="H4172" s="57"/>
      <c r="I4172" s="44"/>
      <c r="J4172" s="44"/>
      <c r="K4172" s="44"/>
      <c r="L4172" s="152" t="s">
        <v>1247</v>
      </c>
    </row>
    <row r="4173" spans="3:15" s="59" customFormat="1" ht="21" customHeight="1">
      <c r="C4173" s="588">
        <v>1</v>
      </c>
      <c r="D4173" s="56" t="s">
        <v>5</v>
      </c>
      <c r="E4173" s="577" t="s">
        <v>6</v>
      </c>
      <c r="F4173" s="62">
        <v>0.63100000000000001</v>
      </c>
      <c r="G4173" s="63">
        <f>VLOOKUP(D4173,upahbahan,3,FALSE)</f>
        <v>100000</v>
      </c>
      <c r="H4173" s="63">
        <f>F4173*G4173</f>
        <v>63100</v>
      </c>
      <c r="I4173" s="44"/>
      <c r="J4173" s="44"/>
      <c r="K4173" s="44"/>
      <c r="L4173" s="152" t="s">
        <v>1248</v>
      </c>
      <c r="O4173" s="65">
        <v>0.1</v>
      </c>
    </row>
    <row r="4174" spans="3:15" s="59" customFormat="1" ht="21" customHeight="1">
      <c r="C4174" s="588">
        <v>2</v>
      </c>
      <c r="D4174" s="56" t="s">
        <v>10</v>
      </c>
      <c r="E4174" s="577" t="s">
        <v>6</v>
      </c>
      <c r="F4174" s="62">
        <v>1.054</v>
      </c>
      <c r="G4174" s="63">
        <f>VLOOKUP(D4174,upahbahan,3,FALSE)</f>
        <v>135000</v>
      </c>
      <c r="H4174" s="63">
        <f>F4174*G4174</f>
        <v>142290</v>
      </c>
      <c r="I4174" s="44"/>
      <c r="J4174" s="44"/>
      <c r="K4174" s="44"/>
    </row>
    <row r="4175" spans="3:15" s="59" customFormat="1" ht="21" customHeight="1">
      <c r="C4175" s="588">
        <v>3</v>
      </c>
      <c r="D4175" s="56" t="s">
        <v>18</v>
      </c>
      <c r="E4175" s="577" t="s">
        <v>6</v>
      </c>
      <c r="F4175" s="62">
        <v>0.105</v>
      </c>
      <c r="G4175" s="63">
        <f>VLOOKUP(D4175,upahbahan,3,FALSE)</f>
        <v>150000</v>
      </c>
      <c r="H4175" s="63">
        <f>F4175*G4175</f>
        <v>15750</v>
      </c>
      <c r="I4175" s="44"/>
      <c r="J4175" s="44"/>
      <c r="K4175" s="44"/>
    </row>
    <row r="4176" spans="3:15" s="59" customFormat="1" ht="21" customHeight="1">
      <c r="C4176" s="588">
        <v>4</v>
      </c>
      <c r="D4176" s="56" t="s">
        <v>19</v>
      </c>
      <c r="E4176" s="577" t="s">
        <v>6</v>
      </c>
      <c r="F4176" s="62">
        <v>3.2000000000000001E-2</v>
      </c>
      <c r="G4176" s="63">
        <f>VLOOKUP(D4176,upahbahan,3,FALSE)</f>
        <v>160000</v>
      </c>
      <c r="H4176" s="63">
        <f>F4176*G4176</f>
        <v>5120</v>
      </c>
      <c r="I4176" s="44"/>
      <c r="J4176" s="44"/>
      <c r="K4176" s="44"/>
    </row>
    <row r="4177" spans="3:12" s="59" customFormat="1" ht="21" customHeight="1">
      <c r="C4177" s="450" t="s">
        <v>1208</v>
      </c>
      <c r="D4177" s="67"/>
      <c r="E4177" s="67"/>
      <c r="F4177" s="142"/>
      <c r="G4177" s="153"/>
      <c r="H4177" s="63">
        <f>SUM(H4173:H4176)</f>
        <v>226260</v>
      </c>
      <c r="I4177" s="154"/>
      <c r="J4177" s="154"/>
      <c r="K4177" s="154"/>
    </row>
    <row r="4178" spans="3:12" s="59" customFormat="1" ht="21" customHeight="1">
      <c r="C4178" s="61" t="s">
        <v>1209</v>
      </c>
      <c r="D4178" s="56" t="s">
        <v>1210</v>
      </c>
      <c r="E4178" s="57"/>
      <c r="F4178" s="57"/>
      <c r="G4178" s="57"/>
      <c r="H4178" s="57"/>
      <c r="I4178" s="44"/>
      <c r="J4178" s="44"/>
      <c r="K4178" s="44"/>
    </row>
    <row r="4179" spans="3:12" s="59" customFormat="1" ht="21" customHeight="1">
      <c r="C4179" s="61">
        <v>1</v>
      </c>
      <c r="D4179" s="56" t="s">
        <v>4254</v>
      </c>
      <c r="E4179" s="93" t="s">
        <v>135</v>
      </c>
      <c r="F4179" s="104">
        <v>1.3</v>
      </c>
      <c r="G4179" s="63">
        <f>VLOOKUP(D4179,upahbahan,3,FALSE)</f>
        <v>165400</v>
      </c>
      <c r="H4179" s="586">
        <f>G4179*F4179</f>
        <v>215020</v>
      </c>
      <c r="I4179" s="44"/>
      <c r="J4179" s="44"/>
      <c r="K4179" s="44"/>
    </row>
    <row r="4180" spans="3:12" s="59" customFormat="1" ht="21" customHeight="1">
      <c r="C4180" s="61">
        <v>2</v>
      </c>
      <c r="D4180" s="56" t="s">
        <v>4017</v>
      </c>
      <c r="E4180" s="93" t="s">
        <v>135</v>
      </c>
      <c r="F4180" s="104">
        <v>1</v>
      </c>
      <c r="G4180" s="63">
        <f>VLOOKUP(D4180,upahbahan,3,FALSE)</f>
        <v>2750000</v>
      </c>
      <c r="H4180" s="586">
        <f>G4180*F4180</f>
        <v>2750000</v>
      </c>
      <c r="I4180" s="44"/>
      <c r="J4180" s="44"/>
      <c r="K4180" s="44"/>
    </row>
    <row r="4181" spans="3:12" s="59" customFormat="1" ht="21" customHeight="1">
      <c r="C4181" s="450" t="s">
        <v>1214</v>
      </c>
      <c r="D4181" s="67"/>
      <c r="E4181" s="67"/>
      <c r="F4181" s="67"/>
      <c r="G4181" s="69"/>
      <c r="H4181" s="63">
        <f>SUM(H4179:H4180)</f>
        <v>2965020</v>
      </c>
      <c r="I4181" s="44"/>
      <c r="J4181" s="44"/>
      <c r="K4181" s="44"/>
    </row>
    <row r="4182" spans="3:12" s="59" customFormat="1" ht="21" customHeight="1">
      <c r="C4182" s="61" t="s">
        <v>1215</v>
      </c>
      <c r="D4182" s="56" t="s">
        <v>1216</v>
      </c>
      <c r="E4182" s="57"/>
      <c r="F4182" s="57"/>
      <c r="G4182" s="57"/>
      <c r="H4182" s="57"/>
      <c r="I4182" s="44"/>
      <c r="J4182" s="44"/>
      <c r="K4182" s="44"/>
    </row>
    <row r="4183" spans="3:12" s="59" customFormat="1" ht="21" customHeight="1">
      <c r="C4183" s="450" t="s">
        <v>1217</v>
      </c>
      <c r="D4183" s="67"/>
      <c r="E4183" s="67"/>
      <c r="F4183" s="67"/>
      <c r="G4183" s="69"/>
      <c r="H4183" s="589">
        <v>0</v>
      </c>
      <c r="I4183" s="44"/>
      <c r="J4183" s="44"/>
      <c r="K4183" s="44"/>
    </row>
    <row r="4184" spans="3:12" s="59" customFormat="1" ht="21" customHeight="1">
      <c r="C4184" s="288" t="s">
        <v>1218</v>
      </c>
      <c r="D4184" s="76" t="s">
        <v>1219</v>
      </c>
      <c r="E4184" s="77"/>
      <c r="F4184" s="77"/>
      <c r="G4184" s="78"/>
      <c r="H4184" s="585">
        <f>H4183+H4181+H4177</f>
        <v>3191280</v>
      </c>
      <c r="I4184" s="369"/>
      <c r="J4184" s="44"/>
      <c r="K4184" s="44"/>
    </row>
    <row r="4185" spans="3:12" s="59" customFormat="1" ht="21" customHeight="1">
      <c r="C4185" s="288" t="s">
        <v>1220</v>
      </c>
      <c r="D4185" s="76" t="s">
        <v>1321</v>
      </c>
      <c r="E4185" s="77"/>
      <c r="F4185" s="78"/>
      <c r="G4185" s="80">
        <v>0.1</v>
      </c>
      <c r="H4185" s="63">
        <f>H4184*G4185</f>
        <v>319128</v>
      </c>
      <c r="I4185" s="369"/>
      <c r="J4185" s="44"/>
      <c r="K4185" s="44"/>
    </row>
    <row r="4186" spans="3:12" s="59" customFormat="1" ht="21" customHeight="1">
      <c r="C4186" s="288" t="s">
        <v>1221</v>
      </c>
      <c r="D4186" s="76" t="s">
        <v>1222</v>
      </c>
      <c r="E4186" s="77"/>
      <c r="F4186" s="77"/>
      <c r="G4186" s="78"/>
      <c r="H4186" s="799">
        <f>SUM(H4184:H4185)</f>
        <v>3510408</v>
      </c>
      <c r="I4186" s="369"/>
      <c r="J4186" s="44"/>
      <c r="K4186" s="44"/>
    </row>
    <row r="4187" spans="3:12" ht="21" customHeight="1"/>
    <row r="4188" spans="3:12" ht="21" customHeight="1"/>
    <row r="4189" spans="3:12" ht="21" customHeight="1">
      <c r="C4189" s="43" t="s">
        <v>5455</v>
      </c>
      <c r="D4189" s="128" t="s">
        <v>4256</v>
      </c>
    </row>
    <row r="4190" spans="3:12" s="59" customFormat="1" ht="21" customHeight="1">
      <c r="C4190" s="147" t="s">
        <v>5456</v>
      </c>
      <c r="D4190" s="794" t="s">
        <v>4257</v>
      </c>
      <c r="E4190" s="795"/>
      <c r="F4190" s="795"/>
      <c r="G4190" s="795"/>
      <c r="H4190" s="795"/>
      <c r="I4190" s="50">
        <f>ROUNDDOWN(H4205,-2)</f>
        <v>363100</v>
      </c>
      <c r="J4190" s="50"/>
      <c r="K4190" s="50"/>
    </row>
    <row r="4191" spans="3:12" s="59" customFormat="1" ht="21" customHeight="1">
      <c r="C4191" s="591" t="s">
        <v>1195</v>
      </c>
      <c r="D4191" s="591" t="s">
        <v>1196</v>
      </c>
      <c r="E4191" s="591" t="s">
        <v>1197</v>
      </c>
      <c r="F4191" s="591" t="s">
        <v>1198</v>
      </c>
      <c r="G4191" s="591" t="s">
        <v>1199</v>
      </c>
      <c r="H4191" s="591" t="s">
        <v>1200</v>
      </c>
      <c r="I4191" s="44"/>
      <c r="J4191" s="44"/>
      <c r="K4191" s="44"/>
    </row>
    <row r="4192" spans="3:12" s="59" customFormat="1" ht="21" customHeight="1">
      <c r="C4192" s="61" t="s">
        <v>1201</v>
      </c>
      <c r="D4192" s="56" t="s">
        <v>1202</v>
      </c>
      <c r="E4192" s="57"/>
      <c r="F4192" s="57"/>
      <c r="G4192" s="57"/>
      <c r="H4192" s="57"/>
      <c r="I4192" s="44"/>
      <c r="J4192" s="44"/>
      <c r="K4192" s="44"/>
      <c r="L4192" s="152" t="s">
        <v>1247</v>
      </c>
    </row>
    <row r="4193" spans="3:15" s="59" customFormat="1" ht="21" customHeight="1">
      <c r="C4193" s="588">
        <v>1</v>
      </c>
      <c r="D4193" s="56" t="s">
        <v>5</v>
      </c>
      <c r="E4193" s="577" t="s">
        <v>6</v>
      </c>
      <c r="F4193" s="62">
        <v>5.1999999999999998E-2</v>
      </c>
      <c r="G4193" s="63">
        <f>VLOOKUP(D4193,upahbahan,3,FALSE)</f>
        <v>100000</v>
      </c>
      <c r="H4193" s="63">
        <f>F4193*G4193</f>
        <v>5200</v>
      </c>
      <c r="I4193" s="44"/>
      <c r="J4193" s="44"/>
      <c r="K4193" s="44"/>
      <c r="L4193" s="152" t="s">
        <v>1248</v>
      </c>
      <c r="O4193" s="65">
        <v>0.1</v>
      </c>
    </row>
    <row r="4194" spans="3:15" s="59" customFormat="1" ht="21" customHeight="1">
      <c r="C4194" s="588">
        <v>2</v>
      </c>
      <c r="D4194" s="56" t="s">
        <v>10</v>
      </c>
      <c r="E4194" s="577" t="s">
        <v>6</v>
      </c>
      <c r="F4194" s="62">
        <v>8.6999999999999994E-2</v>
      </c>
      <c r="G4194" s="63">
        <f>VLOOKUP(D4194,upahbahan,3,FALSE)</f>
        <v>135000</v>
      </c>
      <c r="H4194" s="63">
        <f>F4194*G4194</f>
        <v>11745</v>
      </c>
      <c r="I4194" s="44"/>
      <c r="J4194" s="44"/>
      <c r="K4194" s="44"/>
    </row>
    <row r="4195" spans="3:15" s="59" customFormat="1" ht="21" customHeight="1">
      <c r="C4195" s="588">
        <v>3</v>
      </c>
      <c r="D4195" s="56" t="s">
        <v>18</v>
      </c>
      <c r="E4195" s="577" t="s">
        <v>6</v>
      </c>
      <c r="F4195" s="62">
        <v>8.9999999999999993E-3</v>
      </c>
      <c r="G4195" s="63">
        <f>VLOOKUP(D4195,upahbahan,3,FALSE)</f>
        <v>150000</v>
      </c>
      <c r="H4195" s="63">
        <f>F4195*G4195</f>
        <v>1350</v>
      </c>
      <c r="I4195" s="44"/>
      <c r="J4195" s="44"/>
      <c r="K4195" s="44"/>
    </row>
    <row r="4196" spans="3:15" s="59" customFormat="1" ht="21" customHeight="1">
      <c r="C4196" s="588">
        <v>4</v>
      </c>
      <c r="D4196" s="56" t="s">
        <v>19</v>
      </c>
      <c r="E4196" s="577" t="s">
        <v>6</v>
      </c>
      <c r="F4196" s="62">
        <v>3.0000000000000001E-3</v>
      </c>
      <c r="G4196" s="63">
        <f>VLOOKUP(D4196,upahbahan,3,FALSE)</f>
        <v>160000</v>
      </c>
      <c r="H4196" s="63">
        <f>F4196*G4196</f>
        <v>480</v>
      </c>
      <c r="I4196" s="44"/>
      <c r="J4196" s="44"/>
      <c r="K4196" s="44"/>
    </row>
    <row r="4197" spans="3:15" s="59" customFormat="1" ht="21" customHeight="1">
      <c r="C4197" s="450" t="s">
        <v>1208</v>
      </c>
      <c r="D4197" s="67"/>
      <c r="E4197" s="67"/>
      <c r="F4197" s="142"/>
      <c r="G4197" s="153"/>
      <c r="H4197" s="63">
        <f>SUM(H4193:H4196)</f>
        <v>18775</v>
      </c>
      <c r="I4197" s="154"/>
      <c r="J4197" s="154"/>
      <c r="K4197" s="154"/>
    </row>
    <row r="4198" spans="3:15" s="59" customFormat="1" ht="21" customHeight="1">
      <c r="C4198" s="61" t="s">
        <v>1209</v>
      </c>
      <c r="D4198" s="56" t="s">
        <v>1210</v>
      </c>
      <c r="E4198" s="57"/>
      <c r="F4198" s="57"/>
      <c r="G4198" s="57"/>
      <c r="H4198" s="57"/>
      <c r="I4198" s="44"/>
      <c r="J4198" s="44"/>
      <c r="K4198" s="44"/>
    </row>
    <row r="4199" spans="3:15" s="59" customFormat="1" ht="21" customHeight="1">
      <c r="C4199" s="61">
        <v>1</v>
      </c>
      <c r="D4199" s="56" t="s">
        <v>4258</v>
      </c>
      <c r="E4199" s="93" t="s">
        <v>4259</v>
      </c>
      <c r="F4199" s="104">
        <v>1.1499999999999999</v>
      </c>
      <c r="G4199" s="63">
        <f>VLOOKUP(D4199,upahbahan,3,FALSE)</f>
        <v>270750</v>
      </c>
      <c r="H4199" s="63">
        <f>F4199*G4199</f>
        <v>311362.5</v>
      </c>
      <c r="I4199" s="44"/>
      <c r="J4199" s="44"/>
      <c r="K4199" s="44"/>
    </row>
    <row r="4200" spans="3:15" s="59" customFormat="1" ht="21" customHeight="1">
      <c r="C4200" s="450" t="s">
        <v>1214</v>
      </c>
      <c r="D4200" s="67"/>
      <c r="E4200" s="67"/>
      <c r="F4200" s="67"/>
      <c r="G4200" s="69"/>
      <c r="H4200" s="63">
        <f>SUM(H4199:H4199)</f>
        <v>311362.5</v>
      </c>
      <c r="I4200" s="44"/>
      <c r="J4200" s="44"/>
      <c r="K4200" s="44"/>
    </row>
    <row r="4201" spans="3:15" s="59" customFormat="1" ht="21" customHeight="1">
      <c r="C4201" s="61" t="s">
        <v>1215</v>
      </c>
      <c r="D4201" s="56" t="s">
        <v>1216</v>
      </c>
      <c r="E4201" s="57"/>
      <c r="F4201" s="57"/>
      <c r="G4201" s="57"/>
      <c r="H4201" s="57"/>
      <c r="I4201" s="44"/>
      <c r="J4201" s="44"/>
      <c r="K4201" s="44"/>
    </row>
    <row r="4202" spans="3:15" s="59" customFormat="1" ht="21" customHeight="1">
      <c r="C4202" s="450" t="s">
        <v>1217</v>
      </c>
      <c r="D4202" s="67"/>
      <c r="E4202" s="67"/>
      <c r="F4202" s="67"/>
      <c r="G4202" s="69"/>
      <c r="H4202" s="589">
        <v>0</v>
      </c>
      <c r="I4202" s="44"/>
      <c r="J4202" s="44"/>
      <c r="K4202" s="44"/>
    </row>
    <row r="4203" spans="3:15" s="59" customFormat="1" ht="21" customHeight="1">
      <c r="C4203" s="288" t="s">
        <v>1218</v>
      </c>
      <c r="D4203" s="76" t="s">
        <v>1219</v>
      </c>
      <c r="E4203" s="77"/>
      <c r="F4203" s="77"/>
      <c r="G4203" s="78"/>
      <c r="H4203" s="585">
        <f>H4202+H4200+H4197</f>
        <v>330137.5</v>
      </c>
      <c r="I4203" s="369"/>
      <c r="J4203" s="44"/>
      <c r="K4203" s="44"/>
    </row>
    <row r="4204" spans="3:15" s="59" customFormat="1" ht="21" customHeight="1">
      <c r="C4204" s="288" t="s">
        <v>1220</v>
      </c>
      <c r="D4204" s="76" t="s">
        <v>1321</v>
      </c>
      <c r="E4204" s="77"/>
      <c r="F4204" s="78"/>
      <c r="G4204" s="80">
        <v>0.1</v>
      </c>
      <c r="H4204" s="63">
        <f>H4203*G4204</f>
        <v>33013.75</v>
      </c>
      <c r="I4204" s="369"/>
      <c r="J4204" s="44"/>
      <c r="K4204" s="44"/>
    </row>
    <row r="4205" spans="3:15" s="59" customFormat="1" ht="21" customHeight="1">
      <c r="C4205" s="288" t="s">
        <v>1221</v>
      </c>
      <c r="D4205" s="76" t="s">
        <v>1222</v>
      </c>
      <c r="E4205" s="77"/>
      <c r="F4205" s="77"/>
      <c r="G4205" s="78"/>
      <c r="H4205" s="799">
        <f>SUM(H4203:H4204)</f>
        <v>363151.25</v>
      </c>
      <c r="I4205" s="369"/>
      <c r="J4205" s="44"/>
      <c r="K4205" s="44"/>
    </row>
    <row r="4206" spans="3:15" ht="21" customHeight="1"/>
    <row r="4207" spans="3:15" s="59" customFormat="1" ht="21" customHeight="1">
      <c r="C4207" s="147" t="s">
        <v>5457</v>
      </c>
      <c r="D4207" s="794" t="s">
        <v>4261</v>
      </c>
      <c r="E4207" s="795"/>
      <c r="F4207" s="795"/>
      <c r="G4207" s="795"/>
      <c r="H4207" s="795"/>
      <c r="I4207" s="50">
        <f>ROUNDDOWN(H4222,-2)</f>
        <v>860700</v>
      </c>
      <c r="J4207" s="50"/>
      <c r="K4207" s="50"/>
    </row>
    <row r="4208" spans="3:15" s="59" customFormat="1" ht="21" customHeight="1">
      <c r="C4208" s="591" t="s">
        <v>1195</v>
      </c>
      <c r="D4208" s="591" t="s">
        <v>1196</v>
      </c>
      <c r="E4208" s="591" t="s">
        <v>1197</v>
      </c>
      <c r="F4208" s="591" t="s">
        <v>1198</v>
      </c>
      <c r="G4208" s="591" t="s">
        <v>1199</v>
      </c>
      <c r="H4208" s="591" t="s">
        <v>1200</v>
      </c>
      <c r="I4208" s="44"/>
      <c r="J4208" s="44"/>
      <c r="K4208" s="44"/>
    </row>
    <row r="4209" spans="3:15" s="59" customFormat="1" ht="21" customHeight="1">
      <c r="C4209" s="61" t="s">
        <v>1201</v>
      </c>
      <c r="D4209" s="56" t="s">
        <v>1202</v>
      </c>
      <c r="E4209" s="57"/>
      <c r="F4209" s="57"/>
      <c r="G4209" s="57"/>
      <c r="H4209" s="57"/>
      <c r="I4209" s="44"/>
      <c r="J4209" s="44"/>
      <c r="K4209" s="44"/>
      <c r="L4209" s="152" t="s">
        <v>1247</v>
      </c>
    </row>
    <row r="4210" spans="3:15" s="59" customFormat="1" ht="21" customHeight="1">
      <c r="C4210" s="588">
        <v>1</v>
      </c>
      <c r="D4210" s="56" t="s">
        <v>5</v>
      </c>
      <c r="E4210" s="577" t="s">
        <v>6</v>
      </c>
      <c r="F4210" s="62">
        <v>7.9000000000000001E-2</v>
      </c>
      <c r="G4210" s="63">
        <f>VLOOKUP(D4210,upahbahan,3,FALSE)</f>
        <v>100000</v>
      </c>
      <c r="H4210" s="63">
        <f>F4210*G4210</f>
        <v>7900</v>
      </c>
      <c r="I4210" s="44"/>
      <c r="J4210" s="44"/>
      <c r="K4210" s="44"/>
      <c r="L4210" s="152" t="s">
        <v>1248</v>
      </c>
      <c r="O4210" s="65">
        <v>0.1</v>
      </c>
    </row>
    <row r="4211" spans="3:15" s="59" customFormat="1" ht="21" customHeight="1">
      <c r="C4211" s="588">
        <v>2</v>
      </c>
      <c r="D4211" s="56" t="s">
        <v>10</v>
      </c>
      <c r="E4211" s="577" t="s">
        <v>6</v>
      </c>
      <c r="F4211" s="62">
        <v>0.13100000000000001</v>
      </c>
      <c r="G4211" s="63">
        <f>VLOOKUP(D4211,upahbahan,3,FALSE)</f>
        <v>135000</v>
      </c>
      <c r="H4211" s="63">
        <f>F4211*G4211</f>
        <v>17685</v>
      </c>
      <c r="I4211" s="44"/>
      <c r="J4211" s="44"/>
      <c r="K4211" s="44"/>
    </row>
    <row r="4212" spans="3:15" s="59" customFormat="1" ht="21" customHeight="1">
      <c r="C4212" s="588">
        <v>3</v>
      </c>
      <c r="D4212" s="56" t="s">
        <v>18</v>
      </c>
      <c r="E4212" s="577" t="s">
        <v>6</v>
      </c>
      <c r="F4212" s="62">
        <v>1.2999999999999999E-2</v>
      </c>
      <c r="G4212" s="63">
        <f>VLOOKUP(D4212,upahbahan,3,FALSE)</f>
        <v>150000</v>
      </c>
      <c r="H4212" s="63">
        <f>F4212*G4212</f>
        <v>1950</v>
      </c>
      <c r="I4212" s="44"/>
      <c r="J4212" s="44"/>
      <c r="K4212" s="44"/>
    </row>
    <row r="4213" spans="3:15" s="59" customFormat="1" ht="21" customHeight="1">
      <c r="C4213" s="588">
        <v>4</v>
      </c>
      <c r="D4213" s="56" t="s">
        <v>19</v>
      </c>
      <c r="E4213" s="577" t="s">
        <v>6</v>
      </c>
      <c r="F4213" s="62">
        <v>4.0000000000000001E-3</v>
      </c>
      <c r="G4213" s="63">
        <f>VLOOKUP(D4213,upahbahan,3,FALSE)</f>
        <v>160000</v>
      </c>
      <c r="H4213" s="63">
        <f>F4213*G4213</f>
        <v>640</v>
      </c>
      <c r="I4213" s="44"/>
      <c r="J4213" s="44"/>
      <c r="K4213" s="44"/>
    </row>
    <row r="4214" spans="3:15" s="59" customFormat="1" ht="21" customHeight="1">
      <c r="C4214" s="450" t="s">
        <v>1208</v>
      </c>
      <c r="D4214" s="67"/>
      <c r="E4214" s="67"/>
      <c r="F4214" s="142"/>
      <c r="G4214" s="153"/>
      <c r="H4214" s="63">
        <f>SUM(H4210:H4213)</f>
        <v>28175</v>
      </c>
      <c r="I4214" s="154"/>
      <c r="J4214" s="154"/>
      <c r="K4214" s="154"/>
    </row>
    <row r="4215" spans="3:15" s="59" customFormat="1" ht="21" customHeight="1">
      <c r="C4215" s="61" t="s">
        <v>1209</v>
      </c>
      <c r="D4215" s="56" t="s">
        <v>1210</v>
      </c>
      <c r="E4215" s="57"/>
      <c r="F4215" s="57"/>
      <c r="G4215" s="57"/>
      <c r="H4215" s="57"/>
      <c r="I4215" s="44"/>
      <c r="J4215" s="44"/>
      <c r="K4215" s="44"/>
    </row>
    <row r="4216" spans="3:15" s="59" customFormat="1" ht="21" customHeight="1">
      <c r="C4216" s="61">
        <v>1</v>
      </c>
      <c r="D4216" s="56" t="s">
        <v>4262</v>
      </c>
      <c r="E4216" s="93" t="s">
        <v>4259</v>
      </c>
      <c r="F4216" s="104">
        <v>1.1499999999999999</v>
      </c>
      <c r="G4216" s="63">
        <f>VLOOKUP(D4216,upahbahan,3,FALSE)</f>
        <v>655914</v>
      </c>
      <c r="H4216" s="63">
        <f>F4216*G4216</f>
        <v>754301.1</v>
      </c>
      <c r="I4216" s="44"/>
      <c r="J4216" s="44"/>
      <c r="K4216" s="44"/>
    </row>
    <row r="4217" spans="3:15" s="59" customFormat="1" ht="21" customHeight="1">
      <c r="C4217" s="450" t="s">
        <v>1214</v>
      </c>
      <c r="D4217" s="67"/>
      <c r="E4217" s="67"/>
      <c r="F4217" s="67"/>
      <c r="G4217" s="69"/>
      <c r="H4217" s="63">
        <f>SUM(H4216:H4216)</f>
        <v>754301.1</v>
      </c>
      <c r="I4217" s="44"/>
      <c r="J4217" s="44"/>
      <c r="K4217" s="44"/>
    </row>
    <row r="4218" spans="3:15" s="59" customFormat="1" ht="21" customHeight="1">
      <c r="C4218" s="61" t="s">
        <v>1215</v>
      </c>
      <c r="D4218" s="56" t="s">
        <v>1216</v>
      </c>
      <c r="E4218" s="57"/>
      <c r="F4218" s="57"/>
      <c r="G4218" s="57"/>
      <c r="H4218" s="57"/>
      <c r="I4218" s="44"/>
      <c r="J4218" s="44"/>
      <c r="K4218" s="44"/>
    </row>
    <row r="4219" spans="3:15" s="59" customFormat="1" ht="21" customHeight="1">
      <c r="C4219" s="450" t="s">
        <v>1217</v>
      </c>
      <c r="D4219" s="67"/>
      <c r="E4219" s="67"/>
      <c r="F4219" s="67"/>
      <c r="G4219" s="69"/>
      <c r="H4219" s="589">
        <v>0</v>
      </c>
      <c r="I4219" s="44"/>
      <c r="J4219" s="44"/>
      <c r="K4219" s="44"/>
    </row>
    <row r="4220" spans="3:15" s="59" customFormat="1" ht="21" customHeight="1">
      <c r="C4220" s="288" t="s">
        <v>1218</v>
      </c>
      <c r="D4220" s="76" t="s">
        <v>1219</v>
      </c>
      <c r="E4220" s="77"/>
      <c r="F4220" s="77"/>
      <c r="G4220" s="78"/>
      <c r="H4220" s="585">
        <f>H4219+H4217+H4214</f>
        <v>782476.1</v>
      </c>
      <c r="I4220" s="369"/>
      <c r="J4220" s="44"/>
      <c r="K4220" s="44"/>
    </row>
    <row r="4221" spans="3:15" s="59" customFormat="1" ht="21" customHeight="1">
      <c r="C4221" s="288" t="s">
        <v>1220</v>
      </c>
      <c r="D4221" s="76" t="s">
        <v>1321</v>
      </c>
      <c r="E4221" s="77"/>
      <c r="F4221" s="78"/>
      <c r="G4221" s="80">
        <v>0.1</v>
      </c>
      <c r="H4221" s="63">
        <f>H4220*G4221</f>
        <v>78247.61</v>
      </c>
      <c r="I4221" s="369"/>
      <c r="J4221" s="44"/>
      <c r="K4221" s="44"/>
    </row>
    <row r="4222" spans="3:15" s="59" customFormat="1" ht="21" customHeight="1">
      <c r="C4222" s="288" t="s">
        <v>1221</v>
      </c>
      <c r="D4222" s="76" t="s">
        <v>1222</v>
      </c>
      <c r="E4222" s="77"/>
      <c r="F4222" s="77"/>
      <c r="G4222" s="78"/>
      <c r="H4222" s="799">
        <f>SUM(H4220:H4221)</f>
        <v>860723.71</v>
      </c>
      <c r="I4222" s="369"/>
      <c r="J4222" s="44"/>
      <c r="K4222" s="44"/>
    </row>
    <row r="4223" spans="3:15" ht="21" customHeight="1"/>
    <row r="4224" spans="3:15" ht="21" customHeight="1"/>
    <row r="4225" spans="3:15" s="59" customFormat="1" ht="21" customHeight="1">
      <c r="C4225" s="147" t="s">
        <v>5458</v>
      </c>
      <c r="D4225" s="794" t="s">
        <v>4260</v>
      </c>
      <c r="E4225" s="795"/>
      <c r="F4225" s="795"/>
      <c r="G4225" s="795"/>
      <c r="H4225" s="795"/>
      <c r="I4225" s="50">
        <f>ROUNDDOWN(H4240,-2)</f>
        <v>1833400</v>
      </c>
      <c r="J4225" s="50"/>
      <c r="K4225" s="50"/>
    </row>
    <row r="4226" spans="3:15" s="59" customFormat="1" ht="21" customHeight="1">
      <c r="C4226" s="591" t="s">
        <v>1195</v>
      </c>
      <c r="D4226" s="591" t="s">
        <v>1196</v>
      </c>
      <c r="E4226" s="591" t="s">
        <v>1197</v>
      </c>
      <c r="F4226" s="591" t="s">
        <v>1198</v>
      </c>
      <c r="G4226" s="591" t="s">
        <v>1199</v>
      </c>
      <c r="H4226" s="591" t="s">
        <v>1200</v>
      </c>
      <c r="I4226" s="44"/>
      <c r="J4226" s="44"/>
      <c r="K4226" s="44"/>
    </row>
    <row r="4227" spans="3:15" s="59" customFormat="1" ht="21" customHeight="1">
      <c r="C4227" s="61" t="s">
        <v>1201</v>
      </c>
      <c r="D4227" s="56" t="s">
        <v>1202</v>
      </c>
      <c r="E4227" s="57"/>
      <c r="F4227" s="57"/>
      <c r="G4227" s="57"/>
      <c r="H4227" s="57"/>
      <c r="I4227" s="44"/>
      <c r="J4227" s="44"/>
      <c r="K4227" s="44"/>
      <c r="L4227" s="152" t="s">
        <v>1247</v>
      </c>
    </row>
    <row r="4228" spans="3:15" s="59" customFormat="1" ht="21" customHeight="1">
      <c r="C4228" s="588">
        <v>1</v>
      </c>
      <c r="D4228" s="56" t="s">
        <v>5</v>
      </c>
      <c r="E4228" s="577" t="s">
        <v>6</v>
      </c>
      <c r="F4228" s="62">
        <v>0.105</v>
      </c>
      <c r="G4228" s="63">
        <f>VLOOKUP(D4228,upahbahan,3,FALSE)</f>
        <v>100000</v>
      </c>
      <c r="H4228" s="63">
        <f>F4228*G4228</f>
        <v>10500</v>
      </c>
      <c r="I4228" s="44"/>
      <c r="J4228" s="44"/>
      <c r="K4228" s="44"/>
      <c r="L4228" s="152" t="s">
        <v>1248</v>
      </c>
      <c r="O4228" s="65">
        <v>0.1</v>
      </c>
    </row>
    <row r="4229" spans="3:15" s="59" customFormat="1" ht="21" customHeight="1">
      <c r="C4229" s="588">
        <v>2</v>
      </c>
      <c r="D4229" s="56" t="s">
        <v>10</v>
      </c>
      <c r="E4229" s="577" t="s">
        <v>6</v>
      </c>
      <c r="F4229" s="62">
        <v>0.17499999999999999</v>
      </c>
      <c r="G4229" s="63">
        <f>VLOOKUP(D4229,upahbahan,3,FALSE)</f>
        <v>135000</v>
      </c>
      <c r="H4229" s="63">
        <f>F4229*G4229</f>
        <v>23625</v>
      </c>
      <c r="I4229" s="44"/>
      <c r="J4229" s="44"/>
      <c r="K4229" s="44"/>
    </row>
    <row r="4230" spans="3:15" s="59" customFormat="1" ht="21" customHeight="1">
      <c r="C4230" s="588">
        <v>3</v>
      </c>
      <c r="D4230" s="56" t="s">
        <v>18</v>
      </c>
      <c r="E4230" s="577" t="s">
        <v>6</v>
      </c>
      <c r="F4230" s="62">
        <v>1.7000000000000001E-2</v>
      </c>
      <c r="G4230" s="63">
        <f>VLOOKUP(D4230,upahbahan,3,FALSE)</f>
        <v>150000</v>
      </c>
      <c r="H4230" s="63">
        <f>F4230*G4230</f>
        <v>2550</v>
      </c>
      <c r="I4230" s="44"/>
      <c r="J4230" s="44"/>
      <c r="K4230" s="44"/>
    </row>
    <row r="4231" spans="3:15" s="59" customFormat="1" ht="21" customHeight="1">
      <c r="C4231" s="588">
        <v>4</v>
      </c>
      <c r="D4231" s="56" t="s">
        <v>19</v>
      </c>
      <c r="E4231" s="577" t="s">
        <v>6</v>
      </c>
      <c r="F4231" s="62">
        <v>5.0000000000000001E-3</v>
      </c>
      <c r="G4231" s="63">
        <f>VLOOKUP(D4231,upahbahan,3,FALSE)</f>
        <v>160000</v>
      </c>
      <c r="H4231" s="63">
        <f>F4231*G4231</f>
        <v>800</v>
      </c>
      <c r="I4231" s="44"/>
      <c r="J4231" s="44"/>
      <c r="K4231" s="44"/>
    </row>
    <row r="4232" spans="3:15" s="59" customFormat="1" ht="21" customHeight="1">
      <c r="C4232" s="450" t="s">
        <v>1208</v>
      </c>
      <c r="D4232" s="67"/>
      <c r="E4232" s="67"/>
      <c r="F4232" s="142"/>
      <c r="G4232" s="153"/>
      <c r="H4232" s="63">
        <f>SUM(H4228:H4231)</f>
        <v>37475</v>
      </c>
      <c r="I4232" s="154"/>
      <c r="J4232" s="154"/>
      <c r="K4232" s="154"/>
    </row>
    <row r="4233" spans="3:15" s="59" customFormat="1" ht="21" customHeight="1">
      <c r="C4233" s="61" t="s">
        <v>1209</v>
      </c>
      <c r="D4233" s="56" t="s">
        <v>1210</v>
      </c>
      <c r="E4233" s="57"/>
      <c r="F4233" s="57"/>
      <c r="G4233" s="57"/>
      <c r="H4233" s="57"/>
      <c r="I4233" s="44"/>
      <c r="J4233" s="44"/>
      <c r="K4233" s="44"/>
    </row>
    <row r="4234" spans="3:15" s="59" customFormat="1" ht="21" customHeight="1">
      <c r="C4234" s="61">
        <v>1</v>
      </c>
      <c r="D4234" s="56" t="s">
        <v>4263</v>
      </c>
      <c r="E4234" s="93" t="s">
        <v>4259</v>
      </c>
      <c r="F4234" s="880">
        <v>1.1499999999999999</v>
      </c>
      <c r="G4234" s="63">
        <f>VLOOKUP(D4234,upahbahan,3,FALSE)</f>
        <v>1416800</v>
      </c>
      <c r="H4234" s="586">
        <f>G4234*F4234</f>
        <v>1629319.9999999998</v>
      </c>
      <c r="I4234" s="44"/>
      <c r="J4234" s="44"/>
      <c r="K4234" s="44"/>
    </row>
    <row r="4235" spans="3:15" s="59" customFormat="1" ht="21" customHeight="1">
      <c r="C4235" s="450" t="s">
        <v>1214</v>
      </c>
      <c r="D4235" s="67"/>
      <c r="E4235" s="67"/>
      <c r="F4235" s="67"/>
      <c r="G4235" s="69"/>
      <c r="H4235" s="63">
        <f>SUM(H4234:H4234)</f>
        <v>1629319.9999999998</v>
      </c>
      <c r="I4235" s="44"/>
      <c r="J4235" s="44"/>
      <c r="K4235" s="44"/>
    </row>
    <row r="4236" spans="3:15" s="59" customFormat="1" ht="21" customHeight="1">
      <c r="C4236" s="61" t="s">
        <v>1215</v>
      </c>
      <c r="D4236" s="56" t="s">
        <v>1216</v>
      </c>
      <c r="E4236" s="57"/>
      <c r="F4236" s="57"/>
      <c r="G4236" s="57"/>
      <c r="H4236" s="57"/>
      <c r="I4236" s="44"/>
      <c r="J4236" s="44"/>
      <c r="K4236" s="44"/>
    </row>
    <row r="4237" spans="3:15" s="59" customFormat="1" ht="21" customHeight="1">
      <c r="C4237" s="450" t="s">
        <v>1217</v>
      </c>
      <c r="D4237" s="67"/>
      <c r="E4237" s="67"/>
      <c r="F4237" s="67"/>
      <c r="G4237" s="69"/>
      <c r="H4237" s="589">
        <v>0</v>
      </c>
      <c r="I4237" s="44"/>
      <c r="J4237" s="44"/>
      <c r="K4237" s="44"/>
    </row>
    <row r="4238" spans="3:15" s="59" customFormat="1" ht="21" customHeight="1">
      <c r="C4238" s="288" t="s">
        <v>1218</v>
      </c>
      <c r="D4238" s="76" t="s">
        <v>1219</v>
      </c>
      <c r="E4238" s="77"/>
      <c r="F4238" s="77"/>
      <c r="G4238" s="78"/>
      <c r="H4238" s="585">
        <f>H4237+H4235+H4232</f>
        <v>1666794.9999999998</v>
      </c>
      <c r="I4238" s="369"/>
      <c r="J4238" s="44"/>
      <c r="K4238" s="44"/>
    </row>
    <row r="4239" spans="3:15" s="59" customFormat="1" ht="21" customHeight="1">
      <c r="C4239" s="288" t="s">
        <v>1220</v>
      </c>
      <c r="D4239" s="76" t="s">
        <v>1321</v>
      </c>
      <c r="E4239" s="77"/>
      <c r="F4239" s="78"/>
      <c r="G4239" s="80">
        <v>0.1</v>
      </c>
      <c r="H4239" s="63">
        <f>H4238*G4239</f>
        <v>166679.5</v>
      </c>
      <c r="I4239" s="369"/>
      <c r="J4239" s="44"/>
      <c r="K4239" s="44"/>
    </row>
    <row r="4240" spans="3:15" s="59" customFormat="1" ht="21" customHeight="1">
      <c r="C4240" s="288" t="s">
        <v>1221</v>
      </c>
      <c r="D4240" s="76" t="s">
        <v>1222</v>
      </c>
      <c r="E4240" s="77"/>
      <c r="F4240" s="77"/>
      <c r="G4240" s="78"/>
      <c r="H4240" s="799">
        <f>SUM(H4238:H4239)</f>
        <v>1833474.4999999998</v>
      </c>
      <c r="I4240" s="369"/>
      <c r="J4240" s="44"/>
      <c r="K4240" s="44"/>
    </row>
    <row r="4241" spans="3:15" ht="21" customHeight="1"/>
    <row r="4242" spans="3:15" s="59" customFormat="1" ht="21" customHeight="1">
      <c r="C4242" s="147" t="s">
        <v>5459</v>
      </c>
      <c r="D4242" s="794" t="s">
        <v>4265</v>
      </c>
      <c r="E4242" s="795"/>
      <c r="F4242" s="795"/>
      <c r="G4242" s="795"/>
      <c r="H4242" s="795"/>
      <c r="I4242" s="50">
        <f>ROUNDDOWN(H4257,-2)</f>
        <v>2263700</v>
      </c>
      <c r="J4242" s="50"/>
      <c r="K4242" s="50"/>
    </row>
    <row r="4243" spans="3:15" s="59" customFormat="1" ht="21" customHeight="1">
      <c r="C4243" s="591" t="s">
        <v>1195</v>
      </c>
      <c r="D4243" s="591" t="s">
        <v>1196</v>
      </c>
      <c r="E4243" s="591" t="s">
        <v>1197</v>
      </c>
      <c r="F4243" s="591" t="s">
        <v>1198</v>
      </c>
      <c r="G4243" s="591" t="s">
        <v>1199</v>
      </c>
      <c r="H4243" s="591" t="s">
        <v>1200</v>
      </c>
      <c r="I4243" s="44"/>
      <c r="J4243" s="44"/>
      <c r="K4243" s="44"/>
    </row>
    <row r="4244" spans="3:15" s="59" customFormat="1" ht="21" customHeight="1">
      <c r="C4244" s="61" t="s">
        <v>1201</v>
      </c>
      <c r="D4244" s="56" t="s">
        <v>1202</v>
      </c>
      <c r="E4244" s="57"/>
      <c r="F4244" s="57"/>
      <c r="G4244" s="57"/>
      <c r="H4244" s="57"/>
      <c r="I4244" s="44"/>
      <c r="J4244" s="44"/>
      <c r="K4244" s="44"/>
      <c r="L4244" s="152" t="s">
        <v>1247</v>
      </c>
    </row>
    <row r="4245" spans="3:15" s="59" customFormat="1" ht="21" customHeight="1">
      <c r="C4245" s="588">
        <v>1</v>
      </c>
      <c r="D4245" s="56" t="s">
        <v>5</v>
      </c>
      <c r="E4245" s="577" t="s">
        <v>6</v>
      </c>
      <c r="F4245" s="62">
        <v>0.157</v>
      </c>
      <c r="G4245" s="63">
        <f>VLOOKUP(D4245,upahbahan,3,FALSE)</f>
        <v>100000</v>
      </c>
      <c r="H4245" s="63">
        <f>F4245*G4245</f>
        <v>15700</v>
      </c>
      <c r="I4245" s="44"/>
      <c r="J4245" s="44"/>
      <c r="K4245" s="44"/>
      <c r="L4245" s="152" t="s">
        <v>1248</v>
      </c>
      <c r="O4245" s="65">
        <v>0.1</v>
      </c>
    </row>
    <row r="4246" spans="3:15" s="59" customFormat="1" ht="21" customHeight="1">
      <c r="C4246" s="588">
        <v>2</v>
      </c>
      <c r="D4246" s="56" t="s">
        <v>10</v>
      </c>
      <c r="E4246" s="577" t="s">
        <v>6</v>
      </c>
      <c r="F4246" s="62">
        <v>0.26200000000000001</v>
      </c>
      <c r="G4246" s="63">
        <f>VLOOKUP(D4246,upahbahan,3,FALSE)</f>
        <v>135000</v>
      </c>
      <c r="H4246" s="63">
        <f>F4246*G4246</f>
        <v>35370</v>
      </c>
      <c r="I4246" s="44"/>
      <c r="J4246" s="44"/>
      <c r="K4246" s="44"/>
    </row>
    <row r="4247" spans="3:15" s="59" customFormat="1" ht="21" customHeight="1">
      <c r="C4247" s="588">
        <v>3</v>
      </c>
      <c r="D4247" s="56" t="s">
        <v>18</v>
      </c>
      <c r="E4247" s="577" t="s">
        <v>6</v>
      </c>
      <c r="F4247" s="62">
        <v>2.5999999999999999E-2</v>
      </c>
      <c r="G4247" s="63">
        <f>VLOOKUP(D4247,upahbahan,3,FALSE)</f>
        <v>150000</v>
      </c>
      <c r="H4247" s="63">
        <f>F4247*G4247</f>
        <v>3900</v>
      </c>
      <c r="I4247" s="44"/>
      <c r="J4247" s="44"/>
      <c r="K4247" s="44"/>
    </row>
    <row r="4248" spans="3:15" s="59" customFormat="1" ht="21" customHeight="1">
      <c r="C4248" s="588">
        <v>4</v>
      </c>
      <c r="D4248" s="56" t="s">
        <v>19</v>
      </c>
      <c r="E4248" s="577" t="s">
        <v>6</v>
      </c>
      <c r="F4248" s="62">
        <v>8.0000000000000002E-3</v>
      </c>
      <c r="G4248" s="63">
        <f>VLOOKUP(D4248,upahbahan,3,FALSE)</f>
        <v>160000</v>
      </c>
      <c r="H4248" s="63">
        <f>F4248*G4248</f>
        <v>1280</v>
      </c>
      <c r="I4248" s="44"/>
      <c r="J4248" s="44"/>
      <c r="K4248" s="44"/>
    </row>
    <row r="4249" spans="3:15" s="59" customFormat="1" ht="21" customHeight="1">
      <c r="C4249" s="450" t="s">
        <v>1208</v>
      </c>
      <c r="D4249" s="67"/>
      <c r="E4249" s="67"/>
      <c r="F4249" s="142"/>
      <c r="G4249" s="153"/>
      <c r="H4249" s="63">
        <f>SUM(H4245:H4248)</f>
        <v>56250</v>
      </c>
      <c r="I4249" s="154"/>
      <c r="J4249" s="154"/>
      <c r="K4249" s="154"/>
    </row>
    <row r="4250" spans="3:15" s="59" customFormat="1" ht="21" customHeight="1">
      <c r="C4250" s="61" t="s">
        <v>1209</v>
      </c>
      <c r="D4250" s="56" t="s">
        <v>1210</v>
      </c>
      <c r="E4250" s="57"/>
      <c r="F4250" s="57"/>
      <c r="G4250" s="57"/>
      <c r="H4250" s="57"/>
      <c r="I4250" s="44"/>
      <c r="J4250" s="44"/>
      <c r="K4250" s="44"/>
    </row>
    <row r="4251" spans="3:15" s="59" customFormat="1" ht="21" customHeight="1">
      <c r="C4251" s="61">
        <v>1</v>
      </c>
      <c r="D4251" s="56" t="s">
        <v>4266</v>
      </c>
      <c r="E4251" s="93" t="s">
        <v>4259</v>
      </c>
      <c r="F4251" s="880">
        <v>1.1499999999999999</v>
      </c>
      <c r="G4251" s="63">
        <f>VLOOKUP(D4251,upahbahan,3,FALSE)</f>
        <v>1740600</v>
      </c>
      <c r="H4251" s="586">
        <f>G4251*F4251</f>
        <v>2001689.9999999998</v>
      </c>
      <c r="I4251" s="44"/>
      <c r="J4251" s="44"/>
      <c r="K4251" s="44"/>
    </row>
    <row r="4252" spans="3:15" s="59" customFormat="1" ht="21" customHeight="1">
      <c r="C4252" s="450" t="s">
        <v>1214</v>
      </c>
      <c r="D4252" s="67"/>
      <c r="E4252" s="67"/>
      <c r="F4252" s="67"/>
      <c r="G4252" s="69"/>
      <c r="H4252" s="63">
        <f>SUM(H4251:H4251)</f>
        <v>2001689.9999999998</v>
      </c>
      <c r="I4252" s="44"/>
      <c r="J4252" s="44"/>
      <c r="K4252" s="44"/>
    </row>
    <row r="4253" spans="3:15" s="59" customFormat="1" ht="21" customHeight="1">
      <c r="C4253" s="61" t="s">
        <v>1215</v>
      </c>
      <c r="D4253" s="56" t="s">
        <v>1216</v>
      </c>
      <c r="E4253" s="57"/>
      <c r="F4253" s="57"/>
      <c r="G4253" s="57"/>
      <c r="H4253" s="57"/>
      <c r="I4253" s="44"/>
      <c r="J4253" s="44"/>
      <c r="K4253" s="44"/>
    </row>
    <row r="4254" spans="3:15" s="59" customFormat="1" ht="21" customHeight="1">
      <c r="C4254" s="450" t="s">
        <v>1217</v>
      </c>
      <c r="D4254" s="67"/>
      <c r="E4254" s="67"/>
      <c r="F4254" s="67"/>
      <c r="G4254" s="69"/>
      <c r="H4254" s="589">
        <v>0</v>
      </c>
      <c r="I4254" s="44"/>
      <c r="J4254" s="44"/>
      <c r="K4254" s="44"/>
    </row>
    <row r="4255" spans="3:15" s="59" customFormat="1" ht="21" customHeight="1">
      <c r="C4255" s="288" t="s">
        <v>1218</v>
      </c>
      <c r="D4255" s="76" t="s">
        <v>1219</v>
      </c>
      <c r="E4255" s="77"/>
      <c r="F4255" s="77"/>
      <c r="G4255" s="78"/>
      <c r="H4255" s="585">
        <f>H4254+H4252+H4249</f>
        <v>2057939.9999999998</v>
      </c>
      <c r="I4255" s="369"/>
      <c r="J4255" s="44"/>
      <c r="K4255" s="44"/>
    </row>
    <row r="4256" spans="3:15" s="59" customFormat="1" ht="21" customHeight="1">
      <c r="C4256" s="288" t="s">
        <v>1220</v>
      </c>
      <c r="D4256" s="76" t="s">
        <v>1321</v>
      </c>
      <c r="E4256" s="77"/>
      <c r="F4256" s="78"/>
      <c r="G4256" s="80">
        <v>0.1</v>
      </c>
      <c r="H4256" s="63">
        <f>H4255*G4256</f>
        <v>205794</v>
      </c>
      <c r="I4256" s="369"/>
      <c r="J4256" s="44"/>
      <c r="K4256" s="44"/>
    </row>
    <row r="4257" spans="3:15" s="59" customFormat="1" ht="21" customHeight="1">
      <c r="C4257" s="288" t="s">
        <v>1221</v>
      </c>
      <c r="D4257" s="76" t="s">
        <v>1222</v>
      </c>
      <c r="E4257" s="77"/>
      <c r="F4257" s="77"/>
      <c r="G4257" s="78"/>
      <c r="H4257" s="799">
        <f>SUM(H4255:H4256)</f>
        <v>2263734</v>
      </c>
      <c r="I4257" s="369"/>
      <c r="J4257" s="44"/>
      <c r="K4257" s="44"/>
    </row>
    <row r="4258" spans="3:15" ht="21" customHeight="1"/>
    <row r="4259" spans="3:15" ht="21" customHeight="1"/>
    <row r="4260" spans="3:15" s="59" customFormat="1" ht="21" customHeight="1">
      <c r="C4260" s="147" t="s">
        <v>5460</v>
      </c>
      <c r="D4260" s="794" t="s">
        <v>4264</v>
      </c>
      <c r="E4260" s="795"/>
      <c r="F4260" s="795"/>
      <c r="G4260" s="795"/>
      <c r="H4260" s="795"/>
      <c r="I4260" s="50">
        <f>ROUNDDOWN(H4275,-2)</f>
        <v>3107500</v>
      </c>
      <c r="J4260" s="50"/>
      <c r="K4260" s="50"/>
    </row>
    <row r="4261" spans="3:15" s="59" customFormat="1" ht="21" customHeight="1">
      <c r="C4261" s="591" t="s">
        <v>1195</v>
      </c>
      <c r="D4261" s="591" t="s">
        <v>1196</v>
      </c>
      <c r="E4261" s="591" t="s">
        <v>1197</v>
      </c>
      <c r="F4261" s="591" t="s">
        <v>1198</v>
      </c>
      <c r="G4261" s="591" t="s">
        <v>1199</v>
      </c>
      <c r="H4261" s="591" t="s">
        <v>1200</v>
      </c>
      <c r="I4261" s="44"/>
      <c r="J4261" s="44"/>
      <c r="K4261" s="44"/>
    </row>
    <row r="4262" spans="3:15" s="59" customFormat="1" ht="21" customHeight="1">
      <c r="C4262" s="61" t="s">
        <v>1201</v>
      </c>
      <c r="D4262" s="56" t="s">
        <v>1202</v>
      </c>
      <c r="E4262" s="57"/>
      <c r="F4262" s="57"/>
      <c r="G4262" s="57"/>
      <c r="H4262" s="57"/>
      <c r="I4262" s="44"/>
      <c r="J4262" s="44"/>
      <c r="K4262" s="44"/>
      <c r="L4262" s="152" t="s">
        <v>1247</v>
      </c>
    </row>
    <row r="4263" spans="3:15" s="59" customFormat="1" ht="21" customHeight="1">
      <c r="C4263" s="588">
        <v>1</v>
      </c>
      <c r="D4263" s="56" t="s">
        <v>5</v>
      </c>
      <c r="E4263" s="577" t="s">
        <v>6</v>
      </c>
      <c r="F4263" s="62">
        <v>0.20699999999999999</v>
      </c>
      <c r="G4263" s="63">
        <f>VLOOKUP(D4263,upahbahan,3,FALSE)</f>
        <v>100000</v>
      </c>
      <c r="H4263" s="63">
        <f>F4263*G4263</f>
        <v>20700</v>
      </c>
      <c r="I4263" s="44"/>
      <c r="J4263" s="44"/>
      <c r="K4263" s="44"/>
      <c r="L4263" s="152" t="s">
        <v>1248</v>
      </c>
      <c r="O4263" s="65">
        <v>0.1</v>
      </c>
    </row>
    <row r="4264" spans="3:15" s="59" customFormat="1" ht="21" customHeight="1">
      <c r="C4264" s="588">
        <v>2</v>
      </c>
      <c r="D4264" s="56" t="s">
        <v>10</v>
      </c>
      <c r="E4264" s="577" t="s">
        <v>6</v>
      </c>
      <c r="F4264" s="62">
        <v>0.34599999999999997</v>
      </c>
      <c r="G4264" s="63">
        <f>VLOOKUP(D4264,upahbahan,3,FALSE)</f>
        <v>135000</v>
      </c>
      <c r="H4264" s="63">
        <f>F4264*G4264</f>
        <v>46710</v>
      </c>
      <c r="I4264" s="44"/>
      <c r="J4264" s="44"/>
      <c r="K4264" s="44"/>
    </row>
    <row r="4265" spans="3:15" s="59" customFormat="1" ht="21" customHeight="1">
      <c r="C4265" s="588">
        <v>3</v>
      </c>
      <c r="D4265" s="56" t="s">
        <v>18</v>
      </c>
      <c r="E4265" s="577" t="s">
        <v>6</v>
      </c>
      <c r="F4265" s="62">
        <v>3.5000000000000003E-2</v>
      </c>
      <c r="G4265" s="63">
        <f>VLOOKUP(D4265,upahbahan,3,FALSE)</f>
        <v>150000</v>
      </c>
      <c r="H4265" s="63">
        <f>F4265*G4265</f>
        <v>5250.0000000000009</v>
      </c>
      <c r="I4265" s="44"/>
      <c r="J4265" s="44"/>
      <c r="K4265" s="44"/>
    </row>
    <row r="4266" spans="3:15" s="59" customFormat="1" ht="21" customHeight="1">
      <c r="C4266" s="588">
        <v>4</v>
      </c>
      <c r="D4266" s="56" t="s">
        <v>19</v>
      </c>
      <c r="E4266" s="577" t="s">
        <v>6</v>
      </c>
      <c r="F4266" s="62">
        <v>0.01</v>
      </c>
      <c r="G4266" s="63">
        <f>VLOOKUP(D4266,upahbahan,3,FALSE)</f>
        <v>160000</v>
      </c>
      <c r="H4266" s="63">
        <f>F4266*G4266</f>
        <v>1600</v>
      </c>
      <c r="I4266" s="44"/>
      <c r="J4266" s="44"/>
      <c r="K4266" s="44"/>
    </row>
    <row r="4267" spans="3:15" s="59" customFormat="1" ht="21" customHeight="1">
      <c r="C4267" s="450" t="s">
        <v>1208</v>
      </c>
      <c r="D4267" s="67"/>
      <c r="E4267" s="67"/>
      <c r="F4267" s="142"/>
      <c r="G4267" s="153"/>
      <c r="H4267" s="63">
        <f>SUM(H4263:H4266)</f>
        <v>74260</v>
      </c>
      <c r="I4267" s="154"/>
      <c r="J4267" s="154"/>
      <c r="K4267" s="154"/>
    </row>
    <row r="4268" spans="3:15" s="59" customFormat="1" ht="21" customHeight="1">
      <c r="C4268" s="61" t="s">
        <v>1209</v>
      </c>
      <c r="D4268" s="56" t="s">
        <v>1210</v>
      </c>
      <c r="E4268" s="57"/>
      <c r="F4268" s="57"/>
      <c r="G4268" s="57"/>
      <c r="H4268" s="57"/>
      <c r="I4268" s="44"/>
      <c r="J4268" s="44"/>
      <c r="K4268" s="44"/>
    </row>
    <row r="4269" spans="3:15" s="59" customFormat="1" ht="21" customHeight="1">
      <c r="C4269" s="61">
        <v>1</v>
      </c>
      <c r="D4269" s="56" t="s">
        <v>4267</v>
      </c>
      <c r="E4269" s="93" t="s">
        <v>4259</v>
      </c>
      <c r="F4269" s="104">
        <v>1.1499999999999999</v>
      </c>
      <c r="G4269" s="63">
        <f>VLOOKUP(D4269,upahbahan,3,FALSE)</f>
        <v>2392000</v>
      </c>
      <c r="H4269" s="586">
        <f>G4269*F4269</f>
        <v>2750800</v>
      </c>
      <c r="I4269" s="44"/>
      <c r="J4269" s="44"/>
      <c r="K4269" s="44"/>
    </row>
    <row r="4270" spans="3:15" s="59" customFormat="1" ht="21" customHeight="1">
      <c r="C4270" s="450" t="s">
        <v>1214</v>
      </c>
      <c r="D4270" s="67"/>
      <c r="E4270" s="67"/>
      <c r="F4270" s="67"/>
      <c r="G4270" s="69"/>
      <c r="H4270" s="63">
        <f>SUM(H4269:H4269)</f>
        <v>2750800</v>
      </c>
      <c r="I4270" s="44"/>
      <c r="J4270" s="44"/>
      <c r="K4270" s="44"/>
    </row>
    <row r="4271" spans="3:15" s="59" customFormat="1" ht="21" customHeight="1">
      <c r="C4271" s="61" t="s">
        <v>1215</v>
      </c>
      <c r="D4271" s="56" t="s">
        <v>1216</v>
      </c>
      <c r="E4271" s="57"/>
      <c r="F4271" s="57"/>
      <c r="G4271" s="57"/>
      <c r="H4271" s="57"/>
      <c r="I4271" s="44"/>
      <c r="J4271" s="44"/>
      <c r="K4271" s="44"/>
    </row>
    <row r="4272" spans="3:15" s="59" customFormat="1" ht="21" customHeight="1">
      <c r="C4272" s="450" t="s">
        <v>1217</v>
      </c>
      <c r="D4272" s="67"/>
      <c r="E4272" s="67"/>
      <c r="F4272" s="67"/>
      <c r="G4272" s="69"/>
      <c r="H4272" s="589">
        <v>0</v>
      </c>
      <c r="I4272" s="44"/>
      <c r="J4272" s="44"/>
      <c r="K4272" s="44"/>
    </row>
    <row r="4273" spans="3:15" s="59" customFormat="1" ht="21" customHeight="1">
      <c r="C4273" s="288" t="s">
        <v>1218</v>
      </c>
      <c r="D4273" s="76" t="s">
        <v>1219</v>
      </c>
      <c r="E4273" s="77"/>
      <c r="F4273" s="77"/>
      <c r="G4273" s="78"/>
      <c r="H4273" s="585">
        <f>H4272+H4270+H4267</f>
        <v>2825060</v>
      </c>
      <c r="I4273" s="369"/>
      <c r="J4273" s="44"/>
      <c r="K4273" s="44"/>
    </row>
    <row r="4274" spans="3:15" s="59" customFormat="1" ht="21" customHeight="1">
      <c r="C4274" s="288" t="s">
        <v>1220</v>
      </c>
      <c r="D4274" s="76" t="s">
        <v>1321</v>
      </c>
      <c r="E4274" s="77"/>
      <c r="F4274" s="78"/>
      <c r="G4274" s="80">
        <v>0.1</v>
      </c>
      <c r="H4274" s="63">
        <f>H4273*G4274</f>
        <v>282506</v>
      </c>
      <c r="I4274" s="369"/>
      <c r="J4274" s="44"/>
      <c r="K4274" s="44"/>
    </row>
    <row r="4275" spans="3:15" s="59" customFormat="1" ht="21" customHeight="1">
      <c r="C4275" s="288" t="s">
        <v>1221</v>
      </c>
      <c r="D4275" s="76" t="s">
        <v>1222</v>
      </c>
      <c r="E4275" s="77"/>
      <c r="F4275" s="77"/>
      <c r="G4275" s="78"/>
      <c r="H4275" s="799">
        <f>SUM(H4273:H4274)</f>
        <v>3107566</v>
      </c>
      <c r="I4275" s="369"/>
      <c r="J4275" s="44"/>
      <c r="K4275" s="44"/>
    </row>
    <row r="4276" spans="3:15" ht="21" customHeight="1"/>
    <row r="4277" spans="3:15" s="59" customFormat="1" ht="21" customHeight="1">
      <c r="C4277" s="147" t="s">
        <v>5461</v>
      </c>
      <c r="D4277" s="794" t="s">
        <v>4268</v>
      </c>
      <c r="E4277" s="795"/>
      <c r="F4277" s="795"/>
      <c r="G4277" s="795"/>
      <c r="H4277" s="795"/>
      <c r="I4277" s="50">
        <f>ROUNDDOWN(H4292,-2)</f>
        <v>4046900</v>
      </c>
      <c r="J4277" s="50"/>
      <c r="K4277" s="50"/>
    </row>
    <row r="4278" spans="3:15" s="59" customFormat="1" ht="21" customHeight="1">
      <c r="C4278" s="591" t="s">
        <v>1195</v>
      </c>
      <c r="D4278" s="591" t="s">
        <v>1196</v>
      </c>
      <c r="E4278" s="591" t="s">
        <v>1197</v>
      </c>
      <c r="F4278" s="591" t="s">
        <v>1198</v>
      </c>
      <c r="G4278" s="591" t="s">
        <v>1199</v>
      </c>
      <c r="H4278" s="591" t="s">
        <v>1200</v>
      </c>
      <c r="I4278" s="44"/>
      <c r="J4278" s="44"/>
      <c r="K4278" s="44"/>
    </row>
    <row r="4279" spans="3:15" s="59" customFormat="1" ht="21" customHeight="1">
      <c r="C4279" s="61" t="s">
        <v>1201</v>
      </c>
      <c r="D4279" s="56" t="s">
        <v>1202</v>
      </c>
      <c r="E4279" s="57"/>
      <c r="F4279" s="57"/>
      <c r="G4279" s="57"/>
      <c r="H4279" s="57"/>
      <c r="I4279" s="44"/>
      <c r="J4279" s="44"/>
      <c r="K4279" s="44"/>
      <c r="L4279" s="152" t="s">
        <v>1247</v>
      </c>
    </row>
    <row r="4280" spans="3:15" s="59" customFormat="1" ht="21" customHeight="1">
      <c r="C4280" s="588">
        <v>1</v>
      </c>
      <c r="D4280" s="56" t="s">
        <v>5</v>
      </c>
      <c r="E4280" s="577" t="s">
        <v>6</v>
      </c>
      <c r="F4280" s="62">
        <v>0.47099999999999997</v>
      </c>
      <c r="G4280" s="63">
        <f>VLOOKUP(D4280,upahbahan,3,FALSE)</f>
        <v>100000</v>
      </c>
      <c r="H4280" s="63">
        <f>F4280*G4280</f>
        <v>47100</v>
      </c>
      <c r="I4280" s="44"/>
      <c r="J4280" s="44"/>
      <c r="K4280" s="44"/>
      <c r="L4280" s="152" t="s">
        <v>1248</v>
      </c>
      <c r="O4280" s="65">
        <v>0.1</v>
      </c>
    </row>
    <row r="4281" spans="3:15" s="59" customFormat="1" ht="21" customHeight="1">
      <c r="C4281" s="588">
        <v>2</v>
      </c>
      <c r="D4281" s="56" t="s">
        <v>10</v>
      </c>
      <c r="E4281" s="577" t="s">
        <v>6</v>
      </c>
      <c r="F4281" s="62">
        <v>0.78700000000000003</v>
      </c>
      <c r="G4281" s="63">
        <f>VLOOKUP(D4281,upahbahan,3,FALSE)</f>
        <v>135000</v>
      </c>
      <c r="H4281" s="63">
        <f>F4281*G4281</f>
        <v>106245</v>
      </c>
      <c r="I4281" s="44"/>
      <c r="J4281" s="44"/>
      <c r="K4281" s="44"/>
    </row>
    <row r="4282" spans="3:15" s="59" customFormat="1" ht="21" customHeight="1">
      <c r="C4282" s="588">
        <v>3</v>
      </c>
      <c r="D4282" s="56" t="s">
        <v>18</v>
      </c>
      <c r="E4282" s="577" t="s">
        <v>6</v>
      </c>
      <c r="F4282" s="62">
        <v>7.9000000000000001E-2</v>
      </c>
      <c r="G4282" s="63">
        <f>VLOOKUP(D4282,upahbahan,3,FALSE)</f>
        <v>150000</v>
      </c>
      <c r="H4282" s="63">
        <f>F4282*G4282</f>
        <v>11850</v>
      </c>
      <c r="I4282" s="44"/>
      <c r="J4282" s="44"/>
      <c r="K4282" s="44"/>
    </row>
    <row r="4283" spans="3:15" s="59" customFormat="1" ht="21" customHeight="1">
      <c r="C4283" s="588">
        <v>4</v>
      </c>
      <c r="D4283" s="56" t="s">
        <v>19</v>
      </c>
      <c r="E4283" s="577" t="s">
        <v>6</v>
      </c>
      <c r="F4283" s="62">
        <v>2.4E-2</v>
      </c>
      <c r="G4283" s="63">
        <f>VLOOKUP(D4283,upahbahan,3,FALSE)</f>
        <v>160000</v>
      </c>
      <c r="H4283" s="63">
        <f>F4283*G4283</f>
        <v>3840</v>
      </c>
      <c r="I4283" s="44"/>
      <c r="J4283" s="44"/>
      <c r="K4283" s="44"/>
    </row>
    <row r="4284" spans="3:15" s="59" customFormat="1" ht="21" customHeight="1">
      <c r="C4284" s="450" t="s">
        <v>1208</v>
      </c>
      <c r="D4284" s="67"/>
      <c r="E4284" s="67"/>
      <c r="F4284" s="142"/>
      <c r="G4284" s="153"/>
      <c r="H4284" s="63">
        <f>SUM(H4280:H4283)</f>
        <v>169035</v>
      </c>
      <c r="I4284" s="154"/>
      <c r="J4284" s="154"/>
      <c r="K4284" s="154"/>
    </row>
    <row r="4285" spans="3:15" s="59" customFormat="1" ht="21" customHeight="1">
      <c r="C4285" s="61" t="s">
        <v>1209</v>
      </c>
      <c r="D4285" s="56" t="s">
        <v>1210</v>
      </c>
      <c r="E4285" s="57"/>
      <c r="F4285" s="57"/>
      <c r="G4285" s="57"/>
      <c r="H4285" s="57"/>
      <c r="I4285" s="44"/>
      <c r="J4285" s="44"/>
      <c r="K4285" s="44"/>
    </row>
    <row r="4286" spans="3:15" s="59" customFormat="1" ht="21" customHeight="1">
      <c r="C4286" s="61">
        <v>1</v>
      </c>
      <c r="D4286" s="56" t="s">
        <v>4269</v>
      </c>
      <c r="E4286" s="93" t="s">
        <v>4271</v>
      </c>
      <c r="F4286" s="104">
        <v>1.3</v>
      </c>
      <c r="G4286" s="63">
        <f>VLOOKUP(D4286,upahbahan,3,FALSE)</f>
        <v>2700000</v>
      </c>
      <c r="H4286" s="586">
        <f>G4286*F4286</f>
        <v>3510000</v>
      </c>
      <c r="I4286" s="44"/>
      <c r="J4286" s="44"/>
      <c r="K4286" s="44"/>
    </row>
    <row r="4287" spans="3:15" s="59" customFormat="1" ht="21" customHeight="1">
      <c r="C4287" s="450" t="s">
        <v>1214</v>
      </c>
      <c r="D4287" s="67"/>
      <c r="E4287" s="67"/>
      <c r="F4287" s="67"/>
      <c r="G4287" s="69"/>
      <c r="H4287" s="63">
        <f>SUM(H4286:H4286)</f>
        <v>3510000</v>
      </c>
      <c r="I4287" s="44"/>
      <c r="J4287" s="44"/>
      <c r="K4287" s="44"/>
    </row>
    <row r="4288" spans="3:15" s="59" customFormat="1" ht="21" customHeight="1">
      <c r="C4288" s="61" t="s">
        <v>1215</v>
      </c>
      <c r="D4288" s="56" t="s">
        <v>1216</v>
      </c>
      <c r="E4288" s="57"/>
      <c r="F4288" s="57"/>
      <c r="G4288" s="57"/>
      <c r="H4288" s="57"/>
      <c r="I4288" s="44"/>
      <c r="J4288" s="44"/>
      <c r="K4288" s="44"/>
    </row>
    <row r="4289" spans="3:15" s="59" customFormat="1" ht="21" customHeight="1">
      <c r="C4289" s="450" t="s">
        <v>1217</v>
      </c>
      <c r="D4289" s="67"/>
      <c r="E4289" s="67"/>
      <c r="F4289" s="67"/>
      <c r="G4289" s="69"/>
      <c r="H4289" s="589">
        <v>0</v>
      </c>
      <c r="I4289" s="44"/>
      <c r="J4289" s="44"/>
      <c r="K4289" s="44"/>
    </row>
    <row r="4290" spans="3:15" s="59" customFormat="1" ht="21" customHeight="1">
      <c r="C4290" s="288" t="s">
        <v>1218</v>
      </c>
      <c r="D4290" s="76" t="s">
        <v>1219</v>
      </c>
      <c r="E4290" s="77"/>
      <c r="F4290" s="77"/>
      <c r="G4290" s="78"/>
      <c r="H4290" s="585">
        <f>H4289+H4287+H4284</f>
        <v>3679035</v>
      </c>
      <c r="I4290" s="369"/>
      <c r="J4290" s="44"/>
      <c r="K4290" s="44"/>
    </row>
    <row r="4291" spans="3:15" s="59" customFormat="1" ht="21" customHeight="1">
      <c r="C4291" s="288" t="s">
        <v>1220</v>
      </c>
      <c r="D4291" s="76" t="s">
        <v>1321</v>
      </c>
      <c r="E4291" s="77"/>
      <c r="F4291" s="78"/>
      <c r="G4291" s="80">
        <v>0.1</v>
      </c>
      <c r="H4291" s="63">
        <f>H4290*G4291</f>
        <v>367903.5</v>
      </c>
      <c r="I4291" s="369"/>
      <c r="J4291" s="44"/>
      <c r="K4291" s="44"/>
    </row>
    <row r="4292" spans="3:15" s="59" customFormat="1" ht="21" customHeight="1">
      <c r="C4292" s="288" t="s">
        <v>1221</v>
      </c>
      <c r="D4292" s="76" t="s">
        <v>1222</v>
      </c>
      <c r="E4292" s="77"/>
      <c r="F4292" s="77"/>
      <c r="G4292" s="78"/>
      <c r="H4292" s="799">
        <f>SUM(H4290:H4291)</f>
        <v>4046938.5</v>
      </c>
      <c r="I4292" s="369"/>
      <c r="J4292" s="44"/>
      <c r="K4292" s="44"/>
    </row>
    <row r="4293" spans="3:15" ht="21" customHeight="1"/>
    <row r="4294" spans="3:15" s="59" customFormat="1" ht="21" customHeight="1">
      <c r="C4294" s="147" t="s">
        <v>5462</v>
      </c>
      <c r="D4294" s="794" t="s">
        <v>4270</v>
      </c>
      <c r="E4294" s="795"/>
      <c r="F4294" s="795"/>
      <c r="G4294" s="795"/>
      <c r="H4294" s="795"/>
      <c r="I4294" s="50">
        <f>ROUNDDOWN(H4309,-2)</f>
        <v>4510200</v>
      </c>
      <c r="J4294" s="50"/>
      <c r="K4294" s="50"/>
    </row>
    <row r="4295" spans="3:15" s="59" customFormat="1" ht="21" customHeight="1">
      <c r="C4295" s="591" t="s">
        <v>1195</v>
      </c>
      <c r="D4295" s="591" t="s">
        <v>1196</v>
      </c>
      <c r="E4295" s="591" t="s">
        <v>1197</v>
      </c>
      <c r="F4295" s="591" t="s">
        <v>1198</v>
      </c>
      <c r="G4295" s="591" t="s">
        <v>1199</v>
      </c>
      <c r="H4295" s="591" t="s">
        <v>1200</v>
      </c>
      <c r="I4295" s="44"/>
      <c r="J4295" s="44"/>
      <c r="K4295" s="44"/>
    </row>
    <row r="4296" spans="3:15" s="59" customFormat="1" ht="21" customHeight="1">
      <c r="C4296" s="61" t="s">
        <v>1201</v>
      </c>
      <c r="D4296" s="56" t="s">
        <v>1202</v>
      </c>
      <c r="E4296" s="57"/>
      <c r="F4296" s="57"/>
      <c r="G4296" s="57"/>
      <c r="H4296" s="57"/>
      <c r="I4296" s="44"/>
      <c r="J4296" s="44"/>
      <c r="K4296" s="44"/>
      <c r="L4296" s="152" t="s">
        <v>1247</v>
      </c>
    </row>
    <row r="4297" spans="3:15" s="59" customFormat="1" ht="21" customHeight="1">
      <c r="C4297" s="588">
        <v>1</v>
      </c>
      <c r="D4297" s="56" t="s">
        <v>5</v>
      </c>
      <c r="E4297" s="577" t="s">
        <v>6</v>
      </c>
      <c r="F4297" s="62">
        <v>0.63100000000000001</v>
      </c>
      <c r="G4297" s="63">
        <f>VLOOKUP(D4297,upahbahan,3,FALSE)</f>
        <v>100000</v>
      </c>
      <c r="H4297" s="63">
        <f>F4297*G4297</f>
        <v>63100</v>
      </c>
      <c r="I4297" s="44"/>
      <c r="J4297" s="44"/>
      <c r="K4297" s="44"/>
      <c r="L4297" s="152" t="s">
        <v>1248</v>
      </c>
      <c r="O4297" s="65">
        <v>0.1</v>
      </c>
    </row>
    <row r="4298" spans="3:15" s="59" customFormat="1" ht="21" customHeight="1">
      <c r="C4298" s="588">
        <v>2</v>
      </c>
      <c r="D4298" s="56" t="s">
        <v>10</v>
      </c>
      <c r="E4298" s="577" t="s">
        <v>6</v>
      </c>
      <c r="F4298" s="62">
        <v>1.054</v>
      </c>
      <c r="G4298" s="63">
        <f>VLOOKUP(D4298,upahbahan,3,FALSE)</f>
        <v>135000</v>
      </c>
      <c r="H4298" s="63">
        <f>F4298*G4298</f>
        <v>142290</v>
      </c>
      <c r="I4298" s="44"/>
      <c r="J4298" s="44"/>
      <c r="K4298" s="44"/>
    </row>
    <row r="4299" spans="3:15" s="59" customFormat="1" ht="21" customHeight="1">
      <c r="C4299" s="588">
        <v>3</v>
      </c>
      <c r="D4299" s="56" t="s">
        <v>18</v>
      </c>
      <c r="E4299" s="577" t="s">
        <v>6</v>
      </c>
      <c r="F4299" s="62">
        <v>0.105</v>
      </c>
      <c r="G4299" s="63">
        <f>VLOOKUP(D4299,upahbahan,3,FALSE)</f>
        <v>150000</v>
      </c>
      <c r="H4299" s="63">
        <f>F4299*G4299</f>
        <v>15750</v>
      </c>
      <c r="I4299" s="44"/>
      <c r="J4299" s="44"/>
      <c r="K4299" s="44"/>
    </row>
    <row r="4300" spans="3:15" s="59" customFormat="1" ht="21" customHeight="1">
      <c r="C4300" s="588">
        <v>4</v>
      </c>
      <c r="D4300" s="56" t="s">
        <v>19</v>
      </c>
      <c r="E4300" s="577" t="s">
        <v>6</v>
      </c>
      <c r="F4300" s="62">
        <v>3.2000000000000001E-2</v>
      </c>
      <c r="G4300" s="63">
        <f>VLOOKUP(D4300,upahbahan,3,FALSE)</f>
        <v>160000</v>
      </c>
      <c r="H4300" s="63">
        <f>F4300*G4300</f>
        <v>5120</v>
      </c>
      <c r="I4300" s="44"/>
      <c r="J4300" s="44"/>
      <c r="K4300" s="44"/>
    </row>
    <row r="4301" spans="3:15" s="59" customFormat="1" ht="21" customHeight="1">
      <c r="C4301" s="450" t="s">
        <v>1208</v>
      </c>
      <c r="D4301" s="67"/>
      <c r="E4301" s="67"/>
      <c r="F4301" s="142"/>
      <c r="G4301" s="153"/>
      <c r="H4301" s="63">
        <f>SUM(H4297:H4300)</f>
        <v>226260</v>
      </c>
      <c r="I4301" s="154"/>
      <c r="J4301" s="154"/>
      <c r="K4301" s="154"/>
    </row>
    <row r="4302" spans="3:15" s="59" customFormat="1" ht="21" customHeight="1">
      <c r="C4302" s="61" t="s">
        <v>1209</v>
      </c>
      <c r="D4302" s="56" t="s">
        <v>1210</v>
      </c>
      <c r="E4302" s="57"/>
      <c r="F4302" s="57"/>
      <c r="G4302" s="57"/>
      <c r="H4302" s="57"/>
      <c r="I4302" s="44"/>
      <c r="J4302" s="44"/>
      <c r="K4302" s="44"/>
    </row>
    <row r="4303" spans="3:15" s="59" customFormat="1" ht="21" customHeight="1">
      <c r="C4303" s="61">
        <v>1</v>
      </c>
      <c r="D4303" s="56" t="s">
        <v>4272</v>
      </c>
      <c r="E4303" s="93" t="s">
        <v>4259</v>
      </c>
      <c r="F4303" s="104">
        <v>1.3</v>
      </c>
      <c r="G4303" s="63">
        <f>VLOOKUP(D4303,upahbahan,3,FALSE)</f>
        <v>2980000</v>
      </c>
      <c r="H4303" s="586">
        <f>G4303*F4303</f>
        <v>3874000</v>
      </c>
      <c r="I4303" s="44"/>
      <c r="J4303" s="44"/>
      <c r="K4303" s="44"/>
    </row>
    <row r="4304" spans="3:15" s="59" customFormat="1" ht="21" customHeight="1">
      <c r="C4304" s="450" t="s">
        <v>1214</v>
      </c>
      <c r="D4304" s="67"/>
      <c r="E4304" s="67"/>
      <c r="F4304" s="67"/>
      <c r="G4304" s="69"/>
      <c r="H4304" s="63">
        <f>SUM(H4303:H4303)</f>
        <v>3874000</v>
      </c>
      <c r="I4304" s="44"/>
      <c r="J4304" s="44"/>
      <c r="K4304" s="44"/>
    </row>
    <row r="4305" spans="3:15" s="59" customFormat="1" ht="21" customHeight="1">
      <c r="C4305" s="61" t="s">
        <v>1215</v>
      </c>
      <c r="D4305" s="56" t="s">
        <v>1216</v>
      </c>
      <c r="E4305" s="57"/>
      <c r="F4305" s="57"/>
      <c r="G4305" s="57"/>
      <c r="H4305" s="57"/>
      <c r="I4305" s="44"/>
      <c r="J4305" s="44"/>
      <c r="K4305" s="44"/>
    </row>
    <row r="4306" spans="3:15" s="59" customFormat="1" ht="21" customHeight="1">
      <c r="C4306" s="450" t="s">
        <v>1217</v>
      </c>
      <c r="D4306" s="67"/>
      <c r="E4306" s="67"/>
      <c r="F4306" s="67"/>
      <c r="G4306" s="69"/>
      <c r="H4306" s="589">
        <v>0</v>
      </c>
      <c r="I4306" s="44"/>
      <c r="J4306" s="44"/>
      <c r="K4306" s="44"/>
    </row>
    <row r="4307" spans="3:15" s="59" customFormat="1" ht="21" customHeight="1">
      <c r="C4307" s="288" t="s">
        <v>1218</v>
      </c>
      <c r="D4307" s="76" t="s">
        <v>1219</v>
      </c>
      <c r="E4307" s="77"/>
      <c r="F4307" s="77"/>
      <c r="G4307" s="78"/>
      <c r="H4307" s="585">
        <f>H4306+H4304+H4301</f>
        <v>4100260</v>
      </c>
      <c r="I4307" s="369"/>
      <c r="J4307" s="44"/>
      <c r="K4307" s="44"/>
    </row>
    <row r="4308" spans="3:15" s="59" customFormat="1" ht="21" customHeight="1">
      <c r="C4308" s="288" t="s">
        <v>1220</v>
      </c>
      <c r="D4308" s="76" t="s">
        <v>1321</v>
      </c>
      <c r="E4308" s="77"/>
      <c r="F4308" s="78"/>
      <c r="G4308" s="80">
        <v>0.1</v>
      </c>
      <c r="H4308" s="63">
        <f>H4307*G4308</f>
        <v>410026</v>
      </c>
      <c r="I4308" s="369"/>
      <c r="J4308" s="44"/>
      <c r="K4308" s="44"/>
    </row>
    <row r="4309" spans="3:15" s="59" customFormat="1" ht="21" customHeight="1">
      <c r="C4309" s="288" t="s">
        <v>1221</v>
      </c>
      <c r="D4309" s="76" t="s">
        <v>1222</v>
      </c>
      <c r="E4309" s="77"/>
      <c r="F4309" s="77"/>
      <c r="G4309" s="78"/>
      <c r="H4309" s="799">
        <f>SUM(H4307:H4308)</f>
        <v>4510286</v>
      </c>
      <c r="I4309" s="369"/>
      <c r="J4309" s="44"/>
      <c r="K4309" s="44"/>
    </row>
    <row r="4310" spans="3:15" ht="21" customHeight="1"/>
    <row r="4311" spans="3:15" s="59" customFormat="1" ht="21" customHeight="1">
      <c r="C4311" s="147" t="s">
        <v>5463</v>
      </c>
      <c r="D4311" s="794" t="s">
        <v>4273</v>
      </c>
      <c r="E4311" s="795"/>
      <c r="F4311" s="795"/>
      <c r="G4311" s="795"/>
      <c r="H4311" s="795"/>
      <c r="I4311" s="50">
        <f>ROUNDDOWN(H4326,-2)</f>
        <v>5436200</v>
      </c>
      <c r="J4311" s="50"/>
      <c r="K4311" s="50"/>
    </row>
    <row r="4312" spans="3:15" s="59" customFormat="1" ht="21" customHeight="1">
      <c r="C4312" s="591" t="s">
        <v>1195</v>
      </c>
      <c r="D4312" s="591" t="s">
        <v>1196</v>
      </c>
      <c r="E4312" s="591" t="s">
        <v>1197</v>
      </c>
      <c r="F4312" s="591" t="s">
        <v>1198</v>
      </c>
      <c r="G4312" s="591" t="s">
        <v>1199</v>
      </c>
      <c r="H4312" s="591" t="s">
        <v>1200</v>
      </c>
      <c r="I4312" s="44"/>
      <c r="J4312" s="44"/>
      <c r="K4312" s="44"/>
    </row>
    <row r="4313" spans="3:15" s="59" customFormat="1" ht="21" customHeight="1">
      <c r="C4313" s="61" t="s">
        <v>1201</v>
      </c>
      <c r="D4313" s="56" t="s">
        <v>1202</v>
      </c>
      <c r="E4313" s="57"/>
      <c r="F4313" s="57"/>
      <c r="G4313" s="57"/>
      <c r="H4313" s="57"/>
      <c r="I4313" s="44"/>
      <c r="J4313" s="44"/>
      <c r="K4313" s="44"/>
      <c r="L4313" s="152" t="s">
        <v>1247</v>
      </c>
    </row>
    <row r="4314" spans="3:15" s="59" customFormat="1" ht="21" customHeight="1">
      <c r="C4314" s="588">
        <v>1</v>
      </c>
      <c r="D4314" s="56" t="s">
        <v>5</v>
      </c>
      <c r="E4314" s="577" t="s">
        <v>6</v>
      </c>
      <c r="F4314" s="62">
        <v>0.94499999999999995</v>
      </c>
      <c r="G4314" s="63">
        <f>VLOOKUP(D4314,upahbahan,3,FALSE)</f>
        <v>100000</v>
      </c>
      <c r="H4314" s="63">
        <f>F4314*G4314</f>
        <v>94500</v>
      </c>
      <c r="I4314" s="44"/>
      <c r="J4314" s="44"/>
      <c r="K4314" s="44"/>
      <c r="L4314" s="152" t="s">
        <v>1248</v>
      </c>
      <c r="O4314" s="65">
        <v>0.1</v>
      </c>
    </row>
    <row r="4315" spans="3:15" s="59" customFormat="1" ht="21" customHeight="1">
      <c r="C4315" s="588">
        <v>2</v>
      </c>
      <c r="D4315" s="56" t="s">
        <v>10</v>
      </c>
      <c r="E4315" s="577" t="s">
        <v>6</v>
      </c>
      <c r="F4315" s="62">
        <v>1.579</v>
      </c>
      <c r="G4315" s="63">
        <f>VLOOKUP(D4315,upahbahan,3,FALSE)</f>
        <v>135000</v>
      </c>
      <c r="H4315" s="63">
        <f>F4315*G4315</f>
        <v>213165</v>
      </c>
      <c r="I4315" s="44"/>
      <c r="J4315" s="44"/>
      <c r="K4315" s="44"/>
    </row>
    <row r="4316" spans="3:15" s="59" customFormat="1" ht="21" customHeight="1">
      <c r="C4316" s="588">
        <v>3</v>
      </c>
      <c r="D4316" s="56" t="s">
        <v>18</v>
      </c>
      <c r="E4316" s="577" t="s">
        <v>6</v>
      </c>
      <c r="F4316" s="62">
        <v>0.158</v>
      </c>
      <c r="G4316" s="63">
        <f>VLOOKUP(D4316,upahbahan,3,FALSE)</f>
        <v>150000</v>
      </c>
      <c r="H4316" s="63">
        <f>F4316*G4316</f>
        <v>23700</v>
      </c>
      <c r="I4316" s="44"/>
      <c r="J4316" s="44"/>
      <c r="K4316" s="44"/>
    </row>
    <row r="4317" spans="3:15" s="59" customFormat="1" ht="21" customHeight="1">
      <c r="C4317" s="588">
        <v>4</v>
      </c>
      <c r="D4317" s="56" t="s">
        <v>19</v>
      </c>
      <c r="E4317" s="577" t="s">
        <v>6</v>
      </c>
      <c r="F4317" s="62">
        <v>4.7E-2</v>
      </c>
      <c r="G4317" s="63">
        <f>VLOOKUP(D4317,upahbahan,3,FALSE)</f>
        <v>160000</v>
      </c>
      <c r="H4317" s="63">
        <f>F4317*G4317</f>
        <v>7520</v>
      </c>
      <c r="I4317" s="44"/>
      <c r="J4317" s="44"/>
      <c r="K4317" s="44"/>
    </row>
    <row r="4318" spans="3:15" s="59" customFormat="1" ht="21" customHeight="1">
      <c r="C4318" s="450" t="s">
        <v>1208</v>
      </c>
      <c r="D4318" s="67"/>
      <c r="E4318" s="67"/>
      <c r="F4318" s="142"/>
      <c r="G4318" s="153"/>
      <c r="H4318" s="63">
        <f>SUM(H4314:H4317)</f>
        <v>338885</v>
      </c>
      <c r="I4318" s="154"/>
      <c r="J4318" s="154"/>
      <c r="K4318" s="154"/>
    </row>
    <row r="4319" spans="3:15" s="59" customFormat="1" ht="21" customHeight="1">
      <c r="C4319" s="61" t="s">
        <v>1209</v>
      </c>
      <c r="D4319" s="56" t="s">
        <v>1210</v>
      </c>
      <c r="E4319" s="57"/>
      <c r="F4319" s="57"/>
      <c r="G4319" s="57"/>
      <c r="H4319" s="57"/>
      <c r="I4319" s="44"/>
      <c r="J4319" s="44"/>
      <c r="K4319" s="44"/>
    </row>
    <row r="4320" spans="3:15" s="59" customFormat="1" ht="21" customHeight="1">
      <c r="C4320" s="61">
        <v>1</v>
      </c>
      <c r="D4320" s="56" t="s">
        <v>4274</v>
      </c>
      <c r="E4320" s="93" t="s">
        <v>4259</v>
      </c>
      <c r="F4320" s="104">
        <v>1.3</v>
      </c>
      <c r="G4320" s="63">
        <f>VLOOKUP(D4320,upahbahan,3,FALSE)</f>
        <v>3540900</v>
      </c>
      <c r="H4320" s="586">
        <f>G4320*F4320</f>
        <v>4603170</v>
      </c>
      <c r="I4320" s="44"/>
      <c r="J4320" s="44"/>
      <c r="K4320" s="44"/>
    </row>
    <row r="4321" spans="3:15" s="59" customFormat="1" ht="21" customHeight="1">
      <c r="C4321" s="450" t="s">
        <v>1214</v>
      </c>
      <c r="D4321" s="67"/>
      <c r="E4321" s="67"/>
      <c r="F4321" s="67"/>
      <c r="G4321" s="69"/>
      <c r="H4321" s="63">
        <f>SUM(H4320:H4320)</f>
        <v>4603170</v>
      </c>
      <c r="I4321" s="44"/>
      <c r="J4321" s="44"/>
      <c r="K4321" s="44"/>
    </row>
    <row r="4322" spans="3:15" s="59" customFormat="1" ht="21" customHeight="1">
      <c r="C4322" s="61" t="s">
        <v>1215</v>
      </c>
      <c r="D4322" s="56" t="s">
        <v>1216</v>
      </c>
      <c r="E4322" s="57"/>
      <c r="F4322" s="57"/>
      <c r="G4322" s="57"/>
      <c r="H4322" s="57"/>
      <c r="I4322" s="44"/>
      <c r="J4322" s="44"/>
      <c r="K4322" s="44"/>
    </row>
    <row r="4323" spans="3:15" s="59" customFormat="1" ht="21" customHeight="1">
      <c r="C4323" s="450" t="s">
        <v>1217</v>
      </c>
      <c r="D4323" s="67"/>
      <c r="E4323" s="67"/>
      <c r="F4323" s="67"/>
      <c r="G4323" s="69"/>
      <c r="H4323" s="589">
        <v>0</v>
      </c>
      <c r="I4323" s="44"/>
      <c r="J4323" s="44"/>
      <c r="K4323" s="44"/>
    </row>
    <row r="4324" spans="3:15" s="59" customFormat="1" ht="21" customHeight="1">
      <c r="C4324" s="288" t="s">
        <v>1218</v>
      </c>
      <c r="D4324" s="76" t="s">
        <v>1219</v>
      </c>
      <c r="E4324" s="77"/>
      <c r="F4324" s="77"/>
      <c r="G4324" s="78"/>
      <c r="H4324" s="585">
        <f>H4323+H4321+H4318</f>
        <v>4942055</v>
      </c>
      <c r="I4324" s="369"/>
      <c r="J4324" s="44"/>
      <c r="K4324" s="44"/>
    </row>
    <row r="4325" spans="3:15" s="59" customFormat="1" ht="21" customHeight="1">
      <c r="C4325" s="288" t="s">
        <v>1220</v>
      </c>
      <c r="D4325" s="76" t="s">
        <v>1321</v>
      </c>
      <c r="E4325" s="77"/>
      <c r="F4325" s="78"/>
      <c r="G4325" s="80">
        <v>0.1</v>
      </c>
      <c r="H4325" s="63">
        <f>H4324*G4325</f>
        <v>494205.5</v>
      </c>
      <c r="I4325" s="369"/>
      <c r="J4325" s="44"/>
      <c r="K4325" s="44"/>
    </row>
    <row r="4326" spans="3:15" s="59" customFormat="1" ht="21" customHeight="1">
      <c r="C4326" s="288" t="s">
        <v>1221</v>
      </c>
      <c r="D4326" s="76" t="s">
        <v>1222</v>
      </c>
      <c r="E4326" s="77"/>
      <c r="F4326" s="77"/>
      <c r="G4326" s="78"/>
      <c r="H4326" s="799">
        <f>SUM(H4324:H4325)</f>
        <v>5436260.5</v>
      </c>
      <c r="I4326" s="369"/>
      <c r="J4326" s="44"/>
      <c r="K4326" s="44"/>
    </row>
    <row r="4327" spans="3:15" ht="21" customHeight="1"/>
    <row r="4328" spans="3:15" s="59" customFormat="1" ht="21" customHeight="1">
      <c r="C4328" s="147" t="s">
        <v>5464</v>
      </c>
      <c r="D4328" s="794" t="s">
        <v>4275</v>
      </c>
      <c r="E4328" s="795"/>
      <c r="F4328" s="795"/>
      <c r="G4328" s="795"/>
      <c r="H4328" s="795"/>
      <c r="I4328" s="50">
        <f>ROUNDDOWN(H4343,-2)</f>
        <v>6140800</v>
      </c>
      <c r="J4328" s="50"/>
      <c r="K4328" s="50"/>
    </row>
    <row r="4329" spans="3:15" s="59" customFormat="1" ht="21" customHeight="1">
      <c r="C4329" s="591" t="s">
        <v>1195</v>
      </c>
      <c r="D4329" s="591" t="s">
        <v>1196</v>
      </c>
      <c r="E4329" s="591" t="s">
        <v>1197</v>
      </c>
      <c r="F4329" s="591" t="s">
        <v>1198</v>
      </c>
      <c r="G4329" s="591" t="s">
        <v>1199</v>
      </c>
      <c r="H4329" s="591" t="s">
        <v>1200</v>
      </c>
      <c r="I4329" s="44"/>
      <c r="J4329" s="44"/>
      <c r="K4329" s="44"/>
    </row>
    <row r="4330" spans="3:15" s="59" customFormat="1" ht="21" customHeight="1">
      <c r="C4330" s="61" t="s">
        <v>1201</v>
      </c>
      <c r="D4330" s="56" t="s">
        <v>1202</v>
      </c>
      <c r="E4330" s="57"/>
      <c r="F4330" s="57"/>
      <c r="G4330" s="57"/>
      <c r="H4330" s="57"/>
      <c r="I4330" s="44"/>
      <c r="J4330" s="44"/>
      <c r="K4330" s="44"/>
      <c r="L4330" s="152" t="s">
        <v>1247</v>
      </c>
    </row>
    <row r="4331" spans="3:15" s="59" customFormat="1" ht="21" customHeight="1">
      <c r="C4331" s="588">
        <v>1</v>
      </c>
      <c r="D4331" s="56" t="s">
        <v>5</v>
      </c>
      <c r="E4331" s="577" t="s">
        <v>6</v>
      </c>
      <c r="F4331" s="62">
        <v>1.26</v>
      </c>
      <c r="G4331" s="63">
        <f>VLOOKUP(D4331,upahbahan,3,FALSE)</f>
        <v>100000</v>
      </c>
      <c r="H4331" s="63">
        <f>F4331*G4331</f>
        <v>126000</v>
      </c>
      <c r="I4331" s="44"/>
      <c r="J4331" s="44"/>
      <c r="K4331" s="44"/>
      <c r="L4331" s="152" t="s">
        <v>1248</v>
      </c>
      <c r="O4331" s="65">
        <v>0.1</v>
      </c>
    </row>
    <row r="4332" spans="3:15" s="59" customFormat="1" ht="21" customHeight="1">
      <c r="C4332" s="588">
        <v>2</v>
      </c>
      <c r="D4332" s="56" t="s">
        <v>10</v>
      </c>
      <c r="E4332" s="577" t="s">
        <v>6</v>
      </c>
      <c r="F4332" s="62">
        <v>2.1030000000000002</v>
      </c>
      <c r="G4332" s="63">
        <f>VLOOKUP(D4332,upahbahan,3,FALSE)</f>
        <v>135000</v>
      </c>
      <c r="H4332" s="63">
        <f>F4332*G4332</f>
        <v>283905</v>
      </c>
      <c r="I4332" s="44"/>
      <c r="J4332" s="44"/>
      <c r="K4332" s="44"/>
    </row>
    <row r="4333" spans="3:15" s="59" customFormat="1" ht="21" customHeight="1">
      <c r="C4333" s="588">
        <v>3</v>
      </c>
      <c r="D4333" s="56" t="s">
        <v>18</v>
      </c>
      <c r="E4333" s="577" t="s">
        <v>6</v>
      </c>
      <c r="F4333" s="62">
        <v>0.21</v>
      </c>
      <c r="G4333" s="63">
        <f>VLOOKUP(D4333,upahbahan,3,FALSE)</f>
        <v>150000</v>
      </c>
      <c r="H4333" s="63">
        <f>F4333*G4333</f>
        <v>31500</v>
      </c>
      <c r="I4333" s="44"/>
      <c r="J4333" s="44"/>
      <c r="K4333" s="44"/>
    </row>
    <row r="4334" spans="3:15" s="59" customFormat="1" ht="21" customHeight="1">
      <c r="C4334" s="588">
        <v>4</v>
      </c>
      <c r="D4334" s="56" t="s">
        <v>19</v>
      </c>
      <c r="E4334" s="577" t="s">
        <v>6</v>
      </c>
      <c r="F4334" s="62">
        <v>6.3E-2</v>
      </c>
      <c r="G4334" s="63">
        <f>VLOOKUP(D4334,upahbahan,3,FALSE)</f>
        <v>160000</v>
      </c>
      <c r="H4334" s="63">
        <f>F4334*G4334</f>
        <v>10080</v>
      </c>
      <c r="I4334" s="44"/>
      <c r="J4334" s="44"/>
      <c r="K4334" s="44"/>
    </row>
    <row r="4335" spans="3:15" s="59" customFormat="1" ht="21" customHeight="1">
      <c r="C4335" s="450" t="s">
        <v>1208</v>
      </c>
      <c r="D4335" s="67"/>
      <c r="E4335" s="67"/>
      <c r="F4335" s="142"/>
      <c r="G4335" s="153"/>
      <c r="H4335" s="63">
        <f>SUM(H4331:H4334)</f>
        <v>451485</v>
      </c>
      <c r="I4335" s="154"/>
      <c r="J4335" s="154"/>
      <c r="K4335" s="154"/>
    </row>
    <row r="4336" spans="3:15" s="59" customFormat="1" ht="21" customHeight="1">
      <c r="C4336" s="61" t="s">
        <v>1209</v>
      </c>
      <c r="D4336" s="56" t="s">
        <v>1210</v>
      </c>
      <c r="E4336" s="57"/>
      <c r="F4336" s="57"/>
      <c r="G4336" s="57"/>
      <c r="H4336" s="57"/>
      <c r="I4336" s="44"/>
      <c r="J4336" s="44"/>
      <c r="K4336" s="44"/>
    </row>
    <row r="4337" spans="3:15" s="59" customFormat="1" ht="21" customHeight="1">
      <c r="C4337" s="61">
        <v>1</v>
      </c>
      <c r="D4337" s="56" t="s">
        <v>4276</v>
      </c>
      <c r="E4337" s="93" t="s">
        <v>4259</v>
      </c>
      <c r="F4337" s="104">
        <v>1.3</v>
      </c>
      <c r="G4337" s="63">
        <f>VLOOKUP(D4337,upahbahan,3,FALSE)</f>
        <v>3947000</v>
      </c>
      <c r="H4337" s="586">
        <f>G4337*F4337</f>
        <v>5131100</v>
      </c>
      <c r="I4337" s="44"/>
      <c r="J4337" s="44"/>
      <c r="K4337" s="44"/>
    </row>
    <row r="4338" spans="3:15" s="59" customFormat="1" ht="21" customHeight="1">
      <c r="C4338" s="450" t="s">
        <v>1214</v>
      </c>
      <c r="D4338" s="67"/>
      <c r="E4338" s="67"/>
      <c r="F4338" s="67"/>
      <c r="G4338" s="69"/>
      <c r="H4338" s="63">
        <f>SUM(H4337:H4337)</f>
        <v>5131100</v>
      </c>
      <c r="I4338" s="44"/>
      <c r="J4338" s="44"/>
      <c r="K4338" s="44"/>
    </row>
    <row r="4339" spans="3:15" s="59" customFormat="1" ht="21" customHeight="1">
      <c r="C4339" s="61" t="s">
        <v>1215</v>
      </c>
      <c r="D4339" s="56" t="s">
        <v>1216</v>
      </c>
      <c r="E4339" s="57"/>
      <c r="F4339" s="57"/>
      <c r="G4339" s="57"/>
      <c r="H4339" s="57"/>
      <c r="I4339" s="44"/>
      <c r="J4339" s="44"/>
      <c r="K4339" s="44"/>
    </row>
    <row r="4340" spans="3:15" s="59" customFormat="1" ht="21" customHeight="1">
      <c r="C4340" s="450" t="s">
        <v>1217</v>
      </c>
      <c r="D4340" s="67"/>
      <c r="E4340" s="67"/>
      <c r="F4340" s="67"/>
      <c r="G4340" s="69"/>
      <c r="H4340" s="589">
        <v>0</v>
      </c>
      <c r="I4340" s="44"/>
      <c r="J4340" s="44"/>
      <c r="K4340" s="44"/>
    </row>
    <row r="4341" spans="3:15" s="59" customFormat="1" ht="21" customHeight="1">
      <c r="C4341" s="288" t="s">
        <v>1218</v>
      </c>
      <c r="D4341" s="76" t="s">
        <v>1219</v>
      </c>
      <c r="E4341" s="77"/>
      <c r="F4341" s="77"/>
      <c r="G4341" s="78"/>
      <c r="H4341" s="585">
        <f>H4340+H4338+H4335</f>
        <v>5582585</v>
      </c>
      <c r="I4341" s="369"/>
      <c r="J4341" s="44"/>
      <c r="K4341" s="44"/>
    </row>
    <row r="4342" spans="3:15" s="59" customFormat="1" ht="21" customHeight="1">
      <c r="C4342" s="288" t="s">
        <v>1220</v>
      </c>
      <c r="D4342" s="76" t="s">
        <v>1321</v>
      </c>
      <c r="E4342" s="77"/>
      <c r="F4342" s="78"/>
      <c r="G4342" s="80">
        <v>0.1</v>
      </c>
      <c r="H4342" s="63">
        <f>H4341*G4342</f>
        <v>558258.5</v>
      </c>
      <c r="I4342" s="369"/>
      <c r="J4342" s="44"/>
      <c r="K4342" s="44"/>
    </row>
    <row r="4343" spans="3:15" s="59" customFormat="1" ht="21" customHeight="1">
      <c r="C4343" s="288" t="s">
        <v>1221</v>
      </c>
      <c r="D4343" s="76" t="s">
        <v>1222</v>
      </c>
      <c r="E4343" s="77"/>
      <c r="F4343" s="77"/>
      <c r="G4343" s="78"/>
      <c r="H4343" s="799">
        <f>SUM(H4341:H4342)</f>
        <v>6140843.5</v>
      </c>
      <c r="I4343" s="369"/>
      <c r="J4343" s="44"/>
      <c r="K4343" s="44"/>
    </row>
    <row r="4344" spans="3:15" ht="21" customHeight="1"/>
    <row r="4345" spans="3:15" s="59" customFormat="1" ht="21" customHeight="1">
      <c r="C4345" s="147" t="s">
        <v>5465</v>
      </c>
      <c r="D4345" s="794" t="s">
        <v>4277</v>
      </c>
      <c r="E4345" s="795"/>
      <c r="F4345" s="795"/>
      <c r="G4345" s="795"/>
      <c r="H4345" s="795"/>
      <c r="I4345" s="50">
        <f>ROUNDDOWN(H4360,-2)</f>
        <v>6670800</v>
      </c>
      <c r="J4345" s="50"/>
      <c r="K4345" s="50"/>
    </row>
    <row r="4346" spans="3:15" s="59" customFormat="1" ht="21" customHeight="1">
      <c r="C4346" s="591" t="s">
        <v>1195</v>
      </c>
      <c r="D4346" s="591" t="s">
        <v>1196</v>
      </c>
      <c r="E4346" s="591" t="s">
        <v>1197</v>
      </c>
      <c r="F4346" s="591" t="s">
        <v>1198</v>
      </c>
      <c r="G4346" s="591" t="s">
        <v>1199</v>
      </c>
      <c r="H4346" s="591" t="s">
        <v>1200</v>
      </c>
      <c r="I4346" s="44"/>
      <c r="J4346" s="44"/>
      <c r="K4346" s="44"/>
    </row>
    <row r="4347" spans="3:15" s="59" customFormat="1" ht="21" customHeight="1">
      <c r="C4347" s="61" t="s">
        <v>1201</v>
      </c>
      <c r="D4347" s="56" t="s">
        <v>1202</v>
      </c>
      <c r="E4347" s="57"/>
      <c r="F4347" s="57"/>
      <c r="G4347" s="57"/>
      <c r="H4347" s="57"/>
      <c r="I4347" s="44"/>
      <c r="J4347" s="44"/>
      <c r="K4347" s="44"/>
      <c r="L4347" s="152" t="s">
        <v>1247</v>
      </c>
    </row>
    <row r="4348" spans="3:15" s="59" customFormat="1" ht="21" customHeight="1">
      <c r="C4348" s="588">
        <v>1</v>
      </c>
      <c r="D4348" s="56" t="s">
        <v>5</v>
      </c>
      <c r="E4348" s="577" t="s">
        <v>6</v>
      </c>
      <c r="F4348" s="62">
        <v>1.5740000000000001</v>
      </c>
      <c r="G4348" s="63">
        <f>VLOOKUP(D4348,upahbahan,3,FALSE)</f>
        <v>100000</v>
      </c>
      <c r="H4348" s="63">
        <f>F4348*G4348</f>
        <v>157400</v>
      </c>
      <c r="I4348" s="44"/>
      <c r="J4348" s="44"/>
      <c r="K4348" s="44"/>
      <c r="L4348" s="152" t="s">
        <v>1248</v>
      </c>
      <c r="O4348" s="65">
        <v>0.1</v>
      </c>
    </row>
    <row r="4349" spans="3:15" s="59" customFormat="1" ht="21" customHeight="1">
      <c r="C4349" s="588">
        <v>2</v>
      </c>
      <c r="D4349" s="56" t="s">
        <v>10</v>
      </c>
      <c r="E4349" s="577" t="s">
        <v>6</v>
      </c>
      <c r="F4349" s="62">
        <v>2.6280000000000001</v>
      </c>
      <c r="G4349" s="63">
        <f>VLOOKUP(D4349,upahbahan,3,FALSE)</f>
        <v>135000</v>
      </c>
      <c r="H4349" s="63">
        <f>F4349*G4349</f>
        <v>354780</v>
      </c>
      <c r="I4349" s="44"/>
      <c r="J4349" s="44"/>
      <c r="K4349" s="44"/>
    </row>
    <row r="4350" spans="3:15" s="59" customFormat="1" ht="21" customHeight="1">
      <c r="C4350" s="588">
        <v>3</v>
      </c>
      <c r="D4350" s="56" t="s">
        <v>18</v>
      </c>
      <c r="E4350" s="577" t="s">
        <v>6</v>
      </c>
      <c r="F4350" s="62">
        <v>0.26300000000000001</v>
      </c>
      <c r="G4350" s="63">
        <f>VLOOKUP(D4350,upahbahan,3,FALSE)</f>
        <v>150000</v>
      </c>
      <c r="H4350" s="63">
        <f>F4350*G4350</f>
        <v>39450</v>
      </c>
      <c r="I4350" s="44"/>
      <c r="J4350" s="44"/>
      <c r="K4350" s="44"/>
    </row>
    <row r="4351" spans="3:15" s="59" customFormat="1" ht="21" customHeight="1">
      <c r="C4351" s="588">
        <v>4</v>
      </c>
      <c r="D4351" s="56" t="s">
        <v>19</v>
      </c>
      <c r="E4351" s="577" t="s">
        <v>6</v>
      </c>
      <c r="F4351" s="62">
        <v>7.9000000000000001E-2</v>
      </c>
      <c r="G4351" s="63">
        <f>VLOOKUP(D4351,upahbahan,3,FALSE)</f>
        <v>160000</v>
      </c>
      <c r="H4351" s="63">
        <f>F4351*G4351</f>
        <v>12640</v>
      </c>
      <c r="I4351" s="44"/>
      <c r="J4351" s="44"/>
      <c r="K4351" s="44"/>
    </row>
    <row r="4352" spans="3:15" s="59" customFormat="1" ht="21" customHeight="1">
      <c r="C4352" s="450" t="s">
        <v>1208</v>
      </c>
      <c r="D4352" s="67"/>
      <c r="E4352" s="67"/>
      <c r="F4352" s="142"/>
      <c r="G4352" s="153"/>
      <c r="H4352" s="63">
        <f>SUM(H4348:H4351)</f>
        <v>564270</v>
      </c>
      <c r="I4352" s="154"/>
      <c r="J4352" s="154"/>
      <c r="K4352" s="154"/>
    </row>
    <row r="4353" spans="3:15" s="59" customFormat="1" ht="21" customHeight="1">
      <c r="C4353" s="61" t="s">
        <v>1209</v>
      </c>
      <c r="D4353" s="56" t="s">
        <v>1210</v>
      </c>
      <c r="E4353" s="57"/>
      <c r="F4353" s="57"/>
      <c r="G4353" s="57"/>
      <c r="H4353" s="57"/>
      <c r="I4353" s="44"/>
      <c r="J4353" s="44"/>
      <c r="K4353" s="44"/>
    </row>
    <row r="4354" spans="3:15" s="59" customFormat="1" ht="21" customHeight="1">
      <c r="C4354" s="61">
        <v>1</v>
      </c>
      <c r="D4354" s="56" t="s">
        <v>4278</v>
      </c>
      <c r="E4354" s="93" t="s">
        <v>4259</v>
      </c>
      <c r="F4354" s="104">
        <v>1.3</v>
      </c>
      <c r="G4354" s="63">
        <f>VLOOKUP(D4354,upahbahan,3,FALSE)</f>
        <v>4230900</v>
      </c>
      <c r="H4354" s="586">
        <f>G4354*F4354</f>
        <v>5500170</v>
      </c>
      <c r="I4354" s="44"/>
      <c r="J4354" s="44"/>
      <c r="K4354" s="44"/>
    </row>
    <row r="4355" spans="3:15" s="59" customFormat="1" ht="21" customHeight="1">
      <c r="C4355" s="450" t="s">
        <v>1214</v>
      </c>
      <c r="D4355" s="67"/>
      <c r="E4355" s="67"/>
      <c r="F4355" s="67"/>
      <c r="G4355" s="69"/>
      <c r="H4355" s="63">
        <f>SUM(H4354:H4354)</f>
        <v>5500170</v>
      </c>
      <c r="I4355" s="44"/>
      <c r="J4355" s="44"/>
      <c r="K4355" s="44"/>
    </row>
    <row r="4356" spans="3:15" s="59" customFormat="1" ht="21" customHeight="1">
      <c r="C4356" s="61" t="s">
        <v>1215</v>
      </c>
      <c r="D4356" s="56" t="s">
        <v>1216</v>
      </c>
      <c r="E4356" s="57"/>
      <c r="F4356" s="57"/>
      <c r="G4356" s="57"/>
      <c r="H4356" s="57"/>
      <c r="I4356" s="44"/>
      <c r="J4356" s="44"/>
      <c r="K4356" s="44"/>
    </row>
    <row r="4357" spans="3:15" s="59" customFormat="1" ht="21" customHeight="1">
      <c r="C4357" s="450" t="s">
        <v>1217</v>
      </c>
      <c r="D4357" s="67"/>
      <c r="E4357" s="67"/>
      <c r="F4357" s="67"/>
      <c r="G4357" s="69"/>
      <c r="H4357" s="589">
        <v>0</v>
      </c>
      <c r="I4357" s="44"/>
      <c r="J4357" s="44"/>
      <c r="K4357" s="44"/>
    </row>
    <row r="4358" spans="3:15" s="59" customFormat="1" ht="21" customHeight="1">
      <c r="C4358" s="288" t="s">
        <v>1218</v>
      </c>
      <c r="D4358" s="76" t="s">
        <v>1219</v>
      </c>
      <c r="E4358" s="77"/>
      <c r="F4358" s="77"/>
      <c r="G4358" s="78"/>
      <c r="H4358" s="585">
        <f>H4357+H4355+H4352</f>
        <v>6064440</v>
      </c>
      <c r="I4358" s="369"/>
      <c r="J4358" s="44"/>
      <c r="K4358" s="44"/>
    </row>
    <row r="4359" spans="3:15" s="59" customFormat="1" ht="21" customHeight="1">
      <c r="C4359" s="288" t="s">
        <v>1220</v>
      </c>
      <c r="D4359" s="76" t="s">
        <v>1321</v>
      </c>
      <c r="E4359" s="77"/>
      <c r="F4359" s="78"/>
      <c r="G4359" s="80">
        <v>0.1</v>
      </c>
      <c r="H4359" s="63">
        <f>H4358*G4359</f>
        <v>606444</v>
      </c>
      <c r="I4359" s="369"/>
      <c r="J4359" s="44"/>
      <c r="K4359" s="44"/>
    </row>
    <row r="4360" spans="3:15" s="59" customFormat="1" ht="21" customHeight="1">
      <c r="C4360" s="288" t="s">
        <v>1221</v>
      </c>
      <c r="D4360" s="76" t="s">
        <v>1222</v>
      </c>
      <c r="E4360" s="77"/>
      <c r="F4360" s="77"/>
      <c r="G4360" s="78"/>
      <c r="H4360" s="799">
        <f>SUM(H4358:H4359)</f>
        <v>6670884</v>
      </c>
      <c r="I4360" s="369"/>
      <c r="J4360" s="44"/>
      <c r="K4360" s="44"/>
    </row>
    <row r="4361" spans="3:15" ht="21" customHeight="1"/>
    <row r="4362" spans="3:15" s="59" customFormat="1" ht="21" customHeight="1">
      <c r="C4362" s="147" t="s">
        <v>5466</v>
      </c>
      <c r="D4362" s="794" t="s">
        <v>4279</v>
      </c>
      <c r="E4362" s="795"/>
      <c r="F4362" s="795"/>
      <c r="G4362" s="795"/>
      <c r="H4362" s="795"/>
      <c r="I4362" s="50">
        <f>ROUNDDOWN(H4377,-2)</f>
        <v>7264400</v>
      </c>
      <c r="J4362" s="50"/>
      <c r="K4362" s="50"/>
    </row>
    <row r="4363" spans="3:15" s="59" customFormat="1" ht="21" customHeight="1">
      <c r="C4363" s="591" t="s">
        <v>1195</v>
      </c>
      <c r="D4363" s="591" t="s">
        <v>1196</v>
      </c>
      <c r="E4363" s="591" t="s">
        <v>1197</v>
      </c>
      <c r="F4363" s="591" t="s">
        <v>1198</v>
      </c>
      <c r="G4363" s="591" t="s">
        <v>1199</v>
      </c>
      <c r="H4363" s="591" t="s">
        <v>1200</v>
      </c>
      <c r="I4363" s="44"/>
      <c r="J4363" s="44"/>
      <c r="K4363" s="44"/>
    </row>
    <row r="4364" spans="3:15" s="59" customFormat="1" ht="21" customHeight="1">
      <c r="C4364" s="61" t="s">
        <v>1201</v>
      </c>
      <c r="D4364" s="56" t="s">
        <v>1202</v>
      </c>
      <c r="E4364" s="57"/>
      <c r="F4364" s="57"/>
      <c r="G4364" s="57"/>
      <c r="H4364" s="57"/>
      <c r="I4364" s="44"/>
      <c r="J4364" s="44"/>
      <c r="K4364" s="44"/>
      <c r="L4364" s="152" t="s">
        <v>1247</v>
      </c>
    </row>
    <row r="4365" spans="3:15" s="59" customFormat="1" ht="21" customHeight="1">
      <c r="C4365" s="588">
        <v>1</v>
      </c>
      <c r="D4365" s="56" t="s">
        <v>5</v>
      </c>
      <c r="E4365" s="577" t="s">
        <v>6</v>
      </c>
      <c r="F4365" s="62">
        <v>1.8859999999999999</v>
      </c>
      <c r="G4365" s="63">
        <f>VLOOKUP(D4365,upahbahan,3,FALSE)</f>
        <v>100000</v>
      </c>
      <c r="H4365" s="63">
        <f>F4365*G4365</f>
        <v>188600</v>
      </c>
      <c r="I4365" s="44"/>
      <c r="J4365" s="44"/>
      <c r="K4365" s="44"/>
      <c r="L4365" s="152" t="s">
        <v>1248</v>
      </c>
      <c r="O4365" s="65">
        <v>0.1</v>
      </c>
    </row>
    <row r="4366" spans="3:15" s="59" customFormat="1" ht="21" customHeight="1">
      <c r="C4366" s="588">
        <v>2</v>
      </c>
      <c r="D4366" s="56" t="s">
        <v>10</v>
      </c>
      <c r="E4366" s="577" t="s">
        <v>6</v>
      </c>
      <c r="F4366" s="62">
        <v>3.149</v>
      </c>
      <c r="G4366" s="63">
        <f>VLOOKUP(D4366,upahbahan,3,FALSE)</f>
        <v>135000</v>
      </c>
      <c r="H4366" s="63">
        <f>F4366*G4366</f>
        <v>425115</v>
      </c>
      <c r="I4366" s="44"/>
      <c r="J4366" s="44"/>
      <c r="K4366" s="44"/>
    </row>
    <row r="4367" spans="3:15" s="59" customFormat="1" ht="21" customHeight="1">
      <c r="C4367" s="588">
        <v>3</v>
      </c>
      <c r="D4367" s="56" t="s">
        <v>18</v>
      </c>
      <c r="E4367" s="577" t="s">
        <v>6</v>
      </c>
      <c r="F4367" s="62">
        <v>0.315</v>
      </c>
      <c r="G4367" s="63">
        <f>VLOOKUP(D4367,upahbahan,3,FALSE)</f>
        <v>150000</v>
      </c>
      <c r="H4367" s="63">
        <f>F4367*G4367</f>
        <v>47250</v>
      </c>
      <c r="I4367" s="44"/>
      <c r="J4367" s="44"/>
      <c r="K4367" s="44"/>
    </row>
    <row r="4368" spans="3:15" s="59" customFormat="1" ht="21" customHeight="1">
      <c r="C4368" s="588">
        <v>4</v>
      </c>
      <c r="D4368" s="56" t="s">
        <v>19</v>
      </c>
      <c r="E4368" s="577" t="s">
        <v>6</v>
      </c>
      <c r="F4368" s="62">
        <v>9.4E-2</v>
      </c>
      <c r="G4368" s="63">
        <f>VLOOKUP(D4368,upahbahan,3,FALSE)</f>
        <v>160000</v>
      </c>
      <c r="H4368" s="63">
        <f>F4368*G4368</f>
        <v>15040</v>
      </c>
      <c r="I4368" s="44"/>
      <c r="J4368" s="44"/>
      <c r="K4368" s="44"/>
    </row>
    <row r="4369" spans="3:15" s="59" customFormat="1" ht="21" customHeight="1">
      <c r="C4369" s="450" t="s">
        <v>1208</v>
      </c>
      <c r="D4369" s="67"/>
      <c r="E4369" s="67"/>
      <c r="F4369" s="142"/>
      <c r="G4369" s="153"/>
      <c r="H4369" s="63">
        <f>SUM(H4365:H4368)</f>
        <v>676005</v>
      </c>
      <c r="I4369" s="154"/>
      <c r="J4369" s="154"/>
      <c r="K4369" s="154"/>
    </row>
    <row r="4370" spans="3:15" s="59" customFormat="1" ht="21" customHeight="1">
      <c r="C4370" s="61" t="s">
        <v>1209</v>
      </c>
      <c r="D4370" s="56" t="s">
        <v>1210</v>
      </c>
      <c r="E4370" s="57"/>
      <c r="F4370" s="57"/>
      <c r="G4370" s="57"/>
      <c r="H4370" s="57"/>
      <c r="I4370" s="44"/>
      <c r="J4370" s="44"/>
      <c r="K4370" s="44"/>
    </row>
    <row r="4371" spans="3:15" s="59" customFormat="1" ht="21" customHeight="1">
      <c r="C4371" s="61">
        <v>1</v>
      </c>
      <c r="D4371" s="56" t="s">
        <v>4280</v>
      </c>
      <c r="E4371" s="93" t="s">
        <v>4259</v>
      </c>
      <c r="F4371" s="104">
        <v>1.3</v>
      </c>
      <c r="G4371" s="63">
        <f>VLOOKUP(D4371,upahbahan,3,FALSE)</f>
        <v>4560000</v>
      </c>
      <c r="H4371" s="586">
        <f>G4371*F4371</f>
        <v>5928000</v>
      </c>
      <c r="I4371" s="44"/>
      <c r="J4371" s="44"/>
      <c r="K4371" s="44"/>
    </row>
    <row r="4372" spans="3:15" s="59" customFormat="1" ht="21" customHeight="1">
      <c r="C4372" s="450" t="s">
        <v>1214</v>
      </c>
      <c r="D4372" s="67"/>
      <c r="E4372" s="67"/>
      <c r="F4372" s="67"/>
      <c r="G4372" s="69"/>
      <c r="H4372" s="63">
        <f>SUM(H4371:H4371)</f>
        <v>5928000</v>
      </c>
      <c r="I4372" s="44"/>
      <c r="J4372" s="44"/>
      <c r="K4372" s="44"/>
    </row>
    <row r="4373" spans="3:15" s="59" customFormat="1" ht="21" customHeight="1">
      <c r="C4373" s="61" t="s">
        <v>1215</v>
      </c>
      <c r="D4373" s="56" t="s">
        <v>1216</v>
      </c>
      <c r="E4373" s="57"/>
      <c r="F4373" s="57"/>
      <c r="G4373" s="57"/>
      <c r="H4373" s="57"/>
      <c r="I4373" s="44"/>
      <c r="J4373" s="44"/>
      <c r="K4373" s="44"/>
    </row>
    <row r="4374" spans="3:15" s="59" customFormat="1" ht="21" customHeight="1">
      <c r="C4374" s="450" t="s">
        <v>1217</v>
      </c>
      <c r="D4374" s="67"/>
      <c r="E4374" s="67"/>
      <c r="F4374" s="67"/>
      <c r="G4374" s="69"/>
      <c r="H4374" s="589">
        <v>0</v>
      </c>
      <c r="I4374" s="44"/>
      <c r="J4374" s="44"/>
      <c r="K4374" s="44"/>
    </row>
    <row r="4375" spans="3:15" s="59" customFormat="1" ht="21" customHeight="1">
      <c r="C4375" s="288" t="s">
        <v>1218</v>
      </c>
      <c r="D4375" s="76" t="s">
        <v>1219</v>
      </c>
      <c r="E4375" s="77"/>
      <c r="F4375" s="77"/>
      <c r="G4375" s="78"/>
      <c r="H4375" s="585">
        <f>H4374+H4372+H4369</f>
        <v>6604005</v>
      </c>
      <c r="I4375" s="369"/>
      <c r="J4375" s="44"/>
      <c r="K4375" s="44"/>
    </row>
    <row r="4376" spans="3:15" s="59" customFormat="1" ht="21" customHeight="1">
      <c r="C4376" s="288" t="s">
        <v>1220</v>
      </c>
      <c r="D4376" s="76" t="s">
        <v>1321</v>
      </c>
      <c r="E4376" s="77"/>
      <c r="F4376" s="78"/>
      <c r="G4376" s="80">
        <v>0.1</v>
      </c>
      <c r="H4376" s="63">
        <f>H4375*G4376</f>
        <v>660400.5</v>
      </c>
      <c r="I4376" s="369"/>
      <c r="J4376" s="44"/>
      <c r="K4376" s="44"/>
    </row>
    <row r="4377" spans="3:15" s="59" customFormat="1" ht="21" customHeight="1">
      <c r="C4377" s="288" t="s">
        <v>1221</v>
      </c>
      <c r="D4377" s="76" t="s">
        <v>1222</v>
      </c>
      <c r="E4377" s="77"/>
      <c r="F4377" s="77"/>
      <c r="G4377" s="78"/>
      <c r="H4377" s="799">
        <f>SUM(H4375:H4376)</f>
        <v>7264405.5</v>
      </c>
      <c r="I4377" s="369"/>
      <c r="J4377" s="44"/>
      <c r="K4377" s="44"/>
    </row>
    <row r="4378" spans="3:15" ht="21" customHeight="1"/>
    <row r="4379" spans="3:15" s="59" customFormat="1" ht="21" customHeight="1">
      <c r="C4379" s="147" t="s">
        <v>5467</v>
      </c>
      <c r="D4379" s="794" t="s">
        <v>4281</v>
      </c>
      <c r="E4379" s="795"/>
      <c r="F4379" s="795"/>
      <c r="G4379" s="795"/>
      <c r="H4379" s="795"/>
      <c r="I4379" s="50">
        <f>ROUNDDOWN(H4394,-2)</f>
        <v>7676500</v>
      </c>
      <c r="J4379" s="50"/>
      <c r="K4379" s="50"/>
    </row>
    <row r="4380" spans="3:15" s="59" customFormat="1" ht="21" customHeight="1">
      <c r="C4380" s="591" t="s">
        <v>1195</v>
      </c>
      <c r="D4380" s="591" t="s">
        <v>1196</v>
      </c>
      <c r="E4380" s="591" t="s">
        <v>1197</v>
      </c>
      <c r="F4380" s="591" t="s">
        <v>1198</v>
      </c>
      <c r="G4380" s="591" t="s">
        <v>1199</v>
      </c>
      <c r="H4380" s="591" t="s">
        <v>1200</v>
      </c>
      <c r="I4380" s="44"/>
      <c r="J4380" s="44"/>
      <c r="K4380" s="44"/>
    </row>
    <row r="4381" spans="3:15" s="59" customFormat="1" ht="21" customHeight="1">
      <c r="C4381" s="61" t="s">
        <v>1201</v>
      </c>
      <c r="D4381" s="56" t="s">
        <v>1202</v>
      </c>
      <c r="E4381" s="57"/>
      <c r="F4381" s="57"/>
      <c r="G4381" s="57"/>
      <c r="H4381" s="57"/>
      <c r="I4381" s="44"/>
      <c r="J4381" s="44"/>
      <c r="K4381" s="44"/>
      <c r="L4381" s="152" t="s">
        <v>1247</v>
      </c>
    </row>
    <row r="4382" spans="3:15" s="59" customFormat="1" ht="21" customHeight="1">
      <c r="C4382" s="588">
        <v>1</v>
      </c>
      <c r="D4382" s="56" t="s">
        <v>5</v>
      </c>
      <c r="E4382" s="577" t="s">
        <v>6</v>
      </c>
      <c r="F4382" s="62">
        <v>2.202</v>
      </c>
      <c r="G4382" s="63">
        <f>VLOOKUP(D4382,upahbahan,3,FALSE)</f>
        <v>100000</v>
      </c>
      <c r="H4382" s="63">
        <f>F4382*G4382</f>
        <v>220200</v>
      </c>
      <c r="I4382" s="44"/>
      <c r="J4382" s="44"/>
      <c r="K4382" s="44"/>
      <c r="L4382" s="152" t="s">
        <v>1248</v>
      </c>
      <c r="O4382" s="65">
        <v>0.1</v>
      </c>
    </row>
    <row r="4383" spans="3:15" s="59" customFormat="1" ht="21" customHeight="1">
      <c r="C4383" s="588">
        <v>2</v>
      </c>
      <c r="D4383" s="56" t="s">
        <v>10</v>
      </c>
      <c r="E4383" s="577" t="s">
        <v>6</v>
      </c>
      <c r="F4383" s="62">
        <v>3.6779999999999999</v>
      </c>
      <c r="G4383" s="63">
        <f>VLOOKUP(D4383,upahbahan,3,FALSE)</f>
        <v>135000</v>
      </c>
      <c r="H4383" s="63">
        <f>F4383*G4383</f>
        <v>496530</v>
      </c>
      <c r="I4383" s="44"/>
      <c r="J4383" s="44"/>
      <c r="K4383" s="44"/>
    </row>
    <row r="4384" spans="3:15" s="59" customFormat="1" ht="21" customHeight="1">
      <c r="C4384" s="588">
        <v>3</v>
      </c>
      <c r="D4384" s="56" t="s">
        <v>18</v>
      </c>
      <c r="E4384" s="577" t="s">
        <v>6</v>
      </c>
      <c r="F4384" s="62">
        <v>0.36799999999999999</v>
      </c>
      <c r="G4384" s="63">
        <f>VLOOKUP(D4384,upahbahan,3,FALSE)</f>
        <v>150000</v>
      </c>
      <c r="H4384" s="63">
        <f>F4384*G4384</f>
        <v>55200</v>
      </c>
      <c r="I4384" s="44"/>
      <c r="J4384" s="44"/>
      <c r="K4384" s="44"/>
    </row>
    <row r="4385" spans="3:15" s="59" customFormat="1" ht="21" customHeight="1">
      <c r="C4385" s="588">
        <v>4</v>
      </c>
      <c r="D4385" s="56" t="s">
        <v>19</v>
      </c>
      <c r="E4385" s="577" t="s">
        <v>6</v>
      </c>
      <c r="F4385" s="62">
        <v>0.11</v>
      </c>
      <c r="G4385" s="63">
        <f>VLOOKUP(D4385,upahbahan,3,FALSE)</f>
        <v>160000</v>
      </c>
      <c r="H4385" s="63">
        <f>F4385*G4385</f>
        <v>17600</v>
      </c>
      <c r="I4385" s="44"/>
      <c r="J4385" s="44"/>
      <c r="K4385" s="44"/>
    </row>
    <row r="4386" spans="3:15" s="59" customFormat="1" ht="21" customHeight="1">
      <c r="C4386" s="450" t="s">
        <v>1208</v>
      </c>
      <c r="D4386" s="67"/>
      <c r="E4386" s="67"/>
      <c r="F4386" s="142"/>
      <c r="G4386" s="153"/>
      <c r="H4386" s="63">
        <f>SUM(H4382:H4385)</f>
        <v>789530</v>
      </c>
      <c r="I4386" s="154"/>
      <c r="J4386" s="154"/>
      <c r="K4386" s="154"/>
    </row>
    <row r="4387" spans="3:15" s="59" customFormat="1" ht="21" customHeight="1">
      <c r="C4387" s="61" t="s">
        <v>1209</v>
      </c>
      <c r="D4387" s="56" t="s">
        <v>1210</v>
      </c>
      <c r="E4387" s="57"/>
      <c r="F4387" s="57"/>
      <c r="G4387" s="57"/>
      <c r="H4387" s="57"/>
      <c r="I4387" s="44"/>
      <c r="J4387" s="44"/>
      <c r="K4387" s="44"/>
    </row>
    <row r="4388" spans="3:15" s="59" customFormat="1" ht="21" customHeight="1">
      <c r="C4388" s="61">
        <v>1</v>
      </c>
      <c r="D4388" s="56" t="s">
        <v>4282</v>
      </c>
      <c r="E4388" s="93" t="s">
        <v>4259</v>
      </c>
      <c r="F4388" s="104">
        <v>1.3</v>
      </c>
      <c r="G4388" s="63">
        <f>VLOOKUP(D4388,upahbahan,3,FALSE)</f>
        <v>4760900</v>
      </c>
      <c r="H4388" s="586">
        <f>G4388*F4388</f>
        <v>6189170</v>
      </c>
      <c r="I4388" s="44"/>
      <c r="J4388" s="44"/>
      <c r="K4388" s="44"/>
    </row>
    <row r="4389" spans="3:15" s="59" customFormat="1" ht="21" customHeight="1">
      <c r="C4389" s="450" t="s">
        <v>1214</v>
      </c>
      <c r="D4389" s="67"/>
      <c r="E4389" s="67"/>
      <c r="F4389" s="67"/>
      <c r="G4389" s="69"/>
      <c r="H4389" s="63">
        <f>SUM(H4388:H4388)</f>
        <v>6189170</v>
      </c>
      <c r="I4389" s="44"/>
      <c r="J4389" s="44"/>
      <c r="K4389" s="44"/>
    </row>
    <row r="4390" spans="3:15" s="59" customFormat="1" ht="21" customHeight="1">
      <c r="C4390" s="61" t="s">
        <v>1215</v>
      </c>
      <c r="D4390" s="56" t="s">
        <v>1216</v>
      </c>
      <c r="E4390" s="57"/>
      <c r="F4390" s="57"/>
      <c r="G4390" s="57"/>
      <c r="H4390" s="57"/>
      <c r="I4390" s="44"/>
      <c r="J4390" s="44"/>
      <c r="K4390" s="44"/>
    </row>
    <row r="4391" spans="3:15" s="59" customFormat="1" ht="21" customHeight="1">
      <c r="C4391" s="450" t="s">
        <v>1217</v>
      </c>
      <c r="D4391" s="67"/>
      <c r="E4391" s="67"/>
      <c r="F4391" s="67"/>
      <c r="G4391" s="69"/>
      <c r="H4391" s="589">
        <v>0</v>
      </c>
      <c r="I4391" s="44"/>
      <c r="J4391" s="44"/>
      <c r="K4391" s="44"/>
    </row>
    <row r="4392" spans="3:15" s="59" customFormat="1" ht="21" customHeight="1">
      <c r="C4392" s="288" t="s">
        <v>1218</v>
      </c>
      <c r="D4392" s="76" t="s">
        <v>1219</v>
      </c>
      <c r="E4392" s="77"/>
      <c r="F4392" s="77"/>
      <c r="G4392" s="78"/>
      <c r="H4392" s="585">
        <f>H4391+H4389+H4386</f>
        <v>6978700</v>
      </c>
      <c r="I4392" s="369"/>
      <c r="J4392" s="44"/>
      <c r="K4392" s="44"/>
    </row>
    <row r="4393" spans="3:15" s="59" customFormat="1" ht="21" customHeight="1">
      <c r="C4393" s="288" t="s">
        <v>1220</v>
      </c>
      <c r="D4393" s="76" t="s">
        <v>1321</v>
      </c>
      <c r="E4393" s="77"/>
      <c r="F4393" s="78"/>
      <c r="G4393" s="80">
        <v>0.1</v>
      </c>
      <c r="H4393" s="63">
        <f>H4392*G4393</f>
        <v>697870</v>
      </c>
      <c r="I4393" s="369"/>
      <c r="J4393" s="44"/>
      <c r="K4393" s="44"/>
    </row>
    <row r="4394" spans="3:15" s="59" customFormat="1" ht="21" customHeight="1">
      <c r="C4394" s="288" t="s">
        <v>1221</v>
      </c>
      <c r="D4394" s="76" t="s">
        <v>1222</v>
      </c>
      <c r="E4394" s="77"/>
      <c r="F4394" s="77"/>
      <c r="G4394" s="78"/>
      <c r="H4394" s="799">
        <f>SUM(H4392:H4393)</f>
        <v>7676570</v>
      </c>
      <c r="I4394" s="369"/>
      <c r="J4394" s="44"/>
      <c r="K4394" s="44"/>
    </row>
    <row r="4395" spans="3:15" ht="21" customHeight="1"/>
    <row r="4396" spans="3:15" s="59" customFormat="1" ht="21" customHeight="1">
      <c r="C4396" s="147" t="s">
        <v>5468</v>
      </c>
      <c r="D4396" s="794" t="s">
        <v>4284</v>
      </c>
      <c r="E4396" s="795"/>
      <c r="F4396" s="795"/>
      <c r="G4396" s="795"/>
      <c r="H4396" s="795"/>
      <c r="I4396" s="50">
        <f>ROUNDDOWN(H4411,-2)</f>
        <v>3750900</v>
      </c>
      <c r="J4396" s="50"/>
      <c r="K4396" s="50"/>
    </row>
    <row r="4397" spans="3:15" s="59" customFormat="1" ht="21" customHeight="1">
      <c r="C4397" s="591" t="s">
        <v>1195</v>
      </c>
      <c r="D4397" s="591" t="s">
        <v>1196</v>
      </c>
      <c r="E4397" s="591" t="s">
        <v>1197</v>
      </c>
      <c r="F4397" s="591" t="s">
        <v>1198</v>
      </c>
      <c r="G4397" s="591" t="s">
        <v>1199</v>
      </c>
      <c r="H4397" s="591" t="s">
        <v>1200</v>
      </c>
      <c r="I4397" s="44"/>
      <c r="J4397" s="44"/>
      <c r="K4397" s="44"/>
    </row>
    <row r="4398" spans="3:15" s="59" customFormat="1" ht="21" customHeight="1">
      <c r="C4398" s="61" t="s">
        <v>1201</v>
      </c>
      <c r="D4398" s="56" t="s">
        <v>1202</v>
      </c>
      <c r="E4398" s="57"/>
      <c r="F4398" s="57"/>
      <c r="G4398" s="57"/>
      <c r="H4398" s="57"/>
      <c r="I4398" s="44"/>
      <c r="J4398" s="44"/>
      <c r="K4398" s="44"/>
      <c r="L4398" s="152" t="s">
        <v>1247</v>
      </c>
    </row>
    <row r="4399" spans="3:15" s="59" customFormat="1" ht="21" customHeight="1">
      <c r="C4399" s="588">
        <v>1</v>
      </c>
      <c r="D4399" s="56" t="s">
        <v>5</v>
      </c>
      <c r="E4399" s="577" t="s">
        <v>6</v>
      </c>
      <c r="F4399" s="62">
        <v>0.63100000000000001</v>
      </c>
      <c r="G4399" s="63">
        <f>VLOOKUP(D4399,upahbahan,3,FALSE)</f>
        <v>100000</v>
      </c>
      <c r="H4399" s="63">
        <f>F4399*G4399</f>
        <v>63100</v>
      </c>
      <c r="I4399" s="44"/>
      <c r="J4399" s="44"/>
      <c r="K4399" s="44"/>
      <c r="L4399" s="152" t="s">
        <v>1248</v>
      </c>
      <c r="O4399" s="65">
        <v>0.1</v>
      </c>
    </row>
    <row r="4400" spans="3:15" s="59" customFormat="1" ht="21" customHeight="1">
      <c r="C4400" s="588">
        <v>2</v>
      </c>
      <c r="D4400" s="56" t="s">
        <v>10</v>
      </c>
      <c r="E4400" s="577" t="s">
        <v>6</v>
      </c>
      <c r="F4400" s="62">
        <v>1.054</v>
      </c>
      <c r="G4400" s="63">
        <f>VLOOKUP(D4400,upahbahan,3,FALSE)</f>
        <v>135000</v>
      </c>
      <c r="H4400" s="63">
        <f>F4400*G4400</f>
        <v>142290</v>
      </c>
      <c r="I4400" s="44"/>
      <c r="J4400" s="44"/>
      <c r="K4400" s="44"/>
    </row>
    <row r="4401" spans="3:12" s="59" customFormat="1" ht="21" customHeight="1">
      <c r="C4401" s="588">
        <v>3</v>
      </c>
      <c r="D4401" s="56" t="s">
        <v>18</v>
      </c>
      <c r="E4401" s="577" t="s">
        <v>6</v>
      </c>
      <c r="F4401" s="62">
        <v>0.105</v>
      </c>
      <c r="G4401" s="63">
        <f>VLOOKUP(D4401,upahbahan,3,FALSE)</f>
        <v>150000</v>
      </c>
      <c r="H4401" s="63">
        <f>F4401*G4401</f>
        <v>15750</v>
      </c>
      <c r="I4401" s="44"/>
      <c r="J4401" s="44"/>
      <c r="K4401" s="44"/>
    </row>
    <row r="4402" spans="3:12" s="59" customFormat="1" ht="21" customHeight="1">
      <c r="C4402" s="588">
        <v>4</v>
      </c>
      <c r="D4402" s="56" t="s">
        <v>19</v>
      </c>
      <c r="E4402" s="577" t="s">
        <v>6</v>
      </c>
      <c r="F4402" s="62">
        <v>3.2000000000000001E-2</v>
      </c>
      <c r="G4402" s="63">
        <f>VLOOKUP(D4402,upahbahan,3,FALSE)</f>
        <v>160000</v>
      </c>
      <c r="H4402" s="63">
        <f>F4402*G4402</f>
        <v>5120</v>
      </c>
      <c r="I4402" s="44"/>
      <c r="J4402" s="44"/>
      <c r="K4402" s="44"/>
    </row>
    <row r="4403" spans="3:12" s="59" customFormat="1" ht="21" customHeight="1">
      <c r="C4403" s="450" t="s">
        <v>1208</v>
      </c>
      <c r="D4403" s="67"/>
      <c r="E4403" s="67"/>
      <c r="F4403" s="142"/>
      <c r="G4403" s="153"/>
      <c r="H4403" s="63">
        <f>SUM(H4399:H4402)</f>
        <v>226260</v>
      </c>
      <c r="I4403" s="154"/>
      <c r="J4403" s="154"/>
      <c r="K4403" s="154"/>
    </row>
    <row r="4404" spans="3:12" s="59" customFormat="1" ht="21" customHeight="1">
      <c r="C4404" s="61" t="s">
        <v>1209</v>
      </c>
      <c r="D4404" s="56" t="s">
        <v>1210</v>
      </c>
      <c r="E4404" s="57"/>
      <c r="F4404" s="57"/>
      <c r="G4404" s="57"/>
      <c r="H4404" s="57"/>
      <c r="I4404" s="44"/>
      <c r="J4404" s="44"/>
      <c r="K4404" s="44"/>
    </row>
    <row r="4405" spans="3:12" s="59" customFormat="1" ht="21" customHeight="1">
      <c r="C4405" s="61">
        <v>1</v>
      </c>
      <c r="D4405" s="56" t="s">
        <v>4285</v>
      </c>
      <c r="E4405" s="93" t="s">
        <v>4259</v>
      </c>
      <c r="F4405" s="104">
        <v>1.3</v>
      </c>
      <c r="G4405" s="63">
        <f>VLOOKUP(D4405,upahbahan,3,FALSE)</f>
        <v>2449000</v>
      </c>
      <c r="H4405" s="586">
        <f>G4405*F4405</f>
        <v>3183700</v>
      </c>
      <c r="I4405" s="44"/>
      <c r="J4405" s="44"/>
      <c r="K4405" s="44"/>
    </row>
    <row r="4406" spans="3:12" s="59" customFormat="1" ht="21" customHeight="1">
      <c r="C4406" s="450" t="s">
        <v>1214</v>
      </c>
      <c r="D4406" s="67"/>
      <c r="E4406" s="67"/>
      <c r="F4406" s="67"/>
      <c r="G4406" s="69"/>
      <c r="H4406" s="63">
        <f>SUM(H4405:H4405)</f>
        <v>3183700</v>
      </c>
      <c r="I4406" s="44"/>
      <c r="J4406" s="44"/>
      <c r="K4406" s="44"/>
    </row>
    <row r="4407" spans="3:12" s="59" customFormat="1" ht="21" customHeight="1">
      <c r="C4407" s="61" t="s">
        <v>1215</v>
      </c>
      <c r="D4407" s="56" t="s">
        <v>1216</v>
      </c>
      <c r="E4407" s="57"/>
      <c r="F4407" s="57"/>
      <c r="G4407" s="57"/>
      <c r="H4407" s="57"/>
      <c r="I4407" s="44"/>
      <c r="J4407" s="44"/>
      <c r="K4407" s="44"/>
    </row>
    <row r="4408" spans="3:12" s="59" customFormat="1" ht="21" customHeight="1">
      <c r="C4408" s="450" t="s">
        <v>1217</v>
      </c>
      <c r="D4408" s="67"/>
      <c r="E4408" s="67"/>
      <c r="F4408" s="67"/>
      <c r="G4408" s="69"/>
      <c r="H4408" s="589">
        <v>0</v>
      </c>
      <c r="I4408" s="44"/>
      <c r="J4408" s="44"/>
      <c r="K4408" s="44"/>
    </row>
    <row r="4409" spans="3:12" s="59" customFormat="1" ht="21" customHeight="1">
      <c r="C4409" s="288" t="s">
        <v>1218</v>
      </c>
      <c r="D4409" s="76" t="s">
        <v>1219</v>
      </c>
      <c r="E4409" s="77"/>
      <c r="F4409" s="77"/>
      <c r="G4409" s="78"/>
      <c r="H4409" s="585">
        <f>H4408+H4406+H4403</f>
        <v>3409960</v>
      </c>
      <c r="I4409" s="369"/>
      <c r="J4409" s="44"/>
      <c r="K4409" s="44"/>
    </row>
    <row r="4410" spans="3:12" s="59" customFormat="1" ht="21" customHeight="1">
      <c r="C4410" s="288" t="s">
        <v>1220</v>
      </c>
      <c r="D4410" s="76" t="s">
        <v>1321</v>
      </c>
      <c r="E4410" s="77"/>
      <c r="F4410" s="78"/>
      <c r="G4410" s="80">
        <v>0.1</v>
      </c>
      <c r="H4410" s="63">
        <f>H4409*G4410</f>
        <v>340996</v>
      </c>
      <c r="I4410" s="369"/>
      <c r="J4410" s="44"/>
      <c r="K4410" s="44"/>
    </row>
    <row r="4411" spans="3:12" s="59" customFormat="1" ht="21" customHeight="1">
      <c r="C4411" s="288" t="s">
        <v>1221</v>
      </c>
      <c r="D4411" s="76" t="s">
        <v>1222</v>
      </c>
      <c r="E4411" s="77"/>
      <c r="F4411" s="77"/>
      <c r="G4411" s="78"/>
      <c r="H4411" s="799">
        <f>SUM(H4409:H4410)</f>
        <v>3750956</v>
      </c>
      <c r="I4411" s="369"/>
      <c r="J4411" s="44"/>
      <c r="K4411" s="44"/>
    </row>
    <row r="4412" spans="3:12" ht="21" customHeight="1"/>
    <row r="4413" spans="3:12" ht="21" customHeight="1">
      <c r="C4413" s="43" t="s">
        <v>8344</v>
      </c>
      <c r="D4413" s="128" t="s">
        <v>4286</v>
      </c>
    </row>
    <row r="4414" spans="3:12" s="59" customFormat="1" ht="21" customHeight="1">
      <c r="C4414" s="147" t="s">
        <v>5469</v>
      </c>
      <c r="D4414" s="794" t="s">
        <v>4287</v>
      </c>
      <c r="E4414" s="795"/>
      <c r="F4414" s="795"/>
      <c r="G4414" s="795"/>
      <c r="H4414" s="795"/>
      <c r="I4414" s="50">
        <f>ROUNDDOWN(H4429,-2)</f>
        <v>94600</v>
      </c>
      <c r="J4414" s="50"/>
      <c r="K4414" s="50"/>
    </row>
    <row r="4415" spans="3:12" s="59" customFormat="1" ht="21" customHeight="1">
      <c r="C4415" s="591" t="s">
        <v>1195</v>
      </c>
      <c r="D4415" s="591" t="s">
        <v>1196</v>
      </c>
      <c r="E4415" s="591" t="s">
        <v>1197</v>
      </c>
      <c r="F4415" s="591" t="s">
        <v>1198</v>
      </c>
      <c r="G4415" s="591" t="s">
        <v>1199</v>
      </c>
      <c r="H4415" s="591" t="s">
        <v>1200</v>
      </c>
      <c r="I4415" s="44"/>
      <c r="J4415" s="44"/>
      <c r="K4415" s="44"/>
    </row>
    <row r="4416" spans="3:12" s="59" customFormat="1" ht="21" customHeight="1">
      <c r="C4416" s="61" t="s">
        <v>1201</v>
      </c>
      <c r="D4416" s="56" t="s">
        <v>1202</v>
      </c>
      <c r="E4416" s="57"/>
      <c r="F4416" s="57"/>
      <c r="G4416" s="57"/>
      <c r="H4416" s="57"/>
      <c r="I4416" s="44"/>
      <c r="J4416" s="44"/>
      <c r="K4416" s="44"/>
      <c r="L4416" s="152" t="s">
        <v>1247</v>
      </c>
    </row>
    <row r="4417" spans="3:15" s="59" customFormat="1" ht="21" customHeight="1">
      <c r="C4417" s="588">
        <v>1</v>
      </c>
      <c r="D4417" s="56" t="s">
        <v>5</v>
      </c>
      <c r="E4417" s="577" t="s">
        <v>6</v>
      </c>
      <c r="F4417" s="62">
        <v>9.4E-2</v>
      </c>
      <c r="G4417" s="63">
        <f>VLOOKUP(D4417,upahbahan,3,FALSE)</f>
        <v>100000</v>
      </c>
      <c r="H4417" s="63">
        <f>F4417*G4417</f>
        <v>9400</v>
      </c>
      <c r="I4417" s="44"/>
      <c r="J4417" s="44"/>
      <c r="K4417" s="44"/>
      <c r="L4417" s="152" t="s">
        <v>1248</v>
      </c>
      <c r="O4417" s="65">
        <v>0.1</v>
      </c>
    </row>
    <row r="4418" spans="3:15" s="59" customFormat="1" ht="21" customHeight="1">
      <c r="C4418" s="588">
        <v>2</v>
      </c>
      <c r="D4418" s="56" t="s">
        <v>10</v>
      </c>
      <c r="E4418" s="577" t="s">
        <v>6</v>
      </c>
      <c r="F4418" s="62">
        <v>0.157</v>
      </c>
      <c r="G4418" s="63">
        <f>VLOOKUP(D4418,upahbahan,3,FALSE)</f>
        <v>135000</v>
      </c>
      <c r="H4418" s="63">
        <f>F4418*G4418</f>
        <v>21195</v>
      </c>
      <c r="I4418" s="44"/>
      <c r="J4418" s="44"/>
      <c r="K4418" s="44"/>
    </row>
    <row r="4419" spans="3:15" s="59" customFormat="1" ht="21" customHeight="1">
      <c r="C4419" s="588">
        <v>3</v>
      </c>
      <c r="D4419" s="56" t="s">
        <v>18</v>
      </c>
      <c r="E4419" s="577" t="s">
        <v>6</v>
      </c>
      <c r="F4419" s="62">
        <v>1.6E-2</v>
      </c>
      <c r="G4419" s="63">
        <f>VLOOKUP(D4419,upahbahan,3,FALSE)</f>
        <v>150000</v>
      </c>
      <c r="H4419" s="63">
        <f>F4419*G4419</f>
        <v>2400</v>
      </c>
      <c r="I4419" s="44"/>
      <c r="J4419" s="44"/>
      <c r="K4419" s="44"/>
    </row>
    <row r="4420" spans="3:15" s="59" customFormat="1" ht="21" customHeight="1">
      <c r="C4420" s="588">
        <v>4</v>
      </c>
      <c r="D4420" s="56" t="s">
        <v>19</v>
      </c>
      <c r="E4420" s="577" t="s">
        <v>6</v>
      </c>
      <c r="F4420" s="62">
        <v>5.0000000000000001E-3</v>
      </c>
      <c r="G4420" s="63">
        <f>VLOOKUP(D4420,upahbahan,3,FALSE)</f>
        <v>160000</v>
      </c>
      <c r="H4420" s="63">
        <f>F4420*G4420</f>
        <v>800</v>
      </c>
      <c r="I4420" s="44"/>
      <c r="J4420" s="44"/>
      <c r="K4420" s="44"/>
    </row>
    <row r="4421" spans="3:15" s="59" customFormat="1" ht="21" customHeight="1">
      <c r="C4421" s="450" t="s">
        <v>1208</v>
      </c>
      <c r="D4421" s="67"/>
      <c r="E4421" s="67"/>
      <c r="F4421" s="142"/>
      <c r="G4421" s="153"/>
      <c r="H4421" s="63">
        <f>SUM(H4417:H4420)</f>
        <v>33795</v>
      </c>
      <c r="I4421" s="154"/>
      <c r="J4421" s="154"/>
      <c r="K4421" s="154"/>
    </row>
    <row r="4422" spans="3:15" s="59" customFormat="1" ht="21" customHeight="1">
      <c r="C4422" s="61" t="s">
        <v>1209</v>
      </c>
      <c r="D4422" s="56" t="s">
        <v>1210</v>
      </c>
      <c r="E4422" s="57"/>
      <c r="F4422" s="57"/>
      <c r="G4422" s="57"/>
      <c r="H4422" s="57"/>
      <c r="I4422" s="44"/>
      <c r="J4422" s="44"/>
      <c r="K4422" s="44"/>
    </row>
    <row r="4423" spans="3:15" s="59" customFormat="1" ht="21" customHeight="1">
      <c r="C4423" s="61">
        <v>1</v>
      </c>
      <c r="D4423" s="56" t="s">
        <v>4288</v>
      </c>
      <c r="E4423" s="93" t="s">
        <v>4259</v>
      </c>
      <c r="F4423" s="104">
        <v>1.1000000000000001</v>
      </c>
      <c r="G4423" s="63">
        <f>VLOOKUP(D4423,upahbahan,3,FALSE)</f>
        <v>47500</v>
      </c>
      <c r="H4423" s="586">
        <f>G4423*F4423</f>
        <v>52250.000000000007</v>
      </c>
      <c r="I4423" s="44"/>
      <c r="J4423" s="44"/>
      <c r="K4423" s="44"/>
    </row>
    <row r="4424" spans="3:15" s="59" customFormat="1" ht="21" customHeight="1">
      <c r="C4424" s="450" t="s">
        <v>1214</v>
      </c>
      <c r="D4424" s="67"/>
      <c r="E4424" s="67"/>
      <c r="F4424" s="67"/>
      <c r="G4424" s="69"/>
      <c r="H4424" s="63">
        <f>SUM(H4423:H4423)</f>
        <v>52250.000000000007</v>
      </c>
      <c r="I4424" s="44"/>
      <c r="J4424" s="44"/>
      <c r="K4424" s="44"/>
    </row>
    <row r="4425" spans="3:15" s="59" customFormat="1" ht="21" customHeight="1">
      <c r="C4425" s="61" t="s">
        <v>1215</v>
      </c>
      <c r="D4425" s="56" t="s">
        <v>1216</v>
      </c>
      <c r="E4425" s="57"/>
      <c r="F4425" s="57"/>
      <c r="G4425" s="57"/>
      <c r="H4425" s="57"/>
      <c r="I4425" s="44"/>
      <c r="J4425" s="44"/>
      <c r="K4425" s="44"/>
    </row>
    <row r="4426" spans="3:15" s="59" customFormat="1" ht="21" customHeight="1">
      <c r="C4426" s="450" t="s">
        <v>1217</v>
      </c>
      <c r="D4426" s="67"/>
      <c r="E4426" s="67"/>
      <c r="F4426" s="67"/>
      <c r="G4426" s="69"/>
      <c r="H4426" s="589">
        <v>0</v>
      </c>
      <c r="I4426" s="44"/>
      <c r="J4426" s="44"/>
      <c r="K4426" s="44"/>
    </row>
    <row r="4427" spans="3:15" s="59" customFormat="1" ht="21" customHeight="1">
      <c r="C4427" s="288" t="s">
        <v>1218</v>
      </c>
      <c r="D4427" s="76" t="s">
        <v>1219</v>
      </c>
      <c r="E4427" s="77"/>
      <c r="F4427" s="77"/>
      <c r="G4427" s="78"/>
      <c r="H4427" s="585">
        <f>H4426+H4424+H4421</f>
        <v>86045</v>
      </c>
      <c r="I4427" s="369"/>
      <c r="J4427" s="44"/>
      <c r="K4427" s="44"/>
    </row>
    <row r="4428" spans="3:15" s="59" customFormat="1" ht="21" customHeight="1">
      <c r="C4428" s="288" t="s">
        <v>1220</v>
      </c>
      <c r="D4428" s="76" t="s">
        <v>1321</v>
      </c>
      <c r="E4428" s="77"/>
      <c r="F4428" s="78"/>
      <c r="G4428" s="80">
        <v>0.1</v>
      </c>
      <c r="H4428" s="63">
        <f>H4427*G4428</f>
        <v>8604.5</v>
      </c>
      <c r="I4428" s="369"/>
      <c r="J4428" s="44"/>
      <c r="K4428" s="44"/>
    </row>
    <row r="4429" spans="3:15" s="59" customFormat="1" ht="21" customHeight="1">
      <c r="C4429" s="288" t="s">
        <v>1221</v>
      </c>
      <c r="D4429" s="76" t="s">
        <v>1222</v>
      </c>
      <c r="E4429" s="77"/>
      <c r="F4429" s="77"/>
      <c r="G4429" s="78"/>
      <c r="H4429" s="799">
        <f>SUM(H4427:H4428)</f>
        <v>94649.5</v>
      </c>
      <c r="I4429" s="369"/>
      <c r="J4429" s="44"/>
      <c r="K4429" s="44"/>
    </row>
    <row r="4430" spans="3:15" ht="21" customHeight="1"/>
    <row r="4431" spans="3:15" s="59" customFormat="1" ht="21" customHeight="1">
      <c r="C4431" s="147" t="s">
        <v>5470</v>
      </c>
      <c r="D4431" s="794" t="s">
        <v>4289</v>
      </c>
      <c r="E4431" s="795"/>
      <c r="F4431" s="795"/>
      <c r="G4431" s="795"/>
      <c r="H4431" s="795"/>
      <c r="I4431" s="50">
        <f>ROUNDDOWN(H4446,-2)</f>
        <v>114100</v>
      </c>
      <c r="J4431" s="50"/>
      <c r="K4431" s="50"/>
    </row>
    <row r="4432" spans="3:15" s="59" customFormat="1" ht="21" customHeight="1">
      <c r="C4432" s="591" t="s">
        <v>1195</v>
      </c>
      <c r="D4432" s="591" t="s">
        <v>1196</v>
      </c>
      <c r="E4432" s="591" t="s">
        <v>1197</v>
      </c>
      <c r="F4432" s="591" t="s">
        <v>1198</v>
      </c>
      <c r="G4432" s="591" t="s">
        <v>1199</v>
      </c>
      <c r="H4432" s="591" t="s">
        <v>1200</v>
      </c>
      <c r="I4432" s="44"/>
      <c r="J4432" s="44"/>
      <c r="K4432" s="44"/>
    </row>
    <row r="4433" spans="3:15" s="59" customFormat="1" ht="21" customHeight="1">
      <c r="C4433" s="61" t="s">
        <v>1201</v>
      </c>
      <c r="D4433" s="56" t="s">
        <v>1202</v>
      </c>
      <c r="E4433" s="57"/>
      <c r="F4433" s="57"/>
      <c r="G4433" s="57"/>
      <c r="H4433" s="57"/>
      <c r="I4433" s="44"/>
      <c r="J4433" s="44"/>
      <c r="K4433" s="44"/>
      <c r="L4433" s="152" t="s">
        <v>1247</v>
      </c>
    </row>
    <row r="4434" spans="3:15" s="59" customFormat="1" ht="21" customHeight="1">
      <c r="C4434" s="588">
        <v>1</v>
      </c>
      <c r="D4434" s="56" t="s">
        <v>5</v>
      </c>
      <c r="E4434" s="577" t="s">
        <v>6</v>
      </c>
      <c r="F4434" s="62">
        <v>0.115</v>
      </c>
      <c r="G4434" s="63">
        <f>VLOOKUP(D4434,upahbahan,3,FALSE)</f>
        <v>100000</v>
      </c>
      <c r="H4434" s="63">
        <f>F4434*G4434</f>
        <v>11500</v>
      </c>
      <c r="I4434" s="44"/>
      <c r="J4434" s="44"/>
      <c r="K4434" s="44"/>
      <c r="L4434" s="152" t="s">
        <v>1248</v>
      </c>
      <c r="O4434" s="65">
        <v>0.1</v>
      </c>
    </row>
    <row r="4435" spans="3:15" s="59" customFormat="1" ht="21" customHeight="1">
      <c r="C4435" s="588">
        <v>2</v>
      </c>
      <c r="D4435" s="56" t="s">
        <v>10</v>
      </c>
      <c r="E4435" s="577" t="s">
        <v>6</v>
      </c>
      <c r="F4435" s="62">
        <v>0.193</v>
      </c>
      <c r="G4435" s="63">
        <f>VLOOKUP(D4435,upahbahan,3,FALSE)</f>
        <v>135000</v>
      </c>
      <c r="H4435" s="63">
        <f>F4435*G4435</f>
        <v>26055</v>
      </c>
      <c r="I4435" s="44"/>
      <c r="J4435" s="44"/>
      <c r="K4435" s="44"/>
    </row>
    <row r="4436" spans="3:15" s="59" customFormat="1" ht="21" customHeight="1">
      <c r="C4436" s="588">
        <v>3</v>
      </c>
      <c r="D4436" s="56" t="s">
        <v>18</v>
      </c>
      <c r="E4436" s="577" t="s">
        <v>6</v>
      </c>
      <c r="F4436" s="62">
        <v>1.9E-2</v>
      </c>
      <c r="G4436" s="63">
        <f>VLOOKUP(D4436,upahbahan,3,FALSE)</f>
        <v>150000</v>
      </c>
      <c r="H4436" s="63">
        <f>F4436*G4436</f>
        <v>2850</v>
      </c>
      <c r="I4436" s="44"/>
      <c r="J4436" s="44"/>
      <c r="K4436" s="44"/>
    </row>
    <row r="4437" spans="3:15" s="59" customFormat="1" ht="21" customHeight="1">
      <c r="C4437" s="588">
        <v>4</v>
      </c>
      <c r="D4437" s="56" t="s">
        <v>19</v>
      </c>
      <c r="E4437" s="577" t="s">
        <v>6</v>
      </c>
      <c r="F4437" s="62">
        <v>6.0000000000000001E-3</v>
      </c>
      <c r="G4437" s="63">
        <f>VLOOKUP(D4437,upahbahan,3,FALSE)</f>
        <v>160000</v>
      </c>
      <c r="H4437" s="63">
        <f>F4437*G4437</f>
        <v>960</v>
      </c>
      <c r="I4437" s="44"/>
      <c r="J4437" s="44"/>
      <c r="K4437" s="44"/>
    </row>
    <row r="4438" spans="3:15" s="59" customFormat="1" ht="21" customHeight="1">
      <c r="C4438" s="450" t="s">
        <v>1208</v>
      </c>
      <c r="D4438" s="67"/>
      <c r="E4438" s="67"/>
      <c r="F4438" s="142"/>
      <c r="G4438" s="153"/>
      <c r="H4438" s="63">
        <f>SUM(H4434:H4437)</f>
        <v>41365</v>
      </c>
      <c r="I4438" s="154"/>
      <c r="J4438" s="154"/>
      <c r="K4438" s="154"/>
    </row>
    <row r="4439" spans="3:15" s="59" customFormat="1" ht="21" customHeight="1">
      <c r="C4439" s="61" t="s">
        <v>1209</v>
      </c>
      <c r="D4439" s="56" t="s">
        <v>1210</v>
      </c>
      <c r="E4439" s="57"/>
      <c r="F4439" s="57"/>
      <c r="G4439" s="57"/>
      <c r="H4439" s="57"/>
      <c r="I4439" s="44"/>
      <c r="J4439" s="44"/>
      <c r="K4439" s="44"/>
    </row>
    <row r="4440" spans="3:15" s="59" customFormat="1" ht="21" customHeight="1">
      <c r="C4440" s="61">
        <v>1</v>
      </c>
      <c r="D4440" s="56" t="s">
        <v>4290</v>
      </c>
      <c r="E4440" s="93" t="s">
        <v>4259</v>
      </c>
      <c r="F4440" s="104">
        <v>1.1000000000000001</v>
      </c>
      <c r="G4440" s="63">
        <f>VLOOKUP(D4440,upahbahan,3,FALSE)</f>
        <v>56700</v>
      </c>
      <c r="H4440" s="586">
        <f>G4440*F4440</f>
        <v>62370.000000000007</v>
      </c>
      <c r="I4440" s="44"/>
      <c r="J4440" s="44"/>
      <c r="K4440" s="44"/>
    </row>
    <row r="4441" spans="3:15" s="59" customFormat="1" ht="21" customHeight="1">
      <c r="C4441" s="450" t="s">
        <v>1214</v>
      </c>
      <c r="D4441" s="67"/>
      <c r="E4441" s="67"/>
      <c r="F4441" s="67"/>
      <c r="G4441" s="69"/>
      <c r="H4441" s="63">
        <f>SUM(H4440:H4440)</f>
        <v>62370.000000000007</v>
      </c>
      <c r="I4441" s="44"/>
      <c r="J4441" s="44"/>
      <c r="K4441" s="44"/>
    </row>
    <row r="4442" spans="3:15" s="59" customFormat="1" ht="21" customHeight="1">
      <c r="C4442" s="61" t="s">
        <v>1215</v>
      </c>
      <c r="D4442" s="56" t="s">
        <v>1216</v>
      </c>
      <c r="E4442" s="57"/>
      <c r="F4442" s="57"/>
      <c r="G4442" s="57"/>
      <c r="H4442" s="57"/>
      <c r="I4442" s="44"/>
      <c r="J4442" s="44"/>
      <c r="K4442" s="44"/>
    </row>
    <row r="4443" spans="3:15" s="59" customFormat="1" ht="21" customHeight="1">
      <c r="C4443" s="450" t="s">
        <v>1217</v>
      </c>
      <c r="D4443" s="67"/>
      <c r="E4443" s="67"/>
      <c r="F4443" s="67"/>
      <c r="G4443" s="69"/>
      <c r="H4443" s="589">
        <v>0</v>
      </c>
      <c r="I4443" s="44"/>
      <c r="J4443" s="44"/>
      <c r="K4443" s="44"/>
    </row>
    <row r="4444" spans="3:15" s="59" customFormat="1" ht="21" customHeight="1">
      <c r="C4444" s="288" t="s">
        <v>1218</v>
      </c>
      <c r="D4444" s="76" t="s">
        <v>1219</v>
      </c>
      <c r="E4444" s="77"/>
      <c r="F4444" s="77"/>
      <c r="G4444" s="78"/>
      <c r="H4444" s="585">
        <f>H4443+H4441+H4438</f>
        <v>103735</v>
      </c>
      <c r="I4444" s="369"/>
      <c r="J4444" s="44"/>
      <c r="K4444" s="44"/>
    </row>
    <row r="4445" spans="3:15" s="59" customFormat="1" ht="21" customHeight="1">
      <c r="C4445" s="288" t="s">
        <v>1220</v>
      </c>
      <c r="D4445" s="76" t="s">
        <v>1321</v>
      </c>
      <c r="E4445" s="77"/>
      <c r="F4445" s="78"/>
      <c r="G4445" s="80">
        <v>0.1</v>
      </c>
      <c r="H4445" s="63">
        <f>H4444*G4445</f>
        <v>10373.5</v>
      </c>
      <c r="I4445" s="369"/>
      <c r="J4445" s="44"/>
      <c r="K4445" s="44"/>
    </row>
    <row r="4446" spans="3:15" s="59" customFormat="1" ht="21" customHeight="1">
      <c r="C4446" s="288" t="s">
        <v>1221</v>
      </c>
      <c r="D4446" s="76" t="s">
        <v>1222</v>
      </c>
      <c r="E4446" s="77"/>
      <c r="F4446" s="77"/>
      <c r="G4446" s="78"/>
      <c r="H4446" s="799">
        <f>SUM(H4444:H4445)</f>
        <v>114108.5</v>
      </c>
      <c r="I4446" s="369"/>
      <c r="J4446" s="44"/>
      <c r="K4446" s="44"/>
    </row>
    <row r="4447" spans="3:15" ht="21" customHeight="1"/>
    <row r="4448" spans="3:15" s="59" customFormat="1" ht="21" customHeight="1">
      <c r="C4448" s="147" t="s">
        <v>5471</v>
      </c>
      <c r="D4448" s="794" t="s">
        <v>4291</v>
      </c>
      <c r="E4448" s="795"/>
      <c r="F4448" s="795"/>
      <c r="G4448" s="795"/>
      <c r="H4448" s="795"/>
      <c r="I4448" s="50">
        <f>ROUNDDOWN(H4463,-2)</f>
        <v>150900</v>
      </c>
      <c r="J4448" s="50"/>
      <c r="K4448" s="50"/>
    </row>
    <row r="4449" spans="3:15" s="59" customFormat="1" ht="21" customHeight="1">
      <c r="C4449" s="591" t="s">
        <v>1195</v>
      </c>
      <c r="D4449" s="591" t="s">
        <v>1196</v>
      </c>
      <c r="E4449" s="591" t="s">
        <v>1197</v>
      </c>
      <c r="F4449" s="591" t="s">
        <v>1198</v>
      </c>
      <c r="G4449" s="591" t="s">
        <v>1199</v>
      </c>
      <c r="H4449" s="591" t="s">
        <v>1200</v>
      </c>
      <c r="I4449" s="44"/>
      <c r="J4449" s="44"/>
      <c r="K4449" s="44"/>
    </row>
    <row r="4450" spans="3:15" s="59" customFormat="1" ht="21" customHeight="1">
      <c r="C4450" s="61" t="s">
        <v>1201</v>
      </c>
      <c r="D4450" s="56" t="s">
        <v>1202</v>
      </c>
      <c r="E4450" s="57"/>
      <c r="F4450" s="57"/>
      <c r="G4450" s="57"/>
      <c r="H4450" s="57"/>
      <c r="I4450" s="44"/>
      <c r="J4450" s="44"/>
      <c r="K4450" s="44"/>
      <c r="L4450" s="152" t="s">
        <v>1247</v>
      </c>
    </row>
    <row r="4451" spans="3:15" s="59" customFormat="1" ht="21" customHeight="1">
      <c r="C4451" s="588">
        <v>1</v>
      </c>
      <c r="D4451" s="56" t="s">
        <v>5</v>
      </c>
      <c r="E4451" s="577" t="s">
        <v>6</v>
      </c>
      <c r="F4451" s="62">
        <v>0.183</v>
      </c>
      <c r="G4451" s="63">
        <f>VLOOKUP(D4451,upahbahan,3,FALSE)</f>
        <v>100000</v>
      </c>
      <c r="H4451" s="63">
        <f>F4451*G4451</f>
        <v>18300</v>
      </c>
      <c r="I4451" s="44"/>
      <c r="J4451" s="44"/>
      <c r="K4451" s="44"/>
      <c r="L4451" s="152" t="s">
        <v>1248</v>
      </c>
      <c r="O4451" s="65">
        <v>0.1</v>
      </c>
    </row>
    <row r="4452" spans="3:15" s="59" customFormat="1" ht="21" customHeight="1">
      <c r="C4452" s="588">
        <v>2</v>
      </c>
      <c r="D4452" s="56" t="s">
        <v>10</v>
      </c>
      <c r="E4452" s="577" t="s">
        <v>6</v>
      </c>
      <c r="F4452" s="62">
        <v>0.30599999999999999</v>
      </c>
      <c r="G4452" s="63">
        <f>VLOOKUP(D4452,upahbahan,3,FALSE)</f>
        <v>135000</v>
      </c>
      <c r="H4452" s="63">
        <f>F4452*G4452</f>
        <v>41310</v>
      </c>
      <c r="I4452" s="44"/>
      <c r="J4452" s="44"/>
      <c r="K4452" s="44"/>
    </row>
    <row r="4453" spans="3:15" s="59" customFormat="1" ht="21" customHeight="1">
      <c r="C4453" s="588">
        <v>3</v>
      </c>
      <c r="D4453" s="56" t="s">
        <v>18</v>
      </c>
      <c r="E4453" s="577" t="s">
        <v>6</v>
      </c>
      <c r="F4453" s="62">
        <v>3.1E-2</v>
      </c>
      <c r="G4453" s="63">
        <f>VLOOKUP(D4453,upahbahan,3,FALSE)</f>
        <v>150000</v>
      </c>
      <c r="H4453" s="63">
        <f>F4453*G4453</f>
        <v>4650</v>
      </c>
      <c r="I4453" s="44"/>
      <c r="J4453" s="44"/>
      <c r="K4453" s="44"/>
    </row>
    <row r="4454" spans="3:15" s="59" customFormat="1" ht="21" customHeight="1">
      <c r="C4454" s="588">
        <v>4</v>
      </c>
      <c r="D4454" s="56" t="s">
        <v>19</v>
      </c>
      <c r="E4454" s="577" t="s">
        <v>6</v>
      </c>
      <c r="F4454" s="62">
        <v>8.9999999999999993E-3</v>
      </c>
      <c r="G4454" s="63">
        <f>VLOOKUP(D4454,upahbahan,3,FALSE)</f>
        <v>160000</v>
      </c>
      <c r="H4454" s="63">
        <f>F4454*G4454</f>
        <v>1440</v>
      </c>
      <c r="I4454" s="44"/>
      <c r="J4454" s="44"/>
      <c r="K4454" s="44"/>
    </row>
    <row r="4455" spans="3:15" s="59" customFormat="1" ht="21" customHeight="1">
      <c r="C4455" s="450" t="s">
        <v>1208</v>
      </c>
      <c r="D4455" s="67"/>
      <c r="E4455" s="67"/>
      <c r="F4455" s="142"/>
      <c r="G4455" s="153"/>
      <c r="H4455" s="63">
        <f>SUM(H4451:H4454)</f>
        <v>65700</v>
      </c>
      <c r="I4455" s="154"/>
      <c r="J4455" s="154"/>
      <c r="K4455" s="154"/>
    </row>
    <row r="4456" spans="3:15" s="59" customFormat="1" ht="21" customHeight="1">
      <c r="C4456" s="61" t="s">
        <v>1209</v>
      </c>
      <c r="D4456" s="56" t="s">
        <v>1210</v>
      </c>
      <c r="E4456" s="57"/>
      <c r="F4456" s="57"/>
      <c r="G4456" s="57"/>
      <c r="H4456" s="57"/>
      <c r="I4456" s="44"/>
      <c r="J4456" s="44"/>
      <c r="K4456" s="44"/>
    </row>
    <row r="4457" spans="3:15" s="59" customFormat="1" ht="21" customHeight="1">
      <c r="C4457" s="61">
        <v>1</v>
      </c>
      <c r="D4457" s="56" t="s">
        <v>4292</v>
      </c>
      <c r="E4457" s="93" t="s">
        <v>4259</v>
      </c>
      <c r="F4457" s="104">
        <v>1.1000000000000001</v>
      </c>
      <c r="G4457" s="63">
        <f>VLOOKUP(D4457,upahbahan,3,FALSE)</f>
        <v>65000</v>
      </c>
      <c r="H4457" s="586">
        <f>G4457*F4457</f>
        <v>71500</v>
      </c>
      <c r="I4457" s="44"/>
      <c r="J4457" s="44"/>
      <c r="K4457" s="44"/>
    </row>
    <row r="4458" spans="3:15" s="59" customFormat="1" ht="21" customHeight="1">
      <c r="C4458" s="450" t="s">
        <v>1214</v>
      </c>
      <c r="D4458" s="67"/>
      <c r="E4458" s="67"/>
      <c r="F4458" s="67"/>
      <c r="G4458" s="69"/>
      <c r="H4458" s="63">
        <f>SUM(H4457:H4457)</f>
        <v>71500</v>
      </c>
      <c r="I4458" s="44"/>
      <c r="J4458" s="44"/>
      <c r="K4458" s="44"/>
    </row>
    <row r="4459" spans="3:15" s="59" customFormat="1" ht="21" customHeight="1">
      <c r="C4459" s="61" t="s">
        <v>1215</v>
      </c>
      <c r="D4459" s="56" t="s">
        <v>1216</v>
      </c>
      <c r="E4459" s="57"/>
      <c r="F4459" s="57"/>
      <c r="G4459" s="57"/>
      <c r="H4459" s="57"/>
      <c r="I4459" s="44"/>
      <c r="J4459" s="44"/>
      <c r="K4459" s="44"/>
    </row>
    <row r="4460" spans="3:15" s="59" customFormat="1" ht="21" customHeight="1">
      <c r="C4460" s="450" t="s">
        <v>1217</v>
      </c>
      <c r="D4460" s="67"/>
      <c r="E4460" s="67"/>
      <c r="F4460" s="67"/>
      <c r="G4460" s="69"/>
      <c r="H4460" s="589">
        <v>0</v>
      </c>
      <c r="I4460" s="44"/>
      <c r="J4460" s="44"/>
      <c r="K4460" s="44"/>
    </row>
    <row r="4461" spans="3:15" s="59" customFormat="1" ht="21" customHeight="1">
      <c r="C4461" s="288" t="s">
        <v>1218</v>
      </c>
      <c r="D4461" s="76" t="s">
        <v>1219</v>
      </c>
      <c r="E4461" s="77"/>
      <c r="F4461" s="77"/>
      <c r="G4461" s="78"/>
      <c r="H4461" s="585">
        <f>H4460+H4458+H4455</f>
        <v>137200</v>
      </c>
      <c r="I4461" s="369"/>
      <c r="J4461" s="44"/>
      <c r="K4461" s="44"/>
    </row>
    <row r="4462" spans="3:15" s="59" customFormat="1" ht="21" customHeight="1">
      <c r="C4462" s="288" t="s">
        <v>1220</v>
      </c>
      <c r="D4462" s="76" t="s">
        <v>1321</v>
      </c>
      <c r="E4462" s="77"/>
      <c r="F4462" s="78"/>
      <c r="G4462" s="80">
        <v>0.1</v>
      </c>
      <c r="H4462" s="63">
        <f>H4461*G4462</f>
        <v>13720</v>
      </c>
      <c r="I4462" s="369"/>
      <c r="J4462" s="44"/>
      <c r="K4462" s="44"/>
    </row>
    <row r="4463" spans="3:15" s="59" customFormat="1" ht="21" customHeight="1">
      <c r="C4463" s="288" t="s">
        <v>1221</v>
      </c>
      <c r="D4463" s="76" t="s">
        <v>1222</v>
      </c>
      <c r="E4463" s="77"/>
      <c r="F4463" s="77"/>
      <c r="G4463" s="78"/>
      <c r="H4463" s="799">
        <f>SUM(H4461:H4462)</f>
        <v>150920</v>
      </c>
      <c r="I4463" s="369"/>
      <c r="J4463" s="44"/>
      <c r="K4463" s="44"/>
    </row>
    <row r="4464" spans="3:15" ht="21" customHeight="1"/>
    <row r="4465" spans="3:15" s="59" customFormat="1" ht="21" customHeight="1">
      <c r="C4465" s="147" t="s">
        <v>5472</v>
      </c>
      <c r="D4465" s="794" t="s">
        <v>4295</v>
      </c>
      <c r="E4465" s="795"/>
      <c r="F4465" s="795"/>
      <c r="G4465" s="795"/>
      <c r="H4465" s="795"/>
      <c r="I4465" s="50">
        <f>ROUNDDOWN(H4480,-2)</f>
        <v>184000</v>
      </c>
      <c r="J4465" s="50"/>
      <c r="K4465" s="50"/>
    </row>
    <row r="4466" spans="3:15" s="59" customFormat="1" ht="21" customHeight="1">
      <c r="C4466" s="591" t="s">
        <v>1195</v>
      </c>
      <c r="D4466" s="591" t="s">
        <v>1196</v>
      </c>
      <c r="E4466" s="591" t="s">
        <v>1197</v>
      </c>
      <c r="F4466" s="591" t="s">
        <v>1198</v>
      </c>
      <c r="G4466" s="591" t="s">
        <v>1199</v>
      </c>
      <c r="H4466" s="591" t="s">
        <v>1200</v>
      </c>
      <c r="I4466" s="44"/>
      <c r="J4466" s="44"/>
      <c r="K4466" s="44"/>
    </row>
    <row r="4467" spans="3:15" s="59" customFormat="1" ht="21" customHeight="1">
      <c r="C4467" s="61" t="s">
        <v>1201</v>
      </c>
      <c r="D4467" s="56" t="s">
        <v>1202</v>
      </c>
      <c r="E4467" s="57"/>
      <c r="F4467" s="57"/>
      <c r="G4467" s="57"/>
      <c r="H4467" s="57"/>
      <c r="I4467" s="44"/>
      <c r="J4467" s="44"/>
      <c r="K4467" s="44"/>
      <c r="L4467" s="152" t="s">
        <v>1247</v>
      </c>
    </row>
    <row r="4468" spans="3:15" s="59" customFormat="1" ht="21" customHeight="1">
      <c r="C4468" s="588">
        <v>1</v>
      </c>
      <c r="D4468" s="56" t="s">
        <v>5</v>
      </c>
      <c r="E4468" s="577" t="s">
        <v>6</v>
      </c>
      <c r="F4468" s="62">
        <v>0.24399999999999999</v>
      </c>
      <c r="G4468" s="63">
        <f>VLOOKUP(D4468,upahbahan,3,FALSE)</f>
        <v>100000</v>
      </c>
      <c r="H4468" s="63">
        <f>F4468*G4468</f>
        <v>24400</v>
      </c>
      <c r="I4468" s="44"/>
      <c r="J4468" s="44"/>
      <c r="K4468" s="44"/>
      <c r="L4468" s="152" t="s">
        <v>1248</v>
      </c>
      <c r="O4468" s="65">
        <v>0.1</v>
      </c>
    </row>
    <row r="4469" spans="3:15" s="59" customFormat="1" ht="21" customHeight="1">
      <c r="C4469" s="588">
        <v>2</v>
      </c>
      <c r="D4469" s="56" t="s">
        <v>10</v>
      </c>
      <c r="E4469" s="577" t="s">
        <v>6</v>
      </c>
      <c r="F4469" s="62">
        <v>0.40799999999999997</v>
      </c>
      <c r="G4469" s="63">
        <f>VLOOKUP(D4469,upahbahan,3,FALSE)</f>
        <v>135000</v>
      </c>
      <c r="H4469" s="63">
        <f>F4469*G4469</f>
        <v>55080</v>
      </c>
      <c r="I4469" s="44"/>
      <c r="J4469" s="44"/>
      <c r="K4469" s="44"/>
    </row>
    <row r="4470" spans="3:15" s="59" customFormat="1" ht="21" customHeight="1">
      <c r="C4470" s="588">
        <v>3</v>
      </c>
      <c r="D4470" s="56" t="s">
        <v>18</v>
      </c>
      <c r="E4470" s="577" t="s">
        <v>6</v>
      </c>
      <c r="F4470" s="62">
        <v>4.1000000000000002E-2</v>
      </c>
      <c r="G4470" s="63">
        <f>VLOOKUP(D4470,upahbahan,3,FALSE)</f>
        <v>150000</v>
      </c>
      <c r="H4470" s="63">
        <f>F4470*G4470</f>
        <v>6150</v>
      </c>
      <c r="I4470" s="44"/>
      <c r="J4470" s="44"/>
      <c r="K4470" s="44"/>
    </row>
    <row r="4471" spans="3:15" s="59" customFormat="1" ht="21" customHeight="1">
      <c r="C4471" s="588">
        <v>4</v>
      </c>
      <c r="D4471" s="56" t="s">
        <v>19</v>
      </c>
      <c r="E4471" s="577" t="s">
        <v>6</v>
      </c>
      <c r="F4471" s="62">
        <v>1.2E-2</v>
      </c>
      <c r="G4471" s="63">
        <f>VLOOKUP(D4471,upahbahan,3,FALSE)</f>
        <v>160000</v>
      </c>
      <c r="H4471" s="63">
        <f>F4471*G4471</f>
        <v>1920</v>
      </c>
      <c r="I4471" s="44"/>
      <c r="J4471" s="44"/>
      <c r="K4471" s="44"/>
    </row>
    <row r="4472" spans="3:15" s="59" customFormat="1" ht="21" customHeight="1">
      <c r="C4472" s="450" t="s">
        <v>1208</v>
      </c>
      <c r="D4472" s="67"/>
      <c r="E4472" s="67"/>
      <c r="F4472" s="142"/>
      <c r="G4472" s="153"/>
      <c r="H4472" s="63">
        <f>SUM(H4468:H4471)</f>
        <v>87550</v>
      </c>
      <c r="I4472" s="154"/>
      <c r="J4472" s="154"/>
      <c r="K4472" s="154"/>
    </row>
    <row r="4473" spans="3:15" s="59" customFormat="1" ht="21" customHeight="1">
      <c r="C4473" s="61" t="s">
        <v>1209</v>
      </c>
      <c r="D4473" s="56" t="s">
        <v>1210</v>
      </c>
      <c r="E4473" s="57"/>
      <c r="F4473" s="57"/>
      <c r="G4473" s="57"/>
      <c r="H4473" s="57"/>
      <c r="I4473" s="44"/>
      <c r="J4473" s="44"/>
      <c r="K4473" s="44"/>
    </row>
    <row r="4474" spans="3:15" s="59" customFormat="1" ht="21" customHeight="1">
      <c r="C4474" s="61">
        <v>1</v>
      </c>
      <c r="D4474" s="56" t="s">
        <v>4293</v>
      </c>
      <c r="E4474" s="93" t="s">
        <v>4259</v>
      </c>
      <c r="F4474" s="104">
        <v>1.1000000000000001</v>
      </c>
      <c r="G4474" s="63">
        <f>VLOOKUP(D4474,upahbahan,3,FALSE)</f>
        <v>72500</v>
      </c>
      <c r="H4474" s="586">
        <f>G4474*F4474</f>
        <v>79750</v>
      </c>
      <c r="I4474" s="44"/>
      <c r="J4474" s="44"/>
      <c r="K4474" s="44"/>
    </row>
    <row r="4475" spans="3:15" s="59" customFormat="1" ht="21" customHeight="1">
      <c r="C4475" s="450" t="s">
        <v>1214</v>
      </c>
      <c r="D4475" s="67"/>
      <c r="E4475" s="67"/>
      <c r="F4475" s="67"/>
      <c r="G4475" s="69"/>
      <c r="H4475" s="63">
        <f>SUM(H4474:H4474)</f>
        <v>79750</v>
      </c>
      <c r="I4475" s="44"/>
      <c r="J4475" s="44"/>
      <c r="K4475" s="44"/>
    </row>
    <row r="4476" spans="3:15" s="59" customFormat="1" ht="21" customHeight="1">
      <c r="C4476" s="61" t="s">
        <v>1215</v>
      </c>
      <c r="D4476" s="56" t="s">
        <v>1216</v>
      </c>
      <c r="E4476" s="57"/>
      <c r="F4476" s="57"/>
      <c r="G4476" s="57"/>
      <c r="H4476" s="57"/>
      <c r="I4476" s="44"/>
      <c r="J4476" s="44"/>
      <c r="K4476" s="44"/>
    </row>
    <row r="4477" spans="3:15" s="59" customFormat="1" ht="21" customHeight="1">
      <c r="C4477" s="450" t="s">
        <v>1217</v>
      </c>
      <c r="D4477" s="67"/>
      <c r="E4477" s="67"/>
      <c r="F4477" s="67"/>
      <c r="G4477" s="69"/>
      <c r="H4477" s="589">
        <v>0</v>
      </c>
      <c r="I4477" s="44"/>
      <c r="J4477" s="44"/>
      <c r="K4477" s="44"/>
    </row>
    <row r="4478" spans="3:15" s="59" customFormat="1" ht="21" customHeight="1">
      <c r="C4478" s="288" t="s">
        <v>1218</v>
      </c>
      <c r="D4478" s="76" t="s">
        <v>1219</v>
      </c>
      <c r="E4478" s="77"/>
      <c r="F4478" s="77"/>
      <c r="G4478" s="78"/>
      <c r="H4478" s="585">
        <f>H4477+H4475+H4472</f>
        <v>167300</v>
      </c>
      <c r="I4478" s="369"/>
      <c r="J4478" s="44"/>
      <c r="K4478" s="44"/>
    </row>
    <row r="4479" spans="3:15" s="59" customFormat="1" ht="21" customHeight="1">
      <c r="C4479" s="288" t="s">
        <v>1220</v>
      </c>
      <c r="D4479" s="76" t="s">
        <v>1321</v>
      </c>
      <c r="E4479" s="77"/>
      <c r="F4479" s="78"/>
      <c r="G4479" s="80">
        <v>0.1</v>
      </c>
      <c r="H4479" s="63">
        <f>H4478*G4479</f>
        <v>16730</v>
      </c>
      <c r="I4479" s="369"/>
      <c r="J4479" s="44"/>
      <c r="K4479" s="44"/>
    </row>
    <row r="4480" spans="3:15" s="59" customFormat="1" ht="21" customHeight="1">
      <c r="C4480" s="288" t="s">
        <v>1221</v>
      </c>
      <c r="D4480" s="76" t="s">
        <v>1222</v>
      </c>
      <c r="E4480" s="77"/>
      <c r="F4480" s="77"/>
      <c r="G4480" s="78"/>
      <c r="H4480" s="799">
        <f>SUM(H4478:H4479)</f>
        <v>184030</v>
      </c>
      <c r="I4480" s="369"/>
      <c r="J4480" s="44"/>
      <c r="K4480" s="44"/>
    </row>
    <row r="4481" spans="3:15" ht="21" customHeight="1"/>
    <row r="4482" spans="3:15" s="59" customFormat="1" ht="21" customHeight="1">
      <c r="C4482" s="147" t="s">
        <v>5473</v>
      </c>
      <c r="D4482" s="794" t="s">
        <v>4296</v>
      </c>
      <c r="E4482" s="795"/>
      <c r="F4482" s="795"/>
      <c r="G4482" s="795"/>
      <c r="H4482" s="795"/>
      <c r="I4482" s="50">
        <f>ROUNDDOWN(H4497,-2)</f>
        <v>336600</v>
      </c>
      <c r="J4482" s="50"/>
      <c r="K4482" s="50"/>
    </row>
    <row r="4483" spans="3:15" s="59" customFormat="1" ht="21" customHeight="1">
      <c r="C4483" s="591" t="s">
        <v>1195</v>
      </c>
      <c r="D4483" s="591" t="s">
        <v>1196</v>
      </c>
      <c r="E4483" s="591" t="s">
        <v>1197</v>
      </c>
      <c r="F4483" s="591" t="s">
        <v>1198</v>
      </c>
      <c r="G4483" s="591" t="s">
        <v>1199</v>
      </c>
      <c r="H4483" s="591" t="s">
        <v>1200</v>
      </c>
      <c r="I4483" s="44"/>
      <c r="J4483" s="44"/>
      <c r="K4483" s="44"/>
    </row>
    <row r="4484" spans="3:15" s="59" customFormat="1" ht="21" customHeight="1">
      <c r="C4484" s="61" t="s">
        <v>1201</v>
      </c>
      <c r="D4484" s="56" t="s">
        <v>1202</v>
      </c>
      <c r="E4484" s="57"/>
      <c r="F4484" s="57"/>
      <c r="G4484" s="57"/>
      <c r="H4484" s="57"/>
      <c r="I4484" s="44"/>
      <c r="J4484" s="44"/>
      <c r="K4484" s="44"/>
      <c r="L4484" s="152" t="s">
        <v>1247</v>
      </c>
    </row>
    <row r="4485" spans="3:15" s="59" customFormat="1" ht="21" customHeight="1">
      <c r="C4485" s="588">
        <v>1</v>
      </c>
      <c r="D4485" s="56" t="s">
        <v>5</v>
      </c>
      <c r="E4485" s="577" t="s">
        <v>6</v>
      </c>
      <c r="F4485" s="62">
        <v>0.30499999999999999</v>
      </c>
      <c r="G4485" s="63">
        <f>VLOOKUP(D4485,upahbahan,3,FALSE)</f>
        <v>100000</v>
      </c>
      <c r="H4485" s="63">
        <f>F4485*G4485</f>
        <v>30500</v>
      </c>
      <c r="I4485" s="44"/>
      <c r="J4485" s="44"/>
      <c r="K4485" s="44"/>
      <c r="L4485" s="152" t="s">
        <v>1248</v>
      </c>
      <c r="O4485" s="65">
        <v>0.1</v>
      </c>
    </row>
    <row r="4486" spans="3:15" s="59" customFormat="1" ht="21" customHeight="1">
      <c r="C4486" s="588">
        <v>2</v>
      </c>
      <c r="D4486" s="56" t="s">
        <v>10</v>
      </c>
      <c r="E4486" s="577" t="s">
        <v>6</v>
      </c>
      <c r="F4486" s="62">
        <v>0.50900000000000001</v>
      </c>
      <c r="G4486" s="63">
        <f>VLOOKUP(D4486,upahbahan,3,FALSE)</f>
        <v>135000</v>
      </c>
      <c r="H4486" s="63">
        <f>F4486*G4486</f>
        <v>68715</v>
      </c>
      <c r="I4486" s="44"/>
      <c r="J4486" s="44"/>
      <c r="K4486" s="44"/>
    </row>
    <row r="4487" spans="3:15" s="59" customFormat="1" ht="21" customHeight="1">
      <c r="C4487" s="588">
        <v>3</v>
      </c>
      <c r="D4487" s="56" t="s">
        <v>18</v>
      </c>
      <c r="E4487" s="577" t="s">
        <v>6</v>
      </c>
      <c r="F4487" s="62">
        <v>5.0999999999999997E-2</v>
      </c>
      <c r="G4487" s="63">
        <f>VLOOKUP(D4487,upahbahan,3,FALSE)</f>
        <v>150000</v>
      </c>
      <c r="H4487" s="63">
        <f>F4487*G4487</f>
        <v>7649.9999999999991</v>
      </c>
      <c r="I4487" s="44"/>
      <c r="J4487" s="44"/>
      <c r="K4487" s="44"/>
    </row>
    <row r="4488" spans="3:15" s="59" customFormat="1" ht="21" customHeight="1">
      <c r="C4488" s="588">
        <v>4</v>
      </c>
      <c r="D4488" s="56" t="s">
        <v>19</v>
      </c>
      <c r="E4488" s="577" t="s">
        <v>6</v>
      </c>
      <c r="F4488" s="62">
        <v>1.4999999999999999E-2</v>
      </c>
      <c r="G4488" s="63">
        <f>VLOOKUP(D4488,upahbahan,3,FALSE)</f>
        <v>160000</v>
      </c>
      <c r="H4488" s="63">
        <f>F4488*G4488</f>
        <v>2400</v>
      </c>
      <c r="I4488" s="44"/>
      <c r="J4488" s="44"/>
      <c r="K4488" s="44"/>
    </row>
    <row r="4489" spans="3:15" s="59" customFormat="1" ht="21" customHeight="1">
      <c r="C4489" s="450" t="s">
        <v>1208</v>
      </c>
      <c r="D4489" s="67"/>
      <c r="E4489" s="67"/>
      <c r="F4489" s="142"/>
      <c r="G4489" s="153"/>
      <c r="H4489" s="63">
        <f>SUM(H4485:H4488)</f>
        <v>109265</v>
      </c>
      <c r="I4489" s="154"/>
      <c r="J4489" s="154"/>
      <c r="K4489" s="154"/>
    </row>
    <row r="4490" spans="3:15" s="59" customFormat="1" ht="21" customHeight="1">
      <c r="C4490" s="61" t="s">
        <v>1209</v>
      </c>
      <c r="D4490" s="56" t="s">
        <v>1210</v>
      </c>
      <c r="E4490" s="57"/>
      <c r="F4490" s="57"/>
      <c r="G4490" s="57"/>
      <c r="H4490" s="57"/>
      <c r="I4490" s="44"/>
      <c r="J4490" s="44"/>
      <c r="K4490" s="44"/>
    </row>
    <row r="4491" spans="3:15" s="59" customFormat="1" ht="21" customHeight="1">
      <c r="C4491" s="61">
        <v>1</v>
      </c>
      <c r="D4491" s="56" t="s">
        <v>4297</v>
      </c>
      <c r="E4491" s="93" t="s">
        <v>4259</v>
      </c>
      <c r="F4491" s="104">
        <v>1.1000000000000001</v>
      </c>
      <c r="G4491" s="63">
        <f>VLOOKUP(D4491,upahbahan,3,FALSE)</f>
        <v>178900</v>
      </c>
      <c r="H4491" s="586">
        <f>G4491*F4491</f>
        <v>196790.00000000003</v>
      </c>
      <c r="I4491" s="44"/>
      <c r="J4491" s="44"/>
      <c r="K4491" s="44"/>
    </row>
    <row r="4492" spans="3:15" s="59" customFormat="1" ht="21" customHeight="1">
      <c r="C4492" s="450" t="s">
        <v>1214</v>
      </c>
      <c r="D4492" s="67"/>
      <c r="E4492" s="67"/>
      <c r="F4492" s="67"/>
      <c r="G4492" s="69"/>
      <c r="H4492" s="63">
        <f>SUM(H4491:H4491)</f>
        <v>196790.00000000003</v>
      </c>
      <c r="I4492" s="44"/>
      <c r="J4492" s="44"/>
      <c r="K4492" s="44"/>
    </row>
    <row r="4493" spans="3:15" s="59" customFormat="1" ht="21" customHeight="1">
      <c r="C4493" s="61" t="s">
        <v>1215</v>
      </c>
      <c r="D4493" s="56" t="s">
        <v>1216</v>
      </c>
      <c r="E4493" s="57"/>
      <c r="F4493" s="57"/>
      <c r="G4493" s="57"/>
      <c r="H4493" s="57"/>
      <c r="I4493" s="44"/>
      <c r="J4493" s="44"/>
      <c r="K4493" s="44"/>
    </row>
    <row r="4494" spans="3:15" s="59" customFormat="1" ht="21" customHeight="1">
      <c r="C4494" s="450" t="s">
        <v>1217</v>
      </c>
      <c r="D4494" s="67"/>
      <c r="E4494" s="67"/>
      <c r="F4494" s="67"/>
      <c r="G4494" s="69"/>
      <c r="H4494" s="589">
        <v>0</v>
      </c>
      <c r="I4494" s="44"/>
      <c r="J4494" s="44"/>
      <c r="K4494" s="44"/>
    </row>
    <row r="4495" spans="3:15" s="59" customFormat="1" ht="21" customHeight="1">
      <c r="C4495" s="288" t="s">
        <v>1218</v>
      </c>
      <c r="D4495" s="76" t="s">
        <v>1219</v>
      </c>
      <c r="E4495" s="77"/>
      <c r="F4495" s="77"/>
      <c r="G4495" s="78"/>
      <c r="H4495" s="585">
        <f>H4494+H4492+H4489</f>
        <v>306055</v>
      </c>
      <c r="I4495" s="369"/>
      <c r="J4495" s="44"/>
      <c r="K4495" s="44"/>
    </row>
    <row r="4496" spans="3:15" s="59" customFormat="1" ht="21" customHeight="1">
      <c r="C4496" s="288" t="s">
        <v>1220</v>
      </c>
      <c r="D4496" s="76" t="s">
        <v>1321</v>
      </c>
      <c r="E4496" s="77"/>
      <c r="F4496" s="78"/>
      <c r="G4496" s="80">
        <v>0.1</v>
      </c>
      <c r="H4496" s="63">
        <f>H4495*G4496</f>
        <v>30605.5</v>
      </c>
      <c r="I4496" s="369"/>
      <c r="J4496" s="44"/>
      <c r="K4496" s="44"/>
    </row>
    <row r="4497" spans="3:15" s="59" customFormat="1" ht="21" customHeight="1">
      <c r="C4497" s="288" t="s">
        <v>1221</v>
      </c>
      <c r="D4497" s="76" t="s">
        <v>1222</v>
      </c>
      <c r="E4497" s="77"/>
      <c r="F4497" s="77"/>
      <c r="G4497" s="78"/>
      <c r="H4497" s="799">
        <f>SUM(H4495:H4496)</f>
        <v>336660.5</v>
      </c>
      <c r="I4497" s="369"/>
      <c r="J4497" s="44"/>
      <c r="K4497" s="44"/>
    </row>
    <row r="4498" spans="3:15" ht="21" customHeight="1"/>
    <row r="4499" spans="3:15" s="59" customFormat="1" ht="21" customHeight="1">
      <c r="C4499" s="147" t="s">
        <v>5474</v>
      </c>
      <c r="D4499" s="794" t="s">
        <v>4298</v>
      </c>
      <c r="E4499" s="795"/>
      <c r="F4499" s="795"/>
      <c r="G4499" s="795"/>
      <c r="H4499" s="795"/>
      <c r="I4499" s="50">
        <f>ROUNDDOWN(H4514,-2)</f>
        <v>423800</v>
      </c>
      <c r="J4499" s="50"/>
      <c r="K4499" s="50"/>
    </row>
    <row r="4500" spans="3:15" s="59" customFormat="1" ht="21" customHeight="1">
      <c r="C4500" s="591" t="s">
        <v>1195</v>
      </c>
      <c r="D4500" s="591" t="s">
        <v>1196</v>
      </c>
      <c r="E4500" s="591" t="s">
        <v>1197</v>
      </c>
      <c r="F4500" s="591" t="s">
        <v>1198</v>
      </c>
      <c r="G4500" s="591" t="s">
        <v>1199</v>
      </c>
      <c r="H4500" s="591" t="s">
        <v>1200</v>
      </c>
      <c r="I4500" s="44"/>
      <c r="J4500" s="44"/>
      <c r="K4500" s="44"/>
    </row>
    <row r="4501" spans="3:15" s="59" customFormat="1" ht="21" customHeight="1">
      <c r="C4501" s="61" t="s">
        <v>1201</v>
      </c>
      <c r="D4501" s="56" t="s">
        <v>1202</v>
      </c>
      <c r="E4501" s="57"/>
      <c r="F4501" s="57"/>
      <c r="G4501" s="57"/>
      <c r="H4501" s="57"/>
      <c r="I4501" s="44"/>
      <c r="J4501" s="44"/>
      <c r="K4501" s="44"/>
      <c r="L4501" s="152" t="s">
        <v>1247</v>
      </c>
    </row>
    <row r="4502" spans="3:15" s="59" customFormat="1" ht="21" customHeight="1">
      <c r="C4502" s="588">
        <v>1</v>
      </c>
      <c r="D4502" s="56" t="s">
        <v>5</v>
      </c>
      <c r="E4502" s="577" t="s">
        <v>6</v>
      </c>
      <c r="F4502" s="62">
        <v>0.36699999999999999</v>
      </c>
      <c r="G4502" s="63">
        <f>VLOOKUP(D4502,upahbahan,3,FALSE)</f>
        <v>100000</v>
      </c>
      <c r="H4502" s="63">
        <f>F4502*G4502</f>
        <v>36700</v>
      </c>
      <c r="I4502" s="44"/>
      <c r="J4502" s="44"/>
      <c r="K4502" s="44"/>
      <c r="L4502" s="152" t="s">
        <v>1248</v>
      </c>
      <c r="O4502" s="65">
        <v>0.1</v>
      </c>
    </row>
    <row r="4503" spans="3:15" s="59" customFormat="1" ht="21" customHeight="1">
      <c r="C4503" s="588">
        <v>2</v>
      </c>
      <c r="D4503" s="56" t="s">
        <v>10</v>
      </c>
      <c r="E4503" s="577" t="s">
        <v>6</v>
      </c>
      <c r="F4503" s="62">
        <v>0.61199999999999999</v>
      </c>
      <c r="G4503" s="63">
        <f>VLOOKUP(D4503,upahbahan,3,FALSE)</f>
        <v>135000</v>
      </c>
      <c r="H4503" s="63">
        <f>F4503*G4503</f>
        <v>82620</v>
      </c>
      <c r="I4503" s="44"/>
      <c r="J4503" s="44"/>
      <c r="K4503" s="44"/>
    </row>
    <row r="4504" spans="3:15" s="59" customFormat="1" ht="21" customHeight="1">
      <c r="C4504" s="588">
        <v>3</v>
      </c>
      <c r="D4504" s="56" t="s">
        <v>18</v>
      </c>
      <c r="E4504" s="577" t="s">
        <v>6</v>
      </c>
      <c r="F4504" s="62">
        <v>6.0999999999999999E-2</v>
      </c>
      <c r="G4504" s="63">
        <f>VLOOKUP(D4504,upahbahan,3,FALSE)</f>
        <v>150000</v>
      </c>
      <c r="H4504" s="63">
        <f>F4504*G4504</f>
        <v>9150</v>
      </c>
      <c r="I4504" s="44"/>
      <c r="J4504" s="44"/>
      <c r="K4504" s="44"/>
    </row>
    <row r="4505" spans="3:15" s="59" customFormat="1" ht="21" customHeight="1">
      <c r="C4505" s="588">
        <v>4</v>
      </c>
      <c r="D4505" s="56" t="s">
        <v>19</v>
      </c>
      <c r="E4505" s="577" t="s">
        <v>6</v>
      </c>
      <c r="F4505" s="62">
        <v>1.7999999999999999E-2</v>
      </c>
      <c r="G4505" s="63">
        <f>VLOOKUP(D4505,upahbahan,3,FALSE)</f>
        <v>160000</v>
      </c>
      <c r="H4505" s="63">
        <f>F4505*G4505</f>
        <v>2880</v>
      </c>
      <c r="I4505" s="44"/>
      <c r="J4505" s="44"/>
      <c r="K4505" s="44"/>
    </row>
    <row r="4506" spans="3:15" s="59" customFormat="1" ht="21" customHeight="1">
      <c r="C4506" s="450" t="s">
        <v>1208</v>
      </c>
      <c r="D4506" s="67"/>
      <c r="E4506" s="67"/>
      <c r="F4506" s="142"/>
      <c r="G4506" s="153"/>
      <c r="H4506" s="63">
        <f>SUM(H4502:H4505)</f>
        <v>131350</v>
      </c>
      <c r="I4506" s="154"/>
      <c r="J4506" s="154"/>
      <c r="K4506" s="154"/>
    </row>
    <row r="4507" spans="3:15" s="59" customFormat="1" ht="21" customHeight="1">
      <c r="C4507" s="61" t="s">
        <v>1209</v>
      </c>
      <c r="D4507" s="56" t="s">
        <v>1210</v>
      </c>
      <c r="E4507" s="57"/>
      <c r="F4507" s="57"/>
      <c r="G4507" s="57"/>
      <c r="H4507" s="57"/>
      <c r="I4507" s="44"/>
      <c r="J4507" s="44"/>
      <c r="K4507" s="44"/>
    </row>
    <row r="4508" spans="3:15" s="59" customFormat="1" ht="21" customHeight="1">
      <c r="C4508" s="61">
        <v>1</v>
      </c>
      <c r="D4508" s="56" t="s">
        <v>4294</v>
      </c>
      <c r="E4508" s="93" t="s">
        <v>4259</v>
      </c>
      <c r="F4508" s="104">
        <v>1.1000000000000001</v>
      </c>
      <c r="G4508" s="63">
        <f>VLOOKUP(D4508,upahbahan,3,FALSE)</f>
        <v>230880</v>
      </c>
      <c r="H4508" s="586">
        <f>G4508*F4508</f>
        <v>253968.00000000003</v>
      </c>
      <c r="I4508" s="44"/>
      <c r="J4508" s="44"/>
      <c r="K4508" s="44"/>
    </row>
    <row r="4509" spans="3:15" s="59" customFormat="1" ht="21" customHeight="1">
      <c r="C4509" s="450" t="s">
        <v>1214</v>
      </c>
      <c r="D4509" s="67"/>
      <c r="E4509" s="67"/>
      <c r="F4509" s="67"/>
      <c r="G4509" s="69"/>
      <c r="H4509" s="63">
        <f>SUM(H4508:H4508)</f>
        <v>253968.00000000003</v>
      </c>
      <c r="I4509" s="44"/>
      <c r="J4509" s="44"/>
      <c r="K4509" s="44"/>
    </row>
    <row r="4510" spans="3:15" s="59" customFormat="1" ht="21" customHeight="1">
      <c r="C4510" s="61" t="s">
        <v>1215</v>
      </c>
      <c r="D4510" s="56" t="s">
        <v>1216</v>
      </c>
      <c r="E4510" s="57"/>
      <c r="F4510" s="57"/>
      <c r="G4510" s="57"/>
      <c r="H4510" s="57"/>
      <c r="I4510" s="44"/>
      <c r="J4510" s="44"/>
      <c r="K4510" s="44"/>
    </row>
    <row r="4511" spans="3:15" s="59" customFormat="1" ht="21" customHeight="1">
      <c r="C4511" s="450" t="s">
        <v>1217</v>
      </c>
      <c r="D4511" s="67"/>
      <c r="E4511" s="67"/>
      <c r="F4511" s="67"/>
      <c r="G4511" s="69"/>
      <c r="H4511" s="589">
        <v>0</v>
      </c>
      <c r="I4511" s="44"/>
      <c r="J4511" s="44"/>
      <c r="K4511" s="44"/>
    </row>
    <row r="4512" spans="3:15" s="59" customFormat="1" ht="21" customHeight="1">
      <c r="C4512" s="288" t="s">
        <v>1218</v>
      </c>
      <c r="D4512" s="76" t="s">
        <v>1219</v>
      </c>
      <c r="E4512" s="77"/>
      <c r="F4512" s="77"/>
      <c r="G4512" s="78"/>
      <c r="H4512" s="585">
        <f>H4511+H4509+H4506</f>
        <v>385318</v>
      </c>
      <c r="I4512" s="369"/>
      <c r="J4512" s="44"/>
      <c r="K4512" s="44"/>
    </row>
    <row r="4513" spans="3:15" s="59" customFormat="1" ht="21" customHeight="1">
      <c r="C4513" s="288" t="s">
        <v>1220</v>
      </c>
      <c r="D4513" s="76" t="s">
        <v>1321</v>
      </c>
      <c r="E4513" s="77"/>
      <c r="F4513" s="78"/>
      <c r="G4513" s="80">
        <v>0.1</v>
      </c>
      <c r="H4513" s="63">
        <f>H4512*G4513</f>
        <v>38531.800000000003</v>
      </c>
      <c r="I4513" s="369"/>
      <c r="J4513" s="44"/>
      <c r="K4513" s="44"/>
    </row>
    <row r="4514" spans="3:15" s="59" customFormat="1" ht="21" customHeight="1">
      <c r="C4514" s="288" t="s">
        <v>1221</v>
      </c>
      <c r="D4514" s="76" t="s">
        <v>1222</v>
      </c>
      <c r="E4514" s="77"/>
      <c r="F4514" s="77"/>
      <c r="G4514" s="78"/>
      <c r="H4514" s="799">
        <f>SUM(H4512:H4513)</f>
        <v>423849.8</v>
      </c>
      <c r="I4514" s="369"/>
      <c r="J4514" s="44"/>
      <c r="K4514" s="44"/>
    </row>
    <row r="4515" spans="3:15" ht="21" customHeight="1"/>
    <row r="4516" spans="3:15" s="59" customFormat="1" ht="21" customHeight="1">
      <c r="C4516" s="147" t="s">
        <v>5475</v>
      </c>
      <c r="D4516" s="794" t="s">
        <v>4299</v>
      </c>
      <c r="E4516" s="795"/>
      <c r="F4516" s="795"/>
      <c r="G4516" s="795"/>
      <c r="H4516" s="795"/>
      <c r="I4516" s="50">
        <f>ROUNDDOWN(H4531,-2)</f>
        <v>640100</v>
      </c>
      <c r="J4516" s="50"/>
      <c r="K4516" s="50"/>
    </row>
    <row r="4517" spans="3:15" s="59" customFormat="1" ht="21" customHeight="1">
      <c r="C4517" s="591" t="s">
        <v>1195</v>
      </c>
      <c r="D4517" s="591" t="s">
        <v>1196</v>
      </c>
      <c r="E4517" s="591" t="s">
        <v>1197</v>
      </c>
      <c r="F4517" s="591" t="s">
        <v>1198</v>
      </c>
      <c r="G4517" s="591" t="s">
        <v>1199</v>
      </c>
      <c r="H4517" s="591" t="s">
        <v>1200</v>
      </c>
      <c r="I4517" s="44"/>
      <c r="J4517" s="44"/>
      <c r="K4517" s="44"/>
    </row>
    <row r="4518" spans="3:15" s="59" customFormat="1" ht="21" customHeight="1">
      <c r="C4518" s="61" t="s">
        <v>1201</v>
      </c>
      <c r="D4518" s="56" t="s">
        <v>1202</v>
      </c>
      <c r="E4518" s="57"/>
      <c r="F4518" s="57"/>
      <c r="G4518" s="57"/>
      <c r="H4518" s="57"/>
      <c r="I4518" s="44"/>
      <c r="J4518" s="44"/>
      <c r="K4518" s="44"/>
      <c r="L4518" s="152" t="s">
        <v>1247</v>
      </c>
    </row>
    <row r="4519" spans="3:15" s="59" customFormat="1" ht="21" customHeight="1">
      <c r="C4519" s="588">
        <v>1</v>
      </c>
      <c r="D4519" s="56" t="s">
        <v>5</v>
      </c>
      <c r="E4519" s="577" t="s">
        <v>6</v>
      </c>
      <c r="F4519" s="62">
        <v>0.48799999999999999</v>
      </c>
      <c r="G4519" s="63">
        <f>VLOOKUP(D4519,upahbahan,3,FALSE)</f>
        <v>100000</v>
      </c>
      <c r="H4519" s="63">
        <f>F4519*G4519</f>
        <v>48800</v>
      </c>
      <c r="I4519" s="44"/>
      <c r="J4519" s="44"/>
      <c r="K4519" s="44"/>
      <c r="L4519" s="152" t="s">
        <v>1248</v>
      </c>
      <c r="O4519" s="65">
        <v>0.1</v>
      </c>
    </row>
    <row r="4520" spans="3:15" s="59" customFormat="1" ht="21" customHeight="1">
      <c r="C4520" s="588">
        <v>2</v>
      </c>
      <c r="D4520" s="56" t="s">
        <v>10</v>
      </c>
      <c r="E4520" s="577" t="s">
        <v>6</v>
      </c>
      <c r="F4520" s="62">
        <v>0.81499999999999995</v>
      </c>
      <c r="G4520" s="63">
        <f>VLOOKUP(D4520,upahbahan,3,FALSE)</f>
        <v>135000</v>
      </c>
      <c r="H4520" s="63">
        <f>F4520*G4520</f>
        <v>110025</v>
      </c>
      <c r="I4520" s="44"/>
      <c r="J4520" s="44"/>
      <c r="K4520" s="44"/>
    </row>
    <row r="4521" spans="3:15" s="59" customFormat="1" ht="21" customHeight="1">
      <c r="C4521" s="588">
        <v>3</v>
      </c>
      <c r="D4521" s="56" t="s">
        <v>18</v>
      </c>
      <c r="E4521" s="577" t="s">
        <v>6</v>
      </c>
      <c r="F4521" s="62">
        <v>8.2000000000000003E-2</v>
      </c>
      <c r="G4521" s="63">
        <f>VLOOKUP(D4521,upahbahan,3,FALSE)</f>
        <v>150000</v>
      </c>
      <c r="H4521" s="63">
        <f>F4521*G4521</f>
        <v>12300</v>
      </c>
      <c r="I4521" s="44"/>
      <c r="J4521" s="44"/>
      <c r="K4521" s="44"/>
    </row>
    <row r="4522" spans="3:15" s="59" customFormat="1" ht="21" customHeight="1">
      <c r="C4522" s="588">
        <v>4</v>
      </c>
      <c r="D4522" s="56" t="s">
        <v>19</v>
      </c>
      <c r="E4522" s="577" t="s">
        <v>6</v>
      </c>
      <c r="F4522" s="62">
        <v>2.4E-2</v>
      </c>
      <c r="G4522" s="63">
        <f>VLOOKUP(D4522,upahbahan,3,FALSE)</f>
        <v>160000</v>
      </c>
      <c r="H4522" s="63">
        <f>F4522*G4522</f>
        <v>3840</v>
      </c>
      <c r="I4522" s="44"/>
      <c r="J4522" s="44"/>
      <c r="K4522" s="44"/>
    </row>
    <row r="4523" spans="3:15" s="59" customFormat="1" ht="21" customHeight="1">
      <c r="C4523" s="450" t="s">
        <v>1208</v>
      </c>
      <c r="D4523" s="67"/>
      <c r="E4523" s="67"/>
      <c r="F4523" s="142"/>
      <c r="G4523" s="153"/>
      <c r="H4523" s="63">
        <f>SUM(H4519:H4522)</f>
        <v>174965</v>
      </c>
      <c r="I4523" s="154"/>
      <c r="J4523" s="154"/>
      <c r="K4523" s="154"/>
    </row>
    <row r="4524" spans="3:15" s="59" customFormat="1" ht="21" customHeight="1">
      <c r="C4524" s="61" t="s">
        <v>1209</v>
      </c>
      <c r="D4524" s="56" t="s">
        <v>1210</v>
      </c>
      <c r="E4524" s="57"/>
      <c r="F4524" s="57"/>
      <c r="G4524" s="57"/>
      <c r="H4524" s="57"/>
      <c r="I4524" s="44"/>
      <c r="J4524" s="44"/>
      <c r="K4524" s="44"/>
    </row>
    <row r="4525" spans="3:15" s="59" customFormat="1" ht="21" customHeight="1">
      <c r="C4525" s="61">
        <v>1</v>
      </c>
      <c r="D4525" s="56" t="s">
        <v>4300</v>
      </c>
      <c r="E4525" s="93" t="s">
        <v>4259</v>
      </c>
      <c r="F4525" s="104">
        <v>1.1000000000000001</v>
      </c>
      <c r="G4525" s="63">
        <f>VLOOKUP(D4525,upahbahan,3,FALSE)</f>
        <v>370000</v>
      </c>
      <c r="H4525" s="586">
        <f>G4525*F4525</f>
        <v>407000.00000000006</v>
      </c>
      <c r="I4525" s="44"/>
      <c r="J4525" s="44"/>
      <c r="K4525" s="44"/>
    </row>
    <row r="4526" spans="3:15" s="59" customFormat="1" ht="21" customHeight="1">
      <c r="C4526" s="450" t="s">
        <v>1214</v>
      </c>
      <c r="D4526" s="67"/>
      <c r="E4526" s="67"/>
      <c r="F4526" s="67"/>
      <c r="G4526" s="69"/>
      <c r="H4526" s="63">
        <f>SUM(H4525:H4525)</f>
        <v>407000.00000000006</v>
      </c>
      <c r="I4526" s="44"/>
      <c r="J4526" s="44"/>
      <c r="K4526" s="44"/>
    </row>
    <row r="4527" spans="3:15" s="59" customFormat="1" ht="21" customHeight="1">
      <c r="C4527" s="61" t="s">
        <v>1215</v>
      </c>
      <c r="D4527" s="56" t="s">
        <v>1216</v>
      </c>
      <c r="E4527" s="57"/>
      <c r="F4527" s="57"/>
      <c r="G4527" s="57"/>
      <c r="H4527" s="57"/>
      <c r="I4527" s="44"/>
      <c r="J4527" s="44"/>
      <c r="K4527" s="44"/>
    </row>
    <row r="4528" spans="3:15" s="59" customFormat="1" ht="21" customHeight="1">
      <c r="C4528" s="450" t="s">
        <v>1217</v>
      </c>
      <c r="D4528" s="67"/>
      <c r="E4528" s="67"/>
      <c r="F4528" s="67"/>
      <c r="G4528" s="69"/>
      <c r="H4528" s="589">
        <v>0</v>
      </c>
      <c r="I4528" s="44"/>
      <c r="J4528" s="44"/>
      <c r="K4528" s="44"/>
    </row>
    <row r="4529" spans="3:15" s="59" customFormat="1" ht="21" customHeight="1">
      <c r="C4529" s="288" t="s">
        <v>1218</v>
      </c>
      <c r="D4529" s="76" t="s">
        <v>1219</v>
      </c>
      <c r="E4529" s="77"/>
      <c r="F4529" s="77"/>
      <c r="G4529" s="78"/>
      <c r="H4529" s="585">
        <f>H4528+H4526+H4523</f>
        <v>581965</v>
      </c>
      <c r="I4529" s="369"/>
      <c r="J4529" s="44"/>
      <c r="K4529" s="44"/>
    </row>
    <row r="4530" spans="3:15" s="59" customFormat="1" ht="21" customHeight="1">
      <c r="C4530" s="288" t="s">
        <v>1220</v>
      </c>
      <c r="D4530" s="76" t="s">
        <v>1321</v>
      </c>
      <c r="E4530" s="77"/>
      <c r="F4530" s="78"/>
      <c r="G4530" s="80">
        <v>0.1</v>
      </c>
      <c r="H4530" s="63">
        <f>H4529*G4530</f>
        <v>58196.5</v>
      </c>
      <c r="I4530" s="369"/>
      <c r="J4530" s="44"/>
      <c r="K4530" s="44"/>
    </row>
    <row r="4531" spans="3:15" s="59" customFormat="1" ht="21" customHeight="1">
      <c r="C4531" s="288" t="s">
        <v>1221</v>
      </c>
      <c r="D4531" s="76" t="s">
        <v>1222</v>
      </c>
      <c r="E4531" s="77"/>
      <c r="F4531" s="77"/>
      <c r="G4531" s="78"/>
      <c r="H4531" s="799">
        <f>SUM(H4529:H4530)</f>
        <v>640161.5</v>
      </c>
      <c r="I4531" s="369"/>
      <c r="J4531" s="44"/>
      <c r="K4531" s="44"/>
    </row>
    <row r="4532" spans="3:15" ht="21" customHeight="1"/>
    <row r="4533" spans="3:15" ht="21" customHeight="1">
      <c r="C4533" s="43" t="s">
        <v>8345</v>
      </c>
      <c r="D4533" s="128" t="s">
        <v>4301</v>
      </c>
    </row>
    <row r="4534" spans="3:15" s="59" customFormat="1" ht="21" customHeight="1">
      <c r="C4534" s="147" t="s">
        <v>5476</v>
      </c>
      <c r="D4534" s="794" t="s">
        <v>4302</v>
      </c>
      <c r="E4534" s="795"/>
      <c r="F4534" s="795"/>
      <c r="G4534" s="795"/>
      <c r="H4534" s="795"/>
      <c r="I4534" s="50">
        <f>ROUNDDOWN(H4549,-2)</f>
        <v>95400</v>
      </c>
      <c r="J4534" s="50"/>
      <c r="K4534" s="50"/>
    </row>
    <row r="4535" spans="3:15" s="59" customFormat="1" ht="21" customHeight="1">
      <c r="C4535" s="591" t="s">
        <v>1195</v>
      </c>
      <c r="D4535" s="591" t="s">
        <v>1196</v>
      </c>
      <c r="E4535" s="591" t="s">
        <v>1197</v>
      </c>
      <c r="F4535" s="591" t="s">
        <v>1198</v>
      </c>
      <c r="G4535" s="591" t="s">
        <v>1199</v>
      </c>
      <c r="H4535" s="591" t="s">
        <v>1200</v>
      </c>
      <c r="I4535" s="44"/>
      <c r="J4535" s="44"/>
      <c r="K4535" s="44"/>
    </row>
    <row r="4536" spans="3:15" s="59" customFormat="1" ht="21" customHeight="1">
      <c r="C4536" s="61" t="s">
        <v>1201</v>
      </c>
      <c r="D4536" s="56" t="s">
        <v>1202</v>
      </c>
      <c r="E4536" s="57"/>
      <c r="F4536" s="57"/>
      <c r="G4536" s="57"/>
      <c r="H4536" s="57"/>
      <c r="I4536" s="44"/>
      <c r="J4536" s="44"/>
      <c r="K4536" s="44"/>
      <c r="L4536" s="152" t="s">
        <v>1247</v>
      </c>
    </row>
    <row r="4537" spans="3:15" s="59" customFormat="1" ht="21" customHeight="1">
      <c r="C4537" s="588">
        <v>1</v>
      </c>
      <c r="D4537" s="56" t="s">
        <v>5</v>
      </c>
      <c r="E4537" s="577" t="s">
        <v>6</v>
      </c>
      <c r="F4537" s="62">
        <v>0.13800000000000001</v>
      </c>
      <c r="G4537" s="63">
        <f>VLOOKUP(D4537,upahbahan,3,FALSE)</f>
        <v>100000</v>
      </c>
      <c r="H4537" s="63">
        <f>F4537*G4537</f>
        <v>13800.000000000002</v>
      </c>
      <c r="I4537" s="44"/>
      <c r="J4537" s="44"/>
      <c r="K4537" s="44"/>
      <c r="L4537" s="152" t="s">
        <v>1248</v>
      </c>
      <c r="O4537" s="65">
        <v>0.1</v>
      </c>
    </row>
    <row r="4538" spans="3:15" s="59" customFormat="1" ht="21" customHeight="1">
      <c r="C4538" s="588">
        <v>2</v>
      </c>
      <c r="D4538" s="56" t="s">
        <v>10</v>
      </c>
      <c r="E4538" s="577" t="s">
        <v>6</v>
      </c>
      <c r="F4538" s="62">
        <v>0.23100000000000001</v>
      </c>
      <c r="G4538" s="63">
        <f>VLOOKUP(D4538,upahbahan,3,FALSE)</f>
        <v>135000</v>
      </c>
      <c r="H4538" s="63">
        <f>F4538*G4538</f>
        <v>31185</v>
      </c>
      <c r="I4538" s="44"/>
      <c r="J4538" s="44"/>
      <c r="K4538" s="44"/>
    </row>
    <row r="4539" spans="3:15" s="59" customFormat="1" ht="21" customHeight="1">
      <c r="C4539" s="588">
        <v>3</v>
      </c>
      <c r="D4539" s="56" t="s">
        <v>18</v>
      </c>
      <c r="E4539" s="577" t="s">
        <v>6</v>
      </c>
      <c r="F4539" s="62">
        <v>2.3E-2</v>
      </c>
      <c r="G4539" s="63">
        <f>VLOOKUP(D4539,upahbahan,3,FALSE)</f>
        <v>150000</v>
      </c>
      <c r="H4539" s="63">
        <f>F4539*G4539</f>
        <v>3450</v>
      </c>
      <c r="I4539" s="44"/>
      <c r="J4539" s="44"/>
      <c r="K4539" s="44"/>
    </row>
    <row r="4540" spans="3:15" s="59" customFormat="1" ht="21" customHeight="1">
      <c r="C4540" s="588">
        <v>4</v>
      </c>
      <c r="D4540" s="56" t="s">
        <v>19</v>
      </c>
      <c r="E4540" s="577" t="s">
        <v>6</v>
      </c>
      <c r="F4540" s="62">
        <v>7.0000000000000001E-3</v>
      </c>
      <c r="G4540" s="63">
        <f>VLOOKUP(D4540,upahbahan,3,FALSE)</f>
        <v>160000</v>
      </c>
      <c r="H4540" s="63">
        <f>F4540*G4540</f>
        <v>1120</v>
      </c>
      <c r="I4540" s="44"/>
      <c r="J4540" s="44"/>
      <c r="K4540" s="44"/>
    </row>
    <row r="4541" spans="3:15" s="59" customFormat="1" ht="21" customHeight="1">
      <c r="C4541" s="450" t="s">
        <v>1208</v>
      </c>
      <c r="D4541" s="67"/>
      <c r="E4541" s="67"/>
      <c r="F4541" s="142"/>
      <c r="G4541" s="153"/>
      <c r="H4541" s="63">
        <f>SUM(H4537:H4540)</f>
        <v>49555</v>
      </c>
      <c r="I4541" s="154"/>
      <c r="J4541" s="154"/>
      <c r="K4541" s="154"/>
    </row>
    <row r="4542" spans="3:15" s="59" customFormat="1" ht="21" customHeight="1">
      <c r="C4542" s="61" t="s">
        <v>1209</v>
      </c>
      <c r="D4542" s="56" t="s">
        <v>1210</v>
      </c>
      <c r="E4542" s="57"/>
      <c r="F4542" s="57"/>
      <c r="G4542" s="57"/>
      <c r="H4542" s="57"/>
      <c r="I4542" s="44"/>
      <c r="J4542" s="44"/>
      <c r="K4542" s="44"/>
    </row>
    <row r="4543" spans="3:15" s="59" customFormat="1" ht="21" customHeight="1">
      <c r="C4543" s="61">
        <v>1</v>
      </c>
      <c r="D4543" s="56" t="s">
        <v>4303</v>
      </c>
      <c r="E4543" s="93" t="s">
        <v>4259</v>
      </c>
      <c r="F4543" s="104">
        <v>1.25</v>
      </c>
      <c r="G4543" s="63">
        <f>VLOOKUP(D4543,upahbahan,3,FALSE)</f>
        <v>29800</v>
      </c>
      <c r="H4543" s="586">
        <f>G4543*F4543</f>
        <v>37250</v>
      </c>
      <c r="I4543" s="44"/>
      <c r="J4543" s="44"/>
      <c r="K4543" s="44"/>
    </row>
    <row r="4544" spans="3:15" s="59" customFormat="1" ht="21" customHeight="1">
      <c r="C4544" s="450" t="s">
        <v>1214</v>
      </c>
      <c r="D4544" s="67"/>
      <c r="E4544" s="67"/>
      <c r="F4544" s="67"/>
      <c r="G4544" s="69"/>
      <c r="H4544" s="63">
        <f>SUM(H4543:H4543)</f>
        <v>37250</v>
      </c>
      <c r="I4544" s="44"/>
      <c r="J4544" s="44"/>
      <c r="K4544" s="44"/>
    </row>
    <row r="4545" spans="3:15" s="59" customFormat="1" ht="21" customHeight="1">
      <c r="C4545" s="61" t="s">
        <v>1215</v>
      </c>
      <c r="D4545" s="56" t="s">
        <v>1216</v>
      </c>
      <c r="E4545" s="57"/>
      <c r="F4545" s="57"/>
      <c r="G4545" s="57"/>
      <c r="H4545" s="57"/>
      <c r="I4545" s="44"/>
      <c r="J4545" s="44"/>
      <c r="K4545" s="44"/>
    </row>
    <row r="4546" spans="3:15" s="59" customFormat="1" ht="21" customHeight="1">
      <c r="C4546" s="450" t="s">
        <v>1217</v>
      </c>
      <c r="D4546" s="67"/>
      <c r="E4546" s="67"/>
      <c r="F4546" s="67"/>
      <c r="G4546" s="69"/>
      <c r="H4546" s="589">
        <v>0</v>
      </c>
      <c r="I4546" s="44"/>
      <c r="J4546" s="44"/>
      <c r="K4546" s="44"/>
    </row>
    <row r="4547" spans="3:15" s="59" customFormat="1" ht="21" customHeight="1">
      <c r="C4547" s="288" t="s">
        <v>1218</v>
      </c>
      <c r="D4547" s="76" t="s">
        <v>1219</v>
      </c>
      <c r="E4547" s="77"/>
      <c r="F4547" s="77"/>
      <c r="G4547" s="78"/>
      <c r="H4547" s="585">
        <f>H4546+H4544+H4541</f>
        <v>86805</v>
      </c>
      <c r="I4547" s="369"/>
      <c r="J4547" s="44"/>
      <c r="K4547" s="44"/>
    </row>
    <row r="4548" spans="3:15" s="59" customFormat="1" ht="21" customHeight="1">
      <c r="C4548" s="288" t="s">
        <v>1220</v>
      </c>
      <c r="D4548" s="76" t="s">
        <v>1321</v>
      </c>
      <c r="E4548" s="77"/>
      <c r="F4548" s="78"/>
      <c r="G4548" s="80">
        <v>0.1</v>
      </c>
      <c r="H4548" s="63">
        <f>H4547*G4548</f>
        <v>8680.5</v>
      </c>
      <c r="I4548" s="369"/>
      <c r="J4548" s="44"/>
      <c r="K4548" s="44"/>
    </row>
    <row r="4549" spans="3:15" s="59" customFormat="1" ht="21" customHeight="1">
      <c r="C4549" s="288" t="s">
        <v>1221</v>
      </c>
      <c r="D4549" s="76" t="s">
        <v>1222</v>
      </c>
      <c r="E4549" s="77"/>
      <c r="F4549" s="77"/>
      <c r="G4549" s="78"/>
      <c r="H4549" s="799">
        <f>SUM(H4547:H4548)</f>
        <v>95485.5</v>
      </c>
      <c r="I4549" s="369"/>
      <c r="J4549" s="44"/>
      <c r="K4549" s="44"/>
    </row>
    <row r="4550" spans="3:15" ht="21" customHeight="1"/>
    <row r="4551" spans="3:15" ht="21" customHeight="1"/>
    <row r="4552" spans="3:15" s="59" customFormat="1" ht="21" customHeight="1">
      <c r="C4552" s="147" t="s">
        <v>5477</v>
      </c>
      <c r="D4552" s="794" t="s">
        <v>4304</v>
      </c>
      <c r="E4552" s="795"/>
      <c r="F4552" s="795"/>
      <c r="G4552" s="795"/>
      <c r="H4552" s="795"/>
      <c r="I4552" s="50">
        <f>ROUNDDOWN(H4567,-2)</f>
        <v>114900</v>
      </c>
      <c r="J4552" s="50"/>
      <c r="K4552" s="50"/>
    </row>
    <row r="4553" spans="3:15" s="59" customFormat="1" ht="21" customHeight="1">
      <c r="C4553" s="591" t="s">
        <v>1195</v>
      </c>
      <c r="D4553" s="591" t="s">
        <v>1196</v>
      </c>
      <c r="E4553" s="591" t="s">
        <v>1197</v>
      </c>
      <c r="F4553" s="591" t="s">
        <v>1198</v>
      </c>
      <c r="G4553" s="591" t="s">
        <v>1199</v>
      </c>
      <c r="H4553" s="591" t="s">
        <v>1200</v>
      </c>
      <c r="I4553" s="44"/>
      <c r="J4553" s="44"/>
      <c r="K4553" s="44"/>
    </row>
    <row r="4554" spans="3:15" s="59" customFormat="1" ht="21" customHeight="1">
      <c r="C4554" s="61" t="s">
        <v>1201</v>
      </c>
      <c r="D4554" s="56" t="s">
        <v>1202</v>
      </c>
      <c r="E4554" s="57"/>
      <c r="F4554" s="57"/>
      <c r="G4554" s="57"/>
      <c r="H4554" s="57"/>
      <c r="I4554" s="44"/>
      <c r="J4554" s="44"/>
      <c r="K4554" s="44"/>
      <c r="L4554" s="152" t="s">
        <v>1247</v>
      </c>
    </row>
    <row r="4555" spans="3:15" s="59" customFormat="1" ht="21" customHeight="1">
      <c r="C4555" s="588">
        <v>1</v>
      </c>
      <c r="D4555" s="56" t="s">
        <v>5</v>
      </c>
      <c r="E4555" s="577" t="s">
        <v>6</v>
      </c>
      <c r="F4555" s="62">
        <v>0.17299999999999999</v>
      </c>
      <c r="G4555" s="63">
        <f>VLOOKUP(D4555,upahbahan,3,FALSE)</f>
        <v>100000</v>
      </c>
      <c r="H4555" s="63">
        <f>F4555*G4555</f>
        <v>17300</v>
      </c>
      <c r="I4555" s="44"/>
      <c r="J4555" s="44"/>
      <c r="K4555" s="44"/>
      <c r="L4555" s="152" t="s">
        <v>1248</v>
      </c>
      <c r="O4555" s="65">
        <v>0.1</v>
      </c>
    </row>
    <row r="4556" spans="3:15" s="59" customFormat="1" ht="21" customHeight="1">
      <c r="C4556" s="588">
        <v>2</v>
      </c>
      <c r="D4556" s="56" t="s">
        <v>10</v>
      </c>
      <c r="E4556" s="577" t="s">
        <v>6</v>
      </c>
      <c r="F4556" s="62">
        <v>0.28899999999999998</v>
      </c>
      <c r="G4556" s="63">
        <f>VLOOKUP(D4556,upahbahan,3,FALSE)</f>
        <v>135000</v>
      </c>
      <c r="H4556" s="63">
        <f>F4556*G4556</f>
        <v>39015</v>
      </c>
      <c r="I4556" s="44"/>
      <c r="J4556" s="44"/>
      <c r="K4556" s="44"/>
    </row>
    <row r="4557" spans="3:15" s="59" customFormat="1" ht="21" customHeight="1">
      <c r="C4557" s="588">
        <v>3</v>
      </c>
      <c r="D4557" s="56" t="s">
        <v>18</v>
      </c>
      <c r="E4557" s="577" t="s">
        <v>6</v>
      </c>
      <c r="F4557" s="62">
        <v>2.9000000000000001E-2</v>
      </c>
      <c r="G4557" s="63">
        <f>VLOOKUP(D4557,upahbahan,3,FALSE)</f>
        <v>150000</v>
      </c>
      <c r="H4557" s="63">
        <f>F4557*G4557</f>
        <v>4350</v>
      </c>
      <c r="I4557" s="44"/>
      <c r="J4557" s="44"/>
      <c r="K4557" s="44"/>
    </row>
    <row r="4558" spans="3:15" s="59" customFormat="1" ht="21" customHeight="1">
      <c r="C4558" s="588">
        <v>4</v>
      </c>
      <c r="D4558" s="56" t="s">
        <v>19</v>
      </c>
      <c r="E4558" s="577" t="s">
        <v>6</v>
      </c>
      <c r="F4558" s="62">
        <v>8.9999999999999993E-3</v>
      </c>
      <c r="G4558" s="63">
        <f>VLOOKUP(D4558,upahbahan,3,FALSE)</f>
        <v>160000</v>
      </c>
      <c r="H4558" s="63">
        <f>F4558*G4558</f>
        <v>1440</v>
      </c>
      <c r="I4558" s="44"/>
      <c r="J4558" s="44"/>
      <c r="K4558" s="44"/>
    </row>
    <row r="4559" spans="3:15" s="59" customFormat="1" ht="21" customHeight="1">
      <c r="C4559" s="450" t="s">
        <v>1208</v>
      </c>
      <c r="D4559" s="67"/>
      <c r="E4559" s="67"/>
      <c r="F4559" s="142"/>
      <c r="G4559" s="153"/>
      <c r="H4559" s="63">
        <f>SUM(H4555:H4558)</f>
        <v>62105</v>
      </c>
      <c r="I4559" s="154"/>
      <c r="J4559" s="154"/>
      <c r="K4559" s="154"/>
    </row>
    <row r="4560" spans="3:15" s="59" customFormat="1" ht="21" customHeight="1">
      <c r="C4560" s="61" t="s">
        <v>1209</v>
      </c>
      <c r="D4560" s="56" t="s">
        <v>1210</v>
      </c>
      <c r="E4560" s="57"/>
      <c r="F4560" s="57"/>
      <c r="G4560" s="57"/>
      <c r="H4560" s="57"/>
      <c r="I4560" s="44"/>
      <c r="J4560" s="44"/>
      <c r="K4560" s="44"/>
    </row>
    <row r="4561" spans="3:15" s="59" customFormat="1" ht="21" customHeight="1">
      <c r="C4561" s="61">
        <v>1</v>
      </c>
      <c r="D4561" s="56" t="s">
        <v>4305</v>
      </c>
      <c r="E4561" s="93" t="s">
        <v>4259</v>
      </c>
      <c r="F4561" s="104">
        <v>1.25</v>
      </c>
      <c r="G4561" s="63">
        <f>VLOOKUP(D4561,upahbahan,3,FALSE)</f>
        <v>33925</v>
      </c>
      <c r="H4561" s="586">
        <f>G4561*F4561</f>
        <v>42406.25</v>
      </c>
      <c r="I4561" s="44"/>
      <c r="J4561" s="44"/>
      <c r="K4561" s="44"/>
    </row>
    <row r="4562" spans="3:15" s="59" customFormat="1" ht="21" customHeight="1">
      <c r="C4562" s="450" t="s">
        <v>1214</v>
      </c>
      <c r="D4562" s="67"/>
      <c r="E4562" s="67"/>
      <c r="F4562" s="67"/>
      <c r="G4562" s="69"/>
      <c r="H4562" s="63">
        <f>SUM(H4561:H4561)</f>
        <v>42406.25</v>
      </c>
      <c r="I4562" s="44"/>
      <c r="J4562" s="44"/>
      <c r="K4562" s="44"/>
    </row>
    <row r="4563" spans="3:15" s="59" customFormat="1" ht="21" customHeight="1">
      <c r="C4563" s="61" t="s">
        <v>1215</v>
      </c>
      <c r="D4563" s="56" t="s">
        <v>1216</v>
      </c>
      <c r="E4563" s="57"/>
      <c r="F4563" s="57"/>
      <c r="G4563" s="57"/>
      <c r="H4563" s="57"/>
      <c r="I4563" s="44"/>
      <c r="J4563" s="44"/>
      <c r="K4563" s="44"/>
    </row>
    <row r="4564" spans="3:15" s="59" customFormat="1" ht="21" customHeight="1">
      <c r="C4564" s="450" t="s">
        <v>1217</v>
      </c>
      <c r="D4564" s="67"/>
      <c r="E4564" s="67"/>
      <c r="F4564" s="67"/>
      <c r="G4564" s="69"/>
      <c r="H4564" s="589">
        <v>0</v>
      </c>
      <c r="I4564" s="44"/>
      <c r="J4564" s="44"/>
      <c r="K4564" s="44"/>
    </row>
    <row r="4565" spans="3:15" s="59" customFormat="1" ht="21" customHeight="1">
      <c r="C4565" s="288" t="s">
        <v>1218</v>
      </c>
      <c r="D4565" s="76" t="s">
        <v>1219</v>
      </c>
      <c r="E4565" s="77"/>
      <c r="F4565" s="77"/>
      <c r="G4565" s="78"/>
      <c r="H4565" s="585">
        <f>H4564+H4562+H4559</f>
        <v>104511.25</v>
      </c>
      <c r="I4565" s="369"/>
      <c r="J4565" s="44"/>
      <c r="K4565" s="44"/>
    </row>
    <row r="4566" spans="3:15" s="59" customFormat="1" ht="21" customHeight="1">
      <c r="C4566" s="288" t="s">
        <v>1220</v>
      </c>
      <c r="D4566" s="76" t="s">
        <v>1321</v>
      </c>
      <c r="E4566" s="77"/>
      <c r="F4566" s="78"/>
      <c r="G4566" s="80">
        <v>0.1</v>
      </c>
      <c r="H4566" s="63">
        <f>H4565*G4566</f>
        <v>10451.125</v>
      </c>
      <c r="I4566" s="369"/>
      <c r="J4566" s="44"/>
      <c r="K4566" s="44"/>
    </row>
    <row r="4567" spans="3:15" s="59" customFormat="1" ht="21" customHeight="1">
      <c r="C4567" s="288" t="s">
        <v>1221</v>
      </c>
      <c r="D4567" s="76" t="s">
        <v>1222</v>
      </c>
      <c r="E4567" s="77"/>
      <c r="F4567" s="77"/>
      <c r="G4567" s="78"/>
      <c r="H4567" s="799">
        <f>SUM(H4565:H4566)</f>
        <v>114962.375</v>
      </c>
      <c r="I4567" s="369"/>
      <c r="J4567" s="44"/>
      <c r="K4567" s="44"/>
    </row>
    <row r="4568" spans="3:15" ht="21" customHeight="1"/>
    <row r="4569" spans="3:15" s="59" customFormat="1" ht="21" customHeight="1">
      <c r="C4569" s="147" t="s">
        <v>5478</v>
      </c>
      <c r="D4569" s="794" t="s">
        <v>4308</v>
      </c>
      <c r="E4569" s="795"/>
      <c r="F4569" s="795"/>
      <c r="G4569" s="795"/>
      <c r="H4569" s="795"/>
      <c r="I4569" s="50">
        <f>ROUNDDOWN(H4584,-2)</f>
        <v>133400</v>
      </c>
      <c r="J4569" s="50"/>
      <c r="K4569" s="50"/>
    </row>
    <row r="4570" spans="3:15" s="59" customFormat="1" ht="21" customHeight="1">
      <c r="C4570" s="591" t="s">
        <v>1195</v>
      </c>
      <c r="D4570" s="591" t="s">
        <v>1196</v>
      </c>
      <c r="E4570" s="591" t="s">
        <v>1197</v>
      </c>
      <c r="F4570" s="591" t="s">
        <v>1198</v>
      </c>
      <c r="G4570" s="591" t="s">
        <v>1199</v>
      </c>
      <c r="H4570" s="591" t="s">
        <v>1200</v>
      </c>
      <c r="I4570" s="44"/>
      <c r="J4570" s="44"/>
      <c r="K4570" s="44"/>
    </row>
    <row r="4571" spans="3:15" s="59" customFormat="1" ht="21" customHeight="1">
      <c r="C4571" s="61" t="s">
        <v>1201</v>
      </c>
      <c r="D4571" s="56" t="s">
        <v>1202</v>
      </c>
      <c r="E4571" s="57"/>
      <c r="F4571" s="57"/>
      <c r="G4571" s="57"/>
      <c r="H4571" s="57"/>
      <c r="I4571" s="44"/>
      <c r="J4571" s="44"/>
      <c r="K4571" s="44"/>
      <c r="L4571" s="152" t="s">
        <v>1247</v>
      </c>
    </row>
    <row r="4572" spans="3:15" s="59" customFormat="1" ht="21" customHeight="1">
      <c r="C4572" s="588">
        <v>1</v>
      </c>
      <c r="D4572" s="56" t="s">
        <v>5</v>
      </c>
      <c r="E4572" s="577" t="s">
        <v>6</v>
      </c>
      <c r="F4572" s="62">
        <v>0.20799999999999999</v>
      </c>
      <c r="G4572" s="63">
        <f>VLOOKUP(D4572,upahbahan,3,FALSE)</f>
        <v>100000</v>
      </c>
      <c r="H4572" s="63">
        <f>F4572*G4572</f>
        <v>20800</v>
      </c>
      <c r="I4572" s="44"/>
      <c r="J4572" s="44"/>
      <c r="K4572" s="44"/>
      <c r="L4572" s="152" t="s">
        <v>1248</v>
      </c>
      <c r="O4572" s="65">
        <v>0.1</v>
      </c>
    </row>
    <row r="4573" spans="3:15" s="59" customFormat="1" ht="21" customHeight="1">
      <c r="C4573" s="588">
        <v>2</v>
      </c>
      <c r="D4573" s="56" t="s">
        <v>10</v>
      </c>
      <c r="E4573" s="577" t="s">
        <v>6</v>
      </c>
      <c r="F4573" s="62">
        <v>0.34799999999999998</v>
      </c>
      <c r="G4573" s="63">
        <f>VLOOKUP(D4573,upahbahan,3,FALSE)</f>
        <v>135000</v>
      </c>
      <c r="H4573" s="63">
        <f>F4573*G4573</f>
        <v>46980</v>
      </c>
      <c r="I4573" s="44"/>
      <c r="J4573" s="44"/>
      <c r="K4573" s="44"/>
    </row>
    <row r="4574" spans="3:15" s="59" customFormat="1" ht="21" customHeight="1">
      <c r="C4574" s="588">
        <v>3</v>
      </c>
      <c r="D4574" s="56" t="s">
        <v>18</v>
      </c>
      <c r="E4574" s="577" t="s">
        <v>6</v>
      </c>
      <c r="F4574" s="62">
        <v>3.5000000000000003E-2</v>
      </c>
      <c r="G4574" s="63">
        <f>VLOOKUP(D4574,upahbahan,3,FALSE)</f>
        <v>150000</v>
      </c>
      <c r="H4574" s="63">
        <f>F4574*G4574</f>
        <v>5250.0000000000009</v>
      </c>
      <c r="I4574" s="44"/>
      <c r="J4574" s="44"/>
      <c r="K4574" s="44"/>
    </row>
    <row r="4575" spans="3:15" s="59" customFormat="1" ht="21" customHeight="1">
      <c r="C4575" s="588">
        <v>4</v>
      </c>
      <c r="D4575" s="56" t="s">
        <v>19</v>
      </c>
      <c r="E4575" s="577" t="s">
        <v>6</v>
      </c>
      <c r="F4575" s="62">
        <v>0.01</v>
      </c>
      <c r="G4575" s="63">
        <f>VLOOKUP(D4575,upahbahan,3,FALSE)</f>
        <v>160000</v>
      </c>
      <c r="H4575" s="63">
        <f>F4575*G4575</f>
        <v>1600</v>
      </c>
      <c r="I4575" s="44"/>
      <c r="J4575" s="44"/>
      <c r="K4575" s="44"/>
    </row>
    <row r="4576" spans="3:15" s="59" customFormat="1" ht="21" customHeight="1">
      <c r="C4576" s="450" t="s">
        <v>1208</v>
      </c>
      <c r="D4576" s="67"/>
      <c r="E4576" s="67"/>
      <c r="F4576" s="142"/>
      <c r="G4576" s="153"/>
      <c r="H4576" s="63">
        <f>SUM(H4572:H4575)</f>
        <v>74630</v>
      </c>
      <c r="I4576" s="154"/>
      <c r="J4576" s="154"/>
      <c r="K4576" s="154"/>
    </row>
    <row r="4577" spans="3:15" s="59" customFormat="1" ht="21" customHeight="1">
      <c r="C4577" s="61" t="s">
        <v>1209</v>
      </c>
      <c r="D4577" s="56" t="s">
        <v>1210</v>
      </c>
      <c r="E4577" s="57"/>
      <c r="F4577" s="57"/>
      <c r="G4577" s="57"/>
      <c r="H4577" s="57"/>
      <c r="I4577" s="44"/>
      <c r="J4577" s="44"/>
      <c r="K4577" s="44"/>
    </row>
    <row r="4578" spans="3:15" s="59" customFormat="1" ht="21" customHeight="1">
      <c r="C4578" s="61">
        <v>1</v>
      </c>
      <c r="D4578" s="56" t="s">
        <v>4306</v>
      </c>
      <c r="E4578" s="93" t="s">
        <v>4259</v>
      </c>
      <c r="F4578" s="104">
        <v>1.25</v>
      </c>
      <c r="G4578" s="63">
        <f>VLOOKUP(D4578,upahbahan,3,FALSE)</f>
        <v>37375</v>
      </c>
      <c r="H4578" s="586">
        <f>G4578*F4578</f>
        <v>46718.75</v>
      </c>
      <c r="I4578" s="44"/>
      <c r="J4578" s="44"/>
      <c r="K4578" s="44"/>
    </row>
    <row r="4579" spans="3:15" s="59" customFormat="1" ht="21" customHeight="1">
      <c r="C4579" s="450" t="s">
        <v>1214</v>
      </c>
      <c r="D4579" s="67"/>
      <c r="E4579" s="67"/>
      <c r="F4579" s="67"/>
      <c r="G4579" s="69"/>
      <c r="H4579" s="63">
        <f>SUM(H4578:H4578)</f>
        <v>46718.75</v>
      </c>
      <c r="I4579" s="44"/>
      <c r="J4579" s="44"/>
      <c r="K4579" s="44"/>
    </row>
    <row r="4580" spans="3:15" s="59" customFormat="1" ht="21" customHeight="1">
      <c r="C4580" s="61" t="s">
        <v>1215</v>
      </c>
      <c r="D4580" s="56" t="s">
        <v>1216</v>
      </c>
      <c r="E4580" s="57"/>
      <c r="F4580" s="57"/>
      <c r="G4580" s="57"/>
      <c r="H4580" s="57"/>
      <c r="I4580" s="44"/>
      <c r="J4580" s="44"/>
      <c r="K4580" s="44"/>
    </row>
    <row r="4581" spans="3:15" s="59" customFormat="1" ht="21" customHeight="1">
      <c r="C4581" s="450" t="s">
        <v>1217</v>
      </c>
      <c r="D4581" s="67"/>
      <c r="E4581" s="67"/>
      <c r="F4581" s="67"/>
      <c r="G4581" s="69"/>
      <c r="H4581" s="589">
        <v>0</v>
      </c>
      <c r="I4581" s="44"/>
      <c r="J4581" s="44"/>
      <c r="K4581" s="44"/>
    </row>
    <row r="4582" spans="3:15" s="59" customFormat="1" ht="21" customHeight="1">
      <c r="C4582" s="288" t="s">
        <v>1218</v>
      </c>
      <c r="D4582" s="76" t="s">
        <v>1219</v>
      </c>
      <c r="E4582" s="77"/>
      <c r="F4582" s="77"/>
      <c r="G4582" s="78"/>
      <c r="H4582" s="585">
        <f>H4581+H4579+H4576</f>
        <v>121348.75</v>
      </c>
      <c r="I4582" s="369"/>
      <c r="J4582" s="44"/>
      <c r="K4582" s="44"/>
    </row>
    <row r="4583" spans="3:15" s="59" customFormat="1" ht="21" customHeight="1">
      <c r="C4583" s="288" t="s">
        <v>1220</v>
      </c>
      <c r="D4583" s="76" t="s">
        <v>1321</v>
      </c>
      <c r="E4583" s="77"/>
      <c r="F4583" s="78"/>
      <c r="G4583" s="80">
        <v>0.1</v>
      </c>
      <c r="H4583" s="63">
        <f>H4582*G4583</f>
        <v>12134.875</v>
      </c>
      <c r="I4583" s="369"/>
      <c r="J4583" s="44"/>
      <c r="K4583" s="44"/>
    </row>
    <row r="4584" spans="3:15" s="59" customFormat="1" ht="21" customHeight="1">
      <c r="C4584" s="288" t="s">
        <v>1221</v>
      </c>
      <c r="D4584" s="76" t="s">
        <v>1222</v>
      </c>
      <c r="E4584" s="77"/>
      <c r="F4584" s="77"/>
      <c r="G4584" s="78"/>
      <c r="H4584" s="799">
        <f>SUM(H4582:H4583)</f>
        <v>133483.625</v>
      </c>
      <c r="I4584" s="369"/>
      <c r="J4584" s="44"/>
      <c r="K4584" s="44"/>
    </row>
    <row r="4585" spans="3:15" ht="21" customHeight="1"/>
    <row r="4586" spans="3:15" s="59" customFormat="1" ht="21" customHeight="1">
      <c r="C4586" s="147" t="s">
        <v>5479</v>
      </c>
      <c r="D4586" s="794" t="s">
        <v>4309</v>
      </c>
      <c r="E4586" s="795"/>
      <c r="F4586" s="795"/>
      <c r="G4586" s="795"/>
      <c r="H4586" s="795"/>
      <c r="I4586" s="50">
        <f>ROUNDDOWN(H4601,-2)</f>
        <v>161300</v>
      </c>
      <c r="J4586" s="50"/>
      <c r="K4586" s="50"/>
    </row>
    <row r="4587" spans="3:15" s="59" customFormat="1" ht="21" customHeight="1">
      <c r="C4587" s="591" t="s">
        <v>1195</v>
      </c>
      <c r="D4587" s="591" t="s">
        <v>1196</v>
      </c>
      <c r="E4587" s="591" t="s">
        <v>1197</v>
      </c>
      <c r="F4587" s="591" t="s">
        <v>1198</v>
      </c>
      <c r="G4587" s="591" t="s">
        <v>1199</v>
      </c>
      <c r="H4587" s="591" t="s">
        <v>1200</v>
      </c>
      <c r="I4587" s="44"/>
      <c r="J4587" s="44"/>
      <c r="K4587" s="44"/>
    </row>
    <row r="4588" spans="3:15" s="59" customFormat="1" ht="21" customHeight="1">
      <c r="C4588" s="61" t="s">
        <v>1201</v>
      </c>
      <c r="D4588" s="56" t="s">
        <v>1202</v>
      </c>
      <c r="E4588" s="57"/>
      <c r="F4588" s="57"/>
      <c r="G4588" s="57"/>
      <c r="H4588" s="57"/>
      <c r="I4588" s="44"/>
      <c r="J4588" s="44"/>
      <c r="K4588" s="44"/>
      <c r="L4588" s="152" t="s">
        <v>1247</v>
      </c>
    </row>
    <row r="4589" spans="3:15" s="59" customFormat="1" ht="21" customHeight="1">
      <c r="C4589" s="588">
        <v>1</v>
      </c>
      <c r="D4589" s="56" t="s">
        <v>5</v>
      </c>
      <c r="E4589" s="577" t="s">
        <v>6</v>
      </c>
      <c r="F4589" s="62">
        <v>0.26900000000000002</v>
      </c>
      <c r="G4589" s="63">
        <f>VLOOKUP(D4589,upahbahan,3,FALSE)</f>
        <v>100000</v>
      </c>
      <c r="H4589" s="63">
        <f>F4589*G4589</f>
        <v>26900</v>
      </c>
      <c r="I4589" s="44"/>
      <c r="J4589" s="44"/>
      <c r="K4589" s="44"/>
      <c r="L4589" s="152" t="s">
        <v>1248</v>
      </c>
      <c r="O4589" s="65">
        <v>0.1</v>
      </c>
    </row>
    <row r="4590" spans="3:15" s="59" customFormat="1" ht="21" customHeight="1">
      <c r="C4590" s="588">
        <v>2</v>
      </c>
      <c r="D4590" s="56" t="s">
        <v>10</v>
      </c>
      <c r="E4590" s="577" t="s">
        <v>6</v>
      </c>
      <c r="F4590" s="62">
        <v>0.44900000000000001</v>
      </c>
      <c r="G4590" s="63">
        <f>VLOOKUP(D4590,upahbahan,3,FALSE)</f>
        <v>135000</v>
      </c>
      <c r="H4590" s="63">
        <f>F4590*G4590</f>
        <v>60615</v>
      </c>
      <c r="I4590" s="44"/>
      <c r="J4590" s="44"/>
      <c r="K4590" s="44"/>
    </row>
    <row r="4591" spans="3:15" s="59" customFormat="1" ht="21" customHeight="1">
      <c r="C4591" s="588">
        <v>3</v>
      </c>
      <c r="D4591" s="56" t="s">
        <v>18</v>
      </c>
      <c r="E4591" s="577" t="s">
        <v>6</v>
      </c>
      <c r="F4591" s="62">
        <v>4.4999999999999998E-2</v>
      </c>
      <c r="G4591" s="63">
        <f>VLOOKUP(D4591,upahbahan,3,FALSE)</f>
        <v>150000</v>
      </c>
      <c r="H4591" s="63">
        <f>F4591*G4591</f>
        <v>6750</v>
      </c>
      <c r="I4591" s="44"/>
      <c r="J4591" s="44"/>
      <c r="K4591" s="44"/>
    </row>
    <row r="4592" spans="3:15" s="59" customFormat="1" ht="21" customHeight="1">
      <c r="C4592" s="588">
        <v>4</v>
      </c>
      <c r="D4592" s="56" t="s">
        <v>19</v>
      </c>
      <c r="E4592" s="577" t="s">
        <v>6</v>
      </c>
      <c r="F4592" s="62">
        <v>1.2999999999999999E-2</v>
      </c>
      <c r="G4592" s="63">
        <f>VLOOKUP(D4592,upahbahan,3,FALSE)</f>
        <v>160000</v>
      </c>
      <c r="H4592" s="63">
        <f>F4592*G4592</f>
        <v>2080</v>
      </c>
      <c r="I4592" s="44"/>
      <c r="J4592" s="44"/>
      <c r="K4592" s="44"/>
    </row>
    <row r="4593" spans="3:15" s="59" customFormat="1" ht="21" customHeight="1">
      <c r="C4593" s="450" t="s">
        <v>1208</v>
      </c>
      <c r="D4593" s="67"/>
      <c r="E4593" s="67"/>
      <c r="F4593" s="142"/>
      <c r="G4593" s="153"/>
      <c r="H4593" s="63">
        <f>SUM(H4589:H4592)</f>
        <v>96345</v>
      </c>
      <c r="I4593" s="154"/>
      <c r="J4593" s="154"/>
      <c r="K4593" s="154"/>
    </row>
    <row r="4594" spans="3:15" s="59" customFormat="1" ht="21" customHeight="1">
      <c r="C4594" s="61" t="s">
        <v>1209</v>
      </c>
      <c r="D4594" s="56" t="s">
        <v>1210</v>
      </c>
      <c r="E4594" s="57"/>
      <c r="F4594" s="57"/>
      <c r="G4594" s="57"/>
      <c r="H4594" s="57"/>
      <c r="I4594" s="44"/>
      <c r="J4594" s="44"/>
      <c r="K4594" s="44"/>
    </row>
    <row r="4595" spans="3:15" s="59" customFormat="1" ht="21" customHeight="1">
      <c r="C4595" s="61">
        <v>1</v>
      </c>
      <c r="D4595" s="56" t="s">
        <v>4307</v>
      </c>
      <c r="E4595" s="93" t="s">
        <v>4259</v>
      </c>
      <c r="F4595" s="104">
        <v>1.25</v>
      </c>
      <c r="G4595" s="63">
        <f>VLOOKUP(D4595,upahbahan,3,FALSE)</f>
        <v>40250</v>
      </c>
      <c r="H4595" s="586">
        <f>G4595*F4595</f>
        <v>50312.5</v>
      </c>
      <c r="I4595" s="44"/>
      <c r="J4595" s="44"/>
      <c r="K4595" s="44"/>
    </row>
    <row r="4596" spans="3:15" s="59" customFormat="1" ht="21" customHeight="1">
      <c r="C4596" s="450" t="s">
        <v>1214</v>
      </c>
      <c r="D4596" s="67"/>
      <c r="E4596" s="67"/>
      <c r="F4596" s="67"/>
      <c r="G4596" s="69"/>
      <c r="H4596" s="63">
        <f>SUM(H4595:H4595)</f>
        <v>50312.5</v>
      </c>
      <c r="I4596" s="44"/>
      <c r="J4596" s="44"/>
      <c r="K4596" s="44"/>
    </row>
    <row r="4597" spans="3:15" s="59" customFormat="1" ht="21" customHeight="1">
      <c r="C4597" s="61" t="s">
        <v>1215</v>
      </c>
      <c r="D4597" s="56" t="s">
        <v>1216</v>
      </c>
      <c r="E4597" s="57"/>
      <c r="F4597" s="57"/>
      <c r="G4597" s="57"/>
      <c r="H4597" s="57"/>
      <c r="I4597" s="44"/>
      <c r="J4597" s="44"/>
      <c r="K4597" s="44"/>
    </row>
    <row r="4598" spans="3:15" s="59" customFormat="1" ht="21" customHeight="1">
      <c r="C4598" s="450" t="s">
        <v>1217</v>
      </c>
      <c r="D4598" s="67"/>
      <c r="E4598" s="67"/>
      <c r="F4598" s="67"/>
      <c r="G4598" s="69"/>
      <c r="H4598" s="589">
        <v>0</v>
      </c>
      <c r="I4598" s="44"/>
      <c r="J4598" s="44"/>
      <c r="K4598" s="44"/>
    </row>
    <row r="4599" spans="3:15" s="59" customFormat="1" ht="21" customHeight="1">
      <c r="C4599" s="288" t="s">
        <v>1218</v>
      </c>
      <c r="D4599" s="76" t="s">
        <v>1219</v>
      </c>
      <c r="E4599" s="77"/>
      <c r="F4599" s="77"/>
      <c r="G4599" s="78"/>
      <c r="H4599" s="585">
        <f>H4598+H4596+H4593</f>
        <v>146657.5</v>
      </c>
      <c r="I4599" s="369"/>
      <c r="J4599" s="44"/>
      <c r="K4599" s="44"/>
    </row>
    <row r="4600" spans="3:15" s="59" customFormat="1" ht="21" customHeight="1">
      <c r="C4600" s="288" t="s">
        <v>1220</v>
      </c>
      <c r="D4600" s="76" t="s">
        <v>1321</v>
      </c>
      <c r="E4600" s="77"/>
      <c r="F4600" s="78"/>
      <c r="G4600" s="80">
        <v>0.1</v>
      </c>
      <c r="H4600" s="63">
        <f>H4599*G4600</f>
        <v>14665.75</v>
      </c>
      <c r="I4600" s="369"/>
      <c r="J4600" s="44"/>
      <c r="K4600" s="44"/>
    </row>
    <row r="4601" spans="3:15" s="59" customFormat="1" ht="21" customHeight="1">
      <c r="C4601" s="288" t="s">
        <v>1221</v>
      </c>
      <c r="D4601" s="76" t="s">
        <v>1222</v>
      </c>
      <c r="E4601" s="77"/>
      <c r="F4601" s="77"/>
      <c r="G4601" s="78"/>
      <c r="H4601" s="799">
        <f>SUM(H4599:H4600)</f>
        <v>161323.25</v>
      </c>
      <c r="I4601" s="369"/>
      <c r="J4601" s="44"/>
      <c r="K4601" s="44"/>
    </row>
    <row r="4602" spans="3:15" ht="21" customHeight="1"/>
    <row r="4603" spans="3:15" s="59" customFormat="1" ht="21" customHeight="1">
      <c r="C4603" s="147" t="s">
        <v>5480</v>
      </c>
      <c r="D4603" s="794" t="s">
        <v>4310</v>
      </c>
      <c r="E4603" s="795"/>
      <c r="F4603" s="795"/>
      <c r="G4603" s="795"/>
      <c r="H4603" s="795"/>
      <c r="I4603" s="50">
        <f>ROUNDDOWN(H4618,-2)</f>
        <v>206700</v>
      </c>
      <c r="J4603" s="50"/>
      <c r="K4603" s="50"/>
    </row>
    <row r="4604" spans="3:15" s="59" customFormat="1" ht="21" customHeight="1">
      <c r="C4604" s="591" t="s">
        <v>1195</v>
      </c>
      <c r="D4604" s="591" t="s">
        <v>1196</v>
      </c>
      <c r="E4604" s="591" t="s">
        <v>1197</v>
      </c>
      <c r="F4604" s="591" t="s">
        <v>1198</v>
      </c>
      <c r="G4604" s="591" t="s">
        <v>1199</v>
      </c>
      <c r="H4604" s="591" t="s">
        <v>1200</v>
      </c>
      <c r="I4604" s="44"/>
      <c r="J4604" s="44"/>
      <c r="K4604" s="44"/>
    </row>
    <row r="4605" spans="3:15" s="59" customFormat="1" ht="21" customHeight="1">
      <c r="C4605" s="61" t="s">
        <v>1201</v>
      </c>
      <c r="D4605" s="56" t="s">
        <v>1202</v>
      </c>
      <c r="E4605" s="57"/>
      <c r="F4605" s="57"/>
      <c r="G4605" s="57"/>
      <c r="H4605" s="57"/>
      <c r="I4605" s="44"/>
      <c r="J4605" s="44"/>
      <c r="K4605" s="44"/>
      <c r="L4605" s="152" t="s">
        <v>1247</v>
      </c>
    </row>
    <row r="4606" spans="3:15" s="59" customFormat="1" ht="21" customHeight="1">
      <c r="C4606" s="588">
        <v>1</v>
      </c>
      <c r="D4606" s="56" t="s">
        <v>5</v>
      </c>
      <c r="E4606" s="577" t="s">
        <v>6</v>
      </c>
      <c r="F4606" s="62">
        <v>0.34399999999999997</v>
      </c>
      <c r="G4606" s="63">
        <f>VLOOKUP(D4606,upahbahan,3,FALSE)</f>
        <v>100000</v>
      </c>
      <c r="H4606" s="63">
        <f>F4606*G4606</f>
        <v>34400</v>
      </c>
      <c r="I4606" s="44"/>
      <c r="J4606" s="44"/>
      <c r="K4606" s="44"/>
      <c r="L4606" s="152" t="s">
        <v>1248</v>
      </c>
      <c r="O4606" s="65">
        <v>0.1</v>
      </c>
    </row>
    <row r="4607" spans="3:15" s="59" customFormat="1" ht="21" customHeight="1">
      <c r="C4607" s="588">
        <v>2</v>
      </c>
      <c r="D4607" s="56" t="s">
        <v>10</v>
      </c>
      <c r="E4607" s="577" t="s">
        <v>6</v>
      </c>
      <c r="F4607" s="62">
        <v>0.57499999999999996</v>
      </c>
      <c r="G4607" s="63">
        <f>VLOOKUP(D4607,upahbahan,3,FALSE)</f>
        <v>135000</v>
      </c>
      <c r="H4607" s="63">
        <f>F4607*G4607</f>
        <v>77625</v>
      </c>
      <c r="I4607" s="44"/>
      <c r="J4607" s="44"/>
      <c r="K4607" s="44"/>
    </row>
    <row r="4608" spans="3:15" s="59" customFormat="1" ht="21" customHeight="1">
      <c r="C4608" s="588">
        <v>3</v>
      </c>
      <c r="D4608" s="56" t="s">
        <v>18</v>
      </c>
      <c r="E4608" s="577" t="s">
        <v>6</v>
      </c>
      <c r="F4608" s="62">
        <v>5.7000000000000002E-2</v>
      </c>
      <c r="G4608" s="63">
        <f>VLOOKUP(D4608,upahbahan,3,FALSE)</f>
        <v>150000</v>
      </c>
      <c r="H4608" s="63">
        <f>F4608*G4608</f>
        <v>8550</v>
      </c>
      <c r="I4608" s="44"/>
      <c r="J4608" s="44"/>
      <c r="K4608" s="44"/>
    </row>
    <row r="4609" spans="3:15" s="59" customFormat="1" ht="21" customHeight="1">
      <c r="C4609" s="588">
        <v>4</v>
      </c>
      <c r="D4609" s="56" t="s">
        <v>19</v>
      </c>
      <c r="E4609" s="577" t="s">
        <v>6</v>
      </c>
      <c r="F4609" s="62">
        <v>1.7000000000000001E-2</v>
      </c>
      <c r="G4609" s="63">
        <f>VLOOKUP(D4609,upahbahan,3,FALSE)</f>
        <v>160000</v>
      </c>
      <c r="H4609" s="63">
        <f>F4609*G4609</f>
        <v>2720</v>
      </c>
      <c r="I4609" s="44"/>
      <c r="J4609" s="44"/>
      <c r="K4609" s="44"/>
    </row>
    <row r="4610" spans="3:15" s="59" customFormat="1" ht="21" customHeight="1">
      <c r="C4610" s="450" t="s">
        <v>1208</v>
      </c>
      <c r="D4610" s="67"/>
      <c r="E4610" s="67"/>
      <c r="F4610" s="142"/>
      <c r="G4610" s="153"/>
      <c r="H4610" s="63">
        <f>SUM(H4606:H4609)</f>
        <v>123295</v>
      </c>
      <c r="I4610" s="154"/>
      <c r="J4610" s="154"/>
      <c r="K4610" s="154"/>
    </row>
    <row r="4611" spans="3:15" s="59" customFormat="1" ht="21" customHeight="1">
      <c r="C4611" s="61" t="s">
        <v>1209</v>
      </c>
      <c r="D4611" s="56" t="s">
        <v>1210</v>
      </c>
      <c r="E4611" s="57"/>
      <c r="F4611" s="57"/>
      <c r="G4611" s="57"/>
      <c r="H4611" s="57"/>
      <c r="I4611" s="44"/>
      <c r="J4611" s="44"/>
      <c r="K4611" s="44"/>
    </row>
    <row r="4612" spans="3:15" s="59" customFormat="1" ht="21" customHeight="1">
      <c r="C4612" s="61">
        <v>1</v>
      </c>
      <c r="D4612" s="56" t="s">
        <v>4311</v>
      </c>
      <c r="E4612" s="93" t="s">
        <v>4259</v>
      </c>
      <c r="F4612" s="104">
        <v>1.25</v>
      </c>
      <c r="G4612" s="63">
        <f>VLOOKUP(D4612,upahbahan,3,FALSE)</f>
        <v>51700</v>
      </c>
      <c r="H4612" s="586">
        <f>G4612*F4612</f>
        <v>64625</v>
      </c>
      <c r="I4612" s="44"/>
      <c r="J4612" s="44"/>
      <c r="K4612" s="44"/>
    </row>
    <row r="4613" spans="3:15" s="59" customFormat="1" ht="21" customHeight="1">
      <c r="C4613" s="450" t="s">
        <v>1214</v>
      </c>
      <c r="D4613" s="67"/>
      <c r="E4613" s="67"/>
      <c r="F4613" s="67"/>
      <c r="G4613" s="69"/>
      <c r="H4613" s="63">
        <f>SUM(H4612:H4612)</f>
        <v>64625</v>
      </c>
      <c r="I4613" s="44"/>
      <c r="J4613" s="44"/>
      <c r="K4613" s="44"/>
    </row>
    <row r="4614" spans="3:15" s="59" customFormat="1" ht="21" customHeight="1">
      <c r="C4614" s="61" t="s">
        <v>1215</v>
      </c>
      <c r="D4614" s="56" t="s">
        <v>1216</v>
      </c>
      <c r="E4614" s="57"/>
      <c r="F4614" s="57"/>
      <c r="G4614" s="57"/>
      <c r="H4614" s="57"/>
      <c r="I4614" s="44"/>
      <c r="J4614" s="44"/>
      <c r="K4614" s="44"/>
    </row>
    <row r="4615" spans="3:15" s="59" customFormat="1" ht="21" customHeight="1">
      <c r="C4615" s="450" t="s">
        <v>1217</v>
      </c>
      <c r="D4615" s="67"/>
      <c r="E4615" s="67"/>
      <c r="F4615" s="67"/>
      <c r="G4615" s="69"/>
      <c r="H4615" s="589">
        <v>0</v>
      </c>
      <c r="I4615" s="44"/>
      <c r="J4615" s="44"/>
      <c r="K4615" s="44"/>
    </row>
    <row r="4616" spans="3:15" s="59" customFormat="1" ht="21" customHeight="1">
      <c r="C4616" s="288" t="s">
        <v>1218</v>
      </c>
      <c r="D4616" s="76" t="s">
        <v>1219</v>
      </c>
      <c r="E4616" s="77"/>
      <c r="F4616" s="77"/>
      <c r="G4616" s="78"/>
      <c r="H4616" s="585">
        <f>H4615+H4613+H4610</f>
        <v>187920</v>
      </c>
      <c r="I4616" s="369"/>
      <c r="J4616" s="44"/>
      <c r="K4616" s="44"/>
    </row>
    <row r="4617" spans="3:15" s="59" customFormat="1" ht="21" customHeight="1">
      <c r="C4617" s="288" t="s">
        <v>1220</v>
      </c>
      <c r="D4617" s="76" t="s">
        <v>1321</v>
      </c>
      <c r="E4617" s="77"/>
      <c r="F4617" s="78"/>
      <c r="G4617" s="80">
        <v>0.1</v>
      </c>
      <c r="H4617" s="63">
        <f>H4616*G4617</f>
        <v>18792</v>
      </c>
      <c r="I4617" s="369"/>
      <c r="J4617" s="44"/>
      <c r="K4617" s="44"/>
    </row>
    <row r="4618" spans="3:15" s="59" customFormat="1" ht="21" customHeight="1">
      <c r="C4618" s="288" t="s">
        <v>1221</v>
      </c>
      <c r="D4618" s="76" t="s">
        <v>1222</v>
      </c>
      <c r="E4618" s="77"/>
      <c r="F4618" s="77"/>
      <c r="G4618" s="78"/>
      <c r="H4618" s="799">
        <f>SUM(H4616:H4617)</f>
        <v>206712</v>
      </c>
      <c r="I4618" s="369"/>
      <c r="J4618" s="44"/>
      <c r="K4618" s="44"/>
    </row>
    <row r="4619" spans="3:15" ht="21" customHeight="1"/>
    <row r="4620" spans="3:15" s="59" customFormat="1" ht="21" customHeight="1">
      <c r="C4620" s="147" t="s">
        <v>5481</v>
      </c>
      <c r="D4620" s="794" t="s">
        <v>4312</v>
      </c>
      <c r="E4620" s="795"/>
      <c r="F4620" s="795"/>
      <c r="G4620" s="795"/>
      <c r="H4620" s="795"/>
      <c r="I4620" s="50">
        <f>ROUNDDOWN(H4635,-2)</f>
        <v>246900</v>
      </c>
      <c r="J4620" s="50"/>
      <c r="K4620" s="50"/>
    </row>
    <row r="4621" spans="3:15" s="59" customFormat="1" ht="21" customHeight="1">
      <c r="C4621" s="591" t="s">
        <v>1195</v>
      </c>
      <c r="D4621" s="591" t="s">
        <v>1196</v>
      </c>
      <c r="E4621" s="591" t="s">
        <v>1197</v>
      </c>
      <c r="F4621" s="591" t="s">
        <v>1198</v>
      </c>
      <c r="G4621" s="591" t="s">
        <v>1199</v>
      </c>
      <c r="H4621" s="591" t="s">
        <v>1200</v>
      </c>
      <c r="I4621" s="44"/>
      <c r="J4621" s="44"/>
      <c r="K4621" s="44"/>
    </row>
    <row r="4622" spans="3:15" s="59" customFormat="1" ht="21" customHeight="1">
      <c r="C4622" s="61" t="s">
        <v>1201</v>
      </c>
      <c r="D4622" s="56" t="s">
        <v>1202</v>
      </c>
      <c r="E4622" s="57"/>
      <c r="F4622" s="57"/>
      <c r="G4622" s="57"/>
      <c r="H4622" s="57"/>
      <c r="I4622" s="44"/>
      <c r="J4622" s="44"/>
      <c r="K4622" s="44"/>
      <c r="L4622" s="152" t="s">
        <v>1247</v>
      </c>
    </row>
    <row r="4623" spans="3:15" s="59" customFormat="1" ht="21" customHeight="1">
      <c r="C4623" s="588">
        <v>1</v>
      </c>
      <c r="D4623" s="56" t="s">
        <v>5</v>
      </c>
      <c r="E4623" s="577" t="s">
        <v>6</v>
      </c>
      <c r="F4623" s="62">
        <v>0.41299999999999998</v>
      </c>
      <c r="G4623" s="63">
        <f>VLOOKUP(D4623,upahbahan,3,FALSE)</f>
        <v>100000</v>
      </c>
      <c r="H4623" s="63">
        <f>F4623*G4623</f>
        <v>41300</v>
      </c>
      <c r="I4623" s="44"/>
      <c r="J4623" s="44"/>
      <c r="K4623" s="44"/>
      <c r="L4623" s="152" t="s">
        <v>1248</v>
      </c>
      <c r="O4623" s="65">
        <v>0.1</v>
      </c>
    </row>
    <row r="4624" spans="3:15" s="59" customFormat="1" ht="21" customHeight="1">
      <c r="C4624" s="588">
        <v>2</v>
      </c>
      <c r="D4624" s="56" t="s">
        <v>10</v>
      </c>
      <c r="E4624" s="577" t="s">
        <v>6</v>
      </c>
      <c r="F4624" s="62">
        <v>0.69</v>
      </c>
      <c r="G4624" s="63">
        <f>VLOOKUP(D4624,upahbahan,3,FALSE)</f>
        <v>135000</v>
      </c>
      <c r="H4624" s="63">
        <f>F4624*G4624</f>
        <v>93150</v>
      </c>
      <c r="I4624" s="44"/>
      <c r="J4624" s="44"/>
      <c r="K4624" s="44"/>
    </row>
    <row r="4625" spans="3:15" s="59" customFormat="1" ht="21" customHeight="1">
      <c r="C4625" s="588">
        <v>3</v>
      </c>
      <c r="D4625" s="56" t="s">
        <v>18</v>
      </c>
      <c r="E4625" s="577" t="s">
        <v>6</v>
      </c>
      <c r="F4625" s="62">
        <v>6.9000000000000006E-2</v>
      </c>
      <c r="G4625" s="63">
        <f>VLOOKUP(D4625,upahbahan,3,FALSE)</f>
        <v>150000</v>
      </c>
      <c r="H4625" s="63">
        <f>F4625*G4625</f>
        <v>10350</v>
      </c>
      <c r="I4625" s="44"/>
      <c r="J4625" s="44"/>
      <c r="K4625" s="44"/>
    </row>
    <row r="4626" spans="3:15" s="59" customFormat="1" ht="21" customHeight="1">
      <c r="C4626" s="588">
        <v>4</v>
      </c>
      <c r="D4626" s="56" t="s">
        <v>19</v>
      </c>
      <c r="E4626" s="577" t="s">
        <v>6</v>
      </c>
      <c r="F4626" s="62">
        <v>2.1000000000000001E-2</v>
      </c>
      <c r="G4626" s="63">
        <f>VLOOKUP(D4626,upahbahan,3,FALSE)</f>
        <v>160000</v>
      </c>
      <c r="H4626" s="63">
        <f>F4626*G4626</f>
        <v>3360</v>
      </c>
      <c r="I4626" s="44"/>
      <c r="J4626" s="44"/>
      <c r="K4626" s="44"/>
    </row>
    <row r="4627" spans="3:15" s="59" customFormat="1" ht="21" customHeight="1">
      <c r="C4627" s="450" t="s">
        <v>1208</v>
      </c>
      <c r="D4627" s="67"/>
      <c r="E4627" s="67"/>
      <c r="F4627" s="142"/>
      <c r="G4627" s="153"/>
      <c r="H4627" s="63">
        <f>SUM(H4623:H4626)</f>
        <v>148160</v>
      </c>
      <c r="I4627" s="154"/>
      <c r="J4627" s="154"/>
      <c r="K4627" s="154"/>
    </row>
    <row r="4628" spans="3:15" s="59" customFormat="1" ht="21" customHeight="1">
      <c r="C4628" s="61" t="s">
        <v>1209</v>
      </c>
      <c r="D4628" s="56" t="s">
        <v>1210</v>
      </c>
      <c r="E4628" s="57"/>
      <c r="F4628" s="57"/>
      <c r="G4628" s="57"/>
      <c r="H4628" s="57"/>
      <c r="I4628" s="44"/>
      <c r="J4628" s="44"/>
      <c r="K4628" s="44"/>
    </row>
    <row r="4629" spans="3:15" s="59" customFormat="1" ht="21" customHeight="1">
      <c r="C4629" s="61">
        <v>1</v>
      </c>
      <c r="D4629" s="56" t="s">
        <v>4313</v>
      </c>
      <c r="E4629" s="93" t="s">
        <v>4259</v>
      </c>
      <c r="F4629" s="104">
        <v>1.25</v>
      </c>
      <c r="G4629" s="63">
        <f>VLOOKUP(D4629,upahbahan,3,FALSE)</f>
        <v>61100</v>
      </c>
      <c r="H4629" s="586">
        <f>G4629*F4629</f>
        <v>76375</v>
      </c>
      <c r="I4629" s="44"/>
      <c r="J4629" s="44"/>
      <c r="K4629" s="44"/>
    </row>
    <row r="4630" spans="3:15" s="59" customFormat="1" ht="21" customHeight="1">
      <c r="C4630" s="450" t="s">
        <v>1214</v>
      </c>
      <c r="D4630" s="67"/>
      <c r="E4630" s="67"/>
      <c r="F4630" s="67"/>
      <c r="G4630" s="69"/>
      <c r="H4630" s="63">
        <f>SUM(H4629:H4629)</f>
        <v>76375</v>
      </c>
      <c r="I4630" s="44"/>
      <c r="J4630" s="44"/>
      <c r="K4630" s="44"/>
    </row>
    <row r="4631" spans="3:15" s="59" customFormat="1" ht="21" customHeight="1">
      <c r="C4631" s="61" t="s">
        <v>1215</v>
      </c>
      <c r="D4631" s="56" t="s">
        <v>1216</v>
      </c>
      <c r="E4631" s="57"/>
      <c r="F4631" s="57"/>
      <c r="G4631" s="57"/>
      <c r="H4631" s="57"/>
      <c r="I4631" s="44"/>
      <c r="J4631" s="44"/>
      <c r="K4631" s="44"/>
    </row>
    <row r="4632" spans="3:15" s="59" customFormat="1" ht="21" customHeight="1">
      <c r="C4632" s="450" t="s">
        <v>1217</v>
      </c>
      <c r="D4632" s="67"/>
      <c r="E4632" s="67"/>
      <c r="F4632" s="67"/>
      <c r="G4632" s="69"/>
      <c r="H4632" s="589">
        <v>0</v>
      </c>
      <c r="I4632" s="44"/>
      <c r="J4632" s="44"/>
      <c r="K4632" s="44"/>
    </row>
    <row r="4633" spans="3:15" s="59" customFormat="1" ht="21" customHeight="1">
      <c r="C4633" s="288" t="s">
        <v>1218</v>
      </c>
      <c r="D4633" s="76" t="s">
        <v>1219</v>
      </c>
      <c r="E4633" s="77"/>
      <c r="F4633" s="77"/>
      <c r="G4633" s="78"/>
      <c r="H4633" s="585">
        <f>H4632+H4630+H4627</f>
        <v>224535</v>
      </c>
      <c r="I4633" s="369"/>
      <c r="J4633" s="44"/>
      <c r="K4633" s="44"/>
    </row>
    <row r="4634" spans="3:15" s="59" customFormat="1" ht="21" customHeight="1">
      <c r="C4634" s="288" t="s">
        <v>1220</v>
      </c>
      <c r="D4634" s="76" t="s">
        <v>1321</v>
      </c>
      <c r="E4634" s="77"/>
      <c r="F4634" s="78"/>
      <c r="G4634" s="80">
        <v>0.1</v>
      </c>
      <c r="H4634" s="63">
        <f>H4633*G4634</f>
        <v>22453.5</v>
      </c>
      <c r="I4634" s="369"/>
      <c r="J4634" s="44"/>
      <c r="K4634" s="44"/>
    </row>
    <row r="4635" spans="3:15" s="59" customFormat="1" ht="21" customHeight="1">
      <c r="C4635" s="288" t="s">
        <v>1221</v>
      </c>
      <c r="D4635" s="76" t="s">
        <v>1222</v>
      </c>
      <c r="E4635" s="77"/>
      <c r="F4635" s="77"/>
      <c r="G4635" s="78"/>
      <c r="H4635" s="799">
        <f>SUM(H4633:H4634)</f>
        <v>246988.5</v>
      </c>
      <c r="I4635" s="369"/>
      <c r="J4635" s="44"/>
      <c r="K4635" s="44"/>
    </row>
    <row r="4636" spans="3:15" ht="21" customHeight="1"/>
    <row r="4637" spans="3:15" s="59" customFormat="1" ht="21" customHeight="1">
      <c r="C4637" s="147" t="s">
        <v>5482</v>
      </c>
      <c r="D4637" s="794" t="s">
        <v>4316</v>
      </c>
      <c r="E4637" s="795"/>
      <c r="F4637" s="795"/>
      <c r="G4637" s="795"/>
      <c r="H4637" s="795"/>
      <c r="I4637" s="50">
        <f>ROUNDDOWN(H4652,-2)</f>
        <v>341100</v>
      </c>
      <c r="J4637" s="50"/>
      <c r="K4637" s="50"/>
    </row>
    <row r="4638" spans="3:15" s="59" customFormat="1" ht="21" customHeight="1">
      <c r="C4638" s="591" t="s">
        <v>1195</v>
      </c>
      <c r="D4638" s="591" t="s">
        <v>1196</v>
      </c>
      <c r="E4638" s="591" t="s">
        <v>1197</v>
      </c>
      <c r="F4638" s="591" t="s">
        <v>1198</v>
      </c>
      <c r="G4638" s="591" t="s">
        <v>1199</v>
      </c>
      <c r="H4638" s="591" t="s">
        <v>1200</v>
      </c>
      <c r="I4638" s="44"/>
      <c r="J4638" s="44"/>
      <c r="K4638" s="44"/>
    </row>
    <row r="4639" spans="3:15" s="59" customFormat="1" ht="21" customHeight="1">
      <c r="C4639" s="61" t="s">
        <v>1201</v>
      </c>
      <c r="D4639" s="56" t="s">
        <v>1202</v>
      </c>
      <c r="E4639" s="57"/>
      <c r="F4639" s="57"/>
      <c r="G4639" s="57"/>
      <c r="H4639" s="57"/>
      <c r="I4639" s="44"/>
      <c r="J4639" s="44"/>
      <c r="K4639" s="44"/>
      <c r="L4639" s="152" t="s">
        <v>1247</v>
      </c>
    </row>
    <row r="4640" spans="3:15" s="59" customFormat="1" ht="21" customHeight="1">
      <c r="C4640" s="588">
        <v>1</v>
      </c>
      <c r="D4640" s="56" t="s">
        <v>5</v>
      </c>
      <c r="E4640" s="577" t="s">
        <v>6</v>
      </c>
      <c r="F4640" s="62">
        <v>0.55000000000000004</v>
      </c>
      <c r="G4640" s="63">
        <f>VLOOKUP(D4640,upahbahan,3,FALSE)</f>
        <v>100000</v>
      </c>
      <c r="H4640" s="63">
        <f>F4640*G4640</f>
        <v>55000.000000000007</v>
      </c>
      <c r="I4640" s="44"/>
      <c r="J4640" s="44"/>
      <c r="K4640" s="44"/>
      <c r="L4640" s="152" t="s">
        <v>1248</v>
      </c>
      <c r="O4640" s="65">
        <v>0.1</v>
      </c>
    </row>
    <row r="4641" spans="3:12" s="59" customFormat="1" ht="21" customHeight="1">
      <c r="C4641" s="588">
        <v>2</v>
      </c>
      <c r="D4641" s="56" t="s">
        <v>10</v>
      </c>
      <c r="E4641" s="577" t="s">
        <v>6</v>
      </c>
      <c r="F4641" s="62">
        <v>0.91900000000000004</v>
      </c>
      <c r="G4641" s="63">
        <f>VLOOKUP(D4641,upahbahan,3,FALSE)</f>
        <v>135000</v>
      </c>
      <c r="H4641" s="63">
        <f>F4641*G4641</f>
        <v>124065</v>
      </c>
      <c r="I4641" s="44"/>
      <c r="J4641" s="44"/>
      <c r="K4641" s="44"/>
    </row>
    <row r="4642" spans="3:12" s="59" customFormat="1" ht="21" customHeight="1">
      <c r="C4642" s="588">
        <v>3</v>
      </c>
      <c r="D4642" s="56" t="s">
        <v>18</v>
      </c>
      <c r="E4642" s="577" t="s">
        <v>6</v>
      </c>
      <c r="F4642" s="62">
        <v>9.1999999999999998E-2</v>
      </c>
      <c r="G4642" s="63">
        <f>VLOOKUP(D4642,upahbahan,3,FALSE)</f>
        <v>150000</v>
      </c>
      <c r="H4642" s="63">
        <f>F4642*G4642</f>
        <v>13800</v>
      </c>
      <c r="I4642" s="44"/>
      <c r="J4642" s="44"/>
      <c r="K4642" s="44"/>
    </row>
    <row r="4643" spans="3:12" s="59" customFormat="1" ht="21" customHeight="1">
      <c r="C4643" s="588">
        <v>4</v>
      </c>
      <c r="D4643" s="56" t="s">
        <v>19</v>
      </c>
      <c r="E4643" s="577" t="s">
        <v>6</v>
      </c>
      <c r="F4643" s="62">
        <v>2.8000000000000001E-2</v>
      </c>
      <c r="G4643" s="63">
        <f>VLOOKUP(D4643,upahbahan,3,FALSE)</f>
        <v>160000</v>
      </c>
      <c r="H4643" s="63">
        <f>F4643*G4643</f>
        <v>4480</v>
      </c>
      <c r="I4643" s="44"/>
      <c r="J4643" s="44"/>
      <c r="K4643" s="44"/>
    </row>
    <row r="4644" spans="3:12" s="59" customFormat="1" ht="21" customHeight="1">
      <c r="C4644" s="450" t="s">
        <v>1208</v>
      </c>
      <c r="D4644" s="67"/>
      <c r="E4644" s="67"/>
      <c r="F4644" s="142"/>
      <c r="G4644" s="153"/>
      <c r="H4644" s="63">
        <f>SUM(H4640:H4643)</f>
        <v>197345</v>
      </c>
      <c r="I4644" s="154"/>
      <c r="J4644" s="154"/>
      <c r="K4644" s="154"/>
    </row>
    <row r="4645" spans="3:12" s="59" customFormat="1" ht="21" customHeight="1">
      <c r="C4645" s="61" t="s">
        <v>1209</v>
      </c>
      <c r="D4645" s="56" t="s">
        <v>1210</v>
      </c>
      <c r="E4645" s="57"/>
      <c r="F4645" s="57"/>
      <c r="G4645" s="57"/>
      <c r="H4645" s="57"/>
      <c r="I4645" s="44"/>
      <c r="J4645" s="44"/>
      <c r="K4645" s="44"/>
    </row>
    <row r="4646" spans="3:12" s="59" customFormat="1" ht="21" customHeight="1">
      <c r="C4646" s="61">
        <v>1</v>
      </c>
      <c r="D4646" s="56" t="s">
        <v>4314</v>
      </c>
      <c r="E4646" s="93" t="s">
        <v>4259</v>
      </c>
      <c r="F4646" s="104">
        <v>1.25</v>
      </c>
      <c r="G4646" s="63">
        <f>VLOOKUP(D4646,upahbahan,3,FALSE)</f>
        <v>90250</v>
      </c>
      <c r="H4646" s="586">
        <f>G4646*F4646</f>
        <v>112812.5</v>
      </c>
      <c r="I4646" s="44"/>
      <c r="J4646" s="44"/>
      <c r="K4646" s="44"/>
    </row>
    <row r="4647" spans="3:12" s="59" customFormat="1" ht="21" customHeight="1">
      <c r="C4647" s="450" t="s">
        <v>1214</v>
      </c>
      <c r="D4647" s="67"/>
      <c r="E4647" s="67"/>
      <c r="F4647" s="67"/>
      <c r="G4647" s="69"/>
      <c r="H4647" s="63">
        <f>SUM(H4646:H4646)</f>
        <v>112812.5</v>
      </c>
      <c r="I4647" s="44"/>
      <c r="J4647" s="44"/>
      <c r="K4647" s="44"/>
    </row>
    <row r="4648" spans="3:12" s="59" customFormat="1" ht="21" customHeight="1">
      <c r="C4648" s="61" t="s">
        <v>1215</v>
      </c>
      <c r="D4648" s="56" t="s">
        <v>1216</v>
      </c>
      <c r="E4648" s="57"/>
      <c r="F4648" s="57"/>
      <c r="G4648" s="57"/>
      <c r="H4648" s="57"/>
      <c r="I4648" s="44"/>
      <c r="J4648" s="44"/>
      <c r="K4648" s="44"/>
    </row>
    <row r="4649" spans="3:12" s="59" customFormat="1" ht="21" customHeight="1">
      <c r="C4649" s="450" t="s">
        <v>1217</v>
      </c>
      <c r="D4649" s="67"/>
      <c r="E4649" s="67"/>
      <c r="F4649" s="67"/>
      <c r="G4649" s="69"/>
      <c r="H4649" s="589">
        <v>0</v>
      </c>
      <c r="I4649" s="44"/>
      <c r="J4649" s="44"/>
      <c r="K4649" s="44"/>
    </row>
    <row r="4650" spans="3:12" s="59" customFormat="1" ht="21" customHeight="1">
      <c r="C4650" s="288" t="s">
        <v>1218</v>
      </c>
      <c r="D4650" s="76" t="s">
        <v>1219</v>
      </c>
      <c r="E4650" s="77"/>
      <c r="F4650" s="77"/>
      <c r="G4650" s="78"/>
      <c r="H4650" s="585">
        <f>H4649+H4647+H4644</f>
        <v>310157.5</v>
      </c>
      <c r="I4650" s="369"/>
      <c r="J4650" s="44"/>
      <c r="K4650" s="44"/>
    </row>
    <row r="4651" spans="3:12" s="59" customFormat="1" ht="21" customHeight="1">
      <c r="C4651" s="288" t="s">
        <v>1220</v>
      </c>
      <c r="D4651" s="76" t="s">
        <v>1321</v>
      </c>
      <c r="E4651" s="77"/>
      <c r="F4651" s="78"/>
      <c r="G4651" s="80">
        <v>0.1</v>
      </c>
      <c r="H4651" s="63">
        <f>H4650*G4651</f>
        <v>31015.75</v>
      </c>
      <c r="I4651" s="369"/>
      <c r="J4651" s="44"/>
      <c r="K4651" s="44"/>
    </row>
    <row r="4652" spans="3:12" s="59" customFormat="1" ht="21" customHeight="1">
      <c r="C4652" s="288" t="s">
        <v>1221</v>
      </c>
      <c r="D4652" s="76" t="s">
        <v>1222</v>
      </c>
      <c r="E4652" s="77"/>
      <c r="F4652" s="77"/>
      <c r="G4652" s="78"/>
      <c r="H4652" s="799">
        <f>SUM(H4650:H4651)</f>
        <v>341173.25</v>
      </c>
      <c r="I4652" s="369"/>
      <c r="J4652" s="44"/>
      <c r="K4652" s="44"/>
    </row>
    <row r="4653" spans="3:12" ht="21" customHeight="1"/>
    <row r="4654" spans="3:12" s="59" customFormat="1" ht="21" customHeight="1">
      <c r="C4654" s="147" t="s">
        <v>5483</v>
      </c>
      <c r="D4654" s="794" t="s">
        <v>4315</v>
      </c>
      <c r="E4654" s="795"/>
      <c r="F4654" s="795"/>
      <c r="G4654" s="795"/>
      <c r="H4654" s="795"/>
      <c r="I4654" s="50">
        <f>ROUNDDOWN(H4669,-2)</f>
        <v>467200</v>
      </c>
      <c r="J4654" s="50"/>
      <c r="K4654" s="50"/>
    </row>
    <row r="4655" spans="3:12" s="59" customFormat="1" ht="21" customHeight="1">
      <c r="C4655" s="591" t="s">
        <v>1195</v>
      </c>
      <c r="D4655" s="591" t="s">
        <v>1196</v>
      </c>
      <c r="E4655" s="591" t="s">
        <v>1197</v>
      </c>
      <c r="F4655" s="591" t="s">
        <v>1198</v>
      </c>
      <c r="G4655" s="591" t="s">
        <v>1199</v>
      </c>
      <c r="H4655" s="591" t="s">
        <v>1200</v>
      </c>
      <c r="I4655" s="44"/>
      <c r="J4655" s="44"/>
      <c r="K4655" s="44"/>
    </row>
    <row r="4656" spans="3:12" s="59" customFormat="1" ht="21" customHeight="1">
      <c r="C4656" s="61" t="s">
        <v>1201</v>
      </c>
      <c r="D4656" s="56" t="s">
        <v>1202</v>
      </c>
      <c r="E4656" s="57"/>
      <c r="F4656" s="57"/>
      <c r="G4656" s="57"/>
      <c r="H4656" s="57"/>
      <c r="I4656" s="44"/>
      <c r="J4656" s="44"/>
      <c r="K4656" s="44"/>
      <c r="L4656" s="152" t="s">
        <v>1247</v>
      </c>
    </row>
    <row r="4657" spans="3:15" s="59" customFormat="1" ht="21" customHeight="1">
      <c r="C4657" s="588">
        <v>1</v>
      </c>
      <c r="D4657" s="56" t="s">
        <v>5</v>
      </c>
      <c r="E4657" s="577" t="s">
        <v>6</v>
      </c>
      <c r="F4657" s="62">
        <v>0.68799999999999994</v>
      </c>
      <c r="G4657" s="63">
        <f>VLOOKUP(D4657,upahbahan,3,FALSE)</f>
        <v>100000</v>
      </c>
      <c r="H4657" s="63">
        <f>F4657*G4657</f>
        <v>68800</v>
      </c>
      <c r="I4657" s="44"/>
      <c r="J4657" s="44"/>
      <c r="K4657" s="44"/>
      <c r="L4657" s="152" t="s">
        <v>1248</v>
      </c>
      <c r="O4657" s="65">
        <v>0.1</v>
      </c>
    </row>
    <row r="4658" spans="3:15" s="59" customFormat="1" ht="21" customHeight="1">
      <c r="C4658" s="588">
        <v>2</v>
      </c>
      <c r="D4658" s="56" t="s">
        <v>10</v>
      </c>
      <c r="E4658" s="577" t="s">
        <v>6</v>
      </c>
      <c r="F4658" s="62">
        <v>1.149</v>
      </c>
      <c r="G4658" s="63">
        <f>VLOOKUP(D4658,upahbahan,3,FALSE)</f>
        <v>135000</v>
      </c>
      <c r="H4658" s="63">
        <f>F4658*G4658</f>
        <v>155115</v>
      </c>
      <c r="I4658" s="44"/>
      <c r="J4658" s="44"/>
      <c r="K4658" s="44"/>
    </row>
    <row r="4659" spans="3:15" s="59" customFormat="1" ht="21" customHeight="1">
      <c r="C4659" s="588">
        <v>3</v>
      </c>
      <c r="D4659" s="56" t="s">
        <v>18</v>
      </c>
      <c r="E4659" s="577" t="s">
        <v>6</v>
      </c>
      <c r="F4659" s="62">
        <v>0.115</v>
      </c>
      <c r="G4659" s="63">
        <f>VLOOKUP(D4659,upahbahan,3,FALSE)</f>
        <v>150000</v>
      </c>
      <c r="H4659" s="63">
        <f>F4659*G4659</f>
        <v>17250</v>
      </c>
      <c r="I4659" s="44"/>
      <c r="J4659" s="44"/>
      <c r="K4659" s="44"/>
    </row>
    <row r="4660" spans="3:15" s="59" customFormat="1" ht="21" customHeight="1">
      <c r="C4660" s="588">
        <v>4</v>
      </c>
      <c r="D4660" s="56" t="s">
        <v>19</v>
      </c>
      <c r="E4660" s="577" t="s">
        <v>6</v>
      </c>
      <c r="F4660" s="62">
        <v>3.4000000000000002E-2</v>
      </c>
      <c r="G4660" s="63">
        <f>VLOOKUP(D4660,upahbahan,3,FALSE)</f>
        <v>160000</v>
      </c>
      <c r="H4660" s="63">
        <f>F4660*G4660</f>
        <v>5440</v>
      </c>
      <c r="I4660" s="44"/>
      <c r="J4660" s="44"/>
      <c r="K4660" s="44"/>
    </row>
    <row r="4661" spans="3:15" s="59" customFormat="1" ht="21" customHeight="1">
      <c r="C4661" s="450" t="s">
        <v>1208</v>
      </c>
      <c r="D4661" s="67"/>
      <c r="E4661" s="67"/>
      <c r="F4661" s="142"/>
      <c r="G4661" s="153"/>
      <c r="H4661" s="63">
        <f>SUM(H4657:H4660)</f>
        <v>246605</v>
      </c>
      <c r="I4661" s="154"/>
      <c r="J4661" s="154"/>
      <c r="K4661" s="154"/>
    </row>
    <row r="4662" spans="3:15" s="59" customFormat="1" ht="21" customHeight="1">
      <c r="C4662" s="61" t="s">
        <v>1209</v>
      </c>
      <c r="D4662" s="56" t="s">
        <v>1210</v>
      </c>
      <c r="E4662" s="57"/>
      <c r="F4662" s="57"/>
      <c r="G4662" s="57"/>
      <c r="H4662" s="57"/>
      <c r="I4662" s="44"/>
      <c r="J4662" s="44"/>
      <c r="K4662" s="44"/>
    </row>
    <row r="4663" spans="3:15" s="59" customFormat="1" ht="21" customHeight="1">
      <c r="C4663" s="61">
        <v>1</v>
      </c>
      <c r="D4663" s="56" t="s">
        <v>4317</v>
      </c>
      <c r="E4663" s="93" t="s">
        <v>4259</v>
      </c>
      <c r="F4663" s="104">
        <v>1.25</v>
      </c>
      <c r="G4663" s="63">
        <f>VLOOKUP(D4663,upahbahan,3,FALSE)</f>
        <v>142500</v>
      </c>
      <c r="H4663" s="586">
        <f>G4663*F4663</f>
        <v>178125</v>
      </c>
      <c r="I4663" s="44"/>
      <c r="J4663" s="44"/>
      <c r="K4663" s="44"/>
    </row>
    <row r="4664" spans="3:15" s="59" customFormat="1" ht="21" customHeight="1">
      <c r="C4664" s="450" t="s">
        <v>1214</v>
      </c>
      <c r="D4664" s="67"/>
      <c r="E4664" s="67"/>
      <c r="F4664" s="67"/>
      <c r="G4664" s="69"/>
      <c r="H4664" s="63">
        <f>SUM(H4663:H4663)</f>
        <v>178125</v>
      </c>
      <c r="I4664" s="44"/>
      <c r="J4664" s="44"/>
      <c r="K4664" s="44"/>
    </row>
    <row r="4665" spans="3:15" s="59" customFormat="1" ht="21" customHeight="1">
      <c r="C4665" s="61" t="s">
        <v>1215</v>
      </c>
      <c r="D4665" s="56" t="s">
        <v>1216</v>
      </c>
      <c r="E4665" s="57"/>
      <c r="F4665" s="57"/>
      <c r="G4665" s="57"/>
      <c r="H4665" s="57"/>
      <c r="I4665" s="44"/>
      <c r="J4665" s="44"/>
      <c r="K4665" s="44"/>
    </row>
    <row r="4666" spans="3:15" s="59" customFormat="1" ht="21" customHeight="1">
      <c r="C4666" s="450" t="s">
        <v>1217</v>
      </c>
      <c r="D4666" s="67"/>
      <c r="E4666" s="67"/>
      <c r="F4666" s="67"/>
      <c r="G4666" s="69"/>
      <c r="H4666" s="589">
        <v>0</v>
      </c>
      <c r="I4666" s="44"/>
      <c r="J4666" s="44"/>
      <c r="K4666" s="44"/>
    </row>
    <row r="4667" spans="3:15" s="59" customFormat="1" ht="21" customHeight="1">
      <c r="C4667" s="288" t="s">
        <v>1218</v>
      </c>
      <c r="D4667" s="76" t="s">
        <v>1219</v>
      </c>
      <c r="E4667" s="77"/>
      <c r="F4667" s="77"/>
      <c r="G4667" s="78"/>
      <c r="H4667" s="585">
        <f>H4666+H4664+H4661</f>
        <v>424730</v>
      </c>
      <c r="I4667" s="369"/>
      <c r="J4667" s="44"/>
      <c r="K4667" s="44"/>
    </row>
    <row r="4668" spans="3:15" s="59" customFormat="1" ht="21" customHeight="1">
      <c r="C4668" s="288" t="s">
        <v>1220</v>
      </c>
      <c r="D4668" s="76" t="s">
        <v>1321</v>
      </c>
      <c r="E4668" s="77"/>
      <c r="F4668" s="78"/>
      <c r="G4668" s="80">
        <v>0.1</v>
      </c>
      <c r="H4668" s="63">
        <f>H4667*G4668</f>
        <v>42473</v>
      </c>
      <c r="I4668" s="369"/>
      <c r="J4668" s="44"/>
      <c r="K4668" s="44"/>
    </row>
    <row r="4669" spans="3:15" s="59" customFormat="1" ht="21" customHeight="1">
      <c r="C4669" s="288" t="s">
        <v>1221</v>
      </c>
      <c r="D4669" s="76" t="s">
        <v>1222</v>
      </c>
      <c r="E4669" s="77"/>
      <c r="F4669" s="77"/>
      <c r="G4669" s="78"/>
      <c r="H4669" s="799">
        <f>SUM(H4667:H4668)</f>
        <v>467203</v>
      </c>
      <c r="I4669" s="369"/>
      <c r="J4669" s="44"/>
      <c r="K4669" s="44"/>
    </row>
    <row r="4670" spans="3:15" ht="21" customHeight="1"/>
    <row r="4671" spans="3:15" s="59" customFormat="1" ht="21" customHeight="1">
      <c r="C4671" s="147" t="s">
        <v>5484</v>
      </c>
      <c r="D4671" s="794" t="s">
        <v>4318</v>
      </c>
      <c r="E4671" s="795"/>
      <c r="F4671" s="795"/>
      <c r="G4671" s="795"/>
      <c r="H4671" s="795"/>
      <c r="I4671" s="50">
        <f>ROUNDDOWN(H4686,-2)</f>
        <v>555200</v>
      </c>
      <c r="J4671" s="50"/>
      <c r="K4671" s="50"/>
    </row>
    <row r="4672" spans="3:15" s="59" customFormat="1" ht="21" customHeight="1">
      <c r="C4672" s="591" t="s">
        <v>1195</v>
      </c>
      <c r="D4672" s="591" t="s">
        <v>1196</v>
      </c>
      <c r="E4672" s="591" t="s">
        <v>1197</v>
      </c>
      <c r="F4672" s="591" t="s">
        <v>1198</v>
      </c>
      <c r="G4672" s="591" t="s">
        <v>1199</v>
      </c>
      <c r="H4672" s="591" t="s">
        <v>1200</v>
      </c>
      <c r="I4672" s="44"/>
      <c r="J4672" s="44"/>
      <c r="K4672" s="44"/>
    </row>
    <row r="4673" spans="3:15" s="59" customFormat="1" ht="21" customHeight="1">
      <c r="C4673" s="61" t="s">
        <v>1201</v>
      </c>
      <c r="D4673" s="56" t="s">
        <v>1202</v>
      </c>
      <c r="E4673" s="57"/>
      <c r="F4673" s="57"/>
      <c r="G4673" s="57"/>
      <c r="H4673" s="57"/>
      <c r="I4673" s="44"/>
      <c r="J4673" s="44"/>
      <c r="K4673" s="44"/>
      <c r="L4673" s="152" t="s">
        <v>1247</v>
      </c>
    </row>
    <row r="4674" spans="3:15" s="59" customFormat="1" ht="21" customHeight="1">
      <c r="C4674" s="588">
        <v>1</v>
      </c>
      <c r="D4674" s="56" t="s">
        <v>5</v>
      </c>
      <c r="E4674" s="577" t="s">
        <v>6</v>
      </c>
      <c r="F4674" s="62">
        <v>0.82399999999999995</v>
      </c>
      <c r="G4674" s="63">
        <f>VLOOKUP(D4674,upahbahan,3,FALSE)</f>
        <v>100000</v>
      </c>
      <c r="H4674" s="63">
        <f>F4674*G4674</f>
        <v>82400</v>
      </c>
      <c r="I4674" s="44"/>
      <c r="J4674" s="44"/>
      <c r="K4674" s="44"/>
      <c r="L4674" s="152" t="s">
        <v>1248</v>
      </c>
      <c r="O4674" s="65">
        <v>0.1</v>
      </c>
    </row>
    <row r="4675" spans="3:15" s="59" customFormat="1" ht="21" customHeight="1">
      <c r="C4675" s="588">
        <v>2</v>
      </c>
      <c r="D4675" s="56" t="s">
        <v>10</v>
      </c>
      <c r="E4675" s="577" t="s">
        <v>6</v>
      </c>
      <c r="F4675" s="62">
        <v>1.3759999999999999</v>
      </c>
      <c r="G4675" s="63">
        <f>VLOOKUP(D4675,upahbahan,3,FALSE)</f>
        <v>135000</v>
      </c>
      <c r="H4675" s="63">
        <f>F4675*G4675</f>
        <v>185759.99999999997</v>
      </c>
      <c r="I4675" s="44"/>
      <c r="J4675" s="44"/>
      <c r="K4675" s="44"/>
    </row>
    <row r="4676" spans="3:15" s="59" customFormat="1" ht="21" customHeight="1">
      <c r="C4676" s="588">
        <v>3</v>
      </c>
      <c r="D4676" s="56" t="s">
        <v>18</v>
      </c>
      <c r="E4676" s="577" t="s">
        <v>6</v>
      </c>
      <c r="F4676" s="62">
        <v>0.13800000000000001</v>
      </c>
      <c r="G4676" s="63">
        <f>VLOOKUP(D4676,upahbahan,3,FALSE)</f>
        <v>150000</v>
      </c>
      <c r="H4676" s="63">
        <f>F4676*G4676</f>
        <v>20700</v>
      </c>
      <c r="I4676" s="44"/>
      <c r="J4676" s="44"/>
      <c r="K4676" s="44"/>
    </row>
    <row r="4677" spans="3:15" s="59" customFormat="1" ht="21" customHeight="1">
      <c r="C4677" s="588">
        <v>4</v>
      </c>
      <c r="D4677" s="56" t="s">
        <v>19</v>
      </c>
      <c r="E4677" s="577" t="s">
        <v>6</v>
      </c>
      <c r="F4677" s="62">
        <v>4.1000000000000002E-2</v>
      </c>
      <c r="G4677" s="63">
        <f>VLOOKUP(D4677,upahbahan,3,FALSE)</f>
        <v>160000</v>
      </c>
      <c r="H4677" s="63">
        <f>F4677*G4677</f>
        <v>6560</v>
      </c>
      <c r="I4677" s="44"/>
      <c r="J4677" s="44"/>
      <c r="K4677" s="44"/>
    </row>
    <row r="4678" spans="3:15" s="59" customFormat="1" ht="21" customHeight="1">
      <c r="C4678" s="450" t="s">
        <v>1208</v>
      </c>
      <c r="D4678" s="67"/>
      <c r="E4678" s="67"/>
      <c r="F4678" s="142"/>
      <c r="G4678" s="153"/>
      <c r="H4678" s="63">
        <f>SUM(H4674:H4677)</f>
        <v>295420</v>
      </c>
      <c r="I4678" s="154"/>
      <c r="J4678" s="154"/>
      <c r="K4678" s="154"/>
    </row>
    <row r="4679" spans="3:15" s="59" customFormat="1" ht="21" customHeight="1">
      <c r="C4679" s="61" t="s">
        <v>1209</v>
      </c>
      <c r="D4679" s="56" t="s">
        <v>1210</v>
      </c>
      <c r="E4679" s="57"/>
      <c r="F4679" s="57"/>
      <c r="G4679" s="57"/>
      <c r="H4679" s="57"/>
      <c r="I4679" s="44"/>
      <c r="J4679" s="44"/>
      <c r="K4679" s="44"/>
    </row>
    <row r="4680" spans="3:15" s="59" customFormat="1" ht="21" customHeight="1">
      <c r="C4680" s="61">
        <v>1</v>
      </c>
      <c r="D4680" s="56" t="s">
        <v>4319</v>
      </c>
      <c r="E4680" s="93" t="s">
        <v>4259</v>
      </c>
      <c r="F4680" s="104">
        <v>1.25</v>
      </c>
      <c r="G4680" s="63">
        <f>VLOOKUP(D4680,upahbahan,3,FALSE)</f>
        <v>167500</v>
      </c>
      <c r="H4680" s="586">
        <f>G4680*F4680</f>
        <v>209375</v>
      </c>
      <c r="I4680" s="44"/>
      <c r="J4680" s="44"/>
      <c r="K4680" s="44"/>
    </row>
    <row r="4681" spans="3:15" s="59" customFormat="1" ht="21" customHeight="1">
      <c r="C4681" s="450" t="s">
        <v>1214</v>
      </c>
      <c r="D4681" s="67"/>
      <c r="E4681" s="67"/>
      <c r="F4681" s="67"/>
      <c r="G4681" s="69"/>
      <c r="H4681" s="63">
        <f>SUM(H4680:H4680)</f>
        <v>209375</v>
      </c>
      <c r="I4681" s="44"/>
      <c r="J4681" s="44"/>
      <c r="K4681" s="44"/>
    </row>
    <row r="4682" spans="3:15" s="59" customFormat="1" ht="21" customHeight="1">
      <c r="C4682" s="61" t="s">
        <v>1215</v>
      </c>
      <c r="D4682" s="56" t="s">
        <v>1216</v>
      </c>
      <c r="E4682" s="57"/>
      <c r="F4682" s="57"/>
      <c r="G4682" s="57"/>
      <c r="H4682" s="57"/>
      <c r="I4682" s="44"/>
      <c r="J4682" s="44"/>
      <c r="K4682" s="44"/>
    </row>
    <row r="4683" spans="3:15" s="59" customFormat="1" ht="21" customHeight="1">
      <c r="C4683" s="450" t="s">
        <v>1217</v>
      </c>
      <c r="D4683" s="67"/>
      <c r="E4683" s="67"/>
      <c r="F4683" s="67"/>
      <c r="G4683" s="69"/>
      <c r="H4683" s="589">
        <v>0</v>
      </c>
      <c r="I4683" s="44"/>
      <c r="J4683" s="44"/>
      <c r="K4683" s="44"/>
    </row>
    <row r="4684" spans="3:15" s="59" customFormat="1" ht="21" customHeight="1">
      <c r="C4684" s="288" t="s">
        <v>1218</v>
      </c>
      <c r="D4684" s="76" t="s">
        <v>1219</v>
      </c>
      <c r="E4684" s="77"/>
      <c r="F4684" s="77"/>
      <c r="G4684" s="78"/>
      <c r="H4684" s="585">
        <f>H4683+H4681+H4678</f>
        <v>504795</v>
      </c>
      <c r="I4684" s="369"/>
      <c r="J4684" s="44"/>
      <c r="K4684" s="44"/>
    </row>
    <row r="4685" spans="3:15" s="59" customFormat="1" ht="21" customHeight="1">
      <c r="C4685" s="288" t="s">
        <v>1220</v>
      </c>
      <c r="D4685" s="76" t="s">
        <v>1321</v>
      </c>
      <c r="E4685" s="77"/>
      <c r="F4685" s="78"/>
      <c r="G4685" s="80">
        <v>0.1</v>
      </c>
      <c r="H4685" s="63">
        <f>H4684*G4685</f>
        <v>50479.5</v>
      </c>
      <c r="I4685" s="369"/>
      <c r="J4685" s="44"/>
      <c r="K4685" s="44"/>
    </row>
    <row r="4686" spans="3:15" s="59" customFormat="1" ht="21" customHeight="1">
      <c r="C4686" s="288" t="s">
        <v>1221</v>
      </c>
      <c r="D4686" s="76" t="s">
        <v>1222</v>
      </c>
      <c r="E4686" s="77"/>
      <c r="F4686" s="77"/>
      <c r="G4686" s="78"/>
      <c r="H4686" s="799">
        <f>SUM(H4684:H4685)</f>
        <v>555274.5</v>
      </c>
      <c r="I4686" s="369"/>
      <c r="J4686" s="44"/>
      <c r="K4686" s="44"/>
    </row>
    <row r="4687" spans="3:15" ht="21" customHeight="1"/>
    <row r="4688" spans="3:15" ht="21" customHeight="1">
      <c r="C4688" s="43" t="s">
        <v>8346</v>
      </c>
      <c r="D4688" s="128" t="s">
        <v>4320</v>
      </c>
    </row>
    <row r="4689" spans="3:15" s="59" customFormat="1" ht="21" customHeight="1">
      <c r="C4689" s="147" t="s">
        <v>5485</v>
      </c>
      <c r="D4689" s="794" t="s">
        <v>4321</v>
      </c>
      <c r="E4689" s="795"/>
      <c r="F4689" s="795"/>
      <c r="G4689" s="795"/>
      <c r="H4689" s="795"/>
      <c r="I4689" s="50">
        <f>ROUNDDOWN(H4704,-2)</f>
        <v>227500</v>
      </c>
      <c r="J4689" s="50"/>
      <c r="K4689" s="50"/>
    </row>
    <row r="4690" spans="3:15" s="59" customFormat="1" ht="21" customHeight="1">
      <c r="C4690" s="591" t="s">
        <v>1195</v>
      </c>
      <c r="D4690" s="591" t="s">
        <v>1196</v>
      </c>
      <c r="E4690" s="591" t="s">
        <v>1197</v>
      </c>
      <c r="F4690" s="591" t="s">
        <v>1198</v>
      </c>
      <c r="G4690" s="591" t="s">
        <v>1199</v>
      </c>
      <c r="H4690" s="591" t="s">
        <v>1200</v>
      </c>
      <c r="I4690" s="44"/>
      <c r="J4690" s="44"/>
      <c r="K4690" s="44"/>
    </row>
    <row r="4691" spans="3:15" s="59" customFormat="1" ht="21" customHeight="1">
      <c r="C4691" s="61" t="s">
        <v>1201</v>
      </c>
      <c r="D4691" s="56" t="s">
        <v>1202</v>
      </c>
      <c r="E4691" s="57"/>
      <c r="F4691" s="57"/>
      <c r="G4691" s="57"/>
      <c r="H4691" s="57"/>
      <c r="I4691" s="44"/>
      <c r="J4691" s="44"/>
      <c r="K4691" s="44"/>
      <c r="L4691" s="152" t="s">
        <v>1247</v>
      </c>
    </row>
    <row r="4692" spans="3:15" s="59" customFormat="1" ht="21" customHeight="1">
      <c r="C4692" s="588">
        <v>1</v>
      </c>
      <c r="D4692" s="56" t="s">
        <v>5</v>
      </c>
      <c r="E4692" s="577" t="s">
        <v>6</v>
      </c>
      <c r="F4692" s="62">
        <v>0.13800000000000001</v>
      </c>
      <c r="G4692" s="63">
        <f>VLOOKUP(D4692,upahbahan,3,FALSE)</f>
        <v>100000</v>
      </c>
      <c r="H4692" s="63">
        <f>F4692*G4692</f>
        <v>13800.000000000002</v>
      </c>
      <c r="I4692" s="44"/>
      <c r="J4692" s="44"/>
      <c r="K4692" s="44"/>
      <c r="L4692" s="152" t="s">
        <v>1248</v>
      </c>
      <c r="O4692" s="65">
        <v>0.1</v>
      </c>
    </row>
    <row r="4693" spans="3:15" s="59" customFormat="1" ht="21" customHeight="1">
      <c r="C4693" s="588">
        <v>2</v>
      </c>
      <c r="D4693" s="56" t="s">
        <v>10</v>
      </c>
      <c r="E4693" s="577" t="s">
        <v>6</v>
      </c>
      <c r="F4693" s="62">
        <v>0.23100000000000001</v>
      </c>
      <c r="G4693" s="63">
        <f>VLOOKUP(D4693,upahbahan,3,FALSE)</f>
        <v>135000</v>
      </c>
      <c r="H4693" s="63">
        <f>F4693*G4693</f>
        <v>31185</v>
      </c>
      <c r="I4693" s="44"/>
      <c r="J4693" s="44"/>
      <c r="K4693" s="44"/>
    </row>
    <row r="4694" spans="3:15" s="59" customFormat="1" ht="21" customHeight="1">
      <c r="C4694" s="588">
        <v>3</v>
      </c>
      <c r="D4694" s="56" t="s">
        <v>18</v>
      </c>
      <c r="E4694" s="577" t="s">
        <v>6</v>
      </c>
      <c r="F4694" s="62">
        <v>2.3E-2</v>
      </c>
      <c r="G4694" s="63">
        <f>VLOOKUP(D4694,upahbahan,3,FALSE)</f>
        <v>150000</v>
      </c>
      <c r="H4694" s="63">
        <f>F4694*G4694</f>
        <v>3450</v>
      </c>
      <c r="I4694" s="44"/>
      <c r="J4694" s="44"/>
      <c r="K4694" s="44"/>
    </row>
    <row r="4695" spans="3:15" s="59" customFormat="1" ht="21" customHeight="1">
      <c r="C4695" s="588">
        <v>4</v>
      </c>
      <c r="D4695" s="56" t="s">
        <v>19</v>
      </c>
      <c r="E4695" s="577" t="s">
        <v>6</v>
      </c>
      <c r="F4695" s="62">
        <v>7.0000000000000001E-3</v>
      </c>
      <c r="G4695" s="63">
        <f>VLOOKUP(D4695,upahbahan,3,FALSE)</f>
        <v>160000</v>
      </c>
      <c r="H4695" s="63">
        <f>F4695*G4695</f>
        <v>1120</v>
      </c>
      <c r="I4695" s="44"/>
      <c r="J4695" s="44"/>
      <c r="K4695" s="44"/>
    </row>
    <row r="4696" spans="3:15" s="59" customFormat="1" ht="21" customHeight="1">
      <c r="C4696" s="450" t="s">
        <v>1208</v>
      </c>
      <c r="D4696" s="67"/>
      <c r="E4696" s="67"/>
      <c r="F4696" s="142"/>
      <c r="G4696" s="153"/>
      <c r="H4696" s="63">
        <f>SUM(H4692:H4695)</f>
        <v>49555</v>
      </c>
      <c r="I4696" s="154"/>
      <c r="J4696" s="154"/>
      <c r="K4696" s="154"/>
    </row>
    <row r="4697" spans="3:15" s="59" customFormat="1" ht="21" customHeight="1">
      <c r="C4697" s="61" t="s">
        <v>1209</v>
      </c>
      <c r="D4697" s="56" t="s">
        <v>1210</v>
      </c>
      <c r="E4697" s="57"/>
      <c r="F4697" s="57"/>
      <c r="G4697" s="57"/>
      <c r="H4697" s="57"/>
      <c r="I4697" s="44"/>
      <c r="J4697" s="44"/>
      <c r="K4697" s="44"/>
    </row>
    <row r="4698" spans="3:15" s="59" customFormat="1" ht="21" customHeight="1">
      <c r="C4698" s="61">
        <v>1</v>
      </c>
      <c r="D4698" s="56" t="s">
        <v>4322</v>
      </c>
      <c r="E4698" s="93" t="s">
        <v>4259</v>
      </c>
      <c r="F4698" s="104">
        <v>1.1499999999999999</v>
      </c>
      <c r="G4698" s="63">
        <f>VLOOKUP(D4698,upahbahan,3,FALSE)</f>
        <v>136800</v>
      </c>
      <c r="H4698" s="586">
        <f>G4698*F4698</f>
        <v>157320</v>
      </c>
      <c r="I4698" s="44"/>
      <c r="J4698" s="44"/>
      <c r="K4698" s="44"/>
    </row>
    <row r="4699" spans="3:15" s="59" customFormat="1" ht="21" customHeight="1">
      <c r="C4699" s="450" t="s">
        <v>1214</v>
      </c>
      <c r="D4699" s="67"/>
      <c r="E4699" s="67"/>
      <c r="F4699" s="67"/>
      <c r="G4699" s="69"/>
      <c r="H4699" s="63">
        <f>SUM(H4698:H4698)</f>
        <v>157320</v>
      </c>
      <c r="I4699" s="44"/>
      <c r="J4699" s="44"/>
      <c r="K4699" s="44"/>
    </row>
    <row r="4700" spans="3:15" s="59" customFormat="1" ht="21" customHeight="1">
      <c r="C4700" s="61" t="s">
        <v>1215</v>
      </c>
      <c r="D4700" s="56" t="s">
        <v>1216</v>
      </c>
      <c r="E4700" s="57"/>
      <c r="F4700" s="57"/>
      <c r="G4700" s="57"/>
      <c r="H4700" s="57"/>
      <c r="I4700" s="44"/>
      <c r="J4700" s="44"/>
      <c r="K4700" s="44"/>
    </row>
    <row r="4701" spans="3:15" s="59" customFormat="1" ht="21" customHeight="1">
      <c r="C4701" s="450" t="s">
        <v>1217</v>
      </c>
      <c r="D4701" s="67"/>
      <c r="E4701" s="67"/>
      <c r="F4701" s="67"/>
      <c r="G4701" s="69"/>
      <c r="H4701" s="589">
        <v>0</v>
      </c>
      <c r="I4701" s="44"/>
      <c r="J4701" s="44"/>
      <c r="K4701" s="44"/>
    </row>
    <row r="4702" spans="3:15" s="59" customFormat="1" ht="21" customHeight="1">
      <c r="C4702" s="288" t="s">
        <v>1218</v>
      </c>
      <c r="D4702" s="76" t="s">
        <v>1219</v>
      </c>
      <c r="E4702" s="77"/>
      <c r="F4702" s="77"/>
      <c r="G4702" s="78"/>
      <c r="H4702" s="585">
        <f>H4701+H4699+H4696</f>
        <v>206875</v>
      </c>
      <c r="I4702" s="369"/>
      <c r="J4702" s="44"/>
      <c r="K4702" s="44"/>
    </row>
    <row r="4703" spans="3:15" s="59" customFormat="1" ht="21" customHeight="1">
      <c r="C4703" s="288" t="s">
        <v>1220</v>
      </c>
      <c r="D4703" s="76" t="s">
        <v>1321</v>
      </c>
      <c r="E4703" s="77"/>
      <c r="F4703" s="78"/>
      <c r="G4703" s="80">
        <v>0.1</v>
      </c>
      <c r="H4703" s="63">
        <f>H4702*G4703</f>
        <v>20687.5</v>
      </c>
      <c r="I4703" s="369"/>
      <c r="J4703" s="44"/>
      <c r="K4703" s="44"/>
    </row>
    <row r="4704" spans="3:15" s="59" customFormat="1" ht="21" customHeight="1">
      <c r="C4704" s="288" t="s">
        <v>1221</v>
      </c>
      <c r="D4704" s="76" t="s">
        <v>1222</v>
      </c>
      <c r="E4704" s="77"/>
      <c r="F4704" s="77"/>
      <c r="G4704" s="78"/>
      <c r="H4704" s="799">
        <f>SUM(H4702:H4703)</f>
        <v>227562.5</v>
      </c>
      <c r="I4704" s="369"/>
      <c r="J4704" s="44"/>
      <c r="K4704" s="44"/>
    </row>
    <row r="4705" spans="3:15" ht="21" customHeight="1"/>
    <row r="4706" spans="3:15" s="59" customFormat="1" ht="21" customHeight="1">
      <c r="C4706" s="147" t="s">
        <v>5486</v>
      </c>
      <c r="D4706" s="794" t="s">
        <v>4323</v>
      </c>
      <c r="E4706" s="795"/>
      <c r="F4706" s="795"/>
      <c r="G4706" s="795"/>
      <c r="H4706" s="795"/>
      <c r="I4706" s="50">
        <f>ROUNDDOWN(H4721,-2)</f>
        <v>292500</v>
      </c>
      <c r="J4706" s="50"/>
      <c r="K4706" s="50"/>
    </row>
    <row r="4707" spans="3:15" s="59" customFormat="1" ht="21" customHeight="1">
      <c r="C4707" s="591" t="s">
        <v>1195</v>
      </c>
      <c r="D4707" s="591" t="s">
        <v>1196</v>
      </c>
      <c r="E4707" s="591" t="s">
        <v>1197</v>
      </c>
      <c r="F4707" s="591" t="s">
        <v>1198</v>
      </c>
      <c r="G4707" s="591" t="s">
        <v>1199</v>
      </c>
      <c r="H4707" s="591" t="s">
        <v>1200</v>
      </c>
      <c r="I4707" s="44"/>
      <c r="J4707" s="44"/>
      <c r="K4707" s="44"/>
    </row>
    <row r="4708" spans="3:15" s="59" customFormat="1" ht="21" customHeight="1">
      <c r="C4708" s="61" t="s">
        <v>1201</v>
      </c>
      <c r="D4708" s="56" t="s">
        <v>1202</v>
      </c>
      <c r="E4708" s="57"/>
      <c r="F4708" s="57"/>
      <c r="G4708" s="57"/>
      <c r="H4708" s="57"/>
      <c r="I4708" s="44"/>
      <c r="J4708" s="44"/>
      <c r="K4708" s="44"/>
      <c r="L4708" s="152" t="s">
        <v>1247</v>
      </c>
    </row>
    <row r="4709" spans="3:15" s="59" customFormat="1" ht="21" customHeight="1">
      <c r="C4709" s="588">
        <v>1</v>
      </c>
      <c r="D4709" s="56" t="s">
        <v>5</v>
      </c>
      <c r="E4709" s="577" t="s">
        <v>6</v>
      </c>
      <c r="F4709" s="62">
        <v>0.17299999999999999</v>
      </c>
      <c r="G4709" s="63">
        <f>VLOOKUP(D4709,upahbahan,3,FALSE)</f>
        <v>100000</v>
      </c>
      <c r="H4709" s="63">
        <f>F4709*G4709</f>
        <v>17300</v>
      </c>
      <c r="I4709" s="44"/>
      <c r="J4709" s="44"/>
      <c r="K4709" s="44"/>
      <c r="L4709" s="152" t="s">
        <v>1248</v>
      </c>
      <c r="O4709" s="65">
        <v>0.1</v>
      </c>
    </row>
    <row r="4710" spans="3:15" s="59" customFormat="1" ht="21" customHeight="1">
      <c r="C4710" s="588">
        <v>2</v>
      </c>
      <c r="D4710" s="56" t="s">
        <v>10</v>
      </c>
      <c r="E4710" s="577" t="s">
        <v>6</v>
      </c>
      <c r="F4710" s="62">
        <v>0.28899999999999998</v>
      </c>
      <c r="G4710" s="63">
        <f>VLOOKUP(D4710,upahbahan,3,FALSE)</f>
        <v>135000</v>
      </c>
      <c r="H4710" s="63">
        <f>F4710*G4710</f>
        <v>39015</v>
      </c>
      <c r="I4710" s="44"/>
      <c r="J4710" s="44"/>
      <c r="K4710" s="44"/>
    </row>
    <row r="4711" spans="3:15" s="59" customFormat="1" ht="21" customHeight="1">
      <c r="C4711" s="588">
        <v>3</v>
      </c>
      <c r="D4711" s="56" t="s">
        <v>18</v>
      </c>
      <c r="E4711" s="577" t="s">
        <v>6</v>
      </c>
      <c r="F4711" s="62">
        <v>2.9000000000000001E-2</v>
      </c>
      <c r="G4711" s="63">
        <f>VLOOKUP(D4711,upahbahan,3,FALSE)</f>
        <v>150000</v>
      </c>
      <c r="H4711" s="63">
        <f>F4711*G4711</f>
        <v>4350</v>
      </c>
      <c r="I4711" s="44"/>
      <c r="J4711" s="44"/>
      <c r="K4711" s="44"/>
    </row>
    <row r="4712" spans="3:15" s="59" customFormat="1" ht="21" customHeight="1">
      <c r="C4712" s="588">
        <v>4</v>
      </c>
      <c r="D4712" s="56" t="s">
        <v>19</v>
      </c>
      <c r="E4712" s="577" t="s">
        <v>6</v>
      </c>
      <c r="F4712" s="62">
        <v>8.9999999999999993E-3</v>
      </c>
      <c r="G4712" s="63">
        <f>VLOOKUP(D4712,upahbahan,3,FALSE)</f>
        <v>160000</v>
      </c>
      <c r="H4712" s="63">
        <f>F4712*G4712</f>
        <v>1440</v>
      </c>
      <c r="I4712" s="44"/>
      <c r="J4712" s="44"/>
      <c r="K4712" s="44"/>
    </row>
    <row r="4713" spans="3:15" s="59" customFormat="1" ht="21" customHeight="1">
      <c r="C4713" s="450" t="s">
        <v>1208</v>
      </c>
      <c r="D4713" s="67"/>
      <c r="E4713" s="67"/>
      <c r="F4713" s="142"/>
      <c r="G4713" s="153"/>
      <c r="H4713" s="63">
        <f>SUM(H4709:H4712)</f>
        <v>62105</v>
      </c>
      <c r="I4713" s="154"/>
      <c r="J4713" s="154"/>
      <c r="K4713" s="154"/>
    </row>
    <row r="4714" spans="3:15" s="59" customFormat="1" ht="21" customHeight="1">
      <c r="C4714" s="61" t="s">
        <v>1209</v>
      </c>
      <c r="D4714" s="56" t="s">
        <v>1210</v>
      </c>
      <c r="E4714" s="57"/>
      <c r="F4714" s="57"/>
      <c r="G4714" s="57"/>
      <c r="H4714" s="57"/>
      <c r="I4714" s="44"/>
      <c r="J4714" s="44"/>
      <c r="K4714" s="44"/>
    </row>
    <row r="4715" spans="3:15" s="59" customFormat="1" ht="21" customHeight="1">
      <c r="C4715" s="61">
        <v>1</v>
      </c>
      <c r="D4715" s="56" t="s">
        <v>4324</v>
      </c>
      <c r="E4715" s="93" t="s">
        <v>4259</v>
      </c>
      <c r="F4715" s="104">
        <v>1.25</v>
      </c>
      <c r="G4715" s="63">
        <f>VLOOKUP(D4715,upahbahan,3,FALSE)</f>
        <v>163100</v>
      </c>
      <c r="H4715" s="586">
        <f>G4715*F4715</f>
        <v>203875</v>
      </c>
      <c r="I4715" s="44"/>
      <c r="J4715" s="44"/>
      <c r="K4715" s="44"/>
    </row>
    <row r="4716" spans="3:15" s="59" customFormat="1" ht="21" customHeight="1">
      <c r="C4716" s="450" t="s">
        <v>1214</v>
      </c>
      <c r="D4716" s="67"/>
      <c r="E4716" s="67"/>
      <c r="F4716" s="67"/>
      <c r="G4716" s="69"/>
      <c r="H4716" s="63">
        <f>SUM(H4715:H4715)</f>
        <v>203875</v>
      </c>
      <c r="I4716" s="44"/>
      <c r="J4716" s="44"/>
      <c r="K4716" s="44"/>
    </row>
    <row r="4717" spans="3:15" s="59" customFormat="1" ht="21" customHeight="1">
      <c r="C4717" s="61" t="s">
        <v>1215</v>
      </c>
      <c r="D4717" s="56" t="s">
        <v>1216</v>
      </c>
      <c r="E4717" s="57"/>
      <c r="F4717" s="57"/>
      <c r="G4717" s="57"/>
      <c r="H4717" s="57"/>
      <c r="I4717" s="44"/>
      <c r="J4717" s="44"/>
      <c r="K4717" s="44"/>
    </row>
    <row r="4718" spans="3:15" s="59" customFormat="1" ht="21" customHeight="1">
      <c r="C4718" s="450" t="s">
        <v>1217</v>
      </c>
      <c r="D4718" s="67"/>
      <c r="E4718" s="67"/>
      <c r="F4718" s="67"/>
      <c r="G4718" s="69"/>
      <c r="H4718" s="589">
        <v>0</v>
      </c>
      <c r="I4718" s="44"/>
      <c r="J4718" s="44"/>
      <c r="K4718" s="44"/>
    </row>
    <row r="4719" spans="3:15" s="59" customFormat="1" ht="21" customHeight="1">
      <c r="C4719" s="288" t="s">
        <v>1218</v>
      </c>
      <c r="D4719" s="76" t="s">
        <v>1219</v>
      </c>
      <c r="E4719" s="77"/>
      <c r="F4719" s="77"/>
      <c r="G4719" s="78"/>
      <c r="H4719" s="585">
        <f>H4718+H4716+H4713</f>
        <v>265980</v>
      </c>
      <c r="I4719" s="369"/>
      <c r="J4719" s="44"/>
      <c r="K4719" s="44"/>
    </row>
    <row r="4720" spans="3:15" s="59" customFormat="1" ht="21" customHeight="1">
      <c r="C4720" s="288" t="s">
        <v>1220</v>
      </c>
      <c r="D4720" s="76" t="s">
        <v>1321</v>
      </c>
      <c r="E4720" s="77"/>
      <c r="F4720" s="78"/>
      <c r="G4720" s="80">
        <v>0.1</v>
      </c>
      <c r="H4720" s="63">
        <f>H4719*G4720</f>
        <v>26598</v>
      </c>
      <c r="I4720" s="369"/>
      <c r="J4720" s="44"/>
      <c r="K4720" s="44"/>
    </row>
    <row r="4721" spans="3:15" s="59" customFormat="1" ht="21" customHeight="1">
      <c r="C4721" s="288" t="s">
        <v>1221</v>
      </c>
      <c r="D4721" s="76" t="s">
        <v>1222</v>
      </c>
      <c r="E4721" s="77"/>
      <c r="F4721" s="77"/>
      <c r="G4721" s="78"/>
      <c r="H4721" s="799">
        <f>SUM(H4719:H4720)</f>
        <v>292578</v>
      </c>
      <c r="I4721" s="369"/>
      <c r="J4721" s="44"/>
      <c r="K4721" s="44"/>
    </row>
    <row r="4722" spans="3:15" ht="21" customHeight="1"/>
    <row r="4723" spans="3:15" s="59" customFormat="1" ht="21" customHeight="1">
      <c r="C4723" s="147" t="s">
        <v>5488</v>
      </c>
      <c r="D4723" s="794" t="s">
        <v>4325</v>
      </c>
      <c r="E4723" s="795"/>
      <c r="F4723" s="795"/>
      <c r="G4723" s="795"/>
      <c r="H4723" s="795"/>
      <c r="I4723" s="50">
        <f>ROUNDDOWN(H4738,-2)</f>
        <v>356400</v>
      </c>
      <c r="J4723" s="50"/>
      <c r="K4723" s="50"/>
    </row>
    <row r="4724" spans="3:15" s="59" customFormat="1" ht="21" customHeight="1">
      <c r="C4724" s="591" t="s">
        <v>1195</v>
      </c>
      <c r="D4724" s="591" t="s">
        <v>1196</v>
      </c>
      <c r="E4724" s="591" t="s">
        <v>1197</v>
      </c>
      <c r="F4724" s="591" t="s">
        <v>1198</v>
      </c>
      <c r="G4724" s="591" t="s">
        <v>1199</v>
      </c>
      <c r="H4724" s="591" t="s">
        <v>1200</v>
      </c>
      <c r="I4724" s="44"/>
      <c r="J4724" s="44"/>
      <c r="K4724" s="44"/>
    </row>
    <row r="4725" spans="3:15" s="59" customFormat="1" ht="21" customHeight="1">
      <c r="C4725" s="61" t="s">
        <v>1201</v>
      </c>
      <c r="D4725" s="56" t="s">
        <v>1202</v>
      </c>
      <c r="E4725" s="57"/>
      <c r="F4725" s="57"/>
      <c r="G4725" s="57"/>
      <c r="H4725" s="57"/>
      <c r="I4725" s="44"/>
      <c r="J4725" s="44"/>
      <c r="K4725" s="44"/>
      <c r="L4725" s="152" t="s">
        <v>1247</v>
      </c>
    </row>
    <row r="4726" spans="3:15" s="59" customFormat="1" ht="21" customHeight="1">
      <c r="C4726" s="588">
        <v>1</v>
      </c>
      <c r="D4726" s="56" t="s">
        <v>5</v>
      </c>
      <c r="E4726" s="577" t="s">
        <v>6</v>
      </c>
      <c r="F4726" s="62">
        <v>0.20799999999999999</v>
      </c>
      <c r="G4726" s="63">
        <f>VLOOKUP(D4726,upahbahan,3,FALSE)</f>
        <v>100000</v>
      </c>
      <c r="H4726" s="63">
        <f>F4726*G4726</f>
        <v>20800</v>
      </c>
      <c r="I4726" s="44"/>
      <c r="J4726" s="44"/>
      <c r="K4726" s="44"/>
      <c r="L4726" s="152" t="s">
        <v>1248</v>
      </c>
      <c r="O4726" s="65">
        <v>0.1</v>
      </c>
    </row>
    <row r="4727" spans="3:15" s="59" customFormat="1" ht="21" customHeight="1">
      <c r="C4727" s="588">
        <v>2</v>
      </c>
      <c r="D4727" s="56" t="s">
        <v>10</v>
      </c>
      <c r="E4727" s="577" t="s">
        <v>6</v>
      </c>
      <c r="F4727" s="62">
        <v>0.34799999999999998</v>
      </c>
      <c r="G4727" s="63">
        <f>VLOOKUP(D4727,upahbahan,3,FALSE)</f>
        <v>135000</v>
      </c>
      <c r="H4727" s="63">
        <f>F4727*G4727</f>
        <v>46980</v>
      </c>
      <c r="I4727" s="44"/>
      <c r="J4727" s="44"/>
      <c r="K4727" s="44"/>
    </row>
    <row r="4728" spans="3:15" s="59" customFormat="1" ht="21" customHeight="1">
      <c r="C4728" s="588">
        <v>3</v>
      </c>
      <c r="D4728" s="56" t="s">
        <v>18</v>
      </c>
      <c r="E4728" s="577" t="s">
        <v>6</v>
      </c>
      <c r="F4728" s="62">
        <v>3.5000000000000003E-2</v>
      </c>
      <c r="G4728" s="63">
        <f>VLOOKUP(D4728,upahbahan,3,FALSE)</f>
        <v>150000</v>
      </c>
      <c r="H4728" s="63">
        <f>F4728*G4728</f>
        <v>5250.0000000000009</v>
      </c>
      <c r="I4728" s="44"/>
      <c r="J4728" s="44"/>
      <c r="K4728" s="44"/>
    </row>
    <row r="4729" spans="3:15" s="59" customFormat="1" ht="21" customHeight="1">
      <c r="C4729" s="588">
        <v>4</v>
      </c>
      <c r="D4729" s="56" t="s">
        <v>19</v>
      </c>
      <c r="E4729" s="577" t="s">
        <v>6</v>
      </c>
      <c r="F4729" s="62">
        <v>0.01</v>
      </c>
      <c r="G4729" s="63">
        <f>VLOOKUP(D4729,upahbahan,3,FALSE)</f>
        <v>160000</v>
      </c>
      <c r="H4729" s="63">
        <f>F4729*G4729</f>
        <v>1600</v>
      </c>
      <c r="I4729" s="44"/>
      <c r="J4729" s="44"/>
      <c r="K4729" s="44"/>
    </row>
    <row r="4730" spans="3:15" s="59" customFormat="1" ht="21" customHeight="1">
      <c r="C4730" s="450" t="s">
        <v>1208</v>
      </c>
      <c r="D4730" s="67"/>
      <c r="E4730" s="67"/>
      <c r="F4730" s="142"/>
      <c r="G4730" s="153"/>
      <c r="H4730" s="63">
        <f>SUM(H4726:H4729)</f>
        <v>74630</v>
      </c>
      <c r="I4730" s="154"/>
      <c r="J4730" s="154"/>
      <c r="K4730" s="154"/>
    </row>
    <row r="4731" spans="3:15" s="59" customFormat="1" ht="21" customHeight="1">
      <c r="C4731" s="61" t="s">
        <v>1209</v>
      </c>
      <c r="D4731" s="56" t="s">
        <v>1210</v>
      </c>
      <c r="E4731" s="57"/>
      <c r="F4731" s="57"/>
      <c r="G4731" s="57"/>
      <c r="H4731" s="57"/>
      <c r="I4731" s="44"/>
      <c r="J4731" s="44"/>
      <c r="K4731" s="44"/>
    </row>
    <row r="4732" spans="3:15" s="59" customFormat="1" ht="21" customHeight="1">
      <c r="C4732" s="61">
        <v>1</v>
      </c>
      <c r="D4732" s="56" t="s">
        <v>4326</v>
      </c>
      <c r="E4732" s="93" t="s">
        <v>4259</v>
      </c>
      <c r="F4732" s="104">
        <v>1.25</v>
      </c>
      <c r="G4732" s="63">
        <f>VLOOKUP(D4732,upahbahan,3,FALSE)</f>
        <v>199500</v>
      </c>
      <c r="H4732" s="586">
        <f>G4732*F4732</f>
        <v>249375</v>
      </c>
      <c r="I4732" s="44"/>
      <c r="J4732" s="44"/>
      <c r="K4732" s="44"/>
    </row>
    <row r="4733" spans="3:15" s="59" customFormat="1" ht="21" customHeight="1">
      <c r="C4733" s="450" t="s">
        <v>1214</v>
      </c>
      <c r="D4733" s="67"/>
      <c r="E4733" s="67"/>
      <c r="F4733" s="67"/>
      <c r="G4733" s="69"/>
      <c r="H4733" s="63">
        <f>SUM(H4732:H4732)</f>
        <v>249375</v>
      </c>
      <c r="I4733" s="44"/>
      <c r="J4733" s="44"/>
      <c r="K4733" s="44"/>
    </row>
    <row r="4734" spans="3:15" s="59" customFormat="1" ht="21" customHeight="1">
      <c r="C4734" s="61" t="s">
        <v>1215</v>
      </c>
      <c r="D4734" s="56" t="s">
        <v>1216</v>
      </c>
      <c r="E4734" s="57"/>
      <c r="F4734" s="57"/>
      <c r="G4734" s="57"/>
      <c r="H4734" s="57"/>
      <c r="I4734" s="44"/>
      <c r="J4734" s="44"/>
      <c r="K4734" s="44"/>
    </row>
    <row r="4735" spans="3:15" s="59" customFormat="1" ht="21" customHeight="1">
      <c r="C4735" s="450" t="s">
        <v>1217</v>
      </c>
      <c r="D4735" s="67"/>
      <c r="E4735" s="67"/>
      <c r="F4735" s="67"/>
      <c r="G4735" s="69"/>
      <c r="H4735" s="589">
        <v>0</v>
      </c>
      <c r="I4735" s="44"/>
      <c r="J4735" s="44"/>
      <c r="K4735" s="44"/>
    </row>
    <row r="4736" spans="3:15" s="59" customFormat="1" ht="21" customHeight="1">
      <c r="C4736" s="288" t="s">
        <v>1218</v>
      </c>
      <c r="D4736" s="76" t="s">
        <v>1219</v>
      </c>
      <c r="E4736" s="77"/>
      <c r="F4736" s="77"/>
      <c r="G4736" s="78"/>
      <c r="H4736" s="585">
        <f>H4735+H4733+H4730</f>
        <v>324005</v>
      </c>
      <c r="I4736" s="369"/>
      <c r="J4736" s="44"/>
      <c r="K4736" s="44"/>
    </row>
    <row r="4737" spans="3:15" s="59" customFormat="1" ht="21" customHeight="1">
      <c r="C4737" s="288" t="s">
        <v>1220</v>
      </c>
      <c r="D4737" s="76" t="s">
        <v>1321</v>
      </c>
      <c r="E4737" s="77"/>
      <c r="F4737" s="78"/>
      <c r="G4737" s="80">
        <v>0.1</v>
      </c>
      <c r="H4737" s="63">
        <f>H4736*G4737</f>
        <v>32400.5</v>
      </c>
      <c r="I4737" s="369"/>
      <c r="J4737" s="44"/>
      <c r="K4737" s="44"/>
    </row>
    <row r="4738" spans="3:15" s="59" customFormat="1" ht="21" customHeight="1">
      <c r="C4738" s="288" t="s">
        <v>1221</v>
      </c>
      <c r="D4738" s="76" t="s">
        <v>1222</v>
      </c>
      <c r="E4738" s="77"/>
      <c r="F4738" s="77"/>
      <c r="G4738" s="78"/>
      <c r="H4738" s="799">
        <f>SUM(H4736:H4737)</f>
        <v>356405.5</v>
      </c>
      <c r="I4738" s="369"/>
      <c r="J4738" s="44"/>
      <c r="K4738" s="44"/>
    </row>
    <row r="4739" spans="3:15" ht="21" customHeight="1"/>
    <row r="4740" spans="3:15" s="59" customFormat="1" ht="21" customHeight="1">
      <c r="C4740" s="147" t="s">
        <v>5489</v>
      </c>
      <c r="D4740" s="794" t="s">
        <v>4327</v>
      </c>
      <c r="E4740" s="795"/>
      <c r="F4740" s="795"/>
      <c r="G4740" s="795"/>
      <c r="H4740" s="795"/>
      <c r="I4740" s="50">
        <f>ROUNDDOWN(H4755,-2)</f>
        <v>518800</v>
      </c>
      <c r="J4740" s="50"/>
      <c r="K4740" s="50"/>
    </row>
    <row r="4741" spans="3:15" s="59" customFormat="1" ht="21" customHeight="1">
      <c r="C4741" s="591" t="s">
        <v>1195</v>
      </c>
      <c r="D4741" s="591" t="s">
        <v>1196</v>
      </c>
      <c r="E4741" s="591" t="s">
        <v>1197</v>
      </c>
      <c r="F4741" s="591" t="s">
        <v>1198</v>
      </c>
      <c r="G4741" s="591" t="s">
        <v>1199</v>
      </c>
      <c r="H4741" s="591" t="s">
        <v>1200</v>
      </c>
      <c r="I4741" s="44"/>
      <c r="J4741" s="44"/>
      <c r="K4741" s="44"/>
    </row>
    <row r="4742" spans="3:15" s="59" customFormat="1" ht="21" customHeight="1">
      <c r="C4742" s="61" t="s">
        <v>1201</v>
      </c>
      <c r="D4742" s="56" t="s">
        <v>1202</v>
      </c>
      <c r="E4742" s="57"/>
      <c r="F4742" s="57"/>
      <c r="G4742" s="57"/>
      <c r="H4742" s="57"/>
      <c r="I4742" s="44"/>
      <c r="J4742" s="44"/>
      <c r="K4742" s="44"/>
      <c r="L4742" s="152" t="s">
        <v>1247</v>
      </c>
    </row>
    <row r="4743" spans="3:15" s="59" customFormat="1" ht="21" customHeight="1">
      <c r="C4743" s="588">
        <v>1</v>
      </c>
      <c r="D4743" s="56" t="s">
        <v>5</v>
      </c>
      <c r="E4743" s="577" t="s">
        <v>6</v>
      </c>
      <c r="F4743" s="62">
        <v>0.26900000000000002</v>
      </c>
      <c r="G4743" s="63">
        <f>VLOOKUP(D4743,upahbahan,3,FALSE)</f>
        <v>100000</v>
      </c>
      <c r="H4743" s="63">
        <f>F4743*G4743</f>
        <v>26900</v>
      </c>
      <c r="I4743" s="44"/>
      <c r="J4743" s="44"/>
      <c r="K4743" s="44"/>
      <c r="L4743" s="152" t="s">
        <v>1248</v>
      </c>
      <c r="O4743" s="65">
        <v>0.1</v>
      </c>
    </row>
    <row r="4744" spans="3:15" s="59" customFormat="1" ht="21" customHeight="1">
      <c r="C4744" s="588">
        <v>2</v>
      </c>
      <c r="D4744" s="56" t="s">
        <v>10</v>
      </c>
      <c r="E4744" s="577" t="s">
        <v>6</v>
      </c>
      <c r="F4744" s="62">
        <v>0.44900000000000001</v>
      </c>
      <c r="G4744" s="63">
        <f>VLOOKUP(D4744,upahbahan,3,FALSE)</f>
        <v>135000</v>
      </c>
      <c r="H4744" s="63">
        <f>F4744*G4744</f>
        <v>60615</v>
      </c>
      <c r="I4744" s="44"/>
      <c r="J4744" s="44"/>
      <c r="K4744" s="44"/>
    </row>
    <row r="4745" spans="3:15" s="59" customFormat="1" ht="21" customHeight="1">
      <c r="C4745" s="588">
        <v>3</v>
      </c>
      <c r="D4745" s="56" t="s">
        <v>18</v>
      </c>
      <c r="E4745" s="577" t="s">
        <v>6</v>
      </c>
      <c r="F4745" s="62">
        <v>4.4999999999999998E-2</v>
      </c>
      <c r="G4745" s="63">
        <f>VLOOKUP(D4745,upahbahan,3,FALSE)</f>
        <v>150000</v>
      </c>
      <c r="H4745" s="63">
        <f>F4745*G4745</f>
        <v>6750</v>
      </c>
      <c r="I4745" s="44"/>
      <c r="J4745" s="44"/>
      <c r="K4745" s="44"/>
    </row>
    <row r="4746" spans="3:15" s="59" customFormat="1" ht="21" customHeight="1">
      <c r="C4746" s="588">
        <v>4</v>
      </c>
      <c r="D4746" s="56" t="s">
        <v>19</v>
      </c>
      <c r="E4746" s="577" t="s">
        <v>6</v>
      </c>
      <c r="F4746" s="62">
        <v>1.2999999999999999E-2</v>
      </c>
      <c r="G4746" s="63">
        <f>VLOOKUP(D4746,upahbahan,3,FALSE)</f>
        <v>160000</v>
      </c>
      <c r="H4746" s="63">
        <f>F4746*G4746</f>
        <v>2080</v>
      </c>
      <c r="I4746" s="44"/>
      <c r="J4746" s="44"/>
      <c r="K4746" s="44"/>
    </row>
    <row r="4747" spans="3:15" s="59" customFormat="1" ht="21" customHeight="1">
      <c r="C4747" s="450" t="s">
        <v>1208</v>
      </c>
      <c r="D4747" s="67"/>
      <c r="E4747" s="67"/>
      <c r="F4747" s="142"/>
      <c r="G4747" s="153"/>
      <c r="H4747" s="63">
        <f>SUM(H4743:H4746)</f>
        <v>96345</v>
      </c>
      <c r="I4747" s="154"/>
      <c r="J4747" s="154"/>
      <c r="K4747" s="154"/>
    </row>
    <row r="4748" spans="3:15" s="59" customFormat="1" ht="21" customHeight="1">
      <c r="C4748" s="61" t="s">
        <v>1209</v>
      </c>
      <c r="D4748" s="56" t="s">
        <v>1210</v>
      </c>
      <c r="E4748" s="57"/>
      <c r="F4748" s="57"/>
      <c r="G4748" s="57"/>
      <c r="H4748" s="57"/>
      <c r="I4748" s="44"/>
      <c r="J4748" s="44"/>
      <c r="K4748" s="44"/>
    </row>
    <row r="4749" spans="3:15" s="59" customFormat="1" ht="21" customHeight="1">
      <c r="C4749" s="61">
        <v>1</v>
      </c>
      <c r="D4749" s="56" t="s">
        <v>4328</v>
      </c>
      <c r="E4749" s="93" t="s">
        <v>4259</v>
      </c>
      <c r="F4749" s="104">
        <v>1.25</v>
      </c>
      <c r="G4749" s="63">
        <f>VLOOKUP(D4749,upahbahan,3,FALSE)</f>
        <v>300300</v>
      </c>
      <c r="H4749" s="586">
        <f>G4749*F4749</f>
        <v>375375</v>
      </c>
      <c r="I4749" s="44"/>
      <c r="J4749" s="44"/>
      <c r="K4749" s="44"/>
    </row>
    <row r="4750" spans="3:15" s="59" customFormat="1" ht="21" customHeight="1">
      <c r="C4750" s="450" t="s">
        <v>1214</v>
      </c>
      <c r="D4750" s="67"/>
      <c r="E4750" s="67"/>
      <c r="F4750" s="67"/>
      <c r="G4750" s="69"/>
      <c r="H4750" s="63">
        <f>SUM(H4749:H4749)</f>
        <v>375375</v>
      </c>
      <c r="I4750" s="44"/>
      <c r="J4750" s="44"/>
      <c r="K4750" s="44"/>
    </row>
    <row r="4751" spans="3:15" s="59" customFormat="1" ht="21" customHeight="1">
      <c r="C4751" s="61" t="s">
        <v>1215</v>
      </c>
      <c r="D4751" s="56" t="s">
        <v>1216</v>
      </c>
      <c r="E4751" s="57"/>
      <c r="F4751" s="57"/>
      <c r="G4751" s="57"/>
      <c r="H4751" s="57"/>
      <c r="I4751" s="44"/>
      <c r="J4751" s="44"/>
      <c r="K4751" s="44"/>
    </row>
    <row r="4752" spans="3:15" s="59" customFormat="1" ht="21" customHeight="1">
      <c r="C4752" s="450" t="s">
        <v>1217</v>
      </c>
      <c r="D4752" s="67"/>
      <c r="E4752" s="67"/>
      <c r="F4752" s="67"/>
      <c r="G4752" s="69"/>
      <c r="H4752" s="589">
        <v>0</v>
      </c>
      <c r="I4752" s="44"/>
      <c r="J4752" s="44"/>
      <c r="K4752" s="44"/>
    </row>
    <row r="4753" spans="3:15" s="59" customFormat="1" ht="21" customHeight="1">
      <c r="C4753" s="288" t="s">
        <v>1218</v>
      </c>
      <c r="D4753" s="76" t="s">
        <v>1219</v>
      </c>
      <c r="E4753" s="77"/>
      <c r="F4753" s="77"/>
      <c r="G4753" s="78"/>
      <c r="H4753" s="585">
        <f>H4752+H4750+H4747</f>
        <v>471720</v>
      </c>
      <c r="I4753" s="369"/>
      <c r="J4753" s="44"/>
      <c r="K4753" s="44"/>
    </row>
    <row r="4754" spans="3:15" s="59" customFormat="1" ht="21" customHeight="1">
      <c r="C4754" s="288" t="s">
        <v>1220</v>
      </c>
      <c r="D4754" s="76" t="s">
        <v>1321</v>
      </c>
      <c r="E4754" s="77"/>
      <c r="F4754" s="78"/>
      <c r="G4754" s="80">
        <v>0.1</v>
      </c>
      <c r="H4754" s="63">
        <f>H4753*G4754</f>
        <v>47172</v>
      </c>
      <c r="I4754" s="369"/>
      <c r="J4754" s="44"/>
      <c r="K4754" s="44"/>
    </row>
    <row r="4755" spans="3:15" s="59" customFormat="1" ht="21" customHeight="1">
      <c r="C4755" s="288" t="s">
        <v>1221</v>
      </c>
      <c r="D4755" s="76" t="s">
        <v>1222</v>
      </c>
      <c r="E4755" s="77"/>
      <c r="F4755" s="77"/>
      <c r="G4755" s="78"/>
      <c r="H4755" s="799">
        <f>SUM(H4753:H4754)</f>
        <v>518892</v>
      </c>
      <c r="I4755" s="369"/>
      <c r="J4755" s="44"/>
      <c r="K4755" s="44"/>
    </row>
    <row r="4756" spans="3:15" ht="21" customHeight="1"/>
    <row r="4757" spans="3:15" s="59" customFormat="1" ht="21" customHeight="1">
      <c r="C4757" s="147" t="s">
        <v>5490</v>
      </c>
      <c r="D4757" s="794" t="s">
        <v>4329</v>
      </c>
      <c r="E4757" s="795"/>
      <c r="F4757" s="795"/>
      <c r="G4757" s="795"/>
      <c r="H4757" s="795"/>
      <c r="I4757" s="50">
        <f>ROUNDDOWN(H4772,-2)</f>
        <v>734200</v>
      </c>
      <c r="J4757" s="50"/>
      <c r="K4757" s="50"/>
    </row>
    <row r="4758" spans="3:15" s="59" customFormat="1" ht="21" customHeight="1">
      <c r="C4758" s="591" t="s">
        <v>1195</v>
      </c>
      <c r="D4758" s="591" t="s">
        <v>1196</v>
      </c>
      <c r="E4758" s="591" t="s">
        <v>1197</v>
      </c>
      <c r="F4758" s="591" t="s">
        <v>1198</v>
      </c>
      <c r="G4758" s="591" t="s">
        <v>1199</v>
      </c>
      <c r="H4758" s="591" t="s">
        <v>1200</v>
      </c>
      <c r="I4758" s="44"/>
      <c r="J4758" s="44"/>
      <c r="K4758" s="44"/>
    </row>
    <row r="4759" spans="3:15" s="59" customFormat="1" ht="21" customHeight="1">
      <c r="C4759" s="61" t="s">
        <v>1201</v>
      </c>
      <c r="D4759" s="56" t="s">
        <v>1202</v>
      </c>
      <c r="E4759" s="57"/>
      <c r="F4759" s="57"/>
      <c r="G4759" s="57"/>
      <c r="H4759" s="57"/>
      <c r="I4759" s="44"/>
      <c r="J4759" s="44"/>
      <c r="K4759" s="44"/>
      <c r="L4759" s="152" t="s">
        <v>1247</v>
      </c>
    </row>
    <row r="4760" spans="3:15" s="59" customFormat="1" ht="21" customHeight="1">
      <c r="C4760" s="588">
        <v>1</v>
      </c>
      <c r="D4760" s="56" t="s">
        <v>5</v>
      </c>
      <c r="E4760" s="577" t="s">
        <v>6</v>
      </c>
      <c r="F4760" s="62">
        <v>0.41299999999999998</v>
      </c>
      <c r="G4760" s="63">
        <f>VLOOKUP(D4760,upahbahan,3,FALSE)</f>
        <v>100000</v>
      </c>
      <c r="H4760" s="63">
        <f>F4760*G4760</f>
        <v>41300</v>
      </c>
      <c r="I4760" s="44"/>
      <c r="J4760" s="44"/>
      <c r="K4760" s="44"/>
      <c r="L4760" s="152" t="s">
        <v>1248</v>
      </c>
      <c r="O4760" s="65">
        <v>0.1</v>
      </c>
    </row>
    <row r="4761" spans="3:15" s="59" customFormat="1" ht="21" customHeight="1">
      <c r="C4761" s="588">
        <v>2</v>
      </c>
      <c r="D4761" s="56" t="s">
        <v>10</v>
      </c>
      <c r="E4761" s="577" t="s">
        <v>6</v>
      </c>
      <c r="F4761" s="62">
        <v>0.69</v>
      </c>
      <c r="G4761" s="63">
        <f>VLOOKUP(D4761,upahbahan,3,FALSE)</f>
        <v>135000</v>
      </c>
      <c r="H4761" s="63">
        <f>F4761*G4761</f>
        <v>93150</v>
      </c>
      <c r="I4761" s="44"/>
      <c r="J4761" s="44"/>
      <c r="K4761" s="44"/>
    </row>
    <row r="4762" spans="3:15" s="59" customFormat="1" ht="21" customHeight="1">
      <c r="C4762" s="588">
        <v>3</v>
      </c>
      <c r="D4762" s="56" t="s">
        <v>18</v>
      </c>
      <c r="E4762" s="577" t="s">
        <v>6</v>
      </c>
      <c r="F4762" s="62">
        <v>6.9000000000000006E-2</v>
      </c>
      <c r="G4762" s="63">
        <f>VLOOKUP(D4762,upahbahan,3,FALSE)</f>
        <v>150000</v>
      </c>
      <c r="H4762" s="63">
        <f>F4762*G4762</f>
        <v>10350</v>
      </c>
      <c r="I4762" s="44"/>
      <c r="J4762" s="44"/>
      <c r="K4762" s="44"/>
    </row>
    <row r="4763" spans="3:15" s="59" customFormat="1" ht="21" customHeight="1">
      <c r="C4763" s="588">
        <v>4</v>
      </c>
      <c r="D4763" s="56" t="s">
        <v>19</v>
      </c>
      <c r="E4763" s="577" t="s">
        <v>6</v>
      </c>
      <c r="F4763" s="62">
        <v>2.1000000000000001E-2</v>
      </c>
      <c r="G4763" s="63">
        <f>VLOOKUP(D4763,upahbahan,3,FALSE)</f>
        <v>160000</v>
      </c>
      <c r="H4763" s="63">
        <f>F4763*G4763</f>
        <v>3360</v>
      </c>
      <c r="I4763" s="44"/>
      <c r="J4763" s="44"/>
      <c r="K4763" s="44"/>
    </row>
    <row r="4764" spans="3:15" s="59" customFormat="1" ht="21" customHeight="1">
      <c r="C4764" s="450" t="s">
        <v>1208</v>
      </c>
      <c r="D4764" s="67"/>
      <c r="E4764" s="67"/>
      <c r="F4764" s="142"/>
      <c r="G4764" s="153"/>
      <c r="H4764" s="63">
        <f>SUM(H4760:H4763)</f>
        <v>148160</v>
      </c>
      <c r="I4764" s="154"/>
      <c r="J4764" s="154"/>
      <c r="K4764" s="154"/>
    </row>
    <row r="4765" spans="3:15" s="59" customFormat="1" ht="21" customHeight="1">
      <c r="C4765" s="61" t="s">
        <v>1209</v>
      </c>
      <c r="D4765" s="56" t="s">
        <v>1210</v>
      </c>
      <c r="E4765" s="57"/>
      <c r="F4765" s="57"/>
      <c r="G4765" s="57"/>
      <c r="H4765" s="57"/>
      <c r="I4765" s="44"/>
      <c r="J4765" s="44"/>
      <c r="K4765" s="44"/>
    </row>
    <row r="4766" spans="3:15" s="59" customFormat="1" ht="21" customHeight="1">
      <c r="C4766" s="61">
        <v>1</v>
      </c>
      <c r="D4766" s="56" t="s">
        <v>4330</v>
      </c>
      <c r="E4766" s="93" t="s">
        <v>4259</v>
      </c>
      <c r="F4766" s="104">
        <v>1.25</v>
      </c>
      <c r="G4766" s="63">
        <f>VLOOKUP(D4766,upahbahan,3,FALSE)</f>
        <v>415500</v>
      </c>
      <c r="H4766" s="586">
        <f>G4766*F4766</f>
        <v>519375</v>
      </c>
      <c r="I4766" s="44"/>
      <c r="J4766" s="44"/>
      <c r="K4766" s="44"/>
    </row>
    <row r="4767" spans="3:15" s="59" customFormat="1" ht="21" customHeight="1">
      <c r="C4767" s="450" t="s">
        <v>1214</v>
      </c>
      <c r="D4767" s="67"/>
      <c r="E4767" s="67"/>
      <c r="F4767" s="67"/>
      <c r="G4767" s="69"/>
      <c r="H4767" s="63">
        <f>SUM(H4766:H4766)</f>
        <v>519375</v>
      </c>
      <c r="I4767" s="44"/>
      <c r="J4767" s="44"/>
      <c r="K4767" s="44"/>
    </row>
    <row r="4768" spans="3:15" s="59" customFormat="1" ht="21" customHeight="1">
      <c r="C4768" s="61" t="s">
        <v>1215</v>
      </c>
      <c r="D4768" s="56" t="s">
        <v>1216</v>
      </c>
      <c r="E4768" s="57"/>
      <c r="F4768" s="57"/>
      <c r="G4768" s="57"/>
      <c r="H4768" s="57"/>
      <c r="I4768" s="44"/>
      <c r="J4768" s="44"/>
      <c r="K4768" s="44"/>
    </row>
    <row r="4769" spans="3:15" s="59" customFormat="1" ht="21" customHeight="1">
      <c r="C4769" s="450" t="s">
        <v>1217</v>
      </c>
      <c r="D4769" s="67"/>
      <c r="E4769" s="67"/>
      <c r="F4769" s="67"/>
      <c r="G4769" s="69"/>
      <c r="H4769" s="589">
        <v>0</v>
      </c>
      <c r="I4769" s="44"/>
      <c r="J4769" s="44"/>
      <c r="K4769" s="44"/>
    </row>
    <row r="4770" spans="3:15" s="59" customFormat="1" ht="21" customHeight="1">
      <c r="C4770" s="288" t="s">
        <v>1218</v>
      </c>
      <c r="D4770" s="76" t="s">
        <v>1219</v>
      </c>
      <c r="E4770" s="77"/>
      <c r="F4770" s="77"/>
      <c r="G4770" s="78"/>
      <c r="H4770" s="585">
        <f>H4769+H4767+H4764</f>
        <v>667535</v>
      </c>
      <c r="I4770" s="369"/>
      <c r="J4770" s="44"/>
      <c r="K4770" s="44"/>
    </row>
    <row r="4771" spans="3:15" s="59" customFormat="1" ht="21" customHeight="1">
      <c r="C4771" s="288" t="s">
        <v>1220</v>
      </c>
      <c r="D4771" s="76" t="s">
        <v>1321</v>
      </c>
      <c r="E4771" s="77"/>
      <c r="F4771" s="78"/>
      <c r="G4771" s="80">
        <v>0.1</v>
      </c>
      <c r="H4771" s="63">
        <f>H4770*G4771</f>
        <v>66753.5</v>
      </c>
      <c r="I4771" s="369"/>
      <c r="J4771" s="44"/>
      <c r="K4771" s="44"/>
    </row>
    <row r="4772" spans="3:15" s="59" customFormat="1" ht="21" customHeight="1">
      <c r="C4772" s="288" t="s">
        <v>1221</v>
      </c>
      <c r="D4772" s="76" t="s">
        <v>1222</v>
      </c>
      <c r="E4772" s="77"/>
      <c r="F4772" s="77"/>
      <c r="G4772" s="78"/>
      <c r="H4772" s="799">
        <f>SUM(H4770:H4771)</f>
        <v>734288.5</v>
      </c>
      <c r="I4772" s="369"/>
      <c r="J4772" s="44"/>
      <c r="K4772" s="44"/>
    </row>
    <row r="4773" spans="3:15" ht="21" customHeight="1"/>
    <row r="4774" spans="3:15" s="59" customFormat="1" ht="21" customHeight="1">
      <c r="C4774" s="147" t="s">
        <v>5491</v>
      </c>
      <c r="D4774" s="794" t="s">
        <v>4331</v>
      </c>
      <c r="E4774" s="795"/>
      <c r="F4774" s="795"/>
      <c r="G4774" s="795"/>
      <c r="H4774" s="795"/>
      <c r="I4774" s="50">
        <f>ROUNDDOWN(H4789,-2)</f>
        <v>915000</v>
      </c>
      <c r="J4774" s="50"/>
      <c r="K4774" s="50"/>
    </row>
    <row r="4775" spans="3:15" s="59" customFormat="1" ht="21" customHeight="1">
      <c r="C4775" s="591" t="s">
        <v>1195</v>
      </c>
      <c r="D4775" s="591" t="s">
        <v>1196</v>
      </c>
      <c r="E4775" s="591" t="s">
        <v>1197</v>
      </c>
      <c r="F4775" s="591" t="s">
        <v>1198</v>
      </c>
      <c r="G4775" s="591" t="s">
        <v>1199</v>
      </c>
      <c r="H4775" s="591" t="s">
        <v>1200</v>
      </c>
      <c r="I4775" s="44"/>
      <c r="J4775" s="44"/>
      <c r="K4775" s="44"/>
    </row>
    <row r="4776" spans="3:15" s="59" customFormat="1" ht="21" customHeight="1">
      <c r="C4776" s="61" t="s">
        <v>1201</v>
      </c>
      <c r="D4776" s="56" t="s">
        <v>1202</v>
      </c>
      <c r="E4776" s="57"/>
      <c r="F4776" s="57"/>
      <c r="G4776" s="57"/>
      <c r="H4776" s="57"/>
      <c r="I4776" s="44"/>
      <c r="J4776" s="44"/>
      <c r="K4776" s="44"/>
      <c r="L4776" s="152" t="s">
        <v>1247</v>
      </c>
    </row>
    <row r="4777" spans="3:15" s="59" customFormat="1" ht="21" customHeight="1">
      <c r="C4777" s="588">
        <v>1</v>
      </c>
      <c r="D4777" s="56" t="s">
        <v>5</v>
      </c>
      <c r="E4777" s="577" t="s">
        <v>6</v>
      </c>
      <c r="F4777" s="62">
        <v>0.55000000000000004</v>
      </c>
      <c r="G4777" s="63">
        <f>VLOOKUP(D4777,upahbahan,3,FALSE)</f>
        <v>100000</v>
      </c>
      <c r="H4777" s="63">
        <f>F4777*G4777</f>
        <v>55000.000000000007</v>
      </c>
      <c r="I4777" s="44"/>
      <c r="J4777" s="44"/>
      <c r="K4777" s="44"/>
      <c r="L4777" s="152" t="s">
        <v>1248</v>
      </c>
      <c r="O4777" s="65">
        <v>0.1</v>
      </c>
    </row>
    <row r="4778" spans="3:15" s="59" customFormat="1" ht="21" customHeight="1">
      <c r="C4778" s="588">
        <v>2</v>
      </c>
      <c r="D4778" s="56" t="s">
        <v>10</v>
      </c>
      <c r="E4778" s="577" t="s">
        <v>6</v>
      </c>
      <c r="F4778" s="62">
        <v>0.91900000000000004</v>
      </c>
      <c r="G4778" s="63">
        <f>VLOOKUP(D4778,upahbahan,3,FALSE)</f>
        <v>135000</v>
      </c>
      <c r="H4778" s="63">
        <f>F4778*G4778</f>
        <v>124065</v>
      </c>
      <c r="I4778" s="44"/>
      <c r="J4778" s="44"/>
      <c r="K4778" s="44"/>
    </row>
    <row r="4779" spans="3:15" s="59" customFormat="1" ht="21" customHeight="1">
      <c r="C4779" s="588">
        <v>3</v>
      </c>
      <c r="D4779" s="56" t="s">
        <v>18</v>
      </c>
      <c r="E4779" s="577" t="s">
        <v>6</v>
      </c>
      <c r="F4779" s="62">
        <v>9.1999999999999998E-2</v>
      </c>
      <c r="G4779" s="63">
        <f>VLOOKUP(D4779,upahbahan,3,FALSE)</f>
        <v>150000</v>
      </c>
      <c r="H4779" s="63">
        <f>F4779*G4779</f>
        <v>13800</v>
      </c>
      <c r="I4779" s="44"/>
      <c r="J4779" s="44"/>
      <c r="K4779" s="44"/>
    </row>
    <row r="4780" spans="3:15" s="59" customFormat="1" ht="21" customHeight="1">
      <c r="C4780" s="588">
        <v>4</v>
      </c>
      <c r="D4780" s="56" t="s">
        <v>19</v>
      </c>
      <c r="E4780" s="577" t="s">
        <v>6</v>
      </c>
      <c r="F4780" s="62">
        <v>2.8000000000000001E-2</v>
      </c>
      <c r="G4780" s="63">
        <f>VLOOKUP(D4780,upahbahan,3,FALSE)</f>
        <v>160000</v>
      </c>
      <c r="H4780" s="63">
        <f>F4780*G4780</f>
        <v>4480</v>
      </c>
      <c r="I4780" s="44"/>
      <c r="J4780" s="44"/>
      <c r="K4780" s="44"/>
    </row>
    <row r="4781" spans="3:15" s="59" customFormat="1" ht="21" customHeight="1">
      <c r="C4781" s="450" t="s">
        <v>1208</v>
      </c>
      <c r="D4781" s="67"/>
      <c r="E4781" s="67"/>
      <c r="F4781" s="142"/>
      <c r="G4781" s="153"/>
      <c r="H4781" s="63">
        <f>SUM(H4777:H4780)</f>
        <v>197345</v>
      </c>
      <c r="I4781" s="154"/>
      <c r="J4781" s="154"/>
      <c r="K4781" s="154"/>
    </row>
    <row r="4782" spans="3:15" s="59" customFormat="1" ht="21" customHeight="1">
      <c r="C4782" s="61" t="s">
        <v>1209</v>
      </c>
      <c r="D4782" s="56" t="s">
        <v>1210</v>
      </c>
      <c r="E4782" s="57"/>
      <c r="F4782" s="57"/>
      <c r="G4782" s="57"/>
      <c r="H4782" s="57"/>
      <c r="I4782" s="44"/>
      <c r="J4782" s="44"/>
      <c r="K4782" s="44"/>
    </row>
    <row r="4783" spans="3:15" s="59" customFormat="1" ht="21" customHeight="1">
      <c r="C4783" s="61">
        <v>1</v>
      </c>
      <c r="D4783" s="56" t="s">
        <v>4332</v>
      </c>
      <c r="E4783" s="93" t="s">
        <v>4259</v>
      </c>
      <c r="F4783" s="104">
        <v>1.25</v>
      </c>
      <c r="G4783" s="63">
        <f>VLOOKUP(D4783,upahbahan,3,FALSE)</f>
        <v>507600</v>
      </c>
      <c r="H4783" s="586">
        <f>G4783*F4783</f>
        <v>634500</v>
      </c>
      <c r="I4783" s="44"/>
      <c r="J4783" s="44"/>
      <c r="K4783" s="44"/>
    </row>
    <row r="4784" spans="3:15" s="59" customFormat="1" ht="21" customHeight="1">
      <c r="C4784" s="450" t="s">
        <v>1214</v>
      </c>
      <c r="D4784" s="67"/>
      <c r="E4784" s="67"/>
      <c r="F4784" s="67"/>
      <c r="G4784" s="69"/>
      <c r="H4784" s="63">
        <f>SUM(H4783:H4783)</f>
        <v>634500</v>
      </c>
      <c r="I4784" s="44"/>
      <c r="J4784" s="44"/>
      <c r="K4784" s="44"/>
    </row>
    <row r="4785" spans="3:15" s="59" customFormat="1" ht="21" customHeight="1">
      <c r="C4785" s="61" t="s">
        <v>1215</v>
      </c>
      <c r="D4785" s="56" t="s">
        <v>1216</v>
      </c>
      <c r="E4785" s="57"/>
      <c r="F4785" s="57"/>
      <c r="G4785" s="57"/>
      <c r="H4785" s="57"/>
      <c r="I4785" s="44"/>
      <c r="J4785" s="44"/>
      <c r="K4785" s="44"/>
    </row>
    <row r="4786" spans="3:15" s="59" customFormat="1" ht="21" customHeight="1">
      <c r="C4786" s="450" t="s">
        <v>1217</v>
      </c>
      <c r="D4786" s="67"/>
      <c r="E4786" s="67"/>
      <c r="F4786" s="67"/>
      <c r="G4786" s="69"/>
      <c r="H4786" s="589">
        <v>0</v>
      </c>
      <c r="I4786" s="44"/>
      <c r="J4786" s="44"/>
      <c r="K4786" s="44"/>
    </row>
    <row r="4787" spans="3:15" s="59" customFormat="1" ht="21" customHeight="1">
      <c r="C4787" s="288" t="s">
        <v>1218</v>
      </c>
      <c r="D4787" s="76" t="s">
        <v>1219</v>
      </c>
      <c r="E4787" s="77"/>
      <c r="F4787" s="77"/>
      <c r="G4787" s="78"/>
      <c r="H4787" s="585">
        <f>H4786+H4784+H4781</f>
        <v>831845</v>
      </c>
      <c r="I4787" s="369"/>
      <c r="J4787" s="44"/>
      <c r="K4787" s="44"/>
    </row>
    <row r="4788" spans="3:15" s="59" customFormat="1" ht="21" customHeight="1">
      <c r="C4788" s="288" t="s">
        <v>1220</v>
      </c>
      <c r="D4788" s="76" t="s">
        <v>1321</v>
      </c>
      <c r="E4788" s="77"/>
      <c r="F4788" s="78"/>
      <c r="G4788" s="80">
        <v>0.1</v>
      </c>
      <c r="H4788" s="63">
        <f>H4787*G4788</f>
        <v>83184.5</v>
      </c>
      <c r="I4788" s="369"/>
      <c r="J4788" s="44"/>
      <c r="K4788" s="44"/>
    </row>
    <row r="4789" spans="3:15" s="59" customFormat="1" ht="21" customHeight="1">
      <c r="C4789" s="288" t="s">
        <v>1221</v>
      </c>
      <c r="D4789" s="76" t="s">
        <v>1222</v>
      </c>
      <c r="E4789" s="77"/>
      <c r="F4789" s="77"/>
      <c r="G4789" s="78"/>
      <c r="H4789" s="799">
        <f>SUM(H4787:H4788)</f>
        <v>915029.5</v>
      </c>
      <c r="I4789" s="369"/>
      <c r="J4789" s="44"/>
      <c r="K4789" s="44"/>
    </row>
    <row r="4790" spans="3:15" ht="21" customHeight="1"/>
    <row r="4791" spans="3:15" ht="21" customHeight="1">
      <c r="C4791" s="43" t="s">
        <v>5487</v>
      </c>
      <c r="D4791" s="128" t="s">
        <v>4333</v>
      </c>
    </row>
    <row r="4792" spans="3:15" s="59" customFormat="1" ht="21" customHeight="1">
      <c r="C4792" s="147" t="s">
        <v>5492</v>
      </c>
      <c r="D4792" s="794" t="s">
        <v>4335</v>
      </c>
      <c r="E4792" s="795"/>
      <c r="F4792" s="795"/>
      <c r="G4792" s="795"/>
      <c r="H4792" s="795"/>
      <c r="I4792" s="50">
        <f>ROUNDDOWN(H4807,-2)</f>
        <v>91600</v>
      </c>
      <c r="J4792" s="50"/>
      <c r="K4792" s="50"/>
    </row>
    <row r="4793" spans="3:15" s="59" customFormat="1" ht="21" customHeight="1">
      <c r="C4793" s="591" t="s">
        <v>1195</v>
      </c>
      <c r="D4793" s="591" t="s">
        <v>1196</v>
      </c>
      <c r="E4793" s="591" t="s">
        <v>1197</v>
      </c>
      <c r="F4793" s="591" t="s">
        <v>1198</v>
      </c>
      <c r="G4793" s="591" t="s">
        <v>1199</v>
      </c>
      <c r="H4793" s="591" t="s">
        <v>1200</v>
      </c>
      <c r="I4793" s="44"/>
      <c r="J4793" s="44"/>
      <c r="K4793" s="44"/>
    </row>
    <row r="4794" spans="3:15" s="59" customFormat="1" ht="21" customHeight="1">
      <c r="C4794" s="61" t="s">
        <v>1201</v>
      </c>
      <c r="D4794" s="56" t="s">
        <v>1202</v>
      </c>
      <c r="E4794" s="57"/>
      <c r="F4794" s="57"/>
      <c r="G4794" s="57"/>
      <c r="H4794" s="57"/>
      <c r="I4794" s="44"/>
      <c r="J4794" s="44"/>
      <c r="K4794" s="44"/>
      <c r="L4794" s="152" t="s">
        <v>1247</v>
      </c>
    </row>
    <row r="4795" spans="3:15" s="59" customFormat="1" ht="21" customHeight="1">
      <c r="C4795" s="588">
        <v>1</v>
      </c>
      <c r="D4795" s="56" t="s">
        <v>5</v>
      </c>
      <c r="E4795" s="577" t="s">
        <v>6</v>
      </c>
      <c r="F4795" s="62">
        <v>9.4E-2</v>
      </c>
      <c r="G4795" s="63">
        <f>VLOOKUP(D4795,upahbahan,3,FALSE)</f>
        <v>100000</v>
      </c>
      <c r="H4795" s="63">
        <f>F4795*G4795</f>
        <v>9400</v>
      </c>
      <c r="I4795" s="44"/>
      <c r="J4795" s="44"/>
      <c r="K4795" s="44"/>
      <c r="L4795" s="152" t="s">
        <v>1248</v>
      </c>
      <c r="O4795" s="65">
        <v>0.1</v>
      </c>
    </row>
    <row r="4796" spans="3:15" s="59" customFormat="1" ht="21" customHeight="1">
      <c r="C4796" s="588">
        <v>2</v>
      </c>
      <c r="D4796" s="56" t="s">
        <v>10</v>
      </c>
      <c r="E4796" s="577" t="s">
        <v>6</v>
      </c>
      <c r="F4796" s="62">
        <v>0.157</v>
      </c>
      <c r="G4796" s="63">
        <f>VLOOKUP(D4796,upahbahan,3,FALSE)</f>
        <v>135000</v>
      </c>
      <c r="H4796" s="63">
        <f>F4796*G4796</f>
        <v>21195</v>
      </c>
      <c r="I4796" s="44"/>
      <c r="J4796" s="44"/>
      <c r="K4796" s="44"/>
    </row>
    <row r="4797" spans="3:15" s="59" customFormat="1" ht="21" customHeight="1">
      <c r="C4797" s="588">
        <v>3</v>
      </c>
      <c r="D4797" s="56" t="s">
        <v>18</v>
      </c>
      <c r="E4797" s="577" t="s">
        <v>6</v>
      </c>
      <c r="F4797" s="62">
        <v>1.6E-2</v>
      </c>
      <c r="G4797" s="63">
        <f>VLOOKUP(D4797,upahbahan,3,FALSE)</f>
        <v>150000</v>
      </c>
      <c r="H4797" s="63">
        <f>F4797*G4797</f>
        <v>2400</v>
      </c>
      <c r="I4797" s="44"/>
      <c r="J4797" s="44"/>
      <c r="K4797" s="44"/>
    </row>
    <row r="4798" spans="3:15" s="59" customFormat="1" ht="21" customHeight="1">
      <c r="C4798" s="588">
        <v>4</v>
      </c>
      <c r="D4798" s="56" t="s">
        <v>19</v>
      </c>
      <c r="E4798" s="577" t="s">
        <v>6</v>
      </c>
      <c r="F4798" s="62">
        <v>5.0000000000000001E-3</v>
      </c>
      <c r="G4798" s="63">
        <f>VLOOKUP(D4798,upahbahan,3,FALSE)</f>
        <v>160000</v>
      </c>
      <c r="H4798" s="63">
        <f>F4798*G4798</f>
        <v>800</v>
      </c>
      <c r="I4798" s="44"/>
      <c r="J4798" s="44"/>
      <c r="K4798" s="44"/>
    </row>
    <row r="4799" spans="3:15" s="59" customFormat="1" ht="21" customHeight="1">
      <c r="C4799" s="450" t="s">
        <v>1208</v>
      </c>
      <c r="D4799" s="67"/>
      <c r="E4799" s="67"/>
      <c r="F4799" s="142"/>
      <c r="G4799" s="153"/>
      <c r="H4799" s="63">
        <f>SUM(H4795:H4798)</f>
        <v>33795</v>
      </c>
      <c r="I4799" s="154"/>
      <c r="J4799" s="154"/>
      <c r="K4799" s="154"/>
    </row>
    <row r="4800" spans="3:15" s="59" customFormat="1" ht="21" customHeight="1">
      <c r="C4800" s="61" t="s">
        <v>1209</v>
      </c>
      <c r="D4800" s="56" t="s">
        <v>1210</v>
      </c>
      <c r="E4800" s="57"/>
      <c r="F4800" s="57"/>
      <c r="G4800" s="57"/>
      <c r="H4800" s="57"/>
      <c r="I4800" s="44"/>
      <c r="J4800" s="44"/>
      <c r="K4800" s="44"/>
    </row>
    <row r="4801" spans="3:15" s="59" customFormat="1" ht="21" customHeight="1">
      <c r="C4801" s="61">
        <v>1</v>
      </c>
      <c r="D4801" s="56" t="s">
        <v>4334</v>
      </c>
      <c r="E4801" s="93" t="s">
        <v>4259</v>
      </c>
      <c r="F4801" s="104">
        <v>1.1000000000000001</v>
      </c>
      <c r="G4801" s="63">
        <f>VLOOKUP(D4801,upahbahan,3,FALSE)</f>
        <v>45000</v>
      </c>
      <c r="H4801" s="586">
        <f>G4801*F4801</f>
        <v>49500.000000000007</v>
      </c>
      <c r="I4801" s="44"/>
      <c r="J4801" s="44"/>
      <c r="K4801" s="44"/>
    </row>
    <row r="4802" spans="3:15" s="59" customFormat="1" ht="21" customHeight="1">
      <c r="C4802" s="450" t="s">
        <v>1214</v>
      </c>
      <c r="D4802" s="67"/>
      <c r="E4802" s="67"/>
      <c r="F4802" s="67"/>
      <c r="G4802" s="69"/>
      <c r="H4802" s="63">
        <f>SUM(H4801:H4801)</f>
        <v>49500.000000000007</v>
      </c>
      <c r="I4802" s="44"/>
      <c r="J4802" s="44"/>
      <c r="K4802" s="44"/>
    </row>
    <row r="4803" spans="3:15" s="59" customFormat="1" ht="21" customHeight="1">
      <c r="C4803" s="61" t="s">
        <v>1215</v>
      </c>
      <c r="D4803" s="56" t="s">
        <v>1216</v>
      </c>
      <c r="E4803" s="57"/>
      <c r="F4803" s="57"/>
      <c r="G4803" s="57"/>
      <c r="H4803" s="57"/>
      <c r="I4803" s="44"/>
      <c r="J4803" s="44"/>
      <c r="K4803" s="44"/>
    </row>
    <row r="4804" spans="3:15" s="59" customFormat="1" ht="21" customHeight="1">
      <c r="C4804" s="450" t="s">
        <v>1217</v>
      </c>
      <c r="D4804" s="67"/>
      <c r="E4804" s="67"/>
      <c r="F4804" s="67"/>
      <c r="G4804" s="69"/>
      <c r="H4804" s="589">
        <v>0</v>
      </c>
      <c r="I4804" s="44"/>
      <c r="J4804" s="44"/>
      <c r="K4804" s="44"/>
    </row>
    <row r="4805" spans="3:15" s="59" customFormat="1" ht="21" customHeight="1">
      <c r="C4805" s="288" t="s">
        <v>1218</v>
      </c>
      <c r="D4805" s="76" t="s">
        <v>1219</v>
      </c>
      <c r="E4805" s="77"/>
      <c r="F4805" s="77"/>
      <c r="G4805" s="78"/>
      <c r="H4805" s="585">
        <f>H4804+H4802+H4799</f>
        <v>83295</v>
      </c>
      <c r="I4805" s="369"/>
      <c r="J4805" s="44"/>
      <c r="K4805" s="44"/>
    </row>
    <row r="4806" spans="3:15" s="59" customFormat="1" ht="21" customHeight="1">
      <c r="C4806" s="288" t="s">
        <v>1220</v>
      </c>
      <c r="D4806" s="76" t="s">
        <v>1321</v>
      </c>
      <c r="E4806" s="77"/>
      <c r="F4806" s="78"/>
      <c r="G4806" s="80">
        <v>0.1</v>
      </c>
      <c r="H4806" s="63">
        <f>H4805*G4806</f>
        <v>8329.5</v>
      </c>
      <c r="I4806" s="369"/>
      <c r="J4806" s="44"/>
      <c r="K4806" s="44"/>
    </row>
    <row r="4807" spans="3:15" s="59" customFormat="1" ht="21" customHeight="1">
      <c r="C4807" s="288" t="s">
        <v>1221</v>
      </c>
      <c r="D4807" s="76" t="s">
        <v>1222</v>
      </c>
      <c r="E4807" s="77"/>
      <c r="F4807" s="77"/>
      <c r="G4807" s="78"/>
      <c r="H4807" s="799">
        <f>SUM(H4805:H4806)</f>
        <v>91624.5</v>
      </c>
      <c r="I4807" s="369"/>
      <c r="J4807" s="44"/>
      <c r="K4807" s="44"/>
    </row>
    <row r="4808" spans="3:15" ht="21" customHeight="1"/>
    <row r="4809" spans="3:15" s="59" customFormat="1" ht="21" customHeight="1">
      <c r="C4809" s="147" t="s">
        <v>5493</v>
      </c>
      <c r="D4809" s="794" t="s">
        <v>4336</v>
      </c>
      <c r="E4809" s="795"/>
      <c r="F4809" s="795"/>
      <c r="G4809" s="795"/>
      <c r="H4809" s="795"/>
      <c r="I4809" s="50">
        <f>ROUNDDOWN(H4824,-2)</f>
        <v>150900</v>
      </c>
      <c r="J4809" s="50"/>
      <c r="K4809" s="50"/>
    </row>
    <row r="4810" spans="3:15" s="59" customFormat="1" ht="21" customHeight="1">
      <c r="C4810" s="591" t="s">
        <v>1195</v>
      </c>
      <c r="D4810" s="591" t="s">
        <v>1196</v>
      </c>
      <c r="E4810" s="591" t="s">
        <v>1197</v>
      </c>
      <c r="F4810" s="591" t="s">
        <v>1198</v>
      </c>
      <c r="G4810" s="591" t="s">
        <v>1199</v>
      </c>
      <c r="H4810" s="591" t="s">
        <v>1200</v>
      </c>
      <c r="I4810" s="44"/>
      <c r="J4810" s="44"/>
      <c r="K4810" s="44"/>
    </row>
    <row r="4811" spans="3:15" s="59" customFormat="1" ht="21" customHeight="1">
      <c r="C4811" s="61" t="s">
        <v>1201</v>
      </c>
      <c r="D4811" s="56" t="s">
        <v>1202</v>
      </c>
      <c r="E4811" s="57"/>
      <c r="F4811" s="57"/>
      <c r="G4811" s="57"/>
      <c r="H4811" s="57"/>
      <c r="I4811" s="44"/>
      <c r="J4811" s="44"/>
      <c r="K4811" s="44"/>
      <c r="L4811" s="152" t="s">
        <v>1247</v>
      </c>
    </row>
    <row r="4812" spans="3:15" s="59" customFormat="1" ht="21" customHeight="1">
      <c r="C4812" s="588">
        <v>1</v>
      </c>
      <c r="D4812" s="56" t="s">
        <v>5</v>
      </c>
      <c r="E4812" s="577" t="s">
        <v>6</v>
      </c>
      <c r="F4812" s="62">
        <v>0.183</v>
      </c>
      <c r="G4812" s="63">
        <f>VLOOKUP(D4812,upahbahan,3,FALSE)</f>
        <v>100000</v>
      </c>
      <c r="H4812" s="63">
        <f>F4812*G4812</f>
        <v>18300</v>
      </c>
      <c r="I4812" s="44"/>
      <c r="J4812" s="44"/>
      <c r="K4812" s="44"/>
      <c r="L4812" s="152" t="s">
        <v>1248</v>
      </c>
      <c r="O4812" s="65">
        <v>0.1</v>
      </c>
    </row>
    <row r="4813" spans="3:15" s="59" customFormat="1" ht="21" customHeight="1">
      <c r="C4813" s="588">
        <v>2</v>
      </c>
      <c r="D4813" s="56" t="s">
        <v>10</v>
      </c>
      <c r="E4813" s="577" t="s">
        <v>6</v>
      </c>
      <c r="F4813" s="62">
        <v>0.30599999999999999</v>
      </c>
      <c r="G4813" s="63">
        <f>VLOOKUP(D4813,upahbahan,3,FALSE)</f>
        <v>135000</v>
      </c>
      <c r="H4813" s="63">
        <f>F4813*G4813</f>
        <v>41310</v>
      </c>
      <c r="I4813" s="44"/>
      <c r="J4813" s="44"/>
      <c r="K4813" s="44"/>
    </row>
    <row r="4814" spans="3:15" s="59" customFormat="1" ht="21" customHeight="1">
      <c r="C4814" s="588">
        <v>3</v>
      </c>
      <c r="D4814" s="56" t="s">
        <v>18</v>
      </c>
      <c r="E4814" s="577" t="s">
        <v>6</v>
      </c>
      <c r="F4814" s="62">
        <v>3.1E-2</v>
      </c>
      <c r="G4814" s="63">
        <f>VLOOKUP(D4814,upahbahan,3,FALSE)</f>
        <v>150000</v>
      </c>
      <c r="H4814" s="63">
        <f>F4814*G4814</f>
        <v>4650</v>
      </c>
      <c r="I4814" s="44"/>
      <c r="J4814" s="44"/>
      <c r="K4814" s="44"/>
    </row>
    <row r="4815" spans="3:15" s="59" customFormat="1" ht="21" customHeight="1">
      <c r="C4815" s="588">
        <v>4</v>
      </c>
      <c r="D4815" s="56" t="s">
        <v>19</v>
      </c>
      <c r="E4815" s="577" t="s">
        <v>6</v>
      </c>
      <c r="F4815" s="62">
        <v>8.9999999999999993E-3</v>
      </c>
      <c r="G4815" s="63">
        <f>VLOOKUP(D4815,upahbahan,3,FALSE)</f>
        <v>160000</v>
      </c>
      <c r="H4815" s="63">
        <f>F4815*G4815</f>
        <v>1440</v>
      </c>
      <c r="I4815" s="44"/>
      <c r="J4815" s="44"/>
      <c r="K4815" s="44"/>
    </row>
    <row r="4816" spans="3:15" s="59" customFormat="1" ht="21" customHeight="1">
      <c r="C4816" s="450" t="s">
        <v>1208</v>
      </c>
      <c r="D4816" s="67"/>
      <c r="E4816" s="67"/>
      <c r="F4816" s="142"/>
      <c r="G4816" s="153"/>
      <c r="H4816" s="63">
        <f>SUM(H4812:H4815)</f>
        <v>65700</v>
      </c>
      <c r="I4816" s="154"/>
      <c r="J4816" s="154"/>
      <c r="K4816" s="154"/>
    </row>
    <row r="4817" spans="3:15" s="59" customFormat="1" ht="21" customHeight="1">
      <c r="C4817" s="61" t="s">
        <v>1209</v>
      </c>
      <c r="D4817" s="56" t="s">
        <v>1210</v>
      </c>
      <c r="E4817" s="57"/>
      <c r="F4817" s="57"/>
      <c r="G4817" s="57"/>
      <c r="H4817" s="57"/>
      <c r="I4817" s="44"/>
      <c r="J4817" s="44"/>
      <c r="K4817" s="44"/>
    </row>
    <row r="4818" spans="3:15" s="59" customFormat="1" ht="21" customHeight="1">
      <c r="C4818" s="61">
        <v>1</v>
      </c>
      <c r="D4818" s="56" t="s">
        <v>4337</v>
      </c>
      <c r="E4818" s="93" t="s">
        <v>4259</v>
      </c>
      <c r="F4818" s="104">
        <v>1.1000000000000001</v>
      </c>
      <c r="G4818" s="63">
        <f>VLOOKUP(D4818,upahbahan,3,FALSE)</f>
        <v>65000</v>
      </c>
      <c r="H4818" s="586">
        <f>G4818*F4818</f>
        <v>71500</v>
      </c>
      <c r="I4818" s="44"/>
      <c r="J4818" s="44"/>
      <c r="K4818" s="44"/>
    </row>
    <row r="4819" spans="3:15" s="59" customFormat="1" ht="21" customHeight="1">
      <c r="C4819" s="450" t="s">
        <v>1214</v>
      </c>
      <c r="D4819" s="67"/>
      <c r="E4819" s="67"/>
      <c r="F4819" s="67"/>
      <c r="G4819" s="69"/>
      <c r="H4819" s="63">
        <f>SUM(H4818:H4818)</f>
        <v>71500</v>
      </c>
      <c r="I4819" s="44"/>
      <c r="J4819" s="44"/>
      <c r="K4819" s="44"/>
    </row>
    <row r="4820" spans="3:15" s="59" customFormat="1" ht="21" customHeight="1">
      <c r="C4820" s="61" t="s">
        <v>1215</v>
      </c>
      <c r="D4820" s="56" t="s">
        <v>1216</v>
      </c>
      <c r="E4820" s="57"/>
      <c r="F4820" s="57"/>
      <c r="G4820" s="57"/>
      <c r="H4820" s="57"/>
      <c r="I4820" s="44"/>
      <c r="J4820" s="44"/>
      <c r="K4820" s="44"/>
    </row>
    <row r="4821" spans="3:15" s="59" customFormat="1" ht="21" customHeight="1">
      <c r="C4821" s="450" t="s">
        <v>1217</v>
      </c>
      <c r="D4821" s="67"/>
      <c r="E4821" s="67"/>
      <c r="F4821" s="67"/>
      <c r="G4821" s="69"/>
      <c r="H4821" s="589">
        <v>0</v>
      </c>
      <c r="I4821" s="44"/>
      <c r="J4821" s="44"/>
      <c r="K4821" s="44"/>
    </row>
    <row r="4822" spans="3:15" s="59" customFormat="1" ht="21" customHeight="1">
      <c r="C4822" s="288" t="s">
        <v>1218</v>
      </c>
      <c r="D4822" s="76" t="s">
        <v>1219</v>
      </c>
      <c r="E4822" s="77"/>
      <c r="F4822" s="77"/>
      <c r="G4822" s="78"/>
      <c r="H4822" s="585">
        <f>H4821+H4819+H4816</f>
        <v>137200</v>
      </c>
      <c r="I4822" s="369"/>
      <c r="J4822" s="44"/>
      <c r="K4822" s="44"/>
    </row>
    <row r="4823" spans="3:15" s="59" customFormat="1" ht="21" customHeight="1">
      <c r="C4823" s="288" t="s">
        <v>1220</v>
      </c>
      <c r="D4823" s="76" t="s">
        <v>1321</v>
      </c>
      <c r="E4823" s="77"/>
      <c r="F4823" s="78"/>
      <c r="G4823" s="80">
        <v>0.1</v>
      </c>
      <c r="H4823" s="63">
        <f>H4822*G4823</f>
        <v>13720</v>
      </c>
      <c r="I4823" s="369"/>
      <c r="J4823" s="44"/>
      <c r="K4823" s="44"/>
    </row>
    <row r="4824" spans="3:15" s="59" customFormat="1" ht="21" customHeight="1">
      <c r="C4824" s="288" t="s">
        <v>1221</v>
      </c>
      <c r="D4824" s="76" t="s">
        <v>1222</v>
      </c>
      <c r="E4824" s="77"/>
      <c r="F4824" s="77"/>
      <c r="G4824" s="78"/>
      <c r="H4824" s="799">
        <f>SUM(H4822:H4823)</f>
        <v>150920</v>
      </c>
      <c r="I4824" s="369"/>
      <c r="J4824" s="44"/>
      <c r="K4824" s="44"/>
    </row>
    <row r="4825" spans="3:15" ht="21" customHeight="1"/>
    <row r="4826" spans="3:15" s="59" customFormat="1" ht="21" customHeight="1">
      <c r="C4826" s="147" t="s">
        <v>5495</v>
      </c>
      <c r="D4826" s="794" t="s">
        <v>4338</v>
      </c>
      <c r="E4826" s="795"/>
      <c r="F4826" s="795"/>
      <c r="G4826" s="795"/>
      <c r="H4826" s="795"/>
      <c r="I4826" s="50">
        <f>ROUNDDOWN(H4841,-2)</f>
        <v>194600</v>
      </c>
      <c r="J4826" s="50"/>
      <c r="K4826" s="50"/>
    </row>
    <row r="4827" spans="3:15" s="59" customFormat="1" ht="21" customHeight="1">
      <c r="C4827" s="591" t="s">
        <v>1195</v>
      </c>
      <c r="D4827" s="591" t="s">
        <v>1196</v>
      </c>
      <c r="E4827" s="591" t="s">
        <v>1197</v>
      </c>
      <c r="F4827" s="591" t="s">
        <v>1198</v>
      </c>
      <c r="G4827" s="591" t="s">
        <v>1199</v>
      </c>
      <c r="H4827" s="591" t="s">
        <v>1200</v>
      </c>
      <c r="I4827" s="44"/>
      <c r="J4827" s="44"/>
      <c r="K4827" s="44"/>
    </row>
    <row r="4828" spans="3:15" s="59" customFormat="1" ht="21" customHeight="1">
      <c r="C4828" s="61" t="s">
        <v>1201</v>
      </c>
      <c r="D4828" s="56" t="s">
        <v>1202</v>
      </c>
      <c r="E4828" s="57"/>
      <c r="F4828" s="57"/>
      <c r="G4828" s="57"/>
      <c r="H4828" s="57"/>
      <c r="I4828" s="44"/>
      <c r="J4828" s="44"/>
      <c r="K4828" s="44"/>
      <c r="L4828" s="152" t="s">
        <v>1247</v>
      </c>
    </row>
    <row r="4829" spans="3:15" s="59" customFormat="1" ht="21" customHeight="1">
      <c r="C4829" s="588">
        <v>1</v>
      </c>
      <c r="D4829" s="56" t="s">
        <v>5</v>
      </c>
      <c r="E4829" s="577" t="s">
        <v>6</v>
      </c>
      <c r="F4829" s="62">
        <v>0.24399999999999999</v>
      </c>
      <c r="G4829" s="63">
        <f>VLOOKUP(D4829,upahbahan,3,FALSE)</f>
        <v>100000</v>
      </c>
      <c r="H4829" s="63">
        <f>F4829*G4829</f>
        <v>24400</v>
      </c>
      <c r="I4829" s="44"/>
      <c r="J4829" s="44"/>
      <c r="K4829" s="44"/>
      <c r="L4829" s="152" t="s">
        <v>1248</v>
      </c>
      <c r="O4829" s="65">
        <v>0.1</v>
      </c>
    </row>
    <row r="4830" spans="3:15" s="59" customFormat="1" ht="21" customHeight="1">
      <c r="C4830" s="588">
        <v>2</v>
      </c>
      <c r="D4830" s="56" t="s">
        <v>10</v>
      </c>
      <c r="E4830" s="577" t="s">
        <v>6</v>
      </c>
      <c r="F4830" s="62">
        <v>0.40799999999999997</v>
      </c>
      <c r="G4830" s="63">
        <f>VLOOKUP(D4830,upahbahan,3,FALSE)</f>
        <v>135000</v>
      </c>
      <c r="H4830" s="63">
        <f>F4830*G4830</f>
        <v>55080</v>
      </c>
      <c r="I4830" s="44"/>
      <c r="J4830" s="44"/>
      <c r="K4830" s="44"/>
    </row>
    <row r="4831" spans="3:15" s="59" customFormat="1" ht="21" customHeight="1">
      <c r="C4831" s="588">
        <v>3</v>
      </c>
      <c r="D4831" s="56" t="s">
        <v>18</v>
      </c>
      <c r="E4831" s="577" t="s">
        <v>6</v>
      </c>
      <c r="F4831" s="62">
        <v>4.1000000000000002E-2</v>
      </c>
      <c r="G4831" s="63">
        <f>VLOOKUP(D4831,upahbahan,3,FALSE)</f>
        <v>150000</v>
      </c>
      <c r="H4831" s="63">
        <f>F4831*G4831</f>
        <v>6150</v>
      </c>
      <c r="I4831" s="44"/>
      <c r="J4831" s="44"/>
      <c r="K4831" s="44"/>
    </row>
    <row r="4832" spans="3:15" s="59" customFormat="1" ht="21" customHeight="1">
      <c r="C4832" s="588">
        <v>4</v>
      </c>
      <c r="D4832" s="56" t="s">
        <v>19</v>
      </c>
      <c r="E4832" s="577" t="s">
        <v>6</v>
      </c>
      <c r="F4832" s="62">
        <v>2.1000000000000001E-2</v>
      </c>
      <c r="G4832" s="63">
        <f>VLOOKUP(D4832,upahbahan,3,FALSE)</f>
        <v>160000</v>
      </c>
      <c r="H4832" s="63">
        <f>F4832*G4832</f>
        <v>3360</v>
      </c>
      <c r="I4832" s="44"/>
      <c r="J4832" s="44"/>
      <c r="K4832" s="44"/>
    </row>
    <row r="4833" spans="3:15" s="59" customFormat="1" ht="21" customHeight="1">
      <c r="C4833" s="450" t="s">
        <v>1208</v>
      </c>
      <c r="D4833" s="67"/>
      <c r="E4833" s="67"/>
      <c r="F4833" s="142"/>
      <c r="G4833" s="153"/>
      <c r="H4833" s="63">
        <f>SUM(H4829:H4832)</f>
        <v>88990</v>
      </c>
      <c r="I4833" s="154"/>
      <c r="J4833" s="154"/>
      <c r="K4833" s="154"/>
    </row>
    <row r="4834" spans="3:15" s="59" customFormat="1" ht="21" customHeight="1">
      <c r="C4834" s="61" t="s">
        <v>1209</v>
      </c>
      <c r="D4834" s="56" t="s">
        <v>1210</v>
      </c>
      <c r="E4834" s="57"/>
      <c r="F4834" s="57"/>
      <c r="G4834" s="57"/>
      <c r="H4834" s="57"/>
      <c r="I4834" s="44"/>
      <c r="J4834" s="44"/>
      <c r="K4834" s="44"/>
    </row>
    <row r="4835" spans="3:15" s="59" customFormat="1" ht="21" customHeight="1">
      <c r="C4835" s="61">
        <v>1</v>
      </c>
      <c r="D4835" s="56" t="s">
        <v>4339</v>
      </c>
      <c r="E4835" s="93" t="s">
        <v>4259</v>
      </c>
      <c r="F4835" s="104">
        <v>1.1000000000000001</v>
      </c>
      <c r="G4835" s="63">
        <f>VLOOKUP(D4835,upahbahan,3,FALSE)</f>
        <v>80000</v>
      </c>
      <c r="H4835" s="586">
        <f>G4835*F4835</f>
        <v>88000</v>
      </c>
      <c r="I4835" s="44"/>
      <c r="J4835" s="44"/>
      <c r="K4835" s="44"/>
    </row>
    <row r="4836" spans="3:15" s="59" customFormat="1" ht="21" customHeight="1">
      <c r="C4836" s="450" t="s">
        <v>1214</v>
      </c>
      <c r="D4836" s="67"/>
      <c r="E4836" s="67"/>
      <c r="F4836" s="67"/>
      <c r="G4836" s="69"/>
      <c r="H4836" s="63">
        <f>SUM(H4835:H4835)</f>
        <v>88000</v>
      </c>
      <c r="I4836" s="44"/>
      <c r="J4836" s="44"/>
      <c r="K4836" s="44"/>
    </row>
    <row r="4837" spans="3:15" s="59" customFormat="1" ht="21" customHeight="1">
      <c r="C4837" s="61" t="s">
        <v>1215</v>
      </c>
      <c r="D4837" s="56" t="s">
        <v>1216</v>
      </c>
      <c r="E4837" s="57"/>
      <c r="F4837" s="57"/>
      <c r="G4837" s="57"/>
      <c r="H4837" s="57"/>
      <c r="I4837" s="44"/>
      <c r="J4837" s="44"/>
      <c r="K4837" s="44"/>
    </row>
    <row r="4838" spans="3:15" s="59" customFormat="1" ht="21" customHeight="1">
      <c r="C4838" s="450" t="s">
        <v>1217</v>
      </c>
      <c r="D4838" s="67"/>
      <c r="E4838" s="67"/>
      <c r="F4838" s="67"/>
      <c r="G4838" s="69"/>
      <c r="H4838" s="589">
        <v>0</v>
      </c>
      <c r="I4838" s="44"/>
      <c r="J4838" s="44"/>
      <c r="K4838" s="44"/>
    </row>
    <row r="4839" spans="3:15" s="59" customFormat="1" ht="21" customHeight="1">
      <c r="C4839" s="288" t="s">
        <v>1218</v>
      </c>
      <c r="D4839" s="76" t="s">
        <v>1219</v>
      </c>
      <c r="E4839" s="77"/>
      <c r="F4839" s="77"/>
      <c r="G4839" s="78"/>
      <c r="H4839" s="585">
        <f>H4838+H4836+H4833</f>
        <v>176990</v>
      </c>
      <c r="I4839" s="369"/>
      <c r="J4839" s="44"/>
      <c r="K4839" s="44"/>
    </row>
    <row r="4840" spans="3:15" s="59" customFormat="1" ht="21" customHeight="1">
      <c r="C4840" s="288" t="s">
        <v>1220</v>
      </c>
      <c r="D4840" s="76" t="s">
        <v>1321</v>
      </c>
      <c r="E4840" s="77"/>
      <c r="F4840" s="78"/>
      <c r="G4840" s="80">
        <v>0.1</v>
      </c>
      <c r="H4840" s="63">
        <f>H4839*G4840</f>
        <v>17699</v>
      </c>
      <c r="I4840" s="369"/>
      <c r="J4840" s="44"/>
      <c r="K4840" s="44"/>
    </row>
    <row r="4841" spans="3:15" s="59" customFormat="1" ht="21" customHeight="1">
      <c r="C4841" s="288" t="s">
        <v>1221</v>
      </c>
      <c r="D4841" s="76" t="s">
        <v>1222</v>
      </c>
      <c r="E4841" s="77"/>
      <c r="F4841" s="77"/>
      <c r="G4841" s="78"/>
      <c r="H4841" s="799">
        <f>SUM(H4839:H4840)</f>
        <v>194689</v>
      </c>
      <c r="I4841" s="369"/>
      <c r="J4841" s="44"/>
      <c r="K4841" s="44"/>
    </row>
    <row r="4842" spans="3:15" ht="21" customHeight="1"/>
    <row r="4843" spans="3:15" ht="21" customHeight="1">
      <c r="C4843" s="43" t="s">
        <v>5494</v>
      </c>
      <c r="D4843" s="128" t="s">
        <v>4340</v>
      </c>
    </row>
    <row r="4844" spans="3:15" s="59" customFormat="1" ht="21" customHeight="1">
      <c r="C4844" s="147" t="s">
        <v>5496</v>
      </c>
      <c r="D4844" s="794" t="s">
        <v>4341</v>
      </c>
      <c r="E4844" s="795"/>
      <c r="F4844" s="795"/>
      <c r="G4844" s="795"/>
      <c r="H4844" s="795"/>
      <c r="I4844" s="50">
        <f>ROUNDDOWN(H4859,-2)</f>
        <v>6404000</v>
      </c>
      <c r="J4844" s="50"/>
      <c r="K4844" s="50"/>
    </row>
    <row r="4845" spans="3:15" s="59" customFormat="1" ht="21" customHeight="1">
      <c r="C4845" s="591" t="s">
        <v>1195</v>
      </c>
      <c r="D4845" s="591" t="s">
        <v>1196</v>
      </c>
      <c r="E4845" s="591" t="s">
        <v>1197</v>
      </c>
      <c r="F4845" s="591" t="s">
        <v>1198</v>
      </c>
      <c r="G4845" s="591" t="s">
        <v>1199</v>
      </c>
      <c r="H4845" s="591" t="s">
        <v>1200</v>
      </c>
      <c r="I4845" s="44"/>
      <c r="J4845" s="44"/>
      <c r="K4845" s="44"/>
    </row>
    <row r="4846" spans="3:15" s="59" customFormat="1" ht="21" customHeight="1">
      <c r="C4846" s="61" t="s">
        <v>1201</v>
      </c>
      <c r="D4846" s="56" t="s">
        <v>1202</v>
      </c>
      <c r="E4846" s="57"/>
      <c r="F4846" s="57"/>
      <c r="G4846" s="57"/>
      <c r="H4846" s="57"/>
      <c r="I4846" s="44"/>
      <c r="J4846" s="44"/>
      <c r="K4846" s="44"/>
      <c r="L4846" s="152" t="s">
        <v>1247</v>
      </c>
    </row>
    <row r="4847" spans="3:15" s="59" customFormat="1" ht="21" customHeight="1">
      <c r="C4847" s="588">
        <v>1</v>
      </c>
      <c r="D4847" s="56" t="s">
        <v>5</v>
      </c>
      <c r="E4847" s="577" t="s">
        <v>6</v>
      </c>
      <c r="F4847" s="62">
        <v>0.52100000000000002</v>
      </c>
      <c r="G4847" s="63">
        <f>VLOOKUP(D4847,upahbahan,3,FALSE)</f>
        <v>100000</v>
      </c>
      <c r="H4847" s="63">
        <f>F4847*G4847</f>
        <v>52100</v>
      </c>
      <c r="I4847" s="44"/>
      <c r="J4847" s="44"/>
      <c r="K4847" s="44"/>
      <c r="L4847" s="152" t="s">
        <v>1248</v>
      </c>
      <c r="O4847" s="65">
        <v>0.1</v>
      </c>
    </row>
    <row r="4848" spans="3:15" s="59" customFormat="1" ht="21" customHeight="1">
      <c r="C4848" s="588">
        <v>2</v>
      </c>
      <c r="D4848" s="56" t="s">
        <v>10</v>
      </c>
      <c r="E4848" s="577" t="s">
        <v>6</v>
      </c>
      <c r="F4848" s="62">
        <v>0.871</v>
      </c>
      <c r="G4848" s="63">
        <f>VLOOKUP(D4848,upahbahan,3,FALSE)</f>
        <v>135000</v>
      </c>
      <c r="H4848" s="63">
        <f>F4848*G4848</f>
        <v>117585</v>
      </c>
      <c r="I4848" s="44"/>
      <c r="J4848" s="44"/>
      <c r="K4848" s="44"/>
    </row>
    <row r="4849" spans="3:15" s="59" customFormat="1" ht="21" customHeight="1">
      <c r="C4849" s="588">
        <v>3</v>
      </c>
      <c r="D4849" s="56" t="s">
        <v>18</v>
      </c>
      <c r="E4849" s="577" t="s">
        <v>6</v>
      </c>
      <c r="F4849" s="62">
        <v>8.6999999999999994E-2</v>
      </c>
      <c r="G4849" s="63">
        <f>VLOOKUP(D4849,upahbahan,3,FALSE)</f>
        <v>150000</v>
      </c>
      <c r="H4849" s="63">
        <f>F4849*G4849</f>
        <v>13050</v>
      </c>
      <c r="I4849" s="44"/>
      <c r="J4849" s="44"/>
      <c r="K4849" s="44"/>
    </row>
    <row r="4850" spans="3:15" s="59" customFormat="1" ht="21" customHeight="1">
      <c r="C4850" s="588">
        <v>4</v>
      </c>
      <c r="D4850" s="56" t="s">
        <v>19</v>
      </c>
      <c r="E4850" s="577" t="s">
        <v>6</v>
      </c>
      <c r="F4850" s="62">
        <v>2.5999999999999999E-2</v>
      </c>
      <c r="G4850" s="63">
        <f>VLOOKUP(D4850,upahbahan,3,FALSE)</f>
        <v>160000</v>
      </c>
      <c r="H4850" s="63">
        <f>F4850*G4850</f>
        <v>4160</v>
      </c>
      <c r="I4850" s="44"/>
      <c r="J4850" s="44"/>
      <c r="K4850" s="44"/>
    </row>
    <row r="4851" spans="3:15" s="59" customFormat="1" ht="21" customHeight="1">
      <c r="C4851" s="450" t="s">
        <v>1208</v>
      </c>
      <c r="D4851" s="67"/>
      <c r="E4851" s="67"/>
      <c r="F4851" s="142"/>
      <c r="G4851" s="153"/>
      <c r="H4851" s="63">
        <f>SUM(H4847:H4850)</f>
        <v>186895</v>
      </c>
      <c r="I4851" s="154"/>
      <c r="J4851" s="154"/>
      <c r="K4851" s="154"/>
    </row>
    <row r="4852" spans="3:15" s="59" customFormat="1" ht="21" customHeight="1">
      <c r="C4852" s="61" t="s">
        <v>1209</v>
      </c>
      <c r="D4852" s="56" t="s">
        <v>1210</v>
      </c>
      <c r="E4852" s="57"/>
      <c r="F4852" s="57"/>
      <c r="G4852" s="57"/>
      <c r="H4852" s="57"/>
      <c r="I4852" s="44"/>
      <c r="J4852" s="44"/>
      <c r="K4852" s="44"/>
    </row>
    <row r="4853" spans="3:15" s="59" customFormat="1" ht="21" customHeight="1">
      <c r="C4853" s="61">
        <v>1</v>
      </c>
      <c r="D4853" s="56" t="s">
        <v>4350</v>
      </c>
      <c r="E4853" s="93" t="s">
        <v>4259</v>
      </c>
      <c r="F4853" s="104">
        <v>1.1499999999999999</v>
      </c>
      <c r="G4853" s="63">
        <f>VLOOKUP(D4853,upahbahan,3,FALSE)</f>
        <v>4900000</v>
      </c>
      <c r="H4853" s="586">
        <f>G4853*F4853</f>
        <v>5635000</v>
      </c>
      <c r="I4853" s="44"/>
      <c r="J4853" s="44"/>
      <c r="K4853" s="44"/>
    </row>
    <row r="4854" spans="3:15" s="59" customFormat="1" ht="21" customHeight="1">
      <c r="C4854" s="450" t="s">
        <v>1214</v>
      </c>
      <c r="D4854" s="67"/>
      <c r="E4854" s="67"/>
      <c r="F4854" s="67"/>
      <c r="G4854" s="69"/>
      <c r="H4854" s="63">
        <f>SUM(H4853:H4853)</f>
        <v>5635000</v>
      </c>
      <c r="I4854" s="44"/>
      <c r="J4854" s="44"/>
      <c r="K4854" s="44"/>
    </row>
    <row r="4855" spans="3:15" s="59" customFormat="1" ht="21" customHeight="1">
      <c r="C4855" s="61" t="s">
        <v>1215</v>
      </c>
      <c r="D4855" s="56" t="s">
        <v>1216</v>
      </c>
      <c r="E4855" s="57"/>
      <c r="F4855" s="57"/>
      <c r="G4855" s="57"/>
      <c r="H4855" s="57"/>
      <c r="I4855" s="44"/>
      <c r="J4855" s="44"/>
      <c r="K4855" s="44"/>
    </row>
    <row r="4856" spans="3:15" s="59" customFormat="1" ht="21" customHeight="1">
      <c r="C4856" s="450" t="s">
        <v>1217</v>
      </c>
      <c r="D4856" s="67"/>
      <c r="E4856" s="67"/>
      <c r="F4856" s="67"/>
      <c r="G4856" s="69"/>
      <c r="H4856" s="589">
        <v>0</v>
      </c>
      <c r="I4856" s="44"/>
      <c r="J4856" s="44"/>
      <c r="K4856" s="44"/>
    </row>
    <row r="4857" spans="3:15" s="59" customFormat="1" ht="21" customHeight="1">
      <c r="C4857" s="288" t="s">
        <v>1218</v>
      </c>
      <c r="D4857" s="76" t="s">
        <v>1219</v>
      </c>
      <c r="E4857" s="77"/>
      <c r="F4857" s="77"/>
      <c r="G4857" s="78"/>
      <c r="H4857" s="585">
        <f>H4856+H4854+H4851</f>
        <v>5821895</v>
      </c>
      <c r="I4857" s="369"/>
      <c r="J4857" s="44"/>
      <c r="K4857" s="44"/>
    </row>
    <row r="4858" spans="3:15" s="59" customFormat="1" ht="21" customHeight="1">
      <c r="C4858" s="288" t="s">
        <v>1220</v>
      </c>
      <c r="D4858" s="76" t="s">
        <v>1321</v>
      </c>
      <c r="E4858" s="77"/>
      <c r="F4858" s="78"/>
      <c r="G4858" s="80">
        <v>0.1</v>
      </c>
      <c r="H4858" s="63">
        <f>H4857*G4858</f>
        <v>582189.5</v>
      </c>
      <c r="I4858" s="369"/>
      <c r="J4858" s="44"/>
      <c r="K4858" s="44"/>
    </row>
    <row r="4859" spans="3:15" s="59" customFormat="1" ht="21" customHeight="1">
      <c r="C4859" s="288" t="s">
        <v>1221</v>
      </c>
      <c r="D4859" s="76" t="s">
        <v>1222</v>
      </c>
      <c r="E4859" s="77"/>
      <c r="F4859" s="77"/>
      <c r="G4859" s="78"/>
      <c r="H4859" s="799">
        <f>SUM(H4857:H4858)</f>
        <v>6404084.5</v>
      </c>
      <c r="I4859" s="369"/>
      <c r="J4859" s="44"/>
      <c r="K4859" s="44"/>
    </row>
    <row r="4860" spans="3:15" ht="21" customHeight="1"/>
    <row r="4861" spans="3:15" s="59" customFormat="1" ht="21" customHeight="1">
      <c r="C4861" s="147" t="s">
        <v>5497</v>
      </c>
      <c r="D4861" s="794" t="s">
        <v>4342</v>
      </c>
      <c r="E4861" s="795"/>
      <c r="F4861" s="795"/>
      <c r="G4861" s="795"/>
      <c r="H4861" s="795"/>
      <c r="I4861" s="50">
        <f>ROUNDDOWN(H4876,-2)</f>
        <v>7018500</v>
      </c>
      <c r="J4861" s="50"/>
      <c r="K4861" s="50"/>
    </row>
    <row r="4862" spans="3:15" s="59" customFormat="1" ht="21" customHeight="1">
      <c r="C4862" s="591" t="s">
        <v>1195</v>
      </c>
      <c r="D4862" s="591" t="s">
        <v>1196</v>
      </c>
      <c r="E4862" s="591" t="s">
        <v>1197</v>
      </c>
      <c r="F4862" s="591" t="s">
        <v>1198</v>
      </c>
      <c r="G4862" s="591" t="s">
        <v>1199</v>
      </c>
      <c r="H4862" s="591" t="s">
        <v>1200</v>
      </c>
      <c r="I4862" s="44"/>
      <c r="J4862" s="44"/>
      <c r="K4862" s="44"/>
    </row>
    <row r="4863" spans="3:15" s="59" customFormat="1" ht="21" customHeight="1">
      <c r="C4863" s="61" t="s">
        <v>1201</v>
      </c>
      <c r="D4863" s="56" t="s">
        <v>1202</v>
      </c>
      <c r="E4863" s="57"/>
      <c r="F4863" s="57"/>
      <c r="G4863" s="57"/>
      <c r="H4863" s="57"/>
      <c r="I4863" s="44"/>
      <c r="J4863" s="44"/>
      <c r="K4863" s="44"/>
      <c r="L4863" s="152" t="s">
        <v>1247</v>
      </c>
    </row>
    <row r="4864" spans="3:15" s="59" customFormat="1" ht="21" customHeight="1">
      <c r="C4864" s="588">
        <v>1</v>
      </c>
      <c r="D4864" s="56" t="s">
        <v>5</v>
      </c>
      <c r="E4864" s="577" t="s">
        <v>6</v>
      </c>
      <c r="F4864" s="62">
        <v>0.63600000000000001</v>
      </c>
      <c r="G4864" s="63">
        <f>VLOOKUP(D4864,upahbahan,3,FALSE)</f>
        <v>100000</v>
      </c>
      <c r="H4864" s="63">
        <f>F4864*G4864</f>
        <v>63600</v>
      </c>
      <c r="I4864" s="44"/>
      <c r="J4864" s="44"/>
      <c r="K4864" s="44"/>
      <c r="L4864" s="152" t="s">
        <v>1248</v>
      </c>
      <c r="O4864" s="65">
        <v>0.1</v>
      </c>
    </row>
    <row r="4865" spans="3:12" s="59" customFormat="1" ht="21" customHeight="1">
      <c r="C4865" s="588">
        <v>2</v>
      </c>
      <c r="D4865" s="56" t="s">
        <v>10</v>
      </c>
      <c r="E4865" s="577" t="s">
        <v>6</v>
      </c>
      <c r="F4865" s="62">
        <v>1.0620000000000001</v>
      </c>
      <c r="G4865" s="63">
        <f>VLOOKUP(D4865,upahbahan,3,FALSE)</f>
        <v>135000</v>
      </c>
      <c r="H4865" s="63">
        <f>F4865*G4865</f>
        <v>143370</v>
      </c>
      <c r="I4865" s="44"/>
      <c r="J4865" s="44"/>
      <c r="K4865" s="44"/>
    </row>
    <row r="4866" spans="3:12" s="59" customFormat="1" ht="21" customHeight="1">
      <c r="C4866" s="588">
        <v>3</v>
      </c>
      <c r="D4866" s="56" t="s">
        <v>18</v>
      </c>
      <c r="E4866" s="577" t="s">
        <v>6</v>
      </c>
      <c r="F4866" s="62">
        <v>0.106</v>
      </c>
      <c r="G4866" s="63">
        <f>VLOOKUP(D4866,upahbahan,3,FALSE)</f>
        <v>150000</v>
      </c>
      <c r="H4866" s="63">
        <f>F4866*G4866</f>
        <v>15900</v>
      </c>
      <c r="I4866" s="44"/>
      <c r="J4866" s="44"/>
      <c r="K4866" s="44"/>
    </row>
    <row r="4867" spans="3:12" s="59" customFormat="1" ht="21" customHeight="1">
      <c r="C4867" s="588">
        <v>4</v>
      </c>
      <c r="D4867" s="56" t="s">
        <v>19</v>
      </c>
      <c r="E4867" s="577" t="s">
        <v>6</v>
      </c>
      <c r="F4867" s="62">
        <v>3.2000000000000001E-2</v>
      </c>
      <c r="G4867" s="63">
        <f>VLOOKUP(D4867,upahbahan,3,FALSE)</f>
        <v>160000</v>
      </c>
      <c r="H4867" s="63">
        <f>F4867*G4867</f>
        <v>5120</v>
      </c>
      <c r="I4867" s="44"/>
      <c r="J4867" s="44"/>
      <c r="K4867" s="44"/>
    </row>
    <row r="4868" spans="3:12" s="59" customFormat="1" ht="21" customHeight="1">
      <c r="C4868" s="450" t="s">
        <v>1208</v>
      </c>
      <c r="D4868" s="67"/>
      <c r="E4868" s="67"/>
      <c r="F4868" s="142"/>
      <c r="G4868" s="153"/>
      <c r="H4868" s="63">
        <f>SUM(H4864:H4867)</f>
        <v>227990</v>
      </c>
      <c r="I4868" s="154"/>
      <c r="J4868" s="154"/>
      <c r="K4868" s="154"/>
    </row>
    <row r="4869" spans="3:12" s="59" customFormat="1" ht="21" customHeight="1">
      <c r="C4869" s="61" t="s">
        <v>1209</v>
      </c>
      <c r="D4869" s="56" t="s">
        <v>1210</v>
      </c>
      <c r="E4869" s="57"/>
      <c r="F4869" s="57"/>
      <c r="G4869" s="57"/>
      <c r="H4869" s="57"/>
      <c r="I4869" s="44"/>
      <c r="J4869" s="44"/>
      <c r="K4869" s="44"/>
    </row>
    <row r="4870" spans="3:12" s="59" customFormat="1" ht="21" customHeight="1">
      <c r="C4870" s="61">
        <v>1</v>
      </c>
      <c r="D4870" s="56" t="s">
        <v>4351</v>
      </c>
      <c r="E4870" s="93" t="s">
        <v>4259</v>
      </c>
      <c r="F4870" s="104">
        <v>1.1499999999999999</v>
      </c>
      <c r="G4870" s="63">
        <f>VLOOKUP(D4870,upahbahan,3,FALSE)</f>
        <v>5350000</v>
      </c>
      <c r="H4870" s="586">
        <f>G4870*F4870</f>
        <v>6152499.9999999991</v>
      </c>
      <c r="I4870" s="44"/>
      <c r="J4870" s="44"/>
      <c r="K4870" s="44"/>
    </row>
    <row r="4871" spans="3:12" s="59" customFormat="1" ht="21" customHeight="1">
      <c r="C4871" s="450" t="s">
        <v>1214</v>
      </c>
      <c r="D4871" s="67"/>
      <c r="E4871" s="67"/>
      <c r="F4871" s="67"/>
      <c r="G4871" s="69"/>
      <c r="H4871" s="63">
        <f>SUM(H4870:H4870)</f>
        <v>6152499.9999999991</v>
      </c>
      <c r="I4871" s="44"/>
      <c r="J4871" s="44"/>
      <c r="K4871" s="44"/>
    </row>
    <row r="4872" spans="3:12" s="59" customFormat="1" ht="21" customHeight="1">
      <c r="C4872" s="61" t="s">
        <v>1215</v>
      </c>
      <c r="D4872" s="56" t="s">
        <v>1216</v>
      </c>
      <c r="E4872" s="57"/>
      <c r="F4872" s="57"/>
      <c r="G4872" s="57"/>
      <c r="H4872" s="57"/>
      <c r="I4872" s="44"/>
      <c r="J4872" s="44"/>
      <c r="K4872" s="44"/>
    </row>
    <row r="4873" spans="3:12" s="59" customFormat="1" ht="21" customHeight="1">
      <c r="C4873" s="450" t="s">
        <v>1217</v>
      </c>
      <c r="D4873" s="67"/>
      <c r="E4873" s="67"/>
      <c r="F4873" s="67"/>
      <c r="G4873" s="69"/>
      <c r="H4873" s="589">
        <v>0</v>
      </c>
      <c r="I4873" s="44"/>
      <c r="J4873" s="44"/>
      <c r="K4873" s="44"/>
    </row>
    <row r="4874" spans="3:12" s="59" customFormat="1" ht="21" customHeight="1">
      <c r="C4874" s="288" t="s">
        <v>1218</v>
      </c>
      <c r="D4874" s="76" t="s">
        <v>1219</v>
      </c>
      <c r="E4874" s="77"/>
      <c r="F4874" s="77"/>
      <c r="G4874" s="78"/>
      <c r="H4874" s="585">
        <f>H4873+H4871+H4868</f>
        <v>6380489.9999999991</v>
      </c>
      <c r="I4874" s="369"/>
      <c r="J4874" s="44"/>
      <c r="K4874" s="44"/>
    </row>
    <row r="4875" spans="3:12" s="59" customFormat="1" ht="21" customHeight="1">
      <c r="C4875" s="288" t="s">
        <v>1220</v>
      </c>
      <c r="D4875" s="76" t="s">
        <v>1321</v>
      </c>
      <c r="E4875" s="77"/>
      <c r="F4875" s="78"/>
      <c r="G4875" s="80">
        <v>0.1</v>
      </c>
      <c r="H4875" s="63">
        <f>H4874*G4875</f>
        <v>638049</v>
      </c>
      <c r="I4875" s="369"/>
      <c r="J4875" s="44"/>
      <c r="K4875" s="44"/>
    </row>
    <row r="4876" spans="3:12" s="59" customFormat="1" ht="21" customHeight="1">
      <c r="C4876" s="288" t="s">
        <v>1221</v>
      </c>
      <c r="D4876" s="76" t="s">
        <v>1222</v>
      </c>
      <c r="E4876" s="77"/>
      <c r="F4876" s="77"/>
      <c r="G4876" s="78"/>
      <c r="H4876" s="799">
        <f>SUM(H4874:H4875)</f>
        <v>7018538.9999999991</v>
      </c>
      <c r="I4876" s="369"/>
      <c r="J4876" s="44"/>
      <c r="K4876" s="44"/>
    </row>
    <row r="4877" spans="3:12" ht="21" customHeight="1"/>
    <row r="4878" spans="3:12" s="59" customFormat="1" ht="21" customHeight="1">
      <c r="C4878" s="147" t="s">
        <v>5498</v>
      </c>
      <c r="D4878" s="794" t="s">
        <v>4343</v>
      </c>
      <c r="E4878" s="795"/>
      <c r="F4878" s="795"/>
      <c r="G4878" s="795"/>
      <c r="H4878" s="795"/>
      <c r="I4878" s="50">
        <f>ROUNDDOWN(H4893,-2)</f>
        <v>11026300</v>
      </c>
      <c r="J4878" s="50"/>
      <c r="K4878" s="50"/>
    </row>
    <row r="4879" spans="3:12" s="59" customFormat="1" ht="21" customHeight="1">
      <c r="C4879" s="591" t="s">
        <v>1195</v>
      </c>
      <c r="D4879" s="591" t="s">
        <v>1196</v>
      </c>
      <c r="E4879" s="591" t="s">
        <v>1197</v>
      </c>
      <c r="F4879" s="591" t="s">
        <v>1198</v>
      </c>
      <c r="G4879" s="591" t="s">
        <v>1199</v>
      </c>
      <c r="H4879" s="591" t="s">
        <v>1200</v>
      </c>
      <c r="I4879" s="44"/>
      <c r="J4879" s="44"/>
      <c r="K4879" s="44"/>
    </row>
    <row r="4880" spans="3:12" s="59" customFormat="1" ht="21" customHeight="1">
      <c r="C4880" s="61" t="s">
        <v>1201</v>
      </c>
      <c r="D4880" s="56" t="s">
        <v>1202</v>
      </c>
      <c r="E4880" s="57"/>
      <c r="F4880" s="57"/>
      <c r="G4880" s="57"/>
      <c r="H4880" s="57"/>
      <c r="I4880" s="44"/>
      <c r="J4880" s="44"/>
      <c r="K4880" s="44"/>
      <c r="L4880" s="152" t="s">
        <v>1247</v>
      </c>
    </row>
    <row r="4881" spans="3:15" s="59" customFormat="1" ht="21" customHeight="1">
      <c r="C4881" s="588">
        <v>1</v>
      </c>
      <c r="D4881" s="56" t="s">
        <v>5</v>
      </c>
      <c r="E4881" s="577" t="s">
        <v>6</v>
      </c>
      <c r="F4881" s="62">
        <v>0.76400000000000001</v>
      </c>
      <c r="G4881" s="63">
        <f>VLOOKUP(D4881,upahbahan,3,FALSE)</f>
        <v>100000</v>
      </c>
      <c r="H4881" s="63">
        <f>F4881*G4881</f>
        <v>76400</v>
      </c>
      <c r="I4881" s="44"/>
      <c r="J4881" s="44"/>
      <c r="K4881" s="44"/>
      <c r="L4881" s="152" t="s">
        <v>1248</v>
      </c>
      <c r="O4881" s="65">
        <v>0.1</v>
      </c>
    </row>
    <row r="4882" spans="3:15" s="59" customFormat="1" ht="21" customHeight="1">
      <c r="C4882" s="588">
        <v>2</v>
      </c>
      <c r="D4882" s="56" t="s">
        <v>10</v>
      </c>
      <c r="E4882" s="577" t="s">
        <v>6</v>
      </c>
      <c r="F4882" s="62">
        <v>1.276</v>
      </c>
      <c r="G4882" s="63">
        <f>VLOOKUP(D4882,upahbahan,3,FALSE)</f>
        <v>135000</v>
      </c>
      <c r="H4882" s="63">
        <f>F4882*G4882</f>
        <v>172260</v>
      </c>
      <c r="I4882" s="44"/>
      <c r="J4882" s="44"/>
      <c r="K4882" s="44"/>
    </row>
    <row r="4883" spans="3:15" s="59" customFormat="1" ht="21" customHeight="1">
      <c r="C4883" s="588">
        <v>3</v>
      </c>
      <c r="D4883" s="56" t="s">
        <v>18</v>
      </c>
      <c r="E4883" s="577" t="s">
        <v>6</v>
      </c>
      <c r="F4883" s="62">
        <v>0.128</v>
      </c>
      <c r="G4883" s="63">
        <f>VLOOKUP(D4883,upahbahan,3,FALSE)</f>
        <v>150000</v>
      </c>
      <c r="H4883" s="63">
        <f>F4883*G4883</f>
        <v>19200</v>
      </c>
      <c r="I4883" s="44"/>
      <c r="J4883" s="44"/>
      <c r="K4883" s="44"/>
    </row>
    <row r="4884" spans="3:15" s="59" customFormat="1" ht="21" customHeight="1">
      <c r="C4884" s="588">
        <v>4</v>
      </c>
      <c r="D4884" s="56" t="s">
        <v>19</v>
      </c>
      <c r="E4884" s="577" t="s">
        <v>6</v>
      </c>
      <c r="F4884" s="62">
        <v>3.7999999999999999E-2</v>
      </c>
      <c r="G4884" s="63">
        <f>VLOOKUP(D4884,upahbahan,3,FALSE)</f>
        <v>160000</v>
      </c>
      <c r="H4884" s="63">
        <f>F4884*G4884</f>
        <v>6080</v>
      </c>
      <c r="I4884" s="44"/>
      <c r="J4884" s="44"/>
      <c r="K4884" s="44"/>
    </row>
    <row r="4885" spans="3:15" s="59" customFormat="1" ht="21" customHeight="1">
      <c r="C4885" s="450" t="s">
        <v>1208</v>
      </c>
      <c r="D4885" s="67"/>
      <c r="E4885" s="67"/>
      <c r="F4885" s="142"/>
      <c r="G4885" s="153"/>
      <c r="H4885" s="63">
        <f>SUM(H4881:H4884)</f>
        <v>273940</v>
      </c>
      <c r="I4885" s="154"/>
      <c r="J4885" s="154"/>
      <c r="K4885" s="154"/>
    </row>
    <row r="4886" spans="3:15" s="59" customFormat="1" ht="21" customHeight="1">
      <c r="C4886" s="61" t="s">
        <v>1209</v>
      </c>
      <c r="D4886" s="56" t="s">
        <v>1210</v>
      </c>
      <c r="E4886" s="57"/>
      <c r="F4886" s="57"/>
      <c r="G4886" s="57"/>
      <c r="H4886" s="57"/>
      <c r="I4886" s="44"/>
      <c r="J4886" s="44"/>
      <c r="K4886" s="44"/>
    </row>
    <row r="4887" spans="3:15" s="59" customFormat="1" ht="21" customHeight="1">
      <c r="C4887" s="61">
        <v>1</v>
      </c>
      <c r="D4887" s="56" t="s">
        <v>4349</v>
      </c>
      <c r="E4887" s="93" t="s">
        <v>4259</v>
      </c>
      <c r="F4887" s="104">
        <v>1.3</v>
      </c>
      <c r="G4887" s="63">
        <f>VLOOKUP(D4887,upahbahan,3,FALSE)</f>
        <v>7500000</v>
      </c>
      <c r="H4887" s="586">
        <f>G4887*F4887</f>
        <v>9750000</v>
      </c>
      <c r="I4887" s="44"/>
      <c r="J4887" s="44"/>
      <c r="K4887" s="44"/>
    </row>
    <row r="4888" spans="3:15" s="59" customFormat="1" ht="21" customHeight="1">
      <c r="C4888" s="450" t="s">
        <v>1214</v>
      </c>
      <c r="D4888" s="67"/>
      <c r="E4888" s="67"/>
      <c r="F4888" s="67"/>
      <c r="G4888" s="69"/>
      <c r="H4888" s="63">
        <f>SUM(H4887:H4887)</f>
        <v>9750000</v>
      </c>
      <c r="I4888" s="44"/>
      <c r="J4888" s="44"/>
      <c r="K4888" s="44"/>
    </row>
    <row r="4889" spans="3:15" s="59" customFormat="1" ht="21" customHeight="1">
      <c r="C4889" s="61" t="s">
        <v>1215</v>
      </c>
      <c r="D4889" s="56" t="s">
        <v>1216</v>
      </c>
      <c r="E4889" s="57"/>
      <c r="F4889" s="57"/>
      <c r="G4889" s="57"/>
      <c r="H4889" s="57"/>
      <c r="I4889" s="44"/>
      <c r="J4889" s="44"/>
      <c r="K4889" s="44"/>
    </row>
    <row r="4890" spans="3:15" s="59" customFormat="1" ht="21" customHeight="1">
      <c r="C4890" s="450" t="s">
        <v>1217</v>
      </c>
      <c r="D4890" s="67"/>
      <c r="E4890" s="67"/>
      <c r="F4890" s="67"/>
      <c r="G4890" s="69"/>
      <c r="H4890" s="589">
        <v>0</v>
      </c>
      <c r="I4890" s="44"/>
      <c r="J4890" s="44"/>
      <c r="K4890" s="44"/>
    </row>
    <row r="4891" spans="3:15" s="59" customFormat="1" ht="21" customHeight="1">
      <c r="C4891" s="288" t="s">
        <v>1218</v>
      </c>
      <c r="D4891" s="76" t="s">
        <v>1219</v>
      </c>
      <c r="E4891" s="77"/>
      <c r="F4891" s="77"/>
      <c r="G4891" s="78"/>
      <c r="H4891" s="585">
        <f>H4890+H4888+H4885</f>
        <v>10023940</v>
      </c>
      <c r="I4891" s="369"/>
      <c r="J4891" s="44"/>
      <c r="K4891" s="44"/>
    </row>
    <row r="4892" spans="3:15" s="59" customFormat="1" ht="21" customHeight="1">
      <c r="C4892" s="288" t="s">
        <v>1220</v>
      </c>
      <c r="D4892" s="76" t="s">
        <v>1321</v>
      </c>
      <c r="E4892" s="77"/>
      <c r="F4892" s="78"/>
      <c r="G4892" s="80">
        <v>0.1</v>
      </c>
      <c r="H4892" s="63">
        <f>H4891*G4892</f>
        <v>1002394</v>
      </c>
      <c r="I4892" s="369"/>
      <c r="J4892" s="44"/>
      <c r="K4892" s="44"/>
    </row>
    <row r="4893" spans="3:15" s="59" customFormat="1" ht="21" customHeight="1">
      <c r="C4893" s="288" t="s">
        <v>1221</v>
      </c>
      <c r="D4893" s="76" t="s">
        <v>1222</v>
      </c>
      <c r="E4893" s="77"/>
      <c r="F4893" s="77"/>
      <c r="G4893" s="78"/>
      <c r="H4893" s="799">
        <f>SUM(H4891:H4892)</f>
        <v>11026334</v>
      </c>
      <c r="I4893" s="369"/>
      <c r="J4893" s="44"/>
      <c r="K4893" s="44"/>
    </row>
    <row r="4894" spans="3:15" ht="21" customHeight="1"/>
    <row r="4895" spans="3:15" s="59" customFormat="1" ht="21" customHeight="1">
      <c r="C4895" s="147" t="s">
        <v>5499</v>
      </c>
      <c r="D4895" s="794" t="s">
        <v>4344</v>
      </c>
      <c r="E4895" s="795"/>
      <c r="F4895" s="795"/>
      <c r="G4895" s="795"/>
      <c r="H4895" s="795"/>
      <c r="I4895" s="50">
        <f>ROUNDDOWN(H4910,-2)</f>
        <v>12486300</v>
      </c>
      <c r="J4895" s="50"/>
      <c r="K4895" s="50"/>
    </row>
    <row r="4896" spans="3:15" s="59" customFormat="1" ht="21" customHeight="1">
      <c r="C4896" s="591" t="s">
        <v>1195</v>
      </c>
      <c r="D4896" s="591" t="s">
        <v>1196</v>
      </c>
      <c r="E4896" s="591" t="s">
        <v>1197</v>
      </c>
      <c r="F4896" s="591" t="s">
        <v>1198</v>
      </c>
      <c r="G4896" s="591" t="s">
        <v>1199</v>
      </c>
      <c r="H4896" s="591" t="s">
        <v>1200</v>
      </c>
      <c r="I4896" s="44"/>
      <c r="J4896" s="44"/>
      <c r="K4896" s="44"/>
    </row>
    <row r="4897" spans="3:15" s="59" customFormat="1" ht="21" customHeight="1">
      <c r="C4897" s="61" t="s">
        <v>1201</v>
      </c>
      <c r="D4897" s="56" t="s">
        <v>1202</v>
      </c>
      <c r="E4897" s="57"/>
      <c r="F4897" s="57"/>
      <c r="G4897" s="57"/>
      <c r="H4897" s="57"/>
      <c r="I4897" s="44"/>
      <c r="J4897" s="44"/>
      <c r="K4897" s="44"/>
      <c r="L4897" s="152" t="s">
        <v>1247</v>
      </c>
    </row>
    <row r="4898" spans="3:15" s="59" customFormat="1" ht="21" customHeight="1">
      <c r="C4898" s="588">
        <v>1</v>
      </c>
      <c r="D4898" s="56" t="s">
        <v>5</v>
      </c>
      <c r="E4898" s="577" t="s">
        <v>6</v>
      </c>
      <c r="F4898" s="62">
        <v>1.0209999999999999</v>
      </c>
      <c r="G4898" s="63">
        <f>VLOOKUP(D4898,upahbahan,3,FALSE)</f>
        <v>100000</v>
      </c>
      <c r="H4898" s="63">
        <f>F4898*G4898</f>
        <v>102099.99999999999</v>
      </c>
      <c r="I4898" s="44"/>
      <c r="J4898" s="44"/>
      <c r="K4898" s="44"/>
      <c r="L4898" s="152" t="s">
        <v>1248</v>
      </c>
      <c r="O4898" s="65">
        <v>0.1</v>
      </c>
    </row>
    <row r="4899" spans="3:15" s="59" customFormat="1" ht="21" customHeight="1">
      <c r="C4899" s="588">
        <v>2</v>
      </c>
      <c r="D4899" s="56" t="s">
        <v>10</v>
      </c>
      <c r="E4899" s="577" t="s">
        <v>6</v>
      </c>
      <c r="F4899" s="62">
        <v>1.706</v>
      </c>
      <c r="G4899" s="63">
        <f>VLOOKUP(D4899,upahbahan,3,FALSE)</f>
        <v>135000</v>
      </c>
      <c r="H4899" s="63">
        <f>F4899*G4899</f>
        <v>230310</v>
      </c>
      <c r="I4899" s="44"/>
      <c r="J4899" s="44"/>
      <c r="K4899" s="44"/>
    </row>
    <row r="4900" spans="3:15" s="59" customFormat="1" ht="21" customHeight="1">
      <c r="C4900" s="588">
        <v>3</v>
      </c>
      <c r="D4900" s="56" t="s">
        <v>18</v>
      </c>
      <c r="E4900" s="577" t="s">
        <v>6</v>
      </c>
      <c r="F4900" s="62">
        <v>0.17100000000000001</v>
      </c>
      <c r="G4900" s="63">
        <f>VLOOKUP(D4900,upahbahan,3,FALSE)</f>
        <v>150000</v>
      </c>
      <c r="H4900" s="63">
        <f>F4900*G4900</f>
        <v>25650.000000000004</v>
      </c>
      <c r="I4900" s="44"/>
      <c r="J4900" s="44"/>
      <c r="K4900" s="44"/>
    </row>
    <row r="4901" spans="3:15" s="59" customFormat="1" ht="21" customHeight="1">
      <c r="C4901" s="588">
        <v>4</v>
      </c>
      <c r="D4901" s="56" t="s">
        <v>19</v>
      </c>
      <c r="E4901" s="577" t="s">
        <v>6</v>
      </c>
      <c r="F4901" s="62">
        <v>5.0999999999999997E-2</v>
      </c>
      <c r="G4901" s="63">
        <f>VLOOKUP(D4901,upahbahan,3,FALSE)</f>
        <v>160000</v>
      </c>
      <c r="H4901" s="63">
        <f>F4901*G4901</f>
        <v>8159.9999999999991</v>
      </c>
      <c r="I4901" s="44"/>
      <c r="J4901" s="44"/>
      <c r="K4901" s="44"/>
    </row>
    <row r="4902" spans="3:15" s="59" customFormat="1" ht="21" customHeight="1">
      <c r="C4902" s="450" t="s">
        <v>1208</v>
      </c>
      <c r="D4902" s="67"/>
      <c r="E4902" s="67"/>
      <c r="F4902" s="142"/>
      <c r="G4902" s="153"/>
      <c r="H4902" s="63">
        <f>SUM(H4898:H4901)</f>
        <v>366220</v>
      </c>
      <c r="I4902" s="154"/>
      <c r="J4902" s="154"/>
      <c r="K4902" s="154"/>
    </row>
    <row r="4903" spans="3:15" s="59" customFormat="1" ht="21" customHeight="1">
      <c r="C4903" s="61" t="s">
        <v>1209</v>
      </c>
      <c r="D4903" s="56" t="s">
        <v>1210</v>
      </c>
      <c r="E4903" s="57"/>
      <c r="F4903" s="57"/>
      <c r="G4903" s="57"/>
      <c r="H4903" s="57"/>
      <c r="I4903" s="44"/>
      <c r="J4903" s="44"/>
      <c r="K4903" s="44"/>
    </row>
    <row r="4904" spans="3:15" s="59" customFormat="1" ht="21" customHeight="1">
      <c r="C4904" s="61">
        <v>1</v>
      </c>
      <c r="D4904" s="56" t="s">
        <v>4353</v>
      </c>
      <c r="E4904" s="93" t="s">
        <v>4259</v>
      </c>
      <c r="F4904" s="104">
        <v>1.3</v>
      </c>
      <c r="G4904" s="63">
        <f>VLOOKUP(D4904,upahbahan,3,FALSE)</f>
        <v>8450000</v>
      </c>
      <c r="H4904" s="586">
        <f>G4904*F4904</f>
        <v>10985000</v>
      </c>
      <c r="I4904" s="44"/>
      <c r="J4904" s="44"/>
      <c r="K4904" s="44"/>
    </row>
    <row r="4905" spans="3:15" s="59" customFormat="1" ht="21" customHeight="1">
      <c r="C4905" s="450" t="s">
        <v>1214</v>
      </c>
      <c r="D4905" s="67"/>
      <c r="E4905" s="67"/>
      <c r="F4905" s="67"/>
      <c r="G4905" s="69"/>
      <c r="H4905" s="63">
        <f>SUM(H4904:H4904)</f>
        <v>10985000</v>
      </c>
      <c r="I4905" s="44"/>
      <c r="J4905" s="44"/>
      <c r="K4905" s="44"/>
    </row>
    <row r="4906" spans="3:15" s="59" customFormat="1" ht="21" customHeight="1">
      <c r="C4906" s="61" t="s">
        <v>1215</v>
      </c>
      <c r="D4906" s="56" t="s">
        <v>1216</v>
      </c>
      <c r="E4906" s="57"/>
      <c r="F4906" s="57"/>
      <c r="G4906" s="57"/>
      <c r="H4906" s="57"/>
      <c r="I4906" s="44"/>
      <c r="J4906" s="44"/>
      <c r="K4906" s="44"/>
    </row>
    <row r="4907" spans="3:15" s="59" customFormat="1" ht="21" customHeight="1">
      <c r="C4907" s="450" t="s">
        <v>1217</v>
      </c>
      <c r="D4907" s="67"/>
      <c r="E4907" s="67"/>
      <c r="F4907" s="67"/>
      <c r="G4907" s="69"/>
      <c r="H4907" s="589">
        <v>0</v>
      </c>
      <c r="I4907" s="44"/>
      <c r="J4907" s="44"/>
      <c r="K4907" s="44"/>
    </row>
    <row r="4908" spans="3:15" s="59" customFormat="1" ht="21" customHeight="1">
      <c r="C4908" s="288" t="s">
        <v>1218</v>
      </c>
      <c r="D4908" s="76" t="s">
        <v>1219</v>
      </c>
      <c r="E4908" s="77"/>
      <c r="F4908" s="77"/>
      <c r="G4908" s="78"/>
      <c r="H4908" s="585">
        <f>H4907+H4905+H4902</f>
        <v>11351220</v>
      </c>
      <c r="I4908" s="369"/>
      <c r="J4908" s="44"/>
      <c r="K4908" s="44"/>
    </row>
    <row r="4909" spans="3:15" s="59" customFormat="1" ht="21" customHeight="1">
      <c r="C4909" s="288" t="s">
        <v>1220</v>
      </c>
      <c r="D4909" s="76" t="s">
        <v>1321</v>
      </c>
      <c r="E4909" s="77"/>
      <c r="F4909" s="78"/>
      <c r="G4909" s="80">
        <v>0.1</v>
      </c>
      <c r="H4909" s="63">
        <f>H4908*G4909</f>
        <v>1135122</v>
      </c>
      <c r="I4909" s="369"/>
      <c r="J4909" s="44"/>
      <c r="K4909" s="44"/>
    </row>
    <row r="4910" spans="3:15" s="59" customFormat="1" ht="21" customHeight="1">
      <c r="C4910" s="288" t="s">
        <v>1221</v>
      </c>
      <c r="D4910" s="76" t="s">
        <v>1222</v>
      </c>
      <c r="E4910" s="77"/>
      <c r="F4910" s="77"/>
      <c r="G4910" s="78"/>
      <c r="H4910" s="799">
        <f>SUM(H4908:H4909)</f>
        <v>12486342</v>
      </c>
      <c r="I4910" s="369"/>
      <c r="J4910" s="44"/>
      <c r="K4910" s="44"/>
    </row>
    <row r="4911" spans="3:15" ht="21" customHeight="1"/>
    <row r="4912" spans="3:15" s="59" customFormat="1" ht="21" customHeight="1">
      <c r="C4912" s="147" t="s">
        <v>5500</v>
      </c>
      <c r="D4912" s="794" t="s">
        <v>4345</v>
      </c>
      <c r="E4912" s="795"/>
      <c r="F4912" s="795"/>
      <c r="G4912" s="795"/>
      <c r="H4912" s="795"/>
      <c r="I4912" s="50">
        <f>ROUNDDOWN(H4927,-2)</f>
        <v>13377800</v>
      </c>
      <c r="J4912" s="50"/>
      <c r="K4912" s="50"/>
    </row>
    <row r="4913" spans="3:15" s="59" customFormat="1" ht="21" customHeight="1">
      <c r="C4913" s="591" t="s">
        <v>1195</v>
      </c>
      <c r="D4913" s="591" t="s">
        <v>1196</v>
      </c>
      <c r="E4913" s="591" t="s">
        <v>1197</v>
      </c>
      <c r="F4913" s="591" t="s">
        <v>1198</v>
      </c>
      <c r="G4913" s="591" t="s">
        <v>1199</v>
      </c>
      <c r="H4913" s="591" t="s">
        <v>1200</v>
      </c>
      <c r="I4913" s="44"/>
      <c r="J4913" s="44"/>
      <c r="K4913" s="44"/>
    </row>
    <row r="4914" spans="3:15" s="59" customFormat="1" ht="21" customHeight="1">
      <c r="C4914" s="61" t="s">
        <v>1201</v>
      </c>
      <c r="D4914" s="56" t="s">
        <v>1202</v>
      </c>
      <c r="E4914" s="57"/>
      <c r="F4914" s="57"/>
      <c r="G4914" s="57"/>
      <c r="H4914" s="57"/>
      <c r="I4914" s="44"/>
      <c r="J4914" s="44"/>
      <c r="K4914" s="44"/>
      <c r="L4914" s="152" t="s">
        <v>1247</v>
      </c>
    </row>
    <row r="4915" spans="3:15" s="59" customFormat="1" ht="21" customHeight="1">
      <c r="C4915" s="588">
        <v>1</v>
      </c>
      <c r="D4915" s="56" t="s">
        <v>5</v>
      </c>
      <c r="E4915" s="577" t="s">
        <v>6</v>
      </c>
      <c r="F4915" s="62">
        <v>1.542</v>
      </c>
      <c r="G4915" s="63">
        <f>VLOOKUP(D4915,upahbahan,3,FALSE)</f>
        <v>100000</v>
      </c>
      <c r="H4915" s="63">
        <f>F4915*G4915</f>
        <v>154200</v>
      </c>
      <c r="I4915" s="44"/>
      <c r="J4915" s="44"/>
      <c r="K4915" s="44"/>
      <c r="L4915" s="152" t="s">
        <v>1248</v>
      </c>
      <c r="O4915" s="65">
        <v>0.1</v>
      </c>
    </row>
    <row r="4916" spans="3:15" s="59" customFormat="1" ht="21" customHeight="1">
      <c r="C4916" s="588">
        <v>2</v>
      </c>
      <c r="D4916" s="56" t="s">
        <v>10</v>
      </c>
      <c r="E4916" s="577" t="s">
        <v>6</v>
      </c>
      <c r="F4916" s="62">
        <v>2.5750000000000002</v>
      </c>
      <c r="G4916" s="63">
        <f>VLOOKUP(D4916,upahbahan,3,FALSE)</f>
        <v>135000</v>
      </c>
      <c r="H4916" s="63">
        <f>F4916*G4916</f>
        <v>347625</v>
      </c>
      <c r="I4916" s="44"/>
      <c r="J4916" s="44"/>
      <c r="K4916" s="44"/>
    </row>
    <row r="4917" spans="3:15" s="59" customFormat="1" ht="21" customHeight="1">
      <c r="C4917" s="588">
        <v>3</v>
      </c>
      <c r="D4917" s="56" t="s">
        <v>18</v>
      </c>
      <c r="E4917" s="577" t="s">
        <v>6</v>
      </c>
      <c r="F4917" s="62">
        <v>0.25700000000000001</v>
      </c>
      <c r="G4917" s="63">
        <f>VLOOKUP(D4917,upahbahan,3,FALSE)</f>
        <v>150000</v>
      </c>
      <c r="H4917" s="63">
        <f>F4917*G4917</f>
        <v>38550</v>
      </c>
      <c r="I4917" s="44"/>
      <c r="J4917" s="44"/>
      <c r="K4917" s="44"/>
    </row>
    <row r="4918" spans="3:15" s="59" customFormat="1" ht="21" customHeight="1">
      <c r="C4918" s="588">
        <v>4</v>
      </c>
      <c r="D4918" s="56" t="s">
        <v>19</v>
      </c>
      <c r="E4918" s="577" t="s">
        <v>6</v>
      </c>
      <c r="F4918" s="62">
        <v>7.6999999999999999E-2</v>
      </c>
      <c r="G4918" s="63">
        <f>VLOOKUP(D4918,upahbahan,3,FALSE)</f>
        <v>160000</v>
      </c>
      <c r="H4918" s="63">
        <f>F4918*G4918</f>
        <v>12320</v>
      </c>
      <c r="I4918" s="44"/>
      <c r="J4918" s="44"/>
      <c r="K4918" s="44"/>
    </row>
    <row r="4919" spans="3:15" s="59" customFormat="1" ht="21" customHeight="1">
      <c r="C4919" s="450" t="s">
        <v>1208</v>
      </c>
      <c r="D4919" s="67"/>
      <c r="E4919" s="67"/>
      <c r="F4919" s="142"/>
      <c r="G4919" s="153"/>
      <c r="H4919" s="63">
        <f>SUM(H4915:H4918)</f>
        <v>552695</v>
      </c>
      <c r="I4919" s="154"/>
      <c r="J4919" s="154"/>
      <c r="K4919" s="154"/>
    </row>
    <row r="4920" spans="3:15" s="59" customFormat="1" ht="21" customHeight="1">
      <c r="C4920" s="61" t="s">
        <v>1209</v>
      </c>
      <c r="D4920" s="56" t="s">
        <v>1210</v>
      </c>
      <c r="E4920" s="57"/>
      <c r="F4920" s="57"/>
      <c r="G4920" s="57"/>
      <c r="H4920" s="57"/>
      <c r="I4920" s="44"/>
      <c r="J4920" s="44"/>
      <c r="K4920" s="44"/>
    </row>
    <row r="4921" spans="3:15" s="59" customFormat="1" ht="21" customHeight="1">
      <c r="C4921" s="61">
        <v>1</v>
      </c>
      <c r="D4921" s="56" t="s">
        <v>4352</v>
      </c>
      <c r="E4921" s="93" t="s">
        <v>4259</v>
      </c>
      <c r="F4921" s="104">
        <v>1.3</v>
      </c>
      <c r="G4921" s="63">
        <f>VLOOKUP(D4921,upahbahan,3,FALSE)</f>
        <v>8930000</v>
      </c>
      <c r="H4921" s="586">
        <f>G4921*F4921</f>
        <v>11609000</v>
      </c>
      <c r="I4921" s="44"/>
      <c r="J4921" s="44"/>
      <c r="K4921" s="44"/>
    </row>
    <row r="4922" spans="3:15" s="59" customFormat="1" ht="21" customHeight="1">
      <c r="C4922" s="450" t="s">
        <v>1214</v>
      </c>
      <c r="D4922" s="67"/>
      <c r="E4922" s="67"/>
      <c r="F4922" s="67"/>
      <c r="G4922" s="69"/>
      <c r="H4922" s="63">
        <f>SUM(H4921:H4921)</f>
        <v>11609000</v>
      </c>
      <c r="I4922" s="44"/>
      <c r="J4922" s="44"/>
      <c r="K4922" s="44"/>
    </row>
    <row r="4923" spans="3:15" s="59" customFormat="1" ht="21" customHeight="1">
      <c r="C4923" s="61" t="s">
        <v>1215</v>
      </c>
      <c r="D4923" s="56" t="s">
        <v>1216</v>
      </c>
      <c r="E4923" s="57"/>
      <c r="F4923" s="57"/>
      <c r="G4923" s="57"/>
      <c r="H4923" s="57"/>
      <c r="I4923" s="44"/>
      <c r="J4923" s="44"/>
      <c r="K4923" s="44"/>
    </row>
    <row r="4924" spans="3:15" s="59" customFormat="1" ht="21" customHeight="1">
      <c r="C4924" s="450" t="s">
        <v>1217</v>
      </c>
      <c r="D4924" s="67"/>
      <c r="E4924" s="67"/>
      <c r="F4924" s="67"/>
      <c r="G4924" s="69"/>
      <c r="H4924" s="589">
        <v>0</v>
      </c>
      <c r="I4924" s="44"/>
      <c r="J4924" s="44"/>
      <c r="K4924" s="44"/>
    </row>
    <row r="4925" spans="3:15" s="59" customFormat="1" ht="21" customHeight="1">
      <c r="C4925" s="288" t="s">
        <v>1218</v>
      </c>
      <c r="D4925" s="76" t="s">
        <v>1219</v>
      </c>
      <c r="E4925" s="77"/>
      <c r="F4925" s="77"/>
      <c r="G4925" s="78"/>
      <c r="H4925" s="585">
        <f>H4924+H4922+H4919</f>
        <v>12161695</v>
      </c>
      <c r="I4925" s="369"/>
      <c r="J4925" s="44"/>
      <c r="K4925" s="44"/>
    </row>
    <row r="4926" spans="3:15" s="59" customFormat="1" ht="21" customHeight="1">
      <c r="C4926" s="288" t="s">
        <v>1220</v>
      </c>
      <c r="D4926" s="76" t="s">
        <v>1321</v>
      </c>
      <c r="E4926" s="77"/>
      <c r="F4926" s="78"/>
      <c r="G4926" s="80">
        <v>0.1</v>
      </c>
      <c r="H4926" s="63">
        <f>H4925*G4926</f>
        <v>1216169.5</v>
      </c>
      <c r="I4926" s="369"/>
      <c r="J4926" s="44"/>
      <c r="K4926" s="44"/>
    </row>
    <row r="4927" spans="3:15" s="59" customFormat="1" ht="21" customHeight="1">
      <c r="C4927" s="288" t="s">
        <v>1221</v>
      </c>
      <c r="D4927" s="76" t="s">
        <v>1222</v>
      </c>
      <c r="E4927" s="77"/>
      <c r="F4927" s="77"/>
      <c r="G4927" s="78"/>
      <c r="H4927" s="799">
        <f>SUM(H4925:H4926)</f>
        <v>13377864.5</v>
      </c>
      <c r="I4927" s="369"/>
      <c r="J4927" s="44"/>
      <c r="K4927" s="44"/>
    </row>
    <row r="4928" spans="3:15" ht="21" customHeight="1"/>
    <row r="4929" spans="3:15" ht="21" customHeight="1"/>
    <row r="4930" spans="3:15" s="59" customFormat="1" ht="21" customHeight="1">
      <c r="C4930" s="147" t="s">
        <v>5501</v>
      </c>
      <c r="D4930" s="794" t="s">
        <v>4346</v>
      </c>
      <c r="E4930" s="795"/>
      <c r="F4930" s="795"/>
      <c r="G4930" s="795"/>
      <c r="H4930" s="795"/>
      <c r="I4930" s="50">
        <f>ROUNDDOWN(H4945,-2)</f>
        <v>14285900</v>
      </c>
      <c r="J4930" s="50"/>
      <c r="K4930" s="50"/>
    </row>
    <row r="4931" spans="3:15" s="59" customFormat="1" ht="21" customHeight="1">
      <c r="C4931" s="591" t="s">
        <v>1195</v>
      </c>
      <c r="D4931" s="591" t="s">
        <v>1196</v>
      </c>
      <c r="E4931" s="591" t="s">
        <v>1197</v>
      </c>
      <c r="F4931" s="591" t="s">
        <v>1198</v>
      </c>
      <c r="G4931" s="591" t="s">
        <v>1199</v>
      </c>
      <c r="H4931" s="591" t="s">
        <v>1200</v>
      </c>
      <c r="I4931" s="44"/>
      <c r="J4931" s="44"/>
      <c r="K4931" s="44"/>
    </row>
    <row r="4932" spans="3:15" s="59" customFormat="1" ht="21" customHeight="1">
      <c r="C4932" s="61" t="s">
        <v>1201</v>
      </c>
      <c r="D4932" s="56" t="s">
        <v>1202</v>
      </c>
      <c r="E4932" s="57"/>
      <c r="F4932" s="57"/>
      <c r="G4932" s="57"/>
      <c r="H4932" s="57"/>
      <c r="I4932" s="44"/>
      <c r="J4932" s="44"/>
      <c r="K4932" s="44"/>
      <c r="L4932" s="152" t="s">
        <v>1247</v>
      </c>
    </row>
    <row r="4933" spans="3:15" s="59" customFormat="1" ht="21" customHeight="1">
      <c r="C4933" s="588">
        <v>1</v>
      </c>
      <c r="D4933" s="56" t="s">
        <v>5</v>
      </c>
      <c r="E4933" s="577" t="s">
        <v>6</v>
      </c>
      <c r="F4933" s="62">
        <v>2.0310000000000001</v>
      </c>
      <c r="G4933" s="63">
        <f>VLOOKUP(D4933,upahbahan,3,FALSE)</f>
        <v>100000</v>
      </c>
      <c r="H4933" s="63">
        <f>F4933*G4933</f>
        <v>203100</v>
      </c>
      <c r="I4933" s="44"/>
      <c r="J4933" s="44"/>
      <c r="K4933" s="44"/>
      <c r="L4933" s="152" t="s">
        <v>1248</v>
      </c>
      <c r="O4933" s="65">
        <v>0.1</v>
      </c>
    </row>
    <row r="4934" spans="3:15" s="59" customFormat="1" ht="21" customHeight="1">
      <c r="C4934" s="588">
        <v>2</v>
      </c>
      <c r="D4934" s="56" t="s">
        <v>10</v>
      </c>
      <c r="E4934" s="577" t="s">
        <v>6</v>
      </c>
      <c r="F4934" s="62">
        <v>3.3919999999999999</v>
      </c>
      <c r="G4934" s="63">
        <f>VLOOKUP(D4934,upahbahan,3,FALSE)</f>
        <v>135000</v>
      </c>
      <c r="H4934" s="63">
        <f>F4934*G4934</f>
        <v>457920</v>
      </c>
      <c r="I4934" s="44"/>
      <c r="J4934" s="44"/>
      <c r="K4934" s="44"/>
    </row>
    <row r="4935" spans="3:15" s="59" customFormat="1" ht="21" customHeight="1">
      <c r="C4935" s="588">
        <v>3</v>
      </c>
      <c r="D4935" s="56" t="s">
        <v>18</v>
      </c>
      <c r="E4935" s="577" t="s">
        <v>6</v>
      </c>
      <c r="F4935" s="62">
        <v>0.33900000000000002</v>
      </c>
      <c r="G4935" s="63">
        <f>VLOOKUP(D4935,upahbahan,3,FALSE)</f>
        <v>150000</v>
      </c>
      <c r="H4935" s="63">
        <f>F4935*G4935</f>
        <v>50850</v>
      </c>
      <c r="I4935" s="44"/>
      <c r="J4935" s="44"/>
      <c r="K4935" s="44"/>
    </row>
    <row r="4936" spans="3:15" s="59" customFormat="1" ht="21" customHeight="1">
      <c r="C4936" s="588">
        <v>4</v>
      </c>
      <c r="D4936" s="56" t="s">
        <v>19</v>
      </c>
      <c r="E4936" s="577" t="s">
        <v>6</v>
      </c>
      <c r="F4936" s="62">
        <v>0.10199999999999999</v>
      </c>
      <c r="G4936" s="63">
        <f>VLOOKUP(D4936,upahbahan,3,FALSE)</f>
        <v>160000</v>
      </c>
      <c r="H4936" s="63">
        <f>F4936*G4936</f>
        <v>16319.999999999998</v>
      </c>
      <c r="I4936" s="44"/>
      <c r="J4936" s="44"/>
      <c r="K4936" s="44"/>
    </row>
    <row r="4937" spans="3:15" s="59" customFormat="1" ht="21" customHeight="1">
      <c r="C4937" s="450" t="s">
        <v>1208</v>
      </c>
      <c r="D4937" s="67"/>
      <c r="E4937" s="67"/>
      <c r="F4937" s="142"/>
      <c r="G4937" s="153"/>
      <c r="H4937" s="63">
        <f>SUM(H4933:H4936)</f>
        <v>728190</v>
      </c>
      <c r="I4937" s="154"/>
      <c r="J4937" s="154"/>
      <c r="K4937" s="154"/>
    </row>
    <row r="4938" spans="3:15" s="59" customFormat="1" ht="21" customHeight="1">
      <c r="C4938" s="61" t="s">
        <v>1209</v>
      </c>
      <c r="D4938" s="56" t="s">
        <v>1210</v>
      </c>
      <c r="E4938" s="57"/>
      <c r="F4938" s="57"/>
      <c r="G4938" s="57"/>
      <c r="H4938" s="57"/>
      <c r="I4938" s="44"/>
      <c r="J4938" s="44"/>
      <c r="K4938" s="44"/>
    </row>
    <row r="4939" spans="3:15" s="59" customFormat="1" ht="21" customHeight="1">
      <c r="C4939" s="61">
        <v>1</v>
      </c>
      <c r="D4939" s="56" t="s">
        <v>4356</v>
      </c>
      <c r="E4939" s="93" t="s">
        <v>4259</v>
      </c>
      <c r="F4939" s="104">
        <v>1.3</v>
      </c>
      <c r="G4939" s="63">
        <f>VLOOKUP(D4939,upahbahan,3,FALSE)</f>
        <v>9430000</v>
      </c>
      <c r="H4939" s="586">
        <f>G4939*F4939</f>
        <v>12259000</v>
      </c>
      <c r="I4939" s="44"/>
      <c r="J4939" s="44"/>
      <c r="K4939" s="44"/>
    </row>
    <row r="4940" spans="3:15" s="59" customFormat="1" ht="21" customHeight="1">
      <c r="C4940" s="450" t="s">
        <v>1214</v>
      </c>
      <c r="D4940" s="67"/>
      <c r="E4940" s="67"/>
      <c r="F4940" s="67"/>
      <c r="G4940" s="69"/>
      <c r="H4940" s="63">
        <f>SUM(H4939:H4939)</f>
        <v>12259000</v>
      </c>
      <c r="I4940" s="44"/>
      <c r="J4940" s="44"/>
      <c r="K4940" s="44"/>
    </row>
    <row r="4941" spans="3:15" s="59" customFormat="1" ht="21" customHeight="1">
      <c r="C4941" s="61" t="s">
        <v>1215</v>
      </c>
      <c r="D4941" s="56" t="s">
        <v>1216</v>
      </c>
      <c r="E4941" s="57"/>
      <c r="F4941" s="57"/>
      <c r="G4941" s="57"/>
      <c r="H4941" s="57"/>
      <c r="I4941" s="44"/>
      <c r="J4941" s="44"/>
      <c r="K4941" s="44"/>
    </row>
    <row r="4942" spans="3:15" s="59" customFormat="1" ht="21" customHeight="1">
      <c r="C4942" s="450" t="s">
        <v>1217</v>
      </c>
      <c r="D4942" s="67"/>
      <c r="E4942" s="67"/>
      <c r="F4942" s="67"/>
      <c r="G4942" s="69"/>
      <c r="H4942" s="589">
        <v>0</v>
      </c>
      <c r="I4942" s="44"/>
      <c r="J4942" s="44"/>
      <c r="K4942" s="44"/>
    </row>
    <row r="4943" spans="3:15" s="59" customFormat="1" ht="21" customHeight="1">
      <c r="C4943" s="288" t="s">
        <v>1218</v>
      </c>
      <c r="D4943" s="76" t="s">
        <v>1219</v>
      </c>
      <c r="E4943" s="77"/>
      <c r="F4943" s="77"/>
      <c r="G4943" s="78"/>
      <c r="H4943" s="585">
        <f>H4942+H4940+H4937</f>
        <v>12987190</v>
      </c>
      <c r="I4943" s="369"/>
      <c r="J4943" s="44"/>
      <c r="K4943" s="44"/>
    </row>
    <row r="4944" spans="3:15" s="59" customFormat="1" ht="21" customHeight="1">
      <c r="C4944" s="288" t="s">
        <v>1220</v>
      </c>
      <c r="D4944" s="76" t="s">
        <v>1321</v>
      </c>
      <c r="E4944" s="77"/>
      <c r="F4944" s="78"/>
      <c r="G4944" s="80">
        <v>0.1</v>
      </c>
      <c r="H4944" s="63">
        <f>H4943*G4944</f>
        <v>1298719</v>
      </c>
      <c r="I4944" s="369"/>
      <c r="J4944" s="44"/>
      <c r="K4944" s="44"/>
    </row>
    <row r="4945" spans="3:15" s="59" customFormat="1" ht="21" customHeight="1">
      <c r="C4945" s="288" t="s">
        <v>1221</v>
      </c>
      <c r="D4945" s="76" t="s">
        <v>1222</v>
      </c>
      <c r="E4945" s="77"/>
      <c r="F4945" s="77"/>
      <c r="G4945" s="78"/>
      <c r="H4945" s="799">
        <f>SUM(H4943:H4944)</f>
        <v>14285909</v>
      </c>
      <c r="I4945" s="369"/>
      <c r="J4945" s="44"/>
      <c r="K4945" s="44"/>
    </row>
    <row r="4946" spans="3:15" ht="21" customHeight="1"/>
    <row r="4947" spans="3:15" ht="21" customHeight="1">
      <c r="C4947" s="43" t="s">
        <v>8347</v>
      </c>
      <c r="D4947" s="128" t="s">
        <v>4357</v>
      </c>
    </row>
    <row r="4948" spans="3:15" s="59" customFormat="1" ht="21" customHeight="1">
      <c r="C4948" s="147" t="s">
        <v>5502</v>
      </c>
      <c r="D4948" s="794" t="s">
        <v>4358</v>
      </c>
      <c r="E4948" s="795"/>
      <c r="F4948" s="795"/>
      <c r="G4948" s="795"/>
      <c r="H4948" s="795"/>
      <c r="I4948" s="50">
        <f>ROUNDDOWN(H4963,-2)</f>
        <v>325600</v>
      </c>
      <c r="J4948" s="50"/>
      <c r="K4948" s="50"/>
    </row>
    <row r="4949" spans="3:15" s="59" customFormat="1" ht="21" customHeight="1">
      <c r="C4949" s="591" t="s">
        <v>1195</v>
      </c>
      <c r="D4949" s="591" t="s">
        <v>1196</v>
      </c>
      <c r="E4949" s="591" t="s">
        <v>1197</v>
      </c>
      <c r="F4949" s="591" t="s">
        <v>1198</v>
      </c>
      <c r="G4949" s="591" t="s">
        <v>1199</v>
      </c>
      <c r="H4949" s="591" t="s">
        <v>1200</v>
      </c>
      <c r="I4949" s="44"/>
      <c r="J4949" s="44"/>
      <c r="K4949" s="44"/>
    </row>
    <row r="4950" spans="3:15" s="59" customFormat="1" ht="21" customHeight="1">
      <c r="C4950" s="61" t="s">
        <v>1201</v>
      </c>
      <c r="D4950" s="56" t="s">
        <v>1202</v>
      </c>
      <c r="E4950" s="57"/>
      <c r="F4950" s="57"/>
      <c r="G4950" s="57"/>
      <c r="H4950" s="57"/>
      <c r="I4950" s="44"/>
      <c r="J4950" s="44"/>
      <c r="K4950" s="44"/>
      <c r="L4950" s="152" t="s">
        <v>1247</v>
      </c>
    </row>
    <row r="4951" spans="3:15" s="59" customFormat="1" ht="21" customHeight="1">
      <c r="C4951" s="588">
        <v>1</v>
      </c>
      <c r="D4951" s="56" t="s">
        <v>5</v>
      </c>
      <c r="E4951" s="577" t="s">
        <v>6</v>
      </c>
      <c r="F4951" s="62">
        <v>2.4E-2</v>
      </c>
      <c r="G4951" s="63">
        <f>VLOOKUP(D4951,upahbahan,3,FALSE)</f>
        <v>100000</v>
      </c>
      <c r="H4951" s="63">
        <f>F4951*G4951</f>
        <v>2400</v>
      </c>
      <c r="I4951" s="44"/>
      <c r="J4951" s="44"/>
      <c r="K4951" s="44"/>
      <c r="L4951" s="152" t="s">
        <v>1248</v>
      </c>
      <c r="O4951" s="65">
        <v>0.1</v>
      </c>
    </row>
    <row r="4952" spans="3:15" s="59" customFormat="1" ht="21" customHeight="1">
      <c r="C4952" s="588">
        <v>2</v>
      </c>
      <c r="D4952" s="56" t="s">
        <v>10</v>
      </c>
      <c r="E4952" s="577" t="s">
        <v>6</v>
      </c>
      <c r="F4952" s="62">
        <v>0.04</v>
      </c>
      <c r="G4952" s="63">
        <f>VLOOKUP(D4952,upahbahan,3,FALSE)</f>
        <v>135000</v>
      </c>
      <c r="H4952" s="63">
        <f>F4952*G4952</f>
        <v>5400</v>
      </c>
      <c r="I4952" s="44"/>
      <c r="J4952" s="44"/>
      <c r="K4952" s="44"/>
    </row>
    <row r="4953" spans="3:15" s="59" customFormat="1" ht="21" customHeight="1">
      <c r="C4953" s="588">
        <v>3</v>
      </c>
      <c r="D4953" s="56" t="s">
        <v>18</v>
      </c>
      <c r="E4953" s="577" t="s">
        <v>6</v>
      </c>
      <c r="F4953" s="62">
        <v>4.0000000000000001E-3</v>
      </c>
      <c r="G4953" s="63">
        <f>VLOOKUP(D4953,upahbahan,3,FALSE)</f>
        <v>150000</v>
      </c>
      <c r="H4953" s="63">
        <f>F4953*G4953</f>
        <v>600</v>
      </c>
      <c r="I4953" s="44"/>
      <c r="J4953" s="44"/>
      <c r="K4953" s="44"/>
    </row>
    <row r="4954" spans="3:15" s="59" customFormat="1" ht="21" customHeight="1">
      <c r="C4954" s="588">
        <v>4</v>
      </c>
      <c r="D4954" s="56" t="s">
        <v>19</v>
      </c>
      <c r="E4954" s="577" t="s">
        <v>6</v>
      </c>
      <c r="F4954" s="62">
        <v>1E-3</v>
      </c>
      <c r="G4954" s="63">
        <f>VLOOKUP(D4954,upahbahan,3,FALSE)</f>
        <v>160000</v>
      </c>
      <c r="H4954" s="63">
        <f>F4954*G4954</f>
        <v>160</v>
      </c>
      <c r="I4954" s="44"/>
      <c r="J4954" s="44"/>
      <c r="K4954" s="44"/>
    </row>
    <row r="4955" spans="3:15" s="59" customFormat="1" ht="21" customHeight="1">
      <c r="C4955" s="450" t="s">
        <v>1208</v>
      </c>
      <c r="D4955" s="67"/>
      <c r="E4955" s="67"/>
      <c r="F4955" s="142"/>
      <c r="G4955" s="153"/>
      <c r="H4955" s="63">
        <f>SUM(H4951:H4954)</f>
        <v>8560</v>
      </c>
      <c r="I4955" s="154"/>
      <c r="J4955" s="154"/>
      <c r="K4955" s="154"/>
    </row>
    <row r="4956" spans="3:15" s="59" customFormat="1" ht="21" customHeight="1">
      <c r="C4956" s="61" t="s">
        <v>1209</v>
      </c>
      <c r="D4956" s="56" t="s">
        <v>1210</v>
      </c>
      <c r="E4956" s="57"/>
      <c r="F4956" s="57"/>
      <c r="G4956" s="57"/>
      <c r="H4956" s="57"/>
      <c r="I4956" s="44"/>
      <c r="J4956" s="44"/>
      <c r="K4956" s="44"/>
    </row>
    <row r="4957" spans="3:15" s="59" customFormat="1" ht="21" customHeight="1">
      <c r="C4957" s="61">
        <v>1</v>
      </c>
      <c r="D4957" s="56" t="s">
        <v>4359</v>
      </c>
      <c r="E4957" s="93" t="s">
        <v>4259</v>
      </c>
      <c r="F4957" s="104">
        <v>1.1499999999999999</v>
      </c>
      <c r="G4957" s="63">
        <f>VLOOKUP(D4957,upahbahan,3,FALSE)</f>
        <v>250000</v>
      </c>
      <c r="H4957" s="586">
        <f>G4957*F4957</f>
        <v>287500</v>
      </c>
      <c r="I4957" s="44"/>
      <c r="J4957" s="44"/>
      <c r="K4957" s="44"/>
    </row>
    <row r="4958" spans="3:15" s="59" customFormat="1" ht="21" customHeight="1">
      <c r="C4958" s="450" t="s">
        <v>1214</v>
      </c>
      <c r="D4958" s="67"/>
      <c r="E4958" s="67"/>
      <c r="F4958" s="67"/>
      <c r="G4958" s="69"/>
      <c r="H4958" s="63">
        <f>SUM(H4957:H4957)</f>
        <v>287500</v>
      </c>
      <c r="I4958" s="44"/>
      <c r="J4958" s="44"/>
      <c r="K4958" s="44"/>
    </row>
    <row r="4959" spans="3:15" s="59" customFormat="1" ht="21" customHeight="1">
      <c r="C4959" s="61" t="s">
        <v>1215</v>
      </c>
      <c r="D4959" s="56" t="s">
        <v>1216</v>
      </c>
      <c r="E4959" s="57"/>
      <c r="F4959" s="57"/>
      <c r="G4959" s="57"/>
      <c r="H4959" s="57"/>
      <c r="I4959" s="44"/>
      <c r="J4959" s="44"/>
      <c r="K4959" s="44"/>
    </row>
    <row r="4960" spans="3:15" s="59" customFormat="1" ht="21" customHeight="1">
      <c r="C4960" s="450" t="s">
        <v>1217</v>
      </c>
      <c r="D4960" s="67"/>
      <c r="E4960" s="67"/>
      <c r="F4960" s="67"/>
      <c r="G4960" s="69"/>
      <c r="H4960" s="589">
        <v>0</v>
      </c>
      <c r="I4960" s="44"/>
      <c r="J4960" s="44"/>
      <c r="K4960" s="44"/>
    </row>
    <row r="4961" spans="3:15" s="59" customFormat="1" ht="21" customHeight="1">
      <c r="C4961" s="288" t="s">
        <v>1218</v>
      </c>
      <c r="D4961" s="76" t="s">
        <v>1219</v>
      </c>
      <c r="E4961" s="77"/>
      <c r="F4961" s="77"/>
      <c r="G4961" s="78"/>
      <c r="H4961" s="585">
        <f>H4960+H4958+H4955</f>
        <v>296060</v>
      </c>
      <c r="I4961" s="369"/>
      <c r="J4961" s="44"/>
      <c r="K4961" s="44"/>
    </row>
    <row r="4962" spans="3:15" s="59" customFormat="1" ht="21" customHeight="1">
      <c r="C4962" s="288" t="s">
        <v>1220</v>
      </c>
      <c r="D4962" s="76" t="s">
        <v>1321</v>
      </c>
      <c r="E4962" s="77"/>
      <c r="F4962" s="78"/>
      <c r="G4962" s="80">
        <v>0.1</v>
      </c>
      <c r="H4962" s="63">
        <f>H4961*G4962</f>
        <v>29606</v>
      </c>
      <c r="I4962" s="369"/>
      <c r="J4962" s="44"/>
      <c r="K4962" s="44"/>
    </row>
    <row r="4963" spans="3:15" s="59" customFormat="1" ht="21" customHeight="1">
      <c r="C4963" s="288" t="s">
        <v>1221</v>
      </c>
      <c r="D4963" s="76" t="s">
        <v>1222</v>
      </c>
      <c r="E4963" s="77"/>
      <c r="F4963" s="77"/>
      <c r="G4963" s="78"/>
      <c r="H4963" s="799">
        <f>SUM(H4961:H4962)</f>
        <v>325666</v>
      </c>
      <c r="I4963" s="369"/>
      <c r="J4963" s="44"/>
      <c r="K4963" s="44"/>
    </row>
    <row r="4964" spans="3:15" ht="21" customHeight="1"/>
    <row r="4965" spans="3:15" s="59" customFormat="1" ht="21" customHeight="1">
      <c r="C4965" s="147" t="s">
        <v>5503</v>
      </c>
      <c r="D4965" s="794" t="s">
        <v>4360</v>
      </c>
      <c r="E4965" s="795"/>
      <c r="F4965" s="795"/>
      <c r="G4965" s="795"/>
      <c r="H4965" s="795"/>
      <c r="I4965" s="50">
        <f>ROUNDDOWN(H4980,-2)</f>
        <v>1094000</v>
      </c>
      <c r="J4965" s="50"/>
      <c r="K4965" s="50"/>
    </row>
    <row r="4966" spans="3:15" s="59" customFormat="1" ht="21" customHeight="1">
      <c r="C4966" s="591" t="s">
        <v>1195</v>
      </c>
      <c r="D4966" s="591" t="s">
        <v>1196</v>
      </c>
      <c r="E4966" s="591" t="s">
        <v>1197</v>
      </c>
      <c r="F4966" s="591" t="s">
        <v>1198</v>
      </c>
      <c r="G4966" s="591" t="s">
        <v>1199</v>
      </c>
      <c r="H4966" s="591" t="s">
        <v>1200</v>
      </c>
      <c r="I4966" s="44"/>
      <c r="J4966" s="44"/>
      <c r="K4966" s="44"/>
    </row>
    <row r="4967" spans="3:15" s="59" customFormat="1" ht="21" customHeight="1">
      <c r="C4967" s="61" t="s">
        <v>1201</v>
      </c>
      <c r="D4967" s="56" t="s">
        <v>1202</v>
      </c>
      <c r="E4967" s="57"/>
      <c r="F4967" s="57"/>
      <c r="G4967" s="57"/>
      <c r="H4967" s="57"/>
      <c r="I4967" s="44"/>
      <c r="J4967" s="44"/>
      <c r="K4967" s="44"/>
      <c r="L4967" s="152" t="s">
        <v>1247</v>
      </c>
    </row>
    <row r="4968" spans="3:15" s="59" customFormat="1" ht="21" customHeight="1">
      <c r="C4968" s="588">
        <v>1</v>
      </c>
      <c r="D4968" s="56" t="s">
        <v>5</v>
      </c>
      <c r="E4968" s="577" t="s">
        <v>6</v>
      </c>
      <c r="F4968" s="62">
        <v>4.8000000000000001E-2</v>
      </c>
      <c r="G4968" s="63">
        <f>VLOOKUP(D4968,upahbahan,3,FALSE)</f>
        <v>100000</v>
      </c>
      <c r="H4968" s="63">
        <f>F4968*G4968</f>
        <v>4800</v>
      </c>
      <c r="I4968" s="44"/>
      <c r="J4968" s="44"/>
      <c r="K4968" s="44"/>
      <c r="L4968" s="152" t="s">
        <v>1248</v>
      </c>
      <c r="O4968" s="65">
        <v>0.1</v>
      </c>
    </row>
    <row r="4969" spans="3:15" s="59" customFormat="1" ht="21" customHeight="1">
      <c r="C4969" s="588">
        <v>2</v>
      </c>
      <c r="D4969" s="56" t="s">
        <v>10</v>
      </c>
      <c r="E4969" s="577" t="s">
        <v>6</v>
      </c>
      <c r="F4969" s="62">
        <v>0.08</v>
      </c>
      <c r="G4969" s="63">
        <f>VLOOKUP(D4969,upahbahan,3,FALSE)</f>
        <v>135000</v>
      </c>
      <c r="H4969" s="63">
        <f>F4969*G4969</f>
        <v>10800</v>
      </c>
      <c r="I4969" s="44"/>
      <c r="J4969" s="44"/>
      <c r="K4969" s="44"/>
    </row>
    <row r="4970" spans="3:15" s="59" customFormat="1" ht="21" customHeight="1">
      <c r="C4970" s="588">
        <v>3</v>
      </c>
      <c r="D4970" s="56" t="s">
        <v>18</v>
      </c>
      <c r="E4970" s="577" t="s">
        <v>6</v>
      </c>
      <c r="F4970" s="62">
        <v>8.0000000000000002E-3</v>
      </c>
      <c r="G4970" s="63">
        <f>VLOOKUP(D4970,upahbahan,3,FALSE)</f>
        <v>150000</v>
      </c>
      <c r="H4970" s="63">
        <f>F4970*G4970</f>
        <v>1200</v>
      </c>
      <c r="I4970" s="44"/>
      <c r="J4970" s="44"/>
      <c r="K4970" s="44"/>
    </row>
    <row r="4971" spans="3:15" s="59" customFormat="1" ht="21" customHeight="1">
      <c r="C4971" s="588">
        <v>4</v>
      </c>
      <c r="D4971" s="56" t="s">
        <v>19</v>
      </c>
      <c r="E4971" s="577" t="s">
        <v>6</v>
      </c>
      <c r="F4971" s="62">
        <v>2E-3</v>
      </c>
      <c r="G4971" s="63">
        <f>VLOOKUP(D4971,upahbahan,3,FALSE)</f>
        <v>160000</v>
      </c>
      <c r="H4971" s="63">
        <f>F4971*G4971</f>
        <v>320</v>
      </c>
      <c r="I4971" s="44"/>
      <c r="J4971" s="44"/>
      <c r="K4971" s="44"/>
    </row>
    <row r="4972" spans="3:15" s="59" customFormat="1" ht="21" customHeight="1">
      <c r="C4972" s="450" t="s">
        <v>1208</v>
      </c>
      <c r="D4972" s="67"/>
      <c r="E4972" s="67"/>
      <c r="F4972" s="142"/>
      <c r="G4972" s="153"/>
      <c r="H4972" s="63">
        <f>SUM(H4968:H4971)</f>
        <v>17120</v>
      </c>
      <c r="I4972" s="154"/>
      <c r="J4972" s="154"/>
      <c r="K4972" s="154"/>
    </row>
    <row r="4973" spans="3:15" s="59" customFormat="1" ht="21" customHeight="1">
      <c r="C4973" s="61" t="s">
        <v>1209</v>
      </c>
      <c r="D4973" s="56" t="s">
        <v>1210</v>
      </c>
      <c r="E4973" s="57"/>
      <c r="F4973" s="57"/>
      <c r="G4973" s="57"/>
      <c r="H4973" s="57"/>
      <c r="I4973" s="44"/>
      <c r="J4973" s="44"/>
      <c r="K4973" s="44"/>
    </row>
    <row r="4974" spans="3:15" s="59" customFormat="1" ht="21" customHeight="1">
      <c r="C4974" s="61">
        <v>1</v>
      </c>
      <c r="D4974" s="56" t="s">
        <v>4369</v>
      </c>
      <c r="E4974" s="93" t="s">
        <v>4259</v>
      </c>
      <c r="F4974" s="104">
        <v>1.1499999999999999</v>
      </c>
      <c r="G4974" s="63">
        <f>VLOOKUP(D4974,upahbahan,3,FALSE)</f>
        <v>850000</v>
      </c>
      <c r="H4974" s="586">
        <f>G4974*F4974</f>
        <v>977499.99999999988</v>
      </c>
      <c r="I4974" s="44"/>
      <c r="J4974" s="44"/>
      <c r="K4974" s="44"/>
    </row>
    <row r="4975" spans="3:15" s="59" customFormat="1" ht="21" customHeight="1">
      <c r="C4975" s="450" t="s">
        <v>1214</v>
      </c>
      <c r="D4975" s="67"/>
      <c r="E4975" s="67"/>
      <c r="F4975" s="67"/>
      <c r="G4975" s="69"/>
      <c r="H4975" s="63">
        <f>SUM(H4974:H4974)</f>
        <v>977499.99999999988</v>
      </c>
      <c r="I4975" s="44"/>
      <c r="J4975" s="44"/>
      <c r="K4975" s="44"/>
    </row>
    <row r="4976" spans="3:15" s="59" customFormat="1" ht="21" customHeight="1">
      <c r="C4976" s="61" t="s">
        <v>1215</v>
      </c>
      <c r="D4976" s="56" t="s">
        <v>1216</v>
      </c>
      <c r="E4976" s="57"/>
      <c r="F4976" s="57"/>
      <c r="G4976" s="57"/>
      <c r="H4976" s="57"/>
      <c r="I4976" s="44"/>
      <c r="J4976" s="44"/>
      <c r="K4976" s="44"/>
    </row>
    <row r="4977" spans="3:15" s="59" customFormat="1" ht="21" customHeight="1">
      <c r="C4977" s="450" t="s">
        <v>1217</v>
      </c>
      <c r="D4977" s="67"/>
      <c r="E4977" s="67"/>
      <c r="F4977" s="67"/>
      <c r="G4977" s="69"/>
      <c r="H4977" s="589">
        <v>0</v>
      </c>
      <c r="I4977" s="44"/>
      <c r="J4977" s="44"/>
      <c r="K4977" s="44"/>
    </row>
    <row r="4978" spans="3:15" s="59" customFormat="1" ht="21" customHeight="1">
      <c r="C4978" s="288" t="s">
        <v>1218</v>
      </c>
      <c r="D4978" s="76" t="s">
        <v>1219</v>
      </c>
      <c r="E4978" s="77"/>
      <c r="F4978" s="77"/>
      <c r="G4978" s="78"/>
      <c r="H4978" s="585">
        <f>H4977+H4975+H4972</f>
        <v>994619.99999999988</v>
      </c>
      <c r="I4978" s="369"/>
      <c r="J4978" s="44"/>
      <c r="K4978" s="44"/>
    </row>
    <row r="4979" spans="3:15" s="59" customFormat="1" ht="21" customHeight="1">
      <c r="C4979" s="288" t="s">
        <v>1220</v>
      </c>
      <c r="D4979" s="76" t="s">
        <v>1321</v>
      </c>
      <c r="E4979" s="77"/>
      <c r="F4979" s="78"/>
      <c r="G4979" s="80">
        <v>0.1</v>
      </c>
      <c r="H4979" s="63">
        <f>H4978*G4979</f>
        <v>99462</v>
      </c>
      <c r="I4979" s="369"/>
      <c r="J4979" s="44"/>
      <c r="K4979" s="44"/>
    </row>
    <row r="4980" spans="3:15" s="59" customFormat="1" ht="21" customHeight="1">
      <c r="C4980" s="288" t="s">
        <v>1221</v>
      </c>
      <c r="D4980" s="76" t="s">
        <v>1222</v>
      </c>
      <c r="E4980" s="77"/>
      <c r="F4980" s="77"/>
      <c r="G4980" s="78"/>
      <c r="H4980" s="799">
        <f>SUM(H4978:H4979)</f>
        <v>1094082</v>
      </c>
      <c r="I4980" s="369"/>
      <c r="J4980" s="44"/>
      <c r="K4980" s="44"/>
    </row>
    <row r="4981" spans="3:15" ht="21" customHeight="1"/>
    <row r="4982" spans="3:15" s="59" customFormat="1" ht="21" customHeight="1">
      <c r="C4982" s="147" t="s">
        <v>5505</v>
      </c>
      <c r="D4982" s="794" t="s">
        <v>4361</v>
      </c>
      <c r="E4982" s="795"/>
      <c r="F4982" s="795"/>
      <c r="G4982" s="795"/>
      <c r="H4982" s="795"/>
      <c r="I4982" s="50">
        <f>ROUNDDOWN(H4997,-2)</f>
        <v>1365400</v>
      </c>
      <c r="J4982" s="50"/>
      <c r="K4982" s="50"/>
    </row>
    <row r="4983" spans="3:15" s="59" customFormat="1" ht="21" customHeight="1">
      <c r="C4983" s="591" t="s">
        <v>1195</v>
      </c>
      <c r="D4983" s="591" t="s">
        <v>1196</v>
      </c>
      <c r="E4983" s="591" t="s">
        <v>1197</v>
      </c>
      <c r="F4983" s="591" t="s">
        <v>1198</v>
      </c>
      <c r="G4983" s="591" t="s">
        <v>1199</v>
      </c>
      <c r="H4983" s="591" t="s">
        <v>1200</v>
      </c>
      <c r="I4983" s="44"/>
      <c r="J4983" s="44"/>
      <c r="K4983" s="44"/>
    </row>
    <row r="4984" spans="3:15" s="59" customFormat="1" ht="21" customHeight="1">
      <c r="C4984" s="61" t="s">
        <v>1201</v>
      </c>
      <c r="D4984" s="56" t="s">
        <v>1202</v>
      </c>
      <c r="E4984" s="57"/>
      <c r="F4984" s="57"/>
      <c r="G4984" s="57"/>
      <c r="H4984" s="57"/>
      <c r="I4984" s="44"/>
      <c r="J4984" s="44"/>
      <c r="K4984" s="44"/>
      <c r="L4984" s="152" t="s">
        <v>1247</v>
      </c>
    </row>
    <row r="4985" spans="3:15" s="59" customFormat="1" ht="21" customHeight="1">
      <c r="C4985" s="588">
        <v>1</v>
      </c>
      <c r="D4985" s="56" t="s">
        <v>5</v>
      </c>
      <c r="E4985" s="577" t="s">
        <v>6</v>
      </c>
      <c r="F4985" s="62">
        <v>9.4E-2</v>
      </c>
      <c r="G4985" s="63">
        <f>VLOOKUP(D4985,upahbahan,3,FALSE)</f>
        <v>100000</v>
      </c>
      <c r="H4985" s="63">
        <f>F4985*G4985</f>
        <v>9400</v>
      </c>
      <c r="I4985" s="44"/>
      <c r="J4985" s="44"/>
      <c r="K4985" s="44"/>
      <c r="L4985" s="152" t="s">
        <v>1248</v>
      </c>
      <c r="O4985" s="65">
        <v>0.1</v>
      </c>
    </row>
    <row r="4986" spans="3:15" s="59" customFormat="1" ht="21" customHeight="1">
      <c r="C4986" s="588">
        <v>2</v>
      </c>
      <c r="D4986" s="56" t="s">
        <v>10</v>
      </c>
      <c r="E4986" s="577" t="s">
        <v>6</v>
      </c>
      <c r="F4986" s="62">
        <v>0.157</v>
      </c>
      <c r="G4986" s="63">
        <f>VLOOKUP(D4986,upahbahan,3,FALSE)</f>
        <v>135000</v>
      </c>
      <c r="H4986" s="63">
        <f>F4986*G4986</f>
        <v>21195</v>
      </c>
      <c r="I4986" s="44"/>
      <c r="J4986" s="44"/>
      <c r="K4986" s="44"/>
    </row>
    <row r="4987" spans="3:15" s="59" customFormat="1" ht="21" customHeight="1">
      <c r="C4987" s="588">
        <v>3</v>
      </c>
      <c r="D4987" s="56" t="s">
        <v>18</v>
      </c>
      <c r="E4987" s="577" t="s">
        <v>6</v>
      </c>
      <c r="F4987" s="62">
        <v>1.6E-2</v>
      </c>
      <c r="G4987" s="63">
        <f>VLOOKUP(D4987,upahbahan,3,FALSE)</f>
        <v>150000</v>
      </c>
      <c r="H4987" s="63">
        <f>F4987*G4987</f>
        <v>2400</v>
      </c>
      <c r="I4987" s="44"/>
      <c r="J4987" s="44"/>
      <c r="K4987" s="44"/>
    </row>
    <row r="4988" spans="3:15" s="59" customFormat="1" ht="21" customHeight="1">
      <c r="C4988" s="588">
        <v>4</v>
      </c>
      <c r="D4988" s="56" t="s">
        <v>19</v>
      </c>
      <c r="E4988" s="577" t="s">
        <v>6</v>
      </c>
      <c r="F4988" s="62">
        <v>5.0000000000000001E-3</v>
      </c>
      <c r="G4988" s="63">
        <f>VLOOKUP(D4988,upahbahan,3,FALSE)</f>
        <v>160000</v>
      </c>
      <c r="H4988" s="63">
        <f>F4988*G4988</f>
        <v>800</v>
      </c>
      <c r="I4988" s="44"/>
      <c r="J4988" s="44"/>
      <c r="K4988" s="44"/>
    </row>
    <row r="4989" spans="3:15" s="59" customFormat="1" ht="21" customHeight="1">
      <c r="C4989" s="450" t="s">
        <v>1208</v>
      </c>
      <c r="D4989" s="67"/>
      <c r="E4989" s="67"/>
      <c r="F4989" s="142"/>
      <c r="G4989" s="153"/>
      <c r="H4989" s="63">
        <f>SUM(H4985:H4988)</f>
        <v>33795</v>
      </c>
      <c r="I4989" s="154"/>
      <c r="J4989" s="154"/>
      <c r="K4989" s="154"/>
    </row>
    <row r="4990" spans="3:15" s="59" customFormat="1" ht="21" customHeight="1">
      <c r="C4990" s="61" t="s">
        <v>1209</v>
      </c>
      <c r="D4990" s="56" t="s">
        <v>1210</v>
      </c>
      <c r="E4990" s="57"/>
      <c r="F4990" s="57"/>
      <c r="G4990" s="57"/>
      <c r="H4990" s="57"/>
      <c r="I4990" s="44"/>
      <c r="J4990" s="44"/>
      <c r="K4990" s="44"/>
    </row>
    <row r="4991" spans="3:15" s="59" customFormat="1" ht="21" customHeight="1">
      <c r="C4991" s="61">
        <v>1</v>
      </c>
      <c r="D4991" s="56" t="s">
        <v>4362</v>
      </c>
      <c r="E4991" s="93" t="s">
        <v>4259</v>
      </c>
      <c r="F4991" s="104">
        <v>1.1499999999999999</v>
      </c>
      <c r="G4991" s="63">
        <f>VLOOKUP(D4991,upahbahan,3,FALSE)</f>
        <v>1050000</v>
      </c>
      <c r="H4991" s="586">
        <f>G4991*F4991</f>
        <v>1207500</v>
      </c>
      <c r="I4991" s="44"/>
      <c r="J4991" s="44"/>
      <c r="K4991" s="44"/>
    </row>
    <row r="4992" spans="3:15" s="59" customFormat="1" ht="21" customHeight="1">
      <c r="C4992" s="450" t="s">
        <v>1214</v>
      </c>
      <c r="D4992" s="67"/>
      <c r="E4992" s="67"/>
      <c r="F4992" s="67"/>
      <c r="G4992" s="69"/>
      <c r="H4992" s="63">
        <f>SUM(H4991:H4991)</f>
        <v>1207500</v>
      </c>
      <c r="I4992" s="44"/>
      <c r="J4992" s="44"/>
      <c r="K4992" s="44"/>
    </row>
    <row r="4993" spans="3:15" s="59" customFormat="1" ht="21" customHeight="1">
      <c r="C4993" s="61" t="s">
        <v>1215</v>
      </c>
      <c r="D4993" s="56" t="s">
        <v>1216</v>
      </c>
      <c r="E4993" s="57"/>
      <c r="F4993" s="57"/>
      <c r="G4993" s="57"/>
      <c r="H4993" s="57"/>
      <c r="I4993" s="44"/>
      <c r="J4993" s="44"/>
      <c r="K4993" s="44"/>
    </row>
    <row r="4994" spans="3:15" s="59" customFormat="1" ht="21" customHeight="1">
      <c r="C4994" s="450" t="s">
        <v>1217</v>
      </c>
      <c r="D4994" s="67"/>
      <c r="E4994" s="67"/>
      <c r="F4994" s="67"/>
      <c r="G4994" s="69"/>
      <c r="H4994" s="589">
        <v>0</v>
      </c>
      <c r="I4994" s="44"/>
      <c r="J4994" s="44"/>
      <c r="K4994" s="44"/>
    </row>
    <row r="4995" spans="3:15" s="59" customFormat="1" ht="21" customHeight="1">
      <c r="C4995" s="288" t="s">
        <v>1218</v>
      </c>
      <c r="D4995" s="76" t="s">
        <v>1219</v>
      </c>
      <c r="E4995" s="77"/>
      <c r="F4995" s="77"/>
      <c r="G4995" s="78"/>
      <c r="H4995" s="585">
        <f>H4994+H4992+H4989</f>
        <v>1241295</v>
      </c>
      <c r="I4995" s="369"/>
      <c r="J4995" s="44"/>
      <c r="K4995" s="44"/>
    </row>
    <row r="4996" spans="3:15" s="59" customFormat="1" ht="21" customHeight="1">
      <c r="C4996" s="288" t="s">
        <v>1220</v>
      </c>
      <c r="D4996" s="76" t="s">
        <v>1321</v>
      </c>
      <c r="E4996" s="77"/>
      <c r="F4996" s="78"/>
      <c r="G4996" s="80">
        <v>0.1</v>
      </c>
      <c r="H4996" s="63">
        <f>H4995*G4996</f>
        <v>124129.5</v>
      </c>
      <c r="I4996" s="369"/>
      <c r="J4996" s="44"/>
      <c r="K4996" s="44"/>
    </row>
    <row r="4997" spans="3:15" s="59" customFormat="1" ht="21" customHeight="1">
      <c r="C4997" s="288" t="s">
        <v>1221</v>
      </c>
      <c r="D4997" s="76" t="s">
        <v>1222</v>
      </c>
      <c r="E4997" s="77"/>
      <c r="F4997" s="77"/>
      <c r="G4997" s="78"/>
      <c r="H4997" s="799">
        <f>SUM(H4995:H4996)</f>
        <v>1365424.5</v>
      </c>
      <c r="I4997" s="369"/>
      <c r="J4997" s="44"/>
      <c r="K4997" s="44"/>
    </row>
    <row r="4998" spans="3:15" ht="21" customHeight="1"/>
    <row r="4999" spans="3:15" s="59" customFormat="1" ht="21" customHeight="1">
      <c r="C4999" s="147" t="s">
        <v>5506</v>
      </c>
      <c r="D4999" s="794" t="s">
        <v>4364</v>
      </c>
      <c r="E4999" s="795"/>
      <c r="F4999" s="795"/>
      <c r="G4999" s="795"/>
      <c r="H4999" s="795"/>
      <c r="I4999" s="50">
        <f>ROUNDDOWN(H5014,-2)</f>
        <v>1629200</v>
      </c>
      <c r="J4999" s="50"/>
      <c r="K4999" s="50"/>
    </row>
    <row r="5000" spans="3:15" s="59" customFormat="1" ht="21" customHeight="1">
      <c r="C5000" s="591" t="s">
        <v>1195</v>
      </c>
      <c r="D5000" s="591" t="s">
        <v>1196</v>
      </c>
      <c r="E5000" s="591" t="s">
        <v>1197</v>
      </c>
      <c r="F5000" s="591" t="s">
        <v>1198</v>
      </c>
      <c r="G5000" s="591" t="s">
        <v>1199</v>
      </c>
      <c r="H5000" s="591" t="s">
        <v>1200</v>
      </c>
      <c r="I5000" s="44"/>
      <c r="J5000" s="44"/>
      <c r="K5000" s="44"/>
    </row>
    <row r="5001" spans="3:15" s="59" customFormat="1" ht="21" customHeight="1">
      <c r="C5001" s="61" t="s">
        <v>1201</v>
      </c>
      <c r="D5001" s="56" t="s">
        <v>1202</v>
      </c>
      <c r="E5001" s="57"/>
      <c r="F5001" s="57"/>
      <c r="G5001" s="57"/>
      <c r="H5001" s="57"/>
      <c r="I5001" s="44"/>
      <c r="J5001" s="44"/>
      <c r="K5001" s="44"/>
      <c r="L5001" s="152" t="s">
        <v>1247</v>
      </c>
    </row>
    <row r="5002" spans="3:15" s="59" customFormat="1" ht="21" customHeight="1">
      <c r="C5002" s="588">
        <v>1</v>
      </c>
      <c r="D5002" s="56" t="s">
        <v>5</v>
      </c>
      <c r="E5002" s="577" t="s">
        <v>6</v>
      </c>
      <c r="F5002" s="62">
        <v>0.183</v>
      </c>
      <c r="G5002" s="63">
        <f>VLOOKUP(D5002,upahbahan,3,FALSE)</f>
        <v>100000</v>
      </c>
      <c r="H5002" s="63">
        <f>F5002*G5002</f>
        <v>18300</v>
      </c>
      <c r="I5002" s="44"/>
      <c r="J5002" s="44"/>
      <c r="K5002" s="44"/>
      <c r="L5002" s="152" t="s">
        <v>1248</v>
      </c>
      <c r="O5002" s="65">
        <v>0.1</v>
      </c>
    </row>
    <row r="5003" spans="3:15" s="59" customFormat="1" ht="21" customHeight="1">
      <c r="C5003" s="588">
        <v>2</v>
      </c>
      <c r="D5003" s="56" t="s">
        <v>10</v>
      </c>
      <c r="E5003" s="577" t="s">
        <v>6</v>
      </c>
      <c r="F5003" s="62">
        <v>0.30599999999999999</v>
      </c>
      <c r="G5003" s="63">
        <f>VLOOKUP(D5003,upahbahan,3,FALSE)</f>
        <v>135000</v>
      </c>
      <c r="H5003" s="63">
        <f>F5003*G5003</f>
        <v>41310</v>
      </c>
      <c r="I5003" s="44"/>
      <c r="J5003" s="44"/>
      <c r="K5003" s="44"/>
    </row>
    <row r="5004" spans="3:15" s="59" customFormat="1" ht="21" customHeight="1">
      <c r="C5004" s="588">
        <v>3</v>
      </c>
      <c r="D5004" s="56" t="s">
        <v>18</v>
      </c>
      <c r="E5004" s="577" t="s">
        <v>6</v>
      </c>
      <c r="F5004" s="62">
        <v>3.1E-2</v>
      </c>
      <c r="G5004" s="63">
        <f>VLOOKUP(D5004,upahbahan,3,FALSE)</f>
        <v>150000</v>
      </c>
      <c r="H5004" s="63">
        <f>F5004*G5004</f>
        <v>4650</v>
      </c>
      <c r="I5004" s="44"/>
      <c r="J5004" s="44"/>
      <c r="K5004" s="44"/>
    </row>
    <row r="5005" spans="3:15" s="59" customFormat="1" ht="21" customHeight="1">
      <c r="C5005" s="588">
        <v>4</v>
      </c>
      <c r="D5005" s="56" t="s">
        <v>19</v>
      </c>
      <c r="E5005" s="577" t="s">
        <v>6</v>
      </c>
      <c r="F5005" s="62">
        <v>8.9999999999999993E-3</v>
      </c>
      <c r="G5005" s="63">
        <f>VLOOKUP(D5005,upahbahan,3,FALSE)</f>
        <v>160000</v>
      </c>
      <c r="H5005" s="63">
        <f>F5005*G5005</f>
        <v>1440</v>
      </c>
      <c r="I5005" s="44"/>
      <c r="J5005" s="44"/>
      <c r="K5005" s="44"/>
    </row>
    <row r="5006" spans="3:15" s="59" customFormat="1" ht="21" customHeight="1">
      <c r="C5006" s="450" t="s">
        <v>1208</v>
      </c>
      <c r="D5006" s="67"/>
      <c r="E5006" s="67"/>
      <c r="F5006" s="142"/>
      <c r="G5006" s="153"/>
      <c r="H5006" s="63">
        <f>SUM(H5002:H5005)</f>
        <v>65700</v>
      </c>
      <c r="I5006" s="154"/>
      <c r="J5006" s="154"/>
      <c r="K5006" s="154"/>
    </row>
    <row r="5007" spans="3:15" s="59" customFormat="1" ht="21" customHeight="1">
      <c r="C5007" s="61" t="s">
        <v>1209</v>
      </c>
      <c r="D5007" s="56" t="s">
        <v>1210</v>
      </c>
      <c r="E5007" s="57"/>
      <c r="F5007" s="57"/>
      <c r="G5007" s="57"/>
      <c r="H5007" s="57"/>
      <c r="I5007" s="44"/>
      <c r="J5007" s="44"/>
      <c r="K5007" s="44"/>
    </row>
    <row r="5008" spans="3:15" s="59" customFormat="1" ht="21" customHeight="1">
      <c r="C5008" s="61">
        <v>1</v>
      </c>
      <c r="D5008" s="56" t="s">
        <v>4365</v>
      </c>
      <c r="E5008" s="93" t="s">
        <v>4259</v>
      </c>
      <c r="F5008" s="104">
        <v>1.1499999999999999</v>
      </c>
      <c r="G5008" s="63">
        <f>VLOOKUP(D5008,upahbahan,3,FALSE)</f>
        <v>1230800</v>
      </c>
      <c r="H5008" s="586">
        <f>G5008*F5008</f>
        <v>1415420</v>
      </c>
      <c r="I5008" s="44"/>
      <c r="J5008" s="44"/>
      <c r="K5008" s="44"/>
    </row>
    <row r="5009" spans="3:15" s="59" customFormat="1" ht="21" customHeight="1">
      <c r="C5009" s="450" t="s">
        <v>1214</v>
      </c>
      <c r="D5009" s="67"/>
      <c r="E5009" s="67"/>
      <c r="F5009" s="67"/>
      <c r="G5009" s="69"/>
      <c r="H5009" s="63">
        <f>SUM(H5008:H5008)</f>
        <v>1415420</v>
      </c>
      <c r="I5009" s="44"/>
      <c r="J5009" s="44"/>
      <c r="K5009" s="44"/>
    </row>
    <row r="5010" spans="3:15" s="59" customFormat="1" ht="21" customHeight="1">
      <c r="C5010" s="61" t="s">
        <v>1215</v>
      </c>
      <c r="D5010" s="56" t="s">
        <v>1216</v>
      </c>
      <c r="E5010" s="57"/>
      <c r="F5010" s="57"/>
      <c r="G5010" s="57"/>
      <c r="H5010" s="57"/>
      <c r="I5010" s="44"/>
      <c r="J5010" s="44"/>
      <c r="K5010" s="44"/>
    </row>
    <row r="5011" spans="3:15" s="59" customFormat="1" ht="21" customHeight="1">
      <c r="C5011" s="450" t="s">
        <v>1217</v>
      </c>
      <c r="D5011" s="67"/>
      <c r="E5011" s="67"/>
      <c r="F5011" s="67"/>
      <c r="G5011" s="69"/>
      <c r="H5011" s="589">
        <v>0</v>
      </c>
      <c r="I5011" s="44"/>
      <c r="J5011" s="44"/>
      <c r="K5011" s="44"/>
    </row>
    <row r="5012" spans="3:15" s="59" customFormat="1" ht="21" customHeight="1">
      <c r="C5012" s="288" t="s">
        <v>1218</v>
      </c>
      <c r="D5012" s="76" t="s">
        <v>1219</v>
      </c>
      <c r="E5012" s="77"/>
      <c r="F5012" s="77"/>
      <c r="G5012" s="78"/>
      <c r="H5012" s="585">
        <f>H5011+H5009+H5006</f>
        <v>1481120</v>
      </c>
      <c r="I5012" s="369"/>
      <c r="J5012" s="44"/>
      <c r="K5012" s="44"/>
    </row>
    <row r="5013" spans="3:15" s="59" customFormat="1" ht="21" customHeight="1">
      <c r="C5013" s="288" t="s">
        <v>1220</v>
      </c>
      <c r="D5013" s="76" t="s">
        <v>1321</v>
      </c>
      <c r="E5013" s="77"/>
      <c r="F5013" s="78"/>
      <c r="G5013" s="80">
        <v>0.1</v>
      </c>
      <c r="H5013" s="63">
        <f>H5012*G5013</f>
        <v>148112</v>
      </c>
      <c r="I5013" s="369"/>
      <c r="J5013" s="44"/>
      <c r="K5013" s="44"/>
    </row>
    <row r="5014" spans="3:15" s="59" customFormat="1" ht="21" customHeight="1">
      <c r="C5014" s="288" t="s">
        <v>1221</v>
      </c>
      <c r="D5014" s="76" t="s">
        <v>1222</v>
      </c>
      <c r="E5014" s="77"/>
      <c r="F5014" s="77"/>
      <c r="G5014" s="78"/>
      <c r="H5014" s="799">
        <f>SUM(H5012:H5013)</f>
        <v>1629232</v>
      </c>
      <c r="I5014" s="369"/>
      <c r="J5014" s="44"/>
      <c r="K5014" s="44"/>
    </row>
    <row r="5015" spans="3:15" ht="21" customHeight="1"/>
    <row r="5016" spans="3:15" s="59" customFormat="1" ht="21" customHeight="1">
      <c r="C5016" s="147" t="s">
        <v>5507</v>
      </c>
      <c r="D5016" s="794" t="s">
        <v>4363</v>
      </c>
      <c r="E5016" s="795"/>
      <c r="F5016" s="795"/>
      <c r="G5016" s="795"/>
      <c r="H5016" s="795"/>
      <c r="I5016" s="50">
        <f>ROUNDDOWN(H5031,-2)</f>
        <v>1907700</v>
      </c>
      <c r="J5016" s="50"/>
      <c r="K5016" s="50"/>
    </row>
    <row r="5017" spans="3:15" s="59" customFormat="1" ht="21" customHeight="1">
      <c r="C5017" s="591" t="s">
        <v>1195</v>
      </c>
      <c r="D5017" s="591" t="s">
        <v>1196</v>
      </c>
      <c r="E5017" s="591" t="s">
        <v>1197</v>
      </c>
      <c r="F5017" s="591" t="s">
        <v>1198</v>
      </c>
      <c r="G5017" s="591" t="s">
        <v>1199</v>
      </c>
      <c r="H5017" s="591" t="s">
        <v>1200</v>
      </c>
      <c r="I5017" s="44"/>
      <c r="J5017" s="44"/>
      <c r="K5017" s="44"/>
    </row>
    <row r="5018" spans="3:15" s="59" customFormat="1" ht="21" customHeight="1">
      <c r="C5018" s="61" t="s">
        <v>1201</v>
      </c>
      <c r="D5018" s="56" t="s">
        <v>1202</v>
      </c>
      <c r="E5018" s="57"/>
      <c r="F5018" s="57"/>
      <c r="G5018" s="57"/>
      <c r="H5018" s="57"/>
      <c r="I5018" s="44"/>
      <c r="J5018" s="44"/>
      <c r="K5018" s="44"/>
      <c r="L5018" s="152" t="s">
        <v>1247</v>
      </c>
    </row>
    <row r="5019" spans="3:15" s="59" customFormat="1" ht="21" customHeight="1">
      <c r="C5019" s="588">
        <v>1</v>
      </c>
      <c r="D5019" s="56" t="s">
        <v>5</v>
      </c>
      <c r="E5019" s="577" t="s">
        <v>6</v>
      </c>
      <c r="F5019" s="62">
        <v>0.24399999999999999</v>
      </c>
      <c r="G5019" s="63">
        <f>VLOOKUP(D5019,upahbahan,3,FALSE)</f>
        <v>100000</v>
      </c>
      <c r="H5019" s="63">
        <f>F5019*G5019</f>
        <v>24400</v>
      </c>
      <c r="I5019" s="44"/>
      <c r="J5019" s="44"/>
      <c r="K5019" s="44"/>
      <c r="L5019" s="152" t="s">
        <v>1248</v>
      </c>
      <c r="O5019" s="65">
        <v>0.1</v>
      </c>
    </row>
    <row r="5020" spans="3:15" s="59" customFormat="1" ht="21" customHeight="1">
      <c r="C5020" s="588">
        <v>2</v>
      </c>
      <c r="D5020" s="56" t="s">
        <v>10</v>
      </c>
      <c r="E5020" s="577" t="s">
        <v>6</v>
      </c>
      <c r="F5020" s="62">
        <v>0.40799999999999997</v>
      </c>
      <c r="G5020" s="63">
        <f>VLOOKUP(D5020,upahbahan,3,FALSE)</f>
        <v>135000</v>
      </c>
      <c r="H5020" s="63">
        <f>F5020*G5020</f>
        <v>55080</v>
      </c>
      <c r="I5020" s="44"/>
      <c r="J5020" s="44"/>
      <c r="K5020" s="44"/>
    </row>
    <row r="5021" spans="3:15" s="59" customFormat="1" ht="21" customHeight="1">
      <c r="C5021" s="588">
        <v>3</v>
      </c>
      <c r="D5021" s="56" t="s">
        <v>18</v>
      </c>
      <c r="E5021" s="577" t="s">
        <v>6</v>
      </c>
      <c r="F5021" s="62">
        <v>4.1000000000000002E-2</v>
      </c>
      <c r="G5021" s="63">
        <f>VLOOKUP(D5021,upahbahan,3,FALSE)</f>
        <v>150000</v>
      </c>
      <c r="H5021" s="63">
        <f>F5021*G5021</f>
        <v>6150</v>
      </c>
      <c r="I5021" s="44"/>
      <c r="J5021" s="44"/>
      <c r="K5021" s="44"/>
    </row>
    <row r="5022" spans="3:15" s="59" customFormat="1" ht="21" customHeight="1">
      <c r="C5022" s="588">
        <v>4</v>
      </c>
      <c r="D5022" s="56" t="s">
        <v>19</v>
      </c>
      <c r="E5022" s="577" t="s">
        <v>6</v>
      </c>
      <c r="F5022" s="62">
        <v>1.2E-2</v>
      </c>
      <c r="G5022" s="63">
        <f>VLOOKUP(D5022,upahbahan,3,FALSE)</f>
        <v>160000</v>
      </c>
      <c r="H5022" s="63">
        <f>F5022*G5022</f>
        <v>1920</v>
      </c>
      <c r="I5022" s="44"/>
      <c r="J5022" s="44"/>
      <c r="K5022" s="44"/>
    </row>
    <row r="5023" spans="3:15" s="59" customFormat="1" ht="21" customHeight="1">
      <c r="C5023" s="450" t="s">
        <v>1208</v>
      </c>
      <c r="D5023" s="67"/>
      <c r="E5023" s="67"/>
      <c r="F5023" s="142"/>
      <c r="G5023" s="153"/>
      <c r="H5023" s="63">
        <f>SUM(H5019:H5022)</f>
        <v>87550</v>
      </c>
      <c r="I5023" s="154"/>
      <c r="J5023" s="154"/>
      <c r="K5023" s="154"/>
    </row>
    <row r="5024" spans="3:15" s="59" customFormat="1" ht="21" customHeight="1">
      <c r="C5024" s="61" t="s">
        <v>1209</v>
      </c>
      <c r="D5024" s="56" t="s">
        <v>1210</v>
      </c>
      <c r="E5024" s="57"/>
      <c r="F5024" s="57"/>
      <c r="G5024" s="57"/>
      <c r="H5024" s="57"/>
      <c r="I5024" s="44"/>
      <c r="J5024" s="44"/>
      <c r="K5024" s="44"/>
    </row>
    <row r="5025" spans="3:15" s="59" customFormat="1" ht="21" customHeight="1">
      <c r="C5025" s="61">
        <v>1</v>
      </c>
      <c r="D5025" s="56" t="s">
        <v>4366</v>
      </c>
      <c r="E5025" s="93" t="s">
        <v>4259</v>
      </c>
      <c r="F5025" s="104">
        <v>1.1499999999999999</v>
      </c>
      <c r="G5025" s="63">
        <f>VLOOKUP(D5025,upahbahan,3,FALSE)</f>
        <v>1432000</v>
      </c>
      <c r="H5025" s="586">
        <f>G5025*F5025</f>
        <v>1646799.9999999998</v>
      </c>
      <c r="I5025" s="44"/>
      <c r="J5025" s="44"/>
      <c r="K5025" s="44"/>
    </row>
    <row r="5026" spans="3:15" s="59" customFormat="1" ht="21" customHeight="1">
      <c r="C5026" s="450" t="s">
        <v>1214</v>
      </c>
      <c r="D5026" s="67"/>
      <c r="E5026" s="67"/>
      <c r="F5026" s="67"/>
      <c r="G5026" s="69"/>
      <c r="H5026" s="63">
        <f>SUM(H5025:H5025)</f>
        <v>1646799.9999999998</v>
      </c>
      <c r="I5026" s="44"/>
      <c r="J5026" s="44"/>
      <c r="K5026" s="44"/>
    </row>
    <row r="5027" spans="3:15" s="59" customFormat="1" ht="21" customHeight="1">
      <c r="C5027" s="61" t="s">
        <v>1215</v>
      </c>
      <c r="D5027" s="56" t="s">
        <v>1216</v>
      </c>
      <c r="E5027" s="57"/>
      <c r="F5027" s="57"/>
      <c r="G5027" s="57"/>
      <c r="H5027" s="57"/>
      <c r="I5027" s="44"/>
      <c r="J5027" s="44"/>
      <c r="K5027" s="44"/>
    </row>
    <row r="5028" spans="3:15" s="59" customFormat="1" ht="21" customHeight="1">
      <c r="C5028" s="450" t="s">
        <v>1217</v>
      </c>
      <c r="D5028" s="67"/>
      <c r="E5028" s="67"/>
      <c r="F5028" s="67"/>
      <c r="G5028" s="69"/>
      <c r="H5028" s="589">
        <v>0</v>
      </c>
      <c r="I5028" s="44"/>
      <c r="J5028" s="44"/>
      <c r="K5028" s="44"/>
    </row>
    <row r="5029" spans="3:15" s="59" customFormat="1" ht="21" customHeight="1">
      <c r="C5029" s="288" t="s">
        <v>1218</v>
      </c>
      <c r="D5029" s="76" t="s">
        <v>1219</v>
      </c>
      <c r="E5029" s="77"/>
      <c r="F5029" s="77"/>
      <c r="G5029" s="78"/>
      <c r="H5029" s="585">
        <f>H5028+H5026+H5023</f>
        <v>1734349.9999999998</v>
      </c>
      <c r="I5029" s="369"/>
      <c r="J5029" s="44"/>
      <c r="K5029" s="44"/>
    </row>
    <row r="5030" spans="3:15" s="59" customFormat="1" ht="21" customHeight="1">
      <c r="C5030" s="288" t="s">
        <v>1220</v>
      </c>
      <c r="D5030" s="76" t="s">
        <v>1321</v>
      </c>
      <c r="E5030" s="77"/>
      <c r="F5030" s="78"/>
      <c r="G5030" s="80">
        <v>0.1</v>
      </c>
      <c r="H5030" s="63">
        <f>H5029*G5030</f>
        <v>173435</v>
      </c>
      <c r="I5030" s="369"/>
      <c r="J5030" s="44"/>
      <c r="K5030" s="44"/>
    </row>
    <row r="5031" spans="3:15" s="59" customFormat="1" ht="21" customHeight="1">
      <c r="C5031" s="288" t="s">
        <v>1221</v>
      </c>
      <c r="D5031" s="76" t="s">
        <v>1222</v>
      </c>
      <c r="E5031" s="77"/>
      <c r="F5031" s="77"/>
      <c r="G5031" s="78"/>
      <c r="H5031" s="799">
        <f>SUM(H5029:H5030)</f>
        <v>1907784.9999999998</v>
      </c>
      <c r="I5031" s="369"/>
      <c r="J5031" s="44"/>
      <c r="K5031" s="44"/>
    </row>
    <row r="5032" spans="3:15" ht="21" customHeight="1"/>
    <row r="5033" spans="3:15" s="59" customFormat="1" ht="21" customHeight="1">
      <c r="C5033" s="147" t="s">
        <v>5508</v>
      </c>
      <c r="D5033" s="794" t="s">
        <v>4368</v>
      </c>
      <c r="E5033" s="795"/>
      <c r="F5033" s="795"/>
      <c r="G5033" s="795"/>
      <c r="H5033" s="795"/>
      <c r="I5033" s="50">
        <f>ROUNDDOWN(H5048,-2)</f>
        <v>2235000</v>
      </c>
      <c r="J5033" s="50"/>
      <c r="K5033" s="50"/>
    </row>
    <row r="5034" spans="3:15" s="59" customFormat="1" ht="21" customHeight="1">
      <c r="C5034" s="591" t="s">
        <v>1195</v>
      </c>
      <c r="D5034" s="591" t="s">
        <v>1196</v>
      </c>
      <c r="E5034" s="591" t="s">
        <v>1197</v>
      </c>
      <c r="F5034" s="591" t="s">
        <v>1198</v>
      </c>
      <c r="G5034" s="591" t="s">
        <v>1199</v>
      </c>
      <c r="H5034" s="591" t="s">
        <v>1200</v>
      </c>
      <c r="I5034" s="44"/>
      <c r="J5034" s="44"/>
      <c r="K5034" s="44"/>
    </row>
    <row r="5035" spans="3:15" s="59" customFormat="1" ht="21" customHeight="1">
      <c r="C5035" s="61" t="s">
        <v>1201</v>
      </c>
      <c r="D5035" s="56" t="s">
        <v>1202</v>
      </c>
      <c r="E5035" s="57"/>
      <c r="F5035" s="57"/>
      <c r="G5035" s="57"/>
      <c r="H5035" s="57"/>
      <c r="I5035" s="44"/>
      <c r="J5035" s="44"/>
      <c r="K5035" s="44"/>
      <c r="L5035" s="152" t="s">
        <v>1247</v>
      </c>
    </row>
    <row r="5036" spans="3:15" s="59" customFormat="1" ht="21" customHeight="1">
      <c r="C5036" s="588">
        <v>1</v>
      </c>
      <c r="D5036" s="56" t="s">
        <v>5</v>
      </c>
      <c r="E5036" s="577" t="s">
        <v>6</v>
      </c>
      <c r="F5036" s="62">
        <v>0.36499999999999999</v>
      </c>
      <c r="G5036" s="63">
        <f>VLOOKUP(D5036,upahbahan,3,FALSE)</f>
        <v>100000</v>
      </c>
      <c r="H5036" s="63">
        <f>F5036*G5036</f>
        <v>36500</v>
      </c>
      <c r="I5036" s="44"/>
      <c r="J5036" s="44"/>
      <c r="K5036" s="44"/>
      <c r="L5036" s="152" t="s">
        <v>1248</v>
      </c>
      <c r="O5036" s="65">
        <v>0.1</v>
      </c>
    </row>
    <row r="5037" spans="3:15" s="59" customFormat="1" ht="21" customHeight="1">
      <c r="C5037" s="588">
        <v>2</v>
      </c>
      <c r="D5037" s="56" t="s">
        <v>10</v>
      </c>
      <c r="E5037" s="577" t="s">
        <v>6</v>
      </c>
      <c r="F5037" s="62">
        <v>0.61</v>
      </c>
      <c r="G5037" s="63">
        <f>VLOOKUP(D5037,upahbahan,3,FALSE)</f>
        <v>135000</v>
      </c>
      <c r="H5037" s="63">
        <f>F5037*G5037</f>
        <v>82350</v>
      </c>
      <c r="I5037" s="44"/>
      <c r="J5037" s="44"/>
      <c r="K5037" s="44"/>
    </row>
    <row r="5038" spans="3:15" s="59" customFormat="1" ht="21" customHeight="1">
      <c r="C5038" s="588">
        <v>3</v>
      </c>
      <c r="D5038" s="56" t="s">
        <v>18</v>
      </c>
      <c r="E5038" s="577" t="s">
        <v>6</v>
      </c>
      <c r="F5038" s="62">
        <v>6.0999999999999999E-2</v>
      </c>
      <c r="G5038" s="63">
        <f>VLOOKUP(D5038,upahbahan,3,FALSE)</f>
        <v>150000</v>
      </c>
      <c r="H5038" s="63">
        <f>F5038*G5038</f>
        <v>9150</v>
      </c>
      <c r="I5038" s="44"/>
      <c r="J5038" s="44"/>
      <c r="K5038" s="44"/>
    </row>
    <row r="5039" spans="3:15" s="59" customFormat="1" ht="21" customHeight="1">
      <c r="C5039" s="588">
        <v>4</v>
      </c>
      <c r="D5039" s="56" t="s">
        <v>19</v>
      </c>
      <c r="E5039" s="577" t="s">
        <v>6</v>
      </c>
      <c r="F5039" s="62">
        <v>1.7999999999999999E-2</v>
      </c>
      <c r="G5039" s="63">
        <f>VLOOKUP(D5039,upahbahan,3,FALSE)</f>
        <v>160000</v>
      </c>
      <c r="H5039" s="63">
        <f>F5039*G5039</f>
        <v>2880</v>
      </c>
      <c r="I5039" s="44"/>
      <c r="J5039" s="44"/>
      <c r="K5039" s="44"/>
    </row>
    <row r="5040" spans="3:15" s="59" customFormat="1" ht="21" customHeight="1">
      <c r="C5040" s="450" t="s">
        <v>1208</v>
      </c>
      <c r="D5040" s="67"/>
      <c r="E5040" s="67"/>
      <c r="F5040" s="142"/>
      <c r="G5040" s="153"/>
      <c r="H5040" s="63">
        <f>SUM(H5036:H5039)</f>
        <v>130880</v>
      </c>
      <c r="I5040" s="154"/>
      <c r="J5040" s="154"/>
      <c r="K5040" s="154"/>
    </row>
    <row r="5041" spans="3:15" s="59" customFormat="1" ht="21" customHeight="1">
      <c r="C5041" s="61" t="s">
        <v>1209</v>
      </c>
      <c r="D5041" s="56" t="s">
        <v>1210</v>
      </c>
      <c r="E5041" s="57"/>
      <c r="F5041" s="57"/>
      <c r="G5041" s="57"/>
      <c r="H5041" s="57"/>
      <c r="I5041" s="44"/>
      <c r="J5041" s="44"/>
      <c r="K5041" s="44"/>
    </row>
    <row r="5042" spans="3:15" s="59" customFormat="1" ht="21" customHeight="1">
      <c r="C5042" s="61">
        <v>1</v>
      </c>
      <c r="D5042" s="56" t="s">
        <v>4367</v>
      </c>
      <c r="E5042" s="93" t="s">
        <v>4259</v>
      </c>
      <c r="F5042" s="104">
        <v>1.1499999999999999</v>
      </c>
      <c r="G5042" s="63">
        <f>VLOOKUP(D5042,upahbahan,3,FALSE)</f>
        <v>1653000</v>
      </c>
      <c r="H5042" s="586">
        <f>G5042*F5042</f>
        <v>1900949.9999999998</v>
      </c>
      <c r="I5042" s="44"/>
      <c r="J5042" s="44"/>
      <c r="K5042" s="44"/>
    </row>
    <row r="5043" spans="3:15" s="59" customFormat="1" ht="21" customHeight="1">
      <c r="C5043" s="450" t="s">
        <v>1214</v>
      </c>
      <c r="D5043" s="67"/>
      <c r="E5043" s="67"/>
      <c r="F5043" s="67"/>
      <c r="G5043" s="69"/>
      <c r="H5043" s="63">
        <f>SUM(H5042:H5042)</f>
        <v>1900949.9999999998</v>
      </c>
      <c r="I5043" s="44"/>
      <c r="J5043" s="44"/>
      <c r="K5043" s="44"/>
    </row>
    <row r="5044" spans="3:15" s="59" customFormat="1" ht="21" customHeight="1">
      <c r="C5044" s="61" t="s">
        <v>1215</v>
      </c>
      <c r="D5044" s="56" t="s">
        <v>1216</v>
      </c>
      <c r="E5044" s="57"/>
      <c r="F5044" s="57"/>
      <c r="G5044" s="57"/>
      <c r="H5044" s="57"/>
      <c r="I5044" s="44"/>
      <c r="J5044" s="44"/>
      <c r="K5044" s="44"/>
    </row>
    <row r="5045" spans="3:15" s="59" customFormat="1" ht="21" customHeight="1">
      <c r="C5045" s="450" t="s">
        <v>1217</v>
      </c>
      <c r="D5045" s="67"/>
      <c r="E5045" s="67"/>
      <c r="F5045" s="67"/>
      <c r="G5045" s="69"/>
      <c r="H5045" s="589">
        <v>0</v>
      </c>
      <c r="I5045" s="44"/>
      <c r="J5045" s="44"/>
      <c r="K5045" s="44"/>
    </row>
    <row r="5046" spans="3:15" s="59" customFormat="1" ht="21" customHeight="1">
      <c r="C5046" s="288" t="s">
        <v>1218</v>
      </c>
      <c r="D5046" s="76" t="s">
        <v>1219</v>
      </c>
      <c r="E5046" s="77"/>
      <c r="F5046" s="77"/>
      <c r="G5046" s="78"/>
      <c r="H5046" s="585">
        <f>H5045+H5043+H5040</f>
        <v>2031829.9999999998</v>
      </c>
      <c r="I5046" s="369"/>
      <c r="J5046" s="44"/>
      <c r="K5046" s="44"/>
    </row>
    <row r="5047" spans="3:15" s="59" customFormat="1" ht="21" customHeight="1">
      <c r="C5047" s="288" t="s">
        <v>1220</v>
      </c>
      <c r="D5047" s="76" t="s">
        <v>1321</v>
      </c>
      <c r="E5047" s="77"/>
      <c r="F5047" s="78"/>
      <c r="G5047" s="80">
        <v>0.1</v>
      </c>
      <c r="H5047" s="63">
        <f>H5046*G5047</f>
        <v>203183</v>
      </c>
      <c r="I5047" s="369"/>
      <c r="J5047" s="44"/>
      <c r="K5047" s="44"/>
    </row>
    <row r="5048" spans="3:15" s="59" customFormat="1" ht="21" customHeight="1">
      <c r="C5048" s="288" t="s">
        <v>1221</v>
      </c>
      <c r="D5048" s="76" t="s">
        <v>1222</v>
      </c>
      <c r="E5048" s="77"/>
      <c r="F5048" s="77"/>
      <c r="G5048" s="78"/>
      <c r="H5048" s="799">
        <f>SUM(H5046:H5047)</f>
        <v>2235013</v>
      </c>
      <c r="I5048" s="369"/>
      <c r="J5048" s="44"/>
      <c r="K5048" s="44"/>
    </row>
    <row r="5049" spans="3:15" ht="21" customHeight="1"/>
    <row r="5050" spans="3:15" ht="21" customHeight="1"/>
    <row r="5051" spans="3:15" ht="21" customHeight="1">
      <c r="C5051" s="43" t="s">
        <v>5504</v>
      </c>
      <c r="D5051" s="128" t="s">
        <v>4370</v>
      </c>
    </row>
    <row r="5052" spans="3:15" s="59" customFormat="1" ht="21" customHeight="1">
      <c r="C5052" s="147" t="s">
        <v>5509</v>
      </c>
      <c r="D5052" s="794" t="s">
        <v>4371</v>
      </c>
      <c r="E5052" s="795"/>
      <c r="F5052" s="795"/>
      <c r="G5052" s="795"/>
      <c r="H5052" s="795"/>
      <c r="I5052" s="50">
        <f>ROUNDDOWN(H5067,-2)</f>
        <v>329400</v>
      </c>
      <c r="J5052" s="50"/>
      <c r="K5052" s="50"/>
    </row>
    <row r="5053" spans="3:15" s="59" customFormat="1" ht="21" customHeight="1">
      <c r="C5053" s="591" t="s">
        <v>1195</v>
      </c>
      <c r="D5053" s="591" t="s">
        <v>1196</v>
      </c>
      <c r="E5053" s="591" t="s">
        <v>1197</v>
      </c>
      <c r="F5053" s="591" t="s">
        <v>1198</v>
      </c>
      <c r="G5053" s="591" t="s">
        <v>1199</v>
      </c>
      <c r="H5053" s="591" t="s">
        <v>1200</v>
      </c>
      <c r="I5053" s="44"/>
      <c r="J5053" s="44"/>
      <c r="K5053" s="44"/>
    </row>
    <row r="5054" spans="3:15" s="59" customFormat="1" ht="21" customHeight="1">
      <c r="C5054" s="61" t="s">
        <v>1201</v>
      </c>
      <c r="D5054" s="56" t="s">
        <v>1202</v>
      </c>
      <c r="E5054" s="57"/>
      <c r="F5054" s="57"/>
      <c r="G5054" s="57"/>
      <c r="H5054" s="57"/>
      <c r="I5054" s="44"/>
      <c r="J5054" s="44"/>
      <c r="K5054" s="44"/>
      <c r="L5054" s="152" t="s">
        <v>1247</v>
      </c>
    </row>
    <row r="5055" spans="3:15" s="59" customFormat="1" ht="21" customHeight="1">
      <c r="C5055" s="588">
        <v>1</v>
      </c>
      <c r="D5055" s="56" t="s">
        <v>5</v>
      </c>
      <c r="E5055" s="577" t="s">
        <v>6</v>
      </c>
      <c r="F5055" s="62">
        <v>9.4E-2</v>
      </c>
      <c r="G5055" s="63">
        <f>VLOOKUP(D5055,upahbahan,3,FALSE)</f>
        <v>100000</v>
      </c>
      <c r="H5055" s="63">
        <f>F5055*G5055</f>
        <v>9400</v>
      </c>
      <c r="I5055" s="44"/>
      <c r="J5055" s="44"/>
      <c r="K5055" s="44"/>
      <c r="L5055" s="152" t="s">
        <v>1248</v>
      </c>
      <c r="O5055" s="65">
        <v>0.1</v>
      </c>
    </row>
    <row r="5056" spans="3:15" s="59" customFormat="1" ht="21" customHeight="1">
      <c r="C5056" s="588">
        <v>2</v>
      </c>
      <c r="D5056" s="56" t="s">
        <v>10</v>
      </c>
      <c r="E5056" s="577" t="s">
        <v>6</v>
      </c>
      <c r="F5056" s="62">
        <v>0.157</v>
      </c>
      <c r="G5056" s="63">
        <f>VLOOKUP(D5056,upahbahan,3,FALSE)</f>
        <v>135000</v>
      </c>
      <c r="H5056" s="63">
        <f>F5056*G5056</f>
        <v>21195</v>
      </c>
      <c r="I5056" s="44"/>
      <c r="J5056" s="44"/>
      <c r="K5056" s="44"/>
    </row>
    <row r="5057" spans="3:12" s="59" customFormat="1" ht="21" customHeight="1">
      <c r="C5057" s="588">
        <v>3</v>
      </c>
      <c r="D5057" s="56" t="s">
        <v>18</v>
      </c>
      <c r="E5057" s="577" t="s">
        <v>6</v>
      </c>
      <c r="F5057" s="62">
        <v>1.6E-2</v>
      </c>
      <c r="G5057" s="63">
        <f>VLOOKUP(D5057,upahbahan,3,FALSE)</f>
        <v>150000</v>
      </c>
      <c r="H5057" s="63">
        <f>F5057*G5057</f>
        <v>2400</v>
      </c>
      <c r="I5057" s="44"/>
      <c r="J5057" s="44"/>
      <c r="K5057" s="44"/>
    </row>
    <row r="5058" spans="3:12" s="59" customFormat="1" ht="21" customHeight="1">
      <c r="C5058" s="588">
        <v>4</v>
      </c>
      <c r="D5058" s="56" t="s">
        <v>19</v>
      </c>
      <c r="E5058" s="577" t="s">
        <v>6</v>
      </c>
      <c r="F5058" s="62">
        <v>0.05</v>
      </c>
      <c r="G5058" s="63">
        <f>VLOOKUP(D5058,upahbahan,3,FALSE)</f>
        <v>160000</v>
      </c>
      <c r="H5058" s="63">
        <f>F5058*G5058</f>
        <v>8000</v>
      </c>
      <c r="I5058" s="44"/>
      <c r="J5058" s="44"/>
      <c r="K5058" s="44"/>
    </row>
    <row r="5059" spans="3:12" s="59" customFormat="1" ht="21" customHeight="1">
      <c r="C5059" s="450" t="s">
        <v>1208</v>
      </c>
      <c r="D5059" s="67"/>
      <c r="E5059" s="67"/>
      <c r="F5059" s="142"/>
      <c r="G5059" s="153"/>
      <c r="H5059" s="63">
        <f>SUM(H5055:H5058)</f>
        <v>40995</v>
      </c>
      <c r="I5059" s="154"/>
      <c r="J5059" s="154"/>
      <c r="K5059" s="154"/>
    </row>
    <row r="5060" spans="3:12" s="59" customFormat="1" ht="21" customHeight="1">
      <c r="C5060" s="61" t="s">
        <v>1209</v>
      </c>
      <c r="D5060" s="56" t="s">
        <v>1210</v>
      </c>
      <c r="E5060" s="57"/>
      <c r="F5060" s="57"/>
      <c r="G5060" s="57"/>
      <c r="H5060" s="57"/>
      <c r="I5060" s="44"/>
      <c r="J5060" s="44"/>
      <c r="K5060" s="44"/>
    </row>
    <row r="5061" spans="3:12" s="59" customFormat="1" ht="21" customHeight="1">
      <c r="C5061" s="61">
        <v>1</v>
      </c>
      <c r="D5061" s="56" t="s">
        <v>4372</v>
      </c>
      <c r="E5061" s="93" t="s">
        <v>4259</v>
      </c>
      <c r="F5061" s="104">
        <v>1.1000000000000001</v>
      </c>
      <c r="G5061" s="63">
        <f>VLOOKUP(D5061,upahbahan,3,FALSE)</f>
        <v>235000</v>
      </c>
      <c r="H5061" s="586">
        <f>G5061*F5061</f>
        <v>258500.00000000003</v>
      </c>
      <c r="I5061" s="44"/>
      <c r="J5061" s="44"/>
      <c r="K5061" s="44"/>
    </row>
    <row r="5062" spans="3:12" s="59" customFormat="1" ht="21" customHeight="1">
      <c r="C5062" s="450" t="s">
        <v>1214</v>
      </c>
      <c r="D5062" s="67"/>
      <c r="E5062" s="67"/>
      <c r="F5062" s="67"/>
      <c r="G5062" s="69"/>
      <c r="H5062" s="63">
        <f>SUM(H5061:H5061)</f>
        <v>258500.00000000003</v>
      </c>
      <c r="I5062" s="44"/>
      <c r="J5062" s="44"/>
      <c r="K5062" s="44"/>
    </row>
    <row r="5063" spans="3:12" s="59" customFormat="1" ht="21" customHeight="1">
      <c r="C5063" s="61" t="s">
        <v>1215</v>
      </c>
      <c r="D5063" s="56" t="s">
        <v>1216</v>
      </c>
      <c r="E5063" s="57"/>
      <c r="F5063" s="57"/>
      <c r="G5063" s="57"/>
      <c r="H5063" s="57"/>
      <c r="I5063" s="44"/>
      <c r="J5063" s="44"/>
      <c r="K5063" s="44"/>
    </row>
    <row r="5064" spans="3:12" s="59" customFormat="1" ht="21" customHeight="1">
      <c r="C5064" s="450" t="s">
        <v>1217</v>
      </c>
      <c r="D5064" s="67"/>
      <c r="E5064" s="67"/>
      <c r="F5064" s="67"/>
      <c r="G5064" s="69"/>
      <c r="H5064" s="589">
        <v>0</v>
      </c>
      <c r="I5064" s="44"/>
      <c r="J5064" s="44"/>
      <c r="K5064" s="44"/>
    </row>
    <row r="5065" spans="3:12" s="59" customFormat="1" ht="21" customHeight="1">
      <c r="C5065" s="288" t="s">
        <v>1218</v>
      </c>
      <c r="D5065" s="76" t="s">
        <v>1219</v>
      </c>
      <c r="E5065" s="77"/>
      <c r="F5065" s="77"/>
      <c r="G5065" s="78"/>
      <c r="H5065" s="585">
        <f>H5064+H5062+H5059</f>
        <v>299495</v>
      </c>
      <c r="I5065" s="369"/>
      <c r="J5065" s="44"/>
      <c r="K5065" s="44"/>
    </row>
    <row r="5066" spans="3:12" s="59" customFormat="1" ht="21" customHeight="1">
      <c r="C5066" s="288" t="s">
        <v>1220</v>
      </c>
      <c r="D5066" s="76" t="s">
        <v>1321</v>
      </c>
      <c r="E5066" s="77"/>
      <c r="F5066" s="78"/>
      <c r="G5066" s="80">
        <v>0.1</v>
      </c>
      <c r="H5066" s="63">
        <f>H5065*G5066</f>
        <v>29949.5</v>
      </c>
      <c r="I5066" s="369"/>
      <c r="J5066" s="44"/>
      <c r="K5066" s="44"/>
    </row>
    <row r="5067" spans="3:12" s="59" customFormat="1" ht="21" customHeight="1">
      <c r="C5067" s="288" t="s">
        <v>1221</v>
      </c>
      <c r="D5067" s="76" t="s">
        <v>1222</v>
      </c>
      <c r="E5067" s="77"/>
      <c r="F5067" s="77"/>
      <c r="G5067" s="78"/>
      <c r="H5067" s="799">
        <f>SUM(H5065:H5066)</f>
        <v>329444.5</v>
      </c>
      <c r="I5067" s="369"/>
      <c r="J5067" s="44"/>
      <c r="K5067" s="44"/>
    </row>
    <row r="5068" spans="3:12" ht="21" customHeight="1"/>
    <row r="5069" spans="3:12" ht="21" customHeight="1">
      <c r="C5069" s="43" t="s">
        <v>5510</v>
      </c>
      <c r="D5069" s="128" t="s">
        <v>4373</v>
      </c>
    </row>
    <row r="5070" spans="3:12" s="59" customFormat="1" ht="21" customHeight="1">
      <c r="C5070" s="147" t="s">
        <v>5511</v>
      </c>
      <c r="D5070" s="794" t="s">
        <v>4374</v>
      </c>
      <c r="E5070" s="795"/>
      <c r="F5070" s="795"/>
      <c r="G5070" s="795"/>
      <c r="H5070" s="795"/>
      <c r="I5070" s="50">
        <f>ROUNDDOWN(H5085,-2)</f>
        <v>169300</v>
      </c>
      <c r="J5070" s="50"/>
      <c r="K5070" s="50"/>
    </row>
    <row r="5071" spans="3:12" s="59" customFormat="1" ht="21" customHeight="1">
      <c r="C5071" s="591" t="s">
        <v>1195</v>
      </c>
      <c r="D5071" s="591" t="s">
        <v>1196</v>
      </c>
      <c r="E5071" s="591" t="s">
        <v>1197</v>
      </c>
      <c r="F5071" s="591" t="s">
        <v>1198</v>
      </c>
      <c r="G5071" s="591" t="s">
        <v>1199</v>
      </c>
      <c r="H5071" s="591" t="s">
        <v>1200</v>
      </c>
      <c r="I5071" s="44"/>
      <c r="J5071" s="44"/>
      <c r="K5071" s="44"/>
    </row>
    <row r="5072" spans="3:12" s="59" customFormat="1" ht="21" customHeight="1">
      <c r="C5072" s="61" t="s">
        <v>1201</v>
      </c>
      <c r="D5072" s="56" t="s">
        <v>1202</v>
      </c>
      <c r="E5072" s="57"/>
      <c r="F5072" s="57"/>
      <c r="G5072" s="57"/>
      <c r="H5072" s="57"/>
      <c r="I5072" s="44"/>
      <c r="J5072" s="44"/>
      <c r="K5072" s="44"/>
      <c r="L5072" s="152" t="s">
        <v>1247</v>
      </c>
    </row>
    <row r="5073" spans="3:15" s="59" customFormat="1" ht="21" customHeight="1">
      <c r="C5073" s="588">
        <v>1</v>
      </c>
      <c r="D5073" s="56" t="s">
        <v>5</v>
      </c>
      <c r="E5073" s="577" t="s">
        <v>6</v>
      </c>
      <c r="F5073" s="62">
        <v>0.192</v>
      </c>
      <c r="G5073" s="63">
        <f>VLOOKUP(D5073,upahbahan,3,FALSE)</f>
        <v>100000</v>
      </c>
      <c r="H5073" s="63">
        <f>F5073*G5073</f>
        <v>19200</v>
      </c>
      <c r="I5073" s="44"/>
      <c r="J5073" s="44"/>
      <c r="K5073" s="44"/>
      <c r="L5073" s="152" t="s">
        <v>1248</v>
      </c>
      <c r="O5073" s="65">
        <v>0.1</v>
      </c>
    </row>
    <row r="5074" spans="3:15" s="59" customFormat="1" ht="21" customHeight="1">
      <c r="C5074" s="588">
        <v>2</v>
      </c>
      <c r="D5074" s="56" t="s">
        <v>10</v>
      </c>
      <c r="E5074" s="577" t="s">
        <v>6</v>
      </c>
      <c r="F5074" s="62">
        <v>0.32</v>
      </c>
      <c r="G5074" s="63">
        <f>VLOOKUP(D5074,upahbahan,3,FALSE)</f>
        <v>135000</v>
      </c>
      <c r="H5074" s="63">
        <f>F5074*G5074</f>
        <v>43200</v>
      </c>
      <c r="I5074" s="44"/>
      <c r="J5074" s="44"/>
      <c r="K5074" s="44"/>
    </row>
    <row r="5075" spans="3:15" s="59" customFormat="1" ht="21" customHeight="1">
      <c r="C5075" s="588">
        <v>3</v>
      </c>
      <c r="D5075" s="56" t="s">
        <v>18</v>
      </c>
      <c r="E5075" s="577" t="s">
        <v>6</v>
      </c>
      <c r="F5075" s="62">
        <v>3.2000000000000001E-2</v>
      </c>
      <c r="G5075" s="63">
        <f>VLOOKUP(D5075,upahbahan,3,FALSE)</f>
        <v>150000</v>
      </c>
      <c r="H5075" s="63">
        <f>F5075*G5075</f>
        <v>4800</v>
      </c>
      <c r="I5075" s="44"/>
      <c r="J5075" s="44"/>
      <c r="K5075" s="44"/>
    </row>
    <row r="5076" spans="3:15" s="59" customFormat="1" ht="21" customHeight="1">
      <c r="C5076" s="588">
        <v>4</v>
      </c>
      <c r="D5076" s="56" t="s">
        <v>19</v>
      </c>
      <c r="E5076" s="577" t="s">
        <v>6</v>
      </c>
      <c r="F5076" s="62">
        <v>0.01</v>
      </c>
      <c r="G5076" s="63">
        <f>VLOOKUP(D5076,upahbahan,3,FALSE)</f>
        <v>160000</v>
      </c>
      <c r="H5076" s="63">
        <f>F5076*G5076</f>
        <v>1600</v>
      </c>
      <c r="I5076" s="44"/>
      <c r="J5076" s="44"/>
      <c r="K5076" s="44"/>
    </row>
    <row r="5077" spans="3:15" s="59" customFormat="1" ht="21" customHeight="1">
      <c r="C5077" s="450" t="s">
        <v>1208</v>
      </c>
      <c r="D5077" s="67"/>
      <c r="E5077" s="67"/>
      <c r="F5077" s="142"/>
      <c r="G5077" s="153"/>
      <c r="H5077" s="63">
        <f>SUM(H5073:H5076)</f>
        <v>68800</v>
      </c>
      <c r="I5077" s="154"/>
      <c r="J5077" s="154"/>
      <c r="K5077" s="154"/>
    </row>
    <row r="5078" spans="3:15" s="59" customFormat="1" ht="21" customHeight="1">
      <c r="C5078" s="61" t="s">
        <v>1209</v>
      </c>
      <c r="D5078" s="56" t="s">
        <v>1210</v>
      </c>
      <c r="E5078" s="57"/>
      <c r="F5078" s="57"/>
      <c r="G5078" s="57"/>
      <c r="H5078" s="57"/>
      <c r="I5078" s="44"/>
      <c r="J5078" s="44"/>
      <c r="K5078" s="44"/>
    </row>
    <row r="5079" spans="3:15" s="59" customFormat="1" ht="21" customHeight="1">
      <c r="C5079" s="61">
        <v>1</v>
      </c>
      <c r="D5079" s="56" t="s">
        <v>4375</v>
      </c>
      <c r="E5079" s="93" t="s">
        <v>3182</v>
      </c>
      <c r="F5079" s="104">
        <v>1.05</v>
      </c>
      <c r="G5079" s="63">
        <f>VLOOKUP(D5079,upahbahan,3,FALSE)</f>
        <v>81100</v>
      </c>
      <c r="H5079" s="586">
        <f>G5079*F5079</f>
        <v>85155</v>
      </c>
      <c r="I5079" s="44"/>
      <c r="J5079" s="44"/>
      <c r="K5079" s="44"/>
    </row>
    <row r="5080" spans="3:15" s="59" customFormat="1" ht="21" customHeight="1">
      <c r="C5080" s="450" t="s">
        <v>1214</v>
      </c>
      <c r="D5080" s="67"/>
      <c r="E5080" s="67"/>
      <c r="F5080" s="67"/>
      <c r="G5080" s="69"/>
      <c r="H5080" s="63">
        <f>SUM(H5079:H5079)</f>
        <v>85155</v>
      </c>
      <c r="I5080" s="44"/>
      <c r="J5080" s="44"/>
      <c r="K5080" s="44"/>
    </row>
    <row r="5081" spans="3:15" s="59" customFormat="1" ht="21" customHeight="1">
      <c r="C5081" s="61" t="s">
        <v>1215</v>
      </c>
      <c r="D5081" s="56" t="s">
        <v>1216</v>
      </c>
      <c r="E5081" s="57"/>
      <c r="F5081" s="57"/>
      <c r="G5081" s="57"/>
      <c r="H5081" s="57"/>
      <c r="I5081" s="44"/>
      <c r="J5081" s="44"/>
      <c r="K5081" s="44"/>
    </row>
    <row r="5082" spans="3:15" s="59" customFormat="1" ht="21" customHeight="1">
      <c r="C5082" s="450" t="s">
        <v>1217</v>
      </c>
      <c r="D5082" s="67"/>
      <c r="E5082" s="67"/>
      <c r="F5082" s="67"/>
      <c r="G5082" s="69"/>
      <c r="H5082" s="589">
        <v>0</v>
      </c>
      <c r="I5082" s="44"/>
      <c r="J5082" s="44"/>
      <c r="K5082" s="44"/>
    </row>
    <row r="5083" spans="3:15" s="59" customFormat="1" ht="21" customHeight="1">
      <c r="C5083" s="288" t="s">
        <v>1218</v>
      </c>
      <c r="D5083" s="76" t="s">
        <v>1219</v>
      </c>
      <c r="E5083" s="77"/>
      <c r="F5083" s="77"/>
      <c r="G5083" s="78"/>
      <c r="H5083" s="585">
        <f>H5082+H5080+H5077</f>
        <v>153955</v>
      </c>
      <c r="I5083" s="369"/>
      <c r="J5083" s="44"/>
      <c r="K5083" s="44"/>
    </row>
    <row r="5084" spans="3:15" s="59" customFormat="1" ht="21" customHeight="1">
      <c r="C5084" s="288" t="s">
        <v>1220</v>
      </c>
      <c r="D5084" s="76" t="s">
        <v>1321</v>
      </c>
      <c r="E5084" s="77"/>
      <c r="F5084" s="78"/>
      <c r="G5084" s="80">
        <v>0.1</v>
      </c>
      <c r="H5084" s="63">
        <f>H5083*G5084</f>
        <v>15395.5</v>
      </c>
      <c r="I5084" s="369"/>
      <c r="J5084" s="44"/>
      <c r="K5084" s="44"/>
    </row>
    <row r="5085" spans="3:15" s="59" customFormat="1" ht="21" customHeight="1">
      <c r="C5085" s="288" t="s">
        <v>1221</v>
      </c>
      <c r="D5085" s="76" t="s">
        <v>1222</v>
      </c>
      <c r="E5085" s="77"/>
      <c r="F5085" s="77"/>
      <c r="G5085" s="78"/>
      <c r="H5085" s="799">
        <f>SUM(H5083:H5084)</f>
        <v>169350.5</v>
      </c>
      <c r="I5085" s="369"/>
      <c r="J5085" s="44"/>
      <c r="K5085" s="44"/>
    </row>
    <row r="5086" spans="3:15" ht="21" customHeight="1"/>
    <row r="5087" spans="3:15" ht="21" customHeight="1">
      <c r="C5087" s="43" t="s">
        <v>5512</v>
      </c>
      <c r="D5087" s="128" t="s">
        <v>4376</v>
      </c>
    </row>
    <row r="5088" spans="3:15" s="59" customFormat="1" ht="21" customHeight="1">
      <c r="C5088" s="147" t="s">
        <v>5513</v>
      </c>
      <c r="D5088" s="794" t="s">
        <v>4377</v>
      </c>
      <c r="E5088" s="795"/>
      <c r="F5088" s="795"/>
      <c r="G5088" s="795"/>
      <c r="H5088" s="795"/>
      <c r="I5088" s="50">
        <f>ROUNDDOWN(H5103,-2)</f>
        <v>305600</v>
      </c>
      <c r="J5088" s="50"/>
      <c r="K5088" s="50"/>
    </row>
    <row r="5089" spans="3:15" s="59" customFormat="1" ht="21" customHeight="1">
      <c r="C5089" s="591" t="s">
        <v>1195</v>
      </c>
      <c r="D5089" s="591" t="s">
        <v>1196</v>
      </c>
      <c r="E5089" s="591" t="s">
        <v>1197</v>
      </c>
      <c r="F5089" s="591" t="s">
        <v>1198</v>
      </c>
      <c r="G5089" s="591" t="s">
        <v>1199</v>
      </c>
      <c r="H5089" s="591" t="s">
        <v>1200</v>
      </c>
      <c r="I5089" s="44"/>
      <c r="J5089" s="44"/>
      <c r="K5089" s="44"/>
    </row>
    <row r="5090" spans="3:15" s="59" customFormat="1" ht="21" customHeight="1">
      <c r="C5090" s="61" t="s">
        <v>1201</v>
      </c>
      <c r="D5090" s="56" t="s">
        <v>1202</v>
      </c>
      <c r="E5090" s="57"/>
      <c r="F5090" s="57"/>
      <c r="G5090" s="57"/>
      <c r="H5090" s="57"/>
      <c r="I5090" s="44"/>
      <c r="J5090" s="44"/>
      <c r="K5090" s="44"/>
      <c r="L5090" s="152" t="s">
        <v>1247</v>
      </c>
    </row>
    <row r="5091" spans="3:15" s="59" customFormat="1" ht="21" customHeight="1">
      <c r="C5091" s="588">
        <v>1</v>
      </c>
      <c r="D5091" s="56" t="s">
        <v>5</v>
      </c>
      <c r="E5091" s="577" t="s">
        <v>6</v>
      </c>
      <c r="F5091" s="62">
        <v>0.129</v>
      </c>
      <c r="G5091" s="63">
        <f>VLOOKUP(D5091,upahbahan,3,FALSE)</f>
        <v>100000</v>
      </c>
      <c r="H5091" s="63">
        <f>F5091*G5091</f>
        <v>12900</v>
      </c>
      <c r="I5091" s="44"/>
      <c r="J5091" s="44"/>
      <c r="K5091" s="44"/>
      <c r="L5091" s="152" t="s">
        <v>1248</v>
      </c>
      <c r="O5091" s="65">
        <v>0.1</v>
      </c>
    </row>
    <row r="5092" spans="3:15" s="59" customFormat="1" ht="21" customHeight="1">
      <c r="C5092" s="588">
        <v>2</v>
      </c>
      <c r="D5092" s="56" t="s">
        <v>10</v>
      </c>
      <c r="E5092" s="577" t="s">
        <v>6</v>
      </c>
      <c r="F5092" s="62">
        <v>0.215</v>
      </c>
      <c r="G5092" s="63">
        <f>VLOOKUP(D5092,upahbahan,3,FALSE)</f>
        <v>135000</v>
      </c>
      <c r="H5092" s="63">
        <f>F5092*G5092</f>
        <v>29025</v>
      </c>
      <c r="I5092" s="44"/>
      <c r="J5092" s="44"/>
      <c r="K5092" s="44"/>
    </row>
    <row r="5093" spans="3:15" s="59" customFormat="1" ht="21" customHeight="1">
      <c r="C5093" s="588">
        <v>3</v>
      </c>
      <c r="D5093" s="56" t="s">
        <v>18</v>
      </c>
      <c r="E5093" s="577" t="s">
        <v>6</v>
      </c>
      <c r="F5093" s="62">
        <v>2.1000000000000001E-2</v>
      </c>
      <c r="G5093" s="63">
        <f>VLOOKUP(D5093,upahbahan,3,FALSE)</f>
        <v>150000</v>
      </c>
      <c r="H5093" s="63">
        <f>F5093*G5093</f>
        <v>3150</v>
      </c>
      <c r="I5093" s="44"/>
      <c r="J5093" s="44"/>
      <c r="K5093" s="44"/>
    </row>
    <row r="5094" spans="3:15" s="59" customFormat="1" ht="21" customHeight="1">
      <c r="C5094" s="588">
        <v>4</v>
      </c>
      <c r="D5094" s="56" t="s">
        <v>19</v>
      </c>
      <c r="E5094" s="577" t="s">
        <v>6</v>
      </c>
      <c r="F5094" s="62">
        <v>6.0000000000000001E-3</v>
      </c>
      <c r="G5094" s="63">
        <f>VLOOKUP(D5094,upahbahan,3,FALSE)</f>
        <v>160000</v>
      </c>
      <c r="H5094" s="63">
        <f>F5094*G5094</f>
        <v>960</v>
      </c>
      <c r="I5094" s="44"/>
      <c r="J5094" s="44"/>
      <c r="K5094" s="44"/>
    </row>
    <row r="5095" spans="3:15" s="59" customFormat="1" ht="21" customHeight="1">
      <c r="C5095" s="450" t="s">
        <v>1208</v>
      </c>
      <c r="D5095" s="67"/>
      <c r="E5095" s="67"/>
      <c r="F5095" s="142"/>
      <c r="G5095" s="153"/>
      <c r="H5095" s="63">
        <f>SUM(H5091:H5094)</f>
        <v>46035</v>
      </c>
      <c r="I5095" s="154"/>
      <c r="J5095" s="154"/>
      <c r="K5095" s="154"/>
    </row>
    <row r="5096" spans="3:15" s="59" customFormat="1" ht="21" customHeight="1">
      <c r="C5096" s="61" t="s">
        <v>1209</v>
      </c>
      <c r="D5096" s="56" t="s">
        <v>1210</v>
      </c>
      <c r="E5096" s="57"/>
      <c r="F5096" s="57"/>
      <c r="G5096" s="57"/>
      <c r="H5096" s="57"/>
      <c r="I5096" s="44"/>
      <c r="J5096" s="44"/>
      <c r="K5096" s="44"/>
    </row>
    <row r="5097" spans="3:15" s="59" customFormat="1" ht="21" customHeight="1">
      <c r="C5097" s="61">
        <v>1</v>
      </c>
      <c r="D5097" s="56" t="s">
        <v>4376</v>
      </c>
      <c r="E5097" s="93" t="s">
        <v>3182</v>
      </c>
      <c r="F5097" s="104">
        <v>1.05</v>
      </c>
      <c r="G5097" s="63">
        <f>VLOOKUP(D5097,upahbahan,3,FALSE)</f>
        <v>220800</v>
      </c>
      <c r="H5097" s="586">
        <f>G5097*F5097</f>
        <v>231840</v>
      </c>
      <c r="I5097" s="44"/>
      <c r="J5097" s="44"/>
      <c r="K5097" s="44"/>
    </row>
    <row r="5098" spans="3:15" s="59" customFormat="1" ht="21" customHeight="1">
      <c r="C5098" s="450" t="s">
        <v>1214</v>
      </c>
      <c r="D5098" s="67"/>
      <c r="E5098" s="67"/>
      <c r="F5098" s="67"/>
      <c r="G5098" s="69"/>
      <c r="H5098" s="63">
        <f>SUM(H5097:H5097)</f>
        <v>231840</v>
      </c>
      <c r="I5098" s="44"/>
      <c r="J5098" s="44"/>
      <c r="K5098" s="44"/>
    </row>
    <row r="5099" spans="3:15" s="59" customFormat="1" ht="21" customHeight="1">
      <c r="C5099" s="61" t="s">
        <v>1215</v>
      </c>
      <c r="D5099" s="56" t="s">
        <v>1216</v>
      </c>
      <c r="E5099" s="57"/>
      <c r="F5099" s="57"/>
      <c r="G5099" s="57"/>
      <c r="H5099" s="57"/>
      <c r="I5099" s="44"/>
      <c r="J5099" s="44"/>
      <c r="K5099" s="44"/>
    </row>
    <row r="5100" spans="3:15" s="59" customFormat="1" ht="21" customHeight="1">
      <c r="C5100" s="450" t="s">
        <v>1217</v>
      </c>
      <c r="D5100" s="67"/>
      <c r="E5100" s="67"/>
      <c r="F5100" s="67"/>
      <c r="G5100" s="69"/>
      <c r="H5100" s="589">
        <v>0</v>
      </c>
      <c r="I5100" s="44"/>
      <c r="J5100" s="44"/>
      <c r="K5100" s="44"/>
    </row>
    <row r="5101" spans="3:15" s="59" customFormat="1" ht="21" customHeight="1">
      <c r="C5101" s="288" t="s">
        <v>1218</v>
      </c>
      <c r="D5101" s="76" t="s">
        <v>1219</v>
      </c>
      <c r="E5101" s="77"/>
      <c r="F5101" s="77"/>
      <c r="G5101" s="78"/>
      <c r="H5101" s="585">
        <f>H5100+H5098+H5095</f>
        <v>277875</v>
      </c>
      <c r="I5101" s="369"/>
      <c r="J5101" s="44"/>
      <c r="K5101" s="44"/>
    </row>
    <row r="5102" spans="3:15" s="59" customFormat="1" ht="21" customHeight="1">
      <c r="C5102" s="288" t="s">
        <v>1220</v>
      </c>
      <c r="D5102" s="76" t="s">
        <v>1321</v>
      </c>
      <c r="E5102" s="77"/>
      <c r="F5102" s="78"/>
      <c r="G5102" s="80">
        <v>0.1</v>
      </c>
      <c r="H5102" s="63">
        <f>H5101*G5102</f>
        <v>27787.5</v>
      </c>
      <c r="I5102" s="369"/>
      <c r="J5102" s="44"/>
      <c r="K5102" s="44"/>
    </row>
    <row r="5103" spans="3:15" s="59" customFormat="1" ht="21" customHeight="1">
      <c r="C5103" s="288" t="s">
        <v>1221</v>
      </c>
      <c r="D5103" s="76" t="s">
        <v>1222</v>
      </c>
      <c r="E5103" s="77"/>
      <c r="F5103" s="77"/>
      <c r="G5103" s="78"/>
      <c r="H5103" s="799">
        <f>SUM(H5101:H5102)</f>
        <v>305662.5</v>
      </c>
      <c r="I5103" s="369"/>
      <c r="J5103" s="44"/>
      <c r="K5103" s="44"/>
    </row>
    <row r="5104" spans="3:15" ht="21" customHeight="1"/>
    <row r="5105" spans="3:15" ht="21" customHeight="1">
      <c r="C5105" s="43" t="s">
        <v>5514</v>
      </c>
      <c r="D5105" s="128" t="s">
        <v>4378</v>
      </c>
    </row>
    <row r="5106" spans="3:15" s="59" customFormat="1" ht="21" customHeight="1">
      <c r="C5106" s="147" t="s">
        <v>5515</v>
      </c>
      <c r="D5106" s="794" t="s">
        <v>4379</v>
      </c>
      <c r="E5106" s="795"/>
      <c r="F5106" s="795"/>
      <c r="G5106" s="795"/>
      <c r="H5106" s="795"/>
      <c r="I5106" s="50">
        <f>ROUNDDOWN(H5121,-2)</f>
        <v>1991000</v>
      </c>
      <c r="J5106" s="50"/>
      <c r="K5106" s="50"/>
    </row>
    <row r="5107" spans="3:15" s="59" customFormat="1" ht="21" customHeight="1">
      <c r="C5107" s="591" t="s">
        <v>1195</v>
      </c>
      <c r="D5107" s="591" t="s">
        <v>1196</v>
      </c>
      <c r="E5107" s="591" t="s">
        <v>1197</v>
      </c>
      <c r="F5107" s="591" t="s">
        <v>1198</v>
      </c>
      <c r="G5107" s="591" t="s">
        <v>1199</v>
      </c>
      <c r="H5107" s="591" t="s">
        <v>1200</v>
      </c>
      <c r="I5107" s="44"/>
      <c r="J5107" s="44"/>
      <c r="K5107" s="44"/>
    </row>
    <row r="5108" spans="3:15" s="59" customFormat="1" ht="21" customHeight="1">
      <c r="C5108" s="61" t="s">
        <v>1201</v>
      </c>
      <c r="D5108" s="56" t="s">
        <v>1202</v>
      </c>
      <c r="E5108" s="57"/>
      <c r="F5108" s="57"/>
      <c r="G5108" s="57"/>
      <c r="H5108" s="57"/>
      <c r="I5108" s="44"/>
      <c r="J5108" s="44"/>
      <c r="K5108" s="44"/>
      <c r="L5108" s="152" t="s">
        <v>1247</v>
      </c>
    </row>
    <row r="5109" spans="3:15" s="59" customFormat="1" ht="21" customHeight="1">
      <c r="C5109" s="588">
        <v>1</v>
      </c>
      <c r="D5109" s="56" t="s">
        <v>5</v>
      </c>
      <c r="E5109" s="577" t="s">
        <v>6</v>
      </c>
      <c r="F5109" s="62">
        <v>0.24399999999999999</v>
      </c>
      <c r="G5109" s="63">
        <f>VLOOKUP(D5109,upahbahan,3,FALSE)</f>
        <v>100000</v>
      </c>
      <c r="H5109" s="63">
        <f>F5109*G5109</f>
        <v>24400</v>
      </c>
      <c r="I5109" s="44"/>
      <c r="J5109" s="44"/>
      <c r="K5109" s="44"/>
      <c r="L5109" s="152" t="s">
        <v>1248</v>
      </c>
      <c r="O5109" s="65">
        <v>0.1</v>
      </c>
    </row>
    <row r="5110" spans="3:15" s="59" customFormat="1" ht="21" customHeight="1">
      <c r="C5110" s="588">
        <v>2</v>
      </c>
      <c r="D5110" s="56" t="s">
        <v>10</v>
      </c>
      <c r="E5110" s="577" t="s">
        <v>6</v>
      </c>
      <c r="F5110" s="62">
        <v>0.40799999999999997</v>
      </c>
      <c r="G5110" s="63">
        <f>VLOOKUP(D5110,upahbahan,3,FALSE)</f>
        <v>135000</v>
      </c>
      <c r="H5110" s="63">
        <f>F5110*G5110</f>
        <v>55080</v>
      </c>
      <c r="I5110" s="44"/>
      <c r="J5110" s="44"/>
      <c r="K5110" s="44"/>
    </row>
    <row r="5111" spans="3:15" s="59" customFormat="1" ht="21" customHeight="1">
      <c r="C5111" s="588">
        <v>3</v>
      </c>
      <c r="D5111" s="56" t="s">
        <v>18</v>
      </c>
      <c r="E5111" s="577" t="s">
        <v>6</v>
      </c>
      <c r="F5111" s="62">
        <v>4.1000000000000002E-2</v>
      </c>
      <c r="G5111" s="63">
        <f>VLOOKUP(D5111,upahbahan,3,FALSE)</f>
        <v>150000</v>
      </c>
      <c r="H5111" s="63">
        <f>F5111*G5111</f>
        <v>6150</v>
      </c>
      <c r="I5111" s="44"/>
      <c r="J5111" s="44"/>
      <c r="K5111" s="44"/>
    </row>
    <row r="5112" spans="3:15" s="59" customFormat="1" ht="21" customHeight="1">
      <c r="C5112" s="588">
        <v>4</v>
      </c>
      <c r="D5112" s="56" t="s">
        <v>19</v>
      </c>
      <c r="E5112" s="577" t="s">
        <v>6</v>
      </c>
      <c r="F5112" s="62">
        <v>1.2E-2</v>
      </c>
      <c r="G5112" s="63">
        <f>VLOOKUP(D5112,upahbahan,3,FALSE)</f>
        <v>160000</v>
      </c>
      <c r="H5112" s="63">
        <f>F5112*G5112</f>
        <v>1920</v>
      </c>
      <c r="I5112" s="44"/>
      <c r="J5112" s="44"/>
      <c r="K5112" s="44"/>
    </row>
    <row r="5113" spans="3:15" s="59" customFormat="1" ht="21" customHeight="1">
      <c r="C5113" s="450" t="s">
        <v>1208</v>
      </c>
      <c r="D5113" s="67"/>
      <c r="E5113" s="67"/>
      <c r="F5113" s="142"/>
      <c r="G5113" s="153"/>
      <c r="H5113" s="63">
        <f>SUM(H5109:H5112)</f>
        <v>87550</v>
      </c>
      <c r="I5113" s="154"/>
      <c r="J5113" s="154"/>
      <c r="K5113" s="154"/>
    </row>
    <row r="5114" spans="3:15" s="59" customFormat="1" ht="21" customHeight="1">
      <c r="C5114" s="61" t="s">
        <v>1209</v>
      </c>
      <c r="D5114" s="56" t="s">
        <v>1210</v>
      </c>
      <c r="E5114" s="57"/>
      <c r="F5114" s="57"/>
      <c r="G5114" s="57"/>
      <c r="H5114" s="57"/>
      <c r="I5114" s="44"/>
      <c r="J5114" s="44"/>
      <c r="K5114" s="44"/>
    </row>
    <row r="5115" spans="3:15" s="59" customFormat="1" ht="21" customHeight="1">
      <c r="C5115" s="61">
        <v>1</v>
      </c>
      <c r="D5115" s="56" t="s">
        <v>4380</v>
      </c>
      <c r="E5115" s="93" t="s">
        <v>113</v>
      </c>
      <c r="F5115" s="104">
        <v>1.3</v>
      </c>
      <c r="G5115" s="63">
        <f>VLOOKUP(D5115,upahbahan,3,FALSE)</f>
        <v>1325000</v>
      </c>
      <c r="H5115" s="586">
        <f>G5115*F5115</f>
        <v>1722500</v>
      </c>
      <c r="I5115" s="44"/>
      <c r="J5115" s="44"/>
      <c r="K5115" s="44"/>
    </row>
    <row r="5116" spans="3:15" s="59" customFormat="1" ht="21" customHeight="1">
      <c r="C5116" s="450" t="s">
        <v>1214</v>
      </c>
      <c r="D5116" s="67"/>
      <c r="E5116" s="67"/>
      <c r="F5116" s="67"/>
      <c r="G5116" s="69"/>
      <c r="H5116" s="63">
        <f>SUM(H5115:H5115)</f>
        <v>1722500</v>
      </c>
      <c r="I5116" s="44"/>
      <c r="J5116" s="44"/>
      <c r="K5116" s="44"/>
    </row>
    <row r="5117" spans="3:15" s="59" customFormat="1" ht="21" customHeight="1">
      <c r="C5117" s="61" t="s">
        <v>1215</v>
      </c>
      <c r="D5117" s="56" t="s">
        <v>1216</v>
      </c>
      <c r="E5117" s="57"/>
      <c r="F5117" s="57"/>
      <c r="G5117" s="57"/>
      <c r="H5117" s="57"/>
      <c r="I5117" s="44"/>
      <c r="J5117" s="44"/>
      <c r="K5117" s="44"/>
    </row>
    <row r="5118" spans="3:15" s="59" customFormat="1" ht="21" customHeight="1">
      <c r="C5118" s="450" t="s">
        <v>1217</v>
      </c>
      <c r="D5118" s="67"/>
      <c r="E5118" s="67"/>
      <c r="F5118" s="67"/>
      <c r="G5118" s="69"/>
      <c r="H5118" s="589">
        <v>0</v>
      </c>
      <c r="I5118" s="44"/>
      <c r="J5118" s="44"/>
      <c r="K5118" s="44"/>
    </row>
    <row r="5119" spans="3:15" s="59" customFormat="1" ht="21" customHeight="1">
      <c r="C5119" s="288" t="s">
        <v>1218</v>
      </c>
      <c r="D5119" s="76" t="s">
        <v>1219</v>
      </c>
      <c r="E5119" s="77"/>
      <c r="F5119" s="77"/>
      <c r="G5119" s="78"/>
      <c r="H5119" s="585">
        <f>H5118+H5116+H5113</f>
        <v>1810050</v>
      </c>
      <c r="I5119" s="369"/>
      <c r="J5119" s="44"/>
      <c r="K5119" s="44"/>
    </row>
    <row r="5120" spans="3:15" s="59" customFormat="1" ht="21" customHeight="1">
      <c r="C5120" s="288" t="s">
        <v>1220</v>
      </c>
      <c r="D5120" s="76" t="s">
        <v>1321</v>
      </c>
      <c r="E5120" s="77"/>
      <c r="F5120" s="78"/>
      <c r="G5120" s="80">
        <v>0.1</v>
      </c>
      <c r="H5120" s="63">
        <f>H5119*G5120</f>
        <v>181005</v>
      </c>
      <c r="I5120" s="369"/>
      <c r="J5120" s="44"/>
      <c r="K5120" s="44"/>
    </row>
    <row r="5121" spans="3:15" s="59" customFormat="1" ht="21" customHeight="1">
      <c r="C5121" s="288" t="s">
        <v>1221</v>
      </c>
      <c r="D5121" s="76" t="s">
        <v>1222</v>
      </c>
      <c r="E5121" s="77"/>
      <c r="F5121" s="77"/>
      <c r="G5121" s="78"/>
      <c r="H5121" s="799">
        <f>SUM(H5119:H5120)</f>
        <v>1991055</v>
      </c>
      <c r="I5121" s="369"/>
      <c r="J5121" s="44"/>
      <c r="K5121" s="44"/>
    </row>
    <row r="5122" spans="3:15" ht="21" customHeight="1"/>
    <row r="5123" spans="3:15" ht="21" customHeight="1">
      <c r="C5123" s="43" t="s">
        <v>5516</v>
      </c>
      <c r="D5123" s="128" t="s">
        <v>4381</v>
      </c>
    </row>
    <row r="5124" spans="3:15" s="59" customFormat="1" ht="21" customHeight="1">
      <c r="C5124" s="147" t="s">
        <v>5517</v>
      </c>
      <c r="D5124" s="794" t="s">
        <v>4382</v>
      </c>
      <c r="E5124" s="795"/>
      <c r="F5124" s="795"/>
      <c r="G5124" s="795"/>
      <c r="H5124" s="795"/>
      <c r="I5124" s="50">
        <f>ROUNDDOWN(H5139,-2)</f>
        <v>8870800</v>
      </c>
      <c r="J5124" s="50"/>
      <c r="K5124" s="50"/>
    </row>
    <row r="5125" spans="3:15" s="59" customFormat="1" ht="21" customHeight="1">
      <c r="C5125" s="591" t="s">
        <v>1195</v>
      </c>
      <c r="D5125" s="591" t="s">
        <v>1196</v>
      </c>
      <c r="E5125" s="591" t="s">
        <v>1197</v>
      </c>
      <c r="F5125" s="591" t="s">
        <v>1198</v>
      </c>
      <c r="G5125" s="591" t="s">
        <v>1199</v>
      </c>
      <c r="H5125" s="591" t="s">
        <v>1200</v>
      </c>
      <c r="I5125" s="44"/>
      <c r="J5125" s="44"/>
      <c r="K5125" s="44"/>
    </row>
    <row r="5126" spans="3:15" s="59" customFormat="1" ht="21" customHeight="1">
      <c r="C5126" s="61" t="s">
        <v>1201</v>
      </c>
      <c r="D5126" s="56" t="s">
        <v>1202</v>
      </c>
      <c r="E5126" s="57"/>
      <c r="F5126" s="57"/>
      <c r="G5126" s="57"/>
      <c r="H5126" s="57"/>
      <c r="I5126" s="44"/>
      <c r="J5126" s="44"/>
      <c r="K5126" s="44"/>
      <c r="L5126" s="152" t="s">
        <v>1247</v>
      </c>
    </row>
    <row r="5127" spans="3:15" s="59" customFormat="1" ht="21" customHeight="1">
      <c r="C5127" s="588">
        <v>1</v>
      </c>
      <c r="D5127" s="56" t="s">
        <v>5</v>
      </c>
      <c r="E5127" s="577" t="s">
        <v>6</v>
      </c>
      <c r="F5127" s="62">
        <v>0.54800000000000004</v>
      </c>
      <c r="G5127" s="63">
        <f>VLOOKUP(D5127,upahbahan,3,FALSE)</f>
        <v>100000</v>
      </c>
      <c r="H5127" s="63">
        <f>F5127*G5127</f>
        <v>54800.000000000007</v>
      </c>
      <c r="I5127" s="44"/>
      <c r="J5127" s="44"/>
      <c r="K5127" s="44"/>
      <c r="L5127" s="152" t="s">
        <v>1248</v>
      </c>
      <c r="O5127" s="65">
        <v>0.1</v>
      </c>
    </row>
    <row r="5128" spans="3:15" s="59" customFormat="1" ht="21" customHeight="1">
      <c r="C5128" s="588">
        <v>2</v>
      </c>
      <c r="D5128" s="56" t="s">
        <v>10</v>
      </c>
      <c r="E5128" s="577" t="s">
        <v>6</v>
      </c>
      <c r="F5128" s="62">
        <v>1.095</v>
      </c>
      <c r="G5128" s="63">
        <f>VLOOKUP(D5128,upahbahan,3,FALSE)</f>
        <v>135000</v>
      </c>
      <c r="H5128" s="63">
        <f>F5128*G5128</f>
        <v>147825</v>
      </c>
      <c r="I5128" s="44"/>
      <c r="J5128" s="44"/>
      <c r="K5128" s="44"/>
    </row>
    <row r="5129" spans="3:15" s="59" customFormat="1" ht="21" customHeight="1">
      <c r="C5129" s="588">
        <v>3</v>
      </c>
      <c r="D5129" s="56" t="s">
        <v>18</v>
      </c>
      <c r="E5129" s="577" t="s">
        <v>6</v>
      </c>
      <c r="F5129" s="62">
        <v>0.11</v>
      </c>
      <c r="G5129" s="63">
        <f>VLOOKUP(D5129,upahbahan,3,FALSE)</f>
        <v>150000</v>
      </c>
      <c r="H5129" s="63">
        <f>F5129*G5129</f>
        <v>16500</v>
      </c>
      <c r="I5129" s="44"/>
      <c r="J5129" s="44"/>
      <c r="K5129" s="44"/>
    </row>
    <row r="5130" spans="3:15" s="59" customFormat="1" ht="21" customHeight="1">
      <c r="C5130" s="588">
        <v>4</v>
      </c>
      <c r="D5130" s="56" t="s">
        <v>19</v>
      </c>
      <c r="E5130" s="577" t="s">
        <v>6</v>
      </c>
      <c r="F5130" s="62">
        <v>3.3000000000000002E-2</v>
      </c>
      <c r="G5130" s="63">
        <f>VLOOKUP(D5130,upahbahan,3,FALSE)</f>
        <v>160000</v>
      </c>
      <c r="H5130" s="63">
        <f>F5130*G5130</f>
        <v>5280</v>
      </c>
      <c r="I5130" s="44"/>
      <c r="J5130" s="44"/>
      <c r="K5130" s="44"/>
    </row>
    <row r="5131" spans="3:15" s="59" customFormat="1" ht="21" customHeight="1">
      <c r="C5131" s="450" t="s">
        <v>1208</v>
      </c>
      <c r="D5131" s="67"/>
      <c r="E5131" s="67"/>
      <c r="F5131" s="142"/>
      <c r="G5131" s="153"/>
      <c r="H5131" s="63">
        <f>SUM(H5127:H5130)</f>
        <v>224405</v>
      </c>
      <c r="I5131" s="154"/>
      <c r="J5131" s="154"/>
      <c r="K5131" s="154"/>
    </row>
    <row r="5132" spans="3:15" s="59" customFormat="1" ht="21" customHeight="1">
      <c r="C5132" s="61" t="s">
        <v>1209</v>
      </c>
      <c r="D5132" s="56" t="s">
        <v>1210</v>
      </c>
      <c r="E5132" s="57"/>
      <c r="F5132" s="57"/>
      <c r="G5132" s="57"/>
      <c r="H5132" s="57"/>
      <c r="I5132" s="44"/>
      <c r="J5132" s="44"/>
      <c r="K5132" s="44"/>
    </row>
    <row r="5133" spans="3:15" s="59" customFormat="1" ht="21" customHeight="1">
      <c r="C5133" s="61">
        <v>1</v>
      </c>
      <c r="D5133" s="56" t="s">
        <v>4383</v>
      </c>
      <c r="E5133" s="93" t="s">
        <v>113</v>
      </c>
      <c r="F5133" s="104">
        <v>1.4</v>
      </c>
      <c r="G5133" s="63">
        <f>VLOOKUP(D5133,upahbahan,3,FALSE)</f>
        <v>5600000</v>
      </c>
      <c r="H5133" s="586">
        <f>G5133*F5133</f>
        <v>7839999.9999999991</v>
      </c>
      <c r="I5133" s="44"/>
      <c r="J5133" s="44"/>
      <c r="K5133" s="44"/>
    </row>
    <row r="5134" spans="3:15" s="59" customFormat="1" ht="21" customHeight="1">
      <c r="C5134" s="450" t="s">
        <v>1214</v>
      </c>
      <c r="D5134" s="67"/>
      <c r="E5134" s="67"/>
      <c r="F5134" s="67"/>
      <c r="G5134" s="69"/>
      <c r="H5134" s="63">
        <f>SUM(H5133:H5133)</f>
        <v>7839999.9999999991</v>
      </c>
      <c r="I5134" s="44"/>
      <c r="J5134" s="44"/>
      <c r="K5134" s="44"/>
    </row>
    <row r="5135" spans="3:15" s="59" customFormat="1" ht="21" customHeight="1">
      <c r="C5135" s="61" t="s">
        <v>1215</v>
      </c>
      <c r="D5135" s="56" t="s">
        <v>1216</v>
      </c>
      <c r="E5135" s="57"/>
      <c r="F5135" s="57"/>
      <c r="G5135" s="57"/>
      <c r="H5135" s="57"/>
      <c r="I5135" s="44"/>
      <c r="J5135" s="44"/>
      <c r="K5135" s="44"/>
    </row>
    <row r="5136" spans="3:15" s="59" customFormat="1" ht="21" customHeight="1">
      <c r="C5136" s="450" t="s">
        <v>1217</v>
      </c>
      <c r="D5136" s="67"/>
      <c r="E5136" s="67"/>
      <c r="F5136" s="67"/>
      <c r="G5136" s="69"/>
      <c r="H5136" s="589">
        <v>0</v>
      </c>
      <c r="I5136" s="44"/>
      <c r="J5136" s="44"/>
      <c r="K5136" s="44"/>
    </row>
    <row r="5137" spans="3:15" s="59" customFormat="1" ht="21" customHeight="1">
      <c r="C5137" s="288" t="s">
        <v>1218</v>
      </c>
      <c r="D5137" s="76" t="s">
        <v>1219</v>
      </c>
      <c r="E5137" s="77"/>
      <c r="F5137" s="77"/>
      <c r="G5137" s="78"/>
      <c r="H5137" s="585">
        <f>H5136+H5134+H5131</f>
        <v>8064404.9999999991</v>
      </c>
      <c r="I5137" s="369"/>
      <c r="J5137" s="44"/>
      <c r="K5137" s="44"/>
    </row>
    <row r="5138" spans="3:15" s="59" customFormat="1" ht="21" customHeight="1">
      <c r="C5138" s="288" t="s">
        <v>1220</v>
      </c>
      <c r="D5138" s="76" t="s">
        <v>1321</v>
      </c>
      <c r="E5138" s="77"/>
      <c r="F5138" s="78"/>
      <c r="G5138" s="80">
        <v>0.1</v>
      </c>
      <c r="H5138" s="63">
        <f>H5137*G5138</f>
        <v>806440.5</v>
      </c>
      <c r="I5138" s="369"/>
      <c r="J5138" s="44"/>
      <c r="K5138" s="44"/>
    </row>
    <row r="5139" spans="3:15" s="59" customFormat="1" ht="21" customHeight="1">
      <c r="C5139" s="288" t="s">
        <v>1221</v>
      </c>
      <c r="D5139" s="76" t="s">
        <v>1222</v>
      </c>
      <c r="E5139" s="77"/>
      <c r="F5139" s="77"/>
      <c r="G5139" s="78"/>
      <c r="H5139" s="799">
        <f>SUM(H5137:H5138)</f>
        <v>8870845.5</v>
      </c>
      <c r="I5139" s="369"/>
      <c r="J5139" s="44"/>
      <c r="K5139" s="44"/>
    </row>
    <row r="5140" spans="3:15" ht="21" customHeight="1"/>
    <row r="5141" spans="3:15" ht="21" customHeight="1">
      <c r="C5141" s="43" t="s">
        <v>5518</v>
      </c>
      <c r="D5141" s="128" t="s">
        <v>4384</v>
      </c>
    </row>
    <row r="5142" spans="3:15" s="59" customFormat="1" ht="21" customHeight="1">
      <c r="C5142" s="147" t="s">
        <v>5519</v>
      </c>
      <c r="D5142" s="794" t="s">
        <v>4385</v>
      </c>
      <c r="E5142" s="795"/>
      <c r="F5142" s="795"/>
      <c r="G5142" s="795"/>
      <c r="H5142" s="795"/>
      <c r="I5142" s="50">
        <f>ROUNDDOWN(H5157,-2)</f>
        <v>5883900</v>
      </c>
      <c r="J5142" s="50"/>
      <c r="K5142" s="50"/>
    </row>
    <row r="5143" spans="3:15" s="59" customFormat="1" ht="21" customHeight="1">
      <c r="C5143" s="591" t="s">
        <v>1195</v>
      </c>
      <c r="D5143" s="591" t="s">
        <v>1196</v>
      </c>
      <c r="E5143" s="591" t="s">
        <v>1197</v>
      </c>
      <c r="F5143" s="591" t="s">
        <v>1198</v>
      </c>
      <c r="G5143" s="591" t="s">
        <v>1199</v>
      </c>
      <c r="H5143" s="591" t="s">
        <v>1200</v>
      </c>
      <c r="I5143" s="44"/>
      <c r="J5143" s="44"/>
      <c r="K5143" s="44"/>
    </row>
    <row r="5144" spans="3:15" s="59" customFormat="1" ht="21" customHeight="1">
      <c r="C5144" s="61" t="s">
        <v>1201</v>
      </c>
      <c r="D5144" s="56" t="s">
        <v>1202</v>
      </c>
      <c r="E5144" s="57"/>
      <c r="F5144" s="57"/>
      <c r="G5144" s="57"/>
      <c r="H5144" s="57"/>
      <c r="I5144" s="44"/>
      <c r="J5144" s="44"/>
      <c r="K5144" s="44"/>
      <c r="L5144" s="152" t="s">
        <v>1247</v>
      </c>
    </row>
    <row r="5145" spans="3:15" s="59" customFormat="1" ht="21" customHeight="1">
      <c r="C5145" s="588">
        <v>1</v>
      </c>
      <c r="D5145" s="56" t="s">
        <v>5</v>
      </c>
      <c r="E5145" s="577" t="s">
        <v>6</v>
      </c>
      <c r="F5145" s="62">
        <v>1.0960000000000001</v>
      </c>
      <c r="G5145" s="63">
        <f>VLOOKUP(D5145,upahbahan,3,FALSE)</f>
        <v>100000</v>
      </c>
      <c r="H5145" s="63">
        <f>F5145*G5145</f>
        <v>109600.00000000001</v>
      </c>
      <c r="I5145" s="44"/>
      <c r="J5145" s="44"/>
      <c r="K5145" s="44"/>
      <c r="L5145" s="152" t="s">
        <v>1248</v>
      </c>
      <c r="O5145" s="65">
        <v>0.1</v>
      </c>
    </row>
    <row r="5146" spans="3:15" s="59" customFormat="1" ht="21" customHeight="1">
      <c r="C5146" s="588">
        <v>2</v>
      </c>
      <c r="D5146" s="56" t="s">
        <v>10</v>
      </c>
      <c r="E5146" s="577" t="s">
        <v>6</v>
      </c>
      <c r="F5146" s="62">
        <v>2.1930000000000001</v>
      </c>
      <c r="G5146" s="63">
        <f>VLOOKUP(D5146,upahbahan,3,FALSE)</f>
        <v>135000</v>
      </c>
      <c r="H5146" s="63">
        <f>F5146*G5146</f>
        <v>296055</v>
      </c>
      <c r="I5146" s="44"/>
      <c r="J5146" s="44"/>
      <c r="K5146" s="44"/>
    </row>
    <row r="5147" spans="3:15" s="59" customFormat="1" ht="21" customHeight="1">
      <c r="C5147" s="588">
        <v>3</v>
      </c>
      <c r="D5147" s="56" t="s">
        <v>18</v>
      </c>
      <c r="E5147" s="577" t="s">
        <v>6</v>
      </c>
      <c r="F5147" s="62">
        <v>0.219</v>
      </c>
      <c r="G5147" s="63">
        <f>VLOOKUP(D5147,upahbahan,3,FALSE)</f>
        <v>150000</v>
      </c>
      <c r="H5147" s="63">
        <f>F5147*G5147</f>
        <v>32850</v>
      </c>
      <c r="I5147" s="44"/>
      <c r="J5147" s="44"/>
      <c r="K5147" s="44"/>
    </row>
    <row r="5148" spans="3:15" s="59" customFormat="1" ht="21" customHeight="1">
      <c r="C5148" s="588">
        <v>4</v>
      </c>
      <c r="D5148" s="56" t="s">
        <v>19</v>
      </c>
      <c r="E5148" s="577" t="s">
        <v>6</v>
      </c>
      <c r="F5148" s="62">
        <v>6.6000000000000003E-2</v>
      </c>
      <c r="G5148" s="63">
        <f>VLOOKUP(D5148,upahbahan,3,FALSE)</f>
        <v>160000</v>
      </c>
      <c r="H5148" s="63">
        <f>F5148*G5148</f>
        <v>10560</v>
      </c>
      <c r="I5148" s="44"/>
      <c r="J5148" s="44"/>
      <c r="K5148" s="44"/>
    </row>
    <row r="5149" spans="3:15" s="59" customFormat="1" ht="21" customHeight="1">
      <c r="C5149" s="450" t="s">
        <v>1208</v>
      </c>
      <c r="D5149" s="67"/>
      <c r="E5149" s="67"/>
      <c r="F5149" s="142"/>
      <c r="G5149" s="153"/>
      <c r="H5149" s="63">
        <f>SUM(H5145:H5148)</f>
        <v>449065</v>
      </c>
      <c r="I5149" s="154"/>
      <c r="J5149" s="154"/>
      <c r="K5149" s="154"/>
    </row>
    <row r="5150" spans="3:15" s="59" customFormat="1" ht="21" customHeight="1">
      <c r="C5150" s="61" t="s">
        <v>1209</v>
      </c>
      <c r="D5150" s="56" t="s">
        <v>1210</v>
      </c>
      <c r="E5150" s="57"/>
      <c r="F5150" s="57"/>
      <c r="G5150" s="57"/>
      <c r="H5150" s="57"/>
      <c r="I5150" s="44"/>
      <c r="J5150" s="44"/>
      <c r="K5150" s="44"/>
    </row>
    <row r="5151" spans="3:15" s="59" customFormat="1" ht="21" customHeight="1">
      <c r="C5151" s="61">
        <v>1</v>
      </c>
      <c r="D5151" s="56" t="s">
        <v>4386</v>
      </c>
      <c r="E5151" s="93" t="s">
        <v>113</v>
      </c>
      <c r="F5151" s="104">
        <v>1.4</v>
      </c>
      <c r="G5151" s="63">
        <f>VLOOKUP(D5151,upahbahan,3,FALSE)</f>
        <v>3500000</v>
      </c>
      <c r="H5151" s="586">
        <f>G5151*F5151</f>
        <v>4900000</v>
      </c>
      <c r="I5151" s="44"/>
      <c r="J5151" s="44"/>
      <c r="K5151" s="44"/>
    </row>
    <row r="5152" spans="3:15" s="59" customFormat="1" ht="21" customHeight="1">
      <c r="C5152" s="450" t="s">
        <v>1214</v>
      </c>
      <c r="D5152" s="67"/>
      <c r="E5152" s="67"/>
      <c r="F5152" s="67"/>
      <c r="G5152" s="69"/>
      <c r="H5152" s="63">
        <f>SUM(H5151:H5151)</f>
        <v>4900000</v>
      </c>
      <c r="I5152" s="44"/>
      <c r="J5152" s="44"/>
      <c r="K5152" s="44"/>
    </row>
    <row r="5153" spans="3:15" s="59" customFormat="1" ht="21" customHeight="1">
      <c r="C5153" s="61" t="s">
        <v>1215</v>
      </c>
      <c r="D5153" s="56" t="s">
        <v>1216</v>
      </c>
      <c r="E5153" s="57"/>
      <c r="F5153" s="57"/>
      <c r="G5153" s="57"/>
      <c r="H5153" s="57"/>
      <c r="I5153" s="44"/>
      <c r="J5153" s="44"/>
      <c r="K5153" s="44"/>
    </row>
    <row r="5154" spans="3:15" s="59" customFormat="1" ht="21" customHeight="1">
      <c r="C5154" s="450" t="s">
        <v>1217</v>
      </c>
      <c r="D5154" s="67"/>
      <c r="E5154" s="67"/>
      <c r="F5154" s="67"/>
      <c r="G5154" s="69"/>
      <c r="H5154" s="589">
        <v>0</v>
      </c>
      <c r="I5154" s="44"/>
      <c r="J5154" s="44"/>
      <c r="K5154" s="44"/>
    </row>
    <row r="5155" spans="3:15" s="59" customFormat="1" ht="21" customHeight="1">
      <c r="C5155" s="288" t="s">
        <v>1218</v>
      </c>
      <c r="D5155" s="76" t="s">
        <v>1219</v>
      </c>
      <c r="E5155" s="77"/>
      <c r="F5155" s="77"/>
      <c r="G5155" s="78"/>
      <c r="H5155" s="585">
        <f>H5154+H5152+H5149</f>
        <v>5349065</v>
      </c>
      <c r="I5155" s="369"/>
      <c r="J5155" s="44"/>
      <c r="K5155" s="44"/>
    </row>
    <row r="5156" spans="3:15" s="59" customFormat="1" ht="21" customHeight="1">
      <c r="C5156" s="288" t="s">
        <v>1220</v>
      </c>
      <c r="D5156" s="76" t="s">
        <v>1321</v>
      </c>
      <c r="E5156" s="77"/>
      <c r="F5156" s="78"/>
      <c r="G5156" s="80">
        <v>0.1</v>
      </c>
      <c r="H5156" s="63">
        <f>H5155*G5156</f>
        <v>534906.5</v>
      </c>
      <c r="I5156" s="369"/>
      <c r="J5156" s="44"/>
      <c r="K5156" s="44"/>
    </row>
    <row r="5157" spans="3:15" s="59" customFormat="1" ht="21" customHeight="1">
      <c r="C5157" s="288" t="s">
        <v>1221</v>
      </c>
      <c r="D5157" s="76" t="s">
        <v>1222</v>
      </c>
      <c r="E5157" s="77"/>
      <c r="F5157" s="77"/>
      <c r="G5157" s="78"/>
      <c r="H5157" s="799">
        <f>SUM(H5155:H5156)</f>
        <v>5883971.5</v>
      </c>
      <c r="I5157" s="369"/>
      <c r="J5157" s="44"/>
      <c r="K5157" s="44"/>
    </row>
    <row r="5158" spans="3:15" ht="21" customHeight="1"/>
    <row r="5159" spans="3:15" s="59" customFormat="1" ht="21" customHeight="1">
      <c r="C5159" s="147" t="s">
        <v>5520</v>
      </c>
      <c r="D5159" s="794" t="s">
        <v>4387</v>
      </c>
      <c r="E5159" s="795"/>
      <c r="F5159" s="795"/>
      <c r="G5159" s="795"/>
      <c r="H5159" s="795"/>
      <c r="I5159" s="50">
        <f>ROUNDDOWN(H5174,-2)</f>
        <v>7703600</v>
      </c>
      <c r="J5159" s="50"/>
      <c r="K5159" s="50"/>
    </row>
    <row r="5160" spans="3:15" s="59" customFormat="1" ht="21" customHeight="1">
      <c r="C5160" s="591" t="s">
        <v>1195</v>
      </c>
      <c r="D5160" s="591" t="s">
        <v>1196</v>
      </c>
      <c r="E5160" s="591" t="s">
        <v>1197</v>
      </c>
      <c r="F5160" s="591" t="s">
        <v>1198</v>
      </c>
      <c r="G5160" s="591" t="s">
        <v>1199</v>
      </c>
      <c r="H5160" s="591" t="s">
        <v>1200</v>
      </c>
      <c r="I5160" s="44"/>
      <c r="J5160" s="44"/>
      <c r="K5160" s="44"/>
    </row>
    <row r="5161" spans="3:15" s="59" customFormat="1" ht="21" customHeight="1">
      <c r="C5161" s="61" t="s">
        <v>1201</v>
      </c>
      <c r="D5161" s="56" t="s">
        <v>1202</v>
      </c>
      <c r="E5161" s="57"/>
      <c r="F5161" s="57"/>
      <c r="G5161" s="57"/>
      <c r="H5161" s="57"/>
      <c r="I5161" s="44"/>
      <c r="J5161" s="44"/>
      <c r="K5161" s="44"/>
      <c r="L5161" s="152" t="s">
        <v>1247</v>
      </c>
    </row>
    <row r="5162" spans="3:15" s="59" customFormat="1" ht="21" customHeight="1">
      <c r="C5162" s="588">
        <v>1</v>
      </c>
      <c r="D5162" s="56" t="s">
        <v>5</v>
      </c>
      <c r="E5162" s="577" t="s">
        <v>6</v>
      </c>
      <c r="F5162" s="62">
        <v>1.375</v>
      </c>
      <c r="G5162" s="63">
        <f>VLOOKUP(D5162,upahbahan,3,FALSE)</f>
        <v>100000</v>
      </c>
      <c r="H5162" s="63">
        <f>F5162*G5162</f>
        <v>137500</v>
      </c>
      <c r="I5162" s="44"/>
      <c r="J5162" s="44"/>
      <c r="K5162" s="44"/>
      <c r="L5162" s="152" t="s">
        <v>1248</v>
      </c>
      <c r="O5162" s="65">
        <v>0.1</v>
      </c>
    </row>
    <row r="5163" spans="3:15" s="59" customFormat="1" ht="21" customHeight="1">
      <c r="C5163" s="588">
        <v>2</v>
      </c>
      <c r="D5163" s="56" t="s">
        <v>10</v>
      </c>
      <c r="E5163" s="577" t="s">
        <v>6</v>
      </c>
      <c r="F5163" s="62">
        <v>2.75</v>
      </c>
      <c r="G5163" s="63">
        <f>VLOOKUP(D5163,upahbahan,3,FALSE)</f>
        <v>135000</v>
      </c>
      <c r="H5163" s="63">
        <f>F5163*G5163</f>
        <v>371250</v>
      </c>
      <c r="I5163" s="44"/>
      <c r="J5163" s="44"/>
      <c r="K5163" s="44"/>
    </row>
    <row r="5164" spans="3:15" s="59" customFormat="1" ht="21" customHeight="1">
      <c r="C5164" s="588">
        <v>3</v>
      </c>
      <c r="D5164" s="56" t="s">
        <v>18</v>
      </c>
      <c r="E5164" s="577" t="s">
        <v>6</v>
      </c>
      <c r="F5164" s="62">
        <v>0.27500000000000002</v>
      </c>
      <c r="G5164" s="63">
        <f>VLOOKUP(D5164,upahbahan,3,FALSE)</f>
        <v>150000</v>
      </c>
      <c r="H5164" s="63">
        <f>F5164*G5164</f>
        <v>41250</v>
      </c>
      <c r="I5164" s="44"/>
      <c r="J5164" s="44"/>
      <c r="K5164" s="44"/>
    </row>
    <row r="5165" spans="3:15" s="59" customFormat="1" ht="21" customHeight="1">
      <c r="C5165" s="588">
        <v>4</v>
      </c>
      <c r="D5165" s="56" t="s">
        <v>19</v>
      </c>
      <c r="E5165" s="577" t="s">
        <v>6</v>
      </c>
      <c r="F5165" s="62">
        <v>8.3000000000000004E-2</v>
      </c>
      <c r="G5165" s="63">
        <f>VLOOKUP(D5165,upahbahan,3,FALSE)</f>
        <v>160000</v>
      </c>
      <c r="H5165" s="63">
        <f>F5165*G5165</f>
        <v>13280</v>
      </c>
      <c r="I5165" s="44"/>
      <c r="J5165" s="44"/>
      <c r="K5165" s="44"/>
    </row>
    <row r="5166" spans="3:15" s="59" customFormat="1" ht="21" customHeight="1">
      <c r="C5166" s="450" t="s">
        <v>1208</v>
      </c>
      <c r="D5166" s="67"/>
      <c r="E5166" s="67"/>
      <c r="F5166" s="142"/>
      <c r="G5166" s="153"/>
      <c r="H5166" s="63">
        <f>SUM(H5162:H5165)</f>
        <v>563280</v>
      </c>
      <c r="I5166" s="154"/>
      <c r="J5166" s="154"/>
      <c r="K5166" s="154"/>
    </row>
    <row r="5167" spans="3:15" s="59" customFormat="1" ht="21" customHeight="1">
      <c r="C5167" s="61" t="s">
        <v>1209</v>
      </c>
      <c r="D5167" s="56" t="s">
        <v>1210</v>
      </c>
      <c r="E5167" s="57"/>
      <c r="F5167" s="57"/>
      <c r="G5167" s="57"/>
      <c r="H5167" s="57"/>
      <c r="I5167" s="44"/>
      <c r="J5167" s="44"/>
      <c r="K5167" s="44"/>
    </row>
    <row r="5168" spans="3:15" s="59" customFormat="1" ht="21" customHeight="1">
      <c r="C5168" s="61">
        <v>1</v>
      </c>
      <c r="D5168" s="56" t="s">
        <v>4388</v>
      </c>
      <c r="E5168" s="93" t="s">
        <v>113</v>
      </c>
      <c r="F5168" s="104">
        <v>1.4</v>
      </c>
      <c r="G5168" s="63">
        <f>VLOOKUP(D5168,upahbahan,3,FALSE)</f>
        <v>4600000</v>
      </c>
      <c r="H5168" s="586">
        <f>G5168*F5168</f>
        <v>6440000</v>
      </c>
      <c r="I5168" s="44"/>
      <c r="J5168" s="44"/>
      <c r="K5168" s="44"/>
    </row>
    <row r="5169" spans="3:15" s="59" customFormat="1" ht="21" customHeight="1">
      <c r="C5169" s="450" t="s">
        <v>1214</v>
      </c>
      <c r="D5169" s="67"/>
      <c r="E5169" s="67"/>
      <c r="F5169" s="67"/>
      <c r="G5169" s="69"/>
      <c r="H5169" s="63">
        <f>SUM(H5168:H5168)</f>
        <v>6440000</v>
      </c>
      <c r="I5169" s="44"/>
      <c r="J5169" s="44"/>
      <c r="K5169" s="44"/>
    </row>
    <row r="5170" spans="3:15" s="59" customFormat="1" ht="21" customHeight="1">
      <c r="C5170" s="61" t="s">
        <v>1215</v>
      </c>
      <c r="D5170" s="56" t="s">
        <v>1216</v>
      </c>
      <c r="E5170" s="57"/>
      <c r="F5170" s="57"/>
      <c r="G5170" s="57"/>
      <c r="H5170" s="57"/>
      <c r="I5170" s="44"/>
      <c r="J5170" s="44"/>
      <c r="K5170" s="44"/>
    </row>
    <row r="5171" spans="3:15" s="59" customFormat="1" ht="21" customHeight="1">
      <c r="C5171" s="450" t="s">
        <v>1217</v>
      </c>
      <c r="D5171" s="67"/>
      <c r="E5171" s="67"/>
      <c r="F5171" s="67"/>
      <c r="G5171" s="69"/>
      <c r="H5171" s="589">
        <v>0</v>
      </c>
      <c r="I5171" s="44"/>
      <c r="J5171" s="44"/>
      <c r="K5171" s="44"/>
    </row>
    <row r="5172" spans="3:15" s="59" customFormat="1" ht="21" customHeight="1">
      <c r="C5172" s="288" t="s">
        <v>1218</v>
      </c>
      <c r="D5172" s="76" t="s">
        <v>1219</v>
      </c>
      <c r="E5172" s="77"/>
      <c r="F5172" s="77"/>
      <c r="G5172" s="78"/>
      <c r="H5172" s="585">
        <f>H5171+H5169+H5166</f>
        <v>7003280</v>
      </c>
      <c r="I5172" s="369"/>
      <c r="J5172" s="44"/>
      <c r="K5172" s="44"/>
    </row>
    <row r="5173" spans="3:15" s="59" customFormat="1" ht="21" customHeight="1">
      <c r="C5173" s="288" t="s">
        <v>1220</v>
      </c>
      <c r="D5173" s="76" t="s">
        <v>1321</v>
      </c>
      <c r="E5173" s="77"/>
      <c r="F5173" s="78"/>
      <c r="G5173" s="80">
        <v>0.1</v>
      </c>
      <c r="H5173" s="63">
        <f>H5172*G5173</f>
        <v>700328</v>
      </c>
      <c r="I5173" s="369"/>
      <c r="J5173" s="44"/>
      <c r="K5173" s="44"/>
    </row>
    <row r="5174" spans="3:15" s="59" customFormat="1" ht="21" customHeight="1">
      <c r="C5174" s="288" t="s">
        <v>1221</v>
      </c>
      <c r="D5174" s="76" t="s">
        <v>1222</v>
      </c>
      <c r="E5174" s="77"/>
      <c r="F5174" s="77"/>
      <c r="G5174" s="78"/>
      <c r="H5174" s="799">
        <f>SUM(H5172:H5173)</f>
        <v>7703608</v>
      </c>
      <c r="I5174" s="369"/>
      <c r="J5174" s="44"/>
      <c r="K5174" s="44"/>
    </row>
    <row r="5175" spans="3:15" ht="21" customHeight="1"/>
    <row r="5176" spans="3:15" ht="21" customHeight="1">
      <c r="C5176" s="43" t="s">
        <v>5521</v>
      </c>
      <c r="D5176" s="128" t="s">
        <v>4389</v>
      </c>
    </row>
    <row r="5177" spans="3:15" s="59" customFormat="1" ht="21" customHeight="1">
      <c r="C5177" s="147" t="s">
        <v>5522</v>
      </c>
      <c r="D5177" s="794" t="s">
        <v>4390</v>
      </c>
      <c r="E5177" s="795"/>
      <c r="F5177" s="795"/>
      <c r="G5177" s="795"/>
      <c r="H5177" s="795"/>
      <c r="I5177" s="50">
        <f>ROUNDDOWN(H5192,-2)</f>
        <v>30800</v>
      </c>
      <c r="J5177" s="50"/>
      <c r="K5177" s="50"/>
    </row>
    <row r="5178" spans="3:15" s="59" customFormat="1" ht="21" customHeight="1">
      <c r="C5178" s="591" t="s">
        <v>1195</v>
      </c>
      <c r="D5178" s="591" t="s">
        <v>1196</v>
      </c>
      <c r="E5178" s="591" t="s">
        <v>1197</v>
      </c>
      <c r="F5178" s="591" t="s">
        <v>1198</v>
      </c>
      <c r="G5178" s="591" t="s">
        <v>1199</v>
      </c>
      <c r="H5178" s="591" t="s">
        <v>1200</v>
      </c>
      <c r="I5178" s="44"/>
      <c r="J5178" s="44"/>
      <c r="K5178" s="44"/>
    </row>
    <row r="5179" spans="3:15" s="59" customFormat="1" ht="21" customHeight="1">
      <c r="C5179" s="61" t="s">
        <v>1201</v>
      </c>
      <c r="D5179" s="56" t="s">
        <v>1202</v>
      </c>
      <c r="E5179" s="57"/>
      <c r="F5179" s="57"/>
      <c r="G5179" s="57"/>
      <c r="H5179" s="57"/>
      <c r="I5179" s="44"/>
      <c r="J5179" s="44"/>
      <c r="K5179" s="44"/>
      <c r="L5179" s="152" t="s">
        <v>1247</v>
      </c>
    </row>
    <row r="5180" spans="3:15" s="59" customFormat="1" ht="21" customHeight="1">
      <c r="C5180" s="588">
        <v>1</v>
      </c>
      <c r="D5180" s="56" t="s">
        <v>5</v>
      </c>
      <c r="E5180" s="577" t="s">
        <v>6</v>
      </c>
      <c r="F5180" s="62">
        <v>4.8000000000000001E-2</v>
      </c>
      <c r="G5180" s="63">
        <f>VLOOKUP(D5180,upahbahan,3,FALSE)</f>
        <v>100000</v>
      </c>
      <c r="H5180" s="63">
        <f>F5180*G5180</f>
        <v>4800</v>
      </c>
      <c r="I5180" s="44"/>
      <c r="J5180" s="44"/>
      <c r="K5180" s="44"/>
      <c r="L5180" s="152" t="s">
        <v>1248</v>
      </c>
      <c r="O5180" s="65">
        <v>0.1</v>
      </c>
    </row>
    <row r="5181" spans="3:15" s="59" customFormat="1" ht="21" customHeight="1">
      <c r="C5181" s="588">
        <v>2</v>
      </c>
      <c r="D5181" s="56" t="s">
        <v>10</v>
      </c>
      <c r="E5181" s="577" t="s">
        <v>6</v>
      </c>
      <c r="F5181" s="62">
        <v>0.08</v>
      </c>
      <c r="G5181" s="63">
        <f>VLOOKUP(D5181,upahbahan,3,FALSE)</f>
        <v>135000</v>
      </c>
      <c r="H5181" s="63">
        <f>F5181*G5181</f>
        <v>10800</v>
      </c>
      <c r="I5181" s="44"/>
      <c r="J5181" s="44"/>
      <c r="K5181" s="44"/>
    </row>
    <row r="5182" spans="3:15" s="59" customFormat="1" ht="21" customHeight="1">
      <c r="C5182" s="588">
        <v>3</v>
      </c>
      <c r="D5182" s="56" t="s">
        <v>18</v>
      </c>
      <c r="E5182" s="577" t="s">
        <v>6</v>
      </c>
      <c r="F5182" s="62">
        <v>8.0000000000000002E-3</v>
      </c>
      <c r="G5182" s="63">
        <f>VLOOKUP(D5182,upahbahan,3,FALSE)</f>
        <v>150000</v>
      </c>
      <c r="H5182" s="63">
        <f>F5182*G5182</f>
        <v>1200</v>
      </c>
      <c r="I5182" s="44"/>
      <c r="J5182" s="44"/>
      <c r="K5182" s="44"/>
    </row>
    <row r="5183" spans="3:15" s="59" customFormat="1" ht="21" customHeight="1">
      <c r="C5183" s="588">
        <v>4</v>
      </c>
      <c r="D5183" s="56" t="s">
        <v>19</v>
      </c>
      <c r="E5183" s="577" t="s">
        <v>6</v>
      </c>
      <c r="F5183" s="62">
        <v>2E-3</v>
      </c>
      <c r="G5183" s="63">
        <f>VLOOKUP(D5183,upahbahan,3,FALSE)</f>
        <v>160000</v>
      </c>
      <c r="H5183" s="63">
        <f>F5183*G5183</f>
        <v>320</v>
      </c>
      <c r="I5183" s="44"/>
      <c r="J5183" s="44"/>
      <c r="K5183" s="44"/>
    </row>
    <row r="5184" spans="3:15" s="59" customFormat="1" ht="21" customHeight="1">
      <c r="C5184" s="450" t="s">
        <v>1208</v>
      </c>
      <c r="D5184" s="67"/>
      <c r="E5184" s="67"/>
      <c r="F5184" s="142"/>
      <c r="G5184" s="153"/>
      <c r="H5184" s="63">
        <f>SUM(H5180:H5183)</f>
        <v>17120</v>
      </c>
      <c r="I5184" s="154"/>
      <c r="J5184" s="154"/>
      <c r="K5184" s="154"/>
    </row>
    <row r="5185" spans="3:15" s="59" customFormat="1" ht="21" customHeight="1">
      <c r="C5185" s="61" t="s">
        <v>1209</v>
      </c>
      <c r="D5185" s="56" t="s">
        <v>1210</v>
      </c>
      <c r="E5185" s="57"/>
      <c r="F5185" s="57"/>
      <c r="G5185" s="57"/>
      <c r="H5185" s="57"/>
      <c r="I5185" s="44"/>
      <c r="J5185" s="44"/>
      <c r="K5185" s="44"/>
    </row>
    <row r="5186" spans="3:15" s="59" customFormat="1" ht="21" customHeight="1">
      <c r="C5186" s="61">
        <v>1</v>
      </c>
      <c r="D5186" s="56" t="s">
        <v>4391</v>
      </c>
      <c r="E5186" s="93" t="s">
        <v>2167</v>
      </c>
      <c r="F5186" s="104">
        <v>1.1000000000000001</v>
      </c>
      <c r="G5186" s="63">
        <f>VLOOKUP(D5186,upahbahan,3,FALSE)</f>
        <v>9950</v>
      </c>
      <c r="H5186" s="586">
        <f>G5186*F5186</f>
        <v>10945</v>
      </c>
      <c r="I5186" s="44"/>
      <c r="J5186" s="44"/>
      <c r="K5186" s="44"/>
    </row>
    <row r="5187" spans="3:15" s="59" customFormat="1" ht="21" customHeight="1">
      <c r="C5187" s="450" t="s">
        <v>1214</v>
      </c>
      <c r="D5187" s="67"/>
      <c r="E5187" s="67"/>
      <c r="F5187" s="67"/>
      <c r="G5187" s="69"/>
      <c r="H5187" s="63">
        <f>SUM(H5186:H5186)</f>
        <v>10945</v>
      </c>
      <c r="I5187" s="44"/>
      <c r="J5187" s="44"/>
      <c r="K5187" s="44"/>
    </row>
    <row r="5188" spans="3:15" s="59" customFormat="1" ht="21" customHeight="1">
      <c r="C5188" s="61" t="s">
        <v>1215</v>
      </c>
      <c r="D5188" s="56" t="s">
        <v>1216</v>
      </c>
      <c r="E5188" s="57"/>
      <c r="F5188" s="57"/>
      <c r="G5188" s="57"/>
      <c r="H5188" s="57"/>
      <c r="I5188" s="44"/>
      <c r="J5188" s="44"/>
      <c r="K5188" s="44"/>
    </row>
    <row r="5189" spans="3:15" s="59" customFormat="1" ht="21" customHeight="1">
      <c r="C5189" s="450" t="s">
        <v>1217</v>
      </c>
      <c r="D5189" s="67"/>
      <c r="E5189" s="67"/>
      <c r="F5189" s="67"/>
      <c r="G5189" s="69"/>
      <c r="H5189" s="589">
        <v>0</v>
      </c>
      <c r="I5189" s="44"/>
      <c r="J5189" s="44"/>
      <c r="K5189" s="44"/>
    </row>
    <row r="5190" spans="3:15" s="59" customFormat="1" ht="21" customHeight="1">
      <c r="C5190" s="288" t="s">
        <v>1218</v>
      </c>
      <c r="D5190" s="76" t="s">
        <v>1219</v>
      </c>
      <c r="E5190" s="77"/>
      <c r="F5190" s="77"/>
      <c r="G5190" s="78"/>
      <c r="H5190" s="585">
        <f>H5189+H5187+H5184</f>
        <v>28065</v>
      </c>
      <c r="I5190" s="369"/>
      <c r="J5190" s="44"/>
      <c r="K5190" s="44"/>
    </row>
    <row r="5191" spans="3:15" s="59" customFormat="1" ht="21" customHeight="1">
      <c r="C5191" s="288" t="s">
        <v>1220</v>
      </c>
      <c r="D5191" s="76" t="s">
        <v>1321</v>
      </c>
      <c r="E5191" s="77"/>
      <c r="F5191" s="78"/>
      <c r="G5191" s="80">
        <v>0.1</v>
      </c>
      <c r="H5191" s="63">
        <f>H5190*G5191</f>
        <v>2806.5</v>
      </c>
      <c r="I5191" s="369"/>
      <c r="J5191" s="44"/>
      <c r="K5191" s="44"/>
    </row>
    <row r="5192" spans="3:15" s="59" customFormat="1" ht="21" customHeight="1">
      <c r="C5192" s="288" t="s">
        <v>1221</v>
      </c>
      <c r="D5192" s="76" t="s">
        <v>1222</v>
      </c>
      <c r="E5192" s="77"/>
      <c r="F5192" s="77"/>
      <c r="G5192" s="78"/>
      <c r="H5192" s="799">
        <f>SUM(H5190:H5191)</f>
        <v>30871.5</v>
      </c>
      <c r="I5192" s="369"/>
      <c r="J5192" s="44"/>
      <c r="K5192" s="44"/>
    </row>
    <row r="5193" spans="3:15" ht="21" customHeight="1"/>
    <row r="5194" spans="3:15" s="59" customFormat="1" ht="21" customHeight="1">
      <c r="C5194" s="147" t="s">
        <v>5523</v>
      </c>
      <c r="D5194" s="794" t="s">
        <v>4392</v>
      </c>
      <c r="E5194" s="795"/>
      <c r="F5194" s="795"/>
      <c r="G5194" s="795"/>
      <c r="H5194" s="795"/>
      <c r="I5194" s="50">
        <f>ROUNDDOWN(H5209,-2)</f>
        <v>47800</v>
      </c>
      <c r="J5194" s="50"/>
      <c r="K5194" s="50"/>
    </row>
    <row r="5195" spans="3:15" s="59" customFormat="1" ht="21" customHeight="1">
      <c r="C5195" s="591" t="s">
        <v>1195</v>
      </c>
      <c r="D5195" s="591" t="s">
        <v>1196</v>
      </c>
      <c r="E5195" s="591" t="s">
        <v>1197</v>
      </c>
      <c r="F5195" s="591" t="s">
        <v>1198</v>
      </c>
      <c r="G5195" s="591" t="s">
        <v>1199</v>
      </c>
      <c r="H5195" s="591" t="s">
        <v>1200</v>
      </c>
      <c r="I5195" s="44"/>
      <c r="J5195" s="44"/>
      <c r="K5195" s="44"/>
    </row>
    <row r="5196" spans="3:15" s="59" customFormat="1" ht="21" customHeight="1">
      <c r="C5196" s="61" t="s">
        <v>1201</v>
      </c>
      <c r="D5196" s="56" t="s">
        <v>1202</v>
      </c>
      <c r="E5196" s="57"/>
      <c r="F5196" s="57"/>
      <c r="G5196" s="57"/>
      <c r="H5196" s="57"/>
      <c r="I5196" s="44"/>
      <c r="J5196" s="44"/>
      <c r="K5196" s="44"/>
      <c r="L5196" s="152" t="s">
        <v>1247</v>
      </c>
    </row>
    <row r="5197" spans="3:15" s="59" customFormat="1" ht="21" customHeight="1">
      <c r="C5197" s="588">
        <v>1</v>
      </c>
      <c r="D5197" s="56" t="s">
        <v>5</v>
      </c>
      <c r="E5197" s="577" t="s">
        <v>6</v>
      </c>
      <c r="F5197" s="62">
        <v>6.2E-2</v>
      </c>
      <c r="G5197" s="63">
        <f>VLOOKUP(D5197,upahbahan,3,FALSE)</f>
        <v>100000</v>
      </c>
      <c r="H5197" s="63">
        <f>F5197*G5197</f>
        <v>6200</v>
      </c>
      <c r="I5197" s="44"/>
      <c r="J5197" s="44"/>
      <c r="K5197" s="44"/>
      <c r="L5197" s="152" t="s">
        <v>1248</v>
      </c>
      <c r="O5197" s="65">
        <v>0.1</v>
      </c>
    </row>
    <row r="5198" spans="3:15" s="59" customFormat="1" ht="21" customHeight="1">
      <c r="C5198" s="588">
        <v>2</v>
      </c>
      <c r="D5198" s="56" t="s">
        <v>10</v>
      </c>
      <c r="E5198" s="577" t="s">
        <v>6</v>
      </c>
      <c r="F5198" s="62">
        <v>0.10299999999999999</v>
      </c>
      <c r="G5198" s="63">
        <f>VLOOKUP(D5198,upahbahan,3,FALSE)</f>
        <v>135000</v>
      </c>
      <c r="H5198" s="63">
        <f>F5198*G5198</f>
        <v>13905</v>
      </c>
      <c r="I5198" s="44"/>
      <c r="J5198" s="44"/>
      <c r="K5198" s="44"/>
    </row>
    <row r="5199" spans="3:15" s="59" customFormat="1" ht="21" customHeight="1">
      <c r="C5199" s="588">
        <v>3</v>
      </c>
      <c r="D5199" s="56" t="s">
        <v>18</v>
      </c>
      <c r="E5199" s="577" t="s">
        <v>6</v>
      </c>
      <c r="F5199" s="62">
        <v>0.01</v>
      </c>
      <c r="G5199" s="63">
        <f>VLOOKUP(D5199,upahbahan,3,FALSE)</f>
        <v>150000</v>
      </c>
      <c r="H5199" s="63">
        <f>F5199*G5199</f>
        <v>1500</v>
      </c>
      <c r="I5199" s="44"/>
      <c r="J5199" s="44"/>
      <c r="K5199" s="44"/>
    </row>
    <row r="5200" spans="3:15" s="59" customFormat="1" ht="21" customHeight="1">
      <c r="C5200" s="588">
        <v>4</v>
      </c>
      <c r="D5200" s="56" t="s">
        <v>19</v>
      </c>
      <c r="E5200" s="577" t="s">
        <v>6</v>
      </c>
      <c r="F5200" s="62">
        <v>3.0000000000000001E-3</v>
      </c>
      <c r="G5200" s="63">
        <f>VLOOKUP(D5200,upahbahan,3,FALSE)</f>
        <v>160000</v>
      </c>
      <c r="H5200" s="63">
        <f>F5200*G5200</f>
        <v>480</v>
      </c>
      <c r="I5200" s="44"/>
      <c r="J5200" s="44"/>
      <c r="K5200" s="44"/>
    </row>
    <row r="5201" spans="3:15" s="59" customFormat="1" ht="21" customHeight="1">
      <c r="C5201" s="450" t="s">
        <v>1208</v>
      </c>
      <c r="D5201" s="67"/>
      <c r="E5201" s="67"/>
      <c r="F5201" s="142"/>
      <c r="G5201" s="153"/>
      <c r="H5201" s="63">
        <f>SUM(H5197:H5200)</f>
        <v>22085</v>
      </c>
      <c r="I5201" s="154"/>
      <c r="J5201" s="154"/>
      <c r="K5201" s="154"/>
    </row>
    <row r="5202" spans="3:15" s="59" customFormat="1" ht="21" customHeight="1">
      <c r="C5202" s="61" t="s">
        <v>1209</v>
      </c>
      <c r="D5202" s="56" t="s">
        <v>1210</v>
      </c>
      <c r="E5202" s="57"/>
      <c r="F5202" s="57"/>
      <c r="G5202" s="57"/>
      <c r="H5202" s="57"/>
      <c r="I5202" s="44"/>
      <c r="J5202" s="44"/>
      <c r="K5202" s="44"/>
    </row>
    <row r="5203" spans="3:15" s="59" customFormat="1" ht="21" customHeight="1">
      <c r="C5203" s="61">
        <v>1</v>
      </c>
      <c r="D5203" s="56" t="s">
        <v>4393</v>
      </c>
      <c r="E5203" s="93" t="s">
        <v>2167</v>
      </c>
      <c r="F5203" s="104">
        <v>1.1000000000000001</v>
      </c>
      <c r="G5203" s="63">
        <f>VLOOKUP(D5203,upahbahan,3,FALSE)</f>
        <v>19500</v>
      </c>
      <c r="H5203" s="586">
        <f>G5203*F5203</f>
        <v>21450</v>
      </c>
      <c r="I5203" s="44"/>
      <c r="J5203" s="44"/>
      <c r="K5203" s="44"/>
    </row>
    <row r="5204" spans="3:15" s="59" customFormat="1" ht="21" customHeight="1">
      <c r="C5204" s="450" t="s">
        <v>1214</v>
      </c>
      <c r="D5204" s="67"/>
      <c r="E5204" s="67"/>
      <c r="F5204" s="67"/>
      <c r="G5204" s="69"/>
      <c r="H5204" s="63">
        <f>SUM(H5203:H5203)</f>
        <v>21450</v>
      </c>
      <c r="I5204" s="44"/>
      <c r="J5204" s="44"/>
      <c r="K5204" s="44"/>
    </row>
    <row r="5205" spans="3:15" s="59" customFormat="1" ht="21" customHeight="1">
      <c r="C5205" s="61" t="s">
        <v>1215</v>
      </c>
      <c r="D5205" s="56" t="s">
        <v>1216</v>
      </c>
      <c r="E5205" s="57"/>
      <c r="F5205" s="57"/>
      <c r="G5205" s="57"/>
      <c r="H5205" s="57"/>
      <c r="I5205" s="44"/>
      <c r="J5205" s="44"/>
      <c r="K5205" s="44"/>
    </row>
    <row r="5206" spans="3:15" s="59" customFormat="1" ht="21" customHeight="1">
      <c r="C5206" s="450" t="s">
        <v>1217</v>
      </c>
      <c r="D5206" s="67"/>
      <c r="E5206" s="67"/>
      <c r="F5206" s="67"/>
      <c r="G5206" s="69"/>
      <c r="H5206" s="589">
        <v>0</v>
      </c>
      <c r="I5206" s="44"/>
      <c r="J5206" s="44"/>
      <c r="K5206" s="44"/>
    </row>
    <row r="5207" spans="3:15" s="59" customFormat="1" ht="21" customHeight="1">
      <c r="C5207" s="288" t="s">
        <v>1218</v>
      </c>
      <c r="D5207" s="76" t="s">
        <v>1219</v>
      </c>
      <c r="E5207" s="77"/>
      <c r="F5207" s="77"/>
      <c r="G5207" s="78"/>
      <c r="H5207" s="585">
        <f>H5206+H5204+H5201</f>
        <v>43535</v>
      </c>
      <c r="I5207" s="369"/>
      <c r="J5207" s="44"/>
      <c r="K5207" s="44"/>
    </row>
    <row r="5208" spans="3:15" s="59" customFormat="1" ht="21" customHeight="1">
      <c r="C5208" s="288" t="s">
        <v>1220</v>
      </c>
      <c r="D5208" s="76" t="s">
        <v>1321</v>
      </c>
      <c r="E5208" s="77"/>
      <c r="F5208" s="78"/>
      <c r="G5208" s="80">
        <v>0.1</v>
      </c>
      <c r="H5208" s="63">
        <f>H5207*G5208</f>
        <v>4353.5</v>
      </c>
      <c r="I5208" s="369"/>
      <c r="J5208" s="44"/>
      <c r="K5208" s="44"/>
    </row>
    <row r="5209" spans="3:15" s="59" customFormat="1" ht="21" customHeight="1">
      <c r="C5209" s="288" t="s">
        <v>1221</v>
      </c>
      <c r="D5209" s="76" t="s">
        <v>1222</v>
      </c>
      <c r="E5209" s="77"/>
      <c r="F5209" s="77"/>
      <c r="G5209" s="78"/>
      <c r="H5209" s="799">
        <f>SUM(H5207:H5208)</f>
        <v>47888.5</v>
      </c>
      <c r="I5209" s="369"/>
      <c r="J5209" s="44"/>
      <c r="K5209" s="44"/>
    </row>
    <row r="5210" spans="3:15" ht="21" customHeight="1"/>
    <row r="5211" spans="3:15" s="59" customFormat="1" ht="21" customHeight="1">
      <c r="C5211" s="147" t="s">
        <v>5524</v>
      </c>
      <c r="D5211" s="794" t="s">
        <v>4394</v>
      </c>
      <c r="E5211" s="795"/>
      <c r="F5211" s="795"/>
      <c r="G5211" s="795"/>
      <c r="H5211" s="795"/>
      <c r="I5211" s="50">
        <f>ROUNDDOWN(H5226,-2)</f>
        <v>71400</v>
      </c>
      <c r="J5211" s="50"/>
      <c r="K5211" s="50"/>
    </row>
    <row r="5212" spans="3:15" s="59" customFormat="1" ht="21" customHeight="1">
      <c r="C5212" s="591" t="s">
        <v>1195</v>
      </c>
      <c r="D5212" s="591" t="s">
        <v>1196</v>
      </c>
      <c r="E5212" s="591" t="s">
        <v>1197</v>
      </c>
      <c r="F5212" s="591" t="s">
        <v>1198</v>
      </c>
      <c r="G5212" s="591" t="s">
        <v>1199</v>
      </c>
      <c r="H5212" s="591" t="s">
        <v>1200</v>
      </c>
      <c r="I5212" s="44"/>
      <c r="J5212" s="44"/>
      <c r="K5212" s="44"/>
    </row>
    <row r="5213" spans="3:15" s="59" customFormat="1" ht="21" customHeight="1">
      <c r="C5213" s="61" t="s">
        <v>1201</v>
      </c>
      <c r="D5213" s="56" t="s">
        <v>1202</v>
      </c>
      <c r="E5213" s="57"/>
      <c r="F5213" s="57"/>
      <c r="G5213" s="57"/>
      <c r="H5213" s="57"/>
      <c r="I5213" s="44"/>
      <c r="J5213" s="44"/>
      <c r="K5213" s="44"/>
      <c r="L5213" s="152" t="s">
        <v>1247</v>
      </c>
    </row>
    <row r="5214" spans="3:15" s="59" customFormat="1" ht="21" customHeight="1">
      <c r="C5214" s="588">
        <v>1</v>
      </c>
      <c r="D5214" s="56" t="s">
        <v>5</v>
      </c>
      <c r="E5214" s="577" t="s">
        <v>6</v>
      </c>
      <c r="F5214" s="62">
        <v>9.5000000000000001E-2</v>
      </c>
      <c r="G5214" s="63">
        <f>VLOOKUP(D5214,upahbahan,3,FALSE)</f>
        <v>100000</v>
      </c>
      <c r="H5214" s="63">
        <f>F5214*G5214</f>
        <v>9500</v>
      </c>
      <c r="I5214" s="44"/>
      <c r="J5214" s="44"/>
      <c r="K5214" s="44"/>
      <c r="L5214" s="152" t="s">
        <v>1248</v>
      </c>
      <c r="O5214" s="65">
        <v>0.1</v>
      </c>
    </row>
    <row r="5215" spans="3:15" s="59" customFormat="1" ht="21" customHeight="1">
      <c r="C5215" s="588">
        <v>2</v>
      </c>
      <c r="D5215" s="56" t="s">
        <v>10</v>
      </c>
      <c r="E5215" s="577" t="s">
        <v>6</v>
      </c>
      <c r="F5215" s="62">
        <v>0.159</v>
      </c>
      <c r="G5215" s="63">
        <f>VLOOKUP(D5215,upahbahan,3,FALSE)</f>
        <v>135000</v>
      </c>
      <c r="H5215" s="63">
        <f>F5215*G5215</f>
        <v>21465</v>
      </c>
      <c r="I5215" s="44"/>
      <c r="J5215" s="44"/>
      <c r="K5215" s="44"/>
    </row>
    <row r="5216" spans="3:15" s="59" customFormat="1" ht="21" customHeight="1">
      <c r="C5216" s="588">
        <v>3</v>
      </c>
      <c r="D5216" s="56" t="s">
        <v>18</v>
      </c>
      <c r="E5216" s="577" t="s">
        <v>6</v>
      </c>
      <c r="F5216" s="62">
        <v>1.6E-2</v>
      </c>
      <c r="G5216" s="63">
        <f>VLOOKUP(D5216,upahbahan,3,FALSE)</f>
        <v>150000</v>
      </c>
      <c r="H5216" s="63">
        <f>F5216*G5216</f>
        <v>2400</v>
      </c>
      <c r="I5216" s="44"/>
      <c r="J5216" s="44"/>
      <c r="K5216" s="44"/>
    </row>
    <row r="5217" spans="3:11" s="59" customFormat="1" ht="21" customHeight="1">
      <c r="C5217" s="588">
        <v>4</v>
      </c>
      <c r="D5217" s="56" t="s">
        <v>19</v>
      </c>
      <c r="E5217" s="577" t="s">
        <v>6</v>
      </c>
      <c r="F5217" s="62">
        <v>5.0000000000000001E-3</v>
      </c>
      <c r="G5217" s="63">
        <f>VLOOKUP(D5217,upahbahan,3,FALSE)</f>
        <v>160000</v>
      </c>
      <c r="H5217" s="63">
        <f>F5217*G5217</f>
        <v>800</v>
      </c>
      <c r="I5217" s="44"/>
      <c r="J5217" s="44"/>
      <c r="K5217" s="44"/>
    </row>
    <row r="5218" spans="3:11" s="59" customFormat="1" ht="21" customHeight="1">
      <c r="C5218" s="450" t="s">
        <v>1208</v>
      </c>
      <c r="D5218" s="67"/>
      <c r="E5218" s="67"/>
      <c r="F5218" s="142"/>
      <c r="G5218" s="153"/>
      <c r="H5218" s="63">
        <f>SUM(H5214:H5217)</f>
        <v>34165</v>
      </c>
      <c r="I5218" s="154"/>
      <c r="J5218" s="154"/>
      <c r="K5218" s="154"/>
    </row>
    <row r="5219" spans="3:11" s="59" customFormat="1" ht="21" customHeight="1">
      <c r="C5219" s="61" t="s">
        <v>1209</v>
      </c>
      <c r="D5219" s="56" t="s">
        <v>1210</v>
      </c>
      <c r="E5219" s="57"/>
      <c r="F5219" s="57"/>
      <c r="G5219" s="57"/>
      <c r="H5219" s="57"/>
      <c r="I5219" s="44"/>
      <c r="J5219" s="44"/>
      <c r="K5219" s="44"/>
    </row>
    <row r="5220" spans="3:11" s="59" customFormat="1" ht="21" customHeight="1">
      <c r="C5220" s="61">
        <v>1</v>
      </c>
      <c r="D5220" s="56" t="s">
        <v>4395</v>
      </c>
      <c r="E5220" s="93" t="s">
        <v>2167</v>
      </c>
      <c r="F5220" s="104">
        <v>1.1000000000000001</v>
      </c>
      <c r="G5220" s="63">
        <f>VLOOKUP(D5220,upahbahan,3,FALSE)</f>
        <v>28000</v>
      </c>
      <c r="H5220" s="586">
        <f>G5220*F5220</f>
        <v>30800.000000000004</v>
      </c>
      <c r="I5220" s="44"/>
      <c r="J5220" s="44"/>
      <c r="K5220" s="44"/>
    </row>
    <row r="5221" spans="3:11" s="59" customFormat="1" ht="21" customHeight="1">
      <c r="C5221" s="450" t="s">
        <v>1214</v>
      </c>
      <c r="D5221" s="67"/>
      <c r="E5221" s="67"/>
      <c r="F5221" s="67"/>
      <c r="G5221" s="69"/>
      <c r="H5221" s="63">
        <f>SUM(H5220:H5220)</f>
        <v>30800.000000000004</v>
      </c>
      <c r="I5221" s="44"/>
      <c r="J5221" s="44"/>
      <c r="K5221" s="44"/>
    </row>
    <row r="5222" spans="3:11" s="59" customFormat="1" ht="21" customHeight="1">
      <c r="C5222" s="61" t="s">
        <v>1215</v>
      </c>
      <c r="D5222" s="56" t="s">
        <v>1216</v>
      </c>
      <c r="E5222" s="57"/>
      <c r="F5222" s="57"/>
      <c r="G5222" s="57"/>
      <c r="H5222" s="57"/>
      <c r="I5222" s="44"/>
      <c r="J5222" s="44"/>
      <c r="K5222" s="44"/>
    </row>
    <row r="5223" spans="3:11" s="59" customFormat="1" ht="21" customHeight="1">
      <c r="C5223" s="450" t="s">
        <v>1217</v>
      </c>
      <c r="D5223" s="67"/>
      <c r="E5223" s="67"/>
      <c r="F5223" s="67"/>
      <c r="G5223" s="69"/>
      <c r="H5223" s="589">
        <v>0</v>
      </c>
      <c r="I5223" s="44"/>
      <c r="J5223" s="44"/>
      <c r="K5223" s="44"/>
    </row>
    <row r="5224" spans="3:11" s="59" customFormat="1" ht="21" customHeight="1">
      <c r="C5224" s="288" t="s">
        <v>1218</v>
      </c>
      <c r="D5224" s="76" t="s">
        <v>1219</v>
      </c>
      <c r="E5224" s="77"/>
      <c r="F5224" s="77"/>
      <c r="G5224" s="78"/>
      <c r="H5224" s="585">
        <f>H5223+H5221+H5218</f>
        <v>64965</v>
      </c>
      <c r="I5224" s="369"/>
      <c r="J5224" s="44"/>
      <c r="K5224" s="44"/>
    </row>
    <row r="5225" spans="3:11" s="59" customFormat="1" ht="21" customHeight="1">
      <c r="C5225" s="288" t="s">
        <v>1220</v>
      </c>
      <c r="D5225" s="76" t="s">
        <v>1321</v>
      </c>
      <c r="E5225" s="77"/>
      <c r="F5225" s="78"/>
      <c r="G5225" s="80">
        <v>0.1</v>
      </c>
      <c r="H5225" s="63">
        <f>H5224*G5225</f>
        <v>6496.5</v>
      </c>
      <c r="I5225" s="369"/>
      <c r="J5225" s="44"/>
      <c r="K5225" s="44"/>
    </row>
    <row r="5226" spans="3:11" s="59" customFormat="1" ht="21" customHeight="1">
      <c r="C5226" s="288" t="s">
        <v>1221</v>
      </c>
      <c r="D5226" s="76" t="s">
        <v>1222</v>
      </c>
      <c r="E5226" s="77"/>
      <c r="F5226" s="77"/>
      <c r="G5226" s="78"/>
      <c r="H5226" s="799">
        <f>SUM(H5224:H5225)</f>
        <v>71461.5</v>
      </c>
      <c r="I5226" s="369"/>
      <c r="J5226" s="44"/>
      <c r="K5226" s="44"/>
    </row>
    <row r="5227" spans="3:11" ht="21" customHeight="1"/>
  </sheetData>
  <phoneticPr fontId="19" type="noConversion"/>
  <dataValidations count="1">
    <dataValidation type="list" allowBlank="1" showInputMessage="1" showErrorMessage="1" sqref="D7:D10 D25:D28 D42:D45 D60:D63 D79:D82 D97:D100 D115:D118 D134:D137 D152:D155 D170:D173 D189:D192 D207:D210 D225:D228 D243:D246 D261:D264 D279:D282 D297:D300 D315:D318 D333:D336 D351:D354 D369:D372 D387:D390 D405:D408 D423:D426 D441:D444 D459:D462 D477:D480 D495:D498 D513:D516 D532:D535 D550:D553 D567:D570 D584:D587 D601:D604 D618:D621 D635:D638 D652:D655 D669:D672 D686:D689 D703:D706 D720:D723 D738:D741 D755:D758 D772:D775 D789:D792 D806:D809 D823:D826 D840:D843 D857:D860 D874:D877 D891:D894 D908:D911 D925:D928 D942:D945 D959:D962 D976:D979 D993:D996 D1010:D1013 D1027:D1030 D1044:D1047 D1061:D1064 D1079:D1082 D1096:D1099 D1113:D1116 D1130:D1133 D1147:D1150 D1164:D1167 D1181:D1184 D1198:D1201 D1215:D1218 D1232:D1235 D1249:D1252 D1266:D1269 D1284:D1287 D1301:D1304 D1318:D1321 D1335:D1338 D1352:D1355 D1369:D1372 D1386:D1389 D1403:D1406 D1422:D1425 D1439:D1442 D1456:D1459 D1473:D1476 D1490:D1493 D1507:D1510 D1524:D1527 D1541:D1544 D1558:D1561 D1575:D1578 D1592:D1595 D1609:D1612 D1626:D1629 D1643:D1646 D1660:D1663 D1677:D1680 D1968:D1971 D1988:D1991 D2014:D2017 D2031:D2034 D2049:D2052 D2066:D2069 D2083:D2086 D2100:D2103 D2117:D2120 D2135:D2138 D2152:D2155 D2169:D2172 D2186:D2189 D2203:D2206 D2220:D2223 D2237:D2240 D2256:D2259 D2273:D2276 D2290:D2293 D2307:D2310 D2324:D2327 D2341:D2344 D2359:D2362 D2376:D2379 D2393:D2396 D2411:D2414 D2428:D2431 D2445:D2448 D2462:D2465 D2479:D2482 D2496:D2499 D2513:D2516 D2530:D2533 D2548:D2551 D2565:D2568 D2582:D2585 D2599:D2602 D2616:D2619 D2633:D2636 D2651:D2654 D2669:D2672 D2687:D2690 D2704:D2707 D2722:D2725 D2739:D2742 D2756:D2759 D2773:D2776 D2790:D2793 D2807:D2810 D2824:D2827 D2841:D2844 D2859:D2862 D2876:D2879 D2893:D2896 D2911:D2914 D2928:D2931 D2945:D2948 D2962:D2965 D2980:D2983 D2997:D3000 D3014:D3017 D3031:D3034 D3048:D3051 D3065:D3068 D3082:D3085 D3099:D3102 D3117:D3120 D3134:D3137 D3153:D3156 D3170:D3173 D3187:D3190 D3204:D3207 D3222:D3225 D3239:D3242 D3256:D3259 D3273:D3276 D3290:D3293 D3307:D3310 D3324:D3327 D3341:D3344 D3359:D3362 D3376:D3379 D3393:D3396 D3412:D3415 D3429:D3432 D3446:D3449 D3463:D3466 D3481:D3484 D3498:D3501 D3515:D3518 D3532:D3535 D3549:D3552 D3566:D3569 D3583:D3586 D3600:D3603 D3618:D3621 D3635:D3638 D3652:D3655 D3669:D3672 D3687:D3690 D3704:D3707 D3721:D3724 D3738:D3741 D3755:D3758 D3772:D3775 D3789:D3792 D3807:D3810 D3824:D3827 D3841:D3844 D3859:D3862 D3876:D3879 D3893:D3896 D3910:D3913 D3928:D3931 D3945:D3948 D3962:D3965 D3979:D3982 D3996:D3999 D4013:D4016 D4030:D4033 D4047:D4050 D4065:D4068 D4083:D4086 D4101:D4104 D4119:D4122 D4137:D4140 D4155:D4158 D4173:D4176 D4193:D4196 D4228:D4231 D4263:D4266 D4280:D4283 D4297:D4300 D4210:D4213 D4245:D4248 D4314:D4317 D4331:D4334 D4348:D4351 D4365:D4368 D4382:D4385 D4399:D4402 D4417:D4420 D4434:D4437 D4451:D4454 D4468:D4471 D4485:D4488 D4502:D4505 D4519:D4522 D4537:D4540 D4555:D4558 D4572:D4575 D4589:D4592 D4606:D4609 D4623:D4626 D4640:D4643 D4657:D4660 D4674:D4677 D4692:D4695 D4709:D4712 D4726:D4729 D4743:D4746 D4760:D4763 D4777:D4780 D4795:D4798 D4812:D4815 D4829:D4832 D4847:D4850 D4864:D4867 D4881:D4884 D4898:D4901 D4915:D4918 D4933:D4936 D4951:D4954 D4968:D4971 D4985:D4988 D5002:D5005 D5019:D5022 D5036:D5039 D5055:D5058 D5073:D5076 D5091:D5094 D5109:D5112 D5127:D5130 D5145:D5148 D5162:D5165 D5180:D5183 D5197:D5200 D5214:D5217 D1694:D1697 D1711:D1714 D1728:D1731 D1745:D1748 D1762:D1765 D1779:D1782 D1796:D1799 D1813:D1816 D1830:D1833 D1847:D1850 D1864:D1867 D1881:D1884 D1898:D1901 D1915:D1918 D1932:D1935 D1949:D1952" xr:uid="{00000000-0002-0000-21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C2:M26"/>
  <sheetViews>
    <sheetView workbookViewId="0">
      <selection activeCell="D1168" sqref="D1168"/>
    </sheetView>
  </sheetViews>
  <sheetFormatPr defaultRowHeight="13.2"/>
  <cols>
    <col min="1" max="1" width="2.44140625" style="122" customWidth="1"/>
    <col min="2" max="2" width="3.109375" style="122" customWidth="1"/>
    <col min="3" max="3" width="8.88671875" style="122"/>
    <col min="4" max="4" width="22.33203125" style="122" customWidth="1"/>
    <col min="5" max="5" width="8.88671875" style="122"/>
    <col min="6" max="6" width="17" style="122" customWidth="1"/>
    <col min="7" max="7" width="17.109375" style="122" customWidth="1"/>
    <col min="8" max="8" width="17" style="122" customWidth="1"/>
    <col min="9" max="9" width="12.77734375" style="122" customWidth="1"/>
    <col min="10" max="16384" width="8.88671875" style="122"/>
  </cols>
  <sheetData>
    <row r="2" spans="3:13" ht="19.8" customHeight="1">
      <c r="C2" s="368" t="s">
        <v>5525</v>
      </c>
      <c r="D2" s="121" t="s">
        <v>4396</v>
      </c>
    </row>
    <row r="3" spans="3:13" ht="19.8" customHeight="1">
      <c r="C3" s="368" t="s">
        <v>4397</v>
      </c>
      <c r="D3" s="121" t="s">
        <v>4398</v>
      </c>
    </row>
    <row r="4" spans="3:13" s="59" customFormat="1" ht="19.8" customHeight="1">
      <c r="C4" s="46" t="s">
        <v>4003</v>
      </c>
      <c r="D4" s="794" t="s">
        <v>4399</v>
      </c>
      <c r="E4" s="795"/>
      <c r="F4" s="795"/>
      <c r="G4" s="795"/>
      <c r="H4" s="795"/>
      <c r="I4" s="50">
        <f>ROUNDDOWN(H26,-2)</f>
        <v>380300</v>
      </c>
    </row>
    <row r="5" spans="3:13" s="59" customFormat="1" ht="33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44"/>
    </row>
    <row r="6" spans="3:13" s="59" customFormat="1" ht="19.2" customHeight="1">
      <c r="C6" s="61" t="s">
        <v>1201</v>
      </c>
      <c r="D6" s="56" t="s">
        <v>1202</v>
      </c>
      <c r="E6" s="57"/>
      <c r="F6" s="57"/>
      <c r="G6" s="57"/>
      <c r="H6" s="57"/>
      <c r="I6" s="44"/>
      <c r="J6" s="152" t="s">
        <v>1247</v>
      </c>
    </row>
    <row r="7" spans="3:13" s="59" customFormat="1" ht="19.2" customHeight="1">
      <c r="C7" s="588">
        <v>1</v>
      </c>
      <c r="D7" s="56" t="s">
        <v>5</v>
      </c>
      <c r="E7" s="577" t="s">
        <v>6</v>
      </c>
      <c r="F7" s="62">
        <v>8.5999999999999993E-2</v>
      </c>
      <c r="G7" s="63">
        <f>VLOOKUP(D7,upahbahan,3,FALSE)</f>
        <v>100000</v>
      </c>
      <c r="H7" s="63">
        <f>F7*G7</f>
        <v>8600</v>
      </c>
      <c r="I7" s="44"/>
      <c r="J7" s="152" t="s">
        <v>1248</v>
      </c>
      <c r="M7" s="65">
        <v>0.1</v>
      </c>
    </row>
    <row r="8" spans="3:13" s="59" customFormat="1" ht="19.2" customHeight="1">
      <c r="C8" s="588">
        <v>2</v>
      </c>
      <c r="D8" s="56" t="s">
        <v>7</v>
      </c>
      <c r="E8" s="577" t="s">
        <v>6</v>
      </c>
      <c r="F8" s="62">
        <v>0.14299999999999999</v>
      </c>
      <c r="G8" s="63">
        <f>VLOOKUP(D8,upahbahan,3,FALSE)</f>
        <v>135000</v>
      </c>
      <c r="H8" s="63">
        <f>F8*G8</f>
        <v>19305</v>
      </c>
      <c r="I8" s="44"/>
    </row>
    <row r="9" spans="3:13" s="59" customFormat="1" ht="19.2" customHeight="1">
      <c r="C9" s="588">
        <v>3</v>
      </c>
      <c r="D9" s="56" t="s">
        <v>18</v>
      </c>
      <c r="E9" s="577" t="s">
        <v>6</v>
      </c>
      <c r="F9" s="62">
        <v>1.4E-2</v>
      </c>
      <c r="G9" s="63">
        <f>VLOOKUP(D9,upahbahan,3,FALSE)</f>
        <v>150000</v>
      </c>
      <c r="H9" s="63">
        <f>F9*G9</f>
        <v>2100</v>
      </c>
      <c r="I9" s="44"/>
    </row>
    <row r="10" spans="3:13" s="59" customFormat="1" ht="19.2" customHeight="1">
      <c r="C10" s="588">
        <v>4</v>
      </c>
      <c r="D10" s="56" t="s">
        <v>19</v>
      </c>
      <c r="E10" s="577" t="s">
        <v>6</v>
      </c>
      <c r="F10" s="62">
        <v>4.0000000000000001E-3</v>
      </c>
      <c r="G10" s="63">
        <f>VLOOKUP(D10,upahbahan,3,FALSE)</f>
        <v>160000</v>
      </c>
      <c r="H10" s="63">
        <f>F10*G10</f>
        <v>640</v>
      </c>
      <c r="I10" s="44"/>
    </row>
    <row r="11" spans="3:13" s="59" customFormat="1" ht="19.2" customHeight="1">
      <c r="C11" s="450" t="s">
        <v>1208</v>
      </c>
      <c r="D11" s="67"/>
      <c r="E11" s="67"/>
      <c r="F11" s="142"/>
      <c r="G11" s="153"/>
      <c r="H11" s="63">
        <f>SUM(H7:H10)</f>
        <v>30645</v>
      </c>
      <c r="I11" s="154"/>
    </row>
    <row r="12" spans="3:13" s="59" customFormat="1" ht="19.2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19.2" customHeight="1">
      <c r="C13" s="61">
        <v>1</v>
      </c>
      <c r="D13" s="56" t="s">
        <v>3804</v>
      </c>
      <c r="E13" s="57" t="s">
        <v>42</v>
      </c>
      <c r="F13" s="104">
        <v>1.006</v>
      </c>
      <c r="G13" s="63">
        <f>VLOOKUP(D13,upahbahan,3,FALSE)</f>
        <v>45000</v>
      </c>
      <c r="H13" s="63">
        <f>F13*G13</f>
        <v>45270</v>
      </c>
      <c r="I13" s="44"/>
    </row>
    <row r="14" spans="3:13" s="59" customFormat="1" ht="19.2" customHeight="1">
      <c r="C14" s="61">
        <v>2</v>
      </c>
      <c r="D14" s="56" t="s">
        <v>3805</v>
      </c>
      <c r="E14" s="57" t="s">
        <v>2167</v>
      </c>
      <c r="F14" s="104">
        <v>1</v>
      </c>
      <c r="G14" s="63">
        <f>VLOOKUP(D14,upahbahan,3,FALSE)</f>
        <v>255400</v>
      </c>
      <c r="H14" s="63">
        <f t="shared" ref="H14:H20" si="0">F14*G14</f>
        <v>255400</v>
      </c>
      <c r="I14" s="44"/>
    </row>
    <row r="15" spans="3:13" s="59" customFormat="1" ht="19.2" customHeight="1">
      <c r="C15" s="61">
        <v>3</v>
      </c>
      <c r="D15" s="56" t="s">
        <v>4400</v>
      </c>
      <c r="E15" s="57" t="s">
        <v>42</v>
      </c>
      <c r="F15" s="104">
        <v>0.05</v>
      </c>
      <c r="G15" s="63">
        <f>VLOOKUP(D15,upahbahan,3,FALSE)</f>
        <v>0</v>
      </c>
      <c r="H15" s="63">
        <f t="shared" si="0"/>
        <v>0</v>
      </c>
      <c r="I15" s="44"/>
    </row>
    <row r="16" spans="3:13" s="59" customFormat="1" ht="19.2" customHeight="1">
      <c r="C16" s="61">
        <v>4</v>
      </c>
      <c r="D16" s="56" t="s">
        <v>3801</v>
      </c>
      <c r="E16" s="57"/>
      <c r="F16" s="104"/>
      <c r="G16" s="63"/>
      <c r="H16" s="63">
        <f t="shared" si="0"/>
        <v>0</v>
      </c>
      <c r="I16" s="44"/>
    </row>
    <row r="17" spans="3:9" s="59" customFormat="1" ht="19.2" customHeight="1">
      <c r="C17" s="61">
        <v>5</v>
      </c>
      <c r="D17" s="56" t="s">
        <v>3802</v>
      </c>
      <c r="E17" s="57" t="s">
        <v>42</v>
      </c>
      <c r="F17" s="104">
        <v>0.05</v>
      </c>
      <c r="G17" s="63">
        <f>VLOOKUP(D17,upahbahan,3,FALSE)</f>
        <v>0</v>
      </c>
      <c r="H17" s="63">
        <f t="shared" si="0"/>
        <v>0</v>
      </c>
      <c r="I17" s="44"/>
    </row>
    <row r="18" spans="3:9" s="59" customFormat="1" ht="19.2" customHeight="1">
      <c r="C18" s="61">
        <v>6</v>
      </c>
      <c r="D18" s="56" t="s">
        <v>3803</v>
      </c>
      <c r="E18" s="57" t="s">
        <v>65</v>
      </c>
      <c r="F18" s="104">
        <v>5.024</v>
      </c>
      <c r="G18" s="63">
        <f>VLOOKUP(D18,upahbahan,3,FALSE)</f>
        <v>0</v>
      </c>
      <c r="H18" s="63">
        <f t="shared" si="0"/>
        <v>0</v>
      </c>
      <c r="I18" s="44"/>
    </row>
    <row r="19" spans="3:9" s="59" customFormat="1" ht="19.2" customHeight="1">
      <c r="C19" s="61">
        <v>7</v>
      </c>
      <c r="D19" s="56" t="s">
        <v>1947</v>
      </c>
      <c r="E19" s="57" t="s">
        <v>62</v>
      </c>
      <c r="F19" s="104">
        <v>0.502</v>
      </c>
      <c r="G19" s="63">
        <f>VLOOKUP(D19,upahbahan,3,FALSE)</f>
        <v>0</v>
      </c>
      <c r="H19" s="63">
        <f t="shared" si="0"/>
        <v>0</v>
      </c>
      <c r="I19" s="44"/>
    </row>
    <row r="20" spans="3:9" s="59" customFormat="1" ht="19.2" customHeight="1">
      <c r="C20" s="61">
        <v>8</v>
      </c>
      <c r="D20" s="56" t="s">
        <v>162</v>
      </c>
      <c r="E20" s="93" t="s">
        <v>113</v>
      </c>
      <c r="F20" s="104">
        <v>0.2</v>
      </c>
      <c r="G20" s="63">
        <f>VLOOKUP(D20,upahbahan,3,FALSE)</f>
        <v>72375</v>
      </c>
      <c r="H20" s="63">
        <f t="shared" si="0"/>
        <v>14475</v>
      </c>
      <c r="I20" s="44"/>
    </row>
    <row r="21" spans="3:9" s="59" customFormat="1" ht="19.2" customHeight="1">
      <c r="C21" s="450" t="s">
        <v>1214</v>
      </c>
      <c r="D21" s="67"/>
      <c r="E21" s="67"/>
      <c r="F21" s="67"/>
      <c r="G21" s="69"/>
      <c r="H21" s="63">
        <f>SUM(H13:H20)</f>
        <v>315145</v>
      </c>
      <c r="I21" s="44"/>
    </row>
    <row r="22" spans="3:9" s="59" customFormat="1" ht="19.2" customHeight="1">
      <c r="C22" s="61" t="s">
        <v>1215</v>
      </c>
      <c r="D22" s="56" t="s">
        <v>1216</v>
      </c>
      <c r="E22" s="57"/>
      <c r="F22" s="57"/>
      <c r="G22" s="57"/>
      <c r="H22" s="57"/>
      <c r="I22" s="44"/>
    </row>
    <row r="23" spans="3:9" s="59" customFormat="1" ht="19.2" customHeight="1">
      <c r="C23" s="450" t="s">
        <v>1217</v>
      </c>
      <c r="D23" s="67"/>
      <c r="E23" s="67"/>
      <c r="F23" s="67"/>
      <c r="G23" s="69"/>
      <c r="H23" s="589">
        <v>0</v>
      </c>
      <c r="I23" s="44"/>
    </row>
    <row r="24" spans="3:9" s="59" customFormat="1" ht="19.2" customHeight="1">
      <c r="C24" s="288" t="s">
        <v>1218</v>
      </c>
      <c r="D24" s="76" t="s">
        <v>1219</v>
      </c>
      <c r="E24" s="77"/>
      <c r="F24" s="77"/>
      <c r="G24" s="78"/>
      <c r="H24" s="585">
        <f>H23+H21+H11</f>
        <v>345790</v>
      </c>
      <c r="I24" s="369"/>
    </row>
    <row r="25" spans="3:9" s="59" customFormat="1" ht="19.2" customHeight="1">
      <c r="C25" s="288" t="s">
        <v>1220</v>
      </c>
      <c r="D25" s="76" t="s">
        <v>1321</v>
      </c>
      <c r="E25" s="77"/>
      <c r="F25" s="78"/>
      <c r="G25" s="80">
        <v>0.1</v>
      </c>
      <c r="H25" s="63">
        <f>H24*G25</f>
        <v>34579</v>
      </c>
      <c r="I25" s="369"/>
    </row>
    <row r="26" spans="3:9" s="59" customFormat="1" ht="19.2" customHeight="1">
      <c r="C26" s="288" t="s">
        <v>1221</v>
      </c>
      <c r="D26" s="76" t="s">
        <v>1222</v>
      </c>
      <c r="E26" s="77"/>
      <c r="F26" s="77"/>
      <c r="G26" s="78"/>
      <c r="H26" s="799">
        <f>SUM(H24:H25)</f>
        <v>380369</v>
      </c>
      <c r="I26" s="369"/>
    </row>
  </sheetData>
  <dataValidations count="1">
    <dataValidation type="list" allowBlank="1" showInputMessage="1" showErrorMessage="1" sqref="D7:D10" xr:uid="{00000000-0002-0000-2200-000000000000}">
      <formula1>TENAGA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M500"/>
  <sheetViews>
    <sheetView topLeftCell="A234" zoomScale="91" zoomScaleNormal="70" workbookViewId="0">
      <selection activeCell="C183" sqref="C183"/>
    </sheetView>
  </sheetViews>
  <sheetFormatPr defaultRowHeight="13.2"/>
  <cols>
    <col min="1" max="1" width="3.5546875" style="122" customWidth="1"/>
    <col min="2" max="2" width="2.5546875" style="122" customWidth="1"/>
    <col min="3" max="3" width="15" style="122" customWidth="1"/>
    <col min="4" max="4" width="36.77734375" style="122" customWidth="1"/>
    <col min="5" max="5" width="8.88671875" style="122"/>
    <col min="6" max="6" width="11.6640625" style="122" customWidth="1"/>
    <col min="7" max="7" width="17.5546875" style="122" customWidth="1"/>
    <col min="8" max="8" width="18.5546875" style="122" customWidth="1"/>
    <col min="9" max="9" width="22.88671875" style="122" customWidth="1"/>
    <col min="10" max="16384" width="8.88671875" style="122"/>
  </cols>
  <sheetData>
    <row r="1" spans="3:13" ht="22.8" customHeight="1">
      <c r="C1" s="345"/>
    </row>
    <row r="2" spans="3:13" ht="22.8" customHeight="1">
      <c r="C2" s="345"/>
    </row>
    <row r="3" spans="3:13" ht="22.8" customHeight="1">
      <c r="C3" s="368">
        <v>7</v>
      </c>
      <c r="D3" s="121" t="s">
        <v>6433</v>
      </c>
    </row>
    <row r="4" spans="3:13" ht="22.8" customHeight="1">
      <c r="C4" s="368" t="s">
        <v>4401</v>
      </c>
      <c r="D4" s="121" t="s">
        <v>5526</v>
      </c>
    </row>
    <row r="5" spans="3:13" ht="22.8" customHeight="1">
      <c r="C5" s="368" t="s">
        <v>4402</v>
      </c>
      <c r="D5" s="121" t="s">
        <v>4403</v>
      </c>
    </row>
    <row r="6" spans="3:13" s="59" customFormat="1" ht="22.8" customHeight="1">
      <c r="C6" s="46" t="s">
        <v>4404</v>
      </c>
      <c r="D6" s="794" t="s">
        <v>4405</v>
      </c>
      <c r="E6" s="794"/>
      <c r="F6" s="794"/>
      <c r="G6" s="794"/>
      <c r="H6" s="794"/>
      <c r="I6" s="50">
        <f>ROUNDDOWN(H23,-2)</f>
        <v>59500</v>
      </c>
    </row>
    <row r="7" spans="3:13" s="59" customFormat="1" ht="33" customHeight="1">
      <c r="C7" s="591" t="s">
        <v>1195</v>
      </c>
      <c r="D7" s="591" t="s">
        <v>1196</v>
      </c>
      <c r="E7" s="591" t="s">
        <v>1197</v>
      </c>
      <c r="F7" s="591" t="s">
        <v>1198</v>
      </c>
      <c r="G7" s="591" t="s">
        <v>1199</v>
      </c>
      <c r="H7" s="591" t="s">
        <v>1200</v>
      </c>
      <c r="I7" s="44"/>
    </row>
    <row r="8" spans="3:13" s="59" customFormat="1" ht="20.399999999999999" customHeight="1">
      <c r="C8" s="61" t="s">
        <v>1201</v>
      </c>
      <c r="D8" s="56" t="s">
        <v>1202</v>
      </c>
      <c r="E8" s="57"/>
      <c r="F8" s="57"/>
      <c r="G8" s="57"/>
      <c r="H8" s="57"/>
      <c r="I8" s="44"/>
      <c r="J8" s="152" t="s">
        <v>1247</v>
      </c>
    </row>
    <row r="9" spans="3:13" s="59" customFormat="1" ht="20.399999999999999" customHeight="1">
      <c r="C9" s="588">
        <v>1</v>
      </c>
      <c r="D9" s="56" t="s">
        <v>5</v>
      </c>
      <c r="E9" s="577" t="s">
        <v>6</v>
      </c>
      <c r="F9" s="62">
        <v>0.2</v>
      </c>
      <c r="G9" s="63">
        <f>VLOOKUP(D9,upahbahan,3,FALSE)</f>
        <v>100000</v>
      </c>
      <c r="H9" s="63">
        <f>F9*G9</f>
        <v>20000</v>
      </c>
      <c r="I9" s="44"/>
      <c r="J9" s="152" t="s">
        <v>1248</v>
      </c>
      <c r="M9" s="65">
        <v>0.1</v>
      </c>
    </row>
    <row r="10" spans="3:13" s="59" customFormat="1" ht="20.399999999999999" customHeight="1">
      <c r="C10" s="588">
        <v>2</v>
      </c>
      <c r="D10" s="56" t="s">
        <v>7</v>
      </c>
      <c r="E10" s="577" t="s">
        <v>6</v>
      </c>
      <c r="F10" s="62">
        <v>0.1</v>
      </c>
      <c r="G10" s="63">
        <f>VLOOKUP(D10,upahbahan,3,FALSE)</f>
        <v>135000</v>
      </c>
      <c r="H10" s="63">
        <f>F10*G10</f>
        <v>13500</v>
      </c>
      <c r="I10" s="44"/>
    </row>
    <row r="11" spans="3:13" s="59" customFormat="1" ht="20.399999999999999" customHeight="1">
      <c r="C11" s="588">
        <v>3</v>
      </c>
      <c r="D11" s="56" t="s">
        <v>18</v>
      </c>
      <c r="E11" s="577" t="s">
        <v>6</v>
      </c>
      <c r="F11" s="62">
        <v>0.01</v>
      </c>
      <c r="G11" s="63">
        <f>VLOOKUP(D11,upahbahan,3,FALSE)</f>
        <v>150000</v>
      </c>
      <c r="H11" s="63">
        <f>F11*G11</f>
        <v>1500</v>
      </c>
      <c r="I11" s="44"/>
    </row>
    <row r="12" spans="3:13" s="59" customFormat="1" ht="20.399999999999999" customHeight="1">
      <c r="C12" s="588">
        <v>4</v>
      </c>
      <c r="D12" s="56" t="s">
        <v>19</v>
      </c>
      <c r="E12" s="577" t="s">
        <v>6</v>
      </c>
      <c r="F12" s="62">
        <v>3.0000000000000001E-3</v>
      </c>
      <c r="G12" s="63">
        <f>VLOOKUP(D12,upahbahan,3,FALSE)</f>
        <v>160000</v>
      </c>
      <c r="H12" s="63">
        <f>F12*G12</f>
        <v>480</v>
      </c>
      <c r="I12" s="44"/>
    </row>
    <row r="13" spans="3:13" s="59" customFormat="1" ht="20.399999999999999" customHeight="1">
      <c r="C13" s="450" t="s">
        <v>1208</v>
      </c>
      <c r="D13" s="67"/>
      <c r="E13" s="67"/>
      <c r="F13" s="142"/>
      <c r="G13" s="153"/>
      <c r="H13" s="63">
        <f>SUM(H9:H12)</f>
        <v>35480</v>
      </c>
      <c r="I13" s="154"/>
    </row>
    <row r="14" spans="3:13" s="59" customFormat="1" ht="20.399999999999999" customHeight="1">
      <c r="C14" s="61" t="s">
        <v>1209</v>
      </c>
      <c r="D14" s="56" t="s">
        <v>1210</v>
      </c>
      <c r="E14" s="57"/>
      <c r="F14" s="57"/>
      <c r="G14" s="57"/>
      <c r="H14" s="57"/>
      <c r="I14" s="44"/>
    </row>
    <row r="15" spans="3:13" s="59" customFormat="1" ht="20.399999999999999" customHeight="1">
      <c r="C15" s="61">
        <v>1</v>
      </c>
      <c r="D15" s="56" t="s">
        <v>4407</v>
      </c>
      <c r="E15" s="57" t="s">
        <v>62</v>
      </c>
      <c r="F15" s="104">
        <v>1.05</v>
      </c>
      <c r="G15" s="63">
        <f>VLOOKUP(D15,upahbahan,3,FALSE)</f>
        <v>0</v>
      </c>
      <c r="H15" s="63">
        <f>F15*G15</f>
        <v>0</v>
      </c>
      <c r="I15" s="44"/>
    </row>
    <row r="16" spans="3:13" s="59" customFormat="1" ht="20.399999999999999" customHeight="1">
      <c r="C16" s="61">
        <v>2</v>
      </c>
      <c r="D16" s="56" t="s">
        <v>4406</v>
      </c>
      <c r="E16" s="57" t="s">
        <v>42</v>
      </c>
      <c r="F16" s="104">
        <v>3.0000000000000001E-3</v>
      </c>
      <c r="G16" s="63">
        <f>VLOOKUP(D16,upahbahan,3,FALSE)</f>
        <v>0</v>
      </c>
      <c r="H16" s="63">
        <f>F16*G16</f>
        <v>0</v>
      </c>
      <c r="I16" s="44"/>
    </row>
    <row r="17" spans="3:13" s="59" customFormat="1" ht="20.399999999999999" customHeight="1">
      <c r="C17" s="61">
        <v>3</v>
      </c>
      <c r="D17" s="56" t="s">
        <v>82</v>
      </c>
      <c r="E17" s="57" t="s">
        <v>42</v>
      </c>
      <c r="F17" s="104">
        <v>0.06</v>
      </c>
      <c r="G17" s="63">
        <f>VLOOKUP(D17,upahbahan,3,FALSE)</f>
        <v>310500</v>
      </c>
      <c r="H17" s="63">
        <f>F17*G17</f>
        <v>18630</v>
      </c>
      <c r="I17" s="44"/>
    </row>
    <row r="18" spans="3:13" s="59" customFormat="1" ht="20.399999999999999" customHeight="1">
      <c r="C18" s="450" t="s">
        <v>1214</v>
      </c>
      <c r="D18" s="67"/>
      <c r="E18" s="67"/>
      <c r="F18" s="67"/>
      <c r="G18" s="69"/>
      <c r="H18" s="63">
        <f>SUM(H15:H17)</f>
        <v>18630</v>
      </c>
      <c r="I18" s="44"/>
    </row>
    <row r="19" spans="3:13" s="59" customFormat="1" ht="20.399999999999999" customHeight="1">
      <c r="C19" s="61" t="s">
        <v>1215</v>
      </c>
      <c r="D19" s="56" t="s">
        <v>1216</v>
      </c>
      <c r="E19" s="57"/>
      <c r="F19" s="57"/>
      <c r="G19" s="57"/>
      <c r="H19" s="57"/>
      <c r="I19" s="44"/>
    </row>
    <row r="20" spans="3:13" s="59" customFormat="1" ht="20.399999999999999" customHeight="1">
      <c r="C20" s="450" t="s">
        <v>1217</v>
      </c>
      <c r="D20" s="67"/>
      <c r="E20" s="67"/>
      <c r="F20" s="67"/>
      <c r="G20" s="69"/>
      <c r="H20" s="589">
        <v>0</v>
      </c>
      <c r="I20" s="44"/>
    </row>
    <row r="21" spans="3:13" s="59" customFormat="1" ht="20.399999999999999" customHeight="1">
      <c r="C21" s="288" t="s">
        <v>1218</v>
      </c>
      <c r="D21" s="76" t="s">
        <v>1219</v>
      </c>
      <c r="E21" s="77"/>
      <c r="F21" s="77"/>
      <c r="G21" s="78"/>
      <c r="H21" s="585">
        <f>H20+H18+H13</f>
        <v>54110</v>
      </c>
      <c r="I21" s="369"/>
    </row>
    <row r="22" spans="3:13" s="59" customFormat="1" ht="20.399999999999999" customHeight="1">
      <c r="C22" s="288" t="s">
        <v>1220</v>
      </c>
      <c r="D22" s="76" t="s">
        <v>1321</v>
      </c>
      <c r="E22" s="77"/>
      <c r="F22" s="78"/>
      <c r="G22" s="80">
        <v>0.1</v>
      </c>
      <c r="H22" s="63">
        <f>H21*G22</f>
        <v>5411</v>
      </c>
      <c r="I22" s="369"/>
    </row>
    <row r="23" spans="3:13" s="59" customFormat="1" ht="20.399999999999999" customHeight="1">
      <c r="C23" s="288" t="s">
        <v>1221</v>
      </c>
      <c r="D23" s="76" t="s">
        <v>1222</v>
      </c>
      <c r="E23" s="77"/>
      <c r="F23" s="77"/>
      <c r="G23" s="78"/>
      <c r="H23" s="799">
        <f>SUM(H21:H22)</f>
        <v>59521</v>
      </c>
      <c r="I23" s="369"/>
    </row>
    <row r="26" spans="3:13" s="59" customFormat="1" ht="25.5" customHeight="1">
      <c r="C26" s="46" t="s">
        <v>4408</v>
      </c>
      <c r="D26" s="867" t="s">
        <v>4409</v>
      </c>
      <c r="E26" s="794"/>
      <c r="F26" s="794"/>
      <c r="G26" s="794"/>
      <c r="H26" s="794"/>
      <c r="I26" s="50">
        <f>ROUNDDOWN(H43,-2)</f>
        <v>59500</v>
      </c>
    </row>
    <row r="27" spans="3:13" s="59" customFormat="1" ht="33" customHeight="1">
      <c r="C27" s="591" t="s">
        <v>1195</v>
      </c>
      <c r="D27" s="591" t="s">
        <v>1196</v>
      </c>
      <c r="E27" s="591" t="s">
        <v>1197</v>
      </c>
      <c r="F27" s="591" t="s">
        <v>1198</v>
      </c>
      <c r="G27" s="591" t="s">
        <v>1199</v>
      </c>
      <c r="H27" s="591" t="s">
        <v>1200</v>
      </c>
      <c r="I27" s="44"/>
    </row>
    <row r="28" spans="3:13" s="59" customFormat="1" ht="20.399999999999999" customHeight="1">
      <c r="C28" s="61" t="s">
        <v>1201</v>
      </c>
      <c r="D28" s="56" t="s">
        <v>1202</v>
      </c>
      <c r="E28" s="57"/>
      <c r="F28" s="57"/>
      <c r="G28" s="57"/>
      <c r="H28" s="57"/>
      <c r="I28" s="44"/>
      <c r="J28" s="152" t="s">
        <v>1247</v>
      </c>
    </row>
    <row r="29" spans="3:13" s="59" customFormat="1" ht="20.399999999999999" customHeight="1">
      <c r="C29" s="588">
        <v>1</v>
      </c>
      <c r="D29" s="56" t="s">
        <v>5</v>
      </c>
      <c r="E29" s="577" t="s">
        <v>6</v>
      </c>
      <c r="F29" s="62">
        <v>0.2</v>
      </c>
      <c r="G29" s="63">
        <f>VLOOKUP(D29,upahbahan,3,FALSE)</f>
        <v>100000</v>
      </c>
      <c r="H29" s="63">
        <f>F29*G29</f>
        <v>20000</v>
      </c>
      <c r="I29" s="44"/>
      <c r="J29" s="152" t="s">
        <v>1248</v>
      </c>
      <c r="M29" s="65">
        <v>0.1</v>
      </c>
    </row>
    <row r="30" spans="3:13" s="59" customFormat="1" ht="20.399999999999999" customHeight="1">
      <c r="C30" s="588">
        <v>2</v>
      </c>
      <c r="D30" s="56" t="s">
        <v>7</v>
      </c>
      <c r="E30" s="577" t="s">
        <v>6</v>
      </c>
      <c r="F30" s="62">
        <v>0.1</v>
      </c>
      <c r="G30" s="63">
        <f>VLOOKUP(D30,upahbahan,3,FALSE)</f>
        <v>135000</v>
      </c>
      <c r="H30" s="63">
        <f>F30*G30</f>
        <v>13500</v>
      </c>
      <c r="I30" s="44"/>
    </row>
    <row r="31" spans="3:13" s="59" customFormat="1" ht="20.399999999999999" customHeight="1">
      <c r="C31" s="588">
        <v>3</v>
      </c>
      <c r="D31" s="56" t="s">
        <v>18</v>
      </c>
      <c r="E31" s="577" t="s">
        <v>6</v>
      </c>
      <c r="F31" s="62">
        <v>0.01</v>
      </c>
      <c r="G31" s="63">
        <f>VLOOKUP(D31,upahbahan,3,FALSE)</f>
        <v>150000</v>
      </c>
      <c r="H31" s="63">
        <f>F31*G31</f>
        <v>1500</v>
      </c>
      <c r="I31" s="44"/>
    </row>
    <row r="32" spans="3:13" s="59" customFormat="1" ht="20.399999999999999" customHeight="1">
      <c r="C32" s="588">
        <v>4</v>
      </c>
      <c r="D32" s="56" t="s">
        <v>19</v>
      </c>
      <c r="E32" s="577" t="s">
        <v>6</v>
      </c>
      <c r="F32" s="62">
        <v>3.0000000000000001E-3</v>
      </c>
      <c r="G32" s="63">
        <f>VLOOKUP(D32,upahbahan,3,FALSE)</f>
        <v>160000</v>
      </c>
      <c r="H32" s="63">
        <f>F32*G32</f>
        <v>480</v>
      </c>
      <c r="I32" s="44"/>
    </row>
    <row r="33" spans="3:13" s="59" customFormat="1" ht="20.399999999999999" customHeight="1">
      <c r="C33" s="450" t="s">
        <v>1208</v>
      </c>
      <c r="D33" s="67"/>
      <c r="E33" s="67"/>
      <c r="F33" s="142"/>
      <c r="G33" s="153"/>
      <c r="H33" s="63">
        <f>SUM(H29:H32)</f>
        <v>35480</v>
      </c>
      <c r="I33" s="154"/>
    </row>
    <row r="34" spans="3:13" s="59" customFormat="1" ht="20.399999999999999" customHeight="1">
      <c r="C34" s="61" t="s">
        <v>1209</v>
      </c>
      <c r="D34" s="56" t="s">
        <v>1210</v>
      </c>
      <c r="E34" s="57"/>
      <c r="F34" s="57"/>
      <c r="G34" s="57"/>
      <c r="H34" s="57"/>
      <c r="I34" s="44"/>
    </row>
    <row r="35" spans="3:13" s="59" customFormat="1" ht="20.399999999999999" customHeight="1">
      <c r="C35" s="61">
        <v>1</v>
      </c>
      <c r="D35" s="56" t="s">
        <v>4410</v>
      </c>
      <c r="E35" s="57" t="s">
        <v>62</v>
      </c>
      <c r="F35" s="104">
        <v>1.05</v>
      </c>
      <c r="G35" s="63">
        <f>VLOOKUP(D35,upahbahan,3,FALSE)</f>
        <v>0</v>
      </c>
      <c r="H35" s="63">
        <f>F35*G35</f>
        <v>0</v>
      </c>
      <c r="I35" s="44"/>
    </row>
    <row r="36" spans="3:13" s="59" customFormat="1" ht="20.399999999999999" customHeight="1">
      <c r="C36" s="61">
        <v>2</v>
      </c>
      <c r="D36" s="56" t="s">
        <v>4406</v>
      </c>
      <c r="E36" s="57" t="s">
        <v>42</v>
      </c>
      <c r="F36" s="104">
        <v>3.0000000000000001E-3</v>
      </c>
      <c r="G36" s="63">
        <f>VLOOKUP(D36,upahbahan,3,FALSE)</f>
        <v>0</v>
      </c>
      <c r="H36" s="63">
        <f>F36*G36</f>
        <v>0</v>
      </c>
      <c r="I36" s="44"/>
    </row>
    <row r="37" spans="3:13" s="59" customFormat="1" ht="20.399999999999999" customHeight="1">
      <c r="C37" s="61">
        <v>3</v>
      </c>
      <c r="D37" s="56" t="s">
        <v>82</v>
      </c>
      <c r="E37" s="57" t="s">
        <v>42</v>
      </c>
      <c r="F37" s="104">
        <v>0.06</v>
      </c>
      <c r="G37" s="63">
        <f>VLOOKUP(D37,upahbahan,3,FALSE)</f>
        <v>310500</v>
      </c>
      <c r="H37" s="63">
        <f>F37*G37</f>
        <v>18630</v>
      </c>
      <c r="I37" s="44"/>
    </row>
    <row r="38" spans="3:13" s="59" customFormat="1" ht="20.399999999999999" customHeight="1">
      <c r="C38" s="450" t="s">
        <v>1214</v>
      </c>
      <c r="D38" s="67"/>
      <c r="E38" s="67"/>
      <c r="F38" s="67"/>
      <c r="G38" s="69"/>
      <c r="H38" s="63">
        <f>SUM(H35:H37)</f>
        <v>18630</v>
      </c>
      <c r="I38" s="44"/>
    </row>
    <row r="39" spans="3:13" s="59" customFormat="1" ht="20.399999999999999" customHeight="1">
      <c r="C39" s="61" t="s">
        <v>1215</v>
      </c>
      <c r="D39" s="56" t="s">
        <v>1216</v>
      </c>
      <c r="E39" s="57"/>
      <c r="F39" s="57"/>
      <c r="G39" s="57"/>
      <c r="H39" s="57"/>
      <c r="I39" s="44"/>
    </row>
    <row r="40" spans="3:13" s="59" customFormat="1" ht="20.399999999999999" customHeight="1">
      <c r="C40" s="450" t="s">
        <v>1217</v>
      </c>
      <c r="D40" s="67"/>
      <c r="E40" s="67"/>
      <c r="F40" s="67"/>
      <c r="G40" s="69"/>
      <c r="H40" s="589">
        <v>0</v>
      </c>
      <c r="I40" s="44"/>
    </row>
    <row r="41" spans="3:13" s="59" customFormat="1" ht="20.399999999999999" customHeight="1">
      <c r="C41" s="288" t="s">
        <v>1218</v>
      </c>
      <c r="D41" s="76" t="s">
        <v>1219</v>
      </c>
      <c r="E41" s="77"/>
      <c r="F41" s="77"/>
      <c r="G41" s="78"/>
      <c r="H41" s="585">
        <f>H40+H38+H33</f>
        <v>54110</v>
      </c>
      <c r="I41" s="369"/>
    </row>
    <row r="42" spans="3:13" s="59" customFormat="1" ht="20.399999999999999" customHeight="1">
      <c r="C42" s="288" t="s">
        <v>1220</v>
      </c>
      <c r="D42" s="76" t="s">
        <v>1321</v>
      </c>
      <c r="E42" s="77"/>
      <c r="F42" s="78"/>
      <c r="G42" s="80">
        <v>0.1</v>
      </c>
      <c r="H42" s="63">
        <f>H41*G42</f>
        <v>5411</v>
      </c>
      <c r="I42" s="369"/>
    </row>
    <row r="43" spans="3:13" s="59" customFormat="1" ht="20.399999999999999" customHeight="1">
      <c r="C43" s="288" t="s">
        <v>1221</v>
      </c>
      <c r="D43" s="76" t="s">
        <v>1222</v>
      </c>
      <c r="E43" s="77"/>
      <c r="F43" s="77"/>
      <c r="G43" s="78"/>
      <c r="H43" s="799">
        <f>SUM(H41:H42)</f>
        <v>59521</v>
      </c>
      <c r="I43" s="369"/>
    </row>
    <row r="45" spans="3:13" s="59" customFormat="1" ht="23.25" customHeight="1">
      <c r="C45" s="46" t="s">
        <v>4411</v>
      </c>
      <c r="D45" s="794" t="s">
        <v>4412</v>
      </c>
      <c r="E45" s="794"/>
      <c r="F45" s="794"/>
      <c r="G45" s="794"/>
      <c r="H45" s="794"/>
      <c r="I45" s="50">
        <f>ROUNDDOWN(H63,-2)</f>
        <v>44600</v>
      </c>
    </row>
    <row r="46" spans="3:13" s="59" customFormat="1" ht="33" customHeight="1">
      <c r="C46" s="591" t="s">
        <v>1195</v>
      </c>
      <c r="D46" s="591" t="s">
        <v>1196</v>
      </c>
      <c r="E46" s="591" t="s">
        <v>1197</v>
      </c>
      <c r="F46" s="591" t="s">
        <v>1198</v>
      </c>
      <c r="G46" s="591" t="s">
        <v>1199</v>
      </c>
      <c r="H46" s="591" t="s">
        <v>1200</v>
      </c>
      <c r="I46" s="44"/>
    </row>
    <row r="47" spans="3:13" s="59" customFormat="1" ht="20.399999999999999" customHeight="1">
      <c r="C47" s="61" t="s">
        <v>1201</v>
      </c>
      <c r="D47" s="56" t="s">
        <v>1202</v>
      </c>
      <c r="E47" s="57"/>
      <c r="F47" s="57"/>
      <c r="G47" s="57"/>
      <c r="H47" s="57"/>
      <c r="I47" s="44"/>
      <c r="J47" s="152" t="s">
        <v>1247</v>
      </c>
    </row>
    <row r="48" spans="3:13" s="59" customFormat="1" ht="20.399999999999999" customHeight="1">
      <c r="C48" s="588">
        <v>1</v>
      </c>
      <c r="D48" s="56" t="s">
        <v>5</v>
      </c>
      <c r="E48" s="577" t="s">
        <v>6</v>
      </c>
      <c r="F48" s="62">
        <v>0.1</v>
      </c>
      <c r="G48" s="63">
        <f>VLOOKUP(D48,upahbahan,3,FALSE)</f>
        <v>100000</v>
      </c>
      <c r="H48" s="63">
        <f>F48*G48</f>
        <v>10000</v>
      </c>
      <c r="I48" s="44"/>
      <c r="J48" s="152" t="s">
        <v>1248</v>
      </c>
      <c r="M48" s="65">
        <v>0.1</v>
      </c>
    </row>
    <row r="49" spans="3:9" s="59" customFormat="1" ht="20.399999999999999" customHeight="1">
      <c r="C49" s="588">
        <v>2</v>
      </c>
      <c r="D49" s="56" t="s">
        <v>7</v>
      </c>
      <c r="E49" s="577" t="s">
        <v>6</v>
      </c>
      <c r="F49" s="62">
        <v>0.05</v>
      </c>
      <c r="G49" s="63">
        <f>VLOOKUP(D49,upahbahan,3,FALSE)</f>
        <v>135000</v>
      </c>
      <c r="H49" s="63">
        <f>F49*G49</f>
        <v>6750</v>
      </c>
      <c r="I49" s="44"/>
    </row>
    <row r="50" spans="3:9" s="59" customFormat="1" ht="20.399999999999999" customHeight="1">
      <c r="C50" s="588">
        <v>3</v>
      </c>
      <c r="D50" s="56" t="s">
        <v>18</v>
      </c>
      <c r="E50" s="577" t="s">
        <v>6</v>
      </c>
      <c r="F50" s="62">
        <v>5.0000000000000001E-3</v>
      </c>
      <c r="G50" s="63">
        <f>VLOOKUP(D50,upahbahan,3,FALSE)</f>
        <v>150000</v>
      </c>
      <c r="H50" s="63">
        <f>F50*G50</f>
        <v>750</v>
      </c>
      <c r="I50" s="44"/>
    </row>
    <row r="51" spans="3:9" s="59" customFormat="1" ht="20.399999999999999" customHeight="1">
      <c r="C51" s="588">
        <v>4</v>
      </c>
      <c r="D51" s="56" t="s">
        <v>19</v>
      </c>
      <c r="E51" s="577" t="s">
        <v>6</v>
      </c>
      <c r="F51" s="62">
        <v>2E-3</v>
      </c>
      <c r="G51" s="63">
        <f>VLOOKUP(D51,upahbahan,3,FALSE)</f>
        <v>160000</v>
      </c>
      <c r="H51" s="63">
        <f>F51*G51</f>
        <v>320</v>
      </c>
      <c r="I51" s="44"/>
    </row>
    <row r="52" spans="3:9" s="59" customFormat="1" ht="20.399999999999999" customHeight="1">
      <c r="C52" s="450" t="s">
        <v>1208</v>
      </c>
      <c r="D52" s="67"/>
      <c r="E52" s="67"/>
      <c r="F52" s="142"/>
      <c r="G52" s="153"/>
      <c r="H52" s="63">
        <f>SUM(H48:H51)</f>
        <v>17820</v>
      </c>
      <c r="I52" s="154"/>
    </row>
    <row r="53" spans="3:9" s="59" customFormat="1" ht="20.399999999999999" customHeight="1">
      <c r="C53" s="61" t="s">
        <v>1209</v>
      </c>
      <c r="D53" s="56" t="s">
        <v>1210</v>
      </c>
      <c r="E53" s="57"/>
      <c r="F53" s="57"/>
      <c r="G53" s="57"/>
      <c r="H53" s="57"/>
      <c r="I53" s="44"/>
    </row>
    <row r="54" spans="3:9" s="59" customFormat="1" ht="20.399999999999999" customHeight="1">
      <c r="C54" s="61">
        <v>1</v>
      </c>
      <c r="D54" s="56" t="s">
        <v>4407</v>
      </c>
      <c r="E54" s="93" t="s">
        <v>62</v>
      </c>
      <c r="F54" s="104">
        <v>1.05</v>
      </c>
      <c r="G54" s="63">
        <f>VLOOKUP(D54,upahbahan,3,FALSE)</f>
        <v>0</v>
      </c>
      <c r="H54" s="63">
        <f>F54*G54</f>
        <v>0</v>
      </c>
      <c r="I54" s="44"/>
    </row>
    <row r="55" spans="3:9" s="59" customFormat="1" ht="20.399999999999999" customHeight="1">
      <c r="C55" s="61">
        <v>2</v>
      </c>
      <c r="D55" s="56" t="s">
        <v>4406</v>
      </c>
      <c r="E55" s="93" t="s">
        <v>42</v>
      </c>
      <c r="F55" s="104">
        <v>3.0000000000000001E-3</v>
      </c>
      <c r="G55" s="63">
        <f>VLOOKUP(D55,upahbahan,3,FALSE)</f>
        <v>0</v>
      </c>
      <c r="H55" s="63">
        <f>F55*G55</f>
        <v>0</v>
      </c>
      <c r="I55" s="44"/>
    </row>
    <row r="56" spans="3:9" s="59" customFormat="1" ht="20.399999999999999" customHeight="1">
      <c r="C56" s="61">
        <v>3</v>
      </c>
      <c r="D56" s="56" t="s">
        <v>82</v>
      </c>
      <c r="E56" s="93" t="s">
        <v>42</v>
      </c>
      <c r="F56" s="104">
        <v>0.06</v>
      </c>
      <c r="G56" s="63">
        <f>VLOOKUP(D56,upahbahan,3,FALSE)</f>
        <v>310500</v>
      </c>
      <c r="H56" s="63">
        <f>F56*G56</f>
        <v>18630</v>
      </c>
      <c r="I56" s="44"/>
    </row>
    <row r="57" spans="3:9" s="59" customFormat="1" ht="20.399999999999999" customHeight="1">
      <c r="C57" s="450" t="s">
        <v>1214</v>
      </c>
      <c r="D57" s="67"/>
      <c r="E57" s="67"/>
      <c r="F57" s="67"/>
      <c r="G57" s="69"/>
      <c r="H57" s="63">
        <f>SUM(H54:H56)</f>
        <v>18630</v>
      </c>
      <c r="I57" s="44"/>
    </row>
    <row r="58" spans="3:9" s="59" customFormat="1" ht="20.399999999999999" customHeight="1">
      <c r="C58" s="61" t="s">
        <v>1215</v>
      </c>
      <c r="D58" s="56" t="s">
        <v>1216</v>
      </c>
      <c r="E58" s="57"/>
      <c r="F58" s="57"/>
      <c r="G58" s="57"/>
      <c r="H58" s="57"/>
      <c r="I58" s="44"/>
    </row>
    <row r="59" spans="3:9" s="59" customFormat="1" ht="20.399999999999999" customHeight="1">
      <c r="C59" s="800">
        <v>1</v>
      </c>
      <c r="D59" s="56" t="s">
        <v>4413</v>
      </c>
      <c r="E59" s="94" t="s">
        <v>1974</v>
      </c>
      <c r="F59" s="94">
        <v>1.175E-2</v>
      </c>
      <c r="G59" s="63">
        <f>VLOOKUP(D59,upahbahan,3,FALSE)</f>
        <v>350000</v>
      </c>
      <c r="H59" s="63">
        <f>F59*G59</f>
        <v>4112.5</v>
      </c>
      <c r="I59" s="44"/>
    </row>
    <row r="60" spans="3:9" s="59" customFormat="1" ht="20.399999999999999" customHeight="1">
      <c r="C60" s="450" t="s">
        <v>1217</v>
      </c>
      <c r="D60" s="67"/>
      <c r="E60" s="67"/>
      <c r="F60" s="67"/>
      <c r="G60" s="69"/>
      <c r="H60" s="589">
        <f>SUM(H59)</f>
        <v>4112.5</v>
      </c>
      <c r="I60" s="44"/>
    </row>
    <row r="61" spans="3:9" s="59" customFormat="1" ht="20.399999999999999" customHeight="1">
      <c r="C61" s="288" t="s">
        <v>1218</v>
      </c>
      <c r="D61" s="76" t="s">
        <v>1219</v>
      </c>
      <c r="E61" s="77"/>
      <c r="F61" s="77"/>
      <c r="G61" s="78"/>
      <c r="H61" s="585">
        <f>H60+H57+H52</f>
        <v>40562.5</v>
      </c>
      <c r="I61" s="369"/>
    </row>
    <row r="62" spans="3:9" s="59" customFormat="1" ht="20.399999999999999" customHeight="1">
      <c r="C62" s="288" t="s">
        <v>1220</v>
      </c>
      <c r="D62" s="76" t="s">
        <v>1321</v>
      </c>
      <c r="E62" s="77"/>
      <c r="F62" s="78"/>
      <c r="G62" s="80">
        <v>0.1</v>
      </c>
      <c r="H62" s="63">
        <f>H61*G62</f>
        <v>4056.25</v>
      </c>
      <c r="I62" s="369"/>
    </row>
    <row r="63" spans="3:9" s="59" customFormat="1" ht="20.399999999999999" customHeight="1">
      <c r="C63" s="288" t="s">
        <v>1221</v>
      </c>
      <c r="D63" s="76" t="s">
        <v>1222</v>
      </c>
      <c r="E63" s="77"/>
      <c r="F63" s="77"/>
      <c r="G63" s="78"/>
      <c r="H63" s="799">
        <f>SUM(H61:H62)</f>
        <v>44618.75</v>
      </c>
      <c r="I63" s="369"/>
    </row>
    <row r="65" spans="3:13" s="59" customFormat="1" ht="21.75" customHeight="1">
      <c r="C65" s="46" t="s">
        <v>4415</v>
      </c>
      <c r="D65" s="794" t="s">
        <v>4416</v>
      </c>
      <c r="E65" s="794"/>
      <c r="F65" s="794"/>
      <c r="G65" s="794"/>
      <c r="H65" s="794"/>
      <c r="I65" s="50">
        <f>ROUNDDOWN(H83,-2)</f>
        <v>44600</v>
      </c>
    </row>
    <row r="66" spans="3:13" s="59" customFormat="1" ht="33" customHeight="1">
      <c r="C66" s="591" t="s">
        <v>1195</v>
      </c>
      <c r="D66" s="591" t="s">
        <v>1196</v>
      </c>
      <c r="E66" s="591" t="s">
        <v>1197</v>
      </c>
      <c r="F66" s="591" t="s">
        <v>1198</v>
      </c>
      <c r="G66" s="591" t="s">
        <v>1199</v>
      </c>
      <c r="H66" s="591" t="s">
        <v>1200</v>
      </c>
      <c r="I66" s="44"/>
    </row>
    <row r="67" spans="3:13" s="59" customFormat="1" ht="19.8" customHeight="1">
      <c r="C67" s="61" t="s">
        <v>1201</v>
      </c>
      <c r="D67" s="56" t="s">
        <v>1202</v>
      </c>
      <c r="E67" s="57"/>
      <c r="F67" s="57"/>
      <c r="G67" s="57"/>
      <c r="H67" s="57"/>
      <c r="I67" s="44"/>
      <c r="J67" s="152" t="s">
        <v>1247</v>
      </c>
    </row>
    <row r="68" spans="3:13" s="59" customFormat="1" ht="19.8" customHeight="1">
      <c r="C68" s="588">
        <v>1</v>
      </c>
      <c r="D68" s="56" t="s">
        <v>5</v>
      </c>
      <c r="E68" s="577" t="s">
        <v>6</v>
      </c>
      <c r="F68" s="62">
        <v>0.1</v>
      </c>
      <c r="G68" s="63">
        <f>VLOOKUP(D68,upahbahan,3,FALSE)</f>
        <v>100000</v>
      </c>
      <c r="H68" s="63">
        <f>F68*G68</f>
        <v>10000</v>
      </c>
      <c r="I68" s="44"/>
      <c r="J68" s="152" t="s">
        <v>1248</v>
      </c>
      <c r="M68" s="65">
        <v>0.1</v>
      </c>
    </row>
    <row r="69" spans="3:13" s="59" customFormat="1" ht="19.8" customHeight="1">
      <c r="C69" s="588">
        <v>2</v>
      </c>
      <c r="D69" s="56" t="s">
        <v>7</v>
      </c>
      <c r="E69" s="577" t="s">
        <v>6</v>
      </c>
      <c r="F69" s="62">
        <v>0.05</v>
      </c>
      <c r="G69" s="63">
        <f>VLOOKUP(D69,upahbahan,3,FALSE)</f>
        <v>135000</v>
      </c>
      <c r="H69" s="63">
        <f>F69*G69</f>
        <v>6750</v>
      </c>
      <c r="I69" s="44"/>
    </row>
    <row r="70" spans="3:13" s="59" customFormat="1" ht="19.8" customHeight="1">
      <c r="C70" s="588">
        <v>3</v>
      </c>
      <c r="D70" s="56" t="s">
        <v>18</v>
      </c>
      <c r="E70" s="577" t="s">
        <v>6</v>
      </c>
      <c r="F70" s="62">
        <v>5.0000000000000001E-3</v>
      </c>
      <c r="G70" s="63">
        <f>VLOOKUP(D70,upahbahan,3,FALSE)</f>
        <v>150000</v>
      </c>
      <c r="H70" s="63">
        <f>F70*G70</f>
        <v>750</v>
      </c>
      <c r="I70" s="44"/>
    </row>
    <row r="71" spans="3:13" s="59" customFormat="1" ht="19.8" customHeight="1">
      <c r="C71" s="588">
        <v>4</v>
      </c>
      <c r="D71" s="56" t="s">
        <v>19</v>
      </c>
      <c r="E71" s="577" t="s">
        <v>6</v>
      </c>
      <c r="F71" s="62">
        <v>2E-3</v>
      </c>
      <c r="G71" s="63">
        <f>VLOOKUP(D71,upahbahan,3,FALSE)</f>
        <v>160000</v>
      </c>
      <c r="H71" s="63">
        <f>F71*G71</f>
        <v>320</v>
      </c>
      <c r="I71" s="44"/>
    </row>
    <row r="72" spans="3:13" s="59" customFormat="1" ht="19.8" customHeight="1">
      <c r="C72" s="450" t="s">
        <v>1208</v>
      </c>
      <c r="D72" s="67"/>
      <c r="E72" s="67"/>
      <c r="F72" s="142"/>
      <c r="G72" s="153"/>
      <c r="H72" s="63">
        <f>SUM(H68:H71)</f>
        <v>17820</v>
      </c>
      <c r="I72" s="154"/>
    </row>
    <row r="73" spans="3:13" s="59" customFormat="1" ht="19.8" customHeight="1">
      <c r="C73" s="61" t="s">
        <v>1209</v>
      </c>
      <c r="D73" s="56" t="s">
        <v>1210</v>
      </c>
      <c r="E73" s="57"/>
      <c r="F73" s="57"/>
      <c r="G73" s="57"/>
      <c r="H73" s="57"/>
      <c r="I73" s="44"/>
    </row>
    <row r="74" spans="3:13" s="59" customFormat="1" ht="19.8" customHeight="1">
      <c r="C74" s="61">
        <v>1</v>
      </c>
      <c r="D74" s="56" t="s">
        <v>4410</v>
      </c>
      <c r="E74" s="93" t="s">
        <v>62</v>
      </c>
      <c r="F74" s="104">
        <v>1.05</v>
      </c>
      <c r="G74" s="63">
        <f>VLOOKUP(D74,upahbahan,3,FALSE)</f>
        <v>0</v>
      </c>
      <c r="H74" s="63">
        <f>F74*G74</f>
        <v>0</v>
      </c>
      <c r="I74" s="44"/>
    </row>
    <row r="75" spans="3:13" s="59" customFormat="1" ht="19.8" customHeight="1">
      <c r="C75" s="61">
        <v>2</v>
      </c>
      <c r="D75" s="56" t="s">
        <v>4406</v>
      </c>
      <c r="E75" s="93" t="s">
        <v>42</v>
      </c>
      <c r="F75" s="104">
        <v>3.0000000000000001E-3</v>
      </c>
      <c r="G75" s="63">
        <f>VLOOKUP(D75,upahbahan,3,FALSE)</f>
        <v>0</v>
      </c>
      <c r="H75" s="63">
        <f>F75*G75</f>
        <v>0</v>
      </c>
      <c r="I75" s="44"/>
    </row>
    <row r="76" spans="3:13" s="59" customFormat="1" ht="19.8" customHeight="1">
      <c r="C76" s="61">
        <v>3</v>
      </c>
      <c r="D76" s="56" t="s">
        <v>82</v>
      </c>
      <c r="E76" s="93" t="s">
        <v>42</v>
      </c>
      <c r="F76" s="104">
        <v>0.06</v>
      </c>
      <c r="G76" s="63">
        <f>VLOOKUP(D76,upahbahan,3,FALSE)</f>
        <v>310500</v>
      </c>
      <c r="H76" s="63">
        <f>F76*G76</f>
        <v>18630</v>
      </c>
      <c r="I76" s="44"/>
    </row>
    <row r="77" spans="3:13" s="59" customFormat="1" ht="19.8" customHeight="1">
      <c r="C77" s="450" t="s">
        <v>1214</v>
      </c>
      <c r="D77" s="67"/>
      <c r="E77" s="67"/>
      <c r="F77" s="67"/>
      <c r="G77" s="69"/>
      <c r="H77" s="63">
        <f>SUM(H74:H76)</f>
        <v>18630</v>
      </c>
      <c r="I77" s="44"/>
    </row>
    <row r="78" spans="3:13" s="59" customFormat="1" ht="19.8" customHeight="1">
      <c r="C78" s="61" t="s">
        <v>1215</v>
      </c>
      <c r="D78" s="56" t="s">
        <v>1216</v>
      </c>
      <c r="E78" s="57"/>
      <c r="F78" s="57"/>
      <c r="G78" s="57"/>
      <c r="H78" s="57"/>
      <c r="I78" s="44"/>
    </row>
    <row r="79" spans="3:13" s="59" customFormat="1" ht="19.8" customHeight="1">
      <c r="C79" s="800">
        <v>1</v>
      </c>
      <c r="D79" s="56" t="s">
        <v>4413</v>
      </c>
      <c r="E79" s="94" t="s">
        <v>1974</v>
      </c>
      <c r="F79" s="94">
        <v>1.175E-2</v>
      </c>
      <c r="G79" s="63">
        <f>VLOOKUP(D79,upahbahan,3,FALSE)</f>
        <v>350000</v>
      </c>
      <c r="H79" s="63">
        <f>F79*G79</f>
        <v>4112.5</v>
      </c>
      <c r="I79" s="44"/>
    </row>
    <row r="80" spans="3:13" s="59" customFormat="1" ht="19.8" customHeight="1">
      <c r="C80" s="450" t="s">
        <v>1217</v>
      </c>
      <c r="D80" s="67"/>
      <c r="E80" s="67"/>
      <c r="F80" s="67"/>
      <c r="G80" s="69"/>
      <c r="H80" s="589">
        <f>SUM(H79)</f>
        <v>4112.5</v>
      </c>
      <c r="I80" s="44"/>
    </row>
    <row r="81" spans="3:13" s="59" customFormat="1" ht="19.8" customHeight="1">
      <c r="C81" s="288" t="s">
        <v>1218</v>
      </c>
      <c r="D81" s="76" t="s">
        <v>1219</v>
      </c>
      <c r="E81" s="77"/>
      <c r="F81" s="77"/>
      <c r="G81" s="78"/>
      <c r="H81" s="585">
        <f>H80+H77+H72</f>
        <v>40562.5</v>
      </c>
      <c r="I81" s="369"/>
    </row>
    <row r="82" spans="3:13" s="59" customFormat="1" ht="19.8" customHeight="1">
      <c r="C82" s="288" t="s">
        <v>1220</v>
      </c>
      <c r="D82" s="76" t="s">
        <v>1321</v>
      </c>
      <c r="E82" s="77"/>
      <c r="F82" s="78"/>
      <c r="G82" s="80">
        <v>0.1</v>
      </c>
      <c r="H82" s="63">
        <f>H81*G82</f>
        <v>4056.25</v>
      </c>
      <c r="I82" s="369"/>
    </row>
    <row r="83" spans="3:13" s="59" customFormat="1" ht="19.8" customHeight="1">
      <c r="C83" s="288" t="s">
        <v>1221</v>
      </c>
      <c r="D83" s="76" t="s">
        <v>1222</v>
      </c>
      <c r="E83" s="77"/>
      <c r="F83" s="77"/>
      <c r="G83" s="78"/>
      <c r="H83" s="799">
        <f>SUM(H81:H82)</f>
        <v>44618.75</v>
      </c>
      <c r="I83" s="369"/>
    </row>
    <row r="85" spans="3:13" s="59" customFormat="1" ht="21.75" customHeight="1">
      <c r="C85" s="46" t="s">
        <v>4417</v>
      </c>
      <c r="D85" s="794" t="s">
        <v>4418</v>
      </c>
      <c r="E85" s="794"/>
      <c r="F85" s="794"/>
      <c r="G85" s="794"/>
      <c r="H85" s="794"/>
      <c r="I85" s="50">
        <f>ROUNDDOWN(H102,-2)</f>
        <v>71800</v>
      </c>
    </row>
    <row r="86" spans="3:13" s="59" customFormat="1" ht="33" customHeight="1">
      <c r="C86" s="591" t="s">
        <v>1195</v>
      </c>
      <c r="D86" s="591" t="s">
        <v>1196</v>
      </c>
      <c r="E86" s="591" t="s">
        <v>1197</v>
      </c>
      <c r="F86" s="591" t="s">
        <v>1198</v>
      </c>
      <c r="G86" s="591" t="s">
        <v>1199</v>
      </c>
      <c r="H86" s="591" t="s">
        <v>1200</v>
      </c>
      <c r="I86" s="44"/>
    </row>
    <row r="87" spans="3:13" s="59" customFormat="1" ht="24" customHeight="1">
      <c r="C87" s="61" t="s">
        <v>1201</v>
      </c>
      <c r="D87" s="56" t="s">
        <v>1202</v>
      </c>
      <c r="E87" s="57"/>
      <c r="F87" s="57"/>
      <c r="G87" s="57"/>
      <c r="H87" s="57"/>
      <c r="I87" s="44"/>
      <c r="J87" s="152" t="s">
        <v>1247</v>
      </c>
    </row>
    <row r="88" spans="3:13" s="59" customFormat="1" ht="24" customHeight="1">
      <c r="C88" s="588">
        <v>1</v>
      </c>
      <c r="D88" s="56" t="s">
        <v>5</v>
      </c>
      <c r="E88" s="577" t="s">
        <v>6</v>
      </c>
      <c r="F88" s="62">
        <v>0.2</v>
      </c>
      <c r="G88" s="63">
        <f>VLOOKUP(D88,upahbahan,3,FALSE)</f>
        <v>100000</v>
      </c>
      <c r="H88" s="63">
        <f>F88*G88</f>
        <v>20000</v>
      </c>
      <c r="I88" s="44"/>
      <c r="J88" s="152" t="s">
        <v>1248</v>
      </c>
      <c r="M88" s="65">
        <v>0.1</v>
      </c>
    </row>
    <row r="89" spans="3:13" s="59" customFormat="1" ht="24" customHeight="1">
      <c r="C89" s="588">
        <v>2</v>
      </c>
      <c r="D89" s="56" t="s">
        <v>7</v>
      </c>
      <c r="E89" s="577" t="s">
        <v>6</v>
      </c>
      <c r="F89" s="62">
        <v>0.1</v>
      </c>
      <c r="G89" s="63">
        <f>VLOOKUP(D89,upahbahan,3,FALSE)</f>
        <v>135000</v>
      </c>
      <c r="H89" s="63">
        <f>F89*G89</f>
        <v>13500</v>
      </c>
      <c r="I89" s="44"/>
    </row>
    <row r="90" spans="3:13" s="59" customFormat="1" ht="24" customHeight="1">
      <c r="C90" s="588">
        <v>3</v>
      </c>
      <c r="D90" s="56" t="s">
        <v>18</v>
      </c>
      <c r="E90" s="577" t="s">
        <v>6</v>
      </c>
      <c r="F90" s="62">
        <v>0.01</v>
      </c>
      <c r="G90" s="63">
        <f>VLOOKUP(D90,upahbahan,3,FALSE)</f>
        <v>150000</v>
      </c>
      <c r="H90" s="63">
        <f>F90*G90</f>
        <v>1500</v>
      </c>
      <c r="I90" s="44"/>
    </row>
    <row r="91" spans="3:13" s="59" customFormat="1" ht="24" customHeight="1">
      <c r="C91" s="588">
        <v>4</v>
      </c>
      <c r="D91" s="56" t="s">
        <v>19</v>
      </c>
      <c r="E91" s="577" t="s">
        <v>6</v>
      </c>
      <c r="F91" s="62">
        <v>3.0000000000000001E-3</v>
      </c>
      <c r="G91" s="63">
        <f>VLOOKUP(D91,upahbahan,3,FALSE)</f>
        <v>160000</v>
      </c>
      <c r="H91" s="63">
        <f>F91*G91</f>
        <v>480</v>
      </c>
      <c r="I91" s="44"/>
    </row>
    <row r="92" spans="3:13" s="59" customFormat="1" ht="24" customHeight="1">
      <c r="C92" s="450" t="s">
        <v>1208</v>
      </c>
      <c r="D92" s="67"/>
      <c r="E92" s="67"/>
      <c r="F92" s="142"/>
      <c r="G92" s="153"/>
      <c r="H92" s="63">
        <f>SUM(H88:H91)</f>
        <v>35480</v>
      </c>
      <c r="I92" s="154"/>
    </row>
    <row r="93" spans="3:13" s="59" customFormat="1" ht="24" customHeight="1">
      <c r="C93" s="61" t="s">
        <v>1209</v>
      </c>
      <c r="D93" s="56" t="s">
        <v>1210</v>
      </c>
      <c r="E93" s="57"/>
      <c r="F93" s="57"/>
      <c r="G93" s="57"/>
      <c r="H93" s="57"/>
      <c r="I93" s="44"/>
    </row>
    <row r="94" spans="3:13" s="59" customFormat="1" ht="24" customHeight="1">
      <c r="C94" s="61">
        <v>1</v>
      </c>
      <c r="D94" s="56" t="s">
        <v>4419</v>
      </c>
      <c r="E94" s="93" t="s">
        <v>62</v>
      </c>
      <c r="F94" s="104">
        <v>1.05</v>
      </c>
      <c r="G94" s="63">
        <f>VLOOKUP(D94,upahbahan,3,FALSE)</f>
        <v>0</v>
      </c>
      <c r="H94" s="63">
        <f>F94*G94</f>
        <v>0</v>
      </c>
      <c r="I94" s="44"/>
    </row>
    <row r="95" spans="3:13" s="59" customFormat="1" ht="24" customHeight="1">
      <c r="C95" s="61">
        <v>2</v>
      </c>
      <c r="D95" s="56" t="s">
        <v>4406</v>
      </c>
      <c r="E95" s="93" t="s">
        <v>42</v>
      </c>
      <c r="F95" s="104">
        <v>4.0000000000000001E-3</v>
      </c>
      <c r="G95" s="63">
        <f>VLOOKUP(D95,upahbahan,3,FALSE)</f>
        <v>0</v>
      </c>
      <c r="H95" s="63">
        <f>F95*G95</f>
        <v>0</v>
      </c>
      <c r="I95" s="44"/>
    </row>
    <row r="96" spans="3:13" s="59" customFormat="1" ht="24" customHeight="1">
      <c r="C96" s="61">
        <v>3</v>
      </c>
      <c r="D96" s="56" t="s">
        <v>82</v>
      </c>
      <c r="E96" s="93" t="s">
        <v>42</v>
      </c>
      <c r="F96" s="104">
        <v>9.6000000000000002E-2</v>
      </c>
      <c r="G96" s="63">
        <f>VLOOKUP(D96,upahbahan,3,FALSE)</f>
        <v>310500</v>
      </c>
      <c r="H96" s="63">
        <f>F96*G96</f>
        <v>29808</v>
      </c>
      <c r="I96" s="44"/>
    </row>
    <row r="97" spans="3:13" s="59" customFormat="1" ht="24" customHeight="1">
      <c r="C97" s="450" t="s">
        <v>1214</v>
      </c>
      <c r="D97" s="67"/>
      <c r="E97" s="67"/>
      <c r="F97" s="67"/>
      <c r="G97" s="69"/>
      <c r="H97" s="63">
        <f>SUM(H94:H96)</f>
        <v>29808</v>
      </c>
      <c r="I97" s="44"/>
    </row>
    <row r="98" spans="3:13" s="59" customFormat="1" ht="24" customHeight="1">
      <c r="C98" s="61" t="s">
        <v>1215</v>
      </c>
      <c r="D98" s="56" t="s">
        <v>1216</v>
      </c>
      <c r="E98" s="57"/>
      <c r="F98" s="57"/>
      <c r="G98" s="57"/>
      <c r="H98" s="57"/>
      <c r="I98" s="44"/>
    </row>
    <row r="99" spans="3:13" s="59" customFormat="1" ht="24" customHeight="1">
      <c r="C99" s="450" t="s">
        <v>1217</v>
      </c>
      <c r="D99" s="67"/>
      <c r="E99" s="67"/>
      <c r="F99" s="67"/>
      <c r="G99" s="69"/>
      <c r="H99" s="589">
        <f>SUM(H98)</f>
        <v>0</v>
      </c>
      <c r="I99" s="44"/>
    </row>
    <row r="100" spans="3:13" s="59" customFormat="1" ht="24" customHeight="1">
      <c r="C100" s="288" t="s">
        <v>1218</v>
      </c>
      <c r="D100" s="76" t="s">
        <v>1219</v>
      </c>
      <c r="E100" s="77"/>
      <c r="F100" s="77"/>
      <c r="G100" s="78"/>
      <c r="H100" s="585">
        <f>H99+H97+H92</f>
        <v>65288</v>
      </c>
      <c r="I100" s="369"/>
    </row>
    <row r="101" spans="3:13" s="59" customFormat="1" ht="24" customHeight="1">
      <c r="C101" s="288" t="s">
        <v>1220</v>
      </c>
      <c r="D101" s="76" t="s">
        <v>1321</v>
      </c>
      <c r="E101" s="77"/>
      <c r="F101" s="78"/>
      <c r="G101" s="80">
        <v>0.1</v>
      </c>
      <c r="H101" s="63">
        <f>H100*G101</f>
        <v>6528.8</v>
      </c>
      <c r="I101" s="369"/>
    </row>
    <row r="102" spans="3:13" s="59" customFormat="1" ht="24" customHeight="1">
      <c r="C102" s="288" t="s">
        <v>1221</v>
      </c>
      <c r="D102" s="76" t="s">
        <v>1222</v>
      </c>
      <c r="E102" s="77"/>
      <c r="F102" s="77"/>
      <c r="G102" s="78"/>
      <c r="H102" s="799">
        <f>SUM(H100:H101)</f>
        <v>71816.800000000003</v>
      </c>
      <c r="I102" s="369"/>
    </row>
    <row r="104" spans="3:13" s="59" customFormat="1" ht="24" customHeight="1">
      <c r="C104" s="46" t="s">
        <v>4420</v>
      </c>
      <c r="D104" s="794" t="s">
        <v>4421</v>
      </c>
      <c r="E104" s="794"/>
      <c r="F104" s="794"/>
      <c r="G104" s="794"/>
      <c r="H104" s="794"/>
      <c r="I104" s="50">
        <f>ROUNDDOWN(H121,-2)</f>
        <v>71800</v>
      </c>
    </row>
    <row r="105" spans="3:13" s="59" customFormat="1" ht="33" customHeight="1">
      <c r="C105" s="591" t="s">
        <v>1195</v>
      </c>
      <c r="D105" s="591" t="s">
        <v>1196</v>
      </c>
      <c r="E105" s="591" t="s">
        <v>1197</v>
      </c>
      <c r="F105" s="591" t="s">
        <v>1198</v>
      </c>
      <c r="G105" s="591" t="s">
        <v>1199</v>
      </c>
      <c r="H105" s="591" t="s">
        <v>1200</v>
      </c>
      <c r="I105" s="44"/>
    </row>
    <row r="106" spans="3:13" s="59" customFormat="1" ht="21.6" customHeight="1">
      <c r="C106" s="61" t="s">
        <v>1201</v>
      </c>
      <c r="D106" s="56" t="s">
        <v>1202</v>
      </c>
      <c r="E106" s="57"/>
      <c r="F106" s="57"/>
      <c r="G106" s="57"/>
      <c r="H106" s="57"/>
      <c r="I106" s="44"/>
      <c r="J106" s="152" t="s">
        <v>1247</v>
      </c>
    </row>
    <row r="107" spans="3:13" s="59" customFormat="1" ht="21.6" customHeight="1">
      <c r="C107" s="588">
        <v>1</v>
      </c>
      <c r="D107" s="56" t="s">
        <v>5</v>
      </c>
      <c r="E107" s="577" t="s">
        <v>6</v>
      </c>
      <c r="F107" s="62">
        <v>0.2</v>
      </c>
      <c r="G107" s="63">
        <f>VLOOKUP(D107,upahbahan,3,FALSE)</f>
        <v>100000</v>
      </c>
      <c r="H107" s="63">
        <f>F107*G107</f>
        <v>20000</v>
      </c>
      <c r="I107" s="44"/>
      <c r="J107" s="152" t="s">
        <v>1248</v>
      </c>
      <c r="M107" s="65">
        <v>0.1</v>
      </c>
    </row>
    <row r="108" spans="3:13" s="59" customFormat="1" ht="21.6" customHeight="1">
      <c r="C108" s="588">
        <v>2</v>
      </c>
      <c r="D108" s="56" t="s">
        <v>7</v>
      </c>
      <c r="E108" s="577" t="s">
        <v>6</v>
      </c>
      <c r="F108" s="62">
        <v>0.1</v>
      </c>
      <c r="G108" s="63">
        <f>VLOOKUP(D108,upahbahan,3,FALSE)</f>
        <v>135000</v>
      </c>
      <c r="H108" s="63">
        <f>F108*G108</f>
        <v>13500</v>
      </c>
      <c r="I108" s="44"/>
    </row>
    <row r="109" spans="3:13" s="59" customFormat="1" ht="21.6" customHeight="1">
      <c r="C109" s="588">
        <v>3</v>
      </c>
      <c r="D109" s="56" t="s">
        <v>18</v>
      </c>
      <c r="E109" s="577" t="s">
        <v>6</v>
      </c>
      <c r="F109" s="62">
        <v>0.01</v>
      </c>
      <c r="G109" s="63">
        <f>VLOOKUP(D109,upahbahan,3,FALSE)</f>
        <v>150000</v>
      </c>
      <c r="H109" s="63">
        <f>F109*G109</f>
        <v>1500</v>
      </c>
      <c r="I109" s="44"/>
    </row>
    <row r="110" spans="3:13" s="59" customFormat="1" ht="21.6" customHeight="1">
      <c r="C110" s="588">
        <v>4</v>
      </c>
      <c r="D110" s="56" t="s">
        <v>19</v>
      </c>
      <c r="E110" s="577" t="s">
        <v>6</v>
      </c>
      <c r="F110" s="62">
        <v>3.0000000000000001E-3</v>
      </c>
      <c r="G110" s="63">
        <f>VLOOKUP(D110,upahbahan,3,FALSE)</f>
        <v>160000</v>
      </c>
      <c r="H110" s="63">
        <f>F110*G110</f>
        <v>480</v>
      </c>
      <c r="I110" s="44"/>
    </row>
    <row r="111" spans="3:13" s="59" customFormat="1" ht="21.6" customHeight="1">
      <c r="C111" s="450" t="s">
        <v>1208</v>
      </c>
      <c r="D111" s="67"/>
      <c r="E111" s="67"/>
      <c r="F111" s="142"/>
      <c r="G111" s="153"/>
      <c r="H111" s="63">
        <f>SUM(H107:H110)</f>
        <v>35480</v>
      </c>
      <c r="I111" s="154"/>
    </row>
    <row r="112" spans="3:13" s="59" customFormat="1" ht="21.6" customHeight="1">
      <c r="C112" s="61" t="s">
        <v>1209</v>
      </c>
      <c r="D112" s="56" t="s">
        <v>1210</v>
      </c>
      <c r="E112" s="57"/>
      <c r="F112" s="57"/>
      <c r="G112" s="57"/>
      <c r="H112" s="57"/>
      <c r="I112" s="44"/>
    </row>
    <row r="113" spans="3:13" s="59" customFormat="1" ht="21.6" customHeight="1">
      <c r="C113" s="61">
        <v>1</v>
      </c>
      <c r="D113" s="56" t="s">
        <v>4422</v>
      </c>
      <c r="E113" s="93" t="s">
        <v>62</v>
      </c>
      <c r="F113" s="104">
        <v>1.05</v>
      </c>
      <c r="G113" s="63">
        <f>VLOOKUP(D113,upahbahan,3,FALSE)</f>
        <v>0</v>
      </c>
      <c r="H113" s="63">
        <f>F113*G113</f>
        <v>0</v>
      </c>
      <c r="I113" s="44"/>
    </row>
    <row r="114" spans="3:13" s="59" customFormat="1" ht="21.6" customHeight="1">
      <c r="C114" s="61">
        <v>2</v>
      </c>
      <c r="D114" s="56" t="s">
        <v>4406</v>
      </c>
      <c r="E114" s="93" t="s">
        <v>42</v>
      </c>
      <c r="F114" s="104">
        <v>4.0000000000000001E-3</v>
      </c>
      <c r="G114" s="63">
        <f>VLOOKUP(D114,upahbahan,3,FALSE)</f>
        <v>0</v>
      </c>
      <c r="H114" s="63">
        <f>F114*G114</f>
        <v>0</v>
      </c>
      <c r="I114" s="44"/>
    </row>
    <row r="115" spans="3:13" s="59" customFormat="1" ht="21.6" customHeight="1">
      <c r="C115" s="61">
        <v>3</v>
      </c>
      <c r="D115" s="56" t="s">
        <v>82</v>
      </c>
      <c r="E115" s="93" t="s">
        <v>42</v>
      </c>
      <c r="F115" s="104">
        <v>9.6000000000000002E-2</v>
      </c>
      <c r="G115" s="63">
        <f>VLOOKUP(D115,upahbahan,3,FALSE)</f>
        <v>310500</v>
      </c>
      <c r="H115" s="63">
        <f>F115*G115</f>
        <v>29808</v>
      </c>
      <c r="I115" s="44"/>
    </row>
    <row r="116" spans="3:13" s="59" customFormat="1" ht="21.6" customHeight="1">
      <c r="C116" s="450" t="s">
        <v>1214</v>
      </c>
      <c r="D116" s="67"/>
      <c r="E116" s="67"/>
      <c r="F116" s="67"/>
      <c r="G116" s="69"/>
      <c r="H116" s="63">
        <f>SUM(H113:H115)</f>
        <v>29808</v>
      </c>
      <c r="I116" s="44"/>
    </row>
    <row r="117" spans="3:13" s="59" customFormat="1" ht="21.6" customHeight="1">
      <c r="C117" s="61" t="s">
        <v>1215</v>
      </c>
      <c r="D117" s="56" t="s">
        <v>1216</v>
      </c>
      <c r="E117" s="57"/>
      <c r="F117" s="57"/>
      <c r="G117" s="57"/>
      <c r="H117" s="57"/>
      <c r="I117" s="44"/>
    </row>
    <row r="118" spans="3:13" s="59" customFormat="1" ht="21.6" customHeight="1">
      <c r="C118" s="450" t="s">
        <v>1217</v>
      </c>
      <c r="D118" s="67"/>
      <c r="E118" s="67"/>
      <c r="F118" s="67"/>
      <c r="G118" s="69"/>
      <c r="H118" s="589">
        <f>SUM(H117)</f>
        <v>0</v>
      </c>
      <c r="I118" s="44"/>
    </row>
    <row r="119" spans="3:13" s="59" customFormat="1" ht="21.6" customHeight="1">
      <c r="C119" s="288" t="s">
        <v>1218</v>
      </c>
      <c r="D119" s="76" t="s">
        <v>1219</v>
      </c>
      <c r="E119" s="77"/>
      <c r="F119" s="77"/>
      <c r="G119" s="78"/>
      <c r="H119" s="585">
        <f>H118+H116+H111</f>
        <v>65288</v>
      </c>
      <c r="I119" s="369"/>
    </row>
    <row r="120" spans="3:13" s="59" customFormat="1" ht="21.6" customHeight="1">
      <c r="C120" s="288" t="s">
        <v>1220</v>
      </c>
      <c r="D120" s="76" t="s">
        <v>1321</v>
      </c>
      <c r="E120" s="77"/>
      <c r="F120" s="78"/>
      <c r="G120" s="80">
        <v>0.1</v>
      </c>
      <c r="H120" s="63">
        <f>H119*G120</f>
        <v>6528.8</v>
      </c>
      <c r="I120" s="369"/>
    </row>
    <row r="121" spans="3:13" s="59" customFormat="1" ht="21.6" customHeight="1">
      <c r="C121" s="288" t="s">
        <v>1221</v>
      </c>
      <c r="D121" s="76" t="s">
        <v>1222</v>
      </c>
      <c r="E121" s="77"/>
      <c r="F121" s="77"/>
      <c r="G121" s="78"/>
      <c r="H121" s="799">
        <f>SUM(H119:H120)</f>
        <v>71816.800000000003</v>
      </c>
      <c r="I121" s="369"/>
    </row>
    <row r="123" spans="3:13" s="59" customFormat="1" ht="30.75" customHeight="1">
      <c r="C123" s="46" t="s">
        <v>4423</v>
      </c>
      <c r="D123" s="794" t="s">
        <v>4424</v>
      </c>
      <c r="E123" s="794"/>
      <c r="F123" s="794"/>
      <c r="G123" s="794"/>
      <c r="H123" s="794"/>
      <c r="I123" s="50">
        <f>ROUNDDOWN(H141,-2)</f>
        <v>57300</v>
      </c>
    </row>
    <row r="124" spans="3:13" s="59" customFormat="1" ht="33" customHeight="1">
      <c r="C124" s="591" t="s">
        <v>1195</v>
      </c>
      <c r="D124" s="591" t="s">
        <v>1196</v>
      </c>
      <c r="E124" s="591" t="s">
        <v>1197</v>
      </c>
      <c r="F124" s="591" t="s">
        <v>1198</v>
      </c>
      <c r="G124" s="591" t="s">
        <v>1199</v>
      </c>
      <c r="H124" s="591" t="s">
        <v>1200</v>
      </c>
      <c r="I124" s="44"/>
    </row>
    <row r="125" spans="3:13" s="59" customFormat="1" ht="21" customHeight="1">
      <c r="C125" s="61" t="s">
        <v>1201</v>
      </c>
      <c r="D125" s="56" t="s">
        <v>1202</v>
      </c>
      <c r="E125" s="57"/>
      <c r="F125" s="57"/>
      <c r="G125" s="57"/>
      <c r="H125" s="57"/>
      <c r="I125" s="44"/>
      <c r="J125" s="152" t="s">
        <v>1247</v>
      </c>
    </row>
    <row r="126" spans="3:13" s="59" customFormat="1" ht="21" customHeight="1">
      <c r="C126" s="588">
        <v>1</v>
      </c>
      <c r="D126" s="56" t="s">
        <v>5</v>
      </c>
      <c r="E126" s="577" t="s">
        <v>6</v>
      </c>
      <c r="F126" s="62">
        <v>0.1</v>
      </c>
      <c r="G126" s="63">
        <f>VLOOKUP(D126,upahbahan,3,FALSE)</f>
        <v>100000</v>
      </c>
      <c r="H126" s="63">
        <f>F126*G126</f>
        <v>10000</v>
      </c>
      <c r="I126" s="44"/>
      <c r="J126" s="152" t="s">
        <v>1248</v>
      </c>
      <c r="M126" s="65">
        <v>0.1</v>
      </c>
    </row>
    <row r="127" spans="3:13" s="59" customFormat="1" ht="21" customHeight="1">
      <c r="C127" s="588">
        <v>2</v>
      </c>
      <c r="D127" s="56" t="s">
        <v>7</v>
      </c>
      <c r="E127" s="577" t="s">
        <v>6</v>
      </c>
      <c r="F127" s="62">
        <v>0.05</v>
      </c>
      <c r="G127" s="63">
        <f>VLOOKUP(D127,upahbahan,3,FALSE)</f>
        <v>135000</v>
      </c>
      <c r="H127" s="63">
        <f>F127*G127</f>
        <v>6750</v>
      </c>
      <c r="I127" s="44"/>
    </row>
    <row r="128" spans="3:13" s="59" customFormat="1" ht="21" customHeight="1">
      <c r="C128" s="588">
        <v>3</v>
      </c>
      <c r="D128" s="56" t="s">
        <v>18</v>
      </c>
      <c r="E128" s="577" t="s">
        <v>6</v>
      </c>
      <c r="F128" s="62">
        <v>5.0000000000000001E-3</v>
      </c>
      <c r="G128" s="63">
        <f>VLOOKUP(D128,upahbahan,3,FALSE)</f>
        <v>150000</v>
      </c>
      <c r="H128" s="63">
        <f>F128*G128</f>
        <v>750</v>
      </c>
      <c r="I128" s="44"/>
    </row>
    <row r="129" spans="3:9" s="59" customFormat="1" ht="21" customHeight="1">
      <c r="C129" s="588">
        <v>4</v>
      </c>
      <c r="D129" s="56" t="s">
        <v>19</v>
      </c>
      <c r="E129" s="577" t="s">
        <v>6</v>
      </c>
      <c r="F129" s="62">
        <v>2E-3</v>
      </c>
      <c r="G129" s="63">
        <f>VLOOKUP(D129,upahbahan,3,FALSE)</f>
        <v>160000</v>
      </c>
      <c r="H129" s="63">
        <f>F129*G129</f>
        <v>320</v>
      </c>
      <c r="I129" s="44"/>
    </row>
    <row r="130" spans="3:9" s="59" customFormat="1" ht="21" customHeight="1">
      <c r="C130" s="450" t="s">
        <v>1208</v>
      </c>
      <c r="D130" s="67"/>
      <c r="E130" s="67"/>
      <c r="F130" s="142"/>
      <c r="G130" s="153"/>
      <c r="H130" s="63">
        <f>SUM(H126:H129)</f>
        <v>17820</v>
      </c>
      <c r="I130" s="154"/>
    </row>
    <row r="131" spans="3:9" s="59" customFormat="1" ht="21" customHeight="1">
      <c r="C131" s="61" t="s">
        <v>1209</v>
      </c>
      <c r="D131" s="56" t="s">
        <v>1210</v>
      </c>
      <c r="E131" s="57"/>
      <c r="F131" s="57"/>
      <c r="G131" s="57"/>
      <c r="H131" s="57"/>
      <c r="I131" s="44"/>
    </row>
    <row r="132" spans="3:9" s="59" customFormat="1" ht="21" customHeight="1">
      <c r="C132" s="61">
        <v>1</v>
      </c>
      <c r="D132" s="56" t="s">
        <v>4419</v>
      </c>
      <c r="E132" s="93" t="s">
        <v>62</v>
      </c>
      <c r="F132" s="104">
        <v>1.05</v>
      </c>
      <c r="G132" s="63">
        <f>VLOOKUP(D132,upahbahan,3,FALSE)</f>
        <v>0</v>
      </c>
      <c r="H132" s="63">
        <f>F132*G132</f>
        <v>0</v>
      </c>
      <c r="I132" s="44"/>
    </row>
    <row r="133" spans="3:9" s="59" customFormat="1" ht="21" customHeight="1">
      <c r="C133" s="61">
        <v>2</v>
      </c>
      <c r="D133" s="56" t="s">
        <v>4406</v>
      </c>
      <c r="E133" s="93" t="s">
        <v>42</v>
      </c>
      <c r="F133" s="104">
        <v>0.04</v>
      </c>
      <c r="G133" s="63">
        <f>VLOOKUP(D133,upahbahan,3,FALSE)</f>
        <v>0</v>
      </c>
      <c r="H133" s="63">
        <f>F133*G133</f>
        <v>0</v>
      </c>
      <c r="I133" s="44"/>
    </row>
    <row r="134" spans="3:9" s="59" customFormat="1" ht="21" customHeight="1">
      <c r="C134" s="61">
        <v>3</v>
      </c>
      <c r="D134" s="56" t="s">
        <v>82</v>
      </c>
      <c r="E134" s="93" t="s">
        <v>42</v>
      </c>
      <c r="F134" s="104">
        <v>9.6000000000000002E-2</v>
      </c>
      <c r="G134" s="63">
        <f>VLOOKUP(D134,upahbahan,3,FALSE)</f>
        <v>310500</v>
      </c>
      <c r="H134" s="63">
        <f>F134*G134</f>
        <v>29808</v>
      </c>
      <c r="I134" s="44"/>
    </row>
    <row r="135" spans="3:9" s="59" customFormat="1" ht="21" customHeight="1">
      <c r="C135" s="450" t="s">
        <v>1214</v>
      </c>
      <c r="D135" s="67"/>
      <c r="E135" s="67"/>
      <c r="F135" s="67"/>
      <c r="G135" s="69"/>
      <c r="H135" s="63">
        <f>SUM(H132:H134)</f>
        <v>29808</v>
      </c>
      <c r="I135" s="44"/>
    </row>
    <row r="136" spans="3:9" s="59" customFormat="1" ht="21" customHeight="1">
      <c r="C136" s="61" t="s">
        <v>1215</v>
      </c>
      <c r="D136" s="56" t="s">
        <v>1216</v>
      </c>
      <c r="E136" s="57"/>
      <c r="F136" s="57"/>
      <c r="G136" s="57"/>
      <c r="H136" s="57"/>
      <c r="I136" s="44"/>
    </row>
    <row r="137" spans="3:9" s="59" customFormat="1" ht="21" customHeight="1">
      <c r="C137" s="800">
        <v>1</v>
      </c>
      <c r="D137" s="56" t="s">
        <v>4413</v>
      </c>
      <c r="E137" s="94" t="s">
        <v>1974</v>
      </c>
      <c r="F137" s="94">
        <v>1.286E-2</v>
      </c>
      <c r="G137" s="63">
        <f>VLOOKUP(D137,upahbahan,3,FALSE)</f>
        <v>350000</v>
      </c>
      <c r="H137" s="63">
        <f>F137*G137</f>
        <v>4501</v>
      </c>
      <c r="I137" s="44"/>
    </row>
    <row r="138" spans="3:9" s="59" customFormat="1" ht="21" customHeight="1">
      <c r="C138" s="450" t="s">
        <v>1217</v>
      </c>
      <c r="D138" s="67"/>
      <c r="E138" s="67"/>
      <c r="F138" s="67"/>
      <c r="G138" s="69"/>
      <c r="H138" s="589">
        <f>SUM(H137)</f>
        <v>4501</v>
      </c>
      <c r="I138" s="44"/>
    </row>
    <row r="139" spans="3:9" s="59" customFormat="1" ht="21" customHeight="1">
      <c r="C139" s="288" t="s">
        <v>1218</v>
      </c>
      <c r="D139" s="76" t="s">
        <v>1219</v>
      </c>
      <c r="E139" s="77"/>
      <c r="F139" s="77"/>
      <c r="G139" s="78"/>
      <c r="H139" s="585">
        <f>H138+H135+H130</f>
        <v>52129</v>
      </c>
      <c r="I139" s="369"/>
    </row>
    <row r="140" spans="3:9" s="59" customFormat="1" ht="21" customHeight="1">
      <c r="C140" s="288" t="s">
        <v>1220</v>
      </c>
      <c r="D140" s="76" t="s">
        <v>1321</v>
      </c>
      <c r="E140" s="77"/>
      <c r="F140" s="78"/>
      <c r="G140" s="80">
        <v>0.1</v>
      </c>
      <c r="H140" s="63">
        <f>H139*G140</f>
        <v>5212.9000000000005</v>
      </c>
      <c r="I140" s="369"/>
    </row>
    <row r="141" spans="3:9" s="59" customFormat="1" ht="21" customHeight="1">
      <c r="C141" s="288" t="s">
        <v>1221</v>
      </c>
      <c r="D141" s="76" t="s">
        <v>1222</v>
      </c>
      <c r="E141" s="77"/>
      <c r="F141" s="77"/>
      <c r="G141" s="78"/>
      <c r="H141" s="799">
        <f>SUM(H139:H140)</f>
        <v>57341.9</v>
      </c>
      <c r="I141" s="369"/>
    </row>
    <row r="143" spans="3:9" s="59" customFormat="1" ht="26.4" customHeight="1">
      <c r="C143" s="46" t="s">
        <v>4425</v>
      </c>
      <c r="D143" s="794" t="s">
        <v>4426</v>
      </c>
      <c r="E143" s="794"/>
      <c r="F143" s="794"/>
      <c r="G143" s="794"/>
      <c r="H143" s="794"/>
      <c r="I143" s="50">
        <f>ROUNDDOWN(H161,-2)</f>
        <v>57300</v>
      </c>
    </row>
    <row r="144" spans="3:9" s="59" customFormat="1" ht="33" customHeight="1">
      <c r="C144" s="591" t="s">
        <v>1195</v>
      </c>
      <c r="D144" s="591" t="s">
        <v>1196</v>
      </c>
      <c r="E144" s="591" t="s">
        <v>1197</v>
      </c>
      <c r="F144" s="591" t="s">
        <v>1198</v>
      </c>
      <c r="G144" s="591" t="s">
        <v>1199</v>
      </c>
      <c r="H144" s="591" t="s">
        <v>1200</v>
      </c>
      <c r="I144" s="44"/>
    </row>
    <row r="145" spans="3:13" s="59" customFormat="1" ht="22.2" customHeight="1">
      <c r="C145" s="61" t="s">
        <v>1201</v>
      </c>
      <c r="D145" s="56" t="s">
        <v>1202</v>
      </c>
      <c r="E145" s="57"/>
      <c r="F145" s="57"/>
      <c r="G145" s="57"/>
      <c r="H145" s="57"/>
      <c r="I145" s="44"/>
      <c r="J145" s="152" t="s">
        <v>1247</v>
      </c>
    </row>
    <row r="146" spans="3:13" s="59" customFormat="1" ht="22.2" customHeight="1">
      <c r="C146" s="588">
        <v>1</v>
      </c>
      <c r="D146" s="56" t="s">
        <v>5</v>
      </c>
      <c r="E146" s="577" t="s">
        <v>6</v>
      </c>
      <c r="F146" s="62">
        <v>0.1</v>
      </c>
      <c r="G146" s="63">
        <f>VLOOKUP(D146,upahbahan,3,FALSE)</f>
        <v>100000</v>
      </c>
      <c r="H146" s="63">
        <f>F146*G146</f>
        <v>10000</v>
      </c>
      <c r="I146" s="44"/>
      <c r="J146" s="152" t="s">
        <v>1248</v>
      </c>
      <c r="M146" s="65">
        <v>0.1</v>
      </c>
    </row>
    <row r="147" spans="3:13" s="59" customFormat="1" ht="22.2" customHeight="1">
      <c r="C147" s="588">
        <v>2</v>
      </c>
      <c r="D147" s="56" t="s">
        <v>7</v>
      </c>
      <c r="E147" s="577" t="s">
        <v>6</v>
      </c>
      <c r="F147" s="62">
        <v>0.05</v>
      </c>
      <c r="G147" s="63">
        <f>VLOOKUP(D147,upahbahan,3,FALSE)</f>
        <v>135000</v>
      </c>
      <c r="H147" s="63">
        <f>F147*G147</f>
        <v>6750</v>
      </c>
      <c r="I147" s="44"/>
    </row>
    <row r="148" spans="3:13" s="59" customFormat="1" ht="22.2" customHeight="1">
      <c r="C148" s="588">
        <v>3</v>
      </c>
      <c r="D148" s="56" t="s">
        <v>18</v>
      </c>
      <c r="E148" s="577" t="s">
        <v>6</v>
      </c>
      <c r="F148" s="62">
        <v>5.0000000000000001E-3</v>
      </c>
      <c r="G148" s="63">
        <f>VLOOKUP(D148,upahbahan,3,FALSE)</f>
        <v>150000</v>
      </c>
      <c r="H148" s="63">
        <f>F148*G148</f>
        <v>750</v>
      </c>
      <c r="I148" s="44"/>
    </row>
    <row r="149" spans="3:13" s="59" customFormat="1" ht="22.2" customHeight="1">
      <c r="C149" s="588">
        <v>4</v>
      </c>
      <c r="D149" s="56" t="s">
        <v>19</v>
      </c>
      <c r="E149" s="577" t="s">
        <v>6</v>
      </c>
      <c r="F149" s="62">
        <v>2E-3</v>
      </c>
      <c r="G149" s="63">
        <f>VLOOKUP(D149,upahbahan,3,FALSE)</f>
        <v>160000</v>
      </c>
      <c r="H149" s="63">
        <f>F149*G149</f>
        <v>320</v>
      </c>
      <c r="I149" s="44"/>
    </row>
    <row r="150" spans="3:13" s="59" customFormat="1" ht="22.2" customHeight="1">
      <c r="C150" s="450" t="s">
        <v>1208</v>
      </c>
      <c r="D150" s="67"/>
      <c r="E150" s="67"/>
      <c r="F150" s="142"/>
      <c r="G150" s="153"/>
      <c r="H150" s="63">
        <f>SUM(H146:H149)</f>
        <v>17820</v>
      </c>
      <c r="I150" s="154"/>
    </row>
    <row r="151" spans="3:13" s="59" customFormat="1" ht="22.2" customHeight="1">
      <c r="C151" s="61" t="s">
        <v>1209</v>
      </c>
      <c r="D151" s="56" t="s">
        <v>1210</v>
      </c>
      <c r="E151" s="57"/>
      <c r="F151" s="57"/>
      <c r="G151" s="57"/>
      <c r="H151" s="57"/>
      <c r="I151" s="44"/>
    </row>
    <row r="152" spans="3:13" s="59" customFormat="1" ht="22.2" customHeight="1">
      <c r="C152" s="61">
        <v>1</v>
      </c>
      <c r="D152" s="56" t="s">
        <v>4422</v>
      </c>
      <c r="E152" s="93" t="s">
        <v>62</v>
      </c>
      <c r="F152" s="104">
        <v>1.05</v>
      </c>
      <c r="G152" s="63">
        <f>VLOOKUP(D152,upahbahan,3,FALSE)</f>
        <v>0</v>
      </c>
      <c r="H152" s="63">
        <f>F152*G152</f>
        <v>0</v>
      </c>
      <c r="I152" s="44"/>
    </row>
    <row r="153" spans="3:13" s="59" customFormat="1" ht="22.2" customHeight="1">
      <c r="C153" s="61">
        <v>2</v>
      </c>
      <c r="D153" s="56" t="s">
        <v>4406</v>
      </c>
      <c r="E153" s="93" t="s">
        <v>42</v>
      </c>
      <c r="F153" s="104">
        <v>4.0000000000000001E-3</v>
      </c>
      <c r="G153" s="63">
        <f>VLOOKUP(D153,upahbahan,3,FALSE)</f>
        <v>0</v>
      </c>
      <c r="H153" s="63">
        <f>F153*G153</f>
        <v>0</v>
      </c>
      <c r="I153" s="44"/>
    </row>
    <row r="154" spans="3:13" s="59" customFormat="1" ht="22.2" customHeight="1">
      <c r="C154" s="61">
        <v>3</v>
      </c>
      <c r="D154" s="56" t="s">
        <v>82</v>
      </c>
      <c r="E154" s="93" t="s">
        <v>42</v>
      </c>
      <c r="F154" s="104">
        <v>9.6000000000000002E-2</v>
      </c>
      <c r="G154" s="63">
        <f>VLOOKUP(D154,upahbahan,3,FALSE)</f>
        <v>310500</v>
      </c>
      <c r="H154" s="63">
        <f>F154*G154</f>
        <v>29808</v>
      </c>
      <c r="I154" s="44"/>
    </row>
    <row r="155" spans="3:13" s="59" customFormat="1" ht="22.2" customHeight="1">
      <c r="C155" s="450" t="s">
        <v>1214</v>
      </c>
      <c r="D155" s="67"/>
      <c r="E155" s="67"/>
      <c r="F155" s="67"/>
      <c r="G155" s="69"/>
      <c r="H155" s="63">
        <f>SUM(H152:H154)</f>
        <v>29808</v>
      </c>
      <c r="I155" s="44"/>
    </row>
    <row r="156" spans="3:13" s="59" customFormat="1" ht="22.2" customHeight="1">
      <c r="C156" s="61" t="s">
        <v>1215</v>
      </c>
      <c r="D156" s="56" t="s">
        <v>1216</v>
      </c>
      <c r="E156" s="57"/>
      <c r="F156" s="57"/>
      <c r="G156" s="57"/>
      <c r="H156" s="57"/>
      <c r="I156" s="44"/>
    </row>
    <row r="157" spans="3:13" s="59" customFormat="1" ht="22.2" customHeight="1">
      <c r="C157" s="800">
        <v>1</v>
      </c>
      <c r="D157" s="56" t="s">
        <v>4413</v>
      </c>
      <c r="E157" s="94" t="s">
        <v>1974</v>
      </c>
      <c r="F157" s="94">
        <v>1.286E-2</v>
      </c>
      <c r="G157" s="63">
        <f>VLOOKUP(D157,upahbahan,3,FALSE)</f>
        <v>350000</v>
      </c>
      <c r="H157" s="63">
        <f>F157*G157</f>
        <v>4501</v>
      </c>
      <c r="I157" s="44"/>
    </row>
    <row r="158" spans="3:13" s="59" customFormat="1" ht="22.2" customHeight="1">
      <c r="C158" s="450" t="s">
        <v>1217</v>
      </c>
      <c r="D158" s="67"/>
      <c r="E158" s="67"/>
      <c r="F158" s="67"/>
      <c r="G158" s="69"/>
      <c r="H158" s="589">
        <f>SUM(H157)</f>
        <v>4501</v>
      </c>
      <c r="I158" s="44"/>
    </row>
    <row r="159" spans="3:13" s="59" customFormat="1" ht="22.2" customHeight="1">
      <c r="C159" s="288" t="s">
        <v>1218</v>
      </c>
      <c r="D159" s="76" t="s">
        <v>1219</v>
      </c>
      <c r="E159" s="77"/>
      <c r="F159" s="77"/>
      <c r="G159" s="78"/>
      <c r="H159" s="585">
        <f>H158+H155+H150</f>
        <v>52129</v>
      </c>
      <c r="I159" s="369"/>
    </row>
    <row r="160" spans="3:13" s="59" customFormat="1" ht="22.2" customHeight="1">
      <c r="C160" s="288" t="s">
        <v>1220</v>
      </c>
      <c r="D160" s="76" t="s">
        <v>1321</v>
      </c>
      <c r="E160" s="77"/>
      <c r="F160" s="78"/>
      <c r="G160" s="80">
        <v>0.1</v>
      </c>
      <c r="H160" s="63">
        <f>H159*G160</f>
        <v>5212.9000000000005</v>
      </c>
      <c r="I160" s="369"/>
    </row>
    <row r="161" spans="3:13" s="59" customFormat="1" ht="22.2" customHeight="1">
      <c r="C161" s="288" t="s">
        <v>1221</v>
      </c>
      <c r="D161" s="76" t="s">
        <v>1222</v>
      </c>
      <c r="E161" s="77"/>
      <c r="F161" s="77"/>
      <c r="G161" s="78"/>
      <c r="H161" s="799">
        <f>SUM(H159:H160)</f>
        <v>57341.9</v>
      </c>
      <c r="I161" s="369"/>
    </row>
    <row r="164" spans="3:13" ht="13.8">
      <c r="C164" s="121" t="s">
        <v>4427</v>
      </c>
      <c r="D164" s="128" t="s">
        <v>4429</v>
      </c>
    </row>
    <row r="165" spans="3:13" s="59" customFormat="1" ht="21.15" customHeight="1">
      <c r="C165" s="46" t="s">
        <v>4428</v>
      </c>
      <c r="D165" s="794" t="s">
        <v>4430</v>
      </c>
      <c r="E165" s="794"/>
      <c r="F165" s="794"/>
      <c r="G165" s="794"/>
      <c r="H165" s="794"/>
      <c r="I165" s="50">
        <f>ROUNDDOWN(H181,-2)</f>
        <v>10300</v>
      </c>
    </row>
    <row r="166" spans="3:13" s="59" customFormat="1" ht="33" customHeight="1">
      <c r="C166" s="591" t="s">
        <v>1195</v>
      </c>
      <c r="D166" s="591" t="s">
        <v>1196</v>
      </c>
      <c r="E166" s="591" t="s">
        <v>1197</v>
      </c>
      <c r="F166" s="591" t="s">
        <v>1198</v>
      </c>
      <c r="G166" s="591" t="s">
        <v>1199</v>
      </c>
      <c r="H166" s="591" t="s">
        <v>1200</v>
      </c>
      <c r="I166" s="44"/>
    </row>
    <row r="167" spans="3:13" s="59" customFormat="1" ht="21.6" customHeight="1">
      <c r="C167" s="61" t="s">
        <v>1201</v>
      </c>
      <c r="D167" s="56" t="s">
        <v>1202</v>
      </c>
      <c r="E167" s="57"/>
      <c r="F167" s="57"/>
      <c r="G167" s="57"/>
      <c r="H167" s="57"/>
      <c r="I167" s="44"/>
      <c r="J167" s="152" t="s">
        <v>1247</v>
      </c>
    </row>
    <row r="168" spans="3:13" s="59" customFormat="1" ht="21.6" customHeight="1">
      <c r="C168" s="588">
        <v>1</v>
      </c>
      <c r="D168" s="56" t="s">
        <v>5</v>
      </c>
      <c r="E168" s="577" t="s">
        <v>6</v>
      </c>
      <c r="F168" s="101">
        <v>3.3300000000000003E-2</v>
      </c>
      <c r="G168" s="63">
        <f>VLOOKUP(D168,upahbahan,3,FALSE)</f>
        <v>100000</v>
      </c>
      <c r="H168" s="63">
        <f>F168*G168</f>
        <v>3330.0000000000005</v>
      </c>
      <c r="I168" s="44"/>
      <c r="J168" s="152" t="s">
        <v>1248</v>
      </c>
      <c r="M168" s="65">
        <v>0.1</v>
      </c>
    </row>
    <row r="169" spans="3:13" s="59" customFormat="1" ht="21.6" customHeight="1">
      <c r="C169" s="588">
        <v>2</v>
      </c>
      <c r="D169" s="56" t="s">
        <v>7</v>
      </c>
      <c r="E169" s="577" t="s">
        <v>6</v>
      </c>
      <c r="F169" s="101">
        <v>1.67E-2</v>
      </c>
      <c r="G169" s="63">
        <f>VLOOKUP(D169,upahbahan,3,FALSE)</f>
        <v>135000</v>
      </c>
      <c r="H169" s="63">
        <f>F169*G169</f>
        <v>2254.5</v>
      </c>
      <c r="I169" s="44"/>
    </row>
    <row r="170" spans="3:13" s="59" customFormat="1" ht="21.6" customHeight="1">
      <c r="C170" s="588">
        <v>4</v>
      </c>
      <c r="D170" s="56" t="s">
        <v>19</v>
      </c>
      <c r="E170" s="577" t="s">
        <v>6</v>
      </c>
      <c r="F170" s="101">
        <v>1.6999999999999999E-3</v>
      </c>
      <c r="G170" s="63">
        <f>VLOOKUP(D170,upahbahan,3,FALSE)</f>
        <v>160000</v>
      </c>
      <c r="H170" s="63">
        <f>F170*G170</f>
        <v>272</v>
      </c>
      <c r="I170" s="44"/>
    </row>
    <row r="171" spans="3:13" s="59" customFormat="1" ht="21.6" customHeight="1">
      <c r="C171" s="450" t="s">
        <v>1208</v>
      </c>
      <c r="D171" s="67"/>
      <c r="E171" s="67"/>
      <c r="F171" s="142"/>
      <c r="G171" s="153"/>
      <c r="H171" s="63">
        <f>SUM(H168:H170)</f>
        <v>5856.5</v>
      </c>
      <c r="I171" s="154"/>
    </row>
    <row r="172" spans="3:13" s="59" customFormat="1" ht="21.6" customHeight="1">
      <c r="C172" s="61" t="s">
        <v>1209</v>
      </c>
      <c r="D172" s="56" t="s">
        <v>1210</v>
      </c>
      <c r="E172" s="57"/>
      <c r="F172" s="57"/>
      <c r="G172" s="57"/>
      <c r="H172" s="57"/>
      <c r="I172" s="44"/>
    </row>
    <row r="173" spans="3:13" s="59" customFormat="1" ht="21.6" customHeight="1">
      <c r="C173" s="61">
        <v>1</v>
      </c>
      <c r="D173" s="56" t="s">
        <v>4431</v>
      </c>
      <c r="E173" s="93" t="s">
        <v>44</v>
      </c>
      <c r="F173" s="103">
        <v>2.5</v>
      </c>
      <c r="G173" s="63">
        <f>VLOOKUP(D173,upahbahan,3,FALSE)</f>
        <v>0</v>
      </c>
      <c r="H173" s="63">
        <f>F173*G173</f>
        <v>0</v>
      </c>
      <c r="I173" s="44"/>
    </row>
    <row r="174" spans="3:13" s="59" customFormat="1" ht="21.6" customHeight="1">
      <c r="C174" s="61">
        <v>2</v>
      </c>
      <c r="D174" s="56" t="s">
        <v>1796</v>
      </c>
      <c r="E174" s="93" t="s">
        <v>1044</v>
      </c>
      <c r="F174" s="103">
        <v>1.2854000000000001</v>
      </c>
      <c r="G174" s="63">
        <f>VLOOKUP(D174,upahbahan,3,FALSE)</f>
        <v>1530</v>
      </c>
      <c r="H174" s="63">
        <f>F174*G174</f>
        <v>1966.6620000000003</v>
      </c>
      <c r="I174" s="44"/>
    </row>
    <row r="175" spans="3:13" s="59" customFormat="1" ht="21.6" customHeight="1">
      <c r="C175" s="61">
        <v>3</v>
      </c>
      <c r="D175" s="56" t="s">
        <v>1797</v>
      </c>
      <c r="E175" s="93" t="s">
        <v>2426</v>
      </c>
      <c r="F175" s="103">
        <v>7.2244000000000002</v>
      </c>
      <c r="G175" s="63">
        <f>VLOOKUP(D175,upahbahan,3,FALSE)</f>
        <v>221.78700000000001</v>
      </c>
      <c r="H175" s="63">
        <f>F175*G175</f>
        <v>1602.2780028</v>
      </c>
      <c r="I175" s="44"/>
    </row>
    <row r="176" spans="3:13" s="59" customFormat="1" ht="21.6" customHeight="1">
      <c r="C176" s="450" t="s">
        <v>1214</v>
      </c>
      <c r="D176" s="67"/>
      <c r="E176" s="67"/>
      <c r="F176" s="67"/>
      <c r="G176" s="69"/>
      <c r="H176" s="63">
        <f>SUM(H173:H175)</f>
        <v>3568.9400028</v>
      </c>
      <c r="I176" s="44"/>
    </row>
    <row r="177" spans="3:13" s="59" customFormat="1" ht="21.6" customHeight="1">
      <c r="C177" s="61" t="s">
        <v>1215</v>
      </c>
      <c r="D177" s="56" t="s">
        <v>1216</v>
      </c>
      <c r="E177" s="57"/>
      <c r="F177" s="57"/>
      <c r="G177" s="57"/>
      <c r="H177" s="57"/>
      <c r="I177" s="44"/>
    </row>
    <row r="178" spans="3:13" s="59" customFormat="1" ht="21.6" customHeight="1">
      <c r="C178" s="450" t="s">
        <v>1217</v>
      </c>
      <c r="D178" s="67"/>
      <c r="E178" s="67"/>
      <c r="F178" s="67"/>
      <c r="G178" s="69"/>
      <c r="H178" s="589">
        <f>SUM(H177)</f>
        <v>0</v>
      </c>
      <c r="I178" s="44"/>
    </row>
    <row r="179" spans="3:13" s="59" customFormat="1" ht="21.6" customHeight="1">
      <c r="C179" s="288" t="s">
        <v>1218</v>
      </c>
      <c r="D179" s="76" t="s">
        <v>1219</v>
      </c>
      <c r="E179" s="77"/>
      <c r="F179" s="77"/>
      <c r="G179" s="78"/>
      <c r="H179" s="585">
        <f>H178+H176+H171</f>
        <v>9425.4400028</v>
      </c>
      <c r="I179" s="369"/>
    </row>
    <row r="180" spans="3:13" s="59" customFormat="1" ht="21.6" customHeight="1">
      <c r="C180" s="288" t="s">
        <v>1220</v>
      </c>
      <c r="D180" s="76" t="s">
        <v>1321</v>
      </c>
      <c r="E180" s="77"/>
      <c r="F180" s="78"/>
      <c r="G180" s="80">
        <v>0.1</v>
      </c>
      <c r="H180" s="63">
        <f>H179*G180</f>
        <v>942.54400028000009</v>
      </c>
      <c r="I180" s="369"/>
    </row>
    <row r="181" spans="3:13" s="59" customFormat="1" ht="21.6" customHeight="1">
      <c r="C181" s="288" t="s">
        <v>1221</v>
      </c>
      <c r="D181" s="76" t="s">
        <v>1222</v>
      </c>
      <c r="E181" s="77"/>
      <c r="F181" s="77"/>
      <c r="G181" s="78"/>
      <c r="H181" s="799">
        <f>SUM(H179:H180)</f>
        <v>10367.984003080001</v>
      </c>
      <c r="I181" s="369"/>
    </row>
    <row r="184" spans="3:13" s="59" customFormat="1" ht="24" customHeight="1">
      <c r="C184" s="46" t="s">
        <v>4432</v>
      </c>
      <c r="D184" s="794" t="s">
        <v>4433</v>
      </c>
      <c r="E184" s="794"/>
      <c r="F184" s="794"/>
      <c r="G184" s="794"/>
      <c r="H184" s="794"/>
      <c r="I184" s="50">
        <f>ROUNDDOWN(H200,-2)</f>
        <v>12300</v>
      </c>
    </row>
    <row r="185" spans="3:13" s="59" customFormat="1" ht="33" customHeight="1">
      <c r="C185" s="591" t="s">
        <v>1195</v>
      </c>
      <c r="D185" s="591" t="s">
        <v>1196</v>
      </c>
      <c r="E185" s="591" t="s">
        <v>1197</v>
      </c>
      <c r="F185" s="591" t="s">
        <v>1198</v>
      </c>
      <c r="G185" s="591" t="s">
        <v>1199</v>
      </c>
      <c r="H185" s="591" t="s">
        <v>1200</v>
      </c>
      <c r="I185" s="44"/>
    </row>
    <row r="186" spans="3:13" s="59" customFormat="1" ht="21" customHeight="1">
      <c r="C186" s="61" t="s">
        <v>1201</v>
      </c>
      <c r="D186" s="56" t="s">
        <v>1202</v>
      </c>
      <c r="E186" s="57"/>
      <c r="F186" s="57"/>
      <c r="G186" s="57"/>
      <c r="H186" s="57"/>
      <c r="I186" s="44"/>
      <c r="J186" s="152" t="s">
        <v>1247</v>
      </c>
    </row>
    <row r="187" spans="3:13" s="59" customFormat="1" ht="21" customHeight="1">
      <c r="C187" s="588">
        <v>1</v>
      </c>
      <c r="D187" s="56" t="s">
        <v>5</v>
      </c>
      <c r="E187" s="577" t="s">
        <v>6</v>
      </c>
      <c r="F187" s="101">
        <v>3.3300000000000003E-2</v>
      </c>
      <c r="G187" s="63">
        <f>VLOOKUP(D187,upahbahan,3,FALSE)</f>
        <v>100000</v>
      </c>
      <c r="H187" s="63">
        <f>F187*G187</f>
        <v>3330.0000000000005</v>
      </c>
      <c r="I187" s="44"/>
      <c r="J187" s="152" t="s">
        <v>1248</v>
      </c>
      <c r="M187" s="65">
        <v>0.1</v>
      </c>
    </row>
    <row r="188" spans="3:13" s="59" customFormat="1" ht="21" customHeight="1">
      <c r="C188" s="588">
        <v>2</v>
      </c>
      <c r="D188" s="56" t="s">
        <v>7</v>
      </c>
      <c r="E188" s="577" t="s">
        <v>6</v>
      </c>
      <c r="F188" s="101">
        <v>1.67E-2</v>
      </c>
      <c r="G188" s="63">
        <f>VLOOKUP(D188,upahbahan,3,FALSE)</f>
        <v>135000</v>
      </c>
      <c r="H188" s="63">
        <f>F188*G188</f>
        <v>2254.5</v>
      </c>
      <c r="I188" s="44"/>
    </row>
    <row r="189" spans="3:13" s="59" customFormat="1" ht="21" customHeight="1">
      <c r="C189" s="588">
        <v>4</v>
      </c>
      <c r="D189" s="56" t="s">
        <v>19</v>
      </c>
      <c r="E189" s="577" t="s">
        <v>6</v>
      </c>
      <c r="F189" s="101">
        <v>1.6999999999999999E-3</v>
      </c>
      <c r="G189" s="63">
        <f>VLOOKUP(D189,upahbahan,3,FALSE)</f>
        <v>160000</v>
      </c>
      <c r="H189" s="63">
        <f>F189*G189</f>
        <v>272</v>
      </c>
      <c r="I189" s="44"/>
    </row>
    <row r="190" spans="3:13" s="59" customFormat="1" ht="21" customHeight="1">
      <c r="C190" s="450" t="s">
        <v>1208</v>
      </c>
      <c r="D190" s="67"/>
      <c r="E190" s="67"/>
      <c r="F190" s="142"/>
      <c r="G190" s="153"/>
      <c r="H190" s="63">
        <f>SUM(H187:H189)</f>
        <v>5856.5</v>
      </c>
      <c r="I190" s="154"/>
    </row>
    <row r="191" spans="3:13" s="59" customFormat="1" ht="21" customHeight="1">
      <c r="C191" s="61" t="s">
        <v>1209</v>
      </c>
      <c r="D191" s="56" t="s">
        <v>1210</v>
      </c>
      <c r="E191" s="57"/>
      <c r="F191" s="57"/>
      <c r="G191" s="57"/>
      <c r="H191" s="57"/>
      <c r="I191" s="44"/>
    </row>
    <row r="192" spans="3:13" s="59" customFormat="1" ht="21" customHeight="1">
      <c r="C192" s="61">
        <v>1</v>
      </c>
      <c r="D192" s="56" t="s">
        <v>4434</v>
      </c>
      <c r="E192" s="93" t="s">
        <v>44</v>
      </c>
      <c r="F192" s="103">
        <v>1.6667000000000001</v>
      </c>
      <c r="G192" s="63">
        <f>VLOOKUP(D192,upahbahan,3,FALSE)</f>
        <v>0</v>
      </c>
      <c r="H192" s="63">
        <f>F192*G192</f>
        <v>0</v>
      </c>
      <c r="I192" s="44"/>
    </row>
    <row r="193" spans="3:13" s="59" customFormat="1" ht="21" customHeight="1">
      <c r="C193" s="61">
        <v>2</v>
      </c>
      <c r="D193" s="56" t="s">
        <v>1796</v>
      </c>
      <c r="E193" s="93" t="s">
        <v>1044</v>
      </c>
      <c r="F193" s="103">
        <v>1.9281999999999999</v>
      </c>
      <c r="G193" s="63">
        <f>VLOOKUP(D193,upahbahan,3,FALSE)</f>
        <v>1530</v>
      </c>
      <c r="H193" s="63">
        <f>F193*G193</f>
        <v>2950.1459999999997</v>
      </c>
      <c r="I193" s="44"/>
    </row>
    <row r="194" spans="3:13" s="59" customFormat="1" ht="21" customHeight="1">
      <c r="C194" s="61">
        <v>3</v>
      </c>
      <c r="D194" s="56" t="s">
        <v>1797</v>
      </c>
      <c r="E194" s="93" t="s">
        <v>2426</v>
      </c>
      <c r="F194" s="103">
        <v>10.836600000000001</v>
      </c>
      <c r="G194" s="63">
        <f>VLOOKUP(D194,upahbahan,3,FALSE)</f>
        <v>221.78700000000001</v>
      </c>
      <c r="H194" s="63">
        <f>F194*G194</f>
        <v>2403.4170042000001</v>
      </c>
      <c r="I194" s="44"/>
    </row>
    <row r="195" spans="3:13" s="59" customFormat="1" ht="21" customHeight="1">
      <c r="C195" s="450" t="s">
        <v>1214</v>
      </c>
      <c r="D195" s="67"/>
      <c r="E195" s="67"/>
      <c r="F195" s="67"/>
      <c r="G195" s="69"/>
      <c r="H195" s="63">
        <f>SUM(H192:H194)</f>
        <v>5353.5630041999993</v>
      </c>
      <c r="I195" s="44"/>
    </row>
    <row r="196" spans="3:13" s="59" customFormat="1" ht="21" customHeight="1">
      <c r="C196" s="61" t="s">
        <v>1215</v>
      </c>
      <c r="D196" s="56" t="s">
        <v>1216</v>
      </c>
      <c r="E196" s="57"/>
      <c r="F196" s="57"/>
      <c r="G196" s="57"/>
      <c r="H196" s="57"/>
      <c r="I196" s="44"/>
    </row>
    <row r="197" spans="3:13" s="59" customFormat="1" ht="21" customHeight="1">
      <c r="C197" s="450" t="s">
        <v>1217</v>
      </c>
      <c r="D197" s="67"/>
      <c r="E197" s="67"/>
      <c r="F197" s="67"/>
      <c r="G197" s="69"/>
      <c r="H197" s="589">
        <f>SUM(H196)</f>
        <v>0</v>
      </c>
      <c r="I197" s="44"/>
    </row>
    <row r="198" spans="3:13" s="59" customFormat="1" ht="21" customHeight="1">
      <c r="C198" s="288" t="s">
        <v>1218</v>
      </c>
      <c r="D198" s="76" t="s">
        <v>1219</v>
      </c>
      <c r="E198" s="77"/>
      <c r="F198" s="77"/>
      <c r="G198" s="78"/>
      <c r="H198" s="585">
        <f>H197+H195+H190</f>
        <v>11210.063004199999</v>
      </c>
      <c r="I198" s="369"/>
    </row>
    <row r="199" spans="3:13" s="59" customFormat="1" ht="21" customHeight="1">
      <c r="C199" s="288" t="s">
        <v>1220</v>
      </c>
      <c r="D199" s="76" t="s">
        <v>1321</v>
      </c>
      <c r="E199" s="77"/>
      <c r="F199" s="78"/>
      <c r="G199" s="80">
        <v>0.1</v>
      </c>
      <c r="H199" s="63">
        <f>H198*G199</f>
        <v>1121.0063004199999</v>
      </c>
      <c r="I199" s="369"/>
    </row>
    <row r="200" spans="3:13" s="59" customFormat="1" ht="21" customHeight="1">
      <c r="C200" s="288" t="s">
        <v>1221</v>
      </c>
      <c r="D200" s="76" t="s">
        <v>1222</v>
      </c>
      <c r="E200" s="77"/>
      <c r="F200" s="77"/>
      <c r="G200" s="78"/>
      <c r="H200" s="799">
        <f>SUM(H198:H199)</f>
        <v>12331.069304619999</v>
      </c>
      <c r="I200" s="369"/>
    </row>
    <row r="202" spans="3:13" s="59" customFormat="1" ht="23.25" customHeight="1">
      <c r="C202" s="46" t="s">
        <v>5527</v>
      </c>
      <c r="D202" s="794" t="s">
        <v>4435</v>
      </c>
      <c r="E202" s="794"/>
      <c r="F202" s="794"/>
      <c r="G202" s="794"/>
      <c r="H202" s="794"/>
      <c r="I202" s="50">
        <f>ROUNDDOWN(H218,-2)</f>
        <v>11400</v>
      </c>
    </row>
    <row r="203" spans="3:13" s="59" customFormat="1" ht="33" customHeight="1">
      <c r="C203" s="591" t="s">
        <v>1195</v>
      </c>
      <c r="D203" s="591" t="s">
        <v>1196</v>
      </c>
      <c r="E203" s="591" t="s">
        <v>1197</v>
      </c>
      <c r="F203" s="591" t="s">
        <v>1198</v>
      </c>
      <c r="G203" s="591" t="s">
        <v>1199</v>
      </c>
      <c r="H203" s="591" t="s">
        <v>1200</v>
      </c>
      <c r="I203" s="44"/>
    </row>
    <row r="204" spans="3:13" s="59" customFormat="1" ht="19.8" customHeight="1">
      <c r="C204" s="61" t="s">
        <v>1201</v>
      </c>
      <c r="D204" s="56" t="s">
        <v>1202</v>
      </c>
      <c r="E204" s="57"/>
      <c r="F204" s="57"/>
      <c r="G204" s="57"/>
      <c r="H204" s="57"/>
      <c r="I204" s="44"/>
      <c r="J204" s="152" t="s">
        <v>1247</v>
      </c>
    </row>
    <row r="205" spans="3:13" s="59" customFormat="1" ht="19.8" customHeight="1">
      <c r="C205" s="588">
        <v>1</v>
      </c>
      <c r="D205" s="56" t="s">
        <v>5</v>
      </c>
      <c r="E205" s="577" t="s">
        <v>6</v>
      </c>
      <c r="F205" s="101">
        <v>3.3300000000000003E-2</v>
      </c>
      <c r="G205" s="63">
        <f>VLOOKUP(D205,upahbahan,3,FALSE)</f>
        <v>100000</v>
      </c>
      <c r="H205" s="63">
        <f>F205*G205</f>
        <v>3330.0000000000005</v>
      </c>
      <c r="I205" s="44"/>
      <c r="J205" s="152" t="s">
        <v>1248</v>
      </c>
      <c r="M205" s="65">
        <v>0.1</v>
      </c>
    </row>
    <row r="206" spans="3:13" s="59" customFormat="1" ht="19.8" customHeight="1">
      <c r="C206" s="588">
        <v>2</v>
      </c>
      <c r="D206" s="56" t="s">
        <v>7</v>
      </c>
      <c r="E206" s="577" t="s">
        <v>6</v>
      </c>
      <c r="F206" s="101">
        <v>1.67E-2</v>
      </c>
      <c r="G206" s="63">
        <f>VLOOKUP(D206,upahbahan,3,FALSE)</f>
        <v>135000</v>
      </c>
      <c r="H206" s="63">
        <f>F206*G206</f>
        <v>2254.5</v>
      </c>
      <c r="I206" s="44"/>
    </row>
    <row r="207" spans="3:13" s="59" customFormat="1" ht="19.8" customHeight="1">
      <c r="C207" s="588">
        <v>4</v>
      </c>
      <c r="D207" s="56" t="s">
        <v>19</v>
      </c>
      <c r="E207" s="577" t="s">
        <v>6</v>
      </c>
      <c r="F207" s="101">
        <v>1.6999999999999999E-3</v>
      </c>
      <c r="G207" s="63">
        <f>VLOOKUP(D207,upahbahan,3,FALSE)</f>
        <v>160000</v>
      </c>
      <c r="H207" s="63">
        <f>F207*G207</f>
        <v>272</v>
      </c>
      <c r="I207" s="44"/>
    </row>
    <row r="208" spans="3:13" s="59" customFormat="1" ht="19.8" customHeight="1">
      <c r="C208" s="450" t="s">
        <v>1208</v>
      </c>
      <c r="D208" s="67"/>
      <c r="E208" s="67"/>
      <c r="F208" s="142"/>
      <c r="G208" s="153"/>
      <c r="H208" s="63">
        <f>SUM(H205:H207)</f>
        <v>5856.5</v>
      </c>
      <c r="I208" s="154"/>
    </row>
    <row r="209" spans="3:13" s="59" customFormat="1" ht="19.8" customHeight="1">
      <c r="C209" s="61" t="s">
        <v>1209</v>
      </c>
      <c r="D209" s="56" t="s">
        <v>1210</v>
      </c>
      <c r="E209" s="57"/>
      <c r="F209" s="57"/>
      <c r="G209" s="57"/>
      <c r="H209" s="57"/>
      <c r="I209" s="44"/>
    </row>
    <row r="210" spans="3:13" s="59" customFormat="1" ht="19.8" customHeight="1">
      <c r="C210" s="61">
        <v>1</v>
      </c>
      <c r="D210" s="56" t="s">
        <v>4431</v>
      </c>
      <c r="E210" s="93" t="s">
        <v>44</v>
      </c>
      <c r="F210" s="103">
        <v>2.4</v>
      </c>
      <c r="G210" s="63">
        <f>VLOOKUP(D210,upahbahan,3,FALSE)</f>
        <v>0</v>
      </c>
      <c r="H210" s="63">
        <f>F210*G210</f>
        <v>0</v>
      </c>
      <c r="I210" s="44"/>
    </row>
    <row r="211" spans="3:13" s="59" customFormat="1" ht="19.8" customHeight="1">
      <c r="C211" s="61">
        <v>2</v>
      </c>
      <c r="D211" s="56" t="s">
        <v>1796</v>
      </c>
      <c r="E211" s="93" t="s">
        <v>1044</v>
      </c>
      <c r="F211" s="103">
        <v>1.6282000000000001</v>
      </c>
      <c r="G211" s="63">
        <f>VLOOKUP(D211,upahbahan,3,FALSE)</f>
        <v>1530</v>
      </c>
      <c r="H211" s="63">
        <f>F211*G211</f>
        <v>2491.1460000000002</v>
      </c>
      <c r="I211" s="44"/>
    </row>
    <row r="212" spans="3:13" s="59" customFormat="1" ht="19.8" customHeight="1">
      <c r="C212" s="61">
        <v>3</v>
      </c>
      <c r="D212" s="56" t="s">
        <v>1797</v>
      </c>
      <c r="E212" s="93" t="s">
        <v>2426</v>
      </c>
      <c r="F212" s="103">
        <v>9.1509</v>
      </c>
      <c r="G212" s="63">
        <f>VLOOKUP(D212,upahbahan,3,FALSE)</f>
        <v>221.78700000000001</v>
      </c>
      <c r="H212" s="63">
        <f>F212*G212</f>
        <v>2029.5506583000001</v>
      </c>
      <c r="I212" s="44"/>
    </row>
    <row r="213" spans="3:13" s="59" customFormat="1" ht="19.8" customHeight="1">
      <c r="C213" s="450" t="s">
        <v>1214</v>
      </c>
      <c r="D213" s="67"/>
      <c r="E213" s="67"/>
      <c r="F213" s="67"/>
      <c r="G213" s="69"/>
      <c r="H213" s="63">
        <f>SUM(H210:H212)</f>
        <v>4520.6966583000003</v>
      </c>
      <c r="I213" s="44"/>
    </row>
    <row r="214" spans="3:13" s="59" customFormat="1" ht="19.8" customHeight="1">
      <c r="C214" s="61" t="s">
        <v>1215</v>
      </c>
      <c r="D214" s="56" t="s">
        <v>1216</v>
      </c>
      <c r="E214" s="57"/>
      <c r="F214" s="57"/>
      <c r="G214" s="57"/>
      <c r="H214" s="57"/>
      <c r="I214" s="44"/>
    </row>
    <row r="215" spans="3:13" s="59" customFormat="1" ht="19.8" customHeight="1">
      <c r="C215" s="450" t="s">
        <v>1217</v>
      </c>
      <c r="D215" s="67"/>
      <c r="E215" s="67"/>
      <c r="F215" s="67"/>
      <c r="G215" s="69"/>
      <c r="H215" s="589">
        <f>SUM(H214)</f>
        <v>0</v>
      </c>
      <c r="I215" s="44"/>
    </row>
    <row r="216" spans="3:13" s="59" customFormat="1" ht="19.8" customHeight="1">
      <c r="C216" s="288" t="s">
        <v>1218</v>
      </c>
      <c r="D216" s="76" t="s">
        <v>1219</v>
      </c>
      <c r="E216" s="77"/>
      <c r="F216" s="77"/>
      <c r="G216" s="78"/>
      <c r="H216" s="585">
        <f>H215+H213+H208</f>
        <v>10377.196658299999</v>
      </c>
      <c r="I216" s="369"/>
    </row>
    <row r="217" spans="3:13" s="59" customFormat="1" ht="19.8" customHeight="1">
      <c r="C217" s="288" t="s">
        <v>1220</v>
      </c>
      <c r="D217" s="76" t="s">
        <v>1321</v>
      </c>
      <c r="E217" s="77"/>
      <c r="F217" s="78"/>
      <c r="G217" s="80">
        <v>0.1</v>
      </c>
      <c r="H217" s="63">
        <f>H216*G217</f>
        <v>1037.7196658299999</v>
      </c>
      <c r="I217" s="369"/>
    </row>
    <row r="218" spans="3:13" s="59" customFormat="1" ht="19.8" customHeight="1">
      <c r="C218" s="288" t="s">
        <v>1221</v>
      </c>
      <c r="D218" s="76" t="s">
        <v>1222</v>
      </c>
      <c r="E218" s="77"/>
      <c r="F218" s="77"/>
      <c r="G218" s="78"/>
      <c r="H218" s="799">
        <f>SUM(H216:H217)</f>
        <v>11414.916324129999</v>
      </c>
      <c r="I218" s="369"/>
    </row>
    <row r="220" spans="3:13" s="59" customFormat="1" ht="13.8">
      <c r="C220" s="46" t="s">
        <v>4437</v>
      </c>
      <c r="D220" s="794" t="s">
        <v>4436</v>
      </c>
      <c r="E220" s="794"/>
      <c r="F220" s="794"/>
      <c r="G220" s="794"/>
      <c r="H220" s="794"/>
      <c r="I220" s="50">
        <f>ROUNDDOWN(H236,-2)</f>
        <v>13900</v>
      </c>
    </row>
    <row r="221" spans="3:13" s="59" customFormat="1" ht="33" customHeight="1">
      <c r="C221" s="591" t="s">
        <v>1195</v>
      </c>
      <c r="D221" s="591" t="s">
        <v>1196</v>
      </c>
      <c r="E221" s="591" t="s">
        <v>1197</v>
      </c>
      <c r="F221" s="591" t="s">
        <v>1198</v>
      </c>
      <c r="G221" s="591" t="s">
        <v>1199</v>
      </c>
      <c r="H221" s="591" t="s">
        <v>1200</v>
      </c>
      <c r="I221" s="44"/>
    </row>
    <row r="222" spans="3:13" s="59" customFormat="1" ht="21" customHeight="1">
      <c r="C222" s="61" t="s">
        <v>1201</v>
      </c>
      <c r="D222" s="56" t="s">
        <v>1202</v>
      </c>
      <c r="E222" s="57"/>
      <c r="F222" s="57"/>
      <c r="G222" s="57"/>
      <c r="H222" s="57"/>
      <c r="I222" s="44"/>
      <c r="J222" s="152" t="s">
        <v>1247</v>
      </c>
    </row>
    <row r="223" spans="3:13" s="59" customFormat="1" ht="21" customHeight="1">
      <c r="C223" s="588">
        <v>1</v>
      </c>
      <c r="D223" s="56" t="s">
        <v>5</v>
      </c>
      <c r="E223" s="577" t="s">
        <v>6</v>
      </c>
      <c r="F223" s="101">
        <v>3.3300000000000003E-2</v>
      </c>
      <c r="G223" s="63">
        <f>VLOOKUP(D223,upahbahan,3,FALSE)</f>
        <v>100000</v>
      </c>
      <c r="H223" s="63">
        <f>F223*G223</f>
        <v>3330.0000000000005</v>
      </c>
      <c r="I223" s="44"/>
      <c r="J223" s="152" t="s">
        <v>1248</v>
      </c>
      <c r="M223" s="65">
        <v>0.1</v>
      </c>
    </row>
    <row r="224" spans="3:13" s="59" customFormat="1" ht="21" customHeight="1">
      <c r="C224" s="588">
        <v>2</v>
      </c>
      <c r="D224" s="56" t="s">
        <v>7</v>
      </c>
      <c r="E224" s="577" t="s">
        <v>6</v>
      </c>
      <c r="F224" s="101">
        <v>1.67E-2</v>
      </c>
      <c r="G224" s="63">
        <f>VLOOKUP(D224,upahbahan,3,FALSE)</f>
        <v>135000</v>
      </c>
      <c r="H224" s="63">
        <f>F224*G224</f>
        <v>2254.5</v>
      </c>
      <c r="I224" s="44"/>
    </row>
    <row r="225" spans="3:9" s="59" customFormat="1" ht="21" customHeight="1">
      <c r="C225" s="588">
        <v>4</v>
      </c>
      <c r="D225" s="56" t="s">
        <v>19</v>
      </c>
      <c r="E225" s="577" t="s">
        <v>6</v>
      </c>
      <c r="F225" s="101">
        <v>1.6999999999999999E-3</v>
      </c>
      <c r="G225" s="63">
        <f>VLOOKUP(D225,upahbahan,3,FALSE)</f>
        <v>160000</v>
      </c>
      <c r="H225" s="63">
        <f>F225*G225</f>
        <v>272</v>
      </c>
      <c r="I225" s="44"/>
    </row>
    <row r="226" spans="3:9" s="59" customFormat="1" ht="21" customHeight="1">
      <c r="C226" s="450" t="s">
        <v>1208</v>
      </c>
      <c r="D226" s="67"/>
      <c r="E226" s="67"/>
      <c r="F226" s="142"/>
      <c r="G226" s="153"/>
      <c r="H226" s="63">
        <f>SUM(H223:H225)</f>
        <v>5856.5</v>
      </c>
      <c r="I226" s="154"/>
    </row>
    <row r="227" spans="3:9" s="59" customFormat="1" ht="21" customHeight="1">
      <c r="C227" s="61" t="s">
        <v>1209</v>
      </c>
      <c r="D227" s="56" t="s">
        <v>1210</v>
      </c>
      <c r="E227" s="57"/>
      <c r="F227" s="57"/>
      <c r="G227" s="57"/>
      <c r="H227" s="57"/>
      <c r="I227" s="44"/>
    </row>
    <row r="228" spans="3:9" s="59" customFormat="1" ht="21" customHeight="1">
      <c r="C228" s="61">
        <v>1</v>
      </c>
      <c r="D228" s="56" t="s">
        <v>4434</v>
      </c>
      <c r="E228" s="93" t="s">
        <v>44</v>
      </c>
      <c r="F228" s="103">
        <v>1.6333</v>
      </c>
      <c r="G228" s="63">
        <f>VLOOKUP(D228,upahbahan,3,FALSE)</f>
        <v>0</v>
      </c>
      <c r="H228" s="63">
        <f>F228*G228</f>
        <v>0</v>
      </c>
      <c r="I228" s="44"/>
    </row>
    <row r="229" spans="3:9" s="59" customFormat="1" ht="21" customHeight="1">
      <c r="C229" s="61">
        <v>2</v>
      </c>
      <c r="D229" s="56" t="s">
        <v>1796</v>
      </c>
      <c r="E229" s="93" t="s">
        <v>1044</v>
      </c>
      <c r="F229" s="103">
        <v>2.4422999999999999</v>
      </c>
      <c r="G229" s="63">
        <f>VLOOKUP(D229,upahbahan,3,FALSE)</f>
        <v>1530</v>
      </c>
      <c r="H229" s="63">
        <f>F229*G229</f>
        <v>3736.7190000000001</v>
      </c>
      <c r="I229" s="44"/>
    </row>
    <row r="230" spans="3:9" s="59" customFormat="1" ht="21" customHeight="1">
      <c r="C230" s="61">
        <v>3</v>
      </c>
      <c r="D230" s="56" t="s">
        <v>1797</v>
      </c>
      <c r="E230" s="93" t="s">
        <v>2426</v>
      </c>
      <c r="F230" s="103">
        <v>13.7264</v>
      </c>
      <c r="G230" s="63">
        <f>VLOOKUP(D230,upahbahan,3,FALSE)</f>
        <v>221.78700000000001</v>
      </c>
      <c r="H230" s="63">
        <f>F230*G230</f>
        <v>3044.3370768</v>
      </c>
      <c r="I230" s="44"/>
    </row>
    <row r="231" spans="3:9" s="59" customFormat="1" ht="21" customHeight="1">
      <c r="C231" s="450" t="s">
        <v>1214</v>
      </c>
      <c r="D231" s="67"/>
      <c r="E231" s="67"/>
      <c r="F231" s="67"/>
      <c r="G231" s="69"/>
      <c r="H231" s="63">
        <f>SUM(H228:H230)</f>
        <v>6781.0560767999996</v>
      </c>
      <c r="I231" s="44"/>
    </row>
    <row r="232" spans="3:9" s="59" customFormat="1" ht="21" customHeight="1">
      <c r="C232" s="61" t="s">
        <v>1215</v>
      </c>
      <c r="D232" s="56" t="s">
        <v>1216</v>
      </c>
      <c r="E232" s="57"/>
      <c r="F232" s="57"/>
      <c r="G232" s="57"/>
      <c r="H232" s="57"/>
      <c r="I232" s="44"/>
    </row>
    <row r="233" spans="3:9" s="59" customFormat="1" ht="21" customHeight="1">
      <c r="C233" s="450" t="s">
        <v>1217</v>
      </c>
      <c r="D233" s="67"/>
      <c r="E233" s="67"/>
      <c r="F233" s="67"/>
      <c r="G233" s="69"/>
      <c r="H233" s="589">
        <f>SUM(H232)</f>
        <v>0</v>
      </c>
      <c r="I233" s="44"/>
    </row>
    <row r="234" spans="3:9" s="59" customFormat="1" ht="21" customHeight="1">
      <c r="C234" s="288" t="s">
        <v>1218</v>
      </c>
      <c r="D234" s="76" t="s">
        <v>1219</v>
      </c>
      <c r="E234" s="77"/>
      <c r="F234" s="77"/>
      <c r="G234" s="78"/>
      <c r="H234" s="585">
        <f>H233+H231+H226</f>
        <v>12637.5560768</v>
      </c>
      <c r="I234" s="369"/>
    </row>
    <row r="235" spans="3:9" s="59" customFormat="1" ht="21" customHeight="1">
      <c r="C235" s="288" t="s">
        <v>1220</v>
      </c>
      <c r="D235" s="76" t="s">
        <v>1321</v>
      </c>
      <c r="E235" s="77"/>
      <c r="F235" s="78"/>
      <c r="G235" s="80">
        <v>0.1</v>
      </c>
      <c r="H235" s="63">
        <f>H234*G235</f>
        <v>1263.7556076800001</v>
      </c>
      <c r="I235" s="369"/>
    </row>
    <row r="236" spans="3:9" s="59" customFormat="1" ht="21" customHeight="1">
      <c r="C236" s="288" t="s">
        <v>1221</v>
      </c>
      <c r="D236" s="76" t="s">
        <v>1222</v>
      </c>
      <c r="E236" s="77"/>
      <c r="F236" s="77"/>
      <c r="G236" s="78"/>
      <c r="H236" s="799">
        <f>SUM(H234:H235)</f>
        <v>13901.311684479999</v>
      </c>
      <c r="I236" s="369"/>
    </row>
    <row r="239" spans="3:9" ht="13.8">
      <c r="C239" s="121" t="s">
        <v>5528</v>
      </c>
      <c r="D239" s="128" t="s">
        <v>4438</v>
      </c>
    </row>
    <row r="240" spans="3:9" ht="13.8">
      <c r="C240" s="121" t="s">
        <v>4439</v>
      </c>
      <c r="D240" s="128" t="s">
        <v>4440</v>
      </c>
    </row>
    <row r="241" spans="3:13" s="59" customFormat="1" ht="21.15" customHeight="1">
      <c r="C241" s="46" t="s">
        <v>4441</v>
      </c>
      <c r="D241" s="794" t="s">
        <v>4442</v>
      </c>
      <c r="E241" s="794"/>
      <c r="F241" s="794"/>
      <c r="G241" s="794"/>
      <c r="H241" s="794"/>
      <c r="I241" s="50">
        <f>ROUNDDOWN(H263,-2)</f>
        <v>1373300</v>
      </c>
    </row>
    <row r="242" spans="3:13" s="59" customFormat="1" ht="33" customHeight="1">
      <c r="C242" s="591" t="s">
        <v>1195</v>
      </c>
      <c r="D242" s="591" t="s">
        <v>1196</v>
      </c>
      <c r="E242" s="591" t="s">
        <v>1197</v>
      </c>
      <c r="F242" s="591" t="s">
        <v>1198</v>
      </c>
      <c r="G242" s="591" t="s">
        <v>1199</v>
      </c>
      <c r="H242" s="591" t="s">
        <v>1200</v>
      </c>
      <c r="I242" s="44"/>
    </row>
    <row r="243" spans="3:13" s="59" customFormat="1" ht="24.6" customHeight="1">
      <c r="C243" s="61" t="s">
        <v>1201</v>
      </c>
      <c r="D243" s="56" t="s">
        <v>1202</v>
      </c>
      <c r="E243" s="57"/>
      <c r="F243" s="57"/>
      <c r="G243" s="57"/>
      <c r="H243" s="57"/>
      <c r="I243" s="44"/>
      <c r="J243" s="152" t="s">
        <v>1247</v>
      </c>
    </row>
    <row r="244" spans="3:13" s="59" customFormat="1" ht="24.6" customHeight="1">
      <c r="C244" s="588">
        <v>1</v>
      </c>
      <c r="D244" s="56" t="s">
        <v>5</v>
      </c>
      <c r="E244" s="577" t="s">
        <v>6</v>
      </c>
      <c r="F244" s="101">
        <v>1.05</v>
      </c>
      <c r="G244" s="63">
        <f>VLOOKUP(D244,upahbahan,3,FALSE)</f>
        <v>100000</v>
      </c>
      <c r="H244" s="63">
        <f>F244*G244</f>
        <v>105000</v>
      </c>
      <c r="I244" s="44"/>
      <c r="J244" s="152" t="s">
        <v>1248</v>
      </c>
      <c r="M244" s="65">
        <v>0.1</v>
      </c>
    </row>
    <row r="245" spans="3:13" s="59" customFormat="1" ht="24.6" customHeight="1">
      <c r="C245" s="588">
        <v>2</v>
      </c>
      <c r="D245" s="56" t="s">
        <v>7</v>
      </c>
      <c r="E245" s="577" t="s">
        <v>6</v>
      </c>
      <c r="F245" s="101">
        <v>0.26250000000000001</v>
      </c>
      <c r="G245" s="63">
        <f>VLOOKUP(D245,upahbahan,3,FALSE)</f>
        <v>135000</v>
      </c>
      <c r="H245" s="63">
        <f>F245*G245</f>
        <v>35437.5</v>
      </c>
      <c r="I245" s="44"/>
    </row>
    <row r="246" spans="3:13" s="59" customFormat="1" ht="24.6" customHeight="1">
      <c r="C246" s="588"/>
      <c r="D246" s="56" t="s">
        <v>1310</v>
      </c>
      <c r="E246" s="577" t="s">
        <v>2102</v>
      </c>
      <c r="F246" s="101">
        <v>2.63E-2</v>
      </c>
      <c r="G246" s="63">
        <f>VLOOKUP(D246,upahbahan,3,FALSE)</f>
        <v>150000</v>
      </c>
      <c r="H246" s="63">
        <f>F246*G246</f>
        <v>3945</v>
      </c>
      <c r="I246" s="44"/>
    </row>
    <row r="247" spans="3:13" s="59" customFormat="1" ht="24.6" customHeight="1">
      <c r="C247" s="588">
        <v>4</v>
      </c>
      <c r="D247" s="56" t="s">
        <v>19</v>
      </c>
      <c r="E247" s="577" t="s">
        <v>6</v>
      </c>
      <c r="F247" s="101">
        <v>0.105</v>
      </c>
      <c r="G247" s="63">
        <f>VLOOKUP(D247,upahbahan,3,FALSE)</f>
        <v>160000</v>
      </c>
      <c r="H247" s="63">
        <f>F247*G247</f>
        <v>16800</v>
      </c>
      <c r="I247" s="44"/>
    </row>
    <row r="248" spans="3:13" s="59" customFormat="1" ht="24.6" customHeight="1">
      <c r="C248" s="450" t="s">
        <v>1208</v>
      </c>
      <c r="D248" s="67"/>
      <c r="E248" s="67"/>
      <c r="F248" s="142"/>
      <c r="G248" s="153"/>
      <c r="H248" s="63">
        <f>SUM(H244:H247)</f>
        <v>161182.5</v>
      </c>
      <c r="I248" s="154"/>
    </row>
    <row r="249" spans="3:13" s="59" customFormat="1" ht="24.6" customHeight="1">
      <c r="C249" s="61" t="s">
        <v>1209</v>
      </c>
      <c r="D249" s="56" t="s">
        <v>1210</v>
      </c>
      <c r="E249" s="57"/>
      <c r="F249" s="57"/>
      <c r="G249" s="57"/>
      <c r="H249" s="57"/>
      <c r="I249" s="44"/>
    </row>
    <row r="250" spans="3:13" s="59" customFormat="1" ht="24.6" customHeight="1">
      <c r="C250" s="61">
        <v>1</v>
      </c>
      <c r="D250" s="56" t="s">
        <v>1796</v>
      </c>
      <c r="E250" s="93" t="s">
        <v>2426</v>
      </c>
      <c r="F250" s="103">
        <v>279</v>
      </c>
      <c r="G250" s="63">
        <f t="shared" ref="G250:G255" si="0">VLOOKUP(D250,upahbahan,3,FALSE)</f>
        <v>1530</v>
      </c>
      <c r="H250" s="63">
        <f t="shared" ref="H250:H255" si="1">F250*G250</f>
        <v>426870</v>
      </c>
      <c r="I250" s="44"/>
    </row>
    <row r="251" spans="3:13" s="59" customFormat="1" ht="24.6" customHeight="1">
      <c r="C251" s="61">
        <v>2</v>
      </c>
      <c r="D251" s="56" t="s">
        <v>1797</v>
      </c>
      <c r="E251" s="93" t="s">
        <v>1044</v>
      </c>
      <c r="F251" s="103">
        <v>873</v>
      </c>
      <c r="G251" s="63">
        <f t="shared" si="0"/>
        <v>221.78700000000001</v>
      </c>
      <c r="H251" s="63">
        <f t="shared" si="1"/>
        <v>193620.05100000001</v>
      </c>
      <c r="I251" s="44"/>
    </row>
    <row r="252" spans="3:13" s="59" customFormat="1" ht="24.6" customHeight="1">
      <c r="C252" s="61">
        <v>3</v>
      </c>
      <c r="D252" s="56" t="s">
        <v>4443</v>
      </c>
      <c r="E252" s="93" t="s">
        <v>65</v>
      </c>
      <c r="F252" s="103">
        <v>909</v>
      </c>
      <c r="G252" s="63">
        <f t="shared" si="0"/>
        <v>226.47058823529412</v>
      </c>
      <c r="H252" s="63">
        <f t="shared" si="1"/>
        <v>205861.76470588235</v>
      </c>
      <c r="I252" s="44"/>
    </row>
    <row r="253" spans="3:13" s="59" customFormat="1" ht="24.6" customHeight="1">
      <c r="C253" s="61">
        <v>4</v>
      </c>
      <c r="D253" s="56" t="s">
        <v>960</v>
      </c>
      <c r="E253" s="93" t="s">
        <v>529</v>
      </c>
      <c r="F253" s="103">
        <v>195</v>
      </c>
      <c r="G253" s="63">
        <f t="shared" si="0"/>
        <v>200</v>
      </c>
      <c r="H253" s="63">
        <f t="shared" si="1"/>
        <v>39000</v>
      </c>
      <c r="I253" s="44"/>
    </row>
    <row r="254" spans="3:13" s="59" customFormat="1" ht="24.6" customHeight="1">
      <c r="C254" s="61">
        <v>5</v>
      </c>
      <c r="D254" s="56" t="s">
        <v>1793</v>
      </c>
      <c r="E254" s="93" t="s">
        <v>42</v>
      </c>
      <c r="F254" s="103">
        <v>5.1299999999999998E-2</v>
      </c>
      <c r="G254" s="63">
        <f t="shared" si="0"/>
        <v>3015000</v>
      </c>
      <c r="H254" s="63">
        <f t="shared" si="1"/>
        <v>154669.5</v>
      </c>
      <c r="I254" s="44"/>
    </row>
    <row r="255" spans="3:13" s="59" customFormat="1" ht="24.6" customHeight="1">
      <c r="C255" s="61">
        <v>6</v>
      </c>
      <c r="D255" s="56" t="s">
        <v>261</v>
      </c>
      <c r="E255" s="93" t="s">
        <v>2426</v>
      </c>
      <c r="F255" s="103">
        <v>0.1237</v>
      </c>
      <c r="G255" s="63">
        <f t="shared" si="0"/>
        <v>33901.875</v>
      </c>
      <c r="H255" s="63">
        <f t="shared" si="1"/>
        <v>4193.6619375</v>
      </c>
      <c r="I255" s="44"/>
    </row>
    <row r="256" spans="3:13" s="59" customFormat="1" ht="24.6" customHeight="1">
      <c r="C256" s="450" t="s">
        <v>1214</v>
      </c>
      <c r="D256" s="67"/>
      <c r="E256" s="67"/>
      <c r="F256" s="67"/>
      <c r="G256" s="69"/>
      <c r="H256" s="63">
        <f>SUM(H250:H255)</f>
        <v>1024214.9776433824</v>
      </c>
      <c r="I256" s="44"/>
    </row>
    <row r="257" spans="3:13" s="59" customFormat="1" ht="24.6" customHeight="1">
      <c r="C257" s="61" t="s">
        <v>1215</v>
      </c>
      <c r="D257" s="56" t="s">
        <v>1216</v>
      </c>
      <c r="E257" s="57"/>
      <c r="F257" s="57"/>
      <c r="G257" s="57"/>
      <c r="H257" s="57"/>
      <c r="I257" s="44"/>
    </row>
    <row r="258" spans="3:13" s="59" customFormat="1" ht="24.6" customHeight="1">
      <c r="C258" s="800">
        <v>1</v>
      </c>
      <c r="D258" s="56" t="s">
        <v>1167</v>
      </c>
      <c r="E258" s="93" t="s">
        <v>1974</v>
      </c>
      <c r="F258" s="94">
        <v>0.14749999999999999</v>
      </c>
      <c r="G258" s="63">
        <f>VLOOKUP(D258,upahbahan,3,FALSE)</f>
        <v>300000</v>
      </c>
      <c r="H258" s="881">
        <f>G258*F258</f>
        <v>44250</v>
      </c>
      <c r="I258" s="44"/>
    </row>
    <row r="259" spans="3:13" s="59" customFormat="1" ht="24.6" customHeight="1">
      <c r="C259" s="800">
        <v>2</v>
      </c>
      <c r="D259" s="56" t="s">
        <v>4444</v>
      </c>
      <c r="E259" s="93" t="s">
        <v>1974</v>
      </c>
      <c r="F259" s="94">
        <v>0.75539999999999996</v>
      </c>
      <c r="G259" s="63">
        <f>VLOOKUP(D259,upahbahan,3,FALSE)</f>
        <v>25000</v>
      </c>
      <c r="H259" s="881">
        <f>G259*F259</f>
        <v>18885</v>
      </c>
      <c r="I259" s="44"/>
    </row>
    <row r="260" spans="3:13" s="59" customFormat="1" ht="24.6" customHeight="1">
      <c r="C260" s="450" t="s">
        <v>1217</v>
      </c>
      <c r="D260" s="67"/>
      <c r="E260" s="67"/>
      <c r="F260" s="67"/>
      <c r="G260" s="69"/>
      <c r="H260" s="882">
        <f>SUM(H258:H259)</f>
        <v>63135</v>
      </c>
      <c r="I260" s="44"/>
    </row>
    <row r="261" spans="3:13" s="59" customFormat="1" ht="24.6" customHeight="1">
      <c r="C261" s="288" t="s">
        <v>1218</v>
      </c>
      <c r="D261" s="76" t="s">
        <v>1219</v>
      </c>
      <c r="E261" s="77"/>
      <c r="F261" s="77"/>
      <c r="G261" s="78"/>
      <c r="H261" s="585">
        <f>H260+H256+H248</f>
        <v>1248532.4776433823</v>
      </c>
      <c r="I261" s="369"/>
    </row>
    <row r="262" spans="3:13" s="59" customFormat="1" ht="24.6" customHeight="1">
      <c r="C262" s="288" t="s">
        <v>1220</v>
      </c>
      <c r="D262" s="76" t="s">
        <v>1321</v>
      </c>
      <c r="E262" s="77"/>
      <c r="F262" s="78"/>
      <c r="G262" s="80">
        <v>0.1</v>
      </c>
      <c r="H262" s="63">
        <f>H261*G262</f>
        <v>124853.24776433823</v>
      </c>
      <c r="I262" s="369"/>
    </row>
    <row r="263" spans="3:13" s="59" customFormat="1" ht="24.6" customHeight="1">
      <c r="C263" s="288" t="s">
        <v>1221</v>
      </c>
      <c r="D263" s="76" t="s">
        <v>1222</v>
      </c>
      <c r="E263" s="77"/>
      <c r="F263" s="77"/>
      <c r="G263" s="78"/>
      <c r="H263" s="799">
        <f>SUM(H261:H262)</f>
        <v>1373385.7254077205</v>
      </c>
      <c r="I263" s="369"/>
    </row>
    <row r="265" spans="3:13" s="59" customFormat="1" ht="24.75" customHeight="1">
      <c r="C265" s="46" t="s">
        <v>4445</v>
      </c>
      <c r="D265" s="794" t="s">
        <v>4446</v>
      </c>
      <c r="E265" s="794"/>
      <c r="F265" s="794"/>
      <c r="G265" s="794"/>
      <c r="H265" s="794"/>
      <c r="I265" s="50">
        <f>ROUNDDOWN(H289,-2)</f>
        <v>1346500</v>
      </c>
    </row>
    <row r="266" spans="3:13" s="59" customFormat="1" ht="33" customHeight="1">
      <c r="C266" s="591" t="s">
        <v>1195</v>
      </c>
      <c r="D266" s="591" t="s">
        <v>1196</v>
      </c>
      <c r="E266" s="591" t="s">
        <v>1197</v>
      </c>
      <c r="F266" s="591" t="s">
        <v>1198</v>
      </c>
      <c r="G266" s="591" t="s">
        <v>1199</v>
      </c>
      <c r="H266" s="591" t="s">
        <v>1200</v>
      </c>
      <c r="I266" s="44"/>
    </row>
    <row r="267" spans="3:13" s="59" customFormat="1" ht="24.6" customHeight="1">
      <c r="C267" s="61" t="s">
        <v>1201</v>
      </c>
      <c r="D267" s="56" t="s">
        <v>1202</v>
      </c>
      <c r="E267" s="57"/>
      <c r="F267" s="57"/>
      <c r="G267" s="57"/>
      <c r="H267" s="57"/>
      <c r="I267" s="44"/>
      <c r="J267" s="152" t="s">
        <v>1247</v>
      </c>
    </row>
    <row r="268" spans="3:13" s="59" customFormat="1" ht="24.6" customHeight="1">
      <c r="C268" s="588">
        <v>1</v>
      </c>
      <c r="D268" s="56" t="s">
        <v>5</v>
      </c>
      <c r="E268" s="577" t="s">
        <v>6</v>
      </c>
      <c r="F268" s="101">
        <v>1.1000000000000001</v>
      </c>
      <c r="G268" s="63">
        <f>VLOOKUP(D268,upahbahan,3,FALSE)</f>
        <v>100000</v>
      </c>
      <c r="H268" s="63">
        <f>F268*G268</f>
        <v>110000.00000000001</v>
      </c>
      <c r="I268" s="44"/>
      <c r="J268" s="152" t="s">
        <v>1248</v>
      </c>
      <c r="M268" s="65">
        <v>0.1</v>
      </c>
    </row>
    <row r="269" spans="3:13" s="59" customFormat="1" ht="24.6" customHeight="1">
      <c r="C269" s="588">
        <v>2</v>
      </c>
      <c r="D269" s="56" t="s">
        <v>7</v>
      </c>
      <c r="E269" s="577" t="s">
        <v>6</v>
      </c>
      <c r="F269" s="101">
        <v>0.27500000000000002</v>
      </c>
      <c r="G269" s="63">
        <f>VLOOKUP(D269,upahbahan,3,FALSE)</f>
        <v>135000</v>
      </c>
      <c r="H269" s="63">
        <f>F269*G269</f>
        <v>37125</v>
      </c>
      <c r="I269" s="44"/>
    </row>
    <row r="270" spans="3:13" s="59" customFormat="1" ht="24.6" customHeight="1">
      <c r="C270" s="588"/>
      <c r="D270" s="56" t="s">
        <v>1310</v>
      </c>
      <c r="E270" s="577" t="s">
        <v>2102</v>
      </c>
      <c r="F270" s="101">
        <v>2.75E-2</v>
      </c>
      <c r="G270" s="63">
        <f>VLOOKUP(D270,upahbahan,3,FALSE)</f>
        <v>150000</v>
      </c>
      <c r="H270" s="63">
        <f>F270*G270</f>
        <v>4125</v>
      </c>
      <c r="I270" s="44"/>
    </row>
    <row r="271" spans="3:13" s="59" customFormat="1" ht="24.6" customHeight="1">
      <c r="C271" s="588">
        <v>4</v>
      </c>
      <c r="D271" s="56" t="s">
        <v>19</v>
      </c>
      <c r="E271" s="577" t="s">
        <v>6</v>
      </c>
      <c r="F271" s="101">
        <v>0.11</v>
      </c>
      <c r="G271" s="63">
        <f>VLOOKUP(D271,upahbahan,3,FALSE)</f>
        <v>160000</v>
      </c>
      <c r="H271" s="63">
        <f>F271*G271</f>
        <v>17600</v>
      </c>
      <c r="I271" s="44"/>
    </row>
    <row r="272" spans="3:13" s="59" customFormat="1" ht="24.6" customHeight="1">
      <c r="C272" s="450" t="s">
        <v>1208</v>
      </c>
      <c r="D272" s="67"/>
      <c r="E272" s="67"/>
      <c r="F272" s="142"/>
      <c r="G272" s="153"/>
      <c r="H272" s="63">
        <f>SUM(H268:H271)</f>
        <v>168850</v>
      </c>
      <c r="I272" s="154"/>
    </row>
    <row r="273" spans="3:9" s="59" customFormat="1" ht="24.6" customHeight="1">
      <c r="C273" s="61" t="s">
        <v>1209</v>
      </c>
      <c r="D273" s="56" t="s">
        <v>1210</v>
      </c>
      <c r="E273" s="57"/>
      <c r="F273" s="57"/>
      <c r="G273" s="57"/>
      <c r="H273" s="57"/>
      <c r="I273" s="44"/>
    </row>
    <row r="274" spans="3:9" s="59" customFormat="1" ht="24.6" customHeight="1">
      <c r="C274" s="61">
        <v>1</v>
      </c>
      <c r="D274" s="56" t="s">
        <v>1796</v>
      </c>
      <c r="E274" s="93" t="s">
        <v>2426</v>
      </c>
      <c r="F274" s="103">
        <v>279</v>
      </c>
      <c r="G274" s="63">
        <f t="shared" ref="G274:G280" si="2">VLOOKUP(D274,upahbahan,3,FALSE)</f>
        <v>1530</v>
      </c>
      <c r="H274" s="63">
        <f t="shared" ref="H274:H280" si="3">F274*G274</f>
        <v>426870</v>
      </c>
      <c r="I274" s="44"/>
    </row>
    <row r="275" spans="3:9" s="59" customFormat="1" ht="24.6" customHeight="1">
      <c r="C275" s="61">
        <v>2</v>
      </c>
      <c r="D275" s="56" t="s">
        <v>1797</v>
      </c>
      <c r="E275" s="93" t="s">
        <v>1044</v>
      </c>
      <c r="F275" s="103">
        <v>873</v>
      </c>
      <c r="G275" s="63">
        <f t="shared" si="2"/>
        <v>221.78700000000001</v>
      </c>
      <c r="H275" s="63">
        <f t="shared" si="3"/>
        <v>193620.05100000001</v>
      </c>
      <c r="I275" s="44"/>
    </row>
    <row r="276" spans="3:9" s="59" customFormat="1" ht="24.6" customHeight="1">
      <c r="C276" s="61">
        <v>3</v>
      </c>
      <c r="D276" s="56" t="s">
        <v>4443</v>
      </c>
      <c r="E276" s="93" t="s">
        <v>65</v>
      </c>
      <c r="F276" s="103">
        <v>909</v>
      </c>
      <c r="G276" s="63">
        <f t="shared" si="2"/>
        <v>226.47058823529412</v>
      </c>
      <c r="H276" s="63">
        <f t="shared" si="3"/>
        <v>205861.76470588235</v>
      </c>
      <c r="I276" s="44"/>
    </row>
    <row r="277" spans="3:9" s="59" customFormat="1" ht="24.6" customHeight="1">
      <c r="C277" s="61">
        <v>4</v>
      </c>
      <c r="D277" s="56" t="s">
        <v>960</v>
      </c>
      <c r="E277" s="93" t="s">
        <v>529</v>
      </c>
      <c r="F277" s="103">
        <v>195</v>
      </c>
      <c r="G277" s="63">
        <f t="shared" si="2"/>
        <v>200</v>
      </c>
      <c r="H277" s="63">
        <f t="shared" si="3"/>
        <v>39000</v>
      </c>
      <c r="I277" s="44"/>
    </row>
    <row r="278" spans="3:9" s="59" customFormat="1" ht="24.6" customHeight="1">
      <c r="C278" s="61">
        <v>5</v>
      </c>
      <c r="D278" s="56" t="s">
        <v>1793</v>
      </c>
      <c r="E278" s="93" t="s">
        <v>42</v>
      </c>
      <c r="F278" s="103">
        <v>1.77E-2</v>
      </c>
      <c r="G278" s="63">
        <f t="shared" si="2"/>
        <v>3015000</v>
      </c>
      <c r="H278" s="63">
        <f t="shared" si="3"/>
        <v>53365.5</v>
      </c>
      <c r="I278" s="44"/>
    </row>
    <row r="279" spans="3:9" s="59" customFormat="1" ht="24.6" customHeight="1">
      <c r="C279" s="61">
        <v>6</v>
      </c>
      <c r="D279" s="56" t="s">
        <v>130</v>
      </c>
      <c r="E279" s="93" t="s">
        <v>129</v>
      </c>
      <c r="F279" s="103">
        <v>0.25459999999999999</v>
      </c>
      <c r="G279" s="63">
        <f t="shared" si="2"/>
        <v>0</v>
      </c>
      <c r="H279" s="63">
        <f t="shared" si="3"/>
        <v>0</v>
      </c>
      <c r="I279" s="44"/>
    </row>
    <row r="280" spans="3:9" s="59" customFormat="1" ht="24.6" customHeight="1">
      <c r="C280" s="61">
        <v>7</v>
      </c>
      <c r="D280" s="56" t="s">
        <v>261</v>
      </c>
      <c r="E280" s="93" t="s">
        <v>2426</v>
      </c>
      <c r="F280" s="103">
        <v>0.13550000000000001</v>
      </c>
      <c r="G280" s="63">
        <f t="shared" si="2"/>
        <v>33901.875</v>
      </c>
      <c r="H280" s="63">
        <f t="shared" si="3"/>
        <v>4593.7040625</v>
      </c>
      <c r="I280" s="44"/>
    </row>
    <row r="281" spans="3:9" s="59" customFormat="1" ht="24.6" customHeight="1">
      <c r="C281" s="450" t="s">
        <v>1214</v>
      </c>
      <c r="D281" s="67"/>
      <c r="E281" s="67"/>
      <c r="F281" s="67"/>
      <c r="G281" s="69"/>
      <c r="H281" s="63">
        <f>SUM(H274:H280)</f>
        <v>923311.01976838242</v>
      </c>
      <c r="I281" s="44"/>
    </row>
    <row r="282" spans="3:9" s="59" customFormat="1" ht="24.6" customHeight="1">
      <c r="C282" s="61" t="s">
        <v>1215</v>
      </c>
      <c r="D282" s="56" t="s">
        <v>1216</v>
      </c>
      <c r="E282" s="57"/>
      <c r="F282" s="57"/>
      <c r="G282" s="57"/>
      <c r="H282" s="57"/>
      <c r="I282" s="44"/>
    </row>
    <row r="283" spans="3:9" s="59" customFormat="1" ht="24.6" customHeight="1">
      <c r="C283" s="800">
        <v>1</v>
      </c>
      <c r="D283" s="56" t="s">
        <v>1167</v>
      </c>
      <c r="E283" s="93" t="s">
        <v>1974</v>
      </c>
      <c r="F283" s="94">
        <v>0.14749999999999999</v>
      </c>
      <c r="G283" s="63">
        <f>VLOOKUP(D283,upahbahan,3,FALSE)</f>
        <v>300000</v>
      </c>
      <c r="H283" s="881">
        <f>G283*F283</f>
        <v>44250</v>
      </c>
      <c r="I283" s="44"/>
    </row>
    <row r="284" spans="3:9" s="59" customFormat="1" ht="24.6" customHeight="1">
      <c r="C284" s="800">
        <v>2</v>
      </c>
      <c r="D284" s="56" t="s">
        <v>4444</v>
      </c>
      <c r="E284" s="93" t="s">
        <v>1974</v>
      </c>
      <c r="F284" s="94">
        <v>0.75539999999999996</v>
      </c>
      <c r="G284" s="63">
        <f>VLOOKUP(D284,upahbahan,3,FALSE)</f>
        <v>25000</v>
      </c>
      <c r="H284" s="881">
        <f>G284*F284</f>
        <v>18885</v>
      </c>
      <c r="I284" s="44"/>
    </row>
    <row r="285" spans="3:9" s="59" customFormat="1" ht="24.6" customHeight="1">
      <c r="C285" s="800">
        <v>3</v>
      </c>
      <c r="D285" s="56" t="s">
        <v>1095</v>
      </c>
      <c r="E285" s="93" t="s">
        <v>1974</v>
      </c>
      <c r="F285" s="94">
        <v>8.6099999999999996E-2</v>
      </c>
      <c r="G285" s="63">
        <f>VLOOKUP(D285,upahbahan,3,FALSE)</f>
        <v>800000</v>
      </c>
      <c r="H285" s="881">
        <f>G285*F285</f>
        <v>68880</v>
      </c>
      <c r="I285" s="44"/>
    </row>
    <row r="286" spans="3:9" s="59" customFormat="1" ht="24.6" customHeight="1">
      <c r="C286" s="450" t="s">
        <v>1217</v>
      </c>
      <c r="D286" s="67"/>
      <c r="E286" s="67"/>
      <c r="F286" s="67"/>
      <c r="G286" s="69"/>
      <c r="H286" s="882">
        <f>SUM(H283:H285)</f>
        <v>132015</v>
      </c>
      <c r="I286" s="44"/>
    </row>
    <row r="287" spans="3:9" s="59" customFormat="1" ht="24.6" customHeight="1">
      <c r="C287" s="288" t="s">
        <v>1218</v>
      </c>
      <c r="D287" s="76" t="s">
        <v>1219</v>
      </c>
      <c r="E287" s="77"/>
      <c r="F287" s="77"/>
      <c r="G287" s="78"/>
      <c r="H287" s="585">
        <f>H286+H281+H272</f>
        <v>1224176.0197683824</v>
      </c>
      <c r="I287" s="369"/>
    </row>
    <row r="288" spans="3:9" s="59" customFormat="1" ht="24.6" customHeight="1">
      <c r="C288" s="288" t="s">
        <v>1220</v>
      </c>
      <c r="D288" s="76" t="s">
        <v>1321</v>
      </c>
      <c r="E288" s="77"/>
      <c r="F288" s="78"/>
      <c r="G288" s="80">
        <v>0.1</v>
      </c>
      <c r="H288" s="63">
        <f>H287*G288</f>
        <v>122417.60197683825</v>
      </c>
      <c r="I288" s="369"/>
    </row>
    <row r="289" spans="3:13" s="59" customFormat="1" ht="24.6" customHeight="1">
      <c r="C289" s="288" t="s">
        <v>1221</v>
      </c>
      <c r="D289" s="76" t="s">
        <v>1222</v>
      </c>
      <c r="E289" s="77"/>
      <c r="F289" s="77"/>
      <c r="G289" s="78"/>
      <c r="H289" s="799">
        <f>SUM(H287:H288)</f>
        <v>1346593.6217452206</v>
      </c>
      <c r="I289" s="369"/>
    </row>
    <row r="292" spans="3:13" s="59" customFormat="1" ht="19.5" customHeight="1">
      <c r="C292" s="46" t="s">
        <v>4447</v>
      </c>
      <c r="D292" s="794" t="s">
        <v>4448</v>
      </c>
      <c r="E292" s="794"/>
      <c r="F292" s="794"/>
      <c r="G292" s="794"/>
      <c r="H292" s="794"/>
      <c r="I292" s="50">
        <f>ROUNDDOWN(H309,-2)</f>
        <v>1129900</v>
      </c>
    </row>
    <row r="293" spans="3:13" s="59" customFormat="1" ht="33" customHeight="1">
      <c r="C293" s="591" t="s">
        <v>1195</v>
      </c>
      <c r="D293" s="591" t="s">
        <v>1196</v>
      </c>
      <c r="E293" s="591" t="s">
        <v>1197</v>
      </c>
      <c r="F293" s="591" t="s">
        <v>1198</v>
      </c>
      <c r="G293" s="591" t="s">
        <v>1199</v>
      </c>
      <c r="H293" s="591" t="s">
        <v>1200</v>
      </c>
      <c r="I293" s="44"/>
    </row>
    <row r="294" spans="3:13" s="59" customFormat="1" ht="24.6" customHeight="1">
      <c r="C294" s="61" t="s">
        <v>1201</v>
      </c>
      <c r="D294" s="56" t="s">
        <v>1202</v>
      </c>
      <c r="E294" s="57"/>
      <c r="F294" s="57"/>
      <c r="G294" s="57"/>
      <c r="H294" s="57"/>
      <c r="I294" s="44"/>
      <c r="J294" s="152" t="s">
        <v>1247</v>
      </c>
    </row>
    <row r="295" spans="3:13" s="59" customFormat="1" ht="24.6" customHeight="1">
      <c r="C295" s="588">
        <v>1</v>
      </c>
      <c r="D295" s="56" t="s">
        <v>5</v>
      </c>
      <c r="E295" s="577" t="s">
        <v>6</v>
      </c>
      <c r="F295" s="101">
        <v>0.42</v>
      </c>
      <c r="G295" s="63">
        <f>VLOOKUP(D295,upahbahan,3,FALSE)</f>
        <v>100000</v>
      </c>
      <c r="H295" s="63">
        <f>F295*G295</f>
        <v>42000</v>
      </c>
      <c r="I295" s="44"/>
      <c r="J295" s="152" t="s">
        <v>1248</v>
      </c>
      <c r="M295" s="65">
        <v>0.1</v>
      </c>
    </row>
    <row r="296" spans="3:13" s="59" customFormat="1" ht="24.6" customHeight="1">
      <c r="C296" s="588">
        <v>2</v>
      </c>
      <c r="D296" s="56" t="s">
        <v>7</v>
      </c>
      <c r="E296" s="577" t="s">
        <v>6</v>
      </c>
      <c r="F296" s="101">
        <v>0.105</v>
      </c>
      <c r="G296" s="63">
        <f>VLOOKUP(D296,upahbahan,3,FALSE)</f>
        <v>135000</v>
      </c>
      <c r="H296" s="63">
        <f>F296*G296</f>
        <v>14175</v>
      </c>
      <c r="I296" s="44"/>
    </row>
    <row r="297" spans="3:13" s="59" customFormat="1" ht="24.6" customHeight="1">
      <c r="C297" s="588"/>
      <c r="D297" s="56" t="s">
        <v>1310</v>
      </c>
      <c r="E297" s="577" t="s">
        <v>2102</v>
      </c>
      <c r="F297" s="101">
        <v>1.0500000000000001E-2</v>
      </c>
      <c r="G297" s="63">
        <f>VLOOKUP(D297,upahbahan,3,FALSE)</f>
        <v>150000</v>
      </c>
      <c r="H297" s="63">
        <f>F297*G297</f>
        <v>1575</v>
      </c>
      <c r="I297" s="44"/>
    </row>
    <row r="298" spans="3:13" s="59" customFormat="1" ht="24.6" customHeight="1">
      <c r="C298" s="588">
        <v>4</v>
      </c>
      <c r="D298" s="56" t="s">
        <v>19</v>
      </c>
      <c r="E298" s="577" t="s">
        <v>6</v>
      </c>
      <c r="F298" s="101">
        <v>4.2000000000000003E-2</v>
      </c>
      <c r="G298" s="63">
        <f>VLOOKUP(D298,upahbahan,3,FALSE)</f>
        <v>160000</v>
      </c>
      <c r="H298" s="63">
        <f>F298*G298</f>
        <v>6720</v>
      </c>
      <c r="I298" s="44"/>
    </row>
    <row r="299" spans="3:13" s="59" customFormat="1" ht="24.6" customHeight="1">
      <c r="C299" s="450" t="s">
        <v>1208</v>
      </c>
      <c r="D299" s="67"/>
      <c r="E299" s="67"/>
      <c r="F299" s="142"/>
      <c r="G299" s="153"/>
      <c r="H299" s="63">
        <f>SUM(H295:H298)</f>
        <v>64470</v>
      </c>
      <c r="I299" s="154"/>
    </row>
    <row r="300" spans="3:13" s="59" customFormat="1" ht="24.6" customHeight="1">
      <c r="C300" s="61" t="s">
        <v>1209</v>
      </c>
      <c r="D300" s="56" t="s">
        <v>1210</v>
      </c>
      <c r="E300" s="57"/>
      <c r="F300" s="57"/>
      <c r="G300" s="57"/>
      <c r="H300" s="57"/>
      <c r="I300" s="44"/>
    </row>
    <row r="301" spans="3:13" s="59" customFormat="1" ht="24.6" customHeight="1">
      <c r="C301" s="61">
        <v>1</v>
      </c>
      <c r="D301" s="56" t="s">
        <v>531</v>
      </c>
      <c r="E301" s="93" t="s">
        <v>4449</v>
      </c>
      <c r="F301" s="103">
        <v>1.02</v>
      </c>
      <c r="G301" s="63">
        <f>VLOOKUP(D301,upahbahan,3,FALSE)</f>
        <v>788100</v>
      </c>
      <c r="H301" s="63">
        <f>F301*G301</f>
        <v>803862</v>
      </c>
      <c r="I301" s="44"/>
    </row>
    <row r="302" spans="3:13" s="59" customFormat="1" ht="24.6" customHeight="1">
      <c r="C302" s="61">
        <v>2</v>
      </c>
      <c r="D302" s="56" t="s">
        <v>1793</v>
      </c>
      <c r="E302" s="93" t="s">
        <v>42</v>
      </c>
      <c r="F302" s="103">
        <v>5.1299999999999998E-2</v>
      </c>
      <c r="G302" s="63">
        <f>VLOOKUP(D302,upahbahan,3,FALSE)</f>
        <v>3015000</v>
      </c>
      <c r="H302" s="63">
        <f>F302*G302</f>
        <v>154669.5</v>
      </c>
      <c r="I302" s="44"/>
    </row>
    <row r="303" spans="3:13" s="59" customFormat="1" ht="24.6" customHeight="1">
      <c r="C303" s="61">
        <v>3</v>
      </c>
      <c r="D303" s="56" t="s">
        <v>261</v>
      </c>
      <c r="E303" s="93" t="s">
        <v>2426</v>
      </c>
      <c r="F303" s="103">
        <v>0.1237</v>
      </c>
      <c r="G303" s="63">
        <f>VLOOKUP(D303,upahbahan,3,FALSE)</f>
        <v>33901.875</v>
      </c>
      <c r="H303" s="63">
        <f>F303*G303</f>
        <v>4193.6619375</v>
      </c>
      <c r="I303" s="44"/>
    </row>
    <row r="304" spans="3:13" s="59" customFormat="1" ht="24.6" customHeight="1">
      <c r="C304" s="450" t="s">
        <v>1214</v>
      </c>
      <c r="D304" s="67"/>
      <c r="E304" s="67"/>
      <c r="F304" s="67"/>
      <c r="G304" s="69"/>
      <c r="H304" s="63">
        <f>SUM(H301:H303)</f>
        <v>962725.1619375</v>
      </c>
      <c r="I304" s="44"/>
    </row>
    <row r="305" spans="3:13" s="59" customFormat="1" ht="24.6" customHeight="1">
      <c r="C305" s="61" t="s">
        <v>1215</v>
      </c>
      <c r="D305" s="56" t="s">
        <v>1216</v>
      </c>
      <c r="E305" s="57"/>
      <c r="F305" s="57"/>
      <c r="G305" s="57"/>
      <c r="H305" s="57"/>
      <c r="I305" s="44"/>
    </row>
    <row r="306" spans="3:13" s="59" customFormat="1" ht="24.6" customHeight="1">
      <c r="C306" s="450" t="s">
        <v>1217</v>
      </c>
      <c r="D306" s="67"/>
      <c r="E306" s="67"/>
      <c r="F306" s="67"/>
      <c r="G306" s="69"/>
      <c r="H306" s="882">
        <f>SUM(H305)</f>
        <v>0</v>
      </c>
      <c r="I306" s="44"/>
    </row>
    <row r="307" spans="3:13" s="59" customFormat="1" ht="24.6" customHeight="1">
      <c r="C307" s="288" t="s">
        <v>1218</v>
      </c>
      <c r="D307" s="76" t="s">
        <v>1219</v>
      </c>
      <c r="E307" s="77"/>
      <c r="F307" s="77"/>
      <c r="G307" s="78"/>
      <c r="H307" s="585">
        <f>H306+H304+H299</f>
        <v>1027195.1619375</v>
      </c>
      <c r="I307" s="369"/>
    </row>
    <row r="308" spans="3:13" s="59" customFormat="1" ht="24.6" customHeight="1">
      <c r="C308" s="288" t="s">
        <v>1220</v>
      </c>
      <c r="D308" s="76" t="s">
        <v>1321</v>
      </c>
      <c r="E308" s="77"/>
      <c r="F308" s="78"/>
      <c r="G308" s="80">
        <v>0.1</v>
      </c>
      <c r="H308" s="63">
        <f>H307*G308</f>
        <v>102719.51619375001</v>
      </c>
      <c r="I308" s="369"/>
    </row>
    <row r="309" spans="3:13" s="59" customFormat="1" ht="24.6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1129914.67813125</v>
      </c>
      <c r="I309" s="369"/>
    </row>
    <row r="311" spans="3:13" s="59" customFormat="1" ht="18.75" customHeight="1">
      <c r="C311" s="46" t="s">
        <v>4451</v>
      </c>
      <c r="D311" s="794" t="s">
        <v>4450</v>
      </c>
      <c r="E311" s="794"/>
      <c r="F311" s="794"/>
      <c r="G311" s="794"/>
      <c r="H311" s="794"/>
      <c r="I311" s="50">
        <f>ROUNDDOWN(H330,-2)</f>
        <v>1209000</v>
      </c>
    </row>
    <row r="312" spans="3:13" s="59" customFormat="1" ht="33" customHeight="1">
      <c r="C312" s="591" t="s">
        <v>1195</v>
      </c>
      <c r="D312" s="591" t="s">
        <v>1196</v>
      </c>
      <c r="E312" s="591" t="s">
        <v>1197</v>
      </c>
      <c r="F312" s="591" t="s">
        <v>1198</v>
      </c>
      <c r="G312" s="591" t="s">
        <v>1199</v>
      </c>
      <c r="H312" s="591" t="s">
        <v>1200</v>
      </c>
      <c r="I312" s="44"/>
    </row>
    <row r="313" spans="3:13" s="59" customFormat="1" ht="24.6" customHeight="1">
      <c r="C313" s="61" t="s">
        <v>1201</v>
      </c>
      <c r="D313" s="56" t="s">
        <v>1202</v>
      </c>
      <c r="E313" s="57"/>
      <c r="F313" s="57"/>
      <c r="G313" s="57"/>
      <c r="H313" s="57"/>
      <c r="I313" s="44"/>
      <c r="J313" s="152" t="s">
        <v>1247</v>
      </c>
    </row>
    <row r="314" spans="3:13" s="59" customFormat="1" ht="24.6" customHeight="1">
      <c r="C314" s="588">
        <v>1</v>
      </c>
      <c r="D314" s="56" t="s">
        <v>5</v>
      </c>
      <c r="E314" s="577" t="s">
        <v>6</v>
      </c>
      <c r="F314" s="101">
        <v>0.44</v>
      </c>
      <c r="G314" s="63">
        <f>VLOOKUP(D314,upahbahan,3,FALSE)</f>
        <v>100000</v>
      </c>
      <c r="H314" s="63">
        <f>F314*G314</f>
        <v>44000</v>
      </c>
      <c r="I314" s="44"/>
      <c r="J314" s="152" t="s">
        <v>1248</v>
      </c>
      <c r="M314" s="65">
        <v>0.1</v>
      </c>
    </row>
    <row r="315" spans="3:13" s="59" customFormat="1" ht="24.6" customHeight="1">
      <c r="C315" s="588">
        <v>2</v>
      </c>
      <c r="D315" s="56" t="s">
        <v>7</v>
      </c>
      <c r="E315" s="577" t="s">
        <v>6</v>
      </c>
      <c r="F315" s="101">
        <v>0.11</v>
      </c>
      <c r="G315" s="63">
        <f>VLOOKUP(D315,upahbahan,3,FALSE)</f>
        <v>135000</v>
      </c>
      <c r="H315" s="63">
        <f>F315*G315</f>
        <v>14850</v>
      </c>
      <c r="I315" s="44"/>
    </row>
    <row r="316" spans="3:13" s="59" customFormat="1" ht="24.6" customHeight="1">
      <c r="C316" s="588"/>
      <c r="D316" s="56" t="s">
        <v>1310</v>
      </c>
      <c r="E316" s="577" t="s">
        <v>2102</v>
      </c>
      <c r="F316" s="101">
        <v>1.0999999999999999E-2</v>
      </c>
      <c r="G316" s="63">
        <f>VLOOKUP(D316,upahbahan,3,FALSE)</f>
        <v>150000</v>
      </c>
      <c r="H316" s="63">
        <f>F316*G316</f>
        <v>1650</v>
      </c>
      <c r="I316" s="44"/>
    </row>
    <row r="317" spans="3:13" s="59" customFormat="1" ht="24.6" customHeight="1">
      <c r="C317" s="588">
        <v>4</v>
      </c>
      <c r="D317" s="56" t="s">
        <v>19</v>
      </c>
      <c r="E317" s="577" t="s">
        <v>6</v>
      </c>
      <c r="F317" s="101">
        <v>4.3999999999999997E-2</v>
      </c>
      <c r="G317" s="63">
        <f>VLOOKUP(D317,upahbahan,3,FALSE)</f>
        <v>160000</v>
      </c>
      <c r="H317" s="63">
        <f>F317*G317</f>
        <v>7040</v>
      </c>
      <c r="I317" s="44"/>
    </row>
    <row r="318" spans="3:13" s="59" customFormat="1" ht="24.6" customHeight="1">
      <c r="C318" s="450" t="s">
        <v>1208</v>
      </c>
      <c r="D318" s="67"/>
      <c r="E318" s="67"/>
      <c r="F318" s="142"/>
      <c r="G318" s="153"/>
      <c r="H318" s="63">
        <f>SUM(H314:H317)</f>
        <v>67540</v>
      </c>
      <c r="I318" s="154"/>
    </row>
    <row r="319" spans="3:13" s="59" customFormat="1" ht="24.6" customHeight="1">
      <c r="C319" s="61" t="s">
        <v>1209</v>
      </c>
      <c r="D319" s="56" t="s">
        <v>1210</v>
      </c>
      <c r="E319" s="57"/>
      <c r="F319" s="57"/>
      <c r="G319" s="57"/>
      <c r="H319" s="57"/>
      <c r="I319" s="44"/>
    </row>
    <row r="320" spans="3:13" s="59" customFormat="1" ht="24.6" customHeight="1">
      <c r="C320" s="61">
        <v>1</v>
      </c>
      <c r="D320" s="56" t="s">
        <v>531</v>
      </c>
      <c r="E320" s="93" t="s">
        <v>4449</v>
      </c>
      <c r="F320" s="103">
        <v>1.02</v>
      </c>
      <c r="G320" s="63">
        <f>VLOOKUP(D320,upahbahan,3,FALSE)</f>
        <v>788100</v>
      </c>
      <c r="H320" s="63">
        <f>F320*G320</f>
        <v>803862</v>
      </c>
      <c r="I320" s="44"/>
    </row>
    <row r="321" spans="3:13" s="59" customFormat="1" ht="24.6" customHeight="1">
      <c r="C321" s="61">
        <v>2</v>
      </c>
      <c r="D321" s="56" t="s">
        <v>1793</v>
      </c>
      <c r="E321" s="93" t="s">
        <v>42</v>
      </c>
      <c r="F321" s="103">
        <v>5.1299999999999998E-2</v>
      </c>
      <c r="G321" s="63">
        <f>VLOOKUP(D321,upahbahan,3,FALSE)</f>
        <v>3015000</v>
      </c>
      <c r="H321" s="63">
        <f>F321*G321</f>
        <v>154669.5</v>
      </c>
      <c r="I321" s="44"/>
    </row>
    <row r="322" spans="3:13" s="59" customFormat="1" ht="24.6" customHeight="1">
      <c r="C322" s="61">
        <v>3</v>
      </c>
      <c r="D322" s="56" t="s">
        <v>130</v>
      </c>
      <c r="E322" s="93" t="s">
        <v>129</v>
      </c>
      <c r="F322" s="103">
        <v>0.25459999999999999</v>
      </c>
      <c r="G322" s="63">
        <f>VLOOKUP(D322,upahbahan,3,FALSE)</f>
        <v>0</v>
      </c>
      <c r="H322" s="63">
        <f>F322*G322</f>
        <v>0</v>
      </c>
      <c r="I322" s="44"/>
    </row>
    <row r="323" spans="3:13" s="59" customFormat="1" ht="24.6" customHeight="1">
      <c r="C323" s="61">
        <v>4</v>
      </c>
      <c r="D323" s="56" t="s">
        <v>261</v>
      </c>
      <c r="E323" s="93" t="s">
        <v>2426</v>
      </c>
      <c r="F323" s="103">
        <v>0.1237</v>
      </c>
      <c r="G323" s="63">
        <f>VLOOKUP(D323,upahbahan,3,FALSE)</f>
        <v>33901.875</v>
      </c>
      <c r="H323" s="63">
        <f>F323*G323</f>
        <v>4193.6619375</v>
      </c>
      <c r="I323" s="44"/>
    </row>
    <row r="324" spans="3:13" s="59" customFormat="1" ht="24.6" customHeight="1">
      <c r="C324" s="450" t="s">
        <v>1214</v>
      </c>
      <c r="D324" s="67"/>
      <c r="E324" s="67"/>
      <c r="F324" s="67"/>
      <c r="G324" s="69"/>
      <c r="H324" s="63">
        <f>SUM(H320:H323)</f>
        <v>962725.1619375</v>
      </c>
      <c r="I324" s="44"/>
    </row>
    <row r="325" spans="3:13" s="59" customFormat="1" ht="24.6" customHeight="1">
      <c r="C325" s="61" t="s">
        <v>1215</v>
      </c>
      <c r="D325" s="56" t="s">
        <v>1216</v>
      </c>
      <c r="E325" s="57"/>
      <c r="F325" s="57"/>
      <c r="G325" s="57"/>
      <c r="H325" s="57"/>
      <c r="I325" s="44"/>
    </row>
    <row r="326" spans="3:13" s="59" customFormat="1" ht="24.6" customHeight="1">
      <c r="C326" s="800">
        <v>1</v>
      </c>
      <c r="D326" s="56" t="s">
        <v>1095</v>
      </c>
      <c r="E326" s="93" t="s">
        <v>1974</v>
      </c>
      <c r="F326" s="94">
        <v>8.6099999999999996E-2</v>
      </c>
      <c r="G326" s="63">
        <f>VLOOKUP(D326,upahbahan,3,FALSE)</f>
        <v>800000</v>
      </c>
      <c r="H326" s="63">
        <f>F326*G326</f>
        <v>68880</v>
      </c>
      <c r="I326" s="44"/>
    </row>
    <row r="327" spans="3:13" s="59" customFormat="1" ht="24.6" customHeight="1">
      <c r="C327" s="450" t="s">
        <v>1217</v>
      </c>
      <c r="D327" s="67"/>
      <c r="E327" s="67"/>
      <c r="F327" s="67"/>
      <c r="G327" s="69"/>
      <c r="H327" s="882">
        <f>SUM(H325:H326)</f>
        <v>68880</v>
      </c>
      <c r="I327" s="44"/>
    </row>
    <row r="328" spans="3:13" s="59" customFormat="1" ht="24.6" customHeight="1">
      <c r="C328" s="288" t="s">
        <v>1218</v>
      </c>
      <c r="D328" s="76" t="s">
        <v>1219</v>
      </c>
      <c r="E328" s="77"/>
      <c r="F328" s="77"/>
      <c r="G328" s="78"/>
      <c r="H328" s="585">
        <f>H327+H324+H318</f>
        <v>1099145.1619374999</v>
      </c>
      <c r="I328" s="369"/>
    </row>
    <row r="329" spans="3:13" s="59" customFormat="1" ht="24.6" customHeight="1">
      <c r="C329" s="288" t="s">
        <v>1220</v>
      </c>
      <c r="D329" s="76" t="s">
        <v>1321</v>
      </c>
      <c r="E329" s="77"/>
      <c r="F329" s="78"/>
      <c r="G329" s="80">
        <v>0.1</v>
      </c>
      <c r="H329" s="63">
        <f>H328*G329</f>
        <v>109914.51619374999</v>
      </c>
      <c r="I329" s="369"/>
    </row>
    <row r="330" spans="3:13" s="59" customFormat="1" ht="24.6" customHeight="1">
      <c r="C330" s="288" t="s">
        <v>1221</v>
      </c>
      <c r="D330" s="76" t="s">
        <v>1222</v>
      </c>
      <c r="E330" s="77"/>
      <c r="F330" s="77"/>
      <c r="G330" s="78"/>
      <c r="H330" s="799">
        <f>SUM(H328:H329)</f>
        <v>1209059.67813125</v>
      </c>
      <c r="I330" s="369"/>
    </row>
    <row r="332" spans="3:13" ht="13.8">
      <c r="C332" s="43" t="s">
        <v>4452</v>
      </c>
      <c r="D332" s="128" t="s">
        <v>4453</v>
      </c>
    </row>
    <row r="333" spans="3:13" s="59" customFormat="1" ht="18.75" customHeight="1">
      <c r="C333" s="46" t="s">
        <v>4454</v>
      </c>
      <c r="D333" s="794" t="s">
        <v>4455</v>
      </c>
      <c r="E333" s="794"/>
      <c r="F333" s="794"/>
      <c r="G333" s="794"/>
      <c r="H333" s="794"/>
      <c r="I333" s="50">
        <f>ROUNDDOWN(H362,-2)</f>
        <v>1716100</v>
      </c>
    </row>
    <row r="334" spans="3:13" s="59" customFormat="1" ht="33" customHeight="1">
      <c r="C334" s="591" t="s">
        <v>1195</v>
      </c>
      <c r="D334" s="591" t="s">
        <v>1196</v>
      </c>
      <c r="E334" s="591" t="s">
        <v>1197</v>
      </c>
      <c r="F334" s="591" t="s">
        <v>1198</v>
      </c>
      <c r="G334" s="591" t="s">
        <v>1199</v>
      </c>
      <c r="H334" s="591" t="s">
        <v>1200</v>
      </c>
      <c r="I334" s="44"/>
    </row>
    <row r="335" spans="3:13" s="59" customFormat="1" ht="24.6" customHeight="1">
      <c r="C335" s="61" t="s">
        <v>1201</v>
      </c>
      <c r="D335" s="56" t="s">
        <v>1202</v>
      </c>
      <c r="E335" s="57"/>
      <c r="F335" s="57"/>
      <c r="G335" s="57"/>
      <c r="H335" s="57"/>
      <c r="I335" s="44"/>
      <c r="J335" s="152" t="s">
        <v>1247</v>
      </c>
    </row>
    <row r="336" spans="3:13" s="59" customFormat="1" ht="24.6" customHeight="1">
      <c r="C336" s="588">
        <v>1</v>
      </c>
      <c r="D336" s="56" t="s">
        <v>5</v>
      </c>
      <c r="E336" s="577" t="s">
        <v>6</v>
      </c>
      <c r="F336" s="101">
        <v>1.23</v>
      </c>
      <c r="G336" s="63">
        <f>VLOOKUP(D336,upahbahan,3,FALSE)</f>
        <v>100000</v>
      </c>
      <c r="H336" s="63">
        <f>F336*G336</f>
        <v>123000</v>
      </c>
      <c r="I336" s="44"/>
      <c r="J336" s="152" t="s">
        <v>1248</v>
      </c>
      <c r="M336" s="65">
        <v>0.1</v>
      </c>
    </row>
    <row r="337" spans="3:9" s="59" customFormat="1" ht="24.6" customHeight="1">
      <c r="C337" s="588">
        <v>2</v>
      </c>
      <c r="D337" s="56" t="s">
        <v>7</v>
      </c>
      <c r="E337" s="577" t="s">
        <v>6</v>
      </c>
      <c r="F337" s="101">
        <v>0.28749999999999998</v>
      </c>
      <c r="G337" s="63">
        <f>VLOOKUP(D337,upahbahan,3,FALSE)</f>
        <v>135000</v>
      </c>
      <c r="H337" s="63">
        <f>F337*G337</f>
        <v>38812.5</v>
      </c>
      <c r="I337" s="44"/>
    </row>
    <row r="338" spans="3:9" s="59" customFormat="1" ht="24.6" customHeight="1">
      <c r="C338" s="588"/>
      <c r="D338" s="56" t="s">
        <v>1310</v>
      </c>
      <c r="E338" s="577" t="s">
        <v>2102</v>
      </c>
      <c r="F338" s="101">
        <v>2.8799999999999999E-2</v>
      </c>
      <c r="G338" s="63">
        <f>VLOOKUP(D338,upahbahan,3,FALSE)</f>
        <v>150000</v>
      </c>
      <c r="H338" s="63">
        <f>F338*G338</f>
        <v>4320</v>
      </c>
      <c r="I338" s="44"/>
    </row>
    <row r="339" spans="3:9" s="59" customFormat="1" ht="24.6" customHeight="1">
      <c r="C339" s="588">
        <v>4</v>
      </c>
      <c r="D339" s="56" t="s">
        <v>19</v>
      </c>
      <c r="E339" s="577" t="s">
        <v>6</v>
      </c>
      <c r="F339" s="101">
        <v>0.123</v>
      </c>
      <c r="G339" s="63">
        <f>VLOOKUP(D339,upahbahan,3,FALSE)</f>
        <v>160000</v>
      </c>
      <c r="H339" s="63">
        <f>F339*G339</f>
        <v>19680</v>
      </c>
      <c r="I339" s="44"/>
    </row>
    <row r="340" spans="3:9" s="59" customFormat="1" ht="24.6" customHeight="1">
      <c r="C340" s="450" t="s">
        <v>1208</v>
      </c>
      <c r="D340" s="67"/>
      <c r="E340" s="67"/>
      <c r="F340" s="142"/>
      <c r="G340" s="153"/>
      <c r="H340" s="63">
        <f>SUM(H336:H339)</f>
        <v>185812.5</v>
      </c>
      <c r="I340" s="154"/>
    </row>
    <row r="341" spans="3:9" s="59" customFormat="1" ht="24.6" customHeight="1">
      <c r="C341" s="61" t="s">
        <v>1209</v>
      </c>
      <c r="D341" s="56" t="s">
        <v>1210</v>
      </c>
      <c r="E341" s="57"/>
      <c r="F341" s="57"/>
      <c r="G341" s="57"/>
      <c r="H341" s="57"/>
      <c r="I341" s="44"/>
    </row>
    <row r="342" spans="3:9" s="59" customFormat="1" ht="24.6" customHeight="1">
      <c r="C342" s="61">
        <v>1</v>
      </c>
      <c r="D342" s="56" t="s">
        <v>4456</v>
      </c>
      <c r="E342" s="93" t="s">
        <v>2426</v>
      </c>
      <c r="F342" s="103">
        <v>383</v>
      </c>
      <c r="G342" s="63">
        <f t="shared" ref="G342:G352" si="4">VLOOKUP(D342,upahbahan,3,FALSE)</f>
        <v>1530</v>
      </c>
      <c r="H342" s="63">
        <f t="shared" ref="H342:H352" si="5">F342*G342</f>
        <v>585990</v>
      </c>
      <c r="I342" s="44"/>
    </row>
    <row r="343" spans="3:9" s="59" customFormat="1" ht="24.6" customHeight="1">
      <c r="C343" s="61">
        <v>2</v>
      </c>
      <c r="D343" s="56" t="s">
        <v>1797</v>
      </c>
      <c r="E343" s="93" t="s">
        <v>4457</v>
      </c>
      <c r="F343" s="103">
        <v>764</v>
      </c>
      <c r="G343" s="63">
        <f t="shared" si="4"/>
        <v>221.78700000000001</v>
      </c>
      <c r="H343" s="63">
        <f t="shared" si="5"/>
        <v>169445.26800000001</v>
      </c>
      <c r="I343" s="44"/>
    </row>
    <row r="344" spans="3:9" s="59" customFormat="1" ht="24.6" customHeight="1">
      <c r="C344" s="61">
        <v>3</v>
      </c>
      <c r="D344" s="56" t="s">
        <v>4443</v>
      </c>
      <c r="E344" s="93" t="s">
        <v>2426</v>
      </c>
      <c r="F344" s="103">
        <v>934</v>
      </c>
      <c r="G344" s="63">
        <f t="shared" si="4"/>
        <v>226.47058823529412</v>
      </c>
      <c r="H344" s="63">
        <f t="shared" si="5"/>
        <v>211523.5294117647</v>
      </c>
      <c r="I344" s="44"/>
    </row>
    <row r="345" spans="3:9" s="59" customFormat="1" ht="24.6" customHeight="1">
      <c r="C345" s="61">
        <v>4</v>
      </c>
      <c r="D345" s="56" t="s">
        <v>960</v>
      </c>
      <c r="E345" s="93" t="s">
        <v>2469</v>
      </c>
      <c r="F345" s="103">
        <v>195</v>
      </c>
      <c r="G345" s="63">
        <f t="shared" si="4"/>
        <v>200</v>
      </c>
      <c r="H345" s="63">
        <f t="shared" si="5"/>
        <v>39000</v>
      </c>
      <c r="I345" s="44"/>
    </row>
    <row r="346" spans="3:9" s="59" customFormat="1" ht="24.6" customHeight="1">
      <c r="C346" s="61">
        <v>5</v>
      </c>
      <c r="D346" s="56" t="s">
        <v>1793</v>
      </c>
      <c r="E346" s="93" t="s">
        <v>42</v>
      </c>
      <c r="F346" s="103">
        <v>3.2399999999999998E-2</v>
      </c>
      <c r="G346" s="63">
        <f t="shared" si="4"/>
        <v>3015000</v>
      </c>
      <c r="H346" s="63">
        <f t="shared" si="5"/>
        <v>97686</v>
      </c>
      <c r="I346" s="44"/>
    </row>
    <row r="347" spans="3:9" s="59" customFormat="1" ht="24.6" customHeight="1">
      <c r="C347" s="61">
        <v>6</v>
      </c>
      <c r="D347" s="56" t="s">
        <v>130</v>
      </c>
      <c r="E347" s="93" t="s">
        <v>129</v>
      </c>
      <c r="F347" s="103">
        <v>0.25459999999999999</v>
      </c>
      <c r="G347" s="63">
        <f t="shared" si="4"/>
        <v>0</v>
      </c>
      <c r="H347" s="63">
        <f t="shared" si="5"/>
        <v>0</v>
      </c>
      <c r="I347" s="44"/>
    </row>
    <row r="348" spans="3:9" s="59" customFormat="1" ht="24.6" customHeight="1">
      <c r="C348" s="61">
        <v>7</v>
      </c>
      <c r="D348" s="56" t="s">
        <v>261</v>
      </c>
      <c r="E348" s="93" t="s">
        <v>2426</v>
      </c>
      <c r="F348" s="103">
        <v>0.14860000000000001</v>
      </c>
      <c r="G348" s="63">
        <f t="shared" si="4"/>
        <v>33901.875</v>
      </c>
      <c r="H348" s="63">
        <f t="shared" si="5"/>
        <v>5037.8186249999999</v>
      </c>
      <c r="I348" s="44"/>
    </row>
    <row r="349" spans="3:9" s="59" customFormat="1" ht="24.6" customHeight="1">
      <c r="C349" s="61">
        <v>8</v>
      </c>
      <c r="D349" s="56" t="s">
        <v>4458</v>
      </c>
      <c r="E349" s="93" t="s">
        <v>2426</v>
      </c>
      <c r="F349" s="103">
        <v>0.625</v>
      </c>
      <c r="G349" s="63">
        <f t="shared" si="4"/>
        <v>22000</v>
      </c>
      <c r="H349" s="63">
        <f t="shared" si="5"/>
        <v>13750</v>
      </c>
      <c r="I349" s="44"/>
    </row>
    <row r="350" spans="3:9" s="59" customFormat="1" ht="24.6" customHeight="1">
      <c r="C350" s="61">
        <v>9</v>
      </c>
      <c r="D350" s="56" t="s">
        <v>4459</v>
      </c>
      <c r="E350" s="93" t="s">
        <v>2469</v>
      </c>
      <c r="F350" s="103">
        <v>1.3332999999999999</v>
      </c>
      <c r="G350" s="63">
        <f t="shared" si="4"/>
        <v>44100</v>
      </c>
      <c r="H350" s="63">
        <f t="shared" si="5"/>
        <v>58798.53</v>
      </c>
      <c r="I350" s="44"/>
    </row>
    <row r="351" spans="3:9" s="59" customFormat="1" ht="24.6" customHeight="1">
      <c r="C351" s="61">
        <v>10</v>
      </c>
      <c r="D351" s="56" t="s">
        <v>4461</v>
      </c>
      <c r="E351" s="93" t="s">
        <v>2426</v>
      </c>
      <c r="F351" s="103">
        <v>0.55559999999999998</v>
      </c>
      <c r="G351" s="63">
        <f t="shared" si="4"/>
        <v>46000</v>
      </c>
      <c r="H351" s="63">
        <f t="shared" si="5"/>
        <v>25557.599999999999</v>
      </c>
      <c r="I351" s="44"/>
    </row>
    <row r="352" spans="3:9" s="59" customFormat="1" ht="24.6" customHeight="1">
      <c r="C352" s="61">
        <v>11</v>
      </c>
      <c r="D352" s="56" t="s">
        <v>4462</v>
      </c>
      <c r="E352" s="93" t="s">
        <v>2426</v>
      </c>
      <c r="F352" s="103">
        <v>1.2</v>
      </c>
      <c r="G352" s="63">
        <f t="shared" si="4"/>
        <v>25000</v>
      </c>
      <c r="H352" s="63">
        <f t="shared" si="5"/>
        <v>30000</v>
      </c>
      <c r="I352" s="44"/>
    </row>
    <row r="353" spans="3:13" s="59" customFormat="1" ht="24.6" customHeight="1">
      <c r="C353" s="450" t="s">
        <v>1214</v>
      </c>
      <c r="D353" s="67"/>
      <c r="E353" s="67"/>
      <c r="F353" s="67"/>
      <c r="G353" s="69"/>
      <c r="H353" s="63">
        <f>SUM(H342:H352)</f>
        <v>1236788.7460367649</v>
      </c>
      <c r="I353" s="44"/>
    </row>
    <row r="354" spans="3:13" s="59" customFormat="1" ht="24.6" customHeight="1">
      <c r="C354" s="61" t="s">
        <v>1215</v>
      </c>
      <c r="D354" s="56" t="s">
        <v>1216</v>
      </c>
      <c r="E354" s="93"/>
      <c r="F354" s="57"/>
      <c r="G354" s="57"/>
      <c r="H354" s="57"/>
      <c r="I354" s="44"/>
    </row>
    <row r="355" spans="3:13" s="59" customFormat="1" ht="24.6" customHeight="1">
      <c r="C355" s="800">
        <v>1</v>
      </c>
      <c r="D355" s="56" t="s">
        <v>1167</v>
      </c>
      <c r="E355" s="93" t="s">
        <v>1974</v>
      </c>
      <c r="F355" s="94">
        <v>0.14749999999999999</v>
      </c>
      <c r="G355" s="63">
        <f>VLOOKUP(D355,upahbahan,3,FALSE)</f>
        <v>300000</v>
      </c>
      <c r="H355" s="63">
        <f>F355*G355</f>
        <v>44250</v>
      </c>
      <c r="I355" s="44"/>
    </row>
    <row r="356" spans="3:13" s="59" customFormat="1" ht="24.6" customHeight="1">
      <c r="C356" s="800">
        <v>2</v>
      </c>
      <c r="D356" s="56" t="s">
        <v>4460</v>
      </c>
      <c r="E356" s="93" t="s">
        <v>1974</v>
      </c>
      <c r="F356" s="94">
        <v>0.75680000000000003</v>
      </c>
      <c r="G356" s="63">
        <f>VLOOKUP(D356,upahbahan,3,FALSE)</f>
        <v>25000</v>
      </c>
      <c r="H356" s="63">
        <f>F356*G356</f>
        <v>18920</v>
      </c>
      <c r="I356" s="44"/>
    </row>
    <row r="357" spans="3:13" s="59" customFormat="1" ht="24.6" customHeight="1">
      <c r="C357" s="800">
        <v>3</v>
      </c>
      <c r="D357" s="56" t="s">
        <v>1095</v>
      </c>
      <c r="E357" s="93" t="s">
        <v>1974</v>
      </c>
      <c r="F357" s="94">
        <v>8.6099999999999996E-2</v>
      </c>
      <c r="G357" s="63">
        <f>VLOOKUP(D357,upahbahan,3,FALSE)</f>
        <v>800000</v>
      </c>
      <c r="H357" s="63">
        <f>F357*G357</f>
        <v>68880</v>
      </c>
      <c r="I357" s="44"/>
    </row>
    <row r="358" spans="3:13" s="59" customFormat="1" ht="24.6" customHeight="1">
      <c r="C358" s="800">
        <v>4</v>
      </c>
      <c r="D358" s="56" t="s">
        <v>1098</v>
      </c>
      <c r="E358" s="93" t="s">
        <v>1974</v>
      </c>
      <c r="F358" s="94">
        <v>6.7999999999999996E-3</v>
      </c>
      <c r="G358" s="63">
        <f>VLOOKUP(D358,upahbahan,3,FALSE)</f>
        <v>800000</v>
      </c>
      <c r="H358" s="63">
        <f>F358*G358</f>
        <v>5440</v>
      </c>
      <c r="I358" s="44"/>
    </row>
    <row r="359" spans="3:13" s="59" customFormat="1" ht="24.6" customHeight="1">
      <c r="C359" s="450" t="s">
        <v>1217</v>
      </c>
      <c r="D359" s="67"/>
      <c r="E359" s="67"/>
      <c r="F359" s="67"/>
      <c r="G359" s="69"/>
      <c r="H359" s="882">
        <f>SUM(H354:H358)</f>
        <v>137490</v>
      </c>
      <c r="I359" s="44"/>
    </row>
    <row r="360" spans="3:13" s="59" customFormat="1" ht="24.6" customHeight="1">
      <c r="C360" s="288" t="s">
        <v>1218</v>
      </c>
      <c r="D360" s="76" t="s">
        <v>1219</v>
      </c>
      <c r="E360" s="77"/>
      <c r="F360" s="77"/>
      <c r="G360" s="78"/>
      <c r="H360" s="585">
        <f>H359+H353+H340</f>
        <v>1560091.2460367649</v>
      </c>
      <c r="I360" s="369"/>
    </row>
    <row r="361" spans="3:13" s="59" customFormat="1" ht="24.6" customHeight="1">
      <c r="C361" s="288" t="s">
        <v>1220</v>
      </c>
      <c r="D361" s="76" t="s">
        <v>1321</v>
      </c>
      <c r="E361" s="77"/>
      <c r="F361" s="78"/>
      <c r="G361" s="80">
        <v>0.1</v>
      </c>
      <c r="H361" s="63">
        <f>H360*G361</f>
        <v>156009.12460367649</v>
      </c>
      <c r="I361" s="369"/>
    </row>
    <row r="362" spans="3:13" s="59" customFormat="1" ht="24.6" customHeight="1">
      <c r="C362" s="288" t="s">
        <v>1221</v>
      </c>
      <c r="D362" s="76" t="s">
        <v>1222</v>
      </c>
      <c r="E362" s="77"/>
      <c r="F362" s="77"/>
      <c r="G362" s="78"/>
      <c r="H362" s="799">
        <f>SUM(H360:H361)</f>
        <v>1716100.3706404413</v>
      </c>
      <c r="I362" s="369"/>
    </row>
    <row r="365" spans="3:13" s="59" customFormat="1" ht="20.25" customHeight="1">
      <c r="C365" s="46" t="s">
        <v>4463</v>
      </c>
      <c r="D365" s="794" t="s">
        <v>4464</v>
      </c>
      <c r="E365" s="794"/>
      <c r="F365" s="794"/>
      <c r="G365" s="794"/>
      <c r="H365" s="794"/>
      <c r="I365" s="50">
        <f>ROUNDDOWN(H396,-2)</f>
        <v>2533300</v>
      </c>
    </row>
    <row r="366" spans="3:13" s="59" customFormat="1" ht="33" customHeight="1">
      <c r="C366" s="591" t="s">
        <v>1195</v>
      </c>
      <c r="D366" s="591" t="s">
        <v>1196</v>
      </c>
      <c r="E366" s="591" t="s">
        <v>1197</v>
      </c>
      <c r="F366" s="591" t="s">
        <v>1198</v>
      </c>
      <c r="G366" s="591" t="s">
        <v>1199</v>
      </c>
      <c r="H366" s="591" t="s">
        <v>1200</v>
      </c>
      <c r="I366" s="44"/>
    </row>
    <row r="367" spans="3:13" s="59" customFormat="1" ht="24.6" customHeight="1">
      <c r="C367" s="61" t="s">
        <v>1201</v>
      </c>
      <c r="D367" s="56" t="s">
        <v>1202</v>
      </c>
      <c r="E367" s="57"/>
      <c r="F367" s="57"/>
      <c r="G367" s="57"/>
      <c r="H367" s="57"/>
      <c r="I367" s="44"/>
      <c r="J367" s="152" t="s">
        <v>1247</v>
      </c>
    </row>
    <row r="368" spans="3:13" s="59" customFormat="1" ht="24.6" customHeight="1">
      <c r="C368" s="588">
        <v>1</v>
      </c>
      <c r="D368" s="56" t="s">
        <v>5</v>
      </c>
      <c r="E368" s="577" t="s">
        <v>6</v>
      </c>
      <c r="F368" s="101">
        <v>1.28</v>
      </c>
      <c r="G368" s="63">
        <f>VLOOKUP(D368,upahbahan,3,FALSE)</f>
        <v>100000</v>
      </c>
      <c r="H368" s="63">
        <f>F368*G368</f>
        <v>128000</v>
      </c>
      <c r="I368" s="44"/>
      <c r="J368" s="152" t="s">
        <v>1248</v>
      </c>
      <c r="M368" s="65">
        <v>0.1</v>
      </c>
    </row>
    <row r="369" spans="3:9" s="59" customFormat="1" ht="24.6" customHeight="1">
      <c r="C369" s="588">
        <v>2</v>
      </c>
      <c r="D369" s="56" t="s">
        <v>7</v>
      </c>
      <c r="E369" s="577" t="s">
        <v>6</v>
      </c>
      <c r="F369" s="101">
        <v>0.3</v>
      </c>
      <c r="G369" s="63">
        <f>VLOOKUP(D369,upahbahan,3,FALSE)</f>
        <v>135000</v>
      </c>
      <c r="H369" s="63">
        <f>F369*G369</f>
        <v>40500</v>
      </c>
      <c r="I369" s="44"/>
    </row>
    <row r="370" spans="3:9" s="59" customFormat="1" ht="24.6" customHeight="1">
      <c r="C370" s="588"/>
      <c r="D370" s="56" t="s">
        <v>1310</v>
      </c>
      <c r="E370" s="577" t="s">
        <v>2102</v>
      </c>
      <c r="F370" s="101">
        <v>0.03</v>
      </c>
      <c r="G370" s="63">
        <f>VLOOKUP(D370,upahbahan,3,FALSE)</f>
        <v>150000</v>
      </c>
      <c r="H370" s="63">
        <f>F370*G370</f>
        <v>4500</v>
      </c>
      <c r="I370" s="44"/>
    </row>
    <row r="371" spans="3:9" s="59" customFormat="1" ht="24.6" customHeight="1">
      <c r="C371" s="588">
        <v>4</v>
      </c>
      <c r="D371" s="56" t="s">
        <v>19</v>
      </c>
      <c r="E371" s="577" t="s">
        <v>6</v>
      </c>
      <c r="F371" s="101">
        <v>0.128</v>
      </c>
      <c r="G371" s="63">
        <f>VLOOKUP(D371,upahbahan,3,FALSE)</f>
        <v>160000</v>
      </c>
      <c r="H371" s="63">
        <f>F371*G371</f>
        <v>20480</v>
      </c>
      <c r="I371" s="44"/>
    </row>
    <row r="372" spans="3:9" s="59" customFormat="1" ht="24.6" customHeight="1">
      <c r="C372" s="450" t="s">
        <v>1208</v>
      </c>
      <c r="D372" s="67"/>
      <c r="E372" s="67"/>
      <c r="F372" s="142"/>
      <c r="G372" s="153"/>
      <c r="H372" s="63">
        <f>SUM(H368:H371)</f>
        <v>193480</v>
      </c>
      <c r="I372" s="154"/>
    </row>
    <row r="373" spans="3:9" s="59" customFormat="1" ht="24.6" customHeight="1">
      <c r="C373" s="61" t="s">
        <v>1209</v>
      </c>
      <c r="D373" s="56" t="s">
        <v>1210</v>
      </c>
      <c r="E373" s="57"/>
      <c r="F373" s="57"/>
      <c r="G373" s="57"/>
      <c r="H373" s="57"/>
      <c r="I373" s="44"/>
    </row>
    <row r="374" spans="3:9" s="59" customFormat="1" ht="24.6" customHeight="1">
      <c r="C374" s="61">
        <v>1</v>
      </c>
      <c r="D374" s="56" t="s">
        <v>4456</v>
      </c>
      <c r="E374" s="93" t="s">
        <v>2426</v>
      </c>
      <c r="F374" s="103">
        <v>428</v>
      </c>
      <c r="G374" s="63">
        <f t="shared" ref="G374:G386" si="6">VLOOKUP(D374,upahbahan,3,FALSE)</f>
        <v>1530</v>
      </c>
      <c r="H374" s="63">
        <f t="shared" ref="H374:H386" si="7">F374*G374</f>
        <v>654840</v>
      </c>
      <c r="I374" s="44"/>
    </row>
    <row r="375" spans="3:9" s="59" customFormat="1" ht="24.6" customHeight="1">
      <c r="C375" s="61">
        <v>2</v>
      </c>
      <c r="D375" s="56" t="s">
        <v>1797</v>
      </c>
      <c r="E375" s="93" t="s">
        <v>4457</v>
      </c>
      <c r="F375" s="103">
        <v>731</v>
      </c>
      <c r="G375" s="63">
        <f t="shared" si="6"/>
        <v>221.78700000000001</v>
      </c>
      <c r="H375" s="63">
        <f t="shared" si="7"/>
        <v>162126.29699999999</v>
      </c>
      <c r="I375" s="44"/>
    </row>
    <row r="376" spans="3:9" s="59" customFormat="1" ht="24.6" customHeight="1">
      <c r="C376" s="61">
        <v>3</v>
      </c>
      <c r="D376" s="56" t="s">
        <v>4443</v>
      </c>
      <c r="E376" s="93" t="s">
        <v>2426</v>
      </c>
      <c r="F376" s="103">
        <v>930</v>
      </c>
      <c r="G376" s="63">
        <f t="shared" si="6"/>
        <v>226.47058823529412</v>
      </c>
      <c r="H376" s="63">
        <f t="shared" si="7"/>
        <v>210617.64705882352</v>
      </c>
      <c r="I376" s="44"/>
    </row>
    <row r="377" spans="3:9" s="59" customFormat="1" ht="24.6" customHeight="1">
      <c r="C377" s="61">
        <v>4</v>
      </c>
      <c r="D377" s="56" t="s">
        <v>960</v>
      </c>
      <c r="E377" s="93" t="s">
        <v>2469</v>
      </c>
      <c r="F377" s="103">
        <v>195</v>
      </c>
      <c r="G377" s="63">
        <f t="shared" si="6"/>
        <v>200</v>
      </c>
      <c r="H377" s="63">
        <f t="shared" si="7"/>
        <v>39000</v>
      </c>
      <c r="I377" s="44"/>
    </row>
    <row r="378" spans="3:9" s="59" customFormat="1" ht="24.6" customHeight="1">
      <c r="C378" s="61">
        <v>5</v>
      </c>
      <c r="D378" s="56" t="s">
        <v>1793</v>
      </c>
      <c r="E378" s="93" t="s">
        <v>42</v>
      </c>
      <c r="F378" s="103">
        <v>2.52E-2</v>
      </c>
      <c r="G378" s="63">
        <f t="shared" si="6"/>
        <v>3015000</v>
      </c>
      <c r="H378" s="63">
        <f t="shared" si="7"/>
        <v>75978</v>
      </c>
      <c r="I378" s="44"/>
    </row>
    <row r="379" spans="3:9" s="59" customFormat="1" ht="24.6" customHeight="1">
      <c r="C379" s="61">
        <v>6</v>
      </c>
      <c r="D379" s="56" t="s">
        <v>130</v>
      </c>
      <c r="E379" s="93" t="s">
        <v>129</v>
      </c>
      <c r="F379" s="103">
        <v>0.25459999999999999</v>
      </c>
      <c r="G379" s="63">
        <f t="shared" si="6"/>
        <v>0</v>
      </c>
      <c r="H379" s="63">
        <f t="shared" si="7"/>
        <v>0</v>
      </c>
      <c r="I379" s="44"/>
    </row>
    <row r="380" spans="3:9" s="59" customFormat="1" ht="24.6" customHeight="1">
      <c r="C380" s="61">
        <v>7</v>
      </c>
      <c r="D380" s="56" t="s">
        <v>261</v>
      </c>
      <c r="E380" s="93" t="s">
        <v>2426</v>
      </c>
      <c r="F380" s="103">
        <v>0.1159</v>
      </c>
      <c r="G380" s="63">
        <f t="shared" si="6"/>
        <v>33901.875</v>
      </c>
      <c r="H380" s="63">
        <f t="shared" si="7"/>
        <v>3929.2273125000002</v>
      </c>
      <c r="I380" s="44"/>
    </row>
    <row r="381" spans="3:9" s="59" customFormat="1" ht="24.6" customHeight="1">
      <c r="C381" s="61">
        <v>8</v>
      </c>
      <c r="D381" s="56" t="s">
        <v>4458</v>
      </c>
      <c r="E381" s="93" t="s">
        <v>2426</v>
      </c>
      <c r="F381" s="103">
        <v>0.625</v>
      </c>
      <c r="G381" s="63">
        <f t="shared" si="6"/>
        <v>22000</v>
      </c>
      <c r="H381" s="63">
        <f t="shared" si="7"/>
        <v>13750</v>
      </c>
      <c r="I381" s="44"/>
    </row>
    <row r="382" spans="3:9" s="59" customFormat="1" ht="24.6" customHeight="1">
      <c r="C382" s="61">
        <v>9</v>
      </c>
      <c r="D382" s="56" t="s">
        <v>4459</v>
      </c>
      <c r="E382" s="93" t="s">
        <v>2469</v>
      </c>
      <c r="F382" s="103">
        <v>1</v>
      </c>
      <c r="G382" s="63">
        <f t="shared" si="6"/>
        <v>44100</v>
      </c>
      <c r="H382" s="63">
        <f t="shared" si="7"/>
        <v>44100</v>
      </c>
      <c r="I382" s="44"/>
    </row>
    <row r="383" spans="3:9" s="59" customFormat="1" ht="24.6" customHeight="1">
      <c r="C383" s="61">
        <v>10</v>
      </c>
      <c r="D383" s="56" t="s">
        <v>4461</v>
      </c>
      <c r="E383" s="93" t="s">
        <v>2426</v>
      </c>
      <c r="F383" s="103">
        <v>0.41670000000000001</v>
      </c>
      <c r="G383" s="63">
        <f t="shared" si="6"/>
        <v>46000</v>
      </c>
      <c r="H383" s="63">
        <f t="shared" si="7"/>
        <v>19168.2</v>
      </c>
      <c r="I383" s="44"/>
    </row>
    <row r="384" spans="3:9" s="59" customFormat="1" ht="24.6" customHeight="1">
      <c r="C384" s="61">
        <v>11</v>
      </c>
      <c r="D384" s="56" t="s">
        <v>4465</v>
      </c>
      <c r="E384" s="93" t="s">
        <v>2426</v>
      </c>
      <c r="F384" s="103">
        <v>38.7836</v>
      </c>
      <c r="G384" s="63">
        <f t="shared" si="6"/>
        <v>15367.965367965367</v>
      </c>
      <c r="H384" s="63">
        <f t="shared" si="7"/>
        <v>596025.02164502162</v>
      </c>
      <c r="I384" s="44"/>
    </row>
    <row r="385" spans="3:10" s="59" customFormat="1" ht="24.6" customHeight="1">
      <c r="C385" s="61">
        <v>12</v>
      </c>
      <c r="D385" s="56" t="s">
        <v>4466</v>
      </c>
      <c r="E385" s="93" t="s">
        <v>2426</v>
      </c>
      <c r="F385" s="103">
        <v>6.6289999999999996</v>
      </c>
      <c r="G385" s="63">
        <f t="shared" si="6"/>
        <v>17721.518987341773</v>
      </c>
      <c r="H385" s="63">
        <f t="shared" si="7"/>
        <v>117475.9493670886</v>
      </c>
      <c r="I385" s="44"/>
    </row>
    <row r="386" spans="3:10" s="59" customFormat="1" ht="24.6" customHeight="1">
      <c r="C386" s="61">
        <v>13</v>
      </c>
      <c r="D386" s="56" t="s">
        <v>4462</v>
      </c>
      <c r="E386" s="93" t="s">
        <v>2426</v>
      </c>
      <c r="F386" s="103">
        <v>1.2</v>
      </c>
      <c r="G386" s="63">
        <f t="shared" si="6"/>
        <v>25000</v>
      </c>
      <c r="H386" s="63">
        <f t="shared" si="7"/>
        <v>30000</v>
      </c>
      <c r="I386" s="44"/>
    </row>
    <row r="387" spans="3:10" s="59" customFormat="1" ht="24.6" customHeight="1">
      <c r="C387" s="450" t="s">
        <v>1214</v>
      </c>
      <c r="D387" s="67"/>
      <c r="E387" s="67"/>
      <c r="F387" s="67"/>
      <c r="G387" s="69"/>
      <c r="H387" s="63">
        <f>SUM(H374:H386)</f>
        <v>1967010.3423834334</v>
      </c>
      <c r="I387" s="44"/>
    </row>
    <row r="388" spans="3:10" s="59" customFormat="1" ht="24.6" customHeight="1">
      <c r="C388" s="61" t="s">
        <v>1215</v>
      </c>
      <c r="D388" s="56" t="s">
        <v>1216</v>
      </c>
      <c r="E388" s="93"/>
      <c r="F388" s="57"/>
      <c r="G388" s="57"/>
      <c r="H388" s="57"/>
      <c r="I388" s="44"/>
    </row>
    <row r="389" spans="3:10" s="59" customFormat="1" ht="24.6" customHeight="1">
      <c r="C389" s="800">
        <v>1</v>
      </c>
      <c r="D389" s="56" t="s">
        <v>1167</v>
      </c>
      <c r="E389" s="93" t="s">
        <v>1974</v>
      </c>
      <c r="F389" s="94">
        <v>0.14749999999999999</v>
      </c>
      <c r="G389" s="63">
        <f>VLOOKUP(D389,upahbahan,3,FALSE)</f>
        <v>300000</v>
      </c>
      <c r="H389" s="63">
        <f>F389*G389</f>
        <v>44250</v>
      </c>
      <c r="I389" s="44"/>
    </row>
    <row r="390" spans="3:10" s="59" customFormat="1" ht="24.6" customHeight="1">
      <c r="C390" s="800">
        <v>2</v>
      </c>
      <c r="D390" s="56" t="s">
        <v>4460</v>
      </c>
      <c r="E390" s="93" t="s">
        <v>1974</v>
      </c>
      <c r="F390" s="94">
        <v>0.94479999999999997</v>
      </c>
      <c r="G390" s="63">
        <f>VLOOKUP(D390,upahbahan,3,FALSE)</f>
        <v>25000</v>
      </c>
      <c r="H390" s="63">
        <f>F390*G390</f>
        <v>23620</v>
      </c>
      <c r="I390" s="44"/>
    </row>
    <row r="391" spans="3:10" s="59" customFormat="1" ht="24.6" customHeight="1">
      <c r="C391" s="800">
        <v>3</v>
      </c>
      <c r="D391" s="56" t="s">
        <v>1095</v>
      </c>
      <c r="E391" s="93" t="s">
        <v>1974</v>
      </c>
      <c r="F391" s="94">
        <v>8.6099999999999996E-2</v>
      </c>
      <c r="G391" s="63">
        <f>VLOOKUP(D391,upahbahan,3,FALSE)</f>
        <v>800000</v>
      </c>
      <c r="H391" s="63">
        <f>F391*G391</f>
        <v>68880</v>
      </c>
      <c r="I391" s="44"/>
    </row>
    <row r="392" spans="3:10" s="59" customFormat="1" ht="24.6" customHeight="1">
      <c r="C392" s="800">
        <v>4</v>
      </c>
      <c r="D392" s="56" t="s">
        <v>1098</v>
      </c>
      <c r="E392" s="93" t="s">
        <v>1974</v>
      </c>
      <c r="F392" s="94">
        <v>7.1999999999999998E-3</v>
      </c>
      <c r="G392" s="63">
        <f>VLOOKUP(D392,upahbahan,3,FALSE)</f>
        <v>800000</v>
      </c>
      <c r="H392" s="63">
        <f>F392*G392</f>
        <v>5760</v>
      </c>
      <c r="I392" s="44"/>
    </row>
    <row r="393" spans="3:10" s="59" customFormat="1" ht="24.6" customHeight="1">
      <c r="C393" s="450" t="s">
        <v>1217</v>
      </c>
      <c r="D393" s="67"/>
      <c r="E393" s="67"/>
      <c r="F393" s="67"/>
      <c r="G393" s="69"/>
      <c r="H393" s="882">
        <f>SUM(H388:H392)</f>
        <v>142510</v>
      </c>
      <c r="I393" s="44"/>
    </row>
    <row r="394" spans="3:10" s="59" customFormat="1" ht="24.6" customHeight="1">
      <c r="C394" s="288" t="s">
        <v>1218</v>
      </c>
      <c r="D394" s="76" t="s">
        <v>1219</v>
      </c>
      <c r="E394" s="77"/>
      <c r="F394" s="77"/>
      <c r="G394" s="78"/>
      <c r="H394" s="585">
        <f>H393+H387+H372</f>
        <v>2303000.3423834331</v>
      </c>
      <c r="I394" s="369"/>
    </row>
    <row r="395" spans="3:10" s="59" customFormat="1" ht="24.6" customHeight="1">
      <c r="C395" s="288" t="s">
        <v>1220</v>
      </c>
      <c r="D395" s="76" t="s">
        <v>1321</v>
      </c>
      <c r="E395" s="77"/>
      <c r="F395" s="78"/>
      <c r="G395" s="80">
        <v>0.1</v>
      </c>
      <c r="H395" s="63">
        <f>H394*G395</f>
        <v>230300.03423834333</v>
      </c>
      <c r="I395" s="369"/>
    </row>
    <row r="396" spans="3:10" s="59" customFormat="1" ht="24.6" customHeight="1">
      <c r="C396" s="288" t="s">
        <v>1221</v>
      </c>
      <c r="D396" s="76" t="s">
        <v>1222</v>
      </c>
      <c r="E396" s="77"/>
      <c r="F396" s="77"/>
      <c r="G396" s="78"/>
      <c r="H396" s="799">
        <f>SUM(H394:H395)</f>
        <v>2533300.3766217763</v>
      </c>
      <c r="I396" s="369"/>
    </row>
    <row r="398" spans="3:10" s="59" customFormat="1" ht="16.5" customHeight="1">
      <c r="C398" s="46" t="s">
        <v>4467</v>
      </c>
      <c r="D398" s="794" t="s">
        <v>4468</v>
      </c>
      <c r="E398" s="794"/>
      <c r="F398" s="794"/>
      <c r="G398" s="794"/>
      <c r="H398" s="794"/>
      <c r="I398" s="50">
        <f>ROUNDDOWN(H421,-2)</f>
        <v>1458800</v>
      </c>
    </row>
    <row r="399" spans="3:10" s="59" customFormat="1" ht="33" customHeight="1">
      <c r="C399" s="591" t="s">
        <v>1195</v>
      </c>
      <c r="D399" s="591" t="s">
        <v>1196</v>
      </c>
      <c r="E399" s="591" t="s">
        <v>1197</v>
      </c>
      <c r="F399" s="591" t="s">
        <v>1198</v>
      </c>
      <c r="G399" s="591" t="s">
        <v>1199</v>
      </c>
      <c r="H399" s="591" t="s">
        <v>1200</v>
      </c>
      <c r="I399" s="44"/>
    </row>
    <row r="400" spans="3:10" s="59" customFormat="1" ht="24.6" customHeight="1">
      <c r="C400" s="61" t="s">
        <v>1201</v>
      </c>
      <c r="D400" s="56" t="s">
        <v>1202</v>
      </c>
      <c r="E400" s="57"/>
      <c r="F400" s="57"/>
      <c r="G400" s="57"/>
      <c r="H400" s="57"/>
      <c r="I400" s="44"/>
      <c r="J400" s="152" t="s">
        <v>1247</v>
      </c>
    </row>
    <row r="401" spans="3:13" s="59" customFormat="1" ht="24.6" customHeight="1">
      <c r="C401" s="588">
        <v>1</v>
      </c>
      <c r="D401" s="56" t="s">
        <v>5</v>
      </c>
      <c r="E401" s="577" t="s">
        <v>6</v>
      </c>
      <c r="F401" s="101">
        <v>0.46</v>
      </c>
      <c r="G401" s="63">
        <f>VLOOKUP(D401,upahbahan,3,FALSE)</f>
        <v>100000</v>
      </c>
      <c r="H401" s="63">
        <f>F401*G401</f>
        <v>46000</v>
      </c>
      <c r="I401" s="44"/>
      <c r="J401" s="152" t="s">
        <v>1248</v>
      </c>
      <c r="M401" s="65">
        <v>0.1</v>
      </c>
    </row>
    <row r="402" spans="3:13" s="59" customFormat="1" ht="24.6" customHeight="1">
      <c r="C402" s="588">
        <v>2</v>
      </c>
      <c r="D402" s="56" t="s">
        <v>7</v>
      </c>
      <c r="E402" s="577" t="s">
        <v>6</v>
      </c>
      <c r="F402" s="101">
        <v>0.115</v>
      </c>
      <c r="G402" s="63">
        <f>VLOOKUP(D402,upahbahan,3,FALSE)</f>
        <v>135000</v>
      </c>
      <c r="H402" s="63">
        <f>F402*G402</f>
        <v>15525</v>
      </c>
      <c r="I402" s="44"/>
    </row>
    <row r="403" spans="3:13" s="59" customFormat="1" ht="24.6" customHeight="1">
      <c r="C403" s="588">
        <v>3</v>
      </c>
      <c r="D403" s="56" t="s">
        <v>1310</v>
      </c>
      <c r="E403" s="577" t="s">
        <v>2102</v>
      </c>
      <c r="F403" s="101">
        <v>1.15E-2</v>
      </c>
      <c r="G403" s="63">
        <f>VLOOKUP(D403,upahbahan,3,FALSE)</f>
        <v>150000</v>
      </c>
      <c r="H403" s="63">
        <f>F403*G403</f>
        <v>1725</v>
      </c>
      <c r="I403" s="44"/>
    </row>
    <row r="404" spans="3:13" s="59" customFormat="1" ht="24.6" customHeight="1">
      <c r="C404" s="588">
        <v>4</v>
      </c>
      <c r="D404" s="56" t="s">
        <v>19</v>
      </c>
      <c r="E404" s="577" t="s">
        <v>6</v>
      </c>
      <c r="F404" s="101">
        <v>4.5999999999999999E-2</v>
      </c>
      <c r="G404" s="63">
        <f>VLOOKUP(D404,upahbahan,3,FALSE)</f>
        <v>160000</v>
      </c>
      <c r="H404" s="63">
        <f>F404*G404</f>
        <v>7360</v>
      </c>
      <c r="I404" s="44"/>
    </row>
    <row r="405" spans="3:13" s="59" customFormat="1" ht="24.6" customHeight="1">
      <c r="C405" s="450" t="s">
        <v>1208</v>
      </c>
      <c r="D405" s="67"/>
      <c r="E405" s="67"/>
      <c r="F405" s="142"/>
      <c r="G405" s="153"/>
      <c r="H405" s="63">
        <f>SUM(H401:H404)</f>
        <v>70610</v>
      </c>
      <c r="I405" s="154"/>
    </row>
    <row r="406" spans="3:13" s="59" customFormat="1" ht="24.6" customHeight="1">
      <c r="C406" s="61" t="s">
        <v>1209</v>
      </c>
      <c r="D406" s="56" t="s">
        <v>1210</v>
      </c>
      <c r="E406" s="57"/>
      <c r="F406" s="57"/>
      <c r="G406" s="57"/>
      <c r="H406" s="57"/>
      <c r="I406" s="44"/>
    </row>
    <row r="407" spans="3:13" s="59" customFormat="1" ht="24.6" customHeight="1">
      <c r="C407" s="61">
        <v>1</v>
      </c>
      <c r="D407" s="56" t="s">
        <v>538</v>
      </c>
      <c r="E407" s="93" t="s">
        <v>42</v>
      </c>
      <c r="F407" s="103">
        <v>1.02</v>
      </c>
      <c r="G407" s="63">
        <f t="shared" ref="G407:G413" si="8">VLOOKUP(D407,upahbahan,3,FALSE)</f>
        <v>961200</v>
      </c>
      <c r="H407" s="63">
        <f t="shared" ref="H407:H413" si="9">F407*G407</f>
        <v>980424</v>
      </c>
      <c r="I407" s="44"/>
    </row>
    <row r="408" spans="3:13" s="59" customFormat="1" ht="24.6" customHeight="1">
      <c r="C408" s="61">
        <v>2</v>
      </c>
      <c r="D408" s="56" t="s">
        <v>1793</v>
      </c>
      <c r="E408" s="93" t="s">
        <v>42</v>
      </c>
      <c r="F408" s="103">
        <v>3.2399999999999998E-2</v>
      </c>
      <c r="G408" s="63">
        <f t="shared" si="8"/>
        <v>3015000</v>
      </c>
      <c r="H408" s="63">
        <f t="shared" si="9"/>
        <v>97686</v>
      </c>
      <c r="I408" s="44"/>
    </row>
    <row r="409" spans="3:13" s="59" customFormat="1" ht="24.6" customHeight="1">
      <c r="C409" s="61">
        <v>3</v>
      </c>
      <c r="D409" s="56" t="s">
        <v>130</v>
      </c>
      <c r="E409" s="93" t="s">
        <v>129</v>
      </c>
      <c r="F409" s="103">
        <v>0.25459999999999999</v>
      </c>
      <c r="G409" s="63">
        <f t="shared" si="8"/>
        <v>0</v>
      </c>
      <c r="H409" s="63">
        <f t="shared" si="9"/>
        <v>0</v>
      </c>
      <c r="I409" s="44"/>
    </row>
    <row r="410" spans="3:13" s="59" customFormat="1" ht="24.6" customHeight="1">
      <c r="C410" s="61">
        <v>4</v>
      </c>
      <c r="D410" s="56" t="s">
        <v>261</v>
      </c>
      <c r="E410" s="93" t="s">
        <v>2426</v>
      </c>
      <c r="F410" s="103">
        <v>0.14860000000000001</v>
      </c>
      <c r="G410" s="63">
        <f t="shared" si="8"/>
        <v>33901.875</v>
      </c>
      <c r="H410" s="63">
        <f t="shared" si="9"/>
        <v>5037.8186249999999</v>
      </c>
      <c r="I410" s="44"/>
    </row>
    <row r="411" spans="3:13" s="59" customFormat="1" ht="24.6" customHeight="1">
      <c r="C411" s="61">
        <v>5</v>
      </c>
      <c r="D411" s="56" t="s">
        <v>4458</v>
      </c>
      <c r="E411" s="93" t="s">
        <v>2426</v>
      </c>
      <c r="F411" s="103">
        <v>0.625</v>
      </c>
      <c r="G411" s="63">
        <f t="shared" si="8"/>
        <v>22000</v>
      </c>
      <c r="H411" s="63">
        <f t="shared" si="9"/>
        <v>13750</v>
      </c>
      <c r="I411" s="44"/>
    </row>
    <row r="412" spans="3:13" s="59" customFormat="1" ht="24.6" customHeight="1">
      <c r="C412" s="61">
        <v>6</v>
      </c>
      <c r="D412" s="56" t="s">
        <v>4459</v>
      </c>
      <c r="E412" s="93" t="s">
        <v>2469</v>
      </c>
      <c r="F412" s="103">
        <v>1.3332999999999999</v>
      </c>
      <c r="G412" s="63">
        <f t="shared" si="8"/>
        <v>44100</v>
      </c>
      <c r="H412" s="63">
        <f t="shared" si="9"/>
        <v>58798.53</v>
      </c>
      <c r="I412" s="44"/>
    </row>
    <row r="413" spans="3:13" s="59" customFormat="1" ht="24.6" customHeight="1">
      <c r="C413" s="61">
        <v>7</v>
      </c>
      <c r="D413" s="56" t="s">
        <v>4461</v>
      </c>
      <c r="E413" s="93" t="s">
        <v>2426</v>
      </c>
      <c r="F413" s="103">
        <v>0.55559999999999998</v>
      </c>
      <c r="G413" s="63">
        <f t="shared" si="8"/>
        <v>46000</v>
      </c>
      <c r="H413" s="63">
        <f t="shared" si="9"/>
        <v>25557.599999999999</v>
      </c>
      <c r="I413" s="44"/>
    </row>
    <row r="414" spans="3:13" s="59" customFormat="1" ht="24.6" customHeight="1">
      <c r="C414" s="450" t="s">
        <v>1214</v>
      </c>
      <c r="D414" s="67"/>
      <c r="E414" s="67"/>
      <c r="F414" s="67"/>
      <c r="G414" s="69"/>
      <c r="H414" s="63">
        <f>SUM(H407:H413)</f>
        <v>1181253.9486250002</v>
      </c>
      <c r="I414" s="44"/>
    </row>
    <row r="415" spans="3:13" s="59" customFormat="1" ht="24.6" customHeight="1">
      <c r="C415" s="61" t="s">
        <v>1215</v>
      </c>
      <c r="D415" s="56" t="s">
        <v>1216</v>
      </c>
      <c r="E415" s="93"/>
      <c r="F415" s="57"/>
      <c r="G415" s="57"/>
      <c r="H415" s="57"/>
      <c r="I415" s="44"/>
    </row>
    <row r="416" spans="3:13" s="59" customFormat="1" ht="24.6" customHeight="1">
      <c r="C416" s="800">
        <v>1</v>
      </c>
      <c r="D416" s="56" t="s">
        <v>1095</v>
      </c>
      <c r="E416" s="93" t="s">
        <v>1974</v>
      </c>
      <c r="F416" s="94">
        <v>8.6099999999999996E-2</v>
      </c>
      <c r="G416" s="63">
        <f>VLOOKUP(D416,upahbahan,3,FALSE)</f>
        <v>800000</v>
      </c>
      <c r="H416" s="63">
        <f>F416*G416</f>
        <v>68880</v>
      </c>
      <c r="I416" s="44"/>
    </row>
    <row r="417" spans="3:13" s="59" customFormat="1" ht="24.6" customHeight="1">
      <c r="C417" s="800">
        <v>2</v>
      </c>
      <c r="D417" s="56" t="s">
        <v>1098</v>
      </c>
      <c r="E417" s="93" t="s">
        <v>1974</v>
      </c>
      <c r="F417" s="94">
        <v>6.7999999999999996E-3</v>
      </c>
      <c r="G417" s="63">
        <f>VLOOKUP(D417,upahbahan,3,FALSE)</f>
        <v>800000</v>
      </c>
      <c r="H417" s="63">
        <f>F417*G417</f>
        <v>5440</v>
      </c>
      <c r="I417" s="44"/>
    </row>
    <row r="418" spans="3:13" s="59" customFormat="1" ht="24.6" customHeight="1">
      <c r="C418" s="450" t="s">
        <v>1217</v>
      </c>
      <c r="D418" s="67"/>
      <c r="E418" s="67"/>
      <c r="F418" s="67"/>
      <c r="G418" s="69"/>
      <c r="H418" s="882">
        <f>SUM(H415:H417)</f>
        <v>74320</v>
      </c>
      <c r="I418" s="44"/>
    </row>
    <row r="419" spans="3:13" s="59" customFormat="1" ht="24.6" customHeight="1">
      <c r="C419" s="288" t="s">
        <v>1218</v>
      </c>
      <c r="D419" s="76" t="s">
        <v>1219</v>
      </c>
      <c r="E419" s="77"/>
      <c r="F419" s="77"/>
      <c r="G419" s="78"/>
      <c r="H419" s="585">
        <f>H418+H414+H405</f>
        <v>1326183.9486250002</v>
      </c>
      <c r="I419" s="369"/>
    </row>
    <row r="420" spans="3:13" s="59" customFormat="1" ht="24.6" customHeight="1">
      <c r="C420" s="288" t="s">
        <v>1220</v>
      </c>
      <c r="D420" s="76" t="s">
        <v>1321</v>
      </c>
      <c r="E420" s="77"/>
      <c r="F420" s="78"/>
      <c r="G420" s="80">
        <v>0.1</v>
      </c>
      <c r="H420" s="63">
        <f>H419*G420</f>
        <v>132618.39486250002</v>
      </c>
      <c r="I420" s="369"/>
    </row>
    <row r="421" spans="3:13" s="59" customFormat="1" ht="24.6" customHeight="1">
      <c r="C421" s="288" t="s">
        <v>1221</v>
      </c>
      <c r="D421" s="76" t="s">
        <v>1222</v>
      </c>
      <c r="E421" s="77"/>
      <c r="F421" s="77"/>
      <c r="G421" s="78"/>
      <c r="H421" s="799">
        <f>SUM(H419:H420)</f>
        <v>1458802.3434875002</v>
      </c>
      <c r="I421" s="369"/>
    </row>
    <row r="423" spans="3:13" s="59" customFormat="1" ht="19.5" customHeight="1">
      <c r="C423" s="46" t="s">
        <v>4469</v>
      </c>
      <c r="D423" s="794" t="s">
        <v>4470</v>
      </c>
      <c r="E423" s="794"/>
      <c r="F423" s="794"/>
      <c r="G423" s="794"/>
      <c r="H423" s="794"/>
      <c r="I423" s="50">
        <f>ROUNDDOWN(H448,-2)</f>
        <v>2244700</v>
      </c>
    </row>
    <row r="424" spans="3:13" s="59" customFormat="1" ht="33" customHeight="1">
      <c r="C424" s="591" t="s">
        <v>1195</v>
      </c>
      <c r="D424" s="591" t="s">
        <v>1196</v>
      </c>
      <c r="E424" s="591" t="s">
        <v>1197</v>
      </c>
      <c r="F424" s="591" t="s">
        <v>1198</v>
      </c>
      <c r="G424" s="591" t="s">
        <v>1199</v>
      </c>
      <c r="H424" s="591" t="s">
        <v>1200</v>
      </c>
      <c r="I424" s="44"/>
    </row>
    <row r="425" spans="3:13" s="59" customFormat="1" ht="24.6" customHeight="1">
      <c r="C425" s="61" t="s">
        <v>1201</v>
      </c>
      <c r="D425" s="56" t="s">
        <v>1202</v>
      </c>
      <c r="E425" s="57"/>
      <c r="F425" s="57"/>
      <c r="G425" s="57"/>
      <c r="H425" s="57"/>
      <c r="I425" s="44"/>
      <c r="J425" s="152" t="s">
        <v>1247</v>
      </c>
    </row>
    <row r="426" spans="3:13" s="59" customFormat="1" ht="24.6" customHeight="1">
      <c r="C426" s="588">
        <v>1</v>
      </c>
      <c r="D426" s="56" t="s">
        <v>5</v>
      </c>
      <c r="E426" s="577" t="s">
        <v>6</v>
      </c>
      <c r="F426" s="101">
        <v>0.48</v>
      </c>
      <c r="G426" s="63">
        <f>VLOOKUP(D426,upahbahan,3,FALSE)</f>
        <v>100000</v>
      </c>
      <c r="H426" s="63">
        <f>F426*G426</f>
        <v>48000</v>
      </c>
      <c r="I426" s="44"/>
      <c r="J426" s="152" t="s">
        <v>1248</v>
      </c>
      <c r="M426" s="65">
        <v>0.1</v>
      </c>
    </row>
    <row r="427" spans="3:13" s="59" customFormat="1" ht="24.6" customHeight="1">
      <c r="C427" s="588">
        <v>2</v>
      </c>
      <c r="D427" s="56" t="s">
        <v>7</v>
      </c>
      <c r="E427" s="577" t="s">
        <v>6</v>
      </c>
      <c r="F427" s="101">
        <v>0.12</v>
      </c>
      <c r="G427" s="63">
        <f>VLOOKUP(D427,upahbahan,3,FALSE)</f>
        <v>135000</v>
      </c>
      <c r="H427" s="63">
        <f>F427*G427</f>
        <v>16200</v>
      </c>
      <c r="I427" s="44"/>
    </row>
    <row r="428" spans="3:13" s="59" customFormat="1" ht="24.6" customHeight="1">
      <c r="C428" s="588">
        <v>3</v>
      </c>
      <c r="D428" s="56" t="s">
        <v>1310</v>
      </c>
      <c r="E428" s="577" t="s">
        <v>2102</v>
      </c>
      <c r="F428" s="101">
        <v>1.2E-2</v>
      </c>
      <c r="G428" s="63">
        <f>VLOOKUP(D428,upahbahan,3,FALSE)</f>
        <v>150000</v>
      </c>
      <c r="H428" s="63">
        <f>F428*G428</f>
        <v>1800</v>
      </c>
      <c r="I428" s="44"/>
    </row>
    <row r="429" spans="3:13" s="59" customFormat="1" ht="24.6" customHeight="1">
      <c r="C429" s="588">
        <v>4</v>
      </c>
      <c r="D429" s="56" t="s">
        <v>19</v>
      </c>
      <c r="E429" s="577" t="s">
        <v>6</v>
      </c>
      <c r="F429" s="101">
        <v>4.8000000000000001E-2</v>
      </c>
      <c r="G429" s="63">
        <f>VLOOKUP(D429,upahbahan,3,FALSE)</f>
        <v>160000</v>
      </c>
      <c r="H429" s="63">
        <f>F429*G429</f>
        <v>7680</v>
      </c>
      <c r="I429" s="44"/>
    </row>
    <row r="430" spans="3:13" s="59" customFormat="1" ht="24.6" customHeight="1">
      <c r="C430" s="450" t="s">
        <v>1208</v>
      </c>
      <c r="D430" s="67"/>
      <c r="E430" s="67"/>
      <c r="F430" s="142"/>
      <c r="G430" s="153"/>
      <c r="H430" s="63">
        <f>SUM(H426:H429)</f>
        <v>73680</v>
      </c>
      <c r="I430" s="154"/>
    </row>
    <row r="431" spans="3:13" s="59" customFormat="1" ht="24.6" customHeight="1">
      <c r="C431" s="61" t="s">
        <v>1209</v>
      </c>
      <c r="D431" s="56" t="s">
        <v>1210</v>
      </c>
      <c r="E431" s="57"/>
      <c r="F431" s="57"/>
      <c r="G431" s="57"/>
      <c r="H431" s="57"/>
      <c r="I431" s="44"/>
    </row>
    <row r="432" spans="3:13" s="59" customFormat="1" ht="24.6" customHeight="1">
      <c r="C432" s="61">
        <v>1</v>
      </c>
      <c r="D432" s="56" t="s">
        <v>539</v>
      </c>
      <c r="E432" s="93" t="s">
        <v>42</v>
      </c>
      <c r="F432" s="103">
        <v>1.02</v>
      </c>
      <c r="G432" s="63">
        <f t="shared" ref="G432:G440" si="10">VLOOKUP(D432,upahbahan,3,FALSE)</f>
        <v>1001900</v>
      </c>
      <c r="H432" s="63">
        <f t="shared" ref="H432:H440" si="11">F432*G432</f>
        <v>1021938</v>
      </c>
      <c r="I432" s="44"/>
    </row>
    <row r="433" spans="3:9" s="59" customFormat="1" ht="24.6" customHeight="1">
      <c r="C433" s="61">
        <v>2</v>
      </c>
      <c r="D433" s="56" t="s">
        <v>1793</v>
      </c>
      <c r="E433" s="93" t="s">
        <v>42</v>
      </c>
      <c r="F433" s="103">
        <v>2.52E-2</v>
      </c>
      <c r="G433" s="63">
        <f t="shared" si="10"/>
        <v>3015000</v>
      </c>
      <c r="H433" s="63">
        <f t="shared" si="11"/>
        <v>75978</v>
      </c>
      <c r="I433" s="44"/>
    </row>
    <row r="434" spans="3:9" s="59" customFormat="1" ht="24.6" customHeight="1">
      <c r="C434" s="61">
        <v>3</v>
      </c>
      <c r="D434" s="56" t="s">
        <v>130</v>
      </c>
      <c r="E434" s="93" t="s">
        <v>129</v>
      </c>
      <c r="F434" s="103">
        <v>0.25459999999999999</v>
      </c>
      <c r="G434" s="63">
        <f t="shared" si="10"/>
        <v>0</v>
      </c>
      <c r="H434" s="63">
        <f t="shared" si="11"/>
        <v>0</v>
      </c>
      <c r="I434" s="44"/>
    </row>
    <row r="435" spans="3:9" s="59" customFormat="1" ht="24.6" customHeight="1">
      <c r="C435" s="61">
        <v>4</v>
      </c>
      <c r="D435" s="56" t="s">
        <v>261</v>
      </c>
      <c r="E435" s="93" t="s">
        <v>2426</v>
      </c>
      <c r="F435" s="103">
        <v>0.1159</v>
      </c>
      <c r="G435" s="63">
        <f t="shared" si="10"/>
        <v>33901.875</v>
      </c>
      <c r="H435" s="63">
        <f t="shared" si="11"/>
        <v>3929.2273125000002</v>
      </c>
      <c r="I435" s="44"/>
    </row>
    <row r="436" spans="3:9" s="59" customFormat="1" ht="24.6" customHeight="1">
      <c r="C436" s="61">
        <v>5</v>
      </c>
      <c r="D436" s="56" t="s">
        <v>4458</v>
      </c>
      <c r="E436" s="93" t="s">
        <v>2426</v>
      </c>
      <c r="F436" s="103">
        <v>0.625</v>
      </c>
      <c r="G436" s="63">
        <f t="shared" si="10"/>
        <v>22000</v>
      </c>
      <c r="H436" s="63">
        <f t="shared" si="11"/>
        <v>13750</v>
      </c>
      <c r="I436" s="44"/>
    </row>
    <row r="437" spans="3:9" s="59" customFormat="1" ht="24.6" customHeight="1">
      <c r="C437" s="61">
        <v>6</v>
      </c>
      <c r="D437" s="56" t="s">
        <v>4459</v>
      </c>
      <c r="E437" s="93" t="s">
        <v>2469</v>
      </c>
      <c r="F437" s="103">
        <v>1</v>
      </c>
      <c r="G437" s="63">
        <f t="shared" si="10"/>
        <v>44100</v>
      </c>
      <c r="H437" s="63">
        <f t="shared" si="11"/>
        <v>44100</v>
      </c>
      <c r="I437" s="44"/>
    </row>
    <row r="438" spans="3:9" s="59" customFormat="1" ht="24.6" customHeight="1">
      <c r="C438" s="61">
        <v>7</v>
      </c>
      <c r="D438" s="56" t="s">
        <v>4461</v>
      </c>
      <c r="E438" s="93" t="s">
        <v>2426</v>
      </c>
      <c r="F438" s="103">
        <v>0.41670000000000001</v>
      </c>
      <c r="G438" s="63">
        <f t="shared" si="10"/>
        <v>46000</v>
      </c>
      <c r="H438" s="63">
        <f t="shared" si="11"/>
        <v>19168.2</v>
      </c>
      <c r="I438" s="44"/>
    </row>
    <row r="439" spans="3:9" s="59" customFormat="1" ht="24.6" customHeight="1">
      <c r="C439" s="800"/>
      <c r="D439" s="56" t="s">
        <v>4471</v>
      </c>
      <c r="E439" s="93" t="s">
        <v>2426</v>
      </c>
      <c r="F439" s="103">
        <v>38.7836</v>
      </c>
      <c r="G439" s="63">
        <f t="shared" si="10"/>
        <v>15367.965367965367</v>
      </c>
      <c r="H439" s="63">
        <f t="shared" si="11"/>
        <v>596025.02164502162</v>
      </c>
      <c r="I439" s="44"/>
    </row>
    <row r="440" spans="3:9" s="59" customFormat="1" ht="24.6" customHeight="1">
      <c r="C440" s="800"/>
      <c r="D440" s="56" t="s">
        <v>4472</v>
      </c>
      <c r="E440" s="93" t="s">
        <v>2426</v>
      </c>
      <c r="F440" s="103">
        <v>6.6289999999999996</v>
      </c>
      <c r="G440" s="63">
        <f t="shared" si="10"/>
        <v>17721.518987341773</v>
      </c>
      <c r="H440" s="63">
        <f t="shared" si="11"/>
        <v>117475.9493670886</v>
      </c>
      <c r="I440" s="44"/>
    </row>
    <row r="441" spans="3:9" s="59" customFormat="1" ht="24.6" customHeight="1">
      <c r="C441" s="450" t="s">
        <v>1214</v>
      </c>
      <c r="D441" s="67"/>
      <c r="E441" s="67"/>
      <c r="F441" s="67"/>
      <c r="G441" s="69"/>
      <c r="H441" s="63">
        <f>SUM(H432:H440)</f>
        <v>1892364.39832461</v>
      </c>
      <c r="I441" s="44"/>
    </row>
    <row r="442" spans="3:9" s="59" customFormat="1" ht="24.6" customHeight="1">
      <c r="C442" s="61" t="s">
        <v>1215</v>
      </c>
      <c r="D442" s="56" t="s">
        <v>1216</v>
      </c>
      <c r="E442" s="93"/>
      <c r="F442" s="57"/>
      <c r="G442" s="57"/>
      <c r="H442" s="57"/>
      <c r="I442" s="44"/>
    </row>
    <row r="443" spans="3:9" s="59" customFormat="1" ht="24.6" customHeight="1">
      <c r="C443" s="800">
        <v>1</v>
      </c>
      <c r="D443" s="56" t="s">
        <v>1095</v>
      </c>
      <c r="E443" s="93" t="s">
        <v>1974</v>
      </c>
      <c r="F443" s="94">
        <v>8.6099999999999996E-2</v>
      </c>
      <c r="G443" s="63">
        <f>VLOOKUP(D443,upahbahan,3,FALSE)</f>
        <v>800000</v>
      </c>
      <c r="H443" s="63">
        <f>F443*G443</f>
        <v>68880</v>
      </c>
      <c r="I443" s="44"/>
    </row>
    <row r="444" spans="3:9" s="59" customFormat="1" ht="24.6" customHeight="1">
      <c r="C444" s="800">
        <v>2</v>
      </c>
      <c r="D444" s="56" t="s">
        <v>1098</v>
      </c>
      <c r="E444" s="93" t="s">
        <v>1974</v>
      </c>
      <c r="F444" s="94">
        <v>7.1999999999999998E-3</v>
      </c>
      <c r="G444" s="63">
        <f>VLOOKUP(D444,upahbahan,3,FALSE)</f>
        <v>800000</v>
      </c>
      <c r="H444" s="63">
        <f>F444*G444</f>
        <v>5760</v>
      </c>
      <c r="I444" s="44"/>
    </row>
    <row r="445" spans="3:9" s="59" customFormat="1" ht="24.6" customHeight="1">
      <c r="C445" s="450" t="s">
        <v>1217</v>
      </c>
      <c r="D445" s="67"/>
      <c r="E445" s="67"/>
      <c r="F445" s="67"/>
      <c r="G445" s="69"/>
      <c r="H445" s="882">
        <f>SUM(H442:H444)</f>
        <v>74640</v>
      </c>
      <c r="I445" s="44"/>
    </row>
    <row r="446" spans="3:9" s="59" customFormat="1" ht="24.6" customHeight="1">
      <c r="C446" s="288" t="s">
        <v>1218</v>
      </c>
      <c r="D446" s="76" t="s">
        <v>1219</v>
      </c>
      <c r="E446" s="77"/>
      <c r="F446" s="77"/>
      <c r="G446" s="78"/>
      <c r="H446" s="585">
        <f>H445+H441+H430</f>
        <v>2040684.39832461</v>
      </c>
      <c r="I446" s="369"/>
    </row>
    <row r="447" spans="3:9" s="59" customFormat="1" ht="24.6" customHeight="1">
      <c r="C447" s="288" t="s">
        <v>1220</v>
      </c>
      <c r="D447" s="76" t="s">
        <v>1321</v>
      </c>
      <c r="E447" s="77"/>
      <c r="F447" s="78"/>
      <c r="G447" s="80">
        <v>0.1</v>
      </c>
      <c r="H447" s="63">
        <f>H446*G447</f>
        <v>204068.43983246101</v>
      </c>
      <c r="I447" s="369"/>
    </row>
    <row r="448" spans="3:9" s="59" customFormat="1" ht="24.6" customHeight="1">
      <c r="C448" s="288" t="s">
        <v>1221</v>
      </c>
      <c r="D448" s="76" t="s">
        <v>1222</v>
      </c>
      <c r="E448" s="77"/>
      <c r="F448" s="77"/>
      <c r="G448" s="78"/>
      <c r="H448" s="799">
        <f>SUM(H446:H447)</f>
        <v>2244752.8381570708</v>
      </c>
      <c r="I448" s="369"/>
    </row>
    <row r="450" spans="3:13" ht="13.8">
      <c r="C450" s="43" t="s">
        <v>4473</v>
      </c>
      <c r="D450" s="128" t="s">
        <v>4474</v>
      </c>
    </row>
    <row r="451" spans="3:13" s="59" customFormat="1" ht="19.5" customHeight="1">
      <c r="C451" s="46" t="s">
        <v>4475</v>
      </c>
      <c r="D451" s="794" t="s">
        <v>4476</v>
      </c>
      <c r="E451" s="794"/>
      <c r="F451" s="794"/>
      <c r="G451" s="794"/>
      <c r="H451" s="794"/>
      <c r="I451" s="50">
        <f>ROUNDDOWN(H474,-2)</f>
        <v>1491500</v>
      </c>
    </row>
    <row r="452" spans="3:13" s="59" customFormat="1" ht="33" customHeight="1">
      <c r="C452" s="591" t="s">
        <v>1195</v>
      </c>
      <c r="D452" s="591" t="s">
        <v>1196</v>
      </c>
      <c r="E452" s="591" t="s">
        <v>1197</v>
      </c>
      <c r="F452" s="591" t="s">
        <v>1198</v>
      </c>
      <c r="G452" s="591" t="s">
        <v>1199</v>
      </c>
      <c r="H452" s="591" t="s">
        <v>1200</v>
      </c>
      <c r="I452" s="44"/>
    </row>
    <row r="453" spans="3:13" s="59" customFormat="1" ht="24.6" customHeight="1">
      <c r="C453" s="61" t="s">
        <v>1201</v>
      </c>
      <c r="D453" s="56" t="s">
        <v>1202</v>
      </c>
      <c r="E453" s="57"/>
      <c r="F453" s="57"/>
      <c r="G453" s="57"/>
      <c r="H453" s="57"/>
      <c r="I453" s="44"/>
      <c r="J453" s="152" t="s">
        <v>1247</v>
      </c>
    </row>
    <row r="454" spans="3:13" s="59" customFormat="1" ht="24.6" customHeight="1">
      <c r="C454" s="588">
        <v>1</v>
      </c>
      <c r="D454" s="56" t="s">
        <v>5</v>
      </c>
      <c r="E454" s="577" t="s">
        <v>6</v>
      </c>
      <c r="F454" s="101">
        <v>0.20080000000000001</v>
      </c>
      <c r="G454" s="63">
        <f>VLOOKUP(D454,upahbahan,3,FALSE)</f>
        <v>100000</v>
      </c>
      <c r="H454" s="63">
        <f>F454*G454</f>
        <v>20080</v>
      </c>
      <c r="I454" s="44"/>
      <c r="J454" s="152" t="s">
        <v>1248</v>
      </c>
      <c r="M454" s="65">
        <v>0.1</v>
      </c>
    </row>
    <row r="455" spans="3:13" s="59" customFormat="1" ht="24.6" customHeight="1">
      <c r="C455" s="588">
        <v>2</v>
      </c>
      <c r="D455" s="56" t="s">
        <v>19</v>
      </c>
      <c r="E455" s="577" t="s">
        <v>6</v>
      </c>
      <c r="F455" s="101">
        <v>0.01</v>
      </c>
      <c r="G455" s="63">
        <f>VLOOKUP(D455,upahbahan,3,FALSE)</f>
        <v>160000</v>
      </c>
      <c r="H455" s="63">
        <f>F455*G455</f>
        <v>1600</v>
      </c>
      <c r="I455" s="44"/>
    </row>
    <row r="456" spans="3:13" s="59" customFormat="1" ht="24.6" customHeight="1">
      <c r="C456" s="450" t="s">
        <v>1208</v>
      </c>
      <c r="D456" s="67"/>
      <c r="E456" s="67"/>
      <c r="F456" s="142"/>
      <c r="G456" s="153"/>
      <c r="H456" s="63">
        <f>SUM(H454:H455)</f>
        <v>21680</v>
      </c>
      <c r="I456" s="154"/>
    </row>
    <row r="457" spans="3:13" s="59" customFormat="1" ht="24.6" customHeight="1">
      <c r="C457" s="61" t="s">
        <v>1209</v>
      </c>
      <c r="D457" s="56" t="s">
        <v>1210</v>
      </c>
      <c r="E457" s="57"/>
      <c r="F457" s="57"/>
      <c r="G457" s="57"/>
      <c r="H457" s="57"/>
      <c r="I457" s="44"/>
    </row>
    <row r="458" spans="3:13" s="59" customFormat="1" ht="24.6" customHeight="1">
      <c r="C458" s="61">
        <v>1</v>
      </c>
      <c r="D458" s="56" t="s">
        <v>4480</v>
      </c>
      <c r="E458" s="93" t="s">
        <v>42</v>
      </c>
      <c r="F458" s="103">
        <v>0.221</v>
      </c>
      <c r="G458" s="63">
        <f>VLOOKUP(D458,upahbahan,3,FALSE)</f>
        <v>1970000</v>
      </c>
      <c r="H458" s="63">
        <f>F458*G458</f>
        <v>435370</v>
      </c>
      <c r="I458" s="44"/>
    </row>
    <row r="459" spans="3:13" s="59" customFormat="1" ht="24.6" customHeight="1">
      <c r="C459" s="61">
        <v>2</v>
      </c>
      <c r="D459" s="56" t="s">
        <v>4479</v>
      </c>
      <c r="E459" s="93" t="s">
        <v>42</v>
      </c>
      <c r="F459" s="103">
        <v>0.32100000000000001</v>
      </c>
      <c r="G459" s="63">
        <f>VLOOKUP(D459,upahbahan,3,FALSE)</f>
        <v>1799000</v>
      </c>
      <c r="H459" s="63">
        <f>F459*G459</f>
        <v>577479</v>
      </c>
      <c r="I459" s="44"/>
    </row>
    <row r="460" spans="3:13" s="59" customFormat="1" ht="24.6" customHeight="1">
      <c r="C460" s="61">
        <v>3</v>
      </c>
      <c r="D460" s="56" t="s">
        <v>1796</v>
      </c>
      <c r="E460" s="93" t="s">
        <v>129</v>
      </c>
      <c r="F460" s="103">
        <v>9.8699999999999992</v>
      </c>
      <c r="G460" s="63">
        <f>VLOOKUP(D460,upahbahan,3,FALSE)</f>
        <v>1530</v>
      </c>
      <c r="H460" s="63">
        <f>F460*G460</f>
        <v>15101.099999999999</v>
      </c>
      <c r="I460" s="44"/>
    </row>
    <row r="461" spans="3:13" s="59" customFormat="1" ht="24.6" customHeight="1">
      <c r="C461" s="61">
        <v>4</v>
      </c>
      <c r="D461" s="56" t="s">
        <v>1867</v>
      </c>
      <c r="E461" s="93" t="s">
        <v>2426</v>
      </c>
      <c r="F461" s="103">
        <v>62.83</v>
      </c>
      <c r="G461" s="63">
        <f>VLOOKUP(D461,upahbahan,3,FALSE)</f>
        <v>0</v>
      </c>
      <c r="H461" s="63">
        <f>F461*G461</f>
        <v>0</v>
      </c>
      <c r="I461" s="44"/>
    </row>
    <row r="462" spans="3:13" s="59" customFormat="1" ht="24.6" customHeight="1">
      <c r="C462" s="450" t="s">
        <v>1214</v>
      </c>
      <c r="D462" s="67"/>
      <c r="E462" s="67"/>
      <c r="F462" s="67"/>
      <c r="G462" s="69"/>
      <c r="H462" s="63">
        <f>SUM(H458:H461)</f>
        <v>1027950.1</v>
      </c>
      <c r="I462" s="44"/>
    </row>
    <row r="463" spans="3:13" s="59" customFormat="1" ht="24.6" customHeight="1">
      <c r="C463" s="61" t="s">
        <v>1215</v>
      </c>
      <c r="D463" s="56" t="s">
        <v>1216</v>
      </c>
      <c r="E463" s="93"/>
      <c r="F463" s="57"/>
      <c r="G463" s="57"/>
      <c r="H463" s="57"/>
      <c r="I463" s="44"/>
    </row>
    <row r="464" spans="3:13" s="59" customFormat="1" ht="24.6" customHeight="1">
      <c r="C464" s="800">
        <v>1</v>
      </c>
      <c r="D464" s="56" t="s">
        <v>1868</v>
      </c>
      <c r="E464" s="93" t="s">
        <v>1074</v>
      </c>
      <c r="F464" s="94">
        <v>9.5999999999999992E-3</v>
      </c>
      <c r="G464" s="63">
        <f t="shared" ref="G464:G470" si="12">VLOOKUP(D464,upahbahan,3,FALSE)</f>
        <v>472400</v>
      </c>
      <c r="H464" s="63">
        <f t="shared" ref="H464:H470" si="13">F464*G464</f>
        <v>4535.04</v>
      </c>
      <c r="I464" s="44"/>
    </row>
    <row r="465" spans="3:13" s="59" customFormat="1" ht="24.6" customHeight="1">
      <c r="C465" s="800">
        <v>2</v>
      </c>
      <c r="D465" s="56" t="s">
        <v>4481</v>
      </c>
      <c r="E465" s="93" t="s">
        <v>1074</v>
      </c>
      <c r="F465" s="94">
        <v>2.01E-2</v>
      </c>
      <c r="G465" s="63">
        <f t="shared" si="12"/>
        <v>3981125</v>
      </c>
      <c r="H465" s="63">
        <f t="shared" si="13"/>
        <v>80020.612500000003</v>
      </c>
      <c r="I465" s="44"/>
    </row>
    <row r="466" spans="3:13" s="59" customFormat="1" ht="24.6" customHeight="1">
      <c r="C466" s="800">
        <v>3</v>
      </c>
      <c r="D466" s="56" t="s">
        <v>1109</v>
      </c>
      <c r="E466" s="93" t="s">
        <v>1074</v>
      </c>
      <c r="F466" s="94">
        <v>2.01E-2</v>
      </c>
      <c r="G466" s="63">
        <f t="shared" si="12"/>
        <v>410200</v>
      </c>
      <c r="H466" s="63">
        <f t="shared" si="13"/>
        <v>8245.02</v>
      </c>
      <c r="I466" s="44"/>
    </row>
    <row r="467" spans="3:13" s="59" customFormat="1" ht="24.6" customHeight="1">
      <c r="C467" s="800">
        <v>4</v>
      </c>
      <c r="D467" s="56" t="s">
        <v>1875</v>
      </c>
      <c r="E467" s="93" t="s">
        <v>1074</v>
      </c>
      <c r="F467" s="94">
        <v>0.25890000000000002</v>
      </c>
      <c r="G467" s="63">
        <f t="shared" si="12"/>
        <v>556100</v>
      </c>
      <c r="H467" s="63">
        <f t="shared" si="13"/>
        <v>143974.29</v>
      </c>
      <c r="I467" s="44"/>
    </row>
    <row r="468" spans="3:13" s="59" customFormat="1" ht="24.6" customHeight="1">
      <c r="C468" s="800">
        <v>5</v>
      </c>
      <c r="D468" s="56" t="s">
        <v>4477</v>
      </c>
      <c r="E468" s="93" t="s">
        <v>1074</v>
      </c>
      <c r="F468" s="103">
        <v>0.13700000000000001</v>
      </c>
      <c r="G468" s="63">
        <f t="shared" si="12"/>
        <v>450000</v>
      </c>
      <c r="H468" s="63">
        <f t="shared" si="13"/>
        <v>61650.000000000007</v>
      </c>
      <c r="I468" s="44"/>
    </row>
    <row r="469" spans="3:13" s="59" customFormat="1" ht="24.6" customHeight="1">
      <c r="C469" s="800">
        <v>6</v>
      </c>
      <c r="D469" s="56" t="s">
        <v>1146</v>
      </c>
      <c r="E469" s="93" t="s">
        <v>1074</v>
      </c>
      <c r="F469" s="94">
        <v>1.35E-2</v>
      </c>
      <c r="G469" s="63">
        <f t="shared" si="12"/>
        <v>469500</v>
      </c>
      <c r="H469" s="63">
        <f t="shared" si="13"/>
        <v>6338.25</v>
      </c>
      <c r="I469" s="44"/>
    </row>
    <row r="470" spans="3:13" s="59" customFormat="1" ht="24.6" customHeight="1">
      <c r="C470" s="800">
        <v>7</v>
      </c>
      <c r="D470" s="56" t="s">
        <v>4478</v>
      </c>
      <c r="E470" s="93" t="s">
        <v>1074</v>
      </c>
      <c r="F470" s="94">
        <v>5.7999999999999996E-3</v>
      </c>
      <c r="G470" s="63">
        <f t="shared" si="12"/>
        <v>275000</v>
      </c>
      <c r="H470" s="63">
        <f t="shared" si="13"/>
        <v>1595</v>
      </c>
      <c r="I470" s="44"/>
    </row>
    <row r="471" spans="3:13" s="59" customFormat="1" ht="24.6" customHeight="1">
      <c r="C471" s="450" t="s">
        <v>1217</v>
      </c>
      <c r="D471" s="67"/>
      <c r="E471" s="67"/>
      <c r="F471" s="67"/>
      <c r="G471" s="69"/>
      <c r="H471" s="882">
        <f>SUM(H463:H470)</f>
        <v>306358.21250000002</v>
      </c>
      <c r="I471" s="44"/>
    </row>
    <row r="472" spans="3:13" s="59" customFormat="1" ht="24.6" customHeight="1">
      <c r="C472" s="288" t="s">
        <v>1218</v>
      </c>
      <c r="D472" s="76" t="s">
        <v>1219</v>
      </c>
      <c r="E472" s="77"/>
      <c r="F472" s="77"/>
      <c r="G472" s="78"/>
      <c r="H472" s="585">
        <f>H471+H462+H456</f>
        <v>1355988.3125</v>
      </c>
      <c r="I472" s="369"/>
    </row>
    <row r="473" spans="3:13" s="59" customFormat="1" ht="24.6" customHeight="1">
      <c r="C473" s="288" t="s">
        <v>1220</v>
      </c>
      <c r="D473" s="76" t="s">
        <v>1321</v>
      </c>
      <c r="E473" s="77"/>
      <c r="F473" s="78"/>
      <c r="G473" s="80">
        <v>0.1</v>
      </c>
      <c r="H473" s="63">
        <f>H472*G473</f>
        <v>135598.83125000002</v>
      </c>
      <c r="I473" s="369"/>
    </row>
    <row r="474" spans="3:13" s="59" customFormat="1" ht="24.6" customHeight="1">
      <c r="C474" s="288" t="s">
        <v>1221</v>
      </c>
      <c r="D474" s="76" t="s">
        <v>1222</v>
      </c>
      <c r="E474" s="77"/>
      <c r="F474" s="77"/>
      <c r="G474" s="78"/>
      <c r="H474" s="799">
        <f>SUM(H472:H473)</f>
        <v>1491587.14375</v>
      </c>
      <c r="I474" s="369"/>
    </row>
    <row r="476" spans="3:13" s="59" customFormat="1" ht="19.5" customHeight="1">
      <c r="C476" s="46" t="s">
        <v>5529</v>
      </c>
      <c r="D476" s="794" t="s">
        <v>4482</v>
      </c>
      <c r="E476" s="794"/>
      <c r="F476" s="794"/>
      <c r="G476" s="794"/>
      <c r="H476" s="794"/>
      <c r="I476" s="50">
        <f>ROUNDDOWN(H499,-2)</f>
        <v>1744800</v>
      </c>
    </row>
    <row r="477" spans="3:13" s="59" customFormat="1" ht="33" customHeight="1">
      <c r="C477" s="591" t="s">
        <v>1195</v>
      </c>
      <c r="D477" s="591" t="s">
        <v>1196</v>
      </c>
      <c r="E477" s="591" t="s">
        <v>1197</v>
      </c>
      <c r="F477" s="591" t="s">
        <v>1198</v>
      </c>
      <c r="G477" s="591" t="s">
        <v>1199</v>
      </c>
      <c r="H477" s="591" t="s">
        <v>1200</v>
      </c>
      <c r="I477" s="44"/>
    </row>
    <row r="478" spans="3:13" s="59" customFormat="1" ht="24.6" customHeight="1">
      <c r="C478" s="61" t="s">
        <v>1201</v>
      </c>
      <c r="D478" s="56" t="s">
        <v>1202</v>
      </c>
      <c r="E478" s="57"/>
      <c r="F478" s="57"/>
      <c r="G478" s="57"/>
      <c r="H478" s="57"/>
      <c r="I478" s="44"/>
      <c r="J478" s="152" t="s">
        <v>1247</v>
      </c>
    </row>
    <row r="479" spans="3:13" s="59" customFormat="1" ht="24.6" customHeight="1">
      <c r="C479" s="588">
        <v>1</v>
      </c>
      <c r="D479" s="56" t="s">
        <v>5</v>
      </c>
      <c r="E479" s="577" t="s">
        <v>6</v>
      </c>
      <c r="F479" s="101">
        <v>0.20080000000000001</v>
      </c>
      <c r="G479" s="63">
        <f>VLOOKUP(D479,upahbahan,3,FALSE)</f>
        <v>100000</v>
      </c>
      <c r="H479" s="63">
        <f>F479*G479</f>
        <v>20080</v>
      </c>
      <c r="I479" s="44"/>
      <c r="J479" s="152" t="s">
        <v>1248</v>
      </c>
      <c r="M479" s="65">
        <v>0.1</v>
      </c>
    </row>
    <row r="480" spans="3:13" s="59" customFormat="1" ht="24.6" customHeight="1">
      <c r="C480" s="588">
        <v>2</v>
      </c>
      <c r="D480" s="56" t="s">
        <v>19</v>
      </c>
      <c r="E480" s="577" t="s">
        <v>6</v>
      </c>
      <c r="F480" s="101">
        <v>0.01</v>
      </c>
      <c r="G480" s="63">
        <f>VLOOKUP(D480,upahbahan,3,FALSE)</f>
        <v>160000</v>
      </c>
      <c r="H480" s="63">
        <f>F480*G480</f>
        <v>1600</v>
      </c>
      <c r="I480" s="44"/>
    </row>
    <row r="481" spans="3:9" s="59" customFormat="1" ht="24.6" customHeight="1">
      <c r="C481" s="450" t="s">
        <v>1208</v>
      </c>
      <c r="D481" s="67"/>
      <c r="E481" s="67"/>
      <c r="F481" s="142"/>
      <c r="G481" s="153"/>
      <c r="H481" s="63">
        <f>SUM(H479:H480)</f>
        <v>21680</v>
      </c>
      <c r="I481" s="154"/>
    </row>
    <row r="482" spans="3:9" s="59" customFormat="1" ht="24.6" customHeight="1">
      <c r="C482" s="61" t="s">
        <v>1209</v>
      </c>
      <c r="D482" s="56" t="s">
        <v>1210</v>
      </c>
      <c r="E482" s="57"/>
      <c r="F482" s="57"/>
      <c r="G482" s="57"/>
      <c r="H482" s="57"/>
      <c r="I482" s="44"/>
    </row>
    <row r="483" spans="3:9" s="59" customFormat="1" ht="24.6" customHeight="1">
      <c r="C483" s="61">
        <v>1</v>
      </c>
      <c r="D483" s="56" t="s">
        <v>4480</v>
      </c>
      <c r="E483" s="93" t="s">
        <v>42</v>
      </c>
      <c r="F483" s="103">
        <v>0.38900000000000001</v>
      </c>
      <c r="G483" s="63">
        <f>VLOOKUP(D483,upahbahan,3,FALSE)</f>
        <v>1970000</v>
      </c>
      <c r="H483" s="63">
        <f>F483*G483</f>
        <v>766330</v>
      </c>
      <c r="I483" s="44"/>
    </row>
    <row r="484" spans="3:9" s="59" customFormat="1" ht="24.6" customHeight="1">
      <c r="C484" s="61">
        <v>2</v>
      </c>
      <c r="D484" s="56" t="s">
        <v>4479</v>
      </c>
      <c r="E484" s="93" t="s">
        <v>42</v>
      </c>
      <c r="F484" s="103">
        <v>0.27300000000000002</v>
      </c>
      <c r="G484" s="63">
        <f>VLOOKUP(D484,upahbahan,3,FALSE)</f>
        <v>1799000</v>
      </c>
      <c r="H484" s="63">
        <f>F484*G484</f>
        <v>491127.00000000006</v>
      </c>
      <c r="I484" s="44"/>
    </row>
    <row r="485" spans="3:9" s="59" customFormat="1" ht="24.6" customHeight="1">
      <c r="C485" s="61">
        <v>3</v>
      </c>
      <c r="D485" s="56" t="s">
        <v>1796</v>
      </c>
      <c r="E485" s="93" t="s">
        <v>129</v>
      </c>
      <c r="F485" s="103">
        <v>9.4499999999999993</v>
      </c>
      <c r="G485" s="63">
        <f>VLOOKUP(D485,upahbahan,3,FALSE)</f>
        <v>1530</v>
      </c>
      <c r="H485" s="63">
        <f>F485*G485</f>
        <v>14458.499999999998</v>
      </c>
      <c r="I485" s="44"/>
    </row>
    <row r="486" spans="3:9" s="59" customFormat="1" ht="24.6" customHeight="1">
      <c r="C486" s="61">
        <v>4</v>
      </c>
      <c r="D486" s="56" t="s">
        <v>1867</v>
      </c>
      <c r="E486" s="93" t="s">
        <v>2426</v>
      </c>
      <c r="F486" s="103">
        <v>57.68</v>
      </c>
      <c r="G486" s="63">
        <f>VLOOKUP(D486,upahbahan,3,FALSE)</f>
        <v>0</v>
      </c>
      <c r="H486" s="63">
        <f>F486*G486</f>
        <v>0</v>
      </c>
      <c r="I486" s="44"/>
    </row>
    <row r="487" spans="3:9" s="59" customFormat="1" ht="24.6" customHeight="1">
      <c r="C487" s="450" t="s">
        <v>1214</v>
      </c>
      <c r="D487" s="67"/>
      <c r="E487" s="67"/>
      <c r="F487" s="67"/>
      <c r="G487" s="69"/>
      <c r="H487" s="63">
        <f>SUM(H483:H486)</f>
        <v>1271915.5</v>
      </c>
      <c r="I487" s="44"/>
    </row>
    <row r="488" spans="3:9" s="59" customFormat="1" ht="24.6" customHeight="1">
      <c r="C488" s="61" t="s">
        <v>1215</v>
      </c>
      <c r="D488" s="56" t="s">
        <v>1216</v>
      </c>
      <c r="E488" s="93"/>
      <c r="F488" s="57"/>
      <c r="G488" s="57"/>
      <c r="H488" s="57"/>
      <c r="I488" s="44"/>
    </row>
    <row r="489" spans="3:9" s="59" customFormat="1" ht="24.6" customHeight="1">
      <c r="C489" s="800">
        <v>1</v>
      </c>
      <c r="D489" s="56" t="s">
        <v>1868</v>
      </c>
      <c r="E489" s="93" t="s">
        <v>1074</v>
      </c>
      <c r="F489" s="94">
        <v>9.5999999999999992E-3</v>
      </c>
      <c r="G489" s="63">
        <f t="shared" ref="G489:G495" si="14">VLOOKUP(D489,upahbahan,3,FALSE)</f>
        <v>472400</v>
      </c>
      <c r="H489" s="63">
        <f t="shared" ref="H489:H495" si="15">F489*G489</f>
        <v>4535.04</v>
      </c>
      <c r="I489" s="44"/>
    </row>
    <row r="490" spans="3:9" s="59" customFormat="1" ht="24.6" customHeight="1">
      <c r="C490" s="800">
        <v>2</v>
      </c>
      <c r="D490" s="56" t="s">
        <v>4481</v>
      </c>
      <c r="E490" s="93" t="s">
        <v>1074</v>
      </c>
      <c r="F490" s="94">
        <v>2.01E-2</v>
      </c>
      <c r="G490" s="63">
        <f t="shared" si="14"/>
        <v>3981125</v>
      </c>
      <c r="H490" s="63">
        <f t="shared" si="15"/>
        <v>80020.612500000003</v>
      </c>
      <c r="I490" s="44"/>
    </row>
    <row r="491" spans="3:9" s="59" customFormat="1" ht="24.6" customHeight="1">
      <c r="C491" s="800">
        <v>3</v>
      </c>
      <c r="D491" s="56" t="s">
        <v>1109</v>
      </c>
      <c r="E491" s="93" t="s">
        <v>1074</v>
      </c>
      <c r="F491" s="94">
        <v>2.01E-2</v>
      </c>
      <c r="G491" s="63">
        <f t="shared" si="14"/>
        <v>410200</v>
      </c>
      <c r="H491" s="63">
        <f t="shared" si="15"/>
        <v>8245.02</v>
      </c>
      <c r="I491" s="44"/>
    </row>
    <row r="492" spans="3:9" s="59" customFormat="1" ht="24.6" customHeight="1">
      <c r="C492" s="800">
        <v>4</v>
      </c>
      <c r="D492" s="56" t="s">
        <v>1875</v>
      </c>
      <c r="E492" s="93" t="s">
        <v>1074</v>
      </c>
      <c r="F492" s="94">
        <v>0.25890000000000002</v>
      </c>
      <c r="G492" s="63">
        <f t="shared" si="14"/>
        <v>556100</v>
      </c>
      <c r="H492" s="63">
        <f t="shared" si="15"/>
        <v>143974.29</v>
      </c>
      <c r="I492" s="44"/>
    </row>
    <row r="493" spans="3:9" s="59" customFormat="1" ht="24.6" customHeight="1">
      <c r="C493" s="800">
        <v>5</v>
      </c>
      <c r="D493" s="56" t="s">
        <v>4477</v>
      </c>
      <c r="E493" s="93" t="s">
        <v>1074</v>
      </c>
      <c r="F493" s="103">
        <v>0.11</v>
      </c>
      <c r="G493" s="63">
        <f t="shared" si="14"/>
        <v>450000</v>
      </c>
      <c r="H493" s="63">
        <f t="shared" si="15"/>
        <v>49500</v>
      </c>
      <c r="I493" s="44"/>
    </row>
    <row r="494" spans="3:9" s="59" customFormat="1" ht="24.6" customHeight="1">
      <c r="C494" s="800">
        <v>6</v>
      </c>
      <c r="D494" s="56" t="s">
        <v>1146</v>
      </c>
      <c r="E494" s="93" t="s">
        <v>1074</v>
      </c>
      <c r="F494" s="94">
        <v>1.0800000000000001E-2</v>
      </c>
      <c r="G494" s="63">
        <f t="shared" si="14"/>
        <v>469500</v>
      </c>
      <c r="H494" s="63">
        <f t="shared" si="15"/>
        <v>5070.6000000000004</v>
      </c>
      <c r="I494" s="44"/>
    </row>
    <row r="495" spans="3:9" s="59" customFormat="1" ht="24.6" customHeight="1">
      <c r="C495" s="800">
        <v>7</v>
      </c>
      <c r="D495" s="56" t="s">
        <v>4478</v>
      </c>
      <c r="E495" s="93" t="s">
        <v>1074</v>
      </c>
      <c r="F495" s="94">
        <v>4.5999999999999999E-3</v>
      </c>
      <c r="G495" s="63">
        <f t="shared" si="14"/>
        <v>275000</v>
      </c>
      <c r="H495" s="63">
        <f t="shared" si="15"/>
        <v>1265</v>
      </c>
      <c r="I495" s="44"/>
    </row>
    <row r="496" spans="3:9" s="59" customFormat="1" ht="24.6" customHeight="1">
      <c r="C496" s="450" t="s">
        <v>1217</v>
      </c>
      <c r="D496" s="67"/>
      <c r="E496" s="67"/>
      <c r="F496" s="67"/>
      <c r="G496" s="69"/>
      <c r="H496" s="882">
        <f>SUM(H488:H495)</f>
        <v>292610.5625</v>
      </c>
      <c r="I496" s="44"/>
    </row>
    <row r="497" spans="3:9" s="59" customFormat="1" ht="24.6" customHeight="1">
      <c r="C497" s="288" t="s">
        <v>1218</v>
      </c>
      <c r="D497" s="76" t="s">
        <v>1219</v>
      </c>
      <c r="E497" s="77"/>
      <c r="F497" s="77"/>
      <c r="G497" s="78"/>
      <c r="H497" s="585">
        <f>H496+H487+H481</f>
        <v>1586206.0625</v>
      </c>
      <c r="I497" s="369"/>
    </row>
    <row r="498" spans="3:9" s="59" customFormat="1" ht="24.6" customHeight="1">
      <c r="C498" s="288" t="s">
        <v>1220</v>
      </c>
      <c r="D498" s="76" t="s">
        <v>1321</v>
      </c>
      <c r="E498" s="77"/>
      <c r="F498" s="78"/>
      <c r="G498" s="80">
        <v>0.1</v>
      </c>
      <c r="H498" s="63">
        <f>H497*G498</f>
        <v>158620.60625000001</v>
      </c>
      <c r="I498" s="369"/>
    </row>
    <row r="499" spans="3:9" s="59" customFormat="1" ht="24.6" customHeight="1">
      <c r="C499" s="288" t="s">
        <v>1221</v>
      </c>
      <c r="D499" s="76" t="s">
        <v>1222</v>
      </c>
      <c r="E499" s="77"/>
      <c r="F499" s="77"/>
      <c r="G499" s="78"/>
      <c r="H499" s="799">
        <f>SUM(H497:H498)</f>
        <v>1744826.66875</v>
      </c>
      <c r="I499" s="369"/>
    </row>
    <row r="500" spans="3:9" s="59" customFormat="1" ht="15" customHeight="1">
      <c r="C500" s="54"/>
      <c r="D500" s="86"/>
      <c r="E500" s="86"/>
      <c r="F500" s="86"/>
      <c r="G500" s="86"/>
      <c r="H500" s="87"/>
      <c r="I500" s="44"/>
    </row>
  </sheetData>
  <dataValidations count="1">
    <dataValidation type="list" allowBlank="1" showInputMessage="1" showErrorMessage="1" sqref="D9:D12 D29:D32 D48:D51 D68:D71 D88:D91 D107:D110 D126:D129 D146:D149 D168:D170 D187:D189 D205:D207 D223:D225 D244:D247 D268:D271 D295:D298 D314:D317 D336:D339 D368:D371 D401:D404 D426:D429 D454:D455 D479:D480" xr:uid="{00000000-0002-0000-2300-000000000000}">
      <formula1>TENAGA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2:M1777"/>
  <sheetViews>
    <sheetView topLeftCell="A1669" zoomScale="91" zoomScaleNormal="85" workbookViewId="0">
      <selection activeCell="D1168" sqref="D1168"/>
    </sheetView>
  </sheetViews>
  <sheetFormatPr defaultRowHeight="13.2"/>
  <cols>
    <col min="1" max="1" width="1.44140625" style="122" customWidth="1"/>
    <col min="2" max="2" width="3.33203125" style="122" customWidth="1"/>
    <col min="3" max="3" width="10.33203125" style="122" customWidth="1"/>
    <col min="4" max="4" width="35.5546875" style="122" customWidth="1"/>
    <col min="5" max="5" width="8.88671875" style="122"/>
    <col min="6" max="6" width="16.44140625" style="122" customWidth="1"/>
    <col min="7" max="7" width="19.44140625" style="122" customWidth="1"/>
    <col min="8" max="8" width="23.33203125" style="122" customWidth="1"/>
    <col min="9" max="9" width="17.109375" style="122" bestFit="1" customWidth="1"/>
    <col min="10" max="16384" width="8.88671875" style="122"/>
  </cols>
  <sheetData>
    <row r="2" spans="3:13" ht="22.8" customHeight="1">
      <c r="C2" s="121">
        <v>8</v>
      </c>
      <c r="D2" s="121" t="s">
        <v>4483</v>
      </c>
    </row>
    <row r="3" spans="3:13" ht="22.8" customHeight="1">
      <c r="C3" s="368" t="s">
        <v>5531</v>
      </c>
      <c r="D3" s="121" t="s">
        <v>4484</v>
      </c>
    </row>
    <row r="4" spans="3:13" ht="22.8" customHeight="1">
      <c r="C4" s="46" t="s">
        <v>4485</v>
      </c>
      <c r="D4" s="1935" t="s">
        <v>4486</v>
      </c>
      <c r="E4" s="1935"/>
      <c r="F4" s="1935"/>
      <c r="G4" s="1935"/>
      <c r="H4" s="1935"/>
    </row>
    <row r="5" spans="3:13" s="59" customFormat="1" ht="22.8" customHeight="1">
      <c r="C5" s="46" t="s">
        <v>4491</v>
      </c>
      <c r="D5" s="1934" t="s">
        <v>4492</v>
      </c>
      <c r="E5" s="1934"/>
      <c r="F5" s="1934"/>
      <c r="G5" s="1934"/>
      <c r="H5" s="1934"/>
      <c r="I5" s="50">
        <f>ROUNDDOWN(H22,-2)</f>
        <v>417400</v>
      </c>
    </row>
    <row r="6" spans="3:13" s="59" customFormat="1" ht="33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  <c r="I6" s="44"/>
    </row>
    <row r="7" spans="3:13" s="59" customFormat="1" ht="19.2" customHeight="1">
      <c r="C7" s="61" t="s">
        <v>1201</v>
      </c>
      <c r="D7" s="56" t="s">
        <v>1202</v>
      </c>
      <c r="E7" s="57"/>
      <c r="F7" s="57"/>
      <c r="G7" s="57"/>
      <c r="H7" s="57"/>
      <c r="I7" s="44"/>
      <c r="J7" s="152" t="s">
        <v>1247</v>
      </c>
    </row>
    <row r="8" spans="3:13" s="59" customFormat="1" ht="19.2" customHeight="1">
      <c r="C8" s="588">
        <v>1</v>
      </c>
      <c r="D8" s="56" t="s">
        <v>5</v>
      </c>
      <c r="E8" s="577" t="s">
        <v>1863</v>
      </c>
      <c r="F8" s="101">
        <v>9.7600000000000006E-2</v>
      </c>
      <c r="G8" s="63">
        <f>VLOOKUP(D8,upahbahan,3,FALSE)</f>
        <v>100000</v>
      </c>
      <c r="H8" s="63">
        <f>F8*G8</f>
        <v>9760</v>
      </c>
      <c r="I8" s="44"/>
      <c r="J8" s="152" t="s">
        <v>1248</v>
      </c>
      <c r="M8" s="65">
        <v>0.1</v>
      </c>
    </row>
    <row r="9" spans="3:13" s="59" customFormat="1" ht="19.2" customHeight="1">
      <c r="C9" s="588">
        <v>2</v>
      </c>
      <c r="D9" s="56" t="s">
        <v>2165</v>
      </c>
      <c r="E9" s="577" t="s">
        <v>1863</v>
      </c>
      <c r="F9" s="101">
        <v>9.7600000000000006E-2</v>
      </c>
      <c r="G9" s="63">
        <f>VLOOKUP(D9,upahbahan,3,FALSE)</f>
        <v>135000</v>
      </c>
      <c r="H9" s="63">
        <f t="shared" ref="H9:H10" si="0">F9*G9</f>
        <v>13176</v>
      </c>
      <c r="I9" s="44"/>
      <c r="J9" s="152"/>
      <c r="M9" s="65"/>
    </row>
    <row r="10" spans="3:13" s="59" customFormat="1" ht="19.2" customHeight="1">
      <c r="C10" s="588">
        <v>3</v>
      </c>
      <c r="D10" s="56" t="s">
        <v>19</v>
      </c>
      <c r="E10" s="577" t="s">
        <v>1863</v>
      </c>
      <c r="F10" s="101">
        <v>4.8999999999999998E-3</v>
      </c>
      <c r="G10" s="63">
        <f>VLOOKUP(D10,upahbahan,3,FALSE)</f>
        <v>160000</v>
      </c>
      <c r="H10" s="63">
        <f t="shared" si="0"/>
        <v>784</v>
      </c>
      <c r="I10" s="44"/>
    </row>
    <row r="11" spans="3:13" s="59" customFormat="1" ht="19.2" customHeight="1">
      <c r="C11" s="450" t="s">
        <v>1208</v>
      </c>
      <c r="D11" s="67"/>
      <c r="E11" s="67"/>
      <c r="F11" s="142"/>
      <c r="G11" s="153"/>
      <c r="H11" s="63">
        <f>SUM(H8:H10)</f>
        <v>23720</v>
      </c>
      <c r="I11" s="154"/>
    </row>
    <row r="12" spans="3:13" s="59" customFormat="1" ht="19.2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19.2" customHeight="1">
      <c r="C13" s="61">
        <v>1</v>
      </c>
      <c r="D13" s="56" t="s">
        <v>4487</v>
      </c>
      <c r="E13" s="93" t="s">
        <v>42</v>
      </c>
      <c r="F13" s="103">
        <v>2.5000000000000001E-2</v>
      </c>
      <c r="G13" s="63">
        <f>VLOOKUP(D13,upahbahan,3,FALSE)</f>
        <v>1236000</v>
      </c>
      <c r="H13" s="63">
        <f>F13*G13</f>
        <v>30900</v>
      </c>
      <c r="I13" s="44"/>
    </row>
    <row r="14" spans="3:13" s="59" customFormat="1" ht="19.2" customHeight="1">
      <c r="C14" s="61">
        <v>2</v>
      </c>
      <c r="D14" s="56" t="s">
        <v>4488</v>
      </c>
      <c r="E14" s="93" t="s">
        <v>42</v>
      </c>
      <c r="F14" s="103">
        <v>0.05</v>
      </c>
      <c r="G14" s="63">
        <f>VLOOKUP(D14,upahbahan,3,FALSE)</f>
        <v>0</v>
      </c>
      <c r="H14" s="63">
        <f>F14*G14</f>
        <v>0</v>
      </c>
      <c r="I14" s="44"/>
    </row>
    <row r="15" spans="3:13" s="59" customFormat="1" ht="19.2" customHeight="1">
      <c r="C15" s="61">
        <v>3</v>
      </c>
      <c r="D15" s="56" t="s">
        <v>4489</v>
      </c>
      <c r="E15" s="93" t="s">
        <v>44</v>
      </c>
      <c r="F15" s="103">
        <v>0.83330000000000004</v>
      </c>
      <c r="G15" s="63">
        <f>VLOOKUP(D15,upahbahan,3,FALSE)</f>
        <v>220000</v>
      </c>
      <c r="H15" s="63">
        <f>F15*G15</f>
        <v>183326</v>
      </c>
      <c r="I15" s="44"/>
    </row>
    <row r="16" spans="3:13" s="59" customFormat="1" ht="19.2" customHeight="1">
      <c r="C16" s="450" t="s">
        <v>1214</v>
      </c>
      <c r="D16" s="67"/>
      <c r="E16" s="67"/>
      <c r="F16" s="67"/>
      <c r="G16" s="69"/>
      <c r="H16" s="63">
        <f>SUM(H13:H15)</f>
        <v>214226</v>
      </c>
      <c r="I16" s="44"/>
    </row>
    <row r="17" spans="3:13" s="59" customFormat="1" ht="19.2" customHeight="1">
      <c r="C17" s="61" t="s">
        <v>1215</v>
      </c>
      <c r="D17" s="56" t="s">
        <v>1216</v>
      </c>
      <c r="E17" s="93"/>
      <c r="F17" s="57"/>
      <c r="G17" s="57"/>
      <c r="H17" s="57"/>
      <c r="I17" s="44"/>
    </row>
    <row r="18" spans="3:13" s="59" customFormat="1" ht="19.2" customHeight="1">
      <c r="C18" s="800">
        <v>1</v>
      </c>
      <c r="D18" s="56" t="s">
        <v>1181</v>
      </c>
      <c r="E18" s="93" t="s">
        <v>1074</v>
      </c>
      <c r="F18" s="94">
        <v>9.7600000000000006E-2</v>
      </c>
      <c r="G18" s="63">
        <f>VLOOKUP(D18,upahbahan,3,FALSE)</f>
        <v>1450000</v>
      </c>
      <c r="H18" s="63">
        <f>F18*G18</f>
        <v>141520</v>
      </c>
      <c r="I18" s="44"/>
    </row>
    <row r="19" spans="3:13" s="59" customFormat="1" ht="19.2" customHeight="1">
      <c r="C19" s="450" t="s">
        <v>1217</v>
      </c>
      <c r="D19" s="67"/>
      <c r="E19" s="67"/>
      <c r="F19" s="67"/>
      <c r="G19" s="69"/>
      <c r="H19" s="882">
        <f>SUM(H17:H18)</f>
        <v>141520</v>
      </c>
      <c r="I19" s="44"/>
    </row>
    <row r="20" spans="3:13" s="59" customFormat="1" ht="19.2" customHeight="1">
      <c r="C20" s="288" t="s">
        <v>1218</v>
      </c>
      <c r="D20" s="76" t="s">
        <v>1219</v>
      </c>
      <c r="E20" s="77"/>
      <c r="F20" s="77"/>
      <c r="G20" s="78"/>
      <c r="H20" s="585">
        <f>H19+H16+H11</f>
        <v>379466</v>
      </c>
      <c r="I20" s="369"/>
    </row>
    <row r="21" spans="3:13" s="59" customFormat="1" ht="19.2" customHeight="1">
      <c r="C21" s="288" t="s">
        <v>1220</v>
      </c>
      <c r="D21" s="76" t="s">
        <v>1321</v>
      </c>
      <c r="E21" s="77"/>
      <c r="F21" s="78"/>
      <c r="G21" s="80">
        <v>0.1</v>
      </c>
      <c r="H21" s="63">
        <f>H20*G21</f>
        <v>37946.6</v>
      </c>
      <c r="I21" s="369"/>
    </row>
    <row r="22" spans="3:13" s="59" customFormat="1" ht="19.2" customHeight="1">
      <c r="C22" s="288" t="s">
        <v>1221</v>
      </c>
      <c r="D22" s="76" t="s">
        <v>1222</v>
      </c>
      <c r="E22" s="77"/>
      <c r="F22" s="77"/>
      <c r="G22" s="78"/>
      <c r="H22" s="799">
        <f>SUM(H20:H21)</f>
        <v>417412.6</v>
      </c>
      <c r="I22" s="369"/>
    </row>
    <row r="24" spans="3:13" s="59" customFormat="1" ht="19.5" customHeight="1">
      <c r="C24" s="46" t="s">
        <v>4493</v>
      </c>
      <c r="D24" s="1934" t="s">
        <v>4494</v>
      </c>
      <c r="E24" s="1934"/>
      <c r="F24" s="1934"/>
      <c r="G24" s="1934"/>
      <c r="H24" s="1934"/>
      <c r="I24" s="50">
        <f>ROUNDDOWN(H41,-2)</f>
        <v>464600</v>
      </c>
    </row>
    <row r="25" spans="3:13" s="59" customFormat="1" ht="33" customHeight="1">
      <c r="C25" s="591" t="s">
        <v>1195</v>
      </c>
      <c r="D25" s="591" t="s">
        <v>1196</v>
      </c>
      <c r="E25" s="591" t="s">
        <v>1197</v>
      </c>
      <c r="F25" s="591" t="s">
        <v>1198</v>
      </c>
      <c r="G25" s="591" t="s">
        <v>1199</v>
      </c>
      <c r="H25" s="591" t="s">
        <v>1200</v>
      </c>
      <c r="I25" s="44"/>
    </row>
    <row r="26" spans="3:13" s="59" customFormat="1" ht="19.2" customHeight="1">
      <c r="C26" s="61" t="s">
        <v>1201</v>
      </c>
      <c r="D26" s="56" t="s">
        <v>1202</v>
      </c>
      <c r="E26" s="57"/>
      <c r="F26" s="57"/>
      <c r="G26" s="57"/>
      <c r="H26" s="57"/>
      <c r="I26" s="44"/>
      <c r="J26" s="152" t="s">
        <v>1247</v>
      </c>
    </row>
    <row r="27" spans="3:13" s="59" customFormat="1" ht="19.2" customHeight="1">
      <c r="C27" s="588">
        <v>1</v>
      </c>
      <c r="D27" s="56" t="s">
        <v>5</v>
      </c>
      <c r="E27" s="577" t="s">
        <v>1863</v>
      </c>
      <c r="F27" s="101">
        <v>0.11310000000000001</v>
      </c>
      <c r="G27" s="63">
        <f>VLOOKUP(D27,upahbahan,3,FALSE)</f>
        <v>100000</v>
      </c>
      <c r="H27" s="63">
        <f>F27*G27</f>
        <v>11310</v>
      </c>
      <c r="I27" s="44"/>
      <c r="J27" s="152" t="s">
        <v>1248</v>
      </c>
      <c r="M27" s="65">
        <v>0.1</v>
      </c>
    </row>
    <row r="28" spans="3:13" s="59" customFormat="1" ht="19.2" customHeight="1">
      <c r="C28" s="588">
        <v>2</v>
      </c>
      <c r="D28" s="56" t="s">
        <v>2165</v>
      </c>
      <c r="E28" s="577" t="s">
        <v>1863</v>
      </c>
      <c r="F28" s="101">
        <v>0.11310000000000001</v>
      </c>
      <c r="G28" s="63">
        <f>VLOOKUP(D28,upahbahan,3,FALSE)</f>
        <v>135000</v>
      </c>
      <c r="H28" s="63">
        <f t="shared" ref="H28:H29" si="1">F28*G28</f>
        <v>15268.5</v>
      </c>
      <c r="I28" s="44"/>
      <c r="J28" s="152"/>
      <c r="M28" s="65"/>
    </row>
    <row r="29" spans="3:13" s="59" customFormat="1" ht="19.2" customHeight="1">
      <c r="C29" s="588">
        <v>3</v>
      </c>
      <c r="D29" s="56" t="s">
        <v>19</v>
      </c>
      <c r="E29" s="577" t="s">
        <v>1863</v>
      </c>
      <c r="F29" s="101">
        <v>5.7000000000000002E-3</v>
      </c>
      <c r="G29" s="63">
        <f>VLOOKUP(D29,upahbahan,3,FALSE)</f>
        <v>160000</v>
      </c>
      <c r="H29" s="63">
        <f t="shared" si="1"/>
        <v>912</v>
      </c>
      <c r="I29" s="44"/>
    </row>
    <row r="30" spans="3:13" s="59" customFormat="1" ht="19.2" customHeight="1">
      <c r="C30" s="450" t="s">
        <v>1208</v>
      </c>
      <c r="D30" s="67"/>
      <c r="E30" s="67"/>
      <c r="F30" s="142"/>
      <c r="G30" s="153"/>
      <c r="H30" s="63">
        <f>SUM(H27:H29)</f>
        <v>27490.5</v>
      </c>
      <c r="I30" s="154"/>
    </row>
    <row r="31" spans="3:13" s="59" customFormat="1" ht="19.2" customHeight="1">
      <c r="C31" s="61" t="s">
        <v>1209</v>
      </c>
      <c r="D31" s="56" t="s">
        <v>1210</v>
      </c>
      <c r="E31" s="57"/>
      <c r="F31" s="57"/>
      <c r="G31" s="57"/>
      <c r="H31" s="57"/>
      <c r="I31" s="44"/>
    </row>
    <row r="32" spans="3:13" s="59" customFormat="1" ht="19.2" customHeight="1">
      <c r="C32" s="61">
        <v>1</v>
      </c>
      <c r="D32" s="56" t="s">
        <v>4487</v>
      </c>
      <c r="E32" s="93" t="s">
        <v>42</v>
      </c>
      <c r="F32" s="103">
        <v>2.5000000000000001E-2</v>
      </c>
      <c r="G32" s="63">
        <f>VLOOKUP(D32,upahbahan,3,FALSE)</f>
        <v>1236000</v>
      </c>
      <c r="H32" s="63">
        <f>F32*G32</f>
        <v>30900</v>
      </c>
      <c r="I32" s="44"/>
    </row>
    <row r="33" spans="3:13" s="59" customFormat="1" ht="19.2" customHeight="1">
      <c r="C33" s="61">
        <v>2</v>
      </c>
      <c r="D33" s="56" t="s">
        <v>4488</v>
      </c>
      <c r="E33" s="93" t="s">
        <v>42</v>
      </c>
      <c r="F33" s="103">
        <v>0.05</v>
      </c>
      <c r="G33" s="63">
        <f>VLOOKUP(D33,upahbahan,3,FALSE)</f>
        <v>0</v>
      </c>
      <c r="H33" s="63">
        <f>F33*G33</f>
        <v>0</v>
      </c>
      <c r="I33" s="44"/>
    </row>
    <row r="34" spans="3:13" s="59" customFormat="1" ht="19.2" customHeight="1">
      <c r="C34" s="61">
        <v>3</v>
      </c>
      <c r="D34" s="56" t="s">
        <v>4495</v>
      </c>
      <c r="E34" s="93" t="s">
        <v>2167</v>
      </c>
      <c r="F34" s="103">
        <v>0.83330000000000004</v>
      </c>
      <c r="G34" s="63">
        <f>VLOOKUP(D34,upahbahan,3,FALSE)</f>
        <v>240000</v>
      </c>
      <c r="H34" s="63">
        <f>F34*G34</f>
        <v>199992</v>
      </c>
      <c r="I34" s="44"/>
    </row>
    <row r="35" spans="3:13" s="59" customFormat="1" ht="19.2" customHeight="1">
      <c r="C35" s="450" t="s">
        <v>1214</v>
      </c>
      <c r="D35" s="67"/>
      <c r="E35" s="67"/>
      <c r="F35" s="67"/>
      <c r="G35" s="69"/>
      <c r="H35" s="63">
        <f>SUM(H32:H34)</f>
        <v>230892</v>
      </c>
      <c r="I35" s="44"/>
    </row>
    <row r="36" spans="3:13" s="59" customFormat="1" ht="19.2" customHeight="1">
      <c r="C36" s="61" t="s">
        <v>1215</v>
      </c>
      <c r="D36" s="56" t="s">
        <v>1216</v>
      </c>
      <c r="E36" s="93"/>
      <c r="F36" s="57"/>
      <c r="G36" s="57"/>
      <c r="H36" s="57"/>
      <c r="I36" s="44"/>
    </row>
    <row r="37" spans="3:13" s="59" customFormat="1" ht="19.2" customHeight="1">
      <c r="C37" s="800">
        <v>1</v>
      </c>
      <c r="D37" s="56" t="s">
        <v>1181</v>
      </c>
      <c r="E37" s="93" t="s">
        <v>1074</v>
      </c>
      <c r="F37" s="94">
        <v>0.11310000000000001</v>
      </c>
      <c r="G37" s="63">
        <f>VLOOKUP(D37,upahbahan,3,FALSE)</f>
        <v>1450000</v>
      </c>
      <c r="H37" s="63">
        <f>F37*G37</f>
        <v>163995</v>
      </c>
      <c r="I37" s="44"/>
    </row>
    <row r="38" spans="3:13" s="59" customFormat="1" ht="19.2" customHeight="1">
      <c r="C38" s="450" t="s">
        <v>1217</v>
      </c>
      <c r="D38" s="67"/>
      <c r="E38" s="67"/>
      <c r="F38" s="67"/>
      <c r="G38" s="69"/>
      <c r="H38" s="882">
        <f>SUM(H36:H37)</f>
        <v>163995</v>
      </c>
      <c r="I38" s="44"/>
    </row>
    <row r="39" spans="3:13" s="59" customFormat="1" ht="19.2" customHeight="1">
      <c r="C39" s="288" t="s">
        <v>1218</v>
      </c>
      <c r="D39" s="76" t="s">
        <v>1219</v>
      </c>
      <c r="E39" s="77"/>
      <c r="F39" s="77"/>
      <c r="G39" s="78"/>
      <c r="H39" s="585">
        <f>H38+H35+H30</f>
        <v>422377.5</v>
      </c>
      <c r="I39" s="369"/>
    </row>
    <row r="40" spans="3:13" s="59" customFormat="1" ht="19.2" customHeight="1">
      <c r="C40" s="288" t="s">
        <v>1220</v>
      </c>
      <c r="D40" s="76" t="s">
        <v>1321</v>
      </c>
      <c r="E40" s="77"/>
      <c r="F40" s="78"/>
      <c r="G40" s="80">
        <v>0.1</v>
      </c>
      <c r="H40" s="63">
        <f>H39*G40</f>
        <v>42237.75</v>
      </c>
      <c r="I40" s="369"/>
    </row>
    <row r="41" spans="3:13" s="59" customFormat="1" ht="19.2" customHeight="1">
      <c r="C41" s="288" t="s">
        <v>1221</v>
      </c>
      <c r="D41" s="76" t="s">
        <v>1222</v>
      </c>
      <c r="E41" s="77"/>
      <c r="F41" s="77"/>
      <c r="G41" s="78"/>
      <c r="H41" s="799">
        <f>SUM(H39:H40)</f>
        <v>464615.25</v>
      </c>
      <c r="I41" s="369"/>
    </row>
    <row r="43" spans="3:13" s="59" customFormat="1" ht="19.5" customHeight="1">
      <c r="C43" s="46" t="s">
        <v>4496</v>
      </c>
      <c r="D43" s="1934" t="s">
        <v>4497</v>
      </c>
      <c r="E43" s="1934"/>
      <c r="F43" s="1934"/>
      <c r="G43" s="1934"/>
      <c r="H43" s="1934"/>
      <c r="I43" s="50">
        <f>ROUNDDOWN(H60,-2)</f>
        <v>524600</v>
      </c>
    </row>
    <row r="44" spans="3:13" s="59" customFormat="1" ht="33" customHeight="1">
      <c r="C44" s="591" t="s">
        <v>1195</v>
      </c>
      <c r="D44" s="591" t="s">
        <v>1196</v>
      </c>
      <c r="E44" s="591" t="s">
        <v>1197</v>
      </c>
      <c r="F44" s="591" t="s">
        <v>1198</v>
      </c>
      <c r="G44" s="591" t="s">
        <v>1199</v>
      </c>
      <c r="H44" s="591" t="s">
        <v>1200</v>
      </c>
      <c r="I44" s="44"/>
    </row>
    <row r="45" spans="3:13" s="59" customFormat="1" ht="19.2" customHeight="1">
      <c r="C45" s="61" t="s">
        <v>1201</v>
      </c>
      <c r="D45" s="56" t="s">
        <v>1202</v>
      </c>
      <c r="E45" s="57"/>
      <c r="F45" s="57"/>
      <c r="G45" s="57"/>
      <c r="H45" s="57"/>
      <c r="I45" s="44"/>
      <c r="J45" s="152" t="s">
        <v>1247</v>
      </c>
    </row>
    <row r="46" spans="3:13" s="59" customFormat="1" ht="19.2" customHeight="1">
      <c r="C46" s="588">
        <v>1</v>
      </c>
      <c r="D46" s="56" t="s">
        <v>5</v>
      </c>
      <c r="E46" s="577" t="s">
        <v>1863</v>
      </c>
      <c r="F46" s="101">
        <v>0.12509999999999999</v>
      </c>
      <c r="G46" s="63">
        <f>VLOOKUP(D46,upahbahan,3,FALSE)</f>
        <v>100000</v>
      </c>
      <c r="H46" s="63">
        <f>F46*G46</f>
        <v>12509.999999999998</v>
      </c>
      <c r="I46" s="44"/>
      <c r="J46" s="152" t="s">
        <v>1248</v>
      </c>
      <c r="M46" s="65">
        <v>0.1</v>
      </c>
    </row>
    <row r="47" spans="3:13" s="59" customFormat="1" ht="19.2" customHeight="1">
      <c r="C47" s="588">
        <v>2</v>
      </c>
      <c r="D47" s="56" t="s">
        <v>2165</v>
      </c>
      <c r="E47" s="577" t="s">
        <v>1863</v>
      </c>
      <c r="F47" s="101">
        <v>0.12509999999999999</v>
      </c>
      <c r="G47" s="63">
        <f>VLOOKUP(D47,upahbahan,3,FALSE)</f>
        <v>135000</v>
      </c>
      <c r="H47" s="63">
        <f t="shared" ref="H47:H48" si="2">F47*G47</f>
        <v>16888.5</v>
      </c>
      <c r="I47" s="44"/>
      <c r="J47" s="152"/>
      <c r="M47" s="65"/>
    </row>
    <row r="48" spans="3:13" s="59" customFormat="1" ht="19.2" customHeight="1">
      <c r="C48" s="588">
        <v>3</v>
      </c>
      <c r="D48" s="56" t="s">
        <v>19</v>
      </c>
      <c r="E48" s="577" t="s">
        <v>1863</v>
      </c>
      <c r="F48" s="101">
        <v>6.3E-3</v>
      </c>
      <c r="G48" s="63">
        <f>VLOOKUP(D48,upahbahan,3,FALSE)</f>
        <v>160000</v>
      </c>
      <c r="H48" s="63">
        <f t="shared" si="2"/>
        <v>1008</v>
      </c>
      <c r="I48" s="44"/>
    </row>
    <row r="49" spans="3:10" s="59" customFormat="1" ht="19.2" customHeight="1">
      <c r="C49" s="450" t="s">
        <v>1208</v>
      </c>
      <c r="D49" s="67"/>
      <c r="E49" s="67"/>
      <c r="F49" s="142"/>
      <c r="G49" s="153"/>
      <c r="H49" s="63">
        <f>SUM(H46:H48)</f>
        <v>30406.5</v>
      </c>
      <c r="I49" s="154"/>
    </row>
    <row r="50" spans="3:10" s="59" customFormat="1" ht="19.2" customHeight="1">
      <c r="C50" s="61" t="s">
        <v>1209</v>
      </c>
      <c r="D50" s="56" t="s">
        <v>1210</v>
      </c>
      <c r="E50" s="57"/>
      <c r="F50" s="57"/>
      <c r="G50" s="57"/>
      <c r="H50" s="57"/>
      <c r="I50" s="44"/>
    </row>
    <row r="51" spans="3:10" s="59" customFormat="1" ht="19.2" customHeight="1">
      <c r="C51" s="61">
        <v>1</v>
      </c>
      <c r="D51" s="56" t="s">
        <v>4487</v>
      </c>
      <c r="E51" s="93" t="s">
        <v>42</v>
      </c>
      <c r="F51" s="103">
        <v>3.2500000000000001E-2</v>
      </c>
      <c r="G51" s="63">
        <f>VLOOKUP(D51,upahbahan,3,FALSE)</f>
        <v>1236000</v>
      </c>
      <c r="H51" s="63">
        <f>F51*G51</f>
        <v>40170</v>
      </c>
      <c r="I51" s="44"/>
    </row>
    <row r="52" spans="3:10" s="59" customFormat="1" ht="19.2" customHeight="1">
      <c r="C52" s="61">
        <v>2</v>
      </c>
      <c r="D52" s="56" t="s">
        <v>4488</v>
      </c>
      <c r="E52" s="93" t="s">
        <v>42</v>
      </c>
      <c r="F52" s="103">
        <v>6.5000000000000002E-2</v>
      </c>
      <c r="G52" s="63">
        <f>VLOOKUP(D52,upahbahan,3,FALSE)</f>
        <v>0</v>
      </c>
      <c r="H52" s="63">
        <f>F52*G52</f>
        <v>0</v>
      </c>
      <c r="I52" s="44"/>
    </row>
    <row r="53" spans="3:10" s="59" customFormat="1" ht="19.2" customHeight="1">
      <c r="C53" s="61">
        <v>3</v>
      </c>
      <c r="D53" s="56" t="s">
        <v>4498</v>
      </c>
      <c r="E53" s="93" t="s">
        <v>44</v>
      </c>
      <c r="F53" s="103">
        <v>0.83330000000000004</v>
      </c>
      <c r="G53" s="63">
        <f>VLOOKUP(D53,upahbahan,3,FALSE)</f>
        <v>270000</v>
      </c>
      <c r="H53" s="63">
        <f>F53*G53</f>
        <v>224991</v>
      </c>
      <c r="I53" s="44"/>
    </row>
    <row r="54" spans="3:10" s="59" customFormat="1" ht="19.2" customHeight="1">
      <c r="C54" s="450" t="s">
        <v>1214</v>
      </c>
      <c r="D54" s="67"/>
      <c r="E54" s="67"/>
      <c r="F54" s="67"/>
      <c r="G54" s="69"/>
      <c r="H54" s="63">
        <f>SUM(H51:H53)</f>
        <v>265161</v>
      </c>
      <c r="I54" s="44"/>
    </row>
    <row r="55" spans="3:10" s="59" customFormat="1" ht="19.2" customHeight="1">
      <c r="C55" s="61" t="s">
        <v>1215</v>
      </c>
      <c r="D55" s="56" t="s">
        <v>1216</v>
      </c>
      <c r="E55" s="93"/>
      <c r="F55" s="57"/>
      <c r="G55" s="57"/>
      <c r="H55" s="57"/>
      <c r="I55" s="44"/>
    </row>
    <row r="56" spans="3:10" s="59" customFormat="1" ht="19.2" customHeight="1">
      <c r="C56" s="800">
        <v>1</v>
      </c>
      <c r="D56" s="56" t="s">
        <v>1181</v>
      </c>
      <c r="E56" s="93" t="s">
        <v>1074</v>
      </c>
      <c r="F56" s="94">
        <v>0.12509999999999999</v>
      </c>
      <c r="G56" s="63">
        <f>VLOOKUP(D56,upahbahan,3,FALSE)</f>
        <v>1450000</v>
      </c>
      <c r="H56" s="63">
        <f>F56*G56</f>
        <v>181394.99999999997</v>
      </c>
      <c r="I56" s="44"/>
    </row>
    <row r="57" spans="3:10" s="59" customFormat="1" ht="19.2" customHeight="1">
      <c r="C57" s="450" t="s">
        <v>1217</v>
      </c>
      <c r="D57" s="67"/>
      <c r="E57" s="67"/>
      <c r="F57" s="67"/>
      <c r="G57" s="69"/>
      <c r="H57" s="882">
        <f>SUM(H55:H56)</f>
        <v>181394.99999999997</v>
      </c>
      <c r="I57" s="44"/>
    </row>
    <row r="58" spans="3:10" s="59" customFormat="1" ht="19.2" customHeight="1">
      <c r="C58" s="288" t="s">
        <v>1218</v>
      </c>
      <c r="D58" s="76" t="s">
        <v>1219</v>
      </c>
      <c r="E58" s="77"/>
      <c r="F58" s="77"/>
      <c r="G58" s="78"/>
      <c r="H58" s="585">
        <f>H57+H54+H49</f>
        <v>476962.5</v>
      </c>
      <c r="I58" s="369"/>
    </row>
    <row r="59" spans="3:10" s="59" customFormat="1" ht="19.2" customHeight="1">
      <c r="C59" s="288" t="s">
        <v>1220</v>
      </c>
      <c r="D59" s="76" t="s">
        <v>1321</v>
      </c>
      <c r="E59" s="77"/>
      <c r="F59" s="78"/>
      <c r="G59" s="80">
        <v>0.1</v>
      </c>
      <c r="H59" s="63">
        <f>H58*G59</f>
        <v>47696.25</v>
      </c>
      <c r="I59" s="369"/>
    </row>
    <row r="60" spans="3:10" s="59" customFormat="1" ht="19.2" customHeight="1">
      <c r="C60" s="288" t="s">
        <v>1221</v>
      </c>
      <c r="D60" s="76" t="s">
        <v>1222</v>
      </c>
      <c r="E60" s="77"/>
      <c r="F60" s="77"/>
      <c r="G60" s="78"/>
      <c r="H60" s="799">
        <f>SUM(H58:H59)</f>
        <v>524658.75</v>
      </c>
      <c r="I60" s="369"/>
    </row>
    <row r="62" spans="3:10" s="59" customFormat="1" ht="19.5" customHeight="1">
      <c r="C62" s="46" t="s">
        <v>4499</v>
      </c>
      <c r="D62" s="1934" t="s">
        <v>4501</v>
      </c>
      <c r="E62" s="1934"/>
      <c r="F62" s="1934"/>
      <c r="G62" s="1934"/>
      <c r="H62" s="1934"/>
      <c r="I62" s="50">
        <f>ROUNDDOWN(H79,-2)</f>
        <v>563000</v>
      </c>
    </row>
    <row r="63" spans="3:10" s="59" customFormat="1" ht="33" customHeight="1">
      <c r="C63" s="591" t="s">
        <v>1195</v>
      </c>
      <c r="D63" s="591" t="s">
        <v>1196</v>
      </c>
      <c r="E63" s="591" t="s">
        <v>1197</v>
      </c>
      <c r="F63" s="591" t="s">
        <v>1198</v>
      </c>
      <c r="G63" s="591" t="s">
        <v>1199</v>
      </c>
      <c r="H63" s="591" t="s">
        <v>1200</v>
      </c>
      <c r="I63" s="44"/>
    </row>
    <row r="64" spans="3:10" s="59" customFormat="1" ht="19.2" customHeight="1">
      <c r="C64" s="61" t="s">
        <v>1201</v>
      </c>
      <c r="D64" s="56" t="s">
        <v>1202</v>
      </c>
      <c r="E64" s="57"/>
      <c r="F64" s="57"/>
      <c r="G64" s="57"/>
      <c r="H64" s="57"/>
      <c r="I64" s="44"/>
      <c r="J64" s="152" t="s">
        <v>1247</v>
      </c>
    </row>
    <row r="65" spans="3:13" s="59" customFormat="1" ht="19.2" customHeight="1">
      <c r="C65" s="588">
        <v>1</v>
      </c>
      <c r="D65" s="56" t="s">
        <v>5</v>
      </c>
      <c r="E65" s="577" t="s">
        <v>1863</v>
      </c>
      <c r="F65" s="101">
        <v>0.13589999999999999</v>
      </c>
      <c r="G65" s="63">
        <f>VLOOKUP(D65,upahbahan,3,FALSE)</f>
        <v>100000</v>
      </c>
      <c r="H65" s="63">
        <f>F65*G65</f>
        <v>13590</v>
      </c>
      <c r="I65" s="44"/>
      <c r="J65" s="152" t="s">
        <v>1248</v>
      </c>
      <c r="M65" s="65">
        <v>0.1</v>
      </c>
    </row>
    <row r="66" spans="3:13" s="59" customFormat="1" ht="19.2" customHeight="1">
      <c r="C66" s="588">
        <v>2</v>
      </c>
      <c r="D66" s="56" t="s">
        <v>2165</v>
      </c>
      <c r="E66" s="577" t="s">
        <v>1863</v>
      </c>
      <c r="F66" s="101">
        <v>0.13589999999999999</v>
      </c>
      <c r="G66" s="63">
        <f>VLOOKUP(D66,upahbahan,3,FALSE)</f>
        <v>135000</v>
      </c>
      <c r="H66" s="63">
        <f t="shared" ref="H66:H67" si="3">F66*G66</f>
        <v>18346.5</v>
      </c>
      <c r="I66" s="44"/>
      <c r="J66" s="152"/>
      <c r="M66" s="65"/>
    </row>
    <row r="67" spans="3:13" s="59" customFormat="1" ht="19.2" customHeight="1">
      <c r="C67" s="588">
        <v>3</v>
      </c>
      <c r="D67" s="56" t="s">
        <v>19</v>
      </c>
      <c r="E67" s="577" t="s">
        <v>1863</v>
      </c>
      <c r="F67" s="101">
        <v>6.7999999999999996E-3</v>
      </c>
      <c r="G67" s="63">
        <f>VLOOKUP(D67,upahbahan,3,FALSE)</f>
        <v>160000</v>
      </c>
      <c r="H67" s="63">
        <f t="shared" si="3"/>
        <v>1088</v>
      </c>
      <c r="I67" s="44"/>
    </row>
    <row r="68" spans="3:13" s="59" customFormat="1" ht="19.2" customHeight="1">
      <c r="C68" s="450" t="s">
        <v>1208</v>
      </c>
      <c r="D68" s="67"/>
      <c r="E68" s="67"/>
      <c r="F68" s="142"/>
      <c r="G68" s="153"/>
      <c r="H68" s="63">
        <f>SUM(H65:H67)</f>
        <v>33024.5</v>
      </c>
      <c r="I68" s="154"/>
    </row>
    <row r="69" spans="3:13" s="59" customFormat="1" ht="19.2" customHeight="1">
      <c r="C69" s="61" t="s">
        <v>1209</v>
      </c>
      <c r="D69" s="56" t="s">
        <v>1210</v>
      </c>
      <c r="E69" s="57"/>
      <c r="F69" s="57"/>
      <c r="G69" s="57"/>
      <c r="H69" s="57"/>
      <c r="I69" s="44"/>
    </row>
    <row r="70" spans="3:13" s="59" customFormat="1" ht="19.2" customHeight="1">
      <c r="C70" s="61">
        <v>1</v>
      </c>
      <c r="D70" s="56" t="s">
        <v>4487</v>
      </c>
      <c r="E70" s="93" t="s">
        <v>42</v>
      </c>
      <c r="F70" s="103">
        <v>3.2500000000000001E-2</v>
      </c>
      <c r="G70" s="63">
        <f>VLOOKUP(D70,upahbahan,3,FALSE)</f>
        <v>1236000</v>
      </c>
      <c r="H70" s="63">
        <f>F70*G70</f>
        <v>40170</v>
      </c>
      <c r="I70" s="44"/>
    </row>
    <row r="71" spans="3:13" s="59" customFormat="1" ht="19.2" customHeight="1">
      <c r="C71" s="61">
        <v>2</v>
      </c>
      <c r="D71" s="56" t="s">
        <v>4488</v>
      </c>
      <c r="E71" s="93" t="s">
        <v>42</v>
      </c>
      <c r="F71" s="103">
        <v>6.5000000000000002E-2</v>
      </c>
      <c r="G71" s="63">
        <f>VLOOKUP(D71,upahbahan,3,FALSE)</f>
        <v>0</v>
      </c>
      <c r="H71" s="63">
        <f>F71*G71</f>
        <v>0</v>
      </c>
      <c r="I71" s="44"/>
    </row>
    <row r="72" spans="3:13" s="59" customFormat="1" ht="19.2" customHeight="1">
      <c r="C72" s="61">
        <v>3</v>
      </c>
      <c r="D72" s="56" t="s">
        <v>4500</v>
      </c>
      <c r="E72" s="93" t="s">
        <v>44</v>
      </c>
      <c r="F72" s="103">
        <v>0.83330000000000004</v>
      </c>
      <c r="G72" s="63">
        <f>VLOOKUP(D72,upahbahan,3,FALSE)</f>
        <v>290000</v>
      </c>
      <c r="H72" s="63">
        <f>F72*G72</f>
        <v>241657</v>
      </c>
      <c r="I72" s="44"/>
    </row>
    <row r="73" spans="3:13" s="59" customFormat="1" ht="19.2" customHeight="1">
      <c r="C73" s="450" t="s">
        <v>1214</v>
      </c>
      <c r="D73" s="67"/>
      <c r="E73" s="67"/>
      <c r="F73" s="67"/>
      <c r="G73" s="69"/>
      <c r="H73" s="63">
        <f>SUM(H70:H72)</f>
        <v>281827</v>
      </c>
      <c r="I73" s="44"/>
    </row>
    <row r="74" spans="3:13" s="59" customFormat="1" ht="19.2" customHeight="1">
      <c r="C74" s="61" t="s">
        <v>1215</v>
      </c>
      <c r="D74" s="56" t="s">
        <v>1216</v>
      </c>
      <c r="E74" s="93"/>
      <c r="F74" s="57"/>
      <c r="G74" s="57"/>
      <c r="H74" s="57"/>
      <c r="I74" s="44"/>
    </row>
    <row r="75" spans="3:13" s="59" customFormat="1" ht="19.2" customHeight="1">
      <c r="C75" s="800">
        <v>1</v>
      </c>
      <c r="D75" s="56" t="s">
        <v>1181</v>
      </c>
      <c r="E75" s="93" t="s">
        <v>1074</v>
      </c>
      <c r="F75" s="94">
        <v>0.13589999999999999</v>
      </c>
      <c r="G75" s="63">
        <f>VLOOKUP(D75,upahbahan,3,FALSE)</f>
        <v>1450000</v>
      </c>
      <c r="H75" s="63">
        <f>F75*G75</f>
        <v>197055</v>
      </c>
      <c r="I75" s="44"/>
    </row>
    <row r="76" spans="3:13" s="59" customFormat="1" ht="19.2" customHeight="1">
      <c r="C76" s="450" t="s">
        <v>1217</v>
      </c>
      <c r="D76" s="67"/>
      <c r="E76" s="67"/>
      <c r="F76" s="67"/>
      <c r="G76" s="69"/>
      <c r="H76" s="882">
        <f>SUM(H74:H75)</f>
        <v>197055</v>
      </c>
      <c r="I76" s="44"/>
    </row>
    <row r="77" spans="3:13" s="59" customFormat="1" ht="19.2" customHeight="1">
      <c r="C77" s="288" t="s">
        <v>1218</v>
      </c>
      <c r="D77" s="76" t="s">
        <v>1219</v>
      </c>
      <c r="E77" s="77"/>
      <c r="F77" s="77"/>
      <c r="G77" s="78"/>
      <c r="H77" s="585">
        <f>H76+H73+H68</f>
        <v>511906.5</v>
      </c>
      <c r="I77" s="369"/>
    </row>
    <row r="78" spans="3:13" s="59" customFormat="1" ht="19.2" customHeight="1">
      <c r="C78" s="288" t="s">
        <v>1220</v>
      </c>
      <c r="D78" s="76" t="s">
        <v>1321</v>
      </c>
      <c r="E78" s="77"/>
      <c r="F78" s="78"/>
      <c r="G78" s="80">
        <v>0.1</v>
      </c>
      <c r="H78" s="63">
        <f>H77*G78</f>
        <v>51190.65</v>
      </c>
      <c r="I78" s="369"/>
    </row>
    <row r="79" spans="3:13" s="59" customFormat="1" ht="19.2" customHeight="1">
      <c r="C79" s="288" t="s">
        <v>1221</v>
      </c>
      <c r="D79" s="76" t="s">
        <v>1222</v>
      </c>
      <c r="E79" s="77"/>
      <c r="F79" s="77"/>
      <c r="G79" s="78"/>
      <c r="H79" s="799">
        <f>SUM(H77:H78)</f>
        <v>563097.15</v>
      </c>
      <c r="I79" s="369"/>
    </row>
    <row r="81" spans="3:13" s="59" customFormat="1" ht="19.5" customHeight="1">
      <c r="C81" s="46" t="s">
        <v>4502</v>
      </c>
      <c r="D81" s="1934" t="s">
        <v>4503</v>
      </c>
      <c r="E81" s="1934"/>
      <c r="F81" s="1934"/>
      <c r="G81" s="1934"/>
      <c r="H81" s="1934"/>
      <c r="I81" s="50">
        <f>ROUNDDOWN(H98,-2)</f>
        <v>602600</v>
      </c>
    </row>
    <row r="82" spans="3:13" s="59" customFormat="1" ht="33" customHeight="1">
      <c r="C82" s="591" t="s">
        <v>1195</v>
      </c>
      <c r="D82" s="591" t="s">
        <v>1196</v>
      </c>
      <c r="E82" s="591" t="s">
        <v>1197</v>
      </c>
      <c r="F82" s="591" t="s">
        <v>1198</v>
      </c>
      <c r="G82" s="591" t="s">
        <v>1199</v>
      </c>
      <c r="H82" s="591" t="s">
        <v>1200</v>
      </c>
      <c r="I82" s="44"/>
    </row>
    <row r="83" spans="3:13" s="59" customFormat="1" ht="19.2" customHeight="1">
      <c r="C83" s="61" t="s">
        <v>1201</v>
      </c>
      <c r="D83" s="56" t="s">
        <v>1202</v>
      </c>
      <c r="E83" s="57"/>
      <c r="F83" s="57"/>
      <c r="G83" s="57"/>
      <c r="H83" s="57"/>
      <c r="I83" s="44"/>
      <c r="J83" s="152" t="s">
        <v>1247</v>
      </c>
    </row>
    <row r="84" spans="3:13" s="59" customFormat="1" ht="19.2" customHeight="1">
      <c r="C84" s="588">
        <v>1</v>
      </c>
      <c r="D84" s="56" t="s">
        <v>5</v>
      </c>
      <c r="E84" s="577" t="s">
        <v>1863</v>
      </c>
      <c r="F84" s="101">
        <v>0.1424</v>
      </c>
      <c r="G84" s="63">
        <f>VLOOKUP(D84,upahbahan,3,FALSE)</f>
        <v>100000</v>
      </c>
      <c r="H84" s="63">
        <f>F84*G84</f>
        <v>14240</v>
      </c>
      <c r="I84" s="44"/>
      <c r="J84" s="152" t="s">
        <v>1248</v>
      </c>
      <c r="M84" s="65">
        <v>0.1</v>
      </c>
    </row>
    <row r="85" spans="3:13" s="59" customFormat="1" ht="19.2" customHeight="1">
      <c r="C85" s="588">
        <v>2</v>
      </c>
      <c r="D85" s="56" t="s">
        <v>2165</v>
      </c>
      <c r="E85" s="577" t="s">
        <v>1863</v>
      </c>
      <c r="F85" s="101">
        <v>0.1424</v>
      </c>
      <c r="G85" s="63">
        <f>VLOOKUP(D85,upahbahan,3,FALSE)</f>
        <v>135000</v>
      </c>
      <c r="H85" s="63">
        <f t="shared" ref="H85:H86" si="4">F85*G85</f>
        <v>19224</v>
      </c>
      <c r="I85" s="44"/>
      <c r="J85" s="152"/>
      <c r="M85" s="65"/>
    </row>
    <row r="86" spans="3:13" s="59" customFormat="1" ht="19.2" customHeight="1">
      <c r="C86" s="588">
        <v>3</v>
      </c>
      <c r="D86" s="56" t="s">
        <v>19</v>
      </c>
      <c r="E86" s="577" t="s">
        <v>1863</v>
      </c>
      <c r="F86" s="101">
        <v>7.1000000000000004E-3</v>
      </c>
      <c r="G86" s="63">
        <f>VLOOKUP(D86,upahbahan,3,FALSE)</f>
        <v>160000</v>
      </c>
      <c r="H86" s="63">
        <f t="shared" si="4"/>
        <v>1136</v>
      </c>
      <c r="I86" s="44"/>
    </row>
    <row r="87" spans="3:13" s="59" customFormat="1" ht="19.2" customHeight="1">
      <c r="C87" s="450" t="s">
        <v>1208</v>
      </c>
      <c r="D87" s="67"/>
      <c r="E87" s="67"/>
      <c r="F87" s="142"/>
      <c r="G87" s="153"/>
      <c r="H87" s="63">
        <f>SUM(H84:H86)</f>
        <v>34600</v>
      </c>
      <c r="I87" s="154"/>
    </row>
    <row r="88" spans="3:13" s="59" customFormat="1" ht="19.2" customHeight="1">
      <c r="C88" s="61" t="s">
        <v>1209</v>
      </c>
      <c r="D88" s="56" t="s">
        <v>1210</v>
      </c>
      <c r="E88" s="57"/>
      <c r="F88" s="57"/>
      <c r="G88" s="57"/>
      <c r="H88" s="57"/>
      <c r="I88" s="44"/>
    </row>
    <row r="89" spans="3:13" s="59" customFormat="1" ht="19.2" customHeight="1">
      <c r="C89" s="61">
        <v>1</v>
      </c>
      <c r="D89" s="56" t="s">
        <v>4487</v>
      </c>
      <c r="E89" s="93" t="s">
        <v>42</v>
      </c>
      <c r="F89" s="103">
        <v>3.2500000000000001E-2</v>
      </c>
      <c r="G89" s="63">
        <f>VLOOKUP(D89,upahbahan,3,FALSE)</f>
        <v>1236000</v>
      </c>
      <c r="H89" s="63">
        <f>F89*G89</f>
        <v>40170</v>
      </c>
      <c r="I89" s="44"/>
    </row>
    <row r="90" spans="3:13" s="59" customFormat="1" ht="19.2" customHeight="1">
      <c r="C90" s="61">
        <v>2</v>
      </c>
      <c r="D90" s="56" t="s">
        <v>4488</v>
      </c>
      <c r="E90" s="93" t="s">
        <v>42</v>
      </c>
      <c r="F90" s="103">
        <v>6.5000000000000002E-2</v>
      </c>
      <c r="G90" s="63">
        <f>VLOOKUP(D90,upahbahan,3,FALSE)</f>
        <v>0</v>
      </c>
      <c r="H90" s="63">
        <f>F90*G90</f>
        <v>0</v>
      </c>
      <c r="I90" s="44"/>
    </row>
    <row r="91" spans="3:13" s="59" customFormat="1" ht="19.2" customHeight="1">
      <c r="C91" s="61">
        <v>3</v>
      </c>
      <c r="D91" s="56" t="s">
        <v>4504</v>
      </c>
      <c r="E91" s="93" t="s">
        <v>44</v>
      </c>
      <c r="F91" s="103">
        <v>0.83330000000000004</v>
      </c>
      <c r="G91" s="63">
        <f>VLOOKUP(D91,upahbahan,3,FALSE)</f>
        <v>320000</v>
      </c>
      <c r="H91" s="63">
        <f>F91*G91</f>
        <v>266656</v>
      </c>
      <c r="I91" s="44"/>
    </row>
    <row r="92" spans="3:13" s="59" customFormat="1" ht="19.2" customHeight="1">
      <c r="C92" s="450" t="s">
        <v>1214</v>
      </c>
      <c r="D92" s="67"/>
      <c r="E92" s="67"/>
      <c r="F92" s="67"/>
      <c r="G92" s="69"/>
      <c r="H92" s="63">
        <f>SUM(H89:H91)</f>
        <v>306826</v>
      </c>
      <c r="I92" s="44"/>
    </row>
    <row r="93" spans="3:13" s="59" customFormat="1" ht="19.2" customHeight="1">
      <c r="C93" s="61" t="s">
        <v>1215</v>
      </c>
      <c r="D93" s="56" t="s">
        <v>1216</v>
      </c>
      <c r="E93" s="93"/>
      <c r="F93" s="57"/>
      <c r="G93" s="57"/>
      <c r="H93" s="57"/>
      <c r="I93" s="44"/>
    </row>
    <row r="94" spans="3:13" s="59" customFormat="1" ht="19.2" customHeight="1">
      <c r="C94" s="800">
        <v>1</v>
      </c>
      <c r="D94" s="56" t="s">
        <v>1181</v>
      </c>
      <c r="E94" s="93" t="s">
        <v>1074</v>
      </c>
      <c r="F94" s="94">
        <v>0.1424</v>
      </c>
      <c r="G94" s="63">
        <f>VLOOKUP(D94,upahbahan,3,FALSE)</f>
        <v>1450000</v>
      </c>
      <c r="H94" s="63">
        <f>F94*G94</f>
        <v>206480</v>
      </c>
      <c r="I94" s="44"/>
    </row>
    <row r="95" spans="3:13" s="59" customFormat="1" ht="19.2" customHeight="1">
      <c r="C95" s="450" t="s">
        <v>1217</v>
      </c>
      <c r="D95" s="67"/>
      <c r="E95" s="67"/>
      <c r="F95" s="67"/>
      <c r="G95" s="69"/>
      <c r="H95" s="882">
        <f>SUM(H93:H94)</f>
        <v>206480</v>
      </c>
      <c r="I95" s="44"/>
    </row>
    <row r="96" spans="3:13" s="59" customFormat="1" ht="19.2" customHeight="1">
      <c r="C96" s="288" t="s">
        <v>1218</v>
      </c>
      <c r="D96" s="76" t="s">
        <v>1219</v>
      </c>
      <c r="E96" s="77"/>
      <c r="F96" s="77"/>
      <c r="G96" s="78"/>
      <c r="H96" s="585">
        <f>H95+H92+H87</f>
        <v>547906</v>
      </c>
      <c r="I96" s="369"/>
    </row>
    <row r="97" spans="3:13" s="59" customFormat="1" ht="19.2" customHeight="1">
      <c r="C97" s="288" t="s">
        <v>1220</v>
      </c>
      <c r="D97" s="76" t="s">
        <v>1321</v>
      </c>
      <c r="E97" s="77"/>
      <c r="F97" s="78"/>
      <c r="G97" s="80">
        <v>0.1</v>
      </c>
      <c r="H97" s="63">
        <f>H96*G97</f>
        <v>54790.600000000006</v>
      </c>
      <c r="I97" s="369"/>
    </row>
    <row r="98" spans="3:13" s="59" customFormat="1" ht="19.2" customHeight="1">
      <c r="C98" s="288" t="s">
        <v>1221</v>
      </c>
      <c r="D98" s="76" t="s">
        <v>1222</v>
      </c>
      <c r="E98" s="77"/>
      <c r="F98" s="77"/>
      <c r="G98" s="78"/>
      <c r="H98" s="799">
        <f>SUM(H96:H97)</f>
        <v>602696.6</v>
      </c>
      <c r="I98" s="369"/>
    </row>
    <row r="100" spans="3:13" s="59" customFormat="1" ht="19.5" customHeight="1">
      <c r="C100" s="46" t="s">
        <v>4505</v>
      </c>
      <c r="D100" s="1934" t="s">
        <v>4501</v>
      </c>
      <c r="E100" s="1934"/>
      <c r="F100" s="1934"/>
      <c r="G100" s="1934"/>
      <c r="H100" s="1934"/>
      <c r="I100" s="50">
        <f>ROUNDDOWN(H117,-2)</f>
        <v>641100</v>
      </c>
    </row>
    <row r="101" spans="3:13" s="59" customFormat="1" ht="33" customHeight="1">
      <c r="C101" s="591" t="s">
        <v>1195</v>
      </c>
      <c r="D101" s="591" t="s">
        <v>1196</v>
      </c>
      <c r="E101" s="591" t="s">
        <v>1197</v>
      </c>
      <c r="F101" s="591" t="s">
        <v>1198</v>
      </c>
      <c r="G101" s="591" t="s">
        <v>1199</v>
      </c>
      <c r="H101" s="591" t="s">
        <v>1200</v>
      </c>
      <c r="I101" s="44"/>
    </row>
    <row r="102" spans="3:13" s="59" customFormat="1" ht="19.2" customHeight="1">
      <c r="C102" s="61" t="s">
        <v>1201</v>
      </c>
      <c r="D102" s="56" t="s">
        <v>1202</v>
      </c>
      <c r="E102" s="57"/>
      <c r="F102" s="57"/>
      <c r="G102" s="57"/>
      <c r="H102" s="57"/>
      <c r="I102" s="44"/>
      <c r="J102" s="152" t="s">
        <v>1247</v>
      </c>
    </row>
    <row r="103" spans="3:13" s="59" customFormat="1" ht="19.2" customHeight="1">
      <c r="C103" s="588">
        <v>1</v>
      </c>
      <c r="D103" s="56" t="s">
        <v>5</v>
      </c>
      <c r="E103" s="577" t="s">
        <v>1863</v>
      </c>
      <c r="F103" s="101">
        <v>0.14810000000000001</v>
      </c>
      <c r="G103" s="63">
        <f>VLOOKUP(D103,upahbahan,3,FALSE)</f>
        <v>100000</v>
      </c>
      <c r="H103" s="63">
        <f>F103*G103</f>
        <v>14810.000000000002</v>
      </c>
      <c r="I103" s="44"/>
      <c r="J103" s="152" t="s">
        <v>1248</v>
      </c>
      <c r="M103" s="65">
        <v>0.1</v>
      </c>
    </row>
    <row r="104" spans="3:13" s="59" customFormat="1" ht="19.2" customHeight="1">
      <c r="C104" s="588">
        <v>2</v>
      </c>
      <c r="D104" s="56" t="s">
        <v>2165</v>
      </c>
      <c r="E104" s="577" t="s">
        <v>1863</v>
      </c>
      <c r="F104" s="101">
        <v>0.14810000000000001</v>
      </c>
      <c r="G104" s="63">
        <f>VLOOKUP(D104,upahbahan,3,FALSE)</f>
        <v>135000</v>
      </c>
      <c r="H104" s="63">
        <f t="shared" ref="H104:H105" si="5">F104*G104</f>
        <v>19993.5</v>
      </c>
      <c r="I104" s="44"/>
      <c r="J104" s="152"/>
      <c r="M104" s="65"/>
    </row>
    <row r="105" spans="3:13" s="59" customFormat="1" ht="19.2" customHeight="1">
      <c r="C105" s="588">
        <v>3</v>
      </c>
      <c r="D105" s="56" t="s">
        <v>19</v>
      </c>
      <c r="E105" s="577" t="s">
        <v>1863</v>
      </c>
      <c r="F105" s="101">
        <v>7.4000000000000003E-3</v>
      </c>
      <c r="G105" s="63">
        <f>VLOOKUP(D105,upahbahan,3,FALSE)</f>
        <v>160000</v>
      </c>
      <c r="H105" s="63">
        <f t="shared" si="5"/>
        <v>1184</v>
      </c>
      <c r="I105" s="44"/>
    </row>
    <row r="106" spans="3:13" s="59" customFormat="1" ht="19.2" customHeight="1">
      <c r="C106" s="450" t="s">
        <v>1208</v>
      </c>
      <c r="D106" s="67"/>
      <c r="E106" s="67"/>
      <c r="F106" s="142"/>
      <c r="G106" s="153"/>
      <c r="H106" s="63">
        <f>SUM(H103:H105)</f>
        <v>35987.5</v>
      </c>
      <c r="I106" s="154"/>
    </row>
    <row r="107" spans="3:13" s="59" customFormat="1" ht="19.2" customHeight="1">
      <c r="C107" s="61" t="s">
        <v>1209</v>
      </c>
      <c r="D107" s="56" t="s">
        <v>1210</v>
      </c>
      <c r="E107" s="57"/>
      <c r="F107" s="57"/>
      <c r="G107" s="57"/>
      <c r="H107" s="57"/>
      <c r="I107" s="44"/>
    </row>
    <row r="108" spans="3:13" s="59" customFormat="1" ht="19.2" customHeight="1">
      <c r="C108" s="61">
        <v>1</v>
      </c>
      <c r="D108" s="56" t="s">
        <v>4487</v>
      </c>
      <c r="E108" s="93" t="s">
        <v>42</v>
      </c>
      <c r="F108" s="103">
        <v>3.95E-2</v>
      </c>
      <c r="G108" s="63">
        <f>VLOOKUP(D108,upahbahan,3,FALSE)</f>
        <v>1236000</v>
      </c>
      <c r="H108" s="63">
        <f>F108*G108</f>
        <v>48822</v>
      </c>
      <c r="I108" s="44"/>
    </row>
    <row r="109" spans="3:13" s="59" customFormat="1" ht="19.2" customHeight="1">
      <c r="C109" s="61">
        <v>2</v>
      </c>
      <c r="D109" s="56" t="s">
        <v>4488</v>
      </c>
      <c r="E109" s="93" t="s">
        <v>42</v>
      </c>
      <c r="F109" s="103">
        <v>7.9000000000000001E-2</v>
      </c>
      <c r="G109" s="63">
        <f>VLOOKUP(D109,upahbahan,3,FALSE)</f>
        <v>0</v>
      </c>
      <c r="H109" s="63">
        <f>F109*G109</f>
        <v>0</v>
      </c>
      <c r="I109" s="44"/>
    </row>
    <row r="110" spans="3:13" s="59" customFormat="1" ht="19.2" customHeight="1">
      <c r="C110" s="61">
        <v>3</v>
      </c>
      <c r="D110" s="56" t="s">
        <v>4506</v>
      </c>
      <c r="E110" s="93" t="s">
        <v>44</v>
      </c>
      <c r="F110" s="103">
        <v>0.83330000000000004</v>
      </c>
      <c r="G110" s="63">
        <f>VLOOKUP(D110,upahbahan,3,FALSE)</f>
        <v>340000</v>
      </c>
      <c r="H110" s="63">
        <f>F110*G110</f>
        <v>283322</v>
      </c>
      <c r="I110" s="44"/>
    </row>
    <row r="111" spans="3:13" s="59" customFormat="1" ht="19.2" customHeight="1">
      <c r="C111" s="450" t="s">
        <v>1214</v>
      </c>
      <c r="D111" s="67"/>
      <c r="E111" s="67"/>
      <c r="F111" s="67"/>
      <c r="G111" s="69"/>
      <c r="H111" s="63">
        <f>SUM(H108:H110)</f>
        <v>332144</v>
      </c>
      <c r="I111" s="44"/>
    </row>
    <row r="112" spans="3:13" s="59" customFormat="1" ht="19.2" customHeight="1">
      <c r="C112" s="61" t="s">
        <v>1215</v>
      </c>
      <c r="D112" s="56" t="s">
        <v>1216</v>
      </c>
      <c r="E112" s="93"/>
      <c r="F112" s="57"/>
      <c r="G112" s="57"/>
      <c r="H112" s="57"/>
      <c r="I112" s="44"/>
    </row>
    <row r="113" spans="3:13" s="59" customFormat="1" ht="19.2" customHeight="1">
      <c r="C113" s="800">
        <v>1</v>
      </c>
      <c r="D113" s="56" t="s">
        <v>1181</v>
      </c>
      <c r="E113" s="93" t="s">
        <v>1074</v>
      </c>
      <c r="F113" s="94">
        <v>0.14810000000000001</v>
      </c>
      <c r="G113" s="63">
        <f>VLOOKUP(D113,upahbahan,3,FALSE)</f>
        <v>1450000</v>
      </c>
      <c r="H113" s="63">
        <f>F113*G113</f>
        <v>214745</v>
      </c>
      <c r="I113" s="44"/>
    </row>
    <row r="114" spans="3:13" s="59" customFormat="1" ht="19.2" customHeight="1">
      <c r="C114" s="450" t="s">
        <v>1217</v>
      </c>
      <c r="D114" s="67"/>
      <c r="E114" s="67"/>
      <c r="F114" s="67"/>
      <c r="G114" s="69"/>
      <c r="H114" s="882">
        <f>SUM(H112:H113)</f>
        <v>214745</v>
      </c>
      <c r="I114" s="44"/>
    </row>
    <row r="115" spans="3:13" s="59" customFormat="1" ht="19.2" customHeight="1">
      <c r="C115" s="288" t="s">
        <v>1218</v>
      </c>
      <c r="D115" s="76" t="s">
        <v>1219</v>
      </c>
      <c r="E115" s="77"/>
      <c r="F115" s="77"/>
      <c r="G115" s="78"/>
      <c r="H115" s="585">
        <f>H114+H111+H106</f>
        <v>582876.5</v>
      </c>
      <c r="I115" s="369"/>
    </row>
    <row r="116" spans="3:13" s="59" customFormat="1" ht="19.2" customHeight="1">
      <c r="C116" s="288" t="s">
        <v>1220</v>
      </c>
      <c r="D116" s="76" t="s">
        <v>1321</v>
      </c>
      <c r="E116" s="77"/>
      <c r="F116" s="78"/>
      <c r="G116" s="80">
        <v>0.1</v>
      </c>
      <c r="H116" s="63">
        <f>H115*G116</f>
        <v>58287.65</v>
      </c>
      <c r="I116" s="369"/>
    </row>
    <row r="117" spans="3:13" s="59" customFormat="1" ht="19.2" customHeight="1">
      <c r="C117" s="288" t="s">
        <v>1221</v>
      </c>
      <c r="D117" s="76" t="s">
        <v>1222</v>
      </c>
      <c r="E117" s="77"/>
      <c r="F117" s="77"/>
      <c r="G117" s="78"/>
      <c r="H117" s="799">
        <f>SUM(H115:H116)</f>
        <v>641164.15</v>
      </c>
      <c r="I117" s="369"/>
    </row>
    <row r="120" spans="3:13" s="59" customFormat="1" ht="19.5" customHeight="1">
      <c r="C120" s="46" t="s">
        <v>4507</v>
      </c>
      <c r="D120" s="1934" t="s">
        <v>4508</v>
      </c>
      <c r="E120" s="1934"/>
      <c r="F120" s="1934"/>
      <c r="G120" s="1934"/>
      <c r="H120" s="1934"/>
      <c r="I120" s="50">
        <f>ROUNDDOWN(H137,-2)</f>
        <v>762500</v>
      </c>
    </row>
    <row r="121" spans="3:13" s="59" customFormat="1" ht="33" customHeight="1">
      <c r="C121" s="591" t="s">
        <v>1195</v>
      </c>
      <c r="D121" s="591" t="s">
        <v>1196</v>
      </c>
      <c r="E121" s="591" t="s">
        <v>1197</v>
      </c>
      <c r="F121" s="591" t="s">
        <v>1198</v>
      </c>
      <c r="G121" s="591" t="s">
        <v>1199</v>
      </c>
      <c r="H121" s="591" t="s">
        <v>1200</v>
      </c>
      <c r="I121" s="44"/>
    </row>
    <row r="122" spans="3:13" s="59" customFormat="1" ht="19.2" customHeight="1">
      <c r="C122" s="61" t="s">
        <v>1201</v>
      </c>
      <c r="D122" s="56" t="s">
        <v>1202</v>
      </c>
      <c r="E122" s="57"/>
      <c r="F122" s="57"/>
      <c r="G122" s="57"/>
      <c r="H122" s="57"/>
      <c r="I122" s="44"/>
      <c r="J122" s="152" t="s">
        <v>1247</v>
      </c>
    </row>
    <row r="123" spans="3:13" s="59" customFormat="1" ht="19.2" customHeight="1">
      <c r="C123" s="588">
        <v>1</v>
      </c>
      <c r="D123" s="56" t="s">
        <v>5</v>
      </c>
      <c r="E123" s="577" t="s">
        <v>1863</v>
      </c>
      <c r="F123" s="101">
        <v>0.1986</v>
      </c>
      <c r="G123" s="63">
        <f>VLOOKUP(D123,upahbahan,3,FALSE)</f>
        <v>100000</v>
      </c>
      <c r="H123" s="63">
        <f>F123*G123</f>
        <v>19860</v>
      </c>
      <c r="I123" s="44"/>
      <c r="J123" s="152" t="s">
        <v>1248</v>
      </c>
      <c r="M123" s="65">
        <v>0.1</v>
      </c>
    </row>
    <row r="124" spans="3:13" s="59" customFormat="1" ht="19.2" customHeight="1">
      <c r="C124" s="588">
        <v>2</v>
      </c>
      <c r="D124" s="56" t="s">
        <v>2165</v>
      </c>
      <c r="E124" s="577" t="s">
        <v>1863</v>
      </c>
      <c r="F124" s="101">
        <v>0.1986</v>
      </c>
      <c r="G124" s="63">
        <f>VLOOKUP(D124,upahbahan,3,FALSE)</f>
        <v>135000</v>
      </c>
      <c r="H124" s="63">
        <f t="shared" ref="H124:H125" si="6">F124*G124</f>
        <v>26811</v>
      </c>
      <c r="I124" s="44"/>
      <c r="J124" s="152"/>
      <c r="M124" s="65"/>
    </row>
    <row r="125" spans="3:13" s="59" customFormat="1" ht="19.2" customHeight="1">
      <c r="C125" s="588">
        <v>3</v>
      </c>
      <c r="D125" s="56" t="s">
        <v>19</v>
      </c>
      <c r="E125" s="577" t="s">
        <v>1863</v>
      </c>
      <c r="F125" s="101">
        <v>8.9999999999999993E-3</v>
      </c>
      <c r="G125" s="63">
        <f>VLOOKUP(D125,upahbahan,3,FALSE)</f>
        <v>160000</v>
      </c>
      <c r="H125" s="63">
        <f t="shared" si="6"/>
        <v>1440</v>
      </c>
      <c r="I125" s="44"/>
    </row>
    <row r="126" spans="3:13" s="59" customFormat="1" ht="19.2" customHeight="1">
      <c r="C126" s="450" t="s">
        <v>1208</v>
      </c>
      <c r="D126" s="67"/>
      <c r="E126" s="67"/>
      <c r="F126" s="142"/>
      <c r="G126" s="153"/>
      <c r="H126" s="63">
        <f>SUM(H123:H125)</f>
        <v>48111</v>
      </c>
      <c r="I126" s="154"/>
    </row>
    <row r="127" spans="3:13" s="59" customFormat="1" ht="19.2" customHeight="1">
      <c r="C127" s="61" t="s">
        <v>1209</v>
      </c>
      <c r="D127" s="56" t="s">
        <v>1210</v>
      </c>
      <c r="E127" s="57"/>
      <c r="F127" s="57"/>
      <c r="G127" s="57"/>
      <c r="H127" s="57"/>
      <c r="I127" s="44"/>
    </row>
    <row r="128" spans="3:13" s="59" customFormat="1" ht="19.2" customHeight="1">
      <c r="C128" s="61">
        <v>1</v>
      </c>
      <c r="D128" s="56" t="s">
        <v>4487</v>
      </c>
      <c r="E128" s="93" t="s">
        <v>42</v>
      </c>
      <c r="F128" s="103">
        <v>3.95E-2</v>
      </c>
      <c r="G128" s="63">
        <f>VLOOKUP(D128,upahbahan,3,FALSE)</f>
        <v>1236000</v>
      </c>
      <c r="H128" s="63">
        <f>F128*G128</f>
        <v>48822</v>
      </c>
      <c r="I128" s="44"/>
    </row>
    <row r="129" spans="3:13" s="59" customFormat="1" ht="19.2" customHeight="1">
      <c r="C129" s="61">
        <v>2</v>
      </c>
      <c r="D129" s="56" t="s">
        <v>4488</v>
      </c>
      <c r="E129" s="93" t="s">
        <v>42</v>
      </c>
      <c r="F129" s="103">
        <v>7.9000000000000001E-2</v>
      </c>
      <c r="G129" s="63">
        <f>VLOOKUP(D129,upahbahan,3,FALSE)</f>
        <v>0</v>
      </c>
      <c r="H129" s="63">
        <f>F129*G129</f>
        <v>0</v>
      </c>
      <c r="I129" s="44"/>
    </row>
    <row r="130" spans="3:13" s="59" customFormat="1" ht="19.2" customHeight="1">
      <c r="C130" s="61">
        <v>3</v>
      </c>
      <c r="D130" s="56" t="s">
        <v>4509</v>
      </c>
      <c r="E130" s="93" t="s">
        <v>44</v>
      </c>
      <c r="F130" s="103">
        <v>0.83330000000000004</v>
      </c>
      <c r="G130" s="63">
        <f>VLOOKUP(D130,upahbahan,3,FALSE)</f>
        <v>370000</v>
      </c>
      <c r="H130" s="63">
        <f>F130*G130</f>
        <v>308321</v>
      </c>
      <c r="I130" s="44"/>
    </row>
    <row r="131" spans="3:13" s="59" customFormat="1" ht="19.2" customHeight="1">
      <c r="C131" s="450" t="s">
        <v>1214</v>
      </c>
      <c r="D131" s="67"/>
      <c r="E131" s="67"/>
      <c r="F131" s="67"/>
      <c r="G131" s="69"/>
      <c r="H131" s="63">
        <f>SUM(H128:H130)</f>
        <v>357143</v>
      </c>
      <c r="I131" s="44"/>
    </row>
    <row r="132" spans="3:13" s="59" customFormat="1" ht="19.2" customHeight="1">
      <c r="C132" s="61" t="s">
        <v>1215</v>
      </c>
      <c r="D132" s="56" t="s">
        <v>1216</v>
      </c>
      <c r="E132" s="93"/>
      <c r="F132" s="57"/>
      <c r="G132" s="57"/>
      <c r="H132" s="57"/>
      <c r="I132" s="44"/>
    </row>
    <row r="133" spans="3:13" s="59" customFormat="1" ht="19.2" customHeight="1">
      <c r="C133" s="800">
        <v>1</v>
      </c>
      <c r="D133" s="56" t="s">
        <v>1181</v>
      </c>
      <c r="E133" s="93" t="s">
        <v>1074</v>
      </c>
      <c r="F133" s="94">
        <v>0.1986</v>
      </c>
      <c r="G133" s="63">
        <f>VLOOKUP(D133,upahbahan,3,FALSE)</f>
        <v>1450000</v>
      </c>
      <c r="H133" s="63">
        <f>F133*G133</f>
        <v>287970</v>
      </c>
      <c r="I133" s="44"/>
    </row>
    <row r="134" spans="3:13" s="59" customFormat="1" ht="19.2" customHeight="1">
      <c r="C134" s="450" t="s">
        <v>1217</v>
      </c>
      <c r="D134" s="67"/>
      <c r="E134" s="67"/>
      <c r="F134" s="67"/>
      <c r="G134" s="69"/>
      <c r="H134" s="882">
        <f>SUM(H132:H133)</f>
        <v>287970</v>
      </c>
      <c r="I134" s="44"/>
    </row>
    <row r="135" spans="3:13" s="59" customFormat="1" ht="19.2" customHeight="1">
      <c r="C135" s="288" t="s">
        <v>1218</v>
      </c>
      <c r="D135" s="76" t="s">
        <v>1219</v>
      </c>
      <c r="E135" s="77"/>
      <c r="F135" s="77"/>
      <c r="G135" s="78"/>
      <c r="H135" s="585">
        <f>H134+H131+H126</f>
        <v>693224</v>
      </c>
      <c r="I135" s="369"/>
    </row>
    <row r="136" spans="3:13" s="59" customFormat="1" ht="19.2" customHeight="1">
      <c r="C136" s="288" t="s">
        <v>1220</v>
      </c>
      <c r="D136" s="76" t="s">
        <v>1321</v>
      </c>
      <c r="E136" s="77"/>
      <c r="F136" s="78"/>
      <c r="G136" s="80">
        <v>0.1</v>
      </c>
      <c r="H136" s="63">
        <f>H135*G136</f>
        <v>69322.400000000009</v>
      </c>
      <c r="I136" s="369"/>
    </row>
    <row r="137" spans="3:13" s="59" customFormat="1" ht="19.2" customHeight="1">
      <c r="C137" s="288" t="s">
        <v>1221</v>
      </c>
      <c r="D137" s="76" t="s">
        <v>1222</v>
      </c>
      <c r="E137" s="77"/>
      <c r="F137" s="77"/>
      <c r="G137" s="78"/>
      <c r="H137" s="799">
        <f>SUM(H135:H136)</f>
        <v>762546.4</v>
      </c>
      <c r="I137" s="369"/>
    </row>
    <row r="139" spans="3:13" s="59" customFormat="1" ht="19.5" customHeight="1">
      <c r="C139" s="46" t="s">
        <v>4510</v>
      </c>
      <c r="D139" s="1934" t="s">
        <v>4511</v>
      </c>
      <c r="E139" s="1934"/>
      <c r="F139" s="1934"/>
      <c r="G139" s="1934"/>
      <c r="H139" s="1934"/>
      <c r="I139" s="50">
        <f>ROUNDDOWN(H156,-2)</f>
        <v>790100</v>
      </c>
    </row>
    <row r="140" spans="3:13" s="59" customFormat="1" ht="33" customHeight="1">
      <c r="C140" s="591" t="s">
        <v>1195</v>
      </c>
      <c r="D140" s="591" t="s">
        <v>1196</v>
      </c>
      <c r="E140" s="591" t="s">
        <v>1197</v>
      </c>
      <c r="F140" s="591" t="s">
        <v>1198</v>
      </c>
      <c r="G140" s="591" t="s">
        <v>1199</v>
      </c>
      <c r="H140" s="591" t="s">
        <v>1200</v>
      </c>
      <c r="I140" s="44"/>
    </row>
    <row r="141" spans="3:13" s="59" customFormat="1" ht="19.2" customHeight="1">
      <c r="C141" s="61" t="s">
        <v>1201</v>
      </c>
      <c r="D141" s="56" t="s">
        <v>1202</v>
      </c>
      <c r="E141" s="57"/>
      <c r="F141" s="57"/>
      <c r="G141" s="57"/>
      <c r="H141" s="57"/>
      <c r="I141" s="44"/>
      <c r="J141" s="152" t="s">
        <v>1247</v>
      </c>
    </row>
    <row r="142" spans="3:13" s="59" customFormat="1" ht="19.2" customHeight="1">
      <c r="C142" s="588">
        <v>1</v>
      </c>
      <c r="D142" s="56" t="s">
        <v>5</v>
      </c>
      <c r="E142" s="577" t="s">
        <v>1863</v>
      </c>
      <c r="F142" s="101">
        <v>0.20349999999999999</v>
      </c>
      <c r="G142" s="63">
        <f>VLOOKUP(D142,upahbahan,3,FALSE)</f>
        <v>100000</v>
      </c>
      <c r="H142" s="63">
        <f>F142*G142</f>
        <v>20350</v>
      </c>
      <c r="I142" s="44"/>
      <c r="J142" s="152" t="s">
        <v>1248</v>
      </c>
      <c r="M142" s="65">
        <v>0.1</v>
      </c>
    </row>
    <row r="143" spans="3:13" s="59" customFormat="1" ht="19.2" customHeight="1">
      <c r="C143" s="588">
        <v>2</v>
      </c>
      <c r="D143" s="56" t="s">
        <v>2165</v>
      </c>
      <c r="E143" s="577" t="s">
        <v>1863</v>
      </c>
      <c r="F143" s="101">
        <v>0.20349999999999999</v>
      </c>
      <c r="G143" s="63">
        <f>VLOOKUP(D143,upahbahan,3,FALSE)</f>
        <v>135000</v>
      </c>
      <c r="H143" s="63">
        <f t="shared" ref="H143:H144" si="7">F143*G143</f>
        <v>27472.499999999996</v>
      </c>
      <c r="I143" s="44"/>
      <c r="J143" s="152"/>
      <c r="M143" s="65"/>
    </row>
    <row r="144" spans="3:13" s="59" customFormat="1" ht="19.2" customHeight="1">
      <c r="C144" s="588">
        <v>3</v>
      </c>
      <c r="D144" s="56" t="s">
        <v>19</v>
      </c>
      <c r="E144" s="577" t="s">
        <v>1863</v>
      </c>
      <c r="F144" s="101">
        <v>1.0200000000000001E-2</v>
      </c>
      <c r="G144" s="63">
        <f>VLOOKUP(D144,upahbahan,3,FALSE)</f>
        <v>160000</v>
      </c>
      <c r="H144" s="63">
        <f t="shared" si="7"/>
        <v>1632.0000000000002</v>
      </c>
      <c r="I144" s="44"/>
    </row>
    <row r="145" spans="3:10" s="59" customFormat="1" ht="19.2" customHeight="1">
      <c r="C145" s="450" t="s">
        <v>1208</v>
      </c>
      <c r="D145" s="67"/>
      <c r="E145" s="67"/>
      <c r="F145" s="142"/>
      <c r="G145" s="153"/>
      <c r="H145" s="63">
        <f>SUM(H142:H144)</f>
        <v>49454.5</v>
      </c>
      <c r="I145" s="154"/>
    </row>
    <row r="146" spans="3:10" s="59" customFormat="1" ht="19.2" customHeight="1">
      <c r="C146" s="61" t="s">
        <v>1209</v>
      </c>
      <c r="D146" s="56" t="s">
        <v>1210</v>
      </c>
      <c r="E146" s="57"/>
      <c r="F146" s="57"/>
      <c r="G146" s="57"/>
      <c r="H146" s="57"/>
      <c r="I146" s="44"/>
    </row>
    <row r="147" spans="3:10" s="59" customFormat="1" ht="19.2" customHeight="1">
      <c r="C147" s="61">
        <v>1</v>
      </c>
      <c r="D147" s="56" t="s">
        <v>4487</v>
      </c>
      <c r="E147" s="93" t="s">
        <v>42</v>
      </c>
      <c r="F147" s="103">
        <v>3.95E-2</v>
      </c>
      <c r="G147" s="63">
        <f>VLOOKUP(D147,upahbahan,3,FALSE)</f>
        <v>1236000</v>
      </c>
      <c r="H147" s="63">
        <f>F147*G147</f>
        <v>48822</v>
      </c>
      <c r="I147" s="44"/>
    </row>
    <row r="148" spans="3:10" s="59" customFormat="1" ht="19.2" customHeight="1">
      <c r="C148" s="61">
        <v>2</v>
      </c>
      <c r="D148" s="56" t="s">
        <v>4488</v>
      </c>
      <c r="E148" s="93" t="s">
        <v>42</v>
      </c>
      <c r="F148" s="103">
        <v>7.9000000000000001E-2</v>
      </c>
      <c r="G148" s="63">
        <f>VLOOKUP(D148,upahbahan,3,FALSE)</f>
        <v>0</v>
      </c>
      <c r="H148" s="63">
        <f>F148*G148</f>
        <v>0</v>
      </c>
      <c r="I148" s="44"/>
    </row>
    <row r="149" spans="3:10" s="59" customFormat="1" ht="19.2" customHeight="1">
      <c r="C149" s="61">
        <v>3</v>
      </c>
      <c r="D149" s="56" t="s">
        <v>4512</v>
      </c>
      <c r="E149" s="93" t="s">
        <v>44</v>
      </c>
      <c r="F149" s="103">
        <v>0.83330000000000004</v>
      </c>
      <c r="G149" s="63">
        <f>VLOOKUP(D149,upahbahan,3,FALSE)</f>
        <v>390000</v>
      </c>
      <c r="H149" s="63">
        <f>F149*G149</f>
        <v>324987</v>
      </c>
      <c r="I149" s="44"/>
    </row>
    <row r="150" spans="3:10" s="59" customFormat="1" ht="19.2" customHeight="1">
      <c r="C150" s="450" t="s">
        <v>1214</v>
      </c>
      <c r="D150" s="67"/>
      <c r="E150" s="67"/>
      <c r="F150" s="67"/>
      <c r="G150" s="69"/>
      <c r="H150" s="63">
        <f>SUM(H147:H149)</f>
        <v>373809</v>
      </c>
      <c r="I150" s="44"/>
    </row>
    <row r="151" spans="3:10" s="59" customFormat="1" ht="19.2" customHeight="1">
      <c r="C151" s="61" t="s">
        <v>1215</v>
      </c>
      <c r="D151" s="56" t="s">
        <v>1216</v>
      </c>
      <c r="E151" s="93"/>
      <c r="F151" s="57"/>
      <c r="G151" s="57"/>
      <c r="H151" s="57"/>
      <c r="I151" s="44"/>
    </row>
    <row r="152" spans="3:10" s="59" customFormat="1" ht="19.2" customHeight="1">
      <c r="C152" s="800">
        <v>1</v>
      </c>
      <c r="D152" s="56" t="s">
        <v>1181</v>
      </c>
      <c r="E152" s="93" t="s">
        <v>1074</v>
      </c>
      <c r="F152" s="94">
        <v>0.20349999999999999</v>
      </c>
      <c r="G152" s="63">
        <f>VLOOKUP(D152,upahbahan,3,FALSE)</f>
        <v>1450000</v>
      </c>
      <c r="H152" s="63">
        <f>F152*G152</f>
        <v>295075</v>
      </c>
      <c r="I152" s="44"/>
    </row>
    <row r="153" spans="3:10" s="59" customFormat="1" ht="19.2" customHeight="1">
      <c r="C153" s="450" t="s">
        <v>1217</v>
      </c>
      <c r="D153" s="67"/>
      <c r="E153" s="67"/>
      <c r="F153" s="67"/>
      <c r="G153" s="69"/>
      <c r="H153" s="882">
        <f>SUM(H151:H152)</f>
        <v>295075</v>
      </c>
      <c r="I153" s="44"/>
    </row>
    <row r="154" spans="3:10" s="59" customFormat="1" ht="19.2" customHeight="1">
      <c r="C154" s="288" t="s">
        <v>1218</v>
      </c>
      <c r="D154" s="76" t="s">
        <v>1219</v>
      </c>
      <c r="E154" s="77"/>
      <c r="F154" s="77"/>
      <c r="G154" s="78"/>
      <c r="H154" s="585">
        <f>H153+H150+H145</f>
        <v>718338.5</v>
      </c>
      <c r="I154" s="369"/>
    </row>
    <row r="155" spans="3:10" s="59" customFormat="1" ht="19.2" customHeight="1">
      <c r="C155" s="288" t="s">
        <v>1220</v>
      </c>
      <c r="D155" s="76" t="s">
        <v>1321</v>
      </c>
      <c r="E155" s="77"/>
      <c r="F155" s="78"/>
      <c r="G155" s="80">
        <v>0.1</v>
      </c>
      <c r="H155" s="63">
        <f>H154*G155</f>
        <v>71833.850000000006</v>
      </c>
      <c r="I155" s="369"/>
    </row>
    <row r="156" spans="3:10" s="59" customFormat="1" ht="19.2" customHeight="1">
      <c r="C156" s="288" t="s">
        <v>1221</v>
      </c>
      <c r="D156" s="76" t="s">
        <v>1222</v>
      </c>
      <c r="E156" s="77"/>
      <c r="F156" s="77"/>
      <c r="G156" s="78"/>
      <c r="H156" s="799">
        <f>SUM(H154:H155)</f>
        <v>790172.35</v>
      </c>
      <c r="I156" s="369"/>
    </row>
    <row r="158" spans="3:10" s="59" customFormat="1" ht="19.5" customHeight="1">
      <c r="C158" s="46" t="s">
        <v>4513</v>
      </c>
      <c r="D158" s="1934" t="s">
        <v>4514</v>
      </c>
      <c r="E158" s="1934"/>
      <c r="F158" s="1934"/>
      <c r="G158" s="1934"/>
      <c r="H158" s="1934"/>
      <c r="I158" s="50">
        <f>ROUNDDOWN(H175,-2)</f>
        <v>847300</v>
      </c>
    </row>
    <row r="159" spans="3:10" s="59" customFormat="1" ht="33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  <c r="I159" s="44"/>
    </row>
    <row r="160" spans="3:10" s="59" customFormat="1" ht="19.2" customHeight="1">
      <c r="C160" s="61" t="s">
        <v>1201</v>
      </c>
      <c r="D160" s="56" t="s">
        <v>1202</v>
      </c>
      <c r="E160" s="57"/>
      <c r="F160" s="57"/>
      <c r="G160" s="57"/>
      <c r="H160" s="57"/>
      <c r="I160" s="44"/>
      <c r="J160" s="152" t="s">
        <v>1247</v>
      </c>
    </row>
    <row r="161" spans="3:13" s="59" customFormat="1" ht="19.2" customHeight="1">
      <c r="C161" s="588">
        <v>1</v>
      </c>
      <c r="D161" s="56" t="s">
        <v>5</v>
      </c>
      <c r="E161" s="577" t="s">
        <v>1863</v>
      </c>
      <c r="F161" s="101">
        <v>0.21579999999999999</v>
      </c>
      <c r="G161" s="63">
        <f>VLOOKUP(D161,upahbahan,3,FALSE)</f>
        <v>100000</v>
      </c>
      <c r="H161" s="63">
        <f>F161*G161</f>
        <v>21580</v>
      </c>
      <c r="I161" s="44"/>
      <c r="J161" s="152" t="s">
        <v>1248</v>
      </c>
      <c r="M161" s="65">
        <v>0.1</v>
      </c>
    </row>
    <row r="162" spans="3:13" s="59" customFormat="1" ht="19.2" customHeight="1">
      <c r="C162" s="588">
        <v>2</v>
      </c>
      <c r="D162" s="56" t="s">
        <v>2165</v>
      </c>
      <c r="E162" s="577" t="s">
        <v>1863</v>
      </c>
      <c r="F162" s="101">
        <v>0.21579999999999999</v>
      </c>
      <c r="G162" s="63">
        <f>VLOOKUP(D162,upahbahan,3,FALSE)</f>
        <v>135000</v>
      </c>
      <c r="H162" s="63">
        <f t="shared" ref="H162:H163" si="8">F162*G162</f>
        <v>29133</v>
      </c>
      <c r="I162" s="44"/>
      <c r="J162" s="152"/>
      <c r="M162" s="65"/>
    </row>
    <row r="163" spans="3:13" s="59" customFormat="1" ht="19.2" customHeight="1">
      <c r="C163" s="588">
        <v>3</v>
      </c>
      <c r="D163" s="56" t="s">
        <v>19</v>
      </c>
      <c r="E163" s="577" t="s">
        <v>1863</v>
      </c>
      <c r="F163" s="101">
        <v>1.0800000000000001E-2</v>
      </c>
      <c r="G163" s="63">
        <f>VLOOKUP(D163,upahbahan,3,FALSE)</f>
        <v>160000</v>
      </c>
      <c r="H163" s="63">
        <f t="shared" si="8"/>
        <v>1728</v>
      </c>
      <c r="I163" s="44"/>
    </row>
    <row r="164" spans="3:13" s="59" customFormat="1" ht="19.2" customHeight="1">
      <c r="C164" s="450" t="s">
        <v>1208</v>
      </c>
      <c r="D164" s="67"/>
      <c r="E164" s="67"/>
      <c r="F164" s="142"/>
      <c r="G164" s="153"/>
      <c r="H164" s="63">
        <f>SUM(H161:H163)</f>
        <v>52441</v>
      </c>
      <c r="I164" s="154"/>
    </row>
    <row r="165" spans="3:13" s="59" customFormat="1" ht="19.2" customHeight="1">
      <c r="C165" s="61" t="s">
        <v>1209</v>
      </c>
      <c r="D165" s="56" t="s">
        <v>1210</v>
      </c>
      <c r="E165" s="57"/>
      <c r="F165" s="57"/>
      <c r="G165" s="57"/>
      <c r="H165" s="57"/>
      <c r="I165" s="44"/>
    </row>
    <row r="166" spans="3:13" s="59" customFormat="1" ht="19.2" customHeight="1">
      <c r="C166" s="61">
        <v>1</v>
      </c>
      <c r="D166" s="56" t="s">
        <v>4487</v>
      </c>
      <c r="E166" s="93" t="s">
        <v>42</v>
      </c>
      <c r="F166" s="103">
        <v>4.4499999999999998E-2</v>
      </c>
      <c r="G166" s="63">
        <f>VLOOKUP(D166,upahbahan,3,FALSE)</f>
        <v>1236000</v>
      </c>
      <c r="H166" s="63">
        <f>F166*G166</f>
        <v>55002</v>
      </c>
      <c r="I166" s="44"/>
    </row>
    <row r="167" spans="3:13" s="59" customFormat="1" ht="19.2" customHeight="1">
      <c r="C167" s="61">
        <v>2</v>
      </c>
      <c r="D167" s="56" t="s">
        <v>4488</v>
      </c>
      <c r="E167" s="93" t="s">
        <v>42</v>
      </c>
      <c r="F167" s="103">
        <v>8.8999999999999996E-2</v>
      </c>
      <c r="G167" s="63">
        <f>VLOOKUP(D167,upahbahan,3,FALSE)</f>
        <v>0</v>
      </c>
      <c r="H167" s="63">
        <f>F167*G167</f>
        <v>0</v>
      </c>
      <c r="I167" s="44"/>
    </row>
    <row r="168" spans="3:13" s="59" customFormat="1" ht="19.2" customHeight="1">
      <c r="C168" s="61">
        <v>3</v>
      </c>
      <c r="D168" s="56" t="s">
        <v>4515</v>
      </c>
      <c r="E168" s="93" t="s">
        <v>44</v>
      </c>
      <c r="F168" s="103">
        <v>0.83330000000000004</v>
      </c>
      <c r="G168" s="63">
        <f>VLOOKUP(D168,upahbahan,3,FALSE)</f>
        <v>420000</v>
      </c>
      <c r="H168" s="63">
        <f>F168*G168</f>
        <v>349986</v>
      </c>
      <c r="I168" s="44"/>
    </row>
    <row r="169" spans="3:13" s="59" customFormat="1" ht="19.2" customHeight="1">
      <c r="C169" s="450" t="s">
        <v>1214</v>
      </c>
      <c r="D169" s="67"/>
      <c r="E169" s="67"/>
      <c r="F169" s="67"/>
      <c r="G169" s="69"/>
      <c r="H169" s="63">
        <f>SUM(H166:H168)</f>
        <v>404988</v>
      </c>
      <c r="I169" s="44"/>
    </row>
    <row r="170" spans="3:13" s="59" customFormat="1" ht="19.2" customHeight="1">
      <c r="C170" s="61" t="s">
        <v>1215</v>
      </c>
      <c r="D170" s="56" t="s">
        <v>1216</v>
      </c>
      <c r="E170" s="93"/>
      <c r="F170" s="57"/>
      <c r="G170" s="57"/>
      <c r="H170" s="57"/>
      <c r="I170" s="44"/>
    </row>
    <row r="171" spans="3:13" s="59" customFormat="1" ht="19.2" customHeight="1">
      <c r="C171" s="800">
        <v>1</v>
      </c>
      <c r="D171" s="56" t="s">
        <v>1181</v>
      </c>
      <c r="E171" s="93" t="s">
        <v>1074</v>
      </c>
      <c r="F171" s="94">
        <v>0.21579999999999999</v>
      </c>
      <c r="G171" s="63">
        <f>VLOOKUP(D171,upahbahan,3,FALSE)</f>
        <v>1450000</v>
      </c>
      <c r="H171" s="63">
        <f>F171*G171</f>
        <v>312910</v>
      </c>
      <c r="I171" s="44"/>
    </row>
    <row r="172" spans="3:13" s="59" customFormat="1" ht="19.2" customHeight="1">
      <c r="C172" s="450" t="s">
        <v>1217</v>
      </c>
      <c r="D172" s="67"/>
      <c r="E172" s="67"/>
      <c r="F172" s="67"/>
      <c r="G172" s="69"/>
      <c r="H172" s="882">
        <f>SUM(H170:H171)</f>
        <v>312910</v>
      </c>
      <c r="I172" s="44"/>
    </row>
    <row r="173" spans="3:13" s="59" customFormat="1" ht="19.2" customHeight="1">
      <c r="C173" s="288" t="s">
        <v>1218</v>
      </c>
      <c r="D173" s="76" t="s">
        <v>1219</v>
      </c>
      <c r="E173" s="77"/>
      <c r="F173" s="77"/>
      <c r="G173" s="78"/>
      <c r="H173" s="585">
        <f>H172+H169+H164</f>
        <v>770339</v>
      </c>
      <c r="I173" s="369"/>
    </row>
    <row r="174" spans="3:13" s="59" customFormat="1" ht="19.2" customHeight="1">
      <c r="C174" s="288" t="s">
        <v>1220</v>
      </c>
      <c r="D174" s="76" t="s">
        <v>1321</v>
      </c>
      <c r="E174" s="77"/>
      <c r="F174" s="78"/>
      <c r="G174" s="80">
        <v>0.1</v>
      </c>
      <c r="H174" s="63">
        <f>H173*G174</f>
        <v>77033.900000000009</v>
      </c>
      <c r="I174" s="369"/>
    </row>
    <row r="175" spans="3:13" s="59" customFormat="1" ht="19.2" customHeight="1">
      <c r="C175" s="288" t="s">
        <v>1221</v>
      </c>
      <c r="D175" s="76" t="s">
        <v>1222</v>
      </c>
      <c r="E175" s="77"/>
      <c r="F175" s="77"/>
      <c r="G175" s="78"/>
      <c r="H175" s="799">
        <f>SUM(H173:H174)</f>
        <v>847372.9</v>
      </c>
      <c r="I175" s="369"/>
    </row>
    <row r="178" spans="3:13" s="59" customFormat="1" ht="19.5" customHeight="1">
      <c r="C178" s="46" t="s">
        <v>4516</v>
      </c>
      <c r="D178" s="1934" t="s">
        <v>4517</v>
      </c>
      <c r="E178" s="1934"/>
      <c r="F178" s="1934"/>
      <c r="G178" s="1934"/>
      <c r="H178" s="1934"/>
      <c r="I178" s="50">
        <f>ROUNDDOWN(H195,-2)</f>
        <v>866000</v>
      </c>
    </row>
    <row r="179" spans="3:13" s="59" customFormat="1" ht="33" customHeight="1">
      <c r="C179" s="591" t="s">
        <v>1195</v>
      </c>
      <c r="D179" s="591" t="s">
        <v>1196</v>
      </c>
      <c r="E179" s="591" t="s">
        <v>1197</v>
      </c>
      <c r="F179" s="591" t="s">
        <v>1198</v>
      </c>
      <c r="G179" s="591" t="s">
        <v>1199</v>
      </c>
      <c r="H179" s="591" t="s">
        <v>1200</v>
      </c>
      <c r="I179" s="44"/>
    </row>
    <row r="180" spans="3:13" s="59" customFormat="1" ht="19.2" customHeight="1">
      <c r="C180" s="61" t="s">
        <v>1201</v>
      </c>
      <c r="D180" s="56" t="s">
        <v>1202</v>
      </c>
      <c r="E180" s="57"/>
      <c r="F180" s="57"/>
      <c r="G180" s="57"/>
      <c r="H180" s="57"/>
      <c r="I180" s="44"/>
      <c r="J180" s="152" t="s">
        <v>1247</v>
      </c>
    </row>
    <row r="181" spans="3:13" s="59" customFormat="1" ht="19.2" customHeight="1">
      <c r="C181" s="588">
        <v>1</v>
      </c>
      <c r="D181" s="56" t="s">
        <v>5</v>
      </c>
      <c r="E181" s="577" t="s">
        <v>1863</v>
      </c>
      <c r="F181" s="101">
        <v>0.216</v>
      </c>
      <c r="G181" s="63">
        <f>VLOOKUP(D181,upahbahan,3,FALSE)</f>
        <v>100000</v>
      </c>
      <c r="H181" s="63">
        <f>F181*G181</f>
        <v>21600</v>
      </c>
      <c r="I181" s="44"/>
      <c r="J181" s="152" t="s">
        <v>1248</v>
      </c>
      <c r="M181" s="65">
        <v>0.1</v>
      </c>
    </row>
    <row r="182" spans="3:13" s="59" customFormat="1" ht="19.2" customHeight="1">
      <c r="C182" s="588">
        <v>2</v>
      </c>
      <c r="D182" s="56" t="s">
        <v>2165</v>
      </c>
      <c r="E182" s="577" t="s">
        <v>1863</v>
      </c>
      <c r="F182" s="101">
        <v>0.216</v>
      </c>
      <c r="G182" s="63">
        <f>VLOOKUP(D182,upahbahan,3,FALSE)</f>
        <v>135000</v>
      </c>
      <c r="H182" s="63">
        <f t="shared" ref="H182:H183" si="9">F182*G182</f>
        <v>29160</v>
      </c>
      <c r="I182" s="44"/>
      <c r="J182" s="152"/>
      <c r="M182" s="65"/>
    </row>
    <row r="183" spans="3:13" s="59" customFormat="1" ht="19.2" customHeight="1">
      <c r="C183" s="588">
        <v>3</v>
      </c>
      <c r="D183" s="56" t="s">
        <v>19</v>
      </c>
      <c r="E183" s="577" t="s">
        <v>1863</v>
      </c>
      <c r="F183" s="101">
        <v>1.0800000000000001E-2</v>
      </c>
      <c r="G183" s="63">
        <f>VLOOKUP(D183,upahbahan,3,FALSE)</f>
        <v>160000</v>
      </c>
      <c r="H183" s="63">
        <f t="shared" si="9"/>
        <v>1728</v>
      </c>
      <c r="I183" s="44"/>
    </row>
    <row r="184" spans="3:13" s="59" customFormat="1" ht="19.2" customHeight="1">
      <c r="C184" s="450" t="s">
        <v>1208</v>
      </c>
      <c r="D184" s="67"/>
      <c r="E184" s="67"/>
      <c r="F184" s="142"/>
      <c r="G184" s="153"/>
      <c r="H184" s="63">
        <f>SUM(H181:H183)</f>
        <v>52488</v>
      </c>
      <c r="I184" s="154"/>
    </row>
    <row r="185" spans="3:13" s="59" customFormat="1" ht="19.2" customHeight="1">
      <c r="C185" s="61" t="s">
        <v>1209</v>
      </c>
      <c r="D185" s="56" t="s">
        <v>1210</v>
      </c>
      <c r="E185" s="57"/>
      <c r="F185" s="57"/>
      <c r="G185" s="57"/>
      <c r="H185" s="57"/>
      <c r="I185" s="44"/>
    </row>
    <row r="186" spans="3:13" s="59" customFormat="1" ht="19.2" customHeight="1">
      <c r="C186" s="61">
        <v>1</v>
      </c>
      <c r="D186" s="56" t="s">
        <v>4487</v>
      </c>
      <c r="E186" s="93" t="s">
        <v>42</v>
      </c>
      <c r="F186" s="103">
        <v>4.4499999999999998E-2</v>
      </c>
      <c r="G186" s="63">
        <f>VLOOKUP(D186,upahbahan,3,FALSE)</f>
        <v>1236000</v>
      </c>
      <c r="H186" s="63">
        <f>F186*G186</f>
        <v>55002</v>
      </c>
      <c r="I186" s="44"/>
    </row>
    <row r="187" spans="3:13" s="59" customFormat="1" ht="19.2" customHeight="1">
      <c r="C187" s="61">
        <v>2</v>
      </c>
      <c r="D187" s="56" t="s">
        <v>4488</v>
      </c>
      <c r="E187" s="93" t="s">
        <v>42</v>
      </c>
      <c r="F187" s="103">
        <v>8.8999999999999996E-2</v>
      </c>
      <c r="G187" s="63">
        <f>VLOOKUP(D187,upahbahan,3,FALSE)</f>
        <v>0</v>
      </c>
      <c r="H187" s="63">
        <f>F187*G187</f>
        <v>0</v>
      </c>
      <c r="I187" s="44"/>
    </row>
    <row r="188" spans="3:13" s="59" customFormat="1" ht="19.2" customHeight="1">
      <c r="C188" s="61">
        <v>3</v>
      </c>
      <c r="D188" s="56" t="s">
        <v>4518</v>
      </c>
      <c r="E188" s="93" t="s">
        <v>44</v>
      </c>
      <c r="F188" s="103">
        <v>0.83330000000000004</v>
      </c>
      <c r="G188" s="63">
        <f>VLOOKUP(D188,upahbahan,3,FALSE)</f>
        <v>440000</v>
      </c>
      <c r="H188" s="63">
        <f>F188*G188</f>
        <v>366652</v>
      </c>
      <c r="I188" s="44"/>
    </row>
    <row r="189" spans="3:13" s="59" customFormat="1" ht="19.2" customHeight="1">
      <c r="C189" s="450" t="s">
        <v>1214</v>
      </c>
      <c r="D189" s="67"/>
      <c r="E189" s="67"/>
      <c r="F189" s="67"/>
      <c r="G189" s="69"/>
      <c r="H189" s="63">
        <f>SUM(H186:H188)</f>
        <v>421654</v>
      </c>
      <c r="I189" s="44"/>
    </row>
    <row r="190" spans="3:13" s="59" customFormat="1" ht="19.2" customHeight="1">
      <c r="C190" s="61" t="s">
        <v>1215</v>
      </c>
      <c r="D190" s="56" t="s">
        <v>1216</v>
      </c>
      <c r="E190" s="93"/>
      <c r="F190" s="57"/>
      <c r="G190" s="57"/>
      <c r="H190" s="57"/>
      <c r="I190" s="44"/>
    </row>
    <row r="191" spans="3:13" s="59" customFormat="1" ht="19.2" customHeight="1">
      <c r="C191" s="800">
        <v>1</v>
      </c>
      <c r="D191" s="56" t="s">
        <v>1181</v>
      </c>
      <c r="E191" s="93" t="s">
        <v>1074</v>
      </c>
      <c r="F191" s="94">
        <v>0.216</v>
      </c>
      <c r="G191" s="63">
        <f>VLOOKUP(D191,upahbahan,3,FALSE)</f>
        <v>1450000</v>
      </c>
      <c r="H191" s="63">
        <f>F191*G191</f>
        <v>313200</v>
      </c>
      <c r="I191" s="44"/>
    </row>
    <row r="192" spans="3:13" s="59" customFormat="1" ht="19.2" customHeight="1">
      <c r="C192" s="450" t="s">
        <v>1217</v>
      </c>
      <c r="D192" s="67"/>
      <c r="E192" s="67"/>
      <c r="F192" s="67"/>
      <c r="G192" s="69"/>
      <c r="H192" s="882">
        <f>SUM(H190:H191)</f>
        <v>313200</v>
      </c>
      <c r="I192" s="44"/>
    </row>
    <row r="193" spans="3:13" s="59" customFormat="1" ht="19.2" customHeight="1">
      <c r="C193" s="288" t="s">
        <v>1218</v>
      </c>
      <c r="D193" s="76" t="s">
        <v>1219</v>
      </c>
      <c r="E193" s="77"/>
      <c r="F193" s="77"/>
      <c r="G193" s="78"/>
      <c r="H193" s="585">
        <f>H192+H189+H184</f>
        <v>787342</v>
      </c>
      <c r="I193" s="369"/>
    </row>
    <row r="194" spans="3:13" s="59" customFormat="1" ht="19.2" customHeight="1">
      <c r="C194" s="288" t="s">
        <v>1220</v>
      </c>
      <c r="D194" s="76" t="s">
        <v>1321</v>
      </c>
      <c r="E194" s="77"/>
      <c r="F194" s="78"/>
      <c r="G194" s="80">
        <v>0.1</v>
      </c>
      <c r="H194" s="63">
        <f>H193*G194</f>
        <v>78734.200000000012</v>
      </c>
      <c r="I194" s="369"/>
    </row>
    <row r="195" spans="3:13" s="59" customFormat="1" ht="19.2" customHeight="1">
      <c r="C195" s="288" t="s">
        <v>1221</v>
      </c>
      <c r="D195" s="76" t="s">
        <v>1222</v>
      </c>
      <c r="E195" s="77"/>
      <c r="F195" s="77"/>
      <c r="G195" s="78"/>
      <c r="H195" s="799">
        <f>SUM(H193:H194)</f>
        <v>866076.2</v>
      </c>
      <c r="I195" s="369"/>
    </row>
    <row r="198" spans="3:13" s="59" customFormat="1" ht="19.5" customHeight="1">
      <c r="C198" s="46" t="s">
        <v>4519</v>
      </c>
      <c r="D198" s="1934" t="s">
        <v>4520</v>
      </c>
      <c r="E198" s="1934"/>
      <c r="F198" s="1934"/>
      <c r="G198" s="1934"/>
      <c r="H198" s="1934"/>
      <c r="I198" s="50">
        <f>ROUNDDOWN(H215,-2)</f>
        <v>898000</v>
      </c>
    </row>
    <row r="199" spans="3:13" s="59" customFormat="1" ht="33" customHeight="1">
      <c r="C199" s="591" t="s">
        <v>1195</v>
      </c>
      <c r="D199" s="591" t="s">
        <v>1196</v>
      </c>
      <c r="E199" s="591" t="s">
        <v>1197</v>
      </c>
      <c r="F199" s="591" t="s">
        <v>1198</v>
      </c>
      <c r="G199" s="591" t="s">
        <v>1199</v>
      </c>
      <c r="H199" s="591" t="s">
        <v>1200</v>
      </c>
      <c r="I199" s="44"/>
    </row>
    <row r="200" spans="3:13" s="59" customFormat="1" ht="19.2" customHeight="1">
      <c r="C200" s="61" t="s">
        <v>1201</v>
      </c>
      <c r="D200" s="56" t="s">
        <v>1202</v>
      </c>
      <c r="E200" s="57"/>
      <c r="F200" s="57"/>
      <c r="G200" s="57"/>
      <c r="H200" s="57"/>
      <c r="I200" s="44"/>
      <c r="J200" s="152" t="s">
        <v>1247</v>
      </c>
    </row>
    <row r="201" spans="3:13" s="59" customFormat="1" ht="19.2" customHeight="1">
      <c r="C201" s="588">
        <v>1</v>
      </c>
      <c r="D201" s="56" t="s">
        <v>5</v>
      </c>
      <c r="E201" s="577" t="s">
        <v>1863</v>
      </c>
      <c r="F201" s="101">
        <v>0.21840000000000001</v>
      </c>
      <c r="G201" s="63">
        <f>VLOOKUP(D201,upahbahan,3,FALSE)</f>
        <v>100000</v>
      </c>
      <c r="H201" s="63">
        <f>F201*G201</f>
        <v>21840</v>
      </c>
      <c r="I201" s="44"/>
      <c r="J201" s="152" t="s">
        <v>1248</v>
      </c>
      <c r="M201" s="65">
        <v>0.1</v>
      </c>
    </row>
    <row r="202" spans="3:13" s="59" customFormat="1" ht="19.2" customHeight="1">
      <c r="C202" s="588">
        <v>2</v>
      </c>
      <c r="D202" s="56" t="s">
        <v>2165</v>
      </c>
      <c r="E202" s="577" t="s">
        <v>1863</v>
      </c>
      <c r="F202" s="101">
        <v>0.21840000000000001</v>
      </c>
      <c r="G202" s="63">
        <f>VLOOKUP(D202,upahbahan,3,FALSE)</f>
        <v>135000</v>
      </c>
      <c r="H202" s="63">
        <f t="shared" ref="H202:H203" si="10">F202*G202</f>
        <v>29484</v>
      </c>
      <c r="I202" s="44"/>
      <c r="J202" s="152"/>
      <c r="M202" s="65"/>
    </row>
    <row r="203" spans="3:13" s="59" customFormat="1" ht="19.2" customHeight="1">
      <c r="C203" s="588">
        <v>3</v>
      </c>
      <c r="D203" s="56" t="s">
        <v>19</v>
      </c>
      <c r="E203" s="577" t="s">
        <v>1863</v>
      </c>
      <c r="F203" s="101">
        <v>1.09E-2</v>
      </c>
      <c r="G203" s="63">
        <f>VLOOKUP(D203,upahbahan,3,FALSE)</f>
        <v>160000</v>
      </c>
      <c r="H203" s="63">
        <f t="shared" si="10"/>
        <v>1744</v>
      </c>
      <c r="I203" s="44"/>
    </row>
    <row r="204" spans="3:13" s="59" customFormat="1" ht="19.2" customHeight="1">
      <c r="C204" s="450" t="s">
        <v>1208</v>
      </c>
      <c r="D204" s="67"/>
      <c r="E204" s="67"/>
      <c r="F204" s="142"/>
      <c r="G204" s="153"/>
      <c r="H204" s="63">
        <f>SUM(H201:H203)</f>
        <v>53068</v>
      </c>
      <c r="I204" s="154"/>
    </row>
    <row r="205" spans="3:13" s="59" customFormat="1" ht="19.2" customHeight="1">
      <c r="C205" s="61" t="s">
        <v>1209</v>
      </c>
      <c r="D205" s="56" t="s">
        <v>1210</v>
      </c>
      <c r="E205" s="57"/>
      <c r="F205" s="57"/>
      <c r="G205" s="57"/>
      <c r="H205" s="57"/>
      <c r="I205" s="44"/>
    </row>
    <row r="206" spans="3:13" s="59" customFormat="1" ht="19.2" customHeight="1">
      <c r="C206" s="61">
        <v>1</v>
      </c>
      <c r="D206" s="56" t="s">
        <v>4487</v>
      </c>
      <c r="E206" s="93" t="s">
        <v>42</v>
      </c>
      <c r="F206" s="103">
        <v>4.4499999999999998E-2</v>
      </c>
      <c r="G206" s="63">
        <f>VLOOKUP(D206,upahbahan,3,FALSE)</f>
        <v>1236000</v>
      </c>
      <c r="H206" s="63">
        <f>F206*G206</f>
        <v>55002</v>
      </c>
      <c r="I206" s="44"/>
    </row>
    <row r="207" spans="3:13" s="59" customFormat="1" ht="19.2" customHeight="1">
      <c r="C207" s="61">
        <v>2</v>
      </c>
      <c r="D207" s="56" t="s">
        <v>4488</v>
      </c>
      <c r="E207" s="93" t="s">
        <v>42</v>
      </c>
      <c r="F207" s="103">
        <v>8.8999999999999996E-2</v>
      </c>
      <c r="G207" s="63">
        <f>VLOOKUP(D207,upahbahan,3,FALSE)</f>
        <v>0</v>
      </c>
      <c r="H207" s="63">
        <f>F207*G207</f>
        <v>0</v>
      </c>
      <c r="I207" s="44"/>
    </row>
    <row r="208" spans="3:13" s="59" customFormat="1" ht="19.2" customHeight="1">
      <c r="C208" s="61">
        <v>3</v>
      </c>
      <c r="D208" s="56" t="s">
        <v>4521</v>
      </c>
      <c r="E208" s="93" t="s">
        <v>44</v>
      </c>
      <c r="F208" s="103">
        <v>0.83330000000000004</v>
      </c>
      <c r="G208" s="63">
        <f>VLOOKUP(D208,upahbahan,3,FALSE)</f>
        <v>470000</v>
      </c>
      <c r="H208" s="63">
        <f>F208*G208</f>
        <v>391651</v>
      </c>
      <c r="I208" s="44"/>
    </row>
    <row r="209" spans="3:13" s="59" customFormat="1" ht="19.2" customHeight="1">
      <c r="C209" s="450" t="s">
        <v>1214</v>
      </c>
      <c r="D209" s="67"/>
      <c r="E209" s="67"/>
      <c r="F209" s="67"/>
      <c r="G209" s="69"/>
      <c r="H209" s="63">
        <f>SUM(H206:H208)</f>
        <v>446653</v>
      </c>
      <c r="I209" s="44"/>
    </row>
    <row r="210" spans="3:13" s="59" customFormat="1" ht="19.2" customHeight="1">
      <c r="C210" s="61" t="s">
        <v>1215</v>
      </c>
      <c r="D210" s="56" t="s">
        <v>1216</v>
      </c>
      <c r="E210" s="93"/>
      <c r="F210" s="57"/>
      <c r="G210" s="57"/>
      <c r="H210" s="57"/>
      <c r="I210" s="44"/>
    </row>
    <row r="211" spans="3:13" s="59" customFormat="1" ht="19.2" customHeight="1">
      <c r="C211" s="800">
        <v>1</v>
      </c>
      <c r="D211" s="56" t="s">
        <v>1181</v>
      </c>
      <c r="E211" s="93" t="s">
        <v>1074</v>
      </c>
      <c r="F211" s="94">
        <v>0.21840000000000001</v>
      </c>
      <c r="G211" s="63">
        <f>VLOOKUP(D211,upahbahan,3,FALSE)</f>
        <v>1450000</v>
      </c>
      <c r="H211" s="63">
        <f>F211*G211</f>
        <v>316680</v>
      </c>
      <c r="I211" s="44"/>
    </row>
    <row r="212" spans="3:13" s="59" customFormat="1" ht="19.2" customHeight="1">
      <c r="C212" s="450" t="s">
        <v>1217</v>
      </c>
      <c r="D212" s="67"/>
      <c r="E212" s="67"/>
      <c r="F212" s="67"/>
      <c r="G212" s="69"/>
      <c r="H212" s="882">
        <f>SUM(H210:H211)</f>
        <v>316680</v>
      </c>
      <c r="I212" s="44"/>
    </row>
    <row r="213" spans="3:13" s="59" customFormat="1" ht="19.2" customHeight="1">
      <c r="C213" s="288" t="s">
        <v>1218</v>
      </c>
      <c r="D213" s="76" t="s">
        <v>1219</v>
      </c>
      <c r="E213" s="77"/>
      <c r="F213" s="77"/>
      <c r="G213" s="78"/>
      <c r="H213" s="585">
        <f>H212+H209+H204</f>
        <v>816401</v>
      </c>
      <c r="I213" s="369"/>
    </row>
    <row r="214" spans="3:13" s="59" customFormat="1" ht="19.2" customHeight="1">
      <c r="C214" s="288" t="s">
        <v>1220</v>
      </c>
      <c r="D214" s="76" t="s">
        <v>1321</v>
      </c>
      <c r="E214" s="77"/>
      <c r="F214" s="78"/>
      <c r="G214" s="80">
        <v>0.1</v>
      </c>
      <c r="H214" s="63">
        <f>H213*G214</f>
        <v>81640.100000000006</v>
      </c>
      <c r="I214" s="369"/>
    </row>
    <row r="215" spans="3:13" s="59" customFormat="1" ht="19.2" customHeight="1">
      <c r="C215" s="288" t="s">
        <v>1221</v>
      </c>
      <c r="D215" s="76" t="s">
        <v>1222</v>
      </c>
      <c r="E215" s="77"/>
      <c r="F215" s="77"/>
      <c r="G215" s="78"/>
      <c r="H215" s="799">
        <f>SUM(H213:H214)</f>
        <v>898041.1</v>
      </c>
      <c r="I215" s="369"/>
    </row>
    <row r="217" spans="3:13" s="59" customFormat="1" ht="19.5" customHeight="1">
      <c r="C217" s="46" t="s">
        <v>4522</v>
      </c>
      <c r="D217" s="1934" t="s">
        <v>4523</v>
      </c>
      <c r="E217" s="1934"/>
      <c r="F217" s="1934"/>
      <c r="G217" s="1934"/>
      <c r="H217" s="1934"/>
      <c r="I217" s="50">
        <f>ROUNDDOWN(H234,-2)</f>
        <v>934000</v>
      </c>
    </row>
    <row r="218" spans="3:13" s="59" customFormat="1" ht="33" customHeight="1">
      <c r="C218" s="591" t="s">
        <v>1195</v>
      </c>
      <c r="D218" s="591" t="s">
        <v>1196</v>
      </c>
      <c r="E218" s="591" t="s">
        <v>1197</v>
      </c>
      <c r="F218" s="591" t="s">
        <v>1198</v>
      </c>
      <c r="G218" s="591" t="s">
        <v>1199</v>
      </c>
      <c r="H218" s="591" t="s">
        <v>1200</v>
      </c>
      <c r="I218" s="44"/>
    </row>
    <row r="219" spans="3:13" s="59" customFormat="1" ht="19.2" customHeight="1">
      <c r="C219" s="61" t="s">
        <v>1201</v>
      </c>
      <c r="D219" s="56" t="s">
        <v>1202</v>
      </c>
      <c r="E219" s="57"/>
      <c r="F219" s="57"/>
      <c r="G219" s="57"/>
      <c r="H219" s="57"/>
      <c r="I219" s="44"/>
      <c r="J219" s="152" t="s">
        <v>1247</v>
      </c>
    </row>
    <row r="220" spans="3:13" s="59" customFormat="1" ht="19.2" customHeight="1">
      <c r="C220" s="588">
        <v>1</v>
      </c>
      <c r="D220" s="56" t="s">
        <v>5</v>
      </c>
      <c r="E220" s="577" t="s">
        <v>1863</v>
      </c>
      <c r="F220" s="101">
        <v>0.22020000000000001</v>
      </c>
      <c r="G220" s="63">
        <f>VLOOKUP(D220,upahbahan,3,FALSE)</f>
        <v>100000</v>
      </c>
      <c r="H220" s="63">
        <f>F220*G220</f>
        <v>22020</v>
      </c>
      <c r="I220" s="44"/>
      <c r="J220" s="152" t="s">
        <v>1248</v>
      </c>
      <c r="M220" s="65">
        <v>0.1</v>
      </c>
    </row>
    <row r="221" spans="3:13" s="59" customFormat="1" ht="19.2" customHeight="1">
      <c r="C221" s="588">
        <v>2</v>
      </c>
      <c r="D221" s="56" t="s">
        <v>2165</v>
      </c>
      <c r="E221" s="577" t="s">
        <v>1863</v>
      </c>
      <c r="F221" s="101">
        <v>0.22020000000000001</v>
      </c>
      <c r="G221" s="63">
        <f>VLOOKUP(D221,upahbahan,3,FALSE)</f>
        <v>135000</v>
      </c>
      <c r="H221" s="63">
        <f t="shared" ref="H221:H222" si="11">F221*G221</f>
        <v>29727</v>
      </c>
      <c r="I221" s="44"/>
      <c r="J221" s="152"/>
      <c r="M221" s="65"/>
    </row>
    <row r="222" spans="3:13" s="59" customFormat="1" ht="19.2" customHeight="1">
      <c r="C222" s="588">
        <v>3</v>
      </c>
      <c r="D222" s="56" t="s">
        <v>19</v>
      </c>
      <c r="E222" s="577" t="s">
        <v>1863</v>
      </c>
      <c r="F222" s="101">
        <v>1.0999999999999999E-2</v>
      </c>
      <c r="G222" s="63">
        <f>VLOOKUP(D222,upahbahan,3,FALSE)</f>
        <v>160000</v>
      </c>
      <c r="H222" s="63">
        <f t="shared" si="11"/>
        <v>1760</v>
      </c>
      <c r="I222" s="44"/>
    </row>
    <row r="223" spans="3:13" s="59" customFormat="1" ht="19.2" customHeight="1">
      <c r="C223" s="450" t="s">
        <v>1208</v>
      </c>
      <c r="D223" s="67"/>
      <c r="E223" s="67"/>
      <c r="F223" s="142"/>
      <c r="G223" s="153"/>
      <c r="H223" s="63">
        <f>SUM(H220:H222)</f>
        <v>53507</v>
      </c>
      <c r="I223" s="154"/>
    </row>
    <row r="224" spans="3:13" s="59" customFormat="1" ht="19.2" customHeight="1">
      <c r="C224" s="61" t="s">
        <v>1209</v>
      </c>
      <c r="D224" s="56" t="s">
        <v>1210</v>
      </c>
      <c r="E224" s="57"/>
      <c r="F224" s="57"/>
      <c r="G224" s="57"/>
      <c r="H224" s="57"/>
      <c r="I224" s="44"/>
    </row>
    <row r="225" spans="3:13" s="59" customFormat="1" ht="19.2" customHeight="1">
      <c r="C225" s="61">
        <v>1</v>
      </c>
      <c r="D225" s="56" t="s">
        <v>4487</v>
      </c>
      <c r="E225" s="93" t="s">
        <v>42</v>
      </c>
      <c r="F225" s="103">
        <v>5.5E-2</v>
      </c>
      <c r="G225" s="63">
        <f>VLOOKUP(D225,upahbahan,3,FALSE)</f>
        <v>1236000</v>
      </c>
      <c r="H225" s="63">
        <f>F225*G225</f>
        <v>67980</v>
      </c>
      <c r="I225" s="44"/>
    </row>
    <row r="226" spans="3:13" s="59" customFormat="1" ht="19.2" customHeight="1">
      <c r="C226" s="61">
        <v>2</v>
      </c>
      <c r="D226" s="56" t="s">
        <v>4488</v>
      </c>
      <c r="E226" s="93" t="s">
        <v>42</v>
      </c>
      <c r="F226" s="103">
        <v>0.11</v>
      </c>
      <c r="G226" s="63">
        <f>VLOOKUP(D226,upahbahan,3,FALSE)</f>
        <v>0</v>
      </c>
      <c r="H226" s="63">
        <f>F226*G226</f>
        <v>0</v>
      </c>
      <c r="I226" s="44"/>
    </row>
    <row r="227" spans="3:13" s="59" customFormat="1" ht="19.2" customHeight="1">
      <c r="C227" s="61">
        <v>3</v>
      </c>
      <c r="D227" s="56" t="s">
        <v>4524</v>
      </c>
      <c r="E227" s="93" t="s">
        <v>44</v>
      </c>
      <c r="F227" s="103">
        <v>0.83330000000000004</v>
      </c>
      <c r="G227" s="63">
        <f>VLOOKUP(D227,upahbahan,3,FALSE)</f>
        <v>490000</v>
      </c>
      <c r="H227" s="63">
        <f>F227*G227</f>
        <v>408317</v>
      </c>
      <c r="I227" s="44"/>
    </row>
    <row r="228" spans="3:13" s="59" customFormat="1" ht="19.2" customHeight="1">
      <c r="C228" s="450" t="s">
        <v>1214</v>
      </c>
      <c r="D228" s="67"/>
      <c r="E228" s="67"/>
      <c r="F228" s="67"/>
      <c r="G228" s="69"/>
      <c r="H228" s="63">
        <f>SUM(H225:H227)</f>
        <v>476297</v>
      </c>
      <c r="I228" s="44"/>
    </row>
    <row r="229" spans="3:13" s="59" customFormat="1" ht="19.2" customHeight="1">
      <c r="C229" s="61" t="s">
        <v>1215</v>
      </c>
      <c r="D229" s="56" t="s">
        <v>1216</v>
      </c>
      <c r="E229" s="93"/>
      <c r="F229" s="57"/>
      <c r="G229" s="57"/>
      <c r="H229" s="57"/>
      <c r="I229" s="44"/>
    </row>
    <row r="230" spans="3:13" s="59" customFormat="1" ht="19.2" customHeight="1">
      <c r="C230" s="800">
        <v>1</v>
      </c>
      <c r="D230" s="56" t="s">
        <v>1181</v>
      </c>
      <c r="E230" s="93" t="s">
        <v>1074</v>
      </c>
      <c r="F230" s="94">
        <v>0.22020000000000001</v>
      </c>
      <c r="G230" s="63">
        <f>VLOOKUP(D230,upahbahan,3,FALSE)</f>
        <v>1450000</v>
      </c>
      <c r="H230" s="63">
        <f>F230*G230</f>
        <v>319290</v>
      </c>
      <c r="I230" s="44"/>
    </row>
    <row r="231" spans="3:13" s="59" customFormat="1" ht="19.2" customHeight="1">
      <c r="C231" s="450" t="s">
        <v>1217</v>
      </c>
      <c r="D231" s="67"/>
      <c r="E231" s="67"/>
      <c r="F231" s="67"/>
      <c r="G231" s="69"/>
      <c r="H231" s="882">
        <f>SUM(H229:H230)</f>
        <v>319290</v>
      </c>
      <c r="I231" s="44"/>
    </row>
    <row r="232" spans="3:13" s="59" customFormat="1" ht="19.2" customHeight="1">
      <c r="C232" s="288" t="s">
        <v>1218</v>
      </c>
      <c r="D232" s="76" t="s">
        <v>1219</v>
      </c>
      <c r="E232" s="77"/>
      <c r="F232" s="77"/>
      <c r="G232" s="78"/>
      <c r="H232" s="585">
        <f>H231+H228+H223</f>
        <v>849094</v>
      </c>
      <c r="I232" s="369"/>
    </row>
    <row r="233" spans="3:13" s="59" customFormat="1" ht="19.2" customHeight="1">
      <c r="C233" s="288" t="s">
        <v>1220</v>
      </c>
      <c r="D233" s="76" t="s">
        <v>1321</v>
      </c>
      <c r="E233" s="77"/>
      <c r="F233" s="78"/>
      <c r="G233" s="80">
        <v>0.1</v>
      </c>
      <c r="H233" s="63">
        <f>H232*G233</f>
        <v>84909.400000000009</v>
      </c>
      <c r="I233" s="369"/>
    </row>
    <row r="234" spans="3:13" s="59" customFormat="1" ht="19.2" customHeight="1">
      <c r="C234" s="288" t="s">
        <v>1221</v>
      </c>
      <c r="D234" s="76" t="s">
        <v>1222</v>
      </c>
      <c r="E234" s="77"/>
      <c r="F234" s="77"/>
      <c r="G234" s="78"/>
      <c r="H234" s="799">
        <f>SUM(H232:H233)</f>
        <v>934003.4</v>
      </c>
      <c r="I234" s="369"/>
    </row>
    <row r="236" spans="3:13" s="59" customFormat="1" ht="19.5" customHeight="1">
      <c r="C236" s="46" t="s">
        <v>4525</v>
      </c>
      <c r="D236" s="1934" t="s">
        <v>4526</v>
      </c>
      <c r="E236" s="1934"/>
      <c r="F236" s="1934"/>
      <c r="G236" s="1934"/>
      <c r="H236" s="1934"/>
      <c r="I236" s="50">
        <f>ROUNDDOWN(H253,-2)</f>
        <v>1052400</v>
      </c>
    </row>
    <row r="237" spans="3:13" s="59" customFormat="1" ht="33" customHeight="1">
      <c r="C237" s="591" t="s">
        <v>1195</v>
      </c>
      <c r="D237" s="591" t="s">
        <v>1196</v>
      </c>
      <c r="E237" s="591" t="s">
        <v>1197</v>
      </c>
      <c r="F237" s="591" t="s">
        <v>1198</v>
      </c>
      <c r="G237" s="591" t="s">
        <v>1199</v>
      </c>
      <c r="H237" s="591" t="s">
        <v>1200</v>
      </c>
      <c r="I237" s="44"/>
    </row>
    <row r="238" spans="3:13" s="59" customFormat="1" ht="19.2" customHeight="1">
      <c r="C238" s="61" t="s">
        <v>1201</v>
      </c>
      <c r="D238" s="56" t="s">
        <v>1202</v>
      </c>
      <c r="E238" s="57"/>
      <c r="F238" s="57"/>
      <c r="G238" s="57"/>
      <c r="H238" s="57"/>
      <c r="I238" s="44"/>
      <c r="J238" s="152" t="s">
        <v>1247</v>
      </c>
    </row>
    <row r="239" spans="3:13" s="59" customFormat="1" ht="19.2" customHeight="1">
      <c r="C239" s="588">
        <v>1</v>
      </c>
      <c r="D239" s="56" t="s">
        <v>5</v>
      </c>
      <c r="E239" s="577" t="s">
        <v>1863</v>
      </c>
      <c r="F239" s="101">
        <v>0.90449999999999997</v>
      </c>
      <c r="G239" s="63">
        <f>VLOOKUP(D239,upahbahan,3,FALSE)</f>
        <v>100000</v>
      </c>
      <c r="H239" s="63">
        <f>F239*G239</f>
        <v>90450</v>
      </c>
      <c r="I239" s="44"/>
      <c r="J239" s="152" t="s">
        <v>1248</v>
      </c>
      <c r="M239" s="65">
        <v>0.1</v>
      </c>
    </row>
    <row r="240" spans="3:13" s="59" customFormat="1" ht="19.2" customHeight="1">
      <c r="C240" s="588">
        <v>2</v>
      </c>
      <c r="D240" s="56" t="s">
        <v>2165</v>
      </c>
      <c r="E240" s="577" t="s">
        <v>1863</v>
      </c>
      <c r="F240" s="101">
        <v>0.2261</v>
      </c>
      <c r="G240" s="63">
        <f>VLOOKUP(D240,upahbahan,3,FALSE)</f>
        <v>135000</v>
      </c>
      <c r="H240" s="63">
        <f t="shared" ref="H240:H241" si="12">F240*G240</f>
        <v>30523.5</v>
      </c>
      <c r="I240" s="44"/>
      <c r="J240" s="152"/>
      <c r="M240" s="65"/>
    </row>
    <row r="241" spans="3:9" s="59" customFormat="1" ht="19.2" customHeight="1">
      <c r="C241" s="588">
        <v>3</v>
      </c>
      <c r="D241" s="56" t="s">
        <v>19</v>
      </c>
      <c r="E241" s="577" t="s">
        <v>1863</v>
      </c>
      <c r="F241" s="101">
        <v>4.5199999999999997E-2</v>
      </c>
      <c r="G241" s="63">
        <f>VLOOKUP(D241,upahbahan,3,FALSE)</f>
        <v>160000</v>
      </c>
      <c r="H241" s="63">
        <f t="shared" si="12"/>
        <v>7231.9999999999991</v>
      </c>
      <c r="I241" s="44"/>
    </row>
    <row r="242" spans="3:9" s="59" customFormat="1" ht="19.2" customHeight="1">
      <c r="C242" s="450" t="s">
        <v>1208</v>
      </c>
      <c r="D242" s="67"/>
      <c r="E242" s="67"/>
      <c r="F242" s="142"/>
      <c r="G242" s="153"/>
      <c r="H242" s="63">
        <f>SUM(H239:H241)</f>
        <v>128205.5</v>
      </c>
      <c r="I242" s="154"/>
    </row>
    <row r="243" spans="3:9" s="59" customFormat="1" ht="19.2" customHeight="1">
      <c r="C243" s="61" t="s">
        <v>1209</v>
      </c>
      <c r="D243" s="56" t="s">
        <v>1210</v>
      </c>
      <c r="E243" s="57"/>
      <c r="F243" s="57"/>
      <c r="G243" s="57"/>
      <c r="H243" s="57"/>
      <c r="I243" s="44"/>
    </row>
    <row r="244" spans="3:9" s="59" customFormat="1" ht="19.2" customHeight="1">
      <c r="C244" s="61">
        <v>1</v>
      </c>
      <c r="D244" s="56" t="s">
        <v>4487</v>
      </c>
      <c r="E244" s="93" t="s">
        <v>42</v>
      </c>
      <c r="F244" s="103">
        <v>5.45E-2</v>
      </c>
      <c r="G244" s="63">
        <f>VLOOKUP(D244,upahbahan,3,FALSE)</f>
        <v>1236000</v>
      </c>
      <c r="H244" s="63">
        <f>F244*G244</f>
        <v>67362</v>
      </c>
      <c r="I244" s="44"/>
    </row>
    <row r="245" spans="3:9" s="59" customFormat="1" ht="19.2" customHeight="1">
      <c r="C245" s="61">
        <v>2</v>
      </c>
      <c r="D245" s="56" t="s">
        <v>4488</v>
      </c>
      <c r="E245" s="93" t="s">
        <v>42</v>
      </c>
      <c r="F245" s="103">
        <v>0.109</v>
      </c>
      <c r="G245" s="63">
        <f>VLOOKUP(D245,upahbahan,3,FALSE)</f>
        <v>0</v>
      </c>
      <c r="H245" s="63">
        <f>F245*G245</f>
        <v>0</v>
      </c>
      <c r="I245" s="44"/>
    </row>
    <row r="246" spans="3:9" s="59" customFormat="1" ht="19.2" customHeight="1">
      <c r="C246" s="61">
        <v>3</v>
      </c>
      <c r="D246" s="56" t="s">
        <v>4527</v>
      </c>
      <c r="E246" s="93" t="s">
        <v>44</v>
      </c>
      <c r="F246" s="103">
        <v>0.83330000000000004</v>
      </c>
      <c r="G246" s="63">
        <f>VLOOKUP(D246,upahbahan,3,FALSE)</f>
        <v>520000</v>
      </c>
      <c r="H246" s="63">
        <f>F246*G246</f>
        <v>433316</v>
      </c>
      <c r="I246" s="44"/>
    </row>
    <row r="247" spans="3:9" s="59" customFormat="1" ht="19.2" customHeight="1">
      <c r="C247" s="450" t="s">
        <v>1214</v>
      </c>
      <c r="D247" s="67"/>
      <c r="E247" s="67"/>
      <c r="F247" s="67"/>
      <c r="G247" s="69"/>
      <c r="H247" s="63">
        <f>SUM(H244:H246)</f>
        <v>500678</v>
      </c>
      <c r="I247" s="44"/>
    </row>
    <row r="248" spans="3:9" s="59" customFormat="1" ht="19.2" customHeight="1">
      <c r="C248" s="61" t="s">
        <v>1215</v>
      </c>
      <c r="D248" s="56" t="s">
        <v>1216</v>
      </c>
      <c r="E248" s="93"/>
      <c r="F248" s="57"/>
      <c r="G248" s="57"/>
      <c r="H248" s="57"/>
      <c r="I248" s="44"/>
    </row>
    <row r="249" spans="3:9" s="59" customFormat="1" ht="19.2" customHeight="1">
      <c r="C249" s="800">
        <v>1</v>
      </c>
      <c r="D249" s="56" t="s">
        <v>1181</v>
      </c>
      <c r="E249" s="93" t="s">
        <v>1074</v>
      </c>
      <c r="F249" s="94">
        <v>0.2261</v>
      </c>
      <c r="G249" s="63">
        <f>VLOOKUP(D249,upahbahan,3,FALSE)</f>
        <v>1450000</v>
      </c>
      <c r="H249" s="63">
        <f>F249*G249</f>
        <v>327845</v>
      </c>
      <c r="I249" s="44"/>
    </row>
    <row r="250" spans="3:9" s="59" customFormat="1" ht="19.2" customHeight="1">
      <c r="C250" s="450" t="s">
        <v>1217</v>
      </c>
      <c r="D250" s="67"/>
      <c r="E250" s="67"/>
      <c r="F250" s="67"/>
      <c r="G250" s="69"/>
      <c r="H250" s="882">
        <f>SUM(H248:H249)</f>
        <v>327845</v>
      </c>
      <c r="I250" s="44"/>
    </row>
    <row r="251" spans="3:9" s="59" customFormat="1" ht="19.2" customHeight="1">
      <c r="C251" s="288" t="s">
        <v>1218</v>
      </c>
      <c r="D251" s="76" t="s">
        <v>1219</v>
      </c>
      <c r="E251" s="77"/>
      <c r="F251" s="77"/>
      <c r="G251" s="78"/>
      <c r="H251" s="585">
        <f>H250+H247+H242</f>
        <v>956728.5</v>
      </c>
      <c r="I251" s="369"/>
    </row>
    <row r="252" spans="3:9" s="59" customFormat="1" ht="19.2" customHeight="1">
      <c r="C252" s="288" t="s">
        <v>1220</v>
      </c>
      <c r="D252" s="76" t="s">
        <v>1321</v>
      </c>
      <c r="E252" s="77"/>
      <c r="F252" s="78"/>
      <c r="G252" s="80">
        <v>0.1</v>
      </c>
      <c r="H252" s="63">
        <f>H251*G252</f>
        <v>95672.85</v>
      </c>
      <c r="I252" s="369"/>
    </row>
    <row r="253" spans="3:9" s="59" customFormat="1" ht="19.2" customHeight="1">
      <c r="C253" s="288" t="s">
        <v>1221</v>
      </c>
      <c r="D253" s="76" t="s">
        <v>1222</v>
      </c>
      <c r="E253" s="77"/>
      <c r="F253" s="77"/>
      <c r="G253" s="78"/>
      <c r="H253" s="799">
        <f>SUM(H251:H252)</f>
        <v>1052401.3500000001</v>
      </c>
      <c r="I253" s="369"/>
    </row>
    <row r="255" spans="3:9" s="59" customFormat="1" ht="19.5" customHeight="1">
      <c r="C255" s="46" t="s">
        <v>4528</v>
      </c>
      <c r="D255" s="1934" t="s">
        <v>4529</v>
      </c>
      <c r="E255" s="1934"/>
      <c r="F255" s="1934"/>
      <c r="G255" s="1934"/>
      <c r="H255" s="1934"/>
      <c r="I255" s="50">
        <f>ROUNDDOWN(H272,-2)</f>
        <v>1097300</v>
      </c>
    </row>
    <row r="256" spans="3:9" s="59" customFormat="1" ht="33" customHeight="1">
      <c r="C256" s="591" t="s">
        <v>1195</v>
      </c>
      <c r="D256" s="591" t="s">
        <v>1196</v>
      </c>
      <c r="E256" s="591" t="s">
        <v>1197</v>
      </c>
      <c r="F256" s="591" t="s">
        <v>1198</v>
      </c>
      <c r="G256" s="591" t="s">
        <v>1199</v>
      </c>
      <c r="H256" s="591" t="s">
        <v>1200</v>
      </c>
      <c r="I256" s="44"/>
    </row>
    <row r="257" spans="3:13" s="59" customFormat="1" ht="19.2" customHeight="1">
      <c r="C257" s="61" t="s">
        <v>1201</v>
      </c>
      <c r="D257" s="56" t="s">
        <v>1202</v>
      </c>
      <c r="E257" s="57"/>
      <c r="F257" s="57"/>
      <c r="G257" s="57"/>
      <c r="H257" s="57"/>
      <c r="I257" s="44"/>
      <c r="J257" s="152" t="s">
        <v>1247</v>
      </c>
    </row>
    <row r="258" spans="3:13" s="59" customFormat="1" ht="19.2" customHeight="1">
      <c r="C258" s="588">
        <v>1</v>
      </c>
      <c r="D258" s="56" t="s">
        <v>5</v>
      </c>
      <c r="E258" s="577" t="s">
        <v>1863</v>
      </c>
      <c r="F258" s="101">
        <v>0.95250000000000001</v>
      </c>
      <c r="G258" s="63">
        <f>VLOOKUP(D258,upahbahan,3,FALSE)</f>
        <v>100000</v>
      </c>
      <c r="H258" s="63">
        <f>F258*G258</f>
        <v>95250</v>
      </c>
      <c r="I258" s="44"/>
      <c r="J258" s="152" t="s">
        <v>1248</v>
      </c>
      <c r="M258" s="65">
        <v>0.1</v>
      </c>
    </row>
    <row r="259" spans="3:13" s="59" customFormat="1" ht="19.2" customHeight="1">
      <c r="C259" s="588">
        <v>2</v>
      </c>
      <c r="D259" s="56" t="s">
        <v>2165</v>
      </c>
      <c r="E259" s="577" t="s">
        <v>1863</v>
      </c>
      <c r="F259" s="101">
        <v>0.23810000000000001</v>
      </c>
      <c r="G259" s="63">
        <f>VLOOKUP(D259,upahbahan,3,FALSE)</f>
        <v>135000</v>
      </c>
      <c r="H259" s="63">
        <f t="shared" ref="H259:H260" si="13">F259*G259</f>
        <v>32143.5</v>
      </c>
      <c r="I259" s="44"/>
      <c r="J259" s="152"/>
      <c r="M259" s="65"/>
    </row>
    <row r="260" spans="3:13" s="59" customFormat="1" ht="19.2" customHeight="1">
      <c r="C260" s="588">
        <v>3</v>
      </c>
      <c r="D260" s="56" t="s">
        <v>19</v>
      </c>
      <c r="E260" s="577" t="s">
        <v>1863</v>
      </c>
      <c r="F260" s="101">
        <v>4.7600000000000003E-2</v>
      </c>
      <c r="G260" s="63">
        <f>VLOOKUP(D260,upahbahan,3,FALSE)</f>
        <v>160000</v>
      </c>
      <c r="H260" s="63">
        <f t="shared" si="13"/>
        <v>7616.0000000000009</v>
      </c>
      <c r="I260" s="44"/>
    </row>
    <row r="261" spans="3:13" s="59" customFormat="1" ht="19.2" customHeight="1">
      <c r="C261" s="450" t="s">
        <v>1208</v>
      </c>
      <c r="D261" s="67"/>
      <c r="E261" s="67"/>
      <c r="F261" s="142"/>
      <c r="G261" s="153"/>
      <c r="H261" s="63">
        <f>SUM(H258:H260)</f>
        <v>135009.5</v>
      </c>
      <c r="I261" s="154"/>
    </row>
    <row r="262" spans="3:13" s="59" customFormat="1" ht="19.2" customHeight="1">
      <c r="C262" s="61" t="s">
        <v>1209</v>
      </c>
      <c r="D262" s="56" t="s">
        <v>1210</v>
      </c>
      <c r="E262" s="57"/>
      <c r="F262" s="57"/>
      <c r="G262" s="57"/>
      <c r="H262" s="57"/>
      <c r="I262" s="44"/>
    </row>
    <row r="263" spans="3:13" s="59" customFormat="1" ht="19.2" customHeight="1">
      <c r="C263" s="61">
        <v>1</v>
      </c>
      <c r="D263" s="56" t="s">
        <v>4487</v>
      </c>
      <c r="E263" s="93" t="s">
        <v>42</v>
      </c>
      <c r="F263" s="103">
        <v>5.45E-2</v>
      </c>
      <c r="G263" s="63">
        <f>VLOOKUP(D263,upahbahan,3,FALSE)</f>
        <v>1236000</v>
      </c>
      <c r="H263" s="63">
        <f>F263*G263</f>
        <v>67362</v>
      </c>
      <c r="I263" s="44"/>
    </row>
    <row r="264" spans="3:13" s="59" customFormat="1" ht="19.2" customHeight="1">
      <c r="C264" s="61">
        <v>2</v>
      </c>
      <c r="D264" s="56" t="s">
        <v>4488</v>
      </c>
      <c r="E264" s="93" t="s">
        <v>42</v>
      </c>
      <c r="F264" s="103">
        <v>0.109</v>
      </c>
      <c r="G264" s="63">
        <f>VLOOKUP(D264,upahbahan,3,FALSE)</f>
        <v>0</v>
      </c>
      <c r="H264" s="63">
        <f>F264*G264</f>
        <v>0</v>
      </c>
      <c r="I264" s="44"/>
    </row>
    <row r="265" spans="3:13" s="59" customFormat="1" ht="19.2" customHeight="1">
      <c r="C265" s="61">
        <v>3</v>
      </c>
      <c r="D265" s="56" t="s">
        <v>4530</v>
      </c>
      <c r="E265" s="93" t="s">
        <v>44</v>
      </c>
      <c r="F265" s="103">
        <v>0.83330000000000004</v>
      </c>
      <c r="G265" s="63">
        <f>VLOOKUP(D265,upahbahan,3,FALSE)</f>
        <v>540000</v>
      </c>
      <c r="H265" s="63">
        <f>F265*G265</f>
        <v>449982</v>
      </c>
      <c r="I265" s="44"/>
    </row>
    <row r="266" spans="3:13" s="59" customFormat="1" ht="19.2" customHeight="1">
      <c r="C266" s="450" t="s">
        <v>1214</v>
      </c>
      <c r="D266" s="67"/>
      <c r="E266" s="67"/>
      <c r="F266" s="67"/>
      <c r="G266" s="69"/>
      <c r="H266" s="63">
        <f>SUM(H263:H265)</f>
        <v>517344</v>
      </c>
      <c r="I266" s="44"/>
    </row>
    <row r="267" spans="3:13" s="59" customFormat="1" ht="19.2" customHeight="1">
      <c r="C267" s="61" t="s">
        <v>1215</v>
      </c>
      <c r="D267" s="56" t="s">
        <v>1216</v>
      </c>
      <c r="E267" s="93"/>
      <c r="F267" s="57"/>
      <c r="G267" s="57"/>
      <c r="H267" s="57"/>
      <c r="I267" s="44"/>
    </row>
    <row r="268" spans="3:13" s="59" customFormat="1" ht="19.2" customHeight="1">
      <c r="C268" s="800">
        <v>1</v>
      </c>
      <c r="D268" s="56" t="s">
        <v>1181</v>
      </c>
      <c r="E268" s="93" t="s">
        <v>1074</v>
      </c>
      <c r="F268" s="94">
        <v>0.23810000000000001</v>
      </c>
      <c r="G268" s="63">
        <f>VLOOKUP(D268,upahbahan,3,FALSE)</f>
        <v>1450000</v>
      </c>
      <c r="H268" s="63">
        <f>F268*G268</f>
        <v>345245</v>
      </c>
      <c r="I268" s="44"/>
    </row>
    <row r="269" spans="3:13" s="59" customFormat="1" ht="19.2" customHeight="1">
      <c r="C269" s="450" t="s">
        <v>1217</v>
      </c>
      <c r="D269" s="67"/>
      <c r="E269" s="67"/>
      <c r="F269" s="67"/>
      <c r="G269" s="69"/>
      <c r="H269" s="882">
        <f>SUM(H267:H268)</f>
        <v>345245</v>
      </c>
      <c r="I269" s="44"/>
    </row>
    <row r="270" spans="3:13" s="59" customFormat="1" ht="19.2" customHeight="1">
      <c r="C270" s="288" t="s">
        <v>1218</v>
      </c>
      <c r="D270" s="76" t="s">
        <v>1219</v>
      </c>
      <c r="E270" s="77"/>
      <c r="F270" s="77"/>
      <c r="G270" s="78"/>
      <c r="H270" s="585">
        <f>H269+H266+H261</f>
        <v>997598.5</v>
      </c>
      <c r="I270" s="369"/>
    </row>
    <row r="271" spans="3:13" s="59" customFormat="1" ht="19.2" customHeight="1">
      <c r="C271" s="288" t="s">
        <v>1220</v>
      </c>
      <c r="D271" s="76" t="s">
        <v>1321</v>
      </c>
      <c r="E271" s="77"/>
      <c r="F271" s="78"/>
      <c r="G271" s="80">
        <v>0.1</v>
      </c>
      <c r="H271" s="63">
        <f>H270*G271</f>
        <v>99759.85</v>
      </c>
      <c r="I271" s="369"/>
    </row>
    <row r="272" spans="3:13" s="59" customFormat="1" ht="19.2" customHeight="1">
      <c r="C272" s="288" t="s">
        <v>1221</v>
      </c>
      <c r="D272" s="76" t="s">
        <v>1222</v>
      </c>
      <c r="E272" s="77"/>
      <c r="F272" s="77"/>
      <c r="G272" s="78"/>
      <c r="H272" s="799">
        <f>SUM(H270:H271)</f>
        <v>1097358.3500000001</v>
      </c>
      <c r="I272" s="369"/>
    </row>
    <row r="275" spans="3:13" s="59" customFormat="1" ht="19.5" customHeight="1">
      <c r="C275" s="46" t="s">
        <v>4531</v>
      </c>
      <c r="D275" s="1934" t="s">
        <v>4532</v>
      </c>
      <c r="E275" s="1934"/>
      <c r="F275" s="1934"/>
      <c r="G275" s="1934"/>
      <c r="H275" s="1934"/>
      <c r="I275" s="50">
        <f>ROUNDDOWN(H292,-2)</f>
        <v>1148200</v>
      </c>
    </row>
    <row r="276" spans="3:13" s="59" customFormat="1" ht="33" customHeight="1">
      <c r="C276" s="591" t="s">
        <v>1195</v>
      </c>
      <c r="D276" s="591" t="s">
        <v>1196</v>
      </c>
      <c r="E276" s="591" t="s">
        <v>1197</v>
      </c>
      <c r="F276" s="591" t="s">
        <v>1198</v>
      </c>
      <c r="G276" s="591" t="s">
        <v>1199</v>
      </c>
      <c r="H276" s="591" t="s">
        <v>1200</v>
      </c>
      <c r="I276" s="44"/>
    </row>
    <row r="277" spans="3:13" s="59" customFormat="1" ht="19.2" customHeight="1">
      <c r="C277" s="61" t="s">
        <v>1201</v>
      </c>
      <c r="D277" s="56" t="s">
        <v>1202</v>
      </c>
      <c r="E277" s="57"/>
      <c r="F277" s="57"/>
      <c r="G277" s="57"/>
      <c r="H277" s="57"/>
      <c r="I277" s="44"/>
      <c r="J277" s="152" t="s">
        <v>1247</v>
      </c>
    </row>
    <row r="278" spans="3:13" s="59" customFormat="1" ht="19.2" customHeight="1">
      <c r="C278" s="588">
        <v>1</v>
      </c>
      <c r="D278" s="56" t="s">
        <v>5</v>
      </c>
      <c r="E278" s="577" t="s">
        <v>1863</v>
      </c>
      <c r="F278" s="101">
        <v>0.96509999999999996</v>
      </c>
      <c r="G278" s="63">
        <f>VLOOKUP(D278,upahbahan,3,FALSE)</f>
        <v>100000</v>
      </c>
      <c r="H278" s="63">
        <f>F278*G278</f>
        <v>96510</v>
      </c>
      <c r="I278" s="44"/>
      <c r="J278" s="152" t="s">
        <v>1248</v>
      </c>
      <c r="M278" s="65">
        <v>0.1</v>
      </c>
    </row>
    <row r="279" spans="3:13" s="59" customFormat="1" ht="19.2" customHeight="1">
      <c r="C279" s="588">
        <v>2</v>
      </c>
      <c r="D279" s="56" t="s">
        <v>2165</v>
      </c>
      <c r="E279" s="577" t="s">
        <v>1863</v>
      </c>
      <c r="F279" s="101">
        <v>0.24129999999999999</v>
      </c>
      <c r="G279" s="63">
        <f>VLOOKUP(D279,upahbahan,3,FALSE)</f>
        <v>135000</v>
      </c>
      <c r="H279" s="63">
        <f t="shared" ref="H279:H280" si="14">F279*G279</f>
        <v>32575.5</v>
      </c>
      <c r="I279" s="44"/>
      <c r="J279" s="152"/>
      <c r="M279" s="65"/>
    </row>
    <row r="280" spans="3:13" s="59" customFormat="1" ht="19.2" customHeight="1">
      <c r="C280" s="588">
        <v>3</v>
      </c>
      <c r="D280" s="56" t="s">
        <v>19</v>
      </c>
      <c r="E280" s="577" t="s">
        <v>1863</v>
      </c>
      <c r="F280" s="101">
        <v>4.8300000000000003E-2</v>
      </c>
      <c r="G280" s="63">
        <f>VLOOKUP(D280,upahbahan,3,FALSE)</f>
        <v>160000</v>
      </c>
      <c r="H280" s="63">
        <f t="shared" si="14"/>
        <v>7728</v>
      </c>
      <c r="I280" s="44"/>
    </row>
    <row r="281" spans="3:13" s="59" customFormat="1" ht="19.2" customHeight="1">
      <c r="C281" s="450" t="s">
        <v>1208</v>
      </c>
      <c r="D281" s="67"/>
      <c r="E281" s="67"/>
      <c r="F281" s="142"/>
      <c r="G281" s="153"/>
      <c r="H281" s="63">
        <f>SUM(H278:H280)</f>
        <v>136813.5</v>
      </c>
      <c r="I281" s="154"/>
    </row>
    <row r="282" spans="3:13" s="59" customFormat="1" ht="19.2" customHeight="1">
      <c r="C282" s="61" t="s">
        <v>1209</v>
      </c>
      <c r="D282" s="56" t="s">
        <v>1210</v>
      </c>
      <c r="E282" s="57"/>
      <c r="F282" s="57"/>
      <c r="G282" s="57"/>
      <c r="H282" s="57"/>
      <c r="I282" s="44"/>
    </row>
    <row r="283" spans="3:13" s="59" customFormat="1" ht="19.2" customHeight="1">
      <c r="C283" s="61">
        <v>1</v>
      </c>
      <c r="D283" s="56" t="s">
        <v>4487</v>
      </c>
      <c r="E283" s="93" t="s">
        <v>42</v>
      </c>
      <c r="F283" s="103">
        <v>6.6500000000000004E-2</v>
      </c>
      <c r="G283" s="63">
        <f>VLOOKUP(D283,upahbahan,3,FALSE)</f>
        <v>1236000</v>
      </c>
      <c r="H283" s="63">
        <f>F283*G283</f>
        <v>82194</v>
      </c>
      <c r="I283" s="44"/>
    </row>
    <row r="284" spans="3:13" s="59" customFormat="1" ht="19.2" customHeight="1">
      <c r="C284" s="61">
        <v>2</v>
      </c>
      <c r="D284" s="56" t="s">
        <v>4488</v>
      </c>
      <c r="E284" s="93" t="s">
        <v>42</v>
      </c>
      <c r="F284" s="103">
        <v>0.13300000000000001</v>
      </c>
      <c r="G284" s="63">
        <f>VLOOKUP(D284,upahbahan,3,FALSE)</f>
        <v>0</v>
      </c>
      <c r="H284" s="63">
        <f>F284*G284</f>
        <v>0</v>
      </c>
      <c r="I284" s="44"/>
    </row>
    <row r="285" spans="3:13" s="59" customFormat="1" ht="19.2" customHeight="1">
      <c r="C285" s="61">
        <v>3</v>
      </c>
      <c r="D285" s="56" t="s">
        <v>4533</v>
      </c>
      <c r="E285" s="93" t="s">
        <v>44</v>
      </c>
      <c r="F285" s="103">
        <v>0.83330000000000004</v>
      </c>
      <c r="G285" s="63">
        <f>VLOOKUP(D285,upahbahan,3,FALSE)</f>
        <v>570000</v>
      </c>
      <c r="H285" s="63">
        <f>F285*G285</f>
        <v>474981</v>
      </c>
      <c r="I285" s="44"/>
    </row>
    <row r="286" spans="3:13" s="59" customFormat="1" ht="19.2" customHeight="1">
      <c r="C286" s="450" t="s">
        <v>1214</v>
      </c>
      <c r="D286" s="67"/>
      <c r="E286" s="67"/>
      <c r="F286" s="67"/>
      <c r="G286" s="69"/>
      <c r="H286" s="63">
        <f>SUM(H283:H285)</f>
        <v>557175</v>
      </c>
      <c r="I286" s="44"/>
    </row>
    <row r="287" spans="3:13" s="59" customFormat="1" ht="19.2" customHeight="1">
      <c r="C287" s="61" t="s">
        <v>1215</v>
      </c>
      <c r="D287" s="56" t="s">
        <v>1216</v>
      </c>
      <c r="E287" s="93"/>
      <c r="F287" s="57"/>
      <c r="G287" s="57"/>
      <c r="H287" s="57"/>
      <c r="I287" s="44"/>
    </row>
    <row r="288" spans="3:13" s="59" customFormat="1" ht="19.2" customHeight="1">
      <c r="C288" s="800">
        <v>1</v>
      </c>
      <c r="D288" s="56" t="s">
        <v>1181</v>
      </c>
      <c r="E288" s="93" t="s">
        <v>1074</v>
      </c>
      <c r="F288" s="94">
        <v>0.24129999999999999</v>
      </c>
      <c r="G288" s="63">
        <f>VLOOKUP(D288,upahbahan,3,FALSE)</f>
        <v>1450000</v>
      </c>
      <c r="H288" s="63">
        <f>F288*G288</f>
        <v>349885</v>
      </c>
      <c r="I288" s="44"/>
    </row>
    <row r="289" spans="3:13" s="59" customFormat="1" ht="19.2" customHeight="1">
      <c r="C289" s="450" t="s">
        <v>1217</v>
      </c>
      <c r="D289" s="67"/>
      <c r="E289" s="67"/>
      <c r="F289" s="67"/>
      <c r="G289" s="69"/>
      <c r="H289" s="882">
        <f>SUM(H287:H288)</f>
        <v>349885</v>
      </c>
      <c r="I289" s="44"/>
    </row>
    <row r="290" spans="3:13" s="59" customFormat="1" ht="19.2" customHeight="1">
      <c r="C290" s="288" t="s">
        <v>1218</v>
      </c>
      <c r="D290" s="76" t="s">
        <v>1219</v>
      </c>
      <c r="E290" s="77"/>
      <c r="F290" s="77"/>
      <c r="G290" s="78"/>
      <c r="H290" s="585">
        <f>H289+H286+H281</f>
        <v>1043873.5</v>
      </c>
      <c r="I290" s="369"/>
    </row>
    <row r="291" spans="3:13" s="59" customFormat="1" ht="19.2" customHeight="1">
      <c r="C291" s="288" t="s">
        <v>1220</v>
      </c>
      <c r="D291" s="76" t="s">
        <v>1321</v>
      </c>
      <c r="E291" s="77"/>
      <c r="F291" s="78"/>
      <c r="G291" s="80">
        <v>0.1</v>
      </c>
      <c r="H291" s="63">
        <f>H290*G291</f>
        <v>104387.35</v>
      </c>
      <c r="I291" s="369"/>
    </row>
    <row r="292" spans="3:13" s="59" customFormat="1" ht="19.2" customHeight="1">
      <c r="C292" s="288" t="s">
        <v>1221</v>
      </c>
      <c r="D292" s="76" t="s">
        <v>1222</v>
      </c>
      <c r="E292" s="77"/>
      <c r="F292" s="77"/>
      <c r="G292" s="78"/>
      <c r="H292" s="799">
        <f>SUM(H290:H291)</f>
        <v>1148260.8500000001</v>
      </c>
      <c r="I292" s="369"/>
    </row>
    <row r="294" spans="3:13" s="59" customFormat="1" ht="19.5" customHeight="1">
      <c r="C294" s="46" t="s">
        <v>4534</v>
      </c>
      <c r="D294" s="1934" t="s">
        <v>4535</v>
      </c>
      <c r="E294" s="1934"/>
      <c r="F294" s="1934"/>
      <c r="G294" s="1934"/>
      <c r="H294" s="1934"/>
      <c r="I294" s="50">
        <f>ROUNDDOWN(H311,-2)</f>
        <v>1177000</v>
      </c>
    </row>
    <row r="295" spans="3:13" s="59" customFormat="1" ht="33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I295" s="44"/>
    </row>
    <row r="296" spans="3:13" s="59" customFormat="1" ht="19.2" customHeight="1">
      <c r="C296" s="61" t="s">
        <v>1201</v>
      </c>
      <c r="D296" s="56" t="s">
        <v>1202</v>
      </c>
      <c r="E296" s="57"/>
      <c r="F296" s="57"/>
      <c r="G296" s="57"/>
      <c r="H296" s="57"/>
      <c r="I296" s="44"/>
      <c r="J296" s="152" t="s">
        <v>1247</v>
      </c>
    </row>
    <row r="297" spans="3:13" s="59" customFormat="1" ht="19.2" customHeight="1">
      <c r="C297" s="588">
        <v>1</v>
      </c>
      <c r="D297" s="56" t="s">
        <v>5</v>
      </c>
      <c r="E297" s="577" t="s">
        <v>1863</v>
      </c>
      <c r="F297" s="101">
        <v>0.98409999999999997</v>
      </c>
      <c r="G297" s="63">
        <f>VLOOKUP(D297,upahbahan,3,FALSE)</f>
        <v>100000</v>
      </c>
      <c r="H297" s="63">
        <f>F297*G297</f>
        <v>98410</v>
      </c>
      <c r="I297" s="44"/>
      <c r="J297" s="152" t="s">
        <v>1248</v>
      </c>
      <c r="M297" s="65">
        <v>0.1</v>
      </c>
    </row>
    <row r="298" spans="3:13" s="59" customFormat="1" ht="19.2" customHeight="1">
      <c r="C298" s="588">
        <v>2</v>
      </c>
      <c r="D298" s="56" t="s">
        <v>2165</v>
      </c>
      <c r="E298" s="577" t="s">
        <v>1863</v>
      </c>
      <c r="F298" s="101">
        <v>0.246</v>
      </c>
      <c r="G298" s="63">
        <f>VLOOKUP(D298,upahbahan,3,FALSE)</f>
        <v>135000</v>
      </c>
      <c r="H298" s="63">
        <f t="shared" ref="H298:H299" si="15">F298*G298</f>
        <v>33210</v>
      </c>
      <c r="I298" s="44"/>
      <c r="J298" s="152"/>
      <c r="M298" s="65"/>
    </row>
    <row r="299" spans="3:13" s="59" customFormat="1" ht="19.2" customHeight="1">
      <c r="C299" s="588">
        <v>3</v>
      </c>
      <c r="D299" s="56" t="s">
        <v>19</v>
      </c>
      <c r="E299" s="577" t="s">
        <v>1863</v>
      </c>
      <c r="F299" s="101">
        <v>4.9200000000000001E-2</v>
      </c>
      <c r="G299" s="63">
        <f>VLOOKUP(D299,upahbahan,3,FALSE)</f>
        <v>160000</v>
      </c>
      <c r="H299" s="63">
        <f t="shared" si="15"/>
        <v>7872</v>
      </c>
      <c r="I299" s="44"/>
    </row>
    <row r="300" spans="3:13" s="59" customFormat="1" ht="19.2" customHeight="1">
      <c r="C300" s="450" t="s">
        <v>1208</v>
      </c>
      <c r="D300" s="67"/>
      <c r="E300" s="67"/>
      <c r="F300" s="142"/>
      <c r="G300" s="153"/>
      <c r="H300" s="63">
        <f>SUM(H297:H299)</f>
        <v>139492</v>
      </c>
      <c r="I300" s="154"/>
    </row>
    <row r="301" spans="3:13" s="59" customFormat="1" ht="19.2" customHeight="1">
      <c r="C301" s="61" t="s">
        <v>1209</v>
      </c>
      <c r="D301" s="56" t="s">
        <v>1210</v>
      </c>
      <c r="E301" s="57"/>
      <c r="F301" s="57"/>
      <c r="G301" s="57"/>
      <c r="H301" s="57"/>
      <c r="I301" s="44"/>
    </row>
    <row r="302" spans="3:13" s="59" customFormat="1" ht="19.2" customHeight="1">
      <c r="C302" s="61">
        <v>1</v>
      </c>
      <c r="D302" s="56" t="s">
        <v>4487</v>
      </c>
      <c r="E302" s="93" t="s">
        <v>42</v>
      </c>
      <c r="F302" s="103">
        <v>6.6500000000000004E-2</v>
      </c>
      <c r="G302" s="63">
        <f>VLOOKUP(D302,upahbahan,3,FALSE)</f>
        <v>1236000</v>
      </c>
      <c r="H302" s="63">
        <f>F302*G302</f>
        <v>82194</v>
      </c>
      <c r="I302" s="44"/>
    </row>
    <row r="303" spans="3:13" s="59" customFormat="1" ht="19.2" customHeight="1">
      <c r="C303" s="61">
        <v>2</v>
      </c>
      <c r="D303" s="56" t="s">
        <v>4488</v>
      </c>
      <c r="E303" s="93" t="s">
        <v>42</v>
      </c>
      <c r="F303" s="103">
        <v>0.13300000000000001</v>
      </c>
      <c r="G303" s="63">
        <f>VLOOKUP(D303,upahbahan,3,FALSE)</f>
        <v>0</v>
      </c>
      <c r="H303" s="63">
        <f>F303*G303</f>
        <v>0</v>
      </c>
      <c r="I303" s="44"/>
    </row>
    <row r="304" spans="3:13" s="59" customFormat="1" ht="19.2" customHeight="1">
      <c r="C304" s="61">
        <v>3</v>
      </c>
      <c r="D304" s="56" t="s">
        <v>4536</v>
      </c>
      <c r="E304" s="93" t="s">
        <v>44</v>
      </c>
      <c r="F304" s="103">
        <v>0.83330000000000004</v>
      </c>
      <c r="G304" s="63">
        <f>VLOOKUP(D304,upahbahan,3,FALSE)</f>
        <v>590000</v>
      </c>
      <c r="H304" s="63">
        <f>F304*G304</f>
        <v>491647</v>
      </c>
      <c r="I304" s="44"/>
    </row>
    <row r="305" spans="3:13" s="59" customFormat="1" ht="19.2" customHeight="1">
      <c r="C305" s="450" t="s">
        <v>1214</v>
      </c>
      <c r="D305" s="67"/>
      <c r="E305" s="67"/>
      <c r="F305" s="67"/>
      <c r="G305" s="69"/>
      <c r="H305" s="63">
        <f>SUM(H302:H304)</f>
        <v>573841</v>
      </c>
      <c r="I305" s="44"/>
    </row>
    <row r="306" spans="3:13" s="59" customFormat="1" ht="19.2" customHeight="1">
      <c r="C306" s="61" t="s">
        <v>1215</v>
      </c>
      <c r="D306" s="56" t="s">
        <v>1216</v>
      </c>
      <c r="E306" s="93"/>
      <c r="F306" s="57"/>
      <c r="G306" s="57"/>
      <c r="H306" s="57"/>
      <c r="I306" s="44"/>
    </row>
    <row r="307" spans="3:13" s="59" customFormat="1" ht="19.2" customHeight="1">
      <c r="C307" s="800">
        <v>1</v>
      </c>
      <c r="D307" s="56" t="s">
        <v>1181</v>
      </c>
      <c r="E307" s="93" t="s">
        <v>1074</v>
      </c>
      <c r="F307" s="94">
        <v>0.246</v>
      </c>
      <c r="G307" s="63">
        <f>VLOOKUP(D307,upahbahan,3,FALSE)</f>
        <v>1450000</v>
      </c>
      <c r="H307" s="63">
        <f>F307*G307</f>
        <v>356700</v>
      </c>
      <c r="I307" s="44"/>
    </row>
    <row r="308" spans="3:13" s="59" customFormat="1" ht="19.2" customHeight="1">
      <c r="C308" s="450" t="s">
        <v>1217</v>
      </c>
      <c r="D308" s="67"/>
      <c r="E308" s="67"/>
      <c r="F308" s="67"/>
      <c r="G308" s="69"/>
      <c r="H308" s="882">
        <f>SUM(H306:H307)</f>
        <v>356700</v>
      </c>
      <c r="I308" s="44"/>
    </row>
    <row r="309" spans="3:13" s="59" customFormat="1" ht="19.2" customHeight="1">
      <c r="C309" s="288" t="s">
        <v>1218</v>
      </c>
      <c r="D309" s="76" t="s">
        <v>1219</v>
      </c>
      <c r="E309" s="77"/>
      <c r="F309" s="77"/>
      <c r="G309" s="78"/>
      <c r="H309" s="585">
        <f>H308+H305+H300</f>
        <v>1070033</v>
      </c>
      <c r="I309" s="369"/>
    </row>
    <row r="310" spans="3:13" s="59" customFormat="1" ht="19.2" customHeight="1">
      <c r="C310" s="288" t="s">
        <v>1220</v>
      </c>
      <c r="D310" s="76" t="s">
        <v>1321</v>
      </c>
      <c r="E310" s="77"/>
      <c r="F310" s="78"/>
      <c r="G310" s="80">
        <v>0.1</v>
      </c>
      <c r="H310" s="63">
        <f>H309*G310</f>
        <v>107003.3</v>
      </c>
      <c r="I310" s="369"/>
    </row>
    <row r="311" spans="3:13" s="59" customFormat="1" ht="19.2" customHeight="1">
      <c r="C311" s="288" t="s">
        <v>1221</v>
      </c>
      <c r="D311" s="76" t="s">
        <v>1222</v>
      </c>
      <c r="E311" s="77"/>
      <c r="F311" s="77"/>
      <c r="G311" s="78"/>
      <c r="H311" s="799">
        <f>SUM(H309:H310)</f>
        <v>1177036.3</v>
      </c>
      <c r="I311" s="369"/>
    </row>
    <row r="314" spans="3:13" s="59" customFormat="1" ht="19.5" customHeight="1">
      <c r="C314" s="46" t="s">
        <v>4540</v>
      </c>
      <c r="D314" s="1934" t="s">
        <v>4537</v>
      </c>
      <c r="E314" s="1934"/>
      <c r="F314" s="1934"/>
      <c r="G314" s="1934"/>
      <c r="H314" s="1934"/>
      <c r="I314" s="50">
        <f>ROUNDDOWN(H331,-2)</f>
        <v>1284900</v>
      </c>
    </row>
    <row r="315" spans="3:13" s="59" customFormat="1" ht="33" customHeight="1">
      <c r="C315" s="591" t="s">
        <v>1195</v>
      </c>
      <c r="D315" s="591" t="s">
        <v>1196</v>
      </c>
      <c r="E315" s="591" t="s">
        <v>1197</v>
      </c>
      <c r="F315" s="591" t="s">
        <v>1198</v>
      </c>
      <c r="G315" s="591" t="s">
        <v>1199</v>
      </c>
      <c r="H315" s="591" t="s">
        <v>1200</v>
      </c>
      <c r="I315" s="44"/>
    </row>
    <row r="316" spans="3:13" s="59" customFormat="1" ht="19.2" customHeight="1">
      <c r="C316" s="61" t="s">
        <v>1201</v>
      </c>
      <c r="D316" s="56" t="s">
        <v>1202</v>
      </c>
      <c r="E316" s="57"/>
      <c r="F316" s="57"/>
      <c r="G316" s="57"/>
      <c r="H316" s="57"/>
      <c r="I316" s="44"/>
      <c r="J316" s="152" t="s">
        <v>1247</v>
      </c>
    </row>
    <row r="317" spans="3:13" s="59" customFormat="1" ht="19.2" customHeight="1">
      <c r="C317" s="588">
        <v>1</v>
      </c>
      <c r="D317" s="56" t="s">
        <v>5</v>
      </c>
      <c r="E317" s="577" t="s">
        <v>1863</v>
      </c>
      <c r="F317" s="101">
        <v>1.1033999999999999</v>
      </c>
      <c r="G317" s="63">
        <f>VLOOKUP(D317,upahbahan,3,FALSE)</f>
        <v>100000</v>
      </c>
      <c r="H317" s="63">
        <f>F317*G317</f>
        <v>110340</v>
      </c>
      <c r="I317" s="44"/>
      <c r="J317" s="152" t="s">
        <v>1248</v>
      </c>
      <c r="M317" s="65">
        <v>0.1</v>
      </c>
    </row>
    <row r="318" spans="3:13" s="59" customFormat="1" ht="19.2" customHeight="1">
      <c r="C318" s="588">
        <v>2</v>
      </c>
      <c r="D318" s="56" t="s">
        <v>2165</v>
      </c>
      <c r="E318" s="577" t="s">
        <v>1863</v>
      </c>
      <c r="F318" s="101">
        <v>0.27579999999999999</v>
      </c>
      <c r="G318" s="63">
        <f>VLOOKUP(D318,upahbahan,3,FALSE)</f>
        <v>135000</v>
      </c>
      <c r="H318" s="63">
        <f t="shared" ref="H318:H319" si="16">F318*G318</f>
        <v>37233</v>
      </c>
      <c r="I318" s="44"/>
      <c r="J318" s="152"/>
      <c r="M318" s="65"/>
    </row>
    <row r="319" spans="3:13" s="59" customFormat="1" ht="19.2" customHeight="1">
      <c r="C319" s="588">
        <v>3</v>
      </c>
      <c r="D319" s="56" t="s">
        <v>19</v>
      </c>
      <c r="E319" s="577" t="s">
        <v>1863</v>
      </c>
      <c r="F319" s="101">
        <v>5.5199999999999999E-2</v>
      </c>
      <c r="G319" s="63">
        <f>VLOOKUP(D319,upahbahan,3,FALSE)</f>
        <v>160000</v>
      </c>
      <c r="H319" s="63">
        <f t="shared" si="16"/>
        <v>8832</v>
      </c>
      <c r="I319" s="44"/>
    </row>
    <row r="320" spans="3:13" s="59" customFormat="1" ht="19.2" customHeight="1">
      <c r="C320" s="450" t="s">
        <v>1208</v>
      </c>
      <c r="D320" s="67"/>
      <c r="E320" s="67"/>
      <c r="F320" s="142"/>
      <c r="G320" s="153"/>
      <c r="H320" s="63">
        <f>SUM(H317:H319)</f>
        <v>156405</v>
      </c>
      <c r="I320" s="154"/>
    </row>
    <row r="321" spans="3:13" s="59" customFormat="1" ht="19.2" customHeight="1">
      <c r="C321" s="61" t="s">
        <v>1209</v>
      </c>
      <c r="D321" s="56" t="s">
        <v>1210</v>
      </c>
      <c r="E321" s="57"/>
      <c r="F321" s="57"/>
      <c r="G321" s="57"/>
      <c r="H321" s="57"/>
      <c r="I321" s="44"/>
    </row>
    <row r="322" spans="3:13" s="59" customFormat="1" ht="19.2" customHeight="1">
      <c r="C322" s="61">
        <v>1</v>
      </c>
      <c r="D322" s="56" t="s">
        <v>4487</v>
      </c>
      <c r="E322" s="93" t="s">
        <v>42</v>
      </c>
      <c r="F322" s="103">
        <v>7.6999999999999999E-2</v>
      </c>
      <c r="G322" s="63">
        <f>VLOOKUP(D322,upahbahan,3,FALSE)</f>
        <v>1236000</v>
      </c>
      <c r="H322" s="63">
        <f>F322*G322</f>
        <v>95172</v>
      </c>
      <c r="I322" s="44"/>
    </row>
    <row r="323" spans="3:13" s="59" customFormat="1" ht="19.2" customHeight="1">
      <c r="C323" s="61">
        <v>2</v>
      </c>
      <c r="D323" s="56" t="s">
        <v>4488</v>
      </c>
      <c r="E323" s="93" t="s">
        <v>42</v>
      </c>
      <c r="F323" s="103">
        <v>0.154</v>
      </c>
      <c r="G323" s="63">
        <f>VLOOKUP(D323,upahbahan,3,FALSE)</f>
        <v>0</v>
      </c>
      <c r="H323" s="63">
        <f>F323*G323</f>
        <v>0</v>
      </c>
      <c r="I323" s="44"/>
    </row>
    <row r="324" spans="3:13" s="59" customFormat="1" ht="19.2" customHeight="1">
      <c r="C324" s="61">
        <v>3</v>
      </c>
      <c r="D324" s="56" t="s">
        <v>4538</v>
      </c>
      <c r="E324" s="93" t="s">
        <v>44</v>
      </c>
      <c r="F324" s="103">
        <v>0.83330000000000004</v>
      </c>
      <c r="G324" s="63">
        <f>VLOOKUP(D324,upahbahan,3,FALSE)</f>
        <v>620000</v>
      </c>
      <c r="H324" s="63">
        <f>F324*G324</f>
        <v>516646</v>
      </c>
      <c r="I324" s="44"/>
    </row>
    <row r="325" spans="3:13" s="59" customFormat="1" ht="19.2" customHeight="1">
      <c r="C325" s="450" t="s">
        <v>1214</v>
      </c>
      <c r="D325" s="67"/>
      <c r="E325" s="67"/>
      <c r="F325" s="67"/>
      <c r="G325" s="69"/>
      <c r="H325" s="63">
        <f>SUM(H322:H324)</f>
        <v>611818</v>
      </c>
      <c r="I325" s="44"/>
    </row>
    <row r="326" spans="3:13" s="59" customFormat="1" ht="19.2" customHeight="1">
      <c r="C326" s="61" t="s">
        <v>1215</v>
      </c>
      <c r="D326" s="56" t="s">
        <v>1216</v>
      </c>
      <c r="E326" s="93"/>
      <c r="F326" s="57"/>
      <c r="G326" s="57"/>
      <c r="H326" s="57"/>
      <c r="I326" s="44"/>
    </row>
    <row r="327" spans="3:13" s="59" customFormat="1" ht="19.2" customHeight="1">
      <c r="C327" s="800">
        <v>1</v>
      </c>
      <c r="D327" s="56" t="s">
        <v>1181</v>
      </c>
      <c r="E327" s="93" t="s">
        <v>1074</v>
      </c>
      <c r="F327" s="94">
        <v>0.27579999999999999</v>
      </c>
      <c r="G327" s="63">
        <f>VLOOKUP(D327,upahbahan,3,FALSE)</f>
        <v>1450000</v>
      </c>
      <c r="H327" s="63">
        <f>F327*G327</f>
        <v>399910</v>
      </c>
      <c r="I327" s="44"/>
    </row>
    <row r="328" spans="3:13" s="59" customFormat="1" ht="19.2" customHeight="1">
      <c r="C328" s="450" t="s">
        <v>1217</v>
      </c>
      <c r="D328" s="67"/>
      <c r="E328" s="67"/>
      <c r="F328" s="67"/>
      <c r="G328" s="69"/>
      <c r="H328" s="882">
        <f>SUM(H326:H327)</f>
        <v>399910</v>
      </c>
      <c r="I328" s="44"/>
    </row>
    <row r="329" spans="3:13" s="59" customFormat="1" ht="19.2" customHeight="1">
      <c r="C329" s="288" t="s">
        <v>1218</v>
      </c>
      <c r="D329" s="76" t="s">
        <v>1219</v>
      </c>
      <c r="E329" s="77"/>
      <c r="F329" s="77"/>
      <c r="G329" s="78"/>
      <c r="H329" s="585">
        <f>H328+H325+H320</f>
        <v>1168133</v>
      </c>
      <c r="I329" s="369"/>
    </row>
    <row r="330" spans="3:13" s="59" customFormat="1" ht="19.2" customHeight="1">
      <c r="C330" s="288" t="s">
        <v>1220</v>
      </c>
      <c r="D330" s="76" t="s">
        <v>1321</v>
      </c>
      <c r="E330" s="77"/>
      <c r="F330" s="78"/>
      <c r="G330" s="80">
        <v>0.1</v>
      </c>
      <c r="H330" s="63">
        <f>H329*G330</f>
        <v>116813.3</v>
      </c>
      <c r="I330" s="369"/>
    </row>
    <row r="331" spans="3:13" s="59" customFormat="1" ht="19.2" customHeight="1">
      <c r="C331" s="288" t="s">
        <v>1221</v>
      </c>
      <c r="D331" s="76" t="s">
        <v>1222</v>
      </c>
      <c r="E331" s="77"/>
      <c r="F331" s="77"/>
      <c r="G331" s="78"/>
      <c r="H331" s="799">
        <f>SUM(H329:H330)</f>
        <v>1284946.3</v>
      </c>
      <c r="I331" s="369"/>
    </row>
    <row r="333" spans="3:13" s="59" customFormat="1" ht="19.5" customHeight="1">
      <c r="C333" s="46" t="s">
        <v>4539</v>
      </c>
      <c r="D333" s="1934" t="s">
        <v>4541</v>
      </c>
      <c r="E333" s="1934"/>
      <c r="F333" s="1934"/>
      <c r="G333" s="1934"/>
      <c r="H333" s="1934"/>
      <c r="I333" s="50">
        <f>ROUNDDOWN(H350,-2)</f>
        <v>1315800</v>
      </c>
    </row>
    <row r="334" spans="3:13" s="59" customFormat="1" ht="33" customHeight="1">
      <c r="C334" s="591" t="s">
        <v>1195</v>
      </c>
      <c r="D334" s="591" t="s">
        <v>1196</v>
      </c>
      <c r="E334" s="591" t="s">
        <v>1197</v>
      </c>
      <c r="F334" s="591" t="s">
        <v>1198</v>
      </c>
      <c r="G334" s="591" t="s">
        <v>1199</v>
      </c>
      <c r="H334" s="591" t="s">
        <v>1200</v>
      </c>
      <c r="I334" s="44"/>
    </row>
    <row r="335" spans="3:13" s="59" customFormat="1" ht="19.2" customHeight="1">
      <c r="C335" s="61" t="s">
        <v>1201</v>
      </c>
      <c r="D335" s="56" t="s">
        <v>1202</v>
      </c>
      <c r="E335" s="57"/>
      <c r="F335" s="57"/>
      <c r="G335" s="57"/>
      <c r="H335" s="57"/>
      <c r="I335" s="44"/>
      <c r="J335" s="152" t="s">
        <v>1247</v>
      </c>
    </row>
    <row r="336" spans="3:13" s="59" customFormat="1" ht="19.2" customHeight="1">
      <c r="C336" s="588">
        <v>1</v>
      </c>
      <c r="D336" s="56" t="s">
        <v>5</v>
      </c>
      <c r="E336" s="577" t="s">
        <v>1863</v>
      </c>
      <c r="F336" s="101">
        <v>1.1258999999999999</v>
      </c>
      <c r="G336" s="63">
        <f>VLOOKUP(D336,upahbahan,3,FALSE)</f>
        <v>100000</v>
      </c>
      <c r="H336" s="63">
        <f>F336*G336</f>
        <v>112589.99999999999</v>
      </c>
      <c r="I336" s="44"/>
      <c r="J336" s="152" t="s">
        <v>1248</v>
      </c>
      <c r="M336" s="65">
        <v>0.1</v>
      </c>
    </row>
    <row r="337" spans="3:13" s="59" customFormat="1" ht="19.2" customHeight="1">
      <c r="C337" s="588">
        <v>2</v>
      </c>
      <c r="D337" s="56" t="s">
        <v>2165</v>
      </c>
      <c r="E337" s="577" t="s">
        <v>1863</v>
      </c>
      <c r="F337" s="101">
        <v>0.28149999999999997</v>
      </c>
      <c r="G337" s="63">
        <f>VLOOKUP(D337,upahbahan,3,FALSE)</f>
        <v>135000</v>
      </c>
      <c r="H337" s="63">
        <f t="shared" ref="H337:H338" si="17">F337*G337</f>
        <v>38002.499999999993</v>
      </c>
      <c r="I337" s="44"/>
      <c r="J337" s="152"/>
      <c r="M337" s="65"/>
    </row>
    <row r="338" spans="3:13" s="59" customFormat="1" ht="19.2" customHeight="1">
      <c r="C338" s="588">
        <v>3</v>
      </c>
      <c r="D338" s="56" t="s">
        <v>19</v>
      </c>
      <c r="E338" s="577" t="s">
        <v>1863</v>
      </c>
      <c r="F338" s="101">
        <v>5.6300000000000003E-2</v>
      </c>
      <c r="G338" s="63">
        <f>VLOOKUP(D338,upahbahan,3,FALSE)</f>
        <v>160000</v>
      </c>
      <c r="H338" s="63">
        <f t="shared" si="17"/>
        <v>9008</v>
      </c>
      <c r="I338" s="44"/>
    </row>
    <row r="339" spans="3:13" s="59" customFormat="1" ht="19.2" customHeight="1">
      <c r="C339" s="450" t="s">
        <v>1208</v>
      </c>
      <c r="D339" s="67"/>
      <c r="E339" s="67"/>
      <c r="F339" s="142"/>
      <c r="G339" s="153"/>
      <c r="H339" s="63">
        <f>SUM(H336:H338)</f>
        <v>159600.49999999997</v>
      </c>
      <c r="I339" s="154"/>
    </row>
    <row r="340" spans="3:13" s="59" customFormat="1" ht="19.2" customHeight="1">
      <c r="C340" s="61" t="s">
        <v>1209</v>
      </c>
      <c r="D340" s="56" t="s">
        <v>1210</v>
      </c>
      <c r="E340" s="57"/>
      <c r="F340" s="57"/>
      <c r="G340" s="57"/>
      <c r="H340" s="57"/>
      <c r="I340" s="44"/>
    </row>
    <row r="341" spans="3:13" s="59" customFormat="1" ht="19.2" customHeight="1">
      <c r="C341" s="61">
        <v>1</v>
      </c>
      <c r="D341" s="56" t="s">
        <v>4487</v>
      </c>
      <c r="E341" s="93" t="s">
        <v>42</v>
      </c>
      <c r="F341" s="103">
        <v>7.6999999999999999E-2</v>
      </c>
      <c r="G341" s="63">
        <f>VLOOKUP(D341,upahbahan,3,FALSE)</f>
        <v>1236000</v>
      </c>
      <c r="H341" s="63">
        <f>F341*G341</f>
        <v>95172</v>
      </c>
      <c r="I341" s="44"/>
    </row>
    <row r="342" spans="3:13" s="59" customFormat="1" ht="19.2" customHeight="1">
      <c r="C342" s="61">
        <v>2</v>
      </c>
      <c r="D342" s="56" t="s">
        <v>4488</v>
      </c>
      <c r="E342" s="93" t="s">
        <v>42</v>
      </c>
      <c r="F342" s="103">
        <v>0.154</v>
      </c>
      <c r="G342" s="63">
        <f>VLOOKUP(D342,upahbahan,3,FALSE)</f>
        <v>0</v>
      </c>
      <c r="H342" s="63">
        <f>F342*G342</f>
        <v>0</v>
      </c>
      <c r="I342" s="44"/>
    </row>
    <row r="343" spans="3:13" s="59" customFormat="1" ht="19.2" customHeight="1">
      <c r="C343" s="61">
        <v>3</v>
      </c>
      <c r="D343" s="56" t="s">
        <v>4542</v>
      </c>
      <c r="E343" s="93" t="s">
        <v>44</v>
      </c>
      <c r="F343" s="103">
        <v>0.83330000000000004</v>
      </c>
      <c r="G343" s="63">
        <f>VLOOKUP(D343,upahbahan,3,FALSE)</f>
        <v>640000</v>
      </c>
      <c r="H343" s="63">
        <f>F343*G343</f>
        <v>533312</v>
      </c>
      <c r="I343" s="44"/>
    </row>
    <row r="344" spans="3:13" s="59" customFormat="1" ht="19.2" customHeight="1">
      <c r="C344" s="450" t="s">
        <v>1214</v>
      </c>
      <c r="D344" s="67"/>
      <c r="E344" s="67"/>
      <c r="F344" s="67"/>
      <c r="G344" s="69"/>
      <c r="H344" s="63">
        <f>SUM(H341:H343)</f>
        <v>628484</v>
      </c>
      <c r="I344" s="44"/>
    </row>
    <row r="345" spans="3:13" s="59" customFormat="1" ht="19.2" customHeight="1">
      <c r="C345" s="61" t="s">
        <v>1215</v>
      </c>
      <c r="D345" s="56" t="s">
        <v>1216</v>
      </c>
      <c r="E345" s="93"/>
      <c r="F345" s="57"/>
      <c r="G345" s="57"/>
      <c r="H345" s="57"/>
      <c r="I345" s="44"/>
    </row>
    <row r="346" spans="3:13" s="59" customFormat="1" ht="19.2" customHeight="1">
      <c r="C346" s="800">
        <v>1</v>
      </c>
      <c r="D346" s="56" t="s">
        <v>1181</v>
      </c>
      <c r="E346" s="93" t="s">
        <v>1074</v>
      </c>
      <c r="F346" s="94">
        <v>0.28149999999999997</v>
      </c>
      <c r="G346" s="63">
        <f>VLOOKUP(D346,upahbahan,3,FALSE)</f>
        <v>1450000</v>
      </c>
      <c r="H346" s="63">
        <f>F346*G346</f>
        <v>408174.99999999994</v>
      </c>
      <c r="I346" s="44"/>
    </row>
    <row r="347" spans="3:13" s="59" customFormat="1" ht="19.2" customHeight="1">
      <c r="C347" s="450" t="s">
        <v>1217</v>
      </c>
      <c r="D347" s="67"/>
      <c r="E347" s="67"/>
      <c r="F347" s="67"/>
      <c r="G347" s="69"/>
      <c r="H347" s="882">
        <f>SUM(H345:H346)</f>
        <v>408174.99999999994</v>
      </c>
      <c r="I347" s="44"/>
    </row>
    <row r="348" spans="3:13" s="59" customFormat="1" ht="19.2" customHeight="1">
      <c r="C348" s="288" t="s">
        <v>1218</v>
      </c>
      <c r="D348" s="76" t="s">
        <v>1219</v>
      </c>
      <c r="E348" s="77"/>
      <c r="F348" s="77"/>
      <c r="G348" s="78"/>
      <c r="H348" s="585">
        <f>H347+H344+H339</f>
        <v>1196259.5</v>
      </c>
      <c r="I348" s="369"/>
    </row>
    <row r="349" spans="3:13" s="59" customFormat="1" ht="19.2" customHeight="1">
      <c r="C349" s="288" t="s">
        <v>1220</v>
      </c>
      <c r="D349" s="76" t="s">
        <v>1321</v>
      </c>
      <c r="E349" s="77"/>
      <c r="F349" s="78"/>
      <c r="G349" s="80">
        <v>0.1</v>
      </c>
      <c r="H349" s="63">
        <f>H348*G349</f>
        <v>119625.95000000001</v>
      </c>
      <c r="I349" s="369"/>
    </row>
    <row r="350" spans="3:13" s="59" customFormat="1" ht="19.2" customHeight="1">
      <c r="C350" s="288" t="s">
        <v>1221</v>
      </c>
      <c r="D350" s="76" t="s">
        <v>1222</v>
      </c>
      <c r="E350" s="77"/>
      <c r="F350" s="77"/>
      <c r="G350" s="78"/>
      <c r="H350" s="799">
        <f>SUM(H348:H349)</f>
        <v>1315885.45</v>
      </c>
      <c r="I350" s="369"/>
    </row>
    <row r="353" spans="3:13" s="59" customFormat="1" ht="19.5" customHeight="1">
      <c r="C353" s="46" t="s">
        <v>4543</v>
      </c>
      <c r="D353" s="1934" t="s">
        <v>4544</v>
      </c>
      <c r="E353" s="1934"/>
      <c r="F353" s="1934"/>
      <c r="G353" s="1934"/>
      <c r="H353" s="1934"/>
      <c r="I353" s="50">
        <f>ROUNDDOWN(H370,-2)</f>
        <v>1444200</v>
      </c>
    </row>
    <row r="354" spans="3:13" s="59" customFormat="1" ht="33" customHeight="1">
      <c r="C354" s="591" t="s">
        <v>1195</v>
      </c>
      <c r="D354" s="591" t="s">
        <v>1196</v>
      </c>
      <c r="E354" s="591" t="s">
        <v>1197</v>
      </c>
      <c r="F354" s="591" t="s">
        <v>1198</v>
      </c>
      <c r="G354" s="591" t="s">
        <v>1199</v>
      </c>
      <c r="H354" s="591" t="s">
        <v>1200</v>
      </c>
      <c r="I354" s="44"/>
    </row>
    <row r="355" spans="3:13" s="59" customFormat="1" ht="19.2" customHeight="1">
      <c r="C355" s="61" t="s">
        <v>1201</v>
      </c>
      <c r="D355" s="56" t="s">
        <v>1202</v>
      </c>
      <c r="E355" s="57"/>
      <c r="F355" s="57"/>
      <c r="G355" s="57"/>
      <c r="H355" s="57"/>
      <c r="I355" s="44"/>
      <c r="J355" s="152" t="s">
        <v>1247</v>
      </c>
    </row>
    <row r="356" spans="3:13" s="59" customFormat="1" ht="19.2" customHeight="1">
      <c r="C356" s="588">
        <v>1</v>
      </c>
      <c r="D356" s="56" t="s">
        <v>5</v>
      </c>
      <c r="E356" s="577" t="s">
        <v>1863</v>
      </c>
      <c r="F356" s="101">
        <v>1.2795000000000001</v>
      </c>
      <c r="G356" s="63">
        <f>VLOOKUP(D356,upahbahan,3,FALSE)</f>
        <v>100000</v>
      </c>
      <c r="H356" s="63">
        <f>F356*G356</f>
        <v>127950.00000000001</v>
      </c>
      <c r="I356" s="44"/>
      <c r="J356" s="152" t="s">
        <v>1248</v>
      </c>
      <c r="M356" s="65">
        <v>0.1</v>
      </c>
    </row>
    <row r="357" spans="3:13" s="59" customFormat="1" ht="19.2" customHeight="1">
      <c r="C357" s="588">
        <v>2</v>
      </c>
      <c r="D357" s="56" t="s">
        <v>2165</v>
      </c>
      <c r="E357" s="577" t="s">
        <v>1863</v>
      </c>
      <c r="F357" s="101">
        <v>0.31990000000000002</v>
      </c>
      <c r="G357" s="63">
        <f>VLOOKUP(D357,upahbahan,3,FALSE)</f>
        <v>135000</v>
      </c>
      <c r="H357" s="63">
        <f t="shared" ref="H357:H358" si="18">F357*G357</f>
        <v>43186.5</v>
      </c>
      <c r="I357" s="44"/>
      <c r="J357" s="152"/>
      <c r="M357" s="65"/>
    </row>
    <row r="358" spans="3:13" s="59" customFormat="1" ht="19.2" customHeight="1">
      <c r="C358" s="588">
        <v>3</v>
      </c>
      <c r="D358" s="56" t="s">
        <v>19</v>
      </c>
      <c r="E358" s="577" t="s">
        <v>1863</v>
      </c>
      <c r="F358" s="101">
        <v>6.4000000000000001E-2</v>
      </c>
      <c r="G358" s="63">
        <f>VLOOKUP(D358,upahbahan,3,FALSE)</f>
        <v>160000</v>
      </c>
      <c r="H358" s="63">
        <f t="shared" si="18"/>
        <v>10240</v>
      </c>
      <c r="I358" s="44"/>
    </row>
    <row r="359" spans="3:13" s="59" customFormat="1" ht="19.2" customHeight="1">
      <c r="C359" s="450" t="s">
        <v>1208</v>
      </c>
      <c r="D359" s="67"/>
      <c r="E359" s="67"/>
      <c r="F359" s="142"/>
      <c r="G359" s="153"/>
      <c r="H359" s="63">
        <f>SUM(H356:H358)</f>
        <v>181376.5</v>
      </c>
      <c r="I359" s="154"/>
    </row>
    <row r="360" spans="3:13" s="59" customFormat="1" ht="19.2" customHeight="1">
      <c r="C360" s="61" t="s">
        <v>1209</v>
      </c>
      <c r="D360" s="56" t="s">
        <v>1210</v>
      </c>
      <c r="E360" s="57"/>
      <c r="F360" s="57"/>
      <c r="G360" s="57"/>
      <c r="H360" s="57"/>
      <c r="I360" s="44"/>
    </row>
    <row r="361" spans="3:13" s="59" customFormat="1" ht="19.2" customHeight="1">
      <c r="C361" s="61">
        <v>1</v>
      </c>
      <c r="D361" s="56" t="s">
        <v>4487</v>
      </c>
      <c r="E361" s="93" t="s">
        <v>42</v>
      </c>
      <c r="F361" s="103">
        <v>8.8499999999999995E-2</v>
      </c>
      <c r="G361" s="63">
        <f>VLOOKUP(D361,upahbahan,3,FALSE)</f>
        <v>1236000</v>
      </c>
      <c r="H361" s="63">
        <f>F361*G361</f>
        <v>109386</v>
      </c>
      <c r="I361" s="44"/>
    </row>
    <row r="362" spans="3:13" s="59" customFormat="1" ht="19.2" customHeight="1">
      <c r="C362" s="61">
        <v>2</v>
      </c>
      <c r="D362" s="56" t="s">
        <v>4488</v>
      </c>
      <c r="E362" s="93" t="s">
        <v>42</v>
      </c>
      <c r="F362" s="103">
        <v>0.1779</v>
      </c>
      <c r="G362" s="63">
        <f>VLOOKUP(D362,upahbahan,3,FALSE)</f>
        <v>0</v>
      </c>
      <c r="H362" s="63">
        <f>F362*G362</f>
        <v>0</v>
      </c>
      <c r="I362" s="44"/>
    </row>
    <row r="363" spans="3:13" s="59" customFormat="1" ht="19.2" customHeight="1">
      <c r="C363" s="61">
        <v>3</v>
      </c>
      <c r="D363" s="56" t="s">
        <v>4545</v>
      </c>
      <c r="E363" s="93" t="s">
        <v>44</v>
      </c>
      <c r="F363" s="103">
        <v>0.83330000000000004</v>
      </c>
      <c r="G363" s="63">
        <f>VLOOKUP(D363,upahbahan,3,FALSE)</f>
        <v>670000</v>
      </c>
      <c r="H363" s="63">
        <f>F363*G363</f>
        <v>558311</v>
      </c>
      <c r="I363" s="44"/>
    </row>
    <row r="364" spans="3:13" s="59" customFormat="1" ht="19.2" customHeight="1">
      <c r="C364" s="450" t="s">
        <v>1214</v>
      </c>
      <c r="D364" s="67"/>
      <c r="E364" s="67"/>
      <c r="F364" s="67"/>
      <c r="G364" s="69"/>
      <c r="H364" s="63">
        <f>SUM(H361:H363)</f>
        <v>667697</v>
      </c>
      <c r="I364" s="44"/>
    </row>
    <row r="365" spans="3:13" s="59" customFormat="1" ht="19.2" customHeight="1">
      <c r="C365" s="61" t="s">
        <v>1215</v>
      </c>
      <c r="D365" s="56" t="s">
        <v>1216</v>
      </c>
      <c r="E365" s="93"/>
      <c r="F365" s="57"/>
      <c r="G365" s="57"/>
      <c r="H365" s="57"/>
      <c r="I365" s="44"/>
    </row>
    <row r="366" spans="3:13" s="59" customFormat="1" ht="19.2" customHeight="1">
      <c r="C366" s="800">
        <v>1</v>
      </c>
      <c r="D366" s="56" t="s">
        <v>1181</v>
      </c>
      <c r="E366" s="93" t="s">
        <v>1074</v>
      </c>
      <c r="F366" s="94">
        <v>0.31990000000000002</v>
      </c>
      <c r="G366" s="63">
        <f>VLOOKUP(D366,upahbahan,3,FALSE)</f>
        <v>1450000</v>
      </c>
      <c r="H366" s="63">
        <f>F366*G366</f>
        <v>463855</v>
      </c>
      <c r="I366" s="44"/>
    </row>
    <row r="367" spans="3:13" s="59" customFormat="1" ht="19.2" customHeight="1">
      <c r="C367" s="450" t="s">
        <v>1217</v>
      </c>
      <c r="D367" s="67"/>
      <c r="E367" s="67"/>
      <c r="F367" s="67"/>
      <c r="G367" s="69"/>
      <c r="H367" s="882">
        <f>SUM(H365:H366)</f>
        <v>463855</v>
      </c>
      <c r="I367" s="44"/>
    </row>
    <row r="368" spans="3:13" s="59" customFormat="1" ht="19.2" customHeight="1">
      <c r="C368" s="288" t="s">
        <v>1218</v>
      </c>
      <c r="D368" s="76" t="s">
        <v>1219</v>
      </c>
      <c r="E368" s="77"/>
      <c r="F368" s="77"/>
      <c r="G368" s="78"/>
      <c r="H368" s="585">
        <f>H367+H364+H359</f>
        <v>1312928.5</v>
      </c>
      <c r="I368" s="369"/>
    </row>
    <row r="369" spans="3:13" s="59" customFormat="1" ht="19.2" customHeight="1">
      <c r="C369" s="288" t="s">
        <v>1220</v>
      </c>
      <c r="D369" s="76" t="s">
        <v>1321</v>
      </c>
      <c r="E369" s="77"/>
      <c r="F369" s="78"/>
      <c r="G369" s="80">
        <v>0.1</v>
      </c>
      <c r="H369" s="63">
        <f>H368*G369</f>
        <v>131292.85</v>
      </c>
      <c r="I369" s="369"/>
    </row>
    <row r="370" spans="3:13" s="59" customFormat="1" ht="19.2" customHeight="1">
      <c r="C370" s="288" t="s">
        <v>1221</v>
      </c>
      <c r="D370" s="76" t="s">
        <v>1222</v>
      </c>
      <c r="E370" s="77"/>
      <c r="F370" s="77"/>
      <c r="G370" s="78"/>
      <c r="H370" s="799">
        <f>SUM(H368:H369)</f>
        <v>1444221.35</v>
      </c>
      <c r="I370" s="369"/>
    </row>
    <row r="373" spans="3:13" s="59" customFormat="1" ht="19.5" customHeight="1">
      <c r="C373" s="46" t="s">
        <v>4546</v>
      </c>
      <c r="D373" s="1934" t="s">
        <v>4547</v>
      </c>
      <c r="E373" s="1934"/>
      <c r="F373" s="1934"/>
      <c r="G373" s="1934"/>
      <c r="H373" s="1934"/>
      <c r="I373" s="50">
        <f>ROUNDDOWN(H390,-2)</f>
        <v>1386500</v>
      </c>
    </row>
    <row r="374" spans="3:13" s="59" customFormat="1" ht="33" customHeight="1">
      <c r="C374" s="591" t="s">
        <v>1195</v>
      </c>
      <c r="D374" s="591" t="s">
        <v>1196</v>
      </c>
      <c r="E374" s="591" t="s">
        <v>1197</v>
      </c>
      <c r="F374" s="591" t="s">
        <v>1198</v>
      </c>
      <c r="G374" s="591" t="s">
        <v>1199</v>
      </c>
      <c r="H374" s="591" t="s">
        <v>1200</v>
      </c>
      <c r="I374" s="44"/>
    </row>
    <row r="375" spans="3:13" s="59" customFormat="1" ht="19.2" customHeight="1">
      <c r="C375" s="61" t="s">
        <v>1201</v>
      </c>
      <c r="D375" s="56" t="s">
        <v>1202</v>
      </c>
      <c r="E375" s="57"/>
      <c r="F375" s="57"/>
      <c r="G375" s="57"/>
      <c r="H375" s="57"/>
      <c r="I375" s="44"/>
      <c r="J375" s="152" t="s">
        <v>1247</v>
      </c>
    </row>
    <row r="376" spans="3:13" s="59" customFormat="1" ht="19.2" customHeight="1">
      <c r="C376" s="588">
        <v>1</v>
      </c>
      <c r="D376" s="56" t="s">
        <v>5</v>
      </c>
      <c r="E376" s="577" t="s">
        <v>1863</v>
      </c>
      <c r="F376" s="101">
        <v>1.1408</v>
      </c>
      <c r="G376" s="63">
        <f>VLOOKUP(D376,upahbahan,3,FALSE)</f>
        <v>100000</v>
      </c>
      <c r="H376" s="63">
        <f>F376*G376</f>
        <v>114080</v>
      </c>
      <c r="I376" s="44"/>
      <c r="J376" s="152" t="s">
        <v>1248</v>
      </c>
      <c r="M376" s="65">
        <v>0.1</v>
      </c>
    </row>
    <row r="377" spans="3:13" s="59" customFormat="1" ht="19.2" customHeight="1">
      <c r="C377" s="588">
        <v>2</v>
      </c>
      <c r="D377" s="56" t="s">
        <v>2165</v>
      </c>
      <c r="E377" s="577" t="s">
        <v>1863</v>
      </c>
      <c r="F377" s="101">
        <v>0.28520000000000001</v>
      </c>
      <c r="G377" s="63">
        <f>VLOOKUP(D377,upahbahan,3,FALSE)</f>
        <v>135000</v>
      </c>
      <c r="H377" s="63">
        <f t="shared" ref="H377:H378" si="19">F377*G377</f>
        <v>38502</v>
      </c>
      <c r="I377" s="44"/>
      <c r="J377" s="152"/>
      <c r="M377" s="65"/>
    </row>
    <row r="378" spans="3:13" s="59" customFormat="1" ht="19.2" customHeight="1">
      <c r="C378" s="588">
        <v>3</v>
      </c>
      <c r="D378" s="56" t="s">
        <v>19</v>
      </c>
      <c r="E378" s="577" t="s">
        <v>1863</v>
      </c>
      <c r="F378" s="101">
        <v>5.7000000000000002E-2</v>
      </c>
      <c r="G378" s="63">
        <f>VLOOKUP(D378,upahbahan,3,FALSE)</f>
        <v>160000</v>
      </c>
      <c r="H378" s="63">
        <f t="shared" si="19"/>
        <v>9120</v>
      </c>
      <c r="I378" s="44"/>
    </row>
    <row r="379" spans="3:13" s="59" customFormat="1" ht="19.2" customHeight="1">
      <c r="C379" s="450" t="s">
        <v>1208</v>
      </c>
      <c r="D379" s="67"/>
      <c r="E379" s="67"/>
      <c r="F379" s="142"/>
      <c r="G379" s="153"/>
      <c r="H379" s="63">
        <f>SUM(H376:H378)</f>
        <v>161702</v>
      </c>
      <c r="I379" s="154"/>
    </row>
    <row r="380" spans="3:13" s="59" customFormat="1" ht="19.2" customHeight="1">
      <c r="C380" s="61" t="s">
        <v>1209</v>
      </c>
      <c r="D380" s="56" t="s">
        <v>1210</v>
      </c>
      <c r="E380" s="57"/>
      <c r="F380" s="57"/>
      <c r="G380" s="57"/>
      <c r="H380" s="57"/>
      <c r="I380" s="44"/>
    </row>
    <row r="381" spans="3:13" s="59" customFormat="1" ht="19.2" customHeight="1">
      <c r="C381" s="61">
        <v>1</v>
      </c>
      <c r="D381" s="56" t="s">
        <v>4487</v>
      </c>
      <c r="E381" s="93" t="s">
        <v>42</v>
      </c>
      <c r="F381" s="103">
        <v>9.6000000000000002E-2</v>
      </c>
      <c r="G381" s="63">
        <f>VLOOKUP(D381,upahbahan,3,FALSE)</f>
        <v>1236000</v>
      </c>
      <c r="H381" s="63">
        <f>F381*G381</f>
        <v>118656</v>
      </c>
      <c r="I381" s="44"/>
    </row>
    <row r="382" spans="3:13" s="59" customFormat="1" ht="19.2" customHeight="1">
      <c r="C382" s="61">
        <v>2</v>
      </c>
      <c r="D382" s="56" t="s">
        <v>4488</v>
      </c>
      <c r="E382" s="93" t="s">
        <v>42</v>
      </c>
      <c r="F382" s="103">
        <v>0.192</v>
      </c>
      <c r="G382" s="63">
        <f>VLOOKUP(D382,upahbahan,3,FALSE)</f>
        <v>0</v>
      </c>
      <c r="H382" s="63">
        <f>F382*G382</f>
        <v>0</v>
      </c>
      <c r="I382" s="44"/>
    </row>
    <row r="383" spans="3:13" s="59" customFormat="1" ht="19.2" customHeight="1">
      <c r="C383" s="61">
        <v>3</v>
      </c>
      <c r="D383" s="56" t="s">
        <v>4548</v>
      </c>
      <c r="E383" s="93" t="s">
        <v>44</v>
      </c>
      <c r="F383" s="103">
        <v>0.83330000000000004</v>
      </c>
      <c r="G383" s="63">
        <f>VLOOKUP(D383,upahbahan,3,FALSE)</f>
        <v>680000</v>
      </c>
      <c r="H383" s="63">
        <f>F383*G383</f>
        <v>566644</v>
      </c>
      <c r="I383" s="44"/>
    </row>
    <row r="384" spans="3:13" s="59" customFormat="1" ht="19.2" customHeight="1">
      <c r="C384" s="450" t="s">
        <v>1214</v>
      </c>
      <c r="D384" s="67"/>
      <c r="E384" s="67"/>
      <c r="F384" s="67"/>
      <c r="G384" s="69"/>
      <c r="H384" s="63">
        <f>SUM(H381:H383)</f>
        <v>685300</v>
      </c>
      <c r="I384" s="44"/>
    </row>
    <row r="385" spans="3:13" s="59" customFormat="1" ht="19.2" customHeight="1">
      <c r="C385" s="61" t="s">
        <v>1215</v>
      </c>
      <c r="D385" s="56" t="s">
        <v>1216</v>
      </c>
      <c r="E385" s="93"/>
      <c r="F385" s="57"/>
      <c r="G385" s="57"/>
      <c r="H385" s="57"/>
      <c r="I385" s="44"/>
    </row>
    <row r="386" spans="3:13" s="59" customFormat="1" ht="19.2" customHeight="1">
      <c r="C386" s="800">
        <v>1</v>
      </c>
      <c r="D386" s="56" t="s">
        <v>1181</v>
      </c>
      <c r="E386" s="93" t="s">
        <v>1074</v>
      </c>
      <c r="F386" s="94">
        <v>0.28520000000000001</v>
      </c>
      <c r="G386" s="63">
        <f>VLOOKUP(D386,upahbahan,3,FALSE)</f>
        <v>1450000</v>
      </c>
      <c r="H386" s="63">
        <f>F386*G386</f>
        <v>413540</v>
      </c>
      <c r="I386" s="44"/>
    </row>
    <row r="387" spans="3:13" s="59" customFormat="1" ht="19.2" customHeight="1">
      <c r="C387" s="450" t="s">
        <v>1217</v>
      </c>
      <c r="D387" s="67"/>
      <c r="E387" s="67"/>
      <c r="F387" s="67"/>
      <c r="G387" s="69"/>
      <c r="H387" s="882">
        <f>SUM(H385:H386)</f>
        <v>413540</v>
      </c>
      <c r="I387" s="44"/>
    </row>
    <row r="388" spans="3:13" s="59" customFormat="1" ht="19.2" customHeight="1">
      <c r="C388" s="288" t="s">
        <v>1218</v>
      </c>
      <c r="D388" s="76" t="s">
        <v>1219</v>
      </c>
      <c r="E388" s="77"/>
      <c r="F388" s="77"/>
      <c r="G388" s="78"/>
      <c r="H388" s="585">
        <f>H387+H384+H379</f>
        <v>1260542</v>
      </c>
      <c r="I388" s="369"/>
    </row>
    <row r="389" spans="3:13" s="59" customFormat="1" ht="19.2" customHeight="1">
      <c r="C389" s="288" t="s">
        <v>1220</v>
      </c>
      <c r="D389" s="76" t="s">
        <v>1321</v>
      </c>
      <c r="E389" s="77"/>
      <c r="F389" s="78"/>
      <c r="G389" s="80">
        <v>0.1</v>
      </c>
      <c r="H389" s="63">
        <f>H388*G389</f>
        <v>126054.20000000001</v>
      </c>
      <c r="I389" s="369"/>
    </row>
    <row r="390" spans="3:13" s="59" customFormat="1" ht="19.2" customHeight="1">
      <c r="C390" s="288" t="s">
        <v>1221</v>
      </c>
      <c r="D390" s="76" t="s">
        <v>1222</v>
      </c>
      <c r="E390" s="77"/>
      <c r="F390" s="77"/>
      <c r="G390" s="78"/>
      <c r="H390" s="799">
        <f>SUM(H388:H389)</f>
        <v>1386596.2</v>
      </c>
      <c r="I390" s="369"/>
    </row>
    <row r="391" spans="3:13" ht="19.2" customHeight="1"/>
    <row r="392" spans="3:13" s="59" customFormat="1" ht="19.5" customHeight="1">
      <c r="C392" s="46" t="s">
        <v>4549</v>
      </c>
      <c r="D392" s="1934" t="s">
        <v>4550</v>
      </c>
      <c r="E392" s="1934"/>
      <c r="F392" s="1934"/>
      <c r="G392" s="1934"/>
      <c r="H392" s="1934"/>
      <c r="I392" s="50">
        <f>ROUNDDOWN(H409,-2)</f>
        <v>1497200</v>
      </c>
    </row>
    <row r="393" spans="3:13" s="59" customFormat="1" ht="33" customHeight="1">
      <c r="C393" s="591" t="s">
        <v>1195</v>
      </c>
      <c r="D393" s="591" t="s">
        <v>1196</v>
      </c>
      <c r="E393" s="591" t="s">
        <v>1197</v>
      </c>
      <c r="F393" s="591" t="s">
        <v>1198</v>
      </c>
      <c r="G393" s="591" t="s">
        <v>1199</v>
      </c>
      <c r="H393" s="591" t="s">
        <v>1200</v>
      </c>
      <c r="I393" s="44"/>
    </row>
    <row r="394" spans="3:13" s="59" customFormat="1" ht="19.2" customHeight="1">
      <c r="C394" s="61" t="s">
        <v>1201</v>
      </c>
      <c r="D394" s="56" t="s">
        <v>1202</v>
      </c>
      <c r="E394" s="57"/>
      <c r="F394" s="57"/>
      <c r="G394" s="57"/>
      <c r="H394" s="57"/>
      <c r="I394" s="44"/>
      <c r="J394" s="152" t="s">
        <v>1247</v>
      </c>
    </row>
    <row r="395" spans="3:13" s="59" customFormat="1" ht="19.2" customHeight="1">
      <c r="C395" s="588">
        <v>1</v>
      </c>
      <c r="D395" s="56" t="s">
        <v>5</v>
      </c>
      <c r="E395" s="577" t="s">
        <v>1863</v>
      </c>
      <c r="F395" s="101">
        <v>1.2919</v>
      </c>
      <c r="G395" s="63">
        <f>VLOOKUP(D395,upahbahan,3,FALSE)</f>
        <v>100000</v>
      </c>
      <c r="H395" s="63">
        <f>F395*G395</f>
        <v>129190</v>
      </c>
      <c r="I395" s="44"/>
      <c r="J395" s="152" t="s">
        <v>1248</v>
      </c>
      <c r="M395" s="65">
        <v>0.1</v>
      </c>
    </row>
    <row r="396" spans="3:13" s="59" customFormat="1" ht="19.2" customHeight="1">
      <c r="C396" s="588">
        <v>2</v>
      </c>
      <c r="D396" s="56" t="s">
        <v>2165</v>
      </c>
      <c r="E396" s="577" t="s">
        <v>1863</v>
      </c>
      <c r="F396" s="101">
        <v>0.32300000000000001</v>
      </c>
      <c r="G396" s="63">
        <f>VLOOKUP(D396,upahbahan,3,FALSE)</f>
        <v>135000</v>
      </c>
      <c r="H396" s="63">
        <f t="shared" ref="H396:H397" si="20">F396*G396</f>
        <v>43605</v>
      </c>
      <c r="I396" s="44"/>
      <c r="J396" s="152"/>
      <c r="M396" s="65"/>
    </row>
    <row r="397" spans="3:13" s="59" customFormat="1" ht="19.2" customHeight="1">
      <c r="C397" s="588">
        <v>3</v>
      </c>
      <c r="D397" s="56" t="s">
        <v>19</v>
      </c>
      <c r="E397" s="577" t="s">
        <v>1863</v>
      </c>
      <c r="F397" s="101">
        <v>6.4600000000000005E-2</v>
      </c>
      <c r="G397" s="63">
        <f>VLOOKUP(D397,upahbahan,3,FALSE)</f>
        <v>160000</v>
      </c>
      <c r="H397" s="63">
        <f t="shared" si="20"/>
        <v>10336</v>
      </c>
      <c r="I397" s="44"/>
    </row>
    <row r="398" spans="3:13" s="59" customFormat="1" ht="19.2" customHeight="1">
      <c r="C398" s="450" t="s">
        <v>1208</v>
      </c>
      <c r="D398" s="67"/>
      <c r="E398" s="67"/>
      <c r="F398" s="142"/>
      <c r="G398" s="153"/>
      <c r="H398" s="63">
        <f>SUM(H395:H397)</f>
        <v>183131</v>
      </c>
      <c r="I398" s="154"/>
    </row>
    <row r="399" spans="3:13" s="59" customFormat="1" ht="19.2" customHeight="1">
      <c r="C399" s="61" t="s">
        <v>1209</v>
      </c>
      <c r="D399" s="56" t="s">
        <v>1210</v>
      </c>
      <c r="E399" s="57"/>
      <c r="F399" s="57"/>
      <c r="G399" s="57"/>
      <c r="H399" s="57"/>
      <c r="I399" s="44"/>
    </row>
    <row r="400" spans="3:13" s="59" customFormat="1" ht="19.2" customHeight="1">
      <c r="C400" s="61">
        <v>1</v>
      </c>
      <c r="D400" s="56" t="s">
        <v>4487</v>
      </c>
      <c r="E400" s="93" t="s">
        <v>42</v>
      </c>
      <c r="F400" s="103">
        <v>9.5500000000000002E-2</v>
      </c>
      <c r="G400" s="63">
        <f>VLOOKUP(D400,upahbahan,3,FALSE)</f>
        <v>1236000</v>
      </c>
      <c r="H400" s="63">
        <f>F400*G400</f>
        <v>118038</v>
      </c>
      <c r="I400" s="44"/>
    </row>
    <row r="401" spans="3:13" s="59" customFormat="1" ht="19.2" customHeight="1">
      <c r="C401" s="61">
        <v>2</v>
      </c>
      <c r="D401" s="56" t="s">
        <v>4488</v>
      </c>
      <c r="E401" s="93" t="s">
        <v>42</v>
      </c>
      <c r="F401" s="103">
        <v>0.191</v>
      </c>
      <c r="G401" s="63">
        <f>VLOOKUP(D401,upahbahan,3,FALSE)</f>
        <v>0</v>
      </c>
      <c r="H401" s="63">
        <f>F401*G401</f>
        <v>0</v>
      </c>
      <c r="I401" s="44"/>
    </row>
    <row r="402" spans="3:13" s="59" customFormat="1" ht="19.2" customHeight="1">
      <c r="C402" s="61">
        <v>3</v>
      </c>
      <c r="D402" s="56" t="s">
        <v>4551</v>
      </c>
      <c r="E402" s="93" t="s">
        <v>44</v>
      </c>
      <c r="F402" s="103">
        <v>0.83330000000000004</v>
      </c>
      <c r="G402" s="63">
        <f>VLOOKUP(D402,upahbahan,3,FALSE)</f>
        <v>710000</v>
      </c>
      <c r="H402" s="63">
        <f>F402*G402</f>
        <v>591643</v>
      </c>
      <c r="I402" s="44"/>
    </row>
    <row r="403" spans="3:13" s="59" customFormat="1" ht="19.2" customHeight="1">
      <c r="C403" s="450" t="s">
        <v>1214</v>
      </c>
      <c r="D403" s="67"/>
      <c r="E403" s="67"/>
      <c r="F403" s="67"/>
      <c r="G403" s="69"/>
      <c r="H403" s="63">
        <f>SUM(H400:H402)</f>
        <v>709681</v>
      </c>
      <c r="I403" s="44"/>
    </row>
    <row r="404" spans="3:13" s="59" customFormat="1" ht="19.2" customHeight="1">
      <c r="C404" s="61" t="s">
        <v>1215</v>
      </c>
      <c r="D404" s="56" t="s">
        <v>1216</v>
      </c>
      <c r="E404" s="93"/>
      <c r="F404" s="57"/>
      <c r="G404" s="57"/>
      <c r="H404" s="57"/>
      <c r="I404" s="44"/>
    </row>
    <row r="405" spans="3:13" s="59" customFormat="1" ht="19.2" customHeight="1">
      <c r="C405" s="800">
        <v>1</v>
      </c>
      <c r="D405" s="56" t="s">
        <v>1181</v>
      </c>
      <c r="E405" s="93" t="s">
        <v>1074</v>
      </c>
      <c r="F405" s="94">
        <v>0.32300000000000001</v>
      </c>
      <c r="G405" s="63">
        <f>VLOOKUP(D405,upahbahan,3,FALSE)</f>
        <v>1450000</v>
      </c>
      <c r="H405" s="63">
        <f>F405*G405</f>
        <v>468350</v>
      </c>
      <c r="I405" s="44"/>
    </row>
    <row r="406" spans="3:13" s="59" customFormat="1" ht="19.2" customHeight="1">
      <c r="C406" s="450" t="s">
        <v>1217</v>
      </c>
      <c r="D406" s="67"/>
      <c r="E406" s="67"/>
      <c r="F406" s="67"/>
      <c r="G406" s="69"/>
      <c r="H406" s="882">
        <f>SUM(H404:H405)</f>
        <v>468350</v>
      </c>
      <c r="I406" s="44"/>
    </row>
    <row r="407" spans="3:13" s="59" customFormat="1" ht="19.2" customHeight="1">
      <c r="C407" s="288" t="s">
        <v>1218</v>
      </c>
      <c r="D407" s="76" t="s">
        <v>1219</v>
      </c>
      <c r="E407" s="77"/>
      <c r="F407" s="77"/>
      <c r="G407" s="78"/>
      <c r="H407" s="585">
        <f>H406+H403+H398</f>
        <v>1361162</v>
      </c>
      <c r="I407" s="369"/>
    </row>
    <row r="408" spans="3:13" s="59" customFormat="1" ht="19.2" customHeight="1">
      <c r="C408" s="288" t="s">
        <v>1220</v>
      </c>
      <c r="D408" s="76" t="s">
        <v>1321</v>
      </c>
      <c r="E408" s="77"/>
      <c r="F408" s="78"/>
      <c r="G408" s="80">
        <v>0.1</v>
      </c>
      <c r="H408" s="63">
        <f>H407*G408</f>
        <v>136116.20000000001</v>
      </c>
      <c r="I408" s="369"/>
    </row>
    <row r="409" spans="3:13" s="59" customFormat="1" ht="19.2" customHeight="1">
      <c r="C409" s="288" t="s">
        <v>1221</v>
      </c>
      <c r="D409" s="76" t="s">
        <v>1222</v>
      </c>
      <c r="E409" s="77"/>
      <c r="F409" s="77"/>
      <c r="G409" s="78"/>
      <c r="H409" s="799">
        <f>SUM(H407:H408)</f>
        <v>1497278.2</v>
      </c>
      <c r="I409" s="369"/>
    </row>
    <row r="411" spans="3:13" s="59" customFormat="1" ht="19.5" customHeight="1">
      <c r="C411" s="46" t="s">
        <v>4552</v>
      </c>
      <c r="D411" s="1934" t="s">
        <v>4553</v>
      </c>
      <c r="E411" s="1934"/>
      <c r="F411" s="1934"/>
      <c r="G411" s="1934"/>
      <c r="H411" s="1934"/>
      <c r="I411" s="50">
        <f>ROUNDDOWN(H428,-2)</f>
        <v>1517600</v>
      </c>
    </row>
    <row r="412" spans="3:13" s="59" customFormat="1" ht="33" customHeight="1">
      <c r="C412" s="591" t="s">
        <v>1195</v>
      </c>
      <c r="D412" s="591" t="s">
        <v>1196</v>
      </c>
      <c r="E412" s="591" t="s">
        <v>1197</v>
      </c>
      <c r="F412" s="591" t="s">
        <v>1198</v>
      </c>
      <c r="G412" s="591" t="s">
        <v>1199</v>
      </c>
      <c r="H412" s="591" t="s">
        <v>1200</v>
      </c>
      <c r="I412" s="44"/>
    </row>
    <row r="413" spans="3:13" s="59" customFormat="1" ht="19.2" customHeight="1">
      <c r="C413" s="61" t="s">
        <v>1201</v>
      </c>
      <c r="D413" s="56" t="s">
        <v>1202</v>
      </c>
      <c r="E413" s="57"/>
      <c r="F413" s="57"/>
      <c r="G413" s="57"/>
      <c r="H413" s="57"/>
      <c r="I413" s="44"/>
      <c r="J413" s="152" t="s">
        <v>1247</v>
      </c>
    </row>
    <row r="414" spans="3:13" s="59" customFormat="1" ht="19.2" customHeight="1">
      <c r="C414" s="588">
        <v>1</v>
      </c>
      <c r="D414" s="56" t="s">
        <v>5</v>
      </c>
      <c r="E414" s="577" t="s">
        <v>1863</v>
      </c>
      <c r="F414" s="101">
        <v>1.2956000000000001</v>
      </c>
      <c r="G414" s="63">
        <f>VLOOKUP(D414,upahbahan,3,FALSE)</f>
        <v>100000</v>
      </c>
      <c r="H414" s="63">
        <f>F414*G414</f>
        <v>129560.00000000001</v>
      </c>
      <c r="I414" s="44"/>
      <c r="J414" s="152" t="s">
        <v>1248</v>
      </c>
      <c r="M414" s="65">
        <v>0.1</v>
      </c>
    </row>
    <row r="415" spans="3:13" s="59" customFormat="1" ht="19.2" customHeight="1">
      <c r="C415" s="588">
        <v>2</v>
      </c>
      <c r="D415" s="56" t="s">
        <v>2165</v>
      </c>
      <c r="E415" s="577" t="s">
        <v>1863</v>
      </c>
      <c r="F415" s="101">
        <v>0.32390000000000002</v>
      </c>
      <c r="G415" s="63">
        <f>VLOOKUP(D415,upahbahan,3,FALSE)</f>
        <v>135000</v>
      </c>
      <c r="H415" s="63">
        <f t="shared" ref="H415:H416" si="21">F415*G415</f>
        <v>43726.5</v>
      </c>
      <c r="I415" s="44"/>
      <c r="J415" s="152"/>
      <c r="M415" s="65"/>
    </row>
    <row r="416" spans="3:13" s="59" customFormat="1" ht="19.2" customHeight="1">
      <c r="C416" s="588">
        <v>3</v>
      </c>
      <c r="D416" s="56" t="s">
        <v>19</v>
      </c>
      <c r="E416" s="577" t="s">
        <v>1863</v>
      </c>
      <c r="F416" s="101">
        <v>6.4799999999999996E-2</v>
      </c>
      <c r="G416" s="63">
        <f>VLOOKUP(D416,upahbahan,3,FALSE)</f>
        <v>160000</v>
      </c>
      <c r="H416" s="63">
        <f t="shared" si="21"/>
        <v>10368</v>
      </c>
      <c r="I416" s="44"/>
    </row>
    <row r="417" spans="3:10" s="59" customFormat="1" ht="19.2" customHeight="1">
      <c r="C417" s="450" t="s">
        <v>1208</v>
      </c>
      <c r="D417" s="67"/>
      <c r="E417" s="67"/>
      <c r="F417" s="142"/>
      <c r="G417" s="153"/>
      <c r="H417" s="63">
        <f>SUM(H414:H416)</f>
        <v>183654.5</v>
      </c>
      <c r="I417" s="154"/>
    </row>
    <row r="418" spans="3:10" s="59" customFormat="1" ht="19.2" customHeight="1">
      <c r="C418" s="61" t="s">
        <v>1209</v>
      </c>
      <c r="D418" s="56" t="s">
        <v>1210</v>
      </c>
      <c r="E418" s="57"/>
      <c r="F418" s="57"/>
      <c r="G418" s="57"/>
      <c r="H418" s="57"/>
      <c r="I418" s="44"/>
    </row>
    <row r="419" spans="3:10" s="59" customFormat="1" ht="19.2" customHeight="1">
      <c r="C419" s="61">
        <v>1</v>
      </c>
      <c r="D419" s="56" t="s">
        <v>4487</v>
      </c>
      <c r="E419" s="93" t="s">
        <v>42</v>
      </c>
      <c r="F419" s="103">
        <v>9.5500000000000002E-2</v>
      </c>
      <c r="G419" s="63">
        <f>VLOOKUP(D419,upahbahan,3,FALSE)</f>
        <v>1236000</v>
      </c>
      <c r="H419" s="63">
        <f>F419*G419</f>
        <v>118038</v>
      </c>
      <c r="I419" s="44"/>
    </row>
    <row r="420" spans="3:10" s="59" customFormat="1" ht="19.2" customHeight="1">
      <c r="C420" s="61">
        <v>2</v>
      </c>
      <c r="D420" s="56" t="s">
        <v>4488</v>
      </c>
      <c r="E420" s="93" t="s">
        <v>42</v>
      </c>
      <c r="F420" s="103">
        <v>0.191</v>
      </c>
      <c r="G420" s="63">
        <f>VLOOKUP(D420,upahbahan,3,FALSE)</f>
        <v>0</v>
      </c>
      <c r="H420" s="63">
        <f>F420*G420</f>
        <v>0</v>
      </c>
      <c r="I420" s="44"/>
    </row>
    <row r="421" spans="3:10" s="59" customFormat="1" ht="19.2" customHeight="1">
      <c r="C421" s="61">
        <v>3</v>
      </c>
      <c r="D421" s="56" t="s">
        <v>4554</v>
      </c>
      <c r="E421" s="93" t="s">
        <v>44</v>
      </c>
      <c r="F421" s="103">
        <v>0.83330000000000004</v>
      </c>
      <c r="G421" s="63">
        <f>VLOOKUP(D421,upahbahan,3,FALSE)</f>
        <v>730000</v>
      </c>
      <c r="H421" s="63">
        <f>F421*G421</f>
        <v>608309</v>
      </c>
      <c r="I421" s="44"/>
    </row>
    <row r="422" spans="3:10" s="59" customFormat="1" ht="19.2" customHeight="1">
      <c r="C422" s="450" t="s">
        <v>1214</v>
      </c>
      <c r="D422" s="67"/>
      <c r="E422" s="67"/>
      <c r="F422" s="67"/>
      <c r="G422" s="69"/>
      <c r="H422" s="63">
        <f>SUM(H419:H421)</f>
        <v>726347</v>
      </c>
      <c r="I422" s="44"/>
    </row>
    <row r="423" spans="3:10" s="59" customFormat="1" ht="19.2" customHeight="1">
      <c r="C423" s="61" t="s">
        <v>1215</v>
      </c>
      <c r="D423" s="56" t="s">
        <v>1216</v>
      </c>
      <c r="E423" s="93"/>
      <c r="F423" s="57"/>
      <c r="G423" s="57"/>
      <c r="H423" s="57"/>
      <c r="I423" s="44"/>
    </row>
    <row r="424" spans="3:10" s="59" customFormat="1" ht="19.2" customHeight="1">
      <c r="C424" s="800">
        <v>1</v>
      </c>
      <c r="D424" s="56" t="s">
        <v>1181</v>
      </c>
      <c r="E424" s="93" t="s">
        <v>1074</v>
      </c>
      <c r="F424" s="94">
        <v>0.32390000000000002</v>
      </c>
      <c r="G424" s="63">
        <f>VLOOKUP(D424,upahbahan,3,FALSE)</f>
        <v>1450000</v>
      </c>
      <c r="H424" s="63">
        <f>F424*G424</f>
        <v>469655.00000000006</v>
      </c>
      <c r="I424" s="44"/>
    </row>
    <row r="425" spans="3:10" s="59" customFormat="1" ht="19.2" customHeight="1">
      <c r="C425" s="450" t="s">
        <v>1217</v>
      </c>
      <c r="D425" s="67"/>
      <c r="E425" s="67"/>
      <c r="F425" s="67"/>
      <c r="G425" s="69"/>
      <c r="H425" s="882">
        <f>SUM(H423:H424)</f>
        <v>469655.00000000006</v>
      </c>
      <c r="I425" s="44"/>
    </row>
    <row r="426" spans="3:10" s="59" customFormat="1" ht="19.2" customHeight="1">
      <c r="C426" s="288" t="s">
        <v>1218</v>
      </c>
      <c r="D426" s="76" t="s">
        <v>1219</v>
      </c>
      <c r="E426" s="77"/>
      <c r="F426" s="77"/>
      <c r="G426" s="78"/>
      <c r="H426" s="585">
        <f>H425+H422+H417</f>
        <v>1379656.5</v>
      </c>
      <c r="I426" s="369"/>
    </row>
    <row r="427" spans="3:10" s="59" customFormat="1" ht="19.2" customHeight="1">
      <c r="C427" s="288" t="s">
        <v>1220</v>
      </c>
      <c r="D427" s="76" t="s">
        <v>1321</v>
      </c>
      <c r="E427" s="77"/>
      <c r="F427" s="78"/>
      <c r="G427" s="80">
        <v>0.1</v>
      </c>
      <c r="H427" s="63">
        <f>H426*G427</f>
        <v>137965.65</v>
      </c>
      <c r="I427" s="369"/>
    </row>
    <row r="428" spans="3:10" s="59" customFormat="1" ht="19.2" customHeight="1">
      <c r="C428" s="288" t="s">
        <v>1221</v>
      </c>
      <c r="D428" s="76" t="s">
        <v>1222</v>
      </c>
      <c r="E428" s="77"/>
      <c r="F428" s="77"/>
      <c r="G428" s="78"/>
      <c r="H428" s="799">
        <f>SUM(H426:H427)</f>
        <v>1517622.15</v>
      </c>
      <c r="I428" s="369"/>
    </row>
    <row r="430" spans="3:10" s="59" customFormat="1" ht="19.5" customHeight="1">
      <c r="C430" s="46" t="s">
        <v>4555</v>
      </c>
      <c r="D430" s="1934" t="s">
        <v>4556</v>
      </c>
      <c r="E430" s="1934"/>
      <c r="F430" s="1934"/>
      <c r="G430" s="1934"/>
      <c r="H430" s="1934"/>
      <c r="I430" s="50">
        <f>ROUNDDOWN(H447,-2)</f>
        <v>1558600</v>
      </c>
    </row>
    <row r="431" spans="3:10" s="59" customFormat="1" ht="19.2" customHeight="1">
      <c r="C431" s="591" t="s">
        <v>1195</v>
      </c>
      <c r="D431" s="591" t="s">
        <v>1196</v>
      </c>
      <c r="E431" s="591" t="s">
        <v>1197</v>
      </c>
      <c r="F431" s="591" t="s">
        <v>1198</v>
      </c>
      <c r="G431" s="591" t="s">
        <v>1199</v>
      </c>
      <c r="H431" s="591" t="s">
        <v>1200</v>
      </c>
      <c r="I431" s="44"/>
    </row>
    <row r="432" spans="3:10" s="59" customFormat="1" ht="19.2" customHeight="1">
      <c r="C432" s="61" t="s">
        <v>1201</v>
      </c>
      <c r="D432" s="56" t="s">
        <v>1202</v>
      </c>
      <c r="E432" s="57"/>
      <c r="F432" s="57"/>
      <c r="G432" s="57"/>
      <c r="H432" s="57"/>
      <c r="I432" s="44"/>
      <c r="J432" s="152" t="s">
        <v>1247</v>
      </c>
    </row>
    <row r="433" spans="2:13" s="59" customFormat="1" ht="19.2" customHeight="1">
      <c r="C433" s="588">
        <v>1</v>
      </c>
      <c r="D433" s="56" t="s">
        <v>5</v>
      </c>
      <c r="E433" s="577" t="s">
        <v>1863</v>
      </c>
      <c r="F433" s="101">
        <v>1.3267</v>
      </c>
      <c r="G433" s="63">
        <f>VLOOKUP(D433,upahbahan,3,FALSE)</f>
        <v>100000</v>
      </c>
      <c r="H433" s="63">
        <f>F433*G433</f>
        <v>132670</v>
      </c>
      <c r="I433" s="44"/>
      <c r="J433" s="152" t="s">
        <v>1248</v>
      </c>
      <c r="M433" s="65">
        <v>0.1</v>
      </c>
    </row>
    <row r="434" spans="2:13" s="59" customFormat="1" ht="19.2" customHeight="1">
      <c r="C434" s="588">
        <v>2</v>
      </c>
      <c r="D434" s="56" t="s">
        <v>2165</v>
      </c>
      <c r="E434" s="577" t="s">
        <v>1863</v>
      </c>
      <c r="F434" s="101">
        <v>0.33169999999999999</v>
      </c>
      <c r="G434" s="63">
        <f>VLOOKUP(D434,upahbahan,3,FALSE)</f>
        <v>135000</v>
      </c>
      <c r="H434" s="63">
        <f t="shared" ref="H434:H435" si="22">F434*G434</f>
        <v>44779.5</v>
      </c>
      <c r="I434" s="44"/>
      <c r="J434" s="152"/>
      <c r="M434" s="65"/>
    </row>
    <row r="435" spans="2:13" s="59" customFormat="1" ht="19.2" customHeight="1">
      <c r="C435" s="588">
        <v>3</v>
      </c>
      <c r="D435" s="56" t="s">
        <v>19</v>
      </c>
      <c r="E435" s="577" t="s">
        <v>1863</v>
      </c>
      <c r="F435" s="101">
        <v>6.6299999999999998E-2</v>
      </c>
      <c r="G435" s="63">
        <f>VLOOKUP(D435,upahbahan,3,FALSE)</f>
        <v>160000</v>
      </c>
      <c r="H435" s="63">
        <f t="shared" si="22"/>
        <v>10608</v>
      </c>
      <c r="I435" s="44"/>
    </row>
    <row r="436" spans="2:13" s="59" customFormat="1" ht="19.2" customHeight="1">
      <c r="C436" s="450" t="s">
        <v>1208</v>
      </c>
      <c r="D436" s="67"/>
      <c r="E436" s="67"/>
      <c r="F436" s="142"/>
      <c r="G436" s="153"/>
      <c r="H436" s="63">
        <f>SUM(H433:H435)</f>
        <v>188057.5</v>
      </c>
      <c r="I436" s="154"/>
    </row>
    <row r="437" spans="2:13" s="59" customFormat="1" ht="19.2" customHeight="1">
      <c r="C437" s="61" t="s">
        <v>1209</v>
      </c>
      <c r="D437" s="56" t="s">
        <v>1210</v>
      </c>
      <c r="E437" s="57"/>
      <c r="F437" s="57"/>
      <c r="G437" s="57"/>
      <c r="H437" s="57"/>
      <c r="I437" s="44"/>
    </row>
    <row r="438" spans="2:13" s="59" customFormat="1" ht="19.2" customHeight="1">
      <c r="C438" s="61">
        <v>1</v>
      </c>
      <c r="D438" s="56" t="s">
        <v>4487</v>
      </c>
      <c r="E438" s="93" t="s">
        <v>42</v>
      </c>
      <c r="F438" s="103">
        <v>9.9500000000000005E-2</v>
      </c>
      <c r="G438" s="63">
        <f>VLOOKUP(D438,upahbahan,3,FALSE)</f>
        <v>1236000</v>
      </c>
      <c r="H438" s="63">
        <f>F438*G438</f>
        <v>122982</v>
      </c>
      <c r="I438" s="44"/>
    </row>
    <row r="439" spans="2:13" s="59" customFormat="1" ht="19.2" customHeight="1">
      <c r="C439" s="61">
        <v>2</v>
      </c>
      <c r="D439" s="56" t="s">
        <v>4488</v>
      </c>
      <c r="E439" s="93" t="s">
        <v>42</v>
      </c>
      <c r="F439" s="103">
        <v>0.19900000000000001</v>
      </c>
      <c r="G439" s="63">
        <f>VLOOKUP(D439,upahbahan,3,FALSE)</f>
        <v>0</v>
      </c>
      <c r="H439" s="63">
        <f>F439*G439</f>
        <v>0</v>
      </c>
      <c r="I439" s="44"/>
    </row>
    <row r="440" spans="2:13" s="59" customFormat="1" ht="19.2" customHeight="1">
      <c r="C440" s="61">
        <v>3</v>
      </c>
      <c r="D440" s="56" t="s">
        <v>4557</v>
      </c>
      <c r="E440" s="93" t="s">
        <v>44</v>
      </c>
      <c r="F440" s="103">
        <v>0.83330000000000004</v>
      </c>
      <c r="G440" s="63">
        <f>VLOOKUP(D440,upahbahan,3,FALSE)</f>
        <v>750000</v>
      </c>
      <c r="H440" s="63">
        <f>F440*G440</f>
        <v>624975</v>
      </c>
      <c r="I440" s="44"/>
    </row>
    <row r="441" spans="2:13" s="59" customFormat="1" ht="19.2" customHeight="1">
      <c r="C441" s="450" t="s">
        <v>1214</v>
      </c>
      <c r="D441" s="67"/>
      <c r="E441" s="67"/>
      <c r="F441" s="67"/>
      <c r="G441" s="69"/>
      <c r="H441" s="63">
        <f>SUM(H438:H440)</f>
        <v>747957</v>
      </c>
      <c r="I441" s="44"/>
    </row>
    <row r="442" spans="2:13" s="59" customFormat="1" ht="19.2" customHeight="1">
      <c r="C442" s="61" t="s">
        <v>1215</v>
      </c>
      <c r="D442" s="56" t="s">
        <v>1216</v>
      </c>
      <c r="E442" s="93"/>
      <c r="F442" s="57"/>
      <c r="G442" s="57"/>
      <c r="H442" s="57"/>
      <c r="I442" s="44"/>
    </row>
    <row r="443" spans="2:13" s="59" customFormat="1" ht="19.2" customHeight="1">
      <c r="C443" s="800">
        <v>1</v>
      </c>
      <c r="D443" s="56" t="s">
        <v>1181</v>
      </c>
      <c r="E443" s="93" t="s">
        <v>1074</v>
      </c>
      <c r="F443" s="94">
        <v>0.33169999999999999</v>
      </c>
      <c r="G443" s="63">
        <f>VLOOKUP(D443,upahbahan,3,FALSE)</f>
        <v>1450000</v>
      </c>
      <c r="H443" s="63">
        <f>F443*G443</f>
        <v>480965</v>
      </c>
      <c r="I443" s="44"/>
    </row>
    <row r="444" spans="2:13" s="59" customFormat="1" ht="19.2" customHeight="1">
      <c r="C444" s="450" t="s">
        <v>1217</v>
      </c>
      <c r="D444" s="67"/>
      <c r="E444" s="67"/>
      <c r="F444" s="67"/>
      <c r="G444" s="69"/>
      <c r="H444" s="882">
        <f>SUM(H442:H443)</f>
        <v>480965</v>
      </c>
      <c r="I444" s="44"/>
    </row>
    <row r="445" spans="2:13" s="59" customFormat="1" ht="19.2" customHeight="1">
      <c r="C445" s="288" t="s">
        <v>1218</v>
      </c>
      <c r="D445" s="76" t="s">
        <v>1219</v>
      </c>
      <c r="E445" s="77"/>
      <c r="F445" s="77"/>
      <c r="G445" s="78"/>
      <c r="H445" s="585">
        <f>H444+H441+H436</f>
        <v>1416979.5</v>
      </c>
      <c r="I445" s="369"/>
    </row>
    <row r="446" spans="2:13" s="59" customFormat="1" ht="19.2" customHeight="1">
      <c r="C446" s="288" t="s">
        <v>1220</v>
      </c>
      <c r="D446" s="76" t="s">
        <v>1321</v>
      </c>
      <c r="E446" s="77"/>
      <c r="F446" s="78"/>
      <c r="G446" s="80">
        <v>0.1</v>
      </c>
      <c r="H446" s="63">
        <f>H445*G446</f>
        <v>141697.95000000001</v>
      </c>
      <c r="I446" s="369"/>
    </row>
    <row r="447" spans="2:13" s="59" customFormat="1" ht="19.2" customHeight="1">
      <c r="C447" s="288" t="s">
        <v>1221</v>
      </c>
      <c r="D447" s="76" t="s">
        <v>1222</v>
      </c>
      <c r="E447" s="77"/>
      <c r="F447" s="77"/>
      <c r="G447" s="78"/>
      <c r="H447" s="799">
        <f>SUM(H445:H446)</f>
        <v>1558677.45</v>
      </c>
      <c r="I447" s="369"/>
    </row>
    <row r="448" spans="2:13" ht="13.8">
      <c r="B448" s="59"/>
    </row>
    <row r="449" spans="3:13" s="59" customFormat="1" ht="19.5" customHeight="1">
      <c r="C449" s="46" t="s">
        <v>4558</v>
      </c>
      <c r="D449" s="1934" t="s">
        <v>4559</v>
      </c>
      <c r="E449" s="1934"/>
      <c r="F449" s="1934"/>
      <c r="G449" s="1934"/>
      <c r="H449" s="1934"/>
      <c r="I449" s="50">
        <f>ROUNDDOWN(H466,-2)</f>
        <v>1595900</v>
      </c>
    </row>
    <row r="450" spans="3:13" s="59" customFormat="1" ht="33" customHeight="1">
      <c r="C450" s="591" t="s">
        <v>1195</v>
      </c>
      <c r="D450" s="591" t="s">
        <v>1196</v>
      </c>
      <c r="E450" s="591" t="s">
        <v>1197</v>
      </c>
      <c r="F450" s="591" t="s">
        <v>1198</v>
      </c>
      <c r="G450" s="591" t="s">
        <v>1199</v>
      </c>
      <c r="H450" s="591" t="s">
        <v>1200</v>
      </c>
      <c r="I450" s="44"/>
    </row>
    <row r="451" spans="3:13" s="59" customFormat="1" ht="19.2" customHeight="1">
      <c r="C451" s="61" t="s">
        <v>1201</v>
      </c>
      <c r="D451" s="56" t="s">
        <v>1202</v>
      </c>
      <c r="E451" s="57"/>
      <c r="F451" s="57"/>
      <c r="G451" s="57"/>
      <c r="H451" s="57"/>
      <c r="I451" s="44"/>
      <c r="J451" s="152" t="s">
        <v>1247</v>
      </c>
    </row>
    <row r="452" spans="3:13" s="59" customFormat="1" ht="19.2" customHeight="1">
      <c r="C452" s="588">
        <v>1</v>
      </c>
      <c r="D452" s="56" t="s">
        <v>5</v>
      </c>
      <c r="E452" s="577" t="s">
        <v>1863</v>
      </c>
      <c r="F452" s="101">
        <v>1.3469</v>
      </c>
      <c r="G452" s="63">
        <f>VLOOKUP(D452,upahbahan,3,FALSE)</f>
        <v>100000</v>
      </c>
      <c r="H452" s="63">
        <f>F452*G452</f>
        <v>134690</v>
      </c>
      <c r="I452" s="44"/>
      <c r="J452" s="152" t="s">
        <v>1248</v>
      </c>
      <c r="M452" s="65">
        <v>0.1</v>
      </c>
    </row>
    <row r="453" spans="3:13" s="59" customFormat="1" ht="19.2" customHeight="1">
      <c r="C453" s="588">
        <v>2</v>
      </c>
      <c r="D453" s="56" t="s">
        <v>2165</v>
      </c>
      <c r="E453" s="577" t="s">
        <v>1863</v>
      </c>
      <c r="F453" s="101">
        <v>0.3367</v>
      </c>
      <c r="G453" s="63">
        <f>VLOOKUP(D453,upahbahan,3,FALSE)</f>
        <v>135000</v>
      </c>
      <c r="H453" s="63">
        <f t="shared" ref="H453:H454" si="23">F453*G453</f>
        <v>45454.5</v>
      </c>
      <c r="I453" s="44"/>
      <c r="J453" s="152"/>
      <c r="M453" s="65"/>
    </row>
    <row r="454" spans="3:13" s="59" customFormat="1" ht="19.2" customHeight="1">
      <c r="C454" s="588">
        <v>3</v>
      </c>
      <c r="D454" s="56" t="s">
        <v>19</v>
      </c>
      <c r="E454" s="577" t="s">
        <v>1863</v>
      </c>
      <c r="F454" s="101">
        <v>6.7299999999999999E-2</v>
      </c>
      <c r="G454" s="63">
        <f>VLOOKUP(D454,upahbahan,3,FALSE)</f>
        <v>160000</v>
      </c>
      <c r="H454" s="63">
        <f t="shared" si="23"/>
        <v>10768</v>
      </c>
      <c r="I454" s="44"/>
    </row>
    <row r="455" spans="3:13" s="59" customFormat="1" ht="19.2" customHeight="1">
      <c r="C455" s="450" t="s">
        <v>1208</v>
      </c>
      <c r="D455" s="67"/>
      <c r="E455" s="67"/>
      <c r="F455" s="142"/>
      <c r="G455" s="153"/>
      <c r="H455" s="63">
        <f>SUM(H452:H454)</f>
        <v>190912.5</v>
      </c>
      <c r="I455" s="154"/>
    </row>
    <row r="456" spans="3:13" s="59" customFormat="1" ht="19.2" customHeight="1">
      <c r="C456" s="61" t="s">
        <v>1209</v>
      </c>
      <c r="D456" s="56" t="s">
        <v>1210</v>
      </c>
      <c r="E456" s="57"/>
      <c r="F456" s="57"/>
      <c r="G456" s="57"/>
      <c r="H456" s="57"/>
      <c r="I456" s="44"/>
    </row>
    <row r="457" spans="3:13" s="59" customFormat="1" ht="19.2" customHeight="1">
      <c r="C457" s="61">
        <v>1</v>
      </c>
      <c r="D457" s="56" t="s">
        <v>4487</v>
      </c>
      <c r="E457" s="93" t="s">
        <v>42</v>
      </c>
      <c r="F457" s="103">
        <v>9.8500000000000004E-2</v>
      </c>
      <c r="G457" s="63">
        <f>VLOOKUP(D457,upahbahan,3,FALSE)</f>
        <v>1236000</v>
      </c>
      <c r="H457" s="63">
        <f>F457*G457</f>
        <v>121746</v>
      </c>
      <c r="I457" s="44"/>
    </row>
    <row r="458" spans="3:13" s="59" customFormat="1" ht="19.2" customHeight="1">
      <c r="C458" s="61">
        <v>2</v>
      </c>
      <c r="D458" s="56" t="s">
        <v>4488</v>
      </c>
      <c r="E458" s="93" t="s">
        <v>42</v>
      </c>
      <c r="F458" s="103">
        <v>0.19700000000000001</v>
      </c>
      <c r="G458" s="63">
        <f>VLOOKUP(D458,upahbahan,3,FALSE)</f>
        <v>0</v>
      </c>
      <c r="H458" s="63">
        <f>F458*G458</f>
        <v>0</v>
      </c>
      <c r="I458" s="44"/>
    </row>
    <row r="459" spans="3:13" s="59" customFormat="1" ht="19.2" customHeight="1">
      <c r="C459" s="61">
        <v>3</v>
      </c>
      <c r="D459" s="56" t="s">
        <v>4560</v>
      </c>
      <c r="E459" s="93" t="s">
        <v>44</v>
      </c>
      <c r="F459" s="103">
        <v>0.83330000000000004</v>
      </c>
      <c r="G459" s="63">
        <f>VLOOKUP(D459,upahbahan,3,FALSE)</f>
        <v>780000</v>
      </c>
      <c r="H459" s="63">
        <f>F459*G459</f>
        <v>649974</v>
      </c>
      <c r="I459" s="44"/>
    </row>
    <row r="460" spans="3:13" s="59" customFormat="1" ht="19.2" customHeight="1">
      <c r="C460" s="450" t="s">
        <v>1214</v>
      </c>
      <c r="D460" s="67"/>
      <c r="E460" s="67"/>
      <c r="F460" s="67"/>
      <c r="G460" s="69"/>
      <c r="H460" s="63">
        <f>SUM(H457:H459)</f>
        <v>771720</v>
      </c>
      <c r="I460" s="44"/>
    </row>
    <row r="461" spans="3:13" s="59" customFormat="1" ht="19.2" customHeight="1">
      <c r="C461" s="61" t="s">
        <v>1215</v>
      </c>
      <c r="D461" s="56" t="s">
        <v>1216</v>
      </c>
      <c r="E461" s="93"/>
      <c r="F461" s="57"/>
      <c r="G461" s="57"/>
      <c r="H461" s="57"/>
      <c r="I461" s="44"/>
    </row>
    <row r="462" spans="3:13" s="59" customFormat="1" ht="19.2" customHeight="1">
      <c r="C462" s="800">
        <v>1</v>
      </c>
      <c r="D462" s="56" t="s">
        <v>1181</v>
      </c>
      <c r="E462" s="93" t="s">
        <v>1074</v>
      </c>
      <c r="F462" s="94">
        <v>0.3367</v>
      </c>
      <c r="G462" s="63">
        <f>VLOOKUP(D462,upahbahan,3,FALSE)</f>
        <v>1450000</v>
      </c>
      <c r="H462" s="63">
        <f>F462*G462</f>
        <v>488215</v>
      </c>
      <c r="I462" s="44"/>
    </row>
    <row r="463" spans="3:13" s="59" customFormat="1" ht="19.2" customHeight="1">
      <c r="C463" s="450" t="s">
        <v>1217</v>
      </c>
      <c r="D463" s="67"/>
      <c r="E463" s="67"/>
      <c r="F463" s="67"/>
      <c r="G463" s="69"/>
      <c r="H463" s="882">
        <f>SUM(H461:H462)</f>
        <v>488215</v>
      </c>
      <c r="I463" s="44"/>
    </row>
    <row r="464" spans="3:13" s="59" customFormat="1" ht="19.2" customHeight="1">
      <c r="C464" s="288" t="s">
        <v>1218</v>
      </c>
      <c r="D464" s="76" t="s">
        <v>1219</v>
      </c>
      <c r="E464" s="77"/>
      <c r="F464" s="77"/>
      <c r="G464" s="78"/>
      <c r="H464" s="585">
        <f>H463+H460+H455</f>
        <v>1450847.5</v>
      </c>
      <c r="I464" s="369"/>
    </row>
    <row r="465" spans="2:13" s="59" customFormat="1" ht="19.2" customHeight="1">
      <c r="C465" s="288" t="s">
        <v>1220</v>
      </c>
      <c r="D465" s="76" t="s">
        <v>1321</v>
      </c>
      <c r="E465" s="77"/>
      <c r="F465" s="78"/>
      <c r="G465" s="80">
        <v>0.1</v>
      </c>
      <c r="H465" s="63">
        <f>H464*G465</f>
        <v>145084.75</v>
      </c>
      <c r="I465" s="369"/>
    </row>
    <row r="466" spans="2:13" s="59" customFormat="1" ht="19.2" customHeight="1">
      <c r="C466" s="288" t="s">
        <v>1221</v>
      </c>
      <c r="D466" s="76" t="s">
        <v>1222</v>
      </c>
      <c r="E466" s="77"/>
      <c r="F466" s="77"/>
      <c r="G466" s="78"/>
      <c r="H466" s="799">
        <f>SUM(H464:H465)</f>
        <v>1595932.25</v>
      </c>
      <c r="I466" s="369"/>
    </row>
    <row r="467" spans="2:13" ht="13.8">
      <c r="B467" s="59"/>
    </row>
    <row r="468" spans="2:13" s="59" customFormat="1" ht="19.5" customHeight="1">
      <c r="C468" s="46" t="s">
        <v>4561</v>
      </c>
      <c r="D468" s="1934" t="s">
        <v>4562</v>
      </c>
      <c r="E468" s="1934"/>
      <c r="F468" s="1934"/>
      <c r="G468" s="1934"/>
      <c r="H468" s="1934"/>
      <c r="I468" s="50">
        <f>ROUNDDOWN(H485,-2)</f>
        <v>1634300</v>
      </c>
    </row>
    <row r="469" spans="2:13" s="59" customFormat="1" ht="33" customHeight="1">
      <c r="C469" s="591" t="s">
        <v>1195</v>
      </c>
      <c r="D469" s="591" t="s">
        <v>1196</v>
      </c>
      <c r="E469" s="591" t="s">
        <v>1197</v>
      </c>
      <c r="F469" s="591" t="s">
        <v>1198</v>
      </c>
      <c r="G469" s="591" t="s">
        <v>1199</v>
      </c>
      <c r="H469" s="591" t="s">
        <v>1200</v>
      </c>
      <c r="I469" s="44"/>
    </row>
    <row r="470" spans="2:13" s="59" customFormat="1" ht="19.2" customHeight="1">
      <c r="C470" s="61" t="s">
        <v>1201</v>
      </c>
      <c r="D470" s="56" t="s">
        <v>1202</v>
      </c>
      <c r="E470" s="57"/>
      <c r="F470" s="57"/>
      <c r="G470" s="57"/>
      <c r="H470" s="57"/>
      <c r="I470" s="44"/>
      <c r="J470" s="152" t="s">
        <v>1247</v>
      </c>
    </row>
    <row r="471" spans="2:13" s="59" customFormat="1" ht="19.2" customHeight="1">
      <c r="C471" s="588">
        <v>1</v>
      </c>
      <c r="D471" s="56" t="s">
        <v>5</v>
      </c>
      <c r="E471" s="577" t="s">
        <v>1863</v>
      </c>
      <c r="F471" s="101">
        <v>1.3488</v>
      </c>
      <c r="G471" s="63">
        <f>VLOOKUP(D471,upahbahan,3,FALSE)</f>
        <v>100000</v>
      </c>
      <c r="H471" s="63">
        <f>F471*G471</f>
        <v>134880</v>
      </c>
      <c r="I471" s="44"/>
      <c r="J471" s="152" t="s">
        <v>1248</v>
      </c>
      <c r="M471" s="65">
        <v>0.1</v>
      </c>
    </row>
    <row r="472" spans="2:13" s="59" customFormat="1" ht="19.2" customHeight="1">
      <c r="C472" s="588">
        <v>2</v>
      </c>
      <c r="D472" s="56" t="s">
        <v>2165</v>
      </c>
      <c r="E472" s="577" t="s">
        <v>1863</v>
      </c>
      <c r="F472" s="101">
        <v>0.3372</v>
      </c>
      <c r="G472" s="63">
        <f>VLOOKUP(D472,upahbahan,3,FALSE)</f>
        <v>135000</v>
      </c>
      <c r="H472" s="63">
        <f t="shared" ref="H472:H473" si="24">F472*G472</f>
        <v>45522</v>
      </c>
      <c r="I472" s="44"/>
      <c r="J472" s="152"/>
      <c r="M472" s="65"/>
    </row>
    <row r="473" spans="2:13" s="59" customFormat="1" ht="19.2" customHeight="1">
      <c r="C473" s="588">
        <v>3</v>
      </c>
      <c r="D473" s="56" t="s">
        <v>19</v>
      </c>
      <c r="E473" s="577" t="s">
        <v>1863</v>
      </c>
      <c r="F473" s="101">
        <v>6.7400000000000002E-2</v>
      </c>
      <c r="G473" s="63">
        <f>VLOOKUP(D473,upahbahan,3,FALSE)</f>
        <v>160000</v>
      </c>
      <c r="H473" s="63">
        <f t="shared" si="24"/>
        <v>10784</v>
      </c>
      <c r="I473" s="44"/>
    </row>
    <row r="474" spans="2:13" s="59" customFormat="1" ht="19.2" customHeight="1">
      <c r="C474" s="450" t="s">
        <v>1208</v>
      </c>
      <c r="D474" s="67"/>
      <c r="E474" s="67"/>
      <c r="F474" s="142"/>
      <c r="G474" s="153"/>
      <c r="H474" s="63">
        <f>SUM(H471:H473)</f>
        <v>191186</v>
      </c>
      <c r="I474" s="154"/>
    </row>
    <row r="475" spans="2:13" s="59" customFormat="1" ht="19.2" customHeight="1">
      <c r="C475" s="61" t="s">
        <v>1209</v>
      </c>
      <c r="D475" s="56" t="s">
        <v>1210</v>
      </c>
      <c r="E475" s="57"/>
      <c r="F475" s="57"/>
      <c r="G475" s="57"/>
      <c r="H475" s="57"/>
      <c r="I475" s="44"/>
    </row>
    <row r="476" spans="2:13" s="59" customFormat="1" ht="19.2" customHeight="1">
      <c r="C476" s="61">
        <v>1</v>
      </c>
      <c r="D476" s="56" t="s">
        <v>4487</v>
      </c>
      <c r="E476" s="93" t="s">
        <v>42</v>
      </c>
      <c r="F476" s="103">
        <v>0.1125</v>
      </c>
      <c r="G476" s="63">
        <f>VLOOKUP(D476,upahbahan,3,FALSE)</f>
        <v>1236000</v>
      </c>
      <c r="H476" s="63">
        <f>F476*G476</f>
        <v>139050</v>
      </c>
      <c r="I476" s="44"/>
    </row>
    <row r="477" spans="2:13" s="59" customFormat="1" ht="19.2" customHeight="1">
      <c r="C477" s="61">
        <v>2</v>
      </c>
      <c r="D477" s="56" t="s">
        <v>4488</v>
      </c>
      <c r="E477" s="93" t="s">
        <v>42</v>
      </c>
      <c r="F477" s="103">
        <v>0.22500000000000001</v>
      </c>
      <c r="G477" s="63">
        <f>VLOOKUP(D477,upahbahan,3,FALSE)</f>
        <v>0</v>
      </c>
      <c r="H477" s="63">
        <f>F477*G477</f>
        <v>0</v>
      </c>
      <c r="I477" s="44"/>
    </row>
    <row r="478" spans="2:13" s="59" customFormat="1" ht="19.2" customHeight="1">
      <c r="C478" s="61">
        <v>3</v>
      </c>
      <c r="D478" s="56" t="s">
        <v>4563</v>
      </c>
      <c r="E478" s="93" t="s">
        <v>44</v>
      </c>
      <c r="F478" s="103">
        <v>0.83330000000000004</v>
      </c>
      <c r="G478" s="63">
        <f>VLOOKUP(D478,upahbahan,3,FALSE)</f>
        <v>800000</v>
      </c>
      <c r="H478" s="63">
        <f>F478*G478</f>
        <v>666640</v>
      </c>
      <c r="I478" s="44"/>
    </row>
    <row r="479" spans="2:13" s="59" customFormat="1" ht="19.2" customHeight="1">
      <c r="C479" s="450" t="s">
        <v>1214</v>
      </c>
      <c r="D479" s="67"/>
      <c r="E479" s="67"/>
      <c r="F479" s="67"/>
      <c r="G479" s="69"/>
      <c r="H479" s="63">
        <f>SUM(H476:H478)</f>
        <v>805690</v>
      </c>
      <c r="I479" s="44"/>
    </row>
    <row r="480" spans="2:13" s="59" customFormat="1" ht="19.2" customHeight="1">
      <c r="C480" s="61" t="s">
        <v>1215</v>
      </c>
      <c r="D480" s="56" t="s">
        <v>1216</v>
      </c>
      <c r="E480" s="93"/>
      <c r="F480" s="57"/>
      <c r="G480" s="57"/>
      <c r="H480" s="57"/>
      <c r="I480" s="44"/>
    </row>
    <row r="481" spans="2:13" s="59" customFormat="1" ht="19.2" customHeight="1">
      <c r="C481" s="800">
        <v>1</v>
      </c>
      <c r="D481" s="56" t="s">
        <v>1181</v>
      </c>
      <c r="E481" s="93" t="s">
        <v>1074</v>
      </c>
      <c r="F481" s="94">
        <v>0.3372</v>
      </c>
      <c r="G481" s="63">
        <f>VLOOKUP(D481,upahbahan,3,FALSE)</f>
        <v>1450000</v>
      </c>
      <c r="H481" s="63">
        <f>F481*G481</f>
        <v>488940</v>
      </c>
      <c r="I481" s="44"/>
    </row>
    <row r="482" spans="2:13" s="59" customFormat="1" ht="19.2" customHeight="1">
      <c r="C482" s="450" t="s">
        <v>1217</v>
      </c>
      <c r="D482" s="67"/>
      <c r="E482" s="67"/>
      <c r="F482" s="67"/>
      <c r="G482" s="69"/>
      <c r="H482" s="882">
        <f>SUM(H480:H481)</f>
        <v>488940</v>
      </c>
      <c r="I482" s="44"/>
    </row>
    <row r="483" spans="2:13" s="59" customFormat="1" ht="19.2" customHeight="1">
      <c r="C483" s="288" t="s">
        <v>1218</v>
      </c>
      <c r="D483" s="76" t="s">
        <v>1219</v>
      </c>
      <c r="E483" s="77"/>
      <c r="F483" s="77"/>
      <c r="G483" s="78"/>
      <c r="H483" s="585">
        <f>H482+H479+H474</f>
        <v>1485816</v>
      </c>
      <c r="I483" s="369"/>
    </row>
    <row r="484" spans="2:13" s="59" customFormat="1" ht="19.2" customHeight="1">
      <c r="C484" s="288" t="s">
        <v>1220</v>
      </c>
      <c r="D484" s="76" t="s">
        <v>1321</v>
      </c>
      <c r="E484" s="77"/>
      <c r="F484" s="78"/>
      <c r="G484" s="80">
        <v>0.1</v>
      </c>
      <c r="H484" s="63">
        <f>H483*G484</f>
        <v>148581.6</v>
      </c>
      <c r="I484" s="369"/>
    </row>
    <row r="485" spans="2:13" s="59" customFormat="1" ht="19.2" customHeight="1">
      <c r="C485" s="288" t="s">
        <v>1221</v>
      </c>
      <c r="D485" s="76" t="s">
        <v>1222</v>
      </c>
      <c r="E485" s="77"/>
      <c r="F485" s="77"/>
      <c r="G485" s="78"/>
      <c r="H485" s="799">
        <f>SUM(H483:H484)</f>
        <v>1634397.6</v>
      </c>
      <c r="I485" s="369"/>
    </row>
    <row r="486" spans="2:13" ht="13.8">
      <c r="B486" s="59"/>
    </row>
    <row r="487" spans="2:13" s="59" customFormat="1" ht="17.399999999999999" customHeight="1">
      <c r="C487" s="46" t="s">
        <v>4564</v>
      </c>
      <c r="D487" s="1934" t="s">
        <v>4565</v>
      </c>
      <c r="E487" s="1934"/>
      <c r="F487" s="1934"/>
      <c r="G487" s="1934"/>
      <c r="H487" s="1934"/>
      <c r="I487" s="50">
        <f>ROUNDDOWN(H504,-2)</f>
        <v>1670700</v>
      </c>
    </row>
    <row r="488" spans="2:13" s="59" customFormat="1" ht="17.399999999999999" customHeight="1">
      <c r="C488" s="591" t="s">
        <v>1195</v>
      </c>
      <c r="D488" s="591" t="s">
        <v>1196</v>
      </c>
      <c r="E488" s="591" t="s">
        <v>1197</v>
      </c>
      <c r="F488" s="591" t="s">
        <v>1198</v>
      </c>
      <c r="G488" s="591" t="s">
        <v>1199</v>
      </c>
      <c r="H488" s="591" t="s">
        <v>1200</v>
      </c>
      <c r="I488" s="44"/>
    </row>
    <row r="489" spans="2:13" s="59" customFormat="1" ht="19.2" customHeight="1">
      <c r="C489" s="61" t="s">
        <v>1201</v>
      </c>
      <c r="D489" s="56" t="s">
        <v>1202</v>
      </c>
      <c r="E489" s="57"/>
      <c r="F489" s="57"/>
      <c r="G489" s="57"/>
      <c r="H489" s="57"/>
      <c r="I489" s="44"/>
      <c r="J489" s="152" t="s">
        <v>1247</v>
      </c>
    </row>
    <row r="490" spans="2:13" s="59" customFormat="1" ht="19.2" customHeight="1">
      <c r="C490" s="588">
        <v>1</v>
      </c>
      <c r="D490" s="56" t="s">
        <v>5</v>
      </c>
      <c r="E490" s="577" t="s">
        <v>1863</v>
      </c>
      <c r="F490" s="101">
        <v>1.3649</v>
      </c>
      <c r="G490" s="63">
        <f>VLOOKUP(D490,upahbahan,3,FALSE)</f>
        <v>100000</v>
      </c>
      <c r="H490" s="63">
        <f>F490*G490</f>
        <v>136490</v>
      </c>
      <c r="I490" s="44"/>
      <c r="J490" s="152" t="s">
        <v>1248</v>
      </c>
      <c r="M490" s="65">
        <v>0.1</v>
      </c>
    </row>
    <row r="491" spans="2:13" s="59" customFormat="1" ht="19.2" customHeight="1">
      <c r="C491" s="588">
        <v>2</v>
      </c>
      <c r="D491" s="56" t="s">
        <v>2165</v>
      </c>
      <c r="E491" s="577" t="s">
        <v>1863</v>
      </c>
      <c r="F491" s="101">
        <v>0.3412</v>
      </c>
      <c r="G491" s="63">
        <f>VLOOKUP(D491,upahbahan,3,FALSE)</f>
        <v>135000</v>
      </c>
      <c r="H491" s="63">
        <f t="shared" ref="H491:H492" si="25">F491*G491</f>
        <v>46062</v>
      </c>
      <c r="I491" s="44"/>
      <c r="J491" s="152"/>
      <c r="M491" s="65"/>
    </row>
    <row r="492" spans="2:13" s="59" customFormat="1" ht="19.2" customHeight="1">
      <c r="C492" s="588">
        <v>3</v>
      </c>
      <c r="D492" s="56" t="s">
        <v>19</v>
      </c>
      <c r="E492" s="577" t="s">
        <v>1863</v>
      </c>
      <c r="F492" s="101">
        <v>6.8199999999999997E-2</v>
      </c>
      <c r="G492" s="63">
        <f>VLOOKUP(D492,upahbahan,3,FALSE)</f>
        <v>160000</v>
      </c>
      <c r="H492" s="63">
        <f t="shared" si="25"/>
        <v>10912</v>
      </c>
      <c r="I492" s="44"/>
    </row>
    <row r="493" spans="2:13" s="59" customFormat="1" ht="19.2" customHeight="1">
      <c r="C493" s="450" t="s">
        <v>1208</v>
      </c>
      <c r="D493" s="67"/>
      <c r="E493" s="67"/>
      <c r="F493" s="142"/>
      <c r="G493" s="153"/>
      <c r="H493" s="63">
        <f>SUM(H490:H492)</f>
        <v>193464</v>
      </c>
      <c r="I493" s="154"/>
    </row>
    <row r="494" spans="2:13" s="59" customFormat="1" ht="19.2" customHeight="1">
      <c r="C494" s="61" t="s">
        <v>1209</v>
      </c>
      <c r="D494" s="56" t="s">
        <v>1210</v>
      </c>
      <c r="E494" s="57"/>
      <c r="F494" s="57"/>
      <c r="G494" s="57"/>
      <c r="H494" s="57"/>
      <c r="I494" s="44"/>
    </row>
    <row r="495" spans="2:13" s="59" customFormat="1" ht="19.2" customHeight="1">
      <c r="C495" s="61">
        <v>1</v>
      </c>
      <c r="D495" s="56" t="s">
        <v>4487</v>
      </c>
      <c r="E495" s="93" t="s">
        <v>42</v>
      </c>
      <c r="F495" s="103">
        <v>0.1125</v>
      </c>
      <c r="G495" s="63">
        <f>VLOOKUP(D495,upahbahan,3,FALSE)</f>
        <v>1236000</v>
      </c>
      <c r="H495" s="63">
        <f>F495*G495</f>
        <v>139050</v>
      </c>
      <c r="I495" s="44"/>
    </row>
    <row r="496" spans="2:13" s="59" customFormat="1" ht="19.2" customHeight="1">
      <c r="C496" s="61">
        <v>2</v>
      </c>
      <c r="D496" s="56" t="s">
        <v>4488</v>
      </c>
      <c r="E496" s="93" t="s">
        <v>42</v>
      </c>
      <c r="F496" s="103">
        <v>0.22500000000000001</v>
      </c>
      <c r="G496" s="63">
        <f>VLOOKUP(D496,upahbahan,3,FALSE)</f>
        <v>0</v>
      </c>
      <c r="H496" s="63">
        <f>F496*G496</f>
        <v>0</v>
      </c>
      <c r="I496" s="44"/>
    </row>
    <row r="497" spans="2:13" s="59" customFormat="1" ht="19.2" customHeight="1">
      <c r="C497" s="61">
        <v>3</v>
      </c>
      <c r="D497" s="56" t="s">
        <v>4566</v>
      </c>
      <c r="E497" s="93" t="s">
        <v>44</v>
      </c>
      <c r="F497" s="103">
        <v>0.83330000000000004</v>
      </c>
      <c r="G497" s="63">
        <f>VLOOKUP(D497,upahbahan,3,FALSE)</f>
        <v>830000</v>
      </c>
      <c r="H497" s="63">
        <f>F497*G497</f>
        <v>691639</v>
      </c>
      <c r="I497" s="44"/>
    </row>
    <row r="498" spans="2:13" s="59" customFormat="1" ht="19.2" customHeight="1">
      <c r="C498" s="450" t="s">
        <v>1214</v>
      </c>
      <c r="D498" s="67"/>
      <c r="E498" s="67"/>
      <c r="F498" s="67"/>
      <c r="G498" s="69"/>
      <c r="H498" s="63">
        <f>SUM(H495:H497)</f>
        <v>830689</v>
      </c>
      <c r="I498" s="44"/>
    </row>
    <row r="499" spans="2:13" s="59" customFormat="1" ht="19.2" customHeight="1">
      <c r="C499" s="61" t="s">
        <v>1215</v>
      </c>
      <c r="D499" s="56" t="s">
        <v>1216</v>
      </c>
      <c r="E499" s="93"/>
      <c r="F499" s="57"/>
      <c r="G499" s="57"/>
      <c r="H499" s="57"/>
      <c r="I499" s="44"/>
    </row>
    <row r="500" spans="2:13" s="59" customFormat="1" ht="19.2" customHeight="1">
      <c r="C500" s="800">
        <v>1</v>
      </c>
      <c r="D500" s="56" t="s">
        <v>1181</v>
      </c>
      <c r="E500" s="93" t="s">
        <v>1074</v>
      </c>
      <c r="F500" s="94">
        <v>0.3412</v>
      </c>
      <c r="G500" s="63">
        <f>VLOOKUP(D500,upahbahan,3,FALSE)</f>
        <v>1450000</v>
      </c>
      <c r="H500" s="63">
        <f>F500*G500</f>
        <v>494740</v>
      </c>
      <c r="I500" s="44"/>
    </row>
    <row r="501" spans="2:13" s="59" customFormat="1" ht="19.2" customHeight="1">
      <c r="C501" s="450" t="s">
        <v>1217</v>
      </c>
      <c r="D501" s="67"/>
      <c r="E501" s="67"/>
      <c r="F501" s="67"/>
      <c r="G501" s="69"/>
      <c r="H501" s="882">
        <f>SUM(H499:H500)</f>
        <v>494740</v>
      </c>
      <c r="I501" s="44"/>
    </row>
    <row r="502" spans="2:13" s="59" customFormat="1" ht="19.2" customHeight="1">
      <c r="C502" s="288" t="s">
        <v>1218</v>
      </c>
      <c r="D502" s="76" t="s">
        <v>1219</v>
      </c>
      <c r="E502" s="77"/>
      <c r="F502" s="77"/>
      <c r="G502" s="78"/>
      <c r="H502" s="585">
        <f>H501+H498+H493</f>
        <v>1518893</v>
      </c>
      <c r="I502" s="369"/>
    </row>
    <row r="503" spans="2:13" s="59" customFormat="1" ht="19.2" customHeight="1">
      <c r="C503" s="288" t="s">
        <v>1220</v>
      </c>
      <c r="D503" s="76" t="s">
        <v>1321</v>
      </c>
      <c r="E503" s="77"/>
      <c r="F503" s="78"/>
      <c r="G503" s="80">
        <v>0.1</v>
      </c>
      <c r="H503" s="63">
        <f>H502*G503</f>
        <v>151889.30000000002</v>
      </c>
      <c r="I503" s="369"/>
    </row>
    <row r="504" spans="2:13" s="59" customFormat="1" ht="19.2" customHeight="1">
      <c r="C504" s="288" t="s">
        <v>1221</v>
      </c>
      <c r="D504" s="76" t="s">
        <v>1222</v>
      </c>
      <c r="E504" s="77"/>
      <c r="F504" s="77"/>
      <c r="G504" s="78"/>
      <c r="H504" s="799">
        <f>SUM(H502:H503)</f>
        <v>1670782.3</v>
      </c>
      <c r="I504" s="369"/>
    </row>
    <row r="505" spans="2:13" ht="13.8">
      <c r="B505" s="59"/>
    </row>
    <row r="506" spans="2:13" s="59" customFormat="1" ht="17.399999999999999" customHeight="1">
      <c r="C506" s="46" t="s">
        <v>4567</v>
      </c>
      <c r="D506" s="1934" t="s">
        <v>4568</v>
      </c>
      <c r="E506" s="1934"/>
      <c r="F506" s="1934"/>
      <c r="G506" s="1934"/>
      <c r="H506" s="1934"/>
      <c r="I506" s="50">
        <f>ROUNDDOWN(H523,-2)</f>
        <v>1778400</v>
      </c>
    </row>
    <row r="507" spans="2:13" s="59" customFormat="1" ht="19.2" customHeight="1">
      <c r="C507" s="591" t="s">
        <v>1195</v>
      </c>
      <c r="D507" s="591" t="s">
        <v>1196</v>
      </c>
      <c r="E507" s="591" t="s">
        <v>1197</v>
      </c>
      <c r="F507" s="591" t="s">
        <v>1198</v>
      </c>
      <c r="G507" s="591" t="s">
        <v>1199</v>
      </c>
      <c r="H507" s="591" t="s">
        <v>1200</v>
      </c>
      <c r="I507" s="44"/>
    </row>
    <row r="508" spans="2:13" s="59" customFormat="1" ht="19.2" customHeight="1">
      <c r="C508" s="61" t="s">
        <v>1201</v>
      </c>
      <c r="D508" s="56" t="s">
        <v>1202</v>
      </c>
      <c r="E508" s="57"/>
      <c r="F508" s="57"/>
      <c r="G508" s="57"/>
      <c r="H508" s="57"/>
      <c r="I508" s="44"/>
      <c r="J508" s="152" t="s">
        <v>1247</v>
      </c>
    </row>
    <row r="509" spans="2:13" s="59" customFormat="1" ht="19.2" customHeight="1">
      <c r="C509" s="588">
        <v>1</v>
      </c>
      <c r="D509" s="56" t="s">
        <v>5</v>
      </c>
      <c r="E509" s="577" t="s">
        <v>1863</v>
      </c>
      <c r="F509" s="101">
        <v>1.3788</v>
      </c>
      <c r="G509" s="63">
        <f>VLOOKUP(D509,upahbahan,3,FALSE)</f>
        <v>100000</v>
      </c>
      <c r="H509" s="63">
        <f>F509*G509</f>
        <v>137880</v>
      </c>
      <c r="I509" s="44"/>
      <c r="J509" s="152" t="s">
        <v>1248</v>
      </c>
      <c r="M509" s="65">
        <v>0.1</v>
      </c>
    </row>
    <row r="510" spans="2:13" s="59" customFormat="1" ht="19.2" customHeight="1">
      <c r="C510" s="588">
        <v>2</v>
      </c>
      <c r="D510" s="56" t="s">
        <v>2165</v>
      </c>
      <c r="E510" s="577" t="s">
        <v>1863</v>
      </c>
      <c r="F510" s="101">
        <v>0.34470000000000001</v>
      </c>
      <c r="G510" s="63">
        <f>VLOOKUP(D510,upahbahan,3,FALSE)</f>
        <v>135000</v>
      </c>
      <c r="H510" s="63">
        <f t="shared" ref="H510:H511" si="26">F510*G510</f>
        <v>46534.5</v>
      </c>
      <c r="I510" s="44"/>
      <c r="J510" s="152"/>
      <c r="M510" s="65"/>
    </row>
    <row r="511" spans="2:13" s="59" customFormat="1" ht="19.2" customHeight="1">
      <c r="C511" s="588">
        <v>3</v>
      </c>
      <c r="D511" s="56" t="s">
        <v>19</v>
      </c>
      <c r="E511" s="577" t="s">
        <v>1863</v>
      </c>
      <c r="F511" s="101">
        <v>6.8900000000000003E-2</v>
      </c>
      <c r="G511" s="63">
        <f>VLOOKUP(D511,upahbahan,3,FALSE)</f>
        <v>160000</v>
      </c>
      <c r="H511" s="63">
        <f t="shared" si="26"/>
        <v>11024</v>
      </c>
      <c r="I511" s="44"/>
    </row>
    <row r="512" spans="2:13" s="59" customFormat="1" ht="19.2" customHeight="1">
      <c r="C512" s="450" t="s">
        <v>1208</v>
      </c>
      <c r="D512" s="67"/>
      <c r="E512" s="67"/>
      <c r="F512" s="142"/>
      <c r="G512" s="153"/>
      <c r="H512" s="63">
        <f>SUM(H509:H511)</f>
        <v>195438.5</v>
      </c>
      <c r="I512" s="154"/>
    </row>
    <row r="513" spans="2:10" s="59" customFormat="1" ht="19.2" customHeight="1">
      <c r="C513" s="61" t="s">
        <v>1209</v>
      </c>
      <c r="D513" s="56" t="s">
        <v>1210</v>
      </c>
      <c r="E513" s="57"/>
      <c r="F513" s="57"/>
      <c r="G513" s="57"/>
      <c r="H513" s="57"/>
      <c r="I513" s="44"/>
    </row>
    <row r="514" spans="2:10" s="59" customFormat="1" ht="19.2" customHeight="1">
      <c r="C514" s="61">
        <v>1</v>
      </c>
      <c r="D514" s="56" t="s">
        <v>4487</v>
      </c>
      <c r="E514" s="93" t="s">
        <v>42</v>
      </c>
      <c r="F514" s="103">
        <v>0.17249999999999999</v>
      </c>
      <c r="G514" s="63">
        <f>VLOOKUP(D514,upahbahan,3,FALSE)</f>
        <v>1236000</v>
      </c>
      <c r="H514" s="63">
        <f>F514*G514</f>
        <v>213209.99999999997</v>
      </c>
      <c r="I514" s="44"/>
    </row>
    <row r="515" spans="2:10" s="59" customFormat="1" ht="19.2" customHeight="1">
      <c r="C515" s="61">
        <v>2</v>
      </c>
      <c r="D515" s="56" t="s">
        <v>4488</v>
      </c>
      <c r="E515" s="93" t="s">
        <v>42</v>
      </c>
      <c r="F515" s="103">
        <v>0.34499999999999997</v>
      </c>
      <c r="G515" s="63">
        <f>VLOOKUP(D515,upahbahan,3,FALSE)</f>
        <v>0</v>
      </c>
      <c r="H515" s="63">
        <f>F515*G515</f>
        <v>0</v>
      </c>
      <c r="I515" s="44"/>
    </row>
    <row r="516" spans="2:10" s="59" customFormat="1" ht="19.2" customHeight="1">
      <c r="C516" s="61">
        <v>3</v>
      </c>
      <c r="D516" s="56" t="s">
        <v>4569</v>
      </c>
      <c r="E516" s="93" t="s">
        <v>44</v>
      </c>
      <c r="F516" s="103">
        <v>0.83330000000000004</v>
      </c>
      <c r="G516" s="63">
        <f>VLOOKUP(D516,upahbahan,3,FALSE)</f>
        <v>850000</v>
      </c>
      <c r="H516" s="63">
        <f>F516*G516</f>
        <v>708305</v>
      </c>
      <c r="I516" s="44"/>
    </row>
    <row r="517" spans="2:10" s="59" customFormat="1" ht="19.2" customHeight="1">
      <c r="C517" s="450" t="s">
        <v>1214</v>
      </c>
      <c r="D517" s="67"/>
      <c r="E517" s="67"/>
      <c r="F517" s="67"/>
      <c r="G517" s="69"/>
      <c r="H517" s="63">
        <f>SUM(H514:H516)</f>
        <v>921515</v>
      </c>
      <c r="I517" s="44"/>
    </row>
    <row r="518" spans="2:10" s="59" customFormat="1" ht="19.2" customHeight="1">
      <c r="C518" s="61" t="s">
        <v>1215</v>
      </c>
      <c r="D518" s="56" t="s">
        <v>1216</v>
      </c>
      <c r="E518" s="93"/>
      <c r="F518" s="57"/>
      <c r="G518" s="57"/>
      <c r="H518" s="57"/>
      <c r="I518" s="44"/>
    </row>
    <row r="519" spans="2:10" s="59" customFormat="1" ht="19.2" customHeight="1">
      <c r="C519" s="800">
        <v>1</v>
      </c>
      <c r="D519" s="56" t="s">
        <v>1181</v>
      </c>
      <c r="E519" s="93" t="s">
        <v>1074</v>
      </c>
      <c r="F519" s="94">
        <v>0.34470000000000001</v>
      </c>
      <c r="G519" s="63">
        <f>VLOOKUP(D519,upahbahan,3,FALSE)</f>
        <v>1450000</v>
      </c>
      <c r="H519" s="63">
        <f>F519*G519</f>
        <v>499815</v>
      </c>
      <c r="I519" s="44"/>
    </row>
    <row r="520" spans="2:10" s="59" customFormat="1" ht="19.2" customHeight="1">
      <c r="C520" s="450" t="s">
        <v>1217</v>
      </c>
      <c r="D520" s="67"/>
      <c r="E520" s="67"/>
      <c r="F520" s="67"/>
      <c r="G520" s="69"/>
      <c r="H520" s="882">
        <f>SUM(H518:H519)</f>
        <v>499815</v>
      </c>
      <c r="I520" s="44"/>
    </row>
    <row r="521" spans="2:10" s="59" customFormat="1" ht="19.2" customHeight="1">
      <c r="C521" s="288" t="s">
        <v>1218</v>
      </c>
      <c r="D521" s="76" t="s">
        <v>1219</v>
      </c>
      <c r="E521" s="77"/>
      <c r="F521" s="77"/>
      <c r="G521" s="78"/>
      <c r="H521" s="585">
        <f>H520+H517+H512</f>
        <v>1616768.5</v>
      </c>
      <c r="I521" s="369"/>
    </row>
    <row r="522" spans="2:10" s="59" customFormat="1" ht="19.2" customHeight="1">
      <c r="C522" s="288" t="s">
        <v>1220</v>
      </c>
      <c r="D522" s="76" t="s">
        <v>1321</v>
      </c>
      <c r="E522" s="77"/>
      <c r="F522" s="78"/>
      <c r="G522" s="80">
        <v>0.1</v>
      </c>
      <c r="H522" s="63">
        <f>H521*G522</f>
        <v>161676.85</v>
      </c>
      <c r="I522" s="369"/>
    </row>
    <row r="523" spans="2:10" s="59" customFormat="1" ht="19.2" customHeight="1">
      <c r="C523" s="288" t="s">
        <v>1221</v>
      </c>
      <c r="D523" s="76" t="s">
        <v>1222</v>
      </c>
      <c r="E523" s="77"/>
      <c r="F523" s="77"/>
      <c r="G523" s="78"/>
      <c r="H523" s="799">
        <f>SUM(H521:H522)</f>
        <v>1778445.35</v>
      </c>
      <c r="I523" s="369"/>
    </row>
    <row r="524" spans="2:10" ht="13.8">
      <c r="B524" s="59"/>
    </row>
    <row r="525" spans="2:10" ht="13.8">
      <c r="B525" s="59"/>
      <c r="C525" s="43" t="s">
        <v>4570</v>
      </c>
      <c r="D525" s="128" t="s">
        <v>4571</v>
      </c>
    </row>
    <row r="526" spans="2:10" s="59" customFormat="1" ht="17.399999999999999" customHeight="1">
      <c r="C526" s="46" t="s">
        <v>4572</v>
      </c>
      <c r="D526" s="1934" t="s">
        <v>4573</v>
      </c>
      <c r="E526" s="1934"/>
      <c r="F526" s="1934"/>
      <c r="G526" s="1934"/>
      <c r="H526" s="1934"/>
      <c r="I526" s="50">
        <f>ROUNDDOWN(H543,-2)</f>
        <v>408900</v>
      </c>
    </row>
    <row r="527" spans="2:10" s="59" customFormat="1" ht="19.2" customHeight="1">
      <c r="C527" s="591" t="s">
        <v>1195</v>
      </c>
      <c r="D527" s="591" t="s">
        <v>1196</v>
      </c>
      <c r="E527" s="591" t="s">
        <v>1197</v>
      </c>
      <c r="F527" s="591" t="s">
        <v>1198</v>
      </c>
      <c r="G527" s="591" t="s">
        <v>1199</v>
      </c>
      <c r="H527" s="591" t="s">
        <v>1200</v>
      </c>
      <c r="I527" s="44"/>
    </row>
    <row r="528" spans="2:10" s="59" customFormat="1" ht="19.2" customHeight="1">
      <c r="C528" s="61" t="s">
        <v>1201</v>
      </c>
      <c r="D528" s="56" t="s">
        <v>1202</v>
      </c>
      <c r="E528" s="57"/>
      <c r="F528" s="57"/>
      <c r="G528" s="57"/>
      <c r="H528" s="57"/>
      <c r="I528" s="44"/>
      <c r="J528" s="152" t="s">
        <v>1247</v>
      </c>
    </row>
    <row r="529" spans="2:13" s="59" customFormat="1" ht="19.2" customHeight="1">
      <c r="C529" s="588">
        <v>1</v>
      </c>
      <c r="D529" s="56" t="s">
        <v>5</v>
      </c>
      <c r="E529" s="577" t="s">
        <v>1863</v>
      </c>
      <c r="F529" s="101">
        <v>9.7600000000000006E-2</v>
      </c>
      <c r="G529" s="63">
        <f>VLOOKUP(D529,upahbahan,3,FALSE)</f>
        <v>100000</v>
      </c>
      <c r="H529" s="63">
        <f>F529*G529</f>
        <v>9760</v>
      </c>
      <c r="I529" s="44"/>
      <c r="J529" s="152" t="s">
        <v>1248</v>
      </c>
      <c r="M529" s="65">
        <v>0.1</v>
      </c>
    </row>
    <row r="530" spans="2:13" s="59" customFormat="1" ht="19.2" customHeight="1">
      <c r="C530" s="588">
        <v>2</v>
      </c>
      <c r="D530" s="56" t="s">
        <v>2165</v>
      </c>
      <c r="E530" s="577" t="s">
        <v>1863</v>
      </c>
      <c r="F530" s="101">
        <v>9.7600000000000006E-2</v>
      </c>
      <c r="G530" s="63">
        <f>VLOOKUP(D530,upahbahan,3,FALSE)</f>
        <v>135000</v>
      </c>
      <c r="H530" s="63">
        <f t="shared" ref="H530:H531" si="27">F530*G530</f>
        <v>13176</v>
      </c>
      <c r="I530" s="44"/>
      <c r="J530" s="152"/>
      <c r="M530" s="65"/>
    </row>
    <row r="531" spans="2:13" s="59" customFormat="1" ht="19.2" customHeight="1">
      <c r="C531" s="588">
        <v>3</v>
      </c>
      <c r="D531" s="56" t="s">
        <v>19</v>
      </c>
      <c r="E531" s="577" t="s">
        <v>1863</v>
      </c>
      <c r="F531" s="101">
        <v>4.8999999999999998E-3</v>
      </c>
      <c r="G531" s="63">
        <f>VLOOKUP(D531,upahbahan,3,FALSE)</f>
        <v>160000</v>
      </c>
      <c r="H531" s="63">
        <f t="shared" si="27"/>
        <v>784</v>
      </c>
      <c r="I531" s="44"/>
    </row>
    <row r="532" spans="2:13" s="59" customFormat="1" ht="19.2" customHeight="1">
      <c r="C532" s="450" t="s">
        <v>1208</v>
      </c>
      <c r="D532" s="67"/>
      <c r="E532" s="67"/>
      <c r="F532" s="142"/>
      <c r="G532" s="153"/>
      <c r="H532" s="63">
        <f>SUM(H529:H531)</f>
        <v>23720</v>
      </c>
      <c r="I532" s="154"/>
    </row>
    <row r="533" spans="2:13" s="59" customFormat="1" ht="19.2" customHeight="1">
      <c r="C533" s="61" t="s">
        <v>1209</v>
      </c>
      <c r="D533" s="56" t="s">
        <v>1210</v>
      </c>
      <c r="E533" s="57"/>
      <c r="F533" s="57"/>
      <c r="G533" s="57"/>
      <c r="H533" s="57"/>
      <c r="I533" s="44"/>
    </row>
    <row r="534" spans="2:13" s="59" customFormat="1" ht="19.2" customHeight="1">
      <c r="C534" s="61">
        <v>1</v>
      </c>
      <c r="D534" s="56" t="s">
        <v>4574</v>
      </c>
      <c r="E534" s="93" t="s">
        <v>42</v>
      </c>
      <c r="F534" s="103">
        <v>2.5000000000000001E-2</v>
      </c>
      <c r="G534" s="63">
        <f>VLOOKUP(D534,upahbahan,3,FALSE)</f>
        <v>928000</v>
      </c>
      <c r="H534" s="63">
        <f>F534*G534</f>
        <v>23200</v>
      </c>
      <c r="I534" s="44"/>
    </row>
    <row r="535" spans="2:13" s="59" customFormat="1" ht="19.2" customHeight="1">
      <c r="C535" s="61">
        <v>2</v>
      </c>
      <c r="D535" s="56" t="s">
        <v>4488</v>
      </c>
      <c r="E535" s="93" t="s">
        <v>42</v>
      </c>
      <c r="F535" s="103">
        <v>0.05</v>
      </c>
      <c r="G535" s="63">
        <f>VLOOKUP(D535,upahbahan,3,FALSE)</f>
        <v>0</v>
      </c>
      <c r="H535" s="63">
        <f>F535*G535</f>
        <v>0</v>
      </c>
      <c r="I535" s="44"/>
    </row>
    <row r="536" spans="2:13" s="59" customFormat="1" ht="19.2" customHeight="1">
      <c r="C536" s="61">
        <v>3</v>
      </c>
      <c r="D536" s="56" t="s">
        <v>4489</v>
      </c>
      <c r="E536" s="93" t="s">
        <v>44</v>
      </c>
      <c r="F536" s="103">
        <v>0.83330000000000004</v>
      </c>
      <c r="G536" s="63">
        <f>VLOOKUP(D536,upahbahan,3,FALSE)</f>
        <v>220000</v>
      </c>
      <c r="H536" s="63">
        <f>F536*G536</f>
        <v>183326</v>
      </c>
      <c r="I536" s="44"/>
    </row>
    <row r="537" spans="2:13" s="59" customFormat="1" ht="19.2" customHeight="1">
      <c r="C537" s="450" t="s">
        <v>1214</v>
      </c>
      <c r="D537" s="67"/>
      <c r="E537" s="67"/>
      <c r="F537" s="67"/>
      <c r="G537" s="69"/>
      <c r="H537" s="63">
        <f>SUM(H534:H536)</f>
        <v>206526</v>
      </c>
      <c r="I537" s="44"/>
    </row>
    <row r="538" spans="2:13" s="59" customFormat="1" ht="19.2" customHeight="1">
      <c r="C538" s="61" t="s">
        <v>1215</v>
      </c>
      <c r="D538" s="56" t="s">
        <v>1216</v>
      </c>
      <c r="E538" s="93"/>
      <c r="F538" s="57"/>
      <c r="G538" s="57"/>
      <c r="H538" s="57"/>
      <c r="I538" s="44"/>
    </row>
    <row r="539" spans="2:13" s="59" customFormat="1" ht="19.2" customHeight="1">
      <c r="C539" s="800">
        <v>1</v>
      </c>
      <c r="D539" s="56" t="s">
        <v>1181</v>
      </c>
      <c r="E539" s="93" t="s">
        <v>1074</v>
      </c>
      <c r="F539" s="94">
        <v>9.7600000000000006E-2</v>
      </c>
      <c r="G539" s="63">
        <f>VLOOKUP(D539,upahbahan,3,FALSE)</f>
        <v>1450000</v>
      </c>
      <c r="H539" s="63">
        <f>F539*G539</f>
        <v>141520</v>
      </c>
      <c r="I539" s="44"/>
    </row>
    <row r="540" spans="2:13" s="59" customFormat="1" ht="19.2" customHeight="1">
      <c r="C540" s="450" t="s">
        <v>1217</v>
      </c>
      <c r="D540" s="67"/>
      <c r="E540" s="67"/>
      <c r="F540" s="67"/>
      <c r="G540" s="69"/>
      <c r="H540" s="882">
        <f>SUM(H538:H539)</f>
        <v>141520</v>
      </c>
      <c r="I540" s="44"/>
    </row>
    <row r="541" spans="2:13" s="59" customFormat="1" ht="19.2" customHeight="1">
      <c r="C541" s="288" t="s">
        <v>1218</v>
      </c>
      <c r="D541" s="76" t="s">
        <v>1219</v>
      </c>
      <c r="E541" s="77"/>
      <c r="F541" s="77"/>
      <c r="G541" s="78"/>
      <c r="H541" s="585">
        <f>H540+H537+H532</f>
        <v>371766</v>
      </c>
      <c r="I541" s="369"/>
    </row>
    <row r="542" spans="2:13" s="59" customFormat="1" ht="19.2" customHeight="1">
      <c r="C542" s="288" t="s">
        <v>1220</v>
      </c>
      <c r="D542" s="76" t="s">
        <v>1321</v>
      </c>
      <c r="E542" s="77"/>
      <c r="F542" s="78"/>
      <c r="G542" s="80">
        <v>0.1</v>
      </c>
      <c r="H542" s="63">
        <f>H541*G542</f>
        <v>37176.6</v>
      </c>
      <c r="I542" s="369"/>
    </row>
    <row r="543" spans="2:13" s="59" customFormat="1" ht="19.2" customHeight="1">
      <c r="C543" s="288" t="s">
        <v>1221</v>
      </c>
      <c r="D543" s="76" t="s">
        <v>1222</v>
      </c>
      <c r="E543" s="77"/>
      <c r="F543" s="77"/>
      <c r="G543" s="78"/>
      <c r="H543" s="799">
        <f>SUM(H541:H542)</f>
        <v>408942.6</v>
      </c>
      <c r="I543" s="369"/>
    </row>
    <row r="544" spans="2:13" ht="13.8">
      <c r="B544" s="59"/>
    </row>
    <row r="545" spans="3:13" s="59" customFormat="1" ht="17.399999999999999" customHeight="1">
      <c r="C545" s="46" t="s">
        <v>4575</v>
      </c>
      <c r="D545" s="1934" t="s">
        <v>4576</v>
      </c>
      <c r="E545" s="1934"/>
      <c r="F545" s="1934"/>
      <c r="G545" s="1934"/>
      <c r="H545" s="1934"/>
      <c r="I545" s="50">
        <f>ROUNDDOWN(H562,-2)</f>
        <v>456100</v>
      </c>
    </row>
    <row r="546" spans="3:13" s="59" customFormat="1" ht="17.399999999999999" customHeight="1">
      <c r="C546" s="591" t="s">
        <v>1195</v>
      </c>
      <c r="D546" s="591" t="s">
        <v>1196</v>
      </c>
      <c r="E546" s="591" t="s">
        <v>1197</v>
      </c>
      <c r="F546" s="591" t="s">
        <v>1198</v>
      </c>
      <c r="G546" s="591" t="s">
        <v>1199</v>
      </c>
      <c r="H546" s="591" t="s">
        <v>1200</v>
      </c>
      <c r="I546" s="44"/>
    </row>
    <row r="547" spans="3:13" s="59" customFormat="1" ht="19.2" customHeight="1">
      <c r="C547" s="61" t="s">
        <v>1201</v>
      </c>
      <c r="D547" s="56" t="s">
        <v>1202</v>
      </c>
      <c r="E547" s="57"/>
      <c r="F547" s="57"/>
      <c r="G547" s="57"/>
      <c r="H547" s="57"/>
      <c r="I547" s="44"/>
      <c r="J547" s="152" t="s">
        <v>1247</v>
      </c>
    </row>
    <row r="548" spans="3:13" s="59" customFormat="1" ht="19.2" customHeight="1">
      <c r="C548" s="588">
        <v>1</v>
      </c>
      <c r="D548" s="56" t="s">
        <v>5</v>
      </c>
      <c r="E548" s="577" t="s">
        <v>1863</v>
      </c>
      <c r="F548" s="101">
        <v>0.11310000000000001</v>
      </c>
      <c r="G548" s="63">
        <f>VLOOKUP(D548,upahbahan,3,FALSE)</f>
        <v>100000</v>
      </c>
      <c r="H548" s="63">
        <f>F548*G548</f>
        <v>11310</v>
      </c>
      <c r="I548" s="44"/>
      <c r="J548" s="152" t="s">
        <v>1248</v>
      </c>
      <c r="M548" s="65">
        <v>0.1</v>
      </c>
    </row>
    <row r="549" spans="3:13" s="59" customFormat="1" ht="19.2" customHeight="1">
      <c r="C549" s="588">
        <v>2</v>
      </c>
      <c r="D549" s="56" t="s">
        <v>2165</v>
      </c>
      <c r="E549" s="577" t="s">
        <v>1863</v>
      </c>
      <c r="F549" s="101">
        <v>0.11310000000000001</v>
      </c>
      <c r="G549" s="63">
        <f>VLOOKUP(D549,upahbahan,3,FALSE)</f>
        <v>135000</v>
      </c>
      <c r="H549" s="63">
        <f t="shared" ref="H549:H550" si="28">F549*G549</f>
        <v>15268.5</v>
      </c>
      <c r="I549" s="44"/>
      <c r="J549" s="152"/>
      <c r="M549" s="65"/>
    </row>
    <row r="550" spans="3:13" s="59" customFormat="1" ht="19.2" customHeight="1">
      <c r="C550" s="588">
        <v>3</v>
      </c>
      <c r="D550" s="56" t="s">
        <v>19</v>
      </c>
      <c r="E550" s="577" t="s">
        <v>1863</v>
      </c>
      <c r="F550" s="101">
        <v>5.7000000000000002E-3</v>
      </c>
      <c r="G550" s="63">
        <f>VLOOKUP(D550,upahbahan,3,FALSE)</f>
        <v>160000</v>
      </c>
      <c r="H550" s="63">
        <f t="shared" si="28"/>
        <v>912</v>
      </c>
      <c r="I550" s="44"/>
    </row>
    <row r="551" spans="3:13" s="59" customFormat="1" ht="19.2" customHeight="1">
      <c r="C551" s="450" t="s">
        <v>1208</v>
      </c>
      <c r="D551" s="67"/>
      <c r="E551" s="67"/>
      <c r="F551" s="142"/>
      <c r="G551" s="153"/>
      <c r="H551" s="63">
        <f>SUM(H548:H550)</f>
        <v>27490.5</v>
      </c>
      <c r="I551" s="154"/>
    </row>
    <row r="552" spans="3:13" s="59" customFormat="1" ht="19.2" customHeight="1">
      <c r="C552" s="61" t="s">
        <v>1209</v>
      </c>
      <c r="D552" s="56" t="s">
        <v>1210</v>
      </c>
      <c r="E552" s="57"/>
      <c r="F552" s="57"/>
      <c r="G552" s="57"/>
      <c r="H552" s="57"/>
      <c r="I552" s="44"/>
    </row>
    <row r="553" spans="3:13" s="59" customFormat="1" ht="19.2" customHeight="1">
      <c r="C553" s="61">
        <v>1</v>
      </c>
      <c r="D553" s="56" t="s">
        <v>4574</v>
      </c>
      <c r="E553" s="93" t="s">
        <v>42</v>
      </c>
      <c r="F553" s="103">
        <v>2.5000000000000001E-2</v>
      </c>
      <c r="G553" s="63">
        <f>VLOOKUP(D553,upahbahan,3,FALSE)</f>
        <v>928000</v>
      </c>
      <c r="H553" s="63">
        <f>F553*G553</f>
        <v>23200</v>
      </c>
      <c r="I553" s="44"/>
    </row>
    <row r="554" spans="3:13" s="59" customFormat="1" ht="19.2" customHeight="1">
      <c r="C554" s="61">
        <v>2</v>
      </c>
      <c r="D554" s="56" t="s">
        <v>4488</v>
      </c>
      <c r="E554" s="93" t="s">
        <v>42</v>
      </c>
      <c r="F554" s="103">
        <v>0.05</v>
      </c>
      <c r="G554" s="63">
        <f>VLOOKUP(D554,upahbahan,3,FALSE)</f>
        <v>0</v>
      </c>
      <c r="H554" s="63">
        <f>F554*G554</f>
        <v>0</v>
      </c>
      <c r="I554" s="44"/>
    </row>
    <row r="555" spans="3:13" s="59" customFormat="1" ht="19.2" customHeight="1">
      <c r="C555" s="61">
        <v>3</v>
      </c>
      <c r="D555" s="56" t="s">
        <v>4495</v>
      </c>
      <c r="E555" s="93" t="s">
        <v>44</v>
      </c>
      <c r="F555" s="103">
        <v>0.83330000000000004</v>
      </c>
      <c r="G555" s="63">
        <f>VLOOKUP(D555,upahbahan,3,FALSE)</f>
        <v>240000</v>
      </c>
      <c r="H555" s="63">
        <f>F555*G555</f>
        <v>199992</v>
      </c>
      <c r="I555" s="44"/>
    </row>
    <row r="556" spans="3:13" s="59" customFormat="1" ht="19.2" customHeight="1">
      <c r="C556" s="450" t="s">
        <v>1214</v>
      </c>
      <c r="D556" s="67"/>
      <c r="E556" s="67"/>
      <c r="F556" s="67"/>
      <c r="G556" s="69"/>
      <c r="H556" s="63">
        <f>SUM(H553:H555)</f>
        <v>223192</v>
      </c>
      <c r="I556" s="44"/>
    </row>
    <row r="557" spans="3:13" s="59" customFormat="1" ht="19.2" customHeight="1">
      <c r="C557" s="61" t="s">
        <v>1215</v>
      </c>
      <c r="D557" s="56" t="s">
        <v>1216</v>
      </c>
      <c r="E557" s="93"/>
      <c r="F557" s="57"/>
      <c r="G557" s="57"/>
      <c r="H557" s="57"/>
      <c r="I557" s="44"/>
    </row>
    <row r="558" spans="3:13" s="59" customFormat="1" ht="19.2" customHeight="1">
      <c r="C558" s="800">
        <v>1</v>
      </c>
      <c r="D558" s="56" t="s">
        <v>1181</v>
      </c>
      <c r="E558" s="93" t="s">
        <v>1074</v>
      </c>
      <c r="F558" s="94">
        <v>0.11310000000000001</v>
      </c>
      <c r="G558" s="63">
        <f>VLOOKUP(D558,upahbahan,3,FALSE)</f>
        <v>1450000</v>
      </c>
      <c r="H558" s="63">
        <f>F558*G558</f>
        <v>163995</v>
      </c>
      <c r="I558" s="44"/>
    </row>
    <row r="559" spans="3:13" s="59" customFormat="1" ht="19.2" customHeight="1">
      <c r="C559" s="450" t="s">
        <v>1217</v>
      </c>
      <c r="D559" s="67"/>
      <c r="E559" s="67"/>
      <c r="F559" s="67"/>
      <c r="G559" s="69"/>
      <c r="H559" s="882">
        <f>SUM(H557:H558)</f>
        <v>163995</v>
      </c>
      <c r="I559" s="44"/>
    </row>
    <row r="560" spans="3:13" s="59" customFormat="1" ht="19.2" customHeight="1">
      <c r="C560" s="288" t="s">
        <v>1218</v>
      </c>
      <c r="D560" s="76" t="s">
        <v>1219</v>
      </c>
      <c r="E560" s="77"/>
      <c r="F560" s="77"/>
      <c r="G560" s="78"/>
      <c r="H560" s="585">
        <f>H559+H556+H551</f>
        <v>414677.5</v>
      </c>
      <c r="I560" s="369"/>
    </row>
    <row r="561" spans="3:13" s="59" customFormat="1" ht="19.2" customHeight="1">
      <c r="C561" s="288" t="s">
        <v>1220</v>
      </c>
      <c r="D561" s="76" t="s">
        <v>1321</v>
      </c>
      <c r="E561" s="77"/>
      <c r="F561" s="78"/>
      <c r="G561" s="80">
        <v>0.1</v>
      </c>
      <c r="H561" s="63">
        <f>H560*G561</f>
        <v>41467.75</v>
      </c>
      <c r="I561" s="369"/>
    </row>
    <row r="562" spans="3:13" s="59" customFormat="1" ht="19.2" customHeight="1">
      <c r="C562" s="288" t="s">
        <v>1221</v>
      </c>
      <c r="D562" s="76" t="s">
        <v>1222</v>
      </c>
      <c r="E562" s="77"/>
      <c r="F562" s="77"/>
      <c r="G562" s="78"/>
      <c r="H562" s="799">
        <f>SUM(H560:H561)</f>
        <v>456145.25</v>
      </c>
      <c r="I562" s="369"/>
    </row>
    <row r="564" spans="3:13" s="59" customFormat="1" ht="17.399999999999999" customHeight="1">
      <c r="C564" s="46" t="s">
        <v>4577</v>
      </c>
      <c r="D564" s="1934" t="s">
        <v>4578</v>
      </c>
      <c r="E564" s="1934"/>
      <c r="F564" s="1934"/>
      <c r="G564" s="1934"/>
      <c r="H564" s="1934"/>
      <c r="I564" s="50">
        <f>ROUNDDOWN(H581,-2)</f>
        <v>513600</v>
      </c>
    </row>
    <row r="565" spans="3:13" s="59" customFormat="1" ht="19.2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  <c r="I565" s="44"/>
    </row>
    <row r="566" spans="3:13" s="59" customFormat="1" ht="19.2" customHeight="1">
      <c r="C566" s="61" t="s">
        <v>1201</v>
      </c>
      <c r="D566" s="56" t="s">
        <v>1202</v>
      </c>
      <c r="E566" s="57"/>
      <c r="F566" s="57"/>
      <c r="G566" s="57"/>
      <c r="H566" s="57"/>
      <c r="I566" s="44"/>
      <c r="J566" s="152" t="s">
        <v>1247</v>
      </c>
    </row>
    <row r="567" spans="3:13" s="59" customFormat="1" ht="19.2" customHeight="1">
      <c r="C567" s="588">
        <v>1</v>
      </c>
      <c r="D567" s="56" t="s">
        <v>5</v>
      </c>
      <c r="E567" s="577" t="s">
        <v>1863</v>
      </c>
      <c r="F567" s="101">
        <v>0.12509999999999999</v>
      </c>
      <c r="G567" s="63">
        <f>VLOOKUP(D567,upahbahan,3,FALSE)</f>
        <v>100000</v>
      </c>
      <c r="H567" s="63">
        <f>F567*G567</f>
        <v>12509.999999999998</v>
      </c>
      <c r="I567" s="44"/>
      <c r="J567" s="152" t="s">
        <v>1248</v>
      </c>
      <c r="M567" s="65">
        <v>0.1</v>
      </c>
    </row>
    <row r="568" spans="3:13" s="59" customFormat="1" ht="19.2" customHeight="1">
      <c r="C568" s="588">
        <v>2</v>
      </c>
      <c r="D568" s="56" t="s">
        <v>2165</v>
      </c>
      <c r="E568" s="577" t="s">
        <v>1863</v>
      </c>
      <c r="F568" s="101">
        <v>0.12509999999999999</v>
      </c>
      <c r="G568" s="63">
        <f>VLOOKUP(D568,upahbahan,3,FALSE)</f>
        <v>135000</v>
      </c>
      <c r="H568" s="63">
        <f t="shared" ref="H568:H569" si="29">F568*G568</f>
        <v>16888.5</v>
      </c>
      <c r="I568" s="44"/>
      <c r="J568" s="152"/>
      <c r="M568" s="65"/>
    </row>
    <row r="569" spans="3:13" s="59" customFormat="1" ht="19.2" customHeight="1">
      <c r="C569" s="588">
        <v>3</v>
      </c>
      <c r="D569" s="56" t="s">
        <v>19</v>
      </c>
      <c r="E569" s="577" t="s">
        <v>1863</v>
      </c>
      <c r="F569" s="101">
        <v>6.3E-3</v>
      </c>
      <c r="G569" s="63">
        <f>VLOOKUP(D569,upahbahan,3,FALSE)</f>
        <v>160000</v>
      </c>
      <c r="H569" s="63">
        <f t="shared" si="29"/>
        <v>1008</v>
      </c>
      <c r="I569" s="44"/>
    </row>
    <row r="570" spans="3:13" s="59" customFormat="1" ht="19.2" customHeight="1">
      <c r="C570" s="450" t="s">
        <v>1208</v>
      </c>
      <c r="D570" s="67"/>
      <c r="E570" s="67"/>
      <c r="F570" s="142"/>
      <c r="G570" s="153"/>
      <c r="H570" s="63">
        <f>SUM(H567:H569)</f>
        <v>30406.5</v>
      </c>
      <c r="I570" s="154"/>
    </row>
    <row r="571" spans="3:13" s="59" customFormat="1" ht="19.2" customHeight="1">
      <c r="C571" s="61" t="s">
        <v>1209</v>
      </c>
      <c r="D571" s="56" t="s">
        <v>1210</v>
      </c>
      <c r="E571" s="57"/>
      <c r="F571" s="57"/>
      <c r="G571" s="57"/>
      <c r="H571" s="57"/>
      <c r="I571" s="44"/>
    </row>
    <row r="572" spans="3:13" s="59" customFormat="1" ht="19.2" customHeight="1">
      <c r="C572" s="61">
        <v>1</v>
      </c>
      <c r="D572" s="56" t="s">
        <v>4574</v>
      </c>
      <c r="E572" s="93" t="s">
        <v>42</v>
      </c>
      <c r="F572" s="103">
        <v>3.2500000000000001E-2</v>
      </c>
      <c r="G572" s="63">
        <f>VLOOKUP(D572,upahbahan,3,FALSE)</f>
        <v>928000</v>
      </c>
      <c r="H572" s="63">
        <f>F572*G572</f>
        <v>30160</v>
      </c>
      <c r="I572" s="44"/>
    </row>
    <row r="573" spans="3:13" s="59" customFormat="1" ht="19.2" customHeight="1">
      <c r="C573" s="61">
        <v>2</v>
      </c>
      <c r="D573" s="56" t="s">
        <v>4488</v>
      </c>
      <c r="E573" s="93" t="s">
        <v>42</v>
      </c>
      <c r="F573" s="103">
        <v>6.5000000000000002E-2</v>
      </c>
      <c r="G573" s="63">
        <f>VLOOKUP(D573,upahbahan,3,FALSE)</f>
        <v>0</v>
      </c>
      <c r="H573" s="63">
        <f>F573*G573</f>
        <v>0</v>
      </c>
      <c r="I573" s="44"/>
    </row>
    <row r="574" spans="3:13" s="59" customFormat="1" ht="19.2" customHeight="1">
      <c r="C574" s="61">
        <v>3</v>
      </c>
      <c r="D574" s="56" t="s">
        <v>4498</v>
      </c>
      <c r="E574" s="93" t="s">
        <v>44</v>
      </c>
      <c r="F574" s="103">
        <v>0.83330000000000004</v>
      </c>
      <c r="G574" s="63">
        <f>VLOOKUP(D574,upahbahan,3,FALSE)</f>
        <v>270000</v>
      </c>
      <c r="H574" s="63">
        <f>F574*G574</f>
        <v>224991</v>
      </c>
      <c r="I574" s="44"/>
    </row>
    <row r="575" spans="3:13" s="59" customFormat="1" ht="19.2" customHeight="1">
      <c r="C575" s="450" t="s">
        <v>1214</v>
      </c>
      <c r="D575" s="67"/>
      <c r="E575" s="67"/>
      <c r="F575" s="67"/>
      <c r="G575" s="69"/>
      <c r="H575" s="63">
        <f>SUM(H572:H574)</f>
        <v>255151</v>
      </c>
      <c r="I575" s="44"/>
    </row>
    <row r="576" spans="3:13" s="59" customFormat="1" ht="19.2" customHeight="1">
      <c r="C576" s="61" t="s">
        <v>1215</v>
      </c>
      <c r="D576" s="56" t="s">
        <v>1216</v>
      </c>
      <c r="E576" s="93"/>
      <c r="F576" s="57"/>
      <c r="G576" s="57"/>
      <c r="H576" s="57"/>
      <c r="I576" s="44"/>
    </row>
    <row r="577" spans="3:13" s="59" customFormat="1" ht="19.2" customHeight="1">
      <c r="C577" s="800">
        <v>1</v>
      </c>
      <c r="D577" s="56" t="s">
        <v>1181</v>
      </c>
      <c r="E577" s="93" t="s">
        <v>1074</v>
      </c>
      <c r="F577" s="94">
        <v>0.12509999999999999</v>
      </c>
      <c r="G577" s="63">
        <f>VLOOKUP(D577,upahbahan,3,FALSE)</f>
        <v>1450000</v>
      </c>
      <c r="H577" s="63">
        <f>F577*G577</f>
        <v>181394.99999999997</v>
      </c>
      <c r="I577" s="44"/>
    </row>
    <row r="578" spans="3:13" s="59" customFormat="1" ht="19.2" customHeight="1">
      <c r="C578" s="450" t="s">
        <v>1217</v>
      </c>
      <c r="D578" s="67"/>
      <c r="E578" s="67"/>
      <c r="F578" s="67"/>
      <c r="G578" s="69"/>
      <c r="H578" s="882">
        <f>SUM(H576:H577)</f>
        <v>181394.99999999997</v>
      </c>
      <c r="I578" s="44"/>
    </row>
    <row r="579" spans="3:13" s="59" customFormat="1" ht="19.2" customHeight="1">
      <c r="C579" s="288" t="s">
        <v>1218</v>
      </c>
      <c r="D579" s="76" t="s">
        <v>1219</v>
      </c>
      <c r="E579" s="77"/>
      <c r="F579" s="77"/>
      <c r="G579" s="78"/>
      <c r="H579" s="585">
        <f>H578+H575+H570</f>
        <v>466952.5</v>
      </c>
      <c r="I579" s="369"/>
    </row>
    <row r="580" spans="3:13" s="59" customFormat="1" ht="19.2" customHeight="1">
      <c r="C580" s="288" t="s">
        <v>1220</v>
      </c>
      <c r="D580" s="76" t="s">
        <v>1321</v>
      </c>
      <c r="E580" s="77"/>
      <c r="F580" s="78"/>
      <c r="G580" s="80">
        <v>0.1</v>
      </c>
      <c r="H580" s="63">
        <f>H579*G580</f>
        <v>46695.25</v>
      </c>
      <c r="I580" s="369"/>
    </row>
    <row r="581" spans="3:13" s="59" customFormat="1" ht="19.2" customHeight="1">
      <c r="C581" s="288" t="s">
        <v>1221</v>
      </c>
      <c r="D581" s="76" t="s">
        <v>1222</v>
      </c>
      <c r="E581" s="77"/>
      <c r="F581" s="77"/>
      <c r="G581" s="78"/>
      <c r="H581" s="799">
        <f>SUM(H579:H580)</f>
        <v>513647.75</v>
      </c>
      <c r="I581" s="369"/>
    </row>
    <row r="583" spans="3:13" s="59" customFormat="1" ht="17.399999999999999" customHeight="1">
      <c r="C583" s="46" t="s">
        <v>4579</v>
      </c>
      <c r="D583" s="1934" t="s">
        <v>4580</v>
      </c>
      <c r="E583" s="1934"/>
      <c r="F583" s="1934"/>
      <c r="G583" s="1934"/>
      <c r="H583" s="1934"/>
      <c r="I583" s="50">
        <f>ROUNDDOWN(H600,-2)</f>
        <v>552000</v>
      </c>
    </row>
    <row r="584" spans="3:13" s="59" customFormat="1" ht="19.2" customHeight="1">
      <c r="C584" s="591" t="s">
        <v>1195</v>
      </c>
      <c r="D584" s="591" t="s">
        <v>1196</v>
      </c>
      <c r="E584" s="591" t="s">
        <v>1197</v>
      </c>
      <c r="F584" s="591" t="s">
        <v>1198</v>
      </c>
      <c r="G584" s="591" t="s">
        <v>1199</v>
      </c>
      <c r="H584" s="591" t="s">
        <v>1200</v>
      </c>
      <c r="I584" s="44"/>
    </row>
    <row r="585" spans="3:13" s="59" customFormat="1" ht="19.2" customHeight="1">
      <c r="C585" s="61" t="s">
        <v>1201</v>
      </c>
      <c r="D585" s="56" t="s">
        <v>1202</v>
      </c>
      <c r="E585" s="57"/>
      <c r="F585" s="57"/>
      <c r="G585" s="57"/>
      <c r="H585" s="57"/>
      <c r="I585" s="44"/>
      <c r="J585" s="152" t="s">
        <v>1247</v>
      </c>
    </row>
    <row r="586" spans="3:13" s="59" customFormat="1" ht="19.2" customHeight="1">
      <c r="C586" s="588">
        <v>1</v>
      </c>
      <c r="D586" s="56" t="s">
        <v>5</v>
      </c>
      <c r="E586" s="577" t="s">
        <v>1863</v>
      </c>
      <c r="F586" s="101">
        <v>0.13589999999999999</v>
      </c>
      <c r="G586" s="63">
        <f>VLOOKUP(D586,upahbahan,3,FALSE)</f>
        <v>100000</v>
      </c>
      <c r="H586" s="63">
        <f>F586*G586</f>
        <v>13590</v>
      </c>
      <c r="I586" s="44"/>
      <c r="J586" s="152" t="s">
        <v>1248</v>
      </c>
      <c r="M586" s="65">
        <v>0.1</v>
      </c>
    </row>
    <row r="587" spans="3:13" s="59" customFormat="1" ht="19.2" customHeight="1">
      <c r="C587" s="588">
        <v>2</v>
      </c>
      <c r="D587" s="56" t="s">
        <v>2165</v>
      </c>
      <c r="E587" s="577" t="s">
        <v>1863</v>
      </c>
      <c r="F587" s="101">
        <v>0.13589999999999999</v>
      </c>
      <c r="G587" s="63">
        <f>VLOOKUP(D587,upahbahan,3,FALSE)</f>
        <v>135000</v>
      </c>
      <c r="H587" s="63">
        <f t="shared" ref="H587:H588" si="30">F587*G587</f>
        <v>18346.5</v>
      </c>
      <c r="I587" s="44"/>
      <c r="J587" s="152"/>
      <c r="M587" s="65"/>
    </row>
    <row r="588" spans="3:13" s="59" customFormat="1" ht="19.2" customHeight="1">
      <c r="C588" s="588">
        <v>3</v>
      </c>
      <c r="D588" s="56" t="s">
        <v>19</v>
      </c>
      <c r="E588" s="577" t="s">
        <v>1863</v>
      </c>
      <c r="F588" s="101">
        <v>6.7999999999999996E-3</v>
      </c>
      <c r="G588" s="63">
        <f>VLOOKUP(D588,upahbahan,3,FALSE)</f>
        <v>160000</v>
      </c>
      <c r="H588" s="63">
        <f t="shared" si="30"/>
        <v>1088</v>
      </c>
      <c r="I588" s="44"/>
    </row>
    <row r="589" spans="3:13" s="59" customFormat="1" ht="19.2" customHeight="1">
      <c r="C589" s="450" t="s">
        <v>1208</v>
      </c>
      <c r="D589" s="67"/>
      <c r="E589" s="67"/>
      <c r="F589" s="142"/>
      <c r="G589" s="153"/>
      <c r="H589" s="63">
        <f>SUM(H586:H588)</f>
        <v>33024.5</v>
      </c>
      <c r="I589" s="154"/>
    </row>
    <row r="590" spans="3:13" s="59" customFormat="1" ht="19.2" customHeight="1">
      <c r="C590" s="61" t="s">
        <v>1209</v>
      </c>
      <c r="D590" s="56" t="s">
        <v>1210</v>
      </c>
      <c r="E590" s="57"/>
      <c r="F590" s="57"/>
      <c r="G590" s="57"/>
      <c r="H590" s="57"/>
      <c r="I590" s="44"/>
    </row>
    <row r="591" spans="3:13" s="59" customFormat="1" ht="19.2" customHeight="1">
      <c r="C591" s="61">
        <v>1</v>
      </c>
      <c r="D591" s="56" t="s">
        <v>4574</v>
      </c>
      <c r="E591" s="93" t="s">
        <v>42</v>
      </c>
      <c r="F591" s="103">
        <v>3.2500000000000001E-2</v>
      </c>
      <c r="G591" s="63">
        <f>VLOOKUP(D591,upahbahan,3,FALSE)</f>
        <v>928000</v>
      </c>
      <c r="H591" s="63">
        <f>F591*G591</f>
        <v>30160</v>
      </c>
      <c r="I591" s="44"/>
    </row>
    <row r="592" spans="3:13" s="59" customFormat="1" ht="19.2" customHeight="1">
      <c r="C592" s="61">
        <v>2</v>
      </c>
      <c r="D592" s="56" t="s">
        <v>4488</v>
      </c>
      <c r="E592" s="93" t="s">
        <v>42</v>
      </c>
      <c r="F592" s="103">
        <v>6.5000000000000002E-2</v>
      </c>
      <c r="G592" s="63">
        <f>VLOOKUP(D592,upahbahan,3,FALSE)</f>
        <v>0</v>
      </c>
      <c r="H592" s="63">
        <f>F592*G592</f>
        <v>0</v>
      </c>
      <c r="I592" s="44"/>
    </row>
    <row r="593" spans="3:13" s="59" customFormat="1" ht="19.2" customHeight="1">
      <c r="C593" s="61">
        <v>3</v>
      </c>
      <c r="D593" s="56" t="s">
        <v>4500</v>
      </c>
      <c r="E593" s="93" t="s">
        <v>44</v>
      </c>
      <c r="F593" s="103">
        <v>0.83330000000000004</v>
      </c>
      <c r="G593" s="63">
        <f>VLOOKUP(D593,upahbahan,3,FALSE)</f>
        <v>290000</v>
      </c>
      <c r="H593" s="63">
        <f>F593*G593</f>
        <v>241657</v>
      </c>
      <c r="I593" s="44"/>
    </row>
    <row r="594" spans="3:13" s="59" customFormat="1" ht="19.2" customHeight="1">
      <c r="C594" s="450" t="s">
        <v>1214</v>
      </c>
      <c r="D594" s="67"/>
      <c r="E594" s="67"/>
      <c r="F594" s="67"/>
      <c r="G594" s="69"/>
      <c r="H594" s="63">
        <f>SUM(H591:H593)</f>
        <v>271817</v>
      </c>
      <c r="I594" s="44"/>
    </row>
    <row r="595" spans="3:13" s="59" customFormat="1" ht="19.2" customHeight="1">
      <c r="C595" s="61" t="s">
        <v>1215</v>
      </c>
      <c r="D595" s="56" t="s">
        <v>1216</v>
      </c>
      <c r="E595" s="93"/>
      <c r="F595" s="57"/>
      <c r="G595" s="57"/>
      <c r="H595" s="57"/>
      <c r="I595" s="44"/>
    </row>
    <row r="596" spans="3:13" s="59" customFormat="1" ht="19.2" customHeight="1">
      <c r="C596" s="800">
        <v>1</v>
      </c>
      <c r="D596" s="56" t="s">
        <v>1181</v>
      </c>
      <c r="E596" s="93" t="s">
        <v>1074</v>
      </c>
      <c r="F596" s="94">
        <v>0.13589999999999999</v>
      </c>
      <c r="G596" s="63">
        <f>VLOOKUP(D596,upahbahan,3,FALSE)</f>
        <v>1450000</v>
      </c>
      <c r="H596" s="63">
        <f>F596*G596</f>
        <v>197055</v>
      </c>
      <c r="I596" s="44"/>
    </row>
    <row r="597" spans="3:13" s="59" customFormat="1" ht="19.2" customHeight="1">
      <c r="C597" s="450" t="s">
        <v>1217</v>
      </c>
      <c r="D597" s="67"/>
      <c r="E597" s="67"/>
      <c r="F597" s="67"/>
      <c r="G597" s="69"/>
      <c r="H597" s="882">
        <f>SUM(H595:H596)</f>
        <v>197055</v>
      </c>
      <c r="I597" s="44"/>
    </row>
    <row r="598" spans="3:13" s="59" customFormat="1" ht="19.2" customHeight="1">
      <c r="C598" s="288" t="s">
        <v>1218</v>
      </c>
      <c r="D598" s="76" t="s">
        <v>1219</v>
      </c>
      <c r="E598" s="77"/>
      <c r="F598" s="77"/>
      <c r="G598" s="78"/>
      <c r="H598" s="585">
        <f>H597+H594+H589</f>
        <v>501896.5</v>
      </c>
      <c r="I598" s="369"/>
    </row>
    <row r="599" spans="3:13" s="59" customFormat="1" ht="19.2" customHeight="1">
      <c r="C599" s="288" t="s">
        <v>1220</v>
      </c>
      <c r="D599" s="76" t="s">
        <v>1321</v>
      </c>
      <c r="E599" s="77"/>
      <c r="F599" s="78"/>
      <c r="G599" s="80">
        <v>0.1</v>
      </c>
      <c r="H599" s="63">
        <f>H598*G599</f>
        <v>50189.65</v>
      </c>
      <c r="I599" s="369"/>
    </row>
    <row r="600" spans="3:13" s="59" customFormat="1" ht="19.2" customHeight="1">
      <c r="C600" s="288" t="s">
        <v>1221</v>
      </c>
      <c r="D600" s="76" t="s">
        <v>1222</v>
      </c>
      <c r="E600" s="77"/>
      <c r="F600" s="77"/>
      <c r="G600" s="78"/>
      <c r="H600" s="799">
        <f>SUM(H598:H599)</f>
        <v>552086.15</v>
      </c>
      <c r="I600" s="369"/>
    </row>
    <row r="602" spans="3:13" s="59" customFormat="1" ht="17.399999999999999" customHeight="1">
      <c r="C602" s="46" t="s">
        <v>4581</v>
      </c>
      <c r="D602" s="1934" t="s">
        <v>4582</v>
      </c>
      <c r="E602" s="1934"/>
      <c r="F602" s="1934"/>
      <c r="G602" s="1934"/>
      <c r="H602" s="1934"/>
      <c r="I602" s="50">
        <f>ROUNDDOWN(H619,-2)</f>
        <v>591600</v>
      </c>
    </row>
    <row r="603" spans="3:13" s="59" customFormat="1" ht="19.2" customHeight="1">
      <c r="C603" s="591" t="s">
        <v>1195</v>
      </c>
      <c r="D603" s="591" t="s">
        <v>1196</v>
      </c>
      <c r="E603" s="591" t="s">
        <v>1197</v>
      </c>
      <c r="F603" s="591" t="s">
        <v>1198</v>
      </c>
      <c r="G603" s="591" t="s">
        <v>1199</v>
      </c>
      <c r="H603" s="591" t="s">
        <v>1200</v>
      </c>
      <c r="I603" s="44"/>
    </row>
    <row r="604" spans="3:13" s="59" customFormat="1" ht="19.2" customHeight="1">
      <c r="C604" s="61" t="s">
        <v>1201</v>
      </c>
      <c r="D604" s="56" t="s">
        <v>1202</v>
      </c>
      <c r="E604" s="57"/>
      <c r="F604" s="57"/>
      <c r="G604" s="57"/>
      <c r="H604" s="57"/>
      <c r="I604" s="44"/>
      <c r="J604" s="152" t="s">
        <v>1247</v>
      </c>
    </row>
    <row r="605" spans="3:13" s="59" customFormat="1" ht="19.2" customHeight="1">
      <c r="C605" s="588">
        <v>1</v>
      </c>
      <c r="D605" s="56" t="s">
        <v>5</v>
      </c>
      <c r="E605" s="577" t="s">
        <v>1863</v>
      </c>
      <c r="F605" s="101">
        <v>0.1424</v>
      </c>
      <c r="G605" s="63">
        <f>VLOOKUP(D605,upahbahan,3,FALSE)</f>
        <v>100000</v>
      </c>
      <c r="H605" s="63">
        <f>F605*G605</f>
        <v>14240</v>
      </c>
      <c r="I605" s="44"/>
      <c r="J605" s="152" t="s">
        <v>1248</v>
      </c>
      <c r="M605" s="65">
        <v>0.1</v>
      </c>
    </row>
    <row r="606" spans="3:13" s="59" customFormat="1" ht="19.2" customHeight="1">
      <c r="C606" s="588">
        <v>2</v>
      </c>
      <c r="D606" s="56" t="s">
        <v>2165</v>
      </c>
      <c r="E606" s="577" t="s">
        <v>1863</v>
      </c>
      <c r="F606" s="101">
        <v>0.1424</v>
      </c>
      <c r="G606" s="63">
        <f>VLOOKUP(D606,upahbahan,3,FALSE)</f>
        <v>135000</v>
      </c>
      <c r="H606" s="63">
        <f t="shared" ref="H606:H607" si="31">F606*G606</f>
        <v>19224</v>
      </c>
      <c r="I606" s="44"/>
      <c r="J606" s="152"/>
      <c r="M606" s="65"/>
    </row>
    <row r="607" spans="3:13" s="59" customFormat="1" ht="19.2" customHeight="1">
      <c r="C607" s="588">
        <v>3</v>
      </c>
      <c r="D607" s="56" t="s">
        <v>19</v>
      </c>
      <c r="E607" s="577" t="s">
        <v>1863</v>
      </c>
      <c r="F607" s="101">
        <v>7.1000000000000004E-3</v>
      </c>
      <c r="G607" s="63">
        <f>VLOOKUP(D607,upahbahan,3,FALSE)</f>
        <v>160000</v>
      </c>
      <c r="H607" s="63">
        <f t="shared" si="31"/>
        <v>1136</v>
      </c>
      <c r="I607" s="44"/>
    </row>
    <row r="608" spans="3:13" s="59" customFormat="1" ht="19.2" customHeight="1">
      <c r="C608" s="450" t="s">
        <v>1208</v>
      </c>
      <c r="D608" s="67"/>
      <c r="E608" s="67"/>
      <c r="F608" s="142"/>
      <c r="G608" s="153"/>
      <c r="H608" s="63">
        <f>SUM(H605:H607)</f>
        <v>34600</v>
      </c>
      <c r="I608" s="154"/>
    </row>
    <row r="609" spans="3:13" s="59" customFormat="1" ht="19.2" customHeight="1">
      <c r="C609" s="61" t="s">
        <v>1209</v>
      </c>
      <c r="D609" s="56" t="s">
        <v>1210</v>
      </c>
      <c r="E609" s="57"/>
      <c r="F609" s="57"/>
      <c r="G609" s="57"/>
      <c r="H609" s="57"/>
      <c r="I609" s="44"/>
    </row>
    <row r="610" spans="3:13" s="59" customFormat="1" ht="19.2" customHeight="1">
      <c r="C610" s="61">
        <v>1</v>
      </c>
      <c r="D610" s="56" t="s">
        <v>4574</v>
      </c>
      <c r="E610" s="93" t="s">
        <v>42</v>
      </c>
      <c r="F610" s="103">
        <v>3.2500000000000001E-2</v>
      </c>
      <c r="G610" s="63">
        <f>VLOOKUP(D610,upahbahan,3,FALSE)</f>
        <v>928000</v>
      </c>
      <c r="H610" s="63">
        <f>F610*G610</f>
        <v>30160</v>
      </c>
      <c r="I610" s="44"/>
    </row>
    <row r="611" spans="3:13" s="59" customFormat="1" ht="19.2" customHeight="1">
      <c r="C611" s="61">
        <v>2</v>
      </c>
      <c r="D611" s="56" t="s">
        <v>4488</v>
      </c>
      <c r="E611" s="93" t="s">
        <v>42</v>
      </c>
      <c r="F611" s="103">
        <v>6.5000000000000002E-2</v>
      </c>
      <c r="G611" s="63">
        <f>VLOOKUP(D611,upahbahan,3,FALSE)</f>
        <v>0</v>
      </c>
      <c r="H611" s="63">
        <f>F611*G611</f>
        <v>0</v>
      </c>
      <c r="I611" s="44"/>
    </row>
    <row r="612" spans="3:13" s="59" customFormat="1" ht="19.2" customHeight="1">
      <c r="C612" s="61">
        <v>3</v>
      </c>
      <c r="D612" s="56" t="s">
        <v>4504</v>
      </c>
      <c r="E612" s="93" t="s">
        <v>44</v>
      </c>
      <c r="F612" s="103">
        <v>0.83330000000000004</v>
      </c>
      <c r="G612" s="63">
        <f>VLOOKUP(D612,upahbahan,3,FALSE)</f>
        <v>320000</v>
      </c>
      <c r="H612" s="63">
        <f>F612*G612</f>
        <v>266656</v>
      </c>
      <c r="I612" s="44"/>
    </row>
    <row r="613" spans="3:13" s="59" customFormat="1" ht="19.2" customHeight="1">
      <c r="C613" s="450" t="s">
        <v>1214</v>
      </c>
      <c r="D613" s="67"/>
      <c r="E613" s="67"/>
      <c r="F613" s="67"/>
      <c r="G613" s="69"/>
      <c r="H613" s="63">
        <f>SUM(H610:H612)</f>
        <v>296816</v>
      </c>
      <c r="I613" s="44"/>
    </row>
    <row r="614" spans="3:13" s="59" customFormat="1" ht="19.2" customHeight="1">
      <c r="C614" s="61" t="s">
        <v>1215</v>
      </c>
      <c r="D614" s="56" t="s">
        <v>1216</v>
      </c>
      <c r="E614" s="93"/>
      <c r="F614" s="57"/>
      <c r="G614" s="57"/>
      <c r="H614" s="57"/>
      <c r="I614" s="44"/>
    </row>
    <row r="615" spans="3:13" s="59" customFormat="1" ht="19.2" customHeight="1">
      <c r="C615" s="800">
        <v>1</v>
      </c>
      <c r="D615" s="56" t="s">
        <v>1181</v>
      </c>
      <c r="E615" s="93" t="s">
        <v>1074</v>
      </c>
      <c r="F615" s="94">
        <v>0.1424</v>
      </c>
      <c r="G615" s="63">
        <f>VLOOKUP(D615,upahbahan,3,FALSE)</f>
        <v>1450000</v>
      </c>
      <c r="H615" s="63">
        <f>F615*G615</f>
        <v>206480</v>
      </c>
      <c r="I615" s="44"/>
    </row>
    <row r="616" spans="3:13" s="59" customFormat="1" ht="19.2" customHeight="1">
      <c r="C616" s="450" t="s">
        <v>1217</v>
      </c>
      <c r="D616" s="67"/>
      <c r="E616" s="67"/>
      <c r="F616" s="67"/>
      <c r="G616" s="69"/>
      <c r="H616" s="882">
        <f>SUM(H614:H615)</f>
        <v>206480</v>
      </c>
      <c r="I616" s="44"/>
    </row>
    <row r="617" spans="3:13" s="59" customFormat="1" ht="19.2" customHeight="1">
      <c r="C617" s="288" t="s">
        <v>1218</v>
      </c>
      <c r="D617" s="76" t="s">
        <v>1219</v>
      </c>
      <c r="E617" s="77"/>
      <c r="F617" s="77"/>
      <c r="G617" s="78"/>
      <c r="H617" s="585">
        <f>H616+H613+H608</f>
        <v>537896</v>
      </c>
      <c r="I617" s="369"/>
    </row>
    <row r="618" spans="3:13" s="59" customFormat="1" ht="19.2" customHeight="1">
      <c r="C618" s="288" t="s">
        <v>1220</v>
      </c>
      <c r="D618" s="76" t="s">
        <v>1321</v>
      </c>
      <c r="E618" s="77"/>
      <c r="F618" s="78"/>
      <c r="G618" s="80">
        <v>0.1</v>
      </c>
      <c r="H618" s="63">
        <f>H617*G618</f>
        <v>53789.600000000006</v>
      </c>
      <c r="I618" s="369"/>
    </row>
    <row r="619" spans="3:13" s="59" customFormat="1" ht="19.2" customHeight="1">
      <c r="C619" s="288" t="s">
        <v>1221</v>
      </c>
      <c r="D619" s="76" t="s">
        <v>1222</v>
      </c>
      <c r="E619" s="77"/>
      <c r="F619" s="77"/>
      <c r="G619" s="78"/>
      <c r="H619" s="799">
        <f>SUM(H617:H618)</f>
        <v>591685.6</v>
      </c>
      <c r="I619" s="369"/>
    </row>
    <row r="621" spans="3:13" s="59" customFormat="1" ht="17.399999999999999" customHeight="1">
      <c r="C621" s="46" t="s">
        <v>4583</v>
      </c>
      <c r="D621" s="1934" t="s">
        <v>4584</v>
      </c>
      <c r="E621" s="1934"/>
      <c r="F621" s="1934"/>
      <c r="G621" s="1934"/>
      <c r="H621" s="1934"/>
      <c r="I621" s="50">
        <f>ROUNDDOWN(H638,-2)</f>
        <v>627700</v>
      </c>
    </row>
    <row r="622" spans="3:13" s="59" customFormat="1" ht="19.2" customHeight="1">
      <c r="C622" s="591" t="s">
        <v>1195</v>
      </c>
      <c r="D622" s="591" t="s">
        <v>1196</v>
      </c>
      <c r="E622" s="591" t="s">
        <v>1197</v>
      </c>
      <c r="F622" s="591" t="s">
        <v>1198</v>
      </c>
      <c r="G622" s="591" t="s">
        <v>1199</v>
      </c>
      <c r="H622" s="591" t="s">
        <v>1200</v>
      </c>
      <c r="I622" s="44"/>
    </row>
    <row r="623" spans="3:13" s="59" customFormat="1" ht="19.2" customHeight="1">
      <c r="C623" s="61" t="s">
        <v>1201</v>
      </c>
      <c r="D623" s="56" t="s">
        <v>1202</v>
      </c>
      <c r="E623" s="57"/>
      <c r="F623" s="57"/>
      <c r="G623" s="57"/>
      <c r="H623" s="57"/>
      <c r="I623" s="44"/>
      <c r="J623" s="152" t="s">
        <v>1247</v>
      </c>
    </row>
    <row r="624" spans="3:13" s="59" customFormat="1" ht="19.2" customHeight="1">
      <c r="C624" s="588">
        <v>1</v>
      </c>
      <c r="D624" s="56" t="s">
        <v>5</v>
      </c>
      <c r="E624" s="577" t="s">
        <v>1863</v>
      </c>
      <c r="F624" s="101">
        <v>0.14810000000000001</v>
      </c>
      <c r="G624" s="63">
        <f>VLOOKUP(D624,upahbahan,3,FALSE)</f>
        <v>100000</v>
      </c>
      <c r="H624" s="63">
        <f>F624*G624</f>
        <v>14810.000000000002</v>
      </c>
      <c r="I624" s="44"/>
      <c r="J624" s="152" t="s">
        <v>1248</v>
      </c>
      <c r="M624" s="65">
        <v>0.1</v>
      </c>
    </row>
    <row r="625" spans="3:13" s="59" customFormat="1" ht="19.2" customHeight="1">
      <c r="C625" s="588">
        <v>2</v>
      </c>
      <c r="D625" s="56" t="s">
        <v>2165</v>
      </c>
      <c r="E625" s="577" t="s">
        <v>1863</v>
      </c>
      <c r="F625" s="101">
        <v>0.14810000000000001</v>
      </c>
      <c r="G625" s="63">
        <f>VLOOKUP(D625,upahbahan,3,FALSE)</f>
        <v>135000</v>
      </c>
      <c r="H625" s="63">
        <f t="shared" ref="H625:H626" si="32">F625*G625</f>
        <v>19993.5</v>
      </c>
      <c r="I625" s="44"/>
      <c r="J625" s="152"/>
      <c r="M625" s="65"/>
    </row>
    <row r="626" spans="3:13" s="59" customFormat="1" ht="19.2" customHeight="1">
      <c r="C626" s="588">
        <v>3</v>
      </c>
      <c r="D626" s="56" t="s">
        <v>19</v>
      </c>
      <c r="E626" s="577" t="s">
        <v>1863</v>
      </c>
      <c r="F626" s="101">
        <v>7.4000000000000003E-3</v>
      </c>
      <c r="G626" s="63">
        <f>VLOOKUP(D626,upahbahan,3,FALSE)</f>
        <v>160000</v>
      </c>
      <c r="H626" s="63">
        <f t="shared" si="32"/>
        <v>1184</v>
      </c>
      <c r="I626" s="44"/>
    </row>
    <row r="627" spans="3:13" s="59" customFormat="1" ht="19.2" customHeight="1">
      <c r="C627" s="450" t="s">
        <v>1208</v>
      </c>
      <c r="D627" s="67"/>
      <c r="E627" s="67"/>
      <c r="F627" s="142"/>
      <c r="G627" s="153"/>
      <c r="H627" s="63">
        <f>SUM(H624:H626)</f>
        <v>35987.5</v>
      </c>
      <c r="I627" s="154"/>
    </row>
    <row r="628" spans="3:13" s="59" customFormat="1" ht="19.2" customHeight="1">
      <c r="C628" s="61" t="s">
        <v>1209</v>
      </c>
      <c r="D628" s="56" t="s">
        <v>1210</v>
      </c>
      <c r="E628" s="57"/>
      <c r="F628" s="57"/>
      <c r="G628" s="57"/>
      <c r="H628" s="57"/>
      <c r="I628" s="44"/>
    </row>
    <row r="629" spans="3:13" s="59" customFormat="1" ht="19.2" customHeight="1">
      <c r="C629" s="61">
        <v>1</v>
      </c>
      <c r="D629" s="56" t="s">
        <v>4574</v>
      </c>
      <c r="E629" s="93" t="s">
        <v>42</v>
      </c>
      <c r="F629" s="103">
        <v>3.95E-2</v>
      </c>
      <c r="G629" s="63">
        <f>VLOOKUP(D629,upahbahan,3,FALSE)</f>
        <v>928000</v>
      </c>
      <c r="H629" s="63">
        <f>F629*G629</f>
        <v>36656</v>
      </c>
      <c r="I629" s="44"/>
    </row>
    <row r="630" spans="3:13" s="59" customFormat="1" ht="19.2" customHeight="1">
      <c r="C630" s="61">
        <v>2</v>
      </c>
      <c r="D630" s="56" t="s">
        <v>4488</v>
      </c>
      <c r="E630" s="93" t="s">
        <v>42</v>
      </c>
      <c r="F630" s="103">
        <v>7.9000000000000001E-2</v>
      </c>
      <c r="G630" s="63">
        <f>VLOOKUP(D630,upahbahan,3,FALSE)</f>
        <v>0</v>
      </c>
      <c r="H630" s="63">
        <f>F630*G630</f>
        <v>0</v>
      </c>
      <c r="I630" s="44"/>
    </row>
    <row r="631" spans="3:13" s="59" customFormat="1" ht="19.2" customHeight="1">
      <c r="C631" s="61">
        <v>3</v>
      </c>
      <c r="D631" s="56" t="s">
        <v>4506</v>
      </c>
      <c r="E631" s="93" t="s">
        <v>44</v>
      </c>
      <c r="F631" s="103">
        <v>0.83330000000000004</v>
      </c>
      <c r="G631" s="63">
        <f>VLOOKUP(D631,upahbahan,3,FALSE)</f>
        <v>340000</v>
      </c>
      <c r="H631" s="63">
        <f>F631*G631</f>
        <v>283322</v>
      </c>
      <c r="I631" s="44"/>
    </row>
    <row r="632" spans="3:13" s="59" customFormat="1" ht="19.2" customHeight="1">
      <c r="C632" s="450" t="s">
        <v>1214</v>
      </c>
      <c r="D632" s="67"/>
      <c r="E632" s="67"/>
      <c r="F632" s="67"/>
      <c r="G632" s="69"/>
      <c r="H632" s="63">
        <f>SUM(H629:H631)</f>
        <v>319978</v>
      </c>
      <c r="I632" s="44"/>
    </row>
    <row r="633" spans="3:13" s="59" customFormat="1" ht="19.2" customHeight="1">
      <c r="C633" s="61" t="s">
        <v>1215</v>
      </c>
      <c r="D633" s="56" t="s">
        <v>1216</v>
      </c>
      <c r="E633" s="93"/>
      <c r="F633" s="57"/>
      <c r="G633" s="57"/>
      <c r="H633" s="57"/>
      <c r="I633" s="44"/>
    </row>
    <row r="634" spans="3:13" s="59" customFormat="1" ht="19.2" customHeight="1">
      <c r="C634" s="800">
        <v>1</v>
      </c>
      <c r="D634" s="56" t="s">
        <v>1181</v>
      </c>
      <c r="E634" s="93" t="s">
        <v>1074</v>
      </c>
      <c r="F634" s="94">
        <v>0.14810000000000001</v>
      </c>
      <c r="G634" s="63">
        <f>VLOOKUP(D634,upahbahan,3,FALSE)</f>
        <v>1450000</v>
      </c>
      <c r="H634" s="63">
        <f>F634*G634</f>
        <v>214745</v>
      </c>
      <c r="I634" s="44"/>
    </row>
    <row r="635" spans="3:13" s="59" customFormat="1" ht="19.2" customHeight="1">
      <c r="C635" s="450" t="s">
        <v>1217</v>
      </c>
      <c r="D635" s="67"/>
      <c r="E635" s="67"/>
      <c r="F635" s="67"/>
      <c r="G635" s="69"/>
      <c r="H635" s="882">
        <f>SUM(H633:H634)</f>
        <v>214745</v>
      </c>
      <c r="I635" s="44"/>
    </row>
    <row r="636" spans="3:13" s="59" customFormat="1" ht="19.2" customHeight="1">
      <c r="C636" s="288" t="s">
        <v>1218</v>
      </c>
      <c r="D636" s="76" t="s">
        <v>1219</v>
      </c>
      <c r="E636" s="77"/>
      <c r="F636" s="77"/>
      <c r="G636" s="78"/>
      <c r="H636" s="585">
        <f>H635+H632+H627</f>
        <v>570710.5</v>
      </c>
      <c r="I636" s="369"/>
    </row>
    <row r="637" spans="3:13" s="59" customFormat="1" ht="19.2" customHeight="1">
      <c r="C637" s="288" t="s">
        <v>1220</v>
      </c>
      <c r="D637" s="76" t="s">
        <v>1321</v>
      </c>
      <c r="E637" s="77"/>
      <c r="F637" s="78"/>
      <c r="G637" s="80">
        <v>0.1</v>
      </c>
      <c r="H637" s="63">
        <f>H636*G637</f>
        <v>57071.05</v>
      </c>
      <c r="I637" s="369"/>
    </row>
    <row r="638" spans="3:13" s="59" customFormat="1" ht="19.2" customHeight="1">
      <c r="C638" s="288" t="s">
        <v>1221</v>
      </c>
      <c r="D638" s="76" t="s">
        <v>1222</v>
      </c>
      <c r="E638" s="77"/>
      <c r="F638" s="77"/>
      <c r="G638" s="78"/>
      <c r="H638" s="799">
        <f>SUM(H636:H637)</f>
        <v>627781.55000000005</v>
      </c>
      <c r="I638" s="369"/>
    </row>
    <row r="640" spans="3:13" s="59" customFormat="1" ht="17.399999999999999" customHeight="1">
      <c r="C640" s="46" t="s">
        <v>4585</v>
      </c>
      <c r="D640" s="1934" t="s">
        <v>4586</v>
      </c>
      <c r="E640" s="1934"/>
      <c r="F640" s="1934"/>
      <c r="G640" s="1934"/>
      <c r="H640" s="1934"/>
      <c r="I640" s="50">
        <f>ROUNDDOWN(H657,-2)</f>
        <v>749300</v>
      </c>
    </row>
    <row r="641" spans="3:13" s="59" customFormat="1" ht="19.2" customHeight="1">
      <c r="C641" s="591" t="s">
        <v>1195</v>
      </c>
      <c r="D641" s="591" t="s">
        <v>1196</v>
      </c>
      <c r="E641" s="591" t="s">
        <v>1197</v>
      </c>
      <c r="F641" s="591" t="s">
        <v>1198</v>
      </c>
      <c r="G641" s="591" t="s">
        <v>1199</v>
      </c>
      <c r="H641" s="591" t="s">
        <v>1200</v>
      </c>
      <c r="I641" s="44"/>
    </row>
    <row r="642" spans="3:13" s="59" customFormat="1" ht="19.2" customHeight="1">
      <c r="C642" s="61" t="s">
        <v>1201</v>
      </c>
      <c r="D642" s="56" t="s">
        <v>1202</v>
      </c>
      <c r="E642" s="57"/>
      <c r="F642" s="57"/>
      <c r="G642" s="57"/>
      <c r="H642" s="57"/>
      <c r="I642" s="44"/>
      <c r="J642" s="152" t="s">
        <v>1247</v>
      </c>
    </row>
    <row r="643" spans="3:13" s="59" customFormat="1" ht="19.2" customHeight="1">
      <c r="C643" s="588">
        <v>1</v>
      </c>
      <c r="D643" s="56" t="s">
        <v>5</v>
      </c>
      <c r="E643" s="577" t="s">
        <v>1863</v>
      </c>
      <c r="F643" s="101">
        <v>0.1986</v>
      </c>
      <c r="G643" s="63">
        <f>VLOOKUP(D643,upahbahan,3,FALSE)</f>
        <v>100000</v>
      </c>
      <c r="H643" s="63">
        <f>F643*G643</f>
        <v>19860</v>
      </c>
      <c r="I643" s="44"/>
      <c r="J643" s="152" t="s">
        <v>1248</v>
      </c>
      <c r="M643" s="65">
        <v>0.1</v>
      </c>
    </row>
    <row r="644" spans="3:13" s="59" customFormat="1" ht="19.2" customHeight="1">
      <c r="C644" s="588">
        <v>2</v>
      </c>
      <c r="D644" s="56" t="s">
        <v>2165</v>
      </c>
      <c r="E644" s="577" t="s">
        <v>1863</v>
      </c>
      <c r="F644" s="101">
        <v>0.1986</v>
      </c>
      <c r="G644" s="63">
        <f>VLOOKUP(D644,upahbahan,3,FALSE)</f>
        <v>135000</v>
      </c>
      <c r="H644" s="63">
        <f t="shared" ref="H644:H645" si="33">F644*G644</f>
        <v>26811</v>
      </c>
      <c r="I644" s="44"/>
      <c r="J644" s="152"/>
      <c r="M644" s="65"/>
    </row>
    <row r="645" spans="3:13" s="59" customFormat="1" ht="19.2" customHeight="1">
      <c r="C645" s="588">
        <v>3</v>
      </c>
      <c r="D645" s="56" t="s">
        <v>19</v>
      </c>
      <c r="E645" s="577" t="s">
        <v>1863</v>
      </c>
      <c r="F645" s="101">
        <v>9.9000000000000008E-3</v>
      </c>
      <c r="G645" s="63">
        <f>VLOOKUP(D645,upahbahan,3,FALSE)</f>
        <v>160000</v>
      </c>
      <c r="H645" s="63">
        <f t="shared" si="33"/>
        <v>1584.0000000000002</v>
      </c>
      <c r="I645" s="44"/>
    </row>
    <row r="646" spans="3:13" s="59" customFormat="1" ht="19.2" customHeight="1">
      <c r="C646" s="450" t="s">
        <v>1208</v>
      </c>
      <c r="D646" s="67"/>
      <c r="E646" s="67"/>
      <c r="F646" s="142"/>
      <c r="G646" s="153"/>
      <c r="H646" s="63">
        <f>SUM(H643:H645)</f>
        <v>48255</v>
      </c>
      <c r="I646" s="154"/>
    </row>
    <row r="647" spans="3:13" s="59" customFormat="1" ht="19.2" customHeight="1">
      <c r="C647" s="61" t="s">
        <v>1209</v>
      </c>
      <c r="D647" s="56" t="s">
        <v>1210</v>
      </c>
      <c r="E647" s="57"/>
      <c r="F647" s="57"/>
      <c r="G647" s="57"/>
      <c r="H647" s="57"/>
      <c r="I647" s="44"/>
    </row>
    <row r="648" spans="3:13" s="59" customFormat="1" ht="19.2" customHeight="1">
      <c r="C648" s="61">
        <v>1</v>
      </c>
      <c r="D648" s="56" t="s">
        <v>4574</v>
      </c>
      <c r="E648" s="93" t="s">
        <v>42</v>
      </c>
      <c r="F648" s="103">
        <v>3.95E-2</v>
      </c>
      <c r="G648" s="63">
        <f>VLOOKUP(D648,upahbahan,3,FALSE)</f>
        <v>928000</v>
      </c>
      <c r="H648" s="63">
        <f>F648*G648</f>
        <v>36656</v>
      </c>
      <c r="I648" s="44"/>
    </row>
    <row r="649" spans="3:13" s="59" customFormat="1" ht="19.2" customHeight="1">
      <c r="C649" s="61">
        <v>2</v>
      </c>
      <c r="D649" s="56" t="s">
        <v>4488</v>
      </c>
      <c r="E649" s="93" t="s">
        <v>42</v>
      </c>
      <c r="F649" s="103">
        <v>7.9000000000000001E-2</v>
      </c>
      <c r="G649" s="63">
        <f>VLOOKUP(D649,upahbahan,3,FALSE)</f>
        <v>0</v>
      </c>
      <c r="H649" s="63">
        <f>F649*G649</f>
        <v>0</v>
      </c>
      <c r="I649" s="44"/>
    </row>
    <row r="650" spans="3:13" s="59" customFormat="1" ht="19.2" customHeight="1">
      <c r="C650" s="61">
        <v>3</v>
      </c>
      <c r="D650" s="56" t="s">
        <v>4509</v>
      </c>
      <c r="E650" s="93" t="s">
        <v>44</v>
      </c>
      <c r="F650" s="103">
        <v>0.83330000000000004</v>
      </c>
      <c r="G650" s="63">
        <f>VLOOKUP(D650,upahbahan,3,FALSE)</f>
        <v>370000</v>
      </c>
      <c r="H650" s="63">
        <f>F650*G650</f>
        <v>308321</v>
      </c>
      <c r="I650" s="44"/>
    </row>
    <row r="651" spans="3:13" s="59" customFormat="1" ht="19.2" customHeight="1">
      <c r="C651" s="450" t="s">
        <v>1214</v>
      </c>
      <c r="D651" s="67"/>
      <c r="E651" s="67"/>
      <c r="F651" s="67"/>
      <c r="G651" s="69"/>
      <c r="H651" s="63">
        <f>SUM(H648:H650)</f>
        <v>344977</v>
      </c>
      <c r="I651" s="44"/>
    </row>
    <row r="652" spans="3:13" s="59" customFormat="1" ht="19.2" customHeight="1">
      <c r="C652" s="61" t="s">
        <v>1215</v>
      </c>
      <c r="D652" s="56" t="s">
        <v>1216</v>
      </c>
      <c r="E652" s="93"/>
      <c r="F652" s="57"/>
      <c r="G652" s="57"/>
      <c r="H652" s="57"/>
      <c r="I652" s="44"/>
    </row>
    <row r="653" spans="3:13" s="59" customFormat="1" ht="19.2" customHeight="1">
      <c r="C653" s="800">
        <v>1</v>
      </c>
      <c r="D653" s="56" t="s">
        <v>1181</v>
      </c>
      <c r="E653" s="93" t="s">
        <v>1074</v>
      </c>
      <c r="F653" s="94">
        <v>0.1986</v>
      </c>
      <c r="G653" s="63">
        <f>VLOOKUP(D653,upahbahan,3,FALSE)</f>
        <v>1450000</v>
      </c>
      <c r="H653" s="63">
        <f>F653*G653</f>
        <v>287970</v>
      </c>
      <c r="I653" s="44"/>
    </row>
    <row r="654" spans="3:13" s="59" customFormat="1" ht="19.2" customHeight="1">
      <c r="C654" s="450" t="s">
        <v>1217</v>
      </c>
      <c r="D654" s="67"/>
      <c r="E654" s="67"/>
      <c r="F654" s="67"/>
      <c r="G654" s="69"/>
      <c r="H654" s="882">
        <f>SUM(H652:H653)</f>
        <v>287970</v>
      </c>
      <c r="I654" s="44"/>
    </row>
    <row r="655" spans="3:13" s="59" customFormat="1" ht="19.2" customHeight="1">
      <c r="C655" s="288" t="s">
        <v>1218</v>
      </c>
      <c r="D655" s="76" t="s">
        <v>1219</v>
      </c>
      <c r="E655" s="77"/>
      <c r="F655" s="77"/>
      <c r="G655" s="78"/>
      <c r="H655" s="585">
        <f>H654+H651+H646</f>
        <v>681202</v>
      </c>
      <c r="I655" s="369"/>
    </row>
    <row r="656" spans="3:13" s="59" customFormat="1" ht="19.2" customHeight="1">
      <c r="C656" s="288" t="s">
        <v>1220</v>
      </c>
      <c r="D656" s="76" t="s">
        <v>1321</v>
      </c>
      <c r="E656" s="77"/>
      <c r="F656" s="78"/>
      <c r="G656" s="80">
        <v>0.1</v>
      </c>
      <c r="H656" s="63">
        <f>H655*G656</f>
        <v>68120.2</v>
      </c>
      <c r="I656" s="369"/>
    </row>
    <row r="657" spans="3:13" s="59" customFormat="1" ht="19.2" customHeight="1">
      <c r="C657" s="288" t="s">
        <v>1221</v>
      </c>
      <c r="D657" s="76" t="s">
        <v>1222</v>
      </c>
      <c r="E657" s="77"/>
      <c r="F657" s="77"/>
      <c r="G657" s="78"/>
      <c r="H657" s="799">
        <f>SUM(H655:H656)</f>
        <v>749322.2</v>
      </c>
      <c r="I657" s="369"/>
    </row>
    <row r="659" spans="3:13" s="59" customFormat="1" ht="17.399999999999999" customHeight="1">
      <c r="C659" s="46" t="s">
        <v>4587</v>
      </c>
      <c r="D659" s="1934" t="s">
        <v>4588</v>
      </c>
      <c r="E659" s="1934"/>
      <c r="F659" s="1934"/>
      <c r="G659" s="1934"/>
      <c r="H659" s="1934"/>
      <c r="I659" s="50">
        <f>ROUNDDOWN(H676,-2)</f>
        <v>776700</v>
      </c>
    </row>
    <row r="660" spans="3:13" s="59" customFormat="1" ht="17.399999999999999" customHeight="1">
      <c r="C660" s="591" t="s">
        <v>1195</v>
      </c>
      <c r="D660" s="591" t="s">
        <v>1196</v>
      </c>
      <c r="E660" s="591" t="s">
        <v>1197</v>
      </c>
      <c r="F660" s="591" t="s">
        <v>1198</v>
      </c>
      <c r="G660" s="591" t="s">
        <v>1199</v>
      </c>
      <c r="H660" s="591" t="s">
        <v>1200</v>
      </c>
      <c r="I660" s="44"/>
    </row>
    <row r="661" spans="3:13" s="59" customFormat="1" ht="19.2" customHeight="1">
      <c r="C661" s="61" t="s">
        <v>1201</v>
      </c>
      <c r="D661" s="56" t="s">
        <v>1202</v>
      </c>
      <c r="E661" s="57"/>
      <c r="F661" s="57"/>
      <c r="G661" s="57"/>
      <c r="H661" s="57"/>
      <c r="I661" s="44"/>
      <c r="J661" s="152" t="s">
        <v>1247</v>
      </c>
    </row>
    <row r="662" spans="3:13" s="59" customFormat="1" ht="19.2" customHeight="1">
      <c r="C662" s="588">
        <v>1</v>
      </c>
      <c r="D662" s="56" t="s">
        <v>5</v>
      </c>
      <c r="E662" s="577" t="s">
        <v>1863</v>
      </c>
      <c r="F662" s="101">
        <v>0.20349999999999999</v>
      </c>
      <c r="G662" s="63">
        <f>VLOOKUP(D662,upahbahan,3,FALSE)</f>
        <v>100000</v>
      </c>
      <c r="H662" s="63">
        <f>F662*G662</f>
        <v>20350</v>
      </c>
      <c r="I662" s="44"/>
      <c r="J662" s="152" t="s">
        <v>1248</v>
      </c>
      <c r="M662" s="65">
        <v>0.1</v>
      </c>
    </row>
    <row r="663" spans="3:13" s="59" customFormat="1" ht="19.2" customHeight="1">
      <c r="C663" s="588">
        <v>2</v>
      </c>
      <c r="D663" s="56" t="s">
        <v>2165</v>
      </c>
      <c r="E663" s="577" t="s">
        <v>1863</v>
      </c>
      <c r="F663" s="101">
        <v>0.20349999999999999</v>
      </c>
      <c r="G663" s="63">
        <f>VLOOKUP(D663,upahbahan,3,FALSE)</f>
        <v>135000</v>
      </c>
      <c r="H663" s="63">
        <f t="shared" ref="H663:H664" si="34">F663*G663</f>
        <v>27472.499999999996</v>
      </c>
      <c r="I663" s="44"/>
      <c r="J663" s="152"/>
      <c r="M663" s="65"/>
    </row>
    <row r="664" spans="3:13" s="59" customFormat="1" ht="19.2" customHeight="1">
      <c r="C664" s="588">
        <v>3</v>
      </c>
      <c r="D664" s="56" t="s">
        <v>19</v>
      </c>
      <c r="E664" s="577" t="s">
        <v>1863</v>
      </c>
      <c r="F664" s="101">
        <v>1.0200000000000001E-2</v>
      </c>
      <c r="G664" s="63">
        <f>VLOOKUP(D664,upahbahan,3,FALSE)</f>
        <v>160000</v>
      </c>
      <c r="H664" s="63">
        <f t="shared" si="34"/>
        <v>1632.0000000000002</v>
      </c>
      <c r="I664" s="44"/>
    </row>
    <row r="665" spans="3:13" s="59" customFormat="1" ht="19.2" customHeight="1">
      <c r="C665" s="450" t="s">
        <v>1208</v>
      </c>
      <c r="D665" s="67"/>
      <c r="E665" s="67"/>
      <c r="F665" s="142"/>
      <c r="G665" s="153"/>
      <c r="H665" s="63">
        <f>SUM(H662:H664)</f>
        <v>49454.5</v>
      </c>
      <c r="I665" s="154"/>
    </row>
    <row r="666" spans="3:13" s="59" customFormat="1" ht="19.2" customHeight="1">
      <c r="C666" s="61" t="s">
        <v>1209</v>
      </c>
      <c r="D666" s="56" t="s">
        <v>1210</v>
      </c>
      <c r="E666" s="57"/>
      <c r="F666" s="57"/>
      <c r="G666" s="57"/>
      <c r="H666" s="57"/>
      <c r="I666" s="44"/>
    </row>
    <row r="667" spans="3:13" s="59" customFormat="1" ht="19.2" customHeight="1">
      <c r="C667" s="61">
        <v>1</v>
      </c>
      <c r="D667" s="56" t="s">
        <v>4574</v>
      </c>
      <c r="E667" s="93" t="s">
        <v>42</v>
      </c>
      <c r="F667" s="103">
        <v>3.95E-2</v>
      </c>
      <c r="G667" s="63">
        <f>VLOOKUP(D667,upahbahan,3,FALSE)</f>
        <v>928000</v>
      </c>
      <c r="H667" s="63">
        <f>F667*G667</f>
        <v>36656</v>
      </c>
      <c r="I667" s="44"/>
    </row>
    <row r="668" spans="3:13" s="59" customFormat="1" ht="19.2" customHeight="1">
      <c r="C668" s="61">
        <v>2</v>
      </c>
      <c r="D668" s="56" t="s">
        <v>4488</v>
      </c>
      <c r="E668" s="93" t="s">
        <v>42</v>
      </c>
      <c r="F668" s="103">
        <v>7.9000000000000001E-2</v>
      </c>
      <c r="G668" s="63">
        <f>VLOOKUP(D668,upahbahan,3,FALSE)</f>
        <v>0</v>
      </c>
      <c r="H668" s="63">
        <f>F668*G668</f>
        <v>0</v>
      </c>
      <c r="I668" s="44"/>
    </row>
    <row r="669" spans="3:13" s="59" customFormat="1" ht="19.2" customHeight="1">
      <c r="C669" s="61">
        <v>3</v>
      </c>
      <c r="D669" s="56" t="s">
        <v>4512</v>
      </c>
      <c r="E669" s="93" t="s">
        <v>44</v>
      </c>
      <c r="F669" s="103">
        <v>0.83330000000000004</v>
      </c>
      <c r="G669" s="63">
        <f>VLOOKUP(D669,upahbahan,3,FALSE)</f>
        <v>390000</v>
      </c>
      <c r="H669" s="63">
        <f>F669*G669</f>
        <v>324987</v>
      </c>
      <c r="I669" s="44"/>
    </row>
    <row r="670" spans="3:13" s="59" customFormat="1" ht="19.2" customHeight="1">
      <c r="C670" s="450" t="s">
        <v>1214</v>
      </c>
      <c r="D670" s="67"/>
      <c r="E670" s="67"/>
      <c r="F670" s="67"/>
      <c r="G670" s="69"/>
      <c r="H670" s="63">
        <f>SUM(H667:H669)</f>
        <v>361643</v>
      </c>
      <c r="I670" s="44"/>
    </row>
    <row r="671" spans="3:13" s="59" customFormat="1" ht="19.2" customHeight="1">
      <c r="C671" s="61" t="s">
        <v>1215</v>
      </c>
      <c r="D671" s="56" t="s">
        <v>1216</v>
      </c>
      <c r="E671" s="93"/>
      <c r="F671" s="57"/>
      <c r="G671" s="57"/>
      <c r="H671" s="57"/>
      <c r="I671" s="44"/>
    </row>
    <row r="672" spans="3:13" s="59" customFormat="1" ht="19.2" customHeight="1">
      <c r="C672" s="800">
        <v>1</v>
      </c>
      <c r="D672" s="56" t="s">
        <v>1181</v>
      </c>
      <c r="E672" s="93" t="s">
        <v>1074</v>
      </c>
      <c r="F672" s="94">
        <v>0.20349999999999999</v>
      </c>
      <c r="G672" s="63">
        <f>VLOOKUP(D672,upahbahan,3,FALSE)</f>
        <v>1450000</v>
      </c>
      <c r="H672" s="63">
        <f>F672*G672</f>
        <v>295075</v>
      </c>
      <c r="I672" s="44"/>
    </row>
    <row r="673" spans="3:13" s="59" customFormat="1" ht="19.2" customHeight="1">
      <c r="C673" s="450" t="s">
        <v>1217</v>
      </c>
      <c r="D673" s="67"/>
      <c r="E673" s="67"/>
      <c r="F673" s="67"/>
      <c r="G673" s="69"/>
      <c r="H673" s="882">
        <f>SUM(H671:H672)</f>
        <v>295075</v>
      </c>
      <c r="I673" s="44"/>
    </row>
    <row r="674" spans="3:13" s="59" customFormat="1" ht="19.2" customHeight="1">
      <c r="C674" s="288" t="s">
        <v>1218</v>
      </c>
      <c r="D674" s="76" t="s">
        <v>1219</v>
      </c>
      <c r="E674" s="77"/>
      <c r="F674" s="77"/>
      <c r="G674" s="78"/>
      <c r="H674" s="585">
        <f>H673+H670+H665</f>
        <v>706172.5</v>
      </c>
      <c r="I674" s="369"/>
    </row>
    <row r="675" spans="3:13" s="59" customFormat="1" ht="19.2" customHeight="1">
      <c r="C675" s="288" t="s">
        <v>1220</v>
      </c>
      <c r="D675" s="76" t="s">
        <v>1321</v>
      </c>
      <c r="E675" s="77"/>
      <c r="F675" s="78"/>
      <c r="G675" s="80">
        <v>0.1</v>
      </c>
      <c r="H675" s="63">
        <f>H674*G675</f>
        <v>70617.25</v>
      </c>
      <c r="I675" s="369"/>
    </row>
    <row r="676" spans="3:13" s="59" customFormat="1" ht="19.2" customHeight="1">
      <c r="C676" s="288" t="s">
        <v>1221</v>
      </c>
      <c r="D676" s="76" t="s">
        <v>1222</v>
      </c>
      <c r="E676" s="77"/>
      <c r="F676" s="77"/>
      <c r="G676" s="78"/>
      <c r="H676" s="799">
        <f>SUM(H674:H675)</f>
        <v>776789.75</v>
      </c>
      <c r="I676" s="369"/>
    </row>
    <row r="678" spans="3:13" s="59" customFormat="1" ht="17.399999999999999" customHeight="1">
      <c r="C678" s="46" t="s">
        <v>4589</v>
      </c>
      <c r="D678" s="1934" t="s">
        <v>4590</v>
      </c>
      <c r="E678" s="1934"/>
      <c r="F678" s="1934"/>
      <c r="G678" s="1934"/>
      <c r="H678" s="1934"/>
      <c r="I678" s="50">
        <f>ROUNDDOWN(H695,-2)</f>
        <v>832200</v>
      </c>
    </row>
    <row r="679" spans="3:13" s="59" customFormat="1" ht="19.2" customHeight="1">
      <c r="C679" s="591" t="s">
        <v>1195</v>
      </c>
      <c r="D679" s="591" t="s">
        <v>1196</v>
      </c>
      <c r="E679" s="591" t="s">
        <v>1197</v>
      </c>
      <c r="F679" s="591" t="s">
        <v>1198</v>
      </c>
      <c r="G679" s="591" t="s">
        <v>1199</v>
      </c>
      <c r="H679" s="591" t="s">
        <v>1200</v>
      </c>
      <c r="I679" s="44"/>
    </row>
    <row r="680" spans="3:13" s="59" customFormat="1" ht="19.2" customHeight="1">
      <c r="C680" s="61" t="s">
        <v>1201</v>
      </c>
      <c r="D680" s="56" t="s">
        <v>1202</v>
      </c>
      <c r="E680" s="57"/>
      <c r="F680" s="57"/>
      <c r="G680" s="57"/>
      <c r="H680" s="57"/>
      <c r="I680" s="44"/>
      <c r="J680" s="152" t="s">
        <v>1247</v>
      </c>
    </row>
    <row r="681" spans="3:13" s="59" customFormat="1" ht="19.2" customHeight="1">
      <c r="C681" s="588">
        <v>1</v>
      </c>
      <c r="D681" s="56" t="s">
        <v>5</v>
      </c>
      <c r="E681" s="577" t="s">
        <v>1863</v>
      </c>
      <c r="F681" s="101">
        <v>0.21579999999999999</v>
      </c>
      <c r="G681" s="63">
        <f>VLOOKUP(D681,upahbahan,3,FALSE)</f>
        <v>100000</v>
      </c>
      <c r="H681" s="63">
        <f>F681*G681</f>
        <v>21580</v>
      </c>
      <c r="I681" s="44"/>
      <c r="J681" s="152" t="s">
        <v>1248</v>
      </c>
      <c r="M681" s="65">
        <v>0.1</v>
      </c>
    </row>
    <row r="682" spans="3:13" s="59" customFormat="1" ht="19.2" customHeight="1">
      <c r="C682" s="588">
        <v>2</v>
      </c>
      <c r="D682" s="56" t="s">
        <v>2165</v>
      </c>
      <c r="E682" s="577" t="s">
        <v>1863</v>
      </c>
      <c r="F682" s="101">
        <v>0.21579999999999999</v>
      </c>
      <c r="G682" s="63">
        <f>VLOOKUP(D682,upahbahan,3,FALSE)</f>
        <v>135000</v>
      </c>
      <c r="H682" s="63">
        <f t="shared" ref="H682:H683" si="35">F682*G682</f>
        <v>29133</v>
      </c>
      <c r="I682" s="44"/>
      <c r="J682" s="152"/>
      <c r="M682" s="65"/>
    </row>
    <row r="683" spans="3:13" s="59" customFormat="1" ht="19.2" customHeight="1">
      <c r="C683" s="588">
        <v>3</v>
      </c>
      <c r="D683" s="56" t="s">
        <v>19</v>
      </c>
      <c r="E683" s="577" t="s">
        <v>1863</v>
      </c>
      <c r="F683" s="101">
        <v>1.0800000000000001E-2</v>
      </c>
      <c r="G683" s="63">
        <f>VLOOKUP(D683,upahbahan,3,FALSE)</f>
        <v>160000</v>
      </c>
      <c r="H683" s="63">
        <f t="shared" si="35"/>
        <v>1728</v>
      </c>
      <c r="I683" s="44"/>
    </row>
    <row r="684" spans="3:13" s="59" customFormat="1" ht="19.2" customHeight="1">
      <c r="C684" s="450" t="s">
        <v>1208</v>
      </c>
      <c r="D684" s="67"/>
      <c r="E684" s="67"/>
      <c r="F684" s="142"/>
      <c r="G684" s="153"/>
      <c r="H684" s="63">
        <f>SUM(H681:H683)</f>
        <v>52441</v>
      </c>
      <c r="I684" s="154"/>
    </row>
    <row r="685" spans="3:13" s="59" customFormat="1" ht="19.2" customHeight="1">
      <c r="C685" s="61" t="s">
        <v>1209</v>
      </c>
      <c r="D685" s="56" t="s">
        <v>1210</v>
      </c>
      <c r="E685" s="57"/>
      <c r="F685" s="57"/>
      <c r="G685" s="57"/>
      <c r="H685" s="57"/>
      <c r="I685" s="44"/>
    </row>
    <row r="686" spans="3:13" s="59" customFormat="1" ht="19.2" customHeight="1">
      <c r="C686" s="61">
        <v>1</v>
      </c>
      <c r="D686" s="56" t="s">
        <v>4574</v>
      </c>
      <c r="E686" s="93" t="s">
        <v>42</v>
      </c>
      <c r="F686" s="103">
        <v>4.4499999999999998E-2</v>
      </c>
      <c r="G686" s="63">
        <f>VLOOKUP(D686,upahbahan,3,FALSE)</f>
        <v>928000</v>
      </c>
      <c r="H686" s="63">
        <f>F686*G686</f>
        <v>41296</v>
      </c>
      <c r="I686" s="44"/>
    </row>
    <row r="687" spans="3:13" s="59" customFormat="1" ht="19.2" customHeight="1">
      <c r="C687" s="61">
        <v>2</v>
      </c>
      <c r="D687" s="56" t="s">
        <v>4488</v>
      </c>
      <c r="E687" s="93" t="s">
        <v>42</v>
      </c>
      <c r="F687" s="103">
        <v>8.8999999999999996E-2</v>
      </c>
      <c r="G687" s="63">
        <f>VLOOKUP(D687,upahbahan,3,FALSE)</f>
        <v>0</v>
      </c>
      <c r="H687" s="63">
        <f>F687*G687</f>
        <v>0</v>
      </c>
      <c r="I687" s="44"/>
    </row>
    <row r="688" spans="3:13" s="59" customFormat="1" ht="19.2" customHeight="1">
      <c r="C688" s="61">
        <v>3</v>
      </c>
      <c r="D688" s="56" t="s">
        <v>4515</v>
      </c>
      <c r="E688" s="93" t="s">
        <v>44</v>
      </c>
      <c r="F688" s="103">
        <v>0.83330000000000004</v>
      </c>
      <c r="G688" s="63">
        <f>VLOOKUP(D688,upahbahan,3,FALSE)</f>
        <v>420000</v>
      </c>
      <c r="H688" s="63">
        <f>F688*G688</f>
        <v>349986</v>
      </c>
      <c r="I688" s="44"/>
    </row>
    <row r="689" spans="3:13" s="59" customFormat="1" ht="19.2" customHeight="1">
      <c r="C689" s="450" t="s">
        <v>1214</v>
      </c>
      <c r="D689" s="67"/>
      <c r="E689" s="67"/>
      <c r="F689" s="67"/>
      <c r="G689" s="69"/>
      <c r="H689" s="63">
        <f>SUM(H686:H688)</f>
        <v>391282</v>
      </c>
      <c r="I689" s="44"/>
    </row>
    <row r="690" spans="3:13" s="59" customFormat="1" ht="19.2" customHeight="1">
      <c r="C690" s="61" t="s">
        <v>1215</v>
      </c>
      <c r="D690" s="56" t="s">
        <v>1216</v>
      </c>
      <c r="E690" s="93"/>
      <c r="F690" s="57"/>
      <c r="G690" s="57"/>
      <c r="H690" s="57"/>
      <c r="I690" s="44"/>
    </row>
    <row r="691" spans="3:13" s="59" customFormat="1" ht="19.2" customHeight="1">
      <c r="C691" s="800">
        <v>1</v>
      </c>
      <c r="D691" s="56" t="s">
        <v>1181</v>
      </c>
      <c r="E691" s="93" t="s">
        <v>1074</v>
      </c>
      <c r="F691" s="94">
        <v>0.21579999999999999</v>
      </c>
      <c r="G691" s="63">
        <f>VLOOKUP(D691,upahbahan,3,FALSE)</f>
        <v>1450000</v>
      </c>
      <c r="H691" s="63">
        <f>F691*G691</f>
        <v>312910</v>
      </c>
      <c r="I691" s="44"/>
    </row>
    <row r="692" spans="3:13" s="59" customFormat="1" ht="19.2" customHeight="1">
      <c r="C692" s="450" t="s">
        <v>1217</v>
      </c>
      <c r="D692" s="67"/>
      <c r="E692" s="67"/>
      <c r="F692" s="67"/>
      <c r="G692" s="69"/>
      <c r="H692" s="882">
        <f>SUM(H690:H691)</f>
        <v>312910</v>
      </c>
      <c r="I692" s="44"/>
    </row>
    <row r="693" spans="3:13" s="59" customFormat="1" ht="19.2" customHeight="1">
      <c r="C693" s="288" t="s">
        <v>1218</v>
      </c>
      <c r="D693" s="76" t="s">
        <v>1219</v>
      </c>
      <c r="E693" s="77"/>
      <c r="F693" s="77"/>
      <c r="G693" s="78"/>
      <c r="H693" s="585">
        <f>H692+H689+H684</f>
        <v>756633</v>
      </c>
      <c r="I693" s="369"/>
    </row>
    <row r="694" spans="3:13" s="59" customFormat="1" ht="19.2" customHeight="1">
      <c r="C694" s="288" t="s">
        <v>1220</v>
      </c>
      <c r="D694" s="76" t="s">
        <v>1321</v>
      </c>
      <c r="E694" s="77"/>
      <c r="F694" s="78"/>
      <c r="G694" s="80">
        <v>0.1</v>
      </c>
      <c r="H694" s="63">
        <f>H693*G694</f>
        <v>75663.3</v>
      </c>
      <c r="I694" s="369"/>
    </row>
    <row r="695" spans="3:13" s="59" customFormat="1" ht="19.2" customHeight="1">
      <c r="C695" s="288" t="s">
        <v>1221</v>
      </c>
      <c r="D695" s="76" t="s">
        <v>1222</v>
      </c>
      <c r="E695" s="77"/>
      <c r="F695" s="77"/>
      <c r="G695" s="78"/>
      <c r="H695" s="799">
        <f>SUM(H693:H694)</f>
        <v>832296.3</v>
      </c>
      <c r="I695" s="369"/>
    </row>
    <row r="697" spans="3:13" s="59" customFormat="1" ht="17.399999999999999" customHeight="1">
      <c r="C697" s="46" t="s">
        <v>4591</v>
      </c>
      <c r="D697" s="1934" t="s">
        <v>4592</v>
      </c>
      <c r="E697" s="1934"/>
      <c r="F697" s="1934"/>
      <c r="G697" s="1934"/>
      <c r="H697" s="1934"/>
      <c r="I697" s="50">
        <f>ROUNDDOWN(H714,-2)</f>
        <v>850900</v>
      </c>
    </row>
    <row r="698" spans="3:13" s="59" customFormat="1" ht="19.2" customHeight="1">
      <c r="C698" s="591" t="s">
        <v>1195</v>
      </c>
      <c r="D698" s="591" t="s">
        <v>1196</v>
      </c>
      <c r="E698" s="591" t="s">
        <v>1197</v>
      </c>
      <c r="F698" s="591" t="s">
        <v>1198</v>
      </c>
      <c r="G698" s="591" t="s">
        <v>1199</v>
      </c>
      <c r="H698" s="591" t="s">
        <v>1200</v>
      </c>
      <c r="I698" s="44"/>
    </row>
    <row r="699" spans="3:13" s="59" customFormat="1" ht="19.2" customHeight="1">
      <c r="C699" s="61" t="s">
        <v>1201</v>
      </c>
      <c r="D699" s="56" t="s">
        <v>1202</v>
      </c>
      <c r="E699" s="57"/>
      <c r="F699" s="57"/>
      <c r="G699" s="57"/>
      <c r="H699" s="57"/>
      <c r="I699" s="44"/>
      <c r="J699" s="152" t="s">
        <v>1247</v>
      </c>
    </row>
    <row r="700" spans="3:13" s="59" customFormat="1" ht="19.2" customHeight="1">
      <c r="C700" s="588">
        <v>1</v>
      </c>
      <c r="D700" s="56" t="s">
        <v>5</v>
      </c>
      <c r="E700" s="577" t="s">
        <v>1863</v>
      </c>
      <c r="F700" s="101">
        <v>0.216</v>
      </c>
      <c r="G700" s="63">
        <f>VLOOKUP(D700,upahbahan,3,FALSE)</f>
        <v>100000</v>
      </c>
      <c r="H700" s="63">
        <f>F700*G700</f>
        <v>21600</v>
      </c>
      <c r="I700" s="44"/>
      <c r="J700" s="152" t="s">
        <v>1248</v>
      </c>
      <c r="M700" s="65">
        <v>0.1</v>
      </c>
    </row>
    <row r="701" spans="3:13" s="59" customFormat="1" ht="19.2" customHeight="1">
      <c r="C701" s="588">
        <v>2</v>
      </c>
      <c r="D701" s="56" t="s">
        <v>2165</v>
      </c>
      <c r="E701" s="577" t="s">
        <v>1863</v>
      </c>
      <c r="F701" s="101">
        <v>0.216</v>
      </c>
      <c r="G701" s="63">
        <f>VLOOKUP(D701,upahbahan,3,FALSE)</f>
        <v>135000</v>
      </c>
      <c r="H701" s="63">
        <f t="shared" ref="H701:H702" si="36">F701*G701</f>
        <v>29160</v>
      </c>
      <c r="I701" s="44"/>
      <c r="J701" s="152"/>
      <c r="M701" s="65"/>
    </row>
    <row r="702" spans="3:13" s="59" customFormat="1" ht="19.2" customHeight="1">
      <c r="C702" s="588">
        <v>3</v>
      </c>
      <c r="D702" s="56" t="s">
        <v>19</v>
      </c>
      <c r="E702" s="577" t="s">
        <v>1863</v>
      </c>
      <c r="F702" s="101">
        <v>1.0800000000000001E-2</v>
      </c>
      <c r="G702" s="63">
        <f>VLOOKUP(D702,upahbahan,3,FALSE)</f>
        <v>160000</v>
      </c>
      <c r="H702" s="63">
        <f t="shared" si="36"/>
        <v>1728</v>
      </c>
      <c r="I702" s="44"/>
    </row>
    <row r="703" spans="3:13" s="59" customFormat="1" ht="19.2" customHeight="1">
      <c r="C703" s="450" t="s">
        <v>1208</v>
      </c>
      <c r="D703" s="67"/>
      <c r="E703" s="67"/>
      <c r="F703" s="142"/>
      <c r="G703" s="153"/>
      <c r="H703" s="63">
        <f>SUM(H700:H702)</f>
        <v>52488</v>
      </c>
      <c r="I703" s="154"/>
    </row>
    <row r="704" spans="3:13" s="59" customFormat="1" ht="19.2" customHeight="1">
      <c r="C704" s="61" t="s">
        <v>1209</v>
      </c>
      <c r="D704" s="56" t="s">
        <v>1210</v>
      </c>
      <c r="E704" s="57"/>
      <c r="F704" s="57"/>
      <c r="G704" s="57"/>
      <c r="H704" s="57"/>
      <c r="I704" s="44"/>
    </row>
    <row r="705" spans="3:13" s="59" customFormat="1" ht="19.2" customHeight="1">
      <c r="C705" s="61">
        <v>1</v>
      </c>
      <c r="D705" s="56" t="s">
        <v>4574</v>
      </c>
      <c r="E705" s="93" t="s">
        <v>42</v>
      </c>
      <c r="F705" s="103">
        <v>4.4499999999999998E-2</v>
      </c>
      <c r="G705" s="63">
        <f>VLOOKUP(D705,upahbahan,3,FALSE)</f>
        <v>928000</v>
      </c>
      <c r="H705" s="63">
        <f>F705*G705</f>
        <v>41296</v>
      </c>
      <c r="I705" s="44"/>
    </row>
    <row r="706" spans="3:13" s="59" customFormat="1" ht="19.2" customHeight="1">
      <c r="C706" s="61">
        <v>2</v>
      </c>
      <c r="D706" s="56" t="s">
        <v>4488</v>
      </c>
      <c r="E706" s="93" t="s">
        <v>42</v>
      </c>
      <c r="F706" s="103">
        <v>8.8999999999999996E-2</v>
      </c>
      <c r="G706" s="63">
        <f>VLOOKUP(D706,upahbahan,3,FALSE)</f>
        <v>0</v>
      </c>
      <c r="H706" s="63">
        <f>F706*G706</f>
        <v>0</v>
      </c>
      <c r="I706" s="44"/>
    </row>
    <row r="707" spans="3:13" s="59" customFormat="1" ht="19.2" customHeight="1">
      <c r="C707" s="61">
        <v>3</v>
      </c>
      <c r="D707" s="56" t="s">
        <v>4518</v>
      </c>
      <c r="E707" s="93" t="s">
        <v>44</v>
      </c>
      <c r="F707" s="103">
        <v>0.83330000000000004</v>
      </c>
      <c r="G707" s="63">
        <f>VLOOKUP(D707,upahbahan,3,FALSE)</f>
        <v>440000</v>
      </c>
      <c r="H707" s="63">
        <f>F707*G707</f>
        <v>366652</v>
      </c>
      <c r="I707" s="44"/>
    </row>
    <row r="708" spans="3:13" s="59" customFormat="1" ht="19.2" customHeight="1">
      <c r="C708" s="450" t="s">
        <v>1214</v>
      </c>
      <c r="D708" s="67"/>
      <c r="E708" s="67"/>
      <c r="F708" s="67"/>
      <c r="G708" s="69"/>
      <c r="H708" s="63">
        <f>SUM(H705:H707)</f>
        <v>407948</v>
      </c>
      <c r="I708" s="44"/>
    </row>
    <row r="709" spans="3:13" s="59" customFormat="1" ht="19.2" customHeight="1">
      <c r="C709" s="61" t="s">
        <v>1215</v>
      </c>
      <c r="D709" s="56" t="s">
        <v>1216</v>
      </c>
      <c r="E709" s="93"/>
      <c r="F709" s="57"/>
      <c r="G709" s="57"/>
      <c r="H709" s="57"/>
      <c r="I709" s="44"/>
    </row>
    <row r="710" spans="3:13" s="59" customFormat="1" ht="19.2" customHeight="1">
      <c r="C710" s="800">
        <v>1</v>
      </c>
      <c r="D710" s="56" t="s">
        <v>1181</v>
      </c>
      <c r="E710" s="93" t="s">
        <v>1074</v>
      </c>
      <c r="F710" s="94">
        <v>0.216</v>
      </c>
      <c r="G710" s="63">
        <f>VLOOKUP(D710,upahbahan,3,FALSE)</f>
        <v>1450000</v>
      </c>
      <c r="H710" s="63">
        <f>F710*G710</f>
        <v>313200</v>
      </c>
      <c r="I710" s="44"/>
    </row>
    <row r="711" spans="3:13" s="59" customFormat="1" ht="19.2" customHeight="1">
      <c r="C711" s="450" t="s">
        <v>1217</v>
      </c>
      <c r="D711" s="67"/>
      <c r="E711" s="67"/>
      <c r="F711" s="67"/>
      <c r="G711" s="69"/>
      <c r="H711" s="882">
        <f>SUM(H709:H710)</f>
        <v>313200</v>
      </c>
      <c r="I711" s="44"/>
    </row>
    <row r="712" spans="3:13" s="59" customFormat="1" ht="19.2" customHeight="1">
      <c r="C712" s="288" t="s">
        <v>1218</v>
      </c>
      <c r="D712" s="76" t="s">
        <v>1219</v>
      </c>
      <c r="E712" s="77"/>
      <c r="F712" s="77"/>
      <c r="G712" s="78"/>
      <c r="H712" s="585">
        <f>H711+H708+H703</f>
        <v>773636</v>
      </c>
      <c r="I712" s="369"/>
    </row>
    <row r="713" spans="3:13" s="59" customFormat="1" ht="19.2" customHeight="1">
      <c r="C713" s="288" t="s">
        <v>1220</v>
      </c>
      <c r="D713" s="76" t="s">
        <v>1321</v>
      </c>
      <c r="E713" s="77"/>
      <c r="F713" s="78"/>
      <c r="G713" s="80">
        <v>0.1</v>
      </c>
      <c r="H713" s="63">
        <f>H712*G713</f>
        <v>77363.600000000006</v>
      </c>
      <c r="I713" s="369"/>
    </row>
    <row r="714" spans="3:13" s="59" customFormat="1" ht="19.2" customHeight="1">
      <c r="C714" s="288" t="s">
        <v>1221</v>
      </c>
      <c r="D714" s="76" t="s">
        <v>1222</v>
      </c>
      <c r="E714" s="77"/>
      <c r="F714" s="77"/>
      <c r="G714" s="78"/>
      <c r="H714" s="799">
        <f>SUM(H712:H713)</f>
        <v>850999.6</v>
      </c>
      <c r="I714" s="369"/>
    </row>
    <row r="716" spans="3:13" s="59" customFormat="1" ht="17.399999999999999" customHeight="1">
      <c r="C716" s="46" t="s">
        <v>4593</v>
      </c>
      <c r="D716" s="1934" t="s">
        <v>4594</v>
      </c>
      <c r="E716" s="1934"/>
      <c r="F716" s="1934"/>
      <c r="G716" s="1934"/>
      <c r="H716" s="1934"/>
      <c r="I716" s="50">
        <f>ROUNDDOWN(H733,-2)</f>
        <v>882900</v>
      </c>
    </row>
    <row r="717" spans="3:13" s="59" customFormat="1" ht="17.399999999999999" customHeight="1">
      <c r="C717" s="591" t="s">
        <v>1195</v>
      </c>
      <c r="D717" s="591" t="s">
        <v>1196</v>
      </c>
      <c r="E717" s="591" t="s">
        <v>1197</v>
      </c>
      <c r="F717" s="591" t="s">
        <v>1198</v>
      </c>
      <c r="G717" s="591" t="s">
        <v>1199</v>
      </c>
      <c r="H717" s="591" t="s">
        <v>1200</v>
      </c>
      <c r="I717" s="44"/>
    </row>
    <row r="718" spans="3:13" s="59" customFormat="1" ht="19.2" customHeight="1">
      <c r="C718" s="61" t="s">
        <v>1201</v>
      </c>
      <c r="D718" s="56" t="s">
        <v>1202</v>
      </c>
      <c r="E718" s="57"/>
      <c r="F718" s="57"/>
      <c r="G718" s="57"/>
      <c r="H718" s="57"/>
      <c r="I718" s="44"/>
      <c r="J718" s="152" t="s">
        <v>1247</v>
      </c>
    </row>
    <row r="719" spans="3:13" s="59" customFormat="1" ht="19.2" customHeight="1">
      <c r="C719" s="588">
        <v>1</v>
      </c>
      <c r="D719" s="56" t="s">
        <v>5</v>
      </c>
      <c r="E719" s="577" t="s">
        <v>1863</v>
      </c>
      <c r="F719" s="101">
        <v>0.21840000000000001</v>
      </c>
      <c r="G719" s="63">
        <f>VLOOKUP(D719,upahbahan,3,FALSE)</f>
        <v>100000</v>
      </c>
      <c r="H719" s="63">
        <f>F719*G719</f>
        <v>21840</v>
      </c>
      <c r="I719" s="44"/>
      <c r="J719" s="152" t="s">
        <v>1248</v>
      </c>
      <c r="M719" s="65">
        <v>0.1</v>
      </c>
    </row>
    <row r="720" spans="3:13" s="59" customFormat="1" ht="19.2" customHeight="1">
      <c r="C720" s="588">
        <v>2</v>
      </c>
      <c r="D720" s="56" t="s">
        <v>2165</v>
      </c>
      <c r="E720" s="577" t="s">
        <v>1863</v>
      </c>
      <c r="F720" s="101">
        <v>0.21840000000000001</v>
      </c>
      <c r="G720" s="63">
        <f>VLOOKUP(D720,upahbahan,3,FALSE)</f>
        <v>135000</v>
      </c>
      <c r="H720" s="63">
        <f t="shared" ref="H720:H721" si="37">F720*G720</f>
        <v>29484</v>
      </c>
      <c r="I720" s="44"/>
      <c r="J720" s="152"/>
      <c r="M720" s="65"/>
    </row>
    <row r="721" spans="3:9" s="59" customFormat="1" ht="19.2" customHeight="1">
      <c r="C721" s="588">
        <v>3</v>
      </c>
      <c r="D721" s="56" t="s">
        <v>19</v>
      </c>
      <c r="E721" s="577" t="s">
        <v>1863</v>
      </c>
      <c r="F721" s="101">
        <v>1.09E-2</v>
      </c>
      <c r="G721" s="63">
        <f>VLOOKUP(D721,upahbahan,3,FALSE)</f>
        <v>160000</v>
      </c>
      <c r="H721" s="63">
        <f t="shared" si="37"/>
        <v>1744</v>
      </c>
      <c r="I721" s="44"/>
    </row>
    <row r="722" spans="3:9" s="59" customFormat="1" ht="19.2" customHeight="1">
      <c r="C722" s="450" t="s">
        <v>1208</v>
      </c>
      <c r="D722" s="67"/>
      <c r="E722" s="67"/>
      <c r="F722" s="142"/>
      <c r="G722" s="153"/>
      <c r="H722" s="63">
        <f>SUM(H719:H721)</f>
        <v>53068</v>
      </c>
      <c r="I722" s="154"/>
    </row>
    <row r="723" spans="3:9" s="59" customFormat="1" ht="19.2" customHeight="1">
      <c r="C723" s="61" t="s">
        <v>1209</v>
      </c>
      <c r="D723" s="56" t="s">
        <v>1210</v>
      </c>
      <c r="E723" s="57"/>
      <c r="F723" s="57"/>
      <c r="G723" s="57"/>
      <c r="H723" s="57"/>
      <c r="I723" s="44"/>
    </row>
    <row r="724" spans="3:9" s="59" customFormat="1" ht="19.2" customHeight="1">
      <c r="C724" s="61">
        <v>1</v>
      </c>
      <c r="D724" s="56" t="s">
        <v>4574</v>
      </c>
      <c r="E724" s="93" t="s">
        <v>42</v>
      </c>
      <c r="F724" s="103">
        <v>4.4499999999999998E-2</v>
      </c>
      <c r="G724" s="63">
        <f>VLOOKUP(D724,upahbahan,3,FALSE)</f>
        <v>928000</v>
      </c>
      <c r="H724" s="63">
        <f>F724*G724</f>
        <v>41296</v>
      </c>
      <c r="I724" s="44"/>
    </row>
    <row r="725" spans="3:9" s="59" customFormat="1" ht="19.2" customHeight="1">
      <c r="C725" s="61">
        <v>2</v>
      </c>
      <c r="D725" s="56" t="s">
        <v>4488</v>
      </c>
      <c r="E725" s="93" t="s">
        <v>42</v>
      </c>
      <c r="F725" s="103">
        <v>8.8999999999999996E-2</v>
      </c>
      <c r="G725" s="63">
        <f>VLOOKUP(D725,upahbahan,3,FALSE)</f>
        <v>0</v>
      </c>
      <c r="H725" s="63">
        <f>F725*G725</f>
        <v>0</v>
      </c>
      <c r="I725" s="44"/>
    </row>
    <row r="726" spans="3:9" s="59" customFormat="1" ht="19.2" customHeight="1">
      <c r="C726" s="61">
        <v>3</v>
      </c>
      <c r="D726" s="56" t="s">
        <v>4521</v>
      </c>
      <c r="E726" s="93" t="s">
        <v>44</v>
      </c>
      <c r="F726" s="103">
        <v>0.83330000000000004</v>
      </c>
      <c r="G726" s="63">
        <f>VLOOKUP(D726,upahbahan,3,FALSE)</f>
        <v>470000</v>
      </c>
      <c r="H726" s="63">
        <f>F726*G726</f>
        <v>391651</v>
      </c>
      <c r="I726" s="44"/>
    </row>
    <row r="727" spans="3:9" s="59" customFormat="1" ht="19.2" customHeight="1">
      <c r="C727" s="450" t="s">
        <v>1214</v>
      </c>
      <c r="D727" s="67"/>
      <c r="E727" s="67"/>
      <c r="F727" s="67"/>
      <c r="G727" s="69"/>
      <c r="H727" s="63">
        <f>SUM(H724:H726)</f>
        <v>432947</v>
      </c>
      <c r="I727" s="44"/>
    </row>
    <row r="728" spans="3:9" s="59" customFormat="1" ht="19.2" customHeight="1">
      <c r="C728" s="61" t="s">
        <v>1215</v>
      </c>
      <c r="D728" s="56" t="s">
        <v>1216</v>
      </c>
      <c r="E728" s="93"/>
      <c r="F728" s="57"/>
      <c r="G728" s="57"/>
      <c r="H728" s="57"/>
      <c r="I728" s="44"/>
    </row>
    <row r="729" spans="3:9" s="59" customFormat="1" ht="19.2" customHeight="1">
      <c r="C729" s="800">
        <v>1</v>
      </c>
      <c r="D729" s="56" t="s">
        <v>1181</v>
      </c>
      <c r="E729" s="93" t="s">
        <v>1074</v>
      </c>
      <c r="F729" s="94">
        <v>0.21840000000000001</v>
      </c>
      <c r="G729" s="63">
        <f>VLOOKUP(D729,upahbahan,3,FALSE)</f>
        <v>1450000</v>
      </c>
      <c r="H729" s="63">
        <f>F729*G729</f>
        <v>316680</v>
      </c>
      <c r="I729" s="44"/>
    </row>
    <row r="730" spans="3:9" s="59" customFormat="1" ht="19.2" customHeight="1">
      <c r="C730" s="450" t="s">
        <v>1217</v>
      </c>
      <c r="D730" s="67"/>
      <c r="E730" s="67"/>
      <c r="F730" s="67"/>
      <c r="G730" s="69"/>
      <c r="H730" s="882">
        <f>SUM(H728:H729)</f>
        <v>316680</v>
      </c>
      <c r="I730" s="44"/>
    </row>
    <row r="731" spans="3:9" s="59" customFormat="1" ht="19.2" customHeight="1">
      <c r="C731" s="288" t="s">
        <v>1218</v>
      </c>
      <c r="D731" s="76" t="s">
        <v>1219</v>
      </c>
      <c r="E731" s="77"/>
      <c r="F731" s="77"/>
      <c r="G731" s="78"/>
      <c r="H731" s="585">
        <f>H730+H727+H722</f>
        <v>802695</v>
      </c>
      <c r="I731" s="369"/>
    </row>
    <row r="732" spans="3:9" s="59" customFormat="1" ht="19.2" customHeight="1">
      <c r="C732" s="288" t="s">
        <v>1220</v>
      </c>
      <c r="D732" s="76" t="s">
        <v>1321</v>
      </c>
      <c r="E732" s="77"/>
      <c r="F732" s="78"/>
      <c r="G732" s="80">
        <v>0.1</v>
      </c>
      <c r="H732" s="63">
        <f>H731*G732</f>
        <v>80269.5</v>
      </c>
      <c r="I732" s="369"/>
    </row>
    <row r="733" spans="3:9" s="59" customFormat="1" ht="19.2" customHeight="1">
      <c r="C733" s="288" t="s">
        <v>1221</v>
      </c>
      <c r="D733" s="76" t="s">
        <v>1222</v>
      </c>
      <c r="E733" s="77"/>
      <c r="F733" s="77"/>
      <c r="G733" s="78"/>
      <c r="H733" s="799">
        <f>SUM(H731:H732)</f>
        <v>882964.5</v>
      </c>
      <c r="I733" s="369"/>
    </row>
    <row r="734" spans="3:9" ht="19.2" customHeight="1"/>
    <row r="735" spans="3:9" s="59" customFormat="1" ht="17.399999999999999" customHeight="1">
      <c r="C735" s="46" t="s">
        <v>4595</v>
      </c>
      <c r="D735" s="1934" t="s">
        <v>4596</v>
      </c>
      <c r="E735" s="1934"/>
      <c r="F735" s="1934"/>
      <c r="G735" s="1934"/>
      <c r="H735" s="1934"/>
      <c r="I735" s="50">
        <f>ROUNDDOWN(H752,-2)</f>
        <v>915300</v>
      </c>
    </row>
    <row r="736" spans="3:9" s="59" customFormat="1" ht="19.2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</row>
    <row r="737" spans="3:13" s="59" customFormat="1" ht="19.2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152" t="s">
        <v>1247</v>
      </c>
    </row>
    <row r="738" spans="3:13" s="59" customFormat="1" ht="19.2" customHeight="1">
      <c r="C738" s="588">
        <v>1</v>
      </c>
      <c r="D738" s="56" t="s">
        <v>5</v>
      </c>
      <c r="E738" s="577" t="s">
        <v>1863</v>
      </c>
      <c r="F738" s="101">
        <v>0.22020000000000001</v>
      </c>
      <c r="G738" s="63">
        <f>VLOOKUP(D738,upahbahan,3,FALSE)</f>
        <v>100000</v>
      </c>
      <c r="H738" s="63">
        <f>F738*G738</f>
        <v>22020</v>
      </c>
      <c r="I738" s="44"/>
      <c r="J738" s="152" t="s">
        <v>1248</v>
      </c>
      <c r="M738" s="65">
        <v>0.1</v>
      </c>
    </row>
    <row r="739" spans="3:13" s="59" customFormat="1" ht="19.2" customHeight="1">
      <c r="C739" s="588">
        <v>2</v>
      </c>
      <c r="D739" s="56" t="s">
        <v>2165</v>
      </c>
      <c r="E739" s="577" t="s">
        <v>1863</v>
      </c>
      <c r="F739" s="101">
        <v>0.22020000000000001</v>
      </c>
      <c r="G739" s="63">
        <f>VLOOKUP(D739,upahbahan,3,FALSE)</f>
        <v>135000</v>
      </c>
      <c r="H739" s="63">
        <f t="shared" ref="H739:H740" si="38">F739*G739</f>
        <v>29727</v>
      </c>
      <c r="I739" s="44"/>
      <c r="J739" s="152"/>
      <c r="M739" s="65"/>
    </row>
    <row r="740" spans="3:13" s="59" customFormat="1" ht="19.2" customHeight="1">
      <c r="C740" s="588">
        <v>3</v>
      </c>
      <c r="D740" s="56" t="s">
        <v>19</v>
      </c>
      <c r="E740" s="577" t="s">
        <v>1863</v>
      </c>
      <c r="F740" s="101">
        <v>1.0999999999999999E-2</v>
      </c>
      <c r="G740" s="63">
        <f>VLOOKUP(D740,upahbahan,3,FALSE)</f>
        <v>160000</v>
      </c>
      <c r="H740" s="63">
        <f t="shared" si="38"/>
        <v>1760</v>
      </c>
      <c r="I740" s="44"/>
    </row>
    <row r="741" spans="3:13" s="59" customFormat="1" ht="19.2" customHeight="1">
      <c r="C741" s="450" t="s">
        <v>1208</v>
      </c>
      <c r="D741" s="67"/>
      <c r="E741" s="67"/>
      <c r="F741" s="142"/>
      <c r="G741" s="153"/>
      <c r="H741" s="63">
        <f>SUM(H738:H740)</f>
        <v>53507</v>
      </c>
      <c r="I741" s="154"/>
    </row>
    <row r="742" spans="3:13" s="59" customFormat="1" ht="19.2" customHeight="1">
      <c r="C742" s="61" t="s">
        <v>1209</v>
      </c>
      <c r="D742" s="56" t="s">
        <v>1210</v>
      </c>
      <c r="E742" s="57"/>
      <c r="F742" s="57"/>
      <c r="G742" s="57"/>
      <c r="H742" s="57"/>
      <c r="I742" s="44"/>
    </row>
    <row r="743" spans="3:13" s="59" customFormat="1" ht="19.2" customHeight="1">
      <c r="C743" s="61">
        <v>1</v>
      </c>
      <c r="D743" s="56" t="s">
        <v>4574</v>
      </c>
      <c r="E743" s="93" t="s">
        <v>42</v>
      </c>
      <c r="F743" s="103">
        <v>5.5E-2</v>
      </c>
      <c r="G743" s="63">
        <f>VLOOKUP(D743,upahbahan,3,FALSE)</f>
        <v>928000</v>
      </c>
      <c r="H743" s="63">
        <f>F743*G743</f>
        <v>51040</v>
      </c>
      <c r="I743" s="44"/>
    </row>
    <row r="744" spans="3:13" s="59" customFormat="1" ht="19.2" customHeight="1">
      <c r="C744" s="61">
        <v>2</v>
      </c>
      <c r="D744" s="56" t="s">
        <v>4488</v>
      </c>
      <c r="E744" s="93" t="s">
        <v>42</v>
      </c>
      <c r="F744" s="103">
        <v>0.11</v>
      </c>
      <c r="G744" s="63">
        <f>VLOOKUP(D744,upahbahan,3,FALSE)</f>
        <v>0</v>
      </c>
      <c r="H744" s="63">
        <f>F744*G744</f>
        <v>0</v>
      </c>
      <c r="I744" s="44"/>
    </row>
    <row r="745" spans="3:13" s="59" customFormat="1" ht="19.2" customHeight="1">
      <c r="C745" s="61">
        <v>3</v>
      </c>
      <c r="D745" s="56" t="s">
        <v>4524</v>
      </c>
      <c r="E745" s="93" t="s">
        <v>44</v>
      </c>
      <c r="F745" s="103">
        <v>0.83330000000000004</v>
      </c>
      <c r="G745" s="63">
        <f>VLOOKUP(D745,upahbahan,3,FALSE)</f>
        <v>490000</v>
      </c>
      <c r="H745" s="63">
        <f>F745*G745</f>
        <v>408317</v>
      </c>
      <c r="I745" s="44"/>
    </row>
    <row r="746" spans="3:13" s="59" customFormat="1" ht="19.2" customHeight="1">
      <c r="C746" s="450" t="s">
        <v>1214</v>
      </c>
      <c r="D746" s="67"/>
      <c r="E746" s="67"/>
      <c r="F746" s="67"/>
      <c r="G746" s="69"/>
      <c r="H746" s="63">
        <f>SUM(H743:H745)</f>
        <v>459357</v>
      </c>
      <c r="I746" s="44"/>
    </row>
    <row r="747" spans="3:13" s="59" customFormat="1" ht="19.2" customHeight="1">
      <c r="C747" s="61" t="s">
        <v>1215</v>
      </c>
      <c r="D747" s="56" t="s">
        <v>1216</v>
      </c>
      <c r="E747" s="93"/>
      <c r="F747" s="57"/>
      <c r="G747" s="57"/>
      <c r="H747" s="57"/>
      <c r="I747" s="44"/>
    </row>
    <row r="748" spans="3:13" s="59" customFormat="1" ht="19.2" customHeight="1">
      <c r="C748" s="800">
        <v>1</v>
      </c>
      <c r="D748" s="56" t="s">
        <v>1181</v>
      </c>
      <c r="E748" s="93" t="s">
        <v>1074</v>
      </c>
      <c r="F748" s="94">
        <v>0.22020000000000001</v>
      </c>
      <c r="G748" s="63">
        <f>VLOOKUP(D748,upahbahan,3,FALSE)</f>
        <v>1450000</v>
      </c>
      <c r="H748" s="63">
        <f>F748*G748</f>
        <v>319290</v>
      </c>
      <c r="I748" s="44"/>
    </row>
    <row r="749" spans="3:13" s="59" customFormat="1" ht="19.2" customHeight="1">
      <c r="C749" s="450" t="s">
        <v>1217</v>
      </c>
      <c r="D749" s="67"/>
      <c r="E749" s="67"/>
      <c r="F749" s="67"/>
      <c r="G749" s="69"/>
      <c r="H749" s="882">
        <f>SUM(H747:H748)</f>
        <v>319290</v>
      </c>
      <c r="I749" s="44"/>
    </row>
    <row r="750" spans="3:13" s="59" customFormat="1" ht="19.2" customHeight="1">
      <c r="C750" s="288" t="s">
        <v>1218</v>
      </c>
      <c r="D750" s="76" t="s">
        <v>1219</v>
      </c>
      <c r="E750" s="77"/>
      <c r="F750" s="77"/>
      <c r="G750" s="78"/>
      <c r="H750" s="585">
        <f>H749+H746+H741</f>
        <v>832154</v>
      </c>
      <c r="I750" s="369"/>
    </row>
    <row r="751" spans="3:13" s="59" customFormat="1" ht="19.2" customHeight="1">
      <c r="C751" s="288" t="s">
        <v>1220</v>
      </c>
      <c r="D751" s="76" t="s">
        <v>1321</v>
      </c>
      <c r="E751" s="77"/>
      <c r="F751" s="78"/>
      <c r="G751" s="80">
        <v>0.1</v>
      </c>
      <c r="H751" s="63">
        <f>H750*G751</f>
        <v>83215.400000000009</v>
      </c>
      <c r="I751" s="369"/>
    </row>
    <row r="752" spans="3:13" s="59" customFormat="1" ht="19.2" customHeight="1">
      <c r="C752" s="288" t="s">
        <v>1221</v>
      </c>
      <c r="D752" s="76" t="s">
        <v>1222</v>
      </c>
      <c r="E752" s="77"/>
      <c r="F752" s="77"/>
      <c r="G752" s="78"/>
      <c r="H752" s="799">
        <f>SUM(H750:H751)</f>
        <v>915369.4</v>
      </c>
      <c r="I752" s="369"/>
    </row>
    <row r="754" spans="3:13" s="59" customFormat="1" ht="17.399999999999999" customHeight="1">
      <c r="C754" s="46" t="s">
        <v>4597</v>
      </c>
      <c r="D754" s="1934" t="s">
        <v>4598</v>
      </c>
      <c r="E754" s="1934"/>
      <c r="F754" s="1934"/>
      <c r="G754" s="1934"/>
      <c r="H754" s="1934"/>
      <c r="I754" s="50">
        <f>ROUNDDOWN(H771,-2)</f>
        <v>1033900</v>
      </c>
    </row>
    <row r="755" spans="3:13" s="59" customFormat="1" ht="19.2" customHeight="1">
      <c r="C755" s="591" t="s">
        <v>1195</v>
      </c>
      <c r="D755" s="591" t="s">
        <v>1196</v>
      </c>
      <c r="E755" s="591" t="s">
        <v>1197</v>
      </c>
      <c r="F755" s="591" t="s">
        <v>1198</v>
      </c>
      <c r="G755" s="591" t="s">
        <v>1199</v>
      </c>
      <c r="H755" s="591" t="s">
        <v>1200</v>
      </c>
      <c r="I755" s="44"/>
    </row>
    <row r="756" spans="3:13" s="59" customFormat="1" ht="19.2" customHeight="1">
      <c r="C756" s="61" t="s">
        <v>1201</v>
      </c>
      <c r="D756" s="56" t="s">
        <v>1202</v>
      </c>
      <c r="E756" s="57"/>
      <c r="F756" s="57"/>
      <c r="G756" s="57"/>
      <c r="H756" s="57"/>
      <c r="I756" s="44"/>
      <c r="J756" s="152" t="s">
        <v>1247</v>
      </c>
    </row>
    <row r="757" spans="3:13" s="59" customFormat="1" ht="19.2" customHeight="1">
      <c r="C757" s="588">
        <v>1</v>
      </c>
      <c r="D757" s="56" t="s">
        <v>5</v>
      </c>
      <c r="E757" s="577" t="s">
        <v>1863</v>
      </c>
      <c r="F757" s="101">
        <v>0.90449999999999997</v>
      </c>
      <c r="G757" s="63">
        <f>VLOOKUP(D757,upahbahan,3,FALSE)</f>
        <v>100000</v>
      </c>
      <c r="H757" s="63">
        <f>F757*G757</f>
        <v>90450</v>
      </c>
      <c r="I757" s="44"/>
      <c r="J757" s="152" t="s">
        <v>1248</v>
      </c>
      <c r="M757" s="65">
        <v>0.1</v>
      </c>
    </row>
    <row r="758" spans="3:13" s="59" customFormat="1" ht="19.2" customHeight="1">
      <c r="C758" s="588">
        <v>2</v>
      </c>
      <c r="D758" s="56" t="s">
        <v>2165</v>
      </c>
      <c r="E758" s="577" t="s">
        <v>1863</v>
      </c>
      <c r="F758" s="101">
        <v>0.2261</v>
      </c>
      <c r="G758" s="63">
        <f>VLOOKUP(D758,upahbahan,3,FALSE)</f>
        <v>135000</v>
      </c>
      <c r="H758" s="63">
        <f t="shared" ref="H758:H759" si="39">F758*G758</f>
        <v>30523.5</v>
      </c>
      <c r="I758" s="44"/>
      <c r="J758" s="152"/>
      <c r="M758" s="65"/>
    </row>
    <row r="759" spans="3:13" s="59" customFormat="1" ht="19.2" customHeight="1">
      <c r="C759" s="588">
        <v>3</v>
      </c>
      <c r="D759" s="56" t="s">
        <v>19</v>
      </c>
      <c r="E759" s="577" t="s">
        <v>1863</v>
      </c>
      <c r="F759" s="101">
        <v>4.5199999999999997E-2</v>
      </c>
      <c r="G759" s="63">
        <f>VLOOKUP(D759,upahbahan,3,FALSE)</f>
        <v>160000</v>
      </c>
      <c r="H759" s="63">
        <f t="shared" si="39"/>
        <v>7231.9999999999991</v>
      </c>
      <c r="I759" s="44"/>
    </row>
    <row r="760" spans="3:13" s="59" customFormat="1" ht="19.2" customHeight="1">
      <c r="C760" s="450" t="s">
        <v>1208</v>
      </c>
      <c r="D760" s="67"/>
      <c r="E760" s="67"/>
      <c r="F760" s="142"/>
      <c r="G760" s="153"/>
      <c r="H760" s="63">
        <f>SUM(H757:H759)</f>
        <v>128205.5</v>
      </c>
      <c r="I760" s="154"/>
    </row>
    <row r="761" spans="3:13" s="59" customFormat="1" ht="19.2" customHeight="1">
      <c r="C761" s="61" t="s">
        <v>1209</v>
      </c>
      <c r="D761" s="56" t="s">
        <v>1210</v>
      </c>
      <c r="E761" s="57"/>
      <c r="F761" s="57"/>
      <c r="G761" s="57"/>
      <c r="H761" s="57"/>
      <c r="I761" s="44"/>
    </row>
    <row r="762" spans="3:13" s="59" customFormat="1" ht="19.2" customHeight="1">
      <c r="C762" s="61">
        <v>1</v>
      </c>
      <c r="D762" s="56" t="s">
        <v>4574</v>
      </c>
      <c r="E762" s="93" t="s">
        <v>42</v>
      </c>
      <c r="F762" s="103">
        <v>5.45E-2</v>
      </c>
      <c r="G762" s="63">
        <f>VLOOKUP(D762,upahbahan,3,FALSE)</f>
        <v>928000</v>
      </c>
      <c r="H762" s="63">
        <f>F762*G762</f>
        <v>50576</v>
      </c>
      <c r="I762" s="44"/>
    </row>
    <row r="763" spans="3:13" s="59" customFormat="1" ht="19.2" customHeight="1">
      <c r="C763" s="61">
        <v>2</v>
      </c>
      <c r="D763" s="56" t="s">
        <v>4488</v>
      </c>
      <c r="E763" s="93" t="s">
        <v>42</v>
      </c>
      <c r="F763" s="103">
        <v>0.109</v>
      </c>
      <c r="G763" s="63">
        <f>VLOOKUP(D763,upahbahan,3,FALSE)</f>
        <v>0</v>
      </c>
      <c r="H763" s="63">
        <f>F763*G763</f>
        <v>0</v>
      </c>
      <c r="I763" s="44"/>
    </row>
    <row r="764" spans="3:13" s="59" customFormat="1" ht="19.2" customHeight="1">
      <c r="C764" s="61">
        <v>3</v>
      </c>
      <c r="D764" s="56" t="s">
        <v>4527</v>
      </c>
      <c r="E764" s="93" t="s">
        <v>44</v>
      </c>
      <c r="F764" s="103">
        <v>0.83330000000000004</v>
      </c>
      <c r="G764" s="63">
        <f>VLOOKUP(D764,upahbahan,3,FALSE)</f>
        <v>520000</v>
      </c>
      <c r="H764" s="63">
        <f>F764*G764</f>
        <v>433316</v>
      </c>
      <c r="I764" s="44"/>
    </row>
    <row r="765" spans="3:13" s="59" customFormat="1" ht="19.2" customHeight="1">
      <c r="C765" s="450" t="s">
        <v>1214</v>
      </c>
      <c r="D765" s="67"/>
      <c r="E765" s="67"/>
      <c r="F765" s="67"/>
      <c r="G765" s="69"/>
      <c r="H765" s="63">
        <f>SUM(H762:H764)</f>
        <v>483892</v>
      </c>
      <c r="I765" s="44"/>
    </row>
    <row r="766" spans="3:13" s="59" customFormat="1" ht="19.2" customHeight="1">
      <c r="C766" s="61" t="s">
        <v>1215</v>
      </c>
      <c r="D766" s="56" t="s">
        <v>1216</v>
      </c>
      <c r="E766" s="93"/>
      <c r="F766" s="57"/>
      <c r="G766" s="57"/>
      <c r="H766" s="57"/>
      <c r="I766" s="44"/>
    </row>
    <row r="767" spans="3:13" s="59" customFormat="1" ht="19.2" customHeight="1">
      <c r="C767" s="800">
        <v>1</v>
      </c>
      <c r="D767" s="56" t="s">
        <v>1181</v>
      </c>
      <c r="E767" s="93" t="s">
        <v>1074</v>
      </c>
      <c r="F767" s="94">
        <v>0.2261</v>
      </c>
      <c r="G767" s="63">
        <f>VLOOKUP(D767,upahbahan,3,FALSE)</f>
        <v>1450000</v>
      </c>
      <c r="H767" s="63">
        <f>F767*G767</f>
        <v>327845</v>
      </c>
      <c r="I767" s="44"/>
    </row>
    <row r="768" spans="3:13" s="59" customFormat="1" ht="19.2" customHeight="1">
      <c r="C768" s="450" t="s">
        <v>1217</v>
      </c>
      <c r="D768" s="67"/>
      <c r="E768" s="67"/>
      <c r="F768" s="67"/>
      <c r="G768" s="69"/>
      <c r="H768" s="882">
        <f>SUM(H766:H767)</f>
        <v>327845</v>
      </c>
      <c r="I768" s="44"/>
    </row>
    <row r="769" spans="3:13" s="59" customFormat="1" ht="19.2" customHeight="1">
      <c r="C769" s="288" t="s">
        <v>1218</v>
      </c>
      <c r="D769" s="76" t="s">
        <v>1219</v>
      </c>
      <c r="E769" s="77"/>
      <c r="F769" s="77"/>
      <c r="G769" s="78"/>
      <c r="H769" s="585">
        <f>H768+H765+H760</f>
        <v>939942.5</v>
      </c>
      <c r="I769" s="369"/>
    </row>
    <row r="770" spans="3:13" s="59" customFormat="1" ht="19.2" customHeight="1">
      <c r="C770" s="288" t="s">
        <v>1220</v>
      </c>
      <c r="D770" s="76" t="s">
        <v>1321</v>
      </c>
      <c r="E770" s="77"/>
      <c r="F770" s="78"/>
      <c r="G770" s="80">
        <v>0.1</v>
      </c>
      <c r="H770" s="63">
        <f>H769*G770</f>
        <v>93994.25</v>
      </c>
      <c r="I770" s="369"/>
    </row>
    <row r="771" spans="3:13" s="59" customFormat="1" ht="19.2" customHeight="1">
      <c r="C771" s="288" t="s">
        <v>1221</v>
      </c>
      <c r="D771" s="76" t="s">
        <v>1222</v>
      </c>
      <c r="E771" s="77"/>
      <c r="F771" s="77"/>
      <c r="G771" s="78"/>
      <c r="H771" s="799">
        <f>SUM(H769:H770)</f>
        <v>1033936.75</v>
      </c>
      <c r="I771" s="369"/>
    </row>
    <row r="773" spans="3:13" s="59" customFormat="1" ht="17.399999999999999" customHeight="1">
      <c r="C773" s="46" t="s">
        <v>4599</v>
      </c>
      <c r="D773" s="1934" t="s">
        <v>4600</v>
      </c>
      <c r="E773" s="1934"/>
      <c r="F773" s="1934"/>
      <c r="G773" s="1934"/>
      <c r="H773" s="1934"/>
      <c r="I773" s="50">
        <f>ROUNDDOWN(H790,-2)</f>
        <v>1078800</v>
      </c>
    </row>
    <row r="774" spans="3:13" s="59" customFormat="1" ht="19.2" customHeight="1">
      <c r="C774" s="591" t="s">
        <v>1195</v>
      </c>
      <c r="D774" s="591" t="s">
        <v>1196</v>
      </c>
      <c r="E774" s="591" t="s">
        <v>1197</v>
      </c>
      <c r="F774" s="591" t="s">
        <v>1198</v>
      </c>
      <c r="G774" s="591" t="s">
        <v>1199</v>
      </c>
      <c r="H774" s="591" t="s">
        <v>1200</v>
      </c>
      <c r="I774" s="44"/>
    </row>
    <row r="775" spans="3:13" s="59" customFormat="1" ht="19.2" customHeight="1">
      <c r="C775" s="61" t="s">
        <v>1201</v>
      </c>
      <c r="D775" s="56" t="s">
        <v>1202</v>
      </c>
      <c r="E775" s="57"/>
      <c r="F775" s="57"/>
      <c r="G775" s="57"/>
      <c r="H775" s="57"/>
      <c r="I775" s="44"/>
      <c r="J775" s="152" t="s">
        <v>1247</v>
      </c>
    </row>
    <row r="776" spans="3:13" s="59" customFormat="1" ht="19.2" customHeight="1">
      <c r="C776" s="588">
        <v>1</v>
      </c>
      <c r="D776" s="56" t="s">
        <v>5</v>
      </c>
      <c r="E776" s="577" t="s">
        <v>1863</v>
      </c>
      <c r="F776" s="101">
        <v>0.95250000000000001</v>
      </c>
      <c r="G776" s="63">
        <f>VLOOKUP(D776,upahbahan,3,FALSE)</f>
        <v>100000</v>
      </c>
      <c r="H776" s="63">
        <f>F776*G776</f>
        <v>95250</v>
      </c>
      <c r="I776" s="44"/>
      <c r="J776" s="152" t="s">
        <v>1248</v>
      </c>
      <c r="M776" s="65">
        <v>0.1</v>
      </c>
    </row>
    <row r="777" spans="3:13" s="59" customFormat="1" ht="19.2" customHeight="1">
      <c r="C777" s="588">
        <v>2</v>
      </c>
      <c r="D777" s="56" t="s">
        <v>2165</v>
      </c>
      <c r="E777" s="577" t="s">
        <v>1863</v>
      </c>
      <c r="F777" s="101">
        <v>0.23810000000000001</v>
      </c>
      <c r="G777" s="63">
        <f>VLOOKUP(D777,upahbahan,3,FALSE)</f>
        <v>135000</v>
      </c>
      <c r="H777" s="63">
        <f t="shared" ref="H777:H778" si="40">F777*G777</f>
        <v>32143.5</v>
      </c>
      <c r="I777" s="44"/>
      <c r="J777" s="152"/>
      <c r="M777" s="65"/>
    </row>
    <row r="778" spans="3:13" s="59" customFormat="1" ht="19.2" customHeight="1">
      <c r="C778" s="588">
        <v>3</v>
      </c>
      <c r="D778" s="56" t="s">
        <v>19</v>
      </c>
      <c r="E778" s="577" t="s">
        <v>1863</v>
      </c>
      <c r="F778" s="101">
        <v>4.7600000000000003E-2</v>
      </c>
      <c r="G778" s="63">
        <f>VLOOKUP(D778,upahbahan,3,FALSE)</f>
        <v>160000</v>
      </c>
      <c r="H778" s="63">
        <f t="shared" si="40"/>
        <v>7616.0000000000009</v>
      </c>
      <c r="I778" s="44"/>
    </row>
    <row r="779" spans="3:13" s="59" customFormat="1" ht="19.2" customHeight="1">
      <c r="C779" s="450" t="s">
        <v>1208</v>
      </c>
      <c r="D779" s="67"/>
      <c r="E779" s="67"/>
      <c r="F779" s="142"/>
      <c r="G779" s="153"/>
      <c r="H779" s="63">
        <f>SUM(H776:H778)</f>
        <v>135009.5</v>
      </c>
      <c r="I779" s="154"/>
    </row>
    <row r="780" spans="3:13" s="59" customFormat="1" ht="19.2" customHeight="1">
      <c r="C780" s="61" t="s">
        <v>1209</v>
      </c>
      <c r="D780" s="56" t="s">
        <v>1210</v>
      </c>
      <c r="E780" s="57"/>
      <c r="F780" s="57"/>
      <c r="G780" s="57"/>
      <c r="H780" s="57"/>
      <c r="I780" s="44"/>
    </row>
    <row r="781" spans="3:13" s="59" customFormat="1" ht="19.2" customHeight="1">
      <c r="C781" s="61">
        <v>1</v>
      </c>
      <c r="D781" s="56" t="s">
        <v>4574</v>
      </c>
      <c r="E781" s="93" t="s">
        <v>42</v>
      </c>
      <c r="F781" s="103">
        <v>5.45E-2</v>
      </c>
      <c r="G781" s="63">
        <f>VLOOKUP(D781,upahbahan,3,FALSE)</f>
        <v>928000</v>
      </c>
      <c r="H781" s="63">
        <f>F781*G781</f>
        <v>50576</v>
      </c>
      <c r="I781" s="44"/>
    </row>
    <row r="782" spans="3:13" s="59" customFormat="1" ht="19.2" customHeight="1">
      <c r="C782" s="61">
        <v>2</v>
      </c>
      <c r="D782" s="56" t="s">
        <v>4488</v>
      </c>
      <c r="E782" s="93" t="s">
        <v>42</v>
      </c>
      <c r="F782" s="103">
        <v>0.109</v>
      </c>
      <c r="G782" s="63">
        <f>VLOOKUP(D782,upahbahan,3,FALSE)</f>
        <v>0</v>
      </c>
      <c r="H782" s="63">
        <f>F782*G782</f>
        <v>0</v>
      </c>
      <c r="I782" s="44"/>
    </row>
    <row r="783" spans="3:13" s="59" customFormat="1" ht="19.2" customHeight="1">
      <c r="C783" s="61">
        <v>3</v>
      </c>
      <c r="D783" s="56" t="s">
        <v>4530</v>
      </c>
      <c r="E783" s="93" t="s">
        <v>44</v>
      </c>
      <c r="F783" s="103">
        <v>0.83330000000000004</v>
      </c>
      <c r="G783" s="63">
        <f>VLOOKUP(D783,upahbahan,3,FALSE)</f>
        <v>540000</v>
      </c>
      <c r="H783" s="63">
        <f>F783*G783</f>
        <v>449982</v>
      </c>
      <c r="I783" s="44"/>
    </row>
    <row r="784" spans="3:13" s="59" customFormat="1" ht="19.2" customHeight="1">
      <c r="C784" s="450" t="s">
        <v>1214</v>
      </c>
      <c r="D784" s="67"/>
      <c r="E784" s="67"/>
      <c r="F784" s="67"/>
      <c r="G784" s="69"/>
      <c r="H784" s="63">
        <f>SUM(H781:H783)</f>
        <v>500558</v>
      </c>
      <c r="I784" s="44"/>
    </row>
    <row r="785" spans="3:13" s="59" customFormat="1" ht="19.2" customHeight="1">
      <c r="C785" s="61" t="s">
        <v>1215</v>
      </c>
      <c r="D785" s="56" t="s">
        <v>1216</v>
      </c>
      <c r="E785" s="93"/>
      <c r="F785" s="57"/>
      <c r="G785" s="57"/>
      <c r="H785" s="57"/>
      <c r="I785" s="44"/>
    </row>
    <row r="786" spans="3:13" s="59" customFormat="1" ht="19.2" customHeight="1">
      <c r="C786" s="800">
        <v>1</v>
      </c>
      <c r="D786" s="56" t="s">
        <v>1181</v>
      </c>
      <c r="E786" s="93" t="s">
        <v>1074</v>
      </c>
      <c r="F786" s="94">
        <v>0.23810000000000001</v>
      </c>
      <c r="G786" s="63">
        <f>VLOOKUP(D786,upahbahan,3,FALSE)</f>
        <v>1450000</v>
      </c>
      <c r="H786" s="63">
        <f>F786*G786</f>
        <v>345245</v>
      </c>
      <c r="I786" s="44"/>
    </row>
    <row r="787" spans="3:13" s="59" customFormat="1" ht="19.2" customHeight="1">
      <c r="C787" s="450" t="s">
        <v>1217</v>
      </c>
      <c r="D787" s="67"/>
      <c r="E787" s="67"/>
      <c r="F787" s="67"/>
      <c r="G787" s="69"/>
      <c r="H787" s="882">
        <f>SUM(H785:H786)</f>
        <v>345245</v>
      </c>
      <c r="I787" s="44"/>
    </row>
    <row r="788" spans="3:13" s="59" customFormat="1" ht="19.2" customHeight="1">
      <c r="C788" s="288" t="s">
        <v>1218</v>
      </c>
      <c r="D788" s="76" t="s">
        <v>1219</v>
      </c>
      <c r="E788" s="77"/>
      <c r="F788" s="77"/>
      <c r="G788" s="78"/>
      <c r="H788" s="585">
        <f>H787+H784+H779</f>
        <v>980812.5</v>
      </c>
      <c r="I788" s="369"/>
    </row>
    <row r="789" spans="3:13" s="59" customFormat="1" ht="19.2" customHeight="1">
      <c r="C789" s="288" t="s">
        <v>1220</v>
      </c>
      <c r="D789" s="76" t="s">
        <v>1321</v>
      </c>
      <c r="E789" s="77"/>
      <c r="F789" s="78"/>
      <c r="G789" s="80">
        <v>0.1</v>
      </c>
      <c r="H789" s="63">
        <f>H788*G789</f>
        <v>98081.25</v>
      </c>
      <c r="I789" s="369"/>
    </row>
    <row r="790" spans="3:13" s="59" customFormat="1" ht="19.2" customHeight="1">
      <c r="C790" s="288" t="s">
        <v>1221</v>
      </c>
      <c r="D790" s="76" t="s">
        <v>1222</v>
      </c>
      <c r="E790" s="77"/>
      <c r="F790" s="77"/>
      <c r="G790" s="78"/>
      <c r="H790" s="799">
        <f>SUM(H788:H789)</f>
        <v>1078893.75</v>
      </c>
      <c r="I790" s="369"/>
    </row>
    <row r="792" spans="3:13" s="59" customFormat="1" ht="13.8">
      <c r="C792" s="46" t="s">
        <v>4602</v>
      </c>
      <c r="D792" s="1934" t="s">
        <v>4601</v>
      </c>
      <c r="E792" s="1934"/>
      <c r="F792" s="1934"/>
      <c r="G792" s="1934"/>
      <c r="H792" s="1934"/>
      <c r="I792" s="50">
        <f>ROUNDDOWN(H809,-2)</f>
        <v>1125700</v>
      </c>
    </row>
    <row r="793" spans="3:13" s="59" customFormat="1" ht="19.2" customHeight="1">
      <c r="C793" s="591" t="s">
        <v>1195</v>
      </c>
      <c r="D793" s="591" t="s">
        <v>1196</v>
      </c>
      <c r="E793" s="591" t="s">
        <v>1197</v>
      </c>
      <c r="F793" s="591" t="s">
        <v>1198</v>
      </c>
      <c r="G793" s="591" t="s">
        <v>1199</v>
      </c>
      <c r="H793" s="591" t="s">
        <v>1200</v>
      </c>
      <c r="I793" s="44"/>
    </row>
    <row r="794" spans="3:13" s="59" customFormat="1" ht="19.2" customHeight="1">
      <c r="C794" s="61" t="s">
        <v>1201</v>
      </c>
      <c r="D794" s="56" t="s">
        <v>1202</v>
      </c>
      <c r="E794" s="57"/>
      <c r="F794" s="57"/>
      <c r="G794" s="57"/>
      <c r="H794" s="57"/>
      <c r="I794" s="44"/>
      <c r="J794" s="152" t="s">
        <v>1247</v>
      </c>
    </row>
    <row r="795" spans="3:13" s="59" customFormat="1" ht="19.2" customHeight="1">
      <c r="C795" s="588">
        <v>1</v>
      </c>
      <c r="D795" s="56" t="s">
        <v>5</v>
      </c>
      <c r="E795" s="577" t="s">
        <v>1863</v>
      </c>
      <c r="F795" s="101">
        <v>0.96509999999999996</v>
      </c>
      <c r="G795" s="63">
        <f>VLOOKUP(D795,upahbahan,3,FALSE)</f>
        <v>100000</v>
      </c>
      <c r="H795" s="63">
        <f>F795*G795</f>
        <v>96510</v>
      </c>
      <c r="I795" s="44"/>
      <c r="J795" s="152" t="s">
        <v>1248</v>
      </c>
      <c r="M795" s="65">
        <v>0.1</v>
      </c>
    </row>
    <row r="796" spans="3:13" s="59" customFormat="1" ht="19.2" customHeight="1">
      <c r="C796" s="588">
        <v>2</v>
      </c>
      <c r="D796" s="56" t="s">
        <v>2165</v>
      </c>
      <c r="E796" s="577" t="s">
        <v>1863</v>
      </c>
      <c r="F796" s="101">
        <v>0.24129999999999999</v>
      </c>
      <c r="G796" s="63">
        <f>VLOOKUP(D796,upahbahan,3,FALSE)</f>
        <v>135000</v>
      </c>
      <c r="H796" s="63">
        <f t="shared" ref="H796:H797" si="41">F796*G796</f>
        <v>32575.5</v>
      </c>
      <c r="I796" s="44"/>
      <c r="J796" s="152"/>
      <c r="M796" s="65"/>
    </row>
    <row r="797" spans="3:13" s="59" customFormat="1" ht="19.2" customHeight="1">
      <c r="C797" s="588">
        <v>3</v>
      </c>
      <c r="D797" s="56" t="s">
        <v>19</v>
      </c>
      <c r="E797" s="577" t="s">
        <v>1863</v>
      </c>
      <c r="F797" s="101">
        <v>4.8300000000000003E-2</v>
      </c>
      <c r="G797" s="63">
        <f>VLOOKUP(D797,upahbahan,3,FALSE)</f>
        <v>160000</v>
      </c>
      <c r="H797" s="63">
        <f t="shared" si="41"/>
        <v>7728</v>
      </c>
      <c r="I797" s="44"/>
    </row>
    <row r="798" spans="3:13" s="59" customFormat="1" ht="19.2" customHeight="1">
      <c r="C798" s="450" t="s">
        <v>1208</v>
      </c>
      <c r="D798" s="67"/>
      <c r="E798" s="67"/>
      <c r="F798" s="142"/>
      <c r="G798" s="153"/>
      <c r="H798" s="63">
        <f>SUM(H795:H797)</f>
        <v>136813.5</v>
      </c>
      <c r="I798" s="154"/>
    </row>
    <row r="799" spans="3:13" s="59" customFormat="1" ht="19.2" customHeight="1">
      <c r="C799" s="61" t="s">
        <v>1209</v>
      </c>
      <c r="D799" s="56" t="s">
        <v>1210</v>
      </c>
      <c r="E799" s="57"/>
      <c r="F799" s="57"/>
      <c r="G799" s="57"/>
      <c r="H799" s="57"/>
      <c r="I799" s="44"/>
    </row>
    <row r="800" spans="3:13" s="59" customFormat="1" ht="19.2" customHeight="1">
      <c r="C800" s="61">
        <v>1</v>
      </c>
      <c r="D800" s="56" t="s">
        <v>4574</v>
      </c>
      <c r="E800" s="93" t="s">
        <v>42</v>
      </c>
      <c r="F800" s="103">
        <v>6.6500000000000004E-2</v>
      </c>
      <c r="G800" s="63">
        <f>VLOOKUP(D800,upahbahan,3,FALSE)</f>
        <v>928000</v>
      </c>
      <c r="H800" s="63">
        <f>F800*G800</f>
        <v>61712</v>
      </c>
      <c r="I800" s="44"/>
    </row>
    <row r="801" spans="3:13" s="59" customFormat="1" ht="19.2" customHeight="1">
      <c r="C801" s="61">
        <v>2</v>
      </c>
      <c r="D801" s="56" t="s">
        <v>4488</v>
      </c>
      <c r="E801" s="93" t="s">
        <v>42</v>
      </c>
      <c r="F801" s="103">
        <v>0.13300000000000001</v>
      </c>
      <c r="G801" s="63">
        <f>VLOOKUP(D801,upahbahan,3,FALSE)</f>
        <v>0</v>
      </c>
      <c r="H801" s="63">
        <f>F801*G801</f>
        <v>0</v>
      </c>
      <c r="I801" s="44"/>
    </row>
    <row r="802" spans="3:13" s="59" customFormat="1" ht="19.2" customHeight="1">
      <c r="C802" s="61">
        <v>3</v>
      </c>
      <c r="D802" s="56" t="s">
        <v>4533</v>
      </c>
      <c r="E802" s="93" t="s">
        <v>44</v>
      </c>
      <c r="F802" s="103">
        <v>0.83330000000000004</v>
      </c>
      <c r="G802" s="63">
        <f>VLOOKUP(D802,upahbahan,3,FALSE)</f>
        <v>570000</v>
      </c>
      <c r="H802" s="63">
        <f>F802*G802</f>
        <v>474981</v>
      </c>
      <c r="I802" s="44"/>
    </row>
    <row r="803" spans="3:13" s="59" customFormat="1" ht="19.2" customHeight="1">
      <c r="C803" s="450" t="s">
        <v>1214</v>
      </c>
      <c r="D803" s="67"/>
      <c r="E803" s="67"/>
      <c r="F803" s="67"/>
      <c r="G803" s="69"/>
      <c r="H803" s="63">
        <f>SUM(H800:H802)</f>
        <v>536693</v>
      </c>
      <c r="I803" s="44"/>
    </row>
    <row r="804" spans="3:13" s="59" customFormat="1" ht="19.2" customHeight="1">
      <c r="C804" s="61" t="s">
        <v>1215</v>
      </c>
      <c r="D804" s="56" t="s">
        <v>1216</v>
      </c>
      <c r="E804" s="93"/>
      <c r="F804" s="57"/>
      <c r="G804" s="57"/>
      <c r="H804" s="57"/>
      <c r="I804" s="44"/>
    </row>
    <row r="805" spans="3:13" s="59" customFormat="1" ht="19.2" customHeight="1">
      <c r="C805" s="800">
        <v>1</v>
      </c>
      <c r="D805" s="56" t="s">
        <v>1181</v>
      </c>
      <c r="E805" s="93" t="s">
        <v>1074</v>
      </c>
      <c r="F805" s="94">
        <v>0.24129999999999999</v>
      </c>
      <c r="G805" s="63">
        <f>VLOOKUP(D805,upahbahan,3,FALSE)</f>
        <v>1450000</v>
      </c>
      <c r="H805" s="63">
        <f>F805*G805</f>
        <v>349885</v>
      </c>
      <c r="I805" s="44"/>
    </row>
    <row r="806" spans="3:13" s="59" customFormat="1" ht="19.2" customHeight="1">
      <c r="C806" s="450" t="s">
        <v>1217</v>
      </c>
      <c r="D806" s="67"/>
      <c r="E806" s="67"/>
      <c r="F806" s="67"/>
      <c r="G806" s="69"/>
      <c r="H806" s="882">
        <f>SUM(H804:H805)</f>
        <v>349885</v>
      </c>
      <c r="I806" s="44"/>
    </row>
    <row r="807" spans="3:13" s="59" customFormat="1" ht="19.2" customHeight="1">
      <c r="C807" s="288" t="s">
        <v>1218</v>
      </c>
      <c r="D807" s="76" t="s">
        <v>1219</v>
      </c>
      <c r="E807" s="77"/>
      <c r="F807" s="77"/>
      <c r="G807" s="78"/>
      <c r="H807" s="585">
        <f>H806+H803+H798</f>
        <v>1023391.5</v>
      </c>
      <c r="I807" s="369"/>
    </row>
    <row r="808" spans="3:13" s="59" customFormat="1" ht="19.2" customHeight="1">
      <c r="C808" s="288" t="s">
        <v>1220</v>
      </c>
      <c r="D808" s="76" t="s">
        <v>1321</v>
      </c>
      <c r="E808" s="77"/>
      <c r="F808" s="78"/>
      <c r="G808" s="80">
        <v>0.1</v>
      </c>
      <c r="H808" s="63">
        <f>H807*G808</f>
        <v>102339.15000000001</v>
      </c>
      <c r="I808" s="369"/>
    </row>
    <row r="809" spans="3:13" s="59" customFormat="1" ht="19.2" customHeight="1">
      <c r="C809" s="288" t="s">
        <v>1221</v>
      </c>
      <c r="D809" s="76" t="s">
        <v>1222</v>
      </c>
      <c r="E809" s="77"/>
      <c r="F809" s="77"/>
      <c r="G809" s="78"/>
      <c r="H809" s="799">
        <f>SUM(H807:H808)</f>
        <v>1125730.6499999999</v>
      </c>
      <c r="I809" s="369"/>
    </row>
    <row r="812" spans="3:13" s="59" customFormat="1" ht="13.8">
      <c r="C812" s="46" t="s">
        <v>4603</v>
      </c>
      <c r="D812" s="1934" t="s">
        <v>4604</v>
      </c>
      <c r="E812" s="1934"/>
      <c r="F812" s="1934"/>
      <c r="G812" s="1934"/>
      <c r="H812" s="1934"/>
      <c r="I812" s="50">
        <f>ROUNDDOWN(H829,-2)</f>
        <v>1154500</v>
      </c>
    </row>
    <row r="813" spans="3:13" s="59" customFormat="1" ht="19.2" customHeight="1">
      <c r="C813" s="591" t="s">
        <v>1195</v>
      </c>
      <c r="D813" s="591" t="s">
        <v>1196</v>
      </c>
      <c r="E813" s="591" t="s">
        <v>1197</v>
      </c>
      <c r="F813" s="591" t="s">
        <v>1198</v>
      </c>
      <c r="G813" s="591" t="s">
        <v>1199</v>
      </c>
      <c r="H813" s="591" t="s">
        <v>1200</v>
      </c>
      <c r="I813" s="44"/>
    </row>
    <row r="814" spans="3:13" s="59" customFormat="1" ht="19.2" customHeight="1">
      <c r="C814" s="61" t="s">
        <v>1201</v>
      </c>
      <c r="D814" s="56" t="s">
        <v>1202</v>
      </c>
      <c r="E814" s="57"/>
      <c r="F814" s="57"/>
      <c r="G814" s="57"/>
      <c r="H814" s="57"/>
      <c r="I814" s="44"/>
      <c r="J814" s="152" t="s">
        <v>1247</v>
      </c>
    </row>
    <row r="815" spans="3:13" s="59" customFormat="1" ht="19.2" customHeight="1">
      <c r="C815" s="588">
        <v>1</v>
      </c>
      <c r="D815" s="56" t="s">
        <v>5</v>
      </c>
      <c r="E815" s="577" t="s">
        <v>1863</v>
      </c>
      <c r="F815" s="101">
        <v>0.98409999999999997</v>
      </c>
      <c r="G815" s="63">
        <f>VLOOKUP(D815,upahbahan,3,FALSE)</f>
        <v>100000</v>
      </c>
      <c r="H815" s="63">
        <f>F815*G815</f>
        <v>98410</v>
      </c>
      <c r="I815" s="44"/>
      <c r="J815" s="152" t="s">
        <v>1248</v>
      </c>
      <c r="M815" s="65">
        <v>0.1</v>
      </c>
    </row>
    <row r="816" spans="3:13" s="59" customFormat="1" ht="19.2" customHeight="1">
      <c r="C816" s="588">
        <v>2</v>
      </c>
      <c r="D816" s="56" t="s">
        <v>2165</v>
      </c>
      <c r="E816" s="577" t="s">
        <v>1863</v>
      </c>
      <c r="F816" s="101">
        <v>0.246</v>
      </c>
      <c r="G816" s="63">
        <f>VLOOKUP(D816,upahbahan,3,FALSE)</f>
        <v>135000</v>
      </c>
      <c r="H816" s="63">
        <f t="shared" ref="H816:H817" si="42">F816*G816</f>
        <v>33210</v>
      </c>
      <c r="I816" s="44"/>
      <c r="J816" s="152"/>
      <c r="M816" s="65"/>
    </row>
    <row r="817" spans="3:9" s="59" customFormat="1" ht="19.2" customHeight="1">
      <c r="C817" s="588">
        <v>3</v>
      </c>
      <c r="D817" s="56" t="s">
        <v>19</v>
      </c>
      <c r="E817" s="577" t="s">
        <v>1863</v>
      </c>
      <c r="F817" s="101">
        <v>4.9200000000000001E-2</v>
      </c>
      <c r="G817" s="63">
        <f>VLOOKUP(D817,upahbahan,3,FALSE)</f>
        <v>160000</v>
      </c>
      <c r="H817" s="63">
        <f t="shared" si="42"/>
        <v>7872</v>
      </c>
      <c r="I817" s="44"/>
    </row>
    <row r="818" spans="3:9" s="59" customFormat="1" ht="19.2" customHeight="1">
      <c r="C818" s="450" t="s">
        <v>1208</v>
      </c>
      <c r="D818" s="67"/>
      <c r="E818" s="67"/>
      <c r="F818" s="142"/>
      <c r="G818" s="153"/>
      <c r="H818" s="63">
        <f>SUM(H815:H817)</f>
        <v>139492</v>
      </c>
      <c r="I818" s="154"/>
    </row>
    <row r="819" spans="3:9" s="59" customFormat="1" ht="19.2" customHeight="1">
      <c r="C819" s="61" t="s">
        <v>1209</v>
      </c>
      <c r="D819" s="56" t="s">
        <v>1210</v>
      </c>
      <c r="E819" s="57"/>
      <c r="F819" s="57"/>
      <c r="G819" s="57"/>
      <c r="H819" s="57"/>
      <c r="I819" s="44"/>
    </row>
    <row r="820" spans="3:9" s="59" customFormat="1" ht="19.2" customHeight="1">
      <c r="C820" s="61">
        <v>1</v>
      </c>
      <c r="D820" s="56" t="s">
        <v>4574</v>
      </c>
      <c r="E820" s="93" t="s">
        <v>42</v>
      </c>
      <c r="F820" s="103">
        <v>6.6500000000000004E-2</v>
      </c>
      <c r="G820" s="63">
        <f>VLOOKUP(D820,upahbahan,3,FALSE)</f>
        <v>928000</v>
      </c>
      <c r="H820" s="63">
        <f>F820*G820</f>
        <v>61712</v>
      </c>
      <c r="I820" s="44"/>
    </row>
    <row r="821" spans="3:9" s="59" customFormat="1" ht="19.2" customHeight="1">
      <c r="C821" s="61">
        <v>2</v>
      </c>
      <c r="D821" s="56" t="s">
        <v>4488</v>
      </c>
      <c r="E821" s="93" t="s">
        <v>42</v>
      </c>
      <c r="F821" s="103">
        <v>0.13300000000000001</v>
      </c>
      <c r="G821" s="63">
        <f>VLOOKUP(D821,upahbahan,3,FALSE)</f>
        <v>0</v>
      </c>
      <c r="H821" s="63">
        <f>F821*G821</f>
        <v>0</v>
      </c>
      <c r="I821" s="44"/>
    </row>
    <row r="822" spans="3:9" s="59" customFormat="1" ht="19.2" customHeight="1">
      <c r="C822" s="61">
        <v>3</v>
      </c>
      <c r="D822" s="56" t="s">
        <v>4536</v>
      </c>
      <c r="E822" s="93" t="s">
        <v>44</v>
      </c>
      <c r="F822" s="103">
        <v>0.83330000000000004</v>
      </c>
      <c r="G822" s="63">
        <f>VLOOKUP(D822,upahbahan,3,FALSE)</f>
        <v>590000</v>
      </c>
      <c r="H822" s="63">
        <f>F822*G822</f>
        <v>491647</v>
      </c>
      <c r="I822" s="44"/>
    </row>
    <row r="823" spans="3:9" s="59" customFormat="1" ht="19.2" customHeight="1">
      <c r="C823" s="450" t="s">
        <v>1214</v>
      </c>
      <c r="D823" s="67"/>
      <c r="E823" s="67"/>
      <c r="F823" s="67"/>
      <c r="G823" s="69"/>
      <c r="H823" s="63">
        <f>SUM(H820:H822)</f>
        <v>553359</v>
      </c>
      <c r="I823" s="44"/>
    </row>
    <row r="824" spans="3:9" s="59" customFormat="1" ht="19.2" customHeight="1">
      <c r="C824" s="61" t="s">
        <v>1215</v>
      </c>
      <c r="D824" s="56" t="s">
        <v>1216</v>
      </c>
      <c r="E824" s="93"/>
      <c r="F824" s="57"/>
      <c r="G824" s="57"/>
      <c r="H824" s="57"/>
      <c r="I824" s="44"/>
    </row>
    <row r="825" spans="3:9" s="59" customFormat="1" ht="19.2" customHeight="1">
      <c r="C825" s="800">
        <v>1</v>
      </c>
      <c r="D825" s="56" t="s">
        <v>1181</v>
      </c>
      <c r="E825" s="93" t="s">
        <v>1074</v>
      </c>
      <c r="F825" s="94">
        <v>0.246</v>
      </c>
      <c r="G825" s="63">
        <f>VLOOKUP(D825,upahbahan,3,FALSE)</f>
        <v>1450000</v>
      </c>
      <c r="H825" s="63">
        <f>F825*G825</f>
        <v>356700</v>
      </c>
      <c r="I825" s="44"/>
    </row>
    <row r="826" spans="3:9" s="59" customFormat="1" ht="19.2" customHeight="1">
      <c r="C826" s="450" t="s">
        <v>1217</v>
      </c>
      <c r="D826" s="67"/>
      <c r="E826" s="67"/>
      <c r="F826" s="67"/>
      <c r="G826" s="69"/>
      <c r="H826" s="882">
        <f>SUM(H824:H825)</f>
        <v>356700</v>
      </c>
      <c r="I826" s="44"/>
    </row>
    <row r="827" spans="3:9" s="59" customFormat="1" ht="19.2" customHeight="1">
      <c r="C827" s="288" t="s">
        <v>1218</v>
      </c>
      <c r="D827" s="76" t="s">
        <v>1219</v>
      </c>
      <c r="E827" s="77"/>
      <c r="F827" s="77"/>
      <c r="G827" s="78"/>
      <c r="H827" s="585">
        <f>H826+H823+H818</f>
        <v>1049551</v>
      </c>
      <c r="I827" s="369"/>
    </row>
    <row r="828" spans="3:9" s="59" customFormat="1" ht="19.2" customHeight="1">
      <c r="C828" s="288" t="s">
        <v>1220</v>
      </c>
      <c r="D828" s="76" t="s">
        <v>1321</v>
      </c>
      <c r="E828" s="77"/>
      <c r="F828" s="78"/>
      <c r="G828" s="80">
        <v>0.1</v>
      </c>
      <c r="H828" s="63">
        <f>H827*G828</f>
        <v>104955.1</v>
      </c>
      <c r="I828" s="369"/>
    </row>
    <row r="829" spans="3:9" s="59" customFormat="1" ht="19.2" customHeight="1">
      <c r="C829" s="288" t="s">
        <v>1221</v>
      </c>
      <c r="D829" s="76" t="s">
        <v>1222</v>
      </c>
      <c r="E829" s="77"/>
      <c r="F829" s="77"/>
      <c r="G829" s="78"/>
      <c r="H829" s="799">
        <f>SUM(H827:H828)</f>
        <v>1154506.1000000001</v>
      </c>
      <c r="I829" s="369"/>
    </row>
    <row r="831" spans="3:9" s="59" customFormat="1" ht="13.8">
      <c r="C831" s="46" t="s">
        <v>4605</v>
      </c>
      <c r="D831" s="1934" t="s">
        <v>4606</v>
      </c>
      <c r="E831" s="1934"/>
      <c r="F831" s="1934"/>
      <c r="G831" s="1934"/>
      <c r="H831" s="1934"/>
      <c r="I831" s="50">
        <f>ROUNDDOWN(H848,-2)</f>
        <v>1258800</v>
      </c>
    </row>
    <row r="832" spans="3:9" s="59" customFormat="1" ht="19.2" customHeight="1">
      <c r="C832" s="591" t="s">
        <v>1195</v>
      </c>
      <c r="D832" s="591" t="s">
        <v>1196</v>
      </c>
      <c r="E832" s="591" t="s">
        <v>1197</v>
      </c>
      <c r="F832" s="591" t="s">
        <v>1198</v>
      </c>
      <c r="G832" s="591" t="s">
        <v>1199</v>
      </c>
      <c r="H832" s="591" t="s">
        <v>1200</v>
      </c>
      <c r="I832" s="44"/>
    </row>
    <row r="833" spans="3:13" s="59" customFormat="1" ht="19.2" customHeight="1">
      <c r="C833" s="61" t="s">
        <v>1201</v>
      </c>
      <c r="D833" s="56" t="s">
        <v>1202</v>
      </c>
      <c r="E833" s="57"/>
      <c r="F833" s="57"/>
      <c r="G833" s="57"/>
      <c r="H833" s="57"/>
      <c r="I833" s="44"/>
      <c r="J833" s="152" t="s">
        <v>1247</v>
      </c>
    </row>
    <row r="834" spans="3:13" s="59" customFormat="1" ht="19.2" customHeight="1">
      <c r="C834" s="588">
        <v>1</v>
      </c>
      <c r="D834" s="56" t="s">
        <v>5</v>
      </c>
      <c r="E834" s="577" t="s">
        <v>1863</v>
      </c>
      <c r="F834" s="101">
        <v>1.1033999999999999</v>
      </c>
      <c r="G834" s="63">
        <f>VLOOKUP(D834,upahbahan,3,FALSE)</f>
        <v>100000</v>
      </c>
      <c r="H834" s="63">
        <f>F834*G834</f>
        <v>110340</v>
      </c>
      <c r="I834" s="44"/>
      <c r="J834" s="152" t="s">
        <v>1248</v>
      </c>
      <c r="M834" s="65">
        <v>0.1</v>
      </c>
    </row>
    <row r="835" spans="3:13" s="59" customFormat="1" ht="19.2" customHeight="1">
      <c r="C835" s="588">
        <v>2</v>
      </c>
      <c r="D835" s="56" t="s">
        <v>2165</v>
      </c>
      <c r="E835" s="577" t="s">
        <v>1863</v>
      </c>
      <c r="F835" s="101">
        <v>0.27579999999999999</v>
      </c>
      <c r="G835" s="63">
        <f>VLOOKUP(D835,upahbahan,3,FALSE)</f>
        <v>135000</v>
      </c>
      <c r="H835" s="63">
        <f t="shared" ref="H835:H836" si="43">F835*G835</f>
        <v>37233</v>
      </c>
      <c r="I835" s="44"/>
      <c r="J835" s="152"/>
      <c r="M835" s="65"/>
    </row>
    <row r="836" spans="3:13" s="59" customFormat="1" ht="19.2" customHeight="1">
      <c r="C836" s="588">
        <v>3</v>
      </c>
      <c r="D836" s="56" t="s">
        <v>19</v>
      </c>
      <c r="E836" s="577" t="s">
        <v>1863</v>
      </c>
      <c r="F836" s="101">
        <v>5.5199999999999999E-2</v>
      </c>
      <c r="G836" s="63">
        <f>VLOOKUP(D836,upahbahan,3,FALSE)</f>
        <v>160000</v>
      </c>
      <c r="H836" s="63">
        <f t="shared" si="43"/>
        <v>8832</v>
      </c>
      <c r="I836" s="44"/>
    </row>
    <row r="837" spans="3:13" s="59" customFormat="1" ht="19.2" customHeight="1">
      <c r="C837" s="450" t="s">
        <v>1208</v>
      </c>
      <c r="D837" s="67"/>
      <c r="E837" s="67"/>
      <c r="F837" s="142"/>
      <c r="G837" s="153"/>
      <c r="H837" s="63">
        <f>SUM(H834:H836)</f>
        <v>156405</v>
      </c>
      <c r="I837" s="154"/>
    </row>
    <row r="838" spans="3:13" s="59" customFormat="1" ht="19.2" customHeight="1">
      <c r="C838" s="61" t="s">
        <v>1209</v>
      </c>
      <c r="D838" s="56" t="s">
        <v>1210</v>
      </c>
      <c r="E838" s="57"/>
      <c r="F838" s="57"/>
      <c r="G838" s="57"/>
      <c r="H838" s="57"/>
      <c r="I838" s="44"/>
    </row>
    <row r="839" spans="3:13" s="59" customFormat="1" ht="19.2" customHeight="1">
      <c r="C839" s="61">
        <v>1</v>
      </c>
      <c r="D839" s="56" t="s">
        <v>4574</v>
      </c>
      <c r="E839" s="93" t="s">
        <v>42</v>
      </c>
      <c r="F839" s="103">
        <v>7.6999999999999999E-2</v>
      </c>
      <c r="G839" s="63">
        <f>VLOOKUP(D839,upahbahan,3,FALSE)</f>
        <v>928000</v>
      </c>
      <c r="H839" s="63">
        <f>F839*G839</f>
        <v>71456</v>
      </c>
      <c r="I839" s="44"/>
    </row>
    <row r="840" spans="3:13" s="59" customFormat="1" ht="19.2" customHeight="1">
      <c r="C840" s="61">
        <v>2</v>
      </c>
      <c r="D840" s="56" t="s">
        <v>4488</v>
      </c>
      <c r="E840" s="93" t="s">
        <v>42</v>
      </c>
      <c r="F840" s="103">
        <v>0.154</v>
      </c>
      <c r="G840" s="63">
        <f>VLOOKUP(D840,upahbahan,3,FALSE)</f>
        <v>0</v>
      </c>
      <c r="H840" s="63">
        <f>F840*G840</f>
        <v>0</v>
      </c>
      <c r="I840" s="44"/>
    </row>
    <row r="841" spans="3:13" s="59" customFormat="1" ht="19.2" customHeight="1">
      <c r="C841" s="61">
        <v>3</v>
      </c>
      <c r="D841" s="56" t="s">
        <v>4538</v>
      </c>
      <c r="E841" s="93" t="s">
        <v>44</v>
      </c>
      <c r="F841" s="103">
        <v>0.83330000000000004</v>
      </c>
      <c r="G841" s="63">
        <f>VLOOKUP(D841,upahbahan,3,FALSE)</f>
        <v>620000</v>
      </c>
      <c r="H841" s="63">
        <f>F841*G841</f>
        <v>516646</v>
      </c>
      <c r="I841" s="44"/>
    </row>
    <row r="842" spans="3:13" s="59" customFormat="1" ht="19.2" customHeight="1">
      <c r="C842" s="450" t="s">
        <v>1214</v>
      </c>
      <c r="D842" s="67"/>
      <c r="E842" s="67"/>
      <c r="F842" s="67"/>
      <c r="G842" s="69"/>
      <c r="H842" s="63">
        <f>SUM(H839:H841)</f>
        <v>588102</v>
      </c>
      <c r="I842" s="44"/>
    </row>
    <row r="843" spans="3:13" s="59" customFormat="1" ht="19.2" customHeight="1">
      <c r="C843" s="61" t="s">
        <v>1215</v>
      </c>
      <c r="D843" s="56" t="s">
        <v>1216</v>
      </c>
      <c r="E843" s="93"/>
      <c r="F843" s="57"/>
      <c r="G843" s="57"/>
      <c r="H843" s="57"/>
      <c r="I843" s="44"/>
    </row>
    <row r="844" spans="3:13" s="59" customFormat="1" ht="19.2" customHeight="1">
      <c r="C844" s="800">
        <v>1</v>
      </c>
      <c r="D844" s="56" t="s">
        <v>1181</v>
      </c>
      <c r="E844" s="93" t="s">
        <v>1074</v>
      </c>
      <c r="F844" s="94">
        <v>0.27579999999999999</v>
      </c>
      <c r="G844" s="63">
        <f>VLOOKUP(D844,upahbahan,3,FALSE)</f>
        <v>1450000</v>
      </c>
      <c r="H844" s="63">
        <f>F844*G844</f>
        <v>399910</v>
      </c>
      <c r="I844" s="44"/>
    </row>
    <row r="845" spans="3:13" s="59" customFormat="1" ht="19.2" customHeight="1">
      <c r="C845" s="450" t="s">
        <v>1217</v>
      </c>
      <c r="D845" s="67"/>
      <c r="E845" s="67"/>
      <c r="F845" s="67"/>
      <c r="G845" s="69"/>
      <c r="H845" s="882">
        <f>SUM(H843:H844)</f>
        <v>399910</v>
      </c>
      <c r="I845" s="44"/>
    </row>
    <row r="846" spans="3:13" s="59" customFormat="1" ht="19.2" customHeight="1">
      <c r="C846" s="288" t="s">
        <v>1218</v>
      </c>
      <c r="D846" s="76" t="s">
        <v>1219</v>
      </c>
      <c r="E846" s="77"/>
      <c r="F846" s="77"/>
      <c r="G846" s="78"/>
      <c r="H846" s="585">
        <f>H845+H842+H837</f>
        <v>1144417</v>
      </c>
      <c r="I846" s="369"/>
    </row>
    <row r="847" spans="3:13" s="59" customFormat="1" ht="19.2" customHeight="1">
      <c r="C847" s="288" t="s">
        <v>1220</v>
      </c>
      <c r="D847" s="76" t="s">
        <v>1321</v>
      </c>
      <c r="E847" s="77"/>
      <c r="F847" s="78"/>
      <c r="G847" s="80">
        <v>0.1</v>
      </c>
      <c r="H847" s="63">
        <f>H846*G847</f>
        <v>114441.70000000001</v>
      </c>
      <c r="I847" s="369"/>
    </row>
    <row r="848" spans="3:13" s="59" customFormat="1" ht="19.2" customHeight="1">
      <c r="C848" s="288" t="s">
        <v>1221</v>
      </c>
      <c r="D848" s="76" t="s">
        <v>1222</v>
      </c>
      <c r="E848" s="77"/>
      <c r="F848" s="77"/>
      <c r="G848" s="78"/>
      <c r="H848" s="799">
        <f>SUM(H846:H847)</f>
        <v>1258858.7</v>
      </c>
      <c r="I848" s="369"/>
    </row>
    <row r="850" spans="3:13" s="59" customFormat="1" ht="13.8">
      <c r="C850" s="46" t="s">
        <v>4607</v>
      </c>
      <c r="D850" s="1934" t="s">
        <v>4608</v>
      </c>
      <c r="E850" s="1934"/>
      <c r="F850" s="1934"/>
      <c r="G850" s="1934"/>
      <c r="H850" s="1934"/>
      <c r="I850" s="50">
        <f>ROUNDDOWN(H867,-2)</f>
        <v>1289700</v>
      </c>
    </row>
    <row r="851" spans="3:13" s="59" customFormat="1" ht="19.2" customHeight="1">
      <c r="C851" s="591" t="s">
        <v>1195</v>
      </c>
      <c r="D851" s="591" t="s">
        <v>1196</v>
      </c>
      <c r="E851" s="591" t="s">
        <v>1197</v>
      </c>
      <c r="F851" s="591" t="s">
        <v>1198</v>
      </c>
      <c r="G851" s="591" t="s">
        <v>1199</v>
      </c>
      <c r="H851" s="591" t="s">
        <v>1200</v>
      </c>
      <c r="I851" s="44"/>
    </row>
    <row r="852" spans="3:13" s="59" customFormat="1" ht="19.2" customHeight="1">
      <c r="C852" s="61" t="s">
        <v>1201</v>
      </c>
      <c r="D852" s="56" t="s">
        <v>1202</v>
      </c>
      <c r="E852" s="57"/>
      <c r="F852" s="57"/>
      <c r="G852" s="57"/>
      <c r="H852" s="57"/>
      <c r="I852" s="44"/>
      <c r="J852" s="152" t="s">
        <v>1247</v>
      </c>
    </row>
    <row r="853" spans="3:13" s="59" customFormat="1" ht="19.2" customHeight="1">
      <c r="C853" s="588">
        <v>1</v>
      </c>
      <c r="D853" s="56" t="s">
        <v>5</v>
      </c>
      <c r="E853" s="577" t="s">
        <v>1863</v>
      </c>
      <c r="F853" s="101">
        <v>1.1258999999999999</v>
      </c>
      <c r="G853" s="63">
        <f>VLOOKUP(D853,upahbahan,3,FALSE)</f>
        <v>100000</v>
      </c>
      <c r="H853" s="63">
        <f>F853*G853</f>
        <v>112589.99999999999</v>
      </c>
      <c r="I853" s="44"/>
      <c r="J853" s="152" t="s">
        <v>1248</v>
      </c>
      <c r="M853" s="65">
        <v>0.1</v>
      </c>
    </row>
    <row r="854" spans="3:13" s="59" customFormat="1" ht="19.2" customHeight="1">
      <c r="C854" s="588">
        <v>2</v>
      </c>
      <c r="D854" s="56" t="s">
        <v>2165</v>
      </c>
      <c r="E854" s="577" t="s">
        <v>1863</v>
      </c>
      <c r="F854" s="101">
        <v>0.28149999999999997</v>
      </c>
      <c r="G854" s="63">
        <f>VLOOKUP(D854,upahbahan,3,FALSE)</f>
        <v>135000</v>
      </c>
      <c r="H854" s="63">
        <f t="shared" ref="H854:H855" si="44">F854*G854</f>
        <v>38002.499999999993</v>
      </c>
      <c r="I854" s="44"/>
      <c r="J854" s="152"/>
      <c r="M854" s="65"/>
    </row>
    <row r="855" spans="3:13" s="59" customFormat="1" ht="19.2" customHeight="1">
      <c r="C855" s="588">
        <v>3</v>
      </c>
      <c r="D855" s="56" t="s">
        <v>19</v>
      </c>
      <c r="E855" s="577" t="s">
        <v>1863</v>
      </c>
      <c r="F855" s="101">
        <v>5.6300000000000003E-2</v>
      </c>
      <c r="G855" s="63">
        <f>VLOOKUP(D855,upahbahan,3,FALSE)</f>
        <v>160000</v>
      </c>
      <c r="H855" s="63">
        <f t="shared" si="44"/>
        <v>9008</v>
      </c>
      <c r="I855" s="44"/>
    </row>
    <row r="856" spans="3:13" s="59" customFormat="1" ht="19.2" customHeight="1">
      <c r="C856" s="450" t="s">
        <v>1208</v>
      </c>
      <c r="D856" s="67"/>
      <c r="E856" s="67"/>
      <c r="F856" s="142"/>
      <c r="G856" s="153"/>
      <c r="H856" s="63">
        <f>SUM(H853:H855)</f>
        <v>159600.49999999997</v>
      </c>
      <c r="I856" s="154"/>
    </row>
    <row r="857" spans="3:13" s="59" customFormat="1" ht="19.2" customHeight="1">
      <c r="C857" s="61" t="s">
        <v>1209</v>
      </c>
      <c r="D857" s="56" t="s">
        <v>1210</v>
      </c>
      <c r="E857" s="57"/>
      <c r="F857" s="57"/>
      <c r="G857" s="57"/>
      <c r="H857" s="57"/>
      <c r="I857" s="44"/>
    </row>
    <row r="858" spans="3:13" s="59" customFormat="1" ht="19.2" customHeight="1">
      <c r="C858" s="61">
        <v>1</v>
      </c>
      <c r="D858" s="56" t="s">
        <v>4574</v>
      </c>
      <c r="E858" s="93" t="s">
        <v>42</v>
      </c>
      <c r="F858" s="103">
        <v>7.6999999999999999E-2</v>
      </c>
      <c r="G858" s="63">
        <f>VLOOKUP(D858,upahbahan,3,FALSE)</f>
        <v>928000</v>
      </c>
      <c r="H858" s="63">
        <f>F858*G858</f>
        <v>71456</v>
      </c>
      <c r="I858" s="44"/>
    </row>
    <row r="859" spans="3:13" s="59" customFormat="1" ht="19.2" customHeight="1">
      <c r="C859" s="61">
        <v>2</v>
      </c>
      <c r="D859" s="56" t="s">
        <v>4488</v>
      </c>
      <c r="E859" s="93" t="s">
        <v>42</v>
      </c>
      <c r="F859" s="103">
        <v>0.154</v>
      </c>
      <c r="G859" s="63">
        <f>VLOOKUP(D859,upahbahan,3,FALSE)</f>
        <v>0</v>
      </c>
      <c r="H859" s="63">
        <f>F859*G859</f>
        <v>0</v>
      </c>
      <c r="I859" s="44"/>
    </row>
    <row r="860" spans="3:13" s="59" customFormat="1" ht="19.2" customHeight="1">
      <c r="C860" s="61">
        <v>3</v>
      </c>
      <c r="D860" s="56" t="s">
        <v>4542</v>
      </c>
      <c r="E860" s="93" t="s">
        <v>44</v>
      </c>
      <c r="F860" s="103">
        <v>0.83330000000000004</v>
      </c>
      <c r="G860" s="63">
        <f>VLOOKUP(D860,upahbahan,3,FALSE)</f>
        <v>640000</v>
      </c>
      <c r="H860" s="63">
        <f>F860*G860</f>
        <v>533312</v>
      </c>
      <c r="I860" s="44"/>
    </row>
    <row r="861" spans="3:13" s="59" customFormat="1" ht="19.2" customHeight="1">
      <c r="C861" s="450" t="s">
        <v>1214</v>
      </c>
      <c r="D861" s="67"/>
      <c r="E861" s="67"/>
      <c r="F861" s="67"/>
      <c r="G861" s="69"/>
      <c r="H861" s="63">
        <f>SUM(H858:H860)</f>
        <v>604768</v>
      </c>
      <c r="I861" s="44"/>
    </row>
    <row r="862" spans="3:13" s="59" customFormat="1" ht="19.2" customHeight="1">
      <c r="C862" s="61" t="s">
        <v>1215</v>
      </c>
      <c r="D862" s="56" t="s">
        <v>1216</v>
      </c>
      <c r="E862" s="93"/>
      <c r="F862" s="57"/>
      <c r="G862" s="57"/>
      <c r="H862" s="57"/>
      <c r="I862" s="44"/>
    </row>
    <row r="863" spans="3:13" s="59" customFormat="1" ht="19.2" customHeight="1">
      <c r="C863" s="800">
        <v>1</v>
      </c>
      <c r="D863" s="56" t="s">
        <v>1181</v>
      </c>
      <c r="E863" s="93" t="s">
        <v>1074</v>
      </c>
      <c r="F863" s="94">
        <v>0.28149999999999997</v>
      </c>
      <c r="G863" s="63">
        <f>VLOOKUP(D863,upahbahan,3,FALSE)</f>
        <v>1450000</v>
      </c>
      <c r="H863" s="63">
        <f>F863*G863</f>
        <v>408174.99999999994</v>
      </c>
      <c r="I863" s="44"/>
    </row>
    <row r="864" spans="3:13" s="59" customFormat="1" ht="19.2" customHeight="1">
      <c r="C864" s="450" t="s">
        <v>1217</v>
      </c>
      <c r="D864" s="67"/>
      <c r="E864" s="67"/>
      <c r="F864" s="67"/>
      <c r="G864" s="69"/>
      <c r="H864" s="882">
        <f>SUM(H862:H863)</f>
        <v>408174.99999999994</v>
      </c>
      <c r="I864" s="44"/>
    </row>
    <row r="865" spans="3:13" s="59" customFormat="1" ht="19.2" customHeight="1">
      <c r="C865" s="288" t="s">
        <v>1218</v>
      </c>
      <c r="D865" s="76" t="s">
        <v>1219</v>
      </c>
      <c r="E865" s="77"/>
      <c r="F865" s="77"/>
      <c r="G865" s="78"/>
      <c r="H865" s="585">
        <f>H864+H861+H856</f>
        <v>1172543.5</v>
      </c>
      <c r="I865" s="369"/>
    </row>
    <row r="866" spans="3:13" s="59" customFormat="1" ht="19.2" customHeight="1">
      <c r="C866" s="288" t="s">
        <v>1220</v>
      </c>
      <c r="D866" s="76" t="s">
        <v>1321</v>
      </c>
      <c r="E866" s="77"/>
      <c r="F866" s="78"/>
      <c r="G866" s="80">
        <v>0.1</v>
      </c>
      <c r="H866" s="63">
        <f>H865*G866</f>
        <v>117254.35</v>
      </c>
      <c r="I866" s="369"/>
    </row>
    <row r="867" spans="3:13" s="59" customFormat="1" ht="19.2" customHeight="1">
      <c r="C867" s="288" t="s">
        <v>1221</v>
      </c>
      <c r="D867" s="76" t="s">
        <v>1222</v>
      </c>
      <c r="E867" s="77"/>
      <c r="F867" s="77"/>
      <c r="G867" s="78"/>
      <c r="H867" s="799">
        <f>SUM(H865:H866)</f>
        <v>1289797.8500000001</v>
      </c>
      <c r="I867" s="369"/>
    </row>
    <row r="869" spans="3:13" s="59" customFormat="1" ht="13.8">
      <c r="C869" s="46" t="s">
        <v>4609</v>
      </c>
      <c r="D869" s="1934" t="s">
        <v>4610</v>
      </c>
      <c r="E869" s="1934"/>
      <c r="F869" s="1934"/>
      <c r="G869" s="1934"/>
      <c r="H869" s="1934"/>
      <c r="I869" s="50">
        <f>ROUNDDOWN(H886,-2)</f>
        <v>1414200</v>
      </c>
    </row>
    <row r="870" spans="3:13" s="59" customFormat="1" ht="19.2" customHeight="1">
      <c r="C870" s="591" t="s">
        <v>1195</v>
      </c>
      <c r="D870" s="591" t="s">
        <v>1196</v>
      </c>
      <c r="E870" s="591" t="s">
        <v>1197</v>
      </c>
      <c r="F870" s="591" t="s">
        <v>1198</v>
      </c>
      <c r="G870" s="591" t="s">
        <v>1199</v>
      </c>
      <c r="H870" s="591" t="s">
        <v>1200</v>
      </c>
      <c r="I870" s="44"/>
    </row>
    <row r="871" spans="3:13" s="59" customFormat="1" ht="19.2" customHeight="1">
      <c r="C871" s="61" t="s">
        <v>1201</v>
      </c>
      <c r="D871" s="56" t="s">
        <v>1202</v>
      </c>
      <c r="E871" s="57"/>
      <c r="F871" s="57"/>
      <c r="G871" s="57"/>
      <c r="H871" s="57"/>
      <c r="I871" s="44"/>
      <c r="J871" s="152" t="s">
        <v>1247</v>
      </c>
    </row>
    <row r="872" spans="3:13" s="59" customFormat="1" ht="19.2" customHeight="1">
      <c r="C872" s="588">
        <v>1</v>
      </c>
      <c r="D872" s="56" t="s">
        <v>5</v>
      </c>
      <c r="E872" s="577" t="s">
        <v>1863</v>
      </c>
      <c r="F872" s="101">
        <v>1.2795000000000001</v>
      </c>
      <c r="G872" s="63">
        <f>VLOOKUP(D872,upahbahan,3,FALSE)</f>
        <v>100000</v>
      </c>
      <c r="H872" s="63">
        <f>F872*G872</f>
        <v>127950.00000000001</v>
      </c>
      <c r="I872" s="44"/>
      <c r="J872" s="152" t="s">
        <v>1248</v>
      </c>
      <c r="M872" s="65">
        <v>0.1</v>
      </c>
    </row>
    <row r="873" spans="3:13" s="59" customFormat="1" ht="19.2" customHeight="1">
      <c r="C873" s="588">
        <v>2</v>
      </c>
      <c r="D873" s="56" t="s">
        <v>2165</v>
      </c>
      <c r="E873" s="577" t="s">
        <v>1863</v>
      </c>
      <c r="F873" s="101">
        <v>0.31990000000000002</v>
      </c>
      <c r="G873" s="63">
        <f>VLOOKUP(D873,upahbahan,3,FALSE)</f>
        <v>135000</v>
      </c>
      <c r="H873" s="63">
        <f t="shared" ref="H873:H874" si="45">F873*G873</f>
        <v>43186.5</v>
      </c>
      <c r="I873" s="44"/>
      <c r="J873" s="152"/>
      <c r="M873" s="65"/>
    </row>
    <row r="874" spans="3:13" s="59" customFormat="1" ht="19.2" customHeight="1">
      <c r="C874" s="588">
        <v>3</v>
      </c>
      <c r="D874" s="56" t="s">
        <v>19</v>
      </c>
      <c r="E874" s="577" t="s">
        <v>1863</v>
      </c>
      <c r="F874" s="101">
        <v>6.4000000000000001E-2</v>
      </c>
      <c r="G874" s="63">
        <f>VLOOKUP(D874,upahbahan,3,FALSE)</f>
        <v>160000</v>
      </c>
      <c r="H874" s="63">
        <f t="shared" si="45"/>
        <v>10240</v>
      </c>
      <c r="I874" s="44"/>
    </row>
    <row r="875" spans="3:13" s="59" customFormat="1" ht="19.2" customHeight="1">
      <c r="C875" s="450" t="s">
        <v>1208</v>
      </c>
      <c r="D875" s="67"/>
      <c r="E875" s="67"/>
      <c r="F875" s="142"/>
      <c r="G875" s="153"/>
      <c r="H875" s="63">
        <f>SUM(H872:H874)</f>
        <v>181376.5</v>
      </c>
      <c r="I875" s="154"/>
    </row>
    <row r="876" spans="3:13" s="59" customFormat="1" ht="19.2" customHeight="1">
      <c r="C876" s="61" t="s">
        <v>1209</v>
      </c>
      <c r="D876" s="56" t="s">
        <v>1210</v>
      </c>
      <c r="E876" s="57"/>
      <c r="F876" s="57"/>
      <c r="G876" s="57"/>
      <c r="H876" s="57"/>
      <c r="I876" s="44"/>
    </row>
    <row r="877" spans="3:13" s="59" customFormat="1" ht="19.2" customHeight="1">
      <c r="C877" s="61">
        <v>1</v>
      </c>
      <c r="D877" s="56" t="s">
        <v>4574</v>
      </c>
      <c r="E877" s="93" t="s">
        <v>42</v>
      </c>
      <c r="F877" s="103">
        <v>8.8499999999999995E-2</v>
      </c>
      <c r="G877" s="63">
        <f>VLOOKUP(D877,upahbahan,3,FALSE)</f>
        <v>928000</v>
      </c>
      <c r="H877" s="63">
        <f>F877*G877</f>
        <v>82128</v>
      </c>
      <c r="I877" s="44"/>
    </row>
    <row r="878" spans="3:13" s="59" customFormat="1" ht="19.2" customHeight="1">
      <c r="C878" s="61">
        <v>2</v>
      </c>
      <c r="D878" s="56" t="s">
        <v>4488</v>
      </c>
      <c r="E878" s="93" t="s">
        <v>42</v>
      </c>
      <c r="F878" s="103">
        <v>0.17699999999999999</v>
      </c>
      <c r="G878" s="63">
        <f>VLOOKUP(D878,upahbahan,3,FALSE)</f>
        <v>0</v>
      </c>
      <c r="H878" s="63">
        <f>F878*G878</f>
        <v>0</v>
      </c>
      <c r="I878" s="44"/>
    </row>
    <row r="879" spans="3:13" s="59" customFormat="1" ht="19.2" customHeight="1">
      <c r="C879" s="61">
        <v>3</v>
      </c>
      <c r="D879" s="56" t="s">
        <v>4545</v>
      </c>
      <c r="E879" s="93" t="s">
        <v>44</v>
      </c>
      <c r="F879" s="103">
        <v>0.83330000000000004</v>
      </c>
      <c r="G879" s="63">
        <f>VLOOKUP(D879,upahbahan,3,FALSE)</f>
        <v>670000</v>
      </c>
      <c r="H879" s="63">
        <f>F879*G879</f>
        <v>558311</v>
      </c>
      <c r="I879" s="44"/>
    </row>
    <row r="880" spans="3:13" s="59" customFormat="1" ht="19.2" customHeight="1">
      <c r="C880" s="450" t="s">
        <v>1214</v>
      </c>
      <c r="D880" s="67"/>
      <c r="E880" s="67"/>
      <c r="F880" s="67"/>
      <c r="G880" s="69"/>
      <c r="H880" s="63">
        <f>SUM(H877:H879)</f>
        <v>640439</v>
      </c>
      <c r="I880" s="44"/>
    </row>
    <row r="881" spans="3:13" s="59" customFormat="1" ht="19.2" customHeight="1">
      <c r="C881" s="61" t="s">
        <v>1215</v>
      </c>
      <c r="D881" s="56" t="s">
        <v>1216</v>
      </c>
      <c r="E881" s="93"/>
      <c r="F881" s="57"/>
      <c r="G881" s="57"/>
      <c r="H881" s="57"/>
      <c r="I881" s="44"/>
    </row>
    <row r="882" spans="3:13" s="59" customFormat="1" ht="19.2" customHeight="1">
      <c r="C882" s="800">
        <v>1</v>
      </c>
      <c r="D882" s="56" t="s">
        <v>1181</v>
      </c>
      <c r="E882" s="93" t="s">
        <v>1074</v>
      </c>
      <c r="F882" s="94">
        <v>0.31990000000000002</v>
      </c>
      <c r="G882" s="63">
        <f>VLOOKUP(D882,upahbahan,3,FALSE)</f>
        <v>1450000</v>
      </c>
      <c r="H882" s="63">
        <f>F882*G882</f>
        <v>463855</v>
      </c>
      <c r="I882" s="44"/>
    </row>
    <row r="883" spans="3:13" s="59" customFormat="1" ht="19.2" customHeight="1">
      <c r="C883" s="450" t="s">
        <v>1217</v>
      </c>
      <c r="D883" s="67"/>
      <c r="E883" s="67"/>
      <c r="F883" s="67"/>
      <c r="G883" s="69"/>
      <c r="H883" s="882">
        <f>SUM(H881:H882)</f>
        <v>463855</v>
      </c>
      <c r="I883" s="44"/>
    </row>
    <row r="884" spans="3:13" s="59" customFormat="1" ht="19.2" customHeight="1">
      <c r="C884" s="288" t="s">
        <v>1218</v>
      </c>
      <c r="D884" s="76" t="s">
        <v>1219</v>
      </c>
      <c r="E884" s="77"/>
      <c r="F884" s="77"/>
      <c r="G884" s="78"/>
      <c r="H884" s="585">
        <f>H883+H880+H875</f>
        <v>1285670.5</v>
      </c>
      <c r="I884" s="369"/>
    </row>
    <row r="885" spans="3:13" s="59" customFormat="1" ht="19.2" customHeight="1">
      <c r="C885" s="288" t="s">
        <v>1220</v>
      </c>
      <c r="D885" s="76" t="s">
        <v>1321</v>
      </c>
      <c r="E885" s="77"/>
      <c r="F885" s="78"/>
      <c r="G885" s="80">
        <v>0.1</v>
      </c>
      <c r="H885" s="63">
        <f>H884*G885</f>
        <v>128567.05</v>
      </c>
      <c r="I885" s="369"/>
    </row>
    <row r="886" spans="3:13" s="59" customFormat="1" ht="19.2" customHeight="1">
      <c r="C886" s="288" t="s">
        <v>1221</v>
      </c>
      <c r="D886" s="76" t="s">
        <v>1222</v>
      </c>
      <c r="E886" s="77"/>
      <c r="F886" s="77"/>
      <c r="G886" s="78"/>
      <c r="H886" s="799">
        <f>SUM(H884:H885)</f>
        <v>1414237.55</v>
      </c>
      <c r="I886" s="369"/>
    </row>
    <row r="888" spans="3:13" s="59" customFormat="1" ht="13.8">
      <c r="C888" s="46" t="s">
        <v>4611</v>
      </c>
      <c r="D888" s="1934" t="s">
        <v>4612</v>
      </c>
      <c r="E888" s="1934"/>
      <c r="F888" s="1934"/>
      <c r="G888" s="1934"/>
      <c r="H888" s="1934"/>
      <c r="I888" s="50">
        <f>ROUNDDOWN(H905,-2)</f>
        <v>1354000</v>
      </c>
    </row>
    <row r="889" spans="3:13" s="59" customFormat="1" ht="19.2" customHeight="1">
      <c r="C889" s="591" t="s">
        <v>1195</v>
      </c>
      <c r="D889" s="591" t="s">
        <v>1196</v>
      </c>
      <c r="E889" s="591" t="s">
        <v>1197</v>
      </c>
      <c r="F889" s="591" t="s">
        <v>1198</v>
      </c>
      <c r="G889" s="591" t="s">
        <v>1199</v>
      </c>
      <c r="H889" s="591" t="s">
        <v>1200</v>
      </c>
      <c r="I889" s="44"/>
    </row>
    <row r="890" spans="3:13" s="59" customFormat="1" ht="19.2" customHeight="1">
      <c r="C890" s="61" t="s">
        <v>1201</v>
      </c>
      <c r="D890" s="56" t="s">
        <v>1202</v>
      </c>
      <c r="E890" s="57"/>
      <c r="F890" s="57"/>
      <c r="G890" s="57"/>
      <c r="H890" s="57"/>
      <c r="I890" s="44"/>
      <c r="J890" s="152" t="s">
        <v>1247</v>
      </c>
    </row>
    <row r="891" spans="3:13" s="59" customFormat="1" ht="19.2" customHeight="1">
      <c r="C891" s="588">
        <v>1</v>
      </c>
      <c r="D891" s="56" t="s">
        <v>5</v>
      </c>
      <c r="E891" s="577" t="s">
        <v>1863</v>
      </c>
      <c r="F891" s="101">
        <v>1.1408</v>
      </c>
      <c r="G891" s="63">
        <f>VLOOKUP(D891,upahbahan,3,FALSE)</f>
        <v>100000</v>
      </c>
      <c r="H891" s="63">
        <f>F891*G891</f>
        <v>114080</v>
      </c>
      <c r="I891" s="44"/>
      <c r="J891" s="152" t="s">
        <v>1248</v>
      </c>
      <c r="M891" s="65">
        <v>0.1</v>
      </c>
    </row>
    <row r="892" spans="3:13" s="59" customFormat="1" ht="19.2" customHeight="1">
      <c r="C892" s="588">
        <v>2</v>
      </c>
      <c r="D892" s="56" t="s">
        <v>2165</v>
      </c>
      <c r="E892" s="577" t="s">
        <v>1863</v>
      </c>
      <c r="F892" s="101">
        <v>0.28520000000000001</v>
      </c>
      <c r="G892" s="63">
        <f>VLOOKUP(D892,upahbahan,3,FALSE)</f>
        <v>135000</v>
      </c>
      <c r="H892" s="63">
        <f t="shared" ref="H892:H893" si="46">F892*G892</f>
        <v>38502</v>
      </c>
      <c r="I892" s="44"/>
      <c r="J892" s="152"/>
      <c r="M892" s="65"/>
    </row>
    <row r="893" spans="3:13" s="59" customFormat="1" ht="19.2" customHeight="1">
      <c r="C893" s="588">
        <v>3</v>
      </c>
      <c r="D893" s="56" t="s">
        <v>19</v>
      </c>
      <c r="E893" s="577" t="s">
        <v>1863</v>
      </c>
      <c r="F893" s="101">
        <v>5.7000000000000002E-2</v>
      </c>
      <c r="G893" s="63">
        <f>VLOOKUP(D893,upahbahan,3,FALSE)</f>
        <v>160000</v>
      </c>
      <c r="H893" s="63">
        <f t="shared" si="46"/>
        <v>9120</v>
      </c>
      <c r="I893" s="44"/>
    </row>
    <row r="894" spans="3:13" s="59" customFormat="1" ht="19.2" customHeight="1">
      <c r="C894" s="450" t="s">
        <v>1208</v>
      </c>
      <c r="D894" s="67"/>
      <c r="E894" s="67"/>
      <c r="F894" s="142"/>
      <c r="G894" s="153"/>
      <c r="H894" s="63">
        <f>SUM(H891:H893)</f>
        <v>161702</v>
      </c>
      <c r="I894" s="154"/>
    </row>
    <row r="895" spans="3:13" s="59" customFormat="1" ht="19.2" customHeight="1">
      <c r="C895" s="61" t="s">
        <v>1209</v>
      </c>
      <c r="D895" s="56" t="s">
        <v>1210</v>
      </c>
      <c r="E895" s="57"/>
      <c r="F895" s="57"/>
      <c r="G895" s="57"/>
      <c r="H895" s="57"/>
      <c r="I895" s="44"/>
    </row>
    <row r="896" spans="3:13" s="59" customFormat="1" ht="19.2" customHeight="1">
      <c r="C896" s="61">
        <v>1</v>
      </c>
      <c r="D896" s="56" t="s">
        <v>4574</v>
      </c>
      <c r="E896" s="93" t="s">
        <v>42</v>
      </c>
      <c r="F896" s="103">
        <v>9.6000000000000002E-2</v>
      </c>
      <c r="G896" s="63">
        <f>VLOOKUP(D896,upahbahan,3,FALSE)</f>
        <v>928000</v>
      </c>
      <c r="H896" s="63">
        <f>F896*G896</f>
        <v>89088</v>
      </c>
      <c r="I896" s="44"/>
    </row>
    <row r="897" spans="3:13" s="59" customFormat="1" ht="19.2" customHeight="1">
      <c r="C897" s="61">
        <v>2</v>
      </c>
      <c r="D897" s="56" t="s">
        <v>4488</v>
      </c>
      <c r="E897" s="93" t="s">
        <v>42</v>
      </c>
      <c r="F897" s="103">
        <v>0.192</v>
      </c>
      <c r="G897" s="63">
        <f>VLOOKUP(D897,upahbahan,3,FALSE)</f>
        <v>0</v>
      </c>
      <c r="H897" s="63">
        <f>F897*G897</f>
        <v>0</v>
      </c>
      <c r="I897" s="44"/>
    </row>
    <row r="898" spans="3:13" s="59" customFormat="1" ht="19.2" customHeight="1">
      <c r="C898" s="61">
        <v>3</v>
      </c>
      <c r="D898" s="56" t="s">
        <v>4548</v>
      </c>
      <c r="E898" s="93" t="s">
        <v>44</v>
      </c>
      <c r="F898" s="103">
        <v>0.83330000000000004</v>
      </c>
      <c r="G898" s="63">
        <f>VLOOKUP(D898,upahbahan,3,FALSE)</f>
        <v>680000</v>
      </c>
      <c r="H898" s="63">
        <f>F898*G898</f>
        <v>566644</v>
      </c>
      <c r="I898" s="44"/>
    </row>
    <row r="899" spans="3:13" s="59" customFormat="1" ht="19.2" customHeight="1">
      <c r="C899" s="450" t="s">
        <v>1214</v>
      </c>
      <c r="D899" s="67"/>
      <c r="E899" s="67"/>
      <c r="F899" s="67"/>
      <c r="G899" s="69"/>
      <c r="H899" s="63">
        <f>SUM(H896:H898)</f>
        <v>655732</v>
      </c>
      <c r="I899" s="44"/>
    </row>
    <row r="900" spans="3:13" s="59" customFormat="1" ht="19.2" customHeight="1">
      <c r="C900" s="61" t="s">
        <v>1215</v>
      </c>
      <c r="D900" s="56" t="s">
        <v>1216</v>
      </c>
      <c r="E900" s="93"/>
      <c r="F900" s="57"/>
      <c r="G900" s="57"/>
      <c r="H900" s="57"/>
      <c r="I900" s="44"/>
    </row>
    <row r="901" spans="3:13" s="59" customFormat="1" ht="19.2" customHeight="1">
      <c r="C901" s="800">
        <v>1</v>
      </c>
      <c r="D901" s="56" t="s">
        <v>1181</v>
      </c>
      <c r="E901" s="93" t="s">
        <v>1074</v>
      </c>
      <c r="F901" s="94">
        <v>0.28520000000000001</v>
      </c>
      <c r="G901" s="63">
        <f>VLOOKUP(D901,upahbahan,3,FALSE)</f>
        <v>1450000</v>
      </c>
      <c r="H901" s="63">
        <f>F901*G901</f>
        <v>413540</v>
      </c>
      <c r="I901" s="44"/>
    </row>
    <row r="902" spans="3:13" s="59" customFormat="1" ht="19.2" customHeight="1">
      <c r="C902" s="450" t="s">
        <v>1217</v>
      </c>
      <c r="D902" s="67"/>
      <c r="E902" s="67"/>
      <c r="F902" s="67"/>
      <c r="G902" s="69"/>
      <c r="H902" s="882">
        <f>SUM(H900:H901)</f>
        <v>413540</v>
      </c>
      <c r="I902" s="44"/>
    </row>
    <row r="903" spans="3:13" s="59" customFormat="1" ht="19.2" customHeight="1">
      <c r="C903" s="288" t="s">
        <v>1218</v>
      </c>
      <c r="D903" s="76" t="s">
        <v>1219</v>
      </c>
      <c r="E903" s="77"/>
      <c r="F903" s="77"/>
      <c r="G903" s="78"/>
      <c r="H903" s="585">
        <f>H902+H899+H894</f>
        <v>1230974</v>
      </c>
      <c r="I903" s="369"/>
    </row>
    <row r="904" spans="3:13" s="59" customFormat="1" ht="19.2" customHeight="1">
      <c r="C904" s="288" t="s">
        <v>1220</v>
      </c>
      <c r="D904" s="76" t="s">
        <v>1321</v>
      </c>
      <c r="E904" s="77"/>
      <c r="F904" s="78"/>
      <c r="G904" s="80">
        <v>0.1</v>
      </c>
      <c r="H904" s="63">
        <f>H903*G904</f>
        <v>123097.40000000001</v>
      </c>
      <c r="I904" s="369"/>
    </row>
    <row r="905" spans="3:13" s="59" customFormat="1" ht="19.2" customHeight="1">
      <c r="C905" s="288" t="s">
        <v>1221</v>
      </c>
      <c r="D905" s="76" t="s">
        <v>1222</v>
      </c>
      <c r="E905" s="77"/>
      <c r="F905" s="77"/>
      <c r="G905" s="78"/>
      <c r="H905" s="799">
        <f>SUM(H903:H904)</f>
        <v>1354071.4</v>
      </c>
      <c r="I905" s="369"/>
    </row>
    <row r="907" spans="3:13" s="59" customFormat="1" ht="13.8">
      <c r="C907" s="46" t="s">
        <v>4613</v>
      </c>
      <c r="D907" s="1934" t="s">
        <v>4614</v>
      </c>
      <c r="E907" s="1934"/>
      <c r="F907" s="1934"/>
      <c r="G907" s="1934"/>
      <c r="H907" s="1934"/>
      <c r="I907" s="50">
        <f>ROUNDDOWN(H924,-2)</f>
        <v>1464900</v>
      </c>
    </row>
    <row r="908" spans="3:13" s="59" customFormat="1" ht="19.2" customHeight="1">
      <c r="C908" s="591" t="s">
        <v>1195</v>
      </c>
      <c r="D908" s="591" t="s">
        <v>1196</v>
      </c>
      <c r="E908" s="591" t="s">
        <v>1197</v>
      </c>
      <c r="F908" s="591" t="s">
        <v>1198</v>
      </c>
      <c r="G908" s="591" t="s">
        <v>1199</v>
      </c>
      <c r="H908" s="591" t="s">
        <v>1200</v>
      </c>
      <c r="I908" s="44"/>
    </row>
    <row r="909" spans="3:13" s="59" customFormat="1" ht="19.2" customHeight="1">
      <c r="C909" s="61" t="s">
        <v>1201</v>
      </c>
      <c r="D909" s="56" t="s">
        <v>1202</v>
      </c>
      <c r="E909" s="57"/>
      <c r="F909" s="57"/>
      <c r="G909" s="57"/>
      <c r="H909" s="57"/>
      <c r="I909" s="44"/>
      <c r="J909" s="152" t="s">
        <v>1247</v>
      </c>
    </row>
    <row r="910" spans="3:13" s="59" customFormat="1" ht="19.2" customHeight="1">
      <c r="C910" s="588">
        <v>1</v>
      </c>
      <c r="D910" s="56" t="s">
        <v>5</v>
      </c>
      <c r="E910" s="577" t="s">
        <v>1863</v>
      </c>
      <c r="F910" s="101">
        <v>1.2919</v>
      </c>
      <c r="G910" s="63">
        <f>VLOOKUP(D910,upahbahan,3,FALSE)</f>
        <v>100000</v>
      </c>
      <c r="H910" s="63">
        <f>F910*G910</f>
        <v>129190</v>
      </c>
      <c r="I910" s="44"/>
      <c r="J910" s="152" t="s">
        <v>1248</v>
      </c>
      <c r="M910" s="65">
        <v>0.1</v>
      </c>
    </row>
    <row r="911" spans="3:13" s="59" customFormat="1" ht="19.2" customHeight="1">
      <c r="C911" s="588">
        <v>2</v>
      </c>
      <c r="D911" s="56" t="s">
        <v>2165</v>
      </c>
      <c r="E911" s="577" t="s">
        <v>1863</v>
      </c>
      <c r="F911" s="101">
        <v>0.32300000000000001</v>
      </c>
      <c r="G911" s="63">
        <f>VLOOKUP(D911,upahbahan,3,FALSE)</f>
        <v>135000</v>
      </c>
      <c r="H911" s="63">
        <f t="shared" ref="H911:H912" si="47">F911*G911</f>
        <v>43605</v>
      </c>
      <c r="I911" s="44"/>
      <c r="J911" s="152"/>
      <c r="M911" s="65"/>
    </row>
    <row r="912" spans="3:13" s="59" customFormat="1" ht="19.2" customHeight="1">
      <c r="C912" s="588">
        <v>3</v>
      </c>
      <c r="D912" s="56" t="s">
        <v>19</v>
      </c>
      <c r="E912" s="577" t="s">
        <v>1863</v>
      </c>
      <c r="F912" s="101">
        <v>6.4600000000000005E-2</v>
      </c>
      <c r="G912" s="63">
        <f>VLOOKUP(D912,upahbahan,3,FALSE)</f>
        <v>160000</v>
      </c>
      <c r="H912" s="63">
        <f t="shared" si="47"/>
        <v>10336</v>
      </c>
      <c r="I912" s="44"/>
    </row>
    <row r="913" spans="3:10" s="59" customFormat="1" ht="19.2" customHeight="1">
      <c r="C913" s="450" t="s">
        <v>1208</v>
      </c>
      <c r="D913" s="67"/>
      <c r="E913" s="67"/>
      <c r="F913" s="142"/>
      <c r="G913" s="153"/>
      <c r="H913" s="63">
        <f>SUM(H910:H912)</f>
        <v>183131</v>
      </c>
      <c r="I913" s="154"/>
    </row>
    <row r="914" spans="3:10" s="59" customFormat="1" ht="19.2" customHeight="1">
      <c r="C914" s="61" t="s">
        <v>1209</v>
      </c>
      <c r="D914" s="56" t="s">
        <v>1210</v>
      </c>
      <c r="E914" s="57"/>
      <c r="F914" s="57"/>
      <c r="G914" s="57"/>
      <c r="H914" s="57"/>
      <c r="I914" s="44"/>
    </row>
    <row r="915" spans="3:10" s="59" customFormat="1" ht="19.2" customHeight="1">
      <c r="C915" s="61">
        <v>1</v>
      </c>
      <c r="D915" s="56" t="s">
        <v>4574</v>
      </c>
      <c r="E915" s="93" t="s">
        <v>42</v>
      </c>
      <c r="F915" s="103">
        <v>9.5500000000000002E-2</v>
      </c>
      <c r="G915" s="63">
        <f>VLOOKUP(D915,upahbahan,3,FALSE)</f>
        <v>928000</v>
      </c>
      <c r="H915" s="63">
        <f>F915*G915</f>
        <v>88624</v>
      </c>
      <c r="I915" s="44"/>
    </row>
    <row r="916" spans="3:10" s="59" customFormat="1" ht="19.2" customHeight="1">
      <c r="C916" s="61">
        <v>2</v>
      </c>
      <c r="D916" s="56" t="s">
        <v>4488</v>
      </c>
      <c r="E916" s="93" t="s">
        <v>42</v>
      </c>
      <c r="F916" s="103">
        <v>0.191</v>
      </c>
      <c r="G916" s="63">
        <f>VLOOKUP(D916,upahbahan,3,FALSE)</f>
        <v>0</v>
      </c>
      <c r="H916" s="63">
        <f>F916*G916</f>
        <v>0</v>
      </c>
      <c r="I916" s="44"/>
    </row>
    <row r="917" spans="3:10" s="59" customFormat="1" ht="19.2" customHeight="1">
      <c r="C917" s="61">
        <v>3</v>
      </c>
      <c r="D917" s="56" t="s">
        <v>4551</v>
      </c>
      <c r="E917" s="93" t="s">
        <v>44</v>
      </c>
      <c r="F917" s="103">
        <v>0.83330000000000004</v>
      </c>
      <c r="G917" s="63">
        <f>VLOOKUP(D917,upahbahan,3,FALSE)</f>
        <v>710000</v>
      </c>
      <c r="H917" s="63">
        <f>F917*G917</f>
        <v>591643</v>
      </c>
      <c r="I917" s="44"/>
    </row>
    <row r="918" spans="3:10" s="59" customFormat="1" ht="19.2" customHeight="1">
      <c r="C918" s="450" t="s">
        <v>1214</v>
      </c>
      <c r="D918" s="67"/>
      <c r="E918" s="67"/>
      <c r="F918" s="67"/>
      <c r="G918" s="69"/>
      <c r="H918" s="63">
        <f>SUM(H915:H917)</f>
        <v>680267</v>
      </c>
      <c r="I918" s="44"/>
    </row>
    <row r="919" spans="3:10" s="59" customFormat="1" ht="19.2" customHeight="1">
      <c r="C919" s="61" t="s">
        <v>1215</v>
      </c>
      <c r="D919" s="56" t="s">
        <v>1216</v>
      </c>
      <c r="E919" s="93"/>
      <c r="F919" s="57"/>
      <c r="G919" s="57"/>
      <c r="H919" s="57"/>
      <c r="I919" s="44"/>
    </row>
    <row r="920" spans="3:10" s="59" customFormat="1" ht="19.2" customHeight="1">
      <c r="C920" s="800">
        <v>1</v>
      </c>
      <c r="D920" s="56" t="s">
        <v>1181</v>
      </c>
      <c r="E920" s="93" t="s">
        <v>1074</v>
      </c>
      <c r="F920" s="94">
        <v>0.32300000000000001</v>
      </c>
      <c r="G920" s="63">
        <f>VLOOKUP(D920,upahbahan,3,FALSE)</f>
        <v>1450000</v>
      </c>
      <c r="H920" s="63">
        <f>F920*G920</f>
        <v>468350</v>
      </c>
      <c r="I920" s="44"/>
    </row>
    <row r="921" spans="3:10" s="59" customFormat="1" ht="19.2" customHeight="1">
      <c r="C921" s="450" t="s">
        <v>1217</v>
      </c>
      <c r="D921" s="67"/>
      <c r="E921" s="67"/>
      <c r="F921" s="67"/>
      <c r="G921" s="69"/>
      <c r="H921" s="882">
        <f>SUM(H919:H920)</f>
        <v>468350</v>
      </c>
      <c r="I921" s="44"/>
    </row>
    <row r="922" spans="3:10" s="59" customFormat="1" ht="19.2" customHeight="1">
      <c r="C922" s="288" t="s">
        <v>1218</v>
      </c>
      <c r="D922" s="76" t="s">
        <v>1219</v>
      </c>
      <c r="E922" s="77"/>
      <c r="F922" s="77"/>
      <c r="G922" s="78"/>
      <c r="H922" s="585">
        <f>H921+H918+H913</f>
        <v>1331748</v>
      </c>
      <c r="I922" s="369"/>
    </row>
    <row r="923" spans="3:10" s="59" customFormat="1" ht="19.2" customHeight="1">
      <c r="C923" s="288" t="s">
        <v>1220</v>
      </c>
      <c r="D923" s="76" t="s">
        <v>1321</v>
      </c>
      <c r="E923" s="77"/>
      <c r="F923" s="78"/>
      <c r="G923" s="80">
        <v>0.1</v>
      </c>
      <c r="H923" s="63">
        <f>H922*G923</f>
        <v>133174.80000000002</v>
      </c>
      <c r="I923" s="369"/>
    </row>
    <row r="924" spans="3:10" s="59" customFormat="1" ht="19.2" customHeight="1">
      <c r="C924" s="288" t="s">
        <v>1221</v>
      </c>
      <c r="D924" s="76" t="s">
        <v>1222</v>
      </c>
      <c r="E924" s="77"/>
      <c r="F924" s="77"/>
      <c r="G924" s="78"/>
      <c r="H924" s="799">
        <f>SUM(H922:H923)</f>
        <v>1464922.8</v>
      </c>
      <c r="I924" s="369"/>
    </row>
    <row r="926" spans="3:10" s="59" customFormat="1" ht="13.8">
      <c r="C926" s="46" t="s">
        <v>4615</v>
      </c>
      <c r="D926" s="1934" t="s">
        <v>4616</v>
      </c>
      <c r="E926" s="1934"/>
      <c r="F926" s="1934"/>
      <c r="G926" s="1934"/>
      <c r="H926" s="1934"/>
      <c r="I926" s="50">
        <f>ROUNDDOWN(H943,-2)</f>
        <v>1485200</v>
      </c>
    </row>
    <row r="927" spans="3:10" s="59" customFormat="1" ht="19.2" customHeight="1">
      <c r="C927" s="591" t="s">
        <v>1195</v>
      </c>
      <c r="D927" s="591" t="s">
        <v>1196</v>
      </c>
      <c r="E927" s="591" t="s">
        <v>1197</v>
      </c>
      <c r="F927" s="591" t="s">
        <v>1198</v>
      </c>
      <c r="G927" s="591" t="s">
        <v>1199</v>
      </c>
      <c r="H927" s="591" t="s">
        <v>1200</v>
      </c>
      <c r="I927" s="44"/>
    </row>
    <row r="928" spans="3:10" s="59" customFormat="1" ht="19.2" customHeight="1">
      <c r="C928" s="61" t="s">
        <v>1201</v>
      </c>
      <c r="D928" s="56" t="s">
        <v>1202</v>
      </c>
      <c r="E928" s="57"/>
      <c r="F928" s="57"/>
      <c r="G928" s="57"/>
      <c r="H928" s="57"/>
      <c r="I928" s="44"/>
      <c r="J928" s="152" t="s">
        <v>1247</v>
      </c>
    </row>
    <row r="929" spans="3:13" s="59" customFormat="1" ht="19.2" customHeight="1">
      <c r="C929" s="588">
        <v>1</v>
      </c>
      <c r="D929" s="56" t="s">
        <v>5</v>
      </c>
      <c r="E929" s="577" t="s">
        <v>1863</v>
      </c>
      <c r="F929" s="101">
        <v>1.2956000000000001</v>
      </c>
      <c r="G929" s="63">
        <f>VLOOKUP(D929,upahbahan,3,FALSE)</f>
        <v>100000</v>
      </c>
      <c r="H929" s="63">
        <f>F929*G929</f>
        <v>129560.00000000001</v>
      </c>
      <c r="I929" s="44"/>
      <c r="J929" s="152" t="s">
        <v>1248</v>
      </c>
      <c r="M929" s="65">
        <v>0.1</v>
      </c>
    </row>
    <row r="930" spans="3:13" s="59" customFormat="1" ht="19.2" customHeight="1">
      <c r="C930" s="588">
        <v>2</v>
      </c>
      <c r="D930" s="56" t="s">
        <v>2165</v>
      </c>
      <c r="E930" s="577" t="s">
        <v>1863</v>
      </c>
      <c r="F930" s="101">
        <v>0.32390000000000002</v>
      </c>
      <c r="G930" s="63">
        <f>VLOOKUP(D930,upahbahan,3,FALSE)</f>
        <v>135000</v>
      </c>
      <c r="H930" s="63">
        <f t="shared" ref="H930:H931" si="48">F930*G930</f>
        <v>43726.5</v>
      </c>
      <c r="I930" s="44"/>
      <c r="J930" s="152"/>
      <c r="M930" s="65"/>
    </row>
    <row r="931" spans="3:13" s="59" customFormat="1" ht="19.2" customHeight="1">
      <c r="C931" s="588">
        <v>3</v>
      </c>
      <c r="D931" s="56" t="s">
        <v>19</v>
      </c>
      <c r="E931" s="577" t="s">
        <v>1863</v>
      </c>
      <c r="F931" s="101">
        <v>6.4799999999999996E-2</v>
      </c>
      <c r="G931" s="63">
        <f>VLOOKUP(D931,upahbahan,3,FALSE)</f>
        <v>160000</v>
      </c>
      <c r="H931" s="63">
        <f t="shared" si="48"/>
        <v>10368</v>
      </c>
      <c r="I931" s="44"/>
    </row>
    <row r="932" spans="3:13" s="59" customFormat="1" ht="19.2" customHeight="1">
      <c r="C932" s="450" t="s">
        <v>1208</v>
      </c>
      <c r="D932" s="67"/>
      <c r="E932" s="67"/>
      <c r="F932" s="142"/>
      <c r="G932" s="153"/>
      <c r="H932" s="63">
        <f>SUM(H929:H931)</f>
        <v>183654.5</v>
      </c>
      <c r="I932" s="154"/>
    </row>
    <row r="933" spans="3:13" s="59" customFormat="1" ht="19.2" customHeight="1">
      <c r="C933" s="61" t="s">
        <v>1209</v>
      </c>
      <c r="D933" s="56" t="s">
        <v>1210</v>
      </c>
      <c r="E933" s="57"/>
      <c r="F933" s="57"/>
      <c r="G933" s="57"/>
      <c r="H933" s="57"/>
      <c r="I933" s="44"/>
    </row>
    <row r="934" spans="3:13" s="59" customFormat="1" ht="19.2" customHeight="1">
      <c r="C934" s="61">
        <v>1</v>
      </c>
      <c r="D934" s="56" t="s">
        <v>4574</v>
      </c>
      <c r="E934" s="93" t="s">
        <v>42</v>
      </c>
      <c r="F934" s="103">
        <v>9.5500000000000002E-2</v>
      </c>
      <c r="G934" s="63">
        <f>VLOOKUP(D934,upahbahan,3,FALSE)</f>
        <v>928000</v>
      </c>
      <c r="H934" s="63">
        <f>F934*G934</f>
        <v>88624</v>
      </c>
      <c r="I934" s="44"/>
    </row>
    <row r="935" spans="3:13" s="59" customFormat="1" ht="19.2" customHeight="1">
      <c r="C935" s="61">
        <v>2</v>
      </c>
      <c r="D935" s="56" t="s">
        <v>4488</v>
      </c>
      <c r="E935" s="93" t="s">
        <v>42</v>
      </c>
      <c r="F935" s="103">
        <v>0.191</v>
      </c>
      <c r="G935" s="63">
        <f>VLOOKUP(D935,upahbahan,3,FALSE)</f>
        <v>0</v>
      </c>
      <c r="H935" s="63">
        <f>F935*G935</f>
        <v>0</v>
      </c>
      <c r="I935" s="44"/>
    </row>
    <row r="936" spans="3:13" s="59" customFormat="1" ht="19.2" customHeight="1">
      <c r="C936" s="61">
        <v>3</v>
      </c>
      <c r="D936" s="56" t="s">
        <v>4554</v>
      </c>
      <c r="E936" s="93" t="s">
        <v>44</v>
      </c>
      <c r="F936" s="103">
        <v>0.83330000000000004</v>
      </c>
      <c r="G936" s="63">
        <f>VLOOKUP(D936,upahbahan,3,FALSE)</f>
        <v>730000</v>
      </c>
      <c r="H936" s="63">
        <f>F936*G936</f>
        <v>608309</v>
      </c>
      <c r="I936" s="44"/>
    </row>
    <row r="937" spans="3:13" s="59" customFormat="1" ht="19.2" customHeight="1">
      <c r="C937" s="450" t="s">
        <v>1214</v>
      </c>
      <c r="D937" s="67"/>
      <c r="E937" s="67"/>
      <c r="F937" s="67"/>
      <c r="G937" s="69"/>
      <c r="H937" s="63">
        <f>SUM(H934:H936)</f>
        <v>696933</v>
      </c>
      <c r="I937" s="44"/>
    </row>
    <row r="938" spans="3:13" s="59" customFormat="1" ht="19.2" customHeight="1">
      <c r="C938" s="61" t="s">
        <v>1215</v>
      </c>
      <c r="D938" s="56" t="s">
        <v>1216</v>
      </c>
      <c r="E938" s="93"/>
      <c r="F938" s="57"/>
      <c r="G938" s="57"/>
      <c r="H938" s="57"/>
      <c r="I938" s="44"/>
    </row>
    <row r="939" spans="3:13" s="59" customFormat="1" ht="19.2" customHeight="1">
      <c r="C939" s="800">
        <v>1</v>
      </c>
      <c r="D939" s="56" t="s">
        <v>1181</v>
      </c>
      <c r="E939" s="93" t="s">
        <v>1074</v>
      </c>
      <c r="F939" s="94">
        <v>0.32390000000000002</v>
      </c>
      <c r="G939" s="63">
        <f>VLOOKUP(D939,upahbahan,3,FALSE)</f>
        <v>1450000</v>
      </c>
      <c r="H939" s="63">
        <f>F939*G939</f>
        <v>469655.00000000006</v>
      </c>
      <c r="I939" s="44"/>
    </row>
    <row r="940" spans="3:13" s="59" customFormat="1" ht="19.2" customHeight="1">
      <c r="C940" s="450" t="s">
        <v>1217</v>
      </c>
      <c r="D940" s="67"/>
      <c r="E940" s="67"/>
      <c r="F940" s="67"/>
      <c r="G940" s="69"/>
      <c r="H940" s="882">
        <f>SUM(H938:H939)</f>
        <v>469655.00000000006</v>
      </c>
      <c r="I940" s="44"/>
    </row>
    <row r="941" spans="3:13" s="59" customFormat="1" ht="19.2" customHeight="1">
      <c r="C941" s="288" t="s">
        <v>1218</v>
      </c>
      <c r="D941" s="76" t="s">
        <v>1219</v>
      </c>
      <c r="E941" s="77"/>
      <c r="F941" s="77"/>
      <c r="G941" s="78"/>
      <c r="H941" s="585">
        <f>H940+H937+H932</f>
        <v>1350242.5</v>
      </c>
      <c r="I941" s="369"/>
    </row>
    <row r="942" spans="3:13" s="59" customFormat="1" ht="19.2" customHeight="1">
      <c r="C942" s="288" t="s">
        <v>1220</v>
      </c>
      <c r="D942" s="76" t="s">
        <v>1321</v>
      </c>
      <c r="E942" s="77"/>
      <c r="F942" s="78"/>
      <c r="G942" s="80">
        <v>0.1</v>
      </c>
      <c r="H942" s="63">
        <f>H941*G942</f>
        <v>135024.25</v>
      </c>
      <c r="I942" s="369"/>
    </row>
    <row r="943" spans="3:13" s="59" customFormat="1" ht="19.2" customHeight="1">
      <c r="C943" s="288" t="s">
        <v>1221</v>
      </c>
      <c r="D943" s="76" t="s">
        <v>1222</v>
      </c>
      <c r="E943" s="77"/>
      <c r="F943" s="77"/>
      <c r="G943" s="78"/>
      <c r="H943" s="799">
        <f>SUM(H941:H942)</f>
        <v>1485266.75</v>
      </c>
      <c r="I943" s="369"/>
    </row>
    <row r="945" spans="3:13" s="59" customFormat="1" ht="13.8">
      <c r="C945" s="46" t="s">
        <v>4617</v>
      </c>
      <c r="D945" s="1934" t="s">
        <v>4618</v>
      </c>
      <c r="E945" s="1934"/>
      <c r="F945" s="1934"/>
      <c r="G945" s="1934"/>
      <c r="H945" s="1934"/>
      <c r="I945" s="50">
        <f>ROUNDDOWN(H962,-2)</f>
        <v>1524900</v>
      </c>
    </row>
    <row r="946" spans="3:13" s="59" customFormat="1" ht="19.2" customHeight="1">
      <c r="C946" s="591" t="s">
        <v>1195</v>
      </c>
      <c r="D946" s="591" t="s">
        <v>1196</v>
      </c>
      <c r="E946" s="591" t="s">
        <v>1197</v>
      </c>
      <c r="F946" s="591" t="s">
        <v>1198</v>
      </c>
      <c r="G946" s="591" t="s">
        <v>1199</v>
      </c>
      <c r="H946" s="591" t="s">
        <v>1200</v>
      </c>
      <c r="I946" s="44"/>
    </row>
    <row r="947" spans="3:13" s="59" customFormat="1" ht="19.2" customHeight="1">
      <c r="C947" s="61" t="s">
        <v>1201</v>
      </c>
      <c r="D947" s="56" t="s">
        <v>1202</v>
      </c>
      <c r="E947" s="57"/>
      <c r="F947" s="57"/>
      <c r="G947" s="57"/>
      <c r="H947" s="57"/>
      <c r="I947" s="44"/>
      <c r="J947" s="152" t="s">
        <v>1247</v>
      </c>
    </row>
    <row r="948" spans="3:13" s="59" customFormat="1" ht="19.2" customHeight="1">
      <c r="C948" s="588">
        <v>1</v>
      </c>
      <c r="D948" s="56" t="s">
        <v>5</v>
      </c>
      <c r="E948" s="577" t="s">
        <v>1863</v>
      </c>
      <c r="F948" s="101">
        <v>1.3267</v>
      </c>
      <c r="G948" s="63">
        <f>VLOOKUP(D948,upahbahan,3,FALSE)</f>
        <v>100000</v>
      </c>
      <c r="H948" s="63">
        <f>F948*G948</f>
        <v>132670</v>
      </c>
      <c r="I948" s="44"/>
      <c r="J948" s="152" t="s">
        <v>1248</v>
      </c>
      <c r="M948" s="65">
        <v>0.1</v>
      </c>
    </row>
    <row r="949" spans="3:13" s="59" customFormat="1" ht="19.2" customHeight="1">
      <c r="C949" s="588">
        <v>2</v>
      </c>
      <c r="D949" s="56" t="s">
        <v>2165</v>
      </c>
      <c r="E949" s="577" t="s">
        <v>1863</v>
      </c>
      <c r="F949" s="101">
        <v>0.33169999999999999</v>
      </c>
      <c r="G949" s="63">
        <f>VLOOKUP(D949,upahbahan,3,FALSE)</f>
        <v>135000</v>
      </c>
      <c r="H949" s="63">
        <f t="shared" ref="H949:H950" si="49">F949*G949</f>
        <v>44779.5</v>
      </c>
      <c r="I949" s="44"/>
      <c r="J949" s="152"/>
      <c r="M949" s="65"/>
    </row>
    <row r="950" spans="3:13" s="59" customFormat="1" ht="19.2" customHeight="1">
      <c r="C950" s="588">
        <v>3</v>
      </c>
      <c r="D950" s="56" t="s">
        <v>19</v>
      </c>
      <c r="E950" s="577" t="s">
        <v>1863</v>
      </c>
      <c r="F950" s="101">
        <v>6.6299999999999998E-2</v>
      </c>
      <c r="G950" s="63">
        <f>VLOOKUP(D950,upahbahan,3,FALSE)</f>
        <v>160000</v>
      </c>
      <c r="H950" s="63">
        <f t="shared" si="49"/>
        <v>10608</v>
      </c>
      <c r="I950" s="44"/>
    </row>
    <row r="951" spans="3:13" s="59" customFormat="1" ht="19.2" customHeight="1">
      <c r="C951" s="450" t="s">
        <v>1208</v>
      </c>
      <c r="D951" s="67"/>
      <c r="E951" s="67"/>
      <c r="F951" s="142"/>
      <c r="G951" s="153"/>
      <c r="H951" s="63">
        <f>SUM(H948:H950)</f>
        <v>188057.5</v>
      </c>
      <c r="I951" s="154"/>
    </row>
    <row r="952" spans="3:13" s="59" customFormat="1" ht="19.2" customHeight="1">
      <c r="C952" s="61" t="s">
        <v>1209</v>
      </c>
      <c r="D952" s="56" t="s">
        <v>1210</v>
      </c>
      <c r="E952" s="57"/>
      <c r="F952" s="57"/>
      <c r="G952" s="57"/>
      <c r="H952" s="57"/>
      <c r="I952" s="44"/>
    </row>
    <row r="953" spans="3:13" s="59" customFormat="1" ht="19.2" customHeight="1">
      <c r="C953" s="61">
        <v>1</v>
      </c>
      <c r="D953" s="56" t="s">
        <v>4574</v>
      </c>
      <c r="E953" s="93" t="s">
        <v>42</v>
      </c>
      <c r="F953" s="103">
        <v>9.9500000000000005E-2</v>
      </c>
      <c r="G953" s="63">
        <f>VLOOKUP(D953,upahbahan,3,FALSE)</f>
        <v>928000</v>
      </c>
      <c r="H953" s="63">
        <f>F953*G953</f>
        <v>92336</v>
      </c>
      <c r="I953" s="44"/>
    </row>
    <row r="954" spans="3:13" s="59" customFormat="1" ht="19.2" customHeight="1">
      <c r="C954" s="61">
        <v>2</v>
      </c>
      <c r="D954" s="56" t="s">
        <v>4488</v>
      </c>
      <c r="E954" s="93" t="s">
        <v>42</v>
      </c>
      <c r="F954" s="103">
        <v>0.19900000000000001</v>
      </c>
      <c r="G954" s="63">
        <f>VLOOKUP(D954,upahbahan,3,FALSE)</f>
        <v>0</v>
      </c>
      <c r="H954" s="63">
        <f>F954*G954</f>
        <v>0</v>
      </c>
      <c r="I954" s="44"/>
    </row>
    <row r="955" spans="3:13" s="59" customFormat="1" ht="19.2" customHeight="1">
      <c r="C955" s="61">
        <v>3</v>
      </c>
      <c r="D955" s="56" t="s">
        <v>4557</v>
      </c>
      <c r="E955" s="93" t="s">
        <v>44</v>
      </c>
      <c r="F955" s="103">
        <v>0.83330000000000004</v>
      </c>
      <c r="G955" s="63">
        <f>VLOOKUP(D955,upahbahan,3,FALSE)</f>
        <v>750000</v>
      </c>
      <c r="H955" s="63">
        <f>F955*G955</f>
        <v>624975</v>
      </c>
      <c r="I955" s="44"/>
    </row>
    <row r="956" spans="3:13" s="59" customFormat="1" ht="19.2" customHeight="1">
      <c r="C956" s="450" t="s">
        <v>1214</v>
      </c>
      <c r="D956" s="67"/>
      <c r="E956" s="67"/>
      <c r="F956" s="67"/>
      <c r="G956" s="69"/>
      <c r="H956" s="63">
        <f>SUM(H953:H955)</f>
        <v>717311</v>
      </c>
      <c r="I956" s="44"/>
    </row>
    <row r="957" spans="3:13" s="59" customFormat="1" ht="19.2" customHeight="1">
      <c r="C957" s="61" t="s">
        <v>1215</v>
      </c>
      <c r="D957" s="56" t="s">
        <v>1216</v>
      </c>
      <c r="E957" s="93"/>
      <c r="F957" s="57"/>
      <c r="G957" s="57"/>
      <c r="H957" s="57"/>
      <c r="I957" s="44"/>
    </row>
    <row r="958" spans="3:13" s="59" customFormat="1" ht="19.2" customHeight="1">
      <c r="C958" s="800">
        <v>1</v>
      </c>
      <c r="D958" s="56" t="s">
        <v>1181</v>
      </c>
      <c r="E958" s="93" t="s">
        <v>1074</v>
      </c>
      <c r="F958" s="94">
        <v>0.33169999999999999</v>
      </c>
      <c r="G958" s="63">
        <f>VLOOKUP(D958,upahbahan,3,FALSE)</f>
        <v>1450000</v>
      </c>
      <c r="H958" s="63">
        <f>F958*G958</f>
        <v>480965</v>
      </c>
      <c r="I958" s="44"/>
    </row>
    <row r="959" spans="3:13" s="59" customFormat="1" ht="19.2" customHeight="1">
      <c r="C959" s="450" t="s">
        <v>1217</v>
      </c>
      <c r="D959" s="67"/>
      <c r="E959" s="67"/>
      <c r="F959" s="67"/>
      <c r="G959" s="69"/>
      <c r="H959" s="882">
        <f>SUM(H957:H958)</f>
        <v>480965</v>
      </c>
      <c r="I959" s="44"/>
    </row>
    <row r="960" spans="3:13" s="59" customFormat="1" ht="19.2" customHeight="1">
      <c r="C960" s="288" t="s">
        <v>1218</v>
      </c>
      <c r="D960" s="76" t="s">
        <v>1219</v>
      </c>
      <c r="E960" s="77"/>
      <c r="F960" s="77"/>
      <c r="G960" s="78"/>
      <c r="H960" s="585">
        <f>H959+H956+H951</f>
        <v>1386333.5</v>
      </c>
      <c r="I960" s="369"/>
    </row>
    <row r="961" spans="3:13" s="59" customFormat="1" ht="19.2" customHeight="1">
      <c r="C961" s="288" t="s">
        <v>1220</v>
      </c>
      <c r="D961" s="76" t="s">
        <v>1321</v>
      </c>
      <c r="E961" s="77"/>
      <c r="F961" s="78"/>
      <c r="G961" s="80">
        <v>0.1</v>
      </c>
      <c r="H961" s="63">
        <f>H960*G961</f>
        <v>138633.35</v>
      </c>
      <c r="I961" s="369"/>
    </row>
    <row r="962" spans="3:13" s="59" customFormat="1" ht="19.2" customHeight="1">
      <c r="C962" s="288" t="s">
        <v>1221</v>
      </c>
      <c r="D962" s="76" t="s">
        <v>1222</v>
      </c>
      <c r="E962" s="77"/>
      <c r="F962" s="77"/>
      <c r="G962" s="78"/>
      <c r="H962" s="799">
        <f>SUM(H960:H961)</f>
        <v>1524966.85</v>
      </c>
      <c r="I962" s="369"/>
    </row>
    <row r="964" spans="3:13" s="59" customFormat="1" ht="13.8">
      <c r="C964" s="46" t="s">
        <v>4619</v>
      </c>
      <c r="D964" s="1934" t="s">
        <v>4620</v>
      </c>
      <c r="E964" s="1934"/>
      <c r="F964" s="1934"/>
      <c r="G964" s="1934"/>
      <c r="H964" s="1934"/>
      <c r="I964" s="50">
        <f>ROUNDDOWN(H981,-2)</f>
        <v>1562500</v>
      </c>
    </row>
    <row r="965" spans="3:13" s="59" customFormat="1" ht="19.2" customHeight="1">
      <c r="C965" s="591" t="s">
        <v>1195</v>
      </c>
      <c r="D965" s="591" t="s">
        <v>1196</v>
      </c>
      <c r="E965" s="591" t="s">
        <v>1197</v>
      </c>
      <c r="F965" s="591" t="s">
        <v>1198</v>
      </c>
      <c r="G965" s="591" t="s">
        <v>1199</v>
      </c>
      <c r="H965" s="591" t="s">
        <v>1200</v>
      </c>
      <c r="I965" s="44"/>
    </row>
    <row r="966" spans="3:13" s="59" customFormat="1" ht="19.2" customHeight="1">
      <c r="C966" s="61" t="s">
        <v>1201</v>
      </c>
      <c r="D966" s="56" t="s">
        <v>1202</v>
      </c>
      <c r="E966" s="57"/>
      <c r="F966" s="57"/>
      <c r="G966" s="57"/>
      <c r="H966" s="57"/>
      <c r="I966" s="44"/>
      <c r="J966" s="152" t="s">
        <v>1247</v>
      </c>
    </row>
    <row r="967" spans="3:13" s="59" customFormat="1" ht="19.2" customHeight="1">
      <c r="C967" s="588">
        <v>1</v>
      </c>
      <c r="D967" s="56" t="s">
        <v>5</v>
      </c>
      <c r="E967" s="577" t="s">
        <v>1863</v>
      </c>
      <c r="F967" s="101">
        <v>1.3469</v>
      </c>
      <c r="G967" s="63">
        <f>VLOOKUP(D967,upahbahan,3,FALSE)</f>
        <v>100000</v>
      </c>
      <c r="H967" s="63">
        <f>F967*G967</f>
        <v>134690</v>
      </c>
      <c r="I967" s="44"/>
      <c r="J967" s="152" t="s">
        <v>1248</v>
      </c>
      <c r="M967" s="65">
        <v>0.1</v>
      </c>
    </row>
    <row r="968" spans="3:13" s="59" customFormat="1" ht="19.2" customHeight="1">
      <c r="C968" s="588">
        <v>2</v>
      </c>
      <c r="D968" s="56" t="s">
        <v>2165</v>
      </c>
      <c r="E968" s="577" t="s">
        <v>1863</v>
      </c>
      <c r="F968" s="101">
        <v>0.3367</v>
      </c>
      <c r="G968" s="63">
        <f>VLOOKUP(D968,upahbahan,3,FALSE)</f>
        <v>135000</v>
      </c>
      <c r="H968" s="63">
        <f t="shared" ref="H968:H969" si="50">F968*G968</f>
        <v>45454.5</v>
      </c>
      <c r="I968" s="44"/>
      <c r="J968" s="152"/>
      <c r="M968" s="65"/>
    </row>
    <row r="969" spans="3:13" s="59" customFormat="1" ht="19.2" customHeight="1">
      <c r="C969" s="588">
        <v>3</v>
      </c>
      <c r="D969" s="56" t="s">
        <v>19</v>
      </c>
      <c r="E969" s="577" t="s">
        <v>1863</v>
      </c>
      <c r="F969" s="101">
        <v>6.7299999999999999E-2</v>
      </c>
      <c r="G969" s="63">
        <f>VLOOKUP(D969,upahbahan,3,FALSE)</f>
        <v>160000</v>
      </c>
      <c r="H969" s="63">
        <f t="shared" si="50"/>
        <v>10768</v>
      </c>
      <c r="I969" s="44"/>
    </row>
    <row r="970" spans="3:13" s="59" customFormat="1" ht="19.2" customHeight="1">
      <c r="C970" s="450" t="s">
        <v>1208</v>
      </c>
      <c r="D970" s="67"/>
      <c r="E970" s="67"/>
      <c r="F970" s="142"/>
      <c r="G970" s="153"/>
      <c r="H970" s="63">
        <f>SUM(H967:H969)</f>
        <v>190912.5</v>
      </c>
      <c r="I970" s="154"/>
    </row>
    <row r="971" spans="3:13" s="59" customFormat="1" ht="19.2" customHeight="1">
      <c r="C971" s="61" t="s">
        <v>1209</v>
      </c>
      <c r="D971" s="56" t="s">
        <v>1210</v>
      </c>
      <c r="E971" s="57"/>
      <c r="F971" s="57"/>
      <c r="G971" s="57"/>
      <c r="H971" s="57"/>
      <c r="I971" s="44"/>
    </row>
    <row r="972" spans="3:13" s="59" customFormat="1" ht="19.2" customHeight="1">
      <c r="C972" s="61">
        <v>1</v>
      </c>
      <c r="D972" s="56" t="s">
        <v>4574</v>
      </c>
      <c r="E972" s="93" t="s">
        <v>42</v>
      </c>
      <c r="F972" s="103">
        <v>9.8500000000000004E-2</v>
      </c>
      <c r="G972" s="63">
        <f>VLOOKUP(D972,upahbahan,3,FALSE)</f>
        <v>928000</v>
      </c>
      <c r="H972" s="63">
        <f>F972*G972</f>
        <v>91408</v>
      </c>
      <c r="I972" s="44"/>
    </row>
    <row r="973" spans="3:13" s="59" customFormat="1" ht="19.2" customHeight="1">
      <c r="C973" s="61">
        <v>2</v>
      </c>
      <c r="D973" s="56" t="s">
        <v>4488</v>
      </c>
      <c r="E973" s="93" t="s">
        <v>42</v>
      </c>
      <c r="F973" s="103">
        <v>0.19700000000000001</v>
      </c>
      <c r="G973" s="63">
        <f>VLOOKUP(D973,upahbahan,3,FALSE)</f>
        <v>0</v>
      </c>
      <c r="H973" s="63">
        <f>F973*G973</f>
        <v>0</v>
      </c>
      <c r="I973" s="44"/>
    </row>
    <row r="974" spans="3:13" s="59" customFormat="1" ht="19.2" customHeight="1">
      <c r="C974" s="61">
        <v>3</v>
      </c>
      <c r="D974" s="56" t="s">
        <v>4560</v>
      </c>
      <c r="E974" s="93" t="s">
        <v>44</v>
      </c>
      <c r="F974" s="103">
        <v>0.83330000000000004</v>
      </c>
      <c r="G974" s="63">
        <f>VLOOKUP(D974,upahbahan,3,FALSE)</f>
        <v>780000</v>
      </c>
      <c r="H974" s="63">
        <f>F974*G974</f>
        <v>649974</v>
      </c>
      <c r="I974" s="44"/>
    </row>
    <row r="975" spans="3:13" s="59" customFormat="1" ht="19.2" customHeight="1">
      <c r="C975" s="450" t="s">
        <v>1214</v>
      </c>
      <c r="D975" s="67"/>
      <c r="E975" s="67"/>
      <c r="F975" s="67"/>
      <c r="G975" s="69"/>
      <c r="H975" s="63">
        <f>SUM(H972:H974)</f>
        <v>741382</v>
      </c>
      <c r="I975" s="44"/>
    </row>
    <row r="976" spans="3:13" s="59" customFormat="1" ht="19.2" customHeight="1">
      <c r="C976" s="61" t="s">
        <v>1215</v>
      </c>
      <c r="D976" s="56" t="s">
        <v>1216</v>
      </c>
      <c r="E976" s="93"/>
      <c r="F976" s="57"/>
      <c r="G976" s="57"/>
      <c r="H976" s="57"/>
      <c r="I976" s="44"/>
    </row>
    <row r="977" spans="3:13" s="59" customFormat="1" ht="19.2" customHeight="1">
      <c r="C977" s="800">
        <v>1</v>
      </c>
      <c r="D977" s="56" t="s">
        <v>1181</v>
      </c>
      <c r="E977" s="93" t="s">
        <v>1074</v>
      </c>
      <c r="F977" s="94">
        <v>0.3367</v>
      </c>
      <c r="G977" s="63">
        <f>VLOOKUP(D977,upahbahan,3,FALSE)</f>
        <v>1450000</v>
      </c>
      <c r="H977" s="63">
        <f>F977*G977</f>
        <v>488215</v>
      </c>
      <c r="I977" s="44"/>
    </row>
    <row r="978" spans="3:13" s="59" customFormat="1" ht="19.2" customHeight="1">
      <c r="C978" s="450" t="s">
        <v>1217</v>
      </c>
      <c r="D978" s="67"/>
      <c r="E978" s="67"/>
      <c r="F978" s="67"/>
      <c r="G978" s="69"/>
      <c r="H978" s="882">
        <f>SUM(H976:H977)</f>
        <v>488215</v>
      </c>
      <c r="I978" s="44"/>
    </row>
    <row r="979" spans="3:13" s="59" customFormat="1" ht="19.2" customHeight="1">
      <c r="C979" s="288" t="s">
        <v>1218</v>
      </c>
      <c r="D979" s="76" t="s">
        <v>1219</v>
      </c>
      <c r="E979" s="77"/>
      <c r="F979" s="77"/>
      <c r="G979" s="78"/>
      <c r="H979" s="585">
        <f>H978+H975+H970</f>
        <v>1420509.5</v>
      </c>
      <c r="I979" s="369"/>
    </row>
    <row r="980" spans="3:13" s="59" customFormat="1" ht="19.2" customHeight="1">
      <c r="C980" s="288" t="s">
        <v>1220</v>
      </c>
      <c r="D980" s="76" t="s">
        <v>1321</v>
      </c>
      <c r="E980" s="77"/>
      <c r="F980" s="78"/>
      <c r="G980" s="80">
        <v>0.1</v>
      </c>
      <c r="H980" s="63">
        <f>H979*G980</f>
        <v>142050.95000000001</v>
      </c>
      <c r="I980" s="369"/>
    </row>
    <row r="981" spans="3:13" s="59" customFormat="1" ht="19.2" customHeight="1">
      <c r="C981" s="288" t="s">
        <v>1221</v>
      </c>
      <c r="D981" s="76" t="s">
        <v>1222</v>
      </c>
      <c r="E981" s="77"/>
      <c r="F981" s="77"/>
      <c r="G981" s="78"/>
      <c r="H981" s="799">
        <f>SUM(H979:H980)</f>
        <v>1562560.45</v>
      </c>
      <c r="I981" s="369"/>
    </row>
    <row r="983" spans="3:13" s="59" customFormat="1" ht="13.8">
      <c r="C983" s="46" t="s">
        <v>4621</v>
      </c>
      <c r="D983" s="1934" t="s">
        <v>4622</v>
      </c>
      <c r="E983" s="1934"/>
      <c r="F983" s="1934"/>
      <c r="G983" s="1934"/>
      <c r="H983" s="1934"/>
      <c r="I983" s="50">
        <f>ROUNDDOWN(H1000,-2)</f>
        <v>1596200</v>
      </c>
    </row>
    <row r="984" spans="3:13" s="59" customFormat="1" ht="19.2" customHeight="1">
      <c r="C984" s="591" t="s">
        <v>1195</v>
      </c>
      <c r="D984" s="591" t="s">
        <v>1196</v>
      </c>
      <c r="E984" s="591" t="s">
        <v>1197</v>
      </c>
      <c r="F984" s="591" t="s">
        <v>1198</v>
      </c>
      <c r="G984" s="591" t="s">
        <v>1199</v>
      </c>
      <c r="H984" s="591" t="s">
        <v>1200</v>
      </c>
      <c r="I984" s="44"/>
    </row>
    <row r="985" spans="3:13" s="59" customFormat="1" ht="19.2" customHeight="1">
      <c r="C985" s="61" t="s">
        <v>1201</v>
      </c>
      <c r="D985" s="56" t="s">
        <v>1202</v>
      </c>
      <c r="E985" s="57"/>
      <c r="F985" s="57"/>
      <c r="G985" s="57"/>
      <c r="H985" s="57"/>
      <c r="I985" s="44"/>
      <c r="J985" s="152" t="s">
        <v>1247</v>
      </c>
    </row>
    <row r="986" spans="3:13" s="59" customFormat="1" ht="19.2" customHeight="1">
      <c r="C986" s="588">
        <v>1</v>
      </c>
      <c r="D986" s="56" t="s">
        <v>5</v>
      </c>
      <c r="E986" s="577" t="s">
        <v>1863</v>
      </c>
      <c r="F986" s="101">
        <v>1.3488</v>
      </c>
      <c r="G986" s="63">
        <f>VLOOKUP(D986,upahbahan,3,FALSE)</f>
        <v>100000</v>
      </c>
      <c r="H986" s="63">
        <f>F986*G986</f>
        <v>134880</v>
      </c>
      <c r="I986" s="44"/>
      <c r="J986" s="152" t="s">
        <v>1248</v>
      </c>
      <c r="M986" s="65">
        <v>0.1</v>
      </c>
    </row>
    <row r="987" spans="3:13" s="59" customFormat="1" ht="19.2" customHeight="1">
      <c r="C987" s="588">
        <v>2</v>
      </c>
      <c r="D987" s="56" t="s">
        <v>2165</v>
      </c>
      <c r="E987" s="577" t="s">
        <v>1863</v>
      </c>
      <c r="F987" s="101">
        <v>0.3372</v>
      </c>
      <c r="G987" s="63">
        <f>VLOOKUP(D987,upahbahan,3,FALSE)</f>
        <v>135000</v>
      </c>
      <c r="H987" s="63">
        <f t="shared" ref="H987:H988" si="51">F987*G987</f>
        <v>45522</v>
      </c>
      <c r="I987" s="44"/>
      <c r="J987" s="152"/>
      <c r="M987" s="65"/>
    </row>
    <row r="988" spans="3:13" s="59" customFormat="1" ht="19.2" customHeight="1">
      <c r="C988" s="588">
        <v>3</v>
      </c>
      <c r="D988" s="56" t="s">
        <v>19</v>
      </c>
      <c r="E988" s="577" t="s">
        <v>1863</v>
      </c>
      <c r="F988" s="101">
        <v>6.7400000000000002E-2</v>
      </c>
      <c r="G988" s="63">
        <f>VLOOKUP(D988,upahbahan,3,FALSE)</f>
        <v>160000</v>
      </c>
      <c r="H988" s="63">
        <f t="shared" si="51"/>
        <v>10784</v>
      </c>
      <c r="I988" s="44"/>
    </row>
    <row r="989" spans="3:13" s="59" customFormat="1" ht="19.2" customHeight="1">
      <c r="C989" s="450" t="s">
        <v>1208</v>
      </c>
      <c r="D989" s="67"/>
      <c r="E989" s="67"/>
      <c r="F989" s="142"/>
      <c r="G989" s="153"/>
      <c r="H989" s="63">
        <f>SUM(H986:H988)</f>
        <v>191186</v>
      </c>
      <c r="I989" s="154"/>
    </row>
    <row r="990" spans="3:13" s="59" customFormat="1" ht="19.2" customHeight="1">
      <c r="C990" s="61" t="s">
        <v>1209</v>
      </c>
      <c r="D990" s="56" t="s">
        <v>1210</v>
      </c>
      <c r="E990" s="57"/>
      <c r="F990" s="57"/>
      <c r="G990" s="57"/>
      <c r="H990" s="57"/>
      <c r="I990" s="44"/>
    </row>
    <row r="991" spans="3:13" s="59" customFormat="1" ht="19.2" customHeight="1">
      <c r="C991" s="61">
        <v>1</v>
      </c>
      <c r="D991" s="56" t="s">
        <v>4574</v>
      </c>
      <c r="E991" s="93" t="s">
        <v>42</v>
      </c>
      <c r="F991" s="103">
        <v>0.1125</v>
      </c>
      <c r="G991" s="63">
        <f>VLOOKUP(D991,upahbahan,3,FALSE)</f>
        <v>928000</v>
      </c>
      <c r="H991" s="63">
        <f>F991*G991</f>
        <v>104400</v>
      </c>
      <c r="I991" s="44"/>
    </row>
    <row r="992" spans="3:13" s="59" customFormat="1" ht="19.2" customHeight="1">
      <c r="C992" s="61">
        <v>2</v>
      </c>
      <c r="D992" s="56" t="s">
        <v>4488</v>
      </c>
      <c r="E992" s="93" t="s">
        <v>42</v>
      </c>
      <c r="F992" s="103">
        <v>0.22500000000000001</v>
      </c>
      <c r="G992" s="63">
        <f>VLOOKUP(D992,upahbahan,3,FALSE)</f>
        <v>0</v>
      </c>
      <c r="H992" s="63">
        <f>F992*G992</f>
        <v>0</v>
      </c>
      <c r="I992" s="44"/>
    </row>
    <row r="993" spans="3:13" s="59" customFormat="1" ht="19.2" customHeight="1">
      <c r="C993" s="61">
        <v>3</v>
      </c>
      <c r="D993" s="56" t="s">
        <v>4563</v>
      </c>
      <c r="E993" s="93" t="s">
        <v>44</v>
      </c>
      <c r="F993" s="103">
        <v>0.83330000000000004</v>
      </c>
      <c r="G993" s="63">
        <f>VLOOKUP(D993,upahbahan,3,FALSE)</f>
        <v>800000</v>
      </c>
      <c r="H993" s="63">
        <f>F993*G993</f>
        <v>666640</v>
      </c>
      <c r="I993" s="44"/>
    </row>
    <row r="994" spans="3:13" s="59" customFormat="1" ht="19.2" customHeight="1">
      <c r="C994" s="450" t="s">
        <v>1214</v>
      </c>
      <c r="D994" s="67"/>
      <c r="E994" s="67"/>
      <c r="F994" s="67"/>
      <c r="G994" s="69"/>
      <c r="H994" s="63">
        <f>SUM(H991:H993)</f>
        <v>771040</v>
      </c>
      <c r="I994" s="44"/>
    </row>
    <row r="995" spans="3:13" s="59" customFormat="1" ht="19.2" customHeight="1">
      <c r="C995" s="61" t="s">
        <v>1215</v>
      </c>
      <c r="D995" s="56" t="s">
        <v>1216</v>
      </c>
      <c r="E995" s="93"/>
      <c r="F995" s="57"/>
      <c r="G995" s="57"/>
      <c r="H995" s="57"/>
      <c r="I995" s="44"/>
    </row>
    <row r="996" spans="3:13" s="59" customFormat="1" ht="19.2" customHeight="1">
      <c r="C996" s="800">
        <v>1</v>
      </c>
      <c r="D996" s="56" t="s">
        <v>1181</v>
      </c>
      <c r="E996" s="93" t="s">
        <v>1074</v>
      </c>
      <c r="F996" s="94">
        <v>0.3372</v>
      </c>
      <c r="G996" s="63">
        <f>VLOOKUP(D996,upahbahan,3,FALSE)</f>
        <v>1450000</v>
      </c>
      <c r="H996" s="63">
        <f>F996*G996</f>
        <v>488940</v>
      </c>
      <c r="I996" s="44"/>
    </row>
    <row r="997" spans="3:13" s="59" customFormat="1" ht="19.2" customHeight="1">
      <c r="C997" s="450" t="s">
        <v>1217</v>
      </c>
      <c r="D997" s="67"/>
      <c r="E997" s="67"/>
      <c r="F997" s="67"/>
      <c r="G997" s="69"/>
      <c r="H997" s="882">
        <f>SUM(H995:H996)</f>
        <v>488940</v>
      </c>
      <c r="I997" s="44"/>
    </row>
    <row r="998" spans="3:13" s="59" customFormat="1" ht="19.2" customHeight="1">
      <c r="C998" s="288" t="s">
        <v>1218</v>
      </c>
      <c r="D998" s="76" t="s">
        <v>1219</v>
      </c>
      <c r="E998" s="77"/>
      <c r="F998" s="77"/>
      <c r="G998" s="78"/>
      <c r="H998" s="585">
        <f>H997+H994+H989</f>
        <v>1451166</v>
      </c>
      <c r="I998" s="369"/>
    </row>
    <row r="999" spans="3:13" s="59" customFormat="1" ht="19.2" customHeight="1">
      <c r="C999" s="288" t="s">
        <v>1220</v>
      </c>
      <c r="D999" s="76" t="s">
        <v>1321</v>
      </c>
      <c r="E999" s="77"/>
      <c r="F999" s="78"/>
      <c r="G999" s="80">
        <v>0.1</v>
      </c>
      <c r="H999" s="63">
        <f>H998*G999</f>
        <v>145116.6</v>
      </c>
      <c r="I999" s="369"/>
    </row>
    <row r="1000" spans="3:13" s="59" customFormat="1" ht="19.2" customHeight="1">
      <c r="C1000" s="288" t="s">
        <v>1221</v>
      </c>
      <c r="D1000" s="76" t="s">
        <v>1222</v>
      </c>
      <c r="E1000" s="77"/>
      <c r="F1000" s="77"/>
      <c r="G1000" s="78"/>
      <c r="H1000" s="799">
        <f>SUM(H998:H999)</f>
        <v>1596282.6</v>
      </c>
      <c r="I1000" s="369"/>
    </row>
    <row r="1002" spans="3:13" s="59" customFormat="1" ht="13.8">
      <c r="C1002" s="46" t="s">
        <v>4623</v>
      </c>
      <c r="D1002" s="1934" t="s">
        <v>4624</v>
      </c>
      <c r="E1002" s="1934"/>
      <c r="F1002" s="1934"/>
      <c r="G1002" s="1934"/>
      <c r="H1002" s="1934"/>
      <c r="I1002" s="50">
        <f>ROUNDDOWN(H1019,-2)</f>
        <v>1632600</v>
      </c>
    </row>
    <row r="1003" spans="3:13" s="59" customFormat="1" ht="24" customHeight="1">
      <c r="C1003" s="591" t="s">
        <v>1195</v>
      </c>
      <c r="D1003" s="591" t="s">
        <v>1196</v>
      </c>
      <c r="E1003" s="591" t="s">
        <v>1197</v>
      </c>
      <c r="F1003" s="591" t="s">
        <v>1198</v>
      </c>
      <c r="G1003" s="591" t="s">
        <v>1199</v>
      </c>
      <c r="H1003" s="591" t="s">
        <v>1200</v>
      </c>
      <c r="I1003" s="44"/>
    </row>
    <row r="1004" spans="3:13" s="59" customFormat="1" ht="24" customHeight="1">
      <c r="C1004" s="61" t="s">
        <v>1201</v>
      </c>
      <c r="D1004" s="56" t="s">
        <v>1202</v>
      </c>
      <c r="E1004" s="57"/>
      <c r="F1004" s="57"/>
      <c r="G1004" s="57"/>
      <c r="H1004" s="57"/>
      <c r="I1004" s="44"/>
      <c r="J1004" s="152" t="s">
        <v>1247</v>
      </c>
    </row>
    <row r="1005" spans="3:13" s="59" customFormat="1" ht="24" customHeight="1">
      <c r="C1005" s="588">
        <v>1</v>
      </c>
      <c r="D1005" s="56" t="s">
        <v>5</v>
      </c>
      <c r="E1005" s="577" t="s">
        <v>1863</v>
      </c>
      <c r="F1005" s="101">
        <v>1.3649</v>
      </c>
      <c r="G1005" s="63">
        <f>VLOOKUP(D1005,upahbahan,3,FALSE)</f>
        <v>100000</v>
      </c>
      <c r="H1005" s="63">
        <f>F1005*G1005</f>
        <v>136490</v>
      </c>
      <c r="I1005" s="44"/>
      <c r="J1005" s="152" t="s">
        <v>1248</v>
      </c>
      <c r="M1005" s="65">
        <v>0.1</v>
      </c>
    </row>
    <row r="1006" spans="3:13" s="59" customFormat="1" ht="24" customHeight="1">
      <c r="C1006" s="588">
        <v>2</v>
      </c>
      <c r="D1006" s="56" t="s">
        <v>2165</v>
      </c>
      <c r="E1006" s="577" t="s">
        <v>1863</v>
      </c>
      <c r="F1006" s="101">
        <v>0.3412</v>
      </c>
      <c r="G1006" s="63">
        <f>VLOOKUP(D1006,upahbahan,3,FALSE)</f>
        <v>135000</v>
      </c>
      <c r="H1006" s="63">
        <f t="shared" ref="H1006:H1007" si="52">F1006*G1006</f>
        <v>46062</v>
      </c>
      <c r="I1006" s="44"/>
      <c r="J1006" s="152"/>
      <c r="M1006" s="65"/>
    </row>
    <row r="1007" spans="3:13" s="59" customFormat="1" ht="24" customHeight="1">
      <c r="C1007" s="588">
        <v>3</v>
      </c>
      <c r="D1007" s="56" t="s">
        <v>19</v>
      </c>
      <c r="E1007" s="577" t="s">
        <v>1863</v>
      </c>
      <c r="F1007" s="101">
        <v>6.8199999999999997E-2</v>
      </c>
      <c r="G1007" s="63">
        <f>VLOOKUP(D1007,upahbahan,3,FALSE)</f>
        <v>160000</v>
      </c>
      <c r="H1007" s="63">
        <f t="shared" si="52"/>
        <v>10912</v>
      </c>
      <c r="I1007" s="44"/>
    </row>
    <row r="1008" spans="3:13" s="59" customFormat="1" ht="24" customHeight="1">
      <c r="C1008" s="450" t="s">
        <v>1208</v>
      </c>
      <c r="D1008" s="67"/>
      <c r="E1008" s="67"/>
      <c r="F1008" s="142"/>
      <c r="G1008" s="153"/>
      <c r="H1008" s="63">
        <f>SUM(H1005:H1007)</f>
        <v>193464</v>
      </c>
      <c r="I1008" s="154"/>
    </row>
    <row r="1009" spans="3:13" s="59" customFormat="1" ht="24" customHeight="1">
      <c r="C1009" s="61" t="s">
        <v>1209</v>
      </c>
      <c r="D1009" s="56" t="s">
        <v>1210</v>
      </c>
      <c r="E1009" s="57"/>
      <c r="F1009" s="57"/>
      <c r="G1009" s="57"/>
      <c r="H1009" s="57"/>
      <c r="I1009" s="44"/>
    </row>
    <row r="1010" spans="3:13" s="59" customFormat="1" ht="24" customHeight="1">
      <c r="C1010" s="61">
        <v>1</v>
      </c>
      <c r="D1010" s="56" t="s">
        <v>4574</v>
      </c>
      <c r="E1010" s="93" t="s">
        <v>42</v>
      </c>
      <c r="F1010" s="103">
        <v>0.1125</v>
      </c>
      <c r="G1010" s="63">
        <f>VLOOKUP(D1010,upahbahan,3,FALSE)</f>
        <v>928000</v>
      </c>
      <c r="H1010" s="63">
        <f>F1010*G1010</f>
        <v>104400</v>
      </c>
      <c r="I1010" s="44"/>
    </row>
    <row r="1011" spans="3:13" s="59" customFormat="1" ht="24" customHeight="1">
      <c r="C1011" s="61">
        <v>2</v>
      </c>
      <c r="D1011" s="56" t="s">
        <v>4488</v>
      </c>
      <c r="E1011" s="93" t="s">
        <v>42</v>
      </c>
      <c r="F1011" s="103">
        <v>0.22500000000000001</v>
      </c>
      <c r="G1011" s="63">
        <f>VLOOKUP(D1011,upahbahan,3,FALSE)</f>
        <v>0</v>
      </c>
      <c r="H1011" s="63">
        <f>F1011*G1011</f>
        <v>0</v>
      </c>
      <c r="I1011" s="44"/>
    </row>
    <row r="1012" spans="3:13" s="59" customFormat="1" ht="24" customHeight="1">
      <c r="C1012" s="61">
        <v>3</v>
      </c>
      <c r="D1012" s="56" t="s">
        <v>4566</v>
      </c>
      <c r="E1012" s="93" t="s">
        <v>44</v>
      </c>
      <c r="F1012" s="103">
        <v>0.83330000000000004</v>
      </c>
      <c r="G1012" s="63">
        <f>VLOOKUP(D1012,upahbahan,3,FALSE)</f>
        <v>830000</v>
      </c>
      <c r="H1012" s="63">
        <f>F1012*G1012</f>
        <v>691639</v>
      </c>
      <c r="I1012" s="44"/>
    </row>
    <row r="1013" spans="3:13" s="59" customFormat="1" ht="24" customHeight="1">
      <c r="C1013" s="450" t="s">
        <v>1214</v>
      </c>
      <c r="D1013" s="67"/>
      <c r="E1013" s="67"/>
      <c r="F1013" s="67"/>
      <c r="G1013" s="69"/>
      <c r="H1013" s="63">
        <f>SUM(H1010:H1012)</f>
        <v>796039</v>
      </c>
      <c r="I1013" s="44"/>
    </row>
    <row r="1014" spans="3:13" s="59" customFormat="1" ht="24" customHeight="1">
      <c r="C1014" s="61" t="s">
        <v>1215</v>
      </c>
      <c r="D1014" s="56" t="s">
        <v>1216</v>
      </c>
      <c r="E1014" s="93"/>
      <c r="F1014" s="57"/>
      <c r="G1014" s="57"/>
      <c r="H1014" s="57"/>
      <c r="I1014" s="44"/>
    </row>
    <row r="1015" spans="3:13" s="59" customFormat="1" ht="24" customHeight="1">
      <c r="C1015" s="800">
        <v>1</v>
      </c>
      <c r="D1015" s="56" t="s">
        <v>1181</v>
      </c>
      <c r="E1015" s="93" t="s">
        <v>1074</v>
      </c>
      <c r="F1015" s="94">
        <v>0.3412</v>
      </c>
      <c r="G1015" s="63">
        <f>VLOOKUP(D1015,upahbahan,3,FALSE)</f>
        <v>1450000</v>
      </c>
      <c r="H1015" s="63">
        <f>F1015*G1015</f>
        <v>494740</v>
      </c>
      <c r="I1015" s="44"/>
    </row>
    <row r="1016" spans="3:13" s="59" customFormat="1" ht="24" customHeight="1">
      <c r="C1016" s="450" t="s">
        <v>1217</v>
      </c>
      <c r="D1016" s="67"/>
      <c r="E1016" s="67"/>
      <c r="F1016" s="67"/>
      <c r="G1016" s="69"/>
      <c r="H1016" s="882">
        <f>SUM(H1014:H1015)</f>
        <v>494740</v>
      </c>
      <c r="I1016" s="44"/>
    </row>
    <row r="1017" spans="3:13" s="59" customFormat="1" ht="24" customHeight="1">
      <c r="C1017" s="288" t="s">
        <v>1218</v>
      </c>
      <c r="D1017" s="76" t="s">
        <v>1219</v>
      </c>
      <c r="E1017" s="77"/>
      <c r="F1017" s="77"/>
      <c r="G1017" s="78"/>
      <c r="H1017" s="585">
        <f>H1016+H1013+H1008</f>
        <v>1484243</v>
      </c>
      <c r="I1017" s="369"/>
    </row>
    <row r="1018" spans="3:13" s="59" customFormat="1" ht="24" customHeight="1">
      <c r="C1018" s="288" t="s">
        <v>1220</v>
      </c>
      <c r="D1018" s="76" t="s">
        <v>1321</v>
      </c>
      <c r="E1018" s="77"/>
      <c r="F1018" s="78"/>
      <c r="G1018" s="80">
        <v>0.1</v>
      </c>
      <c r="H1018" s="63">
        <f>H1017*G1018</f>
        <v>148424.30000000002</v>
      </c>
      <c r="I1018" s="369"/>
    </row>
    <row r="1019" spans="3:13" s="59" customFormat="1" ht="24" customHeight="1">
      <c r="C1019" s="288" t="s">
        <v>1221</v>
      </c>
      <c r="D1019" s="76" t="s">
        <v>1222</v>
      </c>
      <c r="E1019" s="77"/>
      <c r="F1019" s="77"/>
      <c r="G1019" s="78"/>
      <c r="H1019" s="799">
        <f>SUM(H1017:H1018)</f>
        <v>1632667.3</v>
      </c>
      <c r="I1019" s="369"/>
    </row>
    <row r="1021" spans="3:13" s="59" customFormat="1" ht="13.8">
      <c r="C1021" s="46" t="s">
        <v>4625</v>
      </c>
      <c r="D1021" s="1934" t="s">
        <v>4626</v>
      </c>
      <c r="E1021" s="1934"/>
      <c r="F1021" s="1934"/>
      <c r="G1021" s="1934"/>
      <c r="H1021" s="1934"/>
      <c r="I1021" s="50">
        <f>ROUNDDOWN(H1038,-2)</f>
        <v>1720000</v>
      </c>
    </row>
    <row r="1022" spans="3:13" s="59" customFormat="1" ht="24" customHeight="1">
      <c r="C1022" s="591" t="s">
        <v>1195</v>
      </c>
      <c r="D1022" s="591" t="s">
        <v>1196</v>
      </c>
      <c r="E1022" s="591" t="s">
        <v>1197</v>
      </c>
      <c r="F1022" s="591" t="s">
        <v>1198</v>
      </c>
      <c r="G1022" s="591" t="s">
        <v>1199</v>
      </c>
      <c r="H1022" s="591" t="s">
        <v>1200</v>
      </c>
      <c r="I1022" s="44"/>
    </row>
    <row r="1023" spans="3:13" s="59" customFormat="1" ht="24" customHeight="1">
      <c r="C1023" s="61" t="s">
        <v>1201</v>
      </c>
      <c r="D1023" s="56" t="s">
        <v>1202</v>
      </c>
      <c r="E1023" s="57"/>
      <c r="F1023" s="57"/>
      <c r="G1023" s="57"/>
      <c r="H1023" s="57"/>
      <c r="I1023" s="44"/>
      <c r="J1023" s="152" t="s">
        <v>1247</v>
      </c>
    </row>
    <row r="1024" spans="3:13" s="59" customFormat="1" ht="24" customHeight="1">
      <c r="C1024" s="588">
        <v>1</v>
      </c>
      <c r="D1024" s="56" t="s">
        <v>5</v>
      </c>
      <c r="E1024" s="577" t="s">
        <v>1863</v>
      </c>
      <c r="F1024" s="101">
        <v>1.3788</v>
      </c>
      <c r="G1024" s="63">
        <f>VLOOKUP(D1024,upahbahan,3,FALSE)</f>
        <v>100000</v>
      </c>
      <c r="H1024" s="63">
        <f>F1024*G1024</f>
        <v>137880</v>
      </c>
      <c r="I1024" s="44"/>
      <c r="J1024" s="152" t="s">
        <v>1248</v>
      </c>
      <c r="M1024" s="65">
        <v>0.1</v>
      </c>
    </row>
    <row r="1025" spans="3:13" s="59" customFormat="1" ht="24" customHeight="1">
      <c r="C1025" s="588">
        <v>2</v>
      </c>
      <c r="D1025" s="56" t="s">
        <v>2165</v>
      </c>
      <c r="E1025" s="577" t="s">
        <v>1863</v>
      </c>
      <c r="F1025" s="101">
        <v>0.34470000000000001</v>
      </c>
      <c r="G1025" s="63">
        <f>VLOOKUP(D1025,upahbahan,3,FALSE)</f>
        <v>135000</v>
      </c>
      <c r="H1025" s="63">
        <f t="shared" ref="H1025:H1026" si="53">F1025*G1025</f>
        <v>46534.5</v>
      </c>
      <c r="I1025" s="44"/>
      <c r="J1025" s="152"/>
      <c r="M1025" s="65"/>
    </row>
    <row r="1026" spans="3:13" s="59" customFormat="1" ht="24" customHeight="1">
      <c r="C1026" s="588">
        <v>3</v>
      </c>
      <c r="D1026" s="56" t="s">
        <v>19</v>
      </c>
      <c r="E1026" s="577" t="s">
        <v>1863</v>
      </c>
      <c r="F1026" s="101">
        <v>6.8900000000000003E-2</v>
      </c>
      <c r="G1026" s="63">
        <f>VLOOKUP(D1026,upahbahan,3,FALSE)</f>
        <v>160000</v>
      </c>
      <c r="H1026" s="63">
        <f t="shared" si="53"/>
        <v>11024</v>
      </c>
      <c r="I1026" s="44"/>
    </row>
    <row r="1027" spans="3:13" s="59" customFormat="1" ht="24" customHeight="1">
      <c r="C1027" s="450" t="s">
        <v>1208</v>
      </c>
      <c r="D1027" s="67"/>
      <c r="E1027" s="67"/>
      <c r="F1027" s="142"/>
      <c r="G1027" s="153"/>
      <c r="H1027" s="63">
        <f>SUM(H1024:H1026)</f>
        <v>195438.5</v>
      </c>
      <c r="I1027" s="154"/>
    </row>
    <row r="1028" spans="3:13" s="59" customFormat="1" ht="24" customHeight="1">
      <c r="C1028" s="61" t="s">
        <v>1209</v>
      </c>
      <c r="D1028" s="56" t="s">
        <v>1210</v>
      </c>
      <c r="E1028" s="57"/>
      <c r="F1028" s="57"/>
      <c r="G1028" s="57"/>
      <c r="H1028" s="57"/>
      <c r="I1028" s="44"/>
    </row>
    <row r="1029" spans="3:13" s="59" customFormat="1" ht="24" customHeight="1">
      <c r="C1029" s="61">
        <v>1</v>
      </c>
      <c r="D1029" s="56" t="s">
        <v>4574</v>
      </c>
      <c r="E1029" s="93" t="s">
        <v>42</v>
      </c>
      <c r="F1029" s="103">
        <v>0.17249999999999999</v>
      </c>
      <c r="G1029" s="63">
        <f>VLOOKUP(D1029,upahbahan,3,FALSE)</f>
        <v>928000</v>
      </c>
      <c r="H1029" s="63">
        <f>F1029*G1029</f>
        <v>160080</v>
      </c>
      <c r="I1029" s="44"/>
    </row>
    <row r="1030" spans="3:13" s="59" customFormat="1" ht="24" customHeight="1">
      <c r="C1030" s="61">
        <v>2</v>
      </c>
      <c r="D1030" s="56" t="s">
        <v>4488</v>
      </c>
      <c r="E1030" s="93" t="s">
        <v>42</v>
      </c>
      <c r="F1030" s="103">
        <v>0.34499999999999997</v>
      </c>
      <c r="G1030" s="63">
        <f>VLOOKUP(D1030,upahbahan,3,FALSE)</f>
        <v>0</v>
      </c>
      <c r="H1030" s="63">
        <f>F1030*G1030</f>
        <v>0</v>
      </c>
      <c r="I1030" s="44"/>
    </row>
    <row r="1031" spans="3:13" s="59" customFormat="1" ht="24" customHeight="1">
      <c r="C1031" s="61">
        <v>3</v>
      </c>
      <c r="D1031" s="56" t="s">
        <v>4569</v>
      </c>
      <c r="E1031" s="93" t="s">
        <v>44</v>
      </c>
      <c r="F1031" s="103">
        <v>0.83330000000000004</v>
      </c>
      <c r="G1031" s="63">
        <f>VLOOKUP(D1031,upahbahan,3,FALSE)</f>
        <v>850000</v>
      </c>
      <c r="H1031" s="63">
        <f>F1031*G1031</f>
        <v>708305</v>
      </c>
      <c r="I1031" s="44"/>
    </row>
    <row r="1032" spans="3:13" s="59" customFormat="1" ht="24" customHeight="1">
      <c r="C1032" s="450" t="s">
        <v>1214</v>
      </c>
      <c r="D1032" s="67"/>
      <c r="E1032" s="67"/>
      <c r="F1032" s="67"/>
      <c r="G1032" s="69"/>
      <c r="H1032" s="63">
        <f>SUM(H1029:H1031)</f>
        <v>868385</v>
      </c>
      <c r="I1032" s="44"/>
    </row>
    <row r="1033" spans="3:13" s="59" customFormat="1" ht="24" customHeight="1">
      <c r="C1033" s="61" t="s">
        <v>1215</v>
      </c>
      <c r="D1033" s="56" t="s">
        <v>1216</v>
      </c>
      <c r="E1033" s="93"/>
      <c r="F1033" s="57"/>
      <c r="G1033" s="57"/>
      <c r="H1033" s="57"/>
      <c r="I1033" s="44"/>
    </row>
    <row r="1034" spans="3:13" s="59" customFormat="1" ht="24" customHeight="1">
      <c r="C1034" s="800">
        <v>1</v>
      </c>
      <c r="D1034" s="56" t="s">
        <v>1181</v>
      </c>
      <c r="E1034" s="93" t="s">
        <v>1074</v>
      </c>
      <c r="F1034" s="94">
        <v>0.34470000000000001</v>
      </c>
      <c r="G1034" s="63">
        <f>VLOOKUP(D1034,upahbahan,3,FALSE)</f>
        <v>1450000</v>
      </c>
      <c r="H1034" s="63">
        <f>F1034*G1034</f>
        <v>499815</v>
      </c>
      <c r="I1034" s="44"/>
    </row>
    <row r="1035" spans="3:13" s="59" customFormat="1" ht="24" customHeight="1">
      <c r="C1035" s="450" t="s">
        <v>1217</v>
      </c>
      <c r="D1035" s="67"/>
      <c r="E1035" s="67"/>
      <c r="F1035" s="67"/>
      <c r="G1035" s="69"/>
      <c r="H1035" s="882">
        <f>SUM(H1033:H1034)</f>
        <v>499815</v>
      </c>
      <c r="I1035" s="44"/>
    </row>
    <row r="1036" spans="3:13" s="59" customFormat="1" ht="24" customHeight="1">
      <c r="C1036" s="288" t="s">
        <v>1218</v>
      </c>
      <c r="D1036" s="76" t="s">
        <v>1219</v>
      </c>
      <c r="E1036" s="77"/>
      <c r="F1036" s="77"/>
      <c r="G1036" s="78"/>
      <c r="H1036" s="585">
        <f>H1035+H1032+H1027</f>
        <v>1563638.5</v>
      </c>
      <c r="I1036" s="369"/>
    </row>
    <row r="1037" spans="3:13" s="59" customFormat="1" ht="24" customHeight="1">
      <c r="C1037" s="288" t="s">
        <v>1220</v>
      </c>
      <c r="D1037" s="76" t="s">
        <v>1321</v>
      </c>
      <c r="E1037" s="77"/>
      <c r="F1037" s="78"/>
      <c r="G1037" s="80">
        <v>0.1</v>
      </c>
      <c r="H1037" s="63">
        <f>H1036*G1037</f>
        <v>156363.85</v>
      </c>
      <c r="I1037" s="369"/>
    </row>
    <row r="1038" spans="3:13" s="59" customFormat="1" ht="24" customHeight="1">
      <c r="C1038" s="288" t="s">
        <v>1221</v>
      </c>
      <c r="D1038" s="76" t="s">
        <v>1222</v>
      </c>
      <c r="E1038" s="77"/>
      <c r="F1038" s="77"/>
      <c r="G1038" s="78"/>
      <c r="H1038" s="799">
        <f>SUM(H1036:H1037)</f>
        <v>1720002.35</v>
      </c>
      <c r="I1038" s="369"/>
    </row>
    <row r="1040" spans="3:13" ht="13.8">
      <c r="C1040" s="43" t="s">
        <v>4627</v>
      </c>
      <c r="D1040" s="128" t="s">
        <v>4628</v>
      </c>
    </row>
    <row r="1041" spans="3:13" s="59" customFormat="1" ht="13.8">
      <c r="C1041" s="46" t="s">
        <v>4629</v>
      </c>
      <c r="D1041" s="1934" t="s">
        <v>4630</v>
      </c>
      <c r="E1041" s="1934"/>
      <c r="F1041" s="1934"/>
      <c r="G1041" s="1934"/>
      <c r="H1041" s="1934"/>
      <c r="I1041" s="50">
        <f>ROUNDDOWN(H1055,-2)</f>
        <v>137800</v>
      </c>
    </row>
    <row r="1042" spans="3:13" s="59" customFormat="1" ht="24" customHeight="1">
      <c r="C1042" s="591" t="s">
        <v>1195</v>
      </c>
      <c r="D1042" s="591" t="s">
        <v>1196</v>
      </c>
      <c r="E1042" s="591" t="s">
        <v>1197</v>
      </c>
      <c r="F1042" s="591" t="s">
        <v>1198</v>
      </c>
      <c r="G1042" s="591" t="s">
        <v>1199</v>
      </c>
      <c r="H1042" s="591" t="s">
        <v>1200</v>
      </c>
      <c r="I1042" s="44"/>
    </row>
    <row r="1043" spans="3:13" s="59" customFormat="1" ht="24" customHeight="1">
      <c r="C1043" s="61" t="s">
        <v>1201</v>
      </c>
      <c r="D1043" s="56" t="s">
        <v>1202</v>
      </c>
      <c r="E1043" s="57"/>
      <c r="F1043" s="57"/>
      <c r="G1043" s="57"/>
      <c r="H1043" s="57"/>
      <c r="I1043" s="44"/>
      <c r="J1043" s="152" t="s">
        <v>1247</v>
      </c>
    </row>
    <row r="1044" spans="3:13" s="59" customFormat="1" ht="24" customHeight="1">
      <c r="C1044" s="588">
        <v>1</v>
      </c>
      <c r="D1044" s="56" t="s">
        <v>5</v>
      </c>
      <c r="E1044" s="577" t="s">
        <v>1863</v>
      </c>
      <c r="F1044" s="101">
        <v>3.5700000000000003E-2</v>
      </c>
      <c r="G1044" s="63">
        <f>VLOOKUP(D1044,upahbahan,3,FALSE)</f>
        <v>100000</v>
      </c>
      <c r="H1044" s="63">
        <f>F1044*G1044</f>
        <v>3570.0000000000005</v>
      </c>
      <c r="I1044" s="44"/>
      <c r="J1044" s="152" t="s">
        <v>1248</v>
      </c>
      <c r="M1044" s="65">
        <v>0.1</v>
      </c>
    </row>
    <row r="1045" spans="3:13" s="59" customFormat="1" ht="24" customHeight="1">
      <c r="C1045" s="588">
        <v>2</v>
      </c>
      <c r="D1045" s="56" t="s">
        <v>2165</v>
      </c>
      <c r="E1045" s="577" t="s">
        <v>1863</v>
      </c>
      <c r="F1045" s="101">
        <v>3.5700000000000003E-2</v>
      </c>
      <c r="G1045" s="63">
        <f>VLOOKUP(D1045,upahbahan,3,FALSE)</f>
        <v>135000</v>
      </c>
      <c r="H1045" s="63">
        <f t="shared" ref="H1045:H1046" si="54">F1045*G1045</f>
        <v>4819.5</v>
      </c>
      <c r="I1045" s="44"/>
      <c r="J1045" s="152"/>
      <c r="M1045" s="65"/>
    </row>
    <row r="1046" spans="3:13" s="59" customFormat="1" ht="24" customHeight="1">
      <c r="C1046" s="588">
        <v>3</v>
      </c>
      <c r="D1046" s="56" t="s">
        <v>19</v>
      </c>
      <c r="E1046" s="577" t="s">
        <v>1863</v>
      </c>
      <c r="F1046" s="101">
        <v>1.8E-3</v>
      </c>
      <c r="G1046" s="63">
        <f>VLOOKUP(D1046,upahbahan,3,FALSE)</f>
        <v>160000</v>
      </c>
      <c r="H1046" s="63">
        <f t="shared" si="54"/>
        <v>288</v>
      </c>
      <c r="I1046" s="44"/>
    </row>
    <row r="1047" spans="3:13" s="59" customFormat="1" ht="24" customHeight="1">
      <c r="C1047" s="450" t="s">
        <v>1208</v>
      </c>
      <c r="D1047" s="67"/>
      <c r="E1047" s="67"/>
      <c r="F1047" s="142"/>
      <c r="G1047" s="153"/>
      <c r="H1047" s="63">
        <f>SUM(H1044:H1046)</f>
        <v>8677.5</v>
      </c>
      <c r="I1047" s="154"/>
    </row>
    <row r="1048" spans="3:13" s="59" customFormat="1" ht="24" customHeight="1">
      <c r="C1048" s="61" t="s">
        <v>1209</v>
      </c>
      <c r="D1048" s="56" t="s">
        <v>1210</v>
      </c>
      <c r="E1048" s="57"/>
      <c r="F1048" s="57"/>
      <c r="G1048" s="57"/>
      <c r="H1048" s="57"/>
      <c r="I1048" s="44"/>
    </row>
    <row r="1049" spans="3:13" s="59" customFormat="1" ht="24" customHeight="1">
      <c r="C1049" s="61">
        <v>1</v>
      </c>
      <c r="D1049" s="56" t="s">
        <v>4631</v>
      </c>
      <c r="E1049" s="93" t="s">
        <v>2167</v>
      </c>
      <c r="F1049" s="103">
        <v>1.6667000000000001</v>
      </c>
      <c r="G1049" s="63">
        <f>VLOOKUP(D1049,upahbahan,3,FALSE)</f>
        <v>70000</v>
      </c>
      <c r="H1049" s="63">
        <f>F1049*G1049</f>
        <v>116669</v>
      </c>
      <c r="I1049" s="44"/>
    </row>
    <row r="1050" spans="3:13" s="59" customFormat="1" ht="24" customHeight="1">
      <c r="C1050" s="450" t="s">
        <v>1214</v>
      </c>
      <c r="D1050" s="67"/>
      <c r="E1050" s="67"/>
      <c r="F1050" s="67"/>
      <c r="G1050" s="69"/>
      <c r="H1050" s="63">
        <f>SUM(H1049:H1049)</f>
        <v>116669</v>
      </c>
      <c r="I1050" s="44"/>
    </row>
    <row r="1051" spans="3:13" s="59" customFormat="1" ht="24" customHeight="1">
      <c r="C1051" s="61" t="s">
        <v>1215</v>
      </c>
      <c r="D1051" s="56" t="s">
        <v>1216</v>
      </c>
      <c r="E1051" s="93"/>
      <c r="F1051" s="57"/>
      <c r="G1051" s="57"/>
      <c r="H1051" s="57"/>
      <c r="I1051" s="44"/>
    </row>
    <row r="1052" spans="3:13" s="59" customFormat="1" ht="24" customHeight="1">
      <c r="C1052" s="450" t="s">
        <v>1217</v>
      </c>
      <c r="D1052" s="67"/>
      <c r="E1052" s="67"/>
      <c r="F1052" s="67"/>
      <c r="G1052" s="69"/>
      <c r="H1052" s="882">
        <f>SUM(H1051:H1051)</f>
        <v>0</v>
      </c>
      <c r="I1052" s="44"/>
    </row>
    <row r="1053" spans="3:13" s="59" customFormat="1" ht="24" customHeight="1">
      <c r="C1053" s="288" t="s">
        <v>1218</v>
      </c>
      <c r="D1053" s="76" t="s">
        <v>1219</v>
      </c>
      <c r="E1053" s="77"/>
      <c r="F1053" s="77"/>
      <c r="G1053" s="78"/>
      <c r="H1053" s="585">
        <f>H1052+H1050+H1047</f>
        <v>125346.5</v>
      </c>
      <c r="I1053" s="369"/>
    </row>
    <row r="1054" spans="3:13" s="59" customFormat="1" ht="24" customHeight="1">
      <c r="C1054" s="288" t="s">
        <v>1220</v>
      </c>
      <c r="D1054" s="76" t="s">
        <v>1321</v>
      </c>
      <c r="E1054" s="77"/>
      <c r="F1054" s="78"/>
      <c r="G1054" s="80">
        <v>0.1</v>
      </c>
      <c r="H1054" s="63">
        <f>H1053*G1054</f>
        <v>12534.650000000001</v>
      </c>
      <c r="I1054" s="369"/>
    </row>
    <row r="1055" spans="3:13" s="59" customFormat="1" ht="24" customHeight="1">
      <c r="C1055" s="288" t="s">
        <v>1221</v>
      </c>
      <c r="D1055" s="76" t="s">
        <v>1222</v>
      </c>
      <c r="E1055" s="77"/>
      <c r="F1055" s="77"/>
      <c r="G1055" s="78"/>
      <c r="H1055" s="799">
        <f>SUM(H1053:H1054)</f>
        <v>137881.15</v>
      </c>
      <c r="I1055" s="369"/>
    </row>
    <row r="1058" spans="3:13" s="59" customFormat="1" ht="13.8">
      <c r="C1058" s="46" t="s">
        <v>4632</v>
      </c>
      <c r="D1058" s="1934" t="s">
        <v>4635</v>
      </c>
      <c r="E1058" s="1934"/>
      <c r="F1058" s="1934"/>
      <c r="G1058" s="1934"/>
      <c r="H1058" s="1934"/>
      <c r="I1058" s="50">
        <f>ROUNDDOWN(H1072,-2)</f>
        <v>198600</v>
      </c>
    </row>
    <row r="1059" spans="3:13" s="59" customFormat="1" ht="24" customHeight="1">
      <c r="C1059" s="591" t="s">
        <v>1195</v>
      </c>
      <c r="D1059" s="591" t="s">
        <v>1196</v>
      </c>
      <c r="E1059" s="591" t="s">
        <v>1197</v>
      </c>
      <c r="F1059" s="591" t="s">
        <v>1198</v>
      </c>
      <c r="G1059" s="591" t="s">
        <v>1199</v>
      </c>
      <c r="H1059" s="591" t="s">
        <v>1200</v>
      </c>
      <c r="I1059" s="44"/>
    </row>
    <row r="1060" spans="3:13" s="59" customFormat="1" ht="24" customHeight="1">
      <c r="C1060" s="61" t="s">
        <v>1201</v>
      </c>
      <c r="D1060" s="56" t="s">
        <v>1202</v>
      </c>
      <c r="E1060" s="57"/>
      <c r="F1060" s="57"/>
      <c r="G1060" s="57"/>
      <c r="H1060" s="57"/>
      <c r="I1060" s="44"/>
      <c r="J1060" s="152" t="s">
        <v>1247</v>
      </c>
    </row>
    <row r="1061" spans="3:13" s="59" customFormat="1" ht="24" customHeight="1">
      <c r="C1061" s="588">
        <v>1</v>
      </c>
      <c r="D1061" s="56" t="s">
        <v>5</v>
      </c>
      <c r="E1061" s="577" t="s">
        <v>1863</v>
      </c>
      <c r="F1061" s="101">
        <v>7.9399999999999998E-2</v>
      </c>
      <c r="G1061" s="63">
        <f>VLOOKUP(D1061,upahbahan,3,FALSE)</f>
        <v>100000</v>
      </c>
      <c r="H1061" s="63">
        <f>F1061*G1061</f>
        <v>7940</v>
      </c>
      <c r="I1061" s="44"/>
      <c r="J1061" s="152" t="s">
        <v>1248</v>
      </c>
      <c r="M1061" s="65">
        <v>0.1</v>
      </c>
    </row>
    <row r="1062" spans="3:13" s="59" customFormat="1" ht="24" customHeight="1">
      <c r="C1062" s="588">
        <v>2</v>
      </c>
      <c r="D1062" s="56" t="s">
        <v>2165</v>
      </c>
      <c r="E1062" s="577" t="s">
        <v>1863</v>
      </c>
      <c r="F1062" s="101">
        <v>3.9699999999999999E-2</v>
      </c>
      <c r="G1062" s="63">
        <f>VLOOKUP(D1062,upahbahan,3,FALSE)</f>
        <v>135000</v>
      </c>
      <c r="H1062" s="63">
        <f t="shared" ref="H1062:H1063" si="55">F1062*G1062</f>
        <v>5359.5</v>
      </c>
      <c r="I1062" s="44"/>
      <c r="J1062" s="152"/>
      <c r="M1062" s="65"/>
    </row>
    <row r="1063" spans="3:13" s="59" customFormat="1" ht="24" customHeight="1">
      <c r="C1063" s="588">
        <v>3</v>
      </c>
      <c r="D1063" s="56" t="s">
        <v>19</v>
      </c>
      <c r="E1063" s="577" t="s">
        <v>1863</v>
      </c>
      <c r="F1063" s="101">
        <v>4.0000000000000001E-3</v>
      </c>
      <c r="G1063" s="63">
        <f>VLOOKUP(D1063,upahbahan,3,FALSE)</f>
        <v>160000</v>
      </c>
      <c r="H1063" s="63">
        <f t="shared" si="55"/>
        <v>640</v>
      </c>
      <c r="I1063" s="44"/>
    </row>
    <row r="1064" spans="3:13" s="59" customFormat="1" ht="24" customHeight="1">
      <c r="C1064" s="450" t="s">
        <v>1208</v>
      </c>
      <c r="D1064" s="67"/>
      <c r="E1064" s="67"/>
      <c r="F1064" s="142"/>
      <c r="G1064" s="153"/>
      <c r="H1064" s="63">
        <f>SUM(H1061:H1063)</f>
        <v>13939.5</v>
      </c>
      <c r="I1064" s="154"/>
    </row>
    <row r="1065" spans="3:13" s="59" customFormat="1" ht="24" customHeight="1">
      <c r="C1065" s="61" t="s">
        <v>1209</v>
      </c>
      <c r="D1065" s="56" t="s">
        <v>1210</v>
      </c>
      <c r="E1065" s="57"/>
      <c r="F1065" s="57"/>
      <c r="G1065" s="57"/>
      <c r="H1065" s="57"/>
      <c r="I1065" s="44"/>
    </row>
    <row r="1066" spans="3:13" s="59" customFormat="1" ht="24" customHeight="1">
      <c r="C1066" s="61">
        <v>1</v>
      </c>
      <c r="D1066" s="56" t="s">
        <v>4633</v>
      </c>
      <c r="E1066" s="93" t="s">
        <v>2167</v>
      </c>
      <c r="F1066" s="103">
        <v>1.6667000000000001</v>
      </c>
      <c r="G1066" s="63">
        <f>VLOOKUP(D1066,upahbahan,3,FALSE)</f>
        <v>100000</v>
      </c>
      <c r="H1066" s="63">
        <f>F1066*G1066</f>
        <v>166670</v>
      </c>
      <c r="I1066" s="44"/>
    </row>
    <row r="1067" spans="3:13" s="59" customFormat="1" ht="24" customHeight="1">
      <c r="C1067" s="450" t="s">
        <v>1214</v>
      </c>
      <c r="D1067" s="67"/>
      <c r="E1067" s="67"/>
      <c r="F1067" s="67"/>
      <c r="G1067" s="69"/>
      <c r="H1067" s="63">
        <f>SUM(H1066:H1066)</f>
        <v>166670</v>
      </c>
      <c r="I1067" s="44"/>
    </row>
    <row r="1068" spans="3:13" s="59" customFormat="1" ht="24" customHeight="1">
      <c r="C1068" s="61" t="s">
        <v>1215</v>
      </c>
      <c r="D1068" s="56" t="s">
        <v>1216</v>
      </c>
      <c r="E1068" s="93"/>
      <c r="F1068" s="57"/>
      <c r="G1068" s="57"/>
      <c r="H1068" s="57"/>
      <c r="I1068" s="44"/>
    </row>
    <row r="1069" spans="3:13" s="59" customFormat="1" ht="24" customHeight="1">
      <c r="C1069" s="450" t="s">
        <v>1217</v>
      </c>
      <c r="D1069" s="67"/>
      <c r="E1069" s="67"/>
      <c r="F1069" s="67"/>
      <c r="G1069" s="69"/>
      <c r="H1069" s="882">
        <f>SUM(H1068:H1068)</f>
        <v>0</v>
      </c>
      <c r="I1069" s="44"/>
    </row>
    <row r="1070" spans="3:13" s="59" customFormat="1" ht="24" customHeight="1">
      <c r="C1070" s="288" t="s">
        <v>1218</v>
      </c>
      <c r="D1070" s="76" t="s">
        <v>1219</v>
      </c>
      <c r="E1070" s="77"/>
      <c r="F1070" s="77"/>
      <c r="G1070" s="78"/>
      <c r="H1070" s="585">
        <f>H1069+H1067+H1064</f>
        <v>180609.5</v>
      </c>
      <c r="I1070" s="369"/>
    </row>
    <row r="1071" spans="3:13" s="59" customFormat="1" ht="24" customHeight="1">
      <c r="C1071" s="288" t="s">
        <v>1220</v>
      </c>
      <c r="D1071" s="76" t="s">
        <v>1321</v>
      </c>
      <c r="E1071" s="77"/>
      <c r="F1071" s="78"/>
      <c r="G1071" s="80">
        <v>0.1</v>
      </c>
      <c r="H1071" s="63">
        <f>H1070*G1071</f>
        <v>18060.95</v>
      </c>
      <c r="I1071" s="369"/>
    </row>
    <row r="1072" spans="3:13" s="59" customFormat="1" ht="24" customHeight="1">
      <c r="C1072" s="288" t="s">
        <v>1221</v>
      </c>
      <c r="D1072" s="76" t="s">
        <v>1222</v>
      </c>
      <c r="E1072" s="77"/>
      <c r="F1072" s="77"/>
      <c r="G1072" s="78"/>
      <c r="H1072" s="799">
        <f>SUM(H1070:H1071)</f>
        <v>198670.45</v>
      </c>
      <c r="I1072" s="369"/>
    </row>
    <row r="1075" spans="3:13" s="59" customFormat="1" ht="13.8">
      <c r="C1075" s="46" t="s">
        <v>4634</v>
      </c>
      <c r="D1075" s="1934" t="s">
        <v>4636</v>
      </c>
      <c r="E1075" s="1934"/>
      <c r="F1075" s="1934"/>
      <c r="G1075" s="1934"/>
      <c r="H1075" s="1934"/>
      <c r="I1075" s="50">
        <f>ROUNDDOWN(H1089,-2)</f>
        <v>246000</v>
      </c>
    </row>
    <row r="1076" spans="3:13" s="59" customFormat="1" ht="24" customHeight="1">
      <c r="C1076" s="591" t="s">
        <v>1195</v>
      </c>
      <c r="D1076" s="591" t="s">
        <v>1196</v>
      </c>
      <c r="E1076" s="591" t="s">
        <v>1197</v>
      </c>
      <c r="F1076" s="591" t="s">
        <v>1198</v>
      </c>
      <c r="G1076" s="591" t="s">
        <v>1199</v>
      </c>
      <c r="H1076" s="591" t="s">
        <v>1200</v>
      </c>
      <c r="I1076" s="44"/>
    </row>
    <row r="1077" spans="3:13" s="59" customFormat="1" ht="24" customHeight="1">
      <c r="C1077" s="61" t="s">
        <v>1201</v>
      </c>
      <c r="D1077" s="56" t="s">
        <v>1202</v>
      </c>
      <c r="E1077" s="57"/>
      <c r="F1077" s="57"/>
      <c r="G1077" s="57"/>
      <c r="H1077" s="57"/>
      <c r="I1077" s="44"/>
      <c r="J1077" s="152" t="s">
        <v>1247</v>
      </c>
    </row>
    <row r="1078" spans="3:13" s="59" customFormat="1" ht="24" customHeight="1">
      <c r="C1078" s="588">
        <v>1</v>
      </c>
      <c r="D1078" s="56" t="s">
        <v>5</v>
      </c>
      <c r="E1078" s="577" t="s">
        <v>1863</v>
      </c>
      <c r="F1078" s="101">
        <v>8.7300000000000003E-2</v>
      </c>
      <c r="G1078" s="63">
        <f>VLOOKUP(D1078,upahbahan,3,FALSE)</f>
        <v>100000</v>
      </c>
      <c r="H1078" s="63">
        <f>F1078*G1078</f>
        <v>8730</v>
      </c>
      <c r="I1078" s="44"/>
      <c r="J1078" s="152" t="s">
        <v>1248</v>
      </c>
      <c r="M1078" s="65">
        <v>0.1</v>
      </c>
    </row>
    <row r="1079" spans="3:13" s="59" customFormat="1" ht="24" customHeight="1">
      <c r="C1079" s="588">
        <v>2</v>
      </c>
      <c r="D1079" s="56" t="s">
        <v>2165</v>
      </c>
      <c r="E1079" s="577" t="s">
        <v>1863</v>
      </c>
      <c r="F1079" s="101">
        <v>4.3700000000000003E-2</v>
      </c>
      <c r="G1079" s="63">
        <f>VLOOKUP(D1079,upahbahan,3,FALSE)</f>
        <v>135000</v>
      </c>
      <c r="H1079" s="63">
        <f t="shared" ref="H1079:H1080" si="56">F1079*G1079</f>
        <v>5899.5</v>
      </c>
      <c r="I1079" s="44"/>
      <c r="J1079" s="152"/>
      <c r="M1079" s="65"/>
    </row>
    <row r="1080" spans="3:13" s="59" customFormat="1" ht="24" customHeight="1">
      <c r="C1080" s="588">
        <v>3</v>
      </c>
      <c r="D1080" s="56" t="s">
        <v>19</v>
      </c>
      <c r="E1080" s="577" t="s">
        <v>1863</v>
      </c>
      <c r="F1080" s="101">
        <v>4.4000000000000003E-3</v>
      </c>
      <c r="G1080" s="63">
        <f>VLOOKUP(D1080,upahbahan,3,FALSE)</f>
        <v>160000</v>
      </c>
      <c r="H1080" s="63">
        <f t="shared" si="56"/>
        <v>704</v>
      </c>
      <c r="I1080" s="44"/>
    </row>
    <row r="1081" spans="3:13" s="59" customFormat="1" ht="24" customHeight="1">
      <c r="C1081" s="450" t="s">
        <v>1208</v>
      </c>
      <c r="D1081" s="67"/>
      <c r="E1081" s="67"/>
      <c r="F1081" s="142"/>
      <c r="G1081" s="153"/>
      <c r="H1081" s="63">
        <f>SUM(H1078:H1080)</f>
        <v>15333.5</v>
      </c>
      <c r="I1081" s="154"/>
    </row>
    <row r="1082" spans="3:13" s="59" customFormat="1" ht="24" customHeight="1">
      <c r="C1082" s="61" t="s">
        <v>1209</v>
      </c>
      <c r="D1082" s="56" t="s">
        <v>1210</v>
      </c>
      <c r="E1082" s="57"/>
      <c r="F1082" s="57"/>
      <c r="G1082" s="57"/>
      <c r="H1082" s="57"/>
      <c r="I1082" s="44"/>
    </row>
    <row r="1083" spans="3:13" s="59" customFormat="1" ht="24" customHeight="1">
      <c r="C1083" s="61">
        <v>1</v>
      </c>
      <c r="D1083" s="56" t="s">
        <v>4637</v>
      </c>
      <c r="E1083" s="93" t="s">
        <v>2167</v>
      </c>
      <c r="F1083" s="103">
        <v>1.6667000000000001</v>
      </c>
      <c r="G1083" s="63">
        <f>VLOOKUP(D1083,upahbahan,3,FALSE)</f>
        <v>125000</v>
      </c>
      <c r="H1083" s="63">
        <f>F1083*G1083</f>
        <v>208337.5</v>
      </c>
      <c r="I1083" s="44"/>
    </row>
    <row r="1084" spans="3:13" s="59" customFormat="1" ht="24" customHeight="1">
      <c r="C1084" s="450" t="s">
        <v>1214</v>
      </c>
      <c r="D1084" s="67"/>
      <c r="E1084" s="67"/>
      <c r="F1084" s="67"/>
      <c r="G1084" s="69"/>
      <c r="H1084" s="63">
        <f>SUM(H1083:H1083)</f>
        <v>208337.5</v>
      </c>
      <c r="I1084" s="44"/>
    </row>
    <row r="1085" spans="3:13" s="59" customFormat="1" ht="24" customHeight="1">
      <c r="C1085" s="61" t="s">
        <v>1215</v>
      </c>
      <c r="D1085" s="56" t="s">
        <v>1216</v>
      </c>
      <c r="E1085" s="93"/>
      <c r="F1085" s="57"/>
      <c r="G1085" s="57"/>
      <c r="H1085" s="57"/>
      <c r="I1085" s="44"/>
    </row>
    <row r="1086" spans="3:13" s="59" customFormat="1" ht="24" customHeight="1">
      <c r="C1086" s="450" t="s">
        <v>1217</v>
      </c>
      <c r="D1086" s="67"/>
      <c r="E1086" s="67"/>
      <c r="F1086" s="67"/>
      <c r="G1086" s="69"/>
      <c r="H1086" s="882">
        <f>SUM(H1085:H1085)</f>
        <v>0</v>
      </c>
      <c r="I1086" s="44"/>
    </row>
    <row r="1087" spans="3:13" s="59" customFormat="1" ht="24" customHeight="1">
      <c r="C1087" s="288" t="s">
        <v>1218</v>
      </c>
      <c r="D1087" s="76" t="s">
        <v>1219</v>
      </c>
      <c r="E1087" s="77"/>
      <c r="F1087" s="77"/>
      <c r="G1087" s="78"/>
      <c r="H1087" s="585">
        <f>H1086+H1084+H1081</f>
        <v>223671</v>
      </c>
      <c r="I1087" s="369"/>
    </row>
    <row r="1088" spans="3:13" s="59" customFormat="1" ht="24" customHeight="1">
      <c r="C1088" s="288" t="s">
        <v>1220</v>
      </c>
      <c r="D1088" s="76" t="s">
        <v>1321</v>
      </c>
      <c r="E1088" s="77"/>
      <c r="F1088" s="78"/>
      <c r="G1088" s="80">
        <v>0.1</v>
      </c>
      <c r="H1088" s="63">
        <f>H1087*G1088</f>
        <v>22367.100000000002</v>
      </c>
      <c r="I1088" s="369"/>
    </row>
    <row r="1089" spans="3:13" s="59" customFormat="1" ht="24" customHeight="1">
      <c r="C1089" s="288" t="s">
        <v>1221</v>
      </c>
      <c r="D1089" s="76" t="s">
        <v>1222</v>
      </c>
      <c r="E1089" s="77"/>
      <c r="F1089" s="77"/>
      <c r="G1089" s="78"/>
      <c r="H1089" s="799">
        <f>SUM(H1087:H1088)</f>
        <v>246038.1</v>
      </c>
      <c r="I1089" s="369"/>
    </row>
    <row r="1091" spans="3:13" s="59" customFormat="1" ht="13.8">
      <c r="C1091" s="46" t="s">
        <v>4638</v>
      </c>
      <c r="D1091" s="1934" t="s">
        <v>4639</v>
      </c>
      <c r="E1091" s="1934"/>
      <c r="F1091" s="1934"/>
      <c r="G1091" s="1934"/>
      <c r="H1091" s="1934"/>
      <c r="I1091" s="50">
        <f>ROUNDDOWN(H1105,-2)</f>
        <v>322400</v>
      </c>
    </row>
    <row r="1092" spans="3:13" s="59" customFormat="1" ht="24" customHeight="1">
      <c r="C1092" s="591" t="s">
        <v>1195</v>
      </c>
      <c r="D1092" s="591" t="s">
        <v>1196</v>
      </c>
      <c r="E1092" s="591" t="s">
        <v>1197</v>
      </c>
      <c r="F1092" s="591" t="s">
        <v>1198</v>
      </c>
      <c r="G1092" s="591" t="s">
        <v>1199</v>
      </c>
      <c r="H1092" s="591" t="s">
        <v>1200</v>
      </c>
      <c r="I1092" s="44"/>
    </row>
    <row r="1093" spans="3:13" s="59" customFormat="1" ht="24" customHeight="1">
      <c r="C1093" s="61" t="s">
        <v>1201</v>
      </c>
      <c r="D1093" s="56" t="s">
        <v>1202</v>
      </c>
      <c r="E1093" s="57"/>
      <c r="F1093" s="57"/>
      <c r="G1093" s="57"/>
      <c r="H1093" s="57"/>
      <c r="I1093" s="44"/>
      <c r="J1093" s="152" t="s">
        <v>1247</v>
      </c>
    </row>
    <row r="1094" spans="3:13" s="59" customFormat="1" ht="24" customHeight="1">
      <c r="C1094" s="588">
        <v>1</v>
      </c>
      <c r="D1094" s="56" t="s">
        <v>5</v>
      </c>
      <c r="E1094" s="577" t="s">
        <v>1863</v>
      </c>
      <c r="F1094" s="101">
        <v>0.1032</v>
      </c>
      <c r="G1094" s="63">
        <f>VLOOKUP(D1094,upahbahan,3,FALSE)</f>
        <v>100000</v>
      </c>
      <c r="H1094" s="63">
        <f>F1094*G1094</f>
        <v>10320</v>
      </c>
      <c r="I1094" s="44"/>
      <c r="J1094" s="152" t="s">
        <v>1248</v>
      </c>
      <c r="M1094" s="65">
        <v>0.1</v>
      </c>
    </row>
    <row r="1095" spans="3:13" s="59" customFormat="1" ht="24" customHeight="1">
      <c r="C1095" s="588">
        <v>2</v>
      </c>
      <c r="D1095" s="56" t="s">
        <v>2165</v>
      </c>
      <c r="E1095" s="577" t="s">
        <v>1863</v>
      </c>
      <c r="F1095" s="101">
        <v>5.16E-2</v>
      </c>
      <c r="G1095" s="63">
        <f>VLOOKUP(D1095,upahbahan,3,FALSE)</f>
        <v>135000</v>
      </c>
      <c r="H1095" s="63">
        <f t="shared" ref="H1095:H1096" si="57">F1095*G1095</f>
        <v>6966</v>
      </c>
      <c r="I1095" s="44"/>
      <c r="J1095" s="152"/>
      <c r="M1095" s="65"/>
    </row>
    <row r="1096" spans="3:13" s="59" customFormat="1" ht="24" customHeight="1">
      <c r="C1096" s="588">
        <v>3</v>
      </c>
      <c r="D1096" s="56" t="s">
        <v>19</v>
      </c>
      <c r="E1096" s="577" t="s">
        <v>1863</v>
      </c>
      <c r="F1096" s="101">
        <v>5.1999999999999998E-3</v>
      </c>
      <c r="G1096" s="63">
        <f>VLOOKUP(D1096,upahbahan,3,FALSE)</f>
        <v>160000</v>
      </c>
      <c r="H1096" s="63">
        <f t="shared" si="57"/>
        <v>832</v>
      </c>
      <c r="I1096" s="44"/>
    </row>
    <row r="1097" spans="3:13" s="59" customFormat="1" ht="24" customHeight="1">
      <c r="C1097" s="450" t="s">
        <v>1208</v>
      </c>
      <c r="D1097" s="67"/>
      <c r="E1097" s="67"/>
      <c r="F1097" s="142"/>
      <c r="G1097" s="153"/>
      <c r="H1097" s="63">
        <f>SUM(H1094:H1096)</f>
        <v>18118</v>
      </c>
      <c r="I1097" s="154"/>
    </row>
    <row r="1098" spans="3:13" s="59" customFormat="1" ht="24" customHeight="1">
      <c r="C1098" s="61" t="s">
        <v>1209</v>
      </c>
      <c r="D1098" s="56" t="s">
        <v>1210</v>
      </c>
      <c r="E1098" s="57"/>
      <c r="F1098" s="57"/>
      <c r="G1098" s="57"/>
      <c r="H1098" s="57"/>
      <c r="I1098" s="44"/>
    </row>
    <row r="1099" spans="3:13" s="59" customFormat="1" ht="24" customHeight="1">
      <c r="C1099" s="61">
        <v>1</v>
      </c>
      <c r="D1099" s="56" t="s">
        <v>4640</v>
      </c>
      <c r="E1099" s="93" t="s">
        <v>2167</v>
      </c>
      <c r="F1099" s="103">
        <v>1.6667000000000001</v>
      </c>
      <c r="G1099" s="63">
        <f>VLOOKUP(D1099,upahbahan,3,FALSE)</f>
        <v>165000</v>
      </c>
      <c r="H1099" s="63">
        <f>F1099*G1099</f>
        <v>275005.5</v>
      </c>
      <c r="I1099" s="44"/>
    </row>
    <row r="1100" spans="3:13" s="59" customFormat="1" ht="24" customHeight="1">
      <c r="C1100" s="450" t="s">
        <v>1214</v>
      </c>
      <c r="D1100" s="67"/>
      <c r="E1100" s="67"/>
      <c r="F1100" s="67"/>
      <c r="G1100" s="69"/>
      <c r="H1100" s="63">
        <f>SUM(H1099:H1099)</f>
        <v>275005.5</v>
      </c>
      <c r="I1100" s="44"/>
    </row>
    <row r="1101" spans="3:13" s="59" customFormat="1" ht="24" customHeight="1">
      <c r="C1101" s="61" t="s">
        <v>1215</v>
      </c>
      <c r="D1101" s="56" t="s">
        <v>1216</v>
      </c>
      <c r="E1101" s="93"/>
      <c r="F1101" s="57"/>
      <c r="G1101" s="57"/>
      <c r="H1101" s="57"/>
      <c r="I1101" s="44"/>
    </row>
    <row r="1102" spans="3:13" s="59" customFormat="1" ht="24" customHeight="1">
      <c r="C1102" s="450" t="s">
        <v>1217</v>
      </c>
      <c r="D1102" s="67"/>
      <c r="E1102" s="67"/>
      <c r="F1102" s="67"/>
      <c r="G1102" s="69"/>
      <c r="H1102" s="882">
        <f>SUM(H1101:H1101)</f>
        <v>0</v>
      </c>
      <c r="I1102" s="44"/>
    </row>
    <row r="1103" spans="3:13" s="59" customFormat="1" ht="24" customHeight="1">
      <c r="C1103" s="288" t="s">
        <v>1218</v>
      </c>
      <c r="D1103" s="76" t="s">
        <v>1219</v>
      </c>
      <c r="E1103" s="77"/>
      <c r="F1103" s="77"/>
      <c r="G1103" s="78"/>
      <c r="H1103" s="585">
        <f>H1102+H1100+H1097</f>
        <v>293123.5</v>
      </c>
      <c r="I1103" s="369"/>
    </row>
    <row r="1104" spans="3:13" s="59" customFormat="1" ht="24" customHeight="1">
      <c r="C1104" s="288" t="s">
        <v>1220</v>
      </c>
      <c r="D1104" s="76" t="s">
        <v>1321</v>
      </c>
      <c r="E1104" s="77"/>
      <c r="F1104" s="78"/>
      <c r="G1104" s="80">
        <v>0.1</v>
      </c>
      <c r="H1104" s="63">
        <f>H1103*G1104</f>
        <v>29312.350000000002</v>
      </c>
      <c r="I1104" s="369"/>
    </row>
    <row r="1105" spans="3:13" s="59" customFormat="1" ht="24" customHeight="1">
      <c r="C1105" s="288" t="s">
        <v>1221</v>
      </c>
      <c r="D1105" s="76" t="s">
        <v>1222</v>
      </c>
      <c r="E1105" s="77"/>
      <c r="F1105" s="77"/>
      <c r="G1105" s="78"/>
      <c r="H1105" s="799">
        <f>SUM(H1103:H1104)</f>
        <v>322435.84999999998</v>
      </c>
      <c r="I1105" s="369"/>
    </row>
    <row r="1106" spans="3:13" ht="24" customHeight="1"/>
    <row r="1107" spans="3:13" s="59" customFormat="1" ht="13.8">
      <c r="C1107" s="46" t="s">
        <v>4641</v>
      </c>
      <c r="D1107" s="1934" t="s">
        <v>4642</v>
      </c>
      <c r="E1107" s="1934"/>
      <c r="F1107" s="1934"/>
      <c r="G1107" s="1934"/>
      <c r="H1107" s="1934"/>
      <c r="I1107" s="50">
        <f>ROUNDDOWN(H1121,-2)</f>
        <v>376800</v>
      </c>
    </row>
    <row r="1108" spans="3:13" s="59" customFormat="1" ht="24" customHeight="1">
      <c r="C1108" s="591" t="s">
        <v>1195</v>
      </c>
      <c r="D1108" s="591" t="s">
        <v>1196</v>
      </c>
      <c r="E1108" s="591" t="s">
        <v>1197</v>
      </c>
      <c r="F1108" s="591" t="s">
        <v>1198</v>
      </c>
      <c r="G1108" s="591" t="s">
        <v>1199</v>
      </c>
      <c r="H1108" s="591" t="s">
        <v>1200</v>
      </c>
      <c r="I1108" s="44"/>
    </row>
    <row r="1109" spans="3:13" s="59" customFormat="1" ht="24" customHeight="1">
      <c r="C1109" s="61" t="s">
        <v>1201</v>
      </c>
      <c r="D1109" s="56" t="s">
        <v>1202</v>
      </c>
      <c r="E1109" s="57"/>
      <c r="F1109" s="57"/>
      <c r="G1109" s="57"/>
      <c r="H1109" s="57"/>
      <c r="I1109" s="44"/>
      <c r="J1109" s="152" t="s">
        <v>1247</v>
      </c>
    </row>
    <row r="1110" spans="3:13" s="59" customFormat="1" ht="24" customHeight="1">
      <c r="C1110" s="588">
        <v>1</v>
      </c>
      <c r="D1110" s="56" t="s">
        <v>5</v>
      </c>
      <c r="E1110" s="577" t="s">
        <v>1863</v>
      </c>
      <c r="F1110" s="101">
        <v>7.22E-2</v>
      </c>
      <c r="G1110" s="63">
        <f>VLOOKUP(D1110,upahbahan,3,FALSE)</f>
        <v>100000</v>
      </c>
      <c r="H1110" s="63">
        <f>F1110*G1110</f>
        <v>7220</v>
      </c>
      <c r="I1110" s="44"/>
      <c r="J1110" s="152" t="s">
        <v>1248</v>
      </c>
      <c r="M1110" s="65">
        <v>0.1</v>
      </c>
    </row>
    <row r="1111" spans="3:13" s="59" customFormat="1" ht="24" customHeight="1">
      <c r="C1111" s="588">
        <v>2</v>
      </c>
      <c r="D1111" s="56" t="s">
        <v>2165</v>
      </c>
      <c r="E1111" s="577" t="s">
        <v>1863</v>
      </c>
      <c r="F1111" s="101">
        <v>7.22E-2</v>
      </c>
      <c r="G1111" s="63">
        <f>VLOOKUP(D1111,upahbahan,3,FALSE)</f>
        <v>135000</v>
      </c>
      <c r="H1111" s="63">
        <f t="shared" ref="H1111:H1112" si="58">F1111*G1111</f>
        <v>9747</v>
      </c>
      <c r="I1111" s="44"/>
      <c r="J1111" s="152"/>
      <c r="M1111" s="65"/>
    </row>
    <row r="1112" spans="3:13" s="59" customFormat="1" ht="24" customHeight="1">
      <c r="C1112" s="588">
        <v>3</v>
      </c>
      <c r="D1112" s="56" t="s">
        <v>19</v>
      </c>
      <c r="E1112" s="577" t="s">
        <v>1863</v>
      </c>
      <c r="F1112" s="101">
        <v>3.5999999999999999E-3</v>
      </c>
      <c r="G1112" s="63">
        <f>VLOOKUP(D1112,upahbahan,3,FALSE)</f>
        <v>160000</v>
      </c>
      <c r="H1112" s="63">
        <f t="shared" si="58"/>
        <v>576</v>
      </c>
      <c r="I1112" s="44"/>
    </row>
    <row r="1113" spans="3:13" s="59" customFormat="1" ht="24" customHeight="1">
      <c r="C1113" s="450" t="s">
        <v>1208</v>
      </c>
      <c r="D1113" s="67"/>
      <c r="E1113" s="67"/>
      <c r="F1113" s="142"/>
      <c r="G1113" s="153"/>
      <c r="H1113" s="63">
        <f>SUM(H1110:H1112)</f>
        <v>17543</v>
      </c>
      <c r="I1113" s="154"/>
    </row>
    <row r="1114" spans="3:13" s="59" customFormat="1" ht="24" customHeight="1">
      <c r="C1114" s="61" t="s">
        <v>1209</v>
      </c>
      <c r="D1114" s="56" t="s">
        <v>1210</v>
      </c>
      <c r="E1114" s="57"/>
      <c r="F1114" s="57"/>
      <c r="G1114" s="57"/>
      <c r="H1114" s="57"/>
      <c r="I1114" s="44"/>
    </row>
    <row r="1115" spans="3:13" s="59" customFormat="1" ht="24" customHeight="1">
      <c r="C1115" s="61">
        <v>1</v>
      </c>
      <c r="D1115" s="56" t="s">
        <v>4643</v>
      </c>
      <c r="E1115" s="93" t="s">
        <v>2167</v>
      </c>
      <c r="F1115" s="103">
        <v>1.6667000000000001</v>
      </c>
      <c r="G1115" s="63">
        <f>VLOOKUP(D1115,upahbahan,3,FALSE)</f>
        <v>195000</v>
      </c>
      <c r="H1115" s="63">
        <f>F1115*G1115</f>
        <v>325006.5</v>
      </c>
      <c r="I1115" s="44"/>
    </row>
    <row r="1116" spans="3:13" s="59" customFormat="1" ht="24" customHeight="1">
      <c r="C1116" s="450" t="s">
        <v>1214</v>
      </c>
      <c r="D1116" s="67"/>
      <c r="E1116" s="67"/>
      <c r="F1116" s="67"/>
      <c r="G1116" s="69"/>
      <c r="H1116" s="63">
        <f>SUM(H1115:H1115)</f>
        <v>325006.5</v>
      </c>
      <c r="I1116" s="44"/>
    </row>
    <row r="1117" spans="3:13" s="59" customFormat="1" ht="24" customHeight="1">
      <c r="C1117" s="61" t="s">
        <v>1215</v>
      </c>
      <c r="D1117" s="56" t="s">
        <v>1216</v>
      </c>
      <c r="E1117" s="93"/>
      <c r="F1117" s="57"/>
      <c r="G1117" s="57"/>
      <c r="H1117" s="57"/>
      <c r="I1117" s="44"/>
    </row>
    <row r="1118" spans="3:13" s="59" customFormat="1" ht="24" customHeight="1">
      <c r="C1118" s="450" t="s">
        <v>1217</v>
      </c>
      <c r="D1118" s="67"/>
      <c r="E1118" s="67"/>
      <c r="F1118" s="67"/>
      <c r="G1118" s="69"/>
      <c r="H1118" s="882">
        <f>SUM(H1117:H1117)</f>
        <v>0</v>
      </c>
      <c r="I1118" s="44"/>
    </row>
    <row r="1119" spans="3:13" s="59" customFormat="1" ht="24" customHeight="1">
      <c r="C1119" s="288" t="s">
        <v>1218</v>
      </c>
      <c r="D1119" s="76" t="s">
        <v>1219</v>
      </c>
      <c r="E1119" s="77"/>
      <c r="F1119" s="77"/>
      <c r="G1119" s="78"/>
      <c r="H1119" s="585">
        <f>H1118+H1116+H1113</f>
        <v>342549.5</v>
      </c>
      <c r="I1119" s="369"/>
    </row>
    <row r="1120" spans="3:13" s="59" customFormat="1" ht="24" customHeight="1">
      <c r="C1120" s="288" t="s">
        <v>1220</v>
      </c>
      <c r="D1120" s="76" t="s">
        <v>1321</v>
      </c>
      <c r="E1120" s="77"/>
      <c r="F1120" s="78"/>
      <c r="G1120" s="80">
        <v>0.1</v>
      </c>
      <c r="H1120" s="63">
        <f>H1119*G1120</f>
        <v>34254.950000000004</v>
      </c>
      <c r="I1120" s="369"/>
    </row>
    <row r="1121" spans="3:13" s="59" customFormat="1" ht="24" customHeight="1">
      <c r="C1121" s="288" t="s">
        <v>1221</v>
      </c>
      <c r="D1121" s="76" t="s">
        <v>1222</v>
      </c>
      <c r="E1121" s="77"/>
      <c r="F1121" s="77"/>
      <c r="G1121" s="78"/>
      <c r="H1121" s="799">
        <f>SUM(H1119:H1120)</f>
        <v>376804.45</v>
      </c>
      <c r="I1121" s="369"/>
    </row>
    <row r="1123" spans="3:13" s="59" customFormat="1" ht="13.8">
      <c r="C1123" s="46" t="s">
        <v>4644</v>
      </c>
      <c r="D1123" s="1934" t="s">
        <v>4645</v>
      </c>
      <c r="E1123" s="1934"/>
      <c r="F1123" s="1934"/>
      <c r="G1123" s="1934"/>
      <c r="H1123" s="1934"/>
      <c r="I1123" s="50">
        <f>ROUNDDOWN(H1137,-2)</f>
        <v>242900</v>
      </c>
    </row>
    <row r="1124" spans="3:13" s="59" customFormat="1" ht="24" customHeight="1">
      <c r="C1124" s="591" t="s">
        <v>1195</v>
      </c>
      <c r="D1124" s="591" t="s">
        <v>1196</v>
      </c>
      <c r="E1124" s="591" t="s">
        <v>1197</v>
      </c>
      <c r="F1124" s="591" t="s">
        <v>1198</v>
      </c>
      <c r="G1124" s="591" t="s">
        <v>1199</v>
      </c>
      <c r="H1124" s="591" t="s">
        <v>1200</v>
      </c>
      <c r="I1124" s="44"/>
    </row>
    <row r="1125" spans="3:13" s="59" customFormat="1" ht="24" customHeight="1">
      <c r="C1125" s="61" t="s">
        <v>1201</v>
      </c>
      <c r="D1125" s="56" t="s">
        <v>1202</v>
      </c>
      <c r="E1125" s="57"/>
      <c r="F1125" s="57"/>
      <c r="G1125" s="57"/>
      <c r="H1125" s="57"/>
      <c r="I1125" s="44"/>
      <c r="J1125" s="152" t="s">
        <v>1247</v>
      </c>
    </row>
    <row r="1126" spans="3:13" s="59" customFormat="1" ht="24" customHeight="1">
      <c r="C1126" s="588">
        <v>1</v>
      </c>
      <c r="D1126" s="56" t="s">
        <v>5</v>
      </c>
      <c r="E1126" s="577" t="s">
        <v>1863</v>
      </c>
      <c r="F1126" s="101">
        <v>7.1400000000000005E-2</v>
      </c>
      <c r="G1126" s="63">
        <f>VLOOKUP(D1126,upahbahan,3,FALSE)</f>
        <v>100000</v>
      </c>
      <c r="H1126" s="63">
        <f>F1126*G1126</f>
        <v>7140.0000000000009</v>
      </c>
      <c r="I1126" s="44"/>
      <c r="J1126" s="152" t="s">
        <v>1248</v>
      </c>
      <c r="M1126" s="65">
        <v>0.1</v>
      </c>
    </row>
    <row r="1127" spans="3:13" s="59" customFormat="1" ht="24" customHeight="1">
      <c r="C1127" s="588">
        <v>2</v>
      </c>
      <c r="D1127" s="56" t="s">
        <v>2165</v>
      </c>
      <c r="E1127" s="577" t="s">
        <v>1863</v>
      </c>
      <c r="F1127" s="101">
        <v>3.5700000000000003E-2</v>
      </c>
      <c r="G1127" s="63">
        <f>VLOOKUP(D1127,upahbahan,3,FALSE)</f>
        <v>135000</v>
      </c>
      <c r="H1127" s="63">
        <f t="shared" ref="H1127:H1128" si="59">F1127*G1127</f>
        <v>4819.5</v>
      </c>
      <c r="I1127" s="44"/>
      <c r="J1127" s="152"/>
      <c r="M1127" s="65"/>
    </row>
    <row r="1128" spans="3:13" s="59" customFormat="1" ht="24" customHeight="1">
      <c r="C1128" s="588">
        <v>3</v>
      </c>
      <c r="D1128" s="56" t="s">
        <v>19</v>
      </c>
      <c r="E1128" s="577" t="s">
        <v>1863</v>
      </c>
      <c r="F1128" s="101">
        <v>3.5999999999999999E-3</v>
      </c>
      <c r="G1128" s="63">
        <f>VLOOKUP(D1128,upahbahan,3,FALSE)</f>
        <v>160000</v>
      </c>
      <c r="H1128" s="63">
        <f t="shared" si="59"/>
        <v>576</v>
      </c>
      <c r="I1128" s="44"/>
    </row>
    <row r="1129" spans="3:13" s="59" customFormat="1" ht="24" customHeight="1">
      <c r="C1129" s="450" t="s">
        <v>1208</v>
      </c>
      <c r="D1129" s="67"/>
      <c r="E1129" s="67"/>
      <c r="F1129" s="142"/>
      <c r="G1129" s="153"/>
      <c r="H1129" s="63">
        <f>SUM(H1126:H1128)</f>
        <v>12535.5</v>
      </c>
      <c r="I1129" s="154"/>
    </row>
    <row r="1130" spans="3:13" s="59" customFormat="1" ht="24" customHeight="1">
      <c r="C1130" s="61" t="s">
        <v>1209</v>
      </c>
      <c r="D1130" s="56" t="s">
        <v>1210</v>
      </c>
      <c r="E1130" s="57"/>
      <c r="F1130" s="57"/>
      <c r="G1130" s="57"/>
      <c r="H1130" s="57"/>
      <c r="I1130" s="44"/>
    </row>
    <row r="1131" spans="3:13" s="59" customFormat="1" ht="24" customHeight="1">
      <c r="C1131" s="61">
        <v>1</v>
      </c>
      <c r="D1131" s="56" t="s">
        <v>4646</v>
      </c>
      <c r="E1131" s="93" t="s">
        <v>2167</v>
      </c>
      <c r="F1131" s="103">
        <v>1.6667000000000001</v>
      </c>
      <c r="G1131" s="63">
        <f>VLOOKUP(D1131,upahbahan,3,FALSE)</f>
        <v>125000</v>
      </c>
      <c r="H1131" s="63">
        <f>F1131*G1131</f>
        <v>208337.5</v>
      </c>
      <c r="I1131" s="44"/>
    </row>
    <row r="1132" spans="3:13" s="59" customFormat="1" ht="24" customHeight="1">
      <c r="C1132" s="450" t="s">
        <v>1214</v>
      </c>
      <c r="D1132" s="67"/>
      <c r="E1132" s="67"/>
      <c r="F1132" s="67"/>
      <c r="G1132" s="69"/>
      <c r="H1132" s="63">
        <f>SUM(H1131:H1131)</f>
        <v>208337.5</v>
      </c>
      <c r="I1132" s="44"/>
    </row>
    <row r="1133" spans="3:13" s="59" customFormat="1" ht="24" customHeight="1">
      <c r="C1133" s="61" t="s">
        <v>1215</v>
      </c>
      <c r="D1133" s="56" t="s">
        <v>1216</v>
      </c>
      <c r="E1133" s="93"/>
      <c r="F1133" s="57"/>
      <c r="G1133" s="57"/>
      <c r="H1133" s="57"/>
      <c r="I1133" s="44"/>
    </row>
    <row r="1134" spans="3:13" s="59" customFormat="1" ht="24" customHeight="1">
      <c r="C1134" s="450" t="s">
        <v>1217</v>
      </c>
      <c r="D1134" s="67"/>
      <c r="E1134" s="67"/>
      <c r="F1134" s="67"/>
      <c r="G1134" s="69"/>
      <c r="H1134" s="882">
        <f>SUM(H1133:H1133)</f>
        <v>0</v>
      </c>
      <c r="I1134" s="44"/>
    </row>
    <row r="1135" spans="3:13" s="59" customFormat="1" ht="24" customHeight="1">
      <c r="C1135" s="288" t="s">
        <v>1218</v>
      </c>
      <c r="D1135" s="76" t="s">
        <v>1219</v>
      </c>
      <c r="E1135" s="77"/>
      <c r="F1135" s="77"/>
      <c r="G1135" s="78"/>
      <c r="H1135" s="585">
        <f>H1134+H1132+H1129</f>
        <v>220873</v>
      </c>
      <c r="I1135" s="369"/>
    </row>
    <row r="1136" spans="3:13" s="59" customFormat="1" ht="24" customHeight="1">
      <c r="C1136" s="288" t="s">
        <v>1220</v>
      </c>
      <c r="D1136" s="76" t="s">
        <v>1321</v>
      </c>
      <c r="E1136" s="77"/>
      <c r="F1136" s="78"/>
      <c r="G1136" s="80">
        <v>0.1</v>
      </c>
      <c r="H1136" s="63">
        <f>H1135*G1136</f>
        <v>22087.300000000003</v>
      </c>
      <c r="I1136" s="369"/>
    </row>
    <row r="1137" spans="3:13" s="59" customFormat="1" ht="24" customHeight="1">
      <c r="C1137" s="288" t="s">
        <v>1221</v>
      </c>
      <c r="D1137" s="76" t="s">
        <v>1222</v>
      </c>
      <c r="E1137" s="77"/>
      <c r="F1137" s="77"/>
      <c r="G1137" s="78"/>
      <c r="H1137" s="799">
        <f>SUM(H1135:H1136)</f>
        <v>242960.3</v>
      </c>
      <c r="I1137" s="369"/>
    </row>
    <row r="1138" spans="3:13" ht="24" customHeight="1"/>
    <row r="1139" spans="3:13" s="59" customFormat="1" ht="13.8">
      <c r="C1139" s="46" t="s">
        <v>4647</v>
      </c>
      <c r="D1139" s="1934" t="s">
        <v>4648</v>
      </c>
      <c r="E1139" s="1934"/>
      <c r="F1139" s="1934"/>
      <c r="G1139" s="1934"/>
      <c r="H1139" s="1934"/>
      <c r="I1139" s="50">
        <f>ROUNDDOWN(H1153,-2)</f>
        <v>341000</v>
      </c>
    </row>
    <row r="1140" spans="3:13" s="59" customFormat="1" ht="24" customHeight="1">
      <c r="C1140" s="591" t="s">
        <v>1195</v>
      </c>
      <c r="D1140" s="591" t="s">
        <v>1196</v>
      </c>
      <c r="E1140" s="591" t="s">
        <v>1197</v>
      </c>
      <c r="F1140" s="591" t="s">
        <v>1198</v>
      </c>
      <c r="G1140" s="591" t="s">
        <v>1199</v>
      </c>
      <c r="H1140" s="591" t="s">
        <v>1200</v>
      </c>
      <c r="I1140" s="44"/>
    </row>
    <row r="1141" spans="3:13" s="59" customFormat="1" ht="24" customHeight="1">
      <c r="C1141" s="61" t="s">
        <v>1201</v>
      </c>
      <c r="D1141" s="56" t="s">
        <v>1202</v>
      </c>
      <c r="E1141" s="57"/>
      <c r="F1141" s="57"/>
      <c r="G1141" s="57"/>
      <c r="H1141" s="57"/>
      <c r="I1141" s="44"/>
      <c r="J1141" s="152" t="s">
        <v>1247</v>
      </c>
    </row>
    <row r="1142" spans="3:13" s="59" customFormat="1" ht="24" customHeight="1">
      <c r="C1142" s="588">
        <v>1</v>
      </c>
      <c r="D1142" s="56" t="s">
        <v>5</v>
      </c>
      <c r="E1142" s="577" t="s">
        <v>1863</v>
      </c>
      <c r="F1142" s="101">
        <v>9.5200000000000007E-2</v>
      </c>
      <c r="G1142" s="63">
        <f>VLOOKUP(D1142,upahbahan,3,FALSE)</f>
        <v>100000</v>
      </c>
      <c r="H1142" s="63">
        <f>F1142*G1142</f>
        <v>9520</v>
      </c>
      <c r="I1142" s="44"/>
      <c r="J1142" s="152" t="s">
        <v>1248</v>
      </c>
      <c r="M1142" s="65">
        <v>0.1</v>
      </c>
    </row>
    <row r="1143" spans="3:13" s="59" customFormat="1" ht="24" customHeight="1">
      <c r="C1143" s="588">
        <v>2</v>
      </c>
      <c r="D1143" s="56" t="s">
        <v>2165</v>
      </c>
      <c r="E1143" s="577" t="s">
        <v>1863</v>
      </c>
      <c r="F1143" s="101">
        <v>4.7600000000000003E-2</v>
      </c>
      <c r="G1143" s="63">
        <f>VLOOKUP(D1143,upahbahan,3,FALSE)</f>
        <v>135000</v>
      </c>
      <c r="H1143" s="63">
        <f t="shared" ref="H1143:H1144" si="60">F1143*G1143</f>
        <v>6426.0000000000009</v>
      </c>
      <c r="I1143" s="44"/>
      <c r="J1143" s="152"/>
      <c r="M1143" s="65"/>
    </row>
    <row r="1144" spans="3:13" s="59" customFormat="1" ht="24" customHeight="1">
      <c r="C1144" s="588">
        <v>3</v>
      </c>
      <c r="D1144" s="56" t="s">
        <v>19</v>
      </c>
      <c r="E1144" s="577" t="s">
        <v>1863</v>
      </c>
      <c r="F1144" s="101">
        <v>4.7999999999999996E-3</v>
      </c>
      <c r="G1144" s="63">
        <f>VLOOKUP(D1144,upahbahan,3,FALSE)</f>
        <v>160000</v>
      </c>
      <c r="H1144" s="63">
        <f t="shared" si="60"/>
        <v>767.99999999999989</v>
      </c>
      <c r="I1144" s="44"/>
    </row>
    <row r="1145" spans="3:13" s="59" customFormat="1" ht="24" customHeight="1">
      <c r="C1145" s="450" t="s">
        <v>1208</v>
      </c>
      <c r="D1145" s="67"/>
      <c r="E1145" s="67"/>
      <c r="F1145" s="142"/>
      <c r="G1145" s="153"/>
      <c r="H1145" s="63">
        <f>SUM(H1142:H1144)</f>
        <v>16714</v>
      </c>
      <c r="I1145" s="154"/>
    </row>
    <row r="1146" spans="3:13" s="59" customFormat="1" ht="24" customHeight="1">
      <c r="C1146" s="61" t="s">
        <v>1209</v>
      </c>
      <c r="D1146" s="56" t="s">
        <v>1210</v>
      </c>
      <c r="E1146" s="57"/>
      <c r="F1146" s="57"/>
      <c r="G1146" s="57"/>
      <c r="H1146" s="57"/>
      <c r="I1146" s="44"/>
    </row>
    <row r="1147" spans="3:13" s="59" customFormat="1" ht="24" customHeight="1">
      <c r="C1147" s="61">
        <v>1</v>
      </c>
      <c r="D1147" s="56" t="s">
        <v>4649</v>
      </c>
      <c r="E1147" s="93" t="s">
        <v>2167</v>
      </c>
      <c r="F1147" s="103">
        <v>1.6667000000000001</v>
      </c>
      <c r="G1147" s="63">
        <f>VLOOKUP(D1147,upahbahan,3,FALSE)</f>
        <v>176000</v>
      </c>
      <c r="H1147" s="63">
        <f>F1147*G1147</f>
        <v>293339.2</v>
      </c>
      <c r="I1147" s="44"/>
    </row>
    <row r="1148" spans="3:13" s="59" customFormat="1" ht="24" customHeight="1">
      <c r="C1148" s="450" t="s">
        <v>1214</v>
      </c>
      <c r="D1148" s="67"/>
      <c r="E1148" s="67"/>
      <c r="F1148" s="67"/>
      <c r="G1148" s="69"/>
      <c r="H1148" s="63">
        <f>SUM(H1147:H1147)</f>
        <v>293339.2</v>
      </c>
      <c r="I1148" s="44"/>
    </row>
    <row r="1149" spans="3:13" s="59" customFormat="1" ht="24" customHeight="1">
      <c r="C1149" s="61" t="s">
        <v>1215</v>
      </c>
      <c r="D1149" s="56" t="s">
        <v>1216</v>
      </c>
      <c r="E1149" s="93"/>
      <c r="F1149" s="57"/>
      <c r="G1149" s="57"/>
      <c r="H1149" s="57"/>
      <c r="I1149" s="44"/>
    </row>
    <row r="1150" spans="3:13" s="59" customFormat="1" ht="24" customHeight="1">
      <c r="C1150" s="450" t="s">
        <v>1217</v>
      </c>
      <c r="D1150" s="67"/>
      <c r="E1150" s="67"/>
      <c r="F1150" s="67"/>
      <c r="G1150" s="69"/>
      <c r="H1150" s="882">
        <f>SUM(H1149:H1149)</f>
        <v>0</v>
      </c>
      <c r="I1150" s="44"/>
    </row>
    <row r="1151" spans="3:13" s="59" customFormat="1" ht="24" customHeight="1">
      <c r="C1151" s="288" t="s">
        <v>1218</v>
      </c>
      <c r="D1151" s="76" t="s">
        <v>1219</v>
      </c>
      <c r="E1151" s="77"/>
      <c r="F1151" s="77"/>
      <c r="G1151" s="78"/>
      <c r="H1151" s="585">
        <f>H1150+H1148+H1145</f>
        <v>310053.2</v>
      </c>
      <c r="I1151" s="369"/>
    </row>
    <row r="1152" spans="3:13" s="59" customFormat="1" ht="24" customHeight="1">
      <c r="C1152" s="288" t="s">
        <v>1220</v>
      </c>
      <c r="D1152" s="76" t="s">
        <v>1321</v>
      </c>
      <c r="E1152" s="77"/>
      <c r="F1152" s="78"/>
      <c r="G1152" s="80">
        <v>0.1</v>
      </c>
      <c r="H1152" s="63">
        <f>H1151*G1152</f>
        <v>31005.320000000003</v>
      </c>
      <c r="I1152" s="369"/>
    </row>
    <row r="1153" spans="3:13" s="59" customFormat="1" ht="24" customHeight="1">
      <c r="C1153" s="288" t="s">
        <v>1221</v>
      </c>
      <c r="D1153" s="76" t="s">
        <v>1222</v>
      </c>
      <c r="E1153" s="77"/>
      <c r="F1153" s="77"/>
      <c r="G1153" s="78"/>
      <c r="H1153" s="799">
        <f>SUM(H1151:H1152)</f>
        <v>341058.52</v>
      </c>
      <c r="I1153" s="369"/>
    </row>
    <row r="1154" spans="3:13" ht="24" customHeight="1"/>
    <row r="1155" spans="3:13" s="59" customFormat="1" ht="24" customHeight="1">
      <c r="C1155" s="46" t="s">
        <v>4650</v>
      </c>
      <c r="D1155" s="1934" t="s">
        <v>4651</v>
      </c>
      <c r="E1155" s="1934"/>
      <c r="F1155" s="1934"/>
      <c r="G1155" s="1934"/>
      <c r="H1155" s="1934"/>
      <c r="I1155" s="50">
        <f>ROUNDDOWN(H1170,-2)</f>
        <v>374600</v>
      </c>
    </row>
    <row r="1156" spans="3:13" s="59" customFormat="1" ht="24" customHeight="1">
      <c r="C1156" s="591" t="s">
        <v>1195</v>
      </c>
      <c r="D1156" s="591" t="s">
        <v>1196</v>
      </c>
      <c r="E1156" s="591" t="s">
        <v>1197</v>
      </c>
      <c r="F1156" s="591" t="s">
        <v>1198</v>
      </c>
      <c r="G1156" s="591" t="s">
        <v>1199</v>
      </c>
      <c r="H1156" s="591" t="s">
        <v>1200</v>
      </c>
      <c r="I1156" s="44"/>
    </row>
    <row r="1157" spans="3:13" s="59" customFormat="1" ht="24" customHeight="1">
      <c r="C1157" s="61" t="s">
        <v>1201</v>
      </c>
      <c r="D1157" s="56" t="s">
        <v>1202</v>
      </c>
      <c r="E1157" s="57"/>
      <c r="F1157" s="57"/>
      <c r="G1157" s="57"/>
      <c r="H1157" s="57"/>
      <c r="I1157" s="44"/>
      <c r="J1157" s="152" t="s">
        <v>1247</v>
      </c>
    </row>
    <row r="1158" spans="3:13" s="59" customFormat="1" ht="24" customHeight="1">
      <c r="C1158" s="588">
        <v>1</v>
      </c>
      <c r="D1158" s="56" t="s">
        <v>5</v>
      </c>
      <c r="E1158" s="577" t="s">
        <v>1863</v>
      </c>
      <c r="F1158" s="101">
        <v>6.54E-2</v>
      </c>
      <c r="G1158" s="63">
        <f>VLOOKUP(D1158,upahbahan,3,FALSE)</f>
        <v>100000</v>
      </c>
      <c r="H1158" s="63">
        <f>F1158*G1158</f>
        <v>6540</v>
      </c>
      <c r="I1158" s="44"/>
      <c r="J1158" s="152" t="s">
        <v>1248</v>
      </c>
      <c r="M1158" s="65">
        <v>0.1</v>
      </c>
    </row>
    <row r="1159" spans="3:13" s="59" customFormat="1" ht="24" customHeight="1">
      <c r="C1159" s="588">
        <v>2</v>
      </c>
      <c r="D1159" s="56" t="s">
        <v>2165</v>
      </c>
      <c r="E1159" s="577" t="s">
        <v>1863</v>
      </c>
      <c r="F1159" s="101">
        <v>6.54E-2</v>
      </c>
      <c r="G1159" s="63">
        <f>VLOOKUP(D1159,upahbahan,3,FALSE)</f>
        <v>135000</v>
      </c>
      <c r="H1159" s="63">
        <f t="shared" ref="H1159:H1160" si="61">F1159*G1159</f>
        <v>8829</v>
      </c>
      <c r="I1159" s="44"/>
      <c r="J1159" s="152"/>
      <c r="M1159" s="65"/>
    </row>
    <row r="1160" spans="3:13" s="59" customFormat="1" ht="24" customHeight="1">
      <c r="C1160" s="588">
        <v>3</v>
      </c>
      <c r="D1160" s="56" t="s">
        <v>19</v>
      </c>
      <c r="E1160" s="577" t="s">
        <v>1863</v>
      </c>
      <c r="F1160" s="101">
        <v>3.3E-3</v>
      </c>
      <c r="G1160" s="63">
        <f>VLOOKUP(D1160,upahbahan,3,FALSE)</f>
        <v>160000</v>
      </c>
      <c r="H1160" s="63">
        <f t="shared" si="61"/>
        <v>528</v>
      </c>
      <c r="I1160" s="44"/>
    </row>
    <row r="1161" spans="3:13" s="59" customFormat="1" ht="24" customHeight="1">
      <c r="C1161" s="450" t="s">
        <v>1208</v>
      </c>
      <c r="D1161" s="67"/>
      <c r="E1161" s="67"/>
      <c r="F1161" s="142"/>
      <c r="G1161" s="153"/>
      <c r="H1161" s="63">
        <f>SUM(H1158:H1160)</f>
        <v>15897</v>
      </c>
      <c r="I1161" s="154"/>
    </row>
    <row r="1162" spans="3:13" s="59" customFormat="1" ht="24" customHeight="1">
      <c r="C1162" s="61" t="s">
        <v>1209</v>
      </c>
      <c r="D1162" s="56" t="s">
        <v>1210</v>
      </c>
      <c r="E1162" s="57"/>
      <c r="F1162" s="57"/>
      <c r="G1162" s="57"/>
      <c r="H1162" s="57"/>
      <c r="I1162" s="44"/>
    </row>
    <row r="1163" spans="3:13" s="59" customFormat="1" ht="24" customHeight="1">
      <c r="C1163" s="61">
        <v>1</v>
      </c>
      <c r="D1163" s="56" t="s">
        <v>4649</v>
      </c>
      <c r="E1163" s="93" t="s">
        <v>2167</v>
      </c>
      <c r="F1163" s="103">
        <v>1.6667000000000001</v>
      </c>
      <c r="G1163" s="63">
        <f>VLOOKUP(D1163,upahbahan,3,FALSE)</f>
        <v>176000</v>
      </c>
      <c r="H1163" s="63">
        <f>F1163*G1163</f>
        <v>293339.2</v>
      </c>
      <c r="I1163" s="44"/>
    </row>
    <row r="1164" spans="3:13" s="59" customFormat="1" ht="24" customHeight="1">
      <c r="C1164" s="450" t="s">
        <v>1214</v>
      </c>
      <c r="D1164" s="67"/>
      <c r="E1164" s="67"/>
      <c r="F1164" s="67"/>
      <c r="G1164" s="69"/>
      <c r="H1164" s="63">
        <f>SUM(H1163:H1163)</f>
        <v>293339.2</v>
      </c>
      <c r="I1164" s="44"/>
    </row>
    <row r="1165" spans="3:13" s="59" customFormat="1" ht="24" customHeight="1">
      <c r="C1165" s="61" t="s">
        <v>1215</v>
      </c>
      <c r="D1165" s="56" t="s">
        <v>1216</v>
      </c>
      <c r="E1165" s="93"/>
      <c r="F1165" s="57"/>
      <c r="G1165" s="57"/>
      <c r="H1165" s="57"/>
      <c r="I1165" s="44"/>
    </row>
    <row r="1166" spans="3:13" s="59" customFormat="1" ht="24" customHeight="1">
      <c r="C1166" s="800"/>
      <c r="D1166" s="56" t="s">
        <v>4652</v>
      </c>
      <c r="E1166" s="93" t="s">
        <v>2396</v>
      </c>
      <c r="F1166" s="94">
        <v>6.54E-2</v>
      </c>
      <c r="G1166" s="63">
        <f>VLOOKUP(D1166,upahbahan,3,FALSE)</f>
        <v>480000</v>
      </c>
      <c r="H1166" s="63">
        <f>F1166*G1166</f>
        <v>31392</v>
      </c>
      <c r="I1166" s="44"/>
    </row>
    <row r="1167" spans="3:13" s="59" customFormat="1" ht="24" customHeight="1">
      <c r="C1167" s="450" t="s">
        <v>1217</v>
      </c>
      <c r="D1167" s="67"/>
      <c r="E1167" s="67"/>
      <c r="F1167" s="67"/>
      <c r="G1167" s="69"/>
      <c r="H1167" s="882">
        <f>SUM(H1165:H1166)</f>
        <v>31392</v>
      </c>
      <c r="I1167" s="44"/>
    </row>
    <row r="1168" spans="3:13" s="59" customFormat="1" ht="24" customHeight="1">
      <c r="C1168" s="288" t="s">
        <v>1218</v>
      </c>
      <c r="D1168" s="76" t="s">
        <v>1219</v>
      </c>
      <c r="E1168" s="77"/>
      <c r="F1168" s="77"/>
      <c r="G1168" s="78"/>
      <c r="H1168" s="585">
        <f>H1167+H1164+H1161</f>
        <v>340628.2</v>
      </c>
      <c r="I1168" s="369"/>
    </row>
    <row r="1169" spans="3:13" s="59" customFormat="1" ht="24" customHeight="1">
      <c r="C1169" s="288" t="s">
        <v>1220</v>
      </c>
      <c r="D1169" s="76" t="s">
        <v>1321</v>
      </c>
      <c r="E1169" s="77"/>
      <c r="F1169" s="78"/>
      <c r="G1169" s="80">
        <v>0.1</v>
      </c>
      <c r="H1169" s="63">
        <f>H1168*G1169</f>
        <v>34062.82</v>
      </c>
      <c r="I1169" s="369"/>
    </row>
    <row r="1170" spans="3:13" s="59" customFormat="1" ht="24" customHeight="1">
      <c r="C1170" s="288" t="s">
        <v>1221</v>
      </c>
      <c r="D1170" s="76" t="s">
        <v>1222</v>
      </c>
      <c r="E1170" s="77"/>
      <c r="F1170" s="77"/>
      <c r="G1170" s="78"/>
      <c r="H1170" s="799">
        <f>SUM(H1168:H1169)</f>
        <v>374691.02</v>
      </c>
      <c r="I1170" s="369"/>
    </row>
    <row r="1172" spans="3:13" s="59" customFormat="1" ht="24" customHeight="1">
      <c r="C1172" s="46" t="s">
        <v>4653</v>
      </c>
      <c r="D1172" s="1934" t="s">
        <v>4656</v>
      </c>
      <c r="E1172" s="1934"/>
      <c r="F1172" s="1934"/>
      <c r="G1172" s="1934"/>
      <c r="H1172" s="1934"/>
      <c r="I1172" s="50">
        <f>ROUNDDOWN(H1187,-2)</f>
        <v>489000</v>
      </c>
    </row>
    <row r="1173" spans="3:13" s="59" customFormat="1" ht="24" customHeight="1">
      <c r="C1173" s="591" t="s">
        <v>1195</v>
      </c>
      <c r="D1173" s="591" t="s">
        <v>1196</v>
      </c>
      <c r="E1173" s="591" t="s">
        <v>1197</v>
      </c>
      <c r="F1173" s="591" t="s">
        <v>1198</v>
      </c>
      <c r="G1173" s="591" t="s">
        <v>1199</v>
      </c>
      <c r="H1173" s="591" t="s">
        <v>1200</v>
      </c>
      <c r="I1173" s="44"/>
    </row>
    <row r="1174" spans="3:13" s="59" customFormat="1" ht="24" customHeight="1">
      <c r="C1174" s="61" t="s">
        <v>1201</v>
      </c>
      <c r="D1174" s="56" t="s">
        <v>1202</v>
      </c>
      <c r="E1174" s="57"/>
      <c r="F1174" s="57"/>
      <c r="G1174" s="57"/>
      <c r="H1174" s="57"/>
      <c r="I1174" s="44"/>
      <c r="J1174" s="152" t="s">
        <v>1247</v>
      </c>
    </row>
    <row r="1175" spans="3:13" s="59" customFormat="1" ht="24" customHeight="1">
      <c r="C1175" s="588">
        <v>1</v>
      </c>
      <c r="D1175" s="56" t="s">
        <v>5</v>
      </c>
      <c r="E1175" s="577" t="s">
        <v>1863</v>
      </c>
      <c r="F1175" s="101">
        <v>7.3200000000000001E-2</v>
      </c>
      <c r="G1175" s="63">
        <f>VLOOKUP(D1175,upahbahan,3,FALSE)</f>
        <v>100000</v>
      </c>
      <c r="H1175" s="63">
        <f>F1175*G1175</f>
        <v>7320</v>
      </c>
      <c r="I1175" s="44"/>
      <c r="J1175" s="152" t="s">
        <v>1248</v>
      </c>
      <c r="M1175" s="65">
        <v>0.1</v>
      </c>
    </row>
    <row r="1176" spans="3:13" s="59" customFormat="1" ht="24" customHeight="1">
      <c r="C1176" s="588">
        <v>2</v>
      </c>
      <c r="D1176" s="56" t="s">
        <v>2165</v>
      </c>
      <c r="E1176" s="577" t="s">
        <v>1863</v>
      </c>
      <c r="F1176" s="101">
        <v>7.3200000000000001E-2</v>
      </c>
      <c r="G1176" s="63">
        <f>VLOOKUP(D1176,upahbahan,3,FALSE)</f>
        <v>135000</v>
      </c>
      <c r="H1176" s="63">
        <f t="shared" ref="H1176:H1177" si="62">F1176*G1176</f>
        <v>9882</v>
      </c>
      <c r="I1176" s="44"/>
      <c r="J1176" s="152"/>
      <c r="M1176" s="65"/>
    </row>
    <row r="1177" spans="3:13" s="59" customFormat="1" ht="24" customHeight="1">
      <c r="C1177" s="588">
        <v>3</v>
      </c>
      <c r="D1177" s="56" t="s">
        <v>19</v>
      </c>
      <c r="E1177" s="577" t="s">
        <v>1863</v>
      </c>
      <c r="F1177" s="101">
        <v>3.7000000000000002E-3</v>
      </c>
      <c r="G1177" s="63">
        <f>VLOOKUP(D1177,upahbahan,3,FALSE)</f>
        <v>160000</v>
      </c>
      <c r="H1177" s="63">
        <f t="shared" si="62"/>
        <v>592</v>
      </c>
      <c r="I1177" s="44"/>
    </row>
    <row r="1178" spans="3:13" s="59" customFormat="1" ht="24" customHeight="1">
      <c r="C1178" s="450" t="s">
        <v>1208</v>
      </c>
      <c r="D1178" s="67"/>
      <c r="E1178" s="67"/>
      <c r="F1178" s="142"/>
      <c r="G1178" s="153"/>
      <c r="H1178" s="63">
        <f>SUM(H1175:H1177)</f>
        <v>17794</v>
      </c>
      <c r="I1178" s="154"/>
    </row>
    <row r="1179" spans="3:13" s="59" customFormat="1" ht="24" customHeight="1">
      <c r="C1179" s="61" t="s">
        <v>1209</v>
      </c>
      <c r="D1179" s="56" t="s">
        <v>1210</v>
      </c>
      <c r="E1179" s="57"/>
      <c r="F1179" s="57"/>
      <c r="G1179" s="57"/>
      <c r="H1179" s="57"/>
      <c r="I1179" s="44"/>
    </row>
    <row r="1180" spans="3:13" s="59" customFormat="1" ht="24" customHeight="1">
      <c r="C1180" s="61">
        <v>1</v>
      </c>
      <c r="D1180" s="56" t="s">
        <v>4654</v>
      </c>
      <c r="E1180" s="93" t="s">
        <v>2167</v>
      </c>
      <c r="F1180" s="103">
        <v>1.6667000000000001</v>
      </c>
      <c r="G1180" s="63">
        <f>VLOOKUP(D1180,upahbahan,3,FALSE)</f>
        <v>235000</v>
      </c>
      <c r="H1180" s="63">
        <f>F1180*G1180</f>
        <v>391674.5</v>
      </c>
      <c r="I1180" s="44"/>
    </row>
    <row r="1181" spans="3:13" s="59" customFormat="1" ht="24" customHeight="1">
      <c r="C1181" s="450" t="s">
        <v>1214</v>
      </c>
      <c r="D1181" s="67"/>
      <c r="E1181" s="67"/>
      <c r="F1181" s="67"/>
      <c r="G1181" s="69"/>
      <c r="H1181" s="63">
        <f>SUM(H1180:H1180)</f>
        <v>391674.5</v>
      </c>
      <c r="I1181" s="44"/>
    </row>
    <row r="1182" spans="3:13" s="59" customFormat="1" ht="24" customHeight="1">
      <c r="C1182" s="61" t="s">
        <v>1215</v>
      </c>
      <c r="D1182" s="56" t="s">
        <v>1216</v>
      </c>
      <c r="E1182" s="93"/>
      <c r="F1182" s="57"/>
      <c r="G1182" s="57"/>
      <c r="H1182" s="57"/>
      <c r="I1182" s="44"/>
    </row>
    <row r="1183" spans="3:13" s="59" customFormat="1" ht="24" customHeight="1">
      <c r="C1183" s="800"/>
      <c r="D1183" s="56" t="s">
        <v>4652</v>
      </c>
      <c r="E1183" s="93" t="s">
        <v>2396</v>
      </c>
      <c r="F1183" s="94">
        <v>7.3200000000000001E-2</v>
      </c>
      <c r="G1183" s="63">
        <f>VLOOKUP(D1183,upahbahan,3,FALSE)</f>
        <v>480000</v>
      </c>
      <c r="H1183" s="63">
        <f>F1183*G1183</f>
        <v>35136</v>
      </c>
      <c r="I1183" s="44"/>
    </row>
    <row r="1184" spans="3:13" s="59" customFormat="1" ht="24" customHeight="1">
      <c r="C1184" s="450" t="s">
        <v>1217</v>
      </c>
      <c r="D1184" s="67"/>
      <c r="E1184" s="67"/>
      <c r="F1184" s="67"/>
      <c r="G1184" s="69"/>
      <c r="H1184" s="882">
        <f>SUM(H1182:H1183)</f>
        <v>35136</v>
      </c>
      <c r="I1184" s="44"/>
    </row>
    <row r="1185" spans="3:13" s="59" customFormat="1" ht="24" customHeight="1">
      <c r="C1185" s="288" t="s">
        <v>1218</v>
      </c>
      <c r="D1185" s="76" t="s">
        <v>1219</v>
      </c>
      <c r="E1185" s="77"/>
      <c r="F1185" s="77"/>
      <c r="G1185" s="78"/>
      <c r="H1185" s="585">
        <f>H1184+H1181+H1178</f>
        <v>444604.5</v>
      </c>
      <c r="I1185" s="369"/>
    </row>
    <row r="1186" spans="3:13" s="59" customFormat="1" ht="24" customHeight="1">
      <c r="C1186" s="288" t="s">
        <v>1220</v>
      </c>
      <c r="D1186" s="76" t="s">
        <v>1321</v>
      </c>
      <c r="E1186" s="77"/>
      <c r="F1186" s="78"/>
      <c r="G1186" s="80">
        <v>0.1</v>
      </c>
      <c r="H1186" s="63">
        <f>H1185*G1186</f>
        <v>44460.450000000004</v>
      </c>
      <c r="I1186" s="369"/>
    </row>
    <row r="1187" spans="3:13" s="59" customFormat="1" ht="24" customHeight="1">
      <c r="C1187" s="288" t="s">
        <v>1221</v>
      </c>
      <c r="D1187" s="76" t="s">
        <v>1222</v>
      </c>
      <c r="E1187" s="77"/>
      <c r="F1187" s="77"/>
      <c r="G1187" s="78"/>
      <c r="H1187" s="799">
        <f>SUM(H1185:H1186)</f>
        <v>489064.95</v>
      </c>
      <c r="I1187" s="369"/>
    </row>
    <row r="1189" spans="3:13" s="59" customFormat="1" ht="24" customHeight="1">
      <c r="C1189" s="46" t="s">
        <v>4655</v>
      </c>
      <c r="D1189" s="1934" t="s">
        <v>4657</v>
      </c>
      <c r="E1189" s="1934"/>
      <c r="F1189" s="1934"/>
      <c r="G1189" s="1934"/>
      <c r="H1189" s="1934"/>
      <c r="I1189" s="50">
        <f>ROUNDDOWN(H1204,-2)</f>
        <v>754100</v>
      </c>
    </row>
    <row r="1190" spans="3:13" s="59" customFormat="1" ht="24" customHeight="1">
      <c r="C1190" s="591" t="s">
        <v>1195</v>
      </c>
      <c r="D1190" s="591" t="s">
        <v>1196</v>
      </c>
      <c r="E1190" s="591" t="s">
        <v>1197</v>
      </c>
      <c r="F1190" s="591" t="s">
        <v>1198</v>
      </c>
      <c r="G1190" s="591" t="s">
        <v>1199</v>
      </c>
      <c r="H1190" s="591" t="s">
        <v>1200</v>
      </c>
      <c r="I1190" s="44"/>
    </row>
    <row r="1191" spans="3:13" s="59" customFormat="1" ht="24" customHeight="1">
      <c r="C1191" s="61" t="s">
        <v>1201</v>
      </c>
      <c r="D1191" s="56" t="s">
        <v>1202</v>
      </c>
      <c r="E1191" s="57"/>
      <c r="F1191" s="57"/>
      <c r="G1191" s="57"/>
      <c r="H1191" s="57"/>
      <c r="I1191" s="44"/>
      <c r="J1191" s="152" t="s">
        <v>1247</v>
      </c>
    </row>
    <row r="1192" spans="3:13" s="59" customFormat="1" ht="24" customHeight="1">
      <c r="C1192" s="588">
        <v>1</v>
      </c>
      <c r="D1192" s="56" t="s">
        <v>5</v>
      </c>
      <c r="E1192" s="577" t="s">
        <v>1863</v>
      </c>
      <c r="F1192" s="101">
        <v>8.3799999999999999E-2</v>
      </c>
      <c r="G1192" s="63">
        <f>VLOOKUP(D1192,upahbahan,3,FALSE)</f>
        <v>100000</v>
      </c>
      <c r="H1192" s="63">
        <f>F1192*G1192</f>
        <v>8380</v>
      </c>
      <c r="I1192" s="44"/>
      <c r="J1192" s="152" t="s">
        <v>1248</v>
      </c>
      <c r="M1192" s="65">
        <v>0.1</v>
      </c>
    </row>
    <row r="1193" spans="3:13" s="59" customFormat="1" ht="24" customHeight="1">
      <c r="C1193" s="588">
        <v>2</v>
      </c>
      <c r="D1193" s="56" t="s">
        <v>2165</v>
      </c>
      <c r="E1193" s="577" t="s">
        <v>1863</v>
      </c>
      <c r="F1193" s="101">
        <v>8.3799999999999999E-2</v>
      </c>
      <c r="G1193" s="63">
        <f>VLOOKUP(D1193,upahbahan,3,FALSE)</f>
        <v>135000</v>
      </c>
      <c r="H1193" s="63">
        <f t="shared" ref="H1193:H1194" si="63">F1193*G1193</f>
        <v>11313</v>
      </c>
      <c r="I1193" s="44"/>
      <c r="J1193" s="152"/>
      <c r="M1193" s="65"/>
    </row>
    <row r="1194" spans="3:13" s="59" customFormat="1" ht="24" customHeight="1">
      <c r="C1194" s="588">
        <v>3</v>
      </c>
      <c r="D1194" s="56" t="s">
        <v>19</v>
      </c>
      <c r="E1194" s="577" t="s">
        <v>1863</v>
      </c>
      <c r="F1194" s="101">
        <v>4.1999999999999997E-3</v>
      </c>
      <c r="G1194" s="63">
        <f>VLOOKUP(D1194,upahbahan,3,FALSE)</f>
        <v>160000</v>
      </c>
      <c r="H1194" s="63">
        <f t="shared" si="63"/>
        <v>672</v>
      </c>
      <c r="I1194" s="44"/>
    </row>
    <row r="1195" spans="3:13" s="59" customFormat="1" ht="24" customHeight="1">
      <c r="C1195" s="450" t="s">
        <v>1208</v>
      </c>
      <c r="D1195" s="67"/>
      <c r="E1195" s="67"/>
      <c r="F1195" s="142"/>
      <c r="G1195" s="153"/>
      <c r="H1195" s="63">
        <f>SUM(H1192:H1194)</f>
        <v>20365</v>
      </c>
      <c r="I1195" s="154"/>
    </row>
    <row r="1196" spans="3:13" s="59" customFormat="1" ht="24" customHeight="1">
      <c r="C1196" s="61" t="s">
        <v>1209</v>
      </c>
      <c r="D1196" s="56" t="s">
        <v>1210</v>
      </c>
      <c r="E1196" s="57"/>
      <c r="F1196" s="57"/>
      <c r="G1196" s="57"/>
      <c r="H1196" s="57"/>
      <c r="I1196" s="44"/>
    </row>
    <row r="1197" spans="3:13" s="59" customFormat="1" ht="24" customHeight="1">
      <c r="C1197" s="61">
        <v>1</v>
      </c>
      <c r="D1197" s="56" t="s">
        <v>4658</v>
      </c>
      <c r="E1197" s="124" t="s">
        <v>2167</v>
      </c>
      <c r="F1197" s="125">
        <v>1.6667000000000001</v>
      </c>
      <c r="G1197" s="63">
        <f>VLOOKUP(D1197,upahbahan,3,FALSE)</f>
        <v>375000</v>
      </c>
      <c r="H1197" s="63">
        <f>F1197*G1197</f>
        <v>625012.5</v>
      </c>
      <c r="I1197" s="44"/>
    </row>
    <row r="1198" spans="3:13" s="59" customFormat="1" ht="24" customHeight="1">
      <c r="C1198" s="450" t="s">
        <v>1214</v>
      </c>
      <c r="D1198" s="67"/>
      <c r="E1198" s="67"/>
      <c r="F1198" s="67"/>
      <c r="G1198" s="69"/>
      <c r="H1198" s="63">
        <f>SUM(H1197:H1197)</f>
        <v>625012.5</v>
      </c>
      <c r="I1198" s="44"/>
    </row>
    <row r="1199" spans="3:13" s="59" customFormat="1" ht="24" customHeight="1">
      <c r="C1199" s="61" t="s">
        <v>1215</v>
      </c>
      <c r="D1199" s="56" t="s">
        <v>1216</v>
      </c>
      <c r="E1199" s="93"/>
      <c r="F1199" s="57"/>
      <c r="G1199" s="57"/>
      <c r="H1199" s="57"/>
      <c r="I1199" s="44"/>
    </row>
    <row r="1200" spans="3:13" s="59" customFormat="1" ht="24" customHeight="1">
      <c r="C1200" s="800"/>
      <c r="D1200" s="56" t="s">
        <v>4652</v>
      </c>
      <c r="E1200" s="93" t="s">
        <v>2396</v>
      </c>
      <c r="F1200" s="94">
        <v>8.3799999999999999E-2</v>
      </c>
      <c r="G1200" s="63">
        <f>VLOOKUP(D1200,upahbahan,3,FALSE)</f>
        <v>480000</v>
      </c>
      <c r="H1200" s="63">
        <f>F1200*G1200</f>
        <v>40224</v>
      </c>
      <c r="I1200" s="44"/>
    </row>
    <row r="1201" spans="3:13" s="59" customFormat="1" ht="24" customHeight="1">
      <c r="C1201" s="450" t="s">
        <v>1217</v>
      </c>
      <c r="D1201" s="67"/>
      <c r="E1201" s="67"/>
      <c r="F1201" s="67"/>
      <c r="G1201" s="69"/>
      <c r="H1201" s="882">
        <f>SUM(H1199:H1200)</f>
        <v>40224</v>
      </c>
      <c r="I1201" s="44"/>
    </row>
    <row r="1202" spans="3:13" s="59" customFormat="1" ht="24" customHeight="1">
      <c r="C1202" s="288" t="s">
        <v>1218</v>
      </c>
      <c r="D1202" s="76" t="s">
        <v>1219</v>
      </c>
      <c r="E1202" s="77"/>
      <c r="F1202" s="77"/>
      <c r="G1202" s="78"/>
      <c r="H1202" s="585">
        <f>H1201+H1198+H1195</f>
        <v>685601.5</v>
      </c>
      <c r="I1202" s="369"/>
    </row>
    <row r="1203" spans="3:13" s="59" customFormat="1" ht="24" customHeight="1">
      <c r="C1203" s="288" t="s">
        <v>1220</v>
      </c>
      <c r="D1203" s="76" t="s">
        <v>1321</v>
      </c>
      <c r="E1203" s="77"/>
      <c r="F1203" s="78"/>
      <c r="G1203" s="80">
        <v>0.1</v>
      </c>
      <c r="H1203" s="63">
        <f>H1202*G1203</f>
        <v>68560.150000000009</v>
      </c>
      <c r="I1203" s="369"/>
    </row>
    <row r="1204" spans="3:13" s="59" customFormat="1" ht="24" customHeight="1">
      <c r="C1204" s="288" t="s">
        <v>1221</v>
      </c>
      <c r="D1204" s="76" t="s">
        <v>1222</v>
      </c>
      <c r="E1204" s="77"/>
      <c r="F1204" s="77"/>
      <c r="G1204" s="78"/>
      <c r="H1204" s="799">
        <f>SUM(H1202:H1203)</f>
        <v>754161.65</v>
      </c>
      <c r="I1204" s="369"/>
    </row>
    <row r="1206" spans="3:13" s="59" customFormat="1" ht="24" customHeight="1">
      <c r="C1206" s="46" t="s">
        <v>4659</v>
      </c>
      <c r="D1206" s="1934" t="s">
        <v>4660</v>
      </c>
      <c r="E1206" s="1934"/>
      <c r="F1206" s="1934"/>
      <c r="G1206" s="1934"/>
      <c r="H1206" s="1934"/>
      <c r="I1206" s="50">
        <f>ROUNDDOWN(H1222,-2)</f>
        <v>95100</v>
      </c>
    </row>
    <row r="1207" spans="3:13" s="59" customFormat="1" ht="24" customHeight="1">
      <c r="C1207" s="591" t="s">
        <v>1195</v>
      </c>
      <c r="D1207" s="591" t="s">
        <v>1196</v>
      </c>
      <c r="E1207" s="591" t="s">
        <v>1197</v>
      </c>
      <c r="F1207" s="591" t="s">
        <v>1198</v>
      </c>
      <c r="G1207" s="591" t="s">
        <v>1199</v>
      </c>
      <c r="H1207" s="591" t="s">
        <v>1200</v>
      </c>
      <c r="I1207" s="44"/>
    </row>
    <row r="1208" spans="3:13" s="59" customFormat="1" ht="24" customHeight="1">
      <c r="C1208" s="61" t="s">
        <v>1201</v>
      </c>
      <c r="D1208" s="56" t="s">
        <v>1202</v>
      </c>
      <c r="E1208" s="57"/>
      <c r="F1208" s="57"/>
      <c r="G1208" s="57"/>
      <c r="H1208" s="57"/>
      <c r="I1208" s="44"/>
      <c r="J1208" s="152" t="s">
        <v>1247</v>
      </c>
    </row>
    <row r="1209" spans="3:13" s="59" customFormat="1" ht="24" customHeight="1">
      <c r="C1209" s="588">
        <v>1</v>
      </c>
      <c r="D1209" s="56" t="s">
        <v>5</v>
      </c>
      <c r="E1209" s="577" t="s">
        <v>6</v>
      </c>
      <c r="F1209" s="101">
        <v>0.33900000000000002</v>
      </c>
      <c r="G1209" s="63">
        <f>VLOOKUP(D1209,upahbahan,3,FALSE)</f>
        <v>100000</v>
      </c>
      <c r="H1209" s="63">
        <f>F1209*G1209</f>
        <v>33900</v>
      </c>
      <c r="I1209" s="44"/>
      <c r="J1209" s="152" t="s">
        <v>1248</v>
      </c>
      <c r="M1209" s="65">
        <v>0.1</v>
      </c>
    </row>
    <row r="1210" spans="3:13" s="59" customFormat="1" ht="24" customHeight="1">
      <c r="C1210" s="588">
        <v>2</v>
      </c>
      <c r="D1210" s="56" t="s">
        <v>2165</v>
      </c>
      <c r="E1210" s="577" t="s">
        <v>6</v>
      </c>
      <c r="F1210" s="101">
        <v>0.33900000000000002</v>
      </c>
      <c r="G1210" s="63">
        <f>VLOOKUP(D1210,upahbahan,3,FALSE)</f>
        <v>135000</v>
      </c>
      <c r="H1210" s="63">
        <f t="shared" ref="H1210:H1212" si="64">F1210*G1210</f>
        <v>45765</v>
      </c>
      <c r="I1210" s="44"/>
      <c r="J1210" s="152"/>
      <c r="M1210" s="65"/>
    </row>
    <row r="1211" spans="3:13" s="59" customFormat="1" ht="24" customHeight="1">
      <c r="C1211" s="588">
        <v>3</v>
      </c>
      <c r="D1211" s="56" t="s">
        <v>1310</v>
      </c>
      <c r="E1211" s="577" t="s">
        <v>6</v>
      </c>
      <c r="F1211" s="101">
        <v>3.4000000000000002E-2</v>
      </c>
      <c r="G1211" s="63">
        <f>VLOOKUP(D1211,upahbahan,3,FALSE)</f>
        <v>150000</v>
      </c>
      <c r="H1211" s="63">
        <f t="shared" si="64"/>
        <v>5100</v>
      </c>
      <c r="I1211" s="44"/>
      <c r="J1211" s="152"/>
      <c r="M1211" s="65"/>
    </row>
    <row r="1212" spans="3:13" s="59" customFormat="1" ht="24" customHeight="1">
      <c r="C1212" s="588">
        <v>4</v>
      </c>
      <c r="D1212" s="56" t="s">
        <v>19</v>
      </c>
      <c r="E1212" s="577" t="s">
        <v>6</v>
      </c>
      <c r="F1212" s="101">
        <v>1.0999999999999999E-2</v>
      </c>
      <c r="G1212" s="63">
        <f>VLOOKUP(D1212,upahbahan,3,FALSE)</f>
        <v>160000</v>
      </c>
      <c r="H1212" s="63">
        <f t="shared" si="64"/>
        <v>1760</v>
      </c>
      <c r="I1212" s="44"/>
    </row>
    <row r="1213" spans="3:13" s="59" customFormat="1" ht="24" customHeight="1">
      <c r="C1213" s="450" t="s">
        <v>1208</v>
      </c>
      <c r="D1213" s="67"/>
      <c r="E1213" s="67"/>
      <c r="F1213" s="142"/>
      <c r="G1213" s="153"/>
      <c r="H1213" s="63">
        <f>SUM(H1209:H1212)</f>
        <v>86525</v>
      </c>
      <c r="I1213" s="154"/>
    </row>
    <row r="1214" spans="3:13" s="59" customFormat="1" ht="24" customHeight="1">
      <c r="C1214" s="61" t="s">
        <v>1209</v>
      </c>
      <c r="D1214" s="56" t="s">
        <v>1210</v>
      </c>
      <c r="E1214" s="57"/>
      <c r="F1214" s="57"/>
      <c r="G1214" s="57"/>
      <c r="H1214" s="57"/>
      <c r="I1214" s="44"/>
    </row>
    <row r="1215" spans="3:13" s="59" customFormat="1" ht="24" customHeight="1">
      <c r="C1215" s="61">
        <v>1</v>
      </c>
      <c r="D1215" s="56" t="s">
        <v>4661</v>
      </c>
      <c r="E1215" s="93" t="s">
        <v>1300</v>
      </c>
      <c r="F1215" s="104">
        <v>10</v>
      </c>
      <c r="G1215" s="63">
        <f>VLOOKUP(D1215,upahbahan,3,FALSE)</f>
        <v>0</v>
      </c>
      <c r="H1215" s="63">
        <f>F1215*G1215</f>
        <v>0</v>
      </c>
      <c r="I1215" s="44"/>
    </row>
    <row r="1216" spans="3:13" s="59" customFormat="1" ht="24" customHeight="1">
      <c r="C1216" s="61">
        <v>2</v>
      </c>
      <c r="D1216" s="56" t="s">
        <v>4662</v>
      </c>
      <c r="E1216" s="93" t="s">
        <v>1300</v>
      </c>
      <c r="F1216" s="103">
        <v>2.6</v>
      </c>
      <c r="G1216" s="63">
        <f>VLOOKUP(D1216,upahbahan,3,FALSE)</f>
        <v>0</v>
      </c>
      <c r="H1216" s="63">
        <f t="shared" ref="H1216" si="65">F1216*G1216</f>
        <v>0</v>
      </c>
      <c r="I1216" s="44"/>
    </row>
    <row r="1217" spans="3:13" s="59" customFormat="1" ht="24" customHeight="1">
      <c r="C1217" s="450" t="s">
        <v>1214</v>
      </c>
      <c r="D1217" s="67"/>
      <c r="E1217" s="67"/>
      <c r="F1217" s="67"/>
      <c r="G1217" s="69"/>
      <c r="H1217" s="63">
        <f>SUM(H1215:H1216)</f>
        <v>0</v>
      </c>
      <c r="I1217" s="44"/>
    </row>
    <row r="1218" spans="3:13" s="59" customFormat="1" ht="24" customHeight="1">
      <c r="C1218" s="61" t="s">
        <v>1215</v>
      </c>
      <c r="D1218" s="56" t="s">
        <v>1216</v>
      </c>
      <c r="E1218" s="93"/>
      <c r="F1218" s="57"/>
      <c r="G1218" s="57"/>
      <c r="H1218" s="57"/>
      <c r="I1218" s="44"/>
    </row>
    <row r="1219" spans="3:13" s="59" customFormat="1" ht="24" customHeight="1">
      <c r="C1219" s="450" t="s">
        <v>1217</v>
      </c>
      <c r="D1219" s="67"/>
      <c r="E1219" s="67"/>
      <c r="F1219" s="67"/>
      <c r="G1219" s="69"/>
      <c r="H1219" s="882">
        <f>SUM(H1218:H1218)</f>
        <v>0</v>
      </c>
      <c r="I1219" s="44"/>
    </row>
    <row r="1220" spans="3:13" s="59" customFormat="1" ht="24" customHeight="1">
      <c r="C1220" s="288" t="s">
        <v>1218</v>
      </c>
      <c r="D1220" s="76" t="s">
        <v>1219</v>
      </c>
      <c r="E1220" s="77"/>
      <c r="F1220" s="77"/>
      <c r="G1220" s="78"/>
      <c r="H1220" s="585">
        <f>H1219+H1217+H1213</f>
        <v>86525</v>
      </c>
      <c r="I1220" s="369"/>
    </row>
    <row r="1221" spans="3:13" s="59" customFormat="1" ht="24" customHeight="1">
      <c r="C1221" s="288" t="s">
        <v>1220</v>
      </c>
      <c r="D1221" s="76" t="s">
        <v>1321</v>
      </c>
      <c r="E1221" s="77"/>
      <c r="F1221" s="78"/>
      <c r="G1221" s="80">
        <v>0.1</v>
      </c>
      <c r="H1221" s="63">
        <f>H1220*G1221</f>
        <v>8652.5</v>
      </c>
      <c r="I1221" s="369"/>
    </row>
    <row r="1222" spans="3:13" s="59" customFormat="1" ht="24" customHeight="1">
      <c r="C1222" s="288" t="s">
        <v>1221</v>
      </c>
      <c r="D1222" s="76" t="s">
        <v>1222</v>
      </c>
      <c r="E1222" s="77"/>
      <c r="F1222" s="77"/>
      <c r="G1222" s="78"/>
      <c r="H1222" s="799">
        <f>SUM(H1220:H1221)</f>
        <v>95177.5</v>
      </c>
      <c r="I1222" s="369"/>
    </row>
    <row r="1224" spans="3:13" ht="24" customHeight="1">
      <c r="C1224" s="43" t="s">
        <v>4663</v>
      </c>
      <c r="D1224" s="128" t="s">
        <v>4664</v>
      </c>
    </row>
    <row r="1225" spans="3:13" s="59" customFormat="1" ht="24" customHeight="1">
      <c r="C1225" s="46" t="s">
        <v>4665</v>
      </c>
      <c r="D1225" s="1934" t="s">
        <v>4666</v>
      </c>
      <c r="E1225" s="1934"/>
      <c r="F1225" s="1934"/>
      <c r="G1225" s="1934"/>
      <c r="H1225" s="1934"/>
      <c r="I1225" s="50">
        <f>ROUNDDOWN(H1242,-2)</f>
        <v>118500</v>
      </c>
    </row>
    <row r="1226" spans="3:13" s="59" customFormat="1" ht="24" customHeight="1">
      <c r="C1226" s="591" t="s">
        <v>1195</v>
      </c>
      <c r="D1226" s="591" t="s">
        <v>1196</v>
      </c>
      <c r="E1226" s="591" t="s">
        <v>1197</v>
      </c>
      <c r="F1226" s="591" t="s">
        <v>1198</v>
      </c>
      <c r="G1226" s="591" t="s">
        <v>1199</v>
      </c>
      <c r="H1226" s="591" t="s">
        <v>1200</v>
      </c>
      <c r="I1226" s="44"/>
    </row>
    <row r="1227" spans="3:13" s="59" customFormat="1" ht="24" customHeight="1">
      <c r="C1227" s="61" t="s">
        <v>1201</v>
      </c>
      <c r="D1227" s="56" t="s">
        <v>1202</v>
      </c>
      <c r="E1227" s="57"/>
      <c r="F1227" s="57"/>
      <c r="G1227" s="57"/>
      <c r="H1227" s="57"/>
      <c r="I1227" s="44"/>
      <c r="J1227" s="152" t="s">
        <v>1247</v>
      </c>
    </row>
    <row r="1228" spans="3:13" s="59" customFormat="1" ht="24" customHeight="1">
      <c r="C1228" s="588">
        <v>1</v>
      </c>
      <c r="D1228" s="56" t="s">
        <v>5</v>
      </c>
      <c r="E1228" s="577" t="s">
        <v>6</v>
      </c>
      <c r="F1228" s="101">
        <v>1.9E-2</v>
      </c>
      <c r="G1228" s="63">
        <f>VLOOKUP(D1228,upahbahan,3,FALSE)</f>
        <v>100000</v>
      </c>
      <c r="H1228" s="63">
        <f>F1228*G1228</f>
        <v>1900</v>
      </c>
      <c r="I1228" s="44"/>
      <c r="J1228" s="152" t="s">
        <v>1248</v>
      </c>
      <c r="M1228" s="65">
        <v>0.1</v>
      </c>
    </row>
    <row r="1229" spans="3:13" s="59" customFormat="1" ht="24" customHeight="1">
      <c r="C1229" s="588">
        <v>2</v>
      </c>
      <c r="D1229" s="56" t="s">
        <v>2165</v>
      </c>
      <c r="E1229" s="577" t="s">
        <v>6</v>
      </c>
      <c r="F1229" s="101">
        <v>1.9E-2</v>
      </c>
      <c r="G1229" s="63">
        <f>VLOOKUP(D1229,upahbahan,3,FALSE)</f>
        <v>135000</v>
      </c>
      <c r="H1229" s="63">
        <f t="shared" ref="H1229:H1230" si="66">F1229*G1229</f>
        <v>2565</v>
      </c>
      <c r="I1229" s="44"/>
      <c r="J1229" s="152"/>
      <c r="M1229" s="65"/>
    </row>
    <row r="1230" spans="3:13" s="59" customFormat="1" ht="24" customHeight="1">
      <c r="C1230" s="588">
        <v>3</v>
      </c>
      <c r="D1230" s="56" t="s">
        <v>19</v>
      </c>
      <c r="E1230" s="577" t="s">
        <v>6</v>
      </c>
      <c r="F1230" s="101">
        <v>1E-3</v>
      </c>
      <c r="G1230" s="63">
        <f>VLOOKUP(D1230,upahbahan,3,FALSE)</f>
        <v>160000</v>
      </c>
      <c r="H1230" s="63">
        <f t="shared" si="66"/>
        <v>160</v>
      </c>
      <c r="I1230" s="44"/>
    </row>
    <row r="1231" spans="3:13" s="59" customFormat="1" ht="24" customHeight="1">
      <c r="C1231" s="450" t="s">
        <v>1208</v>
      </c>
      <c r="D1231" s="67"/>
      <c r="E1231" s="67"/>
      <c r="F1231" s="142"/>
      <c r="G1231" s="153"/>
      <c r="H1231" s="63">
        <f>SUM(H1228:H1230)</f>
        <v>4625</v>
      </c>
      <c r="I1231" s="154"/>
    </row>
    <row r="1232" spans="3:13" s="59" customFormat="1" ht="24" customHeight="1">
      <c r="C1232" s="61" t="s">
        <v>1209</v>
      </c>
      <c r="D1232" s="56" t="s">
        <v>1210</v>
      </c>
      <c r="E1232" s="57"/>
      <c r="F1232" s="57"/>
      <c r="G1232" s="57"/>
      <c r="H1232" s="57"/>
      <c r="I1232" s="44"/>
    </row>
    <row r="1233" spans="3:13" s="59" customFormat="1" ht="24" customHeight="1">
      <c r="C1233" s="61">
        <v>1</v>
      </c>
      <c r="D1233" s="56" t="s">
        <v>4574</v>
      </c>
      <c r="E1233" s="93" t="s">
        <v>42</v>
      </c>
      <c r="F1233" s="103">
        <v>0.01</v>
      </c>
      <c r="G1233" s="63">
        <f>VLOOKUP(D1233,upahbahan,3,FALSE)</f>
        <v>928000</v>
      </c>
      <c r="H1233" s="63">
        <f>F1233*G1233</f>
        <v>9280</v>
      </c>
      <c r="I1233" s="44"/>
    </row>
    <row r="1234" spans="3:13" s="59" customFormat="1" ht="24" customHeight="1">
      <c r="C1234" s="61">
        <v>2</v>
      </c>
      <c r="D1234" s="56" t="s">
        <v>4488</v>
      </c>
      <c r="E1234" s="93" t="s">
        <v>42</v>
      </c>
      <c r="F1234" s="103">
        <v>0.01</v>
      </c>
      <c r="G1234" s="63">
        <f>VLOOKUP(D1234,upahbahan,3,FALSE)</f>
        <v>0</v>
      </c>
      <c r="H1234" s="63">
        <f>F1234*G1234</f>
        <v>0</v>
      </c>
      <c r="I1234" s="44"/>
    </row>
    <row r="1235" spans="3:13" s="59" customFormat="1" ht="24" customHeight="1">
      <c r="C1235" s="61">
        <v>3</v>
      </c>
      <c r="D1235" s="56" t="s">
        <v>4667</v>
      </c>
      <c r="E1235" s="124" t="s">
        <v>62</v>
      </c>
      <c r="F1235" s="125">
        <v>1.5599999999999999E-2</v>
      </c>
      <c r="G1235" s="283">
        <v>56784.2</v>
      </c>
      <c r="H1235" s="283">
        <f>F1235*G1235</f>
        <v>885.83351999999991</v>
      </c>
      <c r="I1235" s="44"/>
    </row>
    <row r="1236" spans="3:13" s="59" customFormat="1" ht="24" customHeight="1">
      <c r="C1236" s="61">
        <v>4</v>
      </c>
      <c r="D1236" s="56" t="s">
        <v>4694</v>
      </c>
      <c r="E1236" s="93" t="s">
        <v>2167</v>
      </c>
      <c r="F1236" s="104">
        <v>1</v>
      </c>
      <c r="G1236" s="63">
        <f>VLOOKUP(D1236,upahbahan,3,FALSE)</f>
        <v>93000</v>
      </c>
      <c r="H1236" s="63">
        <f>F1236*G1236</f>
        <v>93000</v>
      </c>
      <c r="I1236" s="44"/>
    </row>
    <row r="1237" spans="3:13" s="59" customFormat="1" ht="24" customHeight="1">
      <c r="C1237" s="450" t="s">
        <v>1214</v>
      </c>
      <c r="D1237" s="67"/>
      <c r="E1237" s="67"/>
      <c r="F1237" s="67"/>
      <c r="G1237" s="69"/>
      <c r="H1237" s="63">
        <f>SUM(H1233:H1236)</f>
        <v>103165.83352</v>
      </c>
      <c r="I1237" s="44"/>
    </row>
    <row r="1238" spans="3:13" s="59" customFormat="1" ht="24" customHeight="1">
      <c r="C1238" s="61" t="s">
        <v>1215</v>
      </c>
      <c r="D1238" s="56" t="s">
        <v>1216</v>
      </c>
      <c r="E1238" s="93"/>
      <c r="F1238" s="57"/>
      <c r="G1238" s="57"/>
      <c r="H1238" s="57"/>
      <c r="I1238" s="44"/>
    </row>
    <row r="1239" spans="3:13" s="59" customFormat="1" ht="24" customHeight="1">
      <c r="C1239" s="450" t="s">
        <v>1217</v>
      </c>
      <c r="D1239" s="67"/>
      <c r="E1239" s="67"/>
      <c r="F1239" s="67"/>
      <c r="G1239" s="69"/>
      <c r="H1239" s="882">
        <f>SUM(H1238:H1238)</f>
        <v>0</v>
      </c>
      <c r="I1239" s="44"/>
    </row>
    <row r="1240" spans="3:13" s="59" customFormat="1" ht="24" customHeight="1">
      <c r="C1240" s="288" t="s">
        <v>1218</v>
      </c>
      <c r="D1240" s="76" t="s">
        <v>1219</v>
      </c>
      <c r="E1240" s="77"/>
      <c r="F1240" s="77"/>
      <c r="G1240" s="78"/>
      <c r="H1240" s="585">
        <f>H1239+H1237+H1231</f>
        <v>107790.83352</v>
      </c>
      <c r="I1240" s="369"/>
    </row>
    <row r="1241" spans="3:13" s="59" customFormat="1" ht="24" customHeight="1">
      <c r="C1241" s="288" t="s">
        <v>1220</v>
      </c>
      <c r="D1241" s="76" t="s">
        <v>1321</v>
      </c>
      <c r="E1241" s="77"/>
      <c r="F1241" s="78"/>
      <c r="G1241" s="80">
        <v>0.1</v>
      </c>
      <c r="H1241" s="63">
        <f>H1240*G1241</f>
        <v>10779.083352000001</v>
      </c>
      <c r="I1241" s="369"/>
    </row>
    <row r="1242" spans="3:13" s="59" customFormat="1" ht="24" customHeight="1">
      <c r="C1242" s="288" t="s">
        <v>1221</v>
      </c>
      <c r="D1242" s="76" t="s">
        <v>1222</v>
      </c>
      <c r="E1242" s="77"/>
      <c r="F1242" s="77"/>
      <c r="G1242" s="78"/>
      <c r="H1242" s="799">
        <f>SUM(H1240:H1241)</f>
        <v>118569.916872</v>
      </c>
      <c r="I1242" s="369"/>
    </row>
    <row r="1245" spans="3:13" s="59" customFormat="1" ht="24" customHeight="1">
      <c r="C1245" s="46" t="s">
        <v>4668</v>
      </c>
      <c r="D1245" s="1934" t="s">
        <v>4669</v>
      </c>
      <c r="E1245" s="1934"/>
      <c r="F1245" s="1934"/>
      <c r="G1245" s="1934"/>
      <c r="H1245" s="1934"/>
      <c r="I1245" s="50">
        <f>ROUNDDOWN(H1262,-2)</f>
        <v>143500</v>
      </c>
    </row>
    <row r="1246" spans="3:13" s="59" customFormat="1" ht="24" customHeight="1">
      <c r="C1246" s="591" t="s">
        <v>1195</v>
      </c>
      <c r="D1246" s="591" t="s">
        <v>1196</v>
      </c>
      <c r="E1246" s="591" t="s">
        <v>1197</v>
      </c>
      <c r="F1246" s="591" t="s">
        <v>1198</v>
      </c>
      <c r="G1246" s="591" t="s">
        <v>1199</v>
      </c>
      <c r="H1246" s="591" t="s">
        <v>1200</v>
      </c>
      <c r="I1246" s="44"/>
    </row>
    <row r="1247" spans="3:13" s="59" customFormat="1" ht="24" customHeight="1">
      <c r="C1247" s="61" t="s">
        <v>1201</v>
      </c>
      <c r="D1247" s="56" t="s">
        <v>1202</v>
      </c>
      <c r="E1247" s="57"/>
      <c r="F1247" s="57"/>
      <c r="G1247" s="57"/>
      <c r="H1247" s="57"/>
      <c r="I1247" s="44"/>
      <c r="J1247" s="152" t="s">
        <v>1247</v>
      </c>
    </row>
    <row r="1248" spans="3:13" s="59" customFormat="1" ht="24" customHeight="1">
      <c r="C1248" s="588">
        <v>1</v>
      </c>
      <c r="D1248" s="56" t="s">
        <v>5</v>
      </c>
      <c r="E1248" s="577" t="s">
        <v>6</v>
      </c>
      <c r="F1248" s="101">
        <v>2.1399999999999999E-2</v>
      </c>
      <c r="G1248" s="63">
        <f>VLOOKUP(D1248,upahbahan,3,FALSE)</f>
        <v>100000</v>
      </c>
      <c r="H1248" s="63">
        <f>F1248*G1248</f>
        <v>2140</v>
      </c>
      <c r="I1248" s="44"/>
      <c r="J1248" s="152" t="s">
        <v>1248</v>
      </c>
      <c r="M1248" s="65">
        <v>0.1</v>
      </c>
    </row>
    <row r="1249" spans="3:13" s="59" customFormat="1" ht="24" customHeight="1">
      <c r="C1249" s="588">
        <v>2</v>
      </c>
      <c r="D1249" s="56" t="s">
        <v>2165</v>
      </c>
      <c r="E1249" s="577" t="s">
        <v>6</v>
      </c>
      <c r="F1249" s="101">
        <v>2.1399999999999999E-2</v>
      </c>
      <c r="G1249" s="63">
        <f>VLOOKUP(D1249,upahbahan,3,FALSE)</f>
        <v>135000</v>
      </c>
      <c r="H1249" s="63">
        <f t="shared" ref="H1249:H1250" si="67">F1249*G1249</f>
        <v>2889</v>
      </c>
      <c r="I1249" s="44"/>
      <c r="J1249" s="152"/>
      <c r="M1249" s="65"/>
    </row>
    <row r="1250" spans="3:13" s="59" customFormat="1" ht="24" customHeight="1">
      <c r="C1250" s="588">
        <v>3</v>
      </c>
      <c r="D1250" s="56" t="s">
        <v>19</v>
      </c>
      <c r="E1250" s="577" t="s">
        <v>6</v>
      </c>
      <c r="F1250" s="101">
        <v>1.1000000000000001E-3</v>
      </c>
      <c r="G1250" s="63">
        <f>VLOOKUP(D1250,upahbahan,3,FALSE)</f>
        <v>160000</v>
      </c>
      <c r="H1250" s="63">
        <f t="shared" si="67"/>
        <v>176</v>
      </c>
      <c r="I1250" s="44"/>
    </row>
    <row r="1251" spans="3:13" s="59" customFormat="1" ht="24" customHeight="1">
      <c r="C1251" s="450" t="s">
        <v>1208</v>
      </c>
      <c r="D1251" s="67"/>
      <c r="E1251" s="67"/>
      <c r="F1251" s="142"/>
      <c r="G1251" s="153"/>
      <c r="H1251" s="63">
        <f>SUM(H1248:H1250)</f>
        <v>5205</v>
      </c>
      <c r="I1251" s="154"/>
    </row>
    <row r="1252" spans="3:13" s="59" customFormat="1" ht="24" customHeight="1">
      <c r="C1252" s="61" t="s">
        <v>1209</v>
      </c>
      <c r="D1252" s="56" t="s">
        <v>1210</v>
      </c>
      <c r="E1252" s="57"/>
      <c r="F1252" s="57"/>
      <c r="G1252" s="57"/>
      <c r="H1252" s="57"/>
      <c r="I1252" s="44"/>
    </row>
    <row r="1253" spans="3:13" s="59" customFormat="1" ht="24" customHeight="1">
      <c r="C1253" s="61">
        <v>1</v>
      </c>
      <c r="D1253" s="56" t="s">
        <v>4574</v>
      </c>
      <c r="E1253" s="93" t="s">
        <v>42</v>
      </c>
      <c r="F1253" s="103">
        <v>1.4999999999999999E-2</v>
      </c>
      <c r="G1253" s="63">
        <f>VLOOKUP(D1253,upahbahan,3,FALSE)</f>
        <v>928000</v>
      </c>
      <c r="H1253" s="63">
        <f>F1253*G1253</f>
        <v>13920</v>
      </c>
      <c r="I1253" s="44"/>
    </row>
    <row r="1254" spans="3:13" s="59" customFormat="1" ht="24" customHeight="1">
      <c r="C1254" s="61">
        <v>2</v>
      </c>
      <c r="D1254" s="56" t="s">
        <v>4488</v>
      </c>
      <c r="E1254" s="93" t="s">
        <v>42</v>
      </c>
      <c r="F1254" s="103">
        <v>1.4999999999999999E-2</v>
      </c>
      <c r="G1254" s="63">
        <f>VLOOKUP(D1254,upahbahan,3,FALSE)</f>
        <v>0</v>
      </c>
      <c r="H1254" s="63">
        <f>F1254*G1254</f>
        <v>0</v>
      </c>
      <c r="I1254" s="44"/>
    </row>
    <row r="1255" spans="3:13" s="59" customFormat="1" ht="24" customHeight="1">
      <c r="C1255" s="61">
        <v>3</v>
      </c>
      <c r="D1255" s="56" t="s">
        <v>4667</v>
      </c>
      <c r="E1255" s="124" t="s">
        <v>62</v>
      </c>
      <c r="F1255" s="125">
        <v>2.0299999999999999E-2</v>
      </c>
      <c r="G1255" s="283">
        <v>56784.2</v>
      </c>
      <c r="H1255" s="283">
        <f>F1255*G1255</f>
        <v>1152.7192599999998</v>
      </c>
      <c r="I1255" s="44"/>
    </row>
    <row r="1256" spans="3:13" s="59" customFormat="1" ht="24" customHeight="1">
      <c r="C1256" s="61">
        <v>4</v>
      </c>
      <c r="D1256" s="56" t="s">
        <v>4695</v>
      </c>
      <c r="E1256" s="93" t="s">
        <v>2167</v>
      </c>
      <c r="F1256" s="104">
        <v>1</v>
      </c>
      <c r="G1256" s="63">
        <f>VLOOKUP(D1256,upahbahan,3,FALSE)</f>
        <v>110250</v>
      </c>
      <c r="H1256" s="63">
        <f>F1256*G1256</f>
        <v>110250</v>
      </c>
      <c r="I1256" s="44"/>
    </row>
    <row r="1257" spans="3:13" s="59" customFormat="1" ht="24" customHeight="1">
      <c r="C1257" s="450" t="s">
        <v>1214</v>
      </c>
      <c r="D1257" s="67"/>
      <c r="E1257" s="67"/>
      <c r="F1257" s="67"/>
      <c r="G1257" s="69"/>
      <c r="H1257" s="63">
        <f>SUM(H1253:H1256)</f>
        <v>125322.71926</v>
      </c>
      <c r="I1257" s="44"/>
    </row>
    <row r="1258" spans="3:13" s="59" customFormat="1" ht="24" customHeight="1">
      <c r="C1258" s="61" t="s">
        <v>1215</v>
      </c>
      <c r="D1258" s="56" t="s">
        <v>1216</v>
      </c>
      <c r="E1258" s="93"/>
      <c r="F1258" s="57"/>
      <c r="G1258" s="57"/>
      <c r="H1258" s="57"/>
      <c r="I1258" s="44"/>
    </row>
    <row r="1259" spans="3:13" s="59" customFormat="1" ht="24" customHeight="1">
      <c r="C1259" s="450" t="s">
        <v>1217</v>
      </c>
      <c r="D1259" s="67"/>
      <c r="E1259" s="67"/>
      <c r="F1259" s="67"/>
      <c r="G1259" s="69"/>
      <c r="H1259" s="882">
        <f>SUM(H1258:H1258)</f>
        <v>0</v>
      </c>
      <c r="I1259" s="44"/>
    </row>
    <row r="1260" spans="3:13" s="59" customFormat="1" ht="24" customHeight="1">
      <c r="C1260" s="288" t="s">
        <v>1218</v>
      </c>
      <c r="D1260" s="76" t="s">
        <v>1219</v>
      </c>
      <c r="E1260" s="77"/>
      <c r="F1260" s="77"/>
      <c r="G1260" s="78"/>
      <c r="H1260" s="585">
        <f>H1259+H1257+H1251</f>
        <v>130527.71926</v>
      </c>
      <c r="I1260" s="369"/>
    </row>
    <row r="1261" spans="3:13" s="59" customFormat="1" ht="24" customHeight="1">
      <c r="C1261" s="288" t="s">
        <v>1220</v>
      </c>
      <c r="D1261" s="76" t="s">
        <v>1321</v>
      </c>
      <c r="E1261" s="77"/>
      <c r="F1261" s="78"/>
      <c r="G1261" s="80">
        <v>0.1</v>
      </c>
      <c r="H1261" s="63">
        <f>H1260*G1261</f>
        <v>13052.771926000001</v>
      </c>
      <c r="I1261" s="369"/>
    </row>
    <row r="1262" spans="3:13" s="59" customFormat="1" ht="24" customHeight="1">
      <c r="C1262" s="288" t="s">
        <v>1221</v>
      </c>
      <c r="D1262" s="76" t="s">
        <v>1222</v>
      </c>
      <c r="E1262" s="77"/>
      <c r="F1262" s="77"/>
      <c r="G1262" s="78"/>
      <c r="H1262" s="799">
        <f>SUM(H1260:H1261)</f>
        <v>143580.491186</v>
      </c>
      <c r="I1262" s="369"/>
    </row>
    <row r="1265" spans="3:13" s="59" customFormat="1" ht="13.8">
      <c r="C1265" s="46" t="s">
        <v>4670</v>
      </c>
      <c r="D1265" s="1934" t="s">
        <v>4671</v>
      </c>
      <c r="E1265" s="1934"/>
      <c r="F1265" s="1934"/>
      <c r="G1265" s="1934"/>
      <c r="H1265" s="1934"/>
      <c r="I1265" s="50">
        <f>ROUNDDOWN(H1282,-2)</f>
        <v>153800</v>
      </c>
    </row>
    <row r="1266" spans="3:13" s="59" customFormat="1" ht="24" customHeight="1">
      <c r="C1266" s="591" t="s">
        <v>1195</v>
      </c>
      <c r="D1266" s="591" t="s">
        <v>1196</v>
      </c>
      <c r="E1266" s="591" t="s">
        <v>1197</v>
      </c>
      <c r="F1266" s="591" t="s">
        <v>1198</v>
      </c>
      <c r="G1266" s="591" t="s">
        <v>1199</v>
      </c>
      <c r="H1266" s="591" t="s">
        <v>1200</v>
      </c>
      <c r="I1266" s="44"/>
    </row>
    <row r="1267" spans="3:13" s="59" customFormat="1" ht="24" customHeight="1">
      <c r="C1267" s="61" t="s">
        <v>1201</v>
      </c>
      <c r="D1267" s="56" t="s">
        <v>1202</v>
      </c>
      <c r="E1267" s="57"/>
      <c r="F1267" s="57"/>
      <c r="G1267" s="57"/>
      <c r="H1267" s="57"/>
      <c r="I1267" s="44"/>
      <c r="J1267" s="152" t="s">
        <v>1247</v>
      </c>
    </row>
    <row r="1268" spans="3:13" s="59" customFormat="1" ht="24" customHeight="1">
      <c r="C1268" s="588">
        <v>1</v>
      </c>
      <c r="D1268" s="56" t="s">
        <v>5</v>
      </c>
      <c r="E1268" s="577" t="s">
        <v>6</v>
      </c>
      <c r="F1268" s="101">
        <v>0.05</v>
      </c>
      <c r="G1268" s="63">
        <f>VLOOKUP(D1268,upahbahan,3,FALSE)</f>
        <v>100000</v>
      </c>
      <c r="H1268" s="63">
        <f>F1268*G1268</f>
        <v>5000</v>
      </c>
      <c r="I1268" s="44"/>
      <c r="J1268" s="152" t="s">
        <v>1248</v>
      </c>
      <c r="M1268" s="65">
        <v>0.1</v>
      </c>
    </row>
    <row r="1269" spans="3:13" s="59" customFormat="1" ht="24" customHeight="1">
      <c r="C1269" s="588">
        <v>2</v>
      </c>
      <c r="D1269" s="56" t="s">
        <v>2165</v>
      </c>
      <c r="E1269" s="577" t="s">
        <v>6</v>
      </c>
      <c r="F1269" s="101">
        <v>2.5000000000000001E-2</v>
      </c>
      <c r="G1269" s="63">
        <f>VLOOKUP(D1269,upahbahan,3,FALSE)</f>
        <v>135000</v>
      </c>
      <c r="H1269" s="63">
        <f t="shared" ref="H1269:H1270" si="68">F1269*G1269</f>
        <v>3375</v>
      </c>
      <c r="I1269" s="44"/>
      <c r="J1269" s="152"/>
      <c r="M1269" s="65"/>
    </row>
    <row r="1270" spans="3:13" s="59" customFormat="1" ht="24" customHeight="1">
      <c r="C1270" s="588">
        <v>3</v>
      </c>
      <c r="D1270" s="56" t="s">
        <v>19</v>
      </c>
      <c r="E1270" s="577" t="s">
        <v>6</v>
      </c>
      <c r="F1270" s="101">
        <v>2.5000000000000001E-3</v>
      </c>
      <c r="G1270" s="63">
        <f>VLOOKUP(D1270,upahbahan,3,FALSE)</f>
        <v>160000</v>
      </c>
      <c r="H1270" s="63">
        <f t="shared" si="68"/>
        <v>400</v>
      </c>
      <c r="I1270" s="44"/>
    </row>
    <row r="1271" spans="3:13" s="59" customFormat="1" ht="24" customHeight="1">
      <c r="C1271" s="450" t="s">
        <v>1208</v>
      </c>
      <c r="D1271" s="67"/>
      <c r="E1271" s="67"/>
      <c r="F1271" s="142"/>
      <c r="G1271" s="153"/>
      <c r="H1271" s="63">
        <f>SUM(H1268:H1270)</f>
        <v>8775</v>
      </c>
      <c r="I1271" s="154"/>
    </row>
    <row r="1272" spans="3:13" s="59" customFormat="1" ht="24" customHeight="1">
      <c r="C1272" s="61" t="s">
        <v>1209</v>
      </c>
      <c r="D1272" s="56" t="s">
        <v>1210</v>
      </c>
      <c r="E1272" s="57"/>
      <c r="F1272" s="57"/>
      <c r="G1272" s="57"/>
      <c r="H1272" s="57"/>
      <c r="I1272" s="44"/>
    </row>
    <row r="1273" spans="3:13" s="59" customFormat="1" ht="24" customHeight="1">
      <c r="C1273" s="61">
        <v>1</v>
      </c>
      <c r="D1273" s="56" t="s">
        <v>4574</v>
      </c>
      <c r="E1273" s="93" t="s">
        <v>42</v>
      </c>
      <c r="F1273" s="103">
        <v>1.4999999999999999E-2</v>
      </c>
      <c r="G1273" s="63">
        <f>VLOOKUP(D1273,upahbahan,3,FALSE)</f>
        <v>928000</v>
      </c>
      <c r="H1273" s="63">
        <f>F1273*G1273</f>
        <v>13920</v>
      </c>
      <c r="I1273" s="44"/>
    </row>
    <row r="1274" spans="3:13" s="59" customFormat="1" ht="24" customHeight="1">
      <c r="C1274" s="61">
        <v>2</v>
      </c>
      <c r="D1274" s="56" t="s">
        <v>4488</v>
      </c>
      <c r="E1274" s="93" t="s">
        <v>42</v>
      </c>
      <c r="F1274" s="103">
        <v>1.4999999999999999E-2</v>
      </c>
      <c r="G1274" s="63">
        <f>VLOOKUP(D1274,upahbahan,3,FALSE)</f>
        <v>0</v>
      </c>
      <c r="H1274" s="63">
        <f>F1274*G1274</f>
        <v>0</v>
      </c>
      <c r="I1274" s="44"/>
    </row>
    <row r="1275" spans="3:13" s="59" customFormat="1" ht="24" customHeight="1">
      <c r="C1275" s="61">
        <v>3</v>
      </c>
      <c r="D1275" s="56" t="s">
        <v>4667</v>
      </c>
      <c r="E1275" s="124" t="s">
        <v>62</v>
      </c>
      <c r="F1275" s="125">
        <v>3.85E-2</v>
      </c>
      <c r="G1275" s="283">
        <v>56784.2</v>
      </c>
      <c r="H1275" s="283">
        <f>F1275*G1275</f>
        <v>2186.1916999999999</v>
      </c>
      <c r="I1275" s="44"/>
    </row>
    <row r="1276" spans="3:13" s="59" customFormat="1" ht="24" customHeight="1">
      <c r="C1276" s="61">
        <v>4</v>
      </c>
      <c r="D1276" s="56" t="s">
        <v>4696</v>
      </c>
      <c r="E1276" s="93" t="s">
        <v>2167</v>
      </c>
      <c r="F1276" s="104">
        <v>1</v>
      </c>
      <c r="G1276" s="63">
        <f>VLOOKUP(D1276,upahbahan,3,FALSE)</f>
        <v>115000</v>
      </c>
      <c r="H1276" s="63">
        <f>F1276*G1276</f>
        <v>115000</v>
      </c>
      <c r="I1276" s="44"/>
    </row>
    <row r="1277" spans="3:13" s="59" customFormat="1" ht="24" customHeight="1">
      <c r="C1277" s="450" t="s">
        <v>1214</v>
      </c>
      <c r="D1277" s="67"/>
      <c r="E1277" s="67"/>
      <c r="F1277" s="67"/>
      <c r="G1277" s="69"/>
      <c r="H1277" s="63">
        <f>SUM(H1273:H1276)</f>
        <v>131106.1917</v>
      </c>
      <c r="I1277" s="44"/>
    </row>
    <row r="1278" spans="3:13" s="59" customFormat="1" ht="24" customHeight="1">
      <c r="C1278" s="61" t="s">
        <v>1215</v>
      </c>
      <c r="D1278" s="56" t="s">
        <v>1216</v>
      </c>
      <c r="E1278" s="93"/>
      <c r="F1278" s="57"/>
      <c r="G1278" s="57"/>
      <c r="H1278" s="57"/>
      <c r="I1278" s="44"/>
    </row>
    <row r="1279" spans="3:13" s="59" customFormat="1" ht="24" customHeight="1">
      <c r="C1279" s="450" t="s">
        <v>1217</v>
      </c>
      <c r="D1279" s="67"/>
      <c r="E1279" s="67"/>
      <c r="F1279" s="67"/>
      <c r="G1279" s="69"/>
      <c r="H1279" s="882">
        <f>SUM(H1278:H1278)</f>
        <v>0</v>
      </c>
      <c r="I1279" s="44"/>
    </row>
    <row r="1280" spans="3:13" s="59" customFormat="1" ht="24" customHeight="1">
      <c r="C1280" s="288" t="s">
        <v>1218</v>
      </c>
      <c r="D1280" s="76" t="s">
        <v>1219</v>
      </c>
      <c r="E1280" s="77"/>
      <c r="F1280" s="77"/>
      <c r="G1280" s="78"/>
      <c r="H1280" s="585">
        <f>H1279+H1277+H1271</f>
        <v>139881.1917</v>
      </c>
      <c r="I1280" s="369"/>
    </row>
    <row r="1281" spans="3:13" s="59" customFormat="1" ht="24" customHeight="1">
      <c r="C1281" s="288" t="s">
        <v>1220</v>
      </c>
      <c r="D1281" s="76" t="s">
        <v>1321</v>
      </c>
      <c r="E1281" s="77"/>
      <c r="F1281" s="78"/>
      <c r="G1281" s="80">
        <v>0.1</v>
      </c>
      <c r="H1281" s="63">
        <f>H1280*G1281</f>
        <v>13988.11917</v>
      </c>
      <c r="I1281" s="369"/>
    </row>
    <row r="1282" spans="3:13" s="59" customFormat="1" ht="24" customHeight="1">
      <c r="C1282" s="288" t="s">
        <v>1221</v>
      </c>
      <c r="D1282" s="76" t="s">
        <v>1222</v>
      </c>
      <c r="E1282" s="77"/>
      <c r="F1282" s="77"/>
      <c r="G1282" s="78"/>
      <c r="H1282" s="799">
        <f>SUM(H1280:H1281)</f>
        <v>153869.31086999999</v>
      </c>
      <c r="I1282" s="369"/>
    </row>
    <row r="1284" spans="3:13" s="59" customFormat="1" ht="13.8">
      <c r="C1284" s="46" t="s">
        <v>4672</v>
      </c>
      <c r="D1284" s="1934" t="s">
        <v>4673</v>
      </c>
      <c r="E1284" s="1934"/>
      <c r="F1284" s="1934"/>
      <c r="G1284" s="1934"/>
      <c r="H1284" s="1934"/>
      <c r="I1284" s="50">
        <f>ROUNDDOWN(H1302,-2)</f>
        <v>198800</v>
      </c>
    </row>
    <row r="1285" spans="3:13" s="59" customFormat="1" ht="24" customHeight="1">
      <c r="C1285" s="591" t="s">
        <v>1195</v>
      </c>
      <c r="D1285" s="591" t="s">
        <v>1196</v>
      </c>
      <c r="E1285" s="591" t="s">
        <v>1197</v>
      </c>
      <c r="F1285" s="591" t="s">
        <v>1198</v>
      </c>
      <c r="G1285" s="591" t="s">
        <v>1199</v>
      </c>
      <c r="H1285" s="591" t="s">
        <v>1200</v>
      </c>
      <c r="I1285" s="44"/>
    </row>
    <row r="1286" spans="3:13" s="59" customFormat="1" ht="24" customHeight="1">
      <c r="C1286" s="61" t="s">
        <v>1201</v>
      </c>
      <c r="D1286" s="56" t="s">
        <v>1202</v>
      </c>
      <c r="E1286" s="57"/>
      <c r="F1286" s="57"/>
      <c r="G1286" s="57"/>
      <c r="H1286" s="57"/>
      <c r="I1286" s="44"/>
      <c r="J1286" s="152" t="s">
        <v>1247</v>
      </c>
    </row>
    <row r="1287" spans="3:13" s="59" customFormat="1" ht="24" customHeight="1">
      <c r="C1287" s="588">
        <v>1</v>
      </c>
      <c r="D1287" s="56" t="s">
        <v>5</v>
      </c>
      <c r="E1287" s="577" t="s">
        <v>6</v>
      </c>
      <c r="F1287" s="101">
        <v>4.5900000000000003E-2</v>
      </c>
      <c r="G1287" s="63">
        <f>VLOOKUP(D1287,upahbahan,3,FALSE)</f>
        <v>100000</v>
      </c>
      <c r="H1287" s="63">
        <f>F1287*G1287</f>
        <v>4590</v>
      </c>
      <c r="I1287" s="44"/>
      <c r="J1287" s="152" t="s">
        <v>1248</v>
      </c>
      <c r="M1287" s="65">
        <v>0.1</v>
      </c>
    </row>
    <row r="1288" spans="3:13" s="59" customFormat="1" ht="24" customHeight="1">
      <c r="C1288" s="588">
        <v>2</v>
      </c>
      <c r="D1288" s="56" t="s">
        <v>2165</v>
      </c>
      <c r="E1288" s="577" t="s">
        <v>6</v>
      </c>
      <c r="F1288" s="101">
        <v>4.5900000000000003E-2</v>
      </c>
      <c r="G1288" s="63">
        <f>VLOOKUP(D1288,upahbahan,3,FALSE)</f>
        <v>135000</v>
      </c>
      <c r="H1288" s="63">
        <f t="shared" ref="H1288:H1289" si="69">F1288*G1288</f>
        <v>6196.5</v>
      </c>
      <c r="I1288" s="44"/>
      <c r="J1288" s="152"/>
      <c r="M1288" s="65"/>
    </row>
    <row r="1289" spans="3:13" s="59" customFormat="1" ht="24" customHeight="1">
      <c r="C1289" s="588">
        <v>3</v>
      </c>
      <c r="D1289" s="56" t="s">
        <v>19</v>
      </c>
      <c r="E1289" s="577" t="s">
        <v>6</v>
      </c>
      <c r="F1289" s="101">
        <v>2.3E-3</v>
      </c>
      <c r="G1289" s="63">
        <f>VLOOKUP(D1289,upahbahan,3,FALSE)</f>
        <v>160000</v>
      </c>
      <c r="H1289" s="63">
        <f t="shared" si="69"/>
        <v>368</v>
      </c>
      <c r="I1289" s="44"/>
    </row>
    <row r="1290" spans="3:13" s="59" customFormat="1" ht="24" customHeight="1">
      <c r="C1290" s="450" t="s">
        <v>1208</v>
      </c>
      <c r="D1290" s="67"/>
      <c r="E1290" s="67"/>
      <c r="F1290" s="142"/>
      <c r="G1290" s="153"/>
      <c r="H1290" s="63">
        <f>SUM(H1287:H1289)</f>
        <v>11154.5</v>
      </c>
      <c r="I1290" s="154"/>
    </row>
    <row r="1291" spans="3:13" s="59" customFormat="1" ht="24" customHeight="1">
      <c r="C1291" s="61" t="s">
        <v>1209</v>
      </c>
      <c r="D1291" s="56" t="s">
        <v>1210</v>
      </c>
      <c r="E1291" s="57"/>
      <c r="F1291" s="57"/>
      <c r="G1291" s="57"/>
      <c r="H1291" s="57"/>
      <c r="I1291" s="44"/>
    </row>
    <row r="1292" spans="3:13" s="59" customFormat="1" ht="24" customHeight="1">
      <c r="C1292" s="61">
        <v>1</v>
      </c>
      <c r="D1292" s="56" t="s">
        <v>4574</v>
      </c>
      <c r="E1292" s="93" t="s">
        <v>42</v>
      </c>
      <c r="F1292" s="103">
        <v>0.02</v>
      </c>
      <c r="G1292" s="63">
        <f>VLOOKUP(D1292,upahbahan,3,FALSE)</f>
        <v>928000</v>
      </c>
      <c r="H1292" s="63">
        <f>F1292*G1292</f>
        <v>18560</v>
      </c>
      <c r="I1292" s="44"/>
    </row>
    <row r="1293" spans="3:13" s="59" customFormat="1" ht="24" customHeight="1">
      <c r="C1293" s="61">
        <v>2</v>
      </c>
      <c r="D1293" s="56" t="s">
        <v>4488</v>
      </c>
      <c r="E1293" s="93" t="s">
        <v>42</v>
      </c>
      <c r="F1293" s="103">
        <v>0.02</v>
      </c>
      <c r="G1293" s="63">
        <f>VLOOKUP(D1293,upahbahan,3,FALSE)</f>
        <v>0</v>
      </c>
      <c r="H1293" s="63">
        <f>F1293*G1293</f>
        <v>0</v>
      </c>
      <c r="I1293" s="44"/>
    </row>
    <row r="1294" spans="3:13" s="59" customFormat="1" ht="24" customHeight="1">
      <c r="C1294" s="61">
        <v>3</v>
      </c>
      <c r="D1294" s="56" t="s">
        <v>4667</v>
      </c>
      <c r="E1294" s="124" t="s">
        <v>62</v>
      </c>
      <c r="F1294" s="125">
        <v>6.2199999999999998E-2</v>
      </c>
      <c r="G1294" s="283">
        <v>56784.2</v>
      </c>
      <c r="H1294" s="283">
        <f>F1294*G1294</f>
        <v>3531.9772399999997</v>
      </c>
      <c r="I1294" s="44"/>
    </row>
    <row r="1295" spans="3:13" s="59" customFormat="1" ht="24" customHeight="1">
      <c r="C1295" s="61">
        <v>4</v>
      </c>
      <c r="D1295" s="56" t="s">
        <v>4697</v>
      </c>
      <c r="E1295" s="93" t="s">
        <v>2167</v>
      </c>
      <c r="F1295" s="104">
        <v>1</v>
      </c>
      <c r="G1295" s="63">
        <f>VLOOKUP(D1295,upahbahan,3,FALSE)</f>
        <v>125500</v>
      </c>
      <c r="H1295" s="63">
        <f>F1295*G1295</f>
        <v>125500</v>
      </c>
      <c r="I1295" s="44"/>
    </row>
    <row r="1296" spans="3:13" s="59" customFormat="1" ht="24" customHeight="1">
      <c r="C1296" s="450" t="s">
        <v>1214</v>
      </c>
      <c r="D1296" s="67"/>
      <c r="E1296" s="67"/>
      <c r="F1296" s="67"/>
      <c r="G1296" s="69"/>
      <c r="H1296" s="63">
        <f>SUM(H1292:H1295)</f>
        <v>147591.97724000001</v>
      </c>
      <c r="I1296" s="44"/>
    </row>
    <row r="1297" spans="3:13" s="59" customFormat="1" ht="24" customHeight="1">
      <c r="C1297" s="61" t="s">
        <v>1215</v>
      </c>
      <c r="D1297" s="56" t="s">
        <v>1216</v>
      </c>
      <c r="E1297" s="93"/>
      <c r="F1297" s="57"/>
      <c r="G1297" s="57"/>
      <c r="H1297" s="57"/>
      <c r="I1297" s="44"/>
    </row>
    <row r="1298" spans="3:13" s="59" customFormat="1" ht="24" customHeight="1">
      <c r="C1298" s="800">
        <v>1</v>
      </c>
      <c r="D1298" s="56" t="s">
        <v>4652</v>
      </c>
      <c r="E1298" s="93" t="s">
        <v>2396</v>
      </c>
      <c r="F1298" s="94">
        <v>4.5900000000000003E-2</v>
      </c>
      <c r="G1298" s="63">
        <f>VLOOKUP(D1298,upahbahan,3,FALSE)</f>
        <v>480000</v>
      </c>
      <c r="H1298" s="63">
        <f>F1298*G1298</f>
        <v>22032</v>
      </c>
      <c r="I1298" s="44"/>
    </row>
    <row r="1299" spans="3:13" s="59" customFormat="1" ht="24" customHeight="1">
      <c r="C1299" s="450" t="s">
        <v>1217</v>
      </c>
      <c r="D1299" s="67"/>
      <c r="E1299" s="67"/>
      <c r="F1299" s="67"/>
      <c r="G1299" s="69"/>
      <c r="H1299" s="882">
        <f>SUM(H1297:H1298)</f>
        <v>22032</v>
      </c>
      <c r="I1299" s="44"/>
    </row>
    <row r="1300" spans="3:13" s="59" customFormat="1" ht="24" customHeight="1">
      <c r="C1300" s="288" t="s">
        <v>1218</v>
      </c>
      <c r="D1300" s="76" t="s">
        <v>1219</v>
      </c>
      <c r="E1300" s="77"/>
      <c r="F1300" s="77"/>
      <c r="G1300" s="78"/>
      <c r="H1300" s="585">
        <f>H1299+H1296+H1290</f>
        <v>180778.47724000001</v>
      </c>
      <c r="I1300" s="369"/>
    </row>
    <row r="1301" spans="3:13" s="59" customFormat="1" ht="24" customHeight="1">
      <c r="C1301" s="288" t="s">
        <v>1220</v>
      </c>
      <c r="D1301" s="76" t="s">
        <v>1321</v>
      </c>
      <c r="E1301" s="77"/>
      <c r="F1301" s="78"/>
      <c r="G1301" s="80">
        <v>0.1</v>
      </c>
      <c r="H1301" s="63">
        <f>H1300*G1301</f>
        <v>18077.847724000003</v>
      </c>
      <c r="I1301" s="369"/>
    </row>
    <row r="1302" spans="3:13" s="59" customFormat="1" ht="24" customHeight="1">
      <c r="C1302" s="288" t="s">
        <v>1221</v>
      </c>
      <c r="D1302" s="76" t="s">
        <v>1222</v>
      </c>
      <c r="E1302" s="77"/>
      <c r="F1302" s="77"/>
      <c r="G1302" s="78"/>
      <c r="H1302" s="799">
        <f>SUM(H1300:H1301)</f>
        <v>198856.324964</v>
      </c>
      <c r="I1302" s="369"/>
    </row>
    <row r="1305" spans="3:13" s="59" customFormat="1" ht="13.8">
      <c r="C1305" s="46" t="s">
        <v>4674</v>
      </c>
      <c r="D1305" s="1934" t="s">
        <v>4675</v>
      </c>
      <c r="E1305" s="1934"/>
      <c r="F1305" s="1934"/>
      <c r="G1305" s="1934"/>
      <c r="H1305" s="1934"/>
      <c r="I1305" s="50">
        <f>ROUNDDOWN(H1323,-2)</f>
        <v>415100</v>
      </c>
    </row>
    <row r="1306" spans="3:13" s="59" customFormat="1" ht="24" customHeight="1">
      <c r="C1306" s="591" t="s">
        <v>1195</v>
      </c>
      <c r="D1306" s="591" t="s">
        <v>1196</v>
      </c>
      <c r="E1306" s="591" t="s">
        <v>1197</v>
      </c>
      <c r="F1306" s="591" t="s">
        <v>1198</v>
      </c>
      <c r="G1306" s="591" t="s">
        <v>1199</v>
      </c>
      <c r="H1306" s="591" t="s">
        <v>1200</v>
      </c>
      <c r="I1306" s="44"/>
    </row>
    <row r="1307" spans="3:13" s="59" customFormat="1" ht="24" customHeight="1">
      <c r="C1307" s="61" t="s">
        <v>1201</v>
      </c>
      <c r="D1307" s="56" t="s">
        <v>1202</v>
      </c>
      <c r="E1307" s="57"/>
      <c r="F1307" s="57"/>
      <c r="G1307" s="57"/>
      <c r="H1307" s="57"/>
      <c r="I1307" s="44"/>
      <c r="J1307" s="152" t="s">
        <v>1247</v>
      </c>
    </row>
    <row r="1308" spans="3:13" s="59" customFormat="1" ht="24" customHeight="1">
      <c r="C1308" s="588">
        <v>1</v>
      </c>
      <c r="D1308" s="56" t="s">
        <v>5</v>
      </c>
      <c r="E1308" s="577" t="s">
        <v>6</v>
      </c>
      <c r="F1308" s="101">
        <v>5.8200000000000002E-2</v>
      </c>
      <c r="G1308" s="63">
        <f>VLOOKUP(D1308,upahbahan,3,FALSE)</f>
        <v>100000</v>
      </c>
      <c r="H1308" s="63">
        <f>F1308*G1308</f>
        <v>5820</v>
      </c>
      <c r="I1308" s="44"/>
      <c r="J1308" s="152" t="s">
        <v>1248</v>
      </c>
      <c r="M1308" s="65">
        <v>0.1</v>
      </c>
    </row>
    <row r="1309" spans="3:13" s="59" customFormat="1" ht="24" customHeight="1">
      <c r="C1309" s="588">
        <v>2</v>
      </c>
      <c r="D1309" s="56" t="s">
        <v>2165</v>
      </c>
      <c r="E1309" s="577" t="s">
        <v>6</v>
      </c>
      <c r="F1309" s="101">
        <v>5.8200000000000002E-2</v>
      </c>
      <c r="G1309" s="63">
        <f>VLOOKUP(D1309,upahbahan,3,FALSE)</f>
        <v>135000</v>
      </c>
      <c r="H1309" s="63">
        <f t="shared" ref="H1309:H1310" si="70">F1309*G1309</f>
        <v>7857</v>
      </c>
      <c r="I1309" s="44"/>
      <c r="J1309" s="152"/>
      <c r="M1309" s="65"/>
    </row>
    <row r="1310" spans="3:13" s="59" customFormat="1" ht="24" customHeight="1">
      <c r="C1310" s="588">
        <v>3</v>
      </c>
      <c r="D1310" s="56" t="s">
        <v>19</v>
      </c>
      <c r="E1310" s="577" t="s">
        <v>6</v>
      </c>
      <c r="F1310" s="101">
        <v>2.8999999999999998E-3</v>
      </c>
      <c r="G1310" s="63">
        <f>VLOOKUP(D1310,upahbahan,3,FALSE)</f>
        <v>160000</v>
      </c>
      <c r="H1310" s="63">
        <f t="shared" si="70"/>
        <v>463.99999999999994</v>
      </c>
      <c r="I1310" s="44"/>
    </row>
    <row r="1311" spans="3:13" s="59" customFormat="1" ht="24" customHeight="1">
      <c r="C1311" s="450" t="s">
        <v>1208</v>
      </c>
      <c r="D1311" s="67"/>
      <c r="E1311" s="67"/>
      <c r="F1311" s="142"/>
      <c r="G1311" s="153"/>
      <c r="H1311" s="63">
        <f>SUM(H1308:H1310)</f>
        <v>14141</v>
      </c>
      <c r="I1311" s="154"/>
    </row>
    <row r="1312" spans="3:13" s="59" customFormat="1" ht="24" customHeight="1">
      <c r="C1312" s="61" t="s">
        <v>1209</v>
      </c>
      <c r="D1312" s="56" t="s">
        <v>1210</v>
      </c>
      <c r="E1312" s="57"/>
      <c r="F1312" s="57"/>
      <c r="G1312" s="57"/>
      <c r="H1312" s="57"/>
      <c r="I1312" s="44"/>
    </row>
    <row r="1313" spans="3:10" s="59" customFormat="1" ht="24" customHeight="1">
      <c r="C1313" s="61">
        <v>1</v>
      </c>
      <c r="D1313" s="56" t="s">
        <v>4574</v>
      </c>
      <c r="E1313" s="93" t="s">
        <v>42</v>
      </c>
      <c r="F1313" s="103">
        <v>0.03</v>
      </c>
      <c r="G1313" s="63">
        <f>VLOOKUP(D1313,upahbahan,3,FALSE)</f>
        <v>928000</v>
      </c>
      <c r="H1313" s="63">
        <f>F1313*G1313</f>
        <v>27840</v>
      </c>
      <c r="I1313" s="44"/>
    </row>
    <row r="1314" spans="3:10" s="59" customFormat="1" ht="24" customHeight="1">
      <c r="C1314" s="61">
        <v>2</v>
      </c>
      <c r="D1314" s="56" t="s">
        <v>4488</v>
      </c>
      <c r="E1314" s="93" t="s">
        <v>42</v>
      </c>
      <c r="F1314" s="103">
        <v>0.03</v>
      </c>
      <c r="G1314" s="63">
        <f>VLOOKUP(D1314,upahbahan,3,FALSE)</f>
        <v>0</v>
      </c>
      <c r="H1314" s="63">
        <f>F1314*G1314</f>
        <v>0</v>
      </c>
      <c r="I1314" s="44"/>
    </row>
    <row r="1315" spans="3:10" s="59" customFormat="1" ht="24" customHeight="1">
      <c r="C1315" s="61">
        <v>3</v>
      </c>
      <c r="D1315" s="56" t="s">
        <v>4667</v>
      </c>
      <c r="E1315" s="124" t="s">
        <v>62</v>
      </c>
      <c r="F1315" s="125">
        <v>0.1106</v>
      </c>
      <c r="G1315" s="283">
        <v>56784.2</v>
      </c>
      <c r="H1315" s="283">
        <f>F1315*G1315</f>
        <v>6280.3325199999999</v>
      </c>
      <c r="I1315" s="44"/>
    </row>
    <row r="1316" spans="3:10" s="59" customFormat="1" ht="24" customHeight="1">
      <c r="C1316" s="61">
        <v>4</v>
      </c>
      <c r="D1316" s="56" t="s">
        <v>4693</v>
      </c>
      <c r="E1316" s="93" t="s">
        <v>2167</v>
      </c>
      <c r="F1316" s="104">
        <v>2</v>
      </c>
      <c r="G1316" s="63">
        <f>VLOOKUP(D1316,upahbahan,3,FALSE)</f>
        <v>150600</v>
      </c>
      <c r="H1316" s="63">
        <f>F1316*G1316</f>
        <v>301200</v>
      </c>
      <c r="I1316" s="44"/>
    </row>
    <row r="1317" spans="3:10" s="59" customFormat="1" ht="24" customHeight="1">
      <c r="C1317" s="450" t="s">
        <v>1214</v>
      </c>
      <c r="D1317" s="67"/>
      <c r="E1317" s="67"/>
      <c r="F1317" s="67"/>
      <c r="G1317" s="69"/>
      <c r="H1317" s="63">
        <f>SUM(H1313:H1316)</f>
        <v>335320.33252</v>
      </c>
      <c r="I1317" s="44"/>
    </row>
    <row r="1318" spans="3:10" s="59" customFormat="1" ht="24" customHeight="1">
      <c r="C1318" s="61" t="s">
        <v>1215</v>
      </c>
      <c r="D1318" s="56" t="s">
        <v>1216</v>
      </c>
      <c r="E1318" s="93"/>
      <c r="F1318" s="57"/>
      <c r="G1318" s="57"/>
      <c r="H1318" s="57"/>
      <c r="I1318" s="44"/>
    </row>
    <row r="1319" spans="3:10" s="59" customFormat="1" ht="24" customHeight="1">
      <c r="C1319" s="800">
        <v>1</v>
      </c>
      <c r="D1319" s="56" t="s">
        <v>4652</v>
      </c>
      <c r="E1319" s="93" t="s">
        <v>2396</v>
      </c>
      <c r="F1319" s="94">
        <v>5.8200000000000002E-2</v>
      </c>
      <c r="G1319" s="63">
        <f>VLOOKUP(D1319,upahbahan,3,FALSE)</f>
        <v>480000</v>
      </c>
      <c r="H1319" s="63">
        <f>F1319*G1319</f>
        <v>27936</v>
      </c>
      <c r="I1319" s="44"/>
    </row>
    <row r="1320" spans="3:10" s="59" customFormat="1" ht="24" customHeight="1">
      <c r="C1320" s="450" t="s">
        <v>1217</v>
      </c>
      <c r="D1320" s="67"/>
      <c r="E1320" s="67"/>
      <c r="F1320" s="67"/>
      <c r="G1320" s="69"/>
      <c r="H1320" s="882">
        <f>SUM(H1318:H1319)</f>
        <v>27936</v>
      </c>
      <c r="I1320" s="44"/>
    </row>
    <row r="1321" spans="3:10" s="59" customFormat="1" ht="24" customHeight="1">
      <c r="C1321" s="288" t="s">
        <v>1218</v>
      </c>
      <c r="D1321" s="76" t="s">
        <v>1219</v>
      </c>
      <c r="E1321" s="77"/>
      <c r="F1321" s="77"/>
      <c r="G1321" s="78"/>
      <c r="H1321" s="585">
        <f>H1320+H1317+H1311</f>
        <v>377397.33252</v>
      </c>
      <c r="I1321" s="369"/>
    </row>
    <row r="1322" spans="3:10" s="59" customFormat="1" ht="24" customHeight="1">
      <c r="C1322" s="288" t="s">
        <v>1220</v>
      </c>
      <c r="D1322" s="76" t="s">
        <v>1321</v>
      </c>
      <c r="E1322" s="77"/>
      <c r="F1322" s="78"/>
      <c r="G1322" s="80">
        <v>0.1</v>
      </c>
      <c r="H1322" s="63">
        <f>H1321*G1322</f>
        <v>37739.733251999998</v>
      </c>
      <c r="I1322" s="369"/>
    </row>
    <row r="1323" spans="3:10" s="59" customFormat="1" ht="24" customHeight="1">
      <c r="C1323" s="288" t="s">
        <v>1221</v>
      </c>
      <c r="D1323" s="76" t="s">
        <v>1222</v>
      </c>
      <c r="E1323" s="77"/>
      <c r="F1323" s="77"/>
      <c r="G1323" s="78"/>
      <c r="H1323" s="799">
        <f>SUM(H1321:H1322)</f>
        <v>415137.065772</v>
      </c>
      <c r="I1323" s="369"/>
    </row>
    <row r="1326" spans="3:10" s="59" customFormat="1" ht="24" customHeight="1">
      <c r="C1326" s="46" t="s">
        <v>4676</v>
      </c>
      <c r="D1326" s="1934" t="s">
        <v>4677</v>
      </c>
      <c r="E1326" s="1934"/>
      <c r="F1326" s="1934"/>
      <c r="G1326" s="1934"/>
      <c r="H1326" s="1934"/>
      <c r="I1326" s="50">
        <f>ROUNDDOWN(H1344,-2)</f>
        <v>518200</v>
      </c>
    </row>
    <row r="1327" spans="3:10" s="59" customFormat="1" ht="24" customHeight="1">
      <c r="C1327" s="591" t="s">
        <v>1195</v>
      </c>
      <c r="D1327" s="591" t="s">
        <v>1196</v>
      </c>
      <c r="E1327" s="591" t="s">
        <v>1197</v>
      </c>
      <c r="F1327" s="591" t="s">
        <v>1198</v>
      </c>
      <c r="G1327" s="591" t="s">
        <v>1199</v>
      </c>
      <c r="H1327" s="591" t="s">
        <v>1200</v>
      </c>
      <c r="I1327" s="44"/>
    </row>
    <row r="1328" spans="3:10" s="59" customFormat="1" ht="24" customHeight="1">
      <c r="C1328" s="61" t="s">
        <v>1201</v>
      </c>
      <c r="D1328" s="56" t="s">
        <v>1202</v>
      </c>
      <c r="E1328" s="57"/>
      <c r="F1328" s="57"/>
      <c r="G1328" s="57"/>
      <c r="H1328" s="57"/>
      <c r="I1328" s="44"/>
      <c r="J1328" s="152" t="s">
        <v>1247</v>
      </c>
    </row>
    <row r="1329" spans="3:13" s="59" customFormat="1" ht="24" customHeight="1">
      <c r="C1329" s="588">
        <v>1</v>
      </c>
      <c r="D1329" s="56" t="s">
        <v>5</v>
      </c>
      <c r="E1329" s="577" t="s">
        <v>6</v>
      </c>
      <c r="F1329" s="101">
        <v>6.4100000000000004E-2</v>
      </c>
      <c r="G1329" s="63">
        <f>VLOOKUP(D1329,upahbahan,3,FALSE)</f>
        <v>100000</v>
      </c>
      <c r="H1329" s="63">
        <f>F1329*G1329</f>
        <v>6410</v>
      </c>
      <c r="I1329" s="44"/>
      <c r="J1329" s="152" t="s">
        <v>1248</v>
      </c>
      <c r="M1329" s="65">
        <v>0.1</v>
      </c>
    </row>
    <row r="1330" spans="3:13" s="59" customFormat="1" ht="24" customHeight="1">
      <c r="C1330" s="588">
        <v>2</v>
      </c>
      <c r="D1330" s="56" t="s">
        <v>2165</v>
      </c>
      <c r="E1330" s="577" t="s">
        <v>6</v>
      </c>
      <c r="F1330" s="101">
        <v>6.4100000000000004E-2</v>
      </c>
      <c r="G1330" s="63">
        <f>VLOOKUP(D1330,upahbahan,3,FALSE)</f>
        <v>135000</v>
      </c>
      <c r="H1330" s="63">
        <f t="shared" ref="H1330:H1331" si="71">F1330*G1330</f>
        <v>8653.5</v>
      </c>
      <c r="I1330" s="44"/>
      <c r="J1330" s="152"/>
      <c r="M1330" s="65"/>
    </row>
    <row r="1331" spans="3:13" s="59" customFormat="1" ht="24" customHeight="1">
      <c r="C1331" s="588">
        <v>3</v>
      </c>
      <c r="D1331" s="56" t="s">
        <v>19</v>
      </c>
      <c r="E1331" s="577" t="s">
        <v>6</v>
      </c>
      <c r="F1331" s="101">
        <v>3.2000000000000002E-3</v>
      </c>
      <c r="G1331" s="63">
        <f>VLOOKUP(D1331,upahbahan,3,FALSE)</f>
        <v>160000</v>
      </c>
      <c r="H1331" s="63">
        <f t="shared" si="71"/>
        <v>512</v>
      </c>
      <c r="I1331" s="44"/>
    </row>
    <row r="1332" spans="3:13" s="59" customFormat="1" ht="24" customHeight="1">
      <c r="C1332" s="450" t="s">
        <v>1208</v>
      </c>
      <c r="D1332" s="67"/>
      <c r="E1332" s="67"/>
      <c r="F1332" s="142"/>
      <c r="G1332" s="153"/>
      <c r="H1332" s="63">
        <f>SUM(H1329:H1331)</f>
        <v>15575.5</v>
      </c>
      <c r="I1332" s="154"/>
    </row>
    <row r="1333" spans="3:13" s="59" customFormat="1" ht="24" customHeight="1">
      <c r="C1333" s="61" t="s">
        <v>1209</v>
      </c>
      <c r="D1333" s="56" t="s">
        <v>1210</v>
      </c>
      <c r="E1333" s="57"/>
      <c r="F1333" s="57"/>
      <c r="G1333" s="57"/>
      <c r="H1333" s="57"/>
      <c r="I1333" s="44"/>
    </row>
    <row r="1334" spans="3:13" s="59" customFormat="1" ht="24" customHeight="1">
      <c r="C1334" s="61">
        <v>1</v>
      </c>
      <c r="D1334" s="56" t="s">
        <v>4574</v>
      </c>
      <c r="E1334" s="93" t="s">
        <v>42</v>
      </c>
      <c r="F1334" s="103">
        <v>0.04</v>
      </c>
      <c r="G1334" s="63">
        <f>VLOOKUP(D1334,upahbahan,3,FALSE)</f>
        <v>928000</v>
      </c>
      <c r="H1334" s="63">
        <f>F1334*G1334</f>
        <v>37120</v>
      </c>
      <c r="I1334" s="44"/>
    </row>
    <row r="1335" spans="3:13" s="59" customFormat="1" ht="24" customHeight="1">
      <c r="C1335" s="61">
        <v>2</v>
      </c>
      <c r="D1335" s="56" t="s">
        <v>4488</v>
      </c>
      <c r="E1335" s="93" t="s">
        <v>42</v>
      </c>
      <c r="F1335" s="103">
        <v>0.04</v>
      </c>
      <c r="G1335" s="63">
        <f>VLOOKUP(D1335,upahbahan,3,FALSE)</f>
        <v>0</v>
      </c>
      <c r="H1335" s="63">
        <f>F1335*G1335</f>
        <v>0</v>
      </c>
      <c r="I1335" s="44"/>
    </row>
    <row r="1336" spans="3:13" s="59" customFormat="1" ht="24" customHeight="1">
      <c r="C1336" s="61">
        <v>3</v>
      </c>
      <c r="D1336" s="56" t="s">
        <v>4667</v>
      </c>
      <c r="E1336" s="124" t="s">
        <v>62</v>
      </c>
      <c r="F1336" s="125">
        <v>0.13569999999999999</v>
      </c>
      <c r="G1336" s="283">
        <v>56784.2</v>
      </c>
      <c r="H1336" s="283">
        <f>F1336*G1336</f>
        <v>7705.6159399999988</v>
      </c>
      <c r="I1336" s="44"/>
    </row>
    <row r="1337" spans="3:13" s="59" customFormat="1" ht="24" customHeight="1">
      <c r="C1337" s="61">
        <v>4</v>
      </c>
      <c r="D1337" s="56" t="s">
        <v>4688</v>
      </c>
      <c r="E1337" s="93" t="s">
        <v>2167</v>
      </c>
      <c r="F1337" s="104">
        <v>2</v>
      </c>
      <c r="G1337" s="63">
        <f>VLOOKUP(D1337,upahbahan,3,FALSE)</f>
        <v>190000</v>
      </c>
      <c r="H1337" s="63">
        <f>F1337*G1337</f>
        <v>380000</v>
      </c>
      <c r="I1337" s="44"/>
    </row>
    <row r="1338" spans="3:13" s="59" customFormat="1" ht="24" customHeight="1">
      <c r="C1338" s="450" t="s">
        <v>1214</v>
      </c>
      <c r="D1338" s="67"/>
      <c r="E1338" s="67"/>
      <c r="F1338" s="67"/>
      <c r="G1338" s="69"/>
      <c r="H1338" s="63">
        <f>SUM(H1334:H1337)</f>
        <v>424825.61593999999</v>
      </c>
      <c r="I1338" s="44"/>
    </row>
    <row r="1339" spans="3:13" s="59" customFormat="1" ht="24" customHeight="1">
      <c r="C1339" s="61" t="s">
        <v>1215</v>
      </c>
      <c r="D1339" s="56" t="s">
        <v>1216</v>
      </c>
      <c r="E1339" s="93"/>
      <c r="F1339" s="57"/>
      <c r="G1339" s="57"/>
      <c r="H1339" s="57"/>
      <c r="I1339" s="44"/>
    </row>
    <row r="1340" spans="3:13" s="59" customFormat="1" ht="24" customHeight="1">
      <c r="C1340" s="800">
        <v>1</v>
      </c>
      <c r="D1340" s="56" t="s">
        <v>4652</v>
      </c>
      <c r="E1340" s="93" t="s">
        <v>2396</v>
      </c>
      <c r="F1340" s="94">
        <v>6.4100000000000004E-2</v>
      </c>
      <c r="G1340" s="63">
        <f>VLOOKUP(D1340,upahbahan,3,FALSE)</f>
        <v>480000</v>
      </c>
      <c r="H1340" s="63">
        <f>F1340*G1340</f>
        <v>30768.000000000004</v>
      </c>
      <c r="I1340" s="44"/>
    </row>
    <row r="1341" spans="3:13" s="59" customFormat="1" ht="24" customHeight="1">
      <c r="C1341" s="450" t="s">
        <v>1217</v>
      </c>
      <c r="D1341" s="67"/>
      <c r="E1341" s="67"/>
      <c r="F1341" s="67"/>
      <c r="G1341" s="69"/>
      <c r="H1341" s="882">
        <f>SUM(H1339:H1340)</f>
        <v>30768.000000000004</v>
      </c>
      <c r="I1341" s="44"/>
    </row>
    <row r="1342" spans="3:13" s="59" customFormat="1" ht="24" customHeight="1">
      <c r="C1342" s="288" t="s">
        <v>1218</v>
      </c>
      <c r="D1342" s="76" t="s">
        <v>1219</v>
      </c>
      <c r="E1342" s="77"/>
      <c r="F1342" s="77"/>
      <c r="G1342" s="78"/>
      <c r="H1342" s="585">
        <f>H1341+H1338+H1332</f>
        <v>471169.11593999999</v>
      </c>
      <c r="I1342" s="369"/>
    </row>
    <row r="1343" spans="3:13" s="59" customFormat="1" ht="24" customHeight="1">
      <c r="C1343" s="288" t="s">
        <v>1220</v>
      </c>
      <c r="D1343" s="76" t="s">
        <v>1321</v>
      </c>
      <c r="E1343" s="77"/>
      <c r="F1343" s="78"/>
      <c r="G1343" s="80">
        <v>0.1</v>
      </c>
      <c r="H1343" s="63">
        <f>H1342*G1343</f>
        <v>47116.911594000005</v>
      </c>
      <c r="I1343" s="369"/>
    </row>
    <row r="1344" spans="3:13" s="59" customFormat="1" ht="24" customHeight="1">
      <c r="C1344" s="288" t="s">
        <v>1221</v>
      </c>
      <c r="D1344" s="76" t="s">
        <v>1222</v>
      </c>
      <c r="E1344" s="77"/>
      <c r="F1344" s="77"/>
      <c r="G1344" s="78"/>
      <c r="H1344" s="799">
        <f>SUM(H1342:H1343)</f>
        <v>518286.02753399999</v>
      </c>
      <c r="I1344" s="369"/>
    </row>
    <row r="1346" spans="3:13" s="59" customFormat="1" ht="13.8">
      <c r="C1346" s="46" t="s">
        <v>4686</v>
      </c>
      <c r="D1346" s="1934" t="s">
        <v>4687</v>
      </c>
      <c r="E1346" s="1934"/>
      <c r="F1346" s="1934"/>
      <c r="G1346" s="1934"/>
      <c r="H1346" s="1934"/>
      <c r="I1346" s="50">
        <f>ROUNDDOWN(H1363,-2)</f>
        <v>108900</v>
      </c>
    </row>
    <row r="1347" spans="3:13" s="59" customFormat="1" ht="13.8">
      <c r="C1347" s="591" t="s">
        <v>1195</v>
      </c>
      <c r="D1347" s="591" t="s">
        <v>1196</v>
      </c>
      <c r="E1347" s="591" t="s">
        <v>1197</v>
      </c>
      <c r="F1347" s="591" t="s">
        <v>1198</v>
      </c>
      <c r="G1347" s="591" t="s">
        <v>1199</v>
      </c>
      <c r="H1347" s="591" t="s">
        <v>1200</v>
      </c>
      <c r="I1347" s="44"/>
    </row>
    <row r="1348" spans="3:13" s="59" customFormat="1" ht="13.8">
      <c r="C1348" s="61" t="s">
        <v>1201</v>
      </c>
      <c r="D1348" s="56" t="s">
        <v>1202</v>
      </c>
      <c r="E1348" s="57"/>
      <c r="F1348" s="57"/>
      <c r="G1348" s="57"/>
      <c r="H1348" s="57"/>
      <c r="I1348" s="44"/>
      <c r="J1348" s="152" t="s">
        <v>1247</v>
      </c>
    </row>
    <row r="1349" spans="3:13" s="59" customFormat="1" ht="13.8">
      <c r="C1349" s="588">
        <v>1</v>
      </c>
      <c r="D1349" s="56" t="s">
        <v>5</v>
      </c>
      <c r="E1349" s="577" t="s">
        <v>6</v>
      </c>
      <c r="F1349" s="101">
        <v>4.7600000000000003E-2</v>
      </c>
      <c r="G1349" s="63">
        <f>VLOOKUP(D1349,upahbahan,3,FALSE)</f>
        <v>100000</v>
      </c>
      <c r="H1349" s="63">
        <f>F1349*G1349</f>
        <v>4760</v>
      </c>
      <c r="I1349" s="44"/>
      <c r="J1349" s="152" t="s">
        <v>1248</v>
      </c>
      <c r="M1349" s="65">
        <v>0.1</v>
      </c>
    </row>
    <row r="1350" spans="3:13" s="59" customFormat="1" ht="13.8">
      <c r="C1350" s="588">
        <v>2</v>
      </c>
      <c r="D1350" s="56" t="s">
        <v>2165</v>
      </c>
      <c r="E1350" s="577" t="s">
        <v>6</v>
      </c>
      <c r="F1350" s="101">
        <v>2.3800000000000002E-2</v>
      </c>
      <c r="G1350" s="63">
        <f>VLOOKUP(D1350,upahbahan,3,FALSE)</f>
        <v>135000</v>
      </c>
      <c r="H1350" s="63">
        <f t="shared" ref="H1350:H1351" si="72">F1350*G1350</f>
        <v>3213.0000000000005</v>
      </c>
      <c r="I1350" s="44"/>
      <c r="J1350" s="152"/>
      <c r="M1350" s="65"/>
    </row>
    <row r="1351" spans="3:13" s="59" customFormat="1" ht="13.8">
      <c r="C1351" s="588">
        <v>3</v>
      </c>
      <c r="D1351" s="56" t="s">
        <v>19</v>
      </c>
      <c r="E1351" s="577" t="s">
        <v>6</v>
      </c>
      <c r="F1351" s="101">
        <v>2.3999999999999998E-3</v>
      </c>
      <c r="G1351" s="63">
        <f>VLOOKUP(D1351,upahbahan,3,FALSE)</f>
        <v>160000</v>
      </c>
      <c r="H1351" s="63">
        <f t="shared" si="72"/>
        <v>383.99999999999994</v>
      </c>
      <c r="I1351" s="44"/>
    </row>
    <row r="1352" spans="3:13" s="59" customFormat="1" ht="13.8">
      <c r="C1352" s="450" t="s">
        <v>1208</v>
      </c>
      <c r="D1352" s="67"/>
      <c r="E1352" s="67"/>
      <c r="F1352" s="142"/>
      <c r="G1352" s="153"/>
      <c r="H1352" s="63">
        <f>SUM(H1349:H1351)</f>
        <v>8357</v>
      </c>
      <c r="I1352" s="154"/>
    </row>
    <row r="1353" spans="3:13" s="59" customFormat="1" ht="13.8">
      <c r="C1353" s="61" t="s">
        <v>1209</v>
      </c>
      <c r="D1353" s="56" t="s">
        <v>1210</v>
      </c>
      <c r="E1353" s="57"/>
      <c r="F1353" s="57"/>
      <c r="G1353" s="57"/>
      <c r="H1353" s="57"/>
      <c r="I1353" s="44"/>
    </row>
    <row r="1354" spans="3:13" s="59" customFormat="1" ht="13.8">
      <c r="C1354" s="61">
        <v>1</v>
      </c>
      <c r="D1354" s="56" t="s">
        <v>4574</v>
      </c>
      <c r="E1354" s="93" t="s">
        <v>42</v>
      </c>
      <c r="F1354" s="103">
        <v>1.4999999999999999E-2</v>
      </c>
      <c r="G1354" s="63">
        <f>VLOOKUP(D1354,upahbahan,3,FALSE)</f>
        <v>928000</v>
      </c>
      <c r="H1354" s="63">
        <f>F1354*G1354</f>
        <v>13920</v>
      </c>
      <c r="I1354" s="44"/>
    </row>
    <row r="1355" spans="3:13" s="59" customFormat="1" ht="13.8">
      <c r="C1355" s="61">
        <v>2</v>
      </c>
      <c r="D1355" s="56" t="s">
        <v>4488</v>
      </c>
      <c r="E1355" s="93" t="s">
        <v>42</v>
      </c>
      <c r="F1355" s="103">
        <v>1.4999999999999999E-2</v>
      </c>
      <c r="G1355" s="63">
        <f>VLOOKUP(D1355,upahbahan,3,FALSE)</f>
        <v>0</v>
      </c>
      <c r="H1355" s="63">
        <f>F1355*G1355</f>
        <v>0</v>
      </c>
      <c r="I1355" s="44"/>
    </row>
    <row r="1356" spans="3:13" s="59" customFormat="1" ht="27.6">
      <c r="C1356" s="61">
        <v>3</v>
      </c>
      <c r="D1356" s="56" t="s">
        <v>4667</v>
      </c>
      <c r="E1356" s="124" t="s">
        <v>62</v>
      </c>
      <c r="F1356" s="125">
        <v>3.1099999999999999E-2</v>
      </c>
      <c r="G1356" s="283">
        <v>56784.2</v>
      </c>
      <c r="H1356" s="283">
        <f>F1356*G1356</f>
        <v>1765.9886199999999</v>
      </c>
      <c r="I1356" s="44"/>
    </row>
    <row r="1357" spans="3:13" s="59" customFormat="1" ht="13.8">
      <c r="C1357" s="61">
        <v>4</v>
      </c>
      <c r="D1357" s="56" t="s">
        <v>4682</v>
      </c>
      <c r="E1357" s="93" t="s">
        <v>2167</v>
      </c>
      <c r="F1357" s="104">
        <v>1</v>
      </c>
      <c r="G1357" s="63">
        <f>VLOOKUP(D1357,upahbahan,3,FALSE)</f>
        <v>75000</v>
      </c>
      <c r="H1357" s="63">
        <f>F1357*G1357</f>
        <v>75000</v>
      </c>
      <c r="I1357" s="44"/>
    </row>
    <row r="1358" spans="3:13" s="59" customFormat="1" ht="13.8">
      <c r="C1358" s="450" t="s">
        <v>1214</v>
      </c>
      <c r="D1358" s="67"/>
      <c r="E1358" s="67"/>
      <c r="F1358" s="67"/>
      <c r="G1358" s="69"/>
      <c r="H1358" s="63">
        <f>SUM(H1354:H1357)</f>
        <v>90685.988620000004</v>
      </c>
      <c r="I1358" s="44"/>
    </row>
    <row r="1359" spans="3:13" s="59" customFormat="1" ht="13.8">
      <c r="C1359" s="61" t="s">
        <v>1215</v>
      </c>
      <c r="D1359" s="56" t="s">
        <v>1216</v>
      </c>
      <c r="E1359" s="93"/>
      <c r="F1359" s="57"/>
      <c r="G1359" s="57"/>
      <c r="H1359" s="57"/>
      <c r="I1359" s="44"/>
    </row>
    <row r="1360" spans="3:13" s="59" customFormat="1" ht="13.8">
      <c r="C1360" s="450" t="s">
        <v>1217</v>
      </c>
      <c r="D1360" s="67"/>
      <c r="E1360" s="67"/>
      <c r="F1360" s="67"/>
      <c r="G1360" s="69"/>
      <c r="H1360" s="882">
        <f>SUM(H1359:H1359)</f>
        <v>0</v>
      </c>
      <c r="I1360" s="44"/>
    </row>
    <row r="1361" spans="3:13" s="59" customFormat="1" ht="13.8">
      <c r="C1361" s="288" t="s">
        <v>1218</v>
      </c>
      <c r="D1361" s="76" t="s">
        <v>1219</v>
      </c>
      <c r="E1361" s="77"/>
      <c r="F1361" s="77"/>
      <c r="G1361" s="78"/>
      <c r="H1361" s="585">
        <f>H1360+H1358+H1352</f>
        <v>99042.988620000004</v>
      </c>
      <c r="I1361" s="369"/>
    </row>
    <row r="1362" spans="3:13" s="59" customFormat="1" ht="13.8">
      <c r="C1362" s="288" t="s">
        <v>1220</v>
      </c>
      <c r="D1362" s="76" t="s">
        <v>1321</v>
      </c>
      <c r="E1362" s="77"/>
      <c r="F1362" s="78"/>
      <c r="G1362" s="80">
        <v>0.1</v>
      </c>
      <c r="H1362" s="63">
        <f>H1361*G1362</f>
        <v>9904.2988620000015</v>
      </c>
      <c r="I1362" s="369"/>
    </row>
    <row r="1363" spans="3:13" s="59" customFormat="1" ht="13.8">
      <c r="C1363" s="288" t="s">
        <v>1221</v>
      </c>
      <c r="D1363" s="76" t="s">
        <v>1222</v>
      </c>
      <c r="E1363" s="77"/>
      <c r="F1363" s="77"/>
      <c r="G1363" s="78"/>
      <c r="H1363" s="799">
        <f>SUM(H1361:H1362)</f>
        <v>108947.287482</v>
      </c>
      <c r="I1363" s="369"/>
    </row>
    <row r="1365" spans="3:13" s="59" customFormat="1" ht="13.8">
      <c r="C1365" s="46" t="s">
        <v>4698</v>
      </c>
      <c r="D1365" s="1934" t="s">
        <v>4699</v>
      </c>
      <c r="E1365" s="1934"/>
      <c r="F1365" s="1934"/>
      <c r="G1365" s="1934"/>
      <c r="H1365" s="1934"/>
      <c r="I1365" s="50">
        <f>ROUNDDOWN(H1383,-2)</f>
        <v>189500</v>
      </c>
    </row>
    <row r="1366" spans="3:13" s="59" customFormat="1" ht="13.8">
      <c r="C1366" s="591" t="s">
        <v>1195</v>
      </c>
      <c r="D1366" s="591" t="s">
        <v>1196</v>
      </c>
      <c r="E1366" s="591" t="s">
        <v>1197</v>
      </c>
      <c r="F1366" s="591" t="s">
        <v>1198</v>
      </c>
      <c r="G1366" s="591" t="s">
        <v>1199</v>
      </c>
      <c r="H1366" s="591" t="s">
        <v>1200</v>
      </c>
      <c r="I1366" s="44"/>
    </row>
    <row r="1367" spans="3:13" s="59" customFormat="1" ht="13.8">
      <c r="C1367" s="61" t="s">
        <v>1201</v>
      </c>
      <c r="D1367" s="56" t="s">
        <v>1202</v>
      </c>
      <c r="E1367" s="57"/>
      <c r="F1367" s="57"/>
      <c r="G1367" s="57"/>
      <c r="H1367" s="57"/>
      <c r="I1367" s="44"/>
      <c r="J1367" s="152" t="s">
        <v>1247</v>
      </c>
    </row>
    <row r="1368" spans="3:13" s="59" customFormat="1" ht="13.8">
      <c r="C1368" s="588">
        <v>1</v>
      </c>
      <c r="D1368" s="56" t="s">
        <v>5</v>
      </c>
      <c r="E1368" s="577" t="s">
        <v>6</v>
      </c>
      <c r="F1368" s="101">
        <v>4.2299999999999997E-2</v>
      </c>
      <c r="G1368" s="63">
        <f>VLOOKUP(D1368,upahbahan,3,FALSE)</f>
        <v>100000</v>
      </c>
      <c r="H1368" s="63">
        <f>F1368*G1368</f>
        <v>4230</v>
      </c>
      <c r="I1368" s="44"/>
      <c r="J1368" s="152" t="s">
        <v>1248</v>
      </c>
      <c r="M1368" s="65">
        <v>0.1</v>
      </c>
    </row>
    <row r="1369" spans="3:13" s="59" customFormat="1" ht="13.8">
      <c r="C1369" s="588">
        <v>2</v>
      </c>
      <c r="D1369" s="56" t="s">
        <v>2165</v>
      </c>
      <c r="E1369" s="577" t="s">
        <v>6</v>
      </c>
      <c r="F1369" s="101">
        <v>4.2299999999999997E-2</v>
      </c>
      <c r="G1369" s="63">
        <f>VLOOKUP(D1369,upahbahan,3,FALSE)</f>
        <v>135000</v>
      </c>
      <c r="H1369" s="63">
        <f t="shared" ref="H1369:H1370" si="73">F1369*G1369</f>
        <v>5710.5</v>
      </c>
      <c r="I1369" s="44"/>
      <c r="J1369" s="152"/>
      <c r="M1369" s="65"/>
    </row>
    <row r="1370" spans="3:13" s="59" customFormat="1" ht="13.8">
      <c r="C1370" s="588">
        <v>3</v>
      </c>
      <c r="D1370" s="56" t="s">
        <v>19</v>
      </c>
      <c r="E1370" s="577" t="s">
        <v>6</v>
      </c>
      <c r="F1370" s="101">
        <v>2.0999999999999999E-3</v>
      </c>
      <c r="G1370" s="63">
        <f>VLOOKUP(D1370,upahbahan,3,FALSE)</f>
        <v>160000</v>
      </c>
      <c r="H1370" s="63">
        <f t="shared" si="73"/>
        <v>336</v>
      </c>
      <c r="I1370" s="44"/>
    </row>
    <row r="1371" spans="3:13" s="59" customFormat="1" ht="13.8">
      <c r="C1371" s="450" t="s">
        <v>1208</v>
      </c>
      <c r="D1371" s="67"/>
      <c r="E1371" s="67"/>
      <c r="F1371" s="142"/>
      <c r="G1371" s="153"/>
      <c r="H1371" s="63">
        <f>SUM(H1368:H1370)</f>
        <v>10276.5</v>
      </c>
      <c r="I1371" s="154"/>
    </row>
    <row r="1372" spans="3:13" s="59" customFormat="1" ht="13.8">
      <c r="C1372" s="61" t="s">
        <v>1209</v>
      </c>
      <c r="D1372" s="56" t="s">
        <v>1210</v>
      </c>
      <c r="E1372" s="57"/>
      <c r="F1372" s="57"/>
      <c r="G1372" s="57"/>
      <c r="H1372" s="57"/>
      <c r="I1372" s="44"/>
    </row>
    <row r="1373" spans="3:13" s="59" customFormat="1" ht="13.8">
      <c r="C1373" s="61">
        <v>1</v>
      </c>
      <c r="D1373" s="56" t="s">
        <v>4574</v>
      </c>
      <c r="E1373" s="93" t="s">
        <v>42</v>
      </c>
      <c r="F1373" s="103">
        <v>0.02</v>
      </c>
      <c r="G1373" s="63">
        <f>VLOOKUP(D1373,upahbahan,3,FALSE)</f>
        <v>928000</v>
      </c>
      <c r="H1373" s="63">
        <f>F1373*G1373</f>
        <v>18560</v>
      </c>
      <c r="I1373" s="44"/>
    </row>
    <row r="1374" spans="3:13" s="59" customFormat="1" ht="13.8">
      <c r="C1374" s="61">
        <v>2</v>
      </c>
      <c r="D1374" s="56" t="s">
        <v>4488</v>
      </c>
      <c r="E1374" s="93" t="s">
        <v>42</v>
      </c>
      <c r="F1374" s="103">
        <v>0.02</v>
      </c>
      <c r="G1374" s="63">
        <f>VLOOKUP(D1374,upahbahan,3,FALSE)</f>
        <v>0</v>
      </c>
      <c r="H1374" s="63">
        <f>F1374*G1374</f>
        <v>0</v>
      </c>
      <c r="I1374" s="44"/>
    </row>
    <row r="1375" spans="3:13" s="59" customFormat="1" ht="27.6">
      <c r="C1375" s="61">
        <v>3</v>
      </c>
      <c r="D1375" s="56" t="s">
        <v>4667</v>
      </c>
      <c r="E1375" s="124" t="s">
        <v>62</v>
      </c>
      <c r="F1375" s="125">
        <v>5.5300000000000002E-2</v>
      </c>
      <c r="G1375" s="283">
        <v>56784.2</v>
      </c>
      <c r="H1375" s="283">
        <f>F1375*G1375</f>
        <v>3140.16626</v>
      </c>
      <c r="I1375" s="44"/>
    </row>
    <row r="1376" spans="3:13" s="59" customFormat="1" ht="13.8">
      <c r="C1376" s="61">
        <v>4</v>
      </c>
      <c r="D1376" s="56" t="s">
        <v>4683</v>
      </c>
      <c r="E1376" s="93" t="s">
        <v>2167</v>
      </c>
      <c r="F1376" s="104">
        <v>1</v>
      </c>
      <c r="G1376" s="63">
        <f>VLOOKUP(D1376,upahbahan,3,FALSE)</f>
        <v>120000</v>
      </c>
      <c r="H1376" s="63">
        <f>F1376*G1376</f>
        <v>120000</v>
      </c>
      <c r="I1376" s="44"/>
    </row>
    <row r="1377" spans="3:13" s="59" customFormat="1" ht="13.8">
      <c r="C1377" s="450" t="s">
        <v>1214</v>
      </c>
      <c r="D1377" s="67"/>
      <c r="E1377" s="67"/>
      <c r="F1377" s="67"/>
      <c r="G1377" s="69"/>
      <c r="H1377" s="63">
        <f>SUM(H1373:H1376)</f>
        <v>141700.16626</v>
      </c>
      <c r="I1377" s="44"/>
    </row>
    <row r="1378" spans="3:13" s="59" customFormat="1" ht="13.8">
      <c r="C1378" s="61" t="s">
        <v>1215</v>
      </c>
      <c r="D1378" s="56" t="s">
        <v>1216</v>
      </c>
      <c r="E1378" s="93"/>
      <c r="F1378" s="57"/>
      <c r="G1378" s="57"/>
      <c r="H1378" s="57"/>
      <c r="I1378" s="44"/>
    </row>
    <row r="1379" spans="3:13" s="59" customFormat="1" ht="13.8">
      <c r="C1379" s="800">
        <v>1</v>
      </c>
      <c r="D1379" s="56" t="s">
        <v>4652</v>
      </c>
      <c r="E1379" s="93" t="s">
        <v>2396</v>
      </c>
      <c r="F1379" s="94">
        <v>4.2299999999999997E-2</v>
      </c>
      <c r="G1379" s="63">
        <f>VLOOKUP(D1379,upahbahan,3,FALSE)</f>
        <v>480000</v>
      </c>
      <c r="H1379" s="63">
        <f>F1379*G1379</f>
        <v>20304</v>
      </c>
      <c r="I1379" s="44"/>
    </row>
    <row r="1380" spans="3:13" s="59" customFormat="1" ht="13.8">
      <c r="C1380" s="450" t="s">
        <v>1217</v>
      </c>
      <c r="D1380" s="67"/>
      <c r="E1380" s="67"/>
      <c r="F1380" s="67"/>
      <c r="G1380" s="69"/>
      <c r="H1380" s="882">
        <f>SUM(H1378:H1379)</f>
        <v>20304</v>
      </c>
      <c r="I1380" s="44"/>
    </row>
    <row r="1381" spans="3:13" s="59" customFormat="1" ht="13.8">
      <c r="C1381" s="288" t="s">
        <v>1218</v>
      </c>
      <c r="D1381" s="76" t="s">
        <v>1219</v>
      </c>
      <c r="E1381" s="77"/>
      <c r="F1381" s="77"/>
      <c r="G1381" s="78"/>
      <c r="H1381" s="585">
        <f>H1380+H1377+H1371</f>
        <v>172280.66626</v>
      </c>
      <c r="I1381" s="369"/>
    </row>
    <row r="1382" spans="3:13" s="59" customFormat="1" ht="13.8">
      <c r="C1382" s="288" t="s">
        <v>1220</v>
      </c>
      <c r="D1382" s="76" t="s">
        <v>1321</v>
      </c>
      <c r="E1382" s="77"/>
      <c r="F1382" s="78"/>
      <c r="G1382" s="80">
        <v>0.1</v>
      </c>
      <c r="H1382" s="63">
        <f>H1381*G1382</f>
        <v>17228.066626</v>
      </c>
      <c r="I1382" s="369"/>
    </row>
    <row r="1383" spans="3:13" s="59" customFormat="1" ht="13.8">
      <c r="C1383" s="288" t="s">
        <v>1221</v>
      </c>
      <c r="D1383" s="76" t="s">
        <v>1222</v>
      </c>
      <c r="E1383" s="77"/>
      <c r="F1383" s="77"/>
      <c r="G1383" s="78"/>
      <c r="H1383" s="799">
        <f>SUM(H1381:H1382)</f>
        <v>189508.73288600001</v>
      </c>
      <c r="I1383" s="369"/>
    </row>
    <row r="1386" spans="3:13" s="59" customFormat="1" ht="13.8">
      <c r="C1386" s="46" t="s">
        <v>4700</v>
      </c>
      <c r="D1386" s="1934" t="s">
        <v>4701</v>
      </c>
      <c r="E1386" s="1934"/>
      <c r="F1386" s="1934"/>
      <c r="G1386" s="1934"/>
      <c r="H1386" s="1934"/>
      <c r="I1386" s="50">
        <f>ROUNDDOWN(H1404,-2)</f>
        <v>208700</v>
      </c>
    </row>
    <row r="1387" spans="3:13" s="59" customFormat="1" ht="22.8" customHeight="1">
      <c r="C1387" s="591" t="s">
        <v>1195</v>
      </c>
      <c r="D1387" s="591" t="s">
        <v>1196</v>
      </c>
      <c r="E1387" s="591" t="s">
        <v>1197</v>
      </c>
      <c r="F1387" s="591" t="s">
        <v>1198</v>
      </c>
      <c r="G1387" s="591" t="s">
        <v>1199</v>
      </c>
      <c r="H1387" s="591" t="s">
        <v>1200</v>
      </c>
      <c r="I1387" s="44"/>
    </row>
    <row r="1388" spans="3:13" s="59" customFormat="1" ht="22.8" customHeight="1">
      <c r="C1388" s="61" t="s">
        <v>1201</v>
      </c>
      <c r="D1388" s="56" t="s">
        <v>1202</v>
      </c>
      <c r="E1388" s="57"/>
      <c r="F1388" s="57"/>
      <c r="G1388" s="57"/>
      <c r="H1388" s="57"/>
      <c r="I1388" s="44"/>
      <c r="J1388" s="152" t="s">
        <v>1247</v>
      </c>
    </row>
    <row r="1389" spans="3:13" s="59" customFormat="1" ht="22.8" customHeight="1">
      <c r="C1389" s="588">
        <v>1</v>
      </c>
      <c r="D1389" s="56" t="s">
        <v>5</v>
      </c>
      <c r="E1389" s="577" t="s">
        <v>6</v>
      </c>
      <c r="F1389" s="101">
        <v>5.0099999999999999E-2</v>
      </c>
      <c r="G1389" s="63">
        <f>VLOOKUP(D1389,upahbahan,3,FALSE)</f>
        <v>100000</v>
      </c>
      <c r="H1389" s="63">
        <f>F1389*G1389</f>
        <v>5010</v>
      </c>
      <c r="I1389" s="44"/>
      <c r="J1389" s="152" t="s">
        <v>1248</v>
      </c>
      <c r="M1389" s="65">
        <v>0.1</v>
      </c>
    </row>
    <row r="1390" spans="3:13" s="59" customFormat="1" ht="22.8" customHeight="1">
      <c r="C1390" s="588">
        <v>2</v>
      </c>
      <c r="D1390" s="56" t="s">
        <v>2165</v>
      </c>
      <c r="E1390" s="577" t="s">
        <v>6</v>
      </c>
      <c r="F1390" s="101">
        <v>5.0099999999999999E-2</v>
      </c>
      <c r="G1390" s="63">
        <f>VLOOKUP(D1390,upahbahan,3,FALSE)</f>
        <v>135000</v>
      </c>
      <c r="H1390" s="63">
        <f t="shared" ref="H1390:H1391" si="74">F1390*G1390</f>
        <v>6763.5</v>
      </c>
      <c r="I1390" s="44"/>
      <c r="J1390" s="152"/>
      <c r="M1390" s="65"/>
    </row>
    <row r="1391" spans="3:13" s="59" customFormat="1" ht="22.8" customHeight="1">
      <c r="C1391" s="588">
        <v>3</v>
      </c>
      <c r="D1391" s="56" t="s">
        <v>19</v>
      </c>
      <c r="E1391" s="577" t="s">
        <v>6</v>
      </c>
      <c r="F1391" s="101">
        <v>2.5000000000000001E-3</v>
      </c>
      <c r="G1391" s="63">
        <f>VLOOKUP(D1391,upahbahan,3,FALSE)</f>
        <v>160000</v>
      </c>
      <c r="H1391" s="63">
        <f t="shared" si="74"/>
        <v>400</v>
      </c>
      <c r="I1391" s="44"/>
    </row>
    <row r="1392" spans="3:13" s="59" customFormat="1" ht="22.8" customHeight="1">
      <c r="C1392" s="450" t="s">
        <v>1208</v>
      </c>
      <c r="D1392" s="67"/>
      <c r="E1392" s="67"/>
      <c r="F1392" s="142"/>
      <c r="G1392" s="153"/>
      <c r="H1392" s="63">
        <f>SUM(H1389:H1391)</f>
        <v>12173.5</v>
      </c>
      <c r="I1392" s="154"/>
    </row>
    <row r="1393" spans="3:10" s="59" customFormat="1" ht="22.8" customHeight="1">
      <c r="C1393" s="61" t="s">
        <v>1209</v>
      </c>
      <c r="D1393" s="56" t="s">
        <v>1210</v>
      </c>
      <c r="E1393" s="57"/>
      <c r="F1393" s="57"/>
      <c r="G1393" s="57"/>
      <c r="H1393" s="57"/>
      <c r="I1393" s="44"/>
    </row>
    <row r="1394" spans="3:10" s="59" customFormat="1" ht="22.8" customHeight="1">
      <c r="C1394" s="61">
        <v>1</v>
      </c>
      <c r="D1394" s="56" t="s">
        <v>4574</v>
      </c>
      <c r="E1394" s="93" t="s">
        <v>42</v>
      </c>
      <c r="F1394" s="103">
        <v>2.5000000000000001E-2</v>
      </c>
      <c r="G1394" s="63">
        <f>VLOOKUP(D1394,upahbahan,3,FALSE)</f>
        <v>928000</v>
      </c>
      <c r="H1394" s="63">
        <f>F1394*G1394</f>
        <v>23200</v>
      </c>
      <c r="I1394" s="44"/>
    </row>
    <row r="1395" spans="3:10" s="59" customFormat="1" ht="22.8" customHeight="1">
      <c r="C1395" s="61">
        <v>2</v>
      </c>
      <c r="D1395" s="56" t="s">
        <v>4488</v>
      </c>
      <c r="E1395" s="93" t="s">
        <v>42</v>
      </c>
      <c r="F1395" s="103">
        <v>2.5000000000000001E-2</v>
      </c>
      <c r="G1395" s="63">
        <f>VLOOKUP(D1395,upahbahan,3,FALSE)</f>
        <v>0</v>
      </c>
      <c r="H1395" s="63">
        <f>F1395*G1395</f>
        <v>0</v>
      </c>
      <c r="I1395" s="44"/>
    </row>
    <row r="1396" spans="3:10" s="59" customFormat="1" ht="22.8" customHeight="1">
      <c r="C1396" s="61">
        <v>3</v>
      </c>
      <c r="D1396" s="56" t="s">
        <v>4667</v>
      </c>
      <c r="E1396" s="124" t="s">
        <v>62</v>
      </c>
      <c r="F1396" s="125">
        <v>7.6999999999999999E-2</v>
      </c>
      <c r="G1396" s="283">
        <v>56784.2</v>
      </c>
      <c r="H1396" s="283">
        <f>F1396*G1396</f>
        <v>4372.3833999999997</v>
      </c>
      <c r="I1396" s="44"/>
    </row>
    <row r="1397" spans="3:10" s="59" customFormat="1" ht="22.8" customHeight="1">
      <c r="C1397" s="61">
        <v>4</v>
      </c>
      <c r="D1397" s="56" t="s">
        <v>4684</v>
      </c>
      <c r="E1397" s="93" t="s">
        <v>2167</v>
      </c>
      <c r="F1397" s="104">
        <v>1</v>
      </c>
      <c r="G1397" s="63">
        <f>VLOOKUP(D1397,upahbahan,3,FALSE)</f>
        <v>150000</v>
      </c>
      <c r="H1397" s="63">
        <f>F1397*G1397</f>
        <v>150000</v>
      </c>
      <c r="I1397" s="44"/>
    </row>
    <row r="1398" spans="3:10" s="59" customFormat="1" ht="22.8" customHeight="1">
      <c r="C1398" s="450" t="s">
        <v>1214</v>
      </c>
      <c r="D1398" s="67"/>
      <c r="E1398" s="67"/>
      <c r="F1398" s="67"/>
      <c r="G1398" s="69"/>
      <c r="H1398" s="63">
        <f>SUM(H1394:H1397)</f>
        <v>177572.38339999999</v>
      </c>
      <c r="I1398" s="44"/>
    </row>
    <row r="1399" spans="3:10" s="59" customFormat="1" ht="22.8" customHeight="1">
      <c r="C1399" s="61" t="s">
        <v>1215</v>
      </c>
      <c r="D1399" s="56" t="s">
        <v>1216</v>
      </c>
      <c r="E1399" s="93"/>
      <c r="F1399" s="57"/>
      <c r="G1399" s="57"/>
      <c r="H1399" s="57"/>
      <c r="I1399" s="44"/>
    </row>
    <row r="1400" spans="3:10" s="59" customFormat="1" ht="22.8" customHeight="1">
      <c r="C1400" s="800">
        <v>1</v>
      </c>
      <c r="D1400" s="56" t="s">
        <v>4652</v>
      </c>
      <c r="E1400" s="93" t="s">
        <v>2396</v>
      </c>
      <c r="F1400" s="94">
        <v>5.0099999999999999E-2</v>
      </c>
      <c r="G1400" s="63">
        <f>VLOOKUP(D1400,upahbahan,3,FALSE)</f>
        <v>480000</v>
      </c>
      <c r="H1400" s="63">
        <f>F1400*G1400</f>
        <v>24048</v>
      </c>
      <c r="I1400" s="44"/>
    </row>
    <row r="1401" spans="3:10" s="59" customFormat="1" ht="22.8" customHeight="1">
      <c r="C1401" s="450" t="s">
        <v>1217</v>
      </c>
      <c r="D1401" s="67"/>
      <c r="E1401" s="67"/>
      <c r="F1401" s="67"/>
      <c r="G1401" s="69"/>
      <c r="H1401" s="882">
        <f>SUM(H1399:H1399)</f>
        <v>0</v>
      </c>
      <c r="I1401" s="44"/>
    </row>
    <row r="1402" spans="3:10" s="59" customFormat="1" ht="22.8" customHeight="1">
      <c r="C1402" s="288" t="s">
        <v>1218</v>
      </c>
      <c r="D1402" s="76" t="s">
        <v>1219</v>
      </c>
      <c r="E1402" s="77"/>
      <c r="F1402" s="77"/>
      <c r="G1402" s="78"/>
      <c r="H1402" s="585">
        <f>H1401+H1398+H1392</f>
        <v>189745.88339999999</v>
      </c>
      <c r="I1402" s="369"/>
    </row>
    <row r="1403" spans="3:10" s="59" customFormat="1" ht="22.8" customHeight="1">
      <c r="C1403" s="288" t="s">
        <v>1220</v>
      </c>
      <c r="D1403" s="76" t="s">
        <v>1321</v>
      </c>
      <c r="E1403" s="77"/>
      <c r="F1403" s="78"/>
      <c r="G1403" s="80">
        <v>0.1</v>
      </c>
      <c r="H1403" s="63">
        <f>H1402*G1403</f>
        <v>18974.588339999998</v>
      </c>
      <c r="I1403" s="369"/>
    </row>
    <row r="1404" spans="3:10" s="59" customFormat="1" ht="22.8" customHeight="1">
      <c r="C1404" s="288" t="s">
        <v>1221</v>
      </c>
      <c r="D1404" s="76" t="s">
        <v>1222</v>
      </c>
      <c r="E1404" s="77"/>
      <c r="F1404" s="77"/>
      <c r="G1404" s="78"/>
      <c r="H1404" s="799">
        <f>SUM(H1402:H1403)</f>
        <v>208720.47173999998</v>
      </c>
      <c r="I1404" s="369"/>
    </row>
    <row r="1405" spans="3:10" ht="22.8" customHeight="1"/>
    <row r="1406" spans="3:10" s="59" customFormat="1" ht="22.8" customHeight="1">
      <c r="C1406" s="46" t="s">
        <v>4702</v>
      </c>
      <c r="D1406" s="1934" t="s">
        <v>4703</v>
      </c>
      <c r="E1406" s="1934"/>
      <c r="F1406" s="1934"/>
      <c r="G1406" s="1934"/>
      <c r="H1406" s="1934"/>
      <c r="I1406" s="50">
        <f>ROUNDDOWN(H1424,-2)</f>
        <v>362700</v>
      </c>
    </row>
    <row r="1407" spans="3:10" s="59" customFormat="1" ht="22.8" customHeight="1">
      <c r="C1407" s="591" t="s">
        <v>1195</v>
      </c>
      <c r="D1407" s="591" t="s">
        <v>1196</v>
      </c>
      <c r="E1407" s="591" t="s">
        <v>1197</v>
      </c>
      <c r="F1407" s="591" t="s">
        <v>1198</v>
      </c>
      <c r="G1407" s="591" t="s">
        <v>1199</v>
      </c>
      <c r="H1407" s="591" t="s">
        <v>1200</v>
      </c>
      <c r="I1407" s="44"/>
    </row>
    <row r="1408" spans="3:10" s="59" customFormat="1" ht="22.8" customHeight="1">
      <c r="C1408" s="61" t="s">
        <v>1201</v>
      </c>
      <c r="D1408" s="56" t="s">
        <v>1202</v>
      </c>
      <c r="E1408" s="57"/>
      <c r="F1408" s="57"/>
      <c r="G1408" s="57"/>
      <c r="H1408" s="57"/>
      <c r="I1408" s="44"/>
      <c r="J1408" s="152" t="s">
        <v>1247</v>
      </c>
    </row>
    <row r="1409" spans="3:13" s="59" customFormat="1" ht="22.8" customHeight="1">
      <c r="C1409" s="588">
        <v>1</v>
      </c>
      <c r="D1409" s="56" t="s">
        <v>5</v>
      </c>
      <c r="E1409" s="577" t="s">
        <v>6</v>
      </c>
      <c r="F1409" s="101">
        <v>6.2E-2</v>
      </c>
      <c r="G1409" s="63">
        <f>VLOOKUP(D1409,upahbahan,3,FALSE)</f>
        <v>100000</v>
      </c>
      <c r="H1409" s="63">
        <f>F1409*G1409</f>
        <v>6200</v>
      </c>
      <c r="I1409" s="44"/>
      <c r="J1409" s="152" t="s">
        <v>1248</v>
      </c>
      <c r="M1409" s="65">
        <v>0.1</v>
      </c>
    </row>
    <row r="1410" spans="3:13" s="59" customFormat="1" ht="22.8" customHeight="1">
      <c r="C1410" s="588">
        <v>2</v>
      </c>
      <c r="D1410" s="56" t="s">
        <v>2165</v>
      </c>
      <c r="E1410" s="577" t="s">
        <v>6</v>
      </c>
      <c r="F1410" s="101">
        <v>6.2E-2</v>
      </c>
      <c r="G1410" s="63">
        <f>VLOOKUP(D1410,upahbahan,3,FALSE)</f>
        <v>135000</v>
      </c>
      <c r="H1410" s="63">
        <f t="shared" ref="H1410:H1411" si="75">F1410*G1410</f>
        <v>8370</v>
      </c>
      <c r="I1410" s="44"/>
      <c r="J1410" s="152"/>
      <c r="M1410" s="65"/>
    </row>
    <row r="1411" spans="3:13" s="59" customFormat="1" ht="22.8" customHeight="1">
      <c r="C1411" s="588">
        <v>3</v>
      </c>
      <c r="D1411" s="56" t="s">
        <v>19</v>
      </c>
      <c r="E1411" s="577" t="s">
        <v>6</v>
      </c>
      <c r="F1411" s="101">
        <v>3.0999999999999999E-3</v>
      </c>
      <c r="G1411" s="63">
        <f>VLOOKUP(D1411,upahbahan,3,FALSE)</f>
        <v>160000</v>
      </c>
      <c r="H1411" s="63">
        <f t="shared" si="75"/>
        <v>496</v>
      </c>
      <c r="I1411" s="44"/>
    </row>
    <row r="1412" spans="3:13" s="59" customFormat="1" ht="22.8" customHeight="1">
      <c r="C1412" s="450" t="s">
        <v>1208</v>
      </c>
      <c r="D1412" s="67"/>
      <c r="E1412" s="67"/>
      <c r="F1412" s="142"/>
      <c r="G1412" s="153"/>
      <c r="H1412" s="63">
        <f>SUM(H1409:H1411)</f>
        <v>15066</v>
      </c>
      <c r="I1412" s="154"/>
    </row>
    <row r="1413" spans="3:13" s="59" customFormat="1" ht="22.8" customHeight="1">
      <c r="C1413" s="61" t="s">
        <v>1209</v>
      </c>
      <c r="D1413" s="56" t="s">
        <v>1210</v>
      </c>
      <c r="E1413" s="57"/>
      <c r="F1413" s="57"/>
      <c r="G1413" s="57"/>
      <c r="H1413" s="57"/>
      <c r="I1413" s="44"/>
    </row>
    <row r="1414" spans="3:13" s="59" customFormat="1" ht="22.8" customHeight="1">
      <c r="C1414" s="61">
        <v>1</v>
      </c>
      <c r="D1414" s="56" t="s">
        <v>4574</v>
      </c>
      <c r="E1414" s="93" t="s">
        <v>42</v>
      </c>
      <c r="F1414" s="103">
        <v>0.03</v>
      </c>
      <c r="G1414" s="63">
        <f>VLOOKUP(D1414,upahbahan,3,FALSE)</f>
        <v>928000</v>
      </c>
      <c r="H1414" s="63">
        <f>F1414*G1414</f>
        <v>27840</v>
      </c>
      <c r="I1414" s="44"/>
    </row>
    <row r="1415" spans="3:13" s="59" customFormat="1" ht="22.8" customHeight="1">
      <c r="C1415" s="61">
        <v>2</v>
      </c>
      <c r="D1415" s="56" t="s">
        <v>4488</v>
      </c>
      <c r="E1415" s="93" t="s">
        <v>42</v>
      </c>
      <c r="F1415" s="103">
        <v>0.03</v>
      </c>
      <c r="G1415" s="63">
        <f>VLOOKUP(D1415,upahbahan,3,FALSE)</f>
        <v>0</v>
      </c>
      <c r="H1415" s="63">
        <f>F1415*G1415</f>
        <v>0</v>
      </c>
      <c r="I1415" s="44"/>
    </row>
    <row r="1416" spans="3:13" s="59" customFormat="1" ht="22.8" customHeight="1">
      <c r="C1416" s="61">
        <v>3</v>
      </c>
      <c r="D1416" s="56" t="s">
        <v>4667</v>
      </c>
      <c r="E1416" s="124" t="s">
        <v>62</v>
      </c>
      <c r="F1416" s="125">
        <v>0.1244</v>
      </c>
      <c r="G1416" s="283">
        <v>56784.2</v>
      </c>
      <c r="H1416" s="283">
        <f>F1416*G1416</f>
        <v>7063.9544799999994</v>
      </c>
      <c r="I1416" s="44"/>
    </row>
    <row r="1417" spans="3:13" s="59" customFormat="1" ht="22.8" customHeight="1">
      <c r="C1417" s="61">
        <v>4</v>
      </c>
      <c r="D1417" s="56" t="s">
        <v>4685</v>
      </c>
      <c r="E1417" s="93" t="s">
        <v>2167</v>
      </c>
      <c r="F1417" s="104">
        <v>1</v>
      </c>
      <c r="G1417" s="63">
        <f>VLOOKUP(D1417,upahbahan,3,FALSE)</f>
        <v>250000</v>
      </c>
      <c r="H1417" s="63">
        <f>F1417*G1417</f>
        <v>250000</v>
      </c>
      <c r="I1417" s="44"/>
    </row>
    <row r="1418" spans="3:13" s="59" customFormat="1" ht="22.8" customHeight="1">
      <c r="C1418" s="450" t="s">
        <v>1214</v>
      </c>
      <c r="D1418" s="67"/>
      <c r="E1418" s="67"/>
      <c r="F1418" s="67"/>
      <c r="G1418" s="69"/>
      <c r="H1418" s="63">
        <f>SUM(H1414:H1417)</f>
        <v>284903.95448000001</v>
      </c>
      <c r="I1418" s="44"/>
    </row>
    <row r="1419" spans="3:13" s="59" customFormat="1" ht="22.8" customHeight="1">
      <c r="C1419" s="61" t="s">
        <v>1215</v>
      </c>
      <c r="D1419" s="56" t="s">
        <v>1216</v>
      </c>
      <c r="E1419" s="93"/>
      <c r="F1419" s="57"/>
      <c r="G1419" s="57"/>
      <c r="H1419" s="57"/>
      <c r="I1419" s="44"/>
    </row>
    <row r="1420" spans="3:13" s="59" customFormat="1" ht="22.8" customHeight="1">
      <c r="C1420" s="800">
        <v>1</v>
      </c>
      <c r="D1420" s="56" t="s">
        <v>4652</v>
      </c>
      <c r="E1420" s="93" t="s">
        <v>2396</v>
      </c>
      <c r="F1420" s="94">
        <v>6.2E-2</v>
      </c>
      <c r="G1420" s="63">
        <f>VLOOKUP(D1420,upahbahan,3,FALSE)</f>
        <v>480000</v>
      </c>
      <c r="H1420" s="63">
        <f>F1420*G1420</f>
        <v>29760</v>
      </c>
      <c r="I1420" s="44"/>
    </row>
    <row r="1421" spans="3:13" s="59" customFormat="1" ht="22.8" customHeight="1">
      <c r="C1421" s="450" t="s">
        <v>1217</v>
      </c>
      <c r="D1421" s="67"/>
      <c r="E1421" s="67"/>
      <c r="F1421" s="67"/>
      <c r="G1421" s="69"/>
      <c r="H1421" s="882">
        <f>SUM(H1419:H1420)</f>
        <v>29760</v>
      </c>
      <c r="I1421" s="44"/>
    </row>
    <row r="1422" spans="3:13" s="59" customFormat="1" ht="22.8" customHeight="1">
      <c r="C1422" s="288" t="s">
        <v>1218</v>
      </c>
      <c r="D1422" s="76" t="s">
        <v>1219</v>
      </c>
      <c r="E1422" s="77"/>
      <c r="F1422" s="77"/>
      <c r="G1422" s="78"/>
      <c r="H1422" s="585">
        <f>H1421+H1418+H1412</f>
        <v>329729.95448000001</v>
      </c>
      <c r="I1422" s="369"/>
    </row>
    <row r="1423" spans="3:13" s="59" customFormat="1" ht="22.8" customHeight="1">
      <c r="C1423" s="288" t="s">
        <v>1220</v>
      </c>
      <c r="D1423" s="76" t="s">
        <v>1321</v>
      </c>
      <c r="E1423" s="77"/>
      <c r="F1423" s="78"/>
      <c r="G1423" s="80">
        <v>0.1</v>
      </c>
      <c r="H1423" s="63">
        <f>H1422*G1423</f>
        <v>32972.995448000001</v>
      </c>
      <c r="I1423" s="369"/>
    </row>
    <row r="1424" spans="3:13" s="59" customFormat="1" ht="22.8" customHeight="1">
      <c r="C1424" s="288" t="s">
        <v>1221</v>
      </c>
      <c r="D1424" s="76" t="s">
        <v>1222</v>
      </c>
      <c r="E1424" s="77"/>
      <c r="F1424" s="77"/>
      <c r="G1424" s="78"/>
      <c r="H1424" s="799">
        <f>SUM(H1422:H1423)</f>
        <v>362702.94992799999</v>
      </c>
      <c r="I1424" s="369"/>
    </row>
    <row r="1425" spans="3:13" ht="22.8" customHeight="1"/>
    <row r="1426" spans="3:13" ht="22.8" customHeight="1"/>
    <row r="1427" spans="3:13" s="59" customFormat="1" ht="22.8" customHeight="1">
      <c r="C1427" s="46" t="s">
        <v>4704</v>
      </c>
      <c r="D1427" s="1934" t="s">
        <v>4705</v>
      </c>
      <c r="E1427" s="1934"/>
      <c r="F1427" s="1934"/>
      <c r="G1427" s="1934"/>
      <c r="H1427" s="1934"/>
      <c r="I1427" s="50">
        <f>ROUNDDOWN(H1445,-2)</f>
        <v>674400</v>
      </c>
    </row>
    <row r="1428" spans="3:13" s="59" customFormat="1" ht="22.8" customHeight="1">
      <c r="C1428" s="591" t="s">
        <v>1195</v>
      </c>
      <c r="D1428" s="591" t="s">
        <v>1196</v>
      </c>
      <c r="E1428" s="591" t="s">
        <v>1197</v>
      </c>
      <c r="F1428" s="591" t="s">
        <v>1198</v>
      </c>
      <c r="G1428" s="591" t="s">
        <v>1199</v>
      </c>
      <c r="H1428" s="591" t="s">
        <v>1200</v>
      </c>
      <c r="I1428" s="44"/>
    </row>
    <row r="1429" spans="3:13" s="59" customFormat="1" ht="22.8" customHeight="1">
      <c r="C1429" s="61" t="s">
        <v>1201</v>
      </c>
      <c r="D1429" s="56" t="s">
        <v>1202</v>
      </c>
      <c r="E1429" s="57"/>
      <c r="F1429" s="57"/>
      <c r="G1429" s="57"/>
      <c r="H1429" s="57"/>
      <c r="I1429" s="44"/>
      <c r="J1429" s="152" t="s">
        <v>1247</v>
      </c>
    </row>
    <row r="1430" spans="3:13" s="59" customFormat="1" ht="22.8" customHeight="1">
      <c r="C1430" s="588">
        <v>1</v>
      </c>
      <c r="D1430" s="56" t="s">
        <v>5</v>
      </c>
      <c r="E1430" s="577" t="s">
        <v>6</v>
      </c>
      <c r="F1430" s="101">
        <v>7.2800000000000004E-2</v>
      </c>
      <c r="G1430" s="63">
        <f>VLOOKUP(D1430,upahbahan,3,FALSE)</f>
        <v>100000</v>
      </c>
      <c r="H1430" s="63">
        <f>F1430*G1430</f>
        <v>7280</v>
      </c>
      <c r="I1430" s="44"/>
      <c r="J1430" s="152" t="s">
        <v>1248</v>
      </c>
      <c r="M1430" s="65">
        <v>0.1</v>
      </c>
    </row>
    <row r="1431" spans="3:13" s="59" customFormat="1" ht="22.8" customHeight="1">
      <c r="C1431" s="588">
        <v>2</v>
      </c>
      <c r="D1431" s="56" t="s">
        <v>2165</v>
      </c>
      <c r="E1431" s="577" t="s">
        <v>6</v>
      </c>
      <c r="F1431" s="101">
        <v>7.2800000000000004E-2</v>
      </c>
      <c r="G1431" s="63">
        <f>VLOOKUP(D1431,upahbahan,3,FALSE)</f>
        <v>135000</v>
      </c>
      <c r="H1431" s="63">
        <f t="shared" ref="H1431:H1432" si="76">F1431*G1431</f>
        <v>9828</v>
      </c>
      <c r="I1431" s="44"/>
      <c r="J1431" s="152"/>
      <c r="M1431" s="65"/>
    </row>
    <row r="1432" spans="3:13" s="59" customFormat="1" ht="22.8" customHeight="1">
      <c r="C1432" s="588">
        <v>3</v>
      </c>
      <c r="D1432" s="56" t="s">
        <v>19</v>
      </c>
      <c r="E1432" s="577" t="s">
        <v>6</v>
      </c>
      <c r="F1432" s="101">
        <v>3.5999999999999999E-3</v>
      </c>
      <c r="G1432" s="63">
        <f>VLOOKUP(D1432,upahbahan,3,FALSE)</f>
        <v>160000</v>
      </c>
      <c r="H1432" s="63">
        <f t="shared" si="76"/>
        <v>576</v>
      </c>
      <c r="I1432" s="44"/>
    </row>
    <row r="1433" spans="3:13" s="59" customFormat="1" ht="22.8" customHeight="1">
      <c r="C1433" s="450" t="s">
        <v>1208</v>
      </c>
      <c r="D1433" s="67"/>
      <c r="E1433" s="67"/>
      <c r="F1433" s="142"/>
      <c r="G1433" s="153"/>
      <c r="H1433" s="63">
        <f>SUM(H1430:H1432)</f>
        <v>17684</v>
      </c>
      <c r="I1433" s="154"/>
    </row>
    <row r="1434" spans="3:13" s="59" customFormat="1" ht="22.8" customHeight="1">
      <c r="C1434" s="61" t="s">
        <v>1209</v>
      </c>
      <c r="D1434" s="56" t="s">
        <v>1210</v>
      </c>
      <c r="E1434" s="57"/>
      <c r="F1434" s="57"/>
      <c r="G1434" s="57"/>
      <c r="H1434" s="57"/>
      <c r="I1434" s="44"/>
    </row>
    <row r="1435" spans="3:13" s="59" customFormat="1" ht="22.8" customHeight="1">
      <c r="C1435" s="61">
        <v>1</v>
      </c>
      <c r="D1435" s="56" t="s">
        <v>4574</v>
      </c>
      <c r="E1435" s="93" t="s">
        <v>42</v>
      </c>
      <c r="F1435" s="103">
        <v>0.04</v>
      </c>
      <c r="G1435" s="63">
        <f>VLOOKUP(D1435,upahbahan,3,FALSE)</f>
        <v>928000</v>
      </c>
      <c r="H1435" s="63">
        <f>F1435*G1435</f>
        <v>37120</v>
      </c>
      <c r="I1435" s="44"/>
    </row>
    <row r="1436" spans="3:13" s="59" customFormat="1" ht="22.8" customHeight="1">
      <c r="C1436" s="61">
        <v>2</v>
      </c>
      <c r="D1436" s="56" t="s">
        <v>4488</v>
      </c>
      <c r="E1436" s="93" t="s">
        <v>42</v>
      </c>
      <c r="F1436" s="103">
        <v>0.04</v>
      </c>
      <c r="G1436" s="63">
        <f>VLOOKUP(D1436,upahbahan,3,FALSE)</f>
        <v>0</v>
      </c>
      <c r="H1436" s="63">
        <f>F1436*G1436</f>
        <v>0</v>
      </c>
      <c r="I1436" s="44"/>
    </row>
    <row r="1437" spans="3:13" s="59" customFormat="1" ht="22.8" customHeight="1">
      <c r="C1437" s="61">
        <v>3</v>
      </c>
      <c r="D1437" s="56" t="s">
        <v>4667</v>
      </c>
      <c r="E1437" s="124" t="s">
        <v>62</v>
      </c>
      <c r="F1437" s="125">
        <v>0.22120000000000001</v>
      </c>
      <c r="G1437" s="283">
        <v>56784.2</v>
      </c>
      <c r="H1437" s="283">
        <f>F1437*G1437</f>
        <v>12560.66504</v>
      </c>
      <c r="I1437" s="44"/>
    </row>
    <row r="1438" spans="3:13" s="59" customFormat="1" ht="22.8" customHeight="1">
      <c r="C1438" s="61">
        <v>4</v>
      </c>
      <c r="D1438" s="56" t="s">
        <v>3805</v>
      </c>
      <c r="E1438" s="93" t="s">
        <v>2167</v>
      </c>
      <c r="F1438" s="104">
        <v>2</v>
      </c>
      <c r="G1438" s="63">
        <f>VLOOKUP(D1438,upahbahan,3,FALSE)</f>
        <v>255400</v>
      </c>
      <c r="H1438" s="63">
        <f>F1438*G1438</f>
        <v>510800</v>
      </c>
      <c r="I1438" s="44"/>
    </row>
    <row r="1439" spans="3:13" s="59" customFormat="1" ht="22.8" customHeight="1">
      <c r="C1439" s="450" t="s">
        <v>1214</v>
      </c>
      <c r="D1439" s="67"/>
      <c r="E1439" s="67"/>
      <c r="F1439" s="67"/>
      <c r="G1439" s="69"/>
      <c r="H1439" s="63">
        <f>SUM(H1435:H1438)</f>
        <v>560480.66503999999</v>
      </c>
      <c r="I1439" s="44"/>
    </row>
    <row r="1440" spans="3:13" s="59" customFormat="1" ht="22.8" customHeight="1">
      <c r="C1440" s="61" t="s">
        <v>1215</v>
      </c>
      <c r="D1440" s="56" t="s">
        <v>1216</v>
      </c>
      <c r="E1440" s="93"/>
      <c r="F1440" s="57"/>
      <c r="G1440" s="57"/>
      <c r="H1440" s="57"/>
      <c r="I1440" s="44"/>
    </row>
    <row r="1441" spans="3:13" s="59" customFormat="1" ht="22.8" customHeight="1">
      <c r="C1441" s="800">
        <v>1</v>
      </c>
      <c r="D1441" s="56" t="s">
        <v>4652</v>
      </c>
      <c r="E1441" s="93" t="s">
        <v>2396</v>
      </c>
      <c r="F1441" s="94">
        <v>7.2800000000000004E-2</v>
      </c>
      <c r="G1441" s="63">
        <f>VLOOKUP(D1441,upahbahan,3,FALSE)</f>
        <v>480000</v>
      </c>
      <c r="H1441" s="63">
        <f>F1441*G1441</f>
        <v>34944</v>
      </c>
      <c r="I1441" s="44"/>
    </row>
    <row r="1442" spans="3:13" s="59" customFormat="1" ht="22.8" customHeight="1">
      <c r="C1442" s="450" t="s">
        <v>1217</v>
      </c>
      <c r="D1442" s="67"/>
      <c r="E1442" s="67"/>
      <c r="F1442" s="67"/>
      <c r="G1442" s="69"/>
      <c r="H1442" s="882">
        <f>SUM(H1440:H1441)</f>
        <v>34944</v>
      </c>
      <c r="I1442" s="44"/>
    </row>
    <row r="1443" spans="3:13" s="59" customFormat="1" ht="22.8" customHeight="1">
      <c r="C1443" s="288" t="s">
        <v>1218</v>
      </c>
      <c r="D1443" s="76" t="s">
        <v>1219</v>
      </c>
      <c r="E1443" s="77"/>
      <c r="F1443" s="77"/>
      <c r="G1443" s="78"/>
      <c r="H1443" s="585">
        <f>H1442+H1439+H1433</f>
        <v>613108.66503999999</v>
      </c>
      <c r="I1443" s="369"/>
    </row>
    <row r="1444" spans="3:13" s="59" customFormat="1" ht="22.8" customHeight="1">
      <c r="C1444" s="288" t="s">
        <v>1220</v>
      </c>
      <c r="D1444" s="76" t="s">
        <v>1321</v>
      </c>
      <c r="E1444" s="77"/>
      <c r="F1444" s="78"/>
      <c r="G1444" s="80">
        <v>0.1</v>
      </c>
      <c r="H1444" s="63">
        <f>H1443*G1444</f>
        <v>61310.866504000005</v>
      </c>
      <c r="I1444" s="369"/>
    </row>
    <row r="1445" spans="3:13" s="59" customFormat="1" ht="22.8" customHeight="1">
      <c r="C1445" s="288" t="s">
        <v>1221</v>
      </c>
      <c r="D1445" s="76" t="s">
        <v>1222</v>
      </c>
      <c r="E1445" s="77"/>
      <c r="F1445" s="77"/>
      <c r="G1445" s="78"/>
      <c r="H1445" s="799">
        <f>SUM(H1443:H1444)</f>
        <v>674419.53154400003</v>
      </c>
      <c r="I1445" s="369"/>
    </row>
    <row r="1446" spans="3:13" ht="22.8" customHeight="1"/>
    <row r="1447" spans="3:13" ht="22.8" customHeight="1"/>
    <row r="1448" spans="3:13" s="59" customFormat="1" ht="22.8" customHeight="1">
      <c r="C1448" s="46" t="s">
        <v>5532</v>
      </c>
      <c r="D1448" s="1934" t="s">
        <v>4706</v>
      </c>
      <c r="E1448" s="1934"/>
      <c r="F1448" s="1934"/>
      <c r="G1448" s="1934"/>
      <c r="H1448" s="1934"/>
      <c r="I1448" s="50">
        <f>ROUNDDOWN(H1466,-2)</f>
        <v>723000</v>
      </c>
    </row>
    <row r="1449" spans="3:13" s="59" customFormat="1" ht="22.8" customHeight="1">
      <c r="C1449" s="591" t="s">
        <v>1195</v>
      </c>
      <c r="D1449" s="591" t="s">
        <v>1196</v>
      </c>
      <c r="E1449" s="591" t="s">
        <v>1197</v>
      </c>
      <c r="F1449" s="591" t="s">
        <v>1198</v>
      </c>
      <c r="G1449" s="591" t="s">
        <v>1199</v>
      </c>
      <c r="H1449" s="591" t="s">
        <v>1200</v>
      </c>
      <c r="I1449" s="44"/>
    </row>
    <row r="1450" spans="3:13" s="59" customFormat="1" ht="22.8" customHeight="1">
      <c r="C1450" s="61" t="s">
        <v>1201</v>
      </c>
      <c r="D1450" s="56" t="s">
        <v>1202</v>
      </c>
      <c r="E1450" s="57"/>
      <c r="F1450" s="57"/>
      <c r="G1450" s="57"/>
      <c r="H1450" s="57"/>
      <c r="I1450" s="44"/>
      <c r="J1450" s="152" t="s">
        <v>1247</v>
      </c>
    </row>
    <row r="1451" spans="3:13" s="59" customFormat="1" ht="22.8" customHeight="1">
      <c r="C1451" s="588">
        <v>1</v>
      </c>
      <c r="D1451" s="56" t="s">
        <v>5</v>
      </c>
      <c r="E1451" s="577" t="s">
        <v>6</v>
      </c>
      <c r="F1451" s="101">
        <v>7.8100000000000003E-2</v>
      </c>
      <c r="G1451" s="63">
        <f>VLOOKUP(D1451,upahbahan,3,FALSE)</f>
        <v>100000</v>
      </c>
      <c r="H1451" s="63">
        <f>F1451*G1451</f>
        <v>7810</v>
      </c>
      <c r="I1451" s="44"/>
      <c r="J1451" s="152" t="s">
        <v>1248</v>
      </c>
      <c r="M1451" s="65">
        <v>0.1</v>
      </c>
    </row>
    <row r="1452" spans="3:13" s="59" customFormat="1" ht="22.8" customHeight="1">
      <c r="C1452" s="588">
        <v>2</v>
      </c>
      <c r="D1452" s="56" t="s">
        <v>2165</v>
      </c>
      <c r="E1452" s="577" t="s">
        <v>6</v>
      </c>
      <c r="F1452" s="101">
        <v>7.8100000000000003E-2</v>
      </c>
      <c r="G1452" s="63">
        <f>VLOOKUP(D1452,upahbahan,3,FALSE)</f>
        <v>135000</v>
      </c>
      <c r="H1452" s="63">
        <f t="shared" ref="H1452:H1453" si="77">F1452*G1452</f>
        <v>10543.5</v>
      </c>
      <c r="I1452" s="44"/>
      <c r="J1452" s="152"/>
      <c r="M1452" s="65"/>
    </row>
    <row r="1453" spans="3:13" s="59" customFormat="1" ht="22.8" customHeight="1">
      <c r="C1453" s="588">
        <v>3</v>
      </c>
      <c r="D1453" s="56" t="s">
        <v>19</v>
      </c>
      <c r="E1453" s="577" t="s">
        <v>6</v>
      </c>
      <c r="F1453" s="101">
        <v>3.8999999999999998E-3</v>
      </c>
      <c r="G1453" s="63">
        <f>VLOOKUP(D1453,upahbahan,3,FALSE)</f>
        <v>160000</v>
      </c>
      <c r="H1453" s="63">
        <f t="shared" si="77"/>
        <v>624</v>
      </c>
      <c r="I1453" s="44"/>
    </row>
    <row r="1454" spans="3:13" s="59" customFormat="1" ht="22.8" customHeight="1">
      <c r="C1454" s="450" t="s">
        <v>1208</v>
      </c>
      <c r="D1454" s="67"/>
      <c r="E1454" s="67"/>
      <c r="F1454" s="142"/>
      <c r="G1454" s="153"/>
      <c r="H1454" s="63">
        <f>SUM(H1451:H1453)</f>
        <v>18977.5</v>
      </c>
      <c r="I1454" s="154"/>
    </row>
    <row r="1455" spans="3:13" s="59" customFormat="1" ht="22.8" customHeight="1">
      <c r="C1455" s="61" t="s">
        <v>1209</v>
      </c>
      <c r="D1455" s="56" t="s">
        <v>1210</v>
      </c>
      <c r="E1455" s="57"/>
      <c r="F1455" s="57"/>
      <c r="G1455" s="57"/>
      <c r="H1455" s="57"/>
      <c r="I1455" s="44"/>
    </row>
    <row r="1456" spans="3:13" s="59" customFormat="1" ht="22.8" customHeight="1">
      <c r="C1456" s="61">
        <v>1</v>
      </c>
      <c r="D1456" s="56" t="s">
        <v>4574</v>
      </c>
      <c r="E1456" s="93" t="s">
        <v>42</v>
      </c>
      <c r="F1456" s="103">
        <v>0.05</v>
      </c>
      <c r="G1456" s="63">
        <f>VLOOKUP(D1456,upahbahan,3,FALSE)</f>
        <v>928000</v>
      </c>
      <c r="H1456" s="63">
        <f>F1456*G1456</f>
        <v>46400</v>
      </c>
      <c r="I1456" s="44"/>
    </row>
    <row r="1457" spans="3:10" s="59" customFormat="1" ht="22.8" customHeight="1">
      <c r="C1457" s="61">
        <v>2</v>
      </c>
      <c r="D1457" s="56" t="s">
        <v>4488</v>
      </c>
      <c r="E1457" s="93" t="s">
        <v>42</v>
      </c>
      <c r="F1457" s="103">
        <v>0.05</v>
      </c>
      <c r="G1457" s="63">
        <f>VLOOKUP(D1457,upahbahan,3,FALSE)</f>
        <v>0</v>
      </c>
      <c r="H1457" s="63">
        <f>F1457*G1457</f>
        <v>0</v>
      </c>
      <c r="I1457" s="44"/>
    </row>
    <row r="1458" spans="3:10" s="59" customFormat="1" ht="22.8" customHeight="1">
      <c r="C1458" s="61">
        <v>3</v>
      </c>
      <c r="D1458" s="56" t="s">
        <v>4667</v>
      </c>
      <c r="E1458" s="124" t="s">
        <v>62</v>
      </c>
      <c r="F1458" s="125">
        <v>0.27139999999999997</v>
      </c>
      <c r="G1458" s="283">
        <v>56784.2</v>
      </c>
      <c r="H1458" s="283">
        <f>F1458*G1458</f>
        <v>15411.231879999998</v>
      </c>
      <c r="I1458" s="44"/>
    </row>
    <row r="1459" spans="3:10" s="59" customFormat="1" ht="22.8" customHeight="1">
      <c r="C1459" s="61">
        <v>4</v>
      </c>
      <c r="D1459" s="56" t="s">
        <v>4678</v>
      </c>
      <c r="E1459" s="93" t="s">
        <v>2167</v>
      </c>
      <c r="F1459" s="104">
        <v>2</v>
      </c>
      <c r="G1459" s="63">
        <f>VLOOKUP(D1459,upahbahan,3,FALSE)</f>
        <v>269500</v>
      </c>
      <c r="H1459" s="63">
        <f>F1459*G1459</f>
        <v>539000</v>
      </c>
      <c r="I1459" s="44"/>
    </row>
    <row r="1460" spans="3:10" s="59" customFormat="1" ht="22.8" customHeight="1">
      <c r="C1460" s="450" t="s">
        <v>1214</v>
      </c>
      <c r="D1460" s="67"/>
      <c r="E1460" s="67"/>
      <c r="F1460" s="67"/>
      <c r="G1460" s="69"/>
      <c r="H1460" s="63">
        <f>SUM(H1456:H1459)</f>
        <v>600811.23187999998</v>
      </c>
      <c r="I1460" s="44"/>
    </row>
    <row r="1461" spans="3:10" s="59" customFormat="1" ht="22.8" customHeight="1">
      <c r="C1461" s="61" t="s">
        <v>1215</v>
      </c>
      <c r="D1461" s="56" t="s">
        <v>1216</v>
      </c>
      <c r="E1461" s="93"/>
      <c r="F1461" s="57"/>
      <c r="G1461" s="57"/>
      <c r="H1461" s="57"/>
      <c r="I1461" s="44"/>
    </row>
    <row r="1462" spans="3:10" s="59" customFormat="1" ht="22.8" customHeight="1">
      <c r="C1462" s="800">
        <v>1</v>
      </c>
      <c r="D1462" s="56" t="s">
        <v>4652</v>
      </c>
      <c r="E1462" s="93" t="s">
        <v>2396</v>
      </c>
      <c r="F1462" s="94">
        <v>7.8100000000000003E-2</v>
      </c>
      <c r="G1462" s="63">
        <f>VLOOKUP(D1462,upahbahan,3,FALSE)</f>
        <v>480000</v>
      </c>
      <c r="H1462" s="63">
        <f>F1462*G1462</f>
        <v>37488</v>
      </c>
      <c r="I1462" s="44"/>
    </row>
    <row r="1463" spans="3:10" s="59" customFormat="1" ht="22.8" customHeight="1">
      <c r="C1463" s="450" t="s">
        <v>1217</v>
      </c>
      <c r="D1463" s="67"/>
      <c r="E1463" s="67"/>
      <c r="F1463" s="67"/>
      <c r="G1463" s="69"/>
      <c r="H1463" s="882">
        <f>SUM(H1461:H1462)</f>
        <v>37488</v>
      </c>
      <c r="I1463" s="44"/>
    </row>
    <row r="1464" spans="3:10" s="59" customFormat="1" ht="22.8" customHeight="1">
      <c r="C1464" s="288" t="s">
        <v>1218</v>
      </c>
      <c r="D1464" s="76" t="s">
        <v>1219</v>
      </c>
      <c r="E1464" s="77"/>
      <c r="F1464" s="77"/>
      <c r="G1464" s="78"/>
      <c r="H1464" s="585">
        <f>H1463+H1460+H1454</f>
        <v>657276.73187999998</v>
      </c>
      <c r="I1464" s="369"/>
    </row>
    <row r="1465" spans="3:10" s="59" customFormat="1" ht="22.8" customHeight="1">
      <c r="C1465" s="288" t="s">
        <v>1220</v>
      </c>
      <c r="D1465" s="76" t="s">
        <v>1321</v>
      </c>
      <c r="E1465" s="77"/>
      <c r="F1465" s="78"/>
      <c r="G1465" s="80">
        <v>0.1</v>
      </c>
      <c r="H1465" s="63">
        <f>H1464*G1465</f>
        <v>65727.673188000001</v>
      </c>
      <c r="I1465" s="369"/>
    </row>
    <row r="1466" spans="3:10" s="59" customFormat="1" ht="22.8" customHeight="1">
      <c r="C1466" s="288" t="s">
        <v>1221</v>
      </c>
      <c r="D1466" s="76" t="s">
        <v>1222</v>
      </c>
      <c r="E1466" s="77"/>
      <c r="F1466" s="77"/>
      <c r="G1466" s="78"/>
      <c r="H1466" s="799">
        <f>SUM(H1464:H1465)</f>
        <v>723004.40506799996</v>
      </c>
      <c r="I1466" s="369"/>
    </row>
    <row r="1467" spans="3:10" ht="22.8" customHeight="1"/>
    <row r="1468" spans="3:10" ht="22.8" customHeight="1">
      <c r="C1468" s="43" t="s">
        <v>4707</v>
      </c>
      <c r="D1468" s="128" t="s">
        <v>4708</v>
      </c>
    </row>
    <row r="1469" spans="3:10" ht="22.8" customHeight="1">
      <c r="C1469" s="43" t="s">
        <v>4709</v>
      </c>
      <c r="D1469" s="128" t="s">
        <v>4710</v>
      </c>
    </row>
    <row r="1470" spans="3:10" s="59" customFormat="1" ht="22.8" customHeight="1">
      <c r="C1470" s="46" t="s">
        <v>4729</v>
      </c>
      <c r="D1470" s="1934" t="s">
        <v>4711</v>
      </c>
      <c r="E1470" s="1934"/>
      <c r="F1470" s="1934"/>
      <c r="G1470" s="1934"/>
      <c r="H1470" s="1934"/>
      <c r="I1470" s="50">
        <f>ROUNDDOWN(H1487,-2)</f>
        <v>233800</v>
      </c>
    </row>
    <row r="1471" spans="3:10" s="59" customFormat="1" ht="22.8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</row>
    <row r="1472" spans="3:10" s="59" customFormat="1" ht="22.8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152" t="s">
        <v>1247</v>
      </c>
    </row>
    <row r="1473" spans="3:13" s="59" customFormat="1" ht="22.8" customHeight="1">
      <c r="C1473" s="588">
        <v>1</v>
      </c>
      <c r="D1473" s="56" t="s">
        <v>5</v>
      </c>
      <c r="E1473" s="577" t="s">
        <v>6</v>
      </c>
      <c r="F1473" s="101">
        <v>0.22309999999999999</v>
      </c>
      <c r="G1473" s="63">
        <f>VLOOKUP(D1473,upahbahan,3,FALSE)</f>
        <v>100000</v>
      </c>
      <c r="H1473" s="63">
        <f>F1473*G1473</f>
        <v>22310</v>
      </c>
      <c r="I1473" s="44"/>
      <c r="J1473" s="152" t="s">
        <v>1248</v>
      </c>
      <c r="M1473" s="65">
        <v>0.1</v>
      </c>
    </row>
    <row r="1474" spans="3:13" s="59" customFormat="1" ht="22.8" customHeight="1">
      <c r="C1474" s="588">
        <v>2</v>
      </c>
      <c r="D1474" s="56" t="s">
        <v>2165</v>
      </c>
      <c r="E1474" s="577" t="s">
        <v>6</v>
      </c>
      <c r="F1474" s="101">
        <v>0.22309999999999999</v>
      </c>
      <c r="G1474" s="63">
        <f>VLOOKUP(D1474,upahbahan,3,FALSE)</f>
        <v>135000</v>
      </c>
      <c r="H1474" s="63">
        <f t="shared" ref="H1474:H1475" si="78">F1474*G1474</f>
        <v>30118.5</v>
      </c>
      <c r="I1474" s="44"/>
      <c r="J1474" s="152"/>
      <c r="M1474" s="65"/>
    </row>
    <row r="1475" spans="3:13" s="59" customFormat="1" ht="22.8" customHeight="1">
      <c r="C1475" s="588">
        <v>3</v>
      </c>
      <c r="D1475" s="56" t="s">
        <v>19</v>
      </c>
      <c r="E1475" s="577" t="s">
        <v>6</v>
      </c>
      <c r="F1475" s="101">
        <v>1.12E-2</v>
      </c>
      <c r="G1475" s="63">
        <f>VLOOKUP(D1475,upahbahan,3,FALSE)</f>
        <v>160000</v>
      </c>
      <c r="H1475" s="63">
        <f t="shared" si="78"/>
        <v>1792</v>
      </c>
      <c r="I1475" s="44"/>
    </row>
    <row r="1476" spans="3:13" s="59" customFormat="1" ht="22.8" customHeight="1">
      <c r="C1476" s="450" t="s">
        <v>1208</v>
      </c>
      <c r="D1476" s="67"/>
      <c r="E1476" s="67"/>
      <c r="F1476" s="142"/>
      <c r="G1476" s="153"/>
      <c r="H1476" s="63">
        <f>SUM(H1473:H1475)</f>
        <v>54220.5</v>
      </c>
      <c r="I1476" s="154"/>
    </row>
    <row r="1477" spans="3:13" s="59" customFormat="1" ht="22.8" customHeight="1">
      <c r="C1477" s="61" t="s">
        <v>1209</v>
      </c>
      <c r="D1477" s="56" t="s">
        <v>1210</v>
      </c>
      <c r="E1477" s="57"/>
      <c r="F1477" s="57"/>
      <c r="G1477" s="57"/>
      <c r="H1477" s="57"/>
      <c r="I1477" s="44"/>
    </row>
    <row r="1478" spans="3:13" s="59" customFormat="1" ht="22.8" customHeight="1">
      <c r="C1478" s="61">
        <v>1</v>
      </c>
      <c r="D1478" s="56" t="s">
        <v>4487</v>
      </c>
      <c r="E1478" s="93" t="s">
        <v>42</v>
      </c>
      <c r="F1478" s="103">
        <v>3.6499999999999998E-2</v>
      </c>
      <c r="G1478" s="63">
        <f>VLOOKUP(D1478,upahbahan,3,FALSE)</f>
        <v>1236000</v>
      </c>
      <c r="H1478" s="63">
        <f>F1478*G1478</f>
        <v>45114</v>
      </c>
      <c r="I1478" s="44"/>
    </row>
    <row r="1479" spans="3:13" s="59" customFormat="1" ht="22.8" customHeight="1">
      <c r="C1479" s="61">
        <v>2</v>
      </c>
      <c r="D1479" s="56" t="s">
        <v>4488</v>
      </c>
      <c r="E1479" s="93" t="s">
        <v>42</v>
      </c>
      <c r="F1479" s="103">
        <v>7.2999999999999995E-2</v>
      </c>
      <c r="G1479" s="63">
        <f>VLOOKUP(D1479,upahbahan,3,FALSE)</f>
        <v>0</v>
      </c>
      <c r="H1479" s="63">
        <f>F1479*G1479</f>
        <v>0</v>
      </c>
      <c r="I1479" s="44"/>
    </row>
    <row r="1480" spans="3:13" s="59" customFormat="1" ht="22.8" customHeight="1">
      <c r="C1480" s="61">
        <v>4</v>
      </c>
      <c r="D1480" s="56" t="s">
        <v>4713</v>
      </c>
      <c r="E1480" s="93" t="s">
        <v>2167</v>
      </c>
      <c r="F1480" s="104">
        <v>1</v>
      </c>
      <c r="G1480" s="63">
        <f>VLOOKUP(D1480,upahbahan,3,FALSE)</f>
        <v>0</v>
      </c>
      <c r="H1480" s="63">
        <f>F1480*G1480</f>
        <v>0</v>
      </c>
      <c r="I1480" s="44"/>
    </row>
    <row r="1481" spans="3:13" s="59" customFormat="1" ht="22.8" customHeight="1">
      <c r="C1481" s="450" t="s">
        <v>1214</v>
      </c>
      <c r="D1481" s="67"/>
      <c r="E1481" s="67"/>
      <c r="F1481" s="67"/>
      <c r="G1481" s="69"/>
      <c r="H1481" s="63">
        <f>SUM(H1478:H1480)</f>
        <v>45114</v>
      </c>
      <c r="I1481" s="44"/>
    </row>
    <row r="1482" spans="3:13" s="59" customFormat="1" ht="22.8" customHeight="1">
      <c r="C1482" s="61" t="s">
        <v>1215</v>
      </c>
      <c r="D1482" s="56" t="s">
        <v>1216</v>
      </c>
      <c r="E1482" s="93"/>
      <c r="F1482" s="57"/>
      <c r="G1482" s="57"/>
      <c r="H1482" s="57"/>
      <c r="I1482" s="44"/>
    </row>
    <row r="1483" spans="3:13" s="59" customFormat="1" ht="22.8" customHeight="1">
      <c r="C1483" s="800">
        <v>1</v>
      </c>
      <c r="D1483" s="56" t="s">
        <v>4712</v>
      </c>
      <c r="E1483" s="93" t="s">
        <v>2396</v>
      </c>
      <c r="F1483" s="94">
        <v>7.8100000000000003E-2</v>
      </c>
      <c r="G1483" s="63">
        <f>VLOOKUP(D1483,upahbahan,3,FALSE)</f>
        <v>1450000</v>
      </c>
      <c r="H1483" s="63">
        <f>F1483*G1483</f>
        <v>113245</v>
      </c>
      <c r="I1483" s="44"/>
    </row>
    <row r="1484" spans="3:13" s="59" customFormat="1" ht="22.8" customHeight="1">
      <c r="C1484" s="450" t="s">
        <v>1217</v>
      </c>
      <c r="D1484" s="67"/>
      <c r="E1484" s="67"/>
      <c r="F1484" s="67"/>
      <c r="G1484" s="69"/>
      <c r="H1484" s="882">
        <f>SUM(H1482:H1483)</f>
        <v>113245</v>
      </c>
      <c r="I1484" s="44"/>
    </row>
    <row r="1485" spans="3:13" s="59" customFormat="1" ht="22.8" customHeight="1">
      <c r="C1485" s="288" t="s">
        <v>1218</v>
      </c>
      <c r="D1485" s="76" t="s">
        <v>1219</v>
      </c>
      <c r="E1485" s="77"/>
      <c r="F1485" s="77"/>
      <c r="G1485" s="78"/>
      <c r="H1485" s="585">
        <f>H1484+H1481+H1476</f>
        <v>212579.5</v>
      </c>
      <c r="I1485" s="369"/>
    </row>
    <row r="1486" spans="3:13" s="59" customFormat="1" ht="22.8" customHeight="1">
      <c r="C1486" s="288" t="s">
        <v>1220</v>
      </c>
      <c r="D1486" s="76" t="s">
        <v>1321</v>
      </c>
      <c r="E1486" s="77"/>
      <c r="F1486" s="78"/>
      <c r="G1486" s="80">
        <v>0.1</v>
      </c>
      <c r="H1486" s="63">
        <f>H1485*G1486</f>
        <v>21257.95</v>
      </c>
      <c r="I1486" s="369"/>
    </row>
    <row r="1487" spans="3:13" s="59" customFormat="1" ht="22.8" customHeight="1">
      <c r="C1487" s="288" t="s">
        <v>1221</v>
      </c>
      <c r="D1487" s="76" t="s">
        <v>1222</v>
      </c>
      <c r="E1487" s="77"/>
      <c r="F1487" s="77"/>
      <c r="G1487" s="78"/>
      <c r="H1487" s="799">
        <f>SUM(H1485:H1486)</f>
        <v>233837.45</v>
      </c>
      <c r="I1487" s="369"/>
    </row>
    <row r="1488" spans="3:13" ht="22.8" customHeight="1"/>
    <row r="1489" spans="3:13" s="59" customFormat="1" ht="22.8" customHeight="1">
      <c r="C1489" s="46" t="s">
        <v>4730</v>
      </c>
      <c r="D1489" s="1934" t="s">
        <v>4715</v>
      </c>
      <c r="E1489" s="1934"/>
      <c r="F1489" s="1934"/>
      <c r="G1489" s="1934"/>
      <c r="H1489" s="1934"/>
      <c r="I1489" s="50">
        <f>ROUNDDOWN(H1506,-2)</f>
        <v>493300</v>
      </c>
    </row>
    <row r="1490" spans="3:13" s="59" customFormat="1" ht="22.8" customHeight="1">
      <c r="C1490" s="591" t="s">
        <v>1195</v>
      </c>
      <c r="D1490" s="591" t="s">
        <v>1196</v>
      </c>
      <c r="E1490" s="591" t="s">
        <v>1197</v>
      </c>
      <c r="F1490" s="591" t="s">
        <v>1198</v>
      </c>
      <c r="G1490" s="591" t="s">
        <v>1199</v>
      </c>
      <c r="H1490" s="591" t="s">
        <v>1200</v>
      </c>
      <c r="I1490" s="44"/>
    </row>
    <row r="1491" spans="3:13" s="59" customFormat="1" ht="22.8" customHeight="1">
      <c r="C1491" s="61" t="s">
        <v>1201</v>
      </c>
      <c r="D1491" s="56" t="s">
        <v>1202</v>
      </c>
      <c r="E1491" s="57"/>
      <c r="F1491" s="57"/>
      <c r="G1491" s="57"/>
      <c r="H1491" s="57"/>
      <c r="I1491" s="44"/>
      <c r="J1491" s="152" t="s">
        <v>1247</v>
      </c>
    </row>
    <row r="1492" spans="3:13" s="59" customFormat="1" ht="22.8" customHeight="1">
      <c r="C1492" s="588">
        <v>1</v>
      </c>
      <c r="D1492" s="56" t="s">
        <v>5</v>
      </c>
      <c r="E1492" s="577" t="s">
        <v>6</v>
      </c>
      <c r="F1492" s="101">
        <v>0.2339</v>
      </c>
      <c r="G1492" s="63">
        <f>VLOOKUP(D1492,upahbahan,3,FALSE)</f>
        <v>100000</v>
      </c>
      <c r="H1492" s="63">
        <f>F1492*G1492</f>
        <v>23390</v>
      </c>
      <c r="I1492" s="44"/>
      <c r="J1492" s="152" t="s">
        <v>1248</v>
      </c>
      <c r="M1492" s="65">
        <v>0.1</v>
      </c>
    </row>
    <row r="1493" spans="3:13" s="59" customFormat="1" ht="22.8" customHeight="1">
      <c r="C1493" s="588">
        <v>2</v>
      </c>
      <c r="D1493" s="56" t="s">
        <v>2165</v>
      </c>
      <c r="E1493" s="577" t="s">
        <v>6</v>
      </c>
      <c r="F1493" s="101">
        <v>0.2339</v>
      </c>
      <c r="G1493" s="63">
        <f>VLOOKUP(D1493,upahbahan,3,FALSE)</f>
        <v>135000</v>
      </c>
      <c r="H1493" s="63">
        <f t="shared" ref="H1493:H1494" si="79">F1493*G1493</f>
        <v>31576.5</v>
      </c>
      <c r="I1493" s="44"/>
      <c r="J1493" s="152"/>
      <c r="M1493" s="65"/>
    </row>
    <row r="1494" spans="3:13" s="59" customFormat="1" ht="22.8" customHeight="1">
      <c r="C1494" s="588">
        <v>3</v>
      </c>
      <c r="D1494" s="56" t="s">
        <v>19</v>
      </c>
      <c r="E1494" s="577" t="s">
        <v>6</v>
      </c>
      <c r="F1494" s="101">
        <v>1.17E-2</v>
      </c>
      <c r="G1494" s="63">
        <f>VLOOKUP(D1494,upahbahan,3,FALSE)</f>
        <v>160000</v>
      </c>
      <c r="H1494" s="63">
        <f t="shared" si="79"/>
        <v>1872</v>
      </c>
      <c r="I1494" s="44"/>
    </row>
    <row r="1495" spans="3:13" s="59" customFormat="1" ht="22.8" customHeight="1">
      <c r="C1495" s="450" t="s">
        <v>1208</v>
      </c>
      <c r="D1495" s="67"/>
      <c r="E1495" s="67"/>
      <c r="F1495" s="142"/>
      <c r="G1495" s="153"/>
      <c r="H1495" s="63">
        <f>SUM(H1492:H1494)</f>
        <v>56838.5</v>
      </c>
      <c r="I1495" s="154"/>
    </row>
    <row r="1496" spans="3:13" s="59" customFormat="1" ht="22.8" customHeight="1">
      <c r="C1496" s="61" t="s">
        <v>1209</v>
      </c>
      <c r="D1496" s="56" t="s">
        <v>1210</v>
      </c>
      <c r="E1496" s="57"/>
      <c r="F1496" s="57"/>
      <c r="G1496" s="57"/>
      <c r="H1496" s="57"/>
      <c r="I1496" s="44"/>
    </row>
    <row r="1497" spans="3:13" s="59" customFormat="1" ht="22.8" customHeight="1">
      <c r="C1497" s="61">
        <v>1</v>
      </c>
      <c r="D1497" s="56" t="s">
        <v>4487</v>
      </c>
      <c r="E1497" s="93" t="s">
        <v>42</v>
      </c>
      <c r="F1497" s="103">
        <v>4.2500000000000003E-2</v>
      </c>
      <c r="G1497" s="63">
        <f>VLOOKUP(D1497,upahbahan,3,FALSE)</f>
        <v>1236000</v>
      </c>
      <c r="H1497" s="63">
        <f>F1497*G1497</f>
        <v>52530.000000000007</v>
      </c>
      <c r="I1497" s="44"/>
    </row>
    <row r="1498" spans="3:13" s="59" customFormat="1" ht="22.8" customHeight="1">
      <c r="C1498" s="61">
        <v>2</v>
      </c>
      <c r="D1498" s="56" t="s">
        <v>4488</v>
      </c>
      <c r="E1498" s="93" t="s">
        <v>42</v>
      </c>
      <c r="F1498" s="103">
        <v>8.5000000000000006E-2</v>
      </c>
      <c r="G1498" s="63">
        <f>VLOOKUP(D1498,upahbahan,3,FALSE)</f>
        <v>0</v>
      </c>
      <c r="H1498" s="63">
        <f>F1498*G1498</f>
        <v>0</v>
      </c>
      <c r="I1498" s="44"/>
    </row>
    <row r="1499" spans="3:13" s="59" customFormat="1" ht="22.8" customHeight="1">
      <c r="C1499" s="61">
        <v>4</v>
      </c>
      <c r="D1499" s="56" t="s">
        <v>4716</v>
      </c>
      <c r="E1499" s="93" t="s">
        <v>2167</v>
      </c>
      <c r="F1499" s="104">
        <v>1</v>
      </c>
      <c r="G1499" s="63">
        <f>VLOOKUP(D1499,upahbahan,3,FALSE)</f>
        <v>0</v>
      </c>
      <c r="H1499" s="63">
        <f>F1499*G1499</f>
        <v>0</v>
      </c>
      <c r="I1499" s="44"/>
    </row>
    <row r="1500" spans="3:13" s="59" customFormat="1" ht="22.8" customHeight="1">
      <c r="C1500" s="450" t="s">
        <v>1214</v>
      </c>
      <c r="D1500" s="67"/>
      <c r="E1500" s="67"/>
      <c r="F1500" s="67"/>
      <c r="G1500" s="69"/>
      <c r="H1500" s="63">
        <f>SUM(H1497:H1499)</f>
        <v>52530.000000000007</v>
      </c>
      <c r="I1500" s="44"/>
    </row>
    <row r="1501" spans="3:13" s="59" customFormat="1" ht="22.8" customHeight="1">
      <c r="C1501" s="61" t="s">
        <v>1215</v>
      </c>
      <c r="D1501" s="56" t="s">
        <v>1216</v>
      </c>
      <c r="E1501" s="93"/>
      <c r="F1501" s="57"/>
      <c r="G1501" s="57"/>
      <c r="H1501" s="57"/>
      <c r="I1501" s="44"/>
    </row>
    <row r="1502" spans="3:13" s="59" customFormat="1" ht="22.8" customHeight="1">
      <c r="C1502" s="800">
        <v>1</v>
      </c>
      <c r="D1502" s="56" t="s">
        <v>4712</v>
      </c>
      <c r="E1502" s="93" t="s">
        <v>2396</v>
      </c>
      <c r="F1502" s="94">
        <v>0.2339</v>
      </c>
      <c r="G1502" s="63">
        <f>VLOOKUP(D1502,upahbahan,3,FALSE)</f>
        <v>1450000</v>
      </c>
      <c r="H1502" s="63">
        <f>F1502*G1502</f>
        <v>339155</v>
      </c>
      <c r="I1502" s="44"/>
    </row>
    <row r="1503" spans="3:13" s="59" customFormat="1" ht="22.8" customHeight="1">
      <c r="C1503" s="450" t="s">
        <v>1217</v>
      </c>
      <c r="D1503" s="67"/>
      <c r="E1503" s="67"/>
      <c r="F1503" s="67"/>
      <c r="G1503" s="69"/>
      <c r="H1503" s="882">
        <f>SUM(H1501:H1502)</f>
        <v>339155</v>
      </c>
      <c r="I1503" s="44"/>
    </row>
    <row r="1504" spans="3:13" s="59" customFormat="1" ht="22.8" customHeight="1">
      <c r="C1504" s="288" t="s">
        <v>1218</v>
      </c>
      <c r="D1504" s="76" t="s">
        <v>1219</v>
      </c>
      <c r="E1504" s="77"/>
      <c r="F1504" s="77"/>
      <c r="G1504" s="78"/>
      <c r="H1504" s="585">
        <f>H1503+H1500+H1495</f>
        <v>448523.5</v>
      </c>
      <c r="I1504" s="369"/>
    </row>
    <row r="1505" spans="3:13" s="59" customFormat="1" ht="22.8" customHeight="1">
      <c r="C1505" s="288" t="s">
        <v>1220</v>
      </c>
      <c r="D1505" s="76" t="s">
        <v>1321</v>
      </c>
      <c r="E1505" s="77"/>
      <c r="F1505" s="78"/>
      <c r="G1505" s="80">
        <v>0.1</v>
      </c>
      <c r="H1505" s="63">
        <f>H1504*G1505</f>
        <v>44852.350000000006</v>
      </c>
      <c r="I1505" s="369"/>
    </row>
    <row r="1506" spans="3:13" s="59" customFormat="1" ht="22.8" customHeight="1">
      <c r="C1506" s="288" t="s">
        <v>1221</v>
      </c>
      <c r="D1506" s="76" t="s">
        <v>1222</v>
      </c>
      <c r="E1506" s="77"/>
      <c r="F1506" s="77"/>
      <c r="G1506" s="78"/>
      <c r="H1506" s="799">
        <f>SUM(H1504:H1505)</f>
        <v>493375.85</v>
      </c>
      <c r="I1506" s="369"/>
    </row>
    <row r="1507" spans="3:13" ht="22.8" customHeight="1"/>
    <row r="1508" spans="3:13" s="59" customFormat="1" ht="22.8" customHeight="1">
      <c r="C1508" s="46" t="s">
        <v>4731</v>
      </c>
      <c r="D1508" s="1934" t="s">
        <v>4717</v>
      </c>
      <c r="E1508" s="1934"/>
      <c r="F1508" s="1934"/>
      <c r="G1508" s="1934"/>
      <c r="H1508" s="1934"/>
      <c r="I1508" s="50">
        <f>ROUNDDOWN(H1525,-2)</f>
        <v>537300</v>
      </c>
    </row>
    <row r="1509" spans="3:13" s="59" customFormat="1" ht="22.8" customHeight="1">
      <c r="C1509" s="591" t="s">
        <v>1195</v>
      </c>
      <c r="D1509" s="591" t="s">
        <v>1196</v>
      </c>
      <c r="E1509" s="591" t="s">
        <v>1197</v>
      </c>
      <c r="F1509" s="591" t="s">
        <v>1198</v>
      </c>
      <c r="G1509" s="591" t="s">
        <v>1199</v>
      </c>
      <c r="H1509" s="591" t="s">
        <v>1200</v>
      </c>
      <c r="I1509" s="44"/>
    </row>
    <row r="1510" spans="3:13" s="59" customFormat="1" ht="22.8" customHeight="1">
      <c r="C1510" s="61" t="s">
        <v>1201</v>
      </c>
      <c r="D1510" s="56" t="s">
        <v>1202</v>
      </c>
      <c r="E1510" s="57"/>
      <c r="F1510" s="57"/>
      <c r="G1510" s="57"/>
      <c r="H1510" s="57"/>
      <c r="I1510" s="44"/>
      <c r="J1510" s="152" t="s">
        <v>1247</v>
      </c>
    </row>
    <row r="1511" spans="3:13" s="59" customFormat="1" ht="22.8" customHeight="1">
      <c r="C1511" s="588">
        <v>1</v>
      </c>
      <c r="D1511" s="56" t="s">
        <v>5</v>
      </c>
      <c r="E1511" s="577" t="s">
        <v>6</v>
      </c>
      <c r="F1511" s="101">
        <v>0.25240000000000001</v>
      </c>
      <c r="G1511" s="63">
        <f>VLOOKUP(D1511,upahbahan,3,FALSE)</f>
        <v>100000</v>
      </c>
      <c r="H1511" s="63">
        <f>F1511*G1511</f>
        <v>25240</v>
      </c>
      <c r="I1511" s="44"/>
      <c r="J1511" s="152" t="s">
        <v>1248</v>
      </c>
      <c r="M1511" s="65">
        <v>0.1</v>
      </c>
    </row>
    <row r="1512" spans="3:13" s="59" customFormat="1" ht="22.8" customHeight="1">
      <c r="C1512" s="588">
        <v>2</v>
      </c>
      <c r="D1512" s="56" t="s">
        <v>2165</v>
      </c>
      <c r="E1512" s="577" t="s">
        <v>6</v>
      </c>
      <c r="F1512" s="101">
        <v>0.25240000000000001</v>
      </c>
      <c r="G1512" s="63">
        <f>VLOOKUP(D1512,upahbahan,3,FALSE)</f>
        <v>135000</v>
      </c>
      <c r="H1512" s="63">
        <f t="shared" ref="H1512:H1513" si="80">F1512*G1512</f>
        <v>34074</v>
      </c>
      <c r="I1512" s="44"/>
      <c r="J1512" s="152"/>
      <c r="M1512" s="65"/>
    </row>
    <row r="1513" spans="3:13" s="59" customFormat="1" ht="22.8" customHeight="1">
      <c r="C1513" s="588">
        <v>3</v>
      </c>
      <c r="D1513" s="56" t="s">
        <v>19</v>
      </c>
      <c r="E1513" s="577" t="s">
        <v>6</v>
      </c>
      <c r="F1513" s="101">
        <v>1.26E-2</v>
      </c>
      <c r="G1513" s="63">
        <f>VLOOKUP(D1513,upahbahan,3,FALSE)</f>
        <v>160000</v>
      </c>
      <c r="H1513" s="63">
        <f t="shared" si="80"/>
        <v>2016</v>
      </c>
      <c r="I1513" s="44"/>
    </row>
    <row r="1514" spans="3:13" s="59" customFormat="1" ht="22.8" customHeight="1">
      <c r="C1514" s="450" t="s">
        <v>1208</v>
      </c>
      <c r="D1514" s="67"/>
      <c r="E1514" s="67"/>
      <c r="F1514" s="142"/>
      <c r="G1514" s="153"/>
      <c r="H1514" s="63">
        <f>SUM(H1511:H1513)</f>
        <v>61330</v>
      </c>
      <c r="I1514" s="154"/>
    </row>
    <row r="1515" spans="3:13" s="59" customFormat="1" ht="22.8" customHeight="1">
      <c r="C1515" s="61" t="s">
        <v>1209</v>
      </c>
      <c r="D1515" s="56" t="s">
        <v>1210</v>
      </c>
      <c r="E1515" s="57"/>
      <c r="F1515" s="57"/>
      <c r="G1515" s="57"/>
      <c r="H1515" s="57"/>
      <c r="I1515" s="44"/>
    </row>
    <row r="1516" spans="3:13" s="59" customFormat="1" ht="22.8" customHeight="1">
      <c r="C1516" s="61">
        <v>1</v>
      </c>
      <c r="D1516" s="56" t="s">
        <v>4487</v>
      </c>
      <c r="E1516" s="93" t="s">
        <v>42</v>
      </c>
      <c r="F1516" s="103">
        <v>4.9500000000000002E-2</v>
      </c>
      <c r="G1516" s="63">
        <f>VLOOKUP(D1516,upahbahan,3,FALSE)</f>
        <v>1236000</v>
      </c>
      <c r="H1516" s="63">
        <f>F1516*G1516</f>
        <v>61182</v>
      </c>
      <c r="I1516" s="44"/>
    </row>
    <row r="1517" spans="3:13" s="59" customFormat="1" ht="22.8" customHeight="1">
      <c r="C1517" s="61">
        <v>2</v>
      </c>
      <c r="D1517" s="56" t="s">
        <v>4488</v>
      </c>
      <c r="E1517" s="93" t="s">
        <v>42</v>
      </c>
      <c r="F1517" s="103">
        <v>9.9000000000000005E-2</v>
      </c>
      <c r="G1517" s="63">
        <f>VLOOKUP(D1517,upahbahan,3,FALSE)</f>
        <v>0</v>
      </c>
      <c r="H1517" s="63">
        <f>F1517*G1517</f>
        <v>0</v>
      </c>
      <c r="I1517" s="44"/>
    </row>
    <row r="1518" spans="3:13" s="59" customFormat="1" ht="22.8" customHeight="1">
      <c r="C1518" s="61">
        <v>4</v>
      </c>
      <c r="D1518" s="56" t="s">
        <v>4718</v>
      </c>
      <c r="E1518" s="93" t="s">
        <v>2167</v>
      </c>
      <c r="F1518" s="104">
        <v>1</v>
      </c>
      <c r="G1518" s="63">
        <f>VLOOKUP(D1518,upahbahan,3,FALSE)</f>
        <v>0</v>
      </c>
      <c r="H1518" s="63">
        <f>F1518*G1518</f>
        <v>0</v>
      </c>
      <c r="I1518" s="44"/>
    </row>
    <row r="1519" spans="3:13" s="59" customFormat="1" ht="22.8" customHeight="1">
      <c r="C1519" s="450" t="s">
        <v>1214</v>
      </c>
      <c r="D1519" s="67"/>
      <c r="E1519" s="67"/>
      <c r="F1519" s="67"/>
      <c r="G1519" s="69"/>
      <c r="H1519" s="63">
        <f>SUM(H1516:H1518)</f>
        <v>61182</v>
      </c>
      <c r="I1519" s="44"/>
    </row>
    <row r="1520" spans="3:13" s="59" customFormat="1" ht="22.8" customHeight="1">
      <c r="C1520" s="61" t="s">
        <v>1215</v>
      </c>
      <c r="D1520" s="56" t="s">
        <v>1216</v>
      </c>
      <c r="E1520" s="93"/>
      <c r="F1520" s="57"/>
      <c r="G1520" s="57"/>
      <c r="H1520" s="57"/>
      <c r="I1520" s="44"/>
    </row>
    <row r="1521" spans="3:13" s="59" customFormat="1" ht="22.8" customHeight="1">
      <c r="C1521" s="800">
        <v>1</v>
      </c>
      <c r="D1521" s="56" t="s">
        <v>4712</v>
      </c>
      <c r="E1521" s="93" t="s">
        <v>2396</v>
      </c>
      <c r="F1521" s="94">
        <v>0.25240000000000001</v>
      </c>
      <c r="G1521" s="63">
        <f>VLOOKUP(D1521,upahbahan,3,FALSE)</f>
        <v>1450000</v>
      </c>
      <c r="H1521" s="63">
        <f>F1521*G1521</f>
        <v>365980</v>
      </c>
      <c r="I1521" s="44"/>
    </row>
    <row r="1522" spans="3:13" s="59" customFormat="1" ht="22.8" customHeight="1">
      <c r="C1522" s="450" t="s">
        <v>1217</v>
      </c>
      <c r="D1522" s="67"/>
      <c r="E1522" s="67"/>
      <c r="F1522" s="67"/>
      <c r="G1522" s="69"/>
      <c r="H1522" s="882">
        <f>SUM(H1520:H1521)</f>
        <v>365980</v>
      </c>
      <c r="I1522" s="44"/>
    </row>
    <row r="1523" spans="3:13" s="59" customFormat="1" ht="22.8" customHeight="1">
      <c r="C1523" s="288" t="s">
        <v>1218</v>
      </c>
      <c r="D1523" s="76" t="s">
        <v>1219</v>
      </c>
      <c r="E1523" s="77"/>
      <c r="F1523" s="77"/>
      <c r="G1523" s="78"/>
      <c r="H1523" s="585">
        <f>H1522+H1519+H1514</f>
        <v>488492</v>
      </c>
      <c r="I1523" s="369"/>
    </row>
    <row r="1524" spans="3:13" s="59" customFormat="1" ht="22.8" customHeight="1">
      <c r="C1524" s="288" t="s">
        <v>1220</v>
      </c>
      <c r="D1524" s="76" t="s">
        <v>1321</v>
      </c>
      <c r="E1524" s="77"/>
      <c r="F1524" s="78"/>
      <c r="G1524" s="80">
        <v>0.1</v>
      </c>
      <c r="H1524" s="63">
        <f>H1523*G1524</f>
        <v>48849.200000000004</v>
      </c>
      <c r="I1524" s="369"/>
    </row>
    <row r="1525" spans="3:13" s="59" customFormat="1" ht="22.8" customHeight="1">
      <c r="C1525" s="288" t="s">
        <v>1221</v>
      </c>
      <c r="D1525" s="76" t="s">
        <v>1222</v>
      </c>
      <c r="E1525" s="77"/>
      <c r="F1525" s="77"/>
      <c r="G1525" s="78"/>
      <c r="H1525" s="799">
        <f>SUM(H1523:H1524)</f>
        <v>537341.19999999995</v>
      </c>
      <c r="I1525" s="369"/>
    </row>
    <row r="1526" spans="3:13" ht="22.8" customHeight="1"/>
    <row r="1527" spans="3:13" s="59" customFormat="1" ht="22.8" customHeight="1">
      <c r="C1527" s="46" t="s">
        <v>4732</v>
      </c>
      <c r="D1527" s="1934" t="s">
        <v>4719</v>
      </c>
      <c r="E1527" s="1934"/>
      <c r="F1527" s="1934"/>
      <c r="G1527" s="1934"/>
      <c r="H1527" s="1934"/>
      <c r="I1527" s="50">
        <f>ROUNDDOWN(H1544,-2)</f>
        <v>727600</v>
      </c>
    </row>
    <row r="1528" spans="3:13" s="59" customFormat="1" ht="22.8" customHeight="1">
      <c r="C1528" s="591" t="s">
        <v>1195</v>
      </c>
      <c r="D1528" s="591" t="s">
        <v>1196</v>
      </c>
      <c r="E1528" s="591" t="s">
        <v>1197</v>
      </c>
      <c r="F1528" s="591" t="s">
        <v>1198</v>
      </c>
      <c r="G1528" s="591" t="s">
        <v>1199</v>
      </c>
      <c r="H1528" s="591" t="s">
        <v>1200</v>
      </c>
      <c r="I1528" s="44"/>
    </row>
    <row r="1529" spans="3:13" s="59" customFormat="1" ht="22.8" customHeight="1">
      <c r="C1529" s="61" t="s">
        <v>1201</v>
      </c>
      <c r="D1529" s="56" t="s">
        <v>1202</v>
      </c>
      <c r="E1529" s="57"/>
      <c r="F1529" s="57"/>
      <c r="G1529" s="57"/>
      <c r="H1529" s="57"/>
      <c r="I1529" s="44"/>
      <c r="J1529" s="152" t="s">
        <v>1247</v>
      </c>
    </row>
    <row r="1530" spans="3:13" s="59" customFormat="1" ht="22.8" customHeight="1">
      <c r="C1530" s="588">
        <v>1</v>
      </c>
      <c r="D1530" s="56" t="s">
        <v>5</v>
      </c>
      <c r="E1530" s="577" t="s">
        <v>6</v>
      </c>
      <c r="F1530" s="101">
        <v>0.64870000000000005</v>
      </c>
      <c r="G1530" s="63">
        <f>VLOOKUP(D1530,upahbahan,3,FALSE)</f>
        <v>100000</v>
      </c>
      <c r="H1530" s="63">
        <f>F1530*G1530</f>
        <v>64870.000000000007</v>
      </c>
      <c r="I1530" s="44"/>
      <c r="J1530" s="152" t="s">
        <v>1248</v>
      </c>
      <c r="M1530" s="65">
        <v>0.1</v>
      </c>
    </row>
    <row r="1531" spans="3:13" s="59" customFormat="1" ht="22.8" customHeight="1">
      <c r="C1531" s="588">
        <v>2</v>
      </c>
      <c r="D1531" s="56" t="s">
        <v>2165</v>
      </c>
      <c r="E1531" s="577" t="s">
        <v>6</v>
      </c>
      <c r="F1531" s="101">
        <v>0.32440000000000002</v>
      </c>
      <c r="G1531" s="63">
        <f>VLOOKUP(D1531,upahbahan,3,FALSE)</f>
        <v>135000</v>
      </c>
      <c r="H1531" s="63">
        <f t="shared" ref="H1531:H1532" si="81">F1531*G1531</f>
        <v>43794</v>
      </c>
      <c r="I1531" s="44"/>
      <c r="J1531" s="152"/>
      <c r="M1531" s="65"/>
    </row>
    <row r="1532" spans="3:13" s="59" customFormat="1" ht="22.8" customHeight="1">
      <c r="C1532" s="588">
        <v>3</v>
      </c>
      <c r="D1532" s="56" t="s">
        <v>19</v>
      </c>
      <c r="E1532" s="577" t="s">
        <v>6</v>
      </c>
      <c r="F1532" s="101">
        <v>3.2399999999999998E-2</v>
      </c>
      <c r="G1532" s="63">
        <f>VLOOKUP(D1532,upahbahan,3,FALSE)</f>
        <v>160000</v>
      </c>
      <c r="H1532" s="63">
        <f t="shared" si="81"/>
        <v>5184</v>
      </c>
      <c r="I1532" s="44"/>
    </row>
    <row r="1533" spans="3:13" s="59" customFormat="1" ht="22.8" customHeight="1">
      <c r="C1533" s="450" t="s">
        <v>1208</v>
      </c>
      <c r="D1533" s="67"/>
      <c r="E1533" s="67"/>
      <c r="F1533" s="142"/>
      <c r="G1533" s="153"/>
      <c r="H1533" s="63">
        <f>SUM(H1530:H1532)</f>
        <v>113848</v>
      </c>
      <c r="I1533" s="154"/>
    </row>
    <row r="1534" spans="3:13" s="59" customFormat="1" ht="22.8" customHeight="1">
      <c r="C1534" s="61" t="s">
        <v>1209</v>
      </c>
      <c r="D1534" s="56" t="s">
        <v>1210</v>
      </c>
      <c r="E1534" s="57"/>
      <c r="F1534" s="57"/>
      <c r="G1534" s="57"/>
      <c r="H1534" s="57"/>
      <c r="I1534" s="44"/>
    </row>
    <row r="1535" spans="3:13" s="59" customFormat="1" ht="22.8" customHeight="1">
      <c r="C1535" s="61">
        <v>1</v>
      </c>
      <c r="D1535" s="56" t="s">
        <v>4487</v>
      </c>
      <c r="E1535" s="93" t="s">
        <v>42</v>
      </c>
      <c r="F1535" s="103">
        <v>6.25E-2</v>
      </c>
      <c r="G1535" s="63">
        <f>VLOOKUP(D1535,upahbahan,3,FALSE)</f>
        <v>1236000</v>
      </c>
      <c r="H1535" s="63">
        <f>F1535*G1535</f>
        <v>77250</v>
      </c>
      <c r="I1535" s="44"/>
    </row>
    <row r="1536" spans="3:13" s="59" customFormat="1" ht="22.8" customHeight="1">
      <c r="C1536" s="61">
        <v>2</v>
      </c>
      <c r="D1536" s="56" t="s">
        <v>4488</v>
      </c>
      <c r="E1536" s="93" t="s">
        <v>42</v>
      </c>
      <c r="F1536" s="103">
        <v>0.125</v>
      </c>
      <c r="G1536" s="63">
        <f>VLOOKUP(D1536,upahbahan,3,FALSE)</f>
        <v>0</v>
      </c>
      <c r="H1536" s="63">
        <f>F1536*G1536</f>
        <v>0</v>
      </c>
      <c r="I1536" s="44"/>
    </row>
    <row r="1537" spans="3:13" s="59" customFormat="1" ht="22.8" customHeight="1">
      <c r="C1537" s="61">
        <v>4</v>
      </c>
      <c r="D1537" s="56" t="s">
        <v>4720</v>
      </c>
      <c r="E1537" s="93" t="s">
        <v>2167</v>
      </c>
      <c r="F1537" s="104">
        <v>1</v>
      </c>
      <c r="G1537" s="63">
        <f>VLOOKUP(D1537,upahbahan,3,FALSE)</f>
        <v>0</v>
      </c>
      <c r="H1537" s="63">
        <f>F1537*G1537</f>
        <v>0</v>
      </c>
      <c r="I1537" s="44"/>
    </row>
    <row r="1538" spans="3:13" s="59" customFormat="1" ht="22.8" customHeight="1">
      <c r="C1538" s="450" t="s">
        <v>1214</v>
      </c>
      <c r="D1538" s="67"/>
      <c r="E1538" s="67"/>
      <c r="F1538" s="67"/>
      <c r="G1538" s="69"/>
      <c r="H1538" s="63">
        <f>SUM(H1535:H1537)</f>
        <v>77250</v>
      </c>
      <c r="I1538" s="44"/>
    </row>
    <row r="1539" spans="3:13" s="59" customFormat="1" ht="22.8" customHeight="1">
      <c r="C1539" s="61" t="s">
        <v>1215</v>
      </c>
      <c r="D1539" s="56" t="s">
        <v>1216</v>
      </c>
      <c r="E1539" s="93"/>
      <c r="F1539" s="57"/>
      <c r="G1539" s="57"/>
      <c r="H1539" s="57"/>
      <c r="I1539" s="44"/>
    </row>
    <row r="1540" spans="3:13" s="59" customFormat="1" ht="22.8" customHeight="1">
      <c r="C1540" s="800">
        <v>1</v>
      </c>
      <c r="D1540" s="56" t="s">
        <v>4712</v>
      </c>
      <c r="E1540" s="93" t="s">
        <v>2396</v>
      </c>
      <c r="F1540" s="94">
        <v>0.32440000000000002</v>
      </c>
      <c r="G1540" s="63">
        <f>VLOOKUP(D1540,upahbahan,3,FALSE)</f>
        <v>1450000</v>
      </c>
      <c r="H1540" s="63">
        <f>F1540*G1540</f>
        <v>470380.00000000006</v>
      </c>
      <c r="I1540" s="44"/>
    </row>
    <row r="1541" spans="3:13" s="59" customFormat="1" ht="22.8" customHeight="1">
      <c r="C1541" s="450" t="s">
        <v>1217</v>
      </c>
      <c r="D1541" s="67"/>
      <c r="E1541" s="67"/>
      <c r="F1541" s="67"/>
      <c r="G1541" s="69"/>
      <c r="H1541" s="882">
        <f>SUM(H1539:H1540)</f>
        <v>470380.00000000006</v>
      </c>
      <c r="I1541" s="44"/>
    </row>
    <row r="1542" spans="3:13" s="59" customFormat="1" ht="22.8" customHeight="1">
      <c r="C1542" s="288" t="s">
        <v>1218</v>
      </c>
      <c r="D1542" s="76" t="s">
        <v>1219</v>
      </c>
      <c r="E1542" s="77"/>
      <c r="F1542" s="77"/>
      <c r="G1542" s="78"/>
      <c r="H1542" s="585">
        <f>H1541+H1538+H1533</f>
        <v>661478</v>
      </c>
      <c r="I1542" s="369"/>
    </row>
    <row r="1543" spans="3:13" s="59" customFormat="1" ht="22.8" customHeight="1">
      <c r="C1543" s="288" t="s">
        <v>1220</v>
      </c>
      <c r="D1543" s="76" t="s">
        <v>1321</v>
      </c>
      <c r="E1543" s="77"/>
      <c r="F1543" s="78"/>
      <c r="G1543" s="80">
        <v>0.1</v>
      </c>
      <c r="H1543" s="63">
        <f>H1542*G1543</f>
        <v>66147.8</v>
      </c>
      <c r="I1543" s="369"/>
    </row>
    <row r="1544" spans="3:13" s="59" customFormat="1" ht="22.8" customHeight="1">
      <c r="C1544" s="288" t="s">
        <v>1221</v>
      </c>
      <c r="D1544" s="76" t="s">
        <v>1222</v>
      </c>
      <c r="E1544" s="77"/>
      <c r="F1544" s="77"/>
      <c r="G1544" s="78"/>
      <c r="H1544" s="799">
        <f>SUM(H1542:H1543)</f>
        <v>727625.8</v>
      </c>
      <c r="I1544" s="369"/>
    </row>
    <row r="1545" spans="3:13" ht="22.8" customHeight="1"/>
    <row r="1546" spans="3:13" s="59" customFormat="1" ht="22.8" customHeight="1">
      <c r="C1546" s="46" t="s">
        <v>4733</v>
      </c>
      <c r="D1546" s="1934" t="s">
        <v>4721</v>
      </c>
      <c r="E1546" s="1934"/>
      <c r="F1546" s="1934"/>
      <c r="G1546" s="1934"/>
      <c r="H1546" s="1934"/>
      <c r="I1546" s="50">
        <f>ROUNDDOWN(H1563,-2)</f>
        <v>1009800</v>
      </c>
    </row>
    <row r="1547" spans="3:13" s="59" customFormat="1" ht="22.8" customHeight="1">
      <c r="C1547" s="591" t="s">
        <v>1195</v>
      </c>
      <c r="D1547" s="591" t="s">
        <v>1196</v>
      </c>
      <c r="E1547" s="591" t="s">
        <v>1197</v>
      </c>
      <c r="F1547" s="591" t="s">
        <v>1198</v>
      </c>
      <c r="G1547" s="591" t="s">
        <v>1199</v>
      </c>
      <c r="H1547" s="591" t="s">
        <v>1200</v>
      </c>
      <c r="I1547" s="44"/>
    </row>
    <row r="1548" spans="3:13" s="59" customFormat="1" ht="22.8" customHeight="1">
      <c r="C1548" s="61" t="s">
        <v>1201</v>
      </c>
      <c r="D1548" s="56" t="s">
        <v>1202</v>
      </c>
      <c r="E1548" s="57"/>
      <c r="F1548" s="57"/>
      <c r="G1548" s="57"/>
      <c r="H1548" s="57"/>
      <c r="I1548" s="44"/>
      <c r="J1548" s="152" t="s">
        <v>1247</v>
      </c>
    </row>
    <row r="1549" spans="3:13" s="59" customFormat="1" ht="22.8" customHeight="1">
      <c r="C1549" s="588">
        <v>1</v>
      </c>
      <c r="D1549" s="56" t="s">
        <v>5</v>
      </c>
      <c r="E1549" s="577" t="s">
        <v>6</v>
      </c>
      <c r="F1549" s="101">
        <v>0.92</v>
      </c>
      <c r="G1549" s="63">
        <f>VLOOKUP(D1549,upahbahan,3,FALSE)</f>
        <v>100000</v>
      </c>
      <c r="H1549" s="63">
        <f>F1549*G1549</f>
        <v>92000</v>
      </c>
      <c r="I1549" s="44"/>
      <c r="J1549" s="152" t="s">
        <v>1248</v>
      </c>
      <c r="M1549" s="65">
        <v>0.1</v>
      </c>
    </row>
    <row r="1550" spans="3:13" s="59" customFormat="1" ht="22.8" customHeight="1">
      <c r="C1550" s="588">
        <v>2</v>
      </c>
      <c r="D1550" s="56" t="s">
        <v>2165</v>
      </c>
      <c r="E1550" s="577" t="s">
        <v>6</v>
      </c>
      <c r="F1550" s="101">
        <v>0.46</v>
      </c>
      <c r="G1550" s="63">
        <f>VLOOKUP(D1550,upahbahan,3,FALSE)</f>
        <v>135000</v>
      </c>
      <c r="H1550" s="63">
        <f t="shared" ref="H1550:H1551" si="82">F1550*G1550</f>
        <v>62100</v>
      </c>
      <c r="I1550" s="44"/>
      <c r="J1550" s="152"/>
      <c r="M1550" s="65"/>
    </row>
    <row r="1551" spans="3:13" s="59" customFormat="1" ht="22.8" customHeight="1">
      <c r="C1551" s="588">
        <v>3</v>
      </c>
      <c r="D1551" s="56" t="s">
        <v>19</v>
      </c>
      <c r="E1551" s="577" t="s">
        <v>6</v>
      </c>
      <c r="F1551" s="101">
        <v>4.5999999999999999E-2</v>
      </c>
      <c r="G1551" s="63">
        <f>VLOOKUP(D1551,upahbahan,3,FALSE)</f>
        <v>160000</v>
      </c>
      <c r="H1551" s="63">
        <f t="shared" si="82"/>
        <v>7360</v>
      </c>
      <c r="I1551" s="44"/>
    </row>
    <row r="1552" spans="3:13" s="59" customFormat="1" ht="22.8" customHeight="1">
      <c r="C1552" s="450" t="s">
        <v>1208</v>
      </c>
      <c r="D1552" s="67"/>
      <c r="E1552" s="67"/>
      <c r="F1552" s="142"/>
      <c r="G1552" s="153"/>
      <c r="H1552" s="63">
        <f>SUM(H1549:H1551)</f>
        <v>161460</v>
      </c>
      <c r="I1552" s="154"/>
    </row>
    <row r="1553" spans="3:13" s="59" customFormat="1" ht="22.8" customHeight="1">
      <c r="C1553" s="61" t="s">
        <v>1209</v>
      </c>
      <c r="D1553" s="56" t="s">
        <v>1210</v>
      </c>
      <c r="E1553" s="57"/>
      <c r="F1553" s="57"/>
      <c r="G1553" s="57"/>
      <c r="H1553" s="57"/>
      <c r="I1553" s="44"/>
    </row>
    <row r="1554" spans="3:13" s="59" customFormat="1" ht="22.8" customHeight="1">
      <c r="C1554" s="61">
        <v>1</v>
      </c>
      <c r="D1554" s="56" t="s">
        <v>4487</v>
      </c>
      <c r="E1554" s="93" t="s">
        <v>42</v>
      </c>
      <c r="F1554" s="103">
        <v>7.2499999999999995E-2</v>
      </c>
      <c r="G1554" s="63">
        <f>VLOOKUP(D1554,upahbahan,3,FALSE)</f>
        <v>1236000</v>
      </c>
      <c r="H1554" s="63">
        <f>F1554*G1554</f>
        <v>89610</v>
      </c>
      <c r="I1554" s="44"/>
    </row>
    <row r="1555" spans="3:13" s="59" customFormat="1" ht="22.8" customHeight="1">
      <c r="C1555" s="61">
        <v>2</v>
      </c>
      <c r="D1555" s="56" t="s">
        <v>4488</v>
      </c>
      <c r="E1555" s="93" t="s">
        <v>42</v>
      </c>
      <c r="F1555" s="103">
        <v>0.14499999999999999</v>
      </c>
      <c r="G1555" s="63">
        <f>VLOOKUP(D1555,upahbahan,3,FALSE)</f>
        <v>0</v>
      </c>
      <c r="H1555" s="63">
        <f>F1555*G1555</f>
        <v>0</v>
      </c>
      <c r="I1555" s="44"/>
    </row>
    <row r="1556" spans="3:13" s="59" customFormat="1" ht="22.8" customHeight="1">
      <c r="C1556" s="61">
        <v>4</v>
      </c>
      <c r="D1556" s="56" t="s">
        <v>4722</v>
      </c>
      <c r="E1556" s="93" t="s">
        <v>2167</v>
      </c>
      <c r="F1556" s="104">
        <v>1</v>
      </c>
      <c r="G1556" s="63">
        <f>VLOOKUP(D1556,upahbahan,3,FALSE)</f>
        <v>0</v>
      </c>
      <c r="H1556" s="63">
        <f>F1556*G1556</f>
        <v>0</v>
      </c>
      <c r="I1556" s="44"/>
    </row>
    <row r="1557" spans="3:13" s="59" customFormat="1" ht="22.8" customHeight="1">
      <c r="C1557" s="450" t="s">
        <v>1214</v>
      </c>
      <c r="D1557" s="67"/>
      <c r="E1557" s="67"/>
      <c r="F1557" s="67"/>
      <c r="G1557" s="69"/>
      <c r="H1557" s="63">
        <f>SUM(H1554:H1556)</f>
        <v>89610</v>
      </c>
      <c r="I1557" s="44"/>
    </row>
    <row r="1558" spans="3:13" s="59" customFormat="1" ht="22.8" customHeight="1">
      <c r="C1558" s="61" t="s">
        <v>1215</v>
      </c>
      <c r="D1558" s="56" t="s">
        <v>1216</v>
      </c>
      <c r="E1558" s="93"/>
      <c r="F1558" s="57"/>
      <c r="G1558" s="57"/>
      <c r="H1558" s="57"/>
      <c r="I1558" s="44"/>
    </row>
    <row r="1559" spans="3:13" s="59" customFormat="1" ht="22.8" customHeight="1">
      <c r="C1559" s="800">
        <v>1</v>
      </c>
      <c r="D1559" s="56" t="s">
        <v>4712</v>
      </c>
      <c r="E1559" s="93" t="s">
        <v>2396</v>
      </c>
      <c r="F1559" s="94">
        <v>0.46</v>
      </c>
      <c r="G1559" s="63">
        <f>VLOOKUP(D1559,upahbahan,3,FALSE)</f>
        <v>1450000</v>
      </c>
      <c r="H1559" s="63">
        <f>F1559*G1559</f>
        <v>667000</v>
      </c>
      <c r="I1559" s="44"/>
    </row>
    <row r="1560" spans="3:13" s="59" customFormat="1" ht="22.8" customHeight="1">
      <c r="C1560" s="450" t="s">
        <v>1217</v>
      </c>
      <c r="D1560" s="67"/>
      <c r="E1560" s="67"/>
      <c r="F1560" s="67"/>
      <c r="G1560" s="69"/>
      <c r="H1560" s="882">
        <f>SUM(H1558:H1559)</f>
        <v>667000</v>
      </c>
      <c r="I1560" s="44"/>
    </row>
    <row r="1561" spans="3:13" s="59" customFormat="1" ht="22.8" customHeight="1">
      <c r="C1561" s="288" t="s">
        <v>1218</v>
      </c>
      <c r="D1561" s="76" t="s">
        <v>1219</v>
      </c>
      <c r="E1561" s="77"/>
      <c r="F1561" s="77"/>
      <c r="G1561" s="78"/>
      <c r="H1561" s="585">
        <f>H1560+H1557+H1552</f>
        <v>918070</v>
      </c>
      <c r="I1561" s="369"/>
    </row>
    <row r="1562" spans="3:13" s="59" customFormat="1" ht="22.8" customHeight="1">
      <c r="C1562" s="288" t="s">
        <v>1220</v>
      </c>
      <c r="D1562" s="76" t="s">
        <v>1321</v>
      </c>
      <c r="E1562" s="77"/>
      <c r="F1562" s="78"/>
      <c r="G1562" s="80">
        <v>0.1</v>
      </c>
      <c r="H1562" s="63">
        <f>H1561*G1562</f>
        <v>91807</v>
      </c>
      <c r="I1562" s="369"/>
    </row>
    <row r="1563" spans="3:13" s="59" customFormat="1" ht="22.8" customHeight="1">
      <c r="C1563" s="288" t="s">
        <v>1221</v>
      </c>
      <c r="D1563" s="76" t="s">
        <v>1222</v>
      </c>
      <c r="E1563" s="77"/>
      <c r="F1563" s="77"/>
      <c r="G1563" s="78"/>
      <c r="H1563" s="799">
        <f>SUM(H1561:H1562)</f>
        <v>1009877</v>
      </c>
      <c r="I1563" s="369"/>
    </row>
    <row r="1564" spans="3:13" ht="22.8" customHeight="1"/>
    <row r="1565" spans="3:13" s="59" customFormat="1" ht="22.8" customHeight="1">
      <c r="C1565" s="46" t="s">
        <v>4734</v>
      </c>
      <c r="D1565" s="1934" t="s">
        <v>4723</v>
      </c>
      <c r="E1565" s="1934"/>
      <c r="F1565" s="1934"/>
      <c r="G1565" s="1934"/>
      <c r="H1565" s="1934"/>
      <c r="I1565" s="50">
        <f>ROUNDDOWN(H1582,-2)</f>
        <v>1166200</v>
      </c>
    </row>
    <row r="1566" spans="3:13" s="59" customFormat="1" ht="22.8" customHeight="1">
      <c r="C1566" s="591" t="s">
        <v>1195</v>
      </c>
      <c r="D1566" s="591" t="s">
        <v>1196</v>
      </c>
      <c r="E1566" s="591" t="s">
        <v>1197</v>
      </c>
      <c r="F1566" s="591" t="s">
        <v>1198</v>
      </c>
      <c r="G1566" s="591" t="s">
        <v>1199</v>
      </c>
      <c r="H1566" s="591" t="s">
        <v>1200</v>
      </c>
      <c r="I1566" s="44"/>
    </row>
    <row r="1567" spans="3:13" s="59" customFormat="1" ht="22.8" customHeight="1">
      <c r="C1567" s="61" t="s">
        <v>1201</v>
      </c>
      <c r="D1567" s="56" t="s">
        <v>1202</v>
      </c>
      <c r="E1567" s="57"/>
      <c r="F1567" s="57"/>
      <c r="G1567" s="57"/>
      <c r="H1567" s="57"/>
      <c r="I1567" s="44"/>
      <c r="J1567" s="152" t="s">
        <v>1247</v>
      </c>
    </row>
    <row r="1568" spans="3:13" s="59" customFormat="1" ht="22.8" customHeight="1">
      <c r="C1568" s="588">
        <v>1</v>
      </c>
      <c r="D1568" s="56" t="s">
        <v>5</v>
      </c>
      <c r="E1568" s="577" t="s">
        <v>6</v>
      </c>
      <c r="F1568" s="101">
        <v>1.0395000000000001</v>
      </c>
      <c r="G1568" s="63">
        <f>VLOOKUP(D1568,upahbahan,3,FALSE)</f>
        <v>100000</v>
      </c>
      <c r="H1568" s="63">
        <f>F1568*G1568</f>
        <v>103950.00000000001</v>
      </c>
      <c r="I1568" s="44"/>
      <c r="J1568" s="152" t="s">
        <v>1248</v>
      </c>
      <c r="M1568" s="65">
        <v>0.1</v>
      </c>
    </row>
    <row r="1569" spans="3:13" s="59" customFormat="1" ht="22.8" customHeight="1">
      <c r="C1569" s="588">
        <v>2</v>
      </c>
      <c r="D1569" s="56" t="s">
        <v>2165</v>
      </c>
      <c r="E1569" s="577" t="s">
        <v>6</v>
      </c>
      <c r="F1569" s="101">
        <v>0.51970000000000005</v>
      </c>
      <c r="G1569" s="63">
        <f>VLOOKUP(D1569,upahbahan,3,FALSE)</f>
        <v>135000</v>
      </c>
      <c r="H1569" s="63">
        <f t="shared" ref="H1569:H1570" si="83">F1569*G1569</f>
        <v>70159.5</v>
      </c>
      <c r="I1569" s="44"/>
      <c r="J1569" s="152"/>
      <c r="M1569" s="65"/>
    </row>
    <row r="1570" spans="3:13" s="59" customFormat="1" ht="22.8" customHeight="1">
      <c r="C1570" s="588">
        <v>3</v>
      </c>
      <c r="D1570" s="56" t="s">
        <v>19</v>
      </c>
      <c r="E1570" s="577" t="s">
        <v>6</v>
      </c>
      <c r="F1570" s="101">
        <v>5.1999999999999998E-2</v>
      </c>
      <c r="G1570" s="63">
        <f>VLOOKUP(D1570,upahbahan,3,FALSE)</f>
        <v>160000</v>
      </c>
      <c r="H1570" s="63">
        <f t="shared" si="83"/>
        <v>8320</v>
      </c>
      <c r="I1570" s="44"/>
    </row>
    <row r="1571" spans="3:13" s="59" customFormat="1" ht="22.8" customHeight="1">
      <c r="C1571" s="450" t="s">
        <v>1208</v>
      </c>
      <c r="D1571" s="67"/>
      <c r="E1571" s="67"/>
      <c r="F1571" s="142"/>
      <c r="G1571" s="153"/>
      <c r="H1571" s="63">
        <f>SUM(H1568:H1570)</f>
        <v>182429.5</v>
      </c>
      <c r="I1571" s="154"/>
    </row>
    <row r="1572" spans="3:13" s="59" customFormat="1" ht="22.8" customHeight="1">
      <c r="C1572" s="61" t="s">
        <v>1209</v>
      </c>
      <c r="D1572" s="56" t="s">
        <v>1210</v>
      </c>
      <c r="E1572" s="57"/>
      <c r="F1572" s="57"/>
      <c r="G1572" s="57"/>
      <c r="H1572" s="57"/>
      <c r="I1572" s="44"/>
    </row>
    <row r="1573" spans="3:13" s="59" customFormat="1" ht="22.8" customHeight="1">
      <c r="C1573" s="61">
        <v>1</v>
      </c>
      <c r="D1573" s="56" t="s">
        <v>4487</v>
      </c>
      <c r="E1573" s="93" t="s">
        <v>42</v>
      </c>
      <c r="F1573" s="103">
        <v>0.10050000000000001</v>
      </c>
      <c r="G1573" s="63">
        <f>VLOOKUP(D1573,upahbahan,3,FALSE)</f>
        <v>1236000</v>
      </c>
      <c r="H1573" s="63">
        <f>F1573*G1573</f>
        <v>124218.00000000001</v>
      </c>
      <c r="I1573" s="44"/>
    </row>
    <row r="1574" spans="3:13" s="59" customFormat="1" ht="22.8" customHeight="1">
      <c r="C1574" s="61">
        <v>2</v>
      </c>
      <c r="D1574" s="56" t="s">
        <v>4488</v>
      </c>
      <c r="E1574" s="93" t="s">
        <v>42</v>
      </c>
      <c r="F1574" s="103">
        <v>0.20100000000000001</v>
      </c>
      <c r="G1574" s="63">
        <f>VLOOKUP(D1574,upahbahan,3,FALSE)</f>
        <v>0</v>
      </c>
      <c r="H1574" s="63">
        <f>F1574*G1574</f>
        <v>0</v>
      </c>
      <c r="I1574" s="44"/>
    </row>
    <row r="1575" spans="3:13" s="59" customFormat="1" ht="22.8" customHeight="1">
      <c r="C1575" s="61">
        <v>4</v>
      </c>
      <c r="D1575" s="56" t="s">
        <v>4724</v>
      </c>
      <c r="E1575" s="93" t="s">
        <v>2167</v>
      </c>
      <c r="F1575" s="104">
        <v>1</v>
      </c>
      <c r="G1575" s="63">
        <f>VLOOKUP(D1575,upahbahan,3,FALSE)</f>
        <v>0</v>
      </c>
      <c r="H1575" s="63">
        <f>F1575*G1575</f>
        <v>0</v>
      </c>
      <c r="I1575" s="44"/>
    </row>
    <row r="1576" spans="3:13" s="59" customFormat="1" ht="22.8" customHeight="1">
      <c r="C1576" s="450" t="s">
        <v>1214</v>
      </c>
      <c r="D1576" s="67"/>
      <c r="E1576" s="67"/>
      <c r="F1576" s="67"/>
      <c r="G1576" s="69"/>
      <c r="H1576" s="63">
        <f>SUM(H1573:H1575)</f>
        <v>124218.00000000001</v>
      </c>
      <c r="I1576" s="44"/>
    </row>
    <row r="1577" spans="3:13" s="59" customFormat="1" ht="22.8" customHeight="1">
      <c r="C1577" s="61" t="s">
        <v>1215</v>
      </c>
      <c r="D1577" s="56" t="s">
        <v>1216</v>
      </c>
      <c r="E1577" s="93"/>
      <c r="F1577" s="57"/>
      <c r="G1577" s="57"/>
      <c r="H1577" s="57"/>
      <c r="I1577" s="44"/>
    </row>
    <row r="1578" spans="3:13" s="59" customFormat="1" ht="22.8" customHeight="1">
      <c r="C1578" s="800">
        <v>1</v>
      </c>
      <c r="D1578" s="56" t="s">
        <v>4712</v>
      </c>
      <c r="E1578" s="93" t="s">
        <v>2396</v>
      </c>
      <c r="F1578" s="94">
        <v>0.51970000000000005</v>
      </c>
      <c r="G1578" s="63">
        <f>VLOOKUP(D1578,upahbahan,3,FALSE)</f>
        <v>1450000</v>
      </c>
      <c r="H1578" s="63">
        <f>F1578*G1578</f>
        <v>753565.00000000012</v>
      </c>
      <c r="I1578" s="44"/>
    </row>
    <row r="1579" spans="3:13" s="59" customFormat="1" ht="22.8" customHeight="1">
      <c r="C1579" s="450" t="s">
        <v>1217</v>
      </c>
      <c r="D1579" s="67"/>
      <c r="E1579" s="67"/>
      <c r="F1579" s="67"/>
      <c r="G1579" s="69"/>
      <c r="H1579" s="882">
        <f>SUM(H1577:H1578)</f>
        <v>753565.00000000012</v>
      </c>
      <c r="I1579" s="44"/>
    </row>
    <row r="1580" spans="3:13" s="59" customFormat="1" ht="22.8" customHeight="1">
      <c r="C1580" s="288" t="s">
        <v>1218</v>
      </c>
      <c r="D1580" s="76" t="s">
        <v>1219</v>
      </c>
      <c r="E1580" s="77"/>
      <c r="F1580" s="77"/>
      <c r="G1580" s="78"/>
      <c r="H1580" s="585">
        <f>H1579+H1576+H1571</f>
        <v>1060212.5</v>
      </c>
      <c r="I1580" s="369"/>
    </row>
    <row r="1581" spans="3:13" s="59" customFormat="1" ht="22.8" customHeight="1">
      <c r="C1581" s="288" t="s">
        <v>1220</v>
      </c>
      <c r="D1581" s="76" t="s">
        <v>1321</v>
      </c>
      <c r="E1581" s="77"/>
      <c r="F1581" s="78"/>
      <c r="G1581" s="80">
        <v>0.1</v>
      </c>
      <c r="H1581" s="63">
        <f>H1580*G1581</f>
        <v>106021.25</v>
      </c>
      <c r="I1581" s="369"/>
    </row>
    <row r="1582" spans="3:13" s="59" customFormat="1" ht="22.8" customHeight="1">
      <c r="C1582" s="288" t="s">
        <v>1221</v>
      </c>
      <c r="D1582" s="76" t="s">
        <v>1222</v>
      </c>
      <c r="E1582" s="77"/>
      <c r="F1582" s="77"/>
      <c r="G1582" s="78"/>
      <c r="H1582" s="799">
        <f>SUM(H1580:H1581)</f>
        <v>1166233.75</v>
      </c>
      <c r="I1582" s="369"/>
    </row>
    <row r="1583" spans="3:13" ht="22.8" customHeight="1"/>
    <row r="1584" spans="3:13" s="59" customFormat="1" ht="22.8" customHeight="1">
      <c r="C1584" s="46" t="s">
        <v>4735</v>
      </c>
      <c r="D1584" s="1934" t="s">
        <v>4725</v>
      </c>
      <c r="E1584" s="1934"/>
      <c r="F1584" s="1934"/>
      <c r="G1584" s="1934"/>
      <c r="H1584" s="1934"/>
      <c r="I1584" s="50">
        <f>ROUNDDOWN(H1601,-2)</f>
        <v>1538200</v>
      </c>
    </row>
    <row r="1585" spans="3:13" s="59" customFormat="1" ht="22.8" customHeight="1">
      <c r="C1585" s="591" t="s">
        <v>1195</v>
      </c>
      <c r="D1585" s="591" t="s">
        <v>1196</v>
      </c>
      <c r="E1585" s="591" t="s">
        <v>1197</v>
      </c>
      <c r="F1585" s="591" t="s">
        <v>1198</v>
      </c>
      <c r="G1585" s="591" t="s">
        <v>1199</v>
      </c>
      <c r="H1585" s="591" t="s">
        <v>1200</v>
      </c>
      <c r="I1585" s="44"/>
    </row>
    <row r="1586" spans="3:13" s="59" customFormat="1" ht="22.8" customHeight="1">
      <c r="C1586" s="61" t="s">
        <v>1201</v>
      </c>
      <c r="D1586" s="56" t="s">
        <v>1202</v>
      </c>
      <c r="E1586" s="57"/>
      <c r="F1586" s="57"/>
      <c r="G1586" s="57"/>
      <c r="H1586" s="57"/>
      <c r="I1586" s="44"/>
      <c r="J1586" s="152" t="s">
        <v>1247</v>
      </c>
    </row>
    <row r="1587" spans="3:13" s="59" customFormat="1" ht="22.8" customHeight="1">
      <c r="C1587" s="588">
        <v>1</v>
      </c>
      <c r="D1587" s="56" t="s">
        <v>5</v>
      </c>
      <c r="E1587" s="577" t="s">
        <v>6</v>
      </c>
      <c r="F1587" s="101">
        <v>2.4607000000000001</v>
      </c>
      <c r="G1587" s="63">
        <f>VLOOKUP(D1587,upahbahan,3,FALSE)</f>
        <v>100000</v>
      </c>
      <c r="H1587" s="63">
        <f>F1587*G1587</f>
        <v>246070</v>
      </c>
      <c r="I1587" s="44"/>
      <c r="J1587" s="152" t="s">
        <v>1248</v>
      </c>
      <c r="M1587" s="65">
        <v>0.1</v>
      </c>
    </row>
    <row r="1588" spans="3:13" s="59" customFormat="1" ht="22.8" customHeight="1">
      <c r="C1588" s="588">
        <v>2</v>
      </c>
      <c r="D1588" s="56" t="s">
        <v>2165</v>
      </c>
      <c r="E1588" s="577" t="s">
        <v>6</v>
      </c>
      <c r="F1588" s="101">
        <v>0.61519999999999997</v>
      </c>
      <c r="G1588" s="63">
        <f>VLOOKUP(D1588,upahbahan,3,FALSE)</f>
        <v>135000</v>
      </c>
      <c r="H1588" s="63">
        <f t="shared" ref="H1588:H1589" si="84">F1588*G1588</f>
        <v>83052</v>
      </c>
      <c r="I1588" s="44"/>
      <c r="J1588" s="152"/>
      <c r="M1588" s="65"/>
    </row>
    <row r="1589" spans="3:13" s="59" customFormat="1" ht="22.8" customHeight="1">
      <c r="C1589" s="588">
        <v>3</v>
      </c>
      <c r="D1589" s="56" t="s">
        <v>19</v>
      </c>
      <c r="E1589" s="577" t="s">
        <v>6</v>
      </c>
      <c r="F1589" s="101">
        <v>0.123</v>
      </c>
      <c r="G1589" s="63">
        <f>VLOOKUP(D1589,upahbahan,3,FALSE)</f>
        <v>160000</v>
      </c>
      <c r="H1589" s="63">
        <f t="shared" si="84"/>
        <v>19680</v>
      </c>
      <c r="I1589" s="44"/>
    </row>
    <row r="1590" spans="3:13" s="59" customFormat="1" ht="22.8" customHeight="1">
      <c r="C1590" s="450" t="s">
        <v>1208</v>
      </c>
      <c r="D1590" s="67"/>
      <c r="E1590" s="67"/>
      <c r="F1590" s="142"/>
      <c r="G1590" s="153"/>
      <c r="H1590" s="63">
        <f>SUM(H1587:H1589)</f>
        <v>348802</v>
      </c>
      <c r="I1590" s="154"/>
    </row>
    <row r="1591" spans="3:13" s="59" customFormat="1" ht="22.8" customHeight="1">
      <c r="C1591" s="61" t="s">
        <v>1209</v>
      </c>
      <c r="D1591" s="56" t="s">
        <v>1210</v>
      </c>
      <c r="E1591" s="57"/>
      <c r="F1591" s="57"/>
      <c r="G1591" s="57"/>
      <c r="H1591" s="57"/>
      <c r="I1591" s="44"/>
    </row>
    <row r="1592" spans="3:13" s="59" customFormat="1" ht="22.8" customHeight="1">
      <c r="C1592" s="61">
        <v>1</v>
      </c>
      <c r="D1592" s="56" t="s">
        <v>4487</v>
      </c>
      <c r="E1592" s="93" t="s">
        <v>42</v>
      </c>
      <c r="F1592" s="103">
        <v>0.1275</v>
      </c>
      <c r="G1592" s="63">
        <f>VLOOKUP(D1592,upahbahan,3,FALSE)</f>
        <v>1236000</v>
      </c>
      <c r="H1592" s="63">
        <f>F1592*G1592</f>
        <v>157590</v>
      </c>
      <c r="I1592" s="44"/>
    </row>
    <row r="1593" spans="3:13" s="59" customFormat="1" ht="22.8" customHeight="1">
      <c r="C1593" s="61">
        <v>2</v>
      </c>
      <c r="D1593" s="56" t="s">
        <v>4488</v>
      </c>
      <c r="E1593" s="93" t="s">
        <v>42</v>
      </c>
      <c r="F1593" s="103">
        <v>0.255</v>
      </c>
      <c r="G1593" s="63">
        <f>VLOOKUP(D1593,upahbahan,3,FALSE)</f>
        <v>0</v>
      </c>
      <c r="H1593" s="63">
        <f>F1593*G1593</f>
        <v>0</v>
      </c>
      <c r="I1593" s="44"/>
    </row>
    <row r="1594" spans="3:13" s="59" customFormat="1" ht="22.8" customHeight="1">
      <c r="C1594" s="61">
        <v>4</v>
      </c>
      <c r="D1594" s="56" t="s">
        <v>4726</v>
      </c>
      <c r="E1594" s="93" t="s">
        <v>2167</v>
      </c>
      <c r="F1594" s="104">
        <v>1</v>
      </c>
      <c r="G1594" s="63">
        <f>VLOOKUP(D1594,upahbahan,3,FALSE)</f>
        <v>0</v>
      </c>
      <c r="H1594" s="63">
        <f>F1594*G1594</f>
        <v>0</v>
      </c>
      <c r="I1594" s="44"/>
    </row>
    <row r="1595" spans="3:13" s="59" customFormat="1" ht="22.8" customHeight="1">
      <c r="C1595" s="450" t="s">
        <v>1214</v>
      </c>
      <c r="D1595" s="67"/>
      <c r="E1595" s="67"/>
      <c r="F1595" s="67"/>
      <c r="G1595" s="69"/>
      <c r="H1595" s="63">
        <f>SUM(H1592:H1594)</f>
        <v>157590</v>
      </c>
      <c r="I1595" s="44"/>
    </row>
    <row r="1596" spans="3:13" s="59" customFormat="1" ht="22.8" customHeight="1">
      <c r="C1596" s="61" t="s">
        <v>1215</v>
      </c>
      <c r="D1596" s="56" t="s">
        <v>1216</v>
      </c>
      <c r="E1596" s="93"/>
      <c r="F1596" s="57"/>
      <c r="G1596" s="57"/>
      <c r="H1596" s="57"/>
      <c r="I1596" s="44"/>
    </row>
    <row r="1597" spans="3:13" s="59" customFormat="1" ht="22.8" customHeight="1">
      <c r="C1597" s="800">
        <v>1</v>
      </c>
      <c r="D1597" s="56" t="s">
        <v>4712</v>
      </c>
      <c r="E1597" s="93" t="s">
        <v>2396</v>
      </c>
      <c r="F1597" s="94">
        <v>0.61519999999999997</v>
      </c>
      <c r="G1597" s="63">
        <f>VLOOKUP(D1597,upahbahan,3,FALSE)</f>
        <v>1450000</v>
      </c>
      <c r="H1597" s="63">
        <f>F1597*G1597</f>
        <v>892040</v>
      </c>
      <c r="I1597" s="44"/>
    </row>
    <row r="1598" spans="3:13" s="59" customFormat="1" ht="22.8" customHeight="1">
      <c r="C1598" s="450" t="s">
        <v>1217</v>
      </c>
      <c r="D1598" s="67"/>
      <c r="E1598" s="67"/>
      <c r="F1598" s="67"/>
      <c r="G1598" s="69"/>
      <c r="H1598" s="882">
        <f>SUM(H1596:H1597)</f>
        <v>892040</v>
      </c>
      <c r="I1598" s="44"/>
    </row>
    <row r="1599" spans="3:13" s="59" customFormat="1" ht="22.8" customHeight="1">
      <c r="C1599" s="288" t="s">
        <v>1218</v>
      </c>
      <c r="D1599" s="76" t="s">
        <v>1219</v>
      </c>
      <c r="E1599" s="77"/>
      <c r="F1599" s="77"/>
      <c r="G1599" s="78"/>
      <c r="H1599" s="585">
        <f>H1598+H1595+H1590</f>
        <v>1398432</v>
      </c>
      <c r="I1599" s="369"/>
    </row>
    <row r="1600" spans="3:13" s="59" customFormat="1" ht="22.8" customHeight="1">
      <c r="C1600" s="288" t="s">
        <v>1220</v>
      </c>
      <c r="D1600" s="76" t="s">
        <v>1321</v>
      </c>
      <c r="E1600" s="77"/>
      <c r="F1600" s="78"/>
      <c r="G1600" s="80">
        <v>0.1</v>
      </c>
      <c r="H1600" s="63">
        <f>H1599*G1600</f>
        <v>139843.20000000001</v>
      </c>
      <c r="I1600" s="369"/>
    </row>
    <row r="1601" spans="3:13" s="59" customFormat="1" ht="22.8" customHeight="1">
      <c r="C1601" s="288" t="s">
        <v>1221</v>
      </c>
      <c r="D1601" s="76" t="s">
        <v>1222</v>
      </c>
      <c r="E1601" s="77"/>
      <c r="F1601" s="77"/>
      <c r="G1601" s="78"/>
      <c r="H1601" s="799">
        <f>SUM(H1599:H1600)</f>
        <v>1538275.2</v>
      </c>
      <c r="I1601" s="369"/>
    </row>
    <row r="1602" spans="3:13" ht="22.8" customHeight="1"/>
    <row r="1603" spans="3:13" ht="22.8" customHeight="1"/>
    <row r="1604" spans="3:13" s="59" customFormat="1" ht="22.8" customHeight="1">
      <c r="C1604" s="46" t="s">
        <v>4736</v>
      </c>
      <c r="D1604" s="1934" t="s">
        <v>4727</v>
      </c>
      <c r="E1604" s="1934"/>
      <c r="F1604" s="1934"/>
      <c r="G1604" s="1934"/>
      <c r="H1604" s="1934"/>
      <c r="I1604" s="50">
        <f>ROUNDDOWN(H1621,-2)</f>
        <v>2279000</v>
      </c>
    </row>
    <row r="1605" spans="3:13" s="59" customFormat="1" ht="22.8" customHeight="1">
      <c r="C1605" s="591" t="s">
        <v>1195</v>
      </c>
      <c r="D1605" s="591" t="s">
        <v>1196</v>
      </c>
      <c r="E1605" s="591" t="s">
        <v>1197</v>
      </c>
      <c r="F1605" s="591" t="s">
        <v>1198</v>
      </c>
      <c r="G1605" s="591" t="s">
        <v>1199</v>
      </c>
      <c r="H1605" s="591" t="s">
        <v>1200</v>
      </c>
      <c r="I1605" s="44"/>
    </row>
    <row r="1606" spans="3:13" s="59" customFormat="1" ht="22.8" customHeight="1">
      <c r="C1606" s="61" t="s">
        <v>1201</v>
      </c>
      <c r="D1606" s="56" t="s">
        <v>1202</v>
      </c>
      <c r="E1606" s="57"/>
      <c r="F1606" s="57"/>
      <c r="G1606" s="57"/>
      <c r="H1606" s="57"/>
      <c r="I1606" s="44"/>
      <c r="J1606" s="152" t="s">
        <v>1247</v>
      </c>
    </row>
    <row r="1607" spans="3:13" s="59" customFormat="1" ht="22.8" customHeight="1">
      <c r="C1607" s="588">
        <v>1</v>
      </c>
      <c r="D1607" s="56" t="s">
        <v>5</v>
      </c>
      <c r="E1607" s="577" t="s">
        <v>6</v>
      </c>
      <c r="F1607" s="101">
        <v>3.6490999999999998</v>
      </c>
      <c r="G1607" s="63">
        <f>VLOOKUP(D1607,upahbahan,3,FALSE)</f>
        <v>100000</v>
      </c>
      <c r="H1607" s="63">
        <f>F1607*G1607</f>
        <v>364910</v>
      </c>
      <c r="I1607" s="44"/>
      <c r="J1607" s="152" t="s">
        <v>1248</v>
      </c>
      <c r="M1607" s="65">
        <v>0.1</v>
      </c>
    </row>
    <row r="1608" spans="3:13" s="59" customFormat="1" ht="22.8" customHeight="1">
      <c r="C1608" s="588">
        <v>2</v>
      </c>
      <c r="D1608" s="56" t="s">
        <v>2165</v>
      </c>
      <c r="E1608" s="577" t="s">
        <v>6</v>
      </c>
      <c r="F1608" s="101">
        <v>0.9123</v>
      </c>
      <c r="G1608" s="63">
        <f>VLOOKUP(D1608,upahbahan,3,FALSE)</f>
        <v>135000</v>
      </c>
      <c r="H1608" s="63">
        <f t="shared" ref="H1608:H1609" si="85">F1608*G1608</f>
        <v>123160.5</v>
      </c>
      <c r="I1608" s="44"/>
      <c r="J1608" s="152"/>
      <c r="M1608" s="65"/>
    </row>
    <row r="1609" spans="3:13" s="59" customFormat="1" ht="22.8" customHeight="1">
      <c r="C1609" s="588">
        <v>3</v>
      </c>
      <c r="D1609" s="56" t="s">
        <v>19</v>
      </c>
      <c r="E1609" s="577" t="s">
        <v>6</v>
      </c>
      <c r="F1609" s="101">
        <v>0.1825</v>
      </c>
      <c r="G1609" s="63">
        <f>VLOOKUP(D1609,upahbahan,3,FALSE)</f>
        <v>160000</v>
      </c>
      <c r="H1609" s="63">
        <f t="shared" si="85"/>
        <v>29200</v>
      </c>
      <c r="I1609" s="44"/>
    </row>
    <row r="1610" spans="3:13" s="59" customFormat="1" ht="22.8" customHeight="1">
      <c r="C1610" s="450" t="s">
        <v>1208</v>
      </c>
      <c r="D1610" s="67"/>
      <c r="E1610" s="67"/>
      <c r="F1610" s="142"/>
      <c r="G1610" s="153"/>
      <c r="H1610" s="63">
        <f>SUM(H1607:H1609)</f>
        <v>517270.5</v>
      </c>
      <c r="I1610" s="154"/>
    </row>
    <row r="1611" spans="3:13" s="59" customFormat="1" ht="22.8" customHeight="1">
      <c r="C1611" s="61" t="s">
        <v>1209</v>
      </c>
      <c r="D1611" s="56" t="s">
        <v>1210</v>
      </c>
      <c r="E1611" s="57"/>
      <c r="F1611" s="57"/>
      <c r="G1611" s="57"/>
      <c r="H1611" s="57"/>
      <c r="I1611" s="44"/>
    </row>
    <row r="1612" spans="3:13" s="59" customFormat="1" ht="22.8" customHeight="1">
      <c r="C1612" s="61">
        <v>1</v>
      </c>
      <c r="D1612" s="56" t="s">
        <v>4487</v>
      </c>
      <c r="E1612" s="93" t="s">
        <v>42</v>
      </c>
      <c r="F1612" s="103">
        <v>0.1875</v>
      </c>
      <c r="G1612" s="63">
        <f>VLOOKUP(D1612,upahbahan,3,FALSE)</f>
        <v>1236000</v>
      </c>
      <c r="H1612" s="63">
        <f>F1612*G1612</f>
        <v>231750</v>
      </c>
      <c r="I1612" s="44"/>
    </row>
    <row r="1613" spans="3:13" s="59" customFormat="1" ht="22.8" customHeight="1">
      <c r="C1613" s="61">
        <v>2</v>
      </c>
      <c r="D1613" s="56" t="s">
        <v>4488</v>
      </c>
      <c r="E1613" s="93" t="s">
        <v>42</v>
      </c>
      <c r="F1613" s="103">
        <v>0.375</v>
      </c>
      <c r="G1613" s="63">
        <f>VLOOKUP(D1613,upahbahan,3,FALSE)</f>
        <v>0</v>
      </c>
      <c r="H1613" s="63">
        <f>F1613*G1613</f>
        <v>0</v>
      </c>
      <c r="I1613" s="44"/>
    </row>
    <row r="1614" spans="3:13" s="59" customFormat="1" ht="22.8" customHeight="1">
      <c r="C1614" s="61">
        <v>4</v>
      </c>
      <c r="D1614" s="56" t="s">
        <v>4728</v>
      </c>
      <c r="E1614" s="93" t="s">
        <v>2167</v>
      </c>
      <c r="F1614" s="104">
        <v>1</v>
      </c>
      <c r="G1614" s="63">
        <f>VLOOKUP(D1614,upahbahan,3,FALSE)</f>
        <v>0</v>
      </c>
      <c r="H1614" s="63">
        <f>F1614*G1614</f>
        <v>0</v>
      </c>
      <c r="I1614" s="44"/>
    </row>
    <row r="1615" spans="3:13" s="59" customFormat="1" ht="22.8" customHeight="1">
      <c r="C1615" s="450" t="s">
        <v>1214</v>
      </c>
      <c r="D1615" s="67"/>
      <c r="E1615" s="67"/>
      <c r="F1615" s="67"/>
      <c r="G1615" s="69"/>
      <c r="H1615" s="63">
        <f>SUM(H1612:H1614)</f>
        <v>231750</v>
      </c>
      <c r="I1615" s="44"/>
    </row>
    <row r="1616" spans="3:13" s="59" customFormat="1" ht="22.8" customHeight="1">
      <c r="C1616" s="61" t="s">
        <v>1215</v>
      </c>
      <c r="D1616" s="56" t="s">
        <v>1216</v>
      </c>
      <c r="E1616" s="93"/>
      <c r="F1616" s="57"/>
      <c r="G1616" s="57"/>
      <c r="H1616" s="57"/>
      <c r="I1616" s="44"/>
    </row>
    <row r="1617" spans="3:13" s="59" customFormat="1" ht="22.8" customHeight="1">
      <c r="C1617" s="800">
        <v>1</v>
      </c>
      <c r="D1617" s="56" t="s">
        <v>4712</v>
      </c>
      <c r="E1617" s="93" t="s">
        <v>2396</v>
      </c>
      <c r="F1617" s="94">
        <v>0.9123</v>
      </c>
      <c r="G1617" s="63">
        <f>VLOOKUP(D1617,upahbahan,3,FALSE)</f>
        <v>1450000</v>
      </c>
      <c r="H1617" s="63">
        <f>F1617*G1617</f>
        <v>1322835</v>
      </c>
      <c r="I1617" s="44"/>
    </row>
    <row r="1618" spans="3:13" s="59" customFormat="1" ht="22.8" customHeight="1">
      <c r="C1618" s="450" t="s">
        <v>1217</v>
      </c>
      <c r="D1618" s="67"/>
      <c r="E1618" s="67"/>
      <c r="F1618" s="67"/>
      <c r="G1618" s="69"/>
      <c r="H1618" s="882">
        <f>SUM(H1616:H1617)</f>
        <v>1322835</v>
      </c>
      <c r="I1618" s="44"/>
    </row>
    <row r="1619" spans="3:13" s="59" customFormat="1" ht="22.8" customHeight="1">
      <c r="C1619" s="288" t="s">
        <v>1218</v>
      </c>
      <c r="D1619" s="76" t="s">
        <v>1219</v>
      </c>
      <c r="E1619" s="77"/>
      <c r="F1619" s="77"/>
      <c r="G1619" s="78"/>
      <c r="H1619" s="585">
        <f>H1618+H1615+H1610</f>
        <v>2071855.5</v>
      </c>
      <c r="I1619" s="369"/>
    </row>
    <row r="1620" spans="3:13" s="59" customFormat="1" ht="22.8" customHeight="1">
      <c r="C1620" s="288" t="s">
        <v>1220</v>
      </c>
      <c r="D1620" s="76" t="s">
        <v>1321</v>
      </c>
      <c r="E1620" s="77"/>
      <c r="F1620" s="78"/>
      <c r="G1620" s="80">
        <v>0.1</v>
      </c>
      <c r="H1620" s="63">
        <f>H1619*G1620</f>
        <v>207185.55000000002</v>
      </c>
      <c r="I1620" s="369"/>
    </row>
    <row r="1621" spans="3:13" s="59" customFormat="1" ht="22.8" customHeight="1">
      <c r="C1621" s="288" t="s">
        <v>1221</v>
      </c>
      <c r="D1621" s="76" t="s">
        <v>1222</v>
      </c>
      <c r="E1621" s="77"/>
      <c r="F1621" s="77"/>
      <c r="G1621" s="78"/>
      <c r="H1621" s="799">
        <f>SUM(H1619:H1620)</f>
        <v>2279041.0499999998</v>
      </c>
      <c r="I1621" s="369"/>
    </row>
    <row r="1622" spans="3:13" ht="22.8" customHeight="1"/>
    <row r="1623" spans="3:13" ht="22.8" customHeight="1">
      <c r="C1623" s="43" t="s">
        <v>4714</v>
      </c>
      <c r="D1623" s="128" t="s">
        <v>4737</v>
      </c>
    </row>
    <row r="1624" spans="3:13" s="59" customFormat="1" ht="22.8" customHeight="1">
      <c r="C1624" s="46" t="s">
        <v>4738</v>
      </c>
      <c r="D1624" s="1934" t="s">
        <v>4739</v>
      </c>
      <c r="E1624" s="1934"/>
      <c r="F1624" s="1934"/>
      <c r="G1624" s="1934"/>
      <c r="H1624" s="1934"/>
      <c r="I1624" s="50">
        <f>ROUNDDOWN(H1641,-2)</f>
        <v>452700</v>
      </c>
    </row>
    <row r="1625" spans="3:13" s="59" customFormat="1" ht="22.8" customHeight="1">
      <c r="C1625" s="591" t="s">
        <v>1195</v>
      </c>
      <c r="D1625" s="591" t="s">
        <v>1196</v>
      </c>
      <c r="E1625" s="591" t="s">
        <v>1197</v>
      </c>
      <c r="F1625" s="591" t="s">
        <v>1198</v>
      </c>
      <c r="G1625" s="591" t="s">
        <v>1199</v>
      </c>
      <c r="H1625" s="591" t="s">
        <v>1200</v>
      </c>
      <c r="I1625" s="44"/>
    </row>
    <row r="1626" spans="3:13" s="59" customFormat="1" ht="22.8" customHeight="1">
      <c r="C1626" s="61" t="s">
        <v>1201</v>
      </c>
      <c r="D1626" s="56" t="s">
        <v>1202</v>
      </c>
      <c r="E1626" s="57"/>
      <c r="F1626" s="57"/>
      <c r="G1626" s="57"/>
      <c r="H1626" s="57"/>
      <c r="I1626" s="44"/>
      <c r="J1626" s="152" t="s">
        <v>1247</v>
      </c>
    </row>
    <row r="1627" spans="3:13" s="59" customFormat="1" ht="22.8" customHeight="1">
      <c r="C1627" s="588">
        <v>1</v>
      </c>
      <c r="D1627" s="56" t="s">
        <v>5</v>
      </c>
      <c r="E1627" s="577" t="s">
        <v>6</v>
      </c>
      <c r="F1627" s="101">
        <v>0.22309999999999999</v>
      </c>
      <c r="G1627" s="63">
        <f>VLOOKUP(D1627,upahbahan,3,FALSE)</f>
        <v>100000</v>
      </c>
      <c r="H1627" s="63">
        <f>F1627*G1627</f>
        <v>22310</v>
      </c>
      <c r="I1627" s="44"/>
      <c r="J1627" s="152" t="s">
        <v>1248</v>
      </c>
      <c r="M1627" s="65">
        <v>0.1</v>
      </c>
    </row>
    <row r="1628" spans="3:13" s="59" customFormat="1" ht="22.8" customHeight="1">
      <c r="C1628" s="588">
        <v>2</v>
      </c>
      <c r="D1628" s="56" t="s">
        <v>2165</v>
      </c>
      <c r="E1628" s="577" t="s">
        <v>6</v>
      </c>
      <c r="F1628" s="101">
        <v>0.22309999999999999</v>
      </c>
      <c r="G1628" s="63">
        <f>VLOOKUP(D1628,upahbahan,3,FALSE)</f>
        <v>135000</v>
      </c>
      <c r="H1628" s="63">
        <f t="shared" ref="H1628:H1629" si="86">F1628*G1628</f>
        <v>30118.5</v>
      </c>
      <c r="I1628" s="44"/>
      <c r="J1628" s="152"/>
      <c r="M1628" s="65"/>
    </row>
    <row r="1629" spans="3:13" s="59" customFormat="1" ht="22.8" customHeight="1">
      <c r="C1629" s="588">
        <v>3</v>
      </c>
      <c r="D1629" s="56" t="s">
        <v>19</v>
      </c>
      <c r="E1629" s="577" t="s">
        <v>6</v>
      </c>
      <c r="F1629" s="101">
        <v>1.12E-2</v>
      </c>
      <c r="G1629" s="63">
        <f>VLOOKUP(D1629,upahbahan,3,FALSE)</f>
        <v>160000</v>
      </c>
      <c r="H1629" s="63">
        <f t="shared" si="86"/>
        <v>1792</v>
      </c>
      <c r="I1629" s="44"/>
    </row>
    <row r="1630" spans="3:13" s="59" customFormat="1" ht="22.8" customHeight="1">
      <c r="C1630" s="450" t="s">
        <v>1208</v>
      </c>
      <c r="D1630" s="67"/>
      <c r="E1630" s="67"/>
      <c r="F1630" s="142"/>
      <c r="G1630" s="153"/>
      <c r="H1630" s="63">
        <f>SUM(H1627:H1629)</f>
        <v>54220.5</v>
      </c>
      <c r="I1630" s="154"/>
    </row>
    <row r="1631" spans="3:13" s="59" customFormat="1" ht="22.8" customHeight="1">
      <c r="C1631" s="61" t="s">
        <v>1209</v>
      </c>
      <c r="D1631" s="56" t="s">
        <v>1210</v>
      </c>
      <c r="E1631" s="57"/>
      <c r="F1631" s="57"/>
      <c r="G1631" s="57"/>
      <c r="H1631" s="57"/>
      <c r="I1631" s="44"/>
    </row>
    <row r="1632" spans="3:13" s="59" customFormat="1" ht="22.8" customHeight="1">
      <c r="C1632" s="61">
        <v>1</v>
      </c>
      <c r="D1632" s="56" t="s">
        <v>4574</v>
      </c>
      <c r="E1632" s="93" t="s">
        <v>42</v>
      </c>
      <c r="F1632" s="103">
        <v>3.6499999999999998E-2</v>
      </c>
      <c r="G1632" s="63">
        <f>VLOOKUP(D1632,upahbahan,3,FALSE)</f>
        <v>928000</v>
      </c>
      <c r="H1632" s="63">
        <f>F1632*G1632</f>
        <v>33872</v>
      </c>
      <c r="I1632" s="44"/>
    </row>
    <row r="1633" spans="3:13" s="59" customFormat="1" ht="22.8" customHeight="1">
      <c r="C1633" s="61">
        <v>2</v>
      </c>
      <c r="D1633" s="56" t="s">
        <v>4488</v>
      </c>
      <c r="E1633" s="93" t="s">
        <v>42</v>
      </c>
      <c r="F1633" s="103">
        <v>7.2999999999999995E-2</v>
      </c>
      <c r="G1633" s="63">
        <f>VLOOKUP(D1633,upahbahan,3,FALSE)</f>
        <v>0</v>
      </c>
      <c r="H1633" s="63">
        <f>F1633*G1633</f>
        <v>0</v>
      </c>
      <c r="I1633" s="44"/>
    </row>
    <row r="1634" spans="3:13" s="59" customFormat="1" ht="22.8" customHeight="1">
      <c r="C1634" s="61">
        <v>4</v>
      </c>
      <c r="D1634" s="56" t="s">
        <v>4713</v>
      </c>
      <c r="E1634" s="93" t="s">
        <v>2167</v>
      </c>
      <c r="F1634" s="104">
        <v>1</v>
      </c>
      <c r="G1634" s="63">
        <f>VLOOKUP(D1634,upahbahan,3,FALSE)</f>
        <v>0</v>
      </c>
      <c r="H1634" s="63">
        <f>F1634*G1634</f>
        <v>0</v>
      </c>
      <c r="I1634" s="44"/>
    </row>
    <row r="1635" spans="3:13" s="59" customFormat="1" ht="22.8" customHeight="1">
      <c r="C1635" s="450" t="s">
        <v>1214</v>
      </c>
      <c r="D1635" s="67"/>
      <c r="E1635" s="67"/>
      <c r="F1635" s="67"/>
      <c r="G1635" s="69"/>
      <c r="H1635" s="63">
        <f>SUM(H1632:H1634)</f>
        <v>33872</v>
      </c>
      <c r="I1635" s="44"/>
    </row>
    <row r="1636" spans="3:13" s="59" customFormat="1" ht="22.8" customHeight="1">
      <c r="C1636" s="61" t="s">
        <v>1215</v>
      </c>
      <c r="D1636" s="56" t="s">
        <v>1216</v>
      </c>
      <c r="E1636" s="93"/>
      <c r="F1636" s="57"/>
      <c r="G1636" s="57"/>
      <c r="H1636" s="57"/>
      <c r="I1636" s="44"/>
    </row>
    <row r="1637" spans="3:13" s="59" customFormat="1" ht="22.8" customHeight="1">
      <c r="C1637" s="800">
        <v>1</v>
      </c>
      <c r="D1637" s="56" t="s">
        <v>4712</v>
      </c>
      <c r="E1637" s="93" t="s">
        <v>2396</v>
      </c>
      <c r="F1637" s="94">
        <v>0.22309999999999999</v>
      </c>
      <c r="G1637" s="63">
        <f>VLOOKUP(D1637,upahbahan,3,FALSE)</f>
        <v>1450000</v>
      </c>
      <c r="H1637" s="63">
        <f>F1637*G1637</f>
        <v>323495</v>
      </c>
      <c r="I1637" s="44"/>
    </row>
    <row r="1638" spans="3:13" s="59" customFormat="1" ht="22.8" customHeight="1">
      <c r="C1638" s="450" t="s">
        <v>1217</v>
      </c>
      <c r="D1638" s="67"/>
      <c r="E1638" s="67"/>
      <c r="F1638" s="67"/>
      <c r="G1638" s="69"/>
      <c r="H1638" s="882">
        <f>SUM(H1636:H1637)</f>
        <v>323495</v>
      </c>
      <c r="I1638" s="44"/>
    </row>
    <row r="1639" spans="3:13" s="59" customFormat="1" ht="22.8" customHeight="1">
      <c r="C1639" s="288" t="s">
        <v>1218</v>
      </c>
      <c r="D1639" s="76" t="s">
        <v>1219</v>
      </c>
      <c r="E1639" s="77"/>
      <c r="F1639" s="77"/>
      <c r="G1639" s="78"/>
      <c r="H1639" s="585">
        <f>H1638+H1635+H1630</f>
        <v>411587.5</v>
      </c>
      <c r="I1639" s="369"/>
    </row>
    <row r="1640" spans="3:13" s="59" customFormat="1" ht="22.8" customHeight="1">
      <c r="C1640" s="288" t="s">
        <v>1220</v>
      </c>
      <c r="D1640" s="76" t="s">
        <v>1321</v>
      </c>
      <c r="E1640" s="77"/>
      <c r="F1640" s="78"/>
      <c r="G1640" s="80">
        <v>0.1</v>
      </c>
      <c r="H1640" s="63">
        <f>H1639*G1640</f>
        <v>41158.75</v>
      </c>
      <c r="I1640" s="369"/>
    </row>
    <row r="1641" spans="3:13" s="59" customFormat="1" ht="22.8" customHeight="1">
      <c r="C1641" s="288" t="s">
        <v>1221</v>
      </c>
      <c r="D1641" s="76" t="s">
        <v>1222</v>
      </c>
      <c r="E1641" s="77"/>
      <c r="F1641" s="77"/>
      <c r="G1641" s="78"/>
      <c r="H1641" s="799">
        <f>SUM(H1639:H1640)</f>
        <v>452746.25</v>
      </c>
      <c r="I1641" s="369"/>
    </row>
    <row r="1642" spans="3:13" ht="22.8" customHeight="1"/>
    <row r="1643" spans="3:13" s="59" customFormat="1" ht="22.8" customHeight="1">
      <c r="C1643" s="46" t="s">
        <v>4740</v>
      </c>
      <c r="D1643" s="1934" t="s">
        <v>4741</v>
      </c>
      <c r="E1643" s="1934"/>
      <c r="F1643" s="1934"/>
      <c r="G1643" s="1934"/>
      <c r="H1643" s="1934"/>
      <c r="I1643" s="50">
        <f>ROUNDDOWN(H1660,-2)</f>
        <v>478900</v>
      </c>
    </row>
    <row r="1644" spans="3:13" s="59" customFormat="1" ht="22.8" customHeight="1">
      <c r="C1644" s="591" t="s">
        <v>1195</v>
      </c>
      <c r="D1644" s="591" t="s">
        <v>1196</v>
      </c>
      <c r="E1644" s="591" t="s">
        <v>1197</v>
      </c>
      <c r="F1644" s="591" t="s">
        <v>1198</v>
      </c>
      <c r="G1644" s="591" t="s">
        <v>1199</v>
      </c>
      <c r="H1644" s="591" t="s">
        <v>1200</v>
      </c>
      <c r="I1644" s="44"/>
    </row>
    <row r="1645" spans="3:13" s="59" customFormat="1" ht="22.8" customHeight="1">
      <c r="C1645" s="61" t="s">
        <v>1201</v>
      </c>
      <c r="D1645" s="56" t="s">
        <v>1202</v>
      </c>
      <c r="E1645" s="57"/>
      <c r="F1645" s="57"/>
      <c r="G1645" s="57"/>
      <c r="H1645" s="57"/>
      <c r="I1645" s="44"/>
      <c r="J1645" s="152" t="s">
        <v>1247</v>
      </c>
    </row>
    <row r="1646" spans="3:13" s="59" customFormat="1" ht="22.8" customHeight="1">
      <c r="C1646" s="588">
        <v>1</v>
      </c>
      <c r="D1646" s="56" t="s">
        <v>5</v>
      </c>
      <c r="E1646" s="577" t="s">
        <v>6</v>
      </c>
      <c r="F1646" s="101">
        <v>0.2339</v>
      </c>
      <c r="G1646" s="63">
        <f>VLOOKUP(D1646,upahbahan,3,FALSE)</f>
        <v>100000</v>
      </c>
      <c r="H1646" s="63">
        <f>F1646*G1646</f>
        <v>23390</v>
      </c>
      <c r="I1646" s="44"/>
      <c r="J1646" s="152" t="s">
        <v>1248</v>
      </c>
      <c r="M1646" s="65">
        <v>0.1</v>
      </c>
    </row>
    <row r="1647" spans="3:13" s="59" customFormat="1" ht="22.8" customHeight="1">
      <c r="C1647" s="588">
        <v>2</v>
      </c>
      <c r="D1647" s="56" t="s">
        <v>2165</v>
      </c>
      <c r="E1647" s="577" t="s">
        <v>6</v>
      </c>
      <c r="F1647" s="101">
        <v>0.2339</v>
      </c>
      <c r="G1647" s="63">
        <f>VLOOKUP(D1647,upahbahan,3,FALSE)</f>
        <v>135000</v>
      </c>
      <c r="H1647" s="63">
        <f t="shared" ref="H1647:H1648" si="87">F1647*G1647</f>
        <v>31576.5</v>
      </c>
      <c r="I1647" s="44"/>
      <c r="J1647" s="152"/>
      <c r="M1647" s="65"/>
    </row>
    <row r="1648" spans="3:13" s="59" customFormat="1" ht="22.8" customHeight="1">
      <c r="C1648" s="588">
        <v>3</v>
      </c>
      <c r="D1648" s="56" t="s">
        <v>19</v>
      </c>
      <c r="E1648" s="577" t="s">
        <v>6</v>
      </c>
      <c r="F1648" s="101">
        <v>1.17E-2</v>
      </c>
      <c r="G1648" s="63">
        <f>VLOOKUP(D1648,upahbahan,3,FALSE)</f>
        <v>160000</v>
      </c>
      <c r="H1648" s="63">
        <f t="shared" si="87"/>
        <v>1872</v>
      </c>
      <c r="I1648" s="44"/>
    </row>
    <row r="1649" spans="3:10" s="59" customFormat="1" ht="22.8" customHeight="1">
      <c r="C1649" s="450" t="s">
        <v>1208</v>
      </c>
      <c r="D1649" s="67"/>
      <c r="E1649" s="67"/>
      <c r="F1649" s="142"/>
      <c r="G1649" s="153"/>
      <c r="H1649" s="63">
        <f>SUM(H1646:H1648)</f>
        <v>56838.5</v>
      </c>
      <c r="I1649" s="154"/>
    </row>
    <row r="1650" spans="3:10" s="59" customFormat="1" ht="22.8" customHeight="1">
      <c r="C1650" s="61" t="s">
        <v>1209</v>
      </c>
      <c r="D1650" s="56" t="s">
        <v>1210</v>
      </c>
      <c r="E1650" s="57"/>
      <c r="F1650" s="57"/>
      <c r="G1650" s="57"/>
      <c r="H1650" s="57"/>
      <c r="I1650" s="44"/>
    </row>
    <row r="1651" spans="3:10" s="59" customFormat="1" ht="22.8" customHeight="1">
      <c r="C1651" s="61">
        <v>1</v>
      </c>
      <c r="D1651" s="56" t="s">
        <v>4574</v>
      </c>
      <c r="E1651" s="93" t="s">
        <v>42</v>
      </c>
      <c r="F1651" s="103">
        <v>4.2500000000000003E-2</v>
      </c>
      <c r="G1651" s="63">
        <f>VLOOKUP(D1651,upahbahan,3,FALSE)</f>
        <v>928000</v>
      </c>
      <c r="H1651" s="63">
        <f>F1651*G1651</f>
        <v>39440</v>
      </c>
      <c r="I1651" s="44"/>
    </row>
    <row r="1652" spans="3:10" s="59" customFormat="1" ht="22.8" customHeight="1">
      <c r="C1652" s="61">
        <v>2</v>
      </c>
      <c r="D1652" s="56" t="s">
        <v>4488</v>
      </c>
      <c r="E1652" s="93" t="s">
        <v>42</v>
      </c>
      <c r="F1652" s="103">
        <v>8.5000000000000006E-2</v>
      </c>
      <c r="G1652" s="63">
        <f>VLOOKUP(D1652,upahbahan,3,FALSE)</f>
        <v>0</v>
      </c>
      <c r="H1652" s="63">
        <f>F1652*G1652</f>
        <v>0</v>
      </c>
      <c r="I1652" s="44"/>
    </row>
    <row r="1653" spans="3:10" s="59" customFormat="1" ht="22.8" customHeight="1">
      <c r="C1653" s="61">
        <v>4</v>
      </c>
      <c r="D1653" s="56" t="s">
        <v>4716</v>
      </c>
      <c r="E1653" s="93" t="s">
        <v>2167</v>
      </c>
      <c r="F1653" s="104">
        <v>1</v>
      </c>
      <c r="G1653" s="63">
        <f>VLOOKUP(D1653,upahbahan,3,FALSE)</f>
        <v>0</v>
      </c>
      <c r="H1653" s="63">
        <f>F1653*G1653</f>
        <v>0</v>
      </c>
      <c r="I1653" s="44"/>
    </row>
    <row r="1654" spans="3:10" s="59" customFormat="1" ht="22.8" customHeight="1">
      <c r="C1654" s="450" t="s">
        <v>1214</v>
      </c>
      <c r="D1654" s="67"/>
      <c r="E1654" s="67"/>
      <c r="F1654" s="67"/>
      <c r="G1654" s="69"/>
      <c r="H1654" s="63">
        <f>SUM(H1651:H1653)</f>
        <v>39440</v>
      </c>
      <c r="I1654" s="44"/>
    </row>
    <row r="1655" spans="3:10" s="59" customFormat="1" ht="22.8" customHeight="1">
      <c r="C1655" s="61" t="s">
        <v>1215</v>
      </c>
      <c r="D1655" s="56" t="s">
        <v>1216</v>
      </c>
      <c r="E1655" s="93"/>
      <c r="F1655" s="57"/>
      <c r="G1655" s="57"/>
      <c r="H1655" s="57"/>
      <c r="I1655" s="44"/>
    </row>
    <row r="1656" spans="3:10" s="59" customFormat="1" ht="22.8" customHeight="1">
      <c r="C1656" s="800">
        <v>1</v>
      </c>
      <c r="D1656" s="56" t="s">
        <v>4712</v>
      </c>
      <c r="E1656" s="93" t="s">
        <v>2396</v>
      </c>
      <c r="F1656" s="94">
        <v>0.2339</v>
      </c>
      <c r="G1656" s="63">
        <f>VLOOKUP(D1656,upahbahan,3,FALSE)</f>
        <v>1450000</v>
      </c>
      <c r="H1656" s="63">
        <f>F1656*G1656</f>
        <v>339155</v>
      </c>
      <c r="I1656" s="44"/>
    </row>
    <row r="1657" spans="3:10" s="59" customFormat="1" ht="22.8" customHeight="1">
      <c r="C1657" s="450" t="s">
        <v>1217</v>
      </c>
      <c r="D1657" s="67"/>
      <c r="E1657" s="67"/>
      <c r="F1657" s="67"/>
      <c r="G1657" s="69"/>
      <c r="H1657" s="882">
        <f>SUM(H1655:H1656)</f>
        <v>339155</v>
      </c>
      <c r="I1657" s="44"/>
    </row>
    <row r="1658" spans="3:10" s="59" customFormat="1" ht="22.8" customHeight="1">
      <c r="C1658" s="288" t="s">
        <v>1218</v>
      </c>
      <c r="D1658" s="76" t="s">
        <v>1219</v>
      </c>
      <c r="E1658" s="77"/>
      <c r="F1658" s="77"/>
      <c r="G1658" s="78"/>
      <c r="H1658" s="585">
        <f>H1657+H1654+H1649</f>
        <v>435433.5</v>
      </c>
      <c r="I1658" s="369"/>
    </row>
    <row r="1659" spans="3:10" s="59" customFormat="1" ht="22.8" customHeight="1">
      <c r="C1659" s="288" t="s">
        <v>1220</v>
      </c>
      <c r="D1659" s="76" t="s">
        <v>1321</v>
      </c>
      <c r="E1659" s="77"/>
      <c r="F1659" s="78"/>
      <c r="G1659" s="80">
        <v>0.1</v>
      </c>
      <c r="H1659" s="63">
        <f>H1658*G1659</f>
        <v>43543.350000000006</v>
      </c>
      <c r="I1659" s="369"/>
    </row>
    <row r="1660" spans="3:10" s="59" customFormat="1" ht="22.8" customHeight="1">
      <c r="C1660" s="288" t="s">
        <v>1221</v>
      </c>
      <c r="D1660" s="76" t="s">
        <v>1222</v>
      </c>
      <c r="E1660" s="77"/>
      <c r="F1660" s="77"/>
      <c r="G1660" s="78"/>
      <c r="H1660" s="799">
        <f>SUM(H1658:H1659)</f>
        <v>478976.85</v>
      </c>
      <c r="I1660" s="369"/>
    </row>
    <row r="1661" spans="3:10" ht="22.8" customHeight="1"/>
    <row r="1662" spans="3:10" s="59" customFormat="1" ht="22.8" customHeight="1">
      <c r="C1662" s="46" t="s">
        <v>4742</v>
      </c>
      <c r="D1662" s="1934" t="s">
        <v>4743</v>
      </c>
      <c r="E1662" s="1934"/>
      <c r="F1662" s="1934"/>
      <c r="G1662" s="1934"/>
      <c r="H1662" s="1934"/>
      <c r="I1662" s="50">
        <f>ROUNDDOWN(H1679,-2)</f>
        <v>520500</v>
      </c>
    </row>
    <row r="1663" spans="3:10" s="59" customFormat="1" ht="22.8" customHeight="1">
      <c r="C1663" s="591" t="s">
        <v>1195</v>
      </c>
      <c r="D1663" s="591" t="s">
        <v>1196</v>
      </c>
      <c r="E1663" s="591" t="s">
        <v>1197</v>
      </c>
      <c r="F1663" s="591" t="s">
        <v>1198</v>
      </c>
      <c r="G1663" s="591" t="s">
        <v>1199</v>
      </c>
      <c r="H1663" s="591" t="s">
        <v>1200</v>
      </c>
      <c r="I1663" s="44"/>
    </row>
    <row r="1664" spans="3:10" s="59" customFormat="1" ht="22.8" customHeight="1">
      <c r="C1664" s="61" t="s">
        <v>1201</v>
      </c>
      <c r="D1664" s="56" t="s">
        <v>1202</v>
      </c>
      <c r="E1664" s="57"/>
      <c r="F1664" s="57"/>
      <c r="G1664" s="57"/>
      <c r="H1664" s="57"/>
      <c r="I1664" s="44"/>
      <c r="J1664" s="152" t="s">
        <v>1247</v>
      </c>
    </row>
    <row r="1665" spans="3:13" s="59" customFormat="1" ht="22.8" customHeight="1">
      <c r="C1665" s="588">
        <v>1</v>
      </c>
      <c r="D1665" s="56" t="s">
        <v>5</v>
      </c>
      <c r="E1665" s="577" t="s">
        <v>6</v>
      </c>
      <c r="F1665" s="101">
        <v>0.25240000000000001</v>
      </c>
      <c r="G1665" s="63">
        <f>VLOOKUP(D1665,upahbahan,3,FALSE)</f>
        <v>100000</v>
      </c>
      <c r="H1665" s="63">
        <f>F1665*G1665</f>
        <v>25240</v>
      </c>
      <c r="I1665" s="44"/>
      <c r="J1665" s="152" t="s">
        <v>1248</v>
      </c>
      <c r="M1665" s="65">
        <v>0.1</v>
      </c>
    </row>
    <row r="1666" spans="3:13" s="59" customFormat="1" ht="22.8" customHeight="1">
      <c r="C1666" s="588">
        <v>2</v>
      </c>
      <c r="D1666" s="56" t="s">
        <v>2165</v>
      </c>
      <c r="E1666" s="577" t="s">
        <v>6</v>
      </c>
      <c r="F1666" s="101">
        <v>0.25240000000000001</v>
      </c>
      <c r="G1666" s="63">
        <f>VLOOKUP(D1666,upahbahan,3,FALSE)</f>
        <v>135000</v>
      </c>
      <c r="H1666" s="63">
        <f t="shared" ref="H1666:H1667" si="88">F1666*G1666</f>
        <v>34074</v>
      </c>
      <c r="I1666" s="44"/>
      <c r="J1666" s="152"/>
      <c r="M1666" s="65"/>
    </row>
    <row r="1667" spans="3:13" s="59" customFormat="1" ht="22.8" customHeight="1">
      <c r="C1667" s="588">
        <v>3</v>
      </c>
      <c r="D1667" s="56" t="s">
        <v>19</v>
      </c>
      <c r="E1667" s="577" t="s">
        <v>6</v>
      </c>
      <c r="F1667" s="101">
        <v>1.26E-2</v>
      </c>
      <c r="G1667" s="63">
        <f>VLOOKUP(D1667,upahbahan,3,FALSE)</f>
        <v>160000</v>
      </c>
      <c r="H1667" s="63">
        <f t="shared" si="88"/>
        <v>2016</v>
      </c>
      <c r="I1667" s="44"/>
    </row>
    <row r="1668" spans="3:13" s="59" customFormat="1" ht="22.8" customHeight="1">
      <c r="C1668" s="450" t="s">
        <v>1208</v>
      </c>
      <c r="D1668" s="67"/>
      <c r="E1668" s="67"/>
      <c r="F1668" s="142"/>
      <c r="G1668" s="153"/>
      <c r="H1668" s="63">
        <f>SUM(H1665:H1667)</f>
        <v>61330</v>
      </c>
      <c r="I1668" s="154"/>
    </row>
    <row r="1669" spans="3:13" s="59" customFormat="1" ht="22.8" customHeight="1">
      <c r="C1669" s="61" t="s">
        <v>1209</v>
      </c>
      <c r="D1669" s="56" t="s">
        <v>1210</v>
      </c>
      <c r="E1669" s="57"/>
      <c r="F1669" s="57"/>
      <c r="G1669" s="57"/>
      <c r="H1669" s="57"/>
      <c r="I1669" s="44"/>
    </row>
    <row r="1670" spans="3:13" s="59" customFormat="1" ht="22.8" customHeight="1">
      <c r="C1670" s="61">
        <v>1</v>
      </c>
      <c r="D1670" s="56" t="s">
        <v>4574</v>
      </c>
      <c r="E1670" s="93" t="s">
        <v>42</v>
      </c>
      <c r="F1670" s="103">
        <v>4.9500000000000002E-2</v>
      </c>
      <c r="G1670" s="63">
        <f>VLOOKUP(D1670,upahbahan,3,FALSE)</f>
        <v>928000</v>
      </c>
      <c r="H1670" s="63">
        <f>F1670*G1670</f>
        <v>45936</v>
      </c>
      <c r="I1670" s="44"/>
    </row>
    <row r="1671" spans="3:13" s="59" customFormat="1" ht="22.8" customHeight="1">
      <c r="C1671" s="61">
        <v>2</v>
      </c>
      <c r="D1671" s="56" t="s">
        <v>4488</v>
      </c>
      <c r="E1671" s="93" t="s">
        <v>42</v>
      </c>
      <c r="F1671" s="103">
        <v>9.9000000000000005E-2</v>
      </c>
      <c r="G1671" s="63">
        <f>VLOOKUP(D1671,upahbahan,3,FALSE)</f>
        <v>0</v>
      </c>
      <c r="H1671" s="63">
        <f>F1671*G1671</f>
        <v>0</v>
      </c>
      <c r="I1671" s="44"/>
    </row>
    <row r="1672" spans="3:13" s="59" customFormat="1" ht="22.8" customHeight="1">
      <c r="C1672" s="61">
        <v>4</v>
      </c>
      <c r="D1672" s="56" t="s">
        <v>4716</v>
      </c>
      <c r="E1672" s="93" t="s">
        <v>2167</v>
      </c>
      <c r="F1672" s="104">
        <v>1</v>
      </c>
      <c r="G1672" s="63">
        <f>VLOOKUP(D1672,upahbahan,3,FALSE)</f>
        <v>0</v>
      </c>
      <c r="H1672" s="63">
        <f>F1672*G1672</f>
        <v>0</v>
      </c>
      <c r="I1672" s="44"/>
    </row>
    <row r="1673" spans="3:13" s="59" customFormat="1" ht="22.8" customHeight="1">
      <c r="C1673" s="450" t="s">
        <v>1214</v>
      </c>
      <c r="D1673" s="67"/>
      <c r="E1673" s="67"/>
      <c r="F1673" s="67"/>
      <c r="G1673" s="69"/>
      <c r="H1673" s="63">
        <f>SUM(H1670:H1672)</f>
        <v>45936</v>
      </c>
      <c r="I1673" s="44"/>
    </row>
    <row r="1674" spans="3:13" s="59" customFormat="1" ht="22.8" customHeight="1">
      <c r="C1674" s="61" t="s">
        <v>1215</v>
      </c>
      <c r="D1674" s="56" t="s">
        <v>1216</v>
      </c>
      <c r="E1674" s="93"/>
      <c r="F1674" s="57"/>
      <c r="G1674" s="57"/>
      <c r="H1674" s="57"/>
      <c r="I1674" s="44"/>
    </row>
    <row r="1675" spans="3:13" s="59" customFormat="1" ht="22.8" customHeight="1">
      <c r="C1675" s="800">
        <v>1</v>
      </c>
      <c r="D1675" s="56" t="s">
        <v>4712</v>
      </c>
      <c r="E1675" s="93" t="s">
        <v>2396</v>
      </c>
      <c r="F1675" s="94">
        <v>0.25240000000000001</v>
      </c>
      <c r="G1675" s="63">
        <f>VLOOKUP(D1675,upahbahan,3,FALSE)</f>
        <v>1450000</v>
      </c>
      <c r="H1675" s="63">
        <f>F1675*G1675</f>
        <v>365980</v>
      </c>
      <c r="I1675" s="44"/>
    </row>
    <row r="1676" spans="3:13" s="59" customFormat="1" ht="22.8" customHeight="1">
      <c r="C1676" s="450" t="s">
        <v>1217</v>
      </c>
      <c r="D1676" s="67"/>
      <c r="E1676" s="67"/>
      <c r="F1676" s="67"/>
      <c r="G1676" s="69"/>
      <c r="H1676" s="882">
        <f>SUM(H1674:H1675)</f>
        <v>365980</v>
      </c>
      <c r="I1676" s="44"/>
    </row>
    <row r="1677" spans="3:13" s="59" customFormat="1" ht="22.8" customHeight="1">
      <c r="C1677" s="288" t="s">
        <v>1218</v>
      </c>
      <c r="D1677" s="76" t="s">
        <v>1219</v>
      </c>
      <c r="E1677" s="77"/>
      <c r="F1677" s="77"/>
      <c r="G1677" s="78"/>
      <c r="H1677" s="585">
        <f>H1676+H1673+H1668</f>
        <v>473246</v>
      </c>
      <c r="I1677" s="369"/>
    </row>
    <row r="1678" spans="3:13" s="59" customFormat="1" ht="22.8" customHeight="1">
      <c r="C1678" s="288" t="s">
        <v>1220</v>
      </c>
      <c r="D1678" s="76" t="s">
        <v>1321</v>
      </c>
      <c r="E1678" s="77"/>
      <c r="F1678" s="78"/>
      <c r="G1678" s="80">
        <v>0.1</v>
      </c>
      <c r="H1678" s="63">
        <f>H1677*G1678</f>
        <v>47324.600000000006</v>
      </c>
      <c r="I1678" s="369"/>
    </row>
    <row r="1679" spans="3:13" s="59" customFormat="1" ht="22.8" customHeight="1">
      <c r="C1679" s="288" t="s">
        <v>1221</v>
      </c>
      <c r="D1679" s="76" t="s">
        <v>1222</v>
      </c>
      <c r="E1679" s="77"/>
      <c r="F1679" s="77"/>
      <c r="G1679" s="78"/>
      <c r="H1679" s="799">
        <f>SUM(H1677:H1678)</f>
        <v>520570.6</v>
      </c>
      <c r="I1679" s="369"/>
    </row>
    <row r="1680" spans="3:13" ht="22.8" customHeight="1"/>
    <row r="1681" spans="3:13" s="59" customFormat="1" ht="22.8" customHeight="1">
      <c r="C1681" s="46" t="s">
        <v>4744</v>
      </c>
      <c r="D1681" s="1934" t="s">
        <v>4745</v>
      </c>
      <c r="E1681" s="1934"/>
      <c r="F1681" s="1934"/>
      <c r="G1681" s="1934"/>
      <c r="H1681" s="1934"/>
      <c r="I1681" s="50">
        <f>ROUNDDOWN(H1698,-2)</f>
        <v>706400</v>
      </c>
    </row>
    <row r="1682" spans="3:13" s="59" customFormat="1" ht="22.8" customHeight="1">
      <c r="C1682" s="591" t="s">
        <v>1195</v>
      </c>
      <c r="D1682" s="591" t="s">
        <v>1196</v>
      </c>
      <c r="E1682" s="591" t="s">
        <v>1197</v>
      </c>
      <c r="F1682" s="591" t="s">
        <v>1198</v>
      </c>
      <c r="G1682" s="591" t="s">
        <v>1199</v>
      </c>
      <c r="H1682" s="591" t="s">
        <v>1200</v>
      </c>
      <c r="I1682" s="44"/>
    </row>
    <row r="1683" spans="3:13" s="59" customFormat="1" ht="22.8" customHeight="1">
      <c r="C1683" s="61" t="s">
        <v>1201</v>
      </c>
      <c r="D1683" s="56" t="s">
        <v>1202</v>
      </c>
      <c r="E1683" s="57"/>
      <c r="F1683" s="57"/>
      <c r="G1683" s="57"/>
      <c r="H1683" s="57"/>
      <c r="I1683" s="44"/>
      <c r="J1683" s="152" t="s">
        <v>1247</v>
      </c>
    </row>
    <row r="1684" spans="3:13" s="59" customFormat="1" ht="22.8" customHeight="1">
      <c r="C1684" s="588">
        <v>1</v>
      </c>
      <c r="D1684" s="56" t="s">
        <v>5</v>
      </c>
      <c r="E1684" s="577" t="s">
        <v>6</v>
      </c>
      <c r="F1684" s="101">
        <v>0.64870000000000005</v>
      </c>
      <c r="G1684" s="63">
        <f>VLOOKUP(D1684,upahbahan,3,FALSE)</f>
        <v>100000</v>
      </c>
      <c r="H1684" s="63">
        <f>F1684*G1684</f>
        <v>64870.000000000007</v>
      </c>
      <c r="I1684" s="44"/>
      <c r="J1684" s="152" t="s">
        <v>1248</v>
      </c>
      <c r="M1684" s="65">
        <v>0.1</v>
      </c>
    </row>
    <row r="1685" spans="3:13" s="59" customFormat="1" ht="22.8" customHeight="1">
      <c r="C1685" s="588">
        <v>2</v>
      </c>
      <c r="D1685" s="56" t="s">
        <v>2165</v>
      </c>
      <c r="E1685" s="577" t="s">
        <v>6</v>
      </c>
      <c r="F1685" s="101">
        <v>0.32440000000000002</v>
      </c>
      <c r="G1685" s="63">
        <f>VLOOKUP(D1685,upahbahan,3,FALSE)</f>
        <v>135000</v>
      </c>
      <c r="H1685" s="63">
        <f t="shared" ref="H1685:H1686" si="89">F1685*G1685</f>
        <v>43794</v>
      </c>
      <c r="I1685" s="44"/>
      <c r="J1685" s="152"/>
      <c r="M1685" s="65"/>
    </row>
    <row r="1686" spans="3:13" s="59" customFormat="1" ht="22.8" customHeight="1">
      <c r="C1686" s="588">
        <v>3</v>
      </c>
      <c r="D1686" s="56" t="s">
        <v>19</v>
      </c>
      <c r="E1686" s="577" t="s">
        <v>6</v>
      </c>
      <c r="F1686" s="101">
        <v>3.2399999999999998E-2</v>
      </c>
      <c r="G1686" s="63">
        <f>VLOOKUP(D1686,upahbahan,3,FALSE)</f>
        <v>160000</v>
      </c>
      <c r="H1686" s="63">
        <f t="shared" si="89"/>
        <v>5184</v>
      </c>
      <c r="I1686" s="44"/>
    </row>
    <row r="1687" spans="3:13" s="59" customFormat="1" ht="22.8" customHeight="1">
      <c r="C1687" s="450" t="s">
        <v>1208</v>
      </c>
      <c r="D1687" s="67"/>
      <c r="E1687" s="67"/>
      <c r="F1687" s="142"/>
      <c r="G1687" s="153"/>
      <c r="H1687" s="63">
        <f>SUM(H1684:H1686)</f>
        <v>113848</v>
      </c>
      <c r="I1687" s="154"/>
    </row>
    <row r="1688" spans="3:13" s="59" customFormat="1" ht="22.8" customHeight="1">
      <c r="C1688" s="61" t="s">
        <v>1209</v>
      </c>
      <c r="D1688" s="56" t="s">
        <v>1210</v>
      </c>
      <c r="E1688" s="57"/>
      <c r="F1688" s="57"/>
      <c r="G1688" s="57"/>
      <c r="H1688" s="57"/>
      <c r="I1688" s="44"/>
    </row>
    <row r="1689" spans="3:13" s="59" customFormat="1" ht="22.8" customHeight="1">
      <c r="C1689" s="61">
        <v>1</v>
      </c>
      <c r="D1689" s="56" t="s">
        <v>4574</v>
      </c>
      <c r="E1689" s="93" t="s">
        <v>42</v>
      </c>
      <c r="F1689" s="103">
        <v>6.25E-2</v>
      </c>
      <c r="G1689" s="63">
        <f>VLOOKUP(D1689,upahbahan,3,FALSE)</f>
        <v>928000</v>
      </c>
      <c r="H1689" s="63">
        <f>F1689*G1689</f>
        <v>58000</v>
      </c>
      <c r="I1689" s="44"/>
    </row>
    <row r="1690" spans="3:13" s="59" customFormat="1" ht="22.8" customHeight="1">
      <c r="C1690" s="61">
        <v>2</v>
      </c>
      <c r="D1690" s="56" t="s">
        <v>4488</v>
      </c>
      <c r="E1690" s="93" t="s">
        <v>42</v>
      </c>
      <c r="F1690" s="103">
        <v>0.125</v>
      </c>
      <c r="G1690" s="63">
        <f>VLOOKUP(D1690,upahbahan,3,FALSE)</f>
        <v>0</v>
      </c>
      <c r="H1690" s="63">
        <f>F1690*G1690</f>
        <v>0</v>
      </c>
      <c r="I1690" s="44"/>
    </row>
    <row r="1691" spans="3:13" s="59" customFormat="1" ht="22.8" customHeight="1">
      <c r="C1691" s="61">
        <v>4</v>
      </c>
      <c r="D1691" s="56" t="s">
        <v>4720</v>
      </c>
      <c r="E1691" s="93" t="s">
        <v>2167</v>
      </c>
      <c r="F1691" s="104">
        <v>1</v>
      </c>
      <c r="G1691" s="63">
        <f>VLOOKUP(D1691,upahbahan,3,FALSE)</f>
        <v>0</v>
      </c>
      <c r="H1691" s="63">
        <f>F1691*G1691</f>
        <v>0</v>
      </c>
      <c r="I1691" s="44"/>
    </row>
    <row r="1692" spans="3:13" s="59" customFormat="1" ht="22.8" customHeight="1">
      <c r="C1692" s="450" t="s">
        <v>1214</v>
      </c>
      <c r="D1692" s="67"/>
      <c r="E1692" s="67"/>
      <c r="F1692" s="67"/>
      <c r="G1692" s="69"/>
      <c r="H1692" s="63">
        <f>SUM(H1689:H1691)</f>
        <v>58000</v>
      </c>
      <c r="I1692" s="44"/>
    </row>
    <row r="1693" spans="3:13" s="59" customFormat="1" ht="22.8" customHeight="1">
      <c r="C1693" s="61" t="s">
        <v>1215</v>
      </c>
      <c r="D1693" s="56" t="s">
        <v>1216</v>
      </c>
      <c r="E1693" s="93"/>
      <c r="F1693" s="57"/>
      <c r="G1693" s="57"/>
      <c r="H1693" s="57"/>
      <c r="I1693" s="44"/>
    </row>
    <row r="1694" spans="3:13" s="59" customFormat="1" ht="22.8" customHeight="1">
      <c r="C1694" s="800">
        <v>1</v>
      </c>
      <c r="D1694" s="56" t="s">
        <v>4712</v>
      </c>
      <c r="E1694" s="93" t="s">
        <v>2396</v>
      </c>
      <c r="F1694" s="94">
        <v>0.32440000000000002</v>
      </c>
      <c r="G1694" s="63">
        <f>VLOOKUP(D1694,upahbahan,3,FALSE)</f>
        <v>1450000</v>
      </c>
      <c r="H1694" s="63">
        <f>F1694*G1694</f>
        <v>470380.00000000006</v>
      </c>
      <c r="I1694" s="44"/>
    </row>
    <row r="1695" spans="3:13" s="59" customFormat="1" ht="22.8" customHeight="1">
      <c r="C1695" s="450" t="s">
        <v>1217</v>
      </c>
      <c r="D1695" s="67"/>
      <c r="E1695" s="67"/>
      <c r="F1695" s="67"/>
      <c r="G1695" s="69"/>
      <c r="H1695" s="882">
        <f>SUM(H1693:H1694)</f>
        <v>470380.00000000006</v>
      </c>
      <c r="I1695" s="44"/>
    </row>
    <row r="1696" spans="3:13" s="59" customFormat="1" ht="22.8" customHeight="1">
      <c r="C1696" s="288" t="s">
        <v>1218</v>
      </c>
      <c r="D1696" s="76" t="s">
        <v>1219</v>
      </c>
      <c r="E1696" s="77"/>
      <c r="F1696" s="77"/>
      <c r="G1696" s="78"/>
      <c r="H1696" s="585">
        <f>H1695+H1692+H1687</f>
        <v>642228</v>
      </c>
      <c r="I1696" s="369"/>
    </row>
    <row r="1697" spans="3:13" s="59" customFormat="1" ht="22.8" customHeight="1">
      <c r="C1697" s="288" t="s">
        <v>1220</v>
      </c>
      <c r="D1697" s="76" t="s">
        <v>1321</v>
      </c>
      <c r="E1697" s="77"/>
      <c r="F1697" s="78"/>
      <c r="G1697" s="80">
        <v>0.1</v>
      </c>
      <c r="H1697" s="63">
        <f>H1696*G1697</f>
        <v>64222.8</v>
      </c>
      <c r="I1697" s="369"/>
    </row>
    <row r="1698" spans="3:13" s="59" customFormat="1" ht="22.8" customHeight="1">
      <c r="C1698" s="288" t="s">
        <v>1221</v>
      </c>
      <c r="D1698" s="76" t="s">
        <v>1222</v>
      </c>
      <c r="E1698" s="77"/>
      <c r="F1698" s="77"/>
      <c r="G1698" s="78"/>
      <c r="H1698" s="799">
        <f>SUM(H1696:H1697)</f>
        <v>706450.8</v>
      </c>
      <c r="I1698" s="369"/>
    </row>
    <row r="1699" spans="3:13" ht="22.8" customHeight="1"/>
    <row r="1700" spans="3:13" ht="22.8" customHeight="1"/>
    <row r="1701" spans="3:13" s="59" customFormat="1" ht="22.8" customHeight="1">
      <c r="C1701" s="46" t="s">
        <v>4746</v>
      </c>
      <c r="D1701" s="1934" t="s">
        <v>4747</v>
      </c>
      <c r="E1701" s="1934"/>
      <c r="F1701" s="1934"/>
      <c r="G1701" s="1934"/>
      <c r="H1701" s="1934"/>
      <c r="I1701" s="50">
        <f>ROUNDDOWN(H1718,-2)</f>
        <v>985300</v>
      </c>
    </row>
    <row r="1702" spans="3:13" s="59" customFormat="1" ht="22.8" customHeight="1">
      <c r="C1702" s="591" t="s">
        <v>1195</v>
      </c>
      <c r="D1702" s="591" t="s">
        <v>1196</v>
      </c>
      <c r="E1702" s="591" t="s">
        <v>1197</v>
      </c>
      <c r="F1702" s="591" t="s">
        <v>1198</v>
      </c>
      <c r="G1702" s="591" t="s">
        <v>1199</v>
      </c>
      <c r="H1702" s="591" t="s">
        <v>1200</v>
      </c>
      <c r="I1702" s="44"/>
    </row>
    <row r="1703" spans="3:13" s="59" customFormat="1" ht="22.8" customHeight="1">
      <c r="C1703" s="61" t="s">
        <v>1201</v>
      </c>
      <c r="D1703" s="56" t="s">
        <v>1202</v>
      </c>
      <c r="E1703" s="57"/>
      <c r="F1703" s="57"/>
      <c r="G1703" s="57"/>
      <c r="H1703" s="57"/>
      <c r="I1703" s="44"/>
      <c r="J1703" s="152" t="s">
        <v>1247</v>
      </c>
    </row>
    <row r="1704" spans="3:13" s="59" customFormat="1" ht="22.8" customHeight="1">
      <c r="C1704" s="588">
        <v>1</v>
      </c>
      <c r="D1704" s="56" t="s">
        <v>5</v>
      </c>
      <c r="E1704" s="577" t="s">
        <v>6</v>
      </c>
      <c r="F1704" s="101">
        <v>0.92</v>
      </c>
      <c r="G1704" s="63">
        <f>VLOOKUP(D1704,upahbahan,3,FALSE)</f>
        <v>100000</v>
      </c>
      <c r="H1704" s="63">
        <f>F1704*G1704</f>
        <v>92000</v>
      </c>
      <c r="I1704" s="44"/>
      <c r="J1704" s="152" t="s">
        <v>1248</v>
      </c>
      <c r="M1704" s="65">
        <v>0.1</v>
      </c>
    </row>
    <row r="1705" spans="3:13" s="59" customFormat="1" ht="22.8" customHeight="1">
      <c r="C1705" s="588">
        <v>2</v>
      </c>
      <c r="D1705" s="56" t="s">
        <v>2165</v>
      </c>
      <c r="E1705" s="577" t="s">
        <v>6</v>
      </c>
      <c r="F1705" s="101">
        <v>0.46</v>
      </c>
      <c r="G1705" s="63">
        <f>VLOOKUP(D1705,upahbahan,3,FALSE)</f>
        <v>135000</v>
      </c>
      <c r="H1705" s="63">
        <f t="shared" ref="H1705:H1706" si="90">F1705*G1705</f>
        <v>62100</v>
      </c>
      <c r="I1705" s="44"/>
      <c r="J1705" s="152"/>
      <c r="M1705" s="65"/>
    </row>
    <row r="1706" spans="3:13" s="59" customFormat="1" ht="22.8" customHeight="1">
      <c r="C1706" s="588">
        <v>3</v>
      </c>
      <c r="D1706" s="56" t="s">
        <v>19</v>
      </c>
      <c r="E1706" s="577" t="s">
        <v>6</v>
      </c>
      <c r="F1706" s="101">
        <v>4.5999999999999999E-2</v>
      </c>
      <c r="G1706" s="63">
        <f>VLOOKUP(D1706,upahbahan,3,FALSE)</f>
        <v>160000</v>
      </c>
      <c r="H1706" s="63">
        <f t="shared" si="90"/>
        <v>7360</v>
      </c>
      <c r="I1706" s="44"/>
    </row>
    <row r="1707" spans="3:13" s="59" customFormat="1" ht="22.8" customHeight="1">
      <c r="C1707" s="450" t="s">
        <v>1208</v>
      </c>
      <c r="D1707" s="67"/>
      <c r="E1707" s="67"/>
      <c r="F1707" s="142"/>
      <c r="G1707" s="153"/>
      <c r="H1707" s="63">
        <f>SUM(H1704:H1706)</f>
        <v>161460</v>
      </c>
      <c r="I1707" s="154"/>
    </row>
    <row r="1708" spans="3:13" s="59" customFormat="1" ht="22.8" customHeight="1">
      <c r="C1708" s="61" t="s">
        <v>1209</v>
      </c>
      <c r="D1708" s="56" t="s">
        <v>1210</v>
      </c>
      <c r="E1708" s="57"/>
      <c r="F1708" s="57"/>
      <c r="G1708" s="57"/>
      <c r="H1708" s="57"/>
      <c r="I1708" s="44"/>
    </row>
    <row r="1709" spans="3:13" s="59" customFormat="1" ht="22.8" customHeight="1">
      <c r="C1709" s="61">
        <v>1</v>
      </c>
      <c r="D1709" s="56" t="s">
        <v>4574</v>
      </c>
      <c r="E1709" s="93" t="s">
        <v>42</v>
      </c>
      <c r="F1709" s="103">
        <v>7.2499999999999995E-2</v>
      </c>
      <c r="G1709" s="63">
        <f>VLOOKUP(D1709,upahbahan,3,FALSE)</f>
        <v>928000</v>
      </c>
      <c r="H1709" s="63">
        <f>F1709*G1709</f>
        <v>67280</v>
      </c>
      <c r="I1709" s="44"/>
    </row>
    <row r="1710" spans="3:13" s="59" customFormat="1" ht="22.8" customHeight="1">
      <c r="C1710" s="61">
        <v>2</v>
      </c>
      <c r="D1710" s="56" t="s">
        <v>4488</v>
      </c>
      <c r="E1710" s="93" t="s">
        <v>42</v>
      </c>
      <c r="F1710" s="103">
        <v>0.14499999999999999</v>
      </c>
      <c r="G1710" s="63">
        <f>VLOOKUP(D1710,upahbahan,3,FALSE)</f>
        <v>0</v>
      </c>
      <c r="H1710" s="63">
        <f>F1710*G1710</f>
        <v>0</v>
      </c>
      <c r="I1710" s="44"/>
    </row>
    <row r="1711" spans="3:13" s="59" customFormat="1" ht="22.8" customHeight="1">
      <c r="C1711" s="61">
        <v>4</v>
      </c>
      <c r="D1711" s="56" t="s">
        <v>4722</v>
      </c>
      <c r="E1711" s="93" t="s">
        <v>2167</v>
      </c>
      <c r="F1711" s="103">
        <v>1</v>
      </c>
      <c r="G1711" s="63">
        <f>VLOOKUP(D1711,upahbahan,3,FALSE)</f>
        <v>0</v>
      </c>
      <c r="H1711" s="63">
        <f>F1711*G1711</f>
        <v>0</v>
      </c>
      <c r="I1711" s="44"/>
    </row>
    <row r="1712" spans="3:13" s="59" customFormat="1" ht="22.8" customHeight="1">
      <c r="C1712" s="450" t="s">
        <v>1214</v>
      </c>
      <c r="D1712" s="67"/>
      <c r="E1712" s="67"/>
      <c r="F1712" s="67"/>
      <c r="G1712" s="69"/>
      <c r="H1712" s="63">
        <f>SUM(H1709:H1711)</f>
        <v>67280</v>
      </c>
      <c r="I1712" s="44"/>
    </row>
    <row r="1713" spans="3:13" s="59" customFormat="1" ht="22.8" customHeight="1">
      <c r="C1713" s="61" t="s">
        <v>1215</v>
      </c>
      <c r="D1713" s="56" t="s">
        <v>1216</v>
      </c>
      <c r="E1713" s="93"/>
      <c r="F1713" s="57"/>
      <c r="G1713" s="57"/>
      <c r="H1713" s="57"/>
      <c r="I1713" s="44"/>
    </row>
    <row r="1714" spans="3:13" s="59" customFormat="1" ht="22.8" customHeight="1">
      <c r="C1714" s="800">
        <v>1</v>
      </c>
      <c r="D1714" s="56" t="s">
        <v>4712</v>
      </c>
      <c r="E1714" s="93" t="s">
        <v>2396</v>
      </c>
      <c r="F1714" s="103">
        <v>0.46</v>
      </c>
      <c r="G1714" s="63">
        <f>VLOOKUP(D1714,upahbahan,3,FALSE)</f>
        <v>1450000</v>
      </c>
      <c r="H1714" s="63">
        <f>F1714*G1714</f>
        <v>667000</v>
      </c>
      <c r="I1714" s="44"/>
    </row>
    <row r="1715" spans="3:13" s="59" customFormat="1" ht="22.8" customHeight="1">
      <c r="C1715" s="450" t="s">
        <v>1217</v>
      </c>
      <c r="D1715" s="67"/>
      <c r="E1715" s="67"/>
      <c r="F1715" s="67"/>
      <c r="G1715" s="69"/>
      <c r="H1715" s="882">
        <f>SUM(H1713:H1714)</f>
        <v>667000</v>
      </c>
      <c r="I1715" s="44"/>
    </row>
    <row r="1716" spans="3:13" s="59" customFormat="1" ht="22.8" customHeight="1">
      <c r="C1716" s="288" t="s">
        <v>1218</v>
      </c>
      <c r="D1716" s="76" t="s">
        <v>1219</v>
      </c>
      <c r="E1716" s="77"/>
      <c r="F1716" s="77"/>
      <c r="G1716" s="78"/>
      <c r="H1716" s="585">
        <f>H1715+H1712+H1707</f>
        <v>895740</v>
      </c>
      <c r="I1716" s="369"/>
    </row>
    <row r="1717" spans="3:13" s="59" customFormat="1" ht="22.8" customHeight="1">
      <c r="C1717" s="288" t="s">
        <v>1220</v>
      </c>
      <c r="D1717" s="76" t="s">
        <v>1321</v>
      </c>
      <c r="E1717" s="77"/>
      <c r="F1717" s="78"/>
      <c r="G1717" s="80">
        <v>0.1</v>
      </c>
      <c r="H1717" s="63">
        <f>H1716*G1717</f>
        <v>89574</v>
      </c>
      <c r="I1717" s="369"/>
    </row>
    <row r="1718" spans="3:13" s="59" customFormat="1" ht="22.8" customHeight="1">
      <c r="C1718" s="288" t="s">
        <v>1221</v>
      </c>
      <c r="D1718" s="76" t="s">
        <v>1222</v>
      </c>
      <c r="E1718" s="77"/>
      <c r="F1718" s="77"/>
      <c r="G1718" s="78"/>
      <c r="H1718" s="799">
        <f>SUM(H1716:H1717)</f>
        <v>985314</v>
      </c>
      <c r="I1718" s="369"/>
    </row>
    <row r="1719" spans="3:13" ht="22.8" customHeight="1"/>
    <row r="1720" spans="3:13" s="59" customFormat="1" ht="22.8" customHeight="1">
      <c r="C1720" s="46" t="s">
        <v>4748</v>
      </c>
      <c r="D1720" s="1934" t="s">
        <v>4749</v>
      </c>
      <c r="E1720" s="1934"/>
      <c r="F1720" s="1934"/>
      <c r="G1720" s="1934"/>
      <c r="H1720" s="1934"/>
      <c r="I1720" s="50">
        <f>ROUNDDOWN(H1737,-2)</f>
        <v>1132100</v>
      </c>
    </row>
    <row r="1721" spans="3:13" s="59" customFormat="1" ht="22.8" customHeight="1">
      <c r="C1721" s="591" t="s">
        <v>1195</v>
      </c>
      <c r="D1721" s="591" t="s">
        <v>1196</v>
      </c>
      <c r="E1721" s="591" t="s">
        <v>1197</v>
      </c>
      <c r="F1721" s="591" t="s">
        <v>1198</v>
      </c>
      <c r="G1721" s="591" t="s">
        <v>1199</v>
      </c>
      <c r="H1721" s="591" t="s">
        <v>1200</v>
      </c>
      <c r="I1721" s="44"/>
    </row>
    <row r="1722" spans="3:13" s="59" customFormat="1" ht="22.8" customHeight="1">
      <c r="C1722" s="61" t="s">
        <v>1201</v>
      </c>
      <c r="D1722" s="56" t="s">
        <v>1202</v>
      </c>
      <c r="E1722" s="57"/>
      <c r="F1722" s="57"/>
      <c r="G1722" s="57"/>
      <c r="H1722" s="57"/>
      <c r="I1722" s="44"/>
      <c r="J1722" s="152" t="s">
        <v>1247</v>
      </c>
    </row>
    <row r="1723" spans="3:13" s="59" customFormat="1" ht="22.8" customHeight="1">
      <c r="C1723" s="588">
        <v>1</v>
      </c>
      <c r="D1723" s="56" t="s">
        <v>5</v>
      </c>
      <c r="E1723" s="577" t="s">
        <v>6</v>
      </c>
      <c r="F1723" s="101">
        <v>1.0395000000000001</v>
      </c>
      <c r="G1723" s="63">
        <f>VLOOKUP(D1723,upahbahan,3,FALSE)</f>
        <v>100000</v>
      </c>
      <c r="H1723" s="63">
        <f>F1723*G1723</f>
        <v>103950.00000000001</v>
      </c>
      <c r="I1723" s="44"/>
      <c r="J1723" s="152" t="s">
        <v>1248</v>
      </c>
      <c r="M1723" s="65">
        <v>0.1</v>
      </c>
    </row>
    <row r="1724" spans="3:13" s="59" customFormat="1" ht="22.8" customHeight="1">
      <c r="C1724" s="588">
        <v>2</v>
      </c>
      <c r="D1724" s="56" t="s">
        <v>2165</v>
      </c>
      <c r="E1724" s="577" t="s">
        <v>6</v>
      </c>
      <c r="F1724" s="101">
        <v>0.51970000000000005</v>
      </c>
      <c r="G1724" s="63">
        <f>VLOOKUP(D1724,upahbahan,3,FALSE)</f>
        <v>135000</v>
      </c>
      <c r="H1724" s="63">
        <f t="shared" ref="H1724:H1725" si="91">F1724*G1724</f>
        <v>70159.5</v>
      </c>
      <c r="I1724" s="44"/>
      <c r="J1724" s="152"/>
      <c r="M1724" s="65"/>
    </row>
    <row r="1725" spans="3:13" s="59" customFormat="1" ht="22.8" customHeight="1">
      <c r="C1725" s="588">
        <v>3</v>
      </c>
      <c r="D1725" s="56" t="s">
        <v>19</v>
      </c>
      <c r="E1725" s="577" t="s">
        <v>6</v>
      </c>
      <c r="F1725" s="101">
        <v>5.1999999999999998E-2</v>
      </c>
      <c r="G1725" s="63">
        <f>VLOOKUP(D1725,upahbahan,3,FALSE)</f>
        <v>160000</v>
      </c>
      <c r="H1725" s="63">
        <f t="shared" si="91"/>
        <v>8320</v>
      </c>
      <c r="I1725" s="44"/>
    </row>
    <row r="1726" spans="3:13" s="59" customFormat="1" ht="22.8" customHeight="1">
      <c r="C1726" s="450" t="s">
        <v>1208</v>
      </c>
      <c r="D1726" s="67"/>
      <c r="E1726" s="67"/>
      <c r="F1726" s="142"/>
      <c r="G1726" s="153"/>
      <c r="H1726" s="63">
        <f>SUM(H1723:H1725)</f>
        <v>182429.5</v>
      </c>
      <c r="I1726" s="154"/>
    </row>
    <row r="1727" spans="3:13" s="59" customFormat="1" ht="22.8" customHeight="1">
      <c r="C1727" s="61" t="s">
        <v>1209</v>
      </c>
      <c r="D1727" s="56" t="s">
        <v>1210</v>
      </c>
      <c r="E1727" s="57"/>
      <c r="F1727" s="57"/>
      <c r="G1727" s="57"/>
      <c r="H1727" s="57"/>
      <c r="I1727" s="44"/>
    </row>
    <row r="1728" spans="3:13" s="59" customFormat="1" ht="22.8" customHeight="1">
      <c r="C1728" s="61">
        <v>1</v>
      </c>
      <c r="D1728" s="56" t="s">
        <v>4574</v>
      </c>
      <c r="E1728" s="93" t="s">
        <v>42</v>
      </c>
      <c r="F1728" s="103">
        <v>0.10050000000000001</v>
      </c>
      <c r="G1728" s="63">
        <f>VLOOKUP(D1728,upahbahan,3,FALSE)</f>
        <v>928000</v>
      </c>
      <c r="H1728" s="63">
        <f>F1728*G1728</f>
        <v>93264</v>
      </c>
      <c r="I1728" s="44"/>
    </row>
    <row r="1729" spans="3:13" s="59" customFormat="1" ht="22.8" customHeight="1">
      <c r="C1729" s="61">
        <v>2</v>
      </c>
      <c r="D1729" s="56" t="s">
        <v>4488</v>
      </c>
      <c r="E1729" s="93" t="s">
        <v>42</v>
      </c>
      <c r="F1729" s="103">
        <v>0.20100000000000001</v>
      </c>
      <c r="G1729" s="63">
        <f>VLOOKUP(D1729,upahbahan,3,FALSE)</f>
        <v>0</v>
      </c>
      <c r="H1729" s="63">
        <f>F1729*G1729</f>
        <v>0</v>
      </c>
      <c r="I1729" s="44"/>
    </row>
    <row r="1730" spans="3:13" s="59" customFormat="1" ht="22.8" customHeight="1">
      <c r="C1730" s="61">
        <v>4</v>
      </c>
      <c r="D1730" s="56" t="s">
        <v>4724</v>
      </c>
      <c r="E1730" s="93" t="s">
        <v>2167</v>
      </c>
      <c r="F1730" s="103">
        <v>1</v>
      </c>
      <c r="G1730" s="63">
        <f>VLOOKUP(D1730,upahbahan,3,FALSE)</f>
        <v>0</v>
      </c>
      <c r="H1730" s="63">
        <f>F1730*G1730</f>
        <v>0</v>
      </c>
      <c r="I1730" s="44"/>
    </row>
    <row r="1731" spans="3:13" s="59" customFormat="1" ht="22.8" customHeight="1">
      <c r="C1731" s="450" t="s">
        <v>1214</v>
      </c>
      <c r="D1731" s="67"/>
      <c r="E1731" s="67"/>
      <c r="F1731" s="67"/>
      <c r="G1731" s="69"/>
      <c r="H1731" s="63">
        <f>SUM(H1728:H1730)</f>
        <v>93264</v>
      </c>
      <c r="I1731" s="44"/>
    </row>
    <row r="1732" spans="3:13" s="59" customFormat="1" ht="22.8" customHeight="1">
      <c r="C1732" s="61" t="s">
        <v>1215</v>
      </c>
      <c r="D1732" s="56" t="s">
        <v>1216</v>
      </c>
      <c r="E1732" s="93"/>
      <c r="F1732" s="57"/>
      <c r="G1732" s="57"/>
      <c r="H1732" s="57"/>
      <c r="I1732" s="44"/>
    </row>
    <row r="1733" spans="3:13" s="59" customFormat="1" ht="22.8" customHeight="1">
      <c r="C1733" s="800">
        <v>1</v>
      </c>
      <c r="D1733" s="56" t="s">
        <v>4712</v>
      </c>
      <c r="E1733" s="93" t="s">
        <v>2396</v>
      </c>
      <c r="F1733" s="103">
        <v>0.51970000000000005</v>
      </c>
      <c r="G1733" s="63">
        <f>VLOOKUP(D1733,upahbahan,3,FALSE)</f>
        <v>1450000</v>
      </c>
      <c r="H1733" s="63">
        <f>F1733*G1733</f>
        <v>753565.00000000012</v>
      </c>
      <c r="I1733" s="44"/>
    </row>
    <row r="1734" spans="3:13" s="59" customFormat="1" ht="22.8" customHeight="1">
      <c r="C1734" s="450" t="s">
        <v>1217</v>
      </c>
      <c r="D1734" s="67"/>
      <c r="E1734" s="67"/>
      <c r="F1734" s="67"/>
      <c r="G1734" s="69"/>
      <c r="H1734" s="882">
        <f>SUM(H1732:H1733)</f>
        <v>753565.00000000012</v>
      </c>
      <c r="I1734" s="44"/>
    </row>
    <row r="1735" spans="3:13" s="59" customFormat="1" ht="22.8" customHeight="1">
      <c r="C1735" s="288" t="s">
        <v>1218</v>
      </c>
      <c r="D1735" s="76" t="s">
        <v>1219</v>
      </c>
      <c r="E1735" s="77"/>
      <c r="F1735" s="77"/>
      <c r="G1735" s="78"/>
      <c r="H1735" s="585">
        <f>H1734+H1731+H1726</f>
        <v>1029258.5000000001</v>
      </c>
      <c r="I1735" s="369"/>
    </row>
    <row r="1736" spans="3:13" s="59" customFormat="1" ht="22.8" customHeight="1">
      <c r="C1736" s="288" t="s">
        <v>1220</v>
      </c>
      <c r="D1736" s="76" t="s">
        <v>1321</v>
      </c>
      <c r="E1736" s="77"/>
      <c r="F1736" s="78"/>
      <c r="G1736" s="80">
        <v>0.1</v>
      </c>
      <c r="H1736" s="63">
        <f>H1735*G1736</f>
        <v>102925.85000000002</v>
      </c>
      <c r="I1736" s="369"/>
    </row>
    <row r="1737" spans="3:13" s="59" customFormat="1" ht="22.8" customHeight="1">
      <c r="C1737" s="288" t="s">
        <v>1221</v>
      </c>
      <c r="D1737" s="76" t="s">
        <v>1222</v>
      </c>
      <c r="E1737" s="77"/>
      <c r="F1737" s="77"/>
      <c r="G1737" s="78"/>
      <c r="H1737" s="799">
        <f>SUM(H1735:H1736)</f>
        <v>1132184.3500000001</v>
      </c>
      <c r="I1737" s="369"/>
    </row>
    <row r="1738" spans="3:13" ht="22.8" customHeight="1"/>
    <row r="1739" spans="3:13" ht="22.8" customHeight="1"/>
    <row r="1740" spans="3:13" s="59" customFormat="1" ht="22.8" customHeight="1">
      <c r="C1740" s="46" t="s">
        <v>4750</v>
      </c>
      <c r="D1740" s="1934" t="s">
        <v>4751</v>
      </c>
      <c r="E1740" s="1934"/>
      <c r="F1740" s="1934"/>
      <c r="G1740" s="1934"/>
      <c r="H1740" s="1934"/>
      <c r="I1740" s="50">
        <f>ROUNDDOWN(H1757,-2)</f>
        <v>1495000</v>
      </c>
    </row>
    <row r="1741" spans="3:13" s="59" customFormat="1" ht="22.8" customHeight="1">
      <c r="C1741" s="591" t="s">
        <v>1195</v>
      </c>
      <c r="D1741" s="591" t="s">
        <v>1196</v>
      </c>
      <c r="E1741" s="591" t="s">
        <v>1197</v>
      </c>
      <c r="F1741" s="591" t="s">
        <v>1198</v>
      </c>
      <c r="G1741" s="591" t="s">
        <v>1199</v>
      </c>
      <c r="H1741" s="591" t="s">
        <v>1200</v>
      </c>
      <c r="I1741" s="44"/>
    </row>
    <row r="1742" spans="3:13" s="59" customFormat="1" ht="22.8" customHeight="1">
      <c r="C1742" s="61" t="s">
        <v>1201</v>
      </c>
      <c r="D1742" s="56" t="s">
        <v>1202</v>
      </c>
      <c r="E1742" s="57"/>
      <c r="F1742" s="57"/>
      <c r="G1742" s="57"/>
      <c r="H1742" s="57"/>
      <c r="I1742" s="44"/>
      <c r="J1742" s="152" t="s">
        <v>1247</v>
      </c>
    </row>
    <row r="1743" spans="3:13" s="59" customFormat="1" ht="22.8" customHeight="1">
      <c r="C1743" s="588">
        <v>1</v>
      </c>
      <c r="D1743" s="56" t="s">
        <v>5</v>
      </c>
      <c r="E1743" s="577" t="s">
        <v>6</v>
      </c>
      <c r="F1743" s="101">
        <v>2.4607000000000001</v>
      </c>
      <c r="G1743" s="63">
        <f>VLOOKUP(D1743,upahbahan,3,FALSE)</f>
        <v>100000</v>
      </c>
      <c r="H1743" s="63">
        <f>F1743*G1743</f>
        <v>246070</v>
      </c>
      <c r="I1743" s="44"/>
      <c r="J1743" s="152" t="s">
        <v>1248</v>
      </c>
      <c r="M1743" s="65">
        <v>0.1</v>
      </c>
    </row>
    <row r="1744" spans="3:13" s="59" customFormat="1" ht="22.8" customHeight="1">
      <c r="C1744" s="588">
        <v>2</v>
      </c>
      <c r="D1744" s="56" t="s">
        <v>2165</v>
      </c>
      <c r="E1744" s="577" t="s">
        <v>6</v>
      </c>
      <c r="F1744" s="101">
        <v>0.61519999999999997</v>
      </c>
      <c r="G1744" s="63">
        <f>VLOOKUP(D1744,upahbahan,3,FALSE)</f>
        <v>135000</v>
      </c>
      <c r="H1744" s="63">
        <f t="shared" ref="H1744:H1745" si="92">F1744*G1744</f>
        <v>83052</v>
      </c>
      <c r="I1744" s="44"/>
      <c r="J1744" s="152"/>
      <c r="M1744" s="65"/>
    </row>
    <row r="1745" spans="3:9" s="59" customFormat="1" ht="22.8" customHeight="1">
      <c r="C1745" s="588">
        <v>3</v>
      </c>
      <c r="D1745" s="56" t="s">
        <v>19</v>
      </c>
      <c r="E1745" s="577" t="s">
        <v>6</v>
      </c>
      <c r="F1745" s="101">
        <v>0.123</v>
      </c>
      <c r="G1745" s="63">
        <f>VLOOKUP(D1745,upahbahan,3,FALSE)</f>
        <v>160000</v>
      </c>
      <c r="H1745" s="63">
        <f t="shared" si="92"/>
        <v>19680</v>
      </c>
      <c r="I1745" s="44"/>
    </row>
    <row r="1746" spans="3:9" s="59" customFormat="1" ht="22.8" customHeight="1">
      <c r="C1746" s="450" t="s">
        <v>1208</v>
      </c>
      <c r="D1746" s="67"/>
      <c r="E1746" s="67"/>
      <c r="F1746" s="142"/>
      <c r="G1746" s="153"/>
      <c r="H1746" s="63">
        <f>SUM(H1743:H1745)</f>
        <v>348802</v>
      </c>
      <c r="I1746" s="154"/>
    </row>
    <row r="1747" spans="3:9" s="59" customFormat="1" ht="22.8" customHeight="1">
      <c r="C1747" s="61" t="s">
        <v>1209</v>
      </c>
      <c r="D1747" s="56" t="s">
        <v>1210</v>
      </c>
      <c r="E1747" s="57"/>
      <c r="F1747" s="57"/>
      <c r="G1747" s="57"/>
      <c r="H1747" s="57"/>
      <c r="I1747" s="44"/>
    </row>
    <row r="1748" spans="3:9" s="59" customFormat="1" ht="22.8" customHeight="1">
      <c r="C1748" s="61">
        <v>1</v>
      </c>
      <c r="D1748" s="56" t="s">
        <v>4574</v>
      </c>
      <c r="E1748" s="93" t="s">
        <v>42</v>
      </c>
      <c r="F1748" s="103">
        <v>0.1275</v>
      </c>
      <c r="G1748" s="63">
        <f>VLOOKUP(D1748,upahbahan,3,FALSE)</f>
        <v>928000</v>
      </c>
      <c r="H1748" s="63">
        <f>F1748*G1748</f>
        <v>118320</v>
      </c>
      <c r="I1748" s="44"/>
    </row>
    <row r="1749" spans="3:9" s="59" customFormat="1" ht="22.8" customHeight="1">
      <c r="C1749" s="61">
        <v>2</v>
      </c>
      <c r="D1749" s="56" t="s">
        <v>4488</v>
      </c>
      <c r="E1749" s="93" t="s">
        <v>42</v>
      </c>
      <c r="F1749" s="103">
        <v>0.255</v>
      </c>
      <c r="G1749" s="63">
        <f>VLOOKUP(D1749,upahbahan,3,FALSE)</f>
        <v>0</v>
      </c>
      <c r="H1749" s="63">
        <f>F1749*G1749</f>
        <v>0</v>
      </c>
      <c r="I1749" s="44"/>
    </row>
    <row r="1750" spans="3:9" s="59" customFormat="1" ht="22.8" customHeight="1">
      <c r="C1750" s="61">
        <v>4</v>
      </c>
      <c r="D1750" s="56" t="s">
        <v>4726</v>
      </c>
      <c r="E1750" s="93" t="s">
        <v>2167</v>
      </c>
      <c r="F1750" s="103">
        <v>1</v>
      </c>
      <c r="G1750" s="63">
        <f>VLOOKUP(D1750,upahbahan,3,FALSE)</f>
        <v>0</v>
      </c>
      <c r="H1750" s="63">
        <f>F1750*G1750</f>
        <v>0</v>
      </c>
      <c r="I1750" s="44"/>
    </row>
    <row r="1751" spans="3:9" s="59" customFormat="1" ht="22.8" customHeight="1">
      <c r="C1751" s="450" t="s">
        <v>1214</v>
      </c>
      <c r="D1751" s="67"/>
      <c r="E1751" s="67"/>
      <c r="F1751" s="67"/>
      <c r="G1751" s="69"/>
      <c r="H1751" s="63">
        <f>SUM(H1748:H1750)</f>
        <v>118320</v>
      </c>
      <c r="I1751" s="44"/>
    </row>
    <row r="1752" spans="3:9" s="59" customFormat="1" ht="22.8" customHeight="1">
      <c r="C1752" s="61" t="s">
        <v>1215</v>
      </c>
      <c r="D1752" s="56" t="s">
        <v>1216</v>
      </c>
      <c r="E1752" s="93"/>
      <c r="F1752" s="57"/>
      <c r="G1752" s="57"/>
      <c r="H1752" s="57"/>
      <c r="I1752" s="44"/>
    </row>
    <row r="1753" spans="3:9" s="59" customFormat="1" ht="22.8" customHeight="1">
      <c r="C1753" s="800">
        <v>1</v>
      </c>
      <c r="D1753" s="56" t="s">
        <v>4712</v>
      </c>
      <c r="E1753" s="93" t="s">
        <v>2396</v>
      </c>
      <c r="F1753" s="103">
        <v>0.61519999999999997</v>
      </c>
      <c r="G1753" s="63">
        <f>VLOOKUP(D1753,upahbahan,3,FALSE)</f>
        <v>1450000</v>
      </c>
      <c r="H1753" s="63">
        <f>F1753*G1753</f>
        <v>892040</v>
      </c>
      <c r="I1753" s="44"/>
    </row>
    <row r="1754" spans="3:9" s="59" customFormat="1" ht="22.8" customHeight="1">
      <c r="C1754" s="450" t="s">
        <v>1217</v>
      </c>
      <c r="D1754" s="67"/>
      <c r="E1754" s="67"/>
      <c r="F1754" s="67"/>
      <c r="G1754" s="69"/>
      <c r="H1754" s="882">
        <f>SUM(H1752:H1753)</f>
        <v>892040</v>
      </c>
      <c r="I1754" s="44"/>
    </row>
    <row r="1755" spans="3:9" s="59" customFormat="1" ht="22.8" customHeight="1">
      <c r="C1755" s="288" t="s">
        <v>1218</v>
      </c>
      <c r="D1755" s="76" t="s">
        <v>1219</v>
      </c>
      <c r="E1755" s="77"/>
      <c r="F1755" s="77"/>
      <c r="G1755" s="78"/>
      <c r="H1755" s="585">
        <f>H1754+H1751+H1746</f>
        <v>1359162</v>
      </c>
      <c r="I1755" s="369"/>
    </row>
    <row r="1756" spans="3:9" s="59" customFormat="1" ht="22.8" customHeight="1">
      <c r="C1756" s="288" t="s">
        <v>1220</v>
      </c>
      <c r="D1756" s="76" t="s">
        <v>1321</v>
      </c>
      <c r="E1756" s="77"/>
      <c r="F1756" s="78"/>
      <c r="G1756" s="80">
        <v>0.1</v>
      </c>
      <c r="H1756" s="63">
        <f>H1755*G1756</f>
        <v>135916.20000000001</v>
      </c>
      <c r="I1756" s="369"/>
    </row>
    <row r="1757" spans="3:9" s="59" customFormat="1" ht="22.8" customHeight="1">
      <c r="C1757" s="288" t="s">
        <v>1221</v>
      </c>
      <c r="D1757" s="76" t="s">
        <v>1222</v>
      </c>
      <c r="E1757" s="77"/>
      <c r="F1757" s="77"/>
      <c r="G1757" s="78"/>
      <c r="H1757" s="799">
        <f>SUM(H1755:H1756)</f>
        <v>1495078.2</v>
      </c>
      <c r="I1757" s="369"/>
    </row>
    <row r="1758" spans="3:9" ht="22.8" customHeight="1"/>
    <row r="1759" spans="3:9" s="59" customFormat="1" ht="22.8" customHeight="1">
      <c r="C1759" s="46" t="s">
        <v>4752</v>
      </c>
      <c r="D1759" s="1934" t="s">
        <v>4753</v>
      </c>
      <c r="E1759" s="1934"/>
      <c r="F1759" s="1934"/>
      <c r="G1759" s="1934"/>
      <c r="H1759" s="1934"/>
      <c r="I1759" s="50">
        <f>ROUNDDOWN(H1776,-2)</f>
        <v>2215500</v>
      </c>
    </row>
    <row r="1760" spans="3:9" s="59" customFormat="1" ht="22.8" customHeight="1">
      <c r="C1760" s="591" t="s">
        <v>1195</v>
      </c>
      <c r="D1760" s="591" t="s">
        <v>1196</v>
      </c>
      <c r="E1760" s="591" t="s">
        <v>1197</v>
      </c>
      <c r="F1760" s="591" t="s">
        <v>1198</v>
      </c>
      <c r="G1760" s="591" t="s">
        <v>1199</v>
      </c>
      <c r="H1760" s="591" t="s">
        <v>1200</v>
      </c>
      <c r="I1760" s="44"/>
    </row>
    <row r="1761" spans="3:13" s="59" customFormat="1" ht="22.8" customHeight="1">
      <c r="C1761" s="61" t="s">
        <v>1201</v>
      </c>
      <c r="D1761" s="56" t="s">
        <v>1202</v>
      </c>
      <c r="E1761" s="57"/>
      <c r="F1761" s="57"/>
      <c r="G1761" s="57"/>
      <c r="H1761" s="57"/>
      <c r="I1761" s="44"/>
      <c r="J1761" s="152" t="s">
        <v>1247</v>
      </c>
    </row>
    <row r="1762" spans="3:13" s="59" customFormat="1" ht="22.8" customHeight="1">
      <c r="C1762" s="588">
        <v>1</v>
      </c>
      <c r="D1762" s="56" t="s">
        <v>5</v>
      </c>
      <c r="E1762" s="577" t="s">
        <v>6</v>
      </c>
      <c r="F1762" s="101">
        <v>3.6490999999999998</v>
      </c>
      <c r="G1762" s="63">
        <f>VLOOKUP(D1762,upahbahan,3,FALSE)</f>
        <v>100000</v>
      </c>
      <c r="H1762" s="63">
        <f>F1762*G1762</f>
        <v>364910</v>
      </c>
      <c r="I1762" s="44"/>
      <c r="J1762" s="152" t="s">
        <v>1248</v>
      </c>
      <c r="M1762" s="65">
        <v>0.1</v>
      </c>
    </row>
    <row r="1763" spans="3:13" s="59" customFormat="1" ht="22.8" customHeight="1">
      <c r="C1763" s="588">
        <v>2</v>
      </c>
      <c r="D1763" s="56" t="s">
        <v>2165</v>
      </c>
      <c r="E1763" s="577" t="s">
        <v>6</v>
      </c>
      <c r="F1763" s="101">
        <v>0.9123</v>
      </c>
      <c r="G1763" s="63">
        <f>VLOOKUP(D1763,upahbahan,3,FALSE)</f>
        <v>135000</v>
      </c>
      <c r="H1763" s="63">
        <f t="shared" ref="H1763:H1764" si="93">F1763*G1763</f>
        <v>123160.5</v>
      </c>
      <c r="I1763" s="44"/>
      <c r="J1763" s="152"/>
      <c r="M1763" s="65"/>
    </row>
    <row r="1764" spans="3:13" s="59" customFormat="1" ht="22.8" customHeight="1">
      <c r="C1764" s="588">
        <v>3</v>
      </c>
      <c r="D1764" s="56" t="s">
        <v>19</v>
      </c>
      <c r="E1764" s="577" t="s">
        <v>6</v>
      </c>
      <c r="F1764" s="101">
        <v>0.1825</v>
      </c>
      <c r="G1764" s="63">
        <f>VLOOKUP(D1764,upahbahan,3,FALSE)</f>
        <v>160000</v>
      </c>
      <c r="H1764" s="63">
        <f t="shared" si="93"/>
        <v>29200</v>
      </c>
      <c r="I1764" s="44"/>
    </row>
    <row r="1765" spans="3:13" s="59" customFormat="1" ht="22.8" customHeight="1">
      <c r="C1765" s="450" t="s">
        <v>1208</v>
      </c>
      <c r="D1765" s="67"/>
      <c r="E1765" s="67"/>
      <c r="F1765" s="142"/>
      <c r="G1765" s="153"/>
      <c r="H1765" s="63">
        <f>SUM(H1762:H1764)</f>
        <v>517270.5</v>
      </c>
      <c r="I1765" s="154"/>
    </row>
    <row r="1766" spans="3:13" s="59" customFormat="1" ht="22.8" customHeight="1">
      <c r="C1766" s="61" t="s">
        <v>1209</v>
      </c>
      <c r="D1766" s="56" t="s">
        <v>1210</v>
      </c>
      <c r="E1766" s="57"/>
      <c r="F1766" s="57"/>
      <c r="G1766" s="57"/>
      <c r="H1766" s="57"/>
      <c r="I1766" s="44"/>
    </row>
    <row r="1767" spans="3:13" s="59" customFormat="1" ht="22.8" customHeight="1">
      <c r="C1767" s="61">
        <v>1</v>
      </c>
      <c r="D1767" s="56" t="s">
        <v>4574</v>
      </c>
      <c r="E1767" s="93" t="s">
        <v>42</v>
      </c>
      <c r="F1767" s="103">
        <v>0.1875</v>
      </c>
      <c r="G1767" s="63">
        <f>VLOOKUP(D1767,upahbahan,3,FALSE)</f>
        <v>928000</v>
      </c>
      <c r="H1767" s="63">
        <f>F1767*G1767</f>
        <v>174000</v>
      </c>
      <c r="I1767" s="44"/>
    </row>
    <row r="1768" spans="3:13" s="59" customFormat="1" ht="22.8" customHeight="1">
      <c r="C1768" s="61">
        <v>2</v>
      </c>
      <c r="D1768" s="56" t="s">
        <v>4488</v>
      </c>
      <c r="E1768" s="93" t="s">
        <v>42</v>
      </c>
      <c r="F1768" s="103">
        <v>0.375</v>
      </c>
      <c r="G1768" s="63">
        <f>VLOOKUP(D1768,upahbahan,3,FALSE)</f>
        <v>0</v>
      </c>
      <c r="H1768" s="63">
        <f>F1768*G1768</f>
        <v>0</v>
      </c>
      <c r="I1768" s="44"/>
    </row>
    <row r="1769" spans="3:13" s="59" customFormat="1" ht="22.8" customHeight="1">
      <c r="C1769" s="61">
        <v>4</v>
      </c>
      <c r="D1769" s="56" t="s">
        <v>4728</v>
      </c>
      <c r="E1769" s="93" t="s">
        <v>2167</v>
      </c>
      <c r="F1769" s="103">
        <v>1</v>
      </c>
      <c r="G1769" s="63">
        <f>VLOOKUP(D1769,upahbahan,3,FALSE)</f>
        <v>0</v>
      </c>
      <c r="H1769" s="63">
        <f>F1769*G1769</f>
        <v>0</v>
      </c>
      <c r="I1769" s="44"/>
    </row>
    <row r="1770" spans="3:13" s="59" customFormat="1" ht="22.8" customHeight="1">
      <c r="C1770" s="450" t="s">
        <v>1214</v>
      </c>
      <c r="D1770" s="67"/>
      <c r="E1770" s="67"/>
      <c r="F1770" s="67"/>
      <c r="G1770" s="69"/>
      <c r="H1770" s="63">
        <f>SUM(H1767:H1769)</f>
        <v>174000</v>
      </c>
      <c r="I1770" s="44"/>
    </row>
    <row r="1771" spans="3:13" s="59" customFormat="1" ht="22.8" customHeight="1">
      <c r="C1771" s="61" t="s">
        <v>1215</v>
      </c>
      <c r="D1771" s="56" t="s">
        <v>1216</v>
      </c>
      <c r="E1771" s="93"/>
      <c r="F1771" s="57"/>
      <c r="G1771" s="57"/>
      <c r="H1771" s="57"/>
      <c r="I1771" s="44"/>
    </row>
    <row r="1772" spans="3:13" s="59" customFormat="1" ht="22.8" customHeight="1">
      <c r="C1772" s="800">
        <v>1</v>
      </c>
      <c r="D1772" s="56" t="s">
        <v>4712</v>
      </c>
      <c r="E1772" s="93" t="s">
        <v>2396</v>
      </c>
      <c r="F1772" s="103">
        <v>0.9123</v>
      </c>
      <c r="G1772" s="63">
        <f>VLOOKUP(D1772,upahbahan,3,FALSE)</f>
        <v>1450000</v>
      </c>
      <c r="H1772" s="63">
        <f>F1772*G1772</f>
        <v>1322835</v>
      </c>
      <c r="I1772" s="44"/>
    </row>
    <row r="1773" spans="3:13" s="59" customFormat="1" ht="22.8" customHeight="1">
      <c r="C1773" s="450" t="s">
        <v>1217</v>
      </c>
      <c r="D1773" s="67"/>
      <c r="E1773" s="67"/>
      <c r="F1773" s="67"/>
      <c r="G1773" s="69"/>
      <c r="H1773" s="882">
        <f>SUM(H1771:H1772)</f>
        <v>1322835</v>
      </c>
      <c r="I1773" s="44"/>
    </row>
    <row r="1774" spans="3:13" s="59" customFormat="1" ht="22.8" customHeight="1">
      <c r="C1774" s="288" t="s">
        <v>1218</v>
      </c>
      <c r="D1774" s="76" t="s">
        <v>1219</v>
      </c>
      <c r="E1774" s="77"/>
      <c r="F1774" s="77"/>
      <c r="G1774" s="78"/>
      <c r="H1774" s="585">
        <f>H1773+H1770+H1765</f>
        <v>2014105.5</v>
      </c>
      <c r="I1774" s="369"/>
    </row>
    <row r="1775" spans="3:13" s="59" customFormat="1" ht="22.8" customHeight="1">
      <c r="C1775" s="288" t="s">
        <v>1220</v>
      </c>
      <c r="D1775" s="76" t="s">
        <v>1321</v>
      </c>
      <c r="E1775" s="77"/>
      <c r="F1775" s="78"/>
      <c r="G1775" s="80">
        <v>0.1</v>
      </c>
      <c r="H1775" s="63">
        <f>H1774*G1775</f>
        <v>201410.55000000002</v>
      </c>
      <c r="I1775" s="369"/>
    </row>
    <row r="1776" spans="3:13" s="59" customFormat="1" ht="22.8" customHeight="1">
      <c r="C1776" s="288" t="s">
        <v>1221</v>
      </c>
      <c r="D1776" s="76" t="s">
        <v>1222</v>
      </c>
      <c r="E1776" s="77"/>
      <c r="F1776" s="77"/>
      <c r="G1776" s="78"/>
      <c r="H1776" s="799">
        <f>SUM(H1774:H1775)</f>
        <v>2215516.0499999998</v>
      </c>
      <c r="I1776" s="369"/>
    </row>
    <row r="1777" ht="22.8" customHeight="1"/>
  </sheetData>
  <mergeCells count="94">
    <mergeCell ref="D1720:H1720"/>
    <mergeCell ref="D1740:H1740"/>
    <mergeCell ref="D1759:H1759"/>
    <mergeCell ref="D1624:H1624"/>
    <mergeCell ref="D1643:H1643"/>
    <mergeCell ref="D1662:H1662"/>
    <mergeCell ref="D1681:H1681"/>
    <mergeCell ref="D1701:H1701"/>
    <mergeCell ref="D1448:H1448"/>
    <mergeCell ref="D1470:H1470"/>
    <mergeCell ref="D1489:H1489"/>
    <mergeCell ref="D1508:H1508"/>
    <mergeCell ref="D1527:H1527"/>
    <mergeCell ref="D373:H373"/>
    <mergeCell ref="D392:H392"/>
    <mergeCell ref="D411:H411"/>
    <mergeCell ref="D430:H430"/>
    <mergeCell ref="D449:H449"/>
    <mergeCell ref="D275:H275"/>
    <mergeCell ref="D294:H294"/>
    <mergeCell ref="D314:H314"/>
    <mergeCell ref="D333:H333"/>
    <mergeCell ref="D353:H353"/>
    <mergeCell ref="D178:H178"/>
    <mergeCell ref="D198:H198"/>
    <mergeCell ref="D217:H217"/>
    <mergeCell ref="D236:H236"/>
    <mergeCell ref="D255:H255"/>
    <mergeCell ref="D81:H81"/>
    <mergeCell ref="D100:H100"/>
    <mergeCell ref="D120:H120"/>
    <mergeCell ref="D139:H139"/>
    <mergeCell ref="D158:H158"/>
    <mergeCell ref="D5:H5"/>
    <mergeCell ref="D24:H24"/>
    <mergeCell ref="D4:H4"/>
    <mergeCell ref="D43:H43"/>
    <mergeCell ref="D62:H62"/>
    <mergeCell ref="D468:H468"/>
    <mergeCell ref="D487:H487"/>
    <mergeCell ref="D506:H506"/>
    <mergeCell ref="D526:H526"/>
    <mergeCell ref="D545:H545"/>
    <mergeCell ref="D564:H564"/>
    <mergeCell ref="D583:H583"/>
    <mergeCell ref="D602:H602"/>
    <mergeCell ref="D621:H621"/>
    <mergeCell ref="D640:H640"/>
    <mergeCell ref="D659:H659"/>
    <mergeCell ref="D678:H678"/>
    <mergeCell ref="D697:H697"/>
    <mergeCell ref="D716:H716"/>
    <mergeCell ref="D735:H735"/>
    <mergeCell ref="D754:H754"/>
    <mergeCell ref="D773:H773"/>
    <mergeCell ref="D792:H792"/>
    <mergeCell ref="D812:H812"/>
    <mergeCell ref="D831:H831"/>
    <mergeCell ref="D850:H850"/>
    <mergeCell ref="D869:H869"/>
    <mergeCell ref="D888:H888"/>
    <mergeCell ref="D907:H907"/>
    <mergeCell ref="D926:H926"/>
    <mergeCell ref="D945:H945"/>
    <mergeCell ref="D964:H964"/>
    <mergeCell ref="D983:H983"/>
    <mergeCell ref="D1002:H1002"/>
    <mergeCell ref="D1021:H1021"/>
    <mergeCell ref="D1041:H1041"/>
    <mergeCell ref="D1058:H1058"/>
    <mergeCell ref="D1075:H1075"/>
    <mergeCell ref="D1091:H1091"/>
    <mergeCell ref="D1107:H1107"/>
    <mergeCell ref="D1123:H1123"/>
    <mergeCell ref="D1139:H1139"/>
    <mergeCell ref="D1155:H1155"/>
    <mergeCell ref="D1172:H1172"/>
    <mergeCell ref="D1189:H1189"/>
    <mergeCell ref="D1584:H1584"/>
    <mergeCell ref="D1604:H1604"/>
    <mergeCell ref="D1305:H1305"/>
    <mergeCell ref="D1326:H1326"/>
    <mergeCell ref="D1206:H1206"/>
    <mergeCell ref="D1225:H1225"/>
    <mergeCell ref="D1245:H1245"/>
    <mergeCell ref="D1265:H1265"/>
    <mergeCell ref="D1284:H1284"/>
    <mergeCell ref="D1346:H1346"/>
    <mergeCell ref="D1365:H1365"/>
    <mergeCell ref="D1386:H1386"/>
    <mergeCell ref="D1406:H1406"/>
    <mergeCell ref="D1427:H1427"/>
    <mergeCell ref="D1546:H1546"/>
    <mergeCell ref="D1565:H1565"/>
  </mergeCells>
  <dataValidations count="1">
    <dataValidation type="list" allowBlank="1" showInputMessage="1" showErrorMessage="1" sqref="D8:D10 D27:D29 D46:D48 D65:D67 D84:D86 D103:D105 D123:D125 D142:D144 D161:D163 D181:D183 D201:D203 D220:D222 D239:D241 D258:D260 D278:D280 D297:D299 D317:D319 D336:D338 D356:D358 D376:D378 D395:D397 D414:D416 D433:D435 D452:D454 D471:D473 D490:D492 D509:D511 D529:D531 D548:D550 D567:D569 D586:D588 D605:D607 D624:D626 D643:D645 D662:D664 D681:D683 D700:D702 D719:D721 D738:D740 D757:D759 D776:D778 D795:D797 D815:D817 D834:D836 D853:D855 D872:D874 D891:D893 D910:D912 D929:D931 D948:D950 D967:D969 D986:D988 D1005:D1007 D1024:D1026 D1044:D1046 D1061:D1063 D1078:D1080 D1094:D1096 D1110:D1112 D1126:D1128 D1142:D1144 D1158:D1160 D1175:D1177 D1192:D1194 D1209:D1212 D1228:D1230 D1248:D1250 D1268:D1270 D1287:D1289 D1308:D1310 D1329:D1331 D1349:D1351 D1368:D1370 D1389:D1391 D1409:D1411 D1430:D1432 D1451:D1453 D1473:D1475 D1492:D1494 D1511:D1513 D1530:D1532 D1549:D1551 D1568:D1570 D1587:D1589 D1607:D1609 D1627:D1629 D1646:D1648 D1665:D1667 D1684:D1686 D1704:D1706 D1723:D1725 D1743:D1745 D1762:D1764" xr:uid="{00000000-0002-0000-24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1:M4289"/>
  <sheetViews>
    <sheetView topLeftCell="A49" zoomScale="94" zoomScaleNormal="75" workbookViewId="0">
      <selection activeCell="D1168" sqref="D1168"/>
    </sheetView>
  </sheetViews>
  <sheetFormatPr defaultRowHeight="13.2"/>
  <cols>
    <col min="1" max="1" width="2.88671875" style="122" customWidth="1"/>
    <col min="2" max="2" width="3.44140625" style="122" customWidth="1"/>
    <col min="3" max="3" width="8.88671875" style="122" customWidth="1"/>
    <col min="4" max="4" width="36.21875" style="122" customWidth="1"/>
    <col min="5" max="5" width="8.88671875" style="122"/>
    <col min="6" max="6" width="14.44140625" style="122" customWidth="1"/>
    <col min="7" max="7" width="20.88671875" style="122" customWidth="1"/>
    <col min="8" max="8" width="23.109375" style="122" customWidth="1"/>
    <col min="9" max="9" width="20.88671875" style="122" customWidth="1"/>
    <col min="10" max="16384" width="8.88671875" style="122"/>
  </cols>
  <sheetData>
    <row r="1" spans="3:13" ht="22.2" customHeight="1"/>
    <row r="2" spans="3:13" ht="22.2" customHeight="1">
      <c r="C2" s="368">
        <v>9</v>
      </c>
      <c r="D2" s="121" t="s">
        <v>5533</v>
      </c>
      <c r="E2" s="121"/>
      <c r="F2" s="121"/>
    </row>
    <row r="3" spans="3:13" ht="22.2" customHeight="1">
      <c r="C3" s="368" t="s">
        <v>4754</v>
      </c>
      <c r="D3" s="121" t="s">
        <v>5534</v>
      </c>
      <c r="E3" s="121"/>
      <c r="F3" s="121"/>
    </row>
    <row r="4" spans="3:13" ht="22.2" customHeight="1">
      <c r="C4" s="368" t="s">
        <v>4755</v>
      </c>
      <c r="D4" s="121" t="s">
        <v>4756</v>
      </c>
      <c r="E4" s="121"/>
      <c r="F4" s="121"/>
    </row>
    <row r="5" spans="3:13" s="59" customFormat="1" ht="22.2" customHeight="1">
      <c r="C5" s="46" t="s">
        <v>4757</v>
      </c>
      <c r="D5" s="794" t="s">
        <v>8348</v>
      </c>
      <c r="E5" s="794"/>
      <c r="F5" s="794"/>
      <c r="G5" s="794"/>
      <c r="H5" s="794"/>
      <c r="I5" s="50">
        <f>ROUNDDOWN(H19,-2)</f>
        <v>32900</v>
      </c>
      <c r="J5" s="59" t="s">
        <v>6456</v>
      </c>
      <c r="K5" s="59" t="s">
        <v>8349</v>
      </c>
    </row>
    <row r="6" spans="3:13" s="59" customFormat="1" ht="22.2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  <c r="I6" s="44"/>
    </row>
    <row r="7" spans="3:13" s="59" customFormat="1" ht="22.2" customHeight="1">
      <c r="C7" s="61" t="s">
        <v>1201</v>
      </c>
      <c r="D7" s="56" t="s">
        <v>1202</v>
      </c>
      <c r="E7" s="57"/>
      <c r="F7" s="57"/>
      <c r="G7" s="57"/>
      <c r="H7" s="57"/>
      <c r="I7" s="44"/>
      <c r="J7" s="152" t="s">
        <v>1247</v>
      </c>
    </row>
    <row r="8" spans="3:13" s="59" customFormat="1" ht="22.2" customHeight="1">
      <c r="C8" s="588">
        <v>1</v>
      </c>
      <c r="D8" s="56" t="s">
        <v>5</v>
      </c>
      <c r="E8" s="577" t="s">
        <v>6</v>
      </c>
      <c r="F8" s="101">
        <v>8.1000000000000003E-2</v>
      </c>
      <c r="G8" s="63">
        <f>VLOOKUP(D8,upahbahan,3,FALSE)</f>
        <v>100000</v>
      </c>
      <c r="H8" s="63">
        <f>F8*G8</f>
        <v>8100</v>
      </c>
      <c r="I8" s="44"/>
      <c r="J8" s="152" t="s">
        <v>1248</v>
      </c>
      <c r="M8" s="65">
        <v>0.1</v>
      </c>
    </row>
    <row r="9" spans="3:13" s="59" customFormat="1" ht="22.2" customHeight="1">
      <c r="C9" s="588">
        <v>2</v>
      </c>
      <c r="D9" s="56" t="s">
        <v>10</v>
      </c>
      <c r="E9" s="577" t="s">
        <v>6</v>
      </c>
      <c r="F9" s="101">
        <v>4.1000000000000002E-2</v>
      </c>
      <c r="G9" s="63">
        <f>VLOOKUP(D9,upahbahan,3,FALSE)</f>
        <v>135000</v>
      </c>
      <c r="H9" s="63">
        <f t="shared" ref="H9:H10" si="0">F9*G9</f>
        <v>5535</v>
      </c>
      <c r="I9" s="44"/>
      <c r="J9" s="152"/>
      <c r="M9" s="65"/>
    </row>
    <row r="10" spans="3:13" s="59" customFormat="1" ht="22.2" customHeight="1">
      <c r="C10" s="588">
        <v>3</v>
      </c>
      <c r="D10" s="56" t="s">
        <v>19</v>
      </c>
      <c r="E10" s="577" t="s">
        <v>6</v>
      </c>
      <c r="F10" s="101">
        <v>8.0000000000000002E-3</v>
      </c>
      <c r="G10" s="63">
        <f>VLOOKUP(D10,upahbahan,3,FALSE)</f>
        <v>160000</v>
      </c>
      <c r="H10" s="63">
        <f t="shared" si="0"/>
        <v>1280</v>
      </c>
      <c r="I10" s="44"/>
    </row>
    <row r="11" spans="3:13" s="59" customFormat="1" ht="22.2" customHeight="1">
      <c r="C11" s="450" t="s">
        <v>1208</v>
      </c>
      <c r="D11" s="67"/>
      <c r="E11" s="67"/>
      <c r="F11" s="142"/>
      <c r="G11" s="153"/>
      <c r="H11" s="63">
        <f>SUM(H8:H10)</f>
        <v>14915</v>
      </c>
      <c r="I11" s="154"/>
    </row>
    <row r="12" spans="3:13" s="59" customFormat="1" ht="22.2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28.2" customHeight="1">
      <c r="C13" s="61">
        <v>1</v>
      </c>
      <c r="D13" s="56" t="s">
        <v>8350</v>
      </c>
      <c r="E13" s="93" t="s">
        <v>1300</v>
      </c>
      <c r="F13" s="103">
        <v>1</v>
      </c>
      <c r="G13" s="63">
        <f>VLOOKUP(D13,upahbahan,3,FALSE)</f>
        <v>15000</v>
      </c>
      <c r="H13" s="63">
        <f>F13*G13</f>
        <v>15000</v>
      </c>
      <c r="I13" s="44"/>
    </row>
    <row r="14" spans="3:13" s="59" customFormat="1" ht="22.2" customHeight="1">
      <c r="C14" s="450" t="s">
        <v>1214</v>
      </c>
      <c r="D14" s="67"/>
      <c r="E14" s="67"/>
      <c r="F14" s="67"/>
      <c r="G14" s="69"/>
      <c r="H14" s="63">
        <f>SUM(H13:H13)</f>
        <v>15000</v>
      </c>
      <c r="I14" s="44"/>
    </row>
    <row r="15" spans="3:13" s="59" customFormat="1" ht="22.2" customHeight="1">
      <c r="C15" s="61" t="s">
        <v>1215</v>
      </c>
      <c r="D15" s="56" t="s">
        <v>1216</v>
      </c>
      <c r="E15" s="93"/>
      <c r="F15" s="57"/>
      <c r="G15" s="57"/>
      <c r="H15" s="57"/>
      <c r="I15" s="44"/>
    </row>
    <row r="16" spans="3:13" s="59" customFormat="1" ht="22.2" customHeight="1">
      <c r="C16" s="450" t="s">
        <v>1217</v>
      </c>
      <c r="D16" s="67"/>
      <c r="E16" s="67"/>
      <c r="F16" s="67"/>
      <c r="G16" s="69"/>
      <c r="H16" s="882">
        <f>SUM(H15:H15)</f>
        <v>0</v>
      </c>
      <c r="I16" s="44"/>
    </row>
    <row r="17" spans="3:13" s="59" customFormat="1" ht="22.2" customHeight="1">
      <c r="C17" s="288" t="s">
        <v>1218</v>
      </c>
      <c r="D17" s="76" t="s">
        <v>1219</v>
      </c>
      <c r="E17" s="77"/>
      <c r="F17" s="77"/>
      <c r="G17" s="78"/>
      <c r="H17" s="585">
        <f>H16+H14+H11</f>
        <v>29915</v>
      </c>
      <c r="I17" s="369"/>
    </row>
    <row r="18" spans="3:13" s="59" customFormat="1" ht="22.2" customHeight="1">
      <c r="C18" s="288" t="s">
        <v>1220</v>
      </c>
      <c r="D18" s="76" t="s">
        <v>1321</v>
      </c>
      <c r="E18" s="77"/>
      <c r="F18" s="78"/>
      <c r="G18" s="80">
        <v>0.1</v>
      </c>
      <c r="H18" s="63">
        <f>H17*G18</f>
        <v>2991.5</v>
      </c>
      <c r="I18" s="369"/>
    </row>
    <row r="19" spans="3:13" s="59" customFormat="1" ht="22.2" customHeight="1">
      <c r="C19" s="288" t="s">
        <v>1221</v>
      </c>
      <c r="D19" s="76" t="s">
        <v>1222</v>
      </c>
      <c r="E19" s="77"/>
      <c r="F19" s="77"/>
      <c r="G19" s="78"/>
      <c r="H19" s="799">
        <f>SUM(H17:H18)</f>
        <v>32906.5</v>
      </c>
      <c r="I19" s="369"/>
    </row>
    <row r="20" spans="3:13" ht="22.2" customHeight="1"/>
    <row r="21" spans="3:13" s="59" customFormat="1" ht="22.2" customHeight="1">
      <c r="C21" s="46" t="s">
        <v>4759</v>
      </c>
      <c r="D21" s="794" t="s">
        <v>8351</v>
      </c>
      <c r="E21" s="794"/>
      <c r="F21" s="794"/>
      <c r="G21" s="794"/>
      <c r="H21" s="794"/>
      <c r="I21" s="50">
        <f>ROUNDDOWN(H35,-2)</f>
        <v>50800</v>
      </c>
      <c r="J21" s="59" t="s">
        <v>6451</v>
      </c>
      <c r="K21" s="59" t="s">
        <v>8352</v>
      </c>
    </row>
    <row r="22" spans="3:13" s="59" customFormat="1" ht="22.2" customHeight="1">
      <c r="C22" s="591" t="s">
        <v>1195</v>
      </c>
      <c r="D22" s="591" t="s">
        <v>1196</v>
      </c>
      <c r="E22" s="591" t="s">
        <v>1197</v>
      </c>
      <c r="F22" s="591" t="s">
        <v>1198</v>
      </c>
      <c r="G22" s="591" t="s">
        <v>1199</v>
      </c>
      <c r="H22" s="591" t="s">
        <v>1200</v>
      </c>
      <c r="I22" s="44"/>
    </row>
    <row r="23" spans="3:13" s="59" customFormat="1" ht="22.2" customHeight="1">
      <c r="C23" s="61" t="s">
        <v>1201</v>
      </c>
      <c r="D23" s="56" t="s">
        <v>1202</v>
      </c>
      <c r="E23" s="57"/>
      <c r="F23" s="57"/>
      <c r="G23" s="57"/>
      <c r="H23" s="57"/>
      <c r="I23" s="44"/>
      <c r="J23" s="152" t="s">
        <v>1247</v>
      </c>
    </row>
    <row r="24" spans="3:13" s="59" customFormat="1" ht="22.2" customHeight="1">
      <c r="C24" s="588">
        <v>1</v>
      </c>
      <c r="D24" s="56" t="s">
        <v>5</v>
      </c>
      <c r="E24" s="577" t="s">
        <v>6</v>
      </c>
      <c r="F24" s="101">
        <v>9.4E-2</v>
      </c>
      <c r="G24" s="63">
        <f>VLOOKUP(D24,upahbahan,3,FALSE)</f>
        <v>100000</v>
      </c>
      <c r="H24" s="63">
        <f>F24*G24</f>
        <v>9400</v>
      </c>
      <c r="I24" s="44"/>
      <c r="J24" s="152" t="s">
        <v>1248</v>
      </c>
      <c r="M24" s="65">
        <v>0.1</v>
      </c>
    </row>
    <row r="25" spans="3:13" s="59" customFormat="1" ht="22.2" customHeight="1">
      <c r="C25" s="588">
        <v>2</v>
      </c>
      <c r="D25" s="56" t="s">
        <v>10</v>
      </c>
      <c r="E25" s="577" t="s">
        <v>6</v>
      </c>
      <c r="F25" s="101">
        <v>4.7E-2</v>
      </c>
      <c r="G25" s="63">
        <f>VLOOKUP(D25,upahbahan,3,FALSE)</f>
        <v>135000</v>
      </c>
      <c r="H25" s="63">
        <f t="shared" ref="H25:H26" si="1">F25*G25</f>
        <v>6345</v>
      </c>
      <c r="I25" s="44"/>
      <c r="J25" s="152"/>
      <c r="M25" s="65"/>
    </row>
    <row r="26" spans="3:13" s="59" customFormat="1" ht="22.2" customHeight="1">
      <c r="C26" s="588">
        <v>3</v>
      </c>
      <c r="D26" s="56" t="s">
        <v>19</v>
      </c>
      <c r="E26" s="577" t="s">
        <v>6</v>
      </c>
      <c r="F26" s="101">
        <v>8.9999999999999993E-3</v>
      </c>
      <c r="G26" s="63">
        <f>VLOOKUP(D26,upahbahan,3,FALSE)</f>
        <v>160000</v>
      </c>
      <c r="H26" s="63">
        <f t="shared" si="1"/>
        <v>1440</v>
      </c>
      <c r="I26" s="44"/>
    </row>
    <row r="27" spans="3:13" s="59" customFormat="1" ht="22.2" customHeight="1">
      <c r="C27" s="450" t="s">
        <v>1208</v>
      </c>
      <c r="D27" s="67"/>
      <c r="E27" s="67"/>
      <c r="F27" s="142"/>
      <c r="G27" s="153"/>
      <c r="H27" s="63">
        <f>SUM(H24:H26)</f>
        <v>17185</v>
      </c>
      <c r="I27" s="154"/>
    </row>
    <row r="28" spans="3:13" s="59" customFormat="1" ht="22.2" customHeight="1">
      <c r="C28" s="61" t="s">
        <v>1209</v>
      </c>
      <c r="D28" s="56" t="s">
        <v>1210</v>
      </c>
      <c r="E28" s="57"/>
      <c r="F28" s="57"/>
      <c r="G28" s="57"/>
      <c r="H28" s="57"/>
      <c r="I28" s="44"/>
    </row>
    <row r="29" spans="3:13" s="59" customFormat="1" ht="22.2" customHeight="1">
      <c r="C29" s="61">
        <v>1</v>
      </c>
      <c r="D29" s="56" t="s">
        <v>8353</v>
      </c>
      <c r="E29" s="93" t="s">
        <v>1300</v>
      </c>
      <c r="F29" s="103">
        <v>1</v>
      </c>
      <c r="G29" s="63">
        <f>VLOOKUP(D29,upahbahan,3,FALSE)</f>
        <v>29000</v>
      </c>
      <c r="H29" s="63">
        <f>F29*G29</f>
        <v>29000</v>
      </c>
      <c r="I29" s="44"/>
    </row>
    <row r="30" spans="3:13" s="59" customFormat="1" ht="22.2" customHeight="1">
      <c r="C30" s="450" t="s">
        <v>1214</v>
      </c>
      <c r="D30" s="67"/>
      <c r="E30" s="67"/>
      <c r="F30" s="67"/>
      <c r="G30" s="69"/>
      <c r="H30" s="63">
        <f>SUM(H29:H29)</f>
        <v>29000</v>
      </c>
      <c r="I30" s="44"/>
    </row>
    <row r="31" spans="3:13" s="59" customFormat="1" ht="22.2" customHeight="1">
      <c r="C31" s="61" t="s">
        <v>1215</v>
      </c>
      <c r="D31" s="56" t="s">
        <v>1216</v>
      </c>
      <c r="E31" s="93"/>
      <c r="F31" s="57"/>
      <c r="G31" s="57"/>
      <c r="H31" s="57"/>
      <c r="I31" s="44"/>
    </row>
    <row r="32" spans="3:13" s="59" customFormat="1" ht="22.2" customHeight="1">
      <c r="C32" s="450" t="s">
        <v>1217</v>
      </c>
      <c r="D32" s="67"/>
      <c r="E32" s="67"/>
      <c r="F32" s="67"/>
      <c r="G32" s="69"/>
      <c r="H32" s="882">
        <f>SUM(H31:H31)</f>
        <v>0</v>
      </c>
      <c r="I32" s="44"/>
    </row>
    <row r="33" spans="3:13" s="59" customFormat="1" ht="22.2" customHeight="1">
      <c r="C33" s="288" t="s">
        <v>1218</v>
      </c>
      <c r="D33" s="76" t="s">
        <v>1219</v>
      </c>
      <c r="E33" s="77"/>
      <c r="F33" s="77"/>
      <c r="G33" s="78"/>
      <c r="H33" s="585">
        <f>H32+H30+H27</f>
        <v>46185</v>
      </c>
      <c r="I33" s="369"/>
    </row>
    <row r="34" spans="3:13" s="59" customFormat="1" ht="22.2" customHeight="1">
      <c r="C34" s="288" t="s">
        <v>1220</v>
      </c>
      <c r="D34" s="76" t="s">
        <v>1321</v>
      </c>
      <c r="E34" s="77"/>
      <c r="F34" s="78"/>
      <c r="G34" s="80">
        <v>0.1</v>
      </c>
      <c r="H34" s="63">
        <f>H33*G34</f>
        <v>4618.5</v>
      </c>
      <c r="I34" s="369"/>
    </row>
    <row r="35" spans="3:13" s="59" customFormat="1" ht="22.2" customHeight="1">
      <c r="C35" s="288" t="s">
        <v>1221</v>
      </c>
      <c r="D35" s="76" t="s">
        <v>1222</v>
      </c>
      <c r="E35" s="77"/>
      <c r="F35" s="77"/>
      <c r="G35" s="78"/>
      <c r="H35" s="799">
        <f>SUM(H33:H34)</f>
        <v>50803.5</v>
      </c>
      <c r="I35" s="369"/>
    </row>
    <row r="36" spans="3:13" ht="22.2" customHeight="1"/>
    <row r="37" spans="3:13" s="59" customFormat="1" ht="22.2" customHeight="1">
      <c r="C37" s="46" t="s">
        <v>4761</v>
      </c>
      <c r="D37" s="794" t="s">
        <v>8354</v>
      </c>
      <c r="E37" s="794"/>
      <c r="F37" s="794"/>
      <c r="G37" s="794"/>
      <c r="H37" s="794"/>
      <c r="I37" s="50">
        <f>ROUNDDOWN(H51,-2)</f>
        <v>65300</v>
      </c>
      <c r="J37" s="59" t="s">
        <v>6456</v>
      </c>
      <c r="K37" s="59" t="s">
        <v>8355</v>
      </c>
    </row>
    <row r="38" spans="3:13" s="59" customFormat="1" ht="22.2" customHeight="1">
      <c r="C38" s="591" t="s">
        <v>1195</v>
      </c>
      <c r="D38" s="591" t="s">
        <v>1196</v>
      </c>
      <c r="E38" s="591" t="s">
        <v>1197</v>
      </c>
      <c r="F38" s="591" t="s">
        <v>1198</v>
      </c>
      <c r="G38" s="591" t="s">
        <v>1199</v>
      </c>
      <c r="H38" s="591" t="s">
        <v>1200</v>
      </c>
      <c r="I38" s="44"/>
    </row>
    <row r="39" spans="3:13" s="59" customFormat="1" ht="22.2" customHeight="1">
      <c r="C39" s="61" t="s">
        <v>1201</v>
      </c>
      <c r="D39" s="56" t="s">
        <v>1202</v>
      </c>
      <c r="E39" s="57"/>
      <c r="F39" s="57"/>
      <c r="G39" s="57"/>
      <c r="H39" s="57"/>
      <c r="I39" s="44"/>
      <c r="J39" s="152" t="s">
        <v>1247</v>
      </c>
    </row>
    <row r="40" spans="3:13" s="59" customFormat="1" ht="22.2" customHeight="1">
      <c r="C40" s="588">
        <v>1</v>
      </c>
      <c r="D40" s="56" t="s">
        <v>5</v>
      </c>
      <c r="E40" s="577" t="s">
        <v>6</v>
      </c>
      <c r="F40" s="101">
        <v>0.105</v>
      </c>
      <c r="G40" s="63">
        <f>VLOOKUP(D40,upahbahan,3,FALSE)</f>
        <v>100000</v>
      </c>
      <c r="H40" s="63">
        <f>F40*G40</f>
        <v>10500</v>
      </c>
      <c r="I40" s="44"/>
      <c r="J40" s="152" t="s">
        <v>1248</v>
      </c>
      <c r="M40" s="65">
        <v>0.1</v>
      </c>
    </row>
    <row r="41" spans="3:13" s="59" customFormat="1" ht="22.2" customHeight="1">
      <c r="C41" s="588">
        <v>2</v>
      </c>
      <c r="D41" s="56" t="s">
        <v>10</v>
      </c>
      <c r="E41" s="577" t="s">
        <v>6</v>
      </c>
      <c r="F41" s="101">
        <v>5.2999999999999999E-2</v>
      </c>
      <c r="G41" s="63">
        <f>VLOOKUP(D41,upahbahan,3,FALSE)</f>
        <v>135000</v>
      </c>
      <c r="H41" s="63">
        <f t="shared" ref="H41:H42" si="2">F41*G41</f>
        <v>7155</v>
      </c>
      <c r="I41" s="44"/>
      <c r="J41" s="152"/>
      <c r="M41" s="65"/>
    </row>
    <row r="42" spans="3:13" s="59" customFormat="1" ht="22.2" customHeight="1">
      <c r="C42" s="588">
        <v>3</v>
      </c>
      <c r="D42" s="56" t="s">
        <v>19</v>
      </c>
      <c r="E42" s="577" t="s">
        <v>6</v>
      </c>
      <c r="F42" s="101">
        <v>1.0999999999999999E-2</v>
      </c>
      <c r="G42" s="63">
        <f>VLOOKUP(D42,upahbahan,3,FALSE)</f>
        <v>160000</v>
      </c>
      <c r="H42" s="63">
        <f t="shared" si="2"/>
        <v>1760</v>
      </c>
      <c r="I42" s="44"/>
    </row>
    <row r="43" spans="3:13" s="59" customFormat="1" ht="22.2" customHeight="1">
      <c r="C43" s="450" t="s">
        <v>1208</v>
      </c>
      <c r="D43" s="67"/>
      <c r="E43" s="67"/>
      <c r="F43" s="142"/>
      <c r="G43" s="153"/>
      <c r="H43" s="63">
        <f>SUM(H40:H42)</f>
        <v>19415</v>
      </c>
      <c r="I43" s="154"/>
    </row>
    <row r="44" spans="3:13" s="59" customFormat="1" ht="22.2" customHeight="1">
      <c r="C44" s="61" t="s">
        <v>1209</v>
      </c>
      <c r="D44" s="56" t="s">
        <v>1210</v>
      </c>
      <c r="E44" s="57"/>
      <c r="F44" s="57"/>
      <c r="G44" s="57"/>
      <c r="H44" s="57"/>
      <c r="I44" s="44"/>
    </row>
    <row r="45" spans="3:13" s="59" customFormat="1" ht="22.2" customHeight="1">
      <c r="C45" s="61">
        <v>1</v>
      </c>
      <c r="D45" s="56" t="s">
        <v>8359</v>
      </c>
      <c r="E45" s="93" t="s">
        <v>1300</v>
      </c>
      <c r="F45" s="103">
        <v>1</v>
      </c>
      <c r="G45" s="63">
        <f>VLOOKUP(D45,upahbahan,3,FALSE)</f>
        <v>40000</v>
      </c>
      <c r="H45" s="63">
        <f>F45*G45</f>
        <v>40000</v>
      </c>
      <c r="I45" s="44"/>
    </row>
    <row r="46" spans="3:13" s="59" customFormat="1" ht="22.2" customHeight="1">
      <c r="C46" s="450" t="s">
        <v>1214</v>
      </c>
      <c r="D46" s="67"/>
      <c r="E46" s="67"/>
      <c r="F46" s="67"/>
      <c r="G46" s="69"/>
      <c r="H46" s="63">
        <f>SUM(H45:H45)</f>
        <v>40000</v>
      </c>
      <c r="I46" s="44"/>
    </row>
    <row r="47" spans="3:13" s="59" customFormat="1" ht="22.2" customHeight="1">
      <c r="C47" s="61" t="s">
        <v>1215</v>
      </c>
      <c r="D47" s="56" t="s">
        <v>1216</v>
      </c>
      <c r="E47" s="93"/>
      <c r="F47" s="57"/>
      <c r="G47" s="57"/>
      <c r="H47" s="57"/>
      <c r="I47" s="44"/>
    </row>
    <row r="48" spans="3:13" s="59" customFormat="1" ht="22.2" customHeight="1">
      <c r="C48" s="450" t="s">
        <v>1217</v>
      </c>
      <c r="D48" s="67"/>
      <c r="E48" s="67"/>
      <c r="F48" s="67"/>
      <c r="G48" s="69"/>
      <c r="H48" s="882">
        <f>SUM(H47:H47)</f>
        <v>0</v>
      </c>
      <c r="I48" s="44"/>
    </row>
    <row r="49" spans="3:13" s="59" customFormat="1" ht="22.2" customHeight="1">
      <c r="C49" s="288" t="s">
        <v>1218</v>
      </c>
      <c r="D49" s="76" t="s">
        <v>1219</v>
      </c>
      <c r="E49" s="77"/>
      <c r="F49" s="77"/>
      <c r="G49" s="78"/>
      <c r="H49" s="585">
        <f>H48+H46+H43</f>
        <v>59415</v>
      </c>
      <c r="I49" s="369"/>
    </row>
    <row r="50" spans="3:13" s="59" customFormat="1" ht="22.2" customHeight="1">
      <c r="C50" s="288" t="s">
        <v>1220</v>
      </c>
      <c r="D50" s="76" t="s">
        <v>1321</v>
      </c>
      <c r="E50" s="77"/>
      <c r="F50" s="78"/>
      <c r="G50" s="80">
        <v>0.1</v>
      </c>
      <c r="H50" s="63">
        <f>H49*G50</f>
        <v>5941.5</v>
      </c>
      <c r="I50" s="369"/>
    </row>
    <row r="51" spans="3:13" s="59" customFormat="1" ht="22.2" customHeight="1">
      <c r="C51" s="288" t="s">
        <v>1221</v>
      </c>
      <c r="D51" s="76" t="s">
        <v>1222</v>
      </c>
      <c r="E51" s="77"/>
      <c r="F51" s="77"/>
      <c r="G51" s="78"/>
      <c r="H51" s="799">
        <f>SUM(H49:H50)</f>
        <v>65356.5</v>
      </c>
      <c r="I51" s="369"/>
    </row>
    <row r="52" spans="3:13" ht="22.2" customHeight="1"/>
    <row r="53" spans="3:13" s="59" customFormat="1" ht="22.2" customHeight="1">
      <c r="C53" s="46" t="s">
        <v>4763</v>
      </c>
      <c r="D53" s="794" t="s">
        <v>8356</v>
      </c>
      <c r="E53" s="794"/>
      <c r="F53" s="794"/>
      <c r="G53" s="794"/>
      <c r="H53" s="794"/>
      <c r="I53" s="50">
        <f>ROUNDDOWN(H67,-2)</f>
        <v>94200</v>
      </c>
      <c r="J53" s="59" t="s">
        <v>6451</v>
      </c>
      <c r="K53" s="59" t="s">
        <v>8357</v>
      </c>
    </row>
    <row r="54" spans="3:13" s="59" customFormat="1" ht="22.2" customHeight="1">
      <c r="C54" s="591" t="s">
        <v>1195</v>
      </c>
      <c r="D54" s="591" t="s">
        <v>1196</v>
      </c>
      <c r="E54" s="591" t="s">
        <v>1197</v>
      </c>
      <c r="F54" s="591" t="s">
        <v>1198</v>
      </c>
      <c r="G54" s="591" t="s">
        <v>1199</v>
      </c>
      <c r="H54" s="591" t="s">
        <v>1200</v>
      </c>
      <c r="I54" s="44"/>
    </row>
    <row r="55" spans="3:13" s="59" customFormat="1" ht="22.2" customHeight="1">
      <c r="C55" s="61" t="s">
        <v>1201</v>
      </c>
      <c r="D55" s="56" t="s">
        <v>1202</v>
      </c>
      <c r="E55" s="57"/>
      <c r="F55" s="57"/>
      <c r="G55" s="57"/>
      <c r="H55" s="57"/>
      <c r="I55" s="44"/>
      <c r="J55" s="152" t="s">
        <v>1247</v>
      </c>
    </row>
    <row r="56" spans="3:13" s="59" customFormat="1" ht="22.2" customHeight="1">
      <c r="C56" s="588">
        <v>1</v>
      </c>
      <c r="D56" s="56" t="s">
        <v>5</v>
      </c>
      <c r="E56" s="577" t="s">
        <v>6</v>
      </c>
      <c r="F56" s="101">
        <v>0.11799999999999999</v>
      </c>
      <c r="G56" s="63">
        <f>VLOOKUP(D56,upahbahan,3,FALSE)</f>
        <v>100000</v>
      </c>
      <c r="H56" s="63">
        <f>F56*G56</f>
        <v>11800</v>
      </c>
      <c r="I56" s="44"/>
      <c r="J56" s="152" t="s">
        <v>1248</v>
      </c>
      <c r="M56" s="65">
        <v>0.1</v>
      </c>
    </row>
    <row r="57" spans="3:13" s="59" customFormat="1" ht="22.2" customHeight="1">
      <c r="C57" s="588">
        <v>2</v>
      </c>
      <c r="D57" s="56" t="s">
        <v>10</v>
      </c>
      <c r="E57" s="577" t="s">
        <v>6</v>
      </c>
      <c r="F57" s="101">
        <v>5.8999999999999997E-2</v>
      </c>
      <c r="G57" s="63">
        <f>VLOOKUP(D57,upahbahan,3,FALSE)</f>
        <v>135000</v>
      </c>
      <c r="H57" s="63">
        <f t="shared" ref="H57:H58" si="3">F57*G57</f>
        <v>7965</v>
      </c>
      <c r="I57" s="44"/>
      <c r="J57" s="152"/>
      <c r="M57" s="65"/>
    </row>
    <row r="58" spans="3:13" s="59" customFormat="1" ht="22.2" customHeight="1">
      <c r="C58" s="588">
        <v>3</v>
      </c>
      <c r="D58" s="56" t="s">
        <v>19</v>
      </c>
      <c r="E58" s="577" t="s">
        <v>6</v>
      </c>
      <c r="F58" s="101">
        <v>1.2E-2</v>
      </c>
      <c r="G58" s="63">
        <f>VLOOKUP(D58,upahbahan,3,FALSE)</f>
        <v>160000</v>
      </c>
      <c r="H58" s="63">
        <f t="shared" si="3"/>
        <v>1920</v>
      </c>
      <c r="I58" s="44"/>
    </row>
    <row r="59" spans="3:13" s="59" customFormat="1" ht="22.2" customHeight="1">
      <c r="C59" s="450" t="s">
        <v>1208</v>
      </c>
      <c r="D59" s="67"/>
      <c r="E59" s="67"/>
      <c r="F59" s="142"/>
      <c r="G59" s="153"/>
      <c r="H59" s="63">
        <f>SUM(H56:H58)</f>
        <v>21685</v>
      </c>
      <c r="I59" s="154"/>
    </row>
    <row r="60" spans="3:13" s="59" customFormat="1" ht="22.2" customHeight="1">
      <c r="C60" s="61" t="s">
        <v>1209</v>
      </c>
      <c r="D60" s="56" t="s">
        <v>1210</v>
      </c>
      <c r="E60" s="57"/>
      <c r="F60" s="57"/>
      <c r="G60" s="57"/>
      <c r="H60" s="57"/>
      <c r="I60" s="44"/>
    </row>
    <row r="61" spans="3:13" s="59" customFormat="1" ht="22.2" customHeight="1">
      <c r="C61" s="61">
        <v>1</v>
      </c>
      <c r="D61" s="56" t="s">
        <v>8358</v>
      </c>
      <c r="E61" s="93" t="s">
        <v>1300</v>
      </c>
      <c r="F61" s="103">
        <v>1</v>
      </c>
      <c r="G61" s="63">
        <f>VLOOKUP(D61,upahbahan,3,FALSE)</f>
        <v>64000</v>
      </c>
      <c r="H61" s="63">
        <f>F61*G61</f>
        <v>64000</v>
      </c>
      <c r="I61" s="44"/>
    </row>
    <row r="62" spans="3:13" s="59" customFormat="1" ht="22.2" customHeight="1">
      <c r="C62" s="450" t="s">
        <v>1214</v>
      </c>
      <c r="D62" s="67"/>
      <c r="E62" s="67"/>
      <c r="F62" s="67"/>
      <c r="G62" s="69"/>
      <c r="H62" s="63">
        <f>SUM(H61:H61)</f>
        <v>64000</v>
      </c>
      <c r="I62" s="44"/>
    </row>
    <row r="63" spans="3:13" s="59" customFormat="1" ht="22.2" customHeight="1">
      <c r="C63" s="61" t="s">
        <v>1215</v>
      </c>
      <c r="D63" s="56" t="s">
        <v>1216</v>
      </c>
      <c r="E63" s="93"/>
      <c r="F63" s="57"/>
      <c r="G63" s="57"/>
      <c r="H63" s="57"/>
      <c r="I63" s="44"/>
    </row>
    <row r="64" spans="3:13" s="59" customFormat="1" ht="22.2" customHeight="1">
      <c r="C64" s="450" t="s">
        <v>1217</v>
      </c>
      <c r="D64" s="67"/>
      <c r="E64" s="67"/>
      <c r="F64" s="67"/>
      <c r="G64" s="69"/>
      <c r="H64" s="882">
        <f>SUM(H63:H63)</f>
        <v>0</v>
      </c>
      <c r="I64" s="44"/>
    </row>
    <row r="65" spans="3:13" s="59" customFormat="1" ht="22.2" customHeight="1">
      <c r="C65" s="288" t="s">
        <v>1218</v>
      </c>
      <c r="D65" s="76" t="s">
        <v>1219</v>
      </c>
      <c r="E65" s="77"/>
      <c r="F65" s="77"/>
      <c r="G65" s="78"/>
      <c r="H65" s="585">
        <f>H64+H62+H59</f>
        <v>85685</v>
      </c>
      <c r="I65" s="369"/>
    </row>
    <row r="66" spans="3:13" s="59" customFormat="1" ht="22.2" customHeight="1">
      <c r="C66" s="288" t="s">
        <v>1220</v>
      </c>
      <c r="D66" s="76" t="s">
        <v>1321</v>
      </c>
      <c r="E66" s="77"/>
      <c r="F66" s="78"/>
      <c r="G66" s="80">
        <v>0.1</v>
      </c>
      <c r="H66" s="63">
        <f>H65*G66</f>
        <v>8568.5</v>
      </c>
      <c r="I66" s="369"/>
    </row>
    <row r="67" spans="3:13" s="59" customFormat="1" ht="22.2" customHeight="1">
      <c r="C67" s="288" t="s">
        <v>1221</v>
      </c>
      <c r="D67" s="76" t="s">
        <v>1222</v>
      </c>
      <c r="E67" s="77"/>
      <c r="F67" s="77"/>
      <c r="G67" s="78"/>
      <c r="H67" s="799">
        <f>SUM(H65:H66)</f>
        <v>94253.5</v>
      </c>
      <c r="I67" s="369"/>
    </row>
    <row r="68" spans="3:13" ht="22.2" customHeight="1"/>
    <row r="69" spans="3:13" s="59" customFormat="1" ht="22.2" customHeight="1">
      <c r="C69" s="46" t="s">
        <v>4765</v>
      </c>
      <c r="D69" s="794" t="s">
        <v>8360</v>
      </c>
      <c r="E69" s="794"/>
      <c r="F69" s="794"/>
      <c r="G69" s="794"/>
      <c r="H69" s="794"/>
      <c r="I69" s="50">
        <f>ROUNDDOWN(H83,-2)</f>
        <v>192200</v>
      </c>
      <c r="J69" s="59" t="s">
        <v>6451</v>
      </c>
      <c r="K69" s="59" t="s">
        <v>8362</v>
      </c>
    </row>
    <row r="70" spans="3:13" s="59" customFormat="1" ht="22.2" customHeight="1">
      <c r="C70" s="591" t="s">
        <v>1195</v>
      </c>
      <c r="D70" s="591" t="s">
        <v>1196</v>
      </c>
      <c r="E70" s="591" t="s">
        <v>1197</v>
      </c>
      <c r="F70" s="591" t="s">
        <v>1198</v>
      </c>
      <c r="G70" s="591" t="s">
        <v>1199</v>
      </c>
      <c r="H70" s="591" t="s">
        <v>1200</v>
      </c>
      <c r="I70" s="44"/>
    </row>
    <row r="71" spans="3:13" s="59" customFormat="1" ht="22.2" customHeight="1">
      <c r="C71" s="61" t="s">
        <v>1201</v>
      </c>
      <c r="D71" s="56" t="s">
        <v>1202</v>
      </c>
      <c r="E71" s="57"/>
      <c r="F71" s="57"/>
      <c r="G71" s="57"/>
      <c r="H71" s="57"/>
      <c r="I71" s="44"/>
      <c r="J71" s="152" t="s">
        <v>1247</v>
      </c>
    </row>
    <row r="72" spans="3:13" s="59" customFormat="1" ht="22.2" customHeight="1">
      <c r="C72" s="588">
        <v>1</v>
      </c>
      <c r="D72" s="56" t="s">
        <v>5</v>
      </c>
      <c r="E72" s="577" t="s">
        <v>6</v>
      </c>
      <c r="F72" s="101">
        <v>0.189</v>
      </c>
      <c r="G72" s="63">
        <f>VLOOKUP(D72,upahbahan,3,FALSE)</f>
        <v>100000</v>
      </c>
      <c r="H72" s="63">
        <f>F72*G72</f>
        <v>18900</v>
      </c>
      <c r="I72" s="44"/>
      <c r="J72" s="152" t="s">
        <v>1248</v>
      </c>
      <c r="M72" s="65">
        <v>0.1</v>
      </c>
    </row>
    <row r="73" spans="3:13" s="59" customFormat="1" ht="22.2" customHeight="1">
      <c r="C73" s="588">
        <v>2</v>
      </c>
      <c r="D73" s="56" t="s">
        <v>10</v>
      </c>
      <c r="E73" s="577" t="s">
        <v>6</v>
      </c>
      <c r="F73" s="101">
        <v>9.5000000000000001E-2</v>
      </c>
      <c r="G73" s="63">
        <f>VLOOKUP(D73,upahbahan,3,FALSE)</f>
        <v>135000</v>
      </c>
      <c r="H73" s="63">
        <f t="shared" ref="H73:H74" si="4">F73*G73</f>
        <v>12825</v>
      </c>
      <c r="I73" s="44"/>
      <c r="J73" s="152"/>
      <c r="M73" s="65"/>
    </row>
    <row r="74" spans="3:13" s="59" customFormat="1" ht="22.2" customHeight="1">
      <c r="C74" s="588">
        <v>3</v>
      </c>
      <c r="D74" s="56" t="s">
        <v>19</v>
      </c>
      <c r="E74" s="577" t="s">
        <v>6</v>
      </c>
      <c r="F74" s="101">
        <v>1.9E-2</v>
      </c>
      <c r="G74" s="63">
        <f>VLOOKUP(D74,upahbahan,3,FALSE)</f>
        <v>160000</v>
      </c>
      <c r="H74" s="63">
        <f t="shared" si="4"/>
        <v>3040</v>
      </c>
      <c r="I74" s="44"/>
    </row>
    <row r="75" spans="3:13" s="59" customFormat="1" ht="22.2" customHeight="1">
      <c r="C75" s="450" t="s">
        <v>1208</v>
      </c>
      <c r="D75" s="67"/>
      <c r="E75" s="67"/>
      <c r="F75" s="142"/>
      <c r="G75" s="153"/>
      <c r="H75" s="63">
        <f>SUM(H72:H74)</f>
        <v>34765</v>
      </c>
      <c r="I75" s="154"/>
    </row>
    <row r="76" spans="3:13" s="59" customFormat="1" ht="22.2" customHeight="1">
      <c r="C76" s="61" t="s">
        <v>1209</v>
      </c>
      <c r="D76" s="56" t="s">
        <v>1210</v>
      </c>
      <c r="E76" s="57"/>
      <c r="F76" s="57"/>
      <c r="G76" s="57"/>
      <c r="H76" s="57"/>
      <c r="I76" s="44"/>
    </row>
    <row r="77" spans="3:13" s="59" customFormat="1" ht="22.2" customHeight="1">
      <c r="C77" s="61">
        <v>1</v>
      </c>
      <c r="D77" s="56" t="s">
        <v>8361</v>
      </c>
      <c r="E77" s="93" t="s">
        <v>1300</v>
      </c>
      <c r="F77" s="103">
        <v>1</v>
      </c>
      <c r="G77" s="63">
        <f>VLOOKUP(D77,upahbahan,3,FALSE)</f>
        <v>140000</v>
      </c>
      <c r="H77" s="63">
        <f>F77*G77</f>
        <v>140000</v>
      </c>
      <c r="I77" s="44"/>
    </row>
    <row r="78" spans="3:13" s="59" customFormat="1" ht="22.2" customHeight="1">
      <c r="C78" s="450" t="s">
        <v>1214</v>
      </c>
      <c r="D78" s="67"/>
      <c r="E78" s="67"/>
      <c r="F78" s="67"/>
      <c r="G78" s="69"/>
      <c r="H78" s="63">
        <f>SUM(H77:H77)</f>
        <v>140000</v>
      </c>
      <c r="I78" s="44"/>
    </row>
    <row r="79" spans="3:13" s="59" customFormat="1" ht="22.2" customHeight="1">
      <c r="C79" s="61" t="s">
        <v>1215</v>
      </c>
      <c r="D79" s="56" t="s">
        <v>1216</v>
      </c>
      <c r="E79" s="93"/>
      <c r="F79" s="57"/>
      <c r="G79" s="57"/>
      <c r="H79" s="57"/>
      <c r="I79" s="44"/>
    </row>
    <row r="80" spans="3:13" s="59" customFormat="1" ht="22.2" customHeight="1">
      <c r="C80" s="450" t="s">
        <v>1217</v>
      </c>
      <c r="D80" s="67"/>
      <c r="E80" s="67"/>
      <c r="F80" s="67"/>
      <c r="G80" s="69"/>
      <c r="H80" s="882">
        <f>SUM(H79:H79)</f>
        <v>0</v>
      </c>
      <c r="I80" s="44"/>
    </row>
    <row r="81" spans="3:13" s="59" customFormat="1" ht="22.2" customHeight="1">
      <c r="C81" s="288" t="s">
        <v>1218</v>
      </c>
      <c r="D81" s="76" t="s">
        <v>1219</v>
      </c>
      <c r="E81" s="77"/>
      <c r="F81" s="77"/>
      <c r="G81" s="78"/>
      <c r="H81" s="585">
        <f>H80+H78+H75</f>
        <v>174765</v>
      </c>
      <c r="I81" s="369"/>
    </row>
    <row r="82" spans="3:13" s="59" customFormat="1" ht="22.2" customHeight="1">
      <c r="C82" s="288" t="s">
        <v>1220</v>
      </c>
      <c r="D82" s="76" t="s">
        <v>1321</v>
      </c>
      <c r="E82" s="77"/>
      <c r="F82" s="78"/>
      <c r="G82" s="80">
        <v>0.1</v>
      </c>
      <c r="H82" s="63">
        <f>H81*G82</f>
        <v>17476.5</v>
      </c>
      <c r="I82" s="369"/>
    </row>
    <row r="83" spans="3:13" s="59" customFormat="1" ht="22.2" customHeight="1">
      <c r="C83" s="288" t="s">
        <v>1221</v>
      </c>
      <c r="D83" s="76" t="s">
        <v>1222</v>
      </c>
      <c r="E83" s="77"/>
      <c r="F83" s="77"/>
      <c r="G83" s="78"/>
      <c r="H83" s="799">
        <f>SUM(H81:H82)</f>
        <v>192241.5</v>
      </c>
      <c r="I83" s="369"/>
    </row>
    <row r="84" spans="3:13" ht="22.2" customHeight="1"/>
    <row r="85" spans="3:13" s="59" customFormat="1" ht="22.2" customHeight="1">
      <c r="C85" s="46" t="s">
        <v>4767</v>
      </c>
      <c r="D85" s="794" t="s">
        <v>8363</v>
      </c>
      <c r="E85" s="794"/>
      <c r="F85" s="794"/>
      <c r="G85" s="794"/>
      <c r="H85" s="794"/>
      <c r="I85" s="50">
        <f>ROUNDDOWN(H100,-2)</f>
        <v>372500</v>
      </c>
      <c r="J85" s="59" t="s">
        <v>6451</v>
      </c>
      <c r="K85" s="59" t="s">
        <v>8365</v>
      </c>
    </row>
    <row r="86" spans="3:13" s="59" customFormat="1" ht="22.2" customHeight="1">
      <c r="C86" s="591" t="s">
        <v>1195</v>
      </c>
      <c r="D86" s="591" t="s">
        <v>1196</v>
      </c>
      <c r="E86" s="591" t="s">
        <v>1197</v>
      </c>
      <c r="F86" s="591" t="s">
        <v>1198</v>
      </c>
      <c r="G86" s="591" t="s">
        <v>1199</v>
      </c>
      <c r="H86" s="591" t="s">
        <v>1200</v>
      </c>
      <c r="I86" s="44"/>
    </row>
    <row r="87" spans="3:13" s="59" customFormat="1" ht="22.2" customHeight="1">
      <c r="C87" s="61" t="s">
        <v>1201</v>
      </c>
      <c r="D87" s="56" t="s">
        <v>1202</v>
      </c>
      <c r="E87" s="57"/>
      <c r="F87" s="57"/>
      <c r="G87" s="57"/>
      <c r="H87" s="57"/>
      <c r="I87" s="44"/>
      <c r="J87" s="152" t="s">
        <v>1247</v>
      </c>
    </row>
    <row r="88" spans="3:13" s="59" customFormat="1" ht="22.2" customHeight="1">
      <c r="C88" s="588">
        <v>1</v>
      </c>
      <c r="D88" s="56" t="s">
        <v>5</v>
      </c>
      <c r="E88" s="577" t="s">
        <v>6</v>
      </c>
      <c r="F88" s="101">
        <v>0.25600000000000001</v>
      </c>
      <c r="G88" s="63">
        <f>VLOOKUP(D88,upahbahan,3,FALSE)</f>
        <v>100000</v>
      </c>
      <c r="H88" s="63">
        <f>F88*G88</f>
        <v>25600</v>
      </c>
      <c r="I88" s="44"/>
      <c r="J88" s="152" t="s">
        <v>1248</v>
      </c>
      <c r="M88" s="65">
        <v>0.1</v>
      </c>
    </row>
    <row r="89" spans="3:13" s="59" customFormat="1" ht="22.2" customHeight="1">
      <c r="C89" s="588">
        <v>2</v>
      </c>
      <c r="D89" s="56" t="s">
        <v>10</v>
      </c>
      <c r="E89" s="577" t="s">
        <v>6</v>
      </c>
      <c r="F89" s="101">
        <v>0.128</v>
      </c>
      <c r="G89" s="63">
        <f>VLOOKUP(D89,upahbahan,3,FALSE)</f>
        <v>135000</v>
      </c>
      <c r="H89" s="63">
        <f t="shared" ref="H89:H90" si="5">F89*G89</f>
        <v>17280</v>
      </c>
      <c r="I89" s="44"/>
      <c r="J89" s="152"/>
      <c r="M89" s="65"/>
    </row>
    <row r="90" spans="3:13" s="59" customFormat="1" ht="22.2" customHeight="1">
      <c r="C90" s="588">
        <v>3</v>
      </c>
      <c r="D90" s="56" t="s">
        <v>19</v>
      </c>
      <c r="E90" s="577" t="s">
        <v>6</v>
      </c>
      <c r="F90" s="101">
        <v>2.5999999999999999E-2</v>
      </c>
      <c r="G90" s="63">
        <f>VLOOKUP(D90,upahbahan,3,FALSE)</f>
        <v>160000</v>
      </c>
      <c r="H90" s="63">
        <f t="shared" si="5"/>
        <v>4160</v>
      </c>
      <c r="I90" s="44"/>
    </row>
    <row r="91" spans="3:13" s="59" customFormat="1" ht="22.2" customHeight="1">
      <c r="C91" s="450" t="s">
        <v>1208</v>
      </c>
      <c r="D91" s="67"/>
      <c r="E91" s="67"/>
      <c r="F91" s="142"/>
      <c r="G91" s="153"/>
      <c r="H91" s="63">
        <f>SUM(H88:H90)</f>
        <v>47040</v>
      </c>
      <c r="I91" s="154"/>
    </row>
    <row r="92" spans="3:13" s="59" customFormat="1" ht="22.2" customHeight="1">
      <c r="C92" s="61" t="s">
        <v>1209</v>
      </c>
      <c r="D92" s="56" t="s">
        <v>1210</v>
      </c>
      <c r="E92" s="57"/>
      <c r="F92" s="57"/>
      <c r="G92" s="57"/>
      <c r="H92" s="57"/>
      <c r="I92" s="44"/>
    </row>
    <row r="93" spans="3:13" s="59" customFormat="1" ht="22.2" customHeight="1">
      <c r="C93" s="61">
        <v>1</v>
      </c>
      <c r="D93" s="56" t="s">
        <v>8364</v>
      </c>
      <c r="E93" s="93" t="s">
        <v>1300</v>
      </c>
      <c r="F93" s="103">
        <v>1</v>
      </c>
      <c r="G93" s="63">
        <f>VLOOKUP(D93,upahbahan,3,FALSE)</f>
        <v>288000</v>
      </c>
      <c r="H93" s="63">
        <f>F93*G93</f>
        <v>288000</v>
      </c>
      <c r="I93" s="44"/>
    </row>
    <row r="94" spans="3:13" s="59" customFormat="1" ht="22.2" customHeight="1">
      <c r="C94" s="450" t="s">
        <v>1214</v>
      </c>
      <c r="D94" s="67"/>
      <c r="E94" s="67"/>
      <c r="F94" s="67"/>
      <c r="G94" s="69"/>
      <c r="H94" s="63">
        <f>SUM(H93:H93)</f>
        <v>288000</v>
      </c>
      <c r="I94" s="44"/>
    </row>
    <row r="95" spans="3:13" s="59" customFormat="1" ht="22.2" customHeight="1">
      <c r="C95" s="61" t="s">
        <v>1215</v>
      </c>
      <c r="D95" s="56" t="s">
        <v>1216</v>
      </c>
      <c r="E95" s="93"/>
      <c r="F95" s="57"/>
      <c r="G95" s="57"/>
      <c r="H95" s="57"/>
      <c r="I95" s="44"/>
    </row>
    <row r="96" spans="3:13" s="59" customFormat="1" ht="22.2" customHeight="1">
      <c r="C96" s="800">
        <v>1</v>
      </c>
      <c r="D96" s="56" t="s">
        <v>4770</v>
      </c>
      <c r="E96" s="93" t="s">
        <v>4414</v>
      </c>
      <c r="F96" s="94">
        <v>3.4000000000000002E-2</v>
      </c>
      <c r="G96" s="63">
        <f>VLOOKUP(D96,upahbahan,3,FALSE)</f>
        <v>108000</v>
      </c>
      <c r="H96" s="63">
        <f>F96*G96</f>
        <v>3672.0000000000005</v>
      </c>
      <c r="I96" s="44"/>
    </row>
    <row r="97" spans="3:13" s="59" customFormat="1" ht="22.2" customHeight="1">
      <c r="C97" s="450" t="s">
        <v>1217</v>
      </c>
      <c r="D97" s="67"/>
      <c r="E97" s="67"/>
      <c r="F97" s="67"/>
      <c r="G97" s="69"/>
      <c r="H97" s="882">
        <f>SUM(H95:H96)</f>
        <v>3672.0000000000005</v>
      </c>
      <c r="I97" s="44"/>
    </row>
    <row r="98" spans="3:13" s="59" customFormat="1" ht="22.2" customHeight="1">
      <c r="C98" s="288" t="s">
        <v>1218</v>
      </c>
      <c r="D98" s="76" t="s">
        <v>1219</v>
      </c>
      <c r="E98" s="77"/>
      <c r="F98" s="77"/>
      <c r="G98" s="78"/>
      <c r="H98" s="585">
        <f>H97+H94+H91</f>
        <v>338712</v>
      </c>
      <c r="I98" s="369"/>
    </row>
    <row r="99" spans="3:13" s="59" customFormat="1" ht="22.2" customHeight="1">
      <c r="C99" s="288" t="s">
        <v>1220</v>
      </c>
      <c r="D99" s="76" t="s">
        <v>1321</v>
      </c>
      <c r="E99" s="77"/>
      <c r="F99" s="78"/>
      <c r="G99" s="80">
        <v>0.1</v>
      </c>
      <c r="H99" s="63">
        <f>H98*G99</f>
        <v>33871.200000000004</v>
      </c>
      <c r="I99" s="369"/>
    </row>
    <row r="100" spans="3:13" s="59" customFormat="1" ht="22.2" customHeight="1">
      <c r="C100" s="288" t="s">
        <v>1221</v>
      </c>
      <c r="D100" s="76" t="s">
        <v>1222</v>
      </c>
      <c r="E100" s="77"/>
      <c r="F100" s="77"/>
      <c r="G100" s="78"/>
      <c r="H100" s="799">
        <f>SUM(H98:H99)</f>
        <v>372583.2</v>
      </c>
      <c r="I100" s="369"/>
    </row>
    <row r="101" spans="3:13" ht="22.2" customHeight="1"/>
    <row r="102" spans="3:13" s="59" customFormat="1" ht="22.2" customHeight="1">
      <c r="C102" s="46" t="s">
        <v>4769</v>
      </c>
      <c r="D102" s="794" t="s">
        <v>8366</v>
      </c>
      <c r="E102" s="794"/>
      <c r="F102" s="794"/>
      <c r="G102" s="794"/>
      <c r="H102" s="794"/>
      <c r="I102" s="50">
        <f>ROUNDDOWN(H117,-2)</f>
        <v>400600</v>
      </c>
      <c r="J102" s="59" t="s">
        <v>6451</v>
      </c>
      <c r="K102" s="59" t="s">
        <v>8368</v>
      </c>
    </row>
    <row r="103" spans="3:13" s="59" customFormat="1" ht="22.2" customHeight="1">
      <c r="C103" s="591" t="s">
        <v>1195</v>
      </c>
      <c r="D103" s="591" t="s">
        <v>1196</v>
      </c>
      <c r="E103" s="591" t="s">
        <v>1197</v>
      </c>
      <c r="F103" s="591" t="s">
        <v>1198</v>
      </c>
      <c r="G103" s="591" t="s">
        <v>1199</v>
      </c>
      <c r="H103" s="591" t="s">
        <v>1200</v>
      </c>
      <c r="I103" s="44"/>
    </row>
    <row r="104" spans="3:13" s="59" customFormat="1" ht="22.2" customHeight="1">
      <c r="C104" s="61" t="s">
        <v>1201</v>
      </c>
      <c r="D104" s="56" t="s">
        <v>1202</v>
      </c>
      <c r="E104" s="57"/>
      <c r="F104" s="57"/>
      <c r="G104" s="57"/>
      <c r="H104" s="57"/>
      <c r="I104" s="44"/>
      <c r="J104" s="152" t="s">
        <v>1247</v>
      </c>
    </row>
    <row r="105" spans="3:13" s="59" customFormat="1" ht="22.2" customHeight="1">
      <c r="C105" s="588">
        <v>1</v>
      </c>
      <c r="D105" s="56" t="s">
        <v>5</v>
      </c>
      <c r="E105" s="577" t="s">
        <v>6</v>
      </c>
      <c r="F105" s="101">
        <v>0.29399999999999998</v>
      </c>
      <c r="G105" s="63">
        <f>VLOOKUP(D105,upahbahan,3,FALSE)</f>
        <v>100000</v>
      </c>
      <c r="H105" s="63">
        <f>F105*G105</f>
        <v>29400</v>
      </c>
      <c r="I105" s="44"/>
      <c r="J105" s="152" t="s">
        <v>1248</v>
      </c>
      <c r="M105" s="65">
        <v>0.1</v>
      </c>
    </row>
    <row r="106" spans="3:13" s="59" customFormat="1" ht="22.2" customHeight="1">
      <c r="C106" s="588">
        <v>2</v>
      </c>
      <c r="D106" s="56" t="s">
        <v>10</v>
      </c>
      <c r="E106" s="577" t="s">
        <v>6</v>
      </c>
      <c r="F106" s="101">
        <v>0.14699999999999999</v>
      </c>
      <c r="G106" s="63">
        <f>VLOOKUP(D106,upahbahan,3,FALSE)</f>
        <v>135000</v>
      </c>
      <c r="H106" s="63">
        <f t="shared" ref="H106:H107" si="6">F106*G106</f>
        <v>19845</v>
      </c>
      <c r="I106" s="44"/>
      <c r="J106" s="152"/>
      <c r="M106" s="65"/>
    </row>
    <row r="107" spans="3:13" s="59" customFormat="1" ht="22.2" customHeight="1">
      <c r="C107" s="588">
        <v>3</v>
      </c>
      <c r="D107" s="56" t="s">
        <v>19</v>
      </c>
      <c r="E107" s="577" t="s">
        <v>6</v>
      </c>
      <c r="F107" s="101">
        <v>2.9000000000000001E-2</v>
      </c>
      <c r="G107" s="63">
        <f>VLOOKUP(D107,upahbahan,3,FALSE)</f>
        <v>160000</v>
      </c>
      <c r="H107" s="63">
        <f t="shared" si="6"/>
        <v>4640</v>
      </c>
      <c r="I107" s="44"/>
    </row>
    <row r="108" spans="3:13" s="59" customFormat="1" ht="22.2" customHeight="1">
      <c r="C108" s="450" t="s">
        <v>1208</v>
      </c>
      <c r="D108" s="67"/>
      <c r="E108" s="67"/>
      <c r="F108" s="142"/>
      <c r="G108" s="153"/>
      <c r="H108" s="63">
        <f>SUM(H105:H107)</f>
        <v>53885</v>
      </c>
      <c r="I108" s="154"/>
    </row>
    <row r="109" spans="3:13" s="59" customFormat="1" ht="22.2" customHeight="1">
      <c r="C109" s="61" t="s">
        <v>1209</v>
      </c>
      <c r="D109" s="56" t="s">
        <v>1210</v>
      </c>
      <c r="E109" s="57"/>
      <c r="F109" s="57"/>
      <c r="G109" s="57"/>
      <c r="H109" s="57"/>
      <c r="I109" s="44"/>
    </row>
    <row r="110" spans="3:13" s="59" customFormat="1" ht="22.2" customHeight="1">
      <c r="C110" s="61">
        <v>1</v>
      </c>
      <c r="D110" s="56" t="s">
        <v>8367</v>
      </c>
      <c r="E110" s="93" t="s">
        <v>1300</v>
      </c>
      <c r="F110" s="103">
        <v>1</v>
      </c>
      <c r="G110" s="63">
        <f>VLOOKUP(D110,upahbahan,3,FALSE)</f>
        <v>306000</v>
      </c>
      <c r="H110" s="63">
        <f>F110*G110</f>
        <v>306000</v>
      </c>
      <c r="I110" s="44"/>
    </row>
    <row r="111" spans="3:13" s="59" customFormat="1" ht="22.2" customHeight="1">
      <c r="C111" s="450" t="s">
        <v>1214</v>
      </c>
      <c r="D111" s="67"/>
      <c r="E111" s="67"/>
      <c r="F111" s="67"/>
      <c r="G111" s="69"/>
      <c r="H111" s="63">
        <f>SUM(H110:H110)</f>
        <v>306000</v>
      </c>
      <c r="I111" s="44"/>
    </row>
    <row r="112" spans="3:13" s="59" customFormat="1" ht="22.2" customHeight="1">
      <c r="C112" s="61" t="s">
        <v>1215</v>
      </c>
      <c r="D112" s="56" t="s">
        <v>1216</v>
      </c>
      <c r="E112" s="93"/>
      <c r="F112" s="57"/>
      <c r="G112" s="57"/>
      <c r="H112" s="57"/>
      <c r="I112" s="44"/>
    </row>
    <row r="113" spans="3:13" s="59" customFormat="1" ht="22.2" customHeight="1">
      <c r="C113" s="800">
        <v>1</v>
      </c>
      <c r="D113" s="56" t="s">
        <v>4770</v>
      </c>
      <c r="E113" s="93" t="s">
        <v>4414</v>
      </c>
      <c r="F113" s="104">
        <v>0.04</v>
      </c>
      <c r="G113" s="63">
        <f>VLOOKUP(D113,upahbahan,3,FALSE)</f>
        <v>108000</v>
      </c>
      <c r="H113" s="63">
        <f>F113*G113</f>
        <v>4320</v>
      </c>
      <c r="I113" s="44"/>
    </row>
    <row r="114" spans="3:13" s="59" customFormat="1" ht="22.2" customHeight="1">
      <c r="C114" s="450" t="s">
        <v>1217</v>
      </c>
      <c r="D114" s="67"/>
      <c r="E114" s="67"/>
      <c r="F114" s="67"/>
      <c r="G114" s="69"/>
      <c r="H114" s="882">
        <f>SUM(H112:H113)</f>
        <v>4320</v>
      </c>
      <c r="I114" s="44"/>
    </row>
    <row r="115" spans="3:13" s="59" customFormat="1" ht="22.2" customHeight="1">
      <c r="C115" s="288" t="s">
        <v>1218</v>
      </c>
      <c r="D115" s="76" t="s">
        <v>1219</v>
      </c>
      <c r="E115" s="77"/>
      <c r="F115" s="77"/>
      <c r="G115" s="78"/>
      <c r="H115" s="585">
        <f>H114+H111+H108</f>
        <v>364205</v>
      </c>
      <c r="I115" s="369"/>
    </row>
    <row r="116" spans="3:13" s="59" customFormat="1" ht="22.2" customHeight="1">
      <c r="C116" s="288" t="s">
        <v>1220</v>
      </c>
      <c r="D116" s="76" t="s">
        <v>1321</v>
      </c>
      <c r="E116" s="77"/>
      <c r="F116" s="78"/>
      <c r="G116" s="80">
        <v>0.1</v>
      </c>
      <c r="H116" s="63">
        <f>H115*G116</f>
        <v>36420.5</v>
      </c>
      <c r="I116" s="369"/>
    </row>
    <row r="117" spans="3:13" s="59" customFormat="1" ht="22.2" customHeight="1">
      <c r="C117" s="288" t="s">
        <v>1221</v>
      </c>
      <c r="D117" s="76" t="s">
        <v>1222</v>
      </c>
      <c r="E117" s="77"/>
      <c r="F117" s="77"/>
      <c r="G117" s="78"/>
      <c r="H117" s="799">
        <f>SUM(H115:H116)</f>
        <v>400625.5</v>
      </c>
      <c r="I117" s="369"/>
    </row>
    <row r="118" spans="3:13" ht="22.2" customHeight="1"/>
    <row r="119" spans="3:13" s="59" customFormat="1" ht="22.2" customHeight="1">
      <c r="C119" s="46" t="s">
        <v>4771</v>
      </c>
      <c r="D119" s="794" t="s">
        <v>8369</v>
      </c>
      <c r="E119" s="794"/>
      <c r="F119" s="794"/>
      <c r="G119" s="794"/>
      <c r="H119" s="794"/>
      <c r="I119" s="50">
        <f>ROUNDDOWN(H134,-2)</f>
        <v>453500</v>
      </c>
      <c r="J119" s="59" t="s">
        <v>6451</v>
      </c>
      <c r="K119" s="59" t="s">
        <v>8371</v>
      </c>
    </row>
    <row r="120" spans="3:13" s="59" customFormat="1" ht="22.2" customHeight="1">
      <c r="C120" s="591" t="s">
        <v>1195</v>
      </c>
      <c r="D120" s="591" t="s">
        <v>1196</v>
      </c>
      <c r="E120" s="591" t="s">
        <v>1197</v>
      </c>
      <c r="F120" s="591" t="s">
        <v>1198</v>
      </c>
      <c r="G120" s="591" t="s">
        <v>1199</v>
      </c>
      <c r="H120" s="591" t="s">
        <v>1200</v>
      </c>
      <c r="I120" s="44"/>
    </row>
    <row r="121" spans="3:13" s="59" customFormat="1" ht="22.2" customHeight="1">
      <c r="C121" s="61" t="s">
        <v>1201</v>
      </c>
      <c r="D121" s="56" t="s">
        <v>1202</v>
      </c>
      <c r="E121" s="57"/>
      <c r="F121" s="57"/>
      <c r="G121" s="57"/>
      <c r="H121" s="57"/>
      <c r="I121" s="44"/>
      <c r="J121" s="152" t="s">
        <v>1247</v>
      </c>
    </row>
    <row r="122" spans="3:13" s="59" customFormat="1" ht="22.2" customHeight="1">
      <c r="C122" s="588">
        <v>1</v>
      </c>
      <c r="D122" s="56" t="s">
        <v>5</v>
      </c>
      <c r="E122" s="577" t="s">
        <v>6</v>
      </c>
      <c r="F122" s="101">
        <v>0.54400000000000004</v>
      </c>
      <c r="G122" s="63">
        <f>VLOOKUP(D122,upahbahan,3,FALSE)</f>
        <v>100000</v>
      </c>
      <c r="H122" s="63">
        <f>F122*G122</f>
        <v>54400.000000000007</v>
      </c>
      <c r="I122" s="44"/>
      <c r="J122" s="152" t="s">
        <v>1248</v>
      </c>
      <c r="M122" s="65">
        <v>0.1</v>
      </c>
    </row>
    <row r="123" spans="3:13" s="59" customFormat="1" ht="22.2" customHeight="1">
      <c r="C123" s="588">
        <v>2</v>
      </c>
      <c r="D123" s="56" t="s">
        <v>10</v>
      </c>
      <c r="E123" s="577" t="s">
        <v>6</v>
      </c>
      <c r="F123" s="101">
        <v>2.7199999999999998E-2</v>
      </c>
      <c r="G123" s="63">
        <f>VLOOKUP(D123,upahbahan,3,FALSE)</f>
        <v>135000</v>
      </c>
      <c r="H123" s="63">
        <f t="shared" ref="H123:H124" si="7">F123*G123</f>
        <v>3672</v>
      </c>
      <c r="I123" s="44"/>
      <c r="J123" s="152"/>
      <c r="M123" s="65"/>
    </row>
    <row r="124" spans="3:13" s="59" customFormat="1" ht="22.2" customHeight="1">
      <c r="C124" s="588">
        <v>3</v>
      </c>
      <c r="D124" s="56" t="s">
        <v>19</v>
      </c>
      <c r="E124" s="577" t="s">
        <v>6</v>
      </c>
      <c r="F124" s="101">
        <v>5.3999999999999999E-2</v>
      </c>
      <c r="G124" s="63">
        <f>VLOOKUP(D124,upahbahan,3,FALSE)</f>
        <v>160000</v>
      </c>
      <c r="H124" s="63">
        <f t="shared" si="7"/>
        <v>8640</v>
      </c>
      <c r="I124" s="44"/>
    </row>
    <row r="125" spans="3:13" s="59" customFormat="1" ht="22.2" customHeight="1">
      <c r="C125" s="450" t="s">
        <v>1208</v>
      </c>
      <c r="D125" s="67"/>
      <c r="E125" s="67"/>
      <c r="F125" s="142"/>
      <c r="G125" s="153"/>
      <c r="H125" s="63">
        <f>SUM(H122:H124)</f>
        <v>66712</v>
      </c>
      <c r="I125" s="154"/>
    </row>
    <row r="126" spans="3:13" s="59" customFormat="1" ht="22.2" customHeight="1">
      <c r="C126" s="61" t="s">
        <v>1209</v>
      </c>
      <c r="D126" s="56" t="s">
        <v>1210</v>
      </c>
      <c r="E126" s="57"/>
      <c r="F126" s="57"/>
      <c r="G126" s="57"/>
      <c r="H126" s="57"/>
      <c r="I126" s="44"/>
    </row>
    <row r="127" spans="3:13" s="59" customFormat="1" ht="22.2" customHeight="1">
      <c r="C127" s="61">
        <v>1</v>
      </c>
      <c r="D127" s="56" t="s">
        <v>8370</v>
      </c>
      <c r="E127" s="93" t="s">
        <v>1300</v>
      </c>
      <c r="F127" s="103">
        <v>1</v>
      </c>
      <c r="G127" s="63">
        <f>VLOOKUP(D127,upahbahan,3,FALSE)</f>
        <v>337000</v>
      </c>
      <c r="H127" s="63">
        <f>F127*G127</f>
        <v>337000</v>
      </c>
      <c r="I127" s="44"/>
    </row>
    <row r="128" spans="3:13" s="59" customFormat="1" ht="22.2" customHeight="1">
      <c r="C128" s="450" t="s">
        <v>1214</v>
      </c>
      <c r="D128" s="67"/>
      <c r="E128" s="67"/>
      <c r="F128" s="67"/>
      <c r="G128" s="69"/>
      <c r="H128" s="63">
        <f>SUM(H127:H127)</f>
        <v>337000</v>
      </c>
      <c r="I128" s="44"/>
    </row>
    <row r="129" spans="3:13" s="59" customFormat="1" ht="22.2" customHeight="1">
      <c r="C129" s="61" t="s">
        <v>1215</v>
      </c>
      <c r="D129" s="56" t="s">
        <v>1216</v>
      </c>
      <c r="E129" s="93"/>
      <c r="F129" s="57"/>
      <c r="G129" s="57"/>
      <c r="H129" s="57"/>
      <c r="I129" s="44"/>
    </row>
    <row r="130" spans="3:13" s="59" customFormat="1" ht="22.2" customHeight="1">
      <c r="C130" s="800">
        <v>1</v>
      </c>
      <c r="D130" s="56" t="s">
        <v>4770</v>
      </c>
      <c r="E130" s="93" t="s">
        <v>4414</v>
      </c>
      <c r="F130" s="104">
        <v>0.08</v>
      </c>
      <c r="G130" s="63">
        <f>VLOOKUP(D130,upahbahan,3,FALSE)</f>
        <v>108000</v>
      </c>
      <c r="H130" s="63">
        <f>F130*G130</f>
        <v>8640</v>
      </c>
      <c r="I130" s="44"/>
    </row>
    <row r="131" spans="3:13" s="59" customFormat="1" ht="22.2" customHeight="1">
      <c r="C131" s="450" t="s">
        <v>1217</v>
      </c>
      <c r="D131" s="67"/>
      <c r="E131" s="67"/>
      <c r="F131" s="67"/>
      <c r="G131" s="69"/>
      <c r="H131" s="882">
        <f>SUM(H129:H130)</f>
        <v>8640</v>
      </c>
      <c r="I131" s="44"/>
    </row>
    <row r="132" spans="3:13" s="59" customFormat="1" ht="22.2" customHeight="1">
      <c r="C132" s="288" t="s">
        <v>1218</v>
      </c>
      <c r="D132" s="76" t="s">
        <v>1219</v>
      </c>
      <c r="E132" s="77"/>
      <c r="F132" s="77"/>
      <c r="G132" s="78"/>
      <c r="H132" s="585">
        <f>H131+H128+H125</f>
        <v>412352</v>
      </c>
      <c r="I132" s="369"/>
    </row>
    <row r="133" spans="3:13" s="59" customFormat="1" ht="22.2" customHeight="1">
      <c r="C133" s="288" t="s">
        <v>1220</v>
      </c>
      <c r="D133" s="76" t="s">
        <v>1321</v>
      </c>
      <c r="E133" s="77"/>
      <c r="F133" s="78"/>
      <c r="G133" s="80">
        <v>0.1</v>
      </c>
      <c r="H133" s="63">
        <f>H132*G133</f>
        <v>41235.200000000004</v>
      </c>
      <c r="I133" s="369"/>
    </row>
    <row r="134" spans="3:13" s="59" customFormat="1" ht="22.2" customHeight="1">
      <c r="C134" s="288" t="s">
        <v>1221</v>
      </c>
      <c r="D134" s="76" t="s">
        <v>1222</v>
      </c>
      <c r="E134" s="77"/>
      <c r="F134" s="77"/>
      <c r="G134" s="78"/>
      <c r="H134" s="799">
        <f>SUM(H132:H133)</f>
        <v>453587.20000000001</v>
      </c>
      <c r="I134" s="369"/>
    </row>
    <row r="135" spans="3:13" ht="22.2" customHeight="1"/>
    <row r="136" spans="3:13" s="59" customFormat="1" ht="22.2" customHeight="1">
      <c r="C136" s="46" t="s">
        <v>4772</v>
      </c>
      <c r="D136" s="794" t="s">
        <v>8372</v>
      </c>
      <c r="E136" s="794"/>
      <c r="F136" s="794"/>
      <c r="G136" s="794"/>
      <c r="H136" s="794"/>
      <c r="I136" s="50">
        <f>ROUNDDOWN(H151,-2)</f>
        <v>552900</v>
      </c>
      <c r="J136" s="59" t="s">
        <v>6451</v>
      </c>
      <c r="K136" s="59" t="s">
        <v>8374</v>
      </c>
    </row>
    <row r="137" spans="3:13" s="59" customFormat="1" ht="22.2" customHeight="1">
      <c r="C137" s="591" t="s">
        <v>1195</v>
      </c>
      <c r="D137" s="591" t="s">
        <v>1196</v>
      </c>
      <c r="E137" s="591" t="s">
        <v>1197</v>
      </c>
      <c r="F137" s="591" t="s">
        <v>1198</v>
      </c>
      <c r="G137" s="591" t="s">
        <v>1199</v>
      </c>
      <c r="H137" s="591" t="s">
        <v>1200</v>
      </c>
      <c r="I137" s="44"/>
    </row>
    <row r="138" spans="3:13" s="59" customFormat="1" ht="22.2" customHeight="1">
      <c r="C138" s="61" t="s">
        <v>1201</v>
      </c>
      <c r="D138" s="56" t="s">
        <v>1202</v>
      </c>
      <c r="E138" s="57"/>
      <c r="F138" s="57"/>
      <c r="G138" s="57"/>
      <c r="H138" s="57"/>
      <c r="I138" s="44"/>
      <c r="J138" s="152" t="s">
        <v>1247</v>
      </c>
    </row>
    <row r="139" spans="3:13" s="59" customFormat="1" ht="22.2" customHeight="1">
      <c r="C139" s="588">
        <v>1</v>
      </c>
      <c r="D139" s="56" t="s">
        <v>5</v>
      </c>
      <c r="E139" s="577" t="s">
        <v>6</v>
      </c>
      <c r="F139" s="101">
        <v>0.66900000000000004</v>
      </c>
      <c r="G139" s="63">
        <f>VLOOKUP(D139,upahbahan,3,FALSE)</f>
        <v>100000</v>
      </c>
      <c r="H139" s="63">
        <f>F139*G139</f>
        <v>66900</v>
      </c>
      <c r="I139" s="44"/>
      <c r="J139" s="152" t="s">
        <v>1248</v>
      </c>
      <c r="M139" s="65">
        <v>0.1</v>
      </c>
    </row>
    <row r="140" spans="3:13" s="59" customFormat="1" ht="22.2" customHeight="1">
      <c r="C140" s="588">
        <v>2</v>
      </c>
      <c r="D140" s="56" t="s">
        <v>10</v>
      </c>
      <c r="E140" s="577" t="s">
        <v>6</v>
      </c>
      <c r="F140" s="101">
        <v>0.33500000000000002</v>
      </c>
      <c r="G140" s="63">
        <f>VLOOKUP(D140,upahbahan,3,FALSE)</f>
        <v>135000</v>
      </c>
      <c r="H140" s="63">
        <f t="shared" ref="H140:H141" si="8">F140*G140</f>
        <v>45225</v>
      </c>
      <c r="I140" s="44"/>
      <c r="J140" s="152"/>
      <c r="M140" s="65"/>
    </row>
    <row r="141" spans="3:13" s="59" customFormat="1" ht="22.2" customHeight="1">
      <c r="C141" s="588">
        <v>3</v>
      </c>
      <c r="D141" s="56" t="s">
        <v>19</v>
      </c>
      <c r="E141" s="577" t="s">
        <v>6</v>
      </c>
      <c r="F141" s="101">
        <v>6.7000000000000004E-2</v>
      </c>
      <c r="G141" s="63">
        <f>VLOOKUP(D141,upahbahan,3,FALSE)</f>
        <v>160000</v>
      </c>
      <c r="H141" s="63">
        <f t="shared" si="8"/>
        <v>10720</v>
      </c>
      <c r="I141" s="44"/>
    </row>
    <row r="142" spans="3:13" s="59" customFormat="1" ht="22.2" customHeight="1">
      <c r="C142" s="450" t="s">
        <v>1208</v>
      </c>
      <c r="D142" s="67"/>
      <c r="E142" s="67"/>
      <c r="F142" s="142"/>
      <c r="G142" s="153"/>
      <c r="H142" s="63">
        <f>SUM(H139:H141)</f>
        <v>122845</v>
      </c>
      <c r="I142" s="154"/>
    </row>
    <row r="143" spans="3:13" s="59" customFormat="1" ht="22.2" customHeight="1">
      <c r="C143" s="61" t="s">
        <v>1209</v>
      </c>
      <c r="D143" s="56" t="s">
        <v>1210</v>
      </c>
      <c r="E143" s="57"/>
      <c r="F143" s="57"/>
      <c r="G143" s="57"/>
      <c r="H143" s="57"/>
      <c r="I143" s="44"/>
    </row>
    <row r="144" spans="3:13" s="59" customFormat="1" ht="22.2" customHeight="1">
      <c r="C144" s="61">
        <v>1</v>
      </c>
      <c r="D144" s="56" t="s">
        <v>8373</v>
      </c>
      <c r="E144" s="93" t="s">
        <v>1300</v>
      </c>
      <c r="F144" s="103">
        <v>1</v>
      </c>
      <c r="G144" s="63">
        <f>VLOOKUP(D144,upahbahan,3,FALSE)</f>
        <v>369000</v>
      </c>
      <c r="H144" s="63">
        <f>F144*G144</f>
        <v>369000</v>
      </c>
      <c r="I144" s="44"/>
    </row>
    <row r="145" spans="3:13" s="59" customFormat="1" ht="22.2" customHeight="1">
      <c r="C145" s="450" t="s">
        <v>1214</v>
      </c>
      <c r="D145" s="67"/>
      <c r="E145" s="67"/>
      <c r="F145" s="67"/>
      <c r="G145" s="69"/>
      <c r="H145" s="63">
        <f>SUM(H144:H144)</f>
        <v>369000</v>
      </c>
      <c r="I145" s="44"/>
    </row>
    <row r="146" spans="3:13" s="59" customFormat="1" ht="22.2" customHeight="1">
      <c r="C146" s="61" t="s">
        <v>1215</v>
      </c>
      <c r="D146" s="56" t="s">
        <v>1216</v>
      </c>
      <c r="E146" s="93"/>
      <c r="F146" s="57"/>
      <c r="G146" s="57"/>
      <c r="H146" s="57"/>
      <c r="I146" s="44"/>
    </row>
    <row r="147" spans="3:13" s="59" customFormat="1" ht="22.2" customHeight="1">
      <c r="C147" s="800">
        <v>1</v>
      </c>
      <c r="D147" s="56" t="s">
        <v>4770</v>
      </c>
      <c r="E147" s="93" t="s">
        <v>4414</v>
      </c>
      <c r="F147" s="104">
        <v>0.1</v>
      </c>
      <c r="G147" s="63">
        <f>VLOOKUP(D147,upahbahan,3,FALSE)</f>
        <v>108000</v>
      </c>
      <c r="H147" s="63">
        <f>F147*G147</f>
        <v>10800</v>
      </c>
      <c r="I147" s="44"/>
    </row>
    <row r="148" spans="3:13" s="59" customFormat="1" ht="22.2" customHeight="1">
      <c r="C148" s="450" t="s">
        <v>1217</v>
      </c>
      <c r="D148" s="67"/>
      <c r="E148" s="67"/>
      <c r="F148" s="67"/>
      <c r="G148" s="69"/>
      <c r="H148" s="882">
        <f>SUM(H146:H147)</f>
        <v>10800</v>
      </c>
      <c r="I148" s="44"/>
    </row>
    <row r="149" spans="3:13" s="59" customFormat="1" ht="22.2" customHeight="1">
      <c r="C149" s="288" t="s">
        <v>1218</v>
      </c>
      <c r="D149" s="76" t="s">
        <v>1219</v>
      </c>
      <c r="E149" s="77"/>
      <c r="F149" s="77"/>
      <c r="G149" s="78"/>
      <c r="H149" s="585">
        <f>H148+H145+H142</f>
        <v>502645</v>
      </c>
      <c r="I149" s="369"/>
    </row>
    <row r="150" spans="3:13" s="59" customFormat="1" ht="22.2" customHeight="1">
      <c r="C150" s="288" t="s">
        <v>1220</v>
      </c>
      <c r="D150" s="76" t="s">
        <v>1321</v>
      </c>
      <c r="E150" s="77"/>
      <c r="F150" s="78"/>
      <c r="G150" s="80">
        <v>0.1</v>
      </c>
      <c r="H150" s="63">
        <f>H149*G150</f>
        <v>50264.5</v>
      </c>
      <c r="I150" s="369"/>
    </row>
    <row r="151" spans="3:13" s="59" customFormat="1" ht="22.2" customHeight="1">
      <c r="C151" s="288" t="s">
        <v>1221</v>
      </c>
      <c r="D151" s="76" t="s">
        <v>1222</v>
      </c>
      <c r="E151" s="77"/>
      <c r="F151" s="77"/>
      <c r="G151" s="78"/>
      <c r="H151" s="799">
        <f>SUM(H149:H150)</f>
        <v>552909.5</v>
      </c>
      <c r="I151" s="369"/>
    </row>
    <row r="152" spans="3:13" ht="22.2" customHeight="1"/>
    <row r="153" spans="3:13" ht="22.2" customHeight="1"/>
    <row r="154" spans="3:13" s="59" customFormat="1" ht="22.2" customHeight="1">
      <c r="C154" s="46" t="s">
        <v>4773</v>
      </c>
      <c r="D154" s="794" t="s">
        <v>8375</v>
      </c>
      <c r="E154" s="794"/>
      <c r="F154" s="794"/>
      <c r="G154" s="794"/>
      <c r="H154" s="794"/>
      <c r="I154" s="50">
        <f>ROUNDDOWN(H169,-2)</f>
        <v>616700</v>
      </c>
      <c r="J154" s="59" t="s">
        <v>6451</v>
      </c>
      <c r="K154" s="59" t="s">
        <v>8371</v>
      </c>
    </row>
    <row r="155" spans="3:13" s="59" customFormat="1" ht="22.2" customHeight="1">
      <c r="C155" s="591" t="s">
        <v>1195</v>
      </c>
      <c r="D155" s="591" t="s">
        <v>1196</v>
      </c>
      <c r="E155" s="591" t="s">
        <v>1197</v>
      </c>
      <c r="F155" s="591" t="s">
        <v>1198</v>
      </c>
      <c r="G155" s="591" t="s">
        <v>1199</v>
      </c>
      <c r="H155" s="591" t="s">
        <v>1200</v>
      </c>
      <c r="I155" s="44"/>
    </row>
    <row r="156" spans="3:13" s="59" customFormat="1" ht="22.2" customHeight="1">
      <c r="C156" s="61" t="s">
        <v>1201</v>
      </c>
      <c r="D156" s="56" t="s">
        <v>1202</v>
      </c>
      <c r="E156" s="57"/>
      <c r="F156" s="57"/>
      <c r="G156" s="57"/>
      <c r="H156" s="57"/>
      <c r="I156" s="44"/>
      <c r="J156" s="152" t="s">
        <v>1247</v>
      </c>
    </row>
    <row r="157" spans="3:13" s="59" customFormat="1" ht="22.2" customHeight="1">
      <c r="C157" s="588">
        <v>1</v>
      </c>
      <c r="D157" s="56" t="s">
        <v>5</v>
      </c>
      <c r="E157" s="577" t="s">
        <v>6</v>
      </c>
      <c r="F157" s="101">
        <v>0.80900000000000005</v>
      </c>
      <c r="G157" s="63">
        <f>VLOOKUP(D157,upahbahan,3,FALSE)</f>
        <v>100000</v>
      </c>
      <c r="H157" s="63">
        <f>F157*G157</f>
        <v>80900</v>
      </c>
      <c r="I157" s="44"/>
      <c r="J157" s="152" t="s">
        <v>1248</v>
      </c>
      <c r="M157" s="65">
        <v>0.1</v>
      </c>
    </row>
    <row r="158" spans="3:13" s="59" customFormat="1" ht="22.2" customHeight="1">
      <c r="C158" s="588">
        <v>2</v>
      </c>
      <c r="D158" s="56" t="s">
        <v>10</v>
      </c>
      <c r="E158" s="577" t="s">
        <v>6</v>
      </c>
      <c r="F158" s="101">
        <v>0.40500000000000003</v>
      </c>
      <c r="G158" s="63">
        <f>VLOOKUP(D158,upahbahan,3,FALSE)</f>
        <v>135000</v>
      </c>
      <c r="H158" s="63">
        <f t="shared" ref="H158:H159" si="9">F158*G158</f>
        <v>54675</v>
      </c>
      <c r="I158" s="44"/>
      <c r="J158" s="152"/>
      <c r="M158" s="65"/>
    </row>
    <row r="159" spans="3:13" s="59" customFormat="1" ht="22.2" customHeight="1">
      <c r="C159" s="588">
        <v>3</v>
      </c>
      <c r="D159" s="56" t="s">
        <v>19</v>
      </c>
      <c r="E159" s="577" t="s">
        <v>6</v>
      </c>
      <c r="F159" s="101">
        <v>8.1000000000000003E-2</v>
      </c>
      <c r="G159" s="63">
        <f>VLOOKUP(D159,upahbahan,3,FALSE)</f>
        <v>160000</v>
      </c>
      <c r="H159" s="63">
        <f t="shared" si="9"/>
        <v>12960</v>
      </c>
      <c r="I159" s="44"/>
    </row>
    <row r="160" spans="3:13" s="59" customFormat="1" ht="22.2" customHeight="1">
      <c r="C160" s="450" t="s">
        <v>1208</v>
      </c>
      <c r="D160" s="67"/>
      <c r="E160" s="67"/>
      <c r="F160" s="142"/>
      <c r="G160" s="153"/>
      <c r="H160" s="63">
        <f>SUM(H157:H159)</f>
        <v>148535</v>
      </c>
      <c r="I160" s="154"/>
    </row>
    <row r="161" spans="3:13" s="59" customFormat="1" ht="22.2" customHeight="1">
      <c r="C161" s="61" t="s">
        <v>1209</v>
      </c>
      <c r="D161" s="56" t="s">
        <v>1210</v>
      </c>
      <c r="E161" s="57"/>
      <c r="F161" s="57"/>
      <c r="G161" s="57"/>
      <c r="H161" s="57"/>
      <c r="I161" s="44"/>
    </row>
    <row r="162" spans="3:13" s="59" customFormat="1" ht="22.2" customHeight="1">
      <c r="C162" s="61">
        <v>1</v>
      </c>
      <c r="D162" s="56" t="s">
        <v>8376</v>
      </c>
      <c r="E162" s="93" t="s">
        <v>1300</v>
      </c>
      <c r="F162" s="103">
        <v>1</v>
      </c>
      <c r="G162" s="63">
        <f>VLOOKUP(D162,upahbahan,3,FALSE)</f>
        <v>399000</v>
      </c>
      <c r="H162" s="63">
        <f>F162*G162</f>
        <v>399000</v>
      </c>
      <c r="I162" s="44"/>
    </row>
    <row r="163" spans="3:13" s="59" customFormat="1" ht="22.2" customHeight="1">
      <c r="C163" s="450" t="s">
        <v>1214</v>
      </c>
      <c r="D163" s="67"/>
      <c r="E163" s="67"/>
      <c r="F163" s="67"/>
      <c r="G163" s="69"/>
      <c r="H163" s="63">
        <f>SUM(H162:H162)</f>
        <v>399000</v>
      </c>
      <c r="I163" s="44"/>
    </row>
    <row r="164" spans="3:13" s="59" customFormat="1" ht="22.2" customHeight="1">
      <c r="C164" s="61" t="s">
        <v>1215</v>
      </c>
      <c r="D164" s="56" t="s">
        <v>1216</v>
      </c>
      <c r="E164" s="93"/>
      <c r="F164" s="57"/>
      <c r="G164" s="57"/>
      <c r="H164" s="57"/>
      <c r="I164" s="44"/>
    </row>
    <row r="165" spans="3:13" s="59" customFormat="1" ht="22.2" customHeight="1">
      <c r="C165" s="800">
        <v>1</v>
      </c>
      <c r="D165" s="56" t="s">
        <v>4770</v>
      </c>
      <c r="E165" s="93" t="s">
        <v>4414</v>
      </c>
      <c r="F165" s="104">
        <v>0.122</v>
      </c>
      <c r="G165" s="63">
        <f>VLOOKUP(D165,upahbahan,3,FALSE)</f>
        <v>108000</v>
      </c>
      <c r="H165" s="63">
        <f>F165*G165</f>
        <v>13176</v>
      </c>
      <c r="I165" s="44"/>
    </row>
    <row r="166" spans="3:13" s="59" customFormat="1" ht="22.2" customHeight="1">
      <c r="C166" s="450" t="s">
        <v>1217</v>
      </c>
      <c r="D166" s="67"/>
      <c r="E166" s="67"/>
      <c r="F166" s="67"/>
      <c r="G166" s="69"/>
      <c r="H166" s="882">
        <f>SUM(H164:H165)</f>
        <v>13176</v>
      </c>
      <c r="I166" s="44"/>
    </row>
    <row r="167" spans="3:13" s="59" customFormat="1" ht="22.2" customHeight="1">
      <c r="C167" s="288" t="s">
        <v>1218</v>
      </c>
      <c r="D167" s="76" t="s">
        <v>1219</v>
      </c>
      <c r="E167" s="77"/>
      <c r="F167" s="77"/>
      <c r="G167" s="78"/>
      <c r="H167" s="585">
        <f>H166+H163+H160</f>
        <v>560711</v>
      </c>
      <c r="I167" s="369"/>
    </row>
    <row r="168" spans="3:13" s="59" customFormat="1" ht="22.2" customHeight="1">
      <c r="C168" s="288" t="s">
        <v>1220</v>
      </c>
      <c r="D168" s="76" t="s">
        <v>1321</v>
      </c>
      <c r="E168" s="77"/>
      <c r="F168" s="78"/>
      <c r="G168" s="80">
        <v>0.1</v>
      </c>
      <c r="H168" s="63">
        <f>H167*G168</f>
        <v>56071.100000000006</v>
      </c>
      <c r="I168" s="369"/>
    </row>
    <row r="169" spans="3:13" s="59" customFormat="1" ht="22.2" customHeight="1">
      <c r="C169" s="288" t="s">
        <v>1221</v>
      </c>
      <c r="D169" s="76" t="s">
        <v>1222</v>
      </c>
      <c r="E169" s="77"/>
      <c r="F169" s="77"/>
      <c r="G169" s="78"/>
      <c r="H169" s="799">
        <f>SUM(H167:H168)</f>
        <v>616782.1</v>
      </c>
      <c r="I169" s="369"/>
    </row>
    <row r="170" spans="3:13" ht="22.2" customHeight="1"/>
    <row r="171" spans="3:13" s="59" customFormat="1" ht="22.2" customHeight="1">
      <c r="C171" s="46" t="s">
        <v>4774</v>
      </c>
      <c r="D171" s="794" t="s">
        <v>8377</v>
      </c>
      <c r="E171" s="794"/>
      <c r="F171" s="794"/>
      <c r="G171" s="794"/>
      <c r="H171" s="794"/>
      <c r="I171" s="50">
        <f>ROUNDDOWN(H186,-2)</f>
        <v>679100</v>
      </c>
      <c r="J171" s="59" t="s">
        <v>6451</v>
      </c>
      <c r="K171" s="59" t="s">
        <v>8371</v>
      </c>
    </row>
    <row r="172" spans="3:13" s="59" customFormat="1" ht="22.2" customHeight="1">
      <c r="C172" s="591" t="s">
        <v>1195</v>
      </c>
      <c r="D172" s="591" t="s">
        <v>1196</v>
      </c>
      <c r="E172" s="591" t="s">
        <v>1197</v>
      </c>
      <c r="F172" s="591" t="s">
        <v>1198</v>
      </c>
      <c r="G172" s="591" t="s">
        <v>1199</v>
      </c>
      <c r="H172" s="591" t="s">
        <v>1200</v>
      </c>
      <c r="I172" s="44"/>
    </row>
    <row r="173" spans="3:13" s="59" customFormat="1" ht="22.2" customHeight="1">
      <c r="C173" s="61" t="s">
        <v>1201</v>
      </c>
      <c r="D173" s="56" t="s">
        <v>1202</v>
      </c>
      <c r="E173" s="57"/>
      <c r="F173" s="57"/>
      <c r="G173" s="57"/>
      <c r="H173" s="57"/>
      <c r="I173" s="44"/>
      <c r="J173" s="152" t="s">
        <v>1247</v>
      </c>
    </row>
    <row r="174" spans="3:13" s="59" customFormat="1" ht="22.2" customHeight="1">
      <c r="C174" s="588">
        <v>1</v>
      </c>
      <c r="D174" s="56" t="s">
        <v>5</v>
      </c>
      <c r="E174" s="577" t="s">
        <v>6</v>
      </c>
      <c r="F174" s="101">
        <v>0.95699999999999996</v>
      </c>
      <c r="G174" s="63">
        <f>VLOOKUP(D174,upahbahan,3,FALSE)</f>
        <v>100000</v>
      </c>
      <c r="H174" s="63">
        <f>F174*G174</f>
        <v>95700</v>
      </c>
      <c r="I174" s="44"/>
      <c r="J174" s="152" t="s">
        <v>1248</v>
      </c>
      <c r="M174" s="65">
        <v>0.1</v>
      </c>
    </row>
    <row r="175" spans="3:13" s="59" customFormat="1" ht="22.2" customHeight="1">
      <c r="C175" s="588">
        <v>2</v>
      </c>
      <c r="D175" s="56" t="s">
        <v>10</v>
      </c>
      <c r="E175" s="577" t="s">
        <v>6</v>
      </c>
      <c r="F175" s="101">
        <v>0.47899999999999998</v>
      </c>
      <c r="G175" s="63">
        <f>VLOOKUP(D175,upahbahan,3,FALSE)</f>
        <v>135000</v>
      </c>
      <c r="H175" s="63">
        <f t="shared" ref="H175:H176" si="10">F175*G175</f>
        <v>64665</v>
      </c>
      <c r="I175" s="44"/>
      <c r="J175" s="152"/>
      <c r="M175" s="65"/>
    </row>
    <row r="176" spans="3:13" s="59" customFormat="1" ht="22.2" customHeight="1">
      <c r="C176" s="588">
        <v>3</v>
      </c>
      <c r="D176" s="56" t="s">
        <v>19</v>
      </c>
      <c r="E176" s="577" t="s">
        <v>6</v>
      </c>
      <c r="F176" s="101">
        <v>9.6000000000000002E-2</v>
      </c>
      <c r="G176" s="63">
        <f>VLOOKUP(D176,upahbahan,3,FALSE)</f>
        <v>160000</v>
      </c>
      <c r="H176" s="63">
        <f t="shared" si="10"/>
        <v>15360</v>
      </c>
      <c r="I176" s="44"/>
    </row>
    <row r="177" spans="3:13" s="59" customFormat="1" ht="22.2" customHeight="1">
      <c r="C177" s="450" t="s">
        <v>1208</v>
      </c>
      <c r="D177" s="67"/>
      <c r="E177" s="67"/>
      <c r="F177" s="142"/>
      <c r="G177" s="153"/>
      <c r="H177" s="63">
        <f>SUM(H174:H176)</f>
        <v>175725</v>
      </c>
      <c r="I177" s="154"/>
    </row>
    <row r="178" spans="3:13" s="59" customFormat="1" ht="22.2" customHeight="1">
      <c r="C178" s="61" t="s">
        <v>1209</v>
      </c>
      <c r="D178" s="56" t="s">
        <v>1210</v>
      </c>
      <c r="E178" s="57"/>
      <c r="F178" s="57"/>
      <c r="G178" s="57"/>
      <c r="H178" s="57"/>
      <c r="I178" s="44"/>
    </row>
    <row r="179" spans="3:13" s="59" customFormat="1" ht="22.2" customHeight="1">
      <c r="C179" s="61">
        <v>1</v>
      </c>
      <c r="D179" s="56" t="s">
        <v>8378</v>
      </c>
      <c r="E179" s="93" t="s">
        <v>1300</v>
      </c>
      <c r="F179" s="103">
        <v>1</v>
      </c>
      <c r="G179" s="63">
        <f>VLOOKUP(D179,upahbahan,3,FALSE)</f>
        <v>426000</v>
      </c>
      <c r="H179" s="63">
        <f>F179*G179</f>
        <v>426000</v>
      </c>
      <c r="I179" s="44"/>
    </row>
    <row r="180" spans="3:13" s="59" customFormat="1" ht="22.2" customHeight="1">
      <c r="C180" s="450" t="s">
        <v>1214</v>
      </c>
      <c r="D180" s="67"/>
      <c r="E180" s="67"/>
      <c r="F180" s="67"/>
      <c r="G180" s="69"/>
      <c r="H180" s="63">
        <f>SUM(H179:H179)</f>
        <v>426000</v>
      </c>
      <c r="I180" s="44"/>
    </row>
    <row r="181" spans="3:13" s="59" customFormat="1" ht="22.2" customHeight="1">
      <c r="C181" s="61" t="s">
        <v>1215</v>
      </c>
      <c r="D181" s="56" t="s">
        <v>1216</v>
      </c>
      <c r="E181" s="93"/>
      <c r="F181" s="57"/>
      <c r="G181" s="57"/>
      <c r="H181" s="57"/>
      <c r="I181" s="44"/>
    </row>
    <row r="182" spans="3:13" s="59" customFormat="1" ht="22.2" customHeight="1">
      <c r="C182" s="800">
        <v>1</v>
      </c>
      <c r="D182" s="56" t="s">
        <v>4770</v>
      </c>
      <c r="E182" s="93" t="s">
        <v>4414</v>
      </c>
      <c r="F182" s="104">
        <v>0.14499999999999999</v>
      </c>
      <c r="G182" s="63">
        <f>VLOOKUP(D182,upahbahan,3,FALSE)</f>
        <v>108000</v>
      </c>
      <c r="H182" s="63">
        <f>F182*G182</f>
        <v>15659.999999999998</v>
      </c>
      <c r="I182" s="44"/>
    </row>
    <row r="183" spans="3:13" s="59" customFormat="1" ht="22.2" customHeight="1">
      <c r="C183" s="450" t="s">
        <v>1217</v>
      </c>
      <c r="D183" s="67"/>
      <c r="E183" s="67"/>
      <c r="F183" s="67"/>
      <c r="G183" s="69"/>
      <c r="H183" s="882">
        <f>SUM(H181:H182)</f>
        <v>15659.999999999998</v>
      </c>
      <c r="I183" s="44"/>
    </row>
    <row r="184" spans="3:13" s="59" customFormat="1" ht="22.2" customHeight="1">
      <c r="C184" s="288" t="s">
        <v>1218</v>
      </c>
      <c r="D184" s="76" t="s">
        <v>1219</v>
      </c>
      <c r="E184" s="77"/>
      <c r="F184" s="77"/>
      <c r="G184" s="78"/>
      <c r="H184" s="585">
        <f>H183+H180+H177</f>
        <v>617385</v>
      </c>
      <c r="I184" s="369"/>
    </row>
    <row r="185" spans="3:13" s="59" customFormat="1" ht="22.2" customHeight="1">
      <c r="C185" s="288" t="s">
        <v>1220</v>
      </c>
      <c r="D185" s="76" t="s">
        <v>1321</v>
      </c>
      <c r="E185" s="77"/>
      <c r="F185" s="78"/>
      <c r="G185" s="80">
        <v>0.1</v>
      </c>
      <c r="H185" s="63">
        <f>H184*G185</f>
        <v>61738.5</v>
      </c>
      <c r="I185" s="369"/>
    </row>
    <row r="186" spans="3:13" s="59" customFormat="1" ht="22.2" customHeight="1">
      <c r="C186" s="288" t="s">
        <v>1221</v>
      </c>
      <c r="D186" s="76" t="s">
        <v>1222</v>
      </c>
      <c r="E186" s="77"/>
      <c r="F186" s="77"/>
      <c r="G186" s="78"/>
      <c r="H186" s="799">
        <f>SUM(H184:H185)</f>
        <v>679123.5</v>
      </c>
      <c r="I186" s="369"/>
    </row>
    <row r="187" spans="3:13" ht="22.2" customHeight="1"/>
    <row r="188" spans="3:13" s="59" customFormat="1" ht="22.2" customHeight="1">
      <c r="C188" s="46" t="s">
        <v>4775</v>
      </c>
      <c r="D188" s="794" t="s">
        <v>8379</v>
      </c>
      <c r="E188" s="794"/>
      <c r="F188" s="794"/>
      <c r="G188" s="794"/>
      <c r="H188" s="794"/>
      <c r="I188" s="50">
        <f>ROUNDDOWN(H203,-2)</f>
        <v>893100</v>
      </c>
      <c r="J188" s="59" t="s">
        <v>6451</v>
      </c>
      <c r="K188" s="59" t="s">
        <v>8371</v>
      </c>
    </row>
    <row r="189" spans="3:13" s="59" customFormat="1" ht="22.2" customHeight="1">
      <c r="C189" s="591" t="s">
        <v>1195</v>
      </c>
      <c r="D189" s="591" t="s">
        <v>1196</v>
      </c>
      <c r="E189" s="591" t="s">
        <v>1197</v>
      </c>
      <c r="F189" s="591" t="s">
        <v>1198</v>
      </c>
      <c r="G189" s="591" t="s">
        <v>1199</v>
      </c>
      <c r="H189" s="591" t="s">
        <v>1200</v>
      </c>
      <c r="I189" s="44"/>
    </row>
    <row r="190" spans="3:13" s="59" customFormat="1" ht="22.2" customHeight="1">
      <c r="C190" s="61" t="s">
        <v>1201</v>
      </c>
      <c r="D190" s="56" t="s">
        <v>1202</v>
      </c>
      <c r="E190" s="57"/>
      <c r="F190" s="57"/>
      <c r="G190" s="57"/>
      <c r="H190" s="57"/>
      <c r="I190" s="44"/>
      <c r="J190" s="152" t="s">
        <v>1247</v>
      </c>
    </row>
    <row r="191" spans="3:13" s="59" customFormat="1" ht="22.2" customHeight="1">
      <c r="C191" s="588">
        <v>1</v>
      </c>
      <c r="D191" s="56" t="s">
        <v>5</v>
      </c>
      <c r="E191" s="577" t="s">
        <v>6</v>
      </c>
      <c r="F191" s="101">
        <v>1.6180000000000001</v>
      </c>
      <c r="G191" s="63">
        <f>VLOOKUP(D191,upahbahan,3,FALSE)</f>
        <v>100000</v>
      </c>
      <c r="H191" s="63">
        <f>F191*G191</f>
        <v>161800</v>
      </c>
      <c r="I191" s="44"/>
      <c r="J191" s="152" t="s">
        <v>1248</v>
      </c>
      <c r="M191" s="65">
        <v>0.1</v>
      </c>
    </row>
    <row r="192" spans="3:13" s="59" customFormat="1" ht="22.2" customHeight="1">
      <c r="C192" s="588">
        <v>2</v>
      </c>
      <c r="D192" s="56" t="s">
        <v>10</v>
      </c>
      <c r="E192" s="577" t="s">
        <v>6</v>
      </c>
      <c r="F192" s="101">
        <v>0.80900000000000005</v>
      </c>
      <c r="G192" s="63">
        <f>VLOOKUP(D192,upahbahan,3,FALSE)</f>
        <v>135000</v>
      </c>
      <c r="H192" s="63">
        <f t="shared" ref="H192:H193" si="11">F192*G192</f>
        <v>109215</v>
      </c>
      <c r="I192" s="44"/>
      <c r="J192" s="152"/>
      <c r="M192" s="65"/>
    </row>
    <row r="193" spans="3:13" s="59" customFormat="1" ht="22.2" customHeight="1">
      <c r="C193" s="588">
        <v>3</v>
      </c>
      <c r="D193" s="56" t="s">
        <v>19</v>
      </c>
      <c r="E193" s="577" t="s">
        <v>6</v>
      </c>
      <c r="F193" s="101">
        <v>0.16200000000000001</v>
      </c>
      <c r="G193" s="63">
        <f>VLOOKUP(D193,upahbahan,3,FALSE)</f>
        <v>160000</v>
      </c>
      <c r="H193" s="63">
        <f t="shared" si="11"/>
        <v>25920</v>
      </c>
      <c r="I193" s="44"/>
    </row>
    <row r="194" spans="3:13" s="59" customFormat="1" ht="22.2" customHeight="1">
      <c r="C194" s="450" t="s">
        <v>1208</v>
      </c>
      <c r="D194" s="67"/>
      <c r="E194" s="67"/>
      <c r="F194" s="142"/>
      <c r="G194" s="153"/>
      <c r="H194" s="63">
        <f>SUM(H191:H193)</f>
        <v>296935</v>
      </c>
      <c r="I194" s="154"/>
    </row>
    <row r="195" spans="3:13" s="59" customFormat="1" ht="22.2" customHeight="1">
      <c r="C195" s="61" t="s">
        <v>1209</v>
      </c>
      <c r="D195" s="56" t="s">
        <v>1210</v>
      </c>
      <c r="E195" s="57"/>
      <c r="F195" s="57"/>
      <c r="G195" s="57"/>
      <c r="H195" s="57"/>
      <c r="I195" s="44"/>
    </row>
    <row r="196" spans="3:13" s="59" customFormat="1" ht="22.2" customHeight="1">
      <c r="C196" s="61">
        <v>1</v>
      </c>
      <c r="D196" s="56" t="s">
        <v>8380</v>
      </c>
      <c r="E196" s="93" t="s">
        <v>1300</v>
      </c>
      <c r="F196" s="103">
        <v>1</v>
      </c>
      <c r="G196" s="63">
        <f>VLOOKUP(D196,upahbahan,3,FALSE)</f>
        <v>488000</v>
      </c>
      <c r="H196" s="63">
        <f>F196*G196</f>
        <v>488000</v>
      </c>
      <c r="I196" s="44"/>
    </row>
    <row r="197" spans="3:13" s="59" customFormat="1" ht="22.2" customHeight="1">
      <c r="C197" s="450" t="s">
        <v>1214</v>
      </c>
      <c r="D197" s="67"/>
      <c r="E197" s="67"/>
      <c r="F197" s="67"/>
      <c r="G197" s="69"/>
      <c r="H197" s="63">
        <f>SUM(H196:H196)</f>
        <v>488000</v>
      </c>
      <c r="I197" s="44"/>
    </row>
    <row r="198" spans="3:13" s="59" customFormat="1" ht="22.2" customHeight="1">
      <c r="C198" s="61" t="s">
        <v>1215</v>
      </c>
      <c r="D198" s="56" t="s">
        <v>1216</v>
      </c>
      <c r="E198" s="93"/>
      <c r="F198" s="57"/>
      <c r="G198" s="57"/>
      <c r="H198" s="57"/>
      <c r="I198" s="44"/>
    </row>
    <row r="199" spans="3:13" s="59" customFormat="1" ht="22.2" customHeight="1">
      <c r="C199" s="800">
        <v>1</v>
      </c>
      <c r="D199" s="56" t="s">
        <v>4770</v>
      </c>
      <c r="E199" s="93" t="s">
        <v>4414</v>
      </c>
      <c r="F199" s="104">
        <v>0.25</v>
      </c>
      <c r="G199" s="63">
        <f>VLOOKUP(D199,upahbahan,3,FALSE)</f>
        <v>108000</v>
      </c>
      <c r="H199" s="63">
        <f>F199*G199</f>
        <v>27000</v>
      </c>
      <c r="I199" s="44"/>
    </row>
    <row r="200" spans="3:13" s="59" customFormat="1" ht="22.2" customHeight="1">
      <c r="C200" s="450" t="s">
        <v>1217</v>
      </c>
      <c r="D200" s="67"/>
      <c r="E200" s="67"/>
      <c r="F200" s="67"/>
      <c r="G200" s="69"/>
      <c r="H200" s="882">
        <f>SUM(H198:H199)</f>
        <v>27000</v>
      </c>
      <c r="I200" s="44"/>
    </row>
    <row r="201" spans="3:13" s="59" customFormat="1" ht="22.2" customHeight="1">
      <c r="C201" s="288" t="s">
        <v>1218</v>
      </c>
      <c r="D201" s="76" t="s">
        <v>1219</v>
      </c>
      <c r="E201" s="77"/>
      <c r="F201" s="77"/>
      <c r="G201" s="78"/>
      <c r="H201" s="585">
        <f>H200+H197+H194</f>
        <v>811935</v>
      </c>
      <c r="I201" s="369"/>
    </row>
    <row r="202" spans="3:13" s="59" customFormat="1" ht="22.2" customHeight="1">
      <c r="C202" s="288" t="s">
        <v>1220</v>
      </c>
      <c r="D202" s="76" t="s">
        <v>1321</v>
      </c>
      <c r="E202" s="77"/>
      <c r="F202" s="78"/>
      <c r="G202" s="80">
        <v>0.1</v>
      </c>
      <c r="H202" s="63">
        <f>H201*G202</f>
        <v>81193.5</v>
      </c>
      <c r="I202" s="369"/>
    </row>
    <row r="203" spans="3:13" s="59" customFormat="1" ht="22.2" customHeight="1">
      <c r="C203" s="288" t="s">
        <v>1221</v>
      </c>
      <c r="D203" s="76" t="s">
        <v>1222</v>
      </c>
      <c r="E203" s="77"/>
      <c r="F203" s="77"/>
      <c r="G203" s="78"/>
      <c r="H203" s="799">
        <f>SUM(H201:H202)</f>
        <v>893128.5</v>
      </c>
      <c r="I203" s="369"/>
    </row>
    <row r="204" spans="3:13" ht="22.2" customHeight="1"/>
    <row r="205" spans="3:13" s="59" customFormat="1" ht="22.2" customHeight="1">
      <c r="C205" s="46" t="s">
        <v>4776</v>
      </c>
      <c r="D205" s="794" t="s">
        <v>8381</v>
      </c>
      <c r="E205" s="794"/>
      <c r="F205" s="794"/>
      <c r="G205" s="794"/>
      <c r="H205" s="794"/>
      <c r="I205" s="50">
        <f>ROUNDDOWN(H220,-2)</f>
        <v>940100</v>
      </c>
      <c r="J205" s="59" t="s">
        <v>6451</v>
      </c>
      <c r="K205" s="59" t="s">
        <v>8371</v>
      </c>
    </row>
    <row r="206" spans="3:13" s="59" customFormat="1" ht="22.2" customHeight="1">
      <c r="C206" s="591" t="s">
        <v>1195</v>
      </c>
      <c r="D206" s="591" t="s">
        <v>1196</v>
      </c>
      <c r="E206" s="591" t="s">
        <v>1197</v>
      </c>
      <c r="F206" s="591" t="s">
        <v>1198</v>
      </c>
      <c r="G206" s="591" t="s">
        <v>1199</v>
      </c>
      <c r="H206" s="591" t="s">
        <v>1200</v>
      </c>
      <c r="I206" s="44"/>
    </row>
    <row r="207" spans="3:13" s="59" customFormat="1" ht="22.2" customHeight="1">
      <c r="C207" s="61" t="s">
        <v>1201</v>
      </c>
      <c r="D207" s="56" t="s">
        <v>1202</v>
      </c>
      <c r="E207" s="57"/>
      <c r="F207" s="57"/>
      <c r="G207" s="57"/>
      <c r="H207" s="57"/>
      <c r="I207" s="44"/>
      <c r="J207" s="152" t="s">
        <v>1247</v>
      </c>
    </row>
    <row r="208" spans="3:13" s="59" customFormat="1" ht="22.2" customHeight="1">
      <c r="C208" s="588">
        <v>1</v>
      </c>
      <c r="D208" s="56" t="s">
        <v>5</v>
      </c>
      <c r="E208" s="577" t="s">
        <v>6</v>
      </c>
      <c r="F208" s="101">
        <v>1.6910000000000001</v>
      </c>
      <c r="G208" s="63">
        <f>VLOOKUP(D208,upahbahan,3,FALSE)</f>
        <v>100000</v>
      </c>
      <c r="H208" s="63">
        <f>F208*G208</f>
        <v>169100</v>
      </c>
      <c r="I208" s="44"/>
      <c r="J208" s="152" t="s">
        <v>1248</v>
      </c>
      <c r="M208" s="65">
        <v>0.1</v>
      </c>
    </row>
    <row r="209" spans="3:13" s="59" customFormat="1" ht="22.2" customHeight="1">
      <c r="C209" s="588">
        <v>2</v>
      </c>
      <c r="D209" s="56" t="s">
        <v>10</v>
      </c>
      <c r="E209" s="577" t="s">
        <v>6</v>
      </c>
      <c r="F209" s="101">
        <v>0.84599999999999997</v>
      </c>
      <c r="G209" s="63">
        <f>VLOOKUP(D209,upahbahan,3,FALSE)</f>
        <v>135000</v>
      </c>
      <c r="H209" s="63">
        <f t="shared" ref="H209:H210" si="12">F209*G209</f>
        <v>114210</v>
      </c>
      <c r="I209" s="44"/>
      <c r="J209" s="152"/>
      <c r="M209" s="65"/>
    </row>
    <row r="210" spans="3:13" s="59" customFormat="1" ht="22.2" customHeight="1">
      <c r="C210" s="588">
        <v>3</v>
      </c>
      <c r="D210" s="56" t="s">
        <v>19</v>
      </c>
      <c r="E210" s="577" t="s">
        <v>6</v>
      </c>
      <c r="F210" s="101">
        <v>0.16900000000000001</v>
      </c>
      <c r="G210" s="63">
        <f>VLOOKUP(D210,upahbahan,3,FALSE)</f>
        <v>160000</v>
      </c>
      <c r="H210" s="63">
        <f t="shared" si="12"/>
        <v>27040</v>
      </c>
      <c r="I210" s="44"/>
    </row>
    <row r="211" spans="3:13" s="59" customFormat="1" ht="22.2" customHeight="1">
      <c r="C211" s="450" t="s">
        <v>1208</v>
      </c>
      <c r="D211" s="67"/>
      <c r="E211" s="67"/>
      <c r="F211" s="142"/>
      <c r="G211" s="153"/>
      <c r="H211" s="63">
        <f>SUM(H208:H210)</f>
        <v>310350</v>
      </c>
      <c r="I211" s="154"/>
    </row>
    <row r="212" spans="3:13" s="59" customFormat="1" ht="22.2" customHeight="1">
      <c r="C212" s="61" t="s">
        <v>1209</v>
      </c>
      <c r="D212" s="56" t="s">
        <v>1210</v>
      </c>
      <c r="E212" s="57"/>
      <c r="F212" s="57"/>
      <c r="G212" s="57"/>
      <c r="H212" s="57"/>
      <c r="I212" s="44"/>
    </row>
    <row r="213" spans="3:13" s="59" customFormat="1" ht="22.2" customHeight="1">
      <c r="C213" s="61">
        <v>1</v>
      </c>
      <c r="D213" s="56" t="s">
        <v>8382</v>
      </c>
      <c r="E213" s="93" t="s">
        <v>1300</v>
      </c>
      <c r="F213" s="103">
        <v>1</v>
      </c>
      <c r="G213" s="63">
        <f>VLOOKUP(D213,upahbahan,3,FALSE)</f>
        <v>516000</v>
      </c>
      <c r="H213" s="63">
        <f>F213*G213</f>
        <v>516000</v>
      </c>
      <c r="I213" s="44"/>
    </row>
    <row r="214" spans="3:13" s="59" customFormat="1" ht="22.2" customHeight="1">
      <c r="C214" s="450" t="s">
        <v>1214</v>
      </c>
      <c r="D214" s="67"/>
      <c r="E214" s="67"/>
      <c r="F214" s="67"/>
      <c r="G214" s="69"/>
      <c r="H214" s="63">
        <f>SUM(H213:H213)</f>
        <v>516000</v>
      </c>
      <c r="I214" s="44"/>
    </row>
    <row r="215" spans="3:13" s="59" customFormat="1" ht="22.2" customHeight="1">
      <c r="C215" s="61" t="s">
        <v>1215</v>
      </c>
      <c r="D215" s="56" t="s">
        <v>1216</v>
      </c>
      <c r="E215" s="93"/>
      <c r="F215" s="57"/>
      <c r="G215" s="57"/>
      <c r="H215" s="57"/>
      <c r="I215" s="44"/>
    </row>
    <row r="216" spans="3:13" s="59" customFormat="1" ht="22.2" customHeight="1">
      <c r="C216" s="800">
        <v>1</v>
      </c>
      <c r="D216" s="56" t="s">
        <v>4770</v>
      </c>
      <c r="E216" s="93" t="s">
        <v>4414</v>
      </c>
      <c r="F216" s="104">
        <v>0.26200000000000001</v>
      </c>
      <c r="G216" s="63">
        <f>VLOOKUP(D216,upahbahan,3,FALSE)</f>
        <v>108000</v>
      </c>
      <c r="H216" s="63">
        <f>F216*G216</f>
        <v>28296</v>
      </c>
      <c r="I216" s="44"/>
    </row>
    <row r="217" spans="3:13" s="59" customFormat="1" ht="22.2" customHeight="1">
      <c r="C217" s="450" t="s">
        <v>1217</v>
      </c>
      <c r="D217" s="67"/>
      <c r="E217" s="67"/>
      <c r="F217" s="67"/>
      <c r="G217" s="69"/>
      <c r="H217" s="882">
        <f>SUM(H215:H216)</f>
        <v>28296</v>
      </c>
      <c r="I217" s="44"/>
    </row>
    <row r="218" spans="3:13" s="59" customFormat="1" ht="22.2" customHeight="1">
      <c r="C218" s="288" t="s">
        <v>1218</v>
      </c>
      <c r="D218" s="76" t="s">
        <v>1219</v>
      </c>
      <c r="E218" s="77"/>
      <c r="F218" s="77"/>
      <c r="G218" s="78"/>
      <c r="H218" s="585">
        <f>H217+H214+H211</f>
        <v>854646</v>
      </c>
      <c r="I218" s="369"/>
    </row>
    <row r="219" spans="3:13" s="59" customFormat="1" ht="22.2" customHeight="1">
      <c r="C219" s="288" t="s">
        <v>1220</v>
      </c>
      <c r="D219" s="76" t="s">
        <v>1321</v>
      </c>
      <c r="E219" s="77"/>
      <c r="F219" s="78"/>
      <c r="G219" s="80">
        <v>0.1</v>
      </c>
      <c r="H219" s="63">
        <f>H218*G219</f>
        <v>85464.6</v>
      </c>
      <c r="I219" s="369"/>
    </row>
    <row r="220" spans="3:13" s="59" customFormat="1" ht="22.2" customHeight="1">
      <c r="C220" s="288" t="s">
        <v>1221</v>
      </c>
      <c r="D220" s="76" t="s">
        <v>1222</v>
      </c>
      <c r="E220" s="77"/>
      <c r="F220" s="77"/>
      <c r="G220" s="78"/>
      <c r="H220" s="799">
        <f>SUM(H218:H219)</f>
        <v>940110.6</v>
      </c>
      <c r="I220" s="369"/>
    </row>
    <row r="221" spans="3:13" ht="22.2" customHeight="1"/>
    <row r="222" spans="3:13" s="59" customFormat="1" ht="22.2" customHeight="1">
      <c r="C222" s="46" t="s">
        <v>4777</v>
      </c>
      <c r="D222" s="794" t="s">
        <v>8383</v>
      </c>
      <c r="E222" s="794"/>
      <c r="F222" s="794"/>
      <c r="G222" s="794"/>
      <c r="H222" s="794"/>
      <c r="I222" s="50">
        <f>ROUNDDOWN(H237,-2)</f>
        <v>1020300</v>
      </c>
      <c r="J222" s="59" t="s">
        <v>6451</v>
      </c>
      <c r="K222" s="59" t="s">
        <v>8371</v>
      </c>
    </row>
    <row r="223" spans="3:13" s="59" customFormat="1" ht="22.2" customHeight="1">
      <c r="C223" s="591" t="s">
        <v>1195</v>
      </c>
      <c r="D223" s="591" t="s">
        <v>1196</v>
      </c>
      <c r="E223" s="591" t="s">
        <v>1197</v>
      </c>
      <c r="F223" s="591" t="s">
        <v>1198</v>
      </c>
      <c r="G223" s="591" t="s">
        <v>1199</v>
      </c>
      <c r="H223" s="591" t="s">
        <v>1200</v>
      </c>
      <c r="I223" s="44"/>
    </row>
    <row r="224" spans="3:13" s="59" customFormat="1" ht="22.2" customHeight="1">
      <c r="C224" s="61" t="s">
        <v>1201</v>
      </c>
      <c r="D224" s="56" t="s">
        <v>1202</v>
      </c>
      <c r="E224" s="57"/>
      <c r="F224" s="57"/>
      <c r="G224" s="57"/>
      <c r="H224" s="57"/>
      <c r="I224" s="44"/>
      <c r="J224" s="152" t="s">
        <v>1247</v>
      </c>
    </row>
    <row r="225" spans="3:13" s="59" customFormat="1" ht="22.2" customHeight="1">
      <c r="C225" s="588">
        <v>1</v>
      </c>
      <c r="D225" s="56" t="s">
        <v>5</v>
      </c>
      <c r="E225" s="577" t="s">
        <v>6</v>
      </c>
      <c r="F225" s="101">
        <v>1.895</v>
      </c>
      <c r="G225" s="63">
        <f>VLOOKUP(D225,upahbahan,3,FALSE)</f>
        <v>100000</v>
      </c>
      <c r="H225" s="63">
        <f>F225*G225</f>
        <v>189500</v>
      </c>
      <c r="I225" s="44"/>
      <c r="J225" s="152" t="s">
        <v>1248</v>
      </c>
      <c r="M225" s="65">
        <v>0.1</v>
      </c>
    </row>
    <row r="226" spans="3:13" s="59" customFormat="1" ht="22.2" customHeight="1">
      <c r="C226" s="588">
        <v>2</v>
      </c>
      <c r="D226" s="56" t="s">
        <v>10</v>
      </c>
      <c r="E226" s="577" t="s">
        <v>6</v>
      </c>
      <c r="F226" s="101">
        <v>0.94799999999999995</v>
      </c>
      <c r="G226" s="63">
        <f>VLOOKUP(D226,upahbahan,3,FALSE)</f>
        <v>135000</v>
      </c>
      <c r="H226" s="63">
        <f t="shared" ref="H226:H227" si="13">F226*G226</f>
        <v>127980</v>
      </c>
      <c r="I226" s="44"/>
      <c r="J226" s="152"/>
      <c r="M226" s="65"/>
    </row>
    <row r="227" spans="3:13" s="59" customFormat="1" ht="22.2" customHeight="1">
      <c r="C227" s="588">
        <v>3</v>
      </c>
      <c r="D227" s="56" t="s">
        <v>19</v>
      </c>
      <c r="E227" s="577" t="s">
        <v>6</v>
      </c>
      <c r="F227" s="101">
        <v>0.19</v>
      </c>
      <c r="G227" s="63">
        <f>VLOOKUP(D227,upahbahan,3,FALSE)</f>
        <v>160000</v>
      </c>
      <c r="H227" s="63">
        <f t="shared" si="13"/>
        <v>30400</v>
      </c>
      <c r="I227" s="44"/>
    </row>
    <row r="228" spans="3:13" s="59" customFormat="1" ht="22.2" customHeight="1">
      <c r="C228" s="450" t="s">
        <v>1208</v>
      </c>
      <c r="D228" s="67"/>
      <c r="E228" s="67"/>
      <c r="F228" s="142"/>
      <c r="G228" s="153"/>
      <c r="H228" s="63">
        <f>SUM(H225:H227)</f>
        <v>347880</v>
      </c>
      <c r="I228" s="154"/>
    </row>
    <row r="229" spans="3:13" s="59" customFormat="1" ht="22.2" customHeight="1">
      <c r="C229" s="61" t="s">
        <v>1209</v>
      </c>
      <c r="D229" s="56" t="s">
        <v>1210</v>
      </c>
      <c r="E229" s="57"/>
      <c r="F229" s="57"/>
      <c r="G229" s="57"/>
      <c r="H229" s="57"/>
      <c r="I229" s="44"/>
    </row>
    <row r="230" spans="3:13" s="59" customFormat="1" ht="22.2" customHeight="1">
      <c r="C230" s="61">
        <v>1</v>
      </c>
      <c r="D230" s="56" t="s">
        <v>8384</v>
      </c>
      <c r="E230" s="93" t="s">
        <v>1300</v>
      </c>
      <c r="F230" s="103">
        <v>1</v>
      </c>
      <c r="G230" s="63">
        <f>VLOOKUP(D230,upahbahan,3,FALSE)</f>
        <v>548000</v>
      </c>
      <c r="H230" s="63">
        <f>F230*G230</f>
        <v>548000</v>
      </c>
      <c r="I230" s="44"/>
    </row>
    <row r="231" spans="3:13" s="59" customFormat="1" ht="22.2" customHeight="1">
      <c r="C231" s="450" t="s">
        <v>1214</v>
      </c>
      <c r="D231" s="67"/>
      <c r="E231" s="67"/>
      <c r="F231" s="67"/>
      <c r="G231" s="69"/>
      <c r="H231" s="63">
        <f>SUM(H230:H230)</f>
        <v>548000</v>
      </c>
      <c r="I231" s="44"/>
    </row>
    <row r="232" spans="3:13" s="59" customFormat="1" ht="22.2" customHeight="1">
      <c r="C232" s="61" t="s">
        <v>1215</v>
      </c>
      <c r="D232" s="56" t="s">
        <v>1216</v>
      </c>
      <c r="E232" s="93"/>
      <c r="F232" s="57"/>
      <c r="G232" s="57"/>
      <c r="H232" s="57"/>
      <c r="I232" s="44"/>
    </row>
    <row r="233" spans="3:13" s="59" customFormat="1" ht="22.2" customHeight="1">
      <c r="C233" s="800">
        <v>1</v>
      </c>
      <c r="D233" s="56" t="s">
        <v>4770</v>
      </c>
      <c r="E233" s="93" t="s">
        <v>4414</v>
      </c>
      <c r="F233" s="104">
        <v>0.29399999999999998</v>
      </c>
      <c r="G233" s="63">
        <f>VLOOKUP(D233,upahbahan,3,FALSE)</f>
        <v>108000</v>
      </c>
      <c r="H233" s="63">
        <f>F233*G233</f>
        <v>31752</v>
      </c>
      <c r="I233" s="44"/>
    </row>
    <row r="234" spans="3:13" s="59" customFormat="1" ht="22.2" customHeight="1">
      <c r="C234" s="450" t="s">
        <v>1217</v>
      </c>
      <c r="D234" s="67"/>
      <c r="E234" s="67"/>
      <c r="F234" s="67"/>
      <c r="G234" s="69"/>
      <c r="H234" s="882">
        <f>SUM(H232:H233)</f>
        <v>31752</v>
      </c>
      <c r="I234" s="44"/>
    </row>
    <row r="235" spans="3:13" s="59" customFormat="1" ht="22.2" customHeight="1">
      <c r="C235" s="288" t="s">
        <v>1218</v>
      </c>
      <c r="D235" s="76" t="s">
        <v>1219</v>
      </c>
      <c r="E235" s="77"/>
      <c r="F235" s="77"/>
      <c r="G235" s="78"/>
      <c r="H235" s="585">
        <f>H234+H231+H228</f>
        <v>927632</v>
      </c>
      <c r="I235" s="369"/>
    </row>
    <row r="236" spans="3:13" s="59" customFormat="1" ht="22.2" customHeight="1">
      <c r="C236" s="288" t="s">
        <v>1220</v>
      </c>
      <c r="D236" s="76" t="s">
        <v>1321</v>
      </c>
      <c r="E236" s="77"/>
      <c r="F236" s="78"/>
      <c r="G236" s="80">
        <v>0.1</v>
      </c>
      <c r="H236" s="63">
        <f>H235*G236</f>
        <v>92763.200000000012</v>
      </c>
      <c r="I236" s="369"/>
    </row>
    <row r="237" spans="3:13" s="59" customFormat="1" ht="22.2" customHeight="1">
      <c r="C237" s="288" t="s">
        <v>1221</v>
      </c>
      <c r="D237" s="76" t="s">
        <v>1222</v>
      </c>
      <c r="E237" s="77"/>
      <c r="F237" s="77"/>
      <c r="G237" s="78"/>
      <c r="H237" s="799">
        <f>SUM(H235:H236)</f>
        <v>1020395.2</v>
      </c>
      <c r="I237" s="369"/>
    </row>
    <row r="238" spans="3:13" ht="22.2" customHeight="1"/>
    <row r="239" spans="3:13" ht="22.2" customHeight="1"/>
    <row r="240" spans="3:13" s="59" customFormat="1" ht="22.2" customHeight="1">
      <c r="C240" s="46" t="s">
        <v>4786</v>
      </c>
      <c r="D240" s="794" t="s">
        <v>8385</v>
      </c>
      <c r="E240" s="794"/>
      <c r="F240" s="794"/>
      <c r="G240" s="794"/>
      <c r="H240" s="794"/>
      <c r="I240" s="50">
        <f>ROUNDDOWN(H255,-2)</f>
        <v>1111600</v>
      </c>
      <c r="J240" s="59" t="s">
        <v>6451</v>
      </c>
      <c r="K240" s="59" t="s">
        <v>8371</v>
      </c>
    </row>
    <row r="241" spans="3:13" s="59" customFormat="1" ht="22.2" customHeight="1">
      <c r="C241" s="591" t="s">
        <v>1195</v>
      </c>
      <c r="D241" s="591" t="s">
        <v>1196</v>
      </c>
      <c r="E241" s="591" t="s">
        <v>1197</v>
      </c>
      <c r="F241" s="591" t="s">
        <v>1198</v>
      </c>
      <c r="G241" s="591" t="s">
        <v>1199</v>
      </c>
      <c r="H241" s="591" t="s">
        <v>1200</v>
      </c>
      <c r="I241" s="44"/>
    </row>
    <row r="242" spans="3:13" s="59" customFormat="1" ht="22.2" customHeight="1">
      <c r="C242" s="61" t="s">
        <v>1201</v>
      </c>
      <c r="D242" s="56" t="s">
        <v>1202</v>
      </c>
      <c r="E242" s="57"/>
      <c r="F242" s="57"/>
      <c r="G242" s="57"/>
      <c r="H242" s="57"/>
      <c r="I242" s="44"/>
      <c r="J242" s="152" t="s">
        <v>1247</v>
      </c>
    </row>
    <row r="243" spans="3:13" s="59" customFormat="1" ht="22.2" customHeight="1">
      <c r="C243" s="588">
        <v>1</v>
      </c>
      <c r="D243" s="56" t="s">
        <v>5</v>
      </c>
      <c r="E243" s="577" t="s">
        <v>6</v>
      </c>
      <c r="F243" s="101">
        <v>2.0990000000000002</v>
      </c>
      <c r="G243" s="63">
        <f>VLOOKUP(D243,upahbahan,3,FALSE)</f>
        <v>100000</v>
      </c>
      <c r="H243" s="63">
        <f>F243*G243</f>
        <v>209900.00000000003</v>
      </c>
      <c r="I243" s="44"/>
      <c r="J243" s="152" t="s">
        <v>1248</v>
      </c>
      <c r="M243" s="65">
        <v>0.1</v>
      </c>
    </row>
    <row r="244" spans="3:13" s="59" customFormat="1" ht="22.2" customHeight="1">
      <c r="C244" s="588">
        <v>2</v>
      </c>
      <c r="D244" s="56" t="s">
        <v>10</v>
      </c>
      <c r="E244" s="577" t="s">
        <v>6</v>
      </c>
      <c r="F244" s="101">
        <v>1.05</v>
      </c>
      <c r="G244" s="63">
        <f>VLOOKUP(D244,upahbahan,3,FALSE)</f>
        <v>135000</v>
      </c>
      <c r="H244" s="63">
        <f t="shared" ref="H244:H245" si="14">F244*G244</f>
        <v>141750</v>
      </c>
      <c r="I244" s="44"/>
      <c r="J244" s="152"/>
      <c r="M244" s="65"/>
    </row>
    <row r="245" spans="3:13" s="59" customFormat="1" ht="22.2" customHeight="1">
      <c r="C245" s="588">
        <v>3</v>
      </c>
      <c r="D245" s="56" t="s">
        <v>19</v>
      </c>
      <c r="E245" s="577" t="s">
        <v>6</v>
      </c>
      <c r="F245" s="101">
        <v>0.21</v>
      </c>
      <c r="G245" s="63">
        <f>VLOOKUP(D245,upahbahan,3,FALSE)</f>
        <v>160000</v>
      </c>
      <c r="H245" s="63">
        <f t="shared" si="14"/>
        <v>33600</v>
      </c>
      <c r="I245" s="44"/>
    </row>
    <row r="246" spans="3:13" s="59" customFormat="1" ht="22.2" customHeight="1">
      <c r="C246" s="450" t="s">
        <v>1208</v>
      </c>
      <c r="D246" s="67"/>
      <c r="E246" s="67"/>
      <c r="F246" s="142"/>
      <c r="G246" s="153"/>
      <c r="H246" s="63">
        <f>SUM(H243:H245)</f>
        <v>385250</v>
      </c>
      <c r="I246" s="154"/>
    </row>
    <row r="247" spans="3:13" s="59" customFormat="1" ht="22.2" customHeight="1">
      <c r="C247" s="61" t="s">
        <v>1209</v>
      </c>
      <c r="D247" s="56" t="s">
        <v>1210</v>
      </c>
      <c r="E247" s="57"/>
      <c r="F247" s="57"/>
      <c r="G247" s="57"/>
      <c r="H247" s="57"/>
      <c r="I247" s="44"/>
    </row>
    <row r="248" spans="3:13" s="59" customFormat="1" ht="22.2" customHeight="1">
      <c r="C248" s="61">
        <v>1</v>
      </c>
      <c r="D248" s="56" t="s">
        <v>8386</v>
      </c>
      <c r="E248" s="93" t="s">
        <v>1300</v>
      </c>
      <c r="F248" s="103">
        <v>1</v>
      </c>
      <c r="G248" s="63">
        <f>VLOOKUP(D248,upahbahan,3,FALSE)</f>
        <v>590000</v>
      </c>
      <c r="H248" s="63">
        <f>F248*G248</f>
        <v>590000</v>
      </c>
      <c r="I248" s="44"/>
    </row>
    <row r="249" spans="3:13" s="59" customFormat="1" ht="22.2" customHeight="1">
      <c r="C249" s="450" t="s">
        <v>1214</v>
      </c>
      <c r="D249" s="67"/>
      <c r="E249" s="67"/>
      <c r="F249" s="67"/>
      <c r="G249" s="69"/>
      <c r="H249" s="63">
        <f>SUM(H248:H248)</f>
        <v>590000</v>
      </c>
      <c r="I249" s="44"/>
    </row>
    <row r="250" spans="3:13" s="59" customFormat="1" ht="22.2" customHeight="1">
      <c r="C250" s="61" t="s">
        <v>1215</v>
      </c>
      <c r="D250" s="56" t="s">
        <v>1216</v>
      </c>
      <c r="E250" s="93"/>
      <c r="F250" s="57"/>
      <c r="G250" s="57"/>
      <c r="H250" s="57"/>
      <c r="I250" s="44"/>
    </row>
    <row r="251" spans="3:13" s="59" customFormat="1" ht="22.2" customHeight="1">
      <c r="C251" s="800">
        <v>1</v>
      </c>
      <c r="D251" s="56" t="s">
        <v>4770</v>
      </c>
      <c r="E251" s="93" t="s">
        <v>4414</v>
      </c>
      <c r="F251" s="104">
        <v>0.32700000000000001</v>
      </c>
      <c r="G251" s="63">
        <f>VLOOKUP(D251,upahbahan,3,FALSE)</f>
        <v>108000</v>
      </c>
      <c r="H251" s="63">
        <f>F251*G251</f>
        <v>35316</v>
      </c>
      <c r="I251" s="44"/>
    </row>
    <row r="252" spans="3:13" s="59" customFormat="1" ht="22.2" customHeight="1">
      <c r="C252" s="450" t="s">
        <v>1217</v>
      </c>
      <c r="D252" s="67"/>
      <c r="E252" s="67"/>
      <c r="F252" s="67"/>
      <c r="G252" s="69"/>
      <c r="H252" s="882">
        <f>SUM(H250:H251)</f>
        <v>35316</v>
      </c>
      <c r="I252" s="44"/>
    </row>
    <row r="253" spans="3:13" s="59" customFormat="1" ht="22.2" customHeight="1">
      <c r="C253" s="288" t="s">
        <v>1218</v>
      </c>
      <c r="D253" s="76" t="s">
        <v>1219</v>
      </c>
      <c r="E253" s="77"/>
      <c r="F253" s="77"/>
      <c r="G253" s="78"/>
      <c r="H253" s="585">
        <f>H252+H249+H246</f>
        <v>1010566</v>
      </c>
      <c r="I253" s="369"/>
    </row>
    <row r="254" spans="3:13" s="59" customFormat="1" ht="22.2" customHeight="1">
      <c r="C254" s="288" t="s">
        <v>1220</v>
      </c>
      <c r="D254" s="76" t="s">
        <v>1321</v>
      </c>
      <c r="E254" s="77"/>
      <c r="F254" s="78"/>
      <c r="G254" s="80">
        <v>0.1</v>
      </c>
      <c r="H254" s="63">
        <f>H253*G254</f>
        <v>101056.6</v>
      </c>
      <c r="I254" s="369"/>
    </row>
    <row r="255" spans="3:13" s="59" customFormat="1" ht="22.2" customHeight="1">
      <c r="C255" s="288" t="s">
        <v>1221</v>
      </c>
      <c r="D255" s="76" t="s">
        <v>1222</v>
      </c>
      <c r="E255" s="77"/>
      <c r="F255" s="77"/>
      <c r="G255" s="78"/>
      <c r="H255" s="799">
        <f>SUM(H253:H254)</f>
        <v>1111622.6000000001</v>
      </c>
      <c r="I255" s="369"/>
    </row>
    <row r="256" spans="3:13" ht="22.2" customHeight="1"/>
    <row r="257" spans="3:13" s="59" customFormat="1" ht="22.2" customHeight="1">
      <c r="C257" s="46" t="s">
        <v>4787</v>
      </c>
      <c r="D257" s="794" t="s">
        <v>8387</v>
      </c>
      <c r="E257" s="794"/>
      <c r="F257" s="794"/>
      <c r="G257" s="794"/>
      <c r="H257" s="794"/>
      <c r="I257" s="50">
        <f>ROUNDDOWN(H272,-2)</f>
        <v>1175400</v>
      </c>
      <c r="J257" s="59" t="s">
        <v>6451</v>
      </c>
      <c r="K257" s="59" t="s">
        <v>8371</v>
      </c>
    </row>
    <row r="258" spans="3:13" s="59" customFormat="1" ht="22.2" customHeight="1">
      <c r="C258" s="591" t="s">
        <v>1195</v>
      </c>
      <c r="D258" s="591" t="s">
        <v>1196</v>
      </c>
      <c r="E258" s="591" t="s">
        <v>1197</v>
      </c>
      <c r="F258" s="591" t="s">
        <v>1198</v>
      </c>
      <c r="G258" s="591" t="s">
        <v>1199</v>
      </c>
      <c r="H258" s="591" t="s">
        <v>1200</v>
      </c>
      <c r="I258" s="44"/>
    </row>
    <row r="259" spans="3:13" s="59" customFormat="1" ht="22.2" customHeight="1">
      <c r="C259" s="61" t="s">
        <v>1201</v>
      </c>
      <c r="D259" s="56" t="s">
        <v>1202</v>
      </c>
      <c r="E259" s="57"/>
      <c r="F259" s="57"/>
      <c r="G259" s="57"/>
      <c r="H259" s="57"/>
      <c r="I259" s="44"/>
      <c r="J259" s="152" t="s">
        <v>1247</v>
      </c>
    </row>
    <row r="260" spans="3:13" s="59" customFormat="1" ht="22.2" customHeight="1">
      <c r="C260" s="588">
        <v>1</v>
      </c>
      <c r="D260" s="56" t="s">
        <v>5</v>
      </c>
      <c r="E260" s="577" t="s">
        <v>6</v>
      </c>
      <c r="F260" s="101">
        <v>2.3029999999999999</v>
      </c>
      <c r="G260" s="63">
        <f>VLOOKUP(D260,upahbahan,3,FALSE)</f>
        <v>100000</v>
      </c>
      <c r="H260" s="63">
        <f>F260*G260</f>
        <v>230300</v>
      </c>
      <c r="I260" s="44"/>
      <c r="J260" s="152" t="s">
        <v>1248</v>
      </c>
      <c r="M260" s="65">
        <v>0.1</v>
      </c>
    </row>
    <row r="261" spans="3:13" s="59" customFormat="1" ht="22.2" customHeight="1">
      <c r="C261" s="588">
        <v>2</v>
      </c>
      <c r="D261" s="56" t="s">
        <v>10</v>
      </c>
      <c r="E261" s="577" t="s">
        <v>6</v>
      </c>
      <c r="F261" s="101">
        <v>1.1519999999999999</v>
      </c>
      <c r="G261" s="63">
        <f>VLOOKUP(D261,upahbahan,3,FALSE)</f>
        <v>135000</v>
      </c>
      <c r="H261" s="63">
        <f t="shared" ref="H261:H262" si="15">F261*G261</f>
        <v>155520</v>
      </c>
      <c r="I261" s="44"/>
      <c r="J261" s="152"/>
      <c r="M261" s="65"/>
    </row>
    <row r="262" spans="3:13" s="59" customFormat="1" ht="22.2" customHeight="1">
      <c r="C262" s="588">
        <v>3</v>
      </c>
      <c r="D262" s="56" t="s">
        <v>19</v>
      </c>
      <c r="E262" s="577" t="s">
        <v>6</v>
      </c>
      <c r="F262" s="101">
        <v>0.23</v>
      </c>
      <c r="G262" s="63">
        <f>VLOOKUP(D262,upahbahan,3,FALSE)</f>
        <v>160000</v>
      </c>
      <c r="H262" s="63">
        <f t="shared" si="15"/>
        <v>36800</v>
      </c>
      <c r="I262" s="44"/>
    </row>
    <row r="263" spans="3:13" s="59" customFormat="1" ht="22.2" customHeight="1">
      <c r="C263" s="450" t="s">
        <v>1208</v>
      </c>
      <c r="D263" s="67"/>
      <c r="E263" s="67"/>
      <c r="F263" s="142"/>
      <c r="G263" s="153"/>
      <c r="H263" s="63">
        <f>SUM(H260:H262)</f>
        <v>422620</v>
      </c>
      <c r="I263" s="154"/>
    </row>
    <row r="264" spans="3:13" s="59" customFormat="1" ht="22.2" customHeight="1">
      <c r="C264" s="61" t="s">
        <v>1209</v>
      </c>
      <c r="D264" s="56" t="s">
        <v>1210</v>
      </c>
      <c r="E264" s="57"/>
      <c r="F264" s="57"/>
      <c r="G264" s="57"/>
      <c r="H264" s="57"/>
      <c r="I264" s="44"/>
    </row>
    <row r="265" spans="3:13" s="59" customFormat="1" ht="22.2" customHeight="1">
      <c r="C265" s="61">
        <v>1</v>
      </c>
      <c r="D265" s="56" t="s">
        <v>8388</v>
      </c>
      <c r="E265" s="93" t="s">
        <v>1300</v>
      </c>
      <c r="F265" s="103">
        <v>1</v>
      </c>
      <c r="G265" s="63">
        <f>VLOOKUP(D265,upahbahan,3,FALSE)</f>
        <v>618000</v>
      </c>
      <c r="H265" s="63">
        <f>F265*G265</f>
        <v>618000</v>
      </c>
      <c r="I265" s="44"/>
    </row>
    <row r="266" spans="3:13" s="59" customFormat="1" ht="22.2" customHeight="1">
      <c r="C266" s="450" t="s">
        <v>1214</v>
      </c>
      <c r="D266" s="67"/>
      <c r="E266" s="67"/>
      <c r="F266" s="67"/>
      <c r="G266" s="69"/>
      <c r="H266" s="63">
        <f>SUM(H265:H265)</f>
        <v>618000</v>
      </c>
      <c r="I266" s="44"/>
    </row>
    <row r="267" spans="3:13" s="59" customFormat="1" ht="22.2" customHeight="1">
      <c r="C267" s="61" t="s">
        <v>1215</v>
      </c>
      <c r="D267" s="56" t="s">
        <v>1216</v>
      </c>
      <c r="E267" s="93"/>
      <c r="F267" s="57"/>
      <c r="G267" s="57"/>
      <c r="H267" s="57"/>
      <c r="I267" s="44"/>
    </row>
    <row r="268" spans="3:13" s="59" customFormat="1" ht="22.2" customHeight="1">
      <c r="C268" s="800">
        <v>1</v>
      </c>
      <c r="D268" s="56" t="s">
        <v>4770</v>
      </c>
      <c r="E268" s="93" t="s">
        <v>4414</v>
      </c>
      <c r="F268" s="104">
        <v>0.25900000000000001</v>
      </c>
      <c r="G268" s="63">
        <f>VLOOKUP(D268,upahbahan,3,FALSE)</f>
        <v>108000</v>
      </c>
      <c r="H268" s="63">
        <f>F268*G268</f>
        <v>27972</v>
      </c>
      <c r="I268" s="44"/>
    </row>
    <row r="269" spans="3:13" s="59" customFormat="1" ht="22.2" customHeight="1">
      <c r="C269" s="450" t="s">
        <v>1217</v>
      </c>
      <c r="D269" s="67"/>
      <c r="E269" s="67"/>
      <c r="F269" s="67"/>
      <c r="G269" s="69"/>
      <c r="H269" s="882">
        <f>SUM(H267:H268)</f>
        <v>27972</v>
      </c>
      <c r="I269" s="44"/>
    </row>
    <row r="270" spans="3:13" s="59" customFormat="1" ht="22.2" customHeight="1">
      <c r="C270" s="288" t="s">
        <v>1218</v>
      </c>
      <c r="D270" s="76" t="s">
        <v>1219</v>
      </c>
      <c r="E270" s="77"/>
      <c r="F270" s="77"/>
      <c r="G270" s="78"/>
      <c r="H270" s="585">
        <f>H269+H266+H263</f>
        <v>1068592</v>
      </c>
      <c r="I270" s="369"/>
    </row>
    <row r="271" spans="3:13" s="59" customFormat="1" ht="22.2" customHeight="1">
      <c r="C271" s="288" t="s">
        <v>1220</v>
      </c>
      <c r="D271" s="76" t="s">
        <v>1321</v>
      </c>
      <c r="E271" s="77"/>
      <c r="F271" s="78"/>
      <c r="G271" s="80">
        <v>0.1</v>
      </c>
      <c r="H271" s="63">
        <f>H270*G271</f>
        <v>106859.20000000001</v>
      </c>
      <c r="I271" s="369"/>
    </row>
    <row r="272" spans="3:13" s="59" customFormat="1" ht="22.2" customHeight="1">
      <c r="C272" s="288" t="s">
        <v>1221</v>
      </c>
      <c r="D272" s="76" t="s">
        <v>1222</v>
      </c>
      <c r="E272" s="77"/>
      <c r="F272" s="77"/>
      <c r="G272" s="78"/>
      <c r="H272" s="799">
        <f>SUM(H270:H271)</f>
        <v>1175451.2</v>
      </c>
      <c r="I272" s="369"/>
    </row>
    <row r="273" spans="3:13" ht="22.2" customHeight="1"/>
    <row r="274" spans="3:13" s="59" customFormat="1" ht="22.2" customHeight="1">
      <c r="C274" s="46" t="s">
        <v>4790</v>
      </c>
      <c r="D274" s="794" t="s">
        <v>8389</v>
      </c>
      <c r="E274" s="794"/>
      <c r="F274" s="794"/>
      <c r="G274" s="794"/>
      <c r="H274" s="794"/>
      <c r="I274" s="50">
        <f>ROUNDDOWN(H288,-2)</f>
        <v>16200</v>
      </c>
      <c r="J274" s="59" t="s">
        <v>6451</v>
      </c>
      <c r="K274" s="59" t="s">
        <v>8371</v>
      </c>
    </row>
    <row r="275" spans="3:13" s="59" customFormat="1" ht="22.2" customHeight="1">
      <c r="C275" s="591" t="s">
        <v>1195</v>
      </c>
      <c r="D275" s="591" t="s">
        <v>1196</v>
      </c>
      <c r="E275" s="591" t="s">
        <v>1197</v>
      </c>
      <c r="F275" s="591" t="s">
        <v>1198</v>
      </c>
      <c r="G275" s="591" t="s">
        <v>1199</v>
      </c>
      <c r="H275" s="591" t="s">
        <v>1200</v>
      </c>
      <c r="I275" s="44"/>
    </row>
    <row r="276" spans="3:13" s="59" customFormat="1" ht="22.2" customHeight="1">
      <c r="C276" s="61" t="s">
        <v>1201</v>
      </c>
      <c r="D276" s="56" t="s">
        <v>1202</v>
      </c>
      <c r="E276" s="57"/>
      <c r="F276" s="57"/>
      <c r="G276" s="57"/>
      <c r="H276" s="57"/>
      <c r="I276" s="44"/>
      <c r="J276" s="152" t="s">
        <v>1247</v>
      </c>
    </row>
    <row r="277" spans="3:13" s="59" customFormat="1" ht="22.2" customHeight="1">
      <c r="C277" s="588">
        <v>1</v>
      </c>
      <c r="D277" s="56" t="s">
        <v>5</v>
      </c>
      <c r="E277" s="577" t="s">
        <v>6</v>
      </c>
      <c r="F277" s="101">
        <v>5.1999999999999998E-2</v>
      </c>
      <c r="G277" s="63">
        <f>VLOOKUP(D277,upahbahan,3,FALSE)</f>
        <v>100000</v>
      </c>
      <c r="H277" s="63">
        <f>F277*G277</f>
        <v>5200</v>
      </c>
      <c r="I277" s="44"/>
      <c r="J277" s="152" t="s">
        <v>1248</v>
      </c>
      <c r="M277" s="65">
        <v>0.1</v>
      </c>
    </row>
    <row r="278" spans="3:13" s="59" customFormat="1" ht="22.2" customHeight="1">
      <c r="C278" s="588">
        <v>2</v>
      </c>
      <c r="D278" s="56" t="s">
        <v>10</v>
      </c>
      <c r="E278" s="577" t="s">
        <v>6</v>
      </c>
      <c r="F278" s="101">
        <v>2.5999999999999999E-2</v>
      </c>
      <c r="G278" s="63">
        <f>VLOOKUP(D278,upahbahan,3,FALSE)</f>
        <v>135000</v>
      </c>
      <c r="H278" s="63">
        <f t="shared" ref="H278:H279" si="16">F278*G278</f>
        <v>3510</v>
      </c>
      <c r="I278" s="44"/>
      <c r="J278" s="152"/>
      <c r="M278" s="65"/>
    </row>
    <row r="279" spans="3:13" s="59" customFormat="1" ht="22.2" customHeight="1">
      <c r="C279" s="588">
        <v>3</v>
      </c>
      <c r="D279" s="56" t="s">
        <v>19</v>
      </c>
      <c r="E279" s="577" t="s">
        <v>6</v>
      </c>
      <c r="F279" s="101">
        <v>5.0000000000000001E-3</v>
      </c>
      <c r="G279" s="63">
        <f>VLOOKUP(D279,upahbahan,3,FALSE)</f>
        <v>160000</v>
      </c>
      <c r="H279" s="63">
        <f t="shared" si="16"/>
        <v>800</v>
      </c>
      <c r="I279" s="44"/>
    </row>
    <row r="280" spans="3:13" s="59" customFormat="1" ht="22.2" customHeight="1">
      <c r="C280" s="450" t="s">
        <v>1208</v>
      </c>
      <c r="D280" s="67"/>
      <c r="E280" s="67"/>
      <c r="F280" s="142"/>
      <c r="G280" s="153"/>
      <c r="H280" s="63">
        <f>SUM(H277:H279)</f>
        <v>9510</v>
      </c>
      <c r="I280" s="154"/>
    </row>
    <row r="281" spans="3:13" s="59" customFormat="1" ht="22.2" customHeight="1">
      <c r="C281" s="61" t="s">
        <v>1209</v>
      </c>
      <c r="D281" s="56" t="s">
        <v>1210</v>
      </c>
      <c r="E281" s="57"/>
      <c r="F281" s="57"/>
      <c r="G281" s="57"/>
      <c r="H281" s="57"/>
      <c r="I281" s="44"/>
    </row>
    <row r="282" spans="3:13" s="59" customFormat="1" ht="22.2" customHeight="1">
      <c r="C282" s="61">
        <v>1</v>
      </c>
      <c r="D282" s="56" t="s">
        <v>8390</v>
      </c>
      <c r="E282" s="93" t="s">
        <v>1300</v>
      </c>
      <c r="F282" s="103">
        <v>1</v>
      </c>
      <c r="G282" s="63">
        <f>VLOOKUP(D282,upahbahan,3,FALSE)</f>
        <v>5300</v>
      </c>
      <c r="H282" s="63">
        <f>F282*G282</f>
        <v>5300</v>
      </c>
      <c r="I282" s="44"/>
    </row>
    <row r="283" spans="3:13" s="59" customFormat="1" ht="22.2" customHeight="1">
      <c r="C283" s="450" t="s">
        <v>1214</v>
      </c>
      <c r="D283" s="67"/>
      <c r="E283" s="67"/>
      <c r="F283" s="67"/>
      <c r="G283" s="69"/>
      <c r="H283" s="63">
        <f>SUM(H282:H282)</f>
        <v>5300</v>
      </c>
      <c r="I283" s="44"/>
    </row>
    <row r="284" spans="3:13" s="59" customFormat="1" ht="22.2" customHeight="1">
      <c r="C284" s="61" t="s">
        <v>1215</v>
      </c>
      <c r="D284" s="56" t="s">
        <v>1216</v>
      </c>
      <c r="E284" s="93"/>
      <c r="F284" s="57"/>
      <c r="G284" s="57"/>
      <c r="H284" s="57"/>
      <c r="I284" s="44"/>
    </row>
    <row r="285" spans="3:13" s="59" customFormat="1" ht="22.2" customHeight="1">
      <c r="C285" s="450" t="s">
        <v>1217</v>
      </c>
      <c r="D285" s="67"/>
      <c r="E285" s="67"/>
      <c r="F285" s="67"/>
      <c r="G285" s="69"/>
      <c r="H285" s="882">
        <f>SUM(H284:H284)</f>
        <v>0</v>
      </c>
      <c r="I285" s="44"/>
    </row>
    <row r="286" spans="3:13" s="59" customFormat="1" ht="22.2" customHeight="1">
      <c r="C286" s="288" t="s">
        <v>1218</v>
      </c>
      <c r="D286" s="76" t="s">
        <v>1219</v>
      </c>
      <c r="E286" s="77"/>
      <c r="F286" s="77"/>
      <c r="G286" s="78"/>
      <c r="H286" s="585">
        <f>H285+H283+H280</f>
        <v>14810</v>
      </c>
      <c r="I286" s="369"/>
    </row>
    <row r="287" spans="3:13" s="59" customFormat="1" ht="22.2" customHeight="1">
      <c r="C287" s="288" t="s">
        <v>1220</v>
      </c>
      <c r="D287" s="76" t="s">
        <v>1321</v>
      </c>
      <c r="E287" s="77"/>
      <c r="F287" s="78"/>
      <c r="G287" s="80">
        <v>0.1</v>
      </c>
      <c r="H287" s="63">
        <f>H286*G287</f>
        <v>1481</v>
      </c>
      <c r="I287" s="369"/>
    </row>
    <row r="288" spans="3:13" s="59" customFormat="1" ht="22.2" customHeight="1">
      <c r="C288" s="288" t="s">
        <v>1221</v>
      </c>
      <c r="D288" s="76" t="s">
        <v>1222</v>
      </c>
      <c r="E288" s="77"/>
      <c r="F288" s="77"/>
      <c r="G288" s="78"/>
      <c r="H288" s="799">
        <f>SUM(H286:H287)</f>
        <v>16291</v>
      </c>
      <c r="I288" s="369"/>
    </row>
    <row r="289" spans="3:13" ht="22.2" customHeight="1"/>
    <row r="290" spans="3:13" s="59" customFormat="1" ht="22.2" customHeight="1">
      <c r="C290" s="46" t="s">
        <v>4792</v>
      </c>
      <c r="D290" s="794" t="s">
        <v>8391</v>
      </c>
      <c r="E290" s="794"/>
      <c r="F290" s="794"/>
      <c r="G290" s="794"/>
      <c r="H290" s="794"/>
      <c r="I290" s="50">
        <f>ROUNDDOWN(H304,-2)</f>
        <v>18800</v>
      </c>
      <c r="J290" s="59" t="s">
        <v>6451</v>
      </c>
      <c r="K290" s="59" t="s">
        <v>8371</v>
      </c>
    </row>
    <row r="291" spans="3:13" s="59" customFormat="1" ht="22.2" customHeight="1">
      <c r="C291" s="591" t="s">
        <v>1195</v>
      </c>
      <c r="D291" s="591" t="s">
        <v>1196</v>
      </c>
      <c r="E291" s="591" t="s">
        <v>1197</v>
      </c>
      <c r="F291" s="591" t="s">
        <v>1198</v>
      </c>
      <c r="G291" s="591" t="s">
        <v>1199</v>
      </c>
      <c r="H291" s="591" t="s">
        <v>1200</v>
      </c>
      <c r="I291" s="44"/>
    </row>
    <row r="292" spans="3:13" s="59" customFormat="1" ht="22.2" customHeight="1">
      <c r="C292" s="61" t="s">
        <v>1201</v>
      </c>
      <c r="D292" s="56" t="s">
        <v>1202</v>
      </c>
      <c r="E292" s="57"/>
      <c r="F292" s="57"/>
      <c r="G292" s="57"/>
      <c r="H292" s="57"/>
      <c r="I292" s="44"/>
      <c r="J292" s="152" t="s">
        <v>1247</v>
      </c>
    </row>
    <row r="293" spans="3:13" s="59" customFormat="1" ht="22.2" customHeight="1">
      <c r="C293" s="588">
        <v>1</v>
      </c>
      <c r="D293" s="56" t="s">
        <v>5</v>
      </c>
      <c r="E293" s="577" t="s">
        <v>6</v>
      </c>
      <c r="F293" s="101">
        <v>5.1999999999999998E-2</v>
      </c>
      <c r="G293" s="63">
        <f>VLOOKUP(D293,upahbahan,3,FALSE)</f>
        <v>100000</v>
      </c>
      <c r="H293" s="63">
        <f>F293*G293</f>
        <v>5200</v>
      </c>
      <c r="I293" s="44"/>
      <c r="J293" s="152" t="s">
        <v>1248</v>
      </c>
      <c r="M293" s="65">
        <v>0.1</v>
      </c>
    </row>
    <row r="294" spans="3:13" s="59" customFormat="1" ht="22.2" customHeight="1">
      <c r="C294" s="588">
        <v>2</v>
      </c>
      <c r="D294" s="56" t="s">
        <v>10</v>
      </c>
      <c r="E294" s="577" t="s">
        <v>6</v>
      </c>
      <c r="F294" s="101">
        <v>2.5999999999999999E-2</v>
      </c>
      <c r="G294" s="63">
        <f>VLOOKUP(D294,upahbahan,3,FALSE)</f>
        <v>135000</v>
      </c>
      <c r="H294" s="63">
        <f t="shared" ref="H294:H295" si="17">F294*G294</f>
        <v>3510</v>
      </c>
      <c r="I294" s="44"/>
      <c r="J294" s="152"/>
      <c r="M294" s="65"/>
    </row>
    <row r="295" spans="3:13" s="59" customFormat="1" ht="22.2" customHeight="1">
      <c r="C295" s="588">
        <v>3</v>
      </c>
      <c r="D295" s="56" t="s">
        <v>19</v>
      </c>
      <c r="E295" s="577" t="s">
        <v>6</v>
      </c>
      <c r="F295" s="101">
        <v>5.0000000000000001E-3</v>
      </c>
      <c r="G295" s="63">
        <f>VLOOKUP(D295,upahbahan,3,FALSE)</f>
        <v>160000</v>
      </c>
      <c r="H295" s="63">
        <f t="shared" si="17"/>
        <v>800</v>
      </c>
      <c r="I295" s="44"/>
    </row>
    <row r="296" spans="3:13" s="59" customFormat="1" ht="22.2" customHeight="1">
      <c r="C296" s="450" t="s">
        <v>1208</v>
      </c>
      <c r="D296" s="67"/>
      <c r="E296" s="67"/>
      <c r="F296" s="142"/>
      <c r="G296" s="153"/>
      <c r="H296" s="63">
        <f>SUM(H293:H295)</f>
        <v>9510</v>
      </c>
      <c r="I296" s="154"/>
    </row>
    <row r="297" spans="3:13" s="59" customFormat="1" ht="22.2" customHeight="1">
      <c r="C297" s="61" t="s">
        <v>1209</v>
      </c>
      <c r="D297" s="56" t="s">
        <v>1210</v>
      </c>
      <c r="E297" s="57"/>
      <c r="F297" s="57"/>
      <c r="G297" s="57"/>
      <c r="H297" s="57"/>
      <c r="I297" s="44"/>
    </row>
    <row r="298" spans="3:13" s="59" customFormat="1" ht="22.2" customHeight="1">
      <c r="C298" s="61">
        <v>1</v>
      </c>
      <c r="D298" s="56" t="s">
        <v>8392</v>
      </c>
      <c r="E298" s="93" t="s">
        <v>1300</v>
      </c>
      <c r="F298" s="103">
        <v>1</v>
      </c>
      <c r="G298" s="63">
        <f>VLOOKUP(D298,upahbahan,3,FALSE)</f>
        <v>7600</v>
      </c>
      <c r="H298" s="63">
        <f>F298*G298</f>
        <v>7600</v>
      </c>
      <c r="I298" s="44"/>
    </row>
    <row r="299" spans="3:13" s="59" customFormat="1" ht="22.2" customHeight="1">
      <c r="C299" s="450" t="s">
        <v>1214</v>
      </c>
      <c r="D299" s="67"/>
      <c r="E299" s="67"/>
      <c r="F299" s="67"/>
      <c r="G299" s="69"/>
      <c r="H299" s="63">
        <f>SUM(H298:H298)</f>
        <v>7600</v>
      </c>
      <c r="I299" s="44"/>
    </row>
    <row r="300" spans="3:13" s="59" customFormat="1" ht="22.2" customHeight="1">
      <c r="C300" s="61" t="s">
        <v>1215</v>
      </c>
      <c r="D300" s="56" t="s">
        <v>1216</v>
      </c>
      <c r="E300" s="93"/>
      <c r="F300" s="57"/>
      <c r="G300" s="57"/>
      <c r="H300" s="57"/>
      <c r="I300" s="44"/>
    </row>
    <row r="301" spans="3:13" s="59" customFormat="1" ht="22.2" customHeight="1">
      <c r="C301" s="450" t="s">
        <v>1217</v>
      </c>
      <c r="D301" s="67"/>
      <c r="E301" s="67"/>
      <c r="F301" s="67"/>
      <c r="G301" s="69"/>
      <c r="H301" s="882">
        <f>SUM(H300:H300)</f>
        <v>0</v>
      </c>
      <c r="I301" s="44"/>
    </row>
    <row r="302" spans="3:13" s="59" customFormat="1" ht="22.2" customHeight="1">
      <c r="C302" s="288" t="s">
        <v>1218</v>
      </c>
      <c r="D302" s="76" t="s">
        <v>1219</v>
      </c>
      <c r="E302" s="77"/>
      <c r="F302" s="77"/>
      <c r="G302" s="78"/>
      <c r="H302" s="585">
        <f>H301+H299+H296</f>
        <v>17110</v>
      </c>
      <c r="I302" s="369"/>
    </row>
    <row r="303" spans="3:13" s="59" customFormat="1" ht="22.2" customHeight="1">
      <c r="C303" s="288" t="s">
        <v>1220</v>
      </c>
      <c r="D303" s="76" t="s">
        <v>1321</v>
      </c>
      <c r="E303" s="77"/>
      <c r="F303" s="78"/>
      <c r="G303" s="80">
        <v>0.1</v>
      </c>
      <c r="H303" s="63">
        <f>H302*G303</f>
        <v>1711</v>
      </c>
      <c r="I303" s="369"/>
    </row>
    <row r="304" spans="3:13" s="59" customFormat="1" ht="22.2" customHeight="1">
      <c r="C304" s="288" t="s">
        <v>1221</v>
      </c>
      <c r="D304" s="76" t="s">
        <v>1222</v>
      </c>
      <c r="E304" s="77"/>
      <c r="F304" s="77"/>
      <c r="G304" s="78"/>
      <c r="H304" s="799">
        <f>SUM(H302:H303)</f>
        <v>18821</v>
      </c>
      <c r="I304" s="369"/>
    </row>
    <row r="305" spans="3:13" ht="22.2" customHeight="1"/>
    <row r="306" spans="3:13" s="59" customFormat="1" ht="22.2" customHeight="1">
      <c r="C306" s="46" t="s">
        <v>4794</v>
      </c>
      <c r="D306" s="794" t="s">
        <v>8393</v>
      </c>
      <c r="E306" s="794"/>
      <c r="F306" s="794"/>
      <c r="G306" s="794"/>
      <c r="H306" s="794"/>
      <c r="I306" s="50">
        <f>ROUNDDOWN(H320,-2)</f>
        <v>22500</v>
      </c>
      <c r="J306" s="59" t="s">
        <v>6451</v>
      </c>
      <c r="K306" s="59" t="s">
        <v>8371</v>
      </c>
    </row>
    <row r="307" spans="3:13" s="59" customFormat="1" ht="22.2" customHeight="1">
      <c r="C307" s="591" t="s">
        <v>1195</v>
      </c>
      <c r="D307" s="591" t="s">
        <v>1196</v>
      </c>
      <c r="E307" s="591" t="s">
        <v>1197</v>
      </c>
      <c r="F307" s="591" t="s">
        <v>1198</v>
      </c>
      <c r="G307" s="591" t="s">
        <v>1199</v>
      </c>
      <c r="H307" s="591" t="s">
        <v>1200</v>
      </c>
      <c r="I307" s="44"/>
    </row>
    <row r="308" spans="3:13" s="59" customFormat="1" ht="22.2" customHeight="1">
      <c r="C308" s="61" t="s">
        <v>1201</v>
      </c>
      <c r="D308" s="56" t="s">
        <v>1202</v>
      </c>
      <c r="E308" s="57"/>
      <c r="F308" s="57"/>
      <c r="G308" s="57"/>
      <c r="H308" s="57"/>
      <c r="I308" s="44"/>
      <c r="J308" s="152" t="s">
        <v>1247</v>
      </c>
    </row>
    <row r="309" spans="3:13" s="59" customFormat="1" ht="22.2" customHeight="1">
      <c r="C309" s="588">
        <v>1</v>
      </c>
      <c r="D309" s="56" t="s">
        <v>5</v>
      </c>
      <c r="E309" s="577" t="s">
        <v>6</v>
      </c>
      <c r="F309" s="101">
        <v>6.5000000000000002E-2</v>
      </c>
      <c r="G309" s="63">
        <f>VLOOKUP(D309,upahbahan,3,FALSE)</f>
        <v>100000</v>
      </c>
      <c r="H309" s="63">
        <f>F309*G309</f>
        <v>6500</v>
      </c>
      <c r="I309" s="44"/>
      <c r="J309" s="152" t="s">
        <v>1248</v>
      </c>
      <c r="M309" s="65">
        <v>0.1</v>
      </c>
    </row>
    <row r="310" spans="3:13" s="59" customFormat="1" ht="22.2" customHeight="1">
      <c r="C310" s="588">
        <v>2</v>
      </c>
      <c r="D310" s="56" t="s">
        <v>10</v>
      </c>
      <c r="E310" s="577" t="s">
        <v>6</v>
      </c>
      <c r="F310" s="101">
        <v>3.3000000000000002E-2</v>
      </c>
      <c r="G310" s="63">
        <f>VLOOKUP(D310,upahbahan,3,FALSE)</f>
        <v>135000</v>
      </c>
      <c r="H310" s="63">
        <f t="shared" ref="H310:H311" si="18">F310*G310</f>
        <v>4455</v>
      </c>
      <c r="I310" s="44"/>
      <c r="J310" s="152"/>
      <c r="M310" s="65"/>
    </row>
    <row r="311" spans="3:13" s="59" customFormat="1" ht="22.2" customHeight="1">
      <c r="C311" s="588">
        <v>3</v>
      </c>
      <c r="D311" s="56" t="s">
        <v>19</v>
      </c>
      <c r="E311" s="577" t="s">
        <v>6</v>
      </c>
      <c r="F311" s="101">
        <v>7.0000000000000001E-3</v>
      </c>
      <c r="G311" s="63">
        <f>VLOOKUP(D311,upahbahan,3,FALSE)</f>
        <v>160000</v>
      </c>
      <c r="H311" s="63">
        <f t="shared" si="18"/>
        <v>1120</v>
      </c>
      <c r="I311" s="44"/>
    </row>
    <row r="312" spans="3:13" s="59" customFormat="1" ht="22.2" customHeight="1">
      <c r="C312" s="450" t="s">
        <v>1208</v>
      </c>
      <c r="D312" s="67"/>
      <c r="E312" s="67"/>
      <c r="F312" s="142"/>
      <c r="G312" s="153"/>
      <c r="H312" s="63">
        <f>SUM(H309:H311)</f>
        <v>12075</v>
      </c>
      <c r="I312" s="154"/>
    </row>
    <row r="313" spans="3:13" s="59" customFormat="1" ht="22.2" customHeight="1">
      <c r="C313" s="61" t="s">
        <v>1209</v>
      </c>
      <c r="D313" s="56" t="s">
        <v>1210</v>
      </c>
      <c r="E313" s="57"/>
      <c r="F313" s="57"/>
      <c r="G313" s="57"/>
      <c r="H313" s="57"/>
      <c r="I313" s="44"/>
    </row>
    <row r="314" spans="3:13" s="59" customFormat="1" ht="22.2" customHeight="1">
      <c r="C314" s="61">
        <v>1</v>
      </c>
      <c r="D314" s="56" t="s">
        <v>8394</v>
      </c>
      <c r="E314" s="93" t="s">
        <v>1300</v>
      </c>
      <c r="F314" s="103">
        <v>1</v>
      </c>
      <c r="G314" s="63">
        <f>VLOOKUP(D314,upahbahan,3,FALSE)</f>
        <v>8400</v>
      </c>
      <c r="H314" s="63">
        <f>F314*G314</f>
        <v>8400</v>
      </c>
      <c r="I314" s="44"/>
    </row>
    <row r="315" spans="3:13" s="59" customFormat="1" ht="22.2" customHeight="1">
      <c r="C315" s="450" t="s">
        <v>1214</v>
      </c>
      <c r="D315" s="67"/>
      <c r="E315" s="67"/>
      <c r="F315" s="67"/>
      <c r="G315" s="69"/>
      <c r="H315" s="63">
        <f>SUM(H314:H314)</f>
        <v>8400</v>
      </c>
      <c r="I315" s="44"/>
    </row>
    <row r="316" spans="3:13" s="59" customFormat="1" ht="22.2" customHeight="1">
      <c r="C316" s="61" t="s">
        <v>1215</v>
      </c>
      <c r="D316" s="56" t="s">
        <v>1216</v>
      </c>
      <c r="E316" s="93"/>
      <c r="F316" s="57"/>
      <c r="G316" s="57"/>
      <c r="H316" s="57"/>
      <c r="I316" s="44"/>
    </row>
    <row r="317" spans="3:13" s="59" customFormat="1" ht="22.2" customHeight="1">
      <c r="C317" s="450" t="s">
        <v>1217</v>
      </c>
      <c r="D317" s="67"/>
      <c r="E317" s="67"/>
      <c r="F317" s="67"/>
      <c r="G317" s="69"/>
      <c r="H317" s="882">
        <f>SUM(H316:H316)</f>
        <v>0</v>
      </c>
      <c r="I317" s="44"/>
    </row>
    <row r="318" spans="3:13" s="59" customFormat="1" ht="22.2" customHeight="1">
      <c r="C318" s="288" t="s">
        <v>1218</v>
      </c>
      <c r="D318" s="76" t="s">
        <v>1219</v>
      </c>
      <c r="E318" s="77"/>
      <c r="F318" s="77"/>
      <c r="G318" s="78"/>
      <c r="H318" s="585">
        <f>H317+H315+H312</f>
        <v>20475</v>
      </c>
      <c r="I318" s="369"/>
    </row>
    <row r="319" spans="3:13" s="59" customFormat="1" ht="22.2" customHeight="1">
      <c r="C319" s="288" t="s">
        <v>1220</v>
      </c>
      <c r="D319" s="76" t="s">
        <v>1321</v>
      </c>
      <c r="E319" s="77"/>
      <c r="F319" s="78"/>
      <c r="G319" s="80">
        <v>0.1</v>
      </c>
      <c r="H319" s="63">
        <f>H318*G319</f>
        <v>2047.5</v>
      </c>
      <c r="I319" s="369"/>
    </row>
    <row r="320" spans="3:13" s="59" customFormat="1" ht="22.2" customHeight="1">
      <c r="C320" s="288" t="s">
        <v>1221</v>
      </c>
      <c r="D320" s="76" t="s">
        <v>1222</v>
      </c>
      <c r="E320" s="77"/>
      <c r="F320" s="77"/>
      <c r="G320" s="78"/>
      <c r="H320" s="799">
        <f>SUM(H318:H319)</f>
        <v>22522.5</v>
      </c>
      <c r="I320" s="369"/>
    </row>
    <row r="321" spans="3:13" ht="22.2" customHeight="1"/>
    <row r="322" spans="3:13" s="59" customFormat="1" ht="22.2" customHeight="1">
      <c r="C322" s="46" t="s">
        <v>4796</v>
      </c>
      <c r="D322" s="794" t="s">
        <v>8395</v>
      </c>
      <c r="E322" s="794"/>
      <c r="F322" s="794"/>
      <c r="G322" s="794"/>
      <c r="H322" s="794"/>
      <c r="I322" s="50">
        <f>ROUNDDOWN(H336,-2)</f>
        <v>24200</v>
      </c>
      <c r="J322" s="59" t="s">
        <v>6451</v>
      </c>
      <c r="K322" s="59" t="s">
        <v>8371</v>
      </c>
    </row>
    <row r="323" spans="3:13" s="59" customFormat="1" ht="22.2" customHeight="1">
      <c r="C323" s="591" t="s">
        <v>1195</v>
      </c>
      <c r="D323" s="591" t="s">
        <v>1196</v>
      </c>
      <c r="E323" s="591" t="s">
        <v>1197</v>
      </c>
      <c r="F323" s="591" t="s">
        <v>1198</v>
      </c>
      <c r="G323" s="591" t="s">
        <v>1199</v>
      </c>
      <c r="H323" s="591" t="s">
        <v>1200</v>
      </c>
      <c r="I323" s="44"/>
    </row>
    <row r="324" spans="3:13" s="59" customFormat="1" ht="22.2" customHeight="1">
      <c r="C324" s="61" t="s">
        <v>1201</v>
      </c>
      <c r="D324" s="56" t="s">
        <v>1202</v>
      </c>
      <c r="E324" s="57"/>
      <c r="F324" s="57"/>
      <c r="G324" s="57"/>
      <c r="H324" s="57"/>
      <c r="I324" s="44"/>
      <c r="J324" s="152" t="s">
        <v>1247</v>
      </c>
    </row>
    <row r="325" spans="3:13" s="59" customFormat="1" ht="22.2" customHeight="1">
      <c r="C325" s="588">
        <v>1</v>
      </c>
      <c r="D325" s="56" t="s">
        <v>5</v>
      </c>
      <c r="E325" s="577" t="s">
        <v>6</v>
      </c>
      <c r="F325" s="101">
        <v>6.5000000000000002E-2</v>
      </c>
      <c r="G325" s="63">
        <f>VLOOKUP(D325,upahbahan,3,FALSE)</f>
        <v>100000</v>
      </c>
      <c r="H325" s="63">
        <f>F325*G325</f>
        <v>6500</v>
      </c>
      <c r="I325" s="44"/>
      <c r="J325" s="152" t="s">
        <v>1248</v>
      </c>
      <c r="M325" s="65">
        <v>0.1</v>
      </c>
    </row>
    <row r="326" spans="3:13" s="59" customFormat="1" ht="22.2" customHeight="1">
      <c r="C326" s="588">
        <v>2</v>
      </c>
      <c r="D326" s="56" t="s">
        <v>10</v>
      </c>
      <c r="E326" s="577" t="s">
        <v>6</v>
      </c>
      <c r="F326" s="101">
        <v>3.3000000000000002E-2</v>
      </c>
      <c r="G326" s="63">
        <f>VLOOKUP(D326,upahbahan,3,FALSE)</f>
        <v>135000</v>
      </c>
      <c r="H326" s="63">
        <f t="shared" ref="H326:H327" si="19">F326*G326</f>
        <v>4455</v>
      </c>
      <c r="I326" s="44"/>
      <c r="J326" s="152"/>
      <c r="M326" s="65"/>
    </row>
    <row r="327" spans="3:13" s="59" customFormat="1" ht="22.2" customHeight="1">
      <c r="C327" s="588">
        <v>3</v>
      </c>
      <c r="D327" s="56" t="s">
        <v>19</v>
      </c>
      <c r="E327" s="577" t="s">
        <v>6</v>
      </c>
      <c r="F327" s="101">
        <v>7.0000000000000001E-3</v>
      </c>
      <c r="G327" s="63">
        <f>VLOOKUP(D327,upahbahan,3,FALSE)</f>
        <v>160000</v>
      </c>
      <c r="H327" s="63">
        <f t="shared" si="19"/>
        <v>1120</v>
      </c>
      <c r="I327" s="44"/>
    </row>
    <row r="328" spans="3:13" s="59" customFormat="1" ht="22.2" customHeight="1">
      <c r="C328" s="450" t="s">
        <v>1208</v>
      </c>
      <c r="D328" s="67"/>
      <c r="E328" s="67"/>
      <c r="F328" s="142"/>
      <c r="G328" s="153"/>
      <c r="H328" s="63">
        <f>SUM(H325:H327)</f>
        <v>12075</v>
      </c>
      <c r="I328" s="154"/>
    </row>
    <row r="329" spans="3:13" s="59" customFormat="1" ht="22.2" customHeight="1">
      <c r="C329" s="61" t="s">
        <v>1209</v>
      </c>
      <c r="D329" s="56" t="s">
        <v>1210</v>
      </c>
      <c r="E329" s="57"/>
      <c r="F329" s="57"/>
      <c r="G329" s="57"/>
      <c r="H329" s="57"/>
      <c r="I329" s="44"/>
    </row>
    <row r="330" spans="3:13" s="59" customFormat="1" ht="22.2" customHeight="1">
      <c r="C330" s="61">
        <v>1</v>
      </c>
      <c r="D330" s="56" t="s">
        <v>8396</v>
      </c>
      <c r="E330" s="93" t="s">
        <v>1300</v>
      </c>
      <c r="F330" s="103">
        <v>1</v>
      </c>
      <c r="G330" s="63">
        <f>VLOOKUP(D330,upahbahan,3,FALSE)</f>
        <v>10000</v>
      </c>
      <c r="H330" s="63">
        <f>F330*G330</f>
        <v>10000</v>
      </c>
      <c r="I330" s="44"/>
    </row>
    <row r="331" spans="3:13" s="59" customFormat="1" ht="22.2" customHeight="1">
      <c r="C331" s="450" t="s">
        <v>1214</v>
      </c>
      <c r="D331" s="67"/>
      <c r="E331" s="67"/>
      <c r="F331" s="67"/>
      <c r="G331" s="69"/>
      <c r="H331" s="63">
        <f>SUM(H330:H330)</f>
        <v>10000</v>
      </c>
      <c r="I331" s="44"/>
    </row>
    <row r="332" spans="3:13" s="59" customFormat="1" ht="22.2" customHeight="1">
      <c r="C332" s="61" t="s">
        <v>1215</v>
      </c>
      <c r="D332" s="56" t="s">
        <v>1216</v>
      </c>
      <c r="E332" s="93"/>
      <c r="F332" s="57"/>
      <c r="G332" s="57"/>
      <c r="H332" s="57"/>
      <c r="I332" s="44"/>
    </row>
    <row r="333" spans="3:13" s="59" customFormat="1" ht="22.2" customHeight="1">
      <c r="C333" s="450" t="s">
        <v>1217</v>
      </c>
      <c r="D333" s="67"/>
      <c r="E333" s="67"/>
      <c r="F333" s="67"/>
      <c r="G333" s="69"/>
      <c r="H333" s="882">
        <f>SUM(H332:H332)</f>
        <v>0</v>
      </c>
      <c r="I333" s="44"/>
    </row>
    <row r="334" spans="3:13" s="59" customFormat="1" ht="22.2" customHeight="1">
      <c r="C334" s="288" t="s">
        <v>1218</v>
      </c>
      <c r="D334" s="76" t="s">
        <v>1219</v>
      </c>
      <c r="E334" s="77"/>
      <c r="F334" s="77"/>
      <c r="G334" s="78"/>
      <c r="H334" s="585">
        <f>H333+H331+H328</f>
        <v>22075</v>
      </c>
      <c r="I334" s="369"/>
    </row>
    <row r="335" spans="3:13" s="59" customFormat="1" ht="22.2" customHeight="1">
      <c r="C335" s="288" t="s">
        <v>1220</v>
      </c>
      <c r="D335" s="76" t="s">
        <v>1321</v>
      </c>
      <c r="E335" s="77"/>
      <c r="F335" s="78"/>
      <c r="G335" s="80">
        <v>0.1</v>
      </c>
      <c r="H335" s="63">
        <f>H334*G335</f>
        <v>2207.5</v>
      </c>
      <c r="I335" s="369"/>
    </row>
    <row r="336" spans="3:13" s="59" customFormat="1" ht="22.2" customHeight="1">
      <c r="C336" s="288" t="s">
        <v>1221</v>
      </c>
      <c r="D336" s="76" t="s">
        <v>1222</v>
      </c>
      <c r="E336" s="77"/>
      <c r="F336" s="77"/>
      <c r="G336" s="78"/>
      <c r="H336" s="799">
        <f>SUM(H334:H335)</f>
        <v>24282.5</v>
      </c>
      <c r="I336" s="369"/>
    </row>
    <row r="337" spans="3:13" ht="22.2" customHeight="1"/>
    <row r="338" spans="3:13" s="59" customFormat="1" ht="22.2" customHeight="1">
      <c r="C338" s="46" t="s">
        <v>4798</v>
      </c>
      <c r="D338" s="794" t="s">
        <v>8397</v>
      </c>
      <c r="E338" s="794"/>
      <c r="F338" s="794"/>
      <c r="G338" s="794"/>
      <c r="H338" s="794"/>
      <c r="I338" s="50">
        <f>ROUNDDOWN(H352,-2)</f>
        <v>24900</v>
      </c>
      <c r="J338" s="59" t="s">
        <v>6451</v>
      </c>
      <c r="K338" s="59" t="s">
        <v>8371</v>
      </c>
    </row>
    <row r="339" spans="3:13" s="59" customFormat="1" ht="22.2" customHeight="1">
      <c r="C339" s="591" t="s">
        <v>1195</v>
      </c>
      <c r="D339" s="591" t="s">
        <v>1196</v>
      </c>
      <c r="E339" s="591" t="s">
        <v>1197</v>
      </c>
      <c r="F339" s="591" t="s">
        <v>1198</v>
      </c>
      <c r="G339" s="591" t="s">
        <v>1199</v>
      </c>
      <c r="H339" s="591" t="s">
        <v>1200</v>
      </c>
      <c r="I339" s="44"/>
    </row>
    <row r="340" spans="3:13" s="59" customFormat="1" ht="22.2" customHeight="1">
      <c r="C340" s="61" t="s">
        <v>1201</v>
      </c>
      <c r="D340" s="56" t="s">
        <v>1202</v>
      </c>
      <c r="E340" s="57"/>
      <c r="F340" s="57"/>
      <c r="G340" s="57"/>
      <c r="H340" s="57"/>
      <c r="I340" s="44"/>
      <c r="J340" s="152" t="s">
        <v>1247</v>
      </c>
    </row>
    <row r="341" spans="3:13" s="59" customFormat="1" ht="22.2" customHeight="1">
      <c r="C341" s="588">
        <v>1</v>
      </c>
      <c r="D341" s="56" t="s">
        <v>5</v>
      </c>
      <c r="E341" s="577" t="s">
        <v>6</v>
      </c>
      <c r="F341" s="101">
        <v>6.5000000000000002E-2</v>
      </c>
      <c r="G341" s="63">
        <f>VLOOKUP(D341,upahbahan,3,FALSE)</f>
        <v>100000</v>
      </c>
      <c r="H341" s="63">
        <f>F341*G341</f>
        <v>6500</v>
      </c>
      <c r="I341" s="44"/>
      <c r="J341" s="152" t="s">
        <v>1248</v>
      </c>
      <c r="M341" s="65">
        <v>0.1</v>
      </c>
    </row>
    <row r="342" spans="3:13" s="59" customFormat="1" ht="22.2" customHeight="1">
      <c r="C342" s="588">
        <v>2</v>
      </c>
      <c r="D342" s="56" t="s">
        <v>10</v>
      </c>
      <c r="E342" s="577" t="s">
        <v>6</v>
      </c>
      <c r="F342" s="101">
        <v>3.3000000000000002E-2</v>
      </c>
      <c r="G342" s="63">
        <f>VLOOKUP(D342,upahbahan,3,FALSE)</f>
        <v>135000</v>
      </c>
      <c r="H342" s="63">
        <f t="shared" ref="H342:H343" si="20">F342*G342</f>
        <v>4455</v>
      </c>
      <c r="I342" s="44"/>
      <c r="J342" s="152"/>
      <c r="M342" s="65"/>
    </row>
    <row r="343" spans="3:13" s="59" customFormat="1" ht="22.2" customHeight="1">
      <c r="C343" s="588">
        <v>3</v>
      </c>
      <c r="D343" s="56" t="s">
        <v>19</v>
      </c>
      <c r="E343" s="577" t="s">
        <v>6</v>
      </c>
      <c r="F343" s="101">
        <v>7.0000000000000001E-3</v>
      </c>
      <c r="G343" s="63">
        <f>VLOOKUP(D343,upahbahan,3,FALSE)</f>
        <v>160000</v>
      </c>
      <c r="H343" s="63">
        <f t="shared" si="20"/>
        <v>1120</v>
      </c>
      <c r="I343" s="44"/>
    </row>
    <row r="344" spans="3:13" s="59" customFormat="1" ht="22.2" customHeight="1">
      <c r="C344" s="450" t="s">
        <v>1208</v>
      </c>
      <c r="D344" s="67"/>
      <c r="E344" s="67"/>
      <c r="F344" s="142"/>
      <c r="G344" s="153"/>
      <c r="H344" s="63">
        <f>SUM(H341:H343)</f>
        <v>12075</v>
      </c>
      <c r="I344" s="154"/>
    </row>
    <row r="345" spans="3:13" s="59" customFormat="1" ht="22.2" customHeight="1">
      <c r="C345" s="61" t="s">
        <v>1209</v>
      </c>
      <c r="D345" s="56" t="s">
        <v>1210</v>
      </c>
      <c r="E345" s="57"/>
      <c r="F345" s="57"/>
      <c r="G345" s="57"/>
      <c r="H345" s="57"/>
      <c r="I345" s="44"/>
    </row>
    <row r="346" spans="3:13" s="59" customFormat="1" ht="22.2" customHeight="1">
      <c r="C346" s="61">
        <v>1</v>
      </c>
      <c r="D346" s="56" t="s">
        <v>8398</v>
      </c>
      <c r="E346" s="93" t="s">
        <v>1300</v>
      </c>
      <c r="F346" s="103">
        <v>1</v>
      </c>
      <c r="G346" s="63">
        <f>VLOOKUP(D346,upahbahan,3,FALSE)</f>
        <v>10600</v>
      </c>
      <c r="H346" s="63">
        <f>F346*G346</f>
        <v>10600</v>
      </c>
      <c r="I346" s="44"/>
    </row>
    <row r="347" spans="3:13" s="59" customFormat="1" ht="22.2" customHeight="1">
      <c r="C347" s="450" t="s">
        <v>1214</v>
      </c>
      <c r="D347" s="67"/>
      <c r="E347" s="67"/>
      <c r="F347" s="67"/>
      <c r="G347" s="69"/>
      <c r="H347" s="63">
        <f>SUM(H346:H346)</f>
        <v>10600</v>
      </c>
      <c r="I347" s="44"/>
    </row>
    <row r="348" spans="3:13" s="59" customFormat="1" ht="22.2" customHeight="1">
      <c r="C348" s="61" t="s">
        <v>1215</v>
      </c>
      <c r="D348" s="56" t="s">
        <v>1216</v>
      </c>
      <c r="E348" s="93"/>
      <c r="F348" s="57"/>
      <c r="G348" s="57"/>
      <c r="H348" s="57"/>
      <c r="I348" s="44"/>
    </row>
    <row r="349" spans="3:13" s="59" customFormat="1" ht="22.2" customHeight="1">
      <c r="C349" s="450" t="s">
        <v>1217</v>
      </c>
      <c r="D349" s="67"/>
      <c r="E349" s="67"/>
      <c r="F349" s="67"/>
      <c r="G349" s="69"/>
      <c r="H349" s="882">
        <f>SUM(H348:H348)</f>
        <v>0</v>
      </c>
      <c r="I349" s="44"/>
    </row>
    <row r="350" spans="3:13" s="59" customFormat="1" ht="22.2" customHeight="1">
      <c r="C350" s="288" t="s">
        <v>1218</v>
      </c>
      <c r="D350" s="76" t="s">
        <v>1219</v>
      </c>
      <c r="E350" s="77"/>
      <c r="F350" s="77"/>
      <c r="G350" s="78"/>
      <c r="H350" s="585">
        <f>H349+H347+H344</f>
        <v>22675</v>
      </c>
      <c r="I350" s="369"/>
    </row>
    <row r="351" spans="3:13" s="59" customFormat="1" ht="22.2" customHeight="1">
      <c r="C351" s="288" t="s">
        <v>1220</v>
      </c>
      <c r="D351" s="76" t="s">
        <v>1321</v>
      </c>
      <c r="E351" s="77"/>
      <c r="F351" s="78"/>
      <c r="G351" s="80">
        <v>0.1</v>
      </c>
      <c r="H351" s="63">
        <f>H350*G351</f>
        <v>2267.5</v>
      </c>
      <c r="I351" s="369"/>
    </row>
    <row r="352" spans="3:13" s="59" customFormat="1" ht="22.2" customHeight="1">
      <c r="C352" s="288" t="s">
        <v>1221</v>
      </c>
      <c r="D352" s="76" t="s">
        <v>1222</v>
      </c>
      <c r="E352" s="77"/>
      <c r="F352" s="77"/>
      <c r="G352" s="78"/>
      <c r="H352" s="799">
        <f>SUM(H350:H351)</f>
        <v>24942.5</v>
      </c>
      <c r="I352" s="369"/>
    </row>
    <row r="353" spans="3:13" ht="22.2" customHeight="1"/>
    <row r="354" spans="3:13" s="59" customFormat="1" ht="22.2" customHeight="1">
      <c r="C354" s="46" t="s">
        <v>4800</v>
      </c>
      <c r="D354" s="794" t="s">
        <v>8399</v>
      </c>
      <c r="E354" s="794"/>
      <c r="F354" s="794"/>
      <c r="G354" s="794"/>
      <c r="H354" s="794"/>
      <c r="I354" s="50">
        <f>ROUNDDOWN(H368,-2)</f>
        <v>31500</v>
      </c>
      <c r="J354" s="59" t="s">
        <v>6451</v>
      </c>
      <c r="K354" s="59" t="s">
        <v>8371</v>
      </c>
    </row>
    <row r="355" spans="3:13" s="59" customFormat="1" ht="22.2" customHeight="1">
      <c r="C355" s="591" t="s">
        <v>1195</v>
      </c>
      <c r="D355" s="591" t="s">
        <v>1196</v>
      </c>
      <c r="E355" s="591" t="s">
        <v>1197</v>
      </c>
      <c r="F355" s="591" t="s">
        <v>1198</v>
      </c>
      <c r="G355" s="591" t="s">
        <v>1199</v>
      </c>
      <c r="H355" s="591" t="s">
        <v>1200</v>
      </c>
      <c r="I355" s="44"/>
    </row>
    <row r="356" spans="3:13" s="59" customFormat="1" ht="22.2" customHeight="1">
      <c r="C356" s="61" t="s">
        <v>1201</v>
      </c>
      <c r="D356" s="56" t="s">
        <v>1202</v>
      </c>
      <c r="E356" s="57"/>
      <c r="F356" s="57"/>
      <c r="G356" s="57"/>
      <c r="H356" s="57"/>
      <c r="I356" s="44"/>
      <c r="J356" s="152" t="s">
        <v>1247</v>
      </c>
    </row>
    <row r="357" spans="3:13" s="59" customFormat="1" ht="22.2" customHeight="1">
      <c r="C357" s="588">
        <v>1</v>
      </c>
      <c r="D357" s="56" t="s">
        <v>5</v>
      </c>
      <c r="E357" s="577" t="s">
        <v>6</v>
      </c>
      <c r="F357" s="101">
        <v>8.1000000000000003E-2</v>
      </c>
      <c r="G357" s="63">
        <f>VLOOKUP(D357,upahbahan,3,FALSE)</f>
        <v>100000</v>
      </c>
      <c r="H357" s="63">
        <f>F357*G357</f>
        <v>8100</v>
      </c>
      <c r="I357" s="44"/>
      <c r="J357" s="152" t="s">
        <v>1248</v>
      </c>
      <c r="M357" s="65">
        <v>0.1</v>
      </c>
    </row>
    <row r="358" spans="3:13" s="59" customFormat="1" ht="22.2" customHeight="1">
      <c r="C358" s="588">
        <v>2</v>
      </c>
      <c r="D358" s="56" t="s">
        <v>10</v>
      </c>
      <c r="E358" s="577" t="s">
        <v>6</v>
      </c>
      <c r="F358" s="101">
        <v>4.1000000000000002E-2</v>
      </c>
      <c r="G358" s="63">
        <f>VLOOKUP(D358,upahbahan,3,FALSE)</f>
        <v>135000</v>
      </c>
      <c r="H358" s="63">
        <f t="shared" ref="H358:H359" si="21">F358*G358</f>
        <v>5535</v>
      </c>
      <c r="I358" s="44"/>
      <c r="J358" s="152"/>
      <c r="M358" s="65"/>
    </row>
    <row r="359" spans="3:13" s="59" customFormat="1" ht="22.2" customHeight="1">
      <c r="C359" s="588">
        <v>3</v>
      </c>
      <c r="D359" s="56" t="s">
        <v>19</v>
      </c>
      <c r="E359" s="577" t="s">
        <v>6</v>
      </c>
      <c r="F359" s="101">
        <v>8.0000000000000002E-3</v>
      </c>
      <c r="G359" s="63">
        <f>VLOOKUP(D359,upahbahan,3,FALSE)</f>
        <v>160000</v>
      </c>
      <c r="H359" s="63">
        <f t="shared" si="21"/>
        <v>1280</v>
      </c>
      <c r="I359" s="44"/>
    </row>
    <row r="360" spans="3:13" s="59" customFormat="1" ht="22.2" customHeight="1">
      <c r="C360" s="450" t="s">
        <v>1208</v>
      </c>
      <c r="D360" s="67"/>
      <c r="E360" s="67"/>
      <c r="F360" s="142"/>
      <c r="G360" s="153"/>
      <c r="H360" s="63">
        <f>SUM(H357:H359)</f>
        <v>14915</v>
      </c>
      <c r="I360" s="154"/>
    </row>
    <row r="361" spans="3:13" s="59" customFormat="1" ht="22.2" customHeight="1">
      <c r="C361" s="61" t="s">
        <v>1209</v>
      </c>
      <c r="D361" s="56" t="s">
        <v>1210</v>
      </c>
      <c r="E361" s="57"/>
      <c r="F361" s="57"/>
      <c r="G361" s="57"/>
      <c r="H361" s="57"/>
      <c r="I361" s="44"/>
    </row>
    <row r="362" spans="3:13" s="59" customFormat="1" ht="22.2" customHeight="1">
      <c r="C362" s="61">
        <v>1</v>
      </c>
      <c r="D362" s="56" t="s">
        <v>8400</v>
      </c>
      <c r="E362" s="93" t="s">
        <v>1300</v>
      </c>
      <c r="F362" s="103">
        <v>1</v>
      </c>
      <c r="G362" s="63">
        <f>VLOOKUP(D362,upahbahan,3,FALSE)</f>
        <v>13800</v>
      </c>
      <c r="H362" s="63">
        <f>F362*G362</f>
        <v>13800</v>
      </c>
      <c r="I362" s="44"/>
    </row>
    <row r="363" spans="3:13" s="59" customFormat="1" ht="22.2" customHeight="1">
      <c r="C363" s="450" t="s">
        <v>1214</v>
      </c>
      <c r="D363" s="67"/>
      <c r="E363" s="67"/>
      <c r="F363" s="67"/>
      <c r="G363" s="69"/>
      <c r="H363" s="63">
        <f>SUM(H362:H362)</f>
        <v>13800</v>
      </c>
      <c r="I363" s="44"/>
    </row>
    <row r="364" spans="3:13" s="59" customFormat="1" ht="22.2" customHeight="1">
      <c r="C364" s="61" t="s">
        <v>1215</v>
      </c>
      <c r="D364" s="56" t="s">
        <v>1216</v>
      </c>
      <c r="E364" s="93"/>
      <c r="F364" s="57"/>
      <c r="G364" s="57"/>
      <c r="H364" s="57"/>
      <c r="I364" s="44"/>
    </row>
    <row r="365" spans="3:13" s="59" customFormat="1" ht="22.2" customHeight="1">
      <c r="C365" s="450" t="s">
        <v>1217</v>
      </c>
      <c r="D365" s="67"/>
      <c r="E365" s="67"/>
      <c r="F365" s="67"/>
      <c r="G365" s="69"/>
      <c r="H365" s="882">
        <f>SUM(H364:H364)</f>
        <v>0</v>
      </c>
      <c r="I365" s="44"/>
    </row>
    <row r="366" spans="3:13" s="59" customFormat="1" ht="22.2" customHeight="1">
      <c r="C366" s="288" t="s">
        <v>1218</v>
      </c>
      <c r="D366" s="76" t="s">
        <v>1219</v>
      </c>
      <c r="E366" s="77"/>
      <c r="F366" s="77"/>
      <c r="G366" s="78"/>
      <c r="H366" s="585">
        <f>H365+H363+H360</f>
        <v>28715</v>
      </c>
      <c r="I366" s="369"/>
    </row>
    <row r="367" spans="3:13" s="59" customFormat="1" ht="22.2" customHeight="1">
      <c r="C367" s="288" t="s">
        <v>1220</v>
      </c>
      <c r="D367" s="76" t="s">
        <v>1321</v>
      </c>
      <c r="E367" s="77"/>
      <c r="F367" s="78"/>
      <c r="G367" s="80">
        <v>0.1</v>
      </c>
      <c r="H367" s="63">
        <f>H366*G367</f>
        <v>2871.5</v>
      </c>
      <c r="I367" s="369"/>
    </row>
    <row r="368" spans="3:13" s="59" customFormat="1" ht="22.2" customHeight="1">
      <c r="C368" s="288" t="s">
        <v>1221</v>
      </c>
      <c r="D368" s="76" t="s">
        <v>1222</v>
      </c>
      <c r="E368" s="77"/>
      <c r="F368" s="77"/>
      <c r="G368" s="78"/>
      <c r="H368" s="799">
        <f>SUM(H366:H367)</f>
        <v>31586.5</v>
      </c>
      <c r="I368" s="369"/>
    </row>
    <row r="369" spans="3:13" ht="22.2" customHeight="1"/>
    <row r="370" spans="3:13" ht="22.2" customHeight="1">
      <c r="C370" s="43" t="s">
        <v>4802</v>
      </c>
      <c r="D370" s="128" t="s">
        <v>4803</v>
      </c>
    </row>
    <row r="371" spans="3:13" s="59" customFormat="1" ht="22.2" customHeight="1">
      <c r="C371" s="46" t="s">
        <v>4804</v>
      </c>
      <c r="D371" s="794" t="s">
        <v>8401</v>
      </c>
      <c r="E371" s="794"/>
      <c r="F371" s="794"/>
      <c r="G371" s="794"/>
      <c r="H371" s="794"/>
      <c r="I371" s="50">
        <f>ROUNDDOWN(H385,-2)</f>
        <v>1000</v>
      </c>
      <c r="J371" s="59" t="s">
        <v>6451</v>
      </c>
      <c r="K371" s="59" t="s">
        <v>8371</v>
      </c>
    </row>
    <row r="372" spans="3:13" s="59" customFormat="1" ht="22.2" customHeight="1">
      <c r="C372" s="591" t="s">
        <v>1195</v>
      </c>
      <c r="D372" s="591" t="s">
        <v>1196</v>
      </c>
      <c r="E372" s="591" t="s">
        <v>1197</v>
      </c>
      <c r="F372" s="591" t="s">
        <v>1198</v>
      </c>
      <c r="G372" s="591" t="s">
        <v>1199</v>
      </c>
      <c r="H372" s="591" t="s">
        <v>1200</v>
      </c>
      <c r="I372" s="44"/>
    </row>
    <row r="373" spans="3:13" s="59" customFormat="1" ht="22.2" customHeight="1">
      <c r="C373" s="61" t="s">
        <v>1201</v>
      </c>
      <c r="D373" s="56" t="s">
        <v>1202</v>
      </c>
      <c r="E373" s="57"/>
      <c r="F373" s="57"/>
      <c r="G373" s="57"/>
      <c r="H373" s="57"/>
      <c r="I373" s="44"/>
      <c r="J373" s="152" t="s">
        <v>1247</v>
      </c>
    </row>
    <row r="374" spans="3:13" s="59" customFormat="1" ht="22.2" customHeight="1">
      <c r="C374" s="588">
        <v>1</v>
      </c>
      <c r="D374" s="56" t="s">
        <v>5</v>
      </c>
      <c r="E374" s="577" t="s">
        <v>6</v>
      </c>
      <c r="F374" s="101">
        <v>5.0000000000000001E-3</v>
      </c>
      <c r="G374" s="63">
        <f>VLOOKUP(D374,upahbahan,3,FALSE)</f>
        <v>100000</v>
      </c>
      <c r="H374" s="63">
        <f>F374*G374</f>
        <v>500</v>
      </c>
      <c r="I374" s="44"/>
      <c r="J374" s="152" t="s">
        <v>1248</v>
      </c>
      <c r="M374" s="65">
        <v>0.1</v>
      </c>
    </row>
    <row r="375" spans="3:13" s="59" customFormat="1" ht="22.2" customHeight="1">
      <c r="C375" s="588">
        <v>2</v>
      </c>
      <c r="D375" s="56" t="s">
        <v>10</v>
      </c>
      <c r="E375" s="577" t="s">
        <v>6</v>
      </c>
      <c r="F375" s="101">
        <v>2E-3</v>
      </c>
      <c r="G375" s="63">
        <f>VLOOKUP(D375,upahbahan,3,FALSE)</f>
        <v>135000</v>
      </c>
      <c r="H375" s="63">
        <f t="shared" ref="H375:H376" si="22">F375*G375</f>
        <v>270</v>
      </c>
      <c r="I375" s="44"/>
      <c r="J375" s="152"/>
      <c r="M375" s="65"/>
    </row>
    <row r="376" spans="3:13" s="59" customFormat="1" ht="22.2" customHeight="1">
      <c r="C376" s="588">
        <v>3</v>
      </c>
      <c r="D376" s="56" t="s">
        <v>19</v>
      </c>
      <c r="E376" s="577" t="s">
        <v>6</v>
      </c>
      <c r="F376" s="101">
        <v>5.0000000000000001E-4</v>
      </c>
      <c r="G376" s="63">
        <f>VLOOKUP(D376,upahbahan,3,FALSE)</f>
        <v>160000</v>
      </c>
      <c r="H376" s="63">
        <f t="shared" si="22"/>
        <v>80</v>
      </c>
      <c r="I376" s="44"/>
    </row>
    <row r="377" spans="3:13" s="59" customFormat="1" ht="22.2" customHeight="1">
      <c r="C377" s="450" t="s">
        <v>1208</v>
      </c>
      <c r="D377" s="67"/>
      <c r="E377" s="67"/>
      <c r="F377" s="142"/>
      <c r="G377" s="153"/>
      <c r="H377" s="63">
        <f>SUM(H374:H376)</f>
        <v>850</v>
      </c>
      <c r="I377" s="154"/>
    </row>
    <row r="378" spans="3:13" s="59" customFormat="1" ht="22.2" customHeight="1">
      <c r="C378" s="61" t="s">
        <v>1209</v>
      </c>
      <c r="D378" s="56" t="s">
        <v>1210</v>
      </c>
      <c r="E378" s="57"/>
      <c r="F378" s="57"/>
      <c r="G378" s="57"/>
      <c r="H378" s="57"/>
      <c r="I378" s="44"/>
    </row>
    <row r="379" spans="3:13" s="59" customFormat="1" ht="22.2" customHeight="1">
      <c r="C379" s="450" t="s">
        <v>1214</v>
      </c>
      <c r="D379" s="67"/>
      <c r="E379" s="67"/>
      <c r="F379" s="67"/>
      <c r="G379" s="69"/>
      <c r="H379" s="63">
        <f>SUM(H378)</f>
        <v>0</v>
      </c>
      <c r="I379" s="44"/>
    </row>
    <row r="380" spans="3:13" s="59" customFormat="1" ht="22.2" customHeight="1">
      <c r="C380" s="61" t="s">
        <v>1215</v>
      </c>
      <c r="D380" s="56" t="s">
        <v>1216</v>
      </c>
      <c r="E380" s="93"/>
      <c r="F380" s="57"/>
      <c r="G380" s="57"/>
      <c r="H380" s="57"/>
      <c r="I380" s="44"/>
    </row>
    <row r="381" spans="3:13" s="59" customFormat="1" ht="22.2" customHeight="1">
      <c r="C381" s="800">
        <v>1</v>
      </c>
      <c r="D381" s="56" t="s">
        <v>8404</v>
      </c>
      <c r="E381" s="93" t="s">
        <v>1974</v>
      </c>
      <c r="F381" s="94">
        <v>3.0000000000000001E-3</v>
      </c>
      <c r="G381" s="63">
        <f>VLOOKUP(D381,upahbahan,3,FALSE)</f>
        <v>35000</v>
      </c>
      <c r="H381" s="63">
        <f t="shared" ref="H381" si="23">F381*G381</f>
        <v>105</v>
      </c>
      <c r="I381" s="44"/>
    </row>
    <row r="382" spans="3:13" s="59" customFormat="1" ht="22.2" customHeight="1">
      <c r="C382" s="450" t="s">
        <v>1217</v>
      </c>
      <c r="D382" s="67"/>
      <c r="E382" s="67"/>
      <c r="F382" s="67"/>
      <c r="G382" s="69"/>
      <c r="H382" s="882">
        <f>SUM(H380:H381)</f>
        <v>105</v>
      </c>
      <c r="I382" s="44"/>
    </row>
    <row r="383" spans="3:13" s="59" customFormat="1" ht="22.2" customHeight="1">
      <c r="C383" s="288" t="s">
        <v>1218</v>
      </c>
      <c r="D383" s="76" t="s">
        <v>1219</v>
      </c>
      <c r="E383" s="77"/>
      <c r="F383" s="77"/>
      <c r="G383" s="78"/>
      <c r="H383" s="585">
        <f>H382+H379+H377</f>
        <v>955</v>
      </c>
      <c r="I383" s="369"/>
    </row>
    <row r="384" spans="3:13" s="59" customFormat="1" ht="22.2" customHeight="1">
      <c r="C384" s="288" t="s">
        <v>1220</v>
      </c>
      <c r="D384" s="76" t="s">
        <v>1321</v>
      </c>
      <c r="E384" s="77"/>
      <c r="F384" s="78"/>
      <c r="G384" s="80">
        <v>0.1</v>
      </c>
      <c r="H384" s="63">
        <f>H383*G384</f>
        <v>95.5</v>
      </c>
      <c r="I384" s="369"/>
    </row>
    <row r="385" spans="3:13" s="59" customFormat="1" ht="22.2" customHeight="1">
      <c r="C385" s="288" t="s">
        <v>1221</v>
      </c>
      <c r="D385" s="76" t="s">
        <v>1222</v>
      </c>
      <c r="E385" s="77"/>
      <c r="F385" s="77"/>
      <c r="G385" s="78"/>
      <c r="H385" s="799">
        <f>SUM(H383:H384)</f>
        <v>1050.5</v>
      </c>
      <c r="I385" s="369"/>
    </row>
    <row r="386" spans="3:13" ht="22.2" customHeight="1"/>
    <row r="387" spans="3:13" s="59" customFormat="1" ht="22.2" customHeight="1">
      <c r="C387" s="46" t="s">
        <v>4806</v>
      </c>
      <c r="D387" s="794" t="s">
        <v>8402</v>
      </c>
      <c r="E387" s="794"/>
      <c r="F387" s="794"/>
      <c r="G387" s="794"/>
      <c r="H387" s="794"/>
      <c r="I387" s="50">
        <f>ROUNDDOWN(H401,-2)</f>
        <v>2800</v>
      </c>
      <c r="J387" s="59" t="s">
        <v>6451</v>
      </c>
      <c r="K387" s="59" t="s">
        <v>8371</v>
      </c>
    </row>
    <row r="388" spans="3:13" s="59" customFormat="1" ht="22.2" customHeight="1">
      <c r="C388" s="591" t="s">
        <v>1195</v>
      </c>
      <c r="D388" s="591" t="s">
        <v>1196</v>
      </c>
      <c r="E388" s="591" t="s">
        <v>1197</v>
      </c>
      <c r="F388" s="591" t="s">
        <v>1198</v>
      </c>
      <c r="G388" s="591" t="s">
        <v>1199</v>
      </c>
      <c r="H388" s="591" t="s">
        <v>1200</v>
      </c>
      <c r="I388" s="44"/>
    </row>
    <row r="389" spans="3:13" s="59" customFormat="1" ht="22.2" customHeight="1">
      <c r="C389" s="61" t="s">
        <v>1201</v>
      </c>
      <c r="D389" s="56" t="s">
        <v>1202</v>
      </c>
      <c r="E389" s="57"/>
      <c r="F389" s="57"/>
      <c r="G389" s="57"/>
      <c r="H389" s="57"/>
      <c r="I389" s="44"/>
      <c r="J389" s="152" t="s">
        <v>1247</v>
      </c>
    </row>
    <row r="390" spans="3:13" s="59" customFormat="1" ht="22.2" customHeight="1">
      <c r="C390" s="588">
        <v>1</v>
      </c>
      <c r="D390" s="56" t="s">
        <v>5</v>
      </c>
      <c r="E390" s="577" t="s">
        <v>6</v>
      </c>
      <c r="F390" s="101">
        <v>1.4E-2</v>
      </c>
      <c r="G390" s="63">
        <f>VLOOKUP(D390,upahbahan,3,FALSE)</f>
        <v>100000</v>
      </c>
      <c r="H390" s="63">
        <f>F390*G390</f>
        <v>1400</v>
      </c>
      <c r="I390" s="44"/>
      <c r="J390" s="152" t="s">
        <v>1248</v>
      </c>
      <c r="M390" s="65">
        <v>0.1</v>
      </c>
    </row>
    <row r="391" spans="3:13" s="59" customFormat="1" ht="22.2" customHeight="1">
      <c r="C391" s="588">
        <v>2</v>
      </c>
      <c r="D391" s="56" t="s">
        <v>10</v>
      </c>
      <c r="E391" s="577" t="s">
        <v>6</v>
      </c>
      <c r="F391" s="101">
        <v>7.0000000000000001E-3</v>
      </c>
      <c r="G391" s="63">
        <f>VLOOKUP(D391,upahbahan,3,FALSE)</f>
        <v>135000</v>
      </c>
      <c r="H391" s="63">
        <f t="shared" ref="H391:H392" si="24">F391*G391</f>
        <v>945</v>
      </c>
      <c r="I391" s="44"/>
      <c r="J391" s="152"/>
      <c r="M391" s="65"/>
    </row>
    <row r="392" spans="3:13" s="59" customFormat="1" ht="22.2" customHeight="1">
      <c r="C392" s="588">
        <v>3</v>
      </c>
      <c r="D392" s="56" t="s">
        <v>19</v>
      </c>
      <c r="E392" s="577" t="s">
        <v>6</v>
      </c>
      <c r="F392" s="101">
        <v>1E-3</v>
      </c>
      <c r="G392" s="63">
        <f>VLOOKUP(D392,upahbahan,3,FALSE)</f>
        <v>160000</v>
      </c>
      <c r="H392" s="63">
        <f t="shared" si="24"/>
        <v>160</v>
      </c>
      <c r="I392" s="44"/>
    </row>
    <row r="393" spans="3:13" s="59" customFormat="1" ht="22.2" customHeight="1">
      <c r="C393" s="450" t="s">
        <v>1208</v>
      </c>
      <c r="D393" s="67"/>
      <c r="E393" s="67"/>
      <c r="F393" s="142"/>
      <c r="G393" s="153"/>
      <c r="H393" s="63">
        <f>SUM(H390:H392)</f>
        <v>2505</v>
      </c>
      <c r="I393" s="154"/>
    </row>
    <row r="394" spans="3:13" s="59" customFormat="1" ht="22.2" customHeight="1">
      <c r="C394" s="61" t="s">
        <v>1209</v>
      </c>
      <c r="D394" s="56" t="s">
        <v>1210</v>
      </c>
      <c r="E394" s="57"/>
      <c r="F394" s="57"/>
      <c r="G394" s="57"/>
      <c r="H394" s="57"/>
      <c r="I394" s="44"/>
    </row>
    <row r="395" spans="3:13" s="59" customFormat="1" ht="22.2" customHeight="1">
      <c r="C395" s="450" t="s">
        <v>1214</v>
      </c>
      <c r="D395" s="67"/>
      <c r="E395" s="67"/>
      <c r="F395" s="67"/>
      <c r="G395" s="69"/>
      <c r="H395" s="63">
        <f>SUM(H394)</f>
        <v>0</v>
      </c>
      <c r="I395" s="44"/>
    </row>
    <row r="396" spans="3:13" s="59" customFormat="1" ht="22.2" customHeight="1">
      <c r="C396" s="61" t="s">
        <v>1215</v>
      </c>
      <c r="D396" s="56" t="s">
        <v>1216</v>
      </c>
      <c r="E396" s="93"/>
      <c r="F396" s="57"/>
      <c r="G396" s="57"/>
      <c r="H396" s="57"/>
      <c r="I396" s="44"/>
    </row>
    <row r="397" spans="3:13" s="59" customFormat="1" ht="22.2" customHeight="1">
      <c r="C397" s="800">
        <v>1</v>
      </c>
      <c r="D397" s="56" t="s">
        <v>8404</v>
      </c>
      <c r="E397" s="93" t="s">
        <v>1974</v>
      </c>
      <c r="F397" s="94">
        <v>3.0000000000000001E-3</v>
      </c>
      <c r="G397" s="63">
        <f>VLOOKUP(D397,upahbahan,3,FALSE)</f>
        <v>35000</v>
      </c>
      <c r="H397" s="63">
        <f t="shared" ref="H397" si="25">F397*G397</f>
        <v>105</v>
      </c>
      <c r="I397" s="44"/>
    </row>
    <row r="398" spans="3:13" s="59" customFormat="1" ht="22.2" customHeight="1">
      <c r="C398" s="450" t="s">
        <v>1217</v>
      </c>
      <c r="D398" s="67"/>
      <c r="E398" s="67"/>
      <c r="F398" s="67"/>
      <c r="G398" s="69"/>
      <c r="H398" s="882">
        <f>SUM(H396:H397)</f>
        <v>105</v>
      </c>
      <c r="I398" s="44"/>
    </row>
    <row r="399" spans="3:13" s="59" customFormat="1" ht="22.2" customHeight="1">
      <c r="C399" s="288" t="s">
        <v>1218</v>
      </c>
      <c r="D399" s="76" t="s">
        <v>1219</v>
      </c>
      <c r="E399" s="77"/>
      <c r="F399" s="77"/>
      <c r="G399" s="78"/>
      <c r="H399" s="585">
        <f>H398+H395+H393</f>
        <v>2610</v>
      </c>
      <c r="I399" s="369"/>
    </row>
    <row r="400" spans="3:13" s="59" customFormat="1" ht="22.2" customHeight="1">
      <c r="C400" s="288" t="s">
        <v>1220</v>
      </c>
      <c r="D400" s="76" t="s">
        <v>1321</v>
      </c>
      <c r="E400" s="77"/>
      <c r="F400" s="78"/>
      <c r="G400" s="80">
        <v>0.1</v>
      </c>
      <c r="H400" s="63">
        <f>H399*G400</f>
        <v>261</v>
      </c>
      <c r="I400" s="369"/>
    </row>
    <row r="401" spans="3:13" s="59" customFormat="1" ht="22.2" customHeight="1">
      <c r="C401" s="288" t="s">
        <v>1221</v>
      </c>
      <c r="D401" s="76" t="s">
        <v>1222</v>
      </c>
      <c r="E401" s="77"/>
      <c r="F401" s="77"/>
      <c r="G401" s="78"/>
      <c r="H401" s="799">
        <f>SUM(H399:H400)</f>
        <v>2871</v>
      </c>
      <c r="I401" s="369"/>
    </row>
    <row r="402" spans="3:13" ht="22.2" customHeight="1"/>
    <row r="403" spans="3:13" s="59" customFormat="1" ht="22.2" customHeight="1">
      <c r="C403" s="46" t="s">
        <v>4805</v>
      </c>
      <c r="D403" s="794" t="s">
        <v>8403</v>
      </c>
      <c r="E403" s="794"/>
      <c r="F403" s="794"/>
      <c r="G403" s="794"/>
      <c r="H403" s="794"/>
      <c r="I403" s="50">
        <f>ROUNDDOWN(H417,-2)</f>
        <v>4500</v>
      </c>
      <c r="J403" s="59" t="s">
        <v>6451</v>
      </c>
      <c r="K403" s="59" t="s">
        <v>8371</v>
      </c>
    </row>
    <row r="404" spans="3:13" s="59" customFormat="1" ht="22.2" customHeight="1">
      <c r="C404" s="591" t="s">
        <v>1195</v>
      </c>
      <c r="D404" s="591" t="s">
        <v>1196</v>
      </c>
      <c r="E404" s="591" t="s">
        <v>1197</v>
      </c>
      <c r="F404" s="591" t="s">
        <v>1198</v>
      </c>
      <c r="G404" s="591" t="s">
        <v>1199</v>
      </c>
      <c r="H404" s="591" t="s">
        <v>1200</v>
      </c>
      <c r="I404" s="44"/>
    </row>
    <row r="405" spans="3:13" s="59" customFormat="1" ht="22.2" customHeight="1">
      <c r="C405" s="61" t="s">
        <v>1201</v>
      </c>
      <c r="D405" s="56" t="s">
        <v>1202</v>
      </c>
      <c r="E405" s="57"/>
      <c r="F405" s="57"/>
      <c r="G405" s="57"/>
      <c r="H405" s="57"/>
      <c r="I405" s="44"/>
      <c r="J405" s="152" t="s">
        <v>1247</v>
      </c>
    </row>
    <row r="406" spans="3:13" s="59" customFormat="1" ht="22.2" customHeight="1">
      <c r="C406" s="588">
        <v>1</v>
      </c>
      <c r="D406" s="56" t="s">
        <v>5</v>
      </c>
      <c r="E406" s="577" t="s">
        <v>6</v>
      </c>
      <c r="F406" s="101">
        <v>2.1999999999999999E-2</v>
      </c>
      <c r="G406" s="63">
        <f>VLOOKUP(D406,upahbahan,3,FALSE)</f>
        <v>100000</v>
      </c>
      <c r="H406" s="63">
        <f>F406*G406</f>
        <v>2200</v>
      </c>
      <c r="I406" s="44"/>
      <c r="J406" s="152" t="s">
        <v>1248</v>
      </c>
      <c r="M406" s="65">
        <v>0.1</v>
      </c>
    </row>
    <row r="407" spans="3:13" s="59" customFormat="1" ht="22.2" customHeight="1">
      <c r="C407" s="588">
        <v>2</v>
      </c>
      <c r="D407" s="56" t="s">
        <v>10</v>
      </c>
      <c r="E407" s="577" t="s">
        <v>6</v>
      </c>
      <c r="F407" s="101">
        <v>1.0999999999999999E-2</v>
      </c>
      <c r="G407" s="63">
        <f>VLOOKUP(D407,upahbahan,3,FALSE)</f>
        <v>135000</v>
      </c>
      <c r="H407" s="63">
        <f t="shared" ref="H407:H408" si="26">F407*G407</f>
        <v>1485</v>
      </c>
      <c r="I407" s="44"/>
      <c r="J407" s="152"/>
      <c r="M407" s="65"/>
    </row>
    <row r="408" spans="3:13" s="59" customFormat="1" ht="22.2" customHeight="1">
      <c r="C408" s="588">
        <v>3</v>
      </c>
      <c r="D408" s="56" t="s">
        <v>19</v>
      </c>
      <c r="E408" s="577" t="s">
        <v>6</v>
      </c>
      <c r="F408" s="101">
        <v>2E-3</v>
      </c>
      <c r="G408" s="63">
        <f>VLOOKUP(D408,upahbahan,3,FALSE)</f>
        <v>160000</v>
      </c>
      <c r="H408" s="63">
        <f t="shared" si="26"/>
        <v>320</v>
      </c>
      <c r="I408" s="44"/>
    </row>
    <row r="409" spans="3:13" s="59" customFormat="1" ht="22.2" customHeight="1">
      <c r="C409" s="450" t="s">
        <v>1208</v>
      </c>
      <c r="D409" s="67"/>
      <c r="E409" s="67"/>
      <c r="F409" s="142"/>
      <c r="G409" s="153"/>
      <c r="H409" s="63">
        <f>SUM(H406:H408)</f>
        <v>4005</v>
      </c>
      <c r="I409" s="154"/>
    </row>
    <row r="410" spans="3:13" s="59" customFormat="1" ht="22.2" customHeight="1">
      <c r="C410" s="61" t="s">
        <v>1209</v>
      </c>
      <c r="D410" s="56" t="s">
        <v>1210</v>
      </c>
      <c r="E410" s="57"/>
      <c r="F410" s="57"/>
      <c r="G410" s="57"/>
      <c r="H410" s="57"/>
      <c r="I410" s="44"/>
    </row>
    <row r="411" spans="3:13" s="59" customFormat="1" ht="22.2" customHeight="1">
      <c r="C411" s="450" t="s">
        <v>1214</v>
      </c>
      <c r="D411" s="67"/>
      <c r="E411" s="67"/>
      <c r="F411" s="67"/>
      <c r="G411" s="69"/>
      <c r="H411" s="63">
        <f>SUM(H410)</f>
        <v>0</v>
      </c>
      <c r="I411" s="44"/>
    </row>
    <row r="412" spans="3:13" s="59" customFormat="1" ht="22.2" customHeight="1">
      <c r="C412" s="61" t="s">
        <v>1215</v>
      </c>
      <c r="D412" s="56" t="s">
        <v>1216</v>
      </c>
      <c r="E412" s="93"/>
      <c r="F412" s="57"/>
      <c r="G412" s="57"/>
      <c r="H412" s="57"/>
      <c r="I412" s="44"/>
    </row>
    <row r="413" spans="3:13" s="59" customFormat="1" ht="22.2" customHeight="1">
      <c r="C413" s="800">
        <v>1</v>
      </c>
      <c r="D413" s="56" t="s">
        <v>8404</v>
      </c>
      <c r="E413" s="93" t="s">
        <v>1974</v>
      </c>
      <c r="F413" s="94">
        <v>3.0000000000000001E-3</v>
      </c>
      <c r="G413" s="63">
        <f>VLOOKUP(D413,upahbahan,3,FALSE)</f>
        <v>35000</v>
      </c>
      <c r="H413" s="63">
        <f t="shared" ref="H413" si="27">F413*G413</f>
        <v>105</v>
      </c>
      <c r="I413" s="44"/>
    </row>
    <row r="414" spans="3:13" s="59" customFormat="1" ht="22.2" customHeight="1">
      <c r="C414" s="450" t="s">
        <v>1217</v>
      </c>
      <c r="D414" s="67"/>
      <c r="E414" s="67"/>
      <c r="F414" s="67"/>
      <c r="G414" s="69"/>
      <c r="H414" s="882">
        <f>SUM(H412:H413)</f>
        <v>105</v>
      </c>
      <c r="I414" s="44"/>
    </row>
    <row r="415" spans="3:13" s="59" customFormat="1" ht="22.2" customHeight="1">
      <c r="C415" s="288" t="s">
        <v>1218</v>
      </c>
      <c r="D415" s="76" t="s">
        <v>1219</v>
      </c>
      <c r="E415" s="77"/>
      <c r="F415" s="77"/>
      <c r="G415" s="78"/>
      <c r="H415" s="585">
        <f>H414+H411+H409</f>
        <v>4110</v>
      </c>
      <c r="I415" s="369"/>
    </row>
    <row r="416" spans="3:13" s="59" customFormat="1" ht="22.2" customHeight="1">
      <c r="C416" s="288" t="s">
        <v>1220</v>
      </c>
      <c r="D416" s="76" t="s">
        <v>1321</v>
      </c>
      <c r="E416" s="77"/>
      <c r="F416" s="78"/>
      <c r="G416" s="80">
        <v>0.1</v>
      </c>
      <c r="H416" s="63">
        <f>H415*G416</f>
        <v>411</v>
      </c>
      <c r="I416" s="369"/>
    </row>
    <row r="417" spans="3:13" s="59" customFormat="1" ht="22.2" customHeight="1">
      <c r="C417" s="288" t="s">
        <v>1221</v>
      </c>
      <c r="D417" s="76" t="s">
        <v>1222</v>
      </c>
      <c r="E417" s="77"/>
      <c r="F417" s="77"/>
      <c r="G417" s="78"/>
      <c r="H417" s="799">
        <f>SUM(H415:H416)</f>
        <v>4521</v>
      </c>
      <c r="I417" s="369"/>
    </row>
    <row r="418" spans="3:13" ht="22.2" customHeight="1"/>
    <row r="419" spans="3:13" ht="22.2" customHeight="1"/>
    <row r="420" spans="3:13" s="59" customFormat="1" ht="22.2" customHeight="1">
      <c r="C420" s="46" t="s">
        <v>4807</v>
      </c>
      <c r="D420" s="794" t="s">
        <v>8405</v>
      </c>
      <c r="E420" s="794"/>
      <c r="F420" s="794"/>
      <c r="G420" s="794"/>
      <c r="H420" s="794"/>
      <c r="I420" s="50">
        <f>ROUNDDOWN(H434,-2)</f>
        <v>6200</v>
      </c>
      <c r="J420" s="59" t="s">
        <v>6451</v>
      </c>
      <c r="K420" s="59" t="s">
        <v>8371</v>
      </c>
    </row>
    <row r="421" spans="3:13" s="59" customFormat="1" ht="22.2" customHeight="1">
      <c r="C421" s="591" t="s">
        <v>1195</v>
      </c>
      <c r="D421" s="591" t="s">
        <v>1196</v>
      </c>
      <c r="E421" s="591" t="s">
        <v>1197</v>
      </c>
      <c r="F421" s="591" t="s">
        <v>1198</v>
      </c>
      <c r="G421" s="591" t="s">
        <v>1199</v>
      </c>
      <c r="H421" s="591" t="s">
        <v>1200</v>
      </c>
      <c r="I421" s="44"/>
    </row>
    <row r="422" spans="3:13" s="59" customFormat="1" ht="22.2" customHeight="1">
      <c r="C422" s="61" t="s">
        <v>1201</v>
      </c>
      <c r="D422" s="56" t="s">
        <v>1202</v>
      </c>
      <c r="E422" s="57"/>
      <c r="F422" s="57"/>
      <c r="G422" s="57"/>
      <c r="H422" s="57"/>
      <c r="I422" s="44"/>
      <c r="J422" s="152" t="s">
        <v>1247</v>
      </c>
    </row>
    <row r="423" spans="3:13" s="59" customFormat="1" ht="22.2" customHeight="1">
      <c r="C423" s="588">
        <v>1</v>
      </c>
      <c r="D423" s="56" t="s">
        <v>5</v>
      </c>
      <c r="E423" s="577" t="s">
        <v>6</v>
      </c>
      <c r="F423" s="101">
        <v>3.1E-2</v>
      </c>
      <c r="G423" s="63">
        <f>VLOOKUP(D423,upahbahan,3,FALSE)</f>
        <v>100000</v>
      </c>
      <c r="H423" s="63">
        <f>F423*G423</f>
        <v>3100</v>
      </c>
      <c r="I423" s="44"/>
      <c r="J423" s="152" t="s">
        <v>1248</v>
      </c>
      <c r="M423" s="65">
        <v>0.1</v>
      </c>
    </row>
    <row r="424" spans="3:13" s="59" customFormat="1" ht="22.2" customHeight="1">
      <c r="C424" s="588">
        <v>2</v>
      </c>
      <c r="D424" s="56" t="s">
        <v>10</v>
      </c>
      <c r="E424" s="577" t="s">
        <v>6</v>
      </c>
      <c r="F424" s="101">
        <v>1.4999999999999999E-2</v>
      </c>
      <c r="G424" s="63">
        <f>VLOOKUP(D424,upahbahan,3,FALSE)</f>
        <v>135000</v>
      </c>
      <c r="H424" s="63">
        <f t="shared" ref="H424:H425" si="28">F424*G424</f>
        <v>2025</v>
      </c>
      <c r="I424" s="44"/>
      <c r="J424" s="152"/>
      <c r="M424" s="65"/>
    </row>
    <row r="425" spans="3:13" s="59" customFormat="1" ht="22.2" customHeight="1">
      <c r="C425" s="588">
        <v>3</v>
      </c>
      <c r="D425" s="56" t="s">
        <v>19</v>
      </c>
      <c r="E425" s="577" t="s">
        <v>6</v>
      </c>
      <c r="F425" s="101">
        <v>3.0000000000000001E-3</v>
      </c>
      <c r="G425" s="63">
        <f>VLOOKUP(D425,upahbahan,3,FALSE)</f>
        <v>160000</v>
      </c>
      <c r="H425" s="63">
        <f t="shared" si="28"/>
        <v>480</v>
      </c>
      <c r="I425" s="44"/>
    </row>
    <row r="426" spans="3:13" s="59" customFormat="1" ht="22.2" customHeight="1">
      <c r="C426" s="450" t="s">
        <v>1208</v>
      </c>
      <c r="D426" s="67"/>
      <c r="E426" s="67"/>
      <c r="F426" s="142"/>
      <c r="G426" s="153"/>
      <c r="H426" s="63">
        <f>SUM(H423:H425)</f>
        <v>5605</v>
      </c>
      <c r="I426" s="154"/>
    </row>
    <row r="427" spans="3:13" s="59" customFormat="1" ht="22.2" customHeight="1">
      <c r="C427" s="61" t="s">
        <v>1209</v>
      </c>
      <c r="D427" s="56" t="s">
        <v>1210</v>
      </c>
      <c r="E427" s="57"/>
      <c r="F427" s="57"/>
      <c r="G427" s="57"/>
      <c r="H427" s="57"/>
      <c r="I427" s="44"/>
    </row>
    <row r="428" spans="3:13" s="59" customFormat="1" ht="22.2" customHeight="1">
      <c r="C428" s="450" t="s">
        <v>1214</v>
      </c>
      <c r="D428" s="67"/>
      <c r="E428" s="67"/>
      <c r="F428" s="67"/>
      <c r="G428" s="69"/>
      <c r="H428" s="63">
        <f>SUM(H427)</f>
        <v>0</v>
      </c>
      <c r="I428" s="44"/>
    </row>
    <row r="429" spans="3:13" s="59" customFormat="1" ht="22.2" customHeight="1">
      <c r="C429" s="61" t="s">
        <v>1215</v>
      </c>
      <c r="D429" s="56" t="s">
        <v>1216</v>
      </c>
      <c r="E429" s="93"/>
      <c r="F429" s="57"/>
      <c r="G429" s="57"/>
      <c r="H429" s="57"/>
      <c r="I429" s="44"/>
    </row>
    <row r="430" spans="3:13" s="59" customFormat="1" ht="22.2" customHeight="1">
      <c r="C430" s="800">
        <v>1</v>
      </c>
      <c r="D430" s="56" t="s">
        <v>8404</v>
      </c>
      <c r="E430" s="93" t="s">
        <v>1974</v>
      </c>
      <c r="F430" s="94">
        <v>3.0000000000000001E-3</v>
      </c>
      <c r="G430" s="63">
        <f>VLOOKUP(D430,upahbahan,3,FALSE)</f>
        <v>35000</v>
      </c>
      <c r="H430" s="63">
        <f t="shared" ref="H430" si="29">F430*G430</f>
        <v>105</v>
      </c>
      <c r="I430" s="44"/>
    </row>
    <row r="431" spans="3:13" s="59" customFormat="1" ht="22.2" customHeight="1">
      <c r="C431" s="450" t="s">
        <v>1217</v>
      </c>
      <c r="D431" s="67"/>
      <c r="E431" s="67"/>
      <c r="F431" s="67"/>
      <c r="G431" s="69"/>
      <c r="H431" s="882">
        <f>SUM(H429:H430)</f>
        <v>105</v>
      </c>
      <c r="I431" s="44"/>
    </row>
    <row r="432" spans="3:13" s="59" customFormat="1" ht="22.2" customHeight="1">
      <c r="C432" s="288" t="s">
        <v>1218</v>
      </c>
      <c r="D432" s="76" t="s">
        <v>1219</v>
      </c>
      <c r="E432" s="77"/>
      <c r="F432" s="77"/>
      <c r="G432" s="78"/>
      <c r="H432" s="585">
        <f>H431+H428+H426</f>
        <v>5710</v>
      </c>
      <c r="I432" s="369"/>
    </row>
    <row r="433" spans="3:13" s="59" customFormat="1" ht="22.2" customHeight="1">
      <c r="C433" s="288" t="s">
        <v>1220</v>
      </c>
      <c r="D433" s="76" t="s">
        <v>1321</v>
      </c>
      <c r="E433" s="77"/>
      <c r="F433" s="78"/>
      <c r="G433" s="80">
        <v>0.1</v>
      </c>
      <c r="H433" s="63">
        <f>H432*G433</f>
        <v>571</v>
      </c>
      <c r="I433" s="369"/>
    </row>
    <row r="434" spans="3:13" s="59" customFormat="1" ht="22.2" customHeight="1">
      <c r="C434" s="288" t="s">
        <v>1221</v>
      </c>
      <c r="D434" s="76" t="s">
        <v>1222</v>
      </c>
      <c r="E434" s="77"/>
      <c r="F434" s="77"/>
      <c r="G434" s="78"/>
      <c r="H434" s="799">
        <f>SUM(H432:H433)</f>
        <v>6281</v>
      </c>
      <c r="I434" s="369"/>
    </row>
    <row r="435" spans="3:13" ht="22.2" customHeight="1"/>
    <row r="436" spans="3:13" ht="22.2" customHeight="1"/>
    <row r="437" spans="3:13" s="59" customFormat="1" ht="22.2" customHeight="1">
      <c r="C437" s="46" t="s">
        <v>4808</v>
      </c>
      <c r="D437" s="794" t="s">
        <v>8406</v>
      </c>
      <c r="E437" s="794"/>
      <c r="F437" s="794"/>
      <c r="G437" s="794"/>
      <c r="H437" s="794"/>
      <c r="I437" s="50">
        <f>ROUNDDOWN(H451,-2)</f>
        <v>16900</v>
      </c>
      <c r="J437" s="59" t="s">
        <v>6451</v>
      </c>
      <c r="K437" s="59" t="s">
        <v>8371</v>
      </c>
    </row>
    <row r="438" spans="3:13" s="59" customFormat="1" ht="22.2" customHeight="1">
      <c r="C438" s="591" t="s">
        <v>1195</v>
      </c>
      <c r="D438" s="591" t="s">
        <v>1196</v>
      </c>
      <c r="E438" s="591" t="s">
        <v>1197</v>
      </c>
      <c r="F438" s="591" t="s">
        <v>1198</v>
      </c>
      <c r="G438" s="591" t="s">
        <v>1199</v>
      </c>
      <c r="H438" s="591" t="s">
        <v>1200</v>
      </c>
      <c r="I438" s="44"/>
    </row>
    <row r="439" spans="3:13" s="59" customFormat="1" ht="22.2" customHeight="1">
      <c r="C439" s="61" t="s">
        <v>1201</v>
      </c>
      <c r="D439" s="56" t="s">
        <v>1202</v>
      </c>
      <c r="E439" s="57"/>
      <c r="F439" s="57"/>
      <c r="G439" s="57"/>
      <c r="H439" s="57"/>
      <c r="I439" s="44"/>
      <c r="J439" s="152" t="s">
        <v>1247</v>
      </c>
    </row>
    <row r="440" spans="3:13" s="59" customFormat="1" ht="22.2" customHeight="1">
      <c r="C440" s="588">
        <v>1</v>
      </c>
      <c r="D440" s="56" t="s">
        <v>5</v>
      </c>
      <c r="E440" s="577" t="s">
        <v>6</v>
      </c>
      <c r="F440" s="101">
        <v>8.1000000000000003E-2</v>
      </c>
      <c r="G440" s="63">
        <f>VLOOKUP(D440,upahbahan,3,FALSE)</f>
        <v>100000</v>
      </c>
      <c r="H440" s="63">
        <f>F440*G440</f>
        <v>8100</v>
      </c>
      <c r="I440" s="44"/>
      <c r="J440" s="152" t="s">
        <v>1248</v>
      </c>
      <c r="M440" s="65">
        <v>0.1</v>
      </c>
    </row>
    <row r="441" spans="3:13" s="59" customFormat="1" ht="22.2" customHeight="1">
      <c r="C441" s="588">
        <v>2</v>
      </c>
      <c r="D441" s="56" t="s">
        <v>10</v>
      </c>
      <c r="E441" s="577" t="s">
        <v>6</v>
      </c>
      <c r="F441" s="101">
        <v>0.04</v>
      </c>
      <c r="G441" s="63">
        <f>VLOOKUP(D441,upahbahan,3,FALSE)</f>
        <v>135000</v>
      </c>
      <c r="H441" s="63">
        <f t="shared" ref="H441:H442" si="30">F441*G441</f>
        <v>5400</v>
      </c>
      <c r="I441" s="44"/>
      <c r="J441" s="152"/>
      <c r="M441" s="65"/>
    </row>
    <row r="442" spans="3:13" s="59" customFormat="1" ht="22.2" customHeight="1">
      <c r="C442" s="588">
        <v>3</v>
      </c>
      <c r="D442" s="56" t="s">
        <v>19</v>
      </c>
      <c r="E442" s="577" t="s">
        <v>6</v>
      </c>
      <c r="F442" s="101">
        <v>8.0000000000000002E-3</v>
      </c>
      <c r="G442" s="63">
        <f>VLOOKUP(D442,upahbahan,3,FALSE)</f>
        <v>160000</v>
      </c>
      <c r="H442" s="63">
        <f t="shared" si="30"/>
        <v>1280</v>
      </c>
      <c r="I442" s="44"/>
    </row>
    <row r="443" spans="3:13" s="59" customFormat="1" ht="22.2" customHeight="1">
      <c r="C443" s="450" t="s">
        <v>1208</v>
      </c>
      <c r="D443" s="67"/>
      <c r="E443" s="67"/>
      <c r="F443" s="142"/>
      <c r="G443" s="153"/>
      <c r="H443" s="63">
        <f>SUM(H440:H442)</f>
        <v>14780</v>
      </c>
      <c r="I443" s="154"/>
    </row>
    <row r="444" spans="3:13" s="59" customFormat="1" ht="22.2" customHeight="1">
      <c r="C444" s="61" t="s">
        <v>1209</v>
      </c>
      <c r="D444" s="56" t="s">
        <v>1210</v>
      </c>
      <c r="E444" s="57"/>
      <c r="F444" s="57"/>
      <c r="G444" s="57"/>
      <c r="H444" s="57"/>
      <c r="I444" s="44"/>
    </row>
    <row r="445" spans="3:13" s="59" customFormat="1" ht="22.2" customHeight="1">
      <c r="C445" s="450" t="s">
        <v>1214</v>
      </c>
      <c r="D445" s="67"/>
      <c r="E445" s="67"/>
      <c r="F445" s="67"/>
      <c r="G445" s="69"/>
      <c r="H445" s="63">
        <f>SUM(H444)</f>
        <v>0</v>
      </c>
      <c r="I445" s="44"/>
    </row>
    <row r="446" spans="3:13" s="59" customFormat="1" ht="22.2" customHeight="1">
      <c r="C446" s="61" t="s">
        <v>1215</v>
      </c>
      <c r="D446" s="56" t="s">
        <v>1216</v>
      </c>
      <c r="E446" s="93"/>
      <c r="F446" s="57"/>
      <c r="G446" s="57"/>
      <c r="H446" s="57"/>
      <c r="I446" s="44"/>
    </row>
    <row r="447" spans="3:13" s="59" customFormat="1" ht="22.2" customHeight="1">
      <c r="C447" s="800">
        <v>1</v>
      </c>
      <c r="D447" s="56" t="s">
        <v>8404</v>
      </c>
      <c r="E447" s="93" t="s">
        <v>1974</v>
      </c>
      <c r="F447" s="94">
        <v>1.7000000000000001E-2</v>
      </c>
      <c r="G447" s="63">
        <f>VLOOKUP(D447,upahbahan,3,FALSE)</f>
        <v>35000</v>
      </c>
      <c r="H447" s="63">
        <f t="shared" ref="H447" si="31">F447*G447</f>
        <v>595</v>
      </c>
      <c r="I447" s="44"/>
    </row>
    <row r="448" spans="3:13" s="59" customFormat="1" ht="22.2" customHeight="1">
      <c r="C448" s="450" t="s">
        <v>1217</v>
      </c>
      <c r="D448" s="67"/>
      <c r="E448" s="67"/>
      <c r="F448" s="67"/>
      <c r="G448" s="69"/>
      <c r="H448" s="882">
        <f>SUM(H446:H447)</f>
        <v>595</v>
      </c>
      <c r="I448" s="44"/>
    </row>
    <row r="449" spans="3:13" s="59" customFormat="1" ht="22.2" customHeight="1">
      <c r="C449" s="288" t="s">
        <v>1218</v>
      </c>
      <c r="D449" s="76" t="s">
        <v>1219</v>
      </c>
      <c r="E449" s="77"/>
      <c r="F449" s="77"/>
      <c r="G449" s="78"/>
      <c r="H449" s="585">
        <f>H448+H445+H443</f>
        <v>15375</v>
      </c>
      <c r="I449" s="369"/>
    </row>
    <row r="450" spans="3:13" s="59" customFormat="1" ht="22.2" customHeight="1">
      <c r="C450" s="288" t="s">
        <v>1220</v>
      </c>
      <c r="D450" s="76" t="s">
        <v>1321</v>
      </c>
      <c r="E450" s="77"/>
      <c r="F450" s="78"/>
      <c r="G450" s="80">
        <v>0.1</v>
      </c>
      <c r="H450" s="63">
        <f>H449*G450</f>
        <v>1537.5</v>
      </c>
      <c r="I450" s="369"/>
    </row>
    <row r="451" spans="3:13" s="59" customFormat="1" ht="22.2" customHeight="1">
      <c r="C451" s="288" t="s">
        <v>1221</v>
      </c>
      <c r="D451" s="76" t="s">
        <v>1222</v>
      </c>
      <c r="E451" s="77"/>
      <c r="F451" s="77"/>
      <c r="G451" s="78"/>
      <c r="H451" s="799">
        <f>SUM(H449:H450)</f>
        <v>16912.5</v>
      </c>
      <c r="I451" s="369"/>
    </row>
    <row r="452" spans="3:13" ht="22.2" customHeight="1"/>
    <row r="453" spans="3:13" ht="22.2" customHeight="1"/>
    <row r="454" spans="3:13" s="59" customFormat="1" ht="22.2" customHeight="1">
      <c r="C454" s="46" t="s">
        <v>4809</v>
      </c>
      <c r="D454" s="794" t="s">
        <v>8407</v>
      </c>
      <c r="E454" s="794"/>
      <c r="F454" s="794"/>
      <c r="G454" s="794"/>
      <c r="H454" s="794"/>
      <c r="I454" s="50">
        <f>ROUNDDOWN(H468,-2)</f>
        <v>27000</v>
      </c>
      <c r="J454" s="59" t="s">
        <v>6451</v>
      </c>
      <c r="K454" s="59" t="s">
        <v>8371</v>
      </c>
    </row>
    <row r="455" spans="3:13" s="59" customFormat="1" ht="22.2" customHeight="1">
      <c r="C455" s="591" t="s">
        <v>1195</v>
      </c>
      <c r="D455" s="591" t="s">
        <v>1196</v>
      </c>
      <c r="E455" s="591" t="s">
        <v>1197</v>
      </c>
      <c r="F455" s="591" t="s">
        <v>1198</v>
      </c>
      <c r="G455" s="591" t="s">
        <v>1199</v>
      </c>
      <c r="H455" s="591" t="s">
        <v>1200</v>
      </c>
      <c r="I455" s="44"/>
    </row>
    <row r="456" spans="3:13" s="59" customFormat="1" ht="22.2" customHeight="1">
      <c r="C456" s="61" t="s">
        <v>1201</v>
      </c>
      <c r="D456" s="56" t="s">
        <v>1202</v>
      </c>
      <c r="E456" s="57"/>
      <c r="F456" s="57"/>
      <c r="G456" s="57"/>
      <c r="H456" s="57"/>
      <c r="I456" s="44"/>
      <c r="J456" s="152" t="s">
        <v>1247</v>
      </c>
    </row>
    <row r="457" spans="3:13" s="59" customFormat="1" ht="22.2" customHeight="1">
      <c r="C457" s="588">
        <v>1</v>
      </c>
      <c r="D457" s="56" t="s">
        <v>5</v>
      </c>
      <c r="E457" s="577" t="s">
        <v>6</v>
      </c>
      <c r="F457" s="101">
        <v>0.128</v>
      </c>
      <c r="G457" s="63">
        <f>VLOOKUP(D457,upahbahan,3,FALSE)</f>
        <v>100000</v>
      </c>
      <c r="H457" s="63">
        <f>F457*G457</f>
        <v>12800</v>
      </c>
      <c r="I457" s="44"/>
      <c r="J457" s="152" t="s">
        <v>1248</v>
      </c>
      <c r="M457" s="65">
        <v>0.1</v>
      </c>
    </row>
    <row r="458" spans="3:13" s="59" customFormat="1" ht="22.2" customHeight="1">
      <c r="C458" s="588">
        <v>2</v>
      </c>
      <c r="D458" s="56" t="s">
        <v>10</v>
      </c>
      <c r="E458" s="577" t="s">
        <v>6</v>
      </c>
      <c r="F458" s="101">
        <v>6.4000000000000001E-2</v>
      </c>
      <c r="G458" s="63">
        <f>VLOOKUP(D458,upahbahan,3,FALSE)</f>
        <v>135000</v>
      </c>
      <c r="H458" s="63">
        <f t="shared" ref="H458:H459" si="32">F458*G458</f>
        <v>8640</v>
      </c>
      <c r="I458" s="44"/>
      <c r="J458" s="152"/>
      <c r="M458" s="65"/>
    </row>
    <row r="459" spans="3:13" s="59" customFormat="1" ht="22.2" customHeight="1">
      <c r="C459" s="588">
        <v>3</v>
      </c>
      <c r="D459" s="56" t="s">
        <v>19</v>
      </c>
      <c r="E459" s="577" t="s">
        <v>6</v>
      </c>
      <c r="F459" s="101">
        <v>1.2999999999999999E-2</v>
      </c>
      <c r="G459" s="63">
        <f>VLOOKUP(D459,upahbahan,3,FALSE)</f>
        <v>160000</v>
      </c>
      <c r="H459" s="63">
        <f t="shared" si="32"/>
        <v>2080</v>
      </c>
      <c r="I459" s="44"/>
    </row>
    <row r="460" spans="3:13" s="59" customFormat="1" ht="22.2" customHeight="1">
      <c r="C460" s="450" t="s">
        <v>1208</v>
      </c>
      <c r="D460" s="67"/>
      <c r="E460" s="67"/>
      <c r="F460" s="142"/>
      <c r="G460" s="153"/>
      <c r="H460" s="63">
        <f>SUM(H457:H459)</f>
        <v>23520</v>
      </c>
      <c r="I460" s="154"/>
    </row>
    <row r="461" spans="3:13" s="59" customFormat="1" ht="22.2" customHeight="1">
      <c r="C461" s="61" t="s">
        <v>1209</v>
      </c>
      <c r="D461" s="56" t="s">
        <v>1210</v>
      </c>
      <c r="E461" s="57"/>
      <c r="F461" s="57"/>
      <c r="G461" s="57"/>
      <c r="H461" s="57"/>
      <c r="I461" s="44"/>
    </row>
    <row r="462" spans="3:13" s="59" customFormat="1" ht="22.2" customHeight="1">
      <c r="C462" s="450" t="s">
        <v>1214</v>
      </c>
      <c r="D462" s="67"/>
      <c r="E462" s="67"/>
      <c r="F462" s="67"/>
      <c r="G462" s="69"/>
      <c r="H462" s="63">
        <f>SUM(H461)</f>
        <v>0</v>
      </c>
      <c r="I462" s="44"/>
    </row>
    <row r="463" spans="3:13" s="59" customFormat="1" ht="22.2" customHeight="1">
      <c r="C463" s="61" t="s">
        <v>1215</v>
      </c>
      <c r="D463" s="56" t="s">
        <v>1216</v>
      </c>
      <c r="E463" s="93"/>
      <c r="F463" s="57"/>
      <c r="G463" s="57"/>
      <c r="H463" s="57"/>
      <c r="I463" s="44"/>
    </row>
    <row r="464" spans="3:13" s="59" customFormat="1" ht="22.2" customHeight="1">
      <c r="C464" s="800">
        <v>1</v>
      </c>
      <c r="D464" s="56" t="s">
        <v>8404</v>
      </c>
      <c r="E464" s="93" t="s">
        <v>1974</v>
      </c>
      <c r="F464" s="104">
        <v>0.03</v>
      </c>
      <c r="G464" s="63">
        <f>VLOOKUP(D464,upahbahan,3,FALSE)</f>
        <v>35000</v>
      </c>
      <c r="H464" s="63">
        <f t="shared" ref="H464" si="33">F464*G464</f>
        <v>1050</v>
      </c>
      <c r="I464" s="44"/>
    </row>
    <row r="465" spans="3:13" s="59" customFormat="1" ht="22.2" customHeight="1">
      <c r="C465" s="450" t="s">
        <v>1217</v>
      </c>
      <c r="D465" s="67"/>
      <c r="E465" s="67"/>
      <c r="F465" s="67"/>
      <c r="G465" s="69"/>
      <c r="H465" s="882">
        <f>SUM(H463:H464)</f>
        <v>1050</v>
      </c>
      <c r="I465" s="44"/>
    </row>
    <row r="466" spans="3:13" s="59" customFormat="1" ht="22.2" customHeight="1">
      <c r="C466" s="288" t="s">
        <v>1218</v>
      </c>
      <c r="D466" s="76" t="s">
        <v>1219</v>
      </c>
      <c r="E466" s="77"/>
      <c r="F466" s="77"/>
      <c r="G466" s="78"/>
      <c r="H466" s="585">
        <f>H465+H462+H460</f>
        <v>24570</v>
      </c>
      <c r="I466" s="369"/>
    </row>
    <row r="467" spans="3:13" s="59" customFormat="1" ht="22.2" customHeight="1">
      <c r="C467" s="288" t="s">
        <v>1220</v>
      </c>
      <c r="D467" s="76" t="s">
        <v>1321</v>
      </c>
      <c r="E467" s="77"/>
      <c r="F467" s="78"/>
      <c r="G467" s="80">
        <v>0.1</v>
      </c>
      <c r="H467" s="63">
        <f>H466*G467</f>
        <v>2457</v>
      </c>
      <c r="I467" s="369"/>
    </row>
    <row r="468" spans="3:13" s="59" customFormat="1" ht="22.2" customHeight="1">
      <c r="C468" s="288" t="s">
        <v>1221</v>
      </c>
      <c r="D468" s="76" t="s">
        <v>1222</v>
      </c>
      <c r="E468" s="77"/>
      <c r="F468" s="77"/>
      <c r="G468" s="78"/>
      <c r="H468" s="799">
        <f>SUM(H466:H467)</f>
        <v>27027</v>
      </c>
      <c r="I468" s="369"/>
    </row>
    <row r="469" spans="3:13" ht="22.2" customHeight="1"/>
    <row r="470" spans="3:13" s="59" customFormat="1" ht="22.2" customHeight="1">
      <c r="C470" s="46" t="s">
        <v>4810</v>
      </c>
      <c r="D470" s="794" t="s">
        <v>8408</v>
      </c>
      <c r="E470" s="794"/>
      <c r="F470" s="794"/>
      <c r="G470" s="794"/>
      <c r="H470" s="794"/>
      <c r="I470" s="50">
        <f>ROUNDDOWN(H484,-2)</f>
        <v>32500</v>
      </c>
      <c r="J470" s="59" t="s">
        <v>6451</v>
      </c>
      <c r="K470" s="59" t="s">
        <v>8371</v>
      </c>
    </row>
    <row r="471" spans="3:13" s="59" customFormat="1" ht="22.2" customHeight="1">
      <c r="C471" s="591" t="s">
        <v>1195</v>
      </c>
      <c r="D471" s="591" t="s">
        <v>1196</v>
      </c>
      <c r="E471" s="591" t="s">
        <v>1197</v>
      </c>
      <c r="F471" s="591" t="s">
        <v>1198</v>
      </c>
      <c r="G471" s="591" t="s">
        <v>1199</v>
      </c>
      <c r="H471" s="591" t="s">
        <v>1200</v>
      </c>
      <c r="I471" s="44"/>
    </row>
    <row r="472" spans="3:13" s="59" customFormat="1" ht="22.2" customHeight="1">
      <c r="C472" s="61" t="s">
        <v>1201</v>
      </c>
      <c r="D472" s="56" t="s">
        <v>1202</v>
      </c>
      <c r="E472" s="57"/>
      <c r="F472" s="57"/>
      <c r="G472" s="57"/>
      <c r="H472" s="57"/>
      <c r="I472" s="44"/>
      <c r="J472" s="152" t="s">
        <v>1247</v>
      </c>
    </row>
    <row r="473" spans="3:13" s="59" customFormat="1" ht="22.2" customHeight="1">
      <c r="C473" s="588">
        <v>1</v>
      </c>
      <c r="D473" s="56" t="s">
        <v>5</v>
      </c>
      <c r="E473" s="577" t="s">
        <v>6</v>
      </c>
      <c r="F473" s="101">
        <v>0.155</v>
      </c>
      <c r="G473" s="63">
        <f>VLOOKUP(D473,upahbahan,3,FALSE)</f>
        <v>100000</v>
      </c>
      <c r="H473" s="63">
        <f>F473*G473</f>
        <v>15500</v>
      </c>
      <c r="I473" s="44"/>
      <c r="J473" s="152" t="s">
        <v>1248</v>
      </c>
      <c r="M473" s="65">
        <v>0.1</v>
      </c>
    </row>
    <row r="474" spans="3:13" s="59" customFormat="1" ht="22.2" customHeight="1">
      <c r="C474" s="588">
        <v>2</v>
      </c>
      <c r="D474" s="56" t="s">
        <v>10</v>
      </c>
      <c r="E474" s="577" t="s">
        <v>6</v>
      </c>
      <c r="F474" s="101">
        <v>7.6999999999999999E-2</v>
      </c>
      <c r="G474" s="63">
        <f>VLOOKUP(D474,upahbahan,3,FALSE)</f>
        <v>135000</v>
      </c>
      <c r="H474" s="63">
        <f t="shared" ref="H474:H475" si="34">F474*G474</f>
        <v>10395</v>
      </c>
      <c r="I474" s="44"/>
      <c r="J474" s="152"/>
      <c r="M474" s="65"/>
    </row>
    <row r="475" spans="3:13" s="59" customFormat="1" ht="22.2" customHeight="1">
      <c r="C475" s="588">
        <v>3</v>
      </c>
      <c r="D475" s="56" t="s">
        <v>19</v>
      </c>
      <c r="E475" s="577" t="s">
        <v>6</v>
      </c>
      <c r="F475" s="101">
        <v>1.4999999999999999E-2</v>
      </c>
      <c r="G475" s="63">
        <f>VLOOKUP(D475,upahbahan,3,FALSE)</f>
        <v>160000</v>
      </c>
      <c r="H475" s="63">
        <f t="shared" si="34"/>
        <v>2400</v>
      </c>
      <c r="I475" s="44"/>
    </row>
    <row r="476" spans="3:13" s="59" customFormat="1" ht="22.2" customHeight="1">
      <c r="C476" s="450" t="s">
        <v>1208</v>
      </c>
      <c r="D476" s="67"/>
      <c r="E476" s="67"/>
      <c r="F476" s="142"/>
      <c r="G476" s="153"/>
      <c r="H476" s="63">
        <f>SUM(H473:H475)</f>
        <v>28295</v>
      </c>
      <c r="I476" s="154"/>
    </row>
    <row r="477" spans="3:13" s="59" customFormat="1" ht="22.2" customHeight="1">
      <c r="C477" s="61" t="s">
        <v>1209</v>
      </c>
      <c r="D477" s="56" t="s">
        <v>1210</v>
      </c>
      <c r="E477" s="57"/>
      <c r="F477" s="57"/>
      <c r="G477" s="57"/>
      <c r="H477" s="57"/>
      <c r="I477" s="44"/>
    </row>
    <row r="478" spans="3:13" s="59" customFormat="1" ht="22.2" customHeight="1">
      <c r="C478" s="450" t="s">
        <v>1214</v>
      </c>
      <c r="D478" s="67"/>
      <c r="E478" s="67"/>
      <c r="F478" s="67"/>
      <c r="G478" s="69"/>
      <c r="H478" s="63">
        <f>SUM(H477)</f>
        <v>0</v>
      </c>
      <c r="I478" s="44"/>
    </row>
    <row r="479" spans="3:13" s="59" customFormat="1" ht="22.2" customHeight="1">
      <c r="C479" s="61" t="s">
        <v>1215</v>
      </c>
      <c r="D479" s="56" t="s">
        <v>1216</v>
      </c>
      <c r="E479" s="93"/>
      <c r="F479" s="57"/>
      <c r="G479" s="57"/>
      <c r="H479" s="57"/>
      <c r="I479" s="44"/>
    </row>
    <row r="480" spans="3:13" s="59" customFormat="1" ht="22.2" customHeight="1">
      <c r="C480" s="800">
        <v>1</v>
      </c>
      <c r="D480" s="56" t="s">
        <v>8404</v>
      </c>
      <c r="E480" s="93" t="s">
        <v>1974</v>
      </c>
      <c r="F480" s="104">
        <v>3.6999999999999998E-2</v>
      </c>
      <c r="G480" s="63">
        <f>VLOOKUP(D480,upahbahan,3,FALSE)</f>
        <v>35000</v>
      </c>
      <c r="H480" s="63">
        <f t="shared" ref="H480" si="35">F480*G480</f>
        <v>1295</v>
      </c>
      <c r="I480" s="44"/>
    </row>
    <row r="481" spans="3:13" s="59" customFormat="1" ht="22.2" customHeight="1">
      <c r="C481" s="450" t="s">
        <v>1217</v>
      </c>
      <c r="D481" s="67"/>
      <c r="E481" s="67"/>
      <c r="F481" s="67"/>
      <c r="G481" s="69"/>
      <c r="H481" s="882">
        <f>SUM(H479:H480)</f>
        <v>1295</v>
      </c>
      <c r="I481" s="44"/>
    </row>
    <row r="482" spans="3:13" s="59" customFormat="1" ht="22.2" customHeight="1">
      <c r="C482" s="288" t="s">
        <v>1218</v>
      </c>
      <c r="D482" s="76" t="s">
        <v>1219</v>
      </c>
      <c r="E482" s="77"/>
      <c r="F482" s="77"/>
      <c r="G482" s="78"/>
      <c r="H482" s="585">
        <f>H481+H478+H476</f>
        <v>29590</v>
      </c>
      <c r="I482" s="369"/>
    </row>
    <row r="483" spans="3:13" s="59" customFormat="1" ht="22.2" customHeight="1">
      <c r="C483" s="288" t="s">
        <v>1220</v>
      </c>
      <c r="D483" s="76" t="s">
        <v>1321</v>
      </c>
      <c r="E483" s="77"/>
      <c r="F483" s="78"/>
      <c r="G483" s="80">
        <v>0.1</v>
      </c>
      <c r="H483" s="63">
        <f>H482*G483</f>
        <v>2959</v>
      </c>
      <c r="I483" s="369"/>
    </row>
    <row r="484" spans="3:13" s="59" customFormat="1" ht="22.2" customHeight="1">
      <c r="C484" s="288" t="s">
        <v>1221</v>
      </c>
      <c r="D484" s="76" t="s">
        <v>1222</v>
      </c>
      <c r="E484" s="77"/>
      <c r="F484" s="77"/>
      <c r="G484" s="78"/>
      <c r="H484" s="799">
        <f>SUM(H482:H483)</f>
        <v>32549</v>
      </c>
      <c r="I484" s="369"/>
    </row>
    <row r="485" spans="3:13" ht="22.2" customHeight="1"/>
    <row r="486" spans="3:13" s="59" customFormat="1" ht="22.2" customHeight="1">
      <c r="C486" s="46" t="s">
        <v>4811</v>
      </c>
      <c r="D486" s="794" t="s">
        <v>8409</v>
      </c>
      <c r="E486" s="794"/>
      <c r="F486" s="794"/>
      <c r="G486" s="794"/>
      <c r="H486" s="794"/>
      <c r="I486" s="50">
        <f>ROUNDDOWN(H500,-2)</f>
        <v>68700</v>
      </c>
      <c r="J486" s="59" t="s">
        <v>6451</v>
      </c>
      <c r="K486" s="59" t="s">
        <v>8371</v>
      </c>
    </row>
    <row r="487" spans="3:13" s="59" customFormat="1" ht="22.2" customHeight="1">
      <c r="C487" s="591" t="s">
        <v>1195</v>
      </c>
      <c r="D487" s="591" t="s">
        <v>1196</v>
      </c>
      <c r="E487" s="591" t="s">
        <v>1197</v>
      </c>
      <c r="F487" s="591" t="s">
        <v>1198</v>
      </c>
      <c r="G487" s="591" t="s">
        <v>1199</v>
      </c>
      <c r="H487" s="591" t="s">
        <v>1200</v>
      </c>
      <c r="I487" s="44"/>
    </row>
    <row r="488" spans="3:13" s="59" customFormat="1" ht="22.2" customHeight="1">
      <c r="C488" s="61" t="s">
        <v>1201</v>
      </c>
      <c r="D488" s="56" t="s">
        <v>1202</v>
      </c>
      <c r="E488" s="57"/>
      <c r="F488" s="57"/>
      <c r="G488" s="57"/>
      <c r="H488" s="57"/>
      <c r="I488" s="44"/>
      <c r="J488" s="152" t="s">
        <v>1247</v>
      </c>
    </row>
    <row r="489" spans="3:13" s="59" customFormat="1" ht="22.2" customHeight="1">
      <c r="C489" s="588">
        <v>1</v>
      </c>
      <c r="D489" s="56" t="s">
        <v>5</v>
      </c>
      <c r="E489" s="577" t="s">
        <v>6</v>
      </c>
      <c r="F489" s="101">
        <v>0.33100000000000002</v>
      </c>
      <c r="G489" s="63">
        <f>VLOOKUP(D489,upahbahan,3,FALSE)</f>
        <v>100000</v>
      </c>
      <c r="H489" s="63">
        <f>F489*G489</f>
        <v>33100</v>
      </c>
      <c r="I489" s="44"/>
      <c r="J489" s="152" t="s">
        <v>1248</v>
      </c>
      <c r="M489" s="65">
        <v>0.1</v>
      </c>
    </row>
    <row r="490" spans="3:13" s="59" customFormat="1" ht="22.2" customHeight="1">
      <c r="C490" s="588">
        <v>2</v>
      </c>
      <c r="D490" s="56" t="s">
        <v>10</v>
      </c>
      <c r="E490" s="577" t="s">
        <v>6</v>
      </c>
      <c r="F490" s="101">
        <v>0.16600000000000001</v>
      </c>
      <c r="G490" s="63">
        <f>VLOOKUP(D490,upahbahan,3,FALSE)</f>
        <v>135000</v>
      </c>
      <c r="H490" s="63">
        <f t="shared" ref="H490:H491" si="36">F490*G490</f>
        <v>22410</v>
      </c>
      <c r="I490" s="44"/>
      <c r="J490" s="152"/>
      <c r="M490" s="65"/>
    </row>
    <row r="491" spans="3:13" s="59" customFormat="1" ht="22.2" customHeight="1">
      <c r="C491" s="588">
        <v>3</v>
      </c>
      <c r="D491" s="56" t="s">
        <v>19</v>
      </c>
      <c r="E491" s="577" t="s">
        <v>6</v>
      </c>
      <c r="F491" s="101">
        <v>3.3000000000000002E-2</v>
      </c>
      <c r="G491" s="63">
        <f>VLOOKUP(D491,upahbahan,3,FALSE)</f>
        <v>160000</v>
      </c>
      <c r="H491" s="63">
        <f t="shared" si="36"/>
        <v>5280</v>
      </c>
      <c r="I491" s="44"/>
    </row>
    <row r="492" spans="3:13" s="59" customFormat="1" ht="22.2" customHeight="1">
      <c r="C492" s="450" t="s">
        <v>1208</v>
      </c>
      <c r="D492" s="67"/>
      <c r="E492" s="67"/>
      <c r="F492" s="142"/>
      <c r="G492" s="153"/>
      <c r="H492" s="63">
        <f>SUM(H489:H491)</f>
        <v>60790</v>
      </c>
      <c r="I492" s="154"/>
    </row>
    <row r="493" spans="3:13" s="59" customFormat="1" ht="22.2" customHeight="1">
      <c r="C493" s="61" t="s">
        <v>1209</v>
      </c>
      <c r="D493" s="56" t="s">
        <v>1210</v>
      </c>
      <c r="E493" s="57"/>
      <c r="F493" s="57"/>
      <c r="G493" s="57"/>
      <c r="H493" s="57"/>
      <c r="I493" s="44"/>
    </row>
    <row r="494" spans="3:13" s="59" customFormat="1" ht="22.2" customHeight="1">
      <c r="C494" s="450" t="s">
        <v>1214</v>
      </c>
      <c r="D494" s="67"/>
      <c r="E494" s="67"/>
      <c r="F494" s="67"/>
      <c r="G494" s="69"/>
      <c r="H494" s="63">
        <f>SUM(H493)</f>
        <v>0</v>
      </c>
      <c r="I494" s="44"/>
    </row>
    <row r="495" spans="3:13" s="59" customFormat="1" ht="22.2" customHeight="1">
      <c r="C495" s="61" t="s">
        <v>1215</v>
      </c>
      <c r="D495" s="56" t="s">
        <v>1216</v>
      </c>
      <c r="E495" s="93"/>
      <c r="F495" s="57"/>
      <c r="G495" s="57"/>
      <c r="H495" s="57"/>
      <c r="I495" s="44"/>
    </row>
    <row r="496" spans="3:13" s="59" customFormat="1" ht="22.2" customHeight="1">
      <c r="C496" s="800">
        <v>1</v>
      </c>
      <c r="D496" s="56" t="s">
        <v>8404</v>
      </c>
      <c r="E496" s="93" t="s">
        <v>1974</v>
      </c>
      <c r="F496" s="104">
        <v>4.8000000000000001E-2</v>
      </c>
      <c r="G496" s="63">
        <f>VLOOKUP(D496,upahbahan,3,FALSE)</f>
        <v>35000</v>
      </c>
      <c r="H496" s="63">
        <f t="shared" ref="H496" si="37">F496*G496</f>
        <v>1680</v>
      </c>
      <c r="I496" s="44"/>
    </row>
    <row r="497" spans="3:13" s="59" customFormat="1" ht="22.2" customHeight="1">
      <c r="C497" s="450" t="s">
        <v>1217</v>
      </c>
      <c r="D497" s="67"/>
      <c r="E497" s="67"/>
      <c r="F497" s="67"/>
      <c r="G497" s="69"/>
      <c r="H497" s="882">
        <f>SUM(H495:H496)</f>
        <v>1680</v>
      </c>
      <c r="I497" s="44"/>
    </row>
    <row r="498" spans="3:13" s="59" customFormat="1" ht="22.2" customHeight="1">
      <c r="C498" s="288" t="s">
        <v>1218</v>
      </c>
      <c r="D498" s="76" t="s">
        <v>1219</v>
      </c>
      <c r="E498" s="77"/>
      <c r="F498" s="77"/>
      <c r="G498" s="78"/>
      <c r="H498" s="585">
        <f>H497+H494+H492</f>
        <v>62470</v>
      </c>
      <c r="I498" s="369"/>
    </row>
    <row r="499" spans="3:13" s="59" customFormat="1" ht="22.2" customHeight="1">
      <c r="C499" s="288" t="s">
        <v>1220</v>
      </c>
      <c r="D499" s="76" t="s">
        <v>1321</v>
      </c>
      <c r="E499" s="77"/>
      <c r="F499" s="78"/>
      <c r="G499" s="80">
        <v>0.1</v>
      </c>
      <c r="H499" s="63">
        <f>H498*G499</f>
        <v>6247</v>
      </c>
      <c r="I499" s="369"/>
    </row>
    <row r="500" spans="3:13" s="59" customFormat="1" ht="22.2" customHeight="1">
      <c r="C500" s="288" t="s">
        <v>1221</v>
      </c>
      <c r="D500" s="76" t="s">
        <v>1222</v>
      </c>
      <c r="E500" s="77"/>
      <c r="F500" s="77"/>
      <c r="G500" s="78"/>
      <c r="H500" s="799">
        <f>SUM(H498:H499)</f>
        <v>68717</v>
      </c>
      <c r="I500" s="369"/>
    </row>
    <row r="501" spans="3:13" ht="22.2" customHeight="1"/>
    <row r="502" spans="3:13" s="59" customFormat="1" ht="22.2" customHeight="1">
      <c r="C502" s="46" t="s">
        <v>4812</v>
      </c>
      <c r="D502" s="794" t="s">
        <v>8410</v>
      </c>
      <c r="E502" s="794"/>
      <c r="F502" s="794"/>
      <c r="G502" s="794"/>
      <c r="H502" s="794"/>
      <c r="I502" s="50">
        <f>ROUNDDOWN(H516,-2)</f>
        <v>86800</v>
      </c>
      <c r="J502" s="59" t="s">
        <v>6451</v>
      </c>
      <c r="K502" s="59" t="s">
        <v>8371</v>
      </c>
    </row>
    <row r="503" spans="3:13" s="59" customFormat="1" ht="22.2" customHeight="1">
      <c r="C503" s="591" t="s">
        <v>1195</v>
      </c>
      <c r="D503" s="591" t="s">
        <v>1196</v>
      </c>
      <c r="E503" s="591" t="s">
        <v>1197</v>
      </c>
      <c r="F503" s="591" t="s">
        <v>1198</v>
      </c>
      <c r="G503" s="591" t="s">
        <v>1199</v>
      </c>
      <c r="H503" s="591" t="s">
        <v>1200</v>
      </c>
      <c r="I503" s="44"/>
    </row>
    <row r="504" spans="3:13" s="59" customFormat="1" ht="22.2" customHeight="1">
      <c r="C504" s="61" t="s">
        <v>1201</v>
      </c>
      <c r="D504" s="56" t="s">
        <v>1202</v>
      </c>
      <c r="E504" s="57"/>
      <c r="F504" s="57"/>
      <c r="G504" s="57"/>
      <c r="H504" s="57"/>
      <c r="I504" s="44"/>
      <c r="J504" s="152" t="s">
        <v>1247</v>
      </c>
    </row>
    <row r="505" spans="3:13" s="59" customFormat="1" ht="22.2" customHeight="1">
      <c r="C505" s="588">
        <v>1</v>
      </c>
      <c r="D505" s="56" t="s">
        <v>5</v>
      </c>
      <c r="E505" s="577" t="s">
        <v>6</v>
      </c>
      <c r="F505" s="101">
        <v>0.42</v>
      </c>
      <c r="G505" s="63">
        <f>VLOOKUP(D505,upahbahan,3,FALSE)</f>
        <v>100000</v>
      </c>
      <c r="H505" s="63">
        <f>F505*G505</f>
        <v>42000</v>
      </c>
      <c r="I505" s="44"/>
      <c r="J505" s="152" t="s">
        <v>1248</v>
      </c>
      <c r="M505" s="65">
        <v>0.1</v>
      </c>
    </row>
    <row r="506" spans="3:13" s="59" customFormat="1" ht="22.2" customHeight="1">
      <c r="C506" s="588">
        <v>2</v>
      </c>
      <c r="D506" s="56" t="s">
        <v>10</v>
      </c>
      <c r="E506" s="577" t="s">
        <v>6</v>
      </c>
      <c r="F506" s="101">
        <v>0.21</v>
      </c>
      <c r="G506" s="63">
        <f>VLOOKUP(D506,upahbahan,3,FALSE)</f>
        <v>135000</v>
      </c>
      <c r="H506" s="63">
        <f t="shared" ref="H506:H507" si="38">F506*G506</f>
        <v>28350</v>
      </c>
      <c r="I506" s="44"/>
      <c r="J506" s="152"/>
      <c r="M506" s="65"/>
    </row>
    <row r="507" spans="3:13" s="59" customFormat="1" ht="22.2" customHeight="1">
      <c r="C507" s="588">
        <v>3</v>
      </c>
      <c r="D507" s="56" t="s">
        <v>19</v>
      </c>
      <c r="E507" s="577" t="s">
        <v>6</v>
      </c>
      <c r="F507" s="101">
        <v>4.2000000000000003E-2</v>
      </c>
      <c r="G507" s="63">
        <f>VLOOKUP(D507,upahbahan,3,FALSE)</f>
        <v>160000</v>
      </c>
      <c r="H507" s="63">
        <f t="shared" si="38"/>
        <v>6720</v>
      </c>
      <c r="I507" s="44"/>
    </row>
    <row r="508" spans="3:13" s="59" customFormat="1" ht="22.2" customHeight="1">
      <c r="C508" s="450" t="s">
        <v>1208</v>
      </c>
      <c r="D508" s="67"/>
      <c r="E508" s="67"/>
      <c r="F508" s="142"/>
      <c r="G508" s="153"/>
      <c r="H508" s="63">
        <f>SUM(H505:H507)</f>
        <v>77070</v>
      </c>
      <c r="I508" s="154"/>
    </row>
    <row r="509" spans="3:13" s="59" customFormat="1" ht="22.2" customHeight="1">
      <c r="C509" s="61" t="s">
        <v>1209</v>
      </c>
      <c r="D509" s="56" t="s">
        <v>1210</v>
      </c>
      <c r="E509" s="57"/>
      <c r="F509" s="57"/>
      <c r="G509" s="57"/>
      <c r="H509" s="57"/>
      <c r="I509" s="44"/>
    </row>
    <row r="510" spans="3:13" s="59" customFormat="1" ht="22.2" customHeight="1">
      <c r="C510" s="450" t="s">
        <v>1214</v>
      </c>
      <c r="D510" s="67"/>
      <c r="E510" s="67"/>
      <c r="F510" s="67"/>
      <c r="G510" s="69"/>
      <c r="H510" s="63">
        <f>SUM(H509)</f>
        <v>0</v>
      </c>
      <c r="I510" s="44"/>
    </row>
    <row r="511" spans="3:13" s="59" customFormat="1" ht="22.2" customHeight="1">
      <c r="C511" s="61" t="s">
        <v>1215</v>
      </c>
      <c r="D511" s="56" t="s">
        <v>1216</v>
      </c>
      <c r="E511" s="93"/>
      <c r="F511" s="57"/>
      <c r="G511" s="57"/>
      <c r="H511" s="57"/>
      <c r="I511" s="44"/>
    </row>
    <row r="512" spans="3:13" s="59" customFormat="1" ht="22.2" customHeight="1">
      <c r="C512" s="800">
        <v>1</v>
      </c>
      <c r="D512" s="56" t="s">
        <v>8404</v>
      </c>
      <c r="E512" s="93" t="s">
        <v>1974</v>
      </c>
      <c r="F512" s="104">
        <v>5.3999999999999999E-2</v>
      </c>
      <c r="G512" s="63">
        <f>VLOOKUP(D512,upahbahan,3,FALSE)</f>
        <v>35000</v>
      </c>
      <c r="H512" s="63">
        <f t="shared" ref="H512" si="39">F512*G512</f>
        <v>1890</v>
      </c>
      <c r="I512" s="44"/>
    </row>
    <row r="513" spans="3:13" s="59" customFormat="1" ht="22.2" customHeight="1">
      <c r="C513" s="450" t="s">
        <v>1217</v>
      </c>
      <c r="D513" s="67"/>
      <c r="E513" s="67"/>
      <c r="F513" s="67"/>
      <c r="G513" s="69"/>
      <c r="H513" s="882">
        <f>SUM(H511:H512)</f>
        <v>1890</v>
      </c>
      <c r="I513" s="44"/>
    </row>
    <row r="514" spans="3:13" s="59" customFormat="1" ht="22.2" customHeight="1">
      <c r="C514" s="288" t="s">
        <v>1218</v>
      </c>
      <c r="D514" s="76" t="s">
        <v>1219</v>
      </c>
      <c r="E514" s="77"/>
      <c r="F514" s="77"/>
      <c r="G514" s="78"/>
      <c r="H514" s="585">
        <f>H513+H510+H508</f>
        <v>78960</v>
      </c>
      <c r="I514" s="369"/>
    </row>
    <row r="515" spans="3:13" s="59" customFormat="1" ht="22.2" customHeight="1">
      <c r="C515" s="288" t="s">
        <v>1220</v>
      </c>
      <c r="D515" s="76" t="s">
        <v>1321</v>
      </c>
      <c r="E515" s="77"/>
      <c r="F515" s="78"/>
      <c r="G515" s="80">
        <v>0.1</v>
      </c>
      <c r="H515" s="63">
        <f>H514*G515</f>
        <v>7896</v>
      </c>
      <c r="I515" s="369"/>
    </row>
    <row r="516" spans="3:13" s="59" customFormat="1" ht="22.2" customHeight="1">
      <c r="C516" s="288" t="s">
        <v>1221</v>
      </c>
      <c r="D516" s="76" t="s">
        <v>1222</v>
      </c>
      <c r="E516" s="77"/>
      <c r="F516" s="77"/>
      <c r="G516" s="78"/>
      <c r="H516" s="799">
        <f>SUM(H514:H515)</f>
        <v>86856</v>
      </c>
      <c r="I516" s="369"/>
    </row>
    <row r="517" spans="3:13" ht="22.2" customHeight="1"/>
    <row r="518" spans="3:13" s="59" customFormat="1" ht="22.2" customHeight="1">
      <c r="C518" s="46" t="s">
        <v>4813</v>
      </c>
      <c r="D518" s="794" t="s">
        <v>8411</v>
      </c>
      <c r="E518" s="794"/>
      <c r="F518" s="794"/>
      <c r="G518" s="794"/>
      <c r="H518" s="794"/>
      <c r="I518" s="50">
        <f>ROUNDDOWN(H532,-2)</f>
        <v>107200</v>
      </c>
      <c r="J518" s="59" t="s">
        <v>6451</v>
      </c>
      <c r="K518" s="59" t="s">
        <v>8371</v>
      </c>
    </row>
    <row r="519" spans="3:13" s="59" customFormat="1" ht="22.2" customHeight="1">
      <c r="C519" s="591" t="s">
        <v>1195</v>
      </c>
      <c r="D519" s="591" t="s">
        <v>1196</v>
      </c>
      <c r="E519" s="591" t="s">
        <v>1197</v>
      </c>
      <c r="F519" s="591" t="s">
        <v>1198</v>
      </c>
      <c r="G519" s="591" t="s">
        <v>1199</v>
      </c>
      <c r="H519" s="591" t="s">
        <v>1200</v>
      </c>
      <c r="I519" s="44"/>
    </row>
    <row r="520" spans="3:13" s="59" customFormat="1" ht="22.2" customHeight="1">
      <c r="C520" s="61" t="s">
        <v>1201</v>
      </c>
      <c r="D520" s="56" t="s">
        <v>1202</v>
      </c>
      <c r="E520" s="57"/>
      <c r="F520" s="57"/>
      <c r="G520" s="57"/>
      <c r="H520" s="57"/>
      <c r="I520" s="44"/>
      <c r="J520" s="152" t="s">
        <v>1247</v>
      </c>
    </row>
    <row r="521" spans="3:13" s="59" customFormat="1" ht="22.2" customHeight="1">
      <c r="C521" s="588">
        <v>1</v>
      </c>
      <c r="D521" s="56" t="s">
        <v>5</v>
      </c>
      <c r="E521" s="577" t="s">
        <v>6</v>
      </c>
      <c r="F521" s="101">
        <v>0.51800000000000002</v>
      </c>
      <c r="G521" s="63">
        <f>VLOOKUP(D521,upahbahan,3,FALSE)</f>
        <v>100000</v>
      </c>
      <c r="H521" s="63">
        <f>F521*G521</f>
        <v>51800</v>
      </c>
      <c r="I521" s="44"/>
      <c r="J521" s="152" t="s">
        <v>1248</v>
      </c>
      <c r="M521" s="65">
        <v>0.1</v>
      </c>
    </row>
    <row r="522" spans="3:13" s="59" customFormat="1" ht="22.2" customHeight="1">
      <c r="C522" s="588">
        <v>2</v>
      </c>
      <c r="D522" s="56" t="s">
        <v>10</v>
      </c>
      <c r="E522" s="577" t="s">
        <v>6</v>
      </c>
      <c r="F522" s="101">
        <v>0.25900000000000001</v>
      </c>
      <c r="G522" s="63">
        <f>VLOOKUP(D522,upahbahan,3,FALSE)</f>
        <v>135000</v>
      </c>
      <c r="H522" s="63">
        <f t="shared" ref="H522:H523" si="40">F522*G522</f>
        <v>34965</v>
      </c>
      <c r="I522" s="44"/>
      <c r="J522" s="152"/>
      <c r="M522" s="65"/>
    </row>
    <row r="523" spans="3:13" s="59" customFormat="1" ht="22.2" customHeight="1">
      <c r="C523" s="588">
        <v>3</v>
      </c>
      <c r="D523" s="56" t="s">
        <v>19</v>
      </c>
      <c r="E523" s="577" t="s">
        <v>6</v>
      </c>
      <c r="F523" s="101">
        <v>5.1999999999999998E-2</v>
      </c>
      <c r="G523" s="63">
        <f>VLOOKUP(D523,upahbahan,3,FALSE)</f>
        <v>160000</v>
      </c>
      <c r="H523" s="63">
        <f t="shared" si="40"/>
        <v>8320</v>
      </c>
      <c r="I523" s="44"/>
    </row>
    <row r="524" spans="3:13" s="59" customFormat="1" ht="22.2" customHeight="1">
      <c r="C524" s="450" t="s">
        <v>1208</v>
      </c>
      <c r="D524" s="67"/>
      <c r="E524" s="67"/>
      <c r="F524" s="142"/>
      <c r="G524" s="153"/>
      <c r="H524" s="63">
        <f>SUM(H521:H523)</f>
        <v>95085</v>
      </c>
      <c r="I524" s="154"/>
    </row>
    <row r="525" spans="3:13" s="59" customFormat="1" ht="22.2" customHeight="1">
      <c r="C525" s="61" t="s">
        <v>1209</v>
      </c>
      <c r="D525" s="56" t="s">
        <v>1210</v>
      </c>
      <c r="E525" s="57"/>
      <c r="F525" s="57"/>
      <c r="G525" s="57"/>
      <c r="H525" s="57"/>
      <c r="I525" s="44"/>
    </row>
    <row r="526" spans="3:13" s="59" customFormat="1" ht="22.2" customHeight="1">
      <c r="C526" s="450" t="s">
        <v>1214</v>
      </c>
      <c r="D526" s="67"/>
      <c r="E526" s="67"/>
      <c r="F526" s="67"/>
      <c r="G526" s="69"/>
      <c r="H526" s="63">
        <f>SUM(H525)</f>
        <v>0</v>
      </c>
      <c r="I526" s="44"/>
    </row>
    <row r="527" spans="3:13" s="59" customFormat="1" ht="22.2" customHeight="1">
      <c r="C527" s="61" t="s">
        <v>1215</v>
      </c>
      <c r="D527" s="56" t="s">
        <v>1216</v>
      </c>
      <c r="E527" s="93"/>
      <c r="F527" s="57"/>
      <c r="G527" s="57"/>
      <c r="H527" s="57"/>
      <c r="I527" s="44"/>
    </row>
    <row r="528" spans="3:13" s="59" customFormat="1" ht="22.2" customHeight="1">
      <c r="C528" s="800">
        <v>1</v>
      </c>
      <c r="D528" s="56" t="s">
        <v>8404</v>
      </c>
      <c r="E528" s="93" t="s">
        <v>1974</v>
      </c>
      <c r="F528" s="104">
        <v>6.9000000000000006E-2</v>
      </c>
      <c r="G528" s="63">
        <f>VLOOKUP(D528,upahbahan,3,FALSE)</f>
        <v>35000</v>
      </c>
      <c r="H528" s="63">
        <f t="shared" ref="H528" si="41">F528*G528</f>
        <v>2415</v>
      </c>
      <c r="I528" s="44"/>
    </row>
    <row r="529" spans="3:13" s="59" customFormat="1" ht="22.2" customHeight="1">
      <c r="C529" s="450" t="s">
        <v>1217</v>
      </c>
      <c r="D529" s="67"/>
      <c r="E529" s="67"/>
      <c r="F529" s="67"/>
      <c r="G529" s="69"/>
      <c r="H529" s="882">
        <f>SUM(H527:H528)</f>
        <v>2415</v>
      </c>
      <c r="I529" s="44"/>
    </row>
    <row r="530" spans="3:13" s="59" customFormat="1" ht="22.2" customHeight="1">
      <c r="C530" s="288" t="s">
        <v>1218</v>
      </c>
      <c r="D530" s="76" t="s">
        <v>1219</v>
      </c>
      <c r="E530" s="77"/>
      <c r="F530" s="77"/>
      <c r="G530" s="78"/>
      <c r="H530" s="585">
        <f>H529+H526+H524</f>
        <v>97500</v>
      </c>
      <c r="I530" s="369"/>
    </row>
    <row r="531" spans="3:13" s="59" customFormat="1" ht="22.2" customHeight="1">
      <c r="C531" s="288" t="s">
        <v>1220</v>
      </c>
      <c r="D531" s="76" t="s">
        <v>1321</v>
      </c>
      <c r="E531" s="77"/>
      <c r="F531" s="78"/>
      <c r="G531" s="80">
        <v>0.1</v>
      </c>
      <c r="H531" s="63">
        <f>H530*G531</f>
        <v>9750</v>
      </c>
      <c r="I531" s="369"/>
    </row>
    <row r="532" spans="3:13" s="59" customFormat="1" ht="22.2" customHeight="1">
      <c r="C532" s="288" t="s">
        <v>1221</v>
      </c>
      <c r="D532" s="76" t="s">
        <v>1222</v>
      </c>
      <c r="E532" s="77"/>
      <c r="F532" s="77"/>
      <c r="G532" s="78"/>
      <c r="H532" s="799">
        <f>SUM(H530:H531)</f>
        <v>107250</v>
      </c>
      <c r="I532" s="369"/>
    </row>
    <row r="533" spans="3:13" ht="22.2" customHeight="1"/>
    <row r="534" spans="3:13" s="59" customFormat="1" ht="22.2" customHeight="1">
      <c r="C534" s="46" t="s">
        <v>4814</v>
      </c>
      <c r="D534" s="794" t="s">
        <v>8412</v>
      </c>
      <c r="E534" s="794"/>
      <c r="F534" s="794"/>
      <c r="G534" s="794"/>
      <c r="H534" s="794"/>
      <c r="I534" s="50">
        <f>ROUNDDOWN(H548,-2)</f>
        <v>128900</v>
      </c>
      <c r="J534" s="59" t="s">
        <v>6451</v>
      </c>
      <c r="K534" s="59" t="s">
        <v>8371</v>
      </c>
    </row>
    <row r="535" spans="3:13" s="59" customFormat="1" ht="22.2" customHeight="1">
      <c r="C535" s="591" t="s">
        <v>1195</v>
      </c>
      <c r="D535" s="591" t="s">
        <v>1196</v>
      </c>
      <c r="E535" s="591" t="s">
        <v>1197</v>
      </c>
      <c r="F535" s="591" t="s">
        <v>1198</v>
      </c>
      <c r="G535" s="591" t="s">
        <v>1199</v>
      </c>
      <c r="H535" s="591" t="s">
        <v>1200</v>
      </c>
      <c r="I535" s="44"/>
    </row>
    <row r="536" spans="3:13" s="59" customFormat="1" ht="22.2" customHeight="1">
      <c r="C536" s="61" t="s">
        <v>1201</v>
      </c>
      <c r="D536" s="56" t="s">
        <v>1202</v>
      </c>
      <c r="E536" s="57"/>
      <c r="F536" s="57"/>
      <c r="G536" s="57"/>
      <c r="H536" s="57"/>
      <c r="I536" s="44"/>
      <c r="J536" s="152" t="s">
        <v>1247</v>
      </c>
    </row>
    <row r="537" spans="3:13" s="59" customFormat="1" ht="22.2" customHeight="1">
      <c r="C537" s="588">
        <v>1</v>
      </c>
      <c r="D537" s="56" t="s">
        <v>5</v>
      </c>
      <c r="E537" s="577" t="s">
        <v>6</v>
      </c>
      <c r="F537" s="101">
        <v>0.623</v>
      </c>
      <c r="G537" s="63">
        <f>VLOOKUP(D537,upahbahan,3,FALSE)</f>
        <v>100000</v>
      </c>
      <c r="H537" s="63">
        <f>F537*G537</f>
        <v>62300</v>
      </c>
      <c r="I537" s="44"/>
      <c r="J537" s="152" t="s">
        <v>1248</v>
      </c>
      <c r="M537" s="65">
        <v>0.1</v>
      </c>
    </row>
    <row r="538" spans="3:13" s="59" customFormat="1" ht="22.2" customHeight="1">
      <c r="C538" s="588">
        <v>2</v>
      </c>
      <c r="D538" s="56" t="s">
        <v>10</v>
      </c>
      <c r="E538" s="577" t="s">
        <v>6</v>
      </c>
      <c r="F538" s="101">
        <v>0.311</v>
      </c>
      <c r="G538" s="63">
        <f>VLOOKUP(D538,upahbahan,3,FALSE)</f>
        <v>135000</v>
      </c>
      <c r="H538" s="63">
        <f t="shared" ref="H538:H539" si="42">F538*G538</f>
        <v>41985</v>
      </c>
      <c r="I538" s="44"/>
      <c r="J538" s="152"/>
      <c r="M538" s="65"/>
    </row>
    <row r="539" spans="3:13" s="59" customFormat="1" ht="22.2" customHeight="1">
      <c r="C539" s="588">
        <v>3</v>
      </c>
      <c r="D539" s="56" t="s">
        <v>19</v>
      </c>
      <c r="E539" s="577" t="s">
        <v>6</v>
      </c>
      <c r="F539" s="101">
        <v>6.2E-2</v>
      </c>
      <c r="G539" s="63">
        <f>VLOOKUP(D539,upahbahan,3,FALSE)</f>
        <v>160000</v>
      </c>
      <c r="H539" s="63">
        <f t="shared" si="42"/>
        <v>9920</v>
      </c>
      <c r="I539" s="44"/>
    </row>
    <row r="540" spans="3:13" s="59" customFormat="1" ht="22.2" customHeight="1">
      <c r="C540" s="450" t="s">
        <v>1208</v>
      </c>
      <c r="D540" s="67"/>
      <c r="E540" s="67"/>
      <c r="F540" s="142"/>
      <c r="G540" s="153"/>
      <c r="H540" s="63">
        <f>SUM(H537:H539)</f>
        <v>114205</v>
      </c>
      <c r="I540" s="154"/>
    </row>
    <row r="541" spans="3:13" s="59" customFormat="1" ht="22.2" customHeight="1">
      <c r="C541" s="61" t="s">
        <v>1209</v>
      </c>
      <c r="D541" s="56" t="s">
        <v>1210</v>
      </c>
      <c r="E541" s="57"/>
      <c r="F541" s="57"/>
      <c r="G541" s="57"/>
      <c r="H541" s="57"/>
      <c r="I541" s="44"/>
    </row>
    <row r="542" spans="3:13" s="59" customFormat="1" ht="22.2" customHeight="1">
      <c r="C542" s="450" t="s">
        <v>1214</v>
      </c>
      <c r="D542" s="67"/>
      <c r="E542" s="67"/>
      <c r="F542" s="67"/>
      <c r="G542" s="69"/>
      <c r="H542" s="63">
        <f>SUM(H541)</f>
        <v>0</v>
      </c>
      <c r="I542" s="44"/>
    </row>
    <row r="543" spans="3:13" s="59" customFormat="1" ht="22.2" customHeight="1">
      <c r="C543" s="61" t="s">
        <v>1215</v>
      </c>
      <c r="D543" s="56" t="s">
        <v>1216</v>
      </c>
      <c r="E543" s="93"/>
      <c r="F543" s="57"/>
      <c r="G543" s="57"/>
      <c r="H543" s="57"/>
      <c r="I543" s="44"/>
    </row>
    <row r="544" spans="3:13" s="59" customFormat="1" ht="22.2" customHeight="1">
      <c r="C544" s="800">
        <v>1</v>
      </c>
      <c r="D544" s="56" t="s">
        <v>8404</v>
      </c>
      <c r="E544" s="93" t="s">
        <v>1974</v>
      </c>
      <c r="F544" s="104">
        <v>8.5999999999999993E-2</v>
      </c>
      <c r="G544" s="63">
        <f>VLOOKUP(D544,upahbahan,3,FALSE)</f>
        <v>35000</v>
      </c>
      <c r="H544" s="63">
        <f t="shared" ref="H544" si="43">F544*G544</f>
        <v>3009.9999999999995</v>
      </c>
      <c r="I544" s="44"/>
    </row>
    <row r="545" spans="3:13" s="59" customFormat="1" ht="22.2" customHeight="1">
      <c r="C545" s="450" t="s">
        <v>1217</v>
      </c>
      <c r="D545" s="67"/>
      <c r="E545" s="67"/>
      <c r="F545" s="67"/>
      <c r="G545" s="69"/>
      <c r="H545" s="882">
        <f>SUM(H543:H544)</f>
        <v>3009.9999999999995</v>
      </c>
      <c r="I545" s="44"/>
    </row>
    <row r="546" spans="3:13" s="59" customFormat="1" ht="22.2" customHeight="1">
      <c r="C546" s="288" t="s">
        <v>1218</v>
      </c>
      <c r="D546" s="76" t="s">
        <v>1219</v>
      </c>
      <c r="E546" s="77"/>
      <c r="F546" s="77"/>
      <c r="G546" s="78"/>
      <c r="H546" s="585">
        <f>H545+H542+H540</f>
        <v>117215</v>
      </c>
      <c r="I546" s="369"/>
    </row>
    <row r="547" spans="3:13" s="59" customFormat="1" ht="22.2" customHeight="1">
      <c r="C547" s="288" t="s">
        <v>1220</v>
      </c>
      <c r="D547" s="76" t="s">
        <v>1321</v>
      </c>
      <c r="E547" s="77"/>
      <c r="F547" s="78"/>
      <c r="G547" s="80">
        <v>0.1</v>
      </c>
      <c r="H547" s="63">
        <f>H546*G547</f>
        <v>11721.5</v>
      </c>
      <c r="I547" s="369"/>
    </row>
    <row r="548" spans="3:13" s="59" customFormat="1" ht="22.2" customHeight="1">
      <c r="C548" s="288" t="s">
        <v>1221</v>
      </c>
      <c r="D548" s="76" t="s">
        <v>1222</v>
      </c>
      <c r="E548" s="77"/>
      <c r="F548" s="77"/>
      <c r="G548" s="78"/>
      <c r="H548" s="799">
        <f>SUM(H546:H547)</f>
        <v>128936.5</v>
      </c>
      <c r="I548" s="369"/>
    </row>
    <row r="549" spans="3:13" ht="22.2" customHeight="1"/>
    <row r="550" spans="3:13" s="59" customFormat="1" ht="22.2" customHeight="1">
      <c r="C550" s="46" t="s">
        <v>4815</v>
      </c>
      <c r="D550" s="794" t="s">
        <v>8413</v>
      </c>
      <c r="E550" s="794"/>
      <c r="F550" s="794"/>
      <c r="G550" s="794"/>
      <c r="H550" s="794"/>
      <c r="I550" s="50">
        <f>ROUNDDOWN(H564,-2)</f>
        <v>226000</v>
      </c>
      <c r="J550" s="59" t="s">
        <v>6451</v>
      </c>
      <c r="K550" s="59" t="s">
        <v>8371</v>
      </c>
    </row>
    <row r="551" spans="3:13" s="59" customFormat="1" ht="22.2" customHeight="1">
      <c r="C551" s="591" t="s">
        <v>1195</v>
      </c>
      <c r="D551" s="591" t="s">
        <v>1196</v>
      </c>
      <c r="E551" s="591" t="s">
        <v>1197</v>
      </c>
      <c r="F551" s="591" t="s">
        <v>1198</v>
      </c>
      <c r="G551" s="591" t="s">
        <v>1199</v>
      </c>
      <c r="H551" s="591" t="s">
        <v>1200</v>
      </c>
      <c r="I551" s="44"/>
    </row>
    <row r="552" spans="3:13" s="59" customFormat="1" ht="22.2" customHeight="1">
      <c r="C552" s="61" t="s">
        <v>1201</v>
      </c>
      <c r="D552" s="56" t="s">
        <v>1202</v>
      </c>
      <c r="E552" s="57"/>
      <c r="F552" s="57"/>
      <c r="G552" s="57"/>
      <c r="H552" s="57"/>
      <c r="I552" s="44"/>
      <c r="J552" s="152" t="s">
        <v>1247</v>
      </c>
    </row>
    <row r="553" spans="3:13" s="59" customFormat="1" ht="22.2" customHeight="1">
      <c r="C553" s="588">
        <v>1</v>
      </c>
      <c r="D553" s="56" t="s">
        <v>5</v>
      </c>
      <c r="E553" s="577" t="s">
        <v>6</v>
      </c>
      <c r="F553" s="101">
        <v>1.089</v>
      </c>
      <c r="G553" s="63">
        <f>VLOOKUP(D553,upahbahan,3,FALSE)</f>
        <v>100000</v>
      </c>
      <c r="H553" s="63">
        <f>F553*G553</f>
        <v>108900</v>
      </c>
      <c r="I553" s="44"/>
      <c r="J553" s="152" t="s">
        <v>1248</v>
      </c>
      <c r="M553" s="65">
        <v>0.1</v>
      </c>
    </row>
    <row r="554" spans="3:13" s="59" customFormat="1" ht="22.2" customHeight="1">
      <c r="C554" s="588">
        <v>2</v>
      </c>
      <c r="D554" s="56" t="s">
        <v>10</v>
      </c>
      <c r="E554" s="577" t="s">
        <v>6</v>
      </c>
      <c r="F554" s="101">
        <v>0.54500000000000004</v>
      </c>
      <c r="G554" s="63">
        <f>VLOOKUP(D554,upahbahan,3,FALSE)</f>
        <v>135000</v>
      </c>
      <c r="H554" s="63">
        <f t="shared" ref="H554:H555" si="44">F554*G554</f>
        <v>73575</v>
      </c>
      <c r="I554" s="44"/>
      <c r="J554" s="152"/>
      <c r="M554" s="65"/>
    </row>
    <row r="555" spans="3:13" s="59" customFormat="1" ht="22.2" customHeight="1">
      <c r="C555" s="588">
        <v>3</v>
      </c>
      <c r="D555" s="56" t="s">
        <v>19</v>
      </c>
      <c r="E555" s="577" t="s">
        <v>6</v>
      </c>
      <c r="F555" s="101">
        <v>0.109</v>
      </c>
      <c r="G555" s="63">
        <f>VLOOKUP(D555,upahbahan,3,FALSE)</f>
        <v>160000</v>
      </c>
      <c r="H555" s="63">
        <f t="shared" si="44"/>
        <v>17440</v>
      </c>
      <c r="I555" s="44"/>
    </row>
    <row r="556" spans="3:13" s="59" customFormat="1" ht="22.2" customHeight="1">
      <c r="C556" s="450" t="s">
        <v>1208</v>
      </c>
      <c r="D556" s="67"/>
      <c r="E556" s="67"/>
      <c r="F556" s="142"/>
      <c r="G556" s="153"/>
      <c r="H556" s="63">
        <f>SUM(H553:H555)</f>
        <v>199915</v>
      </c>
      <c r="I556" s="154"/>
    </row>
    <row r="557" spans="3:13" s="59" customFormat="1" ht="22.2" customHeight="1">
      <c r="C557" s="61" t="s">
        <v>1209</v>
      </c>
      <c r="D557" s="56" t="s">
        <v>1210</v>
      </c>
      <c r="E557" s="57"/>
      <c r="F557" s="57"/>
      <c r="G557" s="57"/>
      <c r="H557" s="57"/>
      <c r="I557" s="44"/>
    </row>
    <row r="558" spans="3:13" s="59" customFormat="1" ht="22.2" customHeight="1">
      <c r="C558" s="450" t="s">
        <v>1214</v>
      </c>
      <c r="D558" s="67"/>
      <c r="E558" s="67"/>
      <c r="F558" s="67"/>
      <c r="G558" s="69"/>
      <c r="H558" s="63">
        <f>SUM(H557)</f>
        <v>0</v>
      </c>
      <c r="I558" s="44"/>
    </row>
    <row r="559" spans="3:13" s="59" customFormat="1" ht="22.2" customHeight="1">
      <c r="C559" s="61" t="s">
        <v>1215</v>
      </c>
      <c r="D559" s="56" t="s">
        <v>1216</v>
      </c>
      <c r="E559" s="93"/>
      <c r="F559" s="57"/>
      <c r="G559" s="57"/>
      <c r="H559" s="57"/>
      <c r="I559" s="44"/>
    </row>
    <row r="560" spans="3:13" s="59" customFormat="1" ht="22.2" customHeight="1">
      <c r="C560" s="800">
        <v>1</v>
      </c>
      <c r="D560" s="56" t="s">
        <v>8404</v>
      </c>
      <c r="E560" s="93" t="s">
        <v>1974</v>
      </c>
      <c r="F560" s="104">
        <v>0.16</v>
      </c>
      <c r="G560" s="63">
        <f>VLOOKUP(D560,upahbahan,3,FALSE)</f>
        <v>35000</v>
      </c>
      <c r="H560" s="63">
        <f t="shared" ref="H560" si="45">F560*G560</f>
        <v>5600</v>
      </c>
      <c r="I560" s="44"/>
    </row>
    <row r="561" spans="3:13" s="59" customFormat="1" ht="22.2" customHeight="1">
      <c r="C561" s="450" t="s">
        <v>1217</v>
      </c>
      <c r="D561" s="67"/>
      <c r="E561" s="67"/>
      <c r="F561" s="67"/>
      <c r="G561" s="69"/>
      <c r="H561" s="882">
        <f>SUM(H559:H560)</f>
        <v>5600</v>
      </c>
      <c r="I561" s="44"/>
    </row>
    <row r="562" spans="3:13" s="59" customFormat="1" ht="22.2" customHeight="1">
      <c r="C562" s="288" t="s">
        <v>1218</v>
      </c>
      <c r="D562" s="76" t="s">
        <v>1219</v>
      </c>
      <c r="E562" s="77"/>
      <c r="F562" s="77"/>
      <c r="G562" s="78"/>
      <c r="H562" s="585">
        <f>H561+H558+H556</f>
        <v>205515</v>
      </c>
      <c r="I562" s="369"/>
    </row>
    <row r="563" spans="3:13" s="59" customFormat="1" ht="22.2" customHeight="1">
      <c r="C563" s="288" t="s">
        <v>1220</v>
      </c>
      <c r="D563" s="76" t="s">
        <v>1321</v>
      </c>
      <c r="E563" s="77"/>
      <c r="F563" s="78"/>
      <c r="G563" s="80">
        <v>0.1</v>
      </c>
      <c r="H563" s="63">
        <f>H562*G563</f>
        <v>20551.5</v>
      </c>
      <c r="I563" s="369"/>
    </row>
    <row r="564" spans="3:13" s="59" customFormat="1" ht="22.2" customHeight="1">
      <c r="C564" s="288" t="s">
        <v>1221</v>
      </c>
      <c r="D564" s="76" t="s">
        <v>1222</v>
      </c>
      <c r="E564" s="77"/>
      <c r="F564" s="77"/>
      <c r="G564" s="78"/>
      <c r="H564" s="799">
        <f>SUM(H562:H563)</f>
        <v>226066.5</v>
      </c>
      <c r="I564" s="369"/>
    </row>
    <row r="565" spans="3:13" ht="22.2" customHeight="1"/>
    <row r="566" spans="3:13" s="59" customFormat="1" ht="22.2" customHeight="1">
      <c r="C566" s="46" t="s">
        <v>4816</v>
      </c>
      <c r="D566" s="794" t="s">
        <v>8414</v>
      </c>
      <c r="E566" s="794"/>
      <c r="F566" s="794"/>
      <c r="G566" s="794"/>
      <c r="H566" s="794"/>
      <c r="I566" s="50">
        <f>ROUNDDOWN(H580,-2)</f>
        <v>236800</v>
      </c>
      <c r="J566" s="59" t="s">
        <v>6451</v>
      </c>
      <c r="K566" s="59" t="s">
        <v>8371</v>
      </c>
    </row>
    <row r="567" spans="3:13" s="59" customFormat="1" ht="22.2" customHeight="1">
      <c r="C567" s="591" t="s">
        <v>1195</v>
      </c>
      <c r="D567" s="591" t="s">
        <v>1196</v>
      </c>
      <c r="E567" s="591" t="s">
        <v>1197</v>
      </c>
      <c r="F567" s="591" t="s">
        <v>1198</v>
      </c>
      <c r="G567" s="591" t="s">
        <v>1199</v>
      </c>
      <c r="H567" s="591" t="s">
        <v>1200</v>
      </c>
      <c r="I567" s="44"/>
    </row>
    <row r="568" spans="3:13" s="59" customFormat="1" ht="22.2" customHeight="1">
      <c r="C568" s="61" t="s">
        <v>1201</v>
      </c>
      <c r="D568" s="56" t="s">
        <v>1202</v>
      </c>
      <c r="E568" s="57"/>
      <c r="F568" s="57"/>
      <c r="G568" s="57"/>
      <c r="H568" s="57"/>
      <c r="I568" s="44"/>
      <c r="J568" s="152" t="s">
        <v>1247</v>
      </c>
    </row>
    <row r="569" spans="3:13" s="59" customFormat="1" ht="22.2" customHeight="1">
      <c r="C569" s="588">
        <v>1</v>
      </c>
      <c r="D569" s="56" t="s">
        <v>5</v>
      </c>
      <c r="E569" s="577" t="s">
        <v>6</v>
      </c>
      <c r="F569" s="101">
        <v>1.141</v>
      </c>
      <c r="G569" s="63">
        <f>VLOOKUP(D569,upahbahan,3,FALSE)</f>
        <v>100000</v>
      </c>
      <c r="H569" s="63">
        <f>F569*G569</f>
        <v>114100</v>
      </c>
      <c r="I569" s="44"/>
      <c r="J569" s="152" t="s">
        <v>1248</v>
      </c>
      <c r="M569" s="65">
        <v>0.1</v>
      </c>
    </row>
    <row r="570" spans="3:13" s="59" customFormat="1" ht="22.2" customHeight="1">
      <c r="C570" s="588">
        <v>2</v>
      </c>
      <c r="D570" s="56" t="s">
        <v>10</v>
      </c>
      <c r="E570" s="577" t="s">
        <v>6</v>
      </c>
      <c r="F570" s="101">
        <v>0.57099999999999995</v>
      </c>
      <c r="G570" s="63">
        <f>VLOOKUP(D570,upahbahan,3,FALSE)</f>
        <v>135000</v>
      </c>
      <c r="H570" s="63">
        <f t="shared" ref="H570:H571" si="46">F570*G570</f>
        <v>77085</v>
      </c>
      <c r="I570" s="44"/>
      <c r="J570" s="152"/>
      <c r="M570" s="65"/>
    </row>
    <row r="571" spans="3:13" s="59" customFormat="1" ht="22.2" customHeight="1">
      <c r="C571" s="588">
        <v>3</v>
      </c>
      <c r="D571" s="56" t="s">
        <v>19</v>
      </c>
      <c r="E571" s="577" t="s">
        <v>6</v>
      </c>
      <c r="F571" s="101">
        <v>0.114</v>
      </c>
      <c r="G571" s="63">
        <f>VLOOKUP(D571,upahbahan,3,FALSE)</f>
        <v>160000</v>
      </c>
      <c r="H571" s="63">
        <f t="shared" si="46"/>
        <v>18240</v>
      </c>
      <c r="I571" s="44"/>
    </row>
    <row r="572" spans="3:13" s="59" customFormat="1" ht="22.2" customHeight="1">
      <c r="C572" s="450" t="s">
        <v>1208</v>
      </c>
      <c r="D572" s="67"/>
      <c r="E572" s="67"/>
      <c r="F572" s="142"/>
      <c r="G572" s="153"/>
      <c r="H572" s="63">
        <f>SUM(H569:H571)</f>
        <v>209425</v>
      </c>
      <c r="I572" s="154"/>
    </row>
    <row r="573" spans="3:13" s="59" customFormat="1" ht="22.2" customHeight="1">
      <c r="C573" s="61" t="s">
        <v>1209</v>
      </c>
      <c r="D573" s="56" t="s">
        <v>1210</v>
      </c>
      <c r="E573" s="57"/>
      <c r="F573" s="57"/>
      <c r="G573" s="57"/>
      <c r="H573" s="57"/>
      <c r="I573" s="44"/>
    </row>
    <row r="574" spans="3:13" s="59" customFormat="1" ht="22.2" customHeight="1">
      <c r="C574" s="450" t="s">
        <v>1214</v>
      </c>
      <c r="D574" s="67"/>
      <c r="E574" s="67"/>
      <c r="F574" s="67"/>
      <c r="G574" s="69"/>
      <c r="H574" s="63">
        <f>SUM(H573)</f>
        <v>0</v>
      </c>
      <c r="I574" s="44"/>
    </row>
    <row r="575" spans="3:13" s="59" customFormat="1" ht="22.2" customHeight="1">
      <c r="C575" s="61" t="s">
        <v>1215</v>
      </c>
      <c r="D575" s="56" t="s">
        <v>1216</v>
      </c>
      <c r="E575" s="93"/>
      <c r="F575" s="57"/>
      <c r="G575" s="57"/>
      <c r="H575" s="57"/>
      <c r="I575" s="44"/>
    </row>
    <row r="576" spans="3:13" s="59" customFormat="1" ht="22.2" customHeight="1">
      <c r="C576" s="800">
        <v>1</v>
      </c>
      <c r="D576" s="56" t="s">
        <v>8404</v>
      </c>
      <c r="E576" s="93" t="s">
        <v>1974</v>
      </c>
      <c r="F576" s="104">
        <v>0.16800000000000001</v>
      </c>
      <c r="G576" s="63">
        <f>VLOOKUP(D576,upahbahan,3,FALSE)</f>
        <v>35000</v>
      </c>
      <c r="H576" s="63">
        <f t="shared" ref="H576" si="47">F576*G576</f>
        <v>5880</v>
      </c>
      <c r="I576" s="44"/>
    </row>
    <row r="577" spans="3:13" s="59" customFormat="1" ht="22.2" customHeight="1">
      <c r="C577" s="450" t="s">
        <v>1217</v>
      </c>
      <c r="D577" s="67"/>
      <c r="E577" s="67"/>
      <c r="F577" s="67"/>
      <c r="G577" s="69"/>
      <c r="H577" s="882">
        <f>SUM(H575:H576)</f>
        <v>5880</v>
      </c>
      <c r="I577" s="44"/>
    </row>
    <row r="578" spans="3:13" s="59" customFormat="1" ht="22.2" customHeight="1">
      <c r="C578" s="288" t="s">
        <v>1218</v>
      </c>
      <c r="D578" s="76" t="s">
        <v>1219</v>
      </c>
      <c r="E578" s="77"/>
      <c r="F578" s="77"/>
      <c r="G578" s="78"/>
      <c r="H578" s="585">
        <f>H577+H574+H572</f>
        <v>215305</v>
      </c>
      <c r="I578" s="369"/>
    </row>
    <row r="579" spans="3:13" s="59" customFormat="1" ht="22.2" customHeight="1">
      <c r="C579" s="288" t="s">
        <v>1220</v>
      </c>
      <c r="D579" s="76" t="s">
        <v>1321</v>
      </c>
      <c r="E579" s="77"/>
      <c r="F579" s="78"/>
      <c r="G579" s="80">
        <v>0.1</v>
      </c>
      <c r="H579" s="63">
        <f>H578*G579</f>
        <v>21530.5</v>
      </c>
      <c r="I579" s="369"/>
    </row>
    <row r="580" spans="3:13" s="59" customFormat="1" ht="22.2" customHeight="1">
      <c r="C580" s="288" t="s">
        <v>1221</v>
      </c>
      <c r="D580" s="76" t="s">
        <v>1222</v>
      </c>
      <c r="E580" s="77"/>
      <c r="F580" s="77"/>
      <c r="G580" s="78"/>
      <c r="H580" s="799">
        <f>SUM(H578:H579)</f>
        <v>236835.5</v>
      </c>
      <c r="I580" s="369"/>
    </row>
    <row r="581" spans="3:13" ht="22.2" customHeight="1"/>
    <row r="582" spans="3:13" s="59" customFormat="1" ht="22.2" customHeight="1">
      <c r="C582" s="46" t="s">
        <v>4817</v>
      </c>
      <c r="D582" s="794" t="s">
        <v>8415</v>
      </c>
      <c r="E582" s="794"/>
      <c r="F582" s="794"/>
      <c r="G582" s="794"/>
      <c r="H582" s="794"/>
      <c r="I582" s="50">
        <f>ROUNDDOWN(H596,-2)</f>
        <v>266800</v>
      </c>
      <c r="J582" s="59" t="s">
        <v>6451</v>
      </c>
      <c r="K582" s="59" t="s">
        <v>8371</v>
      </c>
    </row>
    <row r="583" spans="3:13" s="59" customFormat="1" ht="22.2" customHeight="1">
      <c r="C583" s="591" t="s">
        <v>1195</v>
      </c>
      <c r="D583" s="591" t="s">
        <v>1196</v>
      </c>
      <c r="E583" s="591" t="s">
        <v>1197</v>
      </c>
      <c r="F583" s="591" t="s">
        <v>1198</v>
      </c>
      <c r="G583" s="591" t="s">
        <v>1199</v>
      </c>
      <c r="H583" s="591" t="s">
        <v>1200</v>
      </c>
      <c r="I583" s="44"/>
    </row>
    <row r="584" spans="3:13" s="59" customFormat="1" ht="22.2" customHeight="1">
      <c r="C584" s="61" t="s">
        <v>1201</v>
      </c>
      <c r="D584" s="56" t="s">
        <v>1202</v>
      </c>
      <c r="E584" s="57"/>
      <c r="F584" s="57"/>
      <c r="G584" s="57"/>
      <c r="H584" s="57"/>
      <c r="I584" s="44"/>
      <c r="J584" s="152" t="s">
        <v>1247</v>
      </c>
    </row>
    <row r="585" spans="3:13" s="59" customFormat="1" ht="22.2" customHeight="1">
      <c r="C585" s="588">
        <v>1</v>
      </c>
      <c r="D585" s="56" t="s">
        <v>5</v>
      </c>
      <c r="E585" s="577" t="s">
        <v>6</v>
      </c>
      <c r="F585" s="101">
        <v>1.2849999999999999</v>
      </c>
      <c r="G585" s="63">
        <f>VLOOKUP(D585,upahbahan,3,FALSE)</f>
        <v>100000</v>
      </c>
      <c r="H585" s="63">
        <f>F585*G585</f>
        <v>128499.99999999999</v>
      </c>
      <c r="I585" s="44"/>
      <c r="J585" s="152" t="s">
        <v>1248</v>
      </c>
      <c r="M585" s="65">
        <v>0.1</v>
      </c>
    </row>
    <row r="586" spans="3:13" s="59" customFormat="1" ht="22.2" customHeight="1">
      <c r="C586" s="588">
        <v>2</v>
      </c>
      <c r="D586" s="56" t="s">
        <v>10</v>
      </c>
      <c r="E586" s="577" t="s">
        <v>6</v>
      </c>
      <c r="F586" s="101">
        <v>0.64300000000000002</v>
      </c>
      <c r="G586" s="63">
        <f>VLOOKUP(D586,upahbahan,3,FALSE)</f>
        <v>135000</v>
      </c>
      <c r="H586" s="63">
        <f t="shared" ref="H586:H587" si="48">F586*G586</f>
        <v>86805</v>
      </c>
      <c r="I586" s="44"/>
      <c r="J586" s="152"/>
      <c r="M586" s="65"/>
    </row>
    <row r="587" spans="3:13" s="59" customFormat="1" ht="22.2" customHeight="1">
      <c r="C587" s="588">
        <v>3</v>
      </c>
      <c r="D587" s="56" t="s">
        <v>19</v>
      </c>
      <c r="E587" s="577" t="s">
        <v>6</v>
      </c>
      <c r="F587" s="101">
        <v>0.129</v>
      </c>
      <c r="G587" s="63">
        <f>VLOOKUP(D587,upahbahan,3,FALSE)</f>
        <v>160000</v>
      </c>
      <c r="H587" s="63">
        <f t="shared" si="48"/>
        <v>20640</v>
      </c>
      <c r="I587" s="44"/>
    </row>
    <row r="588" spans="3:13" s="59" customFormat="1" ht="22.2" customHeight="1">
      <c r="C588" s="450" t="s">
        <v>1208</v>
      </c>
      <c r="D588" s="67"/>
      <c r="E588" s="67"/>
      <c r="F588" s="142"/>
      <c r="G588" s="153"/>
      <c r="H588" s="63">
        <f>SUM(H585:H587)</f>
        <v>235945</v>
      </c>
      <c r="I588" s="154"/>
    </row>
    <row r="589" spans="3:13" s="59" customFormat="1" ht="22.2" customHeight="1">
      <c r="C589" s="61" t="s">
        <v>1209</v>
      </c>
      <c r="D589" s="56" t="s">
        <v>1210</v>
      </c>
      <c r="E589" s="57"/>
      <c r="F589" s="57"/>
      <c r="G589" s="57"/>
      <c r="H589" s="57"/>
      <c r="I589" s="44"/>
    </row>
    <row r="590" spans="3:13" s="59" customFormat="1" ht="22.2" customHeight="1">
      <c r="C590" s="450" t="s">
        <v>1214</v>
      </c>
      <c r="D590" s="67"/>
      <c r="E590" s="67"/>
      <c r="F590" s="67"/>
      <c r="G590" s="69"/>
      <c r="H590" s="63">
        <f>SUM(H589)</f>
        <v>0</v>
      </c>
      <c r="I590" s="44"/>
    </row>
    <row r="591" spans="3:13" s="59" customFormat="1" ht="22.2" customHeight="1">
      <c r="C591" s="61" t="s">
        <v>1215</v>
      </c>
      <c r="D591" s="56" t="s">
        <v>1216</v>
      </c>
      <c r="E591" s="93"/>
      <c r="F591" s="57"/>
      <c r="G591" s="57"/>
      <c r="H591" s="57"/>
      <c r="I591" s="44"/>
    </row>
    <row r="592" spans="3:13" s="59" customFormat="1" ht="22.2" customHeight="1">
      <c r="C592" s="800">
        <v>1</v>
      </c>
      <c r="D592" s="56" t="s">
        <v>8404</v>
      </c>
      <c r="E592" s="93" t="s">
        <v>1974</v>
      </c>
      <c r="F592" s="104">
        <v>0.191</v>
      </c>
      <c r="G592" s="63">
        <f>VLOOKUP(D592,upahbahan,3,FALSE)</f>
        <v>35000</v>
      </c>
      <c r="H592" s="63">
        <f t="shared" ref="H592" si="49">F592*G592</f>
        <v>6685</v>
      </c>
      <c r="I592" s="44"/>
    </row>
    <row r="593" spans="3:13" s="59" customFormat="1" ht="22.2" customHeight="1">
      <c r="C593" s="450" t="s">
        <v>1217</v>
      </c>
      <c r="D593" s="67"/>
      <c r="E593" s="67"/>
      <c r="F593" s="67"/>
      <c r="G593" s="69"/>
      <c r="H593" s="882">
        <f>SUM(H591:H592)</f>
        <v>6685</v>
      </c>
      <c r="I593" s="44"/>
    </row>
    <row r="594" spans="3:13" s="59" customFormat="1" ht="22.2" customHeight="1">
      <c r="C594" s="288" t="s">
        <v>1218</v>
      </c>
      <c r="D594" s="76" t="s">
        <v>1219</v>
      </c>
      <c r="E594" s="77"/>
      <c r="F594" s="77"/>
      <c r="G594" s="78"/>
      <c r="H594" s="585">
        <f>H593+H590+H588</f>
        <v>242630</v>
      </c>
      <c r="I594" s="369"/>
    </row>
    <row r="595" spans="3:13" s="59" customFormat="1" ht="22.2" customHeight="1">
      <c r="C595" s="288" t="s">
        <v>1220</v>
      </c>
      <c r="D595" s="76" t="s">
        <v>1321</v>
      </c>
      <c r="E595" s="77"/>
      <c r="F595" s="78"/>
      <c r="G595" s="80">
        <v>0.1</v>
      </c>
      <c r="H595" s="63">
        <f>H594*G595</f>
        <v>24263</v>
      </c>
      <c r="I595" s="369"/>
    </row>
    <row r="596" spans="3:13" s="59" customFormat="1" ht="22.2" customHeight="1">
      <c r="C596" s="288" t="s">
        <v>1221</v>
      </c>
      <c r="D596" s="76" t="s">
        <v>1222</v>
      </c>
      <c r="E596" s="77"/>
      <c r="F596" s="77"/>
      <c r="G596" s="78"/>
      <c r="H596" s="799">
        <f>SUM(H594:H595)</f>
        <v>266893</v>
      </c>
      <c r="I596" s="369"/>
    </row>
    <row r="597" spans="3:13" ht="22.2" customHeight="1"/>
    <row r="598" spans="3:13" s="59" customFormat="1" ht="22.2" customHeight="1">
      <c r="C598" s="46" t="s">
        <v>4818</v>
      </c>
      <c r="D598" s="794" t="s">
        <v>8416</v>
      </c>
      <c r="E598" s="794"/>
      <c r="F598" s="794"/>
      <c r="G598" s="794"/>
      <c r="H598" s="794"/>
      <c r="I598" s="50">
        <f>ROUNDDOWN(H612,-2)</f>
        <v>296700</v>
      </c>
      <c r="J598" s="59" t="s">
        <v>6451</v>
      </c>
      <c r="K598" s="59" t="s">
        <v>8371</v>
      </c>
    </row>
    <row r="599" spans="3:13" s="59" customFormat="1" ht="22.2" customHeight="1">
      <c r="C599" s="591" t="s">
        <v>1195</v>
      </c>
      <c r="D599" s="591" t="s">
        <v>1196</v>
      </c>
      <c r="E599" s="591" t="s">
        <v>1197</v>
      </c>
      <c r="F599" s="591" t="s">
        <v>1198</v>
      </c>
      <c r="G599" s="591" t="s">
        <v>1199</v>
      </c>
      <c r="H599" s="591" t="s">
        <v>1200</v>
      </c>
      <c r="I599" s="44"/>
    </row>
    <row r="600" spans="3:13" s="59" customFormat="1" ht="22.2" customHeight="1">
      <c r="C600" s="61" t="s">
        <v>1201</v>
      </c>
      <c r="D600" s="56" t="s">
        <v>1202</v>
      </c>
      <c r="E600" s="57"/>
      <c r="F600" s="57"/>
      <c r="G600" s="57"/>
      <c r="H600" s="57"/>
      <c r="I600" s="44"/>
      <c r="J600" s="152" t="s">
        <v>1247</v>
      </c>
    </row>
    <row r="601" spans="3:13" s="59" customFormat="1" ht="22.2" customHeight="1">
      <c r="C601" s="588">
        <v>1</v>
      </c>
      <c r="D601" s="56" t="s">
        <v>5</v>
      </c>
      <c r="E601" s="577" t="s">
        <v>6</v>
      </c>
      <c r="F601" s="101">
        <v>1.429</v>
      </c>
      <c r="G601" s="63">
        <f>VLOOKUP(D601,upahbahan,3,FALSE)</f>
        <v>100000</v>
      </c>
      <c r="H601" s="63">
        <f>F601*G601</f>
        <v>142900</v>
      </c>
      <c r="I601" s="44"/>
      <c r="J601" s="152" t="s">
        <v>1248</v>
      </c>
      <c r="M601" s="65">
        <v>0.1</v>
      </c>
    </row>
    <row r="602" spans="3:13" s="59" customFormat="1" ht="22.2" customHeight="1">
      <c r="C602" s="588">
        <v>2</v>
      </c>
      <c r="D602" s="56" t="s">
        <v>10</v>
      </c>
      <c r="E602" s="577" t="s">
        <v>6</v>
      </c>
      <c r="F602" s="101">
        <v>0.71499999999999997</v>
      </c>
      <c r="G602" s="63">
        <f>VLOOKUP(D602,upahbahan,3,FALSE)</f>
        <v>135000</v>
      </c>
      <c r="H602" s="63">
        <f t="shared" ref="H602:H603" si="50">F602*G602</f>
        <v>96525</v>
      </c>
      <c r="I602" s="44"/>
      <c r="J602" s="152"/>
      <c r="M602" s="65"/>
    </row>
    <row r="603" spans="3:13" s="59" customFormat="1" ht="22.2" customHeight="1">
      <c r="C603" s="588">
        <v>3</v>
      </c>
      <c r="D603" s="56" t="s">
        <v>19</v>
      </c>
      <c r="E603" s="577" t="s">
        <v>6</v>
      </c>
      <c r="F603" s="101">
        <v>0.14299999999999999</v>
      </c>
      <c r="G603" s="63">
        <f>VLOOKUP(D603,upahbahan,3,FALSE)</f>
        <v>160000</v>
      </c>
      <c r="H603" s="63">
        <f t="shared" si="50"/>
        <v>22879.999999999996</v>
      </c>
      <c r="I603" s="44"/>
    </row>
    <row r="604" spans="3:13" s="59" customFormat="1" ht="22.2" customHeight="1">
      <c r="C604" s="450" t="s">
        <v>1208</v>
      </c>
      <c r="D604" s="67"/>
      <c r="E604" s="67"/>
      <c r="F604" s="142"/>
      <c r="G604" s="153"/>
      <c r="H604" s="63">
        <f>SUM(H601:H603)</f>
        <v>262305</v>
      </c>
      <c r="I604" s="154"/>
    </row>
    <row r="605" spans="3:13" s="59" customFormat="1" ht="22.2" customHeight="1">
      <c r="C605" s="61" t="s">
        <v>1209</v>
      </c>
      <c r="D605" s="56" t="s">
        <v>1210</v>
      </c>
      <c r="E605" s="57"/>
      <c r="F605" s="57"/>
      <c r="G605" s="57"/>
      <c r="H605" s="57"/>
      <c r="I605" s="44"/>
    </row>
    <row r="606" spans="3:13" s="59" customFormat="1" ht="22.2" customHeight="1">
      <c r="C606" s="450" t="s">
        <v>1214</v>
      </c>
      <c r="D606" s="67"/>
      <c r="E606" s="67"/>
      <c r="F606" s="67"/>
      <c r="G606" s="69"/>
      <c r="H606" s="63">
        <f>SUM(H605)</f>
        <v>0</v>
      </c>
      <c r="I606" s="44"/>
    </row>
    <row r="607" spans="3:13" s="59" customFormat="1" ht="22.2" customHeight="1">
      <c r="C607" s="61" t="s">
        <v>1215</v>
      </c>
      <c r="D607" s="56" t="s">
        <v>1216</v>
      </c>
      <c r="E607" s="93"/>
      <c r="F607" s="57"/>
      <c r="G607" s="57"/>
      <c r="H607" s="57"/>
      <c r="I607" s="44"/>
    </row>
    <row r="608" spans="3:13" s="59" customFormat="1" ht="22.2" customHeight="1">
      <c r="C608" s="800">
        <v>1</v>
      </c>
      <c r="D608" s="56" t="s">
        <v>8404</v>
      </c>
      <c r="E608" s="93" t="s">
        <v>1974</v>
      </c>
      <c r="F608" s="104">
        <v>0.21299999999999999</v>
      </c>
      <c r="G608" s="63">
        <f>VLOOKUP(D608,upahbahan,3,FALSE)</f>
        <v>35000</v>
      </c>
      <c r="H608" s="63">
        <f t="shared" ref="H608" si="51">F608*G608</f>
        <v>7455</v>
      </c>
      <c r="I608" s="44"/>
    </row>
    <row r="609" spans="3:13" s="59" customFormat="1" ht="22.2" customHeight="1">
      <c r="C609" s="450" t="s">
        <v>1217</v>
      </c>
      <c r="D609" s="67"/>
      <c r="E609" s="67"/>
      <c r="F609" s="67"/>
      <c r="G609" s="69"/>
      <c r="H609" s="882">
        <f>SUM(H607:H608)</f>
        <v>7455</v>
      </c>
      <c r="I609" s="44"/>
    </row>
    <row r="610" spans="3:13" s="59" customFormat="1" ht="22.2" customHeight="1">
      <c r="C610" s="288" t="s">
        <v>1218</v>
      </c>
      <c r="D610" s="76" t="s">
        <v>1219</v>
      </c>
      <c r="E610" s="77"/>
      <c r="F610" s="77"/>
      <c r="G610" s="78"/>
      <c r="H610" s="585">
        <f>H609+H606+H604</f>
        <v>269760</v>
      </c>
      <c r="I610" s="369"/>
    </row>
    <row r="611" spans="3:13" s="59" customFormat="1" ht="22.2" customHeight="1">
      <c r="C611" s="288" t="s">
        <v>1220</v>
      </c>
      <c r="D611" s="76" t="s">
        <v>1321</v>
      </c>
      <c r="E611" s="77"/>
      <c r="F611" s="78"/>
      <c r="G611" s="80">
        <v>0.1</v>
      </c>
      <c r="H611" s="63">
        <f>H610*G611</f>
        <v>26976</v>
      </c>
      <c r="I611" s="369"/>
    </row>
    <row r="612" spans="3:13" s="59" customFormat="1" ht="22.2" customHeight="1">
      <c r="C612" s="288" t="s">
        <v>1221</v>
      </c>
      <c r="D612" s="76" t="s">
        <v>1222</v>
      </c>
      <c r="E612" s="77"/>
      <c r="F612" s="77"/>
      <c r="G612" s="78"/>
      <c r="H612" s="799">
        <f>SUM(H610:H611)</f>
        <v>296736</v>
      </c>
      <c r="I612" s="369"/>
    </row>
    <row r="613" spans="3:13" ht="22.2" customHeight="1"/>
    <row r="614" spans="3:13" s="59" customFormat="1" ht="22.2" customHeight="1">
      <c r="C614" s="46" t="s">
        <v>4819</v>
      </c>
      <c r="D614" s="794" t="s">
        <v>8417</v>
      </c>
      <c r="E614" s="794"/>
      <c r="F614" s="794"/>
      <c r="G614" s="794"/>
      <c r="H614" s="794"/>
      <c r="I614" s="50">
        <f>ROUNDDOWN(H628,-2)</f>
        <v>326600</v>
      </c>
      <c r="J614" s="59" t="s">
        <v>6451</v>
      </c>
      <c r="K614" s="59" t="s">
        <v>8371</v>
      </c>
    </row>
    <row r="615" spans="3:13" s="59" customFormat="1" ht="22.2" customHeight="1">
      <c r="C615" s="591" t="s">
        <v>1195</v>
      </c>
      <c r="D615" s="591" t="s">
        <v>1196</v>
      </c>
      <c r="E615" s="591" t="s">
        <v>1197</v>
      </c>
      <c r="F615" s="591" t="s">
        <v>1198</v>
      </c>
      <c r="G615" s="591" t="s">
        <v>1199</v>
      </c>
      <c r="H615" s="591" t="s">
        <v>1200</v>
      </c>
      <c r="I615" s="44"/>
    </row>
    <row r="616" spans="3:13" s="59" customFormat="1" ht="22.2" customHeight="1">
      <c r="C616" s="61" t="s">
        <v>1201</v>
      </c>
      <c r="D616" s="56" t="s">
        <v>1202</v>
      </c>
      <c r="E616" s="57"/>
      <c r="F616" s="57"/>
      <c r="G616" s="57"/>
      <c r="H616" s="57"/>
      <c r="I616" s="44"/>
      <c r="J616" s="152" t="s">
        <v>1247</v>
      </c>
    </row>
    <row r="617" spans="3:13" s="59" customFormat="1" ht="22.2" customHeight="1">
      <c r="C617" s="588">
        <v>1</v>
      </c>
      <c r="D617" s="56" t="s">
        <v>5</v>
      </c>
      <c r="E617" s="577" t="s">
        <v>6</v>
      </c>
      <c r="F617" s="101">
        <v>1.573</v>
      </c>
      <c r="G617" s="63">
        <f>VLOOKUP(D617,upahbahan,3,FALSE)</f>
        <v>100000</v>
      </c>
      <c r="H617" s="63">
        <f>F617*G617</f>
        <v>157300</v>
      </c>
      <c r="I617" s="44"/>
      <c r="J617" s="152" t="s">
        <v>1248</v>
      </c>
      <c r="M617" s="65">
        <v>0.1</v>
      </c>
    </row>
    <row r="618" spans="3:13" s="59" customFormat="1" ht="22.2" customHeight="1">
      <c r="C618" s="588">
        <v>2</v>
      </c>
      <c r="D618" s="56" t="s">
        <v>10</v>
      </c>
      <c r="E618" s="577" t="s">
        <v>6</v>
      </c>
      <c r="F618" s="101">
        <v>0.78700000000000003</v>
      </c>
      <c r="G618" s="63">
        <f>VLOOKUP(D618,upahbahan,3,FALSE)</f>
        <v>135000</v>
      </c>
      <c r="H618" s="63">
        <f t="shared" ref="H618:H619" si="52">F618*G618</f>
        <v>106245</v>
      </c>
      <c r="I618" s="44"/>
      <c r="J618" s="152"/>
      <c r="M618" s="65"/>
    </row>
    <row r="619" spans="3:13" s="59" customFormat="1" ht="22.2" customHeight="1">
      <c r="C619" s="588">
        <v>3</v>
      </c>
      <c r="D619" s="56" t="s">
        <v>19</v>
      </c>
      <c r="E619" s="577" t="s">
        <v>6</v>
      </c>
      <c r="F619" s="101">
        <v>0.157</v>
      </c>
      <c r="G619" s="63">
        <f>VLOOKUP(D619,upahbahan,3,FALSE)</f>
        <v>160000</v>
      </c>
      <c r="H619" s="63">
        <f t="shared" si="52"/>
        <v>25120</v>
      </c>
      <c r="I619" s="44"/>
    </row>
    <row r="620" spans="3:13" s="59" customFormat="1" ht="22.2" customHeight="1">
      <c r="C620" s="450" t="s">
        <v>1208</v>
      </c>
      <c r="D620" s="67"/>
      <c r="E620" s="67"/>
      <c r="F620" s="142"/>
      <c r="G620" s="153"/>
      <c r="H620" s="63">
        <f>SUM(H617:H619)</f>
        <v>288665</v>
      </c>
      <c r="I620" s="154"/>
    </row>
    <row r="621" spans="3:13" s="59" customFormat="1" ht="22.2" customHeight="1">
      <c r="C621" s="61" t="s">
        <v>1209</v>
      </c>
      <c r="D621" s="56" t="s">
        <v>1210</v>
      </c>
      <c r="E621" s="57"/>
      <c r="F621" s="57"/>
      <c r="G621" s="57"/>
      <c r="H621" s="57"/>
      <c r="I621" s="44"/>
    </row>
    <row r="622" spans="3:13" s="59" customFormat="1" ht="22.2" customHeight="1">
      <c r="C622" s="450" t="s">
        <v>1214</v>
      </c>
      <c r="D622" s="67"/>
      <c r="E622" s="67"/>
      <c r="F622" s="67"/>
      <c r="G622" s="69"/>
      <c r="H622" s="63">
        <f>SUM(H621)</f>
        <v>0</v>
      </c>
      <c r="I622" s="44"/>
    </row>
    <row r="623" spans="3:13" s="59" customFormat="1" ht="22.2" customHeight="1">
      <c r="C623" s="61" t="s">
        <v>1215</v>
      </c>
      <c r="D623" s="56" t="s">
        <v>1216</v>
      </c>
      <c r="E623" s="93"/>
      <c r="F623" s="57"/>
      <c r="G623" s="57"/>
      <c r="H623" s="57"/>
      <c r="I623" s="44"/>
    </row>
    <row r="624" spans="3:13" s="59" customFormat="1" ht="22.2" customHeight="1">
      <c r="C624" s="800">
        <v>1</v>
      </c>
      <c r="D624" s="56" t="s">
        <v>8404</v>
      </c>
      <c r="E624" s="93" t="s">
        <v>1974</v>
      </c>
      <c r="F624" s="104">
        <v>0.23599999999999999</v>
      </c>
      <c r="G624" s="63">
        <f>VLOOKUP(D624,upahbahan,3,FALSE)</f>
        <v>35000</v>
      </c>
      <c r="H624" s="63">
        <f t="shared" ref="H624" si="53">F624*G624</f>
        <v>8260</v>
      </c>
      <c r="I624" s="44"/>
    </row>
    <row r="625" spans="3:13" s="59" customFormat="1" ht="22.2" customHeight="1">
      <c r="C625" s="450" t="s">
        <v>1217</v>
      </c>
      <c r="D625" s="67"/>
      <c r="E625" s="67"/>
      <c r="F625" s="67"/>
      <c r="G625" s="69"/>
      <c r="H625" s="882">
        <f>SUM(H623:H624)</f>
        <v>8260</v>
      </c>
      <c r="I625" s="44"/>
    </row>
    <row r="626" spans="3:13" s="59" customFormat="1" ht="22.2" customHeight="1">
      <c r="C626" s="288" t="s">
        <v>1218</v>
      </c>
      <c r="D626" s="76" t="s">
        <v>1219</v>
      </c>
      <c r="E626" s="77"/>
      <c r="F626" s="77"/>
      <c r="G626" s="78"/>
      <c r="H626" s="585">
        <f>H625+H622+H620</f>
        <v>296925</v>
      </c>
      <c r="I626" s="369"/>
    </row>
    <row r="627" spans="3:13" s="59" customFormat="1" ht="22.2" customHeight="1">
      <c r="C627" s="288" t="s">
        <v>1220</v>
      </c>
      <c r="D627" s="76" t="s">
        <v>1321</v>
      </c>
      <c r="E627" s="77"/>
      <c r="F627" s="78"/>
      <c r="G627" s="80">
        <v>0.1</v>
      </c>
      <c r="H627" s="63">
        <f>H626*G627</f>
        <v>29692.5</v>
      </c>
      <c r="I627" s="369"/>
    </row>
    <row r="628" spans="3:13" s="59" customFormat="1" ht="22.2" customHeight="1">
      <c r="C628" s="288" t="s">
        <v>1221</v>
      </c>
      <c r="D628" s="76" t="s">
        <v>1222</v>
      </c>
      <c r="E628" s="77"/>
      <c r="F628" s="77"/>
      <c r="G628" s="78"/>
      <c r="H628" s="799">
        <f>SUM(H626:H627)</f>
        <v>326617.5</v>
      </c>
      <c r="I628" s="369"/>
    </row>
    <row r="629" spans="3:13" ht="22.2" customHeight="1"/>
    <row r="630" spans="3:13" ht="22.2" customHeight="1">
      <c r="C630" s="43" t="s">
        <v>4820</v>
      </c>
      <c r="D630" s="128" t="s">
        <v>3857</v>
      </c>
    </row>
    <row r="631" spans="3:13" ht="22.2" customHeight="1">
      <c r="C631" s="43" t="s">
        <v>4821</v>
      </c>
      <c r="D631" s="128" t="s">
        <v>4822</v>
      </c>
    </row>
    <row r="632" spans="3:13" s="59" customFormat="1" ht="22.2" customHeight="1">
      <c r="C632" s="46" t="s">
        <v>4823</v>
      </c>
      <c r="D632" s="794" t="s">
        <v>8418</v>
      </c>
      <c r="E632" s="794"/>
      <c r="F632" s="794"/>
      <c r="G632" s="794"/>
      <c r="H632" s="794"/>
      <c r="I632" s="50">
        <f>ROUNDDOWN(H647,-2)</f>
        <v>275200</v>
      </c>
      <c r="J632" s="59" t="s">
        <v>6451</v>
      </c>
      <c r="K632" s="59" t="s">
        <v>8371</v>
      </c>
    </row>
    <row r="633" spans="3:13" s="59" customFormat="1" ht="22.2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  <c r="I633" s="44"/>
    </row>
    <row r="634" spans="3:13" s="59" customFormat="1" ht="22.2" customHeight="1">
      <c r="C634" s="61" t="s">
        <v>1201</v>
      </c>
      <c r="D634" s="56" t="s">
        <v>1202</v>
      </c>
      <c r="E634" s="57"/>
      <c r="F634" s="57"/>
      <c r="G634" s="57"/>
      <c r="H634" s="57"/>
      <c r="I634" s="44"/>
      <c r="J634" s="152" t="s">
        <v>1247</v>
      </c>
    </row>
    <row r="635" spans="3:13" s="59" customFormat="1" ht="22.2" customHeight="1">
      <c r="C635" s="588">
        <v>1</v>
      </c>
      <c r="D635" s="56" t="s">
        <v>5</v>
      </c>
      <c r="E635" s="577" t="s">
        <v>6</v>
      </c>
      <c r="F635" s="101">
        <v>0.34499999999999997</v>
      </c>
      <c r="G635" s="63">
        <f>VLOOKUP(D635,upahbahan,3,FALSE)</f>
        <v>100000</v>
      </c>
      <c r="H635" s="63">
        <f>F635*G635</f>
        <v>34500</v>
      </c>
      <c r="I635" s="44"/>
      <c r="J635" s="152" t="s">
        <v>1248</v>
      </c>
      <c r="M635" s="65">
        <v>0.1</v>
      </c>
    </row>
    <row r="636" spans="3:13" s="59" customFormat="1" ht="22.2" customHeight="1">
      <c r="C636" s="588">
        <v>2</v>
      </c>
      <c r="D636" s="56" t="s">
        <v>10</v>
      </c>
      <c r="E636" s="577" t="s">
        <v>6</v>
      </c>
      <c r="F636" s="101">
        <v>0.17199999999999999</v>
      </c>
      <c r="G636" s="63">
        <f>VLOOKUP(D636,upahbahan,3,FALSE)</f>
        <v>135000</v>
      </c>
      <c r="H636" s="63">
        <f t="shared" ref="H636:H637" si="54">F636*G636</f>
        <v>23219.999999999996</v>
      </c>
      <c r="I636" s="44"/>
      <c r="J636" s="152"/>
      <c r="M636" s="65"/>
    </row>
    <row r="637" spans="3:13" s="59" customFormat="1" ht="22.2" customHeight="1">
      <c r="C637" s="588">
        <v>3</v>
      </c>
      <c r="D637" s="56" t="s">
        <v>19</v>
      </c>
      <c r="E637" s="577" t="s">
        <v>6</v>
      </c>
      <c r="F637" s="101">
        <v>3.4000000000000002E-2</v>
      </c>
      <c r="G637" s="63">
        <f>VLOOKUP(D637,upahbahan,3,FALSE)</f>
        <v>160000</v>
      </c>
      <c r="H637" s="63">
        <f t="shared" si="54"/>
        <v>5440</v>
      </c>
      <c r="I637" s="44"/>
    </row>
    <row r="638" spans="3:13" s="59" customFormat="1" ht="22.2" customHeight="1">
      <c r="C638" s="450" t="s">
        <v>1208</v>
      </c>
      <c r="D638" s="67"/>
      <c r="E638" s="67"/>
      <c r="F638" s="142"/>
      <c r="G638" s="153"/>
      <c r="H638" s="63">
        <f>SUM(H635:H637)</f>
        <v>63160</v>
      </c>
      <c r="I638" s="154"/>
    </row>
    <row r="639" spans="3:13" s="59" customFormat="1" ht="22.2" customHeight="1">
      <c r="C639" s="61" t="s">
        <v>1209</v>
      </c>
      <c r="D639" s="56" t="s">
        <v>1210</v>
      </c>
      <c r="E639" s="57"/>
      <c r="F639" s="57"/>
      <c r="G639" s="57"/>
      <c r="H639" s="57"/>
      <c r="I639" s="44"/>
    </row>
    <row r="640" spans="3:13" s="59" customFormat="1" ht="22.2" customHeight="1">
      <c r="C640" s="800">
        <v>1</v>
      </c>
      <c r="D640" s="56" t="s">
        <v>8419</v>
      </c>
      <c r="E640" s="93" t="s">
        <v>1300</v>
      </c>
      <c r="F640" s="104">
        <v>1</v>
      </c>
      <c r="G640" s="63">
        <f>VLOOKUP(D640,upahbahan,3,FALSE)</f>
        <v>185000</v>
      </c>
      <c r="H640" s="63">
        <f t="shared" ref="H640" si="55">F640*G640</f>
        <v>185000</v>
      </c>
      <c r="I640" s="44"/>
    </row>
    <row r="641" spans="3:13" s="59" customFormat="1" ht="22.2" customHeight="1">
      <c r="C641" s="450" t="s">
        <v>1214</v>
      </c>
      <c r="D641" s="67"/>
      <c r="E641" s="67"/>
      <c r="F641" s="67"/>
      <c r="G641" s="69"/>
      <c r="H641" s="63">
        <f>SUM(H639:H640)</f>
        <v>185000</v>
      </c>
      <c r="I641" s="44"/>
    </row>
    <row r="642" spans="3:13" s="59" customFormat="1" ht="22.2" customHeight="1">
      <c r="C642" s="61" t="s">
        <v>1215</v>
      </c>
      <c r="D642" s="56" t="s">
        <v>1216</v>
      </c>
      <c r="E642" s="93"/>
      <c r="F642" s="57"/>
      <c r="G642" s="57"/>
      <c r="H642" s="57"/>
      <c r="I642" s="44"/>
    </row>
    <row r="643" spans="3:13" s="59" customFormat="1" ht="22.2" customHeight="1">
      <c r="C643" s="800">
        <v>1</v>
      </c>
      <c r="D643" s="56" t="s">
        <v>4770</v>
      </c>
      <c r="E643" s="93" t="s">
        <v>1974</v>
      </c>
      <c r="F643" s="104">
        <v>1.9E-2</v>
      </c>
      <c r="G643" s="63">
        <f>VLOOKUP(D643,upahbahan,3,FALSE)</f>
        <v>108000</v>
      </c>
      <c r="H643" s="63">
        <f t="shared" ref="H643" si="56">F643*G643</f>
        <v>2052</v>
      </c>
      <c r="I643" s="44"/>
    </row>
    <row r="644" spans="3:13" s="59" customFormat="1" ht="22.2" customHeight="1">
      <c r="C644" s="450" t="s">
        <v>1217</v>
      </c>
      <c r="D644" s="67"/>
      <c r="E644" s="67"/>
      <c r="F644" s="67"/>
      <c r="G644" s="69"/>
      <c r="H644" s="882">
        <f>SUM(H642:H643)</f>
        <v>2052</v>
      </c>
      <c r="I644" s="44"/>
    </row>
    <row r="645" spans="3:13" s="59" customFormat="1" ht="22.2" customHeight="1">
      <c r="C645" s="288" t="s">
        <v>1218</v>
      </c>
      <c r="D645" s="76" t="s">
        <v>1219</v>
      </c>
      <c r="E645" s="77"/>
      <c r="F645" s="77"/>
      <c r="G645" s="78"/>
      <c r="H645" s="585">
        <f>H644+H641+H638</f>
        <v>250212</v>
      </c>
      <c r="I645" s="369"/>
    </row>
    <row r="646" spans="3:13" s="59" customFormat="1" ht="22.2" customHeight="1">
      <c r="C646" s="288" t="s">
        <v>1220</v>
      </c>
      <c r="D646" s="76" t="s">
        <v>1321</v>
      </c>
      <c r="E646" s="77"/>
      <c r="F646" s="78"/>
      <c r="G646" s="80">
        <v>0.1</v>
      </c>
      <c r="H646" s="63">
        <f>H645*G646</f>
        <v>25021.200000000001</v>
      </c>
      <c r="I646" s="369"/>
    </row>
    <row r="647" spans="3:13" s="59" customFormat="1" ht="22.2" customHeight="1">
      <c r="C647" s="288" t="s">
        <v>1221</v>
      </c>
      <c r="D647" s="76" t="s">
        <v>1222</v>
      </c>
      <c r="E647" s="77"/>
      <c r="F647" s="77"/>
      <c r="G647" s="78"/>
      <c r="H647" s="799">
        <f>SUM(H645:H646)</f>
        <v>275233.2</v>
      </c>
      <c r="I647" s="369"/>
    </row>
    <row r="648" spans="3:13" ht="22.2" customHeight="1"/>
    <row r="649" spans="3:13" s="59" customFormat="1" ht="22.2" customHeight="1">
      <c r="C649" s="46" t="s">
        <v>4825</v>
      </c>
      <c r="D649" s="794" t="s">
        <v>8420</v>
      </c>
      <c r="E649" s="794"/>
      <c r="F649" s="794"/>
      <c r="G649" s="794"/>
      <c r="H649" s="794"/>
      <c r="I649" s="50">
        <f>ROUNDDOWN(H664,-2)</f>
        <v>423900</v>
      </c>
      <c r="J649" s="59" t="s">
        <v>6451</v>
      </c>
      <c r="K649" s="59" t="s">
        <v>8371</v>
      </c>
    </row>
    <row r="650" spans="3:13" s="59" customFormat="1" ht="22.2" customHeight="1">
      <c r="C650" s="591" t="s">
        <v>1195</v>
      </c>
      <c r="D650" s="591" t="s">
        <v>1196</v>
      </c>
      <c r="E650" s="591" t="s">
        <v>1197</v>
      </c>
      <c r="F650" s="591" t="s">
        <v>1198</v>
      </c>
      <c r="G650" s="591" t="s">
        <v>1199</v>
      </c>
      <c r="H650" s="591" t="s">
        <v>1200</v>
      </c>
      <c r="I650" s="44"/>
    </row>
    <row r="651" spans="3:13" s="59" customFormat="1" ht="22.2" customHeight="1">
      <c r="C651" s="61" t="s">
        <v>1201</v>
      </c>
      <c r="D651" s="56" t="s">
        <v>1202</v>
      </c>
      <c r="E651" s="57"/>
      <c r="F651" s="57"/>
      <c r="G651" s="57"/>
      <c r="H651" s="57"/>
      <c r="I651" s="44"/>
      <c r="J651" s="152" t="s">
        <v>1247</v>
      </c>
    </row>
    <row r="652" spans="3:13" s="59" customFormat="1" ht="22.2" customHeight="1">
      <c r="C652" s="588">
        <v>1</v>
      </c>
      <c r="D652" s="56" t="s">
        <v>5</v>
      </c>
      <c r="E652" s="577" t="s">
        <v>6</v>
      </c>
      <c r="F652" s="101">
        <v>0.4</v>
      </c>
      <c r="G652" s="63">
        <f>VLOOKUP(D652,upahbahan,3,FALSE)</f>
        <v>100000</v>
      </c>
      <c r="H652" s="63">
        <f>F652*G652</f>
        <v>40000</v>
      </c>
      <c r="I652" s="44"/>
      <c r="J652" s="152" t="s">
        <v>1248</v>
      </c>
      <c r="M652" s="65">
        <v>0.1</v>
      </c>
    </row>
    <row r="653" spans="3:13" s="59" customFormat="1" ht="22.2" customHeight="1">
      <c r="C653" s="588">
        <v>2</v>
      </c>
      <c r="D653" s="56" t="s">
        <v>10</v>
      </c>
      <c r="E653" s="577" t="s">
        <v>6</v>
      </c>
      <c r="F653" s="101">
        <v>0.2</v>
      </c>
      <c r="G653" s="63">
        <f>VLOOKUP(D653,upahbahan,3,FALSE)</f>
        <v>135000</v>
      </c>
      <c r="H653" s="63">
        <f t="shared" ref="H653:H654" si="57">F653*G653</f>
        <v>27000</v>
      </c>
      <c r="I653" s="44"/>
      <c r="J653" s="152"/>
      <c r="M653" s="65"/>
    </row>
    <row r="654" spans="3:13" s="59" customFormat="1" ht="22.2" customHeight="1">
      <c r="C654" s="588">
        <v>3</v>
      </c>
      <c r="D654" s="56" t="s">
        <v>19</v>
      </c>
      <c r="E654" s="577" t="s">
        <v>6</v>
      </c>
      <c r="F654" s="101">
        <v>0.04</v>
      </c>
      <c r="G654" s="63">
        <f>VLOOKUP(D654,upahbahan,3,FALSE)</f>
        <v>160000</v>
      </c>
      <c r="H654" s="63">
        <f t="shared" si="57"/>
        <v>6400</v>
      </c>
      <c r="I654" s="44"/>
    </row>
    <row r="655" spans="3:13" s="59" customFormat="1" ht="22.2" customHeight="1">
      <c r="C655" s="450" t="s">
        <v>1208</v>
      </c>
      <c r="D655" s="67"/>
      <c r="E655" s="67"/>
      <c r="F655" s="142"/>
      <c r="G655" s="153"/>
      <c r="H655" s="63">
        <f>SUM(H652:H654)</f>
        <v>73400</v>
      </c>
      <c r="I655" s="154"/>
    </row>
    <row r="656" spans="3:13" s="59" customFormat="1" ht="22.2" customHeight="1">
      <c r="C656" s="61" t="s">
        <v>1209</v>
      </c>
      <c r="D656" s="56" t="s">
        <v>1210</v>
      </c>
      <c r="E656" s="57"/>
      <c r="F656" s="57"/>
      <c r="G656" s="57"/>
      <c r="H656" s="57"/>
      <c r="I656" s="44"/>
    </row>
    <row r="657" spans="3:13" s="59" customFormat="1" ht="22.2" customHeight="1">
      <c r="C657" s="800">
        <v>1</v>
      </c>
      <c r="D657" s="56" t="s">
        <v>8421</v>
      </c>
      <c r="E657" s="93" t="s">
        <v>1300</v>
      </c>
      <c r="F657" s="104">
        <v>1</v>
      </c>
      <c r="G657" s="63">
        <f>VLOOKUP(D657,upahbahan,3,FALSE)</f>
        <v>310000</v>
      </c>
      <c r="H657" s="63">
        <f t="shared" ref="H657" si="58">F657*G657</f>
        <v>310000</v>
      </c>
      <c r="I657" s="44"/>
    </row>
    <row r="658" spans="3:13" s="59" customFormat="1" ht="22.2" customHeight="1">
      <c r="C658" s="450" t="s">
        <v>1214</v>
      </c>
      <c r="D658" s="67"/>
      <c r="E658" s="67"/>
      <c r="F658" s="67"/>
      <c r="G658" s="69"/>
      <c r="H658" s="63">
        <f>SUM(H656:H657)</f>
        <v>310000</v>
      </c>
      <c r="I658" s="44"/>
    </row>
    <row r="659" spans="3:13" s="59" customFormat="1" ht="22.2" customHeight="1">
      <c r="C659" s="61" t="s">
        <v>1215</v>
      </c>
      <c r="D659" s="56" t="s">
        <v>1216</v>
      </c>
      <c r="E659" s="93"/>
      <c r="F659" s="57"/>
      <c r="G659" s="57"/>
      <c r="H659" s="57"/>
      <c r="I659" s="44"/>
    </row>
    <row r="660" spans="3:13" s="59" customFormat="1" ht="22.2" customHeight="1">
      <c r="C660" s="800">
        <v>1</v>
      </c>
      <c r="D660" s="56" t="s">
        <v>4770</v>
      </c>
      <c r="E660" s="93" t="s">
        <v>1974</v>
      </c>
      <c r="F660" s="104">
        <v>1.9E-2</v>
      </c>
      <c r="G660" s="63">
        <f>VLOOKUP(D660,upahbahan,3,FALSE)</f>
        <v>108000</v>
      </c>
      <c r="H660" s="63">
        <f t="shared" ref="H660" si="59">F660*G660</f>
        <v>2052</v>
      </c>
      <c r="I660" s="44"/>
    </row>
    <row r="661" spans="3:13" s="59" customFormat="1" ht="22.2" customHeight="1">
      <c r="C661" s="450" t="s">
        <v>1217</v>
      </c>
      <c r="D661" s="67"/>
      <c r="E661" s="67"/>
      <c r="F661" s="67"/>
      <c r="G661" s="69"/>
      <c r="H661" s="882">
        <f>SUM(H659:H660)</f>
        <v>2052</v>
      </c>
      <c r="I661" s="44"/>
    </row>
    <row r="662" spans="3:13" s="59" customFormat="1" ht="22.2" customHeight="1">
      <c r="C662" s="288" t="s">
        <v>1218</v>
      </c>
      <c r="D662" s="76" t="s">
        <v>1219</v>
      </c>
      <c r="E662" s="77"/>
      <c r="F662" s="77"/>
      <c r="G662" s="78"/>
      <c r="H662" s="585">
        <f>H661+H658+H655</f>
        <v>385452</v>
      </c>
      <c r="I662" s="369"/>
    </row>
    <row r="663" spans="3:13" s="59" customFormat="1" ht="22.2" customHeight="1">
      <c r="C663" s="288" t="s">
        <v>1220</v>
      </c>
      <c r="D663" s="76" t="s">
        <v>1321</v>
      </c>
      <c r="E663" s="77"/>
      <c r="F663" s="78"/>
      <c r="G663" s="80">
        <v>0.1</v>
      </c>
      <c r="H663" s="63">
        <f>H662*G663</f>
        <v>38545.200000000004</v>
      </c>
      <c r="I663" s="369"/>
    </row>
    <row r="664" spans="3:13" s="59" customFormat="1" ht="22.2" customHeight="1">
      <c r="C664" s="288" t="s">
        <v>1221</v>
      </c>
      <c r="D664" s="76" t="s">
        <v>1222</v>
      </c>
      <c r="E664" s="77"/>
      <c r="F664" s="77"/>
      <c r="G664" s="78"/>
      <c r="H664" s="799">
        <f>SUM(H662:H663)</f>
        <v>423997.2</v>
      </c>
      <c r="I664" s="369"/>
    </row>
    <row r="665" spans="3:13" ht="22.2" customHeight="1"/>
    <row r="666" spans="3:13" s="59" customFormat="1" ht="22.2" customHeight="1">
      <c r="C666" s="46" t="s">
        <v>4827</v>
      </c>
      <c r="D666" s="794" t="s">
        <v>8422</v>
      </c>
      <c r="E666" s="794"/>
      <c r="F666" s="794"/>
      <c r="G666" s="794"/>
      <c r="H666" s="794"/>
      <c r="I666" s="50">
        <f>ROUNDDOWN(H681,-2)</f>
        <v>572300</v>
      </c>
      <c r="J666" s="59" t="s">
        <v>6451</v>
      </c>
      <c r="K666" s="59" t="s">
        <v>8371</v>
      </c>
    </row>
    <row r="667" spans="3:13" s="59" customFormat="1" ht="22.2" customHeight="1">
      <c r="C667" s="591" t="s">
        <v>1195</v>
      </c>
      <c r="D667" s="591" t="s">
        <v>1196</v>
      </c>
      <c r="E667" s="591" t="s">
        <v>1197</v>
      </c>
      <c r="F667" s="591" t="s">
        <v>1198</v>
      </c>
      <c r="G667" s="591" t="s">
        <v>1199</v>
      </c>
      <c r="H667" s="591" t="s">
        <v>1200</v>
      </c>
      <c r="I667" s="44"/>
    </row>
    <row r="668" spans="3:13" s="59" customFormat="1" ht="22.2" customHeight="1">
      <c r="C668" s="61" t="s">
        <v>1201</v>
      </c>
      <c r="D668" s="56" t="s">
        <v>1202</v>
      </c>
      <c r="E668" s="57"/>
      <c r="F668" s="57"/>
      <c r="G668" s="57"/>
      <c r="H668" s="57"/>
      <c r="I668" s="44"/>
      <c r="J668" s="152" t="s">
        <v>1247</v>
      </c>
    </row>
    <row r="669" spans="3:13" s="59" customFormat="1" ht="22.2" customHeight="1">
      <c r="C669" s="588">
        <v>1</v>
      </c>
      <c r="D669" s="56" t="s">
        <v>5</v>
      </c>
      <c r="E669" s="577" t="s">
        <v>6</v>
      </c>
      <c r="F669" s="101">
        <v>0.44800000000000001</v>
      </c>
      <c r="G669" s="63">
        <f>VLOOKUP(D669,upahbahan,3,FALSE)</f>
        <v>100000</v>
      </c>
      <c r="H669" s="63">
        <f>F669*G669</f>
        <v>44800</v>
      </c>
      <c r="I669" s="44"/>
      <c r="J669" s="152" t="s">
        <v>1248</v>
      </c>
      <c r="M669" s="65">
        <v>0.1</v>
      </c>
    </row>
    <row r="670" spans="3:13" s="59" customFormat="1" ht="22.2" customHeight="1">
      <c r="C670" s="588">
        <v>2</v>
      </c>
      <c r="D670" s="56" t="s">
        <v>10</v>
      </c>
      <c r="E670" s="577" t="s">
        <v>6</v>
      </c>
      <c r="F670" s="101">
        <v>0.224</v>
      </c>
      <c r="G670" s="63">
        <f>VLOOKUP(D670,upahbahan,3,FALSE)</f>
        <v>135000</v>
      </c>
      <c r="H670" s="63">
        <f t="shared" ref="H670:H671" si="60">F670*G670</f>
        <v>30240</v>
      </c>
      <c r="I670" s="44"/>
      <c r="J670" s="152"/>
      <c r="M670" s="65"/>
    </row>
    <row r="671" spans="3:13" s="59" customFormat="1" ht="22.2" customHeight="1">
      <c r="C671" s="588">
        <v>3</v>
      </c>
      <c r="D671" s="56" t="s">
        <v>19</v>
      </c>
      <c r="E671" s="577" t="s">
        <v>6</v>
      </c>
      <c r="F671" s="101">
        <v>4.4999999999999998E-2</v>
      </c>
      <c r="G671" s="63">
        <f>VLOOKUP(D671,upahbahan,3,FALSE)</f>
        <v>160000</v>
      </c>
      <c r="H671" s="63">
        <f t="shared" si="60"/>
        <v>7200</v>
      </c>
      <c r="I671" s="44"/>
    </row>
    <row r="672" spans="3:13" s="59" customFormat="1" ht="22.2" customHeight="1">
      <c r="C672" s="450" t="s">
        <v>1208</v>
      </c>
      <c r="D672" s="67"/>
      <c r="E672" s="67"/>
      <c r="F672" s="142"/>
      <c r="G672" s="153"/>
      <c r="H672" s="63">
        <f>SUM(H669:H671)</f>
        <v>82240</v>
      </c>
      <c r="I672" s="154"/>
    </row>
    <row r="673" spans="3:13" s="59" customFormat="1" ht="22.2" customHeight="1">
      <c r="C673" s="61" t="s">
        <v>1209</v>
      </c>
      <c r="D673" s="56" t="s">
        <v>1210</v>
      </c>
      <c r="E673" s="57"/>
      <c r="F673" s="57"/>
      <c r="G673" s="57"/>
      <c r="H673" s="57"/>
      <c r="I673" s="44"/>
    </row>
    <row r="674" spans="3:13" s="59" customFormat="1" ht="22.2" customHeight="1">
      <c r="C674" s="800">
        <v>1</v>
      </c>
      <c r="D674" s="56" t="s">
        <v>8423</v>
      </c>
      <c r="E674" s="93" t="s">
        <v>1300</v>
      </c>
      <c r="F674" s="104">
        <v>1</v>
      </c>
      <c r="G674" s="63">
        <f>VLOOKUP(D674,upahbahan,3,FALSE)</f>
        <v>436000</v>
      </c>
      <c r="H674" s="63">
        <f t="shared" ref="H674" si="61">F674*G674</f>
        <v>436000</v>
      </c>
      <c r="I674" s="44"/>
    </row>
    <row r="675" spans="3:13" s="59" customFormat="1" ht="22.2" customHeight="1">
      <c r="C675" s="450" t="s">
        <v>1214</v>
      </c>
      <c r="D675" s="67"/>
      <c r="E675" s="67"/>
      <c r="F675" s="67"/>
      <c r="G675" s="69"/>
      <c r="H675" s="63">
        <f>SUM(H673:H674)</f>
        <v>436000</v>
      </c>
      <c r="I675" s="44"/>
    </row>
    <row r="676" spans="3:13" s="59" customFormat="1" ht="22.2" customHeight="1">
      <c r="C676" s="61" t="s">
        <v>1215</v>
      </c>
      <c r="D676" s="56" t="s">
        <v>1216</v>
      </c>
      <c r="E676" s="93"/>
      <c r="F676" s="57"/>
      <c r="G676" s="57"/>
      <c r="H676" s="57"/>
      <c r="I676" s="44"/>
    </row>
    <row r="677" spans="3:13" s="59" customFormat="1" ht="22.2" customHeight="1">
      <c r="C677" s="800">
        <v>1</v>
      </c>
      <c r="D677" s="56" t="s">
        <v>4770</v>
      </c>
      <c r="E677" s="93" t="s">
        <v>1974</v>
      </c>
      <c r="F677" s="104">
        <v>1.9E-2</v>
      </c>
      <c r="G677" s="63">
        <f>VLOOKUP(D677,upahbahan,3,FALSE)</f>
        <v>108000</v>
      </c>
      <c r="H677" s="63">
        <f t="shared" ref="H677" si="62">F677*G677</f>
        <v>2052</v>
      </c>
      <c r="I677" s="44"/>
    </row>
    <row r="678" spans="3:13" s="59" customFormat="1" ht="22.2" customHeight="1">
      <c r="C678" s="450" t="s">
        <v>1217</v>
      </c>
      <c r="D678" s="67"/>
      <c r="E678" s="67"/>
      <c r="F678" s="67"/>
      <c r="G678" s="69"/>
      <c r="H678" s="882">
        <f>SUM(H676:H677)</f>
        <v>2052</v>
      </c>
      <c r="I678" s="44"/>
    </row>
    <row r="679" spans="3:13" s="59" customFormat="1" ht="22.2" customHeight="1">
      <c r="C679" s="288" t="s">
        <v>1218</v>
      </c>
      <c r="D679" s="76" t="s">
        <v>1219</v>
      </c>
      <c r="E679" s="77"/>
      <c r="F679" s="77"/>
      <c r="G679" s="78"/>
      <c r="H679" s="585">
        <f>H678+H675+H672</f>
        <v>520292</v>
      </c>
      <c r="I679" s="369"/>
    </row>
    <row r="680" spans="3:13" s="59" customFormat="1" ht="22.2" customHeight="1">
      <c r="C680" s="288" t="s">
        <v>1220</v>
      </c>
      <c r="D680" s="76" t="s">
        <v>1321</v>
      </c>
      <c r="E680" s="77"/>
      <c r="F680" s="78"/>
      <c r="G680" s="80">
        <v>0.1</v>
      </c>
      <c r="H680" s="63">
        <f>H679*G680</f>
        <v>52029.200000000004</v>
      </c>
      <c r="I680" s="369"/>
    </row>
    <row r="681" spans="3:13" s="59" customFormat="1" ht="22.2" customHeight="1">
      <c r="C681" s="288" t="s">
        <v>1221</v>
      </c>
      <c r="D681" s="76" t="s">
        <v>1222</v>
      </c>
      <c r="E681" s="77"/>
      <c r="F681" s="77"/>
      <c r="G681" s="78"/>
      <c r="H681" s="799">
        <f>SUM(H679:H680)</f>
        <v>572321.19999999995</v>
      </c>
      <c r="I681" s="369"/>
    </row>
    <row r="682" spans="3:13" ht="22.2" customHeight="1"/>
    <row r="683" spans="3:13" s="59" customFormat="1" ht="22.2" customHeight="1">
      <c r="C683" s="46" t="s">
        <v>4829</v>
      </c>
      <c r="D683" s="794" t="s">
        <v>8424</v>
      </c>
      <c r="E683" s="794"/>
      <c r="F683" s="794"/>
      <c r="G683" s="794"/>
      <c r="H683" s="794"/>
      <c r="I683" s="50">
        <f>ROUNDDOWN(H698,-2)</f>
        <v>540000</v>
      </c>
      <c r="J683" s="59" t="s">
        <v>6451</v>
      </c>
      <c r="K683" s="59" t="s">
        <v>8371</v>
      </c>
    </row>
    <row r="684" spans="3:13" s="59" customFormat="1" ht="22.2" customHeight="1">
      <c r="C684" s="591" t="s">
        <v>1195</v>
      </c>
      <c r="D684" s="591" t="s">
        <v>1196</v>
      </c>
      <c r="E684" s="591" t="s">
        <v>1197</v>
      </c>
      <c r="F684" s="591" t="s">
        <v>1198</v>
      </c>
      <c r="G684" s="591" t="s">
        <v>1199</v>
      </c>
      <c r="H684" s="591" t="s">
        <v>1200</v>
      </c>
      <c r="I684" s="44"/>
    </row>
    <row r="685" spans="3:13" s="59" customFormat="1" ht="22.2" customHeight="1">
      <c r="C685" s="61" t="s">
        <v>1201</v>
      </c>
      <c r="D685" s="56" t="s">
        <v>1202</v>
      </c>
      <c r="E685" s="57"/>
      <c r="F685" s="57"/>
      <c r="G685" s="57"/>
      <c r="H685" s="57"/>
      <c r="I685" s="44"/>
      <c r="J685" s="152" t="s">
        <v>1247</v>
      </c>
    </row>
    <row r="686" spans="3:13" s="59" customFormat="1" ht="22.2" customHeight="1">
      <c r="C686" s="588">
        <v>1</v>
      </c>
      <c r="D686" s="56" t="s">
        <v>5</v>
      </c>
      <c r="E686" s="577" t="s">
        <v>6</v>
      </c>
      <c r="F686" s="101">
        <v>0.50600000000000001</v>
      </c>
      <c r="G686" s="63">
        <f>VLOOKUP(D686,upahbahan,3,FALSE)</f>
        <v>100000</v>
      </c>
      <c r="H686" s="63">
        <f>F686*G686</f>
        <v>50600</v>
      </c>
      <c r="I686" s="44"/>
      <c r="J686" s="152" t="s">
        <v>1248</v>
      </c>
      <c r="M686" s="65">
        <v>0.1</v>
      </c>
    </row>
    <row r="687" spans="3:13" s="59" customFormat="1" ht="22.2" customHeight="1">
      <c r="C687" s="588">
        <v>2</v>
      </c>
      <c r="D687" s="56" t="s">
        <v>10</v>
      </c>
      <c r="E687" s="577" t="s">
        <v>6</v>
      </c>
      <c r="F687" s="101">
        <v>0.253</v>
      </c>
      <c r="G687" s="63">
        <f>VLOOKUP(D687,upahbahan,3,FALSE)</f>
        <v>135000</v>
      </c>
      <c r="H687" s="63">
        <f t="shared" ref="H687:H688" si="63">F687*G687</f>
        <v>34155</v>
      </c>
      <c r="I687" s="44"/>
      <c r="J687" s="152"/>
      <c r="M687" s="65"/>
    </row>
    <row r="688" spans="3:13" s="59" customFormat="1" ht="22.2" customHeight="1">
      <c r="C688" s="588">
        <v>3</v>
      </c>
      <c r="D688" s="56" t="s">
        <v>19</v>
      </c>
      <c r="E688" s="577" t="s">
        <v>6</v>
      </c>
      <c r="F688" s="101">
        <v>5.0999999999999997E-2</v>
      </c>
      <c r="G688" s="63">
        <f>VLOOKUP(D688,upahbahan,3,FALSE)</f>
        <v>160000</v>
      </c>
      <c r="H688" s="63">
        <f t="shared" si="63"/>
        <v>8159.9999999999991</v>
      </c>
      <c r="I688" s="44"/>
    </row>
    <row r="689" spans="3:13" s="59" customFormat="1" ht="22.2" customHeight="1">
      <c r="C689" s="450" t="s">
        <v>1208</v>
      </c>
      <c r="D689" s="67"/>
      <c r="E689" s="67"/>
      <c r="F689" s="142"/>
      <c r="G689" s="153"/>
      <c r="H689" s="63">
        <f>SUM(H686:H688)</f>
        <v>92915</v>
      </c>
      <c r="I689" s="154"/>
    </row>
    <row r="690" spans="3:13" s="59" customFormat="1" ht="22.2" customHeight="1">
      <c r="C690" s="61" t="s">
        <v>1209</v>
      </c>
      <c r="D690" s="56" t="s">
        <v>1210</v>
      </c>
      <c r="E690" s="57"/>
      <c r="F690" s="57"/>
      <c r="G690" s="57"/>
      <c r="H690" s="57"/>
      <c r="I690" s="44"/>
    </row>
    <row r="691" spans="3:13" s="59" customFormat="1" ht="22.2" customHeight="1">
      <c r="C691" s="800">
        <v>1</v>
      </c>
      <c r="D691" s="56" t="s">
        <v>8425</v>
      </c>
      <c r="E691" s="93" t="s">
        <v>1300</v>
      </c>
      <c r="F691" s="104">
        <v>1</v>
      </c>
      <c r="G691" s="63">
        <f>VLOOKUP(D691,upahbahan,3,FALSE)</f>
        <v>396000</v>
      </c>
      <c r="H691" s="63">
        <f t="shared" ref="H691" si="64">F691*G691</f>
        <v>396000</v>
      </c>
      <c r="I691" s="44"/>
    </row>
    <row r="692" spans="3:13" s="59" customFormat="1" ht="22.2" customHeight="1">
      <c r="C692" s="450" t="s">
        <v>1214</v>
      </c>
      <c r="D692" s="67"/>
      <c r="E692" s="67"/>
      <c r="F692" s="67"/>
      <c r="G692" s="69"/>
      <c r="H692" s="63">
        <f>SUM(H690:H691)</f>
        <v>396000</v>
      </c>
      <c r="I692" s="44"/>
    </row>
    <row r="693" spans="3:13" s="59" customFormat="1" ht="22.2" customHeight="1">
      <c r="C693" s="61" t="s">
        <v>1215</v>
      </c>
      <c r="D693" s="56" t="s">
        <v>1216</v>
      </c>
      <c r="E693" s="93"/>
      <c r="F693" s="57"/>
      <c r="G693" s="57"/>
      <c r="H693" s="57"/>
      <c r="I693" s="44"/>
    </row>
    <row r="694" spans="3:13" s="59" customFormat="1" ht="22.2" customHeight="1">
      <c r="C694" s="800">
        <v>1</v>
      </c>
      <c r="D694" s="56" t="s">
        <v>4770</v>
      </c>
      <c r="E694" s="93" t="s">
        <v>1974</v>
      </c>
      <c r="F694" s="104">
        <v>1.9E-2</v>
      </c>
      <c r="G694" s="63">
        <f>VLOOKUP(D694,upahbahan,3,FALSE)</f>
        <v>108000</v>
      </c>
      <c r="H694" s="63">
        <f t="shared" ref="H694" si="65">F694*G694</f>
        <v>2052</v>
      </c>
      <c r="I694" s="44"/>
    </row>
    <row r="695" spans="3:13" s="59" customFormat="1" ht="22.2" customHeight="1">
      <c r="C695" s="450" t="s">
        <v>1217</v>
      </c>
      <c r="D695" s="67"/>
      <c r="E695" s="67"/>
      <c r="F695" s="67"/>
      <c r="G695" s="69"/>
      <c r="H695" s="882">
        <f>SUM(H693:H694)</f>
        <v>2052</v>
      </c>
      <c r="I695" s="44"/>
    </row>
    <row r="696" spans="3:13" s="59" customFormat="1" ht="22.2" customHeight="1">
      <c r="C696" s="288" t="s">
        <v>1218</v>
      </c>
      <c r="D696" s="76" t="s">
        <v>1219</v>
      </c>
      <c r="E696" s="77"/>
      <c r="F696" s="77"/>
      <c r="G696" s="78"/>
      <c r="H696" s="585">
        <f>H695+H692+H689</f>
        <v>490967</v>
      </c>
      <c r="I696" s="369"/>
    </row>
    <row r="697" spans="3:13" s="59" customFormat="1" ht="22.2" customHeight="1">
      <c r="C697" s="288" t="s">
        <v>1220</v>
      </c>
      <c r="D697" s="76" t="s">
        <v>1321</v>
      </c>
      <c r="E697" s="77"/>
      <c r="F697" s="78"/>
      <c r="G697" s="80">
        <v>0.1</v>
      </c>
      <c r="H697" s="63">
        <f>H696*G697</f>
        <v>49096.700000000004</v>
      </c>
      <c r="I697" s="369"/>
    </row>
    <row r="698" spans="3:13" s="59" customFormat="1" ht="22.2" customHeight="1">
      <c r="C698" s="288" t="s">
        <v>1221</v>
      </c>
      <c r="D698" s="76" t="s">
        <v>1222</v>
      </c>
      <c r="E698" s="77"/>
      <c r="F698" s="77"/>
      <c r="G698" s="78"/>
      <c r="H698" s="799">
        <f>SUM(H696:H697)</f>
        <v>540063.69999999995</v>
      </c>
      <c r="I698" s="369"/>
    </row>
    <row r="699" spans="3:13" ht="22.2" customHeight="1"/>
    <row r="700" spans="3:13" s="59" customFormat="1" ht="22.2" customHeight="1">
      <c r="C700" s="46" t="s">
        <v>4831</v>
      </c>
      <c r="D700" s="794" t="s">
        <v>8426</v>
      </c>
      <c r="E700" s="794"/>
      <c r="F700" s="794"/>
      <c r="G700" s="794"/>
      <c r="H700" s="794"/>
      <c r="I700" s="50">
        <f>ROUNDDOWN(H715,-2)</f>
        <v>622800</v>
      </c>
      <c r="J700" s="59" t="s">
        <v>6451</v>
      </c>
      <c r="K700" s="59" t="s">
        <v>8371</v>
      </c>
    </row>
    <row r="701" spans="3:13" s="59" customFormat="1" ht="22.2" customHeight="1">
      <c r="C701" s="591" t="s">
        <v>1195</v>
      </c>
      <c r="D701" s="591" t="s">
        <v>1196</v>
      </c>
      <c r="E701" s="591" t="s">
        <v>1197</v>
      </c>
      <c r="F701" s="591" t="s">
        <v>1198</v>
      </c>
      <c r="G701" s="591" t="s">
        <v>1199</v>
      </c>
      <c r="H701" s="591" t="s">
        <v>1200</v>
      </c>
      <c r="I701" s="44"/>
    </row>
    <row r="702" spans="3:13" s="59" customFormat="1" ht="22.2" customHeight="1">
      <c r="C702" s="61" t="s">
        <v>1201</v>
      </c>
      <c r="D702" s="56" t="s">
        <v>1202</v>
      </c>
      <c r="E702" s="57"/>
      <c r="F702" s="57"/>
      <c r="G702" s="57"/>
      <c r="H702" s="57"/>
      <c r="I702" s="44"/>
      <c r="J702" s="152" t="s">
        <v>1247</v>
      </c>
    </row>
    <row r="703" spans="3:13" s="59" customFormat="1" ht="22.2" customHeight="1">
      <c r="C703" s="588">
        <v>1</v>
      </c>
      <c r="D703" s="56" t="s">
        <v>5</v>
      </c>
      <c r="E703" s="577" t="s">
        <v>6</v>
      </c>
      <c r="F703" s="101">
        <v>0.79600000000000004</v>
      </c>
      <c r="G703" s="63">
        <f>VLOOKUP(D703,upahbahan,3,FALSE)</f>
        <v>100000</v>
      </c>
      <c r="H703" s="63">
        <f>F703*G703</f>
        <v>79600</v>
      </c>
      <c r="I703" s="44"/>
      <c r="J703" s="152" t="s">
        <v>1248</v>
      </c>
      <c r="M703" s="65">
        <v>0.1</v>
      </c>
    </row>
    <row r="704" spans="3:13" s="59" customFormat="1" ht="22.2" customHeight="1">
      <c r="C704" s="588">
        <v>2</v>
      </c>
      <c r="D704" s="56" t="s">
        <v>10</v>
      </c>
      <c r="E704" s="577" t="s">
        <v>6</v>
      </c>
      <c r="F704" s="101">
        <v>0.39800000000000002</v>
      </c>
      <c r="G704" s="63">
        <f>VLOOKUP(D704,upahbahan,3,FALSE)</f>
        <v>135000</v>
      </c>
      <c r="H704" s="63">
        <f t="shared" ref="H704:H705" si="66">F704*G704</f>
        <v>53730</v>
      </c>
      <c r="I704" s="44"/>
      <c r="J704" s="152"/>
      <c r="M704" s="65"/>
    </row>
    <row r="705" spans="3:11" s="59" customFormat="1" ht="22.2" customHeight="1">
      <c r="C705" s="588">
        <v>3</v>
      </c>
      <c r="D705" s="56" t="s">
        <v>19</v>
      </c>
      <c r="E705" s="577" t="s">
        <v>6</v>
      </c>
      <c r="F705" s="101">
        <v>0.08</v>
      </c>
      <c r="G705" s="63">
        <f>VLOOKUP(D705,upahbahan,3,FALSE)</f>
        <v>160000</v>
      </c>
      <c r="H705" s="63">
        <f t="shared" si="66"/>
        <v>12800</v>
      </c>
      <c r="I705" s="44"/>
    </row>
    <row r="706" spans="3:11" s="59" customFormat="1" ht="22.2" customHeight="1">
      <c r="C706" s="450" t="s">
        <v>1208</v>
      </c>
      <c r="D706" s="67"/>
      <c r="E706" s="67"/>
      <c r="F706" s="142"/>
      <c r="G706" s="153"/>
      <c r="H706" s="63">
        <f>SUM(H703:H705)</f>
        <v>146130</v>
      </c>
      <c r="I706" s="154"/>
    </row>
    <row r="707" spans="3:11" s="59" customFormat="1" ht="22.2" customHeight="1">
      <c r="C707" s="61" t="s">
        <v>1209</v>
      </c>
      <c r="D707" s="56" t="s">
        <v>1210</v>
      </c>
      <c r="E707" s="57"/>
      <c r="F707" s="57"/>
      <c r="G707" s="57"/>
      <c r="H707" s="57"/>
      <c r="I707" s="44"/>
    </row>
    <row r="708" spans="3:11" s="59" customFormat="1" ht="22.2" customHeight="1">
      <c r="C708" s="800">
        <v>1</v>
      </c>
      <c r="D708" s="56" t="s">
        <v>8427</v>
      </c>
      <c r="E708" s="93" t="s">
        <v>1300</v>
      </c>
      <c r="F708" s="104">
        <v>1</v>
      </c>
      <c r="G708" s="63">
        <f>VLOOKUP(D708,upahbahan,3,FALSE)</f>
        <v>418000</v>
      </c>
      <c r="H708" s="63">
        <f t="shared" ref="H708" si="67">F708*G708</f>
        <v>418000</v>
      </c>
      <c r="I708" s="44"/>
    </row>
    <row r="709" spans="3:11" s="59" customFormat="1" ht="22.2" customHeight="1">
      <c r="C709" s="450" t="s">
        <v>1214</v>
      </c>
      <c r="D709" s="67"/>
      <c r="E709" s="67"/>
      <c r="F709" s="67"/>
      <c r="G709" s="69"/>
      <c r="H709" s="63">
        <f>SUM(H707:H708)</f>
        <v>418000</v>
      </c>
      <c r="I709" s="44"/>
    </row>
    <row r="710" spans="3:11" s="59" customFormat="1" ht="22.2" customHeight="1">
      <c r="C710" s="61" t="s">
        <v>1215</v>
      </c>
      <c r="D710" s="56" t="s">
        <v>1216</v>
      </c>
      <c r="E710" s="93"/>
      <c r="F710" s="57"/>
      <c r="G710" s="57"/>
      <c r="H710" s="57"/>
      <c r="I710" s="44"/>
    </row>
    <row r="711" spans="3:11" s="59" customFormat="1" ht="22.2" customHeight="1">
      <c r="C711" s="800">
        <v>1</v>
      </c>
      <c r="D711" s="56" t="s">
        <v>4770</v>
      </c>
      <c r="E711" s="93" t="s">
        <v>1974</v>
      </c>
      <c r="F711" s="104">
        <v>1.9E-2</v>
      </c>
      <c r="G711" s="63">
        <f>VLOOKUP(D711,upahbahan,3,FALSE)</f>
        <v>108000</v>
      </c>
      <c r="H711" s="63">
        <f t="shared" ref="H711" si="68">F711*G711</f>
        <v>2052</v>
      </c>
      <c r="I711" s="44"/>
    </row>
    <row r="712" spans="3:11" s="59" customFormat="1" ht="22.2" customHeight="1">
      <c r="C712" s="450" t="s">
        <v>1217</v>
      </c>
      <c r="D712" s="67"/>
      <c r="E712" s="67"/>
      <c r="F712" s="67"/>
      <c r="G712" s="69"/>
      <c r="H712" s="882">
        <f>SUM(H710:H711)</f>
        <v>2052</v>
      </c>
      <c r="I712" s="44"/>
    </row>
    <row r="713" spans="3:11" s="59" customFormat="1" ht="22.2" customHeight="1">
      <c r="C713" s="288" t="s">
        <v>1218</v>
      </c>
      <c r="D713" s="76" t="s">
        <v>1219</v>
      </c>
      <c r="E713" s="77"/>
      <c r="F713" s="77"/>
      <c r="G713" s="78"/>
      <c r="H713" s="585">
        <f>H712+H709+H706</f>
        <v>566182</v>
      </c>
      <c r="I713" s="369"/>
    </row>
    <row r="714" spans="3:11" s="59" customFormat="1" ht="22.2" customHeight="1">
      <c r="C714" s="288" t="s">
        <v>1220</v>
      </c>
      <c r="D714" s="76" t="s">
        <v>1321</v>
      </c>
      <c r="E714" s="77"/>
      <c r="F714" s="78"/>
      <c r="G714" s="80">
        <v>0.1</v>
      </c>
      <c r="H714" s="63">
        <f>H713*G714</f>
        <v>56618.200000000004</v>
      </c>
      <c r="I714" s="369"/>
    </row>
    <row r="715" spans="3:11" s="59" customFormat="1" ht="22.2" customHeight="1">
      <c r="C715" s="288" t="s">
        <v>1221</v>
      </c>
      <c r="D715" s="76" t="s">
        <v>1222</v>
      </c>
      <c r="E715" s="77"/>
      <c r="F715" s="77"/>
      <c r="G715" s="78"/>
      <c r="H715" s="799">
        <f>SUM(H713:H714)</f>
        <v>622800.19999999995</v>
      </c>
      <c r="I715" s="369"/>
    </row>
    <row r="716" spans="3:11" ht="22.2" customHeight="1"/>
    <row r="717" spans="3:11" ht="22.2" customHeight="1"/>
    <row r="718" spans="3:11" s="59" customFormat="1" ht="22.2" customHeight="1">
      <c r="C718" s="46" t="s">
        <v>4833</v>
      </c>
      <c r="D718" s="794" t="s">
        <v>8428</v>
      </c>
      <c r="E718" s="794"/>
      <c r="F718" s="794"/>
      <c r="G718" s="794"/>
      <c r="H718" s="794"/>
      <c r="I718" s="50">
        <f>ROUNDDOWN(H733,-2)</f>
        <v>711400</v>
      </c>
      <c r="J718" s="59" t="s">
        <v>6451</v>
      </c>
      <c r="K718" s="59" t="s">
        <v>8371</v>
      </c>
    </row>
    <row r="719" spans="3:11" s="59" customFormat="1" ht="22.2" customHeight="1">
      <c r="C719" s="591" t="s">
        <v>1195</v>
      </c>
      <c r="D719" s="591" t="s">
        <v>1196</v>
      </c>
      <c r="E719" s="591" t="s">
        <v>1197</v>
      </c>
      <c r="F719" s="591" t="s">
        <v>1198</v>
      </c>
      <c r="G719" s="591" t="s">
        <v>1199</v>
      </c>
      <c r="H719" s="591" t="s">
        <v>1200</v>
      </c>
      <c r="I719" s="44"/>
    </row>
    <row r="720" spans="3:11" s="59" customFormat="1" ht="22.2" customHeight="1">
      <c r="C720" s="61" t="s">
        <v>1201</v>
      </c>
      <c r="D720" s="56" t="s">
        <v>1202</v>
      </c>
      <c r="E720" s="57"/>
      <c r="F720" s="57"/>
      <c r="G720" s="57"/>
      <c r="H720" s="57"/>
      <c r="I720" s="44"/>
      <c r="J720" s="152" t="s">
        <v>1247</v>
      </c>
    </row>
    <row r="721" spans="3:13" s="59" customFormat="1" ht="22.2" customHeight="1">
      <c r="C721" s="588">
        <v>1</v>
      </c>
      <c r="D721" s="56" t="s">
        <v>5</v>
      </c>
      <c r="E721" s="577" t="s">
        <v>6</v>
      </c>
      <c r="F721" s="101">
        <v>0.94899999999999995</v>
      </c>
      <c r="G721" s="63">
        <f>VLOOKUP(D721,upahbahan,3,FALSE)</f>
        <v>100000</v>
      </c>
      <c r="H721" s="63">
        <f>F721*G721</f>
        <v>94900</v>
      </c>
      <c r="I721" s="44"/>
      <c r="J721" s="152" t="s">
        <v>1248</v>
      </c>
      <c r="M721" s="65">
        <v>0.1</v>
      </c>
    </row>
    <row r="722" spans="3:13" s="59" customFormat="1" ht="22.2" customHeight="1">
      <c r="C722" s="588">
        <v>2</v>
      </c>
      <c r="D722" s="56" t="s">
        <v>10</v>
      </c>
      <c r="E722" s="577" t="s">
        <v>6</v>
      </c>
      <c r="F722" s="101">
        <v>0.47499999999999998</v>
      </c>
      <c r="G722" s="63">
        <f>VLOOKUP(D722,upahbahan,3,FALSE)</f>
        <v>135000</v>
      </c>
      <c r="H722" s="63">
        <f t="shared" ref="H722:H723" si="69">F722*G722</f>
        <v>64125</v>
      </c>
      <c r="I722" s="44"/>
      <c r="J722" s="152"/>
      <c r="M722" s="65"/>
    </row>
    <row r="723" spans="3:13" s="59" customFormat="1" ht="22.2" customHeight="1">
      <c r="C723" s="588">
        <v>3</v>
      </c>
      <c r="D723" s="56" t="s">
        <v>19</v>
      </c>
      <c r="E723" s="577" t="s">
        <v>6</v>
      </c>
      <c r="F723" s="101">
        <v>9.5000000000000001E-2</v>
      </c>
      <c r="G723" s="63">
        <f>VLOOKUP(D723,upahbahan,3,FALSE)</f>
        <v>160000</v>
      </c>
      <c r="H723" s="63">
        <f t="shared" si="69"/>
        <v>15200</v>
      </c>
      <c r="I723" s="44"/>
    </row>
    <row r="724" spans="3:13" s="59" customFormat="1" ht="22.2" customHeight="1">
      <c r="C724" s="450" t="s">
        <v>1208</v>
      </c>
      <c r="D724" s="67"/>
      <c r="E724" s="67"/>
      <c r="F724" s="142"/>
      <c r="G724" s="153"/>
      <c r="H724" s="63">
        <f>SUM(H721:H723)</f>
        <v>174225</v>
      </c>
      <c r="I724" s="154"/>
    </row>
    <row r="725" spans="3:13" s="59" customFormat="1" ht="22.2" customHeight="1">
      <c r="C725" s="61" t="s">
        <v>1209</v>
      </c>
      <c r="D725" s="56" t="s">
        <v>1210</v>
      </c>
      <c r="E725" s="57"/>
      <c r="F725" s="57"/>
      <c r="G725" s="57"/>
      <c r="H725" s="57"/>
      <c r="I725" s="44"/>
    </row>
    <row r="726" spans="3:13" s="59" customFormat="1" ht="22.2" customHeight="1">
      <c r="C726" s="800">
        <v>1</v>
      </c>
      <c r="D726" s="72" t="s">
        <v>8429</v>
      </c>
      <c r="E726" s="93" t="s">
        <v>1300</v>
      </c>
      <c r="F726" s="104">
        <v>1</v>
      </c>
      <c r="G726" s="63">
        <f>VLOOKUP(D726,upahbahan,3,FALSE)</f>
        <v>468000</v>
      </c>
      <c r="H726" s="63">
        <f t="shared" ref="H726" si="70">F726*G726</f>
        <v>468000</v>
      </c>
      <c r="I726" s="44"/>
    </row>
    <row r="727" spans="3:13" s="59" customFormat="1" ht="22.2" customHeight="1">
      <c r="C727" s="450" t="s">
        <v>1214</v>
      </c>
      <c r="D727" s="67"/>
      <c r="E727" s="67"/>
      <c r="F727" s="67"/>
      <c r="G727" s="69"/>
      <c r="H727" s="63">
        <f>SUM(H725:H726)</f>
        <v>468000</v>
      </c>
      <c r="I727" s="44"/>
    </row>
    <row r="728" spans="3:13" s="59" customFormat="1" ht="22.2" customHeight="1">
      <c r="C728" s="61" t="s">
        <v>1215</v>
      </c>
      <c r="D728" s="56" t="s">
        <v>1216</v>
      </c>
      <c r="E728" s="93"/>
      <c r="F728" s="57"/>
      <c r="G728" s="57"/>
      <c r="H728" s="57"/>
      <c r="I728" s="44"/>
    </row>
    <row r="729" spans="3:13" s="59" customFormat="1" ht="22.2" customHeight="1">
      <c r="C729" s="800">
        <v>1</v>
      </c>
      <c r="D729" s="56" t="s">
        <v>4770</v>
      </c>
      <c r="E729" s="93" t="s">
        <v>1974</v>
      </c>
      <c r="F729" s="104">
        <v>4.2000000000000003E-2</v>
      </c>
      <c r="G729" s="63">
        <f>VLOOKUP(D729,upahbahan,3,FALSE)</f>
        <v>108000</v>
      </c>
      <c r="H729" s="63">
        <f t="shared" ref="H729" si="71">F729*G729</f>
        <v>4536</v>
      </c>
      <c r="I729" s="44"/>
    </row>
    <row r="730" spans="3:13" s="59" customFormat="1" ht="22.2" customHeight="1">
      <c r="C730" s="450" t="s">
        <v>1217</v>
      </c>
      <c r="D730" s="67"/>
      <c r="E730" s="67"/>
      <c r="F730" s="67"/>
      <c r="G730" s="69"/>
      <c r="H730" s="882">
        <f>SUM(H728:H729)</f>
        <v>4536</v>
      </c>
      <c r="I730" s="44"/>
    </row>
    <row r="731" spans="3:13" s="59" customFormat="1" ht="22.2" customHeight="1">
      <c r="C731" s="288" t="s">
        <v>1218</v>
      </c>
      <c r="D731" s="76" t="s">
        <v>1219</v>
      </c>
      <c r="E731" s="77"/>
      <c r="F731" s="77"/>
      <c r="G731" s="78"/>
      <c r="H731" s="585">
        <f>H730+H727+H724</f>
        <v>646761</v>
      </c>
      <c r="I731" s="369"/>
    </row>
    <row r="732" spans="3:13" s="59" customFormat="1" ht="22.2" customHeight="1">
      <c r="C732" s="288" t="s">
        <v>1220</v>
      </c>
      <c r="D732" s="76" t="s">
        <v>1321</v>
      </c>
      <c r="E732" s="77"/>
      <c r="F732" s="78"/>
      <c r="G732" s="80">
        <v>0.1</v>
      </c>
      <c r="H732" s="63">
        <f>H731*G732</f>
        <v>64676.100000000006</v>
      </c>
      <c r="I732" s="369"/>
    </row>
    <row r="733" spans="3:13" s="59" customFormat="1" ht="22.2" customHeight="1">
      <c r="C733" s="288" t="s">
        <v>1221</v>
      </c>
      <c r="D733" s="76" t="s">
        <v>1222</v>
      </c>
      <c r="E733" s="77"/>
      <c r="F733" s="77"/>
      <c r="G733" s="78"/>
      <c r="H733" s="799">
        <f>SUM(H731:H732)</f>
        <v>711437.1</v>
      </c>
      <c r="I733" s="369"/>
    </row>
    <row r="734" spans="3:13" ht="22.2" customHeight="1"/>
    <row r="735" spans="3:13" s="59" customFormat="1" ht="22.2" customHeight="1">
      <c r="C735" s="46" t="s">
        <v>4835</v>
      </c>
      <c r="D735" s="794" t="s">
        <v>8430</v>
      </c>
      <c r="E735" s="794"/>
      <c r="F735" s="794"/>
      <c r="G735" s="794"/>
      <c r="H735" s="794"/>
      <c r="I735" s="50">
        <f>ROUNDDOWN(H750,-2)</f>
        <v>765400</v>
      </c>
      <c r="J735" s="59" t="s">
        <v>6451</v>
      </c>
      <c r="K735" s="59" t="s">
        <v>8371</v>
      </c>
    </row>
    <row r="736" spans="3:13" s="59" customFormat="1" ht="22.2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</row>
    <row r="737" spans="3:13" s="59" customFormat="1" ht="22.2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152" t="s">
        <v>1247</v>
      </c>
    </row>
    <row r="738" spans="3:13" s="59" customFormat="1" ht="22.2" customHeight="1">
      <c r="C738" s="588">
        <v>1</v>
      </c>
      <c r="D738" s="56" t="s">
        <v>5</v>
      </c>
      <c r="E738" s="577" t="s">
        <v>6</v>
      </c>
      <c r="F738" s="101">
        <v>0.95799999999999996</v>
      </c>
      <c r="G738" s="63">
        <f>VLOOKUP(D738,upahbahan,3,FALSE)</f>
        <v>100000</v>
      </c>
      <c r="H738" s="63">
        <f>F738*G738</f>
        <v>95800</v>
      </c>
      <c r="I738" s="44"/>
      <c r="J738" s="152" t="s">
        <v>1248</v>
      </c>
      <c r="M738" s="65">
        <v>0.1</v>
      </c>
    </row>
    <row r="739" spans="3:13" s="59" customFormat="1" ht="22.2" customHeight="1">
      <c r="C739" s="588">
        <v>2</v>
      </c>
      <c r="D739" s="56" t="s">
        <v>10</v>
      </c>
      <c r="E739" s="577" t="s">
        <v>6</v>
      </c>
      <c r="F739" s="101">
        <v>0.47899999999999998</v>
      </c>
      <c r="G739" s="63">
        <f>VLOOKUP(D739,upahbahan,3,FALSE)</f>
        <v>135000</v>
      </c>
      <c r="H739" s="63">
        <f t="shared" ref="H739:H740" si="72">F739*G739</f>
        <v>64665</v>
      </c>
      <c r="I739" s="44"/>
      <c r="J739" s="152"/>
      <c r="M739" s="65"/>
    </row>
    <row r="740" spans="3:13" s="59" customFormat="1" ht="22.2" customHeight="1">
      <c r="C740" s="588">
        <v>3</v>
      </c>
      <c r="D740" s="56" t="s">
        <v>19</v>
      </c>
      <c r="E740" s="577" t="s">
        <v>6</v>
      </c>
      <c r="F740" s="101">
        <v>9.6000000000000002E-2</v>
      </c>
      <c r="G740" s="63">
        <f>VLOOKUP(D740,upahbahan,3,FALSE)</f>
        <v>160000</v>
      </c>
      <c r="H740" s="63">
        <f t="shared" si="72"/>
        <v>15360</v>
      </c>
      <c r="I740" s="44"/>
    </row>
    <row r="741" spans="3:13" s="59" customFormat="1" ht="22.2" customHeight="1">
      <c r="C741" s="450" t="s">
        <v>1208</v>
      </c>
      <c r="D741" s="67"/>
      <c r="E741" s="67"/>
      <c r="F741" s="142"/>
      <c r="G741" s="153"/>
      <c r="H741" s="63">
        <f>SUM(H738:H740)</f>
        <v>175825</v>
      </c>
      <c r="I741" s="154"/>
    </row>
    <row r="742" spans="3:13" s="59" customFormat="1" ht="22.2" customHeight="1">
      <c r="C742" s="61" t="s">
        <v>1209</v>
      </c>
      <c r="D742" s="56" t="s">
        <v>1210</v>
      </c>
      <c r="E742" s="57"/>
      <c r="F742" s="57"/>
      <c r="G742" s="57"/>
      <c r="H742" s="57"/>
      <c r="I742" s="44"/>
    </row>
    <row r="743" spans="3:13" s="59" customFormat="1" ht="22.2" customHeight="1">
      <c r="C743" s="800">
        <v>1</v>
      </c>
      <c r="D743" s="56" t="s">
        <v>8431</v>
      </c>
      <c r="E743" s="93" t="s">
        <v>1300</v>
      </c>
      <c r="F743" s="104">
        <v>1</v>
      </c>
      <c r="G743" s="63">
        <f>VLOOKUP(D743,upahbahan,3,FALSE)</f>
        <v>513000</v>
      </c>
      <c r="H743" s="63">
        <f t="shared" ref="H743" si="73">F743*G743</f>
        <v>513000</v>
      </c>
      <c r="I743" s="44"/>
    </row>
    <row r="744" spans="3:13" s="59" customFormat="1" ht="22.2" customHeight="1">
      <c r="C744" s="450" t="s">
        <v>1214</v>
      </c>
      <c r="D744" s="67"/>
      <c r="E744" s="67"/>
      <c r="F744" s="67"/>
      <c r="G744" s="69"/>
      <c r="H744" s="63">
        <f>SUM(H742:H743)</f>
        <v>513000</v>
      </c>
      <c r="I744" s="44"/>
    </row>
    <row r="745" spans="3:13" s="59" customFormat="1" ht="22.2" customHeight="1">
      <c r="C745" s="61" t="s">
        <v>1215</v>
      </c>
      <c r="D745" s="56" t="s">
        <v>1216</v>
      </c>
      <c r="E745" s="93"/>
      <c r="F745" s="57"/>
      <c r="G745" s="57"/>
      <c r="H745" s="57"/>
      <c r="I745" s="44"/>
    </row>
    <row r="746" spans="3:13" s="59" customFormat="1" ht="22.2" customHeight="1">
      <c r="C746" s="800">
        <v>1</v>
      </c>
      <c r="D746" s="56" t="s">
        <v>4770</v>
      </c>
      <c r="E746" s="93" t="s">
        <v>1974</v>
      </c>
      <c r="F746" s="104">
        <v>6.5000000000000002E-2</v>
      </c>
      <c r="G746" s="63">
        <f>VLOOKUP(D746,upahbahan,3,FALSE)</f>
        <v>108000</v>
      </c>
      <c r="H746" s="63">
        <f t="shared" ref="H746" si="74">F746*G746</f>
        <v>7020</v>
      </c>
      <c r="I746" s="44"/>
    </row>
    <row r="747" spans="3:13" s="59" customFormat="1" ht="22.2" customHeight="1">
      <c r="C747" s="450" t="s">
        <v>1217</v>
      </c>
      <c r="D747" s="67"/>
      <c r="E747" s="67"/>
      <c r="F747" s="67"/>
      <c r="G747" s="69"/>
      <c r="H747" s="882">
        <f>SUM(H745:H746)</f>
        <v>7020</v>
      </c>
      <c r="I747" s="44"/>
    </row>
    <row r="748" spans="3:13" s="59" customFormat="1" ht="22.2" customHeight="1">
      <c r="C748" s="288" t="s">
        <v>1218</v>
      </c>
      <c r="D748" s="76" t="s">
        <v>1219</v>
      </c>
      <c r="E748" s="77"/>
      <c r="F748" s="77"/>
      <c r="G748" s="78"/>
      <c r="H748" s="585">
        <f>H747+H744+H741</f>
        <v>695845</v>
      </c>
      <c r="I748" s="369"/>
    </row>
    <row r="749" spans="3:13" s="59" customFormat="1" ht="22.2" customHeight="1">
      <c r="C749" s="288" t="s">
        <v>1220</v>
      </c>
      <c r="D749" s="76" t="s">
        <v>1321</v>
      </c>
      <c r="E749" s="77"/>
      <c r="F749" s="78"/>
      <c r="G749" s="80">
        <v>0.1</v>
      </c>
      <c r="H749" s="63">
        <f>H748*G749</f>
        <v>69584.5</v>
      </c>
      <c r="I749" s="369"/>
    </row>
    <row r="750" spans="3:13" s="59" customFormat="1" ht="22.2" customHeight="1">
      <c r="C750" s="288" t="s">
        <v>1221</v>
      </c>
      <c r="D750" s="76" t="s">
        <v>1222</v>
      </c>
      <c r="E750" s="77"/>
      <c r="F750" s="77"/>
      <c r="G750" s="78"/>
      <c r="H750" s="799">
        <f>SUM(H748:H749)</f>
        <v>765429.5</v>
      </c>
      <c r="I750" s="369"/>
    </row>
    <row r="751" spans="3:13" ht="22.2" customHeight="1"/>
    <row r="752" spans="3:13" ht="22.2" customHeight="1"/>
    <row r="753" spans="3:13" s="59" customFormat="1" ht="22.2" customHeight="1">
      <c r="C753" s="46" t="s">
        <v>4837</v>
      </c>
      <c r="D753" s="794" t="s">
        <v>8432</v>
      </c>
      <c r="E753" s="794"/>
      <c r="F753" s="794"/>
      <c r="G753" s="794"/>
      <c r="H753" s="794"/>
      <c r="I753" s="50">
        <f>ROUNDDOWN(H768,-2)</f>
        <v>916000</v>
      </c>
      <c r="J753" s="59" t="s">
        <v>6451</v>
      </c>
      <c r="K753" s="59" t="s">
        <v>8371</v>
      </c>
    </row>
    <row r="754" spans="3:13" s="59" customFormat="1" ht="22.2" customHeight="1">
      <c r="C754" s="591" t="s">
        <v>1195</v>
      </c>
      <c r="D754" s="591" t="s">
        <v>1196</v>
      </c>
      <c r="E754" s="591" t="s">
        <v>1197</v>
      </c>
      <c r="F754" s="591" t="s">
        <v>1198</v>
      </c>
      <c r="G754" s="591" t="s">
        <v>1199</v>
      </c>
      <c r="H754" s="591" t="s">
        <v>1200</v>
      </c>
      <c r="I754" s="44"/>
    </row>
    <row r="755" spans="3:13" s="59" customFormat="1" ht="22.2" customHeight="1">
      <c r="C755" s="61" t="s">
        <v>1201</v>
      </c>
      <c r="D755" s="56" t="s">
        <v>1202</v>
      </c>
      <c r="E755" s="57"/>
      <c r="F755" s="57"/>
      <c r="G755" s="57"/>
      <c r="H755" s="57"/>
      <c r="I755" s="44"/>
      <c r="J755" s="152" t="s">
        <v>1247</v>
      </c>
    </row>
    <row r="756" spans="3:13" s="59" customFormat="1" ht="22.2" customHeight="1">
      <c r="C756" s="588">
        <v>1</v>
      </c>
      <c r="D756" s="56" t="s">
        <v>5</v>
      </c>
      <c r="E756" s="577" t="s">
        <v>6</v>
      </c>
      <c r="F756" s="101">
        <v>1.212</v>
      </c>
      <c r="G756" s="63">
        <f>VLOOKUP(D756,upahbahan,3,FALSE)</f>
        <v>100000</v>
      </c>
      <c r="H756" s="63">
        <f>F756*G756</f>
        <v>121200</v>
      </c>
      <c r="I756" s="44"/>
      <c r="J756" s="152" t="s">
        <v>1248</v>
      </c>
      <c r="M756" s="65">
        <v>0.1</v>
      </c>
    </row>
    <row r="757" spans="3:13" s="59" customFormat="1" ht="22.2" customHeight="1">
      <c r="C757" s="588">
        <v>2</v>
      </c>
      <c r="D757" s="56" t="s">
        <v>10</v>
      </c>
      <c r="E757" s="577" t="s">
        <v>6</v>
      </c>
      <c r="F757" s="101">
        <v>0.60599999999999998</v>
      </c>
      <c r="G757" s="63">
        <f>VLOOKUP(D757,upahbahan,3,FALSE)</f>
        <v>135000</v>
      </c>
      <c r="H757" s="63">
        <f t="shared" ref="H757:H758" si="75">F757*G757</f>
        <v>81810</v>
      </c>
      <c r="I757" s="44"/>
      <c r="J757" s="152"/>
      <c r="M757" s="65"/>
    </row>
    <row r="758" spans="3:13" s="59" customFormat="1" ht="22.2" customHeight="1">
      <c r="C758" s="588">
        <v>3</v>
      </c>
      <c r="D758" s="56" t="s">
        <v>19</v>
      </c>
      <c r="E758" s="577" t="s">
        <v>6</v>
      </c>
      <c r="F758" s="101">
        <v>0.121</v>
      </c>
      <c r="G758" s="63">
        <f>VLOOKUP(D758,upahbahan,3,FALSE)</f>
        <v>160000</v>
      </c>
      <c r="H758" s="63">
        <f t="shared" si="75"/>
        <v>19360</v>
      </c>
      <c r="I758" s="44"/>
    </row>
    <row r="759" spans="3:13" s="59" customFormat="1" ht="22.2" customHeight="1">
      <c r="C759" s="450" t="s">
        <v>1208</v>
      </c>
      <c r="D759" s="67"/>
      <c r="E759" s="67"/>
      <c r="F759" s="142"/>
      <c r="G759" s="153"/>
      <c r="H759" s="63">
        <f>SUM(H756:H758)</f>
        <v>222370</v>
      </c>
      <c r="I759" s="154"/>
    </row>
    <row r="760" spans="3:13" s="59" customFormat="1" ht="22.2" customHeight="1">
      <c r="C760" s="61" t="s">
        <v>1209</v>
      </c>
      <c r="D760" s="56" t="s">
        <v>1210</v>
      </c>
      <c r="E760" s="57"/>
      <c r="F760" s="57"/>
      <c r="G760" s="57"/>
      <c r="H760" s="57"/>
      <c r="I760" s="44"/>
    </row>
    <row r="761" spans="3:13" s="59" customFormat="1" ht="22.2" customHeight="1">
      <c r="C761" s="800">
        <v>1</v>
      </c>
      <c r="D761" s="56" t="s">
        <v>8433</v>
      </c>
      <c r="E761" s="93" t="s">
        <v>1300</v>
      </c>
      <c r="F761" s="104">
        <v>1</v>
      </c>
      <c r="G761" s="63">
        <f>VLOOKUP(D761,upahbahan,3,FALSE)</f>
        <v>594000</v>
      </c>
      <c r="H761" s="63">
        <f t="shared" ref="H761" si="76">F761*G761</f>
        <v>594000</v>
      </c>
      <c r="I761" s="44"/>
    </row>
    <row r="762" spans="3:13" s="59" customFormat="1" ht="22.2" customHeight="1">
      <c r="C762" s="450" t="s">
        <v>1214</v>
      </c>
      <c r="D762" s="67"/>
      <c r="E762" s="67"/>
      <c r="F762" s="67"/>
      <c r="G762" s="69"/>
      <c r="H762" s="63">
        <f>SUM(H760:H761)</f>
        <v>594000</v>
      </c>
      <c r="I762" s="44"/>
    </row>
    <row r="763" spans="3:13" s="59" customFormat="1" ht="22.2" customHeight="1">
      <c r="C763" s="61" t="s">
        <v>1215</v>
      </c>
      <c r="D763" s="56" t="s">
        <v>1216</v>
      </c>
      <c r="E763" s="93"/>
      <c r="F763" s="57"/>
      <c r="G763" s="57"/>
      <c r="H763" s="57"/>
      <c r="I763" s="44"/>
    </row>
    <row r="764" spans="3:13" s="59" customFormat="1" ht="22.2" customHeight="1">
      <c r="C764" s="800">
        <v>1</v>
      </c>
      <c r="D764" s="56" t="s">
        <v>4770</v>
      </c>
      <c r="E764" s="93" t="s">
        <v>1974</v>
      </c>
      <c r="F764" s="104">
        <v>0.152</v>
      </c>
      <c r="G764" s="63">
        <f>VLOOKUP(D764,upahbahan,3,FALSE)</f>
        <v>108000</v>
      </c>
      <c r="H764" s="63">
        <f t="shared" ref="H764" si="77">F764*G764</f>
        <v>16416</v>
      </c>
      <c r="I764" s="44"/>
    </row>
    <row r="765" spans="3:13" s="59" customFormat="1" ht="22.2" customHeight="1">
      <c r="C765" s="450" t="s">
        <v>1217</v>
      </c>
      <c r="D765" s="67"/>
      <c r="E765" s="67"/>
      <c r="F765" s="67"/>
      <c r="G765" s="69"/>
      <c r="H765" s="882">
        <f>SUM(H763:H764)</f>
        <v>16416</v>
      </c>
      <c r="I765" s="44"/>
    </row>
    <row r="766" spans="3:13" s="59" customFormat="1" ht="22.2" customHeight="1">
      <c r="C766" s="288" t="s">
        <v>1218</v>
      </c>
      <c r="D766" s="76" t="s">
        <v>1219</v>
      </c>
      <c r="E766" s="77"/>
      <c r="F766" s="77"/>
      <c r="G766" s="78"/>
      <c r="H766" s="585">
        <f>H765+H762+H759</f>
        <v>832786</v>
      </c>
      <c r="I766" s="369"/>
    </row>
    <row r="767" spans="3:13" s="59" customFormat="1" ht="22.2" customHeight="1">
      <c r="C767" s="288" t="s">
        <v>1220</v>
      </c>
      <c r="D767" s="76" t="s">
        <v>1321</v>
      </c>
      <c r="E767" s="77"/>
      <c r="F767" s="78"/>
      <c r="G767" s="80">
        <v>0.1</v>
      </c>
      <c r="H767" s="63">
        <f>H766*G767</f>
        <v>83278.600000000006</v>
      </c>
      <c r="I767" s="369"/>
    </row>
    <row r="768" spans="3:13" s="59" customFormat="1" ht="22.2" customHeight="1">
      <c r="C768" s="288" t="s">
        <v>1221</v>
      </c>
      <c r="D768" s="76" t="s">
        <v>1222</v>
      </c>
      <c r="E768" s="77"/>
      <c r="F768" s="77"/>
      <c r="G768" s="78"/>
      <c r="H768" s="799">
        <f>SUM(H766:H767)</f>
        <v>916064.6</v>
      </c>
      <c r="I768" s="369"/>
    </row>
    <row r="769" spans="3:13" ht="22.2" customHeight="1"/>
    <row r="770" spans="3:13" s="59" customFormat="1" ht="22.2" customHeight="1">
      <c r="C770" s="46" t="s">
        <v>4839</v>
      </c>
      <c r="D770" s="794" t="s">
        <v>8434</v>
      </c>
      <c r="E770" s="794"/>
      <c r="F770" s="794"/>
      <c r="G770" s="794"/>
      <c r="H770" s="794"/>
      <c r="I770" s="50">
        <f>ROUNDDOWN(H785,-2)</f>
        <v>364100</v>
      </c>
      <c r="J770" s="59" t="s">
        <v>6451</v>
      </c>
      <c r="K770" s="59" t="s">
        <v>8371</v>
      </c>
    </row>
    <row r="771" spans="3:13" s="59" customFormat="1" ht="22.2" customHeight="1">
      <c r="C771" s="591" t="s">
        <v>1195</v>
      </c>
      <c r="D771" s="591" t="s">
        <v>1196</v>
      </c>
      <c r="E771" s="591" t="s">
        <v>1197</v>
      </c>
      <c r="F771" s="591" t="s">
        <v>1198</v>
      </c>
      <c r="G771" s="591" t="s">
        <v>1199</v>
      </c>
      <c r="H771" s="591" t="s">
        <v>1200</v>
      </c>
      <c r="I771" s="44"/>
    </row>
    <row r="772" spans="3:13" s="59" customFormat="1" ht="22.2" customHeight="1">
      <c r="C772" s="61" t="s">
        <v>1201</v>
      </c>
      <c r="D772" s="56" t="s">
        <v>1202</v>
      </c>
      <c r="E772" s="57"/>
      <c r="F772" s="57"/>
      <c r="G772" s="57"/>
      <c r="H772" s="57"/>
      <c r="I772" s="44"/>
      <c r="J772" s="152" t="s">
        <v>1247</v>
      </c>
    </row>
    <row r="773" spans="3:13" s="59" customFormat="1" ht="22.2" customHeight="1">
      <c r="C773" s="588">
        <v>1</v>
      </c>
      <c r="D773" s="56" t="s">
        <v>5</v>
      </c>
      <c r="E773" s="577" t="s">
        <v>6</v>
      </c>
      <c r="F773" s="101">
        <v>1.353</v>
      </c>
      <c r="G773" s="63">
        <f>VLOOKUP(D773,upahbahan,3,FALSE)</f>
        <v>100000</v>
      </c>
      <c r="H773" s="63">
        <f>F773*G773</f>
        <v>135300</v>
      </c>
      <c r="I773" s="44"/>
      <c r="J773" s="152" t="s">
        <v>1248</v>
      </c>
      <c r="M773" s="65">
        <v>0.1</v>
      </c>
    </row>
    <row r="774" spans="3:13" s="59" customFormat="1" ht="22.2" customHeight="1">
      <c r="C774" s="588">
        <v>2</v>
      </c>
      <c r="D774" s="56" t="s">
        <v>10</v>
      </c>
      <c r="E774" s="577" t="s">
        <v>6</v>
      </c>
      <c r="F774" s="101">
        <v>0.67600000000000005</v>
      </c>
      <c r="G774" s="63">
        <f>VLOOKUP(D774,upahbahan,3,FALSE)</f>
        <v>135000</v>
      </c>
      <c r="H774" s="63">
        <f t="shared" ref="H774:H775" si="78">F774*G774</f>
        <v>91260</v>
      </c>
      <c r="I774" s="44"/>
      <c r="J774" s="152"/>
      <c r="M774" s="65"/>
    </row>
    <row r="775" spans="3:13" s="59" customFormat="1" ht="22.2" customHeight="1">
      <c r="C775" s="588">
        <v>3</v>
      </c>
      <c r="D775" s="56" t="s">
        <v>19</v>
      </c>
      <c r="E775" s="577" t="s">
        <v>6</v>
      </c>
      <c r="F775" s="101">
        <v>0.13500000000000001</v>
      </c>
      <c r="G775" s="63">
        <f>VLOOKUP(D775,upahbahan,3,FALSE)</f>
        <v>160000</v>
      </c>
      <c r="H775" s="63">
        <f t="shared" si="78"/>
        <v>21600</v>
      </c>
      <c r="I775" s="44"/>
    </row>
    <row r="776" spans="3:13" s="59" customFormat="1" ht="22.2" customHeight="1">
      <c r="C776" s="450" t="s">
        <v>1208</v>
      </c>
      <c r="D776" s="67"/>
      <c r="E776" s="67"/>
      <c r="F776" s="142"/>
      <c r="G776" s="153"/>
      <c r="H776" s="63">
        <f>SUM(H773:H775)</f>
        <v>248160</v>
      </c>
      <c r="I776" s="154"/>
    </row>
    <row r="777" spans="3:13" s="59" customFormat="1" ht="22.2" customHeight="1">
      <c r="C777" s="61" t="s">
        <v>1209</v>
      </c>
      <c r="D777" s="56" t="s">
        <v>1210</v>
      </c>
      <c r="E777" s="57"/>
      <c r="F777" s="57"/>
      <c r="G777" s="57"/>
      <c r="H777" s="57"/>
      <c r="I777" s="44"/>
    </row>
    <row r="778" spans="3:13" s="59" customFormat="1" ht="22.2" customHeight="1">
      <c r="C778" s="800">
        <v>1</v>
      </c>
      <c r="D778" s="56" t="s">
        <v>8435</v>
      </c>
      <c r="E778" s="93" t="s">
        <v>1300</v>
      </c>
      <c r="F778" s="104">
        <v>1</v>
      </c>
      <c r="G778" s="63">
        <f>VLOOKUP(D778,upahbahan,3,FALSE)</f>
        <v>61300</v>
      </c>
      <c r="H778" s="63">
        <f t="shared" ref="H778" si="79">F778*G778</f>
        <v>61300</v>
      </c>
      <c r="I778" s="44"/>
    </row>
    <row r="779" spans="3:13" s="59" customFormat="1" ht="22.2" customHeight="1">
      <c r="C779" s="450" t="s">
        <v>1214</v>
      </c>
      <c r="D779" s="67"/>
      <c r="E779" s="67"/>
      <c r="F779" s="67"/>
      <c r="G779" s="69"/>
      <c r="H779" s="63">
        <f>SUM(H777:H778)</f>
        <v>61300</v>
      </c>
      <c r="I779" s="44"/>
    </row>
    <row r="780" spans="3:13" s="59" customFormat="1" ht="22.2" customHeight="1">
      <c r="C780" s="61" t="s">
        <v>1215</v>
      </c>
      <c r="D780" s="56" t="s">
        <v>1216</v>
      </c>
      <c r="E780" s="93"/>
      <c r="F780" s="57"/>
      <c r="G780" s="57"/>
      <c r="H780" s="57"/>
      <c r="I780" s="44"/>
    </row>
    <row r="781" spans="3:13" s="59" customFormat="1" ht="22.2" customHeight="1">
      <c r="C781" s="800">
        <v>1</v>
      </c>
      <c r="D781" s="56" t="s">
        <v>4770</v>
      </c>
      <c r="E781" s="93" t="s">
        <v>1974</v>
      </c>
      <c r="F781" s="104">
        <v>0.2</v>
      </c>
      <c r="G781" s="63">
        <f>VLOOKUP(D781,upahbahan,3,FALSE)</f>
        <v>108000</v>
      </c>
      <c r="H781" s="63">
        <f t="shared" ref="H781" si="80">F781*G781</f>
        <v>21600</v>
      </c>
      <c r="I781" s="44"/>
    </row>
    <row r="782" spans="3:13" s="59" customFormat="1" ht="22.2" customHeight="1">
      <c r="C782" s="450" t="s">
        <v>1217</v>
      </c>
      <c r="D782" s="67"/>
      <c r="E782" s="67"/>
      <c r="F782" s="67"/>
      <c r="G782" s="69"/>
      <c r="H782" s="882">
        <f>SUM(H780:H781)</f>
        <v>21600</v>
      </c>
      <c r="I782" s="44"/>
    </row>
    <row r="783" spans="3:13" s="59" customFormat="1" ht="22.2" customHeight="1">
      <c r="C783" s="288" t="s">
        <v>1218</v>
      </c>
      <c r="D783" s="76" t="s">
        <v>1219</v>
      </c>
      <c r="E783" s="77"/>
      <c r="F783" s="77"/>
      <c r="G783" s="78"/>
      <c r="H783" s="585">
        <f>H782+H779+H776</f>
        <v>331060</v>
      </c>
      <c r="I783" s="369"/>
    </row>
    <row r="784" spans="3:13" s="59" customFormat="1" ht="22.2" customHeight="1">
      <c r="C784" s="288" t="s">
        <v>1220</v>
      </c>
      <c r="D784" s="76" t="s">
        <v>1321</v>
      </c>
      <c r="E784" s="77"/>
      <c r="F784" s="78"/>
      <c r="G784" s="80">
        <v>0.1</v>
      </c>
      <c r="H784" s="63">
        <f>H783*G784</f>
        <v>33106</v>
      </c>
      <c r="I784" s="369"/>
    </row>
    <row r="785" spans="3:13" s="59" customFormat="1" ht="22.2" customHeight="1">
      <c r="C785" s="288" t="s">
        <v>1221</v>
      </c>
      <c r="D785" s="76" t="s">
        <v>1222</v>
      </c>
      <c r="E785" s="77"/>
      <c r="F785" s="77"/>
      <c r="G785" s="78"/>
      <c r="H785" s="799">
        <f>SUM(H783:H784)</f>
        <v>364166</v>
      </c>
      <c r="I785" s="369"/>
    </row>
    <row r="786" spans="3:13" ht="22.2" customHeight="1"/>
    <row r="787" spans="3:13" s="59" customFormat="1" ht="22.2" customHeight="1">
      <c r="C787" s="46" t="s">
        <v>4841</v>
      </c>
      <c r="D787" s="794" t="s">
        <v>8436</v>
      </c>
      <c r="E787" s="794"/>
      <c r="F787" s="794"/>
      <c r="G787" s="794"/>
      <c r="H787" s="794"/>
      <c r="I787" s="50">
        <f>ROUNDDOWN(H802,-2)</f>
        <v>1048000</v>
      </c>
      <c r="J787" s="59" t="s">
        <v>6451</v>
      </c>
      <c r="K787" s="59" t="s">
        <v>8371</v>
      </c>
    </row>
    <row r="788" spans="3:13" s="59" customFormat="1" ht="22.2" customHeight="1">
      <c r="C788" s="591" t="s">
        <v>1195</v>
      </c>
      <c r="D788" s="591" t="s">
        <v>1196</v>
      </c>
      <c r="E788" s="591" t="s">
        <v>1197</v>
      </c>
      <c r="F788" s="591" t="s">
        <v>1198</v>
      </c>
      <c r="G788" s="591" t="s">
        <v>1199</v>
      </c>
      <c r="H788" s="591" t="s">
        <v>1200</v>
      </c>
      <c r="I788" s="44"/>
    </row>
    <row r="789" spans="3:13" s="59" customFormat="1" ht="22.2" customHeight="1">
      <c r="C789" s="61" t="s">
        <v>1201</v>
      </c>
      <c r="D789" s="56" t="s">
        <v>1202</v>
      </c>
      <c r="E789" s="57"/>
      <c r="F789" s="57"/>
      <c r="G789" s="57"/>
      <c r="H789" s="57"/>
      <c r="I789" s="44"/>
      <c r="J789" s="152" t="s">
        <v>1247</v>
      </c>
    </row>
    <row r="790" spans="3:13" s="59" customFormat="1" ht="22.2" customHeight="1">
      <c r="C790" s="588">
        <v>1</v>
      </c>
      <c r="D790" s="56" t="s">
        <v>5</v>
      </c>
      <c r="E790" s="577" t="s">
        <v>6</v>
      </c>
      <c r="F790" s="101">
        <v>1.4690000000000001</v>
      </c>
      <c r="G790" s="63">
        <f>VLOOKUP(D790,upahbahan,3,FALSE)</f>
        <v>100000</v>
      </c>
      <c r="H790" s="63">
        <f>F790*G790</f>
        <v>146900</v>
      </c>
      <c r="I790" s="44"/>
      <c r="J790" s="152" t="s">
        <v>1248</v>
      </c>
      <c r="M790" s="65">
        <v>0.1</v>
      </c>
    </row>
    <row r="791" spans="3:13" s="59" customFormat="1" ht="22.2" customHeight="1">
      <c r="C791" s="588">
        <v>2</v>
      </c>
      <c r="D791" s="56" t="s">
        <v>10</v>
      </c>
      <c r="E791" s="577" t="s">
        <v>6</v>
      </c>
      <c r="F791" s="101">
        <v>0.73499999999999999</v>
      </c>
      <c r="G791" s="63">
        <f>VLOOKUP(D791,upahbahan,3,FALSE)</f>
        <v>135000</v>
      </c>
      <c r="H791" s="63">
        <f t="shared" ref="H791:H792" si="81">F791*G791</f>
        <v>99225</v>
      </c>
      <c r="I791" s="44"/>
      <c r="J791" s="152"/>
      <c r="M791" s="65"/>
    </row>
    <row r="792" spans="3:13" s="59" customFormat="1" ht="22.2" customHeight="1">
      <c r="C792" s="588">
        <v>3</v>
      </c>
      <c r="D792" s="56" t="s">
        <v>19</v>
      </c>
      <c r="E792" s="577" t="s">
        <v>6</v>
      </c>
      <c r="F792" s="101">
        <v>0.14699999999999999</v>
      </c>
      <c r="G792" s="63">
        <f>VLOOKUP(D792,upahbahan,3,FALSE)</f>
        <v>160000</v>
      </c>
      <c r="H792" s="63">
        <f t="shared" si="81"/>
        <v>23520</v>
      </c>
      <c r="I792" s="44"/>
    </row>
    <row r="793" spans="3:13" s="59" customFormat="1" ht="22.2" customHeight="1">
      <c r="C793" s="450" t="s">
        <v>1208</v>
      </c>
      <c r="D793" s="67"/>
      <c r="E793" s="67"/>
      <c r="F793" s="142"/>
      <c r="G793" s="153"/>
      <c r="H793" s="63">
        <f>SUM(H790:H792)</f>
        <v>269645</v>
      </c>
      <c r="I793" s="154"/>
    </row>
    <row r="794" spans="3:13" s="59" customFormat="1" ht="22.2" customHeight="1">
      <c r="C794" s="61" t="s">
        <v>1209</v>
      </c>
      <c r="D794" s="56" t="s">
        <v>1210</v>
      </c>
      <c r="E794" s="57"/>
      <c r="F794" s="57"/>
      <c r="G794" s="57"/>
      <c r="H794" s="57"/>
      <c r="I794" s="44"/>
    </row>
    <row r="795" spans="3:13" s="59" customFormat="1" ht="22.2" customHeight="1">
      <c r="C795" s="800">
        <v>1</v>
      </c>
      <c r="D795" s="56" t="s">
        <v>8437</v>
      </c>
      <c r="E795" s="93" t="s">
        <v>1300</v>
      </c>
      <c r="F795" s="104">
        <v>1</v>
      </c>
      <c r="G795" s="63">
        <f>VLOOKUP(D795,upahbahan,3,FALSE)</f>
        <v>656000</v>
      </c>
      <c r="H795" s="63">
        <f t="shared" ref="H795" si="82">F795*G795</f>
        <v>656000</v>
      </c>
      <c r="I795" s="44"/>
    </row>
    <row r="796" spans="3:13" s="59" customFormat="1" ht="22.2" customHeight="1">
      <c r="C796" s="450" t="s">
        <v>1214</v>
      </c>
      <c r="D796" s="67"/>
      <c r="E796" s="67"/>
      <c r="F796" s="67"/>
      <c r="G796" s="69"/>
      <c r="H796" s="63">
        <f>SUM(H794:H795)</f>
        <v>656000</v>
      </c>
      <c r="I796" s="44"/>
    </row>
    <row r="797" spans="3:13" s="59" customFormat="1" ht="22.2" customHeight="1">
      <c r="C797" s="61" t="s">
        <v>1215</v>
      </c>
      <c r="D797" s="56" t="s">
        <v>1216</v>
      </c>
      <c r="E797" s="93"/>
      <c r="F797" s="57"/>
      <c r="G797" s="57"/>
      <c r="H797" s="57"/>
      <c r="I797" s="44"/>
    </row>
    <row r="798" spans="3:13" s="59" customFormat="1" ht="22.2" customHeight="1">
      <c r="C798" s="800">
        <v>1</v>
      </c>
      <c r="D798" s="56" t="s">
        <v>4770</v>
      </c>
      <c r="E798" s="93" t="s">
        <v>1974</v>
      </c>
      <c r="F798" s="104">
        <v>0.251</v>
      </c>
      <c r="G798" s="63">
        <f>VLOOKUP(D798,upahbahan,3,FALSE)</f>
        <v>108000</v>
      </c>
      <c r="H798" s="63">
        <f t="shared" ref="H798" si="83">F798*G798</f>
        <v>27108</v>
      </c>
      <c r="I798" s="44"/>
    </row>
    <row r="799" spans="3:13" s="59" customFormat="1" ht="22.2" customHeight="1">
      <c r="C799" s="450" t="s">
        <v>1217</v>
      </c>
      <c r="D799" s="67"/>
      <c r="E799" s="67"/>
      <c r="F799" s="67"/>
      <c r="G799" s="69"/>
      <c r="H799" s="882">
        <f>SUM(H797:H798)</f>
        <v>27108</v>
      </c>
      <c r="I799" s="44"/>
    </row>
    <row r="800" spans="3:13" s="59" customFormat="1" ht="22.2" customHeight="1">
      <c r="C800" s="288" t="s">
        <v>1218</v>
      </c>
      <c r="D800" s="76" t="s">
        <v>1219</v>
      </c>
      <c r="E800" s="77"/>
      <c r="F800" s="77"/>
      <c r="G800" s="78"/>
      <c r="H800" s="585">
        <f>H799+H796+H793</f>
        <v>952753</v>
      </c>
      <c r="I800" s="369"/>
    </row>
    <row r="801" spans="3:13" s="59" customFormat="1" ht="22.2" customHeight="1">
      <c r="C801" s="288" t="s">
        <v>1220</v>
      </c>
      <c r="D801" s="76" t="s">
        <v>1321</v>
      </c>
      <c r="E801" s="77"/>
      <c r="F801" s="78"/>
      <c r="G801" s="80">
        <v>0.1</v>
      </c>
      <c r="H801" s="63">
        <f>H800*G801</f>
        <v>95275.3</v>
      </c>
      <c r="I801" s="369"/>
    </row>
    <row r="802" spans="3:13" s="59" customFormat="1" ht="22.2" customHeight="1">
      <c r="C802" s="288" t="s">
        <v>1221</v>
      </c>
      <c r="D802" s="76" t="s">
        <v>1222</v>
      </c>
      <c r="E802" s="77"/>
      <c r="F802" s="77"/>
      <c r="G802" s="78"/>
      <c r="H802" s="799">
        <f>SUM(H800:H801)</f>
        <v>1048028.3</v>
      </c>
      <c r="I802" s="369"/>
    </row>
    <row r="803" spans="3:13" ht="22.2" customHeight="1"/>
    <row r="804" spans="3:13" s="59" customFormat="1" ht="22.2" customHeight="1">
      <c r="C804" s="46" t="s">
        <v>4843</v>
      </c>
      <c r="D804" s="794" t="s">
        <v>8438</v>
      </c>
      <c r="E804" s="794"/>
      <c r="F804" s="794"/>
      <c r="G804" s="794"/>
      <c r="H804" s="794"/>
      <c r="I804" s="50">
        <f>ROUNDDOWN(H819,-2)</f>
        <v>1072200</v>
      </c>
      <c r="J804" s="59" t="s">
        <v>6451</v>
      </c>
      <c r="K804" s="59" t="s">
        <v>8371</v>
      </c>
    </row>
    <row r="805" spans="3:13" s="59" customFormat="1" ht="22.2" customHeight="1">
      <c r="C805" s="591" t="s">
        <v>1195</v>
      </c>
      <c r="D805" s="591" t="s">
        <v>1196</v>
      </c>
      <c r="E805" s="591" t="s">
        <v>1197</v>
      </c>
      <c r="F805" s="591" t="s">
        <v>1198</v>
      </c>
      <c r="G805" s="591" t="s">
        <v>1199</v>
      </c>
      <c r="H805" s="591" t="s">
        <v>1200</v>
      </c>
      <c r="I805" s="44"/>
    </row>
    <row r="806" spans="3:13" s="59" customFormat="1" ht="22.2" customHeight="1">
      <c r="C806" s="61" t="s">
        <v>1201</v>
      </c>
      <c r="D806" s="56" t="s">
        <v>1202</v>
      </c>
      <c r="E806" s="57"/>
      <c r="F806" s="57"/>
      <c r="G806" s="57"/>
      <c r="H806" s="57"/>
      <c r="I806" s="44"/>
      <c r="J806" s="152" t="s">
        <v>1247</v>
      </c>
    </row>
    <row r="807" spans="3:13" s="59" customFormat="1" ht="22.2" customHeight="1">
      <c r="C807" s="588">
        <v>1</v>
      </c>
      <c r="D807" s="56" t="s">
        <v>5</v>
      </c>
      <c r="E807" s="577" t="s">
        <v>6</v>
      </c>
      <c r="F807" s="101">
        <v>1.327</v>
      </c>
      <c r="G807" s="63">
        <f>VLOOKUP(D807,upahbahan,3,FALSE)</f>
        <v>100000</v>
      </c>
      <c r="H807" s="63">
        <f>F807*G807</f>
        <v>132700</v>
      </c>
      <c r="I807" s="44"/>
      <c r="J807" s="152" t="s">
        <v>1248</v>
      </c>
      <c r="M807" s="65">
        <v>0.1</v>
      </c>
    </row>
    <row r="808" spans="3:13" s="59" customFormat="1" ht="22.2" customHeight="1">
      <c r="C808" s="588">
        <v>2</v>
      </c>
      <c r="D808" s="56" t="s">
        <v>10</v>
      </c>
      <c r="E808" s="577" t="s">
        <v>6</v>
      </c>
      <c r="F808" s="101">
        <v>0.66400000000000003</v>
      </c>
      <c r="G808" s="63">
        <f>VLOOKUP(D808,upahbahan,3,FALSE)</f>
        <v>135000</v>
      </c>
      <c r="H808" s="63">
        <f t="shared" ref="H808:H809" si="84">F808*G808</f>
        <v>89640</v>
      </c>
      <c r="I808" s="44"/>
      <c r="J808" s="152"/>
      <c r="M808" s="65"/>
    </row>
    <row r="809" spans="3:13" s="59" customFormat="1" ht="22.2" customHeight="1">
      <c r="C809" s="588">
        <v>3</v>
      </c>
      <c r="D809" s="56" t="s">
        <v>19</v>
      </c>
      <c r="E809" s="577" t="s">
        <v>6</v>
      </c>
      <c r="F809" s="101">
        <v>0.13300000000000001</v>
      </c>
      <c r="G809" s="63">
        <f>VLOOKUP(D809,upahbahan,3,FALSE)</f>
        <v>160000</v>
      </c>
      <c r="H809" s="63">
        <f t="shared" si="84"/>
        <v>21280</v>
      </c>
      <c r="I809" s="44"/>
    </row>
    <row r="810" spans="3:13" s="59" customFormat="1" ht="22.2" customHeight="1">
      <c r="C810" s="450" t="s">
        <v>1208</v>
      </c>
      <c r="D810" s="67"/>
      <c r="E810" s="67"/>
      <c r="F810" s="142"/>
      <c r="G810" s="153"/>
      <c r="H810" s="63">
        <f>SUM(H807:H809)</f>
        <v>243620</v>
      </c>
      <c r="I810" s="154"/>
    </row>
    <row r="811" spans="3:13" s="59" customFormat="1" ht="22.2" customHeight="1">
      <c r="C811" s="61" t="s">
        <v>1209</v>
      </c>
      <c r="D811" s="56" t="s">
        <v>1210</v>
      </c>
      <c r="E811" s="57"/>
      <c r="F811" s="57"/>
      <c r="G811" s="57"/>
      <c r="H811" s="57"/>
      <c r="I811" s="44"/>
    </row>
    <row r="812" spans="3:13" s="59" customFormat="1" ht="22.2" customHeight="1">
      <c r="C812" s="800">
        <v>1</v>
      </c>
      <c r="D812" s="56" t="s">
        <v>8439</v>
      </c>
      <c r="E812" s="93" t="s">
        <v>1300</v>
      </c>
      <c r="F812" s="104">
        <v>1</v>
      </c>
      <c r="G812" s="63">
        <f>VLOOKUP(D812,upahbahan,3,FALSE)</f>
        <v>698000</v>
      </c>
      <c r="H812" s="63">
        <f t="shared" ref="H812" si="85">F812*G812</f>
        <v>698000</v>
      </c>
      <c r="I812" s="44"/>
    </row>
    <row r="813" spans="3:13" s="59" customFormat="1" ht="22.2" customHeight="1">
      <c r="C813" s="450" t="s">
        <v>1214</v>
      </c>
      <c r="D813" s="67"/>
      <c r="E813" s="67"/>
      <c r="F813" s="67"/>
      <c r="G813" s="69"/>
      <c r="H813" s="63">
        <f>SUM(H811:H812)</f>
        <v>698000</v>
      </c>
      <c r="I813" s="44"/>
    </row>
    <row r="814" spans="3:13" s="59" customFormat="1" ht="22.2" customHeight="1">
      <c r="C814" s="61" t="s">
        <v>1215</v>
      </c>
      <c r="D814" s="56" t="s">
        <v>1216</v>
      </c>
      <c r="E814" s="93"/>
      <c r="F814" s="57"/>
      <c r="G814" s="57"/>
      <c r="H814" s="57"/>
      <c r="I814" s="44"/>
    </row>
    <row r="815" spans="3:13" s="59" customFormat="1" ht="22.2" customHeight="1">
      <c r="C815" s="800">
        <v>1</v>
      </c>
      <c r="D815" s="56" t="s">
        <v>4770</v>
      </c>
      <c r="E815" s="93" t="s">
        <v>1974</v>
      </c>
      <c r="F815" s="104">
        <v>0.307</v>
      </c>
      <c r="G815" s="63">
        <f>VLOOKUP(D815,upahbahan,3,FALSE)</f>
        <v>108000</v>
      </c>
      <c r="H815" s="63">
        <f t="shared" ref="H815" si="86">F815*G815</f>
        <v>33156</v>
      </c>
      <c r="I815" s="44"/>
    </row>
    <row r="816" spans="3:13" s="59" customFormat="1" ht="22.2" customHeight="1">
      <c r="C816" s="450" t="s">
        <v>1217</v>
      </c>
      <c r="D816" s="67"/>
      <c r="E816" s="67"/>
      <c r="F816" s="67"/>
      <c r="G816" s="69"/>
      <c r="H816" s="882">
        <f>SUM(H814:H815)</f>
        <v>33156</v>
      </c>
      <c r="I816" s="44"/>
    </row>
    <row r="817" spans="3:13" s="59" customFormat="1" ht="22.2" customHeight="1">
      <c r="C817" s="288" t="s">
        <v>1218</v>
      </c>
      <c r="D817" s="76" t="s">
        <v>1219</v>
      </c>
      <c r="E817" s="77"/>
      <c r="F817" s="77"/>
      <c r="G817" s="78"/>
      <c r="H817" s="585">
        <f>H816+H813+H810</f>
        <v>974776</v>
      </c>
      <c r="I817" s="369"/>
    </row>
    <row r="818" spans="3:13" s="59" customFormat="1" ht="22.2" customHeight="1">
      <c r="C818" s="288" t="s">
        <v>1220</v>
      </c>
      <c r="D818" s="76" t="s">
        <v>1321</v>
      </c>
      <c r="E818" s="77"/>
      <c r="F818" s="78"/>
      <c r="G818" s="80">
        <v>0.1</v>
      </c>
      <c r="H818" s="63">
        <f>H817*G818</f>
        <v>97477.6</v>
      </c>
      <c r="I818" s="369"/>
    </row>
    <row r="819" spans="3:13" s="59" customFormat="1" ht="22.2" customHeight="1">
      <c r="C819" s="288" t="s">
        <v>1221</v>
      </c>
      <c r="D819" s="76" t="s">
        <v>1222</v>
      </c>
      <c r="E819" s="77"/>
      <c r="F819" s="77"/>
      <c r="G819" s="78"/>
      <c r="H819" s="799">
        <f>SUM(H817:H818)</f>
        <v>1072253.6000000001</v>
      </c>
      <c r="I819" s="369"/>
    </row>
    <row r="820" spans="3:13" ht="22.2" customHeight="1"/>
    <row r="821" spans="3:13" s="59" customFormat="1" ht="22.2" customHeight="1">
      <c r="C821" s="46" t="s">
        <v>4845</v>
      </c>
      <c r="D821" s="794" t="s">
        <v>8440</v>
      </c>
      <c r="E821" s="794"/>
      <c r="F821" s="794"/>
      <c r="G821" s="794"/>
      <c r="H821" s="794"/>
      <c r="I821" s="50">
        <f>ROUNDDOWN(H836,-2)</f>
        <v>1325300</v>
      </c>
      <c r="J821" s="59" t="s">
        <v>6451</v>
      </c>
      <c r="K821" s="59" t="s">
        <v>8371</v>
      </c>
    </row>
    <row r="822" spans="3:13" s="59" customFormat="1" ht="22.2" customHeight="1">
      <c r="C822" s="591" t="s">
        <v>1195</v>
      </c>
      <c r="D822" s="591" t="s">
        <v>1196</v>
      </c>
      <c r="E822" s="591" t="s">
        <v>1197</v>
      </c>
      <c r="F822" s="591" t="s">
        <v>1198</v>
      </c>
      <c r="G822" s="591" t="s">
        <v>1199</v>
      </c>
      <c r="H822" s="591" t="s">
        <v>1200</v>
      </c>
      <c r="I822" s="44"/>
    </row>
    <row r="823" spans="3:13" s="59" customFormat="1" ht="22.2" customHeight="1">
      <c r="C823" s="61" t="s">
        <v>1201</v>
      </c>
      <c r="D823" s="56" t="s">
        <v>1202</v>
      </c>
      <c r="E823" s="57"/>
      <c r="F823" s="57"/>
      <c r="G823" s="57"/>
      <c r="H823" s="57"/>
      <c r="I823" s="44"/>
      <c r="J823" s="152" t="s">
        <v>1247</v>
      </c>
    </row>
    <row r="824" spans="3:13" s="59" customFormat="1" ht="22.2" customHeight="1">
      <c r="C824" s="588">
        <v>1</v>
      </c>
      <c r="D824" s="56" t="s">
        <v>5</v>
      </c>
      <c r="E824" s="577" t="s">
        <v>6</v>
      </c>
      <c r="F824" s="101">
        <v>2.327</v>
      </c>
      <c r="G824" s="63">
        <f>VLOOKUP(D824,upahbahan,3,FALSE)</f>
        <v>100000</v>
      </c>
      <c r="H824" s="63">
        <f>F824*G824</f>
        <v>232700</v>
      </c>
      <c r="I824" s="44"/>
      <c r="J824" s="152" t="s">
        <v>1248</v>
      </c>
      <c r="M824" s="65">
        <v>0.1</v>
      </c>
    </row>
    <row r="825" spans="3:13" s="59" customFormat="1" ht="22.2" customHeight="1">
      <c r="C825" s="588">
        <v>2</v>
      </c>
      <c r="D825" s="56" t="s">
        <v>10</v>
      </c>
      <c r="E825" s="577" t="s">
        <v>6</v>
      </c>
      <c r="F825" s="101">
        <v>1.163</v>
      </c>
      <c r="G825" s="63">
        <f>VLOOKUP(D825,upahbahan,3,FALSE)</f>
        <v>135000</v>
      </c>
      <c r="H825" s="63">
        <f t="shared" ref="H825:H826" si="87">F825*G825</f>
        <v>157005</v>
      </c>
      <c r="I825" s="44"/>
      <c r="J825" s="152"/>
      <c r="M825" s="65"/>
    </row>
    <row r="826" spans="3:13" s="59" customFormat="1" ht="22.2" customHeight="1">
      <c r="C826" s="588">
        <v>3</v>
      </c>
      <c r="D826" s="56" t="s">
        <v>19</v>
      </c>
      <c r="E826" s="577" t="s">
        <v>6</v>
      </c>
      <c r="F826" s="101">
        <v>0.23300000000000001</v>
      </c>
      <c r="G826" s="63">
        <f>VLOOKUP(D826,upahbahan,3,FALSE)</f>
        <v>160000</v>
      </c>
      <c r="H826" s="63">
        <f t="shared" si="87"/>
        <v>37280</v>
      </c>
      <c r="I826" s="44"/>
    </row>
    <row r="827" spans="3:13" s="59" customFormat="1" ht="22.2" customHeight="1">
      <c r="C827" s="450" t="s">
        <v>1208</v>
      </c>
      <c r="D827" s="67"/>
      <c r="E827" s="67"/>
      <c r="F827" s="142"/>
      <c r="G827" s="153"/>
      <c r="H827" s="63">
        <f>SUM(H824:H826)</f>
        <v>426985</v>
      </c>
      <c r="I827" s="154"/>
    </row>
    <row r="828" spans="3:13" s="59" customFormat="1" ht="22.2" customHeight="1">
      <c r="C828" s="61" t="s">
        <v>1209</v>
      </c>
      <c r="D828" s="56" t="s">
        <v>1210</v>
      </c>
      <c r="E828" s="57"/>
      <c r="F828" s="57"/>
      <c r="G828" s="57"/>
      <c r="H828" s="57"/>
      <c r="I828" s="44"/>
    </row>
    <row r="829" spans="3:13" s="59" customFormat="1" ht="22.2" customHeight="1">
      <c r="C829" s="800">
        <v>1</v>
      </c>
      <c r="D829" s="56" t="s">
        <v>8441</v>
      </c>
      <c r="E829" s="93" t="s">
        <v>1300</v>
      </c>
      <c r="F829" s="104">
        <v>1</v>
      </c>
      <c r="G829" s="63">
        <f>VLOOKUP(D829,upahbahan,3,FALSE)</f>
        <v>716000</v>
      </c>
      <c r="H829" s="63">
        <f t="shared" ref="H829" si="88">F829*G829</f>
        <v>716000</v>
      </c>
      <c r="I829" s="44"/>
    </row>
    <row r="830" spans="3:13" s="59" customFormat="1" ht="22.2" customHeight="1">
      <c r="C830" s="450" t="s">
        <v>1214</v>
      </c>
      <c r="D830" s="67"/>
      <c r="E830" s="67"/>
      <c r="F830" s="67"/>
      <c r="G830" s="69"/>
      <c r="H830" s="63">
        <f>SUM(H828:H829)</f>
        <v>716000</v>
      </c>
      <c r="I830" s="44"/>
    </row>
    <row r="831" spans="3:13" s="59" customFormat="1" ht="22.2" customHeight="1">
      <c r="C831" s="61" t="s">
        <v>1215</v>
      </c>
      <c r="D831" s="56" t="s">
        <v>1216</v>
      </c>
      <c r="E831" s="93"/>
      <c r="F831" s="57"/>
      <c r="G831" s="57"/>
      <c r="H831" s="57"/>
      <c r="I831" s="44"/>
    </row>
    <row r="832" spans="3:13" s="59" customFormat="1" ht="22.2" customHeight="1">
      <c r="C832" s="800">
        <v>1</v>
      </c>
      <c r="D832" s="56" t="s">
        <v>4770</v>
      </c>
      <c r="E832" s="93" t="s">
        <v>1974</v>
      </c>
      <c r="F832" s="104">
        <v>0.57299999999999995</v>
      </c>
      <c r="G832" s="63">
        <f>VLOOKUP(D832,upahbahan,3,FALSE)</f>
        <v>108000</v>
      </c>
      <c r="H832" s="63">
        <f t="shared" ref="H832" si="89">F832*G832</f>
        <v>61883.999999999993</v>
      </c>
      <c r="I832" s="44"/>
    </row>
    <row r="833" spans="3:13" s="59" customFormat="1" ht="22.2" customHeight="1">
      <c r="C833" s="450" t="s">
        <v>1217</v>
      </c>
      <c r="D833" s="67"/>
      <c r="E833" s="67"/>
      <c r="F833" s="67"/>
      <c r="G833" s="69"/>
      <c r="H833" s="882">
        <f>SUM(H831:H832)</f>
        <v>61883.999999999993</v>
      </c>
      <c r="I833" s="44"/>
    </row>
    <row r="834" spans="3:13" s="59" customFormat="1" ht="22.2" customHeight="1">
      <c r="C834" s="288" t="s">
        <v>1218</v>
      </c>
      <c r="D834" s="76" t="s">
        <v>1219</v>
      </c>
      <c r="E834" s="77"/>
      <c r="F834" s="77"/>
      <c r="G834" s="78"/>
      <c r="H834" s="585">
        <f>H833+H830+H827</f>
        <v>1204869</v>
      </c>
      <c r="I834" s="369"/>
    </row>
    <row r="835" spans="3:13" s="59" customFormat="1" ht="22.2" customHeight="1">
      <c r="C835" s="288" t="s">
        <v>1220</v>
      </c>
      <c r="D835" s="76" t="s">
        <v>1321</v>
      </c>
      <c r="E835" s="77"/>
      <c r="F835" s="78"/>
      <c r="G835" s="80">
        <v>0.1</v>
      </c>
      <c r="H835" s="63">
        <f>H834*G835</f>
        <v>120486.90000000001</v>
      </c>
      <c r="I835" s="369"/>
    </row>
    <row r="836" spans="3:13" s="59" customFormat="1" ht="22.2" customHeight="1">
      <c r="C836" s="288" t="s">
        <v>1221</v>
      </c>
      <c r="D836" s="76" t="s">
        <v>1222</v>
      </c>
      <c r="E836" s="77"/>
      <c r="F836" s="77"/>
      <c r="G836" s="78"/>
      <c r="H836" s="799">
        <f>SUM(H834:H835)</f>
        <v>1325355.8999999999</v>
      </c>
      <c r="I836" s="369"/>
    </row>
    <row r="837" spans="3:13" ht="22.2" customHeight="1"/>
    <row r="838" spans="3:13" s="59" customFormat="1" ht="22.2" customHeight="1">
      <c r="C838" s="46" t="s">
        <v>4847</v>
      </c>
      <c r="D838" s="794" t="s">
        <v>8442</v>
      </c>
      <c r="E838" s="794"/>
      <c r="F838" s="794"/>
      <c r="G838" s="794"/>
      <c r="H838" s="794"/>
      <c r="I838" s="50">
        <f>ROUNDDOWN(H853,-2)</f>
        <v>1467000</v>
      </c>
      <c r="J838" s="59" t="s">
        <v>6451</v>
      </c>
      <c r="K838" s="59" t="s">
        <v>8371</v>
      </c>
    </row>
    <row r="839" spans="3:13" s="59" customFormat="1" ht="22.2" customHeight="1">
      <c r="C839" s="591" t="s">
        <v>1195</v>
      </c>
      <c r="D839" s="591" t="s">
        <v>1196</v>
      </c>
      <c r="E839" s="591" t="s">
        <v>1197</v>
      </c>
      <c r="F839" s="591" t="s">
        <v>1198</v>
      </c>
      <c r="G839" s="591" t="s">
        <v>1199</v>
      </c>
      <c r="H839" s="591" t="s">
        <v>1200</v>
      </c>
      <c r="I839" s="44"/>
    </row>
    <row r="840" spans="3:13" s="59" customFormat="1" ht="22.2" customHeight="1">
      <c r="C840" s="61" t="s">
        <v>1201</v>
      </c>
      <c r="D840" s="56" t="s">
        <v>1202</v>
      </c>
      <c r="E840" s="57"/>
      <c r="F840" s="57"/>
      <c r="G840" s="57"/>
      <c r="H840" s="57"/>
      <c r="I840" s="44"/>
      <c r="J840" s="152" t="s">
        <v>1247</v>
      </c>
    </row>
    <row r="841" spans="3:13" s="59" customFormat="1" ht="22.2" customHeight="1">
      <c r="C841" s="588">
        <v>1</v>
      </c>
      <c r="D841" s="56" t="s">
        <v>5</v>
      </c>
      <c r="E841" s="577" t="s">
        <v>6</v>
      </c>
      <c r="F841" s="101">
        <v>2.6230000000000002</v>
      </c>
      <c r="G841" s="63">
        <f>VLOOKUP(D841,upahbahan,3,FALSE)</f>
        <v>100000</v>
      </c>
      <c r="H841" s="63">
        <f>F841*G841</f>
        <v>262300</v>
      </c>
      <c r="I841" s="44"/>
      <c r="J841" s="152" t="s">
        <v>1248</v>
      </c>
      <c r="M841" s="65">
        <v>0.1</v>
      </c>
    </row>
    <row r="842" spans="3:13" s="59" customFormat="1" ht="22.2" customHeight="1">
      <c r="C842" s="588">
        <v>2</v>
      </c>
      <c r="D842" s="56" t="s">
        <v>10</v>
      </c>
      <c r="E842" s="577" t="s">
        <v>6</v>
      </c>
      <c r="F842" s="101">
        <v>1.3120000000000001</v>
      </c>
      <c r="G842" s="63">
        <f>VLOOKUP(D842,upahbahan,3,FALSE)</f>
        <v>135000</v>
      </c>
      <c r="H842" s="63">
        <f t="shared" ref="H842:H843" si="90">F842*G842</f>
        <v>177120</v>
      </c>
      <c r="I842" s="44"/>
      <c r="J842" s="152"/>
      <c r="M842" s="65"/>
    </row>
    <row r="843" spans="3:13" s="59" customFormat="1" ht="22.2" customHeight="1">
      <c r="C843" s="588">
        <v>3</v>
      </c>
      <c r="D843" s="56" t="s">
        <v>19</v>
      </c>
      <c r="E843" s="577" t="s">
        <v>6</v>
      </c>
      <c r="F843" s="101">
        <v>0.26200000000000001</v>
      </c>
      <c r="G843" s="63">
        <f>VLOOKUP(D843,upahbahan,3,FALSE)</f>
        <v>160000</v>
      </c>
      <c r="H843" s="63">
        <f t="shared" si="90"/>
        <v>41920</v>
      </c>
      <c r="I843" s="44"/>
    </row>
    <row r="844" spans="3:13" s="59" customFormat="1" ht="22.2" customHeight="1">
      <c r="C844" s="450" t="s">
        <v>1208</v>
      </c>
      <c r="D844" s="67"/>
      <c r="E844" s="67"/>
      <c r="F844" s="142"/>
      <c r="G844" s="153"/>
      <c r="H844" s="63">
        <f>SUM(H841:H843)</f>
        <v>481340</v>
      </c>
      <c r="I844" s="154"/>
    </row>
    <row r="845" spans="3:13" s="59" customFormat="1" ht="22.2" customHeight="1">
      <c r="C845" s="61" t="s">
        <v>1209</v>
      </c>
      <c r="D845" s="56" t="s">
        <v>1210</v>
      </c>
      <c r="E845" s="57"/>
      <c r="F845" s="57"/>
      <c r="G845" s="57"/>
      <c r="H845" s="57"/>
      <c r="I845" s="44"/>
    </row>
    <row r="846" spans="3:13" s="59" customFormat="1" ht="22.2" customHeight="1">
      <c r="C846" s="800">
        <v>1</v>
      </c>
      <c r="D846" s="56" t="s">
        <v>8443</v>
      </c>
      <c r="E846" s="93" t="s">
        <v>1300</v>
      </c>
      <c r="F846" s="104">
        <v>1</v>
      </c>
      <c r="G846" s="63">
        <f>VLOOKUP(D846,upahbahan,3,FALSE)</f>
        <v>757000</v>
      </c>
      <c r="H846" s="63">
        <f t="shared" ref="H846" si="91">F846*G846</f>
        <v>757000</v>
      </c>
      <c r="I846" s="44"/>
    </row>
    <row r="847" spans="3:13" s="59" customFormat="1" ht="22.2" customHeight="1">
      <c r="C847" s="450" t="s">
        <v>1214</v>
      </c>
      <c r="D847" s="67"/>
      <c r="E847" s="67"/>
      <c r="F847" s="67"/>
      <c r="G847" s="69"/>
      <c r="H847" s="63">
        <f>SUM(H845:H846)</f>
        <v>757000</v>
      </c>
      <c r="I847" s="44"/>
    </row>
    <row r="848" spans="3:13" s="59" customFormat="1" ht="22.2" customHeight="1">
      <c r="C848" s="61" t="s">
        <v>1215</v>
      </c>
      <c r="D848" s="56" t="s">
        <v>1216</v>
      </c>
      <c r="E848" s="93"/>
      <c r="F848" s="57"/>
      <c r="G848" s="57"/>
      <c r="H848" s="57"/>
      <c r="I848" s="44"/>
    </row>
    <row r="849" spans="3:13" s="59" customFormat="1" ht="22.2" customHeight="1">
      <c r="C849" s="800">
        <v>1</v>
      </c>
      <c r="D849" s="56" t="s">
        <v>4770</v>
      </c>
      <c r="E849" s="93" t="s">
        <v>1974</v>
      </c>
      <c r="F849" s="104">
        <v>0.88300000000000001</v>
      </c>
      <c r="G849" s="63">
        <f>VLOOKUP(D849,upahbahan,3,FALSE)</f>
        <v>108000</v>
      </c>
      <c r="H849" s="63">
        <f t="shared" ref="H849" si="92">F849*G849</f>
        <v>95364</v>
      </c>
      <c r="I849" s="44"/>
    </row>
    <row r="850" spans="3:13" s="59" customFormat="1" ht="22.2" customHeight="1">
      <c r="C850" s="450" t="s">
        <v>1217</v>
      </c>
      <c r="D850" s="67"/>
      <c r="E850" s="67"/>
      <c r="F850" s="67"/>
      <c r="G850" s="69"/>
      <c r="H850" s="882">
        <f>SUM(H848:H849)</f>
        <v>95364</v>
      </c>
      <c r="I850" s="44"/>
    </row>
    <row r="851" spans="3:13" s="59" customFormat="1" ht="22.2" customHeight="1">
      <c r="C851" s="288" t="s">
        <v>1218</v>
      </c>
      <c r="D851" s="76" t="s">
        <v>1219</v>
      </c>
      <c r="E851" s="77"/>
      <c r="F851" s="77"/>
      <c r="G851" s="78"/>
      <c r="H851" s="585">
        <f>H850+H847+H844</f>
        <v>1333704</v>
      </c>
      <c r="I851" s="369"/>
    </row>
    <row r="852" spans="3:13" s="59" customFormat="1" ht="22.2" customHeight="1">
      <c r="C852" s="288" t="s">
        <v>1220</v>
      </c>
      <c r="D852" s="76" t="s">
        <v>1321</v>
      </c>
      <c r="E852" s="77"/>
      <c r="F852" s="78"/>
      <c r="G852" s="80">
        <v>0.1</v>
      </c>
      <c r="H852" s="63">
        <f>H851*G852</f>
        <v>133370.4</v>
      </c>
      <c r="I852" s="369"/>
    </row>
    <row r="853" spans="3:13" s="59" customFormat="1" ht="22.2" customHeight="1">
      <c r="C853" s="288" t="s">
        <v>1221</v>
      </c>
      <c r="D853" s="76" t="s">
        <v>1222</v>
      </c>
      <c r="E853" s="77"/>
      <c r="F853" s="77"/>
      <c r="G853" s="78"/>
      <c r="H853" s="799">
        <f>SUM(H851:H852)</f>
        <v>1467074.4</v>
      </c>
      <c r="I853" s="369"/>
    </row>
    <row r="854" spans="3:13" ht="22.2" customHeight="1"/>
    <row r="855" spans="3:13" ht="22.2" customHeight="1"/>
    <row r="856" spans="3:13" s="59" customFormat="1" ht="22.2" customHeight="1">
      <c r="C856" s="46" t="s">
        <v>4849</v>
      </c>
      <c r="D856" s="794" t="s">
        <v>8444</v>
      </c>
      <c r="E856" s="794"/>
      <c r="F856" s="794"/>
      <c r="G856" s="794"/>
      <c r="H856" s="794"/>
      <c r="I856" s="50">
        <f>ROUNDDOWN(H871,-2)</f>
        <v>1575400</v>
      </c>
      <c r="J856" s="59" t="s">
        <v>6451</v>
      </c>
      <c r="K856" s="59" t="s">
        <v>8371</v>
      </c>
    </row>
    <row r="857" spans="3:13" s="59" customFormat="1" ht="22.2" customHeight="1">
      <c r="C857" s="591" t="s">
        <v>1195</v>
      </c>
      <c r="D857" s="591" t="s">
        <v>1196</v>
      </c>
      <c r="E857" s="591" t="s">
        <v>1197</v>
      </c>
      <c r="F857" s="591" t="s">
        <v>1198</v>
      </c>
      <c r="G857" s="591" t="s">
        <v>1199</v>
      </c>
      <c r="H857" s="591" t="s">
        <v>1200</v>
      </c>
      <c r="I857" s="44"/>
    </row>
    <row r="858" spans="3:13" s="59" customFormat="1" ht="22.2" customHeight="1">
      <c r="C858" s="61" t="s">
        <v>1201</v>
      </c>
      <c r="D858" s="56" t="s">
        <v>1202</v>
      </c>
      <c r="E858" s="57"/>
      <c r="F858" s="57"/>
      <c r="G858" s="57"/>
      <c r="H858" s="57"/>
      <c r="I858" s="44"/>
      <c r="J858" s="152" t="s">
        <v>1247</v>
      </c>
    </row>
    <row r="859" spans="3:13" s="59" customFormat="1" ht="22.2" customHeight="1">
      <c r="C859" s="588">
        <v>1</v>
      </c>
      <c r="D859" s="56" t="s">
        <v>5</v>
      </c>
      <c r="E859" s="577" t="s">
        <v>6</v>
      </c>
      <c r="F859" s="101">
        <v>2.911</v>
      </c>
      <c r="G859" s="63">
        <f>VLOOKUP(D859,upahbahan,3,FALSE)</f>
        <v>100000</v>
      </c>
      <c r="H859" s="63">
        <f>F859*G859</f>
        <v>291100</v>
      </c>
      <c r="I859" s="44"/>
      <c r="J859" s="152" t="s">
        <v>1248</v>
      </c>
      <c r="M859" s="65">
        <v>0.1</v>
      </c>
    </row>
    <row r="860" spans="3:13" s="59" customFormat="1" ht="22.2" customHeight="1">
      <c r="C860" s="588">
        <v>2</v>
      </c>
      <c r="D860" s="56" t="s">
        <v>10</v>
      </c>
      <c r="E860" s="577" t="s">
        <v>6</v>
      </c>
      <c r="F860" s="101">
        <v>1.456</v>
      </c>
      <c r="G860" s="63">
        <f>VLOOKUP(D860,upahbahan,3,FALSE)</f>
        <v>135000</v>
      </c>
      <c r="H860" s="63">
        <f t="shared" ref="H860:H861" si="93">F860*G860</f>
        <v>196560</v>
      </c>
      <c r="I860" s="44"/>
      <c r="J860" s="152"/>
      <c r="M860" s="65"/>
    </row>
    <row r="861" spans="3:13" s="59" customFormat="1" ht="22.2" customHeight="1">
      <c r="C861" s="588">
        <v>3</v>
      </c>
      <c r="D861" s="56" t="s">
        <v>19</v>
      </c>
      <c r="E861" s="577" t="s">
        <v>6</v>
      </c>
      <c r="F861" s="101">
        <v>0.29099999999999998</v>
      </c>
      <c r="G861" s="63">
        <f>VLOOKUP(D861,upahbahan,3,FALSE)</f>
        <v>160000</v>
      </c>
      <c r="H861" s="63">
        <f t="shared" si="93"/>
        <v>46560</v>
      </c>
      <c r="I861" s="44"/>
    </row>
    <row r="862" spans="3:13" s="59" customFormat="1" ht="22.2" customHeight="1">
      <c r="C862" s="450" t="s">
        <v>1208</v>
      </c>
      <c r="D862" s="67"/>
      <c r="E862" s="67"/>
      <c r="F862" s="142"/>
      <c r="G862" s="153"/>
      <c r="H862" s="63">
        <f>SUM(H859:H861)</f>
        <v>534220</v>
      </c>
      <c r="I862" s="154"/>
    </row>
    <row r="863" spans="3:13" s="59" customFormat="1" ht="22.2" customHeight="1">
      <c r="C863" s="61" t="s">
        <v>1209</v>
      </c>
      <c r="D863" s="56" t="s">
        <v>1210</v>
      </c>
      <c r="E863" s="57"/>
      <c r="F863" s="57"/>
      <c r="G863" s="57"/>
      <c r="H863" s="57"/>
      <c r="I863" s="44"/>
    </row>
    <row r="864" spans="3:13" s="59" customFormat="1" ht="22.2" customHeight="1">
      <c r="C864" s="800">
        <v>1</v>
      </c>
      <c r="D864" s="56" t="s">
        <v>8445</v>
      </c>
      <c r="E864" s="93" t="s">
        <v>1300</v>
      </c>
      <c r="F864" s="104">
        <v>1</v>
      </c>
      <c r="G864" s="63">
        <f>VLOOKUP(D864,upahbahan,3,FALSE)</f>
        <v>780000</v>
      </c>
      <c r="H864" s="63">
        <f t="shared" ref="H864" si="94">F864*G864</f>
        <v>780000</v>
      </c>
      <c r="I864" s="44"/>
    </row>
    <row r="865" spans="3:13" s="59" customFormat="1" ht="22.2" customHeight="1">
      <c r="C865" s="450" t="s">
        <v>1214</v>
      </c>
      <c r="D865" s="67"/>
      <c r="E865" s="67"/>
      <c r="F865" s="67"/>
      <c r="G865" s="69"/>
      <c r="H865" s="63">
        <f>SUM(H863:H864)</f>
        <v>780000</v>
      </c>
      <c r="I865" s="44"/>
    </row>
    <row r="866" spans="3:13" s="59" customFormat="1" ht="22.2" customHeight="1">
      <c r="C866" s="61" t="s">
        <v>1215</v>
      </c>
      <c r="D866" s="56" t="s">
        <v>1216</v>
      </c>
      <c r="E866" s="93"/>
      <c r="F866" s="57"/>
      <c r="G866" s="57"/>
      <c r="H866" s="57"/>
      <c r="I866" s="44"/>
    </row>
    <row r="867" spans="3:13" s="59" customFormat="1" ht="22.2" customHeight="1">
      <c r="C867" s="800">
        <v>1</v>
      </c>
      <c r="D867" s="56" t="s">
        <v>4770</v>
      </c>
      <c r="E867" s="93" t="s">
        <v>1974</v>
      </c>
      <c r="F867" s="104">
        <v>1.093</v>
      </c>
      <c r="G867" s="63">
        <f>VLOOKUP(D867,upahbahan,3,FALSE)</f>
        <v>108000</v>
      </c>
      <c r="H867" s="63">
        <f t="shared" ref="H867" si="95">F867*G867</f>
        <v>118044</v>
      </c>
      <c r="I867" s="44"/>
    </row>
    <row r="868" spans="3:13" s="59" customFormat="1" ht="22.2" customHeight="1">
      <c r="C868" s="450" t="s">
        <v>1217</v>
      </c>
      <c r="D868" s="67"/>
      <c r="E868" s="67"/>
      <c r="F868" s="67"/>
      <c r="G868" s="69"/>
      <c r="H868" s="882">
        <f>SUM(H866:H867)</f>
        <v>118044</v>
      </c>
      <c r="I868" s="44"/>
    </row>
    <row r="869" spans="3:13" s="59" customFormat="1" ht="22.2" customHeight="1">
      <c r="C869" s="288" t="s">
        <v>1218</v>
      </c>
      <c r="D869" s="76" t="s">
        <v>1219</v>
      </c>
      <c r="E869" s="77"/>
      <c r="F869" s="77"/>
      <c r="G869" s="78"/>
      <c r="H869" s="585">
        <f>H868+H865+H862</f>
        <v>1432264</v>
      </c>
      <c r="I869" s="369"/>
    </row>
    <row r="870" spans="3:13" s="59" customFormat="1" ht="22.2" customHeight="1">
      <c r="C870" s="288" t="s">
        <v>1220</v>
      </c>
      <c r="D870" s="76" t="s">
        <v>1321</v>
      </c>
      <c r="E870" s="77"/>
      <c r="F870" s="78"/>
      <c r="G870" s="80">
        <v>0.1</v>
      </c>
      <c r="H870" s="63">
        <f>H869*G870</f>
        <v>143226.4</v>
      </c>
      <c r="I870" s="369"/>
    </row>
    <row r="871" spans="3:13" s="59" customFormat="1" ht="22.2" customHeight="1">
      <c r="C871" s="288" t="s">
        <v>1221</v>
      </c>
      <c r="D871" s="76" t="s">
        <v>1222</v>
      </c>
      <c r="E871" s="77"/>
      <c r="F871" s="77"/>
      <c r="G871" s="78"/>
      <c r="H871" s="799">
        <f>SUM(H869:H870)</f>
        <v>1575490.4</v>
      </c>
      <c r="I871" s="369"/>
    </row>
    <row r="872" spans="3:13" ht="22.2" customHeight="1"/>
    <row r="873" spans="3:13" s="59" customFormat="1" ht="22.2" customHeight="1">
      <c r="C873" s="46" t="s">
        <v>4851</v>
      </c>
      <c r="D873" s="794" t="s">
        <v>8446</v>
      </c>
      <c r="E873" s="794"/>
      <c r="F873" s="794"/>
      <c r="G873" s="794"/>
      <c r="H873" s="794"/>
      <c r="I873" s="50">
        <f>ROUNDDOWN(H888,-2)</f>
        <v>1703100</v>
      </c>
      <c r="J873" s="59" t="s">
        <v>6451</v>
      </c>
      <c r="K873" s="59" t="s">
        <v>8371</v>
      </c>
    </row>
    <row r="874" spans="3:13" s="59" customFormat="1" ht="22.2" customHeight="1">
      <c r="C874" s="591" t="s">
        <v>1195</v>
      </c>
      <c r="D874" s="591" t="s">
        <v>1196</v>
      </c>
      <c r="E874" s="591" t="s">
        <v>1197</v>
      </c>
      <c r="F874" s="591" t="s">
        <v>1198</v>
      </c>
      <c r="G874" s="591" t="s">
        <v>1199</v>
      </c>
      <c r="H874" s="591" t="s">
        <v>1200</v>
      </c>
      <c r="I874" s="44"/>
    </row>
    <row r="875" spans="3:13" s="59" customFormat="1" ht="22.2" customHeight="1">
      <c r="C875" s="61" t="s">
        <v>1201</v>
      </c>
      <c r="D875" s="56" t="s">
        <v>1202</v>
      </c>
      <c r="E875" s="57"/>
      <c r="F875" s="57"/>
      <c r="G875" s="57"/>
      <c r="H875" s="57"/>
      <c r="I875" s="44"/>
      <c r="J875" s="152" t="s">
        <v>1247</v>
      </c>
    </row>
    <row r="876" spans="3:13" s="59" customFormat="1" ht="22.2" customHeight="1">
      <c r="C876" s="588">
        <v>1</v>
      </c>
      <c r="D876" s="56" t="s">
        <v>5</v>
      </c>
      <c r="E876" s="577" t="s">
        <v>6</v>
      </c>
      <c r="F876" s="101">
        <v>3.2</v>
      </c>
      <c r="G876" s="63">
        <f>VLOOKUP(D876,upahbahan,3,FALSE)</f>
        <v>100000</v>
      </c>
      <c r="H876" s="63">
        <f>F876*G876</f>
        <v>320000</v>
      </c>
      <c r="I876" s="44"/>
      <c r="J876" s="152" t="s">
        <v>1248</v>
      </c>
      <c r="M876" s="65">
        <v>0.1</v>
      </c>
    </row>
    <row r="877" spans="3:13" s="59" customFormat="1" ht="22.2" customHeight="1">
      <c r="C877" s="588">
        <v>2</v>
      </c>
      <c r="D877" s="56" t="s">
        <v>10</v>
      </c>
      <c r="E877" s="577" t="s">
        <v>6</v>
      </c>
      <c r="F877" s="101">
        <v>1.6</v>
      </c>
      <c r="G877" s="63">
        <f>VLOOKUP(D877,upahbahan,3,FALSE)</f>
        <v>135000</v>
      </c>
      <c r="H877" s="63">
        <f t="shared" ref="H877:H878" si="96">F877*G877</f>
        <v>216000</v>
      </c>
      <c r="I877" s="44"/>
      <c r="J877" s="152"/>
      <c r="M877" s="65"/>
    </row>
    <row r="878" spans="3:13" s="59" customFormat="1" ht="22.2" customHeight="1">
      <c r="C878" s="588">
        <v>3</v>
      </c>
      <c r="D878" s="56" t="s">
        <v>19</v>
      </c>
      <c r="E878" s="577" t="s">
        <v>6</v>
      </c>
      <c r="F878" s="101">
        <v>0.32</v>
      </c>
      <c r="G878" s="63">
        <f>VLOOKUP(D878,upahbahan,3,FALSE)</f>
        <v>160000</v>
      </c>
      <c r="H878" s="63">
        <f t="shared" si="96"/>
        <v>51200</v>
      </c>
      <c r="I878" s="44"/>
    </row>
    <row r="879" spans="3:13" s="59" customFormat="1" ht="22.2" customHeight="1">
      <c r="C879" s="450" t="s">
        <v>1208</v>
      </c>
      <c r="D879" s="67"/>
      <c r="E879" s="67"/>
      <c r="F879" s="142"/>
      <c r="G879" s="153"/>
      <c r="H879" s="63">
        <f>SUM(H876:H878)</f>
        <v>587200</v>
      </c>
      <c r="I879" s="154"/>
    </row>
    <row r="880" spans="3:13" s="59" customFormat="1" ht="22.2" customHeight="1">
      <c r="C880" s="61" t="s">
        <v>1209</v>
      </c>
      <c r="D880" s="56" t="s">
        <v>1210</v>
      </c>
      <c r="E880" s="57"/>
      <c r="F880" s="57"/>
      <c r="G880" s="57"/>
      <c r="H880" s="57"/>
      <c r="I880" s="44"/>
    </row>
    <row r="881" spans="3:13" s="59" customFormat="1" ht="22.2" customHeight="1">
      <c r="C881" s="800">
        <v>1</v>
      </c>
      <c r="D881" s="56" t="s">
        <v>8447</v>
      </c>
      <c r="E881" s="93" t="s">
        <v>1300</v>
      </c>
      <c r="F881" s="104">
        <v>1</v>
      </c>
      <c r="G881" s="63">
        <f>VLOOKUP(D881,upahbahan,3,FALSE)</f>
        <v>831000</v>
      </c>
      <c r="H881" s="63">
        <f t="shared" ref="H881" si="97">F881*G881</f>
        <v>831000</v>
      </c>
      <c r="I881" s="44"/>
    </row>
    <row r="882" spans="3:13" s="59" customFormat="1" ht="22.2" customHeight="1">
      <c r="C882" s="450" t="s">
        <v>1214</v>
      </c>
      <c r="D882" s="67"/>
      <c r="E882" s="67"/>
      <c r="F882" s="67"/>
      <c r="G882" s="69"/>
      <c r="H882" s="63">
        <f>SUM(H880:H881)</f>
        <v>831000</v>
      </c>
      <c r="I882" s="44"/>
    </row>
    <row r="883" spans="3:13" s="59" customFormat="1" ht="22.2" customHeight="1">
      <c r="C883" s="61" t="s">
        <v>1215</v>
      </c>
      <c r="D883" s="56" t="s">
        <v>1216</v>
      </c>
      <c r="E883" s="93"/>
      <c r="F883" s="57"/>
      <c r="G883" s="57"/>
      <c r="H883" s="57"/>
      <c r="I883" s="44"/>
    </row>
    <row r="884" spans="3:13" s="59" customFormat="1" ht="22.2" customHeight="1">
      <c r="C884" s="800">
        <v>1</v>
      </c>
      <c r="D884" s="56" t="s">
        <v>4770</v>
      </c>
      <c r="E884" s="93" t="s">
        <v>1974</v>
      </c>
      <c r="F884" s="104">
        <v>1.2050000000000001</v>
      </c>
      <c r="G884" s="63">
        <f>VLOOKUP(D884,upahbahan,3,FALSE)</f>
        <v>108000</v>
      </c>
      <c r="H884" s="63">
        <f t="shared" ref="H884" si="98">F884*G884</f>
        <v>130140.00000000001</v>
      </c>
      <c r="I884" s="44"/>
    </row>
    <row r="885" spans="3:13" s="59" customFormat="1" ht="22.2" customHeight="1">
      <c r="C885" s="450" t="s">
        <v>1217</v>
      </c>
      <c r="D885" s="67"/>
      <c r="E885" s="67"/>
      <c r="F885" s="67"/>
      <c r="G885" s="69"/>
      <c r="H885" s="882">
        <f>SUM(H883:H884)</f>
        <v>130140.00000000001</v>
      </c>
      <c r="I885" s="44"/>
    </row>
    <row r="886" spans="3:13" s="59" customFormat="1" ht="22.2" customHeight="1">
      <c r="C886" s="288" t="s">
        <v>1218</v>
      </c>
      <c r="D886" s="76" t="s">
        <v>1219</v>
      </c>
      <c r="E886" s="77"/>
      <c r="F886" s="77"/>
      <c r="G886" s="78"/>
      <c r="H886" s="585">
        <f>H885+H882+H879</f>
        <v>1548340</v>
      </c>
      <c r="I886" s="369"/>
    </row>
    <row r="887" spans="3:13" s="59" customFormat="1" ht="22.2" customHeight="1">
      <c r="C887" s="288" t="s">
        <v>1220</v>
      </c>
      <c r="D887" s="76" t="s">
        <v>1321</v>
      </c>
      <c r="E887" s="77"/>
      <c r="F887" s="78"/>
      <c r="G887" s="80">
        <v>0.1</v>
      </c>
      <c r="H887" s="63">
        <f>H886*G887</f>
        <v>154834</v>
      </c>
      <c r="I887" s="369"/>
    </row>
    <row r="888" spans="3:13" s="59" customFormat="1" ht="22.2" customHeight="1">
      <c r="C888" s="288" t="s">
        <v>1221</v>
      </c>
      <c r="D888" s="76" t="s">
        <v>1222</v>
      </c>
      <c r="E888" s="77"/>
      <c r="F888" s="77"/>
      <c r="G888" s="78"/>
      <c r="H888" s="799">
        <f>SUM(H886:H887)</f>
        <v>1703174</v>
      </c>
      <c r="I888" s="369"/>
    </row>
    <row r="889" spans="3:13" ht="22.2" customHeight="1"/>
    <row r="890" spans="3:13" s="59" customFormat="1" ht="22.2" customHeight="1">
      <c r="C890" s="46" t="s">
        <v>4853</v>
      </c>
      <c r="D890" s="794" t="s">
        <v>8448</v>
      </c>
      <c r="E890" s="794"/>
      <c r="F890" s="794"/>
      <c r="G890" s="794"/>
      <c r="H890" s="794"/>
      <c r="I890" s="50">
        <f>ROUNDDOWN(H905,-2)</f>
        <v>1847000</v>
      </c>
      <c r="J890" s="59" t="s">
        <v>6451</v>
      </c>
      <c r="K890" s="59" t="s">
        <v>8371</v>
      </c>
    </row>
    <row r="891" spans="3:13" s="59" customFormat="1" ht="22.2" customHeight="1">
      <c r="C891" s="591" t="s">
        <v>1195</v>
      </c>
      <c r="D891" s="591" t="s">
        <v>1196</v>
      </c>
      <c r="E891" s="591" t="s">
        <v>1197</v>
      </c>
      <c r="F891" s="591" t="s">
        <v>1198</v>
      </c>
      <c r="G891" s="591" t="s">
        <v>1199</v>
      </c>
      <c r="H891" s="591" t="s">
        <v>1200</v>
      </c>
      <c r="I891" s="44"/>
    </row>
    <row r="892" spans="3:13" s="59" customFormat="1" ht="22.2" customHeight="1">
      <c r="C892" s="61" t="s">
        <v>1201</v>
      </c>
      <c r="D892" s="56" t="s">
        <v>1202</v>
      </c>
      <c r="E892" s="57"/>
      <c r="F892" s="57"/>
      <c r="G892" s="57"/>
      <c r="H892" s="57"/>
      <c r="I892" s="44"/>
      <c r="J892" s="152" t="s">
        <v>1247</v>
      </c>
    </row>
    <row r="893" spans="3:13" s="59" customFormat="1" ht="22.2" customHeight="1">
      <c r="C893" s="588">
        <v>1</v>
      </c>
      <c r="D893" s="56" t="s">
        <v>5</v>
      </c>
      <c r="E893" s="577" t="s">
        <v>6</v>
      </c>
      <c r="F893" s="101">
        <v>3.488</v>
      </c>
      <c r="G893" s="63">
        <f>VLOOKUP(D893,upahbahan,3,FALSE)</f>
        <v>100000</v>
      </c>
      <c r="H893" s="63">
        <f>F893*G893</f>
        <v>348800</v>
      </c>
      <c r="I893" s="44"/>
      <c r="J893" s="152" t="s">
        <v>1248</v>
      </c>
      <c r="M893" s="65">
        <v>0.1</v>
      </c>
    </row>
    <row r="894" spans="3:13" s="59" customFormat="1" ht="22.2" customHeight="1">
      <c r="C894" s="588">
        <v>2</v>
      </c>
      <c r="D894" s="56" t="s">
        <v>10</v>
      </c>
      <c r="E894" s="577" t="s">
        <v>6</v>
      </c>
      <c r="F894" s="101">
        <v>1.744</v>
      </c>
      <c r="G894" s="63">
        <f>VLOOKUP(D894,upahbahan,3,FALSE)</f>
        <v>135000</v>
      </c>
      <c r="H894" s="63">
        <f t="shared" ref="H894:H895" si="99">F894*G894</f>
        <v>235440</v>
      </c>
      <c r="I894" s="44"/>
      <c r="J894" s="152"/>
      <c r="M894" s="65"/>
    </row>
    <row r="895" spans="3:13" s="59" customFormat="1" ht="22.2" customHeight="1">
      <c r="C895" s="588">
        <v>3</v>
      </c>
      <c r="D895" s="56" t="s">
        <v>19</v>
      </c>
      <c r="E895" s="577" t="s">
        <v>6</v>
      </c>
      <c r="F895" s="101">
        <v>0.34899999999999998</v>
      </c>
      <c r="G895" s="63">
        <f>VLOOKUP(D895,upahbahan,3,FALSE)</f>
        <v>160000</v>
      </c>
      <c r="H895" s="63">
        <f t="shared" si="99"/>
        <v>55839.999999999993</v>
      </c>
      <c r="I895" s="44"/>
    </row>
    <row r="896" spans="3:13" s="59" customFormat="1" ht="22.2" customHeight="1">
      <c r="C896" s="450" t="s">
        <v>1208</v>
      </c>
      <c r="D896" s="67"/>
      <c r="E896" s="67"/>
      <c r="F896" s="142"/>
      <c r="G896" s="153"/>
      <c r="H896" s="63">
        <f>SUM(H893:H895)</f>
        <v>640080</v>
      </c>
      <c r="I896" s="154"/>
    </row>
    <row r="897" spans="3:13" s="59" customFormat="1" ht="22.2" customHeight="1">
      <c r="C897" s="61" t="s">
        <v>1209</v>
      </c>
      <c r="D897" s="56" t="s">
        <v>1210</v>
      </c>
      <c r="E897" s="57"/>
      <c r="F897" s="57"/>
      <c r="G897" s="57"/>
      <c r="H897" s="57"/>
      <c r="I897" s="44"/>
    </row>
    <row r="898" spans="3:13" s="59" customFormat="1" ht="22.2" customHeight="1">
      <c r="C898" s="800">
        <v>1</v>
      </c>
      <c r="D898" s="56" t="s">
        <v>8449</v>
      </c>
      <c r="E898" s="93" t="s">
        <v>1300</v>
      </c>
      <c r="F898" s="104">
        <v>1</v>
      </c>
      <c r="G898" s="63">
        <f>VLOOKUP(D898,upahbahan,3,FALSE)</f>
        <v>868000</v>
      </c>
      <c r="H898" s="63">
        <f t="shared" ref="H898" si="100">F898*G898</f>
        <v>868000</v>
      </c>
      <c r="I898" s="44"/>
    </row>
    <row r="899" spans="3:13" s="59" customFormat="1" ht="22.2" customHeight="1">
      <c r="C899" s="450" t="s">
        <v>1214</v>
      </c>
      <c r="D899" s="67"/>
      <c r="E899" s="67"/>
      <c r="F899" s="67"/>
      <c r="G899" s="69"/>
      <c r="H899" s="63">
        <f>SUM(H897:H898)</f>
        <v>868000</v>
      </c>
      <c r="I899" s="44"/>
    </row>
    <row r="900" spans="3:13" s="59" customFormat="1" ht="22.2" customHeight="1">
      <c r="C900" s="61" t="s">
        <v>1215</v>
      </c>
      <c r="D900" s="56" t="s">
        <v>1216</v>
      </c>
      <c r="E900" s="93"/>
      <c r="F900" s="57"/>
      <c r="G900" s="57"/>
      <c r="H900" s="57"/>
      <c r="I900" s="44"/>
    </row>
    <row r="901" spans="3:13" s="59" customFormat="1" ht="22.2" customHeight="1">
      <c r="C901" s="800">
        <v>1</v>
      </c>
      <c r="D901" s="56" t="s">
        <v>4770</v>
      </c>
      <c r="E901" s="93" t="s">
        <v>1974</v>
      </c>
      <c r="F901" s="104">
        <v>1.5840000000000001</v>
      </c>
      <c r="G901" s="63">
        <f>VLOOKUP(D901,upahbahan,3,FALSE)</f>
        <v>108000</v>
      </c>
      <c r="H901" s="63">
        <f t="shared" ref="H901" si="101">F901*G901</f>
        <v>171072</v>
      </c>
      <c r="I901" s="44"/>
    </row>
    <row r="902" spans="3:13" s="59" customFormat="1" ht="22.2" customHeight="1">
      <c r="C902" s="450" t="s">
        <v>1217</v>
      </c>
      <c r="D902" s="67"/>
      <c r="E902" s="67"/>
      <c r="F902" s="67"/>
      <c r="G902" s="69"/>
      <c r="H902" s="882">
        <f>SUM(H900:H901)</f>
        <v>171072</v>
      </c>
      <c r="I902" s="44"/>
    </row>
    <row r="903" spans="3:13" s="59" customFormat="1" ht="22.2" customHeight="1">
      <c r="C903" s="288" t="s">
        <v>1218</v>
      </c>
      <c r="D903" s="76" t="s">
        <v>1219</v>
      </c>
      <c r="E903" s="77"/>
      <c r="F903" s="77"/>
      <c r="G903" s="78"/>
      <c r="H903" s="585">
        <f>H902+H899+H896</f>
        <v>1679152</v>
      </c>
      <c r="I903" s="369"/>
    </row>
    <row r="904" spans="3:13" s="59" customFormat="1" ht="22.2" customHeight="1">
      <c r="C904" s="288" t="s">
        <v>1220</v>
      </c>
      <c r="D904" s="76" t="s">
        <v>1321</v>
      </c>
      <c r="E904" s="77"/>
      <c r="F904" s="78"/>
      <c r="G904" s="80">
        <v>0.1</v>
      </c>
      <c r="H904" s="63">
        <f>H903*G904</f>
        <v>167915.2</v>
      </c>
      <c r="I904" s="369"/>
    </row>
    <row r="905" spans="3:13" s="59" customFormat="1" ht="22.2" customHeight="1">
      <c r="C905" s="288" t="s">
        <v>1221</v>
      </c>
      <c r="D905" s="76" t="s">
        <v>1222</v>
      </c>
      <c r="E905" s="77"/>
      <c r="F905" s="77"/>
      <c r="G905" s="78"/>
      <c r="H905" s="799">
        <f>SUM(H903:H904)</f>
        <v>1847067.2</v>
      </c>
      <c r="I905" s="369"/>
    </row>
    <row r="906" spans="3:13" ht="22.2" customHeight="1"/>
    <row r="907" spans="3:13" s="59" customFormat="1" ht="22.2" customHeight="1">
      <c r="C907" s="46" t="s">
        <v>4855</v>
      </c>
      <c r="D907" s="794" t="s">
        <v>8450</v>
      </c>
      <c r="E907" s="794"/>
      <c r="F907" s="794"/>
      <c r="G907" s="794"/>
      <c r="H907" s="794"/>
      <c r="I907" s="50">
        <f>ROUNDDOWN(H921,-2)</f>
        <v>101600</v>
      </c>
      <c r="J907" s="59" t="s">
        <v>6451</v>
      </c>
      <c r="K907" s="59" t="s">
        <v>8371</v>
      </c>
    </row>
    <row r="908" spans="3:13" s="59" customFormat="1" ht="22.2" customHeight="1">
      <c r="C908" s="591" t="s">
        <v>1195</v>
      </c>
      <c r="D908" s="591" t="s">
        <v>1196</v>
      </c>
      <c r="E908" s="591" t="s">
        <v>1197</v>
      </c>
      <c r="F908" s="591" t="s">
        <v>1198</v>
      </c>
      <c r="G908" s="591" t="s">
        <v>1199</v>
      </c>
      <c r="H908" s="591" t="s">
        <v>1200</v>
      </c>
      <c r="I908" s="44"/>
    </row>
    <row r="909" spans="3:13" s="59" customFormat="1" ht="22.2" customHeight="1">
      <c r="C909" s="61" t="s">
        <v>1201</v>
      </c>
      <c r="D909" s="56" t="s">
        <v>1202</v>
      </c>
      <c r="E909" s="57"/>
      <c r="F909" s="57"/>
      <c r="G909" s="57"/>
      <c r="H909" s="57"/>
      <c r="I909" s="44"/>
      <c r="J909" s="152" t="s">
        <v>1247</v>
      </c>
    </row>
    <row r="910" spans="3:13" s="59" customFormat="1" ht="22.2" customHeight="1">
      <c r="C910" s="588">
        <v>1</v>
      </c>
      <c r="D910" s="56" t="s">
        <v>5</v>
      </c>
      <c r="E910" s="577" t="s">
        <v>6</v>
      </c>
      <c r="F910" s="101">
        <v>0.22</v>
      </c>
      <c r="G910" s="63">
        <f>VLOOKUP(D910,upahbahan,3,FALSE)</f>
        <v>100000</v>
      </c>
      <c r="H910" s="63">
        <f>F910*G910</f>
        <v>22000</v>
      </c>
      <c r="I910" s="44"/>
      <c r="J910" s="152" t="s">
        <v>1248</v>
      </c>
      <c r="M910" s="65">
        <v>0.1</v>
      </c>
    </row>
    <row r="911" spans="3:13" s="59" customFormat="1" ht="22.2" customHeight="1">
      <c r="C911" s="588">
        <v>2</v>
      </c>
      <c r="D911" s="56" t="s">
        <v>10</v>
      </c>
      <c r="E911" s="577" t="s">
        <v>6</v>
      </c>
      <c r="F911" s="101">
        <v>0.11</v>
      </c>
      <c r="G911" s="63">
        <f>VLOOKUP(D911,upahbahan,3,FALSE)</f>
        <v>135000</v>
      </c>
      <c r="H911" s="63">
        <f t="shared" ref="H911:H912" si="102">F911*G911</f>
        <v>14850</v>
      </c>
      <c r="I911" s="44"/>
      <c r="J911" s="152"/>
      <c r="M911" s="65"/>
    </row>
    <row r="912" spans="3:13" s="59" customFormat="1" ht="22.2" customHeight="1">
      <c r="C912" s="588">
        <v>3</v>
      </c>
      <c r="D912" s="56" t="s">
        <v>19</v>
      </c>
      <c r="E912" s="577" t="s">
        <v>6</v>
      </c>
      <c r="F912" s="101">
        <v>2.1999999999999999E-2</v>
      </c>
      <c r="G912" s="63">
        <f>VLOOKUP(D912,upahbahan,3,FALSE)</f>
        <v>160000</v>
      </c>
      <c r="H912" s="63">
        <f t="shared" si="102"/>
        <v>3520</v>
      </c>
      <c r="I912" s="44"/>
    </row>
    <row r="913" spans="3:13" s="59" customFormat="1" ht="22.2" customHeight="1">
      <c r="C913" s="450" t="s">
        <v>1208</v>
      </c>
      <c r="D913" s="67"/>
      <c r="E913" s="67"/>
      <c r="F913" s="142"/>
      <c r="G913" s="153"/>
      <c r="H913" s="63">
        <f>SUM(H910:H912)</f>
        <v>40370</v>
      </c>
      <c r="I913" s="154"/>
    </row>
    <row r="914" spans="3:13" s="59" customFormat="1" ht="22.2" customHeight="1">
      <c r="C914" s="61" t="s">
        <v>1209</v>
      </c>
      <c r="D914" s="56" t="s">
        <v>1210</v>
      </c>
      <c r="E914" s="57"/>
      <c r="F914" s="57"/>
      <c r="G914" s="57"/>
      <c r="H914" s="57"/>
      <c r="I914" s="44"/>
    </row>
    <row r="915" spans="3:13" s="59" customFormat="1" ht="22.2" customHeight="1">
      <c r="C915" s="800">
        <v>1</v>
      </c>
      <c r="D915" s="56" t="s">
        <v>8451</v>
      </c>
      <c r="E915" s="93" t="s">
        <v>1300</v>
      </c>
      <c r="F915" s="104">
        <v>1</v>
      </c>
      <c r="G915" s="63">
        <f>VLOOKUP(D915,upahbahan,3,FALSE)</f>
        <v>52000</v>
      </c>
      <c r="H915" s="63">
        <f t="shared" ref="H915" si="103">F915*G915</f>
        <v>52000</v>
      </c>
      <c r="I915" s="44"/>
    </row>
    <row r="916" spans="3:13" s="59" customFormat="1" ht="22.2" customHeight="1">
      <c r="C916" s="450" t="s">
        <v>1214</v>
      </c>
      <c r="D916" s="67"/>
      <c r="E916" s="67"/>
      <c r="F916" s="67"/>
      <c r="G916" s="69"/>
      <c r="H916" s="63">
        <f>SUM(H914:H915)</f>
        <v>52000</v>
      </c>
      <c r="I916" s="44"/>
    </row>
    <row r="917" spans="3:13" s="59" customFormat="1" ht="22.2" customHeight="1">
      <c r="C917" s="61" t="s">
        <v>1215</v>
      </c>
      <c r="D917" s="56" t="s">
        <v>1216</v>
      </c>
      <c r="E917" s="93"/>
      <c r="F917" s="57"/>
      <c r="G917" s="57"/>
      <c r="H917" s="57"/>
      <c r="I917" s="44"/>
    </row>
    <row r="918" spans="3:13" s="59" customFormat="1" ht="22.2" customHeight="1">
      <c r="C918" s="450" t="s">
        <v>1217</v>
      </c>
      <c r="D918" s="67"/>
      <c r="E918" s="67"/>
      <c r="F918" s="67"/>
      <c r="G918" s="69"/>
      <c r="H918" s="882">
        <f>SUM(H917:H917)</f>
        <v>0</v>
      </c>
      <c r="I918" s="44"/>
    </row>
    <row r="919" spans="3:13" s="59" customFormat="1" ht="22.2" customHeight="1">
      <c r="C919" s="288" t="s">
        <v>1218</v>
      </c>
      <c r="D919" s="76" t="s">
        <v>1219</v>
      </c>
      <c r="E919" s="77"/>
      <c r="F919" s="77"/>
      <c r="G919" s="78"/>
      <c r="H919" s="585">
        <f>H918+H916+H913</f>
        <v>92370</v>
      </c>
      <c r="I919" s="369"/>
    </row>
    <row r="920" spans="3:13" s="59" customFormat="1" ht="22.2" customHeight="1">
      <c r="C920" s="288" t="s">
        <v>1220</v>
      </c>
      <c r="D920" s="76" t="s">
        <v>1321</v>
      </c>
      <c r="E920" s="77"/>
      <c r="F920" s="78"/>
      <c r="G920" s="80">
        <v>0.1</v>
      </c>
      <c r="H920" s="63">
        <f>H919*G920</f>
        <v>9237</v>
      </c>
      <c r="I920" s="369"/>
    </row>
    <row r="921" spans="3:13" s="59" customFormat="1" ht="22.2" customHeight="1">
      <c r="C921" s="288" t="s">
        <v>1221</v>
      </c>
      <c r="D921" s="76" t="s">
        <v>1222</v>
      </c>
      <c r="E921" s="77"/>
      <c r="F921" s="77"/>
      <c r="G921" s="78"/>
      <c r="H921" s="799">
        <f>SUM(H919:H920)</f>
        <v>101607</v>
      </c>
      <c r="I921" s="369"/>
    </row>
    <row r="922" spans="3:13" ht="22.2" customHeight="1"/>
    <row r="923" spans="3:13" ht="22.2" customHeight="1"/>
    <row r="924" spans="3:13" s="59" customFormat="1" ht="22.2" customHeight="1">
      <c r="C924" s="46" t="s">
        <v>4857</v>
      </c>
      <c r="D924" s="794" t="s">
        <v>8452</v>
      </c>
      <c r="E924" s="794"/>
      <c r="F924" s="794"/>
      <c r="G924" s="794"/>
      <c r="H924" s="794"/>
      <c r="I924" s="50">
        <f>ROUNDDOWN(H938,-2)</f>
        <v>119200</v>
      </c>
      <c r="J924" s="59" t="s">
        <v>6451</v>
      </c>
      <c r="K924" s="59" t="s">
        <v>8371</v>
      </c>
    </row>
    <row r="925" spans="3:13" s="59" customFormat="1" ht="22.2" customHeight="1">
      <c r="C925" s="591" t="s">
        <v>1195</v>
      </c>
      <c r="D925" s="591" t="s">
        <v>1196</v>
      </c>
      <c r="E925" s="591" t="s">
        <v>1197</v>
      </c>
      <c r="F925" s="591" t="s">
        <v>1198</v>
      </c>
      <c r="G925" s="591" t="s">
        <v>1199</v>
      </c>
      <c r="H925" s="591" t="s">
        <v>1200</v>
      </c>
      <c r="I925" s="44"/>
    </row>
    <row r="926" spans="3:13" s="59" customFormat="1" ht="22.2" customHeight="1">
      <c r="C926" s="61" t="s">
        <v>1201</v>
      </c>
      <c r="D926" s="56" t="s">
        <v>1202</v>
      </c>
      <c r="E926" s="57"/>
      <c r="F926" s="57"/>
      <c r="G926" s="57"/>
      <c r="H926" s="57"/>
      <c r="I926" s="44"/>
      <c r="J926" s="152" t="s">
        <v>1247</v>
      </c>
    </row>
    <row r="927" spans="3:13" s="59" customFormat="1" ht="22.2" customHeight="1">
      <c r="C927" s="588">
        <v>1</v>
      </c>
      <c r="D927" s="56" t="s">
        <v>5</v>
      </c>
      <c r="E927" s="577" t="s">
        <v>6</v>
      </c>
      <c r="F927" s="101">
        <v>0.22</v>
      </c>
      <c r="G927" s="63">
        <f>VLOOKUP(D927,upahbahan,3,FALSE)</f>
        <v>100000</v>
      </c>
      <c r="H927" s="63">
        <f>F927*G927</f>
        <v>22000</v>
      </c>
      <c r="I927" s="44"/>
      <c r="J927" s="152" t="s">
        <v>1248</v>
      </c>
      <c r="M927" s="65">
        <v>0.1</v>
      </c>
    </row>
    <row r="928" spans="3:13" s="59" customFormat="1" ht="22.2" customHeight="1">
      <c r="C928" s="588">
        <v>2</v>
      </c>
      <c r="D928" s="56" t="s">
        <v>10</v>
      </c>
      <c r="E928" s="577" t="s">
        <v>6</v>
      </c>
      <c r="F928" s="101">
        <v>0.11</v>
      </c>
      <c r="G928" s="63">
        <f>VLOOKUP(D928,upahbahan,3,FALSE)</f>
        <v>135000</v>
      </c>
      <c r="H928" s="63">
        <f t="shared" ref="H928:H929" si="104">F928*G928</f>
        <v>14850</v>
      </c>
      <c r="I928" s="44"/>
      <c r="J928" s="152"/>
      <c r="M928" s="65"/>
    </row>
    <row r="929" spans="3:13" s="59" customFormat="1" ht="22.2" customHeight="1">
      <c r="C929" s="588">
        <v>3</v>
      </c>
      <c r="D929" s="56" t="s">
        <v>19</v>
      </c>
      <c r="E929" s="577" t="s">
        <v>6</v>
      </c>
      <c r="F929" s="101">
        <v>2.1999999999999999E-2</v>
      </c>
      <c r="G929" s="63">
        <f>VLOOKUP(D929,upahbahan,3,FALSE)</f>
        <v>160000</v>
      </c>
      <c r="H929" s="63">
        <f t="shared" si="104"/>
        <v>3520</v>
      </c>
      <c r="I929" s="44"/>
    </row>
    <row r="930" spans="3:13" s="59" customFormat="1" ht="22.2" customHeight="1">
      <c r="C930" s="450" t="s">
        <v>1208</v>
      </c>
      <c r="D930" s="67"/>
      <c r="E930" s="67"/>
      <c r="F930" s="142"/>
      <c r="G930" s="153"/>
      <c r="H930" s="63">
        <f>SUM(H927:H929)</f>
        <v>40370</v>
      </c>
      <c r="I930" s="154"/>
    </row>
    <row r="931" spans="3:13" s="59" customFormat="1" ht="22.2" customHeight="1">
      <c r="C931" s="61" t="s">
        <v>1209</v>
      </c>
      <c r="D931" s="56" t="s">
        <v>1210</v>
      </c>
      <c r="E931" s="57"/>
      <c r="F931" s="57"/>
      <c r="G931" s="57"/>
      <c r="H931" s="57"/>
      <c r="I931" s="44"/>
    </row>
    <row r="932" spans="3:13" s="59" customFormat="1" ht="22.2" customHeight="1">
      <c r="C932" s="800">
        <v>1</v>
      </c>
      <c r="D932" s="56" t="s">
        <v>8453</v>
      </c>
      <c r="E932" s="93" t="s">
        <v>1300</v>
      </c>
      <c r="F932" s="104">
        <v>1</v>
      </c>
      <c r="G932" s="63">
        <f>VLOOKUP(D932,upahbahan,3,FALSE)</f>
        <v>68000</v>
      </c>
      <c r="H932" s="63">
        <f t="shared" ref="H932" si="105">F932*G932</f>
        <v>68000</v>
      </c>
      <c r="I932" s="44"/>
    </row>
    <row r="933" spans="3:13" s="59" customFormat="1" ht="22.2" customHeight="1">
      <c r="C933" s="450" t="s">
        <v>1214</v>
      </c>
      <c r="D933" s="67"/>
      <c r="E933" s="67"/>
      <c r="F933" s="67"/>
      <c r="G933" s="69"/>
      <c r="H933" s="63">
        <f>SUM(H931:H932)</f>
        <v>68000</v>
      </c>
      <c r="I933" s="44"/>
    </row>
    <row r="934" spans="3:13" s="59" customFormat="1" ht="22.2" customHeight="1">
      <c r="C934" s="61" t="s">
        <v>1215</v>
      </c>
      <c r="D934" s="56" t="s">
        <v>1216</v>
      </c>
      <c r="E934" s="93"/>
      <c r="F934" s="57"/>
      <c r="G934" s="57"/>
      <c r="H934" s="57"/>
      <c r="I934" s="44"/>
    </row>
    <row r="935" spans="3:13" s="59" customFormat="1" ht="22.2" customHeight="1">
      <c r="C935" s="450" t="s">
        <v>1217</v>
      </c>
      <c r="D935" s="67"/>
      <c r="E935" s="67"/>
      <c r="F935" s="67"/>
      <c r="G935" s="69"/>
      <c r="H935" s="882">
        <f>SUM(H934:H934)</f>
        <v>0</v>
      </c>
      <c r="I935" s="44"/>
    </row>
    <row r="936" spans="3:13" s="59" customFormat="1" ht="22.2" customHeight="1">
      <c r="C936" s="288" t="s">
        <v>1218</v>
      </c>
      <c r="D936" s="76" t="s">
        <v>1219</v>
      </c>
      <c r="E936" s="77"/>
      <c r="F936" s="77"/>
      <c r="G936" s="78"/>
      <c r="H936" s="585">
        <f>H935+H933+H930</f>
        <v>108370</v>
      </c>
      <c r="I936" s="369"/>
    </row>
    <row r="937" spans="3:13" s="59" customFormat="1" ht="22.2" customHeight="1">
      <c r="C937" s="288" t="s">
        <v>1220</v>
      </c>
      <c r="D937" s="76" t="s">
        <v>1321</v>
      </c>
      <c r="E937" s="77"/>
      <c r="F937" s="78"/>
      <c r="G937" s="80">
        <v>0.1</v>
      </c>
      <c r="H937" s="63">
        <f>H936*G937</f>
        <v>10837</v>
      </c>
      <c r="I937" s="369"/>
    </row>
    <row r="938" spans="3:13" s="59" customFormat="1" ht="22.2" customHeight="1">
      <c r="C938" s="288" t="s">
        <v>1221</v>
      </c>
      <c r="D938" s="76" t="s">
        <v>1222</v>
      </c>
      <c r="E938" s="77"/>
      <c r="F938" s="77"/>
      <c r="G938" s="78"/>
      <c r="H938" s="799">
        <f>SUM(H936:H937)</f>
        <v>119207</v>
      </c>
      <c r="I938" s="369"/>
    </row>
    <row r="939" spans="3:13" ht="22.2" customHeight="1"/>
    <row r="940" spans="3:13" s="59" customFormat="1" ht="22.2" customHeight="1">
      <c r="C940" s="46" t="s">
        <v>4859</v>
      </c>
      <c r="D940" s="794" t="s">
        <v>8454</v>
      </c>
      <c r="E940" s="794"/>
      <c r="F940" s="794"/>
      <c r="G940" s="794"/>
      <c r="H940" s="794"/>
      <c r="I940" s="50">
        <f>ROUNDDOWN(H954,-2)</f>
        <v>134800</v>
      </c>
      <c r="J940" s="59" t="s">
        <v>6451</v>
      </c>
      <c r="K940" s="59" t="s">
        <v>8371</v>
      </c>
    </row>
    <row r="941" spans="3:13" s="59" customFormat="1" ht="22.2" customHeight="1">
      <c r="C941" s="591" t="s">
        <v>1195</v>
      </c>
      <c r="D941" s="591" t="s">
        <v>1196</v>
      </c>
      <c r="E941" s="591" t="s">
        <v>1197</v>
      </c>
      <c r="F941" s="591" t="s">
        <v>1198</v>
      </c>
      <c r="G941" s="591" t="s">
        <v>1199</v>
      </c>
      <c r="H941" s="591" t="s">
        <v>1200</v>
      </c>
      <c r="I941" s="44"/>
    </row>
    <row r="942" spans="3:13" s="59" customFormat="1" ht="22.2" customHeight="1">
      <c r="C942" s="61" t="s">
        <v>1201</v>
      </c>
      <c r="D942" s="56" t="s">
        <v>1202</v>
      </c>
      <c r="E942" s="57"/>
      <c r="F942" s="57"/>
      <c r="G942" s="57"/>
      <c r="H942" s="57"/>
      <c r="I942" s="44"/>
      <c r="J942" s="152" t="s">
        <v>1247</v>
      </c>
    </row>
    <row r="943" spans="3:13" s="59" customFormat="1" ht="22.2" customHeight="1">
      <c r="C943" s="588">
        <v>1</v>
      </c>
      <c r="D943" s="56" t="s">
        <v>5</v>
      </c>
      <c r="E943" s="577" t="s">
        <v>6</v>
      </c>
      <c r="F943" s="101">
        <v>0.27500000000000002</v>
      </c>
      <c r="G943" s="63">
        <f>VLOOKUP(D943,upahbahan,3,FALSE)</f>
        <v>100000</v>
      </c>
      <c r="H943" s="63">
        <f>F943*G943</f>
        <v>27500.000000000004</v>
      </c>
      <c r="I943" s="44"/>
      <c r="J943" s="152" t="s">
        <v>1248</v>
      </c>
      <c r="M943" s="65">
        <v>0.1</v>
      </c>
    </row>
    <row r="944" spans="3:13" s="59" customFormat="1" ht="22.2" customHeight="1">
      <c r="C944" s="588">
        <v>2</v>
      </c>
      <c r="D944" s="56" t="s">
        <v>10</v>
      </c>
      <c r="E944" s="577" t="s">
        <v>6</v>
      </c>
      <c r="F944" s="101">
        <v>0.13800000000000001</v>
      </c>
      <c r="G944" s="63">
        <f>VLOOKUP(D944,upahbahan,3,FALSE)</f>
        <v>135000</v>
      </c>
      <c r="H944" s="63">
        <f t="shared" ref="H944:H945" si="106">F944*G944</f>
        <v>18630</v>
      </c>
      <c r="I944" s="44"/>
      <c r="J944" s="152"/>
      <c r="M944" s="65"/>
    </row>
    <row r="945" spans="3:13" s="59" customFormat="1" ht="22.2" customHeight="1">
      <c r="C945" s="588">
        <v>3</v>
      </c>
      <c r="D945" s="56" t="s">
        <v>19</v>
      </c>
      <c r="E945" s="577" t="s">
        <v>6</v>
      </c>
      <c r="F945" s="101">
        <v>2.8000000000000001E-2</v>
      </c>
      <c r="G945" s="63">
        <f>VLOOKUP(D945,upahbahan,3,FALSE)</f>
        <v>160000</v>
      </c>
      <c r="H945" s="63">
        <f t="shared" si="106"/>
        <v>4480</v>
      </c>
      <c r="I945" s="44"/>
    </row>
    <row r="946" spans="3:13" s="59" customFormat="1" ht="22.2" customHeight="1">
      <c r="C946" s="450" t="s">
        <v>1208</v>
      </c>
      <c r="D946" s="67"/>
      <c r="E946" s="67"/>
      <c r="F946" s="142"/>
      <c r="G946" s="153"/>
      <c r="H946" s="63">
        <f>SUM(H943:H945)</f>
        <v>50610</v>
      </c>
      <c r="I946" s="154"/>
    </row>
    <row r="947" spans="3:13" s="59" customFormat="1" ht="22.2" customHeight="1">
      <c r="C947" s="61" t="s">
        <v>1209</v>
      </c>
      <c r="D947" s="56" t="s">
        <v>1210</v>
      </c>
      <c r="E947" s="57"/>
      <c r="F947" s="57"/>
      <c r="G947" s="57"/>
      <c r="H947" s="57"/>
      <c r="I947" s="44"/>
    </row>
    <row r="948" spans="3:13" s="59" customFormat="1" ht="22.2" customHeight="1">
      <c r="C948" s="800">
        <v>1</v>
      </c>
      <c r="D948" s="56" t="s">
        <v>8455</v>
      </c>
      <c r="E948" s="93" t="s">
        <v>1300</v>
      </c>
      <c r="F948" s="104">
        <v>1</v>
      </c>
      <c r="G948" s="63">
        <f>VLOOKUP(D948,upahbahan,3,FALSE)</f>
        <v>72000</v>
      </c>
      <c r="H948" s="63">
        <f t="shared" ref="H948" si="107">F948*G948</f>
        <v>72000</v>
      </c>
      <c r="I948" s="44"/>
    </row>
    <row r="949" spans="3:13" s="59" customFormat="1" ht="22.2" customHeight="1">
      <c r="C949" s="450" t="s">
        <v>1214</v>
      </c>
      <c r="D949" s="67"/>
      <c r="E949" s="67"/>
      <c r="F949" s="67"/>
      <c r="G949" s="69"/>
      <c r="H949" s="63">
        <f>SUM(H947:H948)</f>
        <v>72000</v>
      </c>
      <c r="I949" s="44"/>
    </row>
    <row r="950" spans="3:13" s="59" customFormat="1" ht="22.2" customHeight="1">
      <c r="C950" s="61" t="s">
        <v>1215</v>
      </c>
      <c r="D950" s="56" t="s">
        <v>1216</v>
      </c>
      <c r="E950" s="93"/>
      <c r="F950" s="57"/>
      <c r="G950" s="57"/>
      <c r="H950" s="57"/>
      <c r="I950" s="44"/>
    </row>
    <row r="951" spans="3:13" s="59" customFormat="1" ht="22.2" customHeight="1">
      <c r="C951" s="450" t="s">
        <v>1217</v>
      </c>
      <c r="D951" s="67"/>
      <c r="E951" s="67"/>
      <c r="F951" s="67"/>
      <c r="G951" s="69"/>
      <c r="H951" s="882">
        <f>SUM(H950:H950)</f>
        <v>0</v>
      </c>
      <c r="I951" s="44"/>
    </row>
    <row r="952" spans="3:13" s="59" customFormat="1" ht="22.2" customHeight="1">
      <c r="C952" s="288" t="s">
        <v>1218</v>
      </c>
      <c r="D952" s="76" t="s">
        <v>1219</v>
      </c>
      <c r="E952" s="77"/>
      <c r="F952" s="77"/>
      <c r="G952" s="78"/>
      <c r="H952" s="585">
        <f>H951+H949+H946</f>
        <v>122610</v>
      </c>
      <c r="I952" s="369"/>
    </row>
    <row r="953" spans="3:13" s="59" customFormat="1" ht="22.2" customHeight="1">
      <c r="C953" s="288" t="s">
        <v>1220</v>
      </c>
      <c r="D953" s="76" t="s">
        <v>1321</v>
      </c>
      <c r="E953" s="77"/>
      <c r="F953" s="78"/>
      <c r="G953" s="80">
        <v>0.1</v>
      </c>
      <c r="H953" s="63">
        <f>H952*G953</f>
        <v>12261</v>
      </c>
      <c r="I953" s="369"/>
    </row>
    <row r="954" spans="3:13" s="59" customFormat="1" ht="22.2" customHeight="1">
      <c r="C954" s="288" t="s">
        <v>1221</v>
      </c>
      <c r="D954" s="76" t="s">
        <v>1222</v>
      </c>
      <c r="E954" s="77"/>
      <c r="F954" s="77"/>
      <c r="G954" s="78"/>
      <c r="H954" s="799">
        <f>SUM(H952:H953)</f>
        <v>134871</v>
      </c>
      <c r="I954" s="369"/>
    </row>
    <row r="955" spans="3:13" ht="22.2" customHeight="1"/>
    <row r="956" spans="3:13" s="59" customFormat="1" ht="22.2" customHeight="1">
      <c r="C956" s="46" t="s">
        <v>4861</v>
      </c>
      <c r="D956" s="794" t="s">
        <v>8456</v>
      </c>
      <c r="E956" s="794"/>
      <c r="F956" s="794"/>
      <c r="G956" s="794"/>
      <c r="H956" s="794"/>
      <c r="I956" s="50">
        <f>ROUNDDOWN(H970,-2)</f>
        <v>143600</v>
      </c>
      <c r="J956" s="59" t="s">
        <v>6451</v>
      </c>
      <c r="K956" s="59" t="s">
        <v>8371</v>
      </c>
    </row>
    <row r="957" spans="3:13" s="59" customFormat="1" ht="22.2" customHeight="1">
      <c r="C957" s="591" t="s">
        <v>1195</v>
      </c>
      <c r="D957" s="591" t="s">
        <v>1196</v>
      </c>
      <c r="E957" s="591" t="s">
        <v>1197</v>
      </c>
      <c r="F957" s="591" t="s">
        <v>1198</v>
      </c>
      <c r="G957" s="591" t="s">
        <v>1199</v>
      </c>
      <c r="H957" s="591" t="s">
        <v>1200</v>
      </c>
      <c r="I957" s="44"/>
    </row>
    <row r="958" spans="3:13" s="59" customFormat="1" ht="22.2" customHeight="1">
      <c r="C958" s="61" t="s">
        <v>1201</v>
      </c>
      <c r="D958" s="56" t="s">
        <v>1202</v>
      </c>
      <c r="E958" s="57"/>
      <c r="F958" s="57"/>
      <c r="G958" s="57"/>
      <c r="H958" s="57"/>
      <c r="I958" s="44"/>
      <c r="J958" s="152" t="s">
        <v>1247</v>
      </c>
    </row>
    <row r="959" spans="3:13" s="59" customFormat="1" ht="22.2" customHeight="1">
      <c r="C959" s="588">
        <v>1</v>
      </c>
      <c r="D959" s="56" t="s">
        <v>5</v>
      </c>
      <c r="E959" s="577" t="s">
        <v>6</v>
      </c>
      <c r="F959" s="101">
        <v>0.27500000000000002</v>
      </c>
      <c r="G959" s="63">
        <f>VLOOKUP(D959,upahbahan,3,FALSE)</f>
        <v>100000</v>
      </c>
      <c r="H959" s="63">
        <f>F959*G959</f>
        <v>27500.000000000004</v>
      </c>
      <c r="I959" s="44"/>
      <c r="J959" s="152" t="s">
        <v>1248</v>
      </c>
      <c r="M959" s="65">
        <v>0.1</v>
      </c>
    </row>
    <row r="960" spans="3:13" s="59" customFormat="1" ht="22.2" customHeight="1">
      <c r="C960" s="588">
        <v>2</v>
      </c>
      <c r="D960" s="56" t="s">
        <v>10</v>
      </c>
      <c r="E960" s="577" t="s">
        <v>6</v>
      </c>
      <c r="F960" s="101">
        <v>0.13800000000000001</v>
      </c>
      <c r="G960" s="63">
        <f>VLOOKUP(D960,upahbahan,3,FALSE)</f>
        <v>135000</v>
      </c>
      <c r="H960" s="63">
        <f t="shared" ref="H960:H961" si="108">F960*G960</f>
        <v>18630</v>
      </c>
      <c r="I960" s="44"/>
      <c r="J960" s="152"/>
      <c r="M960" s="65"/>
    </row>
    <row r="961" spans="3:13" s="59" customFormat="1" ht="22.2" customHeight="1">
      <c r="C961" s="588">
        <v>3</v>
      </c>
      <c r="D961" s="56" t="s">
        <v>19</v>
      </c>
      <c r="E961" s="577" t="s">
        <v>6</v>
      </c>
      <c r="F961" s="101">
        <v>2.8000000000000001E-2</v>
      </c>
      <c r="G961" s="63">
        <f>VLOOKUP(D961,upahbahan,3,FALSE)</f>
        <v>160000</v>
      </c>
      <c r="H961" s="63">
        <f t="shared" si="108"/>
        <v>4480</v>
      </c>
      <c r="I961" s="44"/>
    </row>
    <row r="962" spans="3:13" s="59" customFormat="1" ht="22.2" customHeight="1">
      <c r="C962" s="450" t="s">
        <v>1208</v>
      </c>
      <c r="D962" s="67"/>
      <c r="E962" s="67"/>
      <c r="F962" s="142"/>
      <c r="G962" s="153"/>
      <c r="H962" s="63">
        <f>SUM(H959:H961)</f>
        <v>50610</v>
      </c>
      <c r="I962" s="154"/>
    </row>
    <row r="963" spans="3:13" s="59" customFormat="1" ht="22.2" customHeight="1">
      <c r="C963" s="61" t="s">
        <v>1209</v>
      </c>
      <c r="D963" s="56" t="s">
        <v>1210</v>
      </c>
      <c r="E963" s="57"/>
      <c r="F963" s="57"/>
      <c r="G963" s="57"/>
      <c r="H963" s="57"/>
      <c r="I963" s="44"/>
    </row>
    <row r="964" spans="3:13" s="59" customFormat="1" ht="22.2" customHeight="1">
      <c r="C964" s="800">
        <v>1</v>
      </c>
      <c r="D964" s="56" t="s">
        <v>8457</v>
      </c>
      <c r="E964" s="93" t="s">
        <v>1300</v>
      </c>
      <c r="F964" s="104">
        <v>1</v>
      </c>
      <c r="G964" s="63">
        <f>VLOOKUP(D964,upahbahan,3,FALSE)</f>
        <v>80000</v>
      </c>
      <c r="H964" s="63">
        <f t="shared" ref="H964" si="109">F964*G964</f>
        <v>80000</v>
      </c>
      <c r="I964" s="44"/>
    </row>
    <row r="965" spans="3:13" s="59" customFormat="1" ht="22.2" customHeight="1">
      <c r="C965" s="450" t="s">
        <v>1214</v>
      </c>
      <c r="D965" s="67"/>
      <c r="E965" s="67"/>
      <c r="F965" s="67"/>
      <c r="G965" s="69"/>
      <c r="H965" s="63">
        <f>SUM(H963:H964)</f>
        <v>80000</v>
      </c>
      <c r="I965" s="44"/>
    </row>
    <row r="966" spans="3:13" s="59" customFormat="1" ht="22.2" customHeight="1">
      <c r="C966" s="61" t="s">
        <v>1215</v>
      </c>
      <c r="D966" s="56" t="s">
        <v>1216</v>
      </c>
      <c r="E966" s="93"/>
      <c r="F966" s="57"/>
      <c r="G966" s="57"/>
      <c r="H966" s="57"/>
      <c r="I966" s="44"/>
    </row>
    <row r="967" spans="3:13" s="59" customFormat="1" ht="22.2" customHeight="1">
      <c r="C967" s="450" t="s">
        <v>1217</v>
      </c>
      <c r="D967" s="67"/>
      <c r="E967" s="67"/>
      <c r="F967" s="67"/>
      <c r="G967" s="69"/>
      <c r="H967" s="882">
        <f>SUM(H966:H966)</f>
        <v>0</v>
      </c>
      <c r="I967" s="44"/>
    </row>
    <row r="968" spans="3:13" s="59" customFormat="1" ht="22.2" customHeight="1">
      <c r="C968" s="288" t="s">
        <v>1218</v>
      </c>
      <c r="D968" s="76" t="s">
        <v>1219</v>
      </c>
      <c r="E968" s="77"/>
      <c r="F968" s="77"/>
      <c r="G968" s="78"/>
      <c r="H968" s="585">
        <f>H967+H965+H962</f>
        <v>130610</v>
      </c>
      <c r="I968" s="369"/>
    </row>
    <row r="969" spans="3:13" s="59" customFormat="1" ht="22.2" customHeight="1">
      <c r="C969" s="288" t="s">
        <v>1220</v>
      </c>
      <c r="D969" s="76" t="s">
        <v>1321</v>
      </c>
      <c r="E969" s="77"/>
      <c r="F969" s="78"/>
      <c r="G969" s="80">
        <v>0.1</v>
      </c>
      <c r="H969" s="63">
        <f>H968*G969</f>
        <v>13061</v>
      </c>
      <c r="I969" s="369"/>
    </row>
    <row r="970" spans="3:13" s="59" customFormat="1" ht="22.2" customHeight="1">
      <c r="C970" s="288" t="s">
        <v>1221</v>
      </c>
      <c r="D970" s="76" t="s">
        <v>1222</v>
      </c>
      <c r="E970" s="77"/>
      <c r="F970" s="77"/>
      <c r="G970" s="78"/>
      <c r="H970" s="799">
        <f>SUM(H968:H969)</f>
        <v>143671</v>
      </c>
      <c r="I970" s="369"/>
    </row>
    <row r="971" spans="3:13" ht="22.2" customHeight="1"/>
    <row r="972" spans="3:13" s="59" customFormat="1" ht="22.2" customHeight="1">
      <c r="C972" s="46" t="s">
        <v>4863</v>
      </c>
      <c r="D972" s="794" t="s">
        <v>8458</v>
      </c>
      <c r="E972" s="794"/>
      <c r="F972" s="794"/>
      <c r="G972" s="794"/>
      <c r="H972" s="794"/>
      <c r="I972" s="50">
        <f>ROUNDDOWN(H986,-2)</f>
        <v>151300</v>
      </c>
      <c r="J972" s="59" t="s">
        <v>6451</v>
      </c>
      <c r="K972" s="59" t="s">
        <v>8371</v>
      </c>
    </row>
    <row r="973" spans="3:13" s="59" customFormat="1" ht="22.2" customHeight="1">
      <c r="C973" s="591" t="s">
        <v>1195</v>
      </c>
      <c r="D973" s="591" t="s">
        <v>1196</v>
      </c>
      <c r="E973" s="591" t="s">
        <v>1197</v>
      </c>
      <c r="F973" s="591" t="s">
        <v>1198</v>
      </c>
      <c r="G973" s="591" t="s">
        <v>1199</v>
      </c>
      <c r="H973" s="591" t="s">
        <v>1200</v>
      </c>
      <c r="I973" s="44"/>
    </row>
    <row r="974" spans="3:13" s="59" customFormat="1" ht="22.2" customHeight="1">
      <c r="C974" s="61" t="s">
        <v>1201</v>
      </c>
      <c r="D974" s="56" t="s">
        <v>1202</v>
      </c>
      <c r="E974" s="57"/>
      <c r="F974" s="57"/>
      <c r="G974" s="57"/>
      <c r="H974" s="57"/>
      <c r="I974" s="44"/>
      <c r="J974" s="152" t="s">
        <v>1247</v>
      </c>
    </row>
    <row r="975" spans="3:13" s="59" customFormat="1" ht="22.2" customHeight="1">
      <c r="C975" s="588">
        <v>1</v>
      </c>
      <c r="D975" s="56" t="s">
        <v>5</v>
      </c>
      <c r="E975" s="577" t="s">
        <v>6</v>
      </c>
      <c r="F975" s="101">
        <v>0.27500000000000002</v>
      </c>
      <c r="G975" s="63">
        <f>VLOOKUP(D975,upahbahan,3,FALSE)</f>
        <v>100000</v>
      </c>
      <c r="H975" s="63">
        <f>F975*G975</f>
        <v>27500.000000000004</v>
      </c>
      <c r="I975" s="44"/>
      <c r="J975" s="152" t="s">
        <v>1248</v>
      </c>
      <c r="M975" s="65">
        <v>0.1</v>
      </c>
    </row>
    <row r="976" spans="3:13" s="59" customFormat="1" ht="22.2" customHeight="1">
      <c r="C976" s="588">
        <v>2</v>
      </c>
      <c r="D976" s="56" t="s">
        <v>10</v>
      </c>
      <c r="E976" s="577" t="s">
        <v>6</v>
      </c>
      <c r="F976" s="101">
        <v>0.13800000000000001</v>
      </c>
      <c r="G976" s="63">
        <f>VLOOKUP(D976,upahbahan,3,FALSE)</f>
        <v>135000</v>
      </c>
      <c r="H976" s="63">
        <f t="shared" ref="H976:H977" si="110">F976*G976</f>
        <v>18630</v>
      </c>
      <c r="I976" s="44"/>
      <c r="J976" s="152"/>
      <c r="M976" s="65"/>
    </row>
    <row r="977" spans="3:13" s="59" customFormat="1" ht="22.2" customHeight="1">
      <c r="C977" s="588">
        <v>3</v>
      </c>
      <c r="D977" s="56" t="s">
        <v>19</v>
      </c>
      <c r="E977" s="577" t="s">
        <v>6</v>
      </c>
      <c r="F977" s="101">
        <v>2.8000000000000001E-2</v>
      </c>
      <c r="G977" s="63">
        <f>VLOOKUP(D977,upahbahan,3,FALSE)</f>
        <v>160000</v>
      </c>
      <c r="H977" s="63">
        <f t="shared" si="110"/>
        <v>4480</v>
      </c>
      <c r="I977" s="44"/>
    </row>
    <row r="978" spans="3:13" s="59" customFormat="1" ht="22.2" customHeight="1">
      <c r="C978" s="450" t="s">
        <v>1208</v>
      </c>
      <c r="D978" s="67"/>
      <c r="E978" s="67"/>
      <c r="F978" s="142"/>
      <c r="G978" s="153"/>
      <c r="H978" s="63">
        <f>SUM(H975:H977)</f>
        <v>50610</v>
      </c>
      <c r="I978" s="154"/>
    </row>
    <row r="979" spans="3:13" s="59" customFormat="1" ht="22.2" customHeight="1">
      <c r="C979" s="61" t="s">
        <v>1209</v>
      </c>
      <c r="D979" s="56" t="s">
        <v>1210</v>
      </c>
      <c r="E979" s="57"/>
      <c r="F979" s="57"/>
      <c r="G979" s="57"/>
      <c r="H979" s="57"/>
      <c r="I979" s="44"/>
    </row>
    <row r="980" spans="3:13" s="59" customFormat="1" ht="22.2" customHeight="1">
      <c r="C980" s="800">
        <v>1</v>
      </c>
      <c r="D980" s="56" t="s">
        <v>8459</v>
      </c>
      <c r="E980" s="93" t="s">
        <v>1300</v>
      </c>
      <c r="F980" s="104">
        <v>1</v>
      </c>
      <c r="G980" s="63">
        <f>VLOOKUP(D980,upahbahan,3,FALSE)</f>
        <v>87000</v>
      </c>
      <c r="H980" s="63">
        <f t="shared" ref="H980" si="111">F980*G980</f>
        <v>87000</v>
      </c>
      <c r="I980" s="44"/>
    </row>
    <row r="981" spans="3:13" s="59" customFormat="1" ht="22.2" customHeight="1">
      <c r="C981" s="450" t="s">
        <v>1214</v>
      </c>
      <c r="D981" s="67"/>
      <c r="E981" s="67"/>
      <c r="F981" s="67"/>
      <c r="G981" s="69"/>
      <c r="H981" s="63">
        <f>SUM(H979:H980)</f>
        <v>87000</v>
      </c>
      <c r="I981" s="44"/>
    </row>
    <row r="982" spans="3:13" s="59" customFormat="1" ht="22.2" customHeight="1">
      <c r="C982" s="61" t="s">
        <v>1215</v>
      </c>
      <c r="D982" s="56" t="s">
        <v>1216</v>
      </c>
      <c r="E982" s="93"/>
      <c r="F982" s="57"/>
      <c r="G982" s="57"/>
      <c r="H982" s="57"/>
      <c r="I982" s="44"/>
    </row>
    <row r="983" spans="3:13" s="59" customFormat="1" ht="22.2" customHeight="1">
      <c r="C983" s="450" t="s">
        <v>1217</v>
      </c>
      <c r="D983" s="67"/>
      <c r="E983" s="67"/>
      <c r="F983" s="67"/>
      <c r="G983" s="69"/>
      <c r="H983" s="882">
        <f>SUM(H982:H982)</f>
        <v>0</v>
      </c>
      <c r="I983" s="44"/>
    </row>
    <row r="984" spans="3:13" s="59" customFormat="1" ht="22.2" customHeight="1">
      <c r="C984" s="288" t="s">
        <v>1218</v>
      </c>
      <c r="D984" s="76" t="s">
        <v>1219</v>
      </c>
      <c r="E984" s="77"/>
      <c r="F984" s="77"/>
      <c r="G984" s="78"/>
      <c r="H984" s="585">
        <f>H983+H981+H978</f>
        <v>137610</v>
      </c>
      <c r="I984" s="369"/>
    </row>
    <row r="985" spans="3:13" s="59" customFormat="1" ht="22.2" customHeight="1">
      <c r="C985" s="288" t="s">
        <v>1220</v>
      </c>
      <c r="D985" s="76" t="s">
        <v>1321</v>
      </c>
      <c r="E985" s="77"/>
      <c r="F985" s="78"/>
      <c r="G985" s="80">
        <v>0.1</v>
      </c>
      <c r="H985" s="63">
        <f>H984*G985</f>
        <v>13761</v>
      </c>
      <c r="I985" s="369"/>
    </row>
    <row r="986" spans="3:13" s="59" customFormat="1" ht="22.2" customHeight="1">
      <c r="C986" s="288" t="s">
        <v>1221</v>
      </c>
      <c r="D986" s="76" t="s">
        <v>1222</v>
      </c>
      <c r="E986" s="77"/>
      <c r="F986" s="77"/>
      <c r="G986" s="78"/>
      <c r="H986" s="799">
        <f>SUM(H984:H985)</f>
        <v>151371</v>
      </c>
      <c r="I986" s="369"/>
    </row>
    <row r="987" spans="3:13" ht="22.2" customHeight="1"/>
    <row r="988" spans="3:13" s="59" customFormat="1" ht="22.2" customHeight="1">
      <c r="C988" s="46" t="s">
        <v>4865</v>
      </c>
      <c r="D988" s="794" t="s">
        <v>8460</v>
      </c>
      <c r="E988" s="794"/>
      <c r="F988" s="794"/>
      <c r="G988" s="794"/>
      <c r="H988" s="794"/>
      <c r="I988" s="50">
        <f>ROUNDDOWN(H1002,-2)</f>
        <v>173900</v>
      </c>
      <c r="J988" s="59" t="s">
        <v>6451</v>
      </c>
      <c r="K988" s="59" t="s">
        <v>8371</v>
      </c>
    </row>
    <row r="989" spans="3:13" s="59" customFormat="1" ht="22.2" customHeight="1">
      <c r="C989" s="591" t="s">
        <v>1195</v>
      </c>
      <c r="D989" s="591" t="s">
        <v>1196</v>
      </c>
      <c r="E989" s="591" t="s">
        <v>1197</v>
      </c>
      <c r="F989" s="591" t="s">
        <v>1198</v>
      </c>
      <c r="G989" s="591" t="s">
        <v>1199</v>
      </c>
      <c r="H989" s="591" t="s">
        <v>1200</v>
      </c>
      <c r="I989" s="44"/>
    </row>
    <row r="990" spans="3:13" s="59" customFormat="1" ht="22.2" customHeight="1">
      <c r="C990" s="61" t="s">
        <v>1201</v>
      </c>
      <c r="D990" s="56" t="s">
        <v>1202</v>
      </c>
      <c r="E990" s="57"/>
      <c r="F990" s="57"/>
      <c r="G990" s="57"/>
      <c r="H990" s="57"/>
      <c r="I990" s="44"/>
      <c r="J990" s="152" t="s">
        <v>1247</v>
      </c>
    </row>
    <row r="991" spans="3:13" s="59" customFormat="1" ht="22.2" customHeight="1">
      <c r="C991" s="588">
        <v>1</v>
      </c>
      <c r="D991" s="56" t="s">
        <v>5</v>
      </c>
      <c r="E991" s="577" t="s">
        <v>6</v>
      </c>
      <c r="F991" s="101">
        <v>0.34499999999999997</v>
      </c>
      <c r="G991" s="63">
        <f>VLOOKUP(D991,upahbahan,3,FALSE)</f>
        <v>100000</v>
      </c>
      <c r="H991" s="63">
        <f>F991*G991</f>
        <v>34500</v>
      </c>
      <c r="I991" s="44"/>
      <c r="J991" s="152" t="s">
        <v>1248</v>
      </c>
      <c r="M991" s="65">
        <v>0.1</v>
      </c>
    </row>
    <row r="992" spans="3:13" s="59" customFormat="1" ht="22.2" customHeight="1">
      <c r="C992" s="588">
        <v>2</v>
      </c>
      <c r="D992" s="56" t="s">
        <v>10</v>
      </c>
      <c r="E992" s="577" t="s">
        <v>6</v>
      </c>
      <c r="F992" s="101">
        <v>0.17199999999999999</v>
      </c>
      <c r="G992" s="63">
        <f>VLOOKUP(D992,upahbahan,3,FALSE)</f>
        <v>135000</v>
      </c>
      <c r="H992" s="63">
        <f t="shared" ref="H992:H993" si="112">F992*G992</f>
        <v>23219.999999999996</v>
      </c>
      <c r="I992" s="44"/>
      <c r="J992" s="152"/>
      <c r="M992" s="65"/>
    </row>
    <row r="993" spans="3:13" s="59" customFormat="1" ht="22.2" customHeight="1">
      <c r="C993" s="588">
        <v>3</v>
      </c>
      <c r="D993" s="56" t="s">
        <v>19</v>
      </c>
      <c r="E993" s="577" t="s">
        <v>6</v>
      </c>
      <c r="F993" s="101">
        <v>3.4000000000000002E-2</v>
      </c>
      <c r="G993" s="63">
        <f>VLOOKUP(D993,upahbahan,3,FALSE)</f>
        <v>160000</v>
      </c>
      <c r="H993" s="63">
        <f t="shared" si="112"/>
        <v>5440</v>
      </c>
      <c r="I993" s="44"/>
    </row>
    <row r="994" spans="3:13" s="59" customFormat="1" ht="22.2" customHeight="1">
      <c r="C994" s="450" t="s">
        <v>1208</v>
      </c>
      <c r="D994" s="67"/>
      <c r="E994" s="67"/>
      <c r="F994" s="142"/>
      <c r="G994" s="153"/>
      <c r="H994" s="63">
        <f>SUM(H991:H993)</f>
        <v>63160</v>
      </c>
      <c r="I994" s="154"/>
    </row>
    <row r="995" spans="3:13" s="59" customFormat="1" ht="22.2" customHeight="1">
      <c r="C995" s="61" t="s">
        <v>1209</v>
      </c>
      <c r="D995" s="56" t="s">
        <v>1210</v>
      </c>
      <c r="E995" s="57"/>
      <c r="F995" s="57"/>
      <c r="G995" s="57"/>
      <c r="H995" s="57"/>
      <c r="I995" s="44"/>
    </row>
    <row r="996" spans="3:13" s="59" customFormat="1" ht="22.2" customHeight="1">
      <c r="C996" s="800">
        <v>1</v>
      </c>
      <c r="D996" s="56" t="s">
        <v>8461</v>
      </c>
      <c r="E996" s="93" t="s">
        <v>1300</v>
      </c>
      <c r="F996" s="104">
        <v>1</v>
      </c>
      <c r="G996" s="63">
        <f>VLOOKUP(D996,upahbahan,3,FALSE)</f>
        <v>95000</v>
      </c>
      <c r="H996" s="63">
        <f t="shared" ref="H996" si="113">F996*G996</f>
        <v>95000</v>
      </c>
      <c r="I996" s="44"/>
    </row>
    <row r="997" spans="3:13" s="59" customFormat="1" ht="22.2" customHeight="1">
      <c r="C997" s="450" t="s">
        <v>1214</v>
      </c>
      <c r="D997" s="67"/>
      <c r="E997" s="67"/>
      <c r="F997" s="67"/>
      <c r="G997" s="69"/>
      <c r="H997" s="63">
        <f>SUM(H995:H996)</f>
        <v>95000</v>
      </c>
      <c r="I997" s="44"/>
    </row>
    <row r="998" spans="3:13" s="59" customFormat="1" ht="22.2" customHeight="1">
      <c r="C998" s="61" t="s">
        <v>1215</v>
      </c>
      <c r="D998" s="56" t="s">
        <v>1216</v>
      </c>
      <c r="E998" s="93"/>
      <c r="F998" s="57"/>
      <c r="G998" s="57"/>
      <c r="H998" s="57"/>
      <c r="I998" s="44"/>
    </row>
    <row r="999" spans="3:13" s="59" customFormat="1" ht="22.2" customHeight="1">
      <c r="C999" s="450" t="s">
        <v>1217</v>
      </c>
      <c r="D999" s="67"/>
      <c r="E999" s="67"/>
      <c r="F999" s="67"/>
      <c r="G999" s="69"/>
      <c r="H999" s="882">
        <f>SUM(H998:H998)</f>
        <v>0</v>
      </c>
      <c r="I999" s="44"/>
    </row>
    <row r="1000" spans="3:13" s="59" customFormat="1" ht="22.2" customHeight="1">
      <c r="C1000" s="288" t="s">
        <v>1218</v>
      </c>
      <c r="D1000" s="76" t="s">
        <v>1219</v>
      </c>
      <c r="E1000" s="77"/>
      <c r="F1000" s="77"/>
      <c r="G1000" s="78"/>
      <c r="H1000" s="585">
        <f>H999+H997+H994</f>
        <v>158160</v>
      </c>
      <c r="I1000" s="369"/>
    </row>
    <row r="1001" spans="3:13" s="59" customFormat="1" ht="22.2" customHeight="1">
      <c r="C1001" s="288" t="s">
        <v>1220</v>
      </c>
      <c r="D1001" s="76" t="s">
        <v>1321</v>
      </c>
      <c r="E1001" s="77"/>
      <c r="F1001" s="78"/>
      <c r="G1001" s="80">
        <v>0.1</v>
      </c>
      <c r="H1001" s="63">
        <f>H1000*G1001</f>
        <v>15816</v>
      </c>
      <c r="I1001" s="369"/>
    </row>
    <row r="1002" spans="3:13" s="59" customFormat="1" ht="22.2" customHeight="1">
      <c r="C1002" s="288" t="s">
        <v>1221</v>
      </c>
      <c r="D1002" s="76" t="s">
        <v>1222</v>
      </c>
      <c r="E1002" s="77"/>
      <c r="F1002" s="77"/>
      <c r="G1002" s="78"/>
      <c r="H1002" s="799">
        <f>SUM(H1000:H1001)</f>
        <v>173976</v>
      </c>
      <c r="I1002" s="369"/>
    </row>
    <row r="1003" spans="3:13" ht="22.2" customHeight="1"/>
    <row r="1004" spans="3:13" ht="22.2" customHeight="1">
      <c r="C1004" s="43" t="s">
        <v>4867</v>
      </c>
      <c r="D1004" s="128" t="s">
        <v>4868</v>
      </c>
    </row>
    <row r="1005" spans="3:13" s="59" customFormat="1" ht="22.2" customHeight="1">
      <c r="C1005" s="46" t="s">
        <v>4869</v>
      </c>
      <c r="D1005" s="794" t="s">
        <v>8462</v>
      </c>
      <c r="E1005" s="794"/>
      <c r="F1005" s="794"/>
      <c r="G1005" s="794"/>
      <c r="H1005" s="794"/>
      <c r="I1005" s="50">
        <f>ROUNDDOWN(H1019,-2)</f>
        <v>4200</v>
      </c>
      <c r="J1005" s="59" t="s">
        <v>6451</v>
      </c>
      <c r="K1005" s="59" t="s">
        <v>8371</v>
      </c>
    </row>
    <row r="1006" spans="3:13" s="59" customFormat="1" ht="22.2" customHeight="1">
      <c r="C1006" s="591" t="s">
        <v>1195</v>
      </c>
      <c r="D1006" s="591" t="s">
        <v>1196</v>
      </c>
      <c r="E1006" s="591" t="s">
        <v>1197</v>
      </c>
      <c r="F1006" s="591" t="s">
        <v>1198</v>
      </c>
      <c r="G1006" s="591" t="s">
        <v>1199</v>
      </c>
      <c r="H1006" s="591" t="s">
        <v>1200</v>
      </c>
      <c r="I1006" s="44"/>
    </row>
    <row r="1007" spans="3:13" s="59" customFormat="1" ht="22.2" customHeight="1">
      <c r="C1007" s="61" t="s">
        <v>1201</v>
      </c>
      <c r="D1007" s="56" t="s">
        <v>1202</v>
      </c>
      <c r="E1007" s="57"/>
      <c r="F1007" s="57"/>
      <c r="G1007" s="57"/>
      <c r="H1007" s="57"/>
      <c r="I1007" s="44"/>
      <c r="J1007" s="152" t="s">
        <v>1247</v>
      </c>
    </row>
    <row r="1008" spans="3:13" s="59" customFormat="1" ht="22.2" customHeight="1">
      <c r="C1008" s="588">
        <v>1</v>
      </c>
      <c r="D1008" s="56" t="s">
        <v>5</v>
      </c>
      <c r="E1008" s="577" t="s">
        <v>6</v>
      </c>
      <c r="F1008" s="101">
        <v>1.9E-2</v>
      </c>
      <c r="G1008" s="63">
        <f>VLOOKUP(D1008,upahbahan,3,FALSE)</f>
        <v>100000</v>
      </c>
      <c r="H1008" s="63">
        <f>F1008*G1008</f>
        <v>1900</v>
      </c>
      <c r="I1008" s="44"/>
      <c r="J1008" s="152" t="s">
        <v>1248</v>
      </c>
      <c r="M1008" s="65">
        <v>0.1</v>
      </c>
    </row>
    <row r="1009" spans="3:13" s="59" customFormat="1" ht="22.2" customHeight="1">
      <c r="C1009" s="588">
        <v>2</v>
      </c>
      <c r="D1009" s="56" t="s">
        <v>10</v>
      </c>
      <c r="E1009" s="577" t="s">
        <v>6</v>
      </c>
      <c r="F1009" s="101">
        <v>0.01</v>
      </c>
      <c r="G1009" s="63">
        <f>VLOOKUP(D1009,upahbahan,3,FALSE)</f>
        <v>135000</v>
      </c>
      <c r="H1009" s="63">
        <f t="shared" ref="H1009:H1010" si="114">F1009*G1009</f>
        <v>1350</v>
      </c>
      <c r="I1009" s="44"/>
      <c r="J1009" s="152"/>
      <c r="M1009" s="65"/>
    </row>
    <row r="1010" spans="3:13" s="59" customFormat="1" ht="22.2" customHeight="1">
      <c r="C1010" s="588">
        <v>3</v>
      </c>
      <c r="D1010" s="56" t="s">
        <v>19</v>
      </c>
      <c r="E1010" s="577" t="s">
        <v>6</v>
      </c>
      <c r="F1010" s="101">
        <v>2E-3</v>
      </c>
      <c r="G1010" s="63">
        <f>VLOOKUP(D1010,upahbahan,3,FALSE)</f>
        <v>160000</v>
      </c>
      <c r="H1010" s="63">
        <f t="shared" si="114"/>
        <v>320</v>
      </c>
      <c r="I1010" s="44"/>
    </row>
    <row r="1011" spans="3:13" s="59" customFormat="1" ht="22.2" customHeight="1">
      <c r="C1011" s="450" t="s">
        <v>1208</v>
      </c>
      <c r="D1011" s="67"/>
      <c r="E1011" s="67"/>
      <c r="F1011" s="142"/>
      <c r="G1011" s="153"/>
      <c r="H1011" s="63">
        <f>SUM(H1008:H1010)</f>
        <v>3570</v>
      </c>
      <c r="I1011" s="154"/>
    </row>
    <row r="1012" spans="3:13" s="59" customFormat="1" ht="22.2" customHeight="1">
      <c r="C1012" s="61" t="s">
        <v>1209</v>
      </c>
      <c r="D1012" s="56" t="s">
        <v>1210</v>
      </c>
      <c r="E1012" s="57"/>
      <c r="F1012" s="57"/>
      <c r="G1012" s="57"/>
      <c r="H1012" s="57"/>
      <c r="I1012" s="44"/>
    </row>
    <row r="1013" spans="3:13" s="59" customFormat="1" ht="22.2" customHeight="1">
      <c r="C1013" s="450" t="s">
        <v>1214</v>
      </c>
      <c r="D1013" s="67"/>
      <c r="E1013" s="67"/>
      <c r="F1013" s="67"/>
      <c r="G1013" s="69"/>
      <c r="H1013" s="63">
        <f>SUM(H1012:H1012)</f>
        <v>0</v>
      </c>
      <c r="I1013" s="44"/>
    </row>
    <row r="1014" spans="3:13" s="59" customFormat="1" ht="22.2" customHeight="1">
      <c r="C1014" s="61" t="s">
        <v>1215</v>
      </c>
      <c r="D1014" s="56" t="s">
        <v>1216</v>
      </c>
      <c r="E1014" s="93"/>
      <c r="F1014" s="57"/>
      <c r="G1014" s="57"/>
      <c r="H1014" s="57"/>
      <c r="I1014" s="44"/>
    </row>
    <row r="1015" spans="3:13" s="59" customFormat="1" ht="22.2" customHeight="1">
      <c r="C1015" s="800">
        <v>1</v>
      </c>
      <c r="D1015" s="56" t="s">
        <v>8463</v>
      </c>
      <c r="E1015" s="93" t="s">
        <v>4414</v>
      </c>
      <c r="F1015" s="94">
        <v>4.0000000000000001E-3</v>
      </c>
      <c r="G1015" s="63">
        <f>VLOOKUP(D1015,upahbahan,3,FALSE)</f>
        <v>75000</v>
      </c>
      <c r="H1015" s="63">
        <f t="shared" ref="H1015" si="115">F1015*G1015</f>
        <v>300</v>
      </c>
      <c r="I1015" s="44"/>
    </row>
    <row r="1016" spans="3:13" s="59" customFormat="1" ht="22.2" customHeight="1">
      <c r="C1016" s="450" t="s">
        <v>1217</v>
      </c>
      <c r="D1016" s="67"/>
      <c r="E1016" s="67"/>
      <c r="F1016" s="67"/>
      <c r="G1016" s="69"/>
      <c r="H1016" s="882">
        <f>SUM(H1014:H1015)</f>
        <v>300</v>
      </c>
      <c r="I1016" s="44"/>
    </row>
    <row r="1017" spans="3:13" s="59" customFormat="1" ht="22.2" customHeight="1">
      <c r="C1017" s="288" t="s">
        <v>1218</v>
      </c>
      <c r="D1017" s="76" t="s">
        <v>1219</v>
      </c>
      <c r="E1017" s="77"/>
      <c r="F1017" s="77"/>
      <c r="G1017" s="78"/>
      <c r="H1017" s="585">
        <f>H1016+H1013+H1011</f>
        <v>3870</v>
      </c>
      <c r="I1017" s="369"/>
    </row>
    <row r="1018" spans="3:13" s="59" customFormat="1" ht="22.2" customHeight="1">
      <c r="C1018" s="288" t="s">
        <v>1220</v>
      </c>
      <c r="D1018" s="76" t="s">
        <v>1321</v>
      </c>
      <c r="E1018" s="77"/>
      <c r="F1018" s="78"/>
      <c r="G1018" s="80">
        <v>0.1</v>
      </c>
      <c r="H1018" s="63">
        <f>H1017*G1018</f>
        <v>387</v>
      </c>
      <c r="I1018" s="369"/>
    </row>
    <row r="1019" spans="3:13" s="59" customFormat="1" ht="22.2" customHeight="1">
      <c r="C1019" s="288" t="s">
        <v>1221</v>
      </c>
      <c r="D1019" s="76" t="s">
        <v>1222</v>
      </c>
      <c r="E1019" s="77"/>
      <c r="F1019" s="77"/>
      <c r="G1019" s="78"/>
      <c r="H1019" s="799">
        <f>SUM(H1017:H1018)</f>
        <v>4257</v>
      </c>
      <c r="I1019" s="369"/>
    </row>
    <row r="1020" spans="3:13" ht="22.2" customHeight="1"/>
    <row r="1021" spans="3:13" s="59" customFormat="1" ht="22.2" customHeight="1">
      <c r="C1021" s="46" t="s">
        <v>4871</v>
      </c>
      <c r="D1021" s="794" t="s">
        <v>8464</v>
      </c>
      <c r="E1021" s="794"/>
      <c r="F1021" s="794"/>
      <c r="G1021" s="794"/>
      <c r="H1021" s="794"/>
      <c r="I1021" s="50">
        <f>ROUNDDOWN(H1035,-2)</f>
        <v>12100</v>
      </c>
      <c r="J1021" s="59" t="s">
        <v>6451</v>
      </c>
      <c r="K1021" s="59" t="s">
        <v>8371</v>
      </c>
    </row>
    <row r="1022" spans="3:13" s="59" customFormat="1" ht="22.2" customHeight="1">
      <c r="C1022" s="591" t="s">
        <v>1195</v>
      </c>
      <c r="D1022" s="591" t="s">
        <v>1196</v>
      </c>
      <c r="E1022" s="591" t="s">
        <v>1197</v>
      </c>
      <c r="F1022" s="591" t="s">
        <v>1198</v>
      </c>
      <c r="G1022" s="591" t="s">
        <v>1199</v>
      </c>
      <c r="H1022" s="591" t="s">
        <v>1200</v>
      </c>
      <c r="I1022" s="44"/>
    </row>
    <row r="1023" spans="3:13" s="59" customFormat="1" ht="22.2" customHeight="1">
      <c r="C1023" s="61" t="s">
        <v>1201</v>
      </c>
      <c r="D1023" s="56" t="s">
        <v>1202</v>
      </c>
      <c r="E1023" s="57"/>
      <c r="F1023" s="57"/>
      <c r="G1023" s="57"/>
      <c r="H1023" s="57"/>
      <c r="I1023" s="44"/>
      <c r="J1023" s="152" t="s">
        <v>1247</v>
      </c>
    </row>
    <row r="1024" spans="3:13" s="59" customFormat="1" ht="22.2" customHeight="1">
      <c r="C1024" s="588">
        <v>1</v>
      </c>
      <c r="D1024" s="56" t="s">
        <v>5</v>
      </c>
      <c r="E1024" s="577" t="s">
        <v>6</v>
      </c>
      <c r="F1024" s="101">
        <v>5.8000000000000003E-2</v>
      </c>
      <c r="G1024" s="63">
        <f>VLOOKUP(D1024,upahbahan,3,FALSE)</f>
        <v>100000</v>
      </c>
      <c r="H1024" s="63">
        <f>F1024*G1024</f>
        <v>5800</v>
      </c>
      <c r="I1024" s="44"/>
      <c r="J1024" s="152" t="s">
        <v>1248</v>
      </c>
      <c r="M1024" s="65">
        <v>0.1</v>
      </c>
    </row>
    <row r="1025" spans="3:13" s="59" customFormat="1" ht="22.2" customHeight="1">
      <c r="C1025" s="588">
        <v>2</v>
      </c>
      <c r="D1025" s="56" t="s">
        <v>10</v>
      </c>
      <c r="E1025" s="577" t="s">
        <v>6</v>
      </c>
      <c r="F1025" s="101">
        <v>2.9000000000000001E-2</v>
      </c>
      <c r="G1025" s="63">
        <f>VLOOKUP(D1025,upahbahan,3,FALSE)</f>
        <v>135000</v>
      </c>
      <c r="H1025" s="63">
        <f t="shared" ref="H1025:H1026" si="116">F1025*G1025</f>
        <v>3915</v>
      </c>
      <c r="I1025" s="44"/>
      <c r="J1025" s="152"/>
      <c r="M1025" s="65"/>
    </row>
    <row r="1026" spans="3:13" s="59" customFormat="1" ht="22.2" customHeight="1">
      <c r="C1026" s="588">
        <v>3</v>
      </c>
      <c r="D1026" s="56" t="s">
        <v>19</v>
      </c>
      <c r="E1026" s="577" t="s">
        <v>6</v>
      </c>
      <c r="F1026" s="101">
        <v>6.0000000000000001E-3</v>
      </c>
      <c r="G1026" s="63">
        <f>VLOOKUP(D1026,upahbahan,3,FALSE)</f>
        <v>160000</v>
      </c>
      <c r="H1026" s="63">
        <f t="shared" si="116"/>
        <v>960</v>
      </c>
      <c r="I1026" s="44"/>
    </row>
    <row r="1027" spans="3:13" s="59" customFormat="1" ht="22.2" customHeight="1">
      <c r="C1027" s="450" t="s">
        <v>1208</v>
      </c>
      <c r="D1027" s="67"/>
      <c r="E1027" s="67"/>
      <c r="F1027" s="142"/>
      <c r="G1027" s="153"/>
      <c r="H1027" s="63">
        <f>SUM(H1024:H1026)</f>
        <v>10675</v>
      </c>
      <c r="I1027" s="154"/>
    </row>
    <row r="1028" spans="3:13" s="59" customFormat="1" ht="22.2" customHeight="1">
      <c r="C1028" s="61" t="s">
        <v>1209</v>
      </c>
      <c r="D1028" s="56" t="s">
        <v>1210</v>
      </c>
      <c r="E1028" s="57"/>
      <c r="F1028" s="57"/>
      <c r="G1028" s="57"/>
      <c r="H1028" s="57"/>
      <c r="I1028" s="44"/>
    </row>
    <row r="1029" spans="3:13" s="59" customFormat="1" ht="22.2" customHeight="1">
      <c r="C1029" s="450" t="s">
        <v>1214</v>
      </c>
      <c r="D1029" s="67"/>
      <c r="E1029" s="67"/>
      <c r="F1029" s="67"/>
      <c r="G1029" s="69"/>
      <c r="H1029" s="63">
        <f>SUM(H1028:H1028)</f>
        <v>0</v>
      </c>
      <c r="I1029" s="44"/>
    </row>
    <row r="1030" spans="3:13" s="59" customFormat="1" ht="22.2" customHeight="1">
      <c r="C1030" s="61" t="s">
        <v>1215</v>
      </c>
      <c r="D1030" s="56" t="s">
        <v>1216</v>
      </c>
      <c r="E1030" s="93"/>
      <c r="F1030" s="57"/>
      <c r="G1030" s="57"/>
      <c r="H1030" s="57"/>
      <c r="I1030" s="44"/>
    </row>
    <row r="1031" spans="3:13" s="59" customFormat="1" ht="22.2" customHeight="1">
      <c r="C1031" s="800">
        <v>1</v>
      </c>
      <c r="D1031" s="56" t="s">
        <v>8463</v>
      </c>
      <c r="E1031" s="93" t="s">
        <v>4414</v>
      </c>
      <c r="F1031" s="94">
        <v>5.0000000000000001E-3</v>
      </c>
      <c r="G1031" s="63">
        <f>VLOOKUP(D1031,upahbahan,3,FALSE)</f>
        <v>75000</v>
      </c>
      <c r="H1031" s="63">
        <f t="shared" ref="H1031" si="117">F1031*G1031</f>
        <v>375</v>
      </c>
      <c r="I1031" s="44"/>
    </row>
    <row r="1032" spans="3:13" s="59" customFormat="1" ht="22.2" customHeight="1">
      <c r="C1032" s="450" t="s">
        <v>1217</v>
      </c>
      <c r="D1032" s="67"/>
      <c r="E1032" s="67"/>
      <c r="F1032" s="67"/>
      <c r="G1032" s="69"/>
      <c r="H1032" s="882">
        <f>SUM(H1030:H1031)</f>
        <v>375</v>
      </c>
      <c r="I1032" s="44"/>
    </row>
    <row r="1033" spans="3:13" s="59" customFormat="1" ht="22.2" customHeight="1">
      <c r="C1033" s="288" t="s">
        <v>1218</v>
      </c>
      <c r="D1033" s="76" t="s">
        <v>1219</v>
      </c>
      <c r="E1033" s="77"/>
      <c r="F1033" s="77"/>
      <c r="G1033" s="78"/>
      <c r="H1033" s="585">
        <f>H1032+H1029+H1027</f>
        <v>11050</v>
      </c>
      <c r="I1033" s="369"/>
    </row>
    <row r="1034" spans="3:13" s="59" customFormat="1" ht="22.2" customHeight="1">
      <c r="C1034" s="288" t="s">
        <v>1220</v>
      </c>
      <c r="D1034" s="76" t="s">
        <v>1321</v>
      </c>
      <c r="E1034" s="77"/>
      <c r="F1034" s="78"/>
      <c r="G1034" s="80">
        <v>0.1</v>
      </c>
      <c r="H1034" s="63">
        <f>H1033*G1034</f>
        <v>1105</v>
      </c>
      <c r="I1034" s="369"/>
    </row>
    <row r="1035" spans="3:13" s="59" customFormat="1" ht="22.2" customHeight="1">
      <c r="C1035" s="288" t="s">
        <v>1221</v>
      </c>
      <c r="D1035" s="76" t="s">
        <v>1222</v>
      </c>
      <c r="E1035" s="77"/>
      <c r="F1035" s="77"/>
      <c r="G1035" s="78"/>
      <c r="H1035" s="799">
        <f>SUM(H1033:H1034)</f>
        <v>12155</v>
      </c>
      <c r="I1035" s="369"/>
    </row>
    <row r="1036" spans="3:13" ht="22.2" customHeight="1"/>
    <row r="1037" spans="3:13" s="59" customFormat="1" ht="22.2" customHeight="1">
      <c r="C1037" s="46" t="s">
        <v>4872</v>
      </c>
      <c r="D1037" s="794" t="s">
        <v>8465</v>
      </c>
      <c r="E1037" s="794"/>
      <c r="F1037" s="794"/>
      <c r="G1037" s="794"/>
      <c r="H1037" s="794"/>
      <c r="I1037" s="50">
        <f>ROUNDDOWN(H1051,-2)</f>
        <v>19000</v>
      </c>
      <c r="J1037" s="59" t="s">
        <v>6451</v>
      </c>
      <c r="K1037" s="59" t="s">
        <v>8371</v>
      </c>
    </row>
    <row r="1038" spans="3:13" s="59" customFormat="1" ht="22.2" customHeight="1">
      <c r="C1038" s="591" t="s">
        <v>1195</v>
      </c>
      <c r="D1038" s="591" t="s">
        <v>1196</v>
      </c>
      <c r="E1038" s="591" t="s">
        <v>1197</v>
      </c>
      <c r="F1038" s="591" t="s">
        <v>1198</v>
      </c>
      <c r="G1038" s="591" t="s">
        <v>1199</v>
      </c>
      <c r="H1038" s="591" t="s">
        <v>1200</v>
      </c>
      <c r="I1038" s="44"/>
    </row>
    <row r="1039" spans="3:13" s="59" customFormat="1" ht="22.2" customHeight="1">
      <c r="C1039" s="61" t="s">
        <v>1201</v>
      </c>
      <c r="D1039" s="56" t="s">
        <v>1202</v>
      </c>
      <c r="E1039" s="57"/>
      <c r="F1039" s="57"/>
      <c r="G1039" s="57"/>
      <c r="H1039" s="57"/>
      <c r="I1039" s="44"/>
      <c r="J1039" s="152" t="s">
        <v>1247</v>
      </c>
    </row>
    <row r="1040" spans="3:13" s="59" customFormat="1" ht="22.2" customHeight="1">
      <c r="C1040" s="588">
        <v>1</v>
      </c>
      <c r="D1040" s="56" t="s">
        <v>5</v>
      </c>
      <c r="E1040" s="577" t="s">
        <v>6</v>
      </c>
      <c r="F1040" s="101">
        <v>9.1999999999999998E-2</v>
      </c>
      <c r="G1040" s="63">
        <f>VLOOKUP(D1040,upahbahan,3,FALSE)</f>
        <v>100000</v>
      </c>
      <c r="H1040" s="63">
        <f>F1040*G1040</f>
        <v>9200</v>
      </c>
      <c r="I1040" s="44"/>
      <c r="J1040" s="152" t="s">
        <v>1248</v>
      </c>
      <c r="M1040" s="65">
        <v>0.1</v>
      </c>
    </row>
    <row r="1041" spans="3:13" s="59" customFormat="1" ht="22.2" customHeight="1">
      <c r="C1041" s="588">
        <v>2</v>
      </c>
      <c r="D1041" s="56" t="s">
        <v>10</v>
      </c>
      <c r="E1041" s="577" t="s">
        <v>6</v>
      </c>
      <c r="F1041" s="101">
        <v>4.5999999999999999E-2</v>
      </c>
      <c r="G1041" s="63">
        <f>VLOOKUP(D1041,upahbahan,3,FALSE)</f>
        <v>135000</v>
      </c>
      <c r="H1041" s="63">
        <f t="shared" ref="H1041:H1042" si="118">F1041*G1041</f>
        <v>6210</v>
      </c>
      <c r="I1041" s="44"/>
      <c r="J1041" s="152"/>
      <c r="M1041" s="65"/>
    </row>
    <row r="1042" spans="3:13" s="59" customFormat="1" ht="22.2" customHeight="1">
      <c r="C1042" s="588">
        <v>3</v>
      </c>
      <c r="D1042" s="56" t="s">
        <v>19</v>
      </c>
      <c r="E1042" s="577" t="s">
        <v>6</v>
      </c>
      <c r="F1042" s="101">
        <v>8.9999999999999993E-3</v>
      </c>
      <c r="G1042" s="63">
        <f>VLOOKUP(D1042,upahbahan,3,FALSE)</f>
        <v>160000</v>
      </c>
      <c r="H1042" s="63">
        <f t="shared" si="118"/>
        <v>1440</v>
      </c>
      <c r="I1042" s="44"/>
    </row>
    <row r="1043" spans="3:13" s="59" customFormat="1" ht="22.2" customHeight="1">
      <c r="C1043" s="450" t="s">
        <v>1208</v>
      </c>
      <c r="D1043" s="67"/>
      <c r="E1043" s="67"/>
      <c r="F1043" s="142"/>
      <c r="G1043" s="153"/>
      <c r="H1043" s="63">
        <f>SUM(H1040:H1042)</f>
        <v>16850</v>
      </c>
      <c r="I1043" s="154"/>
    </row>
    <row r="1044" spans="3:13" s="59" customFormat="1" ht="22.2" customHeight="1">
      <c r="C1044" s="61" t="s">
        <v>1209</v>
      </c>
      <c r="D1044" s="56" t="s">
        <v>1210</v>
      </c>
      <c r="E1044" s="57"/>
      <c r="F1044" s="57"/>
      <c r="G1044" s="57"/>
      <c r="H1044" s="57"/>
      <c r="I1044" s="44"/>
    </row>
    <row r="1045" spans="3:13" s="59" customFormat="1" ht="22.2" customHeight="1">
      <c r="C1045" s="450" t="s">
        <v>1214</v>
      </c>
      <c r="D1045" s="67"/>
      <c r="E1045" s="67"/>
      <c r="F1045" s="67"/>
      <c r="G1045" s="69"/>
      <c r="H1045" s="63">
        <f>SUM(H1044:H1044)</f>
        <v>0</v>
      </c>
      <c r="I1045" s="44"/>
    </row>
    <row r="1046" spans="3:13" s="59" customFormat="1" ht="22.2" customHeight="1">
      <c r="C1046" s="61" t="s">
        <v>1215</v>
      </c>
      <c r="D1046" s="56" t="s">
        <v>1216</v>
      </c>
      <c r="E1046" s="93"/>
      <c r="F1046" s="57"/>
      <c r="G1046" s="57"/>
      <c r="H1046" s="57"/>
      <c r="I1046" s="44"/>
    </row>
    <row r="1047" spans="3:13" s="59" customFormat="1" ht="22.2" customHeight="1">
      <c r="C1047" s="800">
        <v>1</v>
      </c>
      <c r="D1047" s="56" t="s">
        <v>8463</v>
      </c>
      <c r="E1047" s="93" t="s">
        <v>4414</v>
      </c>
      <c r="F1047" s="94">
        <v>6.0000000000000001E-3</v>
      </c>
      <c r="G1047" s="63">
        <f>VLOOKUP(D1047,upahbahan,3,FALSE)</f>
        <v>75000</v>
      </c>
      <c r="H1047" s="63">
        <f t="shared" ref="H1047" si="119">F1047*G1047</f>
        <v>450</v>
      </c>
      <c r="I1047" s="44"/>
    </row>
    <row r="1048" spans="3:13" s="59" customFormat="1" ht="22.2" customHeight="1">
      <c r="C1048" s="450" t="s">
        <v>1217</v>
      </c>
      <c r="D1048" s="67"/>
      <c r="E1048" s="67"/>
      <c r="F1048" s="67"/>
      <c r="G1048" s="69"/>
      <c r="H1048" s="882">
        <f>SUM(H1046:H1047)</f>
        <v>450</v>
      </c>
      <c r="I1048" s="44"/>
    </row>
    <row r="1049" spans="3:13" s="59" customFormat="1" ht="22.2" customHeight="1">
      <c r="C1049" s="288" t="s">
        <v>1218</v>
      </c>
      <c r="D1049" s="76" t="s">
        <v>1219</v>
      </c>
      <c r="E1049" s="77"/>
      <c r="F1049" s="77"/>
      <c r="G1049" s="78"/>
      <c r="H1049" s="585">
        <f>H1048+H1045+H1043</f>
        <v>17300</v>
      </c>
      <c r="I1049" s="369"/>
    </row>
    <row r="1050" spans="3:13" s="59" customFormat="1" ht="22.2" customHeight="1">
      <c r="C1050" s="288" t="s">
        <v>1220</v>
      </c>
      <c r="D1050" s="76" t="s">
        <v>1321</v>
      </c>
      <c r="E1050" s="77"/>
      <c r="F1050" s="78"/>
      <c r="G1050" s="80">
        <v>0.1</v>
      </c>
      <c r="H1050" s="63">
        <f>H1049*G1050</f>
        <v>1730</v>
      </c>
      <c r="I1050" s="369"/>
    </row>
    <row r="1051" spans="3:13" s="59" customFormat="1" ht="22.2" customHeight="1">
      <c r="C1051" s="288" t="s">
        <v>1221</v>
      </c>
      <c r="D1051" s="76" t="s">
        <v>1222</v>
      </c>
      <c r="E1051" s="77"/>
      <c r="F1051" s="77"/>
      <c r="G1051" s="78"/>
      <c r="H1051" s="799">
        <f>SUM(H1049:H1050)</f>
        <v>19030</v>
      </c>
      <c r="I1051" s="369"/>
    </row>
    <row r="1052" spans="3:13" ht="22.2" customHeight="1"/>
    <row r="1053" spans="3:13" s="59" customFormat="1" ht="22.2" customHeight="1">
      <c r="C1053" s="46" t="s">
        <v>4873</v>
      </c>
      <c r="D1053" s="794" t="s">
        <v>8466</v>
      </c>
      <c r="E1053" s="794"/>
      <c r="F1053" s="794"/>
      <c r="G1053" s="794"/>
      <c r="H1053" s="794"/>
      <c r="I1053" s="50">
        <f>ROUNDDOWN(H1067,-2)</f>
        <v>27200</v>
      </c>
      <c r="J1053" s="59" t="s">
        <v>6451</v>
      </c>
      <c r="K1053" s="59" t="s">
        <v>8371</v>
      </c>
    </row>
    <row r="1054" spans="3:13" s="59" customFormat="1" ht="22.2" customHeight="1">
      <c r="C1054" s="591" t="s">
        <v>1195</v>
      </c>
      <c r="D1054" s="591" t="s">
        <v>1196</v>
      </c>
      <c r="E1054" s="591" t="s">
        <v>1197</v>
      </c>
      <c r="F1054" s="591" t="s">
        <v>1198</v>
      </c>
      <c r="G1054" s="591" t="s">
        <v>1199</v>
      </c>
      <c r="H1054" s="591" t="s">
        <v>1200</v>
      </c>
      <c r="I1054" s="44"/>
    </row>
    <row r="1055" spans="3:13" s="59" customFormat="1" ht="22.2" customHeight="1">
      <c r="C1055" s="61" t="s">
        <v>1201</v>
      </c>
      <c r="D1055" s="56" t="s">
        <v>1202</v>
      </c>
      <c r="E1055" s="57"/>
      <c r="F1055" s="57"/>
      <c r="G1055" s="57"/>
      <c r="H1055" s="57"/>
      <c r="I1055" s="44"/>
      <c r="J1055" s="152" t="s">
        <v>1247</v>
      </c>
    </row>
    <row r="1056" spans="3:13" s="59" customFormat="1" ht="22.2" customHeight="1">
      <c r="C1056" s="588">
        <v>1</v>
      </c>
      <c r="D1056" s="56" t="s">
        <v>5</v>
      </c>
      <c r="E1056" s="577" t="s">
        <v>6</v>
      </c>
      <c r="F1056" s="101">
        <v>0.13100000000000001</v>
      </c>
      <c r="G1056" s="63">
        <f>VLOOKUP(D1056,upahbahan,3,FALSE)</f>
        <v>100000</v>
      </c>
      <c r="H1056" s="63">
        <f>F1056*G1056</f>
        <v>13100</v>
      </c>
      <c r="I1056" s="44"/>
      <c r="J1056" s="152" t="s">
        <v>1248</v>
      </c>
      <c r="M1056" s="65">
        <v>0.1</v>
      </c>
    </row>
    <row r="1057" spans="3:13" s="59" customFormat="1" ht="22.2" customHeight="1">
      <c r="C1057" s="588">
        <v>2</v>
      </c>
      <c r="D1057" s="56" t="s">
        <v>10</v>
      </c>
      <c r="E1057" s="577" t="s">
        <v>6</v>
      </c>
      <c r="F1057" s="101">
        <v>6.6000000000000003E-2</v>
      </c>
      <c r="G1057" s="63">
        <f>VLOOKUP(D1057,upahbahan,3,FALSE)</f>
        <v>135000</v>
      </c>
      <c r="H1057" s="63">
        <f t="shared" ref="H1057:H1058" si="120">F1057*G1057</f>
        <v>8910</v>
      </c>
      <c r="I1057" s="44"/>
      <c r="J1057" s="152"/>
      <c r="M1057" s="65"/>
    </row>
    <row r="1058" spans="3:13" s="59" customFormat="1" ht="22.2" customHeight="1">
      <c r="C1058" s="588">
        <v>3</v>
      </c>
      <c r="D1058" s="56" t="s">
        <v>19</v>
      </c>
      <c r="E1058" s="577" t="s">
        <v>6</v>
      </c>
      <c r="F1058" s="101">
        <v>1.2999999999999999E-2</v>
      </c>
      <c r="G1058" s="63">
        <f>VLOOKUP(D1058,upahbahan,3,FALSE)</f>
        <v>160000</v>
      </c>
      <c r="H1058" s="63">
        <f t="shared" si="120"/>
        <v>2080</v>
      </c>
      <c r="I1058" s="44"/>
    </row>
    <row r="1059" spans="3:13" s="59" customFormat="1" ht="22.2" customHeight="1">
      <c r="C1059" s="450" t="s">
        <v>1208</v>
      </c>
      <c r="D1059" s="67"/>
      <c r="E1059" s="67"/>
      <c r="F1059" s="142"/>
      <c r="G1059" s="153"/>
      <c r="H1059" s="63">
        <f>SUM(H1056:H1058)</f>
        <v>24090</v>
      </c>
      <c r="I1059" s="154"/>
    </row>
    <row r="1060" spans="3:13" s="59" customFormat="1" ht="22.2" customHeight="1">
      <c r="C1060" s="61" t="s">
        <v>1209</v>
      </c>
      <c r="D1060" s="56" t="s">
        <v>1210</v>
      </c>
      <c r="E1060" s="57"/>
      <c r="F1060" s="57"/>
      <c r="G1060" s="57"/>
      <c r="H1060" s="57"/>
      <c r="I1060" s="44"/>
    </row>
    <row r="1061" spans="3:13" s="59" customFormat="1" ht="22.2" customHeight="1">
      <c r="C1061" s="450" t="s">
        <v>1214</v>
      </c>
      <c r="D1061" s="67"/>
      <c r="E1061" s="67"/>
      <c r="F1061" s="67"/>
      <c r="G1061" s="69"/>
      <c r="H1061" s="63">
        <f>SUM(H1060:H1060)</f>
        <v>0</v>
      </c>
      <c r="I1061" s="44"/>
    </row>
    <row r="1062" spans="3:13" s="59" customFormat="1" ht="22.2" customHeight="1">
      <c r="C1062" s="61" t="s">
        <v>1215</v>
      </c>
      <c r="D1062" s="56" t="s">
        <v>1216</v>
      </c>
      <c r="E1062" s="93"/>
      <c r="F1062" s="57"/>
      <c r="G1062" s="57"/>
      <c r="H1062" s="57"/>
      <c r="I1062" s="44"/>
    </row>
    <row r="1063" spans="3:13" s="59" customFormat="1" ht="22.2" customHeight="1">
      <c r="C1063" s="800">
        <v>1</v>
      </c>
      <c r="D1063" s="56" t="s">
        <v>8463</v>
      </c>
      <c r="E1063" s="93" t="s">
        <v>4414</v>
      </c>
      <c r="F1063" s="94">
        <v>8.9999999999999993E-3</v>
      </c>
      <c r="G1063" s="63">
        <f>VLOOKUP(D1063,upahbahan,3,FALSE)</f>
        <v>75000</v>
      </c>
      <c r="H1063" s="63">
        <f t="shared" ref="H1063" si="121">F1063*G1063</f>
        <v>675</v>
      </c>
      <c r="I1063" s="44"/>
    </row>
    <row r="1064" spans="3:13" s="59" customFormat="1" ht="22.2" customHeight="1">
      <c r="C1064" s="450" t="s">
        <v>1217</v>
      </c>
      <c r="D1064" s="67"/>
      <c r="E1064" s="67"/>
      <c r="F1064" s="67"/>
      <c r="G1064" s="69"/>
      <c r="H1064" s="882">
        <f>SUM(H1062:H1063)</f>
        <v>675</v>
      </c>
      <c r="I1064" s="44"/>
    </row>
    <row r="1065" spans="3:13" s="59" customFormat="1" ht="22.2" customHeight="1">
      <c r="C1065" s="288" t="s">
        <v>1218</v>
      </c>
      <c r="D1065" s="76" t="s">
        <v>1219</v>
      </c>
      <c r="E1065" s="77"/>
      <c r="F1065" s="77"/>
      <c r="G1065" s="78"/>
      <c r="H1065" s="585">
        <f>H1064+H1061+H1059</f>
        <v>24765</v>
      </c>
      <c r="I1065" s="369"/>
    </row>
    <row r="1066" spans="3:13" s="59" customFormat="1" ht="22.2" customHeight="1">
      <c r="C1066" s="288" t="s">
        <v>1220</v>
      </c>
      <c r="D1066" s="76" t="s">
        <v>1321</v>
      </c>
      <c r="E1066" s="77"/>
      <c r="F1066" s="78"/>
      <c r="G1066" s="80">
        <v>0.1</v>
      </c>
      <c r="H1066" s="63">
        <f>H1065*G1066</f>
        <v>2476.5</v>
      </c>
      <c r="I1066" s="369"/>
    </row>
    <row r="1067" spans="3:13" s="59" customFormat="1" ht="22.2" customHeight="1">
      <c r="C1067" s="288" t="s">
        <v>1221</v>
      </c>
      <c r="D1067" s="76" t="s">
        <v>1222</v>
      </c>
      <c r="E1067" s="77"/>
      <c r="F1067" s="77"/>
      <c r="G1067" s="78"/>
      <c r="H1067" s="799">
        <f>SUM(H1065:H1066)</f>
        <v>27241.5</v>
      </c>
      <c r="I1067" s="369"/>
    </row>
    <row r="1068" spans="3:13" ht="22.2" customHeight="1"/>
    <row r="1069" spans="3:13" s="59" customFormat="1" ht="22.2" customHeight="1">
      <c r="C1069" s="46" t="s">
        <v>4874</v>
      </c>
      <c r="D1069" s="794" t="s">
        <v>8467</v>
      </c>
      <c r="E1069" s="794"/>
      <c r="F1069" s="794"/>
      <c r="G1069" s="794"/>
      <c r="H1069" s="794"/>
      <c r="I1069" s="50">
        <f>ROUNDDOWN(H1083,-2)</f>
        <v>70000</v>
      </c>
      <c r="J1069" s="59" t="s">
        <v>6451</v>
      </c>
      <c r="K1069" s="59" t="s">
        <v>8371</v>
      </c>
    </row>
    <row r="1070" spans="3:13" s="59" customFormat="1" ht="22.2" customHeight="1">
      <c r="C1070" s="591" t="s">
        <v>1195</v>
      </c>
      <c r="D1070" s="591" t="s">
        <v>1196</v>
      </c>
      <c r="E1070" s="591" t="s">
        <v>1197</v>
      </c>
      <c r="F1070" s="591" t="s">
        <v>1198</v>
      </c>
      <c r="G1070" s="591" t="s">
        <v>1199</v>
      </c>
      <c r="H1070" s="591" t="s">
        <v>1200</v>
      </c>
      <c r="I1070" s="44"/>
    </row>
    <row r="1071" spans="3:13" s="59" customFormat="1" ht="22.2" customHeight="1">
      <c r="C1071" s="61" t="s">
        <v>1201</v>
      </c>
      <c r="D1071" s="56" t="s">
        <v>1202</v>
      </c>
      <c r="E1071" s="57"/>
      <c r="F1071" s="57"/>
      <c r="G1071" s="57"/>
      <c r="H1071" s="57"/>
      <c r="I1071" s="44"/>
      <c r="J1071" s="152" t="s">
        <v>1247</v>
      </c>
    </row>
    <row r="1072" spans="3:13" s="59" customFormat="1" ht="22.2" customHeight="1">
      <c r="C1072" s="588">
        <v>1</v>
      </c>
      <c r="D1072" s="56" t="s">
        <v>5</v>
      </c>
      <c r="E1072" s="577" t="s">
        <v>6</v>
      </c>
      <c r="F1072" s="101">
        <v>0.34</v>
      </c>
      <c r="G1072" s="63">
        <f>VLOOKUP(D1072,upahbahan,3,FALSE)</f>
        <v>100000</v>
      </c>
      <c r="H1072" s="63">
        <f>F1072*G1072</f>
        <v>34000</v>
      </c>
      <c r="I1072" s="44"/>
      <c r="J1072" s="152" t="s">
        <v>1248</v>
      </c>
      <c r="M1072" s="65">
        <v>0.1</v>
      </c>
    </row>
    <row r="1073" spans="3:13" s="59" customFormat="1" ht="22.2" customHeight="1">
      <c r="C1073" s="588">
        <v>2</v>
      </c>
      <c r="D1073" s="56" t="s">
        <v>10</v>
      </c>
      <c r="E1073" s="577" t="s">
        <v>6</v>
      </c>
      <c r="F1073" s="101">
        <v>0.17</v>
      </c>
      <c r="G1073" s="63">
        <f>VLOOKUP(D1073,upahbahan,3,FALSE)</f>
        <v>135000</v>
      </c>
      <c r="H1073" s="63">
        <f t="shared" ref="H1073:H1074" si="122">F1073*G1073</f>
        <v>22950</v>
      </c>
      <c r="I1073" s="44"/>
      <c r="J1073" s="152"/>
      <c r="M1073" s="65"/>
    </row>
    <row r="1074" spans="3:13" s="59" customFormat="1" ht="22.2" customHeight="1">
      <c r="C1074" s="588">
        <v>3</v>
      </c>
      <c r="D1074" s="56" t="s">
        <v>19</v>
      </c>
      <c r="E1074" s="577" t="s">
        <v>6</v>
      </c>
      <c r="F1074" s="101">
        <v>3.4000000000000002E-2</v>
      </c>
      <c r="G1074" s="63">
        <f>VLOOKUP(D1074,upahbahan,3,FALSE)</f>
        <v>160000</v>
      </c>
      <c r="H1074" s="63">
        <f t="shared" si="122"/>
        <v>5440</v>
      </c>
      <c r="I1074" s="44"/>
    </row>
    <row r="1075" spans="3:13" s="59" customFormat="1" ht="22.2" customHeight="1">
      <c r="C1075" s="450" t="s">
        <v>1208</v>
      </c>
      <c r="D1075" s="67"/>
      <c r="E1075" s="67"/>
      <c r="F1075" s="142"/>
      <c r="G1075" s="153"/>
      <c r="H1075" s="63">
        <f>SUM(H1072:H1074)</f>
        <v>62390</v>
      </c>
      <c r="I1075" s="154"/>
    </row>
    <row r="1076" spans="3:13" s="59" customFormat="1" ht="22.2" customHeight="1">
      <c r="C1076" s="61" t="s">
        <v>1209</v>
      </c>
      <c r="D1076" s="56" t="s">
        <v>1210</v>
      </c>
      <c r="E1076" s="57"/>
      <c r="F1076" s="57"/>
      <c r="G1076" s="57"/>
      <c r="H1076" s="57"/>
      <c r="I1076" s="44"/>
    </row>
    <row r="1077" spans="3:13" s="59" customFormat="1" ht="22.2" customHeight="1">
      <c r="C1077" s="450" t="s">
        <v>1214</v>
      </c>
      <c r="D1077" s="67"/>
      <c r="E1077" s="67"/>
      <c r="F1077" s="67"/>
      <c r="G1077" s="69"/>
      <c r="H1077" s="63">
        <f>SUM(H1076:H1076)</f>
        <v>0</v>
      </c>
      <c r="I1077" s="44"/>
    </row>
    <row r="1078" spans="3:13" s="59" customFormat="1" ht="22.2" customHeight="1">
      <c r="C1078" s="61" t="s">
        <v>1215</v>
      </c>
      <c r="D1078" s="56" t="s">
        <v>1216</v>
      </c>
      <c r="E1078" s="93"/>
      <c r="F1078" s="57"/>
      <c r="G1078" s="57"/>
      <c r="H1078" s="57"/>
      <c r="I1078" s="44"/>
    </row>
    <row r="1079" spans="3:13" s="59" customFormat="1" ht="22.2" customHeight="1">
      <c r="C1079" s="800">
        <v>1</v>
      </c>
      <c r="D1079" s="56" t="s">
        <v>8463</v>
      </c>
      <c r="E1079" s="93" t="s">
        <v>4414</v>
      </c>
      <c r="F1079" s="94">
        <v>1.7000000000000001E-2</v>
      </c>
      <c r="G1079" s="63">
        <f>VLOOKUP(D1079,upahbahan,3,FALSE)</f>
        <v>75000</v>
      </c>
      <c r="H1079" s="63">
        <f t="shared" ref="H1079" si="123">F1079*G1079</f>
        <v>1275</v>
      </c>
      <c r="I1079" s="44"/>
    </row>
    <row r="1080" spans="3:13" s="59" customFormat="1" ht="22.2" customHeight="1">
      <c r="C1080" s="450" t="s">
        <v>1217</v>
      </c>
      <c r="D1080" s="67"/>
      <c r="E1080" s="67"/>
      <c r="F1080" s="67"/>
      <c r="G1080" s="69"/>
      <c r="H1080" s="882">
        <f>SUM(H1078:H1079)</f>
        <v>1275</v>
      </c>
      <c r="I1080" s="44"/>
    </row>
    <row r="1081" spans="3:13" s="59" customFormat="1" ht="22.2" customHeight="1">
      <c r="C1081" s="288" t="s">
        <v>1218</v>
      </c>
      <c r="D1081" s="76" t="s">
        <v>1219</v>
      </c>
      <c r="E1081" s="77"/>
      <c r="F1081" s="77"/>
      <c r="G1081" s="78"/>
      <c r="H1081" s="585">
        <f>H1080+H1077+H1075</f>
        <v>63665</v>
      </c>
      <c r="I1081" s="369"/>
    </row>
    <row r="1082" spans="3:13" s="59" customFormat="1" ht="22.2" customHeight="1">
      <c r="C1082" s="288" t="s">
        <v>1220</v>
      </c>
      <c r="D1082" s="76" t="s">
        <v>1321</v>
      </c>
      <c r="E1082" s="77"/>
      <c r="F1082" s="78"/>
      <c r="G1082" s="80">
        <v>0.1</v>
      </c>
      <c r="H1082" s="63">
        <f>H1081*G1082</f>
        <v>6366.5</v>
      </c>
      <c r="I1082" s="369"/>
    </row>
    <row r="1083" spans="3:13" s="59" customFormat="1" ht="22.2" customHeight="1">
      <c r="C1083" s="288" t="s">
        <v>1221</v>
      </c>
      <c r="D1083" s="76" t="s">
        <v>1222</v>
      </c>
      <c r="E1083" s="77"/>
      <c r="F1083" s="77"/>
      <c r="G1083" s="78"/>
      <c r="H1083" s="799">
        <f>SUM(H1081:H1082)</f>
        <v>70031.5</v>
      </c>
      <c r="I1083" s="369"/>
    </row>
    <row r="1084" spans="3:13" ht="22.2" customHeight="1"/>
    <row r="1085" spans="3:13" s="59" customFormat="1" ht="22.2" customHeight="1">
      <c r="C1085" s="46" t="s">
        <v>4875</v>
      </c>
      <c r="D1085" s="794" t="s">
        <v>8468</v>
      </c>
      <c r="E1085" s="794"/>
      <c r="F1085" s="794"/>
      <c r="G1085" s="794"/>
      <c r="H1085" s="794"/>
      <c r="I1085" s="50">
        <f>ROUNDDOWN(H1099,-2)</f>
        <v>97600</v>
      </c>
      <c r="J1085" s="59" t="s">
        <v>6451</v>
      </c>
      <c r="K1085" s="59" t="s">
        <v>8371</v>
      </c>
    </row>
    <row r="1086" spans="3:13" s="59" customFormat="1" ht="22.2" customHeight="1">
      <c r="C1086" s="591" t="s">
        <v>1195</v>
      </c>
      <c r="D1086" s="591" t="s">
        <v>1196</v>
      </c>
      <c r="E1086" s="591" t="s">
        <v>1197</v>
      </c>
      <c r="F1086" s="591" t="s">
        <v>1198</v>
      </c>
      <c r="G1086" s="591" t="s">
        <v>1199</v>
      </c>
      <c r="H1086" s="591" t="s">
        <v>1200</v>
      </c>
      <c r="I1086" s="44"/>
    </row>
    <row r="1087" spans="3:13" s="59" customFormat="1" ht="22.2" customHeight="1">
      <c r="C1087" s="61" t="s">
        <v>1201</v>
      </c>
      <c r="D1087" s="56" t="s">
        <v>1202</v>
      </c>
      <c r="E1087" s="57"/>
      <c r="F1087" s="57"/>
      <c r="G1087" s="57"/>
      <c r="H1087" s="57"/>
      <c r="I1087" s="44"/>
      <c r="J1087" s="152" t="s">
        <v>1247</v>
      </c>
    </row>
    <row r="1088" spans="3:13" s="59" customFormat="1" ht="22.2" customHeight="1">
      <c r="C1088" s="588">
        <v>1</v>
      </c>
      <c r="D1088" s="56" t="s">
        <v>5</v>
      </c>
      <c r="E1088" s="577" t="s">
        <v>6</v>
      </c>
      <c r="F1088" s="101">
        <v>0.47499999999999998</v>
      </c>
      <c r="G1088" s="63">
        <f>VLOOKUP(D1088,upahbahan,3,FALSE)</f>
        <v>100000</v>
      </c>
      <c r="H1088" s="63">
        <f>F1088*G1088</f>
        <v>47500</v>
      </c>
      <c r="I1088" s="44"/>
      <c r="J1088" s="152" t="s">
        <v>1248</v>
      </c>
      <c r="M1088" s="65">
        <v>0.1</v>
      </c>
    </row>
    <row r="1089" spans="3:13" s="59" customFormat="1" ht="22.2" customHeight="1">
      <c r="C1089" s="588">
        <v>2</v>
      </c>
      <c r="D1089" s="56" t="s">
        <v>10</v>
      </c>
      <c r="E1089" s="577" t="s">
        <v>6</v>
      </c>
      <c r="F1089" s="101">
        <v>0.23699999999999999</v>
      </c>
      <c r="G1089" s="63">
        <f>VLOOKUP(D1089,upahbahan,3,FALSE)</f>
        <v>135000</v>
      </c>
      <c r="H1089" s="63">
        <f t="shared" ref="H1089:H1090" si="124">F1089*G1089</f>
        <v>31995</v>
      </c>
      <c r="I1089" s="44"/>
      <c r="J1089" s="152"/>
      <c r="M1089" s="65"/>
    </row>
    <row r="1090" spans="3:13" s="59" customFormat="1" ht="22.2" customHeight="1">
      <c r="C1090" s="588">
        <v>3</v>
      </c>
      <c r="D1090" s="56" t="s">
        <v>19</v>
      </c>
      <c r="E1090" s="577" t="s">
        <v>6</v>
      </c>
      <c r="F1090" s="101">
        <v>4.7E-2</v>
      </c>
      <c r="G1090" s="63">
        <f>VLOOKUP(D1090,upahbahan,3,FALSE)</f>
        <v>160000</v>
      </c>
      <c r="H1090" s="63">
        <f t="shared" si="124"/>
        <v>7520</v>
      </c>
      <c r="I1090" s="44"/>
    </row>
    <row r="1091" spans="3:13" s="59" customFormat="1" ht="22.2" customHeight="1">
      <c r="C1091" s="450" t="s">
        <v>1208</v>
      </c>
      <c r="D1091" s="67"/>
      <c r="E1091" s="67"/>
      <c r="F1091" s="142"/>
      <c r="G1091" s="153"/>
      <c r="H1091" s="63">
        <f>SUM(H1088:H1090)</f>
        <v>87015</v>
      </c>
      <c r="I1091" s="154"/>
    </row>
    <row r="1092" spans="3:13" s="59" customFormat="1" ht="22.2" customHeight="1">
      <c r="C1092" s="61" t="s">
        <v>1209</v>
      </c>
      <c r="D1092" s="56" t="s">
        <v>1210</v>
      </c>
      <c r="E1092" s="57"/>
      <c r="F1092" s="57"/>
      <c r="G1092" s="57"/>
      <c r="H1092" s="57"/>
      <c r="I1092" s="44"/>
    </row>
    <row r="1093" spans="3:13" s="59" customFormat="1" ht="22.2" customHeight="1">
      <c r="C1093" s="450" t="s">
        <v>1214</v>
      </c>
      <c r="D1093" s="67"/>
      <c r="E1093" s="67"/>
      <c r="F1093" s="67"/>
      <c r="G1093" s="69"/>
      <c r="H1093" s="63">
        <f>SUM(H1092:H1092)</f>
        <v>0</v>
      </c>
      <c r="I1093" s="44"/>
    </row>
    <row r="1094" spans="3:13" s="59" customFormat="1" ht="22.2" customHeight="1">
      <c r="C1094" s="61" t="s">
        <v>1215</v>
      </c>
      <c r="D1094" s="56" t="s">
        <v>1216</v>
      </c>
      <c r="E1094" s="93"/>
      <c r="F1094" s="57"/>
      <c r="G1094" s="57"/>
      <c r="H1094" s="57"/>
      <c r="I1094" s="44"/>
    </row>
    <row r="1095" spans="3:13" s="59" customFormat="1" ht="22.2" customHeight="1">
      <c r="C1095" s="800">
        <v>1</v>
      </c>
      <c r="D1095" s="56" t="s">
        <v>8463</v>
      </c>
      <c r="E1095" s="93" t="s">
        <v>4414</v>
      </c>
      <c r="F1095" s="94">
        <v>2.3E-2</v>
      </c>
      <c r="G1095" s="63">
        <f>VLOOKUP(D1095,upahbahan,3,FALSE)</f>
        <v>75000</v>
      </c>
      <c r="H1095" s="63">
        <f t="shared" ref="H1095" si="125">F1095*G1095</f>
        <v>1725</v>
      </c>
      <c r="I1095" s="44"/>
    </row>
    <row r="1096" spans="3:13" s="59" customFormat="1" ht="22.2" customHeight="1">
      <c r="C1096" s="450" t="s">
        <v>1217</v>
      </c>
      <c r="D1096" s="67"/>
      <c r="E1096" s="67"/>
      <c r="F1096" s="67"/>
      <c r="G1096" s="69"/>
      <c r="H1096" s="882">
        <f>SUM(H1094:H1095)</f>
        <v>1725</v>
      </c>
      <c r="I1096" s="44"/>
    </row>
    <row r="1097" spans="3:13" s="59" customFormat="1" ht="22.2" customHeight="1">
      <c r="C1097" s="288" t="s">
        <v>1218</v>
      </c>
      <c r="D1097" s="76" t="s">
        <v>1219</v>
      </c>
      <c r="E1097" s="77"/>
      <c r="F1097" s="77"/>
      <c r="G1097" s="78"/>
      <c r="H1097" s="585">
        <f>H1096+H1093+H1091</f>
        <v>88740</v>
      </c>
      <c r="I1097" s="369"/>
    </row>
    <row r="1098" spans="3:13" s="59" customFormat="1" ht="22.2" customHeight="1">
      <c r="C1098" s="288" t="s">
        <v>1220</v>
      </c>
      <c r="D1098" s="76" t="s">
        <v>1321</v>
      </c>
      <c r="E1098" s="77"/>
      <c r="F1098" s="78"/>
      <c r="G1098" s="80">
        <v>0.1</v>
      </c>
      <c r="H1098" s="63">
        <f>H1097*G1098</f>
        <v>8874</v>
      </c>
      <c r="I1098" s="369"/>
    </row>
    <row r="1099" spans="3:13" s="59" customFormat="1" ht="22.2" customHeight="1">
      <c r="C1099" s="288" t="s">
        <v>1221</v>
      </c>
      <c r="D1099" s="76" t="s">
        <v>1222</v>
      </c>
      <c r="E1099" s="77"/>
      <c r="F1099" s="77"/>
      <c r="G1099" s="78"/>
      <c r="H1099" s="799">
        <f>SUM(H1097:H1098)</f>
        <v>97614</v>
      </c>
      <c r="I1099" s="369"/>
    </row>
    <row r="1100" spans="3:13" ht="22.2" customHeight="1"/>
    <row r="1101" spans="3:13" s="59" customFormat="1" ht="22.2" customHeight="1">
      <c r="C1101" s="46" t="s">
        <v>4876</v>
      </c>
      <c r="D1101" s="794" t="s">
        <v>8469</v>
      </c>
      <c r="E1101" s="794"/>
      <c r="F1101" s="794"/>
      <c r="G1101" s="794"/>
      <c r="H1101" s="794"/>
      <c r="I1101" s="50">
        <f>ROUNDDOWN(H1115,-2)</f>
        <v>104100</v>
      </c>
      <c r="J1101" s="59" t="s">
        <v>6451</v>
      </c>
      <c r="K1101" s="59" t="s">
        <v>8371</v>
      </c>
    </row>
    <row r="1102" spans="3:13" s="59" customFormat="1" ht="22.2" customHeight="1">
      <c r="C1102" s="591" t="s">
        <v>1195</v>
      </c>
      <c r="D1102" s="591" t="s">
        <v>1196</v>
      </c>
      <c r="E1102" s="591" t="s">
        <v>1197</v>
      </c>
      <c r="F1102" s="591" t="s">
        <v>1198</v>
      </c>
      <c r="G1102" s="591" t="s">
        <v>1199</v>
      </c>
      <c r="H1102" s="591" t="s">
        <v>1200</v>
      </c>
      <c r="I1102" s="44"/>
    </row>
    <row r="1103" spans="3:13" s="59" customFormat="1" ht="22.2" customHeight="1">
      <c r="C1103" s="61" t="s">
        <v>1201</v>
      </c>
      <c r="D1103" s="56" t="s">
        <v>1202</v>
      </c>
      <c r="E1103" s="57"/>
      <c r="F1103" s="57"/>
      <c r="G1103" s="57"/>
      <c r="H1103" s="57"/>
      <c r="I1103" s="44"/>
      <c r="J1103" s="152" t="s">
        <v>1247</v>
      </c>
    </row>
    <row r="1104" spans="3:13" s="59" customFormat="1" ht="22.2" customHeight="1">
      <c r="C1104" s="588">
        <v>1</v>
      </c>
      <c r="D1104" s="56" t="s">
        <v>5</v>
      </c>
      <c r="E1104" s="577" t="s">
        <v>6</v>
      </c>
      <c r="F1104" s="101">
        <v>0.504</v>
      </c>
      <c r="G1104" s="63">
        <f>VLOOKUP(D1104,upahbahan,3,FALSE)</f>
        <v>100000</v>
      </c>
      <c r="H1104" s="63">
        <f>F1104*G1104</f>
        <v>50400</v>
      </c>
      <c r="I1104" s="44"/>
      <c r="J1104" s="152" t="s">
        <v>1248</v>
      </c>
      <c r="M1104" s="65">
        <v>0.1</v>
      </c>
    </row>
    <row r="1105" spans="3:13" s="59" customFormat="1" ht="22.2" customHeight="1">
      <c r="C1105" s="588">
        <v>2</v>
      </c>
      <c r="D1105" s="56" t="s">
        <v>10</v>
      </c>
      <c r="E1105" s="577" t="s">
        <v>6</v>
      </c>
      <c r="F1105" s="101">
        <v>0.252</v>
      </c>
      <c r="G1105" s="63">
        <f>VLOOKUP(D1105,upahbahan,3,FALSE)</f>
        <v>135000</v>
      </c>
      <c r="H1105" s="63">
        <f t="shared" ref="H1105:H1106" si="126">F1105*G1105</f>
        <v>34020</v>
      </c>
      <c r="I1105" s="44"/>
      <c r="J1105" s="152"/>
      <c r="M1105" s="65"/>
    </row>
    <row r="1106" spans="3:13" s="59" customFormat="1" ht="22.2" customHeight="1">
      <c r="C1106" s="588">
        <v>3</v>
      </c>
      <c r="D1106" s="56" t="s">
        <v>19</v>
      </c>
      <c r="E1106" s="577" t="s">
        <v>6</v>
      </c>
      <c r="F1106" s="101">
        <v>0.05</v>
      </c>
      <c r="G1106" s="63">
        <f>VLOOKUP(D1106,upahbahan,3,FALSE)</f>
        <v>160000</v>
      </c>
      <c r="H1106" s="63">
        <f t="shared" si="126"/>
        <v>8000</v>
      </c>
      <c r="I1106" s="44"/>
    </row>
    <row r="1107" spans="3:13" s="59" customFormat="1" ht="22.2" customHeight="1">
      <c r="C1107" s="450" t="s">
        <v>1208</v>
      </c>
      <c r="D1107" s="67"/>
      <c r="E1107" s="67"/>
      <c r="F1107" s="142"/>
      <c r="G1107" s="153"/>
      <c r="H1107" s="63">
        <f>SUM(H1104:H1106)</f>
        <v>92420</v>
      </c>
      <c r="I1107" s="154"/>
    </row>
    <row r="1108" spans="3:13" s="59" customFormat="1" ht="22.2" customHeight="1">
      <c r="C1108" s="61" t="s">
        <v>1209</v>
      </c>
      <c r="D1108" s="56" t="s">
        <v>1210</v>
      </c>
      <c r="E1108" s="57"/>
      <c r="F1108" s="57"/>
      <c r="G1108" s="57"/>
      <c r="H1108" s="57"/>
      <c r="I1108" s="44"/>
    </row>
    <row r="1109" spans="3:13" s="59" customFormat="1" ht="22.2" customHeight="1">
      <c r="C1109" s="450" t="s">
        <v>1214</v>
      </c>
      <c r="D1109" s="67"/>
      <c r="E1109" s="67"/>
      <c r="F1109" s="67"/>
      <c r="G1109" s="69"/>
      <c r="H1109" s="63">
        <f>SUM(H1108:H1108)</f>
        <v>0</v>
      </c>
      <c r="I1109" s="44"/>
    </row>
    <row r="1110" spans="3:13" s="59" customFormat="1" ht="22.2" customHeight="1">
      <c r="C1110" s="61" t="s">
        <v>1215</v>
      </c>
      <c r="D1110" s="56" t="s">
        <v>1216</v>
      </c>
      <c r="E1110" s="93"/>
      <c r="F1110" s="57"/>
      <c r="G1110" s="57"/>
      <c r="H1110" s="57"/>
      <c r="I1110" s="44"/>
    </row>
    <row r="1111" spans="3:13" s="59" customFormat="1" ht="22.2" customHeight="1">
      <c r="C1111" s="800">
        <v>1</v>
      </c>
      <c r="D1111" s="56" t="s">
        <v>8463</v>
      </c>
      <c r="E1111" s="93" t="s">
        <v>4414</v>
      </c>
      <c r="F1111" s="104">
        <v>0.03</v>
      </c>
      <c r="G1111" s="63">
        <f>VLOOKUP(D1111,upahbahan,3,FALSE)</f>
        <v>75000</v>
      </c>
      <c r="H1111" s="63">
        <f t="shared" ref="H1111" si="127">F1111*G1111</f>
        <v>2250</v>
      </c>
      <c r="I1111" s="44"/>
    </row>
    <row r="1112" spans="3:13" s="59" customFormat="1" ht="22.2" customHeight="1">
      <c r="C1112" s="450" t="s">
        <v>1217</v>
      </c>
      <c r="D1112" s="67"/>
      <c r="E1112" s="67"/>
      <c r="F1112" s="67"/>
      <c r="G1112" s="69"/>
      <c r="H1112" s="882">
        <f>SUM(H1110:H1111)</f>
        <v>2250</v>
      </c>
      <c r="I1112" s="44"/>
    </row>
    <row r="1113" spans="3:13" s="59" customFormat="1" ht="22.2" customHeight="1">
      <c r="C1113" s="288" t="s">
        <v>1218</v>
      </c>
      <c r="D1113" s="76" t="s">
        <v>1219</v>
      </c>
      <c r="E1113" s="77"/>
      <c r="F1113" s="77"/>
      <c r="G1113" s="78"/>
      <c r="H1113" s="585">
        <f>H1112+H1109+H1107</f>
        <v>94670</v>
      </c>
      <c r="I1113" s="369"/>
    </row>
    <row r="1114" spans="3:13" s="59" customFormat="1" ht="22.2" customHeight="1">
      <c r="C1114" s="288" t="s">
        <v>1220</v>
      </c>
      <c r="D1114" s="76" t="s">
        <v>1321</v>
      </c>
      <c r="E1114" s="77"/>
      <c r="F1114" s="78"/>
      <c r="G1114" s="80">
        <v>0.1</v>
      </c>
      <c r="H1114" s="63">
        <f>H1113*G1114</f>
        <v>9467</v>
      </c>
      <c r="I1114" s="369"/>
    </row>
    <row r="1115" spans="3:13" s="59" customFormat="1" ht="22.2" customHeight="1">
      <c r="C1115" s="288" t="s">
        <v>1221</v>
      </c>
      <c r="D1115" s="76" t="s">
        <v>1222</v>
      </c>
      <c r="E1115" s="77"/>
      <c r="F1115" s="77"/>
      <c r="G1115" s="78"/>
      <c r="H1115" s="799">
        <f>SUM(H1113:H1114)</f>
        <v>104137</v>
      </c>
      <c r="I1115" s="369"/>
    </row>
    <row r="1116" spans="3:13" ht="22.2" customHeight="1"/>
    <row r="1117" spans="3:13" s="59" customFormat="1" ht="22.2" customHeight="1">
      <c r="C1117" s="46" t="s">
        <v>4877</v>
      </c>
      <c r="D1117" s="794" t="s">
        <v>8470</v>
      </c>
      <c r="E1117" s="794"/>
      <c r="F1117" s="794"/>
      <c r="G1117" s="794"/>
      <c r="H1117" s="794"/>
      <c r="I1117" s="50">
        <f>ROUNDDOWN(H1131,-2)</f>
        <v>153500</v>
      </c>
      <c r="J1117" s="59" t="s">
        <v>6451</v>
      </c>
      <c r="K1117" s="59" t="s">
        <v>8371</v>
      </c>
    </row>
    <row r="1118" spans="3:13" s="59" customFormat="1" ht="22.2" customHeight="1">
      <c r="C1118" s="591" t="s">
        <v>1195</v>
      </c>
      <c r="D1118" s="591" t="s">
        <v>1196</v>
      </c>
      <c r="E1118" s="591" t="s">
        <v>1197</v>
      </c>
      <c r="F1118" s="591" t="s">
        <v>1198</v>
      </c>
      <c r="G1118" s="591" t="s">
        <v>1199</v>
      </c>
      <c r="H1118" s="591" t="s">
        <v>1200</v>
      </c>
      <c r="I1118" s="44"/>
    </row>
    <row r="1119" spans="3:13" s="59" customFormat="1" ht="22.2" customHeight="1">
      <c r="C1119" s="61" t="s">
        <v>1201</v>
      </c>
      <c r="D1119" s="56" t="s">
        <v>1202</v>
      </c>
      <c r="E1119" s="57"/>
      <c r="F1119" s="57"/>
      <c r="G1119" s="57"/>
      <c r="H1119" s="57"/>
      <c r="I1119" s="44"/>
      <c r="J1119" s="152" t="s">
        <v>1247</v>
      </c>
    </row>
    <row r="1120" spans="3:13" s="59" customFormat="1" ht="22.2" customHeight="1">
      <c r="C1120" s="588">
        <v>1</v>
      </c>
      <c r="D1120" s="56" t="s">
        <v>5</v>
      </c>
      <c r="E1120" s="577" t="s">
        <v>6</v>
      </c>
      <c r="F1120" s="101">
        <v>0.73799999999999999</v>
      </c>
      <c r="G1120" s="63">
        <f>VLOOKUP(D1120,upahbahan,3,FALSE)</f>
        <v>100000</v>
      </c>
      <c r="H1120" s="63">
        <f>F1120*G1120</f>
        <v>73800</v>
      </c>
      <c r="I1120" s="44"/>
      <c r="J1120" s="152" t="s">
        <v>1248</v>
      </c>
      <c r="M1120" s="65">
        <v>0.1</v>
      </c>
    </row>
    <row r="1121" spans="3:13" s="59" customFormat="1" ht="22.2" customHeight="1">
      <c r="C1121" s="588">
        <v>2</v>
      </c>
      <c r="D1121" s="56" t="s">
        <v>10</v>
      </c>
      <c r="E1121" s="577" t="s">
        <v>6</v>
      </c>
      <c r="F1121" s="101">
        <v>0.36899999999999999</v>
      </c>
      <c r="G1121" s="63">
        <f>VLOOKUP(D1121,upahbahan,3,FALSE)</f>
        <v>135000</v>
      </c>
      <c r="H1121" s="63">
        <f t="shared" ref="H1121:H1122" si="128">F1121*G1121</f>
        <v>49815</v>
      </c>
      <c r="I1121" s="44"/>
      <c r="J1121" s="152"/>
      <c r="M1121" s="65"/>
    </row>
    <row r="1122" spans="3:13" s="59" customFormat="1" ht="22.2" customHeight="1">
      <c r="C1122" s="588">
        <v>3</v>
      </c>
      <c r="D1122" s="56" t="s">
        <v>19</v>
      </c>
      <c r="E1122" s="577" t="s">
        <v>6</v>
      </c>
      <c r="F1122" s="101">
        <v>7.3999999999999996E-2</v>
      </c>
      <c r="G1122" s="63">
        <f>VLOOKUP(D1122,upahbahan,3,FALSE)</f>
        <v>160000</v>
      </c>
      <c r="H1122" s="63">
        <f t="shared" si="128"/>
        <v>11840</v>
      </c>
      <c r="I1122" s="44"/>
    </row>
    <row r="1123" spans="3:13" s="59" customFormat="1" ht="22.2" customHeight="1">
      <c r="C1123" s="450" t="s">
        <v>1208</v>
      </c>
      <c r="D1123" s="67"/>
      <c r="E1123" s="67"/>
      <c r="F1123" s="142"/>
      <c r="G1123" s="153"/>
      <c r="H1123" s="63">
        <f>SUM(H1120:H1122)</f>
        <v>135455</v>
      </c>
      <c r="I1123" s="154"/>
    </row>
    <row r="1124" spans="3:13" s="59" customFormat="1" ht="22.2" customHeight="1">
      <c r="C1124" s="61" t="s">
        <v>1209</v>
      </c>
      <c r="D1124" s="56" t="s">
        <v>1210</v>
      </c>
      <c r="E1124" s="57"/>
      <c r="F1124" s="57"/>
      <c r="G1124" s="57"/>
      <c r="H1124" s="57"/>
      <c r="I1124" s="44"/>
    </row>
    <row r="1125" spans="3:13" s="59" customFormat="1" ht="22.2" customHeight="1">
      <c r="C1125" s="450" t="s">
        <v>1214</v>
      </c>
      <c r="D1125" s="67"/>
      <c r="E1125" s="67"/>
      <c r="F1125" s="67"/>
      <c r="G1125" s="69"/>
      <c r="H1125" s="63">
        <f>SUM(H1124:H1124)</f>
        <v>0</v>
      </c>
      <c r="I1125" s="44"/>
    </row>
    <row r="1126" spans="3:13" s="59" customFormat="1" ht="22.2" customHeight="1">
      <c r="C1126" s="61" t="s">
        <v>1215</v>
      </c>
      <c r="D1126" s="56" t="s">
        <v>1216</v>
      </c>
      <c r="E1126" s="93"/>
      <c r="F1126" s="57"/>
      <c r="G1126" s="57"/>
      <c r="H1126" s="57"/>
      <c r="I1126" s="44"/>
    </row>
    <row r="1127" spans="3:13" s="59" customFormat="1" ht="22.2" customHeight="1">
      <c r="C1127" s="800">
        <v>1</v>
      </c>
      <c r="D1127" s="56" t="s">
        <v>8463</v>
      </c>
      <c r="E1127" s="93" t="s">
        <v>4414</v>
      </c>
      <c r="F1127" s="104">
        <v>5.5E-2</v>
      </c>
      <c r="G1127" s="63">
        <f>VLOOKUP(D1127,upahbahan,3,FALSE)</f>
        <v>75000</v>
      </c>
      <c r="H1127" s="63">
        <f t="shared" ref="H1127" si="129">F1127*G1127</f>
        <v>4125</v>
      </c>
      <c r="I1127" s="44"/>
    </row>
    <row r="1128" spans="3:13" s="59" customFormat="1" ht="22.2" customHeight="1">
      <c r="C1128" s="450" t="s">
        <v>1217</v>
      </c>
      <c r="D1128" s="67"/>
      <c r="E1128" s="67"/>
      <c r="F1128" s="67"/>
      <c r="G1128" s="69"/>
      <c r="H1128" s="882">
        <f>SUM(H1126:H1127)</f>
        <v>4125</v>
      </c>
      <c r="I1128" s="44"/>
    </row>
    <row r="1129" spans="3:13" s="59" customFormat="1" ht="22.2" customHeight="1">
      <c r="C1129" s="288" t="s">
        <v>1218</v>
      </c>
      <c r="D1129" s="76" t="s">
        <v>1219</v>
      </c>
      <c r="E1129" s="77"/>
      <c r="F1129" s="77"/>
      <c r="G1129" s="78"/>
      <c r="H1129" s="585">
        <f>H1128+H1125+H1123</f>
        <v>139580</v>
      </c>
      <c r="I1129" s="369"/>
    </row>
    <row r="1130" spans="3:13" s="59" customFormat="1" ht="22.2" customHeight="1">
      <c r="C1130" s="288" t="s">
        <v>1220</v>
      </c>
      <c r="D1130" s="76" t="s">
        <v>1321</v>
      </c>
      <c r="E1130" s="77"/>
      <c r="F1130" s="78"/>
      <c r="G1130" s="80">
        <v>0.1</v>
      </c>
      <c r="H1130" s="63">
        <f>H1129*G1130</f>
        <v>13958</v>
      </c>
      <c r="I1130" s="369"/>
    </row>
    <row r="1131" spans="3:13" s="59" customFormat="1" ht="22.2" customHeight="1">
      <c r="C1131" s="288" t="s">
        <v>1221</v>
      </c>
      <c r="D1131" s="76" t="s">
        <v>1222</v>
      </c>
      <c r="E1131" s="77"/>
      <c r="F1131" s="77"/>
      <c r="G1131" s="78"/>
      <c r="H1131" s="799">
        <f>SUM(H1129:H1130)</f>
        <v>153538</v>
      </c>
      <c r="I1131" s="369"/>
    </row>
    <row r="1132" spans="3:13" ht="22.2" customHeight="1"/>
    <row r="1133" spans="3:13" s="59" customFormat="1" ht="22.2" customHeight="1">
      <c r="C1133" s="46" t="s">
        <v>4878</v>
      </c>
      <c r="D1133" s="794" t="s">
        <v>8471</v>
      </c>
      <c r="E1133" s="794"/>
      <c r="F1133" s="794"/>
      <c r="G1133" s="794"/>
      <c r="H1133" s="794"/>
      <c r="I1133" s="50">
        <f>ROUNDDOWN(H1147,-2)</f>
        <v>176900</v>
      </c>
      <c r="J1133" s="59" t="s">
        <v>6451</v>
      </c>
      <c r="K1133" s="59" t="s">
        <v>8371</v>
      </c>
    </row>
    <row r="1134" spans="3:13" s="59" customFormat="1" ht="22.2" customHeight="1">
      <c r="C1134" s="591" t="s">
        <v>1195</v>
      </c>
      <c r="D1134" s="591" t="s">
        <v>1196</v>
      </c>
      <c r="E1134" s="591" t="s">
        <v>1197</v>
      </c>
      <c r="F1134" s="591" t="s">
        <v>1198</v>
      </c>
      <c r="G1134" s="591" t="s">
        <v>1199</v>
      </c>
      <c r="H1134" s="591" t="s">
        <v>1200</v>
      </c>
      <c r="I1134" s="44"/>
    </row>
    <row r="1135" spans="3:13" s="59" customFormat="1" ht="22.2" customHeight="1">
      <c r="C1135" s="61" t="s">
        <v>1201</v>
      </c>
      <c r="D1135" s="56" t="s">
        <v>1202</v>
      </c>
      <c r="E1135" s="57"/>
      <c r="F1135" s="57"/>
      <c r="G1135" s="57"/>
      <c r="H1135" s="57"/>
      <c r="I1135" s="44"/>
      <c r="J1135" s="152" t="s">
        <v>1247</v>
      </c>
    </row>
    <row r="1136" spans="3:13" s="59" customFormat="1" ht="22.2" customHeight="1">
      <c r="C1136" s="588">
        <v>1</v>
      </c>
      <c r="D1136" s="56" t="s">
        <v>5</v>
      </c>
      <c r="E1136" s="577" t="s">
        <v>6</v>
      </c>
      <c r="F1136" s="101">
        <v>0.84799999999999998</v>
      </c>
      <c r="G1136" s="63">
        <f>VLOOKUP(D1136,upahbahan,3,FALSE)</f>
        <v>100000</v>
      </c>
      <c r="H1136" s="63">
        <f>F1136*G1136</f>
        <v>84800</v>
      </c>
      <c r="I1136" s="44"/>
      <c r="J1136" s="152" t="s">
        <v>1248</v>
      </c>
      <c r="M1136" s="65">
        <v>0.1</v>
      </c>
    </row>
    <row r="1137" spans="3:13" s="59" customFormat="1" ht="22.2" customHeight="1">
      <c r="C1137" s="588">
        <v>2</v>
      </c>
      <c r="D1137" s="56" t="s">
        <v>10</v>
      </c>
      <c r="E1137" s="577" t="s">
        <v>6</v>
      </c>
      <c r="F1137" s="101">
        <v>0.42399999999999999</v>
      </c>
      <c r="G1137" s="63">
        <f>VLOOKUP(D1137,upahbahan,3,FALSE)</f>
        <v>135000</v>
      </c>
      <c r="H1137" s="63">
        <f t="shared" ref="H1137:H1138" si="130">F1137*G1137</f>
        <v>57240</v>
      </c>
      <c r="I1137" s="44"/>
      <c r="J1137" s="152"/>
      <c r="M1137" s="65"/>
    </row>
    <row r="1138" spans="3:13" s="59" customFormat="1" ht="22.2" customHeight="1">
      <c r="C1138" s="588">
        <v>3</v>
      </c>
      <c r="D1138" s="56" t="s">
        <v>19</v>
      </c>
      <c r="E1138" s="577" t="s">
        <v>6</v>
      </c>
      <c r="F1138" s="101">
        <v>8.5000000000000006E-2</v>
      </c>
      <c r="G1138" s="63">
        <f>VLOOKUP(D1138,upahbahan,3,FALSE)</f>
        <v>160000</v>
      </c>
      <c r="H1138" s="63">
        <f t="shared" si="130"/>
        <v>13600.000000000002</v>
      </c>
      <c r="I1138" s="44"/>
    </row>
    <row r="1139" spans="3:13" s="59" customFormat="1" ht="22.2" customHeight="1">
      <c r="C1139" s="450" t="s">
        <v>1208</v>
      </c>
      <c r="D1139" s="67"/>
      <c r="E1139" s="67"/>
      <c r="F1139" s="142"/>
      <c r="G1139" s="153"/>
      <c r="H1139" s="63">
        <f>SUM(H1136:H1138)</f>
        <v>155640</v>
      </c>
      <c r="I1139" s="154"/>
    </row>
    <row r="1140" spans="3:13" s="59" customFormat="1" ht="22.2" customHeight="1">
      <c r="C1140" s="61" t="s">
        <v>1209</v>
      </c>
      <c r="D1140" s="56" t="s">
        <v>1210</v>
      </c>
      <c r="E1140" s="57"/>
      <c r="F1140" s="57"/>
      <c r="G1140" s="57"/>
      <c r="H1140" s="57"/>
      <c r="I1140" s="44"/>
    </row>
    <row r="1141" spans="3:13" s="59" customFormat="1" ht="22.2" customHeight="1">
      <c r="C1141" s="450" t="s">
        <v>1214</v>
      </c>
      <c r="D1141" s="67"/>
      <c r="E1141" s="67"/>
      <c r="F1141" s="67"/>
      <c r="G1141" s="69"/>
      <c r="H1141" s="63">
        <f>SUM(H1140:H1140)</f>
        <v>0</v>
      </c>
      <c r="I1141" s="44"/>
    </row>
    <row r="1142" spans="3:13" s="59" customFormat="1" ht="22.2" customHeight="1">
      <c r="C1142" s="61" t="s">
        <v>1215</v>
      </c>
      <c r="D1142" s="56" t="s">
        <v>1216</v>
      </c>
      <c r="E1142" s="93"/>
      <c r="F1142" s="57"/>
      <c r="G1142" s="57"/>
      <c r="H1142" s="57"/>
      <c r="I1142" s="44"/>
    </row>
    <row r="1143" spans="3:13" s="59" customFormat="1" ht="22.2" customHeight="1">
      <c r="C1143" s="800">
        <v>1</v>
      </c>
      <c r="D1143" s="56" t="s">
        <v>8463</v>
      </c>
      <c r="E1143" s="93" t="s">
        <v>4414</v>
      </c>
      <c r="F1143" s="104">
        <v>7.0000000000000007E-2</v>
      </c>
      <c r="G1143" s="63">
        <f>VLOOKUP(D1143,upahbahan,3,FALSE)</f>
        <v>75000</v>
      </c>
      <c r="H1143" s="63">
        <f t="shared" ref="H1143" si="131">F1143*G1143</f>
        <v>5250.0000000000009</v>
      </c>
      <c r="I1143" s="44"/>
    </row>
    <row r="1144" spans="3:13" s="59" customFormat="1" ht="22.2" customHeight="1">
      <c r="C1144" s="450" t="s">
        <v>1217</v>
      </c>
      <c r="D1144" s="67"/>
      <c r="E1144" s="67"/>
      <c r="F1144" s="67"/>
      <c r="G1144" s="69"/>
      <c r="H1144" s="882">
        <f>SUM(H1142:H1143)</f>
        <v>5250.0000000000009</v>
      </c>
      <c r="I1144" s="44"/>
    </row>
    <row r="1145" spans="3:13" s="59" customFormat="1" ht="22.2" customHeight="1">
      <c r="C1145" s="288" t="s">
        <v>1218</v>
      </c>
      <c r="D1145" s="76" t="s">
        <v>1219</v>
      </c>
      <c r="E1145" s="77"/>
      <c r="F1145" s="77"/>
      <c r="G1145" s="78"/>
      <c r="H1145" s="585">
        <f>H1144+H1141+H1139</f>
        <v>160890</v>
      </c>
      <c r="I1145" s="369"/>
    </row>
    <row r="1146" spans="3:13" s="59" customFormat="1" ht="22.2" customHeight="1">
      <c r="C1146" s="288" t="s">
        <v>1220</v>
      </c>
      <c r="D1146" s="76" t="s">
        <v>1321</v>
      </c>
      <c r="E1146" s="77"/>
      <c r="F1146" s="78"/>
      <c r="G1146" s="80">
        <v>0.1</v>
      </c>
      <c r="H1146" s="63">
        <f>H1145*G1146</f>
        <v>16089</v>
      </c>
      <c r="I1146" s="369"/>
    </row>
    <row r="1147" spans="3:13" s="59" customFormat="1" ht="22.2" customHeight="1">
      <c r="C1147" s="288" t="s">
        <v>1221</v>
      </c>
      <c r="D1147" s="76" t="s">
        <v>1222</v>
      </c>
      <c r="E1147" s="77"/>
      <c r="F1147" s="77"/>
      <c r="G1147" s="78"/>
      <c r="H1147" s="799">
        <f>SUM(H1145:H1146)</f>
        <v>176979</v>
      </c>
      <c r="I1147" s="369"/>
    </row>
    <row r="1148" spans="3:13" ht="22.2" customHeight="1"/>
    <row r="1149" spans="3:13" s="59" customFormat="1" ht="22.2" customHeight="1">
      <c r="C1149" s="46" t="s">
        <v>4879</v>
      </c>
      <c r="D1149" s="794" t="s">
        <v>8472</v>
      </c>
      <c r="E1149" s="794"/>
      <c r="F1149" s="794"/>
      <c r="G1149" s="794"/>
      <c r="H1149" s="794"/>
      <c r="I1149" s="50">
        <f>ROUNDDOWN(H1163,-2)</f>
        <v>197000</v>
      </c>
      <c r="J1149" s="59" t="s">
        <v>6451</v>
      </c>
      <c r="K1149" s="59" t="s">
        <v>8371</v>
      </c>
    </row>
    <row r="1150" spans="3:13" s="59" customFormat="1" ht="22.2" customHeight="1">
      <c r="C1150" s="591" t="s">
        <v>1195</v>
      </c>
      <c r="D1150" s="591" t="s">
        <v>1196</v>
      </c>
      <c r="E1150" s="591" t="s">
        <v>1197</v>
      </c>
      <c r="F1150" s="591" t="s">
        <v>1198</v>
      </c>
      <c r="G1150" s="591" t="s">
        <v>1199</v>
      </c>
      <c r="H1150" s="591" t="s">
        <v>1200</v>
      </c>
      <c r="I1150" s="44"/>
    </row>
    <row r="1151" spans="3:13" s="59" customFormat="1" ht="22.2" customHeight="1">
      <c r="C1151" s="61" t="s">
        <v>1201</v>
      </c>
      <c r="D1151" s="56" t="s">
        <v>1202</v>
      </c>
      <c r="E1151" s="57"/>
      <c r="F1151" s="57"/>
      <c r="G1151" s="57"/>
      <c r="H1151" s="57"/>
      <c r="I1151" s="44"/>
      <c r="J1151" s="152" t="s">
        <v>1247</v>
      </c>
    </row>
    <row r="1152" spans="3:13" s="59" customFormat="1" ht="22.2" customHeight="1">
      <c r="C1152" s="588">
        <v>1</v>
      </c>
      <c r="D1152" s="56" t="s">
        <v>5</v>
      </c>
      <c r="E1152" s="577" t="s">
        <v>6</v>
      </c>
      <c r="F1152" s="101">
        <v>0.94099999999999995</v>
      </c>
      <c r="G1152" s="63">
        <f>VLOOKUP(D1152,upahbahan,3,FALSE)</f>
        <v>100000</v>
      </c>
      <c r="H1152" s="63">
        <f>F1152*G1152</f>
        <v>94100</v>
      </c>
      <c r="I1152" s="44"/>
      <c r="J1152" s="152" t="s">
        <v>1248</v>
      </c>
      <c r="M1152" s="65">
        <v>0.1</v>
      </c>
    </row>
    <row r="1153" spans="3:13" s="59" customFormat="1" ht="22.2" customHeight="1">
      <c r="C1153" s="588">
        <v>2</v>
      </c>
      <c r="D1153" s="56" t="s">
        <v>10</v>
      </c>
      <c r="E1153" s="577" t="s">
        <v>6</v>
      </c>
      <c r="F1153" s="101">
        <v>0.47099999999999997</v>
      </c>
      <c r="G1153" s="63">
        <f>VLOOKUP(D1153,upahbahan,3,FALSE)</f>
        <v>135000</v>
      </c>
      <c r="H1153" s="63">
        <f t="shared" ref="H1153:H1154" si="132">F1153*G1153</f>
        <v>63585</v>
      </c>
      <c r="I1153" s="44"/>
      <c r="J1153" s="152"/>
      <c r="M1153" s="65"/>
    </row>
    <row r="1154" spans="3:13" s="59" customFormat="1" ht="22.2" customHeight="1">
      <c r="C1154" s="588">
        <v>3</v>
      </c>
      <c r="D1154" s="56" t="s">
        <v>19</v>
      </c>
      <c r="E1154" s="577" t="s">
        <v>6</v>
      </c>
      <c r="F1154" s="101">
        <v>9.4E-2</v>
      </c>
      <c r="G1154" s="63">
        <f>VLOOKUP(D1154,upahbahan,3,FALSE)</f>
        <v>160000</v>
      </c>
      <c r="H1154" s="63">
        <f t="shared" si="132"/>
        <v>15040</v>
      </c>
      <c r="I1154" s="44"/>
    </row>
    <row r="1155" spans="3:13" s="59" customFormat="1" ht="22.2" customHeight="1">
      <c r="C1155" s="450" t="s">
        <v>1208</v>
      </c>
      <c r="D1155" s="67"/>
      <c r="E1155" s="67"/>
      <c r="F1155" s="142"/>
      <c r="G1155" s="153"/>
      <c r="H1155" s="63">
        <f>SUM(H1152:H1154)</f>
        <v>172725</v>
      </c>
      <c r="I1155" s="154"/>
    </row>
    <row r="1156" spans="3:13" s="59" customFormat="1" ht="22.2" customHeight="1">
      <c r="C1156" s="61" t="s">
        <v>1209</v>
      </c>
      <c r="D1156" s="56" t="s">
        <v>1210</v>
      </c>
      <c r="E1156" s="57"/>
      <c r="F1156" s="57"/>
      <c r="G1156" s="57"/>
      <c r="H1156" s="57"/>
      <c r="I1156" s="44"/>
    </row>
    <row r="1157" spans="3:13" s="59" customFormat="1" ht="22.2" customHeight="1">
      <c r="C1157" s="450" t="s">
        <v>1214</v>
      </c>
      <c r="D1157" s="67"/>
      <c r="E1157" s="67"/>
      <c r="F1157" s="67"/>
      <c r="G1157" s="69"/>
      <c r="H1157" s="63">
        <f>SUM(H1156:H1156)</f>
        <v>0</v>
      </c>
      <c r="I1157" s="44"/>
    </row>
    <row r="1158" spans="3:13" s="59" customFormat="1" ht="22.2" customHeight="1">
      <c r="C1158" s="61" t="s">
        <v>1215</v>
      </c>
      <c r="D1158" s="56" t="s">
        <v>1216</v>
      </c>
      <c r="E1158" s="93"/>
      <c r="F1158" s="57"/>
      <c r="G1158" s="57"/>
      <c r="H1158" s="57"/>
      <c r="I1158" s="44"/>
    </row>
    <row r="1159" spans="3:13" s="59" customFormat="1" ht="22.2" customHeight="1">
      <c r="C1159" s="800">
        <v>1</v>
      </c>
      <c r="D1159" s="56" t="s">
        <v>8463</v>
      </c>
      <c r="E1159" s="93" t="s">
        <v>4414</v>
      </c>
      <c r="F1159" s="104">
        <v>8.5000000000000006E-2</v>
      </c>
      <c r="G1159" s="63">
        <f>VLOOKUP(D1159,upahbahan,3,FALSE)</f>
        <v>75000</v>
      </c>
      <c r="H1159" s="63">
        <f t="shared" ref="H1159" si="133">F1159*G1159</f>
        <v>6375.0000000000009</v>
      </c>
      <c r="I1159" s="44"/>
    </row>
    <row r="1160" spans="3:13" s="59" customFormat="1" ht="22.2" customHeight="1">
      <c r="C1160" s="450" t="s">
        <v>1217</v>
      </c>
      <c r="D1160" s="67"/>
      <c r="E1160" s="67"/>
      <c r="F1160" s="67"/>
      <c r="G1160" s="69"/>
      <c r="H1160" s="882">
        <f>SUM(H1158:H1159)</f>
        <v>6375.0000000000009</v>
      </c>
      <c r="I1160" s="44"/>
    </row>
    <row r="1161" spans="3:13" s="59" customFormat="1" ht="22.2" customHeight="1">
      <c r="C1161" s="288" t="s">
        <v>1218</v>
      </c>
      <c r="D1161" s="76" t="s">
        <v>1219</v>
      </c>
      <c r="E1161" s="77"/>
      <c r="F1161" s="77"/>
      <c r="G1161" s="78"/>
      <c r="H1161" s="585">
        <f>H1160+H1157+H1155</f>
        <v>179100</v>
      </c>
      <c r="I1161" s="369"/>
    </row>
    <row r="1162" spans="3:13" s="59" customFormat="1" ht="22.2" customHeight="1">
      <c r="C1162" s="288" t="s">
        <v>1220</v>
      </c>
      <c r="D1162" s="76" t="s">
        <v>1321</v>
      </c>
      <c r="E1162" s="77"/>
      <c r="F1162" s="78"/>
      <c r="G1162" s="80">
        <v>0.1</v>
      </c>
      <c r="H1162" s="63">
        <f>H1161*G1162</f>
        <v>17910</v>
      </c>
      <c r="I1162" s="369"/>
    </row>
    <row r="1163" spans="3:13" s="59" customFormat="1" ht="22.2" customHeight="1">
      <c r="C1163" s="288" t="s">
        <v>1221</v>
      </c>
      <c r="D1163" s="76" t="s">
        <v>1222</v>
      </c>
      <c r="E1163" s="77"/>
      <c r="F1163" s="77"/>
      <c r="G1163" s="78"/>
      <c r="H1163" s="799">
        <f>SUM(H1161:H1162)</f>
        <v>197010</v>
      </c>
      <c r="I1163" s="369"/>
    </row>
    <row r="1164" spans="3:13" ht="22.2" customHeight="1"/>
    <row r="1165" spans="3:13" s="59" customFormat="1" ht="22.2" customHeight="1">
      <c r="C1165" s="46" t="s">
        <v>4880</v>
      </c>
      <c r="D1165" s="794" t="s">
        <v>8473</v>
      </c>
      <c r="E1165" s="794"/>
      <c r="F1165" s="794"/>
      <c r="G1165" s="794"/>
      <c r="H1165" s="794"/>
      <c r="I1165" s="50">
        <f>ROUNDDOWN(H1179,-2)</f>
        <v>245500</v>
      </c>
      <c r="J1165" s="59" t="s">
        <v>6451</v>
      </c>
      <c r="K1165" s="59" t="s">
        <v>8371</v>
      </c>
    </row>
    <row r="1166" spans="3:13" s="59" customFormat="1" ht="22.2" customHeight="1">
      <c r="C1166" s="591" t="s">
        <v>1195</v>
      </c>
      <c r="D1166" s="591" t="s">
        <v>1196</v>
      </c>
      <c r="E1166" s="591" t="s">
        <v>1197</v>
      </c>
      <c r="F1166" s="591" t="s">
        <v>1198</v>
      </c>
      <c r="G1166" s="591" t="s">
        <v>1199</v>
      </c>
      <c r="H1166" s="591" t="s">
        <v>1200</v>
      </c>
      <c r="I1166" s="44"/>
    </row>
    <row r="1167" spans="3:13" s="59" customFormat="1" ht="22.2" customHeight="1">
      <c r="C1167" s="61" t="s">
        <v>1201</v>
      </c>
      <c r="D1167" s="56" t="s">
        <v>1202</v>
      </c>
      <c r="E1167" s="57"/>
      <c r="F1167" s="57"/>
      <c r="G1167" s="57"/>
      <c r="H1167" s="57"/>
      <c r="I1167" s="44"/>
      <c r="J1167" s="152" t="s">
        <v>1247</v>
      </c>
    </row>
    <row r="1168" spans="3:13" s="59" customFormat="1" ht="22.2" customHeight="1">
      <c r="C1168" s="588">
        <v>1</v>
      </c>
      <c r="D1168" s="56" t="s">
        <v>5</v>
      </c>
      <c r="E1168" s="577" t="s">
        <v>6</v>
      </c>
      <c r="F1168" s="101">
        <v>1.175</v>
      </c>
      <c r="G1168" s="63">
        <f>VLOOKUP(D1168,upahbahan,3,FALSE)</f>
        <v>100000</v>
      </c>
      <c r="H1168" s="63">
        <f>F1168*G1168</f>
        <v>117500</v>
      </c>
      <c r="I1168" s="44"/>
      <c r="J1168" s="152" t="s">
        <v>1248</v>
      </c>
      <c r="M1168" s="65">
        <v>0.1</v>
      </c>
    </row>
    <row r="1169" spans="3:13" s="59" customFormat="1" ht="22.2" customHeight="1">
      <c r="C1169" s="588">
        <v>2</v>
      </c>
      <c r="D1169" s="56" t="s">
        <v>10</v>
      </c>
      <c r="E1169" s="577" t="s">
        <v>6</v>
      </c>
      <c r="F1169" s="101">
        <v>0.58699999999999997</v>
      </c>
      <c r="G1169" s="63">
        <f>VLOOKUP(D1169,upahbahan,3,FALSE)</f>
        <v>135000</v>
      </c>
      <c r="H1169" s="63">
        <f t="shared" ref="H1169:H1170" si="134">F1169*G1169</f>
        <v>79245</v>
      </c>
      <c r="I1169" s="44"/>
      <c r="J1169" s="152"/>
      <c r="M1169" s="65"/>
    </row>
    <row r="1170" spans="3:13" s="59" customFormat="1" ht="22.2" customHeight="1">
      <c r="C1170" s="588">
        <v>3</v>
      </c>
      <c r="D1170" s="56" t="s">
        <v>19</v>
      </c>
      <c r="E1170" s="577" t="s">
        <v>6</v>
      </c>
      <c r="F1170" s="101">
        <v>0.11799999999999999</v>
      </c>
      <c r="G1170" s="63">
        <f>VLOOKUP(D1170,upahbahan,3,FALSE)</f>
        <v>160000</v>
      </c>
      <c r="H1170" s="63">
        <f t="shared" si="134"/>
        <v>18880</v>
      </c>
      <c r="I1170" s="44"/>
    </row>
    <row r="1171" spans="3:13" s="59" customFormat="1" ht="22.2" customHeight="1">
      <c r="C1171" s="450" t="s">
        <v>1208</v>
      </c>
      <c r="D1171" s="67"/>
      <c r="E1171" s="67"/>
      <c r="F1171" s="142"/>
      <c r="G1171" s="153"/>
      <c r="H1171" s="63">
        <f>SUM(H1168:H1170)</f>
        <v>215625</v>
      </c>
      <c r="I1171" s="154"/>
    </row>
    <row r="1172" spans="3:13" s="59" customFormat="1" ht="22.2" customHeight="1">
      <c r="C1172" s="61" t="s">
        <v>1209</v>
      </c>
      <c r="D1172" s="56" t="s">
        <v>1210</v>
      </c>
      <c r="E1172" s="57"/>
      <c r="F1172" s="57"/>
      <c r="G1172" s="57"/>
      <c r="H1172" s="57"/>
      <c r="I1172" s="44"/>
    </row>
    <row r="1173" spans="3:13" s="59" customFormat="1" ht="22.2" customHeight="1">
      <c r="C1173" s="450" t="s">
        <v>1214</v>
      </c>
      <c r="D1173" s="67"/>
      <c r="E1173" s="67"/>
      <c r="F1173" s="67"/>
      <c r="G1173" s="69"/>
      <c r="H1173" s="63">
        <f>SUM(H1172:H1172)</f>
        <v>0</v>
      </c>
      <c r="I1173" s="44"/>
    </row>
    <row r="1174" spans="3:13" s="59" customFormat="1" ht="22.2" customHeight="1">
      <c r="C1174" s="61" t="s">
        <v>1215</v>
      </c>
      <c r="D1174" s="56" t="s">
        <v>1216</v>
      </c>
      <c r="E1174" s="93"/>
      <c r="F1174" s="57"/>
      <c r="G1174" s="57"/>
      <c r="H1174" s="57"/>
      <c r="I1174" s="44"/>
    </row>
    <row r="1175" spans="3:13" s="59" customFormat="1" ht="22.2" customHeight="1">
      <c r="C1175" s="800">
        <v>1</v>
      </c>
      <c r="D1175" s="56" t="s">
        <v>8463</v>
      </c>
      <c r="E1175" s="93" t="s">
        <v>4414</v>
      </c>
      <c r="F1175" s="104">
        <v>0.10100000000000001</v>
      </c>
      <c r="G1175" s="63">
        <f>VLOOKUP(D1175,upahbahan,3,FALSE)</f>
        <v>75000</v>
      </c>
      <c r="H1175" s="63">
        <f t="shared" ref="H1175" si="135">F1175*G1175</f>
        <v>7575.0000000000009</v>
      </c>
      <c r="I1175" s="44"/>
    </row>
    <row r="1176" spans="3:13" s="59" customFormat="1" ht="22.2" customHeight="1">
      <c r="C1176" s="450" t="s">
        <v>1217</v>
      </c>
      <c r="D1176" s="67"/>
      <c r="E1176" s="67"/>
      <c r="F1176" s="67"/>
      <c r="G1176" s="69"/>
      <c r="H1176" s="882">
        <f>SUM(H1174:H1175)</f>
        <v>7575.0000000000009</v>
      </c>
      <c r="I1176" s="44"/>
    </row>
    <row r="1177" spans="3:13" s="59" customFormat="1" ht="22.2" customHeight="1">
      <c r="C1177" s="288" t="s">
        <v>1218</v>
      </c>
      <c r="D1177" s="76" t="s">
        <v>1219</v>
      </c>
      <c r="E1177" s="77"/>
      <c r="F1177" s="77"/>
      <c r="G1177" s="78"/>
      <c r="H1177" s="585">
        <f>H1176+H1173+H1171</f>
        <v>223200</v>
      </c>
      <c r="I1177" s="369"/>
    </row>
    <row r="1178" spans="3:13" s="59" customFormat="1" ht="22.2" customHeight="1">
      <c r="C1178" s="288" t="s">
        <v>1220</v>
      </c>
      <c r="D1178" s="76" t="s">
        <v>1321</v>
      </c>
      <c r="E1178" s="77"/>
      <c r="F1178" s="78"/>
      <c r="G1178" s="80">
        <v>0.1</v>
      </c>
      <c r="H1178" s="63">
        <f>H1177*G1178</f>
        <v>22320</v>
      </c>
      <c r="I1178" s="369"/>
    </row>
    <row r="1179" spans="3:13" s="59" customFormat="1" ht="22.2" customHeight="1">
      <c r="C1179" s="288" t="s">
        <v>1221</v>
      </c>
      <c r="D1179" s="76" t="s">
        <v>1222</v>
      </c>
      <c r="E1179" s="77"/>
      <c r="F1179" s="77"/>
      <c r="G1179" s="78"/>
      <c r="H1179" s="799">
        <f>SUM(H1177:H1178)</f>
        <v>245520</v>
      </c>
      <c r="I1179" s="369"/>
    </row>
    <row r="1180" spans="3:13" ht="22.2" customHeight="1"/>
    <row r="1181" spans="3:13" s="59" customFormat="1" ht="22.2" customHeight="1">
      <c r="C1181" s="46" t="s">
        <v>4881</v>
      </c>
      <c r="D1181" s="794" t="s">
        <v>8474</v>
      </c>
      <c r="E1181" s="794"/>
      <c r="F1181" s="794"/>
      <c r="G1181" s="794"/>
      <c r="H1181" s="794"/>
      <c r="I1181" s="50">
        <f>ROUNDDOWN(H1195,-2)</f>
        <v>331000</v>
      </c>
      <c r="J1181" s="59" t="s">
        <v>6451</v>
      </c>
      <c r="K1181" s="59" t="s">
        <v>8371</v>
      </c>
    </row>
    <row r="1182" spans="3:13" s="59" customFormat="1" ht="22.2" customHeight="1">
      <c r="C1182" s="591" t="s">
        <v>1195</v>
      </c>
      <c r="D1182" s="591" t="s">
        <v>1196</v>
      </c>
      <c r="E1182" s="591" t="s">
        <v>1197</v>
      </c>
      <c r="F1182" s="591" t="s">
        <v>1198</v>
      </c>
      <c r="G1182" s="591" t="s">
        <v>1199</v>
      </c>
      <c r="H1182" s="591" t="s">
        <v>1200</v>
      </c>
      <c r="I1182" s="44"/>
    </row>
    <row r="1183" spans="3:13" s="59" customFormat="1" ht="22.2" customHeight="1">
      <c r="C1183" s="61" t="s">
        <v>1201</v>
      </c>
      <c r="D1183" s="56" t="s">
        <v>1202</v>
      </c>
      <c r="E1183" s="57"/>
      <c r="F1183" s="57"/>
      <c r="G1183" s="57"/>
      <c r="H1183" s="57"/>
      <c r="I1183" s="44"/>
      <c r="J1183" s="152" t="s">
        <v>1247</v>
      </c>
    </row>
    <row r="1184" spans="3:13" s="59" customFormat="1" ht="22.2" customHeight="1">
      <c r="C1184" s="588">
        <v>1</v>
      </c>
      <c r="D1184" s="56" t="s">
        <v>5</v>
      </c>
      <c r="E1184" s="577" t="s">
        <v>6</v>
      </c>
      <c r="F1184" s="101">
        <v>1.5669999999999999</v>
      </c>
      <c r="G1184" s="63">
        <f>VLOOKUP(D1184,upahbahan,3,FALSE)</f>
        <v>100000</v>
      </c>
      <c r="H1184" s="63">
        <f>F1184*G1184</f>
        <v>156700</v>
      </c>
      <c r="I1184" s="44"/>
      <c r="J1184" s="152" t="s">
        <v>1248</v>
      </c>
      <c r="M1184" s="65">
        <v>0.1</v>
      </c>
    </row>
    <row r="1185" spans="3:13" s="59" customFormat="1" ht="22.2" customHeight="1">
      <c r="C1185" s="588">
        <v>2</v>
      </c>
      <c r="D1185" s="56" t="s">
        <v>10</v>
      </c>
      <c r="E1185" s="577" t="s">
        <v>6</v>
      </c>
      <c r="F1185" s="101">
        <v>0.78300000000000003</v>
      </c>
      <c r="G1185" s="63">
        <f>VLOOKUP(D1185,upahbahan,3,FALSE)</f>
        <v>135000</v>
      </c>
      <c r="H1185" s="63">
        <f t="shared" ref="H1185:H1186" si="136">F1185*G1185</f>
        <v>105705</v>
      </c>
      <c r="I1185" s="44"/>
      <c r="J1185" s="152"/>
      <c r="M1185" s="65"/>
    </row>
    <row r="1186" spans="3:13" s="59" customFormat="1" ht="22.2" customHeight="1">
      <c r="C1186" s="588">
        <v>3</v>
      </c>
      <c r="D1186" s="56" t="s">
        <v>19</v>
      </c>
      <c r="E1186" s="577" t="s">
        <v>6</v>
      </c>
      <c r="F1186" s="101">
        <v>0.157</v>
      </c>
      <c r="G1186" s="63">
        <f>VLOOKUP(D1186,upahbahan,3,FALSE)</f>
        <v>160000</v>
      </c>
      <c r="H1186" s="63">
        <f t="shared" si="136"/>
        <v>25120</v>
      </c>
      <c r="I1186" s="44"/>
    </row>
    <row r="1187" spans="3:13" s="59" customFormat="1" ht="22.2" customHeight="1">
      <c r="C1187" s="450" t="s">
        <v>1208</v>
      </c>
      <c r="D1187" s="67"/>
      <c r="E1187" s="67"/>
      <c r="F1187" s="142"/>
      <c r="G1187" s="153"/>
      <c r="H1187" s="63">
        <f>SUM(H1184:H1186)</f>
        <v>287525</v>
      </c>
      <c r="I1187" s="154"/>
    </row>
    <row r="1188" spans="3:13" s="59" customFormat="1" ht="22.2" customHeight="1">
      <c r="C1188" s="61" t="s">
        <v>1209</v>
      </c>
      <c r="D1188" s="56" t="s">
        <v>1210</v>
      </c>
      <c r="E1188" s="57"/>
      <c r="F1188" s="57"/>
      <c r="G1188" s="57"/>
      <c r="H1188" s="57"/>
      <c r="I1188" s="44"/>
    </row>
    <row r="1189" spans="3:13" s="59" customFormat="1" ht="22.2" customHeight="1">
      <c r="C1189" s="450" t="s">
        <v>1214</v>
      </c>
      <c r="D1189" s="67"/>
      <c r="E1189" s="67"/>
      <c r="F1189" s="67"/>
      <c r="G1189" s="69"/>
      <c r="H1189" s="63">
        <f>SUM(H1188:H1188)</f>
        <v>0</v>
      </c>
      <c r="I1189" s="44"/>
    </row>
    <row r="1190" spans="3:13" s="59" customFormat="1" ht="22.2" customHeight="1">
      <c r="C1190" s="61" t="s">
        <v>1215</v>
      </c>
      <c r="D1190" s="56" t="s">
        <v>1216</v>
      </c>
      <c r="E1190" s="93"/>
      <c r="F1190" s="57"/>
      <c r="G1190" s="57"/>
      <c r="H1190" s="57"/>
      <c r="I1190" s="44"/>
    </row>
    <row r="1191" spans="3:13" s="59" customFormat="1" ht="22.2" customHeight="1">
      <c r="C1191" s="800">
        <v>1</v>
      </c>
      <c r="D1191" s="56" t="s">
        <v>8463</v>
      </c>
      <c r="E1191" s="93" t="s">
        <v>4414</v>
      </c>
      <c r="F1191" s="104">
        <v>0.17899999999999999</v>
      </c>
      <c r="G1191" s="63">
        <f>VLOOKUP(D1191,upahbahan,3,FALSE)</f>
        <v>75000</v>
      </c>
      <c r="H1191" s="63">
        <f t="shared" ref="H1191" si="137">F1191*G1191</f>
        <v>13425</v>
      </c>
      <c r="I1191" s="44"/>
    </row>
    <row r="1192" spans="3:13" s="59" customFormat="1" ht="22.2" customHeight="1">
      <c r="C1192" s="450" t="s">
        <v>1217</v>
      </c>
      <c r="D1192" s="67"/>
      <c r="E1192" s="67"/>
      <c r="F1192" s="67"/>
      <c r="G1192" s="69"/>
      <c r="H1192" s="882">
        <f>SUM(H1190:H1191)</f>
        <v>13425</v>
      </c>
      <c r="I1192" s="44"/>
    </row>
    <row r="1193" spans="3:13" s="59" customFormat="1" ht="22.2" customHeight="1">
      <c r="C1193" s="288" t="s">
        <v>1218</v>
      </c>
      <c r="D1193" s="76" t="s">
        <v>1219</v>
      </c>
      <c r="E1193" s="77"/>
      <c r="F1193" s="77"/>
      <c r="G1193" s="78"/>
      <c r="H1193" s="585">
        <f>H1192+H1189+H1187</f>
        <v>300950</v>
      </c>
      <c r="I1193" s="369"/>
    </row>
    <row r="1194" spans="3:13" s="59" customFormat="1" ht="22.2" customHeight="1">
      <c r="C1194" s="288" t="s">
        <v>1220</v>
      </c>
      <c r="D1194" s="76" t="s">
        <v>1321</v>
      </c>
      <c r="E1194" s="77"/>
      <c r="F1194" s="78"/>
      <c r="G1194" s="80">
        <v>0.1</v>
      </c>
      <c r="H1194" s="63">
        <f>H1193*G1194</f>
        <v>30095</v>
      </c>
      <c r="I1194" s="369"/>
    </row>
    <row r="1195" spans="3:13" s="59" customFormat="1" ht="22.2" customHeight="1">
      <c r="C1195" s="288" t="s">
        <v>1221</v>
      </c>
      <c r="D1195" s="76" t="s">
        <v>1222</v>
      </c>
      <c r="E1195" s="77"/>
      <c r="F1195" s="77"/>
      <c r="G1195" s="78"/>
      <c r="H1195" s="799">
        <f>SUM(H1193:H1194)</f>
        <v>331045</v>
      </c>
      <c r="I1195" s="369"/>
    </row>
    <row r="1196" spans="3:13" ht="22.2" customHeight="1"/>
    <row r="1197" spans="3:13" s="59" customFormat="1" ht="22.2" customHeight="1">
      <c r="C1197" s="46" t="s">
        <v>4882</v>
      </c>
      <c r="D1197" s="794" t="s">
        <v>8475</v>
      </c>
      <c r="E1197" s="794"/>
      <c r="F1197" s="794"/>
      <c r="G1197" s="794"/>
      <c r="H1197" s="794"/>
      <c r="I1197" s="50">
        <f>ROUNDDOWN(H1211,-2)</f>
        <v>379500</v>
      </c>
      <c r="J1197" s="59" t="s">
        <v>6451</v>
      </c>
      <c r="K1197" s="59" t="s">
        <v>8371</v>
      </c>
    </row>
    <row r="1198" spans="3:13" s="59" customFormat="1" ht="22.2" customHeight="1">
      <c r="C1198" s="591" t="s">
        <v>1195</v>
      </c>
      <c r="D1198" s="591" t="s">
        <v>1196</v>
      </c>
      <c r="E1198" s="591" t="s">
        <v>1197</v>
      </c>
      <c r="F1198" s="591" t="s">
        <v>1198</v>
      </c>
      <c r="G1198" s="591" t="s">
        <v>1199</v>
      </c>
      <c r="H1198" s="591" t="s">
        <v>1200</v>
      </c>
      <c r="I1198" s="44"/>
    </row>
    <row r="1199" spans="3:13" s="59" customFormat="1" ht="22.2" customHeight="1">
      <c r="C1199" s="61" t="s">
        <v>1201</v>
      </c>
      <c r="D1199" s="56" t="s">
        <v>1202</v>
      </c>
      <c r="E1199" s="57"/>
      <c r="F1199" s="57"/>
      <c r="G1199" s="57"/>
      <c r="H1199" s="57"/>
      <c r="I1199" s="44"/>
      <c r="J1199" s="152" t="s">
        <v>1247</v>
      </c>
    </row>
    <row r="1200" spans="3:13" s="59" customFormat="1" ht="22.2" customHeight="1">
      <c r="C1200" s="588">
        <v>1</v>
      </c>
      <c r="D1200" s="56" t="s">
        <v>5</v>
      </c>
      <c r="E1200" s="577" t="s">
        <v>6</v>
      </c>
      <c r="F1200" s="101">
        <v>1.77</v>
      </c>
      <c r="G1200" s="63">
        <f>VLOOKUP(D1200,upahbahan,3,FALSE)</f>
        <v>100000</v>
      </c>
      <c r="H1200" s="63">
        <f>F1200*G1200</f>
        <v>177000</v>
      </c>
      <c r="I1200" s="44"/>
      <c r="J1200" s="152" t="s">
        <v>1248</v>
      </c>
      <c r="M1200" s="65">
        <v>0.1</v>
      </c>
    </row>
    <row r="1201" spans="3:13" s="59" customFormat="1" ht="22.2" customHeight="1">
      <c r="C1201" s="588">
        <v>2</v>
      </c>
      <c r="D1201" s="56" t="s">
        <v>10</v>
      </c>
      <c r="E1201" s="577" t="s">
        <v>6</v>
      </c>
      <c r="F1201" s="101">
        <v>0.88500000000000001</v>
      </c>
      <c r="G1201" s="63">
        <f>VLOOKUP(D1201,upahbahan,3,FALSE)</f>
        <v>135000</v>
      </c>
      <c r="H1201" s="63">
        <f t="shared" ref="H1201:H1202" si="138">F1201*G1201</f>
        <v>119475</v>
      </c>
      <c r="I1201" s="44"/>
      <c r="J1201" s="152"/>
      <c r="M1201" s="65"/>
    </row>
    <row r="1202" spans="3:13" s="59" customFormat="1" ht="22.2" customHeight="1">
      <c r="C1202" s="588">
        <v>3</v>
      </c>
      <c r="D1202" s="56" t="s">
        <v>19</v>
      </c>
      <c r="E1202" s="577" t="s">
        <v>6</v>
      </c>
      <c r="F1202" s="101">
        <v>0.17699999999999999</v>
      </c>
      <c r="G1202" s="63">
        <f>VLOOKUP(D1202,upahbahan,3,FALSE)</f>
        <v>160000</v>
      </c>
      <c r="H1202" s="63">
        <f t="shared" si="138"/>
        <v>28320</v>
      </c>
      <c r="I1202" s="44"/>
    </row>
    <row r="1203" spans="3:13" s="59" customFormat="1" ht="22.2" customHeight="1">
      <c r="C1203" s="450" t="s">
        <v>1208</v>
      </c>
      <c r="D1203" s="67"/>
      <c r="E1203" s="67"/>
      <c r="F1203" s="142"/>
      <c r="G1203" s="153"/>
      <c r="H1203" s="63">
        <f>SUM(H1200:H1202)</f>
        <v>324795</v>
      </c>
      <c r="I1203" s="154"/>
    </row>
    <row r="1204" spans="3:13" s="59" customFormat="1" ht="22.2" customHeight="1">
      <c r="C1204" s="61" t="s">
        <v>1209</v>
      </c>
      <c r="D1204" s="56" t="s">
        <v>1210</v>
      </c>
      <c r="E1204" s="57"/>
      <c r="F1204" s="57"/>
      <c r="G1204" s="57"/>
      <c r="H1204" s="57"/>
      <c r="I1204" s="44"/>
    </row>
    <row r="1205" spans="3:13" s="59" customFormat="1" ht="22.2" customHeight="1">
      <c r="C1205" s="450" t="s">
        <v>1214</v>
      </c>
      <c r="D1205" s="67"/>
      <c r="E1205" s="67"/>
      <c r="F1205" s="67"/>
      <c r="G1205" s="69"/>
      <c r="H1205" s="63">
        <f>SUM(H1204:H1204)</f>
        <v>0</v>
      </c>
      <c r="I1205" s="44"/>
    </row>
    <row r="1206" spans="3:13" s="59" customFormat="1" ht="22.2" customHeight="1">
      <c r="C1206" s="61" t="s">
        <v>1215</v>
      </c>
      <c r="D1206" s="56" t="s">
        <v>1216</v>
      </c>
      <c r="E1206" s="93"/>
      <c r="F1206" s="57"/>
      <c r="G1206" s="57"/>
      <c r="H1206" s="57"/>
      <c r="I1206" s="44"/>
    </row>
    <row r="1207" spans="3:13" s="59" customFormat="1" ht="22.2" customHeight="1">
      <c r="C1207" s="800">
        <v>1</v>
      </c>
      <c r="D1207" s="56" t="s">
        <v>8463</v>
      </c>
      <c r="E1207" s="93" t="s">
        <v>4414</v>
      </c>
      <c r="F1207" s="104">
        <v>0.27</v>
      </c>
      <c r="G1207" s="63">
        <f>VLOOKUP(D1207,upahbahan,3,FALSE)</f>
        <v>75000</v>
      </c>
      <c r="H1207" s="63">
        <f t="shared" ref="H1207" si="139">F1207*G1207</f>
        <v>20250</v>
      </c>
      <c r="I1207" s="44"/>
    </row>
    <row r="1208" spans="3:13" s="59" customFormat="1" ht="22.2" customHeight="1">
      <c r="C1208" s="450" t="s">
        <v>1217</v>
      </c>
      <c r="D1208" s="67"/>
      <c r="E1208" s="67"/>
      <c r="F1208" s="67"/>
      <c r="G1208" s="69"/>
      <c r="H1208" s="882">
        <f>SUM(H1206:H1207)</f>
        <v>20250</v>
      </c>
      <c r="I1208" s="44"/>
    </row>
    <row r="1209" spans="3:13" s="59" customFormat="1" ht="22.2" customHeight="1">
      <c r="C1209" s="288" t="s">
        <v>1218</v>
      </c>
      <c r="D1209" s="76" t="s">
        <v>1219</v>
      </c>
      <c r="E1209" s="77"/>
      <c r="F1209" s="77"/>
      <c r="G1209" s="78"/>
      <c r="H1209" s="585">
        <f>H1208+H1205+H1203</f>
        <v>345045</v>
      </c>
      <c r="I1209" s="369"/>
    </row>
    <row r="1210" spans="3:13" s="59" customFormat="1" ht="22.2" customHeight="1">
      <c r="C1210" s="288" t="s">
        <v>1220</v>
      </c>
      <c r="D1210" s="76" t="s">
        <v>1321</v>
      </c>
      <c r="E1210" s="77"/>
      <c r="F1210" s="78"/>
      <c r="G1210" s="80">
        <v>0.1</v>
      </c>
      <c r="H1210" s="63">
        <f>H1209*G1210</f>
        <v>34504.5</v>
      </c>
      <c r="I1210" s="369"/>
    </row>
    <row r="1211" spans="3:13" s="59" customFormat="1" ht="22.2" customHeight="1">
      <c r="C1211" s="288" t="s">
        <v>1221</v>
      </c>
      <c r="D1211" s="76" t="s">
        <v>1222</v>
      </c>
      <c r="E1211" s="77"/>
      <c r="F1211" s="77"/>
      <c r="G1211" s="78"/>
      <c r="H1211" s="799">
        <f>SUM(H1209:H1210)</f>
        <v>379549.5</v>
      </c>
      <c r="I1211" s="369"/>
    </row>
    <row r="1212" spans="3:13" ht="22.2" customHeight="1"/>
    <row r="1213" spans="3:13" s="59" customFormat="1" ht="22.2" customHeight="1">
      <c r="C1213" s="46" t="s">
        <v>4883</v>
      </c>
      <c r="D1213" s="794" t="s">
        <v>8476</v>
      </c>
      <c r="E1213" s="794"/>
      <c r="F1213" s="794"/>
      <c r="G1213" s="794"/>
      <c r="H1213" s="794"/>
      <c r="I1213" s="50">
        <f>ROUNDDOWN(H1227,-2)</f>
        <v>425700</v>
      </c>
      <c r="J1213" s="59" t="s">
        <v>6451</v>
      </c>
      <c r="K1213" s="59" t="s">
        <v>8371</v>
      </c>
    </row>
    <row r="1214" spans="3:13" s="59" customFormat="1" ht="22.2" customHeight="1">
      <c r="C1214" s="591" t="s">
        <v>1195</v>
      </c>
      <c r="D1214" s="591" t="s">
        <v>1196</v>
      </c>
      <c r="E1214" s="591" t="s">
        <v>1197</v>
      </c>
      <c r="F1214" s="591" t="s">
        <v>1198</v>
      </c>
      <c r="G1214" s="591" t="s">
        <v>1199</v>
      </c>
      <c r="H1214" s="591" t="s">
        <v>1200</v>
      </c>
      <c r="I1214" s="44"/>
    </row>
    <row r="1215" spans="3:13" s="59" customFormat="1" ht="22.2" customHeight="1">
      <c r="C1215" s="61" t="s">
        <v>1201</v>
      </c>
      <c r="D1215" s="56" t="s">
        <v>1202</v>
      </c>
      <c r="E1215" s="57"/>
      <c r="F1215" s="57"/>
      <c r="G1215" s="57"/>
      <c r="H1215" s="57"/>
      <c r="I1215" s="44"/>
      <c r="J1215" s="152" t="s">
        <v>1247</v>
      </c>
    </row>
    <row r="1216" spans="3:13" s="59" customFormat="1" ht="22.2" customHeight="1">
      <c r="C1216" s="588">
        <v>1</v>
      </c>
      <c r="D1216" s="56" t="s">
        <v>5</v>
      </c>
      <c r="E1216" s="577" t="s">
        <v>6</v>
      </c>
      <c r="F1216" s="101">
        <v>1.974</v>
      </c>
      <c r="G1216" s="63">
        <f>VLOOKUP(D1216,upahbahan,3,FALSE)</f>
        <v>100000</v>
      </c>
      <c r="H1216" s="63">
        <f>F1216*G1216</f>
        <v>197400</v>
      </c>
      <c r="I1216" s="44"/>
      <c r="J1216" s="152" t="s">
        <v>1248</v>
      </c>
      <c r="M1216" s="65">
        <v>0.1</v>
      </c>
    </row>
    <row r="1217" spans="3:13" s="59" customFormat="1" ht="22.2" customHeight="1">
      <c r="C1217" s="588">
        <v>2</v>
      </c>
      <c r="D1217" s="56" t="s">
        <v>10</v>
      </c>
      <c r="E1217" s="577" t="s">
        <v>6</v>
      </c>
      <c r="F1217" s="101">
        <v>0.98699999999999999</v>
      </c>
      <c r="G1217" s="63">
        <f>VLOOKUP(D1217,upahbahan,3,FALSE)</f>
        <v>135000</v>
      </c>
      <c r="H1217" s="63">
        <f t="shared" ref="H1217:H1218" si="140">F1217*G1217</f>
        <v>133245</v>
      </c>
      <c r="I1217" s="44"/>
      <c r="J1217" s="152"/>
      <c r="M1217" s="65"/>
    </row>
    <row r="1218" spans="3:13" s="59" customFormat="1" ht="22.2" customHeight="1">
      <c r="C1218" s="588">
        <v>3</v>
      </c>
      <c r="D1218" s="56" t="s">
        <v>19</v>
      </c>
      <c r="E1218" s="577" t="s">
        <v>6</v>
      </c>
      <c r="F1218" s="101">
        <v>0.19700000000000001</v>
      </c>
      <c r="G1218" s="63">
        <f>VLOOKUP(D1218,upahbahan,3,FALSE)</f>
        <v>160000</v>
      </c>
      <c r="H1218" s="63">
        <f t="shared" si="140"/>
        <v>31520</v>
      </c>
      <c r="I1218" s="44"/>
    </row>
    <row r="1219" spans="3:13" s="59" customFormat="1" ht="22.2" customHeight="1">
      <c r="C1219" s="450" t="s">
        <v>1208</v>
      </c>
      <c r="D1219" s="67"/>
      <c r="E1219" s="67"/>
      <c r="F1219" s="142"/>
      <c r="G1219" s="153"/>
      <c r="H1219" s="63">
        <f>SUM(H1216:H1218)</f>
        <v>362165</v>
      </c>
      <c r="I1219" s="154"/>
    </row>
    <row r="1220" spans="3:13" s="59" customFormat="1" ht="22.2" customHeight="1">
      <c r="C1220" s="61" t="s">
        <v>1209</v>
      </c>
      <c r="D1220" s="56" t="s">
        <v>1210</v>
      </c>
      <c r="E1220" s="57"/>
      <c r="F1220" s="57"/>
      <c r="G1220" s="57"/>
      <c r="H1220" s="57"/>
      <c r="I1220" s="44"/>
    </row>
    <row r="1221" spans="3:13" s="59" customFormat="1" ht="22.2" customHeight="1">
      <c r="C1221" s="450" t="s">
        <v>1214</v>
      </c>
      <c r="D1221" s="67"/>
      <c r="E1221" s="67"/>
      <c r="F1221" s="67"/>
      <c r="G1221" s="69"/>
      <c r="H1221" s="63">
        <f>SUM(H1220:H1220)</f>
        <v>0</v>
      </c>
      <c r="I1221" s="44"/>
    </row>
    <row r="1222" spans="3:13" s="59" customFormat="1" ht="22.2" customHeight="1">
      <c r="C1222" s="61" t="s">
        <v>1215</v>
      </c>
      <c r="D1222" s="56" t="s">
        <v>1216</v>
      </c>
      <c r="E1222" s="93"/>
      <c r="F1222" s="57"/>
      <c r="G1222" s="57"/>
      <c r="H1222" s="57"/>
      <c r="I1222" s="44"/>
    </row>
    <row r="1223" spans="3:13" s="59" customFormat="1" ht="22.2" customHeight="1">
      <c r="C1223" s="800">
        <v>1</v>
      </c>
      <c r="D1223" s="56" t="s">
        <v>8463</v>
      </c>
      <c r="E1223" s="93" t="s">
        <v>4414</v>
      </c>
      <c r="F1223" s="104">
        <v>0.33200000000000002</v>
      </c>
      <c r="G1223" s="63">
        <f>VLOOKUP(D1223,upahbahan,3,FALSE)</f>
        <v>75000</v>
      </c>
      <c r="H1223" s="63">
        <f t="shared" ref="H1223" si="141">F1223*G1223</f>
        <v>24900</v>
      </c>
      <c r="I1223" s="44"/>
    </row>
    <row r="1224" spans="3:13" s="59" customFormat="1" ht="22.2" customHeight="1">
      <c r="C1224" s="450" t="s">
        <v>1217</v>
      </c>
      <c r="D1224" s="67"/>
      <c r="E1224" s="67"/>
      <c r="F1224" s="67"/>
      <c r="G1224" s="69"/>
      <c r="H1224" s="882">
        <f>SUM(H1222:H1223)</f>
        <v>24900</v>
      </c>
      <c r="I1224" s="44"/>
    </row>
    <row r="1225" spans="3:13" s="59" customFormat="1" ht="22.2" customHeight="1">
      <c r="C1225" s="288" t="s">
        <v>1218</v>
      </c>
      <c r="D1225" s="76" t="s">
        <v>1219</v>
      </c>
      <c r="E1225" s="77"/>
      <c r="F1225" s="77"/>
      <c r="G1225" s="78"/>
      <c r="H1225" s="585">
        <f>H1224+H1221+H1219</f>
        <v>387065</v>
      </c>
      <c r="I1225" s="369"/>
    </row>
    <row r="1226" spans="3:13" s="59" customFormat="1" ht="22.2" customHeight="1">
      <c r="C1226" s="288" t="s">
        <v>1220</v>
      </c>
      <c r="D1226" s="76" t="s">
        <v>1321</v>
      </c>
      <c r="E1226" s="77"/>
      <c r="F1226" s="78"/>
      <c r="G1226" s="80">
        <v>0.1</v>
      </c>
      <c r="H1226" s="63">
        <f>H1225*G1226</f>
        <v>38706.5</v>
      </c>
      <c r="I1226" s="369"/>
    </row>
    <row r="1227" spans="3:13" s="59" customFormat="1" ht="22.2" customHeight="1">
      <c r="C1227" s="288" t="s">
        <v>1221</v>
      </c>
      <c r="D1227" s="76" t="s">
        <v>1222</v>
      </c>
      <c r="E1227" s="77"/>
      <c r="F1227" s="77"/>
      <c r="G1227" s="78"/>
      <c r="H1227" s="799">
        <f>SUM(H1225:H1226)</f>
        <v>425771.5</v>
      </c>
      <c r="I1227" s="369"/>
    </row>
    <row r="1228" spans="3:13" ht="22.2" customHeight="1"/>
    <row r="1229" spans="3:13" ht="22.2" customHeight="1"/>
    <row r="1230" spans="3:13" s="59" customFormat="1" ht="22.2" customHeight="1">
      <c r="C1230" s="46" t="s">
        <v>4884</v>
      </c>
      <c r="D1230" s="794" t="s">
        <v>8477</v>
      </c>
      <c r="E1230" s="794"/>
      <c r="F1230" s="794"/>
      <c r="G1230" s="794"/>
      <c r="H1230" s="794"/>
      <c r="I1230" s="50">
        <f>ROUNDDOWN(H1244,-2)</f>
        <v>469700</v>
      </c>
      <c r="J1230" s="59" t="s">
        <v>6451</v>
      </c>
      <c r="K1230" s="59" t="s">
        <v>8371</v>
      </c>
    </row>
    <row r="1231" spans="3:13" s="59" customFormat="1" ht="22.2" customHeight="1">
      <c r="C1231" s="591" t="s">
        <v>1195</v>
      </c>
      <c r="D1231" s="591" t="s">
        <v>1196</v>
      </c>
      <c r="E1231" s="591" t="s">
        <v>1197</v>
      </c>
      <c r="F1231" s="591" t="s">
        <v>1198</v>
      </c>
      <c r="G1231" s="591" t="s">
        <v>1199</v>
      </c>
      <c r="H1231" s="591" t="s">
        <v>1200</v>
      </c>
      <c r="I1231" s="44"/>
    </row>
    <row r="1232" spans="3:13" s="59" customFormat="1" ht="22.2" customHeight="1">
      <c r="C1232" s="61" t="s">
        <v>1201</v>
      </c>
      <c r="D1232" s="56" t="s">
        <v>1202</v>
      </c>
      <c r="E1232" s="57"/>
      <c r="F1232" s="57"/>
      <c r="G1232" s="57"/>
      <c r="H1232" s="57"/>
      <c r="I1232" s="44"/>
      <c r="J1232" s="152" t="s">
        <v>1247</v>
      </c>
    </row>
    <row r="1233" spans="3:13" s="59" customFormat="1" ht="22.2" customHeight="1">
      <c r="C1233" s="588">
        <v>1</v>
      </c>
      <c r="D1233" s="56" t="s">
        <v>5</v>
      </c>
      <c r="E1233" s="577" t="s">
        <v>6</v>
      </c>
      <c r="F1233" s="101">
        <v>2.1779999999999999</v>
      </c>
      <c r="G1233" s="63">
        <f>VLOOKUP(D1233,upahbahan,3,FALSE)</f>
        <v>100000</v>
      </c>
      <c r="H1233" s="63">
        <f>F1233*G1233</f>
        <v>217800</v>
      </c>
      <c r="I1233" s="44"/>
      <c r="J1233" s="152" t="s">
        <v>1248</v>
      </c>
      <c r="M1233" s="65">
        <v>0.1</v>
      </c>
    </row>
    <row r="1234" spans="3:13" s="59" customFormat="1" ht="22.2" customHeight="1">
      <c r="C1234" s="588">
        <v>2</v>
      </c>
      <c r="D1234" s="56" t="s">
        <v>10</v>
      </c>
      <c r="E1234" s="577" t="s">
        <v>6</v>
      </c>
      <c r="F1234" s="101">
        <v>1.089</v>
      </c>
      <c r="G1234" s="63">
        <f>VLOOKUP(D1234,upahbahan,3,FALSE)</f>
        <v>135000</v>
      </c>
      <c r="H1234" s="63">
        <f t="shared" ref="H1234:H1235" si="142">F1234*G1234</f>
        <v>147015</v>
      </c>
      <c r="I1234" s="44"/>
      <c r="J1234" s="152"/>
      <c r="M1234" s="65"/>
    </row>
    <row r="1235" spans="3:13" s="59" customFormat="1" ht="22.2" customHeight="1">
      <c r="C1235" s="588">
        <v>3</v>
      </c>
      <c r="D1235" s="56" t="s">
        <v>19</v>
      </c>
      <c r="E1235" s="577" t="s">
        <v>6</v>
      </c>
      <c r="F1235" s="101">
        <v>0.218</v>
      </c>
      <c r="G1235" s="63">
        <f>VLOOKUP(D1235,upahbahan,3,FALSE)</f>
        <v>160000</v>
      </c>
      <c r="H1235" s="63">
        <f t="shared" si="142"/>
        <v>34880</v>
      </c>
      <c r="I1235" s="44"/>
    </row>
    <row r="1236" spans="3:13" s="59" customFormat="1" ht="22.2" customHeight="1">
      <c r="C1236" s="450" t="s">
        <v>1208</v>
      </c>
      <c r="D1236" s="67"/>
      <c r="E1236" s="67"/>
      <c r="F1236" s="142"/>
      <c r="G1236" s="153"/>
      <c r="H1236" s="63">
        <f>SUM(H1233:H1235)</f>
        <v>399695</v>
      </c>
      <c r="I1236" s="154"/>
    </row>
    <row r="1237" spans="3:13" s="59" customFormat="1" ht="22.2" customHeight="1">
      <c r="C1237" s="61" t="s">
        <v>1209</v>
      </c>
      <c r="D1237" s="56" t="s">
        <v>1210</v>
      </c>
      <c r="E1237" s="57"/>
      <c r="F1237" s="57"/>
      <c r="G1237" s="57"/>
      <c r="H1237" s="57"/>
      <c r="I1237" s="44"/>
    </row>
    <row r="1238" spans="3:13" s="59" customFormat="1" ht="22.2" customHeight="1">
      <c r="C1238" s="450" t="s">
        <v>1214</v>
      </c>
      <c r="D1238" s="67"/>
      <c r="E1238" s="67"/>
      <c r="F1238" s="67"/>
      <c r="G1238" s="69"/>
      <c r="H1238" s="63">
        <f>SUM(H1237:H1237)</f>
        <v>0</v>
      </c>
      <c r="I1238" s="44"/>
    </row>
    <row r="1239" spans="3:13" s="59" customFormat="1" ht="22.2" customHeight="1">
      <c r="C1239" s="61" t="s">
        <v>1215</v>
      </c>
      <c r="D1239" s="56" t="s">
        <v>1216</v>
      </c>
      <c r="E1239" s="93"/>
      <c r="F1239" s="57"/>
      <c r="G1239" s="57"/>
      <c r="H1239" s="57"/>
      <c r="I1239" s="44"/>
    </row>
    <row r="1240" spans="3:13" s="59" customFormat="1" ht="22.2" customHeight="1">
      <c r="C1240" s="800">
        <v>1</v>
      </c>
      <c r="D1240" s="56" t="s">
        <v>8463</v>
      </c>
      <c r="E1240" s="93" t="s">
        <v>4414</v>
      </c>
      <c r="F1240" s="104">
        <v>0.36499999999999999</v>
      </c>
      <c r="G1240" s="63">
        <f>VLOOKUP(D1240,upahbahan,3,FALSE)</f>
        <v>75000</v>
      </c>
      <c r="H1240" s="63">
        <f t="shared" ref="H1240" si="143">F1240*G1240</f>
        <v>27375</v>
      </c>
      <c r="I1240" s="44"/>
    </row>
    <row r="1241" spans="3:13" s="59" customFormat="1" ht="22.2" customHeight="1">
      <c r="C1241" s="450" t="s">
        <v>1217</v>
      </c>
      <c r="D1241" s="67"/>
      <c r="E1241" s="67"/>
      <c r="F1241" s="67"/>
      <c r="G1241" s="69"/>
      <c r="H1241" s="882">
        <f>SUM(H1239:H1240)</f>
        <v>27375</v>
      </c>
      <c r="I1241" s="44"/>
    </row>
    <row r="1242" spans="3:13" s="59" customFormat="1" ht="22.2" customHeight="1">
      <c r="C1242" s="288" t="s">
        <v>1218</v>
      </c>
      <c r="D1242" s="76" t="s">
        <v>1219</v>
      </c>
      <c r="E1242" s="77"/>
      <c r="F1242" s="77"/>
      <c r="G1242" s="78"/>
      <c r="H1242" s="585">
        <f>H1241+H1238+H1236</f>
        <v>427070</v>
      </c>
      <c r="I1242" s="369"/>
    </row>
    <row r="1243" spans="3:13" s="59" customFormat="1" ht="22.2" customHeight="1">
      <c r="C1243" s="288" t="s">
        <v>1220</v>
      </c>
      <c r="D1243" s="76" t="s">
        <v>1321</v>
      </c>
      <c r="E1243" s="77"/>
      <c r="F1243" s="78"/>
      <c r="G1243" s="80">
        <v>0.1</v>
      </c>
      <c r="H1243" s="63">
        <f>H1242*G1243</f>
        <v>42707</v>
      </c>
      <c r="I1243" s="369"/>
    </row>
    <row r="1244" spans="3:13" s="59" customFormat="1" ht="22.2" customHeight="1">
      <c r="C1244" s="288" t="s">
        <v>1221</v>
      </c>
      <c r="D1244" s="76" t="s">
        <v>1222</v>
      </c>
      <c r="E1244" s="77"/>
      <c r="F1244" s="77"/>
      <c r="G1244" s="78"/>
      <c r="H1244" s="799">
        <f>SUM(H1242:H1243)</f>
        <v>469777</v>
      </c>
      <c r="I1244" s="369"/>
    </row>
    <row r="1245" spans="3:13" ht="22.2" customHeight="1"/>
    <row r="1246" spans="3:13" s="59" customFormat="1" ht="22.2" customHeight="1">
      <c r="C1246" s="46" t="s">
        <v>4885</v>
      </c>
      <c r="D1246" s="794" t="s">
        <v>8478</v>
      </c>
      <c r="E1246" s="794"/>
      <c r="F1246" s="794"/>
      <c r="G1246" s="794"/>
      <c r="H1246" s="794"/>
      <c r="I1246" s="50">
        <f>ROUNDDOWN(H1260,-2)</f>
        <v>520100</v>
      </c>
      <c r="J1246" s="59" t="s">
        <v>6451</v>
      </c>
      <c r="K1246" s="59" t="s">
        <v>8371</v>
      </c>
    </row>
    <row r="1247" spans="3:13" s="59" customFormat="1" ht="22.2" customHeight="1">
      <c r="C1247" s="591" t="s">
        <v>1195</v>
      </c>
      <c r="D1247" s="591" t="s">
        <v>1196</v>
      </c>
      <c r="E1247" s="591" t="s">
        <v>1197</v>
      </c>
      <c r="F1247" s="591" t="s">
        <v>1198</v>
      </c>
      <c r="G1247" s="591" t="s">
        <v>1199</v>
      </c>
      <c r="H1247" s="591" t="s">
        <v>1200</v>
      </c>
      <c r="I1247" s="44"/>
    </row>
    <row r="1248" spans="3:13" s="59" customFormat="1" ht="22.2" customHeight="1">
      <c r="C1248" s="61" t="s">
        <v>1201</v>
      </c>
      <c r="D1248" s="56" t="s">
        <v>1202</v>
      </c>
      <c r="E1248" s="57"/>
      <c r="F1248" s="57"/>
      <c r="G1248" s="57"/>
      <c r="H1248" s="57"/>
      <c r="I1248" s="44"/>
      <c r="J1248" s="152" t="s">
        <v>1247</v>
      </c>
    </row>
    <row r="1249" spans="3:13" s="59" customFormat="1" ht="22.2" customHeight="1">
      <c r="C1249" s="588">
        <v>1</v>
      </c>
      <c r="D1249" s="56" t="s">
        <v>5</v>
      </c>
      <c r="E1249" s="577" t="s">
        <v>6</v>
      </c>
      <c r="F1249" s="101">
        <v>2.3820000000000001</v>
      </c>
      <c r="G1249" s="63">
        <f>VLOOKUP(D1249,upahbahan,3,FALSE)</f>
        <v>100000</v>
      </c>
      <c r="H1249" s="63">
        <f>F1249*G1249</f>
        <v>238200</v>
      </c>
      <c r="I1249" s="44"/>
      <c r="J1249" s="152" t="s">
        <v>1248</v>
      </c>
      <c r="M1249" s="65">
        <v>0.1</v>
      </c>
    </row>
    <row r="1250" spans="3:13" s="59" customFormat="1" ht="22.2" customHeight="1">
      <c r="C1250" s="588">
        <v>2</v>
      </c>
      <c r="D1250" s="56" t="s">
        <v>10</v>
      </c>
      <c r="E1250" s="577" t="s">
        <v>6</v>
      </c>
      <c r="F1250" s="101">
        <v>1.1910000000000001</v>
      </c>
      <c r="G1250" s="63">
        <f>VLOOKUP(D1250,upahbahan,3,FALSE)</f>
        <v>135000</v>
      </c>
      <c r="H1250" s="63">
        <f t="shared" ref="H1250:H1251" si="144">F1250*G1250</f>
        <v>160785</v>
      </c>
      <c r="I1250" s="44"/>
      <c r="J1250" s="152"/>
      <c r="M1250" s="65"/>
    </row>
    <row r="1251" spans="3:13" s="59" customFormat="1" ht="22.2" customHeight="1">
      <c r="C1251" s="588">
        <v>3</v>
      </c>
      <c r="D1251" s="56" t="s">
        <v>19</v>
      </c>
      <c r="E1251" s="577" t="s">
        <v>6</v>
      </c>
      <c r="F1251" s="101">
        <v>0.23799999999999999</v>
      </c>
      <c r="G1251" s="63">
        <f>VLOOKUP(D1251,upahbahan,3,FALSE)</f>
        <v>160000</v>
      </c>
      <c r="H1251" s="63">
        <f t="shared" si="144"/>
        <v>38080</v>
      </c>
      <c r="I1251" s="44"/>
    </row>
    <row r="1252" spans="3:13" s="59" customFormat="1" ht="22.2" customHeight="1">
      <c r="C1252" s="450" t="s">
        <v>1208</v>
      </c>
      <c r="D1252" s="67"/>
      <c r="E1252" s="67"/>
      <c r="F1252" s="142"/>
      <c r="G1252" s="153"/>
      <c r="H1252" s="63">
        <f>SUM(H1249:H1251)</f>
        <v>437065</v>
      </c>
      <c r="I1252" s="154"/>
    </row>
    <row r="1253" spans="3:13" s="59" customFormat="1" ht="22.2" customHeight="1">
      <c r="C1253" s="61" t="s">
        <v>1209</v>
      </c>
      <c r="D1253" s="56" t="s">
        <v>1210</v>
      </c>
      <c r="E1253" s="57"/>
      <c r="F1253" s="57"/>
      <c r="G1253" s="57"/>
      <c r="H1253" s="57"/>
      <c r="I1253" s="44"/>
    </row>
    <row r="1254" spans="3:13" s="59" customFormat="1" ht="22.2" customHeight="1">
      <c r="C1254" s="450" t="s">
        <v>1214</v>
      </c>
      <c r="D1254" s="67"/>
      <c r="E1254" s="67"/>
      <c r="F1254" s="67"/>
      <c r="G1254" s="69"/>
      <c r="H1254" s="63">
        <f>SUM(H1253:H1253)</f>
        <v>0</v>
      </c>
      <c r="I1254" s="44"/>
    </row>
    <row r="1255" spans="3:13" s="59" customFormat="1" ht="22.2" customHeight="1">
      <c r="C1255" s="61" t="s">
        <v>1215</v>
      </c>
      <c r="D1255" s="56" t="s">
        <v>1216</v>
      </c>
      <c r="E1255" s="93"/>
      <c r="F1255" s="57"/>
      <c r="G1255" s="57"/>
      <c r="H1255" s="57"/>
      <c r="I1255" s="44"/>
    </row>
    <row r="1256" spans="3:13" s="59" customFormat="1" ht="22.2" customHeight="1">
      <c r="C1256" s="800">
        <v>1</v>
      </c>
      <c r="D1256" s="56" t="s">
        <v>8463</v>
      </c>
      <c r="E1256" s="93" t="s">
        <v>4414</v>
      </c>
      <c r="F1256" s="104">
        <v>0.47699999999999998</v>
      </c>
      <c r="G1256" s="63">
        <f>VLOOKUP(D1256,upahbahan,3,FALSE)</f>
        <v>75000</v>
      </c>
      <c r="H1256" s="63">
        <f t="shared" ref="H1256" si="145">F1256*G1256</f>
        <v>35775</v>
      </c>
      <c r="I1256" s="44"/>
    </row>
    <row r="1257" spans="3:13" s="59" customFormat="1" ht="22.2" customHeight="1">
      <c r="C1257" s="450" t="s">
        <v>1217</v>
      </c>
      <c r="D1257" s="67"/>
      <c r="E1257" s="67"/>
      <c r="F1257" s="67"/>
      <c r="G1257" s="69"/>
      <c r="H1257" s="882">
        <f>SUM(H1255:H1256)</f>
        <v>35775</v>
      </c>
      <c r="I1257" s="44"/>
    </row>
    <row r="1258" spans="3:13" s="59" customFormat="1" ht="22.2" customHeight="1">
      <c r="C1258" s="288" t="s">
        <v>1218</v>
      </c>
      <c r="D1258" s="76" t="s">
        <v>1219</v>
      </c>
      <c r="E1258" s="77"/>
      <c r="F1258" s="77"/>
      <c r="G1258" s="78"/>
      <c r="H1258" s="585">
        <f>H1257+H1254+H1252</f>
        <v>472840</v>
      </c>
      <c r="I1258" s="369"/>
    </row>
    <row r="1259" spans="3:13" s="59" customFormat="1" ht="22.2" customHeight="1">
      <c r="C1259" s="288" t="s">
        <v>1220</v>
      </c>
      <c r="D1259" s="76" t="s">
        <v>1321</v>
      </c>
      <c r="E1259" s="77"/>
      <c r="F1259" s="78"/>
      <c r="G1259" s="80">
        <v>0.1</v>
      </c>
      <c r="H1259" s="63">
        <f>H1258*G1259</f>
        <v>47284</v>
      </c>
      <c r="I1259" s="369"/>
    </row>
    <row r="1260" spans="3:13" s="59" customFormat="1" ht="22.2" customHeight="1">
      <c r="C1260" s="288" t="s">
        <v>1221</v>
      </c>
      <c r="D1260" s="76" t="s">
        <v>1222</v>
      </c>
      <c r="E1260" s="77"/>
      <c r="F1260" s="77"/>
      <c r="G1260" s="78"/>
      <c r="H1260" s="799">
        <f>SUM(H1258:H1259)</f>
        <v>520124</v>
      </c>
      <c r="I1260" s="369"/>
    </row>
    <row r="1261" spans="3:13" s="59" customFormat="1" ht="22.2" customHeight="1">
      <c r="C1261" s="54"/>
      <c r="D1261" s="86"/>
      <c r="E1261" s="86"/>
      <c r="F1261" s="86"/>
      <c r="G1261" s="86"/>
      <c r="H1261" s="87"/>
      <c r="I1261" s="44"/>
    </row>
    <row r="1262" spans="3:13" s="59" customFormat="1" ht="22.2" customHeight="1">
      <c r="C1262" s="43" t="s">
        <v>4886</v>
      </c>
      <c r="D1262" s="128" t="s">
        <v>4887</v>
      </c>
      <c r="E1262" s="86"/>
      <c r="F1262" s="86"/>
      <c r="G1262" s="86"/>
      <c r="H1262" s="87"/>
      <c r="I1262" s="44"/>
    </row>
    <row r="1263" spans="3:13" ht="22.2" customHeight="1">
      <c r="C1263" s="43" t="s">
        <v>4889</v>
      </c>
      <c r="D1263" s="128" t="s">
        <v>4888</v>
      </c>
    </row>
    <row r="1264" spans="3:13" ht="22.2" customHeight="1">
      <c r="C1264" s="43" t="s">
        <v>4890</v>
      </c>
      <c r="D1264" s="128" t="s">
        <v>8479</v>
      </c>
      <c r="I1264" s="50">
        <f>ROUNDDOWN(H1279,-2)</f>
        <v>36600</v>
      </c>
      <c r="J1264" s="59" t="s">
        <v>6451</v>
      </c>
      <c r="K1264" s="59" t="s">
        <v>8371</v>
      </c>
    </row>
    <row r="1265" spans="3:13" s="59" customFormat="1" ht="22.2" customHeight="1">
      <c r="C1265" s="591" t="s">
        <v>1195</v>
      </c>
      <c r="D1265" s="591" t="s">
        <v>1196</v>
      </c>
      <c r="E1265" s="591" t="s">
        <v>1197</v>
      </c>
      <c r="F1265" s="591" t="s">
        <v>1198</v>
      </c>
      <c r="G1265" s="591" t="s">
        <v>1199</v>
      </c>
      <c r="H1265" s="591" t="s">
        <v>1200</v>
      </c>
      <c r="I1265" s="44"/>
    </row>
    <row r="1266" spans="3:13" s="59" customFormat="1" ht="22.2" customHeight="1">
      <c r="C1266" s="61" t="s">
        <v>1201</v>
      </c>
      <c r="D1266" s="56" t="s">
        <v>1202</v>
      </c>
      <c r="E1266" s="57"/>
      <c r="F1266" s="57"/>
      <c r="G1266" s="57"/>
      <c r="H1266" s="57"/>
      <c r="I1266" s="44"/>
      <c r="J1266" s="152" t="s">
        <v>1247</v>
      </c>
    </row>
    <row r="1267" spans="3:13" s="59" customFormat="1" ht="22.2" customHeight="1">
      <c r="C1267" s="588">
        <v>1</v>
      </c>
      <c r="D1267" s="56" t="s">
        <v>5</v>
      </c>
      <c r="E1267" s="577" t="s">
        <v>6</v>
      </c>
      <c r="F1267" s="101">
        <v>3.5000000000000003E-2</v>
      </c>
      <c r="G1267" s="63">
        <f>VLOOKUP(D1267,upahbahan,3,FALSE)</f>
        <v>100000</v>
      </c>
      <c r="H1267" s="63">
        <f>F1267*G1267</f>
        <v>3500.0000000000005</v>
      </c>
      <c r="I1267" s="44"/>
      <c r="J1267" s="152" t="s">
        <v>1248</v>
      </c>
      <c r="M1267" s="65">
        <v>0.1</v>
      </c>
    </row>
    <row r="1268" spans="3:13" s="59" customFormat="1" ht="22.2" customHeight="1">
      <c r="C1268" s="588">
        <v>2</v>
      </c>
      <c r="D1268" s="56" t="s">
        <v>10</v>
      </c>
      <c r="E1268" s="577" t="s">
        <v>6</v>
      </c>
      <c r="F1268" s="101">
        <v>1.7000000000000001E-2</v>
      </c>
      <c r="G1268" s="63">
        <f>VLOOKUP(D1268,upahbahan,3,FALSE)</f>
        <v>135000</v>
      </c>
      <c r="H1268" s="63">
        <f t="shared" ref="H1268:H1269" si="146">F1268*G1268</f>
        <v>2295</v>
      </c>
      <c r="I1268" s="44"/>
      <c r="J1268" s="152"/>
      <c r="M1268" s="65"/>
    </row>
    <row r="1269" spans="3:13" s="59" customFormat="1" ht="22.2" customHeight="1">
      <c r="C1269" s="588">
        <v>3</v>
      </c>
      <c r="D1269" s="56" t="s">
        <v>19</v>
      </c>
      <c r="E1269" s="577" t="s">
        <v>6</v>
      </c>
      <c r="F1269" s="101">
        <v>3.0000000000000001E-3</v>
      </c>
      <c r="G1269" s="63">
        <f>VLOOKUP(D1269,upahbahan,3,FALSE)</f>
        <v>160000</v>
      </c>
      <c r="H1269" s="63">
        <f t="shared" si="146"/>
        <v>480</v>
      </c>
      <c r="I1269" s="44"/>
    </row>
    <row r="1270" spans="3:13" s="59" customFormat="1" ht="22.2" customHeight="1">
      <c r="C1270" s="450" t="s">
        <v>1208</v>
      </c>
      <c r="D1270" s="67"/>
      <c r="E1270" s="67"/>
      <c r="F1270" s="142"/>
      <c r="G1270" s="153"/>
      <c r="H1270" s="63">
        <f>SUM(H1267:H1269)</f>
        <v>6275</v>
      </c>
      <c r="I1270" s="154"/>
    </row>
    <row r="1271" spans="3:13" s="59" customFormat="1" ht="22.2" customHeight="1">
      <c r="C1271" s="61" t="s">
        <v>1209</v>
      </c>
      <c r="D1271" s="56" t="s">
        <v>1210</v>
      </c>
      <c r="E1271" s="57"/>
      <c r="F1271" s="57"/>
      <c r="G1271" s="57"/>
      <c r="H1271" s="57"/>
      <c r="I1271" s="44"/>
    </row>
    <row r="1272" spans="3:13" s="59" customFormat="1" ht="22.2" customHeight="1">
      <c r="C1272" s="800"/>
      <c r="D1272" s="56" t="s">
        <v>8480</v>
      </c>
      <c r="E1272" s="93" t="s">
        <v>1300</v>
      </c>
      <c r="F1272" s="104">
        <v>1</v>
      </c>
      <c r="G1272" s="63">
        <f>VLOOKUP(D1272,upahbahan,3,FALSE)</f>
        <v>25000</v>
      </c>
      <c r="H1272" s="63">
        <f t="shared" ref="H1272" si="147">F1272*G1272</f>
        <v>25000</v>
      </c>
      <c r="I1272" s="44"/>
    </row>
    <row r="1273" spans="3:13" s="59" customFormat="1" ht="22.2" customHeight="1">
      <c r="C1273" s="450" t="s">
        <v>1214</v>
      </c>
      <c r="D1273" s="67"/>
      <c r="E1273" s="67"/>
      <c r="F1273" s="67"/>
      <c r="G1273" s="69"/>
      <c r="H1273" s="63">
        <f>SUM(H1271:H1272)</f>
        <v>25000</v>
      </c>
      <c r="I1273" s="44"/>
    </row>
    <row r="1274" spans="3:13" s="59" customFormat="1" ht="22.2" customHeight="1">
      <c r="C1274" s="61" t="s">
        <v>1215</v>
      </c>
      <c r="D1274" s="56" t="s">
        <v>1216</v>
      </c>
      <c r="E1274" s="93"/>
      <c r="F1274" s="57"/>
      <c r="G1274" s="57"/>
      <c r="H1274" s="57"/>
      <c r="I1274" s="44"/>
    </row>
    <row r="1275" spans="3:13" s="59" customFormat="1" ht="22.2" customHeight="1">
      <c r="C1275" s="800">
        <v>1</v>
      </c>
      <c r="D1275" s="56" t="s">
        <v>4770</v>
      </c>
      <c r="E1275" s="93" t="s">
        <v>4414</v>
      </c>
      <c r="F1275" s="104">
        <v>1.9E-2</v>
      </c>
      <c r="G1275" s="63">
        <f>VLOOKUP(D1275,upahbahan,3,FALSE)</f>
        <v>108000</v>
      </c>
      <c r="H1275" s="63">
        <f t="shared" ref="H1275" si="148">F1275*G1275</f>
        <v>2052</v>
      </c>
      <c r="I1275" s="44"/>
    </row>
    <row r="1276" spans="3:13" s="59" customFormat="1" ht="22.2" customHeight="1">
      <c r="C1276" s="450" t="s">
        <v>1217</v>
      </c>
      <c r="D1276" s="67"/>
      <c r="E1276" s="67"/>
      <c r="F1276" s="67"/>
      <c r="G1276" s="69"/>
      <c r="H1276" s="882">
        <f>SUM(H1274:H1275)</f>
        <v>2052</v>
      </c>
      <c r="I1276" s="44"/>
    </row>
    <row r="1277" spans="3:13" s="59" customFormat="1" ht="22.2" customHeight="1">
      <c r="C1277" s="288" t="s">
        <v>1218</v>
      </c>
      <c r="D1277" s="76" t="s">
        <v>1219</v>
      </c>
      <c r="E1277" s="77"/>
      <c r="F1277" s="77"/>
      <c r="G1277" s="78"/>
      <c r="H1277" s="585">
        <f>H1276+H1273+H1270</f>
        <v>33327</v>
      </c>
      <c r="I1277" s="369"/>
    </row>
    <row r="1278" spans="3:13" s="59" customFormat="1" ht="22.2" customHeight="1">
      <c r="C1278" s="288" t="s">
        <v>1220</v>
      </c>
      <c r="D1278" s="76" t="s">
        <v>1321</v>
      </c>
      <c r="E1278" s="77"/>
      <c r="F1278" s="78"/>
      <c r="G1278" s="80">
        <v>0.1</v>
      </c>
      <c r="H1278" s="63">
        <f>H1277*G1278</f>
        <v>3332.7000000000003</v>
      </c>
      <c r="I1278" s="369"/>
    </row>
    <row r="1279" spans="3:13" s="59" customFormat="1" ht="22.2" customHeight="1">
      <c r="C1279" s="288" t="s">
        <v>1221</v>
      </c>
      <c r="D1279" s="76" t="s">
        <v>1222</v>
      </c>
      <c r="E1279" s="77"/>
      <c r="F1279" s="77"/>
      <c r="G1279" s="78"/>
      <c r="H1279" s="799">
        <f>SUM(H1277:H1278)</f>
        <v>36659.699999999997</v>
      </c>
      <c r="I1279" s="369"/>
    </row>
    <row r="1280" spans="3:13" ht="22.2" customHeight="1"/>
    <row r="1281" spans="3:13" ht="22.2" customHeight="1">
      <c r="C1281" s="43" t="s">
        <v>4892</v>
      </c>
      <c r="D1281" s="128" t="s">
        <v>8481</v>
      </c>
      <c r="I1281" s="50">
        <f>ROUNDDOWN(H1296,-2)</f>
        <v>65300</v>
      </c>
      <c r="J1281" s="59" t="s">
        <v>6451</v>
      </c>
      <c r="K1281" s="59" t="s">
        <v>8371</v>
      </c>
    </row>
    <row r="1282" spans="3:13" s="59" customFormat="1" ht="22.2" customHeight="1">
      <c r="C1282" s="591" t="s">
        <v>1195</v>
      </c>
      <c r="D1282" s="591" t="s">
        <v>1196</v>
      </c>
      <c r="E1282" s="591" t="s">
        <v>1197</v>
      </c>
      <c r="F1282" s="591" t="s">
        <v>1198</v>
      </c>
      <c r="G1282" s="591" t="s">
        <v>1199</v>
      </c>
      <c r="H1282" s="591" t="s">
        <v>1200</v>
      </c>
      <c r="I1282" s="44"/>
    </row>
    <row r="1283" spans="3:13" s="59" customFormat="1" ht="22.2" customHeight="1">
      <c r="C1283" s="61" t="s">
        <v>1201</v>
      </c>
      <c r="D1283" s="56" t="s">
        <v>1202</v>
      </c>
      <c r="E1283" s="57"/>
      <c r="F1283" s="57"/>
      <c r="G1283" s="57"/>
      <c r="H1283" s="57"/>
      <c r="I1283" s="44"/>
      <c r="J1283" s="152" t="s">
        <v>1247</v>
      </c>
    </row>
    <row r="1284" spans="3:13" s="59" customFormat="1" ht="22.2" customHeight="1">
      <c r="C1284" s="588">
        <v>1</v>
      </c>
      <c r="D1284" s="56" t="s">
        <v>5</v>
      </c>
      <c r="E1284" s="577" t="s">
        <v>6</v>
      </c>
      <c r="F1284" s="101">
        <v>0.04</v>
      </c>
      <c r="G1284" s="63">
        <f>VLOOKUP(D1284,upahbahan,3,FALSE)</f>
        <v>100000</v>
      </c>
      <c r="H1284" s="63">
        <f>F1284*G1284</f>
        <v>4000</v>
      </c>
      <c r="I1284" s="44"/>
      <c r="J1284" s="152" t="s">
        <v>1248</v>
      </c>
      <c r="M1284" s="65">
        <v>0.1</v>
      </c>
    </row>
    <row r="1285" spans="3:13" s="59" customFormat="1" ht="22.2" customHeight="1">
      <c r="C1285" s="588">
        <v>2</v>
      </c>
      <c r="D1285" s="56" t="s">
        <v>10</v>
      </c>
      <c r="E1285" s="577" t="s">
        <v>6</v>
      </c>
      <c r="F1285" s="101">
        <v>0.02</v>
      </c>
      <c r="G1285" s="63">
        <f>VLOOKUP(D1285,upahbahan,3,FALSE)</f>
        <v>135000</v>
      </c>
      <c r="H1285" s="63">
        <f t="shared" ref="H1285:H1286" si="149">F1285*G1285</f>
        <v>2700</v>
      </c>
      <c r="I1285" s="44"/>
      <c r="J1285" s="152"/>
      <c r="M1285" s="65"/>
    </row>
    <row r="1286" spans="3:13" s="59" customFormat="1" ht="22.2" customHeight="1">
      <c r="C1286" s="588">
        <v>3</v>
      </c>
      <c r="D1286" s="56" t="s">
        <v>19</v>
      </c>
      <c r="E1286" s="577" t="s">
        <v>6</v>
      </c>
      <c r="F1286" s="101">
        <v>4.0000000000000001E-3</v>
      </c>
      <c r="G1286" s="63">
        <f>VLOOKUP(D1286,upahbahan,3,FALSE)</f>
        <v>160000</v>
      </c>
      <c r="H1286" s="63">
        <f t="shared" si="149"/>
        <v>640</v>
      </c>
      <c r="I1286" s="44"/>
    </row>
    <row r="1287" spans="3:13" s="59" customFormat="1" ht="22.2" customHeight="1">
      <c r="C1287" s="450" t="s">
        <v>1208</v>
      </c>
      <c r="D1287" s="67"/>
      <c r="E1287" s="67"/>
      <c r="F1287" s="142"/>
      <c r="G1287" s="153"/>
      <c r="H1287" s="63">
        <f>SUM(H1284:H1286)</f>
        <v>7340</v>
      </c>
      <c r="I1287" s="154"/>
    </row>
    <row r="1288" spans="3:13" s="59" customFormat="1" ht="22.2" customHeight="1">
      <c r="C1288" s="61" t="s">
        <v>1209</v>
      </c>
      <c r="D1288" s="56" t="s">
        <v>1210</v>
      </c>
      <c r="E1288" s="57"/>
      <c r="F1288" s="57"/>
      <c r="G1288" s="57"/>
      <c r="H1288" s="57"/>
      <c r="I1288" s="44"/>
    </row>
    <row r="1289" spans="3:13" s="59" customFormat="1" ht="22.2" customHeight="1">
      <c r="C1289" s="800"/>
      <c r="D1289" s="56" t="s">
        <v>8482</v>
      </c>
      <c r="E1289" s="93" t="s">
        <v>1300</v>
      </c>
      <c r="F1289" s="104">
        <v>1</v>
      </c>
      <c r="G1289" s="63">
        <f>VLOOKUP(D1289,upahbahan,3,FALSE)</f>
        <v>50000</v>
      </c>
      <c r="H1289" s="63">
        <f t="shared" ref="H1289" si="150">F1289*G1289</f>
        <v>50000</v>
      </c>
      <c r="I1289" s="44"/>
    </row>
    <row r="1290" spans="3:13" s="59" customFormat="1" ht="22.2" customHeight="1">
      <c r="C1290" s="450" t="s">
        <v>1214</v>
      </c>
      <c r="D1290" s="67"/>
      <c r="E1290" s="67"/>
      <c r="F1290" s="67"/>
      <c r="G1290" s="69"/>
      <c r="H1290" s="63">
        <f>SUM(H1288:H1289)</f>
        <v>50000</v>
      </c>
      <c r="I1290" s="44"/>
    </row>
    <row r="1291" spans="3:13" s="59" customFormat="1" ht="22.2" customHeight="1">
      <c r="C1291" s="61" t="s">
        <v>1215</v>
      </c>
      <c r="D1291" s="56" t="s">
        <v>1216</v>
      </c>
      <c r="E1291" s="93"/>
      <c r="F1291" s="57"/>
      <c r="G1291" s="57"/>
      <c r="H1291" s="57"/>
      <c r="I1291" s="44"/>
    </row>
    <row r="1292" spans="3:13" s="59" customFormat="1" ht="22.2" customHeight="1">
      <c r="C1292" s="800">
        <v>1</v>
      </c>
      <c r="D1292" s="56" t="s">
        <v>4770</v>
      </c>
      <c r="E1292" s="93" t="s">
        <v>4414</v>
      </c>
      <c r="F1292" s="104">
        <v>1.9E-2</v>
      </c>
      <c r="G1292" s="63">
        <f>VLOOKUP(D1292,upahbahan,3,FALSE)</f>
        <v>108000</v>
      </c>
      <c r="H1292" s="63">
        <f t="shared" ref="H1292" si="151">F1292*G1292</f>
        <v>2052</v>
      </c>
      <c r="I1292" s="44"/>
    </row>
    <row r="1293" spans="3:13" s="59" customFormat="1" ht="22.2" customHeight="1">
      <c r="C1293" s="450" t="s">
        <v>1217</v>
      </c>
      <c r="D1293" s="67"/>
      <c r="E1293" s="67"/>
      <c r="F1293" s="67"/>
      <c r="G1293" s="69"/>
      <c r="H1293" s="882">
        <f>SUM(H1291:H1292)</f>
        <v>2052</v>
      </c>
      <c r="I1293" s="44"/>
    </row>
    <row r="1294" spans="3:13" s="59" customFormat="1" ht="22.2" customHeight="1">
      <c r="C1294" s="288" t="s">
        <v>1218</v>
      </c>
      <c r="D1294" s="76" t="s">
        <v>1219</v>
      </c>
      <c r="E1294" s="77"/>
      <c r="F1294" s="77"/>
      <c r="G1294" s="78"/>
      <c r="H1294" s="585">
        <f>H1293+H1290+H1287</f>
        <v>59392</v>
      </c>
      <c r="I1294" s="369"/>
    </row>
    <row r="1295" spans="3:13" s="59" customFormat="1" ht="22.2" customHeight="1">
      <c r="C1295" s="288" t="s">
        <v>1220</v>
      </c>
      <c r="D1295" s="76" t="s">
        <v>1321</v>
      </c>
      <c r="E1295" s="77"/>
      <c r="F1295" s="78"/>
      <c r="G1295" s="80">
        <v>0.1</v>
      </c>
      <c r="H1295" s="63">
        <f>H1294*G1295</f>
        <v>5939.2000000000007</v>
      </c>
      <c r="I1295" s="369"/>
    </row>
    <row r="1296" spans="3:13" s="59" customFormat="1" ht="22.2" customHeight="1">
      <c r="C1296" s="288" t="s">
        <v>1221</v>
      </c>
      <c r="D1296" s="76" t="s">
        <v>1222</v>
      </c>
      <c r="E1296" s="77"/>
      <c r="F1296" s="77"/>
      <c r="G1296" s="78"/>
      <c r="H1296" s="799">
        <f>SUM(H1294:H1295)</f>
        <v>65331.199999999997</v>
      </c>
      <c r="I1296" s="369"/>
    </row>
    <row r="1297" spans="3:13" ht="22.2" customHeight="1"/>
    <row r="1298" spans="3:13" ht="22.2" customHeight="1">
      <c r="C1298" s="43" t="s">
        <v>4893</v>
      </c>
      <c r="D1298" s="128" t="s">
        <v>8483</v>
      </c>
      <c r="I1298" s="50">
        <f>ROUNDDOWN(H1313,-2)</f>
        <v>75300</v>
      </c>
      <c r="J1298" s="59" t="s">
        <v>6451</v>
      </c>
      <c r="K1298" s="59" t="s">
        <v>8371</v>
      </c>
    </row>
    <row r="1299" spans="3:13" s="59" customFormat="1" ht="22.2" customHeight="1">
      <c r="C1299" s="591" t="s">
        <v>1195</v>
      </c>
      <c r="D1299" s="591" t="s">
        <v>1196</v>
      </c>
      <c r="E1299" s="591" t="s">
        <v>1197</v>
      </c>
      <c r="F1299" s="591" t="s">
        <v>1198</v>
      </c>
      <c r="G1299" s="591" t="s">
        <v>1199</v>
      </c>
      <c r="H1299" s="591" t="s">
        <v>1200</v>
      </c>
      <c r="I1299" s="44"/>
    </row>
    <row r="1300" spans="3:13" s="59" customFormat="1" ht="22.2" customHeight="1">
      <c r="C1300" s="61" t="s">
        <v>1201</v>
      </c>
      <c r="D1300" s="56" t="s">
        <v>1202</v>
      </c>
      <c r="E1300" s="57"/>
      <c r="F1300" s="57"/>
      <c r="G1300" s="57"/>
      <c r="H1300" s="57"/>
      <c r="I1300" s="44"/>
      <c r="J1300" s="152" t="s">
        <v>1247</v>
      </c>
    </row>
    <row r="1301" spans="3:13" s="59" customFormat="1" ht="22.2" customHeight="1">
      <c r="C1301" s="588">
        <v>1</v>
      </c>
      <c r="D1301" s="56" t="s">
        <v>5</v>
      </c>
      <c r="E1301" s="577" t="s">
        <v>6</v>
      </c>
      <c r="F1301" s="101">
        <v>4.4999999999999998E-2</v>
      </c>
      <c r="G1301" s="63">
        <f>VLOOKUP(D1301,upahbahan,3,FALSE)</f>
        <v>100000</v>
      </c>
      <c r="H1301" s="63">
        <f>F1301*G1301</f>
        <v>4500</v>
      </c>
      <c r="I1301" s="44"/>
      <c r="J1301" s="152" t="s">
        <v>1248</v>
      </c>
      <c r="M1301" s="65">
        <v>0.1</v>
      </c>
    </row>
    <row r="1302" spans="3:13" s="59" customFormat="1" ht="22.2" customHeight="1">
      <c r="C1302" s="588">
        <v>2</v>
      </c>
      <c r="D1302" s="56" t="s">
        <v>10</v>
      </c>
      <c r="E1302" s="577" t="s">
        <v>6</v>
      </c>
      <c r="F1302" s="101">
        <v>2.3E-2</v>
      </c>
      <c r="G1302" s="63">
        <f>VLOOKUP(D1302,upahbahan,3,FALSE)</f>
        <v>135000</v>
      </c>
      <c r="H1302" s="63">
        <f t="shared" ref="H1302:H1303" si="152">F1302*G1302</f>
        <v>3105</v>
      </c>
      <c r="I1302" s="44"/>
      <c r="J1302" s="152"/>
      <c r="M1302" s="65"/>
    </row>
    <row r="1303" spans="3:13" s="59" customFormat="1" ht="22.2" customHeight="1">
      <c r="C1303" s="588">
        <v>3</v>
      </c>
      <c r="D1303" s="56" t="s">
        <v>19</v>
      </c>
      <c r="E1303" s="577" t="s">
        <v>6</v>
      </c>
      <c r="F1303" s="101">
        <v>5.0000000000000001E-3</v>
      </c>
      <c r="G1303" s="63">
        <f>VLOOKUP(D1303,upahbahan,3,FALSE)</f>
        <v>160000</v>
      </c>
      <c r="H1303" s="63">
        <f t="shared" si="152"/>
        <v>800</v>
      </c>
      <c r="I1303" s="44"/>
    </row>
    <row r="1304" spans="3:13" s="59" customFormat="1" ht="22.2" customHeight="1">
      <c r="C1304" s="450" t="s">
        <v>1208</v>
      </c>
      <c r="D1304" s="67"/>
      <c r="E1304" s="67"/>
      <c r="F1304" s="142"/>
      <c r="G1304" s="153"/>
      <c r="H1304" s="63">
        <f>SUM(H1301:H1303)</f>
        <v>8405</v>
      </c>
      <c r="I1304" s="154"/>
    </row>
    <row r="1305" spans="3:13" s="59" customFormat="1" ht="22.2" customHeight="1">
      <c r="C1305" s="61" t="s">
        <v>1209</v>
      </c>
      <c r="D1305" s="56" t="s">
        <v>1210</v>
      </c>
      <c r="E1305" s="57"/>
      <c r="F1305" s="57"/>
      <c r="G1305" s="57"/>
      <c r="H1305" s="57"/>
      <c r="I1305" s="44"/>
    </row>
    <row r="1306" spans="3:13" s="59" customFormat="1" ht="22.2" customHeight="1">
      <c r="C1306" s="800"/>
      <c r="D1306" s="56" t="s">
        <v>8484</v>
      </c>
      <c r="E1306" s="93" t="s">
        <v>1300</v>
      </c>
      <c r="F1306" s="104">
        <v>1</v>
      </c>
      <c r="G1306" s="63">
        <f>VLOOKUP(D1306,upahbahan,3,FALSE)</f>
        <v>58000</v>
      </c>
      <c r="H1306" s="63">
        <f t="shared" ref="H1306" si="153">F1306*G1306</f>
        <v>58000</v>
      </c>
      <c r="I1306" s="44"/>
    </row>
    <row r="1307" spans="3:13" s="59" customFormat="1" ht="22.2" customHeight="1">
      <c r="C1307" s="450" t="s">
        <v>1214</v>
      </c>
      <c r="D1307" s="67"/>
      <c r="E1307" s="67"/>
      <c r="F1307" s="67"/>
      <c r="G1307" s="69"/>
      <c r="H1307" s="63">
        <f>SUM(H1305:H1306)</f>
        <v>58000</v>
      </c>
      <c r="I1307" s="44"/>
    </row>
    <row r="1308" spans="3:13" s="59" customFormat="1" ht="22.2" customHeight="1">
      <c r="C1308" s="61" t="s">
        <v>1215</v>
      </c>
      <c r="D1308" s="56" t="s">
        <v>1216</v>
      </c>
      <c r="E1308" s="93"/>
      <c r="F1308" s="57"/>
      <c r="G1308" s="57"/>
      <c r="H1308" s="57"/>
      <c r="I1308" s="44"/>
    </row>
    <row r="1309" spans="3:13" s="59" customFormat="1" ht="22.2" customHeight="1">
      <c r="C1309" s="800">
        <v>1</v>
      </c>
      <c r="D1309" s="56" t="s">
        <v>4770</v>
      </c>
      <c r="E1309" s="93" t="s">
        <v>4414</v>
      </c>
      <c r="F1309" s="104">
        <v>1.9E-2</v>
      </c>
      <c r="G1309" s="63">
        <f>VLOOKUP(D1309,upahbahan,3,FALSE)</f>
        <v>108000</v>
      </c>
      <c r="H1309" s="63">
        <f t="shared" ref="H1309" si="154">F1309*G1309</f>
        <v>2052</v>
      </c>
      <c r="I1309" s="44"/>
    </row>
    <row r="1310" spans="3:13" s="59" customFormat="1" ht="22.2" customHeight="1">
      <c r="C1310" s="450" t="s">
        <v>1217</v>
      </c>
      <c r="D1310" s="67"/>
      <c r="E1310" s="67"/>
      <c r="F1310" s="67"/>
      <c r="G1310" s="69"/>
      <c r="H1310" s="882">
        <f>SUM(H1308:H1309)</f>
        <v>2052</v>
      </c>
      <c r="I1310" s="44"/>
    </row>
    <row r="1311" spans="3:13" s="59" customFormat="1" ht="22.2" customHeight="1">
      <c r="C1311" s="288" t="s">
        <v>1218</v>
      </c>
      <c r="D1311" s="76" t="s">
        <v>1219</v>
      </c>
      <c r="E1311" s="77"/>
      <c r="F1311" s="77"/>
      <c r="G1311" s="78"/>
      <c r="H1311" s="585">
        <f>H1310+H1307+H1304</f>
        <v>68457</v>
      </c>
      <c r="I1311" s="369"/>
    </row>
    <row r="1312" spans="3:13" s="59" customFormat="1" ht="22.2" customHeight="1">
      <c r="C1312" s="288" t="s">
        <v>1220</v>
      </c>
      <c r="D1312" s="76" t="s">
        <v>1321</v>
      </c>
      <c r="E1312" s="77"/>
      <c r="F1312" s="78"/>
      <c r="G1312" s="80">
        <v>0.1</v>
      </c>
      <c r="H1312" s="63">
        <f>H1311*G1312</f>
        <v>6845.7000000000007</v>
      </c>
      <c r="I1312" s="369"/>
    </row>
    <row r="1313" spans="3:13" s="59" customFormat="1" ht="22.2" customHeight="1">
      <c r="C1313" s="288" t="s">
        <v>1221</v>
      </c>
      <c r="D1313" s="76" t="s">
        <v>1222</v>
      </c>
      <c r="E1313" s="77"/>
      <c r="F1313" s="77"/>
      <c r="G1313" s="78"/>
      <c r="H1313" s="799">
        <f>SUM(H1311:H1312)</f>
        <v>75302.7</v>
      </c>
      <c r="I1313" s="369"/>
    </row>
    <row r="1314" spans="3:13" ht="22.2" customHeight="1"/>
    <row r="1315" spans="3:13" ht="22.2" customHeight="1"/>
    <row r="1316" spans="3:13" ht="22.2" customHeight="1">
      <c r="C1316" s="43" t="s">
        <v>4896</v>
      </c>
      <c r="D1316" s="128" t="s">
        <v>8485</v>
      </c>
      <c r="I1316" s="50">
        <f>ROUNDDOWN(H1331,-2)</f>
        <v>85100</v>
      </c>
      <c r="J1316" s="59" t="s">
        <v>6451</v>
      </c>
      <c r="K1316" s="59" t="s">
        <v>8371</v>
      </c>
    </row>
    <row r="1317" spans="3:13" s="59" customFormat="1" ht="22.2" customHeight="1">
      <c r="C1317" s="591" t="s">
        <v>1195</v>
      </c>
      <c r="D1317" s="591" t="s">
        <v>1196</v>
      </c>
      <c r="E1317" s="591" t="s">
        <v>1197</v>
      </c>
      <c r="F1317" s="591" t="s">
        <v>1198</v>
      </c>
      <c r="G1317" s="591" t="s">
        <v>1199</v>
      </c>
      <c r="H1317" s="591" t="s">
        <v>1200</v>
      </c>
      <c r="I1317" s="44"/>
    </row>
    <row r="1318" spans="3:13" s="59" customFormat="1" ht="22.2" customHeight="1">
      <c r="C1318" s="61" t="s">
        <v>1201</v>
      </c>
      <c r="D1318" s="56" t="s">
        <v>1202</v>
      </c>
      <c r="E1318" s="57"/>
      <c r="F1318" s="57"/>
      <c r="G1318" s="57"/>
      <c r="H1318" s="57"/>
      <c r="I1318" s="44"/>
      <c r="J1318" s="152" t="s">
        <v>1247</v>
      </c>
    </row>
    <row r="1319" spans="3:13" s="59" customFormat="1" ht="22.2" customHeight="1">
      <c r="C1319" s="588">
        <v>1</v>
      </c>
      <c r="D1319" s="56" t="s">
        <v>5</v>
      </c>
      <c r="E1319" s="577" t="s">
        <v>6</v>
      </c>
      <c r="F1319" s="101">
        <v>6.2E-2</v>
      </c>
      <c r="G1319" s="63">
        <f>VLOOKUP(D1319,upahbahan,3,FALSE)</f>
        <v>100000</v>
      </c>
      <c r="H1319" s="63">
        <f>F1319*G1319</f>
        <v>6200</v>
      </c>
      <c r="I1319" s="44"/>
      <c r="J1319" s="152" t="s">
        <v>1248</v>
      </c>
      <c r="M1319" s="65">
        <v>0.1</v>
      </c>
    </row>
    <row r="1320" spans="3:13" s="59" customFormat="1" ht="22.2" customHeight="1">
      <c r="C1320" s="588">
        <v>2</v>
      </c>
      <c r="D1320" s="56" t="s">
        <v>10</v>
      </c>
      <c r="E1320" s="577" t="s">
        <v>6</v>
      </c>
      <c r="F1320" s="101">
        <v>3.1E-2</v>
      </c>
      <c r="G1320" s="63">
        <f>VLOOKUP(D1320,upahbahan,3,FALSE)</f>
        <v>135000</v>
      </c>
      <c r="H1320" s="63">
        <f t="shared" ref="H1320:H1321" si="155">F1320*G1320</f>
        <v>4185</v>
      </c>
      <c r="I1320" s="44"/>
      <c r="J1320" s="152"/>
      <c r="M1320" s="65"/>
    </row>
    <row r="1321" spans="3:13" s="59" customFormat="1" ht="22.2" customHeight="1">
      <c r="C1321" s="588">
        <v>3</v>
      </c>
      <c r="D1321" s="56" t="s">
        <v>19</v>
      </c>
      <c r="E1321" s="577" t="s">
        <v>6</v>
      </c>
      <c r="F1321" s="101">
        <v>6.0000000000000001E-3</v>
      </c>
      <c r="G1321" s="63">
        <f>VLOOKUP(D1321,upahbahan,3,FALSE)</f>
        <v>160000</v>
      </c>
      <c r="H1321" s="63">
        <f t="shared" si="155"/>
        <v>960</v>
      </c>
      <c r="I1321" s="44"/>
    </row>
    <row r="1322" spans="3:13" s="59" customFormat="1" ht="22.2" customHeight="1">
      <c r="C1322" s="450" t="s">
        <v>1208</v>
      </c>
      <c r="D1322" s="67"/>
      <c r="E1322" s="67"/>
      <c r="F1322" s="142"/>
      <c r="G1322" s="153"/>
      <c r="H1322" s="63">
        <f>SUM(H1319:H1321)</f>
        <v>11345</v>
      </c>
      <c r="I1322" s="154"/>
    </row>
    <row r="1323" spans="3:13" s="59" customFormat="1" ht="22.2" customHeight="1">
      <c r="C1323" s="61" t="s">
        <v>1209</v>
      </c>
      <c r="D1323" s="56" t="s">
        <v>1210</v>
      </c>
      <c r="E1323" s="57"/>
      <c r="F1323" s="57"/>
      <c r="G1323" s="57"/>
      <c r="H1323" s="57"/>
      <c r="I1323" s="44"/>
    </row>
    <row r="1324" spans="3:13" s="59" customFormat="1" ht="22.2" customHeight="1">
      <c r="C1324" s="800"/>
      <c r="D1324" s="56" t="s">
        <v>8486</v>
      </c>
      <c r="E1324" s="93" t="s">
        <v>1300</v>
      </c>
      <c r="F1324" s="104">
        <v>1</v>
      </c>
      <c r="G1324" s="63">
        <f>VLOOKUP(D1324,upahbahan,3,FALSE)</f>
        <v>64000</v>
      </c>
      <c r="H1324" s="63">
        <f t="shared" ref="H1324" si="156">F1324*G1324</f>
        <v>64000</v>
      </c>
      <c r="I1324" s="44"/>
    </row>
    <row r="1325" spans="3:13" s="59" customFormat="1" ht="22.2" customHeight="1">
      <c r="C1325" s="450" t="s">
        <v>1214</v>
      </c>
      <c r="D1325" s="67"/>
      <c r="E1325" s="67"/>
      <c r="F1325" s="67"/>
      <c r="G1325" s="69"/>
      <c r="H1325" s="63">
        <f>SUM(H1323:H1324)</f>
        <v>64000</v>
      </c>
      <c r="I1325" s="44"/>
    </row>
    <row r="1326" spans="3:13" s="59" customFormat="1" ht="22.2" customHeight="1">
      <c r="C1326" s="61" t="s">
        <v>1215</v>
      </c>
      <c r="D1326" s="56" t="s">
        <v>1216</v>
      </c>
      <c r="E1326" s="93"/>
      <c r="F1326" s="57"/>
      <c r="G1326" s="57"/>
      <c r="H1326" s="57"/>
      <c r="I1326" s="44"/>
    </row>
    <row r="1327" spans="3:13" s="59" customFormat="1" ht="22.2" customHeight="1">
      <c r="C1327" s="800">
        <v>1</v>
      </c>
      <c r="D1327" s="56" t="s">
        <v>4770</v>
      </c>
      <c r="E1327" s="93" t="s">
        <v>4414</v>
      </c>
      <c r="F1327" s="104">
        <v>1.9E-2</v>
      </c>
      <c r="G1327" s="63">
        <f>VLOOKUP(D1327,upahbahan,3,FALSE)</f>
        <v>108000</v>
      </c>
      <c r="H1327" s="63">
        <f t="shared" ref="H1327" si="157">F1327*G1327</f>
        <v>2052</v>
      </c>
      <c r="I1327" s="44"/>
    </row>
    <row r="1328" spans="3:13" s="59" customFormat="1" ht="22.2" customHeight="1">
      <c r="C1328" s="450" t="s">
        <v>1217</v>
      </c>
      <c r="D1328" s="67"/>
      <c r="E1328" s="67"/>
      <c r="F1328" s="67"/>
      <c r="G1328" s="69"/>
      <c r="H1328" s="882">
        <f>SUM(H1326:H1327)</f>
        <v>2052</v>
      </c>
      <c r="I1328" s="44"/>
    </row>
    <row r="1329" spans="3:13" s="59" customFormat="1" ht="22.2" customHeight="1">
      <c r="C1329" s="288" t="s">
        <v>1218</v>
      </c>
      <c r="D1329" s="76" t="s">
        <v>1219</v>
      </c>
      <c r="E1329" s="77"/>
      <c r="F1329" s="77"/>
      <c r="G1329" s="78"/>
      <c r="H1329" s="585">
        <f>H1328+H1325+H1322</f>
        <v>77397</v>
      </c>
      <c r="I1329" s="369"/>
    </row>
    <row r="1330" spans="3:13" s="59" customFormat="1" ht="22.2" customHeight="1">
      <c r="C1330" s="288" t="s">
        <v>1220</v>
      </c>
      <c r="D1330" s="76" t="s">
        <v>1321</v>
      </c>
      <c r="E1330" s="77"/>
      <c r="F1330" s="78"/>
      <c r="G1330" s="80">
        <v>0.1</v>
      </c>
      <c r="H1330" s="63">
        <f>H1329*G1330</f>
        <v>7739.7000000000007</v>
      </c>
      <c r="I1330" s="369"/>
    </row>
    <row r="1331" spans="3:13" s="59" customFormat="1" ht="22.2" customHeight="1">
      <c r="C1331" s="288" t="s">
        <v>1221</v>
      </c>
      <c r="D1331" s="76" t="s">
        <v>1222</v>
      </c>
      <c r="E1331" s="77"/>
      <c r="F1331" s="77"/>
      <c r="G1331" s="78"/>
      <c r="H1331" s="799">
        <f>SUM(H1329:H1330)</f>
        <v>85136.7</v>
      </c>
      <c r="I1331" s="369"/>
    </row>
    <row r="1332" spans="3:13" ht="22.2" customHeight="1"/>
    <row r="1333" spans="3:13" ht="22.2" customHeight="1">
      <c r="C1333" s="43" t="s">
        <v>4898</v>
      </c>
      <c r="D1333" s="128" t="s">
        <v>8487</v>
      </c>
      <c r="I1333" s="50">
        <f>ROUNDDOWN(H1348,-2)</f>
        <v>105300</v>
      </c>
      <c r="J1333" s="59" t="s">
        <v>6451</v>
      </c>
      <c r="K1333" s="59" t="s">
        <v>8371</v>
      </c>
    </row>
    <row r="1334" spans="3:13" s="59" customFormat="1" ht="22.2" customHeight="1">
      <c r="C1334" s="591" t="s">
        <v>1195</v>
      </c>
      <c r="D1334" s="591" t="s">
        <v>1196</v>
      </c>
      <c r="E1334" s="591" t="s">
        <v>1197</v>
      </c>
      <c r="F1334" s="591" t="s">
        <v>1198</v>
      </c>
      <c r="G1334" s="591" t="s">
        <v>1199</v>
      </c>
      <c r="H1334" s="591" t="s">
        <v>1200</v>
      </c>
      <c r="I1334" s="44"/>
    </row>
    <row r="1335" spans="3:13" s="59" customFormat="1" ht="22.2" customHeight="1">
      <c r="C1335" s="61" t="s">
        <v>1201</v>
      </c>
      <c r="D1335" s="56" t="s">
        <v>1202</v>
      </c>
      <c r="E1335" s="57"/>
      <c r="F1335" s="57"/>
      <c r="G1335" s="57"/>
      <c r="H1335" s="57"/>
      <c r="I1335" s="44"/>
      <c r="J1335" s="152" t="s">
        <v>1247</v>
      </c>
    </row>
    <row r="1336" spans="3:13" s="59" customFormat="1" ht="22.2" customHeight="1">
      <c r="C1336" s="588">
        <v>1</v>
      </c>
      <c r="D1336" s="56" t="s">
        <v>5</v>
      </c>
      <c r="E1336" s="577" t="s">
        <v>6</v>
      </c>
      <c r="F1336" s="101">
        <v>0.10199999999999999</v>
      </c>
      <c r="G1336" s="63">
        <f>VLOOKUP(D1336,upahbahan,3,FALSE)</f>
        <v>100000</v>
      </c>
      <c r="H1336" s="63">
        <f>F1336*G1336</f>
        <v>10200</v>
      </c>
      <c r="I1336" s="44"/>
      <c r="J1336" s="152" t="s">
        <v>1248</v>
      </c>
      <c r="M1336" s="65">
        <v>0.1</v>
      </c>
    </row>
    <row r="1337" spans="3:13" s="59" customFormat="1" ht="22.2" customHeight="1">
      <c r="C1337" s="588">
        <v>2</v>
      </c>
      <c r="D1337" s="56" t="s">
        <v>10</v>
      </c>
      <c r="E1337" s="577" t="s">
        <v>6</v>
      </c>
      <c r="F1337" s="101">
        <v>5.0999999999999997E-2</v>
      </c>
      <c r="G1337" s="63">
        <f>VLOOKUP(D1337,upahbahan,3,FALSE)</f>
        <v>135000</v>
      </c>
      <c r="H1337" s="63">
        <f t="shared" ref="H1337:H1338" si="158">F1337*G1337</f>
        <v>6885</v>
      </c>
      <c r="I1337" s="44"/>
      <c r="J1337" s="152"/>
      <c r="M1337" s="65"/>
    </row>
    <row r="1338" spans="3:13" s="59" customFormat="1" ht="22.2" customHeight="1">
      <c r="C1338" s="588">
        <v>3</v>
      </c>
      <c r="D1338" s="56" t="s">
        <v>19</v>
      </c>
      <c r="E1338" s="577" t="s">
        <v>6</v>
      </c>
      <c r="F1338" s="101">
        <v>0.01</v>
      </c>
      <c r="G1338" s="63">
        <f>VLOOKUP(D1338,upahbahan,3,FALSE)</f>
        <v>160000</v>
      </c>
      <c r="H1338" s="63">
        <f t="shared" si="158"/>
        <v>1600</v>
      </c>
      <c r="I1338" s="44"/>
    </row>
    <row r="1339" spans="3:13" s="59" customFormat="1" ht="22.2" customHeight="1">
      <c r="C1339" s="450" t="s">
        <v>1208</v>
      </c>
      <c r="D1339" s="67"/>
      <c r="E1339" s="67"/>
      <c r="F1339" s="142"/>
      <c r="G1339" s="153"/>
      <c r="H1339" s="63">
        <f>SUM(H1336:H1338)</f>
        <v>18685</v>
      </c>
      <c r="I1339" s="154"/>
    </row>
    <row r="1340" spans="3:13" s="59" customFormat="1" ht="22.2" customHeight="1">
      <c r="C1340" s="61" t="s">
        <v>1209</v>
      </c>
      <c r="D1340" s="56" t="s">
        <v>1210</v>
      </c>
      <c r="E1340" s="57"/>
      <c r="F1340" s="57"/>
      <c r="G1340" s="57"/>
      <c r="H1340" s="57"/>
      <c r="I1340" s="44"/>
    </row>
    <row r="1341" spans="3:13" s="59" customFormat="1" ht="22.2" customHeight="1">
      <c r="C1341" s="800"/>
      <c r="D1341" s="56" t="s">
        <v>8489</v>
      </c>
      <c r="E1341" s="93" t="s">
        <v>1300</v>
      </c>
      <c r="F1341" s="104">
        <v>1</v>
      </c>
      <c r="G1341" s="63">
        <f>VLOOKUP(D1341,upahbahan,3,FALSE)</f>
        <v>75000</v>
      </c>
      <c r="H1341" s="63">
        <f t="shared" ref="H1341" si="159">F1341*G1341</f>
        <v>75000</v>
      </c>
      <c r="I1341" s="44"/>
    </row>
    <row r="1342" spans="3:13" s="59" customFormat="1" ht="22.2" customHeight="1">
      <c r="C1342" s="450" t="s">
        <v>1214</v>
      </c>
      <c r="D1342" s="67"/>
      <c r="E1342" s="67"/>
      <c r="F1342" s="67"/>
      <c r="G1342" s="69"/>
      <c r="H1342" s="63">
        <f>SUM(H1340:H1341)</f>
        <v>75000</v>
      </c>
      <c r="I1342" s="44"/>
    </row>
    <row r="1343" spans="3:13" s="59" customFormat="1" ht="22.2" customHeight="1">
      <c r="C1343" s="61" t="s">
        <v>1215</v>
      </c>
      <c r="D1343" s="56" t="s">
        <v>1216</v>
      </c>
      <c r="E1343" s="93"/>
      <c r="F1343" s="57"/>
      <c r="G1343" s="57"/>
      <c r="H1343" s="57"/>
      <c r="I1343" s="44"/>
    </row>
    <row r="1344" spans="3:13" s="59" customFormat="1" ht="22.2" customHeight="1">
      <c r="C1344" s="800">
        <v>1</v>
      </c>
      <c r="D1344" s="56" t="s">
        <v>4770</v>
      </c>
      <c r="E1344" s="93" t="s">
        <v>4414</v>
      </c>
      <c r="F1344" s="104">
        <v>1.9E-2</v>
      </c>
      <c r="G1344" s="63">
        <f>VLOOKUP(D1344,upahbahan,3,FALSE)</f>
        <v>108000</v>
      </c>
      <c r="H1344" s="63">
        <f t="shared" ref="H1344" si="160">F1344*G1344</f>
        <v>2052</v>
      </c>
      <c r="I1344" s="44"/>
    </row>
    <row r="1345" spans="3:13" s="59" customFormat="1" ht="22.2" customHeight="1">
      <c r="C1345" s="450" t="s">
        <v>1217</v>
      </c>
      <c r="D1345" s="67"/>
      <c r="E1345" s="67"/>
      <c r="F1345" s="67"/>
      <c r="G1345" s="69"/>
      <c r="H1345" s="882">
        <f>SUM(H1343:H1344)</f>
        <v>2052</v>
      </c>
      <c r="I1345" s="44"/>
    </row>
    <row r="1346" spans="3:13" s="59" customFormat="1" ht="22.2" customHeight="1">
      <c r="C1346" s="288" t="s">
        <v>1218</v>
      </c>
      <c r="D1346" s="76" t="s">
        <v>1219</v>
      </c>
      <c r="E1346" s="77"/>
      <c r="F1346" s="77"/>
      <c r="G1346" s="78"/>
      <c r="H1346" s="585">
        <f>H1345+H1342+H1339</f>
        <v>95737</v>
      </c>
      <c r="I1346" s="369"/>
    </row>
    <row r="1347" spans="3:13" s="59" customFormat="1" ht="22.2" customHeight="1">
      <c r="C1347" s="288" t="s">
        <v>1220</v>
      </c>
      <c r="D1347" s="76" t="s">
        <v>1321</v>
      </c>
      <c r="E1347" s="77"/>
      <c r="F1347" s="78"/>
      <c r="G1347" s="80">
        <v>0.1</v>
      </c>
      <c r="H1347" s="63">
        <f>H1346*G1347</f>
        <v>9573.7000000000007</v>
      </c>
      <c r="I1347" s="369"/>
    </row>
    <row r="1348" spans="3:13" s="59" customFormat="1" ht="22.2" customHeight="1">
      <c r="C1348" s="288" t="s">
        <v>1221</v>
      </c>
      <c r="D1348" s="76" t="s">
        <v>1222</v>
      </c>
      <c r="E1348" s="77"/>
      <c r="F1348" s="77"/>
      <c r="G1348" s="78"/>
      <c r="H1348" s="799">
        <f>SUM(H1346:H1347)</f>
        <v>105310.7</v>
      </c>
      <c r="I1348" s="369"/>
    </row>
    <row r="1349" spans="3:13" ht="22.2" customHeight="1"/>
    <row r="1350" spans="3:13" ht="22.2" customHeight="1">
      <c r="C1350" s="43" t="s">
        <v>4900</v>
      </c>
      <c r="D1350" s="128" t="s">
        <v>8490</v>
      </c>
      <c r="I1350" s="50">
        <f>ROUNDDOWN(H1365,-2)</f>
        <v>122000</v>
      </c>
      <c r="J1350" s="59" t="s">
        <v>6451</v>
      </c>
      <c r="K1350" s="59" t="s">
        <v>8371</v>
      </c>
    </row>
    <row r="1351" spans="3:13" s="59" customFormat="1" ht="22.2" customHeight="1">
      <c r="C1351" s="591" t="s">
        <v>1195</v>
      </c>
      <c r="D1351" s="591" t="s">
        <v>1196</v>
      </c>
      <c r="E1351" s="591" t="s">
        <v>1197</v>
      </c>
      <c r="F1351" s="591" t="s">
        <v>1198</v>
      </c>
      <c r="G1351" s="591" t="s">
        <v>1199</v>
      </c>
      <c r="H1351" s="591" t="s">
        <v>1200</v>
      </c>
      <c r="I1351" s="44"/>
    </row>
    <row r="1352" spans="3:13" s="59" customFormat="1" ht="22.2" customHeight="1">
      <c r="C1352" s="61" t="s">
        <v>1201</v>
      </c>
      <c r="D1352" s="56" t="s">
        <v>1202</v>
      </c>
      <c r="E1352" s="57"/>
      <c r="F1352" s="57"/>
      <c r="G1352" s="57"/>
      <c r="H1352" s="57"/>
      <c r="I1352" s="44"/>
      <c r="J1352" s="152" t="s">
        <v>1247</v>
      </c>
    </row>
    <row r="1353" spans="3:13" s="59" customFormat="1" ht="22.2" customHeight="1">
      <c r="C1353" s="588">
        <v>1</v>
      </c>
      <c r="D1353" s="56" t="s">
        <v>5</v>
      </c>
      <c r="E1353" s="577" t="s">
        <v>6</v>
      </c>
      <c r="F1353" s="101">
        <v>0.13300000000000001</v>
      </c>
      <c r="G1353" s="63">
        <f>VLOOKUP(D1353,upahbahan,3,FALSE)</f>
        <v>100000</v>
      </c>
      <c r="H1353" s="63">
        <f>F1353*G1353</f>
        <v>13300</v>
      </c>
      <c r="I1353" s="44"/>
      <c r="J1353" s="152" t="s">
        <v>1248</v>
      </c>
      <c r="M1353" s="65">
        <v>0.1</v>
      </c>
    </row>
    <row r="1354" spans="3:13" s="59" customFormat="1" ht="22.2" customHeight="1">
      <c r="C1354" s="588">
        <v>2</v>
      </c>
      <c r="D1354" s="56" t="s">
        <v>10</v>
      </c>
      <c r="E1354" s="577" t="s">
        <v>6</v>
      </c>
      <c r="F1354" s="101">
        <v>6.7000000000000004E-2</v>
      </c>
      <c r="G1354" s="63">
        <f>VLOOKUP(D1354,upahbahan,3,FALSE)</f>
        <v>135000</v>
      </c>
      <c r="H1354" s="63">
        <f t="shared" ref="H1354:H1355" si="161">F1354*G1354</f>
        <v>9045</v>
      </c>
      <c r="I1354" s="44"/>
      <c r="J1354" s="152"/>
      <c r="M1354" s="65"/>
    </row>
    <row r="1355" spans="3:13" s="59" customFormat="1" ht="22.2" customHeight="1">
      <c r="C1355" s="588">
        <v>3</v>
      </c>
      <c r="D1355" s="56" t="s">
        <v>19</v>
      </c>
      <c r="E1355" s="577" t="s">
        <v>6</v>
      </c>
      <c r="F1355" s="101">
        <v>1.2999999999999999E-2</v>
      </c>
      <c r="G1355" s="63">
        <f>VLOOKUP(D1355,upahbahan,3,FALSE)</f>
        <v>160000</v>
      </c>
      <c r="H1355" s="63">
        <f t="shared" si="161"/>
        <v>2080</v>
      </c>
      <c r="I1355" s="44"/>
    </row>
    <row r="1356" spans="3:13" s="59" customFormat="1" ht="22.2" customHeight="1">
      <c r="C1356" s="450" t="s">
        <v>1208</v>
      </c>
      <c r="D1356" s="67"/>
      <c r="E1356" s="67"/>
      <c r="F1356" s="142"/>
      <c r="G1356" s="153"/>
      <c r="H1356" s="63">
        <f>SUM(H1353:H1355)</f>
        <v>24425</v>
      </c>
      <c r="I1356" s="154"/>
    </row>
    <row r="1357" spans="3:13" s="59" customFormat="1" ht="22.2" customHeight="1">
      <c r="C1357" s="61" t="s">
        <v>1209</v>
      </c>
      <c r="D1357" s="56" t="s">
        <v>1210</v>
      </c>
      <c r="E1357" s="57"/>
      <c r="F1357" s="57"/>
      <c r="G1357" s="57"/>
      <c r="H1357" s="57"/>
      <c r="I1357" s="44"/>
    </row>
    <row r="1358" spans="3:13" s="59" customFormat="1" ht="22.2" customHeight="1">
      <c r="C1358" s="800"/>
      <c r="D1358" s="56" t="s">
        <v>8488</v>
      </c>
      <c r="E1358" s="93" t="s">
        <v>1300</v>
      </c>
      <c r="F1358" s="104">
        <v>1</v>
      </c>
      <c r="G1358" s="63">
        <f>VLOOKUP(D1358,upahbahan,3,FALSE)</f>
        <v>82000</v>
      </c>
      <c r="H1358" s="63">
        <f t="shared" ref="H1358" si="162">F1358*G1358</f>
        <v>82000</v>
      </c>
      <c r="I1358" s="44"/>
    </row>
    <row r="1359" spans="3:13" s="59" customFormat="1" ht="22.2" customHeight="1">
      <c r="C1359" s="450" t="s">
        <v>1214</v>
      </c>
      <c r="D1359" s="67"/>
      <c r="E1359" s="67"/>
      <c r="F1359" s="67"/>
      <c r="G1359" s="69"/>
      <c r="H1359" s="63">
        <f>SUM(H1357:H1358)</f>
        <v>82000</v>
      </c>
      <c r="I1359" s="44"/>
    </row>
    <row r="1360" spans="3:13" s="59" customFormat="1" ht="22.2" customHeight="1">
      <c r="C1360" s="61" t="s">
        <v>1215</v>
      </c>
      <c r="D1360" s="56" t="s">
        <v>1216</v>
      </c>
      <c r="E1360" s="93"/>
      <c r="F1360" s="57"/>
      <c r="G1360" s="57"/>
      <c r="H1360" s="57"/>
      <c r="I1360" s="44"/>
    </row>
    <row r="1361" spans="3:13" s="59" customFormat="1" ht="22.2" customHeight="1">
      <c r="C1361" s="800">
        <v>1</v>
      </c>
      <c r="D1361" s="56" t="s">
        <v>4770</v>
      </c>
      <c r="E1361" s="93" t="s">
        <v>4414</v>
      </c>
      <c r="F1361" s="104">
        <v>4.2000000000000003E-2</v>
      </c>
      <c r="G1361" s="63">
        <f>VLOOKUP(D1361,upahbahan,3,FALSE)</f>
        <v>108000</v>
      </c>
      <c r="H1361" s="63">
        <f t="shared" ref="H1361" si="163">F1361*G1361</f>
        <v>4536</v>
      </c>
      <c r="I1361" s="44"/>
    </row>
    <row r="1362" spans="3:13" s="59" customFormat="1" ht="22.2" customHeight="1">
      <c r="C1362" s="450" t="s">
        <v>1217</v>
      </c>
      <c r="D1362" s="67"/>
      <c r="E1362" s="67"/>
      <c r="F1362" s="67"/>
      <c r="G1362" s="69"/>
      <c r="H1362" s="882">
        <f>SUM(H1360:H1361)</f>
        <v>4536</v>
      </c>
      <c r="I1362" s="44"/>
    </row>
    <row r="1363" spans="3:13" s="59" customFormat="1" ht="22.2" customHeight="1">
      <c r="C1363" s="288" t="s">
        <v>1218</v>
      </c>
      <c r="D1363" s="76" t="s">
        <v>1219</v>
      </c>
      <c r="E1363" s="77"/>
      <c r="F1363" s="77"/>
      <c r="G1363" s="78"/>
      <c r="H1363" s="585">
        <f>H1362+H1359+H1356</f>
        <v>110961</v>
      </c>
      <c r="I1363" s="369"/>
    </row>
    <row r="1364" spans="3:13" s="59" customFormat="1" ht="22.2" customHeight="1">
      <c r="C1364" s="288" t="s">
        <v>1220</v>
      </c>
      <c r="D1364" s="76" t="s">
        <v>1321</v>
      </c>
      <c r="E1364" s="77"/>
      <c r="F1364" s="78"/>
      <c r="G1364" s="80">
        <v>0.1</v>
      </c>
      <c r="H1364" s="63">
        <f>H1363*G1364</f>
        <v>11096.1</v>
      </c>
      <c r="I1364" s="369"/>
    </row>
    <row r="1365" spans="3:13" s="59" customFormat="1" ht="22.2" customHeight="1">
      <c r="C1365" s="288" t="s">
        <v>1221</v>
      </c>
      <c r="D1365" s="76" t="s">
        <v>1222</v>
      </c>
      <c r="E1365" s="77"/>
      <c r="F1365" s="77"/>
      <c r="G1365" s="78"/>
      <c r="H1365" s="799">
        <f>SUM(H1363:H1364)</f>
        <v>122057.1</v>
      </c>
      <c r="I1365" s="369"/>
    </row>
    <row r="1366" spans="3:13" ht="22.2" customHeight="1"/>
    <row r="1367" spans="3:13" ht="22.2" customHeight="1"/>
    <row r="1368" spans="3:13" ht="22.2" customHeight="1">
      <c r="C1368" s="43" t="s">
        <v>4902</v>
      </c>
      <c r="D1368" s="128" t="s">
        <v>8491</v>
      </c>
      <c r="I1368" s="50">
        <f>ROUNDDOWN(H1383,-2)</f>
        <v>145400</v>
      </c>
      <c r="J1368" s="59" t="s">
        <v>6451</v>
      </c>
      <c r="K1368" s="59" t="s">
        <v>8371</v>
      </c>
    </row>
    <row r="1369" spans="3:13" s="59" customFormat="1" ht="22.2" customHeight="1">
      <c r="C1369" s="591" t="s">
        <v>1195</v>
      </c>
      <c r="D1369" s="591" t="s">
        <v>1196</v>
      </c>
      <c r="E1369" s="591" t="s">
        <v>1197</v>
      </c>
      <c r="F1369" s="591" t="s">
        <v>1198</v>
      </c>
      <c r="G1369" s="591" t="s">
        <v>1199</v>
      </c>
      <c r="H1369" s="591" t="s">
        <v>1200</v>
      </c>
      <c r="I1369" s="44"/>
    </row>
    <row r="1370" spans="3:13" s="59" customFormat="1" ht="22.2" customHeight="1">
      <c r="C1370" s="61" t="s">
        <v>1201</v>
      </c>
      <c r="D1370" s="56" t="s">
        <v>1202</v>
      </c>
      <c r="E1370" s="57"/>
      <c r="F1370" s="57"/>
      <c r="G1370" s="57"/>
      <c r="H1370" s="57"/>
      <c r="I1370" s="44"/>
      <c r="J1370" s="152" t="s">
        <v>1247</v>
      </c>
    </row>
    <row r="1371" spans="3:13" s="59" customFormat="1" ht="22.2" customHeight="1">
      <c r="C1371" s="588">
        <v>1</v>
      </c>
      <c r="D1371" s="56" t="s">
        <v>5</v>
      </c>
      <c r="E1371" s="577" t="s">
        <v>6</v>
      </c>
      <c r="F1371" s="101">
        <v>0.17</v>
      </c>
      <c r="G1371" s="63">
        <f>VLOOKUP(D1371,upahbahan,3,FALSE)</f>
        <v>100000</v>
      </c>
      <c r="H1371" s="63">
        <f>F1371*G1371</f>
        <v>17000</v>
      </c>
      <c r="I1371" s="44"/>
      <c r="J1371" s="152" t="s">
        <v>1248</v>
      </c>
      <c r="M1371" s="65">
        <v>0.1</v>
      </c>
    </row>
    <row r="1372" spans="3:13" s="59" customFormat="1" ht="22.2" customHeight="1">
      <c r="C1372" s="588">
        <v>2</v>
      </c>
      <c r="D1372" s="56" t="s">
        <v>10</v>
      </c>
      <c r="E1372" s="577" t="s">
        <v>6</v>
      </c>
      <c r="F1372" s="101">
        <v>8.5000000000000006E-2</v>
      </c>
      <c r="G1372" s="63">
        <f>VLOOKUP(D1372,upahbahan,3,FALSE)</f>
        <v>135000</v>
      </c>
      <c r="H1372" s="63">
        <f t="shared" ref="H1372:H1373" si="164">F1372*G1372</f>
        <v>11475</v>
      </c>
      <c r="I1372" s="44"/>
      <c r="J1372" s="152"/>
      <c r="M1372" s="65"/>
    </row>
    <row r="1373" spans="3:13" s="59" customFormat="1" ht="22.2" customHeight="1">
      <c r="C1373" s="588">
        <v>3</v>
      </c>
      <c r="D1373" s="56" t="s">
        <v>19</v>
      </c>
      <c r="E1373" s="577" t="s">
        <v>6</v>
      </c>
      <c r="F1373" s="101">
        <v>1.7000000000000001E-2</v>
      </c>
      <c r="G1373" s="63">
        <f>VLOOKUP(D1373,upahbahan,3,FALSE)</f>
        <v>160000</v>
      </c>
      <c r="H1373" s="63">
        <f t="shared" si="164"/>
        <v>2720</v>
      </c>
      <c r="I1373" s="44"/>
    </row>
    <row r="1374" spans="3:13" s="59" customFormat="1" ht="22.2" customHeight="1">
      <c r="C1374" s="450" t="s">
        <v>1208</v>
      </c>
      <c r="D1374" s="67"/>
      <c r="E1374" s="67"/>
      <c r="F1374" s="142"/>
      <c r="G1374" s="153"/>
      <c r="H1374" s="63">
        <f>SUM(H1371:H1373)</f>
        <v>31195</v>
      </c>
      <c r="I1374" s="154"/>
    </row>
    <row r="1375" spans="3:13" s="59" customFormat="1" ht="22.2" customHeight="1">
      <c r="C1375" s="61" t="s">
        <v>1209</v>
      </c>
      <c r="D1375" s="56" t="s">
        <v>1210</v>
      </c>
      <c r="E1375" s="57"/>
      <c r="F1375" s="57"/>
      <c r="G1375" s="57"/>
      <c r="H1375" s="57"/>
      <c r="I1375" s="44"/>
    </row>
    <row r="1376" spans="3:13" s="59" customFormat="1" ht="22.2" customHeight="1">
      <c r="C1376" s="800"/>
      <c r="D1376" s="56" t="s">
        <v>8492</v>
      </c>
      <c r="E1376" s="93" t="s">
        <v>1300</v>
      </c>
      <c r="F1376" s="104">
        <v>1</v>
      </c>
      <c r="G1376" s="63">
        <f>VLOOKUP(D1376,upahbahan,3,FALSE)</f>
        <v>94000</v>
      </c>
      <c r="H1376" s="63">
        <f t="shared" ref="H1376" si="165">F1376*G1376</f>
        <v>94000</v>
      </c>
      <c r="I1376" s="44"/>
    </row>
    <row r="1377" spans="3:13" s="59" customFormat="1" ht="22.2" customHeight="1">
      <c r="C1377" s="450" t="s">
        <v>1214</v>
      </c>
      <c r="D1377" s="67"/>
      <c r="E1377" s="67"/>
      <c r="F1377" s="67"/>
      <c r="G1377" s="69"/>
      <c r="H1377" s="63">
        <f>SUM(H1375:H1376)</f>
        <v>94000</v>
      </c>
      <c r="I1377" s="44"/>
    </row>
    <row r="1378" spans="3:13" s="59" customFormat="1" ht="22.2" customHeight="1">
      <c r="C1378" s="61" t="s">
        <v>1215</v>
      </c>
      <c r="D1378" s="56" t="s">
        <v>1216</v>
      </c>
      <c r="E1378" s="93"/>
      <c r="F1378" s="57"/>
      <c r="G1378" s="57"/>
      <c r="H1378" s="57"/>
      <c r="I1378" s="44"/>
    </row>
    <row r="1379" spans="3:13" s="59" customFormat="1" ht="22.2" customHeight="1">
      <c r="C1379" s="800">
        <v>1</v>
      </c>
      <c r="D1379" s="56" t="s">
        <v>4770</v>
      </c>
      <c r="E1379" s="93" t="s">
        <v>4414</v>
      </c>
      <c r="F1379" s="104">
        <v>6.5000000000000002E-2</v>
      </c>
      <c r="G1379" s="63">
        <f>VLOOKUP(D1379,upahbahan,3,FALSE)</f>
        <v>108000</v>
      </c>
      <c r="H1379" s="63">
        <f t="shared" ref="H1379" si="166">F1379*G1379</f>
        <v>7020</v>
      </c>
      <c r="I1379" s="44"/>
    </row>
    <row r="1380" spans="3:13" s="59" customFormat="1" ht="22.2" customHeight="1">
      <c r="C1380" s="450" t="s">
        <v>1217</v>
      </c>
      <c r="D1380" s="67"/>
      <c r="E1380" s="67"/>
      <c r="F1380" s="67"/>
      <c r="G1380" s="69"/>
      <c r="H1380" s="882">
        <f>SUM(H1378:H1379)</f>
        <v>7020</v>
      </c>
      <c r="I1380" s="44"/>
    </row>
    <row r="1381" spans="3:13" s="59" customFormat="1" ht="22.2" customHeight="1">
      <c r="C1381" s="288" t="s">
        <v>1218</v>
      </c>
      <c r="D1381" s="76" t="s">
        <v>1219</v>
      </c>
      <c r="E1381" s="77"/>
      <c r="F1381" s="77"/>
      <c r="G1381" s="78"/>
      <c r="H1381" s="585">
        <f>H1380+H1377+H1374</f>
        <v>132215</v>
      </c>
      <c r="I1381" s="369"/>
    </row>
    <row r="1382" spans="3:13" s="59" customFormat="1" ht="22.2" customHeight="1">
      <c r="C1382" s="288" t="s">
        <v>1220</v>
      </c>
      <c r="D1382" s="76" t="s">
        <v>1321</v>
      </c>
      <c r="E1382" s="77"/>
      <c r="F1382" s="78"/>
      <c r="G1382" s="80">
        <v>0.1</v>
      </c>
      <c r="H1382" s="63">
        <f>H1381*G1382</f>
        <v>13221.5</v>
      </c>
      <c r="I1382" s="369"/>
    </row>
    <row r="1383" spans="3:13" s="59" customFormat="1" ht="22.2" customHeight="1">
      <c r="C1383" s="288" t="s">
        <v>1221</v>
      </c>
      <c r="D1383" s="76" t="s">
        <v>1222</v>
      </c>
      <c r="E1383" s="77"/>
      <c r="F1383" s="77"/>
      <c r="G1383" s="78"/>
      <c r="H1383" s="799">
        <f>SUM(H1381:H1382)</f>
        <v>145436.5</v>
      </c>
      <c r="I1383" s="369"/>
    </row>
    <row r="1384" spans="3:13" ht="22.2" customHeight="1"/>
    <row r="1385" spans="3:13" ht="22.2" customHeight="1">
      <c r="C1385" s="43" t="s">
        <v>4903</v>
      </c>
      <c r="D1385" s="128" t="s">
        <v>8493</v>
      </c>
      <c r="I1385" s="50">
        <f>ROUNDDOWN(H1400,-2)</f>
        <v>188700</v>
      </c>
      <c r="J1385" s="59" t="s">
        <v>6451</v>
      </c>
      <c r="K1385" s="59" t="s">
        <v>8371</v>
      </c>
    </row>
    <row r="1386" spans="3:13" s="59" customFormat="1" ht="22.2" customHeight="1">
      <c r="C1386" s="591" t="s">
        <v>1195</v>
      </c>
      <c r="D1386" s="591" t="s">
        <v>1196</v>
      </c>
      <c r="E1386" s="591" t="s">
        <v>1197</v>
      </c>
      <c r="F1386" s="591" t="s">
        <v>1198</v>
      </c>
      <c r="G1386" s="591" t="s">
        <v>1199</v>
      </c>
      <c r="H1386" s="591" t="s">
        <v>1200</v>
      </c>
      <c r="I1386" s="44"/>
    </row>
    <row r="1387" spans="3:13" s="59" customFormat="1" ht="22.2" customHeight="1">
      <c r="C1387" s="61" t="s">
        <v>1201</v>
      </c>
      <c r="D1387" s="56" t="s">
        <v>1202</v>
      </c>
      <c r="E1387" s="57"/>
      <c r="F1387" s="57"/>
      <c r="G1387" s="57"/>
      <c r="H1387" s="57"/>
      <c r="I1387" s="44"/>
      <c r="J1387" s="152" t="s">
        <v>1247</v>
      </c>
    </row>
    <row r="1388" spans="3:13" s="59" customFormat="1" ht="22.2" customHeight="1">
      <c r="C1388" s="588">
        <v>1</v>
      </c>
      <c r="D1388" s="56" t="s">
        <v>5</v>
      </c>
      <c r="E1388" s="577" t="s">
        <v>6</v>
      </c>
      <c r="F1388" s="101">
        <v>0.28999999999999998</v>
      </c>
      <c r="G1388" s="63">
        <f>VLOOKUP(D1388,upahbahan,3,FALSE)</f>
        <v>100000</v>
      </c>
      <c r="H1388" s="63">
        <f>F1388*G1388</f>
        <v>28999.999999999996</v>
      </c>
      <c r="I1388" s="44"/>
      <c r="J1388" s="152" t="s">
        <v>1248</v>
      </c>
      <c r="M1388" s="65">
        <v>0.1</v>
      </c>
    </row>
    <row r="1389" spans="3:13" s="59" customFormat="1" ht="22.2" customHeight="1">
      <c r="C1389" s="588">
        <v>2</v>
      </c>
      <c r="D1389" s="56" t="s">
        <v>10</v>
      </c>
      <c r="E1389" s="577" t="s">
        <v>6</v>
      </c>
      <c r="F1389" s="101">
        <v>0.14499999999999999</v>
      </c>
      <c r="G1389" s="63">
        <f>VLOOKUP(D1389,upahbahan,3,FALSE)</f>
        <v>135000</v>
      </c>
      <c r="H1389" s="63">
        <f t="shared" ref="H1389:H1390" si="167">F1389*G1389</f>
        <v>19575</v>
      </c>
      <c r="I1389" s="44"/>
      <c r="J1389" s="152"/>
      <c r="M1389" s="65"/>
    </row>
    <row r="1390" spans="3:13" s="59" customFormat="1" ht="22.2" customHeight="1">
      <c r="C1390" s="588">
        <v>3</v>
      </c>
      <c r="D1390" s="56" t="s">
        <v>19</v>
      </c>
      <c r="E1390" s="577" t="s">
        <v>6</v>
      </c>
      <c r="F1390" s="101">
        <v>2.9000000000000001E-2</v>
      </c>
      <c r="G1390" s="63">
        <f>VLOOKUP(D1390,upahbahan,3,FALSE)</f>
        <v>160000</v>
      </c>
      <c r="H1390" s="63">
        <f t="shared" si="167"/>
        <v>4640</v>
      </c>
      <c r="I1390" s="44"/>
    </row>
    <row r="1391" spans="3:13" s="59" customFormat="1" ht="22.2" customHeight="1">
      <c r="C1391" s="450" t="s">
        <v>1208</v>
      </c>
      <c r="D1391" s="67"/>
      <c r="E1391" s="67"/>
      <c r="F1391" s="142"/>
      <c r="G1391" s="153"/>
      <c r="H1391" s="63">
        <f>SUM(H1388:H1390)</f>
        <v>53215</v>
      </c>
      <c r="I1391" s="154"/>
    </row>
    <row r="1392" spans="3:13" s="59" customFormat="1" ht="22.2" customHeight="1">
      <c r="C1392" s="61" t="s">
        <v>1209</v>
      </c>
      <c r="D1392" s="56" t="s">
        <v>1210</v>
      </c>
      <c r="E1392" s="57"/>
      <c r="F1392" s="57"/>
      <c r="G1392" s="57"/>
      <c r="H1392" s="57"/>
      <c r="I1392" s="44"/>
    </row>
    <row r="1393" spans="3:13" s="59" customFormat="1" ht="22.2" customHeight="1">
      <c r="C1393" s="800"/>
      <c r="D1393" s="56" t="s">
        <v>8494</v>
      </c>
      <c r="E1393" s="93" t="s">
        <v>1300</v>
      </c>
      <c r="F1393" s="104">
        <v>1</v>
      </c>
      <c r="G1393" s="63">
        <f>VLOOKUP(D1393,upahbahan,3,FALSE)</f>
        <v>102000</v>
      </c>
      <c r="H1393" s="63">
        <f t="shared" ref="H1393" si="168">F1393*G1393</f>
        <v>102000</v>
      </c>
      <c r="I1393" s="44"/>
    </row>
    <row r="1394" spans="3:13" s="59" customFormat="1" ht="22.2" customHeight="1">
      <c r="C1394" s="450" t="s">
        <v>1214</v>
      </c>
      <c r="D1394" s="67"/>
      <c r="E1394" s="67"/>
      <c r="F1394" s="67"/>
      <c r="G1394" s="69"/>
      <c r="H1394" s="63">
        <f>SUM(H1392:H1393)</f>
        <v>102000</v>
      </c>
      <c r="I1394" s="44"/>
    </row>
    <row r="1395" spans="3:13" s="59" customFormat="1" ht="22.2" customHeight="1">
      <c r="C1395" s="61" t="s">
        <v>1215</v>
      </c>
      <c r="D1395" s="56" t="s">
        <v>1216</v>
      </c>
      <c r="E1395" s="93"/>
      <c r="F1395" s="57"/>
      <c r="G1395" s="57"/>
      <c r="H1395" s="57"/>
      <c r="I1395" s="44"/>
    </row>
    <row r="1396" spans="3:13" s="59" customFormat="1" ht="22.2" customHeight="1">
      <c r="C1396" s="800">
        <v>1</v>
      </c>
      <c r="D1396" s="56" t="s">
        <v>4770</v>
      </c>
      <c r="E1396" s="93" t="s">
        <v>4414</v>
      </c>
      <c r="F1396" s="104">
        <v>0.152</v>
      </c>
      <c r="G1396" s="63">
        <f>VLOOKUP(D1396,upahbahan,3,FALSE)</f>
        <v>108000</v>
      </c>
      <c r="H1396" s="63">
        <f t="shared" ref="H1396" si="169">F1396*G1396</f>
        <v>16416</v>
      </c>
      <c r="I1396" s="44"/>
    </row>
    <row r="1397" spans="3:13" s="59" customFormat="1" ht="22.2" customHeight="1">
      <c r="C1397" s="450" t="s">
        <v>1217</v>
      </c>
      <c r="D1397" s="67"/>
      <c r="E1397" s="67"/>
      <c r="F1397" s="67"/>
      <c r="G1397" s="69"/>
      <c r="H1397" s="882">
        <f>SUM(H1395:H1396)</f>
        <v>16416</v>
      </c>
      <c r="I1397" s="44"/>
    </row>
    <row r="1398" spans="3:13" s="59" customFormat="1" ht="22.2" customHeight="1">
      <c r="C1398" s="288" t="s">
        <v>1218</v>
      </c>
      <c r="D1398" s="76" t="s">
        <v>1219</v>
      </c>
      <c r="E1398" s="77"/>
      <c r="F1398" s="77"/>
      <c r="G1398" s="78"/>
      <c r="H1398" s="585">
        <f>H1397+H1394+H1391</f>
        <v>171631</v>
      </c>
      <c r="I1398" s="369"/>
    </row>
    <row r="1399" spans="3:13" s="59" customFormat="1" ht="22.2" customHeight="1">
      <c r="C1399" s="288" t="s">
        <v>1220</v>
      </c>
      <c r="D1399" s="76" t="s">
        <v>1321</v>
      </c>
      <c r="E1399" s="77"/>
      <c r="F1399" s="78"/>
      <c r="G1399" s="80">
        <v>0.1</v>
      </c>
      <c r="H1399" s="63">
        <f>H1398*G1399</f>
        <v>17163.100000000002</v>
      </c>
      <c r="I1399" s="369"/>
    </row>
    <row r="1400" spans="3:13" s="59" customFormat="1" ht="22.2" customHeight="1">
      <c r="C1400" s="288" t="s">
        <v>1221</v>
      </c>
      <c r="D1400" s="76" t="s">
        <v>1222</v>
      </c>
      <c r="E1400" s="77"/>
      <c r="F1400" s="77"/>
      <c r="G1400" s="78"/>
      <c r="H1400" s="799">
        <f>SUM(H1398:H1399)</f>
        <v>188794.1</v>
      </c>
      <c r="I1400" s="369"/>
    </row>
    <row r="1401" spans="3:13" ht="22.2" customHeight="1"/>
    <row r="1402" spans="3:13" ht="22.2" customHeight="1">
      <c r="C1402" s="43" t="s">
        <v>4906</v>
      </c>
      <c r="D1402" s="128" t="s">
        <v>8495</v>
      </c>
      <c r="I1402" s="50">
        <f>ROUNDDOWN(H1417,-2)</f>
        <v>232700</v>
      </c>
      <c r="J1402" s="59" t="s">
        <v>6451</v>
      </c>
      <c r="K1402" s="59" t="s">
        <v>8371</v>
      </c>
    </row>
    <row r="1403" spans="3:13" s="59" customFormat="1" ht="22.2" customHeight="1">
      <c r="C1403" s="591" t="s">
        <v>1195</v>
      </c>
      <c r="D1403" s="591" t="s">
        <v>1196</v>
      </c>
      <c r="E1403" s="591" t="s">
        <v>1197</v>
      </c>
      <c r="F1403" s="591" t="s">
        <v>1198</v>
      </c>
      <c r="G1403" s="591" t="s">
        <v>1199</v>
      </c>
      <c r="H1403" s="591" t="s">
        <v>1200</v>
      </c>
      <c r="I1403" s="44"/>
    </row>
    <row r="1404" spans="3:13" s="59" customFormat="1" ht="22.2" customHeight="1">
      <c r="C1404" s="61" t="s">
        <v>1201</v>
      </c>
      <c r="D1404" s="56" t="s">
        <v>1202</v>
      </c>
      <c r="E1404" s="57"/>
      <c r="F1404" s="57"/>
      <c r="G1404" s="57"/>
      <c r="H1404" s="57"/>
      <c r="I1404" s="44"/>
      <c r="J1404" s="152" t="s">
        <v>1247</v>
      </c>
    </row>
    <row r="1405" spans="3:13" s="59" customFormat="1" ht="22.2" customHeight="1">
      <c r="C1405" s="588">
        <v>1</v>
      </c>
      <c r="D1405" s="56" t="s">
        <v>5</v>
      </c>
      <c r="E1405" s="577" t="s">
        <v>6</v>
      </c>
      <c r="F1405" s="101">
        <v>0.35899999999999999</v>
      </c>
      <c r="G1405" s="63">
        <f>VLOOKUP(D1405,upahbahan,3,FALSE)</f>
        <v>100000</v>
      </c>
      <c r="H1405" s="63">
        <f>F1405*G1405</f>
        <v>35900</v>
      </c>
      <c r="I1405" s="44"/>
      <c r="J1405" s="152" t="s">
        <v>1248</v>
      </c>
      <c r="M1405" s="65">
        <v>0.1</v>
      </c>
    </row>
    <row r="1406" spans="3:13" s="59" customFormat="1" ht="22.2" customHeight="1">
      <c r="C1406" s="588">
        <v>2</v>
      </c>
      <c r="D1406" s="56" t="s">
        <v>10</v>
      </c>
      <c r="E1406" s="577" t="s">
        <v>6</v>
      </c>
      <c r="F1406" s="101">
        <v>0.18</v>
      </c>
      <c r="G1406" s="63">
        <f>VLOOKUP(D1406,upahbahan,3,FALSE)</f>
        <v>135000</v>
      </c>
      <c r="H1406" s="63">
        <f t="shared" ref="H1406:H1407" si="170">F1406*G1406</f>
        <v>24300</v>
      </c>
      <c r="I1406" s="44"/>
      <c r="J1406" s="152"/>
      <c r="M1406" s="65"/>
    </row>
    <row r="1407" spans="3:13" s="59" customFormat="1" ht="22.2" customHeight="1">
      <c r="C1407" s="588">
        <v>3</v>
      </c>
      <c r="D1407" s="56" t="s">
        <v>19</v>
      </c>
      <c r="E1407" s="577" t="s">
        <v>6</v>
      </c>
      <c r="F1407" s="101">
        <v>3.5999999999999997E-2</v>
      </c>
      <c r="G1407" s="63">
        <f>VLOOKUP(D1407,upahbahan,3,FALSE)</f>
        <v>160000</v>
      </c>
      <c r="H1407" s="63">
        <f t="shared" si="170"/>
        <v>5760</v>
      </c>
      <c r="I1407" s="44"/>
    </row>
    <row r="1408" spans="3:13" s="59" customFormat="1" ht="22.2" customHeight="1">
      <c r="C1408" s="450" t="s">
        <v>1208</v>
      </c>
      <c r="D1408" s="67"/>
      <c r="E1408" s="67"/>
      <c r="F1408" s="142"/>
      <c r="G1408" s="153"/>
      <c r="H1408" s="63">
        <f>SUM(H1405:H1407)</f>
        <v>65960</v>
      </c>
      <c r="I1408" s="154"/>
    </row>
    <row r="1409" spans="3:13" s="59" customFormat="1" ht="22.2" customHeight="1">
      <c r="C1409" s="61" t="s">
        <v>1209</v>
      </c>
      <c r="D1409" s="56" t="s">
        <v>1210</v>
      </c>
      <c r="E1409" s="57"/>
      <c r="F1409" s="57"/>
      <c r="G1409" s="57"/>
      <c r="H1409" s="57"/>
      <c r="I1409" s="44"/>
    </row>
    <row r="1410" spans="3:13" s="59" customFormat="1" ht="22.2" customHeight="1">
      <c r="C1410" s="800"/>
      <c r="D1410" s="56" t="s">
        <v>8496</v>
      </c>
      <c r="E1410" s="93" t="s">
        <v>1300</v>
      </c>
      <c r="F1410" s="104">
        <v>1</v>
      </c>
      <c r="G1410" s="63">
        <f>VLOOKUP(D1410,upahbahan,3,FALSE)</f>
        <v>124000</v>
      </c>
      <c r="H1410" s="63">
        <f t="shared" ref="H1410" si="171">F1410*G1410</f>
        <v>124000</v>
      </c>
      <c r="I1410" s="44"/>
    </row>
    <row r="1411" spans="3:13" s="59" customFormat="1" ht="22.2" customHeight="1">
      <c r="C1411" s="450" t="s">
        <v>1214</v>
      </c>
      <c r="D1411" s="67"/>
      <c r="E1411" s="67"/>
      <c r="F1411" s="67"/>
      <c r="G1411" s="69"/>
      <c r="H1411" s="63">
        <f>SUM(H1409:H1410)</f>
        <v>124000</v>
      </c>
      <c r="I1411" s="44"/>
    </row>
    <row r="1412" spans="3:13" s="59" customFormat="1" ht="22.2" customHeight="1">
      <c r="C1412" s="61" t="s">
        <v>1215</v>
      </c>
      <c r="D1412" s="56" t="s">
        <v>1216</v>
      </c>
      <c r="E1412" s="93"/>
      <c r="F1412" s="57"/>
      <c r="G1412" s="57"/>
      <c r="H1412" s="57"/>
      <c r="I1412" s="44"/>
    </row>
    <row r="1413" spans="3:13" s="59" customFormat="1" ht="22.2" customHeight="1">
      <c r="C1413" s="800">
        <v>1</v>
      </c>
      <c r="D1413" s="56" t="s">
        <v>4770</v>
      </c>
      <c r="E1413" s="93" t="s">
        <v>4414</v>
      </c>
      <c r="F1413" s="104">
        <v>0.2</v>
      </c>
      <c r="G1413" s="63">
        <f>VLOOKUP(D1413,upahbahan,3,FALSE)</f>
        <v>108000</v>
      </c>
      <c r="H1413" s="63">
        <f t="shared" ref="H1413" si="172">F1413*G1413</f>
        <v>21600</v>
      </c>
      <c r="I1413" s="44"/>
    </row>
    <row r="1414" spans="3:13" s="59" customFormat="1" ht="22.2" customHeight="1">
      <c r="C1414" s="450" t="s">
        <v>1217</v>
      </c>
      <c r="D1414" s="67"/>
      <c r="E1414" s="67"/>
      <c r="F1414" s="67"/>
      <c r="G1414" s="69"/>
      <c r="H1414" s="882">
        <f>SUM(H1412:H1413)</f>
        <v>21600</v>
      </c>
      <c r="I1414" s="44"/>
    </row>
    <row r="1415" spans="3:13" s="59" customFormat="1" ht="22.2" customHeight="1">
      <c r="C1415" s="288" t="s">
        <v>1218</v>
      </c>
      <c r="D1415" s="76" t="s">
        <v>1219</v>
      </c>
      <c r="E1415" s="77"/>
      <c r="F1415" s="77"/>
      <c r="G1415" s="78"/>
      <c r="H1415" s="585">
        <f>H1414+H1411+H1408</f>
        <v>211560</v>
      </c>
      <c r="I1415" s="369"/>
    </row>
    <row r="1416" spans="3:13" s="59" customFormat="1" ht="22.2" customHeight="1">
      <c r="C1416" s="288" t="s">
        <v>1220</v>
      </c>
      <c r="D1416" s="76" t="s">
        <v>1321</v>
      </c>
      <c r="E1416" s="77"/>
      <c r="F1416" s="78"/>
      <c r="G1416" s="80">
        <v>0.1</v>
      </c>
      <c r="H1416" s="63">
        <f>H1415*G1416</f>
        <v>21156</v>
      </c>
      <c r="I1416" s="369"/>
    </row>
    <row r="1417" spans="3:13" s="59" customFormat="1" ht="22.2" customHeight="1">
      <c r="C1417" s="288" t="s">
        <v>1221</v>
      </c>
      <c r="D1417" s="76" t="s">
        <v>1222</v>
      </c>
      <c r="E1417" s="77"/>
      <c r="F1417" s="77"/>
      <c r="G1417" s="78"/>
      <c r="H1417" s="799">
        <f>SUM(H1415:H1416)</f>
        <v>232716</v>
      </c>
      <c r="I1417" s="369"/>
    </row>
    <row r="1418" spans="3:13" ht="22.2" customHeight="1"/>
    <row r="1419" spans="3:13" ht="22.2" customHeight="1">
      <c r="C1419" s="43" t="s">
        <v>4908</v>
      </c>
      <c r="D1419" s="128" t="s">
        <v>8497</v>
      </c>
      <c r="I1419" s="50">
        <f>ROUNDDOWN(H1434,-2)</f>
        <v>274300</v>
      </c>
      <c r="J1419" s="59" t="s">
        <v>6451</v>
      </c>
      <c r="K1419" s="59" t="s">
        <v>8371</v>
      </c>
    </row>
    <row r="1420" spans="3:13" s="59" customFormat="1" ht="22.2" customHeight="1">
      <c r="C1420" s="591" t="s">
        <v>1195</v>
      </c>
      <c r="D1420" s="591" t="s">
        <v>1196</v>
      </c>
      <c r="E1420" s="591" t="s">
        <v>1197</v>
      </c>
      <c r="F1420" s="591" t="s">
        <v>1198</v>
      </c>
      <c r="G1420" s="591" t="s">
        <v>1199</v>
      </c>
      <c r="H1420" s="591" t="s">
        <v>1200</v>
      </c>
      <c r="I1420" s="44"/>
    </row>
    <row r="1421" spans="3:13" s="59" customFormat="1" ht="22.2" customHeight="1">
      <c r="C1421" s="61" t="s">
        <v>1201</v>
      </c>
      <c r="D1421" s="56" t="s">
        <v>1202</v>
      </c>
      <c r="E1421" s="57"/>
      <c r="F1421" s="57"/>
      <c r="G1421" s="57"/>
      <c r="H1421" s="57"/>
      <c r="I1421" s="44"/>
      <c r="J1421" s="152" t="s">
        <v>1247</v>
      </c>
    </row>
    <row r="1422" spans="3:13" s="59" customFormat="1" ht="22.2" customHeight="1">
      <c r="C1422" s="588">
        <v>1</v>
      </c>
      <c r="D1422" s="56" t="s">
        <v>5</v>
      </c>
      <c r="E1422" s="577" t="s">
        <v>6</v>
      </c>
      <c r="F1422" s="101">
        <v>0.433</v>
      </c>
      <c r="G1422" s="63">
        <f>VLOOKUP(D1422,upahbahan,3,FALSE)</f>
        <v>100000</v>
      </c>
      <c r="H1422" s="63">
        <f>F1422*G1422</f>
        <v>43300</v>
      </c>
      <c r="I1422" s="44"/>
      <c r="J1422" s="152" t="s">
        <v>1248</v>
      </c>
      <c r="M1422" s="65">
        <v>0.1</v>
      </c>
    </row>
    <row r="1423" spans="3:13" s="59" customFormat="1" ht="22.2" customHeight="1">
      <c r="C1423" s="588">
        <v>2</v>
      </c>
      <c r="D1423" s="56" t="s">
        <v>10</v>
      </c>
      <c r="E1423" s="577" t="s">
        <v>6</v>
      </c>
      <c r="F1423" s="101">
        <v>0.216</v>
      </c>
      <c r="G1423" s="63">
        <f>VLOOKUP(D1423,upahbahan,3,FALSE)</f>
        <v>135000</v>
      </c>
      <c r="H1423" s="63">
        <f t="shared" ref="H1423:H1424" si="173">F1423*G1423</f>
        <v>29160</v>
      </c>
      <c r="I1423" s="44"/>
      <c r="J1423" s="152"/>
      <c r="M1423" s="65"/>
    </row>
    <row r="1424" spans="3:13" s="59" customFormat="1" ht="22.2" customHeight="1">
      <c r="C1424" s="588">
        <v>3</v>
      </c>
      <c r="D1424" s="56" t="s">
        <v>19</v>
      </c>
      <c r="E1424" s="577" t="s">
        <v>6</v>
      </c>
      <c r="F1424" s="101">
        <v>4.2999999999999997E-2</v>
      </c>
      <c r="G1424" s="63">
        <f>VLOOKUP(D1424,upahbahan,3,FALSE)</f>
        <v>160000</v>
      </c>
      <c r="H1424" s="63">
        <f t="shared" si="173"/>
        <v>6879.9999999999991</v>
      </c>
      <c r="I1424" s="44"/>
    </row>
    <row r="1425" spans="3:13" s="59" customFormat="1" ht="22.2" customHeight="1">
      <c r="C1425" s="450" t="s">
        <v>1208</v>
      </c>
      <c r="D1425" s="67"/>
      <c r="E1425" s="67"/>
      <c r="F1425" s="142"/>
      <c r="G1425" s="153"/>
      <c r="H1425" s="63">
        <f>SUM(H1422:H1424)</f>
        <v>79340</v>
      </c>
      <c r="I1425" s="154"/>
    </row>
    <row r="1426" spans="3:13" s="59" customFormat="1" ht="22.2" customHeight="1">
      <c r="C1426" s="61" t="s">
        <v>1209</v>
      </c>
      <c r="D1426" s="56" t="s">
        <v>1210</v>
      </c>
      <c r="E1426" s="57"/>
      <c r="F1426" s="57"/>
      <c r="G1426" s="57"/>
      <c r="H1426" s="57"/>
      <c r="I1426" s="44"/>
    </row>
    <row r="1427" spans="3:13" s="59" customFormat="1" ht="22.2" customHeight="1">
      <c r="C1427" s="800"/>
      <c r="D1427" s="56" t="s">
        <v>8498</v>
      </c>
      <c r="E1427" s="93" t="s">
        <v>1300</v>
      </c>
      <c r="F1427" s="104">
        <v>1</v>
      </c>
      <c r="G1427" s="63">
        <f>VLOOKUP(D1427,upahbahan,3,FALSE)</f>
        <v>143000</v>
      </c>
      <c r="H1427" s="63">
        <f t="shared" ref="H1427" si="174">F1427*G1427</f>
        <v>143000</v>
      </c>
      <c r="I1427" s="44"/>
    </row>
    <row r="1428" spans="3:13" s="59" customFormat="1" ht="22.2" customHeight="1">
      <c r="C1428" s="450" t="s">
        <v>1214</v>
      </c>
      <c r="D1428" s="67"/>
      <c r="E1428" s="67"/>
      <c r="F1428" s="67"/>
      <c r="G1428" s="69"/>
      <c r="H1428" s="63">
        <f>SUM(H1426:H1427)</f>
        <v>143000</v>
      </c>
      <c r="I1428" s="44"/>
    </row>
    <row r="1429" spans="3:13" s="59" customFormat="1" ht="22.2" customHeight="1">
      <c r="C1429" s="61" t="s">
        <v>1215</v>
      </c>
      <c r="D1429" s="56" t="s">
        <v>1216</v>
      </c>
      <c r="E1429" s="93"/>
      <c r="F1429" s="57"/>
      <c r="G1429" s="57"/>
      <c r="H1429" s="57"/>
      <c r="I1429" s="44"/>
    </row>
    <row r="1430" spans="3:13" s="59" customFormat="1" ht="22.2" customHeight="1">
      <c r="C1430" s="800">
        <v>1</v>
      </c>
      <c r="D1430" s="56" t="s">
        <v>4770</v>
      </c>
      <c r="E1430" s="93" t="s">
        <v>4414</v>
      </c>
      <c r="F1430" s="104">
        <v>0.251</v>
      </c>
      <c r="G1430" s="63">
        <f>VLOOKUP(D1430,upahbahan,3,FALSE)</f>
        <v>108000</v>
      </c>
      <c r="H1430" s="63">
        <f t="shared" ref="H1430" si="175">F1430*G1430</f>
        <v>27108</v>
      </c>
      <c r="I1430" s="44"/>
    </row>
    <row r="1431" spans="3:13" s="59" customFormat="1" ht="22.2" customHeight="1">
      <c r="C1431" s="450" t="s">
        <v>1217</v>
      </c>
      <c r="D1431" s="67"/>
      <c r="E1431" s="67"/>
      <c r="F1431" s="67"/>
      <c r="G1431" s="69"/>
      <c r="H1431" s="882">
        <f>SUM(H1429:H1430)</f>
        <v>27108</v>
      </c>
      <c r="I1431" s="44"/>
    </row>
    <row r="1432" spans="3:13" s="59" customFormat="1" ht="22.2" customHeight="1">
      <c r="C1432" s="288" t="s">
        <v>1218</v>
      </c>
      <c r="D1432" s="76" t="s">
        <v>1219</v>
      </c>
      <c r="E1432" s="77"/>
      <c r="F1432" s="77"/>
      <c r="G1432" s="78"/>
      <c r="H1432" s="585">
        <f>H1431+H1428+H1425</f>
        <v>249448</v>
      </c>
      <c r="I1432" s="369"/>
    </row>
    <row r="1433" spans="3:13" s="59" customFormat="1" ht="22.2" customHeight="1">
      <c r="C1433" s="288" t="s">
        <v>1220</v>
      </c>
      <c r="D1433" s="76" t="s">
        <v>1321</v>
      </c>
      <c r="E1433" s="77"/>
      <c r="F1433" s="78"/>
      <c r="G1433" s="80">
        <v>0.1</v>
      </c>
      <c r="H1433" s="63">
        <f>H1432*G1433</f>
        <v>24944.800000000003</v>
      </c>
      <c r="I1433" s="369"/>
    </row>
    <row r="1434" spans="3:13" s="59" customFormat="1" ht="22.2" customHeight="1">
      <c r="C1434" s="288" t="s">
        <v>1221</v>
      </c>
      <c r="D1434" s="76" t="s">
        <v>1222</v>
      </c>
      <c r="E1434" s="77"/>
      <c r="F1434" s="77"/>
      <c r="G1434" s="78"/>
      <c r="H1434" s="799">
        <f>SUM(H1432:H1433)</f>
        <v>274392.8</v>
      </c>
      <c r="I1434" s="369"/>
    </row>
    <row r="1435" spans="3:13" ht="22.2" customHeight="1"/>
    <row r="1436" spans="3:13" ht="22.2" customHeight="1">
      <c r="C1436" s="43" t="s">
        <v>4910</v>
      </c>
      <c r="D1436" s="128" t="s">
        <v>8499</v>
      </c>
      <c r="I1436" s="50">
        <f>ROUNDDOWN(H1451,-2)</f>
        <v>312400</v>
      </c>
      <c r="J1436" s="59" t="s">
        <v>6451</v>
      </c>
      <c r="K1436" s="59" t="s">
        <v>8371</v>
      </c>
    </row>
    <row r="1437" spans="3:13" s="59" customFormat="1" ht="22.2" customHeight="1">
      <c r="C1437" s="591" t="s">
        <v>1195</v>
      </c>
      <c r="D1437" s="591" t="s">
        <v>1196</v>
      </c>
      <c r="E1437" s="591" t="s">
        <v>1197</v>
      </c>
      <c r="F1437" s="591" t="s">
        <v>1198</v>
      </c>
      <c r="G1437" s="591" t="s">
        <v>1199</v>
      </c>
      <c r="H1437" s="591" t="s">
        <v>1200</v>
      </c>
      <c r="I1437" s="44"/>
    </row>
    <row r="1438" spans="3:13" s="59" customFormat="1" ht="22.2" customHeight="1">
      <c r="C1438" s="61" t="s">
        <v>1201</v>
      </c>
      <c r="D1438" s="56" t="s">
        <v>1202</v>
      </c>
      <c r="E1438" s="57"/>
      <c r="F1438" s="57"/>
      <c r="G1438" s="57"/>
      <c r="H1438" s="57"/>
      <c r="I1438" s="44"/>
      <c r="J1438" s="152" t="s">
        <v>1247</v>
      </c>
    </row>
    <row r="1439" spans="3:13" s="59" customFormat="1" ht="22.2" customHeight="1">
      <c r="C1439" s="588">
        <v>1</v>
      </c>
      <c r="D1439" s="56" t="s">
        <v>5</v>
      </c>
      <c r="E1439" s="577" t="s">
        <v>6</v>
      </c>
      <c r="F1439" s="101">
        <v>0.51200000000000001</v>
      </c>
      <c r="G1439" s="63">
        <f>VLOOKUP(D1439,upahbahan,3,FALSE)</f>
        <v>100000</v>
      </c>
      <c r="H1439" s="63">
        <f>F1439*G1439</f>
        <v>51200</v>
      </c>
      <c r="I1439" s="44"/>
      <c r="J1439" s="152" t="s">
        <v>1248</v>
      </c>
      <c r="M1439" s="65">
        <v>0.1</v>
      </c>
    </row>
    <row r="1440" spans="3:13" s="59" customFormat="1" ht="22.2" customHeight="1">
      <c r="C1440" s="588">
        <v>2</v>
      </c>
      <c r="D1440" s="56" t="s">
        <v>10</v>
      </c>
      <c r="E1440" s="577" t="s">
        <v>6</v>
      </c>
      <c r="F1440" s="101">
        <v>0.25600000000000001</v>
      </c>
      <c r="G1440" s="63">
        <f>VLOOKUP(D1440,upahbahan,3,FALSE)</f>
        <v>135000</v>
      </c>
      <c r="H1440" s="63">
        <f t="shared" ref="H1440:H1441" si="176">F1440*G1440</f>
        <v>34560</v>
      </c>
      <c r="I1440" s="44"/>
      <c r="J1440" s="152"/>
      <c r="M1440" s="65"/>
    </row>
    <row r="1441" spans="3:13" s="59" customFormat="1" ht="22.2" customHeight="1">
      <c r="C1441" s="588">
        <v>3</v>
      </c>
      <c r="D1441" s="56" t="s">
        <v>19</v>
      </c>
      <c r="E1441" s="577" t="s">
        <v>6</v>
      </c>
      <c r="F1441" s="101">
        <v>5.0999999999999997E-2</v>
      </c>
      <c r="G1441" s="63">
        <f>VLOOKUP(D1441,upahbahan,3,FALSE)</f>
        <v>160000</v>
      </c>
      <c r="H1441" s="63">
        <f t="shared" si="176"/>
        <v>8159.9999999999991</v>
      </c>
      <c r="I1441" s="44"/>
    </row>
    <row r="1442" spans="3:13" s="59" customFormat="1" ht="22.2" customHeight="1">
      <c r="C1442" s="450" t="s">
        <v>1208</v>
      </c>
      <c r="D1442" s="67"/>
      <c r="E1442" s="67"/>
      <c r="F1442" s="142"/>
      <c r="G1442" s="153"/>
      <c r="H1442" s="63">
        <f>SUM(H1439:H1441)</f>
        <v>93920</v>
      </c>
      <c r="I1442" s="154"/>
    </row>
    <row r="1443" spans="3:13" s="59" customFormat="1" ht="22.2" customHeight="1">
      <c r="C1443" s="61" t="s">
        <v>1209</v>
      </c>
      <c r="D1443" s="56" t="s">
        <v>1210</v>
      </c>
      <c r="E1443" s="57"/>
      <c r="F1443" s="57"/>
      <c r="G1443" s="57"/>
      <c r="H1443" s="57"/>
      <c r="I1443" s="44"/>
    </row>
    <row r="1444" spans="3:13" s="59" customFormat="1" ht="22.2" customHeight="1">
      <c r="C1444" s="800"/>
      <c r="D1444" s="56" t="s">
        <v>8500</v>
      </c>
      <c r="E1444" s="93" t="s">
        <v>1300</v>
      </c>
      <c r="F1444" s="104">
        <v>1</v>
      </c>
      <c r="G1444" s="63">
        <f>VLOOKUP(D1444,upahbahan,3,FALSE)</f>
        <v>157000</v>
      </c>
      <c r="H1444" s="63">
        <f t="shared" ref="H1444" si="177">F1444*G1444</f>
        <v>157000</v>
      </c>
      <c r="I1444" s="44"/>
    </row>
    <row r="1445" spans="3:13" s="59" customFormat="1" ht="22.2" customHeight="1">
      <c r="C1445" s="450" t="s">
        <v>1214</v>
      </c>
      <c r="D1445" s="67"/>
      <c r="E1445" s="67"/>
      <c r="F1445" s="67"/>
      <c r="G1445" s="69"/>
      <c r="H1445" s="63">
        <f>SUM(H1443:H1444)</f>
        <v>157000</v>
      </c>
      <c r="I1445" s="44"/>
    </row>
    <row r="1446" spans="3:13" s="59" customFormat="1" ht="22.2" customHeight="1">
      <c r="C1446" s="61" t="s">
        <v>1215</v>
      </c>
      <c r="D1446" s="56" t="s">
        <v>1216</v>
      </c>
      <c r="E1446" s="93"/>
      <c r="F1446" s="57"/>
      <c r="G1446" s="57"/>
      <c r="H1446" s="57"/>
      <c r="I1446" s="44"/>
    </row>
    <row r="1447" spans="3:13" s="59" customFormat="1" ht="22.2" customHeight="1">
      <c r="C1447" s="800">
        <v>1</v>
      </c>
      <c r="D1447" s="56" t="s">
        <v>4770</v>
      </c>
      <c r="E1447" s="93" t="s">
        <v>4414</v>
      </c>
      <c r="F1447" s="104">
        <v>0.307</v>
      </c>
      <c r="G1447" s="63">
        <f>VLOOKUP(D1447,upahbahan,3,FALSE)</f>
        <v>108000</v>
      </c>
      <c r="H1447" s="63">
        <f t="shared" ref="H1447" si="178">F1447*G1447</f>
        <v>33156</v>
      </c>
      <c r="I1447" s="44"/>
    </row>
    <row r="1448" spans="3:13" s="59" customFormat="1" ht="22.2" customHeight="1">
      <c r="C1448" s="450" t="s">
        <v>1217</v>
      </c>
      <c r="D1448" s="67"/>
      <c r="E1448" s="67"/>
      <c r="F1448" s="67"/>
      <c r="G1448" s="69"/>
      <c r="H1448" s="882">
        <f>SUM(H1446:H1447)</f>
        <v>33156</v>
      </c>
      <c r="I1448" s="44"/>
    </row>
    <row r="1449" spans="3:13" s="59" customFormat="1" ht="22.2" customHeight="1">
      <c r="C1449" s="288" t="s">
        <v>1218</v>
      </c>
      <c r="D1449" s="76" t="s">
        <v>1219</v>
      </c>
      <c r="E1449" s="77"/>
      <c r="F1449" s="77"/>
      <c r="G1449" s="78"/>
      <c r="H1449" s="585">
        <f>H1448+H1445+H1442</f>
        <v>284076</v>
      </c>
      <c r="I1449" s="369"/>
    </row>
    <row r="1450" spans="3:13" s="59" customFormat="1" ht="22.2" customHeight="1">
      <c r="C1450" s="288" t="s">
        <v>1220</v>
      </c>
      <c r="D1450" s="76" t="s">
        <v>1321</v>
      </c>
      <c r="E1450" s="77"/>
      <c r="F1450" s="78"/>
      <c r="G1450" s="80">
        <v>0.1</v>
      </c>
      <c r="H1450" s="63">
        <f>H1449*G1450</f>
        <v>28407.600000000002</v>
      </c>
      <c r="I1450" s="369"/>
    </row>
    <row r="1451" spans="3:13" s="59" customFormat="1" ht="22.2" customHeight="1">
      <c r="C1451" s="288" t="s">
        <v>1221</v>
      </c>
      <c r="D1451" s="76" t="s">
        <v>1222</v>
      </c>
      <c r="E1451" s="77"/>
      <c r="F1451" s="77"/>
      <c r="G1451" s="78"/>
      <c r="H1451" s="799">
        <f>SUM(H1449:H1450)</f>
        <v>312483.59999999998</v>
      </c>
      <c r="I1451" s="369"/>
    </row>
    <row r="1452" spans="3:13" ht="22.2" customHeight="1"/>
    <row r="1453" spans="3:13" ht="22.2" customHeight="1">
      <c r="C1453" s="43" t="s">
        <v>4912</v>
      </c>
      <c r="D1453" s="128" t="s">
        <v>8501</v>
      </c>
      <c r="I1453" s="50">
        <f>ROUNDDOWN(H1468,-2)</f>
        <v>429600</v>
      </c>
      <c r="J1453" s="59" t="s">
        <v>6451</v>
      </c>
      <c r="K1453" s="59" t="s">
        <v>8371</v>
      </c>
    </row>
    <row r="1454" spans="3:13" s="59" customFormat="1" ht="22.2" customHeight="1">
      <c r="C1454" s="591" t="s">
        <v>1195</v>
      </c>
      <c r="D1454" s="591" t="s">
        <v>1196</v>
      </c>
      <c r="E1454" s="591" t="s">
        <v>1197</v>
      </c>
      <c r="F1454" s="591" t="s">
        <v>1198</v>
      </c>
      <c r="G1454" s="591" t="s">
        <v>1199</v>
      </c>
      <c r="H1454" s="591" t="s">
        <v>1200</v>
      </c>
      <c r="I1454" s="44"/>
    </row>
    <row r="1455" spans="3:13" s="59" customFormat="1" ht="22.2" customHeight="1">
      <c r="C1455" s="61" t="s">
        <v>1201</v>
      </c>
      <c r="D1455" s="56" t="s">
        <v>1202</v>
      </c>
      <c r="E1455" s="57"/>
      <c r="F1455" s="57"/>
      <c r="G1455" s="57"/>
      <c r="H1455" s="57"/>
      <c r="I1455" s="44"/>
      <c r="J1455" s="152" t="s">
        <v>1247</v>
      </c>
    </row>
    <row r="1456" spans="3:13" s="59" customFormat="1" ht="22.2" customHeight="1">
      <c r="C1456" s="588">
        <v>1</v>
      </c>
      <c r="D1456" s="56" t="s">
        <v>5</v>
      </c>
      <c r="E1456" s="577" t="s">
        <v>6</v>
      </c>
      <c r="F1456" s="101">
        <v>0.89300000000000002</v>
      </c>
      <c r="G1456" s="63">
        <f>VLOOKUP(D1456,upahbahan,3,FALSE)</f>
        <v>100000</v>
      </c>
      <c r="H1456" s="63">
        <f>F1456*G1456</f>
        <v>89300</v>
      </c>
      <c r="I1456" s="44"/>
      <c r="J1456" s="152" t="s">
        <v>1248</v>
      </c>
      <c r="M1456" s="65">
        <v>0.1</v>
      </c>
    </row>
    <row r="1457" spans="3:13" s="59" customFormat="1" ht="22.2" customHeight="1">
      <c r="C1457" s="588">
        <v>2</v>
      </c>
      <c r="D1457" s="56" t="s">
        <v>10</v>
      </c>
      <c r="E1457" s="577" t="s">
        <v>6</v>
      </c>
      <c r="F1457" s="101">
        <v>0.44600000000000001</v>
      </c>
      <c r="G1457" s="63">
        <f>VLOOKUP(D1457,upahbahan,3,FALSE)</f>
        <v>135000</v>
      </c>
      <c r="H1457" s="63">
        <f t="shared" ref="H1457:H1458" si="179">F1457*G1457</f>
        <v>60210</v>
      </c>
      <c r="I1457" s="44"/>
      <c r="J1457" s="152"/>
      <c r="M1457" s="65"/>
    </row>
    <row r="1458" spans="3:13" s="59" customFormat="1" ht="22.2" customHeight="1">
      <c r="C1458" s="588">
        <v>3</v>
      </c>
      <c r="D1458" s="56" t="s">
        <v>19</v>
      </c>
      <c r="E1458" s="577" t="s">
        <v>6</v>
      </c>
      <c r="F1458" s="101">
        <v>8.8999999999999996E-2</v>
      </c>
      <c r="G1458" s="63">
        <f>VLOOKUP(D1458,upahbahan,3,FALSE)</f>
        <v>160000</v>
      </c>
      <c r="H1458" s="63">
        <f t="shared" si="179"/>
        <v>14240</v>
      </c>
      <c r="I1458" s="44"/>
    </row>
    <row r="1459" spans="3:13" s="59" customFormat="1" ht="22.2" customHeight="1">
      <c r="C1459" s="450" t="s">
        <v>1208</v>
      </c>
      <c r="D1459" s="67"/>
      <c r="E1459" s="67"/>
      <c r="F1459" s="142"/>
      <c r="G1459" s="153"/>
      <c r="H1459" s="63">
        <f>SUM(H1456:H1458)</f>
        <v>163750</v>
      </c>
      <c r="I1459" s="154"/>
    </row>
    <row r="1460" spans="3:13" s="59" customFormat="1" ht="22.2" customHeight="1">
      <c r="C1460" s="61" t="s">
        <v>1209</v>
      </c>
      <c r="D1460" s="56" t="s">
        <v>1210</v>
      </c>
      <c r="E1460" s="57"/>
      <c r="F1460" s="57"/>
      <c r="G1460" s="57"/>
      <c r="H1460" s="57"/>
      <c r="I1460" s="44"/>
    </row>
    <row r="1461" spans="3:13" s="59" customFormat="1" ht="22.2" customHeight="1">
      <c r="C1461" s="800"/>
      <c r="D1461" s="56" t="s">
        <v>8502</v>
      </c>
      <c r="E1461" s="93" t="s">
        <v>1300</v>
      </c>
      <c r="F1461" s="104">
        <v>1</v>
      </c>
      <c r="G1461" s="63">
        <f>VLOOKUP(D1461,upahbahan,3,FALSE)</f>
        <v>165000</v>
      </c>
      <c r="H1461" s="63">
        <f t="shared" ref="H1461" si="180">F1461*G1461</f>
        <v>165000</v>
      </c>
      <c r="I1461" s="44"/>
    </row>
    <row r="1462" spans="3:13" s="59" customFormat="1" ht="22.2" customHeight="1">
      <c r="C1462" s="450" t="s">
        <v>1214</v>
      </c>
      <c r="D1462" s="67"/>
      <c r="E1462" s="67"/>
      <c r="F1462" s="67"/>
      <c r="G1462" s="69"/>
      <c r="H1462" s="63">
        <f>SUM(H1460:H1461)</f>
        <v>165000</v>
      </c>
      <c r="I1462" s="44"/>
    </row>
    <row r="1463" spans="3:13" s="59" customFormat="1" ht="22.2" customHeight="1">
      <c r="C1463" s="61" t="s">
        <v>1215</v>
      </c>
      <c r="D1463" s="56" t="s">
        <v>1216</v>
      </c>
      <c r="E1463" s="93"/>
      <c r="F1463" s="57"/>
      <c r="G1463" s="57"/>
      <c r="H1463" s="57"/>
      <c r="I1463" s="44"/>
    </row>
    <row r="1464" spans="3:13" s="59" customFormat="1" ht="22.2" customHeight="1">
      <c r="C1464" s="800">
        <v>1</v>
      </c>
      <c r="D1464" s="56" t="s">
        <v>4770</v>
      </c>
      <c r="E1464" s="93" t="s">
        <v>4414</v>
      </c>
      <c r="F1464" s="104">
        <v>0.57299999999999995</v>
      </c>
      <c r="G1464" s="63">
        <f>VLOOKUP(D1464,upahbahan,3,FALSE)</f>
        <v>108000</v>
      </c>
      <c r="H1464" s="63">
        <f t="shared" ref="H1464" si="181">F1464*G1464</f>
        <v>61883.999999999993</v>
      </c>
      <c r="I1464" s="44"/>
    </row>
    <row r="1465" spans="3:13" s="59" customFormat="1" ht="22.2" customHeight="1">
      <c r="C1465" s="450" t="s">
        <v>1217</v>
      </c>
      <c r="D1465" s="67"/>
      <c r="E1465" s="67"/>
      <c r="F1465" s="67"/>
      <c r="G1465" s="69"/>
      <c r="H1465" s="882">
        <f>SUM(H1463:H1464)</f>
        <v>61883.999999999993</v>
      </c>
      <c r="I1465" s="44"/>
    </row>
    <row r="1466" spans="3:13" s="59" customFormat="1" ht="22.2" customHeight="1">
      <c r="C1466" s="288" t="s">
        <v>1218</v>
      </c>
      <c r="D1466" s="76" t="s">
        <v>1219</v>
      </c>
      <c r="E1466" s="77"/>
      <c r="F1466" s="77"/>
      <c r="G1466" s="78"/>
      <c r="H1466" s="585">
        <f>H1465+H1462+H1459</f>
        <v>390634</v>
      </c>
      <c r="I1466" s="369"/>
    </row>
    <row r="1467" spans="3:13" s="59" customFormat="1" ht="22.2" customHeight="1">
      <c r="C1467" s="288" t="s">
        <v>1220</v>
      </c>
      <c r="D1467" s="76" t="s">
        <v>1321</v>
      </c>
      <c r="E1467" s="77"/>
      <c r="F1467" s="78"/>
      <c r="G1467" s="80">
        <v>0.1</v>
      </c>
      <c r="H1467" s="63">
        <f>H1466*G1467</f>
        <v>39063.4</v>
      </c>
      <c r="I1467" s="369"/>
    </row>
    <row r="1468" spans="3:13" s="59" customFormat="1" ht="22.2" customHeight="1">
      <c r="C1468" s="288" t="s">
        <v>1221</v>
      </c>
      <c r="D1468" s="76" t="s">
        <v>1222</v>
      </c>
      <c r="E1468" s="77"/>
      <c r="F1468" s="77"/>
      <c r="G1468" s="78"/>
      <c r="H1468" s="799">
        <f>SUM(H1466:H1467)</f>
        <v>429697.4</v>
      </c>
      <c r="I1468" s="369"/>
    </row>
    <row r="1469" spans="3:13" ht="22.2" customHeight="1"/>
    <row r="1470" spans="3:13" ht="22.2" customHeight="1">
      <c r="C1470" s="43" t="s">
        <v>4914</v>
      </c>
      <c r="D1470" s="128" t="s">
        <v>8503</v>
      </c>
      <c r="I1470" s="50">
        <f>ROUNDDOWN(H1485,-2)</f>
        <v>562300</v>
      </c>
      <c r="J1470" s="59" t="s">
        <v>6451</v>
      </c>
      <c r="K1470" s="59" t="s">
        <v>8371</v>
      </c>
    </row>
    <row r="1471" spans="3:13" s="59" customFormat="1" ht="22.2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</row>
    <row r="1472" spans="3:13" s="59" customFormat="1" ht="22.2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152" t="s">
        <v>1247</v>
      </c>
    </row>
    <row r="1473" spans="3:13" s="59" customFormat="1" ht="22.2" customHeight="1">
      <c r="C1473" s="588">
        <v>1</v>
      </c>
      <c r="D1473" s="56" t="s">
        <v>5</v>
      </c>
      <c r="E1473" s="577" t="s">
        <v>6</v>
      </c>
      <c r="F1473" s="101">
        <v>1.353</v>
      </c>
      <c r="G1473" s="63">
        <f>VLOOKUP(D1473,upahbahan,3,FALSE)</f>
        <v>100000</v>
      </c>
      <c r="H1473" s="63">
        <f>F1473*G1473</f>
        <v>135300</v>
      </c>
      <c r="I1473" s="44"/>
      <c r="J1473" s="152" t="s">
        <v>1248</v>
      </c>
      <c r="M1473" s="65">
        <v>0.1</v>
      </c>
    </row>
    <row r="1474" spans="3:13" s="59" customFormat="1" ht="22.2" customHeight="1">
      <c r="C1474" s="588">
        <v>2</v>
      </c>
      <c r="D1474" s="56" t="s">
        <v>10</v>
      </c>
      <c r="E1474" s="577" t="s">
        <v>6</v>
      </c>
      <c r="F1474" s="101">
        <v>0.67700000000000005</v>
      </c>
      <c r="G1474" s="63">
        <f>VLOOKUP(D1474,upahbahan,3,FALSE)</f>
        <v>135000</v>
      </c>
      <c r="H1474" s="63">
        <f t="shared" ref="H1474:H1475" si="182">F1474*G1474</f>
        <v>91395</v>
      </c>
      <c r="I1474" s="44"/>
      <c r="J1474" s="152"/>
      <c r="M1474" s="65"/>
    </row>
    <row r="1475" spans="3:13" s="59" customFormat="1" ht="22.2" customHeight="1">
      <c r="C1475" s="588">
        <v>3</v>
      </c>
      <c r="D1475" s="56" t="s">
        <v>19</v>
      </c>
      <c r="E1475" s="577" t="s">
        <v>6</v>
      </c>
      <c r="F1475" s="101">
        <v>0.13500000000000001</v>
      </c>
      <c r="G1475" s="63">
        <f>VLOOKUP(D1475,upahbahan,3,FALSE)</f>
        <v>160000</v>
      </c>
      <c r="H1475" s="63">
        <f t="shared" si="182"/>
        <v>21600</v>
      </c>
      <c r="I1475" s="44"/>
    </row>
    <row r="1476" spans="3:13" s="59" customFormat="1" ht="22.2" customHeight="1">
      <c r="C1476" s="450" t="s">
        <v>1208</v>
      </c>
      <c r="D1476" s="67"/>
      <c r="E1476" s="67"/>
      <c r="F1476" s="142"/>
      <c r="G1476" s="153"/>
      <c r="H1476" s="63">
        <f>SUM(H1473:H1475)</f>
        <v>248295</v>
      </c>
      <c r="I1476" s="154"/>
    </row>
    <row r="1477" spans="3:13" s="59" customFormat="1" ht="22.2" customHeight="1">
      <c r="C1477" s="61" t="s">
        <v>1209</v>
      </c>
      <c r="D1477" s="56" t="s">
        <v>1210</v>
      </c>
      <c r="E1477" s="57"/>
      <c r="F1477" s="57"/>
      <c r="G1477" s="57"/>
      <c r="H1477" s="57"/>
      <c r="I1477" s="44"/>
    </row>
    <row r="1478" spans="3:13" s="59" customFormat="1" ht="22.2" customHeight="1">
      <c r="C1478" s="800"/>
      <c r="D1478" s="56" t="s">
        <v>8504</v>
      </c>
      <c r="E1478" s="93" t="s">
        <v>1300</v>
      </c>
      <c r="F1478" s="104">
        <v>1</v>
      </c>
      <c r="G1478" s="63">
        <f>VLOOKUP(D1478,upahbahan,3,FALSE)</f>
        <v>173000</v>
      </c>
      <c r="H1478" s="63">
        <f t="shared" ref="H1478" si="183">F1478*G1478</f>
        <v>173000</v>
      </c>
      <c r="I1478" s="44"/>
    </row>
    <row r="1479" spans="3:13" s="59" customFormat="1" ht="22.2" customHeight="1">
      <c r="C1479" s="450" t="s">
        <v>1214</v>
      </c>
      <c r="D1479" s="67"/>
      <c r="E1479" s="67"/>
      <c r="F1479" s="67"/>
      <c r="G1479" s="69"/>
      <c r="H1479" s="63">
        <f>SUM(H1477:H1478)</f>
        <v>173000</v>
      </c>
      <c r="I1479" s="44"/>
    </row>
    <row r="1480" spans="3:13" s="59" customFormat="1" ht="22.2" customHeight="1">
      <c r="C1480" s="61" t="s">
        <v>1215</v>
      </c>
      <c r="D1480" s="56" t="s">
        <v>1216</v>
      </c>
      <c r="E1480" s="93"/>
      <c r="F1480" s="57"/>
      <c r="G1480" s="57"/>
      <c r="H1480" s="57"/>
      <c r="I1480" s="44"/>
    </row>
    <row r="1481" spans="3:13" s="59" customFormat="1" ht="22.2" customHeight="1">
      <c r="C1481" s="800">
        <v>1</v>
      </c>
      <c r="D1481" s="56" t="s">
        <v>4770</v>
      </c>
      <c r="E1481" s="93" t="s">
        <v>4414</v>
      </c>
      <c r="F1481" s="104">
        <v>0.83299999999999996</v>
      </c>
      <c r="G1481" s="63">
        <f>VLOOKUP(D1481,upahbahan,3,FALSE)</f>
        <v>108000</v>
      </c>
      <c r="H1481" s="63">
        <f t="shared" ref="H1481" si="184">F1481*G1481</f>
        <v>89964</v>
      </c>
      <c r="I1481" s="44"/>
    </row>
    <row r="1482" spans="3:13" s="59" customFormat="1" ht="22.2" customHeight="1">
      <c r="C1482" s="450" t="s">
        <v>1217</v>
      </c>
      <c r="D1482" s="67"/>
      <c r="E1482" s="67"/>
      <c r="F1482" s="67"/>
      <c r="G1482" s="69"/>
      <c r="H1482" s="882">
        <f>SUM(H1480:H1481)</f>
        <v>89964</v>
      </c>
      <c r="I1482" s="44"/>
    </row>
    <row r="1483" spans="3:13" s="59" customFormat="1" ht="22.2" customHeight="1">
      <c r="C1483" s="288" t="s">
        <v>1218</v>
      </c>
      <c r="D1483" s="76" t="s">
        <v>1219</v>
      </c>
      <c r="E1483" s="77"/>
      <c r="F1483" s="77"/>
      <c r="G1483" s="78"/>
      <c r="H1483" s="585">
        <f>H1482+H1479+H1476</f>
        <v>511259</v>
      </c>
      <c r="I1483" s="369"/>
    </row>
    <row r="1484" spans="3:13" s="59" customFormat="1" ht="22.2" customHeight="1">
      <c r="C1484" s="288" t="s">
        <v>1220</v>
      </c>
      <c r="D1484" s="76" t="s">
        <v>1321</v>
      </c>
      <c r="E1484" s="77"/>
      <c r="F1484" s="78"/>
      <c r="G1484" s="80">
        <v>0.1</v>
      </c>
      <c r="H1484" s="63">
        <f>H1483*G1484</f>
        <v>51125.9</v>
      </c>
      <c r="I1484" s="369"/>
    </row>
    <row r="1485" spans="3:13" s="59" customFormat="1" ht="22.2" customHeight="1">
      <c r="C1485" s="288" t="s">
        <v>1221</v>
      </c>
      <c r="D1485" s="76" t="s">
        <v>1222</v>
      </c>
      <c r="E1485" s="77"/>
      <c r="F1485" s="77"/>
      <c r="G1485" s="78"/>
      <c r="H1485" s="799">
        <f>SUM(H1483:H1484)</f>
        <v>562384.9</v>
      </c>
      <c r="I1485" s="369"/>
    </row>
    <row r="1486" spans="3:13" ht="22.2" customHeight="1"/>
    <row r="1487" spans="3:13" ht="22.2" customHeight="1">
      <c r="C1487" s="43" t="s">
        <v>4916</v>
      </c>
      <c r="D1487" s="128" t="s">
        <v>8505</v>
      </c>
      <c r="I1487" s="50">
        <f>ROUNDDOWN(H1502,-2)</f>
        <v>670500</v>
      </c>
      <c r="J1487" s="59" t="s">
        <v>6451</v>
      </c>
      <c r="K1487" s="59" t="s">
        <v>8371</v>
      </c>
    </row>
    <row r="1488" spans="3:13" s="59" customFormat="1" ht="22.2" customHeight="1">
      <c r="C1488" s="591" t="s">
        <v>1195</v>
      </c>
      <c r="D1488" s="591" t="s">
        <v>1196</v>
      </c>
      <c r="E1488" s="591" t="s">
        <v>1197</v>
      </c>
      <c r="F1488" s="591" t="s">
        <v>1198</v>
      </c>
      <c r="G1488" s="591" t="s">
        <v>1199</v>
      </c>
      <c r="H1488" s="591" t="s">
        <v>1200</v>
      </c>
      <c r="I1488" s="44"/>
    </row>
    <row r="1489" spans="3:13" s="59" customFormat="1" ht="22.2" customHeight="1">
      <c r="C1489" s="61" t="s">
        <v>1201</v>
      </c>
      <c r="D1489" s="56" t="s">
        <v>1202</v>
      </c>
      <c r="E1489" s="57"/>
      <c r="F1489" s="57"/>
      <c r="G1489" s="57"/>
      <c r="H1489" s="57"/>
      <c r="I1489" s="44"/>
      <c r="J1489" s="152" t="s">
        <v>1247</v>
      </c>
    </row>
    <row r="1490" spans="3:13" s="59" customFormat="1" ht="22.2" customHeight="1">
      <c r="C1490" s="588">
        <v>1</v>
      </c>
      <c r="D1490" s="56" t="s">
        <v>5</v>
      </c>
      <c r="E1490" s="577" t="s">
        <v>6</v>
      </c>
      <c r="F1490" s="101">
        <v>1.659</v>
      </c>
      <c r="G1490" s="63">
        <f>VLOOKUP(D1490,upahbahan,3,FALSE)</f>
        <v>100000</v>
      </c>
      <c r="H1490" s="63">
        <f>F1490*G1490</f>
        <v>165900</v>
      </c>
      <c r="I1490" s="44"/>
      <c r="J1490" s="152" t="s">
        <v>1248</v>
      </c>
      <c r="M1490" s="65">
        <v>0.1</v>
      </c>
    </row>
    <row r="1491" spans="3:13" s="59" customFormat="1" ht="22.2" customHeight="1">
      <c r="C1491" s="588">
        <v>2</v>
      </c>
      <c r="D1491" s="56" t="s">
        <v>10</v>
      </c>
      <c r="E1491" s="577" t="s">
        <v>6</v>
      </c>
      <c r="F1491" s="101">
        <v>0.83</v>
      </c>
      <c r="G1491" s="63">
        <f>VLOOKUP(D1491,upahbahan,3,FALSE)</f>
        <v>135000</v>
      </c>
      <c r="H1491" s="63">
        <f t="shared" ref="H1491:H1492" si="185">F1491*G1491</f>
        <v>112050</v>
      </c>
      <c r="I1491" s="44"/>
      <c r="J1491" s="152"/>
      <c r="M1491" s="65"/>
    </row>
    <row r="1492" spans="3:13" s="59" customFormat="1" ht="22.2" customHeight="1">
      <c r="C1492" s="588">
        <v>3</v>
      </c>
      <c r="D1492" s="56" t="s">
        <v>19</v>
      </c>
      <c r="E1492" s="577" t="s">
        <v>6</v>
      </c>
      <c r="F1492" s="101">
        <v>0.16600000000000001</v>
      </c>
      <c r="G1492" s="63">
        <f>VLOOKUP(D1492,upahbahan,3,FALSE)</f>
        <v>160000</v>
      </c>
      <c r="H1492" s="63">
        <f t="shared" si="185"/>
        <v>26560</v>
      </c>
      <c r="I1492" s="44"/>
    </row>
    <row r="1493" spans="3:13" s="59" customFormat="1" ht="22.2" customHeight="1">
      <c r="C1493" s="450" t="s">
        <v>1208</v>
      </c>
      <c r="D1493" s="67"/>
      <c r="E1493" s="67"/>
      <c r="F1493" s="142"/>
      <c r="G1493" s="153"/>
      <c r="H1493" s="63">
        <f>SUM(H1490:H1492)</f>
        <v>304510</v>
      </c>
      <c r="I1493" s="154"/>
    </row>
    <row r="1494" spans="3:13" s="59" customFormat="1" ht="22.2" customHeight="1">
      <c r="C1494" s="61" t="s">
        <v>1209</v>
      </c>
      <c r="D1494" s="56" t="s">
        <v>1210</v>
      </c>
      <c r="E1494" s="57"/>
      <c r="F1494" s="57"/>
      <c r="G1494" s="57"/>
      <c r="H1494" s="57"/>
      <c r="I1494" s="44"/>
    </row>
    <row r="1495" spans="3:13" s="59" customFormat="1" ht="22.2" customHeight="1">
      <c r="C1495" s="800"/>
      <c r="D1495" s="56" t="s">
        <v>8506</v>
      </c>
      <c r="E1495" s="93" t="s">
        <v>1300</v>
      </c>
      <c r="F1495" s="104">
        <v>1</v>
      </c>
      <c r="G1495" s="63">
        <f>VLOOKUP(D1495,upahbahan,3,FALSE)</f>
        <v>187000</v>
      </c>
      <c r="H1495" s="63">
        <f t="shared" ref="H1495" si="186">F1495*G1495</f>
        <v>187000</v>
      </c>
      <c r="I1495" s="44"/>
    </row>
    <row r="1496" spans="3:13" s="59" customFormat="1" ht="22.2" customHeight="1">
      <c r="C1496" s="450" t="s">
        <v>1214</v>
      </c>
      <c r="D1496" s="67"/>
      <c r="E1496" s="67"/>
      <c r="F1496" s="67"/>
      <c r="G1496" s="69"/>
      <c r="H1496" s="63">
        <f>SUM(H1494:H1495)</f>
        <v>187000</v>
      </c>
      <c r="I1496" s="44"/>
    </row>
    <row r="1497" spans="3:13" s="59" customFormat="1" ht="22.2" customHeight="1">
      <c r="C1497" s="61" t="s">
        <v>1215</v>
      </c>
      <c r="D1497" s="56" t="s">
        <v>1216</v>
      </c>
      <c r="E1497" s="93"/>
      <c r="F1497" s="57"/>
      <c r="G1497" s="57"/>
      <c r="H1497" s="57"/>
      <c r="I1497" s="44"/>
    </row>
    <row r="1498" spans="3:13" s="59" customFormat="1" ht="22.2" customHeight="1">
      <c r="C1498" s="800">
        <v>1</v>
      </c>
      <c r="D1498" s="56" t="s">
        <v>4770</v>
      </c>
      <c r="E1498" s="93" t="s">
        <v>4414</v>
      </c>
      <c r="F1498" s="104">
        <v>1.093</v>
      </c>
      <c r="G1498" s="63">
        <f>VLOOKUP(D1498,upahbahan,3,FALSE)</f>
        <v>108000</v>
      </c>
      <c r="H1498" s="63">
        <f t="shared" ref="H1498" si="187">F1498*G1498</f>
        <v>118044</v>
      </c>
      <c r="I1498" s="44"/>
    </row>
    <row r="1499" spans="3:13" s="59" customFormat="1" ht="22.2" customHeight="1">
      <c r="C1499" s="450" t="s">
        <v>1217</v>
      </c>
      <c r="D1499" s="67"/>
      <c r="E1499" s="67"/>
      <c r="F1499" s="67"/>
      <c r="G1499" s="69"/>
      <c r="H1499" s="882">
        <f>SUM(H1497:H1498)</f>
        <v>118044</v>
      </c>
      <c r="I1499" s="44"/>
    </row>
    <row r="1500" spans="3:13" s="59" customFormat="1" ht="22.2" customHeight="1">
      <c r="C1500" s="288" t="s">
        <v>1218</v>
      </c>
      <c r="D1500" s="76" t="s">
        <v>1219</v>
      </c>
      <c r="E1500" s="77"/>
      <c r="F1500" s="77"/>
      <c r="G1500" s="78"/>
      <c r="H1500" s="585">
        <f>H1499+H1496+H1493</f>
        <v>609554</v>
      </c>
      <c r="I1500" s="369"/>
    </row>
    <row r="1501" spans="3:13" s="59" customFormat="1" ht="22.2" customHeight="1">
      <c r="C1501" s="288" t="s">
        <v>1220</v>
      </c>
      <c r="D1501" s="76" t="s">
        <v>1321</v>
      </c>
      <c r="E1501" s="77"/>
      <c r="F1501" s="78"/>
      <c r="G1501" s="80">
        <v>0.1</v>
      </c>
      <c r="H1501" s="63">
        <f>H1500*G1501</f>
        <v>60955.4</v>
      </c>
      <c r="I1501" s="369"/>
    </row>
    <row r="1502" spans="3:13" s="59" customFormat="1" ht="22.2" customHeight="1">
      <c r="C1502" s="288" t="s">
        <v>1221</v>
      </c>
      <c r="D1502" s="76" t="s">
        <v>1222</v>
      </c>
      <c r="E1502" s="77"/>
      <c r="F1502" s="77"/>
      <c r="G1502" s="78"/>
      <c r="H1502" s="799">
        <f>SUM(H1500:H1501)</f>
        <v>670509.4</v>
      </c>
      <c r="I1502" s="369"/>
    </row>
    <row r="1503" spans="3:13" ht="22.2" customHeight="1"/>
    <row r="1504" spans="3:13" ht="22.2" customHeight="1">
      <c r="C1504" s="43" t="s">
        <v>4918</v>
      </c>
      <c r="D1504" s="128" t="s">
        <v>8507</v>
      </c>
      <c r="I1504" s="50">
        <f>ROUNDDOWN(H1519,-2)</f>
        <v>727900</v>
      </c>
      <c r="J1504" s="59" t="s">
        <v>6451</v>
      </c>
      <c r="K1504" s="59" t="s">
        <v>8371</v>
      </c>
    </row>
    <row r="1505" spans="3:13" s="59" customFormat="1" ht="22.2" customHeight="1">
      <c r="C1505" s="591" t="s">
        <v>1195</v>
      </c>
      <c r="D1505" s="591" t="s">
        <v>1196</v>
      </c>
      <c r="E1505" s="591" t="s">
        <v>1197</v>
      </c>
      <c r="F1505" s="591" t="s">
        <v>1198</v>
      </c>
      <c r="G1505" s="591" t="s">
        <v>1199</v>
      </c>
      <c r="H1505" s="591" t="s">
        <v>1200</v>
      </c>
      <c r="I1505" s="44"/>
    </row>
    <row r="1506" spans="3:13" s="59" customFormat="1" ht="22.2" customHeight="1">
      <c r="C1506" s="61" t="s">
        <v>1201</v>
      </c>
      <c r="D1506" s="56" t="s">
        <v>1202</v>
      </c>
      <c r="E1506" s="57"/>
      <c r="F1506" s="57"/>
      <c r="G1506" s="57"/>
      <c r="H1506" s="57"/>
      <c r="I1506" s="44"/>
      <c r="J1506" s="152" t="s">
        <v>1247</v>
      </c>
    </row>
    <row r="1507" spans="3:13" s="59" customFormat="1" ht="22.2" customHeight="1">
      <c r="C1507" s="588">
        <v>1</v>
      </c>
      <c r="D1507" s="56" t="s">
        <v>5</v>
      </c>
      <c r="E1507" s="577" t="s">
        <v>6</v>
      </c>
      <c r="F1507" s="101">
        <v>1.8180000000000001</v>
      </c>
      <c r="G1507" s="63">
        <f>VLOOKUP(D1507,upahbahan,3,FALSE)</f>
        <v>100000</v>
      </c>
      <c r="H1507" s="63">
        <f>F1507*G1507</f>
        <v>181800</v>
      </c>
      <c r="I1507" s="44"/>
      <c r="J1507" s="152" t="s">
        <v>1248</v>
      </c>
      <c r="M1507" s="65">
        <v>0.1</v>
      </c>
    </row>
    <row r="1508" spans="3:13" s="59" customFormat="1" ht="22.2" customHeight="1">
      <c r="C1508" s="588">
        <v>2</v>
      </c>
      <c r="D1508" s="56" t="s">
        <v>10</v>
      </c>
      <c r="E1508" s="577" t="s">
        <v>6</v>
      </c>
      <c r="F1508" s="101">
        <v>0.90900000000000003</v>
      </c>
      <c r="G1508" s="63">
        <f>VLOOKUP(D1508,upahbahan,3,FALSE)</f>
        <v>135000</v>
      </c>
      <c r="H1508" s="63">
        <f t="shared" ref="H1508:H1509" si="188">F1508*G1508</f>
        <v>122715</v>
      </c>
      <c r="I1508" s="44"/>
      <c r="J1508" s="152"/>
      <c r="M1508" s="65"/>
    </row>
    <row r="1509" spans="3:13" s="59" customFormat="1" ht="22.2" customHeight="1">
      <c r="C1509" s="588">
        <v>3</v>
      </c>
      <c r="D1509" s="56" t="s">
        <v>19</v>
      </c>
      <c r="E1509" s="577" t="s">
        <v>6</v>
      </c>
      <c r="F1509" s="101">
        <v>0.182</v>
      </c>
      <c r="G1509" s="63">
        <f>VLOOKUP(D1509,upahbahan,3,FALSE)</f>
        <v>160000</v>
      </c>
      <c r="H1509" s="63">
        <f t="shared" si="188"/>
        <v>29120</v>
      </c>
      <c r="I1509" s="44"/>
    </row>
    <row r="1510" spans="3:13" s="59" customFormat="1" ht="22.2" customHeight="1">
      <c r="C1510" s="450" t="s">
        <v>1208</v>
      </c>
      <c r="D1510" s="67"/>
      <c r="E1510" s="67"/>
      <c r="F1510" s="142"/>
      <c r="G1510" s="153"/>
      <c r="H1510" s="63">
        <f>SUM(H1507:H1509)</f>
        <v>333635</v>
      </c>
      <c r="I1510" s="154"/>
    </row>
    <row r="1511" spans="3:13" s="59" customFormat="1" ht="22.2" customHeight="1">
      <c r="C1511" s="61" t="s">
        <v>1209</v>
      </c>
      <c r="D1511" s="56" t="s">
        <v>1210</v>
      </c>
      <c r="E1511" s="57"/>
      <c r="F1511" s="57"/>
      <c r="G1511" s="57"/>
      <c r="H1511" s="57"/>
      <c r="I1511" s="44"/>
    </row>
    <row r="1512" spans="3:13" s="59" customFormat="1" ht="22.2" customHeight="1">
      <c r="C1512" s="800"/>
      <c r="D1512" s="56" t="s">
        <v>8508</v>
      </c>
      <c r="E1512" s="93" t="s">
        <v>1300</v>
      </c>
      <c r="F1512" s="104">
        <v>1</v>
      </c>
      <c r="G1512" s="63">
        <f>VLOOKUP(D1512,upahbahan,3,FALSE)</f>
        <v>198000</v>
      </c>
      <c r="H1512" s="63">
        <f t="shared" ref="H1512" si="189">F1512*G1512</f>
        <v>198000</v>
      </c>
      <c r="I1512" s="44"/>
    </row>
    <row r="1513" spans="3:13" s="59" customFormat="1" ht="22.2" customHeight="1">
      <c r="C1513" s="450" t="s">
        <v>1214</v>
      </c>
      <c r="D1513" s="67"/>
      <c r="E1513" s="67"/>
      <c r="F1513" s="67"/>
      <c r="G1513" s="69"/>
      <c r="H1513" s="63">
        <f>SUM(H1511:H1512)</f>
        <v>198000</v>
      </c>
      <c r="I1513" s="44"/>
    </row>
    <row r="1514" spans="3:13" s="59" customFormat="1" ht="22.2" customHeight="1">
      <c r="C1514" s="61" t="s">
        <v>1215</v>
      </c>
      <c r="D1514" s="56" t="s">
        <v>1216</v>
      </c>
      <c r="E1514" s="93"/>
      <c r="F1514" s="57"/>
      <c r="G1514" s="57"/>
      <c r="H1514" s="57"/>
      <c r="I1514" s="44"/>
    </row>
    <row r="1515" spans="3:13" s="59" customFormat="1" ht="22.2" customHeight="1">
      <c r="C1515" s="800">
        <v>1</v>
      </c>
      <c r="D1515" s="56" t="s">
        <v>4770</v>
      </c>
      <c r="E1515" s="93" t="s">
        <v>4414</v>
      </c>
      <c r="F1515" s="104">
        <v>1.2050000000000001</v>
      </c>
      <c r="G1515" s="63">
        <f>VLOOKUP(D1515,upahbahan,3,FALSE)</f>
        <v>108000</v>
      </c>
      <c r="H1515" s="63">
        <f t="shared" ref="H1515" si="190">F1515*G1515</f>
        <v>130140.00000000001</v>
      </c>
      <c r="I1515" s="44"/>
    </row>
    <row r="1516" spans="3:13" s="59" customFormat="1" ht="22.2" customHeight="1">
      <c r="C1516" s="450" t="s">
        <v>1217</v>
      </c>
      <c r="D1516" s="67"/>
      <c r="E1516" s="67"/>
      <c r="F1516" s="67"/>
      <c r="G1516" s="69"/>
      <c r="H1516" s="882">
        <f>SUM(H1514:H1515)</f>
        <v>130140.00000000001</v>
      </c>
      <c r="I1516" s="44"/>
    </row>
    <row r="1517" spans="3:13" s="59" customFormat="1" ht="22.2" customHeight="1">
      <c r="C1517" s="288" t="s">
        <v>1218</v>
      </c>
      <c r="D1517" s="76" t="s">
        <v>1219</v>
      </c>
      <c r="E1517" s="77"/>
      <c r="F1517" s="77"/>
      <c r="G1517" s="78"/>
      <c r="H1517" s="585">
        <f>H1516+H1513+H1510</f>
        <v>661775</v>
      </c>
      <c r="I1517" s="369"/>
    </row>
    <row r="1518" spans="3:13" s="59" customFormat="1" ht="22.2" customHeight="1">
      <c r="C1518" s="288" t="s">
        <v>1220</v>
      </c>
      <c r="D1518" s="76" t="s">
        <v>1321</v>
      </c>
      <c r="E1518" s="77"/>
      <c r="F1518" s="78"/>
      <c r="G1518" s="80">
        <v>0.1</v>
      </c>
      <c r="H1518" s="63">
        <f>H1517*G1518</f>
        <v>66177.5</v>
      </c>
      <c r="I1518" s="369"/>
    </row>
    <row r="1519" spans="3:13" s="59" customFormat="1" ht="22.2" customHeight="1">
      <c r="C1519" s="288" t="s">
        <v>1221</v>
      </c>
      <c r="D1519" s="76" t="s">
        <v>1222</v>
      </c>
      <c r="E1519" s="77"/>
      <c r="F1519" s="77"/>
      <c r="G1519" s="78"/>
      <c r="H1519" s="799">
        <f>SUM(H1517:H1518)</f>
        <v>727952.5</v>
      </c>
      <c r="I1519" s="369"/>
    </row>
    <row r="1520" spans="3:13" ht="22.2" customHeight="1"/>
    <row r="1521" spans="3:13" ht="22.2" customHeight="1">
      <c r="C1521" s="43" t="s">
        <v>4920</v>
      </c>
      <c r="D1521" s="128" t="s">
        <v>8509</v>
      </c>
      <c r="I1521" s="50">
        <f>ROUNDDOWN(H1536,-2)</f>
        <v>904100</v>
      </c>
      <c r="J1521" s="59" t="s">
        <v>6451</v>
      </c>
      <c r="K1521" s="59" t="s">
        <v>8371</v>
      </c>
    </row>
    <row r="1522" spans="3:13" s="59" customFormat="1" ht="22.2" customHeight="1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I1522" s="44"/>
    </row>
    <row r="1523" spans="3:13" s="59" customFormat="1" ht="22.2" customHeight="1">
      <c r="C1523" s="61" t="s">
        <v>1201</v>
      </c>
      <c r="D1523" s="56" t="s">
        <v>1202</v>
      </c>
      <c r="E1523" s="57"/>
      <c r="F1523" s="57"/>
      <c r="G1523" s="57"/>
      <c r="H1523" s="57"/>
      <c r="I1523" s="44"/>
      <c r="J1523" s="152" t="s">
        <v>1247</v>
      </c>
    </row>
    <row r="1524" spans="3:13" s="59" customFormat="1" ht="22.2" customHeight="1">
      <c r="C1524" s="588">
        <v>1</v>
      </c>
      <c r="D1524" s="56" t="s">
        <v>5</v>
      </c>
      <c r="E1524" s="577" t="s">
        <v>6</v>
      </c>
      <c r="F1524" s="101">
        <v>2.37</v>
      </c>
      <c r="G1524" s="63">
        <f>VLOOKUP(D1524,upahbahan,3,FALSE)</f>
        <v>100000</v>
      </c>
      <c r="H1524" s="63">
        <f>F1524*G1524</f>
        <v>237000</v>
      </c>
      <c r="I1524" s="44"/>
      <c r="J1524" s="152" t="s">
        <v>1248</v>
      </c>
      <c r="M1524" s="65">
        <v>0.1</v>
      </c>
    </row>
    <row r="1525" spans="3:13" s="59" customFormat="1" ht="22.2" customHeight="1">
      <c r="C1525" s="588">
        <v>2</v>
      </c>
      <c r="D1525" s="56" t="s">
        <v>10</v>
      </c>
      <c r="E1525" s="577" t="s">
        <v>6045</v>
      </c>
      <c r="F1525" s="101">
        <v>1.1850000000000001</v>
      </c>
      <c r="G1525" s="63">
        <f>VLOOKUP(D1525,upahbahan,3,FALSE)</f>
        <v>135000</v>
      </c>
      <c r="H1525" s="63">
        <f t="shared" ref="H1525:H1526" si="191">F1525*G1525</f>
        <v>159975</v>
      </c>
      <c r="I1525" s="44"/>
      <c r="J1525" s="152"/>
      <c r="M1525" s="65"/>
    </row>
    <row r="1526" spans="3:13" s="59" customFormat="1" ht="22.2" customHeight="1">
      <c r="C1526" s="588">
        <v>3</v>
      </c>
      <c r="D1526" s="56" t="s">
        <v>19</v>
      </c>
      <c r="E1526" s="577" t="s">
        <v>6</v>
      </c>
      <c r="F1526" s="101">
        <v>0.23699999999999999</v>
      </c>
      <c r="G1526" s="63">
        <f>VLOOKUP(D1526,upahbahan,3,FALSE)</f>
        <v>160000</v>
      </c>
      <c r="H1526" s="63">
        <f t="shared" si="191"/>
        <v>37920</v>
      </c>
      <c r="I1526" s="44"/>
    </row>
    <row r="1527" spans="3:13" s="59" customFormat="1" ht="22.2" customHeight="1">
      <c r="C1527" s="450" t="s">
        <v>1208</v>
      </c>
      <c r="D1527" s="67"/>
      <c r="E1527" s="67"/>
      <c r="F1527" s="142"/>
      <c r="G1527" s="153"/>
      <c r="H1527" s="63">
        <f>SUM(H1524:H1526)</f>
        <v>434895</v>
      </c>
      <c r="I1527" s="154"/>
    </row>
    <row r="1528" spans="3:13" s="59" customFormat="1" ht="22.2" customHeight="1">
      <c r="C1528" s="61" t="s">
        <v>1209</v>
      </c>
      <c r="D1528" s="56" t="s">
        <v>1210</v>
      </c>
      <c r="E1528" s="57"/>
      <c r="F1528" s="57"/>
      <c r="G1528" s="57"/>
      <c r="H1528" s="57"/>
      <c r="I1528" s="44"/>
    </row>
    <row r="1529" spans="3:13" s="59" customFormat="1" ht="22.2" customHeight="1">
      <c r="C1529" s="800"/>
      <c r="D1529" s="56" t="s">
        <v>8510</v>
      </c>
      <c r="E1529" s="93" t="s">
        <v>1300</v>
      </c>
      <c r="F1529" s="104">
        <v>1</v>
      </c>
      <c r="G1529" s="63">
        <f>VLOOKUP(D1529,upahbahan,3,FALSE)</f>
        <v>216000</v>
      </c>
      <c r="H1529" s="63">
        <f t="shared" ref="H1529" si="192">F1529*G1529</f>
        <v>216000</v>
      </c>
      <c r="I1529" s="44"/>
    </row>
    <row r="1530" spans="3:13" s="59" customFormat="1" ht="22.2" customHeight="1">
      <c r="C1530" s="450" t="s">
        <v>1214</v>
      </c>
      <c r="D1530" s="67"/>
      <c r="E1530" s="67"/>
      <c r="F1530" s="67"/>
      <c r="G1530" s="69"/>
      <c r="H1530" s="63">
        <f>SUM(H1528:H1529)</f>
        <v>216000</v>
      </c>
      <c r="I1530" s="44"/>
    </row>
    <row r="1531" spans="3:13" s="59" customFormat="1" ht="22.2" customHeight="1">
      <c r="C1531" s="61" t="s">
        <v>1215</v>
      </c>
      <c r="D1531" s="56" t="s">
        <v>1216</v>
      </c>
      <c r="E1531" s="93"/>
      <c r="F1531" s="57"/>
      <c r="G1531" s="57"/>
      <c r="H1531" s="57"/>
      <c r="I1531" s="44"/>
    </row>
    <row r="1532" spans="3:13" s="59" customFormat="1" ht="22.2" customHeight="1">
      <c r="C1532" s="800">
        <v>1</v>
      </c>
      <c r="D1532" s="56" t="s">
        <v>4770</v>
      </c>
      <c r="E1532" s="93" t="s">
        <v>4414</v>
      </c>
      <c r="F1532" s="104">
        <v>1.5840000000000001</v>
      </c>
      <c r="G1532" s="63">
        <f>VLOOKUP(D1532,upahbahan,3,FALSE)</f>
        <v>108000</v>
      </c>
      <c r="H1532" s="63">
        <f t="shared" ref="H1532" si="193">F1532*G1532</f>
        <v>171072</v>
      </c>
      <c r="I1532" s="44"/>
    </row>
    <row r="1533" spans="3:13" s="59" customFormat="1" ht="22.2" customHeight="1">
      <c r="C1533" s="450" t="s">
        <v>1217</v>
      </c>
      <c r="D1533" s="67"/>
      <c r="E1533" s="67"/>
      <c r="F1533" s="67"/>
      <c r="G1533" s="69"/>
      <c r="H1533" s="882">
        <f>SUM(H1531:H1532)</f>
        <v>171072</v>
      </c>
      <c r="I1533" s="44"/>
    </row>
    <row r="1534" spans="3:13" s="59" customFormat="1" ht="22.2" customHeight="1">
      <c r="C1534" s="288" t="s">
        <v>1218</v>
      </c>
      <c r="D1534" s="76" t="s">
        <v>1219</v>
      </c>
      <c r="E1534" s="77"/>
      <c r="F1534" s="77"/>
      <c r="G1534" s="78"/>
      <c r="H1534" s="585">
        <f>H1533+H1530+H1527</f>
        <v>821967</v>
      </c>
      <c r="I1534" s="369"/>
    </row>
    <row r="1535" spans="3:13" s="59" customFormat="1" ht="22.2" customHeight="1">
      <c r="C1535" s="288" t="s">
        <v>1220</v>
      </c>
      <c r="D1535" s="76" t="s">
        <v>1321</v>
      </c>
      <c r="E1535" s="77"/>
      <c r="F1535" s="78"/>
      <c r="G1535" s="80">
        <v>0.1</v>
      </c>
      <c r="H1535" s="63">
        <f>H1534*G1535</f>
        <v>82196.700000000012</v>
      </c>
      <c r="I1535" s="369"/>
    </row>
    <row r="1536" spans="3:13" s="59" customFormat="1" ht="22.2" customHeight="1">
      <c r="C1536" s="288" t="s">
        <v>1221</v>
      </c>
      <c r="D1536" s="76" t="s">
        <v>1222</v>
      </c>
      <c r="E1536" s="77"/>
      <c r="F1536" s="77"/>
      <c r="G1536" s="78"/>
      <c r="H1536" s="799">
        <f>SUM(H1534:H1535)</f>
        <v>904163.7</v>
      </c>
      <c r="I1536" s="369"/>
    </row>
    <row r="1537" spans="3:13" ht="22.2" customHeight="1"/>
    <row r="1538" spans="3:13" ht="22.2" customHeight="1">
      <c r="C1538" s="43" t="s">
        <v>4923</v>
      </c>
      <c r="D1538" s="128" t="s">
        <v>8511</v>
      </c>
      <c r="I1538" s="50">
        <f>ROUNDDOWN(H1552,-2)</f>
        <v>18700</v>
      </c>
      <c r="J1538" s="59" t="s">
        <v>6451</v>
      </c>
      <c r="K1538" s="59" t="s">
        <v>8371</v>
      </c>
    </row>
    <row r="1539" spans="3:13" s="59" customFormat="1" ht="22.2" customHeight="1">
      <c r="C1539" s="591" t="s">
        <v>1195</v>
      </c>
      <c r="D1539" s="591" t="s">
        <v>1196</v>
      </c>
      <c r="E1539" s="591" t="s">
        <v>1197</v>
      </c>
      <c r="F1539" s="591" t="s">
        <v>1198</v>
      </c>
      <c r="G1539" s="591" t="s">
        <v>1199</v>
      </c>
      <c r="H1539" s="591" t="s">
        <v>1200</v>
      </c>
      <c r="I1539" s="44"/>
    </row>
    <row r="1540" spans="3:13" s="59" customFormat="1" ht="22.2" customHeight="1">
      <c r="C1540" s="61" t="s">
        <v>1201</v>
      </c>
      <c r="D1540" s="56" t="s">
        <v>1202</v>
      </c>
      <c r="E1540" s="57"/>
      <c r="F1540" s="57"/>
      <c r="G1540" s="57"/>
      <c r="H1540" s="57"/>
      <c r="I1540" s="44"/>
      <c r="J1540" s="152" t="s">
        <v>1247</v>
      </c>
    </row>
    <row r="1541" spans="3:13" s="59" customFormat="1" ht="22.2" customHeight="1">
      <c r="C1541" s="588">
        <v>1</v>
      </c>
      <c r="D1541" s="56" t="s">
        <v>5</v>
      </c>
      <c r="E1541" s="577" t="s">
        <v>6</v>
      </c>
      <c r="F1541" s="101">
        <v>2.1999999999999999E-2</v>
      </c>
      <c r="G1541" s="63">
        <f>VLOOKUP(D1541,upahbahan,3,FALSE)</f>
        <v>100000</v>
      </c>
      <c r="H1541" s="63">
        <f>F1541*G1541</f>
        <v>2200</v>
      </c>
      <c r="I1541" s="44"/>
      <c r="J1541" s="152" t="s">
        <v>1248</v>
      </c>
      <c r="M1541" s="65">
        <v>0.1</v>
      </c>
    </row>
    <row r="1542" spans="3:13" s="59" customFormat="1" ht="22.2" customHeight="1">
      <c r="C1542" s="588">
        <v>2</v>
      </c>
      <c r="D1542" s="56" t="s">
        <v>10</v>
      </c>
      <c r="E1542" s="577" t="s">
        <v>6</v>
      </c>
      <c r="F1542" s="101">
        <v>1.0999999999999999E-2</v>
      </c>
      <c r="G1542" s="63">
        <f>VLOOKUP(D1542,upahbahan,3,FALSE)</f>
        <v>135000</v>
      </c>
      <c r="H1542" s="63">
        <f t="shared" ref="H1542:H1543" si="194">F1542*G1542</f>
        <v>1485</v>
      </c>
      <c r="I1542" s="44"/>
      <c r="J1542" s="152"/>
      <c r="M1542" s="65"/>
    </row>
    <row r="1543" spans="3:13" s="59" customFormat="1" ht="22.2" customHeight="1">
      <c r="C1543" s="588">
        <v>3</v>
      </c>
      <c r="D1543" s="56" t="s">
        <v>19</v>
      </c>
      <c r="E1543" s="577" t="s">
        <v>6</v>
      </c>
      <c r="F1543" s="101">
        <v>2E-3</v>
      </c>
      <c r="G1543" s="63">
        <f>VLOOKUP(D1543,upahbahan,3,FALSE)</f>
        <v>160000</v>
      </c>
      <c r="H1543" s="63">
        <f t="shared" si="194"/>
        <v>320</v>
      </c>
      <c r="I1543" s="44"/>
    </row>
    <row r="1544" spans="3:13" s="59" customFormat="1" ht="22.2" customHeight="1">
      <c r="C1544" s="450" t="s">
        <v>1208</v>
      </c>
      <c r="D1544" s="67"/>
      <c r="E1544" s="67"/>
      <c r="F1544" s="142"/>
      <c r="G1544" s="153"/>
      <c r="H1544" s="63">
        <f>SUM(H1541:H1543)</f>
        <v>4005</v>
      </c>
      <c r="I1544" s="154"/>
    </row>
    <row r="1545" spans="3:13" s="59" customFormat="1" ht="22.2" customHeight="1">
      <c r="C1545" s="61" t="s">
        <v>1209</v>
      </c>
      <c r="D1545" s="56" t="s">
        <v>1210</v>
      </c>
      <c r="E1545" s="57"/>
      <c r="F1545" s="57"/>
      <c r="G1545" s="57"/>
      <c r="H1545" s="57"/>
      <c r="I1545" s="44"/>
    </row>
    <row r="1546" spans="3:13" s="59" customFormat="1" ht="22.2" customHeight="1">
      <c r="C1546" s="800"/>
      <c r="D1546" s="56" t="s">
        <v>8512</v>
      </c>
      <c r="E1546" s="93" t="s">
        <v>1300</v>
      </c>
      <c r="F1546" s="104">
        <v>1</v>
      </c>
      <c r="G1546" s="63">
        <f>VLOOKUP(D1546,upahbahan,3,FALSE)</f>
        <v>13000</v>
      </c>
      <c r="H1546" s="63">
        <f t="shared" ref="H1546" si="195">F1546*G1546</f>
        <v>13000</v>
      </c>
      <c r="I1546" s="44"/>
    </row>
    <row r="1547" spans="3:13" s="59" customFormat="1" ht="22.2" customHeight="1">
      <c r="C1547" s="450" t="s">
        <v>1214</v>
      </c>
      <c r="D1547" s="67"/>
      <c r="E1547" s="67"/>
      <c r="F1547" s="67"/>
      <c r="G1547" s="69"/>
      <c r="H1547" s="63">
        <f>SUM(H1545:H1546)</f>
        <v>13000</v>
      </c>
      <c r="I1547" s="44"/>
    </row>
    <row r="1548" spans="3:13" s="59" customFormat="1" ht="22.2" customHeight="1">
      <c r="C1548" s="61" t="s">
        <v>1215</v>
      </c>
      <c r="D1548" s="56" t="s">
        <v>1216</v>
      </c>
      <c r="E1548" s="93"/>
      <c r="F1548" s="57"/>
      <c r="G1548" s="57"/>
      <c r="H1548" s="57"/>
      <c r="I1548" s="44"/>
    </row>
    <row r="1549" spans="3:13" s="59" customFormat="1" ht="22.2" customHeight="1">
      <c r="C1549" s="450" t="s">
        <v>1217</v>
      </c>
      <c r="D1549" s="67"/>
      <c r="E1549" s="67"/>
      <c r="F1549" s="67"/>
      <c r="G1549" s="69"/>
      <c r="H1549" s="882">
        <f>SUM(H1548:H1548)</f>
        <v>0</v>
      </c>
      <c r="I1549" s="44"/>
    </row>
    <row r="1550" spans="3:13" s="59" customFormat="1" ht="22.2" customHeight="1">
      <c r="C1550" s="288" t="s">
        <v>1218</v>
      </c>
      <c r="D1550" s="76" t="s">
        <v>1219</v>
      </c>
      <c r="E1550" s="77"/>
      <c r="F1550" s="77"/>
      <c r="G1550" s="78"/>
      <c r="H1550" s="585">
        <f>H1549+H1547+H1544</f>
        <v>17005</v>
      </c>
      <c r="I1550" s="369"/>
    </row>
    <row r="1551" spans="3:13" s="59" customFormat="1" ht="22.2" customHeight="1">
      <c r="C1551" s="288" t="s">
        <v>1220</v>
      </c>
      <c r="D1551" s="76" t="s">
        <v>1321</v>
      </c>
      <c r="E1551" s="77"/>
      <c r="F1551" s="78"/>
      <c r="G1551" s="80">
        <v>0.1</v>
      </c>
      <c r="H1551" s="63">
        <f>H1550*G1551</f>
        <v>1700.5</v>
      </c>
      <c r="I1551" s="369"/>
    </row>
    <row r="1552" spans="3:13" s="59" customFormat="1" ht="22.2" customHeight="1">
      <c r="C1552" s="288" t="s">
        <v>1221</v>
      </c>
      <c r="D1552" s="76" t="s">
        <v>1222</v>
      </c>
      <c r="E1552" s="77"/>
      <c r="F1552" s="77"/>
      <c r="G1552" s="78"/>
      <c r="H1552" s="799">
        <f>SUM(H1550:H1551)</f>
        <v>18705.5</v>
      </c>
      <c r="I1552" s="369"/>
    </row>
    <row r="1553" spans="3:13" ht="22.2" customHeight="1"/>
    <row r="1554" spans="3:13" ht="22.2" customHeight="1">
      <c r="C1554" s="43" t="s">
        <v>4925</v>
      </c>
      <c r="D1554" s="128" t="s">
        <v>8513</v>
      </c>
      <c r="I1554" s="50">
        <f>ROUNDDOWN(H1568,-2)</f>
        <v>24200</v>
      </c>
      <c r="J1554" s="59" t="s">
        <v>6451</v>
      </c>
      <c r="K1554" s="59" t="s">
        <v>8371</v>
      </c>
    </row>
    <row r="1555" spans="3:13" s="59" customFormat="1" ht="22.2" customHeight="1">
      <c r="C1555" s="591" t="s">
        <v>1195</v>
      </c>
      <c r="D1555" s="591" t="s">
        <v>1196</v>
      </c>
      <c r="E1555" s="591" t="s">
        <v>1197</v>
      </c>
      <c r="F1555" s="591" t="s">
        <v>1198</v>
      </c>
      <c r="G1555" s="591" t="s">
        <v>1199</v>
      </c>
      <c r="H1555" s="591" t="s">
        <v>1200</v>
      </c>
      <c r="I1555" s="44"/>
    </row>
    <row r="1556" spans="3:13" s="59" customFormat="1" ht="22.2" customHeight="1">
      <c r="C1556" s="61" t="s">
        <v>1201</v>
      </c>
      <c r="D1556" s="56" t="s">
        <v>1202</v>
      </c>
      <c r="E1556" s="57"/>
      <c r="F1556" s="57"/>
      <c r="G1556" s="57"/>
      <c r="H1556" s="57"/>
      <c r="I1556" s="44"/>
      <c r="J1556" s="152" t="s">
        <v>1247</v>
      </c>
    </row>
    <row r="1557" spans="3:13" s="59" customFormat="1" ht="22.2" customHeight="1">
      <c r="C1557" s="588">
        <v>1</v>
      </c>
      <c r="D1557" s="56" t="s">
        <v>5</v>
      </c>
      <c r="E1557" s="577" t="s">
        <v>6</v>
      </c>
      <c r="F1557" s="101">
        <v>2.1999999999999999E-2</v>
      </c>
      <c r="G1557" s="63">
        <f>VLOOKUP(D1557,upahbahan,3,FALSE)</f>
        <v>100000</v>
      </c>
      <c r="H1557" s="63">
        <f>F1557*G1557</f>
        <v>2200</v>
      </c>
      <c r="I1557" s="44"/>
      <c r="J1557" s="152" t="s">
        <v>1248</v>
      </c>
      <c r="M1557" s="65">
        <v>0.1</v>
      </c>
    </row>
    <row r="1558" spans="3:13" s="59" customFormat="1" ht="22.2" customHeight="1">
      <c r="C1558" s="588">
        <v>2</v>
      </c>
      <c r="D1558" s="56" t="s">
        <v>10</v>
      </c>
      <c r="E1558" s="577" t="s">
        <v>6</v>
      </c>
      <c r="F1558" s="101">
        <v>1.0999999999999999E-2</v>
      </c>
      <c r="G1558" s="63">
        <f>VLOOKUP(D1558,upahbahan,3,FALSE)</f>
        <v>135000</v>
      </c>
      <c r="H1558" s="63">
        <f t="shared" ref="H1558:H1559" si="196">F1558*G1558</f>
        <v>1485</v>
      </c>
      <c r="I1558" s="44"/>
      <c r="J1558" s="152"/>
      <c r="M1558" s="65"/>
    </row>
    <row r="1559" spans="3:13" s="59" customFormat="1" ht="22.2" customHeight="1">
      <c r="C1559" s="588">
        <v>3</v>
      </c>
      <c r="D1559" s="56" t="s">
        <v>19</v>
      </c>
      <c r="E1559" s="577" t="s">
        <v>6</v>
      </c>
      <c r="F1559" s="101">
        <v>2E-3</v>
      </c>
      <c r="G1559" s="63">
        <f>VLOOKUP(D1559,upahbahan,3,FALSE)</f>
        <v>160000</v>
      </c>
      <c r="H1559" s="63">
        <f t="shared" si="196"/>
        <v>320</v>
      </c>
      <c r="I1559" s="44"/>
    </row>
    <row r="1560" spans="3:13" s="59" customFormat="1" ht="22.2" customHeight="1">
      <c r="C1560" s="450" t="s">
        <v>1208</v>
      </c>
      <c r="D1560" s="67"/>
      <c r="E1560" s="67"/>
      <c r="F1560" s="142"/>
      <c r="G1560" s="153"/>
      <c r="H1560" s="63">
        <f>SUM(H1557:H1559)</f>
        <v>4005</v>
      </c>
      <c r="I1560" s="154"/>
    </row>
    <row r="1561" spans="3:13" s="59" customFormat="1" ht="22.2" customHeight="1">
      <c r="C1561" s="61" t="s">
        <v>1209</v>
      </c>
      <c r="D1561" s="56" t="s">
        <v>1210</v>
      </c>
      <c r="E1561" s="57"/>
      <c r="F1561" s="57"/>
      <c r="G1561" s="57"/>
      <c r="H1561" s="57"/>
      <c r="I1561" s="44"/>
    </row>
    <row r="1562" spans="3:13" s="59" customFormat="1" ht="22.2" customHeight="1">
      <c r="C1562" s="800"/>
      <c r="D1562" s="56" t="s">
        <v>8514</v>
      </c>
      <c r="E1562" s="93" t="s">
        <v>1300</v>
      </c>
      <c r="F1562" s="104">
        <v>1</v>
      </c>
      <c r="G1562" s="63">
        <f>VLOOKUP(D1562,upahbahan,3,FALSE)</f>
        <v>18000</v>
      </c>
      <c r="H1562" s="63">
        <f t="shared" ref="H1562" si="197">F1562*G1562</f>
        <v>18000</v>
      </c>
      <c r="I1562" s="44"/>
    </row>
    <row r="1563" spans="3:13" s="59" customFormat="1" ht="22.2" customHeight="1">
      <c r="C1563" s="450" t="s">
        <v>1214</v>
      </c>
      <c r="D1563" s="67"/>
      <c r="E1563" s="67"/>
      <c r="F1563" s="67"/>
      <c r="G1563" s="69"/>
      <c r="H1563" s="63">
        <f>SUM(H1561:H1562)</f>
        <v>18000</v>
      </c>
      <c r="I1563" s="44"/>
    </row>
    <row r="1564" spans="3:13" s="59" customFormat="1" ht="22.2" customHeight="1">
      <c r="C1564" s="61" t="s">
        <v>1215</v>
      </c>
      <c r="D1564" s="56" t="s">
        <v>1216</v>
      </c>
      <c r="E1564" s="93"/>
      <c r="F1564" s="57"/>
      <c r="G1564" s="57"/>
      <c r="H1564" s="57"/>
      <c r="I1564" s="44"/>
    </row>
    <row r="1565" spans="3:13" s="59" customFormat="1" ht="22.2" customHeight="1">
      <c r="C1565" s="450" t="s">
        <v>1217</v>
      </c>
      <c r="D1565" s="67"/>
      <c r="E1565" s="67"/>
      <c r="F1565" s="67"/>
      <c r="G1565" s="69"/>
      <c r="H1565" s="882">
        <f>SUM(H1564:H1564)</f>
        <v>0</v>
      </c>
      <c r="I1565" s="44"/>
    </row>
    <row r="1566" spans="3:13" s="59" customFormat="1" ht="22.2" customHeight="1">
      <c r="C1566" s="288" t="s">
        <v>1218</v>
      </c>
      <c r="D1566" s="76" t="s">
        <v>1219</v>
      </c>
      <c r="E1566" s="77"/>
      <c r="F1566" s="77"/>
      <c r="G1566" s="78"/>
      <c r="H1566" s="585">
        <f>H1565+H1563+H1560</f>
        <v>22005</v>
      </c>
      <c r="I1566" s="369"/>
    </row>
    <row r="1567" spans="3:13" s="59" customFormat="1" ht="22.2" customHeight="1">
      <c r="C1567" s="288" t="s">
        <v>1220</v>
      </c>
      <c r="D1567" s="76" t="s">
        <v>1321</v>
      </c>
      <c r="E1567" s="77"/>
      <c r="F1567" s="78"/>
      <c r="G1567" s="80">
        <v>0.1</v>
      </c>
      <c r="H1567" s="63">
        <f>H1566*G1567</f>
        <v>2200.5</v>
      </c>
      <c r="I1567" s="369"/>
    </row>
    <row r="1568" spans="3:13" s="59" customFormat="1" ht="22.2" customHeight="1">
      <c r="C1568" s="288" t="s">
        <v>1221</v>
      </c>
      <c r="D1568" s="76" t="s">
        <v>1222</v>
      </c>
      <c r="E1568" s="77"/>
      <c r="F1568" s="77"/>
      <c r="G1568" s="78"/>
      <c r="H1568" s="799">
        <f>SUM(H1566:H1567)</f>
        <v>24205.5</v>
      </c>
      <c r="I1568" s="369"/>
    </row>
    <row r="1569" spans="3:13" ht="22.2" customHeight="1"/>
    <row r="1570" spans="3:13" ht="22.2" customHeight="1"/>
    <row r="1571" spans="3:13" ht="22.2" customHeight="1">
      <c r="C1571" s="43" t="s">
        <v>4927</v>
      </c>
      <c r="D1571" s="128" t="s">
        <v>8515</v>
      </c>
      <c r="I1571" s="50">
        <f>ROUNDDOWN(H1585,-2)</f>
        <v>28700</v>
      </c>
      <c r="J1571" s="59" t="s">
        <v>6451</v>
      </c>
      <c r="K1571" s="59" t="s">
        <v>8371</v>
      </c>
    </row>
    <row r="1572" spans="3:13" s="59" customFormat="1" ht="22.2" customHeight="1">
      <c r="C1572" s="591" t="s">
        <v>1195</v>
      </c>
      <c r="D1572" s="591" t="s">
        <v>1196</v>
      </c>
      <c r="E1572" s="591" t="s">
        <v>1197</v>
      </c>
      <c r="F1572" s="591" t="s">
        <v>1198</v>
      </c>
      <c r="G1572" s="591" t="s">
        <v>1199</v>
      </c>
      <c r="H1572" s="591" t="s">
        <v>1200</v>
      </c>
      <c r="I1572" s="44"/>
    </row>
    <row r="1573" spans="3:13" s="59" customFormat="1" ht="22.2" customHeight="1">
      <c r="C1573" s="61" t="s">
        <v>1201</v>
      </c>
      <c r="D1573" s="56" t="s">
        <v>1202</v>
      </c>
      <c r="E1573" s="57"/>
      <c r="F1573" s="57"/>
      <c r="G1573" s="57"/>
      <c r="H1573" s="57"/>
      <c r="I1573" s="44"/>
      <c r="J1573" s="152" t="s">
        <v>1247</v>
      </c>
    </row>
    <row r="1574" spans="3:13" s="59" customFormat="1" ht="22.2" customHeight="1">
      <c r="C1574" s="588">
        <v>1</v>
      </c>
      <c r="D1574" s="56" t="s">
        <v>5</v>
      </c>
      <c r="E1574" s="577" t="s">
        <v>6</v>
      </c>
      <c r="F1574" s="101">
        <v>2.8000000000000001E-2</v>
      </c>
      <c r="G1574" s="63">
        <f>VLOOKUP(D1574,upahbahan,3,FALSE)</f>
        <v>100000</v>
      </c>
      <c r="H1574" s="63">
        <f>F1574*G1574</f>
        <v>2800</v>
      </c>
      <c r="I1574" s="44"/>
      <c r="J1574" s="152" t="s">
        <v>1248</v>
      </c>
      <c r="M1574" s="65">
        <v>0.1</v>
      </c>
    </row>
    <row r="1575" spans="3:13" s="59" customFormat="1" ht="22.2" customHeight="1">
      <c r="C1575" s="588">
        <v>2</v>
      </c>
      <c r="D1575" s="56" t="s">
        <v>10</v>
      </c>
      <c r="E1575" s="577" t="s">
        <v>6</v>
      </c>
      <c r="F1575" s="101">
        <v>1.4E-2</v>
      </c>
      <c r="G1575" s="63">
        <f>VLOOKUP(D1575,upahbahan,3,FALSE)</f>
        <v>135000</v>
      </c>
      <c r="H1575" s="63">
        <f t="shared" ref="H1575:H1576" si="198">F1575*G1575</f>
        <v>1890</v>
      </c>
      <c r="I1575" s="44"/>
      <c r="J1575" s="152"/>
      <c r="M1575" s="65"/>
    </row>
    <row r="1576" spans="3:13" s="59" customFormat="1" ht="22.2" customHeight="1">
      <c r="C1576" s="588">
        <v>3</v>
      </c>
      <c r="D1576" s="56" t="s">
        <v>19</v>
      </c>
      <c r="E1576" s="577" t="s">
        <v>6</v>
      </c>
      <c r="F1576" s="101">
        <v>3.0000000000000001E-3</v>
      </c>
      <c r="G1576" s="63">
        <f>VLOOKUP(D1576,upahbahan,3,FALSE)</f>
        <v>160000</v>
      </c>
      <c r="H1576" s="63">
        <f t="shared" si="198"/>
        <v>480</v>
      </c>
      <c r="I1576" s="44"/>
    </row>
    <row r="1577" spans="3:13" s="59" customFormat="1" ht="22.2" customHeight="1">
      <c r="C1577" s="450" t="s">
        <v>1208</v>
      </c>
      <c r="D1577" s="67"/>
      <c r="E1577" s="67"/>
      <c r="F1577" s="142"/>
      <c r="G1577" s="153"/>
      <c r="H1577" s="63">
        <f>SUM(H1574:H1576)</f>
        <v>5170</v>
      </c>
      <c r="I1577" s="154"/>
    </row>
    <row r="1578" spans="3:13" s="59" customFormat="1" ht="22.2" customHeight="1">
      <c r="C1578" s="61" t="s">
        <v>1209</v>
      </c>
      <c r="D1578" s="56" t="s">
        <v>1210</v>
      </c>
      <c r="E1578" s="57"/>
      <c r="F1578" s="57"/>
      <c r="G1578" s="57"/>
      <c r="H1578" s="57"/>
      <c r="I1578" s="44"/>
    </row>
    <row r="1579" spans="3:13" s="59" customFormat="1" ht="22.2" customHeight="1">
      <c r="C1579" s="800"/>
      <c r="D1579" s="56" t="s">
        <v>8516</v>
      </c>
      <c r="E1579" s="93" t="s">
        <v>1300</v>
      </c>
      <c r="F1579" s="104">
        <v>1</v>
      </c>
      <c r="G1579" s="63">
        <f>VLOOKUP(D1579,upahbahan,3,FALSE)</f>
        <v>21000</v>
      </c>
      <c r="H1579" s="63">
        <f t="shared" ref="H1579" si="199">F1579*G1579</f>
        <v>21000</v>
      </c>
      <c r="I1579" s="44"/>
    </row>
    <row r="1580" spans="3:13" s="59" customFormat="1" ht="22.2" customHeight="1">
      <c r="C1580" s="450" t="s">
        <v>1214</v>
      </c>
      <c r="D1580" s="67"/>
      <c r="E1580" s="67"/>
      <c r="F1580" s="67"/>
      <c r="G1580" s="69"/>
      <c r="H1580" s="63">
        <f>SUM(H1578:H1579)</f>
        <v>21000</v>
      </c>
      <c r="I1580" s="44"/>
    </row>
    <row r="1581" spans="3:13" s="59" customFormat="1" ht="22.2" customHeight="1">
      <c r="C1581" s="61" t="s">
        <v>1215</v>
      </c>
      <c r="D1581" s="56" t="s">
        <v>1216</v>
      </c>
      <c r="E1581" s="93"/>
      <c r="F1581" s="57"/>
      <c r="G1581" s="57"/>
      <c r="H1581" s="57"/>
      <c r="I1581" s="44"/>
    </row>
    <row r="1582" spans="3:13" s="59" customFormat="1" ht="22.2" customHeight="1">
      <c r="C1582" s="450" t="s">
        <v>1217</v>
      </c>
      <c r="D1582" s="67"/>
      <c r="E1582" s="67"/>
      <c r="F1582" s="67"/>
      <c r="G1582" s="69"/>
      <c r="H1582" s="882">
        <f>SUM(H1581:H1581)</f>
        <v>0</v>
      </c>
      <c r="I1582" s="44"/>
    </row>
    <row r="1583" spans="3:13" s="59" customFormat="1" ht="22.2" customHeight="1">
      <c r="C1583" s="288" t="s">
        <v>1218</v>
      </c>
      <c r="D1583" s="76" t="s">
        <v>1219</v>
      </c>
      <c r="E1583" s="77"/>
      <c r="F1583" s="77"/>
      <c r="G1583" s="78"/>
      <c r="H1583" s="585">
        <f>H1582+H1580+H1577</f>
        <v>26170</v>
      </c>
      <c r="I1583" s="369"/>
    </row>
    <row r="1584" spans="3:13" s="59" customFormat="1" ht="22.2" customHeight="1">
      <c r="C1584" s="288" t="s">
        <v>1220</v>
      </c>
      <c r="D1584" s="76" t="s">
        <v>1321</v>
      </c>
      <c r="E1584" s="77"/>
      <c r="F1584" s="78"/>
      <c r="G1584" s="80">
        <v>0.1</v>
      </c>
      <c r="H1584" s="63">
        <f>H1583*G1584</f>
        <v>2617</v>
      </c>
      <c r="I1584" s="369"/>
    </row>
    <row r="1585" spans="3:13" s="59" customFormat="1" ht="22.2" customHeight="1">
      <c r="C1585" s="288" t="s">
        <v>1221</v>
      </c>
      <c r="D1585" s="76" t="s">
        <v>1222</v>
      </c>
      <c r="E1585" s="77"/>
      <c r="F1585" s="77"/>
      <c r="G1585" s="78"/>
      <c r="H1585" s="799">
        <f>SUM(H1583:H1584)</f>
        <v>28787</v>
      </c>
      <c r="I1585" s="369"/>
    </row>
    <row r="1586" spans="3:13" ht="22.2" customHeight="1"/>
    <row r="1587" spans="3:13" ht="22.2" customHeight="1">
      <c r="C1587" s="43" t="s">
        <v>4929</v>
      </c>
      <c r="D1587" s="128" t="s">
        <v>8517</v>
      </c>
      <c r="I1587" s="50">
        <f>ROUNDDOWN(H1601,-2)</f>
        <v>29800</v>
      </c>
      <c r="J1587" s="59" t="s">
        <v>6451</v>
      </c>
      <c r="K1587" s="59" t="s">
        <v>8371</v>
      </c>
    </row>
    <row r="1588" spans="3:13" s="59" customFormat="1" ht="22.2" customHeight="1">
      <c r="C1588" s="591" t="s">
        <v>1195</v>
      </c>
      <c r="D1588" s="591" t="s">
        <v>1196</v>
      </c>
      <c r="E1588" s="591" t="s">
        <v>1197</v>
      </c>
      <c r="F1588" s="591" t="s">
        <v>1198</v>
      </c>
      <c r="G1588" s="591" t="s">
        <v>1199</v>
      </c>
      <c r="H1588" s="591" t="s">
        <v>1200</v>
      </c>
      <c r="I1588" s="44"/>
    </row>
    <row r="1589" spans="3:13" s="59" customFormat="1" ht="22.2" customHeight="1">
      <c r="C1589" s="61" t="s">
        <v>1201</v>
      </c>
      <c r="D1589" s="56" t="s">
        <v>1202</v>
      </c>
      <c r="E1589" s="57"/>
      <c r="F1589" s="57"/>
      <c r="G1589" s="57"/>
      <c r="H1589" s="57"/>
      <c r="I1589" s="44"/>
      <c r="J1589" s="152" t="s">
        <v>1247</v>
      </c>
    </row>
    <row r="1590" spans="3:13" s="59" customFormat="1" ht="22.2" customHeight="1">
      <c r="C1590" s="588">
        <v>1</v>
      </c>
      <c r="D1590" s="56" t="s">
        <v>5</v>
      </c>
      <c r="E1590" s="577" t="s">
        <v>6</v>
      </c>
      <c r="F1590" s="101">
        <v>2.8000000000000001E-2</v>
      </c>
      <c r="G1590" s="63">
        <f>VLOOKUP(D1590,upahbahan,3,FALSE)</f>
        <v>100000</v>
      </c>
      <c r="H1590" s="63">
        <f>F1590*G1590</f>
        <v>2800</v>
      </c>
      <c r="I1590" s="44"/>
      <c r="J1590" s="152" t="s">
        <v>1248</v>
      </c>
      <c r="M1590" s="65">
        <v>0.1</v>
      </c>
    </row>
    <row r="1591" spans="3:13" s="59" customFormat="1" ht="22.2" customHeight="1">
      <c r="C1591" s="588">
        <v>2</v>
      </c>
      <c r="D1591" s="56" t="s">
        <v>10</v>
      </c>
      <c r="E1591" s="577" t="s">
        <v>6</v>
      </c>
      <c r="F1591" s="101">
        <v>1.4E-2</v>
      </c>
      <c r="G1591" s="63">
        <f>VLOOKUP(D1591,upahbahan,3,FALSE)</f>
        <v>135000</v>
      </c>
      <c r="H1591" s="63">
        <f t="shared" ref="H1591:H1592" si="200">F1591*G1591</f>
        <v>1890</v>
      </c>
      <c r="I1591" s="44"/>
      <c r="J1591" s="152"/>
      <c r="M1591" s="65"/>
    </row>
    <row r="1592" spans="3:13" s="59" customFormat="1" ht="22.2" customHeight="1">
      <c r="C1592" s="588">
        <v>3</v>
      </c>
      <c r="D1592" s="56" t="s">
        <v>19</v>
      </c>
      <c r="E1592" s="577" t="s">
        <v>6</v>
      </c>
      <c r="F1592" s="101">
        <v>3.0000000000000001E-3</v>
      </c>
      <c r="G1592" s="63">
        <f>VLOOKUP(D1592,upahbahan,3,FALSE)</f>
        <v>160000</v>
      </c>
      <c r="H1592" s="63">
        <f t="shared" si="200"/>
        <v>480</v>
      </c>
      <c r="I1592" s="44"/>
    </row>
    <row r="1593" spans="3:13" s="59" customFormat="1" ht="22.2" customHeight="1">
      <c r="C1593" s="450" t="s">
        <v>1208</v>
      </c>
      <c r="D1593" s="67"/>
      <c r="E1593" s="67"/>
      <c r="F1593" s="142"/>
      <c r="G1593" s="153"/>
      <c r="H1593" s="63">
        <f>SUM(H1590:H1592)</f>
        <v>5170</v>
      </c>
      <c r="I1593" s="154"/>
    </row>
    <row r="1594" spans="3:13" s="59" customFormat="1" ht="22.2" customHeight="1">
      <c r="C1594" s="61" t="s">
        <v>1209</v>
      </c>
      <c r="D1594" s="56" t="s">
        <v>1210</v>
      </c>
      <c r="E1594" s="57"/>
      <c r="F1594" s="57"/>
      <c r="G1594" s="57"/>
      <c r="H1594" s="57"/>
      <c r="I1594" s="44"/>
    </row>
    <row r="1595" spans="3:13" s="59" customFormat="1" ht="22.2" customHeight="1">
      <c r="C1595" s="800"/>
      <c r="D1595" s="56" t="s">
        <v>8518</v>
      </c>
      <c r="E1595" s="93" t="s">
        <v>1300</v>
      </c>
      <c r="F1595" s="104">
        <v>1</v>
      </c>
      <c r="G1595" s="63">
        <f>VLOOKUP(D1595,upahbahan,3,FALSE)</f>
        <v>22000</v>
      </c>
      <c r="H1595" s="63">
        <f t="shared" ref="H1595" si="201">F1595*G1595</f>
        <v>22000</v>
      </c>
      <c r="I1595" s="44"/>
    </row>
    <row r="1596" spans="3:13" s="59" customFormat="1" ht="22.2" customHeight="1">
      <c r="C1596" s="450" t="s">
        <v>1214</v>
      </c>
      <c r="D1596" s="67"/>
      <c r="E1596" s="67"/>
      <c r="F1596" s="67"/>
      <c r="G1596" s="69"/>
      <c r="H1596" s="63">
        <f>SUM(H1594:H1595)</f>
        <v>22000</v>
      </c>
      <c r="I1596" s="44"/>
    </row>
    <row r="1597" spans="3:13" s="59" customFormat="1" ht="22.2" customHeight="1">
      <c r="C1597" s="61" t="s">
        <v>1215</v>
      </c>
      <c r="D1597" s="56" t="s">
        <v>1216</v>
      </c>
      <c r="E1597" s="93"/>
      <c r="F1597" s="57"/>
      <c r="G1597" s="57"/>
      <c r="H1597" s="57"/>
      <c r="I1597" s="44"/>
    </row>
    <row r="1598" spans="3:13" s="59" customFormat="1" ht="22.2" customHeight="1">
      <c r="C1598" s="450" t="s">
        <v>1217</v>
      </c>
      <c r="D1598" s="67"/>
      <c r="E1598" s="67"/>
      <c r="F1598" s="67"/>
      <c r="G1598" s="69"/>
      <c r="H1598" s="882">
        <f>SUM(H1597:H1597)</f>
        <v>0</v>
      </c>
      <c r="I1598" s="44"/>
    </row>
    <row r="1599" spans="3:13" s="59" customFormat="1" ht="22.2" customHeight="1">
      <c r="C1599" s="288" t="s">
        <v>1218</v>
      </c>
      <c r="D1599" s="76" t="s">
        <v>1219</v>
      </c>
      <c r="E1599" s="77"/>
      <c r="F1599" s="77"/>
      <c r="G1599" s="78"/>
      <c r="H1599" s="585">
        <f>H1598+H1596+H1593</f>
        <v>27170</v>
      </c>
      <c r="I1599" s="369"/>
    </row>
    <row r="1600" spans="3:13" s="59" customFormat="1" ht="22.2" customHeight="1">
      <c r="C1600" s="288" t="s">
        <v>1220</v>
      </c>
      <c r="D1600" s="76" t="s">
        <v>1321</v>
      </c>
      <c r="E1600" s="77"/>
      <c r="F1600" s="78"/>
      <c r="G1600" s="80">
        <v>0.1</v>
      </c>
      <c r="H1600" s="63">
        <f>H1599*G1600</f>
        <v>2717</v>
      </c>
      <c r="I1600" s="369"/>
    </row>
    <row r="1601" spans="3:13" s="59" customFormat="1" ht="22.2" customHeight="1">
      <c r="C1601" s="288" t="s">
        <v>1221</v>
      </c>
      <c r="D1601" s="76" t="s">
        <v>1222</v>
      </c>
      <c r="E1601" s="77"/>
      <c r="F1601" s="77"/>
      <c r="G1601" s="78"/>
      <c r="H1601" s="799">
        <f>SUM(H1599:H1600)</f>
        <v>29887</v>
      </c>
      <c r="I1601" s="369"/>
    </row>
    <row r="1602" spans="3:13" ht="22.2" customHeight="1"/>
    <row r="1603" spans="3:13" ht="22.2" customHeight="1">
      <c r="C1603" s="43" t="s">
        <v>4931</v>
      </c>
      <c r="D1603" s="128" t="s">
        <v>8519</v>
      </c>
      <c r="I1603" s="50">
        <f>ROUNDDOWN(H1617,-2)</f>
        <v>30900</v>
      </c>
      <c r="J1603" s="59" t="s">
        <v>6451</v>
      </c>
      <c r="K1603" s="59" t="s">
        <v>8371</v>
      </c>
    </row>
    <row r="1604" spans="3:13" s="59" customFormat="1" ht="22.2" customHeight="1">
      <c r="C1604" s="591" t="s">
        <v>1195</v>
      </c>
      <c r="D1604" s="591" t="s">
        <v>1196</v>
      </c>
      <c r="E1604" s="591" t="s">
        <v>1197</v>
      </c>
      <c r="F1604" s="591" t="s">
        <v>1198</v>
      </c>
      <c r="G1604" s="591" t="s">
        <v>1199</v>
      </c>
      <c r="H1604" s="591" t="s">
        <v>1200</v>
      </c>
      <c r="I1604" s="44"/>
    </row>
    <row r="1605" spans="3:13" s="59" customFormat="1" ht="22.2" customHeight="1">
      <c r="C1605" s="61" t="s">
        <v>1201</v>
      </c>
      <c r="D1605" s="56" t="s">
        <v>1202</v>
      </c>
      <c r="E1605" s="57"/>
      <c r="F1605" s="57"/>
      <c r="G1605" s="57"/>
      <c r="H1605" s="57"/>
      <c r="I1605" s="44"/>
      <c r="J1605" s="152" t="s">
        <v>1247</v>
      </c>
    </row>
    <row r="1606" spans="3:13" s="59" customFormat="1" ht="22.2" customHeight="1">
      <c r="C1606" s="588">
        <v>1</v>
      </c>
      <c r="D1606" s="56" t="s">
        <v>5</v>
      </c>
      <c r="E1606" s="577" t="s">
        <v>6</v>
      </c>
      <c r="F1606" s="101">
        <v>2.8000000000000001E-2</v>
      </c>
      <c r="G1606" s="63">
        <f>VLOOKUP(D1606,upahbahan,3,FALSE)</f>
        <v>100000</v>
      </c>
      <c r="H1606" s="63">
        <f>F1606*G1606</f>
        <v>2800</v>
      </c>
      <c r="I1606" s="44"/>
      <c r="J1606" s="152" t="s">
        <v>1248</v>
      </c>
      <c r="M1606" s="65">
        <v>0.1</v>
      </c>
    </row>
    <row r="1607" spans="3:13" s="59" customFormat="1" ht="22.2" customHeight="1">
      <c r="C1607" s="588">
        <v>2</v>
      </c>
      <c r="D1607" s="56" t="s">
        <v>10</v>
      </c>
      <c r="E1607" s="577" t="s">
        <v>6</v>
      </c>
      <c r="F1607" s="101">
        <v>1.4E-2</v>
      </c>
      <c r="G1607" s="63">
        <f>VLOOKUP(D1607,upahbahan,3,FALSE)</f>
        <v>135000</v>
      </c>
      <c r="H1607" s="63">
        <f t="shared" ref="H1607:H1608" si="202">F1607*G1607</f>
        <v>1890</v>
      </c>
      <c r="I1607" s="44"/>
      <c r="J1607" s="152"/>
      <c r="M1607" s="65"/>
    </row>
    <row r="1608" spans="3:13" s="59" customFormat="1" ht="22.2" customHeight="1">
      <c r="C1608" s="588">
        <v>3</v>
      </c>
      <c r="D1608" s="56" t="s">
        <v>19</v>
      </c>
      <c r="E1608" s="577" t="s">
        <v>6</v>
      </c>
      <c r="F1608" s="101">
        <v>3.0000000000000001E-3</v>
      </c>
      <c r="G1608" s="63">
        <f>VLOOKUP(D1608,upahbahan,3,FALSE)</f>
        <v>160000</v>
      </c>
      <c r="H1608" s="63">
        <f t="shared" si="202"/>
        <v>480</v>
      </c>
      <c r="I1608" s="44"/>
    </row>
    <row r="1609" spans="3:13" s="59" customFormat="1" ht="22.2" customHeight="1">
      <c r="C1609" s="450" t="s">
        <v>1208</v>
      </c>
      <c r="D1609" s="67"/>
      <c r="E1609" s="67"/>
      <c r="F1609" s="142"/>
      <c r="G1609" s="153"/>
      <c r="H1609" s="63">
        <f>SUM(H1606:H1608)</f>
        <v>5170</v>
      </c>
      <c r="I1609" s="154"/>
    </row>
    <row r="1610" spans="3:13" s="59" customFormat="1" ht="22.2" customHeight="1">
      <c r="C1610" s="61" t="s">
        <v>1209</v>
      </c>
      <c r="D1610" s="56" t="s">
        <v>1210</v>
      </c>
      <c r="E1610" s="57"/>
      <c r="F1610" s="57"/>
      <c r="G1610" s="57"/>
      <c r="H1610" s="57"/>
      <c r="I1610" s="44"/>
    </row>
    <row r="1611" spans="3:13" s="59" customFormat="1" ht="22.2" customHeight="1">
      <c r="C1611" s="800"/>
      <c r="D1611" s="56" t="s">
        <v>8520</v>
      </c>
      <c r="E1611" s="93" t="s">
        <v>1300</v>
      </c>
      <c r="F1611" s="104">
        <v>1</v>
      </c>
      <c r="G1611" s="63">
        <f>VLOOKUP(D1611,upahbahan,3,FALSE)</f>
        <v>23000</v>
      </c>
      <c r="H1611" s="63">
        <f t="shared" ref="H1611" si="203">F1611*G1611</f>
        <v>23000</v>
      </c>
      <c r="I1611" s="44"/>
    </row>
    <row r="1612" spans="3:13" s="59" customFormat="1" ht="22.2" customHeight="1">
      <c r="C1612" s="450" t="s">
        <v>1214</v>
      </c>
      <c r="D1612" s="67"/>
      <c r="E1612" s="67"/>
      <c r="F1612" s="67"/>
      <c r="G1612" s="69"/>
      <c r="H1612" s="63">
        <f>SUM(H1610:H1611)</f>
        <v>23000</v>
      </c>
      <c r="I1612" s="44"/>
    </row>
    <row r="1613" spans="3:13" s="59" customFormat="1" ht="22.2" customHeight="1">
      <c r="C1613" s="61" t="s">
        <v>1215</v>
      </c>
      <c r="D1613" s="56" t="s">
        <v>1216</v>
      </c>
      <c r="E1613" s="93"/>
      <c r="F1613" s="57"/>
      <c r="G1613" s="57"/>
      <c r="H1613" s="57"/>
      <c r="I1613" s="44"/>
    </row>
    <row r="1614" spans="3:13" s="59" customFormat="1" ht="22.2" customHeight="1">
      <c r="C1614" s="450" t="s">
        <v>1217</v>
      </c>
      <c r="D1614" s="67"/>
      <c r="E1614" s="67"/>
      <c r="F1614" s="67"/>
      <c r="G1614" s="69"/>
      <c r="H1614" s="882">
        <f>SUM(H1613:H1613)</f>
        <v>0</v>
      </c>
      <c r="I1614" s="44"/>
    </row>
    <row r="1615" spans="3:13" s="59" customFormat="1" ht="22.2" customHeight="1">
      <c r="C1615" s="288" t="s">
        <v>1218</v>
      </c>
      <c r="D1615" s="76" t="s">
        <v>1219</v>
      </c>
      <c r="E1615" s="77"/>
      <c r="F1615" s="77"/>
      <c r="G1615" s="78"/>
      <c r="H1615" s="585">
        <f>H1614+H1612+H1609</f>
        <v>28170</v>
      </c>
      <c r="I1615" s="369"/>
    </row>
    <row r="1616" spans="3:13" s="59" customFormat="1" ht="22.2" customHeight="1">
      <c r="C1616" s="288" t="s">
        <v>1220</v>
      </c>
      <c r="D1616" s="76" t="s">
        <v>1321</v>
      </c>
      <c r="E1616" s="77"/>
      <c r="F1616" s="78"/>
      <c r="G1616" s="80">
        <v>0.1</v>
      </c>
      <c r="H1616" s="63">
        <f>H1615*G1616</f>
        <v>2817</v>
      </c>
      <c r="I1616" s="369"/>
    </row>
    <row r="1617" spans="3:13" s="59" customFormat="1" ht="22.2" customHeight="1">
      <c r="C1617" s="288" t="s">
        <v>1221</v>
      </c>
      <c r="D1617" s="76" t="s">
        <v>1222</v>
      </c>
      <c r="E1617" s="77"/>
      <c r="F1617" s="77"/>
      <c r="G1617" s="78"/>
      <c r="H1617" s="799">
        <f>SUM(H1615:H1616)</f>
        <v>30987</v>
      </c>
      <c r="I1617" s="369"/>
    </row>
    <row r="1618" spans="3:13" ht="22.2" customHeight="1"/>
    <row r="1619" spans="3:13" ht="22.2" customHeight="1">
      <c r="C1619" s="43" t="s">
        <v>4933</v>
      </c>
      <c r="D1619" s="128" t="s">
        <v>8521</v>
      </c>
      <c r="I1619" s="50">
        <f>ROUNDDOWN(H1633,-2)</f>
        <v>33300</v>
      </c>
      <c r="J1619" s="59" t="s">
        <v>6451</v>
      </c>
      <c r="K1619" s="59" t="s">
        <v>8371</v>
      </c>
    </row>
    <row r="1620" spans="3:13" s="59" customFormat="1" ht="22.2" customHeight="1">
      <c r="C1620" s="591" t="s">
        <v>1195</v>
      </c>
      <c r="D1620" s="591" t="s">
        <v>1196</v>
      </c>
      <c r="E1620" s="591" t="s">
        <v>1197</v>
      </c>
      <c r="F1620" s="591" t="s">
        <v>1198</v>
      </c>
      <c r="G1620" s="591" t="s">
        <v>1199</v>
      </c>
      <c r="H1620" s="591" t="s">
        <v>1200</v>
      </c>
      <c r="I1620" s="44"/>
    </row>
    <row r="1621" spans="3:13" s="59" customFormat="1" ht="22.2" customHeight="1">
      <c r="C1621" s="61" t="s">
        <v>1201</v>
      </c>
      <c r="D1621" s="56" t="s">
        <v>1202</v>
      </c>
      <c r="E1621" s="57"/>
      <c r="F1621" s="57"/>
      <c r="G1621" s="57"/>
      <c r="H1621" s="57"/>
      <c r="I1621" s="44"/>
      <c r="J1621" s="152" t="s">
        <v>1247</v>
      </c>
    </row>
    <row r="1622" spans="3:13" s="59" customFormat="1" ht="22.2" customHeight="1">
      <c r="C1622" s="588">
        <v>1</v>
      </c>
      <c r="D1622" s="56" t="s">
        <v>5</v>
      </c>
      <c r="E1622" s="577" t="s">
        <v>6</v>
      </c>
      <c r="F1622" s="101">
        <v>3.5000000000000003E-2</v>
      </c>
      <c r="G1622" s="63">
        <f>VLOOKUP(D1622,upahbahan,3,FALSE)</f>
        <v>100000</v>
      </c>
      <c r="H1622" s="63">
        <f>F1622*G1622</f>
        <v>3500.0000000000005</v>
      </c>
      <c r="I1622" s="44"/>
      <c r="J1622" s="152" t="s">
        <v>1248</v>
      </c>
      <c r="M1622" s="65">
        <v>0.1</v>
      </c>
    </row>
    <row r="1623" spans="3:13" s="59" customFormat="1" ht="22.2" customHeight="1">
      <c r="C1623" s="588">
        <v>2</v>
      </c>
      <c r="D1623" s="56" t="s">
        <v>10</v>
      </c>
      <c r="E1623" s="577" t="s">
        <v>6</v>
      </c>
      <c r="F1623" s="101">
        <v>1.7000000000000001E-2</v>
      </c>
      <c r="G1623" s="63">
        <f>VLOOKUP(D1623,upahbahan,3,FALSE)</f>
        <v>135000</v>
      </c>
      <c r="H1623" s="63">
        <f t="shared" ref="H1623:H1624" si="204">F1623*G1623</f>
        <v>2295</v>
      </c>
      <c r="I1623" s="44"/>
      <c r="J1623" s="152"/>
      <c r="M1623" s="65"/>
    </row>
    <row r="1624" spans="3:13" s="59" customFormat="1" ht="22.2" customHeight="1">
      <c r="C1624" s="588">
        <v>3</v>
      </c>
      <c r="D1624" s="56" t="s">
        <v>19</v>
      </c>
      <c r="E1624" s="577" t="s">
        <v>6</v>
      </c>
      <c r="F1624" s="101">
        <v>3.0000000000000001E-3</v>
      </c>
      <c r="G1624" s="63">
        <f>VLOOKUP(D1624,upahbahan,3,FALSE)</f>
        <v>160000</v>
      </c>
      <c r="H1624" s="63">
        <f t="shared" si="204"/>
        <v>480</v>
      </c>
      <c r="I1624" s="44"/>
    </row>
    <row r="1625" spans="3:13" s="59" customFormat="1" ht="22.2" customHeight="1">
      <c r="C1625" s="450" t="s">
        <v>1208</v>
      </c>
      <c r="D1625" s="67"/>
      <c r="E1625" s="67"/>
      <c r="F1625" s="142"/>
      <c r="G1625" s="153"/>
      <c r="H1625" s="63">
        <f>SUM(H1622:H1624)</f>
        <v>6275</v>
      </c>
      <c r="I1625" s="154"/>
    </row>
    <row r="1626" spans="3:13" s="59" customFormat="1" ht="22.2" customHeight="1">
      <c r="C1626" s="61" t="s">
        <v>1209</v>
      </c>
      <c r="D1626" s="56" t="s">
        <v>1210</v>
      </c>
      <c r="E1626" s="57"/>
      <c r="F1626" s="57"/>
      <c r="G1626" s="57"/>
      <c r="H1626" s="57"/>
      <c r="I1626" s="44"/>
    </row>
    <row r="1627" spans="3:13" s="59" customFormat="1" ht="22.2" customHeight="1">
      <c r="C1627" s="800"/>
      <c r="D1627" s="56" t="s">
        <v>8522</v>
      </c>
      <c r="E1627" s="93" t="s">
        <v>1300</v>
      </c>
      <c r="F1627" s="104">
        <v>1</v>
      </c>
      <c r="G1627" s="63">
        <f>VLOOKUP(D1627,upahbahan,3,FALSE)</f>
        <v>24000</v>
      </c>
      <c r="H1627" s="63">
        <f t="shared" ref="H1627" si="205">F1627*G1627</f>
        <v>24000</v>
      </c>
      <c r="I1627" s="44"/>
    </row>
    <row r="1628" spans="3:13" s="59" customFormat="1" ht="22.2" customHeight="1">
      <c r="C1628" s="450" t="s">
        <v>1214</v>
      </c>
      <c r="D1628" s="67"/>
      <c r="E1628" s="67"/>
      <c r="F1628" s="67"/>
      <c r="G1628" s="69"/>
      <c r="H1628" s="63">
        <f>SUM(H1626:H1627)</f>
        <v>24000</v>
      </c>
      <c r="I1628" s="44"/>
    </row>
    <row r="1629" spans="3:13" s="59" customFormat="1" ht="22.2" customHeight="1">
      <c r="C1629" s="61" t="s">
        <v>1215</v>
      </c>
      <c r="D1629" s="56" t="s">
        <v>1216</v>
      </c>
      <c r="E1629" s="93"/>
      <c r="F1629" s="57"/>
      <c r="G1629" s="57"/>
      <c r="H1629" s="57"/>
      <c r="I1629" s="44"/>
    </row>
    <row r="1630" spans="3:13" s="59" customFormat="1" ht="22.2" customHeight="1">
      <c r="C1630" s="450" t="s">
        <v>1217</v>
      </c>
      <c r="D1630" s="67"/>
      <c r="E1630" s="67"/>
      <c r="F1630" s="67"/>
      <c r="G1630" s="69"/>
      <c r="H1630" s="882">
        <f>SUM(H1629:H1629)</f>
        <v>0</v>
      </c>
      <c r="I1630" s="44"/>
    </row>
    <row r="1631" spans="3:13" s="59" customFormat="1" ht="22.2" customHeight="1">
      <c r="C1631" s="288" t="s">
        <v>1218</v>
      </c>
      <c r="D1631" s="76" t="s">
        <v>1219</v>
      </c>
      <c r="E1631" s="77"/>
      <c r="F1631" s="77"/>
      <c r="G1631" s="78"/>
      <c r="H1631" s="585">
        <f>H1630+H1628+H1625</f>
        <v>30275</v>
      </c>
      <c r="I1631" s="369"/>
    </row>
    <row r="1632" spans="3:13" s="59" customFormat="1" ht="22.2" customHeight="1">
      <c r="C1632" s="288" t="s">
        <v>1220</v>
      </c>
      <c r="D1632" s="76" t="s">
        <v>1321</v>
      </c>
      <c r="E1632" s="77"/>
      <c r="F1632" s="78"/>
      <c r="G1632" s="80">
        <v>0.1</v>
      </c>
      <c r="H1632" s="63">
        <f>H1631*G1632</f>
        <v>3027.5</v>
      </c>
      <c r="I1632" s="369"/>
    </row>
    <row r="1633" spans="3:13" s="59" customFormat="1" ht="22.2" customHeight="1">
      <c r="C1633" s="288" t="s">
        <v>1221</v>
      </c>
      <c r="D1633" s="76" t="s">
        <v>1222</v>
      </c>
      <c r="E1633" s="77"/>
      <c r="F1633" s="77"/>
      <c r="G1633" s="78"/>
      <c r="H1633" s="799">
        <f>SUM(H1631:H1632)</f>
        <v>33302.5</v>
      </c>
      <c r="I1633" s="369"/>
    </row>
    <row r="1634" spans="3:13" ht="22.2" customHeight="1"/>
    <row r="1635" spans="3:13" ht="22.2" customHeight="1">
      <c r="C1635" s="43" t="s">
        <v>4935</v>
      </c>
      <c r="D1635" s="128" t="s">
        <v>4936</v>
      </c>
    </row>
    <row r="1636" spans="3:13" ht="22.2" customHeight="1">
      <c r="C1636" s="43" t="s">
        <v>4937</v>
      </c>
      <c r="D1636" s="128" t="s">
        <v>8523</v>
      </c>
      <c r="I1636" s="50">
        <f>ROUNDDOWN(H1650,-2)</f>
        <v>700</v>
      </c>
      <c r="J1636" s="59" t="s">
        <v>6451</v>
      </c>
      <c r="K1636" s="59" t="s">
        <v>8371</v>
      </c>
    </row>
    <row r="1637" spans="3:13" s="59" customFormat="1" ht="22.2" customHeight="1">
      <c r="C1637" s="591" t="s">
        <v>1195</v>
      </c>
      <c r="D1637" s="591" t="s">
        <v>1196</v>
      </c>
      <c r="E1637" s="591" t="s">
        <v>1197</v>
      </c>
      <c r="F1637" s="591" t="s">
        <v>1198</v>
      </c>
      <c r="G1637" s="591" t="s">
        <v>1199</v>
      </c>
      <c r="H1637" s="591" t="s">
        <v>1200</v>
      </c>
      <c r="I1637" s="44"/>
    </row>
    <row r="1638" spans="3:13" s="59" customFormat="1" ht="22.2" customHeight="1">
      <c r="C1638" s="61" t="s">
        <v>1201</v>
      </c>
      <c r="D1638" s="56" t="s">
        <v>1202</v>
      </c>
      <c r="E1638" s="57"/>
      <c r="F1638" s="57"/>
      <c r="G1638" s="57"/>
      <c r="H1638" s="57"/>
      <c r="I1638" s="44"/>
      <c r="J1638" s="152" t="s">
        <v>1247</v>
      </c>
    </row>
    <row r="1639" spans="3:13" s="59" customFormat="1" ht="22.2" customHeight="1">
      <c r="C1639" s="588">
        <v>1</v>
      </c>
      <c r="D1639" s="56" t="s">
        <v>5</v>
      </c>
      <c r="E1639" s="577" t="s">
        <v>6</v>
      </c>
      <c r="F1639" s="101">
        <v>2E-3</v>
      </c>
      <c r="G1639" s="63">
        <f>VLOOKUP(D1639,upahbahan,3,FALSE)</f>
        <v>100000</v>
      </c>
      <c r="H1639" s="63">
        <f>F1639*G1639</f>
        <v>200</v>
      </c>
      <c r="I1639" s="44"/>
      <c r="J1639" s="152" t="s">
        <v>1248</v>
      </c>
      <c r="M1639" s="65">
        <v>0.1</v>
      </c>
    </row>
    <row r="1640" spans="3:13" s="59" customFormat="1" ht="22.2" customHeight="1">
      <c r="C1640" s="588">
        <v>2</v>
      </c>
      <c r="D1640" s="56" t="s">
        <v>10</v>
      </c>
      <c r="E1640" s="577" t="s">
        <v>6</v>
      </c>
      <c r="F1640" s="101">
        <v>1E-3</v>
      </c>
      <c r="G1640" s="63">
        <f>VLOOKUP(D1640,upahbahan,3,FALSE)</f>
        <v>135000</v>
      </c>
      <c r="H1640" s="63">
        <f t="shared" ref="H1640:H1641" si="206">F1640*G1640</f>
        <v>135</v>
      </c>
      <c r="I1640" s="44"/>
      <c r="J1640" s="152"/>
      <c r="M1640" s="65"/>
    </row>
    <row r="1641" spans="3:13" s="59" customFormat="1" ht="22.2" customHeight="1">
      <c r="C1641" s="588">
        <v>3</v>
      </c>
      <c r="D1641" s="56" t="s">
        <v>19</v>
      </c>
      <c r="E1641" s="577" t="s">
        <v>6</v>
      </c>
      <c r="F1641" s="101">
        <v>2.0000000000000001E-4</v>
      </c>
      <c r="G1641" s="63">
        <f>VLOOKUP(D1641,upahbahan,3,FALSE)</f>
        <v>160000</v>
      </c>
      <c r="H1641" s="63">
        <f t="shared" si="206"/>
        <v>32</v>
      </c>
      <c r="I1641" s="44"/>
    </row>
    <row r="1642" spans="3:13" s="59" customFormat="1" ht="22.2" customHeight="1">
      <c r="C1642" s="450" t="s">
        <v>1208</v>
      </c>
      <c r="D1642" s="67"/>
      <c r="E1642" s="67"/>
      <c r="F1642" s="142"/>
      <c r="G1642" s="153"/>
      <c r="H1642" s="63">
        <f>SUM(H1639:H1641)</f>
        <v>367</v>
      </c>
      <c r="I1642" s="154"/>
    </row>
    <row r="1643" spans="3:13" s="59" customFormat="1" ht="22.2" customHeight="1">
      <c r="C1643" s="61" t="s">
        <v>1209</v>
      </c>
      <c r="D1643" s="56" t="s">
        <v>1210</v>
      </c>
      <c r="E1643" s="57"/>
      <c r="F1643" s="57"/>
      <c r="G1643" s="57"/>
      <c r="H1643" s="57"/>
      <c r="I1643" s="44"/>
    </row>
    <row r="1644" spans="3:13" s="59" customFormat="1" ht="22.2" customHeight="1">
      <c r="C1644" s="450" t="s">
        <v>1214</v>
      </c>
      <c r="D1644" s="67"/>
      <c r="E1644" s="67"/>
      <c r="F1644" s="67"/>
      <c r="G1644" s="69"/>
      <c r="H1644" s="63">
        <f>SUM(H1643:H1643)</f>
        <v>0</v>
      </c>
      <c r="I1644" s="44"/>
    </row>
    <row r="1645" spans="3:13" s="59" customFormat="1" ht="22.2" customHeight="1">
      <c r="C1645" s="61" t="s">
        <v>1215</v>
      </c>
      <c r="D1645" s="56" t="s">
        <v>1216</v>
      </c>
      <c r="E1645" s="93"/>
      <c r="F1645" s="57"/>
      <c r="G1645" s="57"/>
      <c r="H1645" s="57"/>
      <c r="I1645" s="44"/>
    </row>
    <row r="1646" spans="3:13" s="59" customFormat="1" ht="22.2" customHeight="1">
      <c r="C1646" s="800"/>
      <c r="D1646" s="584" t="s">
        <v>8463</v>
      </c>
      <c r="E1646" s="883" t="s">
        <v>1974</v>
      </c>
      <c r="F1646" s="884">
        <v>4.0000000000000001E-3</v>
      </c>
      <c r="G1646" s="63">
        <f>VLOOKUP(D1646,upahbahan,3,FALSE)</f>
        <v>75000</v>
      </c>
      <c r="H1646" s="63">
        <f t="shared" ref="H1646" si="207">F1646*G1646</f>
        <v>300</v>
      </c>
      <c r="I1646" s="44"/>
    </row>
    <row r="1647" spans="3:13" s="59" customFormat="1" ht="22.2" customHeight="1">
      <c r="C1647" s="450" t="s">
        <v>1217</v>
      </c>
      <c r="D1647" s="67"/>
      <c r="E1647" s="67"/>
      <c r="F1647" s="67"/>
      <c r="G1647" s="69"/>
      <c r="H1647" s="882">
        <f>SUM(H1646)</f>
        <v>300</v>
      </c>
      <c r="I1647" s="44"/>
    </row>
    <row r="1648" spans="3:13" s="59" customFormat="1" ht="22.2" customHeight="1">
      <c r="C1648" s="288" t="s">
        <v>1218</v>
      </c>
      <c r="D1648" s="76" t="s">
        <v>1219</v>
      </c>
      <c r="E1648" s="77"/>
      <c r="F1648" s="77"/>
      <c r="G1648" s="78"/>
      <c r="H1648" s="585">
        <f>H1647+H1644+H1642</f>
        <v>667</v>
      </c>
      <c r="I1648" s="369"/>
    </row>
    <row r="1649" spans="3:13" s="59" customFormat="1" ht="22.2" customHeight="1">
      <c r="C1649" s="288" t="s">
        <v>1220</v>
      </c>
      <c r="D1649" s="76" t="s">
        <v>1321</v>
      </c>
      <c r="E1649" s="77"/>
      <c r="F1649" s="78"/>
      <c r="G1649" s="80">
        <v>0.1</v>
      </c>
      <c r="H1649" s="63">
        <f>H1648*G1649</f>
        <v>66.7</v>
      </c>
      <c r="I1649" s="369"/>
    </row>
    <row r="1650" spans="3:13" s="59" customFormat="1" ht="22.2" customHeight="1">
      <c r="C1650" s="288" t="s">
        <v>1221</v>
      </c>
      <c r="D1650" s="76" t="s">
        <v>1222</v>
      </c>
      <c r="E1650" s="77"/>
      <c r="F1650" s="77"/>
      <c r="G1650" s="78"/>
      <c r="H1650" s="799">
        <f>SUM(H1648:H1649)</f>
        <v>733.7</v>
      </c>
      <c r="I1650" s="369"/>
    </row>
    <row r="1651" spans="3:13" ht="22.2" customHeight="1"/>
    <row r="1652" spans="3:13" ht="22.2" customHeight="1">
      <c r="C1652" s="43" t="s">
        <v>4938</v>
      </c>
      <c r="D1652" s="128" t="s">
        <v>8524</v>
      </c>
      <c r="I1652" s="50">
        <f>ROUNDDOWN(H1666,-2)</f>
        <v>1600</v>
      </c>
      <c r="J1652" s="59" t="s">
        <v>6451</v>
      </c>
      <c r="K1652" s="59" t="s">
        <v>8371</v>
      </c>
    </row>
    <row r="1653" spans="3:13" s="59" customFormat="1" ht="22.2" customHeight="1">
      <c r="C1653" s="591" t="s">
        <v>1195</v>
      </c>
      <c r="D1653" s="591" t="s">
        <v>1196</v>
      </c>
      <c r="E1653" s="591" t="s">
        <v>1197</v>
      </c>
      <c r="F1653" s="591" t="s">
        <v>1198</v>
      </c>
      <c r="G1653" s="591" t="s">
        <v>1199</v>
      </c>
      <c r="H1653" s="591" t="s">
        <v>1200</v>
      </c>
      <c r="I1653" s="44"/>
    </row>
    <row r="1654" spans="3:13" s="59" customFormat="1" ht="22.2" customHeight="1">
      <c r="C1654" s="61" t="s">
        <v>1201</v>
      </c>
      <c r="D1654" s="56" t="s">
        <v>1202</v>
      </c>
      <c r="E1654" s="57"/>
      <c r="F1654" s="57"/>
      <c r="G1654" s="57"/>
      <c r="H1654" s="57"/>
      <c r="I1654" s="44"/>
      <c r="J1654" s="152" t="s">
        <v>1247</v>
      </c>
    </row>
    <row r="1655" spans="3:13" s="59" customFormat="1" ht="22.2" customHeight="1">
      <c r="C1655" s="588">
        <v>1</v>
      </c>
      <c r="D1655" s="56" t="s">
        <v>5</v>
      </c>
      <c r="E1655" s="577" t="s">
        <v>6</v>
      </c>
      <c r="F1655" s="101">
        <v>6.0000000000000001E-3</v>
      </c>
      <c r="G1655" s="63">
        <f>VLOOKUP(D1655,upahbahan,3,FALSE)</f>
        <v>100000</v>
      </c>
      <c r="H1655" s="63">
        <f>F1655*G1655</f>
        <v>600</v>
      </c>
      <c r="I1655" s="44"/>
      <c r="J1655" s="152" t="s">
        <v>1248</v>
      </c>
      <c r="M1655" s="65">
        <v>0.1</v>
      </c>
    </row>
    <row r="1656" spans="3:13" s="59" customFormat="1" ht="22.2" customHeight="1">
      <c r="C1656" s="588">
        <v>2</v>
      </c>
      <c r="D1656" s="56" t="s">
        <v>10</v>
      </c>
      <c r="E1656" s="577" t="s">
        <v>6</v>
      </c>
      <c r="F1656" s="101">
        <v>3.0000000000000001E-3</v>
      </c>
      <c r="G1656" s="63">
        <f>VLOOKUP(D1656,upahbahan,3,FALSE)</f>
        <v>135000</v>
      </c>
      <c r="H1656" s="63">
        <f t="shared" ref="H1656:H1657" si="208">F1656*G1656</f>
        <v>405</v>
      </c>
      <c r="I1656" s="44"/>
      <c r="J1656" s="152"/>
      <c r="M1656" s="65"/>
    </row>
    <row r="1657" spans="3:13" s="59" customFormat="1" ht="22.2" customHeight="1">
      <c r="C1657" s="588">
        <v>3</v>
      </c>
      <c r="D1657" s="56" t="s">
        <v>19</v>
      </c>
      <c r="E1657" s="577" t="s">
        <v>6</v>
      </c>
      <c r="F1657" s="101">
        <v>1E-3</v>
      </c>
      <c r="G1657" s="63">
        <f>VLOOKUP(D1657,upahbahan,3,FALSE)</f>
        <v>160000</v>
      </c>
      <c r="H1657" s="63">
        <f t="shared" si="208"/>
        <v>160</v>
      </c>
      <c r="I1657" s="44"/>
    </row>
    <row r="1658" spans="3:13" s="59" customFormat="1" ht="22.2" customHeight="1">
      <c r="C1658" s="450" t="s">
        <v>1208</v>
      </c>
      <c r="D1658" s="67"/>
      <c r="E1658" s="67"/>
      <c r="F1658" s="142"/>
      <c r="G1658" s="153"/>
      <c r="H1658" s="63">
        <f>SUM(H1655:H1657)</f>
        <v>1165</v>
      </c>
      <c r="I1658" s="154"/>
    </row>
    <row r="1659" spans="3:13" s="59" customFormat="1" ht="22.2" customHeight="1">
      <c r="C1659" s="61" t="s">
        <v>1209</v>
      </c>
      <c r="D1659" s="56" t="s">
        <v>1210</v>
      </c>
      <c r="E1659" s="57"/>
      <c r="F1659" s="57"/>
      <c r="G1659" s="57"/>
      <c r="H1659" s="57"/>
      <c r="I1659" s="44"/>
    </row>
    <row r="1660" spans="3:13" s="59" customFormat="1" ht="22.2" customHeight="1">
      <c r="C1660" s="450" t="s">
        <v>1214</v>
      </c>
      <c r="D1660" s="67"/>
      <c r="E1660" s="67"/>
      <c r="F1660" s="67"/>
      <c r="G1660" s="69"/>
      <c r="H1660" s="63">
        <f>SUM(H1659:H1659)</f>
        <v>0</v>
      </c>
      <c r="I1660" s="44"/>
    </row>
    <row r="1661" spans="3:13" s="59" customFormat="1" ht="22.2" customHeight="1">
      <c r="C1661" s="61" t="s">
        <v>1215</v>
      </c>
      <c r="D1661" s="56" t="s">
        <v>1216</v>
      </c>
      <c r="E1661" s="93"/>
      <c r="F1661" s="57"/>
      <c r="G1661" s="57"/>
      <c r="H1661" s="57"/>
      <c r="I1661" s="44"/>
    </row>
    <row r="1662" spans="3:13" s="59" customFormat="1" ht="22.2" customHeight="1">
      <c r="C1662" s="800"/>
      <c r="D1662" s="584" t="s">
        <v>8463</v>
      </c>
      <c r="E1662" s="883" t="s">
        <v>1974</v>
      </c>
      <c r="F1662" s="884">
        <v>5.0000000000000001E-3</v>
      </c>
      <c r="G1662" s="63">
        <f>VLOOKUP(D1662,upahbahan,3,FALSE)</f>
        <v>75000</v>
      </c>
      <c r="H1662" s="63">
        <f t="shared" ref="H1662" si="209">F1662*G1662</f>
        <v>375</v>
      </c>
      <c r="I1662" s="44"/>
    </row>
    <row r="1663" spans="3:13" s="59" customFormat="1" ht="22.2" customHeight="1">
      <c r="C1663" s="450" t="s">
        <v>1217</v>
      </c>
      <c r="D1663" s="67"/>
      <c r="E1663" s="67"/>
      <c r="F1663" s="67"/>
      <c r="G1663" s="69"/>
      <c r="H1663" s="882">
        <f>SUM(H1662)</f>
        <v>375</v>
      </c>
      <c r="I1663" s="44"/>
    </row>
    <row r="1664" spans="3:13" s="59" customFormat="1" ht="22.2" customHeight="1">
      <c r="C1664" s="288" t="s">
        <v>1218</v>
      </c>
      <c r="D1664" s="76" t="s">
        <v>1219</v>
      </c>
      <c r="E1664" s="77"/>
      <c r="F1664" s="77"/>
      <c r="G1664" s="78"/>
      <c r="H1664" s="585">
        <f>H1663+H1660+H1658</f>
        <v>1540</v>
      </c>
      <c r="I1664" s="369"/>
    </row>
    <row r="1665" spans="3:13" s="59" customFormat="1" ht="22.2" customHeight="1">
      <c r="C1665" s="288" t="s">
        <v>1220</v>
      </c>
      <c r="D1665" s="76" t="s">
        <v>1321</v>
      </c>
      <c r="E1665" s="77"/>
      <c r="F1665" s="78"/>
      <c r="G1665" s="80">
        <v>0.1</v>
      </c>
      <c r="H1665" s="63">
        <f>H1664*G1665</f>
        <v>154</v>
      </c>
      <c r="I1665" s="369"/>
    </row>
    <row r="1666" spans="3:13" s="59" customFormat="1" ht="22.2" customHeight="1">
      <c r="C1666" s="288" t="s">
        <v>1221</v>
      </c>
      <c r="D1666" s="76" t="s">
        <v>1222</v>
      </c>
      <c r="E1666" s="77"/>
      <c r="F1666" s="77"/>
      <c r="G1666" s="78"/>
      <c r="H1666" s="799">
        <f>SUM(H1664:H1665)</f>
        <v>1694</v>
      </c>
      <c r="I1666" s="369"/>
    </row>
    <row r="1667" spans="3:13" ht="22.2" customHeight="1"/>
    <row r="1668" spans="3:13" ht="22.2" customHeight="1">
      <c r="C1668" s="43" t="s">
        <v>4939</v>
      </c>
      <c r="D1668" s="128" t="s">
        <v>8525</v>
      </c>
      <c r="I1668" s="50">
        <f>ROUNDDOWN(H1682,-2)</f>
        <v>2400</v>
      </c>
      <c r="J1668" s="59" t="s">
        <v>6451</v>
      </c>
      <c r="K1668" s="59" t="s">
        <v>8371</v>
      </c>
    </row>
    <row r="1669" spans="3:13" s="59" customFormat="1" ht="22.2" customHeight="1">
      <c r="C1669" s="591" t="s">
        <v>1195</v>
      </c>
      <c r="D1669" s="591" t="s">
        <v>1196</v>
      </c>
      <c r="E1669" s="591" t="s">
        <v>1197</v>
      </c>
      <c r="F1669" s="591" t="s">
        <v>1198</v>
      </c>
      <c r="G1669" s="591" t="s">
        <v>1199</v>
      </c>
      <c r="H1669" s="591" t="s">
        <v>1200</v>
      </c>
      <c r="I1669" s="44"/>
    </row>
    <row r="1670" spans="3:13" s="59" customFormat="1" ht="22.2" customHeight="1">
      <c r="C1670" s="61" t="s">
        <v>1201</v>
      </c>
      <c r="D1670" s="56" t="s">
        <v>1202</v>
      </c>
      <c r="E1670" s="57"/>
      <c r="F1670" s="57"/>
      <c r="G1670" s="57"/>
      <c r="H1670" s="57"/>
      <c r="I1670" s="44"/>
      <c r="J1670" s="152" t="s">
        <v>1247</v>
      </c>
    </row>
    <row r="1671" spans="3:13" s="59" customFormat="1" ht="22.2" customHeight="1">
      <c r="C1671" s="588">
        <v>1</v>
      </c>
      <c r="D1671" s="56" t="s">
        <v>5</v>
      </c>
      <c r="E1671" s="577" t="s">
        <v>6</v>
      </c>
      <c r="F1671" s="101">
        <v>8.9999999999999993E-3</v>
      </c>
      <c r="G1671" s="63">
        <f>VLOOKUP(D1671,upahbahan,3,FALSE)</f>
        <v>100000</v>
      </c>
      <c r="H1671" s="63">
        <f>F1671*G1671</f>
        <v>899.99999999999989</v>
      </c>
      <c r="I1671" s="44"/>
      <c r="J1671" s="152" t="s">
        <v>1248</v>
      </c>
      <c r="M1671" s="65">
        <v>0.1</v>
      </c>
    </row>
    <row r="1672" spans="3:13" s="59" customFormat="1" ht="22.2" customHeight="1">
      <c r="C1672" s="588">
        <v>2</v>
      </c>
      <c r="D1672" s="56" t="s">
        <v>10</v>
      </c>
      <c r="E1672" s="577" t="s">
        <v>6</v>
      </c>
      <c r="F1672" s="101">
        <v>5.0000000000000001E-3</v>
      </c>
      <c r="G1672" s="63">
        <f>VLOOKUP(D1672,upahbahan,3,FALSE)</f>
        <v>135000</v>
      </c>
      <c r="H1672" s="63">
        <f t="shared" ref="H1672:H1673" si="210">F1672*G1672</f>
        <v>675</v>
      </c>
      <c r="I1672" s="44"/>
      <c r="J1672" s="152"/>
      <c r="M1672" s="65"/>
    </row>
    <row r="1673" spans="3:13" s="59" customFormat="1" ht="22.2" customHeight="1">
      <c r="C1673" s="588">
        <v>3</v>
      </c>
      <c r="D1673" s="56" t="s">
        <v>19</v>
      </c>
      <c r="E1673" s="577" t="s">
        <v>6</v>
      </c>
      <c r="F1673" s="101">
        <v>1E-3</v>
      </c>
      <c r="G1673" s="63">
        <f>VLOOKUP(D1673,upahbahan,3,FALSE)</f>
        <v>160000</v>
      </c>
      <c r="H1673" s="63">
        <f t="shared" si="210"/>
        <v>160</v>
      </c>
      <c r="I1673" s="44"/>
    </row>
    <row r="1674" spans="3:13" s="59" customFormat="1" ht="22.2" customHeight="1">
      <c r="C1674" s="450" t="s">
        <v>1208</v>
      </c>
      <c r="D1674" s="67"/>
      <c r="E1674" s="67"/>
      <c r="F1674" s="142"/>
      <c r="G1674" s="153"/>
      <c r="H1674" s="63">
        <f>SUM(H1671:H1673)</f>
        <v>1735</v>
      </c>
      <c r="I1674" s="154"/>
    </row>
    <row r="1675" spans="3:13" s="59" customFormat="1" ht="22.2" customHeight="1">
      <c r="C1675" s="61" t="s">
        <v>1209</v>
      </c>
      <c r="D1675" s="56" t="s">
        <v>1210</v>
      </c>
      <c r="E1675" s="57"/>
      <c r="F1675" s="57"/>
      <c r="G1675" s="57"/>
      <c r="H1675" s="57"/>
      <c r="I1675" s="44"/>
    </row>
    <row r="1676" spans="3:13" s="59" customFormat="1" ht="22.2" customHeight="1">
      <c r="C1676" s="450" t="s">
        <v>1214</v>
      </c>
      <c r="D1676" s="67"/>
      <c r="E1676" s="67"/>
      <c r="F1676" s="67"/>
      <c r="G1676" s="69"/>
      <c r="H1676" s="63">
        <f>SUM(H1675:H1675)</f>
        <v>0</v>
      </c>
      <c r="I1676" s="44"/>
    </row>
    <row r="1677" spans="3:13" s="59" customFormat="1" ht="22.2" customHeight="1">
      <c r="C1677" s="61" t="s">
        <v>1215</v>
      </c>
      <c r="D1677" s="56" t="s">
        <v>1216</v>
      </c>
      <c r="E1677" s="93"/>
      <c r="F1677" s="57"/>
      <c r="G1677" s="57"/>
      <c r="H1677" s="57"/>
      <c r="I1677" s="44"/>
    </row>
    <row r="1678" spans="3:13" s="59" customFormat="1" ht="22.2" customHeight="1">
      <c r="C1678" s="800"/>
      <c r="D1678" s="584" t="s">
        <v>8463</v>
      </c>
      <c r="E1678" s="883" t="s">
        <v>1974</v>
      </c>
      <c r="F1678" s="884">
        <v>6.0000000000000001E-3</v>
      </c>
      <c r="G1678" s="63">
        <f>VLOOKUP(D1678,upahbahan,3,FALSE)</f>
        <v>75000</v>
      </c>
      <c r="H1678" s="63">
        <f t="shared" ref="H1678" si="211">F1678*G1678</f>
        <v>450</v>
      </c>
      <c r="I1678" s="44"/>
    </row>
    <row r="1679" spans="3:13" s="59" customFormat="1" ht="22.2" customHeight="1">
      <c r="C1679" s="450" t="s">
        <v>1217</v>
      </c>
      <c r="D1679" s="67"/>
      <c r="E1679" s="67"/>
      <c r="F1679" s="67"/>
      <c r="G1679" s="69"/>
      <c r="H1679" s="882">
        <f>SUM(H1678)</f>
        <v>450</v>
      </c>
      <c r="I1679" s="44"/>
    </row>
    <row r="1680" spans="3:13" s="59" customFormat="1" ht="22.2" customHeight="1">
      <c r="C1680" s="288" t="s">
        <v>1218</v>
      </c>
      <c r="D1680" s="76" t="s">
        <v>1219</v>
      </c>
      <c r="E1680" s="77"/>
      <c r="F1680" s="77"/>
      <c r="G1680" s="78"/>
      <c r="H1680" s="585">
        <f>H1679+H1676+H1674</f>
        <v>2185</v>
      </c>
      <c r="I1680" s="369"/>
    </row>
    <row r="1681" spans="3:13" s="59" customFormat="1" ht="22.2" customHeight="1">
      <c r="C1681" s="288" t="s">
        <v>1220</v>
      </c>
      <c r="D1681" s="76" t="s">
        <v>1321</v>
      </c>
      <c r="E1681" s="77"/>
      <c r="F1681" s="78"/>
      <c r="G1681" s="80">
        <v>0.1</v>
      </c>
      <c r="H1681" s="63">
        <f>H1680*G1681</f>
        <v>218.5</v>
      </c>
      <c r="I1681" s="369"/>
    </row>
    <row r="1682" spans="3:13" s="59" customFormat="1" ht="22.2" customHeight="1">
      <c r="C1682" s="288" t="s">
        <v>1221</v>
      </c>
      <c r="D1682" s="76" t="s">
        <v>1222</v>
      </c>
      <c r="E1682" s="77"/>
      <c r="F1682" s="77"/>
      <c r="G1682" s="78"/>
      <c r="H1682" s="799">
        <f>SUM(H1680:H1681)</f>
        <v>2403.5</v>
      </c>
      <c r="I1682" s="369"/>
    </row>
    <row r="1683" spans="3:13" ht="22.2" customHeight="1"/>
    <row r="1684" spans="3:13" ht="22.2" customHeight="1">
      <c r="C1684" s="43" t="s">
        <v>4940</v>
      </c>
      <c r="D1684" s="128" t="s">
        <v>8526</v>
      </c>
      <c r="I1684" s="50">
        <f>ROUNDDOWN(H1698,-2)</f>
        <v>4000</v>
      </c>
      <c r="J1684" s="59" t="s">
        <v>6451</v>
      </c>
      <c r="K1684" s="59" t="s">
        <v>8371</v>
      </c>
    </row>
    <row r="1685" spans="3:13" s="59" customFormat="1" ht="22.2" customHeight="1">
      <c r="C1685" s="591" t="s">
        <v>1195</v>
      </c>
      <c r="D1685" s="591" t="s">
        <v>1196</v>
      </c>
      <c r="E1685" s="591" t="s">
        <v>1197</v>
      </c>
      <c r="F1685" s="591" t="s">
        <v>1198</v>
      </c>
      <c r="G1685" s="591" t="s">
        <v>1199</v>
      </c>
      <c r="H1685" s="591" t="s">
        <v>1200</v>
      </c>
      <c r="I1685" s="44"/>
    </row>
    <row r="1686" spans="3:13" s="59" customFormat="1" ht="22.2" customHeight="1">
      <c r="C1686" s="61" t="s">
        <v>1201</v>
      </c>
      <c r="D1686" s="56" t="s">
        <v>1202</v>
      </c>
      <c r="E1686" s="57"/>
      <c r="F1686" s="57"/>
      <c r="G1686" s="57"/>
      <c r="H1686" s="57"/>
      <c r="I1686" s="44"/>
      <c r="J1686" s="152" t="s">
        <v>1247</v>
      </c>
    </row>
    <row r="1687" spans="3:13" s="59" customFormat="1" ht="22.2" customHeight="1">
      <c r="C1687" s="588">
        <v>1</v>
      </c>
      <c r="D1687" s="56" t="s">
        <v>5</v>
      </c>
      <c r="E1687" s="577" t="s">
        <v>6</v>
      </c>
      <c r="F1687" s="101">
        <v>1.6E-2</v>
      </c>
      <c r="G1687" s="63">
        <f>VLOOKUP(D1687,upahbahan,3,FALSE)</f>
        <v>100000</v>
      </c>
      <c r="H1687" s="63">
        <f>F1687*G1687</f>
        <v>1600</v>
      </c>
      <c r="I1687" s="44"/>
      <c r="J1687" s="152" t="s">
        <v>1248</v>
      </c>
      <c r="M1687" s="65">
        <v>0.1</v>
      </c>
    </row>
    <row r="1688" spans="3:13" s="59" customFormat="1" ht="22.2" customHeight="1">
      <c r="C1688" s="588">
        <v>2</v>
      </c>
      <c r="D1688" s="56" t="s">
        <v>10</v>
      </c>
      <c r="E1688" s="577" t="s">
        <v>6</v>
      </c>
      <c r="F1688" s="101">
        <v>8.0000000000000002E-3</v>
      </c>
      <c r="G1688" s="63">
        <f>VLOOKUP(D1688,upahbahan,3,FALSE)</f>
        <v>135000</v>
      </c>
      <c r="H1688" s="63">
        <f t="shared" ref="H1688:H1689" si="212">F1688*G1688</f>
        <v>1080</v>
      </c>
      <c r="I1688" s="44"/>
      <c r="J1688" s="152"/>
      <c r="M1688" s="65"/>
    </row>
    <row r="1689" spans="3:13" s="59" customFormat="1" ht="22.2" customHeight="1">
      <c r="C1689" s="588">
        <v>3</v>
      </c>
      <c r="D1689" s="56" t="s">
        <v>19</v>
      </c>
      <c r="E1689" s="577" t="s">
        <v>6</v>
      </c>
      <c r="F1689" s="101">
        <v>2E-3</v>
      </c>
      <c r="G1689" s="63">
        <f>VLOOKUP(D1689,upahbahan,3,FALSE)</f>
        <v>160000</v>
      </c>
      <c r="H1689" s="63">
        <f t="shared" si="212"/>
        <v>320</v>
      </c>
      <c r="I1689" s="44"/>
    </row>
    <row r="1690" spans="3:13" s="59" customFormat="1" ht="22.2" customHeight="1">
      <c r="C1690" s="450" t="s">
        <v>1208</v>
      </c>
      <c r="D1690" s="67"/>
      <c r="E1690" s="67"/>
      <c r="F1690" s="142"/>
      <c r="G1690" s="153"/>
      <c r="H1690" s="63">
        <f>SUM(H1687:H1689)</f>
        <v>3000</v>
      </c>
      <c r="I1690" s="154"/>
    </row>
    <row r="1691" spans="3:13" s="59" customFormat="1" ht="22.2" customHeight="1">
      <c r="C1691" s="61" t="s">
        <v>1209</v>
      </c>
      <c r="D1691" s="56" t="s">
        <v>1210</v>
      </c>
      <c r="E1691" s="57"/>
      <c r="F1691" s="57"/>
      <c r="G1691" s="57"/>
      <c r="H1691" s="57"/>
      <c r="I1691" s="44"/>
    </row>
    <row r="1692" spans="3:13" s="59" customFormat="1" ht="22.2" customHeight="1">
      <c r="C1692" s="450" t="s">
        <v>1214</v>
      </c>
      <c r="D1692" s="67"/>
      <c r="E1692" s="67"/>
      <c r="F1692" s="67"/>
      <c r="G1692" s="69"/>
      <c r="H1692" s="63">
        <f>SUM(H1691:H1691)</f>
        <v>0</v>
      </c>
      <c r="I1692" s="44"/>
    </row>
    <row r="1693" spans="3:13" s="59" customFormat="1" ht="22.2" customHeight="1">
      <c r="C1693" s="61" t="s">
        <v>1215</v>
      </c>
      <c r="D1693" s="56" t="s">
        <v>1216</v>
      </c>
      <c r="E1693" s="93"/>
      <c r="F1693" s="57"/>
      <c r="G1693" s="57"/>
      <c r="H1693" s="57"/>
      <c r="I1693" s="44"/>
    </row>
    <row r="1694" spans="3:13" s="59" customFormat="1" ht="22.2" customHeight="1">
      <c r="C1694" s="800"/>
      <c r="D1694" s="584" t="s">
        <v>8463</v>
      </c>
      <c r="E1694" s="883" t="s">
        <v>1974</v>
      </c>
      <c r="F1694" s="884">
        <v>8.9999999999999993E-3</v>
      </c>
      <c r="G1694" s="63">
        <f>VLOOKUP(D1694,upahbahan,3,FALSE)</f>
        <v>75000</v>
      </c>
      <c r="H1694" s="63">
        <f t="shared" ref="H1694" si="213">F1694*G1694</f>
        <v>675</v>
      </c>
      <c r="I1694" s="44"/>
    </row>
    <row r="1695" spans="3:13" s="59" customFormat="1" ht="22.2" customHeight="1">
      <c r="C1695" s="450" t="s">
        <v>1217</v>
      </c>
      <c r="D1695" s="67"/>
      <c r="E1695" s="67"/>
      <c r="F1695" s="67"/>
      <c r="G1695" s="69"/>
      <c r="H1695" s="882">
        <f>SUM(H1694)</f>
        <v>675</v>
      </c>
      <c r="I1695" s="44"/>
    </row>
    <row r="1696" spans="3:13" s="59" customFormat="1" ht="22.2" customHeight="1">
      <c r="C1696" s="288" t="s">
        <v>1218</v>
      </c>
      <c r="D1696" s="76" t="s">
        <v>1219</v>
      </c>
      <c r="E1696" s="77"/>
      <c r="F1696" s="77"/>
      <c r="G1696" s="78"/>
      <c r="H1696" s="585">
        <f>H1695+H1692+H1690</f>
        <v>3675</v>
      </c>
      <c r="I1696" s="369"/>
    </row>
    <row r="1697" spans="3:13" s="59" customFormat="1" ht="22.2" customHeight="1">
      <c r="C1697" s="288" t="s">
        <v>1220</v>
      </c>
      <c r="D1697" s="76" t="s">
        <v>1321</v>
      </c>
      <c r="E1697" s="77"/>
      <c r="F1697" s="78"/>
      <c r="G1697" s="80">
        <v>0.1</v>
      </c>
      <c r="H1697" s="63">
        <f>H1696*G1697</f>
        <v>367.5</v>
      </c>
      <c r="I1697" s="369"/>
    </row>
    <row r="1698" spans="3:13" s="59" customFormat="1" ht="22.2" customHeight="1">
      <c r="C1698" s="288" t="s">
        <v>1221</v>
      </c>
      <c r="D1698" s="76" t="s">
        <v>1222</v>
      </c>
      <c r="E1698" s="77"/>
      <c r="F1698" s="77"/>
      <c r="G1698" s="78"/>
      <c r="H1698" s="799">
        <f>SUM(H1696:H1697)</f>
        <v>4042.5</v>
      </c>
      <c r="I1698" s="369"/>
    </row>
    <row r="1699" spans="3:13" ht="22.2" customHeight="1"/>
    <row r="1700" spans="3:13" ht="22.2" customHeight="1">
      <c r="C1700" s="43" t="s">
        <v>4941</v>
      </c>
      <c r="D1700" s="128" t="s">
        <v>8527</v>
      </c>
      <c r="I1700" s="50">
        <f>ROUNDDOWN(H1714,-2)</f>
        <v>10200</v>
      </c>
      <c r="J1700" s="59" t="s">
        <v>6451</v>
      </c>
      <c r="K1700" s="59" t="s">
        <v>8371</v>
      </c>
    </row>
    <row r="1701" spans="3:13" s="59" customFormat="1" ht="22.2" customHeight="1">
      <c r="C1701" s="591" t="s">
        <v>1195</v>
      </c>
      <c r="D1701" s="591" t="s">
        <v>1196</v>
      </c>
      <c r="E1701" s="591" t="s">
        <v>1197</v>
      </c>
      <c r="F1701" s="591" t="s">
        <v>1198</v>
      </c>
      <c r="G1701" s="591" t="s">
        <v>1199</v>
      </c>
      <c r="H1701" s="591" t="s">
        <v>1200</v>
      </c>
      <c r="I1701" s="44"/>
    </row>
    <row r="1702" spans="3:13" s="59" customFormat="1" ht="22.2" customHeight="1">
      <c r="C1702" s="61" t="s">
        <v>1201</v>
      </c>
      <c r="D1702" s="56" t="s">
        <v>1202</v>
      </c>
      <c r="E1702" s="57"/>
      <c r="F1702" s="57"/>
      <c r="G1702" s="57"/>
      <c r="H1702" s="57"/>
      <c r="I1702" s="44"/>
      <c r="J1702" s="152" t="s">
        <v>1247</v>
      </c>
    </row>
    <row r="1703" spans="3:13" s="59" customFormat="1" ht="22.2" customHeight="1">
      <c r="C1703" s="588">
        <v>1</v>
      </c>
      <c r="D1703" s="56" t="s">
        <v>5</v>
      </c>
      <c r="E1703" s="577" t="s">
        <v>6</v>
      </c>
      <c r="F1703" s="101">
        <v>4.3999999999999997E-2</v>
      </c>
      <c r="G1703" s="63">
        <f>VLOOKUP(D1703,upahbahan,3,FALSE)</f>
        <v>100000</v>
      </c>
      <c r="H1703" s="63">
        <f>F1703*G1703</f>
        <v>4400</v>
      </c>
      <c r="I1703" s="44"/>
      <c r="J1703" s="152" t="s">
        <v>1248</v>
      </c>
      <c r="M1703" s="65">
        <v>0.1</v>
      </c>
    </row>
    <row r="1704" spans="3:13" s="59" customFormat="1" ht="22.2" customHeight="1">
      <c r="C1704" s="588">
        <v>2</v>
      </c>
      <c r="D1704" s="56" t="s">
        <v>10</v>
      </c>
      <c r="E1704" s="577" t="s">
        <v>6</v>
      </c>
      <c r="F1704" s="101">
        <v>2.1999999999999999E-2</v>
      </c>
      <c r="G1704" s="63">
        <f>VLOOKUP(D1704,upahbahan,3,FALSE)</f>
        <v>135000</v>
      </c>
      <c r="H1704" s="63">
        <f t="shared" ref="H1704:H1705" si="214">F1704*G1704</f>
        <v>2970</v>
      </c>
      <c r="I1704" s="44"/>
      <c r="J1704" s="152"/>
      <c r="M1704" s="65"/>
    </row>
    <row r="1705" spans="3:13" s="59" customFormat="1" ht="22.2" customHeight="1">
      <c r="C1705" s="588">
        <v>3</v>
      </c>
      <c r="D1705" s="56" t="s">
        <v>19</v>
      </c>
      <c r="E1705" s="577" t="s">
        <v>6</v>
      </c>
      <c r="F1705" s="101">
        <v>4.0000000000000001E-3</v>
      </c>
      <c r="G1705" s="63">
        <f>VLOOKUP(D1705,upahbahan,3,FALSE)</f>
        <v>160000</v>
      </c>
      <c r="H1705" s="63">
        <f t="shared" si="214"/>
        <v>640</v>
      </c>
      <c r="I1705" s="44"/>
    </row>
    <row r="1706" spans="3:13" s="59" customFormat="1" ht="22.2" customHeight="1">
      <c r="C1706" s="450" t="s">
        <v>1208</v>
      </c>
      <c r="D1706" s="67"/>
      <c r="E1706" s="67"/>
      <c r="F1706" s="142"/>
      <c r="G1706" s="153"/>
      <c r="H1706" s="63">
        <f>SUM(H1703:H1705)</f>
        <v>8010</v>
      </c>
      <c r="I1706" s="154"/>
    </row>
    <row r="1707" spans="3:13" s="59" customFormat="1" ht="22.2" customHeight="1">
      <c r="C1707" s="61" t="s">
        <v>1209</v>
      </c>
      <c r="D1707" s="56" t="s">
        <v>1210</v>
      </c>
      <c r="E1707" s="57"/>
      <c r="F1707" s="57"/>
      <c r="G1707" s="57"/>
      <c r="H1707" s="57"/>
      <c r="I1707" s="44"/>
    </row>
    <row r="1708" spans="3:13" s="59" customFormat="1" ht="22.2" customHeight="1">
      <c r="C1708" s="450" t="s">
        <v>1214</v>
      </c>
      <c r="D1708" s="67"/>
      <c r="E1708" s="67"/>
      <c r="F1708" s="67"/>
      <c r="G1708" s="69"/>
      <c r="H1708" s="63">
        <f>SUM(H1707:H1707)</f>
        <v>0</v>
      </c>
      <c r="I1708" s="44"/>
    </row>
    <row r="1709" spans="3:13" s="59" customFormat="1" ht="22.2" customHeight="1">
      <c r="C1709" s="61" t="s">
        <v>1215</v>
      </c>
      <c r="D1709" s="56" t="s">
        <v>1216</v>
      </c>
      <c r="E1709" s="93"/>
      <c r="F1709" s="57"/>
      <c r="G1709" s="57"/>
      <c r="H1709" s="57"/>
      <c r="I1709" s="44"/>
    </row>
    <row r="1710" spans="3:13" s="59" customFormat="1" ht="22.2" customHeight="1">
      <c r="C1710" s="800"/>
      <c r="D1710" s="584" t="s">
        <v>8463</v>
      </c>
      <c r="E1710" s="883" t="s">
        <v>1974</v>
      </c>
      <c r="F1710" s="884">
        <v>1.7000000000000001E-2</v>
      </c>
      <c r="G1710" s="63">
        <f>VLOOKUP(D1710,upahbahan,3,FALSE)</f>
        <v>75000</v>
      </c>
      <c r="H1710" s="63">
        <f t="shared" ref="H1710" si="215">F1710*G1710</f>
        <v>1275</v>
      </c>
      <c r="I1710" s="44"/>
    </row>
    <row r="1711" spans="3:13" s="59" customFormat="1" ht="22.2" customHeight="1">
      <c r="C1711" s="450" t="s">
        <v>1217</v>
      </c>
      <c r="D1711" s="67"/>
      <c r="E1711" s="67"/>
      <c r="F1711" s="67"/>
      <c r="G1711" s="69"/>
      <c r="H1711" s="882">
        <f>SUM(H1710)</f>
        <v>1275</v>
      </c>
      <c r="I1711" s="44"/>
    </row>
    <row r="1712" spans="3:13" s="59" customFormat="1" ht="22.2" customHeight="1">
      <c r="C1712" s="288" t="s">
        <v>1218</v>
      </c>
      <c r="D1712" s="76" t="s">
        <v>1219</v>
      </c>
      <c r="E1712" s="77"/>
      <c r="F1712" s="77"/>
      <c r="G1712" s="78"/>
      <c r="H1712" s="585">
        <f>H1711+H1708+H1706</f>
        <v>9285</v>
      </c>
      <c r="I1712" s="369"/>
    </row>
    <row r="1713" spans="3:13" s="59" customFormat="1" ht="22.2" customHeight="1">
      <c r="C1713" s="288" t="s">
        <v>1220</v>
      </c>
      <c r="D1713" s="76" t="s">
        <v>1321</v>
      </c>
      <c r="E1713" s="77"/>
      <c r="F1713" s="78"/>
      <c r="G1713" s="80">
        <v>0.1</v>
      </c>
      <c r="H1713" s="63">
        <f>H1712*G1713</f>
        <v>928.5</v>
      </c>
      <c r="I1713" s="369"/>
    </row>
    <row r="1714" spans="3:13" s="59" customFormat="1" ht="22.2" customHeight="1">
      <c r="C1714" s="288" t="s">
        <v>1221</v>
      </c>
      <c r="D1714" s="76" t="s">
        <v>1222</v>
      </c>
      <c r="E1714" s="77"/>
      <c r="F1714" s="77"/>
      <c r="G1714" s="78"/>
      <c r="H1714" s="799">
        <f>SUM(H1712:H1713)</f>
        <v>10213.5</v>
      </c>
      <c r="I1714" s="369"/>
    </row>
    <row r="1715" spans="3:13" ht="22.2" customHeight="1"/>
    <row r="1716" spans="3:13" ht="22.2" customHeight="1">
      <c r="C1716" s="43" t="s">
        <v>4942</v>
      </c>
      <c r="D1716" s="128" t="s">
        <v>8528</v>
      </c>
      <c r="I1716" s="50">
        <f>ROUNDDOWN(H1730,-2)</f>
        <v>15400</v>
      </c>
      <c r="J1716" s="59" t="s">
        <v>6451</v>
      </c>
      <c r="K1716" s="59" t="s">
        <v>8371</v>
      </c>
    </row>
    <row r="1717" spans="3:13" s="59" customFormat="1" ht="22.2" customHeight="1">
      <c r="C1717" s="591" t="s">
        <v>1195</v>
      </c>
      <c r="D1717" s="591" t="s">
        <v>1196</v>
      </c>
      <c r="E1717" s="591" t="s">
        <v>1197</v>
      </c>
      <c r="F1717" s="591" t="s">
        <v>1198</v>
      </c>
      <c r="G1717" s="591" t="s">
        <v>1199</v>
      </c>
      <c r="H1717" s="591" t="s">
        <v>1200</v>
      </c>
      <c r="I1717" s="44"/>
    </row>
    <row r="1718" spans="3:13" s="59" customFormat="1" ht="22.2" customHeight="1">
      <c r="C1718" s="61" t="s">
        <v>1201</v>
      </c>
      <c r="D1718" s="56" t="s">
        <v>1202</v>
      </c>
      <c r="E1718" s="57"/>
      <c r="F1718" s="57"/>
      <c r="G1718" s="57"/>
      <c r="H1718" s="57"/>
      <c r="I1718" s="44"/>
      <c r="J1718" s="152" t="s">
        <v>1247</v>
      </c>
    </row>
    <row r="1719" spans="3:13" s="59" customFormat="1" ht="22.2" customHeight="1">
      <c r="C1719" s="588">
        <v>1</v>
      </c>
      <c r="D1719" s="56" t="s">
        <v>5</v>
      </c>
      <c r="E1719" s="577" t="s">
        <v>6</v>
      </c>
      <c r="F1719" s="101">
        <v>6.7000000000000004E-2</v>
      </c>
      <c r="G1719" s="63">
        <f>VLOOKUP(D1719,upahbahan,3,FALSE)</f>
        <v>100000</v>
      </c>
      <c r="H1719" s="63">
        <f>F1719*G1719</f>
        <v>6700</v>
      </c>
      <c r="I1719" s="44"/>
      <c r="J1719" s="152" t="s">
        <v>1248</v>
      </c>
      <c r="M1719" s="65">
        <v>0.1</v>
      </c>
    </row>
    <row r="1720" spans="3:13" s="59" customFormat="1" ht="22.2" customHeight="1">
      <c r="C1720" s="588">
        <v>2</v>
      </c>
      <c r="D1720" s="56" t="s">
        <v>10</v>
      </c>
      <c r="E1720" s="577" t="s">
        <v>6</v>
      </c>
      <c r="F1720" s="101">
        <v>3.3000000000000002E-2</v>
      </c>
      <c r="G1720" s="63">
        <f>VLOOKUP(D1720,upahbahan,3,FALSE)</f>
        <v>135000</v>
      </c>
      <c r="H1720" s="63">
        <f t="shared" ref="H1720:H1721" si="216">F1720*G1720</f>
        <v>4455</v>
      </c>
      <c r="I1720" s="44"/>
      <c r="J1720" s="152"/>
      <c r="M1720" s="65"/>
    </row>
    <row r="1721" spans="3:13" s="59" customFormat="1" ht="22.2" customHeight="1">
      <c r="C1721" s="588">
        <v>3</v>
      </c>
      <c r="D1721" s="56" t="s">
        <v>19</v>
      </c>
      <c r="E1721" s="577" t="s">
        <v>6</v>
      </c>
      <c r="F1721" s="101">
        <v>7.0000000000000001E-3</v>
      </c>
      <c r="G1721" s="63">
        <f>VLOOKUP(D1721,upahbahan,3,FALSE)</f>
        <v>160000</v>
      </c>
      <c r="H1721" s="63">
        <f t="shared" si="216"/>
        <v>1120</v>
      </c>
      <c r="I1721" s="44"/>
    </row>
    <row r="1722" spans="3:13" s="59" customFormat="1" ht="22.2" customHeight="1">
      <c r="C1722" s="450" t="s">
        <v>1208</v>
      </c>
      <c r="D1722" s="67"/>
      <c r="E1722" s="67"/>
      <c r="F1722" s="142"/>
      <c r="G1722" s="153"/>
      <c r="H1722" s="63">
        <f>SUM(H1719:H1721)</f>
        <v>12275</v>
      </c>
      <c r="I1722" s="154"/>
    </row>
    <row r="1723" spans="3:13" s="59" customFormat="1" ht="22.2" customHeight="1">
      <c r="C1723" s="61" t="s">
        <v>1209</v>
      </c>
      <c r="D1723" s="56" t="s">
        <v>1210</v>
      </c>
      <c r="E1723" s="57"/>
      <c r="F1723" s="57"/>
      <c r="G1723" s="57"/>
      <c r="H1723" s="57"/>
      <c r="I1723" s="44"/>
    </row>
    <row r="1724" spans="3:13" s="59" customFormat="1" ht="22.2" customHeight="1">
      <c r="C1724" s="450" t="s">
        <v>1214</v>
      </c>
      <c r="D1724" s="67"/>
      <c r="E1724" s="67"/>
      <c r="F1724" s="67"/>
      <c r="G1724" s="69"/>
      <c r="H1724" s="63">
        <f>SUM(H1723:H1723)</f>
        <v>0</v>
      </c>
      <c r="I1724" s="44"/>
    </row>
    <row r="1725" spans="3:13" s="59" customFormat="1" ht="22.2" customHeight="1">
      <c r="C1725" s="61" t="s">
        <v>1215</v>
      </c>
      <c r="D1725" s="56" t="s">
        <v>1216</v>
      </c>
      <c r="E1725" s="93"/>
      <c r="F1725" s="57"/>
      <c r="G1725" s="57"/>
      <c r="H1725" s="57"/>
      <c r="I1725" s="44"/>
    </row>
    <row r="1726" spans="3:13" s="59" customFormat="1" ht="22.2" customHeight="1">
      <c r="C1726" s="800"/>
      <c r="D1726" s="584" t="s">
        <v>8463</v>
      </c>
      <c r="E1726" s="883" t="s">
        <v>1974</v>
      </c>
      <c r="F1726" s="884">
        <v>2.3E-2</v>
      </c>
      <c r="G1726" s="63">
        <f>VLOOKUP(D1726,upahbahan,3,FALSE)</f>
        <v>75000</v>
      </c>
      <c r="H1726" s="63">
        <f t="shared" ref="H1726" si="217">F1726*G1726</f>
        <v>1725</v>
      </c>
      <c r="I1726" s="44"/>
    </row>
    <row r="1727" spans="3:13" s="59" customFormat="1" ht="22.2" customHeight="1">
      <c r="C1727" s="450" t="s">
        <v>1217</v>
      </c>
      <c r="D1727" s="67"/>
      <c r="E1727" s="67"/>
      <c r="F1727" s="67"/>
      <c r="G1727" s="69"/>
      <c r="H1727" s="882">
        <f>SUM(H1726)</f>
        <v>1725</v>
      </c>
      <c r="I1727" s="44"/>
    </row>
    <row r="1728" spans="3:13" s="59" customFormat="1" ht="22.2" customHeight="1">
      <c r="C1728" s="288" t="s">
        <v>1218</v>
      </c>
      <c r="D1728" s="76" t="s">
        <v>1219</v>
      </c>
      <c r="E1728" s="77"/>
      <c r="F1728" s="77"/>
      <c r="G1728" s="78"/>
      <c r="H1728" s="585">
        <f>H1727+H1724+H1722</f>
        <v>14000</v>
      </c>
      <c r="I1728" s="369"/>
    </row>
    <row r="1729" spans="3:13" s="59" customFormat="1" ht="22.2" customHeight="1">
      <c r="C1729" s="288" t="s">
        <v>1220</v>
      </c>
      <c r="D1729" s="76" t="s">
        <v>1321</v>
      </c>
      <c r="E1729" s="77"/>
      <c r="F1729" s="78"/>
      <c r="G1729" s="80">
        <v>0.1</v>
      </c>
      <c r="H1729" s="63">
        <f>H1728*G1729</f>
        <v>1400</v>
      </c>
      <c r="I1729" s="369"/>
    </row>
    <row r="1730" spans="3:13" s="59" customFormat="1" ht="22.2" customHeight="1">
      <c r="C1730" s="288" t="s">
        <v>1221</v>
      </c>
      <c r="D1730" s="76" t="s">
        <v>1222</v>
      </c>
      <c r="E1730" s="77"/>
      <c r="F1730" s="77"/>
      <c r="G1730" s="78"/>
      <c r="H1730" s="799">
        <f>SUM(H1728:H1729)</f>
        <v>15400</v>
      </c>
      <c r="I1730" s="369"/>
    </row>
    <row r="1731" spans="3:13" ht="22.2" customHeight="1"/>
    <row r="1732" spans="3:13" ht="22.2" customHeight="1">
      <c r="C1732" s="43" t="s">
        <v>4943</v>
      </c>
      <c r="D1732" s="128" t="s">
        <v>8529</v>
      </c>
      <c r="I1732" s="50">
        <f>ROUNDDOWN(H1746,-2)</f>
        <v>20600</v>
      </c>
      <c r="J1732" s="59" t="s">
        <v>6451</v>
      </c>
      <c r="K1732" s="59" t="s">
        <v>8371</v>
      </c>
    </row>
    <row r="1733" spans="3:13" s="59" customFormat="1" ht="22.2" customHeight="1">
      <c r="C1733" s="591" t="s">
        <v>1195</v>
      </c>
      <c r="D1733" s="591" t="s">
        <v>1196</v>
      </c>
      <c r="E1733" s="591" t="s">
        <v>1197</v>
      </c>
      <c r="F1733" s="591" t="s">
        <v>1198</v>
      </c>
      <c r="G1733" s="591" t="s">
        <v>1199</v>
      </c>
      <c r="H1733" s="591" t="s">
        <v>1200</v>
      </c>
      <c r="I1733" s="44"/>
    </row>
    <row r="1734" spans="3:13" s="59" customFormat="1" ht="22.2" customHeight="1">
      <c r="C1734" s="61" t="s">
        <v>1201</v>
      </c>
      <c r="D1734" s="56" t="s">
        <v>1202</v>
      </c>
      <c r="E1734" s="57"/>
      <c r="F1734" s="57"/>
      <c r="G1734" s="57"/>
      <c r="H1734" s="57"/>
      <c r="I1734" s="44"/>
      <c r="J1734" s="152" t="s">
        <v>1247</v>
      </c>
    </row>
    <row r="1735" spans="3:13" s="59" customFormat="1" ht="22.2" customHeight="1">
      <c r="C1735" s="588">
        <v>1</v>
      </c>
      <c r="D1735" s="56" t="s">
        <v>5</v>
      </c>
      <c r="E1735" s="577" t="s">
        <v>6</v>
      </c>
      <c r="F1735" s="101">
        <v>0.09</v>
      </c>
      <c r="G1735" s="63">
        <f>VLOOKUP(D1735,upahbahan,3,FALSE)</f>
        <v>100000</v>
      </c>
      <c r="H1735" s="63">
        <f>F1735*G1735</f>
        <v>9000</v>
      </c>
      <c r="I1735" s="44"/>
      <c r="J1735" s="152" t="s">
        <v>1248</v>
      </c>
      <c r="M1735" s="65">
        <v>0.1</v>
      </c>
    </row>
    <row r="1736" spans="3:13" s="59" customFormat="1" ht="22.2" customHeight="1">
      <c r="C1736" s="588">
        <v>2</v>
      </c>
      <c r="D1736" s="56" t="s">
        <v>10</v>
      </c>
      <c r="E1736" s="577" t="s">
        <v>6</v>
      </c>
      <c r="F1736" s="101">
        <v>4.4999999999999998E-2</v>
      </c>
      <c r="G1736" s="63">
        <f>VLOOKUP(D1736,upahbahan,3,FALSE)</f>
        <v>135000</v>
      </c>
      <c r="H1736" s="63">
        <f t="shared" ref="H1736:H1737" si="218">F1736*G1736</f>
        <v>6075</v>
      </c>
      <c r="I1736" s="44"/>
      <c r="J1736" s="152"/>
      <c r="M1736" s="65"/>
    </row>
    <row r="1737" spans="3:13" s="59" customFormat="1" ht="22.2" customHeight="1">
      <c r="C1737" s="588">
        <v>3</v>
      </c>
      <c r="D1737" s="56" t="s">
        <v>19</v>
      </c>
      <c r="E1737" s="577" t="s">
        <v>6</v>
      </c>
      <c r="F1737" s="101">
        <v>8.9999999999999993E-3</v>
      </c>
      <c r="G1737" s="63">
        <f>VLOOKUP(D1737,upahbahan,3,FALSE)</f>
        <v>160000</v>
      </c>
      <c r="H1737" s="63">
        <f t="shared" si="218"/>
        <v>1440</v>
      </c>
      <c r="I1737" s="44"/>
    </row>
    <row r="1738" spans="3:13" s="59" customFormat="1" ht="22.2" customHeight="1">
      <c r="C1738" s="450" t="s">
        <v>1208</v>
      </c>
      <c r="D1738" s="67"/>
      <c r="E1738" s="67"/>
      <c r="F1738" s="142"/>
      <c r="G1738" s="153"/>
      <c r="H1738" s="63">
        <f>SUM(H1735:H1737)</f>
        <v>16515</v>
      </c>
      <c r="I1738" s="154"/>
    </row>
    <row r="1739" spans="3:13" s="59" customFormat="1" ht="22.2" customHeight="1">
      <c r="C1739" s="61" t="s">
        <v>1209</v>
      </c>
      <c r="D1739" s="56" t="s">
        <v>1210</v>
      </c>
      <c r="E1739" s="57"/>
      <c r="F1739" s="57"/>
      <c r="G1739" s="57"/>
      <c r="H1739" s="57"/>
      <c r="I1739" s="44"/>
    </row>
    <row r="1740" spans="3:13" s="59" customFormat="1" ht="22.2" customHeight="1">
      <c r="C1740" s="450" t="s">
        <v>1214</v>
      </c>
      <c r="D1740" s="67"/>
      <c r="E1740" s="67"/>
      <c r="F1740" s="67"/>
      <c r="G1740" s="69"/>
      <c r="H1740" s="63">
        <f>SUM(H1739:H1739)</f>
        <v>0</v>
      </c>
      <c r="I1740" s="44"/>
    </row>
    <row r="1741" spans="3:13" s="59" customFormat="1" ht="22.2" customHeight="1">
      <c r="C1741" s="61" t="s">
        <v>1215</v>
      </c>
      <c r="D1741" s="56" t="s">
        <v>1216</v>
      </c>
      <c r="E1741" s="93"/>
      <c r="F1741" s="57"/>
      <c r="G1741" s="57"/>
      <c r="H1741" s="57"/>
      <c r="I1741" s="44"/>
    </row>
    <row r="1742" spans="3:13" s="59" customFormat="1" ht="22.2" customHeight="1">
      <c r="C1742" s="800"/>
      <c r="D1742" s="584" t="s">
        <v>8463</v>
      </c>
      <c r="E1742" s="883" t="s">
        <v>1974</v>
      </c>
      <c r="F1742" s="884">
        <v>0.03</v>
      </c>
      <c r="G1742" s="63">
        <f>VLOOKUP(D1742,upahbahan,3,FALSE)</f>
        <v>75000</v>
      </c>
      <c r="H1742" s="63">
        <f>F1742*G1742</f>
        <v>2250</v>
      </c>
      <c r="I1742" s="44"/>
    </row>
    <row r="1743" spans="3:13" s="59" customFormat="1" ht="22.2" customHeight="1">
      <c r="C1743" s="450" t="s">
        <v>1217</v>
      </c>
      <c r="D1743" s="67"/>
      <c r="E1743" s="67"/>
      <c r="F1743" s="67"/>
      <c r="G1743" s="69"/>
      <c r="H1743" s="882">
        <f>SUM(H1742)</f>
        <v>2250</v>
      </c>
      <c r="I1743" s="44"/>
    </row>
    <row r="1744" spans="3:13" s="59" customFormat="1" ht="22.2" customHeight="1">
      <c r="C1744" s="288" t="s">
        <v>1218</v>
      </c>
      <c r="D1744" s="76" t="s">
        <v>1219</v>
      </c>
      <c r="E1744" s="77"/>
      <c r="F1744" s="77"/>
      <c r="G1744" s="78"/>
      <c r="H1744" s="585">
        <f>H1743+H1740+H1738</f>
        <v>18765</v>
      </c>
      <c r="I1744" s="369"/>
    </row>
    <row r="1745" spans="3:13" s="59" customFormat="1" ht="22.2" customHeight="1">
      <c r="C1745" s="288" t="s">
        <v>1220</v>
      </c>
      <c r="D1745" s="76" t="s">
        <v>1321</v>
      </c>
      <c r="E1745" s="77"/>
      <c r="F1745" s="78"/>
      <c r="G1745" s="80">
        <v>0.1</v>
      </c>
      <c r="H1745" s="63">
        <f>H1744*G1745</f>
        <v>1876.5</v>
      </c>
      <c r="I1745" s="369"/>
    </row>
    <row r="1746" spans="3:13" s="59" customFormat="1" ht="22.2" customHeight="1">
      <c r="C1746" s="288" t="s">
        <v>1221</v>
      </c>
      <c r="D1746" s="76" t="s">
        <v>1222</v>
      </c>
      <c r="E1746" s="77"/>
      <c r="F1746" s="77"/>
      <c r="G1746" s="78"/>
      <c r="H1746" s="799">
        <f>SUM(H1744:H1745)</f>
        <v>20641.5</v>
      </c>
      <c r="I1746" s="369"/>
    </row>
    <row r="1747" spans="3:13" ht="22.2" customHeight="1"/>
    <row r="1748" spans="3:13" ht="22.2" customHeight="1">
      <c r="C1748" s="43" t="s">
        <v>4944</v>
      </c>
      <c r="D1748" s="128" t="s">
        <v>8530</v>
      </c>
      <c r="I1748" s="50">
        <f>ROUNDDOWN(H1762,-2)</f>
        <v>40200</v>
      </c>
      <c r="J1748" s="59" t="s">
        <v>6451</v>
      </c>
      <c r="K1748" s="59" t="s">
        <v>8371</v>
      </c>
    </row>
    <row r="1749" spans="3:13" s="59" customFormat="1" ht="22.2" customHeight="1">
      <c r="C1749" s="591" t="s">
        <v>1195</v>
      </c>
      <c r="D1749" s="591" t="s">
        <v>1196</v>
      </c>
      <c r="E1749" s="591" t="s">
        <v>1197</v>
      </c>
      <c r="F1749" s="591" t="s">
        <v>1198</v>
      </c>
      <c r="G1749" s="591" t="s">
        <v>1199</v>
      </c>
      <c r="H1749" s="591" t="s">
        <v>1200</v>
      </c>
      <c r="I1749" s="44"/>
    </row>
    <row r="1750" spans="3:13" s="59" customFormat="1" ht="22.2" customHeight="1">
      <c r="C1750" s="61" t="s">
        <v>1201</v>
      </c>
      <c r="D1750" s="56" t="s">
        <v>1202</v>
      </c>
      <c r="E1750" s="57"/>
      <c r="F1750" s="57"/>
      <c r="G1750" s="57"/>
      <c r="H1750" s="57"/>
      <c r="I1750" s="44"/>
      <c r="J1750" s="152" t="s">
        <v>1247</v>
      </c>
    </row>
    <row r="1751" spans="3:13" s="59" customFormat="1" ht="22.2" customHeight="1">
      <c r="C1751" s="588">
        <v>1</v>
      </c>
      <c r="D1751" s="56" t="s">
        <v>5</v>
      </c>
      <c r="E1751" s="577" t="s">
        <v>6</v>
      </c>
      <c r="F1751" s="101">
        <v>0.17699999999999999</v>
      </c>
      <c r="G1751" s="63">
        <f>VLOOKUP(D1751,upahbahan,3,FALSE)</f>
        <v>100000</v>
      </c>
      <c r="H1751" s="63">
        <f>F1751*G1751</f>
        <v>17700</v>
      </c>
      <c r="I1751" s="44"/>
      <c r="J1751" s="152" t="s">
        <v>1248</v>
      </c>
      <c r="M1751" s="65">
        <v>0.1</v>
      </c>
    </row>
    <row r="1752" spans="3:13" s="59" customFormat="1" ht="22.2" customHeight="1">
      <c r="C1752" s="588">
        <v>2</v>
      </c>
      <c r="D1752" s="56" t="s">
        <v>10</v>
      </c>
      <c r="E1752" s="577" t="s">
        <v>6</v>
      </c>
      <c r="F1752" s="101">
        <v>8.7999999999999995E-2</v>
      </c>
      <c r="G1752" s="63">
        <f>VLOOKUP(D1752,upahbahan,3,FALSE)</f>
        <v>135000</v>
      </c>
      <c r="H1752" s="63">
        <f t="shared" ref="H1752:H1753" si="219">F1752*G1752</f>
        <v>11880</v>
      </c>
      <c r="I1752" s="44"/>
      <c r="J1752" s="152"/>
      <c r="M1752" s="65"/>
    </row>
    <row r="1753" spans="3:13" s="59" customFormat="1" ht="22.2" customHeight="1">
      <c r="C1753" s="588">
        <v>3</v>
      </c>
      <c r="D1753" s="56" t="s">
        <v>19</v>
      </c>
      <c r="E1753" s="577" t="s">
        <v>6</v>
      </c>
      <c r="F1753" s="101">
        <v>1.7999999999999999E-2</v>
      </c>
      <c r="G1753" s="63">
        <f>VLOOKUP(D1753,upahbahan,3,FALSE)</f>
        <v>160000</v>
      </c>
      <c r="H1753" s="63">
        <f t="shared" si="219"/>
        <v>2880</v>
      </c>
      <c r="I1753" s="44"/>
    </row>
    <row r="1754" spans="3:13" s="59" customFormat="1" ht="22.2" customHeight="1">
      <c r="C1754" s="450" t="s">
        <v>1208</v>
      </c>
      <c r="D1754" s="67"/>
      <c r="E1754" s="67"/>
      <c r="F1754" s="142"/>
      <c r="G1754" s="153"/>
      <c r="H1754" s="63">
        <f>SUM(H1751:H1753)</f>
        <v>32460</v>
      </c>
      <c r="I1754" s="154"/>
    </row>
    <row r="1755" spans="3:13" s="59" customFormat="1" ht="22.2" customHeight="1">
      <c r="C1755" s="61" t="s">
        <v>1209</v>
      </c>
      <c r="D1755" s="56" t="s">
        <v>1210</v>
      </c>
      <c r="E1755" s="57"/>
      <c r="F1755" s="57"/>
      <c r="G1755" s="57"/>
      <c r="H1755" s="57"/>
      <c r="I1755" s="44"/>
    </row>
    <row r="1756" spans="3:13" s="59" customFormat="1" ht="22.2" customHeight="1">
      <c r="C1756" s="450" t="s">
        <v>1214</v>
      </c>
      <c r="D1756" s="67"/>
      <c r="E1756" s="67"/>
      <c r="F1756" s="67"/>
      <c r="G1756" s="69"/>
      <c r="H1756" s="63">
        <f>SUM(H1755:H1755)</f>
        <v>0</v>
      </c>
      <c r="I1756" s="44"/>
    </row>
    <row r="1757" spans="3:13" s="59" customFormat="1" ht="22.2" customHeight="1">
      <c r="C1757" s="61" t="s">
        <v>1215</v>
      </c>
      <c r="D1757" s="56" t="s">
        <v>1216</v>
      </c>
      <c r="E1757" s="93"/>
      <c r="F1757" s="57"/>
      <c r="G1757" s="57"/>
      <c r="H1757" s="57"/>
      <c r="I1757" s="44"/>
    </row>
    <row r="1758" spans="3:13" s="59" customFormat="1" ht="22.2" customHeight="1">
      <c r="C1758" s="800"/>
      <c r="D1758" s="584" t="s">
        <v>8463</v>
      </c>
      <c r="E1758" s="883" t="s">
        <v>1974</v>
      </c>
      <c r="F1758" s="884">
        <v>5.5E-2</v>
      </c>
      <c r="G1758" s="63">
        <f>VLOOKUP(D1758,upahbahan,3,FALSE)</f>
        <v>75000</v>
      </c>
      <c r="H1758" s="63">
        <f t="shared" ref="H1758" si="220">F1758*G1758</f>
        <v>4125</v>
      </c>
      <c r="I1758" s="44"/>
    </row>
    <row r="1759" spans="3:13" s="59" customFormat="1" ht="22.2" customHeight="1">
      <c r="C1759" s="450" t="s">
        <v>1217</v>
      </c>
      <c r="D1759" s="67"/>
      <c r="E1759" s="67"/>
      <c r="F1759" s="67"/>
      <c r="G1759" s="69"/>
      <c r="H1759" s="882">
        <f>SUM(H1758)</f>
        <v>4125</v>
      </c>
      <c r="I1759" s="44"/>
    </row>
    <row r="1760" spans="3:13" s="59" customFormat="1" ht="22.2" customHeight="1">
      <c r="C1760" s="288" t="s">
        <v>1218</v>
      </c>
      <c r="D1760" s="76" t="s">
        <v>1219</v>
      </c>
      <c r="E1760" s="77"/>
      <c r="F1760" s="77"/>
      <c r="G1760" s="78"/>
      <c r="H1760" s="585">
        <f>H1759+H1756+H1754</f>
        <v>36585</v>
      </c>
      <c r="I1760" s="369"/>
    </row>
    <row r="1761" spans="3:13" s="59" customFormat="1" ht="22.2" customHeight="1">
      <c r="C1761" s="288" t="s">
        <v>1220</v>
      </c>
      <c r="D1761" s="76" t="s">
        <v>1321</v>
      </c>
      <c r="E1761" s="77"/>
      <c r="F1761" s="78"/>
      <c r="G1761" s="80">
        <v>0.1</v>
      </c>
      <c r="H1761" s="63">
        <f>H1760*G1761</f>
        <v>3658.5</v>
      </c>
      <c r="I1761" s="369"/>
    </row>
    <row r="1762" spans="3:13" s="59" customFormat="1" ht="22.2" customHeight="1">
      <c r="C1762" s="288" t="s">
        <v>1221</v>
      </c>
      <c r="D1762" s="76" t="s">
        <v>1222</v>
      </c>
      <c r="E1762" s="77"/>
      <c r="F1762" s="77"/>
      <c r="G1762" s="78"/>
      <c r="H1762" s="799">
        <f>SUM(H1760:H1761)</f>
        <v>40243.5</v>
      </c>
      <c r="I1762" s="369"/>
    </row>
    <row r="1763" spans="3:13" ht="22.2" customHeight="1"/>
    <row r="1764" spans="3:13" ht="22.2" customHeight="1">
      <c r="C1764" s="43" t="s">
        <v>4945</v>
      </c>
      <c r="D1764" s="128" t="s">
        <v>8531</v>
      </c>
      <c r="I1764" s="50">
        <f>ROUNDDOWN(H1778,-2)</f>
        <v>51300</v>
      </c>
      <c r="J1764" s="59" t="s">
        <v>6451</v>
      </c>
      <c r="K1764" s="59" t="s">
        <v>8371</v>
      </c>
    </row>
    <row r="1765" spans="3:13" s="59" customFormat="1" ht="22.2" customHeight="1">
      <c r="C1765" s="591" t="s">
        <v>1195</v>
      </c>
      <c r="D1765" s="591" t="s">
        <v>1196</v>
      </c>
      <c r="E1765" s="591" t="s">
        <v>1197</v>
      </c>
      <c r="F1765" s="591" t="s">
        <v>1198</v>
      </c>
      <c r="G1765" s="591" t="s">
        <v>1199</v>
      </c>
      <c r="H1765" s="591" t="s">
        <v>1200</v>
      </c>
      <c r="I1765" s="44"/>
    </row>
    <row r="1766" spans="3:13" s="59" customFormat="1" ht="22.2" customHeight="1">
      <c r="C1766" s="61" t="s">
        <v>1201</v>
      </c>
      <c r="D1766" s="56" t="s">
        <v>1202</v>
      </c>
      <c r="E1766" s="57"/>
      <c r="F1766" s="57"/>
      <c r="G1766" s="57"/>
      <c r="H1766" s="57"/>
      <c r="I1766" s="44"/>
      <c r="J1766" s="152" t="s">
        <v>1247</v>
      </c>
    </row>
    <row r="1767" spans="3:13" s="59" customFormat="1" ht="22.2" customHeight="1">
      <c r="C1767" s="588">
        <v>1</v>
      </c>
      <c r="D1767" s="56" t="s">
        <v>5</v>
      </c>
      <c r="E1767" s="577" t="s">
        <v>6</v>
      </c>
      <c r="F1767" s="101">
        <v>0.22500000000000001</v>
      </c>
      <c r="G1767" s="63">
        <f>VLOOKUP(D1767,upahbahan,3,FALSE)</f>
        <v>100000</v>
      </c>
      <c r="H1767" s="63">
        <f>F1767*G1767</f>
        <v>22500</v>
      </c>
      <c r="I1767" s="44"/>
      <c r="J1767" s="152" t="s">
        <v>1248</v>
      </c>
      <c r="M1767" s="65">
        <v>0.1</v>
      </c>
    </row>
    <row r="1768" spans="3:13" s="59" customFormat="1" ht="22.2" customHeight="1">
      <c r="C1768" s="588">
        <v>2</v>
      </c>
      <c r="D1768" s="56" t="s">
        <v>10</v>
      </c>
      <c r="E1768" s="577" t="s">
        <v>6</v>
      </c>
      <c r="F1768" s="101">
        <v>0.113</v>
      </c>
      <c r="G1768" s="63">
        <f>VLOOKUP(D1768,upahbahan,3,FALSE)</f>
        <v>135000</v>
      </c>
      <c r="H1768" s="63">
        <f t="shared" ref="H1768:H1769" si="221">F1768*G1768</f>
        <v>15255</v>
      </c>
      <c r="I1768" s="44"/>
      <c r="J1768" s="152"/>
      <c r="M1768" s="65"/>
    </row>
    <row r="1769" spans="3:13" s="59" customFormat="1" ht="22.2" customHeight="1">
      <c r="C1769" s="588">
        <v>3</v>
      </c>
      <c r="D1769" s="56" t="s">
        <v>19</v>
      </c>
      <c r="E1769" s="577" t="s">
        <v>6</v>
      </c>
      <c r="F1769" s="101">
        <v>2.3E-2</v>
      </c>
      <c r="G1769" s="63">
        <f>VLOOKUP(D1769,upahbahan,3,FALSE)</f>
        <v>160000</v>
      </c>
      <c r="H1769" s="63">
        <f t="shared" si="221"/>
        <v>3680</v>
      </c>
      <c r="I1769" s="44"/>
    </row>
    <row r="1770" spans="3:13" s="59" customFormat="1" ht="22.2" customHeight="1">
      <c r="C1770" s="450" t="s">
        <v>1208</v>
      </c>
      <c r="D1770" s="67"/>
      <c r="E1770" s="67"/>
      <c r="F1770" s="142"/>
      <c r="G1770" s="153"/>
      <c r="H1770" s="63">
        <f>SUM(H1767:H1769)</f>
        <v>41435</v>
      </c>
      <c r="I1770" s="154"/>
    </row>
    <row r="1771" spans="3:13" s="59" customFormat="1" ht="22.2" customHeight="1">
      <c r="C1771" s="61" t="s">
        <v>1209</v>
      </c>
      <c r="D1771" s="56" t="s">
        <v>1210</v>
      </c>
      <c r="E1771" s="57"/>
      <c r="F1771" s="57"/>
      <c r="G1771" s="57"/>
      <c r="H1771" s="57"/>
      <c r="I1771" s="44"/>
    </row>
    <row r="1772" spans="3:13" s="59" customFormat="1" ht="22.2" customHeight="1">
      <c r="C1772" s="450" t="s">
        <v>1214</v>
      </c>
      <c r="D1772" s="67"/>
      <c r="E1772" s="67"/>
      <c r="F1772" s="67"/>
      <c r="G1772" s="69"/>
      <c r="H1772" s="63">
        <f>SUM(H1771:H1771)</f>
        <v>0</v>
      </c>
      <c r="I1772" s="44"/>
    </row>
    <row r="1773" spans="3:13" s="59" customFormat="1" ht="22.2" customHeight="1">
      <c r="C1773" s="61" t="s">
        <v>1215</v>
      </c>
      <c r="D1773" s="56" t="s">
        <v>1216</v>
      </c>
      <c r="E1773" s="93"/>
      <c r="F1773" s="57"/>
      <c r="G1773" s="57"/>
      <c r="H1773" s="57"/>
      <c r="I1773" s="44"/>
    </row>
    <row r="1774" spans="3:13" s="59" customFormat="1" ht="22.2" customHeight="1">
      <c r="C1774" s="800"/>
      <c r="D1774" s="584" t="s">
        <v>8463</v>
      </c>
      <c r="E1774" s="883" t="s">
        <v>1974</v>
      </c>
      <c r="F1774" s="884">
        <v>7.0000000000000007E-2</v>
      </c>
      <c r="G1774" s="63">
        <f>VLOOKUP(D1774,upahbahan,3,FALSE)</f>
        <v>75000</v>
      </c>
      <c r="H1774" s="63">
        <f t="shared" ref="H1774" si="222">F1774*G1774</f>
        <v>5250.0000000000009</v>
      </c>
      <c r="I1774" s="44"/>
    </row>
    <row r="1775" spans="3:13" s="59" customFormat="1" ht="22.2" customHeight="1">
      <c r="C1775" s="450" t="s">
        <v>1217</v>
      </c>
      <c r="D1775" s="67"/>
      <c r="E1775" s="67"/>
      <c r="F1775" s="67"/>
      <c r="G1775" s="69"/>
      <c r="H1775" s="882">
        <f>SUM(H1774)</f>
        <v>5250.0000000000009</v>
      </c>
      <c r="I1775" s="44"/>
    </row>
    <row r="1776" spans="3:13" s="59" customFormat="1" ht="22.2" customHeight="1">
      <c r="C1776" s="288" t="s">
        <v>1218</v>
      </c>
      <c r="D1776" s="76" t="s">
        <v>1219</v>
      </c>
      <c r="E1776" s="77"/>
      <c r="F1776" s="77"/>
      <c r="G1776" s="78"/>
      <c r="H1776" s="585">
        <f>H1775+H1772+H1770</f>
        <v>46685</v>
      </c>
      <c r="I1776" s="369"/>
    </row>
    <row r="1777" spans="3:13" s="59" customFormat="1" ht="22.2" customHeight="1">
      <c r="C1777" s="288" t="s">
        <v>1220</v>
      </c>
      <c r="D1777" s="76" t="s">
        <v>1321</v>
      </c>
      <c r="E1777" s="77"/>
      <c r="F1777" s="78"/>
      <c r="G1777" s="80">
        <v>0.1</v>
      </c>
      <c r="H1777" s="63">
        <f>H1776*G1777</f>
        <v>4668.5</v>
      </c>
      <c r="I1777" s="369"/>
    </row>
    <row r="1778" spans="3:13" s="59" customFormat="1" ht="22.2" customHeight="1">
      <c r="C1778" s="288" t="s">
        <v>1221</v>
      </c>
      <c r="D1778" s="76" t="s">
        <v>1222</v>
      </c>
      <c r="E1778" s="77"/>
      <c r="F1778" s="77"/>
      <c r="G1778" s="78"/>
      <c r="H1778" s="799">
        <f>SUM(H1776:H1777)</f>
        <v>51353.5</v>
      </c>
      <c r="I1778" s="369"/>
    </row>
    <row r="1779" spans="3:13" ht="22.2" customHeight="1"/>
    <row r="1780" spans="3:13" ht="22.2" customHeight="1">
      <c r="C1780" s="43" t="s">
        <v>4946</v>
      </c>
      <c r="D1780" s="128" t="s">
        <v>8532</v>
      </c>
      <c r="I1780" s="50">
        <f>ROUNDDOWN(H1794,-2)</f>
        <v>63000</v>
      </c>
      <c r="J1780" s="59" t="s">
        <v>6451</v>
      </c>
      <c r="K1780" s="59" t="s">
        <v>8371</v>
      </c>
    </row>
    <row r="1781" spans="3:13" s="59" customFormat="1" ht="22.2" customHeight="1">
      <c r="C1781" s="591" t="s">
        <v>1195</v>
      </c>
      <c r="D1781" s="591" t="s">
        <v>1196</v>
      </c>
      <c r="E1781" s="591" t="s">
        <v>1197</v>
      </c>
      <c r="F1781" s="591" t="s">
        <v>1198</v>
      </c>
      <c r="G1781" s="591" t="s">
        <v>1199</v>
      </c>
      <c r="H1781" s="591" t="s">
        <v>1200</v>
      </c>
      <c r="I1781" s="44"/>
    </row>
    <row r="1782" spans="3:13" s="59" customFormat="1" ht="22.2" customHeight="1">
      <c r="C1782" s="61" t="s">
        <v>1201</v>
      </c>
      <c r="D1782" s="56" t="s">
        <v>1202</v>
      </c>
      <c r="E1782" s="57"/>
      <c r="F1782" s="57"/>
      <c r="G1782" s="57"/>
      <c r="H1782" s="57"/>
      <c r="I1782" s="44"/>
      <c r="J1782" s="152" t="s">
        <v>1247</v>
      </c>
    </row>
    <row r="1783" spans="3:13" s="59" customFormat="1" ht="22.2" customHeight="1">
      <c r="C1783" s="588">
        <v>1</v>
      </c>
      <c r="D1783" s="56" t="s">
        <v>5</v>
      </c>
      <c r="E1783" s="577" t="s">
        <v>6</v>
      </c>
      <c r="F1783" s="101">
        <v>0.27700000000000002</v>
      </c>
      <c r="G1783" s="63">
        <f>VLOOKUP(D1783,upahbahan,3,FALSE)</f>
        <v>100000</v>
      </c>
      <c r="H1783" s="63">
        <f>F1783*G1783</f>
        <v>27700.000000000004</v>
      </c>
      <c r="I1783" s="44"/>
      <c r="J1783" s="152" t="s">
        <v>1248</v>
      </c>
      <c r="M1783" s="65">
        <v>0.1</v>
      </c>
    </row>
    <row r="1784" spans="3:13" s="59" customFormat="1" ht="22.2" customHeight="1">
      <c r="C1784" s="588">
        <v>2</v>
      </c>
      <c r="D1784" s="56" t="s">
        <v>10</v>
      </c>
      <c r="E1784" s="577" t="s">
        <v>6</v>
      </c>
      <c r="F1784" s="101">
        <v>0.13900000000000001</v>
      </c>
      <c r="G1784" s="63">
        <f>VLOOKUP(D1784,upahbahan,3,FALSE)</f>
        <v>135000</v>
      </c>
      <c r="H1784" s="63">
        <f t="shared" ref="H1784:H1785" si="223">F1784*G1784</f>
        <v>18765</v>
      </c>
      <c r="I1784" s="44"/>
      <c r="J1784" s="152"/>
      <c r="M1784" s="65"/>
    </row>
    <row r="1785" spans="3:13" s="59" customFormat="1" ht="22.2" customHeight="1">
      <c r="C1785" s="588">
        <v>3</v>
      </c>
      <c r="D1785" s="56" t="s">
        <v>19</v>
      </c>
      <c r="E1785" s="577" t="s">
        <v>6</v>
      </c>
      <c r="F1785" s="101">
        <v>2.8000000000000001E-2</v>
      </c>
      <c r="G1785" s="63">
        <f>VLOOKUP(D1785,upahbahan,3,FALSE)</f>
        <v>160000</v>
      </c>
      <c r="H1785" s="63">
        <f t="shared" si="223"/>
        <v>4480</v>
      </c>
      <c r="I1785" s="44"/>
    </row>
    <row r="1786" spans="3:13" s="59" customFormat="1" ht="22.2" customHeight="1">
      <c r="C1786" s="450" t="s">
        <v>1208</v>
      </c>
      <c r="D1786" s="67"/>
      <c r="E1786" s="67"/>
      <c r="F1786" s="142"/>
      <c r="G1786" s="153"/>
      <c r="H1786" s="63">
        <f>SUM(H1783:H1785)</f>
        <v>50945</v>
      </c>
      <c r="I1786" s="154"/>
    </row>
    <row r="1787" spans="3:13" s="59" customFormat="1" ht="22.2" customHeight="1">
      <c r="C1787" s="61" t="s">
        <v>1209</v>
      </c>
      <c r="D1787" s="56" t="s">
        <v>1210</v>
      </c>
      <c r="E1787" s="57"/>
      <c r="F1787" s="57"/>
      <c r="G1787" s="57"/>
      <c r="H1787" s="57"/>
      <c r="I1787" s="44"/>
    </row>
    <row r="1788" spans="3:13" s="59" customFormat="1" ht="22.2" customHeight="1">
      <c r="C1788" s="450" t="s">
        <v>1214</v>
      </c>
      <c r="D1788" s="67"/>
      <c r="E1788" s="67"/>
      <c r="F1788" s="67"/>
      <c r="G1788" s="69"/>
      <c r="H1788" s="63">
        <f>SUM(H1787:H1787)</f>
        <v>0</v>
      </c>
      <c r="I1788" s="44"/>
    </row>
    <row r="1789" spans="3:13" s="59" customFormat="1" ht="22.2" customHeight="1">
      <c r="C1789" s="61" t="s">
        <v>1215</v>
      </c>
      <c r="D1789" s="56" t="s">
        <v>1216</v>
      </c>
      <c r="E1789" s="93"/>
      <c r="F1789" s="57"/>
      <c r="G1789" s="57"/>
      <c r="H1789" s="57"/>
      <c r="I1789" s="44"/>
    </row>
    <row r="1790" spans="3:13" s="59" customFormat="1" ht="22.2" customHeight="1">
      <c r="C1790" s="800"/>
      <c r="D1790" s="584" t="s">
        <v>8463</v>
      </c>
      <c r="E1790" s="883" t="s">
        <v>1974</v>
      </c>
      <c r="F1790" s="884">
        <v>8.5000000000000006E-2</v>
      </c>
      <c r="G1790" s="63">
        <f>VLOOKUP(D1790,upahbahan,3,FALSE)</f>
        <v>75000</v>
      </c>
      <c r="H1790" s="63">
        <f t="shared" ref="H1790" si="224">F1790*G1790</f>
        <v>6375.0000000000009</v>
      </c>
      <c r="I1790" s="44"/>
    </row>
    <row r="1791" spans="3:13" s="59" customFormat="1" ht="22.2" customHeight="1">
      <c r="C1791" s="450" t="s">
        <v>1217</v>
      </c>
      <c r="D1791" s="67"/>
      <c r="E1791" s="67"/>
      <c r="F1791" s="67"/>
      <c r="G1791" s="69"/>
      <c r="H1791" s="882">
        <f>SUM(H1790)</f>
        <v>6375.0000000000009</v>
      </c>
      <c r="I1791" s="44"/>
    </row>
    <row r="1792" spans="3:13" s="59" customFormat="1" ht="22.2" customHeight="1">
      <c r="C1792" s="288" t="s">
        <v>1218</v>
      </c>
      <c r="D1792" s="76" t="s">
        <v>1219</v>
      </c>
      <c r="E1792" s="77"/>
      <c r="F1792" s="77"/>
      <c r="G1792" s="78"/>
      <c r="H1792" s="585">
        <f>H1791+H1788+H1786</f>
        <v>57320</v>
      </c>
      <c r="I1792" s="369"/>
    </row>
    <row r="1793" spans="3:13" s="59" customFormat="1" ht="22.2" customHeight="1">
      <c r="C1793" s="288" t="s">
        <v>1220</v>
      </c>
      <c r="D1793" s="76" t="s">
        <v>1321</v>
      </c>
      <c r="E1793" s="77"/>
      <c r="F1793" s="78"/>
      <c r="G1793" s="80">
        <v>0.1</v>
      </c>
      <c r="H1793" s="63">
        <f>H1792*G1793</f>
        <v>5732</v>
      </c>
      <c r="I1793" s="369"/>
    </row>
    <row r="1794" spans="3:13" s="59" customFormat="1" ht="22.2" customHeight="1">
      <c r="C1794" s="288" t="s">
        <v>1221</v>
      </c>
      <c r="D1794" s="76" t="s">
        <v>1222</v>
      </c>
      <c r="E1794" s="77"/>
      <c r="F1794" s="77"/>
      <c r="G1794" s="78"/>
      <c r="H1794" s="799">
        <f>SUM(H1792:H1793)</f>
        <v>63052</v>
      </c>
      <c r="I1794" s="369"/>
    </row>
    <row r="1795" spans="3:13" ht="22.2" customHeight="1"/>
    <row r="1796" spans="3:13" ht="22.2" customHeight="1">
      <c r="C1796" s="43" t="s">
        <v>4947</v>
      </c>
      <c r="D1796" s="128" t="s">
        <v>8533</v>
      </c>
      <c r="I1796" s="50">
        <f>ROUNDDOWN(H1810,-2)</f>
        <v>75500</v>
      </c>
      <c r="J1796" s="59" t="s">
        <v>6451</v>
      </c>
      <c r="K1796" s="59" t="s">
        <v>8371</v>
      </c>
    </row>
    <row r="1797" spans="3:13" s="59" customFormat="1" ht="22.2" customHeight="1">
      <c r="C1797" s="591" t="s">
        <v>1195</v>
      </c>
      <c r="D1797" s="591" t="s">
        <v>1196</v>
      </c>
      <c r="E1797" s="591" t="s">
        <v>1197</v>
      </c>
      <c r="F1797" s="591" t="s">
        <v>1198</v>
      </c>
      <c r="G1797" s="591" t="s">
        <v>1199</v>
      </c>
      <c r="H1797" s="591" t="s">
        <v>1200</v>
      </c>
      <c r="I1797" s="44"/>
    </row>
    <row r="1798" spans="3:13" s="59" customFormat="1" ht="22.2" customHeight="1">
      <c r="C1798" s="61" t="s">
        <v>1201</v>
      </c>
      <c r="D1798" s="56" t="s">
        <v>1202</v>
      </c>
      <c r="E1798" s="57"/>
      <c r="F1798" s="57"/>
      <c r="G1798" s="57"/>
      <c r="H1798" s="57"/>
      <c r="I1798" s="44"/>
      <c r="J1798" s="152" t="s">
        <v>1247</v>
      </c>
    </row>
    <row r="1799" spans="3:13" s="59" customFormat="1" ht="22.2" customHeight="1">
      <c r="C1799" s="588">
        <v>1</v>
      </c>
      <c r="D1799" s="56" t="s">
        <v>5</v>
      </c>
      <c r="E1799" s="577" t="s">
        <v>6</v>
      </c>
      <c r="F1799" s="101">
        <v>0.33300000000000002</v>
      </c>
      <c r="G1799" s="63">
        <f>VLOOKUP(D1799,upahbahan,3,FALSE)</f>
        <v>100000</v>
      </c>
      <c r="H1799" s="63">
        <f>F1799*G1799</f>
        <v>33300</v>
      </c>
      <c r="I1799" s="44"/>
      <c r="J1799" s="152" t="s">
        <v>1248</v>
      </c>
      <c r="M1799" s="65">
        <v>0.1</v>
      </c>
    </row>
    <row r="1800" spans="3:13" s="59" customFormat="1" ht="22.2" customHeight="1">
      <c r="C1800" s="588">
        <v>2</v>
      </c>
      <c r="D1800" s="56" t="s">
        <v>10</v>
      </c>
      <c r="E1800" s="577" t="s">
        <v>6</v>
      </c>
      <c r="F1800" s="101">
        <v>0.16700000000000001</v>
      </c>
      <c r="G1800" s="63">
        <f>VLOOKUP(D1800,upahbahan,3,FALSE)</f>
        <v>135000</v>
      </c>
      <c r="H1800" s="63">
        <f t="shared" ref="H1800:H1801" si="225">F1800*G1800</f>
        <v>22545</v>
      </c>
      <c r="I1800" s="44"/>
      <c r="J1800" s="152"/>
      <c r="M1800" s="65"/>
    </row>
    <row r="1801" spans="3:13" s="59" customFormat="1" ht="22.2" customHeight="1">
      <c r="C1801" s="588">
        <v>3</v>
      </c>
      <c r="D1801" s="56" t="s">
        <v>19</v>
      </c>
      <c r="E1801" s="577" t="s">
        <v>6</v>
      </c>
      <c r="F1801" s="101">
        <v>3.3000000000000002E-2</v>
      </c>
      <c r="G1801" s="63">
        <f>VLOOKUP(D1801,upahbahan,3,FALSE)</f>
        <v>160000</v>
      </c>
      <c r="H1801" s="63">
        <f t="shared" si="225"/>
        <v>5280</v>
      </c>
      <c r="I1801" s="44"/>
    </row>
    <row r="1802" spans="3:13" s="59" customFormat="1" ht="22.2" customHeight="1">
      <c r="C1802" s="450" t="s">
        <v>1208</v>
      </c>
      <c r="D1802" s="67"/>
      <c r="E1802" s="67"/>
      <c r="F1802" s="142"/>
      <c r="G1802" s="153"/>
      <c r="H1802" s="63">
        <f>SUM(H1799:H1801)</f>
        <v>61125</v>
      </c>
      <c r="I1802" s="154"/>
    </row>
    <row r="1803" spans="3:13" s="59" customFormat="1" ht="22.2" customHeight="1">
      <c r="C1803" s="61" t="s">
        <v>1209</v>
      </c>
      <c r="D1803" s="56" t="s">
        <v>1210</v>
      </c>
      <c r="E1803" s="57"/>
      <c r="F1803" s="57"/>
      <c r="G1803" s="57"/>
      <c r="H1803" s="57"/>
      <c r="I1803" s="44"/>
    </row>
    <row r="1804" spans="3:13" s="59" customFormat="1" ht="22.2" customHeight="1">
      <c r="C1804" s="450" t="s">
        <v>1214</v>
      </c>
      <c r="D1804" s="67"/>
      <c r="E1804" s="67"/>
      <c r="F1804" s="67"/>
      <c r="G1804" s="69"/>
      <c r="H1804" s="63">
        <f>SUM(H1803:H1803)</f>
        <v>0</v>
      </c>
      <c r="I1804" s="44"/>
    </row>
    <row r="1805" spans="3:13" s="59" customFormat="1" ht="22.2" customHeight="1">
      <c r="C1805" s="61" t="s">
        <v>1215</v>
      </c>
      <c r="D1805" s="56" t="s">
        <v>1216</v>
      </c>
      <c r="E1805" s="93"/>
      <c r="F1805" s="57"/>
      <c r="G1805" s="57"/>
      <c r="H1805" s="57"/>
      <c r="I1805" s="44"/>
    </row>
    <row r="1806" spans="3:13" s="59" customFormat="1" ht="22.2" customHeight="1">
      <c r="C1806" s="800"/>
      <c r="D1806" s="584" t="s">
        <v>8463</v>
      </c>
      <c r="E1806" s="883" t="s">
        <v>1974</v>
      </c>
      <c r="F1806" s="884">
        <v>0.10100000000000001</v>
      </c>
      <c r="G1806" s="63">
        <f>VLOOKUP(D1806,upahbahan,3,FALSE)</f>
        <v>75000</v>
      </c>
      <c r="H1806" s="63">
        <f t="shared" ref="H1806" si="226">F1806*G1806</f>
        <v>7575.0000000000009</v>
      </c>
      <c r="I1806" s="44"/>
    </row>
    <row r="1807" spans="3:13" s="59" customFormat="1" ht="22.2" customHeight="1">
      <c r="C1807" s="450" t="s">
        <v>1217</v>
      </c>
      <c r="D1807" s="67"/>
      <c r="E1807" s="67"/>
      <c r="F1807" s="67"/>
      <c r="G1807" s="69"/>
      <c r="H1807" s="882">
        <f>SUM(H1806)</f>
        <v>7575.0000000000009</v>
      </c>
      <c r="I1807" s="44"/>
    </row>
    <row r="1808" spans="3:13" s="59" customFormat="1" ht="22.2" customHeight="1">
      <c r="C1808" s="288" t="s">
        <v>1218</v>
      </c>
      <c r="D1808" s="76" t="s">
        <v>1219</v>
      </c>
      <c r="E1808" s="77"/>
      <c r="F1808" s="77"/>
      <c r="G1808" s="78"/>
      <c r="H1808" s="585">
        <f>H1807+H1804+H1802</f>
        <v>68700</v>
      </c>
      <c r="I1808" s="369"/>
    </row>
    <row r="1809" spans="3:13" s="59" customFormat="1" ht="22.2" customHeight="1">
      <c r="C1809" s="288" t="s">
        <v>1220</v>
      </c>
      <c r="D1809" s="76" t="s">
        <v>1321</v>
      </c>
      <c r="E1809" s="77"/>
      <c r="F1809" s="78"/>
      <c r="G1809" s="80">
        <v>0.1</v>
      </c>
      <c r="H1809" s="63">
        <f>H1808*G1809</f>
        <v>6870</v>
      </c>
      <c r="I1809" s="369"/>
    </row>
    <row r="1810" spans="3:13" s="59" customFormat="1" ht="22.2" customHeight="1">
      <c r="C1810" s="288" t="s">
        <v>1221</v>
      </c>
      <c r="D1810" s="76" t="s">
        <v>1222</v>
      </c>
      <c r="E1810" s="77"/>
      <c r="F1810" s="77"/>
      <c r="G1810" s="78"/>
      <c r="H1810" s="799">
        <f>SUM(H1808:H1809)</f>
        <v>75570</v>
      </c>
      <c r="I1810" s="369"/>
    </row>
    <row r="1811" spans="3:13" ht="22.2" customHeight="1"/>
    <row r="1812" spans="3:13" ht="22.2" customHeight="1">
      <c r="C1812" s="43" t="s">
        <v>4948</v>
      </c>
      <c r="D1812" s="128" t="s">
        <v>8534</v>
      </c>
      <c r="I1812" s="50">
        <f>ROUNDDOWN(H1826,-2)</f>
        <v>136100</v>
      </c>
      <c r="J1812" s="59" t="s">
        <v>6451</v>
      </c>
      <c r="K1812" s="59" t="s">
        <v>8371</v>
      </c>
    </row>
    <row r="1813" spans="3:13" s="59" customFormat="1" ht="22.2" customHeight="1">
      <c r="C1813" s="591" t="s">
        <v>1195</v>
      </c>
      <c r="D1813" s="591" t="s">
        <v>1196</v>
      </c>
      <c r="E1813" s="591" t="s">
        <v>1197</v>
      </c>
      <c r="F1813" s="591" t="s">
        <v>1198</v>
      </c>
      <c r="G1813" s="591" t="s">
        <v>1199</v>
      </c>
      <c r="H1813" s="591" t="s">
        <v>1200</v>
      </c>
      <c r="I1813" s="44"/>
    </row>
    <row r="1814" spans="3:13" s="59" customFormat="1" ht="22.2" customHeight="1">
      <c r="C1814" s="61" t="s">
        <v>1201</v>
      </c>
      <c r="D1814" s="56" t="s">
        <v>1202</v>
      </c>
      <c r="E1814" s="57"/>
      <c r="F1814" s="57"/>
      <c r="G1814" s="57"/>
      <c r="H1814" s="57"/>
      <c r="I1814" s="44"/>
      <c r="J1814" s="152" t="s">
        <v>1247</v>
      </c>
    </row>
    <row r="1815" spans="3:13" s="59" customFormat="1" ht="22.2" customHeight="1">
      <c r="C1815" s="588">
        <v>1</v>
      </c>
      <c r="D1815" s="56" t="s">
        <v>5</v>
      </c>
      <c r="E1815" s="577" t="s">
        <v>6</v>
      </c>
      <c r="F1815" s="101">
        <v>0.60099999999999998</v>
      </c>
      <c r="G1815" s="63">
        <f>VLOOKUP(D1815,upahbahan,3,FALSE)</f>
        <v>100000</v>
      </c>
      <c r="H1815" s="63">
        <f>F1815*G1815</f>
        <v>60100</v>
      </c>
      <c r="I1815" s="44"/>
      <c r="J1815" s="152" t="s">
        <v>1248</v>
      </c>
      <c r="M1815" s="65">
        <v>0.1</v>
      </c>
    </row>
    <row r="1816" spans="3:13" s="59" customFormat="1" ht="22.2" customHeight="1">
      <c r="C1816" s="588">
        <v>2</v>
      </c>
      <c r="D1816" s="56" t="s">
        <v>10</v>
      </c>
      <c r="E1816" s="577" t="s">
        <v>6</v>
      </c>
      <c r="F1816" s="101">
        <v>0.30099999999999999</v>
      </c>
      <c r="G1816" s="63">
        <f>VLOOKUP(D1816,upahbahan,3,FALSE)</f>
        <v>135000</v>
      </c>
      <c r="H1816" s="63">
        <f t="shared" ref="H1816:H1817" si="227">F1816*G1816</f>
        <v>40635</v>
      </c>
      <c r="I1816" s="44"/>
      <c r="J1816" s="152"/>
      <c r="M1816" s="65"/>
    </row>
    <row r="1817" spans="3:13" s="59" customFormat="1" ht="22.2" customHeight="1">
      <c r="C1817" s="588">
        <v>3</v>
      </c>
      <c r="D1817" s="56" t="s">
        <v>19</v>
      </c>
      <c r="E1817" s="577" t="s">
        <v>6</v>
      </c>
      <c r="F1817" s="101">
        <v>0.06</v>
      </c>
      <c r="G1817" s="63">
        <f>VLOOKUP(D1817,upahbahan,3,FALSE)</f>
        <v>160000</v>
      </c>
      <c r="H1817" s="63">
        <f t="shared" si="227"/>
        <v>9600</v>
      </c>
      <c r="I1817" s="44"/>
    </row>
    <row r="1818" spans="3:13" s="59" customFormat="1" ht="22.2" customHeight="1">
      <c r="C1818" s="450" t="s">
        <v>1208</v>
      </c>
      <c r="D1818" s="67"/>
      <c r="E1818" s="67"/>
      <c r="F1818" s="142"/>
      <c r="G1818" s="153"/>
      <c r="H1818" s="63">
        <f>SUM(H1815:H1817)</f>
        <v>110335</v>
      </c>
      <c r="I1818" s="154"/>
    </row>
    <row r="1819" spans="3:13" s="59" customFormat="1" ht="22.2" customHeight="1">
      <c r="C1819" s="61" t="s">
        <v>1209</v>
      </c>
      <c r="D1819" s="56" t="s">
        <v>1210</v>
      </c>
      <c r="E1819" s="57"/>
      <c r="F1819" s="57"/>
      <c r="G1819" s="57"/>
      <c r="H1819" s="57"/>
      <c r="I1819" s="44"/>
    </row>
    <row r="1820" spans="3:13" s="59" customFormat="1" ht="22.2" customHeight="1">
      <c r="C1820" s="450" t="s">
        <v>1214</v>
      </c>
      <c r="D1820" s="67"/>
      <c r="E1820" s="67"/>
      <c r="F1820" s="67"/>
      <c r="G1820" s="69"/>
      <c r="H1820" s="63">
        <f>SUM(H1819:H1819)</f>
        <v>0</v>
      </c>
      <c r="I1820" s="44"/>
    </row>
    <row r="1821" spans="3:13" s="59" customFormat="1" ht="22.2" customHeight="1">
      <c r="C1821" s="61" t="s">
        <v>1215</v>
      </c>
      <c r="D1821" s="56" t="s">
        <v>1216</v>
      </c>
      <c r="E1821" s="93"/>
      <c r="F1821" s="57"/>
      <c r="G1821" s="57"/>
      <c r="H1821" s="57"/>
      <c r="I1821" s="44"/>
    </row>
    <row r="1822" spans="3:13" s="59" customFormat="1" ht="22.2" customHeight="1">
      <c r="C1822" s="800"/>
      <c r="D1822" s="583" t="s">
        <v>8463</v>
      </c>
      <c r="E1822" s="883" t="s">
        <v>1974</v>
      </c>
      <c r="F1822" s="884">
        <v>0.17899999999999999</v>
      </c>
      <c r="G1822" s="63">
        <f>VLOOKUP(D1822,upahbahan,3,FALSE)</f>
        <v>75000</v>
      </c>
      <c r="H1822" s="63">
        <f t="shared" ref="H1822" si="228">F1822*G1822</f>
        <v>13425</v>
      </c>
      <c r="I1822" s="44"/>
    </row>
    <row r="1823" spans="3:13" s="59" customFormat="1" ht="22.2" customHeight="1">
      <c r="C1823" s="450" t="s">
        <v>1217</v>
      </c>
      <c r="D1823" s="67"/>
      <c r="E1823" s="67"/>
      <c r="F1823" s="67"/>
      <c r="G1823" s="69"/>
      <c r="H1823" s="882">
        <f>SUM(H1822)</f>
        <v>13425</v>
      </c>
      <c r="I1823" s="44"/>
    </row>
    <row r="1824" spans="3:13" s="59" customFormat="1" ht="22.2" customHeight="1">
      <c r="C1824" s="288" t="s">
        <v>1218</v>
      </c>
      <c r="D1824" s="76" t="s">
        <v>1219</v>
      </c>
      <c r="E1824" s="77"/>
      <c r="F1824" s="77"/>
      <c r="G1824" s="78"/>
      <c r="H1824" s="585">
        <f>H1823+H1820+H1818</f>
        <v>123760</v>
      </c>
      <c r="I1824" s="369"/>
    </row>
    <row r="1825" spans="3:13" s="59" customFormat="1" ht="22.2" customHeight="1">
      <c r="C1825" s="288" t="s">
        <v>1220</v>
      </c>
      <c r="D1825" s="76" t="s">
        <v>1321</v>
      </c>
      <c r="E1825" s="77"/>
      <c r="F1825" s="78"/>
      <c r="G1825" s="80">
        <v>0.1</v>
      </c>
      <c r="H1825" s="63">
        <f>H1824*G1825</f>
        <v>12376</v>
      </c>
      <c r="I1825" s="369"/>
    </row>
    <row r="1826" spans="3:13" s="59" customFormat="1" ht="22.2" customHeight="1">
      <c r="C1826" s="288" t="s">
        <v>1221</v>
      </c>
      <c r="D1826" s="76" t="s">
        <v>1222</v>
      </c>
      <c r="E1826" s="77"/>
      <c r="F1826" s="77"/>
      <c r="G1826" s="78"/>
      <c r="H1826" s="799">
        <f>SUM(H1824:H1825)</f>
        <v>136136</v>
      </c>
      <c r="I1826" s="369"/>
    </row>
    <row r="1827" spans="3:13" ht="22.2" customHeight="1"/>
    <row r="1828" spans="3:13" ht="22.2" customHeight="1">
      <c r="C1828" s="43" t="s">
        <v>4949</v>
      </c>
      <c r="D1828" s="128" t="s">
        <v>8535</v>
      </c>
      <c r="I1828" s="50">
        <f>ROUNDDOWN(H1842,-2)</f>
        <v>208400</v>
      </c>
      <c r="J1828" s="59" t="s">
        <v>6451</v>
      </c>
      <c r="K1828" s="59" t="s">
        <v>8371</v>
      </c>
    </row>
    <row r="1829" spans="3:13" s="59" customFormat="1" ht="22.2" customHeight="1">
      <c r="C1829" s="591" t="s">
        <v>1195</v>
      </c>
      <c r="D1829" s="591" t="s">
        <v>1196</v>
      </c>
      <c r="E1829" s="591" t="s">
        <v>1197</v>
      </c>
      <c r="F1829" s="591" t="s">
        <v>1198</v>
      </c>
      <c r="G1829" s="591" t="s">
        <v>1199</v>
      </c>
      <c r="H1829" s="591" t="s">
        <v>1200</v>
      </c>
      <c r="I1829" s="44"/>
    </row>
    <row r="1830" spans="3:13" s="59" customFormat="1" ht="22.2" customHeight="1">
      <c r="C1830" s="61" t="s">
        <v>1201</v>
      </c>
      <c r="D1830" s="56" t="s">
        <v>1202</v>
      </c>
      <c r="E1830" s="57"/>
      <c r="F1830" s="57"/>
      <c r="G1830" s="57"/>
      <c r="H1830" s="57"/>
      <c r="I1830" s="44"/>
      <c r="J1830" s="152" t="s">
        <v>1247</v>
      </c>
    </row>
    <row r="1831" spans="3:13" s="59" customFormat="1" ht="22.2" customHeight="1">
      <c r="C1831" s="588">
        <v>1</v>
      </c>
      <c r="D1831" s="56" t="s">
        <v>5</v>
      </c>
      <c r="E1831" s="577" t="s">
        <v>6</v>
      </c>
      <c r="F1831" s="101">
        <v>0.93100000000000005</v>
      </c>
      <c r="G1831" s="63">
        <f>VLOOKUP(D1831,upahbahan,3,FALSE)</f>
        <v>100000</v>
      </c>
      <c r="H1831" s="63">
        <f>F1831*G1831</f>
        <v>93100</v>
      </c>
      <c r="I1831" s="44"/>
      <c r="J1831" s="152" t="s">
        <v>1248</v>
      </c>
      <c r="M1831" s="65">
        <v>0.1</v>
      </c>
    </row>
    <row r="1832" spans="3:13" s="59" customFormat="1" ht="22.2" customHeight="1">
      <c r="C1832" s="588">
        <v>2</v>
      </c>
      <c r="D1832" s="56" t="s">
        <v>10</v>
      </c>
      <c r="E1832" s="577" t="s">
        <v>6</v>
      </c>
      <c r="F1832" s="101">
        <v>0.45600000000000002</v>
      </c>
      <c r="G1832" s="63">
        <f>VLOOKUP(D1832,upahbahan,3,FALSE)</f>
        <v>135000</v>
      </c>
      <c r="H1832" s="63">
        <f t="shared" ref="H1832:H1833" si="229">F1832*G1832</f>
        <v>61560</v>
      </c>
      <c r="I1832" s="44"/>
      <c r="J1832" s="152"/>
      <c r="M1832" s="65"/>
    </row>
    <row r="1833" spans="3:13" s="59" customFormat="1" ht="22.2" customHeight="1">
      <c r="C1833" s="588">
        <v>3</v>
      </c>
      <c r="D1833" s="56" t="s">
        <v>19</v>
      </c>
      <c r="E1833" s="577" t="s">
        <v>6</v>
      </c>
      <c r="F1833" s="101">
        <v>9.0999999999999998E-2</v>
      </c>
      <c r="G1833" s="63">
        <f>VLOOKUP(D1833,upahbahan,3,FALSE)</f>
        <v>160000</v>
      </c>
      <c r="H1833" s="63">
        <f t="shared" si="229"/>
        <v>14560</v>
      </c>
      <c r="I1833" s="44"/>
    </row>
    <row r="1834" spans="3:13" s="59" customFormat="1" ht="22.2" customHeight="1">
      <c r="C1834" s="450" t="s">
        <v>1208</v>
      </c>
      <c r="D1834" s="67"/>
      <c r="E1834" s="67"/>
      <c r="F1834" s="142"/>
      <c r="G1834" s="153"/>
      <c r="H1834" s="63">
        <f>SUM(H1831:H1833)</f>
        <v>169220</v>
      </c>
      <c r="I1834" s="154"/>
    </row>
    <row r="1835" spans="3:13" s="59" customFormat="1" ht="22.2" customHeight="1">
      <c r="C1835" s="61" t="s">
        <v>1209</v>
      </c>
      <c r="D1835" s="56" t="s">
        <v>1210</v>
      </c>
      <c r="E1835" s="57"/>
      <c r="F1835" s="57"/>
      <c r="G1835" s="57"/>
      <c r="H1835" s="57"/>
      <c r="I1835" s="44"/>
    </row>
    <row r="1836" spans="3:13" s="59" customFormat="1" ht="22.2" customHeight="1">
      <c r="C1836" s="450" t="s">
        <v>1214</v>
      </c>
      <c r="D1836" s="67"/>
      <c r="E1836" s="67"/>
      <c r="F1836" s="67"/>
      <c r="G1836" s="69"/>
      <c r="H1836" s="63">
        <f>SUM(H1835:H1835)</f>
        <v>0</v>
      </c>
      <c r="I1836" s="44"/>
    </row>
    <row r="1837" spans="3:13" s="59" customFormat="1" ht="22.2" customHeight="1">
      <c r="C1837" s="61" t="s">
        <v>1215</v>
      </c>
      <c r="D1837" s="56" t="s">
        <v>1216</v>
      </c>
      <c r="E1837" s="93"/>
      <c r="F1837" s="57"/>
      <c r="G1837" s="57"/>
      <c r="H1837" s="57"/>
      <c r="I1837" s="44"/>
    </row>
    <row r="1838" spans="3:13" s="59" customFormat="1" ht="22.2" customHeight="1">
      <c r="C1838" s="800"/>
      <c r="D1838" s="584" t="s">
        <v>8463</v>
      </c>
      <c r="E1838" s="883" t="s">
        <v>1974</v>
      </c>
      <c r="F1838" s="884">
        <v>0.27</v>
      </c>
      <c r="G1838" s="63">
        <f>VLOOKUP(D1838,upahbahan,3,FALSE)</f>
        <v>75000</v>
      </c>
      <c r="H1838" s="63">
        <f t="shared" ref="H1838" si="230">F1838*G1838</f>
        <v>20250</v>
      </c>
      <c r="I1838" s="44"/>
    </row>
    <row r="1839" spans="3:13" s="59" customFormat="1" ht="22.2" customHeight="1">
      <c r="C1839" s="450" t="s">
        <v>1217</v>
      </c>
      <c r="D1839" s="67"/>
      <c r="E1839" s="67"/>
      <c r="F1839" s="67"/>
      <c r="G1839" s="69"/>
      <c r="H1839" s="882">
        <f>SUM(H1838)</f>
        <v>20250</v>
      </c>
      <c r="I1839" s="44"/>
    </row>
    <row r="1840" spans="3:13" s="59" customFormat="1" ht="22.2" customHeight="1">
      <c r="C1840" s="288" t="s">
        <v>1218</v>
      </c>
      <c r="D1840" s="76" t="s">
        <v>1219</v>
      </c>
      <c r="E1840" s="77"/>
      <c r="F1840" s="77"/>
      <c r="G1840" s="78"/>
      <c r="H1840" s="585">
        <f>H1839+H1836+H1834</f>
        <v>189470</v>
      </c>
      <c r="I1840" s="369"/>
    </row>
    <row r="1841" spans="3:13" s="59" customFormat="1" ht="22.2" customHeight="1">
      <c r="C1841" s="288" t="s">
        <v>1220</v>
      </c>
      <c r="D1841" s="76" t="s">
        <v>1321</v>
      </c>
      <c r="E1841" s="77"/>
      <c r="F1841" s="78"/>
      <c r="G1841" s="80">
        <v>0.1</v>
      </c>
      <c r="H1841" s="63">
        <f>H1840*G1841</f>
        <v>18947</v>
      </c>
      <c r="I1841" s="369"/>
    </row>
    <row r="1842" spans="3:13" s="59" customFormat="1" ht="22.2" customHeight="1">
      <c r="C1842" s="288" t="s">
        <v>1221</v>
      </c>
      <c r="D1842" s="76" t="s">
        <v>1222</v>
      </c>
      <c r="E1842" s="77"/>
      <c r="F1842" s="77"/>
      <c r="G1842" s="78"/>
      <c r="H1842" s="799">
        <f>SUM(H1840:H1841)</f>
        <v>208417</v>
      </c>
      <c r="I1842" s="369"/>
    </row>
    <row r="1843" spans="3:13" ht="22.2" customHeight="1"/>
    <row r="1844" spans="3:13" ht="22.2" customHeight="1"/>
    <row r="1845" spans="3:13" ht="22.2" customHeight="1">
      <c r="C1845" s="43" t="s">
        <v>4950</v>
      </c>
      <c r="D1845" s="128" t="s">
        <v>8536</v>
      </c>
      <c r="I1845" s="50">
        <f>ROUNDDOWN(H1859,-2)</f>
        <v>256000</v>
      </c>
      <c r="J1845" s="59" t="s">
        <v>6451</v>
      </c>
      <c r="K1845" s="59" t="s">
        <v>8371</v>
      </c>
    </row>
    <row r="1846" spans="3:13" s="59" customFormat="1" ht="22.2" customHeight="1">
      <c r="C1846" s="591" t="s">
        <v>1195</v>
      </c>
      <c r="D1846" s="591" t="s">
        <v>1196</v>
      </c>
      <c r="E1846" s="591" t="s">
        <v>1197</v>
      </c>
      <c r="F1846" s="591" t="s">
        <v>1198</v>
      </c>
      <c r="G1846" s="591" t="s">
        <v>1199</v>
      </c>
      <c r="H1846" s="591" t="s">
        <v>1200</v>
      </c>
      <c r="I1846" s="44"/>
    </row>
    <row r="1847" spans="3:13" s="59" customFormat="1" ht="22.2" customHeight="1">
      <c r="C1847" s="61" t="s">
        <v>1201</v>
      </c>
      <c r="D1847" s="56" t="s">
        <v>1202</v>
      </c>
      <c r="E1847" s="57"/>
      <c r="F1847" s="57"/>
      <c r="G1847" s="57"/>
      <c r="H1847" s="57"/>
      <c r="I1847" s="44"/>
      <c r="J1847" s="152" t="s">
        <v>1247</v>
      </c>
    </row>
    <row r="1848" spans="3:13" s="59" customFormat="1" ht="22.2" customHeight="1">
      <c r="C1848" s="588">
        <v>1</v>
      </c>
      <c r="D1848" s="56" t="s">
        <v>5</v>
      </c>
      <c r="E1848" s="577" t="s">
        <v>6</v>
      </c>
      <c r="F1848" s="101">
        <v>1.125</v>
      </c>
      <c r="G1848" s="63">
        <f>VLOOKUP(D1848,upahbahan,3,FALSE)</f>
        <v>100000</v>
      </c>
      <c r="H1848" s="63">
        <f>F1848*G1848</f>
        <v>112500</v>
      </c>
      <c r="I1848" s="44"/>
      <c r="J1848" s="152" t="s">
        <v>1248</v>
      </c>
      <c r="M1848" s="65">
        <v>0.1</v>
      </c>
    </row>
    <row r="1849" spans="3:13" s="59" customFormat="1" ht="22.2" customHeight="1">
      <c r="C1849" s="588">
        <v>2</v>
      </c>
      <c r="D1849" s="56" t="s">
        <v>10</v>
      </c>
      <c r="E1849" s="577" t="s">
        <v>6</v>
      </c>
      <c r="F1849" s="101">
        <v>0.56200000000000006</v>
      </c>
      <c r="G1849" s="63">
        <f>VLOOKUP(D1849,upahbahan,3,FALSE)</f>
        <v>135000</v>
      </c>
      <c r="H1849" s="63">
        <f t="shared" ref="H1849:H1850" si="231">F1849*G1849</f>
        <v>75870.000000000015</v>
      </c>
      <c r="I1849" s="44"/>
      <c r="J1849" s="152"/>
      <c r="M1849" s="65"/>
    </row>
    <row r="1850" spans="3:13" s="59" customFormat="1" ht="22.2" customHeight="1">
      <c r="C1850" s="588">
        <v>3</v>
      </c>
      <c r="D1850" s="56" t="s">
        <v>19</v>
      </c>
      <c r="E1850" s="577" t="s">
        <v>6</v>
      </c>
      <c r="F1850" s="101">
        <v>0.122</v>
      </c>
      <c r="G1850" s="63">
        <f>VLOOKUP(D1850,upahbahan,3,FALSE)</f>
        <v>160000</v>
      </c>
      <c r="H1850" s="63">
        <f t="shared" si="231"/>
        <v>19520</v>
      </c>
      <c r="I1850" s="44"/>
    </row>
    <row r="1851" spans="3:13" s="59" customFormat="1" ht="22.2" customHeight="1">
      <c r="C1851" s="450" t="s">
        <v>1208</v>
      </c>
      <c r="D1851" s="67"/>
      <c r="E1851" s="67"/>
      <c r="F1851" s="142"/>
      <c r="G1851" s="153"/>
      <c r="H1851" s="63">
        <f>SUM(H1848:H1850)</f>
        <v>207890</v>
      </c>
      <c r="I1851" s="154"/>
    </row>
    <row r="1852" spans="3:13" s="59" customFormat="1" ht="22.2" customHeight="1">
      <c r="C1852" s="61" t="s">
        <v>1209</v>
      </c>
      <c r="D1852" s="56" t="s">
        <v>1210</v>
      </c>
      <c r="E1852" s="57"/>
      <c r="F1852" s="57"/>
      <c r="G1852" s="57"/>
      <c r="H1852" s="57"/>
      <c r="I1852" s="44"/>
    </row>
    <row r="1853" spans="3:13" s="59" customFormat="1" ht="22.2" customHeight="1">
      <c r="C1853" s="450" t="s">
        <v>1214</v>
      </c>
      <c r="D1853" s="67"/>
      <c r="E1853" s="67"/>
      <c r="F1853" s="67"/>
      <c r="G1853" s="69"/>
      <c r="H1853" s="63">
        <f>SUM(H1852:H1852)</f>
        <v>0</v>
      </c>
      <c r="I1853" s="44"/>
    </row>
    <row r="1854" spans="3:13" s="59" customFormat="1" ht="22.2" customHeight="1">
      <c r="C1854" s="61" t="s">
        <v>1215</v>
      </c>
      <c r="D1854" s="56" t="s">
        <v>1216</v>
      </c>
      <c r="E1854" s="93"/>
      <c r="F1854" s="57"/>
      <c r="G1854" s="57"/>
      <c r="H1854" s="57"/>
      <c r="I1854" s="44"/>
    </row>
    <row r="1855" spans="3:13" s="59" customFormat="1" ht="22.2" customHeight="1">
      <c r="C1855" s="800"/>
      <c r="D1855" s="584" t="s">
        <v>8463</v>
      </c>
      <c r="E1855" s="883" t="s">
        <v>1974</v>
      </c>
      <c r="F1855" s="884">
        <v>0.33200000000000002</v>
      </c>
      <c r="G1855" s="63">
        <f>VLOOKUP(D1855,upahbahan,3,FALSE)</f>
        <v>75000</v>
      </c>
      <c r="H1855" s="63">
        <f t="shared" ref="H1855" si="232">F1855*G1855</f>
        <v>24900</v>
      </c>
      <c r="I1855" s="44"/>
    </row>
    <row r="1856" spans="3:13" s="59" customFormat="1" ht="22.2" customHeight="1">
      <c r="C1856" s="450" t="s">
        <v>1217</v>
      </c>
      <c r="D1856" s="67"/>
      <c r="E1856" s="67"/>
      <c r="F1856" s="67"/>
      <c r="G1856" s="69"/>
      <c r="H1856" s="882">
        <f>SUM(H1855)</f>
        <v>24900</v>
      </c>
      <c r="I1856" s="44"/>
    </row>
    <row r="1857" spans="3:13" s="59" customFormat="1" ht="22.2" customHeight="1">
      <c r="C1857" s="288" t="s">
        <v>1218</v>
      </c>
      <c r="D1857" s="76" t="s">
        <v>1219</v>
      </c>
      <c r="E1857" s="77"/>
      <c r="F1857" s="77"/>
      <c r="G1857" s="78"/>
      <c r="H1857" s="585">
        <f>H1856+H1853+H1851</f>
        <v>232790</v>
      </c>
      <c r="I1857" s="369"/>
    </row>
    <row r="1858" spans="3:13" s="59" customFormat="1" ht="22.2" customHeight="1">
      <c r="C1858" s="288" t="s">
        <v>1220</v>
      </c>
      <c r="D1858" s="76" t="s">
        <v>1321</v>
      </c>
      <c r="E1858" s="77"/>
      <c r="F1858" s="78"/>
      <c r="G1858" s="80">
        <v>0.1</v>
      </c>
      <c r="H1858" s="63">
        <f>H1857*G1858</f>
        <v>23279</v>
      </c>
      <c r="I1858" s="369"/>
    </row>
    <row r="1859" spans="3:13" s="59" customFormat="1" ht="22.2" customHeight="1">
      <c r="C1859" s="288" t="s">
        <v>1221</v>
      </c>
      <c r="D1859" s="76" t="s">
        <v>1222</v>
      </c>
      <c r="E1859" s="77"/>
      <c r="F1859" s="77"/>
      <c r="G1859" s="78"/>
      <c r="H1859" s="799">
        <f>SUM(H1857:H1858)</f>
        <v>256069</v>
      </c>
      <c r="I1859" s="369"/>
    </row>
    <row r="1860" spans="3:13" ht="22.2" customHeight="1"/>
    <row r="1861" spans="3:13" ht="22.2" customHeight="1">
      <c r="C1861" s="43" t="s">
        <v>4951</v>
      </c>
      <c r="D1861" s="128" t="s">
        <v>8537</v>
      </c>
      <c r="I1861" s="50">
        <f>ROUNDDOWN(H1875,-2)</f>
        <v>280000</v>
      </c>
      <c r="J1861" s="59" t="s">
        <v>6451</v>
      </c>
      <c r="K1861" s="59" t="s">
        <v>8371</v>
      </c>
    </row>
    <row r="1862" spans="3:13" s="59" customFormat="1" ht="22.2" customHeight="1">
      <c r="C1862" s="591" t="s">
        <v>1195</v>
      </c>
      <c r="D1862" s="591" t="s">
        <v>1196</v>
      </c>
      <c r="E1862" s="591" t="s">
        <v>1197</v>
      </c>
      <c r="F1862" s="591" t="s">
        <v>1198</v>
      </c>
      <c r="G1862" s="591" t="s">
        <v>1199</v>
      </c>
      <c r="H1862" s="591" t="s">
        <v>1200</v>
      </c>
      <c r="I1862" s="44"/>
    </row>
    <row r="1863" spans="3:13" s="59" customFormat="1" ht="22.2" customHeight="1">
      <c r="C1863" s="61" t="s">
        <v>1201</v>
      </c>
      <c r="D1863" s="56" t="s">
        <v>1202</v>
      </c>
      <c r="E1863" s="57"/>
      <c r="F1863" s="57"/>
      <c r="G1863" s="57"/>
      <c r="H1863" s="57"/>
      <c r="I1863" s="44"/>
      <c r="J1863" s="152" t="s">
        <v>1247</v>
      </c>
    </row>
    <row r="1864" spans="3:13" s="59" customFormat="1" ht="22.2" customHeight="1">
      <c r="C1864" s="588">
        <v>1</v>
      </c>
      <c r="D1864" s="56" t="s">
        <v>5</v>
      </c>
      <c r="E1864" s="577" t="s">
        <v>6</v>
      </c>
      <c r="F1864" s="101">
        <v>1.238</v>
      </c>
      <c r="G1864" s="63">
        <f>VLOOKUP(D1864,upahbahan,3,FALSE)</f>
        <v>100000</v>
      </c>
      <c r="H1864" s="63">
        <f>F1864*G1864</f>
        <v>123800</v>
      </c>
      <c r="I1864" s="44"/>
      <c r="J1864" s="152" t="s">
        <v>1248</v>
      </c>
      <c r="M1864" s="65">
        <v>0.1</v>
      </c>
    </row>
    <row r="1865" spans="3:13" s="59" customFormat="1" ht="22.2" customHeight="1">
      <c r="C1865" s="588">
        <v>2</v>
      </c>
      <c r="D1865" s="56" t="s">
        <v>10</v>
      </c>
      <c r="E1865" s="577" t="s">
        <v>6</v>
      </c>
      <c r="F1865" s="101">
        <v>0.61899999999999999</v>
      </c>
      <c r="G1865" s="63">
        <f>VLOOKUP(D1865,upahbahan,3,FALSE)</f>
        <v>135000</v>
      </c>
      <c r="H1865" s="63">
        <f t="shared" ref="H1865:H1866" si="233">F1865*G1865</f>
        <v>83565</v>
      </c>
      <c r="I1865" s="44"/>
      <c r="J1865" s="152"/>
      <c r="M1865" s="65"/>
    </row>
    <row r="1866" spans="3:13" s="59" customFormat="1" ht="22.2" customHeight="1">
      <c r="C1866" s="588">
        <v>3</v>
      </c>
      <c r="D1866" s="56" t="s">
        <v>19</v>
      </c>
      <c r="E1866" s="577" t="s">
        <v>6</v>
      </c>
      <c r="F1866" s="101">
        <v>0.124</v>
      </c>
      <c r="G1866" s="63">
        <f>VLOOKUP(D1866,upahbahan,3,FALSE)</f>
        <v>160000</v>
      </c>
      <c r="H1866" s="63">
        <f t="shared" si="233"/>
        <v>19840</v>
      </c>
      <c r="I1866" s="44"/>
    </row>
    <row r="1867" spans="3:13" s="59" customFormat="1" ht="22.2" customHeight="1">
      <c r="C1867" s="450" t="s">
        <v>1208</v>
      </c>
      <c r="D1867" s="67"/>
      <c r="E1867" s="67"/>
      <c r="F1867" s="142"/>
      <c r="G1867" s="153"/>
      <c r="H1867" s="63">
        <f>SUM(H1864:H1866)</f>
        <v>227205</v>
      </c>
      <c r="I1867" s="154"/>
    </row>
    <row r="1868" spans="3:13" s="59" customFormat="1" ht="22.2" customHeight="1">
      <c r="C1868" s="61" t="s">
        <v>1209</v>
      </c>
      <c r="D1868" s="56" t="s">
        <v>1210</v>
      </c>
      <c r="E1868" s="57"/>
      <c r="F1868" s="57"/>
      <c r="G1868" s="57"/>
      <c r="H1868" s="57"/>
      <c r="I1868" s="44"/>
    </row>
    <row r="1869" spans="3:13" s="59" customFormat="1" ht="22.2" customHeight="1">
      <c r="C1869" s="450" t="s">
        <v>1214</v>
      </c>
      <c r="D1869" s="67"/>
      <c r="E1869" s="67"/>
      <c r="F1869" s="67"/>
      <c r="G1869" s="69"/>
      <c r="H1869" s="63">
        <f>SUM(H1868:H1868)</f>
        <v>0</v>
      </c>
      <c r="I1869" s="44"/>
    </row>
    <row r="1870" spans="3:13" s="59" customFormat="1" ht="22.2" customHeight="1">
      <c r="C1870" s="61" t="s">
        <v>1215</v>
      </c>
      <c r="D1870" s="56" t="s">
        <v>1216</v>
      </c>
      <c r="E1870" s="93"/>
      <c r="F1870" s="57"/>
      <c r="G1870" s="57"/>
      <c r="H1870" s="57"/>
      <c r="I1870" s="44"/>
    </row>
    <row r="1871" spans="3:13" s="59" customFormat="1" ht="22.2" customHeight="1">
      <c r="C1871" s="800"/>
      <c r="D1871" s="584" t="s">
        <v>8463</v>
      </c>
      <c r="E1871" s="883" t="s">
        <v>1974</v>
      </c>
      <c r="F1871" s="884">
        <v>0.36499999999999999</v>
      </c>
      <c r="G1871" s="63">
        <f>VLOOKUP(D1871,upahbahan,3,FALSE)</f>
        <v>75000</v>
      </c>
      <c r="H1871" s="63">
        <f t="shared" ref="H1871" si="234">F1871*G1871</f>
        <v>27375</v>
      </c>
      <c r="I1871" s="44"/>
    </row>
    <row r="1872" spans="3:13" s="59" customFormat="1" ht="22.2" customHeight="1">
      <c r="C1872" s="450" t="s">
        <v>1217</v>
      </c>
      <c r="D1872" s="67"/>
      <c r="E1872" s="67"/>
      <c r="F1872" s="67"/>
      <c r="G1872" s="69"/>
      <c r="H1872" s="882">
        <f>SUM(H1871)</f>
        <v>27375</v>
      </c>
      <c r="I1872" s="44"/>
    </row>
    <row r="1873" spans="3:13" s="59" customFormat="1" ht="22.2" customHeight="1">
      <c r="C1873" s="288" t="s">
        <v>1218</v>
      </c>
      <c r="D1873" s="76" t="s">
        <v>1219</v>
      </c>
      <c r="E1873" s="77"/>
      <c r="F1873" s="77"/>
      <c r="G1873" s="78"/>
      <c r="H1873" s="585">
        <f>H1872+H1869+H1867</f>
        <v>254580</v>
      </c>
      <c r="I1873" s="369"/>
    </row>
    <row r="1874" spans="3:13" s="59" customFormat="1" ht="22.2" customHeight="1">
      <c r="C1874" s="288" t="s">
        <v>1220</v>
      </c>
      <c r="D1874" s="76" t="s">
        <v>1321</v>
      </c>
      <c r="E1874" s="77"/>
      <c r="F1874" s="78"/>
      <c r="G1874" s="80">
        <v>0.1</v>
      </c>
      <c r="H1874" s="63">
        <f>H1873*G1874</f>
        <v>25458</v>
      </c>
      <c r="I1874" s="369"/>
    </row>
    <row r="1875" spans="3:13" s="59" customFormat="1" ht="22.2" customHeight="1">
      <c r="C1875" s="288" t="s">
        <v>1221</v>
      </c>
      <c r="D1875" s="76" t="s">
        <v>1222</v>
      </c>
      <c r="E1875" s="77"/>
      <c r="F1875" s="77"/>
      <c r="G1875" s="78"/>
      <c r="H1875" s="799">
        <f>SUM(H1873:H1874)</f>
        <v>280038</v>
      </c>
      <c r="I1875" s="369"/>
    </row>
    <row r="1876" spans="3:13" ht="22.2" customHeight="1"/>
    <row r="1877" spans="3:13" ht="22.2" customHeight="1">
      <c r="C1877" s="43" t="s">
        <v>4952</v>
      </c>
      <c r="D1877" s="128" t="s">
        <v>8538</v>
      </c>
      <c r="I1877" s="50">
        <f>ROUNDDOWN(H1891,-2)</f>
        <v>366000</v>
      </c>
      <c r="J1877" s="59" t="s">
        <v>6451</v>
      </c>
      <c r="K1877" s="59" t="s">
        <v>8371</v>
      </c>
    </row>
    <row r="1878" spans="3:13" s="59" customFormat="1" ht="22.2" customHeight="1">
      <c r="C1878" s="591" t="s">
        <v>1195</v>
      </c>
      <c r="D1878" s="591" t="s">
        <v>1196</v>
      </c>
      <c r="E1878" s="591" t="s">
        <v>1197</v>
      </c>
      <c r="F1878" s="591" t="s">
        <v>1198</v>
      </c>
      <c r="G1878" s="591" t="s">
        <v>1199</v>
      </c>
      <c r="H1878" s="591" t="s">
        <v>1200</v>
      </c>
      <c r="I1878" s="44"/>
    </row>
    <row r="1879" spans="3:13" s="59" customFormat="1" ht="22.2" customHeight="1">
      <c r="C1879" s="61" t="s">
        <v>1201</v>
      </c>
      <c r="D1879" s="56" t="s">
        <v>1202</v>
      </c>
      <c r="E1879" s="57"/>
      <c r="F1879" s="57"/>
      <c r="G1879" s="57"/>
      <c r="H1879" s="57"/>
      <c r="I1879" s="44"/>
      <c r="J1879" s="152" t="s">
        <v>1247</v>
      </c>
    </row>
    <row r="1880" spans="3:13" s="59" customFormat="1" ht="22.2" customHeight="1">
      <c r="C1880" s="588">
        <v>1</v>
      </c>
      <c r="D1880" s="56" t="s">
        <v>5</v>
      </c>
      <c r="E1880" s="577" t="s">
        <v>6</v>
      </c>
      <c r="F1880" s="101">
        <v>1.619</v>
      </c>
      <c r="G1880" s="63">
        <f>VLOOKUP(D1880,upahbahan,3,FALSE)</f>
        <v>100000</v>
      </c>
      <c r="H1880" s="63">
        <f>F1880*G1880</f>
        <v>161900</v>
      </c>
      <c r="I1880" s="44"/>
      <c r="J1880" s="152" t="s">
        <v>1248</v>
      </c>
      <c r="M1880" s="65">
        <v>0.1</v>
      </c>
    </row>
    <row r="1881" spans="3:13" s="59" customFormat="1" ht="22.2" customHeight="1">
      <c r="C1881" s="588">
        <v>2</v>
      </c>
      <c r="D1881" s="56" t="s">
        <v>10</v>
      </c>
      <c r="E1881" s="577" t="s">
        <v>6</v>
      </c>
      <c r="F1881" s="101">
        <v>0.80900000000000005</v>
      </c>
      <c r="G1881" s="63">
        <f>VLOOKUP(D1881,upahbahan,3,FALSE)</f>
        <v>135000</v>
      </c>
      <c r="H1881" s="63">
        <f t="shared" ref="H1881:H1882" si="235">F1881*G1881</f>
        <v>109215</v>
      </c>
      <c r="I1881" s="44"/>
      <c r="J1881" s="152"/>
      <c r="M1881" s="65"/>
    </row>
    <row r="1882" spans="3:13" s="59" customFormat="1" ht="22.2" customHeight="1">
      <c r="C1882" s="588">
        <v>3</v>
      </c>
      <c r="D1882" s="56" t="s">
        <v>19</v>
      </c>
      <c r="E1882" s="577" t="s">
        <v>6</v>
      </c>
      <c r="F1882" s="101">
        <v>0.16200000000000001</v>
      </c>
      <c r="G1882" s="63">
        <f>VLOOKUP(D1882,upahbahan,3,FALSE)</f>
        <v>160000</v>
      </c>
      <c r="H1882" s="63">
        <f t="shared" si="235"/>
        <v>25920</v>
      </c>
      <c r="I1882" s="44"/>
    </row>
    <row r="1883" spans="3:13" s="59" customFormat="1" ht="22.2" customHeight="1">
      <c r="C1883" s="450" t="s">
        <v>1208</v>
      </c>
      <c r="D1883" s="67"/>
      <c r="E1883" s="67"/>
      <c r="F1883" s="142"/>
      <c r="G1883" s="153"/>
      <c r="H1883" s="63">
        <f>SUM(H1880:H1882)</f>
        <v>297035</v>
      </c>
      <c r="I1883" s="154"/>
    </row>
    <row r="1884" spans="3:13" s="59" customFormat="1" ht="22.2" customHeight="1">
      <c r="C1884" s="61" t="s">
        <v>1209</v>
      </c>
      <c r="D1884" s="56" t="s">
        <v>1210</v>
      </c>
      <c r="E1884" s="57"/>
      <c r="F1884" s="57"/>
      <c r="G1884" s="57"/>
      <c r="H1884" s="57"/>
      <c r="I1884" s="44"/>
    </row>
    <row r="1885" spans="3:13" s="59" customFormat="1" ht="22.2" customHeight="1">
      <c r="C1885" s="450" t="s">
        <v>1214</v>
      </c>
      <c r="D1885" s="67"/>
      <c r="E1885" s="67"/>
      <c r="F1885" s="67"/>
      <c r="G1885" s="69"/>
      <c r="H1885" s="63">
        <f>SUM(H1884:H1884)</f>
        <v>0</v>
      </c>
      <c r="I1885" s="44"/>
    </row>
    <row r="1886" spans="3:13" s="59" customFormat="1" ht="22.2" customHeight="1">
      <c r="C1886" s="61" t="s">
        <v>1215</v>
      </c>
      <c r="D1886" s="56" t="s">
        <v>1216</v>
      </c>
      <c r="E1886" s="93"/>
      <c r="F1886" s="57"/>
      <c r="G1886" s="57"/>
      <c r="H1886" s="57"/>
      <c r="I1886" s="44"/>
    </row>
    <row r="1887" spans="3:13" s="59" customFormat="1" ht="22.2" customHeight="1">
      <c r="C1887" s="800"/>
      <c r="D1887" s="584" t="s">
        <v>8463</v>
      </c>
      <c r="E1887" s="883" t="s">
        <v>1974</v>
      </c>
      <c r="F1887" s="884">
        <v>0.47699999999999998</v>
      </c>
      <c r="G1887" s="63">
        <f>VLOOKUP(D1887,upahbahan,3,FALSE)</f>
        <v>75000</v>
      </c>
      <c r="H1887" s="63">
        <f t="shared" ref="H1887" si="236">F1887*G1887</f>
        <v>35775</v>
      </c>
      <c r="I1887" s="44"/>
    </row>
    <row r="1888" spans="3:13" s="59" customFormat="1" ht="22.2" customHeight="1">
      <c r="C1888" s="450" t="s">
        <v>1217</v>
      </c>
      <c r="D1888" s="67"/>
      <c r="E1888" s="67"/>
      <c r="F1888" s="67"/>
      <c r="G1888" s="69"/>
      <c r="H1888" s="882">
        <f>SUM(H1887)</f>
        <v>35775</v>
      </c>
      <c r="I1888" s="44"/>
    </row>
    <row r="1889" spans="3:13" s="59" customFormat="1" ht="22.2" customHeight="1">
      <c r="C1889" s="288" t="s">
        <v>1218</v>
      </c>
      <c r="D1889" s="76" t="s">
        <v>1219</v>
      </c>
      <c r="E1889" s="77"/>
      <c r="F1889" s="77"/>
      <c r="G1889" s="78"/>
      <c r="H1889" s="585">
        <f>H1888+H1885+H1883</f>
        <v>332810</v>
      </c>
      <c r="I1889" s="369"/>
    </row>
    <row r="1890" spans="3:13" s="59" customFormat="1" ht="22.2" customHeight="1">
      <c r="C1890" s="288" t="s">
        <v>1220</v>
      </c>
      <c r="D1890" s="76" t="s">
        <v>1321</v>
      </c>
      <c r="E1890" s="77"/>
      <c r="F1890" s="78"/>
      <c r="G1890" s="80">
        <v>0.1</v>
      </c>
      <c r="H1890" s="63">
        <f>H1889*G1890</f>
        <v>33281</v>
      </c>
      <c r="I1890" s="369"/>
    </row>
    <row r="1891" spans="3:13" s="59" customFormat="1" ht="22.2" customHeight="1">
      <c r="C1891" s="288" t="s">
        <v>1221</v>
      </c>
      <c r="D1891" s="76" t="s">
        <v>1222</v>
      </c>
      <c r="E1891" s="77"/>
      <c r="F1891" s="77"/>
      <c r="G1891" s="78"/>
      <c r="H1891" s="799">
        <f>SUM(H1889:H1890)</f>
        <v>366091</v>
      </c>
      <c r="I1891" s="369"/>
    </row>
    <row r="1892" spans="3:13" ht="22.2" customHeight="1"/>
    <row r="1893" spans="3:13" ht="22.2" customHeight="1">
      <c r="C1893" s="43" t="s">
        <v>4953</v>
      </c>
      <c r="D1893" s="128" t="s">
        <v>8539</v>
      </c>
    </row>
    <row r="1894" spans="3:13" ht="22.2" customHeight="1">
      <c r="C1894" s="43" t="s">
        <v>4955</v>
      </c>
      <c r="D1894" s="128" t="s">
        <v>4954</v>
      </c>
    </row>
    <row r="1895" spans="3:13" ht="22.2" customHeight="1">
      <c r="C1895" s="43" t="s">
        <v>4956</v>
      </c>
      <c r="D1895" s="128" t="s">
        <v>8540</v>
      </c>
      <c r="I1895" s="50">
        <f>ROUNDDOWN(H1910,-2)</f>
        <v>1313400</v>
      </c>
      <c r="J1895" s="59" t="s">
        <v>6451</v>
      </c>
      <c r="K1895" s="59" t="s">
        <v>8371</v>
      </c>
    </row>
    <row r="1896" spans="3:13" s="59" customFormat="1" ht="22.2" customHeight="1">
      <c r="C1896" s="591" t="s">
        <v>1195</v>
      </c>
      <c r="D1896" s="591" t="s">
        <v>1196</v>
      </c>
      <c r="E1896" s="591" t="s">
        <v>1197</v>
      </c>
      <c r="F1896" s="591" t="s">
        <v>1198</v>
      </c>
      <c r="G1896" s="591" t="s">
        <v>1199</v>
      </c>
      <c r="H1896" s="591" t="s">
        <v>1200</v>
      </c>
      <c r="I1896" s="44"/>
    </row>
    <row r="1897" spans="3:13" s="59" customFormat="1" ht="22.2" customHeight="1">
      <c r="C1897" s="61" t="s">
        <v>1201</v>
      </c>
      <c r="D1897" s="56" t="s">
        <v>1202</v>
      </c>
      <c r="E1897" s="57"/>
      <c r="F1897" s="57"/>
      <c r="G1897" s="57"/>
      <c r="H1897" s="57"/>
      <c r="I1897" s="44"/>
      <c r="J1897" s="152" t="s">
        <v>1247</v>
      </c>
    </row>
    <row r="1898" spans="3:13" s="59" customFormat="1" ht="22.2" customHeight="1">
      <c r="C1898" s="588">
        <v>1</v>
      </c>
      <c r="D1898" s="56" t="s">
        <v>5</v>
      </c>
      <c r="E1898" s="577" t="s">
        <v>6</v>
      </c>
      <c r="F1898" s="101">
        <v>0.48899999999999999</v>
      </c>
      <c r="G1898" s="63">
        <f>VLOOKUP(D1898,upahbahan,3,FALSE)</f>
        <v>100000</v>
      </c>
      <c r="H1898" s="63">
        <f>F1898*G1898</f>
        <v>48900</v>
      </c>
      <c r="I1898" s="44"/>
      <c r="J1898" s="152" t="s">
        <v>1248</v>
      </c>
      <c r="M1898" s="65">
        <v>0.1</v>
      </c>
    </row>
    <row r="1899" spans="3:13" s="59" customFormat="1" ht="22.2" customHeight="1">
      <c r="C1899" s="588">
        <v>2</v>
      </c>
      <c r="D1899" s="56" t="s">
        <v>10</v>
      </c>
      <c r="E1899" s="577" t="s">
        <v>6</v>
      </c>
      <c r="F1899" s="101">
        <v>9.8000000000000004E-2</v>
      </c>
      <c r="G1899" s="63">
        <f>VLOOKUP(D1899,upahbahan,3,FALSE)</f>
        <v>135000</v>
      </c>
      <c r="H1899" s="63">
        <f t="shared" ref="H1899:H1900" si="237">F1899*G1899</f>
        <v>13230</v>
      </c>
      <c r="I1899" s="44"/>
      <c r="J1899" s="152"/>
      <c r="M1899" s="65"/>
    </row>
    <row r="1900" spans="3:13" s="59" customFormat="1" ht="22.2" customHeight="1">
      <c r="C1900" s="588">
        <v>3</v>
      </c>
      <c r="D1900" s="56" t="s">
        <v>19</v>
      </c>
      <c r="E1900" s="577" t="s">
        <v>6</v>
      </c>
      <c r="F1900" s="101">
        <v>4.9000000000000002E-2</v>
      </c>
      <c r="G1900" s="63">
        <f>VLOOKUP(D1900,upahbahan,3,FALSE)</f>
        <v>160000</v>
      </c>
      <c r="H1900" s="63">
        <f t="shared" si="237"/>
        <v>7840</v>
      </c>
      <c r="I1900" s="44"/>
    </row>
    <row r="1901" spans="3:13" s="59" customFormat="1" ht="22.2" customHeight="1">
      <c r="C1901" s="450" t="s">
        <v>1208</v>
      </c>
      <c r="D1901" s="67"/>
      <c r="E1901" s="67"/>
      <c r="F1901" s="142"/>
      <c r="G1901" s="153"/>
      <c r="H1901" s="63">
        <f>SUM(H1898:H1900)</f>
        <v>69970</v>
      </c>
      <c r="I1901" s="154"/>
    </row>
    <row r="1902" spans="3:13" s="59" customFormat="1" ht="22.2" customHeight="1">
      <c r="C1902" s="61" t="s">
        <v>1209</v>
      </c>
      <c r="D1902" s="56" t="s">
        <v>1210</v>
      </c>
      <c r="E1902" s="57"/>
      <c r="F1902" s="57"/>
      <c r="G1902" s="57"/>
      <c r="H1902" s="57"/>
      <c r="I1902" s="44"/>
    </row>
    <row r="1903" spans="3:13" s="59" customFormat="1" ht="22.2" customHeight="1">
      <c r="C1903" s="800">
        <v>1</v>
      </c>
      <c r="D1903" s="56" t="s">
        <v>8541</v>
      </c>
      <c r="E1903" s="93" t="s">
        <v>1300</v>
      </c>
      <c r="F1903" s="104">
        <v>1</v>
      </c>
      <c r="G1903" s="63">
        <f>VLOOKUP(D1903,upahbahan,3,FALSE)</f>
        <v>1083000</v>
      </c>
      <c r="H1903" s="63">
        <f t="shared" ref="H1903" si="238">F1903*G1903</f>
        <v>1083000</v>
      </c>
      <c r="I1903" s="44"/>
    </row>
    <row r="1904" spans="3:13" s="59" customFormat="1" ht="22.2" customHeight="1">
      <c r="C1904" s="450" t="s">
        <v>1214</v>
      </c>
      <c r="D1904" s="67"/>
      <c r="E1904" s="67"/>
      <c r="F1904" s="67"/>
      <c r="G1904" s="69"/>
      <c r="H1904" s="63">
        <f>SUM(H1902:H1903)</f>
        <v>1083000</v>
      </c>
      <c r="I1904" s="44"/>
    </row>
    <row r="1905" spans="3:13" s="59" customFormat="1" ht="22.2" customHeight="1">
      <c r="C1905" s="61" t="s">
        <v>1215</v>
      </c>
      <c r="D1905" s="56" t="s">
        <v>1216</v>
      </c>
      <c r="E1905" s="93"/>
      <c r="F1905" s="57"/>
      <c r="G1905" s="57"/>
      <c r="H1905" s="57"/>
      <c r="I1905" s="44"/>
    </row>
    <row r="1906" spans="3:13" s="59" customFormat="1" ht="22.2" customHeight="1">
      <c r="C1906" s="800"/>
      <c r="D1906" s="56" t="s">
        <v>4770</v>
      </c>
      <c r="E1906" s="93" t="s">
        <v>1974</v>
      </c>
      <c r="F1906" s="590">
        <v>0.38</v>
      </c>
      <c r="G1906" s="63">
        <f>VLOOKUP(D1906,upahbahan,3,FALSE)</f>
        <v>108000</v>
      </c>
      <c r="H1906" s="63">
        <f>F1906*G1906</f>
        <v>41040</v>
      </c>
      <c r="I1906" s="44"/>
    </row>
    <row r="1907" spans="3:13" s="59" customFormat="1" ht="22.2" customHeight="1">
      <c r="C1907" s="450" t="s">
        <v>1217</v>
      </c>
      <c r="D1907" s="67"/>
      <c r="E1907" s="67"/>
      <c r="F1907" s="67"/>
      <c r="G1907" s="69"/>
      <c r="H1907" s="882">
        <f>SUM(H1906)</f>
        <v>41040</v>
      </c>
      <c r="I1907" s="44"/>
    </row>
    <row r="1908" spans="3:13" s="59" customFormat="1" ht="22.2" customHeight="1">
      <c r="C1908" s="288" t="s">
        <v>1218</v>
      </c>
      <c r="D1908" s="76" t="s">
        <v>1219</v>
      </c>
      <c r="E1908" s="77"/>
      <c r="F1908" s="77"/>
      <c r="G1908" s="78"/>
      <c r="H1908" s="585">
        <f>H1907+H1904+H1901</f>
        <v>1194010</v>
      </c>
      <c r="I1908" s="369"/>
    </row>
    <row r="1909" spans="3:13" s="59" customFormat="1" ht="22.2" customHeight="1">
      <c r="C1909" s="288" t="s">
        <v>1220</v>
      </c>
      <c r="D1909" s="76" t="s">
        <v>1321</v>
      </c>
      <c r="E1909" s="77"/>
      <c r="F1909" s="78"/>
      <c r="G1909" s="80">
        <v>0.1</v>
      </c>
      <c r="H1909" s="63">
        <f>H1908*G1909</f>
        <v>119401</v>
      </c>
      <c r="I1909" s="369"/>
    </row>
    <row r="1910" spans="3:13" s="59" customFormat="1" ht="22.2" customHeight="1">
      <c r="C1910" s="288" t="s">
        <v>1221</v>
      </c>
      <c r="D1910" s="76" t="s">
        <v>1222</v>
      </c>
      <c r="E1910" s="77"/>
      <c r="F1910" s="77"/>
      <c r="G1910" s="78"/>
      <c r="H1910" s="799">
        <f>SUM(H1908:H1909)</f>
        <v>1313411</v>
      </c>
      <c r="I1910" s="369"/>
    </row>
    <row r="1911" spans="3:13" ht="22.2" customHeight="1"/>
    <row r="1912" spans="3:13" ht="22.2" customHeight="1">
      <c r="C1912" s="43" t="s">
        <v>4958</v>
      </c>
      <c r="D1912" s="128" t="s">
        <v>8542</v>
      </c>
      <c r="I1912" s="50">
        <f>ROUNDDOWN(H1927,-2)</f>
        <v>1341100</v>
      </c>
      <c r="J1912" s="59" t="s">
        <v>6451</v>
      </c>
      <c r="K1912" s="59" t="s">
        <v>8371</v>
      </c>
    </row>
    <row r="1913" spans="3:13" s="59" customFormat="1" ht="22.2" customHeight="1">
      <c r="C1913" s="591" t="s">
        <v>1195</v>
      </c>
      <c r="D1913" s="591" t="s">
        <v>1196</v>
      </c>
      <c r="E1913" s="591" t="s">
        <v>1197</v>
      </c>
      <c r="F1913" s="591" t="s">
        <v>1198</v>
      </c>
      <c r="G1913" s="591" t="s">
        <v>1199</v>
      </c>
      <c r="H1913" s="591" t="s">
        <v>1200</v>
      </c>
      <c r="I1913" s="44"/>
    </row>
    <row r="1914" spans="3:13" s="59" customFormat="1" ht="22.2" customHeight="1">
      <c r="C1914" s="61" t="s">
        <v>1201</v>
      </c>
      <c r="D1914" s="56" t="s">
        <v>1202</v>
      </c>
      <c r="E1914" s="57"/>
      <c r="F1914" s="57"/>
      <c r="G1914" s="57"/>
      <c r="H1914" s="57"/>
      <c r="I1914" s="44"/>
      <c r="J1914" s="152" t="s">
        <v>1247</v>
      </c>
    </row>
    <row r="1915" spans="3:13" s="59" customFormat="1" ht="22.2" customHeight="1">
      <c r="C1915" s="588">
        <v>1</v>
      </c>
      <c r="D1915" s="56" t="s">
        <v>5</v>
      </c>
      <c r="E1915" s="577" t="s">
        <v>6</v>
      </c>
      <c r="F1915" s="101">
        <v>0.54700000000000004</v>
      </c>
      <c r="G1915" s="63">
        <f>VLOOKUP(D1915,upahbahan,3,FALSE)</f>
        <v>100000</v>
      </c>
      <c r="H1915" s="63">
        <f>F1915*G1915</f>
        <v>54700.000000000007</v>
      </c>
      <c r="I1915" s="44"/>
      <c r="J1915" s="152" t="s">
        <v>1248</v>
      </c>
      <c r="M1915" s="65">
        <v>0.1</v>
      </c>
    </row>
    <row r="1916" spans="3:13" s="59" customFormat="1" ht="22.2" customHeight="1">
      <c r="C1916" s="588">
        <v>2</v>
      </c>
      <c r="D1916" s="56" t="s">
        <v>10</v>
      </c>
      <c r="E1916" s="577" t="s">
        <v>6</v>
      </c>
      <c r="F1916" s="101">
        <v>0.109</v>
      </c>
      <c r="G1916" s="63">
        <f>VLOOKUP(D1916,upahbahan,3,FALSE)</f>
        <v>135000</v>
      </c>
      <c r="H1916" s="63">
        <f t="shared" ref="H1916:H1917" si="239">F1916*G1916</f>
        <v>14715</v>
      </c>
      <c r="I1916" s="44"/>
      <c r="J1916" s="152"/>
      <c r="M1916" s="65"/>
    </row>
    <row r="1917" spans="3:13" s="59" customFormat="1" ht="22.2" customHeight="1">
      <c r="C1917" s="588">
        <v>3</v>
      </c>
      <c r="D1917" s="56" t="s">
        <v>19</v>
      </c>
      <c r="E1917" s="577" t="s">
        <v>6</v>
      </c>
      <c r="F1917" s="101">
        <v>5.5E-2</v>
      </c>
      <c r="G1917" s="63">
        <f>VLOOKUP(D1917,upahbahan,3,FALSE)</f>
        <v>160000</v>
      </c>
      <c r="H1917" s="63">
        <f t="shared" si="239"/>
        <v>8800</v>
      </c>
      <c r="I1917" s="44"/>
    </row>
    <row r="1918" spans="3:13" s="59" customFormat="1" ht="22.2" customHeight="1">
      <c r="C1918" s="450" t="s">
        <v>1208</v>
      </c>
      <c r="D1918" s="67"/>
      <c r="E1918" s="67"/>
      <c r="F1918" s="142"/>
      <c r="G1918" s="153"/>
      <c r="H1918" s="63">
        <f>SUM(H1915:H1917)</f>
        <v>78215</v>
      </c>
      <c r="I1918" s="154"/>
    </row>
    <row r="1919" spans="3:13" s="59" customFormat="1" ht="22.2" customHeight="1">
      <c r="C1919" s="61" t="s">
        <v>1209</v>
      </c>
      <c r="D1919" s="56" t="s">
        <v>1210</v>
      </c>
      <c r="E1919" s="57"/>
      <c r="F1919" s="57"/>
      <c r="G1919" s="57"/>
      <c r="H1919" s="57"/>
      <c r="I1919" s="44"/>
    </row>
    <row r="1920" spans="3:13" s="59" customFormat="1" ht="22.2" customHeight="1">
      <c r="C1920" s="800">
        <v>1</v>
      </c>
      <c r="D1920" s="56" t="s">
        <v>8543</v>
      </c>
      <c r="E1920" s="93" t="s">
        <v>1300</v>
      </c>
      <c r="F1920" s="104">
        <v>1</v>
      </c>
      <c r="G1920" s="63">
        <f>VLOOKUP(D1920,upahbahan,3,FALSE)</f>
        <v>1100000</v>
      </c>
      <c r="H1920" s="63">
        <f t="shared" ref="H1920" si="240">F1920*G1920</f>
        <v>1100000</v>
      </c>
      <c r="I1920" s="44"/>
    </row>
    <row r="1921" spans="3:13" s="59" customFormat="1" ht="22.2" customHeight="1">
      <c r="C1921" s="450" t="s">
        <v>1214</v>
      </c>
      <c r="D1921" s="67"/>
      <c r="E1921" s="67"/>
      <c r="F1921" s="67"/>
      <c r="G1921" s="69"/>
      <c r="H1921" s="63">
        <f>SUM(H1919:H1920)</f>
        <v>1100000</v>
      </c>
      <c r="I1921" s="44"/>
    </row>
    <row r="1922" spans="3:13" s="59" customFormat="1" ht="22.2" customHeight="1">
      <c r="C1922" s="61" t="s">
        <v>1215</v>
      </c>
      <c r="D1922" s="56" t="s">
        <v>1216</v>
      </c>
      <c r="E1922" s="93"/>
      <c r="F1922" s="57"/>
      <c r="G1922" s="57"/>
      <c r="H1922" s="57"/>
      <c r="I1922" s="44"/>
    </row>
    <row r="1923" spans="3:13" s="59" customFormat="1" ht="22.2" customHeight="1">
      <c r="C1923" s="800"/>
      <c r="D1923" s="56" t="s">
        <v>4770</v>
      </c>
      <c r="E1923" s="93" t="s">
        <v>1974</v>
      </c>
      <c r="F1923" s="590">
        <v>0.38</v>
      </c>
      <c r="G1923" s="63">
        <f>VLOOKUP(D1923,upahbahan,3,FALSE)</f>
        <v>108000</v>
      </c>
      <c r="H1923" s="63">
        <f t="shared" ref="H1923" si="241">F1923*G1923</f>
        <v>41040</v>
      </c>
      <c r="I1923" s="44"/>
    </row>
    <row r="1924" spans="3:13" s="59" customFormat="1" ht="22.2" customHeight="1">
      <c r="C1924" s="450" t="s">
        <v>1217</v>
      </c>
      <c r="D1924" s="67"/>
      <c r="E1924" s="67"/>
      <c r="F1924" s="67"/>
      <c r="G1924" s="69"/>
      <c r="H1924" s="882">
        <f>SUM(H1923)</f>
        <v>41040</v>
      </c>
      <c r="I1924" s="44"/>
    </row>
    <row r="1925" spans="3:13" s="59" customFormat="1" ht="22.2" customHeight="1">
      <c r="C1925" s="288" t="s">
        <v>1218</v>
      </c>
      <c r="D1925" s="76" t="s">
        <v>1219</v>
      </c>
      <c r="E1925" s="77"/>
      <c r="F1925" s="77"/>
      <c r="G1925" s="78"/>
      <c r="H1925" s="585">
        <f>H1924+H1921+H1918</f>
        <v>1219255</v>
      </c>
      <c r="I1925" s="369"/>
    </row>
    <row r="1926" spans="3:13" s="59" customFormat="1" ht="22.2" customHeight="1">
      <c r="C1926" s="288" t="s">
        <v>1220</v>
      </c>
      <c r="D1926" s="76" t="s">
        <v>1321</v>
      </c>
      <c r="E1926" s="77"/>
      <c r="F1926" s="78"/>
      <c r="G1926" s="80">
        <v>0.1</v>
      </c>
      <c r="H1926" s="63">
        <f>H1925*G1926</f>
        <v>121925.5</v>
      </c>
      <c r="I1926" s="369"/>
    </row>
    <row r="1927" spans="3:13" s="59" customFormat="1" ht="22.2" customHeight="1">
      <c r="C1927" s="288" t="s">
        <v>1221</v>
      </c>
      <c r="D1927" s="76" t="s">
        <v>1222</v>
      </c>
      <c r="E1927" s="77"/>
      <c r="F1927" s="77"/>
      <c r="G1927" s="78"/>
      <c r="H1927" s="799">
        <f>SUM(H1925:H1926)</f>
        <v>1341180.5</v>
      </c>
      <c r="I1927" s="369"/>
    </row>
    <row r="1928" spans="3:13" ht="22.2" customHeight="1"/>
    <row r="1929" spans="3:13" ht="22.2" customHeight="1">
      <c r="C1929" s="43" t="s">
        <v>4960</v>
      </c>
      <c r="D1929" s="128" t="s">
        <v>8544</v>
      </c>
      <c r="I1929" s="50">
        <f>ROUNDDOWN(H1944,-2)</f>
        <v>1571500</v>
      </c>
      <c r="J1929" s="59" t="s">
        <v>6451</v>
      </c>
      <c r="K1929" s="59" t="s">
        <v>8371</v>
      </c>
    </row>
    <row r="1930" spans="3:13" s="59" customFormat="1" ht="22.2" customHeight="1">
      <c r="C1930" s="591" t="s">
        <v>1195</v>
      </c>
      <c r="D1930" s="591" t="s">
        <v>1196</v>
      </c>
      <c r="E1930" s="591" t="s">
        <v>1197</v>
      </c>
      <c r="F1930" s="591" t="s">
        <v>1198</v>
      </c>
      <c r="G1930" s="591" t="s">
        <v>1199</v>
      </c>
      <c r="H1930" s="591" t="s">
        <v>1200</v>
      </c>
      <c r="I1930" s="44"/>
    </row>
    <row r="1931" spans="3:13" s="59" customFormat="1" ht="22.2" customHeight="1">
      <c r="C1931" s="61" t="s">
        <v>1201</v>
      </c>
      <c r="D1931" s="56" t="s">
        <v>1202</v>
      </c>
      <c r="E1931" s="57"/>
      <c r="F1931" s="57"/>
      <c r="G1931" s="57"/>
      <c r="H1931" s="57"/>
      <c r="I1931" s="44"/>
      <c r="J1931" s="152" t="s">
        <v>1247</v>
      </c>
    </row>
    <row r="1932" spans="3:13" s="59" customFormat="1" ht="22.2" customHeight="1">
      <c r="C1932" s="588">
        <v>1</v>
      </c>
      <c r="D1932" s="56" t="s">
        <v>5</v>
      </c>
      <c r="E1932" s="577" t="s">
        <v>6</v>
      </c>
      <c r="F1932" s="101">
        <v>0.61299999999999999</v>
      </c>
      <c r="G1932" s="63">
        <f>VLOOKUP(D1932,upahbahan,3,FALSE)</f>
        <v>100000</v>
      </c>
      <c r="H1932" s="63">
        <f>F1932*G1932</f>
        <v>61300</v>
      </c>
      <c r="I1932" s="44"/>
      <c r="J1932" s="152" t="s">
        <v>1248</v>
      </c>
      <c r="M1932" s="65">
        <v>0.1</v>
      </c>
    </row>
    <row r="1933" spans="3:13" s="59" customFormat="1" ht="22.2" customHeight="1">
      <c r="C1933" s="588">
        <v>2</v>
      </c>
      <c r="D1933" s="56" t="s">
        <v>10</v>
      </c>
      <c r="E1933" s="577" t="s">
        <v>6</v>
      </c>
      <c r="F1933" s="101">
        <v>0.123</v>
      </c>
      <c r="G1933" s="63">
        <f>VLOOKUP(D1933,upahbahan,3,FALSE)</f>
        <v>135000</v>
      </c>
      <c r="H1933" s="63">
        <f t="shared" ref="H1933:H1934" si="242">F1933*G1933</f>
        <v>16605</v>
      </c>
      <c r="I1933" s="44"/>
      <c r="J1933" s="152"/>
      <c r="M1933" s="65"/>
    </row>
    <row r="1934" spans="3:13" s="59" customFormat="1" ht="22.2" customHeight="1">
      <c r="C1934" s="588">
        <v>3</v>
      </c>
      <c r="D1934" s="56" t="s">
        <v>19</v>
      </c>
      <c r="E1934" s="577" t="s">
        <v>6</v>
      </c>
      <c r="F1934" s="101">
        <v>6.0999999999999999E-2</v>
      </c>
      <c r="G1934" s="63">
        <f>VLOOKUP(D1934,upahbahan,3,FALSE)</f>
        <v>160000</v>
      </c>
      <c r="H1934" s="63">
        <f t="shared" si="242"/>
        <v>9760</v>
      </c>
      <c r="I1934" s="44"/>
    </row>
    <row r="1935" spans="3:13" s="59" customFormat="1" ht="22.2" customHeight="1">
      <c r="C1935" s="450" t="s">
        <v>1208</v>
      </c>
      <c r="D1935" s="67"/>
      <c r="E1935" s="67"/>
      <c r="F1935" s="142"/>
      <c r="G1935" s="153"/>
      <c r="H1935" s="63">
        <f>SUM(H1932:H1934)</f>
        <v>87665</v>
      </c>
      <c r="I1935" s="154"/>
    </row>
    <row r="1936" spans="3:13" s="59" customFormat="1" ht="22.2" customHeight="1">
      <c r="C1936" s="61" t="s">
        <v>1209</v>
      </c>
      <c r="D1936" s="56" t="s">
        <v>1210</v>
      </c>
      <c r="E1936" s="57"/>
      <c r="F1936" s="57"/>
      <c r="G1936" s="57"/>
      <c r="H1936" s="57"/>
      <c r="I1936" s="44"/>
    </row>
    <row r="1937" spans="3:13" s="59" customFormat="1" ht="22.2" customHeight="1">
      <c r="C1937" s="800">
        <v>1</v>
      </c>
      <c r="D1937" s="56" t="s">
        <v>8545</v>
      </c>
      <c r="E1937" s="93" t="s">
        <v>1300</v>
      </c>
      <c r="F1937" s="104">
        <v>1</v>
      </c>
      <c r="G1937" s="63">
        <f>VLOOKUP(D1937,upahbahan,3,FALSE)</f>
        <v>1300000</v>
      </c>
      <c r="H1937" s="63">
        <f t="shared" ref="H1937" si="243">F1937*G1937</f>
        <v>1300000</v>
      </c>
      <c r="I1937" s="44"/>
    </row>
    <row r="1938" spans="3:13" s="59" customFormat="1" ht="22.2" customHeight="1">
      <c r="C1938" s="450" t="s">
        <v>1214</v>
      </c>
      <c r="D1938" s="67"/>
      <c r="E1938" s="67"/>
      <c r="F1938" s="67"/>
      <c r="G1938" s="69"/>
      <c r="H1938" s="63">
        <f>SUM(H1936:H1937)</f>
        <v>1300000</v>
      </c>
      <c r="I1938" s="44"/>
    </row>
    <row r="1939" spans="3:13" s="59" customFormat="1" ht="22.2" customHeight="1">
      <c r="C1939" s="61" t="s">
        <v>1215</v>
      </c>
      <c r="D1939" s="56" t="s">
        <v>1216</v>
      </c>
      <c r="E1939" s="93"/>
      <c r="F1939" s="57"/>
      <c r="G1939" s="57"/>
      <c r="H1939" s="57"/>
      <c r="I1939" s="44"/>
    </row>
    <row r="1940" spans="3:13" s="59" customFormat="1" ht="22.2" customHeight="1">
      <c r="C1940" s="800"/>
      <c r="D1940" s="56" t="s">
        <v>4770</v>
      </c>
      <c r="E1940" s="93" t="s">
        <v>1974</v>
      </c>
      <c r="F1940" s="590">
        <v>0.38</v>
      </c>
      <c r="G1940" s="63">
        <f>VLOOKUP(D1940,upahbahan,3,FALSE)</f>
        <v>108000</v>
      </c>
      <c r="H1940" s="63">
        <f t="shared" ref="H1940" si="244">F1940*G1940</f>
        <v>41040</v>
      </c>
      <c r="I1940" s="44"/>
    </row>
    <row r="1941" spans="3:13" s="59" customFormat="1" ht="22.2" customHeight="1">
      <c r="C1941" s="450" t="s">
        <v>1217</v>
      </c>
      <c r="D1941" s="67"/>
      <c r="E1941" s="67"/>
      <c r="F1941" s="67"/>
      <c r="G1941" s="69"/>
      <c r="H1941" s="882">
        <f>SUM(H1940)</f>
        <v>41040</v>
      </c>
      <c r="I1941" s="44"/>
    </row>
    <row r="1942" spans="3:13" s="59" customFormat="1" ht="22.2" customHeight="1">
      <c r="C1942" s="288" t="s">
        <v>1218</v>
      </c>
      <c r="D1942" s="76" t="s">
        <v>1219</v>
      </c>
      <c r="E1942" s="77"/>
      <c r="F1942" s="77"/>
      <c r="G1942" s="78"/>
      <c r="H1942" s="585">
        <f>H1941+H1938+H1935</f>
        <v>1428705</v>
      </c>
      <c r="I1942" s="369"/>
    </row>
    <row r="1943" spans="3:13" s="59" customFormat="1" ht="22.2" customHeight="1">
      <c r="C1943" s="288" t="s">
        <v>1220</v>
      </c>
      <c r="D1943" s="76" t="s">
        <v>1321</v>
      </c>
      <c r="E1943" s="77"/>
      <c r="F1943" s="78"/>
      <c r="G1943" s="80">
        <v>0.1</v>
      </c>
      <c r="H1943" s="63">
        <f>H1942*G1943</f>
        <v>142870.5</v>
      </c>
      <c r="I1943" s="369"/>
    </row>
    <row r="1944" spans="3:13" s="59" customFormat="1" ht="22.2" customHeight="1">
      <c r="C1944" s="288" t="s">
        <v>1221</v>
      </c>
      <c r="D1944" s="76" t="s">
        <v>1222</v>
      </c>
      <c r="E1944" s="77"/>
      <c r="F1944" s="77"/>
      <c r="G1944" s="78"/>
      <c r="H1944" s="799">
        <f>SUM(H1942:H1943)</f>
        <v>1571575.5</v>
      </c>
      <c r="I1944" s="369"/>
    </row>
    <row r="1945" spans="3:13" ht="22.2" customHeight="1"/>
    <row r="1946" spans="3:13" ht="22.2" customHeight="1">
      <c r="C1946" s="43" t="s">
        <v>4962</v>
      </c>
      <c r="D1946" s="128" t="s">
        <v>8546</v>
      </c>
      <c r="I1946" s="50">
        <f>ROUNDDOWN(H1961,-2)</f>
        <v>1774500</v>
      </c>
      <c r="J1946" s="59" t="s">
        <v>6451</v>
      </c>
      <c r="K1946" s="59" t="s">
        <v>8371</v>
      </c>
    </row>
    <row r="1947" spans="3:13" s="59" customFormat="1" ht="22.2" customHeight="1">
      <c r="C1947" s="591" t="s">
        <v>1195</v>
      </c>
      <c r="D1947" s="591" t="s">
        <v>1196</v>
      </c>
      <c r="E1947" s="591" t="s">
        <v>1197</v>
      </c>
      <c r="F1947" s="591" t="s">
        <v>1198</v>
      </c>
      <c r="G1947" s="591" t="s">
        <v>1199</v>
      </c>
      <c r="H1947" s="591" t="s">
        <v>1200</v>
      </c>
      <c r="I1947" s="44"/>
    </row>
    <row r="1948" spans="3:13" s="59" customFormat="1" ht="22.2" customHeight="1">
      <c r="C1948" s="61" t="s">
        <v>1201</v>
      </c>
      <c r="D1948" s="56" t="s">
        <v>1202</v>
      </c>
      <c r="E1948" s="57"/>
      <c r="F1948" s="57"/>
      <c r="G1948" s="57"/>
      <c r="H1948" s="57"/>
      <c r="I1948" s="44"/>
      <c r="J1948" s="152" t="s">
        <v>1247</v>
      </c>
    </row>
    <row r="1949" spans="3:13" s="59" customFormat="1" ht="22.2" customHeight="1">
      <c r="C1949" s="588">
        <v>1</v>
      </c>
      <c r="D1949" s="56" t="s">
        <v>5</v>
      </c>
      <c r="E1949" s="577" t="s">
        <v>6</v>
      </c>
      <c r="F1949" s="101">
        <v>0.85499999999999998</v>
      </c>
      <c r="G1949" s="63">
        <f>VLOOKUP(D1949,upahbahan,3,FALSE)</f>
        <v>100000</v>
      </c>
      <c r="H1949" s="63">
        <f>F1949*G1949</f>
        <v>85500</v>
      </c>
      <c r="I1949" s="44"/>
      <c r="J1949" s="152" t="s">
        <v>1248</v>
      </c>
      <c r="M1949" s="65">
        <v>0.1</v>
      </c>
    </row>
    <row r="1950" spans="3:13" s="59" customFormat="1" ht="22.2" customHeight="1">
      <c r="C1950" s="588">
        <v>2</v>
      </c>
      <c r="D1950" s="56" t="s">
        <v>10</v>
      </c>
      <c r="E1950" s="577" t="s">
        <v>6</v>
      </c>
      <c r="F1950" s="101">
        <v>0.17100000000000001</v>
      </c>
      <c r="G1950" s="63">
        <f>VLOOKUP(D1950,upahbahan,3,FALSE)</f>
        <v>135000</v>
      </c>
      <c r="H1950" s="63">
        <f t="shared" ref="H1950:H1951" si="245">F1950*G1950</f>
        <v>23085</v>
      </c>
      <c r="I1950" s="44"/>
      <c r="J1950" s="152"/>
      <c r="M1950" s="65"/>
    </row>
    <row r="1951" spans="3:13" s="59" customFormat="1" ht="22.2" customHeight="1">
      <c r="C1951" s="588">
        <v>3</v>
      </c>
      <c r="D1951" s="56" t="s">
        <v>19</v>
      </c>
      <c r="E1951" s="577" t="s">
        <v>6</v>
      </c>
      <c r="F1951" s="101">
        <v>8.5000000000000006E-2</v>
      </c>
      <c r="G1951" s="63">
        <f>VLOOKUP(D1951,upahbahan,3,FALSE)</f>
        <v>160000</v>
      </c>
      <c r="H1951" s="63">
        <f t="shared" si="245"/>
        <v>13600.000000000002</v>
      </c>
      <c r="I1951" s="44"/>
    </row>
    <row r="1952" spans="3:13" s="59" customFormat="1" ht="22.2" customHeight="1">
      <c r="C1952" s="450" t="s">
        <v>1208</v>
      </c>
      <c r="D1952" s="67"/>
      <c r="E1952" s="67"/>
      <c r="F1952" s="142"/>
      <c r="G1952" s="153"/>
      <c r="H1952" s="63">
        <f>SUM(H1949:H1951)</f>
        <v>122185</v>
      </c>
      <c r="I1952" s="154"/>
    </row>
    <row r="1953" spans="3:13" s="59" customFormat="1" ht="22.2" customHeight="1">
      <c r="C1953" s="61" t="s">
        <v>1209</v>
      </c>
      <c r="D1953" s="56" t="s">
        <v>1210</v>
      </c>
      <c r="E1953" s="57"/>
      <c r="F1953" s="57"/>
      <c r="G1953" s="57"/>
      <c r="H1953" s="57"/>
      <c r="I1953" s="44"/>
    </row>
    <row r="1954" spans="3:13" s="59" customFormat="1" ht="22.2" customHeight="1">
      <c r="C1954" s="800">
        <v>1</v>
      </c>
      <c r="D1954" s="56" t="s">
        <v>8547</v>
      </c>
      <c r="E1954" s="93" t="s">
        <v>1300</v>
      </c>
      <c r="F1954" s="104">
        <v>1</v>
      </c>
      <c r="G1954" s="63">
        <f>VLOOKUP(D1954,upahbahan,3,FALSE)</f>
        <v>1450000</v>
      </c>
      <c r="H1954" s="63">
        <f t="shared" ref="H1954" si="246">F1954*G1954</f>
        <v>1450000</v>
      </c>
      <c r="I1954" s="44"/>
    </row>
    <row r="1955" spans="3:13" s="59" customFormat="1" ht="22.2" customHeight="1">
      <c r="C1955" s="450" t="s">
        <v>1214</v>
      </c>
      <c r="D1955" s="67"/>
      <c r="E1955" s="67"/>
      <c r="F1955" s="67"/>
      <c r="G1955" s="69"/>
      <c r="H1955" s="63">
        <f>SUM(H1953:H1954)</f>
        <v>1450000</v>
      </c>
      <c r="I1955" s="44"/>
    </row>
    <row r="1956" spans="3:13" s="59" customFormat="1" ht="22.2" customHeight="1">
      <c r="C1956" s="61" t="s">
        <v>1215</v>
      </c>
      <c r="D1956" s="56" t="s">
        <v>1216</v>
      </c>
      <c r="E1956" s="93"/>
      <c r="F1956" s="57"/>
      <c r="G1956" s="57"/>
      <c r="H1956" s="57"/>
      <c r="I1956" s="44"/>
    </row>
    <row r="1957" spans="3:13" s="59" customFormat="1" ht="22.2" customHeight="1">
      <c r="C1957" s="800"/>
      <c r="D1957" s="56" t="s">
        <v>4770</v>
      </c>
      <c r="E1957" s="93" t="s">
        <v>1974</v>
      </c>
      <c r="F1957" s="590">
        <v>0.38</v>
      </c>
      <c r="G1957" s="63">
        <f>VLOOKUP(D1957,upahbahan,3,FALSE)</f>
        <v>108000</v>
      </c>
      <c r="H1957" s="63">
        <f t="shared" ref="H1957" si="247">F1957*G1957</f>
        <v>41040</v>
      </c>
      <c r="I1957" s="44"/>
    </row>
    <row r="1958" spans="3:13" s="59" customFormat="1" ht="22.2" customHeight="1">
      <c r="C1958" s="450" t="s">
        <v>1217</v>
      </c>
      <c r="D1958" s="67"/>
      <c r="E1958" s="67"/>
      <c r="F1958" s="67"/>
      <c r="G1958" s="69"/>
      <c r="H1958" s="882">
        <f>SUM(H1957)</f>
        <v>41040</v>
      </c>
      <c r="I1958" s="44"/>
    </row>
    <row r="1959" spans="3:13" s="59" customFormat="1" ht="22.2" customHeight="1">
      <c r="C1959" s="288" t="s">
        <v>1218</v>
      </c>
      <c r="D1959" s="76" t="s">
        <v>1219</v>
      </c>
      <c r="E1959" s="77"/>
      <c r="F1959" s="77"/>
      <c r="G1959" s="78"/>
      <c r="H1959" s="585">
        <f>H1958+H1955+H1952</f>
        <v>1613225</v>
      </c>
      <c r="I1959" s="369"/>
    </row>
    <row r="1960" spans="3:13" s="59" customFormat="1" ht="22.2" customHeight="1">
      <c r="C1960" s="288" t="s">
        <v>1220</v>
      </c>
      <c r="D1960" s="76" t="s">
        <v>1321</v>
      </c>
      <c r="E1960" s="77"/>
      <c r="F1960" s="78"/>
      <c r="G1960" s="80">
        <v>0.1</v>
      </c>
      <c r="H1960" s="63">
        <f>H1959*G1960</f>
        <v>161322.5</v>
      </c>
      <c r="I1960" s="369"/>
    </row>
    <row r="1961" spans="3:13" s="59" customFormat="1" ht="22.2" customHeight="1">
      <c r="C1961" s="288" t="s">
        <v>1221</v>
      </c>
      <c r="D1961" s="76" t="s">
        <v>1222</v>
      </c>
      <c r="E1961" s="77"/>
      <c r="F1961" s="77"/>
      <c r="G1961" s="78"/>
      <c r="H1961" s="799">
        <f>SUM(H1959:H1960)</f>
        <v>1774547.5</v>
      </c>
      <c r="I1961" s="369"/>
    </row>
    <row r="1962" spans="3:13" ht="22.2" customHeight="1"/>
    <row r="1963" spans="3:13" ht="22.2" customHeight="1">
      <c r="C1963" s="43" t="s">
        <v>4964</v>
      </c>
      <c r="D1963" s="128" t="s">
        <v>8548</v>
      </c>
      <c r="I1963" s="50">
        <f>ROUNDDOWN(H1978,-2)</f>
        <v>1882400</v>
      </c>
      <c r="J1963" s="59" t="s">
        <v>6451</v>
      </c>
      <c r="K1963" s="59" t="s">
        <v>8371</v>
      </c>
    </row>
    <row r="1964" spans="3:13" s="59" customFormat="1" ht="22.2" customHeight="1">
      <c r="C1964" s="591" t="s">
        <v>1195</v>
      </c>
      <c r="D1964" s="591" t="s">
        <v>1196</v>
      </c>
      <c r="E1964" s="591" t="s">
        <v>1197</v>
      </c>
      <c r="F1964" s="591" t="s">
        <v>1198</v>
      </c>
      <c r="G1964" s="591" t="s">
        <v>1199</v>
      </c>
      <c r="H1964" s="591" t="s">
        <v>1200</v>
      </c>
      <c r="I1964" s="44"/>
    </row>
    <row r="1965" spans="3:13" s="59" customFormat="1" ht="22.2" customHeight="1">
      <c r="C1965" s="61" t="s">
        <v>1201</v>
      </c>
      <c r="D1965" s="56" t="s">
        <v>1202</v>
      </c>
      <c r="E1965" s="57"/>
      <c r="F1965" s="57"/>
      <c r="G1965" s="57"/>
      <c r="H1965" s="57"/>
      <c r="I1965" s="44"/>
      <c r="J1965" s="152" t="s">
        <v>1247</v>
      </c>
    </row>
    <row r="1966" spans="3:13" s="59" customFormat="1" ht="22.2" customHeight="1">
      <c r="C1966" s="588">
        <v>1</v>
      </c>
      <c r="D1966" s="56" t="s">
        <v>5</v>
      </c>
      <c r="E1966" s="577" t="s">
        <v>6</v>
      </c>
      <c r="F1966" s="101">
        <v>0.95099999999999996</v>
      </c>
      <c r="G1966" s="63">
        <f>VLOOKUP(D1966,upahbahan,3,FALSE)</f>
        <v>100000</v>
      </c>
      <c r="H1966" s="63">
        <f>F1966*G1966</f>
        <v>95100</v>
      </c>
      <c r="I1966" s="44"/>
      <c r="J1966" s="152" t="s">
        <v>1248</v>
      </c>
      <c r="M1966" s="65">
        <v>0.1</v>
      </c>
    </row>
    <row r="1967" spans="3:13" s="59" customFormat="1" ht="22.2" customHeight="1">
      <c r="C1967" s="588">
        <v>2</v>
      </c>
      <c r="D1967" s="56" t="s">
        <v>10</v>
      </c>
      <c r="E1967" s="577" t="s">
        <v>6</v>
      </c>
      <c r="F1967" s="101">
        <v>0.19</v>
      </c>
      <c r="G1967" s="63">
        <f>VLOOKUP(D1967,upahbahan,3,FALSE)</f>
        <v>135000</v>
      </c>
      <c r="H1967" s="63">
        <f t="shared" ref="H1967:H1968" si="248">F1967*G1967</f>
        <v>25650</v>
      </c>
      <c r="I1967" s="44"/>
      <c r="J1967" s="152"/>
      <c r="M1967" s="65"/>
    </row>
    <row r="1968" spans="3:13" s="59" customFormat="1" ht="22.2" customHeight="1">
      <c r="C1968" s="588">
        <v>3</v>
      </c>
      <c r="D1968" s="56" t="s">
        <v>19</v>
      </c>
      <c r="E1968" s="577" t="s">
        <v>6</v>
      </c>
      <c r="F1968" s="101">
        <v>9.5000000000000001E-2</v>
      </c>
      <c r="G1968" s="63">
        <f>VLOOKUP(D1968,upahbahan,3,FALSE)</f>
        <v>160000</v>
      </c>
      <c r="H1968" s="63">
        <f t="shared" si="248"/>
        <v>15200</v>
      </c>
      <c r="I1968" s="44"/>
    </row>
    <row r="1969" spans="3:13" s="59" customFormat="1" ht="22.2" customHeight="1">
      <c r="C1969" s="450" t="s">
        <v>1208</v>
      </c>
      <c r="D1969" s="67"/>
      <c r="E1969" s="67"/>
      <c r="F1969" s="142"/>
      <c r="G1969" s="153"/>
      <c r="H1969" s="63">
        <f>SUM(H1966:H1968)</f>
        <v>135950</v>
      </c>
      <c r="I1969" s="154"/>
    </row>
    <row r="1970" spans="3:13" s="59" customFormat="1" ht="22.2" customHeight="1">
      <c r="C1970" s="61" t="s">
        <v>1209</v>
      </c>
      <c r="D1970" s="56" t="s">
        <v>1210</v>
      </c>
      <c r="E1970" s="57"/>
      <c r="F1970" s="57"/>
      <c r="G1970" s="57"/>
      <c r="H1970" s="57"/>
      <c r="I1970" s="44"/>
    </row>
    <row r="1971" spans="3:13" s="59" customFormat="1" ht="22.2" customHeight="1">
      <c r="C1971" s="800">
        <v>1</v>
      </c>
      <c r="D1971" s="56" t="s">
        <v>8549</v>
      </c>
      <c r="E1971" s="93" t="s">
        <v>1300</v>
      </c>
      <c r="F1971" s="104">
        <v>1</v>
      </c>
      <c r="G1971" s="63">
        <f>VLOOKUP(D1971,upahbahan,3,FALSE)</f>
        <v>1570000</v>
      </c>
      <c r="H1971" s="63">
        <f t="shared" ref="H1971" si="249">F1971*G1971</f>
        <v>1570000</v>
      </c>
      <c r="I1971" s="44"/>
    </row>
    <row r="1972" spans="3:13" s="59" customFormat="1" ht="22.2" customHeight="1">
      <c r="C1972" s="450" t="s">
        <v>1214</v>
      </c>
      <c r="D1972" s="67"/>
      <c r="E1972" s="67"/>
      <c r="F1972" s="67"/>
      <c r="G1972" s="69"/>
      <c r="H1972" s="63">
        <f>SUM(H1970:H1971)</f>
        <v>1570000</v>
      </c>
      <c r="I1972" s="44"/>
    </row>
    <row r="1973" spans="3:13" s="59" customFormat="1" ht="22.2" customHeight="1">
      <c r="C1973" s="61" t="s">
        <v>1215</v>
      </c>
      <c r="D1973" s="56" t="s">
        <v>1216</v>
      </c>
      <c r="E1973" s="93"/>
      <c r="F1973" s="57"/>
      <c r="G1973" s="57"/>
      <c r="H1973" s="57"/>
      <c r="I1973" s="44"/>
    </row>
    <row r="1974" spans="3:13" s="59" customFormat="1" ht="22.2" customHeight="1">
      <c r="C1974" s="800"/>
      <c r="D1974" s="56" t="s">
        <v>4770</v>
      </c>
      <c r="E1974" s="93" t="s">
        <v>1974</v>
      </c>
      <c r="F1974" s="590">
        <v>0.05</v>
      </c>
      <c r="G1974" s="63">
        <f>VLOOKUP(D1974,upahbahan,3,FALSE)</f>
        <v>108000</v>
      </c>
      <c r="H1974" s="63">
        <f t="shared" ref="H1974" si="250">F1974*G1974</f>
        <v>5400</v>
      </c>
      <c r="I1974" s="44"/>
    </row>
    <row r="1975" spans="3:13" s="59" customFormat="1" ht="22.2" customHeight="1">
      <c r="C1975" s="450" t="s">
        <v>1217</v>
      </c>
      <c r="D1975" s="67"/>
      <c r="E1975" s="67"/>
      <c r="F1975" s="67"/>
      <c r="G1975" s="69"/>
      <c r="H1975" s="882">
        <f>SUM(H1974)</f>
        <v>5400</v>
      </c>
      <c r="I1975" s="44"/>
    </row>
    <row r="1976" spans="3:13" s="59" customFormat="1" ht="22.2" customHeight="1">
      <c r="C1976" s="288" t="s">
        <v>1218</v>
      </c>
      <c r="D1976" s="76" t="s">
        <v>1219</v>
      </c>
      <c r="E1976" s="77"/>
      <c r="F1976" s="77"/>
      <c r="G1976" s="78"/>
      <c r="H1976" s="585">
        <f>H1975+H1972+H1969</f>
        <v>1711350</v>
      </c>
      <c r="I1976" s="369"/>
    </row>
    <row r="1977" spans="3:13" s="59" customFormat="1" ht="22.2" customHeight="1">
      <c r="C1977" s="288" t="s">
        <v>1220</v>
      </c>
      <c r="D1977" s="76" t="s">
        <v>1321</v>
      </c>
      <c r="E1977" s="77"/>
      <c r="F1977" s="78"/>
      <c r="G1977" s="80">
        <v>0.1</v>
      </c>
      <c r="H1977" s="63">
        <f>H1976*G1977</f>
        <v>171135</v>
      </c>
      <c r="I1977" s="369"/>
    </row>
    <row r="1978" spans="3:13" s="59" customFormat="1" ht="22.2" customHeight="1">
      <c r="C1978" s="288" t="s">
        <v>1221</v>
      </c>
      <c r="D1978" s="76" t="s">
        <v>1222</v>
      </c>
      <c r="E1978" s="77"/>
      <c r="F1978" s="77"/>
      <c r="G1978" s="78"/>
      <c r="H1978" s="799">
        <f>SUM(H1976:H1977)</f>
        <v>1882485</v>
      </c>
      <c r="I1978" s="369"/>
    </row>
    <row r="1979" spans="3:13" ht="22.2" customHeight="1"/>
    <row r="1980" spans="3:13" ht="22.2" customHeight="1">
      <c r="C1980" s="43" t="s">
        <v>4966</v>
      </c>
      <c r="D1980" s="128" t="s">
        <v>8550</v>
      </c>
      <c r="I1980" s="50">
        <f>ROUNDDOWN(H1995,-2)</f>
        <v>1965400</v>
      </c>
      <c r="J1980" s="59" t="s">
        <v>6451</v>
      </c>
      <c r="K1980" s="59" t="s">
        <v>8371</v>
      </c>
    </row>
    <row r="1981" spans="3:13" s="59" customFormat="1" ht="22.2" customHeight="1">
      <c r="C1981" s="591" t="s">
        <v>1195</v>
      </c>
      <c r="D1981" s="591" t="s">
        <v>1196</v>
      </c>
      <c r="E1981" s="591" t="s">
        <v>1197</v>
      </c>
      <c r="F1981" s="591" t="s">
        <v>1198</v>
      </c>
      <c r="G1981" s="591" t="s">
        <v>1199</v>
      </c>
      <c r="H1981" s="591" t="s">
        <v>1200</v>
      </c>
      <c r="I1981" s="44"/>
    </row>
    <row r="1982" spans="3:13" s="59" customFormat="1" ht="22.2" customHeight="1">
      <c r="C1982" s="61" t="s">
        <v>1201</v>
      </c>
      <c r="D1982" s="56" t="s">
        <v>1202</v>
      </c>
      <c r="E1982" s="57"/>
      <c r="F1982" s="57"/>
      <c r="G1982" s="57"/>
      <c r="H1982" s="57"/>
      <c r="I1982" s="44"/>
      <c r="J1982" s="152" t="s">
        <v>1247</v>
      </c>
    </row>
    <row r="1983" spans="3:13" s="59" customFormat="1" ht="22.2" customHeight="1">
      <c r="C1983" s="588">
        <v>1</v>
      </c>
      <c r="D1983" s="56" t="s">
        <v>5</v>
      </c>
      <c r="E1983" s="577" t="s">
        <v>6</v>
      </c>
      <c r="F1983" s="101">
        <v>0.97299999999999998</v>
      </c>
      <c r="G1983" s="63">
        <f>VLOOKUP(D1983,upahbahan,3,FALSE)</f>
        <v>100000</v>
      </c>
      <c r="H1983" s="63">
        <f>F1983*G1983</f>
        <v>97300</v>
      </c>
      <c r="I1983" s="44"/>
      <c r="J1983" s="152" t="s">
        <v>1248</v>
      </c>
      <c r="M1983" s="65">
        <v>0.1</v>
      </c>
    </row>
    <row r="1984" spans="3:13" s="59" customFormat="1" ht="22.2" customHeight="1">
      <c r="C1984" s="588">
        <v>2</v>
      </c>
      <c r="D1984" s="56" t="s">
        <v>10</v>
      </c>
      <c r="E1984" s="577" t="s">
        <v>6</v>
      </c>
      <c r="F1984" s="101">
        <v>0.19500000000000001</v>
      </c>
      <c r="G1984" s="63">
        <f>VLOOKUP(D1984,upahbahan,3,FALSE)</f>
        <v>135000</v>
      </c>
      <c r="H1984" s="63">
        <f t="shared" ref="H1984:H1985" si="251">F1984*G1984</f>
        <v>26325</v>
      </c>
      <c r="I1984" s="44"/>
      <c r="J1984" s="152"/>
      <c r="M1984" s="65"/>
    </row>
    <row r="1985" spans="3:13" s="59" customFormat="1" ht="22.2" customHeight="1">
      <c r="C1985" s="588">
        <v>3</v>
      </c>
      <c r="D1985" s="56" t="s">
        <v>19</v>
      </c>
      <c r="E1985" s="577" t="s">
        <v>6</v>
      </c>
      <c r="F1985" s="101">
        <v>9.7000000000000003E-2</v>
      </c>
      <c r="G1985" s="63">
        <f>VLOOKUP(D1985,upahbahan,3,FALSE)</f>
        <v>160000</v>
      </c>
      <c r="H1985" s="63">
        <f t="shared" si="251"/>
        <v>15520</v>
      </c>
      <c r="I1985" s="44"/>
    </row>
    <row r="1986" spans="3:13" s="59" customFormat="1" ht="22.2" customHeight="1">
      <c r="C1986" s="450" t="s">
        <v>1208</v>
      </c>
      <c r="D1986" s="67"/>
      <c r="E1986" s="67"/>
      <c r="F1986" s="142"/>
      <c r="G1986" s="153"/>
      <c r="H1986" s="63">
        <f>SUM(H1983:H1985)</f>
        <v>139145</v>
      </c>
      <c r="I1986" s="154"/>
    </row>
    <row r="1987" spans="3:13" s="59" customFormat="1" ht="22.2" customHeight="1">
      <c r="C1987" s="61" t="s">
        <v>1209</v>
      </c>
      <c r="D1987" s="56" t="s">
        <v>1210</v>
      </c>
      <c r="E1987" s="57"/>
      <c r="F1987" s="57"/>
      <c r="G1987" s="57"/>
      <c r="H1987" s="57"/>
      <c r="I1987" s="44"/>
    </row>
    <row r="1988" spans="3:13" s="59" customFormat="1" ht="22.2" customHeight="1">
      <c r="C1988" s="800">
        <v>1</v>
      </c>
      <c r="D1988" s="56" t="s">
        <v>8551</v>
      </c>
      <c r="E1988" s="93" t="s">
        <v>1300</v>
      </c>
      <c r="F1988" s="104">
        <v>1</v>
      </c>
      <c r="G1988" s="63">
        <f>VLOOKUP(D1988,upahbahan,3,FALSE)</f>
        <v>1640000</v>
      </c>
      <c r="H1988" s="63">
        <f t="shared" ref="H1988" si="252">F1988*G1988</f>
        <v>1640000</v>
      </c>
      <c r="I1988" s="44"/>
    </row>
    <row r="1989" spans="3:13" s="59" customFormat="1" ht="22.2" customHeight="1">
      <c r="C1989" s="450" t="s">
        <v>1214</v>
      </c>
      <c r="D1989" s="67"/>
      <c r="E1989" s="67"/>
      <c r="F1989" s="67"/>
      <c r="G1989" s="69"/>
      <c r="H1989" s="63">
        <f>SUM(H1987:H1988)</f>
        <v>1640000</v>
      </c>
      <c r="I1989" s="44"/>
    </row>
    <row r="1990" spans="3:13" s="59" customFormat="1" ht="22.2" customHeight="1">
      <c r="C1990" s="61" t="s">
        <v>1215</v>
      </c>
      <c r="D1990" s="56" t="s">
        <v>1216</v>
      </c>
      <c r="E1990" s="93"/>
      <c r="F1990" s="57"/>
      <c r="G1990" s="57"/>
      <c r="H1990" s="57"/>
      <c r="I1990" s="44"/>
    </row>
    <row r="1991" spans="3:13" s="59" customFormat="1" ht="22.2" customHeight="1">
      <c r="C1991" s="800"/>
      <c r="D1991" s="56" t="s">
        <v>4770</v>
      </c>
      <c r="E1991" s="93" t="s">
        <v>1974</v>
      </c>
      <c r="F1991" s="590">
        <v>7.0999999999999994E-2</v>
      </c>
      <c r="G1991" s="63">
        <f>VLOOKUP(D1991,upahbahan,3,FALSE)</f>
        <v>108000</v>
      </c>
      <c r="H1991" s="63">
        <f t="shared" ref="H1991" si="253">F1991*G1991</f>
        <v>7667.9999999999991</v>
      </c>
      <c r="I1991" s="44"/>
    </row>
    <row r="1992" spans="3:13" s="59" customFormat="1" ht="22.2" customHeight="1">
      <c r="C1992" s="450" t="s">
        <v>1217</v>
      </c>
      <c r="D1992" s="67"/>
      <c r="E1992" s="67"/>
      <c r="F1992" s="67"/>
      <c r="G1992" s="69"/>
      <c r="H1992" s="882">
        <f>SUM(H1991)</f>
        <v>7667.9999999999991</v>
      </c>
      <c r="I1992" s="44"/>
    </row>
    <row r="1993" spans="3:13" s="59" customFormat="1" ht="22.2" customHeight="1">
      <c r="C1993" s="288" t="s">
        <v>1218</v>
      </c>
      <c r="D1993" s="76" t="s">
        <v>1219</v>
      </c>
      <c r="E1993" s="77"/>
      <c r="F1993" s="77"/>
      <c r="G1993" s="78"/>
      <c r="H1993" s="585">
        <f>H1992+H1989+H1986</f>
        <v>1786813</v>
      </c>
      <c r="I1993" s="369"/>
    </row>
    <row r="1994" spans="3:13" s="59" customFormat="1" ht="22.2" customHeight="1">
      <c r="C1994" s="288" t="s">
        <v>1220</v>
      </c>
      <c r="D1994" s="76" t="s">
        <v>1321</v>
      </c>
      <c r="E1994" s="77"/>
      <c r="F1994" s="78"/>
      <c r="G1994" s="80">
        <v>0.1</v>
      </c>
      <c r="H1994" s="63">
        <f>H1993*G1994</f>
        <v>178681.30000000002</v>
      </c>
      <c r="I1994" s="369"/>
    </row>
    <row r="1995" spans="3:13" s="59" customFormat="1" ht="22.2" customHeight="1">
      <c r="C1995" s="288" t="s">
        <v>1221</v>
      </c>
      <c r="D1995" s="76" t="s">
        <v>1222</v>
      </c>
      <c r="E1995" s="77"/>
      <c r="F1995" s="77"/>
      <c r="G1995" s="78"/>
      <c r="H1995" s="799">
        <f>SUM(H1993:H1994)</f>
        <v>1965494.3</v>
      </c>
      <c r="I1995" s="369"/>
    </row>
    <row r="1996" spans="3:13" ht="22.2" customHeight="1"/>
    <row r="1997" spans="3:13" ht="22.2" customHeight="1">
      <c r="C1997" s="43" t="s">
        <v>4968</v>
      </c>
      <c r="D1997" s="128" t="s">
        <v>8552</v>
      </c>
      <c r="I1997" s="50">
        <f>ROUNDDOWN(H2013,-2)</f>
        <v>2345900</v>
      </c>
      <c r="J1997" s="59" t="s">
        <v>6451</v>
      </c>
      <c r="K1997" s="59" t="s">
        <v>8371</v>
      </c>
    </row>
    <row r="1998" spans="3:13" s="59" customFormat="1" ht="22.2" customHeight="1">
      <c r="C1998" s="591" t="s">
        <v>1195</v>
      </c>
      <c r="D1998" s="591" t="s">
        <v>1196</v>
      </c>
      <c r="E1998" s="591" t="s">
        <v>1197</v>
      </c>
      <c r="F1998" s="591" t="s">
        <v>1198</v>
      </c>
      <c r="G1998" s="591" t="s">
        <v>1199</v>
      </c>
      <c r="H1998" s="591" t="s">
        <v>1200</v>
      </c>
      <c r="I1998" s="44"/>
    </row>
    <row r="1999" spans="3:13" s="59" customFormat="1" ht="22.2" customHeight="1">
      <c r="C1999" s="61" t="s">
        <v>1201</v>
      </c>
      <c r="D1999" s="56" t="s">
        <v>1202</v>
      </c>
      <c r="E1999" s="57"/>
      <c r="F1999" s="57"/>
      <c r="G1999" s="57"/>
      <c r="H1999" s="57"/>
      <c r="I1999" s="44"/>
      <c r="J1999" s="152" t="s">
        <v>1247</v>
      </c>
    </row>
    <row r="2000" spans="3:13" s="59" customFormat="1" ht="22.2" customHeight="1">
      <c r="C2000" s="588">
        <v>1</v>
      </c>
      <c r="D2000" s="56" t="s">
        <v>5</v>
      </c>
      <c r="E2000" s="577" t="s">
        <v>6</v>
      </c>
      <c r="F2000" s="101">
        <v>1.5449999999999999</v>
      </c>
      <c r="G2000" s="63">
        <f>VLOOKUP(D2000,upahbahan,3,FALSE)</f>
        <v>100000</v>
      </c>
      <c r="H2000" s="63">
        <f>F2000*G2000</f>
        <v>154500</v>
      </c>
      <c r="I2000" s="44"/>
      <c r="J2000" s="152" t="s">
        <v>1248</v>
      </c>
      <c r="M2000" s="65">
        <v>0.1</v>
      </c>
    </row>
    <row r="2001" spans="3:13" s="59" customFormat="1" ht="22.2" customHeight="1">
      <c r="C2001" s="588">
        <v>2</v>
      </c>
      <c r="D2001" s="56" t="s">
        <v>10</v>
      </c>
      <c r="E2001" s="577" t="s">
        <v>6</v>
      </c>
      <c r="F2001" s="101">
        <v>0.309</v>
      </c>
      <c r="G2001" s="63">
        <f>VLOOKUP(D2001,upahbahan,3,FALSE)</f>
        <v>135000</v>
      </c>
      <c r="H2001" s="63">
        <f>F2001*G2001</f>
        <v>41715</v>
      </c>
      <c r="I2001" s="44"/>
      <c r="J2001" s="152"/>
      <c r="M2001" s="65"/>
    </row>
    <row r="2002" spans="3:13" s="59" customFormat="1" ht="22.2" customHeight="1">
      <c r="C2002" s="588">
        <v>3</v>
      </c>
      <c r="D2002" s="56" t="s">
        <v>19</v>
      </c>
      <c r="E2002" s="577" t="s">
        <v>6</v>
      </c>
      <c r="F2002" s="101">
        <v>0.154</v>
      </c>
      <c r="G2002" s="63">
        <f>VLOOKUP(D2002,upahbahan,3,FALSE)</f>
        <v>160000</v>
      </c>
      <c r="H2002" s="63">
        <f t="shared" ref="H2002" si="254">F2002*G2002</f>
        <v>24640</v>
      </c>
      <c r="I2002" s="44"/>
    </row>
    <row r="2003" spans="3:13" s="59" customFormat="1" ht="22.2" customHeight="1">
      <c r="C2003" s="450" t="s">
        <v>1208</v>
      </c>
      <c r="D2003" s="67"/>
      <c r="E2003" s="67"/>
      <c r="F2003" s="142"/>
      <c r="G2003" s="153"/>
      <c r="H2003" s="63">
        <f>SUM(H2000:H2002)</f>
        <v>220855</v>
      </c>
      <c r="I2003" s="154"/>
    </row>
    <row r="2004" spans="3:13" s="59" customFormat="1" ht="22.2" customHeight="1">
      <c r="C2004" s="61" t="s">
        <v>1209</v>
      </c>
      <c r="D2004" s="56" t="s">
        <v>1210</v>
      </c>
      <c r="E2004" s="57"/>
      <c r="F2004" s="57"/>
      <c r="G2004" s="57"/>
      <c r="H2004" s="57"/>
      <c r="I2004" s="44"/>
    </row>
    <row r="2005" spans="3:13" s="59" customFormat="1" ht="22.2" customHeight="1">
      <c r="C2005" s="800">
        <v>1</v>
      </c>
      <c r="D2005" s="56" t="s">
        <v>8553</v>
      </c>
      <c r="E2005" s="93" t="s">
        <v>1300</v>
      </c>
      <c r="F2005" s="104">
        <v>1</v>
      </c>
      <c r="G2005" s="63">
        <f>VLOOKUP(D2005,upahbahan,3,FALSE)</f>
        <v>1790000</v>
      </c>
      <c r="H2005" s="63">
        <f>F2005*G2005</f>
        <v>1790000</v>
      </c>
      <c r="I2005" s="44"/>
    </row>
    <row r="2006" spans="3:13" s="59" customFormat="1" ht="22.2" customHeight="1">
      <c r="C2006" s="450" t="s">
        <v>1214</v>
      </c>
      <c r="D2006" s="67"/>
      <c r="E2006" s="67"/>
      <c r="F2006" s="67"/>
      <c r="G2006" s="69"/>
      <c r="H2006" s="63">
        <f>SUM(H2004:H2005)</f>
        <v>1790000</v>
      </c>
      <c r="I2006" s="44"/>
    </row>
    <row r="2007" spans="3:13" s="59" customFormat="1" ht="22.2" customHeight="1">
      <c r="C2007" s="61" t="s">
        <v>1215</v>
      </c>
      <c r="D2007" s="56" t="s">
        <v>1216</v>
      </c>
      <c r="E2007" s="93"/>
      <c r="F2007" s="57"/>
      <c r="G2007" s="57"/>
      <c r="H2007" s="57"/>
      <c r="I2007" s="44"/>
    </row>
    <row r="2008" spans="3:13" s="59" customFormat="1" ht="22.2" customHeight="1">
      <c r="C2008" s="800">
        <v>1</v>
      </c>
      <c r="D2008" s="56" t="s">
        <v>4970</v>
      </c>
      <c r="E2008" s="93" t="s">
        <v>1974</v>
      </c>
      <c r="F2008" s="885">
        <v>2.3E-2</v>
      </c>
      <c r="G2008" s="63">
        <f>VLOOKUP(D2008,upahbahan,3,FALSE)</f>
        <v>5150000</v>
      </c>
      <c r="H2008" s="63">
        <f>F2008*G2008</f>
        <v>118450</v>
      </c>
      <c r="I2008" s="44"/>
    </row>
    <row r="2009" spans="3:13" s="59" customFormat="1" ht="22.2" customHeight="1">
      <c r="C2009" s="800">
        <v>2</v>
      </c>
      <c r="D2009" s="56" t="s">
        <v>4770</v>
      </c>
      <c r="E2009" s="93" t="s">
        <v>1974</v>
      </c>
      <c r="F2009" s="590">
        <v>3.1E-2</v>
      </c>
      <c r="G2009" s="63">
        <f>VLOOKUP(D2009,upahbahan,3,FALSE)</f>
        <v>108000</v>
      </c>
      <c r="H2009" s="63">
        <f t="shared" ref="H2009" si="255">F2009*G2009</f>
        <v>3348</v>
      </c>
      <c r="I2009" s="44"/>
    </row>
    <row r="2010" spans="3:13" s="59" customFormat="1" ht="22.2" customHeight="1">
      <c r="C2010" s="450" t="s">
        <v>1217</v>
      </c>
      <c r="D2010" s="67"/>
      <c r="E2010" s="67"/>
      <c r="F2010" s="67"/>
      <c r="G2010" s="69"/>
      <c r="H2010" s="882">
        <f>SUM(H2008:H2009)</f>
        <v>121798</v>
      </c>
      <c r="I2010" s="44"/>
    </row>
    <row r="2011" spans="3:13" s="59" customFormat="1" ht="22.2" customHeight="1">
      <c r="C2011" s="288" t="s">
        <v>1218</v>
      </c>
      <c r="D2011" s="76" t="s">
        <v>1219</v>
      </c>
      <c r="E2011" s="77"/>
      <c r="F2011" s="77"/>
      <c r="G2011" s="78"/>
      <c r="H2011" s="585">
        <f>H2010+H2006+H2003</f>
        <v>2132653</v>
      </c>
      <c r="I2011" s="369"/>
    </row>
    <row r="2012" spans="3:13" s="59" customFormat="1" ht="22.2" customHeight="1">
      <c r="C2012" s="288" t="s">
        <v>1220</v>
      </c>
      <c r="D2012" s="76" t="s">
        <v>1321</v>
      </c>
      <c r="E2012" s="77"/>
      <c r="F2012" s="78"/>
      <c r="G2012" s="80">
        <v>0.1</v>
      </c>
      <c r="H2012" s="63">
        <f>H2011*G2012</f>
        <v>213265.30000000002</v>
      </c>
      <c r="I2012" s="369"/>
    </row>
    <row r="2013" spans="3:13" s="59" customFormat="1" ht="22.2" customHeight="1">
      <c r="C2013" s="288" t="s">
        <v>1221</v>
      </c>
      <c r="D2013" s="76" t="s">
        <v>1222</v>
      </c>
      <c r="E2013" s="77"/>
      <c r="F2013" s="77"/>
      <c r="G2013" s="78"/>
      <c r="H2013" s="799">
        <f>SUM(H2011:H2012)</f>
        <v>2345918.2999999998</v>
      </c>
      <c r="I2013" s="369"/>
    </row>
    <row r="2014" spans="3:13" ht="22.2" customHeight="1"/>
    <row r="2015" spans="3:13" ht="22.2" customHeight="1">
      <c r="C2015" s="43" t="s">
        <v>4971</v>
      </c>
      <c r="D2015" s="128" t="s">
        <v>8554</v>
      </c>
      <c r="I2015" s="50">
        <f>ROUNDDOWN(H2031,-2)</f>
        <v>2489100</v>
      </c>
      <c r="J2015" s="59" t="s">
        <v>6451</v>
      </c>
      <c r="K2015" s="59" t="s">
        <v>8371</v>
      </c>
    </row>
    <row r="2016" spans="3:13" s="59" customFormat="1" ht="22.2" customHeight="1">
      <c r="C2016" s="591" t="s">
        <v>1195</v>
      </c>
      <c r="D2016" s="591" t="s">
        <v>1196</v>
      </c>
      <c r="E2016" s="591" t="s">
        <v>1197</v>
      </c>
      <c r="F2016" s="591" t="s">
        <v>1198</v>
      </c>
      <c r="G2016" s="591" t="s">
        <v>1199</v>
      </c>
      <c r="H2016" s="591" t="s">
        <v>1200</v>
      </c>
      <c r="I2016" s="44"/>
    </row>
    <row r="2017" spans="3:13" s="59" customFormat="1" ht="22.2" customHeight="1">
      <c r="C2017" s="61" t="s">
        <v>1201</v>
      </c>
      <c r="D2017" s="56" t="s">
        <v>1202</v>
      </c>
      <c r="E2017" s="57"/>
      <c r="F2017" s="57"/>
      <c r="G2017" s="57"/>
      <c r="H2017" s="57"/>
      <c r="I2017" s="44"/>
      <c r="J2017" s="152" t="s">
        <v>1247</v>
      </c>
    </row>
    <row r="2018" spans="3:13" s="59" customFormat="1" ht="22.2" customHeight="1">
      <c r="C2018" s="588">
        <v>1</v>
      </c>
      <c r="D2018" s="56" t="s">
        <v>5</v>
      </c>
      <c r="E2018" s="577" t="s">
        <v>6</v>
      </c>
      <c r="F2018" s="101">
        <v>1.8129999999999999</v>
      </c>
      <c r="G2018" s="63">
        <f>VLOOKUP(D2018,upahbahan,3,FALSE)</f>
        <v>100000</v>
      </c>
      <c r="H2018" s="63">
        <f>F2018*G2018</f>
        <v>181300</v>
      </c>
      <c r="I2018" s="44"/>
      <c r="J2018" s="152" t="s">
        <v>1248</v>
      </c>
      <c r="M2018" s="65">
        <v>0.1</v>
      </c>
    </row>
    <row r="2019" spans="3:13" s="59" customFormat="1" ht="22.2" customHeight="1">
      <c r="C2019" s="588">
        <v>2</v>
      </c>
      <c r="D2019" s="56" t="s">
        <v>10</v>
      </c>
      <c r="E2019" s="577" t="s">
        <v>6</v>
      </c>
      <c r="F2019" s="101">
        <v>0.36299999999999999</v>
      </c>
      <c r="G2019" s="63">
        <f>VLOOKUP(D2019,upahbahan,3,FALSE)</f>
        <v>135000</v>
      </c>
      <c r="H2019" s="63">
        <f>F2019*G2019</f>
        <v>49005</v>
      </c>
      <c r="I2019" s="44"/>
      <c r="J2019" s="152"/>
      <c r="M2019" s="65"/>
    </row>
    <row r="2020" spans="3:13" s="59" customFormat="1" ht="22.2" customHeight="1">
      <c r="C2020" s="588">
        <v>3</v>
      </c>
      <c r="D2020" s="56" t="s">
        <v>19</v>
      </c>
      <c r="E2020" s="577" t="s">
        <v>6</v>
      </c>
      <c r="F2020" s="101">
        <v>0.18099999999999999</v>
      </c>
      <c r="G2020" s="63">
        <f>VLOOKUP(D2020,upahbahan,3,FALSE)</f>
        <v>160000</v>
      </c>
      <c r="H2020" s="63">
        <f t="shared" ref="H2020" si="256">F2020*G2020</f>
        <v>28960</v>
      </c>
      <c r="I2020" s="44"/>
    </row>
    <row r="2021" spans="3:13" s="59" customFormat="1" ht="22.2" customHeight="1">
      <c r="C2021" s="450" t="s">
        <v>1208</v>
      </c>
      <c r="D2021" s="67"/>
      <c r="E2021" s="67"/>
      <c r="F2021" s="142"/>
      <c r="G2021" s="153"/>
      <c r="H2021" s="63">
        <f>SUM(H2018:H2020)</f>
        <v>259265</v>
      </c>
      <c r="I2021" s="154"/>
    </row>
    <row r="2022" spans="3:13" s="59" customFormat="1" ht="22.2" customHeight="1">
      <c r="C2022" s="61" t="s">
        <v>1209</v>
      </c>
      <c r="D2022" s="56" t="s">
        <v>1210</v>
      </c>
      <c r="E2022" s="57"/>
      <c r="F2022" s="57"/>
      <c r="G2022" s="57"/>
      <c r="H2022" s="57"/>
      <c r="I2022" s="44"/>
    </row>
    <row r="2023" spans="3:13" s="59" customFormat="1" ht="22.2" customHeight="1">
      <c r="C2023" s="800">
        <v>1</v>
      </c>
      <c r="D2023" s="56" t="s">
        <v>8555</v>
      </c>
      <c r="E2023" s="93" t="s">
        <v>1300</v>
      </c>
      <c r="F2023" s="104">
        <v>1</v>
      </c>
      <c r="G2023" s="63">
        <f>VLOOKUP(D2023,upahbahan,3,FALSE)</f>
        <v>1850000</v>
      </c>
      <c r="H2023" s="63">
        <f>F2023*G2023</f>
        <v>1850000</v>
      </c>
      <c r="I2023" s="44"/>
    </row>
    <row r="2024" spans="3:13" s="59" customFormat="1" ht="22.2" customHeight="1">
      <c r="C2024" s="450" t="s">
        <v>1214</v>
      </c>
      <c r="D2024" s="67"/>
      <c r="E2024" s="67"/>
      <c r="F2024" s="67"/>
      <c r="G2024" s="69"/>
      <c r="H2024" s="63">
        <f>SUM(H2022:H2023)</f>
        <v>1850000</v>
      </c>
      <c r="I2024" s="44"/>
    </row>
    <row r="2025" spans="3:13" s="59" customFormat="1" ht="22.2" customHeight="1">
      <c r="C2025" s="61" t="s">
        <v>1215</v>
      </c>
      <c r="D2025" s="56" t="s">
        <v>1216</v>
      </c>
      <c r="E2025" s="93"/>
      <c r="F2025" s="57"/>
      <c r="G2025" s="57"/>
      <c r="H2025" s="57"/>
      <c r="I2025" s="44"/>
    </row>
    <row r="2026" spans="3:13" s="59" customFormat="1" ht="22.2" customHeight="1">
      <c r="C2026" s="800">
        <v>1</v>
      </c>
      <c r="D2026" s="56" t="s">
        <v>4970</v>
      </c>
      <c r="E2026" s="93" t="s">
        <v>1974</v>
      </c>
      <c r="F2026" s="885">
        <v>2.9000000000000001E-2</v>
      </c>
      <c r="G2026" s="63">
        <f>VLOOKUP(D2026,upahbahan,3,FALSE)</f>
        <v>5150000</v>
      </c>
      <c r="H2026" s="63">
        <f>F2026*G2026</f>
        <v>149350</v>
      </c>
      <c r="I2026" s="44"/>
    </row>
    <row r="2027" spans="3:13" s="59" customFormat="1" ht="22.2" customHeight="1">
      <c r="C2027" s="800">
        <v>2</v>
      </c>
      <c r="D2027" s="56" t="s">
        <v>4770</v>
      </c>
      <c r="E2027" s="93" t="s">
        <v>1974</v>
      </c>
      <c r="F2027" s="590">
        <v>3.9E-2</v>
      </c>
      <c r="G2027" s="63">
        <f>VLOOKUP(D2027,upahbahan,3,FALSE)</f>
        <v>108000</v>
      </c>
      <c r="H2027" s="63">
        <f t="shared" ref="H2027" si="257">F2027*G2027</f>
        <v>4212</v>
      </c>
      <c r="I2027" s="44"/>
    </row>
    <row r="2028" spans="3:13" s="59" customFormat="1" ht="22.2" customHeight="1">
      <c r="C2028" s="450" t="s">
        <v>1217</v>
      </c>
      <c r="D2028" s="67"/>
      <c r="E2028" s="67"/>
      <c r="F2028" s="67"/>
      <c r="G2028" s="69"/>
      <c r="H2028" s="882">
        <f>SUM(H2026:H2027)</f>
        <v>153562</v>
      </c>
      <c r="I2028" s="44"/>
    </row>
    <row r="2029" spans="3:13" s="59" customFormat="1" ht="22.2" customHeight="1">
      <c r="C2029" s="288" t="s">
        <v>1218</v>
      </c>
      <c r="D2029" s="76" t="s">
        <v>1219</v>
      </c>
      <c r="E2029" s="77"/>
      <c r="F2029" s="77"/>
      <c r="G2029" s="78"/>
      <c r="H2029" s="585">
        <f>H2028+H2024+H2021</f>
        <v>2262827</v>
      </c>
      <c r="I2029" s="369"/>
    </row>
    <row r="2030" spans="3:13" s="59" customFormat="1" ht="22.2" customHeight="1">
      <c r="C2030" s="288" t="s">
        <v>1220</v>
      </c>
      <c r="D2030" s="76" t="s">
        <v>1321</v>
      </c>
      <c r="E2030" s="77"/>
      <c r="F2030" s="78"/>
      <c r="G2030" s="80">
        <v>0.1</v>
      </c>
      <c r="H2030" s="63">
        <f>H2029*G2030</f>
        <v>226282.7</v>
      </c>
      <c r="I2030" s="369"/>
    </row>
    <row r="2031" spans="3:13" s="59" customFormat="1" ht="22.2" customHeight="1">
      <c r="C2031" s="288" t="s">
        <v>1221</v>
      </c>
      <c r="D2031" s="76" t="s">
        <v>1222</v>
      </c>
      <c r="E2031" s="77"/>
      <c r="F2031" s="77"/>
      <c r="G2031" s="78"/>
      <c r="H2031" s="799">
        <f>SUM(H2029:H2030)</f>
        <v>2489109.7000000002</v>
      </c>
      <c r="I2031" s="369"/>
    </row>
    <row r="2032" spans="3:13" ht="22.2" customHeight="1"/>
    <row r="2033" spans="3:13" ht="22.2" customHeight="1">
      <c r="C2033" s="43" t="s">
        <v>4973</v>
      </c>
      <c r="D2033" s="128" t="s">
        <v>8556</v>
      </c>
      <c r="I2033" s="50">
        <f>ROUNDDOWN(H2049,-2)</f>
        <v>2675900</v>
      </c>
      <c r="J2033" s="59" t="s">
        <v>6451</v>
      </c>
      <c r="K2033" s="59" t="s">
        <v>8371</v>
      </c>
    </row>
    <row r="2034" spans="3:13" s="59" customFormat="1" ht="22.2" customHeight="1">
      <c r="C2034" s="591" t="s">
        <v>1195</v>
      </c>
      <c r="D2034" s="591" t="s">
        <v>1196</v>
      </c>
      <c r="E2034" s="591" t="s">
        <v>1197</v>
      </c>
      <c r="F2034" s="591" t="s">
        <v>1198</v>
      </c>
      <c r="G2034" s="591" t="s">
        <v>1199</v>
      </c>
      <c r="H2034" s="591" t="s">
        <v>1200</v>
      </c>
      <c r="I2034" s="44"/>
    </row>
    <row r="2035" spans="3:13" s="59" customFormat="1" ht="22.2" customHeight="1">
      <c r="C2035" s="61" t="s">
        <v>1201</v>
      </c>
      <c r="D2035" s="56" t="s">
        <v>1202</v>
      </c>
      <c r="E2035" s="57"/>
      <c r="F2035" s="57"/>
      <c r="G2035" s="57"/>
      <c r="H2035" s="57"/>
      <c r="I2035" s="44"/>
      <c r="J2035" s="152" t="s">
        <v>1247</v>
      </c>
    </row>
    <row r="2036" spans="3:13" s="59" customFormat="1" ht="22.2" customHeight="1">
      <c r="C2036" s="588">
        <v>1</v>
      </c>
      <c r="D2036" s="56" t="s">
        <v>5</v>
      </c>
      <c r="E2036" s="577" t="s">
        <v>6</v>
      </c>
      <c r="F2036" s="101">
        <v>2.0470000000000002</v>
      </c>
      <c r="G2036" s="63">
        <f>VLOOKUP(D2036,upahbahan,3,FALSE)</f>
        <v>100000</v>
      </c>
      <c r="H2036" s="63">
        <f>F2036*G2036</f>
        <v>204700.00000000003</v>
      </c>
      <c r="I2036" s="44"/>
      <c r="J2036" s="152" t="s">
        <v>1248</v>
      </c>
      <c r="M2036" s="65">
        <v>0.1</v>
      </c>
    </row>
    <row r="2037" spans="3:13" s="59" customFormat="1" ht="22.2" customHeight="1">
      <c r="C2037" s="588">
        <v>2</v>
      </c>
      <c r="D2037" s="56" t="s">
        <v>10</v>
      </c>
      <c r="E2037" s="577" t="s">
        <v>6</v>
      </c>
      <c r="F2037" s="101">
        <v>0.40899999999999997</v>
      </c>
      <c r="G2037" s="63">
        <f>VLOOKUP(D2037,upahbahan,3,FALSE)</f>
        <v>135000</v>
      </c>
      <c r="H2037" s="63">
        <f>F2037*G2037</f>
        <v>55215</v>
      </c>
      <c r="I2037" s="44"/>
      <c r="J2037" s="152"/>
      <c r="M2037" s="65"/>
    </row>
    <row r="2038" spans="3:13" s="59" customFormat="1" ht="22.2" customHeight="1">
      <c r="C2038" s="588">
        <v>3</v>
      </c>
      <c r="D2038" s="56" t="s">
        <v>19</v>
      </c>
      <c r="E2038" s="577" t="s">
        <v>6</v>
      </c>
      <c r="F2038" s="101">
        <v>0.20499999999999999</v>
      </c>
      <c r="G2038" s="63">
        <f>VLOOKUP(D2038,upahbahan,3,FALSE)</f>
        <v>160000</v>
      </c>
      <c r="H2038" s="63">
        <f t="shared" ref="H2038" si="258">F2038*G2038</f>
        <v>32800</v>
      </c>
      <c r="I2038" s="44"/>
    </row>
    <row r="2039" spans="3:13" s="59" customFormat="1" ht="22.2" customHeight="1">
      <c r="C2039" s="450" t="s">
        <v>1208</v>
      </c>
      <c r="D2039" s="67"/>
      <c r="E2039" s="67"/>
      <c r="F2039" s="142"/>
      <c r="G2039" s="153"/>
      <c r="H2039" s="63">
        <f>SUM(H2036:H2038)</f>
        <v>292715</v>
      </c>
      <c r="I2039" s="154"/>
    </row>
    <row r="2040" spans="3:13" s="59" customFormat="1" ht="22.2" customHeight="1">
      <c r="C2040" s="61" t="s">
        <v>1209</v>
      </c>
      <c r="D2040" s="56" t="s">
        <v>1210</v>
      </c>
      <c r="E2040" s="57"/>
      <c r="F2040" s="57"/>
      <c r="G2040" s="57"/>
      <c r="H2040" s="57"/>
      <c r="I2040" s="44"/>
    </row>
    <row r="2041" spans="3:13" s="59" customFormat="1" ht="22.2" customHeight="1">
      <c r="C2041" s="800">
        <v>1</v>
      </c>
      <c r="D2041" s="56" t="s">
        <v>8557</v>
      </c>
      <c r="E2041" s="93" t="s">
        <v>1300</v>
      </c>
      <c r="F2041" s="104">
        <v>1</v>
      </c>
      <c r="G2041" s="63">
        <f>VLOOKUP(D2041,upahbahan,3,FALSE)</f>
        <v>1960000</v>
      </c>
      <c r="H2041" s="63">
        <f>F2041*G2041</f>
        <v>1960000</v>
      </c>
      <c r="I2041" s="44"/>
    </row>
    <row r="2042" spans="3:13" s="59" customFormat="1" ht="22.2" customHeight="1">
      <c r="C2042" s="450" t="s">
        <v>1214</v>
      </c>
      <c r="D2042" s="67"/>
      <c r="E2042" s="67"/>
      <c r="F2042" s="67"/>
      <c r="G2042" s="69"/>
      <c r="H2042" s="63">
        <f>SUM(H2040:H2041)</f>
        <v>1960000</v>
      </c>
      <c r="I2042" s="44"/>
    </row>
    <row r="2043" spans="3:13" s="59" customFormat="1" ht="22.2" customHeight="1">
      <c r="C2043" s="61" t="s">
        <v>1215</v>
      </c>
      <c r="D2043" s="56" t="s">
        <v>1216</v>
      </c>
      <c r="E2043" s="93"/>
      <c r="F2043" s="57"/>
      <c r="G2043" s="57"/>
      <c r="H2043" s="57"/>
      <c r="I2043" s="44"/>
    </row>
    <row r="2044" spans="3:13" s="59" customFormat="1" ht="22.2" customHeight="1">
      <c r="C2044" s="800">
        <v>1</v>
      </c>
      <c r="D2044" s="56" t="s">
        <v>4970</v>
      </c>
      <c r="E2044" s="93" t="s">
        <v>1974</v>
      </c>
      <c r="F2044" s="885">
        <v>3.4000000000000002E-2</v>
      </c>
      <c r="G2044" s="63">
        <f>VLOOKUP(D2044,upahbahan,3,FALSE)</f>
        <v>5150000</v>
      </c>
      <c r="H2044" s="63">
        <f>F2044*G2044</f>
        <v>175100</v>
      </c>
      <c r="I2044" s="44"/>
    </row>
    <row r="2045" spans="3:13" s="59" customFormat="1" ht="22.2" customHeight="1">
      <c r="C2045" s="800">
        <v>2</v>
      </c>
      <c r="D2045" s="56" t="s">
        <v>4770</v>
      </c>
      <c r="E2045" s="93" t="s">
        <v>1974</v>
      </c>
      <c r="F2045" s="590">
        <v>4.4999999999999998E-2</v>
      </c>
      <c r="G2045" s="63">
        <f>VLOOKUP(D2045,upahbahan,3,FALSE)</f>
        <v>108000</v>
      </c>
      <c r="H2045" s="63">
        <f t="shared" ref="H2045" si="259">F2045*G2045</f>
        <v>4860</v>
      </c>
      <c r="I2045" s="44"/>
    </row>
    <row r="2046" spans="3:13" s="59" customFormat="1" ht="22.2" customHeight="1">
      <c r="C2046" s="450" t="s">
        <v>1217</v>
      </c>
      <c r="D2046" s="67"/>
      <c r="E2046" s="67"/>
      <c r="F2046" s="67"/>
      <c r="G2046" s="69"/>
      <c r="H2046" s="882">
        <f>SUM(H2044:H2045)</f>
        <v>179960</v>
      </c>
      <c r="I2046" s="44"/>
    </row>
    <row r="2047" spans="3:13" s="59" customFormat="1" ht="22.2" customHeight="1">
      <c r="C2047" s="288" t="s">
        <v>1218</v>
      </c>
      <c r="D2047" s="76" t="s">
        <v>1219</v>
      </c>
      <c r="E2047" s="77"/>
      <c r="F2047" s="77"/>
      <c r="G2047" s="78"/>
      <c r="H2047" s="585">
        <f>H2046+H2042+H2039</f>
        <v>2432675</v>
      </c>
      <c r="I2047" s="369"/>
    </row>
    <row r="2048" spans="3:13" s="59" customFormat="1" ht="22.2" customHeight="1">
      <c r="C2048" s="288" t="s">
        <v>1220</v>
      </c>
      <c r="D2048" s="76" t="s">
        <v>1321</v>
      </c>
      <c r="E2048" s="77"/>
      <c r="F2048" s="78"/>
      <c r="G2048" s="80">
        <v>0.1</v>
      </c>
      <c r="H2048" s="63">
        <f>H2047*G2048</f>
        <v>243267.5</v>
      </c>
      <c r="I2048" s="369"/>
    </row>
    <row r="2049" spans="3:13" s="59" customFormat="1" ht="22.2" customHeight="1">
      <c r="C2049" s="288" t="s">
        <v>1221</v>
      </c>
      <c r="D2049" s="76" t="s">
        <v>1222</v>
      </c>
      <c r="E2049" s="77"/>
      <c r="F2049" s="77"/>
      <c r="G2049" s="78"/>
      <c r="H2049" s="799">
        <f>SUM(H2047:H2048)</f>
        <v>2675942.5</v>
      </c>
      <c r="I2049" s="369"/>
    </row>
    <row r="2050" spans="3:13" ht="22.2" customHeight="1"/>
    <row r="2051" spans="3:13" ht="22.2" customHeight="1">
      <c r="C2051" s="43" t="s">
        <v>4975</v>
      </c>
      <c r="D2051" s="128" t="s">
        <v>8558</v>
      </c>
      <c r="I2051" s="50">
        <f>ROUNDDOWN(H2067,-2)</f>
        <v>3119500</v>
      </c>
      <c r="J2051" s="59" t="s">
        <v>6451</v>
      </c>
      <c r="K2051" s="59" t="s">
        <v>8371</v>
      </c>
    </row>
    <row r="2052" spans="3:13" s="59" customFormat="1" ht="22.2" customHeight="1">
      <c r="C2052" s="591" t="s">
        <v>1195</v>
      </c>
      <c r="D2052" s="591" t="s">
        <v>1196</v>
      </c>
      <c r="E2052" s="591" t="s">
        <v>1197</v>
      </c>
      <c r="F2052" s="591" t="s">
        <v>1198</v>
      </c>
      <c r="G2052" s="591" t="s">
        <v>1199</v>
      </c>
      <c r="H2052" s="591" t="s">
        <v>1200</v>
      </c>
      <c r="I2052" s="44"/>
    </row>
    <row r="2053" spans="3:13" s="59" customFormat="1" ht="22.2" customHeight="1">
      <c r="C2053" s="61" t="s">
        <v>1201</v>
      </c>
      <c r="D2053" s="56" t="s">
        <v>1202</v>
      </c>
      <c r="E2053" s="57"/>
      <c r="F2053" s="57"/>
      <c r="G2053" s="57"/>
      <c r="H2053" s="57"/>
      <c r="I2053" s="44"/>
      <c r="J2053" s="152" t="s">
        <v>1247</v>
      </c>
    </row>
    <row r="2054" spans="3:13" s="59" customFormat="1" ht="22.2" customHeight="1">
      <c r="C2054" s="588">
        <v>1</v>
      </c>
      <c r="D2054" s="56" t="s">
        <v>5</v>
      </c>
      <c r="E2054" s="577" t="s">
        <v>6</v>
      </c>
      <c r="F2054" s="101">
        <v>2.8940000000000001</v>
      </c>
      <c r="G2054" s="63">
        <f>VLOOKUP(D2054,upahbahan,3,FALSE)</f>
        <v>100000</v>
      </c>
      <c r="H2054" s="63">
        <f>F2054*G2054</f>
        <v>289400</v>
      </c>
      <c r="I2054" s="44"/>
      <c r="J2054" s="152" t="s">
        <v>1248</v>
      </c>
      <c r="M2054" s="65">
        <v>0.1</v>
      </c>
    </row>
    <row r="2055" spans="3:13" s="59" customFormat="1" ht="22.2" customHeight="1">
      <c r="C2055" s="588">
        <v>2</v>
      </c>
      <c r="D2055" s="56" t="s">
        <v>10</v>
      </c>
      <c r="E2055" s="577" t="s">
        <v>6</v>
      </c>
      <c r="F2055" s="101">
        <v>0.57899999999999996</v>
      </c>
      <c r="G2055" s="63">
        <f>VLOOKUP(D2055,upahbahan,3,FALSE)</f>
        <v>135000</v>
      </c>
      <c r="H2055" s="63">
        <f>F2055*G2055</f>
        <v>78165</v>
      </c>
      <c r="I2055" s="44"/>
      <c r="J2055" s="152"/>
      <c r="M2055" s="65"/>
    </row>
    <row r="2056" spans="3:13" s="59" customFormat="1" ht="22.2" customHeight="1">
      <c r="C2056" s="588">
        <v>3</v>
      </c>
      <c r="D2056" s="56" t="s">
        <v>19</v>
      </c>
      <c r="E2056" s="577" t="s">
        <v>6</v>
      </c>
      <c r="F2056" s="101">
        <v>0.28999999999999998</v>
      </c>
      <c r="G2056" s="63">
        <f>VLOOKUP(D2056,upahbahan,3,FALSE)</f>
        <v>160000</v>
      </c>
      <c r="H2056" s="63">
        <f t="shared" ref="H2056" si="260">F2056*G2056</f>
        <v>46400</v>
      </c>
      <c r="I2056" s="44"/>
    </row>
    <row r="2057" spans="3:13" s="59" customFormat="1" ht="22.2" customHeight="1">
      <c r="C2057" s="450" t="s">
        <v>1208</v>
      </c>
      <c r="D2057" s="67"/>
      <c r="E2057" s="67"/>
      <c r="F2057" s="142"/>
      <c r="G2057" s="153"/>
      <c r="H2057" s="63">
        <f>SUM(H2054:H2056)</f>
        <v>413965</v>
      </c>
      <c r="I2057" s="154"/>
    </row>
    <row r="2058" spans="3:13" s="59" customFormat="1" ht="22.2" customHeight="1">
      <c r="C2058" s="61" t="s">
        <v>1209</v>
      </c>
      <c r="D2058" s="56" t="s">
        <v>1210</v>
      </c>
      <c r="E2058" s="57"/>
      <c r="F2058" s="57"/>
      <c r="G2058" s="57"/>
      <c r="H2058" s="57"/>
      <c r="I2058" s="44"/>
    </row>
    <row r="2059" spans="3:13" s="59" customFormat="1" ht="22.2" customHeight="1">
      <c r="C2059" s="800">
        <v>1</v>
      </c>
      <c r="D2059" s="56" t="s">
        <v>8559</v>
      </c>
      <c r="E2059" s="93" t="s">
        <v>1300</v>
      </c>
      <c r="F2059" s="104">
        <v>1</v>
      </c>
      <c r="G2059" s="63">
        <f>VLOOKUP(D2059,upahbahan,3,FALSE)</f>
        <v>2115000</v>
      </c>
      <c r="H2059" s="63">
        <f>F2059*G2059</f>
        <v>2115000</v>
      </c>
      <c r="I2059" s="44"/>
    </row>
    <row r="2060" spans="3:13" s="59" customFormat="1" ht="22.2" customHeight="1">
      <c r="C2060" s="450" t="s">
        <v>1214</v>
      </c>
      <c r="D2060" s="67"/>
      <c r="E2060" s="67"/>
      <c r="F2060" s="67"/>
      <c r="G2060" s="69"/>
      <c r="H2060" s="63">
        <f>SUM(H2058:H2059)</f>
        <v>2115000</v>
      </c>
      <c r="I2060" s="44"/>
    </row>
    <row r="2061" spans="3:13" s="59" customFormat="1" ht="22.2" customHeight="1">
      <c r="C2061" s="61" t="s">
        <v>1215</v>
      </c>
      <c r="D2061" s="56" t="s">
        <v>1216</v>
      </c>
      <c r="E2061" s="93"/>
      <c r="F2061" s="57"/>
      <c r="G2061" s="57"/>
      <c r="H2061" s="57"/>
      <c r="I2061" s="44"/>
    </row>
    <row r="2062" spans="3:13" s="59" customFormat="1" ht="22.2" customHeight="1">
      <c r="C2062" s="800">
        <v>1</v>
      </c>
      <c r="D2062" s="56" t="s">
        <v>4970</v>
      </c>
      <c r="E2062" s="93" t="s">
        <v>1974</v>
      </c>
      <c r="F2062" s="885">
        <v>5.8000000000000003E-2</v>
      </c>
      <c r="G2062" s="63">
        <f>VLOOKUP(D2062,upahbahan,3,FALSE)</f>
        <v>5150000</v>
      </c>
      <c r="H2062" s="63">
        <f>F2062*G2062</f>
        <v>298700</v>
      </c>
      <c r="I2062" s="44"/>
    </row>
    <row r="2063" spans="3:13" s="59" customFormat="1" ht="22.2" customHeight="1">
      <c r="C2063" s="800">
        <v>2</v>
      </c>
      <c r="D2063" s="56" t="s">
        <v>4770</v>
      </c>
      <c r="E2063" s="93" t="s">
        <v>1974</v>
      </c>
      <c r="F2063" s="590">
        <v>7.6999999999999999E-2</v>
      </c>
      <c r="G2063" s="63">
        <f>VLOOKUP(D2063,upahbahan,3,FALSE)</f>
        <v>108000</v>
      </c>
      <c r="H2063" s="63">
        <f t="shared" ref="H2063" si="261">F2063*G2063</f>
        <v>8316</v>
      </c>
      <c r="I2063" s="44"/>
    </row>
    <row r="2064" spans="3:13" s="59" customFormat="1" ht="22.2" customHeight="1">
      <c r="C2064" s="450" t="s">
        <v>1217</v>
      </c>
      <c r="D2064" s="67"/>
      <c r="E2064" s="67"/>
      <c r="F2064" s="67"/>
      <c r="G2064" s="69"/>
      <c r="H2064" s="882">
        <f>SUM(H2062:H2063)</f>
        <v>307016</v>
      </c>
      <c r="I2064" s="44"/>
    </row>
    <row r="2065" spans="3:13" s="59" customFormat="1" ht="22.2" customHeight="1">
      <c r="C2065" s="288" t="s">
        <v>1218</v>
      </c>
      <c r="D2065" s="76" t="s">
        <v>1219</v>
      </c>
      <c r="E2065" s="77"/>
      <c r="F2065" s="77"/>
      <c r="G2065" s="78"/>
      <c r="H2065" s="585">
        <f>H2064+H2060+H2057</f>
        <v>2835981</v>
      </c>
      <c r="I2065" s="369"/>
    </row>
    <row r="2066" spans="3:13" s="59" customFormat="1" ht="22.2" customHeight="1">
      <c r="C2066" s="288" t="s">
        <v>1220</v>
      </c>
      <c r="D2066" s="76" t="s">
        <v>1321</v>
      </c>
      <c r="E2066" s="77"/>
      <c r="F2066" s="78"/>
      <c r="G2066" s="80">
        <v>0.1</v>
      </c>
      <c r="H2066" s="63">
        <f>H2065*G2066</f>
        <v>283598.10000000003</v>
      </c>
      <c r="I2066" s="369"/>
    </row>
    <row r="2067" spans="3:13" s="59" customFormat="1" ht="22.2" customHeight="1">
      <c r="C2067" s="288" t="s">
        <v>1221</v>
      </c>
      <c r="D2067" s="76" t="s">
        <v>1222</v>
      </c>
      <c r="E2067" s="77"/>
      <c r="F2067" s="77"/>
      <c r="G2067" s="78"/>
      <c r="H2067" s="799">
        <f>SUM(H2065:H2066)</f>
        <v>3119579.1</v>
      </c>
      <c r="I2067" s="369"/>
    </row>
    <row r="2068" spans="3:13" ht="22.2" customHeight="1"/>
    <row r="2069" spans="3:13" ht="22.2" customHeight="1">
      <c r="C2069" s="43" t="s">
        <v>4977</v>
      </c>
      <c r="D2069" s="128" t="s">
        <v>8560</v>
      </c>
      <c r="I2069" s="50">
        <f>ROUNDDOWN(H2085,-2)</f>
        <v>3705600</v>
      </c>
      <c r="J2069" s="59" t="s">
        <v>6451</v>
      </c>
      <c r="K2069" s="59" t="s">
        <v>8371</v>
      </c>
    </row>
    <row r="2070" spans="3:13" s="59" customFormat="1" ht="22.2" customHeight="1">
      <c r="C2070" s="591" t="s">
        <v>1195</v>
      </c>
      <c r="D2070" s="591" t="s">
        <v>1196</v>
      </c>
      <c r="E2070" s="591" t="s">
        <v>1197</v>
      </c>
      <c r="F2070" s="591" t="s">
        <v>1198</v>
      </c>
      <c r="G2070" s="591" t="s">
        <v>1199</v>
      </c>
      <c r="H2070" s="591" t="s">
        <v>1200</v>
      </c>
      <c r="I2070" s="44"/>
    </row>
    <row r="2071" spans="3:13" s="59" customFormat="1" ht="22.2" customHeight="1">
      <c r="C2071" s="61" t="s">
        <v>1201</v>
      </c>
      <c r="D2071" s="56" t="s">
        <v>1202</v>
      </c>
      <c r="E2071" s="57"/>
      <c r="F2071" s="57"/>
      <c r="G2071" s="57"/>
      <c r="H2071" s="57"/>
      <c r="I2071" s="44"/>
      <c r="J2071" s="152" t="s">
        <v>1247</v>
      </c>
    </row>
    <row r="2072" spans="3:13" s="59" customFormat="1" ht="22.2" customHeight="1">
      <c r="C2072" s="588">
        <v>1</v>
      </c>
      <c r="D2072" s="56" t="s">
        <v>5</v>
      </c>
      <c r="E2072" s="577" t="s">
        <v>6</v>
      </c>
      <c r="F2072" s="101">
        <v>3.859</v>
      </c>
      <c r="G2072" s="63">
        <f>VLOOKUP(D2072,upahbahan,3,FALSE)</f>
        <v>100000</v>
      </c>
      <c r="H2072" s="63">
        <f>F2072*G2072</f>
        <v>385900</v>
      </c>
      <c r="I2072" s="44"/>
      <c r="J2072" s="152" t="s">
        <v>1248</v>
      </c>
      <c r="M2072" s="65">
        <v>0.1</v>
      </c>
    </row>
    <row r="2073" spans="3:13" s="59" customFormat="1" ht="22.2" customHeight="1">
      <c r="C2073" s="588">
        <v>2</v>
      </c>
      <c r="D2073" s="56" t="s">
        <v>10</v>
      </c>
      <c r="E2073" s="577" t="s">
        <v>6</v>
      </c>
      <c r="F2073" s="101">
        <v>0.77200000000000002</v>
      </c>
      <c r="G2073" s="63">
        <f>VLOOKUP(D2073,upahbahan,3,FALSE)</f>
        <v>135000</v>
      </c>
      <c r="H2073" s="63">
        <f>F2073*G2073</f>
        <v>104220</v>
      </c>
      <c r="I2073" s="44"/>
      <c r="J2073" s="152"/>
      <c r="M2073" s="65"/>
    </row>
    <row r="2074" spans="3:13" s="59" customFormat="1" ht="22.2" customHeight="1">
      <c r="C2074" s="588">
        <v>3</v>
      </c>
      <c r="D2074" s="56" t="s">
        <v>19</v>
      </c>
      <c r="E2074" s="577" t="s">
        <v>6</v>
      </c>
      <c r="F2074" s="101">
        <v>0.38600000000000001</v>
      </c>
      <c r="G2074" s="63">
        <f>VLOOKUP(D2074,upahbahan,3,FALSE)</f>
        <v>160000</v>
      </c>
      <c r="H2074" s="63">
        <f t="shared" ref="H2074" si="262">F2074*G2074</f>
        <v>61760</v>
      </c>
      <c r="I2074" s="44"/>
    </row>
    <row r="2075" spans="3:13" s="59" customFormat="1" ht="22.2" customHeight="1">
      <c r="C2075" s="450" t="s">
        <v>1208</v>
      </c>
      <c r="D2075" s="67"/>
      <c r="E2075" s="67"/>
      <c r="F2075" s="142"/>
      <c r="G2075" s="153"/>
      <c r="H2075" s="63">
        <f>SUM(H2072:H2074)</f>
        <v>551880</v>
      </c>
      <c r="I2075" s="154"/>
    </row>
    <row r="2076" spans="3:13" s="59" customFormat="1" ht="22.2" customHeight="1">
      <c r="C2076" s="61" t="s">
        <v>1209</v>
      </c>
      <c r="D2076" s="56" t="s">
        <v>1210</v>
      </c>
      <c r="E2076" s="57"/>
      <c r="F2076" s="57"/>
      <c r="G2076" s="57"/>
      <c r="H2076" s="57"/>
      <c r="I2076" s="44"/>
    </row>
    <row r="2077" spans="3:13" s="59" customFormat="1" ht="22.2" customHeight="1">
      <c r="C2077" s="800">
        <v>1</v>
      </c>
      <c r="D2077" s="56" t="s">
        <v>8561</v>
      </c>
      <c r="E2077" s="93" t="s">
        <v>1300</v>
      </c>
      <c r="F2077" s="104">
        <v>1</v>
      </c>
      <c r="G2077" s="63">
        <f>VLOOKUP(D2077,upahbahan,3,FALSE)</f>
        <v>2360000</v>
      </c>
      <c r="H2077" s="63">
        <f>F2077*G2077</f>
        <v>2360000</v>
      </c>
      <c r="I2077" s="44"/>
    </row>
    <row r="2078" spans="3:13" s="59" customFormat="1" ht="22.2" customHeight="1">
      <c r="C2078" s="450" t="s">
        <v>1214</v>
      </c>
      <c r="D2078" s="67"/>
      <c r="E2078" s="67"/>
      <c r="F2078" s="67"/>
      <c r="G2078" s="69"/>
      <c r="H2078" s="63">
        <f>SUM(H2076:H2077)</f>
        <v>2360000</v>
      </c>
      <c r="I2078" s="44"/>
    </row>
    <row r="2079" spans="3:13" s="59" customFormat="1" ht="22.2" customHeight="1">
      <c r="C2079" s="61" t="s">
        <v>1215</v>
      </c>
      <c r="D2079" s="56" t="s">
        <v>1216</v>
      </c>
      <c r="E2079" s="93"/>
      <c r="F2079" s="57"/>
      <c r="G2079" s="57"/>
      <c r="H2079" s="57"/>
      <c r="I2079" s="44"/>
    </row>
    <row r="2080" spans="3:13" s="59" customFormat="1" ht="22.2" customHeight="1">
      <c r="C2080" s="800">
        <v>1</v>
      </c>
      <c r="D2080" s="56" t="s">
        <v>4970</v>
      </c>
      <c r="E2080" s="93" t="s">
        <v>1974</v>
      </c>
      <c r="F2080" s="885">
        <v>8.4000000000000005E-2</v>
      </c>
      <c r="G2080" s="63">
        <f>VLOOKUP(D2080,upahbahan,3,FALSE)</f>
        <v>5150000</v>
      </c>
      <c r="H2080" s="63">
        <f>F2080*G2080</f>
        <v>432600</v>
      </c>
      <c r="I2080" s="44"/>
    </row>
    <row r="2081" spans="3:13" s="59" customFormat="1" ht="22.2" customHeight="1">
      <c r="C2081" s="800">
        <v>2</v>
      </c>
      <c r="D2081" s="56" t="s">
        <v>4770</v>
      </c>
      <c r="E2081" s="93" t="s">
        <v>1974</v>
      </c>
      <c r="F2081" s="590">
        <v>0.22500000000000001</v>
      </c>
      <c r="G2081" s="63">
        <f>VLOOKUP(D2081,upahbahan,3,FALSE)</f>
        <v>108000</v>
      </c>
      <c r="H2081" s="63">
        <f t="shared" ref="H2081" si="263">F2081*G2081</f>
        <v>24300</v>
      </c>
      <c r="I2081" s="44"/>
    </row>
    <row r="2082" spans="3:13" s="59" customFormat="1" ht="22.2" customHeight="1">
      <c r="C2082" s="450" t="s">
        <v>1217</v>
      </c>
      <c r="D2082" s="67"/>
      <c r="E2082" s="67"/>
      <c r="F2082" s="67"/>
      <c r="G2082" s="69"/>
      <c r="H2082" s="882">
        <f>SUM(H2080:H2081)</f>
        <v>456900</v>
      </c>
      <c r="I2082" s="44"/>
    </row>
    <row r="2083" spans="3:13" s="59" customFormat="1" ht="22.2" customHeight="1">
      <c r="C2083" s="288" t="s">
        <v>1218</v>
      </c>
      <c r="D2083" s="76" t="s">
        <v>1219</v>
      </c>
      <c r="E2083" s="77"/>
      <c r="F2083" s="77"/>
      <c r="G2083" s="78"/>
      <c r="H2083" s="585">
        <f>H2082+H2078+H2075</f>
        <v>3368780</v>
      </c>
      <c r="I2083" s="369"/>
    </row>
    <row r="2084" spans="3:13" s="59" customFormat="1" ht="22.2" customHeight="1">
      <c r="C2084" s="288" t="s">
        <v>1220</v>
      </c>
      <c r="D2084" s="76" t="s">
        <v>1321</v>
      </c>
      <c r="E2084" s="77"/>
      <c r="F2084" s="78"/>
      <c r="G2084" s="80">
        <v>0.1</v>
      </c>
      <c r="H2084" s="63">
        <f>H2083*G2084</f>
        <v>336878</v>
      </c>
      <c r="I2084" s="369"/>
    </row>
    <row r="2085" spans="3:13" s="59" customFormat="1" ht="22.2" customHeight="1">
      <c r="C2085" s="288" t="s">
        <v>1221</v>
      </c>
      <c r="D2085" s="76" t="s">
        <v>1222</v>
      </c>
      <c r="E2085" s="77"/>
      <c r="F2085" s="77"/>
      <c r="G2085" s="78"/>
      <c r="H2085" s="799">
        <f>SUM(H2083:H2084)</f>
        <v>3705658</v>
      </c>
      <c r="I2085" s="369"/>
    </row>
    <row r="2086" spans="3:13" ht="22.2" customHeight="1"/>
    <row r="2087" spans="3:13" ht="22.2" customHeight="1">
      <c r="C2087" s="43" t="s">
        <v>4979</v>
      </c>
      <c r="D2087" s="128" t="s">
        <v>8562</v>
      </c>
      <c r="I2087" s="50">
        <f>ROUNDDOWN(H2103,-2)</f>
        <v>4025900</v>
      </c>
      <c r="J2087" s="59" t="s">
        <v>6451</v>
      </c>
      <c r="K2087" s="59" t="s">
        <v>8371</v>
      </c>
    </row>
    <row r="2088" spans="3:13" s="59" customFormat="1" ht="22.2" customHeight="1">
      <c r="C2088" s="591" t="s">
        <v>1195</v>
      </c>
      <c r="D2088" s="591" t="s">
        <v>1196</v>
      </c>
      <c r="E2088" s="591" t="s">
        <v>1197</v>
      </c>
      <c r="F2088" s="591" t="s">
        <v>1198</v>
      </c>
      <c r="G2088" s="591" t="s">
        <v>1199</v>
      </c>
      <c r="H2088" s="591" t="s">
        <v>1200</v>
      </c>
      <c r="I2088" s="44"/>
    </row>
    <row r="2089" spans="3:13" s="59" customFormat="1" ht="22.2" customHeight="1">
      <c r="C2089" s="61" t="s">
        <v>1201</v>
      </c>
      <c r="D2089" s="56" t="s">
        <v>1202</v>
      </c>
      <c r="E2089" s="57"/>
      <c r="F2089" s="57"/>
      <c r="G2089" s="57"/>
      <c r="H2089" s="57"/>
      <c r="I2089" s="44"/>
      <c r="J2089" s="152" t="s">
        <v>1247</v>
      </c>
    </row>
    <row r="2090" spans="3:13" s="59" customFormat="1" ht="22.2" customHeight="1">
      <c r="C2090" s="588">
        <v>1</v>
      </c>
      <c r="D2090" s="56" t="s">
        <v>5</v>
      </c>
      <c r="E2090" s="577" t="s">
        <v>6</v>
      </c>
      <c r="F2090" s="101">
        <v>4.9950000000000001</v>
      </c>
      <c r="G2090" s="63">
        <f>VLOOKUP(D2090,upahbahan,3,FALSE)</f>
        <v>100000</v>
      </c>
      <c r="H2090" s="63">
        <f>F2090*G2090</f>
        <v>499500</v>
      </c>
      <c r="I2090" s="44"/>
      <c r="J2090" s="152" t="s">
        <v>1248</v>
      </c>
      <c r="M2090" s="65">
        <v>0.1</v>
      </c>
    </row>
    <row r="2091" spans="3:13" s="59" customFormat="1" ht="22.2" customHeight="1">
      <c r="C2091" s="588">
        <v>2</v>
      </c>
      <c r="D2091" s="56" t="s">
        <v>10</v>
      </c>
      <c r="E2091" s="577" t="s">
        <v>6</v>
      </c>
      <c r="F2091" s="101">
        <v>0.999</v>
      </c>
      <c r="G2091" s="63">
        <f>VLOOKUP(D2091,upahbahan,3,FALSE)</f>
        <v>135000</v>
      </c>
      <c r="H2091" s="63">
        <f>F2091*G2091</f>
        <v>134865</v>
      </c>
      <c r="I2091" s="44"/>
      <c r="J2091" s="152"/>
      <c r="M2091" s="65"/>
    </row>
    <row r="2092" spans="3:13" s="59" customFormat="1" ht="22.2" customHeight="1">
      <c r="C2092" s="588">
        <v>3</v>
      </c>
      <c r="D2092" s="56" t="s">
        <v>19</v>
      </c>
      <c r="E2092" s="577" t="s">
        <v>6</v>
      </c>
      <c r="F2092" s="101">
        <v>0.499</v>
      </c>
      <c r="G2092" s="63">
        <f>VLOOKUP(D2092,upahbahan,3,FALSE)</f>
        <v>160000</v>
      </c>
      <c r="H2092" s="63">
        <f t="shared" ref="H2092" si="264">F2092*G2092</f>
        <v>79840</v>
      </c>
      <c r="I2092" s="44"/>
    </row>
    <row r="2093" spans="3:13" s="59" customFormat="1" ht="22.2" customHeight="1">
      <c r="C2093" s="450" t="s">
        <v>1208</v>
      </c>
      <c r="D2093" s="67"/>
      <c r="E2093" s="67"/>
      <c r="F2093" s="142"/>
      <c r="G2093" s="153"/>
      <c r="H2093" s="63">
        <f>SUM(H2090:H2092)</f>
        <v>714205</v>
      </c>
      <c r="I2093" s="154"/>
    </row>
    <row r="2094" spans="3:13" s="59" customFormat="1" ht="22.2" customHeight="1">
      <c r="C2094" s="61" t="s">
        <v>1209</v>
      </c>
      <c r="D2094" s="56" t="s">
        <v>1210</v>
      </c>
      <c r="E2094" s="57"/>
      <c r="F2094" s="57"/>
      <c r="G2094" s="57"/>
      <c r="H2094" s="57"/>
      <c r="I2094" s="44"/>
    </row>
    <row r="2095" spans="3:13" s="59" customFormat="1" ht="22.2" customHeight="1">
      <c r="C2095" s="800">
        <v>1</v>
      </c>
      <c r="D2095" s="56" t="s">
        <v>8563</v>
      </c>
      <c r="E2095" s="93" t="s">
        <v>1300</v>
      </c>
      <c r="F2095" s="104">
        <v>1</v>
      </c>
      <c r="G2095" s="63">
        <f>VLOOKUP(D2095,upahbahan,3,FALSE)</f>
        <v>2440000</v>
      </c>
      <c r="H2095" s="63">
        <f>F2095*G2095</f>
        <v>2440000</v>
      </c>
      <c r="I2095" s="44"/>
    </row>
    <row r="2096" spans="3:13" s="59" customFormat="1" ht="22.2" customHeight="1">
      <c r="C2096" s="450" t="s">
        <v>1214</v>
      </c>
      <c r="D2096" s="67"/>
      <c r="E2096" s="67"/>
      <c r="F2096" s="67"/>
      <c r="G2096" s="69"/>
      <c r="H2096" s="63">
        <f>SUM(H2094:H2095)</f>
        <v>2440000</v>
      </c>
      <c r="I2096" s="44"/>
    </row>
    <row r="2097" spans="3:13" s="59" customFormat="1" ht="22.2" customHeight="1">
      <c r="C2097" s="61" t="s">
        <v>1215</v>
      </c>
      <c r="D2097" s="56" t="s">
        <v>1216</v>
      </c>
      <c r="E2097" s="93"/>
      <c r="F2097" s="57"/>
      <c r="G2097" s="57"/>
      <c r="H2097" s="57"/>
      <c r="I2097" s="44"/>
    </row>
    <row r="2098" spans="3:13" s="59" customFormat="1" ht="22.2" customHeight="1">
      <c r="C2098" s="800">
        <v>1</v>
      </c>
      <c r="D2098" s="56" t="s">
        <v>4970</v>
      </c>
      <c r="E2098" s="93" t="s">
        <v>1974</v>
      </c>
      <c r="F2098" s="885">
        <v>9.2999999999999999E-2</v>
      </c>
      <c r="G2098" s="63">
        <f>VLOOKUP(D2098,upahbahan,3,FALSE)</f>
        <v>5150000</v>
      </c>
      <c r="H2098" s="63">
        <f>F2098*G2098</f>
        <v>478950</v>
      </c>
      <c r="I2098" s="44"/>
    </row>
    <row r="2099" spans="3:13" s="59" customFormat="1" ht="22.2" customHeight="1">
      <c r="C2099" s="800">
        <v>2</v>
      </c>
      <c r="D2099" s="56" t="s">
        <v>4770</v>
      </c>
      <c r="E2099" s="93" t="s">
        <v>1974</v>
      </c>
      <c r="F2099" s="590">
        <v>0.248</v>
      </c>
      <c r="G2099" s="63">
        <f>VLOOKUP(D2099,upahbahan,3,FALSE)</f>
        <v>108000</v>
      </c>
      <c r="H2099" s="63">
        <f t="shared" ref="H2099" si="265">F2099*G2099</f>
        <v>26784</v>
      </c>
      <c r="I2099" s="44"/>
    </row>
    <row r="2100" spans="3:13" s="59" customFormat="1" ht="22.2" customHeight="1">
      <c r="C2100" s="450" t="s">
        <v>1217</v>
      </c>
      <c r="D2100" s="67"/>
      <c r="E2100" s="67"/>
      <c r="F2100" s="67"/>
      <c r="G2100" s="69"/>
      <c r="H2100" s="882">
        <f>SUM(H2098:H2099)</f>
        <v>505734</v>
      </c>
      <c r="I2100" s="44"/>
    </row>
    <row r="2101" spans="3:13" s="59" customFormat="1" ht="22.2" customHeight="1">
      <c r="C2101" s="288" t="s">
        <v>1218</v>
      </c>
      <c r="D2101" s="76" t="s">
        <v>1219</v>
      </c>
      <c r="E2101" s="77"/>
      <c r="F2101" s="77"/>
      <c r="G2101" s="78"/>
      <c r="H2101" s="585">
        <f>H2100+H2096+H2093</f>
        <v>3659939</v>
      </c>
      <c r="I2101" s="369"/>
    </row>
    <row r="2102" spans="3:13" s="59" customFormat="1" ht="22.2" customHeight="1">
      <c r="C2102" s="288" t="s">
        <v>1220</v>
      </c>
      <c r="D2102" s="76" t="s">
        <v>1321</v>
      </c>
      <c r="E2102" s="77"/>
      <c r="F2102" s="78"/>
      <c r="G2102" s="80">
        <v>0.1</v>
      </c>
      <c r="H2102" s="63">
        <f>H2101*G2102</f>
        <v>365993.9</v>
      </c>
      <c r="I2102" s="369"/>
    </row>
    <row r="2103" spans="3:13" s="59" customFormat="1" ht="22.2" customHeight="1">
      <c r="C2103" s="288" t="s">
        <v>1221</v>
      </c>
      <c r="D2103" s="76" t="s">
        <v>1222</v>
      </c>
      <c r="E2103" s="77"/>
      <c r="F2103" s="77"/>
      <c r="G2103" s="78"/>
      <c r="H2103" s="799">
        <f>SUM(H2101:H2102)</f>
        <v>4025932.9</v>
      </c>
      <c r="I2103" s="369"/>
    </row>
    <row r="2104" spans="3:13" ht="22.2" customHeight="1"/>
    <row r="2105" spans="3:13" ht="22.2" customHeight="1">
      <c r="C2105" s="43" t="s">
        <v>4980</v>
      </c>
      <c r="D2105" s="128" t="s">
        <v>8564</v>
      </c>
      <c r="I2105" s="50">
        <f>ROUNDDOWN(H2121,-2)</f>
        <v>4447300</v>
      </c>
      <c r="J2105" s="59" t="s">
        <v>6451</v>
      </c>
      <c r="K2105" s="59" t="s">
        <v>8371</v>
      </c>
    </row>
    <row r="2106" spans="3:13" s="59" customFormat="1" ht="22.2" customHeight="1">
      <c r="C2106" s="591" t="s">
        <v>1195</v>
      </c>
      <c r="D2106" s="591" t="s">
        <v>1196</v>
      </c>
      <c r="E2106" s="591" t="s">
        <v>1197</v>
      </c>
      <c r="F2106" s="591" t="s">
        <v>1198</v>
      </c>
      <c r="G2106" s="591" t="s">
        <v>1199</v>
      </c>
      <c r="H2106" s="591" t="s">
        <v>1200</v>
      </c>
      <c r="I2106" s="44"/>
    </row>
    <row r="2107" spans="3:13" s="59" customFormat="1" ht="22.2" customHeight="1">
      <c r="C2107" s="61" t="s">
        <v>1201</v>
      </c>
      <c r="D2107" s="56" t="s">
        <v>1202</v>
      </c>
      <c r="E2107" s="57"/>
      <c r="F2107" s="57"/>
      <c r="G2107" s="57"/>
      <c r="H2107" s="57"/>
      <c r="I2107" s="44"/>
      <c r="J2107" s="152" t="s">
        <v>1247</v>
      </c>
    </row>
    <row r="2108" spans="3:13" s="59" customFormat="1" ht="22.2" customHeight="1">
      <c r="C2108" s="588">
        <v>1</v>
      </c>
      <c r="D2108" s="56" t="s">
        <v>5</v>
      </c>
      <c r="E2108" s="577" t="s">
        <v>6</v>
      </c>
      <c r="F2108" s="101">
        <v>5.931</v>
      </c>
      <c r="G2108" s="63">
        <f>VLOOKUP(D2108,upahbahan,3,FALSE)</f>
        <v>100000</v>
      </c>
      <c r="H2108" s="63">
        <f>F2108*G2108</f>
        <v>593100</v>
      </c>
      <c r="I2108" s="44"/>
      <c r="J2108" s="152" t="s">
        <v>1248</v>
      </c>
      <c r="M2108" s="65">
        <v>0.1</v>
      </c>
    </row>
    <row r="2109" spans="3:13" s="59" customFormat="1" ht="22.2" customHeight="1">
      <c r="C2109" s="588">
        <v>2</v>
      </c>
      <c r="D2109" s="56" t="s">
        <v>10</v>
      </c>
      <c r="E2109" s="577" t="s">
        <v>6</v>
      </c>
      <c r="F2109" s="101">
        <v>1.1859999999999999</v>
      </c>
      <c r="G2109" s="63">
        <f>VLOOKUP(D2109,upahbahan,3,FALSE)</f>
        <v>135000</v>
      </c>
      <c r="H2109" s="63">
        <f>F2109*G2109</f>
        <v>160110</v>
      </c>
      <c r="I2109" s="44"/>
      <c r="J2109" s="152"/>
      <c r="M2109" s="65"/>
    </row>
    <row r="2110" spans="3:13" s="59" customFormat="1" ht="22.2" customHeight="1">
      <c r="C2110" s="588">
        <v>3</v>
      </c>
      <c r="D2110" s="56" t="s">
        <v>19</v>
      </c>
      <c r="E2110" s="577" t="s">
        <v>6</v>
      </c>
      <c r="F2110" s="101">
        <v>0.69299999999999995</v>
      </c>
      <c r="G2110" s="63">
        <f>VLOOKUP(D2110,upahbahan,3,FALSE)</f>
        <v>160000</v>
      </c>
      <c r="H2110" s="63">
        <f t="shared" ref="H2110" si="266">F2110*G2110</f>
        <v>110879.99999999999</v>
      </c>
      <c r="I2110" s="44"/>
    </row>
    <row r="2111" spans="3:13" s="59" customFormat="1" ht="22.2" customHeight="1">
      <c r="C2111" s="450" t="s">
        <v>1208</v>
      </c>
      <c r="D2111" s="67"/>
      <c r="E2111" s="67"/>
      <c r="F2111" s="142"/>
      <c r="G2111" s="153"/>
      <c r="H2111" s="63">
        <f>SUM(H2108:H2110)</f>
        <v>864090</v>
      </c>
      <c r="I2111" s="154"/>
    </row>
    <row r="2112" spans="3:13" s="59" customFormat="1" ht="22.2" customHeight="1">
      <c r="C2112" s="61" t="s">
        <v>1209</v>
      </c>
      <c r="D2112" s="56" t="s">
        <v>1210</v>
      </c>
      <c r="E2112" s="57"/>
      <c r="F2112" s="57"/>
      <c r="G2112" s="57"/>
      <c r="H2112" s="57"/>
      <c r="I2112" s="44"/>
    </row>
    <row r="2113" spans="3:13" s="59" customFormat="1" ht="22.2" customHeight="1">
      <c r="C2113" s="800">
        <v>1</v>
      </c>
      <c r="D2113" s="56" t="s">
        <v>8565</v>
      </c>
      <c r="E2113" s="93" t="s">
        <v>1300</v>
      </c>
      <c r="F2113" s="104">
        <v>1</v>
      </c>
      <c r="G2113" s="63">
        <f>VLOOKUP(D2113,upahbahan,3,FALSE)</f>
        <v>2570000</v>
      </c>
      <c r="H2113" s="63">
        <f>F2113*G2113</f>
        <v>2570000</v>
      </c>
      <c r="I2113" s="44"/>
    </row>
    <row r="2114" spans="3:13" s="59" customFormat="1" ht="22.2" customHeight="1">
      <c r="C2114" s="450" t="s">
        <v>1214</v>
      </c>
      <c r="D2114" s="67"/>
      <c r="E2114" s="67"/>
      <c r="F2114" s="67"/>
      <c r="G2114" s="69"/>
      <c r="H2114" s="63">
        <f>SUM(H2112:H2113)</f>
        <v>2570000</v>
      </c>
      <c r="I2114" s="44"/>
    </row>
    <row r="2115" spans="3:13" s="59" customFormat="1" ht="22.2" customHeight="1">
      <c r="C2115" s="61" t="s">
        <v>1215</v>
      </c>
      <c r="D2115" s="56" t="s">
        <v>1216</v>
      </c>
      <c r="E2115" s="93"/>
      <c r="F2115" s="57"/>
      <c r="G2115" s="57"/>
      <c r="H2115" s="57"/>
      <c r="I2115" s="44"/>
    </row>
    <row r="2116" spans="3:13" s="59" customFormat="1" ht="22.2" customHeight="1">
      <c r="C2116" s="800">
        <v>1</v>
      </c>
      <c r="D2116" s="56" t="s">
        <v>4970</v>
      </c>
      <c r="E2116" s="93" t="s">
        <v>1974</v>
      </c>
      <c r="F2116" s="885">
        <v>0.112</v>
      </c>
      <c r="G2116" s="63">
        <f>VLOOKUP(D2116,upahbahan,3,FALSE)</f>
        <v>5150000</v>
      </c>
      <c r="H2116" s="63">
        <f>F2116*G2116</f>
        <v>576800</v>
      </c>
      <c r="I2116" s="44"/>
    </row>
    <row r="2117" spans="3:13" s="59" customFormat="1" ht="22.2" customHeight="1">
      <c r="C2117" s="800">
        <v>2</v>
      </c>
      <c r="D2117" s="56" t="s">
        <v>4770</v>
      </c>
      <c r="E2117" s="93" t="s">
        <v>1974</v>
      </c>
      <c r="F2117" s="590">
        <v>0.29799999999999999</v>
      </c>
      <c r="G2117" s="63">
        <f>VLOOKUP(D2117,upahbahan,3,FALSE)</f>
        <v>108000</v>
      </c>
      <c r="H2117" s="63">
        <f t="shared" ref="H2117" si="267">F2117*G2117</f>
        <v>32184</v>
      </c>
      <c r="I2117" s="44"/>
    </row>
    <row r="2118" spans="3:13" s="59" customFormat="1" ht="22.2" customHeight="1">
      <c r="C2118" s="450" t="s">
        <v>1217</v>
      </c>
      <c r="D2118" s="67"/>
      <c r="E2118" s="67"/>
      <c r="F2118" s="67"/>
      <c r="G2118" s="69"/>
      <c r="H2118" s="882">
        <f>SUM(H2116:H2117)</f>
        <v>608984</v>
      </c>
      <c r="I2118" s="44"/>
    </row>
    <row r="2119" spans="3:13" s="59" customFormat="1" ht="22.2" customHeight="1">
      <c r="C2119" s="288" t="s">
        <v>1218</v>
      </c>
      <c r="D2119" s="76" t="s">
        <v>1219</v>
      </c>
      <c r="E2119" s="77"/>
      <c r="F2119" s="77"/>
      <c r="G2119" s="78"/>
      <c r="H2119" s="585">
        <f>H2118+H2114+H2111</f>
        <v>4043074</v>
      </c>
      <c r="I2119" s="369"/>
    </row>
    <row r="2120" spans="3:13" s="59" customFormat="1" ht="22.2" customHeight="1">
      <c r="C2120" s="288" t="s">
        <v>1220</v>
      </c>
      <c r="D2120" s="76" t="s">
        <v>1321</v>
      </c>
      <c r="E2120" s="77"/>
      <c r="F2120" s="78"/>
      <c r="G2120" s="80">
        <v>0.1</v>
      </c>
      <c r="H2120" s="63">
        <f>H2119*G2120</f>
        <v>404307.4</v>
      </c>
      <c r="I2120" s="369"/>
    </row>
    <row r="2121" spans="3:13" s="59" customFormat="1" ht="22.2" customHeight="1">
      <c r="C2121" s="288" t="s">
        <v>1221</v>
      </c>
      <c r="D2121" s="76" t="s">
        <v>1222</v>
      </c>
      <c r="E2121" s="77"/>
      <c r="F2121" s="77"/>
      <c r="G2121" s="78"/>
      <c r="H2121" s="799">
        <f>SUM(H2119:H2120)</f>
        <v>4447381.4000000004</v>
      </c>
      <c r="I2121" s="369"/>
    </row>
    <row r="2122" spans="3:13" ht="22.2" customHeight="1"/>
    <row r="2123" spans="3:13" ht="22.2" customHeight="1">
      <c r="C2123" s="43" t="s">
        <v>4982</v>
      </c>
      <c r="D2123" s="128" t="s">
        <v>8566</v>
      </c>
      <c r="I2123" s="50">
        <f>ROUNDDOWN(H2139,-2)</f>
        <v>4993300</v>
      </c>
      <c r="J2123" s="59" t="s">
        <v>6451</v>
      </c>
      <c r="K2123" s="59" t="s">
        <v>8371</v>
      </c>
    </row>
    <row r="2124" spans="3:13" s="59" customFormat="1" ht="22.2" customHeight="1">
      <c r="C2124" s="591" t="s">
        <v>1195</v>
      </c>
      <c r="D2124" s="591" t="s">
        <v>1196</v>
      </c>
      <c r="E2124" s="591" t="s">
        <v>1197</v>
      </c>
      <c r="F2124" s="591" t="s">
        <v>1198</v>
      </c>
      <c r="G2124" s="591" t="s">
        <v>1199</v>
      </c>
      <c r="H2124" s="591" t="s">
        <v>1200</v>
      </c>
      <c r="I2124" s="44"/>
    </row>
    <row r="2125" spans="3:13" s="59" customFormat="1" ht="22.2" customHeight="1">
      <c r="C2125" s="61" t="s">
        <v>1201</v>
      </c>
      <c r="D2125" s="56" t="s">
        <v>1202</v>
      </c>
      <c r="E2125" s="57"/>
      <c r="F2125" s="57"/>
      <c r="G2125" s="57"/>
      <c r="H2125" s="57"/>
      <c r="I2125" s="44"/>
      <c r="J2125" s="152" t="s">
        <v>1247</v>
      </c>
    </row>
    <row r="2126" spans="3:13" s="59" customFormat="1" ht="22.2" customHeight="1">
      <c r="C2126" s="588">
        <v>1</v>
      </c>
      <c r="D2126" s="56" t="s">
        <v>5</v>
      </c>
      <c r="E2126" s="577" t="s">
        <v>6</v>
      </c>
      <c r="F2126" s="101">
        <v>6.9489999999999998</v>
      </c>
      <c r="G2126" s="63">
        <f>VLOOKUP(D2126,upahbahan,3,FALSE)</f>
        <v>100000</v>
      </c>
      <c r="H2126" s="63">
        <f>F2126*G2126</f>
        <v>694900</v>
      </c>
      <c r="I2126" s="44"/>
      <c r="J2126" s="152" t="s">
        <v>1248</v>
      </c>
      <c r="M2126" s="65">
        <v>0.1</v>
      </c>
    </row>
    <row r="2127" spans="3:13" s="59" customFormat="1" ht="22.2" customHeight="1">
      <c r="C2127" s="588">
        <v>2</v>
      </c>
      <c r="D2127" s="56" t="s">
        <v>10</v>
      </c>
      <c r="E2127" s="577" t="s">
        <v>6</v>
      </c>
      <c r="F2127" s="101">
        <v>1.39</v>
      </c>
      <c r="G2127" s="63">
        <f>VLOOKUP(D2127,upahbahan,3,FALSE)</f>
        <v>135000</v>
      </c>
      <c r="H2127" s="63">
        <f>F2127*G2127</f>
        <v>187650</v>
      </c>
      <c r="I2127" s="44"/>
      <c r="J2127" s="152"/>
      <c r="M2127" s="65"/>
    </row>
    <row r="2128" spans="3:13" s="59" customFormat="1" ht="22.2" customHeight="1">
      <c r="C2128" s="588">
        <v>3</v>
      </c>
      <c r="D2128" s="56" t="s">
        <v>19</v>
      </c>
      <c r="E2128" s="577" t="s">
        <v>6</v>
      </c>
      <c r="F2128" s="101">
        <v>0.69499999999999995</v>
      </c>
      <c r="G2128" s="63">
        <f>VLOOKUP(D2128,upahbahan,3,FALSE)</f>
        <v>160000</v>
      </c>
      <c r="H2128" s="63">
        <f t="shared" ref="H2128" si="268">F2128*G2128</f>
        <v>111199.99999999999</v>
      </c>
      <c r="I2128" s="44"/>
    </row>
    <row r="2129" spans="3:13" s="59" customFormat="1" ht="22.2" customHeight="1">
      <c r="C2129" s="450" t="s">
        <v>1208</v>
      </c>
      <c r="D2129" s="67"/>
      <c r="E2129" s="67"/>
      <c r="F2129" s="142"/>
      <c r="G2129" s="153"/>
      <c r="H2129" s="63">
        <f>SUM(H2126:H2128)</f>
        <v>993750</v>
      </c>
      <c r="I2129" s="154"/>
    </row>
    <row r="2130" spans="3:13" s="59" customFormat="1" ht="22.2" customHeight="1">
      <c r="C2130" s="61" t="s">
        <v>1209</v>
      </c>
      <c r="D2130" s="56" t="s">
        <v>1210</v>
      </c>
      <c r="E2130" s="57"/>
      <c r="F2130" s="57"/>
      <c r="G2130" s="57"/>
      <c r="H2130" s="57"/>
      <c r="I2130" s="44"/>
    </row>
    <row r="2131" spans="3:13" s="59" customFormat="1" ht="22.2" customHeight="1">
      <c r="C2131" s="800">
        <v>1</v>
      </c>
      <c r="D2131" s="56" t="s">
        <v>8567</v>
      </c>
      <c r="E2131" s="93" t="s">
        <v>1300</v>
      </c>
      <c r="F2131" s="104">
        <v>1</v>
      </c>
      <c r="G2131" s="63">
        <f>VLOOKUP(D2131,upahbahan,3,FALSE)</f>
        <v>2730000</v>
      </c>
      <c r="H2131" s="63">
        <f>F2131*G2131</f>
        <v>2730000</v>
      </c>
      <c r="I2131" s="44"/>
    </row>
    <row r="2132" spans="3:13" s="59" customFormat="1" ht="22.2" customHeight="1">
      <c r="C2132" s="450" t="s">
        <v>1214</v>
      </c>
      <c r="D2132" s="67"/>
      <c r="E2132" s="67"/>
      <c r="F2132" s="67"/>
      <c r="G2132" s="69"/>
      <c r="H2132" s="63">
        <f>SUM(H2130:H2131)</f>
        <v>2730000</v>
      </c>
      <c r="I2132" s="44"/>
    </row>
    <row r="2133" spans="3:13" s="59" customFormat="1" ht="22.2" customHeight="1">
      <c r="C2133" s="61" t="s">
        <v>1215</v>
      </c>
      <c r="D2133" s="56" t="s">
        <v>1216</v>
      </c>
      <c r="E2133" s="93"/>
      <c r="F2133" s="57"/>
      <c r="G2133" s="57"/>
      <c r="H2133" s="57"/>
      <c r="I2133" s="44"/>
    </row>
    <row r="2134" spans="3:13" s="59" customFormat="1" ht="22.2" customHeight="1">
      <c r="C2134" s="800">
        <v>1</v>
      </c>
      <c r="D2134" s="56" t="s">
        <v>4970</v>
      </c>
      <c r="E2134" s="93" t="s">
        <v>1974</v>
      </c>
      <c r="F2134" s="885">
        <v>0.152</v>
      </c>
      <c r="G2134" s="63">
        <f>VLOOKUP(D2134,upahbahan,3,FALSE)</f>
        <v>5150000</v>
      </c>
      <c r="H2134" s="63">
        <f>F2134*G2134</f>
        <v>782800</v>
      </c>
      <c r="I2134" s="44"/>
    </row>
    <row r="2135" spans="3:13" s="59" customFormat="1" ht="22.2" customHeight="1">
      <c r="C2135" s="800">
        <v>2</v>
      </c>
      <c r="D2135" s="56" t="s">
        <v>4770</v>
      </c>
      <c r="E2135" s="93" t="s">
        <v>1974</v>
      </c>
      <c r="F2135" s="590">
        <v>0.30399999999999999</v>
      </c>
      <c r="G2135" s="63">
        <f>VLOOKUP(D2135,upahbahan,3,FALSE)</f>
        <v>108000</v>
      </c>
      <c r="H2135" s="63">
        <f t="shared" ref="H2135" si="269">F2135*G2135</f>
        <v>32832</v>
      </c>
      <c r="I2135" s="44"/>
    </row>
    <row r="2136" spans="3:13" s="59" customFormat="1" ht="22.2" customHeight="1">
      <c r="C2136" s="450" t="s">
        <v>1217</v>
      </c>
      <c r="D2136" s="67"/>
      <c r="E2136" s="67"/>
      <c r="F2136" s="67"/>
      <c r="G2136" s="69"/>
      <c r="H2136" s="882">
        <f>SUM(H2134:H2135)</f>
        <v>815632</v>
      </c>
      <c r="I2136" s="44"/>
    </row>
    <row r="2137" spans="3:13" s="59" customFormat="1" ht="22.2" customHeight="1">
      <c r="C2137" s="288" t="s">
        <v>1218</v>
      </c>
      <c r="D2137" s="76" t="s">
        <v>1219</v>
      </c>
      <c r="E2137" s="77"/>
      <c r="F2137" s="77"/>
      <c r="G2137" s="78"/>
      <c r="H2137" s="585">
        <f>H2136+H2132+H2129</f>
        <v>4539382</v>
      </c>
      <c r="I2137" s="369"/>
    </row>
    <row r="2138" spans="3:13" s="59" customFormat="1" ht="22.2" customHeight="1">
      <c r="C2138" s="288" t="s">
        <v>1220</v>
      </c>
      <c r="D2138" s="76" t="s">
        <v>1321</v>
      </c>
      <c r="E2138" s="77"/>
      <c r="F2138" s="78"/>
      <c r="G2138" s="80">
        <v>0.1</v>
      </c>
      <c r="H2138" s="63">
        <f>H2137*G2138</f>
        <v>453938.2</v>
      </c>
      <c r="I2138" s="369"/>
    </row>
    <row r="2139" spans="3:13" s="59" customFormat="1" ht="22.2" customHeight="1">
      <c r="C2139" s="288" t="s">
        <v>1221</v>
      </c>
      <c r="D2139" s="76" t="s">
        <v>1222</v>
      </c>
      <c r="E2139" s="77"/>
      <c r="F2139" s="77"/>
      <c r="G2139" s="78"/>
      <c r="H2139" s="799">
        <f>SUM(H2137:H2138)</f>
        <v>4993320.2</v>
      </c>
      <c r="I2139" s="369"/>
    </row>
    <row r="2140" spans="3:13" ht="22.2" customHeight="1"/>
    <row r="2141" spans="3:13" ht="22.2" customHeight="1">
      <c r="C2141" s="43" t="s">
        <v>4985</v>
      </c>
      <c r="D2141" s="128" t="s">
        <v>8568</v>
      </c>
      <c r="I2141" s="50">
        <f>ROUNDDOWN(H2157,-2)</f>
        <v>2577400</v>
      </c>
      <c r="J2141" s="59" t="s">
        <v>6451</v>
      </c>
      <c r="K2141" s="59" t="s">
        <v>8371</v>
      </c>
    </row>
    <row r="2142" spans="3:13" s="59" customFormat="1" ht="22.2" customHeight="1">
      <c r="C2142" s="591" t="s">
        <v>1195</v>
      </c>
      <c r="D2142" s="591" t="s">
        <v>1196</v>
      </c>
      <c r="E2142" s="591" t="s">
        <v>1197</v>
      </c>
      <c r="F2142" s="591" t="s">
        <v>1198</v>
      </c>
      <c r="G2142" s="591" t="s">
        <v>1199</v>
      </c>
      <c r="H2142" s="591" t="s">
        <v>1200</v>
      </c>
      <c r="I2142" s="44"/>
    </row>
    <row r="2143" spans="3:13" s="59" customFormat="1" ht="22.2" customHeight="1">
      <c r="C2143" s="61" t="s">
        <v>1201</v>
      </c>
      <c r="D2143" s="56" t="s">
        <v>1202</v>
      </c>
      <c r="E2143" s="57"/>
      <c r="F2143" s="57"/>
      <c r="G2143" s="57"/>
      <c r="H2143" s="57"/>
      <c r="I2143" s="44"/>
      <c r="J2143" s="152" t="s">
        <v>1247</v>
      </c>
    </row>
    <row r="2144" spans="3:13" s="59" customFormat="1" ht="22.2" customHeight="1">
      <c r="C2144" s="588">
        <v>1</v>
      </c>
      <c r="D2144" s="56" t="s">
        <v>5</v>
      </c>
      <c r="E2144" s="577" t="s">
        <v>6</v>
      </c>
      <c r="F2144" s="101">
        <v>8.0559999999999992</v>
      </c>
      <c r="G2144" s="63">
        <f>VLOOKUP(D2144,upahbahan,3,FALSE)</f>
        <v>100000</v>
      </c>
      <c r="H2144" s="63">
        <f>F2144*G2144</f>
        <v>805599.99999999988</v>
      </c>
      <c r="I2144" s="44"/>
      <c r="J2144" s="152" t="s">
        <v>1248</v>
      </c>
      <c r="M2144" s="65">
        <v>0.1</v>
      </c>
    </row>
    <row r="2145" spans="3:13" s="59" customFormat="1" ht="22.2" customHeight="1">
      <c r="C2145" s="588">
        <v>2</v>
      </c>
      <c r="D2145" s="56" t="s">
        <v>10</v>
      </c>
      <c r="E2145" s="577" t="s">
        <v>6</v>
      </c>
      <c r="F2145" s="101">
        <v>1.611</v>
      </c>
      <c r="G2145" s="63">
        <f>VLOOKUP(D2145,upahbahan,3,FALSE)</f>
        <v>135000</v>
      </c>
      <c r="H2145" s="63">
        <f>F2145*G2145</f>
        <v>217485</v>
      </c>
      <c r="I2145" s="44"/>
      <c r="J2145" s="152"/>
      <c r="M2145" s="65"/>
    </row>
    <row r="2146" spans="3:13" s="59" customFormat="1" ht="22.2" customHeight="1">
      <c r="C2146" s="588">
        <v>3</v>
      </c>
      <c r="D2146" s="56" t="s">
        <v>19</v>
      </c>
      <c r="E2146" s="577" t="s">
        <v>6</v>
      </c>
      <c r="F2146" s="101">
        <v>0.80600000000000005</v>
      </c>
      <c r="G2146" s="63">
        <f>VLOOKUP(D2146,upahbahan,3,FALSE)</f>
        <v>160000</v>
      </c>
      <c r="H2146" s="63">
        <f t="shared" ref="H2146" si="270">F2146*G2146</f>
        <v>128960.00000000001</v>
      </c>
      <c r="I2146" s="44"/>
    </row>
    <row r="2147" spans="3:13" s="59" customFormat="1" ht="22.2" customHeight="1">
      <c r="C2147" s="450" t="s">
        <v>1208</v>
      </c>
      <c r="D2147" s="67"/>
      <c r="E2147" s="67"/>
      <c r="F2147" s="142"/>
      <c r="G2147" s="153"/>
      <c r="H2147" s="63">
        <f>SUM(H2144:H2146)</f>
        <v>1152045</v>
      </c>
      <c r="I2147" s="154"/>
    </row>
    <row r="2148" spans="3:13" s="59" customFormat="1" ht="22.2" customHeight="1">
      <c r="C2148" s="61" t="s">
        <v>1209</v>
      </c>
      <c r="D2148" s="56" t="s">
        <v>1210</v>
      </c>
      <c r="E2148" s="57"/>
      <c r="F2148" s="57"/>
      <c r="G2148" s="57"/>
      <c r="H2148" s="57"/>
      <c r="I2148" s="44"/>
    </row>
    <row r="2149" spans="3:13" s="59" customFormat="1" ht="22.2" customHeight="1">
      <c r="C2149" s="800">
        <v>1</v>
      </c>
      <c r="D2149" s="56" t="s">
        <v>8569</v>
      </c>
      <c r="E2149" s="93" t="s">
        <v>1300</v>
      </c>
      <c r="F2149" s="104">
        <v>1</v>
      </c>
      <c r="G2149" s="63">
        <f>VLOOKUP(D2149,upahbahan,3,FALSE)</f>
        <v>236000</v>
      </c>
      <c r="H2149" s="63">
        <f>F2149*G2149</f>
        <v>236000</v>
      </c>
      <c r="I2149" s="44"/>
    </row>
    <row r="2150" spans="3:13" s="59" customFormat="1" ht="22.2" customHeight="1">
      <c r="C2150" s="450" t="s">
        <v>1214</v>
      </c>
      <c r="D2150" s="67"/>
      <c r="E2150" s="67"/>
      <c r="F2150" s="67"/>
      <c r="G2150" s="69"/>
      <c r="H2150" s="63">
        <f>SUM(H2148:H2149)</f>
        <v>236000</v>
      </c>
      <c r="I2150" s="44"/>
    </row>
    <row r="2151" spans="3:13" s="59" customFormat="1" ht="22.2" customHeight="1">
      <c r="C2151" s="61" t="s">
        <v>1215</v>
      </c>
      <c r="D2151" s="56" t="s">
        <v>1216</v>
      </c>
      <c r="E2151" s="93"/>
      <c r="F2151" s="57"/>
      <c r="G2151" s="57"/>
      <c r="H2151" s="57"/>
      <c r="I2151" s="44"/>
    </row>
    <row r="2152" spans="3:13" s="59" customFormat="1" ht="22.2" customHeight="1">
      <c r="C2152" s="800">
        <v>1</v>
      </c>
      <c r="D2152" s="56" t="s">
        <v>4970</v>
      </c>
      <c r="E2152" s="93" t="s">
        <v>1974</v>
      </c>
      <c r="F2152" s="885">
        <v>0.18</v>
      </c>
      <c r="G2152" s="63">
        <f>VLOOKUP(D2152,upahbahan,3,FALSE)</f>
        <v>5150000</v>
      </c>
      <c r="H2152" s="63">
        <f>F2152*G2152</f>
        <v>927000</v>
      </c>
      <c r="I2152" s="44"/>
    </row>
    <row r="2153" spans="3:13" s="59" customFormat="1" ht="22.2" customHeight="1">
      <c r="C2153" s="800">
        <v>2</v>
      </c>
      <c r="D2153" s="56" t="s">
        <v>4770</v>
      </c>
      <c r="E2153" s="93" t="s">
        <v>1974</v>
      </c>
      <c r="F2153" s="590">
        <v>0.26</v>
      </c>
      <c r="G2153" s="63">
        <f>VLOOKUP(D2153,upahbahan,3,FALSE)</f>
        <v>108000</v>
      </c>
      <c r="H2153" s="63">
        <f t="shared" ref="H2153" si="271">F2153*G2153</f>
        <v>28080</v>
      </c>
      <c r="I2153" s="44"/>
    </row>
    <row r="2154" spans="3:13" s="59" customFormat="1" ht="22.2" customHeight="1">
      <c r="C2154" s="450" t="s">
        <v>1217</v>
      </c>
      <c r="D2154" s="67"/>
      <c r="E2154" s="67"/>
      <c r="F2154" s="67"/>
      <c r="G2154" s="69"/>
      <c r="H2154" s="882">
        <f>SUM(H2152:H2153)</f>
        <v>955080</v>
      </c>
      <c r="I2154" s="44"/>
    </row>
    <row r="2155" spans="3:13" s="59" customFormat="1" ht="22.2" customHeight="1">
      <c r="C2155" s="288" t="s">
        <v>1218</v>
      </c>
      <c r="D2155" s="76" t="s">
        <v>1219</v>
      </c>
      <c r="E2155" s="77"/>
      <c r="F2155" s="77"/>
      <c r="G2155" s="78"/>
      <c r="H2155" s="585">
        <f>H2154+H2150+H2147</f>
        <v>2343125</v>
      </c>
      <c r="I2155" s="369"/>
    </row>
    <row r="2156" spans="3:13" s="59" customFormat="1" ht="22.2" customHeight="1">
      <c r="C2156" s="288" t="s">
        <v>1220</v>
      </c>
      <c r="D2156" s="76" t="s">
        <v>1321</v>
      </c>
      <c r="E2156" s="77"/>
      <c r="F2156" s="78"/>
      <c r="G2156" s="80">
        <v>0.1</v>
      </c>
      <c r="H2156" s="63">
        <f>H2155*G2156</f>
        <v>234312.5</v>
      </c>
      <c r="I2156" s="369"/>
    </row>
    <row r="2157" spans="3:13" s="59" customFormat="1" ht="22.2" customHeight="1">
      <c r="C2157" s="288" t="s">
        <v>1221</v>
      </c>
      <c r="D2157" s="76" t="s">
        <v>1222</v>
      </c>
      <c r="E2157" s="77"/>
      <c r="F2157" s="77"/>
      <c r="G2157" s="78"/>
      <c r="H2157" s="799">
        <f>SUM(H2155:H2156)</f>
        <v>2577437.5</v>
      </c>
      <c r="I2157" s="369"/>
    </row>
    <row r="2158" spans="3:13" ht="22.2" customHeight="1"/>
    <row r="2159" spans="3:13" ht="22.2" customHeight="1"/>
    <row r="2160" spans="3:13" ht="22.2" customHeight="1">
      <c r="C2160" s="43" t="s">
        <v>4987</v>
      </c>
      <c r="D2160" s="128" t="s">
        <v>4988</v>
      </c>
    </row>
    <row r="2161" spans="3:13" ht="22.2" customHeight="1">
      <c r="C2161" s="43" t="s">
        <v>4986</v>
      </c>
      <c r="D2161" s="128" t="s">
        <v>8570</v>
      </c>
      <c r="I2161" s="50">
        <f>ROUNDDOWN(H2175,-2)</f>
        <v>11400</v>
      </c>
      <c r="J2161" s="59" t="s">
        <v>6451</v>
      </c>
      <c r="K2161" s="59" t="s">
        <v>8371</v>
      </c>
    </row>
    <row r="2162" spans="3:13" s="59" customFormat="1" ht="22.2" customHeight="1">
      <c r="C2162" s="591" t="s">
        <v>1195</v>
      </c>
      <c r="D2162" s="591" t="s">
        <v>1196</v>
      </c>
      <c r="E2162" s="591" t="s">
        <v>1197</v>
      </c>
      <c r="F2162" s="591" t="s">
        <v>1198</v>
      </c>
      <c r="G2162" s="591" t="s">
        <v>1199</v>
      </c>
      <c r="H2162" s="591" t="s">
        <v>1200</v>
      </c>
      <c r="I2162" s="44"/>
    </row>
    <row r="2163" spans="3:13" s="59" customFormat="1" ht="22.2" customHeight="1">
      <c r="C2163" s="61" t="s">
        <v>1201</v>
      </c>
      <c r="D2163" s="56" t="s">
        <v>1202</v>
      </c>
      <c r="E2163" s="57"/>
      <c r="F2163" s="57"/>
      <c r="G2163" s="57"/>
      <c r="H2163" s="57"/>
      <c r="I2163" s="44"/>
      <c r="J2163" s="152" t="s">
        <v>1247</v>
      </c>
    </row>
    <row r="2164" spans="3:13" s="59" customFormat="1" ht="22.2" customHeight="1">
      <c r="C2164" s="588">
        <v>1</v>
      </c>
      <c r="D2164" s="56" t="s">
        <v>5</v>
      </c>
      <c r="E2164" s="577" t="s">
        <v>6</v>
      </c>
      <c r="F2164" s="101">
        <v>7.0999999999999994E-2</v>
      </c>
      <c r="G2164" s="63">
        <f>VLOOKUP(D2164,upahbahan,3,FALSE)</f>
        <v>100000</v>
      </c>
      <c r="H2164" s="63">
        <f>F2164*G2164</f>
        <v>7099.9999999999991</v>
      </c>
      <c r="I2164" s="44"/>
      <c r="J2164" s="152" t="s">
        <v>1248</v>
      </c>
      <c r="M2164" s="65">
        <v>0.1</v>
      </c>
    </row>
    <row r="2165" spans="3:13" s="59" customFormat="1" ht="22.2" customHeight="1">
      <c r="C2165" s="588">
        <v>2</v>
      </c>
      <c r="D2165" s="56" t="s">
        <v>10</v>
      </c>
      <c r="E2165" s="577" t="s">
        <v>6</v>
      </c>
      <c r="F2165" s="101">
        <v>1.4E-2</v>
      </c>
      <c r="G2165" s="63">
        <f>VLOOKUP(D2165,upahbahan,3,FALSE)</f>
        <v>135000</v>
      </c>
      <c r="H2165" s="63">
        <f>F2165*G2165</f>
        <v>1890</v>
      </c>
      <c r="I2165" s="44"/>
      <c r="J2165" s="152"/>
      <c r="M2165" s="65"/>
    </row>
    <row r="2166" spans="3:13" s="59" customFormat="1" ht="22.2" customHeight="1">
      <c r="C2166" s="588">
        <v>3</v>
      </c>
      <c r="D2166" s="56" t="s">
        <v>19</v>
      </c>
      <c r="E2166" s="577" t="s">
        <v>6</v>
      </c>
      <c r="F2166" s="101">
        <v>7.0000000000000001E-3</v>
      </c>
      <c r="G2166" s="63">
        <f>VLOOKUP(D2166,upahbahan,3,FALSE)</f>
        <v>160000</v>
      </c>
      <c r="H2166" s="63">
        <f t="shared" ref="H2166" si="272">F2166*G2166</f>
        <v>1120</v>
      </c>
      <c r="I2166" s="44"/>
    </row>
    <row r="2167" spans="3:13" s="59" customFormat="1" ht="22.2" customHeight="1">
      <c r="C2167" s="450" t="s">
        <v>1208</v>
      </c>
      <c r="D2167" s="67"/>
      <c r="E2167" s="67"/>
      <c r="F2167" s="142"/>
      <c r="G2167" s="153"/>
      <c r="H2167" s="63">
        <f>SUM(H2164:H2166)</f>
        <v>10110</v>
      </c>
      <c r="I2167" s="154"/>
    </row>
    <row r="2168" spans="3:13" s="59" customFormat="1" ht="22.2" customHeight="1">
      <c r="C2168" s="61" t="s">
        <v>1209</v>
      </c>
      <c r="D2168" s="56" t="s">
        <v>1210</v>
      </c>
      <c r="E2168" s="57"/>
      <c r="F2168" s="57"/>
      <c r="G2168" s="57"/>
      <c r="H2168" s="57"/>
      <c r="I2168" s="44"/>
    </row>
    <row r="2169" spans="3:13" s="59" customFormat="1" ht="22.2" customHeight="1">
      <c r="C2169" s="450" t="s">
        <v>1214</v>
      </c>
      <c r="D2169" s="67"/>
      <c r="E2169" s="67"/>
      <c r="F2169" s="67"/>
      <c r="G2169" s="69"/>
      <c r="H2169" s="63">
        <f>SUM(H2168:H2168)</f>
        <v>0</v>
      </c>
      <c r="I2169" s="44"/>
    </row>
    <row r="2170" spans="3:13" s="59" customFormat="1" ht="22.2" customHeight="1">
      <c r="C2170" s="61" t="s">
        <v>1215</v>
      </c>
      <c r="D2170" s="56" t="s">
        <v>1216</v>
      </c>
      <c r="E2170" s="93"/>
      <c r="F2170" s="57"/>
      <c r="G2170" s="57"/>
      <c r="H2170" s="57"/>
      <c r="I2170" s="44"/>
    </row>
    <row r="2171" spans="3:13" s="59" customFormat="1" ht="22.2" customHeight="1">
      <c r="C2171" s="800">
        <v>1</v>
      </c>
      <c r="D2171" s="56" t="s">
        <v>4770</v>
      </c>
      <c r="E2171" s="93" t="s">
        <v>1974</v>
      </c>
      <c r="F2171" s="590">
        <v>3.0000000000000001E-3</v>
      </c>
      <c r="G2171" s="63">
        <f>VLOOKUP(D2171,upahbahan,3,FALSE)</f>
        <v>108000</v>
      </c>
      <c r="H2171" s="63">
        <f t="shared" ref="H2171" si="273">F2171*G2171</f>
        <v>324</v>
      </c>
      <c r="I2171" s="44"/>
    </row>
    <row r="2172" spans="3:13" s="59" customFormat="1" ht="22.2" customHeight="1">
      <c r="C2172" s="450" t="s">
        <v>1217</v>
      </c>
      <c r="D2172" s="67"/>
      <c r="E2172" s="67"/>
      <c r="F2172" s="67"/>
      <c r="G2172" s="69"/>
      <c r="H2172" s="882">
        <f>SUM(H2171:H2171)</f>
        <v>324</v>
      </c>
      <c r="I2172" s="44"/>
    </row>
    <row r="2173" spans="3:13" s="59" customFormat="1" ht="22.2" customHeight="1">
      <c r="C2173" s="288" t="s">
        <v>1218</v>
      </c>
      <c r="D2173" s="76" t="s">
        <v>1219</v>
      </c>
      <c r="E2173" s="77"/>
      <c r="F2173" s="77"/>
      <c r="G2173" s="78"/>
      <c r="H2173" s="585">
        <f>H2172+H2169+H2167</f>
        <v>10434</v>
      </c>
      <c r="I2173" s="369"/>
    </row>
    <row r="2174" spans="3:13" s="59" customFormat="1" ht="22.2" customHeight="1">
      <c r="C2174" s="288" t="s">
        <v>1220</v>
      </c>
      <c r="D2174" s="76" t="s">
        <v>1321</v>
      </c>
      <c r="E2174" s="77"/>
      <c r="F2174" s="78"/>
      <c r="G2174" s="80">
        <v>0.1</v>
      </c>
      <c r="H2174" s="63">
        <f>H2173*G2174</f>
        <v>1043.4000000000001</v>
      </c>
      <c r="I2174" s="369"/>
    </row>
    <row r="2175" spans="3:13" s="59" customFormat="1" ht="22.2" customHeight="1">
      <c r="C2175" s="288" t="s">
        <v>1221</v>
      </c>
      <c r="D2175" s="76" t="s">
        <v>1222</v>
      </c>
      <c r="E2175" s="77"/>
      <c r="F2175" s="77"/>
      <c r="G2175" s="78"/>
      <c r="H2175" s="799">
        <f>SUM(H2173:H2174)</f>
        <v>11477.4</v>
      </c>
      <c r="I2175" s="369"/>
    </row>
    <row r="2176" spans="3:13" ht="22.2" customHeight="1"/>
    <row r="2177" spans="3:13" ht="22.2" customHeight="1">
      <c r="C2177" s="43" t="s">
        <v>4989</v>
      </c>
      <c r="D2177" s="128" t="s">
        <v>8571</v>
      </c>
      <c r="I2177" s="50">
        <f>ROUNDDOWN(H2191,-2)</f>
        <v>18700</v>
      </c>
      <c r="J2177" s="59" t="s">
        <v>6451</v>
      </c>
      <c r="K2177" s="59" t="s">
        <v>8371</v>
      </c>
    </row>
    <row r="2178" spans="3:13" s="59" customFormat="1" ht="22.2" customHeight="1">
      <c r="C2178" s="591" t="s">
        <v>1195</v>
      </c>
      <c r="D2178" s="591" t="s">
        <v>1196</v>
      </c>
      <c r="E2178" s="591" t="s">
        <v>1197</v>
      </c>
      <c r="F2178" s="591" t="s">
        <v>1198</v>
      </c>
      <c r="G2178" s="591" t="s">
        <v>1199</v>
      </c>
      <c r="H2178" s="591" t="s">
        <v>1200</v>
      </c>
      <c r="I2178" s="44"/>
    </row>
    <row r="2179" spans="3:13" s="59" customFormat="1" ht="22.2" customHeight="1">
      <c r="C2179" s="61" t="s">
        <v>1201</v>
      </c>
      <c r="D2179" s="56" t="s">
        <v>1202</v>
      </c>
      <c r="E2179" s="57"/>
      <c r="F2179" s="57"/>
      <c r="G2179" s="57"/>
      <c r="H2179" s="57"/>
      <c r="I2179" s="44"/>
      <c r="J2179" s="152" t="s">
        <v>1247</v>
      </c>
    </row>
    <row r="2180" spans="3:13" s="59" customFormat="1" ht="22.2" customHeight="1">
      <c r="C2180" s="588">
        <v>1</v>
      </c>
      <c r="D2180" s="56" t="s">
        <v>5</v>
      </c>
      <c r="E2180" s="577" t="s">
        <v>6</v>
      </c>
      <c r="F2180" s="101">
        <v>0.112</v>
      </c>
      <c r="G2180" s="63">
        <f>VLOOKUP(D2180,upahbahan,3,FALSE)</f>
        <v>100000</v>
      </c>
      <c r="H2180" s="63">
        <f>F2180*G2180</f>
        <v>11200</v>
      </c>
      <c r="I2180" s="44"/>
      <c r="J2180" s="152" t="s">
        <v>1248</v>
      </c>
      <c r="M2180" s="65">
        <v>0.1</v>
      </c>
    </row>
    <row r="2181" spans="3:13" s="59" customFormat="1" ht="22.2" customHeight="1">
      <c r="C2181" s="588">
        <v>2</v>
      </c>
      <c r="D2181" s="56" t="s">
        <v>10</v>
      </c>
      <c r="E2181" s="577" t="s">
        <v>6</v>
      </c>
      <c r="F2181" s="101">
        <v>2.1999999999999999E-2</v>
      </c>
      <c r="G2181" s="63">
        <f>VLOOKUP(D2181,upahbahan,3,FALSE)</f>
        <v>135000</v>
      </c>
      <c r="H2181" s="63">
        <f>F2181*G2181</f>
        <v>2970</v>
      </c>
      <c r="I2181" s="44"/>
      <c r="J2181" s="152"/>
      <c r="M2181" s="65"/>
    </row>
    <row r="2182" spans="3:13" s="59" customFormat="1" ht="22.2" customHeight="1">
      <c r="C2182" s="588">
        <v>3</v>
      </c>
      <c r="D2182" s="56" t="s">
        <v>19</v>
      </c>
      <c r="E2182" s="577" t="s">
        <v>6</v>
      </c>
      <c r="F2182" s="101">
        <v>1.0999999999999999E-2</v>
      </c>
      <c r="G2182" s="63">
        <f>VLOOKUP(D2182,upahbahan,3,FALSE)</f>
        <v>160000</v>
      </c>
      <c r="H2182" s="63">
        <f t="shared" ref="H2182" si="274">F2182*G2182</f>
        <v>1760</v>
      </c>
      <c r="I2182" s="44"/>
    </row>
    <row r="2183" spans="3:13" s="59" customFormat="1" ht="22.2" customHeight="1">
      <c r="C2183" s="450" t="s">
        <v>1208</v>
      </c>
      <c r="D2183" s="67"/>
      <c r="E2183" s="67"/>
      <c r="F2183" s="142"/>
      <c r="G2183" s="153"/>
      <c r="H2183" s="63">
        <f>SUM(H2180:H2182)</f>
        <v>15930</v>
      </c>
      <c r="I2183" s="154"/>
    </row>
    <row r="2184" spans="3:13" s="59" customFormat="1" ht="22.2" customHeight="1">
      <c r="C2184" s="61" t="s">
        <v>1209</v>
      </c>
      <c r="D2184" s="56" t="s">
        <v>1210</v>
      </c>
      <c r="E2184" s="57"/>
      <c r="F2184" s="57"/>
      <c r="G2184" s="57"/>
      <c r="H2184" s="57"/>
      <c r="I2184" s="44"/>
    </row>
    <row r="2185" spans="3:13" s="59" customFormat="1" ht="22.2" customHeight="1">
      <c r="C2185" s="450" t="s">
        <v>1214</v>
      </c>
      <c r="D2185" s="67"/>
      <c r="E2185" s="67"/>
      <c r="F2185" s="67"/>
      <c r="G2185" s="69"/>
      <c r="H2185" s="63">
        <f>SUM(H2184:H2184)</f>
        <v>0</v>
      </c>
      <c r="I2185" s="44"/>
    </row>
    <row r="2186" spans="3:13" s="59" customFormat="1" ht="22.2" customHeight="1">
      <c r="C2186" s="61" t="s">
        <v>1215</v>
      </c>
      <c r="D2186" s="56" t="s">
        <v>1216</v>
      </c>
      <c r="E2186" s="93"/>
      <c r="F2186" s="57"/>
      <c r="G2186" s="57"/>
      <c r="H2186" s="57"/>
      <c r="I2186" s="44"/>
    </row>
    <row r="2187" spans="3:13" s="59" customFormat="1" ht="22.2" customHeight="1">
      <c r="C2187" s="800">
        <v>1</v>
      </c>
      <c r="D2187" s="56" t="s">
        <v>4770</v>
      </c>
      <c r="E2187" s="93" t="s">
        <v>1974</v>
      </c>
      <c r="F2187" s="590">
        <v>0.01</v>
      </c>
      <c r="G2187" s="63">
        <f>VLOOKUP(D2187,upahbahan,3,FALSE)</f>
        <v>108000</v>
      </c>
      <c r="H2187" s="63">
        <f t="shared" ref="H2187" si="275">F2187*G2187</f>
        <v>1080</v>
      </c>
      <c r="I2187" s="44"/>
    </row>
    <row r="2188" spans="3:13" s="59" customFormat="1" ht="22.2" customHeight="1">
      <c r="C2188" s="450" t="s">
        <v>1217</v>
      </c>
      <c r="D2188" s="67"/>
      <c r="E2188" s="67"/>
      <c r="F2188" s="67"/>
      <c r="G2188" s="69"/>
      <c r="H2188" s="882">
        <f>SUM(H2187:H2187)</f>
        <v>1080</v>
      </c>
      <c r="I2188" s="44"/>
    </row>
    <row r="2189" spans="3:13" s="59" customFormat="1" ht="22.2" customHeight="1">
      <c r="C2189" s="288" t="s">
        <v>1218</v>
      </c>
      <c r="D2189" s="76" t="s">
        <v>1219</v>
      </c>
      <c r="E2189" s="77"/>
      <c r="F2189" s="77"/>
      <c r="G2189" s="78"/>
      <c r="H2189" s="585">
        <f>H2188+H2185+H2183</f>
        <v>17010</v>
      </c>
      <c r="I2189" s="369"/>
    </row>
    <row r="2190" spans="3:13" s="59" customFormat="1" ht="22.2" customHeight="1">
      <c r="C2190" s="288" t="s">
        <v>1220</v>
      </c>
      <c r="D2190" s="76" t="s">
        <v>1321</v>
      </c>
      <c r="E2190" s="77"/>
      <c r="F2190" s="78"/>
      <c r="G2190" s="80">
        <v>0.1</v>
      </c>
      <c r="H2190" s="63">
        <f>H2189*G2190</f>
        <v>1701</v>
      </c>
      <c r="I2190" s="369"/>
    </row>
    <row r="2191" spans="3:13" s="59" customFormat="1" ht="22.2" customHeight="1">
      <c r="C2191" s="288" t="s">
        <v>1221</v>
      </c>
      <c r="D2191" s="76" t="s">
        <v>1222</v>
      </c>
      <c r="E2191" s="77"/>
      <c r="F2191" s="77"/>
      <c r="G2191" s="78"/>
      <c r="H2191" s="799">
        <f>SUM(H2189:H2190)</f>
        <v>18711</v>
      </c>
      <c r="I2191" s="369"/>
    </row>
    <row r="2192" spans="3:13" ht="22.2" customHeight="1"/>
    <row r="2193" spans="3:13" ht="22.2" customHeight="1">
      <c r="C2193" s="43" t="s">
        <v>4990</v>
      </c>
      <c r="D2193" s="128" t="s">
        <v>8572</v>
      </c>
      <c r="I2193" s="50">
        <f>ROUNDDOWN(H2207,-2)</f>
        <v>27100</v>
      </c>
      <c r="J2193" s="59" t="s">
        <v>6451</v>
      </c>
      <c r="K2193" s="59" t="s">
        <v>8371</v>
      </c>
    </row>
    <row r="2194" spans="3:13" s="59" customFormat="1" ht="22.2" customHeight="1">
      <c r="C2194" s="591" t="s">
        <v>1195</v>
      </c>
      <c r="D2194" s="591" t="s">
        <v>1196</v>
      </c>
      <c r="E2194" s="591" t="s">
        <v>1197</v>
      </c>
      <c r="F2194" s="591" t="s">
        <v>1198</v>
      </c>
      <c r="G2194" s="591" t="s">
        <v>1199</v>
      </c>
      <c r="H2194" s="591" t="s">
        <v>1200</v>
      </c>
      <c r="I2194" s="44"/>
    </row>
    <row r="2195" spans="3:13" s="59" customFormat="1" ht="22.2" customHeight="1">
      <c r="C2195" s="61" t="s">
        <v>1201</v>
      </c>
      <c r="D2195" s="56" t="s">
        <v>1202</v>
      </c>
      <c r="E2195" s="57"/>
      <c r="F2195" s="57"/>
      <c r="G2195" s="57"/>
      <c r="H2195" s="57"/>
      <c r="I2195" s="44"/>
      <c r="J2195" s="152" t="s">
        <v>1247</v>
      </c>
    </row>
    <row r="2196" spans="3:13" s="59" customFormat="1" ht="22.2" customHeight="1">
      <c r="C2196" s="588">
        <v>1</v>
      </c>
      <c r="D2196" s="56" t="s">
        <v>5</v>
      </c>
      <c r="E2196" s="577" t="s">
        <v>6</v>
      </c>
      <c r="F2196" s="101">
        <v>0.159</v>
      </c>
      <c r="G2196" s="63">
        <f>VLOOKUP(D2196,upahbahan,3,FALSE)</f>
        <v>100000</v>
      </c>
      <c r="H2196" s="63">
        <f>F2196*G2196</f>
        <v>15900</v>
      </c>
      <c r="I2196" s="44"/>
      <c r="J2196" s="152" t="s">
        <v>1248</v>
      </c>
      <c r="M2196" s="65">
        <v>0.1</v>
      </c>
    </row>
    <row r="2197" spans="3:13" s="59" customFormat="1" ht="22.2" customHeight="1">
      <c r="C2197" s="588">
        <v>2</v>
      </c>
      <c r="D2197" s="56" t="s">
        <v>10</v>
      </c>
      <c r="E2197" s="577" t="s">
        <v>6</v>
      </c>
      <c r="F2197" s="101">
        <v>3.2000000000000001E-2</v>
      </c>
      <c r="G2197" s="63">
        <f>VLOOKUP(D2197,upahbahan,3,FALSE)</f>
        <v>135000</v>
      </c>
      <c r="H2197" s="63">
        <f>F2197*G2197</f>
        <v>4320</v>
      </c>
      <c r="I2197" s="44"/>
      <c r="J2197" s="152"/>
      <c r="M2197" s="65"/>
    </row>
    <row r="2198" spans="3:13" s="59" customFormat="1" ht="22.2" customHeight="1">
      <c r="C2198" s="588">
        <v>3</v>
      </c>
      <c r="D2198" s="56" t="s">
        <v>19</v>
      </c>
      <c r="E2198" s="577" t="s">
        <v>6</v>
      </c>
      <c r="F2198" s="101">
        <v>1.6E-2</v>
      </c>
      <c r="G2198" s="63">
        <f>VLOOKUP(D2198,upahbahan,3,FALSE)</f>
        <v>160000</v>
      </c>
      <c r="H2198" s="63">
        <f t="shared" ref="H2198" si="276">F2198*G2198</f>
        <v>2560</v>
      </c>
      <c r="I2198" s="44"/>
    </row>
    <row r="2199" spans="3:13" s="59" customFormat="1" ht="22.2" customHeight="1">
      <c r="C2199" s="450" t="s">
        <v>1208</v>
      </c>
      <c r="D2199" s="67"/>
      <c r="E2199" s="67"/>
      <c r="F2199" s="142"/>
      <c r="G2199" s="153"/>
      <c r="H2199" s="63">
        <f>SUM(H2196:H2198)</f>
        <v>22780</v>
      </c>
      <c r="I2199" s="154"/>
    </row>
    <row r="2200" spans="3:13" s="59" customFormat="1" ht="22.2" customHeight="1">
      <c r="C2200" s="61" t="s">
        <v>1209</v>
      </c>
      <c r="D2200" s="56" t="s">
        <v>1210</v>
      </c>
      <c r="E2200" s="57"/>
      <c r="F2200" s="57"/>
      <c r="G2200" s="57"/>
      <c r="H2200" s="57"/>
      <c r="I2200" s="44"/>
    </row>
    <row r="2201" spans="3:13" s="59" customFormat="1" ht="22.2" customHeight="1">
      <c r="C2201" s="450" t="s">
        <v>1214</v>
      </c>
      <c r="D2201" s="67"/>
      <c r="E2201" s="67"/>
      <c r="F2201" s="67"/>
      <c r="G2201" s="69"/>
      <c r="H2201" s="63">
        <f>SUM(H2200:H2200)</f>
        <v>0</v>
      </c>
      <c r="I2201" s="44"/>
    </row>
    <row r="2202" spans="3:13" s="59" customFormat="1" ht="22.2" customHeight="1">
      <c r="C2202" s="61" t="s">
        <v>1215</v>
      </c>
      <c r="D2202" s="56" t="s">
        <v>1216</v>
      </c>
      <c r="E2202" s="93"/>
      <c r="F2202" s="57"/>
      <c r="G2202" s="57"/>
      <c r="H2202" s="57"/>
      <c r="I2202" s="44"/>
    </row>
    <row r="2203" spans="3:13" s="59" customFormat="1" ht="22.2" customHeight="1">
      <c r="C2203" s="800">
        <v>1</v>
      </c>
      <c r="D2203" s="56" t="s">
        <v>4770</v>
      </c>
      <c r="E2203" s="93" t="s">
        <v>1974</v>
      </c>
      <c r="F2203" s="590">
        <v>1.7999999999999999E-2</v>
      </c>
      <c r="G2203" s="63">
        <f>VLOOKUP(D2203,upahbahan,3,FALSE)</f>
        <v>108000</v>
      </c>
      <c r="H2203" s="63">
        <f t="shared" ref="H2203" si="277">F2203*G2203</f>
        <v>1943.9999999999998</v>
      </c>
      <c r="I2203" s="44"/>
    </row>
    <row r="2204" spans="3:13" s="59" customFormat="1" ht="22.2" customHeight="1">
      <c r="C2204" s="450" t="s">
        <v>1217</v>
      </c>
      <c r="D2204" s="67"/>
      <c r="E2204" s="67"/>
      <c r="F2204" s="67"/>
      <c r="G2204" s="69"/>
      <c r="H2204" s="882">
        <f>SUM(H2203:H2203)</f>
        <v>1943.9999999999998</v>
      </c>
      <c r="I2204" s="44"/>
    </row>
    <row r="2205" spans="3:13" s="59" customFormat="1" ht="22.2" customHeight="1">
      <c r="C2205" s="288" t="s">
        <v>1218</v>
      </c>
      <c r="D2205" s="76" t="s">
        <v>1219</v>
      </c>
      <c r="E2205" s="77"/>
      <c r="F2205" s="77"/>
      <c r="G2205" s="78"/>
      <c r="H2205" s="585">
        <f>H2204+H2201+H2199</f>
        <v>24724</v>
      </c>
      <c r="I2205" s="369"/>
    </row>
    <row r="2206" spans="3:13" s="59" customFormat="1" ht="22.2" customHeight="1">
      <c r="C2206" s="288" t="s">
        <v>1220</v>
      </c>
      <c r="D2206" s="76" t="s">
        <v>1321</v>
      </c>
      <c r="E2206" s="77"/>
      <c r="F2206" s="78"/>
      <c r="G2206" s="80">
        <v>0.1</v>
      </c>
      <c r="H2206" s="63">
        <f>H2205*G2206</f>
        <v>2472.4</v>
      </c>
      <c r="I2206" s="369"/>
    </row>
    <row r="2207" spans="3:13" s="59" customFormat="1" ht="22.2" customHeight="1">
      <c r="C2207" s="288" t="s">
        <v>1221</v>
      </c>
      <c r="D2207" s="76" t="s">
        <v>1222</v>
      </c>
      <c r="E2207" s="77"/>
      <c r="F2207" s="77"/>
      <c r="G2207" s="78"/>
      <c r="H2207" s="799">
        <f>SUM(H2205:H2206)</f>
        <v>27196.400000000001</v>
      </c>
      <c r="I2207" s="369"/>
    </row>
    <row r="2208" spans="3:13" ht="22.2" customHeight="1"/>
    <row r="2209" spans="3:13" ht="22.2" customHeight="1">
      <c r="C2209" s="43" t="s">
        <v>4991</v>
      </c>
      <c r="D2209" s="128" t="s">
        <v>8573</v>
      </c>
      <c r="I2209" s="50">
        <f>ROUNDDOWN(H2223,-2)</f>
        <v>64000</v>
      </c>
      <c r="J2209" s="59" t="s">
        <v>6451</v>
      </c>
      <c r="K2209" s="59" t="s">
        <v>8371</v>
      </c>
    </row>
    <row r="2210" spans="3:13" s="59" customFormat="1" ht="22.2" customHeight="1">
      <c r="C2210" s="591" t="s">
        <v>1195</v>
      </c>
      <c r="D2210" s="591" t="s">
        <v>1196</v>
      </c>
      <c r="E2210" s="591" t="s">
        <v>1197</v>
      </c>
      <c r="F2210" s="591" t="s">
        <v>1198</v>
      </c>
      <c r="G2210" s="591" t="s">
        <v>1199</v>
      </c>
      <c r="H2210" s="591" t="s">
        <v>1200</v>
      </c>
      <c r="I2210" s="44"/>
    </row>
    <row r="2211" spans="3:13" s="59" customFormat="1" ht="22.2" customHeight="1">
      <c r="C2211" s="61" t="s">
        <v>1201</v>
      </c>
      <c r="D2211" s="56" t="s">
        <v>1202</v>
      </c>
      <c r="E2211" s="57"/>
      <c r="F2211" s="57"/>
      <c r="G2211" s="57"/>
      <c r="H2211" s="57"/>
      <c r="I2211" s="44"/>
      <c r="J2211" s="152" t="s">
        <v>1247</v>
      </c>
    </row>
    <row r="2212" spans="3:13" s="59" customFormat="1" ht="22.2" customHeight="1">
      <c r="C2212" s="588">
        <v>1</v>
      </c>
      <c r="D2212" s="56" t="s">
        <v>5</v>
      </c>
      <c r="E2212" s="577" t="s">
        <v>6</v>
      </c>
      <c r="F2212" s="101">
        <v>0.36599999999999999</v>
      </c>
      <c r="G2212" s="63">
        <f>VLOOKUP(D2212,upahbahan,3,FALSE)</f>
        <v>100000</v>
      </c>
      <c r="H2212" s="63">
        <f>F2212*G2212</f>
        <v>36600</v>
      </c>
      <c r="I2212" s="44"/>
      <c r="J2212" s="152" t="s">
        <v>1248</v>
      </c>
      <c r="M2212" s="65">
        <v>0.1</v>
      </c>
    </row>
    <row r="2213" spans="3:13" s="59" customFormat="1" ht="22.2" customHeight="1">
      <c r="C2213" s="588">
        <v>2</v>
      </c>
      <c r="D2213" s="56" t="s">
        <v>10</v>
      </c>
      <c r="E2213" s="577" t="s">
        <v>6</v>
      </c>
      <c r="F2213" s="101">
        <v>7.2999999999999995E-2</v>
      </c>
      <c r="G2213" s="63">
        <f>VLOOKUP(D2213,upahbahan,3,FALSE)</f>
        <v>135000</v>
      </c>
      <c r="H2213" s="63">
        <f>F2213*G2213</f>
        <v>9855</v>
      </c>
      <c r="I2213" s="44"/>
      <c r="J2213" s="152"/>
      <c r="M2213" s="65"/>
    </row>
    <row r="2214" spans="3:13" s="59" customFormat="1" ht="22.2" customHeight="1">
      <c r="C2214" s="588">
        <v>3</v>
      </c>
      <c r="D2214" s="56" t="s">
        <v>19</v>
      </c>
      <c r="E2214" s="577" t="s">
        <v>6</v>
      </c>
      <c r="F2214" s="101">
        <v>3.6999999999999998E-2</v>
      </c>
      <c r="G2214" s="63">
        <f>VLOOKUP(D2214,upahbahan,3,FALSE)</f>
        <v>160000</v>
      </c>
      <c r="H2214" s="63">
        <f t="shared" ref="H2214" si="278">F2214*G2214</f>
        <v>5920</v>
      </c>
      <c r="I2214" s="44"/>
    </row>
    <row r="2215" spans="3:13" s="59" customFormat="1" ht="22.2" customHeight="1">
      <c r="C2215" s="450" t="s">
        <v>1208</v>
      </c>
      <c r="D2215" s="67"/>
      <c r="E2215" s="67"/>
      <c r="F2215" s="142"/>
      <c r="G2215" s="153"/>
      <c r="H2215" s="63">
        <f>SUM(H2212:H2214)</f>
        <v>52375</v>
      </c>
      <c r="I2215" s="154"/>
    </row>
    <row r="2216" spans="3:13" s="59" customFormat="1" ht="22.2" customHeight="1">
      <c r="C2216" s="61" t="s">
        <v>1209</v>
      </c>
      <c r="D2216" s="56" t="s">
        <v>1210</v>
      </c>
      <c r="E2216" s="57"/>
      <c r="F2216" s="57"/>
      <c r="G2216" s="57"/>
      <c r="H2216" s="57"/>
      <c r="I2216" s="44"/>
    </row>
    <row r="2217" spans="3:13" s="59" customFormat="1" ht="22.2" customHeight="1">
      <c r="C2217" s="450" t="s">
        <v>1214</v>
      </c>
      <c r="D2217" s="67"/>
      <c r="E2217" s="67"/>
      <c r="F2217" s="67"/>
      <c r="G2217" s="69"/>
      <c r="H2217" s="63">
        <f>SUM(H2216:H2216)</f>
        <v>0</v>
      </c>
      <c r="I2217" s="44"/>
    </row>
    <row r="2218" spans="3:13" s="59" customFormat="1" ht="22.2" customHeight="1">
      <c r="C2218" s="61" t="s">
        <v>1215</v>
      </c>
      <c r="D2218" s="56" t="s">
        <v>1216</v>
      </c>
      <c r="E2218" s="93"/>
      <c r="F2218" s="57"/>
      <c r="G2218" s="57"/>
      <c r="H2218" s="57"/>
      <c r="I2218" s="44"/>
    </row>
    <row r="2219" spans="3:13" s="59" customFormat="1" ht="22.2" customHeight="1">
      <c r="C2219" s="800">
        <v>1</v>
      </c>
      <c r="D2219" s="56" t="s">
        <v>4770</v>
      </c>
      <c r="E2219" s="93" t="s">
        <v>1974</v>
      </c>
      <c r="F2219" s="590">
        <v>5.3999999999999999E-2</v>
      </c>
      <c r="G2219" s="63">
        <f>VLOOKUP(D2219,upahbahan,3,FALSE)</f>
        <v>108000</v>
      </c>
      <c r="H2219" s="63">
        <f t="shared" ref="H2219" si="279">F2219*G2219</f>
        <v>5832</v>
      </c>
      <c r="I2219" s="44"/>
    </row>
    <row r="2220" spans="3:13" s="59" customFormat="1" ht="22.2" customHeight="1">
      <c r="C2220" s="450" t="s">
        <v>1217</v>
      </c>
      <c r="D2220" s="67"/>
      <c r="E2220" s="67"/>
      <c r="F2220" s="67"/>
      <c r="G2220" s="69"/>
      <c r="H2220" s="882">
        <f>SUM(H2219:H2219)</f>
        <v>5832</v>
      </c>
      <c r="I2220" s="44"/>
    </row>
    <row r="2221" spans="3:13" s="59" customFormat="1" ht="22.2" customHeight="1">
      <c r="C2221" s="288" t="s">
        <v>1218</v>
      </c>
      <c r="D2221" s="76" t="s">
        <v>1219</v>
      </c>
      <c r="E2221" s="77"/>
      <c r="F2221" s="77"/>
      <c r="G2221" s="78"/>
      <c r="H2221" s="585">
        <f>H2220+H2217+H2215</f>
        <v>58207</v>
      </c>
      <c r="I2221" s="369"/>
    </row>
    <row r="2222" spans="3:13" s="59" customFormat="1" ht="22.2" customHeight="1">
      <c r="C2222" s="288" t="s">
        <v>1220</v>
      </c>
      <c r="D2222" s="76" t="s">
        <v>1321</v>
      </c>
      <c r="E2222" s="77"/>
      <c r="F2222" s="78"/>
      <c r="G2222" s="80">
        <v>0.1</v>
      </c>
      <c r="H2222" s="63">
        <f>H2221*G2222</f>
        <v>5820.7000000000007</v>
      </c>
      <c r="I2222" s="369"/>
    </row>
    <row r="2223" spans="3:13" s="59" customFormat="1" ht="22.2" customHeight="1">
      <c r="C2223" s="288" t="s">
        <v>1221</v>
      </c>
      <c r="D2223" s="76" t="s">
        <v>1222</v>
      </c>
      <c r="E2223" s="77"/>
      <c r="F2223" s="77"/>
      <c r="G2223" s="78"/>
      <c r="H2223" s="799">
        <f>SUM(H2221:H2222)</f>
        <v>64027.7</v>
      </c>
      <c r="I2223" s="369"/>
    </row>
    <row r="2224" spans="3:13" ht="22.2" customHeight="1"/>
    <row r="2225" spans="3:13" ht="22.2" customHeight="1">
      <c r="C2225" s="43" t="s">
        <v>4992</v>
      </c>
      <c r="D2225" s="128" t="s">
        <v>8574</v>
      </c>
      <c r="I2225" s="50">
        <f>ROUNDDOWN(H2239,-2)</f>
        <v>83500</v>
      </c>
      <c r="J2225" s="59" t="s">
        <v>6451</v>
      </c>
      <c r="K2225" s="59" t="s">
        <v>8371</v>
      </c>
    </row>
    <row r="2226" spans="3:13" s="59" customFormat="1" ht="22.2" customHeight="1">
      <c r="C2226" s="591" t="s">
        <v>1195</v>
      </c>
      <c r="D2226" s="591" t="s">
        <v>1196</v>
      </c>
      <c r="E2226" s="591" t="s">
        <v>1197</v>
      </c>
      <c r="F2226" s="591" t="s">
        <v>1198</v>
      </c>
      <c r="G2226" s="591" t="s">
        <v>1199</v>
      </c>
      <c r="H2226" s="591" t="s">
        <v>1200</v>
      </c>
      <c r="I2226" s="44"/>
    </row>
    <row r="2227" spans="3:13" s="59" customFormat="1" ht="22.2" customHeight="1">
      <c r="C2227" s="61" t="s">
        <v>1201</v>
      </c>
      <c r="D2227" s="56" t="s">
        <v>1202</v>
      </c>
      <c r="E2227" s="57"/>
      <c r="F2227" s="57"/>
      <c r="G2227" s="57"/>
      <c r="H2227" s="57"/>
      <c r="I2227" s="44"/>
      <c r="J2227" s="152" t="s">
        <v>1247</v>
      </c>
    </row>
    <row r="2228" spans="3:13" s="59" customFormat="1" ht="22.2" customHeight="1">
      <c r="C2228" s="588">
        <v>1</v>
      </c>
      <c r="D2228" s="56" t="s">
        <v>5</v>
      </c>
      <c r="E2228" s="577" t="s">
        <v>6</v>
      </c>
      <c r="F2228" s="101">
        <v>0.47599999999999998</v>
      </c>
      <c r="G2228" s="63">
        <f>VLOOKUP(D2228,upahbahan,3,FALSE)</f>
        <v>100000</v>
      </c>
      <c r="H2228" s="63">
        <f>F2228*G2228</f>
        <v>47600</v>
      </c>
      <c r="I2228" s="44"/>
      <c r="J2228" s="152" t="s">
        <v>1248</v>
      </c>
      <c r="M2228" s="65">
        <v>0.1</v>
      </c>
    </row>
    <row r="2229" spans="3:13" s="59" customFormat="1" ht="22.2" customHeight="1">
      <c r="C2229" s="588">
        <v>2</v>
      </c>
      <c r="D2229" s="56" t="s">
        <v>10</v>
      </c>
      <c r="E2229" s="577" t="s">
        <v>6</v>
      </c>
      <c r="F2229" s="101">
        <v>9.5000000000000001E-2</v>
      </c>
      <c r="G2229" s="63">
        <f>VLOOKUP(D2229,upahbahan,3,FALSE)</f>
        <v>135000</v>
      </c>
      <c r="H2229" s="63">
        <f>F2229*G2229</f>
        <v>12825</v>
      </c>
      <c r="I2229" s="44"/>
      <c r="J2229" s="152"/>
      <c r="M2229" s="65"/>
    </row>
    <row r="2230" spans="3:13" s="59" customFormat="1" ht="22.2" customHeight="1">
      <c r="C2230" s="588">
        <v>3</v>
      </c>
      <c r="D2230" s="56" t="s">
        <v>19</v>
      </c>
      <c r="E2230" s="577" t="s">
        <v>6</v>
      </c>
      <c r="F2230" s="101">
        <v>4.8000000000000001E-2</v>
      </c>
      <c r="G2230" s="63">
        <f>VLOOKUP(D2230,upahbahan,3,FALSE)</f>
        <v>160000</v>
      </c>
      <c r="H2230" s="63">
        <f t="shared" ref="H2230" si="280">F2230*G2230</f>
        <v>7680</v>
      </c>
      <c r="I2230" s="44"/>
    </row>
    <row r="2231" spans="3:13" s="59" customFormat="1" ht="22.2" customHeight="1">
      <c r="C2231" s="450" t="s">
        <v>1208</v>
      </c>
      <c r="D2231" s="67"/>
      <c r="E2231" s="67"/>
      <c r="F2231" s="142"/>
      <c r="G2231" s="153"/>
      <c r="H2231" s="63">
        <f>SUM(H2228:H2230)</f>
        <v>68105</v>
      </c>
      <c r="I2231" s="154"/>
    </row>
    <row r="2232" spans="3:13" s="59" customFormat="1" ht="22.2" customHeight="1">
      <c r="C2232" s="61" t="s">
        <v>1209</v>
      </c>
      <c r="D2232" s="56" t="s">
        <v>1210</v>
      </c>
      <c r="E2232" s="57"/>
      <c r="F2232" s="57"/>
      <c r="G2232" s="57"/>
      <c r="H2232" s="57"/>
      <c r="I2232" s="44"/>
    </row>
    <row r="2233" spans="3:13" s="59" customFormat="1" ht="22.2" customHeight="1">
      <c r="C2233" s="450" t="s">
        <v>1214</v>
      </c>
      <c r="D2233" s="67"/>
      <c r="E2233" s="67"/>
      <c r="F2233" s="67"/>
      <c r="G2233" s="69"/>
      <c r="H2233" s="63">
        <f>SUM(H2232:H2232)</f>
        <v>0</v>
      </c>
      <c r="I2233" s="44"/>
    </row>
    <row r="2234" spans="3:13" s="59" customFormat="1" ht="22.2" customHeight="1">
      <c r="C2234" s="61" t="s">
        <v>1215</v>
      </c>
      <c r="D2234" s="56" t="s">
        <v>1216</v>
      </c>
      <c r="E2234" s="93"/>
      <c r="F2234" s="57"/>
      <c r="G2234" s="57"/>
      <c r="H2234" s="57"/>
      <c r="I2234" s="44"/>
    </row>
    <row r="2235" spans="3:13" s="59" customFormat="1" ht="22.2" customHeight="1">
      <c r="C2235" s="800">
        <v>1</v>
      </c>
      <c r="D2235" s="56" t="s">
        <v>4770</v>
      </c>
      <c r="E2235" s="93" t="s">
        <v>1974</v>
      </c>
      <c r="F2235" s="590">
        <v>7.2999999999999995E-2</v>
      </c>
      <c r="G2235" s="63">
        <f>VLOOKUP(D2235,upahbahan,3,FALSE)</f>
        <v>108000</v>
      </c>
      <c r="H2235" s="63">
        <f t="shared" ref="H2235" si="281">F2235*G2235</f>
        <v>7883.9999999999991</v>
      </c>
      <c r="I2235" s="44"/>
    </row>
    <row r="2236" spans="3:13" s="59" customFormat="1" ht="22.2" customHeight="1">
      <c r="C2236" s="450" t="s">
        <v>1217</v>
      </c>
      <c r="D2236" s="67"/>
      <c r="E2236" s="67"/>
      <c r="F2236" s="67"/>
      <c r="G2236" s="69"/>
      <c r="H2236" s="882">
        <f>SUM(H2235:H2235)</f>
        <v>7883.9999999999991</v>
      </c>
      <c r="I2236" s="44"/>
    </row>
    <row r="2237" spans="3:13" s="59" customFormat="1" ht="22.2" customHeight="1">
      <c r="C2237" s="288" t="s">
        <v>1218</v>
      </c>
      <c r="D2237" s="76" t="s">
        <v>1219</v>
      </c>
      <c r="E2237" s="77"/>
      <c r="F2237" s="77"/>
      <c r="G2237" s="78"/>
      <c r="H2237" s="585">
        <f>H2236+H2233+H2231</f>
        <v>75989</v>
      </c>
      <c r="I2237" s="369"/>
    </row>
    <row r="2238" spans="3:13" s="59" customFormat="1" ht="22.2" customHeight="1">
      <c r="C2238" s="288" t="s">
        <v>1220</v>
      </c>
      <c r="D2238" s="76" t="s">
        <v>1321</v>
      </c>
      <c r="E2238" s="77"/>
      <c r="F2238" s="78"/>
      <c r="G2238" s="80">
        <v>0.1</v>
      </c>
      <c r="H2238" s="63">
        <f>H2237*G2238</f>
        <v>7598.9000000000005</v>
      </c>
      <c r="I2238" s="369"/>
    </row>
    <row r="2239" spans="3:13" s="59" customFormat="1" ht="22.2" customHeight="1">
      <c r="C2239" s="288" t="s">
        <v>1221</v>
      </c>
      <c r="D2239" s="76" t="s">
        <v>1222</v>
      </c>
      <c r="E2239" s="77"/>
      <c r="F2239" s="77"/>
      <c r="G2239" s="78"/>
      <c r="H2239" s="799">
        <f>SUM(H2237:H2238)</f>
        <v>83587.899999999994</v>
      </c>
      <c r="I2239" s="369"/>
    </row>
    <row r="2240" spans="3:13" ht="22.2" customHeight="1"/>
    <row r="2241" spans="3:13" ht="22.2" customHeight="1">
      <c r="C2241" s="43" t="s">
        <v>4993</v>
      </c>
      <c r="D2241" s="128" t="s">
        <v>8575</v>
      </c>
      <c r="I2241" s="50">
        <f>ROUNDDOWN(H2255,-2)</f>
        <v>89800</v>
      </c>
      <c r="J2241" s="59" t="s">
        <v>6451</v>
      </c>
      <c r="K2241" s="59" t="s">
        <v>8371</v>
      </c>
    </row>
    <row r="2242" spans="3:13" s="59" customFormat="1" ht="22.2" customHeight="1">
      <c r="C2242" s="591" t="s">
        <v>1195</v>
      </c>
      <c r="D2242" s="591" t="s">
        <v>1196</v>
      </c>
      <c r="E2242" s="591" t="s">
        <v>1197</v>
      </c>
      <c r="F2242" s="591" t="s">
        <v>1198</v>
      </c>
      <c r="G2242" s="591" t="s">
        <v>1199</v>
      </c>
      <c r="H2242" s="591" t="s">
        <v>1200</v>
      </c>
      <c r="I2242" s="44"/>
    </row>
    <row r="2243" spans="3:13" s="59" customFormat="1" ht="22.2" customHeight="1">
      <c r="C2243" s="61" t="s">
        <v>1201</v>
      </c>
      <c r="D2243" s="56" t="s">
        <v>1202</v>
      </c>
      <c r="E2243" s="57"/>
      <c r="F2243" s="57"/>
      <c r="G2243" s="57"/>
      <c r="H2243" s="57"/>
      <c r="I2243" s="44"/>
      <c r="J2243" s="152" t="s">
        <v>1247</v>
      </c>
    </row>
    <row r="2244" spans="3:13" s="59" customFormat="1" ht="22.2" customHeight="1">
      <c r="C2244" s="588">
        <v>1</v>
      </c>
      <c r="D2244" s="56" t="s">
        <v>5</v>
      </c>
      <c r="E2244" s="577" t="s">
        <v>6</v>
      </c>
      <c r="F2244" s="101">
        <v>0.51200000000000001</v>
      </c>
      <c r="G2244" s="63">
        <f>VLOOKUP(D2244,upahbahan,3,FALSE)</f>
        <v>100000</v>
      </c>
      <c r="H2244" s="63">
        <f>F2244*G2244</f>
        <v>51200</v>
      </c>
      <c r="I2244" s="44"/>
      <c r="J2244" s="152" t="s">
        <v>1248</v>
      </c>
      <c r="M2244" s="65">
        <v>0.1</v>
      </c>
    </row>
    <row r="2245" spans="3:13" s="59" customFormat="1" ht="22.2" customHeight="1">
      <c r="C2245" s="588">
        <v>2</v>
      </c>
      <c r="D2245" s="56" t="s">
        <v>10</v>
      </c>
      <c r="E2245" s="577" t="s">
        <v>6</v>
      </c>
      <c r="F2245" s="101">
        <v>0.10199999999999999</v>
      </c>
      <c r="G2245" s="63">
        <f>VLOOKUP(D2245,upahbahan,3,FALSE)</f>
        <v>135000</v>
      </c>
      <c r="H2245" s="63">
        <f>F2245*G2245</f>
        <v>13770</v>
      </c>
      <c r="I2245" s="44"/>
      <c r="J2245" s="152"/>
      <c r="M2245" s="65"/>
    </row>
    <row r="2246" spans="3:13" s="59" customFormat="1" ht="22.2" customHeight="1">
      <c r="C2246" s="588">
        <v>3</v>
      </c>
      <c r="D2246" s="56" t="s">
        <v>19</v>
      </c>
      <c r="E2246" s="577" t="s">
        <v>6</v>
      </c>
      <c r="F2246" s="101">
        <v>5.0999999999999997E-2</v>
      </c>
      <c r="G2246" s="63">
        <f>VLOOKUP(D2246,upahbahan,3,FALSE)</f>
        <v>160000</v>
      </c>
      <c r="H2246" s="63">
        <f t="shared" ref="H2246" si="282">F2246*G2246</f>
        <v>8159.9999999999991</v>
      </c>
      <c r="I2246" s="44"/>
    </row>
    <row r="2247" spans="3:13" s="59" customFormat="1" ht="22.2" customHeight="1">
      <c r="C2247" s="450" t="s">
        <v>1208</v>
      </c>
      <c r="D2247" s="67"/>
      <c r="E2247" s="67"/>
      <c r="F2247" s="142"/>
      <c r="G2247" s="153"/>
      <c r="H2247" s="63">
        <f>SUM(H2244:H2246)</f>
        <v>73130</v>
      </c>
      <c r="I2247" s="154"/>
    </row>
    <row r="2248" spans="3:13" s="59" customFormat="1" ht="22.2" customHeight="1">
      <c r="C2248" s="61" t="s">
        <v>1209</v>
      </c>
      <c r="D2248" s="56" t="s">
        <v>1210</v>
      </c>
      <c r="E2248" s="57"/>
      <c r="F2248" s="57"/>
      <c r="G2248" s="57"/>
      <c r="H2248" s="57"/>
      <c r="I2248" s="44"/>
    </row>
    <row r="2249" spans="3:13" s="59" customFormat="1" ht="22.2" customHeight="1">
      <c r="C2249" s="450" t="s">
        <v>1214</v>
      </c>
      <c r="D2249" s="67"/>
      <c r="E2249" s="67"/>
      <c r="F2249" s="67"/>
      <c r="G2249" s="69"/>
      <c r="H2249" s="63">
        <f>SUM(H2248:H2248)</f>
        <v>0</v>
      </c>
      <c r="I2249" s="44"/>
    </row>
    <row r="2250" spans="3:13" s="59" customFormat="1" ht="22.2" customHeight="1">
      <c r="C2250" s="61" t="s">
        <v>1215</v>
      </c>
      <c r="D2250" s="56" t="s">
        <v>1216</v>
      </c>
      <c r="E2250" s="93"/>
      <c r="F2250" s="57"/>
      <c r="G2250" s="57"/>
      <c r="H2250" s="57"/>
      <c r="I2250" s="44"/>
    </row>
    <row r="2251" spans="3:13" s="59" customFormat="1" ht="22.2" customHeight="1">
      <c r="C2251" s="800">
        <v>1</v>
      </c>
      <c r="D2251" s="56" t="s">
        <v>4770</v>
      </c>
      <c r="E2251" s="93" t="s">
        <v>1974</v>
      </c>
      <c r="F2251" s="590">
        <v>7.9000000000000001E-2</v>
      </c>
      <c r="G2251" s="63">
        <f>VLOOKUP(D2251,upahbahan,3,FALSE)</f>
        <v>108000</v>
      </c>
      <c r="H2251" s="63">
        <f t="shared" ref="H2251" si="283">F2251*G2251</f>
        <v>8532</v>
      </c>
      <c r="I2251" s="44"/>
    </row>
    <row r="2252" spans="3:13" s="59" customFormat="1" ht="22.2" customHeight="1">
      <c r="C2252" s="450" t="s">
        <v>1217</v>
      </c>
      <c r="D2252" s="67"/>
      <c r="E2252" s="67"/>
      <c r="F2252" s="67"/>
      <c r="G2252" s="69"/>
      <c r="H2252" s="882">
        <f>SUM(H2251:H2251)</f>
        <v>8532</v>
      </c>
      <c r="I2252" s="44"/>
    </row>
    <row r="2253" spans="3:13" s="59" customFormat="1" ht="22.2" customHeight="1">
      <c r="C2253" s="288" t="s">
        <v>1218</v>
      </c>
      <c r="D2253" s="76" t="s">
        <v>1219</v>
      </c>
      <c r="E2253" s="77"/>
      <c r="F2253" s="77"/>
      <c r="G2253" s="78"/>
      <c r="H2253" s="585">
        <f>H2252+H2249+H2247</f>
        <v>81662</v>
      </c>
      <c r="I2253" s="369"/>
    </row>
    <row r="2254" spans="3:13" s="59" customFormat="1" ht="22.2" customHeight="1">
      <c r="C2254" s="288" t="s">
        <v>1220</v>
      </c>
      <c r="D2254" s="76" t="s">
        <v>1321</v>
      </c>
      <c r="E2254" s="77"/>
      <c r="F2254" s="78"/>
      <c r="G2254" s="80">
        <v>0.1</v>
      </c>
      <c r="H2254" s="63">
        <f>H2253*G2254</f>
        <v>8166.2000000000007</v>
      </c>
      <c r="I2254" s="369"/>
    </row>
    <row r="2255" spans="3:13" s="59" customFormat="1" ht="22.2" customHeight="1">
      <c r="C2255" s="288" t="s">
        <v>1221</v>
      </c>
      <c r="D2255" s="76" t="s">
        <v>1222</v>
      </c>
      <c r="E2255" s="77"/>
      <c r="F2255" s="77"/>
      <c r="G2255" s="78"/>
      <c r="H2255" s="799">
        <f>SUM(H2253:H2254)</f>
        <v>89828.2</v>
      </c>
      <c r="I2255" s="369"/>
    </row>
    <row r="2256" spans="3:13" ht="22.2" customHeight="1"/>
    <row r="2257" spans="3:13" ht="22.2" customHeight="1">
      <c r="C2257" s="43" t="s">
        <v>4994</v>
      </c>
      <c r="D2257" s="128" t="s">
        <v>8576</v>
      </c>
      <c r="I2257" s="50">
        <f>ROUNDDOWN(H2271,-2)</f>
        <v>161000</v>
      </c>
      <c r="J2257" s="146" t="s">
        <v>6451</v>
      </c>
      <c r="K2257" s="146" t="s">
        <v>8578</v>
      </c>
    </row>
    <row r="2258" spans="3:13" s="59" customFormat="1" ht="22.2" customHeight="1">
      <c r="C2258" s="591" t="s">
        <v>1195</v>
      </c>
      <c r="D2258" s="591" t="s">
        <v>1196</v>
      </c>
      <c r="E2258" s="591" t="s">
        <v>1197</v>
      </c>
      <c r="F2258" s="591" t="s">
        <v>1198</v>
      </c>
      <c r="G2258" s="591" t="s">
        <v>1199</v>
      </c>
      <c r="H2258" s="591" t="s">
        <v>1200</v>
      </c>
      <c r="I2258" s="44"/>
    </row>
    <row r="2259" spans="3:13" s="59" customFormat="1" ht="22.2" customHeight="1">
      <c r="C2259" s="61" t="s">
        <v>1201</v>
      </c>
      <c r="D2259" s="56" t="s">
        <v>1202</v>
      </c>
      <c r="E2259" s="57"/>
      <c r="F2259" s="57"/>
      <c r="G2259" s="57"/>
      <c r="H2259" s="57"/>
      <c r="I2259" s="44"/>
      <c r="J2259" s="152" t="s">
        <v>1247</v>
      </c>
    </row>
    <row r="2260" spans="3:13" s="59" customFormat="1" ht="22.2" customHeight="1">
      <c r="C2260" s="588">
        <v>1</v>
      </c>
      <c r="D2260" s="56" t="s">
        <v>5</v>
      </c>
      <c r="E2260" s="577" t="s">
        <v>6</v>
      </c>
      <c r="F2260" s="101">
        <v>0.94099999999999995</v>
      </c>
      <c r="G2260" s="63">
        <f>VLOOKUP(D2260,upahbahan,3,FALSE)</f>
        <v>100000</v>
      </c>
      <c r="H2260" s="63">
        <f>F2260*G2260</f>
        <v>94100</v>
      </c>
      <c r="I2260" s="44"/>
      <c r="J2260" s="152" t="s">
        <v>1248</v>
      </c>
      <c r="M2260" s="65">
        <v>0.1</v>
      </c>
    </row>
    <row r="2261" spans="3:13" s="59" customFormat="1" ht="22.2" customHeight="1">
      <c r="C2261" s="588">
        <v>2</v>
      </c>
      <c r="D2261" s="56" t="s">
        <v>10</v>
      </c>
      <c r="E2261" s="577" t="s">
        <v>6</v>
      </c>
      <c r="F2261" s="101">
        <v>0.188</v>
      </c>
      <c r="G2261" s="63">
        <f>VLOOKUP(D2261,upahbahan,3,FALSE)</f>
        <v>135000</v>
      </c>
      <c r="H2261" s="63">
        <f>F2261*G2261</f>
        <v>25380</v>
      </c>
      <c r="I2261" s="44"/>
      <c r="J2261" s="152"/>
      <c r="M2261" s="65"/>
    </row>
    <row r="2262" spans="3:13" s="59" customFormat="1" ht="22.2" customHeight="1">
      <c r="C2262" s="588">
        <v>3</v>
      </c>
      <c r="D2262" s="56" t="s">
        <v>19</v>
      </c>
      <c r="E2262" s="577" t="s">
        <v>6</v>
      </c>
      <c r="F2262" s="101">
        <v>9.4E-2</v>
      </c>
      <c r="G2262" s="63">
        <f>VLOOKUP(D2262,upahbahan,3,FALSE)</f>
        <v>160000</v>
      </c>
      <c r="H2262" s="63">
        <f t="shared" ref="H2262" si="284">F2262*G2262</f>
        <v>15040</v>
      </c>
      <c r="I2262" s="44"/>
    </row>
    <row r="2263" spans="3:13" s="59" customFormat="1" ht="22.2" customHeight="1">
      <c r="C2263" s="450" t="s">
        <v>1208</v>
      </c>
      <c r="D2263" s="67"/>
      <c r="E2263" s="67"/>
      <c r="F2263" s="142"/>
      <c r="G2263" s="153"/>
      <c r="H2263" s="63">
        <f>SUM(H2260:H2262)</f>
        <v>134520</v>
      </c>
      <c r="I2263" s="154"/>
    </row>
    <row r="2264" spans="3:13" s="59" customFormat="1" ht="22.2" customHeight="1">
      <c r="C2264" s="61" t="s">
        <v>1209</v>
      </c>
      <c r="D2264" s="56" t="s">
        <v>1210</v>
      </c>
      <c r="E2264" s="57"/>
      <c r="F2264" s="57"/>
      <c r="G2264" s="57"/>
      <c r="H2264" s="57"/>
      <c r="I2264" s="44"/>
    </row>
    <row r="2265" spans="3:13" s="59" customFormat="1" ht="22.2" customHeight="1">
      <c r="C2265" s="450" t="s">
        <v>1214</v>
      </c>
      <c r="D2265" s="67"/>
      <c r="E2265" s="67"/>
      <c r="F2265" s="67"/>
      <c r="G2265" s="69"/>
      <c r="H2265" s="63">
        <f>SUM(H2264:H2264)</f>
        <v>0</v>
      </c>
      <c r="I2265" s="44"/>
    </row>
    <row r="2266" spans="3:13" s="59" customFormat="1" ht="22.2" customHeight="1">
      <c r="C2266" s="61" t="s">
        <v>1215</v>
      </c>
      <c r="D2266" s="56" t="s">
        <v>1216</v>
      </c>
      <c r="E2266" s="93"/>
      <c r="F2266" s="57"/>
      <c r="G2266" s="57"/>
      <c r="H2266" s="57"/>
      <c r="I2266" s="44"/>
    </row>
    <row r="2267" spans="3:13" s="59" customFormat="1" ht="22.2" customHeight="1">
      <c r="C2267" s="800">
        <v>1</v>
      </c>
      <c r="D2267" s="56" t="s">
        <v>8463</v>
      </c>
      <c r="E2267" s="93" t="s">
        <v>1974</v>
      </c>
      <c r="F2267" s="590">
        <v>0.158</v>
      </c>
      <c r="G2267" s="63">
        <f>VLOOKUP(D2267,upahbahan,3,FALSE)</f>
        <v>75000</v>
      </c>
      <c r="H2267" s="63">
        <f t="shared" ref="H2267" si="285">F2267*G2267</f>
        <v>11850</v>
      </c>
      <c r="I2267" s="44"/>
    </row>
    <row r="2268" spans="3:13" s="59" customFormat="1" ht="22.2" customHeight="1">
      <c r="C2268" s="450" t="s">
        <v>1217</v>
      </c>
      <c r="D2268" s="67"/>
      <c r="E2268" s="67"/>
      <c r="F2268" s="67"/>
      <c r="G2268" s="69"/>
      <c r="H2268" s="882">
        <f>SUM(H2267:H2267)</f>
        <v>11850</v>
      </c>
      <c r="I2268" s="44"/>
    </row>
    <row r="2269" spans="3:13" s="59" customFormat="1" ht="22.2" customHeight="1">
      <c r="C2269" s="288" t="s">
        <v>1218</v>
      </c>
      <c r="D2269" s="76" t="s">
        <v>1219</v>
      </c>
      <c r="E2269" s="77"/>
      <c r="F2269" s="77"/>
      <c r="G2269" s="78"/>
      <c r="H2269" s="585">
        <f>H2268+H2265+H2263</f>
        <v>146370</v>
      </c>
      <c r="I2269" s="369"/>
    </row>
    <row r="2270" spans="3:13" s="59" customFormat="1" ht="22.2" customHeight="1">
      <c r="C2270" s="288" t="s">
        <v>1220</v>
      </c>
      <c r="D2270" s="76" t="s">
        <v>1321</v>
      </c>
      <c r="E2270" s="77"/>
      <c r="F2270" s="78"/>
      <c r="G2270" s="80">
        <v>0.1</v>
      </c>
      <c r="H2270" s="63">
        <f>H2269*G2270</f>
        <v>14637</v>
      </c>
      <c r="I2270" s="369"/>
    </row>
    <row r="2271" spans="3:13" s="59" customFormat="1" ht="22.2" customHeight="1">
      <c r="C2271" s="288" t="s">
        <v>1221</v>
      </c>
      <c r="D2271" s="76" t="s">
        <v>1222</v>
      </c>
      <c r="E2271" s="77"/>
      <c r="F2271" s="77"/>
      <c r="G2271" s="78"/>
      <c r="H2271" s="799">
        <f>SUM(H2269:H2270)</f>
        <v>161007</v>
      </c>
      <c r="I2271" s="369"/>
    </row>
    <row r="2272" spans="3:13" ht="22.2" customHeight="1"/>
    <row r="2273" spans="3:13" ht="22.2" customHeight="1">
      <c r="C2273" s="43" t="s">
        <v>4995</v>
      </c>
      <c r="D2273" s="128" t="s">
        <v>8577</v>
      </c>
      <c r="I2273" s="50">
        <f>ROUNDDOWN(H2287,-2)</f>
        <v>193300</v>
      </c>
      <c r="J2273" s="146" t="s">
        <v>6451</v>
      </c>
      <c r="K2273" s="146" t="s">
        <v>8578</v>
      </c>
    </row>
    <row r="2274" spans="3:13" s="59" customFormat="1" ht="22.2" customHeight="1">
      <c r="C2274" s="591" t="s">
        <v>1195</v>
      </c>
      <c r="D2274" s="591" t="s">
        <v>1196</v>
      </c>
      <c r="E2274" s="591" t="s">
        <v>1197</v>
      </c>
      <c r="F2274" s="591" t="s">
        <v>1198</v>
      </c>
      <c r="G2274" s="591" t="s">
        <v>1199</v>
      </c>
      <c r="H2274" s="591" t="s">
        <v>1200</v>
      </c>
      <c r="I2274" s="44"/>
    </row>
    <row r="2275" spans="3:13" s="59" customFormat="1" ht="22.2" customHeight="1">
      <c r="C2275" s="61" t="s">
        <v>1201</v>
      </c>
      <c r="D2275" s="56" t="s">
        <v>1202</v>
      </c>
      <c r="E2275" s="57"/>
      <c r="F2275" s="57"/>
      <c r="G2275" s="57"/>
      <c r="H2275" s="57"/>
      <c r="I2275" s="44"/>
      <c r="J2275" s="152" t="s">
        <v>1247</v>
      </c>
    </row>
    <row r="2276" spans="3:13" s="59" customFormat="1" ht="22.2" customHeight="1">
      <c r="C2276" s="588">
        <v>1</v>
      </c>
      <c r="D2276" s="56" t="s">
        <v>5</v>
      </c>
      <c r="E2276" s="577" t="s">
        <v>6</v>
      </c>
      <c r="F2276" s="101">
        <v>1.137</v>
      </c>
      <c r="G2276" s="63">
        <f>VLOOKUP(D2276,upahbahan,3,FALSE)</f>
        <v>100000</v>
      </c>
      <c r="H2276" s="63">
        <f>F2276*G2276</f>
        <v>113700</v>
      </c>
      <c r="I2276" s="44"/>
      <c r="J2276" s="152" t="s">
        <v>1248</v>
      </c>
      <c r="M2276" s="65">
        <v>0.1</v>
      </c>
    </row>
    <row r="2277" spans="3:13" s="59" customFormat="1" ht="22.2" customHeight="1">
      <c r="C2277" s="588">
        <v>2</v>
      </c>
      <c r="D2277" s="56" t="s">
        <v>10</v>
      </c>
      <c r="E2277" s="577" t="s">
        <v>6</v>
      </c>
      <c r="F2277" s="101">
        <v>0.22700000000000001</v>
      </c>
      <c r="G2277" s="63">
        <f>VLOOKUP(D2277,upahbahan,3,FALSE)</f>
        <v>135000</v>
      </c>
      <c r="H2277" s="63">
        <f>F2277*G2277</f>
        <v>30645</v>
      </c>
      <c r="I2277" s="44"/>
      <c r="J2277" s="152"/>
      <c r="M2277" s="65"/>
    </row>
    <row r="2278" spans="3:13" s="59" customFormat="1" ht="22.2" customHeight="1">
      <c r="C2278" s="588">
        <v>3</v>
      </c>
      <c r="D2278" s="56" t="s">
        <v>19</v>
      </c>
      <c r="E2278" s="577" t="s">
        <v>6</v>
      </c>
      <c r="F2278" s="101">
        <v>0.114</v>
      </c>
      <c r="G2278" s="63">
        <f>VLOOKUP(D2278,upahbahan,3,FALSE)</f>
        <v>160000</v>
      </c>
      <c r="H2278" s="63">
        <f t="shared" ref="H2278" si="286">F2278*G2278</f>
        <v>18240</v>
      </c>
      <c r="I2278" s="44"/>
    </row>
    <row r="2279" spans="3:13" s="59" customFormat="1" ht="22.2" customHeight="1">
      <c r="C2279" s="450" t="s">
        <v>1208</v>
      </c>
      <c r="D2279" s="67"/>
      <c r="E2279" s="67"/>
      <c r="F2279" s="142"/>
      <c r="G2279" s="153"/>
      <c r="H2279" s="63">
        <f>SUM(H2276:H2278)</f>
        <v>162585</v>
      </c>
      <c r="I2279" s="154"/>
    </row>
    <row r="2280" spans="3:13" s="59" customFormat="1" ht="22.2" customHeight="1">
      <c r="C2280" s="61" t="s">
        <v>1209</v>
      </c>
      <c r="D2280" s="56" t="s">
        <v>1210</v>
      </c>
      <c r="E2280" s="57"/>
      <c r="F2280" s="57"/>
      <c r="G2280" s="57"/>
      <c r="H2280" s="57"/>
      <c r="I2280" s="44"/>
    </row>
    <row r="2281" spans="3:13" s="59" customFormat="1" ht="22.2" customHeight="1">
      <c r="C2281" s="450" t="s">
        <v>1214</v>
      </c>
      <c r="D2281" s="67"/>
      <c r="E2281" s="67"/>
      <c r="F2281" s="67"/>
      <c r="G2281" s="69"/>
      <c r="H2281" s="63">
        <f>SUM(H2280:H2280)</f>
        <v>0</v>
      </c>
      <c r="I2281" s="44"/>
    </row>
    <row r="2282" spans="3:13" s="59" customFormat="1" ht="22.2" customHeight="1">
      <c r="C2282" s="61" t="s">
        <v>1215</v>
      </c>
      <c r="D2282" s="56" t="s">
        <v>1216</v>
      </c>
      <c r="E2282" s="93"/>
      <c r="F2282" s="57"/>
      <c r="G2282" s="57"/>
      <c r="H2282" s="57"/>
      <c r="I2282" s="44"/>
    </row>
    <row r="2283" spans="3:13" s="59" customFormat="1" ht="22.2" customHeight="1">
      <c r="C2283" s="800">
        <v>1</v>
      </c>
      <c r="D2283" s="56" t="s">
        <v>8463</v>
      </c>
      <c r="E2283" s="93" t="s">
        <v>1974</v>
      </c>
      <c r="F2283" s="590">
        <v>0.17599999999999999</v>
      </c>
      <c r="G2283" s="63">
        <f>VLOOKUP(D2283,upahbahan,3,FALSE)</f>
        <v>75000</v>
      </c>
      <c r="H2283" s="63">
        <f t="shared" ref="H2283" si="287">F2283*G2283</f>
        <v>13200</v>
      </c>
      <c r="I2283" s="44"/>
    </row>
    <row r="2284" spans="3:13" s="59" customFormat="1" ht="22.2" customHeight="1">
      <c r="C2284" s="450" t="s">
        <v>1217</v>
      </c>
      <c r="D2284" s="67"/>
      <c r="E2284" s="67"/>
      <c r="F2284" s="67"/>
      <c r="G2284" s="69"/>
      <c r="H2284" s="882">
        <f>SUM(H2283:H2283)</f>
        <v>13200</v>
      </c>
      <c r="I2284" s="44"/>
    </row>
    <row r="2285" spans="3:13" s="59" customFormat="1" ht="22.2" customHeight="1">
      <c r="C2285" s="288" t="s">
        <v>1218</v>
      </c>
      <c r="D2285" s="76" t="s">
        <v>1219</v>
      </c>
      <c r="E2285" s="77"/>
      <c r="F2285" s="77"/>
      <c r="G2285" s="78"/>
      <c r="H2285" s="585">
        <f>H2284+H2281+H2279</f>
        <v>175785</v>
      </c>
      <c r="I2285" s="369"/>
    </row>
    <row r="2286" spans="3:13" s="59" customFormat="1" ht="22.2" customHeight="1">
      <c r="C2286" s="288" t="s">
        <v>1220</v>
      </c>
      <c r="D2286" s="76" t="s">
        <v>1321</v>
      </c>
      <c r="E2286" s="77"/>
      <c r="F2286" s="78"/>
      <c r="G2286" s="80">
        <v>0.1</v>
      </c>
      <c r="H2286" s="63">
        <f>H2285*G2286</f>
        <v>17578.5</v>
      </c>
      <c r="I2286" s="369"/>
    </row>
    <row r="2287" spans="3:13" s="59" customFormat="1" ht="22.2" customHeight="1">
      <c r="C2287" s="288" t="s">
        <v>1221</v>
      </c>
      <c r="D2287" s="76" t="s">
        <v>1222</v>
      </c>
      <c r="E2287" s="77"/>
      <c r="F2287" s="77"/>
      <c r="G2287" s="78"/>
      <c r="H2287" s="799">
        <f>SUM(H2285:H2286)</f>
        <v>193363.5</v>
      </c>
      <c r="I2287" s="369"/>
    </row>
    <row r="2288" spans="3:13" ht="22.2" customHeight="1"/>
    <row r="2289" spans="3:13" ht="22.2" customHeight="1">
      <c r="C2289" s="43" t="s">
        <v>4996</v>
      </c>
      <c r="D2289" s="128" t="s">
        <v>8579</v>
      </c>
      <c r="I2289" s="50">
        <f>ROUNDDOWN(H2303,-2)</f>
        <v>222100</v>
      </c>
      <c r="J2289" s="146" t="s">
        <v>6451</v>
      </c>
      <c r="K2289" s="146" t="s">
        <v>8578</v>
      </c>
    </row>
    <row r="2290" spans="3:13" s="59" customFormat="1" ht="22.2" customHeight="1">
      <c r="C2290" s="591" t="s">
        <v>1195</v>
      </c>
      <c r="D2290" s="591" t="s">
        <v>1196</v>
      </c>
      <c r="E2290" s="591" t="s">
        <v>1197</v>
      </c>
      <c r="F2290" s="591" t="s">
        <v>1198</v>
      </c>
      <c r="G2290" s="591" t="s">
        <v>1199</v>
      </c>
      <c r="H2290" s="591" t="s">
        <v>1200</v>
      </c>
      <c r="I2290" s="44"/>
    </row>
    <row r="2291" spans="3:13" s="59" customFormat="1" ht="22.2" customHeight="1">
      <c r="C2291" s="61" t="s">
        <v>1201</v>
      </c>
      <c r="D2291" s="56" t="s">
        <v>1202</v>
      </c>
      <c r="E2291" s="57"/>
      <c r="F2291" s="57"/>
      <c r="G2291" s="57"/>
      <c r="H2291" s="57"/>
      <c r="I2291" s="44"/>
      <c r="J2291" s="152" t="s">
        <v>1247</v>
      </c>
    </row>
    <row r="2292" spans="3:13" s="59" customFormat="1" ht="22.2" customHeight="1">
      <c r="C2292" s="588">
        <v>1</v>
      </c>
      <c r="D2292" s="56" t="s">
        <v>5</v>
      </c>
      <c r="E2292" s="577" t="s">
        <v>6</v>
      </c>
      <c r="F2292" s="101">
        <v>1.3120000000000001</v>
      </c>
      <c r="G2292" s="63">
        <f>VLOOKUP(D2292,upahbahan,3,FALSE)</f>
        <v>100000</v>
      </c>
      <c r="H2292" s="63">
        <f>F2292*G2292</f>
        <v>131200</v>
      </c>
      <c r="I2292" s="44"/>
      <c r="J2292" s="152" t="s">
        <v>1248</v>
      </c>
      <c r="M2292" s="65">
        <v>0.1</v>
      </c>
    </row>
    <row r="2293" spans="3:13" s="59" customFormat="1" ht="22.2" customHeight="1">
      <c r="C2293" s="588">
        <v>2</v>
      </c>
      <c r="D2293" s="56" t="s">
        <v>10</v>
      </c>
      <c r="E2293" s="577" t="s">
        <v>6</v>
      </c>
      <c r="F2293" s="101">
        <v>0.26200000000000001</v>
      </c>
      <c r="G2293" s="63">
        <f>VLOOKUP(D2293,upahbahan,3,FALSE)</f>
        <v>135000</v>
      </c>
      <c r="H2293" s="63">
        <f>F2293*G2293</f>
        <v>35370</v>
      </c>
      <c r="I2293" s="44"/>
      <c r="J2293" s="152"/>
      <c r="M2293" s="65"/>
    </row>
    <row r="2294" spans="3:13" s="59" customFormat="1" ht="22.2" customHeight="1">
      <c r="C2294" s="588">
        <v>3</v>
      </c>
      <c r="D2294" s="56" t="s">
        <v>19</v>
      </c>
      <c r="E2294" s="577" t="s">
        <v>6</v>
      </c>
      <c r="F2294" s="101">
        <v>0.13100000000000001</v>
      </c>
      <c r="G2294" s="63">
        <f>VLOOKUP(D2294,upahbahan,3,FALSE)</f>
        <v>160000</v>
      </c>
      <c r="H2294" s="63">
        <f t="shared" ref="H2294" si="288">F2294*G2294</f>
        <v>20960</v>
      </c>
      <c r="I2294" s="44"/>
    </row>
    <row r="2295" spans="3:13" s="59" customFormat="1" ht="22.2" customHeight="1">
      <c r="C2295" s="450" t="s">
        <v>1208</v>
      </c>
      <c r="D2295" s="67"/>
      <c r="E2295" s="67"/>
      <c r="F2295" s="142"/>
      <c r="G2295" s="153"/>
      <c r="H2295" s="63">
        <f>SUM(H2292:H2294)</f>
        <v>187530</v>
      </c>
      <c r="I2295" s="154"/>
    </row>
    <row r="2296" spans="3:13" s="59" customFormat="1" ht="22.2" customHeight="1">
      <c r="C2296" s="61" t="s">
        <v>1209</v>
      </c>
      <c r="D2296" s="56" t="s">
        <v>1210</v>
      </c>
      <c r="E2296" s="57"/>
      <c r="F2296" s="57"/>
      <c r="G2296" s="57"/>
      <c r="H2296" s="57"/>
      <c r="I2296" s="44"/>
    </row>
    <row r="2297" spans="3:13" s="59" customFormat="1" ht="22.2" customHeight="1">
      <c r="C2297" s="450" t="s">
        <v>1214</v>
      </c>
      <c r="D2297" s="67"/>
      <c r="E2297" s="67"/>
      <c r="F2297" s="67"/>
      <c r="G2297" s="69"/>
      <c r="H2297" s="63">
        <f>SUM(H2296:H2296)</f>
        <v>0</v>
      </c>
      <c r="I2297" s="44"/>
    </row>
    <row r="2298" spans="3:13" s="59" customFormat="1" ht="22.2" customHeight="1">
      <c r="C2298" s="61" t="s">
        <v>1215</v>
      </c>
      <c r="D2298" s="56" t="s">
        <v>1216</v>
      </c>
      <c r="E2298" s="93"/>
      <c r="F2298" s="57"/>
      <c r="G2298" s="57"/>
      <c r="H2298" s="57"/>
      <c r="I2298" s="44"/>
    </row>
    <row r="2299" spans="3:13" s="59" customFormat="1" ht="22.2" customHeight="1">
      <c r="C2299" s="800">
        <v>1</v>
      </c>
      <c r="D2299" s="56" t="s">
        <v>8463</v>
      </c>
      <c r="E2299" s="93" t="s">
        <v>1974</v>
      </c>
      <c r="F2299" s="590">
        <v>0.192</v>
      </c>
      <c r="G2299" s="63">
        <f>VLOOKUP(D2299,upahbahan,3,FALSE)</f>
        <v>75000</v>
      </c>
      <c r="H2299" s="63">
        <f t="shared" ref="H2299" si="289">F2299*G2299</f>
        <v>14400</v>
      </c>
      <c r="I2299" s="44"/>
    </row>
    <row r="2300" spans="3:13" s="59" customFormat="1" ht="22.2" customHeight="1">
      <c r="C2300" s="450" t="s">
        <v>1217</v>
      </c>
      <c r="D2300" s="67"/>
      <c r="E2300" s="67"/>
      <c r="F2300" s="67"/>
      <c r="G2300" s="69"/>
      <c r="H2300" s="882">
        <f>SUM(H2299:H2299)</f>
        <v>14400</v>
      </c>
      <c r="I2300" s="44"/>
    </row>
    <row r="2301" spans="3:13" s="59" customFormat="1" ht="22.2" customHeight="1">
      <c r="C2301" s="288" t="s">
        <v>1218</v>
      </c>
      <c r="D2301" s="76" t="s">
        <v>1219</v>
      </c>
      <c r="E2301" s="77"/>
      <c r="F2301" s="77"/>
      <c r="G2301" s="78"/>
      <c r="H2301" s="585">
        <f>H2300+H2297+H2295</f>
        <v>201930</v>
      </c>
      <c r="I2301" s="369"/>
    </row>
    <row r="2302" spans="3:13" s="59" customFormat="1" ht="22.2" customHeight="1">
      <c r="C2302" s="288" t="s">
        <v>1220</v>
      </c>
      <c r="D2302" s="76" t="s">
        <v>1321</v>
      </c>
      <c r="E2302" s="77"/>
      <c r="F2302" s="78"/>
      <c r="G2302" s="80">
        <v>0.1</v>
      </c>
      <c r="H2302" s="63">
        <f>H2301*G2302</f>
        <v>20193</v>
      </c>
      <c r="I2302" s="369"/>
    </row>
    <row r="2303" spans="3:13" s="59" customFormat="1" ht="22.2" customHeight="1">
      <c r="C2303" s="288" t="s">
        <v>1221</v>
      </c>
      <c r="D2303" s="76" t="s">
        <v>1222</v>
      </c>
      <c r="E2303" s="77"/>
      <c r="F2303" s="77"/>
      <c r="G2303" s="78"/>
      <c r="H2303" s="799">
        <f>SUM(H2301:H2302)</f>
        <v>222123</v>
      </c>
      <c r="I2303" s="369"/>
    </row>
    <row r="2304" spans="3:13" ht="22.2" customHeight="1"/>
    <row r="2305" spans="3:13" ht="22.2" customHeight="1">
      <c r="C2305" s="43" t="s">
        <v>4997</v>
      </c>
      <c r="D2305" s="128" t="s">
        <v>8580</v>
      </c>
      <c r="I2305" s="50">
        <f>ROUNDDOWN(H2319,-2)</f>
        <v>266300</v>
      </c>
      <c r="J2305" s="146" t="s">
        <v>6451</v>
      </c>
      <c r="K2305" s="146" t="s">
        <v>8578</v>
      </c>
    </row>
    <row r="2306" spans="3:13" s="59" customFormat="1" ht="22.2" customHeight="1">
      <c r="C2306" s="591" t="s">
        <v>1195</v>
      </c>
      <c r="D2306" s="591" t="s">
        <v>1196</v>
      </c>
      <c r="E2306" s="591" t="s">
        <v>1197</v>
      </c>
      <c r="F2306" s="591" t="s">
        <v>1198</v>
      </c>
      <c r="G2306" s="591" t="s">
        <v>1199</v>
      </c>
      <c r="H2306" s="591" t="s">
        <v>1200</v>
      </c>
      <c r="I2306" s="44"/>
    </row>
    <row r="2307" spans="3:13" s="59" customFormat="1" ht="22.2" customHeight="1">
      <c r="C2307" s="61" t="s">
        <v>1201</v>
      </c>
      <c r="D2307" s="56" t="s">
        <v>1202</v>
      </c>
      <c r="E2307" s="57"/>
      <c r="F2307" s="57"/>
      <c r="G2307" s="57"/>
      <c r="H2307" s="57"/>
      <c r="I2307" s="44"/>
      <c r="J2307" s="152" t="s">
        <v>1247</v>
      </c>
    </row>
    <row r="2308" spans="3:13" s="59" customFormat="1" ht="22.2" customHeight="1">
      <c r="C2308" s="588">
        <v>1</v>
      </c>
      <c r="D2308" s="56" t="s">
        <v>5</v>
      </c>
      <c r="E2308" s="577" t="s">
        <v>6</v>
      </c>
      <c r="F2308" s="101">
        <v>1.5740000000000001</v>
      </c>
      <c r="G2308" s="63">
        <f>VLOOKUP(D2308,upahbahan,3,FALSE)</f>
        <v>100000</v>
      </c>
      <c r="H2308" s="63">
        <f>F2308*G2308</f>
        <v>157400</v>
      </c>
      <c r="I2308" s="44"/>
      <c r="J2308" s="152" t="s">
        <v>1248</v>
      </c>
      <c r="M2308" s="65">
        <v>0.1</v>
      </c>
    </row>
    <row r="2309" spans="3:13" s="59" customFormat="1" ht="22.2" customHeight="1">
      <c r="C2309" s="588">
        <v>2</v>
      </c>
      <c r="D2309" s="56" t="s">
        <v>10</v>
      </c>
      <c r="E2309" s="577" t="s">
        <v>6</v>
      </c>
      <c r="F2309" s="101">
        <v>0.314</v>
      </c>
      <c r="G2309" s="63">
        <f>VLOOKUP(D2309,upahbahan,3,FALSE)</f>
        <v>135000</v>
      </c>
      <c r="H2309" s="63">
        <f>F2309*G2309</f>
        <v>42390</v>
      </c>
      <c r="I2309" s="44"/>
      <c r="J2309" s="152"/>
      <c r="M2309" s="65"/>
    </row>
    <row r="2310" spans="3:13" s="59" customFormat="1" ht="22.2" customHeight="1">
      <c r="C2310" s="588">
        <v>3</v>
      </c>
      <c r="D2310" s="56" t="s">
        <v>19</v>
      </c>
      <c r="E2310" s="577" t="s">
        <v>6</v>
      </c>
      <c r="F2310" s="101">
        <v>0.157</v>
      </c>
      <c r="G2310" s="63">
        <f>VLOOKUP(D2310,upahbahan,3,FALSE)</f>
        <v>160000</v>
      </c>
      <c r="H2310" s="63">
        <f t="shared" ref="H2310" si="290">F2310*G2310</f>
        <v>25120</v>
      </c>
      <c r="I2310" s="44"/>
    </row>
    <row r="2311" spans="3:13" s="59" customFormat="1" ht="22.2" customHeight="1">
      <c r="C2311" s="450" t="s">
        <v>1208</v>
      </c>
      <c r="D2311" s="67"/>
      <c r="E2311" s="67"/>
      <c r="F2311" s="142"/>
      <c r="G2311" s="153"/>
      <c r="H2311" s="63">
        <f>SUM(H2308:H2310)</f>
        <v>224910</v>
      </c>
      <c r="I2311" s="154"/>
    </row>
    <row r="2312" spans="3:13" s="59" customFormat="1" ht="22.2" customHeight="1">
      <c r="C2312" s="61" t="s">
        <v>1209</v>
      </c>
      <c r="D2312" s="56" t="s">
        <v>1210</v>
      </c>
      <c r="E2312" s="57"/>
      <c r="F2312" s="57"/>
      <c r="G2312" s="57"/>
      <c r="H2312" s="57"/>
      <c r="I2312" s="44"/>
    </row>
    <row r="2313" spans="3:13" s="59" customFormat="1" ht="22.2" customHeight="1">
      <c r="C2313" s="450" t="s">
        <v>1214</v>
      </c>
      <c r="D2313" s="67"/>
      <c r="E2313" s="67"/>
      <c r="F2313" s="67"/>
      <c r="G2313" s="69"/>
      <c r="H2313" s="63">
        <f>SUM(H2312:H2312)</f>
        <v>0</v>
      </c>
      <c r="I2313" s="44"/>
    </row>
    <row r="2314" spans="3:13" s="59" customFormat="1" ht="22.2" customHeight="1">
      <c r="C2314" s="61" t="s">
        <v>1215</v>
      </c>
      <c r="D2314" s="56" t="s">
        <v>1216</v>
      </c>
      <c r="E2314" s="93"/>
      <c r="F2314" s="57"/>
      <c r="G2314" s="57"/>
      <c r="H2314" s="57"/>
      <c r="I2314" s="44"/>
    </row>
    <row r="2315" spans="3:13" s="59" customFormat="1" ht="22.2" customHeight="1">
      <c r="C2315" s="800">
        <v>1</v>
      </c>
      <c r="D2315" s="56" t="s">
        <v>8463</v>
      </c>
      <c r="E2315" s="93" t="s">
        <v>1974</v>
      </c>
      <c r="F2315" s="590">
        <v>0.23</v>
      </c>
      <c r="G2315" s="63">
        <f>VLOOKUP(D2315,upahbahan,3,FALSE)</f>
        <v>75000</v>
      </c>
      <c r="H2315" s="63">
        <f t="shared" ref="H2315" si="291">F2315*G2315</f>
        <v>17250</v>
      </c>
      <c r="I2315" s="44"/>
    </row>
    <row r="2316" spans="3:13" s="59" customFormat="1" ht="22.2" customHeight="1">
      <c r="C2316" s="450" t="s">
        <v>1217</v>
      </c>
      <c r="D2316" s="67"/>
      <c r="E2316" s="67"/>
      <c r="F2316" s="67"/>
      <c r="G2316" s="69"/>
      <c r="H2316" s="882">
        <f>SUM(H2315:H2315)</f>
        <v>17250</v>
      </c>
      <c r="I2316" s="44"/>
    </row>
    <row r="2317" spans="3:13" s="59" customFormat="1" ht="22.2" customHeight="1">
      <c r="C2317" s="288" t="s">
        <v>1218</v>
      </c>
      <c r="D2317" s="76" t="s">
        <v>1219</v>
      </c>
      <c r="E2317" s="77"/>
      <c r="F2317" s="77"/>
      <c r="G2317" s="78"/>
      <c r="H2317" s="585">
        <f>H2316+H2313+H2311</f>
        <v>242160</v>
      </c>
      <c r="I2317" s="369"/>
    </row>
    <row r="2318" spans="3:13" s="59" customFormat="1" ht="22.2" customHeight="1">
      <c r="C2318" s="288" t="s">
        <v>1220</v>
      </c>
      <c r="D2318" s="76" t="s">
        <v>1321</v>
      </c>
      <c r="E2318" s="77"/>
      <c r="F2318" s="78"/>
      <c r="G2318" s="80">
        <v>0.1</v>
      </c>
      <c r="H2318" s="63">
        <f>H2317*G2318</f>
        <v>24216</v>
      </c>
      <c r="I2318" s="369"/>
    </row>
    <row r="2319" spans="3:13" s="59" customFormat="1" ht="22.2" customHeight="1">
      <c r="C2319" s="288" t="s">
        <v>1221</v>
      </c>
      <c r="D2319" s="76" t="s">
        <v>1222</v>
      </c>
      <c r="E2319" s="77"/>
      <c r="F2319" s="77"/>
      <c r="G2319" s="78"/>
      <c r="H2319" s="799">
        <f>SUM(H2317:H2318)</f>
        <v>266376</v>
      </c>
      <c r="I2319" s="369"/>
    </row>
    <row r="2320" spans="3:13" ht="22.2" customHeight="1"/>
    <row r="2321" spans="3:13" ht="22.2" customHeight="1">
      <c r="C2321" s="43" t="s">
        <v>4998</v>
      </c>
      <c r="D2321" s="128" t="s">
        <v>8581</v>
      </c>
      <c r="I2321" s="50">
        <f>ROUNDDOWN(H2335,-2)</f>
        <v>434300</v>
      </c>
      <c r="J2321" s="146" t="s">
        <v>6451</v>
      </c>
      <c r="K2321" s="146" t="s">
        <v>8578</v>
      </c>
    </row>
    <row r="2322" spans="3:13" s="59" customFormat="1" ht="22.2" customHeight="1">
      <c r="C2322" s="591" t="s">
        <v>1195</v>
      </c>
      <c r="D2322" s="591" t="s">
        <v>1196</v>
      </c>
      <c r="E2322" s="591" t="s">
        <v>1197</v>
      </c>
      <c r="F2322" s="591" t="s">
        <v>1198</v>
      </c>
      <c r="G2322" s="591" t="s">
        <v>1199</v>
      </c>
      <c r="H2322" s="591" t="s">
        <v>1200</v>
      </c>
      <c r="I2322" s="44"/>
    </row>
    <row r="2323" spans="3:13" s="59" customFormat="1" ht="22.2" customHeight="1">
      <c r="C2323" s="61" t="s">
        <v>1201</v>
      </c>
      <c r="D2323" s="56" t="s">
        <v>1202</v>
      </c>
      <c r="E2323" s="57"/>
      <c r="F2323" s="57"/>
      <c r="G2323" s="57"/>
      <c r="H2323" s="57"/>
      <c r="I2323" s="44"/>
      <c r="J2323" s="152" t="s">
        <v>1247</v>
      </c>
    </row>
    <row r="2324" spans="3:13" s="59" customFormat="1" ht="22.2" customHeight="1">
      <c r="C2324" s="588">
        <v>1</v>
      </c>
      <c r="D2324" s="56" t="s">
        <v>5</v>
      </c>
      <c r="E2324" s="577" t="s">
        <v>6</v>
      </c>
      <c r="F2324" s="101">
        <v>2.5979999999999999</v>
      </c>
      <c r="G2324" s="63">
        <f>VLOOKUP(D2324,upahbahan,3,FALSE)</f>
        <v>100000</v>
      </c>
      <c r="H2324" s="63">
        <f>F2324*G2324</f>
        <v>259800</v>
      </c>
      <c r="I2324" s="44"/>
      <c r="J2324" s="152" t="s">
        <v>1248</v>
      </c>
      <c r="M2324" s="65">
        <v>0.1</v>
      </c>
    </row>
    <row r="2325" spans="3:13" s="59" customFormat="1" ht="22.2" customHeight="1">
      <c r="C2325" s="588">
        <v>2</v>
      </c>
      <c r="D2325" s="56" t="s">
        <v>10</v>
      </c>
      <c r="E2325" s="577" t="s">
        <v>6</v>
      </c>
      <c r="F2325" s="101">
        <v>0.52</v>
      </c>
      <c r="G2325" s="63">
        <f>VLOOKUP(D2325,upahbahan,3,FALSE)</f>
        <v>135000</v>
      </c>
      <c r="H2325" s="63">
        <f>F2325*G2325</f>
        <v>70200</v>
      </c>
      <c r="I2325" s="44"/>
      <c r="J2325" s="152"/>
      <c r="M2325" s="65"/>
    </row>
    <row r="2326" spans="3:13" s="59" customFormat="1" ht="22.2" customHeight="1">
      <c r="C2326" s="588">
        <v>3</v>
      </c>
      <c r="D2326" s="56" t="s">
        <v>19</v>
      </c>
      <c r="E2326" s="577" t="s">
        <v>6</v>
      </c>
      <c r="F2326" s="101">
        <v>0.26</v>
      </c>
      <c r="G2326" s="63">
        <f>VLOOKUP(D2326,upahbahan,3,FALSE)</f>
        <v>160000</v>
      </c>
      <c r="H2326" s="63">
        <f t="shared" ref="H2326" si="292">F2326*G2326</f>
        <v>41600</v>
      </c>
      <c r="I2326" s="44"/>
    </row>
    <row r="2327" spans="3:13" s="59" customFormat="1" ht="22.2" customHeight="1">
      <c r="C2327" s="450" t="s">
        <v>1208</v>
      </c>
      <c r="D2327" s="67"/>
      <c r="E2327" s="67"/>
      <c r="F2327" s="142"/>
      <c r="G2327" s="153"/>
      <c r="H2327" s="63">
        <f>SUM(H2324:H2326)</f>
        <v>371600</v>
      </c>
      <c r="I2327" s="154"/>
    </row>
    <row r="2328" spans="3:13" s="59" customFormat="1" ht="22.2" customHeight="1">
      <c r="C2328" s="61" t="s">
        <v>1209</v>
      </c>
      <c r="D2328" s="56" t="s">
        <v>1210</v>
      </c>
      <c r="E2328" s="57"/>
      <c r="F2328" s="57"/>
      <c r="G2328" s="57"/>
      <c r="H2328" s="57"/>
      <c r="I2328" s="44"/>
    </row>
    <row r="2329" spans="3:13" s="59" customFormat="1" ht="22.2" customHeight="1">
      <c r="C2329" s="450" t="s">
        <v>1214</v>
      </c>
      <c r="D2329" s="67"/>
      <c r="E2329" s="67"/>
      <c r="F2329" s="67"/>
      <c r="G2329" s="69"/>
      <c r="H2329" s="63">
        <f>SUM(H2328:H2328)</f>
        <v>0</v>
      </c>
      <c r="I2329" s="44"/>
    </row>
    <row r="2330" spans="3:13" s="59" customFormat="1" ht="22.2" customHeight="1">
      <c r="C2330" s="61" t="s">
        <v>1215</v>
      </c>
      <c r="D2330" s="56" t="s">
        <v>1216</v>
      </c>
      <c r="E2330" s="93"/>
      <c r="F2330" s="57"/>
      <c r="G2330" s="57"/>
      <c r="H2330" s="57"/>
      <c r="I2330" s="44"/>
    </row>
    <row r="2331" spans="3:13" s="59" customFormat="1" ht="22.2" customHeight="1">
      <c r="C2331" s="800">
        <v>1</v>
      </c>
      <c r="D2331" s="56" t="s">
        <v>8463</v>
      </c>
      <c r="E2331" s="93" t="s">
        <v>1974</v>
      </c>
      <c r="F2331" s="590">
        <v>0.31</v>
      </c>
      <c r="G2331" s="63">
        <f>VLOOKUP(D2331,upahbahan,3,FALSE)</f>
        <v>75000</v>
      </c>
      <c r="H2331" s="63">
        <f t="shared" ref="H2331" si="293">F2331*G2331</f>
        <v>23250</v>
      </c>
      <c r="I2331" s="44"/>
    </row>
    <row r="2332" spans="3:13" s="59" customFormat="1" ht="22.2" customHeight="1">
      <c r="C2332" s="450" t="s">
        <v>1217</v>
      </c>
      <c r="D2332" s="67"/>
      <c r="E2332" s="67"/>
      <c r="F2332" s="67"/>
      <c r="G2332" s="69"/>
      <c r="H2332" s="882">
        <f>SUM(H2331:H2331)</f>
        <v>23250</v>
      </c>
      <c r="I2332" s="44"/>
    </row>
    <row r="2333" spans="3:13" s="59" customFormat="1" ht="22.2" customHeight="1">
      <c r="C2333" s="288" t="s">
        <v>1218</v>
      </c>
      <c r="D2333" s="76" t="s">
        <v>1219</v>
      </c>
      <c r="E2333" s="77"/>
      <c r="F2333" s="77"/>
      <c r="G2333" s="78"/>
      <c r="H2333" s="585">
        <f>H2332+H2329+H2327</f>
        <v>394850</v>
      </c>
      <c r="I2333" s="369"/>
    </row>
    <row r="2334" spans="3:13" s="59" customFormat="1" ht="22.2" customHeight="1">
      <c r="C2334" s="288" t="s">
        <v>1220</v>
      </c>
      <c r="D2334" s="76" t="s">
        <v>1321</v>
      </c>
      <c r="E2334" s="77"/>
      <c r="F2334" s="78"/>
      <c r="G2334" s="80">
        <v>0.1</v>
      </c>
      <c r="H2334" s="63">
        <f>H2333*G2334</f>
        <v>39485</v>
      </c>
      <c r="I2334" s="369"/>
    </row>
    <row r="2335" spans="3:13" s="59" customFormat="1" ht="22.2" customHeight="1">
      <c r="C2335" s="288" t="s">
        <v>1221</v>
      </c>
      <c r="D2335" s="76" t="s">
        <v>1222</v>
      </c>
      <c r="E2335" s="77"/>
      <c r="F2335" s="77"/>
      <c r="G2335" s="78"/>
      <c r="H2335" s="799">
        <f>SUM(H2333:H2334)</f>
        <v>434335</v>
      </c>
      <c r="I2335" s="369"/>
    </row>
    <row r="2336" spans="3:13" ht="22.2" customHeight="1"/>
    <row r="2337" spans="3:13" ht="22.2" customHeight="1"/>
    <row r="2338" spans="3:13" ht="22.2" customHeight="1">
      <c r="C2338" s="43" t="s">
        <v>4999</v>
      </c>
      <c r="D2338" s="128" t="s">
        <v>8582</v>
      </c>
      <c r="I2338" s="50">
        <f>ROUNDDOWN(H2352,-2)</f>
        <v>561500</v>
      </c>
      <c r="J2338" s="146" t="s">
        <v>6451</v>
      </c>
      <c r="K2338" s="146" t="s">
        <v>8578</v>
      </c>
    </row>
    <row r="2339" spans="3:13" s="59" customFormat="1" ht="22.2" customHeight="1">
      <c r="C2339" s="591" t="s">
        <v>1195</v>
      </c>
      <c r="D2339" s="591" t="s">
        <v>1196</v>
      </c>
      <c r="E2339" s="591" t="s">
        <v>1197</v>
      </c>
      <c r="F2339" s="591" t="s">
        <v>1198</v>
      </c>
      <c r="G2339" s="591" t="s">
        <v>1199</v>
      </c>
      <c r="H2339" s="591" t="s">
        <v>1200</v>
      </c>
      <c r="I2339" s="44"/>
    </row>
    <row r="2340" spans="3:13" s="59" customFormat="1" ht="22.2" customHeight="1">
      <c r="C2340" s="61" t="s">
        <v>1201</v>
      </c>
      <c r="D2340" s="56" t="s">
        <v>1202</v>
      </c>
      <c r="E2340" s="57"/>
      <c r="F2340" s="57"/>
      <c r="G2340" s="57"/>
      <c r="H2340" s="57"/>
      <c r="I2340" s="44"/>
      <c r="J2340" s="152" t="s">
        <v>1247</v>
      </c>
    </row>
    <row r="2341" spans="3:13" s="59" customFormat="1" ht="22.2" customHeight="1">
      <c r="C2341" s="588">
        <v>1</v>
      </c>
      <c r="D2341" s="56" t="s">
        <v>5</v>
      </c>
      <c r="E2341" s="577" t="s">
        <v>6</v>
      </c>
      <c r="F2341" s="101">
        <v>3.37</v>
      </c>
      <c r="G2341" s="63">
        <f>VLOOKUP(D2341,upahbahan,3,FALSE)</f>
        <v>100000</v>
      </c>
      <c r="H2341" s="63">
        <f>F2341*G2341</f>
        <v>337000</v>
      </c>
      <c r="I2341" s="44"/>
      <c r="J2341" s="152" t="s">
        <v>1248</v>
      </c>
      <c r="M2341" s="65">
        <v>0.1</v>
      </c>
    </row>
    <row r="2342" spans="3:13" s="59" customFormat="1" ht="22.2" customHeight="1">
      <c r="C2342" s="588">
        <v>2</v>
      </c>
      <c r="D2342" s="56" t="s">
        <v>10</v>
      </c>
      <c r="E2342" s="577" t="s">
        <v>6</v>
      </c>
      <c r="F2342" s="101">
        <v>0.67400000000000004</v>
      </c>
      <c r="G2342" s="63">
        <f>VLOOKUP(D2342,upahbahan,3,FALSE)</f>
        <v>135000</v>
      </c>
      <c r="H2342" s="63">
        <f>F2342*G2342</f>
        <v>90990</v>
      </c>
      <c r="I2342" s="44"/>
      <c r="J2342" s="152"/>
      <c r="M2342" s="65"/>
    </row>
    <row r="2343" spans="3:13" s="59" customFormat="1" ht="22.2" customHeight="1">
      <c r="C2343" s="588">
        <v>3</v>
      </c>
      <c r="D2343" s="56" t="s">
        <v>19</v>
      </c>
      <c r="E2343" s="577" t="s">
        <v>6</v>
      </c>
      <c r="F2343" s="101">
        <v>0.33700000000000002</v>
      </c>
      <c r="G2343" s="63">
        <f>VLOOKUP(D2343,upahbahan,3,FALSE)</f>
        <v>160000</v>
      </c>
      <c r="H2343" s="63">
        <f t="shared" ref="H2343" si="294">F2343*G2343</f>
        <v>53920</v>
      </c>
      <c r="I2343" s="44"/>
    </row>
    <row r="2344" spans="3:13" s="59" customFormat="1" ht="22.2" customHeight="1">
      <c r="C2344" s="450" t="s">
        <v>1208</v>
      </c>
      <c r="D2344" s="67"/>
      <c r="E2344" s="67"/>
      <c r="F2344" s="142"/>
      <c r="G2344" s="153"/>
      <c r="H2344" s="63">
        <f>SUM(H2341:H2343)</f>
        <v>481910</v>
      </c>
      <c r="I2344" s="154"/>
    </row>
    <row r="2345" spans="3:13" s="59" customFormat="1" ht="22.2" customHeight="1">
      <c r="C2345" s="61" t="s">
        <v>1209</v>
      </c>
      <c r="D2345" s="56" t="s">
        <v>1210</v>
      </c>
      <c r="E2345" s="57"/>
      <c r="F2345" s="57"/>
      <c r="G2345" s="57"/>
      <c r="H2345" s="57"/>
      <c r="I2345" s="44"/>
    </row>
    <row r="2346" spans="3:13" s="59" customFormat="1" ht="22.2" customHeight="1">
      <c r="C2346" s="450" t="s">
        <v>1214</v>
      </c>
      <c r="D2346" s="67"/>
      <c r="E2346" s="67"/>
      <c r="F2346" s="67"/>
      <c r="G2346" s="69"/>
      <c r="H2346" s="63">
        <f>SUM(H2345:H2345)</f>
        <v>0</v>
      </c>
      <c r="I2346" s="44"/>
    </row>
    <row r="2347" spans="3:13" s="59" customFormat="1" ht="22.2" customHeight="1">
      <c r="C2347" s="61" t="s">
        <v>1215</v>
      </c>
      <c r="D2347" s="56" t="s">
        <v>1216</v>
      </c>
      <c r="E2347" s="93"/>
      <c r="F2347" s="57"/>
      <c r="G2347" s="57"/>
      <c r="H2347" s="57"/>
      <c r="I2347" s="44"/>
    </row>
    <row r="2348" spans="3:13" s="59" customFormat="1" ht="22.2" customHeight="1">
      <c r="C2348" s="800">
        <v>1</v>
      </c>
      <c r="D2348" s="56" t="s">
        <v>8463</v>
      </c>
      <c r="E2348" s="93" t="s">
        <v>1974</v>
      </c>
      <c r="F2348" s="590">
        <v>0.38100000000000001</v>
      </c>
      <c r="G2348" s="63">
        <f>VLOOKUP(D2348,upahbahan,3,FALSE)</f>
        <v>75000</v>
      </c>
      <c r="H2348" s="63">
        <f t="shared" ref="H2348" si="295">F2348*G2348</f>
        <v>28575</v>
      </c>
      <c r="I2348" s="44"/>
    </row>
    <row r="2349" spans="3:13" s="59" customFormat="1" ht="22.2" customHeight="1">
      <c r="C2349" s="450" t="s">
        <v>1217</v>
      </c>
      <c r="D2349" s="67"/>
      <c r="E2349" s="67"/>
      <c r="F2349" s="67"/>
      <c r="G2349" s="69"/>
      <c r="H2349" s="882">
        <f>SUM(H2348:H2348)</f>
        <v>28575</v>
      </c>
      <c r="I2349" s="44"/>
    </row>
    <row r="2350" spans="3:13" s="59" customFormat="1" ht="22.2" customHeight="1">
      <c r="C2350" s="288" t="s">
        <v>1218</v>
      </c>
      <c r="D2350" s="76" t="s">
        <v>1219</v>
      </c>
      <c r="E2350" s="77"/>
      <c r="F2350" s="77"/>
      <c r="G2350" s="78"/>
      <c r="H2350" s="585">
        <f>H2349+H2346+H2344</f>
        <v>510485</v>
      </c>
      <c r="I2350" s="369"/>
    </row>
    <row r="2351" spans="3:13" s="59" customFormat="1" ht="22.2" customHeight="1">
      <c r="C2351" s="288" t="s">
        <v>1220</v>
      </c>
      <c r="D2351" s="76" t="s">
        <v>1321</v>
      </c>
      <c r="E2351" s="77"/>
      <c r="F2351" s="78"/>
      <c r="G2351" s="80">
        <v>0.1</v>
      </c>
      <c r="H2351" s="63">
        <f>H2350*G2351</f>
        <v>51048.5</v>
      </c>
      <c r="I2351" s="369"/>
    </row>
    <row r="2352" spans="3:13" s="59" customFormat="1" ht="22.2" customHeight="1">
      <c r="C2352" s="288" t="s">
        <v>1221</v>
      </c>
      <c r="D2352" s="76" t="s">
        <v>1222</v>
      </c>
      <c r="E2352" s="77"/>
      <c r="F2352" s="77"/>
      <c r="G2352" s="78"/>
      <c r="H2352" s="799">
        <f>SUM(H2350:H2351)</f>
        <v>561533.5</v>
      </c>
      <c r="I2352" s="369"/>
    </row>
    <row r="2353" spans="3:13" ht="22.2" customHeight="1"/>
    <row r="2354" spans="3:13" ht="22.2" customHeight="1">
      <c r="C2354" s="43" t="s">
        <v>5000</v>
      </c>
      <c r="D2354" s="128" t="s">
        <v>8583</v>
      </c>
      <c r="I2354" s="50">
        <f>ROUNDDOWN(H2368,-2)</f>
        <v>668800</v>
      </c>
      <c r="J2354" s="146" t="s">
        <v>6451</v>
      </c>
      <c r="K2354" s="146" t="s">
        <v>8578</v>
      </c>
    </row>
    <row r="2355" spans="3:13" s="59" customFormat="1" ht="22.2" customHeight="1">
      <c r="C2355" s="591" t="s">
        <v>1195</v>
      </c>
      <c r="D2355" s="591" t="s">
        <v>1196</v>
      </c>
      <c r="E2355" s="591" t="s">
        <v>1197</v>
      </c>
      <c r="F2355" s="591" t="s">
        <v>1198</v>
      </c>
      <c r="G2355" s="591" t="s">
        <v>1199</v>
      </c>
      <c r="H2355" s="591" t="s">
        <v>1200</v>
      </c>
      <c r="I2355" s="44"/>
    </row>
    <row r="2356" spans="3:13" s="59" customFormat="1" ht="22.2" customHeight="1">
      <c r="C2356" s="61" t="s">
        <v>1201</v>
      </c>
      <c r="D2356" s="56" t="s">
        <v>1202</v>
      </c>
      <c r="E2356" s="57"/>
      <c r="F2356" s="57"/>
      <c r="G2356" s="57"/>
      <c r="H2356" s="57"/>
      <c r="I2356" s="44"/>
      <c r="J2356" s="152" t="s">
        <v>1247</v>
      </c>
    </row>
    <row r="2357" spans="3:13" s="59" customFormat="1" ht="22.2" customHeight="1">
      <c r="C2357" s="588">
        <v>1</v>
      </c>
      <c r="D2357" s="56" t="s">
        <v>5</v>
      </c>
      <c r="E2357" s="577" t="s">
        <v>6</v>
      </c>
      <c r="F2357" s="101">
        <v>4.0209999999999999</v>
      </c>
      <c r="G2357" s="63">
        <f>VLOOKUP(D2357,upahbahan,3,FALSE)</f>
        <v>100000</v>
      </c>
      <c r="H2357" s="63">
        <f>F2357*G2357</f>
        <v>402100</v>
      </c>
      <c r="I2357" s="44"/>
      <c r="J2357" s="152" t="s">
        <v>1248</v>
      </c>
      <c r="M2357" s="65">
        <v>0.1</v>
      </c>
    </row>
    <row r="2358" spans="3:13" s="59" customFormat="1" ht="22.2" customHeight="1">
      <c r="C2358" s="588">
        <v>2</v>
      </c>
      <c r="D2358" s="56" t="s">
        <v>10</v>
      </c>
      <c r="E2358" s="577" t="s">
        <v>6</v>
      </c>
      <c r="F2358" s="101">
        <v>0.80400000000000005</v>
      </c>
      <c r="G2358" s="63">
        <f>VLOOKUP(D2358,upahbahan,3,FALSE)</f>
        <v>135000</v>
      </c>
      <c r="H2358" s="63">
        <f>F2358*G2358</f>
        <v>108540</v>
      </c>
      <c r="I2358" s="44"/>
      <c r="J2358" s="152"/>
      <c r="M2358" s="65"/>
    </row>
    <row r="2359" spans="3:13" s="59" customFormat="1" ht="22.2" customHeight="1">
      <c r="C2359" s="588">
        <v>3</v>
      </c>
      <c r="D2359" s="56" t="s">
        <v>19</v>
      </c>
      <c r="E2359" s="577" t="s">
        <v>6</v>
      </c>
      <c r="F2359" s="101">
        <v>0.40200000000000002</v>
      </c>
      <c r="G2359" s="63">
        <f>VLOOKUP(D2359,upahbahan,3,FALSE)</f>
        <v>160000</v>
      </c>
      <c r="H2359" s="63">
        <f t="shared" ref="H2359" si="296">F2359*G2359</f>
        <v>64320.000000000007</v>
      </c>
      <c r="I2359" s="44"/>
    </row>
    <row r="2360" spans="3:13" s="59" customFormat="1" ht="22.2" customHeight="1">
      <c r="C2360" s="450" t="s">
        <v>1208</v>
      </c>
      <c r="D2360" s="67"/>
      <c r="E2360" s="67"/>
      <c r="F2360" s="142"/>
      <c r="G2360" s="153"/>
      <c r="H2360" s="63">
        <f>SUM(H2357:H2359)</f>
        <v>574960</v>
      </c>
      <c r="I2360" s="154"/>
    </row>
    <row r="2361" spans="3:13" s="59" customFormat="1" ht="22.2" customHeight="1">
      <c r="C2361" s="61" t="s">
        <v>1209</v>
      </c>
      <c r="D2361" s="56" t="s">
        <v>1210</v>
      </c>
      <c r="E2361" s="57"/>
      <c r="F2361" s="57"/>
      <c r="G2361" s="57"/>
      <c r="H2361" s="57"/>
      <c r="I2361" s="44"/>
    </row>
    <row r="2362" spans="3:13" s="59" customFormat="1" ht="22.2" customHeight="1">
      <c r="C2362" s="450" t="s">
        <v>1214</v>
      </c>
      <c r="D2362" s="67"/>
      <c r="E2362" s="67"/>
      <c r="F2362" s="67"/>
      <c r="G2362" s="69"/>
      <c r="H2362" s="63">
        <f>SUM(H2361:H2361)</f>
        <v>0</v>
      </c>
      <c r="I2362" s="44"/>
    </row>
    <row r="2363" spans="3:13" s="59" customFormat="1" ht="22.2" customHeight="1">
      <c r="C2363" s="61" t="s">
        <v>1215</v>
      </c>
      <c r="D2363" s="56" t="s">
        <v>1216</v>
      </c>
      <c r="E2363" s="93"/>
      <c r="F2363" s="57"/>
      <c r="G2363" s="57"/>
      <c r="H2363" s="57"/>
      <c r="I2363" s="44"/>
    </row>
    <row r="2364" spans="3:13" s="59" customFormat="1" ht="22.2" customHeight="1">
      <c r="C2364" s="800">
        <v>1</v>
      </c>
      <c r="D2364" s="56" t="s">
        <v>8463</v>
      </c>
      <c r="E2364" s="93" t="s">
        <v>1974</v>
      </c>
      <c r="F2364" s="590">
        <v>0.441</v>
      </c>
      <c r="G2364" s="63">
        <f>VLOOKUP(D2364,upahbahan,3,FALSE)</f>
        <v>75000</v>
      </c>
      <c r="H2364" s="63">
        <f t="shared" ref="H2364" si="297">F2364*G2364</f>
        <v>33075</v>
      </c>
      <c r="I2364" s="44"/>
    </row>
    <row r="2365" spans="3:13" s="59" customFormat="1" ht="22.2" customHeight="1">
      <c r="C2365" s="450" t="s">
        <v>1217</v>
      </c>
      <c r="D2365" s="67"/>
      <c r="E2365" s="67"/>
      <c r="F2365" s="67"/>
      <c r="G2365" s="69"/>
      <c r="H2365" s="882">
        <f>SUM(H2364:H2364)</f>
        <v>33075</v>
      </c>
      <c r="I2365" s="44"/>
    </row>
    <row r="2366" spans="3:13" s="59" customFormat="1" ht="22.2" customHeight="1">
      <c r="C2366" s="288" t="s">
        <v>1218</v>
      </c>
      <c r="D2366" s="76" t="s">
        <v>1219</v>
      </c>
      <c r="E2366" s="77"/>
      <c r="F2366" s="77"/>
      <c r="G2366" s="78"/>
      <c r="H2366" s="585">
        <f>H2365+H2362+H2360</f>
        <v>608035</v>
      </c>
      <c r="I2366" s="369"/>
    </row>
    <row r="2367" spans="3:13" s="59" customFormat="1" ht="22.2" customHeight="1">
      <c r="C2367" s="288" t="s">
        <v>1220</v>
      </c>
      <c r="D2367" s="76" t="s">
        <v>1321</v>
      </c>
      <c r="E2367" s="77"/>
      <c r="F2367" s="78"/>
      <c r="G2367" s="80">
        <v>0.1</v>
      </c>
      <c r="H2367" s="63">
        <f>H2366*G2367</f>
        <v>60803.5</v>
      </c>
      <c r="I2367" s="369"/>
    </row>
    <row r="2368" spans="3:13" s="59" customFormat="1" ht="22.2" customHeight="1">
      <c r="C2368" s="288" t="s">
        <v>1221</v>
      </c>
      <c r="D2368" s="76" t="s">
        <v>1222</v>
      </c>
      <c r="E2368" s="77"/>
      <c r="F2368" s="77"/>
      <c r="G2368" s="78"/>
      <c r="H2368" s="799">
        <f>SUM(H2366:H2367)</f>
        <v>668838.5</v>
      </c>
      <c r="I2368" s="369"/>
    </row>
    <row r="2369" spans="3:13" ht="22.2" customHeight="1"/>
    <row r="2370" spans="3:13" ht="22.2" customHeight="1">
      <c r="C2370" s="43" t="s">
        <v>5001</v>
      </c>
      <c r="D2370" s="128" t="s">
        <v>8584</v>
      </c>
      <c r="I2370" s="50">
        <f>ROUNDDOWN(H2384,-2)</f>
        <v>785800</v>
      </c>
      <c r="J2370" s="146" t="s">
        <v>6451</v>
      </c>
      <c r="K2370" s="146" t="s">
        <v>8578</v>
      </c>
    </row>
    <row r="2371" spans="3:13" s="59" customFormat="1" ht="22.2" customHeight="1">
      <c r="C2371" s="591" t="s">
        <v>1195</v>
      </c>
      <c r="D2371" s="591" t="s">
        <v>1196</v>
      </c>
      <c r="E2371" s="591" t="s">
        <v>1197</v>
      </c>
      <c r="F2371" s="591" t="s">
        <v>1198</v>
      </c>
      <c r="G2371" s="591" t="s">
        <v>1199</v>
      </c>
      <c r="H2371" s="591" t="s">
        <v>1200</v>
      </c>
      <c r="I2371" s="44"/>
    </row>
    <row r="2372" spans="3:13" s="59" customFormat="1" ht="22.2" customHeight="1">
      <c r="C2372" s="61" t="s">
        <v>1201</v>
      </c>
      <c r="D2372" s="56" t="s">
        <v>1202</v>
      </c>
      <c r="E2372" s="57"/>
      <c r="F2372" s="57"/>
      <c r="G2372" s="57"/>
      <c r="H2372" s="57"/>
      <c r="I2372" s="44"/>
      <c r="J2372" s="152" t="s">
        <v>1247</v>
      </c>
    </row>
    <row r="2373" spans="3:13" s="59" customFormat="1" ht="22.2" customHeight="1">
      <c r="C2373" s="588">
        <v>1</v>
      </c>
      <c r="D2373" s="56" t="s">
        <v>5</v>
      </c>
      <c r="E2373" s="577" t="s">
        <v>6</v>
      </c>
      <c r="F2373" s="101">
        <v>4.7309999999999999</v>
      </c>
      <c r="G2373" s="63">
        <f>VLOOKUP(D2373,upahbahan,3,FALSE)</f>
        <v>100000</v>
      </c>
      <c r="H2373" s="63">
        <f>F2373*G2373</f>
        <v>473100</v>
      </c>
      <c r="I2373" s="44"/>
      <c r="J2373" s="152" t="s">
        <v>1248</v>
      </c>
      <c r="M2373" s="65">
        <v>0.1</v>
      </c>
    </row>
    <row r="2374" spans="3:13" s="59" customFormat="1" ht="22.2" customHeight="1">
      <c r="C2374" s="588">
        <v>2</v>
      </c>
      <c r="D2374" s="56" t="s">
        <v>10</v>
      </c>
      <c r="E2374" s="577" t="s">
        <v>6</v>
      </c>
      <c r="F2374" s="101">
        <v>0.94599999999999995</v>
      </c>
      <c r="G2374" s="63">
        <f>VLOOKUP(D2374,upahbahan,3,FALSE)</f>
        <v>135000</v>
      </c>
      <c r="H2374" s="63">
        <f>F2374*G2374</f>
        <v>127710</v>
      </c>
      <c r="I2374" s="44"/>
      <c r="J2374" s="152"/>
      <c r="M2374" s="65"/>
    </row>
    <row r="2375" spans="3:13" s="59" customFormat="1" ht="22.2" customHeight="1">
      <c r="C2375" s="588">
        <v>3</v>
      </c>
      <c r="D2375" s="56" t="s">
        <v>19</v>
      </c>
      <c r="E2375" s="577" t="s">
        <v>6</v>
      </c>
      <c r="F2375" s="101">
        <v>0.47299999999999998</v>
      </c>
      <c r="G2375" s="63">
        <f>VLOOKUP(D2375,upahbahan,3,FALSE)</f>
        <v>160000</v>
      </c>
      <c r="H2375" s="63">
        <f t="shared" ref="H2375" si="298">F2375*G2375</f>
        <v>75680</v>
      </c>
      <c r="I2375" s="44"/>
    </row>
    <row r="2376" spans="3:13" s="59" customFormat="1" ht="22.2" customHeight="1">
      <c r="C2376" s="450" t="s">
        <v>1208</v>
      </c>
      <c r="D2376" s="67"/>
      <c r="E2376" s="67"/>
      <c r="F2376" s="142"/>
      <c r="G2376" s="153"/>
      <c r="H2376" s="63">
        <f>SUM(H2373:H2375)</f>
        <v>676490</v>
      </c>
      <c r="I2376" s="154"/>
    </row>
    <row r="2377" spans="3:13" s="59" customFormat="1" ht="22.2" customHeight="1">
      <c r="C2377" s="61" t="s">
        <v>1209</v>
      </c>
      <c r="D2377" s="56" t="s">
        <v>1210</v>
      </c>
      <c r="E2377" s="57"/>
      <c r="F2377" s="57"/>
      <c r="G2377" s="57"/>
      <c r="H2377" s="57"/>
      <c r="I2377" s="44"/>
    </row>
    <row r="2378" spans="3:13" s="59" customFormat="1" ht="22.2" customHeight="1">
      <c r="C2378" s="450" t="s">
        <v>1214</v>
      </c>
      <c r="D2378" s="67"/>
      <c r="E2378" s="67"/>
      <c r="F2378" s="67"/>
      <c r="G2378" s="69"/>
      <c r="H2378" s="63">
        <f>SUM(H2377:H2377)</f>
        <v>0</v>
      </c>
      <c r="I2378" s="44"/>
    </row>
    <row r="2379" spans="3:13" s="59" customFormat="1" ht="22.2" customHeight="1">
      <c r="C2379" s="61" t="s">
        <v>1215</v>
      </c>
      <c r="D2379" s="56" t="s">
        <v>1216</v>
      </c>
      <c r="E2379" s="93"/>
      <c r="F2379" s="57"/>
      <c r="G2379" s="57"/>
      <c r="H2379" s="57"/>
      <c r="I2379" s="44"/>
    </row>
    <row r="2380" spans="3:13" s="59" customFormat="1" ht="22.2" customHeight="1">
      <c r="C2380" s="800">
        <v>1</v>
      </c>
      <c r="D2380" s="56" t="s">
        <v>8463</v>
      </c>
      <c r="E2380" s="93" t="s">
        <v>1974</v>
      </c>
      <c r="F2380" s="590">
        <v>0.50600000000000001</v>
      </c>
      <c r="G2380" s="63">
        <f>VLOOKUP(D2380,upahbahan,3,FALSE)</f>
        <v>75000</v>
      </c>
      <c r="H2380" s="63">
        <f t="shared" ref="H2380" si="299">F2380*G2380</f>
        <v>37950</v>
      </c>
      <c r="I2380" s="44"/>
    </row>
    <row r="2381" spans="3:13" s="59" customFormat="1" ht="22.2" customHeight="1">
      <c r="C2381" s="450" t="s">
        <v>1217</v>
      </c>
      <c r="D2381" s="67"/>
      <c r="E2381" s="67"/>
      <c r="F2381" s="67"/>
      <c r="G2381" s="69"/>
      <c r="H2381" s="882">
        <f>SUM(H2380:H2380)</f>
        <v>37950</v>
      </c>
      <c r="I2381" s="44"/>
    </row>
    <row r="2382" spans="3:13" s="59" customFormat="1" ht="22.2" customHeight="1">
      <c r="C2382" s="288" t="s">
        <v>1218</v>
      </c>
      <c r="D2382" s="76" t="s">
        <v>1219</v>
      </c>
      <c r="E2382" s="77"/>
      <c r="F2382" s="77"/>
      <c r="G2382" s="78"/>
      <c r="H2382" s="585">
        <f>H2381+H2378+H2376</f>
        <v>714440</v>
      </c>
      <c r="I2382" s="369"/>
    </row>
    <row r="2383" spans="3:13" s="59" customFormat="1" ht="22.2" customHeight="1">
      <c r="C2383" s="288" t="s">
        <v>1220</v>
      </c>
      <c r="D2383" s="76" t="s">
        <v>1321</v>
      </c>
      <c r="E2383" s="77"/>
      <c r="F2383" s="78"/>
      <c r="G2383" s="80">
        <v>0.1</v>
      </c>
      <c r="H2383" s="63">
        <f>H2382*G2383</f>
        <v>71444</v>
      </c>
      <c r="I2383" s="369"/>
    </row>
    <row r="2384" spans="3:13" s="59" customFormat="1" ht="22.2" customHeight="1">
      <c r="C2384" s="288" t="s">
        <v>1221</v>
      </c>
      <c r="D2384" s="76" t="s">
        <v>1222</v>
      </c>
      <c r="E2384" s="77"/>
      <c r="F2384" s="77"/>
      <c r="G2384" s="78"/>
      <c r="H2384" s="799">
        <f>SUM(H2382:H2383)</f>
        <v>785884</v>
      </c>
      <c r="I2384" s="369"/>
    </row>
    <row r="2385" spans="3:13" ht="22.2" customHeight="1"/>
    <row r="2386" spans="3:13" ht="22.2" customHeight="1">
      <c r="C2386" s="43" t="s">
        <v>5002</v>
      </c>
      <c r="D2386" s="128" t="s">
        <v>8585</v>
      </c>
      <c r="I2386" s="50">
        <f>ROUNDDOWN(H2400,-2)</f>
        <v>912800</v>
      </c>
      <c r="J2386" s="146" t="s">
        <v>6451</v>
      </c>
      <c r="K2386" s="146" t="s">
        <v>8578</v>
      </c>
    </row>
    <row r="2387" spans="3:13" s="59" customFormat="1" ht="22.2" customHeight="1">
      <c r="C2387" s="591" t="s">
        <v>1195</v>
      </c>
      <c r="D2387" s="591" t="s">
        <v>1196</v>
      </c>
      <c r="E2387" s="591" t="s">
        <v>1197</v>
      </c>
      <c r="F2387" s="591" t="s">
        <v>1198</v>
      </c>
      <c r="G2387" s="591" t="s">
        <v>1199</v>
      </c>
      <c r="H2387" s="591" t="s">
        <v>1200</v>
      </c>
      <c r="I2387" s="44"/>
    </row>
    <row r="2388" spans="3:13" s="59" customFormat="1" ht="22.2" customHeight="1">
      <c r="C2388" s="61" t="s">
        <v>1201</v>
      </c>
      <c r="D2388" s="56" t="s">
        <v>1202</v>
      </c>
      <c r="E2388" s="57"/>
      <c r="F2388" s="57"/>
      <c r="G2388" s="57"/>
      <c r="H2388" s="57"/>
      <c r="I2388" s="44"/>
      <c r="J2388" s="152" t="s">
        <v>1247</v>
      </c>
    </row>
    <row r="2389" spans="3:13" s="59" customFormat="1" ht="22.2" customHeight="1">
      <c r="C2389" s="588">
        <v>1</v>
      </c>
      <c r="D2389" s="56" t="s">
        <v>5</v>
      </c>
      <c r="E2389" s="577" t="s">
        <v>6</v>
      </c>
      <c r="F2389" s="101">
        <v>5.5019999999999998</v>
      </c>
      <c r="G2389" s="63">
        <f>VLOOKUP(D2389,upahbahan,3,FALSE)</f>
        <v>100000</v>
      </c>
      <c r="H2389" s="63">
        <f>F2389*G2389</f>
        <v>550200</v>
      </c>
      <c r="I2389" s="44"/>
      <c r="J2389" s="152" t="s">
        <v>1248</v>
      </c>
      <c r="M2389" s="65">
        <v>0.1</v>
      </c>
    </row>
    <row r="2390" spans="3:13" s="59" customFormat="1" ht="22.2" customHeight="1">
      <c r="C2390" s="588">
        <v>2</v>
      </c>
      <c r="D2390" s="56" t="s">
        <v>10</v>
      </c>
      <c r="E2390" s="577" t="s">
        <v>6</v>
      </c>
      <c r="F2390" s="101">
        <v>1.1000000000000001</v>
      </c>
      <c r="G2390" s="63">
        <f>VLOOKUP(D2390,upahbahan,3,FALSE)</f>
        <v>135000</v>
      </c>
      <c r="H2390" s="63">
        <f>F2390*G2390</f>
        <v>148500</v>
      </c>
      <c r="I2390" s="44"/>
      <c r="J2390" s="152"/>
      <c r="M2390" s="65"/>
    </row>
    <row r="2391" spans="3:13" s="59" customFormat="1" ht="22.2" customHeight="1">
      <c r="C2391" s="588">
        <v>3</v>
      </c>
      <c r="D2391" s="56" t="s">
        <v>19</v>
      </c>
      <c r="E2391" s="577" t="s">
        <v>6</v>
      </c>
      <c r="F2391" s="101">
        <v>0.55000000000000004</v>
      </c>
      <c r="G2391" s="63">
        <f>VLOOKUP(D2391,upahbahan,3,FALSE)</f>
        <v>160000</v>
      </c>
      <c r="H2391" s="63">
        <f t="shared" ref="H2391" si="300">F2391*G2391</f>
        <v>88000</v>
      </c>
      <c r="I2391" s="44"/>
    </row>
    <row r="2392" spans="3:13" s="59" customFormat="1" ht="22.2" customHeight="1">
      <c r="C2392" s="450" t="s">
        <v>1208</v>
      </c>
      <c r="D2392" s="67"/>
      <c r="E2392" s="67"/>
      <c r="F2392" s="142"/>
      <c r="G2392" s="153"/>
      <c r="H2392" s="63">
        <f>SUM(H2389:H2391)</f>
        <v>786700</v>
      </c>
      <c r="I2392" s="154"/>
    </row>
    <row r="2393" spans="3:13" s="59" customFormat="1" ht="22.2" customHeight="1">
      <c r="C2393" s="61" t="s">
        <v>1209</v>
      </c>
      <c r="D2393" s="56" t="s">
        <v>1210</v>
      </c>
      <c r="E2393" s="57"/>
      <c r="F2393" s="57"/>
      <c r="G2393" s="57"/>
      <c r="H2393" s="57"/>
      <c r="I2393" s="44"/>
    </row>
    <row r="2394" spans="3:13" s="59" customFormat="1" ht="22.2" customHeight="1">
      <c r="C2394" s="450" t="s">
        <v>1214</v>
      </c>
      <c r="D2394" s="67"/>
      <c r="E2394" s="67"/>
      <c r="F2394" s="67"/>
      <c r="G2394" s="69"/>
      <c r="H2394" s="63">
        <f>SUM(H2393:H2393)</f>
        <v>0</v>
      </c>
      <c r="I2394" s="44"/>
    </row>
    <row r="2395" spans="3:13" s="59" customFormat="1" ht="22.2" customHeight="1">
      <c r="C2395" s="61" t="s">
        <v>1215</v>
      </c>
      <c r="D2395" s="56" t="s">
        <v>1216</v>
      </c>
      <c r="E2395" s="93"/>
      <c r="F2395" s="57"/>
      <c r="G2395" s="57"/>
      <c r="H2395" s="57"/>
      <c r="I2395" s="44"/>
    </row>
    <row r="2396" spans="3:13" s="59" customFormat="1" ht="22.2" customHeight="1">
      <c r="C2396" s="800">
        <v>1</v>
      </c>
      <c r="D2396" s="56" t="s">
        <v>8463</v>
      </c>
      <c r="E2396" s="93" t="s">
        <v>1974</v>
      </c>
      <c r="F2396" s="590">
        <v>0.57599999999999996</v>
      </c>
      <c r="G2396" s="63">
        <f>VLOOKUP(D2396,upahbahan,3,FALSE)</f>
        <v>75000</v>
      </c>
      <c r="H2396" s="63">
        <f t="shared" ref="H2396" si="301">F2396*G2396</f>
        <v>43200</v>
      </c>
      <c r="I2396" s="44"/>
    </row>
    <row r="2397" spans="3:13" s="59" customFormat="1" ht="22.2" customHeight="1">
      <c r="C2397" s="450" t="s">
        <v>1217</v>
      </c>
      <c r="D2397" s="67"/>
      <c r="E2397" s="67"/>
      <c r="F2397" s="67"/>
      <c r="G2397" s="69"/>
      <c r="H2397" s="882">
        <f>SUM(H2396:H2396)</f>
        <v>43200</v>
      </c>
      <c r="I2397" s="44"/>
    </row>
    <row r="2398" spans="3:13" s="59" customFormat="1" ht="22.2" customHeight="1">
      <c r="C2398" s="288" t="s">
        <v>1218</v>
      </c>
      <c r="D2398" s="76" t="s">
        <v>1219</v>
      </c>
      <c r="E2398" s="77"/>
      <c r="F2398" s="77"/>
      <c r="G2398" s="78"/>
      <c r="H2398" s="585">
        <f>H2397+H2394+H2392</f>
        <v>829900</v>
      </c>
      <c r="I2398" s="369"/>
    </row>
    <row r="2399" spans="3:13" s="59" customFormat="1" ht="22.2" customHeight="1">
      <c r="C2399" s="288" t="s">
        <v>1220</v>
      </c>
      <c r="D2399" s="76" t="s">
        <v>1321</v>
      </c>
      <c r="E2399" s="77"/>
      <c r="F2399" s="78"/>
      <c r="G2399" s="80">
        <v>0.1</v>
      </c>
      <c r="H2399" s="63">
        <f>H2398*G2399</f>
        <v>82990</v>
      </c>
      <c r="I2399" s="369"/>
    </row>
    <row r="2400" spans="3:13" s="59" customFormat="1" ht="22.2" customHeight="1">
      <c r="C2400" s="288" t="s">
        <v>1221</v>
      </c>
      <c r="D2400" s="76" t="s">
        <v>1222</v>
      </c>
      <c r="E2400" s="77"/>
      <c r="F2400" s="77"/>
      <c r="G2400" s="78"/>
      <c r="H2400" s="799">
        <f>SUM(H2398:H2399)</f>
        <v>912890</v>
      </c>
      <c r="I2400" s="369"/>
    </row>
    <row r="2401" spans="3:13" ht="22.2" customHeight="1"/>
    <row r="2402" spans="3:13" ht="22.2" customHeight="1">
      <c r="C2402" s="43" t="s">
        <v>5003</v>
      </c>
      <c r="D2402" s="128" t="s">
        <v>5004</v>
      </c>
    </row>
    <row r="2403" spans="3:13" ht="22.2" customHeight="1">
      <c r="C2403" s="121" t="s">
        <v>5006</v>
      </c>
      <c r="D2403" s="128" t="s">
        <v>5005</v>
      </c>
    </row>
    <row r="2404" spans="3:13" ht="22.2" customHeight="1">
      <c r="C2404" s="43" t="s">
        <v>5007</v>
      </c>
      <c r="D2404" s="128" t="s">
        <v>8586</v>
      </c>
      <c r="I2404" s="50">
        <f>ROUNDDOWN(H2419,-2)</f>
        <v>656500</v>
      </c>
    </row>
    <row r="2405" spans="3:13" s="59" customFormat="1" ht="22.2" customHeight="1">
      <c r="C2405" s="591" t="s">
        <v>1195</v>
      </c>
      <c r="D2405" s="591" t="s">
        <v>1196</v>
      </c>
      <c r="E2405" s="591" t="s">
        <v>1197</v>
      </c>
      <c r="F2405" s="591" t="s">
        <v>1198</v>
      </c>
      <c r="G2405" s="591" t="s">
        <v>1199</v>
      </c>
      <c r="H2405" s="591" t="s">
        <v>1200</v>
      </c>
      <c r="I2405" s="44"/>
    </row>
    <row r="2406" spans="3:13" s="59" customFormat="1" ht="22.2" customHeight="1">
      <c r="C2406" s="61" t="s">
        <v>1201</v>
      </c>
      <c r="D2406" s="56" t="s">
        <v>1202</v>
      </c>
      <c r="E2406" s="57"/>
      <c r="F2406" s="57"/>
      <c r="G2406" s="57"/>
      <c r="H2406" s="57"/>
      <c r="I2406" s="44"/>
      <c r="J2406" s="152" t="s">
        <v>1247</v>
      </c>
    </row>
    <row r="2407" spans="3:13" s="59" customFormat="1" ht="22.2" customHeight="1">
      <c r="C2407" s="588">
        <v>1</v>
      </c>
      <c r="D2407" s="56" t="s">
        <v>5</v>
      </c>
      <c r="E2407" s="577" t="s">
        <v>6</v>
      </c>
      <c r="F2407" s="101">
        <v>0.499</v>
      </c>
      <c r="G2407" s="63">
        <f>VLOOKUP(D2407,upahbahan,3,FALSE)</f>
        <v>100000</v>
      </c>
      <c r="H2407" s="63">
        <f>F2407*G2407</f>
        <v>49900</v>
      </c>
      <c r="I2407" s="44"/>
      <c r="J2407" s="152" t="s">
        <v>1248</v>
      </c>
      <c r="M2407" s="65">
        <v>0.1</v>
      </c>
    </row>
    <row r="2408" spans="3:13" s="59" customFormat="1" ht="22.2" customHeight="1">
      <c r="C2408" s="588">
        <v>2</v>
      </c>
      <c r="D2408" s="56" t="s">
        <v>10</v>
      </c>
      <c r="E2408" s="577" t="s">
        <v>6</v>
      </c>
      <c r="F2408" s="101">
        <v>0.1</v>
      </c>
      <c r="G2408" s="63">
        <f>VLOOKUP(D2408,upahbahan,3,FALSE)</f>
        <v>135000</v>
      </c>
      <c r="H2408" s="63">
        <f>F2408*G2408</f>
        <v>13500</v>
      </c>
      <c r="I2408" s="44"/>
      <c r="J2408" s="152"/>
      <c r="M2408" s="65"/>
    </row>
    <row r="2409" spans="3:13" s="59" customFormat="1" ht="22.2" customHeight="1">
      <c r="C2409" s="588">
        <v>3</v>
      </c>
      <c r="D2409" s="56" t="s">
        <v>19</v>
      </c>
      <c r="E2409" s="577" t="s">
        <v>6</v>
      </c>
      <c r="F2409" s="101">
        <v>0.05</v>
      </c>
      <c r="G2409" s="63">
        <f>VLOOKUP(D2409,upahbahan,3,FALSE)</f>
        <v>160000</v>
      </c>
      <c r="H2409" s="63">
        <f t="shared" ref="H2409" si="302">F2409*G2409</f>
        <v>8000</v>
      </c>
      <c r="I2409" s="44"/>
    </row>
    <row r="2410" spans="3:13" s="59" customFormat="1" ht="22.2" customHeight="1">
      <c r="C2410" s="450" t="s">
        <v>1208</v>
      </c>
      <c r="D2410" s="67"/>
      <c r="E2410" s="67"/>
      <c r="F2410" s="142"/>
      <c r="G2410" s="153"/>
      <c r="H2410" s="63">
        <f>SUM(H2407:H2409)</f>
        <v>71400</v>
      </c>
      <c r="I2410" s="154"/>
    </row>
    <row r="2411" spans="3:13" s="59" customFormat="1" ht="22.2" customHeight="1">
      <c r="C2411" s="61" t="s">
        <v>1209</v>
      </c>
      <c r="D2411" s="56" t="s">
        <v>1210</v>
      </c>
      <c r="E2411" s="57"/>
      <c r="F2411" s="57"/>
      <c r="G2411" s="57"/>
      <c r="H2411" s="57"/>
      <c r="I2411" s="44"/>
    </row>
    <row r="2412" spans="3:13" s="59" customFormat="1" ht="22.2" customHeight="1">
      <c r="C2412" s="800">
        <v>1</v>
      </c>
      <c r="D2412" s="56" t="s">
        <v>8587</v>
      </c>
      <c r="E2412" s="883" t="s">
        <v>1300</v>
      </c>
      <c r="F2412" s="104">
        <v>1</v>
      </c>
      <c r="G2412" s="63">
        <f>VLOOKUP(D2412,upahbahan,3,FALSE)</f>
        <v>525000</v>
      </c>
      <c r="H2412" s="63">
        <f>F2412*G2412</f>
        <v>525000</v>
      </c>
      <c r="I2412" s="44"/>
    </row>
    <row r="2413" spans="3:13" s="59" customFormat="1" ht="22.2" customHeight="1">
      <c r="C2413" s="450" t="s">
        <v>1214</v>
      </c>
      <c r="D2413" s="67"/>
      <c r="E2413" s="67"/>
      <c r="F2413" s="67"/>
      <c r="G2413" s="69"/>
      <c r="H2413" s="63">
        <f>SUM(H2411:H2412)</f>
        <v>525000</v>
      </c>
      <c r="I2413" s="44"/>
    </row>
    <row r="2414" spans="3:13" s="59" customFormat="1" ht="22.2" customHeight="1">
      <c r="C2414" s="61" t="s">
        <v>1215</v>
      </c>
      <c r="D2414" s="56" t="s">
        <v>1216</v>
      </c>
      <c r="E2414" s="93"/>
      <c r="F2414" s="57"/>
      <c r="G2414" s="57"/>
      <c r="H2414" s="57"/>
      <c r="I2414" s="44"/>
    </row>
    <row r="2415" spans="3:13" s="59" customFormat="1" ht="22.2" customHeight="1">
      <c r="C2415" s="800">
        <v>1</v>
      </c>
      <c r="D2415" s="56" t="s">
        <v>4770</v>
      </c>
      <c r="E2415" s="93" t="s">
        <v>1974</v>
      </c>
      <c r="F2415" s="590">
        <v>4.0000000000000001E-3</v>
      </c>
      <c r="G2415" s="63">
        <f>VLOOKUP(D2415,upahbahan,3,FALSE)</f>
        <v>108000</v>
      </c>
      <c r="H2415" s="63">
        <f t="shared" ref="H2415" si="303">F2415*G2415</f>
        <v>432</v>
      </c>
      <c r="I2415" s="44"/>
    </row>
    <row r="2416" spans="3:13" s="59" customFormat="1" ht="22.2" customHeight="1">
      <c r="C2416" s="450" t="s">
        <v>1217</v>
      </c>
      <c r="D2416" s="67"/>
      <c r="E2416" s="67"/>
      <c r="F2416" s="67"/>
      <c r="G2416" s="69"/>
      <c r="H2416" s="882">
        <f>SUM(H2415:H2415)</f>
        <v>432</v>
      </c>
      <c r="I2416" s="44"/>
    </row>
    <row r="2417" spans="3:13" s="59" customFormat="1" ht="22.2" customHeight="1">
      <c r="C2417" s="288" t="s">
        <v>1218</v>
      </c>
      <c r="D2417" s="76" t="s">
        <v>1219</v>
      </c>
      <c r="E2417" s="77"/>
      <c r="F2417" s="77"/>
      <c r="G2417" s="78"/>
      <c r="H2417" s="585">
        <f>H2416+H2413+H2410</f>
        <v>596832</v>
      </c>
      <c r="I2417" s="369"/>
    </row>
    <row r="2418" spans="3:13" s="59" customFormat="1" ht="22.2" customHeight="1">
      <c r="C2418" s="288" t="s">
        <v>1220</v>
      </c>
      <c r="D2418" s="76" t="s">
        <v>1321</v>
      </c>
      <c r="E2418" s="77"/>
      <c r="F2418" s="78"/>
      <c r="G2418" s="80">
        <v>0.1</v>
      </c>
      <c r="H2418" s="63">
        <f>H2417*G2418</f>
        <v>59683.200000000004</v>
      </c>
      <c r="I2418" s="369"/>
    </row>
    <row r="2419" spans="3:13" s="59" customFormat="1" ht="22.2" customHeight="1">
      <c r="C2419" s="288" t="s">
        <v>1221</v>
      </c>
      <c r="D2419" s="76" t="s">
        <v>1222</v>
      </c>
      <c r="E2419" s="77"/>
      <c r="F2419" s="77"/>
      <c r="G2419" s="78"/>
      <c r="H2419" s="799">
        <f>SUM(H2417:H2418)</f>
        <v>656515.19999999995</v>
      </c>
      <c r="I2419" s="369"/>
    </row>
    <row r="2420" spans="3:13" ht="22.2" customHeight="1"/>
    <row r="2421" spans="3:13" ht="22.2" customHeight="1">
      <c r="C2421" s="43" t="s">
        <v>5009</v>
      </c>
      <c r="D2421" s="128" t="s">
        <v>8588</v>
      </c>
      <c r="I2421" s="50">
        <f>ROUNDDOWN(H2436,-2)</f>
        <v>806500</v>
      </c>
    </row>
    <row r="2422" spans="3:13" s="59" customFormat="1" ht="22.2" customHeight="1">
      <c r="C2422" s="591" t="s">
        <v>1195</v>
      </c>
      <c r="D2422" s="591" t="s">
        <v>1196</v>
      </c>
      <c r="E2422" s="591" t="s">
        <v>1197</v>
      </c>
      <c r="F2422" s="591" t="s">
        <v>1198</v>
      </c>
      <c r="G2422" s="591" t="s">
        <v>1199</v>
      </c>
      <c r="H2422" s="591" t="s">
        <v>1200</v>
      </c>
      <c r="I2422" s="44"/>
    </row>
    <row r="2423" spans="3:13" s="59" customFormat="1" ht="22.2" customHeight="1">
      <c r="C2423" s="61" t="s">
        <v>1201</v>
      </c>
      <c r="D2423" s="56" t="s">
        <v>1202</v>
      </c>
      <c r="E2423" s="57"/>
      <c r="F2423" s="57"/>
      <c r="G2423" s="57"/>
      <c r="H2423" s="57"/>
      <c r="I2423" s="44"/>
      <c r="J2423" s="152" t="s">
        <v>1247</v>
      </c>
    </row>
    <row r="2424" spans="3:13" s="59" customFormat="1" ht="22.2" customHeight="1">
      <c r="C2424" s="588">
        <v>1</v>
      </c>
      <c r="D2424" s="56" t="s">
        <v>5</v>
      </c>
      <c r="E2424" s="577" t="s">
        <v>6</v>
      </c>
      <c r="F2424" s="101">
        <v>0.57899999999999996</v>
      </c>
      <c r="G2424" s="63">
        <f>VLOOKUP(D2424,upahbahan,3,FALSE)</f>
        <v>100000</v>
      </c>
      <c r="H2424" s="63">
        <f>F2424*G2424</f>
        <v>57899.999999999993</v>
      </c>
      <c r="I2424" s="44"/>
      <c r="J2424" s="152" t="s">
        <v>1248</v>
      </c>
      <c r="M2424" s="65">
        <v>0.1</v>
      </c>
    </row>
    <row r="2425" spans="3:13" s="59" customFormat="1" ht="22.2" customHeight="1">
      <c r="C2425" s="588">
        <v>2</v>
      </c>
      <c r="D2425" s="56" t="s">
        <v>10</v>
      </c>
      <c r="E2425" s="577" t="s">
        <v>6</v>
      </c>
      <c r="F2425" s="101">
        <v>0.11600000000000001</v>
      </c>
      <c r="G2425" s="63">
        <f>VLOOKUP(D2425,upahbahan,3,FALSE)</f>
        <v>135000</v>
      </c>
      <c r="H2425" s="63">
        <f>F2425*G2425</f>
        <v>15660</v>
      </c>
      <c r="I2425" s="44"/>
      <c r="J2425" s="152"/>
      <c r="M2425" s="65"/>
    </row>
    <row r="2426" spans="3:13" s="59" customFormat="1" ht="22.2" customHeight="1">
      <c r="C2426" s="588">
        <v>3</v>
      </c>
      <c r="D2426" s="56" t="s">
        <v>19</v>
      </c>
      <c r="E2426" s="577" t="s">
        <v>6</v>
      </c>
      <c r="F2426" s="101">
        <v>5.8000000000000003E-2</v>
      </c>
      <c r="G2426" s="63">
        <f>VLOOKUP(D2426,upahbahan,3,FALSE)</f>
        <v>160000</v>
      </c>
      <c r="H2426" s="63">
        <f t="shared" ref="H2426" si="304">F2426*G2426</f>
        <v>9280</v>
      </c>
      <c r="I2426" s="44"/>
    </row>
    <row r="2427" spans="3:13" s="59" customFormat="1" ht="22.2" customHeight="1">
      <c r="C2427" s="450" t="s">
        <v>1208</v>
      </c>
      <c r="D2427" s="67"/>
      <c r="E2427" s="67"/>
      <c r="F2427" s="142"/>
      <c r="G2427" s="153"/>
      <c r="H2427" s="63">
        <f>SUM(H2424:H2426)</f>
        <v>82840</v>
      </c>
      <c r="I2427" s="154"/>
    </row>
    <row r="2428" spans="3:13" s="59" customFormat="1" ht="22.2" customHeight="1">
      <c r="C2428" s="61" t="s">
        <v>1209</v>
      </c>
      <c r="D2428" s="56" t="s">
        <v>1210</v>
      </c>
      <c r="E2428" s="57"/>
      <c r="F2428" s="57"/>
      <c r="G2428" s="57"/>
      <c r="H2428" s="57"/>
      <c r="I2428" s="44"/>
    </row>
    <row r="2429" spans="3:13" s="59" customFormat="1" ht="22.2" customHeight="1">
      <c r="C2429" s="800">
        <v>1</v>
      </c>
      <c r="D2429" s="56" t="s">
        <v>8589</v>
      </c>
      <c r="E2429" s="883" t="s">
        <v>1300</v>
      </c>
      <c r="F2429" s="104">
        <v>1</v>
      </c>
      <c r="G2429" s="63">
        <f>VLOOKUP(D2429,upahbahan,3,FALSE)</f>
        <v>650000</v>
      </c>
      <c r="H2429" s="63">
        <f>F2429*G2429</f>
        <v>650000</v>
      </c>
      <c r="I2429" s="44"/>
    </row>
    <row r="2430" spans="3:13" s="59" customFormat="1" ht="22.2" customHeight="1">
      <c r="C2430" s="450" t="s">
        <v>1214</v>
      </c>
      <c r="D2430" s="67"/>
      <c r="E2430" s="67"/>
      <c r="F2430" s="67"/>
      <c r="G2430" s="69"/>
      <c r="H2430" s="63">
        <f>SUM(H2428:H2429)</f>
        <v>650000</v>
      </c>
      <c r="I2430" s="44"/>
    </row>
    <row r="2431" spans="3:13" s="59" customFormat="1" ht="22.2" customHeight="1">
      <c r="C2431" s="61" t="s">
        <v>1215</v>
      </c>
      <c r="D2431" s="56" t="s">
        <v>1216</v>
      </c>
      <c r="E2431" s="93"/>
      <c r="F2431" s="57"/>
      <c r="G2431" s="57"/>
      <c r="H2431" s="57"/>
      <c r="I2431" s="44"/>
    </row>
    <row r="2432" spans="3:13" s="59" customFormat="1" ht="22.2" customHeight="1">
      <c r="C2432" s="800">
        <v>1</v>
      </c>
      <c r="D2432" s="56" t="s">
        <v>4770</v>
      </c>
      <c r="E2432" s="93" t="s">
        <v>1974</v>
      </c>
      <c r="F2432" s="590">
        <v>4.0000000000000001E-3</v>
      </c>
      <c r="G2432" s="63">
        <f>VLOOKUP(D2432,upahbahan,3,FALSE)</f>
        <v>108000</v>
      </c>
      <c r="H2432" s="63">
        <f t="shared" ref="H2432" si="305">F2432*G2432</f>
        <v>432</v>
      </c>
      <c r="I2432" s="44"/>
    </row>
    <row r="2433" spans="3:13" s="59" customFormat="1" ht="22.2" customHeight="1">
      <c r="C2433" s="450" t="s">
        <v>1217</v>
      </c>
      <c r="D2433" s="67"/>
      <c r="E2433" s="67"/>
      <c r="F2433" s="67"/>
      <c r="G2433" s="69"/>
      <c r="H2433" s="882">
        <f>SUM(H2432:H2432)</f>
        <v>432</v>
      </c>
      <c r="I2433" s="44"/>
    </row>
    <row r="2434" spans="3:13" s="59" customFormat="1" ht="22.2" customHeight="1">
      <c r="C2434" s="288" t="s">
        <v>1218</v>
      </c>
      <c r="D2434" s="76" t="s">
        <v>1219</v>
      </c>
      <c r="E2434" s="77"/>
      <c r="F2434" s="77"/>
      <c r="G2434" s="78"/>
      <c r="H2434" s="585">
        <f>H2433+H2430+H2427</f>
        <v>733272</v>
      </c>
      <c r="I2434" s="369"/>
    </row>
    <row r="2435" spans="3:13" s="59" customFormat="1" ht="22.2" customHeight="1">
      <c r="C2435" s="288" t="s">
        <v>1220</v>
      </c>
      <c r="D2435" s="76" t="s">
        <v>1321</v>
      </c>
      <c r="E2435" s="77"/>
      <c r="F2435" s="78"/>
      <c r="G2435" s="80">
        <v>0.1</v>
      </c>
      <c r="H2435" s="63">
        <f>H2434*G2435</f>
        <v>73327.199999999997</v>
      </c>
      <c r="I2435" s="369"/>
    </row>
    <row r="2436" spans="3:13" s="59" customFormat="1" ht="22.2" customHeight="1">
      <c r="C2436" s="288" t="s">
        <v>1221</v>
      </c>
      <c r="D2436" s="76" t="s">
        <v>1222</v>
      </c>
      <c r="E2436" s="77"/>
      <c r="F2436" s="77"/>
      <c r="G2436" s="78"/>
      <c r="H2436" s="799">
        <f>SUM(H2434:H2435)</f>
        <v>806599.2</v>
      </c>
      <c r="I2436" s="369"/>
    </row>
    <row r="2437" spans="3:13" ht="22.2" customHeight="1"/>
    <row r="2438" spans="3:13" ht="22.2" customHeight="1"/>
    <row r="2439" spans="3:13" ht="22.2" customHeight="1">
      <c r="C2439" s="43" t="s">
        <v>5011</v>
      </c>
      <c r="D2439" s="128" t="s">
        <v>8590</v>
      </c>
      <c r="I2439" s="50">
        <f>ROUNDDOWN(H2454,-2)</f>
        <v>949500</v>
      </c>
    </row>
    <row r="2440" spans="3:13" s="59" customFormat="1" ht="22.2" customHeight="1">
      <c r="C2440" s="591" t="s">
        <v>1195</v>
      </c>
      <c r="D2440" s="591" t="s">
        <v>1196</v>
      </c>
      <c r="E2440" s="591" t="s">
        <v>1197</v>
      </c>
      <c r="F2440" s="591" t="s">
        <v>1198</v>
      </c>
      <c r="G2440" s="591" t="s">
        <v>1199</v>
      </c>
      <c r="H2440" s="591" t="s">
        <v>1200</v>
      </c>
      <c r="I2440" s="44"/>
    </row>
    <row r="2441" spans="3:13" s="59" customFormat="1" ht="22.2" customHeight="1">
      <c r="C2441" s="61" t="s">
        <v>1201</v>
      </c>
      <c r="D2441" s="56" t="s">
        <v>1202</v>
      </c>
      <c r="E2441" s="57"/>
      <c r="F2441" s="57"/>
      <c r="G2441" s="57"/>
      <c r="H2441" s="57"/>
      <c r="I2441" s="44"/>
      <c r="J2441" s="152" t="s">
        <v>1247</v>
      </c>
    </row>
    <row r="2442" spans="3:13" s="59" customFormat="1" ht="22.2" customHeight="1">
      <c r="C2442" s="588">
        <v>1</v>
      </c>
      <c r="D2442" s="56" t="s">
        <v>5</v>
      </c>
      <c r="E2442" s="577" t="s">
        <v>6</v>
      </c>
      <c r="F2442" s="101">
        <v>0.64800000000000002</v>
      </c>
      <c r="G2442" s="63">
        <f>VLOOKUP(D2442,upahbahan,3,FALSE)</f>
        <v>100000</v>
      </c>
      <c r="H2442" s="63">
        <f>F2442*G2442</f>
        <v>64800</v>
      </c>
      <c r="I2442" s="44"/>
      <c r="J2442" s="152" t="s">
        <v>1248</v>
      </c>
      <c r="M2442" s="65">
        <v>0.1</v>
      </c>
    </row>
    <row r="2443" spans="3:13" s="59" customFormat="1" ht="22.2" customHeight="1">
      <c r="C2443" s="588">
        <v>2</v>
      </c>
      <c r="D2443" s="56" t="s">
        <v>10</v>
      </c>
      <c r="E2443" s="577" t="s">
        <v>6</v>
      </c>
      <c r="F2443" s="101">
        <v>0.13</v>
      </c>
      <c r="G2443" s="63">
        <f>VLOOKUP(D2443,upahbahan,3,FALSE)</f>
        <v>135000</v>
      </c>
      <c r="H2443" s="63">
        <f>F2443*G2443</f>
        <v>17550</v>
      </c>
      <c r="I2443" s="44"/>
      <c r="J2443" s="152"/>
      <c r="M2443" s="65"/>
    </row>
    <row r="2444" spans="3:13" s="59" customFormat="1" ht="22.2" customHeight="1">
      <c r="C2444" s="588">
        <v>3</v>
      </c>
      <c r="D2444" s="56" t="s">
        <v>19</v>
      </c>
      <c r="E2444" s="577" t="s">
        <v>6</v>
      </c>
      <c r="F2444" s="101">
        <v>6.5000000000000002E-2</v>
      </c>
      <c r="G2444" s="63">
        <f>VLOOKUP(D2444,upahbahan,3,FALSE)</f>
        <v>160000</v>
      </c>
      <c r="H2444" s="63">
        <f t="shared" ref="H2444" si="306">F2444*G2444</f>
        <v>10400</v>
      </c>
      <c r="I2444" s="44"/>
    </row>
    <row r="2445" spans="3:13" s="59" customFormat="1" ht="22.2" customHeight="1">
      <c r="C2445" s="450" t="s">
        <v>1208</v>
      </c>
      <c r="D2445" s="67"/>
      <c r="E2445" s="67"/>
      <c r="F2445" s="142"/>
      <c r="G2445" s="153"/>
      <c r="H2445" s="63">
        <f>SUM(H2442:H2444)</f>
        <v>92750</v>
      </c>
      <c r="I2445" s="154"/>
    </row>
    <row r="2446" spans="3:13" s="59" customFormat="1" ht="22.2" customHeight="1">
      <c r="C2446" s="61" t="s">
        <v>1209</v>
      </c>
      <c r="D2446" s="56" t="s">
        <v>1210</v>
      </c>
      <c r="E2446" s="57"/>
      <c r="F2446" s="57"/>
      <c r="G2446" s="57"/>
      <c r="H2446" s="57"/>
      <c r="I2446" s="44"/>
    </row>
    <row r="2447" spans="3:13" s="59" customFormat="1" ht="22.2" customHeight="1">
      <c r="C2447" s="800">
        <v>1</v>
      </c>
      <c r="D2447" s="56" t="s">
        <v>8591</v>
      </c>
      <c r="E2447" s="883" t="s">
        <v>1300</v>
      </c>
      <c r="F2447" s="104">
        <v>1</v>
      </c>
      <c r="G2447" s="63">
        <f>VLOOKUP(D2447,upahbahan,3,FALSE)</f>
        <v>770000</v>
      </c>
      <c r="H2447" s="63">
        <f>F2447*G2447</f>
        <v>770000</v>
      </c>
      <c r="I2447" s="44"/>
    </row>
    <row r="2448" spans="3:13" s="59" customFormat="1" ht="22.2" customHeight="1">
      <c r="C2448" s="450" t="s">
        <v>1214</v>
      </c>
      <c r="D2448" s="67"/>
      <c r="E2448" s="67"/>
      <c r="F2448" s="67"/>
      <c r="G2448" s="69"/>
      <c r="H2448" s="63">
        <f>SUM(H2446:H2447)</f>
        <v>770000</v>
      </c>
      <c r="I2448" s="44"/>
    </row>
    <row r="2449" spans="3:13" s="59" customFormat="1" ht="22.2" customHeight="1">
      <c r="C2449" s="61" t="s">
        <v>1215</v>
      </c>
      <c r="D2449" s="56" t="s">
        <v>1216</v>
      </c>
      <c r="E2449" s="93"/>
      <c r="F2449" s="57"/>
      <c r="G2449" s="57"/>
      <c r="H2449" s="57"/>
      <c r="I2449" s="44"/>
    </row>
    <row r="2450" spans="3:13" s="59" customFormat="1" ht="22.2" customHeight="1">
      <c r="C2450" s="800">
        <v>1</v>
      </c>
      <c r="D2450" s="56" t="s">
        <v>4770</v>
      </c>
      <c r="E2450" s="93" t="s">
        <v>1974</v>
      </c>
      <c r="F2450" s="590">
        <v>4.0000000000000001E-3</v>
      </c>
      <c r="G2450" s="63">
        <f>VLOOKUP(D2450,upahbahan,3,FALSE)</f>
        <v>108000</v>
      </c>
      <c r="H2450" s="63">
        <f t="shared" ref="H2450" si="307">F2450*G2450</f>
        <v>432</v>
      </c>
      <c r="I2450" s="44"/>
    </row>
    <row r="2451" spans="3:13" s="59" customFormat="1" ht="22.2" customHeight="1">
      <c r="C2451" s="450" t="s">
        <v>1217</v>
      </c>
      <c r="D2451" s="67"/>
      <c r="E2451" s="67"/>
      <c r="F2451" s="67"/>
      <c r="G2451" s="69"/>
      <c r="H2451" s="882">
        <f>SUM(H2450:H2450)</f>
        <v>432</v>
      </c>
      <c r="I2451" s="44"/>
    </row>
    <row r="2452" spans="3:13" s="59" customFormat="1" ht="22.2" customHeight="1">
      <c r="C2452" s="288" t="s">
        <v>1218</v>
      </c>
      <c r="D2452" s="76" t="s">
        <v>1219</v>
      </c>
      <c r="E2452" s="77"/>
      <c r="F2452" s="77"/>
      <c r="G2452" s="78"/>
      <c r="H2452" s="585">
        <f>H2451+H2448+H2445</f>
        <v>863182</v>
      </c>
      <c r="I2452" s="369"/>
    </row>
    <row r="2453" spans="3:13" s="59" customFormat="1" ht="22.2" customHeight="1">
      <c r="C2453" s="288" t="s">
        <v>1220</v>
      </c>
      <c r="D2453" s="76" t="s">
        <v>1321</v>
      </c>
      <c r="E2453" s="77"/>
      <c r="F2453" s="78"/>
      <c r="G2453" s="80">
        <v>0.1</v>
      </c>
      <c r="H2453" s="63">
        <f>H2452*G2453</f>
        <v>86318.200000000012</v>
      </c>
      <c r="I2453" s="369"/>
    </row>
    <row r="2454" spans="3:13" s="59" customFormat="1" ht="22.2" customHeight="1">
      <c r="C2454" s="288" t="s">
        <v>1221</v>
      </c>
      <c r="D2454" s="76" t="s">
        <v>1222</v>
      </c>
      <c r="E2454" s="77"/>
      <c r="F2454" s="77"/>
      <c r="G2454" s="78"/>
      <c r="H2454" s="799">
        <f>SUM(H2452:H2453)</f>
        <v>949500.2</v>
      </c>
      <c r="I2454" s="369"/>
    </row>
    <row r="2455" spans="3:13" ht="22.2" customHeight="1"/>
    <row r="2456" spans="3:13" ht="22.2" customHeight="1">
      <c r="C2456" s="43" t="s">
        <v>5013</v>
      </c>
      <c r="D2456" s="128" t="s">
        <v>8592</v>
      </c>
      <c r="I2456" s="50">
        <f>ROUNDDOWN(H2471,-2)</f>
        <v>1008400</v>
      </c>
    </row>
    <row r="2457" spans="3:13" s="59" customFormat="1" ht="22.2" customHeight="1">
      <c r="C2457" s="591" t="s">
        <v>1195</v>
      </c>
      <c r="D2457" s="591" t="s">
        <v>1196</v>
      </c>
      <c r="E2457" s="591" t="s">
        <v>1197</v>
      </c>
      <c r="F2457" s="591" t="s">
        <v>1198</v>
      </c>
      <c r="G2457" s="591" t="s">
        <v>1199</v>
      </c>
      <c r="H2457" s="591" t="s">
        <v>1200</v>
      </c>
      <c r="I2457" s="44"/>
    </row>
    <row r="2458" spans="3:13" s="59" customFormat="1" ht="22.2" customHeight="1">
      <c r="C2458" s="61" t="s">
        <v>1201</v>
      </c>
      <c r="D2458" s="56" t="s">
        <v>1202</v>
      </c>
      <c r="E2458" s="57"/>
      <c r="F2458" s="57"/>
      <c r="G2458" s="57"/>
      <c r="H2458" s="57"/>
      <c r="I2458" s="44"/>
      <c r="J2458" s="152" t="s">
        <v>1247</v>
      </c>
    </row>
    <row r="2459" spans="3:13" s="59" customFormat="1" ht="22.2" customHeight="1">
      <c r="C2459" s="588">
        <v>1</v>
      </c>
      <c r="D2459" s="56" t="s">
        <v>5</v>
      </c>
      <c r="E2459" s="577" t="s">
        <v>6</v>
      </c>
      <c r="F2459" s="101">
        <v>0.70799999999999996</v>
      </c>
      <c r="G2459" s="63">
        <f>VLOOKUP(D2459,upahbahan,3,FALSE)</f>
        <v>100000</v>
      </c>
      <c r="H2459" s="63">
        <f>F2459*G2459</f>
        <v>70800</v>
      </c>
      <c r="I2459" s="44"/>
      <c r="J2459" s="152" t="s">
        <v>1248</v>
      </c>
      <c r="M2459" s="65">
        <v>0.1</v>
      </c>
    </row>
    <row r="2460" spans="3:13" s="59" customFormat="1" ht="22.2" customHeight="1">
      <c r="C2460" s="588">
        <v>2</v>
      </c>
      <c r="D2460" s="56" t="s">
        <v>10</v>
      </c>
      <c r="E2460" s="577" t="s">
        <v>6</v>
      </c>
      <c r="F2460" s="101">
        <v>0.14199999999999999</v>
      </c>
      <c r="G2460" s="63">
        <f>VLOOKUP(D2460,upahbahan,3,FALSE)</f>
        <v>135000</v>
      </c>
      <c r="H2460" s="63">
        <f>F2460*G2460</f>
        <v>19170</v>
      </c>
      <c r="I2460" s="44"/>
      <c r="J2460" s="152"/>
      <c r="M2460" s="65"/>
    </row>
    <row r="2461" spans="3:13" s="59" customFormat="1" ht="22.2" customHeight="1">
      <c r="C2461" s="588">
        <v>3</v>
      </c>
      <c r="D2461" s="56" t="s">
        <v>19</v>
      </c>
      <c r="E2461" s="577" t="s">
        <v>6</v>
      </c>
      <c r="F2461" s="101">
        <v>7.0999999999999994E-2</v>
      </c>
      <c r="G2461" s="63">
        <f>VLOOKUP(D2461,upahbahan,3,FALSE)</f>
        <v>160000</v>
      </c>
      <c r="H2461" s="63">
        <f t="shared" ref="H2461" si="308">F2461*G2461</f>
        <v>11359.999999999998</v>
      </c>
      <c r="I2461" s="44"/>
    </row>
    <row r="2462" spans="3:13" s="59" customFormat="1" ht="22.2" customHeight="1">
      <c r="C2462" s="450" t="s">
        <v>1208</v>
      </c>
      <c r="D2462" s="67"/>
      <c r="E2462" s="67"/>
      <c r="F2462" s="142"/>
      <c r="G2462" s="153"/>
      <c r="H2462" s="63">
        <f>SUM(H2459:H2461)</f>
        <v>101330</v>
      </c>
      <c r="I2462" s="154"/>
    </row>
    <row r="2463" spans="3:13" s="59" customFormat="1" ht="22.2" customHeight="1">
      <c r="C2463" s="61" t="s">
        <v>1209</v>
      </c>
      <c r="D2463" s="56" t="s">
        <v>1210</v>
      </c>
      <c r="E2463" s="57"/>
      <c r="F2463" s="57"/>
      <c r="G2463" s="57"/>
      <c r="H2463" s="57"/>
      <c r="I2463" s="44"/>
    </row>
    <row r="2464" spans="3:13" s="59" customFormat="1" ht="22.2" customHeight="1">
      <c r="C2464" s="800">
        <v>1</v>
      </c>
      <c r="D2464" s="56" t="s">
        <v>8593</v>
      </c>
      <c r="E2464" s="883" t="s">
        <v>1300</v>
      </c>
      <c r="F2464" s="104">
        <v>1</v>
      </c>
      <c r="G2464" s="63">
        <f>VLOOKUP(D2464,upahbahan,3,FALSE)</f>
        <v>815000</v>
      </c>
      <c r="H2464" s="63">
        <f>F2464*G2464</f>
        <v>815000</v>
      </c>
      <c r="I2464" s="44"/>
    </row>
    <row r="2465" spans="3:13" s="59" customFormat="1" ht="22.2" customHeight="1">
      <c r="C2465" s="450" t="s">
        <v>1214</v>
      </c>
      <c r="D2465" s="67"/>
      <c r="E2465" s="67"/>
      <c r="F2465" s="67"/>
      <c r="G2465" s="69"/>
      <c r="H2465" s="63">
        <f>SUM(H2463:H2464)</f>
        <v>815000</v>
      </c>
      <c r="I2465" s="44"/>
    </row>
    <row r="2466" spans="3:13" s="59" customFormat="1" ht="22.2" customHeight="1">
      <c r="C2466" s="61" t="s">
        <v>1215</v>
      </c>
      <c r="D2466" s="56" t="s">
        <v>1216</v>
      </c>
      <c r="E2466" s="93"/>
      <c r="F2466" s="57"/>
      <c r="G2466" s="57"/>
      <c r="H2466" s="57"/>
      <c r="I2466" s="44"/>
    </row>
    <row r="2467" spans="3:13" s="59" customFormat="1" ht="22.2" customHeight="1">
      <c r="C2467" s="800">
        <v>1</v>
      </c>
      <c r="D2467" s="56" t="s">
        <v>4770</v>
      </c>
      <c r="E2467" s="93" t="s">
        <v>1974</v>
      </c>
      <c r="F2467" s="590">
        <v>4.0000000000000001E-3</v>
      </c>
      <c r="G2467" s="63">
        <f>VLOOKUP(D2467,upahbahan,3,FALSE)</f>
        <v>108000</v>
      </c>
      <c r="H2467" s="63">
        <f t="shared" ref="H2467" si="309">F2467*G2467</f>
        <v>432</v>
      </c>
      <c r="I2467" s="44"/>
    </row>
    <row r="2468" spans="3:13" s="59" customFormat="1" ht="22.2" customHeight="1">
      <c r="C2468" s="450" t="s">
        <v>1217</v>
      </c>
      <c r="D2468" s="67"/>
      <c r="E2468" s="67"/>
      <c r="F2468" s="67"/>
      <c r="G2468" s="69"/>
      <c r="H2468" s="882">
        <f>SUM(H2467:H2467)</f>
        <v>432</v>
      </c>
      <c r="I2468" s="44"/>
    </row>
    <row r="2469" spans="3:13" s="59" customFormat="1" ht="22.2" customHeight="1">
      <c r="C2469" s="288" t="s">
        <v>1218</v>
      </c>
      <c r="D2469" s="76" t="s">
        <v>1219</v>
      </c>
      <c r="E2469" s="77"/>
      <c r="F2469" s="77"/>
      <c r="G2469" s="78"/>
      <c r="H2469" s="585">
        <f>H2468+H2465+H2462</f>
        <v>916762</v>
      </c>
      <c r="I2469" s="369"/>
    </row>
    <row r="2470" spans="3:13" s="59" customFormat="1" ht="22.2" customHeight="1">
      <c r="C2470" s="288" t="s">
        <v>1220</v>
      </c>
      <c r="D2470" s="76" t="s">
        <v>1321</v>
      </c>
      <c r="E2470" s="77"/>
      <c r="F2470" s="78"/>
      <c r="G2470" s="80">
        <v>0.1</v>
      </c>
      <c r="H2470" s="63">
        <f>H2469*G2470</f>
        <v>91676.200000000012</v>
      </c>
      <c r="I2470" s="369"/>
    </row>
    <row r="2471" spans="3:13" s="59" customFormat="1" ht="22.2" customHeight="1">
      <c r="C2471" s="288" t="s">
        <v>1221</v>
      </c>
      <c r="D2471" s="76" t="s">
        <v>1222</v>
      </c>
      <c r="E2471" s="77"/>
      <c r="F2471" s="77"/>
      <c r="G2471" s="78"/>
      <c r="H2471" s="799">
        <f>SUM(H2469:H2470)</f>
        <v>1008438.2</v>
      </c>
      <c r="I2471" s="369"/>
    </row>
    <row r="2472" spans="3:13" ht="22.2" customHeight="1"/>
    <row r="2473" spans="3:13" ht="22.2" customHeight="1">
      <c r="C2473" s="43" t="s">
        <v>5015</v>
      </c>
      <c r="D2473" s="128" t="s">
        <v>8594</v>
      </c>
      <c r="I2473" s="50">
        <f>ROUNDDOWN(H2488,-2)</f>
        <v>1160000</v>
      </c>
    </row>
    <row r="2474" spans="3:13" s="59" customFormat="1" ht="22.2" customHeight="1">
      <c r="C2474" s="591" t="s">
        <v>1195</v>
      </c>
      <c r="D2474" s="591" t="s">
        <v>1196</v>
      </c>
      <c r="E2474" s="591" t="s">
        <v>1197</v>
      </c>
      <c r="F2474" s="591" t="s">
        <v>1198</v>
      </c>
      <c r="G2474" s="591" t="s">
        <v>1199</v>
      </c>
      <c r="H2474" s="591" t="s">
        <v>1200</v>
      </c>
      <c r="I2474" s="44"/>
    </row>
    <row r="2475" spans="3:13" s="59" customFormat="1" ht="22.2" customHeight="1">
      <c r="C2475" s="61" t="s">
        <v>1201</v>
      </c>
      <c r="D2475" s="56" t="s">
        <v>1202</v>
      </c>
      <c r="E2475" s="57"/>
      <c r="F2475" s="57"/>
      <c r="G2475" s="57"/>
      <c r="H2475" s="57"/>
      <c r="I2475" s="44"/>
      <c r="J2475" s="152" t="s">
        <v>1247</v>
      </c>
    </row>
    <row r="2476" spans="3:13" s="59" customFormat="1" ht="22.2" customHeight="1">
      <c r="C2476" s="588">
        <v>1</v>
      </c>
      <c r="D2476" s="56" t="s">
        <v>5</v>
      </c>
      <c r="E2476" s="577" t="s">
        <v>6</v>
      </c>
      <c r="F2476" s="101">
        <v>1.113</v>
      </c>
      <c r="G2476" s="63">
        <f>VLOOKUP(D2476,upahbahan,3,FALSE)</f>
        <v>100000</v>
      </c>
      <c r="H2476" s="63">
        <f>F2476*G2476</f>
        <v>111300</v>
      </c>
      <c r="I2476" s="44"/>
      <c r="J2476" s="152" t="s">
        <v>1248</v>
      </c>
      <c r="M2476" s="65">
        <v>0.1</v>
      </c>
    </row>
    <row r="2477" spans="3:13" s="59" customFormat="1" ht="22.2" customHeight="1">
      <c r="C2477" s="588">
        <v>2</v>
      </c>
      <c r="D2477" s="56" t="s">
        <v>10</v>
      </c>
      <c r="E2477" s="577" t="s">
        <v>6</v>
      </c>
      <c r="F2477" s="101">
        <v>0.223</v>
      </c>
      <c r="G2477" s="63">
        <f>VLOOKUP(D2477,upahbahan,3,FALSE)</f>
        <v>135000</v>
      </c>
      <c r="H2477" s="63">
        <f>F2477*G2477</f>
        <v>30105</v>
      </c>
      <c r="I2477" s="44"/>
      <c r="J2477" s="152"/>
      <c r="M2477" s="65"/>
    </row>
    <row r="2478" spans="3:13" s="59" customFormat="1" ht="22.2" customHeight="1">
      <c r="C2478" s="588">
        <v>3</v>
      </c>
      <c r="D2478" s="56" t="s">
        <v>19</v>
      </c>
      <c r="E2478" s="577" t="s">
        <v>6</v>
      </c>
      <c r="F2478" s="101">
        <v>0.111</v>
      </c>
      <c r="G2478" s="63">
        <f>VLOOKUP(D2478,upahbahan,3,FALSE)</f>
        <v>160000</v>
      </c>
      <c r="H2478" s="63">
        <f t="shared" ref="H2478" si="310">F2478*G2478</f>
        <v>17760</v>
      </c>
      <c r="I2478" s="44"/>
    </row>
    <row r="2479" spans="3:13" s="59" customFormat="1" ht="22.2" customHeight="1">
      <c r="C2479" s="450" t="s">
        <v>1208</v>
      </c>
      <c r="D2479" s="67"/>
      <c r="E2479" s="67"/>
      <c r="F2479" s="142"/>
      <c r="G2479" s="153"/>
      <c r="H2479" s="63">
        <f>SUM(H2476:H2478)</f>
        <v>159165</v>
      </c>
      <c r="I2479" s="154"/>
    </row>
    <row r="2480" spans="3:13" s="59" customFormat="1" ht="22.2" customHeight="1">
      <c r="C2480" s="61" t="s">
        <v>1209</v>
      </c>
      <c r="D2480" s="56" t="s">
        <v>1210</v>
      </c>
      <c r="E2480" s="57"/>
      <c r="F2480" s="57"/>
      <c r="G2480" s="57"/>
      <c r="H2480" s="57"/>
      <c r="I2480" s="44"/>
    </row>
    <row r="2481" spans="3:13" s="59" customFormat="1" ht="22.2" customHeight="1">
      <c r="C2481" s="800">
        <v>1</v>
      </c>
      <c r="D2481" s="56" t="s">
        <v>8595</v>
      </c>
      <c r="E2481" s="883" t="s">
        <v>1300</v>
      </c>
      <c r="F2481" s="104">
        <v>1</v>
      </c>
      <c r="G2481" s="63">
        <f>VLOOKUP(D2481,upahbahan,3,FALSE)</f>
        <v>895000</v>
      </c>
      <c r="H2481" s="63">
        <f>F2481*G2481</f>
        <v>895000</v>
      </c>
      <c r="I2481" s="44"/>
    </row>
    <row r="2482" spans="3:13" s="59" customFormat="1" ht="22.2" customHeight="1">
      <c r="C2482" s="450" t="s">
        <v>1214</v>
      </c>
      <c r="D2482" s="67"/>
      <c r="E2482" s="67"/>
      <c r="F2482" s="67"/>
      <c r="G2482" s="69"/>
      <c r="H2482" s="63">
        <f>SUM(H2480:H2481)</f>
        <v>895000</v>
      </c>
      <c r="I2482" s="44"/>
    </row>
    <row r="2483" spans="3:13" s="59" customFormat="1" ht="22.2" customHeight="1">
      <c r="C2483" s="61" t="s">
        <v>1215</v>
      </c>
      <c r="D2483" s="56" t="s">
        <v>1216</v>
      </c>
      <c r="E2483" s="93"/>
      <c r="F2483" s="57"/>
      <c r="G2483" s="57"/>
      <c r="H2483" s="57"/>
      <c r="I2483" s="44"/>
    </row>
    <row r="2484" spans="3:13" s="59" customFormat="1" ht="22.2" customHeight="1">
      <c r="C2484" s="800">
        <v>1</v>
      </c>
      <c r="D2484" s="56" t="s">
        <v>4770</v>
      </c>
      <c r="E2484" s="93" t="s">
        <v>1974</v>
      </c>
      <c r="F2484" s="590">
        <v>4.0000000000000001E-3</v>
      </c>
      <c r="G2484" s="63">
        <f>VLOOKUP(D2484,upahbahan,3,FALSE)</f>
        <v>108000</v>
      </c>
      <c r="H2484" s="63">
        <f t="shared" ref="H2484" si="311">F2484*G2484</f>
        <v>432</v>
      </c>
      <c r="I2484" s="44"/>
    </row>
    <row r="2485" spans="3:13" s="59" customFormat="1" ht="22.2" customHeight="1">
      <c r="C2485" s="450" t="s">
        <v>1217</v>
      </c>
      <c r="D2485" s="67"/>
      <c r="E2485" s="67"/>
      <c r="F2485" s="67"/>
      <c r="G2485" s="69"/>
      <c r="H2485" s="882">
        <f>SUM(H2484:H2484)</f>
        <v>432</v>
      </c>
      <c r="I2485" s="44"/>
    </row>
    <row r="2486" spans="3:13" s="59" customFormat="1" ht="22.2" customHeight="1">
      <c r="C2486" s="288" t="s">
        <v>1218</v>
      </c>
      <c r="D2486" s="76" t="s">
        <v>1219</v>
      </c>
      <c r="E2486" s="77"/>
      <c r="F2486" s="77"/>
      <c r="G2486" s="78"/>
      <c r="H2486" s="585">
        <f>H2485+H2482+H2479</f>
        <v>1054597</v>
      </c>
      <c r="I2486" s="369"/>
    </row>
    <row r="2487" spans="3:13" s="59" customFormat="1" ht="22.2" customHeight="1">
      <c r="C2487" s="288" t="s">
        <v>1220</v>
      </c>
      <c r="D2487" s="76" t="s">
        <v>1321</v>
      </c>
      <c r="E2487" s="77"/>
      <c r="F2487" s="78"/>
      <c r="G2487" s="80">
        <v>0.1</v>
      </c>
      <c r="H2487" s="63">
        <f>H2486*G2487</f>
        <v>105459.70000000001</v>
      </c>
      <c r="I2487" s="369"/>
    </row>
    <row r="2488" spans="3:13" s="59" customFormat="1" ht="22.2" customHeight="1">
      <c r="C2488" s="288" t="s">
        <v>1221</v>
      </c>
      <c r="D2488" s="76" t="s">
        <v>1222</v>
      </c>
      <c r="E2488" s="77"/>
      <c r="F2488" s="77"/>
      <c r="G2488" s="78"/>
      <c r="H2488" s="799">
        <f>SUM(H2486:H2487)</f>
        <v>1160056.7</v>
      </c>
      <c r="I2488" s="369"/>
    </row>
    <row r="2489" spans="3:13" ht="22.2" customHeight="1"/>
    <row r="2490" spans="3:13" ht="22.2" customHeight="1">
      <c r="C2490" s="43" t="s">
        <v>5017</v>
      </c>
      <c r="D2490" s="128" t="s">
        <v>8596</v>
      </c>
      <c r="I2490" s="50">
        <f>ROUNDDOWN(H2505,-2)</f>
        <v>1248400</v>
      </c>
    </row>
    <row r="2491" spans="3:13" s="59" customFormat="1" ht="22.2" customHeight="1">
      <c r="C2491" s="591" t="s">
        <v>1195</v>
      </c>
      <c r="D2491" s="591" t="s">
        <v>1196</v>
      </c>
      <c r="E2491" s="591" t="s">
        <v>1197</v>
      </c>
      <c r="F2491" s="591" t="s">
        <v>1198</v>
      </c>
      <c r="G2491" s="591" t="s">
        <v>1199</v>
      </c>
      <c r="H2491" s="591" t="s">
        <v>1200</v>
      </c>
      <c r="I2491" s="44"/>
    </row>
    <row r="2492" spans="3:13" s="59" customFormat="1" ht="22.2" customHeight="1">
      <c r="C2492" s="61" t="s">
        <v>1201</v>
      </c>
      <c r="D2492" s="56" t="s">
        <v>1202</v>
      </c>
      <c r="E2492" s="57"/>
      <c r="F2492" s="57"/>
      <c r="G2492" s="57"/>
      <c r="H2492" s="57"/>
      <c r="I2492" s="44"/>
      <c r="J2492" s="152" t="s">
        <v>1247</v>
      </c>
    </row>
    <row r="2493" spans="3:13" s="59" customFormat="1" ht="22.2" customHeight="1">
      <c r="C2493" s="588">
        <v>1</v>
      </c>
      <c r="D2493" s="56" t="s">
        <v>5</v>
      </c>
      <c r="E2493" s="577" t="s">
        <v>6</v>
      </c>
      <c r="F2493" s="101">
        <v>1.325</v>
      </c>
      <c r="G2493" s="63">
        <f>VLOOKUP(D2493,upahbahan,3,FALSE)</f>
        <v>100000</v>
      </c>
      <c r="H2493" s="63">
        <f>F2493*G2493</f>
        <v>132500</v>
      </c>
      <c r="I2493" s="44"/>
      <c r="J2493" s="152" t="s">
        <v>1248</v>
      </c>
      <c r="M2493" s="65">
        <v>0.1</v>
      </c>
    </row>
    <row r="2494" spans="3:13" s="59" customFormat="1" ht="22.2" customHeight="1">
      <c r="C2494" s="588">
        <v>2</v>
      </c>
      <c r="D2494" s="56" t="s">
        <v>10</v>
      </c>
      <c r="E2494" s="577" t="s">
        <v>6</v>
      </c>
      <c r="F2494" s="101">
        <v>0.26500000000000001</v>
      </c>
      <c r="G2494" s="63">
        <f>VLOOKUP(D2494,upahbahan,3,FALSE)</f>
        <v>135000</v>
      </c>
      <c r="H2494" s="63">
        <f>F2494*G2494</f>
        <v>35775</v>
      </c>
      <c r="I2494" s="44"/>
      <c r="J2494" s="152"/>
      <c r="M2494" s="65"/>
    </row>
    <row r="2495" spans="3:13" s="59" customFormat="1" ht="22.2" customHeight="1">
      <c r="C2495" s="588">
        <v>3</v>
      </c>
      <c r="D2495" s="56" t="s">
        <v>19</v>
      </c>
      <c r="E2495" s="577" t="s">
        <v>6</v>
      </c>
      <c r="F2495" s="101">
        <v>0.13300000000000001</v>
      </c>
      <c r="G2495" s="63">
        <f>VLOOKUP(D2495,upahbahan,3,FALSE)</f>
        <v>160000</v>
      </c>
      <c r="H2495" s="63">
        <f t="shared" ref="H2495" si="312">F2495*G2495</f>
        <v>21280</v>
      </c>
      <c r="I2495" s="44"/>
    </row>
    <row r="2496" spans="3:13" s="59" customFormat="1" ht="22.2" customHeight="1">
      <c r="C2496" s="450" t="s">
        <v>1208</v>
      </c>
      <c r="D2496" s="67"/>
      <c r="E2496" s="67"/>
      <c r="F2496" s="142"/>
      <c r="G2496" s="153"/>
      <c r="H2496" s="63">
        <f>SUM(H2493:H2495)</f>
        <v>189555</v>
      </c>
      <c r="I2496" s="154"/>
    </row>
    <row r="2497" spans="3:13" s="59" customFormat="1" ht="22.2" customHeight="1">
      <c r="C2497" s="61" t="s">
        <v>1209</v>
      </c>
      <c r="D2497" s="56" t="s">
        <v>1210</v>
      </c>
      <c r="E2497" s="57"/>
      <c r="F2497" s="57"/>
      <c r="G2497" s="57"/>
      <c r="H2497" s="57"/>
      <c r="I2497" s="44"/>
    </row>
    <row r="2498" spans="3:13" s="59" customFormat="1" ht="22.2" customHeight="1">
      <c r="C2498" s="800">
        <v>1</v>
      </c>
      <c r="D2498" s="56" t="s">
        <v>8597</v>
      </c>
      <c r="E2498" s="883" t="s">
        <v>1300</v>
      </c>
      <c r="F2498" s="104">
        <v>1</v>
      </c>
      <c r="G2498" s="63">
        <f>VLOOKUP(D2498,upahbahan,3,FALSE)</f>
        <v>945000</v>
      </c>
      <c r="H2498" s="63">
        <f>F2498*G2498</f>
        <v>945000</v>
      </c>
      <c r="I2498" s="44"/>
    </row>
    <row r="2499" spans="3:13" s="59" customFormat="1" ht="22.2" customHeight="1">
      <c r="C2499" s="450" t="s">
        <v>1214</v>
      </c>
      <c r="D2499" s="67"/>
      <c r="E2499" s="67"/>
      <c r="F2499" s="67"/>
      <c r="G2499" s="69"/>
      <c r="H2499" s="63">
        <f>SUM(H2497:H2498)</f>
        <v>945000</v>
      </c>
      <c r="I2499" s="44"/>
    </row>
    <row r="2500" spans="3:13" s="59" customFormat="1" ht="22.2" customHeight="1">
      <c r="C2500" s="61" t="s">
        <v>1215</v>
      </c>
      <c r="D2500" s="56" t="s">
        <v>1216</v>
      </c>
      <c r="E2500" s="93"/>
      <c r="F2500" s="57"/>
      <c r="G2500" s="57"/>
      <c r="H2500" s="57"/>
      <c r="I2500" s="44"/>
    </row>
    <row r="2501" spans="3:13" s="59" customFormat="1" ht="22.2" customHeight="1">
      <c r="C2501" s="800">
        <v>1</v>
      </c>
      <c r="D2501" s="56" t="s">
        <v>4770</v>
      </c>
      <c r="E2501" s="93" t="s">
        <v>1974</v>
      </c>
      <c r="F2501" s="590">
        <v>4.0000000000000001E-3</v>
      </c>
      <c r="G2501" s="63">
        <f>VLOOKUP(D2501,upahbahan,3,FALSE)</f>
        <v>108000</v>
      </c>
      <c r="H2501" s="63">
        <f t="shared" ref="H2501" si="313">F2501*G2501</f>
        <v>432</v>
      </c>
      <c r="I2501" s="44"/>
    </row>
    <row r="2502" spans="3:13" s="59" customFormat="1" ht="22.2" customHeight="1">
      <c r="C2502" s="450" t="s">
        <v>1217</v>
      </c>
      <c r="D2502" s="67"/>
      <c r="E2502" s="67"/>
      <c r="F2502" s="67"/>
      <c r="G2502" s="69"/>
      <c r="H2502" s="882">
        <f>SUM(H2501:H2501)</f>
        <v>432</v>
      </c>
      <c r="I2502" s="44"/>
    </row>
    <row r="2503" spans="3:13" s="59" customFormat="1" ht="22.2" customHeight="1">
      <c r="C2503" s="288" t="s">
        <v>1218</v>
      </c>
      <c r="D2503" s="76" t="s">
        <v>1219</v>
      </c>
      <c r="E2503" s="77"/>
      <c r="F2503" s="77"/>
      <c r="G2503" s="78"/>
      <c r="H2503" s="585">
        <f>H2502+H2499+H2496</f>
        <v>1134987</v>
      </c>
      <c r="I2503" s="369"/>
    </row>
    <row r="2504" spans="3:13" s="59" customFormat="1" ht="22.2" customHeight="1">
      <c r="C2504" s="288" t="s">
        <v>1220</v>
      </c>
      <c r="D2504" s="76" t="s">
        <v>1321</v>
      </c>
      <c r="E2504" s="77"/>
      <c r="F2504" s="78"/>
      <c r="G2504" s="80">
        <v>0.1</v>
      </c>
      <c r="H2504" s="63">
        <f>H2503*G2504</f>
        <v>113498.70000000001</v>
      </c>
      <c r="I2504" s="369"/>
    </row>
    <row r="2505" spans="3:13" s="59" customFormat="1" ht="22.2" customHeight="1">
      <c r="C2505" s="288" t="s">
        <v>1221</v>
      </c>
      <c r="D2505" s="76" t="s">
        <v>1222</v>
      </c>
      <c r="E2505" s="77"/>
      <c r="F2505" s="77"/>
      <c r="G2505" s="78"/>
      <c r="H2505" s="799">
        <f>SUM(H2503:H2504)</f>
        <v>1248485.7</v>
      </c>
      <c r="I2505" s="369"/>
    </row>
    <row r="2506" spans="3:13" ht="22.2" customHeight="1"/>
    <row r="2507" spans="3:13" ht="22.2" customHeight="1">
      <c r="C2507" s="43" t="s">
        <v>5019</v>
      </c>
      <c r="D2507" s="128" t="s">
        <v>8598</v>
      </c>
      <c r="I2507" s="50">
        <f>ROUNDDOWN(H2522,-2)</f>
        <v>1383400</v>
      </c>
    </row>
    <row r="2508" spans="3:13" s="59" customFormat="1" ht="22.2" customHeight="1">
      <c r="C2508" s="591" t="s">
        <v>1195</v>
      </c>
      <c r="D2508" s="591" t="s">
        <v>1196</v>
      </c>
      <c r="E2508" s="591" t="s">
        <v>1197</v>
      </c>
      <c r="F2508" s="591" t="s">
        <v>1198</v>
      </c>
      <c r="G2508" s="591" t="s">
        <v>1199</v>
      </c>
      <c r="H2508" s="591" t="s">
        <v>1200</v>
      </c>
      <c r="I2508" s="44"/>
    </row>
    <row r="2509" spans="3:13" s="59" customFormat="1" ht="22.2" customHeight="1">
      <c r="C2509" s="61" t="s">
        <v>1201</v>
      </c>
      <c r="D2509" s="56" t="s">
        <v>1202</v>
      </c>
      <c r="E2509" s="57"/>
      <c r="F2509" s="57"/>
      <c r="G2509" s="57"/>
      <c r="H2509" s="57"/>
      <c r="I2509" s="44"/>
      <c r="J2509" s="152" t="s">
        <v>1247</v>
      </c>
    </row>
    <row r="2510" spans="3:13" s="59" customFormat="1" ht="22.2" customHeight="1">
      <c r="C2510" s="588">
        <v>1</v>
      </c>
      <c r="D2510" s="56" t="s">
        <v>5</v>
      </c>
      <c r="E2510" s="577" t="s">
        <v>6</v>
      </c>
      <c r="F2510" s="101">
        <v>1.415</v>
      </c>
      <c r="G2510" s="63">
        <f>VLOOKUP(D2510,upahbahan,3,FALSE)</f>
        <v>100000</v>
      </c>
      <c r="H2510" s="63">
        <f>F2510*G2510</f>
        <v>141500</v>
      </c>
      <c r="I2510" s="44"/>
      <c r="J2510" s="152" t="s">
        <v>1248</v>
      </c>
      <c r="M2510" s="65">
        <v>0.1</v>
      </c>
    </row>
    <row r="2511" spans="3:13" s="59" customFormat="1" ht="22.2" customHeight="1">
      <c r="C2511" s="588">
        <v>2</v>
      </c>
      <c r="D2511" s="56" t="s">
        <v>10</v>
      </c>
      <c r="E2511" s="577" t="s">
        <v>6</v>
      </c>
      <c r="F2511" s="101">
        <v>0.28299999999999997</v>
      </c>
      <c r="G2511" s="63">
        <f>VLOOKUP(D2511,upahbahan,3,FALSE)</f>
        <v>135000</v>
      </c>
      <c r="H2511" s="63">
        <f>F2511*G2511</f>
        <v>38205</v>
      </c>
      <c r="I2511" s="44"/>
      <c r="J2511" s="152"/>
      <c r="M2511" s="65"/>
    </row>
    <row r="2512" spans="3:13" s="59" customFormat="1" ht="22.2" customHeight="1">
      <c r="C2512" s="588">
        <v>3</v>
      </c>
      <c r="D2512" s="56" t="s">
        <v>19</v>
      </c>
      <c r="E2512" s="577" t="s">
        <v>6</v>
      </c>
      <c r="F2512" s="101">
        <v>0.14099999999999999</v>
      </c>
      <c r="G2512" s="63">
        <f>VLOOKUP(D2512,upahbahan,3,FALSE)</f>
        <v>160000</v>
      </c>
      <c r="H2512" s="63">
        <f t="shared" ref="H2512" si="314">F2512*G2512</f>
        <v>22559.999999999996</v>
      </c>
      <c r="I2512" s="44"/>
    </row>
    <row r="2513" spans="3:13" s="59" customFormat="1" ht="22.2" customHeight="1">
      <c r="C2513" s="450" t="s">
        <v>1208</v>
      </c>
      <c r="D2513" s="67"/>
      <c r="E2513" s="67"/>
      <c r="F2513" s="142"/>
      <c r="G2513" s="153"/>
      <c r="H2513" s="63">
        <f>SUM(H2510:H2512)</f>
        <v>202265</v>
      </c>
      <c r="I2513" s="154"/>
    </row>
    <row r="2514" spans="3:13" s="59" customFormat="1" ht="22.2" customHeight="1">
      <c r="C2514" s="61" t="s">
        <v>1209</v>
      </c>
      <c r="D2514" s="56" t="s">
        <v>1210</v>
      </c>
      <c r="E2514" s="57"/>
      <c r="F2514" s="57"/>
      <c r="G2514" s="57"/>
      <c r="H2514" s="57"/>
      <c r="I2514" s="44"/>
    </row>
    <row r="2515" spans="3:13" s="59" customFormat="1" ht="22.2" customHeight="1">
      <c r="C2515" s="800">
        <v>1</v>
      </c>
      <c r="D2515" s="56" t="s">
        <v>8599</v>
      </c>
      <c r="E2515" s="883" t="s">
        <v>1300</v>
      </c>
      <c r="F2515" s="104">
        <v>1</v>
      </c>
      <c r="G2515" s="63">
        <f>VLOOKUP(D2515,upahbahan,3,FALSE)</f>
        <v>1055000</v>
      </c>
      <c r="H2515" s="63">
        <f>F2515*G2515</f>
        <v>1055000</v>
      </c>
      <c r="I2515" s="44"/>
    </row>
    <row r="2516" spans="3:13" s="59" customFormat="1" ht="22.2" customHeight="1">
      <c r="C2516" s="450" t="s">
        <v>1214</v>
      </c>
      <c r="D2516" s="67"/>
      <c r="E2516" s="67"/>
      <c r="F2516" s="67"/>
      <c r="G2516" s="69"/>
      <c r="H2516" s="63">
        <f>SUM(H2514:H2515)</f>
        <v>1055000</v>
      </c>
      <c r="I2516" s="44"/>
    </row>
    <row r="2517" spans="3:13" s="59" customFormat="1" ht="22.2" customHeight="1">
      <c r="C2517" s="61" t="s">
        <v>1215</v>
      </c>
      <c r="D2517" s="56" t="s">
        <v>1216</v>
      </c>
      <c r="E2517" s="93"/>
      <c r="F2517" s="57"/>
      <c r="G2517" s="57"/>
      <c r="H2517" s="57"/>
      <c r="I2517" s="44"/>
    </row>
    <row r="2518" spans="3:13" s="59" customFormat="1" ht="22.2" customHeight="1">
      <c r="C2518" s="800">
        <v>1</v>
      </c>
      <c r="D2518" s="56" t="s">
        <v>4770</v>
      </c>
      <c r="E2518" s="93" t="s">
        <v>1974</v>
      </c>
      <c r="F2518" s="590">
        <v>4.0000000000000001E-3</v>
      </c>
      <c r="G2518" s="63">
        <f>VLOOKUP(D2518,upahbahan,3,FALSE)</f>
        <v>108000</v>
      </c>
      <c r="H2518" s="63">
        <f t="shared" ref="H2518" si="315">F2518*G2518</f>
        <v>432</v>
      </c>
      <c r="I2518" s="44"/>
    </row>
    <row r="2519" spans="3:13" s="59" customFormat="1" ht="22.2" customHeight="1">
      <c r="C2519" s="450" t="s">
        <v>1217</v>
      </c>
      <c r="D2519" s="67"/>
      <c r="E2519" s="67"/>
      <c r="F2519" s="67"/>
      <c r="G2519" s="69"/>
      <c r="H2519" s="882">
        <f>SUM(H2518:H2518)</f>
        <v>432</v>
      </c>
      <c r="I2519" s="44"/>
    </row>
    <row r="2520" spans="3:13" s="59" customFormat="1" ht="22.2" customHeight="1">
      <c r="C2520" s="288" t="s">
        <v>1218</v>
      </c>
      <c r="D2520" s="76" t="s">
        <v>1219</v>
      </c>
      <c r="E2520" s="77"/>
      <c r="F2520" s="77"/>
      <c r="G2520" s="78"/>
      <c r="H2520" s="585">
        <f>H2519+H2516+H2513</f>
        <v>1257697</v>
      </c>
      <c r="I2520" s="369"/>
    </row>
    <row r="2521" spans="3:13" s="59" customFormat="1" ht="22.2" customHeight="1">
      <c r="C2521" s="288" t="s">
        <v>1220</v>
      </c>
      <c r="D2521" s="76" t="s">
        <v>1321</v>
      </c>
      <c r="E2521" s="77"/>
      <c r="F2521" s="78"/>
      <c r="G2521" s="80">
        <v>0.1</v>
      </c>
      <c r="H2521" s="63">
        <f>H2520*G2521</f>
        <v>125769.70000000001</v>
      </c>
      <c r="I2521" s="369"/>
    </row>
    <row r="2522" spans="3:13" s="59" customFormat="1" ht="22.2" customHeight="1">
      <c r="C2522" s="288" t="s">
        <v>1221</v>
      </c>
      <c r="D2522" s="76" t="s">
        <v>1222</v>
      </c>
      <c r="E2522" s="77"/>
      <c r="F2522" s="77"/>
      <c r="G2522" s="78"/>
      <c r="H2522" s="799">
        <f>SUM(H2520:H2521)</f>
        <v>1383466.7</v>
      </c>
      <c r="I2522" s="369"/>
    </row>
    <row r="2523" spans="3:13" ht="22.2" customHeight="1"/>
    <row r="2524" spans="3:13" ht="22.2" customHeight="1">
      <c r="C2524" s="43" t="s">
        <v>5020</v>
      </c>
      <c r="D2524" s="128" t="s">
        <v>8600</v>
      </c>
      <c r="I2524" s="50">
        <f>ROUNDDOWN(H2540,-2)</f>
        <v>3065300</v>
      </c>
    </row>
    <row r="2525" spans="3:13" s="59" customFormat="1" ht="22.2" customHeight="1">
      <c r="C2525" s="591" t="s">
        <v>1195</v>
      </c>
      <c r="D2525" s="591" t="s">
        <v>1196</v>
      </c>
      <c r="E2525" s="591" t="s">
        <v>1197</v>
      </c>
      <c r="F2525" s="591" t="s">
        <v>1198</v>
      </c>
      <c r="G2525" s="591" t="s">
        <v>1199</v>
      </c>
      <c r="H2525" s="591" t="s">
        <v>1200</v>
      </c>
      <c r="I2525" s="44"/>
    </row>
    <row r="2526" spans="3:13" s="59" customFormat="1" ht="22.2" customHeight="1">
      <c r="C2526" s="61" t="s">
        <v>1201</v>
      </c>
      <c r="D2526" s="56" t="s">
        <v>1202</v>
      </c>
      <c r="E2526" s="57"/>
      <c r="F2526" s="57"/>
      <c r="G2526" s="57"/>
      <c r="H2526" s="57"/>
      <c r="I2526" s="44"/>
      <c r="J2526" s="152" t="s">
        <v>1247</v>
      </c>
    </row>
    <row r="2527" spans="3:13" s="59" customFormat="1" ht="22.2" customHeight="1">
      <c r="C2527" s="588">
        <v>1</v>
      </c>
      <c r="D2527" s="56" t="s">
        <v>5</v>
      </c>
      <c r="E2527" s="577" t="s">
        <v>6</v>
      </c>
      <c r="F2527" s="101">
        <v>2.3660000000000001</v>
      </c>
      <c r="G2527" s="63">
        <f>VLOOKUP(D2527,upahbahan,3,FALSE)</f>
        <v>100000</v>
      </c>
      <c r="H2527" s="63">
        <f>F2527*G2527</f>
        <v>236600</v>
      </c>
      <c r="I2527" s="44"/>
      <c r="J2527" s="152" t="s">
        <v>1248</v>
      </c>
      <c r="M2527" s="65">
        <v>0.1</v>
      </c>
    </row>
    <row r="2528" spans="3:13" s="59" customFormat="1" ht="22.2" customHeight="1">
      <c r="C2528" s="588">
        <v>2</v>
      </c>
      <c r="D2528" s="56" t="s">
        <v>10</v>
      </c>
      <c r="E2528" s="577" t="s">
        <v>6</v>
      </c>
      <c r="F2528" s="101">
        <v>0.47299999999999998</v>
      </c>
      <c r="G2528" s="63">
        <f>VLOOKUP(D2528,upahbahan,3,FALSE)</f>
        <v>135000</v>
      </c>
      <c r="H2528" s="63">
        <f>F2528*G2528</f>
        <v>63855</v>
      </c>
      <c r="I2528" s="44"/>
      <c r="J2528" s="152"/>
      <c r="M2528" s="65"/>
    </row>
    <row r="2529" spans="3:10" s="59" customFormat="1" ht="22.2" customHeight="1">
      <c r="C2529" s="588">
        <v>3</v>
      </c>
      <c r="D2529" s="56" t="s">
        <v>19</v>
      </c>
      <c r="E2529" s="577" t="s">
        <v>6</v>
      </c>
      <c r="F2529" s="101">
        <v>0.23699999999999999</v>
      </c>
      <c r="G2529" s="63">
        <f>VLOOKUP(D2529,upahbahan,3,FALSE)</f>
        <v>160000</v>
      </c>
      <c r="H2529" s="63">
        <f t="shared" ref="H2529" si="316">F2529*G2529</f>
        <v>37920</v>
      </c>
      <c r="I2529" s="44"/>
    </row>
    <row r="2530" spans="3:10" s="59" customFormat="1" ht="22.2" customHeight="1">
      <c r="C2530" s="450" t="s">
        <v>1208</v>
      </c>
      <c r="D2530" s="67"/>
      <c r="E2530" s="67"/>
      <c r="F2530" s="142"/>
      <c r="G2530" s="153"/>
      <c r="H2530" s="63">
        <f>SUM(H2527:H2529)</f>
        <v>338375</v>
      </c>
      <c r="I2530" s="154"/>
    </row>
    <row r="2531" spans="3:10" s="59" customFormat="1" ht="22.2" customHeight="1">
      <c r="C2531" s="61" t="s">
        <v>1209</v>
      </c>
      <c r="D2531" s="56" t="s">
        <v>1210</v>
      </c>
      <c r="E2531" s="57"/>
      <c r="F2531" s="57"/>
      <c r="G2531" s="57"/>
      <c r="H2531" s="57"/>
      <c r="I2531" s="44"/>
    </row>
    <row r="2532" spans="3:10" s="59" customFormat="1" ht="22.2" customHeight="1">
      <c r="C2532" s="800">
        <v>1</v>
      </c>
      <c r="D2532" s="56" t="s">
        <v>8601</v>
      </c>
      <c r="E2532" s="883" t="s">
        <v>1300</v>
      </c>
      <c r="F2532" s="104">
        <v>1</v>
      </c>
      <c r="G2532" s="63">
        <f>VLOOKUP(D2532,upahbahan,3,FALSE)</f>
        <v>2305000</v>
      </c>
      <c r="H2532" s="63">
        <f>F2532*G2532</f>
        <v>2305000</v>
      </c>
      <c r="I2532" s="44"/>
    </row>
    <row r="2533" spans="3:10" s="59" customFormat="1" ht="22.2" customHeight="1">
      <c r="C2533" s="450" t="s">
        <v>1214</v>
      </c>
      <c r="D2533" s="67"/>
      <c r="E2533" s="67"/>
      <c r="F2533" s="67"/>
      <c r="G2533" s="69"/>
      <c r="H2533" s="63">
        <f>SUM(H2531:H2532)</f>
        <v>2305000</v>
      </c>
      <c r="I2533" s="44"/>
    </row>
    <row r="2534" spans="3:10" s="59" customFormat="1" ht="22.2" customHeight="1">
      <c r="C2534" s="61" t="s">
        <v>1215</v>
      </c>
      <c r="D2534" s="56" t="s">
        <v>1216</v>
      </c>
      <c r="E2534" s="93"/>
      <c r="F2534" s="57"/>
      <c r="G2534" s="57"/>
      <c r="H2534" s="57"/>
      <c r="I2534" s="44"/>
    </row>
    <row r="2535" spans="3:10" s="59" customFormat="1" ht="22.2" customHeight="1">
      <c r="C2535" s="800">
        <v>1</v>
      </c>
      <c r="D2535" s="56" t="s">
        <v>4970</v>
      </c>
      <c r="E2535" s="93" t="s">
        <v>1974</v>
      </c>
      <c r="F2535" s="884">
        <v>2.7E-2</v>
      </c>
      <c r="G2535" s="63">
        <f>VLOOKUP(D2535,upahbahan,3,FALSE)</f>
        <v>5150000</v>
      </c>
      <c r="H2535" s="63">
        <f t="shared" ref="H2535" si="317">F2535*G2535</f>
        <v>139050</v>
      </c>
      <c r="I2535" s="44"/>
    </row>
    <row r="2536" spans="3:10" s="59" customFormat="1" ht="22.2" customHeight="1">
      <c r="C2536" s="800">
        <v>1</v>
      </c>
      <c r="D2536" s="56" t="s">
        <v>4770</v>
      </c>
      <c r="E2536" s="93" t="s">
        <v>1974</v>
      </c>
      <c r="F2536" s="590">
        <v>3.9E-2</v>
      </c>
      <c r="G2536" s="63">
        <f>VLOOKUP(D2536,upahbahan,3,FALSE)</f>
        <v>108000</v>
      </c>
      <c r="H2536" s="63">
        <f t="shared" ref="H2536" si="318">F2536*G2536</f>
        <v>4212</v>
      </c>
      <c r="I2536" s="44"/>
    </row>
    <row r="2537" spans="3:10" s="59" customFormat="1" ht="22.2" customHeight="1">
      <c r="C2537" s="450" t="s">
        <v>1217</v>
      </c>
      <c r="D2537" s="67"/>
      <c r="E2537" s="67"/>
      <c r="F2537" s="67"/>
      <c r="G2537" s="69"/>
      <c r="H2537" s="882">
        <f>SUM(H2535:H2536)</f>
        <v>143262</v>
      </c>
      <c r="I2537" s="44"/>
    </row>
    <row r="2538" spans="3:10" s="59" customFormat="1" ht="22.2" customHeight="1">
      <c r="C2538" s="288" t="s">
        <v>1218</v>
      </c>
      <c r="D2538" s="76" t="s">
        <v>1219</v>
      </c>
      <c r="E2538" s="77"/>
      <c r="F2538" s="77"/>
      <c r="G2538" s="78"/>
      <c r="H2538" s="585">
        <f>H2537+H2533+H2530</f>
        <v>2786637</v>
      </c>
      <c r="I2538" s="369"/>
    </row>
    <row r="2539" spans="3:10" s="59" customFormat="1" ht="22.2" customHeight="1">
      <c r="C2539" s="288" t="s">
        <v>1220</v>
      </c>
      <c r="D2539" s="76" t="s">
        <v>1321</v>
      </c>
      <c r="E2539" s="77"/>
      <c r="F2539" s="78"/>
      <c r="G2539" s="80">
        <v>0.1</v>
      </c>
      <c r="H2539" s="63">
        <f>H2538*G2539</f>
        <v>278663.7</v>
      </c>
      <c r="I2539" s="369"/>
    </row>
    <row r="2540" spans="3:10" s="59" customFormat="1" ht="22.2" customHeight="1">
      <c r="C2540" s="288" t="s">
        <v>1221</v>
      </c>
      <c r="D2540" s="76" t="s">
        <v>1222</v>
      </c>
      <c r="E2540" s="77"/>
      <c r="F2540" s="77"/>
      <c r="G2540" s="78"/>
      <c r="H2540" s="799">
        <f>SUM(H2538:H2539)</f>
        <v>3065300.7</v>
      </c>
      <c r="I2540" s="369"/>
    </row>
    <row r="2541" spans="3:10" ht="22.2" customHeight="1"/>
    <row r="2542" spans="3:10" ht="22.2" customHeight="1">
      <c r="C2542" s="43" t="s">
        <v>5021</v>
      </c>
      <c r="D2542" s="128" t="s">
        <v>8602</v>
      </c>
      <c r="I2542" s="50">
        <f>ROUNDDOWN(H2558,-2)</f>
        <v>3294400</v>
      </c>
    </row>
    <row r="2543" spans="3:10" s="59" customFormat="1" ht="22.2" customHeight="1">
      <c r="C2543" s="591" t="s">
        <v>1195</v>
      </c>
      <c r="D2543" s="591" t="s">
        <v>1196</v>
      </c>
      <c r="E2543" s="591" t="s">
        <v>1197</v>
      </c>
      <c r="F2543" s="591" t="s">
        <v>1198</v>
      </c>
      <c r="G2543" s="591" t="s">
        <v>1199</v>
      </c>
      <c r="H2543" s="591" t="s">
        <v>1200</v>
      </c>
      <c r="I2543" s="44"/>
    </row>
    <row r="2544" spans="3:10" s="59" customFormat="1" ht="22.2" customHeight="1">
      <c r="C2544" s="61" t="s">
        <v>1201</v>
      </c>
      <c r="D2544" s="56" t="s">
        <v>1202</v>
      </c>
      <c r="E2544" s="57"/>
      <c r="F2544" s="57"/>
      <c r="G2544" s="57"/>
      <c r="H2544" s="57"/>
      <c r="I2544" s="44"/>
      <c r="J2544" s="152" t="s">
        <v>1247</v>
      </c>
    </row>
    <row r="2545" spans="3:13" s="59" customFormat="1" ht="22.2" customHeight="1">
      <c r="C2545" s="588">
        <v>1</v>
      </c>
      <c r="D2545" s="56" t="s">
        <v>5</v>
      </c>
      <c r="E2545" s="577" t="s">
        <v>6</v>
      </c>
      <c r="F2545" s="101">
        <v>2.6619999999999999</v>
      </c>
      <c r="G2545" s="63">
        <f>VLOOKUP(D2545,upahbahan,3,FALSE)</f>
        <v>100000</v>
      </c>
      <c r="H2545" s="63">
        <f>F2545*G2545</f>
        <v>266200</v>
      </c>
      <c r="I2545" s="44"/>
      <c r="J2545" s="152" t="s">
        <v>1248</v>
      </c>
      <c r="M2545" s="65">
        <v>0.1</v>
      </c>
    </row>
    <row r="2546" spans="3:13" s="59" customFormat="1" ht="22.2" customHeight="1">
      <c r="C2546" s="588">
        <v>2</v>
      </c>
      <c r="D2546" s="56" t="s">
        <v>10</v>
      </c>
      <c r="E2546" s="577" t="s">
        <v>6</v>
      </c>
      <c r="F2546" s="101">
        <v>0.53200000000000003</v>
      </c>
      <c r="G2546" s="63">
        <f>VLOOKUP(D2546,upahbahan,3,FALSE)</f>
        <v>135000</v>
      </c>
      <c r="H2546" s="63">
        <f>F2546*G2546</f>
        <v>71820</v>
      </c>
      <c r="I2546" s="44"/>
      <c r="J2546" s="152"/>
      <c r="M2546" s="65"/>
    </row>
    <row r="2547" spans="3:13" s="59" customFormat="1" ht="22.2" customHeight="1">
      <c r="C2547" s="588">
        <v>3</v>
      </c>
      <c r="D2547" s="56" t="s">
        <v>19</v>
      </c>
      <c r="E2547" s="577" t="s">
        <v>6</v>
      </c>
      <c r="F2547" s="101">
        <v>0.26700000000000002</v>
      </c>
      <c r="G2547" s="63">
        <f>VLOOKUP(D2547,upahbahan,3,FALSE)</f>
        <v>160000</v>
      </c>
      <c r="H2547" s="63">
        <f t="shared" ref="H2547" si="319">F2547*G2547</f>
        <v>42720</v>
      </c>
      <c r="I2547" s="44"/>
    </row>
    <row r="2548" spans="3:13" s="59" customFormat="1" ht="22.2" customHeight="1">
      <c r="C2548" s="450" t="s">
        <v>1208</v>
      </c>
      <c r="D2548" s="67"/>
      <c r="E2548" s="67"/>
      <c r="F2548" s="142"/>
      <c r="G2548" s="153"/>
      <c r="H2548" s="63">
        <f>SUM(H2545:H2547)</f>
        <v>380740</v>
      </c>
      <c r="I2548" s="154"/>
    </row>
    <row r="2549" spans="3:13" s="59" customFormat="1" ht="22.2" customHeight="1">
      <c r="C2549" s="61" t="s">
        <v>1209</v>
      </c>
      <c r="D2549" s="56" t="s">
        <v>1210</v>
      </c>
      <c r="E2549" s="57"/>
      <c r="F2549" s="57"/>
      <c r="G2549" s="57"/>
      <c r="H2549" s="57"/>
      <c r="I2549" s="44"/>
    </row>
    <row r="2550" spans="3:13" s="59" customFormat="1" ht="22.2" customHeight="1">
      <c r="C2550" s="800">
        <v>1</v>
      </c>
      <c r="D2550" s="56" t="s">
        <v>8603</v>
      </c>
      <c r="E2550" s="883" t="s">
        <v>1300</v>
      </c>
      <c r="F2550" s="104">
        <v>1</v>
      </c>
      <c r="G2550" s="63">
        <f>VLOOKUP(D2550,upahbahan,3,FALSE)</f>
        <v>2455000</v>
      </c>
      <c r="H2550" s="63">
        <f>F2550*G2550</f>
        <v>2455000</v>
      </c>
      <c r="I2550" s="44"/>
    </row>
    <row r="2551" spans="3:13" s="59" customFormat="1" ht="22.2" customHeight="1">
      <c r="C2551" s="450" t="s">
        <v>1214</v>
      </c>
      <c r="D2551" s="67"/>
      <c r="E2551" s="67"/>
      <c r="F2551" s="67"/>
      <c r="G2551" s="69"/>
      <c r="H2551" s="63">
        <f>SUM(H2549:H2550)</f>
        <v>2455000</v>
      </c>
      <c r="I2551" s="44"/>
    </row>
    <row r="2552" spans="3:13" s="59" customFormat="1" ht="22.2" customHeight="1">
      <c r="C2552" s="61" t="s">
        <v>1215</v>
      </c>
      <c r="D2552" s="56" t="s">
        <v>1216</v>
      </c>
      <c r="E2552" s="93"/>
      <c r="F2552" s="57"/>
      <c r="G2552" s="57"/>
      <c r="H2552" s="57"/>
      <c r="I2552" s="44"/>
    </row>
    <row r="2553" spans="3:13" s="59" customFormat="1" ht="22.2" customHeight="1">
      <c r="C2553" s="800">
        <v>1</v>
      </c>
      <c r="D2553" s="56" t="s">
        <v>4970</v>
      </c>
      <c r="E2553" s="93" t="s">
        <v>1974</v>
      </c>
      <c r="F2553" s="884">
        <v>0.03</v>
      </c>
      <c r="G2553" s="63">
        <f>VLOOKUP(D2553,upahbahan,3,FALSE)</f>
        <v>5150000</v>
      </c>
      <c r="H2553" s="63">
        <f t="shared" ref="H2553:H2554" si="320">F2553*G2553</f>
        <v>154500</v>
      </c>
      <c r="I2553" s="44"/>
    </row>
    <row r="2554" spans="3:13" s="59" customFormat="1" ht="22.2" customHeight="1">
      <c r="C2554" s="800">
        <v>2</v>
      </c>
      <c r="D2554" s="56" t="s">
        <v>4770</v>
      </c>
      <c r="E2554" s="93" t="s">
        <v>1974</v>
      </c>
      <c r="F2554" s="590">
        <v>4.3999999999999997E-2</v>
      </c>
      <c r="G2554" s="63">
        <f>VLOOKUP(D2554,upahbahan,3,FALSE)</f>
        <v>108000</v>
      </c>
      <c r="H2554" s="63">
        <f t="shared" si="320"/>
        <v>4752</v>
      </c>
      <c r="I2554" s="44"/>
    </row>
    <row r="2555" spans="3:13" s="59" customFormat="1" ht="22.2" customHeight="1">
      <c r="C2555" s="450" t="s">
        <v>1217</v>
      </c>
      <c r="D2555" s="67"/>
      <c r="E2555" s="67"/>
      <c r="F2555" s="67"/>
      <c r="G2555" s="69"/>
      <c r="H2555" s="882">
        <f>SUM(H2553:H2554)</f>
        <v>159252</v>
      </c>
      <c r="I2555" s="44"/>
    </row>
    <row r="2556" spans="3:13" s="59" customFormat="1" ht="22.2" customHeight="1">
      <c r="C2556" s="288" t="s">
        <v>1218</v>
      </c>
      <c r="D2556" s="76" t="s">
        <v>1219</v>
      </c>
      <c r="E2556" s="77"/>
      <c r="F2556" s="77"/>
      <c r="G2556" s="78"/>
      <c r="H2556" s="585">
        <f>H2555+H2551+H2548</f>
        <v>2994992</v>
      </c>
      <c r="I2556" s="369"/>
    </row>
    <row r="2557" spans="3:13" s="59" customFormat="1" ht="22.2" customHeight="1">
      <c r="C2557" s="288" t="s">
        <v>1220</v>
      </c>
      <c r="D2557" s="76" t="s">
        <v>1321</v>
      </c>
      <c r="E2557" s="77"/>
      <c r="F2557" s="78"/>
      <c r="G2557" s="80">
        <v>0.1</v>
      </c>
      <c r="H2557" s="63">
        <f>H2556*G2557</f>
        <v>299499.2</v>
      </c>
      <c r="I2557" s="369"/>
    </row>
    <row r="2558" spans="3:13" s="59" customFormat="1" ht="22.2" customHeight="1">
      <c r="C2558" s="288" t="s">
        <v>1221</v>
      </c>
      <c r="D2558" s="76" t="s">
        <v>1222</v>
      </c>
      <c r="E2558" s="77"/>
      <c r="F2558" s="77"/>
      <c r="G2558" s="78"/>
      <c r="H2558" s="799">
        <f>SUM(H2556:H2557)</f>
        <v>3294491.2</v>
      </c>
      <c r="I2558" s="369"/>
    </row>
    <row r="2559" spans="3:13" ht="22.2" customHeight="1"/>
    <row r="2560" spans="3:13" ht="22.2" customHeight="1">
      <c r="C2560" s="43" t="s">
        <v>5022</v>
      </c>
      <c r="D2560" s="128" t="s">
        <v>8604</v>
      </c>
      <c r="I2560" s="50">
        <f>ROUNDDOWN(H2576,-2)</f>
        <v>3485100</v>
      </c>
    </row>
    <row r="2561" spans="3:13" s="59" customFormat="1" ht="22.2" customHeight="1">
      <c r="C2561" s="591" t="s">
        <v>1195</v>
      </c>
      <c r="D2561" s="591" t="s">
        <v>1196</v>
      </c>
      <c r="E2561" s="591" t="s">
        <v>1197</v>
      </c>
      <c r="F2561" s="591" t="s">
        <v>1198</v>
      </c>
      <c r="G2561" s="591" t="s">
        <v>1199</v>
      </c>
      <c r="H2561" s="591" t="s">
        <v>1200</v>
      </c>
      <c r="I2561" s="44"/>
    </row>
    <row r="2562" spans="3:13" s="59" customFormat="1" ht="22.2" customHeight="1">
      <c r="C2562" s="61" t="s">
        <v>1201</v>
      </c>
      <c r="D2562" s="56" t="s">
        <v>1202</v>
      </c>
      <c r="E2562" s="57"/>
      <c r="F2562" s="57"/>
      <c r="G2562" s="57"/>
      <c r="H2562" s="57"/>
      <c r="I2562" s="44"/>
      <c r="J2562" s="152" t="s">
        <v>1247</v>
      </c>
    </row>
    <row r="2563" spans="3:13" s="59" customFormat="1" ht="22.2" customHeight="1">
      <c r="C2563" s="588">
        <v>1</v>
      </c>
      <c r="D2563" s="56" t="s">
        <v>5</v>
      </c>
      <c r="E2563" s="577" t="s">
        <v>6</v>
      </c>
      <c r="F2563" s="101">
        <v>2.9580000000000002</v>
      </c>
      <c r="G2563" s="63">
        <f>VLOOKUP(D2563,upahbahan,3,FALSE)</f>
        <v>100000</v>
      </c>
      <c r="H2563" s="63">
        <f>F2563*G2563</f>
        <v>295800</v>
      </c>
      <c r="I2563" s="44"/>
      <c r="J2563" s="152" t="s">
        <v>1248</v>
      </c>
      <c r="M2563" s="65">
        <v>0.1</v>
      </c>
    </row>
    <row r="2564" spans="3:13" s="59" customFormat="1" ht="22.2" customHeight="1">
      <c r="C2564" s="588">
        <v>2</v>
      </c>
      <c r="D2564" s="56" t="s">
        <v>10</v>
      </c>
      <c r="E2564" s="577" t="s">
        <v>6</v>
      </c>
      <c r="F2564" s="101">
        <v>0.59099999999999997</v>
      </c>
      <c r="G2564" s="63">
        <f>VLOOKUP(D2564,upahbahan,3,FALSE)</f>
        <v>135000</v>
      </c>
      <c r="H2564" s="63">
        <f>F2564*G2564</f>
        <v>79785</v>
      </c>
      <c r="I2564" s="44"/>
      <c r="J2564" s="152"/>
      <c r="M2564" s="65"/>
    </row>
    <row r="2565" spans="3:13" s="59" customFormat="1" ht="22.2" customHeight="1">
      <c r="C2565" s="588">
        <v>3</v>
      </c>
      <c r="D2565" s="56" t="s">
        <v>19</v>
      </c>
      <c r="E2565" s="577" t="s">
        <v>6</v>
      </c>
      <c r="F2565" s="101">
        <v>0.29599999999999999</v>
      </c>
      <c r="G2565" s="63">
        <f>VLOOKUP(D2565,upahbahan,3,FALSE)</f>
        <v>160000</v>
      </c>
      <c r="H2565" s="63">
        <f t="shared" ref="H2565" si="321">F2565*G2565</f>
        <v>47360</v>
      </c>
      <c r="I2565" s="44"/>
    </row>
    <row r="2566" spans="3:13" s="59" customFormat="1" ht="22.2" customHeight="1">
      <c r="C2566" s="450" t="s">
        <v>1208</v>
      </c>
      <c r="D2566" s="67"/>
      <c r="E2566" s="67"/>
      <c r="F2566" s="142"/>
      <c r="G2566" s="153"/>
      <c r="H2566" s="63">
        <f>SUM(H2563:H2565)</f>
        <v>422945</v>
      </c>
      <c r="I2566" s="154"/>
    </row>
    <row r="2567" spans="3:13" s="59" customFormat="1" ht="22.2" customHeight="1">
      <c r="C2567" s="61" t="s">
        <v>1209</v>
      </c>
      <c r="D2567" s="56" t="s">
        <v>1210</v>
      </c>
      <c r="E2567" s="57"/>
      <c r="F2567" s="57"/>
      <c r="G2567" s="57"/>
      <c r="H2567" s="57"/>
      <c r="I2567" s="44"/>
    </row>
    <row r="2568" spans="3:13" s="59" customFormat="1" ht="22.2" customHeight="1">
      <c r="C2568" s="800">
        <v>1</v>
      </c>
      <c r="D2568" s="56" t="s">
        <v>8605</v>
      </c>
      <c r="E2568" s="883" t="s">
        <v>1300</v>
      </c>
      <c r="F2568" s="104">
        <v>1</v>
      </c>
      <c r="G2568" s="63">
        <f>VLOOKUP(D2568,upahbahan,3,FALSE)</f>
        <v>2565000</v>
      </c>
      <c r="H2568" s="63">
        <f>F2568*G2568</f>
        <v>2565000</v>
      </c>
      <c r="I2568" s="44"/>
    </row>
    <row r="2569" spans="3:13" s="59" customFormat="1" ht="22.2" customHeight="1">
      <c r="C2569" s="450" t="s">
        <v>1214</v>
      </c>
      <c r="D2569" s="67"/>
      <c r="E2569" s="67"/>
      <c r="F2569" s="67"/>
      <c r="G2569" s="69"/>
      <c r="H2569" s="63">
        <f>SUM(H2567:H2568)</f>
        <v>2565000</v>
      </c>
      <c r="I2569" s="44"/>
    </row>
    <row r="2570" spans="3:13" s="59" customFormat="1" ht="22.2" customHeight="1">
      <c r="C2570" s="61" t="s">
        <v>1215</v>
      </c>
      <c r="D2570" s="56" t="s">
        <v>1216</v>
      </c>
      <c r="E2570" s="93"/>
      <c r="F2570" s="57"/>
      <c r="G2570" s="57"/>
      <c r="H2570" s="57"/>
      <c r="I2570" s="44"/>
    </row>
    <row r="2571" spans="3:13" s="59" customFormat="1" ht="22.2" customHeight="1">
      <c r="C2571" s="800">
        <v>1</v>
      </c>
      <c r="D2571" s="56" t="s">
        <v>4970</v>
      </c>
      <c r="E2571" s="93" t="s">
        <v>1974</v>
      </c>
      <c r="F2571" s="884">
        <v>3.4000000000000002E-2</v>
      </c>
      <c r="G2571" s="63">
        <f>VLOOKUP(D2571,upahbahan,3,FALSE)</f>
        <v>5150000</v>
      </c>
      <c r="H2571" s="63">
        <f t="shared" ref="H2571:H2572" si="322">F2571*G2571</f>
        <v>175100</v>
      </c>
      <c r="I2571" s="44"/>
    </row>
    <row r="2572" spans="3:13" s="59" customFormat="1" ht="22.2" customHeight="1">
      <c r="C2572" s="800">
        <v>2</v>
      </c>
      <c r="D2572" s="56" t="s">
        <v>4770</v>
      </c>
      <c r="E2572" s="93" t="s">
        <v>1974</v>
      </c>
      <c r="F2572" s="590">
        <v>4.9000000000000002E-2</v>
      </c>
      <c r="G2572" s="63">
        <f>VLOOKUP(D2572,upahbahan,3,FALSE)</f>
        <v>108000</v>
      </c>
      <c r="H2572" s="63">
        <f t="shared" si="322"/>
        <v>5292</v>
      </c>
      <c r="I2572" s="44"/>
    </row>
    <row r="2573" spans="3:13" s="59" customFormat="1" ht="22.2" customHeight="1">
      <c r="C2573" s="450" t="s">
        <v>1217</v>
      </c>
      <c r="D2573" s="67"/>
      <c r="E2573" s="67"/>
      <c r="F2573" s="67"/>
      <c r="G2573" s="69"/>
      <c r="H2573" s="882">
        <f>SUM(H2571:H2572)</f>
        <v>180392</v>
      </c>
      <c r="I2573" s="44"/>
    </row>
    <row r="2574" spans="3:13" s="59" customFormat="1" ht="22.2" customHeight="1">
      <c r="C2574" s="288" t="s">
        <v>1218</v>
      </c>
      <c r="D2574" s="76" t="s">
        <v>1219</v>
      </c>
      <c r="E2574" s="77"/>
      <c r="F2574" s="77"/>
      <c r="G2574" s="78"/>
      <c r="H2574" s="585">
        <f>H2573+H2569+H2566</f>
        <v>3168337</v>
      </c>
      <c r="I2574" s="369"/>
    </row>
    <row r="2575" spans="3:13" s="59" customFormat="1" ht="22.2" customHeight="1">
      <c r="C2575" s="288" t="s">
        <v>1220</v>
      </c>
      <c r="D2575" s="76" t="s">
        <v>1321</v>
      </c>
      <c r="E2575" s="77"/>
      <c r="F2575" s="78"/>
      <c r="G2575" s="80">
        <v>0.1</v>
      </c>
      <c r="H2575" s="63">
        <f>H2574*G2575</f>
        <v>316833.7</v>
      </c>
      <c r="I2575" s="369"/>
    </row>
    <row r="2576" spans="3:13" s="59" customFormat="1" ht="22.2" customHeight="1">
      <c r="C2576" s="288" t="s">
        <v>1221</v>
      </c>
      <c r="D2576" s="76" t="s">
        <v>1222</v>
      </c>
      <c r="E2576" s="77"/>
      <c r="F2576" s="77"/>
      <c r="G2576" s="78"/>
      <c r="H2576" s="799">
        <f>SUM(H2574:H2575)</f>
        <v>3485170.7</v>
      </c>
      <c r="I2576" s="369"/>
    </row>
    <row r="2577" spans="3:13" ht="22.2" customHeight="1"/>
    <row r="2578" spans="3:13" ht="22.2" customHeight="1">
      <c r="C2578" s="43" t="s">
        <v>5023</v>
      </c>
      <c r="D2578" s="128" t="s">
        <v>8606</v>
      </c>
      <c r="I2578" s="50">
        <f>ROUNDDOWN(H2594,-2)</f>
        <v>3718200</v>
      </c>
    </row>
    <row r="2579" spans="3:13" s="59" customFormat="1" ht="22.2" customHeight="1">
      <c r="C2579" s="591" t="s">
        <v>1195</v>
      </c>
      <c r="D2579" s="591" t="s">
        <v>1196</v>
      </c>
      <c r="E2579" s="591" t="s">
        <v>1197</v>
      </c>
      <c r="F2579" s="591" t="s">
        <v>1198</v>
      </c>
      <c r="G2579" s="591" t="s">
        <v>1199</v>
      </c>
      <c r="H2579" s="591" t="s">
        <v>1200</v>
      </c>
      <c r="I2579" s="44"/>
    </row>
    <row r="2580" spans="3:13" s="59" customFormat="1" ht="22.2" customHeight="1">
      <c r="C2580" s="61" t="s">
        <v>1201</v>
      </c>
      <c r="D2580" s="56" t="s">
        <v>1202</v>
      </c>
      <c r="E2580" s="57"/>
      <c r="F2580" s="57"/>
      <c r="G2580" s="57"/>
      <c r="H2580" s="57"/>
      <c r="I2580" s="44"/>
      <c r="J2580" s="152" t="s">
        <v>1247</v>
      </c>
    </row>
    <row r="2581" spans="3:13" s="59" customFormat="1" ht="22.2" customHeight="1">
      <c r="C2581" s="588">
        <v>1</v>
      </c>
      <c r="D2581" s="56" t="s">
        <v>5</v>
      </c>
      <c r="E2581" s="577" t="s">
        <v>6</v>
      </c>
      <c r="F2581" s="101">
        <v>3.5489999999999999</v>
      </c>
      <c r="G2581" s="63">
        <f>VLOOKUP(D2581,upahbahan,3,FALSE)</f>
        <v>100000</v>
      </c>
      <c r="H2581" s="63">
        <f>F2581*G2581</f>
        <v>354900</v>
      </c>
      <c r="I2581" s="44"/>
      <c r="J2581" s="152" t="s">
        <v>1248</v>
      </c>
      <c r="M2581" s="65">
        <v>0.1</v>
      </c>
    </row>
    <row r="2582" spans="3:13" s="59" customFormat="1" ht="22.2" customHeight="1">
      <c r="C2582" s="588">
        <v>2</v>
      </c>
      <c r="D2582" s="56" t="s">
        <v>10</v>
      </c>
      <c r="E2582" s="577" t="s">
        <v>6</v>
      </c>
      <c r="F2582" s="101">
        <v>0.71</v>
      </c>
      <c r="G2582" s="63">
        <f>VLOOKUP(D2582,upahbahan,3,FALSE)</f>
        <v>135000</v>
      </c>
      <c r="H2582" s="63">
        <f>F2582*G2582</f>
        <v>95850</v>
      </c>
      <c r="I2582" s="44"/>
      <c r="J2582" s="152"/>
      <c r="M2582" s="65"/>
    </row>
    <row r="2583" spans="3:13" s="59" customFormat="1" ht="22.2" customHeight="1">
      <c r="C2583" s="588">
        <v>3</v>
      </c>
      <c r="D2583" s="56" t="s">
        <v>19</v>
      </c>
      <c r="E2583" s="577" t="s">
        <v>6</v>
      </c>
      <c r="F2583" s="101">
        <v>0.35599999999999998</v>
      </c>
      <c r="G2583" s="63">
        <f>VLOOKUP(D2583,upahbahan,3,FALSE)</f>
        <v>160000</v>
      </c>
      <c r="H2583" s="63">
        <f t="shared" ref="H2583" si="323">F2583*G2583</f>
        <v>56960</v>
      </c>
      <c r="I2583" s="44"/>
    </row>
    <row r="2584" spans="3:13" s="59" customFormat="1" ht="22.2" customHeight="1">
      <c r="C2584" s="450" t="s">
        <v>1208</v>
      </c>
      <c r="D2584" s="67"/>
      <c r="E2584" s="67"/>
      <c r="F2584" s="142"/>
      <c r="G2584" s="153"/>
      <c r="H2584" s="63">
        <f>SUM(H2581:H2583)</f>
        <v>507710</v>
      </c>
      <c r="I2584" s="154"/>
    </row>
    <row r="2585" spans="3:13" s="59" customFormat="1" ht="22.2" customHeight="1">
      <c r="C2585" s="61" t="s">
        <v>1209</v>
      </c>
      <c r="D2585" s="56" t="s">
        <v>1210</v>
      </c>
      <c r="E2585" s="57"/>
      <c r="F2585" s="57"/>
      <c r="G2585" s="57"/>
      <c r="H2585" s="57"/>
      <c r="I2585" s="44"/>
    </row>
    <row r="2586" spans="3:13" s="59" customFormat="1" ht="22.2" customHeight="1">
      <c r="C2586" s="800">
        <v>1</v>
      </c>
      <c r="D2586" s="56" t="s">
        <v>8607</v>
      </c>
      <c r="E2586" s="883" t="s">
        <v>1300</v>
      </c>
      <c r="F2586" s="104">
        <v>1</v>
      </c>
      <c r="G2586" s="63">
        <f>VLOOKUP(D2586,upahbahan,3,FALSE)</f>
        <v>2655000</v>
      </c>
      <c r="H2586" s="63">
        <f>F2586*G2586</f>
        <v>2655000</v>
      </c>
      <c r="I2586" s="44"/>
    </row>
    <row r="2587" spans="3:13" s="59" customFormat="1" ht="22.2" customHeight="1">
      <c r="C2587" s="450" t="s">
        <v>1214</v>
      </c>
      <c r="D2587" s="67"/>
      <c r="E2587" s="67"/>
      <c r="F2587" s="67"/>
      <c r="G2587" s="69"/>
      <c r="H2587" s="63">
        <f>SUM(H2585:H2586)</f>
        <v>2655000</v>
      </c>
      <c r="I2587" s="44"/>
    </row>
    <row r="2588" spans="3:13" s="59" customFormat="1" ht="22.2" customHeight="1">
      <c r="C2588" s="61" t="s">
        <v>1215</v>
      </c>
      <c r="D2588" s="56" t="s">
        <v>1216</v>
      </c>
      <c r="E2588" s="93"/>
      <c r="F2588" s="57"/>
      <c r="G2588" s="57"/>
      <c r="H2588" s="57"/>
      <c r="I2588" s="44"/>
    </row>
    <row r="2589" spans="3:13" s="59" customFormat="1" ht="22.2" customHeight="1">
      <c r="C2589" s="800">
        <v>1</v>
      </c>
      <c r="D2589" s="56" t="s">
        <v>4970</v>
      </c>
      <c r="E2589" s="93" t="s">
        <v>1974</v>
      </c>
      <c r="F2589" s="884">
        <v>4.1000000000000002E-2</v>
      </c>
      <c r="G2589" s="63">
        <f>VLOOKUP(D2589,upahbahan,3,FALSE)</f>
        <v>5150000</v>
      </c>
      <c r="H2589" s="63">
        <f t="shared" ref="H2589:H2590" si="324">F2589*G2589</f>
        <v>211150</v>
      </c>
      <c r="I2589" s="44"/>
    </row>
    <row r="2590" spans="3:13" s="59" customFormat="1" ht="22.2" customHeight="1">
      <c r="C2590" s="800">
        <v>2</v>
      </c>
      <c r="D2590" s="56" t="s">
        <v>4770</v>
      </c>
      <c r="E2590" s="93" t="s">
        <v>1974</v>
      </c>
      <c r="F2590" s="590">
        <v>5.8999999999999997E-2</v>
      </c>
      <c r="G2590" s="63">
        <f>VLOOKUP(D2590,upahbahan,3,FALSE)</f>
        <v>108000</v>
      </c>
      <c r="H2590" s="63">
        <f t="shared" si="324"/>
        <v>6372</v>
      </c>
      <c r="I2590" s="44"/>
    </row>
    <row r="2591" spans="3:13" s="59" customFormat="1" ht="22.2" customHeight="1">
      <c r="C2591" s="450" t="s">
        <v>1217</v>
      </c>
      <c r="D2591" s="67"/>
      <c r="E2591" s="67"/>
      <c r="F2591" s="67"/>
      <c r="G2591" s="69"/>
      <c r="H2591" s="882">
        <f>SUM(H2589:H2590)</f>
        <v>217522</v>
      </c>
      <c r="I2591" s="44"/>
    </row>
    <row r="2592" spans="3:13" s="59" customFormat="1" ht="22.2" customHeight="1">
      <c r="C2592" s="288" t="s">
        <v>1218</v>
      </c>
      <c r="D2592" s="76" t="s">
        <v>1219</v>
      </c>
      <c r="E2592" s="77"/>
      <c r="F2592" s="77"/>
      <c r="G2592" s="78"/>
      <c r="H2592" s="585">
        <f>H2591+H2587+H2584</f>
        <v>3380232</v>
      </c>
      <c r="I2592" s="369"/>
    </row>
    <row r="2593" spans="3:13" s="59" customFormat="1" ht="22.2" customHeight="1">
      <c r="C2593" s="288" t="s">
        <v>1220</v>
      </c>
      <c r="D2593" s="76" t="s">
        <v>1321</v>
      </c>
      <c r="E2593" s="77"/>
      <c r="F2593" s="78"/>
      <c r="G2593" s="80">
        <v>0.1</v>
      </c>
      <c r="H2593" s="63">
        <f>H2592*G2593</f>
        <v>338023.2</v>
      </c>
      <c r="I2593" s="369"/>
    </row>
    <row r="2594" spans="3:13" s="59" customFormat="1" ht="22.2" customHeight="1">
      <c r="C2594" s="288" t="s">
        <v>1221</v>
      </c>
      <c r="D2594" s="76" t="s">
        <v>1222</v>
      </c>
      <c r="E2594" s="77"/>
      <c r="F2594" s="77"/>
      <c r="G2594" s="78"/>
      <c r="H2594" s="799">
        <f>SUM(H2592:H2593)</f>
        <v>3718255.2</v>
      </c>
      <c r="I2594" s="369"/>
    </row>
    <row r="2595" spans="3:13" ht="22.2" customHeight="1"/>
    <row r="2596" spans="3:13" ht="22.2" customHeight="1">
      <c r="C2596" s="43" t="s">
        <v>5024</v>
      </c>
      <c r="D2596" s="128" t="s">
        <v>8608</v>
      </c>
      <c r="I2596" s="50">
        <f>ROUNDDOWN(H2612,-2)</f>
        <v>3959700</v>
      </c>
    </row>
    <row r="2597" spans="3:13" s="59" customFormat="1" ht="22.2" customHeight="1">
      <c r="C2597" s="591" t="s">
        <v>1195</v>
      </c>
      <c r="D2597" s="591" t="s">
        <v>1196</v>
      </c>
      <c r="E2597" s="591" t="s">
        <v>1197</v>
      </c>
      <c r="F2597" s="591" t="s">
        <v>1198</v>
      </c>
      <c r="G2597" s="591" t="s">
        <v>1199</v>
      </c>
      <c r="H2597" s="591" t="s">
        <v>1200</v>
      </c>
      <c r="I2597" s="44"/>
    </row>
    <row r="2598" spans="3:13" s="59" customFormat="1" ht="22.2" customHeight="1">
      <c r="C2598" s="61" t="s">
        <v>1201</v>
      </c>
      <c r="D2598" s="56" t="s">
        <v>1202</v>
      </c>
      <c r="E2598" s="57"/>
      <c r="F2598" s="57"/>
      <c r="G2598" s="57"/>
      <c r="H2598" s="57"/>
      <c r="I2598" s="44"/>
      <c r="J2598" s="152" t="s">
        <v>1247</v>
      </c>
    </row>
    <row r="2599" spans="3:13" s="59" customFormat="1" ht="22.2" customHeight="1">
      <c r="C2599" s="588">
        <v>1</v>
      </c>
      <c r="D2599" s="56" t="s">
        <v>5</v>
      </c>
      <c r="E2599" s="577" t="s">
        <v>6</v>
      </c>
      <c r="F2599" s="101">
        <v>3.8969999999999998</v>
      </c>
      <c r="G2599" s="63">
        <f>VLOOKUP(D2599,upahbahan,3,FALSE)</f>
        <v>100000</v>
      </c>
      <c r="H2599" s="63">
        <f>F2599*G2599</f>
        <v>389700</v>
      </c>
      <c r="I2599" s="44"/>
      <c r="J2599" s="152" t="s">
        <v>1248</v>
      </c>
      <c r="M2599" s="65">
        <v>0.1</v>
      </c>
    </row>
    <row r="2600" spans="3:13" s="59" customFormat="1" ht="22.2" customHeight="1">
      <c r="C2600" s="588">
        <v>2</v>
      </c>
      <c r="D2600" s="56" t="s">
        <v>10</v>
      </c>
      <c r="E2600" s="577" t="s">
        <v>6</v>
      </c>
      <c r="F2600" s="101">
        <v>0.77900000000000003</v>
      </c>
      <c r="G2600" s="63">
        <f>VLOOKUP(D2600,upahbahan,3,FALSE)</f>
        <v>135000</v>
      </c>
      <c r="H2600" s="63">
        <f>F2600*G2600</f>
        <v>105165</v>
      </c>
      <c r="I2600" s="44"/>
      <c r="J2600" s="152"/>
      <c r="M2600" s="65"/>
    </row>
    <row r="2601" spans="3:13" s="59" customFormat="1" ht="22.2" customHeight="1">
      <c r="C2601" s="588">
        <v>3</v>
      </c>
      <c r="D2601" s="56" t="s">
        <v>19</v>
      </c>
      <c r="E2601" s="577" t="s">
        <v>6</v>
      </c>
      <c r="F2601" s="101">
        <v>0.39</v>
      </c>
      <c r="G2601" s="63">
        <f>VLOOKUP(D2601,upahbahan,3,FALSE)</f>
        <v>160000</v>
      </c>
      <c r="H2601" s="63">
        <f t="shared" ref="H2601" si="325">F2601*G2601</f>
        <v>62400</v>
      </c>
      <c r="I2601" s="44"/>
    </row>
    <row r="2602" spans="3:13" s="59" customFormat="1" ht="22.2" customHeight="1">
      <c r="C2602" s="450" t="s">
        <v>1208</v>
      </c>
      <c r="D2602" s="67"/>
      <c r="E2602" s="67"/>
      <c r="F2602" s="142"/>
      <c r="G2602" s="153"/>
      <c r="H2602" s="63">
        <f>SUM(H2599:H2601)</f>
        <v>557265</v>
      </c>
      <c r="I2602" s="154"/>
    </row>
    <row r="2603" spans="3:13" s="59" customFormat="1" ht="22.2" customHeight="1">
      <c r="C2603" s="61" t="s">
        <v>1209</v>
      </c>
      <c r="D2603" s="56" t="s">
        <v>1210</v>
      </c>
      <c r="E2603" s="57"/>
      <c r="F2603" s="57"/>
      <c r="G2603" s="57"/>
      <c r="H2603" s="57"/>
      <c r="I2603" s="44"/>
    </row>
    <row r="2604" spans="3:13" s="59" customFormat="1" ht="22.2" customHeight="1">
      <c r="C2604" s="800">
        <v>1</v>
      </c>
      <c r="D2604" s="56" t="s">
        <v>8609</v>
      </c>
      <c r="E2604" s="883" t="s">
        <v>1300</v>
      </c>
      <c r="F2604" s="104">
        <v>1</v>
      </c>
      <c r="G2604" s="63">
        <f>VLOOKUP(D2604,upahbahan,3,FALSE)</f>
        <v>2795000</v>
      </c>
      <c r="H2604" s="63">
        <f>F2604*G2604</f>
        <v>2795000</v>
      </c>
      <c r="I2604" s="44"/>
    </row>
    <row r="2605" spans="3:13" s="59" customFormat="1" ht="22.2" customHeight="1">
      <c r="C2605" s="450" t="s">
        <v>1214</v>
      </c>
      <c r="D2605" s="67"/>
      <c r="E2605" s="67"/>
      <c r="F2605" s="67"/>
      <c r="G2605" s="69"/>
      <c r="H2605" s="63">
        <f>SUM(H2603:H2604)</f>
        <v>2795000</v>
      </c>
      <c r="I2605" s="44"/>
    </row>
    <row r="2606" spans="3:13" s="59" customFormat="1" ht="22.2" customHeight="1">
      <c r="C2606" s="61" t="s">
        <v>1215</v>
      </c>
      <c r="D2606" s="56" t="s">
        <v>1216</v>
      </c>
      <c r="E2606" s="93"/>
      <c r="F2606" s="57"/>
      <c r="G2606" s="57"/>
      <c r="H2606" s="57"/>
      <c r="I2606" s="44"/>
    </row>
    <row r="2607" spans="3:13" s="59" customFormat="1" ht="22.2" customHeight="1">
      <c r="C2607" s="800">
        <v>1</v>
      </c>
      <c r="D2607" s="56" t="s">
        <v>4970</v>
      </c>
      <c r="E2607" s="93" t="s">
        <v>1974</v>
      </c>
      <c r="F2607" s="884">
        <v>4.5999999999999999E-2</v>
      </c>
      <c r="G2607" s="63">
        <f>VLOOKUP(D2607,upahbahan,3,FALSE)</f>
        <v>5150000</v>
      </c>
      <c r="H2607" s="63">
        <f t="shared" ref="H2607:H2608" si="326">F2607*G2607</f>
        <v>236900</v>
      </c>
      <c r="I2607" s="44"/>
    </row>
    <row r="2608" spans="3:13" s="59" customFormat="1" ht="22.2" customHeight="1">
      <c r="C2608" s="800">
        <v>2</v>
      </c>
      <c r="D2608" s="56" t="s">
        <v>4770</v>
      </c>
      <c r="E2608" s="93" t="s">
        <v>1974</v>
      </c>
      <c r="F2608" s="590">
        <v>9.8000000000000004E-2</v>
      </c>
      <c r="G2608" s="63">
        <f>VLOOKUP(D2608,upahbahan,3,FALSE)</f>
        <v>108000</v>
      </c>
      <c r="H2608" s="63">
        <f t="shared" si="326"/>
        <v>10584</v>
      </c>
      <c r="I2608" s="44"/>
    </row>
    <row r="2609" spans="3:13" s="59" customFormat="1" ht="22.2" customHeight="1">
      <c r="C2609" s="450" t="s">
        <v>1217</v>
      </c>
      <c r="D2609" s="67"/>
      <c r="E2609" s="67"/>
      <c r="F2609" s="67"/>
      <c r="G2609" s="69"/>
      <c r="H2609" s="882">
        <f>SUM(H2607:H2608)</f>
        <v>247484</v>
      </c>
      <c r="I2609" s="44"/>
    </row>
    <row r="2610" spans="3:13" s="59" customFormat="1" ht="22.2" customHeight="1">
      <c r="C2610" s="288" t="s">
        <v>1218</v>
      </c>
      <c r="D2610" s="76" t="s">
        <v>1219</v>
      </c>
      <c r="E2610" s="77"/>
      <c r="F2610" s="77"/>
      <c r="G2610" s="78"/>
      <c r="H2610" s="585">
        <f>H2609+H2605+H2602</f>
        <v>3599749</v>
      </c>
      <c r="I2610" s="369"/>
    </row>
    <row r="2611" spans="3:13" s="59" customFormat="1" ht="22.2" customHeight="1">
      <c r="C2611" s="288" t="s">
        <v>1220</v>
      </c>
      <c r="D2611" s="76" t="s">
        <v>1321</v>
      </c>
      <c r="E2611" s="77"/>
      <c r="F2611" s="78"/>
      <c r="G2611" s="80">
        <v>0.1</v>
      </c>
      <c r="H2611" s="63">
        <f>H2610*G2611</f>
        <v>359974.9</v>
      </c>
      <c r="I2611" s="369"/>
    </row>
    <row r="2612" spans="3:13" s="59" customFormat="1" ht="22.2" customHeight="1">
      <c r="C2612" s="288" t="s">
        <v>1221</v>
      </c>
      <c r="D2612" s="76" t="s">
        <v>1222</v>
      </c>
      <c r="E2612" s="77"/>
      <c r="F2612" s="77"/>
      <c r="G2612" s="78"/>
      <c r="H2612" s="799">
        <f>SUM(H2610:H2611)</f>
        <v>3959723.9</v>
      </c>
      <c r="I2612" s="369"/>
    </row>
    <row r="2613" spans="3:13" ht="22.2" customHeight="1"/>
    <row r="2614" spans="3:13" ht="22.2" customHeight="1">
      <c r="C2614" s="43" t="s">
        <v>5025</v>
      </c>
      <c r="D2614" s="128" t="s">
        <v>8610</v>
      </c>
      <c r="I2614" s="50">
        <f>ROUNDDOWN(H2630,-2)</f>
        <v>4132500</v>
      </c>
    </row>
    <row r="2615" spans="3:13" s="59" customFormat="1" ht="22.2" customHeight="1">
      <c r="C2615" s="591" t="s">
        <v>1195</v>
      </c>
      <c r="D2615" s="591" t="s">
        <v>1196</v>
      </c>
      <c r="E2615" s="591" t="s">
        <v>1197</v>
      </c>
      <c r="F2615" s="591" t="s">
        <v>1198</v>
      </c>
      <c r="G2615" s="591" t="s">
        <v>1199</v>
      </c>
      <c r="H2615" s="591" t="s">
        <v>1200</v>
      </c>
      <c r="I2615" s="44"/>
    </row>
    <row r="2616" spans="3:13" s="59" customFormat="1" ht="22.2" customHeight="1">
      <c r="C2616" s="61" t="s">
        <v>1201</v>
      </c>
      <c r="D2616" s="56" t="s">
        <v>1202</v>
      </c>
      <c r="E2616" s="57"/>
      <c r="F2616" s="57"/>
      <c r="G2616" s="57"/>
      <c r="H2616" s="57"/>
      <c r="I2616" s="44"/>
      <c r="J2616" s="152" t="s">
        <v>1247</v>
      </c>
    </row>
    <row r="2617" spans="3:13" s="59" customFormat="1" ht="22.2" customHeight="1">
      <c r="C2617" s="588">
        <v>1</v>
      </c>
      <c r="D2617" s="56" t="s">
        <v>5</v>
      </c>
      <c r="E2617" s="577" t="s">
        <v>6</v>
      </c>
      <c r="F2617" s="101">
        <v>4.4029999999999996</v>
      </c>
      <c r="G2617" s="63">
        <f>VLOOKUP(D2617,upahbahan,3,FALSE)</f>
        <v>100000</v>
      </c>
      <c r="H2617" s="63">
        <f>F2617*G2617</f>
        <v>440299.99999999994</v>
      </c>
      <c r="I2617" s="44"/>
      <c r="J2617" s="152" t="s">
        <v>1248</v>
      </c>
      <c r="M2617" s="65">
        <v>0.1</v>
      </c>
    </row>
    <row r="2618" spans="3:13" s="59" customFormat="1" ht="22.2" customHeight="1">
      <c r="C2618" s="588">
        <v>2</v>
      </c>
      <c r="D2618" s="56" t="s">
        <v>10</v>
      </c>
      <c r="E2618" s="577" t="s">
        <v>6</v>
      </c>
      <c r="F2618" s="101">
        <v>8.1000000000000003E-2</v>
      </c>
      <c r="G2618" s="63">
        <f>VLOOKUP(D2618,upahbahan,3,FALSE)</f>
        <v>135000</v>
      </c>
      <c r="H2618" s="63">
        <f>F2618*G2618</f>
        <v>10935</v>
      </c>
      <c r="I2618" s="44"/>
      <c r="J2618" s="152"/>
      <c r="M2618" s="65"/>
    </row>
    <row r="2619" spans="3:13" s="59" customFormat="1" ht="22.2" customHeight="1">
      <c r="C2619" s="588">
        <v>3</v>
      </c>
      <c r="D2619" s="56" t="s">
        <v>19</v>
      </c>
      <c r="E2619" s="577" t="s">
        <v>6</v>
      </c>
      <c r="F2619" s="101">
        <v>0.44</v>
      </c>
      <c r="G2619" s="63">
        <f>VLOOKUP(D2619,upahbahan,3,FALSE)</f>
        <v>160000</v>
      </c>
      <c r="H2619" s="63">
        <f t="shared" ref="H2619" si="327">F2619*G2619</f>
        <v>70400</v>
      </c>
      <c r="I2619" s="44"/>
    </row>
    <row r="2620" spans="3:13" s="59" customFormat="1" ht="22.2" customHeight="1">
      <c r="C2620" s="450" t="s">
        <v>1208</v>
      </c>
      <c r="D2620" s="67"/>
      <c r="E2620" s="67"/>
      <c r="F2620" s="142"/>
      <c r="G2620" s="153"/>
      <c r="H2620" s="63">
        <f>SUM(H2617:H2619)</f>
        <v>521634.99999999994</v>
      </c>
      <c r="I2620" s="154"/>
    </row>
    <row r="2621" spans="3:13" s="59" customFormat="1" ht="22.2" customHeight="1">
      <c r="C2621" s="61" t="s">
        <v>1209</v>
      </c>
      <c r="D2621" s="56" t="s">
        <v>1210</v>
      </c>
      <c r="E2621" s="57"/>
      <c r="F2621" s="57"/>
      <c r="G2621" s="57"/>
      <c r="H2621" s="57"/>
      <c r="I2621" s="44"/>
    </row>
    <row r="2622" spans="3:13" s="59" customFormat="1" ht="22.2" customHeight="1">
      <c r="C2622" s="800">
        <v>1</v>
      </c>
      <c r="D2622" s="56" t="s">
        <v>8611</v>
      </c>
      <c r="E2622" s="883" t="s">
        <v>1300</v>
      </c>
      <c r="F2622" s="104">
        <v>1</v>
      </c>
      <c r="G2622" s="63">
        <f>VLOOKUP(D2622,upahbahan,3,FALSE)</f>
        <v>2955000</v>
      </c>
      <c r="H2622" s="63">
        <f>F2622*G2622</f>
        <v>2955000</v>
      </c>
      <c r="I2622" s="44"/>
    </row>
    <row r="2623" spans="3:13" s="59" customFormat="1" ht="22.2" customHeight="1">
      <c r="C2623" s="450" t="s">
        <v>1214</v>
      </c>
      <c r="D2623" s="67"/>
      <c r="E2623" s="67"/>
      <c r="F2623" s="67"/>
      <c r="G2623" s="69"/>
      <c r="H2623" s="63">
        <f>SUM(H2621:H2622)</f>
        <v>2955000</v>
      </c>
      <c r="I2623" s="44"/>
    </row>
    <row r="2624" spans="3:13" s="59" customFormat="1" ht="22.2" customHeight="1">
      <c r="C2624" s="61" t="s">
        <v>1215</v>
      </c>
      <c r="D2624" s="56" t="s">
        <v>1216</v>
      </c>
      <c r="E2624" s="93"/>
      <c r="F2624" s="57"/>
      <c r="G2624" s="57"/>
      <c r="H2624" s="57"/>
      <c r="I2624" s="44"/>
    </row>
    <row r="2625" spans="3:13" s="59" customFormat="1" ht="22.2" customHeight="1">
      <c r="C2625" s="800">
        <v>1</v>
      </c>
      <c r="D2625" s="56" t="s">
        <v>4970</v>
      </c>
      <c r="E2625" s="93" t="s">
        <v>1974</v>
      </c>
      <c r="F2625" s="884">
        <v>5.1999999999999998E-2</v>
      </c>
      <c r="G2625" s="63">
        <f>VLOOKUP(D2625,upahbahan,3,FALSE)</f>
        <v>5150000</v>
      </c>
      <c r="H2625" s="63">
        <f t="shared" ref="H2625:H2626" si="328">F2625*G2625</f>
        <v>267800</v>
      </c>
      <c r="I2625" s="44"/>
    </row>
    <row r="2626" spans="3:13" s="59" customFormat="1" ht="22.2" customHeight="1">
      <c r="C2626" s="800">
        <v>2</v>
      </c>
      <c r="D2626" s="56" t="s">
        <v>4770</v>
      </c>
      <c r="E2626" s="93" t="s">
        <v>1974</v>
      </c>
      <c r="F2626" s="590">
        <v>0.115</v>
      </c>
      <c r="G2626" s="63">
        <f>VLOOKUP(D2626,upahbahan,3,FALSE)</f>
        <v>108000</v>
      </c>
      <c r="H2626" s="63">
        <f t="shared" si="328"/>
        <v>12420</v>
      </c>
      <c r="I2626" s="44"/>
    </row>
    <row r="2627" spans="3:13" s="59" customFormat="1" ht="22.2" customHeight="1">
      <c r="C2627" s="450" t="s">
        <v>1217</v>
      </c>
      <c r="D2627" s="67"/>
      <c r="E2627" s="67"/>
      <c r="F2627" s="67"/>
      <c r="G2627" s="69"/>
      <c r="H2627" s="882">
        <f>SUM(H2625:H2626)</f>
        <v>280220</v>
      </c>
      <c r="I2627" s="44"/>
    </row>
    <row r="2628" spans="3:13" s="59" customFormat="1" ht="22.2" customHeight="1">
      <c r="C2628" s="288" t="s">
        <v>1218</v>
      </c>
      <c r="D2628" s="76" t="s">
        <v>1219</v>
      </c>
      <c r="E2628" s="77"/>
      <c r="F2628" s="77"/>
      <c r="G2628" s="78"/>
      <c r="H2628" s="585">
        <f>H2627+H2623+H2620</f>
        <v>3756855</v>
      </c>
      <c r="I2628" s="369"/>
    </row>
    <row r="2629" spans="3:13" s="59" customFormat="1" ht="22.2" customHeight="1">
      <c r="C2629" s="288" t="s">
        <v>1220</v>
      </c>
      <c r="D2629" s="76" t="s">
        <v>1321</v>
      </c>
      <c r="E2629" s="77"/>
      <c r="F2629" s="78"/>
      <c r="G2629" s="80">
        <v>0.1</v>
      </c>
      <c r="H2629" s="63">
        <f>H2628*G2629</f>
        <v>375685.5</v>
      </c>
      <c r="I2629" s="369"/>
    </row>
    <row r="2630" spans="3:13" s="59" customFormat="1" ht="22.2" customHeight="1">
      <c r="C2630" s="288" t="s">
        <v>1221</v>
      </c>
      <c r="D2630" s="76" t="s">
        <v>1222</v>
      </c>
      <c r="E2630" s="77"/>
      <c r="F2630" s="77"/>
      <c r="G2630" s="78"/>
      <c r="H2630" s="799">
        <f>SUM(H2628:H2629)</f>
        <v>4132540.5</v>
      </c>
      <c r="I2630" s="369"/>
    </row>
    <row r="2631" spans="3:13" ht="22.2" customHeight="1"/>
    <row r="2632" spans="3:13" ht="22.2" customHeight="1">
      <c r="C2632" s="43" t="s">
        <v>5026</v>
      </c>
      <c r="D2632" s="128" t="s">
        <v>8612</v>
      </c>
      <c r="I2632" s="50">
        <f>ROUNDDOWN(H2648,-2)</f>
        <v>4540700</v>
      </c>
    </row>
    <row r="2633" spans="3:13" s="59" customFormat="1" ht="22.2" customHeight="1">
      <c r="C2633" s="591" t="s">
        <v>1195</v>
      </c>
      <c r="D2633" s="591" t="s">
        <v>1196</v>
      </c>
      <c r="E2633" s="591" t="s">
        <v>1197</v>
      </c>
      <c r="F2633" s="591" t="s">
        <v>1198</v>
      </c>
      <c r="G2633" s="591" t="s">
        <v>1199</v>
      </c>
      <c r="H2633" s="591" t="s">
        <v>1200</v>
      </c>
      <c r="I2633" s="44"/>
    </row>
    <row r="2634" spans="3:13" s="59" customFormat="1" ht="22.2" customHeight="1">
      <c r="C2634" s="61" t="s">
        <v>1201</v>
      </c>
      <c r="D2634" s="56" t="s">
        <v>1202</v>
      </c>
      <c r="E2634" s="57"/>
      <c r="F2634" s="57"/>
      <c r="G2634" s="57"/>
      <c r="H2634" s="57"/>
      <c r="I2634" s="44"/>
      <c r="J2634" s="152" t="s">
        <v>1247</v>
      </c>
    </row>
    <row r="2635" spans="3:13" s="59" customFormat="1" ht="22.2" customHeight="1">
      <c r="C2635" s="588">
        <v>1</v>
      </c>
      <c r="D2635" s="56" t="s">
        <v>5</v>
      </c>
      <c r="E2635" s="577" t="s">
        <v>6</v>
      </c>
      <c r="F2635" s="101">
        <v>4.8949999999999996</v>
      </c>
      <c r="G2635" s="63">
        <f>VLOOKUP(D2635,upahbahan,3,FALSE)</f>
        <v>100000</v>
      </c>
      <c r="H2635" s="63">
        <f>F2635*G2635</f>
        <v>489499.99999999994</v>
      </c>
      <c r="I2635" s="44"/>
      <c r="J2635" s="152" t="s">
        <v>1248</v>
      </c>
      <c r="M2635" s="65">
        <v>0.1</v>
      </c>
    </row>
    <row r="2636" spans="3:13" s="59" customFormat="1" ht="22.2" customHeight="1">
      <c r="C2636" s="588">
        <v>2</v>
      </c>
      <c r="D2636" s="56" t="s">
        <v>10</v>
      </c>
      <c r="E2636" s="577" t="s">
        <v>6</v>
      </c>
      <c r="F2636" s="101">
        <v>0.97899999999999998</v>
      </c>
      <c r="G2636" s="63">
        <f>VLOOKUP(D2636,upahbahan,3,FALSE)</f>
        <v>135000</v>
      </c>
      <c r="H2636" s="63">
        <f>F2636*G2636</f>
        <v>132165</v>
      </c>
      <c r="I2636" s="44"/>
      <c r="J2636" s="152"/>
      <c r="M2636" s="65"/>
    </row>
    <row r="2637" spans="3:13" s="59" customFormat="1" ht="22.2" customHeight="1">
      <c r="C2637" s="588">
        <v>3</v>
      </c>
      <c r="D2637" s="56" t="s">
        <v>19</v>
      </c>
      <c r="E2637" s="577" t="s">
        <v>6</v>
      </c>
      <c r="F2637" s="101">
        <v>0.48899999999999999</v>
      </c>
      <c r="G2637" s="63">
        <f>VLOOKUP(D2637,upahbahan,3,FALSE)</f>
        <v>160000</v>
      </c>
      <c r="H2637" s="63">
        <f t="shared" ref="H2637" si="329">F2637*G2637</f>
        <v>78240</v>
      </c>
      <c r="I2637" s="44"/>
    </row>
    <row r="2638" spans="3:13" s="59" customFormat="1" ht="22.2" customHeight="1">
      <c r="C2638" s="450" t="s">
        <v>1208</v>
      </c>
      <c r="D2638" s="67"/>
      <c r="E2638" s="67"/>
      <c r="F2638" s="142"/>
      <c r="G2638" s="153"/>
      <c r="H2638" s="63">
        <f>SUM(H2635:H2637)</f>
        <v>699905</v>
      </c>
      <c r="I2638" s="154"/>
    </row>
    <row r="2639" spans="3:13" s="59" customFormat="1" ht="22.2" customHeight="1">
      <c r="C2639" s="61" t="s">
        <v>1209</v>
      </c>
      <c r="D2639" s="56" t="s">
        <v>1210</v>
      </c>
      <c r="E2639" s="57"/>
      <c r="F2639" s="57"/>
      <c r="G2639" s="57"/>
      <c r="H2639" s="57"/>
      <c r="I2639" s="44"/>
    </row>
    <row r="2640" spans="3:13" s="59" customFormat="1" ht="22.2" customHeight="1">
      <c r="C2640" s="800">
        <v>1</v>
      </c>
      <c r="D2640" s="56" t="s">
        <v>8613</v>
      </c>
      <c r="E2640" s="883" t="s">
        <v>1300</v>
      </c>
      <c r="F2640" s="104">
        <v>1</v>
      </c>
      <c r="G2640" s="63">
        <f>VLOOKUP(D2640,upahbahan,3,FALSE)</f>
        <v>3115000</v>
      </c>
      <c r="H2640" s="63">
        <f>F2640*G2640</f>
        <v>3115000</v>
      </c>
      <c r="I2640" s="44"/>
    </row>
    <row r="2641" spans="3:13" s="59" customFormat="1" ht="22.2" customHeight="1">
      <c r="C2641" s="450" t="s">
        <v>1214</v>
      </c>
      <c r="D2641" s="67"/>
      <c r="E2641" s="67"/>
      <c r="F2641" s="67"/>
      <c r="G2641" s="69"/>
      <c r="H2641" s="63">
        <f>SUM(H2639:H2640)</f>
        <v>3115000</v>
      </c>
      <c r="I2641" s="44"/>
    </row>
    <row r="2642" spans="3:13" s="59" customFormat="1" ht="22.2" customHeight="1">
      <c r="C2642" s="61" t="s">
        <v>1215</v>
      </c>
      <c r="D2642" s="56" t="s">
        <v>1216</v>
      </c>
      <c r="E2642" s="93"/>
      <c r="F2642" s="57"/>
      <c r="G2642" s="57"/>
      <c r="H2642" s="57"/>
      <c r="I2642" s="44"/>
    </row>
    <row r="2643" spans="3:13" s="59" customFormat="1" ht="22.2" customHeight="1">
      <c r="C2643" s="800">
        <v>1</v>
      </c>
      <c r="D2643" s="56" t="s">
        <v>4970</v>
      </c>
      <c r="E2643" s="93" t="s">
        <v>1974</v>
      </c>
      <c r="F2643" s="884">
        <v>5.8000000000000003E-2</v>
      </c>
      <c r="G2643" s="63">
        <f>VLOOKUP(D2643,upahbahan,3,FALSE)</f>
        <v>5150000</v>
      </c>
      <c r="H2643" s="63">
        <f t="shared" ref="H2643:H2644" si="330">F2643*G2643</f>
        <v>298700</v>
      </c>
      <c r="I2643" s="44"/>
    </row>
    <row r="2644" spans="3:13" s="59" customFormat="1" ht="22.2" customHeight="1">
      <c r="C2644" s="800">
        <v>2</v>
      </c>
      <c r="D2644" s="56" t="s">
        <v>4770</v>
      </c>
      <c r="E2644" s="93" t="s">
        <v>1974</v>
      </c>
      <c r="F2644" s="590">
        <v>0.13300000000000001</v>
      </c>
      <c r="G2644" s="63">
        <f>VLOOKUP(D2644,upahbahan,3,FALSE)</f>
        <v>108000</v>
      </c>
      <c r="H2644" s="63">
        <f t="shared" si="330"/>
        <v>14364</v>
      </c>
      <c r="I2644" s="44"/>
    </row>
    <row r="2645" spans="3:13" s="59" customFormat="1" ht="22.2" customHeight="1">
      <c r="C2645" s="450" t="s">
        <v>1217</v>
      </c>
      <c r="D2645" s="67"/>
      <c r="E2645" s="67"/>
      <c r="F2645" s="67"/>
      <c r="G2645" s="69"/>
      <c r="H2645" s="882">
        <f>SUM(H2643:H2644)</f>
        <v>313064</v>
      </c>
      <c r="I2645" s="44"/>
    </row>
    <row r="2646" spans="3:13" s="59" customFormat="1" ht="22.2" customHeight="1">
      <c r="C2646" s="288" t="s">
        <v>1218</v>
      </c>
      <c r="D2646" s="76" t="s">
        <v>1219</v>
      </c>
      <c r="E2646" s="77"/>
      <c r="F2646" s="77"/>
      <c r="G2646" s="78"/>
      <c r="H2646" s="585">
        <f>H2645+H2641+H2638</f>
        <v>4127969</v>
      </c>
      <c r="I2646" s="369"/>
    </row>
    <row r="2647" spans="3:13" s="59" customFormat="1" ht="22.2" customHeight="1">
      <c r="C2647" s="288" t="s">
        <v>1220</v>
      </c>
      <c r="D2647" s="76" t="s">
        <v>1321</v>
      </c>
      <c r="E2647" s="77"/>
      <c r="F2647" s="78"/>
      <c r="G2647" s="80">
        <v>0.1</v>
      </c>
      <c r="H2647" s="63">
        <f>H2646*G2647</f>
        <v>412796.9</v>
      </c>
      <c r="I2647" s="369"/>
    </row>
    <row r="2648" spans="3:13" s="59" customFormat="1" ht="22.2" customHeight="1">
      <c r="C2648" s="288" t="s">
        <v>1221</v>
      </c>
      <c r="D2648" s="76" t="s">
        <v>1222</v>
      </c>
      <c r="E2648" s="77"/>
      <c r="F2648" s="77"/>
      <c r="G2648" s="78"/>
      <c r="H2648" s="799">
        <f>SUM(H2646:H2647)</f>
        <v>4540765.9000000004</v>
      </c>
      <c r="I2648" s="369"/>
    </row>
    <row r="2649" spans="3:13" ht="22.2" customHeight="1"/>
    <row r="2650" spans="3:13" ht="22.2" customHeight="1">
      <c r="C2650" s="43" t="s">
        <v>5027</v>
      </c>
      <c r="D2650" s="128" t="s">
        <v>8614</v>
      </c>
      <c r="I2650" s="50">
        <f>ROUNDDOWN(H2666,-2)</f>
        <v>4786200</v>
      </c>
    </row>
    <row r="2651" spans="3:13" s="59" customFormat="1" ht="22.2" customHeight="1">
      <c r="C2651" s="591" t="s">
        <v>1195</v>
      </c>
      <c r="D2651" s="591" t="s">
        <v>1196</v>
      </c>
      <c r="E2651" s="591" t="s">
        <v>1197</v>
      </c>
      <c r="F2651" s="591" t="s">
        <v>1198</v>
      </c>
      <c r="G2651" s="591" t="s">
        <v>1199</v>
      </c>
      <c r="H2651" s="591" t="s">
        <v>1200</v>
      </c>
      <c r="I2651" s="44"/>
    </row>
    <row r="2652" spans="3:13" s="59" customFormat="1" ht="22.2" customHeight="1">
      <c r="C2652" s="61" t="s">
        <v>1201</v>
      </c>
      <c r="D2652" s="56" t="s">
        <v>1202</v>
      </c>
      <c r="E2652" s="57"/>
      <c r="F2652" s="57"/>
      <c r="G2652" s="57"/>
      <c r="H2652" s="57"/>
      <c r="I2652" s="44"/>
      <c r="J2652" s="152" t="s">
        <v>1247</v>
      </c>
    </row>
    <row r="2653" spans="3:13" s="59" customFormat="1" ht="22.2" customHeight="1">
      <c r="C2653" s="588">
        <v>1</v>
      </c>
      <c r="D2653" s="56" t="s">
        <v>5</v>
      </c>
      <c r="E2653" s="577" t="s">
        <v>6</v>
      </c>
      <c r="F2653" s="101">
        <v>5.3869999999999996</v>
      </c>
      <c r="G2653" s="63">
        <f>VLOOKUP(D2653,upahbahan,3,FALSE)</f>
        <v>100000</v>
      </c>
      <c r="H2653" s="63">
        <f>F2653*G2653</f>
        <v>538700</v>
      </c>
      <c r="I2653" s="44"/>
      <c r="J2653" s="152" t="s">
        <v>1248</v>
      </c>
      <c r="M2653" s="65">
        <v>0.1</v>
      </c>
    </row>
    <row r="2654" spans="3:13" s="59" customFormat="1" ht="22.2" customHeight="1">
      <c r="C2654" s="588">
        <v>2</v>
      </c>
      <c r="D2654" s="56" t="s">
        <v>10</v>
      </c>
      <c r="E2654" s="577" t="s">
        <v>6</v>
      </c>
      <c r="F2654" s="101">
        <v>1.077</v>
      </c>
      <c r="G2654" s="63">
        <f>VLOOKUP(D2654,upahbahan,3,FALSE)</f>
        <v>135000</v>
      </c>
      <c r="H2654" s="63">
        <f>F2654*G2654</f>
        <v>145395</v>
      </c>
      <c r="I2654" s="44"/>
      <c r="J2654" s="152"/>
      <c r="M2654" s="65"/>
    </row>
    <row r="2655" spans="3:13" s="59" customFormat="1" ht="22.2" customHeight="1">
      <c r="C2655" s="588">
        <v>3</v>
      </c>
      <c r="D2655" s="56" t="s">
        <v>19</v>
      </c>
      <c r="E2655" s="577" t="s">
        <v>6</v>
      </c>
      <c r="F2655" s="101">
        <v>0.53900000000000003</v>
      </c>
      <c r="G2655" s="63">
        <f>VLOOKUP(D2655,upahbahan,3,FALSE)</f>
        <v>160000</v>
      </c>
      <c r="H2655" s="63">
        <f t="shared" ref="H2655" si="331">F2655*G2655</f>
        <v>86240</v>
      </c>
      <c r="I2655" s="44"/>
    </row>
    <row r="2656" spans="3:13" s="59" customFormat="1" ht="22.2" customHeight="1">
      <c r="C2656" s="450" t="s">
        <v>1208</v>
      </c>
      <c r="D2656" s="67"/>
      <c r="E2656" s="67"/>
      <c r="F2656" s="142"/>
      <c r="G2656" s="153"/>
      <c r="H2656" s="63">
        <f>SUM(H2653:H2655)</f>
        <v>770335</v>
      </c>
      <c r="I2656" s="154"/>
    </row>
    <row r="2657" spans="3:13" s="59" customFormat="1" ht="22.2" customHeight="1">
      <c r="C2657" s="61" t="s">
        <v>1209</v>
      </c>
      <c r="D2657" s="56" t="s">
        <v>1210</v>
      </c>
      <c r="E2657" s="57"/>
      <c r="F2657" s="57"/>
      <c r="G2657" s="57"/>
      <c r="H2657" s="57"/>
      <c r="I2657" s="44"/>
    </row>
    <row r="2658" spans="3:13" s="59" customFormat="1" ht="22.2" customHeight="1">
      <c r="C2658" s="800">
        <v>1</v>
      </c>
      <c r="D2658" s="56" t="s">
        <v>8615</v>
      </c>
      <c r="E2658" s="883" t="s">
        <v>1300</v>
      </c>
      <c r="F2658" s="104">
        <v>1</v>
      </c>
      <c r="G2658" s="63">
        <f>VLOOKUP(D2658,upahbahan,3,FALSE)</f>
        <v>3235000</v>
      </c>
      <c r="H2658" s="63">
        <f>F2658*G2658</f>
        <v>3235000</v>
      </c>
      <c r="I2658" s="44"/>
    </row>
    <row r="2659" spans="3:13" s="59" customFormat="1" ht="22.2" customHeight="1">
      <c r="C2659" s="450" t="s">
        <v>1214</v>
      </c>
      <c r="D2659" s="67"/>
      <c r="E2659" s="67"/>
      <c r="F2659" s="67"/>
      <c r="G2659" s="69"/>
      <c r="H2659" s="63">
        <f>SUM(H2657:H2658)</f>
        <v>3235000</v>
      </c>
      <c r="I2659" s="44"/>
    </row>
    <row r="2660" spans="3:13" s="59" customFormat="1" ht="22.2" customHeight="1">
      <c r="C2660" s="61" t="s">
        <v>1215</v>
      </c>
      <c r="D2660" s="56" t="s">
        <v>1216</v>
      </c>
      <c r="E2660" s="93"/>
      <c r="F2660" s="57"/>
      <c r="G2660" s="57"/>
      <c r="H2660" s="57"/>
      <c r="I2660" s="44"/>
    </row>
    <row r="2661" spans="3:13" s="59" customFormat="1" ht="22.2" customHeight="1">
      <c r="C2661" s="800">
        <v>1</v>
      </c>
      <c r="D2661" s="56" t="s">
        <v>4970</v>
      </c>
      <c r="E2661" s="93" t="s">
        <v>1974</v>
      </c>
      <c r="F2661" s="884">
        <v>6.4000000000000001E-2</v>
      </c>
      <c r="G2661" s="63">
        <f>VLOOKUP(D2661,upahbahan,3,FALSE)</f>
        <v>5150000</v>
      </c>
      <c r="H2661" s="63">
        <f t="shared" ref="H2661:H2662" si="332">F2661*G2661</f>
        <v>329600</v>
      </c>
      <c r="I2661" s="44"/>
    </row>
    <row r="2662" spans="3:13" s="59" customFormat="1" ht="22.2" customHeight="1">
      <c r="C2662" s="800">
        <v>2</v>
      </c>
      <c r="D2662" s="56" t="s">
        <v>4770</v>
      </c>
      <c r="E2662" s="93" t="s">
        <v>1974</v>
      </c>
      <c r="F2662" s="590">
        <v>0.15</v>
      </c>
      <c r="G2662" s="63">
        <f>VLOOKUP(D2662,upahbahan,3,FALSE)</f>
        <v>108000</v>
      </c>
      <c r="H2662" s="63">
        <f t="shared" si="332"/>
        <v>16200</v>
      </c>
      <c r="I2662" s="44"/>
    </row>
    <row r="2663" spans="3:13" s="59" customFormat="1" ht="22.2" customHeight="1">
      <c r="C2663" s="450" t="s">
        <v>1217</v>
      </c>
      <c r="D2663" s="67"/>
      <c r="E2663" s="67"/>
      <c r="F2663" s="67"/>
      <c r="G2663" s="69"/>
      <c r="H2663" s="882">
        <f>SUM(H2661:H2662)</f>
        <v>345800</v>
      </c>
      <c r="I2663" s="44"/>
    </row>
    <row r="2664" spans="3:13" s="59" customFormat="1" ht="22.2" customHeight="1">
      <c r="C2664" s="288" t="s">
        <v>1218</v>
      </c>
      <c r="D2664" s="76" t="s">
        <v>1219</v>
      </c>
      <c r="E2664" s="77"/>
      <c r="F2664" s="77"/>
      <c r="G2664" s="78"/>
      <c r="H2664" s="585">
        <f>H2663+H2659+H2656</f>
        <v>4351135</v>
      </c>
      <c r="I2664" s="369"/>
    </row>
    <row r="2665" spans="3:13" s="59" customFormat="1" ht="22.2" customHeight="1">
      <c r="C2665" s="288" t="s">
        <v>1220</v>
      </c>
      <c r="D2665" s="76" t="s">
        <v>1321</v>
      </c>
      <c r="E2665" s="77"/>
      <c r="F2665" s="78"/>
      <c r="G2665" s="80">
        <v>0.1</v>
      </c>
      <c r="H2665" s="63">
        <f>H2664*G2665</f>
        <v>435113.5</v>
      </c>
      <c r="I2665" s="369"/>
    </row>
    <row r="2666" spans="3:13" s="59" customFormat="1" ht="22.2" customHeight="1">
      <c r="C2666" s="288" t="s">
        <v>1221</v>
      </c>
      <c r="D2666" s="76" t="s">
        <v>1222</v>
      </c>
      <c r="E2666" s="77"/>
      <c r="F2666" s="77"/>
      <c r="G2666" s="78"/>
      <c r="H2666" s="799">
        <f>SUM(H2664:H2665)</f>
        <v>4786248.5</v>
      </c>
      <c r="I2666" s="369"/>
    </row>
    <row r="2667" spans="3:13" ht="22.2" customHeight="1"/>
    <row r="2668" spans="3:13" ht="22.2" customHeight="1">
      <c r="C2668" s="43" t="s">
        <v>5028</v>
      </c>
      <c r="D2668" s="128" t="s">
        <v>8616</v>
      </c>
      <c r="I2668" s="50">
        <f>ROUNDDOWN(H2684,-2)</f>
        <v>5033600</v>
      </c>
    </row>
    <row r="2669" spans="3:13" s="59" customFormat="1" ht="22.2" customHeight="1">
      <c r="C2669" s="591" t="s">
        <v>1195</v>
      </c>
      <c r="D2669" s="591" t="s">
        <v>1196</v>
      </c>
      <c r="E2669" s="591" t="s">
        <v>1197</v>
      </c>
      <c r="F2669" s="591" t="s">
        <v>1198</v>
      </c>
      <c r="G2669" s="591" t="s">
        <v>1199</v>
      </c>
      <c r="H2669" s="591" t="s">
        <v>1200</v>
      </c>
      <c r="I2669" s="44"/>
    </row>
    <row r="2670" spans="3:13" s="59" customFormat="1" ht="22.2" customHeight="1">
      <c r="C2670" s="61" t="s">
        <v>1201</v>
      </c>
      <c r="D2670" s="56" t="s">
        <v>1202</v>
      </c>
      <c r="E2670" s="57"/>
      <c r="F2670" s="57"/>
      <c r="G2670" s="57"/>
      <c r="H2670" s="57"/>
      <c r="I2670" s="44"/>
      <c r="J2670" s="152" t="s">
        <v>1247</v>
      </c>
    </row>
    <row r="2671" spans="3:13" s="59" customFormat="1" ht="22.2" customHeight="1">
      <c r="C2671" s="588">
        <v>1</v>
      </c>
      <c r="D2671" s="56" t="s">
        <v>5</v>
      </c>
      <c r="E2671" s="577" t="s">
        <v>6</v>
      </c>
      <c r="F2671" s="101">
        <v>5.8970000000000002</v>
      </c>
      <c r="G2671" s="63">
        <f>VLOOKUP(D2671,upahbahan,3,FALSE)</f>
        <v>100000</v>
      </c>
      <c r="H2671" s="63">
        <f>F2671*G2671</f>
        <v>589700</v>
      </c>
      <c r="I2671" s="44"/>
      <c r="J2671" s="152" t="s">
        <v>1248</v>
      </c>
      <c r="M2671" s="65">
        <v>0.1</v>
      </c>
    </row>
    <row r="2672" spans="3:13" s="59" customFormat="1" ht="22.2" customHeight="1">
      <c r="C2672" s="588">
        <v>2</v>
      </c>
      <c r="D2672" s="56" t="s">
        <v>10</v>
      </c>
      <c r="E2672" s="577" t="s">
        <v>6</v>
      </c>
      <c r="F2672" s="101">
        <v>1.1759999999999999</v>
      </c>
      <c r="G2672" s="63">
        <f>VLOOKUP(D2672,upahbahan,3,FALSE)</f>
        <v>135000</v>
      </c>
      <c r="H2672" s="63">
        <f>F2672*G2672</f>
        <v>158760</v>
      </c>
      <c r="I2672" s="44"/>
      <c r="J2672" s="152"/>
      <c r="M2672" s="65"/>
    </row>
    <row r="2673" spans="3:9" s="59" customFormat="1" ht="22.2" customHeight="1">
      <c r="C2673" s="588">
        <v>3</v>
      </c>
      <c r="D2673" s="56" t="s">
        <v>19</v>
      </c>
      <c r="E2673" s="577" t="s">
        <v>6</v>
      </c>
      <c r="F2673" s="101">
        <v>0.58799999999999997</v>
      </c>
      <c r="G2673" s="63">
        <f>VLOOKUP(D2673,upahbahan,3,FALSE)</f>
        <v>160000</v>
      </c>
      <c r="H2673" s="63">
        <f t="shared" ref="H2673" si="333">F2673*G2673</f>
        <v>94080</v>
      </c>
      <c r="I2673" s="44"/>
    </row>
    <row r="2674" spans="3:9" s="59" customFormat="1" ht="22.2" customHeight="1">
      <c r="C2674" s="450" t="s">
        <v>1208</v>
      </c>
      <c r="D2674" s="67"/>
      <c r="E2674" s="67"/>
      <c r="F2674" s="142"/>
      <c r="G2674" s="153"/>
      <c r="H2674" s="63">
        <f>SUM(H2671:H2673)</f>
        <v>842540</v>
      </c>
      <c r="I2674" s="154"/>
    </row>
    <row r="2675" spans="3:9" s="59" customFormat="1" ht="22.2" customHeight="1">
      <c r="C2675" s="61" t="s">
        <v>1209</v>
      </c>
      <c r="D2675" s="56" t="s">
        <v>1210</v>
      </c>
      <c r="E2675" s="57"/>
      <c r="F2675" s="57"/>
      <c r="G2675" s="57"/>
      <c r="H2675" s="57"/>
      <c r="I2675" s="44"/>
    </row>
    <row r="2676" spans="3:9" s="59" customFormat="1" ht="22.2" customHeight="1">
      <c r="C2676" s="800">
        <v>1</v>
      </c>
      <c r="D2676" s="56" t="s">
        <v>8617</v>
      </c>
      <c r="E2676" s="883" t="s">
        <v>1300</v>
      </c>
      <c r="F2676" s="104">
        <v>1</v>
      </c>
      <c r="G2676" s="63">
        <f>VLOOKUP(D2676,upahbahan,3,FALSE)</f>
        <v>3355000</v>
      </c>
      <c r="H2676" s="63">
        <f>F2676*G2676</f>
        <v>3355000</v>
      </c>
      <c r="I2676" s="44"/>
    </row>
    <row r="2677" spans="3:9" s="59" customFormat="1" ht="22.2" customHeight="1">
      <c r="C2677" s="450" t="s">
        <v>1214</v>
      </c>
      <c r="D2677" s="67"/>
      <c r="E2677" s="67"/>
      <c r="F2677" s="67"/>
      <c r="G2677" s="69"/>
      <c r="H2677" s="63">
        <f>SUM(H2675:H2676)</f>
        <v>3355000</v>
      </c>
      <c r="I2677" s="44"/>
    </row>
    <row r="2678" spans="3:9" s="59" customFormat="1" ht="22.2" customHeight="1">
      <c r="C2678" s="61" t="s">
        <v>1215</v>
      </c>
      <c r="D2678" s="56" t="s">
        <v>1216</v>
      </c>
      <c r="E2678" s="93"/>
      <c r="F2678" s="57"/>
      <c r="G2678" s="57"/>
      <c r="H2678" s="57"/>
      <c r="I2678" s="44"/>
    </row>
    <row r="2679" spans="3:9" s="59" customFormat="1" ht="22.2" customHeight="1">
      <c r="C2679" s="800">
        <v>1</v>
      </c>
      <c r="D2679" s="56" t="s">
        <v>4970</v>
      </c>
      <c r="E2679" s="93" t="s">
        <v>1974</v>
      </c>
      <c r="F2679" s="590">
        <v>7.0000000000000007E-2</v>
      </c>
      <c r="G2679" s="63">
        <f>VLOOKUP(D2679,upahbahan,3,FALSE)</f>
        <v>5150000</v>
      </c>
      <c r="H2679" s="63">
        <f t="shared" ref="H2679:H2680" si="334">F2679*G2679</f>
        <v>360500.00000000006</v>
      </c>
      <c r="I2679" s="44"/>
    </row>
    <row r="2680" spans="3:9" s="59" customFormat="1" ht="22.2" customHeight="1">
      <c r="C2680" s="800">
        <v>2</v>
      </c>
      <c r="D2680" s="56" t="s">
        <v>4770</v>
      </c>
      <c r="E2680" s="93" t="s">
        <v>1974</v>
      </c>
      <c r="F2680" s="590">
        <v>0.16700000000000001</v>
      </c>
      <c r="G2680" s="63">
        <f>VLOOKUP(D2680,upahbahan,3,FALSE)</f>
        <v>108000</v>
      </c>
      <c r="H2680" s="63">
        <f t="shared" si="334"/>
        <v>18036</v>
      </c>
      <c r="I2680" s="44"/>
    </row>
    <row r="2681" spans="3:9" s="59" customFormat="1" ht="22.2" customHeight="1">
      <c r="C2681" s="450" t="s">
        <v>1217</v>
      </c>
      <c r="D2681" s="67"/>
      <c r="E2681" s="67"/>
      <c r="F2681" s="67"/>
      <c r="G2681" s="69"/>
      <c r="H2681" s="882">
        <f>SUM(H2679:H2680)</f>
        <v>378536.00000000006</v>
      </c>
      <c r="I2681" s="44"/>
    </row>
    <row r="2682" spans="3:9" s="59" customFormat="1" ht="22.2" customHeight="1">
      <c r="C2682" s="288" t="s">
        <v>1218</v>
      </c>
      <c r="D2682" s="76" t="s">
        <v>1219</v>
      </c>
      <c r="E2682" s="77"/>
      <c r="F2682" s="77"/>
      <c r="G2682" s="78"/>
      <c r="H2682" s="585">
        <f>H2681+H2677+H2674</f>
        <v>4576076</v>
      </c>
      <c r="I2682" s="369"/>
    </row>
    <row r="2683" spans="3:9" s="59" customFormat="1" ht="22.2" customHeight="1">
      <c r="C2683" s="288" t="s">
        <v>1220</v>
      </c>
      <c r="D2683" s="76" t="s">
        <v>1321</v>
      </c>
      <c r="E2683" s="77"/>
      <c r="F2683" s="78"/>
      <c r="G2683" s="80">
        <v>0.1</v>
      </c>
      <c r="H2683" s="63">
        <f>H2682*G2683</f>
        <v>457607.60000000003</v>
      </c>
      <c r="I2683" s="369"/>
    </row>
    <row r="2684" spans="3:9" s="59" customFormat="1" ht="22.2" customHeight="1">
      <c r="C2684" s="288" t="s">
        <v>1221</v>
      </c>
      <c r="D2684" s="76" t="s">
        <v>1222</v>
      </c>
      <c r="E2684" s="77"/>
      <c r="F2684" s="77"/>
      <c r="G2684" s="78"/>
      <c r="H2684" s="799">
        <f>SUM(H2682:H2683)</f>
        <v>5033683.5999999996</v>
      </c>
      <c r="I2684" s="369"/>
    </row>
    <row r="2685" spans="3:9" ht="22.2" customHeight="1"/>
    <row r="2686" spans="3:9" ht="22.2" customHeight="1">
      <c r="C2686" s="43" t="s">
        <v>5029</v>
      </c>
      <c r="D2686" s="128" t="s">
        <v>5030</v>
      </c>
    </row>
    <row r="2687" spans="3:9" ht="22.2" customHeight="1">
      <c r="C2687" s="43" t="s">
        <v>5031</v>
      </c>
      <c r="D2687" s="128" t="s">
        <v>8618</v>
      </c>
      <c r="I2687" s="50">
        <f>ROUNDDOWN(H2701,-2)</f>
        <v>18200</v>
      </c>
    </row>
    <row r="2688" spans="3:9" s="59" customFormat="1" ht="22.2" customHeight="1">
      <c r="C2688" s="591" t="s">
        <v>1195</v>
      </c>
      <c r="D2688" s="591" t="s">
        <v>1196</v>
      </c>
      <c r="E2688" s="591" t="s">
        <v>1197</v>
      </c>
      <c r="F2688" s="591" t="s">
        <v>1198</v>
      </c>
      <c r="G2688" s="591" t="s">
        <v>1199</v>
      </c>
      <c r="H2688" s="591" t="s">
        <v>1200</v>
      </c>
      <c r="I2688" s="44"/>
    </row>
    <row r="2689" spans="3:13" s="59" customFormat="1" ht="22.2" customHeight="1">
      <c r="C2689" s="61" t="s">
        <v>1201</v>
      </c>
      <c r="D2689" s="56" t="s">
        <v>1202</v>
      </c>
      <c r="E2689" s="57"/>
      <c r="F2689" s="57"/>
      <c r="G2689" s="57"/>
      <c r="H2689" s="57"/>
      <c r="I2689" s="44"/>
      <c r="J2689" s="152" t="s">
        <v>1247</v>
      </c>
    </row>
    <row r="2690" spans="3:13" s="59" customFormat="1" ht="22.2" customHeight="1">
      <c r="C2690" s="588">
        <v>1</v>
      </c>
      <c r="D2690" s="56" t="s">
        <v>5</v>
      </c>
      <c r="E2690" s="577" t="s">
        <v>6</v>
      </c>
      <c r="F2690" s="101">
        <v>2.8000000000000001E-2</v>
      </c>
      <c r="G2690" s="63">
        <f>VLOOKUP(D2690,upahbahan,3,FALSE)</f>
        <v>100000</v>
      </c>
      <c r="H2690" s="63">
        <f>F2690*G2690</f>
        <v>2800</v>
      </c>
      <c r="I2690" s="44"/>
      <c r="J2690" s="152" t="s">
        <v>1248</v>
      </c>
      <c r="M2690" s="65">
        <v>0.1</v>
      </c>
    </row>
    <row r="2691" spans="3:13" s="59" customFormat="1" ht="22.2" customHeight="1">
      <c r="C2691" s="588">
        <v>2</v>
      </c>
      <c r="D2691" s="56" t="s">
        <v>10</v>
      </c>
      <c r="E2691" s="577" t="s">
        <v>6</v>
      </c>
      <c r="F2691" s="101">
        <v>6.0000000000000001E-3</v>
      </c>
      <c r="G2691" s="63">
        <f>VLOOKUP(D2691,upahbahan,3,FALSE)</f>
        <v>135000</v>
      </c>
      <c r="H2691" s="63">
        <f>F2691*G2691</f>
        <v>810</v>
      </c>
      <c r="I2691" s="44"/>
      <c r="J2691" s="152"/>
      <c r="M2691" s="65"/>
    </row>
    <row r="2692" spans="3:13" s="59" customFormat="1" ht="22.2" customHeight="1">
      <c r="C2692" s="588">
        <v>3</v>
      </c>
      <c r="D2692" s="56" t="s">
        <v>19</v>
      </c>
      <c r="E2692" s="577" t="s">
        <v>6</v>
      </c>
      <c r="F2692" s="101">
        <v>3.0000000000000001E-3</v>
      </c>
      <c r="G2692" s="63">
        <f>VLOOKUP(D2692,upahbahan,3,FALSE)</f>
        <v>160000</v>
      </c>
      <c r="H2692" s="63">
        <f t="shared" ref="H2692" si="335">F2692*G2692</f>
        <v>480</v>
      </c>
      <c r="I2692" s="44"/>
    </row>
    <row r="2693" spans="3:13" s="59" customFormat="1" ht="22.2" customHeight="1">
      <c r="C2693" s="450" t="s">
        <v>1208</v>
      </c>
      <c r="D2693" s="67"/>
      <c r="E2693" s="67"/>
      <c r="F2693" s="142"/>
      <c r="G2693" s="153"/>
      <c r="H2693" s="63">
        <f>SUM(H2690:H2692)</f>
        <v>4090</v>
      </c>
      <c r="I2693" s="154"/>
    </row>
    <row r="2694" spans="3:13" s="59" customFormat="1" ht="22.2" customHeight="1">
      <c r="C2694" s="61" t="s">
        <v>1209</v>
      </c>
      <c r="D2694" s="56" t="s">
        <v>1210</v>
      </c>
      <c r="E2694" s="57"/>
      <c r="F2694" s="57"/>
      <c r="G2694" s="57"/>
      <c r="H2694" s="57"/>
      <c r="I2694" s="44"/>
    </row>
    <row r="2695" spans="3:13" s="59" customFormat="1" ht="22.2" customHeight="1">
      <c r="C2695" s="450" t="s">
        <v>1214</v>
      </c>
      <c r="D2695" s="67"/>
      <c r="E2695" s="67"/>
      <c r="F2695" s="67"/>
      <c r="G2695" s="69"/>
      <c r="H2695" s="63">
        <f>SUM(H2694:H2694)</f>
        <v>0</v>
      </c>
      <c r="I2695" s="44"/>
    </row>
    <row r="2696" spans="3:13" s="59" customFormat="1" ht="22.2" customHeight="1">
      <c r="C2696" s="61" t="s">
        <v>1215</v>
      </c>
      <c r="D2696" s="56" t="s">
        <v>1216</v>
      </c>
      <c r="E2696" s="93"/>
      <c r="F2696" s="57"/>
      <c r="G2696" s="57"/>
      <c r="H2696" s="57"/>
      <c r="I2696" s="44"/>
    </row>
    <row r="2697" spans="3:13" s="59" customFormat="1" ht="22.2" customHeight="1">
      <c r="C2697" s="800">
        <v>1</v>
      </c>
      <c r="D2697" s="56" t="s">
        <v>8463</v>
      </c>
      <c r="E2697" s="93" t="s">
        <v>1974</v>
      </c>
      <c r="F2697" s="590">
        <v>0.16700000000000001</v>
      </c>
      <c r="G2697" s="63">
        <f>VLOOKUP(D2697,upahbahan,3,FALSE)</f>
        <v>75000</v>
      </c>
      <c r="H2697" s="63">
        <f t="shared" ref="H2697" si="336">F2697*G2697</f>
        <v>12525</v>
      </c>
      <c r="I2697" s="44"/>
    </row>
    <row r="2698" spans="3:13" s="59" customFormat="1" ht="22.2" customHeight="1">
      <c r="C2698" s="450" t="s">
        <v>1217</v>
      </c>
      <c r="D2698" s="67"/>
      <c r="E2698" s="67"/>
      <c r="F2698" s="67"/>
      <c r="G2698" s="69"/>
      <c r="H2698" s="882">
        <f>SUM(H2697:H2697)</f>
        <v>12525</v>
      </c>
      <c r="I2698" s="44"/>
    </row>
    <row r="2699" spans="3:13" s="59" customFormat="1" ht="22.2" customHeight="1">
      <c r="C2699" s="288" t="s">
        <v>1218</v>
      </c>
      <c r="D2699" s="76" t="s">
        <v>1219</v>
      </c>
      <c r="E2699" s="77"/>
      <c r="F2699" s="77"/>
      <c r="G2699" s="78"/>
      <c r="H2699" s="585">
        <f>H2698+H2695+H2693</f>
        <v>16615</v>
      </c>
      <c r="I2699" s="369"/>
    </row>
    <row r="2700" spans="3:13" s="59" customFormat="1" ht="22.2" customHeight="1">
      <c r="C2700" s="288" t="s">
        <v>1220</v>
      </c>
      <c r="D2700" s="76" t="s">
        <v>1321</v>
      </c>
      <c r="E2700" s="77"/>
      <c r="F2700" s="78"/>
      <c r="G2700" s="80">
        <v>0.1</v>
      </c>
      <c r="H2700" s="63">
        <f>H2699*G2700</f>
        <v>1661.5</v>
      </c>
      <c r="I2700" s="369"/>
    </row>
    <row r="2701" spans="3:13" s="59" customFormat="1" ht="22.2" customHeight="1">
      <c r="C2701" s="288" t="s">
        <v>1221</v>
      </c>
      <c r="D2701" s="76" t="s">
        <v>1222</v>
      </c>
      <c r="E2701" s="77"/>
      <c r="F2701" s="77"/>
      <c r="G2701" s="78"/>
      <c r="H2701" s="799">
        <f>SUM(H2699:H2700)</f>
        <v>18276.5</v>
      </c>
      <c r="I2701" s="369"/>
    </row>
    <row r="2702" spans="3:13" ht="22.2" customHeight="1"/>
    <row r="2703" spans="3:13" ht="22.2" customHeight="1"/>
    <row r="2704" spans="3:13" ht="22.2" customHeight="1">
      <c r="C2704" s="43" t="s">
        <v>5042</v>
      </c>
      <c r="D2704" s="128" t="s">
        <v>8619</v>
      </c>
      <c r="I2704" s="50">
        <f>ROUNDDOWN(H2718,-2)</f>
        <v>16500</v>
      </c>
    </row>
    <row r="2705" spans="3:13" s="59" customFormat="1" ht="22.2" customHeight="1">
      <c r="C2705" s="591" t="s">
        <v>1195</v>
      </c>
      <c r="D2705" s="591" t="s">
        <v>1196</v>
      </c>
      <c r="E2705" s="591" t="s">
        <v>1197</v>
      </c>
      <c r="F2705" s="591" t="s">
        <v>1198</v>
      </c>
      <c r="G2705" s="591" t="s">
        <v>1199</v>
      </c>
      <c r="H2705" s="591" t="s">
        <v>1200</v>
      </c>
      <c r="I2705" s="44"/>
    </row>
    <row r="2706" spans="3:13" s="59" customFormat="1" ht="22.2" customHeight="1">
      <c r="C2706" s="61" t="s">
        <v>1201</v>
      </c>
      <c r="D2706" s="56" t="s">
        <v>1202</v>
      </c>
      <c r="E2706" s="57"/>
      <c r="F2706" s="57"/>
      <c r="G2706" s="57"/>
      <c r="H2706" s="57"/>
      <c r="I2706" s="44"/>
      <c r="J2706" s="152" t="s">
        <v>1247</v>
      </c>
    </row>
    <row r="2707" spans="3:13" s="59" customFormat="1" ht="22.2" customHeight="1">
      <c r="C2707" s="588">
        <v>1</v>
      </c>
      <c r="D2707" s="56" t="s">
        <v>5</v>
      </c>
      <c r="E2707" s="577" t="s">
        <v>6</v>
      </c>
      <c r="F2707" s="101">
        <v>8.5000000000000006E-2</v>
      </c>
      <c r="G2707" s="63">
        <f>VLOOKUP(D2707,upahbahan,3,FALSE)</f>
        <v>100000</v>
      </c>
      <c r="H2707" s="63">
        <f>F2707*G2707</f>
        <v>8500</v>
      </c>
      <c r="I2707" s="44"/>
      <c r="J2707" s="152" t="s">
        <v>1248</v>
      </c>
      <c r="M2707" s="65">
        <v>0.1</v>
      </c>
    </row>
    <row r="2708" spans="3:13" s="59" customFormat="1" ht="22.2" customHeight="1">
      <c r="C2708" s="588">
        <v>2</v>
      </c>
      <c r="D2708" s="56" t="s">
        <v>10</v>
      </c>
      <c r="E2708" s="577" t="s">
        <v>6</v>
      </c>
      <c r="F2708" s="101">
        <v>1.7000000000000001E-2</v>
      </c>
      <c r="G2708" s="63">
        <f>VLOOKUP(D2708,upahbahan,3,FALSE)</f>
        <v>135000</v>
      </c>
      <c r="H2708" s="63">
        <f>F2708*G2708</f>
        <v>2295</v>
      </c>
      <c r="I2708" s="44"/>
      <c r="J2708" s="152"/>
      <c r="M2708" s="65"/>
    </row>
    <row r="2709" spans="3:13" s="59" customFormat="1" ht="22.2" customHeight="1">
      <c r="C2709" s="588">
        <v>3</v>
      </c>
      <c r="D2709" s="56" t="s">
        <v>19</v>
      </c>
      <c r="E2709" s="577" t="s">
        <v>6</v>
      </c>
      <c r="F2709" s="101">
        <v>8.0000000000000002E-3</v>
      </c>
      <c r="G2709" s="63">
        <f>VLOOKUP(D2709,upahbahan,3,FALSE)</f>
        <v>160000</v>
      </c>
      <c r="H2709" s="63">
        <f t="shared" ref="H2709" si="337">F2709*G2709</f>
        <v>1280</v>
      </c>
      <c r="I2709" s="44"/>
    </row>
    <row r="2710" spans="3:13" s="59" customFormat="1" ht="22.2" customHeight="1">
      <c r="C2710" s="450" t="s">
        <v>1208</v>
      </c>
      <c r="D2710" s="67"/>
      <c r="E2710" s="67"/>
      <c r="F2710" s="142"/>
      <c r="G2710" s="153"/>
      <c r="H2710" s="63">
        <f>SUM(H2707:H2709)</f>
        <v>12075</v>
      </c>
      <c r="I2710" s="154"/>
    </row>
    <row r="2711" spans="3:13" s="59" customFormat="1" ht="22.2" customHeight="1">
      <c r="C2711" s="61" t="s">
        <v>1209</v>
      </c>
      <c r="D2711" s="56" t="s">
        <v>1210</v>
      </c>
      <c r="E2711" s="57"/>
      <c r="F2711" s="57"/>
      <c r="G2711" s="57"/>
      <c r="H2711" s="57"/>
      <c r="I2711" s="44"/>
    </row>
    <row r="2712" spans="3:13" s="59" customFormat="1" ht="22.2" customHeight="1">
      <c r="C2712" s="450" t="s">
        <v>1214</v>
      </c>
      <c r="D2712" s="67"/>
      <c r="E2712" s="67"/>
      <c r="F2712" s="67"/>
      <c r="G2712" s="69"/>
      <c r="H2712" s="63">
        <f>SUM(H2711:H2711)</f>
        <v>0</v>
      </c>
      <c r="I2712" s="44"/>
    </row>
    <row r="2713" spans="3:13" s="59" customFormat="1" ht="22.2" customHeight="1">
      <c r="C2713" s="61" t="s">
        <v>1215</v>
      </c>
      <c r="D2713" s="56" t="s">
        <v>1216</v>
      </c>
      <c r="E2713" s="93"/>
      <c r="F2713" s="57"/>
      <c r="G2713" s="57"/>
      <c r="H2713" s="57"/>
      <c r="I2713" s="44"/>
    </row>
    <row r="2714" spans="3:13" s="59" customFormat="1" ht="22.2" customHeight="1">
      <c r="C2714" s="800">
        <v>1</v>
      </c>
      <c r="D2714" s="56" t="s">
        <v>8463</v>
      </c>
      <c r="E2714" s="93" t="s">
        <v>1974</v>
      </c>
      <c r="F2714" s="590">
        <v>0.04</v>
      </c>
      <c r="G2714" s="63">
        <f>VLOOKUP(D2714,upahbahan,3,FALSE)</f>
        <v>75000</v>
      </c>
      <c r="H2714" s="63">
        <f t="shared" ref="H2714" si="338">F2714*G2714</f>
        <v>3000</v>
      </c>
      <c r="I2714" s="44"/>
    </row>
    <row r="2715" spans="3:13" s="59" customFormat="1" ht="22.2" customHeight="1">
      <c r="C2715" s="450" t="s">
        <v>1217</v>
      </c>
      <c r="D2715" s="67"/>
      <c r="E2715" s="67"/>
      <c r="F2715" s="67" t="s">
        <v>6045</v>
      </c>
      <c r="G2715" s="69"/>
      <c r="H2715" s="882">
        <f>SUM(H2714:H2714)</f>
        <v>3000</v>
      </c>
      <c r="I2715" s="44"/>
    </row>
    <row r="2716" spans="3:13" s="59" customFormat="1" ht="22.2" customHeight="1">
      <c r="C2716" s="288" t="s">
        <v>1218</v>
      </c>
      <c r="D2716" s="76" t="s">
        <v>1219</v>
      </c>
      <c r="E2716" s="77"/>
      <c r="F2716" s="77"/>
      <c r="G2716" s="78"/>
      <c r="H2716" s="585">
        <f>H2715+H2712+H2710</f>
        <v>15075</v>
      </c>
      <c r="I2716" s="369"/>
    </row>
    <row r="2717" spans="3:13" s="59" customFormat="1" ht="22.2" customHeight="1">
      <c r="C2717" s="288" t="s">
        <v>1220</v>
      </c>
      <c r="D2717" s="76" t="s">
        <v>1321</v>
      </c>
      <c r="E2717" s="77"/>
      <c r="F2717" s="78"/>
      <c r="G2717" s="80">
        <v>0.1</v>
      </c>
      <c r="H2717" s="63">
        <f>H2716*G2717</f>
        <v>1507.5</v>
      </c>
      <c r="I2717" s="369"/>
    </row>
    <row r="2718" spans="3:13" s="59" customFormat="1" ht="22.2" customHeight="1">
      <c r="C2718" s="288" t="s">
        <v>1221</v>
      </c>
      <c r="D2718" s="76" t="s">
        <v>1222</v>
      </c>
      <c r="E2718" s="77"/>
      <c r="F2718" s="77"/>
      <c r="G2718" s="78"/>
      <c r="H2718" s="799">
        <f>SUM(H2716:H2717)</f>
        <v>16582.5</v>
      </c>
      <c r="I2718" s="369"/>
    </row>
    <row r="2719" spans="3:13" ht="22.2" customHeight="1"/>
    <row r="2720" spans="3:13" ht="22.2" customHeight="1">
      <c r="C2720" s="43" t="s">
        <v>5043</v>
      </c>
      <c r="D2720" s="128" t="s">
        <v>8620</v>
      </c>
      <c r="I2720" s="50">
        <f>ROUNDDOWN(H2734,-2)</f>
        <v>24300</v>
      </c>
    </row>
    <row r="2721" spans="3:13" s="59" customFormat="1" ht="22.2" customHeight="1">
      <c r="C2721" s="591" t="s">
        <v>1195</v>
      </c>
      <c r="D2721" s="591" t="s">
        <v>1196</v>
      </c>
      <c r="E2721" s="591" t="s">
        <v>1197</v>
      </c>
      <c r="F2721" s="591" t="s">
        <v>1198</v>
      </c>
      <c r="G2721" s="591" t="s">
        <v>1199</v>
      </c>
      <c r="H2721" s="591" t="s">
        <v>1200</v>
      </c>
      <c r="I2721" s="44"/>
    </row>
    <row r="2722" spans="3:13" s="59" customFormat="1" ht="22.2" customHeight="1">
      <c r="C2722" s="61" t="s">
        <v>1201</v>
      </c>
      <c r="D2722" s="56" t="s">
        <v>1202</v>
      </c>
      <c r="E2722" s="57"/>
      <c r="F2722" s="57"/>
      <c r="G2722" s="57"/>
      <c r="H2722" s="57"/>
      <c r="I2722" s="44"/>
      <c r="J2722" s="152" t="s">
        <v>1247</v>
      </c>
    </row>
    <row r="2723" spans="3:13" s="59" customFormat="1" ht="22.2" customHeight="1">
      <c r="C2723" s="588">
        <v>1</v>
      </c>
      <c r="D2723" s="56" t="s">
        <v>5</v>
      </c>
      <c r="E2723" s="577" t="s">
        <v>6</v>
      </c>
      <c r="F2723" s="101">
        <v>0.13300000000000001</v>
      </c>
      <c r="G2723" s="63">
        <f>VLOOKUP(D2723,upahbahan,3,FALSE)</f>
        <v>100000</v>
      </c>
      <c r="H2723" s="63">
        <f>F2723*G2723</f>
        <v>13300</v>
      </c>
      <c r="I2723" s="44"/>
      <c r="J2723" s="152" t="s">
        <v>1248</v>
      </c>
      <c r="M2723" s="65">
        <v>0.1</v>
      </c>
    </row>
    <row r="2724" spans="3:13" s="59" customFormat="1" ht="22.2" customHeight="1">
      <c r="C2724" s="588">
        <v>2</v>
      </c>
      <c r="D2724" s="56" t="s">
        <v>10</v>
      </c>
      <c r="E2724" s="577" t="s">
        <v>6</v>
      </c>
      <c r="F2724" s="101">
        <v>2.7E-2</v>
      </c>
      <c r="G2724" s="63">
        <f>VLOOKUP(D2724,upahbahan,3,FALSE)</f>
        <v>135000</v>
      </c>
      <c r="H2724" s="63">
        <f>F2724*G2724</f>
        <v>3645</v>
      </c>
      <c r="I2724" s="44"/>
      <c r="J2724" s="152"/>
      <c r="M2724" s="65"/>
    </row>
    <row r="2725" spans="3:13" s="59" customFormat="1" ht="22.2" customHeight="1">
      <c r="C2725" s="588">
        <v>3</v>
      </c>
      <c r="D2725" s="56" t="s">
        <v>19</v>
      </c>
      <c r="E2725" s="577" t="s">
        <v>6</v>
      </c>
      <c r="F2725" s="101">
        <v>1.2999999999999999E-2</v>
      </c>
      <c r="G2725" s="63">
        <f>VLOOKUP(D2725,upahbahan,3,FALSE)</f>
        <v>160000</v>
      </c>
      <c r="H2725" s="63">
        <f t="shared" ref="H2725" si="339">F2725*G2725</f>
        <v>2080</v>
      </c>
      <c r="I2725" s="44"/>
    </row>
    <row r="2726" spans="3:13" s="59" customFormat="1" ht="22.2" customHeight="1">
      <c r="C2726" s="450" t="s">
        <v>1208</v>
      </c>
      <c r="D2726" s="67"/>
      <c r="E2726" s="67"/>
      <c r="F2726" s="142"/>
      <c r="G2726" s="153"/>
      <c r="H2726" s="63">
        <f>SUM(H2723:H2725)</f>
        <v>19025</v>
      </c>
      <c r="I2726" s="154"/>
    </row>
    <row r="2727" spans="3:13" s="59" customFormat="1" ht="22.2" customHeight="1">
      <c r="C2727" s="61" t="s">
        <v>1209</v>
      </c>
      <c r="D2727" s="56" t="s">
        <v>1210</v>
      </c>
      <c r="E2727" s="57"/>
      <c r="F2727" s="57"/>
      <c r="G2727" s="57"/>
      <c r="H2727" s="57"/>
      <c r="I2727" s="44"/>
    </row>
    <row r="2728" spans="3:13" s="59" customFormat="1" ht="22.2" customHeight="1">
      <c r="C2728" s="450" t="s">
        <v>1214</v>
      </c>
      <c r="D2728" s="67"/>
      <c r="E2728" s="67"/>
      <c r="F2728" s="67"/>
      <c r="G2728" s="69"/>
      <c r="H2728" s="63">
        <f>SUM(H2727:H2727)</f>
        <v>0</v>
      </c>
      <c r="I2728" s="44"/>
    </row>
    <row r="2729" spans="3:13" s="59" customFormat="1" ht="22.2" customHeight="1">
      <c r="C2729" s="61" t="s">
        <v>1215</v>
      </c>
      <c r="D2729" s="56" t="s">
        <v>1216</v>
      </c>
      <c r="E2729" s="93"/>
      <c r="F2729" s="57"/>
      <c r="G2729" s="57"/>
      <c r="H2729" s="57"/>
      <c r="I2729" s="44"/>
    </row>
    <row r="2730" spans="3:13" s="59" customFormat="1" ht="22.2" customHeight="1">
      <c r="C2730" s="800">
        <v>1</v>
      </c>
      <c r="D2730" s="56" t="s">
        <v>8463</v>
      </c>
      <c r="E2730" s="93" t="s">
        <v>1974</v>
      </c>
      <c r="F2730" s="590">
        <v>4.2000000000000003E-2</v>
      </c>
      <c r="G2730" s="63">
        <f>VLOOKUP(D2730,upahbahan,3,FALSE)</f>
        <v>75000</v>
      </c>
      <c r="H2730" s="63">
        <f t="shared" ref="H2730" si="340">F2730*G2730</f>
        <v>3150</v>
      </c>
      <c r="I2730" s="44"/>
    </row>
    <row r="2731" spans="3:13" s="59" customFormat="1" ht="22.2" customHeight="1">
      <c r="C2731" s="450" t="s">
        <v>1217</v>
      </c>
      <c r="D2731" s="67"/>
      <c r="E2731" s="67"/>
      <c r="F2731" s="67"/>
      <c r="G2731" s="69"/>
      <c r="H2731" s="882">
        <f>SUM(H2730:H2730)</f>
        <v>3150</v>
      </c>
      <c r="I2731" s="44"/>
    </row>
    <row r="2732" spans="3:13" s="59" customFormat="1" ht="22.2" customHeight="1">
      <c r="C2732" s="288" t="s">
        <v>1218</v>
      </c>
      <c r="D2732" s="76" t="s">
        <v>1219</v>
      </c>
      <c r="E2732" s="77"/>
      <c r="F2732" s="77"/>
      <c r="G2732" s="78"/>
      <c r="H2732" s="585">
        <f>H2731+H2728+H2726</f>
        <v>22175</v>
      </c>
      <c r="I2732" s="369"/>
    </row>
    <row r="2733" spans="3:13" s="59" customFormat="1" ht="22.2" customHeight="1">
      <c r="C2733" s="288" t="s">
        <v>1220</v>
      </c>
      <c r="D2733" s="76" t="s">
        <v>1321</v>
      </c>
      <c r="E2733" s="77"/>
      <c r="F2733" s="78"/>
      <c r="G2733" s="80">
        <v>0.1</v>
      </c>
      <c r="H2733" s="63">
        <f>H2732*G2733</f>
        <v>2217.5</v>
      </c>
      <c r="I2733" s="369"/>
    </row>
    <row r="2734" spans="3:13" s="59" customFormat="1" ht="22.2" customHeight="1">
      <c r="C2734" s="288" t="s">
        <v>1221</v>
      </c>
      <c r="D2734" s="76" t="s">
        <v>1222</v>
      </c>
      <c r="E2734" s="77"/>
      <c r="F2734" s="77"/>
      <c r="G2734" s="78"/>
      <c r="H2734" s="799">
        <f>SUM(H2732:H2733)</f>
        <v>24392.5</v>
      </c>
      <c r="I2734" s="369"/>
    </row>
    <row r="2735" spans="3:13" ht="22.2" customHeight="1"/>
    <row r="2736" spans="3:13" ht="22.2" customHeight="1">
      <c r="C2736" s="43" t="s">
        <v>5044</v>
      </c>
      <c r="D2736" s="128" t="s">
        <v>8621</v>
      </c>
      <c r="I2736" s="50">
        <f>ROUNDDOWN(H2750,-2)</f>
        <v>32600</v>
      </c>
    </row>
    <row r="2737" spans="3:13" s="59" customFormat="1" ht="22.2" customHeight="1">
      <c r="C2737" s="591" t="s">
        <v>1195</v>
      </c>
      <c r="D2737" s="591" t="s">
        <v>1196</v>
      </c>
      <c r="E2737" s="591" t="s">
        <v>1197</v>
      </c>
      <c r="F2737" s="591" t="s">
        <v>1198</v>
      </c>
      <c r="G2737" s="591" t="s">
        <v>1199</v>
      </c>
      <c r="H2737" s="591" t="s">
        <v>1200</v>
      </c>
      <c r="I2737" s="44"/>
    </row>
    <row r="2738" spans="3:13" s="59" customFormat="1" ht="22.2" customHeight="1">
      <c r="C2738" s="61" t="s">
        <v>1201</v>
      </c>
      <c r="D2738" s="56" t="s">
        <v>1202</v>
      </c>
      <c r="E2738" s="57"/>
      <c r="F2738" s="57"/>
      <c r="G2738" s="57"/>
      <c r="H2738" s="57"/>
      <c r="I2738" s="44"/>
      <c r="J2738" s="152" t="s">
        <v>1247</v>
      </c>
    </row>
    <row r="2739" spans="3:13" s="59" customFormat="1" ht="22.2" customHeight="1">
      <c r="C2739" s="588">
        <v>1</v>
      </c>
      <c r="D2739" s="56" t="s">
        <v>5</v>
      </c>
      <c r="E2739" s="577" t="s">
        <v>6</v>
      </c>
      <c r="F2739" s="101">
        <v>0.184</v>
      </c>
      <c r="G2739" s="63">
        <f>VLOOKUP(D2739,upahbahan,3,FALSE)</f>
        <v>100000</v>
      </c>
      <c r="H2739" s="63">
        <f>F2739*G2739</f>
        <v>18400</v>
      </c>
      <c r="I2739" s="44"/>
      <c r="J2739" s="152" t="s">
        <v>1248</v>
      </c>
      <c r="M2739" s="65">
        <v>0.1</v>
      </c>
    </row>
    <row r="2740" spans="3:13" s="59" customFormat="1" ht="22.2" customHeight="1">
      <c r="C2740" s="588">
        <v>2</v>
      </c>
      <c r="D2740" s="56" t="s">
        <v>10</v>
      </c>
      <c r="E2740" s="577" t="s">
        <v>6</v>
      </c>
      <c r="F2740" s="101">
        <v>3.6999999999999998E-2</v>
      </c>
      <c r="G2740" s="63">
        <f>VLOOKUP(D2740,upahbahan,3,FALSE)</f>
        <v>135000</v>
      </c>
      <c r="H2740" s="63">
        <f>F2740*G2740</f>
        <v>4995</v>
      </c>
      <c r="I2740" s="44"/>
      <c r="J2740" s="152"/>
      <c r="M2740" s="65"/>
    </row>
    <row r="2741" spans="3:13" s="59" customFormat="1" ht="22.2" customHeight="1">
      <c r="C2741" s="588">
        <v>3</v>
      </c>
      <c r="D2741" s="56" t="s">
        <v>19</v>
      </c>
      <c r="E2741" s="577" t="s">
        <v>6</v>
      </c>
      <c r="F2741" s="101">
        <v>1.7999999999999999E-2</v>
      </c>
      <c r="G2741" s="63">
        <f>VLOOKUP(D2741,upahbahan,3,FALSE)</f>
        <v>160000</v>
      </c>
      <c r="H2741" s="63">
        <f t="shared" ref="H2741" si="341">F2741*G2741</f>
        <v>2880</v>
      </c>
      <c r="I2741" s="44"/>
    </row>
    <row r="2742" spans="3:13" s="59" customFormat="1" ht="22.2" customHeight="1">
      <c r="C2742" s="450" t="s">
        <v>1208</v>
      </c>
      <c r="D2742" s="67"/>
      <c r="E2742" s="67"/>
      <c r="F2742" s="142"/>
      <c r="G2742" s="153"/>
      <c r="H2742" s="63">
        <f>SUM(H2739:H2741)</f>
        <v>26275</v>
      </c>
      <c r="I2742" s="154"/>
    </row>
    <row r="2743" spans="3:13" s="59" customFormat="1" ht="22.2" customHeight="1">
      <c r="C2743" s="61" t="s">
        <v>1209</v>
      </c>
      <c r="D2743" s="56" t="s">
        <v>1210</v>
      </c>
      <c r="E2743" s="57"/>
      <c r="F2743" s="57"/>
      <c r="G2743" s="57"/>
      <c r="H2743" s="57"/>
      <c r="I2743" s="44"/>
    </row>
    <row r="2744" spans="3:13" s="59" customFormat="1" ht="22.2" customHeight="1">
      <c r="C2744" s="450" t="s">
        <v>1214</v>
      </c>
      <c r="D2744" s="67"/>
      <c r="E2744" s="67"/>
      <c r="F2744" s="67"/>
      <c r="G2744" s="69"/>
      <c r="H2744" s="63">
        <f>SUM(H2743:H2743)</f>
        <v>0</v>
      </c>
      <c r="I2744" s="44"/>
    </row>
    <row r="2745" spans="3:13" s="59" customFormat="1" ht="22.2" customHeight="1">
      <c r="C2745" s="61" t="s">
        <v>1215</v>
      </c>
      <c r="D2745" s="56" t="s">
        <v>1216</v>
      </c>
      <c r="E2745" s="93"/>
      <c r="F2745" s="57"/>
      <c r="G2745" s="57"/>
      <c r="H2745" s="57"/>
      <c r="I2745" s="44"/>
    </row>
    <row r="2746" spans="3:13" s="59" customFormat="1" ht="22.2" customHeight="1">
      <c r="C2746" s="800">
        <v>1</v>
      </c>
      <c r="D2746" s="56" t="s">
        <v>8463</v>
      </c>
      <c r="E2746" s="93" t="s">
        <v>1974</v>
      </c>
      <c r="F2746" s="590">
        <v>4.4999999999999998E-2</v>
      </c>
      <c r="G2746" s="63">
        <f>VLOOKUP(D2746,upahbahan,3,FALSE)</f>
        <v>75000</v>
      </c>
      <c r="H2746" s="63">
        <f t="shared" ref="H2746" si="342">F2746*G2746</f>
        <v>3375</v>
      </c>
      <c r="I2746" s="44"/>
    </row>
    <row r="2747" spans="3:13" s="59" customFormat="1" ht="22.2" customHeight="1">
      <c r="C2747" s="450" t="s">
        <v>1217</v>
      </c>
      <c r="D2747" s="67"/>
      <c r="E2747" s="67"/>
      <c r="F2747" s="67"/>
      <c r="G2747" s="69"/>
      <c r="H2747" s="882">
        <f>SUM(H2746:H2746)</f>
        <v>3375</v>
      </c>
      <c r="I2747" s="44"/>
    </row>
    <row r="2748" spans="3:13" s="59" customFormat="1" ht="22.2" customHeight="1">
      <c r="C2748" s="288" t="s">
        <v>1218</v>
      </c>
      <c r="D2748" s="76" t="s">
        <v>1219</v>
      </c>
      <c r="E2748" s="77"/>
      <c r="F2748" s="77"/>
      <c r="G2748" s="78"/>
      <c r="H2748" s="585">
        <f>H2747+H2744+H2742</f>
        <v>29650</v>
      </c>
      <c r="I2748" s="369"/>
    </row>
    <row r="2749" spans="3:13" s="59" customFormat="1" ht="22.2" customHeight="1">
      <c r="C2749" s="288" t="s">
        <v>1220</v>
      </c>
      <c r="D2749" s="76" t="s">
        <v>1321</v>
      </c>
      <c r="E2749" s="77"/>
      <c r="F2749" s="78"/>
      <c r="G2749" s="80">
        <v>0.1</v>
      </c>
      <c r="H2749" s="63">
        <f>H2748*G2749</f>
        <v>2965</v>
      </c>
      <c r="I2749" s="369"/>
    </row>
    <row r="2750" spans="3:13" s="59" customFormat="1" ht="22.2" customHeight="1">
      <c r="C2750" s="288" t="s">
        <v>1221</v>
      </c>
      <c r="D2750" s="76" t="s">
        <v>1222</v>
      </c>
      <c r="E2750" s="77"/>
      <c r="F2750" s="77"/>
      <c r="G2750" s="78"/>
      <c r="H2750" s="799">
        <f>SUM(H2748:H2749)</f>
        <v>32615</v>
      </c>
      <c r="I2750" s="369"/>
    </row>
    <row r="2751" spans="3:13" ht="22.2" customHeight="1"/>
    <row r="2752" spans="3:13" ht="22.2" customHeight="1">
      <c r="C2752" s="43" t="s">
        <v>5045</v>
      </c>
      <c r="D2752" s="128" t="s">
        <v>8622</v>
      </c>
      <c r="I2752" s="50">
        <f>ROUNDDOWN(H2766,-2)</f>
        <v>79800</v>
      </c>
    </row>
    <row r="2753" spans="3:13" s="59" customFormat="1" ht="22.2" customHeight="1">
      <c r="C2753" s="591" t="s">
        <v>1195</v>
      </c>
      <c r="D2753" s="591" t="s">
        <v>1196</v>
      </c>
      <c r="E2753" s="591" t="s">
        <v>1197</v>
      </c>
      <c r="F2753" s="591" t="s">
        <v>1198</v>
      </c>
      <c r="G2753" s="591" t="s">
        <v>1199</v>
      </c>
      <c r="H2753" s="591" t="s">
        <v>1200</v>
      </c>
      <c r="I2753" s="44"/>
    </row>
    <row r="2754" spans="3:13" s="59" customFormat="1" ht="22.2" customHeight="1">
      <c r="C2754" s="61" t="s">
        <v>1201</v>
      </c>
      <c r="D2754" s="56" t="s">
        <v>1202</v>
      </c>
      <c r="E2754" s="57"/>
      <c r="F2754" s="57"/>
      <c r="G2754" s="57"/>
      <c r="H2754" s="57"/>
      <c r="I2754" s="44"/>
      <c r="J2754" s="152" t="s">
        <v>1247</v>
      </c>
    </row>
    <row r="2755" spans="3:13" s="59" customFormat="1" ht="22.2" customHeight="1">
      <c r="C2755" s="588">
        <v>1</v>
      </c>
      <c r="D2755" s="56" t="s">
        <v>5</v>
      </c>
      <c r="E2755" s="577" t="s">
        <v>6</v>
      </c>
      <c r="F2755" s="101">
        <v>0.47599999999999998</v>
      </c>
      <c r="G2755" s="63">
        <f>VLOOKUP(D2755,upahbahan,3,FALSE)</f>
        <v>100000</v>
      </c>
      <c r="H2755" s="63">
        <f>F2755*G2755</f>
        <v>47600</v>
      </c>
      <c r="I2755" s="44"/>
      <c r="J2755" s="152" t="s">
        <v>1248</v>
      </c>
      <c r="M2755" s="65">
        <v>0.1</v>
      </c>
    </row>
    <row r="2756" spans="3:13" s="59" customFormat="1" ht="22.2" customHeight="1">
      <c r="C2756" s="588">
        <v>2</v>
      </c>
      <c r="D2756" s="56" t="s">
        <v>10</v>
      </c>
      <c r="E2756" s="577" t="s">
        <v>6</v>
      </c>
      <c r="F2756" s="101">
        <v>9.5000000000000001E-2</v>
      </c>
      <c r="G2756" s="63">
        <f>VLOOKUP(D2756,upahbahan,3,FALSE)</f>
        <v>135000</v>
      </c>
      <c r="H2756" s="63">
        <f>F2756*G2756</f>
        <v>12825</v>
      </c>
      <c r="I2756" s="44"/>
      <c r="J2756" s="152"/>
      <c r="M2756" s="65"/>
    </row>
    <row r="2757" spans="3:13" s="59" customFormat="1" ht="22.2" customHeight="1">
      <c r="C2757" s="588">
        <v>3</v>
      </c>
      <c r="D2757" s="56" t="s">
        <v>19</v>
      </c>
      <c r="E2757" s="577" t="s">
        <v>6</v>
      </c>
      <c r="F2757" s="101">
        <v>4.8000000000000001E-2</v>
      </c>
      <c r="G2757" s="63">
        <f>VLOOKUP(D2757,upahbahan,3,FALSE)</f>
        <v>160000</v>
      </c>
      <c r="H2757" s="63">
        <f t="shared" ref="H2757" si="343">F2757*G2757</f>
        <v>7680</v>
      </c>
      <c r="I2757" s="44"/>
    </row>
    <row r="2758" spans="3:13" s="59" customFormat="1" ht="22.2" customHeight="1">
      <c r="C2758" s="450" t="s">
        <v>1208</v>
      </c>
      <c r="D2758" s="67"/>
      <c r="E2758" s="67"/>
      <c r="F2758" s="142"/>
      <c r="G2758" s="153"/>
      <c r="H2758" s="63">
        <f>SUM(H2755:H2757)</f>
        <v>68105</v>
      </c>
      <c r="I2758" s="154"/>
    </row>
    <row r="2759" spans="3:13" s="59" customFormat="1" ht="22.2" customHeight="1">
      <c r="C2759" s="61" t="s">
        <v>1209</v>
      </c>
      <c r="D2759" s="56" t="s">
        <v>1210</v>
      </c>
      <c r="E2759" s="57"/>
      <c r="F2759" s="57"/>
      <c r="G2759" s="57"/>
      <c r="H2759" s="57"/>
      <c r="I2759" s="44"/>
    </row>
    <row r="2760" spans="3:13" s="59" customFormat="1" ht="22.2" customHeight="1">
      <c r="C2760" s="450" t="s">
        <v>1214</v>
      </c>
      <c r="D2760" s="67"/>
      <c r="E2760" s="67"/>
      <c r="F2760" s="67"/>
      <c r="G2760" s="69"/>
      <c r="H2760" s="63">
        <f>SUM(H2759:H2759)</f>
        <v>0</v>
      </c>
      <c r="I2760" s="44"/>
    </row>
    <row r="2761" spans="3:13" s="59" customFormat="1" ht="22.2" customHeight="1">
      <c r="C2761" s="61" t="s">
        <v>1215</v>
      </c>
      <c r="D2761" s="56" t="s">
        <v>1216</v>
      </c>
      <c r="E2761" s="93"/>
      <c r="F2761" s="57"/>
      <c r="G2761" s="57"/>
      <c r="H2761" s="57"/>
      <c r="I2761" s="44"/>
    </row>
    <row r="2762" spans="3:13" s="59" customFormat="1" ht="22.2" customHeight="1">
      <c r="C2762" s="800">
        <v>1</v>
      </c>
      <c r="D2762" s="56" t="s">
        <v>8463</v>
      </c>
      <c r="E2762" s="93" t="s">
        <v>1974</v>
      </c>
      <c r="F2762" s="590">
        <v>0.06</v>
      </c>
      <c r="G2762" s="63">
        <f>VLOOKUP(D2762,upahbahan,3,FALSE)</f>
        <v>75000</v>
      </c>
      <c r="H2762" s="63">
        <f t="shared" ref="H2762" si="344">F2762*G2762</f>
        <v>4500</v>
      </c>
      <c r="I2762" s="44"/>
    </row>
    <row r="2763" spans="3:13" s="59" customFormat="1" ht="22.2" customHeight="1">
      <c r="C2763" s="450" t="s">
        <v>1217</v>
      </c>
      <c r="D2763" s="67"/>
      <c r="E2763" s="67"/>
      <c r="F2763" s="67"/>
      <c r="G2763" s="69"/>
      <c r="H2763" s="882">
        <f>SUM(H2762:H2762)</f>
        <v>4500</v>
      </c>
      <c r="I2763" s="44"/>
    </row>
    <row r="2764" spans="3:13" s="59" customFormat="1" ht="22.2" customHeight="1">
      <c r="C2764" s="288" t="s">
        <v>1218</v>
      </c>
      <c r="D2764" s="76" t="s">
        <v>1219</v>
      </c>
      <c r="E2764" s="77"/>
      <c r="F2764" s="77"/>
      <c r="G2764" s="78"/>
      <c r="H2764" s="585">
        <f>H2763+H2760+H2758</f>
        <v>72605</v>
      </c>
      <c r="I2764" s="369"/>
    </row>
    <row r="2765" spans="3:13" s="59" customFormat="1" ht="22.2" customHeight="1">
      <c r="C2765" s="288" t="s">
        <v>1220</v>
      </c>
      <c r="D2765" s="76" t="s">
        <v>1321</v>
      </c>
      <c r="E2765" s="77"/>
      <c r="F2765" s="78"/>
      <c r="G2765" s="80">
        <v>0.1</v>
      </c>
      <c r="H2765" s="63">
        <f>H2764*G2765</f>
        <v>7260.5</v>
      </c>
      <c r="I2765" s="369"/>
    </row>
    <row r="2766" spans="3:13" s="59" customFormat="1" ht="22.2" customHeight="1">
      <c r="C2766" s="288" t="s">
        <v>1221</v>
      </c>
      <c r="D2766" s="76" t="s">
        <v>1222</v>
      </c>
      <c r="E2766" s="77"/>
      <c r="F2766" s="77"/>
      <c r="G2766" s="78"/>
      <c r="H2766" s="799">
        <f>SUM(H2764:H2765)</f>
        <v>79865.5</v>
      </c>
      <c r="I2766" s="369"/>
    </row>
    <row r="2767" spans="3:13" ht="22.2" customHeight="1"/>
    <row r="2768" spans="3:13" ht="22.2" customHeight="1">
      <c r="C2768" s="43" t="s">
        <v>5046</v>
      </c>
      <c r="D2768" s="128" t="s">
        <v>8623</v>
      </c>
      <c r="I2768" s="50">
        <f>ROUNDDOWN(H2782,-2)</f>
        <v>109900</v>
      </c>
    </row>
    <row r="2769" spans="3:13" s="59" customFormat="1" ht="22.2" customHeight="1">
      <c r="C2769" s="591" t="s">
        <v>1195</v>
      </c>
      <c r="D2769" s="591" t="s">
        <v>1196</v>
      </c>
      <c r="E2769" s="591" t="s">
        <v>1197</v>
      </c>
      <c r="F2769" s="591" t="s">
        <v>1198</v>
      </c>
      <c r="G2769" s="591" t="s">
        <v>1199</v>
      </c>
      <c r="H2769" s="591" t="s">
        <v>1200</v>
      </c>
      <c r="I2769" s="44"/>
    </row>
    <row r="2770" spans="3:13" s="59" customFormat="1" ht="22.2" customHeight="1">
      <c r="C2770" s="61" t="s">
        <v>1201</v>
      </c>
      <c r="D2770" s="56" t="s">
        <v>1202</v>
      </c>
      <c r="E2770" s="57"/>
      <c r="F2770" s="57"/>
      <c r="G2770" s="57"/>
      <c r="H2770" s="57"/>
      <c r="I2770" s="44"/>
      <c r="J2770" s="152" t="s">
        <v>1247</v>
      </c>
    </row>
    <row r="2771" spans="3:13" s="59" customFormat="1" ht="22.2" customHeight="1">
      <c r="C2771" s="588">
        <v>1</v>
      </c>
      <c r="D2771" s="56" t="s">
        <v>5</v>
      </c>
      <c r="E2771" s="577" t="s">
        <v>6</v>
      </c>
      <c r="F2771" s="101">
        <v>0.66300000000000003</v>
      </c>
      <c r="G2771" s="63">
        <f>VLOOKUP(D2771,upahbahan,3,FALSE)</f>
        <v>100000</v>
      </c>
      <c r="H2771" s="63">
        <f>F2771*G2771</f>
        <v>66300</v>
      </c>
      <c r="I2771" s="44"/>
      <c r="J2771" s="152" t="s">
        <v>1248</v>
      </c>
      <c r="M2771" s="65">
        <v>0.1</v>
      </c>
    </row>
    <row r="2772" spans="3:13" s="59" customFormat="1" ht="22.2" customHeight="1">
      <c r="C2772" s="588">
        <v>2</v>
      </c>
      <c r="D2772" s="56" t="s">
        <v>10</v>
      </c>
      <c r="E2772" s="577" t="s">
        <v>6</v>
      </c>
      <c r="F2772" s="101">
        <v>0.13300000000000001</v>
      </c>
      <c r="G2772" s="63">
        <f>VLOOKUP(D2772,upahbahan,3,FALSE)</f>
        <v>135000</v>
      </c>
      <c r="H2772" s="63">
        <f>F2772*G2772</f>
        <v>17955</v>
      </c>
      <c r="I2772" s="44"/>
      <c r="J2772" s="152"/>
      <c r="M2772" s="65"/>
    </row>
    <row r="2773" spans="3:13" s="59" customFormat="1" ht="22.2" customHeight="1">
      <c r="C2773" s="588">
        <v>3</v>
      </c>
      <c r="D2773" s="56" t="s">
        <v>19</v>
      </c>
      <c r="E2773" s="577" t="s">
        <v>6</v>
      </c>
      <c r="F2773" s="101">
        <v>6.6000000000000003E-2</v>
      </c>
      <c r="G2773" s="63">
        <f>VLOOKUP(D2773,upahbahan,3,FALSE)</f>
        <v>160000</v>
      </c>
      <c r="H2773" s="63">
        <f t="shared" ref="H2773" si="345">F2773*G2773</f>
        <v>10560</v>
      </c>
      <c r="I2773" s="44"/>
    </row>
    <row r="2774" spans="3:13" s="59" customFormat="1" ht="22.2" customHeight="1">
      <c r="C2774" s="450" t="s">
        <v>1208</v>
      </c>
      <c r="D2774" s="67"/>
      <c r="E2774" s="67"/>
      <c r="F2774" s="142"/>
      <c r="G2774" s="153"/>
      <c r="H2774" s="63">
        <f>SUM(H2771:H2773)</f>
        <v>94815</v>
      </c>
      <c r="I2774" s="154"/>
    </row>
    <row r="2775" spans="3:13" s="59" customFormat="1" ht="22.2" customHeight="1">
      <c r="C2775" s="61" t="s">
        <v>1209</v>
      </c>
      <c r="D2775" s="56" t="s">
        <v>1210</v>
      </c>
      <c r="E2775" s="57"/>
      <c r="F2775" s="57"/>
      <c r="G2775" s="57"/>
      <c r="H2775" s="57"/>
      <c r="I2775" s="44"/>
    </row>
    <row r="2776" spans="3:13" s="59" customFormat="1" ht="22.2" customHeight="1">
      <c r="C2776" s="450" t="s">
        <v>1214</v>
      </c>
      <c r="D2776" s="67"/>
      <c r="E2776" s="67"/>
      <c r="F2776" s="67"/>
      <c r="G2776" s="69"/>
      <c r="H2776" s="63">
        <f>SUM(H2775:H2775)</f>
        <v>0</v>
      </c>
      <c r="I2776" s="44"/>
    </row>
    <row r="2777" spans="3:13" s="59" customFormat="1" ht="22.2" customHeight="1">
      <c r="C2777" s="61" t="s">
        <v>1215</v>
      </c>
      <c r="D2777" s="56" t="s">
        <v>1216</v>
      </c>
      <c r="E2777" s="93"/>
      <c r="F2777" s="57"/>
      <c r="G2777" s="57"/>
      <c r="H2777" s="57"/>
      <c r="I2777" s="44"/>
    </row>
    <row r="2778" spans="3:13" s="59" customFormat="1" ht="22.2" customHeight="1">
      <c r="C2778" s="800">
        <v>1</v>
      </c>
      <c r="D2778" s="56" t="s">
        <v>8463</v>
      </c>
      <c r="E2778" s="93" t="s">
        <v>1974</v>
      </c>
      <c r="F2778" s="590">
        <v>6.8000000000000005E-2</v>
      </c>
      <c r="G2778" s="63">
        <f>VLOOKUP(D2778,upahbahan,3,FALSE)</f>
        <v>75000</v>
      </c>
      <c r="H2778" s="63">
        <f t="shared" ref="H2778" si="346">F2778*G2778</f>
        <v>5100</v>
      </c>
      <c r="I2778" s="44"/>
    </row>
    <row r="2779" spans="3:13" s="59" customFormat="1" ht="22.2" customHeight="1">
      <c r="C2779" s="450" t="s">
        <v>1217</v>
      </c>
      <c r="D2779" s="67"/>
      <c r="E2779" s="67"/>
      <c r="F2779" s="67"/>
      <c r="G2779" s="69"/>
      <c r="H2779" s="882">
        <f>SUM(H2778:H2778)</f>
        <v>5100</v>
      </c>
      <c r="I2779" s="44"/>
    </row>
    <row r="2780" spans="3:13" s="59" customFormat="1" ht="22.2" customHeight="1">
      <c r="C2780" s="288" t="s">
        <v>1218</v>
      </c>
      <c r="D2780" s="76" t="s">
        <v>1219</v>
      </c>
      <c r="E2780" s="77"/>
      <c r="F2780" s="77"/>
      <c r="G2780" s="78"/>
      <c r="H2780" s="585">
        <f>H2779+H2776+H2774</f>
        <v>99915</v>
      </c>
      <c r="I2780" s="369"/>
    </row>
    <row r="2781" spans="3:13" s="59" customFormat="1" ht="22.2" customHeight="1">
      <c r="C2781" s="288" t="s">
        <v>1220</v>
      </c>
      <c r="D2781" s="76" t="s">
        <v>1321</v>
      </c>
      <c r="E2781" s="77"/>
      <c r="F2781" s="78"/>
      <c r="G2781" s="80">
        <v>0.1</v>
      </c>
      <c r="H2781" s="63">
        <f>H2780*G2781</f>
        <v>9991.5</v>
      </c>
      <c r="I2781" s="369"/>
    </row>
    <row r="2782" spans="3:13" s="59" customFormat="1" ht="22.2" customHeight="1">
      <c r="C2782" s="288" t="s">
        <v>1221</v>
      </c>
      <c r="D2782" s="76" t="s">
        <v>1222</v>
      </c>
      <c r="E2782" s="77"/>
      <c r="F2782" s="77"/>
      <c r="G2782" s="78"/>
      <c r="H2782" s="799">
        <f>SUM(H2780:H2781)</f>
        <v>109906.5</v>
      </c>
      <c r="I2782" s="369"/>
    </row>
    <row r="2783" spans="3:13" ht="22.2" customHeight="1"/>
    <row r="2784" spans="3:13" ht="22.2" customHeight="1">
      <c r="C2784" s="43" t="s">
        <v>5047</v>
      </c>
      <c r="D2784" s="128" t="s">
        <v>8624</v>
      </c>
      <c r="I2784" s="50">
        <f>ROUNDDOWN(H2798,-2)</f>
        <v>123000</v>
      </c>
    </row>
    <row r="2785" spans="3:13" s="59" customFormat="1" ht="22.2" customHeight="1">
      <c r="C2785" s="591" t="s">
        <v>1195</v>
      </c>
      <c r="D2785" s="591" t="s">
        <v>1196</v>
      </c>
      <c r="E2785" s="591" t="s">
        <v>1197</v>
      </c>
      <c r="F2785" s="591" t="s">
        <v>1198</v>
      </c>
      <c r="G2785" s="591" t="s">
        <v>1199</v>
      </c>
      <c r="H2785" s="591" t="s">
        <v>1200</v>
      </c>
      <c r="I2785" s="44"/>
    </row>
    <row r="2786" spans="3:13" s="59" customFormat="1" ht="22.2" customHeight="1">
      <c r="C2786" s="61" t="s">
        <v>1201</v>
      </c>
      <c r="D2786" s="56" t="s">
        <v>1202</v>
      </c>
      <c r="E2786" s="57"/>
      <c r="F2786" s="57"/>
      <c r="G2786" s="57"/>
      <c r="H2786" s="57"/>
      <c r="I2786" s="44"/>
      <c r="J2786" s="152" t="s">
        <v>1247</v>
      </c>
    </row>
    <row r="2787" spans="3:13" s="59" customFormat="1" ht="22.2" customHeight="1">
      <c r="C2787" s="588">
        <v>1</v>
      </c>
      <c r="D2787" s="56" t="s">
        <v>5</v>
      </c>
      <c r="E2787" s="577" t="s">
        <v>6</v>
      </c>
      <c r="F2787" s="101">
        <v>0.745</v>
      </c>
      <c r="G2787" s="63">
        <f>VLOOKUP(D2787,upahbahan,3,FALSE)</f>
        <v>100000</v>
      </c>
      <c r="H2787" s="63">
        <f>F2787*G2787</f>
        <v>74500</v>
      </c>
      <c r="I2787" s="44"/>
      <c r="J2787" s="152" t="s">
        <v>1248</v>
      </c>
      <c r="M2787" s="65">
        <v>0.1</v>
      </c>
    </row>
    <row r="2788" spans="3:13" s="59" customFormat="1" ht="22.2" customHeight="1">
      <c r="C2788" s="588">
        <v>2</v>
      </c>
      <c r="D2788" s="56" t="s">
        <v>10</v>
      </c>
      <c r="E2788" s="577" t="s">
        <v>6</v>
      </c>
      <c r="F2788" s="101">
        <v>0.14899999999999999</v>
      </c>
      <c r="G2788" s="63">
        <f>VLOOKUP(D2788,upahbahan,3,FALSE)</f>
        <v>135000</v>
      </c>
      <c r="H2788" s="63">
        <f>F2788*G2788</f>
        <v>20115</v>
      </c>
      <c r="I2788" s="44"/>
      <c r="J2788" s="152"/>
      <c r="M2788" s="65"/>
    </row>
    <row r="2789" spans="3:13" s="59" customFormat="1" ht="22.2" customHeight="1">
      <c r="C2789" s="588">
        <v>3</v>
      </c>
      <c r="D2789" s="56" t="s">
        <v>19</v>
      </c>
      <c r="E2789" s="577" t="s">
        <v>6</v>
      </c>
      <c r="F2789" s="101">
        <v>7.3999999999999996E-2</v>
      </c>
      <c r="G2789" s="63">
        <f>VLOOKUP(D2789,upahbahan,3,FALSE)</f>
        <v>160000</v>
      </c>
      <c r="H2789" s="63">
        <f t="shared" ref="H2789" si="347">F2789*G2789</f>
        <v>11840</v>
      </c>
      <c r="I2789" s="44"/>
    </row>
    <row r="2790" spans="3:13" s="59" customFormat="1" ht="22.2" customHeight="1">
      <c r="C2790" s="450" t="s">
        <v>1208</v>
      </c>
      <c r="D2790" s="67"/>
      <c r="E2790" s="67"/>
      <c r="F2790" s="142"/>
      <c r="G2790" s="153"/>
      <c r="H2790" s="63">
        <f>SUM(H2787:H2789)</f>
        <v>106455</v>
      </c>
      <c r="I2790" s="154"/>
    </row>
    <row r="2791" spans="3:13" s="59" customFormat="1" ht="22.2" customHeight="1">
      <c r="C2791" s="61" t="s">
        <v>1209</v>
      </c>
      <c r="D2791" s="56" t="s">
        <v>1210</v>
      </c>
      <c r="E2791" s="57"/>
      <c r="F2791" s="57"/>
      <c r="G2791" s="57"/>
      <c r="H2791" s="57"/>
      <c r="I2791" s="44"/>
    </row>
    <row r="2792" spans="3:13" s="59" customFormat="1" ht="22.2" customHeight="1">
      <c r="C2792" s="450" t="s">
        <v>1214</v>
      </c>
      <c r="D2792" s="67"/>
      <c r="E2792" s="67"/>
      <c r="F2792" s="67"/>
      <c r="G2792" s="69"/>
      <c r="H2792" s="63">
        <f>SUM(H2791:H2791)</f>
        <v>0</v>
      </c>
      <c r="I2792" s="44"/>
    </row>
    <row r="2793" spans="3:13" s="59" customFormat="1" ht="22.2" customHeight="1">
      <c r="C2793" s="61" t="s">
        <v>1215</v>
      </c>
      <c r="D2793" s="56" t="s">
        <v>1216</v>
      </c>
      <c r="E2793" s="93"/>
      <c r="F2793" s="57"/>
      <c r="G2793" s="57"/>
      <c r="H2793" s="57"/>
      <c r="I2793" s="44"/>
    </row>
    <row r="2794" spans="3:13" s="59" customFormat="1" ht="22.2" customHeight="1">
      <c r="C2794" s="800">
        <v>1</v>
      </c>
      <c r="D2794" s="56" t="s">
        <v>8463</v>
      </c>
      <c r="E2794" s="93" t="s">
        <v>1974</v>
      </c>
      <c r="F2794" s="590">
        <v>7.1999999999999995E-2</v>
      </c>
      <c r="G2794" s="63">
        <f>VLOOKUP(D2794,upahbahan,3,FALSE)</f>
        <v>75000</v>
      </c>
      <c r="H2794" s="63">
        <f t="shared" ref="H2794" si="348">F2794*G2794</f>
        <v>5400</v>
      </c>
      <c r="I2794" s="44"/>
    </row>
    <row r="2795" spans="3:13" s="59" customFormat="1" ht="22.2" customHeight="1">
      <c r="C2795" s="450" t="s">
        <v>1217</v>
      </c>
      <c r="D2795" s="67"/>
      <c r="E2795" s="67"/>
      <c r="F2795" s="67"/>
      <c r="G2795" s="69"/>
      <c r="H2795" s="882">
        <f>SUM(H2794:H2794)</f>
        <v>5400</v>
      </c>
      <c r="I2795" s="44"/>
    </row>
    <row r="2796" spans="3:13" s="59" customFormat="1" ht="22.2" customHeight="1">
      <c r="C2796" s="288" t="s">
        <v>1218</v>
      </c>
      <c r="D2796" s="76" t="s">
        <v>1219</v>
      </c>
      <c r="E2796" s="77"/>
      <c r="F2796" s="77"/>
      <c r="G2796" s="78"/>
      <c r="H2796" s="585">
        <f>H2795+H2792+H2790</f>
        <v>111855</v>
      </c>
      <c r="I2796" s="369"/>
    </row>
    <row r="2797" spans="3:13" s="59" customFormat="1" ht="22.2" customHeight="1">
      <c r="C2797" s="288" t="s">
        <v>1220</v>
      </c>
      <c r="D2797" s="76" t="s">
        <v>1321</v>
      </c>
      <c r="E2797" s="77"/>
      <c r="F2797" s="78"/>
      <c r="G2797" s="80">
        <v>0.1</v>
      </c>
      <c r="H2797" s="63">
        <f>H2796*G2797</f>
        <v>11185.5</v>
      </c>
      <c r="I2797" s="369"/>
    </row>
    <row r="2798" spans="3:13" s="59" customFormat="1" ht="22.2" customHeight="1">
      <c r="C2798" s="288" t="s">
        <v>1221</v>
      </c>
      <c r="D2798" s="76" t="s">
        <v>1222</v>
      </c>
      <c r="E2798" s="77"/>
      <c r="F2798" s="77"/>
      <c r="G2798" s="78"/>
      <c r="H2798" s="799">
        <f>SUM(H2796:H2797)</f>
        <v>123040.5</v>
      </c>
      <c r="I2798" s="369"/>
    </row>
    <row r="2799" spans="3:13" ht="22.2" customHeight="1"/>
    <row r="2800" spans="3:13" ht="22.2" customHeight="1">
      <c r="C2800" s="43" t="s">
        <v>5048</v>
      </c>
      <c r="D2800" s="128" t="s">
        <v>8625</v>
      </c>
      <c r="I2800" s="50">
        <f>ROUNDDOWN(H2814,-2)</f>
        <v>235100</v>
      </c>
    </row>
    <row r="2801" spans="3:13" s="59" customFormat="1" ht="22.2" customHeight="1">
      <c r="C2801" s="591" t="s">
        <v>1195</v>
      </c>
      <c r="D2801" s="591" t="s">
        <v>1196</v>
      </c>
      <c r="E2801" s="591" t="s">
        <v>1197</v>
      </c>
      <c r="F2801" s="591" t="s">
        <v>1198</v>
      </c>
      <c r="G2801" s="591" t="s">
        <v>1199</v>
      </c>
      <c r="H2801" s="591" t="s">
        <v>1200</v>
      </c>
      <c r="I2801" s="44"/>
    </row>
    <row r="2802" spans="3:13" s="59" customFormat="1" ht="22.2" customHeight="1">
      <c r="C2802" s="61" t="s">
        <v>1201</v>
      </c>
      <c r="D2802" s="56" t="s">
        <v>1202</v>
      </c>
      <c r="E2802" s="57"/>
      <c r="F2802" s="57"/>
      <c r="G2802" s="57"/>
      <c r="H2802" s="57"/>
      <c r="I2802" s="44"/>
      <c r="J2802" s="152" t="s">
        <v>1247</v>
      </c>
    </row>
    <row r="2803" spans="3:13" s="59" customFormat="1" ht="22.2" customHeight="1">
      <c r="C2803" s="588">
        <v>1</v>
      </c>
      <c r="D2803" s="56" t="s">
        <v>5</v>
      </c>
      <c r="E2803" s="577" t="s">
        <v>6</v>
      </c>
      <c r="F2803" s="101">
        <v>1.44</v>
      </c>
      <c r="G2803" s="63">
        <f>VLOOKUP(D2803,upahbahan,3,FALSE)</f>
        <v>100000</v>
      </c>
      <c r="H2803" s="63">
        <f>F2803*G2803</f>
        <v>144000</v>
      </c>
      <c r="I2803" s="44"/>
      <c r="J2803" s="152" t="s">
        <v>1248</v>
      </c>
      <c r="M2803" s="65">
        <v>0.1</v>
      </c>
    </row>
    <row r="2804" spans="3:13" s="59" customFormat="1" ht="22.2" customHeight="1">
      <c r="C2804" s="588">
        <v>2</v>
      </c>
      <c r="D2804" s="56" t="s">
        <v>10</v>
      </c>
      <c r="E2804" s="577" t="s">
        <v>6</v>
      </c>
      <c r="F2804" s="101">
        <v>0.28799999999999998</v>
      </c>
      <c r="G2804" s="63">
        <f>VLOOKUP(D2804,upahbahan,3,FALSE)</f>
        <v>135000</v>
      </c>
      <c r="H2804" s="63">
        <f>F2804*G2804</f>
        <v>38880</v>
      </c>
      <c r="I2804" s="44"/>
      <c r="J2804" s="152"/>
      <c r="M2804" s="65"/>
    </row>
    <row r="2805" spans="3:13" s="59" customFormat="1" ht="22.2" customHeight="1">
      <c r="C2805" s="588">
        <v>3</v>
      </c>
      <c r="D2805" s="56" t="s">
        <v>19</v>
      </c>
      <c r="E2805" s="577" t="s">
        <v>6</v>
      </c>
      <c r="F2805" s="101">
        <v>0.14399999999999999</v>
      </c>
      <c r="G2805" s="63">
        <f>VLOOKUP(D2805,upahbahan,3,FALSE)</f>
        <v>160000</v>
      </c>
      <c r="H2805" s="63">
        <f t="shared" ref="H2805" si="349">F2805*G2805</f>
        <v>23040</v>
      </c>
      <c r="I2805" s="44"/>
    </row>
    <row r="2806" spans="3:13" s="59" customFormat="1" ht="22.2" customHeight="1">
      <c r="C2806" s="450" t="s">
        <v>1208</v>
      </c>
      <c r="D2806" s="67"/>
      <c r="E2806" s="67"/>
      <c r="F2806" s="142"/>
      <c r="G2806" s="153"/>
      <c r="H2806" s="63">
        <f>SUM(H2803:H2805)</f>
        <v>205920</v>
      </c>
      <c r="I2806" s="154"/>
    </row>
    <row r="2807" spans="3:13" s="59" customFormat="1" ht="22.2" customHeight="1">
      <c r="C2807" s="61" t="s">
        <v>1209</v>
      </c>
      <c r="D2807" s="56" t="s">
        <v>1210</v>
      </c>
      <c r="E2807" s="57"/>
      <c r="F2807" s="57"/>
      <c r="G2807" s="57"/>
      <c r="H2807" s="57"/>
      <c r="I2807" s="44"/>
    </row>
    <row r="2808" spans="3:13" s="59" customFormat="1" ht="22.2" customHeight="1">
      <c r="C2808" s="450" t="s">
        <v>1214</v>
      </c>
      <c r="D2808" s="67"/>
      <c r="E2808" s="67"/>
      <c r="F2808" s="67"/>
      <c r="G2808" s="69"/>
      <c r="H2808" s="63">
        <f>SUM(H2807:H2807)</f>
        <v>0</v>
      </c>
      <c r="I2808" s="44"/>
    </row>
    <row r="2809" spans="3:13" s="59" customFormat="1" ht="22.2" customHeight="1">
      <c r="C2809" s="61" t="s">
        <v>1215</v>
      </c>
      <c r="D2809" s="56" t="s">
        <v>1216</v>
      </c>
      <c r="E2809" s="93"/>
      <c r="F2809" s="57"/>
      <c r="G2809" s="57"/>
      <c r="H2809" s="57"/>
      <c r="I2809" s="44"/>
    </row>
    <row r="2810" spans="3:13" s="59" customFormat="1" ht="22.2" customHeight="1">
      <c r="C2810" s="800">
        <v>1</v>
      </c>
      <c r="D2810" s="56" t="s">
        <v>8463</v>
      </c>
      <c r="E2810" s="93" t="s">
        <v>1974</v>
      </c>
      <c r="F2810" s="590">
        <v>0.105</v>
      </c>
      <c r="G2810" s="63">
        <f>VLOOKUP(D2810,upahbahan,3,FALSE)</f>
        <v>75000</v>
      </c>
      <c r="H2810" s="63">
        <f t="shared" ref="H2810" si="350">F2810*G2810</f>
        <v>7875</v>
      </c>
      <c r="I2810" s="44"/>
    </row>
    <row r="2811" spans="3:13" s="59" customFormat="1" ht="22.2" customHeight="1">
      <c r="C2811" s="450" t="s">
        <v>1217</v>
      </c>
      <c r="D2811" s="67"/>
      <c r="E2811" s="67"/>
      <c r="F2811" s="67"/>
      <c r="G2811" s="69"/>
      <c r="H2811" s="882">
        <f>SUM(H2810:H2810)</f>
        <v>7875</v>
      </c>
      <c r="I2811" s="44"/>
    </row>
    <row r="2812" spans="3:13" s="59" customFormat="1" ht="22.2" customHeight="1">
      <c r="C2812" s="288" t="s">
        <v>1218</v>
      </c>
      <c r="D2812" s="76" t="s">
        <v>1219</v>
      </c>
      <c r="E2812" s="77"/>
      <c r="F2812" s="77"/>
      <c r="G2812" s="78"/>
      <c r="H2812" s="585">
        <f>H2811+H2808+H2806</f>
        <v>213795</v>
      </c>
      <c r="I2812" s="369"/>
    </row>
    <row r="2813" spans="3:13" s="59" customFormat="1" ht="22.2" customHeight="1">
      <c r="C2813" s="288" t="s">
        <v>1220</v>
      </c>
      <c r="D2813" s="76" t="s">
        <v>1321</v>
      </c>
      <c r="E2813" s="77"/>
      <c r="F2813" s="78"/>
      <c r="G2813" s="80">
        <v>0.1</v>
      </c>
      <c r="H2813" s="63">
        <f>H2812*G2813</f>
        <v>21379.5</v>
      </c>
      <c r="I2813" s="369"/>
    </row>
    <row r="2814" spans="3:13" s="59" customFormat="1" ht="22.2" customHeight="1">
      <c r="C2814" s="288" t="s">
        <v>1221</v>
      </c>
      <c r="D2814" s="76" t="s">
        <v>1222</v>
      </c>
      <c r="E2814" s="77"/>
      <c r="F2814" s="77"/>
      <c r="G2814" s="78"/>
      <c r="H2814" s="799">
        <f>SUM(H2812:H2813)</f>
        <v>235174.5</v>
      </c>
      <c r="I2814" s="369"/>
    </row>
    <row r="2815" spans="3:13" ht="22.2" customHeight="1"/>
    <row r="2816" spans="3:13" ht="22.2" customHeight="1">
      <c r="C2816" s="43" t="s">
        <v>5049</v>
      </c>
      <c r="D2816" s="128" t="s">
        <v>8626</v>
      </c>
      <c r="I2816" s="50">
        <f>ROUNDDOWN(H2830,-2)</f>
        <v>244500</v>
      </c>
    </row>
    <row r="2817" spans="3:13" s="59" customFormat="1" ht="22.2" customHeight="1">
      <c r="C2817" s="591" t="s">
        <v>1195</v>
      </c>
      <c r="D2817" s="591" t="s">
        <v>1196</v>
      </c>
      <c r="E2817" s="591" t="s">
        <v>1197</v>
      </c>
      <c r="F2817" s="591" t="s">
        <v>1198</v>
      </c>
      <c r="G2817" s="591" t="s">
        <v>1199</v>
      </c>
      <c r="H2817" s="591" t="s">
        <v>1200</v>
      </c>
      <c r="I2817" s="44"/>
    </row>
    <row r="2818" spans="3:13" s="59" customFormat="1" ht="22.2" customHeight="1">
      <c r="C2818" s="61" t="s">
        <v>1201</v>
      </c>
      <c r="D2818" s="56" t="s">
        <v>1202</v>
      </c>
      <c r="E2818" s="57"/>
      <c r="F2818" s="57"/>
      <c r="G2818" s="57"/>
      <c r="H2818" s="57"/>
      <c r="I2818" s="44"/>
      <c r="J2818" s="152" t="s">
        <v>1247</v>
      </c>
    </row>
    <row r="2819" spans="3:13" s="59" customFormat="1" ht="22.2" customHeight="1">
      <c r="C2819" s="588">
        <v>1</v>
      </c>
      <c r="D2819" s="56" t="s">
        <v>5</v>
      </c>
      <c r="E2819" s="577" t="s">
        <v>6</v>
      </c>
      <c r="F2819" s="101">
        <v>1.4990000000000001</v>
      </c>
      <c r="G2819" s="63">
        <f>VLOOKUP(D2819,upahbahan,3,FALSE)</f>
        <v>100000</v>
      </c>
      <c r="H2819" s="63">
        <f>F2819*G2819</f>
        <v>149900</v>
      </c>
      <c r="I2819" s="44"/>
      <c r="J2819" s="152" t="s">
        <v>1248</v>
      </c>
      <c r="M2819" s="65">
        <v>0.1</v>
      </c>
    </row>
    <row r="2820" spans="3:13" s="59" customFormat="1" ht="22.2" customHeight="1">
      <c r="C2820" s="588">
        <v>2</v>
      </c>
      <c r="D2820" s="56" t="s">
        <v>10</v>
      </c>
      <c r="E2820" s="577" t="s">
        <v>6</v>
      </c>
      <c r="F2820" s="101">
        <v>0.3</v>
      </c>
      <c r="G2820" s="63">
        <f>VLOOKUP(D2820,upahbahan,3,FALSE)</f>
        <v>135000</v>
      </c>
      <c r="H2820" s="63">
        <f>F2820*G2820</f>
        <v>40500</v>
      </c>
      <c r="I2820" s="44"/>
      <c r="J2820" s="152"/>
      <c r="M2820" s="65"/>
    </row>
    <row r="2821" spans="3:13" s="59" customFormat="1" ht="22.2" customHeight="1">
      <c r="C2821" s="588">
        <v>3</v>
      </c>
      <c r="D2821" s="56" t="s">
        <v>19</v>
      </c>
      <c r="E2821" s="577" t="s">
        <v>6</v>
      </c>
      <c r="F2821" s="101">
        <v>0.15</v>
      </c>
      <c r="G2821" s="63">
        <f>VLOOKUP(D2821,upahbahan,3,FALSE)</f>
        <v>160000</v>
      </c>
      <c r="H2821" s="63">
        <f t="shared" ref="H2821" si="351">F2821*G2821</f>
        <v>24000</v>
      </c>
      <c r="I2821" s="44"/>
    </row>
    <row r="2822" spans="3:13" s="59" customFormat="1" ht="22.2" customHeight="1">
      <c r="C2822" s="450" t="s">
        <v>1208</v>
      </c>
      <c r="D2822" s="67"/>
      <c r="E2822" s="67"/>
      <c r="F2822" s="142"/>
      <c r="G2822" s="153"/>
      <c r="H2822" s="63">
        <f>SUM(H2819:H2821)</f>
        <v>214400</v>
      </c>
      <c r="I2822" s="154"/>
    </row>
    <row r="2823" spans="3:13" s="59" customFormat="1" ht="22.2" customHeight="1">
      <c r="C2823" s="61" t="s">
        <v>1209</v>
      </c>
      <c r="D2823" s="56" t="s">
        <v>1210</v>
      </c>
      <c r="E2823" s="57"/>
      <c r="F2823" s="57"/>
      <c r="G2823" s="57"/>
      <c r="H2823" s="57"/>
      <c r="I2823" s="44"/>
    </row>
    <row r="2824" spans="3:13" s="59" customFormat="1" ht="22.2" customHeight="1">
      <c r="C2824" s="450" t="s">
        <v>1214</v>
      </c>
      <c r="D2824" s="67"/>
      <c r="E2824" s="67"/>
      <c r="F2824" s="67"/>
      <c r="G2824" s="69"/>
      <c r="H2824" s="63">
        <f>SUM(H2823:H2823)</f>
        <v>0</v>
      </c>
      <c r="I2824" s="44"/>
    </row>
    <row r="2825" spans="3:13" s="59" customFormat="1" ht="22.2" customHeight="1">
      <c r="C2825" s="61" t="s">
        <v>1215</v>
      </c>
      <c r="D2825" s="56" t="s">
        <v>1216</v>
      </c>
      <c r="E2825" s="93"/>
      <c r="F2825" s="57"/>
      <c r="G2825" s="57"/>
      <c r="H2825" s="57"/>
      <c r="I2825" s="44"/>
    </row>
    <row r="2826" spans="3:13" s="59" customFormat="1" ht="22.2" customHeight="1">
      <c r="C2826" s="800">
        <v>1</v>
      </c>
      <c r="D2826" s="56" t="s">
        <v>8463</v>
      </c>
      <c r="E2826" s="93" t="s">
        <v>1974</v>
      </c>
      <c r="F2826" s="590">
        <v>0.106</v>
      </c>
      <c r="G2826" s="63">
        <f>VLOOKUP(D2826,upahbahan,3,FALSE)</f>
        <v>75000</v>
      </c>
      <c r="H2826" s="63">
        <f t="shared" ref="H2826" si="352">F2826*G2826</f>
        <v>7950</v>
      </c>
      <c r="I2826" s="44"/>
    </row>
    <row r="2827" spans="3:13" s="59" customFormat="1" ht="22.2" customHeight="1">
      <c r="C2827" s="450" t="s">
        <v>1217</v>
      </c>
      <c r="D2827" s="67"/>
      <c r="E2827" s="67"/>
      <c r="F2827" s="67"/>
      <c r="G2827" s="69"/>
      <c r="H2827" s="882">
        <f>SUM(H2826:H2826)</f>
        <v>7950</v>
      </c>
      <c r="I2827" s="44"/>
    </row>
    <row r="2828" spans="3:13" s="59" customFormat="1" ht="22.2" customHeight="1">
      <c r="C2828" s="288" t="s">
        <v>1218</v>
      </c>
      <c r="D2828" s="76" t="s">
        <v>1219</v>
      </c>
      <c r="E2828" s="77"/>
      <c r="F2828" s="77"/>
      <c r="G2828" s="78"/>
      <c r="H2828" s="585">
        <f>H2827+H2824+H2822</f>
        <v>222350</v>
      </c>
      <c r="I2828" s="369"/>
    </row>
    <row r="2829" spans="3:13" s="59" customFormat="1" ht="22.2" customHeight="1">
      <c r="C2829" s="288" t="s">
        <v>1220</v>
      </c>
      <c r="D2829" s="76" t="s">
        <v>1321</v>
      </c>
      <c r="E2829" s="77"/>
      <c r="F2829" s="78"/>
      <c r="G2829" s="80">
        <v>0.1</v>
      </c>
      <c r="H2829" s="63">
        <f>H2828*G2829</f>
        <v>22235</v>
      </c>
      <c r="I2829" s="369"/>
    </row>
    <row r="2830" spans="3:13" s="59" customFormat="1" ht="22.2" customHeight="1">
      <c r="C2830" s="288" t="s">
        <v>1221</v>
      </c>
      <c r="D2830" s="76" t="s">
        <v>1222</v>
      </c>
      <c r="E2830" s="77"/>
      <c r="F2830" s="77"/>
      <c r="G2830" s="78"/>
      <c r="H2830" s="799">
        <f>SUM(H2828:H2829)</f>
        <v>244585</v>
      </c>
      <c r="I2830" s="369"/>
    </row>
    <row r="2831" spans="3:13" ht="22.2" customHeight="1"/>
    <row r="2832" spans="3:13" ht="22.2" customHeight="1">
      <c r="C2832" s="43" t="s">
        <v>5050</v>
      </c>
      <c r="D2832" s="128" t="s">
        <v>8627</v>
      </c>
      <c r="I2832" s="50">
        <f>ROUNDDOWN(H2846,-2)</f>
        <v>253900</v>
      </c>
    </row>
    <row r="2833" spans="3:13" s="59" customFormat="1" ht="22.2" customHeight="1">
      <c r="C2833" s="591" t="s">
        <v>1195</v>
      </c>
      <c r="D2833" s="591" t="s">
        <v>1196</v>
      </c>
      <c r="E2833" s="591" t="s">
        <v>1197</v>
      </c>
      <c r="F2833" s="591" t="s">
        <v>1198</v>
      </c>
      <c r="G2833" s="591" t="s">
        <v>1199</v>
      </c>
      <c r="H2833" s="591" t="s">
        <v>1200</v>
      </c>
      <c r="I2833" s="44"/>
    </row>
    <row r="2834" spans="3:13" s="59" customFormat="1" ht="22.2" customHeight="1">
      <c r="C2834" s="61" t="s">
        <v>1201</v>
      </c>
      <c r="D2834" s="56" t="s">
        <v>1202</v>
      </c>
      <c r="E2834" s="57"/>
      <c r="F2834" s="57"/>
      <c r="G2834" s="57"/>
      <c r="H2834" s="57"/>
      <c r="I2834" s="44"/>
      <c r="J2834" s="152" t="s">
        <v>1247</v>
      </c>
    </row>
    <row r="2835" spans="3:13" s="59" customFormat="1" ht="22.2" customHeight="1">
      <c r="C2835" s="588">
        <v>1</v>
      </c>
      <c r="D2835" s="56" t="s">
        <v>5</v>
      </c>
      <c r="E2835" s="577" t="s">
        <v>6</v>
      </c>
      <c r="F2835" s="101">
        <v>1.5580000000000001</v>
      </c>
      <c r="G2835" s="63">
        <f>VLOOKUP(D2835,upahbahan,3,FALSE)</f>
        <v>100000</v>
      </c>
      <c r="H2835" s="63">
        <f>F2835*G2835</f>
        <v>155800</v>
      </c>
      <c r="I2835" s="44"/>
      <c r="J2835" s="152" t="s">
        <v>1248</v>
      </c>
      <c r="M2835" s="65">
        <v>0.1</v>
      </c>
    </row>
    <row r="2836" spans="3:13" s="59" customFormat="1" ht="22.2" customHeight="1">
      <c r="C2836" s="588">
        <v>2</v>
      </c>
      <c r="D2836" s="56" t="s">
        <v>10</v>
      </c>
      <c r="E2836" s="577" t="s">
        <v>6</v>
      </c>
      <c r="F2836" s="101">
        <v>0.312</v>
      </c>
      <c r="G2836" s="63">
        <f>VLOOKUP(D2836,upahbahan,3,FALSE)</f>
        <v>135000</v>
      </c>
      <c r="H2836" s="63">
        <f>F2836*G2836</f>
        <v>42120</v>
      </c>
      <c r="I2836" s="44"/>
      <c r="J2836" s="152"/>
      <c r="M2836" s="65"/>
    </row>
    <row r="2837" spans="3:13" s="59" customFormat="1" ht="22.2" customHeight="1">
      <c r="C2837" s="588">
        <v>3</v>
      </c>
      <c r="D2837" s="56" t="s">
        <v>19</v>
      </c>
      <c r="E2837" s="577" t="s">
        <v>6</v>
      </c>
      <c r="F2837" s="101">
        <v>0.156</v>
      </c>
      <c r="G2837" s="63">
        <f>VLOOKUP(D2837,upahbahan,3,FALSE)</f>
        <v>160000</v>
      </c>
      <c r="H2837" s="63">
        <f t="shared" ref="H2837" si="353">F2837*G2837</f>
        <v>24960</v>
      </c>
      <c r="I2837" s="44"/>
    </row>
    <row r="2838" spans="3:13" s="59" customFormat="1" ht="22.2" customHeight="1">
      <c r="C2838" s="450" t="s">
        <v>1208</v>
      </c>
      <c r="D2838" s="67"/>
      <c r="E2838" s="67"/>
      <c r="F2838" s="142"/>
      <c r="G2838" s="153"/>
      <c r="H2838" s="63">
        <f>SUM(H2835:H2837)</f>
        <v>222880</v>
      </c>
      <c r="I2838" s="154"/>
    </row>
    <row r="2839" spans="3:13" s="59" customFormat="1" ht="22.2" customHeight="1">
      <c r="C2839" s="61" t="s">
        <v>1209</v>
      </c>
      <c r="D2839" s="56" t="s">
        <v>1210</v>
      </c>
      <c r="E2839" s="57"/>
      <c r="F2839" s="57"/>
      <c r="G2839" s="57"/>
      <c r="H2839" s="57"/>
      <c r="I2839" s="44"/>
    </row>
    <row r="2840" spans="3:13" s="59" customFormat="1" ht="22.2" customHeight="1">
      <c r="C2840" s="450" t="s">
        <v>1214</v>
      </c>
      <c r="D2840" s="67"/>
      <c r="E2840" s="67"/>
      <c r="F2840" s="67"/>
      <c r="G2840" s="69"/>
      <c r="H2840" s="63">
        <f>SUM(H2839:H2839)</f>
        <v>0</v>
      </c>
      <c r="I2840" s="44"/>
    </row>
    <row r="2841" spans="3:13" s="59" customFormat="1" ht="22.2" customHeight="1">
      <c r="C2841" s="61" t="s">
        <v>1215</v>
      </c>
      <c r="D2841" s="56" t="s">
        <v>1216</v>
      </c>
      <c r="E2841" s="93"/>
      <c r="F2841" s="57"/>
      <c r="G2841" s="57"/>
      <c r="H2841" s="57"/>
      <c r="I2841" s="44"/>
    </row>
    <row r="2842" spans="3:13" s="59" customFormat="1" ht="22.2" customHeight="1">
      <c r="C2842" s="800">
        <v>1</v>
      </c>
      <c r="D2842" s="56" t="s">
        <v>8463</v>
      </c>
      <c r="E2842" s="93" t="s">
        <v>1974</v>
      </c>
      <c r="F2842" s="590">
        <v>0.107</v>
      </c>
      <c r="G2842" s="63">
        <f>VLOOKUP(D2842,upahbahan,3,FALSE)</f>
        <v>75000</v>
      </c>
      <c r="H2842" s="63">
        <f t="shared" ref="H2842" si="354">F2842*G2842</f>
        <v>8025</v>
      </c>
      <c r="I2842" s="44"/>
    </row>
    <row r="2843" spans="3:13" s="59" customFormat="1" ht="22.2" customHeight="1">
      <c r="C2843" s="450" t="s">
        <v>1217</v>
      </c>
      <c r="D2843" s="67"/>
      <c r="E2843" s="67"/>
      <c r="F2843" s="67"/>
      <c r="G2843" s="69"/>
      <c r="H2843" s="882">
        <f>SUM(H2842:H2842)</f>
        <v>8025</v>
      </c>
      <c r="I2843" s="44"/>
    </row>
    <row r="2844" spans="3:13" s="59" customFormat="1" ht="22.2" customHeight="1">
      <c r="C2844" s="288" t="s">
        <v>1218</v>
      </c>
      <c r="D2844" s="76" t="s">
        <v>1219</v>
      </c>
      <c r="E2844" s="77"/>
      <c r="F2844" s="77"/>
      <c r="G2844" s="78"/>
      <c r="H2844" s="585">
        <f>H2843+H2840+H2838</f>
        <v>230905</v>
      </c>
      <c r="I2844" s="369"/>
    </row>
    <row r="2845" spans="3:13" s="59" customFormat="1" ht="22.2" customHeight="1">
      <c r="C2845" s="288" t="s">
        <v>1220</v>
      </c>
      <c r="D2845" s="76" t="s">
        <v>1321</v>
      </c>
      <c r="E2845" s="77"/>
      <c r="F2845" s="78"/>
      <c r="G2845" s="80">
        <v>0.1</v>
      </c>
      <c r="H2845" s="63">
        <f>H2844*G2845</f>
        <v>23090.5</v>
      </c>
      <c r="I2845" s="369"/>
    </row>
    <row r="2846" spans="3:13" s="59" customFormat="1" ht="22.2" customHeight="1">
      <c r="C2846" s="288" t="s">
        <v>1221</v>
      </c>
      <c r="D2846" s="76" t="s">
        <v>1222</v>
      </c>
      <c r="E2846" s="77"/>
      <c r="F2846" s="77"/>
      <c r="G2846" s="78"/>
      <c r="H2846" s="799">
        <f>SUM(H2844:H2845)</f>
        <v>253995.5</v>
      </c>
      <c r="I2846" s="369"/>
    </row>
    <row r="2847" spans="3:13" ht="22.2" customHeight="1"/>
    <row r="2848" spans="3:13" ht="22.2" customHeight="1">
      <c r="C2848" s="43" t="s">
        <v>5051</v>
      </c>
      <c r="D2848" s="128" t="s">
        <v>8628</v>
      </c>
      <c r="I2848" s="50">
        <f>ROUNDDOWN(H2862,-2)</f>
        <v>319900</v>
      </c>
    </row>
    <row r="2849" spans="3:13" s="59" customFormat="1" ht="22.2" customHeight="1">
      <c r="C2849" s="591" t="s">
        <v>1195</v>
      </c>
      <c r="D2849" s="591" t="s">
        <v>1196</v>
      </c>
      <c r="E2849" s="591" t="s">
        <v>1197</v>
      </c>
      <c r="F2849" s="591" t="s">
        <v>1198</v>
      </c>
      <c r="G2849" s="591" t="s">
        <v>1199</v>
      </c>
      <c r="H2849" s="591" t="s">
        <v>1200</v>
      </c>
      <c r="I2849" s="44"/>
    </row>
    <row r="2850" spans="3:13" s="59" customFormat="1" ht="22.2" customHeight="1">
      <c r="C2850" s="61" t="s">
        <v>1201</v>
      </c>
      <c r="D2850" s="56" t="s">
        <v>1202</v>
      </c>
      <c r="E2850" s="57"/>
      <c r="F2850" s="57"/>
      <c r="G2850" s="57"/>
      <c r="H2850" s="57"/>
      <c r="I2850" s="44"/>
      <c r="J2850" s="152" t="s">
        <v>1247</v>
      </c>
    </row>
    <row r="2851" spans="3:13" s="59" customFormat="1" ht="22.2" customHeight="1">
      <c r="C2851" s="588">
        <v>1</v>
      </c>
      <c r="D2851" s="56" t="s">
        <v>5</v>
      </c>
      <c r="E2851" s="577" t="s">
        <v>6</v>
      </c>
      <c r="F2851" s="101">
        <v>1.968</v>
      </c>
      <c r="G2851" s="63">
        <f>VLOOKUP(D2851,upahbahan,3,FALSE)</f>
        <v>100000</v>
      </c>
      <c r="H2851" s="63">
        <f>F2851*G2851</f>
        <v>196800</v>
      </c>
      <c r="I2851" s="44"/>
      <c r="J2851" s="152" t="s">
        <v>1248</v>
      </c>
      <c r="M2851" s="65">
        <v>0.1</v>
      </c>
    </row>
    <row r="2852" spans="3:13" s="59" customFormat="1" ht="22.2" customHeight="1">
      <c r="C2852" s="588">
        <v>2</v>
      </c>
      <c r="D2852" s="56" t="s">
        <v>10</v>
      </c>
      <c r="E2852" s="577" t="s">
        <v>6</v>
      </c>
      <c r="F2852" s="101">
        <v>0.39400000000000002</v>
      </c>
      <c r="G2852" s="63">
        <f>VLOOKUP(D2852,upahbahan,3,FALSE)</f>
        <v>135000</v>
      </c>
      <c r="H2852" s="63">
        <f>F2852*G2852</f>
        <v>53190</v>
      </c>
      <c r="I2852" s="44"/>
      <c r="J2852" s="152"/>
      <c r="M2852" s="65"/>
    </row>
    <row r="2853" spans="3:13" s="59" customFormat="1" ht="22.2" customHeight="1">
      <c r="C2853" s="588">
        <v>3</v>
      </c>
      <c r="D2853" s="56" t="s">
        <v>19</v>
      </c>
      <c r="E2853" s="577" t="s">
        <v>6</v>
      </c>
      <c r="F2853" s="101">
        <v>0.19700000000000001</v>
      </c>
      <c r="G2853" s="63">
        <f>VLOOKUP(D2853,upahbahan,3,FALSE)</f>
        <v>160000</v>
      </c>
      <c r="H2853" s="63">
        <f t="shared" ref="H2853" si="355">F2853*G2853</f>
        <v>31520</v>
      </c>
      <c r="I2853" s="44"/>
    </row>
    <row r="2854" spans="3:13" s="59" customFormat="1" ht="22.2" customHeight="1">
      <c r="C2854" s="450" t="s">
        <v>1208</v>
      </c>
      <c r="D2854" s="67"/>
      <c r="E2854" s="67"/>
      <c r="F2854" s="142"/>
      <c r="G2854" s="153"/>
      <c r="H2854" s="63">
        <f>SUM(H2851:H2853)</f>
        <v>281510</v>
      </c>
      <c r="I2854" s="154"/>
    </row>
    <row r="2855" spans="3:13" s="59" customFormat="1" ht="22.2" customHeight="1">
      <c r="C2855" s="61" t="s">
        <v>1209</v>
      </c>
      <c r="D2855" s="56" t="s">
        <v>1210</v>
      </c>
      <c r="E2855" s="57"/>
      <c r="F2855" s="57"/>
      <c r="G2855" s="57"/>
      <c r="H2855" s="57"/>
      <c r="I2855" s="44"/>
    </row>
    <row r="2856" spans="3:13" s="59" customFormat="1" ht="22.2" customHeight="1">
      <c r="C2856" s="450" t="s">
        <v>1214</v>
      </c>
      <c r="D2856" s="67"/>
      <c r="E2856" s="67"/>
      <c r="F2856" s="67"/>
      <c r="G2856" s="69"/>
      <c r="H2856" s="63">
        <f>SUM(H2855:H2855)</f>
        <v>0</v>
      </c>
      <c r="I2856" s="44"/>
    </row>
    <row r="2857" spans="3:13" s="59" customFormat="1" ht="22.2" customHeight="1">
      <c r="C2857" s="61" t="s">
        <v>1215</v>
      </c>
      <c r="D2857" s="56" t="s">
        <v>1216</v>
      </c>
      <c r="E2857" s="93"/>
      <c r="F2857" s="57"/>
      <c r="G2857" s="57"/>
      <c r="H2857" s="57"/>
      <c r="I2857" s="44"/>
    </row>
    <row r="2858" spans="3:13" s="59" customFormat="1" ht="22.2" customHeight="1">
      <c r="C2858" s="800">
        <v>1</v>
      </c>
      <c r="D2858" s="56" t="s">
        <v>8463</v>
      </c>
      <c r="E2858" s="93" t="s">
        <v>1974</v>
      </c>
      <c r="F2858" s="590">
        <v>0.125</v>
      </c>
      <c r="G2858" s="63">
        <f>VLOOKUP(D2858,upahbahan,3,FALSE)</f>
        <v>75000</v>
      </c>
      <c r="H2858" s="63">
        <f t="shared" ref="H2858" si="356">F2858*G2858</f>
        <v>9375</v>
      </c>
      <c r="I2858" s="44"/>
    </row>
    <row r="2859" spans="3:13" s="59" customFormat="1" ht="22.2" customHeight="1">
      <c r="C2859" s="450" t="s">
        <v>1217</v>
      </c>
      <c r="D2859" s="67"/>
      <c r="E2859" s="67"/>
      <c r="F2859" s="67"/>
      <c r="G2859" s="69"/>
      <c r="H2859" s="882">
        <f>SUM(H2858:H2858)</f>
        <v>9375</v>
      </c>
      <c r="I2859" s="44"/>
    </row>
    <row r="2860" spans="3:13" s="59" customFormat="1" ht="22.2" customHeight="1">
      <c r="C2860" s="288" t="s">
        <v>1218</v>
      </c>
      <c r="D2860" s="76" t="s">
        <v>1219</v>
      </c>
      <c r="E2860" s="77"/>
      <c r="F2860" s="77"/>
      <c r="G2860" s="78"/>
      <c r="H2860" s="585">
        <f>H2859+H2856+H2854</f>
        <v>290885</v>
      </c>
      <c r="I2860" s="369"/>
    </row>
    <row r="2861" spans="3:13" s="59" customFormat="1" ht="22.2" customHeight="1">
      <c r="C2861" s="288" t="s">
        <v>1220</v>
      </c>
      <c r="D2861" s="76" t="s">
        <v>1321</v>
      </c>
      <c r="E2861" s="77"/>
      <c r="F2861" s="78"/>
      <c r="G2861" s="80">
        <v>0.1</v>
      </c>
      <c r="H2861" s="63">
        <f>H2860*G2861</f>
        <v>29088.5</v>
      </c>
      <c r="I2861" s="369"/>
    </row>
    <row r="2862" spans="3:13" s="59" customFormat="1" ht="22.2" customHeight="1">
      <c r="C2862" s="288" t="s">
        <v>1221</v>
      </c>
      <c r="D2862" s="76" t="s">
        <v>1222</v>
      </c>
      <c r="E2862" s="77"/>
      <c r="F2862" s="77"/>
      <c r="G2862" s="78"/>
      <c r="H2862" s="799">
        <f>SUM(H2860:H2861)</f>
        <v>319973.5</v>
      </c>
      <c r="I2862" s="369"/>
    </row>
    <row r="2863" spans="3:13" ht="22.2" customHeight="1"/>
    <row r="2864" spans="3:13" ht="22.2" customHeight="1">
      <c r="C2864" s="43" t="s">
        <v>5052</v>
      </c>
      <c r="D2864" s="128" t="s">
        <v>8629</v>
      </c>
      <c r="I2864" s="50">
        <f>ROUNDDOWN(H2878,-2)</f>
        <v>386800</v>
      </c>
    </row>
    <row r="2865" spans="3:13" s="59" customFormat="1" ht="22.2" customHeight="1">
      <c r="C2865" s="591" t="s">
        <v>1195</v>
      </c>
      <c r="D2865" s="591" t="s">
        <v>1196</v>
      </c>
      <c r="E2865" s="591" t="s">
        <v>1197</v>
      </c>
      <c r="F2865" s="591" t="s">
        <v>1198</v>
      </c>
      <c r="G2865" s="591" t="s">
        <v>1199</v>
      </c>
      <c r="H2865" s="591" t="s">
        <v>1200</v>
      </c>
      <c r="I2865" s="44"/>
    </row>
    <row r="2866" spans="3:13" s="59" customFormat="1" ht="22.2" customHeight="1">
      <c r="C2866" s="61" t="s">
        <v>1201</v>
      </c>
      <c r="D2866" s="56" t="s">
        <v>1202</v>
      </c>
      <c r="E2866" s="57"/>
      <c r="F2866" s="57"/>
      <c r="G2866" s="57"/>
      <c r="H2866" s="57"/>
      <c r="I2866" s="44"/>
      <c r="J2866" s="152" t="s">
        <v>1247</v>
      </c>
    </row>
    <row r="2867" spans="3:13" s="59" customFormat="1" ht="22.2" customHeight="1">
      <c r="C2867" s="588">
        <v>1</v>
      </c>
      <c r="D2867" s="56" t="s">
        <v>5</v>
      </c>
      <c r="E2867" s="577" t="s">
        <v>6</v>
      </c>
      <c r="F2867" s="101">
        <v>2.2639999999999998</v>
      </c>
      <c r="G2867" s="63">
        <f>VLOOKUP(D2867,upahbahan,3,FALSE)</f>
        <v>100000</v>
      </c>
      <c r="H2867" s="63">
        <f>F2867*G2867</f>
        <v>226399.99999999997</v>
      </c>
      <c r="I2867" s="44"/>
      <c r="J2867" s="152" t="s">
        <v>1248</v>
      </c>
      <c r="M2867" s="65">
        <v>0.1</v>
      </c>
    </row>
    <row r="2868" spans="3:13" s="59" customFormat="1" ht="22.2" customHeight="1">
      <c r="C2868" s="588">
        <v>2</v>
      </c>
      <c r="D2868" s="56" t="s">
        <v>10</v>
      </c>
      <c r="E2868" s="577" t="s">
        <v>6</v>
      </c>
      <c r="F2868" s="101">
        <v>0.52500000000000002</v>
      </c>
      <c r="G2868" s="63">
        <f>VLOOKUP(D2868,upahbahan,3,FALSE)</f>
        <v>135000</v>
      </c>
      <c r="H2868" s="63">
        <f>F2868*G2868</f>
        <v>70875</v>
      </c>
      <c r="I2868" s="44"/>
      <c r="J2868" s="152"/>
      <c r="M2868" s="65"/>
    </row>
    <row r="2869" spans="3:13" s="59" customFormat="1" ht="22.2" customHeight="1">
      <c r="C2869" s="588">
        <v>3</v>
      </c>
      <c r="D2869" s="56" t="s">
        <v>19</v>
      </c>
      <c r="E2869" s="577" t="s">
        <v>6</v>
      </c>
      <c r="F2869" s="101">
        <v>0.26200000000000001</v>
      </c>
      <c r="G2869" s="63">
        <f>VLOOKUP(D2869,upahbahan,3,FALSE)</f>
        <v>160000</v>
      </c>
      <c r="H2869" s="63">
        <f t="shared" ref="H2869" si="357">F2869*G2869</f>
        <v>41920</v>
      </c>
      <c r="I2869" s="44"/>
    </row>
    <row r="2870" spans="3:13" s="59" customFormat="1" ht="22.2" customHeight="1">
      <c r="C2870" s="450" t="s">
        <v>1208</v>
      </c>
      <c r="D2870" s="67"/>
      <c r="E2870" s="67"/>
      <c r="F2870" s="142"/>
      <c r="G2870" s="153"/>
      <c r="H2870" s="63">
        <f>SUM(H2867:H2869)</f>
        <v>339195</v>
      </c>
      <c r="I2870" s="154"/>
    </row>
    <row r="2871" spans="3:13" s="59" customFormat="1" ht="22.2" customHeight="1">
      <c r="C2871" s="61" t="s">
        <v>1209</v>
      </c>
      <c r="D2871" s="56" t="s">
        <v>1210</v>
      </c>
      <c r="E2871" s="57"/>
      <c r="F2871" s="57"/>
      <c r="G2871" s="57"/>
      <c r="H2871" s="57"/>
      <c r="I2871" s="44"/>
    </row>
    <row r="2872" spans="3:13" s="59" customFormat="1" ht="22.2" customHeight="1">
      <c r="C2872" s="450" t="s">
        <v>1214</v>
      </c>
      <c r="D2872" s="67"/>
      <c r="E2872" s="67"/>
      <c r="F2872" s="67"/>
      <c r="G2872" s="69"/>
      <c r="H2872" s="63">
        <f>SUM(H2871:H2871)</f>
        <v>0</v>
      </c>
      <c r="I2872" s="44"/>
    </row>
    <row r="2873" spans="3:13" s="59" customFormat="1" ht="22.2" customHeight="1">
      <c r="C2873" s="61" t="s">
        <v>1215</v>
      </c>
      <c r="D2873" s="56" t="s">
        <v>1216</v>
      </c>
      <c r="E2873" s="93"/>
      <c r="F2873" s="57"/>
      <c r="G2873" s="57"/>
      <c r="H2873" s="57"/>
      <c r="I2873" s="44"/>
    </row>
    <row r="2874" spans="3:13" s="59" customFormat="1" ht="22.2" customHeight="1">
      <c r="C2874" s="800">
        <v>1</v>
      </c>
      <c r="D2874" s="56" t="s">
        <v>8463</v>
      </c>
      <c r="E2874" s="93" t="s">
        <v>1974</v>
      </c>
      <c r="F2874" s="590">
        <v>0.16600000000000001</v>
      </c>
      <c r="G2874" s="63">
        <f>VLOOKUP(D2874,upahbahan,3,FALSE)</f>
        <v>75000</v>
      </c>
      <c r="H2874" s="63">
        <f t="shared" ref="H2874" si="358">F2874*G2874</f>
        <v>12450</v>
      </c>
      <c r="I2874" s="44"/>
    </row>
    <row r="2875" spans="3:13" s="59" customFormat="1" ht="22.2" customHeight="1">
      <c r="C2875" s="450" t="s">
        <v>1217</v>
      </c>
      <c r="D2875" s="67"/>
      <c r="E2875" s="67"/>
      <c r="F2875" s="67"/>
      <c r="G2875" s="69"/>
      <c r="H2875" s="882">
        <f>SUM(H2874:H2874)</f>
        <v>12450</v>
      </c>
      <c r="I2875" s="44"/>
    </row>
    <row r="2876" spans="3:13" s="59" customFormat="1" ht="22.2" customHeight="1">
      <c r="C2876" s="288" t="s">
        <v>1218</v>
      </c>
      <c r="D2876" s="76" t="s">
        <v>1219</v>
      </c>
      <c r="E2876" s="77"/>
      <c r="F2876" s="77"/>
      <c r="G2876" s="78"/>
      <c r="H2876" s="585">
        <f>H2875+H2872+H2870</f>
        <v>351645</v>
      </c>
      <c r="I2876" s="369"/>
    </row>
    <row r="2877" spans="3:13" s="59" customFormat="1" ht="22.2" customHeight="1">
      <c r="C2877" s="288" t="s">
        <v>1220</v>
      </c>
      <c r="D2877" s="76" t="s">
        <v>1321</v>
      </c>
      <c r="E2877" s="77"/>
      <c r="F2877" s="78"/>
      <c r="G2877" s="80">
        <v>0.1</v>
      </c>
      <c r="H2877" s="63">
        <f>H2876*G2877</f>
        <v>35164.5</v>
      </c>
      <c r="I2877" s="369"/>
    </row>
    <row r="2878" spans="3:13" s="59" customFormat="1" ht="22.2" customHeight="1">
      <c r="C2878" s="288" t="s">
        <v>1221</v>
      </c>
      <c r="D2878" s="76" t="s">
        <v>1222</v>
      </c>
      <c r="E2878" s="77"/>
      <c r="F2878" s="77"/>
      <c r="G2878" s="78"/>
      <c r="H2878" s="799">
        <f>SUM(H2876:H2877)</f>
        <v>386809.5</v>
      </c>
      <c r="I2878" s="369"/>
    </row>
    <row r="2879" spans="3:13" ht="22.2" customHeight="1"/>
    <row r="2880" spans="3:13" ht="22.2" customHeight="1">
      <c r="C2880" s="43" t="s">
        <v>5053</v>
      </c>
      <c r="D2880" s="128" t="s">
        <v>8630</v>
      </c>
      <c r="I2880" s="50">
        <f>ROUNDDOWN(H2894,-2)</f>
        <v>482300</v>
      </c>
    </row>
    <row r="2881" spans="3:13" s="59" customFormat="1" ht="22.2" customHeight="1">
      <c r="C2881" s="591" t="s">
        <v>1195</v>
      </c>
      <c r="D2881" s="591" t="s">
        <v>1196</v>
      </c>
      <c r="E2881" s="591" t="s">
        <v>1197</v>
      </c>
      <c r="F2881" s="591" t="s">
        <v>1198</v>
      </c>
      <c r="G2881" s="591" t="s">
        <v>1199</v>
      </c>
      <c r="H2881" s="591" t="s">
        <v>1200</v>
      </c>
      <c r="I2881" s="44"/>
    </row>
    <row r="2882" spans="3:13" s="59" customFormat="1" ht="22.2" customHeight="1">
      <c r="C2882" s="61" t="s">
        <v>1201</v>
      </c>
      <c r="D2882" s="56" t="s">
        <v>1202</v>
      </c>
      <c r="E2882" s="57"/>
      <c r="F2882" s="57"/>
      <c r="G2882" s="57"/>
      <c r="H2882" s="57"/>
      <c r="I2882" s="44"/>
      <c r="J2882" s="152" t="s">
        <v>1247</v>
      </c>
    </row>
    <row r="2883" spans="3:13" s="59" customFormat="1" ht="22.2" customHeight="1">
      <c r="C2883" s="588">
        <v>1</v>
      </c>
      <c r="D2883" s="56" t="s">
        <v>5</v>
      </c>
      <c r="E2883" s="577" t="s">
        <v>6</v>
      </c>
      <c r="F2883" s="101">
        <v>2.9710000000000001</v>
      </c>
      <c r="G2883" s="63">
        <f>VLOOKUP(D2883,upahbahan,3,FALSE)</f>
        <v>100000</v>
      </c>
      <c r="H2883" s="63">
        <f>F2883*G2883</f>
        <v>297100</v>
      </c>
      <c r="I2883" s="44"/>
      <c r="J2883" s="152" t="s">
        <v>1248</v>
      </c>
      <c r="M2883" s="65">
        <v>0.1</v>
      </c>
    </row>
    <row r="2884" spans="3:13" s="59" customFormat="1" ht="22.2" customHeight="1">
      <c r="C2884" s="588">
        <v>2</v>
      </c>
      <c r="D2884" s="56" t="s">
        <v>10</v>
      </c>
      <c r="E2884" s="577" t="s">
        <v>6</v>
      </c>
      <c r="F2884" s="101">
        <v>0.59399999999999997</v>
      </c>
      <c r="G2884" s="63">
        <f>VLOOKUP(D2884,upahbahan,3,FALSE)</f>
        <v>135000</v>
      </c>
      <c r="H2884" s="63">
        <f>F2884*G2884</f>
        <v>80190</v>
      </c>
      <c r="I2884" s="44"/>
      <c r="J2884" s="152"/>
      <c r="M2884" s="65"/>
    </row>
    <row r="2885" spans="3:13" s="59" customFormat="1" ht="22.2" customHeight="1">
      <c r="C2885" s="588">
        <v>3</v>
      </c>
      <c r="D2885" s="56" t="s">
        <v>19</v>
      </c>
      <c r="E2885" s="577" t="s">
        <v>6</v>
      </c>
      <c r="F2885" s="101">
        <v>0.29699999999999999</v>
      </c>
      <c r="G2885" s="63">
        <f>VLOOKUP(D2885,upahbahan,3,FALSE)</f>
        <v>160000</v>
      </c>
      <c r="H2885" s="63">
        <f t="shared" ref="H2885" si="359">F2885*G2885</f>
        <v>47520</v>
      </c>
      <c r="I2885" s="44"/>
    </row>
    <row r="2886" spans="3:13" s="59" customFormat="1" ht="22.2" customHeight="1">
      <c r="C2886" s="450" t="s">
        <v>1208</v>
      </c>
      <c r="D2886" s="67"/>
      <c r="E2886" s="67"/>
      <c r="F2886" s="142"/>
      <c r="G2886" s="153"/>
      <c r="H2886" s="63">
        <f>SUM(H2883:H2885)</f>
        <v>424810</v>
      </c>
      <c r="I2886" s="154"/>
    </row>
    <row r="2887" spans="3:13" s="59" customFormat="1" ht="22.2" customHeight="1">
      <c r="C2887" s="61" t="s">
        <v>1209</v>
      </c>
      <c r="D2887" s="56" t="s">
        <v>1210</v>
      </c>
      <c r="E2887" s="57"/>
      <c r="F2887" s="57"/>
      <c r="G2887" s="57"/>
      <c r="H2887" s="57"/>
      <c r="I2887" s="44"/>
    </row>
    <row r="2888" spans="3:13" s="59" customFormat="1" ht="22.2" customHeight="1">
      <c r="C2888" s="450" t="s">
        <v>1214</v>
      </c>
      <c r="D2888" s="67"/>
      <c r="E2888" s="67"/>
      <c r="F2888" s="67"/>
      <c r="G2888" s="69"/>
      <c r="H2888" s="63">
        <f>SUM(H2887:H2887)</f>
        <v>0</v>
      </c>
      <c r="I2888" s="44"/>
    </row>
    <row r="2889" spans="3:13" s="59" customFormat="1" ht="22.2" customHeight="1">
      <c r="C2889" s="61" t="s">
        <v>1215</v>
      </c>
      <c r="D2889" s="56" t="s">
        <v>1216</v>
      </c>
      <c r="E2889" s="93"/>
      <c r="F2889" s="57"/>
      <c r="G2889" s="57"/>
      <c r="H2889" s="57"/>
      <c r="I2889" s="44"/>
    </row>
    <row r="2890" spans="3:13" s="59" customFormat="1" ht="22.2" customHeight="1">
      <c r="C2890" s="800">
        <v>1</v>
      </c>
      <c r="D2890" s="56" t="s">
        <v>8463</v>
      </c>
      <c r="E2890" s="93" t="s">
        <v>1974</v>
      </c>
      <c r="F2890" s="590">
        <v>0.183</v>
      </c>
      <c r="G2890" s="63">
        <f>VLOOKUP(D2890,upahbahan,3,FALSE)</f>
        <v>75000</v>
      </c>
      <c r="H2890" s="63">
        <f t="shared" ref="H2890" si="360">F2890*G2890</f>
        <v>13725</v>
      </c>
      <c r="I2890" s="44"/>
    </row>
    <row r="2891" spans="3:13" s="59" customFormat="1" ht="22.2" customHeight="1">
      <c r="C2891" s="450" t="s">
        <v>1217</v>
      </c>
      <c r="D2891" s="67"/>
      <c r="E2891" s="67"/>
      <c r="F2891" s="67"/>
      <c r="G2891" s="69"/>
      <c r="H2891" s="882">
        <f>SUM(H2890:H2890)</f>
        <v>13725</v>
      </c>
      <c r="I2891" s="44"/>
    </row>
    <row r="2892" spans="3:13" s="59" customFormat="1" ht="22.2" customHeight="1">
      <c r="C2892" s="288" t="s">
        <v>1218</v>
      </c>
      <c r="D2892" s="76" t="s">
        <v>1219</v>
      </c>
      <c r="E2892" s="77"/>
      <c r="F2892" s="77"/>
      <c r="G2892" s="78"/>
      <c r="H2892" s="585">
        <f>H2891+H2888+H2886</f>
        <v>438535</v>
      </c>
      <c r="I2892" s="369"/>
    </row>
    <row r="2893" spans="3:13" s="59" customFormat="1" ht="22.2" customHeight="1">
      <c r="C2893" s="288" t="s">
        <v>1220</v>
      </c>
      <c r="D2893" s="76" t="s">
        <v>1321</v>
      </c>
      <c r="E2893" s="77"/>
      <c r="F2893" s="78"/>
      <c r="G2893" s="80">
        <v>0.1</v>
      </c>
      <c r="H2893" s="63">
        <f>H2892*G2893</f>
        <v>43853.5</v>
      </c>
      <c r="I2893" s="369"/>
    </row>
    <row r="2894" spans="3:13" s="59" customFormat="1" ht="22.2" customHeight="1">
      <c r="C2894" s="288" t="s">
        <v>1221</v>
      </c>
      <c r="D2894" s="76" t="s">
        <v>1222</v>
      </c>
      <c r="E2894" s="77"/>
      <c r="F2894" s="77"/>
      <c r="G2894" s="78"/>
      <c r="H2894" s="799">
        <f>SUM(H2892:H2893)</f>
        <v>482388.5</v>
      </c>
      <c r="I2894" s="369"/>
    </row>
    <row r="2895" spans="3:13" ht="22.2" customHeight="1"/>
    <row r="2896" spans="3:13" ht="22.2" customHeight="1">
      <c r="C2896" s="43" t="s">
        <v>5054</v>
      </c>
      <c r="D2896" s="128" t="s">
        <v>8631</v>
      </c>
      <c r="I2896" s="50">
        <f>ROUNDDOWN(H2910,-2)</f>
        <v>538700</v>
      </c>
    </row>
    <row r="2897" spans="3:13" s="59" customFormat="1" ht="22.2" customHeight="1">
      <c r="C2897" s="591" t="s">
        <v>1195</v>
      </c>
      <c r="D2897" s="591" t="s">
        <v>1196</v>
      </c>
      <c r="E2897" s="591" t="s">
        <v>1197</v>
      </c>
      <c r="F2897" s="591" t="s">
        <v>1198</v>
      </c>
      <c r="G2897" s="591" t="s">
        <v>1199</v>
      </c>
      <c r="H2897" s="591" t="s">
        <v>1200</v>
      </c>
      <c r="I2897" s="44"/>
    </row>
    <row r="2898" spans="3:13" s="59" customFormat="1" ht="22.2" customHeight="1">
      <c r="C2898" s="61" t="s">
        <v>1201</v>
      </c>
      <c r="D2898" s="56" t="s">
        <v>1202</v>
      </c>
      <c r="E2898" s="57"/>
      <c r="F2898" s="57"/>
      <c r="G2898" s="57"/>
      <c r="H2898" s="57"/>
      <c r="I2898" s="44"/>
      <c r="J2898" s="152" t="s">
        <v>1247</v>
      </c>
    </row>
    <row r="2899" spans="3:13" s="59" customFormat="1" ht="22.2" customHeight="1">
      <c r="C2899" s="588">
        <v>1</v>
      </c>
      <c r="D2899" s="56" t="s">
        <v>5</v>
      </c>
      <c r="E2899" s="577" t="s">
        <v>6</v>
      </c>
      <c r="F2899" s="101">
        <v>3.319</v>
      </c>
      <c r="G2899" s="63">
        <f>VLOOKUP(D2899,upahbahan,3,FALSE)</f>
        <v>100000</v>
      </c>
      <c r="H2899" s="63">
        <f>F2899*G2899</f>
        <v>331900</v>
      </c>
      <c r="I2899" s="44"/>
      <c r="J2899" s="152" t="s">
        <v>1248</v>
      </c>
      <c r="M2899" s="65">
        <v>0.1</v>
      </c>
    </row>
    <row r="2900" spans="3:13" s="59" customFormat="1" ht="22.2" customHeight="1">
      <c r="C2900" s="588">
        <v>2</v>
      </c>
      <c r="D2900" s="56" t="s">
        <v>10</v>
      </c>
      <c r="E2900" s="577" t="s">
        <v>6</v>
      </c>
      <c r="F2900" s="101">
        <v>0.66400000000000003</v>
      </c>
      <c r="G2900" s="63">
        <f>VLOOKUP(D2900,upahbahan,3,FALSE)</f>
        <v>135000</v>
      </c>
      <c r="H2900" s="63">
        <f>F2900*G2900</f>
        <v>89640</v>
      </c>
      <c r="I2900" s="44"/>
      <c r="J2900" s="152"/>
      <c r="M2900" s="65"/>
    </row>
    <row r="2901" spans="3:13" s="59" customFormat="1" ht="22.2" customHeight="1">
      <c r="C2901" s="588">
        <v>3</v>
      </c>
      <c r="D2901" s="56" t="s">
        <v>19</v>
      </c>
      <c r="E2901" s="577" t="s">
        <v>6</v>
      </c>
      <c r="F2901" s="101">
        <v>0.33200000000000002</v>
      </c>
      <c r="G2901" s="63">
        <f>VLOOKUP(D2901,upahbahan,3,FALSE)</f>
        <v>160000</v>
      </c>
      <c r="H2901" s="63">
        <f t="shared" ref="H2901" si="361">F2901*G2901</f>
        <v>53120</v>
      </c>
      <c r="I2901" s="44"/>
    </row>
    <row r="2902" spans="3:13" s="59" customFormat="1" ht="22.2" customHeight="1">
      <c r="C2902" s="450" t="s">
        <v>1208</v>
      </c>
      <c r="D2902" s="67"/>
      <c r="E2902" s="67"/>
      <c r="F2902" s="142"/>
      <c r="G2902" s="153"/>
      <c r="H2902" s="63">
        <f>SUM(H2899:H2901)</f>
        <v>474660</v>
      </c>
      <c r="I2902" s="154"/>
    </row>
    <row r="2903" spans="3:13" s="59" customFormat="1" ht="22.2" customHeight="1">
      <c r="C2903" s="61" t="s">
        <v>1209</v>
      </c>
      <c r="D2903" s="56" t="s">
        <v>1210</v>
      </c>
      <c r="E2903" s="57"/>
      <c r="F2903" s="57"/>
      <c r="G2903" s="57"/>
      <c r="H2903" s="57"/>
      <c r="I2903" s="44"/>
    </row>
    <row r="2904" spans="3:13" s="59" customFormat="1" ht="22.2" customHeight="1">
      <c r="C2904" s="450" t="s">
        <v>1214</v>
      </c>
      <c r="D2904" s="67"/>
      <c r="E2904" s="67"/>
      <c r="F2904" s="67"/>
      <c r="G2904" s="69"/>
      <c r="H2904" s="63">
        <f>SUM(H2903:H2903)</f>
        <v>0</v>
      </c>
      <c r="I2904" s="44"/>
    </row>
    <row r="2905" spans="3:13" s="59" customFormat="1" ht="22.2" customHeight="1">
      <c r="C2905" s="61" t="s">
        <v>1215</v>
      </c>
      <c r="D2905" s="56" t="s">
        <v>1216</v>
      </c>
      <c r="E2905" s="93"/>
      <c r="F2905" s="57"/>
      <c r="G2905" s="57"/>
      <c r="H2905" s="57"/>
      <c r="I2905" s="44"/>
    </row>
    <row r="2906" spans="3:13" s="59" customFormat="1" ht="22.2" customHeight="1">
      <c r="C2906" s="800">
        <v>1</v>
      </c>
      <c r="D2906" s="56" t="s">
        <v>8463</v>
      </c>
      <c r="E2906" s="93" t="s">
        <v>1974</v>
      </c>
      <c r="F2906" s="590">
        <v>0.20100000000000001</v>
      </c>
      <c r="G2906" s="63">
        <f>VLOOKUP(D2906,upahbahan,3,FALSE)</f>
        <v>75000</v>
      </c>
      <c r="H2906" s="63">
        <f t="shared" ref="H2906" si="362">F2906*G2906</f>
        <v>15075</v>
      </c>
      <c r="I2906" s="44"/>
    </row>
    <row r="2907" spans="3:13" s="59" customFormat="1" ht="22.2" customHeight="1">
      <c r="C2907" s="450" t="s">
        <v>1217</v>
      </c>
      <c r="D2907" s="67"/>
      <c r="E2907" s="67"/>
      <c r="F2907" s="67"/>
      <c r="G2907" s="69"/>
      <c r="H2907" s="882">
        <f>SUM(H2906:H2906)</f>
        <v>15075</v>
      </c>
      <c r="I2907" s="44"/>
    </row>
    <row r="2908" spans="3:13" s="59" customFormat="1" ht="22.2" customHeight="1">
      <c r="C2908" s="288" t="s">
        <v>1218</v>
      </c>
      <c r="D2908" s="76" t="s">
        <v>1219</v>
      </c>
      <c r="E2908" s="77"/>
      <c r="F2908" s="77"/>
      <c r="G2908" s="78"/>
      <c r="H2908" s="585">
        <f>H2907+H2904+H2902</f>
        <v>489735</v>
      </c>
      <c r="I2908" s="369"/>
    </row>
    <row r="2909" spans="3:13" s="59" customFormat="1" ht="22.2" customHeight="1">
      <c r="C2909" s="288" t="s">
        <v>1220</v>
      </c>
      <c r="D2909" s="76" t="s">
        <v>1321</v>
      </c>
      <c r="E2909" s="77"/>
      <c r="F2909" s="78"/>
      <c r="G2909" s="80">
        <v>0.1</v>
      </c>
      <c r="H2909" s="63">
        <f>H2908*G2909</f>
        <v>48973.5</v>
      </c>
      <c r="I2909" s="369"/>
    </row>
    <row r="2910" spans="3:13" s="59" customFormat="1" ht="22.2" customHeight="1">
      <c r="C2910" s="288" t="s">
        <v>1221</v>
      </c>
      <c r="D2910" s="76" t="s">
        <v>1222</v>
      </c>
      <c r="E2910" s="77"/>
      <c r="F2910" s="77"/>
      <c r="G2910" s="78"/>
      <c r="H2910" s="799">
        <f>SUM(H2908:H2909)</f>
        <v>538708.5</v>
      </c>
      <c r="I2910" s="369"/>
    </row>
    <row r="2911" spans="3:13" ht="22.2" customHeight="1"/>
    <row r="2912" spans="3:13" ht="22.2" customHeight="1">
      <c r="C2912" s="43" t="s">
        <v>5055</v>
      </c>
      <c r="D2912" s="128" t="s">
        <v>8632</v>
      </c>
      <c r="I2912" s="50">
        <f>ROUNDDOWN(H2926,-2)</f>
        <v>594700</v>
      </c>
    </row>
    <row r="2913" spans="3:13" s="59" customFormat="1" ht="22.2" customHeight="1">
      <c r="C2913" s="591" t="s">
        <v>1195</v>
      </c>
      <c r="D2913" s="591" t="s">
        <v>1196</v>
      </c>
      <c r="E2913" s="591" t="s">
        <v>1197</v>
      </c>
      <c r="F2913" s="591" t="s">
        <v>1198</v>
      </c>
      <c r="G2913" s="591" t="s">
        <v>1199</v>
      </c>
      <c r="H2913" s="591" t="s">
        <v>1200</v>
      </c>
      <c r="I2913" s="44"/>
    </row>
    <row r="2914" spans="3:13" s="59" customFormat="1" ht="22.2" customHeight="1">
      <c r="C2914" s="61" t="s">
        <v>1201</v>
      </c>
      <c r="D2914" s="56" t="s">
        <v>1202</v>
      </c>
      <c r="E2914" s="57"/>
      <c r="F2914" s="57"/>
      <c r="G2914" s="57"/>
      <c r="H2914" s="57"/>
      <c r="I2914" s="44"/>
      <c r="J2914" s="152" t="s">
        <v>1247</v>
      </c>
    </row>
    <row r="2915" spans="3:13" s="59" customFormat="1" ht="22.2" customHeight="1">
      <c r="C2915" s="588">
        <v>1</v>
      </c>
      <c r="D2915" s="56" t="s">
        <v>5</v>
      </c>
      <c r="E2915" s="577" t="s">
        <v>6</v>
      </c>
      <c r="F2915" s="101">
        <v>3.6669999999999998</v>
      </c>
      <c r="G2915" s="63">
        <f>VLOOKUP(D2915,upahbahan,3,FALSE)</f>
        <v>100000</v>
      </c>
      <c r="H2915" s="63">
        <f>F2915*G2915</f>
        <v>366700</v>
      </c>
      <c r="I2915" s="44"/>
      <c r="J2915" s="152" t="s">
        <v>1248</v>
      </c>
      <c r="M2915" s="65">
        <v>0.1</v>
      </c>
    </row>
    <row r="2916" spans="3:13" s="59" customFormat="1" ht="22.2" customHeight="1">
      <c r="C2916" s="588">
        <v>2</v>
      </c>
      <c r="D2916" s="56" t="s">
        <v>10</v>
      </c>
      <c r="E2916" s="577" t="s">
        <v>6</v>
      </c>
      <c r="F2916" s="101">
        <v>0.73299999999999998</v>
      </c>
      <c r="G2916" s="63">
        <f>VLOOKUP(D2916,upahbahan,3,FALSE)</f>
        <v>135000</v>
      </c>
      <c r="H2916" s="63">
        <f>F2916*G2916</f>
        <v>98955</v>
      </c>
      <c r="I2916" s="44"/>
      <c r="J2916" s="152"/>
      <c r="M2916" s="65"/>
    </row>
    <row r="2917" spans="3:13" s="59" customFormat="1" ht="22.2" customHeight="1">
      <c r="C2917" s="588">
        <v>3</v>
      </c>
      <c r="D2917" s="56" t="s">
        <v>19</v>
      </c>
      <c r="E2917" s="577" t="s">
        <v>6</v>
      </c>
      <c r="F2917" s="101">
        <v>0.36699999999999999</v>
      </c>
      <c r="G2917" s="63">
        <f>VLOOKUP(D2917,upahbahan,3,FALSE)</f>
        <v>160000</v>
      </c>
      <c r="H2917" s="63">
        <f t="shared" ref="H2917" si="363">F2917*G2917</f>
        <v>58720</v>
      </c>
      <c r="I2917" s="44"/>
    </row>
    <row r="2918" spans="3:13" s="59" customFormat="1" ht="22.2" customHeight="1">
      <c r="C2918" s="450" t="s">
        <v>1208</v>
      </c>
      <c r="D2918" s="67"/>
      <c r="E2918" s="67"/>
      <c r="F2918" s="142"/>
      <c r="G2918" s="153"/>
      <c r="H2918" s="63">
        <f>SUM(H2915:H2917)</f>
        <v>524375</v>
      </c>
      <c r="I2918" s="154"/>
    </row>
    <row r="2919" spans="3:13" s="59" customFormat="1" ht="22.2" customHeight="1">
      <c r="C2919" s="61" t="s">
        <v>1209</v>
      </c>
      <c r="D2919" s="56" t="s">
        <v>1210</v>
      </c>
      <c r="E2919" s="57"/>
      <c r="F2919" s="57"/>
      <c r="G2919" s="57"/>
      <c r="H2919" s="57"/>
      <c r="I2919" s="44"/>
    </row>
    <row r="2920" spans="3:13" s="59" customFormat="1" ht="22.2" customHeight="1">
      <c r="C2920" s="450" t="s">
        <v>1214</v>
      </c>
      <c r="D2920" s="67"/>
      <c r="E2920" s="67"/>
      <c r="F2920" s="67"/>
      <c r="G2920" s="69"/>
      <c r="H2920" s="63">
        <f>SUM(H2919:H2919)</f>
        <v>0</v>
      </c>
      <c r="I2920" s="44"/>
    </row>
    <row r="2921" spans="3:13" s="59" customFormat="1" ht="22.2" customHeight="1">
      <c r="C2921" s="61" t="s">
        <v>1215</v>
      </c>
      <c r="D2921" s="56" t="s">
        <v>1216</v>
      </c>
      <c r="E2921" s="93"/>
      <c r="F2921" s="57"/>
      <c r="G2921" s="57"/>
      <c r="H2921" s="57"/>
      <c r="I2921" s="44"/>
    </row>
    <row r="2922" spans="3:13" s="59" customFormat="1" ht="22.2" customHeight="1">
      <c r="C2922" s="800">
        <v>1</v>
      </c>
      <c r="D2922" s="56" t="s">
        <v>8463</v>
      </c>
      <c r="E2922" s="93" t="s">
        <v>1974</v>
      </c>
      <c r="F2922" s="590">
        <v>0.218</v>
      </c>
      <c r="G2922" s="63">
        <f>VLOOKUP(D2922,upahbahan,3,FALSE)</f>
        <v>75000</v>
      </c>
      <c r="H2922" s="63">
        <f t="shared" ref="H2922" si="364">F2922*G2922</f>
        <v>16350</v>
      </c>
      <c r="I2922" s="44"/>
    </row>
    <row r="2923" spans="3:13" s="59" customFormat="1" ht="22.2" customHeight="1">
      <c r="C2923" s="450" t="s">
        <v>1217</v>
      </c>
      <c r="D2923" s="67"/>
      <c r="E2923" s="67"/>
      <c r="F2923" s="67"/>
      <c r="G2923" s="69"/>
      <c r="H2923" s="882">
        <f>SUM(H2922:H2922)</f>
        <v>16350</v>
      </c>
      <c r="I2923" s="44"/>
    </row>
    <row r="2924" spans="3:13" s="59" customFormat="1" ht="22.2" customHeight="1">
      <c r="C2924" s="288" t="s">
        <v>1218</v>
      </c>
      <c r="D2924" s="76" t="s">
        <v>1219</v>
      </c>
      <c r="E2924" s="77"/>
      <c r="F2924" s="77"/>
      <c r="G2924" s="78"/>
      <c r="H2924" s="585">
        <f>H2923+H2920+H2918</f>
        <v>540725</v>
      </c>
      <c r="I2924" s="369"/>
    </row>
    <row r="2925" spans="3:13" s="59" customFormat="1" ht="22.2" customHeight="1">
      <c r="C2925" s="288" t="s">
        <v>1220</v>
      </c>
      <c r="D2925" s="76" t="s">
        <v>1321</v>
      </c>
      <c r="E2925" s="77"/>
      <c r="F2925" s="78"/>
      <c r="G2925" s="80">
        <v>0.1</v>
      </c>
      <c r="H2925" s="63">
        <f>H2924*G2925</f>
        <v>54072.5</v>
      </c>
      <c r="I2925" s="369"/>
    </row>
    <row r="2926" spans="3:13" s="59" customFormat="1" ht="22.2" customHeight="1">
      <c r="C2926" s="288" t="s">
        <v>1221</v>
      </c>
      <c r="D2926" s="76" t="s">
        <v>1222</v>
      </c>
      <c r="E2926" s="77"/>
      <c r="F2926" s="77"/>
      <c r="G2926" s="78"/>
      <c r="H2926" s="799">
        <f>SUM(H2924:H2925)</f>
        <v>594797.5</v>
      </c>
      <c r="I2926" s="369"/>
    </row>
    <row r="2927" spans="3:13" ht="22.2" customHeight="1"/>
    <row r="2928" spans="3:13" ht="22.2" customHeight="1">
      <c r="C2928" s="43" t="s">
        <v>5056</v>
      </c>
      <c r="D2928" s="128" t="s">
        <v>8633</v>
      </c>
      <c r="I2928" s="50">
        <f>ROUNDDOWN(H2942,-2)</f>
        <v>651100</v>
      </c>
    </row>
    <row r="2929" spans="3:13" s="59" customFormat="1" ht="22.2" customHeight="1">
      <c r="C2929" s="591" t="s">
        <v>1195</v>
      </c>
      <c r="D2929" s="591" t="s">
        <v>1196</v>
      </c>
      <c r="E2929" s="591" t="s">
        <v>1197</v>
      </c>
      <c r="F2929" s="591" t="s">
        <v>1198</v>
      </c>
      <c r="G2929" s="591" t="s">
        <v>1199</v>
      </c>
      <c r="H2929" s="591" t="s">
        <v>1200</v>
      </c>
      <c r="I2929" s="44"/>
    </row>
    <row r="2930" spans="3:13" s="59" customFormat="1" ht="22.2" customHeight="1">
      <c r="C2930" s="61" t="s">
        <v>1201</v>
      </c>
      <c r="D2930" s="56" t="s">
        <v>1202</v>
      </c>
      <c r="E2930" s="57"/>
      <c r="F2930" s="57"/>
      <c r="G2930" s="57"/>
      <c r="H2930" s="57"/>
      <c r="I2930" s="44"/>
      <c r="J2930" s="152" t="s">
        <v>1247</v>
      </c>
    </row>
    <row r="2931" spans="3:13" s="59" customFormat="1" ht="22.2" customHeight="1">
      <c r="C2931" s="588">
        <v>1</v>
      </c>
      <c r="D2931" s="56" t="s">
        <v>5</v>
      </c>
      <c r="E2931" s="577" t="s">
        <v>6</v>
      </c>
      <c r="F2931" s="101">
        <v>4.0149999999999997</v>
      </c>
      <c r="G2931" s="63">
        <f>VLOOKUP(D2931,upahbahan,3,FALSE)</f>
        <v>100000</v>
      </c>
      <c r="H2931" s="63">
        <f>F2931*G2931</f>
        <v>401499.99999999994</v>
      </c>
      <c r="I2931" s="44"/>
      <c r="J2931" s="152" t="s">
        <v>1248</v>
      </c>
      <c r="M2931" s="65">
        <v>0.1</v>
      </c>
    </row>
    <row r="2932" spans="3:13" s="59" customFormat="1" ht="22.2" customHeight="1">
      <c r="C2932" s="588">
        <v>2</v>
      </c>
      <c r="D2932" s="56" t="s">
        <v>10</v>
      </c>
      <c r="E2932" s="577" t="s">
        <v>6</v>
      </c>
      <c r="F2932" s="101">
        <v>0.80300000000000005</v>
      </c>
      <c r="G2932" s="63">
        <f>VLOOKUP(D2932,upahbahan,3,FALSE)</f>
        <v>135000</v>
      </c>
      <c r="H2932" s="63">
        <f>F2932*G2932</f>
        <v>108405</v>
      </c>
      <c r="I2932" s="44"/>
      <c r="J2932" s="152"/>
      <c r="M2932" s="65"/>
    </row>
    <row r="2933" spans="3:13" s="59" customFormat="1" ht="22.2" customHeight="1">
      <c r="C2933" s="588">
        <v>3</v>
      </c>
      <c r="D2933" s="56" t="s">
        <v>19</v>
      </c>
      <c r="E2933" s="577" t="s">
        <v>6</v>
      </c>
      <c r="F2933" s="101">
        <v>0.40200000000000002</v>
      </c>
      <c r="G2933" s="63">
        <f>VLOOKUP(D2933,upahbahan,3,FALSE)</f>
        <v>160000</v>
      </c>
      <c r="H2933" s="63">
        <f t="shared" ref="H2933" si="365">F2933*G2933</f>
        <v>64320.000000000007</v>
      </c>
      <c r="I2933" s="44"/>
    </row>
    <row r="2934" spans="3:13" s="59" customFormat="1" ht="22.2" customHeight="1">
      <c r="C2934" s="450" t="s">
        <v>1208</v>
      </c>
      <c r="D2934" s="67"/>
      <c r="E2934" s="67"/>
      <c r="F2934" s="142"/>
      <c r="G2934" s="153"/>
      <c r="H2934" s="63">
        <f>SUM(H2931:H2933)</f>
        <v>574225</v>
      </c>
      <c r="I2934" s="154"/>
    </row>
    <row r="2935" spans="3:13" s="59" customFormat="1" ht="22.2" customHeight="1">
      <c r="C2935" s="61" t="s">
        <v>1209</v>
      </c>
      <c r="D2935" s="56" t="s">
        <v>1210</v>
      </c>
      <c r="E2935" s="57"/>
      <c r="F2935" s="57"/>
      <c r="G2935" s="57"/>
      <c r="H2935" s="57"/>
      <c r="I2935" s="44"/>
    </row>
    <row r="2936" spans="3:13" s="59" customFormat="1" ht="22.2" customHeight="1">
      <c r="C2936" s="450" t="s">
        <v>1214</v>
      </c>
      <c r="D2936" s="67"/>
      <c r="E2936" s="67"/>
      <c r="F2936" s="67"/>
      <c r="G2936" s="69"/>
      <c r="H2936" s="63">
        <f>SUM(H2935:H2935)</f>
        <v>0</v>
      </c>
      <c r="I2936" s="44"/>
    </row>
    <row r="2937" spans="3:13" s="59" customFormat="1" ht="22.2" customHeight="1">
      <c r="C2937" s="61" t="s">
        <v>1215</v>
      </c>
      <c r="D2937" s="56" t="s">
        <v>1216</v>
      </c>
      <c r="E2937" s="93"/>
      <c r="F2937" s="57"/>
      <c r="G2937" s="57"/>
      <c r="H2937" s="57"/>
      <c r="I2937" s="44"/>
    </row>
    <row r="2938" spans="3:13" s="59" customFormat="1" ht="22.2" customHeight="1">
      <c r="C2938" s="800">
        <v>1</v>
      </c>
      <c r="D2938" s="56" t="s">
        <v>8463</v>
      </c>
      <c r="E2938" s="93" t="s">
        <v>1974</v>
      </c>
      <c r="F2938" s="590">
        <v>0.23599999999999999</v>
      </c>
      <c r="G2938" s="63">
        <f>VLOOKUP(D2938,upahbahan,3,FALSE)</f>
        <v>75000</v>
      </c>
      <c r="H2938" s="63">
        <f t="shared" ref="H2938" si="366">F2938*G2938</f>
        <v>17700</v>
      </c>
      <c r="I2938" s="44"/>
    </row>
    <row r="2939" spans="3:13" s="59" customFormat="1" ht="22.2" customHeight="1">
      <c r="C2939" s="450" t="s">
        <v>1217</v>
      </c>
      <c r="D2939" s="67"/>
      <c r="E2939" s="67"/>
      <c r="F2939" s="67"/>
      <c r="G2939" s="69"/>
      <c r="H2939" s="882">
        <f>SUM(H2938:H2938)</f>
        <v>17700</v>
      </c>
      <c r="I2939" s="44"/>
    </row>
    <row r="2940" spans="3:13" s="59" customFormat="1" ht="22.2" customHeight="1">
      <c r="C2940" s="288" t="s">
        <v>1218</v>
      </c>
      <c r="D2940" s="76" t="s">
        <v>1219</v>
      </c>
      <c r="E2940" s="77"/>
      <c r="F2940" s="77"/>
      <c r="G2940" s="78"/>
      <c r="H2940" s="585">
        <f>H2939+H2936+H2934</f>
        <v>591925</v>
      </c>
      <c r="I2940" s="369"/>
    </row>
    <row r="2941" spans="3:13" s="59" customFormat="1" ht="22.2" customHeight="1">
      <c r="C2941" s="288" t="s">
        <v>1220</v>
      </c>
      <c r="D2941" s="76" t="s">
        <v>1321</v>
      </c>
      <c r="E2941" s="77"/>
      <c r="F2941" s="78"/>
      <c r="G2941" s="80">
        <v>0.1</v>
      </c>
      <c r="H2941" s="63">
        <f>H2940*G2941</f>
        <v>59192.5</v>
      </c>
      <c r="I2941" s="369"/>
    </row>
    <row r="2942" spans="3:13" s="59" customFormat="1" ht="22.2" customHeight="1">
      <c r="C2942" s="288" t="s">
        <v>1221</v>
      </c>
      <c r="D2942" s="76" t="s">
        <v>1222</v>
      </c>
      <c r="E2942" s="77"/>
      <c r="F2942" s="77"/>
      <c r="G2942" s="78"/>
      <c r="H2942" s="799">
        <f>SUM(H2940:H2941)</f>
        <v>651117.5</v>
      </c>
      <c r="I2942" s="369"/>
    </row>
    <row r="2943" spans="3:13" ht="22.2" customHeight="1"/>
    <row r="2944" spans="3:13" ht="22.2" customHeight="1">
      <c r="C2944" s="43" t="s">
        <v>5057</v>
      </c>
      <c r="D2944" s="128" t="s">
        <v>5058</v>
      </c>
      <c r="I2944" s="50"/>
    </row>
    <row r="2945" spans="3:13" ht="22.2" customHeight="1">
      <c r="C2945" s="43" t="s">
        <v>5059</v>
      </c>
      <c r="D2945" s="128" t="s">
        <v>5060</v>
      </c>
    </row>
    <row r="2946" spans="3:13" ht="22.2" customHeight="1">
      <c r="C2946" s="43" t="s">
        <v>5061</v>
      </c>
      <c r="D2946" s="128" t="s">
        <v>8634</v>
      </c>
      <c r="I2946" s="50">
        <f>ROUNDDOWN(H2964,-2)</f>
        <v>289800</v>
      </c>
      <c r="J2946" s="122" t="s">
        <v>6451</v>
      </c>
      <c r="K2946" s="122" t="s">
        <v>8641</v>
      </c>
    </row>
    <row r="2947" spans="3:13" s="59" customFormat="1" ht="22.2" customHeight="1">
      <c r="C2947" s="591" t="s">
        <v>1195</v>
      </c>
      <c r="D2947" s="591" t="s">
        <v>1196</v>
      </c>
      <c r="E2947" s="591" t="s">
        <v>1197</v>
      </c>
      <c r="F2947" s="591" t="s">
        <v>1198</v>
      </c>
      <c r="G2947" s="591" t="s">
        <v>1199</v>
      </c>
      <c r="H2947" s="591" t="s">
        <v>1200</v>
      </c>
      <c r="I2947" s="44"/>
    </row>
    <row r="2948" spans="3:13" s="59" customFormat="1" ht="22.2" customHeight="1">
      <c r="C2948" s="61" t="s">
        <v>1201</v>
      </c>
      <c r="D2948" s="56" t="s">
        <v>1202</v>
      </c>
      <c r="E2948" s="57"/>
      <c r="F2948" s="57"/>
      <c r="G2948" s="57"/>
      <c r="H2948" s="57"/>
      <c r="I2948" s="44"/>
      <c r="J2948" s="152" t="s">
        <v>1247</v>
      </c>
    </row>
    <row r="2949" spans="3:13" s="59" customFormat="1" ht="22.2" customHeight="1">
      <c r="C2949" s="588">
        <v>1</v>
      </c>
      <c r="D2949" s="56" t="s">
        <v>5</v>
      </c>
      <c r="E2949" s="577" t="s">
        <v>6</v>
      </c>
      <c r="F2949" s="101">
        <v>7.9000000000000001E-2</v>
      </c>
      <c r="G2949" s="63">
        <f>VLOOKUP(D2949,upahbahan,3,FALSE)</f>
        <v>100000</v>
      </c>
      <c r="H2949" s="63">
        <f>F2949*G2949</f>
        <v>7900</v>
      </c>
      <c r="I2949" s="44"/>
      <c r="J2949" s="152" t="s">
        <v>1248</v>
      </c>
      <c r="M2949" s="65">
        <v>0.1</v>
      </c>
    </row>
    <row r="2950" spans="3:13" s="59" customFormat="1" ht="22.2" customHeight="1">
      <c r="C2950" s="588">
        <v>2</v>
      </c>
      <c r="D2950" s="56" t="s">
        <v>7</v>
      </c>
      <c r="E2950" s="577" t="s">
        <v>6</v>
      </c>
      <c r="F2950" s="101">
        <v>3.9E-2</v>
      </c>
      <c r="G2950" s="63">
        <f>VLOOKUP(D2950,upahbahan,3,FALSE)</f>
        <v>135000</v>
      </c>
      <c r="H2950" s="63">
        <f>F2950*G2950</f>
        <v>5265</v>
      </c>
      <c r="I2950" s="44"/>
      <c r="J2950" s="152"/>
      <c r="M2950" s="65"/>
    </row>
    <row r="2951" spans="3:13" s="59" customFormat="1" ht="22.2" customHeight="1">
      <c r="C2951" s="588">
        <v>3</v>
      </c>
      <c r="D2951" s="56" t="s">
        <v>18</v>
      </c>
      <c r="E2951" s="577" t="s">
        <v>6</v>
      </c>
      <c r="F2951" s="101">
        <v>4.0000000000000001E-3</v>
      </c>
      <c r="G2951" s="63">
        <f>VLOOKUP(D2951,upahbahan,3,FALSE)</f>
        <v>150000</v>
      </c>
      <c r="H2951" s="63">
        <f t="shared" ref="H2951:H2952" si="367">F2951*G2951</f>
        <v>600</v>
      </c>
      <c r="I2951" s="44"/>
      <c r="J2951" s="152"/>
      <c r="M2951" s="65"/>
    </row>
    <row r="2952" spans="3:13" s="59" customFormat="1" ht="22.2" customHeight="1">
      <c r="C2952" s="588">
        <v>4</v>
      </c>
      <c r="D2952" s="56" t="s">
        <v>19</v>
      </c>
      <c r="E2952" s="577" t="s">
        <v>6</v>
      </c>
      <c r="F2952" s="101">
        <v>4.0000000000000001E-3</v>
      </c>
      <c r="G2952" s="63">
        <f>VLOOKUP(D2952,upahbahan,3,FALSE)</f>
        <v>160000</v>
      </c>
      <c r="H2952" s="63">
        <f t="shared" si="367"/>
        <v>640</v>
      </c>
      <c r="I2952" s="44"/>
    </row>
    <row r="2953" spans="3:13" s="59" customFormat="1" ht="22.2" customHeight="1">
      <c r="C2953" s="450" t="s">
        <v>1208</v>
      </c>
      <c r="D2953" s="67"/>
      <c r="E2953" s="67"/>
      <c r="F2953" s="142"/>
      <c r="G2953" s="153"/>
      <c r="H2953" s="63">
        <f>SUM(H2949:H2952)</f>
        <v>14405</v>
      </c>
      <c r="I2953" s="154"/>
    </row>
    <row r="2954" spans="3:13" s="59" customFormat="1" ht="22.2" customHeight="1">
      <c r="C2954" s="61" t="s">
        <v>1209</v>
      </c>
      <c r="D2954" s="56" t="s">
        <v>1210</v>
      </c>
      <c r="E2954" s="57"/>
      <c r="F2954" s="57"/>
      <c r="G2954" s="57"/>
      <c r="H2954" s="57"/>
      <c r="I2954" s="44"/>
    </row>
    <row r="2955" spans="3:13" s="59" customFormat="1" ht="22.2" customHeight="1">
      <c r="C2955" s="61">
        <v>1</v>
      </c>
      <c r="D2955" s="56" t="s">
        <v>8635</v>
      </c>
      <c r="E2955" s="93" t="s">
        <v>113</v>
      </c>
      <c r="F2955" s="104">
        <v>1</v>
      </c>
      <c r="G2955" s="63">
        <f>VLOOKUP(D2955,upahbahan,3,FALSE)</f>
        <v>236000</v>
      </c>
      <c r="H2955" s="63">
        <f>F2955*G2955</f>
        <v>236000</v>
      </c>
      <c r="I2955" s="44"/>
    </row>
    <row r="2956" spans="3:13" s="59" customFormat="1" ht="22.2" customHeight="1">
      <c r="C2956" s="61">
        <v>2</v>
      </c>
      <c r="D2956" s="56" t="s">
        <v>1796</v>
      </c>
      <c r="E2956" s="93" t="s">
        <v>65</v>
      </c>
      <c r="F2956" s="104">
        <v>2.7</v>
      </c>
      <c r="G2956" s="63">
        <f>VLOOKUP(D2956,upahbahan,3,FALSE)</f>
        <v>1530</v>
      </c>
      <c r="H2956" s="63">
        <f>F2956*G2956</f>
        <v>4131</v>
      </c>
      <c r="I2956" s="44"/>
    </row>
    <row r="2957" spans="3:13" s="59" customFormat="1" ht="22.2" customHeight="1">
      <c r="C2957" s="61">
        <v>3</v>
      </c>
      <c r="D2957" s="56" t="s">
        <v>85</v>
      </c>
      <c r="E2957" s="93" t="s">
        <v>42</v>
      </c>
      <c r="F2957" s="104">
        <v>1.6E-2</v>
      </c>
      <c r="G2957" s="63">
        <f>VLOOKUP(D2957,upahbahan,3,FALSE)</f>
        <v>310500</v>
      </c>
      <c r="H2957" s="63">
        <f>F2957*G2957</f>
        <v>4968</v>
      </c>
      <c r="I2957" s="44"/>
    </row>
    <row r="2958" spans="3:13" s="59" customFormat="1" ht="22.2" customHeight="1">
      <c r="C2958" s="61">
        <v>4</v>
      </c>
      <c r="D2958" s="56" t="s">
        <v>88</v>
      </c>
      <c r="E2958" s="93" t="s">
        <v>42</v>
      </c>
      <c r="F2958" s="104">
        <v>1.7999999999999999E-2</v>
      </c>
      <c r="G2958" s="63">
        <f>VLOOKUP(D2958,upahbahan,3,FALSE)</f>
        <v>220500</v>
      </c>
      <c r="H2958" s="63">
        <f>F2958*G2958</f>
        <v>3968.9999999999995</v>
      </c>
      <c r="I2958" s="44"/>
    </row>
    <row r="2959" spans="3:13" s="59" customFormat="1" ht="22.2" customHeight="1">
      <c r="C2959" s="450" t="s">
        <v>1214</v>
      </c>
      <c r="D2959" s="67"/>
      <c r="E2959" s="67"/>
      <c r="F2959" s="67"/>
      <c r="G2959" s="69"/>
      <c r="H2959" s="63">
        <f>SUM(H2954:H2958)</f>
        <v>249068</v>
      </c>
      <c r="I2959" s="44"/>
    </row>
    <row r="2960" spans="3:13" s="59" customFormat="1" ht="22.2" customHeight="1">
      <c r="C2960" s="61" t="s">
        <v>1215</v>
      </c>
      <c r="D2960" s="56" t="s">
        <v>1216</v>
      </c>
      <c r="E2960" s="93"/>
      <c r="F2960" s="57"/>
      <c r="G2960" s="57"/>
      <c r="H2960" s="57"/>
      <c r="I2960" s="44"/>
    </row>
    <row r="2961" spans="3:13" s="59" customFormat="1" ht="22.2" customHeight="1">
      <c r="C2961" s="450" t="s">
        <v>1217</v>
      </c>
      <c r="D2961" s="67"/>
      <c r="E2961" s="67"/>
      <c r="F2961" s="67"/>
      <c r="G2961" s="69"/>
      <c r="H2961" s="882">
        <f>SUM(H2960)</f>
        <v>0</v>
      </c>
      <c r="I2961" s="44"/>
    </row>
    <row r="2962" spans="3:13" s="59" customFormat="1" ht="22.2" customHeight="1">
      <c r="C2962" s="288" t="s">
        <v>1218</v>
      </c>
      <c r="D2962" s="76" t="s">
        <v>1219</v>
      </c>
      <c r="E2962" s="77"/>
      <c r="F2962" s="77"/>
      <c r="G2962" s="78"/>
      <c r="H2962" s="585">
        <f>H2961+H2959+H2953</f>
        <v>263473</v>
      </c>
      <c r="I2962" s="369"/>
    </row>
    <row r="2963" spans="3:13" s="59" customFormat="1" ht="22.2" customHeight="1">
      <c r="C2963" s="288" t="s">
        <v>1220</v>
      </c>
      <c r="D2963" s="76" t="s">
        <v>1321</v>
      </c>
      <c r="E2963" s="77"/>
      <c r="F2963" s="78"/>
      <c r="G2963" s="80">
        <v>0.1</v>
      </c>
      <c r="H2963" s="63">
        <f>H2962*G2963</f>
        <v>26347.300000000003</v>
      </c>
      <c r="I2963" s="369"/>
    </row>
    <row r="2964" spans="3:13" s="59" customFormat="1" ht="22.2" customHeight="1">
      <c r="C2964" s="288" t="s">
        <v>1221</v>
      </c>
      <c r="D2964" s="76" t="s">
        <v>1222</v>
      </c>
      <c r="E2964" s="77"/>
      <c r="F2964" s="77"/>
      <c r="G2964" s="78"/>
      <c r="H2964" s="799">
        <f>SUM(H2962:H2963)</f>
        <v>289820.3</v>
      </c>
      <c r="I2964" s="369"/>
    </row>
    <row r="2965" spans="3:13" ht="22.2" customHeight="1"/>
    <row r="2966" spans="3:13" ht="22.2" customHeight="1">
      <c r="C2966" s="43" t="s">
        <v>5063</v>
      </c>
      <c r="D2966" s="128" t="s">
        <v>8636</v>
      </c>
      <c r="I2966" s="50">
        <f>ROUNDDOWN(H2984,-2)</f>
        <v>325400</v>
      </c>
      <c r="J2966" s="122" t="s">
        <v>6451</v>
      </c>
      <c r="K2966" s="122" t="s">
        <v>8641</v>
      </c>
    </row>
    <row r="2967" spans="3:13" s="59" customFormat="1" ht="22.2" customHeight="1">
      <c r="C2967" s="591" t="s">
        <v>1195</v>
      </c>
      <c r="D2967" s="591" t="s">
        <v>1196</v>
      </c>
      <c r="E2967" s="591" t="s">
        <v>1197</v>
      </c>
      <c r="F2967" s="591" t="s">
        <v>1198</v>
      </c>
      <c r="G2967" s="591" t="s">
        <v>1199</v>
      </c>
      <c r="H2967" s="591" t="s">
        <v>1200</v>
      </c>
      <c r="I2967" s="44"/>
    </row>
    <row r="2968" spans="3:13" s="59" customFormat="1" ht="22.2" customHeight="1">
      <c r="C2968" s="61" t="s">
        <v>1201</v>
      </c>
      <c r="D2968" s="56" t="s">
        <v>1202</v>
      </c>
      <c r="E2968" s="57"/>
      <c r="F2968" s="57"/>
      <c r="G2968" s="57"/>
      <c r="H2968" s="57"/>
      <c r="I2968" s="44"/>
      <c r="J2968" s="152" t="s">
        <v>1247</v>
      </c>
    </row>
    <row r="2969" spans="3:13" s="59" customFormat="1" ht="22.2" customHeight="1">
      <c r="C2969" s="588">
        <v>1</v>
      </c>
      <c r="D2969" s="56" t="s">
        <v>5</v>
      </c>
      <c r="E2969" s="577" t="s">
        <v>6</v>
      </c>
      <c r="F2969" s="101">
        <v>7.9000000000000001E-2</v>
      </c>
      <c r="G2969" s="63">
        <f>VLOOKUP(D2969,upahbahan,3,FALSE)</f>
        <v>100000</v>
      </c>
      <c r="H2969" s="63">
        <f>F2969*G2969</f>
        <v>7900</v>
      </c>
      <c r="I2969" s="44"/>
      <c r="J2969" s="152" t="s">
        <v>1248</v>
      </c>
      <c r="M2969" s="65">
        <v>0.1</v>
      </c>
    </row>
    <row r="2970" spans="3:13" s="59" customFormat="1" ht="22.2" customHeight="1">
      <c r="C2970" s="588">
        <v>2</v>
      </c>
      <c r="D2970" s="56" t="s">
        <v>7</v>
      </c>
      <c r="E2970" s="577" t="s">
        <v>6</v>
      </c>
      <c r="F2970" s="101">
        <v>3.9E-2</v>
      </c>
      <c r="G2970" s="63">
        <f>VLOOKUP(D2970,upahbahan,3,FALSE)</f>
        <v>135000</v>
      </c>
      <c r="H2970" s="63">
        <f>F2970*G2970</f>
        <v>5265</v>
      </c>
      <c r="I2970" s="44"/>
      <c r="J2970" s="152"/>
      <c r="M2970" s="65"/>
    </row>
    <row r="2971" spans="3:13" s="59" customFormat="1" ht="22.2" customHeight="1">
      <c r="C2971" s="588">
        <v>3</v>
      </c>
      <c r="D2971" s="56" t="s">
        <v>18</v>
      </c>
      <c r="E2971" s="577" t="s">
        <v>6</v>
      </c>
      <c r="F2971" s="101">
        <v>4.0000000000000001E-3</v>
      </c>
      <c r="G2971" s="63">
        <f>VLOOKUP(D2971,upahbahan,3,FALSE)</f>
        <v>150000</v>
      </c>
      <c r="H2971" s="63">
        <f t="shared" ref="H2971:H2972" si="368">F2971*G2971</f>
        <v>600</v>
      </c>
      <c r="I2971" s="44"/>
      <c r="J2971" s="152"/>
      <c r="M2971" s="65"/>
    </row>
    <row r="2972" spans="3:13" s="59" customFormat="1" ht="22.2" customHeight="1">
      <c r="C2972" s="588">
        <v>4</v>
      </c>
      <c r="D2972" s="56" t="s">
        <v>19</v>
      </c>
      <c r="E2972" s="577" t="s">
        <v>6</v>
      </c>
      <c r="F2972" s="101">
        <v>4.0000000000000001E-3</v>
      </c>
      <c r="G2972" s="63">
        <f>VLOOKUP(D2972,upahbahan,3,FALSE)</f>
        <v>160000</v>
      </c>
      <c r="H2972" s="63">
        <f t="shared" si="368"/>
        <v>640</v>
      </c>
      <c r="I2972" s="44"/>
    </row>
    <row r="2973" spans="3:13" s="59" customFormat="1" ht="22.2" customHeight="1">
      <c r="C2973" s="450" t="s">
        <v>1208</v>
      </c>
      <c r="D2973" s="67"/>
      <c r="E2973" s="67"/>
      <c r="F2973" s="142"/>
      <c r="G2973" s="153"/>
      <c r="H2973" s="63">
        <f>SUM(H2969:H2972)</f>
        <v>14405</v>
      </c>
      <c r="I2973" s="154"/>
    </row>
    <row r="2974" spans="3:13" s="59" customFormat="1" ht="22.2" customHeight="1">
      <c r="C2974" s="61" t="s">
        <v>1209</v>
      </c>
      <c r="D2974" s="56" t="s">
        <v>1210</v>
      </c>
      <c r="E2974" s="57"/>
      <c r="F2974" s="57"/>
      <c r="G2974" s="57"/>
      <c r="H2974" s="57"/>
      <c r="I2974" s="44"/>
    </row>
    <row r="2975" spans="3:13" s="59" customFormat="1" ht="22.2" customHeight="1">
      <c r="C2975" s="61">
        <v>1</v>
      </c>
      <c r="D2975" s="56" t="s">
        <v>8637</v>
      </c>
      <c r="E2975" s="93" t="s">
        <v>113</v>
      </c>
      <c r="F2975" s="104">
        <v>1</v>
      </c>
      <c r="G2975" s="63">
        <f>VLOOKUP(D2975,upahbahan,3,FALSE)</f>
        <v>265000</v>
      </c>
      <c r="H2975" s="63">
        <f>F2975*G2975</f>
        <v>265000</v>
      </c>
      <c r="I2975" s="44"/>
    </row>
    <row r="2976" spans="3:13" s="59" customFormat="1" ht="22.2" customHeight="1">
      <c r="C2976" s="61">
        <v>2</v>
      </c>
      <c r="D2976" s="56" t="s">
        <v>1796</v>
      </c>
      <c r="E2976" s="93" t="s">
        <v>65</v>
      </c>
      <c r="F2976" s="104">
        <v>3.38</v>
      </c>
      <c r="G2976" s="63">
        <f>VLOOKUP(D2976,upahbahan,3,FALSE)</f>
        <v>1530</v>
      </c>
      <c r="H2976" s="63">
        <f>F2976*G2976</f>
        <v>5171.3999999999996</v>
      </c>
      <c r="I2976" s="44"/>
    </row>
    <row r="2977" spans="3:13" s="59" customFormat="1" ht="22.2" customHeight="1">
      <c r="C2977" s="61">
        <v>3</v>
      </c>
      <c r="D2977" s="56" t="s">
        <v>85</v>
      </c>
      <c r="E2977" s="93" t="s">
        <v>42</v>
      </c>
      <c r="F2977" s="104">
        <v>0.02</v>
      </c>
      <c r="G2977" s="63">
        <f>VLOOKUP(D2977,upahbahan,3,FALSE)</f>
        <v>310500</v>
      </c>
      <c r="H2977" s="63">
        <f>F2977*G2977</f>
        <v>6210</v>
      </c>
      <c r="I2977" s="44"/>
    </row>
    <row r="2978" spans="3:13" s="59" customFormat="1" ht="22.2" customHeight="1">
      <c r="C2978" s="61">
        <v>4</v>
      </c>
      <c r="D2978" s="56" t="s">
        <v>88</v>
      </c>
      <c r="E2978" s="93" t="s">
        <v>42</v>
      </c>
      <c r="F2978" s="104">
        <v>2.3E-2</v>
      </c>
      <c r="G2978" s="63">
        <f>VLOOKUP(D2978,upahbahan,3,FALSE)</f>
        <v>220500</v>
      </c>
      <c r="H2978" s="63">
        <f>F2978*G2978</f>
        <v>5071.5</v>
      </c>
      <c r="I2978" s="44"/>
    </row>
    <row r="2979" spans="3:13" s="59" customFormat="1" ht="22.2" customHeight="1">
      <c r="C2979" s="450" t="s">
        <v>1214</v>
      </c>
      <c r="D2979" s="67"/>
      <c r="E2979" s="67"/>
      <c r="F2979" s="67"/>
      <c r="G2979" s="69"/>
      <c r="H2979" s="63">
        <f>SUM(H2974:H2978)</f>
        <v>281452.90000000002</v>
      </c>
      <c r="I2979" s="44"/>
    </row>
    <row r="2980" spans="3:13" s="59" customFormat="1" ht="22.2" customHeight="1">
      <c r="C2980" s="61" t="s">
        <v>1215</v>
      </c>
      <c r="D2980" s="56" t="s">
        <v>1216</v>
      </c>
      <c r="E2980" s="93"/>
      <c r="F2980" s="57"/>
      <c r="G2980" s="57"/>
      <c r="H2980" s="57"/>
      <c r="I2980" s="44"/>
    </row>
    <row r="2981" spans="3:13" s="59" customFormat="1" ht="22.2" customHeight="1">
      <c r="C2981" s="450" t="s">
        <v>1217</v>
      </c>
      <c r="D2981" s="67"/>
      <c r="E2981" s="67"/>
      <c r="F2981" s="67"/>
      <c r="G2981" s="69"/>
      <c r="H2981" s="882">
        <f>SUM(H2980)</f>
        <v>0</v>
      </c>
      <c r="I2981" s="44"/>
    </row>
    <row r="2982" spans="3:13" s="59" customFormat="1" ht="22.2" customHeight="1">
      <c r="C2982" s="288" t="s">
        <v>1218</v>
      </c>
      <c r="D2982" s="76" t="s">
        <v>1219</v>
      </c>
      <c r="E2982" s="77"/>
      <c r="F2982" s="77"/>
      <c r="G2982" s="78"/>
      <c r="H2982" s="585">
        <f>H2981+H2979+H2973</f>
        <v>295857.90000000002</v>
      </c>
      <c r="I2982" s="369"/>
    </row>
    <row r="2983" spans="3:13" s="59" customFormat="1" ht="22.2" customHeight="1">
      <c r="C2983" s="288" t="s">
        <v>1220</v>
      </c>
      <c r="D2983" s="76" t="s">
        <v>1321</v>
      </c>
      <c r="E2983" s="77"/>
      <c r="F2983" s="78"/>
      <c r="G2983" s="80">
        <v>0.1</v>
      </c>
      <c r="H2983" s="63">
        <f>H2982*G2983</f>
        <v>29585.790000000005</v>
      </c>
      <c r="I2983" s="369"/>
    </row>
    <row r="2984" spans="3:13" s="59" customFormat="1" ht="22.2" customHeight="1">
      <c r="C2984" s="288" t="s">
        <v>1221</v>
      </c>
      <c r="D2984" s="76" t="s">
        <v>1222</v>
      </c>
      <c r="E2984" s="77"/>
      <c r="F2984" s="77"/>
      <c r="G2984" s="78"/>
      <c r="H2984" s="799">
        <f>SUM(H2982:H2983)</f>
        <v>325443.69</v>
      </c>
      <c r="I2984" s="369"/>
    </row>
    <row r="2985" spans="3:13" ht="22.2" customHeight="1"/>
    <row r="2986" spans="3:13" ht="22.2" customHeight="1">
      <c r="C2986" s="43" t="s">
        <v>5065</v>
      </c>
      <c r="D2986" s="128" t="s">
        <v>8638</v>
      </c>
      <c r="I2986" s="50">
        <f>ROUNDDOWN(H3004,-2)</f>
        <v>359300</v>
      </c>
      <c r="J2986" s="122" t="s">
        <v>6451</v>
      </c>
      <c r="K2986" s="122" t="s">
        <v>8641</v>
      </c>
    </row>
    <row r="2987" spans="3:13" s="59" customFormat="1" ht="22.2" customHeight="1">
      <c r="C2987" s="591" t="s">
        <v>1195</v>
      </c>
      <c r="D2987" s="591" t="s">
        <v>1196</v>
      </c>
      <c r="E2987" s="591" t="s">
        <v>1197</v>
      </c>
      <c r="F2987" s="591" t="s">
        <v>1198</v>
      </c>
      <c r="G2987" s="591" t="s">
        <v>1199</v>
      </c>
      <c r="H2987" s="591" t="s">
        <v>1200</v>
      </c>
      <c r="I2987" s="44"/>
    </row>
    <row r="2988" spans="3:13" s="59" customFormat="1" ht="22.2" customHeight="1">
      <c r="C2988" s="61" t="s">
        <v>1201</v>
      </c>
      <c r="D2988" s="56" t="s">
        <v>1202</v>
      </c>
      <c r="E2988" s="57"/>
      <c r="F2988" s="57"/>
      <c r="G2988" s="57"/>
      <c r="H2988" s="57"/>
      <c r="I2988" s="44"/>
      <c r="J2988" s="152" t="s">
        <v>1247</v>
      </c>
    </row>
    <row r="2989" spans="3:13" s="59" customFormat="1" ht="22.2" customHeight="1">
      <c r="C2989" s="588">
        <v>1</v>
      </c>
      <c r="D2989" s="56" t="s">
        <v>5</v>
      </c>
      <c r="E2989" s="577" t="s">
        <v>6</v>
      </c>
      <c r="F2989" s="101">
        <v>0.11</v>
      </c>
      <c r="G2989" s="63">
        <f>VLOOKUP(D2989,upahbahan,3,FALSE)</f>
        <v>100000</v>
      </c>
      <c r="H2989" s="63">
        <f>F2989*G2989</f>
        <v>11000</v>
      </c>
      <c r="I2989" s="44"/>
      <c r="J2989" s="152" t="s">
        <v>1248</v>
      </c>
      <c r="M2989" s="65">
        <v>0.1</v>
      </c>
    </row>
    <row r="2990" spans="3:13" s="59" customFormat="1" ht="22.2" customHeight="1">
      <c r="C2990" s="588">
        <v>2</v>
      </c>
      <c r="D2990" s="56" t="s">
        <v>7</v>
      </c>
      <c r="E2990" s="577" t="s">
        <v>6</v>
      </c>
      <c r="F2990" s="101">
        <v>5.5E-2</v>
      </c>
      <c r="G2990" s="63">
        <f>VLOOKUP(D2990,upahbahan,3,FALSE)</f>
        <v>135000</v>
      </c>
      <c r="H2990" s="63">
        <f>F2990*G2990</f>
        <v>7425</v>
      </c>
      <c r="I2990" s="44"/>
      <c r="J2990" s="152"/>
      <c r="M2990" s="65"/>
    </row>
    <row r="2991" spans="3:13" s="59" customFormat="1" ht="22.2" customHeight="1">
      <c r="C2991" s="588">
        <v>3</v>
      </c>
      <c r="D2991" s="56" t="s">
        <v>18</v>
      </c>
      <c r="E2991" s="577" t="s">
        <v>6</v>
      </c>
      <c r="F2991" s="101">
        <v>6.0000000000000001E-3</v>
      </c>
      <c r="G2991" s="63">
        <f>VLOOKUP(D2991,upahbahan,3,FALSE)</f>
        <v>150000</v>
      </c>
      <c r="H2991" s="63">
        <f t="shared" ref="H2991:H2992" si="369">F2991*G2991</f>
        <v>900</v>
      </c>
      <c r="I2991" s="44"/>
      <c r="J2991" s="152"/>
      <c r="M2991" s="65"/>
    </row>
    <row r="2992" spans="3:13" s="59" customFormat="1" ht="22.2" customHeight="1">
      <c r="C2992" s="588">
        <v>4</v>
      </c>
      <c r="D2992" s="56" t="s">
        <v>19</v>
      </c>
      <c r="E2992" s="577" t="s">
        <v>6</v>
      </c>
      <c r="F2992" s="101">
        <v>6.0000000000000001E-3</v>
      </c>
      <c r="G2992" s="63">
        <f>VLOOKUP(D2992,upahbahan,3,FALSE)</f>
        <v>160000</v>
      </c>
      <c r="H2992" s="63">
        <f t="shared" si="369"/>
        <v>960</v>
      </c>
      <c r="I2992" s="44"/>
    </row>
    <row r="2993" spans="3:11" s="59" customFormat="1" ht="22.2" customHeight="1">
      <c r="C2993" s="450" t="s">
        <v>1208</v>
      </c>
      <c r="D2993" s="67"/>
      <c r="E2993" s="67"/>
      <c r="F2993" s="142"/>
      <c r="G2993" s="153"/>
      <c r="H2993" s="63">
        <f>SUM(H2989:H2992)</f>
        <v>20285</v>
      </c>
      <c r="I2993" s="154"/>
    </row>
    <row r="2994" spans="3:11" s="59" customFormat="1" ht="22.2" customHeight="1">
      <c r="C2994" s="61" t="s">
        <v>1209</v>
      </c>
      <c r="D2994" s="56" t="s">
        <v>1210</v>
      </c>
      <c r="E2994" s="57"/>
      <c r="F2994" s="57"/>
      <c r="G2994" s="57"/>
      <c r="H2994" s="57"/>
      <c r="I2994" s="44"/>
    </row>
    <row r="2995" spans="3:11" s="59" customFormat="1" ht="22.2" customHeight="1">
      <c r="C2995" s="61">
        <v>1</v>
      </c>
      <c r="D2995" s="56" t="s">
        <v>8639</v>
      </c>
      <c r="E2995" s="93" t="s">
        <v>113</v>
      </c>
      <c r="F2995" s="104">
        <v>1</v>
      </c>
      <c r="G2995" s="63">
        <f>VLOOKUP(D2995,upahbahan,3,FALSE)</f>
        <v>286000</v>
      </c>
      <c r="H2995" s="63">
        <f>F2995*G2995</f>
        <v>286000</v>
      </c>
      <c r="I2995" s="44"/>
    </row>
    <row r="2996" spans="3:11" s="59" customFormat="1" ht="22.2" customHeight="1">
      <c r="C2996" s="61">
        <v>2</v>
      </c>
      <c r="D2996" s="56" t="s">
        <v>1796</v>
      </c>
      <c r="E2996" s="93" t="s">
        <v>65</v>
      </c>
      <c r="F2996" s="104">
        <v>4.22</v>
      </c>
      <c r="G2996" s="63">
        <f>VLOOKUP(D2996,upahbahan,3,FALSE)</f>
        <v>1530</v>
      </c>
      <c r="H2996" s="63">
        <f>F2996*G2996</f>
        <v>6456.5999999999995</v>
      </c>
      <c r="I2996" s="44"/>
    </row>
    <row r="2997" spans="3:11" s="59" customFormat="1" ht="22.2" customHeight="1">
      <c r="C2997" s="61">
        <v>3</v>
      </c>
      <c r="D2997" s="56" t="s">
        <v>85</v>
      </c>
      <c r="E2997" s="93" t="s">
        <v>42</v>
      </c>
      <c r="F2997" s="104">
        <v>2.5000000000000001E-2</v>
      </c>
      <c r="G2997" s="63">
        <f>VLOOKUP(D2997,upahbahan,3,FALSE)</f>
        <v>310500</v>
      </c>
      <c r="H2997" s="63">
        <f>F2997*G2997</f>
        <v>7762.5</v>
      </c>
      <c r="I2997" s="44"/>
    </row>
    <row r="2998" spans="3:11" s="59" customFormat="1" ht="22.2" customHeight="1">
      <c r="C2998" s="61">
        <v>4</v>
      </c>
      <c r="D2998" s="56" t="s">
        <v>88</v>
      </c>
      <c r="E2998" s="93" t="s">
        <v>42</v>
      </c>
      <c r="F2998" s="104">
        <v>2.8000000000000001E-2</v>
      </c>
      <c r="G2998" s="63">
        <f>VLOOKUP(D2998,upahbahan,3,FALSE)</f>
        <v>220500</v>
      </c>
      <c r="H2998" s="63">
        <f>F2998*G2998</f>
        <v>6174</v>
      </c>
      <c r="I2998" s="44"/>
    </row>
    <row r="2999" spans="3:11" s="59" customFormat="1" ht="22.2" customHeight="1">
      <c r="C2999" s="450" t="s">
        <v>1214</v>
      </c>
      <c r="D2999" s="67"/>
      <c r="E2999" s="67"/>
      <c r="F2999" s="67"/>
      <c r="G2999" s="69"/>
      <c r="H2999" s="63">
        <f>SUM(H2994:H2998)</f>
        <v>306393.09999999998</v>
      </c>
      <c r="I2999" s="44"/>
    </row>
    <row r="3000" spans="3:11" s="59" customFormat="1" ht="22.2" customHeight="1">
      <c r="C3000" s="61" t="s">
        <v>1215</v>
      </c>
      <c r="D3000" s="56" t="s">
        <v>1216</v>
      </c>
      <c r="E3000" s="93"/>
      <c r="F3000" s="57"/>
      <c r="G3000" s="57"/>
      <c r="H3000" s="57"/>
      <c r="I3000" s="44"/>
    </row>
    <row r="3001" spans="3:11" s="59" customFormat="1" ht="22.2" customHeight="1">
      <c r="C3001" s="450" t="s">
        <v>1217</v>
      </c>
      <c r="D3001" s="67"/>
      <c r="E3001" s="67"/>
      <c r="F3001" s="67"/>
      <c r="G3001" s="69"/>
      <c r="H3001" s="882">
        <f>SUM(H3000)</f>
        <v>0</v>
      </c>
      <c r="I3001" s="44"/>
    </row>
    <row r="3002" spans="3:11" s="59" customFormat="1" ht="22.2" customHeight="1">
      <c r="C3002" s="288" t="s">
        <v>1218</v>
      </c>
      <c r="D3002" s="76" t="s">
        <v>1219</v>
      </c>
      <c r="E3002" s="77"/>
      <c r="F3002" s="77"/>
      <c r="G3002" s="78"/>
      <c r="H3002" s="585">
        <f>H3001+H2999+H2993</f>
        <v>326678.09999999998</v>
      </c>
      <c r="I3002" s="369"/>
    </row>
    <row r="3003" spans="3:11" s="59" customFormat="1" ht="22.2" customHeight="1">
      <c r="C3003" s="288" t="s">
        <v>1220</v>
      </c>
      <c r="D3003" s="76" t="s">
        <v>1321</v>
      </c>
      <c r="E3003" s="77"/>
      <c r="F3003" s="78"/>
      <c r="G3003" s="80">
        <v>0.1</v>
      </c>
      <c r="H3003" s="63">
        <f>H3002*G3003</f>
        <v>32667.809999999998</v>
      </c>
      <c r="I3003" s="369"/>
    </row>
    <row r="3004" spans="3:11" s="59" customFormat="1" ht="22.2" customHeight="1">
      <c r="C3004" s="288" t="s">
        <v>1221</v>
      </c>
      <c r="D3004" s="76" t="s">
        <v>1222</v>
      </c>
      <c r="E3004" s="77"/>
      <c r="F3004" s="77"/>
      <c r="G3004" s="78"/>
      <c r="H3004" s="799">
        <f>SUM(H3002:H3003)</f>
        <v>359345.91</v>
      </c>
      <c r="I3004" s="369"/>
    </row>
    <row r="3005" spans="3:11" ht="22.2" customHeight="1"/>
    <row r="3006" spans="3:11" ht="22.2" customHeight="1">
      <c r="C3006" s="43" t="s">
        <v>5067</v>
      </c>
      <c r="D3006" s="128" t="s">
        <v>8640</v>
      </c>
      <c r="I3006" s="50">
        <f>ROUNDDOWN(H3024,-2)</f>
        <v>380200</v>
      </c>
      <c r="J3006" s="122" t="s">
        <v>6451</v>
      </c>
      <c r="K3006" s="122" t="s">
        <v>8641</v>
      </c>
    </row>
    <row r="3007" spans="3:11" s="59" customFormat="1" ht="22.2" customHeight="1">
      <c r="C3007" s="591" t="s">
        <v>1195</v>
      </c>
      <c r="D3007" s="591" t="s">
        <v>1196</v>
      </c>
      <c r="E3007" s="591" t="s">
        <v>1197</v>
      </c>
      <c r="F3007" s="591" t="s">
        <v>1198</v>
      </c>
      <c r="G3007" s="591" t="s">
        <v>1199</v>
      </c>
      <c r="H3007" s="591" t="s">
        <v>1200</v>
      </c>
      <c r="I3007" s="44"/>
    </row>
    <row r="3008" spans="3:11" s="59" customFormat="1" ht="22.2" customHeight="1">
      <c r="C3008" s="61" t="s">
        <v>1201</v>
      </c>
      <c r="D3008" s="56" t="s">
        <v>1202</v>
      </c>
      <c r="E3008" s="57"/>
      <c r="F3008" s="57"/>
      <c r="G3008" s="57"/>
      <c r="H3008" s="57"/>
      <c r="I3008" s="44"/>
      <c r="J3008" s="152" t="s">
        <v>1247</v>
      </c>
    </row>
    <row r="3009" spans="3:13" s="59" customFormat="1" ht="22.2" customHeight="1">
      <c r="C3009" s="588">
        <v>1</v>
      </c>
      <c r="D3009" s="56" t="s">
        <v>5</v>
      </c>
      <c r="E3009" s="577" t="s">
        <v>6</v>
      </c>
      <c r="F3009" s="101">
        <v>0.11</v>
      </c>
      <c r="G3009" s="63">
        <f>VLOOKUP(D3009,upahbahan,3,FALSE)</f>
        <v>100000</v>
      </c>
      <c r="H3009" s="63">
        <f>F3009*G3009</f>
        <v>11000</v>
      </c>
      <c r="I3009" s="44"/>
      <c r="J3009" s="152" t="s">
        <v>1248</v>
      </c>
      <c r="M3009" s="65">
        <v>0.1</v>
      </c>
    </row>
    <row r="3010" spans="3:13" s="59" customFormat="1" ht="22.2" customHeight="1">
      <c r="C3010" s="588">
        <v>2</v>
      </c>
      <c r="D3010" s="56" t="s">
        <v>7</v>
      </c>
      <c r="E3010" s="577" t="s">
        <v>6</v>
      </c>
      <c r="F3010" s="101">
        <v>5.5E-2</v>
      </c>
      <c r="G3010" s="63">
        <f>VLOOKUP(D3010,upahbahan,3,FALSE)</f>
        <v>135000</v>
      </c>
      <c r="H3010" s="63">
        <f>F3010*G3010</f>
        <v>7425</v>
      </c>
      <c r="I3010" s="44"/>
      <c r="J3010" s="152"/>
      <c r="M3010" s="65"/>
    </row>
    <row r="3011" spans="3:13" s="59" customFormat="1" ht="22.2" customHeight="1">
      <c r="C3011" s="588">
        <v>3</v>
      </c>
      <c r="D3011" s="56" t="s">
        <v>18</v>
      </c>
      <c r="E3011" s="577" t="s">
        <v>6</v>
      </c>
      <c r="F3011" s="101">
        <v>6.0000000000000001E-3</v>
      </c>
      <c r="G3011" s="63">
        <f>VLOOKUP(D3011,upahbahan,3,FALSE)</f>
        <v>150000</v>
      </c>
      <c r="H3011" s="63">
        <f t="shared" ref="H3011:H3012" si="370">F3011*G3011</f>
        <v>900</v>
      </c>
      <c r="I3011" s="44"/>
      <c r="J3011" s="152"/>
      <c r="M3011" s="65"/>
    </row>
    <row r="3012" spans="3:13" s="59" customFormat="1" ht="22.2" customHeight="1">
      <c r="C3012" s="588">
        <v>4</v>
      </c>
      <c r="D3012" s="56" t="s">
        <v>19</v>
      </c>
      <c r="E3012" s="577" t="s">
        <v>6</v>
      </c>
      <c r="F3012" s="101">
        <v>6.0000000000000001E-3</v>
      </c>
      <c r="G3012" s="63">
        <f>VLOOKUP(D3012,upahbahan,3,FALSE)</f>
        <v>160000</v>
      </c>
      <c r="H3012" s="63">
        <f t="shared" si="370"/>
        <v>960</v>
      </c>
      <c r="I3012" s="44"/>
    </row>
    <row r="3013" spans="3:13" s="59" customFormat="1" ht="22.2" customHeight="1">
      <c r="C3013" s="450" t="s">
        <v>1208</v>
      </c>
      <c r="D3013" s="67"/>
      <c r="E3013" s="67"/>
      <c r="F3013" s="142"/>
      <c r="G3013" s="153"/>
      <c r="H3013" s="63">
        <f>SUM(H3009:H3012)</f>
        <v>20285</v>
      </c>
      <c r="I3013" s="154"/>
    </row>
    <row r="3014" spans="3:13" s="59" customFormat="1" ht="22.2" customHeight="1">
      <c r="C3014" s="61" t="s">
        <v>1209</v>
      </c>
      <c r="D3014" s="56" t="s">
        <v>1210</v>
      </c>
      <c r="E3014" s="57"/>
      <c r="F3014" s="57"/>
      <c r="G3014" s="57"/>
      <c r="H3014" s="57"/>
      <c r="I3014" s="44"/>
    </row>
    <row r="3015" spans="3:13" s="59" customFormat="1" ht="22.2" customHeight="1">
      <c r="C3015" s="61">
        <v>1</v>
      </c>
      <c r="D3015" s="56" t="s">
        <v>8642</v>
      </c>
      <c r="E3015" s="93" t="s">
        <v>113</v>
      </c>
      <c r="F3015" s="104">
        <v>1</v>
      </c>
      <c r="G3015" s="63">
        <f>VLOOKUP(D3015,upahbahan,3,FALSE)</f>
        <v>300000</v>
      </c>
      <c r="H3015" s="63">
        <f>F3015*G3015</f>
        <v>300000</v>
      </c>
      <c r="I3015" s="44"/>
    </row>
    <row r="3016" spans="3:13" s="59" customFormat="1" ht="22.2" customHeight="1">
      <c r="C3016" s="61">
        <v>2</v>
      </c>
      <c r="D3016" s="56" t="s">
        <v>1796</v>
      </c>
      <c r="E3016" s="93" t="s">
        <v>65</v>
      </c>
      <c r="F3016" s="104">
        <v>5.27</v>
      </c>
      <c r="G3016" s="63">
        <f>VLOOKUP(D3016,upahbahan,3,FALSE)</f>
        <v>1530</v>
      </c>
      <c r="H3016" s="63">
        <f>F3016*G3016</f>
        <v>8063.0999999999995</v>
      </c>
      <c r="I3016" s="44"/>
    </row>
    <row r="3017" spans="3:13" s="59" customFormat="1" ht="22.2" customHeight="1">
      <c r="C3017" s="61">
        <v>3</v>
      </c>
      <c r="D3017" s="56" t="s">
        <v>85</v>
      </c>
      <c r="E3017" s="93" t="s">
        <v>42</v>
      </c>
      <c r="F3017" s="104">
        <v>3.1E-2</v>
      </c>
      <c r="G3017" s="63">
        <f>VLOOKUP(D3017,upahbahan,3,FALSE)</f>
        <v>310500</v>
      </c>
      <c r="H3017" s="63">
        <f>F3017*G3017</f>
        <v>9625.5</v>
      </c>
      <c r="I3017" s="44"/>
    </row>
    <row r="3018" spans="3:13" s="59" customFormat="1" ht="22.2" customHeight="1">
      <c r="C3018" s="61">
        <v>4</v>
      </c>
      <c r="D3018" s="56" t="s">
        <v>88</v>
      </c>
      <c r="E3018" s="93" t="s">
        <v>42</v>
      </c>
      <c r="F3018" s="104">
        <v>3.5000000000000003E-2</v>
      </c>
      <c r="G3018" s="63">
        <f>VLOOKUP(D3018,upahbahan,3,FALSE)</f>
        <v>220500</v>
      </c>
      <c r="H3018" s="63">
        <f>F3018*G3018</f>
        <v>7717.5000000000009</v>
      </c>
      <c r="I3018" s="44"/>
    </row>
    <row r="3019" spans="3:13" s="59" customFormat="1" ht="22.2" customHeight="1">
      <c r="C3019" s="450" t="s">
        <v>1214</v>
      </c>
      <c r="D3019" s="67"/>
      <c r="E3019" s="67"/>
      <c r="F3019" s="67"/>
      <c r="G3019" s="69"/>
      <c r="H3019" s="63">
        <f>SUM(H3014:H3018)</f>
        <v>325406.09999999998</v>
      </c>
      <c r="I3019" s="44"/>
    </row>
    <row r="3020" spans="3:13" s="59" customFormat="1" ht="22.2" customHeight="1">
      <c r="C3020" s="61" t="s">
        <v>1215</v>
      </c>
      <c r="D3020" s="56" t="s">
        <v>1216</v>
      </c>
      <c r="E3020" s="93"/>
      <c r="F3020" s="57"/>
      <c r="G3020" s="57"/>
      <c r="H3020" s="57"/>
      <c r="I3020" s="44"/>
    </row>
    <row r="3021" spans="3:13" s="59" customFormat="1" ht="22.2" customHeight="1">
      <c r="C3021" s="450" t="s">
        <v>1217</v>
      </c>
      <c r="D3021" s="67"/>
      <c r="E3021" s="67"/>
      <c r="F3021" s="67"/>
      <c r="G3021" s="69"/>
      <c r="H3021" s="882">
        <f>SUM(H3020)</f>
        <v>0</v>
      </c>
      <c r="I3021" s="44"/>
    </row>
    <row r="3022" spans="3:13" s="59" customFormat="1" ht="22.2" customHeight="1">
      <c r="C3022" s="288" t="s">
        <v>1218</v>
      </c>
      <c r="D3022" s="76" t="s">
        <v>1219</v>
      </c>
      <c r="E3022" s="77"/>
      <c r="F3022" s="77"/>
      <c r="G3022" s="78"/>
      <c r="H3022" s="585">
        <f>H3021+H3019+H3013</f>
        <v>345691.1</v>
      </c>
      <c r="I3022" s="369"/>
    </row>
    <row r="3023" spans="3:13" s="59" customFormat="1" ht="22.2" customHeight="1">
      <c r="C3023" s="288" t="s">
        <v>1220</v>
      </c>
      <c r="D3023" s="76" t="s">
        <v>1321</v>
      </c>
      <c r="E3023" s="77"/>
      <c r="F3023" s="78"/>
      <c r="G3023" s="80">
        <v>0.1</v>
      </c>
      <c r="H3023" s="63">
        <f>H3022*G3023</f>
        <v>34569.11</v>
      </c>
      <c r="I3023" s="369"/>
    </row>
    <row r="3024" spans="3:13" s="59" customFormat="1" ht="22.2" customHeight="1">
      <c r="C3024" s="288" t="s">
        <v>1221</v>
      </c>
      <c r="D3024" s="76" t="s">
        <v>1222</v>
      </c>
      <c r="E3024" s="77"/>
      <c r="F3024" s="77"/>
      <c r="G3024" s="78"/>
      <c r="H3024" s="799">
        <f>SUM(H3022:H3023)</f>
        <v>380260.20999999996</v>
      </c>
      <c r="I3024" s="369"/>
    </row>
    <row r="3025" spans="3:13" ht="22.2" customHeight="1"/>
    <row r="3026" spans="3:13" ht="22.2" customHeight="1">
      <c r="C3026" s="43" t="s">
        <v>5069</v>
      </c>
      <c r="D3026" s="128" t="s">
        <v>8643</v>
      </c>
      <c r="I3026" s="50">
        <f>ROUNDDOWN(H3044,-2)</f>
        <v>459000</v>
      </c>
      <c r="J3026" s="122" t="s">
        <v>6451</v>
      </c>
      <c r="K3026" s="122" t="s">
        <v>8641</v>
      </c>
    </row>
    <row r="3027" spans="3:13" s="59" customFormat="1" ht="22.2" customHeight="1">
      <c r="C3027" s="591" t="s">
        <v>1195</v>
      </c>
      <c r="D3027" s="591" t="s">
        <v>1196</v>
      </c>
      <c r="E3027" s="591" t="s">
        <v>1197</v>
      </c>
      <c r="F3027" s="591" t="s">
        <v>1198</v>
      </c>
      <c r="G3027" s="591" t="s">
        <v>1199</v>
      </c>
      <c r="H3027" s="591" t="s">
        <v>1200</v>
      </c>
      <c r="I3027" s="44"/>
    </row>
    <row r="3028" spans="3:13" s="59" customFormat="1" ht="22.2" customHeight="1">
      <c r="C3028" s="61" t="s">
        <v>1201</v>
      </c>
      <c r="D3028" s="56" t="s">
        <v>1202</v>
      </c>
      <c r="E3028" s="57"/>
      <c r="F3028" s="57"/>
      <c r="G3028" s="57"/>
      <c r="H3028" s="57"/>
      <c r="I3028" s="44"/>
      <c r="J3028" s="152" t="s">
        <v>1247</v>
      </c>
    </row>
    <row r="3029" spans="3:13" s="59" customFormat="1" ht="22.2" customHeight="1">
      <c r="C3029" s="588">
        <v>1</v>
      </c>
      <c r="D3029" s="56" t="s">
        <v>5</v>
      </c>
      <c r="E3029" s="577" t="s">
        <v>6</v>
      </c>
      <c r="F3029" s="101">
        <v>0.189</v>
      </c>
      <c r="G3029" s="63">
        <f>VLOOKUP(D3029,upahbahan,3,FALSE)</f>
        <v>100000</v>
      </c>
      <c r="H3029" s="63">
        <f>F3029*G3029</f>
        <v>18900</v>
      </c>
      <c r="I3029" s="44"/>
      <c r="J3029" s="152" t="s">
        <v>1248</v>
      </c>
      <c r="M3029" s="65">
        <v>0.1</v>
      </c>
    </row>
    <row r="3030" spans="3:13" s="59" customFormat="1" ht="22.2" customHeight="1">
      <c r="C3030" s="588">
        <v>2</v>
      </c>
      <c r="D3030" s="56" t="s">
        <v>7</v>
      </c>
      <c r="E3030" s="577" t="s">
        <v>6</v>
      </c>
      <c r="F3030" s="101">
        <v>9.4E-2</v>
      </c>
      <c r="G3030" s="63">
        <f>VLOOKUP(D3030,upahbahan,3,FALSE)</f>
        <v>135000</v>
      </c>
      <c r="H3030" s="63">
        <f>F3030*G3030</f>
        <v>12690</v>
      </c>
      <c r="I3030" s="44"/>
      <c r="J3030" s="152"/>
      <c r="M3030" s="65"/>
    </row>
    <row r="3031" spans="3:13" s="59" customFormat="1" ht="22.2" customHeight="1">
      <c r="C3031" s="588">
        <v>3</v>
      </c>
      <c r="D3031" s="56" t="s">
        <v>18</v>
      </c>
      <c r="E3031" s="577" t="s">
        <v>6</v>
      </c>
      <c r="F3031" s="101">
        <v>8.9999999999999993E-3</v>
      </c>
      <c r="G3031" s="63">
        <f>VLOOKUP(D3031,upahbahan,3,FALSE)</f>
        <v>150000</v>
      </c>
      <c r="H3031" s="63">
        <f t="shared" ref="H3031:H3032" si="371">F3031*G3031</f>
        <v>1350</v>
      </c>
      <c r="I3031" s="44"/>
      <c r="J3031" s="152"/>
      <c r="M3031" s="65"/>
    </row>
    <row r="3032" spans="3:13" s="59" customFormat="1" ht="22.2" customHeight="1">
      <c r="C3032" s="588">
        <v>4</v>
      </c>
      <c r="D3032" s="56" t="s">
        <v>19</v>
      </c>
      <c r="E3032" s="577" t="s">
        <v>6</v>
      </c>
      <c r="F3032" s="101">
        <v>8.9999999999999993E-3</v>
      </c>
      <c r="G3032" s="63">
        <f>VLOOKUP(D3032,upahbahan,3,FALSE)</f>
        <v>160000</v>
      </c>
      <c r="H3032" s="63">
        <f t="shared" si="371"/>
        <v>1440</v>
      </c>
      <c r="I3032" s="44"/>
    </row>
    <row r="3033" spans="3:13" s="59" customFormat="1" ht="22.2" customHeight="1">
      <c r="C3033" s="450" t="s">
        <v>1208</v>
      </c>
      <c r="D3033" s="67"/>
      <c r="E3033" s="67"/>
      <c r="F3033" s="142"/>
      <c r="G3033" s="153"/>
      <c r="H3033" s="63">
        <f>SUM(H3029:H3032)</f>
        <v>34380</v>
      </c>
      <c r="I3033" s="154"/>
    </row>
    <row r="3034" spans="3:13" s="59" customFormat="1" ht="22.2" customHeight="1">
      <c r="C3034" s="61" t="s">
        <v>1209</v>
      </c>
      <c r="D3034" s="56" t="s">
        <v>1210</v>
      </c>
      <c r="E3034" s="57"/>
      <c r="F3034" s="57"/>
      <c r="G3034" s="57"/>
      <c r="H3034" s="57"/>
      <c r="I3034" s="44"/>
    </row>
    <row r="3035" spans="3:13" s="59" customFormat="1" ht="22.2" customHeight="1">
      <c r="C3035" s="61">
        <v>1</v>
      </c>
      <c r="D3035" s="56" t="s">
        <v>8644</v>
      </c>
      <c r="E3035" s="93" t="s">
        <v>113</v>
      </c>
      <c r="F3035" s="104">
        <v>1</v>
      </c>
      <c r="G3035" s="63">
        <f>VLOOKUP(D3035,upahbahan,3,FALSE)</f>
        <v>351000</v>
      </c>
      <c r="H3035" s="63">
        <f>F3035*G3035</f>
        <v>351000</v>
      </c>
      <c r="I3035" s="44"/>
    </row>
    <row r="3036" spans="3:13" s="59" customFormat="1" ht="22.2" customHeight="1">
      <c r="C3036" s="61">
        <v>2</v>
      </c>
      <c r="D3036" s="56" t="s">
        <v>1796</v>
      </c>
      <c r="E3036" s="93" t="s">
        <v>65</v>
      </c>
      <c r="F3036" s="104">
        <v>6.59</v>
      </c>
      <c r="G3036" s="63">
        <f>VLOOKUP(D3036,upahbahan,3,FALSE)</f>
        <v>1530</v>
      </c>
      <c r="H3036" s="63">
        <f>F3036*G3036</f>
        <v>10082.699999999999</v>
      </c>
      <c r="I3036" s="44"/>
    </row>
    <row r="3037" spans="3:13" s="59" customFormat="1" ht="22.2" customHeight="1">
      <c r="C3037" s="61">
        <v>3</v>
      </c>
      <c r="D3037" s="56" t="s">
        <v>85</v>
      </c>
      <c r="E3037" s="93" t="s">
        <v>42</v>
      </c>
      <c r="F3037" s="104">
        <v>3.9E-2</v>
      </c>
      <c r="G3037" s="63">
        <f>VLOOKUP(D3037,upahbahan,3,FALSE)</f>
        <v>310500</v>
      </c>
      <c r="H3037" s="63">
        <f>F3037*G3037</f>
        <v>12109.5</v>
      </c>
      <c r="I3037" s="44"/>
    </row>
    <row r="3038" spans="3:13" s="59" customFormat="1" ht="22.2" customHeight="1">
      <c r="C3038" s="61">
        <v>4</v>
      </c>
      <c r="D3038" s="56" t="s">
        <v>88</v>
      </c>
      <c r="E3038" s="93" t="s">
        <v>42</v>
      </c>
      <c r="F3038" s="104">
        <v>4.3999999999999997E-2</v>
      </c>
      <c r="G3038" s="63">
        <f>VLOOKUP(D3038,upahbahan,3,FALSE)</f>
        <v>220500</v>
      </c>
      <c r="H3038" s="63">
        <f>F3038*G3038</f>
        <v>9702</v>
      </c>
      <c r="I3038" s="44"/>
    </row>
    <row r="3039" spans="3:13" s="59" customFormat="1" ht="22.2" customHeight="1">
      <c r="C3039" s="450" t="s">
        <v>1214</v>
      </c>
      <c r="D3039" s="67"/>
      <c r="E3039" s="67"/>
      <c r="F3039" s="67"/>
      <c r="G3039" s="69"/>
      <c r="H3039" s="63">
        <f>SUM(H3034:H3038)</f>
        <v>382894.2</v>
      </c>
      <c r="I3039" s="44"/>
    </row>
    <row r="3040" spans="3:13" s="59" customFormat="1" ht="22.2" customHeight="1">
      <c r="C3040" s="61" t="s">
        <v>1215</v>
      </c>
      <c r="D3040" s="56" t="s">
        <v>1216</v>
      </c>
      <c r="E3040" s="93"/>
      <c r="F3040" s="57"/>
      <c r="G3040" s="57"/>
      <c r="H3040" s="57"/>
      <c r="I3040" s="44"/>
    </row>
    <row r="3041" spans="3:13" s="59" customFormat="1" ht="22.2" customHeight="1">
      <c r="C3041" s="450" t="s">
        <v>1217</v>
      </c>
      <c r="D3041" s="67"/>
      <c r="E3041" s="67"/>
      <c r="F3041" s="67"/>
      <c r="G3041" s="69"/>
      <c r="H3041" s="882">
        <f>SUM(H3040)</f>
        <v>0</v>
      </c>
      <c r="I3041" s="44"/>
    </row>
    <row r="3042" spans="3:13" s="59" customFormat="1" ht="22.2" customHeight="1">
      <c r="C3042" s="288" t="s">
        <v>1218</v>
      </c>
      <c r="D3042" s="76" t="s">
        <v>1219</v>
      </c>
      <c r="E3042" s="77"/>
      <c r="F3042" s="77"/>
      <c r="G3042" s="78"/>
      <c r="H3042" s="585">
        <f>H3041+H3039+H3033</f>
        <v>417274.2</v>
      </c>
      <c r="I3042" s="369"/>
    </row>
    <row r="3043" spans="3:13" s="59" customFormat="1" ht="22.2" customHeight="1">
      <c r="C3043" s="288" t="s">
        <v>1220</v>
      </c>
      <c r="D3043" s="76" t="s">
        <v>1321</v>
      </c>
      <c r="E3043" s="77"/>
      <c r="F3043" s="78"/>
      <c r="G3043" s="80">
        <v>0.1</v>
      </c>
      <c r="H3043" s="63">
        <f>H3042*G3043</f>
        <v>41727.420000000006</v>
      </c>
      <c r="I3043" s="369"/>
    </row>
    <row r="3044" spans="3:13" s="59" customFormat="1" ht="22.2" customHeight="1">
      <c r="C3044" s="288" t="s">
        <v>1221</v>
      </c>
      <c r="D3044" s="76" t="s">
        <v>1222</v>
      </c>
      <c r="E3044" s="77"/>
      <c r="F3044" s="77"/>
      <c r="G3044" s="78"/>
      <c r="H3044" s="799">
        <f>SUM(H3042:H3043)</f>
        <v>459001.62</v>
      </c>
      <c r="I3044" s="369"/>
    </row>
    <row r="3045" spans="3:13" ht="22.2" customHeight="1"/>
    <row r="3046" spans="3:13" ht="22.2" customHeight="1">
      <c r="C3046" s="43" t="s">
        <v>5071</v>
      </c>
      <c r="D3046" s="128" t="s">
        <v>8645</v>
      </c>
      <c r="I3046" s="50">
        <f>ROUNDDOWN(H3064,-2)</f>
        <v>533800</v>
      </c>
      <c r="J3046" s="122" t="s">
        <v>6451</v>
      </c>
      <c r="K3046" s="122" t="s">
        <v>8641</v>
      </c>
    </row>
    <row r="3047" spans="3:13" s="59" customFormat="1" ht="22.2" customHeight="1">
      <c r="C3047" s="591" t="s">
        <v>1195</v>
      </c>
      <c r="D3047" s="591" t="s">
        <v>1196</v>
      </c>
      <c r="E3047" s="591" t="s">
        <v>1197</v>
      </c>
      <c r="F3047" s="591" t="s">
        <v>1198</v>
      </c>
      <c r="G3047" s="591" t="s">
        <v>1199</v>
      </c>
      <c r="H3047" s="591" t="s">
        <v>1200</v>
      </c>
      <c r="I3047" s="44"/>
    </row>
    <row r="3048" spans="3:13" s="59" customFormat="1" ht="22.2" customHeight="1">
      <c r="C3048" s="61" t="s">
        <v>1201</v>
      </c>
      <c r="D3048" s="56" t="s">
        <v>1202</v>
      </c>
      <c r="E3048" s="57"/>
      <c r="F3048" s="57"/>
      <c r="G3048" s="57"/>
      <c r="H3048" s="57"/>
      <c r="I3048" s="44"/>
      <c r="J3048" s="152" t="s">
        <v>1247</v>
      </c>
    </row>
    <row r="3049" spans="3:13" s="59" customFormat="1" ht="22.2" customHeight="1">
      <c r="C3049" s="588">
        <v>1</v>
      </c>
      <c r="D3049" s="56" t="s">
        <v>5</v>
      </c>
      <c r="E3049" s="577" t="s">
        <v>6</v>
      </c>
      <c r="F3049" s="101">
        <v>0.189</v>
      </c>
      <c r="G3049" s="63">
        <f>VLOOKUP(D3049,upahbahan,3,FALSE)</f>
        <v>100000</v>
      </c>
      <c r="H3049" s="63">
        <f>F3049*G3049</f>
        <v>18900</v>
      </c>
      <c r="I3049" s="44"/>
      <c r="J3049" s="152" t="s">
        <v>1248</v>
      </c>
      <c r="M3049" s="65">
        <v>0.1</v>
      </c>
    </row>
    <row r="3050" spans="3:13" s="59" customFormat="1" ht="22.2" customHeight="1">
      <c r="C3050" s="588">
        <v>2</v>
      </c>
      <c r="D3050" s="56" t="s">
        <v>7</v>
      </c>
      <c r="E3050" s="577" t="s">
        <v>6</v>
      </c>
      <c r="F3050" s="101">
        <v>9.4E-2</v>
      </c>
      <c r="G3050" s="63">
        <f>VLOOKUP(D3050,upahbahan,3,FALSE)</f>
        <v>135000</v>
      </c>
      <c r="H3050" s="63">
        <f>F3050*G3050</f>
        <v>12690</v>
      </c>
      <c r="I3050" s="44"/>
      <c r="J3050" s="152"/>
      <c r="M3050" s="65"/>
    </row>
    <row r="3051" spans="3:13" s="59" customFormat="1" ht="22.2" customHeight="1">
      <c r="C3051" s="588">
        <v>3</v>
      </c>
      <c r="D3051" s="56" t="s">
        <v>18</v>
      </c>
      <c r="E3051" s="577" t="s">
        <v>6</v>
      </c>
      <c r="F3051" s="101">
        <v>8.9999999999999993E-3</v>
      </c>
      <c r="G3051" s="63">
        <f>VLOOKUP(D3051,upahbahan,3,FALSE)</f>
        <v>150000</v>
      </c>
      <c r="H3051" s="63">
        <f t="shared" ref="H3051:H3052" si="372">F3051*G3051</f>
        <v>1350</v>
      </c>
      <c r="I3051" s="44"/>
      <c r="J3051" s="152"/>
      <c r="M3051" s="65"/>
    </row>
    <row r="3052" spans="3:13" s="59" customFormat="1" ht="22.2" customHeight="1">
      <c r="C3052" s="588">
        <v>4</v>
      </c>
      <c r="D3052" s="56" t="s">
        <v>19</v>
      </c>
      <c r="E3052" s="577" t="s">
        <v>6</v>
      </c>
      <c r="F3052" s="101">
        <v>8.9999999999999993E-3</v>
      </c>
      <c r="G3052" s="63">
        <f>VLOOKUP(D3052,upahbahan,3,FALSE)</f>
        <v>160000</v>
      </c>
      <c r="H3052" s="63">
        <f t="shared" si="372"/>
        <v>1440</v>
      </c>
      <c r="I3052" s="44"/>
    </row>
    <row r="3053" spans="3:13" s="59" customFormat="1" ht="22.2" customHeight="1">
      <c r="C3053" s="450" t="s">
        <v>1208</v>
      </c>
      <c r="D3053" s="67"/>
      <c r="E3053" s="67"/>
      <c r="F3053" s="142"/>
      <c r="G3053" s="153"/>
      <c r="H3053" s="63">
        <f>SUM(H3049:H3052)</f>
        <v>34380</v>
      </c>
      <c r="I3053" s="154"/>
    </row>
    <row r="3054" spans="3:13" s="59" customFormat="1" ht="22.2" customHeight="1">
      <c r="C3054" s="61" t="s">
        <v>1209</v>
      </c>
      <c r="D3054" s="56" t="s">
        <v>1210</v>
      </c>
      <c r="E3054" s="57"/>
      <c r="F3054" s="57"/>
      <c r="G3054" s="57"/>
      <c r="H3054" s="57"/>
      <c r="I3054" s="44"/>
    </row>
    <row r="3055" spans="3:13" s="59" customFormat="1" ht="22.2" customHeight="1">
      <c r="C3055" s="61">
        <v>1</v>
      </c>
      <c r="D3055" s="56" t="s">
        <v>8646</v>
      </c>
      <c r="E3055" s="93" t="s">
        <v>113</v>
      </c>
      <c r="F3055" s="104">
        <v>1</v>
      </c>
      <c r="G3055" s="63">
        <f>VLOOKUP(D3055,upahbahan,3,FALSE)</f>
        <v>411000</v>
      </c>
      <c r="H3055" s="63">
        <f>F3055*G3055</f>
        <v>411000</v>
      </c>
      <c r="I3055" s="44"/>
    </row>
    <row r="3056" spans="3:13" s="59" customFormat="1" ht="22.2" customHeight="1">
      <c r="C3056" s="61">
        <v>2</v>
      </c>
      <c r="D3056" s="56" t="s">
        <v>1796</v>
      </c>
      <c r="E3056" s="93" t="s">
        <v>65</v>
      </c>
      <c r="F3056" s="104">
        <v>8.24</v>
      </c>
      <c r="G3056" s="63">
        <f>VLOOKUP(D3056,upahbahan,3,FALSE)</f>
        <v>1530</v>
      </c>
      <c r="H3056" s="63">
        <f>F3056*G3056</f>
        <v>12607.2</v>
      </c>
      <c r="I3056" s="44"/>
    </row>
    <row r="3057" spans="3:13" s="59" customFormat="1" ht="22.2" customHeight="1">
      <c r="C3057" s="61">
        <v>3</v>
      </c>
      <c r="D3057" s="56" t="s">
        <v>85</v>
      </c>
      <c r="E3057" s="93" t="s">
        <v>42</v>
      </c>
      <c r="F3057" s="104">
        <v>4.9000000000000002E-2</v>
      </c>
      <c r="G3057" s="63">
        <f>VLOOKUP(D3057,upahbahan,3,FALSE)</f>
        <v>310500</v>
      </c>
      <c r="H3057" s="63">
        <f>F3057*G3057</f>
        <v>15214.5</v>
      </c>
      <c r="I3057" s="44"/>
    </row>
    <row r="3058" spans="3:13" s="59" customFormat="1" ht="22.2" customHeight="1">
      <c r="C3058" s="61">
        <v>4</v>
      </c>
      <c r="D3058" s="56" t="s">
        <v>88</v>
      </c>
      <c r="E3058" s="93" t="s">
        <v>42</v>
      </c>
      <c r="F3058" s="104">
        <v>5.5E-2</v>
      </c>
      <c r="G3058" s="63">
        <f>VLOOKUP(D3058,upahbahan,3,FALSE)</f>
        <v>220500</v>
      </c>
      <c r="H3058" s="63">
        <f>F3058*G3058</f>
        <v>12127.5</v>
      </c>
      <c r="I3058" s="44"/>
    </row>
    <row r="3059" spans="3:13" s="59" customFormat="1" ht="22.2" customHeight="1">
      <c r="C3059" s="450" t="s">
        <v>1214</v>
      </c>
      <c r="D3059" s="67"/>
      <c r="E3059" s="67"/>
      <c r="F3059" s="67"/>
      <c r="G3059" s="69"/>
      <c r="H3059" s="63">
        <f>SUM(H3054:H3058)</f>
        <v>450949.2</v>
      </c>
      <c r="I3059" s="44"/>
    </row>
    <row r="3060" spans="3:13" s="59" customFormat="1" ht="22.2" customHeight="1">
      <c r="C3060" s="61" t="s">
        <v>1215</v>
      </c>
      <c r="D3060" s="56" t="s">
        <v>1216</v>
      </c>
      <c r="E3060" s="93"/>
      <c r="F3060" s="57"/>
      <c r="G3060" s="57"/>
      <c r="H3060" s="57"/>
      <c r="I3060" s="44"/>
    </row>
    <row r="3061" spans="3:13" s="59" customFormat="1" ht="22.2" customHeight="1">
      <c r="C3061" s="450" t="s">
        <v>1217</v>
      </c>
      <c r="D3061" s="67"/>
      <c r="E3061" s="67"/>
      <c r="F3061" s="67"/>
      <c r="G3061" s="69"/>
      <c r="H3061" s="882">
        <f>SUM(H3060)</f>
        <v>0</v>
      </c>
      <c r="I3061" s="44"/>
    </row>
    <row r="3062" spans="3:13" s="59" customFormat="1" ht="22.2" customHeight="1">
      <c r="C3062" s="288" t="s">
        <v>1218</v>
      </c>
      <c r="D3062" s="76" t="s">
        <v>1219</v>
      </c>
      <c r="E3062" s="77"/>
      <c r="F3062" s="77"/>
      <c r="G3062" s="78"/>
      <c r="H3062" s="585">
        <f>H3061+H3059+H3053</f>
        <v>485329.2</v>
      </c>
      <c r="I3062" s="369"/>
    </row>
    <row r="3063" spans="3:13" s="59" customFormat="1" ht="22.2" customHeight="1">
      <c r="C3063" s="288" t="s">
        <v>1220</v>
      </c>
      <c r="D3063" s="76" t="s">
        <v>1321</v>
      </c>
      <c r="E3063" s="77"/>
      <c r="F3063" s="78"/>
      <c r="G3063" s="80">
        <v>0.1</v>
      </c>
      <c r="H3063" s="63">
        <f>H3062*G3063</f>
        <v>48532.920000000006</v>
      </c>
      <c r="I3063" s="369"/>
    </row>
    <row r="3064" spans="3:13" s="59" customFormat="1" ht="22.2" customHeight="1">
      <c r="C3064" s="288" t="s">
        <v>1221</v>
      </c>
      <c r="D3064" s="76" t="s">
        <v>1222</v>
      </c>
      <c r="E3064" s="77"/>
      <c r="F3064" s="77"/>
      <c r="G3064" s="78"/>
      <c r="H3064" s="799">
        <f>SUM(H3062:H3063)</f>
        <v>533862.12</v>
      </c>
      <c r="I3064" s="369"/>
    </row>
    <row r="3065" spans="3:13" ht="22.2" customHeight="1"/>
    <row r="3066" spans="3:13" ht="22.2" customHeight="1">
      <c r="C3066" s="43" t="s">
        <v>5073</v>
      </c>
      <c r="D3066" s="128" t="s">
        <v>8647</v>
      </c>
      <c r="I3066" s="50">
        <f>ROUNDDOWN(H3084,-2)</f>
        <v>671000</v>
      </c>
      <c r="J3066" s="122" t="s">
        <v>6451</v>
      </c>
      <c r="K3066" s="122" t="s">
        <v>8641</v>
      </c>
    </row>
    <row r="3067" spans="3:13" s="59" customFormat="1" ht="22.2" customHeight="1">
      <c r="C3067" s="591" t="s">
        <v>1195</v>
      </c>
      <c r="D3067" s="591" t="s">
        <v>1196</v>
      </c>
      <c r="E3067" s="591" t="s">
        <v>1197</v>
      </c>
      <c r="F3067" s="591" t="s">
        <v>1198</v>
      </c>
      <c r="G3067" s="591" t="s">
        <v>1199</v>
      </c>
      <c r="H3067" s="591" t="s">
        <v>1200</v>
      </c>
      <c r="I3067" s="44"/>
    </row>
    <row r="3068" spans="3:13" s="59" customFormat="1" ht="22.2" customHeight="1">
      <c r="C3068" s="61" t="s">
        <v>1201</v>
      </c>
      <c r="D3068" s="56" t="s">
        <v>1202</v>
      </c>
      <c r="E3068" s="57"/>
      <c r="F3068" s="57"/>
      <c r="G3068" s="57"/>
      <c r="H3068" s="57"/>
      <c r="I3068" s="44"/>
      <c r="J3068" s="152" t="s">
        <v>1247</v>
      </c>
    </row>
    <row r="3069" spans="3:13" s="59" customFormat="1" ht="22.2" customHeight="1">
      <c r="C3069" s="588">
        <v>1</v>
      </c>
      <c r="D3069" s="56" t="s">
        <v>5</v>
      </c>
      <c r="E3069" s="577" t="s">
        <v>6</v>
      </c>
      <c r="F3069" s="101">
        <v>0.377</v>
      </c>
      <c r="G3069" s="63">
        <f>VLOOKUP(D3069,upahbahan,3,FALSE)</f>
        <v>100000</v>
      </c>
      <c r="H3069" s="63">
        <f>F3069*G3069</f>
        <v>37700</v>
      </c>
      <c r="I3069" s="44"/>
      <c r="J3069" s="152" t="s">
        <v>1248</v>
      </c>
      <c r="M3069" s="65">
        <v>0.1</v>
      </c>
    </row>
    <row r="3070" spans="3:13" s="59" customFormat="1" ht="22.2" customHeight="1">
      <c r="C3070" s="588">
        <v>2</v>
      </c>
      <c r="D3070" s="56" t="s">
        <v>7</v>
      </c>
      <c r="E3070" s="577" t="s">
        <v>6</v>
      </c>
      <c r="F3070" s="101">
        <v>0.189</v>
      </c>
      <c r="G3070" s="63">
        <f>VLOOKUP(D3070,upahbahan,3,FALSE)</f>
        <v>135000</v>
      </c>
      <c r="H3070" s="63">
        <f>F3070*G3070</f>
        <v>25515</v>
      </c>
      <c r="I3070" s="44"/>
      <c r="J3070" s="152"/>
      <c r="M3070" s="65"/>
    </row>
    <row r="3071" spans="3:13" s="59" customFormat="1" ht="22.2" customHeight="1">
      <c r="C3071" s="588">
        <v>3</v>
      </c>
      <c r="D3071" s="56" t="s">
        <v>18</v>
      </c>
      <c r="E3071" s="577" t="s">
        <v>6</v>
      </c>
      <c r="F3071" s="101">
        <v>1.9E-2</v>
      </c>
      <c r="G3071" s="63">
        <f>VLOOKUP(D3071,upahbahan,3,FALSE)</f>
        <v>150000</v>
      </c>
      <c r="H3071" s="63">
        <f t="shared" ref="H3071:H3072" si="373">F3071*G3071</f>
        <v>2850</v>
      </c>
      <c r="I3071" s="44"/>
      <c r="J3071" s="152"/>
      <c r="M3071" s="65"/>
    </row>
    <row r="3072" spans="3:13" s="59" customFormat="1" ht="22.2" customHeight="1">
      <c r="C3072" s="588">
        <v>4</v>
      </c>
      <c r="D3072" s="56" t="s">
        <v>19</v>
      </c>
      <c r="E3072" s="577" t="s">
        <v>6</v>
      </c>
      <c r="F3072" s="101">
        <v>1.9E-2</v>
      </c>
      <c r="G3072" s="63">
        <f>VLOOKUP(D3072,upahbahan,3,FALSE)</f>
        <v>160000</v>
      </c>
      <c r="H3072" s="63">
        <f t="shared" si="373"/>
        <v>3040</v>
      </c>
      <c r="I3072" s="44"/>
    </row>
    <row r="3073" spans="3:11" s="59" customFormat="1" ht="22.2" customHeight="1">
      <c r="C3073" s="450" t="s">
        <v>1208</v>
      </c>
      <c r="D3073" s="67"/>
      <c r="E3073" s="67"/>
      <c r="F3073" s="142"/>
      <c r="G3073" s="153"/>
      <c r="H3073" s="63">
        <f>SUM(H3069:H3072)</f>
        <v>69105</v>
      </c>
      <c r="I3073" s="154"/>
    </row>
    <row r="3074" spans="3:11" s="59" customFormat="1" ht="22.2" customHeight="1">
      <c r="C3074" s="61" t="s">
        <v>1209</v>
      </c>
      <c r="D3074" s="56" t="s">
        <v>1210</v>
      </c>
      <c r="E3074" s="57"/>
      <c r="F3074" s="57"/>
      <c r="G3074" s="57"/>
      <c r="H3074" s="57"/>
      <c r="I3074" s="44"/>
    </row>
    <row r="3075" spans="3:11" s="59" customFormat="1" ht="22.2" customHeight="1">
      <c r="C3075" s="61">
        <v>1</v>
      </c>
      <c r="D3075" s="56" t="s">
        <v>8648</v>
      </c>
      <c r="E3075" s="93" t="s">
        <v>113</v>
      </c>
      <c r="F3075" s="104">
        <v>1</v>
      </c>
      <c r="G3075" s="63">
        <f>VLOOKUP(D3075,upahbahan,3,FALSE)</f>
        <v>491000</v>
      </c>
      <c r="H3075" s="63">
        <f>F3075*G3075</f>
        <v>491000</v>
      </c>
      <c r="I3075" s="44"/>
    </row>
    <row r="3076" spans="3:11" s="59" customFormat="1" ht="22.2" customHeight="1">
      <c r="C3076" s="61">
        <v>2</v>
      </c>
      <c r="D3076" s="56" t="s">
        <v>1796</v>
      </c>
      <c r="E3076" s="93" t="s">
        <v>65</v>
      </c>
      <c r="F3076" s="104">
        <v>10.3</v>
      </c>
      <c r="G3076" s="63">
        <f>VLOOKUP(D3076,upahbahan,3,FALSE)</f>
        <v>1530</v>
      </c>
      <c r="H3076" s="63">
        <f>F3076*G3076</f>
        <v>15759.000000000002</v>
      </c>
      <c r="I3076" s="44"/>
    </row>
    <row r="3077" spans="3:11" s="59" customFormat="1" ht="22.2" customHeight="1">
      <c r="C3077" s="61">
        <v>3</v>
      </c>
      <c r="D3077" s="56" t="s">
        <v>85</v>
      </c>
      <c r="E3077" s="93" t="s">
        <v>42</v>
      </c>
      <c r="F3077" s="104">
        <v>6.0999999999999999E-2</v>
      </c>
      <c r="G3077" s="63">
        <f>VLOOKUP(D3077,upahbahan,3,FALSE)</f>
        <v>310500</v>
      </c>
      <c r="H3077" s="63">
        <f>F3077*G3077</f>
        <v>18940.5</v>
      </c>
      <c r="I3077" s="44"/>
    </row>
    <row r="3078" spans="3:11" s="59" customFormat="1" ht="22.2" customHeight="1">
      <c r="C3078" s="61">
        <v>4</v>
      </c>
      <c r="D3078" s="56" t="s">
        <v>88</v>
      </c>
      <c r="E3078" s="93" t="s">
        <v>42</v>
      </c>
      <c r="F3078" s="104">
        <v>6.9000000000000006E-2</v>
      </c>
      <c r="G3078" s="63">
        <f>VLOOKUP(D3078,upahbahan,3,FALSE)</f>
        <v>220500</v>
      </c>
      <c r="H3078" s="63">
        <f>F3078*G3078</f>
        <v>15214.500000000002</v>
      </c>
      <c r="I3078" s="44"/>
    </row>
    <row r="3079" spans="3:11" s="59" customFormat="1" ht="22.2" customHeight="1">
      <c r="C3079" s="450" t="s">
        <v>1214</v>
      </c>
      <c r="D3079" s="67"/>
      <c r="E3079" s="67"/>
      <c r="F3079" s="67"/>
      <c r="G3079" s="69"/>
      <c r="H3079" s="63">
        <f>SUM(H3074:H3078)</f>
        <v>540914</v>
      </c>
      <c r="I3079" s="44"/>
    </row>
    <row r="3080" spans="3:11" s="59" customFormat="1" ht="22.2" customHeight="1">
      <c r="C3080" s="61" t="s">
        <v>1215</v>
      </c>
      <c r="D3080" s="56" t="s">
        <v>1216</v>
      </c>
      <c r="E3080" s="93"/>
      <c r="F3080" s="57"/>
      <c r="G3080" s="57"/>
      <c r="H3080" s="57"/>
      <c r="I3080" s="44"/>
    </row>
    <row r="3081" spans="3:11" s="59" customFormat="1" ht="22.2" customHeight="1">
      <c r="C3081" s="450" t="s">
        <v>1217</v>
      </c>
      <c r="D3081" s="67"/>
      <c r="E3081" s="67"/>
      <c r="F3081" s="67"/>
      <c r="G3081" s="69"/>
      <c r="H3081" s="882">
        <f>SUM(H3080)</f>
        <v>0</v>
      </c>
      <c r="I3081" s="44"/>
    </row>
    <row r="3082" spans="3:11" s="59" customFormat="1" ht="22.2" customHeight="1">
      <c r="C3082" s="288" t="s">
        <v>1218</v>
      </c>
      <c r="D3082" s="76" t="s">
        <v>1219</v>
      </c>
      <c r="E3082" s="77"/>
      <c r="F3082" s="77"/>
      <c r="G3082" s="78"/>
      <c r="H3082" s="585">
        <f>H3081+H3079+H3073</f>
        <v>610019</v>
      </c>
      <c r="I3082" s="369"/>
    </row>
    <row r="3083" spans="3:11" s="59" customFormat="1" ht="22.2" customHeight="1">
      <c r="C3083" s="288" t="s">
        <v>1220</v>
      </c>
      <c r="D3083" s="76" t="s">
        <v>1321</v>
      </c>
      <c r="E3083" s="77"/>
      <c r="F3083" s="78"/>
      <c r="G3083" s="80">
        <v>0.1</v>
      </c>
      <c r="H3083" s="63">
        <f>H3082*G3083</f>
        <v>61001.9</v>
      </c>
      <c r="I3083" s="369"/>
    </row>
    <row r="3084" spans="3:11" s="59" customFormat="1" ht="22.2" customHeight="1">
      <c r="C3084" s="288" t="s">
        <v>1221</v>
      </c>
      <c r="D3084" s="76" t="s">
        <v>1222</v>
      </c>
      <c r="E3084" s="77"/>
      <c r="F3084" s="77"/>
      <c r="G3084" s="78"/>
      <c r="H3084" s="799">
        <f>SUM(H3082:H3083)</f>
        <v>671020.9</v>
      </c>
      <c r="I3084" s="369"/>
    </row>
    <row r="3085" spans="3:11" ht="22.2" customHeight="1"/>
    <row r="3086" spans="3:11" ht="22.2" customHeight="1">
      <c r="C3086" s="43" t="s">
        <v>5074</v>
      </c>
      <c r="D3086" s="128" t="s">
        <v>8649</v>
      </c>
      <c r="I3086" s="50">
        <f>ROUNDDOWN(H3104,-2)</f>
        <v>759000</v>
      </c>
      <c r="J3086" s="122" t="s">
        <v>6451</v>
      </c>
      <c r="K3086" s="122" t="s">
        <v>8641</v>
      </c>
    </row>
    <row r="3087" spans="3:11" s="59" customFormat="1" ht="22.2" customHeight="1">
      <c r="C3087" s="591" t="s">
        <v>1195</v>
      </c>
      <c r="D3087" s="591" t="s">
        <v>1196</v>
      </c>
      <c r="E3087" s="591" t="s">
        <v>1197</v>
      </c>
      <c r="F3087" s="591" t="s">
        <v>1198</v>
      </c>
      <c r="G3087" s="591" t="s">
        <v>1199</v>
      </c>
      <c r="H3087" s="591" t="s">
        <v>1200</v>
      </c>
      <c r="I3087" s="44"/>
    </row>
    <row r="3088" spans="3:11" s="59" customFormat="1" ht="22.2" customHeight="1">
      <c r="C3088" s="61" t="s">
        <v>1201</v>
      </c>
      <c r="D3088" s="56" t="s">
        <v>1202</v>
      </c>
      <c r="E3088" s="57"/>
      <c r="F3088" s="57"/>
      <c r="G3088" s="57"/>
      <c r="H3088" s="57"/>
      <c r="I3088" s="44"/>
      <c r="J3088" s="152" t="s">
        <v>1247</v>
      </c>
    </row>
    <row r="3089" spans="3:13" s="59" customFormat="1" ht="22.2" customHeight="1">
      <c r="C3089" s="588">
        <v>1</v>
      </c>
      <c r="D3089" s="56" t="s">
        <v>5</v>
      </c>
      <c r="E3089" s="577" t="s">
        <v>6</v>
      </c>
      <c r="F3089" s="101">
        <v>0.377</v>
      </c>
      <c r="G3089" s="63">
        <f>VLOOKUP(D3089,upahbahan,3,FALSE)</f>
        <v>100000</v>
      </c>
      <c r="H3089" s="63">
        <f>F3089*G3089</f>
        <v>37700</v>
      </c>
      <c r="I3089" s="44"/>
      <c r="J3089" s="152" t="s">
        <v>1248</v>
      </c>
      <c r="M3089" s="65">
        <v>0.1</v>
      </c>
    </row>
    <row r="3090" spans="3:13" s="59" customFormat="1" ht="22.2" customHeight="1">
      <c r="C3090" s="588">
        <v>2</v>
      </c>
      <c r="D3090" s="56" t="s">
        <v>7</v>
      </c>
      <c r="E3090" s="577" t="s">
        <v>6</v>
      </c>
      <c r="F3090" s="101">
        <v>0.189</v>
      </c>
      <c r="G3090" s="63">
        <f>VLOOKUP(D3090,upahbahan,3,FALSE)</f>
        <v>135000</v>
      </c>
      <c r="H3090" s="63">
        <f>F3090*G3090</f>
        <v>25515</v>
      </c>
      <c r="I3090" s="44"/>
      <c r="J3090" s="152"/>
      <c r="M3090" s="65"/>
    </row>
    <row r="3091" spans="3:13" s="59" customFormat="1" ht="22.2" customHeight="1">
      <c r="C3091" s="588">
        <v>3</v>
      </c>
      <c r="D3091" s="56" t="s">
        <v>18</v>
      </c>
      <c r="E3091" s="577" t="s">
        <v>6</v>
      </c>
      <c r="F3091" s="101">
        <v>1.9E-2</v>
      </c>
      <c r="G3091" s="63">
        <f>VLOOKUP(D3091,upahbahan,3,FALSE)</f>
        <v>150000</v>
      </c>
      <c r="H3091" s="63">
        <f t="shared" ref="H3091:H3092" si="374">F3091*G3091</f>
        <v>2850</v>
      </c>
      <c r="I3091" s="44"/>
      <c r="J3091" s="152"/>
      <c r="M3091" s="65"/>
    </row>
    <row r="3092" spans="3:13" s="59" customFormat="1" ht="22.2" customHeight="1">
      <c r="C3092" s="588">
        <v>4</v>
      </c>
      <c r="D3092" s="56" t="s">
        <v>19</v>
      </c>
      <c r="E3092" s="577" t="s">
        <v>6</v>
      </c>
      <c r="F3092" s="101">
        <v>1.9E-2</v>
      </c>
      <c r="G3092" s="63">
        <f>VLOOKUP(D3092,upahbahan,3,FALSE)</f>
        <v>160000</v>
      </c>
      <c r="H3092" s="63">
        <f t="shared" si="374"/>
        <v>3040</v>
      </c>
      <c r="I3092" s="44"/>
    </row>
    <row r="3093" spans="3:13" s="59" customFormat="1" ht="22.2" customHeight="1">
      <c r="C3093" s="450" t="s">
        <v>1208</v>
      </c>
      <c r="D3093" s="67"/>
      <c r="E3093" s="67"/>
      <c r="F3093" s="142"/>
      <c r="G3093" s="153"/>
      <c r="H3093" s="63">
        <f>SUM(H3089:H3092)</f>
        <v>69105</v>
      </c>
      <c r="I3093" s="154"/>
    </row>
    <row r="3094" spans="3:13" s="59" customFormat="1" ht="22.2" customHeight="1">
      <c r="C3094" s="61" t="s">
        <v>1209</v>
      </c>
      <c r="D3094" s="56" t="s">
        <v>1210</v>
      </c>
      <c r="E3094" s="57"/>
      <c r="F3094" s="57"/>
      <c r="G3094" s="57"/>
      <c r="H3094" s="57"/>
      <c r="I3094" s="44"/>
    </row>
    <row r="3095" spans="3:13" s="59" customFormat="1" ht="22.2" customHeight="1">
      <c r="C3095" s="61">
        <v>1</v>
      </c>
      <c r="D3095" s="56" t="s">
        <v>8650</v>
      </c>
      <c r="E3095" s="93" t="s">
        <v>113</v>
      </c>
      <c r="F3095" s="104">
        <v>1</v>
      </c>
      <c r="G3095" s="63">
        <f>VLOOKUP(D3095,upahbahan,3,FALSE)</f>
        <v>571000</v>
      </c>
      <c r="H3095" s="63">
        <f>F3095*G3095</f>
        <v>571000</v>
      </c>
      <c r="I3095" s="44"/>
    </row>
    <row r="3096" spans="3:13" s="59" customFormat="1" ht="22.2" customHeight="1">
      <c r="C3096" s="61">
        <v>2</v>
      </c>
      <c r="D3096" s="56" t="s">
        <v>1796</v>
      </c>
      <c r="E3096" s="93" t="s">
        <v>65</v>
      </c>
      <c r="F3096" s="104">
        <v>10.3</v>
      </c>
      <c r="G3096" s="63">
        <f>VLOOKUP(D3096,upahbahan,3,FALSE)</f>
        <v>1530</v>
      </c>
      <c r="H3096" s="63">
        <f>F3096*G3096</f>
        <v>15759.000000000002</v>
      </c>
      <c r="I3096" s="44"/>
    </row>
    <row r="3097" spans="3:13" s="59" customFormat="1" ht="22.2" customHeight="1">
      <c r="C3097" s="61">
        <v>3</v>
      </c>
      <c r="D3097" s="56" t="s">
        <v>85</v>
      </c>
      <c r="E3097" s="93" t="s">
        <v>42</v>
      </c>
      <c r="F3097" s="104">
        <v>6.0999999999999999E-2</v>
      </c>
      <c r="G3097" s="63">
        <f>VLOOKUP(D3097,upahbahan,3,FALSE)</f>
        <v>310500</v>
      </c>
      <c r="H3097" s="63">
        <f>F3097*G3097</f>
        <v>18940.5</v>
      </c>
      <c r="I3097" s="44"/>
    </row>
    <row r="3098" spans="3:13" s="59" customFormat="1" ht="22.2" customHeight="1">
      <c r="C3098" s="61">
        <v>4</v>
      </c>
      <c r="D3098" s="56" t="s">
        <v>88</v>
      </c>
      <c r="E3098" s="93" t="s">
        <v>42</v>
      </c>
      <c r="F3098" s="104">
        <v>6.9000000000000006E-2</v>
      </c>
      <c r="G3098" s="63">
        <f>VLOOKUP(D3098,upahbahan,3,FALSE)</f>
        <v>220500</v>
      </c>
      <c r="H3098" s="63">
        <f>F3098*G3098</f>
        <v>15214.500000000002</v>
      </c>
      <c r="I3098" s="44"/>
    </row>
    <row r="3099" spans="3:13" s="59" customFormat="1" ht="22.2" customHeight="1">
      <c r="C3099" s="450" t="s">
        <v>1214</v>
      </c>
      <c r="D3099" s="67"/>
      <c r="E3099" s="67"/>
      <c r="F3099" s="67"/>
      <c r="G3099" s="69"/>
      <c r="H3099" s="63">
        <f>SUM(H3094:H3098)</f>
        <v>620914</v>
      </c>
      <c r="I3099" s="44"/>
    </row>
    <row r="3100" spans="3:13" s="59" customFormat="1" ht="22.2" customHeight="1">
      <c r="C3100" s="61" t="s">
        <v>1215</v>
      </c>
      <c r="D3100" s="56" t="s">
        <v>1216</v>
      </c>
      <c r="E3100" s="93"/>
      <c r="F3100" s="57"/>
      <c r="G3100" s="57"/>
      <c r="H3100" s="57"/>
      <c r="I3100" s="44"/>
    </row>
    <row r="3101" spans="3:13" s="59" customFormat="1" ht="22.2" customHeight="1">
      <c r="C3101" s="450" t="s">
        <v>1217</v>
      </c>
      <c r="D3101" s="67"/>
      <c r="E3101" s="67"/>
      <c r="F3101" s="67"/>
      <c r="G3101" s="69"/>
      <c r="H3101" s="882">
        <f>SUM(H3100)</f>
        <v>0</v>
      </c>
      <c r="I3101" s="44"/>
    </row>
    <row r="3102" spans="3:13" s="59" customFormat="1" ht="22.2" customHeight="1">
      <c r="C3102" s="288" t="s">
        <v>1218</v>
      </c>
      <c r="D3102" s="76" t="s">
        <v>1219</v>
      </c>
      <c r="E3102" s="77"/>
      <c r="F3102" s="77"/>
      <c r="G3102" s="78"/>
      <c r="H3102" s="585">
        <f>H3101+H3099+H3093</f>
        <v>690019</v>
      </c>
      <c r="I3102" s="369"/>
    </row>
    <row r="3103" spans="3:13" s="59" customFormat="1" ht="22.2" customHeight="1">
      <c r="C3103" s="288" t="s">
        <v>1220</v>
      </c>
      <c r="D3103" s="76" t="s">
        <v>1321</v>
      </c>
      <c r="E3103" s="77"/>
      <c r="F3103" s="78"/>
      <c r="G3103" s="80">
        <v>0.1</v>
      </c>
      <c r="H3103" s="63">
        <f>H3102*G3103</f>
        <v>69001.900000000009</v>
      </c>
      <c r="I3103" s="369"/>
    </row>
    <row r="3104" spans="3:13" s="59" customFormat="1" ht="22.2" customHeight="1">
      <c r="C3104" s="288" t="s">
        <v>1221</v>
      </c>
      <c r="D3104" s="76" t="s">
        <v>1222</v>
      </c>
      <c r="E3104" s="77"/>
      <c r="F3104" s="77"/>
      <c r="G3104" s="78"/>
      <c r="H3104" s="799">
        <f>SUM(H3102:H3103)</f>
        <v>759020.9</v>
      </c>
      <c r="I3104" s="369"/>
    </row>
    <row r="3105" spans="3:13" ht="22.2" customHeight="1"/>
    <row r="3106" spans="3:13" ht="22.2" customHeight="1">
      <c r="C3106" s="43" t="s">
        <v>5077</v>
      </c>
      <c r="D3106" s="128" t="s">
        <v>8651</v>
      </c>
      <c r="I3106" s="50">
        <f>ROUNDDOWN(H3124,-2)</f>
        <v>862600</v>
      </c>
      <c r="J3106" s="122" t="s">
        <v>6451</v>
      </c>
      <c r="K3106" s="122" t="s">
        <v>8641</v>
      </c>
    </row>
    <row r="3107" spans="3:13" s="59" customFormat="1" ht="22.2" customHeight="1">
      <c r="C3107" s="591" t="s">
        <v>1195</v>
      </c>
      <c r="D3107" s="591" t="s">
        <v>1196</v>
      </c>
      <c r="E3107" s="591" t="s">
        <v>1197</v>
      </c>
      <c r="F3107" s="591" t="s">
        <v>1198</v>
      </c>
      <c r="G3107" s="591" t="s">
        <v>1199</v>
      </c>
      <c r="H3107" s="591" t="s">
        <v>1200</v>
      </c>
      <c r="I3107" s="44"/>
    </row>
    <row r="3108" spans="3:13" s="59" customFormat="1" ht="22.2" customHeight="1">
      <c r="C3108" s="61" t="s">
        <v>1201</v>
      </c>
      <c r="D3108" s="56" t="s">
        <v>1202</v>
      </c>
      <c r="E3108" s="57"/>
      <c r="F3108" s="57"/>
      <c r="G3108" s="57"/>
      <c r="H3108" s="57"/>
      <c r="I3108" s="44"/>
      <c r="J3108" s="152" t="s">
        <v>1247</v>
      </c>
    </row>
    <row r="3109" spans="3:13" s="59" customFormat="1" ht="22.2" customHeight="1">
      <c r="C3109" s="588">
        <v>1</v>
      </c>
      <c r="D3109" s="56" t="s">
        <v>5</v>
      </c>
      <c r="E3109" s="577" t="s">
        <v>6</v>
      </c>
      <c r="F3109" s="101">
        <v>0.47199999999999998</v>
      </c>
      <c r="G3109" s="63">
        <f>VLOOKUP(D3109,upahbahan,3,FALSE)</f>
        <v>100000</v>
      </c>
      <c r="H3109" s="63">
        <f>F3109*G3109</f>
        <v>47200</v>
      </c>
      <c r="I3109" s="44"/>
      <c r="J3109" s="152" t="s">
        <v>1248</v>
      </c>
      <c r="M3109" s="65">
        <v>0.1</v>
      </c>
    </row>
    <row r="3110" spans="3:13" s="59" customFormat="1" ht="22.2" customHeight="1">
      <c r="C3110" s="588">
        <v>2</v>
      </c>
      <c r="D3110" s="56" t="s">
        <v>7</v>
      </c>
      <c r="E3110" s="577" t="s">
        <v>6</v>
      </c>
      <c r="F3110" s="101">
        <v>0.23599999999999999</v>
      </c>
      <c r="G3110" s="63">
        <f>VLOOKUP(D3110,upahbahan,3,FALSE)</f>
        <v>135000</v>
      </c>
      <c r="H3110" s="63">
        <f>F3110*G3110</f>
        <v>31860</v>
      </c>
      <c r="I3110" s="44"/>
      <c r="J3110" s="152"/>
      <c r="M3110" s="65"/>
    </row>
    <row r="3111" spans="3:13" s="59" customFormat="1" ht="22.2" customHeight="1">
      <c r="C3111" s="588">
        <v>3</v>
      </c>
      <c r="D3111" s="56" t="s">
        <v>18</v>
      </c>
      <c r="E3111" s="577" t="s">
        <v>6</v>
      </c>
      <c r="F3111" s="101">
        <v>2.4E-2</v>
      </c>
      <c r="G3111" s="63">
        <f>VLOOKUP(D3111,upahbahan,3,FALSE)</f>
        <v>150000</v>
      </c>
      <c r="H3111" s="63">
        <f t="shared" ref="H3111:H3112" si="375">F3111*G3111</f>
        <v>3600</v>
      </c>
      <c r="I3111" s="44"/>
      <c r="J3111" s="152"/>
      <c r="M3111" s="65"/>
    </row>
    <row r="3112" spans="3:13" s="59" customFormat="1" ht="22.2" customHeight="1">
      <c r="C3112" s="588">
        <v>4</v>
      </c>
      <c r="D3112" s="56" t="s">
        <v>19</v>
      </c>
      <c r="E3112" s="577" t="s">
        <v>6</v>
      </c>
      <c r="F3112" s="101">
        <v>2.4E-2</v>
      </c>
      <c r="G3112" s="63">
        <f>VLOOKUP(D3112,upahbahan,3,FALSE)</f>
        <v>160000</v>
      </c>
      <c r="H3112" s="63">
        <f t="shared" si="375"/>
        <v>3840</v>
      </c>
      <c r="I3112" s="44"/>
    </row>
    <row r="3113" spans="3:13" s="59" customFormat="1" ht="22.2" customHeight="1">
      <c r="C3113" s="450" t="s">
        <v>1208</v>
      </c>
      <c r="D3113" s="67"/>
      <c r="E3113" s="67"/>
      <c r="F3113" s="142"/>
      <c r="G3113" s="153"/>
      <c r="H3113" s="63">
        <f>SUM(H3109:H3112)</f>
        <v>86500</v>
      </c>
      <c r="I3113" s="154"/>
    </row>
    <row r="3114" spans="3:13" s="59" customFormat="1" ht="22.2" customHeight="1">
      <c r="C3114" s="61" t="s">
        <v>1209</v>
      </c>
      <c r="D3114" s="56" t="s">
        <v>1210</v>
      </c>
      <c r="E3114" s="57"/>
      <c r="F3114" s="57"/>
      <c r="G3114" s="57"/>
      <c r="H3114" s="57"/>
      <c r="I3114" s="44"/>
    </row>
    <row r="3115" spans="3:13" s="59" customFormat="1" ht="22.2" customHeight="1">
      <c r="C3115" s="61">
        <v>1</v>
      </c>
      <c r="D3115" s="56" t="s">
        <v>8652</v>
      </c>
      <c r="E3115" s="93" t="s">
        <v>113</v>
      </c>
      <c r="F3115" s="104">
        <v>1</v>
      </c>
      <c r="G3115" s="63">
        <f>VLOOKUP(D3115,upahbahan,3,FALSE)</f>
        <v>641000</v>
      </c>
      <c r="H3115" s="63">
        <f>F3115*G3115</f>
        <v>641000</v>
      </c>
      <c r="I3115" s="44"/>
    </row>
    <row r="3116" spans="3:13" s="59" customFormat="1" ht="22.2" customHeight="1">
      <c r="C3116" s="61">
        <v>2</v>
      </c>
      <c r="D3116" s="56" t="s">
        <v>1796</v>
      </c>
      <c r="E3116" s="93" t="s">
        <v>65</v>
      </c>
      <c r="F3116" s="104">
        <v>11.33</v>
      </c>
      <c r="G3116" s="63">
        <f>VLOOKUP(D3116,upahbahan,3,FALSE)</f>
        <v>1530</v>
      </c>
      <c r="H3116" s="63">
        <f>F3116*G3116</f>
        <v>17334.900000000001</v>
      </c>
      <c r="I3116" s="44"/>
    </row>
    <row r="3117" spans="3:13" s="59" customFormat="1" ht="22.2" customHeight="1">
      <c r="C3117" s="61">
        <v>3</v>
      </c>
      <c r="D3117" s="56" t="s">
        <v>85</v>
      </c>
      <c r="E3117" s="93" t="s">
        <v>42</v>
      </c>
      <c r="F3117" s="104">
        <v>7.0000000000000007E-2</v>
      </c>
      <c r="G3117" s="63">
        <f>VLOOKUP(D3117,upahbahan,3,FALSE)</f>
        <v>310500</v>
      </c>
      <c r="H3117" s="63">
        <f>F3117*G3117</f>
        <v>21735.000000000004</v>
      </c>
      <c r="I3117" s="44"/>
    </row>
    <row r="3118" spans="3:13" s="59" customFormat="1" ht="22.2" customHeight="1">
      <c r="C3118" s="61">
        <v>4</v>
      </c>
      <c r="D3118" s="56" t="s">
        <v>88</v>
      </c>
      <c r="E3118" s="93" t="s">
        <v>42</v>
      </c>
      <c r="F3118" s="104">
        <v>0.08</v>
      </c>
      <c r="G3118" s="63">
        <f>VLOOKUP(D3118,upahbahan,3,FALSE)</f>
        <v>220500</v>
      </c>
      <c r="H3118" s="63">
        <f>F3118*G3118</f>
        <v>17640</v>
      </c>
      <c r="I3118" s="44"/>
    </row>
    <row r="3119" spans="3:13" s="59" customFormat="1" ht="22.2" customHeight="1">
      <c r="C3119" s="450" t="s">
        <v>1214</v>
      </c>
      <c r="D3119" s="67"/>
      <c r="E3119" s="67"/>
      <c r="F3119" s="67"/>
      <c r="G3119" s="69"/>
      <c r="H3119" s="63">
        <f>SUM(H3114:H3118)</f>
        <v>697709.9</v>
      </c>
      <c r="I3119" s="44"/>
    </row>
    <row r="3120" spans="3:13" s="59" customFormat="1" ht="22.2" customHeight="1">
      <c r="C3120" s="61" t="s">
        <v>1215</v>
      </c>
      <c r="D3120" s="56" t="s">
        <v>1216</v>
      </c>
      <c r="E3120" s="93"/>
      <c r="F3120" s="57"/>
      <c r="G3120" s="57"/>
      <c r="H3120" s="57"/>
      <c r="I3120" s="44"/>
    </row>
    <row r="3121" spans="3:13" s="59" customFormat="1" ht="22.2" customHeight="1">
      <c r="C3121" s="450" t="s">
        <v>1217</v>
      </c>
      <c r="D3121" s="67"/>
      <c r="E3121" s="67"/>
      <c r="F3121" s="67"/>
      <c r="G3121" s="69"/>
      <c r="H3121" s="882">
        <f>SUM(H3120)</f>
        <v>0</v>
      </c>
      <c r="I3121" s="44"/>
    </row>
    <row r="3122" spans="3:13" s="59" customFormat="1" ht="22.2" customHeight="1">
      <c r="C3122" s="288" t="s">
        <v>1218</v>
      </c>
      <c r="D3122" s="76" t="s">
        <v>1219</v>
      </c>
      <c r="E3122" s="77"/>
      <c r="F3122" s="77"/>
      <c r="G3122" s="78"/>
      <c r="H3122" s="585">
        <f>H3121+H3119+H3113</f>
        <v>784209.9</v>
      </c>
      <c r="I3122" s="369"/>
    </row>
    <row r="3123" spans="3:13" s="59" customFormat="1" ht="22.2" customHeight="1">
      <c r="C3123" s="288" t="s">
        <v>1220</v>
      </c>
      <c r="D3123" s="76" t="s">
        <v>1321</v>
      </c>
      <c r="E3123" s="77"/>
      <c r="F3123" s="78"/>
      <c r="G3123" s="80">
        <v>0.1</v>
      </c>
      <c r="H3123" s="63">
        <f>H3122*G3123</f>
        <v>78420.990000000005</v>
      </c>
      <c r="I3123" s="369"/>
    </row>
    <row r="3124" spans="3:13" s="59" customFormat="1" ht="22.2" customHeight="1">
      <c r="C3124" s="288" t="s">
        <v>1221</v>
      </c>
      <c r="D3124" s="76" t="s">
        <v>1222</v>
      </c>
      <c r="E3124" s="77"/>
      <c r="F3124" s="77"/>
      <c r="G3124" s="78"/>
      <c r="H3124" s="799">
        <f>SUM(H3122:H3123)</f>
        <v>862630.89</v>
      </c>
      <c r="I3124" s="369"/>
    </row>
    <row r="3125" spans="3:13" ht="22.2" customHeight="1"/>
    <row r="3126" spans="3:13" ht="22.2" customHeight="1">
      <c r="C3126" s="43" t="s">
        <v>5079</v>
      </c>
      <c r="D3126" s="128" t="s">
        <v>5080</v>
      </c>
    </row>
    <row r="3127" spans="3:13" ht="22.2" customHeight="1">
      <c r="C3127" s="43" t="s">
        <v>5081</v>
      </c>
      <c r="D3127" s="128" t="s">
        <v>5082</v>
      </c>
    </row>
    <row r="3128" spans="3:13" ht="22.2" customHeight="1">
      <c r="C3128" s="43" t="s">
        <v>5083</v>
      </c>
      <c r="D3128" s="128" t="s">
        <v>8653</v>
      </c>
      <c r="I3128" s="50">
        <f>ROUNDDOWN(H3145,-2)</f>
        <v>759200</v>
      </c>
      <c r="J3128" s="122" t="s">
        <v>6451</v>
      </c>
      <c r="K3128" s="122" t="s">
        <v>8654</v>
      </c>
    </row>
    <row r="3129" spans="3:13" s="59" customFormat="1" ht="22.2" customHeight="1">
      <c r="C3129" s="591" t="s">
        <v>1195</v>
      </c>
      <c r="D3129" s="591" t="s">
        <v>1196</v>
      </c>
      <c r="E3129" s="591" t="s">
        <v>1197</v>
      </c>
      <c r="F3129" s="591" t="s">
        <v>1198</v>
      </c>
      <c r="G3129" s="591" t="s">
        <v>1199</v>
      </c>
      <c r="H3129" s="591" t="s">
        <v>1200</v>
      </c>
      <c r="I3129" s="44"/>
    </row>
    <row r="3130" spans="3:13" s="59" customFormat="1" ht="22.2" customHeight="1">
      <c r="C3130" s="61" t="s">
        <v>1201</v>
      </c>
      <c r="D3130" s="56" t="s">
        <v>1202</v>
      </c>
      <c r="E3130" s="57"/>
      <c r="F3130" s="57"/>
      <c r="G3130" s="57"/>
      <c r="H3130" s="57"/>
      <c r="I3130" s="44"/>
      <c r="J3130" s="152" t="s">
        <v>1247</v>
      </c>
    </row>
    <row r="3131" spans="3:13" s="59" customFormat="1" ht="22.2" customHeight="1">
      <c r="C3131" s="588">
        <v>1</v>
      </c>
      <c r="D3131" s="56" t="s">
        <v>5</v>
      </c>
      <c r="E3131" s="577" t="s">
        <v>6</v>
      </c>
      <c r="F3131" s="101">
        <v>1.466</v>
      </c>
      <c r="G3131" s="63">
        <f>VLOOKUP(D3131,upahbahan,3,FALSE)</f>
        <v>100000</v>
      </c>
      <c r="H3131" s="63">
        <f>F3131*G3131</f>
        <v>146600</v>
      </c>
      <c r="I3131" s="44"/>
      <c r="J3131" s="152" t="s">
        <v>1248</v>
      </c>
      <c r="M3131" s="65">
        <v>0.1</v>
      </c>
    </row>
    <row r="3132" spans="3:13" s="59" customFormat="1" ht="22.2" customHeight="1">
      <c r="C3132" s="588">
        <v>2</v>
      </c>
      <c r="D3132" s="56" t="s">
        <v>10</v>
      </c>
      <c r="E3132" s="577" t="s">
        <v>6</v>
      </c>
      <c r="F3132" s="101">
        <v>0.73299999999999998</v>
      </c>
      <c r="G3132" s="63">
        <f>VLOOKUP(D3132,upahbahan,3,FALSE)</f>
        <v>135000</v>
      </c>
      <c r="H3132" s="63">
        <f>F3132*G3132</f>
        <v>98955</v>
      </c>
      <c r="I3132" s="44"/>
      <c r="J3132" s="152"/>
      <c r="M3132" s="65"/>
    </row>
    <row r="3133" spans="3:13" s="59" customFormat="1" ht="22.2" customHeight="1">
      <c r="C3133" s="588">
        <v>4</v>
      </c>
      <c r="D3133" s="56" t="s">
        <v>19</v>
      </c>
      <c r="E3133" s="577" t="s">
        <v>6</v>
      </c>
      <c r="F3133" s="101">
        <v>0.14699999999999999</v>
      </c>
      <c r="G3133" s="63">
        <f>VLOOKUP(D3133,upahbahan,3,FALSE)</f>
        <v>160000</v>
      </c>
      <c r="H3133" s="63">
        <f t="shared" ref="H3133" si="376">F3133*G3133</f>
        <v>23520</v>
      </c>
      <c r="I3133" s="44"/>
    </row>
    <row r="3134" spans="3:13" s="59" customFormat="1" ht="22.2" customHeight="1">
      <c r="C3134" s="450" t="s">
        <v>1208</v>
      </c>
      <c r="D3134" s="67"/>
      <c r="E3134" s="67"/>
      <c r="F3134" s="142"/>
      <c r="G3134" s="153"/>
      <c r="H3134" s="63">
        <f>SUM(H3131:H3133)</f>
        <v>269075</v>
      </c>
      <c r="I3134" s="154"/>
    </row>
    <row r="3135" spans="3:13" s="59" customFormat="1" ht="22.2" customHeight="1">
      <c r="C3135" s="61" t="s">
        <v>1209</v>
      </c>
      <c r="D3135" s="56" t="s">
        <v>1210</v>
      </c>
      <c r="E3135" s="57"/>
      <c r="F3135" s="57"/>
      <c r="G3135" s="57"/>
      <c r="H3135" s="57"/>
      <c r="I3135" s="44"/>
    </row>
    <row r="3136" spans="3:13" s="59" customFormat="1" ht="22.2" customHeight="1">
      <c r="C3136" s="450" t="s">
        <v>1214</v>
      </c>
      <c r="D3136" s="67"/>
      <c r="E3136" s="67"/>
      <c r="F3136" s="67"/>
      <c r="G3136" s="69"/>
      <c r="H3136" s="63">
        <f>SUM(H3135:H3135)</f>
        <v>0</v>
      </c>
      <c r="I3136" s="44"/>
    </row>
    <row r="3137" spans="3:13" s="59" customFormat="1" ht="22.2" customHeight="1">
      <c r="C3137" s="61" t="s">
        <v>1215</v>
      </c>
      <c r="D3137" s="56" t="s">
        <v>1216</v>
      </c>
      <c r="E3137" s="93"/>
      <c r="F3137" s="57"/>
      <c r="G3137" s="57"/>
      <c r="H3137" s="57"/>
      <c r="I3137" s="44"/>
    </row>
    <row r="3138" spans="3:13" s="59" customFormat="1" ht="22.2" customHeight="1">
      <c r="C3138" s="800">
        <v>1</v>
      </c>
      <c r="D3138" s="56" t="s">
        <v>8463</v>
      </c>
      <c r="E3138" s="93" t="s">
        <v>1080</v>
      </c>
      <c r="F3138" s="94">
        <v>0.60599999999999998</v>
      </c>
      <c r="G3138" s="63">
        <f>VLOOKUP(D3138,upahbahan,3,FALSE)</f>
        <v>75000</v>
      </c>
      <c r="H3138" s="63">
        <f>F3138*G3138</f>
        <v>45450</v>
      </c>
      <c r="I3138" s="44"/>
    </row>
    <row r="3139" spans="3:13" s="59" customFormat="1" ht="22.2" customHeight="1">
      <c r="C3139" s="800">
        <v>2</v>
      </c>
      <c r="D3139" s="56" t="s">
        <v>5084</v>
      </c>
      <c r="E3139" s="93" t="s">
        <v>1080</v>
      </c>
      <c r="F3139" s="94">
        <v>7.4999999999999997E-2</v>
      </c>
      <c r="G3139" s="63">
        <f>VLOOKUP(D3139,upahbahan,3,FALSE)</f>
        <v>150000</v>
      </c>
      <c r="H3139" s="63">
        <f t="shared" ref="H3139:H3141" si="377">F3139*G3139</f>
        <v>11250</v>
      </c>
      <c r="I3139" s="44"/>
    </row>
    <row r="3140" spans="3:13" s="59" customFormat="1" ht="22.2" customHeight="1">
      <c r="C3140" s="800">
        <v>3</v>
      </c>
      <c r="D3140" s="56" t="s">
        <v>5085</v>
      </c>
      <c r="E3140" s="93" t="s">
        <v>1080</v>
      </c>
      <c r="F3140" s="94">
        <v>0.96799999999999997</v>
      </c>
      <c r="G3140" s="63">
        <f>VLOOKUP(D3140,upahbahan,3,FALSE)</f>
        <v>280000</v>
      </c>
      <c r="H3140" s="63">
        <f t="shared" si="377"/>
        <v>271040</v>
      </c>
      <c r="I3140" s="44"/>
    </row>
    <row r="3141" spans="3:13" s="59" customFormat="1" ht="22.2" customHeight="1">
      <c r="C3141" s="800">
        <v>4</v>
      </c>
      <c r="D3141" s="56" t="s">
        <v>4770</v>
      </c>
      <c r="E3141" s="93" t="s">
        <v>1080</v>
      </c>
      <c r="F3141" s="94">
        <v>0.86499999999999999</v>
      </c>
      <c r="G3141" s="63">
        <f>VLOOKUP(D3141,upahbahan,3,FALSE)</f>
        <v>108000</v>
      </c>
      <c r="H3141" s="63">
        <f t="shared" si="377"/>
        <v>93420</v>
      </c>
      <c r="I3141" s="44"/>
    </row>
    <row r="3142" spans="3:13" s="59" customFormat="1" ht="22.2" customHeight="1">
      <c r="C3142" s="450" t="s">
        <v>1217</v>
      </c>
      <c r="D3142" s="67"/>
      <c r="E3142" s="67"/>
      <c r="F3142" s="67"/>
      <c r="G3142" s="69"/>
      <c r="H3142" s="882">
        <f>SUM(H3137:H3141)</f>
        <v>421160</v>
      </c>
      <c r="I3142" s="44"/>
    </row>
    <row r="3143" spans="3:13" s="59" customFormat="1" ht="22.2" customHeight="1">
      <c r="C3143" s="288" t="s">
        <v>1218</v>
      </c>
      <c r="D3143" s="76" t="s">
        <v>1219</v>
      </c>
      <c r="E3143" s="77"/>
      <c r="F3143" s="77"/>
      <c r="G3143" s="78"/>
      <c r="H3143" s="585">
        <f>H3142+H3136+H3134</f>
        <v>690235</v>
      </c>
      <c r="I3143" s="369"/>
    </row>
    <row r="3144" spans="3:13" s="59" customFormat="1" ht="22.2" customHeight="1">
      <c r="C3144" s="288" t="s">
        <v>1220</v>
      </c>
      <c r="D3144" s="76" t="s">
        <v>1321</v>
      </c>
      <c r="E3144" s="77"/>
      <c r="F3144" s="78"/>
      <c r="G3144" s="80">
        <v>0.1</v>
      </c>
      <c r="H3144" s="63">
        <f>H3143*G3144</f>
        <v>69023.5</v>
      </c>
      <c r="I3144" s="369"/>
    </row>
    <row r="3145" spans="3:13" s="59" customFormat="1" ht="22.2" customHeight="1">
      <c r="C3145" s="288" t="s">
        <v>1221</v>
      </c>
      <c r="D3145" s="76" t="s">
        <v>1222</v>
      </c>
      <c r="E3145" s="77"/>
      <c r="F3145" s="77"/>
      <c r="G3145" s="78"/>
      <c r="H3145" s="799">
        <f>SUM(H3143:H3144)</f>
        <v>759258.5</v>
      </c>
      <c r="I3145" s="369"/>
    </row>
    <row r="3146" spans="3:13" ht="22.2" customHeight="1"/>
    <row r="3147" spans="3:13" ht="22.2" customHeight="1">
      <c r="C3147" s="43" t="s">
        <v>5086</v>
      </c>
      <c r="D3147" s="128" t="s">
        <v>8655</v>
      </c>
      <c r="I3147" s="50">
        <f>ROUNDDOWN(H3164,-2)</f>
        <v>852400</v>
      </c>
      <c r="J3147" s="122" t="s">
        <v>6451</v>
      </c>
      <c r="K3147" s="122" t="s">
        <v>8654</v>
      </c>
    </row>
    <row r="3148" spans="3:13" s="59" customFormat="1" ht="22.2" customHeight="1">
      <c r="C3148" s="591" t="s">
        <v>1195</v>
      </c>
      <c r="D3148" s="591" t="s">
        <v>1196</v>
      </c>
      <c r="E3148" s="591" t="s">
        <v>1197</v>
      </c>
      <c r="F3148" s="591" t="s">
        <v>1198</v>
      </c>
      <c r="G3148" s="591" t="s">
        <v>1199</v>
      </c>
      <c r="H3148" s="591" t="s">
        <v>1200</v>
      </c>
      <c r="I3148" s="44"/>
    </row>
    <row r="3149" spans="3:13" s="59" customFormat="1" ht="22.2" customHeight="1">
      <c r="C3149" s="61" t="s">
        <v>1201</v>
      </c>
      <c r="D3149" s="56" t="s">
        <v>1202</v>
      </c>
      <c r="E3149" s="57"/>
      <c r="F3149" s="57"/>
      <c r="G3149" s="57"/>
      <c r="H3149" s="57"/>
      <c r="I3149" s="44"/>
      <c r="J3149" s="152" t="s">
        <v>1247</v>
      </c>
    </row>
    <row r="3150" spans="3:13" s="59" customFormat="1" ht="22.2" customHeight="1">
      <c r="C3150" s="588">
        <v>1</v>
      </c>
      <c r="D3150" s="56" t="s">
        <v>5</v>
      </c>
      <c r="E3150" s="577" t="s">
        <v>6</v>
      </c>
      <c r="F3150" s="101">
        <v>1.6459999999999999</v>
      </c>
      <c r="G3150" s="63">
        <f>VLOOKUP(D3150,upahbahan,3,FALSE)</f>
        <v>100000</v>
      </c>
      <c r="H3150" s="63">
        <f>F3150*G3150</f>
        <v>164600</v>
      </c>
      <c r="I3150" s="44"/>
      <c r="J3150" s="152" t="s">
        <v>1248</v>
      </c>
      <c r="M3150" s="65">
        <v>0.1</v>
      </c>
    </row>
    <row r="3151" spans="3:13" s="59" customFormat="1" ht="22.2" customHeight="1">
      <c r="C3151" s="588">
        <v>2</v>
      </c>
      <c r="D3151" s="56" t="s">
        <v>10</v>
      </c>
      <c r="E3151" s="577" t="s">
        <v>6</v>
      </c>
      <c r="F3151" s="101">
        <v>0.82299999999999995</v>
      </c>
      <c r="G3151" s="63">
        <f>VLOOKUP(D3151,upahbahan,3,FALSE)</f>
        <v>135000</v>
      </c>
      <c r="H3151" s="63">
        <f>F3151*G3151</f>
        <v>111105</v>
      </c>
      <c r="I3151" s="44"/>
      <c r="J3151" s="152"/>
      <c r="M3151" s="65"/>
    </row>
    <row r="3152" spans="3:13" s="59" customFormat="1" ht="22.2" customHeight="1">
      <c r="C3152" s="588">
        <v>4</v>
      </c>
      <c r="D3152" s="56" t="s">
        <v>19</v>
      </c>
      <c r="E3152" s="577" t="s">
        <v>6</v>
      </c>
      <c r="F3152" s="101">
        <v>0.16500000000000001</v>
      </c>
      <c r="G3152" s="63">
        <f>VLOOKUP(D3152,upahbahan,3,FALSE)</f>
        <v>160000</v>
      </c>
      <c r="H3152" s="63">
        <f t="shared" ref="H3152" si="378">F3152*G3152</f>
        <v>26400</v>
      </c>
      <c r="I3152" s="44"/>
    </row>
    <row r="3153" spans="3:11" s="59" customFormat="1" ht="22.2" customHeight="1">
      <c r="C3153" s="450" t="s">
        <v>1208</v>
      </c>
      <c r="D3153" s="67"/>
      <c r="E3153" s="67"/>
      <c r="F3153" s="142"/>
      <c r="G3153" s="153"/>
      <c r="H3153" s="63">
        <f>SUM(H3150:H3152)</f>
        <v>302105</v>
      </c>
      <c r="I3153" s="154"/>
    </row>
    <row r="3154" spans="3:11" s="59" customFormat="1" ht="22.2" customHeight="1">
      <c r="C3154" s="61" t="s">
        <v>1209</v>
      </c>
      <c r="D3154" s="56" t="s">
        <v>1210</v>
      </c>
      <c r="E3154" s="57"/>
      <c r="F3154" s="57"/>
      <c r="G3154" s="57"/>
      <c r="H3154" s="57"/>
      <c r="I3154" s="44"/>
    </row>
    <row r="3155" spans="3:11" s="59" customFormat="1" ht="22.2" customHeight="1">
      <c r="C3155" s="450" t="s">
        <v>1214</v>
      </c>
      <c r="D3155" s="67"/>
      <c r="E3155" s="67"/>
      <c r="F3155" s="67"/>
      <c r="G3155" s="69"/>
      <c r="H3155" s="63">
        <f>SUM(H3154:H3154)</f>
        <v>0</v>
      </c>
      <c r="I3155" s="44"/>
    </row>
    <row r="3156" spans="3:11" s="59" customFormat="1" ht="22.2" customHeight="1">
      <c r="C3156" s="61" t="s">
        <v>1215</v>
      </c>
      <c r="D3156" s="56" t="s">
        <v>1216</v>
      </c>
      <c r="E3156" s="93"/>
      <c r="F3156" s="57"/>
      <c r="G3156" s="57"/>
      <c r="H3156" s="57"/>
      <c r="I3156" s="44"/>
    </row>
    <row r="3157" spans="3:11" s="59" customFormat="1" ht="22.2" customHeight="1">
      <c r="C3157" s="800">
        <v>1</v>
      </c>
      <c r="D3157" s="56" t="s">
        <v>8463</v>
      </c>
      <c r="E3157" s="93" t="s">
        <v>1080</v>
      </c>
      <c r="F3157" s="104">
        <v>0.65</v>
      </c>
      <c r="G3157" s="63">
        <f>VLOOKUP(D3157,upahbahan,3,FALSE)</f>
        <v>75000</v>
      </c>
      <c r="H3157" s="63">
        <f>F3157*G3157</f>
        <v>48750</v>
      </c>
      <c r="I3157" s="44"/>
    </row>
    <row r="3158" spans="3:11" s="59" customFormat="1" ht="22.2" customHeight="1">
      <c r="C3158" s="800">
        <v>2</v>
      </c>
      <c r="D3158" s="56" t="s">
        <v>5084</v>
      </c>
      <c r="E3158" s="93" t="s">
        <v>1080</v>
      </c>
      <c r="F3158" s="94">
        <v>0.159</v>
      </c>
      <c r="G3158" s="63">
        <f>VLOOKUP(D3158,upahbahan,3,FALSE)</f>
        <v>150000</v>
      </c>
      <c r="H3158" s="63">
        <f t="shared" ref="H3158:H3160" si="379">F3158*G3158</f>
        <v>23850</v>
      </c>
      <c r="I3158" s="44"/>
    </row>
    <row r="3159" spans="3:11" s="59" customFormat="1" ht="22.2" customHeight="1">
      <c r="C3159" s="800">
        <v>3</v>
      </c>
      <c r="D3159" s="56" t="s">
        <v>5085</v>
      </c>
      <c r="E3159" s="93" t="s">
        <v>1080</v>
      </c>
      <c r="F3159" s="94">
        <v>1.0780000000000001</v>
      </c>
      <c r="G3159" s="63">
        <f>VLOOKUP(D3159,upahbahan,3,FALSE)</f>
        <v>280000</v>
      </c>
      <c r="H3159" s="63">
        <f t="shared" si="379"/>
        <v>301840</v>
      </c>
      <c r="I3159" s="44"/>
    </row>
    <row r="3160" spans="3:11" s="59" customFormat="1" ht="22.2" customHeight="1">
      <c r="C3160" s="800">
        <v>4</v>
      </c>
      <c r="D3160" s="56" t="s">
        <v>4770</v>
      </c>
      <c r="E3160" s="93" t="s">
        <v>1080</v>
      </c>
      <c r="F3160" s="94">
        <v>0.91100000000000003</v>
      </c>
      <c r="G3160" s="63">
        <f>VLOOKUP(D3160,upahbahan,3,FALSE)</f>
        <v>108000</v>
      </c>
      <c r="H3160" s="63">
        <f t="shared" si="379"/>
        <v>98388</v>
      </c>
      <c r="I3160" s="44"/>
    </row>
    <row r="3161" spans="3:11" s="59" customFormat="1" ht="22.2" customHeight="1">
      <c r="C3161" s="450" t="s">
        <v>1217</v>
      </c>
      <c r="D3161" s="67"/>
      <c r="E3161" s="67"/>
      <c r="F3161" s="67"/>
      <c r="G3161" s="69"/>
      <c r="H3161" s="882">
        <f>SUM(H3156:H3160)</f>
        <v>472828</v>
      </c>
      <c r="I3161" s="44"/>
    </row>
    <row r="3162" spans="3:11" s="59" customFormat="1" ht="22.2" customHeight="1">
      <c r="C3162" s="288" t="s">
        <v>1218</v>
      </c>
      <c r="D3162" s="76" t="s">
        <v>1219</v>
      </c>
      <c r="E3162" s="77"/>
      <c r="F3162" s="77"/>
      <c r="G3162" s="78"/>
      <c r="H3162" s="585">
        <f>H3161+H3155+H3153</f>
        <v>774933</v>
      </c>
      <c r="I3162" s="369"/>
    </row>
    <row r="3163" spans="3:11" s="59" customFormat="1" ht="22.2" customHeight="1">
      <c r="C3163" s="288" t="s">
        <v>1220</v>
      </c>
      <c r="D3163" s="76" t="s">
        <v>1321</v>
      </c>
      <c r="E3163" s="77"/>
      <c r="F3163" s="78"/>
      <c r="G3163" s="80">
        <v>0.1</v>
      </c>
      <c r="H3163" s="63">
        <f>H3162*G3163</f>
        <v>77493.3</v>
      </c>
      <c r="I3163" s="369"/>
    </row>
    <row r="3164" spans="3:11" s="59" customFormat="1" ht="22.2" customHeight="1">
      <c r="C3164" s="288" t="s">
        <v>1221</v>
      </c>
      <c r="D3164" s="76" t="s">
        <v>1222</v>
      </c>
      <c r="E3164" s="77"/>
      <c r="F3164" s="77"/>
      <c r="G3164" s="78"/>
      <c r="H3164" s="799">
        <f>SUM(H3162:H3163)</f>
        <v>852426.3</v>
      </c>
      <c r="I3164" s="369"/>
    </row>
    <row r="3165" spans="3:11" s="59" customFormat="1" ht="22.2" customHeight="1">
      <c r="C3165" s="54"/>
      <c r="D3165" s="86"/>
      <c r="E3165" s="86"/>
      <c r="F3165" s="86"/>
      <c r="G3165" s="86"/>
      <c r="H3165" s="87"/>
      <c r="I3165" s="44"/>
    </row>
    <row r="3166" spans="3:11" ht="22.2" customHeight="1">
      <c r="C3166" s="43" t="s">
        <v>5087</v>
      </c>
      <c r="D3166" s="128" t="s">
        <v>8656</v>
      </c>
      <c r="I3166" s="50">
        <f>ROUNDDOWN(H3183,-2)</f>
        <v>1085300</v>
      </c>
      <c r="J3166" s="122" t="s">
        <v>6451</v>
      </c>
      <c r="K3166" s="122" t="s">
        <v>8654</v>
      </c>
    </row>
    <row r="3167" spans="3:11" s="59" customFormat="1" ht="22.2" customHeight="1">
      <c r="C3167" s="591" t="s">
        <v>1195</v>
      </c>
      <c r="D3167" s="591" t="s">
        <v>1196</v>
      </c>
      <c r="E3167" s="591" t="s">
        <v>1197</v>
      </c>
      <c r="F3167" s="591" t="s">
        <v>1198</v>
      </c>
      <c r="G3167" s="591" t="s">
        <v>1199</v>
      </c>
      <c r="H3167" s="591" t="s">
        <v>1200</v>
      </c>
      <c r="I3167" s="44"/>
    </row>
    <row r="3168" spans="3:11" s="59" customFormat="1" ht="22.2" customHeight="1">
      <c r="C3168" s="61" t="s">
        <v>1201</v>
      </c>
      <c r="D3168" s="56" t="s">
        <v>1202</v>
      </c>
      <c r="E3168" s="57"/>
      <c r="F3168" s="57"/>
      <c r="G3168" s="57"/>
      <c r="H3168" s="57"/>
      <c r="I3168" s="44"/>
      <c r="J3168" s="152" t="s">
        <v>1247</v>
      </c>
    </row>
    <row r="3169" spans="3:13" s="59" customFormat="1" ht="22.2" customHeight="1">
      <c r="C3169" s="588">
        <v>1</v>
      </c>
      <c r="D3169" s="56" t="s">
        <v>5</v>
      </c>
      <c r="E3169" s="577" t="s">
        <v>6</v>
      </c>
      <c r="F3169" s="101">
        <v>2.0960000000000001</v>
      </c>
      <c r="G3169" s="63">
        <f>VLOOKUP(D3169,upahbahan,3,FALSE)</f>
        <v>100000</v>
      </c>
      <c r="H3169" s="63">
        <f>F3169*G3169</f>
        <v>209600</v>
      </c>
      <c r="I3169" s="44"/>
      <c r="J3169" s="152" t="s">
        <v>1248</v>
      </c>
      <c r="M3169" s="65">
        <v>0.1</v>
      </c>
    </row>
    <row r="3170" spans="3:13" s="59" customFormat="1" ht="22.2" customHeight="1">
      <c r="C3170" s="588">
        <v>2</v>
      </c>
      <c r="D3170" s="56" t="s">
        <v>10</v>
      </c>
      <c r="E3170" s="577" t="s">
        <v>6</v>
      </c>
      <c r="F3170" s="101">
        <v>1.048</v>
      </c>
      <c r="G3170" s="63">
        <f>VLOOKUP(D3170,upahbahan,3,FALSE)</f>
        <v>135000</v>
      </c>
      <c r="H3170" s="63">
        <f>F3170*G3170</f>
        <v>141480</v>
      </c>
      <c r="I3170" s="44"/>
      <c r="J3170" s="152"/>
      <c r="M3170" s="65"/>
    </row>
    <row r="3171" spans="3:13" s="59" customFormat="1" ht="22.2" customHeight="1">
      <c r="C3171" s="588">
        <v>4</v>
      </c>
      <c r="D3171" s="56" t="s">
        <v>19</v>
      </c>
      <c r="E3171" s="577" t="s">
        <v>6</v>
      </c>
      <c r="F3171" s="101">
        <v>0.21</v>
      </c>
      <c r="G3171" s="63">
        <f>VLOOKUP(D3171,upahbahan,3,FALSE)</f>
        <v>160000</v>
      </c>
      <c r="H3171" s="63">
        <f t="shared" ref="H3171" si="380">F3171*G3171</f>
        <v>33600</v>
      </c>
      <c r="I3171" s="44"/>
    </row>
    <row r="3172" spans="3:13" s="59" customFormat="1" ht="22.2" customHeight="1">
      <c r="C3172" s="450" t="s">
        <v>1208</v>
      </c>
      <c r="D3172" s="67"/>
      <c r="E3172" s="67"/>
      <c r="F3172" s="142"/>
      <c r="G3172" s="153"/>
      <c r="H3172" s="63">
        <f>SUM(H3169:H3171)</f>
        <v>384680</v>
      </c>
      <c r="I3172" s="154"/>
    </row>
    <row r="3173" spans="3:13" s="59" customFormat="1" ht="22.2" customHeight="1">
      <c r="C3173" s="61" t="s">
        <v>1209</v>
      </c>
      <c r="D3173" s="56" t="s">
        <v>1210</v>
      </c>
      <c r="E3173" s="57"/>
      <c r="F3173" s="57"/>
      <c r="G3173" s="57"/>
      <c r="H3173" s="57"/>
      <c r="I3173" s="44"/>
    </row>
    <row r="3174" spans="3:13" s="59" customFormat="1" ht="22.2" customHeight="1">
      <c r="C3174" s="450" t="s">
        <v>1214</v>
      </c>
      <c r="D3174" s="67"/>
      <c r="E3174" s="67"/>
      <c r="F3174" s="67"/>
      <c r="G3174" s="69"/>
      <c r="H3174" s="63">
        <f>SUM(H3173:H3173)</f>
        <v>0</v>
      </c>
      <c r="I3174" s="44"/>
    </row>
    <row r="3175" spans="3:13" s="59" customFormat="1" ht="22.2" customHeight="1">
      <c r="C3175" s="61" t="s">
        <v>1215</v>
      </c>
      <c r="D3175" s="56" t="s">
        <v>1216</v>
      </c>
      <c r="E3175" s="93"/>
      <c r="F3175" s="57"/>
      <c r="G3175" s="57"/>
      <c r="H3175" s="57"/>
      <c r="I3175" s="44"/>
    </row>
    <row r="3176" spans="3:13" s="59" customFormat="1" ht="22.2" customHeight="1">
      <c r="C3176" s="800">
        <v>1</v>
      </c>
      <c r="D3176" s="56" t="s">
        <v>8463</v>
      </c>
      <c r="E3176" s="93" t="s">
        <v>1080</v>
      </c>
      <c r="F3176" s="104">
        <v>0.76</v>
      </c>
      <c r="G3176" s="63">
        <f>VLOOKUP(D3176,upahbahan,3,FALSE)</f>
        <v>75000</v>
      </c>
      <c r="H3176" s="63">
        <f>F3176*G3176</f>
        <v>57000</v>
      </c>
      <c r="I3176" s="44"/>
    </row>
    <row r="3177" spans="3:13" s="59" customFormat="1" ht="22.2" customHeight="1">
      <c r="C3177" s="800">
        <v>2</v>
      </c>
      <c r="D3177" s="56" t="s">
        <v>5084</v>
      </c>
      <c r="E3177" s="93" t="s">
        <v>1080</v>
      </c>
      <c r="F3177" s="94">
        <v>0.36899999999999999</v>
      </c>
      <c r="G3177" s="63">
        <f>VLOOKUP(D3177,upahbahan,3,FALSE)</f>
        <v>150000</v>
      </c>
      <c r="H3177" s="63">
        <f t="shared" ref="H3177:H3179" si="381">F3177*G3177</f>
        <v>55350</v>
      </c>
      <c r="I3177" s="44"/>
    </row>
    <row r="3178" spans="3:13" s="59" customFormat="1" ht="22.2" customHeight="1">
      <c r="C3178" s="800">
        <v>3</v>
      </c>
      <c r="D3178" s="56" t="s">
        <v>5085</v>
      </c>
      <c r="E3178" s="93" t="s">
        <v>1080</v>
      </c>
      <c r="F3178" s="94">
        <v>1.353</v>
      </c>
      <c r="G3178" s="63">
        <f>VLOOKUP(D3178,upahbahan,3,FALSE)</f>
        <v>280000</v>
      </c>
      <c r="H3178" s="63">
        <f t="shared" si="381"/>
        <v>378840</v>
      </c>
      <c r="I3178" s="44"/>
    </row>
    <row r="3179" spans="3:13" s="59" customFormat="1" ht="22.2" customHeight="1">
      <c r="C3179" s="800">
        <v>4</v>
      </c>
      <c r="D3179" s="56" t="s">
        <v>4770</v>
      </c>
      <c r="E3179" s="93" t="s">
        <v>1080</v>
      </c>
      <c r="F3179" s="94">
        <v>1.026</v>
      </c>
      <c r="G3179" s="63">
        <f>VLOOKUP(D3179,upahbahan,3,FALSE)</f>
        <v>108000</v>
      </c>
      <c r="H3179" s="63">
        <f t="shared" si="381"/>
        <v>110808</v>
      </c>
      <c r="I3179" s="44"/>
    </row>
    <row r="3180" spans="3:13" s="59" customFormat="1" ht="22.2" customHeight="1">
      <c r="C3180" s="450" t="s">
        <v>1217</v>
      </c>
      <c r="D3180" s="67"/>
      <c r="E3180" s="67"/>
      <c r="F3180" s="67"/>
      <c r="G3180" s="69"/>
      <c r="H3180" s="882">
        <f>SUM(H3175:H3179)</f>
        <v>601998</v>
      </c>
      <c r="I3180" s="44"/>
    </row>
    <row r="3181" spans="3:13" s="59" customFormat="1" ht="22.2" customHeight="1">
      <c r="C3181" s="288" t="s">
        <v>1218</v>
      </c>
      <c r="D3181" s="76" t="s">
        <v>1219</v>
      </c>
      <c r="E3181" s="77"/>
      <c r="F3181" s="77"/>
      <c r="G3181" s="78"/>
      <c r="H3181" s="585">
        <f>H3180+H3174+H3172</f>
        <v>986678</v>
      </c>
      <c r="I3181" s="369"/>
    </row>
    <row r="3182" spans="3:13" s="59" customFormat="1" ht="22.2" customHeight="1">
      <c r="C3182" s="288" t="s">
        <v>1220</v>
      </c>
      <c r="D3182" s="76" t="s">
        <v>1321</v>
      </c>
      <c r="E3182" s="77"/>
      <c r="F3182" s="78"/>
      <c r="G3182" s="80">
        <v>0.1</v>
      </c>
      <c r="H3182" s="63">
        <f>H3181*G3182</f>
        <v>98667.8</v>
      </c>
      <c r="I3182" s="369"/>
    </row>
    <row r="3183" spans="3:13" s="59" customFormat="1" ht="22.2" customHeight="1">
      <c r="C3183" s="288" t="s">
        <v>1221</v>
      </c>
      <c r="D3183" s="76" t="s">
        <v>1222</v>
      </c>
      <c r="E3183" s="77"/>
      <c r="F3183" s="77"/>
      <c r="G3183" s="78"/>
      <c r="H3183" s="799">
        <f>SUM(H3181:H3182)</f>
        <v>1085345.8</v>
      </c>
      <c r="I3183" s="369"/>
    </row>
    <row r="3184" spans="3:13" ht="22.2" customHeight="1"/>
    <row r="3185" spans="3:13" ht="22.2" customHeight="1">
      <c r="C3185" s="43" t="s">
        <v>5088</v>
      </c>
      <c r="D3185" s="128" t="s">
        <v>8657</v>
      </c>
      <c r="I3185" s="50">
        <f>ROUNDDOWN(H3202,-2)</f>
        <v>1318200</v>
      </c>
      <c r="J3185" s="122" t="s">
        <v>6451</v>
      </c>
      <c r="K3185" s="122" t="s">
        <v>8654</v>
      </c>
    </row>
    <row r="3186" spans="3:13" s="59" customFormat="1" ht="22.2" customHeight="1">
      <c r="C3186" s="591" t="s">
        <v>1195</v>
      </c>
      <c r="D3186" s="591" t="s">
        <v>1196</v>
      </c>
      <c r="E3186" s="591" t="s">
        <v>1197</v>
      </c>
      <c r="F3186" s="591" t="s">
        <v>1198</v>
      </c>
      <c r="G3186" s="591" t="s">
        <v>1199</v>
      </c>
      <c r="H3186" s="591" t="s">
        <v>1200</v>
      </c>
      <c r="I3186" s="44"/>
    </row>
    <row r="3187" spans="3:13" s="59" customFormat="1" ht="22.2" customHeight="1">
      <c r="C3187" s="61" t="s">
        <v>1201</v>
      </c>
      <c r="D3187" s="56" t="s">
        <v>1202</v>
      </c>
      <c r="E3187" s="57"/>
      <c r="F3187" s="57"/>
      <c r="G3187" s="57"/>
      <c r="H3187" s="57"/>
      <c r="I3187" s="44"/>
      <c r="J3187" s="152" t="s">
        <v>1247</v>
      </c>
    </row>
    <row r="3188" spans="3:13" s="59" customFormat="1" ht="22.2" customHeight="1">
      <c r="C3188" s="588">
        <v>1</v>
      </c>
      <c r="D3188" s="56" t="s">
        <v>5</v>
      </c>
      <c r="E3188" s="577" t="s">
        <v>6</v>
      </c>
      <c r="F3188" s="101">
        <v>2.5459999999999998</v>
      </c>
      <c r="G3188" s="63">
        <f>VLOOKUP(D3188,upahbahan,3,FALSE)</f>
        <v>100000</v>
      </c>
      <c r="H3188" s="63">
        <f>F3188*G3188</f>
        <v>254599.99999999997</v>
      </c>
      <c r="I3188" s="44"/>
      <c r="J3188" s="152" t="s">
        <v>1248</v>
      </c>
      <c r="M3188" s="65">
        <v>0.1</v>
      </c>
    </row>
    <row r="3189" spans="3:13" s="59" customFormat="1" ht="22.2" customHeight="1">
      <c r="C3189" s="588">
        <v>2</v>
      </c>
      <c r="D3189" s="56" t="s">
        <v>10</v>
      </c>
      <c r="E3189" s="577" t="s">
        <v>6</v>
      </c>
      <c r="F3189" s="101">
        <v>1.2729999999999999</v>
      </c>
      <c r="G3189" s="63">
        <f>VLOOKUP(D3189,upahbahan,3,FALSE)</f>
        <v>135000</v>
      </c>
      <c r="H3189" s="63">
        <f>F3189*G3189</f>
        <v>171855</v>
      </c>
      <c r="I3189" s="44"/>
      <c r="J3189" s="152"/>
      <c r="M3189" s="65"/>
    </row>
    <row r="3190" spans="3:13" s="59" customFormat="1" ht="22.2" customHeight="1">
      <c r="C3190" s="588">
        <v>4</v>
      </c>
      <c r="D3190" s="56" t="s">
        <v>19</v>
      </c>
      <c r="E3190" s="577" t="s">
        <v>6</v>
      </c>
      <c r="F3190" s="101">
        <v>0.255</v>
      </c>
      <c r="G3190" s="63">
        <f>VLOOKUP(D3190,upahbahan,3,FALSE)</f>
        <v>160000</v>
      </c>
      <c r="H3190" s="63">
        <f t="shared" ref="H3190" si="382">F3190*G3190</f>
        <v>40800</v>
      </c>
      <c r="I3190" s="44"/>
    </row>
    <row r="3191" spans="3:13" s="59" customFormat="1" ht="22.2" customHeight="1">
      <c r="C3191" s="450" t="s">
        <v>1208</v>
      </c>
      <c r="D3191" s="67"/>
      <c r="E3191" s="67"/>
      <c r="F3191" s="142"/>
      <c r="G3191" s="153"/>
      <c r="H3191" s="63">
        <f>SUM(H3188:H3190)</f>
        <v>467255</v>
      </c>
      <c r="I3191" s="154"/>
    </row>
    <row r="3192" spans="3:13" s="59" customFormat="1" ht="22.2" customHeight="1">
      <c r="C3192" s="61" t="s">
        <v>1209</v>
      </c>
      <c r="D3192" s="56" t="s">
        <v>1210</v>
      </c>
      <c r="E3192" s="57"/>
      <c r="F3192" s="57"/>
      <c r="G3192" s="57"/>
      <c r="H3192" s="57"/>
      <c r="I3192" s="44"/>
    </row>
    <row r="3193" spans="3:13" s="59" customFormat="1" ht="22.2" customHeight="1">
      <c r="C3193" s="450" t="s">
        <v>1214</v>
      </c>
      <c r="D3193" s="67"/>
      <c r="E3193" s="67"/>
      <c r="F3193" s="67"/>
      <c r="G3193" s="69"/>
      <c r="H3193" s="63">
        <f>SUM(H3192:H3192)</f>
        <v>0</v>
      </c>
      <c r="I3193" s="44"/>
    </row>
    <row r="3194" spans="3:13" s="59" customFormat="1" ht="22.2" customHeight="1">
      <c r="C3194" s="61" t="s">
        <v>1215</v>
      </c>
      <c r="D3194" s="56" t="s">
        <v>1216</v>
      </c>
      <c r="E3194" s="93"/>
      <c r="F3194" s="57"/>
      <c r="G3194" s="57"/>
      <c r="H3194" s="57"/>
      <c r="I3194" s="44"/>
    </row>
    <row r="3195" spans="3:13" s="59" customFormat="1" ht="22.2" customHeight="1">
      <c r="C3195" s="800">
        <v>1</v>
      </c>
      <c r="D3195" s="56" t="s">
        <v>8463</v>
      </c>
      <c r="E3195" s="93" t="s">
        <v>1080</v>
      </c>
      <c r="F3195" s="104">
        <v>0.87</v>
      </c>
      <c r="G3195" s="63">
        <f>VLOOKUP(D3195,upahbahan,3,FALSE)</f>
        <v>75000</v>
      </c>
      <c r="H3195" s="63">
        <f>F3195*G3195</f>
        <v>65250</v>
      </c>
      <c r="I3195" s="44"/>
    </row>
    <row r="3196" spans="3:13" s="59" customFormat="1" ht="22.2" customHeight="1">
      <c r="C3196" s="800">
        <v>2</v>
      </c>
      <c r="D3196" s="56" t="s">
        <v>5084</v>
      </c>
      <c r="E3196" s="93" t="s">
        <v>1080</v>
      </c>
      <c r="F3196" s="94">
        <v>0.57899999999999996</v>
      </c>
      <c r="G3196" s="63">
        <f>VLOOKUP(D3196,upahbahan,3,FALSE)</f>
        <v>150000</v>
      </c>
      <c r="H3196" s="63">
        <f t="shared" ref="H3196:H3198" si="383">F3196*G3196</f>
        <v>86850</v>
      </c>
      <c r="I3196" s="44"/>
    </row>
    <row r="3197" spans="3:13" s="59" customFormat="1" ht="22.2" customHeight="1">
      <c r="C3197" s="800">
        <v>3</v>
      </c>
      <c r="D3197" s="56" t="s">
        <v>5085</v>
      </c>
      <c r="E3197" s="93" t="s">
        <v>1080</v>
      </c>
      <c r="F3197" s="94">
        <v>1.6279999999999999</v>
      </c>
      <c r="G3197" s="63">
        <f>VLOOKUP(D3197,upahbahan,3,FALSE)</f>
        <v>280000</v>
      </c>
      <c r="H3197" s="63">
        <f t="shared" si="383"/>
        <v>455839.99999999994</v>
      </c>
      <c r="I3197" s="44"/>
    </row>
    <row r="3198" spans="3:13" s="59" customFormat="1" ht="22.2" customHeight="1">
      <c r="C3198" s="800">
        <v>4</v>
      </c>
      <c r="D3198" s="56" t="s">
        <v>4770</v>
      </c>
      <c r="E3198" s="93" t="s">
        <v>1080</v>
      </c>
      <c r="F3198" s="94">
        <v>1.141</v>
      </c>
      <c r="G3198" s="63">
        <f>VLOOKUP(D3198,upahbahan,3,FALSE)</f>
        <v>108000</v>
      </c>
      <c r="H3198" s="63">
        <f t="shared" si="383"/>
        <v>123228</v>
      </c>
      <c r="I3198" s="44"/>
    </row>
    <row r="3199" spans="3:13" s="59" customFormat="1" ht="22.2" customHeight="1">
      <c r="C3199" s="450" t="s">
        <v>1217</v>
      </c>
      <c r="D3199" s="67"/>
      <c r="E3199" s="67"/>
      <c r="F3199" s="67"/>
      <c r="G3199" s="69"/>
      <c r="H3199" s="882">
        <f>SUM(H3194:H3198)</f>
        <v>731168</v>
      </c>
      <c r="I3199" s="44"/>
    </row>
    <row r="3200" spans="3:13" s="59" customFormat="1" ht="22.2" customHeight="1">
      <c r="C3200" s="288" t="s">
        <v>1218</v>
      </c>
      <c r="D3200" s="76" t="s">
        <v>1219</v>
      </c>
      <c r="E3200" s="77"/>
      <c r="F3200" s="77"/>
      <c r="G3200" s="78"/>
      <c r="H3200" s="585">
        <f>H3199+H3193+H3191</f>
        <v>1198423</v>
      </c>
      <c r="I3200" s="369"/>
    </row>
    <row r="3201" spans="3:13" s="59" customFormat="1" ht="22.2" customHeight="1">
      <c r="C3201" s="288" t="s">
        <v>1220</v>
      </c>
      <c r="D3201" s="76" t="s">
        <v>1321</v>
      </c>
      <c r="E3201" s="77"/>
      <c r="F3201" s="78"/>
      <c r="G3201" s="80">
        <v>0.1</v>
      </c>
      <c r="H3201" s="63">
        <f>H3200*G3201</f>
        <v>119842.3</v>
      </c>
      <c r="I3201" s="369"/>
    </row>
    <row r="3202" spans="3:13" s="59" customFormat="1" ht="22.2" customHeight="1">
      <c r="C3202" s="288" t="s">
        <v>1221</v>
      </c>
      <c r="D3202" s="76" t="s">
        <v>1222</v>
      </c>
      <c r="E3202" s="77"/>
      <c r="F3202" s="77"/>
      <c r="G3202" s="78"/>
      <c r="H3202" s="799">
        <f>SUM(H3200:H3201)</f>
        <v>1318265.3</v>
      </c>
      <c r="I3202" s="369"/>
    </row>
    <row r="3203" spans="3:13" ht="22.2" customHeight="1"/>
    <row r="3204" spans="3:13" ht="22.2" customHeight="1">
      <c r="C3204" s="43" t="s">
        <v>5089</v>
      </c>
      <c r="D3204" s="128" t="s">
        <v>8658</v>
      </c>
      <c r="I3204" s="50">
        <f>ROUNDDOWN(H3221,-2)</f>
        <v>1551100</v>
      </c>
      <c r="J3204" s="122" t="s">
        <v>6451</v>
      </c>
      <c r="K3204" s="122" t="s">
        <v>8654</v>
      </c>
    </row>
    <row r="3205" spans="3:13" s="59" customFormat="1" ht="22.2" customHeight="1">
      <c r="C3205" s="591" t="s">
        <v>1195</v>
      </c>
      <c r="D3205" s="591" t="s">
        <v>1196</v>
      </c>
      <c r="E3205" s="591" t="s">
        <v>1197</v>
      </c>
      <c r="F3205" s="591" t="s">
        <v>1198</v>
      </c>
      <c r="G3205" s="591" t="s">
        <v>1199</v>
      </c>
      <c r="H3205" s="591" t="s">
        <v>1200</v>
      </c>
      <c r="I3205" s="44"/>
    </row>
    <row r="3206" spans="3:13" s="59" customFormat="1" ht="22.2" customHeight="1">
      <c r="C3206" s="61" t="s">
        <v>1201</v>
      </c>
      <c r="D3206" s="56" t="s">
        <v>1202</v>
      </c>
      <c r="E3206" s="57"/>
      <c r="F3206" s="57"/>
      <c r="G3206" s="57"/>
      <c r="H3206" s="57"/>
      <c r="I3206" s="44"/>
      <c r="J3206" s="152" t="s">
        <v>1247</v>
      </c>
    </row>
    <row r="3207" spans="3:13" s="59" customFormat="1" ht="22.2" customHeight="1">
      <c r="C3207" s="588">
        <v>1</v>
      </c>
      <c r="D3207" s="56" t="s">
        <v>5</v>
      </c>
      <c r="E3207" s="577" t="s">
        <v>6</v>
      </c>
      <c r="F3207" s="101">
        <v>2.996</v>
      </c>
      <c r="G3207" s="63">
        <f>VLOOKUP(D3207,upahbahan,3,FALSE)</f>
        <v>100000</v>
      </c>
      <c r="H3207" s="63">
        <f>F3207*G3207</f>
        <v>299600</v>
      </c>
      <c r="I3207" s="44"/>
      <c r="J3207" s="152" t="s">
        <v>1248</v>
      </c>
      <c r="M3207" s="65">
        <v>0.1</v>
      </c>
    </row>
    <row r="3208" spans="3:13" s="59" customFormat="1" ht="22.2" customHeight="1">
      <c r="C3208" s="588">
        <v>2</v>
      </c>
      <c r="D3208" s="56" t="s">
        <v>10</v>
      </c>
      <c r="E3208" s="577" t="s">
        <v>6</v>
      </c>
      <c r="F3208" s="101">
        <v>1.498</v>
      </c>
      <c r="G3208" s="63">
        <f>VLOOKUP(D3208,upahbahan,3,FALSE)</f>
        <v>135000</v>
      </c>
      <c r="H3208" s="63">
        <f>F3208*G3208</f>
        <v>202230</v>
      </c>
      <c r="I3208" s="44"/>
      <c r="J3208" s="152"/>
      <c r="M3208" s="65"/>
    </row>
    <row r="3209" spans="3:13" s="59" customFormat="1" ht="22.2" customHeight="1">
      <c r="C3209" s="588">
        <v>4</v>
      </c>
      <c r="D3209" s="56" t="s">
        <v>19</v>
      </c>
      <c r="E3209" s="577" t="s">
        <v>6</v>
      </c>
      <c r="F3209" s="101">
        <v>0.3</v>
      </c>
      <c r="G3209" s="63">
        <f>VLOOKUP(D3209,upahbahan,3,FALSE)</f>
        <v>160000</v>
      </c>
      <c r="H3209" s="63">
        <f t="shared" ref="H3209" si="384">F3209*G3209</f>
        <v>48000</v>
      </c>
      <c r="I3209" s="44"/>
    </row>
    <row r="3210" spans="3:13" s="59" customFormat="1" ht="22.2" customHeight="1">
      <c r="C3210" s="450" t="s">
        <v>1208</v>
      </c>
      <c r="D3210" s="67"/>
      <c r="E3210" s="67"/>
      <c r="F3210" s="142"/>
      <c r="G3210" s="153"/>
      <c r="H3210" s="63">
        <f>SUM(H3207:H3209)</f>
        <v>549830</v>
      </c>
      <c r="I3210" s="154"/>
    </row>
    <row r="3211" spans="3:13" s="59" customFormat="1" ht="22.2" customHeight="1">
      <c r="C3211" s="61" t="s">
        <v>1209</v>
      </c>
      <c r="D3211" s="56" t="s">
        <v>1210</v>
      </c>
      <c r="E3211" s="57"/>
      <c r="F3211" s="57"/>
      <c r="G3211" s="57"/>
      <c r="H3211" s="57"/>
      <c r="I3211" s="44"/>
    </row>
    <row r="3212" spans="3:13" s="59" customFormat="1" ht="22.2" customHeight="1">
      <c r="C3212" s="450" t="s">
        <v>1214</v>
      </c>
      <c r="D3212" s="67"/>
      <c r="E3212" s="67"/>
      <c r="F3212" s="67"/>
      <c r="G3212" s="69"/>
      <c r="H3212" s="63">
        <f>SUM(H3211:H3211)</f>
        <v>0</v>
      </c>
      <c r="I3212" s="44"/>
    </row>
    <row r="3213" spans="3:13" s="59" customFormat="1" ht="22.2" customHeight="1">
      <c r="C3213" s="61" t="s">
        <v>1215</v>
      </c>
      <c r="D3213" s="56" t="s">
        <v>1216</v>
      </c>
      <c r="E3213" s="93"/>
      <c r="F3213" s="57"/>
      <c r="G3213" s="57"/>
      <c r="H3213" s="57"/>
      <c r="I3213" s="44"/>
    </row>
    <row r="3214" spans="3:13" s="59" customFormat="1" ht="22.2" customHeight="1">
      <c r="C3214" s="800">
        <v>1</v>
      </c>
      <c r="D3214" s="56" t="s">
        <v>8463</v>
      </c>
      <c r="E3214" s="93" t="s">
        <v>1080</v>
      </c>
      <c r="F3214" s="104">
        <v>0.98</v>
      </c>
      <c r="G3214" s="63">
        <f>VLOOKUP(D3214,upahbahan,3,FALSE)</f>
        <v>75000</v>
      </c>
      <c r="H3214" s="63">
        <f>F3214*G3214</f>
        <v>73500</v>
      </c>
      <c r="I3214" s="44"/>
    </row>
    <row r="3215" spans="3:13" s="59" customFormat="1" ht="22.2" customHeight="1">
      <c r="C3215" s="800">
        <v>2</v>
      </c>
      <c r="D3215" s="56" t="s">
        <v>5084</v>
      </c>
      <c r="E3215" s="93" t="s">
        <v>1080</v>
      </c>
      <c r="F3215" s="94">
        <v>0.78900000000000003</v>
      </c>
      <c r="G3215" s="63">
        <f>VLOOKUP(D3215,upahbahan,3,FALSE)</f>
        <v>150000</v>
      </c>
      <c r="H3215" s="63">
        <f t="shared" ref="H3215:H3217" si="385">F3215*G3215</f>
        <v>118350</v>
      </c>
      <c r="I3215" s="44"/>
    </row>
    <row r="3216" spans="3:13" s="59" customFormat="1" ht="22.2" customHeight="1">
      <c r="C3216" s="800">
        <v>3</v>
      </c>
      <c r="D3216" s="56" t="s">
        <v>5085</v>
      </c>
      <c r="E3216" s="93" t="s">
        <v>1080</v>
      </c>
      <c r="F3216" s="94">
        <v>1.903</v>
      </c>
      <c r="G3216" s="63">
        <f>VLOOKUP(D3216,upahbahan,3,FALSE)</f>
        <v>280000</v>
      </c>
      <c r="H3216" s="63">
        <f t="shared" si="385"/>
        <v>532840</v>
      </c>
      <c r="I3216" s="44"/>
    </row>
    <row r="3217" spans="3:13" s="59" customFormat="1" ht="22.2" customHeight="1">
      <c r="C3217" s="800">
        <v>4</v>
      </c>
      <c r="D3217" s="56" t="s">
        <v>4770</v>
      </c>
      <c r="E3217" s="93" t="s">
        <v>1080</v>
      </c>
      <c r="F3217" s="94">
        <v>1.256</v>
      </c>
      <c r="G3217" s="63">
        <f>VLOOKUP(D3217,upahbahan,3,FALSE)</f>
        <v>108000</v>
      </c>
      <c r="H3217" s="63">
        <f t="shared" si="385"/>
        <v>135648</v>
      </c>
      <c r="I3217" s="44"/>
    </row>
    <row r="3218" spans="3:13" s="59" customFormat="1" ht="22.2" customHeight="1">
      <c r="C3218" s="450" t="s">
        <v>1217</v>
      </c>
      <c r="D3218" s="67"/>
      <c r="E3218" s="67"/>
      <c r="F3218" s="67"/>
      <c r="G3218" s="69"/>
      <c r="H3218" s="882">
        <f>SUM(H3213:H3217)</f>
        <v>860338</v>
      </c>
      <c r="I3218" s="44"/>
    </row>
    <row r="3219" spans="3:13" s="59" customFormat="1" ht="22.2" customHeight="1">
      <c r="C3219" s="288" t="s">
        <v>1218</v>
      </c>
      <c r="D3219" s="76" t="s">
        <v>1219</v>
      </c>
      <c r="E3219" s="77"/>
      <c r="F3219" s="77"/>
      <c r="G3219" s="78"/>
      <c r="H3219" s="585">
        <f>H3218+H3212+H3210</f>
        <v>1410168</v>
      </c>
      <c r="I3219" s="369"/>
    </row>
    <row r="3220" spans="3:13" s="59" customFormat="1" ht="22.2" customHeight="1">
      <c r="C3220" s="288" t="s">
        <v>1220</v>
      </c>
      <c r="D3220" s="76" t="s">
        <v>1321</v>
      </c>
      <c r="E3220" s="77"/>
      <c r="F3220" s="78"/>
      <c r="G3220" s="80">
        <v>0.1</v>
      </c>
      <c r="H3220" s="63">
        <f>H3219*G3220</f>
        <v>141016.80000000002</v>
      </c>
      <c r="I3220" s="369"/>
    </row>
    <row r="3221" spans="3:13" s="59" customFormat="1" ht="22.2" customHeight="1">
      <c r="C3221" s="288" t="s">
        <v>1221</v>
      </c>
      <c r="D3221" s="76" t="s">
        <v>1222</v>
      </c>
      <c r="E3221" s="77"/>
      <c r="F3221" s="77"/>
      <c r="G3221" s="78"/>
      <c r="H3221" s="799">
        <f>SUM(H3219:H3220)</f>
        <v>1551184.8</v>
      </c>
      <c r="I3221" s="369"/>
    </row>
    <row r="3222" spans="3:13" ht="22.2" customHeight="1"/>
    <row r="3223" spans="3:13" ht="22.2" customHeight="1">
      <c r="C3223" s="43" t="s">
        <v>5090</v>
      </c>
      <c r="D3223" s="128" t="s">
        <v>8659</v>
      </c>
      <c r="I3223" s="50">
        <f>ROUNDDOWN(H3240,-2)</f>
        <v>1784100</v>
      </c>
      <c r="J3223" s="122" t="s">
        <v>6451</v>
      </c>
      <c r="K3223" s="122" t="s">
        <v>8654</v>
      </c>
    </row>
    <row r="3224" spans="3:13" s="59" customFormat="1" ht="22.2" customHeight="1">
      <c r="C3224" s="591" t="s">
        <v>1195</v>
      </c>
      <c r="D3224" s="591" t="s">
        <v>1196</v>
      </c>
      <c r="E3224" s="591" t="s">
        <v>1197</v>
      </c>
      <c r="F3224" s="591" t="s">
        <v>1198</v>
      </c>
      <c r="G3224" s="591" t="s">
        <v>1199</v>
      </c>
      <c r="H3224" s="591" t="s">
        <v>1200</v>
      </c>
      <c r="I3224" s="44"/>
    </row>
    <row r="3225" spans="3:13" s="59" customFormat="1" ht="22.2" customHeight="1">
      <c r="C3225" s="61" t="s">
        <v>1201</v>
      </c>
      <c r="D3225" s="56" t="s">
        <v>1202</v>
      </c>
      <c r="E3225" s="57"/>
      <c r="F3225" s="57"/>
      <c r="G3225" s="57"/>
      <c r="H3225" s="57"/>
      <c r="I3225" s="44"/>
      <c r="J3225" s="152" t="s">
        <v>1247</v>
      </c>
    </row>
    <row r="3226" spans="3:13" s="59" customFormat="1" ht="22.2" customHeight="1">
      <c r="C3226" s="588">
        <v>1</v>
      </c>
      <c r="D3226" s="56" t="s">
        <v>5</v>
      </c>
      <c r="E3226" s="577" t="s">
        <v>6</v>
      </c>
      <c r="F3226" s="101">
        <v>3.4460000000000002</v>
      </c>
      <c r="G3226" s="63">
        <f>VLOOKUP(D3226,upahbahan,3,FALSE)</f>
        <v>100000</v>
      </c>
      <c r="H3226" s="63">
        <f>F3226*G3226</f>
        <v>344600</v>
      </c>
      <c r="I3226" s="44"/>
      <c r="J3226" s="152" t="s">
        <v>1248</v>
      </c>
      <c r="M3226" s="65">
        <v>0.1</v>
      </c>
    </row>
    <row r="3227" spans="3:13" s="59" customFormat="1" ht="22.2" customHeight="1">
      <c r="C3227" s="588">
        <v>2</v>
      </c>
      <c r="D3227" s="56" t="s">
        <v>10</v>
      </c>
      <c r="E3227" s="577" t="s">
        <v>6</v>
      </c>
      <c r="F3227" s="101">
        <v>1.7230000000000001</v>
      </c>
      <c r="G3227" s="63">
        <f>VLOOKUP(D3227,upahbahan,3,FALSE)</f>
        <v>135000</v>
      </c>
      <c r="H3227" s="63">
        <f>F3227*G3227</f>
        <v>232605</v>
      </c>
      <c r="I3227" s="44"/>
      <c r="J3227" s="152"/>
      <c r="M3227" s="65"/>
    </row>
    <row r="3228" spans="3:13" s="59" customFormat="1" ht="22.2" customHeight="1">
      <c r="C3228" s="588">
        <v>4</v>
      </c>
      <c r="D3228" s="56" t="s">
        <v>19</v>
      </c>
      <c r="E3228" s="577" t="s">
        <v>6</v>
      </c>
      <c r="F3228" s="101">
        <v>0.34499999999999997</v>
      </c>
      <c r="G3228" s="63">
        <f>VLOOKUP(D3228,upahbahan,3,FALSE)</f>
        <v>160000</v>
      </c>
      <c r="H3228" s="63">
        <f t="shared" ref="H3228" si="386">F3228*G3228</f>
        <v>55199.999999999993</v>
      </c>
      <c r="I3228" s="44"/>
    </row>
    <row r="3229" spans="3:13" s="59" customFormat="1" ht="22.2" customHeight="1">
      <c r="C3229" s="450" t="s">
        <v>1208</v>
      </c>
      <c r="D3229" s="67"/>
      <c r="E3229" s="67"/>
      <c r="F3229" s="142"/>
      <c r="G3229" s="153"/>
      <c r="H3229" s="63">
        <f>SUM(H3226:H3228)</f>
        <v>632405</v>
      </c>
      <c r="I3229" s="154"/>
    </row>
    <row r="3230" spans="3:13" s="59" customFormat="1" ht="22.2" customHeight="1">
      <c r="C3230" s="61" t="s">
        <v>1209</v>
      </c>
      <c r="D3230" s="56" t="s">
        <v>1210</v>
      </c>
      <c r="E3230" s="57"/>
      <c r="F3230" s="57"/>
      <c r="G3230" s="57"/>
      <c r="H3230" s="57"/>
      <c r="I3230" s="44"/>
    </row>
    <row r="3231" spans="3:13" s="59" customFormat="1" ht="22.2" customHeight="1">
      <c r="C3231" s="450" t="s">
        <v>1214</v>
      </c>
      <c r="D3231" s="67"/>
      <c r="E3231" s="67"/>
      <c r="F3231" s="67"/>
      <c r="G3231" s="69"/>
      <c r="H3231" s="63">
        <f>SUM(H3230:H3230)</f>
        <v>0</v>
      </c>
      <c r="I3231" s="44"/>
    </row>
    <row r="3232" spans="3:13" s="59" customFormat="1" ht="22.2" customHeight="1">
      <c r="C3232" s="61" t="s">
        <v>1215</v>
      </c>
      <c r="D3232" s="56" t="s">
        <v>1216</v>
      </c>
      <c r="E3232" s="93"/>
      <c r="F3232" s="57"/>
      <c r="G3232" s="57"/>
      <c r="H3232" s="57"/>
      <c r="I3232" s="44"/>
    </row>
    <row r="3233" spans="3:13" s="59" customFormat="1" ht="22.2" customHeight="1">
      <c r="C3233" s="800">
        <v>1</v>
      </c>
      <c r="D3233" s="56" t="s">
        <v>8463</v>
      </c>
      <c r="E3233" s="93" t="s">
        <v>1080</v>
      </c>
      <c r="F3233" s="104">
        <v>1.0900000000000001</v>
      </c>
      <c r="G3233" s="63">
        <f>VLOOKUP(D3233,upahbahan,3,FALSE)</f>
        <v>75000</v>
      </c>
      <c r="H3233" s="63">
        <f>F3233*G3233</f>
        <v>81750</v>
      </c>
      <c r="I3233" s="44"/>
    </row>
    <row r="3234" spans="3:13" s="59" customFormat="1" ht="22.2" customHeight="1">
      <c r="C3234" s="800">
        <v>2</v>
      </c>
      <c r="D3234" s="56" t="s">
        <v>5084</v>
      </c>
      <c r="E3234" s="93" t="s">
        <v>1080</v>
      </c>
      <c r="F3234" s="94">
        <v>0.999</v>
      </c>
      <c r="G3234" s="63">
        <f>VLOOKUP(D3234,upahbahan,3,FALSE)</f>
        <v>150000</v>
      </c>
      <c r="H3234" s="63">
        <f t="shared" ref="H3234:H3236" si="387">F3234*G3234</f>
        <v>149850</v>
      </c>
      <c r="I3234" s="44"/>
    </row>
    <row r="3235" spans="3:13" s="59" customFormat="1" ht="22.2" customHeight="1">
      <c r="C3235" s="800">
        <v>3</v>
      </c>
      <c r="D3235" s="56" t="s">
        <v>5085</v>
      </c>
      <c r="E3235" s="93" t="s">
        <v>1080</v>
      </c>
      <c r="F3235" s="94">
        <v>2.1779999999999999</v>
      </c>
      <c r="G3235" s="63">
        <f>VLOOKUP(D3235,upahbahan,3,FALSE)</f>
        <v>280000</v>
      </c>
      <c r="H3235" s="63">
        <f t="shared" si="387"/>
        <v>609840</v>
      </c>
      <c r="I3235" s="44"/>
    </row>
    <row r="3236" spans="3:13" s="59" customFormat="1" ht="22.2" customHeight="1">
      <c r="C3236" s="800">
        <v>4</v>
      </c>
      <c r="D3236" s="56" t="s">
        <v>4770</v>
      </c>
      <c r="E3236" s="93" t="s">
        <v>1080</v>
      </c>
      <c r="F3236" s="94">
        <v>1.371</v>
      </c>
      <c r="G3236" s="63">
        <f>VLOOKUP(D3236,upahbahan,3,FALSE)</f>
        <v>108000</v>
      </c>
      <c r="H3236" s="63">
        <f t="shared" si="387"/>
        <v>148068</v>
      </c>
      <c r="I3236" s="44"/>
    </row>
    <row r="3237" spans="3:13" s="59" customFormat="1" ht="22.2" customHeight="1">
      <c r="C3237" s="450" t="s">
        <v>1217</v>
      </c>
      <c r="D3237" s="67"/>
      <c r="E3237" s="67"/>
      <c r="F3237" s="67"/>
      <c r="G3237" s="69"/>
      <c r="H3237" s="882">
        <f>SUM(H3232:H3236)</f>
        <v>989508</v>
      </c>
      <c r="I3237" s="44"/>
    </row>
    <row r="3238" spans="3:13" s="59" customFormat="1" ht="22.2" customHeight="1">
      <c r="C3238" s="288" t="s">
        <v>1218</v>
      </c>
      <c r="D3238" s="76" t="s">
        <v>1219</v>
      </c>
      <c r="E3238" s="77"/>
      <c r="F3238" s="77"/>
      <c r="G3238" s="78"/>
      <c r="H3238" s="585">
        <f>H3237+H3231+H3229</f>
        <v>1621913</v>
      </c>
      <c r="I3238" s="369"/>
    </row>
    <row r="3239" spans="3:13" s="59" customFormat="1" ht="22.2" customHeight="1">
      <c r="C3239" s="288" t="s">
        <v>1220</v>
      </c>
      <c r="D3239" s="76" t="s">
        <v>1321</v>
      </c>
      <c r="E3239" s="77"/>
      <c r="F3239" s="78"/>
      <c r="G3239" s="80">
        <v>0.1</v>
      </c>
      <c r="H3239" s="63">
        <f>H3238*G3239</f>
        <v>162191.30000000002</v>
      </c>
      <c r="I3239" s="369"/>
    </row>
    <row r="3240" spans="3:13" s="59" customFormat="1" ht="22.2" customHeight="1">
      <c r="C3240" s="288" t="s">
        <v>1221</v>
      </c>
      <c r="D3240" s="76" t="s">
        <v>1222</v>
      </c>
      <c r="E3240" s="77"/>
      <c r="F3240" s="77"/>
      <c r="G3240" s="78"/>
      <c r="H3240" s="799">
        <f>SUM(H3238:H3239)</f>
        <v>1784104.3</v>
      </c>
      <c r="I3240" s="369"/>
    </row>
    <row r="3241" spans="3:13" ht="22.2" customHeight="1"/>
    <row r="3242" spans="3:13" ht="22.2" customHeight="1">
      <c r="C3242" s="43" t="s">
        <v>5091</v>
      </c>
      <c r="D3242" s="128" t="s">
        <v>8660</v>
      </c>
      <c r="I3242" s="50">
        <f>ROUNDDOWN(H3259,-2)</f>
        <v>2249900</v>
      </c>
      <c r="J3242" s="122" t="s">
        <v>6451</v>
      </c>
      <c r="K3242" s="122" t="s">
        <v>8654</v>
      </c>
    </row>
    <row r="3243" spans="3:13" s="59" customFormat="1" ht="22.2" customHeight="1">
      <c r="C3243" s="591" t="s">
        <v>1195</v>
      </c>
      <c r="D3243" s="591" t="s">
        <v>1196</v>
      </c>
      <c r="E3243" s="591" t="s">
        <v>1197</v>
      </c>
      <c r="F3243" s="591" t="s">
        <v>1198</v>
      </c>
      <c r="G3243" s="591" t="s">
        <v>1199</v>
      </c>
      <c r="H3243" s="591" t="s">
        <v>1200</v>
      </c>
      <c r="I3243" s="44"/>
    </row>
    <row r="3244" spans="3:13" s="59" customFormat="1" ht="22.2" customHeight="1">
      <c r="C3244" s="61" t="s">
        <v>1201</v>
      </c>
      <c r="D3244" s="56" t="s">
        <v>1202</v>
      </c>
      <c r="E3244" s="57"/>
      <c r="F3244" s="57"/>
      <c r="G3244" s="57"/>
      <c r="H3244" s="57"/>
      <c r="I3244" s="44"/>
      <c r="J3244" s="152" t="s">
        <v>1247</v>
      </c>
    </row>
    <row r="3245" spans="3:13" s="59" customFormat="1" ht="22.2" customHeight="1">
      <c r="C3245" s="588">
        <v>1</v>
      </c>
      <c r="D3245" s="56" t="s">
        <v>5</v>
      </c>
      <c r="E3245" s="577" t="s">
        <v>6</v>
      </c>
      <c r="F3245" s="101">
        <v>4.3460000000000001</v>
      </c>
      <c r="G3245" s="63">
        <f>VLOOKUP(D3245,upahbahan,3,FALSE)</f>
        <v>100000</v>
      </c>
      <c r="H3245" s="63">
        <f>F3245*G3245</f>
        <v>434600</v>
      </c>
      <c r="I3245" s="44"/>
      <c r="J3245" s="152" t="s">
        <v>1248</v>
      </c>
      <c r="M3245" s="65">
        <v>0.1</v>
      </c>
    </row>
    <row r="3246" spans="3:13" s="59" customFormat="1" ht="22.2" customHeight="1">
      <c r="C3246" s="588">
        <v>2</v>
      </c>
      <c r="D3246" s="56" t="s">
        <v>10</v>
      </c>
      <c r="E3246" s="577" t="s">
        <v>6</v>
      </c>
      <c r="F3246" s="101">
        <v>2.173</v>
      </c>
      <c r="G3246" s="63">
        <f>VLOOKUP(D3246,upahbahan,3,FALSE)</f>
        <v>135000</v>
      </c>
      <c r="H3246" s="63">
        <f>F3246*G3246</f>
        <v>293355</v>
      </c>
      <c r="I3246" s="44"/>
      <c r="J3246" s="152"/>
      <c r="M3246" s="65"/>
    </row>
    <row r="3247" spans="3:13" s="59" customFormat="1" ht="22.2" customHeight="1">
      <c r="C3247" s="588">
        <v>4</v>
      </c>
      <c r="D3247" s="56" t="s">
        <v>19</v>
      </c>
      <c r="E3247" s="577" t="s">
        <v>6</v>
      </c>
      <c r="F3247" s="101">
        <v>0.435</v>
      </c>
      <c r="G3247" s="63">
        <f>VLOOKUP(D3247,upahbahan,3,FALSE)</f>
        <v>160000</v>
      </c>
      <c r="H3247" s="63">
        <f t="shared" ref="H3247" si="388">F3247*G3247</f>
        <v>69600</v>
      </c>
      <c r="I3247" s="44"/>
    </row>
    <row r="3248" spans="3:13" s="59" customFormat="1" ht="22.2" customHeight="1">
      <c r="C3248" s="450" t="s">
        <v>1208</v>
      </c>
      <c r="D3248" s="67"/>
      <c r="E3248" s="67"/>
      <c r="F3248" s="142"/>
      <c r="G3248" s="153"/>
      <c r="H3248" s="63">
        <f>SUM(H3245:H3247)</f>
        <v>797555</v>
      </c>
      <c r="I3248" s="154"/>
    </row>
    <row r="3249" spans="3:13" s="59" customFormat="1" ht="22.2" customHeight="1">
      <c r="C3249" s="61" t="s">
        <v>1209</v>
      </c>
      <c r="D3249" s="56" t="s">
        <v>1210</v>
      </c>
      <c r="E3249" s="57"/>
      <c r="F3249" s="57"/>
      <c r="G3249" s="57"/>
      <c r="H3249" s="57"/>
      <c r="I3249" s="44"/>
    </row>
    <row r="3250" spans="3:13" s="59" customFormat="1" ht="22.2" customHeight="1">
      <c r="C3250" s="450" t="s">
        <v>1214</v>
      </c>
      <c r="D3250" s="67"/>
      <c r="E3250" s="67"/>
      <c r="F3250" s="67"/>
      <c r="G3250" s="69"/>
      <c r="H3250" s="63">
        <f>SUM(H3249:H3249)</f>
        <v>0</v>
      </c>
      <c r="I3250" s="44"/>
    </row>
    <row r="3251" spans="3:13" s="59" customFormat="1" ht="22.2" customHeight="1">
      <c r="C3251" s="61" t="s">
        <v>1215</v>
      </c>
      <c r="D3251" s="56" t="s">
        <v>1216</v>
      </c>
      <c r="E3251" s="93"/>
      <c r="F3251" s="57"/>
      <c r="G3251" s="57"/>
      <c r="H3251" s="57"/>
      <c r="I3251" s="44"/>
    </row>
    <row r="3252" spans="3:13" s="59" customFormat="1" ht="22.2" customHeight="1">
      <c r="C3252" s="800">
        <v>1</v>
      </c>
      <c r="D3252" s="56" t="s">
        <v>8463</v>
      </c>
      <c r="E3252" s="93" t="s">
        <v>1080</v>
      </c>
      <c r="F3252" s="104">
        <v>1.31</v>
      </c>
      <c r="G3252" s="63">
        <f>VLOOKUP(D3252,upahbahan,3,FALSE)</f>
        <v>75000</v>
      </c>
      <c r="H3252" s="63">
        <f>F3252*G3252</f>
        <v>98250</v>
      </c>
      <c r="I3252" s="44"/>
    </row>
    <row r="3253" spans="3:13" s="59" customFormat="1" ht="22.2" customHeight="1">
      <c r="C3253" s="800">
        <v>2</v>
      </c>
      <c r="D3253" s="56" t="s">
        <v>5084</v>
      </c>
      <c r="E3253" s="93" t="s">
        <v>1080</v>
      </c>
      <c r="F3253" s="94">
        <v>1.419</v>
      </c>
      <c r="G3253" s="63">
        <f>VLOOKUP(D3253,upahbahan,3,FALSE)</f>
        <v>150000</v>
      </c>
      <c r="H3253" s="63">
        <f t="shared" ref="H3253:H3255" si="389">F3253*G3253</f>
        <v>212850</v>
      </c>
      <c r="I3253" s="44"/>
    </row>
    <row r="3254" spans="3:13" s="59" customFormat="1" ht="22.2" customHeight="1">
      <c r="C3254" s="800">
        <v>3</v>
      </c>
      <c r="D3254" s="56" t="s">
        <v>5085</v>
      </c>
      <c r="E3254" s="93" t="s">
        <v>1080</v>
      </c>
      <c r="F3254" s="94">
        <v>2.7280000000000002</v>
      </c>
      <c r="G3254" s="63">
        <f>VLOOKUP(D3254,upahbahan,3,FALSE)</f>
        <v>280000</v>
      </c>
      <c r="H3254" s="63">
        <f t="shared" si="389"/>
        <v>763840</v>
      </c>
      <c r="I3254" s="44"/>
    </row>
    <row r="3255" spans="3:13" s="59" customFormat="1" ht="22.2" customHeight="1">
      <c r="C3255" s="800">
        <v>4</v>
      </c>
      <c r="D3255" s="56" t="s">
        <v>4770</v>
      </c>
      <c r="E3255" s="93" t="s">
        <v>1080</v>
      </c>
      <c r="F3255" s="94">
        <v>1.601</v>
      </c>
      <c r="G3255" s="63">
        <f>VLOOKUP(D3255,upahbahan,3,FALSE)</f>
        <v>108000</v>
      </c>
      <c r="H3255" s="63">
        <f t="shared" si="389"/>
        <v>172908</v>
      </c>
      <c r="I3255" s="44"/>
    </row>
    <row r="3256" spans="3:13" s="59" customFormat="1" ht="22.2" customHeight="1">
      <c r="C3256" s="450" t="s">
        <v>1217</v>
      </c>
      <c r="D3256" s="67"/>
      <c r="E3256" s="67"/>
      <c r="F3256" s="67"/>
      <c r="G3256" s="69"/>
      <c r="H3256" s="882">
        <f>SUM(H3251:H3255)</f>
        <v>1247848</v>
      </c>
      <c r="I3256" s="44"/>
    </row>
    <row r="3257" spans="3:13" s="59" customFormat="1" ht="22.2" customHeight="1">
      <c r="C3257" s="288" t="s">
        <v>1218</v>
      </c>
      <c r="D3257" s="76" t="s">
        <v>1219</v>
      </c>
      <c r="E3257" s="77"/>
      <c r="F3257" s="77"/>
      <c r="G3257" s="78"/>
      <c r="H3257" s="585">
        <f>H3256+H3250+H3248</f>
        <v>2045403</v>
      </c>
      <c r="I3257" s="369"/>
    </row>
    <row r="3258" spans="3:13" s="59" customFormat="1" ht="22.2" customHeight="1">
      <c r="C3258" s="288" t="s">
        <v>1220</v>
      </c>
      <c r="D3258" s="76" t="s">
        <v>1321</v>
      </c>
      <c r="E3258" s="77"/>
      <c r="F3258" s="78"/>
      <c r="G3258" s="80">
        <v>0.1</v>
      </c>
      <c r="H3258" s="63">
        <f>H3257*G3258</f>
        <v>204540.30000000002</v>
      </c>
      <c r="I3258" s="369"/>
    </row>
    <row r="3259" spans="3:13" s="59" customFormat="1" ht="22.2" customHeight="1">
      <c r="C3259" s="288" t="s">
        <v>1221</v>
      </c>
      <c r="D3259" s="76" t="s">
        <v>1222</v>
      </c>
      <c r="E3259" s="77"/>
      <c r="F3259" s="77"/>
      <c r="G3259" s="78"/>
      <c r="H3259" s="799">
        <f>SUM(H3257:H3258)</f>
        <v>2249943.2999999998</v>
      </c>
      <c r="I3259" s="369"/>
    </row>
    <row r="3260" spans="3:13" ht="22.2" customHeight="1"/>
    <row r="3261" spans="3:13" ht="22.2" customHeight="1">
      <c r="C3261" s="43" t="s">
        <v>5092</v>
      </c>
      <c r="D3261" s="128" t="s">
        <v>8661</v>
      </c>
      <c r="I3261" s="50">
        <f>ROUNDDOWN(H3278,-2)</f>
        <v>2482800</v>
      </c>
      <c r="J3261" s="122" t="s">
        <v>6451</v>
      </c>
      <c r="K3261" s="122" t="s">
        <v>8654</v>
      </c>
    </row>
    <row r="3262" spans="3:13" s="59" customFormat="1" ht="22.2" customHeight="1">
      <c r="C3262" s="591" t="s">
        <v>1195</v>
      </c>
      <c r="D3262" s="591" t="s">
        <v>1196</v>
      </c>
      <c r="E3262" s="591" t="s">
        <v>1197</v>
      </c>
      <c r="F3262" s="591" t="s">
        <v>1198</v>
      </c>
      <c r="G3262" s="591" t="s">
        <v>1199</v>
      </c>
      <c r="H3262" s="591" t="s">
        <v>1200</v>
      </c>
      <c r="I3262" s="44"/>
    </row>
    <row r="3263" spans="3:13" s="59" customFormat="1" ht="22.2" customHeight="1">
      <c r="C3263" s="61" t="s">
        <v>1201</v>
      </c>
      <c r="D3263" s="56" t="s">
        <v>1202</v>
      </c>
      <c r="E3263" s="57"/>
      <c r="F3263" s="57"/>
      <c r="G3263" s="57"/>
      <c r="H3263" s="57"/>
      <c r="I3263" s="44"/>
      <c r="J3263" s="152" t="s">
        <v>1247</v>
      </c>
    </row>
    <row r="3264" spans="3:13" s="59" customFormat="1" ht="22.2" customHeight="1">
      <c r="C3264" s="588">
        <v>1</v>
      </c>
      <c r="D3264" s="56" t="s">
        <v>5</v>
      </c>
      <c r="E3264" s="577" t="s">
        <v>6</v>
      </c>
      <c r="F3264" s="101">
        <v>4.7960000000000003</v>
      </c>
      <c r="G3264" s="63">
        <f>VLOOKUP(D3264,upahbahan,3,FALSE)</f>
        <v>100000</v>
      </c>
      <c r="H3264" s="63">
        <f>F3264*G3264</f>
        <v>479600</v>
      </c>
      <c r="I3264" s="44"/>
      <c r="J3264" s="152" t="s">
        <v>1248</v>
      </c>
      <c r="M3264" s="65">
        <v>0.1</v>
      </c>
    </row>
    <row r="3265" spans="3:13" s="59" customFormat="1" ht="22.2" customHeight="1">
      <c r="C3265" s="588">
        <v>2</v>
      </c>
      <c r="D3265" s="56" t="s">
        <v>10</v>
      </c>
      <c r="E3265" s="577" t="s">
        <v>6</v>
      </c>
      <c r="F3265" s="101">
        <v>2.3980000000000001</v>
      </c>
      <c r="G3265" s="63">
        <f>VLOOKUP(D3265,upahbahan,3,FALSE)</f>
        <v>135000</v>
      </c>
      <c r="H3265" s="63">
        <f>F3265*G3265</f>
        <v>323730</v>
      </c>
      <c r="I3265" s="44"/>
      <c r="J3265" s="152"/>
      <c r="M3265" s="65"/>
    </row>
    <row r="3266" spans="3:13" s="59" customFormat="1" ht="22.2" customHeight="1">
      <c r="C3266" s="588">
        <v>4</v>
      </c>
      <c r="D3266" s="56" t="s">
        <v>19</v>
      </c>
      <c r="E3266" s="577" t="s">
        <v>6</v>
      </c>
      <c r="F3266" s="101">
        <v>0.48</v>
      </c>
      <c r="G3266" s="63">
        <f>VLOOKUP(D3266,upahbahan,3,FALSE)</f>
        <v>160000</v>
      </c>
      <c r="H3266" s="63">
        <f t="shared" ref="H3266" si="390">F3266*G3266</f>
        <v>76800</v>
      </c>
      <c r="I3266" s="44"/>
    </row>
    <row r="3267" spans="3:13" s="59" customFormat="1" ht="22.2" customHeight="1">
      <c r="C3267" s="450" t="s">
        <v>1208</v>
      </c>
      <c r="D3267" s="67"/>
      <c r="E3267" s="67"/>
      <c r="F3267" s="142"/>
      <c r="G3267" s="153"/>
      <c r="H3267" s="63">
        <f>SUM(H3264:H3266)</f>
        <v>880130</v>
      </c>
      <c r="I3267" s="154"/>
    </row>
    <row r="3268" spans="3:13" s="59" customFormat="1" ht="22.2" customHeight="1">
      <c r="C3268" s="61" t="s">
        <v>1209</v>
      </c>
      <c r="D3268" s="56" t="s">
        <v>1210</v>
      </c>
      <c r="E3268" s="57"/>
      <c r="F3268" s="57"/>
      <c r="G3268" s="57"/>
      <c r="H3268" s="57"/>
      <c r="I3268" s="44"/>
    </row>
    <row r="3269" spans="3:13" s="59" customFormat="1" ht="22.2" customHeight="1">
      <c r="C3269" s="450" t="s">
        <v>1214</v>
      </c>
      <c r="D3269" s="67"/>
      <c r="E3269" s="67"/>
      <c r="F3269" s="67"/>
      <c r="G3269" s="69"/>
      <c r="H3269" s="63">
        <f>SUM(H3268:H3268)</f>
        <v>0</v>
      </c>
      <c r="I3269" s="44"/>
    </row>
    <row r="3270" spans="3:13" s="59" customFormat="1" ht="22.2" customHeight="1">
      <c r="C3270" s="61" t="s">
        <v>1215</v>
      </c>
      <c r="D3270" s="56" t="s">
        <v>1216</v>
      </c>
      <c r="E3270" s="93"/>
      <c r="F3270" s="57"/>
      <c r="G3270" s="57"/>
      <c r="H3270" s="57"/>
      <c r="I3270" s="44"/>
    </row>
    <row r="3271" spans="3:13" s="59" customFormat="1" ht="22.2" customHeight="1">
      <c r="C3271" s="800">
        <v>1</v>
      </c>
      <c r="D3271" s="56" t="s">
        <v>8463</v>
      </c>
      <c r="E3271" s="93" t="s">
        <v>1080</v>
      </c>
      <c r="F3271" s="104">
        <v>1.42</v>
      </c>
      <c r="G3271" s="63">
        <f>VLOOKUP(D3271,upahbahan,3,FALSE)</f>
        <v>75000</v>
      </c>
      <c r="H3271" s="63">
        <f>F3271*G3271</f>
        <v>106500</v>
      </c>
      <c r="I3271" s="44"/>
    </row>
    <row r="3272" spans="3:13" s="59" customFormat="1" ht="22.2" customHeight="1">
      <c r="C3272" s="800">
        <v>2</v>
      </c>
      <c r="D3272" s="56" t="s">
        <v>5084</v>
      </c>
      <c r="E3272" s="93" t="s">
        <v>1080</v>
      </c>
      <c r="F3272" s="94">
        <v>1.629</v>
      </c>
      <c r="G3272" s="63">
        <f>VLOOKUP(D3272,upahbahan,3,FALSE)</f>
        <v>150000</v>
      </c>
      <c r="H3272" s="63">
        <f t="shared" ref="H3272:H3274" si="391">F3272*G3272</f>
        <v>244350</v>
      </c>
      <c r="I3272" s="44"/>
    </row>
    <row r="3273" spans="3:13" s="59" customFormat="1" ht="22.2" customHeight="1">
      <c r="C3273" s="800">
        <v>3</v>
      </c>
      <c r="D3273" s="56" t="s">
        <v>5085</v>
      </c>
      <c r="E3273" s="93" t="s">
        <v>1080</v>
      </c>
      <c r="F3273" s="94">
        <v>3.0030000000000001</v>
      </c>
      <c r="G3273" s="63">
        <f>VLOOKUP(D3273,upahbahan,3,FALSE)</f>
        <v>280000</v>
      </c>
      <c r="H3273" s="63">
        <f t="shared" si="391"/>
        <v>840840</v>
      </c>
      <c r="I3273" s="44"/>
    </row>
    <row r="3274" spans="3:13" s="59" customFormat="1" ht="22.2" customHeight="1">
      <c r="C3274" s="800">
        <v>4</v>
      </c>
      <c r="D3274" s="56" t="s">
        <v>4770</v>
      </c>
      <c r="E3274" s="93" t="s">
        <v>1080</v>
      </c>
      <c r="F3274" s="94">
        <v>1.716</v>
      </c>
      <c r="G3274" s="63">
        <f>VLOOKUP(D3274,upahbahan,3,FALSE)</f>
        <v>108000</v>
      </c>
      <c r="H3274" s="63">
        <f t="shared" si="391"/>
        <v>185328</v>
      </c>
      <c r="I3274" s="44"/>
    </row>
    <row r="3275" spans="3:13" s="59" customFormat="1" ht="22.2" customHeight="1">
      <c r="C3275" s="450" t="s">
        <v>1217</v>
      </c>
      <c r="D3275" s="67"/>
      <c r="E3275" s="67"/>
      <c r="F3275" s="67"/>
      <c r="G3275" s="69"/>
      <c r="H3275" s="882">
        <f>SUM(H3270:H3274)</f>
        <v>1377018</v>
      </c>
      <c r="I3275" s="44"/>
    </row>
    <row r="3276" spans="3:13" s="59" customFormat="1" ht="22.2" customHeight="1">
      <c r="C3276" s="288" t="s">
        <v>1218</v>
      </c>
      <c r="D3276" s="76" t="s">
        <v>1219</v>
      </c>
      <c r="E3276" s="77"/>
      <c r="F3276" s="77"/>
      <c r="G3276" s="78"/>
      <c r="H3276" s="585">
        <f>H3275+H3269+H3267</f>
        <v>2257148</v>
      </c>
      <c r="I3276" s="369"/>
    </row>
    <row r="3277" spans="3:13" s="59" customFormat="1" ht="22.2" customHeight="1">
      <c r="C3277" s="288" t="s">
        <v>1220</v>
      </c>
      <c r="D3277" s="76" t="s">
        <v>1321</v>
      </c>
      <c r="E3277" s="77"/>
      <c r="F3277" s="78"/>
      <c r="G3277" s="80">
        <v>0.1</v>
      </c>
      <c r="H3277" s="63">
        <f>H3276*G3277</f>
        <v>225714.80000000002</v>
      </c>
      <c r="I3277" s="369"/>
    </row>
    <row r="3278" spans="3:13" s="59" customFormat="1" ht="22.2" customHeight="1">
      <c r="C3278" s="288" t="s">
        <v>1221</v>
      </c>
      <c r="D3278" s="76" t="s">
        <v>1222</v>
      </c>
      <c r="E3278" s="77"/>
      <c r="F3278" s="77"/>
      <c r="G3278" s="78"/>
      <c r="H3278" s="799">
        <f>SUM(H3276:H3277)</f>
        <v>2482862.7999999998</v>
      </c>
      <c r="I3278" s="369"/>
    </row>
    <row r="3279" spans="3:13" ht="22.2" customHeight="1"/>
    <row r="3280" spans="3:13" ht="22.2" customHeight="1">
      <c r="C3280" s="43" t="s">
        <v>5093</v>
      </c>
      <c r="D3280" s="128" t="s">
        <v>8662</v>
      </c>
      <c r="I3280" s="50">
        <f>ROUNDDOWN(H3297,-2)</f>
        <v>2715700</v>
      </c>
      <c r="J3280" s="122" t="s">
        <v>6451</v>
      </c>
      <c r="K3280" s="122" t="s">
        <v>8654</v>
      </c>
    </row>
    <row r="3281" spans="3:13" s="59" customFormat="1" ht="22.2" customHeight="1">
      <c r="C3281" s="591" t="s">
        <v>1195</v>
      </c>
      <c r="D3281" s="591" t="s">
        <v>1196</v>
      </c>
      <c r="E3281" s="591" t="s">
        <v>1197</v>
      </c>
      <c r="F3281" s="591" t="s">
        <v>1198</v>
      </c>
      <c r="G3281" s="591" t="s">
        <v>1199</v>
      </c>
      <c r="H3281" s="591" t="s">
        <v>1200</v>
      </c>
      <c r="I3281" s="44"/>
    </row>
    <row r="3282" spans="3:13" s="59" customFormat="1" ht="22.2" customHeight="1">
      <c r="C3282" s="61" t="s">
        <v>1201</v>
      </c>
      <c r="D3282" s="56" t="s">
        <v>1202</v>
      </c>
      <c r="E3282" s="57"/>
      <c r="F3282" s="57"/>
      <c r="G3282" s="57"/>
      <c r="H3282" s="57"/>
      <c r="I3282" s="44"/>
      <c r="J3282" s="152" t="s">
        <v>1247</v>
      </c>
    </row>
    <row r="3283" spans="3:13" s="59" customFormat="1" ht="22.2" customHeight="1">
      <c r="C3283" s="588">
        <v>1</v>
      </c>
      <c r="D3283" s="56" t="s">
        <v>5</v>
      </c>
      <c r="E3283" s="577" t="s">
        <v>6</v>
      </c>
      <c r="F3283" s="101">
        <v>5.2460000000000004</v>
      </c>
      <c r="G3283" s="63">
        <f>VLOOKUP(D3283,upahbahan,3,FALSE)</f>
        <v>100000</v>
      </c>
      <c r="H3283" s="63">
        <f>F3283*G3283</f>
        <v>524600</v>
      </c>
      <c r="I3283" s="44"/>
      <c r="J3283" s="152" t="s">
        <v>1248</v>
      </c>
      <c r="M3283" s="65">
        <v>0.1</v>
      </c>
    </row>
    <row r="3284" spans="3:13" s="59" customFormat="1" ht="22.2" customHeight="1">
      <c r="C3284" s="588">
        <v>2</v>
      </c>
      <c r="D3284" s="56" t="s">
        <v>10</v>
      </c>
      <c r="E3284" s="577" t="s">
        <v>6</v>
      </c>
      <c r="F3284" s="101">
        <v>2.6230000000000002</v>
      </c>
      <c r="G3284" s="63">
        <f>VLOOKUP(D3284,upahbahan,3,FALSE)</f>
        <v>135000</v>
      </c>
      <c r="H3284" s="63">
        <f>F3284*G3284</f>
        <v>354105.00000000006</v>
      </c>
      <c r="I3284" s="44"/>
      <c r="J3284" s="152"/>
      <c r="M3284" s="65"/>
    </row>
    <row r="3285" spans="3:13" s="59" customFormat="1" ht="22.2" customHeight="1">
      <c r="C3285" s="588">
        <v>4</v>
      </c>
      <c r="D3285" s="56" t="s">
        <v>19</v>
      </c>
      <c r="E3285" s="577" t="s">
        <v>6</v>
      </c>
      <c r="F3285" s="101">
        <v>0.52500000000000002</v>
      </c>
      <c r="G3285" s="63">
        <f>VLOOKUP(D3285,upahbahan,3,FALSE)</f>
        <v>160000</v>
      </c>
      <c r="H3285" s="63">
        <f t="shared" ref="H3285" si="392">F3285*G3285</f>
        <v>84000</v>
      </c>
      <c r="I3285" s="44"/>
    </row>
    <row r="3286" spans="3:13" s="59" customFormat="1" ht="22.2" customHeight="1">
      <c r="C3286" s="450" t="s">
        <v>1208</v>
      </c>
      <c r="D3286" s="67"/>
      <c r="E3286" s="67"/>
      <c r="F3286" s="142"/>
      <c r="G3286" s="153"/>
      <c r="H3286" s="63">
        <f>SUM(H3283:H3285)</f>
        <v>962705</v>
      </c>
      <c r="I3286" s="154"/>
    </row>
    <row r="3287" spans="3:13" s="59" customFormat="1" ht="22.2" customHeight="1">
      <c r="C3287" s="61" t="s">
        <v>1209</v>
      </c>
      <c r="D3287" s="56" t="s">
        <v>1210</v>
      </c>
      <c r="E3287" s="57"/>
      <c r="F3287" s="57"/>
      <c r="G3287" s="57"/>
      <c r="H3287" s="57"/>
      <c r="I3287" s="44"/>
    </row>
    <row r="3288" spans="3:13" s="59" customFormat="1" ht="22.2" customHeight="1">
      <c r="C3288" s="450" t="s">
        <v>1214</v>
      </c>
      <c r="D3288" s="67"/>
      <c r="E3288" s="67"/>
      <c r="F3288" s="67"/>
      <c r="G3288" s="69"/>
      <c r="H3288" s="63">
        <f>SUM(H3287:H3287)</f>
        <v>0</v>
      </c>
      <c r="I3288" s="44"/>
    </row>
    <row r="3289" spans="3:13" s="59" customFormat="1" ht="22.2" customHeight="1">
      <c r="C3289" s="61" t="s">
        <v>1215</v>
      </c>
      <c r="D3289" s="56" t="s">
        <v>1216</v>
      </c>
      <c r="E3289" s="93"/>
      <c r="F3289" s="57"/>
      <c r="G3289" s="57"/>
      <c r="H3289" s="57"/>
      <c r="I3289" s="44"/>
    </row>
    <row r="3290" spans="3:13" s="59" customFormat="1" ht="22.2" customHeight="1">
      <c r="C3290" s="800">
        <v>1</v>
      </c>
      <c r="D3290" s="56" t="s">
        <v>8463</v>
      </c>
      <c r="E3290" s="93" t="s">
        <v>1080</v>
      </c>
      <c r="F3290" s="104">
        <v>1.53</v>
      </c>
      <c r="G3290" s="63">
        <f>VLOOKUP(D3290,upahbahan,3,FALSE)</f>
        <v>75000</v>
      </c>
      <c r="H3290" s="63">
        <f>F3290*G3290</f>
        <v>114750</v>
      </c>
      <c r="I3290" s="44"/>
    </row>
    <row r="3291" spans="3:13" s="59" customFormat="1" ht="22.2" customHeight="1">
      <c r="C3291" s="800">
        <v>2</v>
      </c>
      <c r="D3291" s="56" t="s">
        <v>5084</v>
      </c>
      <c r="E3291" s="93" t="s">
        <v>1080</v>
      </c>
      <c r="F3291" s="94">
        <v>1.839</v>
      </c>
      <c r="G3291" s="63">
        <f>VLOOKUP(D3291,upahbahan,3,FALSE)</f>
        <v>150000</v>
      </c>
      <c r="H3291" s="63">
        <f t="shared" ref="H3291:H3293" si="393">F3291*G3291</f>
        <v>275850</v>
      </c>
      <c r="I3291" s="44"/>
    </row>
    <row r="3292" spans="3:13" s="59" customFormat="1" ht="22.2" customHeight="1">
      <c r="C3292" s="800">
        <v>3</v>
      </c>
      <c r="D3292" s="56" t="s">
        <v>5085</v>
      </c>
      <c r="E3292" s="93" t="s">
        <v>1080</v>
      </c>
      <c r="F3292" s="94">
        <v>3.278</v>
      </c>
      <c r="G3292" s="63">
        <f>VLOOKUP(D3292,upahbahan,3,FALSE)</f>
        <v>280000</v>
      </c>
      <c r="H3292" s="63">
        <f t="shared" si="393"/>
        <v>917840</v>
      </c>
      <c r="I3292" s="44"/>
    </row>
    <row r="3293" spans="3:13" s="59" customFormat="1" ht="22.2" customHeight="1">
      <c r="C3293" s="800">
        <v>4</v>
      </c>
      <c r="D3293" s="56" t="s">
        <v>4770</v>
      </c>
      <c r="E3293" s="93" t="s">
        <v>1080</v>
      </c>
      <c r="F3293" s="94">
        <v>1.831</v>
      </c>
      <c r="G3293" s="63">
        <f>VLOOKUP(D3293,upahbahan,3,FALSE)</f>
        <v>108000</v>
      </c>
      <c r="H3293" s="63">
        <f t="shared" si="393"/>
        <v>197748</v>
      </c>
      <c r="I3293" s="44"/>
    </row>
    <row r="3294" spans="3:13" s="59" customFormat="1" ht="22.2" customHeight="1">
      <c r="C3294" s="450" t="s">
        <v>1217</v>
      </c>
      <c r="D3294" s="67"/>
      <c r="E3294" s="67"/>
      <c r="F3294" s="67"/>
      <c r="G3294" s="69"/>
      <c r="H3294" s="882">
        <f>SUM(H3289:H3293)</f>
        <v>1506188</v>
      </c>
      <c r="I3294" s="44"/>
    </row>
    <row r="3295" spans="3:13" s="59" customFormat="1" ht="22.2" customHeight="1">
      <c r="C3295" s="288" t="s">
        <v>1218</v>
      </c>
      <c r="D3295" s="76" t="s">
        <v>1219</v>
      </c>
      <c r="E3295" s="77"/>
      <c r="F3295" s="77"/>
      <c r="G3295" s="78"/>
      <c r="H3295" s="585">
        <f>H3294+H3288+H3286</f>
        <v>2468893</v>
      </c>
      <c r="I3295" s="369"/>
    </row>
    <row r="3296" spans="3:13" s="59" customFormat="1" ht="22.2" customHeight="1">
      <c r="C3296" s="288" t="s">
        <v>1220</v>
      </c>
      <c r="D3296" s="76" t="s">
        <v>1321</v>
      </c>
      <c r="E3296" s="77"/>
      <c r="F3296" s="78"/>
      <c r="G3296" s="80">
        <v>0.1</v>
      </c>
      <c r="H3296" s="63">
        <f>H3295*G3296</f>
        <v>246889.30000000002</v>
      </c>
      <c r="I3296" s="369"/>
    </row>
    <row r="3297" spans="3:13" s="59" customFormat="1" ht="22.2" customHeight="1">
      <c r="C3297" s="288" t="s">
        <v>1221</v>
      </c>
      <c r="D3297" s="76" t="s">
        <v>1222</v>
      </c>
      <c r="E3297" s="77"/>
      <c r="F3297" s="77"/>
      <c r="G3297" s="78"/>
      <c r="H3297" s="799">
        <f>SUM(H3295:H3296)</f>
        <v>2715782.3</v>
      </c>
      <c r="I3297" s="369"/>
    </row>
    <row r="3298" spans="3:13" ht="22.2" customHeight="1"/>
    <row r="3299" spans="3:13" ht="22.2" customHeight="1">
      <c r="C3299" s="43" t="s">
        <v>5094</v>
      </c>
      <c r="D3299" s="128" t="s">
        <v>8663</v>
      </c>
      <c r="I3299" s="50">
        <f>ROUNDDOWN(H3316,-2)</f>
        <v>3181600</v>
      </c>
      <c r="J3299" s="122" t="s">
        <v>6451</v>
      </c>
      <c r="K3299" s="122" t="s">
        <v>8654</v>
      </c>
    </row>
    <row r="3300" spans="3:13" s="59" customFormat="1" ht="22.2" customHeight="1">
      <c r="C3300" s="591" t="s">
        <v>1195</v>
      </c>
      <c r="D3300" s="591" t="s">
        <v>1196</v>
      </c>
      <c r="E3300" s="591" t="s">
        <v>1197</v>
      </c>
      <c r="F3300" s="591" t="s">
        <v>1198</v>
      </c>
      <c r="G3300" s="591" t="s">
        <v>1199</v>
      </c>
      <c r="H3300" s="591" t="s">
        <v>1200</v>
      </c>
      <c r="I3300" s="44"/>
    </row>
    <row r="3301" spans="3:13" s="59" customFormat="1" ht="22.2" customHeight="1">
      <c r="C3301" s="61" t="s">
        <v>1201</v>
      </c>
      <c r="D3301" s="56" t="s">
        <v>1202</v>
      </c>
      <c r="E3301" s="57"/>
      <c r="F3301" s="57"/>
      <c r="G3301" s="57"/>
      <c r="H3301" s="57"/>
      <c r="I3301" s="44"/>
      <c r="J3301" s="152" t="s">
        <v>1247</v>
      </c>
    </row>
    <row r="3302" spans="3:13" s="59" customFormat="1" ht="22.2" customHeight="1">
      <c r="C3302" s="588">
        <v>1</v>
      </c>
      <c r="D3302" s="56" t="s">
        <v>5</v>
      </c>
      <c r="E3302" s="577" t="s">
        <v>6</v>
      </c>
      <c r="F3302" s="101">
        <v>6.1459999999999999</v>
      </c>
      <c r="G3302" s="63">
        <f>VLOOKUP(D3302,upahbahan,3,FALSE)</f>
        <v>100000</v>
      </c>
      <c r="H3302" s="63">
        <f>F3302*G3302</f>
        <v>614600</v>
      </c>
      <c r="I3302" s="44"/>
      <c r="J3302" s="152" t="s">
        <v>1248</v>
      </c>
      <c r="M3302" s="65">
        <v>0.1</v>
      </c>
    </row>
    <row r="3303" spans="3:13" s="59" customFormat="1" ht="22.2" customHeight="1">
      <c r="C3303" s="588">
        <v>2</v>
      </c>
      <c r="D3303" s="56" t="s">
        <v>10</v>
      </c>
      <c r="E3303" s="577" t="s">
        <v>6</v>
      </c>
      <c r="F3303" s="101">
        <v>3.073</v>
      </c>
      <c r="G3303" s="63">
        <f>VLOOKUP(D3303,upahbahan,3,FALSE)</f>
        <v>135000</v>
      </c>
      <c r="H3303" s="63">
        <f>F3303*G3303</f>
        <v>414855</v>
      </c>
      <c r="I3303" s="44"/>
      <c r="J3303" s="152"/>
      <c r="M3303" s="65"/>
    </row>
    <row r="3304" spans="3:13" s="59" customFormat="1" ht="22.2" customHeight="1">
      <c r="C3304" s="588">
        <v>4</v>
      </c>
      <c r="D3304" s="56" t="s">
        <v>19</v>
      </c>
      <c r="E3304" s="577" t="s">
        <v>6</v>
      </c>
      <c r="F3304" s="101">
        <v>0.61499999999999999</v>
      </c>
      <c r="G3304" s="63">
        <f>VLOOKUP(D3304,upahbahan,3,FALSE)</f>
        <v>160000</v>
      </c>
      <c r="H3304" s="63">
        <f t="shared" ref="H3304" si="394">F3304*G3304</f>
        <v>98400</v>
      </c>
      <c r="I3304" s="44"/>
    </row>
    <row r="3305" spans="3:13" s="59" customFormat="1" ht="22.2" customHeight="1">
      <c r="C3305" s="450" t="s">
        <v>1208</v>
      </c>
      <c r="D3305" s="67"/>
      <c r="E3305" s="67"/>
      <c r="F3305" s="142"/>
      <c r="G3305" s="153"/>
      <c r="H3305" s="63">
        <f>SUM(H3302:H3304)</f>
        <v>1127855</v>
      </c>
      <c r="I3305" s="154"/>
    </row>
    <row r="3306" spans="3:13" s="59" customFormat="1" ht="22.2" customHeight="1">
      <c r="C3306" s="61" t="s">
        <v>1209</v>
      </c>
      <c r="D3306" s="56" t="s">
        <v>1210</v>
      </c>
      <c r="E3306" s="57"/>
      <c r="F3306" s="57"/>
      <c r="G3306" s="57"/>
      <c r="H3306" s="57"/>
      <c r="I3306" s="44"/>
    </row>
    <row r="3307" spans="3:13" s="59" customFormat="1" ht="22.2" customHeight="1">
      <c r="C3307" s="450" t="s">
        <v>1214</v>
      </c>
      <c r="D3307" s="67"/>
      <c r="E3307" s="67"/>
      <c r="F3307" s="67"/>
      <c r="G3307" s="69"/>
      <c r="H3307" s="63">
        <f>SUM(H3306:H3306)</f>
        <v>0</v>
      </c>
      <c r="I3307" s="44"/>
    </row>
    <row r="3308" spans="3:13" s="59" customFormat="1" ht="22.2" customHeight="1">
      <c r="C3308" s="61" t="s">
        <v>1215</v>
      </c>
      <c r="D3308" s="56" t="s">
        <v>1216</v>
      </c>
      <c r="E3308" s="93"/>
      <c r="F3308" s="57"/>
      <c r="G3308" s="57"/>
      <c r="H3308" s="57"/>
      <c r="I3308" s="44"/>
    </row>
    <row r="3309" spans="3:13" s="59" customFormat="1" ht="22.2" customHeight="1">
      <c r="C3309" s="800">
        <v>1</v>
      </c>
      <c r="D3309" s="56" t="s">
        <v>8463</v>
      </c>
      <c r="E3309" s="93" t="s">
        <v>1080</v>
      </c>
      <c r="F3309" s="104">
        <v>1.75</v>
      </c>
      <c r="G3309" s="63">
        <f>VLOOKUP(D3309,upahbahan,3,FALSE)</f>
        <v>75000</v>
      </c>
      <c r="H3309" s="63">
        <f>F3309*G3309</f>
        <v>131250</v>
      </c>
      <c r="I3309" s="44"/>
    </row>
    <row r="3310" spans="3:13" s="59" customFormat="1" ht="22.2" customHeight="1">
      <c r="C3310" s="800">
        <v>2</v>
      </c>
      <c r="D3310" s="56" t="s">
        <v>5084</v>
      </c>
      <c r="E3310" s="93" t="s">
        <v>1080</v>
      </c>
      <c r="F3310" s="94">
        <v>2.2589999999999999</v>
      </c>
      <c r="G3310" s="63">
        <f>VLOOKUP(D3310,upahbahan,3,FALSE)</f>
        <v>150000</v>
      </c>
      <c r="H3310" s="63">
        <f t="shared" ref="H3310:H3312" si="395">F3310*G3310</f>
        <v>338850</v>
      </c>
      <c r="I3310" s="44"/>
    </row>
    <row r="3311" spans="3:13" s="59" customFormat="1" ht="22.2" customHeight="1">
      <c r="C3311" s="800">
        <v>3</v>
      </c>
      <c r="D3311" s="56" t="s">
        <v>5085</v>
      </c>
      <c r="E3311" s="93" t="s">
        <v>1080</v>
      </c>
      <c r="F3311" s="94">
        <v>3.8279999999999998</v>
      </c>
      <c r="G3311" s="63">
        <f>VLOOKUP(D3311,upahbahan,3,FALSE)</f>
        <v>280000</v>
      </c>
      <c r="H3311" s="63">
        <f t="shared" si="395"/>
        <v>1071840</v>
      </c>
      <c r="I3311" s="44"/>
    </row>
    <row r="3312" spans="3:13" s="59" customFormat="1" ht="22.2" customHeight="1">
      <c r="C3312" s="800">
        <v>4</v>
      </c>
      <c r="D3312" s="56" t="s">
        <v>4770</v>
      </c>
      <c r="E3312" s="93" t="s">
        <v>1080</v>
      </c>
      <c r="F3312" s="94">
        <v>2.0609999999999999</v>
      </c>
      <c r="G3312" s="63">
        <f>VLOOKUP(D3312,upahbahan,3,FALSE)</f>
        <v>108000</v>
      </c>
      <c r="H3312" s="63">
        <f t="shared" si="395"/>
        <v>222588</v>
      </c>
      <c r="I3312" s="44"/>
    </row>
    <row r="3313" spans="3:13" s="59" customFormat="1" ht="22.2" customHeight="1">
      <c r="C3313" s="450" t="s">
        <v>1217</v>
      </c>
      <c r="D3313" s="67"/>
      <c r="E3313" s="67"/>
      <c r="F3313" s="67"/>
      <c r="G3313" s="69"/>
      <c r="H3313" s="882">
        <f>SUM(H3308:H3312)</f>
        <v>1764528</v>
      </c>
      <c r="I3313" s="44"/>
    </row>
    <row r="3314" spans="3:13" s="59" customFormat="1" ht="22.2" customHeight="1">
      <c r="C3314" s="288" t="s">
        <v>1218</v>
      </c>
      <c r="D3314" s="76" t="s">
        <v>1219</v>
      </c>
      <c r="E3314" s="77"/>
      <c r="F3314" s="77"/>
      <c r="G3314" s="78"/>
      <c r="H3314" s="585">
        <f>H3313+H3307+H3305</f>
        <v>2892383</v>
      </c>
      <c r="I3314" s="369"/>
    </row>
    <row r="3315" spans="3:13" s="59" customFormat="1" ht="22.2" customHeight="1">
      <c r="C3315" s="288" t="s">
        <v>1220</v>
      </c>
      <c r="D3315" s="76" t="s">
        <v>1321</v>
      </c>
      <c r="E3315" s="77"/>
      <c r="F3315" s="78"/>
      <c r="G3315" s="80">
        <v>0.1</v>
      </c>
      <c r="H3315" s="63">
        <f>H3314*G3315</f>
        <v>289238.3</v>
      </c>
      <c r="I3315" s="369"/>
    </row>
    <row r="3316" spans="3:13" s="59" customFormat="1" ht="22.2" customHeight="1">
      <c r="C3316" s="288" t="s">
        <v>1221</v>
      </c>
      <c r="D3316" s="76" t="s">
        <v>1222</v>
      </c>
      <c r="E3316" s="77"/>
      <c r="F3316" s="77"/>
      <c r="G3316" s="78"/>
      <c r="H3316" s="799">
        <f>SUM(H3314:H3315)</f>
        <v>3181621.3</v>
      </c>
      <c r="I3316" s="369"/>
    </row>
    <row r="3317" spans="3:13" ht="22.2" customHeight="1"/>
    <row r="3318" spans="3:13" ht="22.2" customHeight="1">
      <c r="C3318" s="43" t="s">
        <v>5095</v>
      </c>
      <c r="D3318" s="128" t="s">
        <v>8664</v>
      </c>
      <c r="I3318" s="50">
        <f>ROUNDDOWN(H3335,-2)</f>
        <v>3647400</v>
      </c>
      <c r="J3318" s="122" t="s">
        <v>6451</v>
      </c>
      <c r="K3318" s="122" t="s">
        <v>8654</v>
      </c>
    </row>
    <row r="3319" spans="3:13" s="59" customFormat="1" ht="22.2" customHeight="1">
      <c r="C3319" s="591" t="s">
        <v>1195</v>
      </c>
      <c r="D3319" s="591" t="s">
        <v>1196</v>
      </c>
      <c r="E3319" s="591" t="s">
        <v>1197</v>
      </c>
      <c r="F3319" s="591" t="s">
        <v>1198</v>
      </c>
      <c r="G3319" s="591" t="s">
        <v>1199</v>
      </c>
      <c r="H3319" s="591" t="s">
        <v>1200</v>
      </c>
      <c r="I3319" s="44"/>
    </row>
    <row r="3320" spans="3:13" s="59" customFormat="1" ht="22.2" customHeight="1">
      <c r="C3320" s="61" t="s">
        <v>1201</v>
      </c>
      <c r="D3320" s="56" t="s">
        <v>1202</v>
      </c>
      <c r="E3320" s="57"/>
      <c r="F3320" s="57"/>
      <c r="G3320" s="57"/>
      <c r="H3320" s="57"/>
      <c r="I3320" s="44"/>
      <c r="J3320" s="152" t="s">
        <v>1247</v>
      </c>
    </row>
    <row r="3321" spans="3:13" s="59" customFormat="1" ht="22.2" customHeight="1">
      <c r="C3321" s="588">
        <v>1</v>
      </c>
      <c r="D3321" s="56" t="s">
        <v>5</v>
      </c>
      <c r="E3321" s="577" t="s">
        <v>6</v>
      </c>
      <c r="F3321" s="101">
        <v>7.0460000000000003</v>
      </c>
      <c r="G3321" s="63">
        <f>VLOOKUP(D3321,upahbahan,3,FALSE)</f>
        <v>100000</v>
      </c>
      <c r="H3321" s="63">
        <f>F3321*G3321</f>
        <v>704600</v>
      </c>
      <c r="I3321" s="44"/>
      <c r="J3321" s="152" t="s">
        <v>1248</v>
      </c>
      <c r="M3321" s="65">
        <v>0.1</v>
      </c>
    </row>
    <row r="3322" spans="3:13" s="59" customFormat="1" ht="22.2" customHeight="1">
      <c r="C3322" s="588">
        <v>2</v>
      </c>
      <c r="D3322" s="56" t="s">
        <v>10</v>
      </c>
      <c r="E3322" s="577" t="s">
        <v>6</v>
      </c>
      <c r="F3322" s="101">
        <v>3.5230000000000001</v>
      </c>
      <c r="G3322" s="63">
        <f>VLOOKUP(D3322,upahbahan,3,FALSE)</f>
        <v>135000</v>
      </c>
      <c r="H3322" s="63">
        <f>F3322*G3322</f>
        <v>475605</v>
      </c>
      <c r="I3322" s="44"/>
      <c r="J3322" s="152"/>
      <c r="M3322" s="65"/>
    </row>
    <row r="3323" spans="3:13" s="59" customFormat="1" ht="22.2" customHeight="1">
      <c r="C3323" s="588">
        <v>4</v>
      </c>
      <c r="D3323" s="56" t="s">
        <v>19</v>
      </c>
      <c r="E3323" s="577" t="s">
        <v>6</v>
      </c>
      <c r="F3323" s="101">
        <v>0.70499999999999996</v>
      </c>
      <c r="G3323" s="63">
        <f>VLOOKUP(D3323,upahbahan,3,FALSE)</f>
        <v>160000</v>
      </c>
      <c r="H3323" s="63">
        <f t="shared" ref="H3323" si="396">F3323*G3323</f>
        <v>112800</v>
      </c>
      <c r="I3323" s="44"/>
    </row>
    <row r="3324" spans="3:13" s="59" customFormat="1" ht="22.2" customHeight="1">
      <c r="C3324" s="450" t="s">
        <v>1208</v>
      </c>
      <c r="D3324" s="67"/>
      <c r="E3324" s="67"/>
      <c r="F3324" s="142"/>
      <c r="G3324" s="153"/>
      <c r="H3324" s="63">
        <f>SUM(H3321:H3323)</f>
        <v>1293005</v>
      </c>
      <c r="I3324" s="154"/>
    </row>
    <row r="3325" spans="3:13" s="59" customFormat="1" ht="22.2" customHeight="1">
      <c r="C3325" s="61" t="s">
        <v>1209</v>
      </c>
      <c r="D3325" s="56" t="s">
        <v>1210</v>
      </c>
      <c r="E3325" s="57"/>
      <c r="F3325" s="57"/>
      <c r="G3325" s="57"/>
      <c r="H3325" s="57"/>
      <c r="I3325" s="44"/>
    </row>
    <row r="3326" spans="3:13" s="59" customFormat="1" ht="22.2" customHeight="1">
      <c r="C3326" s="450" t="s">
        <v>1214</v>
      </c>
      <c r="D3326" s="67"/>
      <c r="E3326" s="67"/>
      <c r="F3326" s="67"/>
      <c r="G3326" s="69"/>
      <c r="H3326" s="63">
        <f>SUM(H3325:H3325)</f>
        <v>0</v>
      </c>
      <c r="I3326" s="44"/>
    </row>
    <row r="3327" spans="3:13" s="59" customFormat="1" ht="22.2" customHeight="1">
      <c r="C3327" s="61" t="s">
        <v>1215</v>
      </c>
      <c r="D3327" s="56" t="s">
        <v>1216</v>
      </c>
      <c r="E3327" s="93"/>
      <c r="F3327" s="57"/>
      <c r="G3327" s="57"/>
      <c r="H3327" s="57"/>
      <c r="I3327" s="44"/>
    </row>
    <row r="3328" spans="3:13" s="59" customFormat="1" ht="22.2" customHeight="1">
      <c r="C3328" s="800">
        <v>1</v>
      </c>
      <c r="D3328" s="56" t="s">
        <v>8463</v>
      </c>
      <c r="E3328" s="93" t="s">
        <v>1080</v>
      </c>
      <c r="F3328" s="104">
        <v>1.97</v>
      </c>
      <c r="G3328" s="63">
        <f>VLOOKUP(D3328,upahbahan,3,FALSE)</f>
        <v>75000</v>
      </c>
      <c r="H3328" s="63">
        <f>F3328*G3328</f>
        <v>147750</v>
      </c>
      <c r="I3328" s="44"/>
    </row>
    <row r="3329" spans="3:13" s="59" customFormat="1" ht="22.2" customHeight="1">
      <c r="C3329" s="800">
        <v>2</v>
      </c>
      <c r="D3329" s="56" t="s">
        <v>5084</v>
      </c>
      <c r="E3329" s="93" t="s">
        <v>1080</v>
      </c>
      <c r="F3329" s="94">
        <v>2.6789999999999998</v>
      </c>
      <c r="G3329" s="63">
        <f>VLOOKUP(D3329,upahbahan,3,FALSE)</f>
        <v>150000</v>
      </c>
      <c r="H3329" s="63">
        <f t="shared" ref="H3329:H3331" si="397">F3329*G3329</f>
        <v>401850</v>
      </c>
      <c r="I3329" s="44"/>
    </row>
    <row r="3330" spans="3:13" s="59" customFormat="1" ht="22.2" customHeight="1">
      <c r="C3330" s="800">
        <v>3</v>
      </c>
      <c r="D3330" s="56" t="s">
        <v>5085</v>
      </c>
      <c r="E3330" s="93" t="s">
        <v>1080</v>
      </c>
      <c r="F3330" s="94">
        <v>4.3780000000000001</v>
      </c>
      <c r="G3330" s="63">
        <f>VLOOKUP(D3330,upahbahan,3,FALSE)</f>
        <v>280000</v>
      </c>
      <c r="H3330" s="63">
        <f t="shared" si="397"/>
        <v>1225840</v>
      </c>
      <c r="I3330" s="44"/>
    </row>
    <row r="3331" spans="3:13" s="59" customFormat="1" ht="22.2" customHeight="1">
      <c r="C3331" s="800">
        <v>4</v>
      </c>
      <c r="D3331" s="56" t="s">
        <v>4770</v>
      </c>
      <c r="E3331" s="93" t="s">
        <v>1080</v>
      </c>
      <c r="F3331" s="94">
        <v>2.2909999999999999</v>
      </c>
      <c r="G3331" s="63">
        <f>VLOOKUP(D3331,upahbahan,3,FALSE)</f>
        <v>108000</v>
      </c>
      <c r="H3331" s="63">
        <f t="shared" si="397"/>
        <v>247428</v>
      </c>
      <c r="I3331" s="44"/>
    </row>
    <row r="3332" spans="3:13" s="59" customFormat="1" ht="22.2" customHeight="1">
      <c r="C3332" s="450" t="s">
        <v>1217</v>
      </c>
      <c r="D3332" s="67"/>
      <c r="E3332" s="67"/>
      <c r="F3332" s="67"/>
      <c r="G3332" s="69"/>
      <c r="H3332" s="882">
        <f>SUM(H3327:H3331)</f>
        <v>2022868</v>
      </c>
      <c r="I3332" s="44"/>
    </row>
    <row r="3333" spans="3:13" s="59" customFormat="1" ht="22.2" customHeight="1">
      <c r="C3333" s="288" t="s">
        <v>1218</v>
      </c>
      <c r="D3333" s="76" t="s">
        <v>1219</v>
      </c>
      <c r="E3333" s="77"/>
      <c r="F3333" s="77"/>
      <c r="G3333" s="78"/>
      <c r="H3333" s="585">
        <f>H3332+H3326+H3324</f>
        <v>3315873</v>
      </c>
      <c r="I3333" s="369"/>
    </row>
    <row r="3334" spans="3:13" s="59" customFormat="1" ht="22.2" customHeight="1">
      <c r="C3334" s="288" t="s">
        <v>1220</v>
      </c>
      <c r="D3334" s="76" t="s">
        <v>1321</v>
      </c>
      <c r="E3334" s="77"/>
      <c r="F3334" s="78"/>
      <c r="G3334" s="80">
        <v>0.1</v>
      </c>
      <c r="H3334" s="63">
        <f>H3333*G3334</f>
        <v>331587.30000000005</v>
      </c>
      <c r="I3334" s="369"/>
    </row>
    <row r="3335" spans="3:13" s="59" customFormat="1" ht="22.2" customHeight="1">
      <c r="C3335" s="288" t="s">
        <v>1221</v>
      </c>
      <c r="D3335" s="76" t="s">
        <v>1222</v>
      </c>
      <c r="E3335" s="77"/>
      <c r="F3335" s="77"/>
      <c r="G3335" s="78"/>
      <c r="H3335" s="799">
        <f>SUM(H3333:H3334)</f>
        <v>3647460.3</v>
      </c>
      <c r="I3335" s="369"/>
    </row>
    <row r="3336" spans="3:13" ht="22.2" customHeight="1"/>
    <row r="3337" spans="3:13" ht="22.2" customHeight="1"/>
    <row r="3338" spans="3:13" ht="22.2" customHeight="1">
      <c r="C3338" s="43" t="s">
        <v>5096</v>
      </c>
      <c r="D3338" s="128" t="s">
        <v>8665</v>
      </c>
      <c r="I3338" s="50">
        <f>ROUNDDOWN(H3355,-2)</f>
        <v>4113200</v>
      </c>
      <c r="J3338" s="122" t="s">
        <v>6451</v>
      </c>
      <c r="K3338" s="122" t="s">
        <v>8654</v>
      </c>
    </row>
    <row r="3339" spans="3:13" s="59" customFormat="1" ht="22.2" customHeight="1">
      <c r="C3339" s="591" t="s">
        <v>1195</v>
      </c>
      <c r="D3339" s="591" t="s">
        <v>1196</v>
      </c>
      <c r="E3339" s="591" t="s">
        <v>1197</v>
      </c>
      <c r="F3339" s="591" t="s">
        <v>1198</v>
      </c>
      <c r="G3339" s="591" t="s">
        <v>1199</v>
      </c>
      <c r="H3339" s="591" t="s">
        <v>1200</v>
      </c>
      <c r="I3339" s="44"/>
    </row>
    <row r="3340" spans="3:13" s="59" customFormat="1" ht="22.2" customHeight="1">
      <c r="C3340" s="61" t="s">
        <v>1201</v>
      </c>
      <c r="D3340" s="56" t="s">
        <v>1202</v>
      </c>
      <c r="E3340" s="57"/>
      <c r="F3340" s="57"/>
      <c r="G3340" s="57"/>
      <c r="H3340" s="57"/>
      <c r="I3340" s="44"/>
      <c r="J3340" s="152" t="s">
        <v>1247</v>
      </c>
    </row>
    <row r="3341" spans="3:13" s="59" customFormat="1" ht="22.2" customHeight="1">
      <c r="C3341" s="588">
        <v>1</v>
      </c>
      <c r="D3341" s="56" t="s">
        <v>5</v>
      </c>
      <c r="E3341" s="577" t="s">
        <v>6</v>
      </c>
      <c r="F3341" s="101">
        <v>7.9459999999999997</v>
      </c>
      <c r="G3341" s="63">
        <f>VLOOKUP(D3341,upahbahan,3,FALSE)</f>
        <v>100000</v>
      </c>
      <c r="H3341" s="63">
        <f>F3341*G3341</f>
        <v>794600</v>
      </c>
      <c r="I3341" s="44"/>
      <c r="J3341" s="152" t="s">
        <v>1248</v>
      </c>
      <c r="M3341" s="65">
        <v>0.1</v>
      </c>
    </row>
    <row r="3342" spans="3:13" s="59" customFormat="1" ht="22.2" customHeight="1">
      <c r="C3342" s="588">
        <v>2</v>
      </c>
      <c r="D3342" s="56" t="s">
        <v>10</v>
      </c>
      <c r="E3342" s="577" t="s">
        <v>6</v>
      </c>
      <c r="F3342" s="101">
        <v>3.9729999999999999</v>
      </c>
      <c r="G3342" s="63">
        <f>VLOOKUP(D3342,upahbahan,3,FALSE)</f>
        <v>135000</v>
      </c>
      <c r="H3342" s="63">
        <f>F3342*G3342</f>
        <v>536355</v>
      </c>
      <c r="I3342" s="44"/>
      <c r="J3342" s="152"/>
      <c r="M3342" s="65"/>
    </row>
    <row r="3343" spans="3:13" s="59" customFormat="1" ht="22.2" customHeight="1">
      <c r="C3343" s="588">
        <v>4</v>
      </c>
      <c r="D3343" s="56" t="s">
        <v>19</v>
      </c>
      <c r="E3343" s="577" t="s">
        <v>6</v>
      </c>
      <c r="F3343" s="101">
        <v>0.79500000000000004</v>
      </c>
      <c r="G3343" s="63">
        <f>VLOOKUP(D3343,upahbahan,3,FALSE)</f>
        <v>160000</v>
      </c>
      <c r="H3343" s="63">
        <f t="shared" ref="H3343" si="398">F3343*G3343</f>
        <v>127200</v>
      </c>
      <c r="I3343" s="44"/>
    </row>
    <row r="3344" spans="3:13" s="59" customFormat="1" ht="22.2" customHeight="1">
      <c r="C3344" s="450" t="s">
        <v>1208</v>
      </c>
      <c r="D3344" s="67"/>
      <c r="E3344" s="67"/>
      <c r="F3344" s="142"/>
      <c r="G3344" s="153"/>
      <c r="H3344" s="63">
        <f>SUM(H3341:H3343)</f>
        <v>1458155</v>
      </c>
      <c r="I3344" s="154"/>
    </row>
    <row r="3345" spans="3:13" s="59" customFormat="1" ht="22.2" customHeight="1">
      <c r="C3345" s="61" t="s">
        <v>1209</v>
      </c>
      <c r="D3345" s="56" t="s">
        <v>1210</v>
      </c>
      <c r="E3345" s="57"/>
      <c r="F3345" s="57"/>
      <c r="G3345" s="57"/>
      <c r="H3345" s="57"/>
      <c r="I3345" s="44"/>
    </row>
    <row r="3346" spans="3:13" s="59" customFormat="1" ht="22.2" customHeight="1">
      <c r="C3346" s="450" t="s">
        <v>1214</v>
      </c>
      <c r="D3346" s="67"/>
      <c r="E3346" s="67"/>
      <c r="F3346" s="67"/>
      <c r="G3346" s="69"/>
      <c r="H3346" s="63">
        <f>SUM(H3345:H3345)</f>
        <v>0</v>
      </c>
      <c r="I3346" s="44"/>
    </row>
    <row r="3347" spans="3:13" s="59" customFormat="1" ht="22.2" customHeight="1">
      <c r="C3347" s="61" t="s">
        <v>1215</v>
      </c>
      <c r="D3347" s="56" t="s">
        <v>1216</v>
      </c>
      <c r="E3347" s="93"/>
      <c r="F3347" s="57"/>
      <c r="G3347" s="57"/>
      <c r="H3347" s="57"/>
      <c r="I3347" s="44"/>
    </row>
    <row r="3348" spans="3:13" s="59" customFormat="1" ht="22.2" customHeight="1">
      <c r="C3348" s="800">
        <v>1</v>
      </c>
      <c r="D3348" s="56" t="s">
        <v>8463</v>
      </c>
      <c r="E3348" s="93" t="s">
        <v>1080</v>
      </c>
      <c r="F3348" s="104">
        <v>2.19</v>
      </c>
      <c r="G3348" s="63">
        <f>VLOOKUP(D3348,upahbahan,3,FALSE)</f>
        <v>75000</v>
      </c>
      <c r="H3348" s="63">
        <f>F3348*G3348</f>
        <v>164250</v>
      </c>
      <c r="I3348" s="44"/>
    </row>
    <row r="3349" spans="3:13" s="59" customFormat="1" ht="22.2" customHeight="1">
      <c r="C3349" s="800">
        <v>2</v>
      </c>
      <c r="D3349" s="56" t="s">
        <v>5084</v>
      </c>
      <c r="E3349" s="93" t="s">
        <v>1080</v>
      </c>
      <c r="F3349" s="94">
        <v>3.0990000000000002</v>
      </c>
      <c r="G3349" s="63">
        <f>VLOOKUP(D3349,upahbahan,3,FALSE)</f>
        <v>150000</v>
      </c>
      <c r="H3349" s="63">
        <f t="shared" ref="H3349:H3351" si="399">F3349*G3349</f>
        <v>464850.00000000006</v>
      </c>
      <c r="I3349" s="44"/>
    </row>
    <row r="3350" spans="3:13" s="59" customFormat="1" ht="22.2" customHeight="1">
      <c r="C3350" s="800">
        <v>3</v>
      </c>
      <c r="D3350" s="56" t="s">
        <v>5085</v>
      </c>
      <c r="E3350" s="93" t="s">
        <v>1080</v>
      </c>
      <c r="F3350" s="94">
        <v>4.9279999999999999</v>
      </c>
      <c r="G3350" s="63">
        <f>VLOOKUP(D3350,upahbahan,3,FALSE)</f>
        <v>280000</v>
      </c>
      <c r="H3350" s="63">
        <f t="shared" si="399"/>
        <v>1379840</v>
      </c>
      <c r="I3350" s="44"/>
    </row>
    <row r="3351" spans="3:13" s="59" customFormat="1" ht="22.2" customHeight="1">
      <c r="C3351" s="800">
        <v>4</v>
      </c>
      <c r="D3351" s="56" t="s">
        <v>4770</v>
      </c>
      <c r="E3351" s="93" t="s">
        <v>1080</v>
      </c>
      <c r="F3351" s="94">
        <v>2.5209999999999999</v>
      </c>
      <c r="G3351" s="63">
        <f>VLOOKUP(D3351,upahbahan,3,FALSE)</f>
        <v>108000</v>
      </c>
      <c r="H3351" s="63">
        <f t="shared" si="399"/>
        <v>272268</v>
      </c>
      <c r="I3351" s="44"/>
    </row>
    <row r="3352" spans="3:13" s="59" customFormat="1" ht="22.2" customHeight="1">
      <c r="C3352" s="450" t="s">
        <v>1217</v>
      </c>
      <c r="D3352" s="67"/>
      <c r="E3352" s="67"/>
      <c r="F3352" s="67"/>
      <c r="G3352" s="69"/>
      <c r="H3352" s="882">
        <f>SUM(H3347:H3351)</f>
        <v>2281208</v>
      </c>
      <c r="I3352" s="44"/>
    </row>
    <row r="3353" spans="3:13" s="59" customFormat="1" ht="22.2" customHeight="1">
      <c r="C3353" s="288" t="s">
        <v>1218</v>
      </c>
      <c r="D3353" s="76" t="s">
        <v>1219</v>
      </c>
      <c r="E3353" s="77"/>
      <c r="F3353" s="77"/>
      <c r="G3353" s="78"/>
      <c r="H3353" s="585">
        <f>H3352+H3346+H3344</f>
        <v>3739363</v>
      </c>
      <c r="I3353" s="369"/>
    </row>
    <row r="3354" spans="3:13" s="59" customFormat="1" ht="22.2" customHeight="1">
      <c r="C3354" s="288" t="s">
        <v>1220</v>
      </c>
      <c r="D3354" s="76" t="s">
        <v>1321</v>
      </c>
      <c r="E3354" s="77"/>
      <c r="F3354" s="78"/>
      <c r="G3354" s="80">
        <v>0.1</v>
      </c>
      <c r="H3354" s="63">
        <f>H3353*G3354</f>
        <v>373936.30000000005</v>
      </c>
      <c r="I3354" s="369"/>
    </row>
    <row r="3355" spans="3:13" s="59" customFormat="1" ht="22.2" customHeight="1">
      <c r="C3355" s="288" t="s">
        <v>1221</v>
      </c>
      <c r="D3355" s="76" t="s">
        <v>1222</v>
      </c>
      <c r="E3355" s="77"/>
      <c r="F3355" s="77"/>
      <c r="G3355" s="78"/>
      <c r="H3355" s="799">
        <f>SUM(H3353:H3354)</f>
        <v>4113299.3</v>
      </c>
      <c r="I3355" s="369"/>
    </row>
    <row r="3356" spans="3:13" ht="22.2" customHeight="1"/>
    <row r="3357" spans="3:13" ht="22.2" customHeight="1">
      <c r="C3357" s="43" t="s">
        <v>5097</v>
      </c>
      <c r="D3357" s="128" t="s">
        <v>8666</v>
      </c>
      <c r="I3357" s="50">
        <f>ROUNDDOWN(H3371,-2)</f>
        <v>155600</v>
      </c>
      <c r="J3357" s="122" t="s">
        <v>6451</v>
      </c>
      <c r="K3357" s="122" t="s">
        <v>8654</v>
      </c>
    </row>
    <row r="3358" spans="3:13" s="59" customFormat="1" ht="22.2" customHeight="1">
      <c r="C3358" s="591" t="s">
        <v>1195</v>
      </c>
      <c r="D3358" s="591" t="s">
        <v>1196</v>
      </c>
      <c r="E3358" s="591" t="s">
        <v>1197</v>
      </c>
      <c r="F3358" s="591" t="s">
        <v>1198</v>
      </c>
      <c r="G3358" s="591" t="s">
        <v>1199</v>
      </c>
      <c r="H3358" s="591" t="s">
        <v>1200</v>
      </c>
      <c r="I3358" s="44"/>
    </row>
    <row r="3359" spans="3:13" s="59" customFormat="1" ht="22.2" customHeight="1">
      <c r="C3359" s="61" t="s">
        <v>1201</v>
      </c>
      <c r="D3359" s="56" t="s">
        <v>1202</v>
      </c>
      <c r="E3359" s="57"/>
      <c r="F3359" s="57"/>
      <c r="G3359" s="57"/>
      <c r="H3359" s="57"/>
      <c r="I3359" s="44"/>
      <c r="J3359" s="152" t="s">
        <v>1247</v>
      </c>
    </row>
    <row r="3360" spans="3:13" s="59" customFormat="1" ht="22.2" customHeight="1">
      <c r="C3360" s="588">
        <v>1</v>
      </c>
      <c r="D3360" s="56" t="s">
        <v>5</v>
      </c>
      <c r="E3360" s="577" t="s">
        <v>6</v>
      </c>
      <c r="F3360" s="101">
        <v>0.38400000000000001</v>
      </c>
      <c r="G3360" s="63">
        <f>VLOOKUP(D3360,upahbahan,3,FALSE)</f>
        <v>100000</v>
      </c>
      <c r="H3360" s="63">
        <f>F3360*G3360</f>
        <v>38400</v>
      </c>
      <c r="I3360" s="44"/>
      <c r="J3360" s="152" t="s">
        <v>1248</v>
      </c>
      <c r="M3360" s="65">
        <v>0.1</v>
      </c>
    </row>
    <row r="3361" spans="3:13" s="59" customFormat="1" ht="22.2" customHeight="1">
      <c r="C3361" s="588">
        <v>2</v>
      </c>
      <c r="D3361" s="56" t="s">
        <v>10</v>
      </c>
      <c r="E3361" s="577" t="s">
        <v>6</v>
      </c>
      <c r="F3361" s="101">
        <v>0.192</v>
      </c>
      <c r="G3361" s="63">
        <f>VLOOKUP(D3361,upahbahan,3,FALSE)</f>
        <v>135000</v>
      </c>
      <c r="H3361" s="63">
        <f>F3361*G3361</f>
        <v>25920</v>
      </c>
      <c r="I3361" s="44"/>
      <c r="J3361" s="152"/>
      <c r="M3361" s="65"/>
    </row>
    <row r="3362" spans="3:13" s="59" customFormat="1" ht="22.2" customHeight="1">
      <c r="C3362" s="588">
        <v>4</v>
      </c>
      <c r="D3362" s="56" t="s">
        <v>19</v>
      </c>
      <c r="E3362" s="577" t="s">
        <v>6</v>
      </c>
      <c r="F3362" s="101">
        <v>3.7999999999999999E-2</v>
      </c>
      <c r="G3362" s="63">
        <f>VLOOKUP(D3362,upahbahan,3,FALSE)</f>
        <v>160000</v>
      </c>
      <c r="H3362" s="63">
        <f t="shared" ref="H3362" si="400">F3362*G3362</f>
        <v>6080</v>
      </c>
      <c r="I3362" s="44"/>
    </row>
    <row r="3363" spans="3:13" s="59" customFormat="1" ht="22.2" customHeight="1">
      <c r="C3363" s="450" t="s">
        <v>1208</v>
      </c>
      <c r="D3363" s="67"/>
      <c r="E3363" s="67"/>
      <c r="F3363" s="142"/>
      <c r="G3363" s="153"/>
      <c r="H3363" s="63">
        <f>SUM(H3360:H3362)</f>
        <v>70400</v>
      </c>
      <c r="I3363" s="154"/>
    </row>
    <row r="3364" spans="3:13" s="59" customFormat="1" ht="22.2" customHeight="1">
      <c r="C3364" s="61" t="s">
        <v>1209</v>
      </c>
      <c r="D3364" s="56" t="s">
        <v>1210</v>
      </c>
      <c r="E3364" s="57"/>
      <c r="F3364" s="57"/>
      <c r="G3364" s="57"/>
      <c r="H3364" s="57"/>
      <c r="I3364" s="44"/>
    </row>
    <row r="3365" spans="3:13" s="59" customFormat="1" ht="22.2" customHeight="1">
      <c r="C3365" s="450" t="s">
        <v>1214</v>
      </c>
      <c r="D3365" s="67"/>
      <c r="E3365" s="67"/>
      <c r="F3365" s="67"/>
      <c r="G3365" s="69"/>
      <c r="H3365" s="63">
        <f>SUM(H3364:H3364)</f>
        <v>0</v>
      </c>
      <c r="I3365" s="44"/>
    </row>
    <row r="3366" spans="3:13" s="59" customFormat="1" ht="22.2" customHeight="1">
      <c r="C3366" s="61" t="s">
        <v>1215</v>
      </c>
      <c r="D3366" s="56" t="s">
        <v>1216</v>
      </c>
      <c r="E3366" s="93"/>
      <c r="F3366" s="57"/>
      <c r="G3366" s="57"/>
      <c r="H3366" s="57"/>
      <c r="I3366" s="44"/>
    </row>
    <row r="3367" spans="3:13" s="59" customFormat="1" ht="22.2" customHeight="1">
      <c r="C3367" s="800">
        <v>1</v>
      </c>
      <c r="D3367" s="56" t="s">
        <v>5085</v>
      </c>
      <c r="E3367" s="93" t="s">
        <v>1080</v>
      </c>
      <c r="F3367" s="94">
        <v>0.254</v>
      </c>
      <c r="G3367" s="63">
        <f>VLOOKUP(D3367,upahbahan,3,FALSE)</f>
        <v>280000</v>
      </c>
      <c r="H3367" s="63">
        <f t="shared" ref="H3367" si="401">F3367*G3367</f>
        <v>71120</v>
      </c>
      <c r="I3367" s="44"/>
    </row>
    <row r="3368" spans="3:13" s="59" customFormat="1" ht="22.2" customHeight="1">
      <c r="C3368" s="450" t="s">
        <v>1217</v>
      </c>
      <c r="D3368" s="67"/>
      <c r="E3368" s="67"/>
      <c r="F3368" s="67"/>
      <c r="G3368" s="69"/>
      <c r="H3368" s="882">
        <f>SUM(H3366:H3367)</f>
        <v>71120</v>
      </c>
      <c r="I3368" s="44"/>
    </row>
    <row r="3369" spans="3:13" s="59" customFormat="1" ht="22.2" customHeight="1">
      <c r="C3369" s="288" t="s">
        <v>1218</v>
      </c>
      <c r="D3369" s="76" t="s">
        <v>1219</v>
      </c>
      <c r="E3369" s="77"/>
      <c r="F3369" s="77"/>
      <c r="G3369" s="78"/>
      <c r="H3369" s="585">
        <f>H3368+H3365+H3363</f>
        <v>141520</v>
      </c>
      <c r="I3369" s="369"/>
    </row>
    <row r="3370" spans="3:13" s="59" customFormat="1" ht="22.2" customHeight="1">
      <c r="C3370" s="288" t="s">
        <v>1220</v>
      </c>
      <c r="D3370" s="76" t="s">
        <v>1321</v>
      </c>
      <c r="E3370" s="77"/>
      <c r="F3370" s="78"/>
      <c r="G3370" s="80">
        <v>0.1</v>
      </c>
      <c r="H3370" s="63">
        <f>H3369*G3370</f>
        <v>14152</v>
      </c>
      <c r="I3370" s="369"/>
    </row>
    <row r="3371" spans="3:13" s="59" customFormat="1" ht="22.2" customHeight="1">
      <c r="C3371" s="288" t="s">
        <v>1221</v>
      </c>
      <c r="D3371" s="76" t="s">
        <v>1222</v>
      </c>
      <c r="E3371" s="77"/>
      <c r="F3371" s="77"/>
      <c r="G3371" s="78"/>
      <c r="H3371" s="799">
        <f>SUM(H3369:H3370)</f>
        <v>155672</v>
      </c>
      <c r="I3371" s="369"/>
    </row>
    <row r="3372" spans="3:13" ht="22.2" customHeight="1"/>
    <row r="3373" spans="3:13" ht="22.2" customHeight="1">
      <c r="C3373" s="43" t="s">
        <v>5098</v>
      </c>
      <c r="D3373" s="128" t="s">
        <v>8667</v>
      </c>
      <c r="I3373" s="50">
        <f>ROUNDDOWN(H3387,-2)</f>
        <v>194500</v>
      </c>
      <c r="J3373" s="122" t="s">
        <v>6451</v>
      </c>
      <c r="K3373" s="122" t="s">
        <v>8654</v>
      </c>
    </row>
    <row r="3374" spans="3:13" s="59" customFormat="1" ht="22.2" customHeight="1">
      <c r="C3374" s="591" t="s">
        <v>1195</v>
      </c>
      <c r="D3374" s="591" t="s">
        <v>1196</v>
      </c>
      <c r="E3374" s="591" t="s">
        <v>1197</v>
      </c>
      <c r="F3374" s="591" t="s">
        <v>1198</v>
      </c>
      <c r="G3374" s="591" t="s">
        <v>1199</v>
      </c>
      <c r="H3374" s="591" t="s">
        <v>1200</v>
      </c>
      <c r="I3374" s="44"/>
    </row>
    <row r="3375" spans="3:13" s="59" customFormat="1" ht="22.2" customHeight="1">
      <c r="C3375" s="61" t="s">
        <v>1201</v>
      </c>
      <c r="D3375" s="56" t="s">
        <v>1202</v>
      </c>
      <c r="E3375" s="57"/>
      <c r="F3375" s="57"/>
      <c r="G3375" s="57"/>
      <c r="H3375" s="57"/>
      <c r="I3375" s="44"/>
      <c r="J3375" s="152" t="s">
        <v>1247</v>
      </c>
    </row>
    <row r="3376" spans="3:13" s="59" customFormat="1" ht="22.2" customHeight="1">
      <c r="C3376" s="588">
        <v>1</v>
      </c>
      <c r="D3376" s="56" t="s">
        <v>5</v>
      </c>
      <c r="E3376" s="577" t="s">
        <v>6</v>
      </c>
      <c r="F3376" s="101">
        <v>0.48</v>
      </c>
      <c r="G3376" s="63">
        <f>VLOOKUP(D3376,upahbahan,3,FALSE)</f>
        <v>100000</v>
      </c>
      <c r="H3376" s="63">
        <f>F3376*G3376</f>
        <v>48000</v>
      </c>
      <c r="I3376" s="44"/>
      <c r="J3376" s="152" t="s">
        <v>1248</v>
      </c>
      <c r="M3376" s="65">
        <v>0.1</v>
      </c>
    </row>
    <row r="3377" spans="3:13" s="59" customFormat="1" ht="22.2" customHeight="1">
      <c r="C3377" s="588">
        <v>2</v>
      </c>
      <c r="D3377" s="56" t="s">
        <v>10</v>
      </c>
      <c r="E3377" s="577" t="s">
        <v>6</v>
      </c>
      <c r="F3377" s="101">
        <v>0.24</v>
      </c>
      <c r="G3377" s="63">
        <f>VLOOKUP(D3377,upahbahan,3,FALSE)</f>
        <v>135000</v>
      </c>
      <c r="H3377" s="63">
        <f>F3377*G3377</f>
        <v>32400</v>
      </c>
      <c r="I3377" s="44"/>
      <c r="J3377" s="152"/>
      <c r="M3377" s="65"/>
    </row>
    <row r="3378" spans="3:13" s="59" customFormat="1" ht="22.2" customHeight="1">
      <c r="C3378" s="588">
        <v>4</v>
      </c>
      <c r="D3378" s="56" t="s">
        <v>19</v>
      </c>
      <c r="E3378" s="577" t="s">
        <v>6</v>
      </c>
      <c r="F3378" s="101">
        <v>4.8000000000000001E-2</v>
      </c>
      <c r="G3378" s="63">
        <f>VLOOKUP(D3378,upahbahan,3,FALSE)</f>
        <v>160000</v>
      </c>
      <c r="H3378" s="63">
        <f t="shared" ref="H3378" si="402">F3378*G3378</f>
        <v>7680</v>
      </c>
      <c r="I3378" s="44"/>
    </row>
    <row r="3379" spans="3:13" s="59" customFormat="1" ht="22.2" customHeight="1">
      <c r="C3379" s="450" t="s">
        <v>1208</v>
      </c>
      <c r="D3379" s="67"/>
      <c r="E3379" s="67"/>
      <c r="F3379" s="142"/>
      <c r="G3379" s="153"/>
      <c r="H3379" s="63">
        <f>SUM(H3376:H3378)</f>
        <v>88080</v>
      </c>
      <c r="I3379" s="154"/>
    </row>
    <row r="3380" spans="3:13" s="59" customFormat="1" ht="22.2" customHeight="1">
      <c r="C3380" s="61" t="s">
        <v>1209</v>
      </c>
      <c r="D3380" s="56" t="s">
        <v>1210</v>
      </c>
      <c r="E3380" s="57"/>
      <c r="F3380" s="57"/>
      <c r="G3380" s="57"/>
      <c r="H3380" s="57"/>
      <c r="I3380" s="44"/>
    </row>
    <row r="3381" spans="3:13" s="59" customFormat="1" ht="22.2" customHeight="1">
      <c r="C3381" s="450" t="s">
        <v>1214</v>
      </c>
      <c r="D3381" s="67"/>
      <c r="E3381" s="67"/>
      <c r="F3381" s="67"/>
      <c r="G3381" s="69"/>
      <c r="H3381" s="63">
        <f>SUM(H3380:H3380)</f>
        <v>0</v>
      </c>
      <c r="I3381" s="44"/>
    </row>
    <row r="3382" spans="3:13" s="59" customFormat="1" ht="22.2" customHeight="1">
      <c r="C3382" s="61" t="s">
        <v>1215</v>
      </c>
      <c r="D3382" s="56" t="s">
        <v>1216</v>
      </c>
      <c r="E3382" s="93"/>
      <c r="F3382" s="57"/>
      <c r="G3382" s="57"/>
      <c r="H3382" s="57"/>
      <c r="I3382" s="44"/>
    </row>
    <row r="3383" spans="3:13" s="59" customFormat="1" ht="22.2" customHeight="1">
      <c r="C3383" s="800">
        <v>1</v>
      </c>
      <c r="D3383" s="56" t="s">
        <v>5085</v>
      </c>
      <c r="E3383" s="93" t="s">
        <v>1080</v>
      </c>
      <c r="F3383" s="94">
        <v>0.317</v>
      </c>
      <c r="G3383" s="63">
        <f>VLOOKUP(D3383,upahbahan,3,FALSE)</f>
        <v>280000</v>
      </c>
      <c r="H3383" s="63">
        <f t="shared" ref="H3383" si="403">F3383*G3383</f>
        <v>88760</v>
      </c>
      <c r="I3383" s="44"/>
    </row>
    <row r="3384" spans="3:13" s="59" customFormat="1" ht="22.2" customHeight="1">
      <c r="C3384" s="450" t="s">
        <v>1217</v>
      </c>
      <c r="D3384" s="67"/>
      <c r="E3384" s="67"/>
      <c r="F3384" s="67"/>
      <c r="G3384" s="69"/>
      <c r="H3384" s="882">
        <f>SUM(H3382:H3383)</f>
        <v>88760</v>
      </c>
      <c r="I3384" s="44"/>
    </row>
    <row r="3385" spans="3:13" s="59" customFormat="1" ht="22.2" customHeight="1">
      <c r="C3385" s="288" t="s">
        <v>1218</v>
      </c>
      <c r="D3385" s="76" t="s">
        <v>1219</v>
      </c>
      <c r="E3385" s="77"/>
      <c r="F3385" s="77"/>
      <c r="G3385" s="78"/>
      <c r="H3385" s="585">
        <f>H3384+H3381+H3379</f>
        <v>176840</v>
      </c>
      <c r="I3385" s="369"/>
    </row>
    <row r="3386" spans="3:13" s="59" customFormat="1" ht="22.2" customHeight="1">
      <c r="C3386" s="288" t="s">
        <v>1220</v>
      </c>
      <c r="D3386" s="76" t="s">
        <v>1321</v>
      </c>
      <c r="E3386" s="77"/>
      <c r="F3386" s="78"/>
      <c r="G3386" s="80">
        <v>0.1</v>
      </c>
      <c r="H3386" s="63">
        <f>H3385*G3386</f>
        <v>17684</v>
      </c>
      <c r="I3386" s="369"/>
    </row>
    <row r="3387" spans="3:13" s="59" customFormat="1" ht="22.2" customHeight="1">
      <c r="C3387" s="288" t="s">
        <v>1221</v>
      </c>
      <c r="D3387" s="76" t="s">
        <v>1222</v>
      </c>
      <c r="E3387" s="77"/>
      <c r="F3387" s="77"/>
      <c r="G3387" s="78"/>
      <c r="H3387" s="799">
        <f>SUM(H3385:H3386)</f>
        <v>194524</v>
      </c>
      <c r="I3387" s="369"/>
    </row>
    <row r="3388" spans="3:13" ht="22.2" customHeight="1"/>
    <row r="3389" spans="3:13" ht="22.2" customHeight="1">
      <c r="C3389" s="43" t="s">
        <v>5099</v>
      </c>
      <c r="D3389" s="128" t="s">
        <v>8668</v>
      </c>
      <c r="I3389" s="50">
        <f>ROUNDDOWN(H3403,-2)</f>
        <v>243100</v>
      </c>
      <c r="J3389" s="122" t="s">
        <v>6451</v>
      </c>
      <c r="K3389" s="122" t="s">
        <v>8654</v>
      </c>
    </row>
    <row r="3390" spans="3:13" s="59" customFormat="1" ht="22.2" customHeight="1">
      <c r="C3390" s="591" t="s">
        <v>1195</v>
      </c>
      <c r="D3390" s="591" t="s">
        <v>1196</v>
      </c>
      <c r="E3390" s="591" t="s">
        <v>1197</v>
      </c>
      <c r="F3390" s="591" t="s">
        <v>1198</v>
      </c>
      <c r="G3390" s="591" t="s">
        <v>1199</v>
      </c>
      <c r="H3390" s="591" t="s">
        <v>1200</v>
      </c>
      <c r="I3390" s="44"/>
    </row>
    <row r="3391" spans="3:13" s="59" customFormat="1" ht="22.2" customHeight="1">
      <c r="C3391" s="61" t="s">
        <v>1201</v>
      </c>
      <c r="D3391" s="56" t="s">
        <v>1202</v>
      </c>
      <c r="E3391" s="57"/>
      <c r="F3391" s="57"/>
      <c r="G3391" s="57"/>
      <c r="H3391" s="57"/>
      <c r="I3391" s="44"/>
      <c r="J3391" s="152" t="s">
        <v>1247</v>
      </c>
    </row>
    <row r="3392" spans="3:13" s="59" customFormat="1" ht="22.2" customHeight="1">
      <c r="C3392" s="588">
        <v>1</v>
      </c>
      <c r="D3392" s="56" t="s">
        <v>5</v>
      </c>
      <c r="E3392" s="577" t="s">
        <v>6</v>
      </c>
      <c r="F3392" s="101">
        <v>0.60099999999999998</v>
      </c>
      <c r="G3392" s="63">
        <f>VLOOKUP(D3392,upahbahan,3,FALSE)</f>
        <v>100000</v>
      </c>
      <c r="H3392" s="63">
        <f>F3392*G3392</f>
        <v>60100</v>
      </c>
      <c r="I3392" s="44"/>
      <c r="J3392" s="152" t="s">
        <v>1248</v>
      </c>
      <c r="M3392" s="65">
        <v>0.1</v>
      </c>
    </row>
    <row r="3393" spans="3:13" s="59" customFormat="1" ht="22.2" customHeight="1">
      <c r="C3393" s="588">
        <v>2</v>
      </c>
      <c r="D3393" s="56" t="s">
        <v>10</v>
      </c>
      <c r="E3393" s="577" t="s">
        <v>6</v>
      </c>
      <c r="F3393" s="101">
        <v>0.3</v>
      </c>
      <c r="G3393" s="63">
        <f>VLOOKUP(D3393,upahbahan,3,FALSE)</f>
        <v>135000</v>
      </c>
      <c r="H3393" s="63">
        <f>F3393*G3393</f>
        <v>40500</v>
      </c>
      <c r="I3393" s="44"/>
      <c r="J3393" s="152"/>
      <c r="M3393" s="65"/>
    </row>
    <row r="3394" spans="3:13" s="59" customFormat="1" ht="22.2" customHeight="1">
      <c r="C3394" s="588">
        <v>4</v>
      </c>
      <c r="D3394" s="56" t="s">
        <v>19</v>
      </c>
      <c r="E3394" s="577" t="s">
        <v>6</v>
      </c>
      <c r="F3394" s="101">
        <v>0.06</v>
      </c>
      <c r="G3394" s="63">
        <f>VLOOKUP(D3394,upahbahan,3,FALSE)</f>
        <v>160000</v>
      </c>
      <c r="H3394" s="63">
        <f t="shared" ref="H3394" si="404">F3394*G3394</f>
        <v>9600</v>
      </c>
      <c r="I3394" s="44"/>
    </row>
    <row r="3395" spans="3:13" s="59" customFormat="1" ht="22.2" customHeight="1">
      <c r="C3395" s="450" t="s">
        <v>1208</v>
      </c>
      <c r="D3395" s="67"/>
      <c r="E3395" s="67"/>
      <c r="F3395" s="142"/>
      <c r="G3395" s="153"/>
      <c r="H3395" s="63">
        <f>SUM(H3392:H3394)</f>
        <v>110200</v>
      </c>
      <c r="I3395" s="154"/>
    </row>
    <row r="3396" spans="3:13" s="59" customFormat="1" ht="22.2" customHeight="1">
      <c r="C3396" s="61" t="s">
        <v>1209</v>
      </c>
      <c r="D3396" s="56" t="s">
        <v>1210</v>
      </c>
      <c r="E3396" s="57"/>
      <c r="F3396" s="57"/>
      <c r="G3396" s="57"/>
      <c r="H3396" s="57"/>
      <c r="I3396" s="44"/>
    </row>
    <row r="3397" spans="3:13" s="59" customFormat="1" ht="22.2" customHeight="1">
      <c r="C3397" s="450" t="s">
        <v>1214</v>
      </c>
      <c r="D3397" s="67"/>
      <c r="E3397" s="67"/>
      <c r="F3397" s="67"/>
      <c r="G3397" s="69"/>
      <c r="H3397" s="63">
        <f>SUM(H3396:H3396)</f>
        <v>0</v>
      </c>
      <c r="I3397" s="44"/>
    </row>
    <row r="3398" spans="3:13" s="59" customFormat="1" ht="22.2" customHeight="1">
      <c r="C3398" s="61" t="s">
        <v>1215</v>
      </c>
      <c r="D3398" s="56" t="s">
        <v>1216</v>
      </c>
      <c r="E3398" s="93"/>
      <c r="F3398" s="57"/>
      <c r="G3398" s="57"/>
      <c r="H3398" s="57"/>
      <c r="I3398" s="44"/>
    </row>
    <row r="3399" spans="3:13" s="59" customFormat="1" ht="22.2" customHeight="1">
      <c r="C3399" s="800">
        <v>1</v>
      </c>
      <c r="D3399" s="56" t="s">
        <v>5085</v>
      </c>
      <c r="E3399" s="93" t="s">
        <v>1080</v>
      </c>
      <c r="F3399" s="94">
        <v>0.39600000000000002</v>
      </c>
      <c r="G3399" s="63">
        <f>VLOOKUP(D3399,upahbahan,3,FALSE)</f>
        <v>280000</v>
      </c>
      <c r="H3399" s="63">
        <f t="shared" ref="H3399" si="405">F3399*G3399</f>
        <v>110880</v>
      </c>
      <c r="I3399" s="44"/>
    </row>
    <row r="3400" spans="3:13" s="59" customFormat="1" ht="22.2" customHeight="1">
      <c r="C3400" s="450" t="s">
        <v>1217</v>
      </c>
      <c r="D3400" s="67"/>
      <c r="E3400" s="67"/>
      <c r="F3400" s="67"/>
      <c r="G3400" s="69"/>
      <c r="H3400" s="882">
        <f>SUM(H3398:H3399)</f>
        <v>110880</v>
      </c>
      <c r="I3400" s="44"/>
    </row>
    <row r="3401" spans="3:13" s="59" customFormat="1" ht="22.2" customHeight="1">
      <c r="C3401" s="288" t="s">
        <v>1218</v>
      </c>
      <c r="D3401" s="76" t="s">
        <v>1219</v>
      </c>
      <c r="E3401" s="77"/>
      <c r="F3401" s="77"/>
      <c r="G3401" s="78"/>
      <c r="H3401" s="585">
        <f>H3400+H3397+H3395</f>
        <v>221080</v>
      </c>
      <c r="I3401" s="369"/>
    </row>
    <row r="3402" spans="3:13" s="59" customFormat="1" ht="22.2" customHeight="1">
      <c r="C3402" s="288" t="s">
        <v>1220</v>
      </c>
      <c r="D3402" s="76" t="s">
        <v>1321</v>
      </c>
      <c r="E3402" s="77"/>
      <c r="F3402" s="78"/>
      <c r="G3402" s="80">
        <v>0.1</v>
      </c>
      <c r="H3402" s="63">
        <f>H3401*G3402</f>
        <v>22108</v>
      </c>
      <c r="I3402" s="369"/>
    </row>
    <row r="3403" spans="3:13" s="59" customFormat="1" ht="22.2" customHeight="1">
      <c r="C3403" s="288" t="s">
        <v>1221</v>
      </c>
      <c r="D3403" s="76" t="s">
        <v>1222</v>
      </c>
      <c r="E3403" s="77"/>
      <c r="F3403" s="77"/>
      <c r="G3403" s="78"/>
      <c r="H3403" s="799">
        <f>SUM(H3401:H3402)</f>
        <v>243188</v>
      </c>
      <c r="I3403" s="369"/>
    </row>
    <row r="3404" spans="3:13" ht="22.2" customHeight="1"/>
    <row r="3405" spans="3:13" ht="22.2" customHeight="1">
      <c r="C3405" s="43" t="s">
        <v>5100</v>
      </c>
      <c r="D3405" s="128" t="s">
        <v>8669</v>
      </c>
      <c r="I3405" s="50">
        <f>ROUNDDOWN(H3419,-2)</f>
        <v>304200</v>
      </c>
      <c r="J3405" s="122" t="s">
        <v>6451</v>
      </c>
      <c r="K3405" s="122" t="s">
        <v>8654</v>
      </c>
    </row>
    <row r="3406" spans="3:13" s="59" customFormat="1" ht="22.2" customHeight="1">
      <c r="C3406" s="591" t="s">
        <v>1195</v>
      </c>
      <c r="D3406" s="591" t="s">
        <v>1196</v>
      </c>
      <c r="E3406" s="591" t="s">
        <v>1197</v>
      </c>
      <c r="F3406" s="591" t="s">
        <v>1198</v>
      </c>
      <c r="G3406" s="591" t="s">
        <v>1199</v>
      </c>
      <c r="H3406" s="591" t="s">
        <v>1200</v>
      </c>
      <c r="I3406" s="44"/>
    </row>
    <row r="3407" spans="3:13" s="59" customFormat="1" ht="22.2" customHeight="1">
      <c r="C3407" s="61" t="s">
        <v>1201</v>
      </c>
      <c r="D3407" s="56" t="s">
        <v>1202</v>
      </c>
      <c r="E3407" s="57"/>
      <c r="F3407" s="57"/>
      <c r="G3407" s="57"/>
      <c r="H3407" s="57"/>
      <c r="I3407" s="44"/>
      <c r="J3407" s="152" t="s">
        <v>1247</v>
      </c>
    </row>
    <row r="3408" spans="3:13" s="59" customFormat="1" ht="22.2" customHeight="1">
      <c r="C3408" s="588">
        <v>1</v>
      </c>
      <c r="D3408" s="56" t="s">
        <v>5</v>
      </c>
      <c r="E3408" s="577" t="s">
        <v>6</v>
      </c>
      <c r="F3408" s="101">
        <v>0.751</v>
      </c>
      <c r="G3408" s="63">
        <f>VLOOKUP(D3408,upahbahan,3,FALSE)</f>
        <v>100000</v>
      </c>
      <c r="H3408" s="63">
        <f>F3408*G3408</f>
        <v>75100</v>
      </c>
      <c r="I3408" s="44"/>
      <c r="J3408" s="152" t="s">
        <v>1248</v>
      </c>
      <c r="M3408" s="65">
        <v>0.1</v>
      </c>
    </row>
    <row r="3409" spans="3:13" s="59" customFormat="1" ht="22.2" customHeight="1">
      <c r="C3409" s="588">
        <v>2</v>
      </c>
      <c r="D3409" s="56" t="s">
        <v>10</v>
      </c>
      <c r="E3409" s="577" t="s">
        <v>6</v>
      </c>
      <c r="F3409" s="101">
        <v>0.375</v>
      </c>
      <c r="G3409" s="63">
        <f>VLOOKUP(D3409,upahbahan,3,FALSE)</f>
        <v>135000</v>
      </c>
      <c r="H3409" s="63">
        <f>F3409*G3409</f>
        <v>50625</v>
      </c>
      <c r="I3409" s="44"/>
      <c r="J3409" s="152"/>
      <c r="M3409" s="65"/>
    </row>
    <row r="3410" spans="3:13" s="59" customFormat="1" ht="22.2" customHeight="1">
      <c r="C3410" s="588">
        <v>4</v>
      </c>
      <c r="D3410" s="56" t="s">
        <v>19</v>
      </c>
      <c r="E3410" s="577" t="s">
        <v>6</v>
      </c>
      <c r="F3410" s="101">
        <v>7.4999999999999997E-2</v>
      </c>
      <c r="G3410" s="63">
        <f>VLOOKUP(D3410,upahbahan,3,FALSE)</f>
        <v>160000</v>
      </c>
      <c r="H3410" s="63">
        <f t="shared" ref="H3410" si="406">F3410*G3410</f>
        <v>12000</v>
      </c>
      <c r="I3410" s="44"/>
    </row>
    <row r="3411" spans="3:13" s="59" customFormat="1" ht="22.2" customHeight="1">
      <c r="C3411" s="450" t="s">
        <v>1208</v>
      </c>
      <c r="D3411" s="67"/>
      <c r="E3411" s="67"/>
      <c r="F3411" s="142"/>
      <c r="G3411" s="153"/>
      <c r="H3411" s="63">
        <f>SUM(H3408:H3410)</f>
        <v>137725</v>
      </c>
      <c r="I3411" s="154"/>
    </row>
    <row r="3412" spans="3:13" s="59" customFormat="1" ht="22.2" customHeight="1">
      <c r="C3412" s="61" t="s">
        <v>1209</v>
      </c>
      <c r="D3412" s="56" t="s">
        <v>1210</v>
      </c>
      <c r="E3412" s="57"/>
      <c r="F3412" s="57"/>
      <c r="G3412" s="57"/>
      <c r="H3412" s="57"/>
      <c r="I3412" s="44"/>
    </row>
    <row r="3413" spans="3:13" s="59" customFormat="1" ht="22.2" customHeight="1">
      <c r="C3413" s="450" t="s">
        <v>1214</v>
      </c>
      <c r="D3413" s="67"/>
      <c r="E3413" s="67"/>
      <c r="F3413" s="67"/>
      <c r="G3413" s="69"/>
      <c r="H3413" s="63">
        <f>SUM(H3412:H3412)</f>
        <v>0</v>
      </c>
      <c r="I3413" s="44"/>
    </row>
    <row r="3414" spans="3:13" s="59" customFormat="1" ht="22.2" customHeight="1">
      <c r="C3414" s="61" t="s">
        <v>1215</v>
      </c>
      <c r="D3414" s="56" t="s">
        <v>1216</v>
      </c>
      <c r="E3414" s="93"/>
      <c r="F3414" s="57"/>
      <c r="G3414" s="57"/>
      <c r="H3414" s="57"/>
      <c r="I3414" s="44"/>
    </row>
    <row r="3415" spans="3:13" s="59" customFormat="1" ht="22.2" customHeight="1">
      <c r="C3415" s="800">
        <v>1</v>
      </c>
      <c r="D3415" s="56" t="s">
        <v>5085</v>
      </c>
      <c r="E3415" s="93" t="s">
        <v>1080</v>
      </c>
      <c r="F3415" s="94">
        <v>0.496</v>
      </c>
      <c r="G3415" s="63">
        <f>VLOOKUP(D3415,upahbahan,3,FALSE)</f>
        <v>280000</v>
      </c>
      <c r="H3415" s="63">
        <f t="shared" ref="H3415" si="407">F3415*G3415</f>
        <v>138880</v>
      </c>
      <c r="I3415" s="44"/>
    </row>
    <row r="3416" spans="3:13" s="59" customFormat="1" ht="22.2" customHeight="1">
      <c r="C3416" s="450" t="s">
        <v>1217</v>
      </c>
      <c r="D3416" s="67"/>
      <c r="E3416" s="67"/>
      <c r="F3416" s="67"/>
      <c r="G3416" s="69"/>
      <c r="H3416" s="882">
        <f>SUM(H3414:H3415)</f>
        <v>138880</v>
      </c>
      <c r="I3416" s="44"/>
    </row>
    <row r="3417" spans="3:13" s="59" customFormat="1" ht="22.2" customHeight="1">
      <c r="C3417" s="288" t="s">
        <v>1218</v>
      </c>
      <c r="D3417" s="76" t="s">
        <v>1219</v>
      </c>
      <c r="E3417" s="77"/>
      <c r="F3417" s="77"/>
      <c r="G3417" s="78"/>
      <c r="H3417" s="585">
        <f>H3416+H3413+H3411</f>
        <v>276605</v>
      </c>
      <c r="I3417" s="369"/>
    </row>
    <row r="3418" spans="3:13" s="59" customFormat="1" ht="22.2" customHeight="1">
      <c r="C3418" s="288" t="s">
        <v>1220</v>
      </c>
      <c r="D3418" s="76" t="s">
        <v>1321</v>
      </c>
      <c r="E3418" s="77"/>
      <c r="F3418" s="78"/>
      <c r="G3418" s="80">
        <v>0.1</v>
      </c>
      <c r="H3418" s="63">
        <f>H3417*G3418</f>
        <v>27660.5</v>
      </c>
      <c r="I3418" s="369"/>
    </row>
    <row r="3419" spans="3:13" s="59" customFormat="1" ht="22.2" customHeight="1">
      <c r="C3419" s="288" t="s">
        <v>1221</v>
      </c>
      <c r="D3419" s="76" t="s">
        <v>1222</v>
      </c>
      <c r="E3419" s="77"/>
      <c r="F3419" s="77"/>
      <c r="G3419" s="78"/>
      <c r="H3419" s="799">
        <f>SUM(H3417:H3418)</f>
        <v>304265.5</v>
      </c>
      <c r="I3419" s="369"/>
    </row>
    <row r="3420" spans="3:13" ht="22.2" customHeight="1"/>
    <row r="3421" spans="3:13" ht="22.2" customHeight="1">
      <c r="C3421" s="43" t="s">
        <v>5101</v>
      </c>
      <c r="D3421" s="128" t="s">
        <v>8670</v>
      </c>
      <c r="I3421" s="50">
        <f>ROUNDDOWN(H3435,-2)</f>
        <v>304200</v>
      </c>
      <c r="J3421" s="122" t="s">
        <v>6451</v>
      </c>
      <c r="K3421" s="122" t="s">
        <v>8654</v>
      </c>
    </row>
    <row r="3422" spans="3:13" s="59" customFormat="1" ht="22.2" customHeight="1">
      <c r="C3422" s="591" t="s">
        <v>1195</v>
      </c>
      <c r="D3422" s="591" t="s">
        <v>1196</v>
      </c>
      <c r="E3422" s="591" t="s">
        <v>1197</v>
      </c>
      <c r="F3422" s="591" t="s">
        <v>1198</v>
      </c>
      <c r="G3422" s="591" t="s">
        <v>1199</v>
      </c>
      <c r="H3422" s="591" t="s">
        <v>1200</v>
      </c>
      <c r="I3422" s="44"/>
    </row>
    <row r="3423" spans="3:13" s="59" customFormat="1" ht="22.2" customHeight="1">
      <c r="C3423" s="61" t="s">
        <v>1201</v>
      </c>
      <c r="D3423" s="56" t="s">
        <v>1202</v>
      </c>
      <c r="E3423" s="57"/>
      <c r="F3423" s="57"/>
      <c r="G3423" s="57"/>
      <c r="H3423" s="57"/>
      <c r="I3423" s="44"/>
      <c r="J3423" s="152" t="s">
        <v>1247</v>
      </c>
    </row>
    <row r="3424" spans="3:13" s="59" customFormat="1" ht="22.2" customHeight="1">
      <c r="C3424" s="588">
        <v>1</v>
      </c>
      <c r="D3424" s="56" t="s">
        <v>5</v>
      </c>
      <c r="E3424" s="577" t="s">
        <v>6</v>
      </c>
      <c r="F3424" s="101">
        <v>0.751</v>
      </c>
      <c r="G3424" s="63">
        <f>VLOOKUP(D3424,upahbahan,3,FALSE)</f>
        <v>100000</v>
      </c>
      <c r="H3424" s="63">
        <f>F3424*G3424</f>
        <v>75100</v>
      </c>
      <c r="I3424" s="44"/>
      <c r="J3424" s="152" t="s">
        <v>1248</v>
      </c>
      <c r="M3424" s="65">
        <v>0.1</v>
      </c>
    </row>
    <row r="3425" spans="3:13" s="59" customFormat="1" ht="22.2" customHeight="1">
      <c r="C3425" s="588">
        <v>2</v>
      </c>
      <c r="D3425" s="56" t="s">
        <v>10</v>
      </c>
      <c r="E3425" s="577" t="s">
        <v>6</v>
      </c>
      <c r="F3425" s="101">
        <v>0.375</v>
      </c>
      <c r="G3425" s="63">
        <f>VLOOKUP(D3425,upahbahan,3,FALSE)</f>
        <v>135000</v>
      </c>
      <c r="H3425" s="63">
        <f>F3425*G3425</f>
        <v>50625</v>
      </c>
      <c r="I3425" s="44"/>
      <c r="J3425" s="152"/>
      <c r="M3425" s="65"/>
    </row>
    <row r="3426" spans="3:13" s="59" customFormat="1" ht="22.2" customHeight="1">
      <c r="C3426" s="588">
        <v>4</v>
      </c>
      <c r="D3426" s="56" t="s">
        <v>19</v>
      </c>
      <c r="E3426" s="577" t="s">
        <v>6</v>
      </c>
      <c r="F3426" s="101">
        <v>7.4999999999999997E-2</v>
      </c>
      <c r="G3426" s="63">
        <f>VLOOKUP(D3426,upahbahan,3,FALSE)</f>
        <v>160000</v>
      </c>
      <c r="H3426" s="63">
        <f t="shared" ref="H3426" si="408">F3426*G3426</f>
        <v>12000</v>
      </c>
      <c r="I3426" s="44"/>
    </row>
    <row r="3427" spans="3:13" s="59" customFormat="1" ht="22.2" customHeight="1">
      <c r="C3427" s="450" t="s">
        <v>1208</v>
      </c>
      <c r="D3427" s="67"/>
      <c r="E3427" s="67"/>
      <c r="F3427" s="142"/>
      <c r="G3427" s="153"/>
      <c r="H3427" s="63">
        <f>SUM(H3424:H3426)</f>
        <v>137725</v>
      </c>
      <c r="I3427" s="154"/>
    </row>
    <row r="3428" spans="3:13" s="59" customFormat="1" ht="22.2" customHeight="1">
      <c r="C3428" s="61" t="s">
        <v>1209</v>
      </c>
      <c r="D3428" s="56" t="s">
        <v>1210</v>
      </c>
      <c r="E3428" s="57"/>
      <c r="F3428" s="57"/>
      <c r="G3428" s="57"/>
      <c r="H3428" s="57"/>
      <c r="I3428" s="44"/>
    </row>
    <row r="3429" spans="3:13" s="59" customFormat="1" ht="22.2" customHeight="1">
      <c r="C3429" s="450" t="s">
        <v>1214</v>
      </c>
      <c r="D3429" s="67"/>
      <c r="E3429" s="67"/>
      <c r="F3429" s="67"/>
      <c r="G3429" s="69"/>
      <c r="H3429" s="63">
        <f>SUM(H3428:H3428)</f>
        <v>0</v>
      </c>
      <c r="I3429" s="44"/>
    </row>
    <row r="3430" spans="3:13" s="59" customFormat="1" ht="22.2" customHeight="1">
      <c r="C3430" s="61" t="s">
        <v>1215</v>
      </c>
      <c r="D3430" s="56" t="s">
        <v>1216</v>
      </c>
      <c r="E3430" s="93"/>
      <c r="F3430" s="57"/>
      <c r="G3430" s="57"/>
      <c r="H3430" s="57"/>
      <c r="I3430" s="44"/>
    </row>
    <row r="3431" spans="3:13" s="59" customFormat="1" ht="22.2" customHeight="1">
      <c r="C3431" s="800">
        <v>1</v>
      </c>
      <c r="D3431" s="56" t="s">
        <v>5085</v>
      </c>
      <c r="E3431" s="93" t="s">
        <v>1080</v>
      </c>
      <c r="F3431" s="94">
        <v>0.496</v>
      </c>
      <c r="G3431" s="63">
        <f>VLOOKUP(D3431,upahbahan,3,FALSE)</f>
        <v>280000</v>
      </c>
      <c r="H3431" s="63">
        <f t="shared" ref="H3431" si="409">F3431*G3431</f>
        <v>138880</v>
      </c>
      <c r="I3431" s="44"/>
    </row>
    <row r="3432" spans="3:13" s="59" customFormat="1" ht="22.2" customHeight="1">
      <c r="C3432" s="450" t="s">
        <v>1217</v>
      </c>
      <c r="D3432" s="67"/>
      <c r="E3432" s="67"/>
      <c r="F3432" s="67"/>
      <c r="G3432" s="69"/>
      <c r="H3432" s="882">
        <f>SUM(H3430:H3431)</f>
        <v>138880</v>
      </c>
      <c r="I3432" s="44"/>
    </row>
    <row r="3433" spans="3:13" s="59" customFormat="1" ht="22.2" customHeight="1">
      <c r="C3433" s="288" t="s">
        <v>1218</v>
      </c>
      <c r="D3433" s="76" t="s">
        <v>1219</v>
      </c>
      <c r="E3433" s="77"/>
      <c r="F3433" s="77"/>
      <c r="G3433" s="78"/>
      <c r="H3433" s="585">
        <f>H3432+H3429+H3427</f>
        <v>276605</v>
      </c>
      <c r="I3433" s="369"/>
    </row>
    <row r="3434" spans="3:13" s="59" customFormat="1" ht="22.2" customHeight="1">
      <c r="C3434" s="288" t="s">
        <v>1220</v>
      </c>
      <c r="D3434" s="76" t="s">
        <v>1321</v>
      </c>
      <c r="E3434" s="77"/>
      <c r="F3434" s="78"/>
      <c r="G3434" s="80">
        <v>0.1</v>
      </c>
      <c r="H3434" s="63">
        <f>H3433*G3434</f>
        <v>27660.5</v>
      </c>
      <c r="I3434" s="369"/>
    </row>
    <row r="3435" spans="3:13" s="59" customFormat="1" ht="22.2" customHeight="1">
      <c r="C3435" s="288" t="s">
        <v>1221</v>
      </c>
      <c r="D3435" s="76" t="s">
        <v>1222</v>
      </c>
      <c r="E3435" s="77"/>
      <c r="F3435" s="77"/>
      <c r="G3435" s="78"/>
      <c r="H3435" s="799">
        <f>SUM(H3433:H3434)</f>
        <v>304265.5</v>
      </c>
      <c r="I3435" s="369"/>
    </row>
    <row r="3436" spans="3:13" ht="22.2" customHeight="1"/>
    <row r="3437" spans="3:13" ht="22.2" customHeight="1"/>
    <row r="3438" spans="3:13" ht="22.2" customHeight="1">
      <c r="C3438" s="43" t="s">
        <v>5102</v>
      </c>
      <c r="D3438" s="128" t="s">
        <v>8671</v>
      </c>
      <c r="I3438" s="50">
        <f>ROUNDDOWN(H3452,-2)</f>
        <v>380300</v>
      </c>
      <c r="J3438" s="122" t="s">
        <v>6451</v>
      </c>
      <c r="K3438" s="122" t="s">
        <v>8654</v>
      </c>
    </row>
    <row r="3439" spans="3:13" s="59" customFormat="1" ht="22.2" customHeight="1">
      <c r="C3439" s="591" t="s">
        <v>1195</v>
      </c>
      <c r="D3439" s="591" t="s">
        <v>1196</v>
      </c>
      <c r="E3439" s="591" t="s">
        <v>1197</v>
      </c>
      <c r="F3439" s="591" t="s">
        <v>1198</v>
      </c>
      <c r="G3439" s="591" t="s">
        <v>1199</v>
      </c>
      <c r="H3439" s="591" t="s">
        <v>1200</v>
      </c>
      <c r="I3439" s="44"/>
    </row>
    <row r="3440" spans="3:13" s="59" customFormat="1" ht="22.2" customHeight="1">
      <c r="C3440" s="61" t="s">
        <v>1201</v>
      </c>
      <c r="D3440" s="56" t="s">
        <v>1202</v>
      </c>
      <c r="E3440" s="57"/>
      <c r="F3440" s="57"/>
      <c r="G3440" s="57"/>
      <c r="H3440" s="57"/>
      <c r="I3440" s="44"/>
      <c r="J3440" s="152" t="s">
        <v>1247</v>
      </c>
    </row>
    <row r="3441" spans="3:13" s="59" customFormat="1" ht="22.2" customHeight="1">
      <c r="C3441" s="588">
        <v>1</v>
      </c>
      <c r="D3441" s="56" t="s">
        <v>5</v>
      </c>
      <c r="E3441" s="577" t="s">
        <v>6</v>
      </c>
      <c r="F3441" s="101">
        <v>0.93799999999999994</v>
      </c>
      <c r="G3441" s="63">
        <f>VLOOKUP(D3441,upahbahan,3,FALSE)</f>
        <v>100000</v>
      </c>
      <c r="H3441" s="63">
        <f>F3441*G3441</f>
        <v>93800</v>
      </c>
      <c r="I3441" s="44"/>
      <c r="J3441" s="152" t="s">
        <v>1248</v>
      </c>
      <c r="M3441" s="65">
        <v>0.1</v>
      </c>
    </row>
    <row r="3442" spans="3:13" s="59" customFormat="1" ht="22.2" customHeight="1">
      <c r="C3442" s="588">
        <v>2</v>
      </c>
      <c r="D3442" s="56" t="s">
        <v>10</v>
      </c>
      <c r="E3442" s="577" t="s">
        <v>6</v>
      </c>
      <c r="F3442" s="101">
        <v>0.46899999999999997</v>
      </c>
      <c r="G3442" s="63">
        <f>VLOOKUP(D3442,upahbahan,3,FALSE)</f>
        <v>135000</v>
      </c>
      <c r="H3442" s="63">
        <f>F3442*G3442</f>
        <v>63314.999999999993</v>
      </c>
      <c r="I3442" s="44"/>
      <c r="J3442" s="152"/>
      <c r="M3442" s="65"/>
    </row>
    <row r="3443" spans="3:13" s="59" customFormat="1" ht="22.2" customHeight="1">
      <c r="C3443" s="588">
        <v>4</v>
      </c>
      <c r="D3443" s="56" t="s">
        <v>19</v>
      </c>
      <c r="E3443" s="577" t="s">
        <v>6</v>
      </c>
      <c r="F3443" s="101">
        <v>9.4E-2</v>
      </c>
      <c r="G3443" s="63">
        <f>VLOOKUP(D3443,upahbahan,3,FALSE)</f>
        <v>160000</v>
      </c>
      <c r="H3443" s="63">
        <f t="shared" ref="H3443" si="410">F3443*G3443</f>
        <v>15040</v>
      </c>
      <c r="I3443" s="44"/>
    </row>
    <row r="3444" spans="3:13" s="59" customFormat="1" ht="22.2" customHeight="1">
      <c r="C3444" s="450" t="s">
        <v>1208</v>
      </c>
      <c r="D3444" s="67"/>
      <c r="E3444" s="67"/>
      <c r="F3444" s="142"/>
      <c r="G3444" s="153"/>
      <c r="H3444" s="63">
        <f>SUM(H3441:H3443)</f>
        <v>172155</v>
      </c>
      <c r="I3444" s="154"/>
    </row>
    <row r="3445" spans="3:13" s="59" customFormat="1" ht="22.2" customHeight="1">
      <c r="C3445" s="61" t="s">
        <v>1209</v>
      </c>
      <c r="D3445" s="56" t="s">
        <v>1210</v>
      </c>
      <c r="E3445" s="57"/>
      <c r="F3445" s="57"/>
      <c r="G3445" s="57"/>
      <c r="H3445" s="57"/>
      <c r="I3445" s="44"/>
    </row>
    <row r="3446" spans="3:13" s="59" customFormat="1" ht="22.2" customHeight="1">
      <c r="C3446" s="450" t="s">
        <v>1214</v>
      </c>
      <c r="D3446" s="67"/>
      <c r="E3446" s="67"/>
      <c r="F3446" s="67"/>
      <c r="G3446" s="69"/>
      <c r="H3446" s="63">
        <f>SUM(H3445:H3445)</f>
        <v>0</v>
      </c>
      <c r="I3446" s="44"/>
    </row>
    <row r="3447" spans="3:13" s="59" customFormat="1" ht="22.2" customHeight="1">
      <c r="C3447" s="61" t="s">
        <v>1215</v>
      </c>
      <c r="D3447" s="56" t="s">
        <v>1216</v>
      </c>
      <c r="E3447" s="93"/>
      <c r="F3447" s="57"/>
      <c r="G3447" s="57"/>
      <c r="H3447" s="57"/>
      <c r="I3447" s="44"/>
    </row>
    <row r="3448" spans="3:13" s="59" customFormat="1" ht="22.2" customHeight="1">
      <c r="C3448" s="800">
        <v>1</v>
      </c>
      <c r="D3448" s="56" t="s">
        <v>5085</v>
      </c>
      <c r="E3448" s="93" t="s">
        <v>1080</v>
      </c>
      <c r="F3448" s="94">
        <v>0.62</v>
      </c>
      <c r="G3448" s="63">
        <f>VLOOKUP(D3448,upahbahan,3,FALSE)</f>
        <v>280000</v>
      </c>
      <c r="H3448" s="63">
        <f t="shared" ref="H3448" si="411">F3448*G3448</f>
        <v>173600</v>
      </c>
      <c r="I3448" s="44"/>
    </row>
    <row r="3449" spans="3:13" s="59" customFormat="1" ht="22.2" customHeight="1">
      <c r="C3449" s="450" t="s">
        <v>1217</v>
      </c>
      <c r="D3449" s="67"/>
      <c r="E3449" s="67"/>
      <c r="F3449" s="67"/>
      <c r="G3449" s="69"/>
      <c r="H3449" s="882">
        <f>SUM(H3447:H3448)</f>
        <v>173600</v>
      </c>
      <c r="I3449" s="44"/>
    </row>
    <row r="3450" spans="3:13" s="59" customFormat="1" ht="22.2" customHeight="1">
      <c r="C3450" s="288" t="s">
        <v>1218</v>
      </c>
      <c r="D3450" s="76" t="s">
        <v>1219</v>
      </c>
      <c r="E3450" s="77"/>
      <c r="F3450" s="77"/>
      <c r="G3450" s="78"/>
      <c r="H3450" s="585">
        <f>H3449+H3446+H3444</f>
        <v>345755</v>
      </c>
      <c r="I3450" s="369"/>
    </row>
    <row r="3451" spans="3:13" s="59" customFormat="1" ht="22.2" customHeight="1">
      <c r="C3451" s="288" t="s">
        <v>1220</v>
      </c>
      <c r="D3451" s="76" t="s">
        <v>1321</v>
      </c>
      <c r="E3451" s="77"/>
      <c r="F3451" s="78"/>
      <c r="G3451" s="80">
        <v>0.1</v>
      </c>
      <c r="H3451" s="63">
        <f>H3450*G3451</f>
        <v>34575.5</v>
      </c>
      <c r="I3451" s="369"/>
    </row>
    <row r="3452" spans="3:13" s="59" customFormat="1" ht="22.2" customHeight="1">
      <c r="C3452" s="288" t="s">
        <v>1221</v>
      </c>
      <c r="D3452" s="76" t="s">
        <v>1222</v>
      </c>
      <c r="E3452" s="77"/>
      <c r="F3452" s="77"/>
      <c r="G3452" s="78"/>
      <c r="H3452" s="799">
        <f>SUM(H3450:H3451)</f>
        <v>380330.5</v>
      </c>
      <c r="I3452" s="369"/>
    </row>
    <row r="3453" spans="3:13" ht="22.2" customHeight="1"/>
    <row r="3454" spans="3:13" ht="22.2" customHeight="1">
      <c r="C3454" s="43" t="s">
        <v>5103</v>
      </c>
      <c r="D3454" s="128" t="s">
        <v>8672</v>
      </c>
      <c r="I3454" s="50">
        <f>ROUNDDOWN(H3468,-2)</f>
        <v>475100</v>
      </c>
      <c r="J3454" s="122" t="s">
        <v>6451</v>
      </c>
      <c r="K3454" s="122" t="s">
        <v>8654</v>
      </c>
    </row>
    <row r="3455" spans="3:13" s="59" customFormat="1" ht="22.2" customHeight="1">
      <c r="C3455" s="591" t="s">
        <v>1195</v>
      </c>
      <c r="D3455" s="591" t="s">
        <v>1196</v>
      </c>
      <c r="E3455" s="591" t="s">
        <v>1197</v>
      </c>
      <c r="F3455" s="591" t="s">
        <v>1198</v>
      </c>
      <c r="G3455" s="591" t="s">
        <v>1199</v>
      </c>
      <c r="H3455" s="591" t="s">
        <v>1200</v>
      </c>
      <c r="I3455" s="44"/>
    </row>
    <row r="3456" spans="3:13" s="59" customFormat="1" ht="22.2" customHeight="1">
      <c r="C3456" s="61" t="s">
        <v>1201</v>
      </c>
      <c r="D3456" s="56" t="s">
        <v>1202</v>
      </c>
      <c r="E3456" s="57"/>
      <c r="F3456" s="57"/>
      <c r="G3456" s="57"/>
      <c r="H3456" s="57"/>
      <c r="I3456" s="44"/>
      <c r="J3456" s="152" t="s">
        <v>1247</v>
      </c>
    </row>
    <row r="3457" spans="3:13" s="59" customFormat="1" ht="22.2" customHeight="1">
      <c r="C3457" s="588">
        <v>1</v>
      </c>
      <c r="D3457" s="56" t="s">
        <v>5</v>
      </c>
      <c r="E3457" s="577" t="s">
        <v>6</v>
      </c>
      <c r="F3457" s="101">
        <v>1.173</v>
      </c>
      <c r="G3457" s="63">
        <f>VLOOKUP(D3457,upahbahan,3,FALSE)</f>
        <v>100000</v>
      </c>
      <c r="H3457" s="63">
        <f>F3457*G3457</f>
        <v>117300</v>
      </c>
      <c r="I3457" s="44"/>
      <c r="J3457" s="152" t="s">
        <v>1248</v>
      </c>
      <c r="M3457" s="65">
        <v>0.1</v>
      </c>
    </row>
    <row r="3458" spans="3:13" s="59" customFormat="1" ht="22.2" customHeight="1">
      <c r="C3458" s="588">
        <v>2</v>
      </c>
      <c r="D3458" s="56" t="s">
        <v>10</v>
      </c>
      <c r="E3458" s="577" t="s">
        <v>6</v>
      </c>
      <c r="F3458" s="101">
        <v>0.58699999999999997</v>
      </c>
      <c r="G3458" s="63">
        <f>VLOOKUP(D3458,upahbahan,3,FALSE)</f>
        <v>135000</v>
      </c>
      <c r="H3458" s="63">
        <f>F3458*G3458</f>
        <v>79245</v>
      </c>
      <c r="I3458" s="44"/>
      <c r="J3458" s="152"/>
      <c r="M3458" s="65"/>
    </row>
    <row r="3459" spans="3:13" s="59" customFormat="1" ht="22.2" customHeight="1">
      <c r="C3459" s="588">
        <v>4</v>
      </c>
      <c r="D3459" s="56" t="s">
        <v>19</v>
      </c>
      <c r="E3459" s="577" t="s">
        <v>6</v>
      </c>
      <c r="F3459" s="101">
        <v>0.11700000000000001</v>
      </c>
      <c r="G3459" s="63">
        <f>VLOOKUP(D3459,upahbahan,3,FALSE)</f>
        <v>160000</v>
      </c>
      <c r="H3459" s="63">
        <f t="shared" ref="H3459" si="412">F3459*G3459</f>
        <v>18720</v>
      </c>
      <c r="I3459" s="44"/>
    </row>
    <row r="3460" spans="3:13" s="59" customFormat="1" ht="22.2" customHeight="1">
      <c r="C3460" s="450" t="s">
        <v>1208</v>
      </c>
      <c r="D3460" s="67"/>
      <c r="E3460" s="67"/>
      <c r="F3460" s="142"/>
      <c r="G3460" s="153"/>
      <c r="H3460" s="63">
        <f>SUM(H3457:H3459)</f>
        <v>215265</v>
      </c>
      <c r="I3460" s="154"/>
    </row>
    <row r="3461" spans="3:13" s="59" customFormat="1" ht="22.2" customHeight="1">
      <c r="C3461" s="61" t="s">
        <v>1209</v>
      </c>
      <c r="D3461" s="56" t="s">
        <v>1210</v>
      </c>
      <c r="E3461" s="57"/>
      <c r="F3461" s="57"/>
      <c r="G3461" s="57"/>
      <c r="H3461" s="57"/>
      <c r="I3461" s="44"/>
    </row>
    <row r="3462" spans="3:13" s="59" customFormat="1" ht="22.2" customHeight="1">
      <c r="C3462" s="450" t="s">
        <v>1214</v>
      </c>
      <c r="D3462" s="67"/>
      <c r="E3462" s="67"/>
      <c r="F3462" s="67"/>
      <c r="G3462" s="69"/>
      <c r="H3462" s="63">
        <f>SUM(H3461:H3461)</f>
        <v>0</v>
      </c>
      <c r="I3462" s="44"/>
    </row>
    <row r="3463" spans="3:13" s="59" customFormat="1" ht="22.2" customHeight="1">
      <c r="C3463" s="61" t="s">
        <v>1215</v>
      </c>
      <c r="D3463" s="56" t="s">
        <v>1216</v>
      </c>
      <c r="E3463" s="93"/>
      <c r="F3463" s="57"/>
      <c r="G3463" s="57"/>
      <c r="H3463" s="57"/>
      <c r="I3463" s="44"/>
    </row>
    <row r="3464" spans="3:13" s="59" customFormat="1" ht="22.2" customHeight="1">
      <c r="C3464" s="800">
        <v>1</v>
      </c>
      <c r="D3464" s="56" t="s">
        <v>5085</v>
      </c>
      <c r="E3464" s="93" t="s">
        <v>1080</v>
      </c>
      <c r="F3464" s="94">
        <v>0.77400000000000002</v>
      </c>
      <c r="G3464" s="63">
        <f>VLOOKUP(D3464,upahbahan,3,FALSE)</f>
        <v>280000</v>
      </c>
      <c r="H3464" s="63">
        <f t="shared" ref="H3464" si="413">F3464*G3464</f>
        <v>216720</v>
      </c>
      <c r="I3464" s="44"/>
    </row>
    <row r="3465" spans="3:13" s="59" customFormat="1" ht="22.2" customHeight="1">
      <c r="C3465" s="450" t="s">
        <v>1217</v>
      </c>
      <c r="D3465" s="67"/>
      <c r="E3465" s="67"/>
      <c r="F3465" s="67"/>
      <c r="G3465" s="69"/>
      <c r="H3465" s="882">
        <f>SUM(H3463:H3464)</f>
        <v>216720</v>
      </c>
      <c r="I3465" s="44"/>
    </row>
    <row r="3466" spans="3:13" s="59" customFormat="1" ht="22.2" customHeight="1">
      <c r="C3466" s="288" t="s">
        <v>1218</v>
      </c>
      <c r="D3466" s="76" t="s">
        <v>1219</v>
      </c>
      <c r="E3466" s="77"/>
      <c r="F3466" s="77"/>
      <c r="G3466" s="78"/>
      <c r="H3466" s="585">
        <f>H3465+H3462+H3460</f>
        <v>431985</v>
      </c>
      <c r="I3466" s="369"/>
    </row>
    <row r="3467" spans="3:13" s="59" customFormat="1" ht="22.2" customHeight="1">
      <c r="C3467" s="288" t="s">
        <v>1220</v>
      </c>
      <c r="D3467" s="76" t="s">
        <v>1321</v>
      </c>
      <c r="E3467" s="77"/>
      <c r="F3467" s="78"/>
      <c r="G3467" s="80">
        <v>0.1</v>
      </c>
      <c r="H3467" s="63">
        <f>H3466*G3467</f>
        <v>43198.5</v>
      </c>
      <c r="I3467" s="369"/>
    </row>
    <row r="3468" spans="3:13" s="59" customFormat="1" ht="22.2" customHeight="1">
      <c r="C3468" s="288" t="s">
        <v>1221</v>
      </c>
      <c r="D3468" s="76" t="s">
        <v>1222</v>
      </c>
      <c r="E3468" s="77"/>
      <c r="F3468" s="77"/>
      <c r="G3468" s="78"/>
      <c r="H3468" s="799">
        <f>SUM(H3466:H3467)</f>
        <v>475183.5</v>
      </c>
      <c r="I3468" s="369"/>
    </row>
    <row r="3469" spans="3:13" ht="22.2" customHeight="1"/>
    <row r="3470" spans="3:13" ht="22.2" customHeight="1"/>
    <row r="3471" spans="3:13" ht="22.2" customHeight="1">
      <c r="C3471" s="43" t="s">
        <v>5104</v>
      </c>
      <c r="D3471" s="128" t="s">
        <v>5105</v>
      </c>
    </row>
    <row r="3472" spans="3:13" ht="22.2" customHeight="1">
      <c r="C3472" s="43" t="s">
        <v>5106</v>
      </c>
      <c r="D3472" s="128" t="s">
        <v>8673</v>
      </c>
      <c r="I3472" s="50">
        <f>ROUNDDOWN(H3487,-2)</f>
        <v>547900</v>
      </c>
      <c r="J3472" s="122" t="s">
        <v>6451</v>
      </c>
      <c r="K3472" s="122" t="s">
        <v>8676</v>
      </c>
    </row>
    <row r="3473" spans="3:13" s="59" customFormat="1" ht="22.2" customHeight="1">
      <c r="C3473" s="591" t="s">
        <v>1195</v>
      </c>
      <c r="D3473" s="591" t="s">
        <v>1196</v>
      </c>
      <c r="E3473" s="591" t="s">
        <v>1197</v>
      </c>
      <c r="F3473" s="591" t="s">
        <v>1198</v>
      </c>
      <c r="G3473" s="591" t="s">
        <v>1199</v>
      </c>
      <c r="H3473" s="591" t="s">
        <v>1200</v>
      </c>
      <c r="I3473" s="44"/>
    </row>
    <row r="3474" spans="3:13" s="59" customFormat="1" ht="22.2" customHeight="1">
      <c r="C3474" s="61" t="s">
        <v>1201</v>
      </c>
      <c r="D3474" s="56" t="s">
        <v>1202</v>
      </c>
      <c r="E3474" s="57"/>
      <c r="F3474" s="57"/>
      <c r="G3474" s="57"/>
      <c r="H3474" s="57"/>
      <c r="I3474" s="44"/>
      <c r="J3474" s="152" t="s">
        <v>1247</v>
      </c>
    </row>
    <row r="3475" spans="3:13" s="59" customFormat="1" ht="22.2" customHeight="1">
      <c r="C3475" s="588">
        <v>1</v>
      </c>
      <c r="D3475" s="56" t="s">
        <v>5</v>
      </c>
      <c r="E3475" s="577" t="s">
        <v>6</v>
      </c>
      <c r="F3475" s="101">
        <v>1.429</v>
      </c>
      <c r="G3475" s="63">
        <f>VLOOKUP(D3475,upahbahan,3,FALSE)</f>
        <v>100000</v>
      </c>
      <c r="H3475" s="63">
        <f>F3475*G3475</f>
        <v>142900</v>
      </c>
      <c r="I3475" s="44"/>
      <c r="J3475" s="152" t="s">
        <v>1248</v>
      </c>
      <c r="M3475" s="65">
        <v>0.1</v>
      </c>
    </row>
    <row r="3476" spans="3:13" s="59" customFormat="1" ht="22.2" customHeight="1">
      <c r="C3476" s="588">
        <v>2</v>
      </c>
      <c r="D3476" s="56" t="s">
        <v>10</v>
      </c>
      <c r="E3476" s="577" t="s">
        <v>6</v>
      </c>
      <c r="F3476" s="101">
        <v>0.71499999999999997</v>
      </c>
      <c r="G3476" s="63">
        <f>VLOOKUP(D3476,upahbahan,3,FALSE)</f>
        <v>135000</v>
      </c>
      <c r="H3476" s="63">
        <f>F3476*G3476</f>
        <v>96525</v>
      </c>
      <c r="I3476" s="44"/>
      <c r="J3476" s="152"/>
      <c r="M3476" s="65"/>
    </row>
    <row r="3477" spans="3:13" s="59" customFormat="1" ht="22.2" customHeight="1">
      <c r="C3477" s="588">
        <v>4</v>
      </c>
      <c r="D3477" s="56" t="s">
        <v>19</v>
      </c>
      <c r="E3477" s="577" t="s">
        <v>6</v>
      </c>
      <c r="F3477" s="101">
        <v>0.14299999999999999</v>
      </c>
      <c r="G3477" s="63">
        <f>VLOOKUP(D3477,upahbahan,3,FALSE)</f>
        <v>160000</v>
      </c>
      <c r="H3477" s="63">
        <f t="shared" ref="H3477" si="414">F3477*G3477</f>
        <v>22879.999999999996</v>
      </c>
      <c r="I3477" s="44"/>
    </row>
    <row r="3478" spans="3:13" s="59" customFormat="1" ht="22.2" customHeight="1">
      <c r="C3478" s="450" t="s">
        <v>1208</v>
      </c>
      <c r="D3478" s="67"/>
      <c r="E3478" s="67"/>
      <c r="F3478" s="142"/>
      <c r="G3478" s="153"/>
      <c r="H3478" s="63">
        <f>SUM(H3475:H3477)</f>
        <v>262305</v>
      </c>
      <c r="I3478" s="154"/>
    </row>
    <row r="3479" spans="3:13" s="59" customFormat="1" ht="22.2" customHeight="1">
      <c r="C3479" s="61" t="s">
        <v>1209</v>
      </c>
      <c r="D3479" s="56" t="s">
        <v>1210</v>
      </c>
      <c r="E3479" s="57"/>
      <c r="F3479" s="57"/>
      <c r="G3479" s="57"/>
      <c r="H3479" s="57"/>
      <c r="I3479" s="44"/>
    </row>
    <row r="3480" spans="3:13" s="59" customFormat="1" ht="22.2" customHeight="1">
      <c r="C3480" s="800">
        <v>1</v>
      </c>
      <c r="D3480" s="56" t="s">
        <v>8674</v>
      </c>
      <c r="E3480" s="93" t="s">
        <v>2167</v>
      </c>
      <c r="F3480" s="104">
        <v>1</v>
      </c>
      <c r="G3480" s="63">
        <f>VLOOKUP(D3480,upahbahan,3,FALSE)</f>
        <v>225000</v>
      </c>
      <c r="H3480" s="63">
        <f t="shared" ref="H3480" si="415">F3480*G3480</f>
        <v>225000</v>
      </c>
      <c r="I3480" s="44"/>
    </row>
    <row r="3481" spans="3:13" s="59" customFormat="1" ht="22.2" customHeight="1">
      <c r="C3481" s="450" t="s">
        <v>1214</v>
      </c>
      <c r="D3481" s="67"/>
      <c r="E3481" s="67"/>
      <c r="F3481" s="67"/>
      <c r="G3481" s="69"/>
      <c r="H3481" s="63">
        <f>SUM(H3479:H3480)</f>
        <v>225000</v>
      </c>
      <c r="I3481" s="44"/>
    </row>
    <row r="3482" spans="3:13" s="59" customFormat="1" ht="22.2" customHeight="1">
      <c r="C3482" s="61" t="s">
        <v>1215</v>
      </c>
      <c r="D3482" s="56" t="s">
        <v>1216</v>
      </c>
      <c r="E3482" s="93"/>
      <c r="F3482" s="57"/>
      <c r="G3482" s="57"/>
      <c r="H3482" s="57"/>
      <c r="I3482" s="44"/>
    </row>
    <row r="3483" spans="3:13" s="59" customFormat="1" ht="22.2" customHeight="1">
      <c r="C3483" s="800">
        <v>1</v>
      </c>
      <c r="D3483" s="56" t="s">
        <v>4770</v>
      </c>
      <c r="E3483" s="93" t="s">
        <v>1080</v>
      </c>
      <c r="F3483" s="104">
        <v>0.1</v>
      </c>
      <c r="G3483" s="63">
        <f>VLOOKUP(D3483,upahbahan,3,FALSE)</f>
        <v>108000</v>
      </c>
      <c r="H3483" s="63">
        <f t="shared" ref="H3483" si="416">F3483*G3483</f>
        <v>10800</v>
      </c>
      <c r="I3483" s="44"/>
    </row>
    <row r="3484" spans="3:13" s="59" customFormat="1" ht="22.2" customHeight="1">
      <c r="C3484" s="450" t="s">
        <v>1217</v>
      </c>
      <c r="D3484" s="67"/>
      <c r="E3484" s="67"/>
      <c r="F3484" s="67"/>
      <c r="G3484" s="69"/>
      <c r="H3484" s="882">
        <f>SUM(H3482:H3483)</f>
        <v>10800</v>
      </c>
      <c r="I3484" s="44"/>
    </row>
    <row r="3485" spans="3:13" s="59" customFormat="1" ht="22.2" customHeight="1">
      <c r="C3485" s="288" t="s">
        <v>1218</v>
      </c>
      <c r="D3485" s="76" t="s">
        <v>1219</v>
      </c>
      <c r="E3485" s="77"/>
      <c r="F3485" s="77"/>
      <c r="G3485" s="78"/>
      <c r="H3485" s="585">
        <f>H3484+H3481+H3478</f>
        <v>498105</v>
      </c>
      <c r="I3485" s="369"/>
    </row>
    <row r="3486" spans="3:13" s="59" customFormat="1" ht="22.2" customHeight="1">
      <c r="C3486" s="288" t="s">
        <v>1220</v>
      </c>
      <c r="D3486" s="76" t="s">
        <v>1321</v>
      </c>
      <c r="E3486" s="77"/>
      <c r="F3486" s="78"/>
      <c r="G3486" s="80">
        <v>0.1</v>
      </c>
      <c r="H3486" s="63">
        <f>H3485*G3486</f>
        <v>49810.5</v>
      </c>
      <c r="I3486" s="369"/>
    </row>
    <row r="3487" spans="3:13" s="59" customFormat="1" ht="22.2" customHeight="1">
      <c r="C3487" s="288" t="s">
        <v>1221</v>
      </c>
      <c r="D3487" s="76" t="s">
        <v>1222</v>
      </c>
      <c r="E3487" s="77"/>
      <c r="F3487" s="77"/>
      <c r="G3487" s="78"/>
      <c r="H3487" s="799">
        <f>SUM(H3485:H3486)</f>
        <v>547915.5</v>
      </c>
      <c r="I3487" s="369"/>
    </row>
    <row r="3488" spans="3:13" ht="22.2" customHeight="1"/>
    <row r="3489" spans="3:13" ht="22.2" customHeight="1"/>
    <row r="3490" spans="3:13" ht="22.2" customHeight="1">
      <c r="C3490" s="43" t="s">
        <v>5107</v>
      </c>
      <c r="D3490" s="128" t="s">
        <v>8675</v>
      </c>
      <c r="I3490" s="50">
        <f>ROUNDDOWN(H3505,-2)</f>
        <v>700500</v>
      </c>
      <c r="J3490" s="122" t="s">
        <v>6451</v>
      </c>
      <c r="K3490" s="122" t="s">
        <v>8676</v>
      </c>
    </row>
    <row r="3491" spans="3:13" s="59" customFormat="1" ht="22.2" customHeight="1">
      <c r="C3491" s="591" t="s">
        <v>1195</v>
      </c>
      <c r="D3491" s="591" t="s">
        <v>1196</v>
      </c>
      <c r="E3491" s="591" t="s">
        <v>1197</v>
      </c>
      <c r="F3491" s="591" t="s">
        <v>1198</v>
      </c>
      <c r="G3491" s="591" t="s">
        <v>1199</v>
      </c>
      <c r="H3491" s="591" t="s">
        <v>1200</v>
      </c>
      <c r="I3491" s="44"/>
    </row>
    <row r="3492" spans="3:13" s="59" customFormat="1" ht="22.2" customHeight="1">
      <c r="C3492" s="61" t="s">
        <v>1201</v>
      </c>
      <c r="D3492" s="56" t="s">
        <v>1202</v>
      </c>
      <c r="E3492" s="57"/>
      <c r="F3492" s="57"/>
      <c r="G3492" s="57"/>
      <c r="H3492" s="57"/>
      <c r="I3492" s="44"/>
      <c r="J3492" s="152" t="s">
        <v>1247</v>
      </c>
    </row>
    <row r="3493" spans="3:13" s="59" customFormat="1" ht="22.2" customHeight="1">
      <c r="C3493" s="588">
        <v>1</v>
      </c>
      <c r="D3493" s="56" t="s">
        <v>5</v>
      </c>
      <c r="E3493" s="577" t="s">
        <v>6</v>
      </c>
      <c r="F3493" s="101">
        <v>1.714</v>
      </c>
      <c r="G3493" s="63">
        <f>VLOOKUP(D3493,upahbahan,3,FALSE)</f>
        <v>100000</v>
      </c>
      <c r="H3493" s="63">
        <f>F3493*G3493</f>
        <v>171400</v>
      </c>
      <c r="I3493" s="44"/>
      <c r="J3493" s="152" t="s">
        <v>1248</v>
      </c>
      <c r="M3493" s="65">
        <v>0.1</v>
      </c>
    </row>
    <row r="3494" spans="3:13" s="59" customFormat="1" ht="22.2" customHeight="1">
      <c r="C3494" s="588">
        <v>2</v>
      </c>
      <c r="D3494" s="56" t="s">
        <v>10</v>
      </c>
      <c r="E3494" s="577" t="s">
        <v>6</v>
      </c>
      <c r="F3494" s="101">
        <v>0.85699999999999998</v>
      </c>
      <c r="G3494" s="63">
        <f>VLOOKUP(D3494,upahbahan,3,FALSE)</f>
        <v>135000</v>
      </c>
      <c r="H3494" s="63">
        <f>F3494*G3494</f>
        <v>115695</v>
      </c>
      <c r="I3494" s="44"/>
      <c r="J3494" s="152"/>
      <c r="M3494" s="65"/>
    </row>
    <row r="3495" spans="3:13" s="59" customFormat="1" ht="22.2" customHeight="1">
      <c r="C3495" s="588">
        <v>4</v>
      </c>
      <c r="D3495" s="56" t="s">
        <v>19</v>
      </c>
      <c r="E3495" s="577" t="s">
        <v>6</v>
      </c>
      <c r="F3495" s="101">
        <v>0.17100000000000001</v>
      </c>
      <c r="G3495" s="63">
        <f>VLOOKUP(D3495,upahbahan,3,FALSE)</f>
        <v>160000</v>
      </c>
      <c r="H3495" s="63">
        <f t="shared" ref="H3495" si="417">F3495*G3495</f>
        <v>27360.000000000004</v>
      </c>
      <c r="I3495" s="44"/>
    </row>
    <row r="3496" spans="3:13" s="59" customFormat="1" ht="22.2" customHeight="1">
      <c r="C3496" s="450" t="s">
        <v>1208</v>
      </c>
      <c r="D3496" s="67"/>
      <c r="E3496" s="67"/>
      <c r="F3496" s="142"/>
      <c r="G3496" s="153"/>
      <c r="H3496" s="63">
        <f>SUM(H3493:H3495)</f>
        <v>314455</v>
      </c>
      <c r="I3496" s="154"/>
    </row>
    <row r="3497" spans="3:13" s="59" customFormat="1" ht="22.2" customHeight="1">
      <c r="C3497" s="61" t="s">
        <v>1209</v>
      </c>
      <c r="D3497" s="56" t="s">
        <v>1210</v>
      </c>
      <c r="E3497" s="57"/>
      <c r="F3497" s="57"/>
      <c r="G3497" s="57"/>
      <c r="H3497" s="57"/>
      <c r="I3497" s="44"/>
    </row>
    <row r="3498" spans="3:13" s="59" customFormat="1" ht="22.2" customHeight="1">
      <c r="C3498" s="800">
        <v>1</v>
      </c>
      <c r="D3498" s="56" t="s">
        <v>8677</v>
      </c>
      <c r="E3498" s="93" t="s">
        <v>2167</v>
      </c>
      <c r="F3498" s="104">
        <v>1</v>
      </c>
      <c r="G3498" s="63">
        <f>VLOOKUP(D3498,upahbahan,3,FALSE)</f>
        <v>290000</v>
      </c>
      <c r="H3498" s="63">
        <f t="shared" ref="H3498" si="418">F3498*G3498</f>
        <v>290000</v>
      </c>
      <c r="I3498" s="44"/>
    </row>
    <row r="3499" spans="3:13" s="59" customFormat="1" ht="22.2" customHeight="1">
      <c r="C3499" s="450" t="s">
        <v>1214</v>
      </c>
      <c r="D3499" s="67"/>
      <c r="E3499" s="67"/>
      <c r="F3499" s="67"/>
      <c r="G3499" s="69"/>
      <c r="H3499" s="63">
        <f>SUM(H3497:H3498)</f>
        <v>290000</v>
      </c>
      <c r="I3499" s="44"/>
    </row>
    <row r="3500" spans="3:13" s="59" customFormat="1" ht="22.2" customHeight="1">
      <c r="C3500" s="61" t="s">
        <v>1215</v>
      </c>
      <c r="D3500" s="56" t="s">
        <v>1216</v>
      </c>
      <c r="E3500" s="93"/>
      <c r="F3500" s="57"/>
      <c r="G3500" s="57"/>
      <c r="H3500" s="57"/>
      <c r="I3500" s="44"/>
    </row>
    <row r="3501" spans="3:13" s="59" customFormat="1" ht="22.2" customHeight="1">
      <c r="C3501" s="800">
        <v>1</v>
      </c>
      <c r="D3501" s="56" t="s">
        <v>4770</v>
      </c>
      <c r="E3501" s="93" t="s">
        <v>1080</v>
      </c>
      <c r="F3501" s="104">
        <v>0.3</v>
      </c>
      <c r="G3501" s="63">
        <f>VLOOKUP(D3501,upahbahan,3,FALSE)</f>
        <v>108000</v>
      </c>
      <c r="H3501" s="63">
        <f t="shared" ref="H3501" si="419">F3501*G3501</f>
        <v>32400</v>
      </c>
      <c r="I3501" s="44"/>
    </row>
    <row r="3502" spans="3:13" s="59" customFormat="1" ht="22.2" customHeight="1">
      <c r="C3502" s="450" t="s">
        <v>1217</v>
      </c>
      <c r="D3502" s="67"/>
      <c r="E3502" s="67"/>
      <c r="F3502" s="67"/>
      <c r="G3502" s="69"/>
      <c r="H3502" s="882">
        <f>SUM(H3500:H3501)</f>
        <v>32400</v>
      </c>
      <c r="I3502" s="44"/>
    </row>
    <row r="3503" spans="3:13" s="59" customFormat="1" ht="22.2" customHeight="1">
      <c r="C3503" s="288" t="s">
        <v>1218</v>
      </c>
      <c r="D3503" s="76" t="s">
        <v>1219</v>
      </c>
      <c r="E3503" s="77"/>
      <c r="F3503" s="77"/>
      <c r="G3503" s="78"/>
      <c r="H3503" s="585">
        <f>H3502+H3499+H3496</f>
        <v>636855</v>
      </c>
      <c r="I3503" s="369"/>
    </row>
    <row r="3504" spans="3:13" s="59" customFormat="1" ht="22.2" customHeight="1">
      <c r="C3504" s="288" t="s">
        <v>1220</v>
      </c>
      <c r="D3504" s="76" t="s">
        <v>1321</v>
      </c>
      <c r="E3504" s="77"/>
      <c r="F3504" s="78"/>
      <c r="G3504" s="80">
        <v>0.1</v>
      </c>
      <c r="H3504" s="63">
        <f>H3503*G3504</f>
        <v>63685.5</v>
      </c>
      <c r="I3504" s="369"/>
    </row>
    <row r="3505" spans="3:13" s="59" customFormat="1" ht="22.2" customHeight="1">
      <c r="C3505" s="288" t="s">
        <v>1221</v>
      </c>
      <c r="D3505" s="76" t="s">
        <v>1222</v>
      </c>
      <c r="E3505" s="77"/>
      <c r="F3505" s="77"/>
      <c r="G3505" s="78"/>
      <c r="H3505" s="799">
        <f>SUM(H3503:H3504)</f>
        <v>700540.5</v>
      </c>
      <c r="I3505" s="369"/>
    </row>
    <row r="3506" spans="3:13" ht="22.2" customHeight="1"/>
    <row r="3507" spans="3:13" ht="22.2" customHeight="1"/>
    <row r="3508" spans="3:13" ht="22.2" customHeight="1">
      <c r="C3508" s="43" t="s">
        <v>5108</v>
      </c>
      <c r="D3508" s="128" t="s">
        <v>8678</v>
      </c>
      <c r="I3508" s="50">
        <f>ROUNDDOWN(H3523,-2)</f>
        <v>807400</v>
      </c>
      <c r="J3508" s="122" t="s">
        <v>6451</v>
      </c>
      <c r="K3508" s="122" t="s">
        <v>8676</v>
      </c>
    </row>
    <row r="3509" spans="3:13" s="59" customFormat="1" ht="22.2" customHeight="1">
      <c r="C3509" s="591" t="s">
        <v>1195</v>
      </c>
      <c r="D3509" s="591" t="s">
        <v>1196</v>
      </c>
      <c r="E3509" s="591" t="s">
        <v>1197</v>
      </c>
      <c r="F3509" s="591" t="s">
        <v>1198</v>
      </c>
      <c r="G3509" s="591" t="s">
        <v>1199</v>
      </c>
      <c r="H3509" s="591" t="s">
        <v>1200</v>
      </c>
      <c r="I3509" s="44"/>
    </row>
    <row r="3510" spans="3:13" s="59" customFormat="1" ht="22.2" customHeight="1">
      <c r="C3510" s="61" t="s">
        <v>1201</v>
      </c>
      <c r="D3510" s="56" t="s">
        <v>1202</v>
      </c>
      <c r="E3510" s="57"/>
      <c r="F3510" s="57"/>
      <c r="G3510" s="57"/>
      <c r="H3510" s="57"/>
      <c r="I3510" s="44"/>
      <c r="J3510" s="152" t="s">
        <v>1247</v>
      </c>
    </row>
    <row r="3511" spans="3:13" s="59" customFormat="1" ht="22.2" customHeight="1">
      <c r="C3511" s="588">
        <v>1</v>
      </c>
      <c r="D3511" s="56" t="s">
        <v>5</v>
      </c>
      <c r="E3511" s="577" t="s">
        <v>6</v>
      </c>
      <c r="F3511" s="101">
        <v>1.857</v>
      </c>
      <c r="G3511" s="63">
        <f>VLOOKUP(D3511,upahbahan,3,FALSE)</f>
        <v>100000</v>
      </c>
      <c r="H3511" s="63">
        <f>F3511*G3511</f>
        <v>185700</v>
      </c>
      <c r="I3511" s="44"/>
      <c r="J3511" s="152" t="s">
        <v>1248</v>
      </c>
      <c r="M3511" s="65">
        <v>0.1</v>
      </c>
    </row>
    <row r="3512" spans="3:13" s="59" customFormat="1" ht="22.2" customHeight="1">
      <c r="C3512" s="588">
        <v>2</v>
      </c>
      <c r="D3512" s="56" t="s">
        <v>10</v>
      </c>
      <c r="E3512" s="577" t="s">
        <v>6</v>
      </c>
      <c r="F3512" s="101">
        <v>0.92900000000000005</v>
      </c>
      <c r="G3512" s="63">
        <f>VLOOKUP(D3512,upahbahan,3,FALSE)</f>
        <v>135000</v>
      </c>
      <c r="H3512" s="63">
        <f>F3512*G3512</f>
        <v>125415</v>
      </c>
      <c r="I3512" s="44"/>
      <c r="J3512" s="152"/>
      <c r="M3512" s="65"/>
    </row>
    <row r="3513" spans="3:13" s="59" customFormat="1" ht="22.2" customHeight="1">
      <c r="C3513" s="588">
        <v>4</v>
      </c>
      <c r="D3513" s="56" t="s">
        <v>19</v>
      </c>
      <c r="E3513" s="577" t="s">
        <v>6</v>
      </c>
      <c r="F3513" s="101">
        <v>0.186</v>
      </c>
      <c r="G3513" s="63">
        <f>VLOOKUP(D3513,upahbahan,3,FALSE)</f>
        <v>160000</v>
      </c>
      <c r="H3513" s="63">
        <f t="shared" ref="H3513" si="420">F3513*G3513</f>
        <v>29760</v>
      </c>
      <c r="I3513" s="44"/>
    </row>
    <row r="3514" spans="3:13" s="59" customFormat="1" ht="22.2" customHeight="1">
      <c r="C3514" s="450" t="s">
        <v>1208</v>
      </c>
      <c r="D3514" s="67"/>
      <c r="E3514" s="67"/>
      <c r="F3514" s="142"/>
      <c r="G3514" s="153"/>
      <c r="H3514" s="63">
        <f>SUM(H3511:H3513)</f>
        <v>340875</v>
      </c>
      <c r="I3514" s="154"/>
    </row>
    <row r="3515" spans="3:13" s="59" customFormat="1" ht="22.2" customHeight="1">
      <c r="C3515" s="61" t="s">
        <v>1209</v>
      </c>
      <c r="D3515" s="56" t="s">
        <v>1210</v>
      </c>
      <c r="E3515" s="57"/>
      <c r="F3515" s="57"/>
      <c r="G3515" s="57"/>
      <c r="H3515" s="57"/>
      <c r="I3515" s="44"/>
    </row>
    <row r="3516" spans="3:13" s="59" customFormat="1" ht="22.2" customHeight="1">
      <c r="C3516" s="800">
        <v>1</v>
      </c>
      <c r="D3516" s="56" t="s">
        <v>8679</v>
      </c>
      <c r="E3516" s="93" t="s">
        <v>2167</v>
      </c>
      <c r="F3516" s="104">
        <v>1</v>
      </c>
      <c r="G3516" s="63">
        <f>VLOOKUP(D3516,upahbahan,3,FALSE)</f>
        <v>350000</v>
      </c>
      <c r="H3516" s="63">
        <f t="shared" ref="H3516" si="421">F3516*G3516</f>
        <v>350000</v>
      </c>
      <c r="I3516" s="44"/>
    </row>
    <row r="3517" spans="3:13" s="59" customFormat="1" ht="22.2" customHeight="1">
      <c r="C3517" s="450" t="s">
        <v>1214</v>
      </c>
      <c r="D3517" s="67"/>
      <c r="E3517" s="67"/>
      <c r="F3517" s="67"/>
      <c r="G3517" s="69"/>
      <c r="H3517" s="63">
        <f>SUM(H3515:H3516)</f>
        <v>350000</v>
      </c>
      <c r="I3517" s="44"/>
    </row>
    <row r="3518" spans="3:13" s="59" customFormat="1" ht="22.2" customHeight="1">
      <c r="C3518" s="61" t="s">
        <v>1215</v>
      </c>
      <c r="D3518" s="56" t="s">
        <v>1216</v>
      </c>
      <c r="E3518" s="93"/>
      <c r="F3518" s="57"/>
      <c r="G3518" s="57"/>
      <c r="H3518" s="57"/>
      <c r="I3518" s="44"/>
    </row>
    <row r="3519" spans="3:13" s="59" customFormat="1" ht="22.2" customHeight="1">
      <c r="C3519" s="800">
        <v>1</v>
      </c>
      <c r="D3519" s="56" t="s">
        <v>4770</v>
      </c>
      <c r="E3519" s="93" t="s">
        <v>1080</v>
      </c>
      <c r="F3519" s="104">
        <v>0.4</v>
      </c>
      <c r="G3519" s="63">
        <f>VLOOKUP(D3519,upahbahan,3,FALSE)</f>
        <v>108000</v>
      </c>
      <c r="H3519" s="63">
        <f t="shared" ref="H3519" si="422">F3519*G3519</f>
        <v>43200</v>
      </c>
      <c r="I3519" s="44"/>
    </row>
    <row r="3520" spans="3:13" s="59" customFormat="1" ht="22.2" customHeight="1">
      <c r="C3520" s="450" t="s">
        <v>1217</v>
      </c>
      <c r="D3520" s="67"/>
      <c r="E3520" s="67"/>
      <c r="F3520" s="67"/>
      <c r="G3520" s="69"/>
      <c r="H3520" s="882">
        <f>SUM(H3518:H3519)</f>
        <v>43200</v>
      </c>
      <c r="I3520" s="44"/>
    </row>
    <row r="3521" spans="3:13" s="59" customFormat="1" ht="22.2" customHeight="1">
      <c r="C3521" s="288" t="s">
        <v>1218</v>
      </c>
      <c r="D3521" s="76" t="s">
        <v>1219</v>
      </c>
      <c r="E3521" s="77"/>
      <c r="F3521" s="77"/>
      <c r="G3521" s="78"/>
      <c r="H3521" s="585">
        <f>H3520+H3517+H3514</f>
        <v>734075</v>
      </c>
      <c r="I3521" s="369"/>
    </row>
    <row r="3522" spans="3:13" s="59" customFormat="1" ht="22.2" customHeight="1">
      <c r="C3522" s="288" t="s">
        <v>1220</v>
      </c>
      <c r="D3522" s="76" t="s">
        <v>1321</v>
      </c>
      <c r="E3522" s="77"/>
      <c r="F3522" s="78"/>
      <c r="G3522" s="80">
        <v>0.1</v>
      </c>
      <c r="H3522" s="63">
        <f>H3521*G3522</f>
        <v>73407.5</v>
      </c>
      <c r="I3522" s="369"/>
    </row>
    <row r="3523" spans="3:13" s="59" customFormat="1" ht="22.2" customHeight="1">
      <c r="C3523" s="288" t="s">
        <v>1221</v>
      </c>
      <c r="D3523" s="76" t="s">
        <v>1222</v>
      </c>
      <c r="E3523" s="77"/>
      <c r="F3523" s="77"/>
      <c r="G3523" s="78"/>
      <c r="H3523" s="799">
        <f>SUM(H3521:H3522)</f>
        <v>807482.5</v>
      </c>
      <c r="I3523" s="369"/>
    </row>
    <row r="3524" spans="3:13" ht="22.2" customHeight="1"/>
    <row r="3525" spans="3:13" ht="22.2" customHeight="1">
      <c r="C3525" s="43" t="s">
        <v>5109</v>
      </c>
      <c r="D3525" s="128" t="s">
        <v>8680</v>
      </c>
      <c r="I3525" s="50">
        <f>ROUNDDOWN(H3540,-2)</f>
        <v>914100</v>
      </c>
      <c r="J3525" s="122" t="s">
        <v>6451</v>
      </c>
      <c r="K3525" s="122" t="s">
        <v>8676</v>
      </c>
    </row>
    <row r="3526" spans="3:13" s="59" customFormat="1" ht="22.2" customHeight="1">
      <c r="C3526" s="591" t="s">
        <v>1195</v>
      </c>
      <c r="D3526" s="591" t="s">
        <v>1196</v>
      </c>
      <c r="E3526" s="591" t="s">
        <v>1197</v>
      </c>
      <c r="F3526" s="591" t="s">
        <v>1198</v>
      </c>
      <c r="G3526" s="591" t="s">
        <v>1199</v>
      </c>
      <c r="H3526" s="591" t="s">
        <v>1200</v>
      </c>
      <c r="I3526" s="44"/>
    </row>
    <row r="3527" spans="3:13" s="59" customFormat="1" ht="22.2" customHeight="1">
      <c r="C3527" s="61" t="s">
        <v>1201</v>
      </c>
      <c r="D3527" s="56" t="s">
        <v>1202</v>
      </c>
      <c r="E3527" s="57"/>
      <c r="F3527" s="57"/>
      <c r="G3527" s="57"/>
      <c r="H3527" s="57"/>
      <c r="I3527" s="44"/>
      <c r="J3527" s="152" t="s">
        <v>1247</v>
      </c>
    </row>
    <row r="3528" spans="3:13" s="59" customFormat="1" ht="22.2" customHeight="1">
      <c r="C3528" s="588">
        <v>1</v>
      </c>
      <c r="D3528" s="56" t="s">
        <v>5</v>
      </c>
      <c r="E3528" s="577" t="s">
        <v>6</v>
      </c>
      <c r="F3528" s="101">
        <v>2</v>
      </c>
      <c r="G3528" s="63">
        <f>VLOOKUP(D3528,upahbahan,3,FALSE)</f>
        <v>100000</v>
      </c>
      <c r="H3528" s="63">
        <f>F3528*G3528</f>
        <v>200000</v>
      </c>
      <c r="I3528" s="44"/>
      <c r="J3528" s="152" t="s">
        <v>1248</v>
      </c>
      <c r="M3528" s="65">
        <v>0.1</v>
      </c>
    </row>
    <row r="3529" spans="3:13" s="59" customFormat="1" ht="22.2" customHeight="1">
      <c r="C3529" s="588">
        <v>2</v>
      </c>
      <c r="D3529" s="56" t="s">
        <v>10</v>
      </c>
      <c r="E3529" s="577" t="s">
        <v>6</v>
      </c>
      <c r="F3529" s="101">
        <v>1</v>
      </c>
      <c r="G3529" s="63">
        <f>VLOOKUP(D3529,upahbahan,3,FALSE)</f>
        <v>135000</v>
      </c>
      <c r="H3529" s="63">
        <f>F3529*G3529</f>
        <v>135000</v>
      </c>
      <c r="I3529" s="44"/>
      <c r="J3529" s="152"/>
      <c r="M3529" s="65"/>
    </row>
    <row r="3530" spans="3:13" s="59" customFormat="1" ht="22.2" customHeight="1">
      <c r="C3530" s="588">
        <v>4</v>
      </c>
      <c r="D3530" s="56" t="s">
        <v>19</v>
      </c>
      <c r="E3530" s="577" t="s">
        <v>6</v>
      </c>
      <c r="F3530" s="101">
        <v>0.2</v>
      </c>
      <c r="G3530" s="63">
        <f>VLOOKUP(D3530,upahbahan,3,FALSE)</f>
        <v>160000</v>
      </c>
      <c r="H3530" s="63">
        <f t="shared" ref="H3530" si="423">F3530*G3530</f>
        <v>32000</v>
      </c>
      <c r="I3530" s="44"/>
    </row>
    <row r="3531" spans="3:13" s="59" customFormat="1" ht="22.2" customHeight="1">
      <c r="C3531" s="450" t="s">
        <v>1208</v>
      </c>
      <c r="D3531" s="67"/>
      <c r="E3531" s="67"/>
      <c r="F3531" s="142"/>
      <c r="G3531" s="153"/>
      <c r="H3531" s="63">
        <f>SUM(H3528:H3530)</f>
        <v>367000</v>
      </c>
      <c r="I3531" s="154"/>
    </row>
    <row r="3532" spans="3:13" s="59" customFormat="1" ht="22.2" customHeight="1">
      <c r="C3532" s="61" t="s">
        <v>1209</v>
      </c>
      <c r="D3532" s="56" t="s">
        <v>1210</v>
      </c>
      <c r="E3532" s="57"/>
      <c r="F3532" s="57"/>
      <c r="G3532" s="57"/>
      <c r="H3532" s="57"/>
      <c r="I3532" s="44"/>
    </row>
    <row r="3533" spans="3:13" s="59" customFormat="1" ht="22.2" customHeight="1">
      <c r="C3533" s="800">
        <v>1</v>
      </c>
      <c r="D3533" s="56" t="s">
        <v>8681</v>
      </c>
      <c r="E3533" s="93" t="s">
        <v>2167</v>
      </c>
      <c r="F3533" s="104">
        <v>1</v>
      </c>
      <c r="G3533" s="63">
        <f>VLOOKUP(D3533,upahbahan,3,FALSE)</f>
        <v>410000</v>
      </c>
      <c r="H3533" s="63">
        <f t="shared" ref="H3533" si="424">F3533*G3533</f>
        <v>410000</v>
      </c>
      <c r="I3533" s="44"/>
    </row>
    <row r="3534" spans="3:13" s="59" customFormat="1" ht="22.2" customHeight="1">
      <c r="C3534" s="450" t="s">
        <v>1214</v>
      </c>
      <c r="D3534" s="67"/>
      <c r="E3534" s="67"/>
      <c r="F3534" s="67"/>
      <c r="G3534" s="69"/>
      <c r="H3534" s="63">
        <f>SUM(H3532:H3533)</f>
        <v>410000</v>
      </c>
      <c r="I3534" s="44"/>
    </row>
    <row r="3535" spans="3:13" s="59" customFormat="1" ht="22.2" customHeight="1">
      <c r="C3535" s="61" t="s">
        <v>1215</v>
      </c>
      <c r="D3535" s="56" t="s">
        <v>1216</v>
      </c>
      <c r="E3535" s="93"/>
      <c r="F3535" s="57"/>
      <c r="G3535" s="57"/>
      <c r="H3535" s="57"/>
      <c r="I3535" s="44"/>
    </row>
    <row r="3536" spans="3:13" s="59" customFormat="1" ht="22.2" customHeight="1">
      <c r="C3536" s="800">
        <v>1</v>
      </c>
      <c r="D3536" s="56" t="s">
        <v>4770</v>
      </c>
      <c r="E3536" s="93" t="s">
        <v>1080</v>
      </c>
      <c r="F3536" s="104">
        <v>0.5</v>
      </c>
      <c r="G3536" s="63">
        <f>VLOOKUP(D3536,upahbahan,3,FALSE)</f>
        <v>108000</v>
      </c>
      <c r="H3536" s="63">
        <f t="shared" ref="H3536" si="425">F3536*G3536</f>
        <v>54000</v>
      </c>
      <c r="I3536" s="44"/>
    </row>
    <row r="3537" spans="3:13" s="59" customFormat="1" ht="22.2" customHeight="1">
      <c r="C3537" s="450" t="s">
        <v>1217</v>
      </c>
      <c r="D3537" s="67"/>
      <c r="E3537" s="67"/>
      <c r="F3537" s="67"/>
      <c r="G3537" s="69"/>
      <c r="H3537" s="882">
        <f>SUM(H3535:H3536)</f>
        <v>54000</v>
      </c>
      <c r="I3537" s="44"/>
    </row>
    <row r="3538" spans="3:13" s="59" customFormat="1" ht="22.2" customHeight="1">
      <c r="C3538" s="288" t="s">
        <v>1218</v>
      </c>
      <c r="D3538" s="76" t="s">
        <v>1219</v>
      </c>
      <c r="E3538" s="77"/>
      <c r="F3538" s="77"/>
      <c r="G3538" s="78"/>
      <c r="H3538" s="585">
        <f>H3537+H3534+H3531</f>
        <v>831000</v>
      </c>
      <c r="I3538" s="369"/>
    </row>
    <row r="3539" spans="3:13" s="59" customFormat="1" ht="22.2" customHeight="1">
      <c r="C3539" s="288" t="s">
        <v>1220</v>
      </c>
      <c r="D3539" s="76" t="s">
        <v>1321</v>
      </c>
      <c r="E3539" s="77"/>
      <c r="F3539" s="78"/>
      <c r="G3539" s="80">
        <v>0.1</v>
      </c>
      <c r="H3539" s="63">
        <f>H3538*G3539</f>
        <v>83100</v>
      </c>
      <c r="I3539" s="369"/>
    </row>
    <row r="3540" spans="3:13" s="59" customFormat="1" ht="22.2" customHeight="1">
      <c r="C3540" s="288" t="s">
        <v>1221</v>
      </c>
      <c r="D3540" s="76" t="s">
        <v>1222</v>
      </c>
      <c r="E3540" s="77"/>
      <c r="F3540" s="77"/>
      <c r="G3540" s="78"/>
      <c r="H3540" s="799">
        <f>SUM(H3538:H3539)</f>
        <v>914100</v>
      </c>
      <c r="I3540" s="369"/>
    </row>
    <row r="3541" spans="3:13" ht="22.2" customHeight="1"/>
    <row r="3542" spans="3:13" ht="22.2" customHeight="1">
      <c r="C3542" s="43" t="s">
        <v>5110</v>
      </c>
      <c r="D3542" s="128" t="s">
        <v>8682</v>
      </c>
      <c r="I3542" s="50">
        <f>ROUNDDOWN(H3557,-2)</f>
        <v>1350000</v>
      </c>
      <c r="J3542" s="122" t="s">
        <v>6451</v>
      </c>
      <c r="K3542" s="122" t="s">
        <v>8676</v>
      </c>
    </row>
    <row r="3543" spans="3:13" s="59" customFormat="1" ht="22.2" customHeight="1">
      <c r="C3543" s="591" t="s">
        <v>1195</v>
      </c>
      <c r="D3543" s="591" t="s">
        <v>1196</v>
      </c>
      <c r="E3543" s="591" t="s">
        <v>1197</v>
      </c>
      <c r="F3543" s="591" t="s">
        <v>1198</v>
      </c>
      <c r="G3543" s="591" t="s">
        <v>1199</v>
      </c>
      <c r="H3543" s="591" t="s">
        <v>1200</v>
      </c>
      <c r="I3543" s="44"/>
    </row>
    <row r="3544" spans="3:13" s="59" customFormat="1" ht="22.2" customHeight="1">
      <c r="C3544" s="61" t="s">
        <v>1201</v>
      </c>
      <c r="D3544" s="56" t="s">
        <v>1202</v>
      </c>
      <c r="E3544" s="57"/>
      <c r="F3544" s="57"/>
      <c r="G3544" s="57"/>
      <c r="H3544" s="57"/>
      <c r="I3544" s="44"/>
      <c r="J3544" s="152" t="s">
        <v>1247</v>
      </c>
    </row>
    <row r="3545" spans="3:13" s="59" customFormat="1" ht="22.2" customHeight="1">
      <c r="C3545" s="588">
        <v>1</v>
      </c>
      <c r="D3545" s="56" t="s">
        <v>5</v>
      </c>
      <c r="E3545" s="577" t="s">
        <v>6</v>
      </c>
      <c r="F3545" s="101">
        <v>3.4289999999999998</v>
      </c>
      <c r="G3545" s="63">
        <f>VLOOKUP(D3545,upahbahan,3,FALSE)</f>
        <v>100000</v>
      </c>
      <c r="H3545" s="63">
        <f>F3545*G3545</f>
        <v>342900</v>
      </c>
      <c r="I3545" s="44"/>
      <c r="J3545" s="152" t="s">
        <v>1248</v>
      </c>
      <c r="M3545" s="65">
        <v>0.1</v>
      </c>
    </row>
    <row r="3546" spans="3:13" s="59" customFormat="1" ht="22.2" customHeight="1">
      <c r="C3546" s="588">
        <v>2</v>
      </c>
      <c r="D3546" s="56" t="s">
        <v>10</v>
      </c>
      <c r="E3546" s="577" t="s">
        <v>6</v>
      </c>
      <c r="F3546" s="101">
        <v>1.7150000000000001</v>
      </c>
      <c r="G3546" s="63">
        <f>VLOOKUP(D3546,upahbahan,3,FALSE)</f>
        <v>135000</v>
      </c>
      <c r="H3546" s="63">
        <f>F3546*G3546</f>
        <v>231525</v>
      </c>
      <c r="I3546" s="44"/>
      <c r="J3546" s="152"/>
      <c r="M3546" s="65"/>
    </row>
    <row r="3547" spans="3:13" s="59" customFormat="1" ht="22.2" customHeight="1">
      <c r="C3547" s="588">
        <v>4</v>
      </c>
      <c r="D3547" s="56" t="s">
        <v>19</v>
      </c>
      <c r="E3547" s="577" t="s">
        <v>6</v>
      </c>
      <c r="F3547" s="101">
        <v>0.34300000000000003</v>
      </c>
      <c r="G3547" s="63">
        <f>VLOOKUP(D3547,upahbahan,3,FALSE)</f>
        <v>160000</v>
      </c>
      <c r="H3547" s="63">
        <f t="shared" ref="H3547" si="426">F3547*G3547</f>
        <v>54880.000000000007</v>
      </c>
      <c r="I3547" s="44"/>
    </row>
    <row r="3548" spans="3:13" s="59" customFormat="1" ht="22.2" customHeight="1">
      <c r="C3548" s="450" t="s">
        <v>1208</v>
      </c>
      <c r="D3548" s="67"/>
      <c r="E3548" s="67"/>
      <c r="F3548" s="142"/>
      <c r="G3548" s="153"/>
      <c r="H3548" s="63">
        <f>SUM(H3545:H3547)</f>
        <v>629305</v>
      </c>
      <c r="I3548" s="154"/>
    </row>
    <row r="3549" spans="3:13" s="59" customFormat="1" ht="22.2" customHeight="1">
      <c r="C3549" s="61" t="s">
        <v>1209</v>
      </c>
      <c r="D3549" s="56" t="s">
        <v>1210</v>
      </c>
      <c r="E3549" s="57"/>
      <c r="F3549" s="57"/>
      <c r="G3549" s="57"/>
      <c r="H3549" s="57"/>
      <c r="I3549" s="44"/>
    </row>
    <row r="3550" spans="3:13" s="59" customFormat="1" ht="22.2" customHeight="1">
      <c r="C3550" s="800">
        <v>1</v>
      </c>
      <c r="D3550" s="56" t="s">
        <v>8683</v>
      </c>
      <c r="E3550" s="93" t="s">
        <v>2167</v>
      </c>
      <c r="F3550" s="104">
        <v>1</v>
      </c>
      <c r="G3550" s="63">
        <f>VLOOKUP(D3550,upahbahan,3,FALSE)</f>
        <v>490000</v>
      </c>
      <c r="H3550" s="63">
        <f t="shared" ref="H3550" si="427">F3550*G3550</f>
        <v>490000</v>
      </c>
      <c r="I3550" s="44"/>
    </row>
    <row r="3551" spans="3:13" s="59" customFormat="1" ht="22.2" customHeight="1">
      <c r="C3551" s="450" t="s">
        <v>1214</v>
      </c>
      <c r="D3551" s="67"/>
      <c r="E3551" s="67"/>
      <c r="F3551" s="67"/>
      <c r="G3551" s="69"/>
      <c r="H3551" s="63">
        <f>SUM(H3549:H3550)</f>
        <v>490000</v>
      </c>
      <c r="I3551" s="44"/>
    </row>
    <row r="3552" spans="3:13" s="59" customFormat="1" ht="22.2" customHeight="1">
      <c r="C3552" s="61" t="s">
        <v>1215</v>
      </c>
      <c r="D3552" s="56" t="s">
        <v>1216</v>
      </c>
      <c r="E3552" s="93"/>
      <c r="F3552" s="57"/>
      <c r="G3552" s="57"/>
      <c r="H3552" s="57"/>
      <c r="I3552" s="44"/>
    </row>
    <row r="3553" spans="3:13" s="59" customFormat="1" ht="22.2" customHeight="1">
      <c r="C3553" s="800">
        <v>1</v>
      </c>
      <c r="D3553" s="56" t="s">
        <v>4770</v>
      </c>
      <c r="E3553" s="93" t="s">
        <v>1080</v>
      </c>
      <c r="F3553" s="104">
        <v>1</v>
      </c>
      <c r="G3553" s="63">
        <f>VLOOKUP(D3553,upahbahan,3,FALSE)</f>
        <v>108000</v>
      </c>
      <c r="H3553" s="63">
        <f t="shared" ref="H3553" si="428">F3553*G3553</f>
        <v>108000</v>
      </c>
      <c r="I3553" s="44"/>
    </row>
    <row r="3554" spans="3:13" s="59" customFormat="1" ht="22.2" customHeight="1">
      <c r="C3554" s="450" t="s">
        <v>1217</v>
      </c>
      <c r="D3554" s="67"/>
      <c r="E3554" s="67"/>
      <c r="F3554" s="67"/>
      <c r="G3554" s="69"/>
      <c r="H3554" s="882">
        <f>SUM(H3552:H3553)</f>
        <v>108000</v>
      </c>
      <c r="I3554" s="44"/>
    </row>
    <row r="3555" spans="3:13" s="59" customFormat="1" ht="22.2" customHeight="1">
      <c r="C3555" s="288" t="s">
        <v>1218</v>
      </c>
      <c r="D3555" s="76" t="s">
        <v>1219</v>
      </c>
      <c r="E3555" s="77"/>
      <c r="F3555" s="77"/>
      <c r="G3555" s="78"/>
      <c r="H3555" s="585">
        <f>H3554+H3551+H3548</f>
        <v>1227305</v>
      </c>
      <c r="I3555" s="369"/>
    </row>
    <row r="3556" spans="3:13" s="59" customFormat="1" ht="22.2" customHeight="1">
      <c r="C3556" s="288" t="s">
        <v>1220</v>
      </c>
      <c r="D3556" s="76" t="s">
        <v>1321</v>
      </c>
      <c r="E3556" s="77"/>
      <c r="F3556" s="78"/>
      <c r="G3556" s="80">
        <v>0.1</v>
      </c>
      <c r="H3556" s="63">
        <f>H3555*G3556</f>
        <v>122730.5</v>
      </c>
      <c r="I3556" s="369"/>
    </row>
    <row r="3557" spans="3:13" s="59" customFormat="1" ht="22.2" customHeight="1">
      <c r="C3557" s="288" t="s">
        <v>1221</v>
      </c>
      <c r="D3557" s="76" t="s">
        <v>1222</v>
      </c>
      <c r="E3557" s="77"/>
      <c r="F3557" s="77"/>
      <c r="G3557" s="78"/>
      <c r="H3557" s="799">
        <f>SUM(H3555:H3556)</f>
        <v>1350035.5</v>
      </c>
      <c r="I3557" s="369"/>
    </row>
    <row r="3558" spans="3:13" ht="22.2" customHeight="1"/>
    <row r="3559" spans="3:13" ht="22.2" customHeight="1">
      <c r="C3559" s="43" t="s">
        <v>5111</v>
      </c>
      <c r="D3559" s="128" t="s">
        <v>8684</v>
      </c>
      <c r="I3559" s="50">
        <f>ROUNDDOWN(H3574,-2)</f>
        <v>1451800</v>
      </c>
      <c r="J3559" s="122" t="s">
        <v>6451</v>
      </c>
      <c r="K3559" s="122" t="s">
        <v>8676</v>
      </c>
    </row>
    <row r="3560" spans="3:13" s="59" customFormat="1" ht="22.2" customHeight="1">
      <c r="C3560" s="591" t="s">
        <v>1195</v>
      </c>
      <c r="D3560" s="591" t="s">
        <v>1196</v>
      </c>
      <c r="E3560" s="591" t="s">
        <v>1197</v>
      </c>
      <c r="F3560" s="591" t="s">
        <v>1198</v>
      </c>
      <c r="G3560" s="591" t="s">
        <v>1199</v>
      </c>
      <c r="H3560" s="591" t="s">
        <v>1200</v>
      </c>
      <c r="I3560" s="44"/>
    </row>
    <row r="3561" spans="3:13" s="59" customFormat="1" ht="22.2" customHeight="1">
      <c r="C3561" s="61" t="s">
        <v>1201</v>
      </c>
      <c r="D3561" s="56" t="s">
        <v>1202</v>
      </c>
      <c r="E3561" s="57"/>
      <c r="F3561" s="57"/>
      <c r="G3561" s="57"/>
      <c r="H3561" s="57"/>
      <c r="I3561" s="44"/>
      <c r="J3561" s="152" t="s">
        <v>1247</v>
      </c>
    </row>
    <row r="3562" spans="3:13" s="59" customFormat="1" ht="22.2" customHeight="1">
      <c r="C3562" s="588">
        <v>1</v>
      </c>
      <c r="D3562" s="56" t="s">
        <v>5</v>
      </c>
      <c r="E3562" s="577" t="s">
        <v>6</v>
      </c>
      <c r="F3562" s="101">
        <v>3.7149999999999999</v>
      </c>
      <c r="G3562" s="63">
        <f>VLOOKUP(D3562,upahbahan,3,FALSE)</f>
        <v>100000</v>
      </c>
      <c r="H3562" s="63">
        <f>F3562*G3562</f>
        <v>371500</v>
      </c>
      <c r="I3562" s="44"/>
      <c r="J3562" s="152" t="s">
        <v>1248</v>
      </c>
      <c r="M3562" s="65">
        <v>0.1</v>
      </c>
    </row>
    <row r="3563" spans="3:13" s="59" customFormat="1" ht="22.2" customHeight="1">
      <c r="C3563" s="588">
        <v>2</v>
      </c>
      <c r="D3563" s="56" t="s">
        <v>10</v>
      </c>
      <c r="E3563" s="577" t="s">
        <v>6</v>
      </c>
      <c r="F3563" s="101">
        <v>1.8580000000000001</v>
      </c>
      <c r="G3563" s="63">
        <f>VLOOKUP(D3563,upahbahan,3,FALSE)</f>
        <v>135000</v>
      </c>
      <c r="H3563" s="63">
        <f>F3563*G3563</f>
        <v>250830</v>
      </c>
      <c r="I3563" s="44"/>
      <c r="J3563" s="152"/>
      <c r="M3563" s="65"/>
    </row>
    <row r="3564" spans="3:13" s="59" customFormat="1" ht="22.2" customHeight="1">
      <c r="C3564" s="588">
        <v>4</v>
      </c>
      <c r="D3564" s="56" t="s">
        <v>19</v>
      </c>
      <c r="E3564" s="577" t="s">
        <v>6</v>
      </c>
      <c r="F3564" s="101">
        <v>0.372</v>
      </c>
      <c r="G3564" s="63">
        <f>VLOOKUP(D3564,upahbahan,3,FALSE)</f>
        <v>160000</v>
      </c>
      <c r="H3564" s="63">
        <f t="shared" ref="H3564" si="429">F3564*G3564</f>
        <v>59520</v>
      </c>
      <c r="I3564" s="44"/>
    </row>
    <row r="3565" spans="3:13" s="59" customFormat="1" ht="22.2" customHeight="1">
      <c r="C3565" s="450" t="s">
        <v>1208</v>
      </c>
      <c r="D3565" s="67"/>
      <c r="E3565" s="67"/>
      <c r="F3565" s="142"/>
      <c r="G3565" s="153"/>
      <c r="H3565" s="63">
        <f>SUM(H3562:H3564)</f>
        <v>681850</v>
      </c>
      <c r="I3565" s="154"/>
    </row>
    <row r="3566" spans="3:13" s="59" customFormat="1" ht="22.2" customHeight="1">
      <c r="C3566" s="61" t="s">
        <v>1209</v>
      </c>
      <c r="D3566" s="56" t="s">
        <v>1210</v>
      </c>
      <c r="E3566" s="57"/>
      <c r="F3566" s="57"/>
      <c r="G3566" s="57"/>
      <c r="H3566" s="57"/>
      <c r="I3566" s="44"/>
    </row>
    <row r="3567" spans="3:13" s="59" customFormat="1" ht="22.2" customHeight="1">
      <c r="C3567" s="800">
        <v>1</v>
      </c>
      <c r="D3567" s="56" t="s">
        <v>8685</v>
      </c>
      <c r="E3567" s="93" t="s">
        <v>2167</v>
      </c>
      <c r="F3567" s="104">
        <v>1</v>
      </c>
      <c r="G3567" s="63">
        <f>VLOOKUP(D3567,upahbahan,3,FALSE)</f>
        <v>530000</v>
      </c>
      <c r="H3567" s="63">
        <f t="shared" ref="H3567" si="430">F3567*G3567</f>
        <v>530000</v>
      </c>
      <c r="I3567" s="44"/>
    </row>
    <row r="3568" spans="3:13" s="59" customFormat="1" ht="22.2" customHeight="1">
      <c r="C3568" s="450" t="s">
        <v>1214</v>
      </c>
      <c r="D3568" s="67"/>
      <c r="E3568" s="67"/>
      <c r="F3568" s="67"/>
      <c r="G3568" s="69"/>
      <c r="H3568" s="63">
        <f>SUM(H3566:H3567)</f>
        <v>530000</v>
      </c>
      <c r="I3568" s="44"/>
    </row>
    <row r="3569" spans="3:13" s="59" customFormat="1" ht="22.2" customHeight="1">
      <c r="C3569" s="61" t="s">
        <v>1215</v>
      </c>
      <c r="D3569" s="56" t="s">
        <v>1216</v>
      </c>
      <c r="E3569" s="93"/>
      <c r="F3569" s="57"/>
      <c r="G3569" s="57"/>
      <c r="H3569" s="57"/>
      <c r="I3569" s="44"/>
    </row>
    <row r="3570" spans="3:13" s="59" customFormat="1" ht="22.2" customHeight="1">
      <c r="C3570" s="800">
        <v>1</v>
      </c>
      <c r="D3570" s="56" t="s">
        <v>4770</v>
      </c>
      <c r="E3570" s="93" t="s">
        <v>1080</v>
      </c>
      <c r="F3570" s="104">
        <v>1</v>
      </c>
      <c r="G3570" s="63">
        <f>VLOOKUP(D3570,upahbahan,3,FALSE)</f>
        <v>108000</v>
      </c>
      <c r="H3570" s="63">
        <f t="shared" ref="H3570" si="431">F3570*G3570</f>
        <v>108000</v>
      </c>
      <c r="I3570" s="44"/>
    </row>
    <row r="3571" spans="3:13" s="59" customFormat="1" ht="22.2" customHeight="1">
      <c r="C3571" s="450" t="s">
        <v>1217</v>
      </c>
      <c r="D3571" s="67"/>
      <c r="E3571" s="67"/>
      <c r="F3571" s="67"/>
      <c r="G3571" s="69"/>
      <c r="H3571" s="882">
        <f>SUM(H3569:H3570)</f>
        <v>108000</v>
      </c>
      <c r="I3571" s="44"/>
    </row>
    <row r="3572" spans="3:13" s="59" customFormat="1" ht="22.2" customHeight="1">
      <c r="C3572" s="288" t="s">
        <v>1218</v>
      </c>
      <c r="D3572" s="76" t="s">
        <v>1219</v>
      </c>
      <c r="E3572" s="77"/>
      <c r="F3572" s="77"/>
      <c r="G3572" s="78"/>
      <c r="H3572" s="585">
        <f>H3571+H3568+H3565</f>
        <v>1319850</v>
      </c>
      <c r="I3572" s="369"/>
    </row>
    <row r="3573" spans="3:13" s="59" customFormat="1" ht="22.2" customHeight="1">
      <c r="C3573" s="288" t="s">
        <v>1220</v>
      </c>
      <c r="D3573" s="76" t="s">
        <v>1321</v>
      </c>
      <c r="E3573" s="77"/>
      <c r="F3573" s="78"/>
      <c r="G3573" s="80">
        <v>0.1</v>
      </c>
      <c r="H3573" s="63">
        <f>H3572*G3573</f>
        <v>131985</v>
      </c>
      <c r="I3573" s="369"/>
    </row>
    <row r="3574" spans="3:13" s="59" customFormat="1" ht="22.2" customHeight="1">
      <c r="C3574" s="288" t="s">
        <v>1221</v>
      </c>
      <c r="D3574" s="76" t="s">
        <v>1222</v>
      </c>
      <c r="E3574" s="77"/>
      <c r="F3574" s="77"/>
      <c r="G3574" s="78"/>
      <c r="H3574" s="799">
        <f>SUM(H3572:H3573)</f>
        <v>1451835</v>
      </c>
      <c r="I3574" s="369"/>
    </row>
    <row r="3575" spans="3:13" ht="22.2" customHeight="1"/>
    <row r="3576" spans="3:13" ht="22.2" customHeight="1">
      <c r="C3576" s="43" t="s">
        <v>5112</v>
      </c>
      <c r="D3576" s="128" t="s">
        <v>8686</v>
      </c>
      <c r="I3576" s="50">
        <f>ROUNDDOWN(H3591,-2)</f>
        <v>1575200</v>
      </c>
      <c r="J3576" s="122" t="s">
        <v>6451</v>
      </c>
      <c r="K3576" s="122" t="s">
        <v>8676</v>
      </c>
    </row>
    <row r="3577" spans="3:13" s="59" customFormat="1" ht="22.2" customHeight="1">
      <c r="C3577" s="591" t="s">
        <v>1195</v>
      </c>
      <c r="D3577" s="591" t="s">
        <v>1196</v>
      </c>
      <c r="E3577" s="591" t="s">
        <v>1197</v>
      </c>
      <c r="F3577" s="591" t="s">
        <v>1198</v>
      </c>
      <c r="G3577" s="591" t="s">
        <v>1199</v>
      </c>
      <c r="H3577" s="591" t="s">
        <v>1200</v>
      </c>
      <c r="I3577" s="44"/>
    </row>
    <row r="3578" spans="3:13" s="59" customFormat="1" ht="22.2" customHeight="1">
      <c r="C3578" s="61" t="s">
        <v>1201</v>
      </c>
      <c r="D3578" s="56" t="s">
        <v>1202</v>
      </c>
      <c r="E3578" s="57"/>
      <c r="F3578" s="57"/>
      <c r="G3578" s="57"/>
      <c r="H3578" s="57"/>
      <c r="I3578" s="44"/>
      <c r="J3578" s="152" t="s">
        <v>1247</v>
      </c>
    </row>
    <row r="3579" spans="3:13" s="59" customFormat="1" ht="22.2" customHeight="1">
      <c r="C3579" s="588">
        <v>1</v>
      </c>
      <c r="D3579" s="56" t="s">
        <v>5</v>
      </c>
      <c r="E3579" s="577" t="s">
        <v>6</v>
      </c>
      <c r="F3579" s="101">
        <v>4</v>
      </c>
      <c r="G3579" s="63">
        <f>VLOOKUP(D3579,upahbahan,3,FALSE)</f>
        <v>100000</v>
      </c>
      <c r="H3579" s="63">
        <f>F3579*G3579</f>
        <v>400000</v>
      </c>
      <c r="I3579" s="44"/>
      <c r="J3579" s="152" t="s">
        <v>1248</v>
      </c>
      <c r="M3579" s="65">
        <v>0.1</v>
      </c>
    </row>
    <row r="3580" spans="3:13" s="59" customFormat="1" ht="22.2" customHeight="1">
      <c r="C3580" s="588">
        <v>2</v>
      </c>
      <c r="D3580" s="56" t="s">
        <v>10</v>
      </c>
      <c r="E3580" s="577" t="s">
        <v>6</v>
      </c>
      <c r="F3580" s="101">
        <v>2</v>
      </c>
      <c r="G3580" s="63">
        <f>VLOOKUP(D3580,upahbahan,3,FALSE)</f>
        <v>135000</v>
      </c>
      <c r="H3580" s="63">
        <f>F3580*G3580</f>
        <v>270000</v>
      </c>
      <c r="I3580" s="44"/>
      <c r="J3580" s="152"/>
      <c r="M3580" s="65"/>
    </row>
    <row r="3581" spans="3:13" s="59" customFormat="1" ht="22.2" customHeight="1">
      <c r="C3581" s="588">
        <v>4</v>
      </c>
      <c r="D3581" s="56" t="s">
        <v>19</v>
      </c>
      <c r="E3581" s="577" t="s">
        <v>6</v>
      </c>
      <c r="F3581" s="101">
        <v>0.4</v>
      </c>
      <c r="G3581" s="63">
        <f>VLOOKUP(D3581,upahbahan,3,FALSE)</f>
        <v>160000</v>
      </c>
      <c r="H3581" s="63">
        <f t="shared" ref="H3581" si="432">F3581*G3581</f>
        <v>64000</v>
      </c>
      <c r="I3581" s="44"/>
    </row>
    <row r="3582" spans="3:13" s="59" customFormat="1" ht="22.2" customHeight="1">
      <c r="C3582" s="450" t="s">
        <v>1208</v>
      </c>
      <c r="D3582" s="67"/>
      <c r="E3582" s="67"/>
      <c r="F3582" s="142"/>
      <c r="G3582" s="153"/>
      <c r="H3582" s="63">
        <f>SUM(H3579:H3581)</f>
        <v>734000</v>
      </c>
      <c r="I3582" s="154"/>
    </row>
    <row r="3583" spans="3:13" s="59" customFormat="1" ht="22.2" customHeight="1">
      <c r="C3583" s="61" t="s">
        <v>1209</v>
      </c>
      <c r="D3583" s="56" t="s">
        <v>1210</v>
      </c>
      <c r="E3583" s="57"/>
      <c r="F3583" s="57"/>
      <c r="G3583" s="57"/>
      <c r="H3583" s="57"/>
      <c r="I3583" s="44"/>
    </row>
    <row r="3584" spans="3:13" s="59" customFormat="1" ht="22.2" customHeight="1">
      <c r="C3584" s="800">
        <v>1</v>
      </c>
      <c r="D3584" s="56" t="s">
        <v>8687</v>
      </c>
      <c r="E3584" s="93" t="s">
        <v>2167</v>
      </c>
      <c r="F3584" s="104">
        <v>1</v>
      </c>
      <c r="G3584" s="63">
        <f>VLOOKUP(D3584,upahbahan,3,FALSE)</f>
        <v>590000</v>
      </c>
      <c r="H3584" s="63">
        <f t="shared" ref="H3584" si="433">F3584*G3584</f>
        <v>590000</v>
      </c>
      <c r="I3584" s="44"/>
    </row>
    <row r="3585" spans="3:13" s="59" customFormat="1" ht="22.2" customHeight="1">
      <c r="C3585" s="450" t="s">
        <v>1214</v>
      </c>
      <c r="D3585" s="67"/>
      <c r="E3585" s="67"/>
      <c r="F3585" s="67"/>
      <c r="G3585" s="69"/>
      <c r="H3585" s="63">
        <f>SUM(H3583:H3584)</f>
        <v>590000</v>
      </c>
      <c r="I3585" s="44"/>
    </row>
    <row r="3586" spans="3:13" s="59" customFormat="1" ht="22.2" customHeight="1">
      <c r="C3586" s="61" t="s">
        <v>1215</v>
      </c>
      <c r="D3586" s="56" t="s">
        <v>1216</v>
      </c>
      <c r="E3586" s="93"/>
      <c r="F3586" s="57"/>
      <c r="G3586" s="57"/>
      <c r="H3586" s="57"/>
      <c r="I3586" s="44"/>
    </row>
    <row r="3587" spans="3:13" s="59" customFormat="1" ht="22.2" customHeight="1">
      <c r="C3587" s="800">
        <v>1</v>
      </c>
      <c r="D3587" s="56" t="s">
        <v>4770</v>
      </c>
      <c r="E3587" s="93" t="s">
        <v>1080</v>
      </c>
      <c r="F3587" s="104">
        <v>1</v>
      </c>
      <c r="G3587" s="63">
        <f>VLOOKUP(D3587,upahbahan,3,FALSE)</f>
        <v>108000</v>
      </c>
      <c r="H3587" s="63">
        <f t="shared" ref="H3587" si="434">F3587*G3587</f>
        <v>108000</v>
      </c>
      <c r="I3587" s="44"/>
    </row>
    <row r="3588" spans="3:13" s="59" customFormat="1" ht="22.2" customHeight="1">
      <c r="C3588" s="450" t="s">
        <v>1217</v>
      </c>
      <c r="D3588" s="67"/>
      <c r="E3588" s="67"/>
      <c r="F3588" s="67"/>
      <c r="G3588" s="69"/>
      <c r="H3588" s="882">
        <f>SUM(H3586:H3587)</f>
        <v>108000</v>
      </c>
      <c r="I3588" s="44"/>
    </row>
    <row r="3589" spans="3:13" s="59" customFormat="1" ht="22.2" customHeight="1">
      <c r="C3589" s="288" t="s">
        <v>1218</v>
      </c>
      <c r="D3589" s="76" t="s">
        <v>1219</v>
      </c>
      <c r="E3589" s="77"/>
      <c r="F3589" s="77"/>
      <c r="G3589" s="78"/>
      <c r="H3589" s="585">
        <f>H3588+H3585+H3582</f>
        <v>1432000</v>
      </c>
      <c r="I3589" s="369"/>
    </row>
    <row r="3590" spans="3:13" s="59" customFormat="1" ht="22.2" customHeight="1">
      <c r="C3590" s="288" t="s">
        <v>1220</v>
      </c>
      <c r="D3590" s="76" t="s">
        <v>1321</v>
      </c>
      <c r="E3590" s="77"/>
      <c r="F3590" s="78"/>
      <c r="G3590" s="80">
        <v>0.1</v>
      </c>
      <c r="H3590" s="63">
        <f>H3589*G3590</f>
        <v>143200</v>
      </c>
      <c r="I3590" s="369"/>
    </row>
    <row r="3591" spans="3:13" s="59" customFormat="1" ht="22.2" customHeight="1">
      <c r="C3591" s="288" t="s">
        <v>1221</v>
      </c>
      <c r="D3591" s="76" t="s">
        <v>1222</v>
      </c>
      <c r="E3591" s="77"/>
      <c r="F3591" s="77"/>
      <c r="G3591" s="78"/>
      <c r="H3591" s="799">
        <f>SUM(H3589:H3590)</f>
        <v>1575200</v>
      </c>
      <c r="I3591" s="369"/>
    </row>
    <row r="3592" spans="3:13" ht="22.2" customHeight="1"/>
    <row r="3593" spans="3:13" ht="22.2" customHeight="1">
      <c r="C3593" s="43" t="s">
        <v>5113</v>
      </c>
      <c r="D3593" s="128" t="s">
        <v>8688</v>
      </c>
      <c r="I3593" s="50">
        <f>ROUNDDOWN(H3609,-2)</f>
        <v>1538000</v>
      </c>
      <c r="J3593" s="122" t="s">
        <v>6451</v>
      </c>
      <c r="K3593" s="122" t="s">
        <v>8676</v>
      </c>
    </row>
    <row r="3594" spans="3:13" s="59" customFormat="1" ht="22.2" customHeight="1">
      <c r="C3594" s="591" t="s">
        <v>1195</v>
      </c>
      <c r="D3594" s="591" t="s">
        <v>1196</v>
      </c>
      <c r="E3594" s="591" t="s">
        <v>1197</v>
      </c>
      <c r="F3594" s="591" t="s">
        <v>1198</v>
      </c>
      <c r="G3594" s="591" t="s">
        <v>1199</v>
      </c>
      <c r="H3594" s="591" t="s">
        <v>1200</v>
      </c>
      <c r="I3594" s="44"/>
    </row>
    <row r="3595" spans="3:13" s="59" customFormat="1" ht="22.2" customHeight="1">
      <c r="C3595" s="61" t="s">
        <v>1201</v>
      </c>
      <c r="D3595" s="56" t="s">
        <v>1202</v>
      </c>
      <c r="E3595" s="57"/>
      <c r="F3595" s="57"/>
      <c r="G3595" s="57"/>
      <c r="H3595" s="57"/>
      <c r="I3595" s="44"/>
      <c r="J3595" s="152" t="s">
        <v>1247</v>
      </c>
    </row>
    <row r="3596" spans="3:13" s="59" customFormat="1" ht="22.2" customHeight="1">
      <c r="C3596" s="588">
        <v>1</v>
      </c>
      <c r="D3596" s="56" t="s">
        <v>5</v>
      </c>
      <c r="E3596" s="577" t="s">
        <v>6</v>
      </c>
      <c r="F3596" s="101">
        <v>1.421</v>
      </c>
      <c r="G3596" s="63">
        <f>VLOOKUP(D3596,upahbahan,3,FALSE)</f>
        <v>100000</v>
      </c>
      <c r="H3596" s="63">
        <f>F3596*G3596</f>
        <v>142100</v>
      </c>
      <c r="I3596" s="44"/>
      <c r="J3596" s="152" t="s">
        <v>1248</v>
      </c>
      <c r="M3596" s="65">
        <v>0.1</v>
      </c>
    </row>
    <row r="3597" spans="3:13" s="59" customFormat="1" ht="22.2" customHeight="1">
      <c r="C3597" s="588">
        <v>2</v>
      </c>
      <c r="D3597" s="56" t="s">
        <v>10</v>
      </c>
      <c r="E3597" s="577" t="s">
        <v>6</v>
      </c>
      <c r="F3597" s="101">
        <v>0.71099999999999997</v>
      </c>
      <c r="G3597" s="63">
        <f>VLOOKUP(D3597,upahbahan,3,FALSE)</f>
        <v>135000</v>
      </c>
      <c r="H3597" s="63">
        <f>F3597*G3597</f>
        <v>95985</v>
      </c>
      <c r="I3597" s="44"/>
      <c r="J3597" s="152"/>
      <c r="M3597" s="65"/>
    </row>
    <row r="3598" spans="3:13" s="59" customFormat="1" ht="22.2" customHeight="1">
      <c r="C3598" s="588">
        <v>4</v>
      </c>
      <c r="D3598" s="56" t="s">
        <v>19</v>
      </c>
      <c r="E3598" s="577" t="s">
        <v>6</v>
      </c>
      <c r="F3598" s="101">
        <v>0.14199999999999999</v>
      </c>
      <c r="G3598" s="63">
        <f>VLOOKUP(D3598,upahbahan,3,FALSE)</f>
        <v>160000</v>
      </c>
      <c r="H3598" s="63">
        <f t="shared" ref="H3598" si="435">F3598*G3598</f>
        <v>22719.999999999996</v>
      </c>
      <c r="I3598" s="44"/>
    </row>
    <row r="3599" spans="3:13" s="59" customFormat="1" ht="22.2" customHeight="1">
      <c r="C3599" s="450" t="s">
        <v>1208</v>
      </c>
      <c r="D3599" s="67"/>
      <c r="E3599" s="67"/>
      <c r="F3599" s="142"/>
      <c r="G3599" s="153"/>
      <c r="H3599" s="63">
        <f>SUM(H3596:H3598)</f>
        <v>260805</v>
      </c>
      <c r="I3599" s="154"/>
    </row>
    <row r="3600" spans="3:13" s="59" customFormat="1" ht="22.2" customHeight="1">
      <c r="C3600" s="61" t="s">
        <v>1209</v>
      </c>
      <c r="D3600" s="56" t="s">
        <v>1210</v>
      </c>
      <c r="E3600" s="57"/>
      <c r="F3600" s="57"/>
      <c r="G3600" s="57"/>
      <c r="H3600" s="57"/>
      <c r="I3600" s="44"/>
    </row>
    <row r="3601" spans="3:13" s="59" customFormat="1" ht="22.2" customHeight="1">
      <c r="C3601" s="800">
        <v>1</v>
      </c>
      <c r="D3601" s="56" t="s">
        <v>8689</v>
      </c>
      <c r="E3601" s="93" t="s">
        <v>2167</v>
      </c>
      <c r="F3601" s="104">
        <v>1</v>
      </c>
      <c r="G3601" s="63">
        <f>VLOOKUP(D3601,upahbahan,3,FALSE)</f>
        <v>670000</v>
      </c>
      <c r="H3601" s="63">
        <f t="shared" ref="H3601" si="436">F3601*G3601</f>
        <v>670000</v>
      </c>
      <c r="I3601" s="44"/>
    </row>
    <row r="3602" spans="3:13" s="59" customFormat="1" ht="22.2" customHeight="1">
      <c r="C3602" s="450" t="s">
        <v>1214</v>
      </c>
      <c r="D3602" s="67"/>
      <c r="E3602" s="67"/>
      <c r="F3602" s="67"/>
      <c r="G3602" s="69"/>
      <c r="H3602" s="63">
        <f>SUM(H3600:H3601)</f>
        <v>670000</v>
      </c>
      <c r="I3602" s="44"/>
    </row>
    <row r="3603" spans="3:13" s="59" customFormat="1" ht="22.2" customHeight="1">
      <c r="C3603" s="61" t="s">
        <v>1215</v>
      </c>
      <c r="D3603" s="56" t="s">
        <v>1216</v>
      </c>
      <c r="E3603" s="93"/>
      <c r="F3603" s="57"/>
      <c r="G3603" s="57"/>
      <c r="H3603" s="57"/>
      <c r="I3603" s="44"/>
    </row>
    <row r="3604" spans="3:13" s="59" customFormat="1" ht="22.2" customHeight="1">
      <c r="C3604" s="800">
        <v>1</v>
      </c>
      <c r="D3604" s="56" t="s">
        <v>4770</v>
      </c>
      <c r="E3604" s="93" t="s">
        <v>1080</v>
      </c>
      <c r="F3604" s="104">
        <v>0.3</v>
      </c>
      <c r="G3604" s="63">
        <f>VLOOKUP(D3604,upahbahan,3,FALSE)</f>
        <v>108000</v>
      </c>
      <c r="H3604" s="63">
        <f t="shared" ref="H3604" si="437">F3604*G3604</f>
        <v>32400</v>
      </c>
      <c r="I3604" s="44"/>
    </row>
    <row r="3605" spans="3:13" s="59" customFormat="1" ht="22.2" customHeight="1">
      <c r="C3605" s="800">
        <v>1</v>
      </c>
      <c r="D3605" s="56" t="s">
        <v>1181</v>
      </c>
      <c r="E3605" s="93" t="s">
        <v>1080</v>
      </c>
      <c r="F3605" s="104">
        <v>0.3</v>
      </c>
      <c r="G3605" s="63">
        <f>VLOOKUP(D3605,upahbahan,3,FALSE)</f>
        <v>1450000</v>
      </c>
      <c r="H3605" s="63">
        <f t="shared" ref="H3605" si="438">F3605*G3605</f>
        <v>435000</v>
      </c>
      <c r="I3605" s="44"/>
    </row>
    <row r="3606" spans="3:13" s="59" customFormat="1" ht="22.2" customHeight="1">
      <c r="C3606" s="450" t="s">
        <v>1217</v>
      </c>
      <c r="D3606" s="67"/>
      <c r="E3606" s="67"/>
      <c r="F3606" s="67"/>
      <c r="G3606" s="69"/>
      <c r="H3606" s="882">
        <f>SUM(H3603:H3605)</f>
        <v>467400</v>
      </c>
      <c r="I3606" s="44"/>
    </row>
    <row r="3607" spans="3:13" s="59" customFormat="1" ht="22.2" customHeight="1">
      <c r="C3607" s="288" t="s">
        <v>1218</v>
      </c>
      <c r="D3607" s="76" t="s">
        <v>1219</v>
      </c>
      <c r="E3607" s="77"/>
      <c r="F3607" s="77"/>
      <c r="G3607" s="78"/>
      <c r="H3607" s="585">
        <f>H3606+H3602+H3599</f>
        <v>1398205</v>
      </c>
      <c r="I3607" s="369"/>
    </row>
    <row r="3608" spans="3:13" s="59" customFormat="1" ht="22.2" customHeight="1">
      <c r="C3608" s="288" t="s">
        <v>1220</v>
      </c>
      <c r="D3608" s="76" t="s">
        <v>1321</v>
      </c>
      <c r="E3608" s="77"/>
      <c r="F3608" s="78"/>
      <c r="G3608" s="80">
        <v>0.1</v>
      </c>
      <c r="H3608" s="63">
        <f>H3607*G3608</f>
        <v>139820.5</v>
      </c>
      <c r="I3608" s="369"/>
    </row>
    <row r="3609" spans="3:13" s="59" customFormat="1" ht="22.2" customHeight="1">
      <c r="C3609" s="288" t="s">
        <v>1221</v>
      </c>
      <c r="D3609" s="76" t="s">
        <v>1222</v>
      </c>
      <c r="E3609" s="77"/>
      <c r="F3609" s="77"/>
      <c r="G3609" s="78"/>
      <c r="H3609" s="799">
        <f>SUM(H3607:H3608)</f>
        <v>1538025.5</v>
      </c>
      <c r="I3609" s="369"/>
    </row>
    <row r="3610" spans="3:13" ht="22.2" customHeight="1"/>
    <row r="3611" spans="3:13" ht="22.2" customHeight="1">
      <c r="C3611" s="43" t="s">
        <v>5114</v>
      </c>
      <c r="D3611" s="128" t="s">
        <v>8690</v>
      </c>
      <c r="I3611" s="50">
        <f>ROUNDDOWN(H3627,-2)</f>
        <v>2005700</v>
      </c>
      <c r="J3611" s="122" t="s">
        <v>6451</v>
      </c>
      <c r="K3611" s="122" t="s">
        <v>8676</v>
      </c>
    </row>
    <row r="3612" spans="3:13" s="59" customFormat="1" ht="22.2" customHeight="1">
      <c r="C3612" s="591" t="s">
        <v>1195</v>
      </c>
      <c r="D3612" s="591" t="s">
        <v>1196</v>
      </c>
      <c r="E3612" s="591" t="s">
        <v>1197</v>
      </c>
      <c r="F3612" s="591" t="s">
        <v>1198</v>
      </c>
      <c r="G3612" s="591" t="s">
        <v>1199</v>
      </c>
      <c r="H3612" s="591" t="s">
        <v>1200</v>
      </c>
      <c r="I3612" s="44"/>
    </row>
    <row r="3613" spans="3:13" s="59" customFormat="1" ht="22.2" customHeight="1">
      <c r="C3613" s="61" t="s">
        <v>1201</v>
      </c>
      <c r="D3613" s="56" t="s">
        <v>1202</v>
      </c>
      <c r="E3613" s="57"/>
      <c r="F3613" s="57"/>
      <c r="G3613" s="57"/>
      <c r="H3613" s="57"/>
      <c r="I3613" s="44"/>
      <c r="J3613" s="152" t="s">
        <v>1247</v>
      </c>
    </row>
    <row r="3614" spans="3:13" s="59" customFormat="1" ht="22.2" customHeight="1">
      <c r="C3614" s="588">
        <v>1</v>
      </c>
      <c r="D3614" s="56" t="s">
        <v>5</v>
      </c>
      <c r="E3614" s="577" t="s">
        <v>6</v>
      </c>
      <c r="F3614" s="101">
        <v>1.6040000000000001</v>
      </c>
      <c r="G3614" s="63">
        <f>VLOOKUP(D3614,upahbahan,3,FALSE)</f>
        <v>100000</v>
      </c>
      <c r="H3614" s="63">
        <f>F3614*G3614</f>
        <v>160400</v>
      </c>
      <c r="I3614" s="44"/>
      <c r="J3614" s="152" t="s">
        <v>1248</v>
      </c>
      <c r="M3614" s="65">
        <v>0.1</v>
      </c>
    </row>
    <row r="3615" spans="3:13" s="59" customFormat="1" ht="22.2" customHeight="1">
      <c r="C3615" s="588">
        <v>2</v>
      </c>
      <c r="D3615" s="56" t="s">
        <v>10</v>
      </c>
      <c r="E3615" s="577" t="s">
        <v>6</v>
      </c>
      <c r="F3615" s="101">
        <v>0.80200000000000005</v>
      </c>
      <c r="G3615" s="63">
        <f>VLOOKUP(D3615,upahbahan,3,FALSE)</f>
        <v>135000</v>
      </c>
      <c r="H3615" s="63">
        <f>F3615*G3615</f>
        <v>108270</v>
      </c>
      <c r="I3615" s="44"/>
      <c r="J3615" s="152"/>
      <c r="M3615" s="65"/>
    </row>
    <row r="3616" spans="3:13" s="59" customFormat="1" ht="22.2" customHeight="1">
      <c r="C3616" s="588">
        <v>4</v>
      </c>
      <c r="D3616" s="56" t="s">
        <v>19</v>
      </c>
      <c r="E3616" s="577" t="s">
        <v>6</v>
      </c>
      <c r="F3616" s="101">
        <v>0.161</v>
      </c>
      <c r="G3616" s="63">
        <f>VLOOKUP(D3616,upahbahan,3,FALSE)</f>
        <v>160000</v>
      </c>
      <c r="H3616" s="63">
        <f t="shared" ref="H3616" si="439">F3616*G3616</f>
        <v>25760</v>
      </c>
      <c r="I3616" s="44"/>
    </row>
    <row r="3617" spans="3:13" s="59" customFormat="1" ht="22.2" customHeight="1">
      <c r="C3617" s="450" t="s">
        <v>1208</v>
      </c>
      <c r="D3617" s="67"/>
      <c r="E3617" s="67"/>
      <c r="F3617" s="142"/>
      <c r="G3617" s="153"/>
      <c r="H3617" s="63">
        <f>SUM(H3614:H3616)</f>
        <v>294430</v>
      </c>
      <c r="I3617" s="154"/>
    </row>
    <row r="3618" spans="3:13" s="59" customFormat="1" ht="22.2" customHeight="1">
      <c r="C3618" s="61" t="s">
        <v>1209</v>
      </c>
      <c r="D3618" s="56" t="s">
        <v>1210</v>
      </c>
      <c r="E3618" s="57"/>
      <c r="F3618" s="57"/>
      <c r="G3618" s="57"/>
      <c r="H3618" s="57"/>
      <c r="I3618" s="44"/>
    </row>
    <row r="3619" spans="3:13" s="59" customFormat="1" ht="22.2" customHeight="1">
      <c r="C3619" s="800">
        <v>1</v>
      </c>
      <c r="D3619" s="56" t="s">
        <v>8691</v>
      </c>
      <c r="E3619" s="93" t="s">
        <v>2167</v>
      </c>
      <c r="F3619" s="104">
        <v>1</v>
      </c>
      <c r="G3619" s="63">
        <f>VLOOKUP(D3619,upahbahan,3,FALSE)</f>
        <v>750000</v>
      </c>
      <c r="H3619" s="63">
        <f t="shared" ref="H3619" si="440">F3619*G3619</f>
        <v>750000</v>
      </c>
      <c r="I3619" s="44"/>
    </row>
    <row r="3620" spans="3:13" s="59" customFormat="1" ht="22.2" customHeight="1">
      <c r="C3620" s="450" t="s">
        <v>1214</v>
      </c>
      <c r="D3620" s="67"/>
      <c r="E3620" s="67"/>
      <c r="F3620" s="67"/>
      <c r="G3620" s="69"/>
      <c r="H3620" s="63">
        <f>SUM(H3618:H3619)</f>
        <v>750000</v>
      </c>
      <c r="I3620" s="44"/>
    </row>
    <row r="3621" spans="3:13" s="59" customFormat="1" ht="22.2" customHeight="1">
      <c r="C3621" s="61" t="s">
        <v>1215</v>
      </c>
      <c r="D3621" s="56" t="s">
        <v>1216</v>
      </c>
      <c r="E3621" s="93"/>
      <c r="F3621" s="57"/>
      <c r="G3621" s="57"/>
      <c r="H3621" s="57"/>
      <c r="I3621" s="44"/>
    </row>
    <row r="3622" spans="3:13" s="59" customFormat="1" ht="22.2" customHeight="1">
      <c r="C3622" s="800">
        <v>1</v>
      </c>
      <c r="D3622" s="56" t="s">
        <v>4770</v>
      </c>
      <c r="E3622" s="93" t="s">
        <v>1080</v>
      </c>
      <c r="F3622" s="104">
        <v>0.5</v>
      </c>
      <c r="G3622" s="63">
        <f>VLOOKUP(D3622,upahbahan,3,FALSE)</f>
        <v>108000</v>
      </c>
      <c r="H3622" s="63">
        <f t="shared" ref="H3622:H3623" si="441">F3622*G3622</f>
        <v>54000</v>
      </c>
      <c r="I3622" s="44"/>
    </row>
    <row r="3623" spans="3:13" s="59" customFormat="1" ht="22.2" customHeight="1">
      <c r="C3623" s="800">
        <v>1</v>
      </c>
      <c r="D3623" s="56" t="s">
        <v>1181</v>
      </c>
      <c r="E3623" s="93" t="s">
        <v>1080</v>
      </c>
      <c r="F3623" s="104">
        <v>0.5</v>
      </c>
      <c r="G3623" s="63">
        <f>VLOOKUP(D3623,upahbahan,3,FALSE)</f>
        <v>1450000</v>
      </c>
      <c r="H3623" s="63">
        <f t="shared" si="441"/>
        <v>725000</v>
      </c>
      <c r="I3623" s="44"/>
    </row>
    <row r="3624" spans="3:13" s="59" customFormat="1" ht="22.2" customHeight="1">
      <c r="C3624" s="450" t="s">
        <v>1217</v>
      </c>
      <c r="D3624" s="67"/>
      <c r="E3624" s="67"/>
      <c r="F3624" s="67"/>
      <c r="G3624" s="69"/>
      <c r="H3624" s="882">
        <f>SUM(H3621:H3623)</f>
        <v>779000</v>
      </c>
      <c r="I3624" s="44"/>
    </row>
    <row r="3625" spans="3:13" s="59" customFormat="1" ht="22.2" customHeight="1">
      <c r="C3625" s="288" t="s">
        <v>1218</v>
      </c>
      <c r="D3625" s="76" t="s">
        <v>1219</v>
      </c>
      <c r="E3625" s="77"/>
      <c r="F3625" s="77"/>
      <c r="G3625" s="78"/>
      <c r="H3625" s="585">
        <f>H3624+H3620+H3617</f>
        <v>1823430</v>
      </c>
      <c r="I3625" s="369"/>
    </row>
    <row r="3626" spans="3:13" s="59" customFormat="1" ht="22.2" customHeight="1">
      <c r="C3626" s="288" t="s">
        <v>1220</v>
      </c>
      <c r="D3626" s="76" t="s">
        <v>1321</v>
      </c>
      <c r="E3626" s="77"/>
      <c r="F3626" s="78"/>
      <c r="G3626" s="80">
        <v>0.1</v>
      </c>
      <c r="H3626" s="63">
        <f>H3625*G3626</f>
        <v>182343</v>
      </c>
      <c r="I3626" s="369"/>
    </row>
    <row r="3627" spans="3:13" s="59" customFormat="1" ht="22.2" customHeight="1">
      <c r="C3627" s="288" t="s">
        <v>1221</v>
      </c>
      <c r="D3627" s="76" t="s">
        <v>1222</v>
      </c>
      <c r="E3627" s="77"/>
      <c r="F3627" s="77"/>
      <c r="G3627" s="78"/>
      <c r="H3627" s="799">
        <f>SUM(H3625:H3626)</f>
        <v>2005773</v>
      </c>
      <c r="I3627" s="369"/>
    </row>
    <row r="3628" spans="3:13" ht="22.2" customHeight="1"/>
    <row r="3629" spans="3:13" ht="22.2" customHeight="1">
      <c r="C3629" s="43" t="s">
        <v>5115</v>
      </c>
      <c r="D3629" s="128" t="s">
        <v>8692</v>
      </c>
      <c r="I3629" s="50">
        <f>ROUNDDOWN(H3645,-2)</f>
        <v>2108400</v>
      </c>
      <c r="J3629" s="122" t="s">
        <v>6451</v>
      </c>
      <c r="K3629" s="122" t="s">
        <v>8676</v>
      </c>
    </row>
    <row r="3630" spans="3:13" s="59" customFormat="1" ht="22.2" customHeight="1">
      <c r="C3630" s="591" t="s">
        <v>1195</v>
      </c>
      <c r="D3630" s="591" t="s">
        <v>1196</v>
      </c>
      <c r="E3630" s="591" t="s">
        <v>1197</v>
      </c>
      <c r="F3630" s="591" t="s">
        <v>1198</v>
      </c>
      <c r="G3630" s="591" t="s">
        <v>1199</v>
      </c>
      <c r="H3630" s="591" t="s">
        <v>1200</v>
      </c>
      <c r="I3630" s="44"/>
    </row>
    <row r="3631" spans="3:13" s="59" customFormat="1" ht="22.2" customHeight="1">
      <c r="C3631" s="61" t="s">
        <v>1201</v>
      </c>
      <c r="D3631" s="56" t="s">
        <v>1202</v>
      </c>
      <c r="E3631" s="57"/>
      <c r="F3631" s="57"/>
      <c r="G3631" s="57"/>
      <c r="H3631" s="57"/>
      <c r="I3631" s="44"/>
      <c r="J3631" s="152" t="s">
        <v>1247</v>
      </c>
    </row>
    <row r="3632" spans="3:13" s="59" customFormat="1" ht="22.2" customHeight="1">
      <c r="C3632" s="588">
        <v>1</v>
      </c>
      <c r="D3632" s="56" t="s">
        <v>5</v>
      </c>
      <c r="E3632" s="577" t="s">
        <v>6</v>
      </c>
      <c r="F3632" s="101">
        <v>1.786</v>
      </c>
      <c r="G3632" s="63">
        <f>VLOOKUP(D3632,upahbahan,3,FALSE)</f>
        <v>100000</v>
      </c>
      <c r="H3632" s="63">
        <f>F3632*G3632</f>
        <v>178600</v>
      </c>
      <c r="I3632" s="44"/>
      <c r="J3632" s="152" t="s">
        <v>1248</v>
      </c>
      <c r="M3632" s="65">
        <v>0.1</v>
      </c>
    </row>
    <row r="3633" spans="3:13" s="59" customFormat="1" ht="22.2" customHeight="1">
      <c r="C3633" s="588">
        <v>2</v>
      </c>
      <c r="D3633" s="56" t="s">
        <v>10</v>
      </c>
      <c r="E3633" s="577" t="s">
        <v>6</v>
      </c>
      <c r="F3633" s="101">
        <v>0.89300000000000002</v>
      </c>
      <c r="G3633" s="63">
        <f>VLOOKUP(D3633,upahbahan,3,FALSE)</f>
        <v>135000</v>
      </c>
      <c r="H3633" s="63">
        <f>F3633*G3633</f>
        <v>120555</v>
      </c>
      <c r="I3633" s="44"/>
      <c r="J3633" s="152"/>
      <c r="M3633" s="65"/>
    </row>
    <row r="3634" spans="3:13" s="59" customFormat="1" ht="22.2" customHeight="1">
      <c r="C3634" s="588">
        <v>4</v>
      </c>
      <c r="D3634" s="56" t="s">
        <v>19</v>
      </c>
      <c r="E3634" s="577" t="s">
        <v>6</v>
      </c>
      <c r="F3634" s="101">
        <v>0.17899999999999999</v>
      </c>
      <c r="G3634" s="63">
        <f>VLOOKUP(D3634,upahbahan,3,FALSE)</f>
        <v>160000</v>
      </c>
      <c r="H3634" s="63">
        <f t="shared" ref="H3634" si="442">F3634*G3634</f>
        <v>28640</v>
      </c>
      <c r="I3634" s="44"/>
    </row>
    <row r="3635" spans="3:13" s="59" customFormat="1" ht="22.2" customHeight="1">
      <c r="C3635" s="450" t="s">
        <v>1208</v>
      </c>
      <c r="D3635" s="67"/>
      <c r="E3635" s="67"/>
      <c r="F3635" s="142"/>
      <c r="G3635" s="153"/>
      <c r="H3635" s="63">
        <f>SUM(H3632:H3634)</f>
        <v>327795</v>
      </c>
      <c r="I3635" s="154"/>
    </row>
    <row r="3636" spans="3:13" s="59" customFormat="1" ht="22.2" customHeight="1">
      <c r="C3636" s="61" t="s">
        <v>1209</v>
      </c>
      <c r="D3636" s="56" t="s">
        <v>1210</v>
      </c>
      <c r="E3636" s="57"/>
      <c r="F3636" s="57"/>
      <c r="G3636" s="57"/>
      <c r="H3636" s="57"/>
      <c r="I3636" s="44"/>
    </row>
    <row r="3637" spans="3:13" s="59" customFormat="1" ht="22.2" customHeight="1">
      <c r="C3637" s="800">
        <v>1</v>
      </c>
      <c r="D3637" s="56" t="s">
        <v>8693</v>
      </c>
      <c r="E3637" s="93" t="s">
        <v>2167</v>
      </c>
      <c r="F3637" s="104">
        <v>1</v>
      </c>
      <c r="G3637" s="63">
        <f>VLOOKUP(D3637,upahbahan,3,FALSE)</f>
        <v>810000</v>
      </c>
      <c r="H3637" s="63">
        <f t="shared" ref="H3637" si="443">F3637*G3637</f>
        <v>810000</v>
      </c>
      <c r="I3637" s="44"/>
    </row>
    <row r="3638" spans="3:13" s="59" customFormat="1" ht="22.2" customHeight="1">
      <c r="C3638" s="450" t="s">
        <v>1214</v>
      </c>
      <c r="D3638" s="67"/>
      <c r="E3638" s="67"/>
      <c r="F3638" s="67"/>
      <c r="G3638" s="69"/>
      <c r="H3638" s="63">
        <f>SUM(H3636:H3637)</f>
        <v>810000</v>
      </c>
      <c r="I3638" s="44"/>
    </row>
    <row r="3639" spans="3:13" s="59" customFormat="1" ht="22.2" customHeight="1">
      <c r="C3639" s="61" t="s">
        <v>1215</v>
      </c>
      <c r="D3639" s="56" t="s">
        <v>1216</v>
      </c>
      <c r="E3639" s="93"/>
      <c r="F3639" s="57"/>
      <c r="G3639" s="57"/>
      <c r="H3639" s="57"/>
      <c r="I3639" s="44"/>
    </row>
    <row r="3640" spans="3:13" s="59" customFormat="1" ht="22.2" customHeight="1">
      <c r="C3640" s="800">
        <v>1</v>
      </c>
      <c r="D3640" s="56" t="s">
        <v>4770</v>
      </c>
      <c r="E3640" s="93" t="s">
        <v>1080</v>
      </c>
      <c r="F3640" s="104">
        <v>0.5</v>
      </c>
      <c r="G3640" s="63">
        <f>VLOOKUP(D3640,upahbahan,3,FALSE)</f>
        <v>108000</v>
      </c>
      <c r="H3640" s="63">
        <f t="shared" ref="H3640:H3641" si="444">F3640*G3640</f>
        <v>54000</v>
      </c>
      <c r="I3640" s="44"/>
    </row>
    <row r="3641" spans="3:13" s="59" customFormat="1" ht="22.2" customHeight="1">
      <c r="C3641" s="800">
        <v>1</v>
      </c>
      <c r="D3641" s="56" t="s">
        <v>1181</v>
      </c>
      <c r="E3641" s="93" t="s">
        <v>1080</v>
      </c>
      <c r="F3641" s="104">
        <v>0.5</v>
      </c>
      <c r="G3641" s="63">
        <f>VLOOKUP(D3641,upahbahan,3,FALSE)</f>
        <v>1450000</v>
      </c>
      <c r="H3641" s="63">
        <f t="shared" si="444"/>
        <v>725000</v>
      </c>
      <c r="I3641" s="44"/>
    </row>
    <row r="3642" spans="3:13" s="59" customFormat="1" ht="22.2" customHeight="1">
      <c r="C3642" s="450" t="s">
        <v>1217</v>
      </c>
      <c r="D3642" s="67"/>
      <c r="E3642" s="67"/>
      <c r="F3642" s="67"/>
      <c r="G3642" s="69"/>
      <c r="H3642" s="882">
        <f>SUM(H3639:H3641)</f>
        <v>779000</v>
      </c>
      <c r="I3642" s="44"/>
    </row>
    <row r="3643" spans="3:13" s="59" customFormat="1" ht="22.2" customHeight="1">
      <c r="C3643" s="288" t="s">
        <v>1218</v>
      </c>
      <c r="D3643" s="76" t="s">
        <v>1219</v>
      </c>
      <c r="E3643" s="77"/>
      <c r="F3643" s="77"/>
      <c r="G3643" s="78"/>
      <c r="H3643" s="585">
        <f>H3642+H3638+H3635</f>
        <v>1916795</v>
      </c>
      <c r="I3643" s="369"/>
    </row>
    <row r="3644" spans="3:13" s="59" customFormat="1" ht="22.2" customHeight="1">
      <c r="C3644" s="288" t="s">
        <v>1220</v>
      </c>
      <c r="D3644" s="76" t="s">
        <v>1321</v>
      </c>
      <c r="E3644" s="77"/>
      <c r="F3644" s="78"/>
      <c r="G3644" s="80">
        <v>0.1</v>
      </c>
      <c r="H3644" s="63">
        <f>H3643*G3644</f>
        <v>191679.5</v>
      </c>
      <c r="I3644" s="369"/>
    </row>
    <row r="3645" spans="3:13" s="59" customFormat="1" ht="22.2" customHeight="1">
      <c r="C3645" s="288" t="s">
        <v>1221</v>
      </c>
      <c r="D3645" s="76" t="s">
        <v>1222</v>
      </c>
      <c r="E3645" s="77"/>
      <c r="F3645" s="77"/>
      <c r="G3645" s="78"/>
      <c r="H3645" s="799">
        <f>SUM(H3643:H3644)</f>
        <v>2108474.5</v>
      </c>
      <c r="I3645" s="369"/>
    </row>
    <row r="3646" spans="3:13" ht="22.2" customHeight="1"/>
    <row r="3647" spans="3:13" ht="22.2" customHeight="1">
      <c r="C3647" s="43" t="s">
        <v>5116</v>
      </c>
      <c r="D3647" s="128" t="s">
        <v>8694</v>
      </c>
      <c r="I3647" s="50">
        <f>ROUNDDOWN(H3663,-2)</f>
        <v>2704200</v>
      </c>
      <c r="J3647" s="122" t="s">
        <v>6451</v>
      </c>
      <c r="K3647" s="122" t="s">
        <v>8676</v>
      </c>
    </row>
    <row r="3648" spans="3:13" s="59" customFormat="1" ht="22.2" customHeight="1">
      <c r="C3648" s="591" t="s">
        <v>1195</v>
      </c>
      <c r="D3648" s="591" t="s">
        <v>1196</v>
      </c>
      <c r="E3648" s="591" t="s">
        <v>1197</v>
      </c>
      <c r="F3648" s="591" t="s">
        <v>1198</v>
      </c>
      <c r="G3648" s="591" t="s">
        <v>1199</v>
      </c>
      <c r="H3648" s="591" t="s">
        <v>1200</v>
      </c>
      <c r="I3648" s="44"/>
    </row>
    <row r="3649" spans="3:13" s="59" customFormat="1" ht="22.2" customHeight="1">
      <c r="C3649" s="61" t="s">
        <v>1201</v>
      </c>
      <c r="D3649" s="56" t="s">
        <v>1202</v>
      </c>
      <c r="E3649" s="57"/>
      <c r="F3649" s="57"/>
      <c r="G3649" s="57"/>
      <c r="H3649" s="57"/>
      <c r="I3649" s="44"/>
      <c r="J3649" s="152" t="s">
        <v>1247</v>
      </c>
    </row>
    <row r="3650" spans="3:13" s="59" customFormat="1" ht="22.2" customHeight="1">
      <c r="C3650" s="588">
        <v>1</v>
      </c>
      <c r="D3650" s="56" t="s">
        <v>5</v>
      </c>
      <c r="E3650" s="577" t="s">
        <v>6</v>
      </c>
      <c r="F3650" s="101">
        <v>2.1789999999999998</v>
      </c>
      <c r="G3650" s="63">
        <f>VLOOKUP(D3650,upahbahan,3,FALSE)</f>
        <v>100000</v>
      </c>
      <c r="H3650" s="63">
        <f>F3650*G3650</f>
        <v>217899.99999999997</v>
      </c>
      <c r="I3650" s="44"/>
      <c r="J3650" s="152" t="s">
        <v>1248</v>
      </c>
      <c r="M3650" s="65">
        <v>0.1</v>
      </c>
    </row>
    <row r="3651" spans="3:13" s="59" customFormat="1" ht="22.2" customHeight="1">
      <c r="C3651" s="588">
        <v>2</v>
      </c>
      <c r="D3651" s="56" t="s">
        <v>10</v>
      </c>
      <c r="E3651" s="577" t="s">
        <v>6</v>
      </c>
      <c r="F3651" s="101">
        <v>1.0900000000000001</v>
      </c>
      <c r="G3651" s="63">
        <f>VLOOKUP(D3651,upahbahan,3,FALSE)</f>
        <v>135000</v>
      </c>
      <c r="H3651" s="63">
        <f>F3651*G3651</f>
        <v>147150</v>
      </c>
      <c r="I3651" s="44"/>
      <c r="J3651" s="152"/>
      <c r="M3651" s="65"/>
    </row>
    <row r="3652" spans="3:13" s="59" customFormat="1" ht="22.2" customHeight="1">
      <c r="C3652" s="588">
        <v>4</v>
      </c>
      <c r="D3652" s="56" t="s">
        <v>19</v>
      </c>
      <c r="E3652" s="577" t="s">
        <v>6</v>
      </c>
      <c r="F3652" s="101">
        <v>0.218</v>
      </c>
      <c r="G3652" s="63">
        <f>VLOOKUP(D3652,upahbahan,3,FALSE)</f>
        <v>160000</v>
      </c>
      <c r="H3652" s="63">
        <f t="shared" ref="H3652" si="445">F3652*G3652</f>
        <v>34880</v>
      </c>
      <c r="I3652" s="44"/>
    </row>
    <row r="3653" spans="3:13" s="59" customFormat="1" ht="22.2" customHeight="1">
      <c r="C3653" s="450" t="s">
        <v>1208</v>
      </c>
      <c r="D3653" s="67"/>
      <c r="E3653" s="67"/>
      <c r="F3653" s="142"/>
      <c r="G3653" s="153"/>
      <c r="H3653" s="63">
        <f>SUM(H3650:H3652)</f>
        <v>399930</v>
      </c>
      <c r="I3653" s="154"/>
    </row>
    <row r="3654" spans="3:13" s="59" customFormat="1" ht="22.2" customHeight="1">
      <c r="C3654" s="61" t="s">
        <v>1209</v>
      </c>
      <c r="D3654" s="56" t="s">
        <v>1210</v>
      </c>
      <c r="E3654" s="57"/>
      <c r="F3654" s="57"/>
      <c r="G3654" s="57"/>
      <c r="H3654" s="57"/>
      <c r="I3654" s="44"/>
    </row>
    <row r="3655" spans="3:13" s="59" customFormat="1" ht="22.2" customHeight="1">
      <c r="C3655" s="800">
        <v>1</v>
      </c>
      <c r="D3655" s="56" t="s">
        <v>8695</v>
      </c>
      <c r="E3655" s="93" t="s">
        <v>2167</v>
      </c>
      <c r="F3655" s="104">
        <v>1</v>
      </c>
      <c r="G3655" s="63">
        <f>VLOOKUP(D3655,upahbahan,3,FALSE)</f>
        <v>890000</v>
      </c>
      <c r="H3655" s="63">
        <f t="shared" ref="H3655" si="446">F3655*G3655</f>
        <v>890000</v>
      </c>
      <c r="I3655" s="44"/>
    </row>
    <row r="3656" spans="3:13" s="59" customFormat="1" ht="22.2" customHeight="1">
      <c r="C3656" s="450" t="s">
        <v>1214</v>
      </c>
      <c r="D3656" s="67"/>
      <c r="E3656" s="67"/>
      <c r="F3656" s="67"/>
      <c r="G3656" s="69"/>
      <c r="H3656" s="63">
        <f>SUM(H3654:H3655)</f>
        <v>890000</v>
      </c>
      <c r="I3656" s="44"/>
    </row>
    <row r="3657" spans="3:13" s="59" customFormat="1" ht="22.2" customHeight="1">
      <c r="C3657" s="61" t="s">
        <v>1215</v>
      </c>
      <c r="D3657" s="56" t="s">
        <v>1216</v>
      </c>
      <c r="E3657" s="93"/>
      <c r="F3657" s="57"/>
      <c r="G3657" s="57"/>
      <c r="H3657" s="57"/>
      <c r="I3657" s="44"/>
    </row>
    <row r="3658" spans="3:13" s="59" customFormat="1" ht="22.2" customHeight="1">
      <c r="C3658" s="800">
        <v>1</v>
      </c>
      <c r="D3658" s="56" t="s">
        <v>4770</v>
      </c>
      <c r="E3658" s="93" t="s">
        <v>1080</v>
      </c>
      <c r="F3658" s="104">
        <v>0.75</v>
      </c>
      <c r="G3658" s="63">
        <f>VLOOKUP(D3658,upahbahan,3,FALSE)</f>
        <v>108000</v>
      </c>
      <c r="H3658" s="63">
        <f t="shared" ref="H3658:H3659" si="447">F3658*G3658</f>
        <v>81000</v>
      </c>
      <c r="I3658" s="44"/>
    </row>
    <row r="3659" spans="3:13" s="59" customFormat="1" ht="22.2" customHeight="1">
      <c r="C3659" s="800">
        <v>1</v>
      </c>
      <c r="D3659" s="56" t="s">
        <v>1181</v>
      </c>
      <c r="E3659" s="93" t="s">
        <v>1080</v>
      </c>
      <c r="F3659" s="104">
        <v>0.75</v>
      </c>
      <c r="G3659" s="63">
        <f>VLOOKUP(D3659,upahbahan,3,FALSE)</f>
        <v>1450000</v>
      </c>
      <c r="H3659" s="63">
        <f t="shared" si="447"/>
        <v>1087500</v>
      </c>
      <c r="I3659" s="44"/>
    </row>
    <row r="3660" spans="3:13" s="59" customFormat="1" ht="22.2" customHeight="1">
      <c r="C3660" s="450" t="s">
        <v>1217</v>
      </c>
      <c r="D3660" s="67"/>
      <c r="E3660" s="67"/>
      <c r="F3660" s="67"/>
      <c r="G3660" s="69"/>
      <c r="H3660" s="882">
        <f>SUM(H3657:H3659)</f>
        <v>1168500</v>
      </c>
      <c r="I3660" s="44"/>
    </row>
    <row r="3661" spans="3:13" s="59" customFormat="1" ht="22.2" customHeight="1">
      <c r="C3661" s="288" t="s">
        <v>1218</v>
      </c>
      <c r="D3661" s="76" t="s">
        <v>1219</v>
      </c>
      <c r="E3661" s="77"/>
      <c r="F3661" s="77"/>
      <c r="G3661" s="78"/>
      <c r="H3661" s="585">
        <f>H3660+H3656+H3653</f>
        <v>2458430</v>
      </c>
      <c r="I3661" s="369"/>
    </row>
    <row r="3662" spans="3:13" s="59" customFormat="1" ht="22.2" customHeight="1">
      <c r="C3662" s="288" t="s">
        <v>1220</v>
      </c>
      <c r="D3662" s="76" t="s">
        <v>1321</v>
      </c>
      <c r="E3662" s="77"/>
      <c r="F3662" s="78"/>
      <c r="G3662" s="80">
        <v>0.1</v>
      </c>
      <c r="H3662" s="63">
        <f>H3661*G3662</f>
        <v>245843</v>
      </c>
      <c r="I3662" s="369"/>
    </row>
    <row r="3663" spans="3:13" s="59" customFormat="1" ht="22.2" customHeight="1">
      <c r="C3663" s="288" t="s">
        <v>1221</v>
      </c>
      <c r="D3663" s="76" t="s">
        <v>1222</v>
      </c>
      <c r="E3663" s="77"/>
      <c r="F3663" s="77"/>
      <c r="G3663" s="78"/>
      <c r="H3663" s="799">
        <f>SUM(H3661:H3662)</f>
        <v>2704273</v>
      </c>
      <c r="I3663" s="369"/>
    </row>
    <row r="3664" spans="3:13" ht="22.2" customHeight="1"/>
    <row r="3665" spans="3:13" ht="22.2" customHeight="1">
      <c r="C3665" s="43" t="s">
        <v>5117</v>
      </c>
      <c r="D3665" s="128" t="s">
        <v>8696</v>
      </c>
      <c r="I3665" s="50">
        <f>ROUNDDOWN(H3681,-2)</f>
        <v>3277800</v>
      </c>
      <c r="J3665" s="122" t="s">
        <v>6451</v>
      </c>
      <c r="K3665" s="122" t="s">
        <v>8676</v>
      </c>
    </row>
    <row r="3666" spans="3:13" s="59" customFormat="1" ht="22.2" customHeight="1">
      <c r="C3666" s="591" t="s">
        <v>1195</v>
      </c>
      <c r="D3666" s="591" t="s">
        <v>1196</v>
      </c>
      <c r="E3666" s="591" t="s">
        <v>1197</v>
      </c>
      <c r="F3666" s="591" t="s">
        <v>1198</v>
      </c>
      <c r="G3666" s="591" t="s">
        <v>1199</v>
      </c>
      <c r="H3666" s="591" t="s">
        <v>1200</v>
      </c>
      <c r="I3666" s="44"/>
    </row>
    <row r="3667" spans="3:13" s="59" customFormat="1" ht="22.2" customHeight="1">
      <c r="C3667" s="61" t="s">
        <v>1201</v>
      </c>
      <c r="D3667" s="56" t="s">
        <v>1202</v>
      </c>
      <c r="E3667" s="57"/>
      <c r="F3667" s="57"/>
      <c r="G3667" s="57"/>
      <c r="H3667" s="57"/>
      <c r="I3667" s="44"/>
      <c r="J3667" s="152" t="s">
        <v>1247</v>
      </c>
    </row>
    <row r="3668" spans="3:13" s="59" customFormat="1" ht="22.2" customHeight="1">
      <c r="C3668" s="588">
        <v>1</v>
      </c>
      <c r="D3668" s="56" t="s">
        <v>5</v>
      </c>
      <c r="E3668" s="577" t="s">
        <v>6</v>
      </c>
      <c r="F3668" s="101">
        <v>2.5710000000000002</v>
      </c>
      <c r="G3668" s="63">
        <f>VLOOKUP(D3668,upahbahan,3,FALSE)</f>
        <v>100000</v>
      </c>
      <c r="H3668" s="63">
        <f>F3668*G3668</f>
        <v>257100.00000000003</v>
      </c>
      <c r="I3668" s="44"/>
      <c r="J3668" s="152" t="s">
        <v>1248</v>
      </c>
      <c r="M3668" s="65">
        <v>0.1</v>
      </c>
    </row>
    <row r="3669" spans="3:13" s="59" customFormat="1" ht="22.2" customHeight="1">
      <c r="C3669" s="588">
        <v>2</v>
      </c>
      <c r="D3669" s="56" t="s">
        <v>10</v>
      </c>
      <c r="E3669" s="577" t="s">
        <v>6</v>
      </c>
      <c r="F3669" s="101">
        <v>1.286</v>
      </c>
      <c r="G3669" s="63">
        <f>VLOOKUP(D3669,upahbahan,3,FALSE)</f>
        <v>135000</v>
      </c>
      <c r="H3669" s="63">
        <f>F3669*G3669</f>
        <v>173610</v>
      </c>
      <c r="I3669" s="44"/>
      <c r="J3669" s="152"/>
      <c r="M3669" s="65"/>
    </row>
    <row r="3670" spans="3:13" s="59" customFormat="1" ht="22.2" customHeight="1">
      <c r="C3670" s="588">
        <v>4</v>
      </c>
      <c r="D3670" s="56" t="s">
        <v>19</v>
      </c>
      <c r="E3670" s="577" t="s">
        <v>6</v>
      </c>
      <c r="F3670" s="101">
        <v>0.25700000000000001</v>
      </c>
      <c r="G3670" s="63">
        <f>VLOOKUP(D3670,upahbahan,3,FALSE)</f>
        <v>160000</v>
      </c>
      <c r="H3670" s="63">
        <f t="shared" ref="H3670" si="448">F3670*G3670</f>
        <v>41120</v>
      </c>
      <c r="I3670" s="44"/>
    </row>
    <row r="3671" spans="3:13" s="59" customFormat="1" ht="22.2" customHeight="1">
      <c r="C3671" s="450" t="s">
        <v>1208</v>
      </c>
      <c r="D3671" s="67"/>
      <c r="E3671" s="67"/>
      <c r="F3671" s="142"/>
      <c r="G3671" s="153"/>
      <c r="H3671" s="63">
        <f>SUM(H3668:H3670)</f>
        <v>471830</v>
      </c>
      <c r="I3671" s="154"/>
    </row>
    <row r="3672" spans="3:13" s="59" customFormat="1" ht="22.2" customHeight="1">
      <c r="C3672" s="61" t="s">
        <v>1209</v>
      </c>
      <c r="D3672" s="56" t="s">
        <v>1210</v>
      </c>
      <c r="E3672" s="57"/>
      <c r="F3672" s="57"/>
      <c r="G3672" s="57"/>
      <c r="H3672" s="57"/>
      <c r="I3672" s="44"/>
    </row>
    <row r="3673" spans="3:13" s="59" customFormat="1" ht="22.2" customHeight="1">
      <c r="C3673" s="800">
        <v>1</v>
      </c>
      <c r="D3673" s="56" t="s">
        <v>8697</v>
      </c>
      <c r="E3673" s="93" t="s">
        <v>2167</v>
      </c>
      <c r="F3673" s="104">
        <v>1</v>
      </c>
      <c r="G3673" s="63">
        <f>VLOOKUP(D3673,upahbahan,3,FALSE)</f>
        <v>950000</v>
      </c>
      <c r="H3673" s="63">
        <f t="shared" ref="H3673" si="449">F3673*G3673</f>
        <v>950000</v>
      </c>
      <c r="I3673" s="44"/>
    </row>
    <row r="3674" spans="3:13" s="59" customFormat="1" ht="22.2" customHeight="1">
      <c r="C3674" s="450" t="s">
        <v>1214</v>
      </c>
      <c r="D3674" s="67"/>
      <c r="E3674" s="67"/>
      <c r="F3674" s="67"/>
      <c r="G3674" s="69"/>
      <c r="H3674" s="63">
        <f>SUM(H3672:H3673)</f>
        <v>950000</v>
      </c>
      <c r="I3674" s="44"/>
    </row>
    <row r="3675" spans="3:13" s="59" customFormat="1" ht="22.2" customHeight="1">
      <c r="C3675" s="61" t="s">
        <v>1215</v>
      </c>
      <c r="D3675" s="56" t="s">
        <v>1216</v>
      </c>
      <c r="E3675" s="93"/>
      <c r="F3675" s="57"/>
      <c r="G3675" s="57"/>
      <c r="H3675" s="57"/>
      <c r="I3675" s="44"/>
    </row>
    <row r="3676" spans="3:13" s="59" customFormat="1" ht="22.2" customHeight="1">
      <c r="C3676" s="800">
        <v>1</v>
      </c>
      <c r="D3676" s="56" t="s">
        <v>4770</v>
      </c>
      <c r="E3676" s="93" t="s">
        <v>1080</v>
      </c>
      <c r="F3676" s="104">
        <v>1</v>
      </c>
      <c r="G3676" s="63">
        <f>VLOOKUP(D3676,upahbahan,3,FALSE)</f>
        <v>108000</v>
      </c>
      <c r="H3676" s="63">
        <f t="shared" ref="H3676:H3677" si="450">F3676*G3676</f>
        <v>108000</v>
      </c>
      <c r="I3676" s="44"/>
    </row>
    <row r="3677" spans="3:13" s="59" customFormat="1" ht="22.2" customHeight="1">
      <c r="C3677" s="800">
        <v>1</v>
      </c>
      <c r="D3677" s="56" t="s">
        <v>1181</v>
      </c>
      <c r="E3677" s="93" t="s">
        <v>1080</v>
      </c>
      <c r="F3677" s="104">
        <v>1</v>
      </c>
      <c r="G3677" s="63">
        <f>VLOOKUP(D3677,upahbahan,3,FALSE)</f>
        <v>1450000</v>
      </c>
      <c r="H3677" s="63">
        <f t="shared" si="450"/>
        <v>1450000</v>
      </c>
      <c r="I3677" s="44"/>
    </row>
    <row r="3678" spans="3:13" s="59" customFormat="1" ht="22.2" customHeight="1">
      <c r="C3678" s="450" t="s">
        <v>1217</v>
      </c>
      <c r="D3678" s="67"/>
      <c r="E3678" s="67"/>
      <c r="F3678" s="67"/>
      <c r="G3678" s="69"/>
      <c r="H3678" s="882">
        <f>SUM(H3675:H3677)</f>
        <v>1558000</v>
      </c>
      <c r="I3678" s="44"/>
    </row>
    <row r="3679" spans="3:13" s="59" customFormat="1" ht="22.2" customHeight="1">
      <c r="C3679" s="288" t="s">
        <v>1218</v>
      </c>
      <c r="D3679" s="76" t="s">
        <v>1219</v>
      </c>
      <c r="E3679" s="77"/>
      <c r="F3679" s="77"/>
      <c r="G3679" s="78"/>
      <c r="H3679" s="585">
        <f>H3678+H3674+H3671</f>
        <v>2979830</v>
      </c>
      <c r="I3679" s="369"/>
    </row>
    <row r="3680" spans="3:13" s="59" customFormat="1" ht="22.2" customHeight="1">
      <c r="C3680" s="288" t="s">
        <v>1220</v>
      </c>
      <c r="D3680" s="76" t="s">
        <v>1321</v>
      </c>
      <c r="E3680" s="77"/>
      <c r="F3680" s="78"/>
      <c r="G3680" s="80">
        <v>0.1</v>
      </c>
      <c r="H3680" s="63">
        <f>H3679*G3680</f>
        <v>297983</v>
      </c>
      <c r="I3680" s="369"/>
    </row>
    <row r="3681" spans="3:13" s="59" customFormat="1" ht="22.2" customHeight="1">
      <c r="C3681" s="288" t="s">
        <v>1221</v>
      </c>
      <c r="D3681" s="76" t="s">
        <v>1222</v>
      </c>
      <c r="E3681" s="77"/>
      <c r="F3681" s="77"/>
      <c r="G3681" s="78"/>
      <c r="H3681" s="799">
        <f>SUM(H3679:H3680)</f>
        <v>3277813</v>
      </c>
      <c r="I3681" s="369"/>
    </row>
    <row r="3682" spans="3:13" ht="22.2" customHeight="1"/>
    <row r="3683" spans="3:13" ht="22.2" customHeight="1">
      <c r="C3683" s="43" t="s">
        <v>5118</v>
      </c>
      <c r="D3683" s="128" t="s">
        <v>8698</v>
      </c>
      <c r="I3683" s="50">
        <f>ROUNDDOWN(H3699,-2)</f>
        <v>3474300</v>
      </c>
      <c r="J3683" s="122" t="s">
        <v>6451</v>
      </c>
      <c r="K3683" s="122" t="s">
        <v>8676</v>
      </c>
    </row>
    <row r="3684" spans="3:13" s="59" customFormat="1" ht="22.2" customHeight="1">
      <c r="C3684" s="591" t="s">
        <v>1195</v>
      </c>
      <c r="D3684" s="591" t="s">
        <v>1196</v>
      </c>
      <c r="E3684" s="591" t="s">
        <v>1197</v>
      </c>
      <c r="F3684" s="591" t="s">
        <v>1198</v>
      </c>
      <c r="G3684" s="591" t="s">
        <v>1199</v>
      </c>
      <c r="H3684" s="591" t="s">
        <v>1200</v>
      </c>
      <c r="I3684" s="44"/>
    </row>
    <row r="3685" spans="3:13" s="59" customFormat="1" ht="22.2" customHeight="1">
      <c r="C3685" s="61" t="s">
        <v>1201</v>
      </c>
      <c r="D3685" s="56" t="s">
        <v>1202</v>
      </c>
      <c r="E3685" s="57"/>
      <c r="F3685" s="57"/>
      <c r="G3685" s="57"/>
      <c r="H3685" s="57"/>
      <c r="I3685" s="44"/>
      <c r="J3685" s="152" t="s">
        <v>1247</v>
      </c>
    </row>
    <row r="3686" spans="3:13" s="59" customFormat="1" ht="22.2" customHeight="1">
      <c r="C3686" s="588">
        <v>1</v>
      </c>
      <c r="D3686" s="56" t="s">
        <v>5</v>
      </c>
      <c r="E3686" s="577" t="s">
        <v>6</v>
      </c>
      <c r="F3686" s="101">
        <v>3</v>
      </c>
      <c r="G3686" s="63">
        <f>VLOOKUP(D3686,upahbahan,3,FALSE)</f>
        <v>100000</v>
      </c>
      <c r="H3686" s="63">
        <f>F3686*G3686</f>
        <v>300000</v>
      </c>
      <c r="I3686" s="44"/>
      <c r="J3686" s="152" t="s">
        <v>1248</v>
      </c>
      <c r="M3686" s="65">
        <v>0.1</v>
      </c>
    </row>
    <row r="3687" spans="3:13" s="59" customFormat="1" ht="22.2" customHeight="1">
      <c r="C3687" s="588">
        <v>2</v>
      </c>
      <c r="D3687" s="56" t="s">
        <v>10</v>
      </c>
      <c r="E3687" s="577" t="s">
        <v>6</v>
      </c>
      <c r="F3687" s="101">
        <v>1.5</v>
      </c>
      <c r="G3687" s="63">
        <f>VLOOKUP(D3687,upahbahan,3,FALSE)</f>
        <v>135000</v>
      </c>
      <c r="H3687" s="63">
        <f>F3687*G3687</f>
        <v>202500</v>
      </c>
      <c r="I3687" s="44"/>
      <c r="J3687" s="152"/>
      <c r="M3687" s="65"/>
    </row>
    <row r="3688" spans="3:13" s="59" customFormat="1" ht="22.2" customHeight="1">
      <c r="C3688" s="588">
        <v>4</v>
      </c>
      <c r="D3688" s="56" t="s">
        <v>19</v>
      </c>
      <c r="E3688" s="577" t="s">
        <v>6</v>
      </c>
      <c r="F3688" s="101">
        <v>0.3</v>
      </c>
      <c r="G3688" s="63">
        <f>VLOOKUP(D3688,upahbahan,3,FALSE)</f>
        <v>160000</v>
      </c>
      <c r="H3688" s="63">
        <f t="shared" ref="H3688" si="451">F3688*G3688</f>
        <v>48000</v>
      </c>
      <c r="I3688" s="44"/>
    </row>
    <row r="3689" spans="3:13" s="59" customFormat="1" ht="22.2" customHeight="1">
      <c r="C3689" s="450" t="s">
        <v>1208</v>
      </c>
      <c r="D3689" s="67"/>
      <c r="E3689" s="67"/>
      <c r="F3689" s="142"/>
      <c r="G3689" s="153"/>
      <c r="H3689" s="63">
        <f>SUM(H3686:H3688)</f>
        <v>550500</v>
      </c>
      <c r="I3689" s="154"/>
    </row>
    <row r="3690" spans="3:13" s="59" customFormat="1" ht="22.2" customHeight="1">
      <c r="C3690" s="61" t="s">
        <v>1209</v>
      </c>
      <c r="D3690" s="56" t="s">
        <v>1210</v>
      </c>
      <c r="E3690" s="57"/>
      <c r="F3690" s="57"/>
      <c r="G3690" s="57"/>
      <c r="H3690" s="57"/>
      <c r="I3690" s="44"/>
    </row>
    <row r="3691" spans="3:13" s="59" customFormat="1" ht="22.2" customHeight="1">
      <c r="C3691" s="800">
        <v>1</v>
      </c>
      <c r="D3691" s="56" t="s">
        <v>8699</v>
      </c>
      <c r="E3691" s="93" t="s">
        <v>2167</v>
      </c>
      <c r="F3691" s="104">
        <v>1</v>
      </c>
      <c r="G3691" s="63">
        <f>VLOOKUP(D3691,upahbahan,3,FALSE)</f>
        <v>1050000</v>
      </c>
      <c r="H3691" s="63">
        <f t="shared" ref="H3691" si="452">F3691*G3691</f>
        <v>1050000</v>
      </c>
      <c r="I3691" s="44"/>
    </row>
    <row r="3692" spans="3:13" s="59" customFormat="1" ht="22.2" customHeight="1">
      <c r="C3692" s="450" t="s">
        <v>1214</v>
      </c>
      <c r="D3692" s="67"/>
      <c r="E3692" s="67"/>
      <c r="F3692" s="67"/>
      <c r="G3692" s="69"/>
      <c r="H3692" s="63">
        <f>SUM(H3690:H3691)</f>
        <v>1050000</v>
      </c>
      <c r="I3692" s="44"/>
    </row>
    <row r="3693" spans="3:13" s="59" customFormat="1" ht="22.2" customHeight="1">
      <c r="C3693" s="61" t="s">
        <v>1215</v>
      </c>
      <c r="D3693" s="56" t="s">
        <v>1216</v>
      </c>
      <c r="E3693" s="93"/>
      <c r="F3693" s="57"/>
      <c r="G3693" s="57"/>
      <c r="H3693" s="57"/>
      <c r="I3693" s="44"/>
    </row>
    <row r="3694" spans="3:13" s="59" customFormat="1" ht="22.2" customHeight="1">
      <c r="C3694" s="800">
        <v>1</v>
      </c>
      <c r="D3694" s="56" t="s">
        <v>4770</v>
      </c>
      <c r="E3694" s="93" t="s">
        <v>1080</v>
      </c>
      <c r="F3694" s="104">
        <v>1</v>
      </c>
      <c r="G3694" s="63">
        <f>VLOOKUP(D3694,upahbahan,3,FALSE)</f>
        <v>108000</v>
      </c>
      <c r="H3694" s="63">
        <f t="shared" ref="H3694:H3695" si="453">F3694*G3694</f>
        <v>108000</v>
      </c>
      <c r="I3694" s="44"/>
    </row>
    <row r="3695" spans="3:13" s="59" customFormat="1" ht="22.2" customHeight="1">
      <c r="C3695" s="800">
        <v>1</v>
      </c>
      <c r="D3695" s="56" t="s">
        <v>1181</v>
      </c>
      <c r="E3695" s="93" t="s">
        <v>1080</v>
      </c>
      <c r="F3695" s="104">
        <v>1</v>
      </c>
      <c r="G3695" s="63">
        <f>VLOOKUP(D3695,upahbahan,3,FALSE)</f>
        <v>1450000</v>
      </c>
      <c r="H3695" s="63">
        <f t="shared" si="453"/>
        <v>1450000</v>
      </c>
      <c r="I3695" s="44"/>
    </row>
    <row r="3696" spans="3:13" s="59" customFormat="1" ht="22.2" customHeight="1">
      <c r="C3696" s="450" t="s">
        <v>1217</v>
      </c>
      <c r="D3696" s="67"/>
      <c r="E3696" s="67"/>
      <c r="F3696" s="67"/>
      <c r="G3696" s="69"/>
      <c r="H3696" s="882">
        <f>SUM(H3693:H3695)</f>
        <v>1558000</v>
      </c>
      <c r="I3696" s="44"/>
    </row>
    <row r="3697" spans="3:13" s="59" customFormat="1" ht="22.2" customHeight="1">
      <c r="C3697" s="288" t="s">
        <v>1218</v>
      </c>
      <c r="D3697" s="76" t="s">
        <v>1219</v>
      </c>
      <c r="E3697" s="77"/>
      <c r="F3697" s="77"/>
      <c r="G3697" s="78"/>
      <c r="H3697" s="585">
        <f>H3696+H3692+H3689</f>
        <v>3158500</v>
      </c>
      <c r="I3697" s="369"/>
    </row>
    <row r="3698" spans="3:13" s="59" customFormat="1" ht="22.2" customHeight="1">
      <c r="C3698" s="288" t="s">
        <v>1220</v>
      </c>
      <c r="D3698" s="76" t="s">
        <v>1321</v>
      </c>
      <c r="E3698" s="77"/>
      <c r="F3698" s="78"/>
      <c r="G3698" s="80">
        <v>0.1</v>
      </c>
      <c r="H3698" s="63">
        <f>H3697*G3698</f>
        <v>315850</v>
      </c>
      <c r="I3698" s="369"/>
    </row>
    <row r="3699" spans="3:13" s="59" customFormat="1" ht="22.2" customHeight="1">
      <c r="C3699" s="288" t="s">
        <v>1221</v>
      </c>
      <c r="D3699" s="76" t="s">
        <v>1222</v>
      </c>
      <c r="E3699" s="77"/>
      <c r="F3699" s="77"/>
      <c r="G3699" s="78"/>
      <c r="H3699" s="799">
        <f>SUM(H3697:H3698)</f>
        <v>3474350</v>
      </c>
      <c r="I3699" s="369"/>
    </row>
    <row r="3700" spans="3:13" ht="22.2" customHeight="1"/>
    <row r="3701" spans="3:13" ht="22.2" customHeight="1"/>
    <row r="3702" spans="3:13" ht="22.2" customHeight="1">
      <c r="C3702" s="43" t="s">
        <v>5119</v>
      </c>
      <c r="D3702" s="128" t="s">
        <v>8700</v>
      </c>
      <c r="I3702" s="50">
        <f>ROUNDDOWN(H3718,-2)</f>
        <v>3605200</v>
      </c>
      <c r="J3702" s="122" t="s">
        <v>6451</v>
      </c>
      <c r="K3702" s="122" t="s">
        <v>8676</v>
      </c>
    </row>
    <row r="3703" spans="3:13" s="59" customFormat="1" ht="22.2" customHeight="1">
      <c r="C3703" s="591" t="s">
        <v>1195</v>
      </c>
      <c r="D3703" s="591" t="s">
        <v>1196</v>
      </c>
      <c r="E3703" s="591" t="s">
        <v>1197</v>
      </c>
      <c r="F3703" s="591" t="s">
        <v>1198</v>
      </c>
      <c r="G3703" s="591" t="s">
        <v>1199</v>
      </c>
      <c r="H3703" s="591" t="s">
        <v>1200</v>
      </c>
      <c r="I3703" s="44"/>
    </row>
    <row r="3704" spans="3:13" s="59" customFormat="1" ht="22.2" customHeight="1">
      <c r="C3704" s="61" t="s">
        <v>1201</v>
      </c>
      <c r="D3704" s="56" t="s">
        <v>1202</v>
      </c>
      <c r="E3704" s="57"/>
      <c r="F3704" s="57"/>
      <c r="G3704" s="57"/>
      <c r="H3704" s="57"/>
      <c r="I3704" s="44"/>
      <c r="J3704" s="152" t="s">
        <v>1247</v>
      </c>
    </row>
    <row r="3705" spans="3:13" s="59" customFormat="1" ht="22.2" customHeight="1">
      <c r="C3705" s="588">
        <v>1</v>
      </c>
      <c r="D3705" s="56" t="s">
        <v>5</v>
      </c>
      <c r="E3705" s="577" t="s">
        <v>6</v>
      </c>
      <c r="F3705" s="101">
        <v>3.2730000000000001</v>
      </c>
      <c r="G3705" s="63">
        <f>VLOOKUP(D3705,upahbahan,3,FALSE)</f>
        <v>100000</v>
      </c>
      <c r="H3705" s="63">
        <f>F3705*G3705</f>
        <v>327300</v>
      </c>
      <c r="I3705" s="44"/>
      <c r="J3705" s="152" t="s">
        <v>1248</v>
      </c>
      <c r="M3705" s="65">
        <v>0.1</v>
      </c>
    </row>
    <row r="3706" spans="3:13" s="59" customFormat="1" ht="22.2" customHeight="1">
      <c r="C3706" s="588">
        <v>2</v>
      </c>
      <c r="D3706" s="56" t="s">
        <v>10</v>
      </c>
      <c r="E3706" s="577" t="s">
        <v>6</v>
      </c>
      <c r="F3706" s="101">
        <v>1.6359999999999999</v>
      </c>
      <c r="G3706" s="63">
        <f>VLOOKUP(D3706,upahbahan,3,FALSE)</f>
        <v>135000</v>
      </c>
      <c r="H3706" s="63">
        <f>F3706*G3706</f>
        <v>220860</v>
      </c>
      <c r="I3706" s="44"/>
      <c r="J3706" s="152"/>
      <c r="M3706" s="65"/>
    </row>
    <row r="3707" spans="3:13" s="59" customFormat="1" ht="22.2" customHeight="1">
      <c r="C3707" s="588">
        <v>4</v>
      </c>
      <c r="D3707" s="56" t="s">
        <v>19</v>
      </c>
      <c r="E3707" s="577" t="s">
        <v>6</v>
      </c>
      <c r="F3707" s="101">
        <v>0.32700000000000001</v>
      </c>
      <c r="G3707" s="63">
        <f>VLOOKUP(D3707,upahbahan,3,FALSE)</f>
        <v>160000</v>
      </c>
      <c r="H3707" s="63">
        <f t="shared" ref="H3707" si="454">F3707*G3707</f>
        <v>52320</v>
      </c>
      <c r="I3707" s="44"/>
    </row>
    <row r="3708" spans="3:13" s="59" customFormat="1" ht="22.2" customHeight="1">
      <c r="C3708" s="450" t="s">
        <v>1208</v>
      </c>
      <c r="D3708" s="67"/>
      <c r="E3708" s="67"/>
      <c r="F3708" s="142"/>
      <c r="G3708" s="153"/>
      <c r="H3708" s="63">
        <f>SUM(H3705:H3707)</f>
        <v>600480</v>
      </c>
      <c r="I3708" s="154"/>
    </row>
    <row r="3709" spans="3:13" s="59" customFormat="1" ht="22.2" customHeight="1">
      <c r="C3709" s="61" t="s">
        <v>1209</v>
      </c>
      <c r="D3709" s="56" t="s">
        <v>1210</v>
      </c>
      <c r="E3709" s="57"/>
      <c r="F3709" s="57"/>
      <c r="G3709" s="57"/>
      <c r="H3709" s="57"/>
      <c r="I3709" s="44"/>
    </row>
    <row r="3710" spans="3:13" s="59" customFormat="1" ht="22.2" customHeight="1">
      <c r="C3710" s="800">
        <v>1</v>
      </c>
      <c r="D3710" s="56" t="s">
        <v>8701</v>
      </c>
      <c r="E3710" s="93" t="s">
        <v>2167</v>
      </c>
      <c r="F3710" s="104">
        <v>1</v>
      </c>
      <c r="G3710" s="63">
        <f>VLOOKUP(D3710,upahbahan,3,FALSE)</f>
        <v>1119000</v>
      </c>
      <c r="H3710" s="63">
        <f t="shared" ref="H3710" si="455">F3710*G3710</f>
        <v>1119000</v>
      </c>
      <c r="I3710" s="44"/>
    </row>
    <row r="3711" spans="3:13" s="59" customFormat="1" ht="22.2" customHeight="1">
      <c r="C3711" s="450" t="s">
        <v>1214</v>
      </c>
      <c r="D3711" s="67"/>
      <c r="E3711" s="67"/>
      <c r="F3711" s="67"/>
      <c r="G3711" s="69"/>
      <c r="H3711" s="63">
        <f>SUM(H3709:H3710)</f>
        <v>1119000</v>
      </c>
      <c r="I3711" s="44"/>
    </row>
    <row r="3712" spans="3:13" s="59" customFormat="1" ht="22.2" customHeight="1">
      <c r="C3712" s="61" t="s">
        <v>1215</v>
      </c>
      <c r="D3712" s="56" t="s">
        <v>1216</v>
      </c>
      <c r="E3712" s="93"/>
      <c r="F3712" s="57"/>
      <c r="G3712" s="57"/>
      <c r="H3712" s="57"/>
      <c r="I3712" s="44"/>
    </row>
    <row r="3713" spans="3:13" s="59" customFormat="1" ht="22.2" customHeight="1">
      <c r="C3713" s="800">
        <v>1</v>
      </c>
      <c r="D3713" s="56" t="s">
        <v>4770</v>
      </c>
      <c r="E3713" s="93" t="s">
        <v>1080</v>
      </c>
      <c r="F3713" s="104">
        <v>1</v>
      </c>
      <c r="G3713" s="63">
        <f>VLOOKUP(D3713,upahbahan,3,FALSE)</f>
        <v>108000</v>
      </c>
      <c r="H3713" s="63">
        <f t="shared" ref="H3713:H3714" si="456">F3713*G3713</f>
        <v>108000</v>
      </c>
      <c r="I3713" s="44"/>
    </row>
    <row r="3714" spans="3:13" s="59" customFormat="1" ht="22.2" customHeight="1">
      <c r="C3714" s="800">
        <v>1</v>
      </c>
      <c r="D3714" s="56" t="s">
        <v>1181</v>
      </c>
      <c r="E3714" s="93" t="s">
        <v>1080</v>
      </c>
      <c r="F3714" s="104">
        <v>1</v>
      </c>
      <c r="G3714" s="63">
        <f>VLOOKUP(D3714,upahbahan,3,FALSE)</f>
        <v>1450000</v>
      </c>
      <c r="H3714" s="63">
        <f t="shared" si="456"/>
        <v>1450000</v>
      </c>
      <c r="I3714" s="44"/>
    </row>
    <row r="3715" spans="3:13" s="59" customFormat="1" ht="22.2" customHeight="1">
      <c r="C3715" s="450" t="s">
        <v>1217</v>
      </c>
      <c r="D3715" s="67"/>
      <c r="E3715" s="67"/>
      <c r="F3715" s="67"/>
      <c r="G3715" s="69"/>
      <c r="H3715" s="882">
        <f>SUM(H3712:H3714)</f>
        <v>1558000</v>
      </c>
      <c r="I3715" s="44"/>
    </row>
    <row r="3716" spans="3:13" s="59" customFormat="1" ht="22.2" customHeight="1">
      <c r="C3716" s="288" t="s">
        <v>1218</v>
      </c>
      <c r="D3716" s="76" t="s">
        <v>1219</v>
      </c>
      <c r="E3716" s="77"/>
      <c r="F3716" s="77"/>
      <c r="G3716" s="78"/>
      <c r="H3716" s="585">
        <f>H3715+H3711+H3708</f>
        <v>3277480</v>
      </c>
      <c r="I3716" s="369"/>
    </row>
    <row r="3717" spans="3:13" s="59" customFormat="1" ht="22.2" customHeight="1">
      <c r="C3717" s="288" t="s">
        <v>1220</v>
      </c>
      <c r="D3717" s="76" t="s">
        <v>1321</v>
      </c>
      <c r="E3717" s="77"/>
      <c r="F3717" s="78"/>
      <c r="G3717" s="80">
        <v>0.1</v>
      </c>
      <c r="H3717" s="63">
        <f>H3716*G3717</f>
        <v>327748</v>
      </c>
      <c r="I3717" s="369"/>
    </row>
    <row r="3718" spans="3:13" s="59" customFormat="1" ht="22.2" customHeight="1">
      <c r="C3718" s="288" t="s">
        <v>1221</v>
      </c>
      <c r="D3718" s="76" t="s">
        <v>1222</v>
      </c>
      <c r="E3718" s="77"/>
      <c r="F3718" s="77"/>
      <c r="G3718" s="78"/>
      <c r="H3718" s="799">
        <f>SUM(H3716:H3717)</f>
        <v>3605228</v>
      </c>
      <c r="I3718" s="369"/>
    </row>
    <row r="3719" spans="3:13" ht="22.2" customHeight="1"/>
    <row r="3720" spans="3:13" ht="22.2" customHeight="1">
      <c r="C3720" s="43" t="s">
        <v>5120</v>
      </c>
      <c r="D3720" s="128" t="s">
        <v>8702</v>
      </c>
      <c r="I3720" s="50">
        <f>ROUNDDOWN(H3734,-2)</f>
        <v>121900</v>
      </c>
      <c r="J3720" s="122" t="s">
        <v>6451</v>
      </c>
      <c r="K3720" s="122" t="s">
        <v>8676</v>
      </c>
    </row>
    <row r="3721" spans="3:13" s="59" customFormat="1" ht="22.2" customHeight="1">
      <c r="C3721" s="591" t="s">
        <v>1195</v>
      </c>
      <c r="D3721" s="591" t="s">
        <v>1196</v>
      </c>
      <c r="E3721" s="591" t="s">
        <v>1197</v>
      </c>
      <c r="F3721" s="591" t="s">
        <v>1198</v>
      </c>
      <c r="G3721" s="591" t="s">
        <v>1199</v>
      </c>
      <c r="H3721" s="591" t="s">
        <v>1200</v>
      </c>
      <c r="I3721" s="44"/>
    </row>
    <row r="3722" spans="3:13" s="59" customFormat="1" ht="22.2" customHeight="1">
      <c r="C3722" s="61" t="s">
        <v>1201</v>
      </c>
      <c r="D3722" s="56" t="s">
        <v>1202</v>
      </c>
      <c r="E3722" s="57"/>
      <c r="F3722" s="57"/>
      <c r="G3722" s="57"/>
      <c r="H3722" s="57"/>
      <c r="I3722" s="44"/>
      <c r="J3722" s="152" t="s">
        <v>1247</v>
      </c>
    </row>
    <row r="3723" spans="3:13" s="59" customFormat="1" ht="22.2" customHeight="1">
      <c r="C3723" s="588">
        <v>1</v>
      </c>
      <c r="D3723" s="56" t="s">
        <v>5</v>
      </c>
      <c r="E3723" s="577" t="s">
        <v>6</v>
      </c>
      <c r="F3723" s="101">
        <v>8.5999999999999993E-2</v>
      </c>
      <c r="G3723" s="63">
        <f>VLOOKUP(D3723,upahbahan,3,FALSE)</f>
        <v>100000</v>
      </c>
      <c r="H3723" s="63">
        <f>F3723*G3723</f>
        <v>8600</v>
      </c>
      <c r="I3723" s="44"/>
      <c r="J3723" s="152" t="s">
        <v>1248</v>
      </c>
      <c r="M3723" s="65">
        <v>0.1</v>
      </c>
    </row>
    <row r="3724" spans="3:13" s="59" customFormat="1" ht="22.2" customHeight="1">
      <c r="C3724" s="588">
        <v>2</v>
      </c>
      <c r="D3724" s="56" t="s">
        <v>10</v>
      </c>
      <c r="E3724" s="577" t="s">
        <v>6</v>
      </c>
      <c r="F3724" s="101">
        <v>4.2999999999999997E-2</v>
      </c>
      <c r="G3724" s="63">
        <f>VLOOKUP(D3724,upahbahan,3,FALSE)</f>
        <v>135000</v>
      </c>
      <c r="H3724" s="63">
        <f>F3724*G3724</f>
        <v>5804.9999999999991</v>
      </c>
      <c r="I3724" s="44"/>
      <c r="J3724" s="152"/>
      <c r="M3724" s="65"/>
    </row>
    <row r="3725" spans="3:13" s="59" customFormat="1" ht="22.2" customHeight="1">
      <c r="C3725" s="588">
        <v>4</v>
      </c>
      <c r="D3725" s="56" t="s">
        <v>19</v>
      </c>
      <c r="E3725" s="577" t="s">
        <v>6</v>
      </c>
      <c r="F3725" s="101">
        <v>8.9999999999999993E-3</v>
      </c>
      <c r="G3725" s="63">
        <f>VLOOKUP(D3725,upahbahan,3,FALSE)</f>
        <v>160000</v>
      </c>
      <c r="H3725" s="63">
        <f t="shared" ref="H3725" si="457">F3725*G3725</f>
        <v>1440</v>
      </c>
      <c r="I3725" s="44"/>
    </row>
    <row r="3726" spans="3:13" s="59" customFormat="1" ht="22.2" customHeight="1">
      <c r="C3726" s="450" t="s">
        <v>1208</v>
      </c>
      <c r="D3726" s="67"/>
      <c r="E3726" s="67"/>
      <c r="F3726" s="142"/>
      <c r="G3726" s="153"/>
      <c r="H3726" s="63">
        <f>SUM(H3723:H3725)</f>
        <v>15845</v>
      </c>
      <c r="I3726" s="154"/>
    </row>
    <row r="3727" spans="3:13" s="59" customFormat="1" ht="22.2" customHeight="1">
      <c r="C3727" s="61" t="s">
        <v>1209</v>
      </c>
      <c r="D3727" s="56" t="s">
        <v>1210</v>
      </c>
      <c r="E3727" s="57"/>
      <c r="F3727" s="57"/>
      <c r="G3727" s="57"/>
      <c r="H3727" s="57"/>
      <c r="I3727" s="44"/>
    </row>
    <row r="3728" spans="3:13" s="59" customFormat="1" ht="22.2" customHeight="1">
      <c r="C3728" s="800">
        <v>1</v>
      </c>
      <c r="D3728" s="56" t="s">
        <v>8703</v>
      </c>
      <c r="E3728" s="93" t="s">
        <v>2167</v>
      </c>
      <c r="F3728" s="104">
        <v>1</v>
      </c>
      <c r="G3728" s="63">
        <f>VLOOKUP(D3728,upahbahan,3,FALSE)</f>
        <v>95000</v>
      </c>
      <c r="H3728" s="63">
        <f t="shared" ref="H3728" si="458">F3728*G3728</f>
        <v>95000</v>
      </c>
      <c r="I3728" s="44"/>
    </row>
    <row r="3729" spans="3:13" s="59" customFormat="1" ht="22.2" customHeight="1">
      <c r="C3729" s="450" t="s">
        <v>1214</v>
      </c>
      <c r="D3729" s="67"/>
      <c r="E3729" s="67"/>
      <c r="F3729" s="67"/>
      <c r="G3729" s="69"/>
      <c r="H3729" s="63">
        <f>SUM(H3727:H3728)</f>
        <v>95000</v>
      </c>
      <c r="I3729" s="44"/>
    </row>
    <row r="3730" spans="3:13" s="59" customFormat="1" ht="22.2" customHeight="1">
      <c r="C3730" s="61" t="s">
        <v>1215</v>
      </c>
      <c r="D3730" s="56" t="s">
        <v>1216</v>
      </c>
      <c r="E3730" s="93"/>
      <c r="F3730" s="57"/>
      <c r="G3730" s="57"/>
      <c r="H3730" s="57"/>
      <c r="I3730" s="44"/>
    </row>
    <row r="3731" spans="3:13" s="59" customFormat="1" ht="22.2" customHeight="1">
      <c r="C3731" s="450" t="s">
        <v>1217</v>
      </c>
      <c r="D3731" s="67"/>
      <c r="E3731" s="67"/>
      <c r="F3731" s="67"/>
      <c r="G3731" s="69"/>
      <c r="H3731" s="882">
        <f>SUM(H3730:H3730)</f>
        <v>0</v>
      </c>
      <c r="I3731" s="44"/>
    </row>
    <row r="3732" spans="3:13" s="59" customFormat="1" ht="22.2" customHeight="1">
      <c r="C3732" s="288" t="s">
        <v>1218</v>
      </c>
      <c r="D3732" s="76" t="s">
        <v>1219</v>
      </c>
      <c r="E3732" s="77"/>
      <c r="F3732" s="77"/>
      <c r="G3732" s="78"/>
      <c r="H3732" s="585">
        <f>H3731+H3729+H3726</f>
        <v>110845</v>
      </c>
      <c r="I3732" s="369"/>
    </row>
    <row r="3733" spans="3:13" s="59" customFormat="1" ht="22.2" customHeight="1">
      <c r="C3733" s="288" t="s">
        <v>1220</v>
      </c>
      <c r="D3733" s="76" t="s">
        <v>1321</v>
      </c>
      <c r="E3733" s="77"/>
      <c r="F3733" s="78"/>
      <c r="G3733" s="80">
        <v>0.1</v>
      </c>
      <c r="H3733" s="63">
        <f>H3732*G3733</f>
        <v>11084.5</v>
      </c>
      <c r="I3733" s="369"/>
    </row>
    <row r="3734" spans="3:13" s="59" customFormat="1" ht="22.2" customHeight="1">
      <c r="C3734" s="288" t="s">
        <v>1221</v>
      </c>
      <c r="D3734" s="76" t="s">
        <v>1222</v>
      </c>
      <c r="E3734" s="77"/>
      <c r="F3734" s="77"/>
      <c r="G3734" s="78"/>
      <c r="H3734" s="799">
        <f>SUM(H3732:H3733)</f>
        <v>121929.5</v>
      </c>
      <c r="I3734" s="369"/>
    </row>
    <row r="3735" spans="3:13" ht="22.2" customHeight="1"/>
    <row r="3736" spans="3:13" ht="22.2" customHeight="1">
      <c r="C3736" s="43" t="s">
        <v>5121</v>
      </c>
      <c r="D3736" s="128" t="s">
        <v>8704</v>
      </c>
      <c r="I3736" s="50">
        <f>ROUNDDOWN(H3750,-2)</f>
        <v>137300</v>
      </c>
      <c r="J3736" s="122" t="s">
        <v>6451</v>
      </c>
      <c r="K3736" s="122" t="s">
        <v>8676</v>
      </c>
    </row>
    <row r="3737" spans="3:13" s="59" customFormat="1" ht="22.2" customHeight="1">
      <c r="C3737" s="591" t="s">
        <v>1195</v>
      </c>
      <c r="D3737" s="591" t="s">
        <v>1196</v>
      </c>
      <c r="E3737" s="591" t="s">
        <v>1197</v>
      </c>
      <c r="F3737" s="591" t="s">
        <v>1198</v>
      </c>
      <c r="G3737" s="591" t="s">
        <v>1199</v>
      </c>
      <c r="H3737" s="591" t="s">
        <v>1200</v>
      </c>
      <c r="I3737" s="44"/>
    </row>
    <row r="3738" spans="3:13" s="59" customFormat="1" ht="22.2" customHeight="1">
      <c r="C3738" s="61" t="s">
        <v>1201</v>
      </c>
      <c r="D3738" s="56" t="s">
        <v>1202</v>
      </c>
      <c r="E3738" s="57"/>
      <c r="F3738" s="57"/>
      <c r="G3738" s="57"/>
      <c r="H3738" s="57"/>
      <c r="I3738" s="44"/>
      <c r="J3738" s="152" t="s">
        <v>1247</v>
      </c>
    </row>
    <row r="3739" spans="3:13" s="59" customFormat="1" ht="22.2" customHeight="1">
      <c r="C3739" s="588">
        <v>1</v>
      </c>
      <c r="D3739" s="56" t="s">
        <v>5</v>
      </c>
      <c r="E3739" s="577" t="s">
        <v>6</v>
      </c>
      <c r="F3739" s="101">
        <v>0.108</v>
      </c>
      <c r="G3739" s="63">
        <f>VLOOKUP(D3739,upahbahan,3,FALSE)</f>
        <v>100000</v>
      </c>
      <c r="H3739" s="63">
        <f>F3739*G3739</f>
        <v>10800</v>
      </c>
      <c r="I3739" s="44"/>
      <c r="J3739" s="152" t="s">
        <v>1248</v>
      </c>
      <c r="M3739" s="65">
        <v>0.1</v>
      </c>
    </row>
    <row r="3740" spans="3:13" s="59" customFormat="1" ht="22.2" customHeight="1">
      <c r="C3740" s="588">
        <v>2</v>
      </c>
      <c r="D3740" s="56" t="s">
        <v>10</v>
      </c>
      <c r="E3740" s="577" t="s">
        <v>6</v>
      </c>
      <c r="F3740" s="101">
        <v>5.3999999999999999E-2</v>
      </c>
      <c r="G3740" s="63">
        <f>VLOOKUP(D3740,upahbahan,3,FALSE)</f>
        <v>135000</v>
      </c>
      <c r="H3740" s="63">
        <f>F3740*G3740</f>
        <v>7290</v>
      </c>
      <c r="I3740" s="44"/>
      <c r="J3740" s="152"/>
      <c r="M3740" s="65"/>
    </row>
    <row r="3741" spans="3:13" s="59" customFormat="1" ht="22.2" customHeight="1">
      <c r="C3741" s="588">
        <v>4</v>
      </c>
      <c r="D3741" s="56" t="s">
        <v>19</v>
      </c>
      <c r="E3741" s="577" t="s">
        <v>6</v>
      </c>
      <c r="F3741" s="101">
        <v>1.0999999999999999E-2</v>
      </c>
      <c r="G3741" s="63">
        <f>VLOOKUP(D3741,upahbahan,3,FALSE)</f>
        <v>160000</v>
      </c>
      <c r="H3741" s="63">
        <f t="shared" ref="H3741" si="459">F3741*G3741</f>
        <v>1760</v>
      </c>
      <c r="I3741" s="44"/>
    </row>
    <row r="3742" spans="3:13" s="59" customFormat="1" ht="22.2" customHeight="1">
      <c r="C3742" s="450" t="s">
        <v>1208</v>
      </c>
      <c r="D3742" s="67"/>
      <c r="E3742" s="67"/>
      <c r="F3742" s="142"/>
      <c r="G3742" s="153"/>
      <c r="H3742" s="63">
        <f>SUM(H3739:H3741)</f>
        <v>19850</v>
      </c>
      <c r="I3742" s="154"/>
    </row>
    <row r="3743" spans="3:13" s="59" customFormat="1" ht="22.2" customHeight="1">
      <c r="C3743" s="61" t="s">
        <v>1209</v>
      </c>
      <c r="D3743" s="56" t="s">
        <v>1210</v>
      </c>
      <c r="E3743" s="57"/>
      <c r="F3743" s="57"/>
      <c r="G3743" s="57"/>
      <c r="H3743" s="57"/>
      <c r="I3743" s="44"/>
    </row>
    <row r="3744" spans="3:13" s="59" customFormat="1" ht="22.2" customHeight="1">
      <c r="C3744" s="800">
        <v>1</v>
      </c>
      <c r="D3744" s="56" t="s">
        <v>8705</v>
      </c>
      <c r="E3744" s="93" t="s">
        <v>2167</v>
      </c>
      <c r="F3744" s="104">
        <v>1</v>
      </c>
      <c r="G3744" s="63">
        <f>VLOOKUP(D3744,upahbahan,3,FALSE)</f>
        <v>105000</v>
      </c>
      <c r="H3744" s="63">
        <f t="shared" ref="H3744" si="460">F3744*G3744</f>
        <v>105000</v>
      </c>
      <c r="I3744" s="44"/>
    </row>
    <row r="3745" spans="3:13" s="59" customFormat="1" ht="22.2" customHeight="1">
      <c r="C3745" s="450" t="s">
        <v>1214</v>
      </c>
      <c r="D3745" s="67"/>
      <c r="E3745" s="67"/>
      <c r="F3745" s="67"/>
      <c r="G3745" s="69"/>
      <c r="H3745" s="63">
        <f>SUM(H3743:H3744)</f>
        <v>105000</v>
      </c>
      <c r="I3745" s="44"/>
    </row>
    <row r="3746" spans="3:13" s="59" customFormat="1" ht="22.2" customHeight="1">
      <c r="C3746" s="61" t="s">
        <v>1215</v>
      </c>
      <c r="D3746" s="56" t="s">
        <v>1216</v>
      </c>
      <c r="E3746" s="93"/>
      <c r="F3746" s="57"/>
      <c r="G3746" s="57"/>
      <c r="H3746" s="57"/>
      <c r="I3746" s="44"/>
    </row>
    <row r="3747" spans="3:13" s="59" customFormat="1" ht="22.2" customHeight="1">
      <c r="C3747" s="450" t="s">
        <v>1217</v>
      </c>
      <c r="D3747" s="67"/>
      <c r="E3747" s="67"/>
      <c r="F3747" s="67"/>
      <c r="G3747" s="69"/>
      <c r="H3747" s="882">
        <f>SUM(H3746:H3746)</f>
        <v>0</v>
      </c>
      <c r="I3747" s="44"/>
    </row>
    <row r="3748" spans="3:13" s="59" customFormat="1" ht="22.2" customHeight="1">
      <c r="C3748" s="288" t="s">
        <v>1218</v>
      </c>
      <c r="D3748" s="76" t="s">
        <v>1219</v>
      </c>
      <c r="E3748" s="77"/>
      <c r="F3748" s="77"/>
      <c r="G3748" s="78"/>
      <c r="H3748" s="585">
        <f>H3747+H3745+H3742</f>
        <v>124850</v>
      </c>
      <c r="I3748" s="369"/>
    </row>
    <row r="3749" spans="3:13" s="59" customFormat="1" ht="22.2" customHeight="1">
      <c r="C3749" s="288" t="s">
        <v>1220</v>
      </c>
      <c r="D3749" s="76" t="s">
        <v>1321</v>
      </c>
      <c r="E3749" s="77"/>
      <c r="F3749" s="78"/>
      <c r="G3749" s="80">
        <v>0.1</v>
      </c>
      <c r="H3749" s="63">
        <f>H3748*G3749</f>
        <v>12485</v>
      </c>
      <c r="I3749" s="369"/>
    </row>
    <row r="3750" spans="3:13" s="59" customFormat="1" ht="22.2" customHeight="1">
      <c r="C3750" s="288" t="s">
        <v>1221</v>
      </c>
      <c r="D3750" s="76" t="s">
        <v>1222</v>
      </c>
      <c r="E3750" s="77"/>
      <c r="F3750" s="77"/>
      <c r="G3750" s="78"/>
      <c r="H3750" s="799">
        <f>SUM(H3748:H3749)</f>
        <v>137335</v>
      </c>
      <c r="I3750" s="369"/>
    </row>
    <row r="3751" spans="3:13" ht="22.2" customHeight="1"/>
    <row r="3752" spans="3:13" ht="22.2" customHeight="1">
      <c r="C3752" s="43" t="s">
        <v>5122</v>
      </c>
      <c r="D3752" s="128" t="s">
        <v>8706</v>
      </c>
      <c r="I3752" s="50">
        <f>ROUNDDOWN(H3766,-2)</f>
        <v>153500</v>
      </c>
      <c r="J3752" s="122" t="s">
        <v>6451</v>
      </c>
      <c r="K3752" s="122" t="s">
        <v>8676</v>
      </c>
    </row>
    <row r="3753" spans="3:13" s="59" customFormat="1" ht="22.2" customHeight="1">
      <c r="C3753" s="591" t="s">
        <v>1195</v>
      </c>
      <c r="D3753" s="591" t="s">
        <v>1196</v>
      </c>
      <c r="E3753" s="591" t="s">
        <v>1197</v>
      </c>
      <c r="F3753" s="591" t="s">
        <v>1198</v>
      </c>
      <c r="G3753" s="591" t="s">
        <v>1199</v>
      </c>
      <c r="H3753" s="591" t="s">
        <v>1200</v>
      </c>
      <c r="I3753" s="44"/>
    </row>
    <row r="3754" spans="3:13" s="59" customFormat="1" ht="22.2" customHeight="1">
      <c r="C3754" s="61" t="s">
        <v>1201</v>
      </c>
      <c r="D3754" s="56" t="s">
        <v>1202</v>
      </c>
      <c r="E3754" s="57"/>
      <c r="F3754" s="57"/>
      <c r="G3754" s="57"/>
      <c r="H3754" s="57"/>
      <c r="I3754" s="44"/>
      <c r="J3754" s="152" t="s">
        <v>1247</v>
      </c>
    </row>
    <row r="3755" spans="3:13" s="59" customFormat="1" ht="22.2" customHeight="1">
      <c r="C3755" s="588">
        <v>1</v>
      </c>
      <c r="D3755" s="56" t="s">
        <v>5</v>
      </c>
      <c r="E3755" s="577" t="s">
        <v>6</v>
      </c>
      <c r="F3755" s="101">
        <v>0.13500000000000001</v>
      </c>
      <c r="G3755" s="63">
        <f>VLOOKUP(D3755,upahbahan,3,FALSE)</f>
        <v>100000</v>
      </c>
      <c r="H3755" s="63">
        <f>F3755*G3755</f>
        <v>13500</v>
      </c>
      <c r="I3755" s="44"/>
      <c r="J3755" s="152" t="s">
        <v>1248</v>
      </c>
      <c r="M3755" s="65">
        <v>0.1</v>
      </c>
    </row>
    <row r="3756" spans="3:13" s="59" customFormat="1" ht="22.2" customHeight="1">
      <c r="C3756" s="588">
        <v>2</v>
      </c>
      <c r="D3756" s="56" t="s">
        <v>10</v>
      </c>
      <c r="E3756" s="577" t="s">
        <v>6</v>
      </c>
      <c r="F3756" s="101">
        <v>6.7000000000000004E-2</v>
      </c>
      <c r="G3756" s="63">
        <f>VLOOKUP(D3756,upahbahan,3,FALSE)</f>
        <v>135000</v>
      </c>
      <c r="H3756" s="63">
        <f>F3756*G3756</f>
        <v>9045</v>
      </c>
      <c r="I3756" s="44"/>
      <c r="J3756" s="152"/>
      <c r="M3756" s="65"/>
    </row>
    <row r="3757" spans="3:13" s="59" customFormat="1" ht="22.2" customHeight="1">
      <c r="C3757" s="588">
        <v>4</v>
      </c>
      <c r="D3757" s="56" t="s">
        <v>19</v>
      </c>
      <c r="E3757" s="577" t="s">
        <v>6</v>
      </c>
      <c r="F3757" s="101">
        <v>1.2999999999999999E-2</v>
      </c>
      <c r="G3757" s="63">
        <f>VLOOKUP(D3757,upahbahan,3,FALSE)</f>
        <v>160000</v>
      </c>
      <c r="H3757" s="63">
        <f t="shared" ref="H3757" si="461">F3757*G3757</f>
        <v>2080</v>
      </c>
      <c r="I3757" s="44"/>
    </row>
    <row r="3758" spans="3:13" s="59" customFormat="1" ht="22.2" customHeight="1">
      <c r="C3758" s="450" t="s">
        <v>1208</v>
      </c>
      <c r="D3758" s="67"/>
      <c r="E3758" s="67"/>
      <c r="F3758" s="142"/>
      <c r="G3758" s="153"/>
      <c r="H3758" s="63">
        <f>SUM(H3755:H3757)</f>
        <v>24625</v>
      </c>
      <c r="I3758" s="154"/>
    </row>
    <row r="3759" spans="3:13" s="59" customFormat="1" ht="22.2" customHeight="1">
      <c r="C3759" s="61" t="s">
        <v>1209</v>
      </c>
      <c r="D3759" s="56" t="s">
        <v>1210</v>
      </c>
      <c r="E3759" s="57"/>
      <c r="F3759" s="57"/>
      <c r="G3759" s="57"/>
      <c r="H3759" s="57"/>
      <c r="I3759" s="44"/>
    </row>
    <row r="3760" spans="3:13" s="59" customFormat="1" ht="22.2" customHeight="1">
      <c r="C3760" s="800">
        <v>1</v>
      </c>
      <c r="D3760" s="56" t="s">
        <v>8707</v>
      </c>
      <c r="E3760" s="93" t="s">
        <v>2167</v>
      </c>
      <c r="F3760" s="104">
        <v>1</v>
      </c>
      <c r="G3760" s="63">
        <f>VLOOKUP(D3760,upahbahan,3,FALSE)</f>
        <v>115000</v>
      </c>
      <c r="H3760" s="63">
        <f t="shared" ref="H3760" si="462">F3760*G3760</f>
        <v>115000</v>
      </c>
      <c r="I3760" s="44"/>
    </row>
    <row r="3761" spans="3:13" s="59" customFormat="1" ht="22.2" customHeight="1">
      <c r="C3761" s="450" t="s">
        <v>1214</v>
      </c>
      <c r="D3761" s="67"/>
      <c r="E3761" s="67"/>
      <c r="F3761" s="67"/>
      <c r="G3761" s="69"/>
      <c r="H3761" s="63">
        <f>SUM(H3759:H3760)</f>
        <v>115000</v>
      </c>
      <c r="I3761" s="44"/>
    </row>
    <row r="3762" spans="3:13" s="59" customFormat="1" ht="22.2" customHeight="1">
      <c r="C3762" s="61" t="s">
        <v>1215</v>
      </c>
      <c r="D3762" s="56" t="s">
        <v>1216</v>
      </c>
      <c r="E3762" s="93"/>
      <c r="F3762" s="57"/>
      <c r="G3762" s="57"/>
      <c r="H3762" s="57"/>
      <c r="I3762" s="44"/>
    </row>
    <row r="3763" spans="3:13" s="59" customFormat="1" ht="22.2" customHeight="1">
      <c r="C3763" s="450" t="s">
        <v>1217</v>
      </c>
      <c r="D3763" s="67"/>
      <c r="E3763" s="67"/>
      <c r="F3763" s="67"/>
      <c r="G3763" s="69"/>
      <c r="H3763" s="882">
        <f>SUM(H3762:H3762)</f>
        <v>0</v>
      </c>
      <c r="I3763" s="44"/>
    </row>
    <row r="3764" spans="3:13" s="59" customFormat="1" ht="22.2" customHeight="1">
      <c r="C3764" s="288" t="s">
        <v>1218</v>
      </c>
      <c r="D3764" s="76" t="s">
        <v>1219</v>
      </c>
      <c r="E3764" s="77"/>
      <c r="F3764" s="77"/>
      <c r="G3764" s="78"/>
      <c r="H3764" s="585">
        <f>H3763+H3761+H3758</f>
        <v>139625</v>
      </c>
      <c r="I3764" s="369"/>
    </row>
    <row r="3765" spans="3:13" s="59" customFormat="1" ht="22.2" customHeight="1">
      <c r="C3765" s="288" t="s">
        <v>1220</v>
      </c>
      <c r="D3765" s="76" t="s">
        <v>1321</v>
      </c>
      <c r="E3765" s="77"/>
      <c r="F3765" s="78"/>
      <c r="G3765" s="80">
        <v>0.1</v>
      </c>
      <c r="H3765" s="63">
        <f>H3764*G3765</f>
        <v>13962.5</v>
      </c>
      <c r="I3765" s="369"/>
    </row>
    <row r="3766" spans="3:13" s="59" customFormat="1" ht="22.2" customHeight="1">
      <c r="C3766" s="288" t="s">
        <v>1221</v>
      </c>
      <c r="D3766" s="76" t="s">
        <v>1222</v>
      </c>
      <c r="E3766" s="77"/>
      <c r="F3766" s="77"/>
      <c r="G3766" s="78"/>
      <c r="H3766" s="799">
        <f>SUM(H3764:H3765)</f>
        <v>153587.5</v>
      </c>
      <c r="I3766" s="369"/>
    </row>
    <row r="3767" spans="3:13" ht="22.2" customHeight="1"/>
    <row r="3768" spans="3:13" ht="22.2" customHeight="1">
      <c r="C3768" s="43" t="s">
        <v>5123</v>
      </c>
      <c r="D3768" s="128" t="s">
        <v>8708</v>
      </c>
      <c r="I3768" s="50">
        <f>ROUNDDOWN(H3782,-2)</f>
        <v>175900</v>
      </c>
      <c r="J3768" s="122" t="s">
        <v>6451</v>
      </c>
      <c r="K3768" s="122" t="s">
        <v>8676</v>
      </c>
    </row>
    <row r="3769" spans="3:13" s="59" customFormat="1" ht="22.2" customHeight="1">
      <c r="C3769" s="591" t="s">
        <v>1195</v>
      </c>
      <c r="D3769" s="591" t="s">
        <v>1196</v>
      </c>
      <c r="E3769" s="591" t="s">
        <v>1197</v>
      </c>
      <c r="F3769" s="591" t="s">
        <v>1198</v>
      </c>
      <c r="G3769" s="591" t="s">
        <v>1199</v>
      </c>
      <c r="H3769" s="591" t="s">
        <v>1200</v>
      </c>
      <c r="I3769" s="44"/>
    </row>
    <row r="3770" spans="3:13" s="59" customFormat="1" ht="22.2" customHeight="1">
      <c r="C3770" s="61" t="s">
        <v>1201</v>
      </c>
      <c r="D3770" s="56" t="s">
        <v>1202</v>
      </c>
      <c r="E3770" s="57"/>
      <c r="F3770" s="57"/>
      <c r="G3770" s="57"/>
      <c r="H3770" s="57"/>
      <c r="I3770" s="44"/>
      <c r="J3770" s="152" t="s">
        <v>1247</v>
      </c>
    </row>
    <row r="3771" spans="3:13" s="59" customFormat="1" ht="22.2" customHeight="1">
      <c r="C3771" s="588">
        <v>1</v>
      </c>
      <c r="D3771" s="56" t="s">
        <v>5</v>
      </c>
      <c r="E3771" s="577" t="s">
        <v>6</v>
      </c>
      <c r="F3771" s="101">
        <v>0.16900000000000001</v>
      </c>
      <c r="G3771" s="63">
        <f>VLOOKUP(D3771,upahbahan,3,FALSE)</f>
        <v>100000</v>
      </c>
      <c r="H3771" s="63">
        <f>F3771*G3771</f>
        <v>16900</v>
      </c>
      <c r="I3771" s="44"/>
      <c r="J3771" s="152" t="s">
        <v>1248</v>
      </c>
      <c r="M3771" s="65">
        <v>0.1</v>
      </c>
    </row>
    <row r="3772" spans="3:13" s="59" customFormat="1" ht="22.2" customHeight="1">
      <c r="C3772" s="588">
        <v>2</v>
      </c>
      <c r="D3772" s="56" t="s">
        <v>10</v>
      </c>
      <c r="E3772" s="577" t="s">
        <v>6</v>
      </c>
      <c r="F3772" s="101">
        <v>8.4000000000000005E-2</v>
      </c>
      <c r="G3772" s="63">
        <f>VLOOKUP(D3772,upahbahan,3,FALSE)</f>
        <v>135000</v>
      </c>
      <c r="H3772" s="63">
        <f>F3772*G3772</f>
        <v>11340</v>
      </c>
      <c r="I3772" s="44"/>
      <c r="J3772" s="152"/>
      <c r="M3772" s="65"/>
    </row>
    <row r="3773" spans="3:13" s="59" customFormat="1" ht="22.2" customHeight="1">
      <c r="C3773" s="588">
        <v>4</v>
      </c>
      <c r="D3773" s="56" t="s">
        <v>19</v>
      </c>
      <c r="E3773" s="577" t="s">
        <v>6</v>
      </c>
      <c r="F3773" s="101">
        <v>1.7000000000000001E-2</v>
      </c>
      <c r="G3773" s="63">
        <f>VLOOKUP(D3773,upahbahan,3,FALSE)</f>
        <v>160000</v>
      </c>
      <c r="H3773" s="63">
        <f t="shared" ref="H3773" si="463">F3773*G3773</f>
        <v>2720</v>
      </c>
      <c r="I3773" s="44"/>
    </row>
    <row r="3774" spans="3:13" s="59" customFormat="1" ht="22.2" customHeight="1">
      <c r="C3774" s="450" t="s">
        <v>1208</v>
      </c>
      <c r="D3774" s="67"/>
      <c r="E3774" s="67"/>
      <c r="F3774" s="142"/>
      <c r="G3774" s="153"/>
      <c r="H3774" s="63">
        <f>SUM(H3771:H3773)</f>
        <v>30960</v>
      </c>
      <c r="I3774" s="154"/>
    </row>
    <row r="3775" spans="3:13" s="59" customFormat="1" ht="22.2" customHeight="1">
      <c r="C3775" s="61" t="s">
        <v>1209</v>
      </c>
      <c r="D3775" s="56" t="s">
        <v>1210</v>
      </c>
      <c r="E3775" s="57"/>
      <c r="F3775" s="57"/>
      <c r="G3775" s="57"/>
      <c r="H3775" s="57"/>
      <c r="I3775" s="44"/>
    </row>
    <row r="3776" spans="3:13" s="59" customFormat="1" ht="22.2" customHeight="1">
      <c r="C3776" s="800">
        <v>1</v>
      </c>
      <c r="D3776" s="56" t="s">
        <v>8709</v>
      </c>
      <c r="E3776" s="93" t="s">
        <v>2167</v>
      </c>
      <c r="F3776" s="104">
        <v>1</v>
      </c>
      <c r="G3776" s="63">
        <f>VLOOKUP(D3776,upahbahan,3,FALSE)</f>
        <v>129000</v>
      </c>
      <c r="H3776" s="63">
        <f t="shared" ref="H3776" si="464">F3776*G3776</f>
        <v>129000</v>
      </c>
      <c r="I3776" s="44"/>
    </row>
    <row r="3777" spans="3:13" s="59" customFormat="1" ht="22.2" customHeight="1">
      <c r="C3777" s="450" t="s">
        <v>1214</v>
      </c>
      <c r="D3777" s="67"/>
      <c r="E3777" s="67"/>
      <c r="F3777" s="67"/>
      <c r="G3777" s="69"/>
      <c r="H3777" s="63">
        <f>SUM(H3775:H3776)</f>
        <v>129000</v>
      </c>
      <c r="I3777" s="44"/>
    </row>
    <row r="3778" spans="3:13" s="59" customFormat="1" ht="22.2" customHeight="1">
      <c r="C3778" s="61" t="s">
        <v>1215</v>
      </c>
      <c r="D3778" s="56" t="s">
        <v>1216</v>
      </c>
      <c r="E3778" s="93"/>
      <c r="F3778" s="57"/>
      <c r="G3778" s="57"/>
      <c r="H3778" s="57"/>
      <c r="I3778" s="44"/>
    </row>
    <row r="3779" spans="3:13" s="59" customFormat="1" ht="22.2" customHeight="1">
      <c r="C3779" s="450" t="s">
        <v>1217</v>
      </c>
      <c r="D3779" s="67"/>
      <c r="E3779" s="67"/>
      <c r="F3779" s="67"/>
      <c r="G3779" s="69"/>
      <c r="H3779" s="882">
        <f>SUM(H3778:H3778)</f>
        <v>0</v>
      </c>
      <c r="I3779" s="44"/>
    </row>
    <row r="3780" spans="3:13" s="59" customFormat="1" ht="22.2" customHeight="1">
      <c r="C3780" s="288" t="s">
        <v>1218</v>
      </c>
      <c r="D3780" s="76" t="s">
        <v>1219</v>
      </c>
      <c r="E3780" s="77"/>
      <c r="F3780" s="77"/>
      <c r="G3780" s="78"/>
      <c r="H3780" s="585">
        <f>H3779+H3777+H3774</f>
        <v>159960</v>
      </c>
      <c r="I3780" s="369"/>
    </row>
    <row r="3781" spans="3:13" s="59" customFormat="1" ht="22.2" customHeight="1">
      <c r="C3781" s="288" t="s">
        <v>1220</v>
      </c>
      <c r="D3781" s="76" t="s">
        <v>1321</v>
      </c>
      <c r="E3781" s="77"/>
      <c r="F3781" s="78"/>
      <c r="G3781" s="80">
        <v>0.1</v>
      </c>
      <c r="H3781" s="63">
        <f>H3780*G3781</f>
        <v>15996</v>
      </c>
      <c r="I3781" s="369"/>
    </row>
    <row r="3782" spans="3:13" s="59" customFormat="1" ht="22.2" customHeight="1">
      <c r="C3782" s="288" t="s">
        <v>1221</v>
      </c>
      <c r="D3782" s="76" t="s">
        <v>1222</v>
      </c>
      <c r="E3782" s="77"/>
      <c r="F3782" s="77"/>
      <c r="G3782" s="78"/>
      <c r="H3782" s="799">
        <f>SUM(H3780:H3781)</f>
        <v>175956</v>
      </c>
      <c r="I3782" s="369"/>
    </row>
    <row r="3783" spans="3:13" ht="22.2" customHeight="1"/>
    <row r="3784" spans="3:13" ht="22.2" customHeight="1">
      <c r="C3784" s="43" t="s">
        <v>5124</v>
      </c>
      <c r="D3784" s="128" t="s">
        <v>8710</v>
      </c>
      <c r="I3784" s="50">
        <f>ROUNDDOWN(H3798,-2)</f>
        <v>190900</v>
      </c>
      <c r="J3784" s="122" t="s">
        <v>6451</v>
      </c>
      <c r="K3784" s="122" t="s">
        <v>8676</v>
      </c>
    </row>
    <row r="3785" spans="3:13" s="59" customFormat="1" ht="22.2" customHeight="1">
      <c r="C3785" s="591" t="s">
        <v>1195</v>
      </c>
      <c r="D3785" s="591" t="s">
        <v>1196</v>
      </c>
      <c r="E3785" s="591" t="s">
        <v>1197</v>
      </c>
      <c r="F3785" s="591" t="s">
        <v>1198</v>
      </c>
      <c r="G3785" s="591" t="s">
        <v>1199</v>
      </c>
      <c r="H3785" s="591" t="s">
        <v>1200</v>
      </c>
      <c r="I3785" s="44"/>
    </row>
    <row r="3786" spans="3:13" s="59" customFormat="1" ht="22.2" customHeight="1">
      <c r="C3786" s="61" t="s">
        <v>1201</v>
      </c>
      <c r="D3786" s="56" t="s">
        <v>1202</v>
      </c>
      <c r="E3786" s="57"/>
      <c r="F3786" s="57"/>
      <c r="G3786" s="57"/>
      <c r="H3786" s="57"/>
      <c r="I3786" s="44"/>
      <c r="J3786" s="152" t="s">
        <v>1247</v>
      </c>
    </row>
    <row r="3787" spans="3:13" s="59" customFormat="1" ht="22.2" customHeight="1">
      <c r="C3787" s="588">
        <v>1</v>
      </c>
      <c r="D3787" s="56" t="s">
        <v>5</v>
      </c>
      <c r="E3787" s="577" t="s">
        <v>6</v>
      </c>
      <c r="F3787" s="101">
        <v>0.21099999999999999</v>
      </c>
      <c r="G3787" s="63">
        <f>VLOOKUP(D3787,upahbahan,3,FALSE)</f>
        <v>100000</v>
      </c>
      <c r="H3787" s="63">
        <f>F3787*G3787</f>
        <v>21100</v>
      </c>
      <c r="I3787" s="44"/>
      <c r="J3787" s="152" t="s">
        <v>1248</v>
      </c>
      <c r="M3787" s="65">
        <v>0.1</v>
      </c>
    </row>
    <row r="3788" spans="3:13" s="59" customFormat="1" ht="22.2" customHeight="1">
      <c r="C3788" s="588">
        <v>2</v>
      </c>
      <c r="D3788" s="56" t="s">
        <v>10</v>
      </c>
      <c r="E3788" s="577" t="s">
        <v>6</v>
      </c>
      <c r="F3788" s="101">
        <v>0.105</v>
      </c>
      <c r="G3788" s="63">
        <f>VLOOKUP(D3788,upahbahan,3,FALSE)</f>
        <v>135000</v>
      </c>
      <c r="H3788" s="63">
        <f>F3788*G3788</f>
        <v>14175</v>
      </c>
      <c r="I3788" s="44"/>
      <c r="J3788" s="152"/>
      <c r="M3788" s="65"/>
    </row>
    <row r="3789" spans="3:13" s="59" customFormat="1" ht="22.2" customHeight="1">
      <c r="C3789" s="588">
        <v>4</v>
      </c>
      <c r="D3789" s="56" t="s">
        <v>19</v>
      </c>
      <c r="E3789" s="577" t="s">
        <v>6</v>
      </c>
      <c r="F3789" s="101">
        <v>2.1000000000000001E-2</v>
      </c>
      <c r="G3789" s="63">
        <f>VLOOKUP(D3789,upahbahan,3,FALSE)</f>
        <v>160000</v>
      </c>
      <c r="H3789" s="63">
        <f t="shared" ref="H3789" si="465">F3789*G3789</f>
        <v>3360</v>
      </c>
      <c r="I3789" s="44"/>
    </row>
    <row r="3790" spans="3:13" s="59" customFormat="1" ht="22.2" customHeight="1">
      <c r="C3790" s="450" t="s">
        <v>1208</v>
      </c>
      <c r="D3790" s="67"/>
      <c r="E3790" s="67"/>
      <c r="F3790" s="142"/>
      <c r="G3790" s="153"/>
      <c r="H3790" s="63">
        <f>SUM(H3787:H3789)</f>
        <v>38635</v>
      </c>
      <c r="I3790" s="154"/>
    </row>
    <row r="3791" spans="3:13" s="59" customFormat="1" ht="22.2" customHeight="1">
      <c r="C3791" s="61" t="s">
        <v>1209</v>
      </c>
      <c r="D3791" s="56" t="s">
        <v>1210</v>
      </c>
      <c r="E3791" s="57"/>
      <c r="F3791" s="57"/>
      <c r="G3791" s="57"/>
      <c r="H3791" s="57"/>
      <c r="I3791" s="44"/>
    </row>
    <row r="3792" spans="3:13" s="59" customFormat="1" ht="22.2" customHeight="1">
      <c r="C3792" s="800">
        <v>1</v>
      </c>
      <c r="D3792" s="56" t="s">
        <v>8711</v>
      </c>
      <c r="E3792" s="93" t="s">
        <v>2167</v>
      </c>
      <c r="F3792" s="104">
        <v>1</v>
      </c>
      <c r="G3792" s="63">
        <f>VLOOKUP(D3792,upahbahan,3,FALSE)</f>
        <v>135000</v>
      </c>
      <c r="H3792" s="63">
        <f t="shared" ref="H3792" si="466">F3792*G3792</f>
        <v>135000</v>
      </c>
      <c r="I3792" s="44"/>
    </row>
    <row r="3793" spans="3:13" s="59" customFormat="1" ht="22.2" customHeight="1">
      <c r="C3793" s="450" t="s">
        <v>1214</v>
      </c>
      <c r="D3793" s="67"/>
      <c r="E3793" s="67"/>
      <c r="F3793" s="67"/>
      <c r="G3793" s="69"/>
      <c r="H3793" s="63">
        <f>SUM(H3791:H3792)</f>
        <v>135000</v>
      </c>
      <c r="I3793" s="44"/>
    </row>
    <row r="3794" spans="3:13" s="59" customFormat="1" ht="22.2" customHeight="1">
      <c r="C3794" s="61" t="s">
        <v>1215</v>
      </c>
      <c r="D3794" s="56" t="s">
        <v>1216</v>
      </c>
      <c r="E3794" s="93"/>
      <c r="F3794" s="57"/>
      <c r="G3794" s="57"/>
      <c r="H3794" s="57"/>
      <c r="I3794" s="44"/>
    </row>
    <row r="3795" spans="3:13" s="59" customFormat="1" ht="22.2" customHeight="1">
      <c r="C3795" s="450" t="s">
        <v>1217</v>
      </c>
      <c r="D3795" s="67"/>
      <c r="E3795" s="67"/>
      <c r="F3795" s="67"/>
      <c r="G3795" s="69"/>
      <c r="H3795" s="882">
        <f>SUM(H3794:H3794)</f>
        <v>0</v>
      </c>
      <c r="I3795" s="44"/>
    </row>
    <row r="3796" spans="3:13" s="59" customFormat="1" ht="22.2" customHeight="1">
      <c r="C3796" s="288" t="s">
        <v>1218</v>
      </c>
      <c r="D3796" s="76" t="s">
        <v>1219</v>
      </c>
      <c r="E3796" s="77"/>
      <c r="F3796" s="77"/>
      <c r="G3796" s="78"/>
      <c r="H3796" s="585">
        <f>H3795+H3793+H3790</f>
        <v>173635</v>
      </c>
      <c r="I3796" s="369"/>
    </row>
    <row r="3797" spans="3:13" s="59" customFormat="1" ht="22.2" customHeight="1">
      <c r="C3797" s="288" t="s">
        <v>1220</v>
      </c>
      <c r="D3797" s="76" t="s">
        <v>1321</v>
      </c>
      <c r="E3797" s="77"/>
      <c r="F3797" s="78"/>
      <c r="G3797" s="80">
        <v>0.1</v>
      </c>
      <c r="H3797" s="63">
        <f>H3796*G3797</f>
        <v>17363.5</v>
      </c>
      <c r="I3797" s="369"/>
    </row>
    <row r="3798" spans="3:13" s="59" customFormat="1" ht="22.2" customHeight="1">
      <c r="C3798" s="288" t="s">
        <v>1221</v>
      </c>
      <c r="D3798" s="76" t="s">
        <v>1222</v>
      </c>
      <c r="E3798" s="77"/>
      <c r="F3798" s="77"/>
      <c r="G3798" s="78"/>
      <c r="H3798" s="799">
        <f>SUM(H3796:H3797)</f>
        <v>190998.5</v>
      </c>
      <c r="I3798" s="369"/>
    </row>
    <row r="3799" spans="3:13" ht="22.2" customHeight="1"/>
    <row r="3800" spans="3:13" ht="22.2" customHeight="1">
      <c r="C3800" s="43" t="s">
        <v>5125</v>
      </c>
      <c r="D3800" s="128" t="s">
        <v>8712</v>
      </c>
      <c r="I3800" s="50">
        <f>ROUNDDOWN(H3814,-2)</f>
        <v>218100</v>
      </c>
      <c r="J3800" s="122" t="s">
        <v>6451</v>
      </c>
      <c r="K3800" s="122" t="s">
        <v>8676</v>
      </c>
    </row>
    <row r="3801" spans="3:13" s="59" customFormat="1" ht="22.2" customHeight="1">
      <c r="C3801" s="591" t="s">
        <v>1195</v>
      </c>
      <c r="D3801" s="591" t="s">
        <v>1196</v>
      </c>
      <c r="E3801" s="591" t="s">
        <v>1197</v>
      </c>
      <c r="F3801" s="591" t="s">
        <v>1198</v>
      </c>
      <c r="G3801" s="591" t="s">
        <v>1199</v>
      </c>
      <c r="H3801" s="591" t="s">
        <v>1200</v>
      </c>
      <c r="I3801" s="44"/>
    </row>
    <row r="3802" spans="3:13" s="59" customFormat="1" ht="22.2" customHeight="1">
      <c r="C3802" s="61" t="s">
        <v>1201</v>
      </c>
      <c r="D3802" s="56" t="s">
        <v>1202</v>
      </c>
      <c r="E3802" s="57"/>
      <c r="F3802" s="57"/>
      <c r="G3802" s="57"/>
      <c r="H3802" s="57"/>
      <c r="I3802" s="44"/>
      <c r="J3802" s="152" t="s">
        <v>1247</v>
      </c>
    </row>
    <row r="3803" spans="3:13" s="59" customFormat="1" ht="22.2" customHeight="1">
      <c r="C3803" s="588">
        <v>1</v>
      </c>
      <c r="D3803" s="56" t="s">
        <v>5</v>
      </c>
      <c r="E3803" s="577" t="s">
        <v>6</v>
      </c>
      <c r="F3803" s="101">
        <v>0.26300000000000001</v>
      </c>
      <c r="G3803" s="63">
        <f>VLOOKUP(D3803,upahbahan,3,FALSE)</f>
        <v>100000</v>
      </c>
      <c r="H3803" s="63">
        <f>F3803*G3803</f>
        <v>26300</v>
      </c>
      <c r="I3803" s="44"/>
      <c r="J3803" s="152" t="s">
        <v>1248</v>
      </c>
      <c r="M3803" s="65">
        <v>0.1</v>
      </c>
    </row>
    <row r="3804" spans="3:13" s="59" customFormat="1" ht="22.2" customHeight="1">
      <c r="C3804" s="588">
        <v>2</v>
      </c>
      <c r="D3804" s="56" t="s">
        <v>10</v>
      </c>
      <c r="E3804" s="577" t="s">
        <v>6</v>
      </c>
      <c r="F3804" s="101">
        <v>0.13200000000000001</v>
      </c>
      <c r="G3804" s="63">
        <f>VLOOKUP(D3804,upahbahan,3,FALSE)</f>
        <v>135000</v>
      </c>
      <c r="H3804" s="63">
        <f>F3804*G3804</f>
        <v>17820</v>
      </c>
      <c r="I3804" s="44"/>
      <c r="J3804" s="152"/>
      <c r="M3804" s="65"/>
    </row>
    <row r="3805" spans="3:13" s="59" customFormat="1" ht="22.2" customHeight="1">
      <c r="C3805" s="588">
        <v>4</v>
      </c>
      <c r="D3805" s="56" t="s">
        <v>19</v>
      </c>
      <c r="E3805" s="577" t="s">
        <v>6</v>
      </c>
      <c r="F3805" s="101">
        <v>2.5999999999999999E-2</v>
      </c>
      <c r="G3805" s="63">
        <f>VLOOKUP(D3805,upahbahan,3,FALSE)</f>
        <v>160000</v>
      </c>
      <c r="H3805" s="63">
        <f t="shared" ref="H3805" si="467">F3805*G3805</f>
        <v>4160</v>
      </c>
      <c r="I3805" s="44"/>
    </row>
    <row r="3806" spans="3:13" s="59" customFormat="1" ht="22.2" customHeight="1">
      <c r="C3806" s="450" t="s">
        <v>1208</v>
      </c>
      <c r="D3806" s="67"/>
      <c r="E3806" s="67"/>
      <c r="F3806" s="142"/>
      <c r="G3806" s="153"/>
      <c r="H3806" s="63">
        <f>SUM(H3803:H3805)</f>
        <v>48280</v>
      </c>
      <c r="I3806" s="154"/>
    </row>
    <row r="3807" spans="3:13" s="59" customFormat="1" ht="22.2" customHeight="1">
      <c r="C3807" s="61" t="s">
        <v>1209</v>
      </c>
      <c r="D3807" s="56" t="s">
        <v>1210</v>
      </c>
      <c r="E3807" s="57"/>
      <c r="F3807" s="57"/>
      <c r="G3807" s="57"/>
      <c r="H3807" s="57"/>
      <c r="I3807" s="44"/>
    </row>
    <row r="3808" spans="3:13" s="59" customFormat="1" ht="22.2" customHeight="1">
      <c r="C3808" s="800">
        <v>1</v>
      </c>
      <c r="D3808" s="56" t="s">
        <v>8713</v>
      </c>
      <c r="E3808" s="93" t="s">
        <v>2167</v>
      </c>
      <c r="F3808" s="104">
        <v>1</v>
      </c>
      <c r="G3808" s="63">
        <f>VLOOKUP(D3808,upahbahan,3,FALSE)</f>
        <v>150000</v>
      </c>
      <c r="H3808" s="63">
        <f t="shared" ref="H3808" si="468">F3808*G3808</f>
        <v>150000</v>
      </c>
      <c r="I3808" s="44"/>
    </row>
    <row r="3809" spans="3:13" s="59" customFormat="1" ht="22.2" customHeight="1">
      <c r="C3809" s="450" t="s">
        <v>1214</v>
      </c>
      <c r="D3809" s="67"/>
      <c r="E3809" s="67"/>
      <c r="F3809" s="67"/>
      <c r="G3809" s="69"/>
      <c r="H3809" s="63">
        <f>SUM(H3807:H3808)</f>
        <v>150000</v>
      </c>
      <c r="I3809" s="44"/>
    </row>
    <row r="3810" spans="3:13" s="59" customFormat="1" ht="22.2" customHeight="1">
      <c r="C3810" s="61" t="s">
        <v>1215</v>
      </c>
      <c r="D3810" s="56" t="s">
        <v>1216</v>
      </c>
      <c r="E3810" s="93"/>
      <c r="F3810" s="57"/>
      <c r="G3810" s="57"/>
      <c r="H3810" s="57"/>
      <c r="I3810" s="44"/>
    </row>
    <row r="3811" spans="3:13" s="59" customFormat="1" ht="22.2" customHeight="1">
      <c r="C3811" s="450" t="s">
        <v>1217</v>
      </c>
      <c r="D3811" s="67"/>
      <c r="E3811" s="67"/>
      <c r="F3811" s="67"/>
      <c r="G3811" s="69"/>
      <c r="H3811" s="882">
        <f>SUM(H3810:H3810)</f>
        <v>0</v>
      </c>
      <c r="I3811" s="44"/>
    </row>
    <row r="3812" spans="3:13" s="59" customFormat="1" ht="22.2" customHeight="1">
      <c r="C3812" s="288" t="s">
        <v>1218</v>
      </c>
      <c r="D3812" s="76" t="s">
        <v>1219</v>
      </c>
      <c r="E3812" s="77"/>
      <c r="F3812" s="77"/>
      <c r="G3812" s="78"/>
      <c r="H3812" s="585">
        <f>H3811+H3809+H3806</f>
        <v>198280</v>
      </c>
      <c r="I3812" s="369"/>
    </row>
    <row r="3813" spans="3:13" s="59" customFormat="1" ht="22.2" customHeight="1">
      <c r="C3813" s="288" t="s">
        <v>1220</v>
      </c>
      <c r="D3813" s="76" t="s">
        <v>1321</v>
      </c>
      <c r="E3813" s="77"/>
      <c r="F3813" s="78"/>
      <c r="G3813" s="80">
        <v>0.1</v>
      </c>
      <c r="H3813" s="63">
        <f>H3812*G3813</f>
        <v>19828</v>
      </c>
      <c r="I3813" s="369"/>
    </row>
    <row r="3814" spans="3:13" s="59" customFormat="1" ht="22.2" customHeight="1">
      <c r="C3814" s="288" t="s">
        <v>1221</v>
      </c>
      <c r="D3814" s="76" t="s">
        <v>1222</v>
      </c>
      <c r="E3814" s="77"/>
      <c r="F3814" s="77"/>
      <c r="G3814" s="78"/>
      <c r="H3814" s="799">
        <f>SUM(H3812:H3813)</f>
        <v>218108</v>
      </c>
      <c r="I3814" s="369"/>
    </row>
    <row r="3815" spans="3:13" ht="22.2" customHeight="1"/>
    <row r="3816" spans="3:13" ht="22.2" customHeight="1">
      <c r="C3816" s="43" t="s">
        <v>5126</v>
      </c>
      <c r="D3816" s="128" t="s">
        <v>8714</v>
      </c>
      <c r="I3816" s="50">
        <f>ROUNDDOWN(H3830,-2)</f>
        <v>253500</v>
      </c>
      <c r="J3816" s="122" t="s">
        <v>6451</v>
      </c>
      <c r="K3816" s="122" t="s">
        <v>8676</v>
      </c>
    </row>
    <row r="3817" spans="3:13" s="59" customFormat="1" ht="22.2" customHeight="1">
      <c r="C3817" s="591" t="s">
        <v>1195</v>
      </c>
      <c r="D3817" s="591" t="s">
        <v>1196</v>
      </c>
      <c r="E3817" s="591" t="s">
        <v>1197</v>
      </c>
      <c r="F3817" s="591" t="s">
        <v>1198</v>
      </c>
      <c r="G3817" s="591" t="s">
        <v>1199</v>
      </c>
      <c r="H3817" s="591" t="s">
        <v>1200</v>
      </c>
      <c r="I3817" s="44"/>
    </row>
    <row r="3818" spans="3:13" s="59" customFormat="1" ht="22.2" customHeight="1">
      <c r="C3818" s="61" t="s">
        <v>1201</v>
      </c>
      <c r="D3818" s="56" t="s">
        <v>1202</v>
      </c>
      <c r="E3818" s="57"/>
      <c r="F3818" s="57"/>
      <c r="G3818" s="57"/>
      <c r="H3818" s="57"/>
      <c r="I3818" s="44"/>
      <c r="J3818" s="152" t="s">
        <v>1247</v>
      </c>
    </row>
    <row r="3819" spans="3:13" s="59" customFormat="1" ht="22.2" customHeight="1">
      <c r="C3819" s="588">
        <v>1</v>
      </c>
      <c r="D3819" s="56" t="s">
        <v>5</v>
      </c>
      <c r="E3819" s="577" t="s">
        <v>6</v>
      </c>
      <c r="F3819" s="101">
        <v>0.32900000000000001</v>
      </c>
      <c r="G3819" s="63">
        <f>VLOOKUP(D3819,upahbahan,3,FALSE)</f>
        <v>100000</v>
      </c>
      <c r="H3819" s="63">
        <f>F3819*G3819</f>
        <v>32900</v>
      </c>
      <c r="I3819" s="44"/>
      <c r="J3819" s="152" t="s">
        <v>1248</v>
      </c>
      <c r="M3819" s="65">
        <v>0.1</v>
      </c>
    </row>
    <row r="3820" spans="3:13" s="59" customFormat="1" ht="22.2" customHeight="1">
      <c r="C3820" s="588">
        <v>2</v>
      </c>
      <c r="D3820" s="56" t="s">
        <v>10</v>
      </c>
      <c r="E3820" s="577" t="s">
        <v>6</v>
      </c>
      <c r="F3820" s="101">
        <v>0.16500000000000001</v>
      </c>
      <c r="G3820" s="63">
        <f>VLOOKUP(D3820,upahbahan,3,FALSE)</f>
        <v>135000</v>
      </c>
      <c r="H3820" s="63">
        <f>F3820*G3820</f>
        <v>22275</v>
      </c>
      <c r="I3820" s="44"/>
      <c r="J3820" s="152"/>
      <c r="M3820" s="65"/>
    </row>
    <row r="3821" spans="3:13" s="59" customFormat="1" ht="22.2" customHeight="1">
      <c r="C3821" s="588">
        <v>4</v>
      </c>
      <c r="D3821" s="56" t="s">
        <v>19</v>
      </c>
      <c r="E3821" s="577" t="s">
        <v>6</v>
      </c>
      <c r="F3821" s="101">
        <v>3.3000000000000002E-2</v>
      </c>
      <c r="G3821" s="63">
        <f>VLOOKUP(D3821,upahbahan,3,FALSE)</f>
        <v>160000</v>
      </c>
      <c r="H3821" s="63">
        <f t="shared" ref="H3821" si="469">F3821*G3821</f>
        <v>5280</v>
      </c>
      <c r="I3821" s="44"/>
    </row>
    <row r="3822" spans="3:13" s="59" customFormat="1" ht="22.2" customHeight="1">
      <c r="C3822" s="450" t="s">
        <v>1208</v>
      </c>
      <c r="D3822" s="67"/>
      <c r="E3822" s="67"/>
      <c r="F3822" s="142"/>
      <c r="G3822" s="153"/>
      <c r="H3822" s="63">
        <f>SUM(H3819:H3821)</f>
        <v>60455</v>
      </c>
      <c r="I3822" s="154"/>
    </row>
    <row r="3823" spans="3:13" s="59" customFormat="1" ht="22.2" customHeight="1">
      <c r="C3823" s="61" t="s">
        <v>1209</v>
      </c>
      <c r="D3823" s="56" t="s">
        <v>1210</v>
      </c>
      <c r="E3823" s="57"/>
      <c r="F3823" s="57"/>
      <c r="G3823" s="57"/>
      <c r="H3823" s="57"/>
      <c r="I3823" s="44"/>
    </row>
    <row r="3824" spans="3:13" s="59" customFormat="1" ht="22.2" customHeight="1">
      <c r="C3824" s="800">
        <v>1</v>
      </c>
      <c r="D3824" s="56" t="s">
        <v>8715</v>
      </c>
      <c r="E3824" s="93" t="s">
        <v>2167</v>
      </c>
      <c r="F3824" s="104">
        <v>1</v>
      </c>
      <c r="G3824" s="63">
        <f>VLOOKUP(D3824,upahbahan,3,FALSE)</f>
        <v>170000</v>
      </c>
      <c r="H3824" s="63">
        <f t="shared" ref="H3824" si="470">F3824*G3824</f>
        <v>170000</v>
      </c>
      <c r="I3824" s="44"/>
    </row>
    <row r="3825" spans="3:13" s="59" customFormat="1" ht="22.2" customHeight="1">
      <c r="C3825" s="450" t="s">
        <v>1214</v>
      </c>
      <c r="D3825" s="67"/>
      <c r="E3825" s="67"/>
      <c r="F3825" s="67"/>
      <c r="G3825" s="69"/>
      <c r="H3825" s="63">
        <f>SUM(H3823:H3824)</f>
        <v>170000</v>
      </c>
      <c r="I3825" s="44"/>
    </row>
    <row r="3826" spans="3:13" s="59" customFormat="1" ht="22.2" customHeight="1">
      <c r="C3826" s="61" t="s">
        <v>1215</v>
      </c>
      <c r="D3826" s="56" t="s">
        <v>1216</v>
      </c>
      <c r="E3826" s="93"/>
      <c r="F3826" s="57"/>
      <c r="G3826" s="57"/>
      <c r="H3826" s="57"/>
      <c r="I3826" s="44"/>
    </row>
    <row r="3827" spans="3:13" s="59" customFormat="1" ht="22.2" customHeight="1">
      <c r="C3827" s="450" t="s">
        <v>1217</v>
      </c>
      <c r="D3827" s="67"/>
      <c r="E3827" s="67"/>
      <c r="F3827" s="67"/>
      <c r="G3827" s="69"/>
      <c r="H3827" s="882">
        <f>SUM(H3826:H3826)</f>
        <v>0</v>
      </c>
      <c r="I3827" s="44"/>
    </row>
    <row r="3828" spans="3:13" s="59" customFormat="1" ht="22.2" customHeight="1">
      <c r="C3828" s="288" t="s">
        <v>1218</v>
      </c>
      <c r="D3828" s="76" t="s">
        <v>1219</v>
      </c>
      <c r="E3828" s="77"/>
      <c r="F3828" s="77"/>
      <c r="G3828" s="78"/>
      <c r="H3828" s="585">
        <f>H3827+H3825+H3822</f>
        <v>230455</v>
      </c>
      <c r="I3828" s="369"/>
    </row>
    <row r="3829" spans="3:13" s="59" customFormat="1" ht="22.2" customHeight="1">
      <c r="C3829" s="288" t="s">
        <v>1220</v>
      </c>
      <c r="D3829" s="76" t="s">
        <v>1321</v>
      </c>
      <c r="E3829" s="77"/>
      <c r="F3829" s="78"/>
      <c r="G3829" s="80">
        <v>0.1</v>
      </c>
      <c r="H3829" s="63">
        <f>H3828*G3829</f>
        <v>23045.5</v>
      </c>
      <c r="I3829" s="369"/>
    </row>
    <row r="3830" spans="3:13" s="59" customFormat="1" ht="22.2" customHeight="1">
      <c r="C3830" s="288" t="s">
        <v>1221</v>
      </c>
      <c r="D3830" s="76" t="s">
        <v>1222</v>
      </c>
      <c r="E3830" s="77"/>
      <c r="F3830" s="77"/>
      <c r="G3830" s="78"/>
      <c r="H3830" s="799">
        <f>SUM(H3828:H3829)</f>
        <v>253500.5</v>
      </c>
      <c r="I3830" s="369"/>
    </row>
    <row r="3831" spans="3:13" ht="22.2" customHeight="1"/>
    <row r="3832" spans="3:13" ht="22.2" customHeight="1"/>
    <row r="3833" spans="3:13" ht="22.2" customHeight="1">
      <c r="C3833" s="43" t="s">
        <v>5127</v>
      </c>
      <c r="D3833" s="128" t="s">
        <v>8716</v>
      </c>
      <c r="I3833" s="50">
        <f>ROUNDDOWN(H3847,-2)</f>
        <v>294300</v>
      </c>
      <c r="J3833" s="122" t="s">
        <v>6451</v>
      </c>
      <c r="K3833" s="122" t="s">
        <v>8676</v>
      </c>
    </row>
    <row r="3834" spans="3:13" s="59" customFormat="1" ht="22.2" customHeight="1">
      <c r="C3834" s="591" t="s">
        <v>1195</v>
      </c>
      <c r="D3834" s="591" t="s">
        <v>1196</v>
      </c>
      <c r="E3834" s="591" t="s">
        <v>1197</v>
      </c>
      <c r="F3834" s="591" t="s">
        <v>1198</v>
      </c>
      <c r="G3834" s="591" t="s">
        <v>1199</v>
      </c>
      <c r="H3834" s="591" t="s">
        <v>1200</v>
      </c>
      <c r="I3834" s="44"/>
    </row>
    <row r="3835" spans="3:13" s="59" customFormat="1" ht="22.2" customHeight="1">
      <c r="C3835" s="61" t="s">
        <v>1201</v>
      </c>
      <c r="D3835" s="56" t="s">
        <v>1202</v>
      </c>
      <c r="E3835" s="57"/>
      <c r="F3835" s="57"/>
      <c r="G3835" s="57"/>
      <c r="H3835" s="57"/>
      <c r="I3835" s="44"/>
      <c r="J3835" s="152" t="s">
        <v>1247</v>
      </c>
    </row>
    <row r="3836" spans="3:13" s="59" customFormat="1" ht="22.2" customHeight="1">
      <c r="C3836" s="588">
        <v>1</v>
      </c>
      <c r="D3836" s="56" t="s">
        <v>5</v>
      </c>
      <c r="E3836" s="577" t="s">
        <v>6</v>
      </c>
      <c r="F3836" s="101">
        <v>0.41199999999999998</v>
      </c>
      <c r="G3836" s="63">
        <f>VLOOKUP(D3836,upahbahan,3,FALSE)</f>
        <v>100000</v>
      </c>
      <c r="H3836" s="63">
        <f>F3836*G3836</f>
        <v>41200</v>
      </c>
      <c r="I3836" s="44"/>
      <c r="J3836" s="152" t="s">
        <v>1248</v>
      </c>
      <c r="M3836" s="65">
        <v>0.1</v>
      </c>
    </row>
    <row r="3837" spans="3:13" s="59" customFormat="1" ht="22.2" customHeight="1">
      <c r="C3837" s="588">
        <v>2</v>
      </c>
      <c r="D3837" s="56" t="s">
        <v>10</v>
      </c>
      <c r="E3837" s="577" t="s">
        <v>6</v>
      </c>
      <c r="F3837" s="101">
        <v>0.20599999999999999</v>
      </c>
      <c r="G3837" s="63">
        <f>VLOOKUP(D3837,upahbahan,3,FALSE)</f>
        <v>135000</v>
      </c>
      <c r="H3837" s="63">
        <f>F3837*G3837</f>
        <v>27810</v>
      </c>
      <c r="I3837" s="44"/>
      <c r="J3837" s="152"/>
      <c r="M3837" s="65"/>
    </row>
    <row r="3838" spans="3:13" s="59" customFormat="1" ht="22.2" customHeight="1">
      <c r="C3838" s="588">
        <v>4</v>
      </c>
      <c r="D3838" s="56" t="s">
        <v>19</v>
      </c>
      <c r="E3838" s="577" t="s">
        <v>6</v>
      </c>
      <c r="F3838" s="101">
        <v>4.1000000000000002E-2</v>
      </c>
      <c r="G3838" s="63">
        <f>VLOOKUP(D3838,upahbahan,3,FALSE)</f>
        <v>160000</v>
      </c>
      <c r="H3838" s="63">
        <f t="shared" ref="H3838" si="471">F3838*G3838</f>
        <v>6560</v>
      </c>
      <c r="I3838" s="44"/>
    </row>
    <row r="3839" spans="3:13" s="59" customFormat="1" ht="22.2" customHeight="1">
      <c r="C3839" s="450" t="s">
        <v>1208</v>
      </c>
      <c r="D3839" s="67"/>
      <c r="E3839" s="67"/>
      <c r="F3839" s="142"/>
      <c r="G3839" s="153"/>
      <c r="H3839" s="63">
        <f>SUM(H3836:H3838)</f>
        <v>75570</v>
      </c>
      <c r="I3839" s="154"/>
    </row>
    <row r="3840" spans="3:13" s="59" customFormat="1" ht="22.2" customHeight="1">
      <c r="C3840" s="61" t="s">
        <v>1209</v>
      </c>
      <c r="D3840" s="56" t="s">
        <v>1210</v>
      </c>
      <c r="E3840" s="57"/>
      <c r="F3840" s="57"/>
      <c r="G3840" s="57"/>
      <c r="H3840" s="57"/>
      <c r="I3840" s="44"/>
    </row>
    <row r="3841" spans="3:13" s="59" customFormat="1" ht="22.2" customHeight="1">
      <c r="C3841" s="800">
        <v>1</v>
      </c>
      <c r="D3841" s="56" t="s">
        <v>8717</v>
      </c>
      <c r="E3841" s="93" t="s">
        <v>2167</v>
      </c>
      <c r="F3841" s="104">
        <v>1</v>
      </c>
      <c r="G3841" s="63">
        <f>VLOOKUP(D3841,upahbahan,3,FALSE)</f>
        <v>192000</v>
      </c>
      <c r="H3841" s="63">
        <f t="shared" ref="H3841" si="472">F3841*G3841</f>
        <v>192000</v>
      </c>
      <c r="I3841" s="44"/>
    </row>
    <row r="3842" spans="3:13" s="59" customFormat="1" ht="22.2" customHeight="1">
      <c r="C3842" s="450" t="s">
        <v>1214</v>
      </c>
      <c r="D3842" s="67"/>
      <c r="E3842" s="67"/>
      <c r="F3842" s="67"/>
      <c r="G3842" s="69"/>
      <c r="H3842" s="63">
        <f>SUM(H3840:H3841)</f>
        <v>192000</v>
      </c>
      <c r="I3842" s="44"/>
    </row>
    <row r="3843" spans="3:13" s="59" customFormat="1" ht="22.2" customHeight="1">
      <c r="C3843" s="61" t="s">
        <v>1215</v>
      </c>
      <c r="D3843" s="56" t="s">
        <v>1216</v>
      </c>
      <c r="E3843" s="93"/>
      <c r="F3843" s="57"/>
      <c r="G3843" s="57"/>
      <c r="H3843" s="57"/>
      <c r="I3843" s="44"/>
    </row>
    <row r="3844" spans="3:13" s="59" customFormat="1" ht="22.2" customHeight="1">
      <c r="C3844" s="450" t="s">
        <v>1217</v>
      </c>
      <c r="D3844" s="67"/>
      <c r="E3844" s="67"/>
      <c r="F3844" s="67"/>
      <c r="G3844" s="69"/>
      <c r="H3844" s="882">
        <f>SUM(H3843:H3843)</f>
        <v>0</v>
      </c>
      <c r="I3844" s="44"/>
    </row>
    <row r="3845" spans="3:13" s="59" customFormat="1" ht="22.2" customHeight="1">
      <c r="C3845" s="288" t="s">
        <v>1218</v>
      </c>
      <c r="D3845" s="76" t="s">
        <v>1219</v>
      </c>
      <c r="E3845" s="77"/>
      <c r="F3845" s="77"/>
      <c r="G3845" s="78"/>
      <c r="H3845" s="585">
        <f>H3844+H3842+H3839</f>
        <v>267570</v>
      </c>
      <c r="I3845" s="369"/>
    </row>
    <row r="3846" spans="3:13" s="59" customFormat="1" ht="22.2" customHeight="1">
      <c r="C3846" s="288" t="s">
        <v>1220</v>
      </c>
      <c r="D3846" s="76" t="s">
        <v>1321</v>
      </c>
      <c r="E3846" s="77"/>
      <c r="F3846" s="78"/>
      <c r="G3846" s="80">
        <v>0.1</v>
      </c>
      <c r="H3846" s="63">
        <f>H3845*G3846</f>
        <v>26757</v>
      </c>
      <c r="I3846" s="369"/>
    </row>
    <row r="3847" spans="3:13" s="59" customFormat="1" ht="22.2" customHeight="1">
      <c r="C3847" s="288" t="s">
        <v>1221</v>
      </c>
      <c r="D3847" s="76" t="s">
        <v>1222</v>
      </c>
      <c r="E3847" s="77"/>
      <c r="F3847" s="77"/>
      <c r="G3847" s="78"/>
      <c r="H3847" s="799">
        <f>SUM(H3845:H3846)</f>
        <v>294327</v>
      </c>
      <c r="I3847" s="369"/>
    </row>
    <row r="3848" spans="3:13" ht="22.2" customHeight="1"/>
    <row r="3849" spans="3:13" ht="22.2" customHeight="1">
      <c r="C3849" s="43" t="s">
        <v>5128</v>
      </c>
      <c r="D3849" s="128" t="s">
        <v>8718</v>
      </c>
      <c r="I3849" s="50">
        <f>ROUNDDOWN(H3863,-2)</f>
        <v>329200</v>
      </c>
      <c r="J3849" s="122" t="s">
        <v>6451</v>
      </c>
      <c r="K3849" s="122" t="s">
        <v>8676</v>
      </c>
    </row>
    <row r="3850" spans="3:13" s="59" customFormat="1" ht="22.2" customHeight="1">
      <c r="C3850" s="591" t="s">
        <v>1195</v>
      </c>
      <c r="D3850" s="591" t="s">
        <v>1196</v>
      </c>
      <c r="E3850" s="591" t="s">
        <v>1197</v>
      </c>
      <c r="F3850" s="591" t="s">
        <v>1198</v>
      </c>
      <c r="G3850" s="591" t="s">
        <v>1199</v>
      </c>
      <c r="H3850" s="591" t="s">
        <v>1200</v>
      </c>
      <c r="I3850" s="44"/>
    </row>
    <row r="3851" spans="3:13" s="59" customFormat="1" ht="22.2" customHeight="1">
      <c r="C3851" s="61" t="s">
        <v>1201</v>
      </c>
      <c r="D3851" s="56" t="s">
        <v>1202</v>
      </c>
      <c r="E3851" s="57"/>
      <c r="F3851" s="57"/>
      <c r="G3851" s="57"/>
      <c r="H3851" s="57"/>
      <c r="I3851" s="44"/>
      <c r="J3851" s="152" t="s">
        <v>1247</v>
      </c>
    </row>
    <row r="3852" spans="3:13" s="59" customFormat="1" ht="22.2" customHeight="1">
      <c r="C3852" s="588">
        <v>1</v>
      </c>
      <c r="D3852" s="56" t="s">
        <v>5</v>
      </c>
      <c r="E3852" s="577" t="s">
        <v>6</v>
      </c>
      <c r="F3852" s="101">
        <v>0.51500000000000001</v>
      </c>
      <c r="G3852" s="63">
        <f>VLOOKUP(D3852,upahbahan,3,FALSE)</f>
        <v>100000</v>
      </c>
      <c r="H3852" s="63">
        <f>F3852*G3852</f>
        <v>51500</v>
      </c>
      <c r="I3852" s="44"/>
      <c r="J3852" s="152" t="s">
        <v>1248</v>
      </c>
      <c r="M3852" s="65">
        <v>0.1</v>
      </c>
    </row>
    <row r="3853" spans="3:13" s="59" customFormat="1" ht="22.2" customHeight="1">
      <c r="C3853" s="588">
        <v>2</v>
      </c>
      <c r="D3853" s="56" t="s">
        <v>10</v>
      </c>
      <c r="E3853" s="577" t="s">
        <v>6</v>
      </c>
      <c r="F3853" s="101">
        <v>0.25700000000000001</v>
      </c>
      <c r="G3853" s="63">
        <f>VLOOKUP(D3853,upahbahan,3,FALSE)</f>
        <v>135000</v>
      </c>
      <c r="H3853" s="63">
        <f>F3853*G3853</f>
        <v>34695</v>
      </c>
      <c r="I3853" s="44"/>
      <c r="J3853" s="152"/>
      <c r="M3853" s="65"/>
    </row>
    <row r="3854" spans="3:13" s="59" customFormat="1" ht="22.2" customHeight="1">
      <c r="C3854" s="588">
        <v>4</v>
      </c>
      <c r="D3854" s="56" t="s">
        <v>19</v>
      </c>
      <c r="E3854" s="577" t="s">
        <v>6</v>
      </c>
      <c r="F3854" s="101">
        <v>5.0999999999999997E-2</v>
      </c>
      <c r="G3854" s="63">
        <f>VLOOKUP(D3854,upahbahan,3,FALSE)</f>
        <v>160000</v>
      </c>
      <c r="H3854" s="63">
        <f t="shared" ref="H3854" si="473">F3854*G3854</f>
        <v>8159.9999999999991</v>
      </c>
      <c r="I3854" s="44"/>
    </row>
    <row r="3855" spans="3:13" s="59" customFormat="1" ht="22.2" customHeight="1">
      <c r="C3855" s="450" t="s">
        <v>1208</v>
      </c>
      <c r="D3855" s="67"/>
      <c r="E3855" s="67"/>
      <c r="F3855" s="142"/>
      <c r="G3855" s="153"/>
      <c r="H3855" s="63">
        <f>SUM(H3852:H3854)</f>
        <v>94355</v>
      </c>
      <c r="I3855" s="154"/>
    </row>
    <row r="3856" spans="3:13" s="59" customFormat="1" ht="22.2" customHeight="1">
      <c r="C3856" s="61" t="s">
        <v>1209</v>
      </c>
      <c r="D3856" s="56" t="s">
        <v>1210</v>
      </c>
      <c r="E3856" s="57"/>
      <c r="F3856" s="57"/>
      <c r="G3856" s="57"/>
      <c r="H3856" s="57"/>
      <c r="I3856" s="44"/>
    </row>
    <row r="3857" spans="3:13" s="59" customFormat="1" ht="22.2" customHeight="1">
      <c r="C3857" s="800">
        <v>1</v>
      </c>
      <c r="D3857" s="56" t="s">
        <v>8719</v>
      </c>
      <c r="E3857" s="93" t="s">
        <v>2167</v>
      </c>
      <c r="F3857" s="104">
        <v>1</v>
      </c>
      <c r="G3857" s="63">
        <f>VLOOKUP(D3857,upahbahan,3,FALSE)</f>
        <v>205000</v>
      </c>
      <c r="H3857" s="63">
        <f t="shared" ref="H3857" si="474">F3857*G3857</f>
        <v>205000</v>
      </c>
      <c r="I3857" s="44"/>
    </row>
    <row r="3858" spans="3:13" s="59" customFormat="1" ht="22.2" customHeight="1">
      <c r="C3858" s="450" t="s">
        <v>1214</v>
      </c>
      <c r="D3858" s="67"/>
      <c r="E3858" s="67"/>
      <c r="F3858" s="67"/>
      <c r="G3858" s="69"/>
      <c r="H3858" s="63">
        <f>SUM(H3856:H3857)</f>
        <v>205000</v>
      </c>
      <c r="I3858" s="44"/>
    </row>
    <row r="3859" spans="3:13" s="59" customFormat="1" ht="22.2" customHeight="1">
      <c r="C3859" s="61" t="s">
        <v>1215</v>
      </c>
      <c r="D3859" s="56" t="s">
        <v>1216</v>
      </c>
      <c r="E3859" s="93"/>
      <c r="F3859" s="57"/>
      <c r="G3859" s="57"/>
      <c r="H3859" s="57"/>
      <c r="I3859" s="44"/>
    </row>
    <row r="3860" spans="3:13" s="59" customFormat="1" ht="22.2" customHeight="1">
      <c r="C3860" s="450" t="s">
        <v>1217</v>
      </c>
      <c r="D3860" s="67"/>
      <c r="E3860" s="67"/>
      <c r="F3860" s="67"/>
      <c r="G3860" s="69"/>
      <c r="H3860" s="882">
        <f>SUM(H3859:H3859)</f>
        <v>0</v>
      </c>
      <c r="I3860" s="44"/>
    </row>
    <row r="3861" spans="3:13" s="59" customFormat="1" ht="22.2" customHeight="1">
      <c r="C3861" s="288" t="s">
        <v>1218</v>
      </c>
      <c r="D3861" s="76" t="s">
        <v>1219</v>
      </c>
      <c r="E3861" s="77"/>
      <c r="F3861" s="77"/>
      <c r="G3861" s="78"/>
      <c r="H3861" s="585">
        <f>H3860+H3858+H3855</f>
        <v>299355</v>
      </c>
      <c r="I3861" s="369"/>
    </row>
    <row r="3862" spans="3:13" s="59" customFormat="1" ht="22.2" customHeight="1">
      <c r="C3862" s="288" t="s">
        <v>1220</v>
      </c>
      <c r="D3862" s="76" t="s">
        <v>1321</v>
      </c>
      <c r="E3862" s="77"/>
      <c r="F3862" s="78"/>
      <c r="G3862" s="80">
        <v>0.1</v>
      </c>
      <c r="H3862" s="63">
        <f>H3861*G3862</f>
        <v>29935.5</v>
      </c>
      <c r="I3862" s="369"/>
    </row>
    <row r="3863" spans="3:13" s="59" customFormat="1" ht="22.2" customHeight="1">
      <c r="C3863" s="288" t="s">
        <v>1221</v>
      </c>
      <c r="D3863" s="76" t="s">
        <v>1222</v>
      </c>
      <c r="E3863" s="77"/>
      <c r="F3863" s="77"/>
      <c r="G3863" s="78"/>
      <c r="H3863" s="799">
        <f>SUM(H3861:H3862)</f>
        <v>329290.5</v>
      </c>
      <c r="I3863" s="369"/>
    </row>
    <row r="3864" spans="3:13" ht="22.2" customHeight="1"/>
    <row r="3865" spans="3:13" ht="22.2" customHeight="1">
      <c r="C3865" s="43" t="s">
        <v>5535</v>
      </c>
      <c r="D3865" s="128" t="s">
        <v>8720</v>
      </c>
      <c r="I3865" s="50">
        <f>ROUNDDOWN(H3879,-2)</f>
        <v>403500</v>
      </c>
      <c r="J3865" s="122" t="s">
        <v>6451</v>
      </c>
      <c r="K3865" s="122" t="s">
        <v>8676</v>
      </c>
    </row>
    <row r="3866" spans="3:13" s="59" customFormat="1" ht="22.2" customHeight="1">
      <c r="C3866" s="591" t="s">
        <v>1195</v>
      </c>
      <c r="D3866" s="591" t="s">
        <v>1196</v>
      </c>
      <c r="E3866" s="591" t="s">
        <v>1197</v>
      </c>
      <c r="F3866" s="591" t="s">
        <v>1198</v>
      </c>
      <c r="G3866" s="591" t="s">
        <v>1199</v>
      </c>
      <c r="H3866" s="591" t="s">
        <v>1200</v>
      </c>
      <c r="I3866" s="44"/>
    </row>
    <row r="3867" spans="3:13" s="59" customFormat="1" ht="22.2" customHeight="1">
      <c r="C3867" s="61" t="s">
        <v>1201</v>
      </c>
      <c r="D3867" s="56" t="s">
        <v>1202</v>
      </c>
      <c r="E3867" s="57"/>
      <c r="F3867" s="57"/>
      <c r="G3867" s="57"/>
      <c r="H3867" s="57"/>
      <c r="I3867" s="44"/>
      <c r="J3867" s="152" t="s">
        <v>1247</v>
      </c>
    </row>
    <row r="3868" spans="3:13" s="59" customFormat="1" ht="22.2" customHeight="1">
      <c r="C3868" s="588">
        <v>1</v>
      </c>
      <c r="D3868" s="56" t="s">
        <v>5</v>
      </c>
      <c r="E3868" s="577" t="s">
        <v>6</v>
      </c>
      <c r="F3868" s="101">
        <v>0.85799999999999998</v>
      </c>
      <c r="G3868" s="63">
        <f>VLOOKUP(D3868,upahbahan,3,FALSE)</f>
        <v>100000</v>
      </c>
      <c r="H3868" s="63">
        <f>F3868*G3868</f>
        <v>85800</v>
      </c>
      <c r="I3868" s="44"/>
      <c r="J3868" s="152" t="s">
        <v>1248</v>
      </c>
      <c r="M3868" s="65">
        <v>0.1</v>
      </c>
    </row>
    <row r="3869" spans="3:13" s="59" customFormat="1" ht="22.2" customHeight="1">
      <c r="C3869" s="588">
        <v>2</v>
      </c>
      <c r="D3869" s="56" t="s">
        <v>10</v>
      </c>
      <c r="E3869" s="577" t="s">
        <v>6</v>
      </c>
      <c r="F3869" s="101">
        <v>0.42899999999999999</v>
      </c>
      <c r="G3869" s="63">
        <f>VLOOKUP(D3869,upahbahan,3,FALSE)</f>
        <v>135000</v>
      </c>
      <c r="H3869" s="63">
        <f>F3869*G3869</f>
        <v>57915</v>
      </c>
      <c r="I3869" s="44"/>
      <c r="J3869" s="152"/>
      <c r="M3869" s="65"/>
    </row>
    <row r="3870" spans="3:13" s="59" customFormat="1" ht="22.2" customHeight="1">
      <c r="C3870" s="588">
        <v>4</v>
      </c>
      <c r="D3870" s="56" t="s">
        <v>19</v>
      </c>
      <c r="E3870" s="577" t="s">
        <v>6</v>
      </c>
      <c r="F3870" s="101">
        <v>5.0999999999999997E-2</v>
      </c>
      <c r="G3870" s="63">
        <f>VLOOKUP(D3870,upahbahan,3,FALSE)</f>
        <v>160000</v>
      </c>
      <c r="H3870" s="63">
        <f t="shared" ref="H3870" si="475">F3870*G3870</f>
        <v>8159.9999999999991</v>
      </c>
      <c r="I3870" s="44"/>
    </row>
    <row r="3871" spans="3:13" s="59" customFormat="1" ht="22.2" customHeight="1">
      <c r="C3871" s="450" t="s">
        <v>1208</v>
      </c>
      <c r="D3871" s="67"/>
      <c r="E3871" s="67"/>
      <c r="F3871" s="142"/>
      <c r="G3871" s="153"/>
      <c r="H3871" s="63">
        <f>SUM(H3868:H3870)</f>
        <v>151875</v>
      </c>
      <c r="I3871" s="154"/>
    </row>
    <row r="3872" spans="3:13" s="59" customFormat="1" ht="22.2" customHeight="1">
      <c r="C3872" s="61" t="s">
        <v>1209</v>
      </c>
      <c r="D3872" s="56" t="s">
        <v>1210</v>
      </c>
      <c r="E3872" s="57"/>
      <c r="F3872" s="57"/>
      <c r="G3872" s="57"/>
      <c r="H3872" s="57"/>
      <c r="I3872" s="44"/>
    </row>
    <row r="3873" spans="3:13" s="59" customFormat="1" ht="22.2" customHeight="1">
      <c r="C3873" s="800">
        <v>1</v>
      </c>
      <c r="D3873" s="56" t="s">
        <v>8721</v>
      </c>
      <c r="E3873" s="93" t="s">
        <v>2167</v>
      </c>
      <c r="F3873" s="104">
        <v>1</v>
      </c>
      <c r="G3873" s="63">
        <f>VLOOKUP(D3873,upahbahan,3,FALSE)</f>
        <v>215000</v>
      </c>
      <c r="H3873" s="63">
        <f t="shared" ref="H3873" si="476">F3873*G3873</f>
        <v>215000</v>
      </c>
      <c r="I3873" s="44"/>
    </row>
    <row r="3874" spans="3:13" s="59" customFormat="1" ht="22.2" customHeight="1">
      <c r="C3874" s="450" t="s">
        <v>1214</v>
      </c>
      <c r="D3874" s="67"/>
      <c r="E3874" s="67"/>
      <c r="F3874" s="67"/>
      <c r="G3874" s="69"/>
      <c r="H3874" s="63">
        <f>SUM(H3872:H3873)</f>
        <v>215000</v>
      </c>
      <c r="I3874" s="44"/>
    </row>
    <row r="3875" spans="3:13" s="59" customFormat="1" ht="22.2" customHeight="1">
      <c r="C3875" s="61" t="s">
        <v>1215</v>
      </c>
      <c r="D3875" s="56" t="s">
        <v>1216</v>
      </c>
      <c r="E3875" s="93"/>
      <c r="F3875" s="57"/>
      <c r="G3875" s="57"/>
      <c r="H3875" s="57"/>
      <c r="I3875" s="44"/>
    </row>
    <row r="3876" spans="3:13" s="59" customFormat="1" ht="22.2" customHeight="1">
      <c r="C3876" s="450" t="s">
        <v>1217</v>
      </c>
      <c r="D3876" s="67"/>
      <c r="E3876" s="67"/>
      <c r="F3876" s="67"/>
      <c r="G3876" s="69"/>
      <c r="H3876" s="882">
        <f>SUM(H3875:H3875)</f>
        <v>0</v>
      </c>
      <c r="I3876" s="44"/>
    </row>
    <row r="3877" spans="3:13" s="59" customFormat="1" ht="22.2" customHeight="1">
      <c r="C3877" s="288" t="s">
        <v>1218</v>
      </c>
      <c r="D3877" s="76" t="s">
        <v>1219</v>
      </c>
      <c r="E3877" s="77"/>
      <c r="F3877" s="77"/>
      <c r="G3877" s="78"/>
      <c r="H3877" s="585">
        <f>H3876+H3874+H3871</f>
        <v>366875</v>
      </c>
      <c r="I3877" s="369"/>
    </row>
    <row r="3878" spans="3:13" s="59" customFormat="1" ht="22.2" customHeight="1">
      <c r="C3878" s="288" t="s">
        <v>1220</v>
      </c>
      <c r="D3878" s="76" t="s">
        <v>1321</v>
      </c>
      <c r="E3878" s="77"/>
      <c r="F3878" s="78"/>
      <c r="G3878" s="80">
        <v>0.1</v>
      </c>
      <c r="H3878" s="63">
        <f>H3877*G3878</f>
        <v>36687.5</v>
      </c>
      <c r="I3878" s="369"/>
    </row>
    <row r="3879" spans="3:13" s="59" customFormat="1" ht="22.2" customHeight="1">
      <c r="C3879" s="288" t="s">
        <v>1221</v>
      </c>
      <c r="D3879" s="76" t="s">
        <v>1222</v>
      </c>
      <c r="E3879" s="77"/>
      <c r="F3879" s="77"/>
      <c r="G3879" s="78"/>
      <c r="H3879" s="799">
        <f>SUM(H3877:H3878)</f>
        <v>403562.5</v>
      </c>
      <c r="I3879" s="369"/>
    </row>
    <row r="3880" spans="3:13" ht="22.2" customHeight="1"/>
    <row r="3881" spans="3:13" ht="22.2" customHeight="1"/>
    <row r="3882" spans="3:13" ht="22.2" customHeight="1">
      <c r="C3882" s="43" t="s">
        <v>5129</v>
      </c>
      <c r="D3882" s="128" t="s">
        <v>5130</v>
      </c>
    </row>
    <row r="3883" spans="3:13" ht="22.2" customHeight="1">
      <c r="C3883" s="43" t="s">
        <v>5131</v>
      </c>
      <c r="D3883" s="128" t="s">
        <v>8722</v>
      </c>
      <c r="I3883" s="50">
        <f>ROUNDDOWN(H3898,-2)</f>
        <v>96200</v>
      </c>
      <c r="J3883" s="122" t="s">
        <v>6451</v>
      </c>
      <c r="K3883" s="122" t="s">
        <v>8676</v>
      </c>
    </row>
    <row r="3884" spans="3:13" s="59" customFormat="1" ht="22.2" customHeight="1">
      <c r="C3884" s="591" t="s">
        <v>1195</v>
      </c>
      <c r="D3884" s="591" t="s">
        <v>1196</v>
      </c>
      <c r="E3884" s="591" t="s">
        <v>1197</v>
      </c>
      <c r="F3884" s="591" t="s">
        <v>1198</v>
      </c>
      <c r="G3884" s="591" t="s">
        <v>1199</v>
      </c>
      <c r="H3884" s="591" t="s">
        <v>1200</v>
      </c>
      <c r="I3884" s="44"/>
    </row>
    <row r="3885" spans="3:13" s="59" customFormat="1" ht="22.2" customHeight="1">
      <c r="C3885" s="61" t="s">
        <v>1201</v>
      </c>
      <c r="D3885" s="56" t="s">
        <v>1202</v>
      </c>
      <c r="E3885" s="57"/>
      <c r="F3885" s="57"/>
      <c r="G3885" s="57"/>
      <c r="H3885" s="57"/>
      <c r="I3885" s="44"/>
      <c r="J3885" s="152" t="s">
        <v>1247</v>
      </c>
    </row>
    <row r="3886" spans="3:13" s="59" customFormat="1" ht="22.2" customHeight="1">
      <c r="C3886" s="588">
        <v>1</v>
      </c>
      <c r="D3886" s="56" t="s">
        <v>5</v>
      </c>
      <c r="E3886" s="577" t="s">
        <v>6</v>
      </c>
      <c r="F3886" s="101">
        <v>0.106</v>
      </c>
      <c r="G3886" s="63">
        <f>VLOOKUP(D3886,upahbahan,3,FALSE)</f>
        <v>100000</v>
      </c>
      <c r="H3886" s="63">
        <f>F3886*G3886</f>
        <v>10600</v>
      </c>
      <c r="I3886" s="44"/>
      <c r="J3886" s="152" t="s">
        <v>1248</v>
      </c>
      <c r="M3886" s="65">
        <v>0.1</v>
      </c>
    </row>
    <row r="3887" spans="3:13" s="59" customFormat="1" ht="22.2" customHeight="1">
      <c r="C3887" s="588">
        <v>2</v>
      </c>
      <c r="D3887" s="56" t="s">
        <v>10</v>
      </c>
      <c r="E3887" s="577" t="s">
        <v>6</v>
      </c>
      <c r="F3887" s="101">
        <v>5.2999999999999999E-2</v>
      </c>
      <c r="G3887" s="63">
        <f>VLOOKUP(D3887,upahbahan,3,FALSE)</f>
        <v>135000</v>
      </c>
      <c r="H3887" s="63">
        <f>F3887*G3887</f>
        <v>7155</v>
      </c>
      <c r="I3887" s="44"/>
      <c r="J3887" s="152"/>
      <c r="M3887" s="65"/>
    </row>
    <row r="3888" spans="3:13" s="59" customFormat="1" ht="22.2" customHeight="1">
      <c r="C3888" s="588">
        <v>4</v>
      </c>
      <c r="D3888" s="56" t="s">
        <v>19</v>
      </c>
      <c r="E3888" s="577" t="s">
        <v>6</v>
      </c>
      <c r="F3888" s="101">
        <v>1.0999999999999999E-2</v>
      </c>
      <c r="G3888" s="63">
        <f>VLOOKUP(D3888,upahbahan,3,FALSE)</f>
        <v>160000</v>
      </c>
      <c r="H3888" s="63">
        <f t="shared" ref="H3888" si="477">F3888*G3888</f>
        <v>1760</v>
      </c>
      <c r="I3888" s="44"/>
    </row>
    <row r="3889" spans="3:13" s="59" customFormat="1" ht="22.2" customHeight="1">
      <c r="C3889" s="450" t="s">
        <v>1208</v>
      </c>
      <c r="D3889" s="67"/>
      <c r="E3889" s="67"/>
      <c r="F3889" s="142"/>
      <c r="G3889" s="153"/>
      <c r="H3889" s="63">
        <f>SUM(H3886:H3888)</f>
        <v>19515</v>
      </c>
      <c r="I3889" s="154"/>
    </row>
    <row r="3890" spans="3:13" s="59" customFormat="1" ht="22.2" customHeight="1">
      <c r="C3890" s="61" t="s">
        <v>1209</v>
      </c>
      <c r="D3890" s="56" t="s">
        <v>1210</v>
      </c>
      <c r="E3890" s="57"/>
      <c r="F3890" s="57"/>
      <c r="G3890" s="57"/>
      <c r="H3890" s="57"/>
      <c r="I3890" s="44"/>
    </row>
    <row r="3891" spans="3:13" s="59" customFormat="1" ht="22.2" customHeight="1">
      <c r="C3891" s="800">
        <v>1</v>
      </c>
      <c r="D3891" s="56" t="s">
        <v>8723</v>
      </c>
      <c r="E3891" s="93" t="s">
        <v>2167</v>
      </c>
      <c r="F3891" s="104">
        <v>1</v>
      </c>
      <c r="G3891" s="63">
        <f>VLOOKUP(D3891,upahbahan,3,FALSE)</f>
        <v>65000</v>
      </c>
      <c r="H3891" s="63">
        <f t="shared" ref="H3891" si="478">F3891*G3891</f>
        <v>65000</v>
      </c>
      <c r="I3891" s="44"/>
    </row>
    <row r="3892" spans="3:13" s="59" customFormat="1" ht="22.2" customHeight="1">
      <c r="C3892" s="450" t="s">
        <v>1214</v>
      </c>
      <c r="D3892" s="67"/>
      <c r="E3892" s="67"/>
      <c r="F3892" s="67"/>
      <c r="G3892" s="69"/>
      <c r="H3892" s="63">
        <f>SUM(H3890:H3891)</f>
        <v>65000</v>
      </c>
      <c r="I3892" s="44"/>
    </row>
    <row r="3893" spans="3:13" s="59" customFormat="1" ht="22.2" customHeight="1">
      <c r="C3893" s="61" t="s">
        <v>1215</v>
      </c>
      <c r="D3893" s="56" t="s">
        <v>1216</v>
      </c>
      <c r="E3893" s="93"/>
      <c r="F3893" s="57"/>
      <c r="G3893" s="57"/>
      <c r="H3893" s="57"/>
      <c r="I3893" s="44"/>
    </row>
    <row r="3894" spans="3:13" s="59" customFormat="1" ht="22.2" customHeight="1">
      <c r="C3894" s="800">
        <v>1</v>
      </c>
      <c r="D3894" s="56" t="s">
        <v>4770</v>
      </c>
      <c r="E3894" s="93" t="s">
        <v>1974</v>
      </c>
      <c r="F3894" s="103">
        <v>2.8000000000000001E-2</v>
      </c>
      <c r="G3894" s="63">
        <f>VLOOKUP(D3894,upahbahan,3,FALSE)</f>
        <v>108000</v>
      </c>
      <c r="H3894" s="63">
        <f>F3894*G3894</f>
        <v>3024</v>
      </c>
      <c r="I3894" s="44"/>
    </row>
    <row r="3895" spans="3:13" s="59" customFormat="1" ht="22.2" customHeight="1">
      <c r="C3895" s="450" t="s">
        <v>1217</v>
      </c>
      <c r="D3895" s="67"/>
      <c r="E3895" s="67"/>
      <c r="F3895" s="67"/>
      <c r="G3895" s="69"/>
      <c r="H3895" s="882">
        <f>SUM(H3893:H3894)</f>
        <v>3024</v>
      </c>
      <c r="I3895" s="44"/>
    </row>
    <row r="3896" spans="3:13" s="59" customFormat="1" ht="22.2" customHeight="1">
      <c r="C3896" s="288" t="s">
        <v>1218</v>
      </c>
      <c r="D3896" s="76" t="s">
        <v>1219</v>
      </c>
      <c r="E3896" s="77"/>
      <c r="F3896" s="77"/>
      <c r="G3896" s="78"/>
      <c r="H3896" s="585">
        <f>H3895+H3892+H3889</f>
        <v>87539</v>
      </c>
      <c r="I3896" s="369"/>
    </row>
    <row r="3897" spans="3:13" s="59" customFormat="1" ht="22.2" customHeight="1">
      <c r="C3897" s="288" t="s">
        <v>1220</v>
      </c>
      <c r="D3897" s="76" t="s">
        <v>1321</v>
      </c>
      <c r="E3897" s="77"/>
      <c r="F3897" s="78"/>
      <c r="G3897" s="80">
        <v>0.1</v>
      </c>
      <c r="H3897" s="63">
        <f>H3896*G3897</f>
        <v>8753.9</v>
      </c>
      <c r="I3897" s="369"/>
    </row>
    <row r="3898" spans="3:13" s="59" customFormat="1" ht="22.2" customHeight="1">
      <c r="C3898" s="288" t="s">
        <v>1221</v>
      </c>
      <c r="D3898" s="76" t="s">
        <v>1222</v>
      </c>
      <c r="E3898" s="77"/>
      <c r="F3898" s="77"/>
      <c r="G3898" s="78"/>
      <c r="H3898" s="799">
        <f>SUM(H3896:H3897)</f>
        <v>96292.9</v>
      </c>
      <c r="I3898" s="369"/>
    </row>
    <row r="3899" spans="3:13" ht="22.2" customHeight="1"/>
    <row r="3900" spans="3:13" ht="22.2" customHeight="1">
      <c r="C3900" s="43" t="s">
        <v>5132</v>
      </c>
      <c r="D3900" s="128" t="s">
        <v>8724</v>
      </c>
      <c r="I3900" s="50">
        <f>ROUNDDOWN(H3915,-2)</f>
        <v>198900</v>
      </c>
      <c r="J3900" s="122" t="s">
        <v>6451</v>
      </c>
      <c r="K3900" s="122" t="s">
        <v>8676</v>
      </c>
    </row>
    <row r="3901" spans="3:13" s="59" customFormat="1" ht="22.2" customHeight="1">
      <c r="C3901" s="591" t="s">
        <v>1195</v>
      </c>
      <c r="D3901" s="591" t="s">
        <v>1196</v>
      </c>
      <c r="E3901" s="591" t="s">
        <v>1197</v>
      </c>
      <c r="F3901" s="591" t="s">
        <v>1198</v>
      </c>
      <c r="G3901" s="591" t="s">
        <v>1199</v>
      </c>
      <c r="H3901" s="591" t="s">
        <v>1200</v>
      </c>
      <c r="I3901" s="44"/>
    </row>
    <row r="3902" spans="3:13" s="59" customFormat="1" ht="22.2" customHeight="1">
      <c r="C3902" s="61" t="s">
        <v>1201</v>
      </c>
      <c r="D3902" s="56" t="s">
        <v>1202</v>
      </c>
      <c r="E3902" s="57"/>
      <c r="F3902" s="57"/>
      <c r="G3902" s="57"/>
      <c r="H3902" s="57"/>
      <c r="I3902" s="44"/>
      <c r="J3902" s="152" t="s">
        <v>1247</v>
      </c>
    </row>
    <row r="3903" spans="3:13" s="59" customFormat="1" ht="22.2" customHeight="1">
      <c r="C3903" s="588">
        <v>1</v>
      </c>
      <c r="D3903" s="56" t="s">
        <v>5</v>
      </c>
      <c r="E3903" s="577" t="s">
        <v>6</v>
      </c>
      <c r="F3903" s="101">
        <v>0.216</v>
      </c>
      <c r="G3903" s="63">
        <f>VLOOKUP(D3903,upahbahan,3,FALSE)</f>
        <v>100000</v>
      </c>
      <c r="H3903" s="63">
        <f>F3903*G3903</f>
        <v>21600</v>
      </c>
      <c r="I3903" s="44"/>
      <c r="J3903" s="152" t="s">
        <v>1248</v>
      </c>
      <c r="M3903" s="65">
        <v>0.1</v>
      </c>
    </row>
    <row r="3904" spans="3:13" s="59" customFormat="1" ht="22.2" customHeight="1">
      <c r="C3904" s="588">
        <v>2</v>
      </c>
      <c r="D3904" s="56" t="s">
        <v>10</v>
      </c>
      <c r="E3904" s="577" t="s">
        <v>6</v>
      </c>
      <c r="F3904" s="101">
        <v>0.108</v>
      </c>
      <c r="G3904" s="63">
        <f>VLOOKUP(D3904,upahbahan,3,FALSE)</f>
        <v>135000</v>
      </c>
      <c r="H3904" s="63">
        <f>F3904*G3904</f>
        <v>14580</v>
      </c>
      <c r="I3904" s="44"/>
      <c r="J3904" s="152"/>
      <c r="M3904" s="65"/>
    </row>
    <row r="3905" spans="3:13" s="59" customFormat="1" ht="22.2" customHeight="1">
      <c r="C3905" s="588">
        <v>4</v>
      </c>
      <c r="D3905" s="56" t="s">
        <v>19</v>
      </c>
      <c r="E3905" s="577" t="s">
        <v>6</v>
      </c>
      <c r="F3905" s="101">
        <v>2.1999999999999999E-2</v>
      </c>
      <c r="G3905" s="63">
        <f>VLOOKUP(D3905,upahbahan,3,FALSE)</f>
        <v>160000</v>
      </c>
      <c r="H3905" s="63">
        <f t="shared" ref="H3905" si="479">F3905*G3905</f>
        <v>3520</v>
      </c>
      <c r="I3905" s="44"/>
    </row>
    <row r="3906" spans="3:13" s="59" customFormat="1" ht="22.2" customHeight="1">
      <c r="C3906" s="450" t="s">
        <v>1208</v>
      </c>
      <c r="D3906" s="67"/>
      <c r="E3906" s="67"/>
      <c r="F3906" s="142"/>
      <c r="G3906" s="153"/>
      <c r="H3906" s="63">
        <f>SUM(H3903:H3905)</f>
        <v>39700</v>
      </c>
      <c r="I3906" s="154"/>
    </row>
    <row r="3907" spans="3:13" s="59" customFormat="1" ht="22.2" customHeight="1">
      <c r="C3907" s="61" t="s">
        <v>1209</v>
      </c>
      <c r="D3907" s="56" t="s">
        <v>1210</v>
      </c>
      <c r="E3907" s="57"/>
      <c r="F3907" s="57"/>
      <c r="G3907" s="57"/>
      <c r="H3907" s="57"/>
      <c r="I3907" s="44"/>
    </row>
    <row r="3908" spans="3:13" s="59" customFormat="1" ht="22.2" customHeight="1">
      <c r="C3908" s="800">
        <v>1</v>
      </c>
      <c r="D3908" s="56" t="s">
        <v>8725</v>
      </c>
      <c r="E3908" s="93" t="s">
        <v>2167</v>
      </c>
      <c r="F3908" s="104">
        <v>1</v>
      </c>
      <c r="G3908" s="63">
        <f>VLOOKUP(D3908,upahbahan,3,FALSE)</f>
        <v>138000</v>
      </c>
      <c r="H3908" s="63">
        <f t="shared" ref="H3908" si="480">F3908*G3908</f>
        <v>138000</v>
      </c>
      <c r="I3908" s="44"/>
    </row>
    <row r="3909" spans="3:13" s="59" customFormat="1" ht="22.2" customHeight="1">
      <c r="C3909" s="450" t="s">
        <v>1214</v>
      </c>
      <c r="D3909" s="67"/>
      <c r="E3909" s="67"/>
      <c r="F3909" s="67"/>
      <c r="G3909" s="69"/>
      <c r="H3909" s="63">
        <f>SUM(H3907:H3908)</f>
        <v>138000</v>
      </c>
      <c r="I3909" s="44"/>
    </row>
    <row r="3910" spans="3:13" s="59" customFormat="1" ht="22.2" customHeight="1">
      <c r="C3910" s="61" t="s">
        <v>1215</v>
      </c>
      <c r="D3910" s="56" t="s">
        <v>1216</v>
      </c>
      <c r="E3910" s="93"/>
      <c r="F3910" s="57"/>
      <c r="G3910" s="57"/>
      <c r="H3910" s="57"/>
      <c r="I3910" s="44"/>
    </row>
    <row r="3911" spans="3:13" s="59" customFormat="1" ht="22.2" customHeight="1">
      <c r="C3911" s="800">
        <v>1</v>
      </c>
      <c r="D3911" s="56" t="s">
        <v>4770</v>
      </c>
      <c r="E3911" s="93" t="s">
        <v>1974</v>
      </c>
      <c r="F3911" s="103">
        <v>2.9000000000000001E-2</v>
      </c>
      <c r="G3911" s="63">
        <f>VLOOKUP(D3911,upahbahan,3,FALSE)</f>
        <v>108000</v>
      </c>
      <c r="H3911" s="63">
        <f>F3911*G3911</f>
        <v>3132</v>
      </c>
      <c r="I3911" s="44"/>
    </row>
    <row r="3912" spans="3:13" s="59" customFormat="1" ht="22.2" customHeight="1">
      <c r="C3912" s="450" t="s">
        <v>1217</v>
      </c>
      <c r="D3912" s="67"/>
      <c r="E3912" s="67"/>
      <c r="F3912" s="67"/>
      <c r="G3912" s="69"/>
      <c r="H3912" s="882">
        <f>SUM(H3910:H3911)</f>
        <v>3132</v>
      </c>
      <c r="I3912" s="44"/>
    </row>
    <row r="3913" spans="3:13" s="59" customFormat="1" ht="22.2" customHeight="1">
      <c r="C3913" s="288" t="s">
        <v>1218</v>
      </c>
      <c r="D3913" s="76" t="s">
        <v>1219</v>
      </c>
      <c r="E3913" s="77"/>
      <c r="F3913" s="77"/>
      <c r="G3913" s="78"/>
      <c r="H3913" s="585">
        <f>H3912+H3909+H3906</f>
        <v>180832</v>
      </c>
      <c r="I3913" s="369"/>
    </row>
    <row r="3914" spans="3:13" s="59" customFormat="1" ht="22.2" customHeight="1">
      <c r="C3914" s="288" t="s">
        <v>1220</v>
      </c>
      <c r="D3914" s="76" t="s">
        <v>1321</v>
      </c>
      <c r="E3914" s="77"/>
      <c r="F3914" s="78"/>
      <c r="G3914" s="80">
        <v>0.1</v>
      </c>
      <c r="H3914" s="63">
        <f>H3913*G3914</f>
        <v>18083.2</v>
      </c>
      <c r="I3914" s="369"/>
    </row>
    <row r="3915" spans="3:13" s="59" customFormat="1" ht="22.2" customHeight="1">
      <c r="C3915" s="288" t="s">
        <v>1221</v>
      </c>
      <c r="D3915" s="76" t="s">
        <v>1222</v>
      </c>
      <c r="E3915" s="77"/>
      <c r="F3915" s="77"/>
      <c r="G3915" s="78"/>
      <c r="H3915" s="799">
        <f>SUM(H3913:H3914)</f>
        <v>198915.20000000001</v>
      </c>
      <c r="I3915" s="369"/>
    </row>
    <row r="3916" spans="3:13" ht="22.2" customHeight="1"/>
    <row r="3917" spans="3:13" ht="22.2" customHeight="1">
      <c r="C3917" s="43" t="s">
        <v>5133</v>
      </c>
      <c r="D3917" s="128" t="s">
        <v>8726</v>
      </c>
      <c r="I3917" s="50">
        <f>ROUNDDOWN(H3932,-2)</f>
        <v>307000</v>
      </c>
      <c r="J3917" s="122" t="s">
        <v>6451</v>
      </c>
      <c r="K3917" s="122" t="s">
        <v>8676</v>
      </c>
    </row>
    <row r="3918" spans="3:13" s="59" customFormat="1" ht="22.2" customHeight="1">
      <c r="C3918" s="591" t="s">
        <v>1195</v>
      </c>
      <c r="D3918" s="591" t="s">
        <v>1196</v>
      </c>
      <c r="E3918" s="591" t="s">
        <v>1197</v>
      </c>
      <c r="F3918" s="591" t="s">
        <v>1198</v>
      </c>
      <c r="G3918" s="591" t="s">
        <v>1199</v>
      </c>
      <c r="H3918" s="591" t="s">
        <v>1200</v>
      </c>
      <c r="I3918" s="44"/>
    </row>
    <row r="3919" spans="3:13" s="59" customFormat="1" ht="22.2" customHeight="1">
      <c r="C3919" s="61" t="s">
        <v>1201</v>
      </c>
      <c r="D3919" s="56" t="s">
        <v>1202</v>
      </c>
      <c r="E3919" s="57"/>
      <c r="F3919" s="57"/>
      <c r="G3919" s="57"/>
      <c r="H3919" s="57"/>
      <c r="I3919" s="44"/>
      <c r="J3919" s="152" t="s">
        <v>1247</v>
      </c>
    </row>
    <row r="3920" spans="3:13" s="59" customFormat="1" ht="22.2" customHeight="1">
      <c r="C3920" s="588">
        <v>1</v>
      </c>
      <c r="D3920" s="56" t="s">
        <v>5</v>
      </c>
      <c r="E3920" s="577" t="s">
        <v>6</v>
      </c>
      <c r="F3920" s="101">
        <v>0.32600000000000001</v>
      </c>
      <c r="G3920" s="63">
        <f>VLOOKUP(D3920,upahbahan,3,FALSE)</f>
        <v>100000</v>
      </c>
      <c r="H3920" s="63">
        <f>F3920*G3920</f>
        <v>32600</v>
      </c>
      <c r="I3920" s="44"/>
      <c r="J3920" s="152" t="s">
        <v>1248</v>
      </c>
      <c r="M3920" s="65">
        <v>0.1</v>
      </c>
    </row>
    <row r="3921" spans="3:13" s="59" customFormat="1" ht="22.2" customHeight="1">
      <c r="C3921" s="588">
        <v>2</v>
      </c>
      <c r="D3921" s="56" t="s">
        <v>10</v>
      </c>
      <c r="E3921" s="577" t="s">
        <v>6</v>
      </c>
      <c r="F3921" s="101">
        <v>0.16300000000000001</v>
      </c>
      <c r="G3921" s="63">
        <f>VLOOKUP(D3921,upahbahan,3,FALSE)</f>
        <v>135000</v>
      </c>
      <c r="H3921" s="63">
        <f>F3921*G3921</f>
        <v>22005</v>
      </c>
      <c r="I3921" s="44"/>
      <c r="J3921" s="152"/>
      <c r="M3921" s="65"/>
    </row>
    <row r="3922" spans="3:13" s="59" customFormat="1" ht="22.2" customHeight="1">
      <c r="C3922" s="588">
        <v>4</v>
      </c>
      <c r="D3922" s="56" t="s">
        <v>19</v>
      </c>
      <c r="E3922" s="577" t="s">
        <v>6</v>
      </c>
      <c r="F3922" s="101">
        <v>3.3000000000000002E-2</v>
      </c>
      <c r="G3922" s="63">
        <f>VLOOKUP(D3922,upahbahan,3,FALSE)</f>
        <v>160000</v>
      </c>
      <c r="H3922" s="63">
        <f t="shared" ref="H3922" si="481">F3922*G3922</f>
        <v>5280</v>
      </c>
      <c r="I3922" s="44"/>
    </row>
    <row r="3923" spans="3:13" s="59" customFormat="1" ht="22.2" customHeight="1">
      <c r="C3923" s="450" t="s">
        <v>1208</v>
      </c>
      <c r="D3923" s="67"/>
      <c r="E3923" s="67"/>
      <c r="F3923" s="142"/>
      <c r="G3923" s="153"/>
      <c r="H3923" s="63">
        <f>SUM(H3920:H3922)</f>
        <v>59885</v>
      </c>
      <c r="I3923" s="154"/>
    </row>
    <row r="3924" spans="3:13" s="59" customFormat="1" ht="22.2" customHeight="1">
      <c r="C3924" s="61" t="s">
        <v>1209</v>
      </c>
      <c r="D3924" s="56" t="s">
        <v>1210</v>
      </c>
      <c r="E3924" s="57"/>
      <c r="F3924" s="57"/>
      <c r="G3924" s="57"/>
      <c r="H3924" s="57"/>
      <c r="I3924" s="44"/>
    </row>
    <row r="3925" spans="3:13" s="59" customFormat="1" ht="22.2" customHeight="1">
      <c r="C3925" s="800">
        <v>1</v>
      </c>
      <c r="D3925" s="56" t="s">
        <v>8727</v>
      </c>
      <c r="E3925" s="93" t="s">
        <v>2167</v>
      </c>
      <c r="F3925" s="104">
        <v>1</v>
      </c>
      <c r="G3925" s="63">
        <f>VLOOKUP(D3925,upahbahan,3,FALSE)</f>
        <v>215000</v>
      </c>
      <c r="H3925" s="63">
        <f t="shared" ref="H3925" si="482">F3925*G3925</f>
        <v>215000</v>
      </c>
      <c r="I3925" s="44"/>
    </row>
    <row r="3926" spans="3:13" s="59" customFormat="1" ht="22.2" customHeight="1">
      <c r="C3926" s="450" t="s">
        <v>1214</v>
      </c>
      <c r="D3926" s="67"/>
      <c r="E3926" s="67"/>
      <c r="F3926" s="67"/>
      <c r="G3926" s="69"/>
      <c r="H3926" s="63">
        <f>SUM(H3924:H3925)</f>
        <v>215000</v>
      </c>
      <c r="I3926" s="44"/>
    </row>
    <row r="3927" spans="3:13" s="59" customFormat="1" ht="22.2" customHeight="1">
      <c r="C3927" s="61" t="s">
        <v>1215</v>
      </c>
      <c r="D3927" s="56" t="s">
        <v>1216</v>
      </c>
      <c r="E3927" s="93"/>
      <c r="F3927" s="57"/>
      <c r="G3927" s="57"/>
      <c r="H3927" s="57"/>
      <c r="I3927" s="44"/>
    </row>
    <row r="3928" spans="3:13" s="59" customFormat="1" ht="22.2" customHeight="1">
      <c r="C3928" s="800">
        <v>1</v>
      </c>
      <c r="D3928" s="56" t="s">
        <v>4770</v>
      </c>
      <c r="E3928" s="93" t="s">
        <v>1974</v>
      </c>
      <c r="F3928" s="103">
        <v>3.9E-2</v>
      </c>
      <c r="G3928" s="63">
        <f>VLOOKUP(D3928,upahbahan,3,FALSE)</f>
        <v>108000</v>
      </c>
      <c r="H3928" s="63">
        <f>F3928*G3928</f>
        <v>4212</v>
      </c>
      <c r="I3928" s="44"/>
    </row>
    <row r="3929" spans="3:13" s="59" customFormat="1" ht="22.2" customHeight="1">
      <c r="C3929" s="450" t="s">
        <v>1217</v>
      </c>
      <c r="D3929" s="67"/>
      <c r="E3929" s="67"/>
      <c r="F3929" s="67"/>
      <c r="G3929" s="69"/>
      <c r="H3929" s="882">
        <f>SUM(H3927:H3928)</f>
        <v>4212</v>
      </c>
      <c r="I3929" s="44"/>
    </row>
    <row r="3930" spans="3:13" s="59" customFormat="1" ht="22.2" customHeight="1">
      <c r="C3930" s="288" t="s">
        <v>1218</v>
      </c>
      <c r="D3930" s="76" t="s">
        <v>1219</v>
      </c>
      <c r="E3930" s="77"/>
      <c r="F3930" s="77"/>
      <c r="G3930" s="78"/>
      <c r="H3930" s="585">
        <f>H3929+H3926+H3923</f>
        <v>279097</v>
      </c>
      <c r="I3930" s="369"/>
    </row>
    <row r="3931" spans="3:13" s="59" customFormat="1" ht="22.2" customHeight="1">
      <c r="C3931" s="288" t="s">
        <v>1220</v>
      </c>
      <c r="D3931" s="76" t="s">
        <v>1321</v>
      </c>
      <c r="E3931" s="77"/>
      <c r="F3931" s="78"/>
      <c r="G3931" s="80">
        <v>0.1</v>
      </c>
      <c r="H3931" s="63">
        <f>H3930*G3931</f>
        <v>27909.7</v>
      </c>
      <c r="I3931" s="369"/>
    </row>
    <row r="3932" spans="3:13" s="59" customFormat="1" ht="22.2" customHeight="1">
      <c r="C3932" s="288" t="s">
        <v>1221</v>
      </c>
      <c r="D3932" s="76" t="s">
        <v>1222</v>
      </c>
      <c r="E3932" s="77"/>
      <c r="F3932" s="77"/>
      <c r="G3932" s="78"/>
      <c r="H3932" s="799">
        <f>SUM(H3930:H3931)</f>
        <v>307006.7</v>
      </c>
      <c r="I3932" s="369"/>
    </row>
    <row r="3933" spans="3:13" ht="22.2" customHeight="1"/>
    <row r="3934" spans="3:13" ht="22.2" customHeight="1">
      <c r="C3934" s="43" t="s">
        <v>5134</v>
      </c>
      <c r="D3934" s="128" t="s">
        <v>8728</v>
      </c>
      <c r="I3934" s="50">
        <f>ROUNDDOWN(H3949,-2)</f>
        <v>527500</v>
      </c>
      <c r="J3934" s="122" t="s">
        <v>6451</v>
      </c>
      <c r="K3934" s="122" t="s">
        <v>8676</v>
      </c>
    </row>
    <row r="3935" spans="3:13" s="59" customFormat="1" ht="22.2" customHeight="1">
      <c r="C3935" s="591" t="s">
        <v>1195</v>
      </c>
      <c r="D3935" s="591" t="s">
        <v>1196</v>
      </c>
      <c r="E3935" s="591" t="s">
        <v>1197</v>
      </c>
      <c r="F3935" s="591" t="s">
        <v>1198</v>
      </c>
      <c r="G3935" s="591" t="s">
        <v>1199</v>
      </c>
      <c r="H3935" s="591" t="s">
        <v>1200</v>
      </c>
      <c r="I3935" s="44"/>
    </row>
    <row r="3936" spans="3:13" s="59" customFormat="1" ht="22.2" customHeight="1">
      <c r="C3936" s="61" t="s">
        <v>1201</v>
      </c>
      <c r="D3936" s="56" t="s">
        <v>1202</v>
      </c>
      <c r="E3936" s="57"/>
      <c r="F3936" s="57"/>
      <c r="G3936" s="57"/>
      <c r="H3936" s="57"/>
      <c r="I3936" s="44"/>
      <c r="J3936" s="152" t="s">
        <v>1247</v>
      </c>
    </row>
    <row r="3937" spans="3:13" s="59" customFormat="1" ht="22.2" customHeight="1">
      <c r="C3937" s="588">
        <v>1</v>
      </c>
      <c r="D3937" s="56" t="s">
        <v>5</v>
      </c>
      <c r="E3937" s="577" t="s">
        <v>6</v>
      </c>
      <c r="F3937" s="101">
        <v>0.76600000000000001</v>
      </c>
      <c r="G3937" s="63">
        <f>VLOOKUP(D3937,upahbahan,3,FALSE)</f>
        <v>100000</v>
      </c>
      <c r="H3937" s="63">
        <f>F3937*G3937</f>
        <v>76600</v>
      </c>
      <c r="I3937" s="44"/>
      <c r="J3937" s="152" t="s">
        <v>1248</v>
      </c>
      <c r="M3937" s="65">
        <v>0.1</v>
      </c>
    </row>
    <row r="3938" spans="3:13" s="59" customFormat="1" ht="22.2" customHeight="1">
      <c r="C3938" s="588">
        <v>2</v>
      </c>
      <c r="D3938" s="56" t="s">
        <v>10</v>
      </c>
      <c r="E3938" s="577" t="s">
        <v>6</v>
      </c>
      <c r="F3938" s="101">
        <v>0.38300000000000001</v>
      </c>
      <c r="G3938" s="63">
        <f>VLOOKUP(D3938,upahbahan,3,FALSE)</f>
        <v>135000</v>
      </c>
      <c r="H3938" s="63">
        <f>F3938*G3938</f>
        <v>51705</v>
      </c>
      <c r="I3938" s="44"/>
      <c r="J3938" s="152"/>
      <c r="M3938" s="65"/>
    </row>
    <row r="3939" spans="3:13" s="59" customFormat="1" ht="22.2" customHeight="1">
      <c r="C3939" s="588">
        <v>4</v>
      </c>
      <c r="D3939" s="56" t="s">
        <v>19</v>
      </c>
      <c r="E3939" s="577" t="s">
        <v>6</v>
      </c>
      <c r="F3939" s="101">
        <v>7.6999999999999999E-2</v>
      </c>
      <c r="G3939" s="63">
        <f>VLOOKUP(D3939,upahbahan,3,FALSE)</f>
        <v>160000</v>
      </c>
      <c r="H3939" s="63">
        <f t="shared" ref="H3939" si="483">F3939*G3939</f>
        <v>12320</v>
      </c>
      <c r="I3939" s="44"/>
    </row>
    <row r="3940" spans="3:13" s="59" customFormat="1" ht="22.2" customHeight="1">
      <c r="C3940" s="450" t="s">
        <v>1208</v>
      </c>
      <c r="D3940" s="67"/>
      <c r="E3940" s="67"/>
      <c r="F3940" s="142"/>
      <c r="G3940" s="153"/>
      <c r="H3940" s="63">
        <f>SUM(H3937:H3939)</f>
        <v>140625</v>
      </c>
      <c r="I3940" s="154"/>
    </row>
    <row r="3941" spans="3:13" s="59" customFormat="1" ht="22.2" customHeight="1">
      <c r="C3941" s="61" t="s">
        <v>1209</v>
      </c>
      <c r="D3941" s="56" t="s">
        <v>1210</v>
      </c>
      <c r="E3941" s="57"/>
      <c r="F3941" s="57"/>
      <c r="G3941" s="57"/>
      <c r="H3941" s="57"/>
      <c r="I3941" s="44"/>
    </row>
    <row r="3942" spans="3:13" s="59" customFormat="1" ht="22.2" customHeight="1">
      <c r="C3942" s="800">
        <v>1</v>
      </c>
      <c r="D3942" s="56" t="s">
        <v>8729</v>
      </c>
      <c r="E3942" s="93" t="s">
        <v>2167</v>
      </c>
      <c r="F3942" s="104">
        <v>1</v>
      </c>
      <c r="G3942" s="63">
        <f>VLOOKUP(D3942,upahbahan,3,FALSE)</f>
        <v>285000</v>
      </c>
      <c r="H3942" s="63">
        <f t="shared" ref="H3942" si="484">F3942*G3942</f>
        <v>285000</v>
      </c>
      <c r="I3942" s="44"/>
    </row>
    <row r="3943" spans="3:13" s="59" customFormat="1" ht="22.2" customHeight="1">
      <c r="C3943" s="450" t="s">
        <v>1214</v>
      </c>
      <c r="D3943" s="67"/>
      <c r="E3943" s="67"/>
      <c r="F3943" s="67"/>
      <c r="G3943" s="69"/>
      <c r="H3943" s="63">
        <f>SUM(H3941:H3942)</f>
        <v>285000</v>
      </c>
      <c r="I3943" s="44"/>
    </row>
    <row r="3944" spans="3:13" s="59" customFormat="1" ht="22.2" customHeight="1">
      <c r="C3944" s="61" t="s">
        <v>1215</v>
      </c>
      <c r="D3944" s="56" t="s">
        <v>1216</v>
      </c>
      <c r="E3944" s="93"/>
      <c r="F3944" s="57"/>
      <c r="G3944" s="57"/>
      <c r="H3944" s="57"/>
      <c r="I3944" s="44"/>
    </row>
    <row r="3945" spans="3:13" s="59" customFormat="1" ht="22.2" customHeight="1">
      <c r="C3945" s="800">
        <v>1</v>
      </c>
      <c r="D3945" s="56" t="s">
        <v>4770</v>
      </c>
      <c r="E3945" s="93" t="s">
        <v>1974</v>
      </c>
      <c r="F3945" s="103">
        <v>0.5</v>
      </c>
      <c r="G3945" s="63">
        <f>VLOOKUP(D3945,upahbahan,3,FALSE)</f>
        <v>108000</v>
      </c>
      <c r="H3945" s="63">
        <f>F3945*G3945</f>
        <v>54000</v>
      </c>
      <c r="I3945" s="44"/>
    </row>
    <row r="3946" spans="3:13" s="59" customFormat="1" ht="22.2" customHeight="1">
      <c r="C3946" s="450" t="s">
        <v>1217</v>
      </c>
      <c r="D3946" s="67"/>
      <c r="E3946" s="67"/>
      <c r="F3946" s="67"/>
      <c r="G3946" s="69"/>
      <c r="H3946" s="882">
        <f>SUM(H3944:H3945)</f>
        <v>54000</v>
      </c>
      <c r="I3946" s="44"/>
    </row>
    <row r="3947" spans="3:13" s="59" customFormat="1" ht="22.2" customHeight="1">
      <c r="C3947" s="288" t="s">
        <v>1218</v>
      </c>
      <c r="D3947" s="76" t="s">
        <v>1219</v>
      </c>
      <c r="E3947" s="77"/>
      <c r="F3947" s="77"/>
      <c r="G3947" s="78"/>
      <c r="H3947" s="585">
        <f>H3946+H3943+H3940</f>
        <v>479625</v>
      </c>
      <c r="I3947" s="369"/>
    </row>
    <row r="3948" spans="3:13" s="59" customFormat="1" ht="22.2" customHeight="1">
      <c r="C3948" s="288" t="s">
        <v>1220</v>
      </c>
      <c r="D3948" s="76" t="s">
        <v>1321</v>
      </c>
      <c r="E3948" s="77"/>
      <c r="F3948" s="78"/>
      <c r="G3948" s="80">
        <v>0.1</v>
      </c>
      <c r="H3948" s="63">
        <f>H3947*G3948</f>
        <v>47962.5</v>
      </c>
      <c r="I3948" s="369"/>
    </row>
    <row r="3949" spans="3:13" s="59" customFormat="1" ht="22.2" customHeight="1">
      <c r="C3949" s="288" t="s">
        <v>1221</v>
      </c>
      <c r="D3949" s="76" t="s">
        <v>1222</v>
      </c>
      <c r="E3949" s="77"/>
      <c r="F3949" s="77"/>
      <c r="G3949" s="78"/>
      <c r="H3949" s="799">
        <f>SUM(H3947:H3948)</f>
        <v>527587.5</v>
      </c>
      <c r="I3949" s="369"/>
    </row>
    <row r="3950" spans="3:13" ht="22.2" customHeight="1"/>
    <row r="3951" spans="3:13" ht="22.2" customHeight="1">
      <c r="C3951" s="43" t="s">
        <v>5135</v>
      </c>
      <c r="D3951" s="128" t="s">
        <v>8730</v>
      </c>
      <c r="I3951" s="50">
        <f>ROUNDDOWN(H3966,-2)</f>
        <v>633100</v>
      </c>
      <c r="J3951" s="122" t="s">
        <v>6451</v>
      </c>
      <c r="K3951" s="122" t="s">
        <v>8676</v>
      </c>
    </row>
    <row r="3952" spans="3:13" s="59" customFormat="1" ht="22.2" customHeight="1">
      <c r="C3952" s="591" t="s">
        <v>1195</v>
      </c>
      <c r="D3952" s="591" t="s">
        <v>1196</v>
      </c>
      <c r="E3952" s="591" t="s">
        <v>1197</v>
      </c>
      <c r="F3952" s="591" t="s">
        <v>1198</v>
      </c>
      <c r="G3952" s="591" t="s">
        <v>1199</v>
      </c>
      <c r="H3952" s="591" t="s">
        <v>1200</v>
      </c>
      <c r="I3952" s="44"/>
    </row>
    <row r="3953" spans="3:13" s="59" customFormat="1" ht="22.2" customHeight="1">
      <c r="C3953" s="61" t="s">
        <v>1201</v>
      </c>
      <c r="D3953" s="56" t="s">
        <v>1202</v>
      </c>
      <c r="E3953" s="57"/>
      <c r="F3953" s="57"/>
      <c r="G3953" s="57"/>
      <c r="H3953" s="57"/>
      <c r="I3953" s="44"/>
      <c r="J3953" s="152" t="s">
        <v>1247</v>
      </c>
    </row>
    <row r="3954" spans="3:13" s="59" customFormat="1" ht="22.2" customHeight="1">
      <c r="C3954" s="588">
        <v>1</v>
      </c>
      <c r="D3954" s="56" t="s">
        <v>5</v>
      </c>
      <c r="E3954" s="577" t="s">
        <v>6</v>
      </c>
      <c r="F3954" s="101">
        <v>0.876</v>
      </c>
      <c r="G3954" s="63">
        <f>VLOOKUP(D3954,upahbahan,3,FALSE)</f>
        <v>100000</v>
      </c>
      <c r="H3954" s="63">
        <f>F3954*G3954</f>
        <v>87600</v>
      </c>
      <c r="I3954" s="44"/>
      <c r="J3954" s="152" t="s">
        <v>1248</v>
      </c>
      <c r="M3954" s="65">
        <v>0.1</v>
      </c>
    </row>
    <row r="3955" spans="3:13" s="59" customFormat="1" ht="22.2" customHeight="1">
      <c r="C3955" s="588">
        <v>2</v>
      </c>
      <c r="D3955" s="56" t="s">
        <v>10</v>
      </c>
      <c r="E3955" s="577" t="s">
        <v>6</v>
      </c>
      <c r="F3955" s="101">
        <v>0.438</v>
      </c>
      <c r="G3955" s="63">
        <f>VLOOKUP(D3955,upahbahan,3,FALSE)</f>
        <v>135000</v>
      </c>
      <c r="H3955" s="63">
        <f>F3955*G3955</f>
        <v>59130</v>
      </c>
      <c r="I3955" s="44"/>
      <c r="J3955" s="152"/>
      <c r="M3955" s="65"/>
    </row>
    <row r="3956" spans="3:13" s="59" customFormat="1" ht="22.2" customHeight="1">
      <c r="C3956" s="588">
        <v>4</v>
      </c>
      <c r="D3956" s="56" t="s">
        <v>19</v>
      </c>
      <c r="E3956" s="577" t="s">
        <v>6</v>
      </c>
      <c r="F3956" s="101">
        <v>8.7999999999999995E-2</v>
      </c>
      <c r="G3956" s="63">
        <f>VLOOKUP(D3956,upahbahan,3,FALSE)</f>
        <v>160000</v>
      </c>
      <c r="H3956" s="63">
        <f t="shared" ref="H3956" si="485">F3956*G3956</f>
        <v>14080</v>
      </c>
      <c r="I3956" s="44"/>
    </row>
    <row r="3957" spans="3:13" s="59" customFormat="1" ht="22.2" customHeight="1">
      <c r="C3957" s="450" t="s">
        <v>1208</v>
      </c>
      <c r="D3957" s="67"/>
      <c r="E3957" s="67"/>
      <c r="F3957" s="142"/>
      <c r="G3957" s="153"/>
      <c r="H3957" s="63">
        <f>SUM(H3954:H3956)</f>
        <v>160810</v>
      </c>
      <c r="I3957" s="154"/>
    </row>
    <row r="3958" spans="3:13" s="59" customFormat="1" ht="22.2" customHeight="1">
      <c r="C3958" s="61" t="s">
        <v>1209</v>
      </c>
      <c r="D3958" s="56" t="s">
        <v>1210</v>
      </c>
      <c r="E3958" s="57"/>
      <c r="F3958" s="57"/>
      <c r="G3958" s="57"/>
      <c r="H3958" s="57"/>
      <c r="I3958" s="44"/>
    </row>
    <row r="3959" spans="3:13" s="59" customFormat="1" ht="22.2" customHeight="1">
      <c r="C3959" s="800">
        <v>1</v>
      </c>
      <c r="D3959" s="56" t="s">
        <v>8731</v>
      </c>
      <c r="E3959" s="93" t="s">
        <v>2167</v>
      </c>
      <c r="F3959" s="104">
        <v>1</v>
      </c>
      <c r="G3959" s="63">
        <f>VLOOKUP(D3959,upahbahan,3,FALSE)</f>
        <v>350000</v>
      </c>
      <c r="H3959" s="63">
        <f t="shared" ref="H3959" si="486">F3959*G3959</f>
        <v>350000</v>
      </c>
      <c r="I3959" s="44"/>
    </row>
    <row r="3960" spans="3:13" s="59" customFormat="1" ht="22.2" customHeight="1">
      <c r="C3960" s="450" t="s">
        <v>1214</v>
      </c>
      <c r="D3960" s="67"/>
      <c r="E3960" s="67"/>
      <c r="F3960" s="67"/>
      <c r="G3960" s="69"/>
      <c r="H3960" s="63">
        <f>SUM(H3958:H3959)</f>
        <v>350000</v>
      </c>
      <c r="I3960" s="44"/>
    </row>
    <row r="3961" spans="3:13" s="59" customFormat="1" ht="22.2" customHeight="1">
      <c r="C3961" s="61" t="s">
        <v>1215</v>
      </c>
      <c r="D3961" s="56" t="s">
        <v>1216</v>
      </c>
      <c r="E3961" s="93"/>
      <c r="F3961" s="57"/>
      <c r="G3961" s="57"/>
      <c r="H3961" s="57"/>
      <c r="I3961" s="44"/>
    </row>
    <row r="3962" spans="3:13" s="59" customFormat="1" ht="22.2" customHeight="1">
      <c r="C3962" s="800">
        <v>1</v>
      </c>
      <c r="D3962" s="56" t="s">
        <v>4770</v>
      </c>
      <c r="E3962" s="93" t="s">
        <v>1974</v>
      </c>
      <c r="F3962" s="103">
        <v>0.6</v>
      </c>
      <c r="G3962" s="63">
        <f>VLOOKUP(D3962,upahbahan,3,FALSE)</f>
        <v>108000</v>
      </c>
      <c r="H3962" s="63">
        <f>F3962*G3962</f>
        <v>64800</v>
      </c>
      <c r="I3962" s="44"/>
    </row>
    <row r="3963" spans="3:13" s="59" customFormat="1" ht="22.2" customHeight="1">
      <c r="C3963" s="450" t="s">
        <v>1217</v>
      </c>
      <c r="D3963" s="67"/>
      <c r="E3963" s="67"/>
      <c r="F3963" s="67"/>
      <c r="G3963" s="69"/>
      <c r="H3963" s="882">
        <f>SUM(H3961:H3962)</f>
        <v>64800</v>
      </c>
      <c r="I3963" s="44"/>
    </row>
    <row r="3964" spans="3:13" s="59" customFormat="1" ht="22.2" customHeight="1">
      <c r="C3964" s="288" t="s">
        <v>1218</v>
      </c>
      <c r="D3964" s="76" t="s">
        <v>1219</v>
      </c>
      <c r="E3964" s="77"/>
      <c r="F3964" s="77"/>
      <c r="G3964" s="78"/>
      <c r="H3964" s="585">
        <f>H3963+H3960+H3957</f>
        <v>575610</v>
      </c>
      <c r="I3964" s="369"/>
    </row>
    <row r="3965" spans="3:13" s="59" customFormat="1" ht="22.2" customHeight="1">
      <c r="C3965" s="288" t="s">
        <v>1220</v>
      </c>
      <c r="D3965" s="76" t="s">
        <v>1321</v>
      </c>
      <c r="E3965" s="77"/>
      <c r="F3965" s="78"/>
      <c r="G3965" s="80">
        <v>0.1</v>
      </c>
      <c r="H3965" s="63">
        <f>H3964*G3965</f>
        <v>57561</v>
      </c>
      <c r="I3965" s="369"/>
    </row>
    <row r="3966" spans="3:13" s="59" customFormat="1" ht="22.2" customHeight="1">
      <c r="C3966" s="288" t="s">
        <v>1221</v>
      </c>
      <c r="D3966" s="76" t="s">
        <v>1222</v>
      </c>
      <c r="E3966" s="77"/>
      <c r="F3966" s="77"/>
      <c r="G3966" s="78"/>
      <c r="H3966" s="799">
        <f>SUM(H3964:H3965)</f>
        <v>633171</v>
      </c>
      <c r="I3966" s="369"/>
    </row>
    <row r="3967" spans="3:13" ht="22.2" customHeight="1"/>
    <row r="3968" spans="3:13" ht="22.2" customHeight="1">
      <c r="C3968" s="43" t="s">
        <v>5136</v>
      </c>
      <c r="D3968" s="128" t="s">
        <v>8732</v>
      </c>
      <c r="I3968" s="50">
        <f>ROUNDDOWN(H3984,-2)</f>
        <v>875800</v>
      </c>
      <c r="J3968" s="122" t="s">
        <v>6451</v>
      </c>
      <c r="K3968" s="122" t="s">
        <v>8676</v>
      </c>
    </row>
    <row r="3969" spans="3:13" s="59" customFormat="1" ht="22.2" customHeight="1">
      <c r="C3969" s="591" t="s">
        <v>1195</v>
      </c>
      <c r="D3969" s="591" t="s">
        <v>1196</v>
      </c>
      <c r="E3969" s="591" t="s">
        <v>1197</v>
      </c>
      <c r="F3969" s="591" t="s">
        <v>1198</v>
      </c>
      <c r="G3969" s="591" t="s">
        <v>1199</v>
      </c>
      <c r="H3969" s="591" t="s">
        <v>1200</v>
      </c>
      <c r="I3969" s="44"/>
    </row>
    <row r="3970" spans="3:13" s="59" customFormat="1" ht="22.2" customHeight="1">
      <c r="C3970" s="61" t="s">
        <v>1201</v>
      </c>
      <c r="D3970" s="56" t="s">
        <v>1202</v>
      </c>
      <c r="E3970" s="57"/>
      <c r="F3970" s="57"/>
      <c r="G3970" s="57"/>
      <c r="H3970" s="57"/>
      <c r="I3970" s="44"/>
      <c r="J3970" s="152" t="s">
        <v>1247</v>
      </c>
    </row>
    <row r="3971" spans="3:13" s="59" customFormat="1" ht="22.2" customHeight="1">
      <c r="C3971" s="588">
        <v>1</v>
      </c>
      <c r="D3971" s="56" t="s">
        <v>5</v>
      </c>
      <c r="E3971" s="577" t="s">
        <v>6</v>
      </c>
      <c r="F3971" s="101">
        <v>1.0960000000000001</v>
      </c>
      <c r="G3971" s="63">
        <f>VLOOKUP(D3971,upahbahan,3,FALSE)</f>
        <v>100000</v>
      </c>
      <c r="H3971" s="63">
        <f>F3971*G3971</f>
        <v>109600.00000000001</v>
      </c>
      <c r="I3971" s="44"/>
      <c r="J3971" s="152" t="s">
        <v>1248</v>
      </c>
      <c r="M3971" s="65">
        <v>0.1</v>
      </c>
    </row>
    <row r="3972" spans="3:13" s="59" customFormat="1" ht="22.2" customHeight="1">
      <c r="C3972" s="588">
        <v>2</v>
      </c>
      <c r="D3972" s="56" t="s">
        <v>10</v>
      </c>
      <c r="E3972" s="577" t="s">
        <v>6</v>
      </c>
      <c r="F3972" s="101">
        <v>0.54800000000000004</v>
      </c>
      <c r="G3972" s="63">
        <f>VLOOKUP(D3972,upahbahan,3,FALSE)</f>
        <v>135000</v>
      </c>
      <c r="H3972" s="63">
        <f>F3972*G3972</f>
        <v>73980</v>
      </c>
      <c r="I3972" s="44"/>
      <c r="J3972" s="152"/>
      <c r="M3972" s="65"/>
    </row>
    <row r="3973" spans="3:13" s="59" customFormat="1" ht="22.2" customHeight="1">
      <c r="C3973" s="588">
        <v>4</v>
      </c>
      <c r="D3973" s="56" t="s">
        <v>19</v>
      </c>
      <c r="E3973" s="577" t="s">
        <v>6</v>
      </c>
      <c r="F3973" s="101">
        <v>0.11</v>
      </c>
      <c r="G3973" s="63">
        <f>VLOOKUP(D3973,upahbahan,3,FALSE)</f>
        <v>160000</v>
      </c>
      <c r="H3973" s="63">
        <f t="shared" ref="H3973" si="487">F3973*G3973</f>
        <v>17600</v>
      </c>
      <c r="I3973" s="44"/>
    </row>
    <row r="3974" spans="3:13" s="59" customFormat="1" ht="22.2" customHeight="1">
      <c r="C3974" s="450" t="s">
        <v>1208</v>
      </c>
      <c r="D3974" s="67"/>
      <c r="E3974" s="67"/>
      <c r="F3974" s="142"/>
      <c r="G3974" s="153"/>
      <c r="H3974" s="63">
        <f>SUM(H3971:H3973)</f>
        <v>201180</v>
      </c>
      <c r="I3974" s="154"/>
    </row>
    <row r="3975" spans="3:13" s="59" customFormat="1" ht="22.2" customHeight="1">
      <c r="C3975" s="61" t="s">
        <v>1209</v>
      </c>
      <c r="D3975" s="56" t="s">
        <v>1210</v>
      </c>
      <c r="E3975" s="57"/>
      <c r="F3975" s="57"/>
      <c r="G3975" s="57"/>
      <c r="H3975" s="57"/>
      <c r="I3975" s="44"/>
    </row>
    <row r="3976" spans="3:13" s="59" customFormat="1" ht="22.2" customHeight="1">
      <c r="C3976" s="800">
        <v>1</v>
      </c>
      <c r="D3976" s="56" t="s">
        <v>8733</v>
      </c>
      <c r="E3976" s="93" t="s">
        <v>2167</v>
      </c>
      <c r="F3976" s="104">
        <v>1</v>
      </c>
      <c r="G3976" s="63">
        <f>VLOOKUP(D3976,upahbahan,3,FALSE)</f>
        <v>435000</v>
      </c>
      <c r="H3976" s="63">
        <f t="shared" ref="H3976" si="488">F3976*G3976</f>
        <v>435000</v>
      </c>
      <c r="I3976" s="44"/>
    </row>
    <row r="3977" spans="3:13" s="59" customFormat="1" ht="22.2" customHeight="1">
      <c r="C3977" s="450" t="s">
        <v>1214</v>
      </c>
      <c r="D3977" s="67"/>
      <c r="E3977" s="67"/>
      <c r="F3977" s="67"/>
      <c r="G3977" s="69"/>
      <c r="H3977" s="63">
        <f>SUM(H3975:H3976)</f>
        <v>435000</v>
      </c>
      <c r="I3977" s="44"/>
    </row>
    <row r="3978" spans="3:13" s="59" customFormat="1" ht="22.2" customHeight="1">
      <c r="C3978" s="61" t="s">
        <v>1215</v>
      </c>
      <c r="D3978" s="56" t="s">
        <v>1216</v>
      </c>
      <c r="E3978" s="93"/>
      <c r="F3978" s="57"/>
      <c r="G3978" s="57"/>
      <c r="H3978" s="57"/>
      <c r="I3978" s="44"/>
    </row>
    <row r="3979" spans="3:13" s="59" customFormat="1" ht="22.2" customHeight="1">
      <c r="C3979" s="800">
        <v>1</v>
      </c>
      <c r="D3979" s="56" t="s">
        <v>4770</v>
      </c>
      <c r="E3979" s="93" t="s">
        <v>1974</v>
      </c>
      <c r="F3979" s="103">
        <v>0.193</v>
      </c>
      <c r="G3979" s="63">
        <f>VLOOKUP(D3979,upahbahan,3,FALSE)</f>
        <v>108000</v>
      </c>
      <c r="H3979" s="63">
        <f>F3979*G3979</f>
        <v>20844</v>
      </c>
      <c r="I3979" s="44"/>
    </row>
    <row r="3980" spans="3:13" s="59" customFormat="1" ht="22.2" customHeight="1">
      <c r="C3980" s="800">
        <v>2</v>
      </c>
      <c r="D3980" s="56" t="s">
        <v>4712</v>
      </c>
      <c r="E3980" s="93" t="s">
        <v>1974</v>
      </c>
      <c r="F3980" s="103">
        <v>9.6000000000000002E-2</v>
      </c>
      <c r="G3980" s="63">
        <f>VLOOKUP(D3980,upahbahan,3,FALSE)</f>
        <v>1450000</v>
      </c>
      <c r="H3980" s="63">
        <f>F3980*G3980</f>
        <v>139200</v>
      </c>
      <c r="I3980" s="44"/>
    </row>
    <row r="3981" spans="3:13" s="59" customFormat="1" ht="22.2" customHeight="1">
      <c r="C3981" s="450" t="s">
        <v>1217</v>
      </c>
      <c r="D3981" s="67"/>
      <c r="E3981" s="67"/>
      <c r="F3981" s="67"/>
      <c r="G3981" s="69"/>
      <c r="H3981" s="882">
        <f>SUM(H3978:H3980)</f>
        <v>160044</v>
      </c>
      <c r="I3981" s="44"/>
    </row>
    <row r="3982" spans="3:13" s="59" customFormat="1" ht="22.2" customHeight="1">
      <c r="C3982" s="288" t="s">
        <v>1218</v>
      </c>
      <c r="D3982" s="76" t="s">
        <v>1219</v>
      </c>
      <c r="E3982" s="77"/>
      <c r="F3982" s="77"/>
      <c r="G3982" s="78"/>
      <c r="H3982" s="585">
        <f>H3981+H3977+H3974</f>
        <v>796224</v>
      </c>
      <c r="I3982" s="369"/>
    </row>
    <row r="3983" spans="3:13" s="59" customFormat="1" ht="22.2" customHeight="1">
      <c r="C3983" s="288" t="s">
        <v>1220</v>
      </c>
      <c r="D3983" s="76" t="s">
        <v>1321</v>
      </c>
      <c r="E3983" s="77"/>
      <c r="F3983" s="78"/>
      <c r="G3983" s="80">
        <v>0.1</v>
      </c>
      <c r="H3983" s="63">
        <f>H3982*G3983</f>
        <v>79622.400000000009</v>
      </c>
      <c r="I3983" s="369"/>
    </row>
    <row r="3984" spans="3:13" s="59" customFormat="1" ht="22.2" customHeight="1">
      <c r="C3984" s="288" t="s">
        <v>1221</v>
      </c>
      <c r="D3984" s="76" t="s">
        <v>1222</v>
      </c>
      <c r="E3984" s="77"/>
      <c r="F3984" s="77"/>
      <c r="G3984" s="78"/>
      <c r="H3984" s="799">
        <f>SUM(H3982:H3983)</f>
        <v>875846.4</v>
      </c>
      <c r="I3984" s="369"/>
    </row>
    <row r="3985" spans="3:13" ht="22.2" customHeight="1"/>
    <row r="3986" spans="3:13" ht="22.2" customHeight="1"/>
    <row r="3987" spans="3:13" ht="22.2" customHeight="1">
      <c r="C3987" s="43" t="s">
        <v>5137</v>
      </c>
      <c r="D3987" s="128" t="s">
        <v>8734</v>
      </c>
      <c r="I3987" s="50">
        <f>ROUNDDOWN(H4003,-2)</f>
        <v>1033600</v>
      </c>
      <c r="J3987" s="122" t="s">
        <v>6451</v>
      </c>
      <c r="K3987" s="122" t="s">
        <v>8676</v>
      </c>
    </row>
    <row r="3988" spans="3:13" s="59" customFormat="1" ht="22.2" customHeight="1">
      <c r="C3988" s="591" t="s">
        <v>1195</v>
      </c>
      <c r="D3988" s="591" t="s">
        <v>1196</v>
      </c>
      <c r="E3988" s="591" t="s">
        <v>1197</v>
      </c>
      <c r="F3988" s="591" t="s">
        <v>1198</v>
      </c>
      <c r="G3988" s="591" t="s">
        <v>1199</v>
      </c>
      <c r="H3988" s="591" t="s">
        <v>1200</v>
      </c>
      <c r="I3988" s="44"/>
    </row>
    <row r="3989" spans="3:13" s="59" customFormat="1" ht="22.2" customHeight="1">
      <c r="C3989" s="61" t="s">
        <v>1201</v>
      </c>
      <c r="D3989" s="56" t="s">
        <v>1202</v>
      </c>
      <c r="E3989" s="57"/>
      <c r="F3989" s="57"/>
      <c r="G3989" s="57"/>
      <c r="H3989" s="57"/>
      <c r="I3989" s="44"/>
      <c r="J3989" s="152" t="s">
        <v>1247</v>
      </c>
    </row>
    <row r="3990" spans="3:13" s="59" customFormat="1" ht="22.2" customHeight="1">
      <c r="C3990" s="588">
        <v>1</v>
      </c>
      <c r="D3990" s="56" t="s">
        <v>5</v>
      </c>
      <c r="E3990" s="577" t="s">
        <v>6</v>
      </c>
      <c r="F3990" s="101">
        <v>1.3160000000000001</v>
      </c>
      <c r="G3990" s="63">
        <f>VLOOKUP(D3990,upahbahan,3,FALSE)</f>
        <v>100000</v>
      </c>
      <c r="H3990" s="63">
        <f>F3990*G3990</f>
        <v>131600</v>
      </c>
      <c r="I3990" s="44"/>
      <c r="J3990" s="152" t="s">
        <v>1248</v>
      </c>
      <c r="M3990" s="65">
        <v>0.1</v>
      </c>
    </row>
    <row r="3991" spans="3:13" s="59" customFormat="1" ht="22.2" customHeight="1">
      <c r="C3991" s="588">
        <v>2</v>
      </c>
      <c r="D3991" s="56" t="s">
        <v>10</v>
      </c>
      <c r="E3991" s="577" t="s">
        <v>6</v>
      </c>
      <c r="F3991" s="101">
        <v>0.65800000000000003</v>
      </c>
      <c r="G3991" s="63">
        <f>VLOOKUP(D3991,upahbahan,3,FALSE)</f>
        <v>135000</v>
      </c>
      <c r="H3991" s="63">
        <f>F3991*G3991</f>
        <v>88830</v>
      </c>
      <c r="I3991" s="44"/>
      <c r="J3991" s="152"/>
      <c r="M3991" s="65"/>
    </row>
    <row r="3992" spans="3:13" s="59" customFormat="1" ht="22.2" customHeight="1">
      <c r="C3992" s="588">
        <v>4</v>
      </c>
      <c r="D3992" s="56" t="s">
        <v>19</v>
      </c>
      <c r="E3992" s="577" t="s">
        <v>6</v>
      </c>
      <c r="F3992" s="101">
        <v>0.13200000000000001</v>
      </c>
      <c r="G3992" s="63">
        <f>VLOOKUP(D3992,upahbahan,3,FALSE)</f>
        <v>160000</v>
      </c>
      <c r="H3992" s="63">
        <f t="shared" ref="H3992" si="489">F3992*G3992</f>
        <v>21120</v>
      </c>
      <c r="I3992" s="44"/>
    </row>
    <row r="3993" spans="3:13" s="59" customFormat="1" ht="22.2" customHeight="1">
      <c r="C3993" s="450" t="s">
        <v>1208</v>
      </c>
      <c r="D3993" s="67"/>
      <c r="E3993" s="67"/>
      <c r="F3993" s="142"/>
      <c r="G3993" s="153"/>
      <c r="H3993" s="63">
        <f>SUM(H3990:H3992)</f>
        <v>241550</v>
      </c>
      <c r="I3993" s="154"/>
    </row>
    <row r="3994" spans="3:13" s="59" customFormat="1" ht="22.2" customHeight="1">
      <c r="C3994" s="61" t="s">
        <v>1209</v>
      </c>
      <c r="D3994" s="56" t="s">
        <v>1210</v>
      </c>
      <c r="E3994" s="57"/>
      <c r="F3994" s="57"/>
      <c r="G3994" s="57"/>
      <c r="H3994" s="57"/>
      <c r="I3994" s="44"/>
    </row>
    <row r="3995" spans="3:13" s="59" customFormat="1" ht="22.2" customHeight="1">
      <c r="C3995" s="800">
        <v>1</v>
      </c>
      <c r="D3995" s="56" t="s">
        <v>8735</v>
      </c>
      <c r="E3995" s="93" t="s">
        <v>2167</v>
      </c>
      <c r="F3995" s="104">
        <v>1</v>
      </c>
      <c r="G3995" s="63">
        <f>VLOOKUP(D3995,upahbahan,3,FALSE)</f>
        <v>510000</v>
      </c>
      <c r="H3995" s="63">
        <f t="shared" ref="H3995" si="490">F3995*G3995</f>
        <v>510000</v>
      </c>
      <c r="I3995" s="44"/>
    </row>
    <row r="3996" spans="3:13" s="59" customFormat="1" ht="22.2" customHeight="1">
      <c r="C3996" s="450" t="s">
        <v>1214</v>
      </c>
      <c r="D3996" s="67"/>
      <c r="E3996" s="67"/>
      <c r="F3996" s="67"/>
      <c r="G3996" s="69"/>
      <c r="H3996" s="63">
        <f>SUM(H3994:H3995)</f>
        <v>510000</v>
      </c>
      <c r="I3996" s="44"/>
    </row>
    <row r="3997" spans="3:13" s="59" customFormat="1" ht="22.2" customHeight="1">
      <c r="C3997" s="61" t="s">
        <v>1215</v>
      </c>
      <c r="D3997" s="56" t="s">
        <v>1216</v>
      </c>
      <c r="E3997" s="93"/>
      <c r="F3997" s="57"/>
      <c r="G3997" s="57"/>
      <c r="H3997" s="57"/>
      <c r="I3997" s="44"/>
    </row>
    <row r="3998" spans="3:13" s="59" customFormat="1" ht="22.2" customHeight="1">
      <c r="C3998" s="800">
        <v>1</v>
      </c>
      <c r="D3998" s="56" t="s">
        <v>4770</v>
      </c>
      <c r="E3998" s="93" t="s">
        <v>1974</v>
      </c>
      <c r="F3998" s="103">
        <v>0.22500000000000001</v>
      </c>
      <c r="G3998" s="63">
        <f>VLOOKUP(D3998,upahbahan,3,FALSE)</f>
        <v>108000</v>
      </c>
      <c r="H3998" s="63">
        <f>F3998*G3998</f>
        <v>24300</v>
      </c>
      <c r="I3998" s="44"/>
    </row>
    <row r="3999" spans="3:13" s="59" customFormat="1" ht="22.2" customHeight="1">
      <c r="C3999" s="800">
        <v>2</v>
      </c>
      <c r="D3999" s="56" t="s">
        <v>4712</v>
      </c>
      <c r="E3999" s="93" t="s">
        <v>1974</v>
      </c>
      <c r="F3999" s="103">
        <v>0.113</v>
      </c>
      <c r="G3999" s="63">
        <f>VLOOKUP(D3999,upahbahan,3,FALSE)</f>
        <v>1450000</v>
      </c>
      <c r="H3999" s="63">
        <f>F3999*G3999</f>
        <v>163850</v>
      </c>
      <c r="I3999" s="44"/>
    </row>
    <row r="4000" spans="3:13" s="59" customFormat="1" ht="22.2" customHeight="1">
      <c r="C4000" s="450" t="s">
        <v>1217</v>
      </c>
      <c r="D4000" s="67"/>
      <c r="E4000" s="67"/>
      <c r="F4000" s="67"/>
      <c r="G4000" s="69"/>
      <c r="H4000" s="882">
        <f>SUM(H3997:H3999)</f>
        <v>188150</v>
      </c>
      <c r="I4000" s="44"/>
    </row>
    <row r="4001" spans="3:13" s="59" customFormat="1" ht="22.2" customHeight="1">
      <c r="C4001" s="288" t="s">
        <v>1218</v>
      </c>
      <c r="D4001" s="76" t="s">
        <v>1219</v>
      </c>
      <c r="E4001" s="77"/>
      <c r="F4001" s="77"/>
      <c r="G4001" s="78"/>
      <c r="H4001" s="585">
        <f>H4000+H3996+H3993</f>
        <v>939700</v>
      </c>
      <c r="I4001" s="369"/>
    </row>
    <row r="4002" spans="3:13" s="59" customFormat="1" ht="22.2" customHeight="1">
      <c r="C4002" s="288" t="s">
        <v>1220</v>
      </c>
      <c r="D4002" s="76" t="s">
        <v>1321</v>
      </c>
      <c r="E4002" s="77"/>
      <c r="F4002" s="78"/>
      <c r="G4002" s="80">
        <v>0.1</v>
      </c>
      <c r="H4002" s="63">
        <f>H4001*G4002</f>
        <v>93970</v>
      </c>
      <c r="I4002" s="369"/>
    </row>
    <row r="4003" spans="3:13" s="59" customFormat="1" ht="22.2" customHeight="1">
      <c r="C4003" s="288" t="s">
        <v>1221</v>
      </c>
      <c r="D4003" s="76" t="s">
        <v>1222</v>
      </c>
      <c r="E4003" s="77"/>
      <c r="F4003" s="77"/>
      <c r="G4003" s="78"/>
      <c r="H4003" s="799">
        <f>SUM(H4001:H4002)</f>
        <v>1033670</v>
      </c>
      <c r="I4003" s="369"/>
    </row>
    <row r="4004" spans="3:13" ht="22.2" customHeight="1"/>
    <row r="4005" spans="3:13" ht="22.2" customHeight="1">
      <c r="C4005" s="43" t="s">
        <v>5138</v>
      </c>
      <c r="D4005" s="128" t="s">
        <v>8736</v>
      </c>
      <c r="I4005" s="50">
        <f>ROUNDDOWN(H4021,-2)</f>
        <v>1205200</v>
      </c>
      <c r="J4005" s="122" t="s">
        <v>6451</v>
      </c>
      <c r="K4005" s="122" t="s">
        <v>8676</v>
      </c>
    </row>
    <row r="4006" spans="3:13" s="59" customFormat="1" ht="22.2" customHeight="1">
      <c r="C4006" s="591" t="s">
        <v>1195</v>
      </c>
      <c r="D4006" s="591" t="s">
        <v>1196</v>
      </c>
      <c r="E4006" s="591" t="s">
        <v>1197</v>
      </c>
      <c r="F4006" s="591" t="s">
        <v>1198</v>
      </c>
      <c r="G4006" s="591" t="s">
        <v>1199</v>
      </c>
      <c r="H4006" s="591" t="s">
        <v>1200</v>
      </c>
      <c r="I4006" s="44"/>
    </row>
    <row r="4007" spans="3:13" s="59" customFormat="1" ht="22.2" customHeight="1">
      <c r="C4007" s="61" t="s">
        <v>1201</v>
      </c>
      <c r="D4007" s="56" t="s">
        <v>1202</v>
      </c>
      <c r="E4007" s="57"/>
      <c r="F4007" s="57"/>
      <c r="G4007" s="57"/>
      <c r="H4007" s="57"/>
      <c r="I4007" s="44"/>
      <c r="J4007" s="152" t="s">
        <v>1247</v>
      </c>
    </row>
    <row r="4008" spans="3:13" s="59" customFormat="1" ht="22.2" customHeight="1">
      <c r="C4008" s="588">
        <v>1</v>
      </c>
      <c r="D4008" s="56" t="s">
        <v>5</v>
      </c>
      <c r="E4008" s="577" t="s">
        <v>6</v>
      </c>
      <c r="F4008" s="101">
        <v>1.536</v>
      </c>
      <c r="G4008" s="63">
        <f>VLOOKUP(D4008,upahbahan,3,FALSE)</f>
        <v>100000</v>
      </c>
      <c r="H4008" s="63">
        <f>F4008*G4008</f>
        <v>153600</v>
      </c>
      <c r="I4008" s="44"/>
      <c r="J4008" s="152" t="s">
        <v>1248</v>
      </c>
      <c r="M4008" s="65">
        <v>0.1</v>
      </c>
    </row>
    <row r="4009" spans="3:13" s="59" customFormat="1" ht="22.2" customHeight="1">
      <c r="C4009" s="588">
        <v>2</v>
      </c>
      <c r="D4009" s="56" t="s">
        <v>10</v>
      </c>
      <c r="E4009" s="577" t="s">
        <v>6</v>
      </c>
      <c r="F4009" s="101">
        <v>0.76800000000000002</v>
      </c>
      <c r="G4009" s="63">
        <f>VLOOKUP(D4009,upahbahan,3,FALSE)</f>
        <v>135000</v>
      </c>
      <c r="H4009" s="63">
        <f>F4009*G4009</f>
        <v>103680</v>
      </c>
      <c r="I4009" s="44"/>
      <c r="J4009" s="152"/>
      <c r="M4009" s="65"/>
    </row>
    <row r="4010" spans="3:13" s="59" customFormat="1" ht="22.2" customHeight="1">
      <c r="C4010" s="588">
        <v>4</v>
      </c>
      <c r="D4010" s="56" t="s">
        <v>19</v>
      </c>
      <c r="E4010" s="577" t="s">
        <v>6</v>
      </c>
      <c r="F4010" s="101">
        <v>0.154</v>
      </c>
      <c r="G4010" s="63">
        <f>VLOOKUP(D4010,upahbahan,3,FALSE)</f>
        <v>160000</v>
      </c>
      <c r="H4010" s="63">
        <f t="shared" ref="H4010" si="491">F4010*G4010</f>
        <v>24640</v>
      </c>
      <c r="I4010" s="44"/>
    </row>
    <row r="4011" spans="3:13" s="59" customFormat="1" ht="22.2" customHeight="1">
      <c r="C4011" s="450" t="s">
        <v>1208</v>
      </c>
      <c r="D4011" s="67"/>
      <c r="E4011" s="67"/>
      <c r="F4011" s="142"/>
      <c r="G4011" s="153"/>
      <c r="H4011" s="63">
        <f>SUM(H4008:H4010)</f>
        <v>281920</v>
      </c>
      <c r="I4011" s="154"/>
    </row>
    <row r="4012" spans="3:13" s="59" customFormat="1" ht="22.2" customHeight="1">
      <c r="C4012" s="61" t="s">
        <v>1209</v>
      </c>
      <c r="D4012" s="56" t="s">
        <v>1210</v>
      </c>
      <c r="E4012" s="57"/>
      <c r="F4012" s="57"/>
      <c r="G4012" s="57"/>
      <c r="H4012" s="57"/>
      <c r="I4012" s="44"/>
    </row>
    <row r="4013" spans="3:13" s="59" customFormat="1" ht="22.2" customHeight="1">
      <c r="C4013" s="800">
        <v>1</v>
      </c>
      <c r="D4013" s="56" t="s">
        <v>8737</v>
      </c>
      <c r="E4013" s="93" t="s">
        <v>2167</v>
      </c>
      <c r="F4013" s="104">
        <v>1</v>
      </c>
      <c r="G4013" s="63">
        <f>VLOOKUP(D4013,upahbahan,3,FALSE)</f>
        <v>599000</v>
      </c>
      <c r="H4013" s="63">
        <f t="shared" ref="H4013" si="492">F4013*G4013</f>
        <v>599000</v>
      </c>
      <c r="I4013" s="44"/>
    </row>
    <row r="4014" spans="3:13" s="59" customFormat="1" ht="22.2" customHeight="1">
      <c r="C4014" s="450" t="s">
        <v>1214</v>
      </c>
      <c r="D4014" s="67"/>
      <c r="E4014" s="67"/>
      <c r="F4014" s="67"/>
      <c r="G4014" s="69"/>
      <c r="H4014" s="63">
        <f>SUM(H4012:H4013)</f>
        <v>599000</v>
      </c>
      <c r="I4014" s="44"/>
    </row>
    <row r="4015" spans="3:13" s="59" customFormat="1" ht="22.2" customHeight="1">
      <c r="C4015" s="61" t="s">
        <v>1215</v>
      </c>
      <c r="D4015" s="56" t="s">
        <v>1216</v>
      </c>
      <c r="E4015" s="93"/>
      <c r="F4015" s="57"/>
      <c r="G4015" s="57"/>
      <c r="H4015" s="57"/>
      <c r="I4015" s="44"/>
    </row>
    <row r="4016" spans="3:13" s="59" customFormat="1" ht="22.2" customHeight="1">
      <c r="C4016" s="800">
        <v>1</v>
      </c>
      <c r="D4016" s="56" t="s">
        <v>4770</v>
      </c>
      <c r="E4016" s="93" t="s">
        <v>1974</v>
      </c>
      <c r="F4016" s="103">
        <v>0.25700000000000001</v>
      </c>
      <c r="G4016" s="63">
        <f>VLOOKUP(D4016,upahbahan,3,FALSE)</f>
        <v>108000</v>
      </c>
      <c r="H4016" s="63">
        <f>F4016*G4016</f>
        <v>27756</v>
      </c>
      <c r="I4016" s="44"/>
    </row>
    <row r="4017" spans="3:13" s="59" customFormat="1" ht="22.2" customHeight="1">
      <c r="C4017" s="800">
        <v>2</v>
      </c>
      <c r="D4017" s="56" t="s">
        <v>4712</v>
      </c>
      <c r="E4017" s="93" t="s">
        <v>1974</v>
      </c>
      <c r="F4017" s="103">
        <v>0.129</v>
      </c>
      <c r="G4017" s="63">
        <f>VLOOKUP(D4017,upahbahan,3,FALSE)</f>
        <v>1450000</v>
      </c>
      <c r="H4017" s="63">
        <f>F4017*G4017</f>
        <v>187050</v>
      </c>
      <c r="I4017" s="44"/>
    </row>
    <row r="4018" spans="3:13" s="59" customFormat="1" ht="22.2" customHeight="1">
      <c r="C4018" s="450" t="s">
        <v>1217</v>
      </c>
      <c r="D4018" s="67"/>
      <c r="E4018" s="67"/>
      <c r="F4018" s="67"/>
      <c r="G4018" s="69"/>
      <c r="H4018" s="882">
        <f>SUM(H4015:H4017)</f>
        <v>214806</v>
      </c>
      <c r="I4018" s="44"/>
    </row>
    <row r="4019" spans="3:13" s="59" customFormat="1" ht="22.2" customHeight="1">
      <c r="C4019" s="288" t="s">
        <v>1218</v>
      </c>
      <c r="D4019" s="76" t="s">
        <v>1219</v>
      </c>
      <c r="E4019" s="77"/>
      <c r="F4019" s="77"/>
      <c r="G4019" s="78"/>
      <c r="H4019" s="585">
        <f>H4018+H4014+H4011</f>
        <v>1095726</v>
      </c>
      <c r="I4019" s="369"/>
    </row>
    <row r="4020" spans="3:13" s="59" customFormat="1" ht="22.2" customHeight="1">
      <c r="C4020" s="288" t="s">
        <v>1220</v>
      </c>
      <c r="D4020" s="76" t="s">
        <v>1321</v>
      </c>
      <c r="E4020" s="77"/>
      <c r="F4020" s="78"/>
      <c r="G4020" s="80">
        <v>0.1</v>
      </c>
      <c r="H4020" s="63">
        <f>H4019*G4020</f>
        <v>109572.6</v>
      </c>
      <c r="I4020" s="369"/>
    </row>
    <row r="4021" spans="3:13" s="59" customFormat="1" ht="22.2" customHeight="1">
      <c r="C4021" s="288" t="s">
        <v>1221</v>
      </c>
      <c r="D4021" s="76" t="s">
        <v>1222</v>
      </c>
      <c r="E4021" s="77"/>
      <c r="F4021" s="77"/>
      <c r="G4021" s="78"/>
      <c r="H4021" s="799">
        <f>SUM(H4019:H4020)</f>
        <v>1205298.6000000001</v>
      </c>
      <c r="I4021" s="369"/>
    </row>
    <row r="4022" spans="3:13" ht="22.2" customHeight="1"/>
    <row r="4023" spans="3:13" ht="22.2" customHeight="1">
      <c r="C4023" s="43" t="s">
        <v>5139</v>
      </c>
      <c r="D4023" s="128" t="s">
        <v>8738</v>
      </c>
      <c r="I4023" s="50">
        <f>ROUNDDOWN(H4039,-2)</f>
        <v>1386400</v>
      </c>
      <c r="J4023" s="122" t="s">
        <v>6451</v>
      </c>
      <c r="K4023" s="122" t="s">
        <v>8676</v>
      </c>
    </row>
    <row r="4024" spans="3:13" s="59" customFormat="1" ht="22.2" customHeight="1">
      <c r="C4024" s="591" t="s">
        <v>1195</v>
      </c>
      <c r="D4024" s="591" t="s">
        <v>1196</v>
      </c>
      <c r="E4024" s="591" t="s">
        <v>1197</v>
      </c>
      <c r="F4024" s="591" t="s">
        <v>1198</v>
      </c>
      <c r="G4024" s="591" t="s">
        <v>1199</v>
      </c>
      <c r="H4024" s="591" t="s">
        <v>1200</v>
      </c>
      <c r="I4024" s="44"/>
    </row>
    <row r="4025" spans="3:13" s="59" customFormat="1" ht="22.2" customHeight="1">
      <c r="C4025" s="61" t="s">
        <v>1201</v>
      </c>
      <c r="D4025" s="56" t="s">
        <v>1202</v>
      </c>
      <c r="E4025" s="57"/>
      <c r="F4025" s="57"/>
      <c r="G4025" s="57"/>
      <c r="H4025" s="57"/>
      <c r="I4025" s="44"/>
      <c r="J4025" s="152" t="s">
        <v>1247</v>
      </c>
    </row>
    <row r="4026" spans="3:13" s="59" customFormat="1" ht="22.2" customHeight="1">
      <c r="C4026" s="588">
        <v>1</v>
      </c>
      <c r="D4026" s="56" t="s">
        <v>5</v>
      </c>
      <c r="E4026" s="577" t="s">
        <v>6</v>
      </c>
      <c r="F4026" s="101">
        <v>1.756</v>
      </c>
      <c r="G4026" s="63">
        <f>VLOOKUP(D4026,upahbahan,3,FALSE)</f>
        <v>100000</v>
      </c>
      <c r="H4026" s="63">
        <f>F4026*G4026</f>
        <v>175600</v>
      </c>
      <c r="I4026" s="44"/>
      <c r="J4026" s="152" t="s">
        <v>1248</v>
      </c>
      <c r="M4026" s="65">
        <v>0.1</v>
      </c>
    </row>
    <row r="4027" spans="3:13" s="59" customFormat="1" ht="22.2" customHeight="1">
      <c r="C4027" s="588">
        <v>2</v>
      </c>
      <c r="D4027" s="56" t="s">
        <v>10</v>
      </c>
      <c r="E4027" s="577" t="s">
        <v>6</v>
      </c>
      <c r="F4027" s="101">
        <v>0.878</v>
      </c>
      <c r="G4027" s="63">
        <f>VLOOKUP(D4027,upahbahan,3,FALSE)</f>
        <v>135000</v>
      </c>
      <c r="H4027" s="63">
        <f>F4027*G4027</f>
        <v>118530</v>
      </c>
      <c r="I4027" s="44"/>
      <c r="J4027" s="152"/>
      <c r="M4027" s="65"/>
    </row>
    <row r="4028" spans="3:13" s="59" customFormat="1" ht="22.2" customHeight="1">
      <c r="C4028" s="588">
        <v>4</v>
      </c>
      <c r="D4028" s="56" t="s">
        <v>19</v>
      </c>
      <c r="E4028" s="577" t="s">
        <v>6</v>
      </c>
      <c r="F4028" s="101">
        <v>0.17599999999999999</v>
      </c>
      <c r="G4028" s="63">
        <f>VLOOKUP(D4028,upahbahan,3,FALSE)</f>
        <v>160000</v>
      </c>
      <c r="H4028" s="63">
        <f t="shared" ref="H4028" si="493">F4028*G4028</f>
        <v>28160</v>
      </c>
      <c r="I4028" s="44"/>
    </row>
    <row r="4029" spans="3:13" s="59" customFormat="1" ht="22.2" customHeight="1">
      <c r="C4029" s="450" t="s">
        <v>1208</v>
      </c>
      <c r="D4029" s="67"/>
      <c r="E4029" s="67"/>
      <c r="F4029" s="142"/>
      <c r="G4029" s="153"/>
      <c r="H4029" s="63">
        <f>SUM(H4026:H4028)</f>
        <v>322290</v>
      </c>
      <c r="I4029" s="154"/>
    </row>
    <row r="4030" spans="3:13" s="59" customFormat="1" ht="22.2" customHeight="1">
      <c r="C4030" s="61" t="s">
        <v>1209</v>
      </c>
      <c r="D4030" s="56" t="s">
        <v>1210</v>
      </c>
      <c r="E4030" s="57"/>
      <c r="F4030" s="57"/>
      <c r="G4030" s="57"/>
      <c r="H4030" s="57"/>
      <c r="I4030" s="44"/>
    </row>
    <row r="4031" spans="3:13" s="59" customFormat="1" ht="22.2" customHeight="1">
      <c r="C4031" s="800">
        <v>1</v>
      </c>
      <c r="D4031" s="56" t="s">
        <v>8739</v>
      </c>
      <c r="E4031" s="93" t="s">
        <v>2167</v>
      </c>
      <c r="F4031" s="104">
        <v>1</v>
      </c>
      <c r="G4031" s="63">
        <f>VLOOKUP(D4031,upahbahan,3,FALSE)</f>
        <v>670000</v>
      </c>
      <c r="H4031" s="63">
        <f t="shared" ref="H4031" si="494">F4031*G4031</f>
        <v>670000</v>
      </c>
      <c r="I4031" s="44"/>
    </row>
    <row r="4032" spans="3:13" s="59" customFormat="1" ht="22.2" customHeight="1">
      <c r="C4032" s="450" t="s">
        <v>1214</v>
      </c>
      <c r="D4032" s="67"/>
      <c r="E4032" s="67"/>
      <c r="F4032" s="67"/>
      <c r="G4032" s="69"/>
      <c r="H4032" s="63">
        <f>SUM(H4030:H4031)</f>
        <v>670000</v>
      </c>
      <c r="I4032" s="44"/>
    </row>
    <row r="4033" spans="3:13" s="59" customFormat="1" ht="22.2" customHeight="1">
      <c r="C4033" s="61" t="s">
        <v>1215</v>
      </c>
      <c r="D4033" s="56" t="s">
        <v>1216</v>
      </c>
      <c r="E4033" s="93"/>
      <c r="F4033" s="57"/>
      <c r="G4033" s="57"/>
      <c r="H4033" s="57"/>
      <c r="I4033" s="44"/>
    </row>
    <row r="4034" spans="3:13" s="59" customFormat="1" ht="22.2" customHeight="1">
      <c r="C4034" s="800">
        <v>1</v>
      </c>
      <c r="D4034" s="56" t="s">
        <v>4770</v>
      </c>
      <c r="E4034" s="93" t="s">
        <v>1974</v>
      </c>
      <c r="F4034" s="103">
        <v>0.32100000000000001</v>
      </c>
      <c r="G4034" s="63">
        <f>VLOOKUP(D4034,upahbahan,3,FALSE)</f>
        <v>108000</v>
      </c>
      <c r="H4034" s="63">
        <f>F4034*G4034</f>
        <v>34668</v>
      </c>
      <c r="I4034" s="44"/>
    </row>
    <row r="4035" spans="3:13" s="59" customFormat="1" ht="22.2" customHeight="1">
      <c r="C4035" s="800">
        <v>2</v>
      </c>
      <c r="D4035" s="56" t="s">
        <v>4712</v>
      </c>
      <c r="E4035" s="93" t="s">
        <v>1974</v>
      </c>
      <c r="F4035" s="103">
        <v>0.161</v>
      </c>
      <c r="G4035" s="63">
        <f>VLOOKUP(D4035,upahbahan,3,FALSE)</f>
        <v>1450000</v>
      </c>
      <c r="H4035" s="63">
        <f>F4035*G4035</f>
        <v>233450</v>
      </c>
      <c r="I4035" s="44"/>
    </row>
    <row r="4036" spans="3:13" s="59" customFormat="1" ht="22.2" customHeight="1">
      <c r="C4036" s="450" t="s">
        <v>1217</v>
      </c>
      <c r="D4036" s="67"/>
      <c r="E4036" s="67"/>
      <c r="F4036" s="67"/>
      <c r="G4036" s="69"/>
      <c r="H4036" s="882">
        <f>SUM(H4033:H4035)</f>
        <v>268118</v>
      </c>
      <c r="I4036" s="44"/>
    </row>
    <row r="4037" spans="3:13" s="59" customFormat="1" ht="22.2" customHeight="1">
      <c r="C4037" s="288" t="s">
        <v>1218</v>
      </c>
      <c r="D4037" s="76" t="s">
        <v>1219</v>
      </c>
      <c r="E4037" s="77"/>
      <c r="F4037" s="77"/>
      <c r="G4037" s="78"/>
      <c r="H4037" s="585">
        <f>H4036+H4032+H4029</f>
        <v>1260408</v>
      </c>
      <c r="I4037" s="369"/>
    </row>
    <row r="4038" spans="3:13" s="59" customFormat="1" ht="22.2" customHeight="1">
      <c r="C4038" s="288" t="s">
        <v>1220</v>
      </c>
      <c r="D4038" s="76" t="s">
        <v>1321</v>
      </c>
      <c r="E4038" s="77"/>
      <c r="F4038" s="78"/>
      <c r="G4038" s="80">
        <v>0.1</v>
      </c>
      <c r="H4038" s="63">
        <f>H4037*G4038</f>
        <v>126040.8</v>
      </c>
      <c r="I4038" s="369"/>
    </row>
    <row r="4039" spans="3:13" s="59" customFormat="1" ht="22.2" customHeight="1">
      <c r="C4039" s="288" t="s">
        <v>1221</v>
      </c>
      <c r="D4039" s="76" t="s">
        <v>1222</v>
      </c>
      <c r="E4039" s="77"/>
      <c r="F4039" s="77"/>
      <c r="G4039" s="78"/>
      <c r="H4039" s="799">
        <f>SUM(H4037:H4038)</f>
        <v>1386448.8</v>
      </c>
      <c r="I4039" s="369"/>
    </row>
    <row r="4040" spans="3:13" ht="22.2" customHeight="1"/>
    <row r="4041" spans="3:13" ht="22.2" customHeight="1">
      <c r="C4041" s="43" t="s">
        <v>5140</v>
      </c>
      <c r="D4041" s="128" t="s">
        <v>8740</v>
      </c>
      <c r="I4041" s="50">
        <f>ROUNDDOWN(H4057,-2)</f>
        <v>1559200</v>
      </c>
      <c r="J4041" s="122" t="s">
        <v>6451</v>
      </c>
      <c r="K4041" s="122" t="s">
        <v>8676</v>
      </c>
    </row>
    <row r="4042" spans="3:13" s="59" customFormat="1" ht="22.2" customHeight="1">
      <c r="C4042" s="591" t="s">
        <v>1195</v>
      </c>
      <c r="D4042" s="591" t="s">
        <v>1196</v>
      </c>
      <c r="E4042" s="591" t="s">
        <v>1197</v>
      </c>
      <c r="F4042" s="591" t="s">
        <v>1198</v>
      </c>
      <c r="G4042" s="591" t="s">
        <v>1199</v>
      </c>
      <c r="H4042" s="591" t="s">
        <v>1200</v>
      </c>
      <c r="I4042" s="44"/>
    </row>
    <row r="4043" spans="3:13" s="59" customFormat="1" ht="22.2" customHeight="1">
      <c r="C4043" s="61" t="s">
        <v>1201</v>
      </c>
      <c r="D4043" s="56" t="s">
        <v>1202</v>
      </c>
      <c r="E4043" s="57"/>
      <c r="F4043" s="57"/>
      <c r="G4043" s="57"/>
      <c r="H4043" s="57"/>
      <c r="I4043" s="44"/>
      <c r="J4043" s="152" t="s">
        <v>1247</v>
      </c>
    </row>
    <row r="4044" spans="3:13" s="59" customFormat="1" ht="22.2" customHeight="1">
      <c r="C4044" s="588">
        <v>1</v>
      </c>
      <c r="D4044" s="56" t="s">
        <v>5</v>
      </c>
      <c r="E4044" s="577" t="s">
        <v>6</v>
      </c>
      <c r="F4044" s="101">
        <v>1.976</v>
      </c>
      <c r="G4044" s="63">
        <f>VLOOKUP(D4044,upahbahan,3,FALSE)</f>
        <v>100000</v>
      </c>
      <c r="H4044" s="63">
        <f>F4044*G4044</f>
        <v>197600</v>
      </c>
      <c r="I4044" s="44"/>
      <c r="J4044" s="152" t="s">
        <v>1248</v>
      </c>
      <c r="M4044" s="65">
        <v>0.1</v>
      </c>
    </row>
    <row r="4045" spans="3:13" s="59" customFormat="1" ht="22.2" customHeight="1">
      <c r="C4045" s="588">
        <v>2</v>
      </c>
      <c r="D4045" s="56" t="s">
        <v>10</v>
      </c>
      <c r="E4045" s="577" t="s">
        <v>6</v>
      </c>
      <c r="F4045" s="101">
        <v>0.98799999999999999</v>
      </c>
      <c r="G4045" s="63">
        <f>VLOOKUP(D4045,upahbahan,3,FALSE)</f>
        <v>135000</v>
      </c>
      <c r="H4045" s="63">
        <f>F4045*G4045</f>
        <v>133380</v>
      </c>
      <c r="I4045" s="44"/>
      <c r="J4045" s="152"/>
      <c r="M4045" s="65"/>
    </row>
    <row r="4046" spans="3:13" s="59" customFormat="1" ht="22.2" customHeight="1">
      <c r="C4046" s="588">
        <v>4</v>
      </c>
      <c r="D4046" s="56" t="s">
        <v>19</v>
      </c>
      <c r="E4046" s="577" t="s">
        <v>6</v>
      </c>
      <c r="F4046" s="101">
        <v>0.19800000000000001</v>
      </c>
      <c r="G4046" s="63">
        <f>VLOOKUP(D4046,upahbahan,3,FALSE)</f>
        <v>160000</v>
      </c>
      <c r="H4046" s="63">
        <f t="shared" ref="H4046" si="495">F4046*G4046</f>
        <v>31680</v>
      </c>
      <c r="I4046" s="44"/>
    </row>
    <row r="4047" spans="3:13" s="59" customFormat="1" ht="22.2" customHeight="1">
      <c r="C4047" s="450" t="s">
        <v>1208</v>
      </c>
      <c r="D4047" s="67"/>
      <c r="E4047" s="67"/>
      <c r="F4047" s="142"/>
      <c r="G4047" s="153"/>
      <c r="H4047" s="63">
        <f>SUM(H4044:H4046)</f>
        <v>362660</v>
      </c>
      <c r="I4047" s="154"/>
    </row>
    <row r="4048" spans="3:13" s="59" customFormat="1" ht="22.2" customHeight="1">
      <c r="C4048" s="61" t="s">
        <v>1209</v>
      </c>
      <c r="D4048" s="56" t="s">
        <v>1210</v>
      </c>
      <c r="E4048" s="57"/>
      <c r="F4048" s="57"/>
      <c r="G4048" s="57"/>
      <c r="H4048" s="57"/>
      <c r="I4048" s="44"/>
    </row>
    <row r="4049" spans="3:13" s="59" customFormat="1" ht="22.2" customHeight="1">
      <c r="C4049" s="800">
        <v>1</v>
      </c>
      <c r="D4049" s="56" t="s">
        <v>8741</v>
      </c>
      <c r="E4049" s="93" t="s">
        <v>2167</v>
      </c>
      <c r="F4049" s="104">
        <v>1</v>
      </c>
      <c r="G4049" s="63">
        <f>VLOOKUP(D4049,upahbahan,3,FALSE)</f>
        <v>750000</v>
      </c>
      <c r="H4049" s="63">
        <f t="shared" ref="H4049" si="496">F4049*G4049</f>
        <v>750000</v>
      </c>
      <c r="I4049" s="44"/>
    </row>
    <row r="4050" spans="3:13" s="59" customFormat="1" ht="22.2" customHeight="1">
      <c r="C4050" s="450" t="s">
        <v>1214</v>
      </c>
      <c r="D4050" s="67"/>
      <c r="E4050" s="67"/>
      <c r="F4050" s="67"/>
      <c r="G4050" s="69"/>
      <c r="H4050" s="63">
        <f>SUM(H4048:H4049)</f>
        <v>750000</v>
      </c>
      <c r="I4050" s="44"/>
    </row>
    <row r="4051" spans="3:13" s="59" customFormat="1" ht="22.2" customHeight="1">
      <c r="C4051" s="61" t="s">
        <v>1215</v>
      </c>
      <c r="D4051" s="56" t="s">
        <v>1216</v>
      </c>
      <c r="E4051" s="93"/>
      <c r="F4051" s="57"/>
      <c r="G4051" s="57"/>
      <c r="H4051" s="57"/>
      <c r="I4051" s="44"/>
    </row>
    <row r="4052" spans="3:13" s="59" customFormat="1" ht="22.2" customHeight="1">
      <c r="C4052" s="800">
        <v>1</v>
      </c>
      <c r="D4052" s="56" t="s">
        <v>4770</v>
      </c>
      <c r="E4052" s="93" t="s">
        <v>1974</v>
      </c>
      <c r="F4052" s="103">
        <v>0.36599999999999999</v>
      </c>
      <c r="G4052" s="63">
        <f>VLOOKUP(D4052,upahbahan,3,FALSE)</f>
        <v>108000</v>
      </c>
      <c r="H4052" s="63">
        <f>F4052*G4052</f>
        <v>39528</v>
      </c>
      <c r="I4052" s="44"/>
    </row>
    <row r="4053" spans="3:13" s="59" customFormat="1" ht="22.2" customHeight="1">
      <c r="C4053" s="800">
        <v>2</v>
      </c>
      <c r="D4053" s="56" t="s">
        <v>4712</v>
      </c>
      <c r="E4053" s="93" t="s">
        <v>1974</v>
      </c>
      <c r="F4053" s="103">
        <v>0.183</v>
      </c>
      <c r="G4053" s="63">
        <f>VLOOKUP(D4053,upahbahan,3,FALSE)</f>
        <v>1450000</v>
      </c>
      <c r="H4053" s="63">
        <f>F4053*G4053</f>
        <v>265350</v>
      </c>
      <c r="I4053" s="44"/>
    </row>
    <row r="4054" spans="3:13" s="59" customFormat="1" ht="22.2" customHeight="1">
      <c r="C4054" s="450" t="s">
        <v>1217</v>
      </c>
      <c r="D4054" s="67"/>
      <c r="E4054" s="67"/>
      <c r="F4054" s="67"/>
      <c r="G4054" s="69"/>
      <c r="H4054" s="882">
        <f>SUM(H4051:H4053)</f>
        <v>304878</v>
      </c>
      <c r="I4054" s="44"/>
    </row>
    <row r="4055" spans="3:13" s="59" customFormat="1" ht="22.2" customHeight="1">
      <c r="C4055" s="288" t="s">
        <v>1218</v>
      </c>
      <c r="D4055" s="76" t="s">
        <v>1219</v>
      </c>
      <c r="E4055" s="77"/>
      <c r="F4055" s="77"/>
      <c r="G4055" s="78"/>
      <c r="H4055" s="585">
        <f>H4054+H4050+H4047</f>
        <v>1417538</v>
      </c>
      <c r="I4055" s="369"/>
    </row>
    <row r="4056" spans="3:13" s="59" customFormat="1" ht="22.2" customHeight="1">
      <c r="C4056" s="288" t="s">
        <v>1220</v>
      </c>
      <c r="D4056" s="76" t="s">
        <v>1321</v>
      </c>
      <c r="E4056" s="77"/>
      <c r="F4056" s="78"/>
      <c r="G4056" s="80">
        <v>0.1</v>
      </c>
      <c r="H4056" s="63">
        <f>H4055*G4056</f>
        <v>141753.80000000002</v>
      </c>
      <c r="I4056" s="369"/>
    </row>
    <row r="4057" spans="3:13" s="59" customFormat="1" ht="22.2" customHeight="1">
      <c r="C4057" s="288" t="s">
        <v>1221</v>
      </c>
      <c r="D4057" s="76" t="s">
        <v>1222</v>
      </c>
      <c r="E4057" s="77"/>
      <c r="F4057" s="77"/>
      <c r="G4057" s="78"/>
      <c r="H4057" s="799">
        <f>SUM(H4055:H4056)</f>
        <v>1559291.8</v>
      </c>
      <c r="I4057" s="369"/>
    </row>
    <row r="4058" spans="3:13" ht="22.2" customHeight="1"/>
    <row r="4059" spans="3:13" ht="22.2" customHeight="1">
      <c r="C4059" s="43" t="s">
        <v>5141</v>
      </c>
      <c r="D4059" s="128" t="s">
        <v>8742</v>
      </c>
      <c r="I4059" s="50">
        <f>ROUNDDOWN(H4075,-2)</f>
        <v>1710000</v>
      </c>
      <c r="J4059" s="122" t="s">
        <v>6451</v>
      </c>
      <c r="K4059" s="122" t="s">
        <v>8676</v>
      </c>
    </row>
    <row r="4060" spans="3:13" s="59" customFormat="1" ht="22.2" customHeight="1">
      <c r="C4060" s="591" t="s">
        <v>1195</v>
      </c>
      <c r="D4060" s="591" t="s">
        <v>1196</v>
      </c>
      <c r="E4060" s="591" t="s">
        <v>1197</v>
      </c>
      <c r="F4060" s="591" t="s">
        <v>1198</v>
      </c>
      <c r="G4060" s="591" t="s">
        <v>1199</v>
      </c>
      <c r="H4060" s="591" t="s">
        <v>1200</v>
      </c>
      <c r="I4060" s="44"/>
    </row>
    <row r="4061" spans="3:13" s="59" customFormat="1" ht="22.2" customHeight="1">
      <c r="C4061" s="61" t="s">
        <v>1201</v>
      </c>
      <c r="D4061" s="56" t="s">
        <v>1202</v>
      </c>
      <c r="E4061" s="57"/>
      <c r="F4061" s="57"/>
      <c r="G4061" s="57"/>
      <c r="H4061" s="57"/>
      <c r="I4061" s="44"/>
      <c r="J4061" s="152" t="s">
        <v>1247</v>
      </c>
    </row>
    <row r="4062" spans="3:13" s="59" customFormat="1" ht="22.2" customHeight="1">
      <c r="C4062" s="588">
        <v>1</v>
      </c>
      <c r="D4062" s="56" t="s">
        <v>5</v>
      </c>
      <c r="E4062" s="577" t="s">
        <v>6</v>
      </c>
      <c r="F4062" s="101">
        <v>2.1960000000000002</v>
      </c>
      <c r="G4062" s="63">
        <f>VLOOKUP(D4062,upahbahan,3,FALSE)</f>
        <v>100000</v>
      </c>
      <c r="H4062" s="63">
        <f>F4062*G4062</f>
        <v>219600.00000000003</v>
      </c>
      <c r="I4062" s="44"/>
      <c r="J4062" s="152" t="s">
        <v>1248</v>
      </c>
      <c r="M4062" s="65">
        <v>0.1</v>
      </c>
    </row>
    <row r="4063" spans="3:13" s="59" customFormat="1" ht="22.2" customHeight="1">
      <c r="C4063" s="588">
        <v>2</v>
      </c>
      <c r="D4063" s="56" t="s">
        <v>10</v>
      </c>
      <c r="E4063" s="577" t="s">
        <v>6</v>
      </c>
      <c r="F4063" s="101">
        <v>1.0980000000000001</v>
      </c>
      <c r="G4063" s="63">
        <f>VLOOKUP(D4063,upahbahan,3,FALSE)</f>
        <v>135000</v>
      </c>
      <c r="H4063" s="63">
        <f>F4063*G4063</f>
        <v>148230</v>
      </c>
      <c r="I4063" s="44"/>
      <c r="J4063" s="152"/>
      <c r="M4063" s="65"/>
    </row>
    <row r="4064" spans="3:13" s="59" customFormat="1" ht="22.2" customHeight="1">
      <c r="C4064" s="588">
        <v>4</v>
      </c>
      <c r="D4064" s="56" t="s">
        <v>19</v>
      </c>
      <c r="E4064" s="577" t="s">
        <v>6</v>
      </c>
      <c r="F4064" s="101">
        <v>0.22</v>
      </c>
      <c r="G4064" s="63">
        <f>VLOOKUP(D4064,upahbahan,3,FALSE)</f>
        <v>160000</v>
      </c>
      <c r="H4064" s="63">
        <f t="shared" ref="H4064" si="497">F4064*G4064</f>
        <v>35200</v>
      </c>
      <c r="I4064" s="44"/>
    </row>
    <row r="4065" spans="3:13" s="59" customFormat="1" ht="22.2" customHeight="1">
      <c r="C4065" s="450" t="s">
        <v>1208</v>
      </c>
      <c r="D4065" s="67"/>
      <c r="E4065" s="67"/>
      <c r="F4065" s="142"/>
      <c r="G4065" s="153"/>
      <c r="H4065" s="63">
        <f>SUM(H4062:H4064)</f>
        <v>403030</v>
      </c>
      <c r="I4065" s="154"/>
    </row>
    <row r="4066" spans="3:13" s="59" customFormat="1" ht="22.2" customHeight="1">
      <c r="C4066" s="61" t="s">
        <v>1209</v>
      </c>
      <c r="D4066" s="56" t="s">
        <v>1210</v>
      </c>
      <c r="E4066" s="57"/>
      <c r="F4066" s="57"/>
      <c r="G4066" s="57"/>
      <c r="H4066" s="57"/>
      <c r="I4066" s="44"/>
    </row>
    <row r="4067" spans="3:13" s="59" customFormat="1" ht="22.2" customHeight="1">
      <c r="C4067" s="800">
        <v>1</v>
      </c>
      <c r="D4067" s="56" t="s">
        <v>8743</v>
      </c>
      <c r="E4067" s="93" t="s">
        <v>2167</v>
      </c>
      <c r="F4067" s="104">
        <v>1</v>
      </c>
      <c r="G4067" s="63">
        <f>VLOOKUP(D4067,upahbahan,3,FALSE)</f>
        <v>830000</v>
      </c>
      <c r="H4067" s="63">
        <f t="shared" ref="H4067" si="498">F4067*G4067</f>
        <v>830000</v>
      </c>
      <c r="I4067" s="44"/>
    </row>
    <row r="4068" spans="3:13" s="59" customFormat="1" ht="22.2" customHeight="1">
      <c r="C4068" s="450" t="s">
        <v>1214</v>
      </c>
      <c r="D4068" s="67"/>
      <c r="E4068" s="67"/>
      <c r="F4068" s="67"/>
      <c r="G4068" s="69"/>
      <c r="H4068" s="63">
        <f>SUM(H4066:H4067)</f>
        <v>830000</v>
      </c>
      <c r="I4068" s="44"/>
    </row>
    <row r="4069" spans="3:13" s="59" customFormat="1" ht="22.2" customHeight="1">
      <c r="C4069" s="61" t="s">
        <v>1215</v>
      </c>
      <c r="D4069" s="56" t="s">
        <v>1216</v>
      </c>
      <c r="E4069" s="93"/>
      <c r="F4069" s="57"/>
      <c r="G4069" s="57"/>
      <c r="H4069" s="57"/>
      <c r="I4069" s="44"/>
    </row>
    <row r="4070" spans="3:13" s="59" customFormat="1" ht="22.2" customHeight="1">
      <c r="C4070" s="800">
        <v>1</v>
      </c>
      <c r="D4070" s="56" t="s">
        <v>4770</v>
      </c>
      <c r="E4070" s="93" t="s">
        <v>1974</v>
      </c>
      <c r="F4070" s="103">
        <v>0.38600000000000001</v>
      </c>
      <c r="G4070" s="63">
        <f>VLOOKUP(D4070,upahbahan,3,FALSE)</f>
        <v>108000</v>
      </c>
      <c r="H4070" s="63">
        <f>F4070*G4070</f>
        <v>41688</v>
      </c>
      <c r="I4070" s="44"/>
    </row>
    <row r="4071" spans="3:13" s="59" customFormat="1" ht="22.2" customHeight="1">
      <c r="C4071" s="800">
        <v>2</v>
      </c>
      <c r="D4071" s="56" t="s">
        <v>4712</v>
      </c>
      <c r="E4071" s="93" t="s">
        <v>1974</v>
      </c>
      <c r="F4071" s="103">
        <v>0.193</v>
      </c>
      <c r="G4071" s="63">
        <f>VLOOKUP(D4071,upahbahan,3,FALSE)</f>
        <v>1450000</v>
      </c>
      <c r="H4071" s="63">
        <f>F4071*G4071</f>
        <v>279850</v>
      </c>
      <c r="I4071" s="44"/>
    </row>
    <row r="4072" spans="3:13" s="59" customFormat="1" ht="22.2" customHeight="1">
      <c r="C4072" s="450" t="s">
        <v>1217</v>
      </c>
      <c r="D4072" s="67"/>
      <c r="E4072" s="67"/>
      <c r="F4072" s="67"/>
      <c r="G4072" s="69"/>
      <c r="H4072" s="882">
        <f>SUM(H4069:H4071)</f>
        <v>321538</v>
      </c>
      <c r="I4072" s="44"/>
    </row>
    <row r="4073" spans="3:13" s="59" customFormat="1" ht="22.2" customHeight="1">
      <c r="C4073" s="288" t="s">
        <v>1218</v>
      </c>
      <c r="D4073" s="76" t="s">
        <v>1219</v>
      </c>
      <c r="E4073" s="77"/>
      <c r="F4073" s="77"/>
      <c r="G4073" s="78"/>
      <c r="H4073" s="585">
        <f>H4072+H4068+H4065</f>
        <v>1554568</v>
      </c>
      <c r="I4073" s="369"/>
    </row>
    <row r="4074" spans="3:13" s="59" customFormat="1" ht="22.2" customHeight="1">
      <c r="C4074" s="288" t="s">
        <v>1220</v>
      </c>
      <c r="D4074" s="76" t="s">
        <v>1321</v>
      </c>
      <c r="E4074" s="77"/>
      <c r="F4074" s="78"/>
      <c r="G4074" s="80">
        <v>0.1</v>
      </c>
      <c r="H4074" s="63">
        <f>H4073*G4074</f>
        <v>155456.80000000002</v>
      </c>
      <c r="I4074" s="369"/>
    </row>
    <row r="4075" spans="3:13" s="59" customFormat="1" ht="22.2" customHeight="1">
      <c r="C4075" s="288" t="s">
        <v>1221</v>
      </c>
      <c r="D4075" s="76" t="s">
        <v>1222</v>
      </c>
      <c r="E4075" s="77"/>
      <c r="F4075" s="77"/>
      <c r="G4075" s="78"/>
      <c r="H4075" s="799">
        <f>SUM(H4073:H4074)</f>
        <v>1710024.8</v>
      </c>
      <c r="I4075" s="369"/>
    </row>
    <row r="4076" spans="3:13" ht="22.2" customHeight="1"/>
    <row r="4077" spans="3:13" ht="22.2" customHeight="1">
      <c r="C4077" s="43" t="s">
        <v>5142</v>
      </c>
      <c r="D4077" s="128" t="s">
        <v>8744</v>
      </c>
      <c r="I4077" s="50">
        <f>ROUNDDOWN(H4093,-2)</f>
        <v>1945000</v>
      </c>
      <c r="J4077" s="122" t="s">
        <v>6451</v>
      </c>
      <c r="K4077" s="122" t="s">
        <v>8676</v>
      </c>
    </row>
    <row r="4078" spans="3:13" s="59" customFormat="1" ht="22.2" customHeight="1">
      <c r="C4078" s="591" t="s">
        <v>1195</v>
      </c>
      <c r="D4078" s="591" t="s">
        <v>1196</v>
      </c>
      <c r="E4078" s="591" t="s">
        <v>1197</v>
      </c>
      <c r="F4078" s="591" t="s">
        <v>1198</v>
      </c>
      <c r="G4078" s="591" t="s">
        <v>1199</v>
      </c>
      <c r="H4078" s="591" t="s">
        <v>1200</v>
      </c>
      <c r="I4078" s="44"/>
    </row>
    <row r="4079" spans="3:13" s="59" customFormat="1" ht="22.2" customHeight="1">
      <c r="C4079" s="61" t="s">
        <v>1201</v>
      </c>
      <c r="D4079" s="56" t="s">
        <v>1202</v>
      </c>
      <c r="E4079" s="57"/>
      <c r="F4079" s="57"/>
      <c r="G4079" s="57"/>
      <c r="H4079" s="57"/>
      <c r="I4079" s="44"/>
      <c r="J4079" s="152" t="s">
        <v>1247</v>
      </c>
    </row>
    <row r="4080" spans="3:13" s="59" customFormat="1" ht="22.2" customHeight="1">
      <c r="C4080" s="588">
        <v>1</v>
      </c>
      <c r="D4080" s="56" t="s">
        <v>5</v>
      </c>
      <c r="E4080" s="577" t="s">
        <v>6</v>
      </c>
      <c r="F4080" s="101">
        <v>2.4159999999999999</v>
      </c>
      <c r="G4080" s="63">
        <f>VLOOKUP(D4080,upahbahan,3,FALSE)</f>
        <v>100000</v>
      </c>
      <c r="H4080" s="63">
        <f>F4080*G4080</f>
        <v>241600</v>
      </c>
      <c r="I4080" s="44"/>
      <c r="J4080" s="152" t="s">
        <v>1248</v>
      </c>
      <c r="M4080" s="65">
        <v>0.1</v>
      </c>
    </row>
    <row r="4081" spans="3:13" s="59" customFormat="1" ht="22.2" customHeight="1">
      <c r="C4081" s="588">
        <v>2</v>
      </c>
      <c r="D4081" s="56" t="s">
        <v>10</v>
      </c>
      <c r="E4081" s="577" t="s">
        <v>6</v>
      </c>
      <c r="F4081" s="101">
        <v>1.208</v>
      </c>
      <c r="G4081" s="63">
        <f>VLOOKUP(D4081,upahbahan,3,FALSE)</f>
        <v>135000</v>
      </c>
      <c r="H4081" s="63">
        <f>F4081*G4081</f>
        <v>163080</v>
      </c>
      <c r="I4081" s="44"/>
      <c r="J4081" s="152"/>
      <c r="M4081" s="65"/>
    </row>
    <row r="4082" spans="3:13" s="59" customFormat="1" ht="22.2" customHeight="1">
      <c r="C4082" s="588">
        <v>4</v>
      </c>
      <c r="D4082" s="56" t="s">
        <v>19</v>
      </c>
      <c r="E4082" s="577" t="s">
        <v>6</v>
      </c>
      <c r="F4082" s="101">
        <v>0.24199999999999999</v>
      </c>
      <c r="G4082" s="63">
        <f>VLOOKUP(D4082,upahbahan,3,FALSE)</f>
        <v>160000</v>
      </c>
      <c r="H4082" s="63">
        <f t="shared" ref="H4082" si="499">F4082*G4082</f>
        <v>38720</v>
      </c>
      <c r="I4082" s="44"/>
    </row>
    <row r="4083" spans="3:13" s="59" customFormat="1" ht="22.2" customHeight="1">
      <c r="C4083" s="450" t="s">
        <v>1208</v>
      </c>
      <c r="D4083" s="67"/>
      <c r="E4083" s="67"/>
      <c r="F4083" s="142"/>
      <c r="G4083" s="153"/>
      <c r="H4083" s="63">
        <f>SUM(H4080:H4082)</f>
        <v>443400</v>
      </c>
      <c r="I4083" s="154"/>
    </row>
    <row r="4084" spans="3:13" s="59" customFormat="1" ht="22.2" customHeight="1">
      <c r="C4084" s="61" t="s">
        <v>1209</v>
      </c>
      <c r="D4084" s="56" t="s">
        <v>1210</v>
      </c>
      <c r="E4084" s="57"/>
      <c r="F4084" s="57"/>
      <c r="G4084" s="57"/>
      <c r="H4084" s="57"/>
      <c r="I4084" s="44"/>
    </row>
    <row r="4085" spans="3:13" s="59" customFormat="1" ht="22.2" customHeight="1">
      <c r="C4085" s="800">
        <v>1</v>
      </c>
      <c r="D4085" s="56" t="s">
        <v>8745</v>
      </c>
      <c r="E4085" s="93" t="s">
        <v>2167</v>
      </c>
      <c r="F4085" s="104">
        <v>1</v>
      </c>
      <c r="G4085" s="63">
        <f>VLOOKUP(D4085,upahbahan,3,FALSE)</f>
        <v>950000</v>
      </c>
      <c r="H4085" s="63">
        <f t="shared" ref="H4085" si="500">F4085*G4085</f>
        <v>950000</v>
      </c>
      <c r="I4085" s="44"/>
    </row>
    <row r="4086" spans="3:13" s="59" customFormat="1" ht="22.2" customHeight="1">
      <c r="C4086" s="450" t="s">
        <v>1214</v>
      </c>
      <c r="D4086" s="67"/>
      <c r="E4086" s="67"/>
      <c r="F4086" s="67"/>
      <c r="G4086" s="69"/>
      <c r="H4086" s="63">
        <f>SUM(H4084:H4085)</f>
        <v>950000</v>
      </c>
      <c r="I4086" s="44"/>
    </row>
    <row r="4087" spans="3:13" s="59" customFormat="1" ht="22.2" customHeight="1">
      <c r="C4087" s="61" t="s">
        <v>1215</v>
      </c>
      <c r="D4087" s="56" t="s">
        <v>1216</v>
      </c>
      <c r="E4087" s="93"/>
      <c r="F4087" s="57"/>
      <c r="G4087" s="57"/>
      <c r="H4087" s="57"/>
      <c r="I4087" s="44"/>
    </row>
    <row r="4088" spans="3:13" s="59" customFormat="1" ht="22.2" customHeight="1">
      <c r="C4088" s="800">
        <v>1</v>
      </c>
      <c r="D4088" s="56" t="s">
        <v>4770</v>
      </c>
      <c r="E4088" s="93" t="s">
        <v>1974</v>
      </c>
      <c r="F4088" s="103">
        <v>0.45</v>
      </c>
      <c r="G4088" s="63">
        <f>VLOOKUP(D4088,upahbahan,3,FALSE)</f>
        <v>108000</v>
      </c>
      <c r="H4088" s="63">
        <f>F4088*G4088</f>
        <v>48600</v>
      </c>
      <c r="I4088" s="44"/>
    </row>
    <row r="4089" spans="3:13" s="59" customFormat="1" ht="22.2" customHeight="1">
      <c r="C4089" s="800">
        <v>2</v>
      </c>
      <c r="D4089" s="56" t="s">
        <v>4712</v>
      </c>
      <c r="E4089" s="93" t="s">
        <v>1974</v>
      </c>
      <c r="F4089" s="103">
        <v>0.22500000000000001</v>
      </c>
      <c r="G4089" s="63">
        <f>VLOOKUP(D4089,upahbahan,3,FALSE)</f>
        <v>1450000</v>
      </c>
      <c r="H4089" s="63">
        <f>F4089*G4089</f>
        <v>326250</v>
      </c>
      <c r="I4089" s="44"/>
    </row>
    <row r="4090" spans="3:13" s="59" customFormat="1" ht="22.2" customHeight="1">
      <c r="C4090" s="450" t="s">
        <v>1217</v>
      </c>
      <c r="D4090" s="67"/>
      <c r="E4090" s="67"/>
      <c r="F4090" s="67"/>
      <c r="G4090" s="69"/>
      <c r="H4090" s="882">
        <f>SUM(H4087:H4089)</f>
        <v>374850</v>
      </c>
      <c r="I4090" s="44"/>
    </row>
    <row r="4091" spans="3:13" s="59" customFormat="1" ht="22.2" customHeight="1">
      <c r="C4091" s="288" t="s">
        <v>1218</v>
      </c>
      <c r="D4091" s="76" t="s">
        <v>1219</v>
      </c>
      <c r="E4091" s="77"/>
      <c r="F4091" s="77"/>
      <c r="G4091" s="78"/>
      <c r="H4091" s="585">
        <f>H4090+H4086+H4083</f>
        <v>1768250</v>
      </c>
      <c r="I4091" s="369"/>
    </row>
    <row r="4092" spans="3:13" s="59" customFormat="1" ht="22.2" customHeight="1">
      <c r="C4092" s="288" t="s">
        <v>1220</v>
      </c>
      <c r="D4092" s="76" t="s">
        <v>1321</v>
      </c>
      <c r="E4092" s="77"/>
      <c r="F4092" s="78"/>
      <c r="G4092" s="80">
        <v>0.1</v>
      </c>
      <c r="H4092" s="63">
        <f>H4091*G4092</f>
        <v>176825</v>
      </c>
      <c r="I4092" s="369"/>
    </row>
    <row r="4093" spans="3:13" s="59" customFormat="1" ht="22.2" customHeight="1">
      <c r="C4093" s="288" t="s">
        <v>1221</v>
      </c>
      <c r="D4093" s="76" t="s">
        <v>1222</v>
      </c>
      <c r="E4093" s="77"/>
      <c r="F4093" s="77"/>
      <c r="G4093" s="78"/>
      <c r="H4093" s="799">
        <f>SUM(H4091:H4092)</f>
        <v>1945075</v>
      </c>
      <c r="I4093" s="369"/>
    </row>
    <row r="4094" spans="3:13" ht="22.2" customHeight="1"/>
    <row r="4095" spans="3:13" ht="22.2" customHeight="1">
      <c r="C4095" s="43" t="s">
        <v>5143</v>
      </c>
      <c r="D4095" s="128" t="s">
        <v>8746</v>
      </c>
      <c r="I4095" s="50">
        <f>ROUNDDOWN(H4109,-2)</f>
        <v>26000</v>
      </c>
      <c r="J4095" s="122" t="s">
        <v>6451</v>
      </c>
      <c r="K4095" s="122" t="s">
        <v>8676</v>
      </c>
    </row>
    <row r="4096" spans="3:13" s="59" customFormat="1" ht="22.2" customHeight="1">
      <c r="C4096" s="591" t="s">
        <v>1195</v>
      </c>
      <c r="D4096" s="591" t="s">
        <v>1196</v>
      </c>
      <c r="E4096" s="591" t="s">
        <v>1197</v>
      </c>
      <c r="F4096" s="591" t="s">
        <v>1198</v>
      </c>
      <c r="G4096" s="591" t="s">
        <v>1199</v>
      </c>
      <c r="H4096" s="591" t="s">
        <v>1200</v>
      </c>
      <c r="I4096" s="44"/>
    </row>
    <row r="4097" spans="3:13" s="59" customFormat="1" ht="22.2" customHeight="1">
      <c r="C4097" s="61" t="s">
        <v>1201</v>
      </c>
      <c r="D4097" s="56" t="s">
        <v>1202</v>
      </c>
      <c r="E4097" s="57"/>
      <c r="F4097" s="57"/>
      <c r="G4097" s="57"/>
      <c r="H4097" s="57"/>
      <c r="I4097" s="44"/>
      <c r="J4097" s="152" t="s">
        <v>1247</v>
      </c>
    </row>
    <row r="4098" spans="3:13" s="59" customFormat="1" ht="22.2" customHeight="1">
      <c r="C4098" s="588">
        <v>1</v>
      </c>
      <c r="D4098" s="56" t="s">
        <v>5</v>
      </c>
      <c r="E4098" s="577" t="s">
        <v>6</v>
      </c>
      <c r="F4098" s="101">
        <v>0.02</v>
      </c>
      <c r="G4098" s="63">
        <f>VLOOKUP(D4098,upahbahan,3,FALSE)</f>
        <v>100000</v>
      </c>
      <c r="H4098" s="63">
        <f>F4098*G4098</f>
        <v>2000</v>
      </c>
      <c r="I4098" s="44"/>
      <c r="J4098" s="152" t="s">
        <v>1248</v>
      </c>
      <c r="M4098" s="65">
        <v>0.1</v>
      </c>
    </row>
    <row r="4099" spans="3:13" s="59" customFormat="1" ht="22.2" customHeight="1">
      <c r="C4099" s="588">
        <v>2</v>
      </c>
      <c r="D4099" s="56" t="s">
        <v>10</v>
      </c>
      <c r="E4099" s="577" t="s">
        <v>6</v>
      </c>
      <c r="F4099" s="101">
        <v>0.01</v>
      </c>
      <c r="G4099" s="63">
        <f>VLOOKUP(D4099,upahbahan,3,FALSE)</f>
        <v>135000</v>
      </c>
      <c r="H4099" s="63">
        <f>F4099*G4099</f>
        <v>1350</v>
      </c>
      <c r="I4099" s="44"/>
      <c r="J4099" s="152"/>
      <c r="M4099" s="65"/>
    </row>
    <row r="4100" spans="3:13" s="59" customFormat="1" ht="22.2" customHeight="1">
      <c r="C4100" s="588">
        <v>4</v>
      </c>
      <c r="D4100" s="56" t="s">
        <v>19</v>
      </c>
      <c r="E4100" s="577" t="s">
        <v>6</v>
      </c>
      <c r="F4100" s="101">
        <v>2E-3</v>
      </c>
      <c r="G4100" s="63">
        <f>VLOOKUP(D4100,upahbahan,3,FALSE)</f>
        <v>160000</v>
      </c>
      <c r="H4100" s="63">
        <f t="shared" ref="H4100" si="501">F4100*G4100</f>
        <v>320</v>
      </c>
      <c r="I4100" s="44"/>
    </row>
    <row r="4101" spans="3:13" s="59" customFormat="1" ht="22.2" customHeight="1">
      <c r="C4101" s="450" t="s">
        <v>1208</v>
      </c>
      <c r="D4101" s="67"/>
      <c r="E4101" s="67"/>
      <c r="F4101" s="142"/>
      <c r="G4101" s="153"/>
      <c r="H4101" s="63">
        <f>SUM(H4098:H4100)</f>
        <v>3670</v>
      </c>
      <c r="I4101" s="154"/>
    </row>
    <row r="4102" spans="3:13" s="59" customFormat="1" ht="22.2" customHeight="1">
      <c r="C4102" s="61" t="s">
        <v>1209</v>
      </c>
      <c r="D4102" s="56" t="s">
        <v>1210</v>
      </c>
      <c r="E4102" s="57"/>
      <c r="F4102" s="57"/>
      <c r="G4102" s="57"/>
      <c r="H4102" s="57"/>
      <c r="I4102" s="44"/>
    </row>
    <row r="4103" spans="3:13" s="59" customFormat="1" ht="22.2" customHeight="1">
      <c r="C4103" s="800">
        <v>1</v>
      </c>
      <c r="D4103" s="56" t="s">
        <v>8747</v>
      </c>
      <c r="E4103" s="93" t="s">
        <v>2167</v>
      </c>
      <c r="F4103" s="104">
        <v>1</v>
      </c>
      <c r="G4103" s="63">
        <f>VLOOKUP(D4103,upahbahan,3,FALSE)</f>
        <v>20000</v>
      </c>
      <c r="H4103" s="63">
        <f t="shared" ref="H4103" si="502">F4103*G4103</f>
        <v>20000</v>
      </c>
      <c r="I4103" s="44"/>
    </row>
    <row r="4104" spans="3:13" s="59" customFormat="1" ht="22.2" customHeight="1">
      <c r="C4104" s="450" t="s">
        <v>1214</v>
      </c>
      <c r="D4104" s="67"/>
      <c r="E4104" s="67"/>
      <c r="F4104" s="67"/>
      <c r="G4104" s="69"/>
      <c r="H4104" s="63">
        <f>SUM(H4102:H4103)</f>
        <v>20000</v>
      </c>
      <c r="I4104" s="44"/>
    </row>
    <row r="4105" spans="3:13" s="59" customFormat="1" ht="22.2" customHeight="1">
      <c r="C4105" s="61" t="s">
        <v>1215</v>
      </c>
      <c r="D4105" s="56" t="s">
        <v>1216</v>
      </c>
      <c r="E4105" s="93"/>
      <c r="F4105" s="57"/>
      <c r="G4105" s="57"/>
      <c r="H4105" s="57"/>
      <c r="I4105" s="44"/>
    </row>
    <row r="4106" spans="3:13" s="59" customFormat="1" ht="22.2" customHeight="1">
      <c r="C4106" s="450" t="s">
        <v>1217</v>
      </c>
      <c r="D4106" s="67"/>
      <c r="E4106" s="67"/>
      <c r="F4106" s="67"/>
      <c r="G4106" s="69"/>
      <c r="H4106" s="882">
        <f>SUM(H4105:H4105)</f>
        <v>0</v>
      </c>
      <c r="I4106" s="44"/>
    </row>
    <row r="4107" spans="3:13" s="59" customFormat="1" ht="22.2" customHeight="1">
      <c r="C4107" s="288" t="s">
        <v>1218</v>
      </c>
      <c r="D4107" s="76" t="s">
        <v>1219</v>
      </c>
      <c r="E4107" s="77"/>
      <c r="F4107" s="77"/>
      <c r="G4107" s="78"/>
      <c r="H4107" s="585">
        <f>H4106+H4104+H4101</f>
        <v>23670</v>
      </c>
      <c r="I4107" s="369"/>
    </row>
    <row r="4108" spans="3:13" s="59" customFormat="1" ht="22.2" customHeight="1">
      <c r="C4108" s="288" t="s">
        <v>1220</v>
      </c>
      <c r="D4108" s="76" t="s">
        <v>1321</v>
      </c>
      <c r="E4108" s="77"/>
      <c r="F4108" s="78"/>
      <c r="G4108" s="80">
        <v>0.1</v>
      </c>
      <c r="H4108" s="63">
        <f>H4107*G4108</f>
        <v>2367</v>
      </c>
      <c r="I4108" s="369"/>
    </row>
    <row r="4109" spans="3:13" s="59" customFormat="1" ht="22.2" customHeight="1">
      <c r="C4109" s="288" t="s">
        <v>1221</v>
      </c>
      <c r="D4109" s="76" t="s">
        <v>1222</v>
      </c>
      <c r="E4109" s="77"/>
      <c r="F4109" s="77"/>
      <c r="G4109" s="78"/>
      <c r="H4109" s="799">
        <f>SUM(H4107:H4108)</f>
        <v>26037</v>
      </c>
      <c r="I4109" s="369"/>
    </row>
    <row r="4110" spans="3:13" ht="22.2" customHeight="1"/>
    <row r="4111" spans="3:13" ht="22.2" customHeight="1">
      <c r="C4111" s="43" t="s">
        <v>5144</v>
      </c>
      <c r="D4111" s="128" t="s">
        <v>8748</v>
      </c>
      <c r="I4111" s="50">
        <f>ROUNDDOWN(H4125,-2)</f>
        <v>33700</v>
      </c>
      <c r="J4111" s="122" t="s">
        <v>6451</v>
      </c>
      <c r="K4111" s="122" t="s">
        <v>8676</v>
      </c>
    </row>
    <row r="4112" spans="3:13" s="59" customFormat="1" ht="22.2" customHeight="1">
      <c r="C4112" s="591" t="s">
        <v>1195</v>
      </c>
      <c r="D4112" s="591" t="s">
        <v>1196</v>
      </c>
      <c r="E4112" s="591" t="s">
        <v>1197</v>
      </c>
      <c r="F4112" s="591" t="s">
        <v>1198</v>
      </c>
      <c r="G4112" s="591" t="s">
        <v>1199</v>
      </c>
      <c r="H4112" s="591" t="s">
        <v>1200</v>
      </c>
      <c r="I4112" s="44"/>
    </row>
    <row r="4113" spans="3:13" s="59" customFormat="1" ht="22.2" customHeight="1">
      <c r="C4113" s="61" t="s">
        <v>1201</v>
      </c>
      <c r="D4113" s="56" t="s">
        <v>1202</v>
      </c>
      <c r="E4113" s="57"/>
      <c r="F4113" s="57"/>
      <c r="G4113" s="57"/>
      <c r="H4113" s="57"/>
      <c r="I4113" s="44"/>
      <c r="J4113" s="152" t="s">
        <v>1247</v>
      </c>
    </row>
    <row r="4114" spans="3:13" s="59" customFormat="1" ht="22.2" customHeight="1">
      <c r="C4114" s="588">
        <v>1</v>
      </c>
      <c r="D4114" s="56" t="s">
        <v>5</v>
      </c>
      <c r="E4114" s="577" t="s">
        <v>6</v>
      </c>
      <c r="F4114" s="101">
        <v>0.02</v>
      </c>
      <c r="G4114" s="63">
        <f>VLOOKUP(D4114,upahbahan,3,FALSE)</f>
        <v>100000</v>
      </c>
      <c r="H4114" s="63">
        <f>F4114*G4114</f>
        <v>2000</v>
      </c>
      <c r="I4114" s="44"/>
      <c r="J4114" s="152" t="s">
        <v>1248</v>
      </c>
      <c r="M4114" s="65">
        <v>0.1</v>
      </c>
    </row>
    <row r="4115" spans="3:13" s="59" customFormat="1" ht="22.2" customHeight="1">
      <c r="C4115" s="588">
        <v>2</v>
      </c>
      <c r="D4115" s="56" t="s">
        <v>10</v>
      </c>
      <c r="E4115" s="577" t="s">
        <v>6</v>
      </c>
      <c r="F4115" s="101">
        <v>0.01</v>
      </c>
      <c r="G4115" s="63">
        <f>VLOOKUP(D4115,upahbahan,3,FALSE)</f>
        <v>135000</v>
      </c>
      <c r="H4115" s="63">
        <f>F4115*G4115</f>
        <v>1350</v>
      </c>
      <c r="I4115" s="44"/>
      <c r="J4115" s="152"/>
      <c r="M4115" s="65"/>
    </row>
    <row r="4116" spans="3:13" s="59" customFormat="1" ht="22.2" customHeight="1">
      <c r="C4116" s="588">
        <v>4</v>
      </c>
      <c r="D4116" s="56" t="s">
        <v>19</v>
      </c>
      <c r="E4116" s="577" t="s">
        <v>6</v>
      </c>
      <c r="F4116" s="101">
        <v>2E-3</v>
      </c>
      <c r="G4116" s="63">
        <f>VLOOKUP(D4116,upahbahan,3,FALSE)</f>
        <v>160000</v>
      </c>
      <c r="H4116" s="63">
        <f t="shared" ref="H4116" si="503">F4116*G4116</f>
        <v>320</v>
      </c>
      <c r="I4116" s="44"/>
    </row>
    <row r="4117" spans="3:13" s="59" customFormat="1" ht="22.2" customHeight="1">
      <c r="C4117" s="450" t="s">
        <v>1208</v>
      </c>
      <c r="D4117" s="67"/>
      <c r="E4117" s="67"/>
      <c r="F4117" s="142"/>
      <c r="G4117" s="153"/>
      <c r="H4117" s="63">
        <f>SUM(H4114:H4116)</f>
        <v>3670</v>
      </c>
      <c r="I4117" s="154"/>
    </row>
    <row r="4118" spans="3:13" s="59" customFormat="1" ht="22.2" customHeight="1">
      <c r="C4118" s="61" t="s">
        <v>1209</v>
      </c>
      <c r="D4118" s="56" t="s">
        <v>1210</v>
      </c>
      <c r="E4118" s="57"/>
      <c r="F4118" s="57"/>
      <c r="G4118" s="57"/>
      <c r="H4118" s="57"/>
      <c r="I4118" s="44"/>
    </row>
    <row r="4119" spans="3:13" s="59" customFormat="1" ht="22.2" customHeight="1">
      <c r="C4119" s="800">
        <v>1</v>
      </c>
      <c r="D4119" s="56" t="s">
        <v>8749</v>
      </c>
      <c r="E4119" s="93" t="s">
        <v>2167</v>
      </c>
      <c r="F4119" s="104">
        <v>1</v>
      </c>
      <c r="G4119" s="63">
        <f>VLOOKUP(D4119,upahbahan,3,FALSE)</f>
        <v>27000</v>
      </c>
      <c r="H4119" s="63">
        <f t="shared" ref="H4119" si="504">F4119*G4119</f>
        <v>27000</v>
      </c>
      <c r="I4119" s="44"/>
    </row>
    <row r="4120" spans="3:13" s="59" customFormat="1" ht="22.2" customHeight="1">
      <c r="C4120" s="450" t="s">
        <v>1214</v>
      </c>
      <c r="D4120" s="67"/>
      <c r="E4120" s="67"/>
      <c r="F4120" s="67"/>
      <c r="G4120" s="69"/>
      <c r="H4120" s="63">
        <f>SUM(H4118:H4119)</f>
        <v>27000</v>
      </c>
      <c r="I4120" s="44"/>
    </row>
    <row r="4121" spans="3:13" s="59" customFormat="1" ht="22.2" customHeight="1">
      <c r="C4121" s="61" t="s">
        <v>1215</v>
      </c>
      <c r="D4121" s="56" t="s">
        <v>1216</v>
      </c>
      <c r="E4121" s="93"/>
      <c r="F4121" s="57"/>
      <c r="G4121" s="57"/>
      <c r="H4121" s="57"/>
      <c r="I4121" s="44"/>
    </row>
    <row r="4122" spans="3:13" s="59" customFormat="1" ht="22.2" customHeight="1">
      <c r="C4122" s="450" t="s">
        <v>1217</v>
      </c>
      <c r="D4122" s="67"/>
      <c r="E4122" s="67"/>
      <c r="F4122" s="67"/>
      <c r="G4122" s="69"/>
      <c r="H4122" s="882">
        <f>SUM(H4121:H4121)</f>
        <v>0</v>
      </c>
      <c r="I4122" s="44"/>
    </row>
    <row r="4123" spans="3:13" s="59" customFormat="1" ht="22.2" customHeight="1">
      <c r="C4123" s="288" t="s">
        <v>1218</v>
      </c>
      <c r="D4123" s="76" t="s">
        <v>1219</v>
      </c>
      <c r="E4123" s="77"/>
      <c r="F4123" s="77"/>
      <c r="G4123" s="78"/>
      <c r="H4123" s="585">
        <f>H4122+H4120+H4117</f>
        <v>30670</v>
      </c>
      <c r="I4123" s="369"/>
    </row>
    <row r="4124" spans="3:13" s="59" customFormat="1" ht="22.2" customHeight="1">
      <c r="C4124" s="288" t="s">
        <v>1220</v>
      </c>
      <c r="D4124" s="76" t="s">
        <v>1321</v>
      </c>
      <c r="E4124" s="77"/>
      <c r="F4124" s="78"/>
      <c r="G4124" s="80">
        <v>0.1</v>
      </c>
      <c r="H4124" s="63">
        <f>H4123*G4124</f>
        <v>3067</v>
      </c>
      <c r="I4124" s="369"/>
    </row>
    <row r="4125" spans="3:13" s="59" customFormat="1" ht="22.2" customHeight="1">
      <c r="C4125" s="288" t="s">
        <v>1221</v>
      </c>
      <c r="D4125" s="76" t="s">
        <v>1222</v>
      </c>
      <c r="E4125" s="77"/>
      <c r="F4125" s="77"/>
      <c r="G4125" s="78"/>
      <c r="H4125" s="799">
        <f>SUM(H4123:H4124)</f>
        <v>33737</v>
      </c>
      <c r="I4125" s="369"/>
    </row>
    <row r="4126" spans="3:13" ht="22.2" customHeight="1"/>
    <row r="4127" spans="3:13" ht="22.2" customHeight="1">
      <c r="C4127" s="43" t="s">
        <v>5145</v>
      </c>
      <c r="D4127" s="128" t="s">
        <v>8750</v>
      </c>
      <c r="I4127" s="50">
        <f>ROUNDDOWN(H4141,-2)</f>
        <v>38200</v>
      </c>
      <c r="J4127" s="122" t="s">
        <v>6451</v>
      </c>
      <c r="K4127" s="122" t="s">
        <v>8676</v>
      </c>
    </row>
    <row r="4128" spans="3:13" s="59" customFormat="1" ht="22.2" customHeight="1">
      <c r="C4128" s="591" t="s">
        <v>1195</v>
      </c>
      <c r="D4128" s="591" t="s">
        <v>1196</v>
      </c>
      <c r="E4128" s="591" t="s">
        <v>1197</v>
      </c>
      <c r="F4128" s="591" t="s">
        <v>1198</v>
      </c>
      <c r="G4128" s="591" t="s">
        <v>1199</v>
      </c>
      <c r="H4128" s="591" t="s">
        <v>1200</v>
      </c>
      <c r="I4128" s="44"/>
    </row>
    <row r="4129" spans="3:13" s="59" customFormat="1" ht="22.2" customHeight="1">
      <c r="C4129" s="61" t="s">
        <v>1201</v>
      </c>
      <c r="D4129" s="56" t="s">
        <v>1202</v>
      </c>
      <c r="E4129" s="57"/>
      <c r="F4129" s="57"/>
      <c r="G4129" s="57"/>
      <c r="H4129" s="57"/>
      <c r="I4129" s="44"/>
      <c r="J4129" s="152" t="s">
        <v>1247</v>
      </c>
    </row>
    <row r="4130" spans="3:13" s="59" customFormat="1" ht="22.2" customHeight="1">
      <c r="C4130" s="588">
        <v>1</v>
      </c>
      <c r="D4130" s="56" t="s">
        <v>5</v>
      </c>
      <c r="E4130" s="577" t="s">
        <v>6</v>
      </c>
      <c r="F4130" s="101">
        <v>2.5000000000000001E-2</v>
      </c>
      <c r="G4130" s="63">
        <f>VLOOKUP(D4130,upahbahan,3,FALSE)</f>
        <v>100000</v>
      </c>
      <c r="H4130" s="63">
        <f>F4130*G4130</f>
        <v>2500</v>
      </c>
      <c r="I4130" s="44"/>
      <c r="J4130" s="152" t="s">
        <v>1248</v>
      </c>
      <c r="M4130" s="65">
        <v>0.1</v>
      </c>
    </row>
    <row r="4131" spans="3:13" s="59" customFormat="1" ht="22.2" customHeight="1">
      <c r="C4131" s="588">
        <v>2</v>
      </c>
      <c r="D4131" s="56" t="s">
        <v>10</v>
      </c>
      <c r="E4131" s="577" t="s">
        <v>6</v>
      </c>
      <c r="F4131" s="101">
        <v>1.2999999999999999E-2</v>
      </c>
      <c r="G4131" s="63">
        <f>VLOOKUP(D4131,upahbahan,3,FALSE)</f>
        <v>135000</v>
      </c>
      <c r="H4131" s="63">
        <f>F4131*G4131</f>
        <v>1755</v>
      </c>
      <c r="I4131" s="44"/>
      <c r="J4131" s="152"/>
      <c r="M4131" s="65"/>
    </row>
    <row r="4132" spans="3:13" s="59" customFormat="1" ht="22.2" customHeight="1">
      <c r="C4132" s="588">
        <v>4</v>
      </c>
      <c r="D4132" s="56" t="s">
        <v>19</v>
      </c>
      <c r="E4132" s="577" t="s">
        <v>6</v>
      </c>
      <c r="F4132" s="101">
        <v>3.0000000000000001E-3</v>
      </c>
      <c r="G4132" s="63">
        <f>VLOOKUP(D4132,upahbahan,3,FALSE)</f>
        <v>160000</v>
      </c>
      <c r="H4132" s="63">
        <f t="shared" ref="H4132" si="505">F4132*G4132</f>
        <v>480</v>
      </c>
      <c r="I4132" s="44"/>
    </row>
    <row r="4133" spans="3:13" s="59" customFormat="1" ht="22.2" customHeight="1">
      <c r="C4133" s="450" t="s">
        <v>1208</v>
      </c>
      <c r="D4133" s="67"/>
      <c r="E4133" s="67"/>
      <c r="F4133" s="142"/>
      <c r="G4133" s="153"/>
      <c r="H4133" s="63">
        <f>SUM(H4130:H4132)</f>
        <v>4735</v>
      </c>
      <c r="I4133" s="154"/>
    </row>
    <row r="4134" spans="3:13" s="59" customFormat="1" ht="22.2" customHeight="1">
      <c r="C4134" s="61" t="s">
        <v>1209</v>
      </c>
      <c r="D4134" s="56" t="s">
        <v>1210</v>
      </c>
      <c r="E4134" s="57"/>
      <c r="F4134" s="57"/>
      <c r="G4134" s="57"/>
      <c r="H4134" s="57"/>
      <c r="I4134" s="44"/>
    </row>
    <row r="4135" spans="3:13" s="59" customFormat="1" ht="22.2" customHeight="1">
      <c r="C4135" s="800">
        <v>1</v>
      </c>
      <c r="D4135" s="56" t="s">
        <v>8751</v>
      </c>
      <c r="E4135" s="93" t="s">
        <v>2167</v>
      </c>
      <c r="F4135" s="104">
        <v>1</v>
      </c>
      <c r="G4135" s="63">
        <f>VLOOKUP(D4135,upahbahan,3,FALSE)</f>
        <v>30000</v>
      </c>
      <c r="H4135" s="63">
        <f t="shared" ref="H4135" si="506">F4135*G4135</f>
        <v>30000</v>
      </c>
      <c r="I4135" s="44"/>
    </row>
    <row r="4136" spans="3:13" s="59" customFormat="1" ht="22.2" customHeight="1">
      <c r="C4136" s="450" t="s">
        <v>1214</v>
      </c>
      <c r="D4136" s="67"/>
      <c r="E4136" s="67"/>
      <c r="F4136" s="67"/>
      <c r="G4136" s="69"/>
      <c r="H4136" s="63">
        <f>SUM(H4134:H4135)</f>
        <v>30000</v>
      </c>
      <c r="I4136" s="44"/>
    </row>
    <row r="4137" spans="3:13" s="59" customFormat="1" ht="22.2" customHeight="1">
      <c r="C4137" s="61" t="s">
        <v>1215</v>
      </c>
      <c r="D4137" s="56" t="s">
        <v>1216</v>
      </c>
      <c r="E4137" s="93"/>
      <c r="F4137" s="57"/>
      <c r="G4137" s="57"/>
      <c r="H4137" s="57"/>
      <c r="I4137" s="44"/>
    </row>
    <row r="4138" spans="3:13" s="59" customFormat="1" ht="22.2" customHeight="1">
      <c r="C4138" s="450" t="s">
        <v>1217</v>
      </c>
      <c r="D4138" s="67"/>
      <c r="E4138" s="67"/>
      <c r="F4138" s="67"/>
      <c r="G4138" s="69"/>
      <c r="H4138" s="882">
        <f>SUM(H4137:H4137)</f>
        <v>0</v>
      </c>
      <c r="I4138" s="44"/>
    </row>
    <row r="4139" spans="3:13" s="59" customFormat="1" ht="22.2" customHeight="1">
      <c r="C4139" s="288" t="s">
        <v>1218</v>
      </c>
      <c r="D4139" s="76" t="s">
        <v>1219</v>
      </c>
      <c r="E4139" s="77"/>
      <c r="F4139" s="77"/>
      <c r="G4139" s="78"/>
      <c r="H4139" s="585">
        <f>H4138+H4136+H4133</f>
        <v>34735</v>
      </c>
      <c r="I4139" s="369"/>
    </row>
    <row r="4140" spans="3:13" s="59" customFormat="1" ht="22.2" customHeight="1">
      <c r="C4140" s="288" t="s">
        <v>1220</v>
      </c>
      <c r="D4140" s="76" t="s">
        <v>1321</v>
      </c>
      <c r="E4140" s="77"/>
      <c r="F4140" s="78"/>
      <c r="G4140" s="80">
        <v>0.1</v>
      </c>
      <c r="H4140" s="63">
        <f>H4139*G4140</f>
        <v>3473.5</v>
      </c>
      <c r="I4140" s="369"/>
    </row>
    <row r="4141" spans="3:13" s="59" customFormat="1" ht="22.2" customHeight="1">
      <c r="C4141" s="288" t="s">
        <v>1221</v>
      </c>
      <c r="D4141" s="76" t="s">
        <v>1222</v>
      </c>
      <c r="E4141" s="77"/>
      <c r="F4141" s="77"/>
      <c r="G4141" s="78"/>
      <c r="H4141" s="799">
        <f>SUM(H4139:H4140)</f>
        <v>38208.5</v>
      </c>
      <c r="I4141" s="369"/>
    </row>
    <row r="4142" spans="3:13" ht="22.2" customHeight="1"/>
    <row r="4143" spans="3:13" ht="22.2" customHeight="1">
      <c r="C4143" s="43" t="s">
        <v>5146</v>
      </c>
      <c r="D4143" s="128" t="s">
        <v>8752</v>
      </c>
      <c r="I4143" s="50">
        <f>ROUNDDOWN(H4157,-2)</f>
        <v>40800</v>
      </c>
      <c r="J4143" s="122" t="s">
        <v>6451</v>
      </c>
      <c r="K4143" s="122" t="s">
        <v>8676</v>
      </c>
    </row>
    <row r="4144" spans="3:13" s="59" customFormat="1" ht="22.2" customHeight="1">
      <c r="C4144" s="591" t="s">
        <v>1195</v>
      </c>
      <c r="D4144" s="591" t="s">
        <v>1196</v>
      </c>
      <c r="E4144" s="591" t="s">
        <v>1197</v>
      </c>
      <c r="F4144" s="591" t="s">
        <v>1198</v>
      </c>
      <c r="G4144" s="591" t="s">
        <v>1199</v>
      </c>
      <c r="H4144" s="591" t="s">
        <v>1200</v>
      </c>
      <c r="I4144" s="44"/>
    </row>
    <row r="4145" spans="3:13" s="59" customFormat="1" ht="22.2" customHeight="1">
      <c r="C4145" s="61" t="s">
        <v>1201</v>
      </c>
      <c r="D4145" s="56" t="s">
        <v>1202</v>
      </c>
      <c r="E4145" s="57"/>
      <c r="F4145" s="57"/>
      <c r="G4145" s="57"/>
      <c r="H4145" s="57"/>
      <c r="I4145" s="44"/>
      <c r="J4145" s="152" t="s">
        <v>1247</v>
      </c>
    </row>
    <row r="4146" spans="3:13" s="59" customFormat="1" ht="22.2" customHeight="1">
      <c r="C4146" s="588">
        <v>1</v>
      </c>
      <c r="D4146" s="56" t="s">
        <v>5</v>
      </c>
      <c r="E4146" s="577" t="s">
        <v>6</v>
      </c>
      <c r="F4146" s="101">
        <v>2.8000000000000001E-2</v>
      </c>
      <c r="G4146" s="63">
        <f>VLOOKUP(D4146,upahbahan,3,FALSE)</f>
        <v>100000</v>
      </c>
      <c r="H4146" s="63">
        <f>F4146*G4146</f>
        <v>2800</v>
      </c>
      <c r="I4146" s="44"/>
      <c r="J4146" s="152" t="s">
        <v>1248</v>
      </c>
      <c r="M4146" s="65">
        <v>0.1</v>
      </c>
    </row>
    <row r="4147" spans="3:13" s="59" customFormat="1" ht="22.2" customHeight="1">
      <c r="C4147" s="588">
        <v>2</v>
      </c>
      <c r="D4147" s="56" t="s">
        <v>10</v>
      </c>
      <c r="E4147" s="577" t="s">
        <v>6</v>
      </c>
      <c r="F4147" s="101">
        <v>1.4E-2</v>
      </c>
      <c r="G4147" s="63">
        <f>VLOOKUP(D4147,upahbahan,3,FALSE)</f>
        <v>135000</v>
      </c>
      <c r="H4147" s="63">
        <f>F4147*G4147</f>
        <v>1890</v>
      </c>
      <c r="I4147" s="44"/>
      <c r="J4147" s="152"/>
      <c r="M4147" s="65"/>
    </row>
    <row r="4148" spans="3:13" s="59" customFormat="1" ht="22.2" customHeight="1">
      <c r="C4148" s="588">
        <v>4</v>
      </c>
      <c r="D4148" s="56" t="s">
        <v>19</v>
      </c>
      <c r="E4148" s="577" t="s">
        <v>6</v>
      </c>
      <c r="F4148" s="101">
        <v>3.0000000000000001E-3</v>
      </c>
      <c r="G4148" s="63">
        <f>VLOOKUP(D4148,upahbahan,3,FALSE)</f>
        <v>160000</v>
      </c>
      <c r="H4148" s="63">
        <f t="shared" ref="H4148" si="507">F4148*G4148</f>
        <v>480</v>
      </c>
      <c r="I4148" s="44"/>
    </row>
    <row r="4149" spans="3:13" s="59" customFormat="1" ht="22.2" customHeight="1">
      <c r="C4149" s="450" t="s">
        <v>1208</v>
      </c>
      <c r="D4149" s="67"/>
      <c r="E4149" s="67"/>
      <c r="F4149" s="142"/>
      <c r="G4149" s="153"/>
      <c r="H4149" s="63">
        <f>SUM(H4146:H4148)</f>
        <v>5170</v>
      </c>
      <c r="I4149" s="154"/>
    </row>
    <row r="4150" spans="3:13" s="59" customFormat="1" ht="22.2" customHeight="1">
      <c r="C4150" s="61" t="s">
        <v>1209</v>
      </c>
      <c r="D4150" s="56" t="s">
        <v>1210</v>
      </c>
      <c r="E4150" s="57"/>
      <c r="F4150" s="57"/>
      <c r="G4150" s="57"/>
      <c r="H4150" s="57"/>
      <c r="I4150" s="44"/>
    </row>
    <row r="4151" spans="3:13" s="59" customFormat="1" ht="22.2" customHeight="1">
      <c r="C4151" s="800">
        <v>1</v>
      </c>
      <c r="D4151" s="56" t="s">
        <v>8753</v>
      </c>
      <c r="E4151" s="93" t="s">
        <v>2167</v>
      </c>
      <c r="F4151" s="104">
        <v>1</v>
      </c>
      <c r="G4151" s="63">
        <f>VLOOKUP(D4151,upahbahan,3,FALSE)</f>
        <v>32000</v>
      </c>
      <c r="H4151" s="63">
        <f t="shared" ref="H4151" si="508">F4151*G4151</f>
        <v>32000</v>
      </c>
      <c r="I4151" s="44"/>
    </row>
    <row r="4152" spans="3:13" s="59" customFormat="1" ht="22.2" customHeight="1">
      <c r="C4152" s="450" t="s">
        <v>1214</v>
      </c>
      <c r="D4152" s="67"/>
      <c r="E4152" s="67"/>
      <c r="F4152" s="67"/>
      <c r="G4152" s="69"/>
      <c r="H4152" s="63">
        <f>SUM(H4150:H4151)</f>
        <v>32000</v>
      </c>
      <c r="I4152" s="44"/>
    </row>
    <row r="4153" spans="3:13" s="59" customFormat="1" ht="22.2" customHeight="1">
      <c r="C4153" s="61" t="s">
        <v>1215</v>
      </c>
      <c r="D4153" s="56" t="s">
        <v>1216</v>
      </c>
      <c r="E4153" s="93"/>
      <c r="F4153" s="57"/>
      <c r="G4153" s="57"/>
      <c r="H4153" s="57"/>
      <c r="I4153" s="44"/>
    </row>
    <row r="4154" spans="3:13" s="59" customFormat="1" ht="22.2" customHeight="1">
      <c r="C4154" s="450" t="s">
        <v>1217</v>
      </c>
      <c r="D4154" s="67"/>
      <c r="E4154" s="67"/>
      <c r="F4154" s="67"/>
      <c r="G4154" s="69"/>
      <c r="H4154" s="882">
        <f>SUM(H4153:H4153)</f>
        <v>0</v>
      </c>
      <c r="I4154" s="44"/>
    </row>
    <row r="4155" spans="3:13" s="59" customFormat="1" ht="22.2" customHeight="1">
      <c r="C4155" s="288" t="s">
        <v>1218</v>
      </c>
      <c r="D4155" s="76" t="s">
        <v>1219</v>
      </c>
      <c r="E4155" s="77"/>
      <c r="F4155" s="77"/>
      <c r="G4155" s="78"/>
      <c r="H4155" s="585">
        <f>H4154+H4152+H4149</f>
        <v>37170</v>
      </c>
      <c r="I4155" s="369"/>
    </row>
    <row r="4156" spans="3:13" s="59" customFormat="1" ht="22.2" customHeight="1">
      <c r="C4156" s="288" t="s">
        <v>1220</v>
      </c>
      <c r="D4156" s="76" t="s">
        <v>1321</v>
      </c>
      <c r="E4156" s="77"/>
      <c r="F4156" s="78"/>
      <c r="G4156" s="80">
        <v>0.1</v>
      </c>
      <c r="H4156" s="63">
        <f>H4155*G4156</f>
        <v>3717</v>
      </c>
      <c r="I4156" s="369"/>
    </row>
    <row r="4157" spans="3:13" s="59" customFormat="1" ht="22.2" customHeight="1">
      <c r="C4157" s="288" t="s">
        <v>1221</v>
      </c>
      <c r="D4157" s="76" t="s">
        <v>1222</v>
      </c>
      <c r="E4157" s="77"/>
      <c r="F4157" s="77"/>
      <c r="G4157" s="78"/>
      <c r="H4157" s="799">
        <f>SUM(H4155:H4156)</f>
        <v>40887</v>
      </c>
      <c r="I4157" s="369"/>
    </row>
    <row r="4158" spans="3:13" ht="22.2" customHeight="1"/>
    <row r="4159" spans="3:13" ht="22.2" customHeight="1"/>
    <row r="4160" spans="3:13" ht="22.2" customHeight="1">
      <c r="C4160" s="43" t="s">
        <v>5147</v>
      </c>
      <c r="D4160" s="128" t="s">
        <v>8754</v>
      </c>
      <c r="I4160" s="50">
        <f>ROUNDDOWN(H4174,-2)</f>
        <v>49200</v>
      </c>
      <c r="J4160" s="122" t="s">
        <v>6451</v>
      </c>
      <c r="K4160" s="122" t="s">
        <v>8676</v>
      </c>
    </row>
    <row r="4161" spans="3:13" s="59" customFormat="1" ht="22.2" customHeight="1">
      <c r="C4161" s="591" t="s">
        <v>1195</v>
      </c>
      <c r="D4161" s="591" t="s">
        <v>1196</v>
      </c>
      <c r="E4161" s="591" t="s">
        <v>1197</v>
      </c>
      <c r="F4161" s="591" t="s">
        <v>1198</v>
      </c>
      <c r="G4161" s="591" t="s">
        <v>1199</v>
      </c>
      <c r="H4161" s="591" t="s">
        <v>1200</v>
      </c>
      <c r="I4161" s="44"/>
    </row>
    <row r="4162" spans="3:13" s="59" customFormat="1" ht="22.2" customHeight="1">
      <c r="C4162" s="61" t="s">
        <v>1201</v>
      </c>
      <c r="D4162" s="56" t="s">
        <v>1202</v>
      </c>
      <c r="E4162" s="57"/>
      <c r="F4162" s="57"/>
      <c r="G4162" s="57"/>
      <c r="H4162" s="57"/>
      <c r="I4162" s="44"/>
      <c r="J4162" s="152" t="s">
        <v>1247</v>
      </c>
    </row>
    <row r="4163" spans="3:13" s="59" customFormat="1" ht="22.2" customHeight="1">
      <c r="C4163" s="588">
        <v>1</v>
      </c>
      <c r="D4163" s="56" t="s">
        <v>5</v>
      </c>
      <c r="E4163" s="577" t="s">
        <v>6</v>
      </c>
      <c r="F4163" s="101">
        <v>3.1E-2</v>
      </c>
      <c r="G4163" s="63">
        <f>VLOOKUP(D4163,upahbahan,3,FALSE)</f>
        <v>100000</v>
      </c>
      <c r="H4163" s="63">
        <f>F4163*G4163</f>
        <v>3100</v>
      </c>
      <c r="I4163" s="44"/>
      <c r="J4163" s="152" t="s">
        <v>1248</v>
      </c>
      <c r="M4163" s="65">
        <v>0.1</v>
      </c>
    </row>
    <row r="4164" spans="3:13" s="59" customFormat="1" ht="22.2" customHeight="1">
      <c r="C4164" s="588">
        <v>2</v>
      </c>
      <c r="D4164" s="56" t="s">
        <v>10</v>
      </c>
      <c r="E4164" s="577" t="s">
        <v>6</v>
      </c>
      <c r="F4164" s="101">
        <v>1.6E-2</v>
      </c>
      <c r="G4164" s="63">
        <f>VLOOKUP(D4164,upahbahan,3,FALSE)</f>
        <v>135000</v>
      </c>
      <c r="H4164" s="63">
        <f>F4164*G4164</f>
        <v>2160</v>
      </c>
      <c r="I4164" s="44"/>
      <c r="J4164" s="152"/>
      <c r="M4164" s="65"/>
    </row>
    <row r="4165" spans="3:13" s="59" customFormat="1" ht="22.2" customHeight="1">
      <c r="C4165" s="588">
        <v>4</v>
      </c>
      <c r="D4165" s="56" t="s">
        <v>19</v>
      </c>
      <c r="E4165" s="577" t="s">
        <v>6</v>
      </c>
      <c r="F4165" s="101">
        <v>3.0000000000000001E-3</v>
      </c>
      <c r="G4165" s="63">
        <f>VLOOKUP(D4165,upahbahan,3,FALSE)</f>
        <v>160000</v>
      </c>
      <c r="H4165" s="63">
        <f t="shared" ref="H4165" si="509">F4165*G4165</f>
        <v>480</v>
      </c>
      <c r="I4165" s="44"/>
    </row>
    <row r="4166" spans="3:13" s="59" customFormat="1" ht="22.2" customHeight="1">
      <c r="C4166" s="450" t="s">
        <v>1208</v>
      </c>
      <c r="D4166" s="67"/>
      <c r="E4166" s="67"/>
      <c r="F4166" s="142"/>
      <c r="G4166" s="153"/>
      <c r="H4166" s="63">
        <f>SUM(H4163:H4165)</f>
        <v>5740</v>
      </c>
      <c r="I4166" s="154"/>
    </row>
    <row r="4167" spans="3:13" s="59" customFormat="1" ht="22.2" customHeight="1">
      <c r="C4167" s="61" t="s">
        <v>1209</v>
      </c>
      <c r="D4167" s="56" t="s">
        <v>1210</v>
      </c>
      <c r="E4167" s="57"/>
      <c r="F4167" s="57"/>
      <c r="G4167" s="57"/>
      <c r="H4167" s="57"/>
      <c r="I4167" s="44"/>
    </row>
    <row r="4168" spans="3:13" s="59" customFormat="1" ht="22.2" customHeight="1">
      <c r="C4168" s="800">
        <v>1</v>
      </c>
      <c r="D4168" s="56" t="s">
        <v>8755</v>
      </c>
      <c r="E4168" s="93" t="s">
        <v>2167</v>
      </c>
      <c r="F4168" s="104">
        <v>1</v>
      </c>
      <c r="G4168" s="63">
        <f>VLOOKUP(D4168,upahbahan,3,FALSE)</f>
        <v>39000</v>
      </c>
      <c r="H4168" s="63">
        <f t="shared" ref="H4168" si="510">F4168*G4168</f>
        <v>39000</v>
      </c>
      <c r="I4168" s="44"/>
    </row>
    <row r="4169" spans="3:13" s="59" customFormat="1" ht="22.2" customHeight="1">
      <c r="C4169" s="450" t="s">
        <v>1214</v>
      </c>
      <c r="D4169" s="67"/>
      <c r="E4169" s="67"/>
      <c r="F4169" s="67"/>
      <c r="G4169" s="69"/>
      <c r="H4169" s="63">
        <f>SUM(H4167:H4168)</f>
        <v>39000</v>
      </c>
      <c r="I4169" s="44"/>
    </row>
    <row r="4170" spans="3:13" s="59" customFormat="1" ht="22.2" customHeight="1">
      <c r="C4170" s="61" t="s">
        <v>1215</v>
      </c>
      <c r="D4170" s="56" t="s">
        <v>1216</v>
      </c>
      <c r="E4170" s="93"/>
      <c r="F4170" s="57"/>
      <c r="G4170" s="57"/>
      <c r="H4170" s="57"/>
      <c r="I4170" s="44"/>
    </row>
    <row r="4171" spans="3:13" s="59" customFormat="1" ht="22.2" customHeight="1">
      <c r="C4171" s="450" t="s">
        <v>1217</v>
      </c>
      <c r="D4171" s="67"/>
      <c r="E4171" s="67"/>
      <c r="F4171" s="67"/>
      <c r="G4171" s="69"/>
      <c r="H4171" s="882">
        <f>SUM(H4170:H4170)</f>
        <v>0</v>
      </c>
      <c r="I4171" s="44"/>
    </row>
    <row r="4172" spans="3:13" s="59" customFormat="1" ht="22.2" customHeight="1">
      <c r="C4172" s="288" t="s">
        <v>1218</v>
      </c>
      <c r="D4172" s="76" t="s">
        <v>1219</v>
      </c>
      <c r="E4172" s="77"/>
      <c r="F4172" s="77"/>
      <c r="G4172" s="78"/>
      <c r="H4172" s="585">
        <f>H4171+H4169+H4166</f>
        <v>44740</v>
      </c>
      <c r="I4172" s="369"/>
    </row>
    <row r="4173" spans="3:13" s="59" customFormat="1" ht="22.2" customHeight="1">
      <c r="C4173" s="288" t="s">
        <v>1220</v>
      </c>
      <c r="D4173" s="76" t="s">
        <v>1321</v>
      </c>
      <c r="E4173" s="77"/>
      <c r="F4173" s="78"/>
      <c r="G4173" s="80">
        <v>0.1</v>
      </c>
      <c r="H4173" s="63">
        <f>H4172*G4173</f>
        <v>4474</v>
      </c>
      <c r="I4173" s="369"/>
    </row>
    <row r="4174" spans="3:13" s="59" customFormat="1" ht="22.2" customHeight="1">
      <c r="C4174" s="288" t="s">
        <v>1221</v>
      </c>
      <c r="D4174" s="76" t="s">
        <v>1222</v>
      </c>
      <c r="E4174" s="77"/>
      <c r="F4174" s="77"/>
      <c r="G4174" s="78"/>
      <c r="H4174" s="799">
        <f>SUM(H4172:H4173)</f>
        <v>49214</v>
      </c>
      <c r="I4174" s="369"/>
    </row>
    <row r="4175" spans="3:13" ht="22.2" customHeight="1"/>
    <row r="4176" spans="3:13" ht="22.2" customHeight="1">
      <c r="C4176" s="43" t="s">
        <v>5148</v>
      </c>
      <c r="D4176" s="128" t="s">
        <v>8756</v>
      </c>
      <c r="I4176" s="50">
        <f>ROUNDDOWN(H4190,-2)</f>
        <v>53100</v>
      </c>
      <c r="J4176" s="122" t="s">
        <v>6451</v>
      </c>
      <c r="K4176" s="122" t="s">
        <v>8676</v>
      </c>
    </row>
    <row r="4177" spans="3:13" s="59" customFormat="1" ht="22.2" customHeight="1">
      <c r="C4177" s="591" t="s">
        <v>1195</v>
      </c>
      <c r="D4177" s="591" t="s">
        <v>1196</v>
      </c>
      <c r="E4177" s="591" t="s">
        <v>1197</v>
      </c>
      <c r="F4177" s="591" t="s">
        <v>1198</v>
      </c>
      <c r="G4177" s="591" t="s">
        <v>1199</v>
      </c>
      <c r="H4177" s="591" t="s">
        <v>1200</v>
      </c>
      <c r="I4177" s="44"/>
    </row>
    <row r="4178" spans="3:13" s="59" customFormat="1" ht="22.2" customHeight="1">
      <c r="C4178" s="61" t="s">
        <v>1201</v>
      </c>
      <c r="D4178" s="56" t="s">
        <v>1202</v>
      </c>
      <c r="E4178" s="57"/>
      <c r="F4178" s="57"/>
      <c r="G4178" s="57"/>
      <c r="H4178" s="57"/>
      <c r="I4178" s="44"/>
      <c r="J4178" s="152" t="s">
        <v>1247</v>
      </c>
    </row>
    <row r="4179" spans="3:13" s="59" customFormat="1" ht="22.2" customHeight="1">
      <c r="C4179" s="588">
        <v>1</v>
      </c>
      <c r="D4179" s="56" t="s">
        <v>5</v>
      </c>
      <c r="E4179" s="577" t="s">
        <v>6</v>
      </c>
      <c r="F4179" s="101">
        <v>3.5000000000000003E-2</v>
      </c>
      <c r="G4179" s="63">
        <f>VLOOKUP(D4179,upahbahan,3,FALSE)</f>
        <v>100000</v>
      </c>
      <c r="H4179" s="63">
        <f>F4179*G4179</f>
        <v>3500.0000000000005</v>
      </c>
      <c r="I4179" s="44"/>
      <c r="J4179" s="152" t="s">
        <v>1248</v>
      </c>
      <c r="M4179" s="65">
        <v>0.1</v>
      </c>
    </row>
    <row r="4180" spans="3:13" s="59" customFormat="1" ht="22.2" customHeight="1">
      <c r="C4180" s="588">
        <v>2</v>
      </c>
      <c r="D4180" s="56" t="s">
        <v>10</v>
      </c>
      <c r="E4180" s="577" t="s">
        <v>6</v>
      </c>
      <c r="F4180" s="101">
        <v>1.7000000000000001E-2</v>
      </c>
      <c r="G4180" s="63">
        <f>VLOOKUP(D4180,upahbahan,3,FALSE)</f>
        <v>135000</v>
      </c>
      <c r="H4180" s="63">
        <f>F4180*G4180</f>
        <v>2295</v>
      </c>
      <c r="I4180" s="44"/>
      <c r="J4180" s="152"/>
      <c r="M4180" s="65"/>
    </row>
    <row r="4181" spans="3:13" s="59" customFormat="1" ht="22.2" customHeight="1">
      <c r="C4181" s="588">
        <v>4</v>
      </c>
      <c r="D4181" s="56" t="s">
        <v>19</v>
      </c>
      <c r="E4181" s="577" t="s">
        <v>6</v>
      </c>
      <c r="F4181" s="101">
        <v>3.0000000000000001E-3</v>
      </c>
      <c r="G4181" s="63">
        <f>VLOOKUP(D4181,upahbahan,3,FALSE)</f>
        <v>160000</v>
      </c>
      <c r="H4181" s="63">
        <f t="shared" ref="H4181" si="511">F4181*G4181</f>
        <v>480</v>
      </c>
      <c r="I4181" s="44"/>
    </row>
    <row r="4182" spans="3:13" s="59" customFormat="1" ht="22.2" customHeight="1">
      <c r="C4182" s="450" t="s">
        <v>1208</v>
      </c>
      <c r="D4182" s="67"/>
      <c r="E4182" s="67"/>
      <c r="F4182" s="142"/>
      <c r="G4182" s="153"/>
      <c r="H4182" s="63">
        <f>SUM(H4179:H4181)</f>
        <v>6275</v>
      </c>
      <c r="I4182" s="154"/>
    </row>
    <row r="4183" spans="3:13" s="59" customFormat="1" ht="22.2" customHeight="1">
      <c r="C4183" s="61" t="s">
        <v>1209</v>
      </c>
      <c r="D4183" s="56" t="s">
        <v>1210</v>
      </c>
      <c r="E4183" s="57"/>
      <c r="F4183" s="57"/>
      <c r="G4183" s="57"/>
      <c r="H4183" s="57"/>
      <c r="I4183" s="44"/>
    </row>
    <row r="4184" spans="3:13" s="59" customFormat="1" ht="22.2" customHeight="1">
      <c r="C4184" s="800">
        <v>1</v>
      </c>
      <c r="D4184" s="56" t="s">
        <v>8757</v>
      </c>
      <c r="E4184" s="93" t="s">
        <v>2167</v>
      </c>
      <c r="F4184" s="104">
        <v>1</v>
      </c>
      <c r="G4184" s="63">
        <f>VLOOKUP(D4184,upahbahan,3,FALSE)</f>
        <v>42000</v>
      </c>
      <c r="H4184" s="63">
        <f t="shared" ref="H4184" si="512">F4184*G4184</f>
        <v>42000</v>
      </c>
      <c r="I4184" s="44"/>
    </row>
    <row r="4185" spans="3:13" s="59" customFormat="1" ht="22.2" customHeight="1">
      <c r="C4185" s="450" t="s">
        <v>1214</v>
      </c>
      <c r="D4185" s="67"/>
      <c r="E4185" s="67"/>
      <c r="F4185" s="67"/>
      <c r="G4185" s="69"/>
      <c r="H4185" s="63">
        <f>SUM(H4183:H4184)</f>
        <v>42000</v>
      </c>
      <c r="I4185" s="44"/>
    </row>
    <row r="4186" spans="3:13" s="59" customFormat="1" ht="22.2" customHeight="1">
      <c r="C4186" s="61" t="s">
        <v>1215</v>
      </c>
      <c r="D4186" s="56" t="s">
        <v>1216</v>
      </c>
      <c r="E4186" s="93"/>
      <c r="F4186" s="57"/>
      <c r="G4186" s="57"/>
      <c r="H4186" s="57"/>
      <c r="I4186" s="44"/>
    </row>
    <row r="4187" spans="3:13" s="59" customFormat="1" ht="22.2" customHeight="1">
      <c r="C4187" s="450" t="s">
        <v>1217</v>
      </c>
      <c r="D4187" s="67"/>
      <c r="E4187" s="67"/>
      <c r="F4187" s="67"/>
      <c r="G4187" s="69"/>
      <c r="H4187" s="882">
        <f>SUM(H4186:H4186)</f>
        <v>0</v>
      </c>
      <c r="I4187" s="44"/>
    </row>
    <row r="4188" spans="3:13" s="59" customFormat="1" ht="22.2" customHeight="1">
      <c r="C4188" s="288" t="s">
        <v>1218</v>
      </c>
      <c r="D4188" s="76" t="s">
        <v>1219</v>
      </c>
      <c r="E4188" s="77"/>
      <c r="F4188" s="77"/>
      <c r="G4188" s="78"/>
      <c r="H4188" s="585">
        <f>H4187+H4185+H4182</f>
        <v>48275</v>
      </c>
      <c r="I4188" s="369"/>
    </row>
    <row r="4189" spans="3:13" s="59" customFormat="1" ht="22.2" customHeight="1">
      <c r="C4189" s="288" t="s">
        <v>1220</v>
      </c>
      <c r="D4189" s="76" t="s">
        <v>1321</v>
      </c>
      <c r="E4189" s="77"/>
      <c r="F4189" s="78"/>
      <c r="G4189" s="80">
        <v>0.1</v>
      </c>
      <c r="H4189" s="63">
        <f>H4188*G4189</f>
        <v>4827.5</v>
      </c>
      <c r="I4189" s="369"/>
    </row>
    <row r="4190" spans="3:13" s="59" customFormat="1" ht="22.2" customHeight="1">
      <c r="C4190" s="288" t="s">
        <v>1221</v>
      </c>
      <c r="D4190" s="76" t="s">
        <v>1222</v>
      </c>
      <c r="E4190" s="77"/>
      <c r="F4190" s="77"/>
      <c r="G4190" s="78"/>
      <c r="H4190" s="799">
        <f>SUM(H4188:H4189)</f>
        <v>53102.5</v>
      </c>
      <c r="I4190" s="369"/>
    </row>
    <row r="4191" spans="3:13" ht="22.2" customHeight="1"/>
    <row r="4192" spans="3:13" ht="22.2" customHeight="1">
      <c r="C4192" s="43" t="s">
        <v>5149</v>
      </c>
      <c r="D4192" s="128" t="s">
        <v>8758</v>
      </c>
      <c r="I4192" s="50">
        <f>ROUNDDOWN(H4206,-2)</f>
        <v>61600</v>
      </c>
      <c r="J4192" s="122" t="s">
        <v>6451</v>
      </c>
      <c r="K4192" s="122" t="s">
        <v>8676</v>
      </c>
    </row>
    <row r="4193" spans="3:13" s="59" customFormat="1" ht="22.2" customHeight="1">
      <c r="C4193" s="591" t="s">
        <v>1195</v>
      </c>
      <c r="D4193" s="591" t="s">
        <v>1196</v>
      </c>
      <c r="E4193" s="591" t="s">
        <v>1197</v>
      </c>
      <c r="F4193" s="591" t="s">
        <v>1198</v>
      </c>
      <c r="G4193" s="591" t="s">
        <v>1199</v>
      </c>
      <c r="H4193" s="591" t="s">
        <v>1200</v>
      </c>
      <c r="I4193" s="44"/>
    </row>
    <row r="4194" spans="3:13" s="59" customFormat="1" ht="22.2" customHeight="1">
      <c r="C4194" s="61" t="s">
        <v>1201</v>
      </c>
      <c r="D4194" s="56" t="s">
        <v>1202</v>
      </c>
      <c r="E4194" s="57"/>
      <c r="F4194" s="57"/>
      <c r="G4194" s="57"/>
      <c r="H4194" s="57"/>
      <c r="I4194" s="44"/>
      <c r="J4194" s="152" t="s">
        <v>1247</v>
      </c>
    </row>
    <row r="4195" spans="3:13" s="59" customFormat="1" ht="22.2" customHeight="1">
      <c r="C4195" s="588">
        <v>1</v>
      </c>
      <c r="D4195" s="56" t="s">
        <v>5</v>
      </c>
      <c r="E4195" s="577" t="s">
        <v>6</v>
      </c>
      <c r="F4195" s="101">
        <v>4.3999999999999997E-2</v>
      </c>
      <c r="G4195" s="63">
        <f>VLOOKUP(D4195,upahbahan,3,FALSE)</f>
        <v>100000</v>
      </c>
      <c r="H4195" s="63">
        <f>F4195*G4195</f>
        <v>4400</v>
      </c>
      <c r="I4195" s="44"/>
      <c r="J4195" s="152" t="s">
        <v>1248</v>
      </c>
      <c r="M4195" s="65">
        <v>0.1</v>
      </c>
    </row>
    <row r="4196" spans="3:13" s="59" customFormat="1" ht="22.2" customHeight="1">
      <c r="C4196" s="588">
        <v>2</v>
      </c>
      <c r="D4196" s="56" t="s">
        <v>10</v>
      </c>
      <c r="E4196" s="577" t="s">
        <v>6</v>
      </c>
      <c r="F4196" s="101">
        <v>2.1999999999999999E-2</v>
      </c>
      <c r="G4196" s="63">
        <f>VLOOKUP(D4196,upahbahan,3,FALSE)</f>
        <v>135000</v>
      </c>
      <c r="H4196" s="63">
        <f>F4196*G4196</f>
        <v>2970</v>
      </c>
      <c r="I4196" s="44"/>
      <c r="J4196" s="152"/>
      <c r="M4196" s="65"/>
    </row>
    <row r="4197" spans="3:13" s="59" customFormat="1" ht="22.2" customHeight="1">
      <c r="C4197" s="588">
        <v>4</v>
      </c>
      <c r="D4197" s="56" t="s">
        <v>19</v>
      </c>
      <c r="E4197" s="577" t="s">
        <v>6</v>
      </c>
      <c r="F4197" s="101">
        <v>4.0000000000000001E-3</v>
      </c>
      <c r="G4197" s="63">
        <f>VLOOKUP(D4197,upahbahan,3,FALSE)</f>
        <v>160000</v>
      </c>
      <c r="H4197" s="63">
        <f t="shared" ref="H4197" si="513">F4197*G4197</f>
        <v>640</v>
      </c>
      <c r="I4197" s="44"/>
    </row>
    <row r="4198" spans="3:13" s="59" customFormat="1" ht="22.2" customHeight="1">
      <c r="C4198" s="450" t="s">
        <v>1208</v>
      </c>
      <c r="D4198" s="67"/>
      <c r="E4198" s="67"/>
      <c r="F4198" s="142"/>
      <c r="G4198" s="153"/>
      <c r="H4198" s="63">
        <f>SUM(H4195:H4197)</f>
        <v>8010</v>
      </c>
      <c r="I4198" s="154"/>
    </row>
    <row r="4199" spans="3:13" s="59" customFormat="1" ht="22.2" customHeight="1">
      <c r="C4199" s="61" t="s">
        <v>1209</v>
      </c>
      <c r="D4199" s="56" t="s">
        <v>1210</v>
      </c>
      <c r="E4199" s="57"/>
      <c r="F4199" s="57"/>
      <c r="G4199" s="57"/>
      <c r="H4199" s="57"/>
      <c r="I4199" s="44"/>
    </row>
    <row r="4200" spans="3:13" s="59" customFormat="1" ht="22.2" customHeight="1">
      <c r="C4200" s="800">
        <v>1</v>
      </c>
      <c r="D4200" s="56" t="s">
        <v>8759</v>
      </c>
      <c r="E4200" s="93" t="s">
        <v>2167</v>
      </c>
      <c r="F4200" s="104">
        <v>1</v>
      </c>
      <c r="G4200" s="63">
        <f>VLOOKUP(D4200,upahbahan,3,FALSE)</f>
        <v>48000</v>
      </c>
      <c r="H4200" s="63">
        <f t="shared" ref="H4200" si="514">F4200*G4200</f>
        <v>48000</v>
      </c>
      <c r="I4200" s="44"/>
    </row>
    <row r="4201" spans="3:13" s="59" customFormat="1" ht="22.2" customHeight="1">
      <c r="C4201" s="450" t="s">
        <v>1214</v>
      </c>
      <c r="D4201" s="67"/>
      <c r="E4201" s="67"/>
      <c r="F4201" s="67"/>
      <c r="G4201" s="69"/>
      <c r="H4201" s="63">
        <f>SUM(H4199:H4200)</f>
        <v>48000</v>
      </c>
      <c r="I4201" s="44"/>
    </row>
    <row r="4202" spans="3:13" s="59" customFormat="1" ht="22.2" customHeight="1">
      <c r="C4202" s="61" t="s">
        <v>1215</v>
      </c>
      <c r="D4202" s="56" t="s">
        <v>1216</v>
      </c>
      <c r="E4202" s="93"/>
      <c r="F4202" s="57"/>
      <c r="G4202" s="57"/>
      <c r="H4202" s="57"/>
      <c r="I4202" s="44"/>
    </row>
    <row r="4203" spans="3:13" s="59" customFormat="1" ht="22.2" customHeight="1">
      <c r="C4203" s="450" t="s">
        <v>1217</v>
      </c>
      <c r="D4203" s="67"/>
      <c r="E4203" s="67"/>
      <c r="F4203" s="67"/>
      <c r="G4203" s="69"/>
      <c r="H4203" s="882">
        <f>SUM(H4202:H4202)</f>
        <v>0</v>
      </c>
      <c r="I4203" s="44"/>
    </row>
    <row r="4204" spans="3:13" s="59" customFormat="1" ht="22.2" customHeight="1">
      <c r="C4204" s="288" t="s">
        <v>1218</v>
      </c>
      <c r="D4204" s="76" t="s">
        <v>1219</v>
      </c>
      <c r="E4204" s="77"/>
      <c r="F4204" s="77"/>
      <c r="G4204" s="78"/>
      <c r="H4204" s="585">
        <f>H4203+H4201+H4198</f>
        <v>56010</v>
      </c>
      <c r="I4204" s="369"/>
    </row>
    <row r="4205" spans="3:13" s="59" customFormat="1" ht="22.2" customHeight="1">
      <c r="C4205" s="288" t="s">
        <v>1220</v>
      </c>
      <c r="D4205" s="76" t="s">
        <v>1321</v>
      </c>
      <c r="E4205" s="77"/>
      <c r="F4205" s="78"/>
      <c r="G4205" s="80">
        <v>0.1</v>
      </c>
      <c r="H4205" s="63">
        <f>H4204*G4205</f>
        <v>5601</v>
      </c>
      <c r="I4205" s="369"/>
    </row>
    <row r="4206" spans="3:13" s="59" customFormat="1" ht="22.2" customHeight="1">
      <c r="C4206" s="288" t="s">
        <v>1221</v>
      </c>
      <c r="D4206" s="76" t="s">
        <v>1222</v>
      </c>
      <c r="E4206" s="77"/>
      <c r="F4206" s="77"/>
      <c r="G4206" s="78"/>
      <c r="H4206" s="799">
        <f>SUM(H4204:H4205)</f>
        <v>61611</v>
      </c>
      <c r="I4206" s="369"/>
    </row>
    <row r="4207" spans="3:13" ht="22.2" customHeight="1"/>
    <row r="4208" spans="3:13" ht="22.2" customHeight="1">
      <c r="C4208" s="43" t="s">
        <v>5150</v>
      </c>
      <c r="D4208" s="128" t="s">
        <v>8760</v>
      </c>
      <c r="I4208" s="50">
        <f>ROUNDDOWN(H4222,-2)</f>
        <v>75700</v>
      </c>
      <c r="J4208" s="122" t="s">
        <v>6451</v>
      </c>
      <c r="K4208" s="122" t="s">
        <v>8676</v>
      </c>
    </row>
    <row r="4209" spans="3:13" s="59" customFormat="1" ht="22.2" customHeight="1">
      <c r="C4209" s="591" t="s">
        <v>1195</v>
      </c>
      <c r="D4209" s="591" t="s">
        <v>1196</v>
      </c>
      <c r="E4209" s="591" t="s">
        <v>1197</v>
      </c>
      <c r="F4209" s="591" t="s">
        <v>1198</v>
      </c>
      <c r="G4209" s="591" t="s">
        <v>1199</v>
      </c>
      <c r="H4209" s="591" t="s">
        <v>1200</v>
      </c>
      <c r="I4209" s="44"/>
    </row>
    <row r="4210" spans="3:13" s="59" customFormat="1" ht="22.2" customHeight="1">
      <c r="C4210" s="61" t="s">
        <v>1201</v>
      </c>
      <c r="D4210" s="56" t="s">
        <v>1202</v>
      </c>
      <c r="E4210" s="57"/>
      <c r="F4210" s="57"/>
      <c r="G4210" s="57"/>
      <c r="H4210" s="57"/>
      <c r="I4210" s="44"/>
      <c r="J4210" s="152" t="s">
        <v>1247</v>
      </c>
    </row>
    <row r="4211" spans="3:13" s="59" customFormat="1" ht="22.2" customHeight="1">
      <c r="C4211" s="588">
        <v>1</v>
      </c>
      <c r="D4211" s="56" t="s">
        <v>5</v>
      </c>
      <c r="E4211" s="577" t="s">
        <v>6</v>
      </c>
      <c r="F4211" s="101">
        <v>5.3999999999999999E-2</v>
      </c>
      <c r="G4211" s="63">
        <f>VLOOKUP(D4211,upahbahan,3,FALSE)</f>
        <v>100000</v>
      </c>
      <c r="H4211" s="63">
        <f>F4211*G4211</f>
        <v>5400</v>
      </c>
      <c r="I4211" s="44"/>
      <c r="J4211" s="152" t="s">
        <v>1248</v>
      </c>
      <c r="M4211" s="65">
        <v>0.1</v>
      </c>
    </row>
    <row r="4212" spans="3:13" s="59" customFormat="1" ht="22.2" customHeight="1">
      <c r="C4212" s="588">
        <v>2</v>
      </c>
      <c r="D4212" s="56" t="s">
        <v>10</v>
      </c>
      <c r="E4212" s="577" t="s">
        <v>6</v>
      </c>
      <c r="F4212" s="101">
        <v>2.7E-2</v>
      </c>
      <c r="G4212" s="63">
        <f>VLOOKUP(D4212,upahbahan,3,FALSE)</f>
        <v>135000</v>
      </c>
      <c r="H4212" s="63">
        <f>F4212*G4212</f>
        <v>3645</v>
      </c>
      <c r="I4212" s="44"/>
      <c r="J4212" s="152"/>
      <c r="M4212" s="65"/>
    </row>
    <row r="4213" spans="3:13" s="59" customFormat="1" ht="22.2" customHeight="1">
      <c r="C4213" s="588">
        <v>4</v>
      </c>
      <c r="D4213" s="56" t="s">
        <v>19</v>
      </c>
      <c r="E4213" s="577" t="s">
        <v>6</v>
      </c>
      <c r="F4213" s="101">
        <v>5.0000000000000001E-3</v>
      </c>
      <c r="G4213" s="63">
        <f>VLOOKUP(D4213,upahbahan,3,FALSE)</f>
        <v>160000</v>
      </c>
      <c r="H4213" s="63">
        <f t="shared" ref="H4213" si="515">F4213*G4213</f>
        <v>800</v>
      </c>
      <c r="I4213" s="44"/>
    </row>
    <row r="4214" spans="3:13" s="59" customFormat="1" ht="22.2" customHeight="1">
      <c r="C4214" s="450" t="s">
        <v>1208</v>
      </c>
      <c r="D4214" s="67"/>
      <c r="E4214" s="67"/>
      <c r="F4214" s="142"/>
      <c r="G4214" s="153"/>
      <c r="H4214" s="63">
        <f>SUM(H4211:H4213)</f>
        <v>9845</v>
      </c>
      <c r="I4214" s="154"/>
    </row>
    <row r="4215" spans="3:13" s="59" customFormat="1" ht="22.2" customHeight="1">
      <c r="C4215" s="61" t="s">
        <v>1209</v>
      </c>
      <c r="D4215" s="56" t="s">
        <v>1210</v>
      </c>
      <c r="E4215" s="57"/>
      <c r="F4215" s="57"/>
      <c r="G4215" s="57"/>
      <c r="H4215" s="57"/>
      <c r="I4215" s="44"/>
    </row>
    <row r="4216" spans="3:13" s="59" customFormat="1" ht="22.2" customHeight="1">
      <c r="C4216" s="800">
        <v>1</v>
      </c>
      <c r="D4216" s="56" t="s">
        <v>8761</v>
      </c>
      <c r="E4216" s="93" t="s">
        <v>2167</v>
      </c>
      <c r="F4216" s="104">
        <v>1</v>
      </c>
      <c r="G4216" s="63">
        <f>VLOOKUP(D4216,upahbahan,3,FALSE)</f>
        <v>59000</v>
      </c>
      <c r="H4216" s="63">
        <f t="shared" ref="H4216" si="516">F4216*G4216</f>
        <v>59000</v>
      </c>
      <c r="I4216" s="44"/>
    </row>
    <row r="4217" spans="3:13" s="59" customFormat="1" ht="22.2" customHeight="1">
      <c r="C4217" s="450" t="s">
        <v>1214</v>
      </c>
      <c r="D4217" s="67"/>
      <c r="E4217" s="67"/>
      <c r="F4217" s="67"/>
      <c r="G4217" s="69"/>
      <c r="H4217" s="63">
        <f>SUM(H4215:H4216)</f>
        <v>59000</v>
      </c>
      <c r="I4217" s="44"/>
    </row>
    <row r="4218" spans="3:13" s="59" customFormat="1" ht="22.2" customHeight="1">
      <c r="C4218" s="61" t="s">
        <v>1215</v>
      </c>
      <c r="D4218" s="56" t="s">
        <v>1216</v>
      </c>
      <c r="E4218" s="93"/>
      <c r="F4218" s="57"/>
      <c r="G4218" s="57"/>
      <c r="H4218" s="57"/>
      <c r="I4218" s="44"/>
    </row>
    <row r="4219" spans="3:13" s="59" customFormat="1" ht="22.2" customHeight="1">
      <c r="C4219" s="450" t="s">
        <v>1217</v>
      </c>
      <c r="D4219" s="67"/>
      <c r="E4219" s="67"/>
      <c r="F4219" s="67"/>
      <c r="G4219" s="69"/>
      <c r="H4219" s="882">
        <f>SUM(H4218:H4218)</f>
        <v>0</v>
      </c>
      <c r="I4219" s="44"/>
    </row>
    <row r="4220" spans="3:13" s="59" customFormat="1" ht="22.2" customHeight="1">
      <c r="C4220" s="288" t="s">
        <v>1218</v>
      </c>
      <c r="D4220" s="76" t="s">
        <v>1219</v>
      </c>
      <c r="E4220" s="77"/>
      <c r="F4220" s="77"/>
      <c r="G4220" s="78"/>
      <c r="H4220" s="585">
        <f>H4219+H4217+H4214</f>
        <v>68845</v>
      </c>
      <c r="I4220" s="369"/>
    </row>
    <row r="4221" spans="3:13" s="59" customFormat="1" ht="22.2" customHeight="1">
      <c r="C4221" s="288" t="s">
        <v>1220</v>
      </c>
      <c r="D4221" s="76" t="s">
        <v>1321</v>
      </c>
      <c r="E4221" s="77"/>
      <c r="F4221" s="78"/>
      <c r="G4221" s="80">
        <v>0.1</v>
      </c>
      <c r="H4221" s="63">
        <f>H4220*G4221</f>
        <v>6884.5</v>
      </c>
      <c r="I4221" s="369"/>
    </row>
    <row r="4222" spans="3:13" s="59" customFormat="1" ht="22.2" customHeight="1">
      <c r="C4222" s="288" t="s">
        <v>1221</v>
      </c>
      <c r="D4222" s="76" t="s">
        <v>1222</v>
      </c>
      <c r="E4222" s="77"/>
      <c r="F4222" s="77"/>
      <c r="G4222" s="78"/>
      <c r="H4222" s="799">
        <f>SUM(H4220:H4221)</f>
        <v>75729.5</v>
      </c>
      <c r="I4222" s="369"/>
    </row>
    <row r="4223" spans="3:13" ht="22.2" customHeight="1"/>
    <row r="4224" spans="3:13" ht="22.2" customHeight="1">
      <c r="C4224" s="43" t="s">
        <v>5151</v>
      </c>
      <c r="D4224" s="128" t="s">
        <v>8762</v>
      </c>
      <c r="I4224" s="50">
        <f>ROUNDDOWN(H4238,-2)</f>
        <v>81900</v>
      </c>
      <c r="J4224" s="122" t="s">
        <v>6451</v>
      </c>
      <c r="K4224" s="122" t="s">
        <v>8676</v>
      </c>
    </row>
    <row r="4225" spans="3:13" s="59" customFormat="1" ht="22.2" customHeight="1">
      <c r="C4225" s="591" t="s">
        <v>1195</v>
      </c>
      <c r="D4225" s="591" t="s">
        <v>1196</v>
      </c>
      <c r="E4225" s="591" t="s">
        <v>1197</v>
      </c>
      <c r="F4225" s="591" t="s">
        <v>1198</v>
      </c>
      <c r="G4225" s="591" t="s">
        <v>1199</v>
      </c>
      <c r="H4225" s="591" t="s">
        <v>1200</v>
      </c>
      <c r="I4225" s="44"/>
    </row>
    <row r="4226" spans="3:13" s="59" customFormat="1" ht="22.2" customHeight="1">
      <c r="C4226" s="61" t="s">
        <v>1201</v>
      </c>
      <c r="D4226" s="56" t="s">
        <v>1202</v>
      </c>
      <c r="E4226" s="57"/>
      <c r="F4226" s="57"/>
      <c r="G4226" s="57"/>
      <c r="H4226" s="57"/>
      <c r="I4226" s="44"/>
      <c r="J4226" s="152" t="s">
        <v>1247</v>
      </c>
    </row>
    <row r="4227" spans="3:13" s="59" customFormat="1" ht="22.2" customHeight="1">
      <c r="C4227" s="588">
        <v>1</v>
      </c>
      <c r="D4227" s="56" t="s">
        <v>5</v>
      </c>
      <c r="E4227" s="577" t="s">
        <v>6</v>
      </c>
      <c r="F4227" s="101">
        <v>6.8000000000000005E-2</v>
      </c>
      <c r="G4227" s="63">
        <f>VLOOKUP(D4227,upahbahan,3,FALSE)</f>
        <v>100000</v>
      </c>
      <c r="H4227" s="63">
        <f>F4227*G4227</f>
        <v>6800.0000000000009</v>
      </c>
      <c r="I4227" s="44"/>
      <c r="J4227" s="152" t="s">
        <v>1248</v>
      </c>
      <c r="M4227" s="65">
        <v>0.1</v>
      </c>
    </row>
    <row r="4228" spans="3:13" s="59" customFormat="1" ht="22.2" customHeight="1">
      <c r="C4228" s="588">
        <v>2</v>
      </c>
      <c r="D4228" s="56" t="s">
        <v>10</v>
      </c>
      <c r="E4228" s="577" t="s">
        <v>6</v>
      </c>
      <c r="F4228" s="101">
        <v>3.4000000000000002E-2</v>
      </c>
      <c r="G4228" s="63">
        <f>VLOOKUP(D4228,upahbahan,3,FALSE)</f>
        <v>135000</v>
      </c>
      <c r="H4228" s="63">
        <f>F4228*G4228</f>
        <v>4590</v>
      </c>
      <c r="I4228" s="44"/>
      <c r="J4228" s="152"/>
      <c r="M4228" s="65"/>
    </row>
    <row r="4229" spans="3:13" s="59" customFormat="1" ht="22.2" customHeight="1">
      <c r="C4229" s="588">
        <v>4</v>
      </c>
      <c r="D4229" s="56" t="s">
        <v>19</v>
      </c>
      <c r="E4229" s="577" t="s">
        <v>6</v>
      </c>
      <c r="F4229" s="101">
        <v>7.0000000000000001E-3</v>
      </c>
      <c r="G4229" s="63">
        <f>VLOOKUP(D4229,upahbahan,3,FALSE)</f>
        <v>160000</v>
      </c>
      <c r="H4229" s="63">
        <f t="shared" ref="H4229" si="517">F4229*G4229</f>
        <v>1120</v>
      </c>
      <c r="I4229" s="44"/>
    </row>
    <row r="4230" spans="3:13" s="59" customFormat="1" ht="22.2" customHeight="1">
      <c r="C4230" s="450" t="s">
        <v>1208</v>
      </c>
      <c r="D4230" s="67"/>
      <c r="E4230" s="67"/>
      <c r="F4230" s="142"/>
      <c r="G4230" s="153"/>
      <c r="H4230" s="63">
        <f>SUM(H4227:H4229)</f>
        <v>12510</v>
      </c>
      <c r="I4230" s="154"/>
    </row>
    <row r="4231" spans="3:13" s="59" customFormat="1" ht="22.2" customHeight="1">
      <c r="C4231" s="61" t="s">
        <v>1209</v>
      </c>
      <c r="D4231" s="56" t="s">
        <v>1210</v>
      </c>
      <c r="E4231" s="57"/>
      <c r="F4231" s="57"/>
      <c r="G4231" s="57"/>
      <c r="H4231" s="57"/>
      <c r="I4231" s="44"/>
    </row>
    <row r="4232" spans="3:13" s="59" customFormat="1" ht="22.2" customHeight="1">
      <c r="C4232" s="800">
        <v>1</v>
      </c>
      <c r="D4232" s="56" t="s">
        <v>8763</v>
      </c>
      <c r="E4232" s="93" t="s">
        <v>2167</v>
      </c>
      <c r="F4232" s="104">
        <v>1</v>
      </c>
      <c r="G4232" s="63">
        <f>VLOOKUP(D4232,upahbahan,3,FALSE)</f>
        <v>62000</v>
      </c>
      <c r="H4232" s="63">
        <f t="shared" ref="H4232" si="518">F4232*G4232</f>
        <v>62000</v>
      </c>
      <c r="I4232" s="44"/>
    </row>
    <row r="4233" spans="3:13" s="59" customFormat="1" ht="22.2" customHeight="1">
      <c r="C4233" s="450" t="s">
        <v>1214</v>
      </c>
      <c r="D4233" s="67"/>
      <c r="E4233" s="67"/>
      <c r="F4233" s="67"/>
      <c r="G4233" s="69"/>
      <c r="H4233" s="63">
        <f>SUM(H4231:H4232)</f>
        <v>62000</v>
      </c>
      <c r="I4233" s="44"/>
    </row>
    <row r="4234" spans="3:13" s="59" customFormat="1" ht="22.2" customHeight="1">
      <c r="C4234" s="61" t="s">
        <v>1215</v>
      </c>
      <c r="D4234" s="56" t="s">
        <v>1216</v>
      </c>
      <c r="E4234" s="93"/>
      <c r="F4234" s="57"/>
      <c r="G4234" s="57"/>
      <c r="H4234" s="57"/>
      <c r="I4234" s="44"/>
    </row>
    <row r="4235" spans="3:13" s="59" customFormat="1" ht="22.2" customHeight="1">
      <c r="C4235" s="450" t="s">
        <v>1217</v>
      </c>
      <c r="D4235" s="67"/>
      <c r="E4235" s="67"/>
      <c r="F4235" s="67"/>
      <c r="G4235" s="69"/>
      <c r="H4235" s="882">
        <f>SUM(H4234:H4234)</f>
        <v>0</v>
      </c>
      <c r="I4235" s="44"/>
    </row>
    <row r="4236" spans="3:13" s="59" customFormat="1" ht="22.2" customHeight="1">
      <c r="C4236" s="288" t="s">
        <v>1218</v>
      </c>
      <c r="D4236" s="76" t="s">
        <v>1219</v>
      </c>
      <c r="E4236" s="77"/>
      <c r="F4236" s="77"/>
      <c r="G4236" s="78"/>
      <c r="H4236" s="585">
        <f>H4235+H4233+H4230</f>
        <v>74510</v>
      </c>
      <c r="I4236" s="369"/>
    </row>
    <row r="4237" spans="3:13" s="59" customFormat="1" ht="22.2" customHeight="1">
      <c r="C4237" s="288" t="s">
        <v>1220</v>
      </c>
      <c r="D4237" s="76" t="s">
        <v>1321</v>
      </c>
      <c r="E4237" s="77"/>
      <c r="F4237" s="78"/>
      <c r="G4237" s="80">
        <v>0.1</v>
      </c>
      <c r="H4237" s="63">
        <f>H4236*G4237</f>
        <v>7451</v>
      </c>
      <c r="I4237" s="369"/>
    </row>
    <row r="4238" spans="3:13" s="59" customFormat="1" ht="22.2" customHeight="1">
      <c r="C4238" s="288" t="s">
        <v>1221</v>
      </c>
      <c r="D4238" s="76" t="s">
        <v>1222</v>
      </c>
      <c r="E4238" s="77"/>
      <c r="F4238" s="77"/>
      <c r="G4238" s="78"/>
      <c r="H4238" s="799">
        <f>SUM(H4236:H4237)</f>
        <v>81961</v>
      </c>
      <c r="I4238" s="369"/>
    </row>
    <row r="4239" spans="3:13" ht="22.2" customHeight="1"/>
    <row r="4240" spans="3:13" ht="22.2" customHeight="1"/>
    <row r="4241" spans="3:13" ht="22.2" customHeight="1">
      <c r="C4241" s="43" t="s">
        <v>5152</v>
      </c>
      <c r="D4241" s="128" t="s">
        <v>8764</v>
      </c>
      <c r="I4241" s="50">
        <f>ROUNDDOWN(H4255,-2)</f>
        <v>77800</v>
      </c>
      <c r="J4241" s="122" t="s">
        <v>6451</v>
      </c>
      <c r="K4241" s="122" t="s">
        <v>8676</v>
      </c>
    </row>
    <row r="4242" spans="3:13" s="59" customFormat="1" ht="22.2" customHeight="1">
      <c r="C4242" s="591" t="s">
        <v>1195</v>
      </c>
      <c r="D4242" s="591" t="s">
        <v>1196</v>
      </c>
      <c r="E4242" s="591" t="s">
        <v>1197</v>
      </c>
      <c r="F4242" s="591" t="s">
        <v>1198</v>
      </c>
      <c r="G4242" s="591" t="s">
        <v>1199</v>
      </c>
      <c r="H4242" s="591" t="s">
        <v>1200</v>
      </c>
      <c r="I4242" s="44"/>
    </row>
    <row r="4243" spans="3:13" s="59" customFormat="1" ht="22.2" customHeight="1">
      <c r="C4243" s="61" t="s">
        <v>1201</v>
      </c>
      <c r="D4243" s="56" t="s">
        <v>1202</v>
      </c>
      <c r="E4243" s="57"/>
      <c r="F4243" s="57"/>
      <c r="G4243" s="57"/>
      <c r="H4243" s="57"/>
      <c r="I4243" s="44"/>
      <c r="J4243" s="152" t="s">
        <v>1247</v>
      </c>
    </row>
    <row r="4244" spans="3:13" s="59" customFormat="1" ht="22.2" customHeight="1">
      <c r="C4244" s="588">
        <v>1</v>
      </c>
      <c r="D4244" s="56" t="s">
        <v>5</v>
      </c>
      <c r="E4244" s="577" t="s">
        <v>6</v>
      </c>
      <c r="F4244" s="101">
        <v>8.5000000000000006E-2</v>
      </c>
      <c r="G4244" s="63">
        <f>VLOOKUP(D4244,upahbahan,3,FALSE)</f>
        <v>100000</v>
      </c>
      <c r="H4244" s="63">
        <f>F4244*G4244</f>
        <v>8500</v>
      </c>
      <c r="I4244" s="44"/>
      <c r="J4244" s="152" t="s">
        <v>1248</v>
      </c>
      <c r="M4244" s="65">
        <v>0.1</v>
      </c>
    </row>
    <row r="4245" spans="3:13" s="59" customFormat="1" ht="22.2" customHeight="1">
      <c r="C4245" s="588">
        <v>2</v>
      </c>
      <c r="D4245" s="56" t="s">
        <v>10</v>
      </c>
      <c r="E4245" s="577" t="s">
        <v>6</v>
      </c>
      <c r="F4245" s="101">
        <v>4.2999999999999997E-2</v>
      </c>
      <c r="G4245" s="63">
        <f>VLOOKUP(D4245,upahbahan,3,FALSE)</f>
        <v>135000</v>
      </c>
      <c r="H4245" s="63">
        <f>F4245*G4245</f>
        <v>5804.9999999999991</v>
      </c>
      <c r="I4245" s="44"/>
      <c r="J4245" s="152"/>
      <c r="M4245" s="65"/>
    </row>
    <row r="4246" spans="3:13" s="59" customFormat="1" ht="22.2" customHeight="1">
      <c r="C4246" s="588">
        <v>4</v>
      </c>
      <c r="D4246" s="56" t="s">
        <v>19</v>
      </c>
      <c r="E4246" s="577" t="s">
        <v>6</v>
      </c>
      <c r="F4246" s="101">
        <v>8.9999999999999993E-3</v>
      </c>
      <c r="G4246" s="63">
        <f>VLOOKUP(D4246,upahbahan,3,FALSE)</f>
        <v>160000</v>
      </c>
      <c r="H4246" s="63">
        <f t="shared" ref="H4246" si="519">F4246*G4246</f>
        <v>1440</v>
      </c>
      <c r="I4246" s="44"/>
    </row>
    <row r="4247" spans="3:13" s="59" customFormat="1" ht="22.2" customHeight="1">
      <c r="C4247" s="450" t="s">
        <v>1208</v>
      </c>
      <c r="D4247" s="67"/>
      <c r="E4247" s="67"/>
      <c r="F4247" s="142"/>
      <c r="G4247" s="153"/>
      <c r="H4247" s="63">
        <f>SUM(H4244:H4246)</f>
        <v>15745</v>
      </c>
      <c r="I4247" s="154"/>
    </row>
    <row r="4248" spans="3:13" s="59" customFormat="1" ht="22.2" customHeight="1">
      <c r="C4248" s="61" t="s">
        <v>1209</v>
      </c>
      <c r="D4248" s="56" t="s">
        <v>1210</v>
      </c>
      <c r="E4248" s="57"/>
      <c r="F4248" s="57"/>
      <c r="G4248" s="57"/>
      <c r="H4248" s="57"/>
      <c r="I4248" s="44"/>
    </row>
    <row r="4249" spans="3:13" s="59" customFormat="1" ht="22.2" customHeight="1">
      <c r="C4249" s="800">
        <v>1</v>
      </c>
      <c r="D4249" s="56" t="s">
        <v>8765</v>
      </c>
      <c r="E4249" s="93" t="s">
        <v>2167</v>
      </c>
      <c r="F4249" s="104">
        <v>1</v>
      </c>
      <c r="G4249" s="63">
        <f>VLOOKUP(D4249,upahbahan,3,FALSE)</f>
        <v>55000</v>
      </c>
      <c r="H4249" s="63">
        <f t="shared" ref="H4249" si="520">F4249*G4249</f>
        <v>55000</v>
      </c>
      <c r="I4249" s="44"/>
    </row>
    <row r="4250" spans="3:13" s="59" customFormat="1" ht="22.2" customHeight="1">
      <c r="C4250" s="450" t="s">
        <v>1214</v>
      </c>
      <c r="D4250" s="67"/>
      <c r="E4250" s="67"/>
      <c r="F4250" s="67"/>
      <c r="G4250" s="69"/>
      <c r="H4250" s="63">
        <f>SUM(H4248:H4249)</f>
        <v>55000</v>
      </c>
      <c r="I4250" s="44"/>
    </row>
    <row r="4251" spans="3:13" s="59" customFormat="1" ht="22.2" customHeight="1">
      <c r="C4251" s="61" t="s">
        <v>1215</v>
      </c>
      <c r="D4251" s="56" t="s">
        <v>1216</v>
      </c>
      <c r="E4251" s="93"/>
      <c r="F4251" s="57"/>
      <c r="G4251" s="57"/>
      <c r="H4251" s="57"/>
      <c r="I4251" s="44"/>
    </row>
    <row r="4252" spans="3:13" s="59" customFormat="1" ht="22.2" customHeight="1">
      <c r="C4252" s="450" t="s">
        <v>1217</v>
      </c>
      <c r="D4252" s="67"/>
      <c r="E4252" s="67"/>
      <c r="F4252" s="67"/>
      <c r="G4252" s="69"/>
      <c r="H4252" s="882">
        <f>SUM(H4251:H4251)</f>
        <v>0</v>
      </c>
      <c r="I4252" s="44"/>
    </row>
    <row r="4253" spans="3:13" s="59" customFormat="1" ht="22.2" customHeight="1">
      <c r="C4253" s="288" t="s">
        <v>1218</v>
      </c>
      <c r="D4253" s="76" t="s">
        <v>1219</v>
      </c>
      <c r="E4253" s="77"/>
      <c r="F4253" s="77"/>
      <c r="G4253" s="78"/>
      <c r="H4253" s="585">
        <f>H4252+H4250+H4247</f>
        <v>70745</v>
      </c>
      <c r="I4253" s="369"/>
    </row>
    <row r="4254" spans="3:13" s="59" customFormat="1" ht="22.2" customHeight="1">
      <c r="C4254" s="288" t="s">
        <v>1220</v>
      </c>
      <c r="D4254" s="76" t="s">
        <v>1321</v>
      </c>
      <c r="E4254" s="77"/>
      <c r="F4254" s="78"/>
      <c r="G4254" s="80">
        <v>0.1</v>
      </c>
      <c r="H4254" s="63">
        <f>H4253*G4254</f>
        <v>7074.5</v>
      </c>
      <c r="I4254" s="369"/>
    </row>
    <row r="4255" spans="3:13" s="59" customFormat="1" ht="22.2" customHeight="1">
      <c r="C4255" s="288" t="s">
        <v>1221</v>
      </c>
      <c r="D4255" s="76" t="s">
        <v>1222</v>
      </c>
      <c r="E4255" s="77"/>
      <c r="F4255" s="77"/>
      <c r="G4255" s="78"/>
      <c r="H4255" s="799">
        <f>SUM(H4253:H4254)</f>
        <v>77819.5</v>
      </c>
      <c r="I4255" s="369"/>
    </row>
    <row r="4256" spans="3:13" ht="22.2" customHeight="1"/>
    <row r="4257" spans="3:13" ht="22.2" customHeight="1">
      <c r="C4257" s="43" t="s">
        <v>5153</v>
      </c>
      <c r="D4257" s="128" t="s">
        <v>8766</v>
      </c>
      <c r="I4257" s="50">
        <f>ROUNDDOWN(H4271,-2)</f>
        <v>346500</v>
      </c>
      <c r="J4257" s="122" t="s">
        <v>6451</v>
      </c>
      <c r="K4257" s="122" t="s">
        <v>8676</v>
      </c>
    </row>
    <row r="4258" spans="3:13" s="59" customFormat="1" ht="22.2" customHeight="1">
      <c r="C4258" s="591" t="s">
        <v>1195</v>
      </c>
      <c r="D4258" s="591" t="s">
        <v>1196</v>
      </c>
      <c r="E4258" s="591" t="s">
        <v>1197</v>
      </c>
      <c r="F4258" s="591" t="s">
        <v>1198</v>
      </c>
      <c r="G4258" s="591" t="s">
        <v>1199</v>
      </c>
      <c r="H4258" s="591" t="s">
        <v>1200</v>
      </c>
      <c r="I4258" s="44"/>
    </row>
    <row r="4259" spans="3:13" s="59" customFormat="1" ht="22.2" customHeight="1">
      <c r="C4259" s="61" t="s">
        <v>1201</v>
      </c>
      <c r="D4259" s="56" t="s">
        <v>1202</v>
      </c>
      <c r="E4259" s="57"/>
      <c r="F4259" s="57"/>
      <c r="G4259" s="57"/>
      <c r="H4259" s="57"/>
      <c r="I4259" s="44"/>
      <c r="J4259" s="152" t="s">
        <v>1247</v>
      </c>
    </row>
    <row r="4260" spans="3:13" s="59" customFormat="1" ht="22.2" customHeight="1">
      <c r="C4260" s="588">
        <v>1</v>
      </c>
      <c r="D4260" s="56" t="s">
        <v>5</v>
      </c>
      <c r="E4260" s="577" t="s">
        <v>6</v>
      </c>
      <c r="F4260" s="101">
        <v>0.436</v>
      </c>
      <c r="G4260" s="63">
        <f>VLOOKUP(D4260,upahbahan,3,FALSE)</f>
        <v>100000</v>
      </c>
      <c r="H4260" s="63">
        <f>F4260*G4260</f>
        <v>43600</v>
      </c>
      <c r="I4260" s="44"/>
      <c r="J4260" s="152" t="s">
        <v>1248</v>
      </c>
      <c r="M4260" s="65">
        <v>0.1</v>
      </c>
    </row>
    <row r="4261" spans="3:13" s="59" customFormat="1" ht="22.2" customHeight="1">
      <c r="C4261" s="588">
        <v>2</v>
      </c>
      <c r="D4261" s="56" t="s">
        <v>10</v>
      </c>
      <c r="E4261" s="577" t="s">
        <v>6</v>
      </c>
      <c r="F4261" s="101">
        <v>0.218</v>
      </c>
      <c r="G4261" s="63">
        <f>VLOOKUP(D4261,upahbahan,3,FALSE)</f>
        <v>135000</v>
      </c>
      <c r="H4261" s="63">
        <f>F4261*G4261</f>
        <v>29430</v>
      </c>
      <c r="I4261" s="44"/>
      <c r="J4261" s="152"/>
      <c r="M4261" s="65"/>
    </row>
    <row r="4262" spans="3:13" s="59" customFormat="1" ht="22.2" customHeight="1">
      <c r="C4262" s="588">
        <v>4</v>
      </c>
      <c r="D4262" s="56" t="s">
        <v>19</v>
      </c>
      <c r="E4262" s="577" t="s">
        <v>6</v>
      </c>
      <c r="F4262" s="101">
        <v>4.3999999999999997E-2</v>
      </c>
      <c r="G4262" s="63">
        <f>VLOOKUP(D4262,upahbahan,3,FALSE)</f>
        <v>160000</v>
      </c>
      <c r="H4262" s="63">
        <f t="shared" ref="H4262" si="521">F4262*G4262</f>
        <v>7040</v>
      </c>
      <c r="I4262" s="44"/>
    </row>
    <row r="4263" spans="3:13" s="59" customFormat="1" ht="22.2" customHeight="1">
      <c r="C4263" s="450" t="s">
        <v>1208</v>
      </c>
      <c r="D4263" s="67"/>
      <c r="E4263" s="67"/>
      <c r="F4263" s="142"/>
      <c r="G4263" s="153"/>
      <c r="H4263" s="63">
        <f>SUM(H4260:H4262)</f>
        <v>80070</v>
      </c>
      <c r="I4263" s="154"/>
    </row>
    <row r="4264" spans="3:13" s="59" customFormat="1" ht="22.2" customHeight="1">
      <c r="C4264" s="61" t="s">
        <v>1209</v>
      </c>
      <c r="D4264" s="56" t="s">
        <v>1210</v>
      </c>
      <c r="E4264" s="57"/>
      <c r="F4264" s="57"/>
      <c r="G4264" s="57"/>
      <c r="H4264" s="57"/>
      <c r="I4264" s="44"/>
    </row>
    <row r="4265" spans="3:13" s="59" customFormat="1" ht="22.2" customHeight="1">
      <c r="C4265" s="800">
        <v>1</v>
      </c>
      <c r="D4265" s="56" t="s">
        <v>8767</v>
      </c>
      <c r="E4265" s="93" t="s">
        <v>2167</v>
      </c>
      <c r="F4265" s="104">
        <v>1</v>
      </c>
      <c r="G4265" s="63">
        <f>VLOOKUP(D4265,upahbahan,3,FALSE)</f>
        <v>235000</v>
      </c>
      <c r="H4265" s="63">
        <f t="shared" ref="H4265" si="522">F4265*G4265</f>
        <v>235000</v>
      </c>
      <c r="I4265" s="44"/>
    </row>
    <row r="4266" spans="3:13" s="59" customFormat="1" ht="22.2" customHeight="1">
      <c r="C4266" s="450" t="s">
        <v>1214</v>
      </c>
      <c r="D4266" s="67"/>
      <c r="E4266" s="67"/>
      <c r="F4266" s="67"/>
      <c r="G4266" s="69"/>
      <c r="H4266" s="63">
        <f>SUM(H4264:H4265)</f>
        <v>235000</v>
      </c>
      <c r="I4266" s="44"/>
    </row>
    <row r="4267" spans="3:13" s="59" customFormat="1" ht="22.2" customHeight="1">
      <c r="C4267" s="61" t="s">
        <v>1215</v>
      </c>
      <c r="D4267" s="56" t="s">
        <v>1216</v>
      </c>
      <c r="E4267" s="93"/>
      <c r="F4267" s="57"/>
      <c r="G4267" s="57"/>
      <c r="H4267" s="57"/>
      <c r="I4267" s="44"/>
    </row>
    <row r="4268" spans="3:13" s="59" customFormat="1" ht="22.2" customHeight="1">
      <c r="C4268" s="450" t="s">
        <v>1217</v>
      </c>
      <c r="D4268" s="67"/>
      <c r="E4268" s="67"/>
      <c r="F4268" s="67"/>
      <c r="G4268" s="69"/>
      <c r="H4268" s="882">
        <f>SUM(H4267:H4267)</f>
        <v>0</v>
      </c>
      <c r="I4268" s="44"/>
    </row>
    <row r="4269" spans="3:13" s="59" customFormat="1" ht="22.2" customHeight="1">
      <c r="C4269" s="288" t="s">
        <v>1218</v>
      </c>
      <c r="D4269" s="76" t="s">
        <v>1219</v>
      </c>
      <c r="E4269" s="77"/>
      <c r="F4269" s="77"/>
      <c r="G4269" s="78"/>
      <c r="H4269" s="585">
        <f>H4268+H4266+H4263</f>
        <v>315070</v>
      </c>
      <c r="I4269" s="369"/>
    </row>
    <row r="4270" spans="3:13" s="59" customFormat="1" ht="22.2" customHeight="1">
      <c r="C4270" s="288" t="s">
        <v>1220</v>
      </c>
      <c r="D4270" s="76" t="s">
        <v>1321</v>
      </c>
      <c r="E4270" s="77"/>
      <c r="F4270" s="78"/>
      <c r="G4270" s="80">
        <v>0.1</v>
      </c>
      <c r="H4270" s="63">
        <f>H4269*G4270</f>
        <v>31507</v>
      </c>
      <c r="I4270" s="369"/>
    </row>
    <row r="4271" spans="3:13" s="59" customFormat="1" ht="22.2" customHeight="1">
      <c r="C4271" s="288" t="s">
        <v>1221</v>
      </c>
      <c r="D4271" s="76" t="s">
        <v>1222</v>
      </c>
      <c r="E4271" s="77"/>
      <c r="F4271" s="77"/>
      <c r="G4271" s="78"/>
      <c r="H4271" s="799">
        <f>SUM(H4269:H4270)</f>
        <v>346577</v>
      </c>
      <c r="I4271" s="369"/>
    </row>
    <row r="4272" spans="3:13" ht="22.2" customHeight="1"/>
    <row r="4273" spans="3:13" ht="22.2" customHeight="1"/>
    <row r="4274" spans="3:13" ht="22.2" customHeight="1">
      <c r="C4274" s="43" t="s">
        <v>5154</v>
      </c>
      <c r="D4274" s="128" t="s">
        <v>8768</v>
      </c>
      <c r="I4274" s="50">
        <f>ROUNDDOWN(H4288,-2)</f>
        <v>412900</v>
      </c>
      <c r="J4274" s="122" t="s">
        <v>6451</v>
      </c>
      <c r="K4274" s="122" t="s">
        <v>8676</v>
      </c>
    </row>
    <row r="4275" spans="3:13" s="59" customFormat="1" ht="22.2" customHeight="1">
      <c r="C4275" s="591" t="s">
        <v>1195</v>
      </c>
      <c r="D4275" s="591" t="s">
        <v>1196</v>
      </c>
      <c r="E4275" s="591" t="s">
        <v>1197</v>
      </c>
      <c r="F4275" s="591" t="s">
        <v>1198</v>
      </c>
      <c r="G4275" s="591" t="s">
        <v>1199</v>
      </c>
      <c r="H4275" s="591" t="s">
        <v>1200</v>
      </c>
      <c r="I4275" s="44"/>
    </row>
    <row r="4276" spans="3:13" s="59" customFormat="1" ht="22.2" customHeight="1">
      <c r="C4276" s="61" t="s">
        <v>1201</v>
      </c>
      <c r="D4276" s="56" t="s">
        <v>1202</v>
      </c>
      <c r="E4276" s="57"/>
      <c r="F4276" s="57"/>
      <c r="G4276" s="57"/>
      <c r="H4276" s="57"/>
      <c r="I4276" s="44"/>
      <c r="J4276" s="152" t="s">
        <v>1247</v>
      </c>
    </row>
    <row r="4277" spans="3:13" s="59" customFormat="1" ht="22.2" customHeight="1">
      <c r="C4277" s="588">
        <v>1</v>
      </c>
      <c r="D4277" s="56" t="s">
        <v>5</v>
      </c>
      <c r="E4277" s="577" t="s">
        <v>6</v>
      </c>
      <c r="F4277" s="101">
        <v>0.65600000000000003</v>
      </c>
      <c r="G4277" s="63">
        <f>VLOOKUP(D4277,upahbahan,3,FALSE)</f>
        <v>100000</v>
      </c>
      <c r="H4277" s="63">
        <f>F4277*G4277</f>
        <v>65600</v>
      </c>
      <c r="I4277" s="44"/>
      <c r="J4277" s="152" t="s">
        <v>1248</v>
      </c>
      <c r="M4277" s="65">
        <v>0.1</v>
      </c>
    </row>
    <row r="4278" spans="3:13" s="59" customFormat="1" ht="22.2" customHeight="1">
      <c r="C4278" s="588">
        <v>2</v>
      </c>
      <c r="D4278" s="56" t="s">
        <v>10</v>
      </c>
      <c r="E4278" s="577" t="s">
        <v>6</v>
      </c>
      <c r="F4278" s="101">
        <v>0.32800000000000001</v>
      </c>
      <c r="G4278" s="63">
        <f>VLOOKUP(D4278,upahbahan,3,FALSE)</f>
        <v>135000</v>
      </c>
      <c r="H4278" s="63">
        <f>F4278*G4278</f>
        <v>44280</v>
      </c>
      <c r="I4278" s="44"/>
      <c r="J4278" s="152"/>
      <c r="M4278" s="65"/>
    </row>
    <row r="4279" spans="3:13" s="59" customFormat="1" ht="22.2" customHeight="1">
      <c r="C4279" s="588">
        <v>4</v>
      </c>
      <c r="D4279" s="56" t="s">
        <v>19</v>
      </c>
      <c r="E4279" s="577" t="s">
        <v>6</v>
      </c>
      <c r="F4279" s="101">
        <v>6.6000000000000003E-2</v>
      </c>
      <c r="G4279" s="63">
        <f>VLOOKUP(D4279,upahbahan,3,FALSE)</f>
        <v>160000</v>
      </c>
      <c r="H4279" s="63">
        <f t="shared" ref="H4279" si="523">F4279*G4279</f>
        <v>10560</v>
      </c>
      <c r="I4279" s="44"/>
    </row>
    <row r="4280" spans="3:13" s="59" customFormat="1" ht="22.2" customHeight="1">
      <c r="C4280" s="450" t="s">
        <v>1208</v>
      </c>
      <c r="D4280" s="67"/>
      <c r="E4280" s="67"/>
      <c r="F4280" s="142"/>
      <c r="G4280" s="153"/>
      <c r="H4280" s="63">
        <f>SUM(H4277:H4279)</f>
        <v>120440</v>
      </c>
      <c r="I4280" s="154"/>
    </row>
    <row r="4281" spans="3:13" s="59" customFormat="1" ht="22.2" customHeight="1">
      <c r="C4281" s="61" t="s">
        <v>1209</v>
      </c>
      <c r="D4281" s="56" t="s">
        <v>1210</v>
      </c>
      <c r="E4281" s="57"/>
      <c r="F4281" s="57"/>
      <c r="G4281" s="57"/>
      <c r="H4281" s="57"/>
      <c r="I4281" s="44"/>
    </row>
    <row r="4282" spans="3:13" s="59" customFormat="1" ht="22.2" customHeight="1">
      <c r="C4282" s="800">
        <v>1</v>
      </c>
      <c r="D4282" s="56" t="s">
        <v>8769</v>
      </c>
      <c r="E4282" s="93" t="s">
        <v>2167</v>
      </c>
      <c r="F4282" s="104">
        <v>1</v>
      </c>
      <c r="G4282" s="63">
        <f>VLOOKUP(D4282,upahbahan,3,FALSE)</f>
        <v>255000</v>
      </c>
      <c r="H4282" s="63">
        <f t="shared" ref="H4282" si="524">F4282*G4282</f>
        <v>255000</v>
      </c>
      <c r="I4282" s="44"/>
    </row>
    <row r="4283" spans="3:13" s="59" customFormat="1" ht="22.2" customHeight="1">
      <c r="C4283" s="450" t="s">
        <v>1214</v>
      </c>
      <c r="D4283" s="67"/>
      <c r="E4283" s="67"/>
      <c r="F4283" s="67"/>
      <c r="G4283" s="69"/>
      <c r="H4283" s="63">
        <f>SUM(H4281:H4282)</f>
        <v>255000</v>
      </c>
      <c r="I4283" s="44"/>
    </row>
    <row r="4284" spans="3:13" s="59" customFormat="1" ht="22.2" customHeight="1">
      <c r="C4284" s="61" t="s">
        <v>1215</v>
      </c>
      <c r="D4284" s="56" t="s">
        <v>1216</v>
      </c>
      <c r="E4284" s="93"/>
      <c r="F4284" s="57"/>
      <c r="G4284" s="57"/>
      <c r="H4284" s="57"/>
      <c r="I4284" s="44"/>
    </row>
    <row r="4285" spans="3:13" s="59" customFormat="1" ht="22.2" customHeight="1">
      <c r="C4285" s="450" t="s">
        <v>1217</v>
      </c>
      <c r="D4285" s="67"/>
      <c r="E4285" s="67"/>
      <c r="F4285" s="67"/>
      <c r="G4285" s="69"/>
      <c r="H4285" s="882">
        <f>SUM(H4284:H4284)</f>
        <v>0</v>
      </c>
      <c r="I4285" s="44"/>
    </row>
    <row r="4286" spans="3:13" s="59" customFormat="1" ht="22.2" customHeight="1">
      <c r="C4286" s="288" t="s">
        <v>1218</v>
      </c>
      <c r="D4286" s="76" t="s">
        <v>1219</v>
      </c>
      <c r="E4286" s="77"/>
      <c r="F4286" s="77"/>
      <c r="G4286" s="78"/>
      <c r="H4286" s="585">
        <f>H4285+H4283+H4280</f>
        <v>375440</v>
      </c>
      <c r="I4286" s="369"/>
    </row>
    <row r="4287" spans="3:13" s="59" customFormat="1" ht="22.2" customHeight="1">
      <c r="C4287" s="288" t="s">
        <v>1220</v>
      </c>
      <c r="D4287" s="76" t="s">
        <v>1321</v>
      </c>
      <c r="E4287" s="77"/>
      <c r="F4287" s="78"/>
      <c r="G4287" s="80">
        <v>0.1</v>
      </c>
      <c r="H4287" s="63">
        <f>H4286*G4287</f>
        <v>37544</v>
      </c>
      <c r="I4287" s="369"/>
    </row>
    <row r="4288" spans="3:13" s="59" customFormat="1" ht="22.2" customHeight="1">
      <c r="C4288" s="288" t="s">
        <v>1221</v>
      </c>
      <c r="D4288" s="76" t="s">
        <v>1222</v>
      </c>
      <c r="E4288" s="77"/>
      <c r="F4288" s="77"/>
      <c r="G4288" s="78"/>
      <c r="H4288" s="799">
        <f>SUM(H4286:H4287)</f>
        <v>412984</v>
      </c>
      <c r="I4288" s="369"/>
    </row>
    <row r="4289" s="122" customFormat="1" ht="22.2" customHeight="1"/>
  </sheetData>
  <dataValidations count="1">
    <dataValidation type="list" allowBlank="1" showInputMessage="1" showErrorMessage="1" sqref="D8:D10 D24:D26 D40:D42 D56:D58 D72:D74 D88:D90 D105:D107 D122:D124 D139:D141 D157:D159 D174:D176 D191:D193 D208:D210 D225:D227 D243:D245 D260:D262 D277:D279 D293:D295 D309:D311 D325:D327 D341:D343 D357:D359 D374:D376 D390:D392 D406:D408 D423:D425 D440:D442 D457:D459 D473:D475 D489:D491 D505:D507 D521:D523 D537:D539 D553:D555 D569:D571 D585:D587 D601:D603 D617:D619 D635:D637 D652:D654 D669:D671 D686:D688 D703:D705 D721:D723 D738:D740 D756:D758 D773:D775 D790:D792 D807:D809 D824:D826 D841:D843 D859:D861 D876:D878 D893:D895 D910:D912 D927:D929 D943:D945 D959:D961 D975:D977 D991:D993 D1008:D1010 D1024:D1026 D1040:D1042 D1056:D1058 D1072:D1074 D1088:D1090 D1104:D1106 D1120:D1122 D1136:D1138 D1152:D1154 D1168:D1170 D1184:D1186 D1200:D1202 D1216:D1218 D1233:D1235 D1249:D1251 D1267:D1269 D1284:D1286 D1301:D1303 D1319:D1321 D1336:D1338 D1353:D1355 D1371:D1373 D1388:D1390 D1405:D1407 D1422:D1424 D1439:D1441 D1456:D1458 D1473:D1475 D1490:D1492 D1507:D1509 D1524:D1526 D1541:D1543 D1557:D1559 D1574:D1576 D1590:D1592 D1606:D1608 D1622:D1624 D1639:D1641 D1655:D1657 D1671:D1673 D1687:D1689 D1703:D1705 D1719:D1721 D1735:D1737 D1751:D1753 D1767:D1769 D1783:D1785 D1799:D1801 D1815:D1817 D1831:D1833 D1848:D1850 D1864:D1866 D1880:D1882 D1898:D1900 D1915:D1917 D1932:D1934 D1949:D1951 D1966:D1968 D1983:D1985 D2000:D2002 D2018:D2020 D2036:D2038 D2054:D2056 D2072:D2074 D2090:D2092 D2108:D2110 D2126:D2128 D2144:D2146 D2164:D2166 D2180:D2182 D2196:D2198 D2212:D2214 D2228:D2230 D2244:D2246 D2260:D2262 D2276:D2278 D2292:D2294 D2308:D2310 D2324:D2326 D2341:D2343 D2357:D2359 D2373:D2375 D2389:D2391 D2407:D2409 D2424:D2426 D2442:D2444 D2459:D2461 D2476:D2478 D2493:D2495 D2510:D2512 D2527:D2529 D2545:D2547 D2563:D2565 D2581:D2583 D2599:D2601 D2617:D2619 D2635:D2637 D2653:D2655 D2671:D2673 D2690:D2692 D2707:D2709 D2723:D2725 D2739:D2741 D2755:D2757 D2771:D2773 D2787:D2789 D2803:D2805 D2819:D2821 D2835:D2837 D2851:D2853 D2867:D2869 D2883:D2885 D2899:D2901 D2915:D2917 D2931:D2933 D2949:D2952 D2969:D2972 D2989:D2992 D3009:D3012 D3029:D3032 D3049:D3052 D3069:D3072 D3089:D3092 D3109:D3112 D3131:D3133 D3150:D3152 D3169:D3171 D3188:D3190 D3207:D3209 D3226:D3228 D3245:D3247 D3264:D3266 D3283:D3285 D3302:D3304 D3321:D3323 D3341:D3343 D3360:D3362 D3376:D3378 D3392:D3394 D3408:D3410 D3424:D3426 D3441:D3443 D3457:D3459 D3475:D3477 D3493:D3495 D3511:D3513 D3528:D3530 D3545:D3547 D3562:D3564 D3579:D3581 D3596:D3598 D3614:D3616 D3632:D3634 D3650:D3652 D3668:D3670 D3686:D3688 D3705:D3707 D3723:D3725 D3739:D3741 D3755:D3757 D3771:D3773 D3787:D3789 D3803:D3805 D3819:D3821 D3836:D3838 D3852:D3854 D3868:D3870 D3886:D3888 D3903:D3905 D3920:D3922 D3937:D3939 D3954:D3956 D3971:D3973 D3990:D3992 D4008:D4010 D4026:D4028 D4044:D4046 D4062:D4064 D4080:D4082 D4098:D4100 D4114:D4116 D4130:D4132 D4146:D4148 D4163:D4165 D4179:D4181 D4195:D4197 D4211:D4213 D4227:D4229 D4244:D4246 D4260:D4262 D4277:D4279" xr:uid="{00000000-0002-0000-2700-000000000000}">
      <formula1>TENAGA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2:M245"/>
  <sheetViews>
    <sheetView topLeftCell="A13" zoomScale="80" zoomScaleNormal="80" workbookViewId="0">
      <selection activeCell="D1168" sqref="D1168"/>
    </sheetView>
  </sheetViews>
  <sheetFormatPr defaultRowHeight="13.2"/>
  <cols>
    <col min="1" max="1" width="3.33203125" style="122" customWidth="1"/>
    <col min="2" max="2" width="2.33203125" style="122" customWidth="1"/>
    <col min="3" max="3" width="8.88671875" style="122"/>
    <col min="4" max="4" width="33.109375" style="122" customWidth="1"/>
    <col min="5" max="5" width="13.6640625" style="122" customWidth="1"/>
    <col min="6" max="6" width="11.44140625" style="122" customWidth="1"/>
    <col min="7" max="7" width="21.21875" style="122" customWidth="1"/>
    <col min="8" max="8" width="21.5546875" style="122" customWidth="1"/>
    <col min="9" max="9" width="16.6640625" style="122" bestFit="1" customWidth="1"/>
    <col min="10" max="16384" width="8.88671875" style="122"/>
  </cols>
  <sheetData>
    <row r="2" spans="3:13" ht="21" customHeight="1">
      <c r="C2" s="46">
        <v>10</v>
      </c>
      <c r="D2" s="47" t="s">
        <v>5155</v>
      </c>
    </row>
    <row r="3" spans="3:13" ht="19.8" customHeight="1">
      <c r="C3" s="46" t="s">
        <v>5536</v>
      </c>
      <c r="D3" s="47" t="s">
        <v>5156</v>
      </c>
    </row>
    <row r="4" spans="3:13" ht="22.8" customHeight="1">
      <c r="C4" s="126" t="s">
        <v>5157</v>
      </c>
      <c r="D4" s="138" t="s">
        <v>5158</v>
      </c>
      <c r="I4" s="120">
        <f>ROUNDDOWN(H21,-2)</f>
        <v>609000</v>
      </c>
      <c r="J4" s="146" t="s">
        <v>6451</v>
      </c>
      <c r="K4" s="146" t="s">
        <v>8770</v>
      </c>
    </row>
    <row r="5" spans="3:13" s="59" customFormat="1" ht="24.6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119"/>
    </row>
    <row r="6" spans="3:13" s="59" customFormat="1" ht="24.6" customHeight="1">
      <c r="C6" s="176" t="s">
        <v>1201</v>
      </c>
      <c r="D6" s="182" t="s">
        <v>1202</v>
      </c>
      <c r="E6" s="70"/>
      <c r="F6" s="70"/>
      <c r="G6" s="70"/>
      <c r="H6" s="70"/>
      <c r="I6" s="119"/>
      <c r="J6" s="374" t="s">
        <v>1247</v>
      </c>
    </row>
    <row r="7" spans="3:13" s="59" customFormat="1" ht="24.6" customHeight="1">
      <c r="C7" s="869">
        <v>1</v>
      </c>
      <c r="D7" s="182" t="s">
        <v>5</v>
      </c>
      <c r="E7" s="182" t="s">
        <v>6</v>
      </c>
      <c r="F7" s="315">
        <v>3.0958999999999999</v>
      </c>
      <c r="G7" s="283">
        <f>VLOOKUP(D7,upahbahan,3,FALSE)</f>
        <v>100000</v>
      </c>
      <c r="H7" s="283">
        <f>F7*G7</f>
        <v>309590</v>
      </c>
      <c r="I7" s="119"/>
      <c r="J7" s="374" t="s">
        <v>1248</v>
      </c>
      <c r="M7" s="65">
        <v>0.1</v>
      </c>
    </row>
    <row r="8" spans="3:13" s="59" customFormat="1" ht="24.6" customHeight="1">
      <c r="C8" s="869">
        <v>2</v>
      </c>
      <c r="D8" s="182" t="s">
        <v>8771</v>
      </c>
      <c r="E8" s="182" t="s">
        <v>6</v>
      </c>
      <c r="F8" s="315">
        <v>1.5479000000000001</v>
      </c>
      <c r="G8" s="283">
        <f>VLOOKUP(D8,upahbahan,3,FALSE)</f>
        <v>135000</v>
      </c>
      <c r="H8" s="283">
        <f>F8*G8</f>
        <v>208966.5</v>
      </c>
      <c r="I8" s="119"/>
      <c r="J8" s="374"/>
      <c r="M8" s="65"/>
    </row>
    <row r="9" spans="3:13" s="59" customFormat="1" ht="24.6" customHeight="1">
      <c r="C9" s="869">
        <v>3</v>
      </c>
      <c r="D9" s="182" t="s">
        <v>1310</v>
      </c>
      <c r="E9" s="182" t="s">
        <v>2102</v>
      </c>
      <c r="F9" s="315">
        <v>0.15479999999999999</v>
      </c>
      <c r="G9" s="283">
        <f>VLOOKUP(D9,upahbahan,3,FALSE)</f>
        <v>150000</v>
      </c>
      <c r="H9" s="283">
        <f>F9*G9</f>
        <v>23220</v>
      </c>
      <c r="I9" s="119"/>
      <c r="J9" s="374"/>
      <c r="M9" s="65"/>
    </row>
    <row r="10" spans="3:13" s="59" customFormat="1" ht="24.6" customHeight="1">
      <c r="C10" s="869">
        <v>4</v>
      </c>
      <c r="D10" s="182" t="s">
        <v>19</v>
      </c>
      <c r="E10" s="182" t="s">
        <v>6</v>
      </c>
      <c r="F10" s="315">
        <v>5.16E-2</v>
      </c>
      <c r="G10" s="283">
        <f>VLOOKUP(D10,upahbahan,3,FALSE)</f>
        <v>160000</v>
      </c>
      <c r="H10" s="283">
        <f t="shared" ref="H10" si="0">F10*G10</f>
        <v>8256</v>
      </c>
      <c r="I10" s="119"/>
    </row>
    <row r="11" spans="3:13" s="59" customFormat="1" ht="24.6" customHeight="1">
      <c r="C11" s="450" t="s">
        <v>1208</v>
      </c>
      <c r="D11" s="67"/>
      <c r="E11" s="67"/>
      <c r="F11" s="142"/>
      <c r="G11" s="153"/>
      <c r="H11" s="283">
        <f>SUM(H7:H10)</f>
        <v>550032.5</v>
      </c>
      <c r="I11" s="319"/>
    </row>
    <row r="12" spans="3:13" s="59" customFormat="1" ht="24.6" customHeight="1">
      <c r="C12" s="176" t="s">
        <v>1209</v>
      </c>
      <c r="D12" s="182" t="s">
        <v>1210</v>
      </c>
      <c r="E12" s="70"/>
      <c r="F12" s="70"/>
      <c r="G12" s="70"/>
      <c r="H12" s="70"/>
      <c r="I12" s="119"/>
    </row>
    <row r="13" spans="3:13" s="59" customFormat="1" ht="24.6" customHeight="1">
      <c r="C13" s="886">
        <v>1</v>
      </c>
      <c r="D13" s="182" t="s">
        <v>5159</v>
      </c>
      <c r="E13" s="124" t="s">
        <v>65</v>
      </c>
      <c r="F13" s="127">
        <v>51.597999999999999</v>
      </c>
      <c r="G13" s="283">
        <f>VLOOKUP(D13,upahbahan,3,FALSE)</f>
        <v>0</v>
      </c>
      <c r="H13" s="283">
        <f t="shared" ref="H13" si="1">F13*G13</f>
        <v>0</v>
      </c>
      <c r="I13" s="119"/>
    </row>
    <row r="14" spans="3:13" s="59" customFormat="1" ht="24.6" customHeight="1">
      <c r="C14" s="886">
        <v>1</v>
      </c>
      <c r="D14" s="182" t="s">
        <v>254</v>
      </c>
      <c r="E14" s="124" t="s">
        <v>65</v>
      </c>
      <c r="F14" s="127">
        <v>5.2999999999999999E-2</v>
      </c>
      <c r="G14" s="283">
        <f>VLOOKUP(D14,upahbahan,3,FALSE)</f>
        <v>66600</v>
      </c>
      <c r="H14" s="283">
        <f t="shared" ref="H14" si="2">F14*G14</f>
        <v>3529.7999999999997</v>
      </c>
      <c r="I14" s="119"/>
    </row>
    <row r="15" spans="3:13" s="59" customFormat="1" ht="24.6" customHeight="1">
      <c r="C15" s="450" t="s">
        <v>1214</v>
      </c>
      <c r="D15" s="67"/>
      <c r="E15" s="67"/>
      <c r="F15" s="67"/>
      <c r="G15" s="69"/>
      <c r="H15" s="283">
        <f>SUM(H12:H14)</f>
        <v>3529.7999999999997</v>
      </c>
      <c r="I15" s="119"/>
    </row>
    <row r="16" spans="3:13" s="59" customFormat="1" ht="24.6" customHeight="1">
      <c r="C16" s="176" t="s">
        <v>1215</v>
      </c>
      <c r="D16" s="182" t="s">
        <v>1216</v>
      </c>
      <c r="E16" s="124"/>
      <c r="F16" s="70"/>
      <c r="G16" s="70"/>
      <c r="H16" s="70"/>
      <c r="I16" s="119"/>
    </row>
    <row r="17" spans="3:13" s="59" customFormat="1" ht="24.6" customHeight="1">
      <c r="C17" s="886">
        <v>1</v>
      </c>
      <c r="D17" s="182" t="s">
        <v>3125</v>
      </c>
      <c r="E17" s="124" t="s">
        <v>2139</v>
      </c>
      <c r="F17" s="118">
        <v>3.3300000000000003E-2</v>
      </c>
      <c r="G17" s="283">
        <f>VLOOKUP(D17,upahbahan,3,FALSE)</f>
        <v>3125</v>
      </c>
      <c r="H17" s="283">
        <f t="shared" ref="H17" si="3">F17*G17</f>
        <v>104.06250000000001</v>
      </c>
      <c r="I17" s="119"/>
    </row>
    <row r="18" spans="3:13" s="59" customFormat="1" ht="24.6" customHeight="1">
      <c r="C18" s="450" t="s">
        <v>1217</v>
      </c>
      <c r="D18" s="67"/>
      <c r="E18" s="67"/>
      <c r="F18" s="67"/>
      <c r="G18" s="69"/>
      <c r="H18" s="887">
        <f>SUM(H16:H17)</f>
        <v>104.06250000000001</v>
      </c>
      <c r="I18" s="119"/>
    </row>
    <row r="19" spans="3:13" s="59" customFormat="1" ht="24.6" customHeight="1">
      <c r="C19" s="102" t="s">
        <v>1218</v>
      </c>
      <c r="D19" s="294" t="s">
        <v>1219</v>
      </c>
      <c r="E19" s="295"/>
      <c r="F19" s="295"/>
      <c r="G19" s="296"/>
      <c r="H19" s="872">
        <f>H18+H15+H11</f>
        <v>553666.36250000005</v>
      </c>
      <c r="I19" s="873"/>
    </row>
    <row r="20" spans="3:13" s="59" customFormat="1" ht="24.6" customHeight="1">
      <c r="C20" s="102" t="s">
        <v>1220</v>
      </c>
      <c r="D20" s="294" t="s">
        <v>1321</v>
      </c>
      <c r="E20" s="295"/>
      <c r="F20" s="296"/>
      <c r="G20" s="298">
        <v>0.1</v>
      </c>
      <c r="H20" s="283">
        <f>H19*G20</f>
        <v>55366.63625000001</v>
      </c>
      <c r="I20" s="873"/>
    </row>
    <row r="21" spans="3:13" s="59" customFormat="1" ht="24.6" customHeight="1">
      <c r="C21" s="102" t="s">
        <v>1221</v>
      </c>
      <c r="D21" s="294" t="s">
        <v>1222</v>
      </c>
      <c r="E21" s="295"/>
      <c r="F21" s="295"/>
      <c r="G21" s="296"/>
      <c r="H21" s="874">
        <f>SUM(H19:H20)</f>
        <v>609032.99875000003</v>
      </c>
      <c r="I21" s="873"/>
    </row>
    <row r="22" spans="3:13" ht="24.6" customHeight="1"/>
    <row r="23" spans="3:13" ht="24.6" customHeight="1">
      <c r="C23" s="126" t="s">
        <v>5160</v>
      </c>
      <c r="D23" s="138" t="s">
        <v>5161</v>
      </c>
      <c r="I23" s="120">
        <f>ROUNDDOWN(H40,-2)</f>
        <v>552000</v>
      </c>
      <c r="J23" s="146" t="s">
        <v>6451</v>
      </c>
      <c r="K23" s="146" t="s">
        <v>8772</v>
      </c>
    </row>
    <row r="24" spans="3:13" s="59" customFormat="1" ht="24.6" customHeight="1">
      <c r="C24" s="591" t="s">
        <v>1195</v>
      </c>
      <c r="D24" s="591" t="s">
        <v>1196</v>
      </c>
      <c r="E24" s="591" t="s">
        <v>1197</v>
      </c>
      <c r="F24" s="591" t="s">
        <v>1198</v>
      </c>
      <c r="G24" s="591" t="s">
        <v>1199</v>
      </c>
      <c r="H24" s="591" t="s">
        <v>1200</v>
      </c>
      <c r="I24" s="119"/>
    </row>
    <row r="25" spans="3:13" s="59" customFormat="1" ht="24.6" customHeight="1">
      <c r="C25" s="176" t="s">
        <v>1201</v>
      </c>
      <c r="D25" s="182" t="s">
        <v>1202</v>
      </c>
      <c r="E25" s="70"/>
      <c r="F25" s="70"/>
      <c r="G25" s="70"/>
      <c r="H25" s="70"/>
      <c r="I25" s="119"/>
      <c r="J25" s="374" t="s">
        <v>1247</v>
      </c>
    </row>
    <row r="26" spans="3:13" s="59" customFormat="1" ht="24.6" customHeight="1">
      <c r="C26" s="869">
        <v>1</v>
      </c>
      <c r="D26" s="182" t="s">
        <v>5</v>
      </c>
      <c r="E26" s="182" t="s">
        <v>6</v>
      </c>
      <c r="F26" s="315">
        <v>2.7275</v>
      </c>
      <c r="G26" s="283">
        <f>VLOOKUP(D26,upahbahan,3,FALSE)</f>
        <v>100000</v>
      </c>
      <c r="H26" s="283">
        <f>F26*G26</f>
        <v>272750</v>
      </c>
      <c r="I26" s="119"/>
      <c r="J26" s="374" t="s">
        <v>1248</v>
      </c>
      <c r="M26" s="65">
        <v>0.1</v>
      </c>
    </row>
    <row r="27" spans="3:13" s="59" customFormat="1" ht="24.6" customHeight="1">
      <c r="C27" s="869">
        <v>2</v>
      </c>
      <c r="D27" s="182" t="s">
        <v>11</v>
      </c>
      <c r="E27" s="182" t="s">
        <v>6</v>
      </c>
      <c r="F27" s="315">
        <v>1.3636999999999999</v>
      </c>
      <c r="G27" s="283">
        <f>VLOOKUP(D27,upahbahan,3,FALSE)</f>
        <v>145000</v>
      </c>
      <c r="H27" s="283">
        <f>F27*G27</f>
        <v>197736.5</v>
      </c>
      <c r="I27" s="119"/>
      <c r="J27" s="374"/>
      <c r="M27" s="65"/>
    </row>
    <row r="28" spans="3:13" s="59" customFormat="1" ht="24.6" customHeight="1">
      <c r="C28" s="869">
        <v>3</v>
      </c>
      <c r="D28" s="182" t="s">
        <v>1310</v>
      </c>
      <c r="E28" s="182" t="s">
        <v>2102</v>
      </c>
      <c r="F28" s="315">
        <v>0.13639999999999999</v>
      </c>
      <c r="G28" s="283">
        <f>VLOOKUP(D28,upahbahan,3,FALSE)</f>
        <v>150000</v>
      </c>
      <c r="H28" s="283">
        <f>F28*G28</f>
        <v>20460</v>
      </c>
      <c r="I28" s="119"/>
      <c r="J28" s="374"/>
      <c r="M28" s="65"/>
    </row>
    <row r="29" spans="3:13" s="59" customFormat="1" ht="24.6" customHeight="1">
      <c r="C29" s="869">
        <v>4</v>
      </c>
      <c r="D29" s="182" t="s">
        <v>19</v>
      </c>
      <c r="E29" s="182" t="s">
        <v>6</v>
      </c>
      <c r="F29" s="315">
        <v>4.5499999999999999E-2</v>
      </c>
      <c r="G29" s="283">
        <f>VLOOKUP(D29,upahbahan,3,FALSE)</f>
        <v>160000</v>
      </c>
      <c r="H29" s="283">
        <f t="shared" ref="H29" si="4">F29*G29</f>
        <v>7280</v>
      </c>
      <c r="I29" s="119"/>
    </row>
    <row r="30" spans="3:13" s="59" customFormat="1" ht="24.6" customHeight="1">
      <c r="C30" s="450" t="s">
        <v>1208</v>
      </c>
      <c r="D30" s="67"/>
      <c r="E30" s="67"/>
      <c r="F30" s="142"/>
      <c r="G30" s="153"/>
      <c r="H30" s="283">
        <f>SUM(H26:H29)</f>
        <v>498226.5</v>
      </c>
      <c r="I30" s="319"/>
    </row>
    <row r="31" spans="3:13" s="59" customFormat="1" ht="24.6" customHeight="1">
      <c r="C31" s="176" t="s">
        <v>1209</v>
      </c>
      <c r="D31" s="182" t="s">
        <v>1210</v>
      </c>
      <c r="E31" s="70"/>
      <c r="F31" s="70"/>
      <c r="G31" s="70"/>
      <c r="H31" s="70"/>
      <c r="I31" s="119"/>
    </row>
    <row r="32" spans="3:13" s="59" customFormat="1" ht="24.6" customHeight="1">
      <c r="C32" s="886">
        <v>1</v>
      </c>
      <c r="D32" s="182" t="s">
        <v>5159</v>
      </c>
      <c r="E32" s="124" t="s">
        <v>65</v>
      </c>
      <c r="F32" s="127">
        <v>45.457999999999998</v>
      </c>
      <c r="G32" s="283">
        <f>VLOOKUP(D32,upahbahan,3,FALSE)</f>
        <v>0</v>
      </c>
      <c r="H32" s="283">
        <f t="shared" ref="H32:H33" si="5">F32*G32</f>
        <v>0</v>
      </c>
      <c r="I32" s="119"/>
    </row>
    <row r="33" spans="3:13" s="59" customFormat="1" ht="24.6" customHeight="1">
      <c r="C33" s="886">
        <v>1</v>
      </c>
      <c r="D33" s="182" t="s">
        <v>254</v>
      </c>
      <c r="E33" s="124" t="s">
        <v>65</v>
      </c>
      <c r="F33" s="127">
        <v>5.2999999999999999E-2</v>
      </c>
      <c r="G33" s="283">
        <f>VLOOKUP(D33,upahbahan,3,FALSE)</f>
        <v>66600</v>
      </c>
      <c r="H33" s="283">
        <f t="shared" si="5"/>
        <v>3529.7999999999997</v>
      </c>
      <c r="I33" s="119"/>
    </row>
    <row r="34" spans="3:13" s="59" customFormat="1" ht="24.6" customHeight="1">
      <c r="C34" s="450" t="s">
        <v>1214</v>
      </c>
      <c r="D34" s="67"/>
      <c r="E34" s="67"/>
      <c r="F34" s="67"/>
      <c r="G34" s="69"/>
      <c r="H34" s="283">
        <f>SUM(H31:H33)</f>
        <v>3529.7999999999997</v>
      </c>
      <c r="I34" s="119"/>
    </row>
    <row r="35" spans="3:13" s="59" customFormat="1" ht="24.6" customHeight="1">
      <c r="C35" s="176" t="s">
        <v>1215</v>
      </c>
      <c r="D35" s="182" t="s">
        <v>1216</v>
      </c>
      <c r="E35" s="124"/>
      <c r="F35" s="70"/>
      <c r="G35" s="70"/>
      <c r="H35" s="70"/>
      <c r="I35" s="119"/>
    </row>
    <row r="36" spans="3:13" s="59" customFormat="1" ht="24.6" customHeight="1">
      <c r="C36" s="886">
        <v>1</v>
      </c>
      <c r="D36" s="182" t="s">
        <v>3125</v>
      </c>
      <c r="E36" s="124" t="s">
        <v>2139</v>
      </c>
      <c r="F36" s="118">
        <v>3.3300000000000003E-2</v>
      </c>
      <c r="G36" s="283">
        <f>VLOOKUP(D36,upahbahan,3,FALSE)</f>
        <v>3125</v>
      </c>
      <c r="H36" s="283">
        <f t="shared" ref="H36" si="6">F36*G36</f>
        <v>104.06250000000001</v>
      </c>
      <c r="I36" s="119"/>
    </row>
    <row r="37" spans="3:13" s="59" customFormat="1" ht="24.6" customHeight="1">
      <c r="C37" s="450" t="s">
        <v>1217</v>
      </c>
      <c r="D37" s="67"/>
      <c r="E37" s="67"/>
      <c r="F37" s="67"/>
      <c r="G37" s="69"/>
      <c r="H37" s="887">
        <f>SUM(H35:H36)</f>
        <v>104.06250000000001</v>
      </c>
      <c r="I37" s="119"/>
    </row>
    <row r="38" spans="3:13" s="59" customFormat="1" ht="24.6" customHeight="1">
      <c r="C38" s="102" t="s">
        <v>1218</v>
      </c>
      <c r="D38" s="294" t="s">
        <v>1219</v>
      </c>
      <c r="E38" s="295"/>
      <c r="F38" s="295"/>
      <c r="G38" s="296"/>
      <c r="H38" s="872">
        <f>H37+H34+H30</f>
        <v>501860.36249999999</v>
      </c>
      <c r="I38" s="873"/>
    </row>
    <row r="39" spans="3:13" s="59" customFormat="1" ht="24.6" customHeight="1">
      <c r="C39" s="102" t="s">
        <v>1220</v>
      </c>
      <c r="D39" s="294" t="s">
        <v>1321</v>
      </c>
      <c r="E39" s="295"/>
      <c r="F39" s="296"/>
      <c r="G39" s="298">
        <v>0.1</v>
      </c>
      <c r="H39" s="283">
        <f>H38*G39</f>
        <v>50186.036250000005</v>
      </c>
      <c r="I39" s="873"/>
    </row>
    <row r="40" spans="3:13" s="59" customFormat="1" ht="24.6" customHeight="1">
      <c r="C40" s="102" t="s">
        <v>1221</v>
      </c>
      <c r="D40" s="294" t="s">
        <v>1222</v>
      </c>
      <c r="E40" s="295"/>
      <c r="F40" s="295"/>
      <c r="G40" s="296"/>
      <c r="H40" s="874">
        <f>SUM(H38:H39)</f>
        <v>552046.39874999993</v>
      </c>
      <c r="I40" s="873"/>
    </row>
    <row r="41" spans="3:13" ht="24.6" customHeight="1"/>
    <row r="42" spans="3:13" ht="24.6" customHeight="1">
      <c r="C42" s="126" t="s">
        <v>5162</v>
      </c>
      <c r="D42" s="138" t="s">
        <v>5163</v>
      </c>
      <c r="I42" s="120">
        <f>ROUNDDOWN(H59,-2)</f>
        <v>304500</v>
      </c>
      <c r="J42" s="146" t="s">
        <v>6451</v>
      </c>
      <c r="K42" s="146" t="s">
        <v>8773</v>
      </c>
    </row>
    <row r="43" spans="3:13" s="59" customFormat="1" ht="24.6" customHeight="1">
      <c r="C43" s="591" t="s">
        <v>1195</v>
      </c>
      <c r="D43" s="591" t="s">
        <v>1196</v>
      </c>
      <c r="E43" s="591" t="s">
        <v>1197</v>
      </c>
      <c r="F43" s="591" t="s">
        <v>1198</v>
      </c>
      <c r="G43" s="591" t="s">
        <v>1199</v>
      </c>
      <c r="H43" s="591" t="s">
        <v>1200</v>
      </c>
      <c r="I43" s="119"/>
    </row>
    <row r="44" spans="3:13" s="59" customFormat="1" ht="24.6" customHeight="1">
      <c r="C44" s="176" t="s">
        <v>1201</v>
      </c>
      <c r="D44" s="182" t="s">
        <v>1202</v>
      </c>
      <c r="E44" s="70"/>
      <c r="F44" s="70"/>
      <c r="G44" s="70"/>
      <c r="H44" s="70"/>
      <c r="I44" s="119"/>
      <c r="J44" s="374" t="s">
        <v>1247</v>
      </c>
    </row>
    <row r="45" spans="3:13" s="59" customFormat="1" ht="24.6" customHeight="1">
      <c r="C45" s="869">
        <v>1</v>
      </c>
      <c r="D45" s="182" t="s">
        <v>5</v>
      </c>
      <c r="E45" s="182" t="s">
        <v>6</v>
      </c>
      <c r="F45" s="315">
        <v>1.4959</v>
      </c>
      <c r="G45" s="283">
        <f>VLOOKUP(D45,upahbahan,3,FALSE)</f>
        <v>100000</v>
      </c>
      <c r="H45" s="283">
        <f>F45*G45</f>
        <v>149590</v>
      </c>
      <c r="I45" s="119"/>
      <c r="J45" s="374" t="s">
        <v>1248</v>
      </c>
      <c r="M45" s="65">
        <v>0.1</v>
      </c>
    </row>
    <row r="46" spans="3:13" s="59" customFormat="1" ht="24.6" customHeight="1">
      <c r="C46" s="869">
        <v>2</v>
      </c>
      <c r="D46" s="182" t="s">
        <v>11</v>
      </c>
      <c r="E46" s="182" t="s">
        <v>6</v>
      </c>
      <c r="F46" s="315">
        <v>0.74790000000000001</v>
      </c>
      <c r="G46" s="283">
        <f>VLOOKUP(D46,upahbahan,3,FALSE)</f>
        <v>145000</v>
      </c>
      <c r="H46" s="283">
        <f>F46*G46</f>
        <v>108445.5</v>
      </c>
      <c r="I46" s="119"/>
      <c r="J46" s="374"/>
      <c r="M46" s="65"/>
    </row>
    <row r="47" spans="3:13" s="59" customFormat="1" ht="24.6" customHeight="1">
      <c r="C47" s="869">
        <v>3</v>
      </c>
      <c r="D47" s="182" t="s">
        <v>1310</v>
      </c>
      <c r="E47" s="182" t="s">
        <v>2102</v>
      </c>
      <c r="F47" s="315">
        <v>7.4800000000000005E-2</v>
      </c>
      <c r="G47" s="283">
        <f>VLOOKUP(D47,upahbahan,3,FALSE)</f>
        <v>150000</v>
      </c>
      <c r="H47" s="283">
        <f>F47*G47</f>
        <v>11220</v>
      </c>
      <c r="I47" s="119"/>
      <c r="J47" s="374"/>
      <c r="M47" s="65"/>
    </row>
    <row r="48" spans="3:13" s="59" customFormat="1" ht="24.6" customHeight="1">
      <c r="C48" s="869">
        <v>4</v>
      </c>
      <c r="D48" s="182" t="s">
        <v>19</v>
      </c>
      <c r="E48" s="182" t="s">
        <v>6</v>
      </c>
      <c r="F48" s="315">
        <v>2.4899999999999999E-2</v>
      </c>
      <c r="G48" s="283">
        <f>VLOOKUP(D48,upahbahan,3,FALSE)</f>
        <v>160000</v>
      </c>
      <c r="H48" s="283">
        <f t="shared" ref="H48" si="7">F48*G48</f>
        <v>3983.9999999999995</v>
      </c>
      <c r="I48" s="119"/>
    </row>
    <row r="49" spans="3:13" s="59" customFormat="1" ht="24.6" customHeight="1">
      <c r="C49" s="450" t="s">
        <v>1208</v>
      </c>
      <c r="D49" s="67"/>
      <c r="E49" s="67"/>
      <c r="F49" s="142"/>
      <c r="G49" s="153"/>
      <c r="H49" s="283">
        <f>SUM(H45:H48)</f>
        <v>273239.5</v>
      </c>
      <c r="I49" s="319"/>
    </row>
    <row r="50" spans="3:13" s="59" customFormat="1" ht="24.6" customHeight="1">
      <c r="C50" s="176" t="s">
        <v>1209</v>
      </c>
      <c r="D50" s="182" t="s">
        <v>1210</v>
      </c>
      <c r="E50" s="70"/>
      <c r="F50" s="70"/>
      <c r="G50" s="70"/>
      <c r="H50" s="70"/>
      <c r="I50" s="119"/>
    </row>
    <row r="51" spans="3:13" s="59" customFormat="1" ht="24.6" customHeight="1">
      <c r="C51" s="886">
        <v>1</v>
      </c>
      <c r="D51" s="182" t="s">
        <v>5159</v>
      </c>
      <c r="E51" s="124" t="s">
        <v>65</v>
      </c>
      <c r="F51" s="127">
        <v>24.931000000000001</v>
      </c>
      <c r="G51" s="283">
        <f>VLOOKUP(D51,upahbahan,3,FALSE)</f>
        <v>0</v>
      </c>
      <c r="H51" s="283">
        <f t="shared" ref="H51:H52" si="8">F51*G51</f>
        <v>0</v>
      </c>
      <c r="I51" s="119"/>
    </row>
    <row r="52" spans="3:13" s="59" customFormat="1" ht="24.6" customHeight="1">
      <c r="C52" s="886">
        <v>1</v>
      </c>
      <c r="D52" s="182" t="s">
        <v>254</v>
      </c>
      <c r="E52" s="124" t="s">
        <v>65</v>
      </c>
      <c r="F52" s="127">
        <v>5.2999999999999999E-2</v>
      </c>
      <c r="G52" s="283">
        <f>VLOOKUP(D52,upahbahan,3,FALSE)</f>
        <v>66600</v>
      </c>
      <c r="H52" s="283">
        <f t="shared" si="8"/>
        <v>3529.7999999999997</v>
      </c>
      <c r="I52" s="119"/>
    </row>
    <row r="53" spans="3:13" s="59" customFormat="1" ht="24.6" customHeight="1">
      <c r="C53" s="450" t="s">
        <v>1214</v>
      </c>
      <c r="D53" s="67"/>
      <c r="E53" s="67"/>
      <c r="F53" s="67"/>
      <c r="G53" s="69"/>
      <c r="H53" s="283">
        <f>SUM(H50:H52)</f>
        <v>3529.7999999999997</v>
      </c>
      <c r="I53" s="119"/>
    </row>
    <row r="54" spans="3:13" s="59" customFormat="1" ht="24.6" customHeight="1">
      <c r="C54" s="176" t="s">
        <v>1215</v>
      </c>
      <c r="D54" s="182" t="s">
        <v>1216</v>
      </c>
      <c r="E54" s="124"/>
      <c r="F54" s="70"/>
      <c r="G54" s="70"/>
      <c r="H54" s="70"/>
      <c r="I54" s="119"/>
    </row>
    <row r="55" spans="3:13" s="59" customFormat="1" ht="24.6" customHeight="1">
      <c r="C55" s="886">
        <v>1</v>
      </c>
      <c r="D55" s="182" t="s">
        <v>3125</v>
      </c>
      <c r="E55" s="124" t="s">
        <v>2139</v>
      </c>
      <c r="F55" s="118">
        <v>3.3300000000000003E-2</v>
      </c>
      <c r="G55" s="283">
        <f>VLOOKUP(D55,upahbahan,3,FALSE)</f>
        <v>3125</v>
      </c>
      <c r="H55" s="283">
        <f t="shared" ref="H55" si="9">F55*G55</f>
        <v>104.06250000000001</v>
      </c>
      <c r="I55" s="119"/>
    </row>
    <row r="56" spans="3:13" s="59" customFormat="1" ht="24.6" customHeight="1">
      <c r="C56" s="450" t="s">
        <v>1217</v>
      </c>
      <c r="D56" s="67"/>
      <c r="E56" s="67"/>
      <c r="F56" s="67"/>
      <c r="G56" s="69"/>
      <c r="H56" s="887">
        <f>SUM(H54:H55)</f>
        <v>104.06250000000001</v>
      </c>
      <c r="I56" s="119"/>
    </row>
    <row r="57" spans="3:13" s="59" customFormat="1" ht="24.6" customHeight="1">
      <c r="C57" s="102" t="s">
        <v>1218</v>
      </c>
      <c r="D57" s="294" t="s">
        <v>1219</v>
      </c>
      <c r="E57" s="295"/>
      <c r="F57" s="295"/>
      <c r="G57" s="296"/>
      <c r="H57" s="872">
        <f>H56+H53+H49</f>
        <v>276873.36249999999</v>
      </c>
      <c r="I57" s="873"/>
    </row>
    <row r="58" spans="3:13" s="59" customFormat="1" ht="24.6" customHeight="1">
      <c r="C58" s="102" t="s">
        <v>1220</v>
      </c>
      <c r="D58" s="294" t="s">
        <v>1321</v>
      </c>
      <c r="E58" s="295"/>
      <c r="F58" s="296"/>
      <c r="G58" s="298">
        <v>0.1</v>
      </c>
      <c r="H58" s="283">
        <f>H57*G58</f>
        <v>27687.33625</v>
      </c>
      <c r="I58" s="873"/>
    </row>
    <row r="59" spans="3:13" s="59" customFormat="1" ht="24.6" customHeight="1">
      <c r="C59" s="102" t="s">
        <v>1221</v>
      </c>
      <c r="D59" s="294" t="s">
        <v>1222</v>
      </c>
      <c r="E59" s="295"/>
      <c r="F59" s="295"/>
      <c r="G59" s="296"/>
      <c r="H59" s="874">
        <f>SUM(H57:H58)</f>
        <v>304560.69874999998</v>
      </c>
      <c r="I59" s="873"/>
    </row>
    <row r="60" spans="3:13" ht="24.6" customHeight="1"/>
    <row r="61" spans="3:13" ht="24.6" customHeight="1">
      <c r="C61" s="126" t="s">
        <v>5164</v>
      </c>
      <c r="D61" s="138" t="s">
        <v>5165</v>
      </c>
      <c r="I61" s="120">
        <f>ROUNDDOWN(H75,-2)</f>
        <v>18300</v>
      </c>
    </row>
    <row r="62" spans="3:13" s="59" customFormat="1" ht="24.6" customHeight="1">
      <c r="C62" s="591" t="s">
        <v>1195</v>
      </c>
      <c r="D62" s="591" t="s">
        <v>1196</v>
      </c>
      <c r="E62" s="591" t="s">
        <v>1197</v>
      </c>
      <c r="F62" s="591" t="s">
        <v>1198</v>
      </c>
      <c r="G62" s="591" t="s">
        <v>1199</v>
      </c>
      <c r="H62" s="591" t="s">
        <v>1200</v>
      </c>
      <c r="I62" s="119"/>
    </row>
    <row r="63" spans="3:13" s="59" customFormat="1" ht="24.6" customHeight="1">
      <c r="C63" s="176" t="s">
        <v>1201</v>
      </c>
      <c r="D63" s="182" t="s">
        <v>1202</v>
      </c>
      <c r="E63" s="70"/>
      <c r="F63" s="70"/>
      <c r="G63" s="70"/>
      <c r="H63" s="70"/>
      <c r="I63" s="119"/>
      <c r="J63" s="374" t="s">
        <v>1247</v>
      </c>
    </row>
    <row r="64" spans="3:13" s="59" customFormat="1" ht="24.6" customHeight="1">
      <c r="C64" s="869">
        <v>1</v>
      </c>
      <c r="D64" s="182" t="s">
        <v>5</v>
      </c>
      <c r="E64" s="182" t="s">
        <v>6</v>
      </c>
      <c r="F64" s="315">
        <v>7.0999999999999994E-2</v>
      </c>
      <c r="G64" s="283">
        <f>VLOOKUP(D64,upahbahan,3,FALSE)</f>
        <v>100000</v>
      </c>
      <c r="H64" s="283">
        <f>F64*G64</f>
        <v>7099.9999999999991</v>
      </c>
      <c r="I64" s="119"/>
      <c r="J64" s="374" t="s">
        <v>1248</v>
      </c>
      <c r="M64" s="65">
        <v>0.1</v>
      </c>
    </row>
    <row r="65" spans="3:13" s="59" customFormat="1" ht="24.6" customHeight="1">
      <c r="C65" s="869">
        <v>2</v>
      </c>
      <c r="D65" s="182" t="s">
        <v>9</v>
      </c>
      <c r="E65" s="182" t="s">
        <v>6</v>
      </c>
      <c r="F65" s="315">
        <v>2.4E-2</v>
      </c>
      <c r="G65" s="283">
        <f>VLOOKUP(D65,upahbahan,3,FALSE)</f>
        <v>135000</v>
      </c>
      <c r="H65" s="283">
        <f>F65*G65</f>
        <v>3240</v>
      </c>
      <c r="I65" s="119"/>
      <c r="J65" s="374"/>
      <c r="M65" s="65"/>
    </row>
    <row r="66" spans="3:13" s="59" customFormat="1" ht="24.6" customHeight="1">
      <c r="C66" s="869">
        <v>3</v>
      </c>
      <c r="D66" s="182" t="s">
        <v>19</v>
      </c>
      <c r="E66" s="182" t="s">
        <v>6</v>
      </c>
      <c r="F66" s="315">
        <v>5.0000000000000001E-3</v>
      </c>
      <c r="G66" s="283">
        <f>VLOOKUP(D66,upahbahan,3,FALSE)</f>
        <v>160000</v>
      </c>
      <c r="H66" s="283">
        <f t="shared" ref="H66" si="10">F66*G66</f>
        <v>800</v>
      </c>
      <c r="I66" s="119"/>
    </row>
    <row r="67" spans="3:13" s="59" customFormat="1" ht="24.6" customHeight="1">
      <c r="C67" s="450" t="s">
        <v>1208</v>
      </c>
      <c r="D67" s="67"/>
      <c r="E67" s="67"/>
      <c r="F67" s="142"/>
      <c r="G67" s="153"/>
      <c r="H67" s="283">
        <f>SUM(H64:H66)</f>
        <v>11140</v>
      </c>
      <c r="I67" s="319"/>
    </row>
    <row r="68" spans="3:13" s="59" customFormat="1" ht="24.6" customHeight="1">
      <c r="C68" s="176" t="s">
        <v>1209</v>
      </c>
      <c r="D68" s="182" t="s">
        <v>1210</v>
      </c>
      <c r="E68" s="70"/>
      <c r="F68" s="70"/>
      <c r="G68" s="70"/>
      <c r="H68" s="70"/>
      <c r="I68" s="119"/>
    </row>
    <row r="69" spans="3:13" s="59" customFormat="1" ht="24.6" customHeight="1">
      <c r="C69" s="886">
        <v>1</v>
      </c>
      <c r="D69" s="182" t="s">
        <v>755</v>
      </c>
      <c r="E69" s="124" t="s">
        <v>529</v>
      </c>
      <c r="F69" s="127">
        <v>7.1999999999999995E-2</v>
      </c>
      <c r="G69" s="283">
        <f>VLOOKUP(D69,upahbahan,3,FALSE)</f>
        <v>76500</v>
      </c>
      <c r="H69" s="283">
        <f t="shared" ref="H69" si="11">F69*G69</f>
        <v>5508</v>
      </c>
      <c r="I69" s="119"/>
    </row>
    <row r="70" spans="3:13" s="59" customFormat="1" ht="24.6" customHeight="1">
      <c r="C70" s="450" t="s">
        <v>1214</v>
      </c>
      <c r="D70" s="67"/>
      <c r="E70" s="67"/>
      <c r="F70" s="67"/>
      <c r="G70" s="69"/>
      <c r="H70" s="283">
        <f>SUM(H68:H69)</f>
        <v>5508</v>
      </c>
      <c r="I70" s="119"/>
    </row>
    <row r="71" spans="3:13" s="59" customFormat="1" ht="24.6" customHeight="1">
      <c r="C71" s="176" t="s">
        <v>1215</v>
      </c>
      <c r="D71" s="182" t="s">
        <v>1216</v>
      </c>
      <c r="E71" s="124"/>
      <c r="F71" s="70"/>
      <c r="G71" s="70"/>
      <c r="H71" s="70"/>
      <c r="I71" s="119"/>
    </row>
    <row r="72" spans="3:13" s="59" customFormat="1" ht="24.6" customHeight="1">
      <c r="C72" s="450" t="s">
        <v>1217</v>
      </c>
      <c r="D72" s="67"/>
      <c r="E72" s="67"/>
      <c r="F72" s="67"/>
      <c r="G72" s="69"/>
      <c r="H72" s="887">
        <f>SUM(H71:H71)</f>
        <v>0</v>
      </c>
      <c r="I72" s="119"/>
    </row>
    <row r="73" spans="3:13" s="59" customFormat="1" ht="24.6" customHeight="1">
      <c r="C73" s="102" t="s">
        <v>1218</v>
      </c>
      <c r="D73" s="294" t="s">
        <v>1219</v>
      </c>
      <c r="E73" s="295"/>
      <c r="F73" s="295"/>
      <c r="G73" s="296"/>
      <c r="H73" s="872">
        <f>H72+H70+H67</f>
        <v>16648</v>
      </c>
      <c r="I73" s="873"/>
    </row>
    <row r="74" spans="3:13" s="59" customFormat="1" ht="24.6" customHeight="1">
      <c r="C74" s="102" t="s">
        <v>1220</v>
      </c>
      <c r="D74" s="294" t="s">
        <v>1321</v>
      </c>
      <c r="E74" s="295"/>
      <c r="F74" s="296"/>
      <c r="G74" s="298">
        <v>0.1</v>
      </c>
      <c r="H74" s="283">
        <f>H73*G74</f>
        <v>1664.8000000000002</v>
      </c>
      <c r="I74" s="873"/>
    </row>
    <row r="75" spans="3:13" s="59" customFormat="1" ht="24.6" customHeight="1">
      <c r="C75" s="102" t="s">
        <v>1221</v>
      </c>
      <c r="D75" s="294" t="s">
        <v>1222</v>
      </c>
      <c r="E75" s="295"/>
      <c r="F75" s="295"/>
      <c r="G75" s="296"/>
      <c r="H75" s="874">
        <f>SUM(H73:H74)</f>
        <v>18312.8</v>
      </c>
      <c r="I75" s="873"/>
    </row>
    <row r="76" spans="3:13" ht="24.6" customHeight="1"/>
    <row r="77" spans="3:13" ht="24.6" customHeight="1">
      <c r="C77" s="126" t="s">
        <v>5166</v>
      </c>
      <c r="D77" s="138" t="s">
        <v>5167</v>
      </c>
      <c r="I77" s="120">
        <f>ROUNDDOWN(H91,-2)</f>
        <v>16200</v>
      </c>
    </row>
    <row r="78" spans="3:13" s="59" customFormat="1" ht="24.6" customHeight="1">
      <c r="C78" s="591" t="s">
        <v>1195</v>
      </c>
      <c r="D78" s="591" t="s">
        <v>1196</v>
      </c>
      <c r="E78" s="591" t="s">
        <v>1197</v>
      </c>
      <c r="F78" s="591" t="s">
        <v>1198</v>
      </c>
      <c r="G78" s="591" t="s">
        <v>1199</v>
      </c>
      <c r="H78" s="591" t="s">
        <v>1200</v>
      </c>
      <c r="I78" s="119"/>
    </row>
    <row r="79" spans="3:13" s="59" customFormat="1" ht="24.6" customHeight="1">
      <c r="C79" s="176" t="s">
        <v>1201</v>
      </c>
      <c r="D79" s="182" t="s">
        <v>1202</v>
      </c>
      <c r="E79" s="70"/>
      <c r="F79" s="70"/>
      <c r="G79" s="70"/>
      <c r="H79" s="70"/>
      <c r="I79" s="119"/>
      <c r="J79" s="374" t="s">
        <v>1247</v>
      </c>
    </row>
    <row r="80" spans="3:13" s="59" customFormat="1" ht="24.6" customHeight="1">
      <c r="C80" s="869">
        <v>1</v>
      </c>
      <c r="D80" s="182" t="s">
        <v>5</v>
      </c>
      <c r="E80" s="182" t="s">
        <v>6</v>
      </c>
      <c r="F80" s="315">
        <v>7.0999999999999994E-2</v>
      </c>
      <c r="G80" s="283">
        <f>VLOOKUP(D80,upahbahan,3,FALSE)</f>
        <v>100000</v>
      </c>
      <c r="H80" s="283">
        <f>F80*G80</f>
        <v>7099.9999999999991</v>
      </c>
      <c r="I80" s="119"/>
      <c r="J80" s="374" t="s">
        <v>1248</v>
      </c>
      <c r="M80" s="65">
        <v>0.1</v>
      </c>
    </row>
    <row r="81" spans="3:13" s="59" customFormat="1" ht="24.6" customHeight="1">
      <c r="C81" s="869">
        <v>2</v>
      </c>
      <c r="D81" s="182" t="s">
        <v>9</v>
      </c>
      <c r="E81" s="182" t="s">
        <v>6</v>
      </c>
      <c r="F81" s="315">
        <v>2.4E-2</v>
      </c>
      <c r="G81" s="283">
        <f>VLOOKUP(D81,upahbahan,3,FALSE)</f>
        <v>135000</v>
      </c>
      <c r="H81" s="283">
        <f>F81*G81</f>
        <v>3240</v>
      </c>
      <c r="I81" s="119"/>
      <c r="J81" s="374"/>
      <c r="M81" s="65"/>
    </row>
    <row r="82" spans="3:13" s="59" customFormat="1" ht="24.6" customHeight="1">
      <c r="C82" s="869">
        <v>3</v>
      </c>
      <c r="D82" s="182" t="s">
        <v>19</v>
      </c>
      <c r="E82" s="182" t="s">
        <v>6</v>
      </c>
      <c r="F82" s="315">
        <v>5.0000000000000001E-3</v>
      </c>
      <c r="G82" s="283">
        <f>VLOOKUP(D82,upahbahan,3,FALSE)</f>
        <v>160000</v>
      </c>
      <c r="H82" s="283">
        <f t="shared" ref="H82" si="12">F82*G82</f>
        <v>800</v>
      </c>
      <c r="I82" s="119"/>
    </row>
    <row r="83" spans="3:13" s="59" customFormat="1" ht="24.6" customHeight="1">
      <c r="C83" s="450" t="s">
        <v>1208</v>
      </c>
      <c r="D83" s="67"/>
      <c r="E83" s="67"/>
      <c r="F83" s="142"/>
      <c r="G83" s="153"/>
      <c r="H83" s="283">
        <f>SUM(H80:H82)</f>
        <v>11140</v>
      </c>
      <c r="I83" s="319"/>
    </row>
    <row r="84" spans="3:13" s="59" customFormat="1" ht="24.6" customHeight="1">
      <c r="C84" s="176" t="s">
        <v>1209</v>
      </c>
      <c r="D84" s="182" t="s">
        <v>1210</v>
      </c>
      <c r="E84" s="70"/>
      <c r="F84" s="70"/>
      <c r="G84" s="70"/>
      <c r="H84" s="70"/>
      <c r="I84" s="119"/>
    </row>
    <row r="85" spans="3:13" s="59" customFormat="1" ht="24.6" customHeight="1">
      <c r="C85" s="886">
        <v>1</v>
      </c>
      <c r="D85" s="182" t="s">
        <v>755</v>
      </c>
      <c r="E85" s="124" t="s">
        <v>529</v>
      </c>
      <c r="F85" s="127">
        <v>4.8000000000000001E-2</v>
      </c>
      <c r="G85" s="283">
        <f>VLOOKUP(D85,upahbahan,3,FALSE)</f>
        <v>76500</v>
      </c>
      <c r="H85" s="283">
        <f t="shared" ref="H85" si="13">F85*G85</f>
        <v>3672</v>
      </c>
      <c r="I85" s="119"/>
    </row>
    <row r="86" spans="3:13" s="59" customFormat="1" ht="24.6" customHeight="1">
      <c r="C86" s="450" t="s">
        <v>1214</v>
      </c>
      <c r="D86" s="67"/>
      <c r="E86" s="67"/>
      <c r="F86" s="67"/>
      <c r="G86" s="69"/>
      <c r="H86" s="283">
        <f>SUM(H84:H85)</f>
        <v>3672</v>
      </c>
      <c r="I86" s="119"/>
    </row>
    <row r="87" spans="3:13" s="59" customFormat="1" ht="24.6" customHeight="1">
      <c r="C87" s="176" t="s">
        <v>1215</v>
      </c>
      <c r="D87" s="182" t="s">
        <v>1216</v>
      </c>
      <c r="E87" s="124"/>
      <c r="F87" s="70"/>
      <c r="G87" s="70"/>
      <c r="H87" s="70"/>
      <c r="I87" s="119"/>
    </row>
    <row r="88" spans="3:13" s="59" customFormat="1" ht="24.6" customHeight="1">
      <c r="C88" s="450" t="s">
        <v>1217</v>
      </c>
      <c r="D88" s="67"/>
      <c r="E88" s="67"/>
      <c r="F88" s="67"/>
      <c r="G88" s="69"/>
      <c r="H88" s="887">
        <f>SUM(H87:H87)</f>
        <v>0</v>
      </c>
      <c r="I88" s="119"/>
    </row>
    <row r="89" spans="3:13" s="59" customFormat="1" ht="24.6" customHeight="1">
      <c r="C89" s="102" t="s">
        <v>1218</v>
      </c>
      <c r="D89" s="294" t="s">
        <v>1219</v>
      </c>
      <c r="E89" s="295"/>
      <c r="F89" s="295"/>
      <c r="G89" s="296"/>
      <c r="H89" s="872">
        <f>H88+H86+H83</f>
        <v>14812</v>
      </c>
      <c r="I89" s="873"/>
    </row>
    <row r="90" spans="3:13" s="59" customFormat="1" ht="24.6" customHeight="1">
      <c r="C90" s="102" t="s">
        <v>1220</v>
      </c>
      <c r="D90" s="294" t="s">
        <v>1321</v>
      </c>
      <c r="E90" s="295"/>
      <c r="F90" s="296"/>
      <c r="G90" s="298">
        <v>0.1</v>
      </c>
      <c r="H90" s="283">
        <f>H89*G90</f>
        <v>1481.2</v>
      </c>
      <c r="I90" s="873"/>
    </row>
    <row r="91" spans="3:13" s="59" customFormat="1" ht="24.6" customHeight="1">
      <c r="C91" s="102" t="s">
        <v>1221</v>
      </c>
      <c r="D91" s="294" t="s">
        <v>1222</v>
      </c>
      <c r="E91" s="295"/>
      <c r="F91" s="295"/>
      <c r="G91" s="296"/>
      <c r="H91" s="874">
        <f>SUM(H89:H90)</f>
        <v>16293.2</v>
      </c>
      <c r="I91" s="873"/>
    </row>
    <row r="92" spans="3:13" ht="24.6" customHeight="1"/>
    <row r="93" spans="3:13" ht="24.6" customHeight="1">
      <c r="C93" s="126" t="s">
        <v>5168</v>
      </c>
      <c r="D93" s="138" t="s">
        <v>5169</v>
      </c>
      <c r="I93" s="120">
        <f>ROUNDDOWN(H107,-2)</f>
        <v>14700</v>
      </c>
    </row>
    <row r="94" spans="3:13" s="59" customFormat="1" ht="24.6" customHeight="1">
      <c r="C94" s="591" t="s">
        <v>1195</v>
      </c>
      <c r="D94" s="591" t="s">
        <v>1196</v>
      </c>
      <c r="E94" s="591" t="s">
        <v>1197</v>
      </c>
      <c r="F94" s="591" t="s">
        <v>1198</v>
      </c>
      <c r="G94" s="591" t="s">
        <v>1199</v>
      </c>
      <c r="H94" s="591" t="s">
        <v>1200</v>
      </c>
      <c r="I94" s="119"/>
    </row>
    <row r="95" spans="3:13" s="59" customFormat="1" ht="24.6" customHeight="1">
      <c r="C95" s="176" t="s">
        <v>1201</v>
      </c>
      <c r="D95" s="182" t="s">
        <v>1202</v>
      </c>
      <c r="E95" s="70"/>
      <c r="F95" s="70"/>
      <c r="G95" s="70"/>
      <c r="H95" s="70"/>
      <c r="I95" s="119"/>
      <c r="J95" s="374" t="s">
        <v>1247</v>
      </c>
    </row>
    <row r="96" spans="3:13" s="59" customFormat="1" ht="24.6" customHeight="1">
      <c r="C96" s="869">
        <v>1</v>
      </c>
      <c r="D96" s="182" t="s">
        <v>5</v>
      </c>
      <c r="E96" s="182" t="s">
        <v>6</v>
      </c>
      <c r="F96" s="315">
        <v>7.0999999999999994E-2</v>
      </c>
      <c r="G96" s="283">
        <f>VLOOKUP(D96,upahbahan,3,FALSE)</f>
        <v>100000</v>
      </c>
      <c r="H96" s="283">
        <f>F96*G96</f>
        <v>7099.9999999999991</v>
      </c>
      <c r="I96" s="119"/>
      <c r="J96" s="374" t="s">
        <v>1248</v>
      </c>
      <c r="M96" s="65">
        <v>0.1</v>
      </c>
    </row>
    <row r="97" spans="3:13" s="59" customFormat="1" ht="24.6" customHeight="1">
      <c r="C97" s="869">
        <v>2</v>
      </c>
      <c r="D97" s="182" t="s">
        <v>9</v>
      </c>
      <c r="E97" s="182" t="s">
        <v>6</v>
      </c>
      <c r="F97" s="315">
        <v>2.4E-2</v>
      </c>
      <c r="G97" s="283">
        <f>VLOOKUP(D97,upahbahan,3,FALSE)</f>
        <v>135000</v>
      </c>
      <c r="H97" s="283">
        <f>F97*G97</f>
        <v>3240</v>
      </c>
      <c r="I97" s="119"/>
      <c r="J97" s="374"/>
      <c r="M97" s="65"/>
    </row>
    <row r="98" spans="3:13" s="59" customFormat="1" ht="24.6" customHeight="1">
      <c r="C98" s="869">
        <v>3</v>
      </c>
      <c r="D98" s="182" t="s">
        <v>19</v>
      </c>
      <c r="E98" s="182" t="s">
        <v>6</v>
      </c>
      <c r="F98" s="315">
        <v>5.0000000000000001E-3</v>
      </c>
      <c r="G98" s="283">
        <f>VLOOKUP(D98,upahbahan,3,FALSE)</f>
        <v>160000</v>
      </c>
      <c r="H98" s="283">
        <f t="shared" ref="H98" si="14">F98*G98</f>
        <v>800</v>
      </c>
      <c r="I98" s="119"/>
    </row>
    <row r="99" spans="3:13" s="59" customFormat="1" ht="24.6" customHeight="1">
      <c r="C99" s="450" t="s">
        <v>1208</v>
      </c>
      <c r="D99" s="67"/>
      <c r="E99" s="67"/>
      <c r="F99" s="142"/>
      <c r="G99" s="153"/>
      <c r="H99" s="283">
        <f>SUM(H96:H98)</f>
        <v>11140</v>
      </c>
      <c r="I99" s="319"/>
    </row>
    <row r="100" spans="3:13" s="59" customFormat="1" ht="24.6" customHeight="1">
      <c r="C100" s="176" t="s">
        <v>1209</v>
      </c>
      <c r="D100" s="182" t="s">
        <v>1210</v>
      </c>
      <c r="E100" s="70"/>
      <c r="F100" s="70"/>
      <c r="G100" s="70"/>
      <c r="H100" s="70"/>
      <c r="I100" s="119"/>
    </row>
    <row r="101" spans="3:13" s="59" customFormat="1" ht="24.6" customHeight="1">
      <c r="C101" s="886">
        <v>1</v>
      </c>
      <c r="D101" s="182" t="s">
        <v>755</v>
      </c>
      <c r="E101" s="124" t="s">
        <v>529</v>
      </c>
      <c r="F101" s="127">
        <v>0.03</v>
      </c>
      <c r="G101" s="283">
        <f>VLOOKUP(D101,upahbahan,3,FALSE)</f>
        <v>76500</v>
      </c>
      <c r="H101" s="283">
        <f t="shared" ref="H101" si="15">F101*G101</f>
        <v>2295</v>
      </c>
      <c r="I101" s="119"/>
    </row>
    <row r="102" spans="3:13" s="59" customFormat="1" ht="24.6" customHeight="1">
      <c r="C102" s="450" t="s">
        <v>1214</v>
      </c>
      <c r="D102" s="67"/>
      <c r="E102" s="67"/>
      <c r="F102" s="67"/>
      <c r="G102" s="69"/>
      <c r="H102" s="283">
        <f>SUM(H100:H101)</f>
        <v>2295</v>
      </c>
      <c r="I102" s="119"/>
    </row>
    <row r="103" spans="3:13" s="59" customFormat="1" ht="24.6" customHeight="1">
      <c r="C103" s="176" t="s">
        <v>1215</v>
      </c>
      <c r="D103" s="182" t="s">
        <v>1216</v>
      </c>
      <c r="E103" s="124"/>
      <c r="F103" s="70"/>
      <c r="G103" s="70"/>
      <c r="H103" s="70"/>
      <c r="I103" s="119"/>
    </row>
    <row r="104" spans="3:13" s="59" customFormat="1" ht="24.6" customHeight="1">
      <c r="C104" s="450" t="s">
        <v>1217</v>
      </c>
      <c r="D104" s="67"/>
      <c r="E104" s="67"/>
      <c r="F104" s="67"/>
      <c r="G104" s="69"/>
      <c r="H104" s="887">
        <f>SUM(H103:H103)</f>
        <v>0</v>
      </c>
      <c r="I104" s="119"/>
    </row>
    <row r="105" spans="3:13" s="59" customFormat="1" ht="24.6" customHeight="1">
      <c r="C105" s="102" t="s">
        <v>1218</v>
      </c>
      <c r="D105" s="294" t="s">
        <v>1219</v>
      </c>
      <c r="E105" s="295"/>
      <c r="F105" s="295"/>
      <c r="G105" s="296"/>
      <c r="H105" s="872">
        <f>H104+H102+H99</f>
        <v>13435</v>
      </c>
      <c r="I105" s="873"/>
    </row>
    <row r="106" spans="3:13" s="59" customFormat="1" ht="24.6" customHeight="1">
      <c r="C106" s="102" t="s">
        <v>1220</v>
      </c>
      <c r="D106" s="294" t="s">
        <v>1321</v>
      </c>
      <c r="E106" s="295"/>
      <c r="F106" s="296"/>
      <c r="G106" s="298">
        <v>0.1</v>
      </c>
      <c r="H106" s="283">
        <f>H105*G106</f>
        <v>1343.5</v>
      </c>
      <c r="I106" s="873"/>
    </row>
    <row r="107" spans="3:13" s="59" customFormat="1" ht="24.6" customHeight="1">
      <c r="C107" s="102" t="s">
        <v>1221</v>
      </c>
      <c r="D107" s="294" t="s">
        <v>1222</v>
      </c>
      <c r="E107" s="295"/>
      <c r="F107" s="295"/>
      <c r="G107" s="296"/>
      <c r="H107" s="874">
        <f>SUM(H105:H106)</f>
        <v>14778.5</v>
      </c>
      <c r="I107" s="873"/>
    </row>
    <row r="108" spans="3:13" ht="24.6" customHeight="1"/>
    <row r="109" spans="3:13" ht="24.6" customHeight="1">
      <c r="C109" s="126" t="s">
        <v>5170</v>
      </c>
      <c r="D109" s="138" t="s">
        <v>8776</v>
      </c>
      <c r="I109" s="120">
        <f>ROUNDDOWN(H125,-2)</f>
        <v>172200</v>
      </c>
    </row>
    <row r="110" spans="3:13" s="59" customFormat="1" ht="24.6" customHeight="1">
      <c r="C110" s="591" t="s">
        <v>1195</v>
      </c>
      <c r="D110" s="591" t="s">
        <v>1196</v>
      </c>
      <c r="E110" s="591" t="s">
        <v>1197</v>
      </c>
      <c r="F110" s="591" t="s">
        <v>1198</v>
      </c>
      <c r="G110" s="591" t="s">
        <v>1199</v>
      </c>
      <c r="H110" s="591" t="s">
        <v>1200</v>
      </c>
      <c r="I110" s="119"/>
    </row>
    <row r="111" spans="3:13" s="59" customFormat="1" ht="24.6" customHeight="1">
      <c r="C111" s="176" t="s">
        <v>1201</v>
      </c>
      <c r="D111" s="182" t="s">
        <v>1202</v>
      </c>
      <c r="E111" s="70"/>
      <c r="F111" s="70"/>
      <c r="G111" s="70"/>
      <c r="H111" s="70"/>
      <c r="I111" s="119"/>
      <c r="J111" s="374" t="s">
        <v>1247</v>
      </c>
    </row>
    <row r="112" spans="3:13" s="59" customFormat="1" ht="24.6" customHeight="1">
      <c r="C112" s="450" t="s">
        <v>1208</v>
      </c>
      <c r="D112" s="67"/>
      <c r="E112" s="67"/>
      <c r="F112" s="142"/>
      <c r="G112" s="153"/>
      <c r="H112" s="283">
        <f>SUM(H111)</f>
        <v>0</v>
      </c>
      <c r="I112" s="319"/>
    </row>
    <row r="113" spans="3:9" s="59" customFormat="1" ht="24.6" customHeight="1">
      <c r="C113" s="176" t="s">
        <v>1209</v>
      </c>
      <c r="D113" s="182" t="s">
        <v>1210</v>
      </c>
      <c r="E113" s="70"/>
      <c r="F113" s="70"/>
      <c r="G113" s="70"/>
      <c r="H113" s="70"/>
      <c r="I113" s="119"/>
    </row>
    <row r="114" spans="3:9" s="59" customFormat="1" ht="24.6" customHeight="1">
      <c r="C114" s="886">
        <v>1</v>
      </c>
      <c r="D114" s="182" t="s">
        <v>5171</v>
      </c>
      <c r="E114" s="124" t="s">
        <v>65</v>
      </c>
      <c r="F114" s="125">
        <v>6.0754999999999999</v>
      </c>
      <c r="G114" s="888">
        <f>Beton!H22</f>
        <v>17147.68</v>
      </c>
      <c r="H114" s="889">
        <f>F114*G114</f>
        <v>104180.72984</v>
      </c>
      <c r="I114" s="119"/>
    </row>
    <row r="115" spans="3:9" s="59" customFormat="1" ht="24.6" customHeight="1">
      <c r="C115" s="886">
        <v>2</v>
      </c>
      <c r="D115" s="182" t="s">
        <v>5172</v>
      </c>
      <c r="E115" s="124" t="s">
        <v>62</v>
      </c>
      <c r="F115" s="125">
        <v>0.24640000000000001</v>
      </c>
      <c r="G115" s="888">
        <f>Beton!H177</f>
        <v>13811.644</v>
      </c>
      <c r="H115" s="889">
        <f t="shared" ref="H115:H119" si="16">F115*G115</f>
        <v>3403.1890816</v>
      </c>
      <c r="I115" s="119"/>
    </row>
    <row r="116" spans="3:9" s="59" customFormat="1" ht="24.6" customHeight="1">
      <c r="C116" s="886">
        <v>3</v>
      </c>
      <c r="D116" s="182" t="s">
        <v>5173</v>
      </c>
      <c r="E116" s="124" t="s">
        <v>44</v>
      </c>
      <c r="F116" s="125">
        <v>2.5000000000000001E-3</v>
      </c>
      <c r="G116" s="888">
        <f>H21</f>
        <v>609032.99875000003</v>
      </c>
      <c r="H116" s="889">
        <f t="shared" si="16"/>
        <v>1522.5824968750001</v>
      </c>
      <c r="I116" s="119"/>
    </row>
    <row r="117" spans="3:9" s="59" customFormat="1" ht="24.6" customHeight="1">
      <c r="C117" s="886">
        <v>4</v>
      </c>
      <c r="D117" s="182" t="s">
        <v>5174</v>
      </c>
      <c r="E117" s="124" t="s">
        <v>135</v>
      </c>
      <c r="F117" s="125">
        <v>1</v>
      </c>
      <c r="G117" s="888">
        <f>H75</f>
        <v>18312.8</v>
      </c>
      <c r="H117" s="889">
        <f t="shared" si="16"/>
        <v>18312.8</v>
      </c>
      <c r="I117" s="119"/>
    </row>
    <row r="118" spans="3:9" s="59" customFormat="1" ht="24.6" customHeight="1">
      <c r="C118" s="886">
        <v>5</v>
      </c>
      <c r="D118" s="182" t="s">
        <v>5175</v>
      </c>
      <c r="E118" s="124" t="s">
        <v>42</v>
      </c>
      <c r="F118" s="125">
        <v>2.0400000000000001E-2</v>
      </c>
      <c r="G118" s="888">
        <f>Beton!H736</f>
        <v>1365763.2600333334</v>
      </c>
      <c r="H118" s="889">
        <f>F118*G118</f>
        <v>27861.570504680003</v>
      </c>
      <c r="I118" s="119"/>
    </row>
    <row r="119" spans="3:9" s="59" customFormat="1" ht="24.6" customHeight="1">
      <c r="C119" s="886">
        <v>6</v>
      </c>
      <c r="D119" s="182" t="s">
        <v>5176</v>
      </c>
      <c r="E119" s="124" t="s">
        <v>42</v>
      </c>
      <c r="F119" s="125">
        <v>2.0400000000000001E-2</v>
      </c>
      <c r="G119" s="888">
        <f>'Beton Pracetak'!I195</f>
        <v>65180.5</v>
      </c>
      <c r="H119" s="889">
        <f t="shared" si="16"/>
        <v>1329.6822000000002</v>
      </c>
      <c r="I119" s="119"/>
    </row>
    <row r="120" spans="3:9" s="59" customFormat="1" ht="24.6" customHeight="1">
      <c r="C120" s="450" t="s">
        <v>1214</v>
      </c>
      <c r="D120" s="67"/>
      <c r="E120" s="67"/>
      <c r="F120" s="67"/>
      <c r="G120" s="69"/>
      <c r="H120" s="283">
        <f>SUM(H113:H119)</f>
        <v>156610.55412315502</v>
      </c>
      <c r="I120" s="119"/>
    </row>
    <row r="121" spans="3:9" s="59" customFormat="1" ht="24.6" customHeight="1">
      <c r="C121" s="176" t="s">
        <v>1215</v>
      </c>
      <c r="D121" s="182" t="s">
        <v>1216</v>
      </c>
      <c r="E121" s="124"/>
      <c r="F121" s="70"/>
      <c r="G121" s="70"/>
      <c r="H121" s="70"/>
      <c r="I121" s="119"/>
    </row>
    <row r="122" spans="3:9" s="59" customFormat="1" ht="24.6" customHeight="1">
      <c r="C122" s="450" t="s">
        <v>1217</v>
      </c>
      <c r="D122" s="67"/>
      <c r="E122" s="67"/>
      <c r="F122" s="67"/>
      <c r="G122" s="69"/>
      <c r="H122" s="887">
        <f>SUM(H121:H121)</f>
        <v>0</v>
      </c>
      <c r="I122" s="119"/>
    </row>
    <row r="123" spans="3:9" s="59" customFormat="1" ht="24.6" customHeight="1">
      <c r="C123" s="102" t="s">
        <v>1218</v>
      </c>
      <c r="D123" s="294" t="s">
        <v>1219</v>
      </c>
      <c r="E123" s="295"/>
      <c r="F123" s="295"/>
      <c r="G123" s="296"/>
      <c r="H123" s="872">
        <f>H122+H120+H112</f>
        <v>156610.55412315502</v>
      </c>
      <c r="I123" s="873"/>
    </row>
    <row r="124" spans="3:9" s="59" customFormat="1" ht="24.6" customHeight="1">
      <c r="C124" s="102" t="s">
        <v>1220</v>
      </c>
      <c r="D124" s="294" t="s">
        <v>1321</v>
      </c>
      <c r="E124" s="295"/>
      <c r="F124" s="296"/>
      <c r="G124" s="298">
        <v>0.1</v>
      </c>
      <c r="H124" s="283">
        <f>H123*G124</f>
        <v>15661.055412315502</v>
      </c>
      <c r="I124" s="873"/>
    </row>
    <row r="125" spans="3:9" s="59" customFormat="1" ht="24.6" customHeight="1">
      <c r="C125" s="102" t="s">
        <v>1221</v>
      </c>
      <c r="D125" s="294" t="s">
        <v>1222</v>
      </c>
      <c r="E125" s="295"/>
      <c r="F125" s="295"/>
      <c r="G125" s="296"/>
      <c r="H125" s="874">
        <f>SUM(H123:H124)</f>
        <v>172271.60953547052</v>
      </c>
      <c r="I125" s="873"/>
    </row>
    <row r="126" spans="3:9" ht="24.6" customHeight="1"/>
    <row r="127" spans="3:9" ht="24.6" customHeight="1"/>
    <row r="128" spans="3:9" ht="24.6" customHeight="1">
      <c r="C128" s="126" t="s">
        <v>5177</v>
      </c>
      <c r="D128" s="138" t="s">
        <v>8778</v>
      </c>
      <c r="I128" s="120">
        <f>ROUNDDOWN(H144,-2)</f>
        <v>148100</v>
      </c>
    </row>
    <row r="129" spans="3:10" s="59" customFormat="1" ht="24.6" customHeight="1">
      <c r="C129" s="591" t="s">
        <v>1195</v>
      </c>
      <c r="D129" s="591" t="s">
        <v>1196</v>
      </c>
      <c r="E129" s="591" t="s">
        <v>1197</v>
      </c>
      <c r="F129" s="591" t="s">
        <v>1198</v>
      </c>
      <c r="G129" s="591" t="s">
        <v>1199</v>
      </c>
      <c r="H129" s="591" t="s">
        <v>1200</v>
      </c>
      <c r="I129" s="119"/>
    </row>
    <row r="130" spans="3:10" s="59" customFormat="1" ht="24.6" customHeight="1">
      <c r="C130" s="176" t="s">
        <v>1201</v>
      </c>
      <c r="D130" s="182" t="s">
        <v>1202</v>
      </c>
      <c r="E130" s="70"/>
      <c r="F130" s="70"/>
      <c r="G130" s="70"/>
      <c r="H130" s="70"/>
      <c r="I130" s="119"/>
      <c r="J130" s="374" t="s">
        <v>1247</v>
      </c>
    </row>
    <row r="131" spans="3:10" s="59" customFormat="1" ht="24.6" customHeight="1">
      <c r="C131" s="450" t="s">
        <v>1208</v>
      </c>
      <c r="D131" s="67"/>
      <c r="E131" s="67"/>
      <c r="F131" s="142"/>
      <c r="G131" s="153"/>
      <c r="H131" s="283">
        <f>SUM(H130)</f>
        <v>0</v>
      </c>
      <c r="I131" s="319"/>
    </row>
    <row r="132" spans="3:10" s="59" customFormat="1" ht="24.6" customHeight="1">
      <c r="C132" s="176" t="s">
        <v>1209</v>
      </c>
      <c r="D132" s="182" t="s">
        <v>1210</v>
      </c>
      <c r="E132" s="70"/>
      <c r="F132" s="70"/>
      <c r="G132" s="70"/>
      <c r="H132" s="70"/>
      <c r="I132" s="119"/>
    </row>
    <row r="133" spans="3:10" s="59" customFormat="1" ht="24.6" customHeight="1">
      <c r="C133" s="886">
        <v>1</v>
      </c>
      <c r="D133" s="182" t="s">
        <v>5171</v>
      </c>
      <c r="E133" s="124" t="s">
        <v>65</v>
      </c>
      <c r="F133" s="125">
        <v>5.5026999999999999</v>
      </c>
      <c r="G133" s="890">
        <f>Beton!H22</f>
        <v>17147.68</v>
      </c>
      <c r="H133" s="889">
        <f t="shared" ref="H133:H138" si="17">F133*G133</f>
        <v>94358.538736000002</v>
      </c>
      <c r="I133" s="119"/>
    </row>
    <row r="134" spans="3:10" s="59" customFormat="1" ht="24.6" customHeight="1">
      <c r="C134" s="886">
        <v>2</v>
      </c>
      <c r="D134" s="182" t="s">
        <v>5172</v>
      </c>
      <c r="E134" s="124" t="s">
        <v>62</v>
      </c>
      <c r="F134" s="125">
        <v>0.13439999999999999</v>
      </c>
      <c r="G134" s="890">
        <f>Beton!H177</f>
        <v>13811.644</v>
      </c>
      <c r="H134" s="889">
        <f t="shared" si="17"/>
        <v>1856.2849535999999</v>
      </c>
      <c r="I134" s="119"/>
    </row>
    <row r="135" spans="3:10" s="59" customFormat="1" ht="24.6" customHeight="1">
      <c r="C135" s="886">
        <v>3</v>
      </c>
      <c r="D135" s="182" t="s">
        <v>5178</v>
      </c>
      <c r="E135" s="124" t="s">
        <v>44</v>
      </c>
      <c r="F135" s="125">
        <v>2.5000000000000001E-3</v>
      </c>
      <c r="G135" s="890">
        <f>H40</f>
        <v>552046.39874999993</v>
      </c>
      <c r="H135" s="889">
        <f t="shared" si="17"/>
        <v>1380.1159968749998</v>
      </c>
      <c r="I135" s="119"/>
    </row>
    <row r="136" spans="3:10" s="59" customFormat="1" ht="24.6" customHeight="1">
      <c r="C136" s="886">
        <v>4</v>
      </c>
      <c r="D136" s="182" t="s">
        <v>5174</v>
      </c>
      <c r="E136" s="124" t="s">
        <v>135</v>
      </c>
      <c r="F136" s="125">
        <v>1</v>
      </c>
      <c r="G136" s="890">
        <f>H91</f>
        <v>16293.2</v>
      </c>
      <c r="H136" s="889">
        <f t="shared" si="17"/>
        <v>16293.2</v>
      </c>
      <c r="I136" s="119"/>
    </row>
    <row r="137" spans="3:10" s="59" customFormat="1" ht="24.6" customHeight="1">
      <c r="C137" s="886">
        <v>5</v>
      </c>
      <c r="D137" s="182" t="s">
        <v>5175</v>
      </c>
      <c r="E137" s="124" t="s">
        <v>42</v>
      </c>
      <c r="F137" s="125">
        <v>1.4500000000000001E-2</v>
      </c>
      <c r="G137" s="890">
        <f>Beton!H736</f>
        <v>1365763.2600333334</v>
      </c>
      <c r="H137" s="889">
        <f t="shared" si="17"/>
        <v>19803.567270483334</v>
      </c>
      <c r="I137" s="119"/>
    </row>
    <row r="138" spans="3:10" s="59" customFormat="1" ht="24.6" customHeight="1">
      <c r="C138" s="886">
        <v>6</v>
      </c>
      <c r="D138" s="182" t="s">
        <v>5176</v>
      </c>
      <c r="E138" s="124" t="s">
        <v>42</v>
      </c>
      <c r="F138" s="125">
        <v>1.4500000000000001E-2</v>
      </c>
      <c r="G138" s="890">
        <f>'Beton Pracetak'!I195</f>
        <v>65180.5</v>
      </c>
      <c r="H138" s="889">
        <f t="shared" si="17"/>
        <v>945.11725000000001</v>
      </c>
      <c r="I138" s="119"/>
    </row>
    <row r="139" spans="3:10" s="59" customFormat="1" ht="24.6" customHeight="1">
      <c r="C139" s="450" t="s">
        <v>1214</v>
      </c>
      <c r="D139" s="67"/>
      <c r="E139" s="67"/>
      <c r="F139" s="67"/>
      <c r="G139" s="69"/>
      <c r="H139" s="283">
        <f>SUM(H132:H138)</f>
        <v>134636.82420695835</v>
      </c>
      <c r="I139" s="119"/>
    </row>
    <row r="140" spans="3:10" s="59" customFormat="1" ht="24.6" customHeight="1">
      <c r="C140" s="176" t="s">
        <v>1215</v>
      </c>
      <c r="D140" s="182" t="s">
        <v>1216</v>
      </c>
      <c r="E140" s="124"/>
      <c r="F140" s="70"/>
      <c r="G140" s="70"/>
      <c r="H140" s="70"/>
      <c r="I140" s="119"/>
    </row>
    <row r="141" spans="3:10" s="59" customFormat="1" ht="24.6" customHeight="1">
      <c r="C141" s="450" t="s">
        <v>1217</v>
      </c>
      <c r="D141" s="67"/>
      <c r="E141" s="67"/>
      <c r="F141" s="67"/>
      <c r="G141" s="69"/>
      <c r="H141" s="887">
        <f>SUM(H140:H140)</f>
        <v>0</v>
      </c>
      <c r="I141" s="119"/>
    </row>
    <row r="142" spans="3:10" s="59" customFormat="1" ht="24.6" customHeight="1">
      <c r="C142" s="102" t="s">
        <v>1218</v>
      </c>
      <c r="D142" s="294" t="s">
        <v>1219</v>
      </c>
      <c r="E142" s="295"/>
      <c r="F142" s="295"/>
      <c r="G142" s="296"/>
      <c r="H142" s="872">
        <f>H141+H139+H131</f>
        <v>134636.82420695835</v>
      </c>
      <c r="I142" s="873"/>
    </row>
    <row r="143" spans="3:10" s="59" customFormat="1" ht="24.6" customHeight="1">
      <c r="C143" s="102" t="s">
        <v>1220</v>
      </c>
      <c r="D143" s="294" t="s">
        <v>1321</v>
      </c>
      <c r="E143" s="295"/>
      <c r="F143" s="296"/>
      <c r="G143" s="298">
        <v>0.1</v>
      </c>
      <c r="H143" s="283">
        <f>H142*G143</f>
        <v>13463.682420695835</v>
      </c>
      <c r="I143" s="873"/>
    </row>
    <row r="144" spans="3:10" s="59" customFormat="1" ht="24.6" customHeight="1">
      <c r="C144" s="102" t="s">
        <v>1221</v>
      </c>
      <c r="D144" s="294" t="s">
        <v>1222</v>
      </c>
      <c r="E144" s="295"/>
      <c r="F144" s="295"/>
      <c r="G144" s="296"/>
      <c r="H144" s="874">
        <f>SUM(H142:H143)</f>
        <v>148100.50662765419</v>
      </c>
      <c r="I144" s="873"/>
    </row>
    <row r="145" spans="3:11" ht="24.6" customHeight="1"/>
    <row r="146" spans="3:11" ht="24.6" customHeight="1">
      <c r="C146" s="126" t="s">
        <v>5179</v>
      </c>
      <c r="D146" s="138" t="s">
        <v>8777</v>
      </c>
      <c r="I146" s="120">
        <f>ROUNDDOWN(H161,-2)</f>
        <v>115400</v>
      </c>
      <c r="J146" s="146" t="s">
        <v>6451</v>
      </c>
      <c r="K146" s="146" t="s">
        <v>8774</v>
      </c>
    </row>
    <row r="147" spans="3:11" s="59" customFormat="1" ht="24.6" customHeight="1">
      <c r="C147" s="591" t="s">
        <v>1195</v>
      </c>
      <c r="D147" s="591" t="s">
        <v>1196</v>
      </c>
      <c r="E147" s="591" t="s">
        <v>1197</v>
      </c>
      <c r="F147" s="591" t="s">
        <v>1198</v>
      </c>
      <c r="G147" s="591" t="s">
        <v>1199</v>
      </c>
      <c r="H147" s="591" t="s">
        <v>1200</v>
      </c>
      <c r="I147" s="119"/>
    </row>
    <row r="148" spans="3:11" s="59" customFormat="1" ht="24.6" customHeight="1">
      <c r="C148" s="176" t="s">
        <v>1201</v>
      </c>
      <c r="D148" s="182" t="s">
        <v>1202</v>
      </c>
      <c r="E148" s="70"/>
      <c r="F148" s="70"/>
      <c r="G148" s="70"/>
      <c r="H148" s="70"/>
      <c r="I148" s="119"/>
      <c r="J148" s="374" t="s">
        <v>1247</v>
      </c>
    </row>
    <row r="149" spans="3:11" s="59" customFormat="1" ht="24.6" customHeight="1">
      <c r="C149" s="450" t="s">
        <v>1208</v>
      </c>
      <c r="D149" s="67"/>
      <c r="E149" s="67"/>
      <c r="F149" s="142"/>
      <c r="G149" s="153"/>
      <c r="H149" s="283">
        <f>SUM(H148)</f>
        <v>0</v>
      </c>
      <c r="I149" s="319"/>
    </row>
    <row r="150" spans="3:11" s="59" customFormat="1" ht="24.6" customHeight="1">
      <c r="C150" s="176" t="s">
        <v>1209</v>
      </c>
      <c r="D150" s="182" t="s">
        <v>1210</v>
      </c>
      <c r="E150" s="70"/>
      <c r="F150" s="70"/>
      <c r="G150" s="70"/>
      <c r="H150" s="70"/>
      <c r="I150" s="119"/>
    </row>
    <row r="151" spans="3:11" s="59" customFormat="1" ht="24.6" customHeight="1">
      <c r="C151" s="886">
        <v>1</v>
      </c>
      <c r="D151" s="182" t="s">
        <v>5171</v>
      </c>
      <c r="E151" s="124" t="s">
        <v>65</v>
      </c>
      <c r="F151" s="125">
        <v>4.2972999999999999</v>
      </c>
      <c r="G151" s="890">
        <f>Beton!H22</f>
        <v>17147.68</v>
      </c>
      <c r="H151" s="889">
        <f>F151*G151</f>
        <v>73688.725263999993</v>
      </c>
      <c r="I151" s="119"/>
    </row>
    <row r="152" spans="3:11" s="59" customFormat="1" ht="24.6" customHeight="1">
      <c r="C152" s="886">
        <v>2</v>
      </c>
      <c r="D152" s="182" t="s">
        <v>5180</v>
      </c>
      <c r="E152" s="124" t="s">
        <v>44</v>
      </c>
      <c r="F152" s="125">
        <v>2.5000000000000001E-3</v>
      </c>
      <c r="G152" s="890">
        <f>H59</f>
        <v>304560.69874999998</v>
      </c>
      <c r="H152" s="889">
        <f>F152*G152</f>
        <v>761.40174687499996</v>
      </c>
      <c r="I152" s="119"/>
    </row>
    <row r="153" spans="3:11" s="59" customFormat="1" ht="24.6" customHeight="1">
      <c r="C153" s="886">
        <v>3</v>
      </c>
      <c r="D153" s="182" t="s">
        <v>5181</v>
      </c>
      <c r="E153" s="124" t="s">
        <v>135</v>
      </c>
      <c r="F153" s="125">
        <v>1</v>
      </c>
      <c r="G153" s="890">
        <f>H107</f>
        <v>14778.5</v>
      </c>
      <c r="H153" s="889">
        <f>F153*G153</f>
        <v>14778.5</v>
      </c>
      <c r="I153" s="119"/>
    </row>
    <row r="154" spans="3:11" s="59" customFormat="1" ht="24.6" customHeight="1">
      <c r="C154" s="886">
        <v>4</v>
      </c>
      <c r="D154" s="182" t="s">
        <v>5175</v>
      </c>
      <c r="E154" s="124" t="s">
        <v>42</v>
      </c>
      <c r="F154" s="125">
        <v>1.0999999999999999E-2</v>
      </c>
      <c r="G154" s="890">
        <f>Beton!H736</f>
        <v>1365763.2600333334</v>
      </c>
      <c r="H154" s="889">
        <f>F154*G154</f>
        <v>15023.395860366667</v>
      </c>
      <c r="I154" s="119"/>
    </row>
    <row r="155" spans="3:11" s="59" customFormat="1" ht="24.6" customHeight="1">
      <c r="C155" s="886">
        <v>5</v>
      </c>
      <c r="D155" s="182" t="s">
        <v>5176</v>
      </c>
      <c r="E155" s="124" t="s">
        <v>42</v>
      </c>
      <c r="F155" s="125">
        <v>1.0999999999999999E-2</v>
      </c>
      <c r="G155" s="890">
        <f>'Beton Pracetak'!I195</f>
        <v>65180.5</v>
      </c>
      <c r="H155" s="889">
        <f>F155*G155</f>
        <v>716.9855</v>
      </c>
      <c r="I155" s="119"/>
    </row>
    <row r="156" spans="3:11" s="59" customFormat="1" ht="24.6" customHeight="1">
      <c r="C156" s="450" t="s">
        <v>1214</v>
      </c>
      <c r="D156" s="67"/>
      <c r="E156" s="67"/>
      <c r="F156" s="67"/>
      <c r="G156" s="69"/>
      <c r="H156" s="283">
        <f>SUM(H150:H155)</f>
        <v>104969.00837124165</v>
      </c>
      <c r="I156" s="119"/>
    </row>
    <row r="157" spans="3:11" s="59" customFormat="1" ht="24.6" customHeight="1">
      <c r="C157" s="176" t="s">
        <v>1215</v>
      </c>
      <c r="D157" s="182" t="s">
        <v>1216</v>
      </c>
      <c r="E157" s="124"/>
      <c r="F157" s="70"/>
      <c r="G157" s="70"/>
      <c r="H157" s="70"/>
      <c r="I157" s="119"/>
    </row>
    <row r="158" spans="3:11" s="59" customFormat="1" ht="24.6" customHeight="1">
      <c r="C158" s="450" t="s">
        <v>1217</v>
      </c>
      <c r="D158" s="67"/>
      <c r="E158" s="67"/>
      <c r="F158" s="67"/>
      <c r="G158" s="69"/>
      <c r="H158" s="887">
        <f>SUM(H157:H157)</f>
        <v>0</v>
      </c>
      <c r="I158" s="119"/>
    </row>
    <row r="159" spans="3:11" s="59" customFormat="1" ht="24.6" customHeight="1">
      <c r="C159" s="102" t="s">
        <v>1218</v>
      </c>
      <c r="D159" s="294" t="s">
        <v>1219</v>
      </c>
      <c r="E159" s="295"/>
      <c r="F159" s="295"/>
      <c r="G159" s="296"/>
      <c r="H159" s="872">
        <f>H158+H156+H149</f>
        <v>104969.00837124165</v>
      </c>
      <c r="I159" s="873"/>
    </row>
    <row r="160" spans="3:11" s="59" customFormat="1" ht="24.6" customHeight="1">
      <c r="C160" s="102" t="s">
        <v>1220</v>
      </c>
      <c r="D160" s="294" t="s">
        <v>1321</v>
      </c>
      <c r="E160" s="295"/>
      <c r="F160" s="296"/>
      <c r="G160" s="298">
        <v>0.1</v>
      </c>
      <c r="H160" s="283">
        <f>H159*G160</f>
        <v>10496.900837124165</v>
      </c>
      <c r="I160" s="873"/>
    </row>
    <row r="161" spans="3:13" s="59" customFormat="1" ht="24.6" customHeight="1">
      <c r="C161" s="102" t="s">
        <v>1221</v>
      </c>
      <c r="D161" s="294" t="s">
        <v>1222</v>
      </c>
      <c r="E161" s="295"/>
      <c r="F161" s="295"/>
      <c r="G161" s="296"/>
      <c r="H161" s="874">
        <f>SUM(H159:H160)</f>
        <v>115465.90920836582</v>
      </c>
      <c r="I161" s="873"/>
    </row>
    <row r="162" spans="3:13" ht="24.6" customHeight="1"/>
    <row r="163" spans="3:13" ht="24.6" customHeight="1"/>
    <row r="164" spans="3:13" ht="24.6" customHeight="1">
      <c r="C164" s="126" t="s">
        <v>5182</v>
      </c>
      <c r="D164" s="138" t="s">
        <v>5183</v>
      </c>
    </row>
    <row r="165" spans="3:13" ht="24.6" customHeight="1">
      <c r="C165" s="126" t="s">
        <v>5184</v>
      </c>
      <c r="D165" s="138" t="s">
        <v>5185</v>
      </c>
      <c r="I165" s="120">
        <f>ROUNDDOWN(H182,-2)</f>
        <v>238600</v>
      </c>
    </row>
    <row r="166" spans="3:13" s="59" customFormat="1" ht="24.6" customHeight="1">
      <c r="C166" s="591" t="s">
        <v>1195</v>
      </c>
      <c r="D166" s="591" t="s">
        <v>1196</v>
      </c>
      <c r="E166" s="591" t="s">
        <v>1197</v>
      </c>
      <c r="F166" s="591" t="s">
        <v>1198</v>
      </c>
      <c r="G166" s="591" t="s">
        <v>1199</v>
      </c>
      <c r="H166" s="591" t="s">
        <v>1200</v>
      </c>
      <c r="I166" s="119"/>
    </row>
    <row r="167" spans="3:13" s="59" customFormat="1" ht="24.6" customHeight="1">
      <c r="C167" s="176" t="s">
        <v>1201</v>
      </c>
      <c r="D167" s="182" t="s">
        <v>1202</v>
      </c>
      <c r="E167" s="70"/>
      <c r="F167" s="70"/>
      <c r="G167" s="70"/>
      <c r="H167" s="70"/>
      <c r="I167" s="119"/>
      <c r="J167" s="374" t="s">
        <v>1247</v>
      </c>
    </row>
    <row r="168" spans="3:13" s="59" customFormat="1" ht="24.6" customHeight="1">
      <c r="C168" s="869">
        <v>1</v>
      </c>
      <c r="D168" s="182" t="s">
        <v>5</v>
      </c>
      <c r="E168" s="182" t="s">
        <v>6</v>
      </c>
      <c r="F168" s="315">
        <v>1.2569999999999999</v>
      </c>
      <c r="G168" s="283">
        <f>VLOOKUP(D168,upahbahan,3,FALSE)</f>
        <v>100000</v>
      </c>
      <c r="H168" s="283">
        <f>F168*G168</f>
        <v>125699.99999999999</v>
      </c>
      <c r="I168" s="119"/>
      <c r="J168" s="374" t="s">
        <v>1248</v>
      </c>
      <c r="M168" s="65">
        <v>0.1</v>
      </c>
    </row>
    <row r="169" spans="3:13" s="59" customFormat="1" ht="24.6" customHeight="1">
      <c r="C169" s="869">
        <v>2</v>
      </c>
      <c r="D169" s="182" t="s">
        <v>19</v>
      </c>
      <c r="E169" s="182" t="s">
        <v>6</v>
      </c>
      <c r="F169" s="315">
        <v>6.3E-2</v>
      </c>
      <c r="G169" s="283">
        <f>VLOOKUP(D169,upahbahan,3,FALSE)</f>
        <v>160000</v>
      </c>
      <c r="H169" s="283">
        <f t="shared" ref="H169" si="18">F169*G169</f>
        <v>10080</v>
      </c>
      <c r="I169" s="119"/>
    </row>
    <row r="170" spans="3:13" s="59" customFormat="1" ht="24.6" customHeight="1">
      <c r="C170" s="450" t="s">
        <v>1208</v>
      </c>
      <c r="D170" s="67"/>
      <c r="E170" s="67"/>
      <c r="F170" s="142"/>
      <c r="G170" s="153"/>
      <c r="H170" s="283">
        <f>SUM(H168:H169)</f>
        <v>135780</v>
      </c>
      <c r="I170" s="319"/>
    </row>
    <row r="171" spans="3:13" s="59" customFormat="1" ht="24.6" customHeight="1">
      <c r="C171" s="176" t="s">
        <v>1209</v>
      </c>
      <c r="D171" s="182" t="s">
        <v>1210</v>
      </c>
      <c r="E171" s="70"/>
      <c r="F171" s="70"/>
      <c r="G171" s="70"/>
      <c r="H171" s="70"/>
      <c r="I171" s="119"/>
    </row>
    <row r="172" spans="3:13" s="59" customFormat="1" ht="24.6" customHeight="1">
      <c r="C172" s="886">
        <v>1</v>
      </c>
      <c r="D172" s="182" t="s">
        <v>5186</v>
      </c>
      <c r="E172" s="124" t="s">
        <v>1300</v>
      </c>
      <c r="F172" s="127">
        <v>57.6</v>
      </c>
      <c r="G172" s="283">
        <f>VLOOKUP(D172,upahbahan,3,FALSE)</f>
        <v>0</v>
      </c>
      <c r="H172" s="283">
        <f>F172*G172</f>
        <v>0</v>
      </c>
      <c r="I172" s="119"/>
    </row>
    <row r="173" spans="3:13" s="59" customFormat="1" ht="24.6" customHeight="1">
      <c r="C173" s="886">
        <v>2</v>
      </c>
      <c r="D173" s="182" t="s">
        <v>5187</v>
      </c>
      <c r="E173" s="124" t="s">
        <v>2167</v>
      </c>
      <c r="F173" s="125">
        <v>3</v>
      </c>
      <c r="G173" s="283">
        <f>VLOOKUP(D173,upahbahan,3,FALSE)</f>
        <v>0</v>
      </c>
      <c r="H173" s="283">
        <f t="shared" ref="H173:H176" si="19">F173*G173</f>
        <v>0</v>
      </c>
      <c r="I173" s="119"/>
    </row>
    <row r="174" spans="3:13" s="59" customFormat="1" ht="24.6" customHeight="1">
      <c r="C174" s="886">
        <v>3</v>
      </c>
      <c r="D174" s="182" t="s">
        <v>118</v>
      </c>
      <c r="E174" s="124" t="s">
        <v>42</v>
      </c>
      <c r="F174" s="125">
        <v>6.3E-3</v>
      </c>
      <c r="G174" s="283">
        <f>VLOOKUP(D174,upahbahan,3,FALSE)</f>
        <v>0</v>
      </c>
      <c r="H174" s="283">
        <f t="shared" si="19"/>
        <v>0</v>
      </c>
      <c r="I174" s="119"/>
    </row>
    <row r="175" spans="3:13" s="59" customFormat="1" ht="24.6" customHeight="1">
      <c r="C175" s="886">
        <v>4</v>
      </c>
      <c r="D175" s="182" t="s">
        <v>124</v>
      </c>
      <c r="E175" s="124" t="s">
        <v>42</v>
      </c>
      <c r="F175" s="125">
        <v>2.0400000000000001E-2</v>
      </c>
      <c r="G175" s="283">
        <f>VLOOKUP(D175,upahbahan,3,FALSE)</f>
        <v>3150000</v>
      </c>
      <c r="H175" s="283">
        <f t="shared" si="19"/>
        <v>64260.000000000007</v>
      </c>
      <c r="I175" s="119"/>
    </row>
    <row r="176" spans="3:13" s="59" customFormat="1" ht="24.6" customHeight="1">
      <c r="C176" s="886">
        <v>5</v>
      </c>
      <c r="D176" s="182" t="s">
        <v>261</v>
      </c>
      <c r="E176" s="124" t="s">
        <v>2426</v>
      </c>
      <c r="F176" s="125">
        <v>0.5</v>
      </c>
      <c r="G176" s="283">
        <f>VLOOKUP(D176,upahbahan,3,FALSE)</f>
        <v>33901.875</v>
      </c>
      <c r="H176" s="283">
        <f t="shared" si="19"/>
        <v>16950.9375</v>
      </c>
      <c r="I176" s="119"/>
    </row>
    <row r="177" spans="3:11" s="59" customFormat="1" ht="24.6" customHeight="1">
      <c r="C177" s="450" t="s">
        <v>1214</v>
      </c>
      <c r="D177" s="67"/>
      <c r="E177" s="67"/>
      <c r="F177" s="67"/>
      <c r="G177" s="69"/>
      <c r="H177" s="283">
        <f>SUM(H171:H176)</f>
        <v>81210.9375</v>
      </c>
      <c r="I177" s="119"/>
    </row>
    <row r="178" spans="3:11" s="59" customFormat="1" ht="24.6" customHeight="1">
      <c r="C178" s="176" t="s">
        <v>1215</v>
      </c>
      <c r="D178" s="182" t="s">
        <v>1216</v>
      </c>
      <c r="E178" s="124"/>
      <c r="F178" s="70"/>
      <c r="G178" s="70"/>
      <c r="H178" s="70"/>
      <c r="I178" s="119"/>
    </row>
    <row r="179" spans="3:11" s="59" customFormat="1" ht="24.6" customHeight="1">
      <c r="C179" s="450" t="s">
        <v>1217</v>
      </c>
      <c r="D179" s="67"/>
      <c r="E179" s="67"/>
      <c r="F179" s="67"/>
      <c r="G179" s="69"/>
      <c r="H179" s="887">
        <f>SUM(H178:H178)</f>
        <v>0</v>
      </c>
      <c r="I179" s="119"/>
    </row>
    <row r="180" spans="3:11" s="59" customFormat="1" ht="24.6" customHeight="1">
      <c r="C180" s="102" t="s">
        <v>1218</v>
      </c>
      <c r="D180" s="294" t="s">
        <v>1219</v>
      </c>
      <c r="E180" s="295"/>
      <c r="F180" s="295"/>
      <c r="G180" s="296"/>
      <c r="H180" s="872">
        <f>H179+H177+H170</f>
        <v>216990.9375</v>
      </c>
      <c r="I180" s="873"/>
    </row>
    <row r="181" spans="3:11" s="59" customFormat="1" ht="24.6" customHeight="1">
      <c r="C181" s="102" t="s">
        <v>1220</v>
      </c>
      <c r="D181" s="294" t="s">
        <v>1321</v>
      </c>
      <c r="E181" s="295"/>
      <c r="F181" s="296"/>
      <c r="G181" s="298">
        <v>0.1</v>
      </c>
      <c r="H181" s="283">
        <f>H180*G181</f>
        <v>21699.09375</v>
      </c>
      <c r="I181" s="873"/>
    </row>
    <row r="182" spans="3:11" s="59" customFormat="1" ht="24.6" customHeight="1">
      <c r="C182" s="102" t="s">
        <v>1221</v>
      </c>
      <c r="D182" s="294" t="s">
        <v>1222</v>
      </c>
      <c r="E182" s="295"/>
      <c r="F182" s="295"/>
      <c r="G182" s="296"/>
      <c r="H182" s="874">
        <f>SUM(H180:H181)</f>
        <v>238690.03125</v>
      </c>
      <c r="I182" s="873"/>
    </row>
    <row r="183" spans="3:11" ht="24.6" customHeight="1"/>
    <row r="184" spans="3:11" s="121" customFormat="1" ht="24.6" customHeight="1"/>
    <row r="185" spans="3:11" ht="24.6" customHeight="1">
      <c r="C185" s="126" t="s">
        <v>5188</v>
      </c>
      <c r="D185" s="138" t="s">
        <v>5189</v>
      </c>
      <c r="I185" s="120">
        <f>ROUNDDOWN(H198,-2)</f>
        <v>23470200</v>
      </c>
      <c r="J185" s="146" t="s">
        <v>6451</v>
      </c>
      <c r="K185" s="146" t="s">
        <v>8775</v>
      </c>
    </row>
    <row r="186" spans="3:11" s="59" customFormat="1" ht="24.6" customHeight="1">
      <c r="C186" s="591" t="s">
        <v>1195</v>
      </c>
      <c r="D186" s="591" t="s">
        <v>1196</v>
      </c>
      <c r="E186" s="591" t="s">
        <v>1197</v>
      </c>
      <c r="F186" s="591" t="s">
        <v>1198</v>
      </c>
      <c r="G186" s="591" t="s">
        <v>1199</v>
      </c>
      <c r="H186" s="591" t="s">
        <v>1200</v>
      </c>
      <c r="I186" s="119"/>
    </row>
    <row r="187" spans="3:11" s="59" customFormat="1" ht="24.6" customHeight="1">
      <c r="C187" s="176" t="s">
        <v>1201</v>
      </c>
      <c r="D187" s="182" t="s">
        <v>1202</v>
      </c>
      <c r="E187" s="70"/>
      <c r="F187" s="70"/>
      <c r="G187" s="70"/>
      <c r="H187" s="70"/>
      <c r="I187" s="119"/>
      <c r="J187" s="374" t="s">
        <v>1247</v>
      </c>
    </row>
    <row r="188" spans="3:11" s="59" customFormat="1" ht="24.6" customHeight="1">
      <c r="C188" s="450" t="s">
        <v>1208</v>
      </c>
      <c r="D188" s="67"/>
      <c r="E188" s="67"/>
      <c r="F188" s="142"/>
      <c r="G188" s="153"/>
      <c r="H188" s="283">
        <f>SUM(H187)</f>
        <v>0</v>
      </c>
      <c r="I188" s="319"/>
    </row>
    <row r="189" spans="3:11" s="59" customFormat="1" ht="24.6" customHeight="1">
      <c r="C189" s="176" t="s">
        <v>1209</v>
      </c>
      <c r="D189" s="182" t="s">
        <v>1210</v>
      </c>
      <c r="E189" s="70"/>
      <c r="F189" s="70"/>
      <c r="G189" s="70"/>
      <c r="H189" s="70"/>
      <c r="I189" s="119"/>
    </row>
    <row r="190" spans="3:11" s="59" customFormat="1" ht="24.6" customHeight="1">
      <c r="C190" s="886">
        <v>1</v>
      </c>
      <c r="D190" s="182" t="s">
        <v>5190</v>
      </c>
      <c r="E190" s="124" t="s">
        <v>2167</v>
      </c>
      <c r="F190" s="127">
        <v>78</v>
      </c>
      <c r="G190" s="283">
        <f>I109</f>
        <v>172200</v>
      </c>
      <c r="H190" s="283">
        <f>F190*G190</f>
        <v>13431600</v>
      </c>
      <c r="I190" s="119"/>
    </row>
    <row r="191" spans="3:11" s="59" customFormat="1" ht="24.6" customHeight="1">
      <c r="C191" s="886">
        <v>2</v>
      </c>
      <c r="D191" s="182" t="s">
        <v>5191</v>
      </c>
      <c r="E191" s="124" t="s">
        <v>2167</v>
      </c>
      <c r="F191" s="125">
        <v>30</v>
      </c>
      <c r="G191" s="283">
        <f>I128</f>
        <v>148100</v>
      </c>
      <c r="H191" s="283">
        <f t="shared" ref="H191:H192" si="20">F191*G191</f>
        <v>4443000</v>
      </c>
      <c r="I191" s="119"/>
    </row>
    <row r="192" spans="3:11" s="59" customFormat="1" ht="24.6" customHeight="1">
      <c r="C192" s="886">
        <v>3</v>
      </c>
      <c r="D192" s="182" t="s">
        <v>5192</v>
      </c>
      <c r="E192" s="124" t="s">
        <v>2167</v>
      </c>
      <c r="F192" s="125">
        <v>30</v>
      </c>
      <c r="G192" s="283">
        <f>I146</f>
        <v>115400</v>
      </c>
      <c r="H192" s="283">
        <f t="shared" si="20"/>
        <v>3462000</v>
      </c>
      <c r="I192" s="119"/>
    </row>
    <row r="193" spans="3:10" s="59" customFormat="1" ht="24.6" customHeight="1">
      <c r="C193" s="450" t="s">
        <v>1214</v>
      </c>
      <c r="D193" s="67"/>
      <c r="E193" s="67"/>
      <c r="F193" s="67"/>
      <c r="G193" s="69"/>
      <c r="H193" s="283">
        <f>SUM(H189:H192)</f>
        <v>21336600</v>
      </c>
      <c r="I193" s="119"/>
    </row>
    <row r="194" spans="3:10" s="59" customFormat="1" ht="24.6" customHeight="1">
      <c r="C194" s="176" t="s">
        <v>1215</v>
      </c>
      <c r="D194" s="182" t="s">
        <v>1216</v>
      </c>
      <c r="E194" s="124"/>
      <c r="F194" s="70"/>
      <c r="G194" s="70"/>
      <c r="H194" s="70"/>
      <c r="I194" s="119"/>
    </row>
    <row r="195" spans="3:10" s="59" customFormat="1" ht="24.6" customHeight="1">
      <c r="C195" s="450" t="s">
        <v>1217</v>
      </c>
      <c r="D195" s="67"/>
      <c r="E195" s="67"/>
      <c r="F195" s="67"/>
      <c r="G195" s="69"/>
      <c r="H195" s="887">
        <f>SUM(H194:H194)</f>
        <v>0</v>
      </c>
      <c r="I195" s="119"/>
    </row>
    <row r="196" spans="3:10" s="59" customFormat="1" ht="24.6" customHeight="1">
      <c r="C196" s="102" t="s">
        <v>1218</v>
      </c>
      <c r="D196" s="294" t="s">
        <v>1219</v>
      </c>
      <c r="E196" s="295"/>
      <c r="F196" s="295"/>
      <c r="G196" s="296"/>
      <c r="H196" s="872">
        <f>H195+H193+H188</f>
        <v>21336600</v>
      </c>
      <c r="I196" s="873"/>
    </row>
    <row r="197" spans="3:10" s="59" customFormat="1" ht="24.6" customHeight="1">
      <c r="C197" s="102" t="s">
        <v>1220</v>
      </c>
      <c r="D197" s="294" t="s">
        <v>1321</v>
      </c>
      <c r="E197" s="295"/>
      <c r="F197" s="296"/>
      <c r="G197" s="298">
        <v>0.1</v>
      </c>
      <c r="H197" s="283">
        <f>H196*G197</f>
        <v>2133660</v>
      </c>
      <c r="I197" s="873"/>
    </row>
    <row r="198" spans="3:10" s="59" customFormat="1" ht="24.6" customHeight="1">
      <c r="C198" s="102" t="s">
        <v>1221</v>
      </c>
      <c r="D198" s="294" t="s">
        <v>1222</v>
      </c>
      <c r="E198" s="295"/>
      <c r="F198" s="295"/>
      <c r="G198" s="296"/>
      <c r="H198" s="874">
        <f>SUM(H196:H197)</f>
        <v>23470260</v>
      </c>
      <c r="I198" s="873"/>
    </row>
    <row r="199" spans="3:10" ht="24.6" customHeight="1"/>
    <row r="200" spans="3:10" ht="24.6" customHeight="1"/>
    <row r="201" spans="3:10" ht="24.6" customHeight="1">
      <c r="C201" s="126" t="s">
        <v>5193</v>
      </c>
      <c r="D201" s="138" t="s">
        <v>5194</v>
      </c>
    </row>
    <row r="202" spans="3:10" ht="24.6" customHeight="1">
      <c r="C202" s="126" t="s">
        <v>5195</v>
      </c>
      <c r="D202" s="138" t="s">
        <v>5196</v>
      </c>
      <c r="I202" s="120">
        <f>ROUNDDOWN(H215,-2)</f>
        <v>0</v>
      </c>
    </row>
    <row r="203" spans="3:10" s="59" customFormat="1" ht="24.6" customHeight="1">
      <c r="C203" s="591" t="s">
        <v>1195</v>
      </c>
      <c r="D203" s="591" t="s">
        <v>1196</v>
      </c>
      <c r="E203" s="591" t="s">
        <v>1197</v>
      </c>
      <c r="F203" s="591" t="s">
        <v>1198</v>
      </c>
      <c r="G203" s="591" t="s">
        <v>1199</v>
      </c>
      <c r="H203" s="591" t="s">
        <v>1200</v>
      </c>
      <c r="I203" s="119"/>
    </row>
    <row r="204" spans="3:10" s="59" customFormat="1" ht="24.6" customHeight="1">
      <c r="C204" s="176" t="s">
        <v>1201</v>
      </c>
      <c r="D204" s="182" t="s">
        <v>1202</v>
      </c>
      <c r="E204" s="70"/>
      <c r="F204" s="70"/>
      <c r="G204" s="70"/>
      <c r="H204" s="70"/>
      <c r="I204" s="119"/>
      <c r="J204" s="374" t="s">
        <v>1247</v>
      </c>
    </row>
    <row r="205" spans="3:10" s="59" customFormat="1" ht="24.6" customHeight="1">
      <c r="C205" s="176">
        <v>1</v>
      </c>
      <c r="D205" s="182" t="s">
        <v>5</v>
      </c>
      <c r="E205" s="124" t="s">
        <v>6</v>
      </c>
      <c r="F205" s="581">
        <v>8</v>
      </c>
      <c r="G205" s="283">
        <f>VLOOKUP(D205,upahbahan,3,FALSE)</f>
        <v>100000</v>
      </c>
      <c r="H205" s="889">
        <f>F205*G205</f>
        <v>800000</v>
      </c>
      <c r="I205" s="119"/>
      <c r="J205" s="374"/>
    </row>
    <row r="206" spans="3:10" s="59" customFormat="1" ht="24.6" customHeight="1">
      <c r="C206" s="176">
        <v>2</v>
      </c>
      <c r="D206" s="182" t="s">
        <v>7</v>
      </c>
      <c r="E206" s="124" t="s">
        <v>6</v>
      </c>
      <c r="F206" s="581">
        <v>2</v>
      </c>
      <c r="G206" s="283">
        <f>VLOOKUP(D206,upahbahan,3,FALSE)</f>
        <v>135000</v>
      </c>
      <c r="H206" s="889">
        <f t="shared" ref="H206:H208" si="21">F206*G206</f>
        <v>270000</v>
      </c>
      <c r="I206" s="119"/>
      <c r="J206" s="374"/>
    </row>
    <row r="207" spans="3:10" s="59" customFormat="1" ht="24.6" customHeight="1">
      <c r="C207" s="176">
        <v>3</v>
      </c>
      <c r="D207" s="182" t="s">
        <v>18</v>
      </c>
      <c r="E207" s="124" t="s">
        <v>6</v>
      </c>
      <c r="F207" s="581">
        <v>0.2</v>
      </c>
      <c r="G207" s="283">
        <f>VLOOKUP(D207,upahbahan,3,FALSE)</f>
        <v>150000</v>
      </c>
      <c r="H207" s="889">
        <f t="shared" si="21"/>
        <v>30000</v>
      </c>
      <c r="I207" s="119"/>
      <c r="J207" s="374"/>
    </row>
    <row r="208" spans="3:10" s="59" customFormat="1" ht="24.6" customHeight="1">
      <c r="C208" s="176">
        <v>4</v>
      </c>
      <c r="D208" s="182" t="s">
        <v>19</v>
      </c>
      <c r="E208" s="124" t="s">
        <v>6</v>
      </c>
      <c r="F208" s="581">
        <v>0.04</v>
      </c>
      <c r="G208" s="283">
        <f>VLOOKUP(D208,upahbahan,3,FALSE)</f>
        <v>160000</v>
      </c>
      <c r="H208" s="889">
        <f t="shared" si="21"/>
        <v>6400</v>
      </c>
      <c r="I208" s="119"/>
      <c r="J208" s="374"/>
    </row>
    <row r="209" spans="3:9" s="59" customFormat="1" ht="24.6" customHeight="1">
      <c r="C209" s="450" t="s">
        <v>1208</v>
      </c>
      <c r="D209" s="67"/>
      <c r="E209" s="67"/>
      <c r="F209" s="142"/>
      <c r="G209" s="153"/>
      <c r="H209" s="283">
        <f>SUM(H205:H208)</f>
        <v>1106400</v>
      </c>
      <c r="I209" s="319"/>
    </row>
    <row r="210" spans="3:9" s="59" customFormat="1" ht="24.6" customHeight="1">
      <c r="C210" s="176" t="s">
        <v>1209</v>
      </c>
      <c r="D210" s="182" t="s">
        <v>1210</v>
      </c>
      <c r="E210" s="70"/>
      <c r="F210" s="70"/>
      <c r="G210" s="70"/>
      <c r="H210" s="70"/>
      <c r="I210" s="119"/>
    </row>
    <row r="211" spans="3:9" s="59" customFormat="1" ht="24.6" customHeight="1">
      <c r="C211" s="886" t="s">
        <v>5197</v>
      </c>
      <c r="D211" s="182" t="s">
        <v>5198</v>
      </c>
      <c r="E211" s="70"/>
      <c r="F211" s="70"/>
      <c r="G211" s="70"/>
      <c r="H211" s="70"/>
      <c r="I211" s="119"/>
    </row>
    <row r="212" spans="3:9" s="59" customFormat="1" ht="24.6" customHeight="1">
      <c r="C212" s="886">
        <v>1</v>
      </c>
      <c r="D212" s="182" t="s">
        <v>5537</v>
      </c>
      <c r="E212" s="124" t="s">
        <v>2167</v>
      </c>
      <c r="F212" s="334">
        <v>104</v>
      </c>
      <c r="G212" s="283">
        <f>VLOOKUP(D212,upahbahan,3,FALSE)</f>
        <v>0</v>
      </c>
      <c r="H212" s="283">
        <f>F212*G212</f>
        <v>0</v>
      </c>
      <c r="I212" s="119"/>
    </row>
    <row r="213" spans="3:9" s="59" customFormat="1" ht="24.6" customHeight="1">
      <c r="C213" s="886">
        <v>2</v>
      </c>
      <c r="D213" s="182" t="s">
        <v>5538</v>
      </c>
      <c r="E213" s="124" t="s">
        <v>2167</v>
      </c>
      <c r="F213" s="334">
        <v>133</v>
      </c>
      <c r="G213" s="283">
        <f>VLOOKUP(D213,upahbahan,3,FALSE)</f>
        <v>0</v>
      </c>
      <c r="H213" s="283">
        <f t="shared" ref="H213:H223" si="22">F213*G213</f>
        <v>0</v>
      </c>
      <c r="I213" s="119"/>
    </row>
    <row r="214" spans="3:9" s="59" customFormat="1" ht="24.6" customHeight="1">
      <c r="C214" s="886">
        <v>3</v>
      </c>
      <c r="D214" s="182" t="s">
        <v>5539</v>
      </c>
      <c r="E214" s="124" t="s">
        <v>2167</v>
      </c>
      <c r="F214" s="334">
        <v>156</v>
      </c>
      <c r="G214" s="283">
        <f>VLOOKUP(D214,upahbahan,3,FALSE)</f>
        <v>0</v>
      </c>
      <c r="H214" s="283">
        <f t="shared" si="22"/>
        <v>0</v>
      </c>
      <c r="I214" s="119"/>
    </row>
    <row r="215" spans="3:9" s="59" customFormat="1" ht="24.6" customHeight="1">
      <c r="C215" s="886">
        <v>4</v>
      </c>
      <c r="D215" s="182" t="s">
        <v>5199</v>
      </c>
      <c r="E215" s="124" t="s">
        <v>2167</v>
      </c>
      <c r="F215" s="334">
        <v>786</v>
      </c>
      <c r="G215" s="283">
        <f>VLOOKUP(D215,upahbahan,3,FALSE)</f>
        <v>0</v>
      </c>
      <c r="H215" s="283">
        <f t="shared" si="22"/>
        <v>0</v>
      </c>
      <c r="I215" s="119"/>
    </row>
    <row r="216" spans="3:9" s="59" customFormat="1" ht="24.6" customHeight="1">
      <c r="C216" s="886" t="s">
        <v>5200</v>
      </c>
      <c r="D216" s="182" t="s">
        <v>5201</v>
      </c>
      <c r="E216" s="124"/>
      <c r="F216" s="334"/>
      <c r="G216" s="283"/>
      <c r="H216" s="283"/>
      <c r="I216" s="119"/>
    </row>
    <row r="217" spans="3:9" s="59" customFormat="1" ht="24.6" customHeight="1">
      <c r="C217" s="886">
        <v>1</v>
      </c>
      <c r="D217" s="182" t="s">
        <v>5202</v>
      </c>
      <c r="E217" s="124" t="s">
        <v>2167</v>
      </c>
      <c r="F217" s="334">
        <v>80</v>
      </c>
      <c r="G217" s="283">
        <f>VLOOKUP(D217,upahbahan,3,FALSE)</f>
        <v>0</v>
      </c>
      <c r="H217" s="283">
        <f t="shared" si="22"/>
        <v>0</v>
      </c>
      <c r="I217" s="119"/>
    </row>
    <row r="218" spans="3:9" s="59" customFormat="1" ht="24.6" customHeight="1">
      <c r="C218" s="886"/>
      <c r="D218" s="182" t="s">
        <v>5203</v>
      </c>
      <c r="E218" s="124" t="s">
        <v>2167</v>
      </c>
      <c r="F218" s="334">
        <v>24</v>
      </c>
      <c r="G218" s="283">
        <f>VLOOKUP(D218,upahbahan,3,FALSE)</f>
        <v>0</v>
      </c>
      <c r="H218" s="283">
        <f t="shared" si="22"/>
        <v>0</v>
      </c>
      <c r="I218" s="119"/>
    </row>
    <row r="219" spans="3:9" s="59" customFormat="1" ht="24.6" customHeight="1">
      <c r="C219" s="886"/>
      <c r="D219" s="182" t="s">
        <v>5204</v>
      </c>
      <c r="E219" s="124" t="s">
        <v>2167</v>
      </c>
      <c r="F219" s="334">
        <v>174</v>
      </c>
      <c r="G219" s="283">
        <f>VLOOKUP(D219,upahbahan,3,FALSE)</f>
        <v>0</v>
      </c>
      <c r="H219" s="283">
        <f t="shared" si="22"/>
        <v>0</v>
      </c>
      <c r="I219" s="119"/>
    </row>
    <row r="220" spans="3:9" s="59" customFormat="1" ht="24.6" customHeight="1">
      <c r="C220" s="886"/>
      <c r="D220" s="182" t="s">
        <v>5205</v>
      </c>
      <c r="E220" s="124" t="s">
        <v>2167</v>
      </c>
      <c r="F220" s="334">
        <v>12</v>
      </c>
      <c r="G220" s="283">
        <f>VLOOKUP(D220,upahbahan,3,FALSE)</f>
        <v>0</v>
      </c>
      <c r="H220" s="283">
        <f t="shared" si="22"/>
        <v>0</v>
      </c>
      <c r="I220" s="119"/>
    </row>
    <row r="221" spans="3:9" s="59" customFormat="1" ht="24.6" customHeight="1">
      <c r="C221" s="886" t="s">
        <v>5206</v>
      </c>
      <c r="D221" s="182" t="s">
        <v>5207</v>
      </c>
      <c r="E221" s="124"/>
      <c r="F221" s="334"/>
      <c r="G221" s="283"/>
      <c r="H221" s="283"/>
      <c r="I221" s="119"/>
    </row>
    <row r="222" spans="3:9" s="59" customFormat="1" ht="33.6" customHeight="1">
      <c r="C222" s="886">
        <v>1</v>
      </c>
      <c r="D222" s="182" t="s">
        <v>5540</v>
      </c>
      <c r="E222" s="124" t="s">
        <v>2167</v>
      </c>
      <c r="F222" s="334">
        <v>30</v>
      </c>
      <c r="G222" s="283">
        <f>VLOOKUP(D222,upahbahan,3,FALSE)</f>
        <v>0</v>
      </c>
      <c r="H222" s="283">
        <f t="shared" si="22"/>
        <v>0</v>
      </c>
      <c r="I222" s="119"/>
    </row>
    <row r="223" spans="3:9" s="59" customFormat="1" ht="33" customHeight="1">
      <c r="C223" s="886">
        <v>2</v>
      </c>
      <c r="D223" s="182" t="s">
        <v>5208</v>
      </c>
      <c r="E223" s="124" t="s">
        <v>2167</v>
      </c>
      <c r="F223" s="334">
        <v>15</v>
      </c>
      <c r="G223" s="283">
        <f>VLOOKUP(D223,upahbahan,3,FALSE)</f>
        <v>0</v>
      </c>
      <c r="H223" s="283">
        <f t="shared" si="22"/>
        <v>0</v>
      </c>
      <c r="I223" s="119"/>
    </row>
    <row r="224" spans="3:9" s="59" customFormat="1" ht="24.6" customHeight="1">
      <c r="C224" s="450" t="s">
        <v>1214</v>
      </c>
      <c r="D224" s="67"/>
      <c r="E224" s="67"/>
      <c r="F224" s="67"/>
      <c r="G224" s="69"/>
      <c r="H224" s="283">
        <f>SUM(H210:H223)</f>
        <v>0</v>
      </c>
      <c r="I224" s="119"/>
    </row>
    <row r="225" spans="3:13" s="59" customFormat="1" ht="24.6" customHeight="1">
      <c r="C225" s="176" t="s">
        <v>1215</v>
      </c>
      <c r="D225" s="182" t="s">
        <v>1216</v>
      </c>
      <c r="E225" s="124"/>
      <c r="F225" s="70"/>
      <c r="G225" s="70"/>
      <c r="H225" s="70"/>
      <c r="I225" s="119"/>
    </row>
    <row r="226" spans="3:13" s="59" customFormat="1" ht="24.6" customHeight="1">
      <c r="C226" s="450" t="s">
        <v>1217</v>
      </c>
      <c r="D226" s="67"/>
      <c r="E226" s="67"/>
      <c r="F226" s="67"/>
      <c r="G226" s="69"/>
      <c r="H226" s="887">
        <f>SUM(H225:H225)</f>
        <v>0</v>
      </c>
      <c r="I226" s="119"/>
    </row>
    <row r="227" spans="3:13" s="59" customFormat="1" ht="24.6" customHeight="1">
      <c r="C227" s="102" t="s">
        <v>1218</v>
      </c>
      <c r="D227" s="294" t="s">
        <v>1219</v>
      </c>
      <c r="E227" s="295"/>
      <c r="F227" s="295"/>
      <c r="G227" s="296"/>
      <c r="H227" s="872">
        <f>H226+H224+H209</f>
        <v>1106400</v>
      </c>
      <c r="I227" s="873"/>
    </row>
    <row r="228" spans="3:13" s="59" customFormat="1" ht="24.6" customHeight="1">
      <c r="C228" s="102" t="s">
        <v>1220</v>
      </c>
      <c r="D228" s="294" t="s">
        <v>1321</v>
      </c>
      <c r="E228" s="295"/>
      <c r="F228" s="296"/>
      <c r="G228" s="298">
        <v>0.1</v>
      </c>
      <c r="H228" s="283">
        <f>H227*G228</f>
        <v>110640</v>
      </c>
      <c r="I228" s="873"/>
    </row>
    <row r="229" spans="3:13" s="59" customFormat="1" ht="24.6" customHeight="1">
      <c r="C229" s="102" t="s">
        <v>1221</v>
      </c>
      <c r="D229" s="294" t="s">
        <v>1222</v>
      </c>
      <c r="E229" s="295"/>
      <c r="F229" s="295"/>
      <c r="G229" s="296"/>
      <c r="H229" s="874">
        <f>SUM(H227:H228)</f>
        <v>1217040</v>
      </c>
      <c r="I229" s="873"/>
    </row>
    <row r="230" spans="3:13" ht="24.6" customHeight="1"/>
    <row r="231" spans="3:13" ht="24.6" customHeight="1">
      <c r="C231" s="126" t="s">
        <v>5209</v>
      </c>
      <c r="D231" s="138" t="s">
        <v>5210</v>
      </c>
      <c r="I231" s="120">
        <f>ROUNDDOWN(H245,-2)</f>
        <v>1280400</v>
      </c>
    </row>
    <row r="232" spans="3:13" s="59" customFormat="1" ht="24.6" customHeight="1">
      <c r="C232" s="591" t="s">
        <v>1195</v>
      </c>
      <c r="D232" s="591" t="s">
        <v>1196</v>
      </c>
      <c r="E232" s="591" t="s">
        <v>1197</v>
      </c>
      <c r="F232" s="591" t="s">
        <v>1198</v>
      </c>
      <c r="G232" s="591" t="s">
        <v>1199</v>
      </c>
      <c r="H232" s="591" t="s">
        <v>1200</v>
      </c>
      <c r="I232" s="119"/>
    </row>
    <row r="233" spans="3:13" s="59" customFormat="1" ht="24.6" customHeight="1">
      <c r="C233" s="176" t="s">
        <v>1201</v>
      </c>
      <c r="D233" s="182" t="s">
        <v>1202</v>
      </c>
      <c r="E233" s="70"/>
      <c r="F233" s="70"/>
      <c r="G233" s="70"/>
      <c r="H233" s="70"/>
      <c r="I233" s="119"/>
      <c r="J233" s="374" t="s">
        <v>1247</v>
      </c>
    </row>
    <row r="234" spans="3:13" s="59" customFormat="1" ht="24.6" customHeight="1">
      <c r="C234" s="869">
        <v>1</v>
      </c>
      <c r="D234" s="182" t="s">
        <v>5</v>
      </c>
      <c r="E234" s="182" t="s">
        <v>6</v>
      </c>
      <c r="F234" s="315">
        <v>8</v>
      </c>
      <c r="G234" s="283">
        <f>VLOOKUP(D234,upahbahan,3,FALSE)</f>
        <v>100000</v>
      </c>
      <c r="H234" s="283">
        <f>F234*G234</f>
        <v>800000</v>
      </c>
      <c r="I234" s="119"/>
      <c r="J234" s="374" t="s">
        <v>1248</v>
      </c>
      <c r="M234" s="65">
        <v>0.1</v>
      </c>
    </row>
    <row r="235" spans="3:13" s="59" customFormat="1" ht="24.6" customHeight="1">
      <c r="C235" s="869">
        <v>2</v>
      </c>
      <c r="D235" s="182" t="s">
        <v>7</v>
      </c>
      <c r="E235" s="182" t="s">
        <v>6</v>
      </c>
      <c r="F235" s="315">
        <v>2</v>
      </c>
      <c r="G235" s="283">
        <f>VLOOKUP(D235,upahbahan,3,FALSE)</f>
        <v>135000</v>
      </c>
      <c r="H235" s="283">
        <f t="shared" ref="H235:H237" si="23">F235*G235</f>
        <v>270000</v>
      </c>
      <c r="I235" s="119"/>
      <c r="J235" s="374"/>
      <c r="M235" s="65"/>
    </row>
    <row r="236" spans="3:13" s="59" customFormat="1" ht="24.6" customHeight="1">
      <c r="C236" s="869">
        <v>3</v>
      </c>
      <c r="D236" s="182" t="s">
        <v>18</v>
      </c>
      <c r="E236" s="182" t="s">
        <v>6</v>
      </c>
      <c r="F236" s="315">
        <v>0.2</v>
      </c>
      <c r="G236" s="283">
        <f>VLOOKUP(D236,upahbahan,3,FALSE)</f>
        <v>150000</v>
      </c>
      <c r="H236" s="283">
        <f t="shared" si="23"/>
        <v>30000</v>
      </c>
      <c r="I236" s="119"/>
      <c r="J236" s="374"/>
      <c r="M236" s="65"/>
    </row>
    <row r="237" spans="3:13" s="59" customFormat="1" ht="24.6" customHeight="1">
      <c r="C237" s="869">
        <v>4</v>
      </c>
      <c r="D237" s="182" t="s">
        <v>19</v>
      </c>
      <c r="E237" s="182" t="s">
        <v>6</v>
      </c>
      <c r="F237" s="315">
        <v>0.4</v>
      </c>
      <c r="G237" s="283">
        <f>VLOOKUP(D237,upahbahan,3,FALSE)</f>
        <v>160000</v>
      </c>
      <c r="H237" s="283">
        <f t="shared" si="23"/>
        <v>64000</v>
      </c>
      <c r="I237" s="119"/>
    </row>
    <row r="238" spans="3:13" s="59" customFormat="1" ht="24.6" customHeight="1">
      <c r="C238" s="450" t="s">
        <v>1208</v>
      </c>
      <c r="D238" s="67"/>
      <c r="E238" s="67"/>
      <c r="F238" s="142"/>
      <c r="G238" s="153"/>
      <c r="H238" s="283">
        <f>SUM(H234:H237)</f>
        <v>1164000</v>
      </c>
      <c r="I238" s="319"/>
    </row>
    <row r="239" spans="3:13" s="59" customFormat="1" ht="24.6" customHeight="1">
      <c r="C239" s="176" t="s">
        <v>1209</v>
      </c>
      <c r="D239" s="182" t="s">
        <v>1210</v>
      </c>
      <c r="E239" s="70"/>
      <c r="F239" s="70"/>
      <c r="G239" s="70"/>
      <c r="H239" s="70"/>
      <c r="I239" s="119"/>
    </row>
    <row r="240" spans="3:13" s="59" customFormat="1" ht="24.6" customHeight="1">
      <c r="C240" s="450" t="s">
        <v>1214</v>
      </c>
      <c r="D240" s="67"/>
      <c r="E240" s="67"/>
      <c r="F240" s="67"/>
      <c r="G240" s="69"/>
      <c r="H240" s="283">
        <f>SUM(H239:H239)</f>
        <v>0</v>
      </c>
      <c r="I240" s="119"/>
    </row>
    <row r="241" spans="3:9" s="59" customFormat="1" ht="24.6" customHeight="1">
      <c r="C241" s="176" t="s">
        <v>1215</v>
      </c>
      <c r="D241" s="182" t="s">
        <v>1216</v>
      </c>
      <c r="E241" s="124"/>
      <c r="F241" s="70"/>
      <c r="G241" s="70"/>
      <c r="H241" s="70"/>
      <c r="I241" s="119"/>
    </row>
    <row r="242" spans="3:9" s="59" customFormat="1" ht="24.6" customHeight="1">
      <c r="C242" s="450" t="s">
        <v>1217</v>
      </c>
      <c r="D242" s="67"/>
      <c r="E242" s="67"/>
      <c r="F242" s="67"/>
      <c r="G242" s="69"/>
      <c r="H242" s="887">
        <f>SUM(H241:H241)</f>
        <v>0</v>
      </c>
      <c r="I242" s="119"/>
    </row>
    <row r="243" spans="3:9" s="59" customFormat="1" ht="24.6" customHeight="1">
      <c r="C243" s="102" t="s">
        <v>1218</v>
      </c>
      <c r="D243" s="294" t="s">
        <v>1219</v>
      </c>
      <c r="E243" s="295"/>
      <c r="F243" s="295"/>
      <c r="G243" s="296"/>
      <c r="H243" s="872">
        <f>H242+H240+H238</f>
        <v>1164000</v>
      </c>
      <c r="I243" s="873"/>
    </row>
    <row r="244" spans="3:9" s="59" customFormat="1" ht="24.6" customHeight="1">
      <c r="C244" s="102" t="s">
        <v>1220</v>
      </c>
      <c r="D244" s="294" t="s">
        <v>1321</v>
      </c>
      <c r="E244" s="295"/>
      <c r="F244" s="296"/>
      <c r="G244" s="298">
        <v>0.1</v>
      </c>
      <c r="H244" s="283">
        <f>H243*G244</f>
        <v>116400</v>
      </c>
      <c r="I244" s="873"/>
    </row>
    <row r="245" spans="3:9" s="59" customFormat="1" ht="24.6" customHeight="1">
      <c r="C245" s="102" t="s">
        <v>1221</v>
      </c>
      <c r="D245" s="294" t="s">
        <v>1222</v>
      </c>
      <c r="E245" s="295"/>
      <c r="F245" s="295"/>
      <c r="G245" s="296"/>
      <c r="H245" s="874">
        <f>SUM(H243:H244)</f>
        <v>1280400</v>
      </c>
      <c r="I245" s="873"/>
    </row>
  </sheetData>
  <dataValidations count="1">
    <dataValidation type="list" allowBlank="1" showInputMessage="1" showErrorMessage="1" sqref="D7:D10 D26:D29 D45:D48 D64:D66 D80:D82 D96:D98 D168:D169 D234:D237" xr:uid="{00000000-0002-0000-2800-000000000000}">
      <formula1>TENAGA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FD55D-61A4-454E-A399-2E2DEE54242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28</vt:i4>
      </vt:variant>
    </vt:vector>
  </HeadingPairs>
  <TitlesOfParts>
    <vt:vector size="78" baseType="lpstr">
      <vt:lpstr>TABEL BESI</vt:lpstr>
      <vt:lpstr>Perhitungan Volume</vt:lpstr>
      <vt:lpstr>Upah Bahan</vt:lpstr>
      <vt:lpstr>AHSP MCK</vt:lpstr>
      <vt:lpstr>SMKK</vt:lpstr>
      <vt:lpstr>Vol</vt:lpstr>
      <vt:lpstr>Harsat MCK</vt:lpstr>
      <vt:lpstr>Harga Satuan</vt:lpstr>
      <vt:lpstr>RAB</vt:lpstr>
      <vt:lpstr>RAB (2)</vt:lpstr>
      <vt:lpstr>RAB (3)</vt:lpstr>
      <vt:lpstr>Persiapan</vt:lpstr>
      <vt:lpstr>Galian Tanah</vt:lpstr>
      <vt:lpstr>Timbunan Pemadatan</vt:lpstr>
      <vt:lpstr>Angkut Material</vt:lpstr>
      <vt:lpstr>Geotekstil &amp; Geomembran </vt:lpstr>
      <vt:lpstr>Pembongkaran</vt:lpstr>
      <vt:lpstr>Rangka Atap</vt:lpstr>
      <vt:lpstr>Beton</vt:lpstr>
      <vt:lpstr>Pondasi</vt:lpstr>
      <vt:lpstr>BAJA</vt:lpstr>
      <vt:lpstr>Beton Pracetak</vt:lpstr>
      <vt:lpstr>Beton Prategang </vt:lpstr>
      <vt:lpstr>Struktur Kayu</vt:lpstr>
      <vt:lpstr>Dinding Penahan Tanah </vt:lpstr>
      <vt:lpstr>Penutup Atap</vt:lpstr>
      <vt:lpstr>Plafon</vt:lpstr>
      <vt:lpstr>Pasangan Dinding</vt:lpstr>
      <vt:lpstr>Plesteran Dan Acian</vt:lpstr>
      <vt:lpstr>Pengecatan dan Pelituran</vt:lpstr>
      <vt:lpstr>Penutup Lantai dan Dinding</vt:lpstr>
      <vt:lpstr>Pintu dan Jendela</vt:lpstr>
      <vt:lpstr>Kaca</vt:lpstr>
      <vt:lpstr>Besi dan Aluminium</vt:lpstr>
      <vt:lpstr>Kayu</vt:lpstr>
      <vt:lpstr>Ornamen</vt:lpstr>
      <vt:lpstr>Signage</vt:lpstr>
      <vt:lpstr>Sanitair</vt:lpstr>
      <vt:lpstr>Lansekap</vt:lpstr>
      <vt:lpstr>Jaringan Listrik</vt:lpstr>
      <vt:lpstr>Perpipaan dan proteksi kebakar </vt:lpstr>
      <vt:lpstr>Sistem Air Minum</vt:lpstr>
      <vt:lpstr>Sistem Air Limbah</vt:lpstr>
      <vt:lpstr>Bak Kontrol</vt:lpstr>
      <vt:lpstr>Perpipaan dalam Gedung </vt:lpstr>
      <vt:lpstr>Sistem Air Hujan</vt:lpstr>
      <vt:lpstr>Jalan Pada Pemukiman</vt:lpstr>
      <vt:lpstr>Drainase</vt:lpstr>
      <vt:lpstr>Jaringan Pipa Luar Gedung</vt:lpstr>
      <vt:lpstr>Strutur Risha </vt:lpstr>
      <vt:lpstr>bakkontrol</vt:lpstr>
      <vt:lpstr>besidanaluminium</vt:lpstr>
      <vt:lpstr>beton</vt:lpstr>
      <vt:lpstr>galiantanah</vt:lpstr>
      <vt:lpstr>jaringanlistrik</vt:lpstr>
      <vt:lpstr>kaca</vt:lpstr>
      <vt:lpstr>kayu</vt:lpstr>
      <vt:lpstr>pasangdinding</vt:lpstr>
      <vt:lpstr>pembongkaran</vt:lpstr>
      <vt:lpstr>pengecatandanpelitur</vt:lpstr>
      <vt:lpstr>penutupatap</vt:lpstr>
      <vt:lpstr>penutuplantaidandinding</vt:lpstr>
      <vt:lpstr>perpipaangedung</vt:lpstr>
      <vt:lpstr>persiapan</vt:lpstr>
      <vt:lpstr>pintudanjendela</vt:lpstr>
      <vt:lpstr>plafon</vt:lpstr>
      <vt:lpstr>plesteranacian</vt:lpstr>
      <vt:lpstr>pondasi</vt:lpstr>
      <vt:lpstr>'Harga Satuan'!Print_Area</vt:lpstr>
      <vt:lpstr>'Perhitungan Volume'!Print_Area</vt:lpstr>
      <vt:lpstr>'Perhitungan Volume'!Print_Titles</vt:lpstr>
      <vt:lpstr>rangkaatap</vt:lpstr>
      <vt:lpstr>sanitair</vt:lpstr>
      <vt:lpstr>signage</vt:lpstr>
      <vt:lpstr>sistemairlimbah</vt:lpstr>
      <vt:lpstr>sistemairminum</vt:lpstr>
      <vt:lpstr>timbunanpemadatan</vt:lpstr>
      <vt:lpstr>upahbahan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AHSP 2024</dc:title>
  <dc:subject>AHSP CIpta Karya 2024</dc:subject>
  <dc:creator>SIPILPEDIA</dc:creator>
  <cp:keywords>ahsp</cp:keywords>
  <cp:lastModifiedBy>Acer</cp:lastModifiedBy>
  <cp:lastPrinted>2024-11-06T06:47:21Z</cp:lastPrinted>
  <dcterms:created xsi:type="dcterms:W3CDTF">2024-02-28T08:44:51Z</dcterms:created>
  <dcterms:modified xsi:type="dcterms:W3CDTF">2026-03-09T07:00:55Z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{6F6FD55D-61A4-454E-A399-2E2DEE542422}</vt:lpwstr>
  </property>
</Properties>
</file>